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entas" sheetId="1" state="visible" r:id="rId1"/>
    <sheet xmlns:r="http://schemas.openxmlformats.org/officeDocument/2006/relationships" name="Ordenes_Odoo" sheetId="2" state="visible" r:id="rId2"/>
    <sheet xmlns:r="http://schemas.openxmlformats.org/officeDocument/2006/relationships" name="Facturas_Odoo" sheetId="3" state="visible" r:id="rId3"/>
    <sheet xmlns:r="http://schemas.openxmlformats.org/officeDocument/2006/relationships" name="Pagos_Odoo" sheetId="4" state="visible" r:id="rId4"/>
    <sheet xmlns:r="http://schemas.openxmlformats.org/officeDocument/2006/relationships" name="Listado Clientes" sheetId="5" state="visible" r:id="rId5"/>
    <sheet xmlns:r="http://schemas.openxmlformats.org/officeDocument/2006/relationships" name="Listado Vendedores" sheetId="6" state="visible" r:id="rId6"/>
    <sheet xmlns:r="http://schemas.openxmlformats.org/officeDocument/2006/relationships" name="Aux_Datos" sheetId="7" state="visible" r:id="rId7"/>
    <sheet xmlns:r="http://schemas.openxmlformats.org/officeDocument/2006/relationships" name="Configuración" sheetId="8" state="visible" r:id="rId8"/>
    <sheet xmlns:r="http://schemas.openxmlformats.org/officeDocument/2006/relationships" name="Asignación Pagos" sheetId="9" state="visible" r:id="rId9"/>
    <sheet xmlns:r="http://schemas.openxmlformats.org/officeDocument/2006/relationships" name="Cuentas Pendientes" sheetId="10" state="visible" r:id="rId10"/>
  </sheets>
  <definedNames>
    <definedName name="Limite_descuento">#REF!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/M/yyyy"/>
    <numFmt numFmtId="166" formatCode="0.0000%"/>
    <numFmt numFmtId="167" formatCode="yyyy\-mm\-dd\ hh:mm:ss"/>
    <numFmt numFmtId="168" formatCode="yyyy-mm-dd"/>
    <numFmt numFmtId="169" formatCode="#,##0.0000"/>
    <numFmt numFmtId="170" formatCode="$#,##0.00"/>
    <numFmt numFmtId="171" formatCode="0.0%"/>
  </numFmts>
  <fonts count="9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color rgb="FF000000"/>
      <sz val="11"/>
    </font>
    <font>
      <name val="Roboto"/>
      <color rgb="FF434343"/>
      <sz val="11"/>
    </font>
    <font>
      <name val="Calibri"/>
      <b val="1"/>
      <color rgb="FF000000"/>
      <sz val="11"/>
    </font>
    <font>
      <name val="Calibri"/>
      <b val="1"/>
      <color theme="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A3B2CC"/>
        <bgColor rgb="FFA3B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001F497D"/>
        <bgColor rgb="001F497D"/>
      </patternFill>
    </fill>
  </fills>
  <borders count="6">
    <border/>
    <border>
      <left style="thin">
        <color rgb="FFFFFFFF"/>
      </lef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1" fillId="2" borderId="0" pivotButton="0" quotePrefix="0" xfId="0"/>
    <xf numFmtId="4" fontId="1" fillId="0" borderId="0" pivotButton="0" quotePrefix="0" xfId="0"/>
    <xf numFmtId="0" fontId="2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4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1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horizontal="right" vertical="bottom"/>
    </xf>
    <xf numFmtId="4" fontId="2" fillId="0" borderId="0" applyAlignment="1" pivotButton="0" quotePrefix="0" xfId="0">
      <alignment horizontal="right" vertical="bottom"/>
    </xf>
    <xf numFmtId="10" fontId="2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4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 wrapText="1"/>
    </xf>
    <xf numFmtId="4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" fontId="2" fillId="0" borderId="0" applyAlignment="1" pivotButton="0" quotePrefix="0" xfId="0">
      <alignment vertical="bottom"/>
    </xf>
    <xf numFmtId="165" fontId="4" fillId="0" borderId="0" applyAlignment="1" pivotButton="0" quotePrefix="0" xfId="0">
      <alignment vertical="bottom"/>
    </xf>
    <xf numFmtId="10" fontId="2" fillId="0" borderId="0" applyAlignment="1" pivotButton="0" quotePrefix="0" xfId="0">
      <alignment vertical="center" wrapText="1"/>
    </xf>
    <xf numFmtId="166" fontId="1" fillId="0" borderId="0" pivotButton="0" quotePrefix="0" xfId="0"/>
    <xf numFmtId="10" fontId="1" fillId="0" borderId="0" pivotButton="0" quotePrefix="0" xfId="0"/>
    <xf numFmtId="10" fontId="2" fillId="4" borderId="3" applyAlignment="1" pivotButton="0" quotePrefix="0" xfId="0">
      <alignment vertical="center"/>
    </xf>
    <xf numFmtId="0" fontId="2" fillId="4" borderId="3" applyAlignment="1" pivotButton="0" quotePrefix="0" xfId="0">
      <alignment horizontal="right" vertical="center" wrapText="1"/>
    </xf>
    <xf numFmtId="165" fontId="2" fillId="4" borderId="3" applyAlignment="1" pivotButton="0" quotePrefix="0" xfId="0">
      <alignment horizontal="right" vertical="center" wrapText="1"/>
    </xf>
    <xf numFmtId="4" fontId="2" fillId="4" borderId="3" applyAlignment="1" pivotButton="0" quotePrefix="0" xfId="0">
      <alignment horizontal="right" vertical="center" wrapText="1"/>
    </xf>
    <xf numFmtId="0" fontId="2" fillId="4" borderId="3" applyAlignment="1" pivotButton="0" quotePrefix="0" xfId="0">
      <alignment horizontal="right" vertical="center"/>
    </xf>
    <xf numFmtId="0" fontId="5" fillId="4" borderId="3" applyAlignment="1" pivotButton="0" quotePrefix="0" xfId="0">
      <alignment vertical="center"/>
    </xf>
    <xf numFmtId="2" fontId="2" fillId="4" borderId="3" applyAlignment="1" pivotButton="0" quotePrefix="0" xfId="0">
      <alignment horizontal="right" vertical="center" wrapText="1"/>
    </xf>
    <xf numFmtId="4" fontId="2" fillId="4" borderId="3" applyAlignment="1" pivotButton="0" quotePrefix="0" xfId="0">
      <alignment vertical="center" wrapText="1"/>
    </xf>
    <xf numFmtId="165" fontId="2" fillId="4" borderId="3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2" fillId="4" borderId="3" applyAlignment="1" pivotButton="0" quotePrefix="0" xfId="0">
      <alignment vertical="center"/>
    </xf>
    <xf numFmtId="0" fontId="2" fillId="4" borderId="4" applyAlignment="1" pivotButton="0" quotePrefix="0" xfId="0">
      <alignment vertical="center"/>
    </xf>
    <xf numFmtId="0" fontId="2" fillId="0" borderId="0" applyAlignment="1" pivotButton="0" quotePrefix="0" xfId="0">
      <alignment vertical="bottom"/>
    </xf>
    <xf numFmtId="0" fontId="5" fillId="5" borderId="3" applyAlignment="1" pivotButton="0" quotePrefix="0" xfId="0">
      <alignment horizontal="right" vertical="center"/>
    </xf>
    <xf numFmtId="0" fontId="5" fillId="5" borderId="4" applyAlignment="1" pivotButton="0" quotePrefix="0" xfId="0">
      <alignment vertical="center"/>
    </xf>
    <xf numFmtId="0" fontId="2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167" fontId="4" fillId="0" borderId="0" applyAlignment="1" pivotButton="0" quotePrefix="0" xfId="0">
      <alignment horizontal="right" vertical="bottom"/>
    </xf>
    <xf numFmtId="4" fontId="4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64" fontId="4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68" fontId="4" fillId="0" borderId="0" applyAlignment="1" pivotButton="0" quotePrefix="0" xfId="0">
      <alignment horizontal="right" vertical="bottom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10" fontId="1" fillId="0" borderId="0" pivotButton="0" quotePrefix="0" xfId="0"/>
    <xf numFmtId="0" fontId="7" fillId="0" borderId="0" pivotButton="0" quotePrefix="0" xfId="0"/>
    <xf numFmtId="165" fontId="7" fillId="0" borderId="0" pivotButton="0" quotePrefix="0" xfId="0"/>
    <xf numFmtId="3" fontId="1" fillId="0" borderId="0" pivotButton="0" quotePrefix="0" xfId="0"/>
    <xf numFmtId="49" fontId="1" fillId="0" borderId="0" pivotButton="0" quotePrefix="0" xfId="0"/>
    <xf numFmtId="165" fontId="1" fillId="0" borderId="0" pivotButton="0" quotePrefix="0" xfId="0"/>
    <xf numFmtId="0" fontId="1" fillId="0" borderId="0" pivotButton="0" quotePrefix="0" xfId="0"/>
    <xf numFmtId="169" fontId="1" fillId="0" borderId="0" pivotButton="0" quotePrefix="0" xfId="0"/>
    <xf numFmtId="2" fontId="1" fillId="0" borderId="0" pivotButton="0" quotePrefix="0" xfId="0"/>
    <xf numFmtId="0" fontId="8" fillId="6" borderId="0" applyAlignment="1" pivotButton="0" quotePrefix="0" xfId="0">
      <alignment horizontal="center" vertical="center" wrapText="1"/>
    </xf>
    <xf numFmtId="0" fontId="0" fillId="0" borderId="5" pivotButton="0" quotePrefix="0" xfId="0"/>
    <xf numFmtId="168" fontId="0" fillId="0" borderId="5" pivotButton="0" quotePrefix="0" xfId="0"/>
    <xf numFmtId="170" fontId="0" fillId="0" borderId="5" pivotButton="0" quotePrefix="0" xfId="0"/>
    <xf numFmtId="171" fontId="0" fillId="0" borderId="5" pivotButton="0" quotePrefix="0" xfId="0"/>
    <xf numFmtId="0" fontId="0" fillId="0" borderId="0" pivotButton="0" quotePrefix="0" xfId="0"/>
    <xf numFmtId="168" fontId="0" fillId="0" borderId="0" pivotButton="0" quotePrefix="0" xfId="0"/>
    <xf numFmtId="170" fontId="0" fillId="0" borderId="0" pivotButton="0" quotePrefix="0" xfId="0"/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9900"/>
          <bgColor rgb="FFFF9900"/>
        </patternFill>
      </fill>
      <border/>
    </dxf>
  </dxfs>
  <tableStyles count="1" defaultTableStyle="TableStyleMedium9" defaultPivotStyle="PivotStyleLight16">
    <tableStyle name="Venta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00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Referencia de la orden</t>
        </is>
      </c>
      <c r="B1" s="78" t="inlineStr">
        <is>
          <t>Fecha de la orden</t>
        </is>
      </c>
      <c r="C1" s="78" t="inlineStr">
        <is>
          <t>Cliente</t>
        </is>
      </c>
      <c r="D1" s="78" t="inlineStr">
        <is>
          <t>Vendedor</t>
        </is>
      </c>
      <c r="E1" s="78" t="inlineStr">
        <is>
          <t>Términos de pago</t>
        </is>
      </c>
      <c r="F1" s="78" t="inlineStr">
        <is>
          <t>Lista de precios/ID</t>
        </is>
      </c>
      <c r="G1" s="78" t="inlineStr">
        <is>
          <t>Lista de precios/Nombre de la lista de precios</t>
        </is>
      </c>
      <c r="H1" s="78" t="inlineStr">
        <is>
          <t>Líneas de la orden/Producto/Categoría del producto</t>
        </is>
      </c>
      <c r="I1" s="78" t="inlineStr">
        <is>
          <t>Líneas de la orden/Producto/Referencia interna</t>
        </is>
      </c>
      <c r="J1" s="78" t="inlineStr">
        <is>
          <t>Líneas de la orden/Producto/Nombre en pantalla</t>
        </is>
      </c>
      <c r="K1" s="78" t="inlineStr">
        <is>
          <t>Líneas de la orden/Precio unitario</t>
        </is>
      </c>
      <c r="L1" s="78" t="inlineStr">
        <is>
          <t>Líneas de la orden/Subtotal</t>
        </is>
      </c>
      <c r="M1" s="78" t="inlineStr">
        <is>
          <t>Líneas de la orden/Cantidad</t>
        </is>
      </c>
      <c r="N1" s="78" t="inlineStr">
        <is>
          <t>Líneas de la orden/Descuento (%)</t>
        </is>
      </c>
      <c r="O1" s="78" t="inlineStr">
        <is>
          <t>Subtotal Orden</t>
        </is>
      </c>
      <c r="P1" s="78" t="inlineStr">
        <is>
          <t>Total Orden</t>
        </is>
      </c>
      <c r="Q1" s="78" t="inlineStr">
        <is>
          <t>Factura Nro</t>
        </is>
      </c>
      <c r="R1" s="78" t="inlineStr">
        <is>
          <t>Factura Fecha</t>
        </is>
      </c>
      <c r="S1" s="78" t="inlineStr">
        <is>
          <t>Factura Producto</t>
        </is>
      </c>
      <c r="T1" s="78" t="inlineStr">
        <is>
          <t>Factura Precio Unitario $</t>
        </is>
      </c>
      <c r="U1" s="78" t="inlineStr">
        <is>
          <t>Factura Cantidad</t>
        </is>
      </c>
      <c r="V1" s="78" t="inlineStr">
        <is>
          <t>Factura Descuento %</t>
        </is>
      </c>
      <c r="W1" s="78" t="inlineStr">
        <is>
          <t>Factura Total $</t>
        </is>
      </c>
      <c r="X1" s="78" t="inlineStr">
        <is>
          <t>Pago Nro</t>
        </is>
      </c>
      <c r="Y1" s="78" t="inlineStr">
        <is>
          <t>Pago ID</t>
        </is>
      </c>
      <c r="Z1" s="78" t="inlineStr">
        <is>
          <t>Pago Fecha</t>
        </is>
      </c>
      <c r="AA1" s="78" t="inlineStr">
        <is>
          <t>Pago Moneda</t>
        </is>
      </c>
      <c r="AB1" s="78" t="inlineStr">
        <is>
          <t>Pago Importe Firmado</t>
        </is>
      </c>
      <c r="AC1" s="78" t="inlineStr">
        <is>
          <t>Pago Método / Diario</t>
        </is>
      </c>
      <c r="AD1" s="78" t="inlineStr">
        <is>
          <t>Descuento Diferencial %</t>
        </is>
      </c>
      <c r="AE1" s="78" t="inlineStr">
        <is>
          <t>Descuento Pronto Pago %</t>
        </is>
      </c>
      <c r="AF1" s="78" t="inlineStr">
        <is>
          <t>Otros Descuentos %</t>
        </is>
      </c>
      <c r="AG1" s="78" t="inlineStr">
        <is>
          <t>Descuento Total Aplicado %</t>
        </is>
      </c>
      <c r="AH1" s="78" t="inlineStr">
        <is>
          <t>Total Orden con Descuentos</t>
        </is>
      </c>
      <c r="AI1" s="78" t="inlineStr">
        <is>
          <t>Total Factura con Descuentos</t>
        </is>
      </c>
      <c r="AJ1" s="78" t="inlineStr">
        <is>
          <t>Monto Pagado Total USD</t>
        </is>
      </c>
      <c r="AK1" s="78" t="inlineStr">
        <is>
          <t>Saldo Deudor sobre Orden</t>
        </is>
      </c>
      <c r="AL1" s="78" t="inlineStr">
        <is>
          <t>Saldo Deudor sobre Factura</t>
        </is>
      </c>
      <c r="AM1" s="78" t="inlineStr">
        <is>
          <t>Diferencia de Totales Orden vs Factura</t>
        </is>
      </c>
      <c r="AN1" s="78" t="inlineStr">
        <is>
          <t>ID Número de Orden</t>
        </is>
      </c>
      <c r="AO1" s="78" t="inlineStr">
        <is>
          <t>Validación Diferencial</t>
        </is>
      </c>
      <c r="AP1" s="78" t="inlineStr">
        <is>
          <t>Validación Pronto Pago</t>
        </is>
      </c>
      <c r="AQ1" s="78" t="inlineStr">
        <is>
          <t>Validación Descuento Previo</t>
        </is>
      </c>
      <c r="AR1" s="78" t="inlineStr">
        <is>
          <t>Validación General</t>
        </is>
      </c>
    </row>
    <row r="2">
      <c r="A2" s="79">
        <f>IF('Ordenes_Odoo'!A2="","",'Ordenes_Odoo'!A2)</f>
        <v/>
      </c>
      <c r="B2" s="80">
        <f>IF('Ordenes_Odoo'!B2="","",'Ordenes_Odoo'!B2)</f>
        <v/>
      </c>
      <c r="C2" s="79">
        <f>IF('Ordenes_Odoo'!C2="","",'Ordenes_Odoo'!C2)</f>
        <v/>
      </c>
      <c r="D2" s="79">
        <f>IF('Ordenes_Odoo'!D2="","",'Ordenes_Odoo'!D2)</f>
        <v/>
      </c>
      <c r="E2" s="79">
        <f>IF('Ordenes_Odoo'!E2="","",'Ordenes_Odoo'!E2)</f>
        <v/>
      </c>
      <c r="F2" s="79">
        <f>IF('Ordenes_Odoo'!F2="","",'Ordenes_Odoo'!F2)</f>
        <v/>
      </c>
      <c r="G2" s="79">
        <f>IF('Ordenes_Odoo'!G2="","",'Ordenes_Odoo'!G2)</f>
        <v/>
      </c>
      <c r="H2" s="79">
        <f>IF('Ordenes_Odoo'!H2="","",'Ordenes_Odoo'!H2)</f>
        <v/>
      </c>
      <c r="I2" s="79">
        <f>IF('Ordenes_Odoo'!I2="","",'Ordenes_Odoo'!I2)</f>
        <v/>
      </c>
      <c r="J2" s="79">
        <f>IF('Ordenes_Odoo'!J2="","",'Ordenes_Odoo'!J2)</f>
        <v/>
      </c>
      <c r="K2" s="81">
        <f>IF('Ordenes_Odoo'!K2="","",'Ordenes_Odoo'!K2)</f>
        <v/>
      </c>
      <c r="L2" s="81">
        <f>IF('Ordenes_Odoo'!L2="","",'Ordenes_Odoo'!L2)</f>
        <v/>
      </c>
      <c r="M2" s="79">
        <f>IF('Ordenes_Odoo'!M2="","",'Ordenes_Odoo'!M2)</f>
        <v/>
      </c>
      <c r="N2" s="79">
        <f>IF('Ordenes_Odoo'!N2="","",'Ordenes_Odoo'!N2)</f>
        <v/>
      </c>
      <c r="O2" s="81">
        <f>IF('Ordenes_Odoo'!O2="","",'Ordenes_Odoo'!O2)</f>
        <v/>
      </c>
      <c r="P2" s="81">
        <f>IF('Ordenes_Odoo'!P2="","",'Ordenes_Odoo'!P2)</f>
        <v/>
      </c>
      <c r="Q2" s="79">
        <f>IF(A2="","",IFERROR(INDEX(Facturas_Odoo!$B:$B, MATCH(A2, Facturas_Odoo!$D:$D, 0)), "Sin Factura"))</f>
        <v/>
      </c>
      <c r="R2" s="80">
        <f>IF(Q2="Sin Factura","",IFERROR(INDEX(Facturas_Odoo!$A:$A, MATCH(Q2, Facturas_Odoo!$B:$B, 0)), ""))</f>
        <v/>
      </c>
      <c r="S2" s="79">
        <f>IF(Q2="Sin Factura","",IFERROR(_xlfn.XLOOKUP(1, (Facturas_Odoo!$D:$D=A2) * (Facturas_Odoo!$K:$K=I2), Facturas_Odoo!$L:$L, ""), ""))</f>
        <v/>
      </c>
      <c r="T2" s="81">
        <f>IF(Q2="Sin Factura",0,IFERROR(_xlfn.XLOOKUP(1, (Facturas_Odoo!$D:$D=A2) * (Facturas_Odoo!$K:$K=I2), Facturas_Odoo!$M:$M, 0), 0))</f>
        <v/>
      </c>
      <c r="U2" s="79">
        <f>IF(Q2="Sin Factura",0,IFERROR(_xlfn.XLOOKUP(1, (Facturas_Odoo!$D:$D=A2) * (Facturas_Odoo!$K:$K=I2), Facturas_Odoo!$N:$N, 0), 0))</f>
        <v/>
      </c>
      <c r="V2" s="79">
        <f>IF(Q2="Sin Factura",0,IFERROR(_xlfn.XLOOKUP(1, (Facturas_Odoo!$D:$D=A2) * (Facturas_Odoo!$K:$K=I2), Facturas_Odoo!$O:$O, 0), 0))</f>
        <v/>
      </c>
      <c r="W2" s="81">
        <f>IF(Q2="Sin Factura",0,IFERROR(_xlfn.XLOOKUP(1, (Facturas_Odoo!$D:$D=A2) * (Facturas_Odoo!$K:$K=I2), Facturas_Odoo!$Q:$Q, 0), 0))</f>
        <v/>
      </c>
      <c r="X2" s="79">
        <f>IF(OR(Q2="Sin Factura",Q2=""),"",IFERROR(INDEX(Pagos_Odoo!$B:$B, MATCH(Q2, Pagos_Odoo!$I:$I, 0)), "Sin Pago"))</f>
        <v/>
      </c>
      <c r="Y2" s="79">
        <f>IF(X2="Sin Pago","",IFERROR(INDEX(Pagos_Odoo!$C:$C, MATCH(X2, Pagos_Odoo!$B:$B, 0)), ""))</f>
        <v/>
      </c>
      <c r="Z2" s="80">
        <f>IF(X2="Sin Pago","",IFERROR(INDEX(Pagos_Odoo!$A:$A, MATCH(X2, Pagos_Odoo!$B:$B, 0)), ""))</f>
        <v/>
      </c>
      <c r="AA2" s="79">
        <f>IF(X2="Sin Pago","",IFERROR(INDEX(Pagos_Odoo!$F:$F, MATCH(X2, Pagos_Odoo!$B:$B, 0)), ""))</f>
        <v/>
      </c>
      <c r="AB2" s="81">
        <f>IF(X2="Sin Pago",0,IFERROR(INDEX(Pagos_Odoo!$E:$E, MATCH(X2, Pagos_Odoo!$B:$B, 0)), 0))</f>
        <v/>
      </c>
      <c r="AC2" s="79">
        <f>IF(X2="Sin Pago","",IFERROR(INDEX(Pagos_Odoo!$G:$G, MATCH(X2, Pagos_Odoo!$B:$B, 0)), ""))</f>
        <v/>
      </c>
      <c r="AD2" s="82" t="n">
        <v>0</v>
      </c>
      <c r="AE2" s="82" t="n"/>
      <c r="AF2" s="82" t="n"/>
      <c r="AG2" s="82">
        <f>IF(AN2="","",AD2+AE2+AF2)</f>
        <v/>
      </c>
      <c r="AH2" s="81">
        <f>IF(AN2="","",P2*(1-AG2))</f>
        <v/>
      </c>
      <c r="AI2" s="81">
        <f>IF(AN2="","",IF(Q2="Sin Factura",0,IFERROR(INDEX(Facturas_Odoo!$H:$H, MATCH(Q2, Facturas_Odoo!$B:$B, 0)), 0)*(1-AG2)))</f>
        <v/>
      </c>
      <c r="AJ2" s="81">
        <f>IF(AN2="","",_xlfn.LET(idVenta, AN2&amp;"",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" s="81">
        <f>IF(AN2="","",AH2-AJ2)</f>
        <v/>
      </c>
      <c r="AL2" s="81">
        <f>IF(AN2="","",IF(Q2="Sin Factura","",AI2-AJ2))</f>
        <v/>
      </c>
      <c r="AM2" s="81">
        <f>IF(AN2="","",IF(Q2="Sin Factura",0,P2-IFERROR(INDEX(Facturas_Odoo!$H:$H, MATCH(Q2, Facturas_Odoo!$B:$B, 0)), 0)))</f>
        <v/>
      </c>
      <c r="AN2" s="79">
        <f>VALUE(MID(A2,2,LEN(A2)))</f>
        <v/>
      </c>
      <c r="AO2" s="79">
        <f>IF(AN2="","",IF(AD2=0,"OK",_xlfn.LET(monedaPago, IF(AA2="","USD",AA2), limitePermitido, IFERROR(VLOOKUP(monedaPago, Configuración!$A$2:$B$3, 2, FALSE), 0.15), IF(AD2&gt;limitePermitido, "ALERTA: EXCESO (" &amp; TEXT(limitePermitido, "0%") &amp; " máx)", "OK"))))</f>
        <v/>
      </c>
      <c r="AP2" s="79">
        <f>IF(AN2="","",IF(AE2=0,"OK",_xlfn.LET(fechaPago, Z2, fechaFactura, R2, diasCredito, IF(E2="Pago inmediato", 0, IFERROR(VALUE(MID(E2, 1, SEARCH(" ", E2)-1)),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" s="79">
        <f>IF(AN2="","",IF(AND(N2&gt;0, AG2&gt;0), IF(Configuración!$K$2="NO", "ALERTA: DESCUENTO DOBLE NO PERMITIDO", "OK"), "OK"))</f>
        <v/>
      </c>
      <c r="AR2" s="79">
        <f>IF(AN2="","",IF(OR(AO2&lt;&gt;"OK", AP2&lt;&gt;"OK", AQ2&lt;&gt;"OK"), "⚠️ REVISAR", "OK"))</f>
        <v/>
      </c>
    </row>
    <row r="3">
      <c r="A3" s="79">
        <f>IF('Ordenes_Odoo'!A3="","",'Ordenes_Odoo'!A3)</f>
        <v/>
      </c>
      <c r="B3" s="80">
        <f>IF('Ordenes_Odoo'!B3="","",'Ordenes_Odoo'!B3)</f>
        <v/>
      </c>
      <c r="C3" s="79">
        <f>IF('Ordenes_Odoo'!C3="","",'Ordenes_Odoo'!C3)</f>
        <v/>
      </c>
      <c r="D3" s="79">
        <f>IF('Ordenes_Odoo'!D3="","",'Ordenes_Odoo'!D3)</f>
        <v/>
      </c>
      <c r="E3" s="79">
        <f>IF('Ordenes_Odoo'!E3="","",'Ordenes_Odoo'!E3)</f>
        <v/>
      </c>
      <c r="F3" s="79">
        <f>IF('Ordenes_Odoo'!F3="","",'Ordenes_Odoo'!F3)</f>
        <v/>
      </c>
      <c r="G3" s="79">
        <f>IF('Ordenes_Odoo'!G3="","",'Ordenes_Odoo'!G3)</f>
        <v/>
      </c>
      <c r="H3" s="79">
        <f>IF('Ordenes_Odoo'!H3="","",'Ordenes_Odoo'!H3)</f>
        <v/>
      </c>
      <c r="I3" s="79">
        <f>IF('Ordenes_Odoo'!I3="","",'Ordenes_Odoo'!I3)</f>
        <v/>
      </c>
      <c r="J3" s="79">
        <f>IF('Ordenes_Odoo'!J3="","",'Ordenes_Odoo'!J3)</f>
        <v/>
      </c>
      <c r="K3" s="81">
        <f>IF('Ordenes_Odoo'!K3="","",'Ordenes_Odoo'!K3)</f>
        <v/>
      </c>
      <c r="L3" s="81">
        <f>IF('Ordenes_Odoo'!L3="","",'Ordenes_Odoo'!L3)</f>
        <v/>
      </c>
      <c r="M3" s="79">
        <f>IF('Ordenes_Odoo'!M3="","",'Ordenes_Odoo'!M3)</f>
        <v/>
      </c>
      <c r="N3" s="79">
        <f>IF('Ordenes_Odoo'!N3="","",'Ordenes_Odoo'!N3)</f>
        <v/>
      </c>
      <c r="O3" s="81">
        <f>IF('Ordenes_Odoo'!O3="","",'Ordenes_Odoo'!O3)</f>
        <v/>
      </c>
      <c r="P3" s="81">
        <f>IF('Ordenes_Odoo'!P3="","",'Ordenes_Odoo'!P3)</f>
        <v/>
      </c>
      <c r="Q3" s="79">
        <f>IF(A3="","",IFERROR(INDEX(Facturas_Odoo!$B:$B, MATCH(A3, Facturas_Odoo!$D:$D, 0)), "Sin Factura"))</f>
        <v/>
      </c>
      <c r="R3" s="80">
        <f>IF(Q3="Sin Factura","",IFERROR(INDEX(Facturas_Odoo!$A:$A, MATCH(Q3, Facturas_Odoo!$B:$B, 0)), ""))</f>
        <v/>
      </c>
      <c r="S3" s="79">
        <f>IF(Q3="Sin Factura","",IFERROR(_xlfn.XLOOKUP(1, (Facturas_Odoo!$D:$D=A3) * (Facturas_Odoo!$K:$K=I3), Facturas_Odoo!$L:$L, ""), ""))</f>
        <v/>
      </c>
      <c r="T3" s="81">
        <f>IF(Q3="Sin Factura",0,IFERROR(_xlfn.XLOOKUP(1, (Facturas_Odoo!$D:$D=A3) * (Facturas_Odoo!$K:$K=I3), Facturas_Odoo!$M:$M, 0), 0))</f>
        <v/>
      </c>
      <c r="U3" s="79">
        <f>IF(Q3="Sin Factura",0,IFERROR(_xlfn.XLOOKUP(1, (Facturas_Odoo!$D:$D=A3) * (Facturas_Odoo!$K:$K=I3), Facturas_Odoo!$N:$N, 0), 0))</f>
        <v/>
      </c>
      <c r="V3" s="79">
        <f>IF(Q3="Sin Factura",0,IFERROR(_xlfn.XLOOKUP(1, (Facturas_Odoo!$D:$D=A3) * (Facturas_Odoo!$K:$K=I3), Facturas_Odoo!$O:$O, 0), 0))</f>
        <v/>
      </c>
      <c r="W3" s="81">
        <f>IF(Q3="Sin Factura",0,IFERROR(_xlfn.XLOOKUP(1, (Facturas_Odoo!$D:$D=A3) * (Facturas_Odoo!$K:$K=I3), Facturas_Odoo!$Q:$Q, 0), 0))</f>
        <v/>
      </c>
      <c r="X3" s="79">
        <f>IF(OR(Q3="Sin Factura",Q3=""),"",IFERROR(INDEX(Pagos_Odoo!$B:$B, MATCH(Q3, Pagos_Odoo!$I:$I, 0)), "Sin Pago"))</f>
        <v/>
      </c>
      <c r="Y3" s="79">
        <f>IF(X3="Sin Pago","",IFERROR(INDEX(Pagos_Odoo!$C:$C, MATCH(X3, Pagos_Odoo!$B:$B, 0)), ""))</f>
        <v/>
      </c>
      <c r="Z3" s="80">
        <f>IF(X3="Sin Pago","",IFERROR(INDEX(Pagos_Odoo!$A:$A, MATCH(X3, Pagos_Odoo!$B:$B, 0)), ""))</f>
        <v/>
      </c>
      <c r="AA3" s="79">
        <f>IF(X3="Sin Pago","",IFERROR(INDEX(Pagos_Odoo!$F:$F, MATCH(X3, Pagos_Odoo!$B:$B, 0)), ""))</f>
        <v/>
      </c>
      <c r="AB3" s="81">
        <f>IF(X3="Sin Pago",0,IFERROR(INDEX(Pagos_Odoo!$E:$E, MATCH(X3, Pagos_Odoo!$B:$B, 0)), 0))</f>
        <v/>
      </c>
      <c r="AC3" s="79">
        <f>IF(X3="Sin Pago","",IFERROR(INDEX(Pagos_Odoo!$G:$G, MATCH(X3, Pagos_Odoo!$B:$B, 0)), ""))</f>
        <v/>
      </c>
      <c r="AD3" s="82" t="n">
        <v>0</v>
      </c>
      <c r="AE3" s="82" t="n"/>
      <c r="AF3" s="82" t="n"/>
      <c r="AG3" s="82">
        <f>IF(AN3="","",AD3+AE3+AF3)</f>
        <v/>
      </c>
      <c r="AH3" s="81">
        <f>IF(AN3="","",P3*(1-AG3))</f>
        <v/>
      </c>
      <c r="AI3" s="81">
        <f>IF(AN3="","",IF(Q3="Sin Factura",0,IFERROR(INDEX(Facturas_Odoo!$H:$H, MATCH(Q3, Facturas_Odoo!$B:$B, 0)), 0)*(1-AG3)))</f>
        <v/>
      </c>
      <c r="AJ3" s="81">
        <f>IF(AN3="","",_xlfn.LET(idVenta, AN3&amp;"",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" s="81">
        <f>IF(AN3="","",AH3-AJ3)</f>
        <v/>
      </c>
      <c r="AL3" s="81">
        <f>IF(AN3="","",IF(Q3="Sin Factura","",AI3-AJ3))</f>
        <v/>
      </c>
      <c r="AM3" s="81">
        <f>IF(AN3="","",IF(Q3="Sin Factura",0,P3-IFERROR(INDEX(Facturas_Odoo!$H:$H, MATCH(Q3, Facturas_Odoo!$B:$B, 0)), 0)))</f>
        <v/>
      </c>
      <c r="AN3" s="79">
        <f>IF(AND(A3="", J3=""), "", IF(A3&lt;&gt;"", VALUE(MID(A3,2,LEN(A3))), AN2))</f>
        <v/>
      </c>
      <c r="AO3" s="79">
        <f>IF(AN3="","",IF(AD3=0,"OK",_xlfn.LET(monedaPago, IF(AA3="","USD",AA3), limitePermitido, IFERROR(VLOOKUP(monedaPago, Configuración!$A$2:$B$3, 2, FALSE), 0.15), IF(AD3&gt;limitePermitido, "ALERTA: EXCESO (" &amp; TEXT(limitePermitido, "0%") &amp; " máx)", "OK"))))</f>
        <v/>
      </c>
      <c r="AP3" s="79">
        <f>IF(AN3="","",IF(AE3=0,"OK",_xlfn.LET(fechaPago, Z3, fechaFactura, R3, diasCredito, IF(E3="Pago inmediato", 0, IFERROR(VALUE(MID(E3, 1, SEARCH(" ", E3)-1)),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" s="79">
        <f>IF(AN3="","",IF(AND(N3&gt;0, AG3&gt;0), IF(Configuración!$K$2="NO", "ALERTA: DESCUENTO DOBLE NO PERMITIDO", "OK"), "OK"))</f>
        <v/>
      </c>
      <c r="AR3" s="79">
        <f>IF(AN3="","",IF(OR(AO3&lt;&gt;"OK", AP3&lt;&gt;"OK", AQ3&lt;&gt;"OK"), "⚠️ REVISAR", "OK"))</f>
        <v/>
      </c>
    </row>
    <row r="4">
      <c r="A4" s="79">
        <f>IF('Ordenes_Odoo'!A4="","",'Ordenes_Odoo'!A4)</f>
        <v/>
      </c>
      <c r="B4" s="80">
        <f>IF('Ordenes_Odoo'!B4="","",'Ordenes_Odoo'!B4)</f>
        <v/>
      </c>
      <c r="C4" s="79">
        <f>IF('Ordenes_Odoo'!C4="","",'Ordenes_Odoo'!C4)</f>
        <v/>
      </c>
      <c r="D4" s="79">
        <f>IF('Ordenes_Odoo'!D4="","",'Ordenes_Odoo'!D4)</f>
        <v/>
      </c>
      <c r="E4" s="79">
        <f>IF('Ordenes_Odoo'!E4="","",'Ordenes_Odoo'!E4)</f>
        <v/>
      </c>
      <c r="F4" s="79">
        <f>IF('Ordenes_Odoo'!F4="","",'Ordenes_Odoo'!F4)</f>
        <v/>
      </c>
      <c r="G4" s="79">
        <f>IF('Ordenes_Odoo'!G4="","",'Ordenes_Odoo'!G4)</f>
        <v/>
      </c>
      <c r="H4" s="79">
        <f>IF('Ordenes_Odoo'!H4="","",'Ordenes_Odoo'!H4)</f>
        <v/>
      </c>
      <c r="I4" s="79">
        <f>IF('Ordenes_Odoo'!I4="","",'Ordenes_Odoo'!I4)</f>
        <v/>
      </c>
      <c r="J4" s="79">
        <f>IF('Ordenes_Odoo'!J4="","",'Ordenes_Odoo'!J4)</f>
        <v/>
      </c>
      <c r="K4" s="81">
        <f>IF('Ordenes_Odoo'!K4="","",'Ordenes_Odoo'!K4)</f>
        <v/>
      </c>
      <c r="L4" s="81">
        <f>IF('Ordenes_Odoo'!L4="","",'Ordenes_Odoo'!L4)</f>
        <v/>
      </c>
      <c r="M4" s="79">
        <f>IF('Ordenes_Odoo'!M4="","",'Ordenes_Odoo'!M4)</f>
        <v/>
      </c>
      <c r="N4" s="79">
        <f>IF('Ordenes_Odoo'!N4="","",'Ordenes_Odoo'!N4)</f>
        <v/>
      </c>
      <c r="O4" s="81">
        <f>IF('Ordenes_Odoo'!O4="","",'Ordenes_Odoo'!O4)</f>
        <v/>
      </c>
      <c r="P4" s="81">
        <f>IF('Ordenes_Odoo'!P4="","",'Ordenes_Odoo'!P4)</f>
        <v/>
      </c>
      <c r="Q4" s="79">
        <f>IF(A4="","",IFERROR(INDEX(Facturas_Odoo!$B:$B, MATCH(A4, Facturas_Odoo!$D:$D, 0)), "Sin Factura"))</f>
        <v/>
      </c>
      <c r="R4" s="80">
        <f>IF(Q4="Sin Factura","",IFERROR(INDEX(Facturas_Odoo!$A:$A, MATCH(Q4, Facturas_Odoo!$B:$B, 0)), ""))</f>
        <v/>
      </c>
      <c r="S4" s="79">
        <f>IF(Q4="Sin Factura","",IFERROR(_xlfn.XLOOKUP(1, (Facturas_Odoo!$D:$D=A4) * (Facturas_Odoo!$K:$K=I4), Facturas_Odoo!$L:$L, ""), ""))</f>
        <v/>
      </c>
      <c r="T4" s="81">
        <f>IF(Q4="Sin Factura",0,IFERROR(_xlfn.XLOOKUP(1, (Facturas_Odoo!$D:$D=A4) * (Facturas_Odoo!$K:$K=I4), Facturas_Odoo!$M:$M, 0), 0))</f>
        <v/>
      </c>
      <c r="U4" s="79">
        <f>IF(Q4="Sin Factura",0,IFERROR(_xlfn.XLOOKUP(1, (Facturas_Odoo!$D:$D=A4) * (Facturas_Odoo!$K:$K=I4), Facturas_Odoo!$N:$N, 0), 0))</f>
        <v/>
      </c>
      <c r="V4" s="79">
        <f>IF(Q4="Sin Factura",0,IFERROR(_xlfn.XLOOKUP(1, (Facturas_Odoo!$D:$D=A4) * (Facturas_Odoo!$K:$K=I4), Facturas_Odoo!$O:$O, 0), 0))</f>
        <v/>
      </c>
      <c r="W4" s="81">
        <f>IF(Q4="Sin Factura",0,IFERROR(_xlfn.XLOOKUP(1, (Facturas_Odoo!$D:$D=A4) * (Facturas_Odoo!$K:$K=I4), Facturas_Odoo!$Q:$Q, 0), 0))</f>
        <v/>
      </c>
      <c r="X4" s="79">
        <f>IF(OR(Q4="Sin Factura",Q4=""),"",IFERROR(INDEX(Pagos_Odoo!$B:$B, MATCH(Q4, Pagos_Odoo!$I:$I, 0)), "Sin Pago"))</f>
        <v/>
      </c>
      <c r="Y4" s="79">
        <f>IF(X4="Sin Pago","",IFERROR(INDEX(Pagos_Odoo!$C:$C, MATCH(X4, Pagos_Odoo!$B:$B, 0)), ""))</f>
        <v/>
      </c>
      <c r="Z4" s="80">
        <f>IF(X4="Sin Pago","",IFERROR(INDEX(Pagos_Odoo!$A:$A, MATCH(X4, Pagos_Odoo!$B:$B, 0)), ""))</f>
        <v/>
      </c>
      <c r="AA4" s="79">
        <f>IF(X4="Sin Pago","",IFERROR(INDEX(Pagos_Odoo!$F:$F, MATCH(X4, Pagos_Odoo!$B:$B, 0)), ""))</f>
        <v/>
      </c>
      <c r="AB4" s="81">
        <f>IF(X4="Sin Pago",0,IFERROR(INDEX(Pagos_Odoo!$E:$E, MATCH(X4, Pagos_Odoo!$B:$B, 0)), 0))</f>
        <v/>
      </c>
      <c r="AC4" s="79">
        <f>IF(X4="Sin Pago","",IFERROR(INDEX(Pagos_Odoo!$G:$G, MATCH(X4, Pagos_Odoo!$B:$B, 0)), ""))</f>
        <v/>
      </c>
      <c r="AD4" s="82" t="n">
        <v>0</v>
      </c>
      <c r="AE4" s="82" t="n"/>
      <c r="AF4" s="82" t="n"/>
      <c r="AG4" s="82">
        <f>IF(AN4="","",AD4+AE4+AF4)</f>
        <v/>
      </c>
      <c r="AH4" s="81">
        <f>IF(AN4="","",P4*(1-AG4))</f>
        <v/>
      </c>
      <c r="AI4" s="81">
        <f>IF(AN4="","",IF(Q4="Sin Factura",0,IFERROR(INDEX(Facturas_Odoo!$H:$H, MATCH(Q4, Facturas_Odoo!$B:$B, 0)), 0)*(1-AG4)))</f>
        <v/>
      </c>
      <c r="AJ4" s="81">
        <f>IF(AN4="","",_xlfn.LET(idVenta, AN4&amp;"",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" s="81">
        <f>IF(AN4="","",AH4-AJ4)</f>
        <v/>
      </c>
      <c r="AL4" s="81">
        <f>IF(AN4="","",IF(Q4="Sin Factura","",AI4-AJ4))</f>
        <v/>
      </c>
      <c r="AM4" s="81">
        <f>IF(AN4="","",IF(Q4="Sin Factura",0,P4-IFERROR(INDEX(Facturas_Odoo!$H:$H, MATCH(Q4, Facturas_Odoo!$B:$B, 0)), 0)))</f>
        <v/>
      </c>
      <c r="AN4" s="79">
        <f>IF(AND(A4="", J4=""), "", IF(A4&lt;&gt;"", VALUE(MID(A4,2,LEN(A4))), AN3))</f>
        <v/>
      </c>
      <c r="AO4" s="79">
        <f>IF(AN4="","",IF(AD4=0,"OK",_xlfn.LET(monedaPago, IF(AA4="","USD",AA4), limitePermitido, IFERROR(VLOOKUP(monedaPago, Configuración!$A$2:$B$3, 2, FALSE), 0.15), IF(AD4&gt;limitePermitido, "ALERTA: EXCESO (" &amp; TEXT(limitePermitido, "0%") &amp; " máx)", "OK"))))</f>
        <v/>
      </c>
      <c r="AP4" s="79">
        <f>IF(AN4="","",IF(AE4=0,"OK",_xlfn.LET(fechaPago, Z4, fechaFactura, R4, diasCredito, IF(E4="Pago inmediato", 0, IFERROR(VALUE(MID(E4, 1, SEARCH(" ", E4)-1)),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" s="79">
        <f>IF(AN4="","",IF(AND(N4&gt;0, AG4&gt;0), IF(Configuración!$K$2="NO", "ALERTA: DESCUENTO DOBLE NO PERMITIDO", "OK"), "OK"))</f>
        <v/>
      </c>
      <c r="AR4" s="79">
        <f>IF(AN4="","",IF(OR(AO4&lt;&gt;"OK", AP4&lt;&gt;"OK", AQ4&lt;&gt;"OK"), "⚠️ REVISAR", "OK"))</f>
        <v/>
      </c>
    </row>
    <row r="5">
      <c r="A5" s="79">
        <f>IF('Ordenes_Odoo'!A5="","",'Ordenes_Odoo'!A5)</f>
        <v/>
      </c>
      <c r="B5" s="80">
        <f>IF('Ordenes_Odoo'!B5="","",'Ordenes_Odoo'!B5)</f>
        <v/>
      </c>
      <c r="C5" s="79">
        <f>IF('Ordenes_Odoo'!C5="","",'Ordenes_Odoo'!C5)</f>
        <v/>
      </c>
      <c r="D5" s="79">
        <f>IF('Ordenes_Odoo'!D5="","",'Ordenes_Odoo'!D5)</f>
        <v/>
      </c>
      <c r="E5" s="79">
        <f>IF('Ordenes_Odoo'!E5="","",'Ordenes_Odoo'!E5)</f>
        <v/>
      </c>
      <c r="F5" s="79">
        <f>IF('Ordenes_Odoo'!F5="","",'Ordenes_Odoo'!F5)</f>
        <v/>
      </c>
      <c r="G5" s="79">
        <f>IF('Ordenes_Odoo'!G5="","",'Ordenes_Odoo'!G5)</f>
        <v/>
      </c>
      <c r="H5" s="79">
        <f>IF('Ordenes_Odoo'!H5="","",'Ordenes_Odoo'!H5)</f>
        <v/>
      </c>
      <c r="I5" s="79">
        <f>IF('Ordenes_Odoo'!I5="","",'Ordenes_Odoo'!I5)</f>
        <v/>
      </c>
      <c r="J5" s="79">
        <f>IF('Ordenes_Odoo'!J5="","",'Ordenes_Odoo'!J5)</f>
        <v/>
      </c>
      <c r="K5" s="81">
        <f>IF('Ordenes_Odoo'!K5="","",'Ordenes_Odoo'!K5)</f>
        <v/>
      </c>
      <c r="L5" s="81">
        <f>IF('Ordenes_Odoo'!L5="","",'Ordenes_Odoo'!L5)</f>
        <v/>
      </c>
      <c r="M5" s="79">
        <f>IF('Ordenes_Odoo'!M5="","",'Ordenes_Odoo'!M5)</f>
        <v/>
      </c>
      <c r="N5" s="79">
        <f>IF('Ordenes_Odoo'!N5="","",'Ordenes_Odoo'!N5)</f>
        <v/>
      </c>
      <c r="O5" s="81">
        <f>IF('Ordenes_Odoo'!O5="","",'Ordenes_Odoo'!O5)</f>
        <v/>
      </c>
      <c r="P5" s="81">
        <f>IF('Ordenes_Odoo'!P5="","",'Ordenes_Odoo'!P5)</f>
        <v/>
      </c>
      <c r="Q5" s="79">
        <f>IF(A5="","",IFERROR(INDEX(Facturas_Odoo!$B:$B, MATCH(A5, Facturas_Odoo!$D:$D, 0)), "Sin Factura"))</f>
        <v/>
      </c>
      <c r="R5" s="80">
        <f>IF(Q5="Sin Factura","",IFERROR(INDEX(Facturas_Odoo!$A:$A, MATCH(Q5, Facturas_Odoo!$B:$B, 0)), ""))</f>
        <v/>
      </c>
      <c r="S5" s="79">
        <f>IF(Q5="Sin Factura","",IFERROR(_xlfn.XLOOKUP(1, (Facturas_Odoo!$D:$D=A5) * (Facturas_Odoo!$K:$K=I5), Facturas_Odoo!$L:$L, ""), ""))</f>
        <v/>
      </c>
      <c r="T5" s="81">
        <f>IF(Q5="Sin Factura",0,IFERROR(_xlfn.XLOOKUP(1, (Facturas_Odoo!$D:$D=A5) * (Facturas_Odoo!$K:$K=I5), Facturas_Odoo!$M:$M, 0), 0))</f>
        <v/>
      </c>
      <c r="U5" s="79">
        <f>IF(Q5="Sin Factura",0,IFERROR(_xlfn.XLOOKUP(1, (Facturas_Odoo!$D:$D=A5) * (Facturas_Odoo!$K:$K=I5), Facturas_Odoo!$N:$N, 0), 0))</f>
        <v/>
      </c>
      <c r="V5" s="79">
        <f>IF(Q5="Sin Factura",0,IFERROR(_xlfn.XLOOKUP(1, (Facturas_Odoo!$D:$D=A5) * (Facturas_Odoo!$K:$K=I5), Facturas_Odoo!$O:$O, 0), 0))</f>
        <v/>
      </c>
      <c r="W5" s="81">
        <f>IF(Q5="Sin Factura",0,IFERROR(_xlfn.XLOOKUP(1, (Facturas_Odoo!$D:$D=A5) * (Facturas_Odoo!$K:$K=I5), Facturas_Odoo!$Q:$Q, 0), 0))</f>
        <v/>
      </c>
      <c r="X5" s="79">
        <f>IF(OR(Q5="Sin Factura",Q5=""),"",IFERROR(INDEX(Pagos_Odoo!$B:$B, MATCH(Q5, Pagos_Odoo!$I:$I, 0)), "Sin Pago"))</f>
        <v/>
      </c>
      <c r="Y5" s="79">
        <f>IF(X5="Sin Pago","",IFERROR(INDEX(Pagos_Odoo!$C:$C, MATCH(X5, Pagos_Odoo!$B:$B, 0)), ""))</f>
        <v/>
      </c>
      <c r="Z5" s="80">
        <f>IF(X5="Sin Pago","",IFERROR(INDEX(Pagos_Odoo!$A:$A, MATCH(X5, Pagos_Odoo!$B:$B, 0)), ""))</f>
        <v/>
      </c>
      <c r="AA5" s="79">
        <f>IF(X5="Sin Pago","",IFERROR(INDEX(Pagos_Odoo!$F:$F, MATCH(X5, Pagos_Odoo!$B:$B, 0)), ""))</f>
        <v/>
      </c>
      <c r="AB5" s="81">
        <f>IF(X5="Sin Pago",0,IFERROR(INDEX(Pagos_Odoo!$E:$E, MATCH(X5, Pagos_Odoo!$B:$B, 0)), 0))</f>
        <v/>
      </c>
      <c r="AC5" s="79">
        <f>IF(X5="Sin Pago","",IFERROR(INDEX(Pagos_Odoo!$G:$G, MATCH(X5, Pagos_Odoo!$B:$B, 0)), ""))</f>
        <v/>
      </c>
      <c r="AD5" s="82" t="n">
        <v>0</v>
      </c>
      <c r="AE5" s="82" t="n"/>
      <c r="AF5" s="82" t="n"/>
      <c r="AG5" s="82">
        <f>IF(AN5="","",AD5+AE5+AF5)</f>
        <v/>
      </c>
      <c r="AH5" s="81">
        <f>IF(AN5="","",P5*(1-AG5))</f>
        <v/>
      </c>
      <c r="AI5" s="81">
        <f>IF(AN5="","",IF(Q5="Sin Factura",0,IFERROR(INDEX(Facturas_Odoo!$H:$H, MATCH(Q5, Facturas_Odoo!$B:$B, 0)), 0)*(1-AG5)))</f>
        <v/>
      </c>
      <c r="AJ5" s="81">
        <f>IF(AN5="","",_xlfn.LET(idVenta, AN5&amp;"",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" s="81">
        <f>IF(AN5="","",AH5-AJ5)</f>
        <v/>
      </c>
      <c r="AL5" s="81">
        <f>IF(AN5="","",IF(Q5="Sin Factura","",AI5-AJ5))</f>
        <v/>
      </c>
      <c r="AM5" s="81">
        <f>IF(AN5="","",IF(Q5="Sin Factura",0,P5-IFERROR(INDEX(Facturas_Odoo!$H:$H, MATCH(Q5, Facturas_Odoo!$B:$B, 0)), 0)))</f>
        <v/>
      </c>
      <c r="AN5" s="79">
        <f>IF(AND(A5="", J5=""), "", IF(A5&lt;&gt;"", VALUE(MID(A5,2,LEN(A5))), AN4))</f>
        <v/>
      </c>
      <c r="AO5" s="79">
        <f>IF(AN5="","",IF(AD5=0,"OK",_xlfn.LET(monedaPago, IF(AA5="","USD",AA5), limitePermitido, IFERROR(VLOOKUP(monedaPago, Configuración!$A$2:$B$3, 2, FALSE), 0.15), IF(AD5&gt;limitePermitido, "ALERTA: EXCESO (" &amp; TEXT(limitePermitido, "0%") &amp; " máx)", "OK"))))</f>
        <v/>
      </c>
      <c r="AP5" s="79">
        <f>IF(AN5="","",IF(AE5=0,"OK",_xlfn.LET(fechaPago, Z5, fechaFactura, R5, diasCredito, IF(E5="Pago inmediato", 0, IFERROR(VALUE(MID(E5, 1, SEARCH(" ", E5)-1)),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" s="79">
        <f>IF(AN5="","",IF(AND(N5&gt;0, AG5&gt;0), IF(Configuración!$K$2="NO", "ALERTA: DESCUENTO DOBLE NO PERMITIDO", "OK"), "OK"))</f>
        <v/>
      </c>
      <c r="AR5" s="79">
        <f>IF(AN5="","",IF(OR(AO5&lt;&gt;"OK", AP5&lt;&gt;"OK", AQ5&lt;&gt;"OK"), "⚠️ REVISAR", "OK"))</f>
        <v/>
      </c>
    </row>
    <row r="6">
      <c r="A6" s="79">
        <f>IF('Ordenes_Odoo'!A6="","",'Ordenes_Odoo'!A6)</f>
        <v/>
      </c>
      <c r="B6" s="80">
        <f>IF('Ordenes_Odoo'!B6="","",'Ordenes_Odoo'!B6)</f>
        <v/>
      </c>
      <c r="C6" s="79">
        <f>IF('Ordenes_Odoo'!C6="","",'Ordenes_Odoo'!C6)</f>
        <v/>
      </c>
      <c r="D6" s="79">
        <f>IF('Ordenes_Odoo'!D6="","",'Ordenes_Odoo'!D6)</f>
        <v/>
      </c>
      <c r="E6" s="79">
        <f>IF('Ordenes_Odoo'!E6="","",'Ordenes_Odoo'!E6)</f>
        <v/>
      </c>
      <c r="F6" s="79">
        <f>IF('Ordenes_Odoo'!F6="","",'Ordenes_Odoo'!F6)</f>
        <v/>
      </c>
      <c r="G6" s="79">
        <f>IF('Ordenes_Odoo'!G6="","",'Ordenes_Odoo'!G6)</f>
        <v/>
      </c>
      <c r="H6" s="79">
        <f>IF('Ordenes_Odoo'!H6="","",'Ordenes_Odoo'!H6)</f>
        <v/>
      </c>
      <c r="I6" s="79">
        <f>IF('Ordenes_Odoo'!I6="","",'Ordenes_Odoo'!I6)</f>
        <v/>
      </c>
      <c r="J6" s="79">
        <f>IF('Ordenes_Odoo'!J6="","",'Ordenes_Odoo'!J6)</f>
        <v/>
      </c>
      <c r="K6" s="81">
        <f>IF('Ordenes_Odoo'!K6="","",'Ordenes_Odoo'!K6)</f>
        <v/>
      </c>
      <c r="L6" s="81">
        <f>IF('Ordenes_Odoo'!L6="","",'Ordenes_Odoo'!L6)</f>
        <v/>
      </c>
      <c r="M6" s="79">
        <f>IF('Ordenes_Odoo'!M6="","",'Ordenes_Odoo'!M6)</f>
        <v/>
      </c>
      <c r="N6" s="79">
        <f>IF('Ordenes_Odoo'!N6="","",'Ordenes_Odoo'!N6)</f>
        <v/>
      </c>
      <c r="O6" s="81">
        <f>IF('Ordenes_Odoo'!O6="","",'Ordenes_Odoo'!O6)</f>
        <v/>
      </c>
      <c r="P6" s="81">
        <f>IF('Ordenes_Odoo'!P6="","",'Ordenes_Odoo'!P6)</f>
        <v/>
      </c>
      <c r="Q6" s="79">
        <f>IF(A6="","",IFERROR(INDEX(Facturas_Odoo!$B:$B, MATCH(A6, Facturas_Odoo!$D:$D, 0)), "Sin Factura"))</f>
        <v/>
      </c>
      <c r="R6" s="80">
        <f>IF(Q6="Sin Factura","",IFERROR(INDEX(Facturas_Odoo!$A:$A, MATCH(Q6, Facturas_Odoo!$B:$B, 0)), ""))</f>
        <v/>
      </c>
      <c r="S6" s="79">
        <f>IF(Q6="Sin Factura","",IFERROR(_xlfn.XLOOKUP(1, (Facturas_Odoo!$D:$D=A6) * (Facturas_Odoo!$K:$K=I6), Facturas_Odoo!$L:$L, ""), ""))</f>
        <v/>
      </c>
      <c r="T6" s="81">
        <f>IF(Q6="Sin Factura",0,IFERROR(_xlfn.XLOOKUP(1, (Facturas_Odoo!$D:$D=A6) * (Facturas_Odoo!$K:$K=I6), Facturas_Odoo!$M:$M, 0), 0))</f>
        <v/>
      </c>
      <c r="U6" s="79">
        <f>IF(Q6="Sin Factura",0,IFERROR(_xlfn.XLOOKUP(1, (Facturas_Odoo!$D:$D=A6) * (Facturas_Odoo!$K:$K=I6), Facturas_Odoo!$N:$N, 0), 0))</f>
        <v/>
      </c>
      <c r="V6" s="79">
        <f>IF(Q6="Sin Factura",0,IFERROR(_xlfn.XLOOKUP(1, (Facturas_Odoo!$D:$D=A6) * (Facturas_Odoo!$K:$K=I6), Facturas_Odoo!$O:$O, 0), 0))</f>
        <v/>
      </c>
      <c r="W6" s="81">
        <f>IF(Q6="Sin Factura",0,IFERROR(_xlfn.XLOOKUP(1, (Facturas_Odoo!$D:$D=A6) * (Facturas_Odoo!$K:$K=I6), Facturas_Odoo!$Q:$Q, 0), 0))</f>
        <v/>
      </c>
      <c r="X6" s="79">
        <f>IF(OR(Q6="Sin Factura",Q6=""),"",IFERROR(INDEX(Pagos_Odoo!$B:$B, MATCH(Q6, Pagos_Odoo!$I:$I, 0)), "Sin Pago"))</f>
        <v/>
      </c>
      <c r="Y6" s="79">
        <f>IF(X6="Sin Pago","",IFERROR(INDEX(Pagos_Odoo!$C:$C, MATCH(X6, Pagos_Odoo!$B:$B, 0)), ""))</f>
        <v/>
      </c>
      <c r="Z6" s="80">
        <f>IF(X6="Sin Pago","",IFERROR(INDEX(Pagos_Odoo!$A:$A, MATCH(X6, Pagos_Odoo!$B:$B, 0)), ""))</f>
        <v/>
      </c>
      <c r="AA6" s="79">
        <f>IF(X6="Sin Pago","",IFERROR(INDEX(Pagos_Odoo!$F:$F, MATCH(X6, Pagos_Odoo!$B:$B, 0)), ""))</f>
        <v/>
      </c>
      <c r="AB6" s="81">
        <f>IF(X6="Sin Pago",0,IFERROR(INDEX(Pagos_Odoo!$E:$E, MATCH(X6, Pagos_Odoo!$B:$B, 0)), 0))</f>
        <v/>
      </c>
      <c r="AC6" s="79">
        <f>IF(X6="Sin Pago","",IFERROR(INDEX(Pagos_Odoo!$G:$G, MATCH(X6, Pagos_Odoo!$B:$B, 0)), ""))</f>
        <v/>
      </c>
      <c r="AD6" s="82" t="n">
        <v>0</v>
      </c>
      <c r="AE6" s="82" t="n"/>
      <c r="AF6" s="82" t="n"/>
      <c r="AG6" s="82">
        <f>IF(AN6="","",AD6+AE6+AF6)</f>
        <v/>
      </c>
      <c r="AH6" s="81">
        <f>IF(AN6="","",P6*(1-AG6))</f>
        <v/>
      </c>
      <c r="AI6" s="81">
        <f>IF(AN6="","",IF(Q6="Sin Factura",0,IFERROR(INDEX(Facturas_Odoo!$H:$H, MATCH(Q6, Facturas_Odoo!$B:$B, 0)), 0)*(1-AG6)))</f>
        <v/>
      </c>
      <c r="AJ6" s="81">
        <f>IF(AN6="","",_xlfn.LET(idVenta, AN6&amp;"",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" s="81">
        <f>IF(AN6="","",AH6-AJ6)</f>
        <v/>
      </c>
      <c r="AL6" s="81">
        <f>IF(AN6="","",IF(Q6="Sin Factura","",AI6-AJ6))</f>
        <v/>
      </c>
      <c r="AM6" s="81">
        <f>IF(AN6="","",IF(Q6="Sin Factura",0,P6-IFERROR(INDEX(Facturas_Odoo!$H:$H, MATCH(Q6, Facturas_Odoo!$B:$B, 0)), 0)))</f>
        <v/>
      </c>
      <c r="AN6" s="79">
        <f>IF(AND(A6="", J6=""), "", IF(A6&lt;&gt;"", VALUE(MID(A6,2,LEN(A6))), AN5))</f>
        <v/>
      </c>
      <c r="AO6" s="79">
        <f>IF(AN6="","",IF(AD6=0,"OK",_xlfn.LET(monedaPago, IF(AA6="","USD",AA6), limitePermitido, IFERROR(VLOOKUP(monedaPago, Configuración!$A$2:$B$3, 2, FALSE), 0.15), IF(AD6&gt;limitePermitido, "ALERTA: EXCESO (" &amp; TEXT(limitePermitido, "0%") &amp; " máx)", "OK"))))</f>
        <v/>
      </c>
      <c r="AP6" s="79">
        <f>IF(AN6="","",IF(AE6=0,"OK",_xlfn.LET(fechaPago, Z6, fechaFactura, R6, diasCredito, IF(E6="Pago inmediato", 0, IFERROR(VALUE(MID(E6, 1, SEARCH(" ", E6)-1)),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" s="79">
        <f>IF(AN6="","",IF(AND(N6&gt;0, AG6&gt;0), IF(Configuración!$K$2="NO", "ALERTA: DESCUENTO DOBLE NO PERMITIDO", "OK"), "OK"))</f>
        <v/>
      </c>
      <c r="AR6" s="79">
        <f>IF(AN6="","",IF(OR(AO6&lt;&gt;"OK", AP6&lt;&gt;"OK", AQ6&lt;&gt;"OK"), "⚠️ REVISAR", "OK"))</f>
        <v/>
      </c>
    </row>
    <row r="7">
      <c r="A7" s="79">
        <f>IF('Ordenes_Odoo'!A7="","",'Ordenes_Odoo'!A7)</f>
        <v/>
      </c>
      <c r="B7" s="80">
        <f>IF('Ordenes_Odoo'!B7="","",'Ordenes_Odoo'!B7)</f>
        <v/>
      </c>
      <c r="C7" s="79">
        <f>IF('Ordenes_Odoo'!C7="","",'Ordenes_Odoo'!C7)</f>
        <v/>
      </c>
      <c r="D7" s="79">
        <f>IF('Ordenes_Odoo'!D7="","",'Ordenes_Odoo'!D7)</f>
        <v/>
      </c>
      <c r="E7" s="79">
        <f>IF('Ordenes_Odoo'!E7="","",'Ordenes_Odoo'!E7)</f>
        <v/>
      </c>
      <c r="F7" s="79">
        <f>IF('Ordenes_Odoo'!F7="","",'Ordenes_Odoo'!F7)</f>
        <v/>
      </c>
      <c r="G7" s="79">
        <f>IF('Ordenes_Odoo'!G7="","",'Ordenes_Odoo'!G7)</f>
        <v/>
      </c>
      <c r="H7" s="79">
        <f>IF('Ordenes_Odoo'!H7="","",'Ordenes_Odoo'!H7)</f>
        <v/>
      </c>
      <c r="I7" s="79">
        <f>IF('Ordenes_Odoo'!I7="","",'Ordenes_Odoo'!I7)</f>
        <v/>
      </c>
      <c r="J7" s="79">
        <f>IF('Ordenes_Odoo'!J7="","",'Ordenes_Odoo'!J7)</f>
        <v/>
      </c>
      <c r="K7" s="81">
        <f>IF('Ordenes_Odoo'!K7="","",'Ordenes_Odoo'!K7)</f>
        <v/>
      </c>
      <c r="L7" s="81">
        <f>IF('Ordenes_Odoo'!L7="","",'Ordenes_Odoo'!L7)</f>
        <v/>
      </c>
      <c r="M7" s="79">
        <f>IF('Ordenes_Odoo'!M7="","",'Ordenes_Odoo'!M7)</f>
        <v/>
      </c>
      <c r="N7" s="79">
        <f>IF('Ordenes_Odoo'!N7="","",'Ordenes_Odoo'!N7)</f>
        <v/>
      </c>
      <c r="O7" s="81">
        <f>IF('Ordenes_Odoo'!O7="","",'Ordenes_Odoo'!O7)</f>
        <v/>
      </c>
      <c r="P7" s="81">
        <f>IF('Ordenes_Odoo'!P7="","",'Ordenes_Odoo'!P7)</f>
        <v/>
      </c>
      <c r="Q7" s="79">
        <f>IF(A7="","",IFERROR(INDEX(Facturas_Odoo!$B:$B, MATCH(A7, Facturas_Odoo!$D:$D, 0)), "Sin Factura"))</f>
        <v/>
      </c>
      <c r="R7" s="80">
        <f>IF(Q7="Sin Factura","",IFERROR(INDEX(Facturas_Odoo!$A:$A, MATCH(Q7, Facturas_Odoo!$B:$B, 0)), ""))</f>
        <v/>
      </c>
      <c r="S7" s="79">
        <f>IF(Q7="Sin Factura","",IFERROR(_xlfn.XLOOKUP(1, (Facturas_Odoo!$D:$D=A7) * (Facturas_Odoo!$K:$K=I7), Facturas_Odoo!$L:$L, ""), ""))</f>
        <v/>
      </c>
      <c r="T7" s="81">
        <f>IF(Q7="Sin Factura",0,IFERROR(_xlfn.XLOOKUP(1, (Facturas_Odoo!$D:$D=A7) * (Facturas_Odoo!$K:$K=I7), Facturas_Odoo!$M:$M, 0), 0))</f>
        <v/>
      </c>
      <c r="U7" s="79">
        <f>IF(Q7="Sin Factura",0,IFERROR(_xlfn.XLOOKUP(1, (Facturas_Odoo!$D:$D=A7) * (Facturas_Odoo!$K:$K=I7), Facturas_Odoo!$N:$N, 0), 0))</f>
        <v/>
      </c>
      <c r="V7" s="79">
        <f>IF(Q7="Sin Factura",0,IFERROR(_xlfn.XLOOKUP(1, (Facturas_Odoo!$D:$D=A7) * (Facturas_Odoo!$K:$K=I7), Facturas_Odoo!$O:$O, 0), 0))</f>
        <v/>
      </c>
      <c r="W7" s="81">
        <f>IF(Q7="Sin Factura",0,IFERROR(_xlfn.XLOOKUP(1, (Facturas_Odoo!$D:$D=A7) * (Facturas_Odoo!$K:$K=I7), Facturas_Odoo!$Q:$Q, 0), 0))</f>
        <v/>
      </c>
      <c r="X7" s="79">
        <f>IF(OR(Q7="Sin Factura",Q7=""),"",IFERROR(INDEX(Pagos_Odoo!$B:$B, MATCH(Q7, Pagos_Odoo!$I:$I, 0)), "Sin Pago"))</f>
        <v/>
      </c>
      <c r="Y7" s="79">
        <f>IF(X7="Sin Pago","",IFERROR(INDEX(Pagos_Odoo!$C:$C, MATCH(X7, Pagos_Odoo!$B:$B, 0)), ""))</f>
        <v/>
      </c>
      <c r="Z7" s="80">
        <f>IF(X7="Sin Pago","",IFERROR(INDEX(Pagos_Odoo!$A:$A, MATCH(X7, Pagos_Odoo!$B:$B, 0)), ""))</f>
        <v/>
      </c>
      <c r="AA7" s="79">
        <f>IF(X7="Sin Pago","",IFERROR(INDEX(Pagos_Odoo!$F:$F, MATCH(X7, Pagos_Odoo!$B:$B, 0)), ""))</f>
        <v/>
      </c>
      <c r="AB7" s="81">
        <f>IF(X7="Sin Pago",0,IFERROR(INDEX(Pagos_Odoo!$E:$E, MATCH(X7, Pagos_Odoo!$B:$B, 0)), 0))</f>
        <v/>
      </c>
      <c r="AC7" s="79">
        <f>IF(X7="Sin Pago","",IFERROR(INDEX(Pagos_Odoo!$G:$G, MATCH(X7, Pagos_Odoo!$B:$B, 0)), ""))</f>
        <v/>
      </c>
      <c r="AD7" s="82" t="n">
        <v>0</v>
      </c>
      <c r="AE7" s="82" t="n"/>
      <c r="AF7" s="82" t="n"/>
      <c r="AG7" s="82">
        <f>IF(AN7="","",AD7+AE7+AF7)</f>
        <v/>
      </c>
      <c r="AH7" s="81">
        <f>IF(AN7="","",P7*(1-AG7))</f>
        <v/>
      </c>
      <c r="AI7" s="81">
        <f>IF(AN7="","",IF(Q7="Sin Factura",0,IFERROR(INDEX(Facturas_Odoo!$H:$H, MATCH(Q7, Facturas_Odoo!$B:$B, 0)), 0)*(1-AG7)))</f>
        <v/>
      </c>
      <c r="AJ7" s="81">
        <f>IF(AN7="","",_xlfn.LET(idVenta, AN7&amp;"",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" s="81">
        <f>IF(AN7="","",AH7-AJ7)</f>
        <v/>
      </c>
      <c r="AL7" s="81">
        <f>IF(AN7="","",IF(Q7="Sin Factura","",AI7-AJ7))</f>
        <v/>
      </c>
      <c r="AM7" s="81">
        <f>IF(AN7="","",IF(Q7="Sin Factura",0,P7-IFERROR(INDEX(Facturas_Odoo!$H:$H, MATCH(Q7, Facturas_Odoo!$B:$B, 0)), 0)))</f>
        <v/>
      </c>
      <c r="AN7" s="79">
        <f>IF(AND(A7="", J7=""), "", IF(A7&lt;&gt;"", VALUE(MID(A7,2,LEN(A7))), AN6))</f>
        <v/>
      </c>
      <c r="AO7" s="79">
        <f>IF(AN7="","",IF(AD7=0,"OK",_xlfn.LET(monedaPago, IF(AA7="","USD",AA7), limitePermitido, IFERROR(VLOOKUP(monedaPago, Configuración!$A$2:$B$3, 2, FALSE), 0.15), IF(AD7&gt;limitePermitido, "ALERTA: EXCESO (" &amp; TEXT(limitePermitido, "0%") &amp; " máx)", "OK"))))</f>
        <v/>
      </c>
      <c r="AP7" s="79">
        <f>IF(AN7="","",IF(AE7=0,"OK",_xlfn.LET(fechaPago, Z7, fechaFactura, R7, diasCredito, IF(E7="Pago inmediato", 0, IFERROR(VALUE(MID(E7, 1, SEARCH(" ", E7)-1)),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" s="79">
        <f>IF(AN7="","",IF(AND(N7&gt;0, AG7&gt;0), IF(Configuración!$K$2="NO", "ALERTA: DESCUENTO DOBLE NO PERMITIDO", "OK"), "OK"))</f>
        <v/>
      </c>
      <c r="AR7" s="79">
        <f>IF(AN7="","",IF(OR(AO7&lt;&gt;"OK", AP7&lt;&gt;"OK", AQ7&lt;&gt;"OK"), "⚠️ REVISAR", "OK"))</f>
        <v/>
      </c>
    </row>
    <row r="8">
      <c r="A8" s="79">
        <f>IF('Ordenes_Odoo'!A8="","",'Ordenes_Odoo'!A8)</f>
        <v/>
      </c>
      <c r="B8" s="80">
        <f>IF('Ordenes_Odoo'!B8="","",'Ordenes_Odoo'!B8)</f>
        <v/>
      </c>
      <c r="C8" s="79">
        <f>IF('Ordenes_Odoo'!C8="","",'Ordenes_Odoo'!C8)</f>
        <v/>
      </c>
      <c r="D8" s="79">
        <f>IF('Ordenes_Odoo'!D8="","",'Ordenes_Odoo'!D8)</f>
        <v/>
      </c>
      <c r="E8" s="79">
        <f>IF('Ordenes_Odoo'!E8="","",'Ordenes_Odoo'!E8)</f>
        <v/>
      </c>
      <c r="F8" s="79">
        <f>IF('Ordenes_Odoo'!F8="","",'Ordenes_Odoo'!F8)</f>
        <v/>
      </c>
      <c r="G8" s="79">
        <f>IF('Ordenes_Odoo'!G8="","",'Ordenes_Odoo'!G8)</f>
        <v/>
      </c>
      <c r="H8" s="79">
        <f>IF('Ordenes_Odoo'!H8="","",'Ordenes_Odoo'!H8)</f>
        <v/>
      </c>
      <c r="I8" s="79">
        <f>IF('Ordenes_Odoo'!I8="","",'Ordenes_Odoo'!I8)</f>
        <v/>
      </c>
      <c r="J8" s="79">
        <f>IF('Ordenes_Odoo'!J8="","",'Ordenes_Odoo'!J8)</f>
        <v/>
      </c>
      <c r="K8" s="81">
        <f>IF('Ordenes_Odoo'!K8="","",'Ordenes_Odoo'!K8)</f>
        <v/>
      </c>
      <c r="L8" s="81">
        <f>IF('Ordenes_Odoo'!L8="","",'Ordenes_Odoo'!L8)</f>
        <v/>
      </c>
      <c r="M8" s="79">
        <f>IF('Ordenes_Odoo'!M8="","",'Ordenes_Odoo'!M8)</f>
        <v/>
      </c>
      <c r="N8" s="79">
        <f>IF('Ordenes_Odoo'!N8="","",'Ordenes_Odoo'!N8)</f>
        <v/>
      </c>
      <c r="O8" s="81">
        <f>IF('Ordenes_Odoo'!O8="","",'Ordenes_Odoo'!O8)</f>
        <v/>
      </c>
      <c r="P8" s="81">
        <f>IF('Ordenes_Odoo'!P8="","",'Ordenes_Odoo'!P8)</f>
        <v/>
      </c>
      <c r="Q8" s="79">
        <f>IF(A8="","",IFERROR(INDEX(Facturas_Odoo!$B:$B, MATCH(A8, Facturas_Odoo!$D:$D, 0)), "Sin Factura"))</f>
        <v/>
      </c>
      <c r="R8" s="80">
        <f>IF(Q8="Sin Factura","",IFERROR(INDEX(Facturas_Odoo!$A:$A, MATCH(Q8, Facturas_Odoo!$B:$B, 0)), ""))</f>
        <v/>
      </c>
      <c r="S8" s="79">
        <f>IF(Q8="Sin Factura","",IFERROR(_xlfn.XLOOKUP(1, (Facturas_Odoo!$D:$D=A8) * (Facturas_Odoo!$K:$K=I8), Facturas_Odoo!$L:$L, ""), ""))</f>
        <v/>
      </c>
      <c r="T8" s="81">
        <f>IF(Q8="Sin Factura",0,IFERROR(_xlfn.XLOOKUP(1, (Facturas_Odoo!$D:$D=A8) * (Facturas_Odoo!$K:$K=I8), Facturas_Odoo!$M:$M, 0), 0))</f>
        <v/>
      </c>
      <c r="U8" s="79">
        <f>IF(Q8="Sin Factura",0,IFERROR(_xlfn.XLOOKUP(1, (Facturas_Odoo!$D:$D=A8) * (Facturas_Odoo!$K:$K=I8), Facturas_Odoo!$N:$N, 0), 0))</f>
        <v/>
      </c>
      <c r="V8" s="79">
        <f>IF(Q8="Sin Factura",0,IFERROR(_xlfn.XLOOKUP(1, (Facturas_Odoo!$D:$D=A8) * (Facturas_Odoo!$K:$K=I8), Facturas_Odoo!$O:$O, 0), 0))</f>
        <v/>
      </c>
      <c r="W8" s="81">
        <f>IF(Q8="Sin Factura",0,IFERROR(_xlfn.XLOOKUP(1, (Facturas_Odoo!$D:$D=A8) * (Facturas_Odoo!$K:$K=I8), Facturas_Odoo!$Q:$Q, 0), 0))</f>
        <v/>
      </c>
      <c r="X8" s="79">
        <f>IF(OR(Q8="Sin Factura",Q8=""),"",IFERROR(INDEX(Pagos_Odoo!$B:$B, MATCH(Q8, Pagos_Odoo!$I:$I, 0)), "Sin Pago"))</f>
        <v/>
      </c>
      <c r="Y8" s="79">
        <f>IF(X8="Sin Pago","",IFERROR(INDEX(Pagos_Odoo!$C:$C, MATCH(X8, Pagos_Odoo!$B:$B, 0)), ""))</f>
        <v/>
      </c>
      <c r="Z8" s="80">
        <f>IF(X8="Sin Pago","",IFERROR(INDEX(Pagos_Odoo!$A:$A, MATCH(X8, Pagos_Odoo!$B:$B, 0)), ""))</f>
        <v/>
      </c>
      <c r="AA8" s="79">
        <f>IF(X8="Sin Pago","",IFERROR(INDEX(Pagos_Odoo!$F:$F, MATCH(X8, Pagos_Odoo!$B:$B, 0)), ""))</f>
        <v/>
      </c>
      <c r="AB8" s="81">
        <f>IF(X8="Sin Pago",0,IFERROR(INDEX(Pagos_Odoo!$E:$E, MATCH(X8, Pagos_Odoo!$B:$B, 0)), 0))</f>
        <v/>
      </c>
      <c r="AC8" s="79">
        <f>IF(X8="Sin Pago","",IFERROR(INDEX(Pagos_Odoo!$G:$G, MATCH(X8, Pagos_Odoo!$B:$B, 0)), ""))</f>
        <v/>
      </c>
      <c r="AD8" s="82" t="n">
        <v>0</v>
      </c>
      <c r="AE8" s="82" t="n"/>
      <c r="AF8" s="82" t="n"/>
      <c r="AG8" s="82">
        <f>IF(AN8="","",AD8+AE8+AF8)</f>
        <v/>
      </c>
      <c r="AH8" s="81">
        <f>IF(AN8="","",P8*(1-AG8))</f>
        <v/>
      </c>
      <c r="AI8" s="81">
        <f>IF(AN8="","",IF(Q8="Sin Factura",0,IFERROR(INDEX(Facturas_Odoo!$H:$H, MATCH(Q8, Facturas_Odoo!$B:$B, 0)), 0)*(1-AG8)))</f>
        <v/>
      </c>
      <c r="AJ8" s="81">
        <f>IF(AN8="","",_xlfn.LET(idVenta, AN8&amp;"",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" s="81">
        <f>IF(AN8="","",AH8-AJ8)</f>
        <v/>
      </c>
      <c r="AL8" s="81">
        <f>IF(AN8="","",IF(Q8="Sin Factura","",AI8-AJ8))</f>
        <v/>
      </c>
      <c r="AM8" s="81">
        <f>IF(AN8="","",IF(Q8="Sin Factura",0,P8-IFERROR(INDEX(Facturas_Odoo!$H:$H, MATCH(Q8, Facturas_Odoo!$B:$B, 0)), 0)))</f>
        <v/>
      </c>
      <c r="AN8" s="79">
        <f>IF(AND(A8="", J8=""), "", IF(A8&lt;&gt;"", VALUE(MID(A8,2,LEN(A8))), AN7))</f>
        <v/>
      </c>
      <c r="AO8" s="79">
        <f>IF(AN8="","",IF(AD8=0,"OK",_xlfn.LET(monedaPago, IF(AA8="","USD",AA8), limitePermitido, IFERROR(VLOOKUP(monedaPago, Configuración!$A$2:$B$3, 2, FALSE), 0.15), IF(AD8&gt;limitePermitido, "ALERTA: EXCESO (" &amp; TEXT(limitePermitido, "0%") &amp; " máx)", "OK"))))</f>
        <v/>
      </c>
      <c r="AP8" s="79">
        <f>IF(AN8="","",IF(AE8=0,"OK",_xlfn.LET(fechaPago, Z8, fechaFactura, R8, diasCredito, IF(E8="Pago inmediato", 0, IFERROR(VALUE(MID(E8, 1, SEARCH(" ", E8)-1)),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" s="79">
        <f>IF(AN8="","",IF(AND(N8&gt;0, AG8&gt;0), IF(Configuración!$K$2="NO", "ALERTA: DESCUENTO DOBLE NO PERMITIDO", "OK"), "OK"))</f>
        <v/>
      </c>
      <c r="AR8" s="79">
        <f>IF(AN8="","",IF(OR(AO8&lt;&gt;"OK", AP8&lt;&gt;"OK", AQ8&lt;&gt;"OK"), "⚠️ REVISAR", "OK"))</f>
        <v/>
      </c>
    </row>
    <row r="9">
      <c r="A9" s="79">
        <f>IF('Ordenes_Odoo'!A9="","",'Ordenes_Odoo'!A9)</f>
        <v/>
      </c>
      <c r="B9" s="80">
        <f>IF('Ordenes_Odoo'!B9="","",'Ordenes_Odoo'!B9)</f>
        <v/>
      </c>
      <c r="C9" s="79">
        <f>IF('Ordenes_Odoo'!C9="","",'Ordenes_Odoo'!C9)</f>
        <v/>
      </c>
      <c r="D9" s="79">
        <f>IF('Ordenes_Odoo'!D9="","",'Ordenes_Odoo'!D9)</f>
        <v/>
      </c>
      <c r="E9" s="79">
        <f>IF('Ordenes_Odoo'!E9="","",'Ordenes_Odoo'!E9)</f>
        <v/>
      </c>
      <c r="F9" s="79">
        <f>IF('Ordenes_Odoo'!F9="","",'Ordenes_Odoo'!F9)</f>
        <v/>
      </c>
      <c r="G9" s="79">
        <f>IF('Ordenes_Odoo'!G9="","",'Ordenes_Odoo'!G9)</f>
        <v/>
      </c>
      <c r="H9" s="79">
        <f>IF('Ordenes_Odoo'!H9="","",'Ordenes_Odoo'!H9)</f>
        <v/>
      </c>
      <c r="I9" s="79">
        <f>IF('Ordenes_Odoo'!I9="","",'Ordenes_Odoo'!I9)</f>
        <v/>
      </c>
      <c r="J9" s="79">
        <f>IF('Ordenes_Odoo'!J9="","",'Ordenes_Odoo'!J9)</f>
        <v/>
      </c>
      <c r="K9" s="81">
        <f>IF('Ordenes_Odoo'!K9="","",'Ordenes_Odoo'!K9)</f>
        <v/>
      </c>
      <c r="L9" s="81">
        <f>IF('Ordenes_Odoo'!L9="","",'Ordenes_Odoo'!L9)</f>
        <v/>
      </c>
      <c r="M9" s="79">
        <f>IF('Ordenes_Odoo'!M9="","",'Ordenes_Odoo'!M9)</f>
        <v/>
      </c>
      <c r="N9" s="79">
        <f>IF('Ordenes_Odoo'!N9="","",'Ordenes_Odoo'!N9)</f>
        <v/>
      </c>
      <c r="O9" s="81">
        <f>IF('Ordenes_Odoo'!O9="","",'Ordenes_Odoo'!O9)</f>
        <v/>
      </c>
      <c r="P9" s="81">
        <f>IF('Ordenes_Odoo'!P9="","",'Ordenes_Odoo'!P9)</f>
        <v/>
      </c>
      <c r="Q9" s="79">
        <f>IF(A9="","",IFERROR(INDEX(Facturas_Odoo!$B:$B, MATCH(A9, Facturas_Odoo!$D:$D, 0)), "Sin Factura"))</f>
        <v/>
      </c>
      <c r="R9" s="80">
        <f>IF(Q9="Sin Factura","",IFERROR(INDEX(Facturas_Odoo!$A:$A, MATCH(Q9, Facturas_Odoo!$B:$B, 0)), ""))</f>
        <v/>
      </c>
      <c r="S9" s="79">
        <f>IF(Q9="Sin Factura","",IFERROR(_xlfn.XLOOKUP(1, (Facturas_Odoo!$D:$D=A9) * (Facturas_Odoo!$K:$K=I9), Facturas_Odoo!$L:$L, ""), ""))</f>
        <v/>
      </c>
      <c r="T9" s="81">
        <f>IF(Q9="Sin Factura",0,IFERROR(_xlfn.XLOOKUP(1, (Facturas_Odoo!$D:$D=A9) * (Facturas_Odoo!$K:$K=I9), Facturas_Odoo!$M:$M, 0), 0))</f>
        <v/>
      </c>
      <c r="U9" s="79">
        <f>IF(Q9="Sin Factura",0,IFERROR(_xlfn.XLOOKUP(1, (Facturas_Odoo!$D:$D=A9) * (Facturas_Odoo!$K:$K=I9), Facturas_Odoo!$N:$N, 0), 0))</f>
        <v/>
      </c>
      <c r="V9" s="79">
        <f>IF(Q9="Sin Factura",0,IFERROR(_xlfn.XLOOKUP(1, (Facturas_Odoo!$D:$D=A9) * (Facturas_Odoo!$K:$K=I9), Facturas_Odoo!$O:$O, 0), 0))</f>
        <v/>
      </c>
      <c r="W9" s="81">
        <f>IF(Q9="Sin Factura",0,IFERROR(_xlfn.XLOOKUP(1, (Facturas_Odoo!$D:$D=A9) * (Facturas_Odoo!$K:$K=I9), Facturas_Odoo!$Q:$Q, 0), 0))</f>
        <v/>
      </c>
      <c r="X9" s="79">
        <f>IF(OR(Q9="Sin Factura",Q9=""),"",IFERROR(INDEX(Pagos_Odoo!$B:$B, MATCH(Q9, Pagos_Odoo!$I:$I, 0)), "Sin Pago"))</f>
        <v/>
      </c>
      <c r="Y9" s="79">
        <f>IF(X9="Sin Pago","",IFERROR(INDEX(Pagos_Odoo!$C:$C, MATCH(X9, Pagos_Odoo!$B:$B, 0)), ""))</f>
        <v/>
      </c>
      <c r="Z9" s="80">
        <f>IF(X9="Sin Pago","",IFERROR(INDEX(Pagos_Odoo!$A:$A, MATCH(X9, Pagos_Odoo!$B:$B, 0)), ""))</f>
        <v/>
      </c>
      <c r="AA9" s="79">
        <f>IF(X9="Sin Pago","",IFERROR(INDEX(Pagos_Odoo!$F:$F, MATCH(X9, Pagos_Odoo!$B:$B, 0)), ""))</f>
        <v/>
      </c>
      <c r="AB9" s="81">
        <f>IF(X9="Sin Pago",0,IFERROR(INDEX(Pagos_Odoo!$E:$E, MATCH(X9, Pagos_Odoo!$B:$B, 0)), 0))</f>
        <v/>
      </c>
      <c r="AC9" s="79">
        <f>IF(X9="Sin Pago","",IFERROR(INDEX(Pagos_Odoo!$G:$G, MATCH(X9, Pagos_Odoo!$B:$B, 0)), ""))</f>
        <v/>
      </c>
      <c r="AD9" s="82" t="n">
        <v>0</v>
      </c>
      <c r="AE9" s="82" t="n"/>
      <c r="AF9" s="82" t="n"/>
      <c r="AG9" s="82">
        <f>IF(AN9="","",AD9+AE9+AF9)</f>
        <v/>
      </c>
      <c r="AH9" s="81">
        <f>IF(AN9="","",P9*(1-AG9))</f>
        <v/>
      </c>
      <c r="AI9" s="81">
        <f>IF(AN9="","",IF(Q9="Sin Factura",0,IFERROR(INDEX(Facturas_Odoo!$H:$H, MATCH(Q9, Facturas_Odoo!$B:$B, 0)), 0)*(1-AG9)))</f>
        <v/>
      </c>
      <c r="AJ9" s="81">
        <f>IF(AN9="","",_xlfn.LET(idVenta, AN9&amp;"",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" s="81">
        <f>IF(AN9="","",AH9-AJ9)</f>
        <v/>
      </c>
      <c r="AL9" s="81">
        <f>IF(AN9="","",IF(Q9="Sin Factura","",AI9-AJ9))</f>
        <v/>
      </c>
      <c r="AM9" s="81">
        <f>IF(AN9="","",IF(Q9="Sin Factura",0,P9-IFERROR(INDEX(Facturas_Odoo!$H:$H, MATCH(Q9, Facturas_Odoo!$B:$B, 0)), 0)))</f>
        <v/>
      </c>
      <c r="AN9" s="79">
        <f>IF(AND(A9="", J9=""), "", IF(A9&lt;&gt;"", VALUE(MID(A9,2,LEN(A9))), AN8))</f>
        <v/>
      </c>
      <c r="AO9" s="79">
        <f>IF(AN9="","",IF(AD9=0,"OK",_xlfn.LET(monedaPago, IF(AA9="","USD",AA9), limitePermitido, IFERROR(VLOOKUP(monedaPago, Configuración!$A$2:$B$3, 2, FALSE), 0.15), IF(AD9&gt;limitePermitido, "ALERTA: EXCESO (" &amp; TEXT(limitePermitido, "0%") &amp; " máx)", "OK"))))</f>
        <v/>
      </c>
      <c r="AP9" s="79">
        <f>IF(AN9="","",IF(AE9=0,"OK",_xlfn.LET(fechaPago, Z9, fechaFactura, R9, diasCredito, IF(E9="Pago inmediato", 0, IFERROR(VALUE(MID(E9, 1, SEARCH(" ", E9)-1)),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" s="79">
        <f>IF(AN9="","",IF(AND(N9&gt;0, AG9&gt;0), IF(Configuración!$K$2="NO", "ALERTA: DESCUENTO DOBLE NO PERMITIDO", "OK"), "OK"))</f>
        <v/>
      </c>
      <c r="AR9" s="79">
        <f>IF(AN9="","",IF(OR(AO9&lt;&gt;"OK", AP9&lt;&gt;"OK", AQ9&lt;&gt;"OK"), "⚠️ REVISAR", "OK"))</f>
        <v/>
      </c>
    </row>
    <row r="10">
      <c r="A10" s="79">
        <f>IF('Ordenes_Odoo'!A10="","",'Ordenes_Odoo'!A10)</f>
        <v/>
      </c>
      <c r="B10" s="80">
        <f>IF('Ordenes_Odoo'!B10="","",'Ordenes_Odoo'!B10)</f>
        <v/>
      </c>
      <c r="C10" s="79">
        <f>IF('Ordenes_Odoo'!C10="","",'Ordenes_Odoo'!C10)</f>
        <v/>
      </c>
      <c r="D10" s="79">
        <f>IF('Ordenes_Odoo'!D10="","",'Ordenes_Odoo'!D10)</f>
        <v/>
      </c>
      <c r="E10" s="79">
        <f>IF('Ordenes_Odoo'!E10="","",'Ordenes_Odoo'!E10)</f>
        <v/>
      </c>
      <c r="F10" s="79">
        <f>IF('Ordenes_Odoo'!F10="","",'Ordenes_Odoo'!F10)</f>
        <v/>
      </c>
      <c r="G10" s="79">
        <f>IF('Ordenes_Odoo'!G10="","",'Ordenes_Odoo'!G10)</f>
        <v/>
      </c>
      <c r="H10" s="79">
        <f>IF('Ordenes_Odoo'!H10="","",'Ordenes_Odoo'!H10)</f>
        <v/>
      </c>
      <c r="I10" s="79">
        <f>IF('Ordenes_Odoo'!I10="","",'Ordenes_Odoo'!I10)</f>
        <v/>
      </c>
      <c r="J10" s="79">
        <f>IF('Ordenes_Odoo'!J10="","",'Ordenes_Odoo'!J10)</f>
        <v/>
      </c>
      <c r="K10" s="81">
        <f>IF('Ordenes_Odoo'!K10="","",'Ordenes_Odoo'!K10)</f>
        <v/>
      </c>
      <c r="L10" s="81">
        <f>IF('Ordenes_Odoo'!L10="","",'Ordenes_Odoo'!L10)</f>
        <v/>
      </c>
      <c r="M10" s="79">
        <f>IF('Ordenes_Odoo'!M10="","",'Ordenes_Odoo'!M10)</f>
        <v/>
      </c>
      <c r="N10" s="79">
        <f>IF('Ordenes_Odoo'!N10="","",'Ordenes_Odoo'!N10)</f>
        <v/>
      </c>
      <c r="O10" s="81">
        <f>IF('Ordenes_Odoo'!O10="","",'Ordenes_Odoo'!O10)</f>
        <v/>
      </c>
      <c r="P10" s="81">
        <f>IF('Ordenes_Odoo'!P10="","",'Ordenes_Odoo'!P10)</f>
        <v/>
      </c>
      <c r="Q10" s="79">
        <f>IF(A10="","",IFERROR(INDEX(Facturas_Odoo!$B:$B, MATCH(A10, Facturas_Odoo!$D:$D, 0)), "Sin Factura"))</f>
        <v/>
      </c>
      <c r="R10" s="80">
        <f>IF(Q10="Sin Factura","",IFERROR(INDEX(Facturas_Odoo!$A:$A, MATCH(Q10, Facturas_Odoo!$B:$B, 0)), ""))</f>
        <v/>
      </c>
      <c r="S10" s="79">
        <f>IF(Q10="Sin Factura","",IFERROR(_xlfn.XLOOKUP(1, (Facturas_Odoo!$D:$D=A10) * (Facturas_Odoo!$K:$K=I10), Facturas_Odoo!$L:$L, ""), ""))</f>
        <v/>
      </c>
      <c r="T10" s="81">
        <f>IF(Q10="Sin Factura",0,IFERROR(_xlfn.XLOOKUP(1, (Facturas_Odoo!$D:$D=A10) * (Facturas_Odoo!$K:$K=I10), Facturas_Odoo!$M:$M, 0), 0))</f>
        <v/>
      </c>
      <c r="U10" s="79">
        <f>IF(Q10="Sin Factura",0,IFERROR(_xlfn.XLOOKUP(1, (Facturas_Odoo!$D:$D=A10) * (Facturas_Odoo!$K:$K=I10), Facturas_Odoo!$N:$N, 0), 0))</f>
        <v/>
      </c>
      <c r="V10" s="79">
        <f>IF(Q10="Sin Factura",0,IFERROR(_xlfn.XLOOKUP(1, (Facturas_Odoo!$D:$D=A10) * (Facturas_Odoo!$K:$K=I10), Facturas_Odoo!$O:$O, 0), 0))</f>
        <v/>
      </c>
      <c r="W10" s="81">
        <f>IF(Q10="Sin Factura",0,IFERROR(_xlfn.XLOOKUP(1, (Facturas_Odoo!$D:$D=A10) * (Facturas_Odoo!$K:$K=I10), Facturas_Odoo!$Q:$Q, 0), 0))</f>
        <v/>
      </c>
      <c r="X10" s="79">
        <f>IF(OR(Q10="Sin Factura",Q10=""),"",IFERROR(INDEX(Pagos_Odoo!$B:$B, MATCH(Q10, Pagos_Odoo!$I:$I, 0)), "Sin Pago"))</f>
        <v/>
      </c>
      <c r="Y10" s="79">
        <f>IF(X10="Sin Pago","",IFERROR(INDEX(Pagos_Odoo!$C:$C, MATCH(X10, Pagos_Odoo!$B:$B, 0)), ""))</f>
        <v/>
      </c>
      <c r="Z10" s="80">
        <f>IF(X10="Sin Pago","",IFERROR(INDEX(Pagos_Odoo!$A:$A, MATCH(X10, Pagos_Odoo!$B:$B, 0)), ""))</f>
        <v/>
      </c>
      <c r="AA10" s="79">
        <f>IF(X10="Sin Pago","",IFERROR(INDEX(Pagos_Odoo!$F:$F, MATCH(X10, Pagos_Odoo!$B:$B, 0)), ""))</f>
        <v/>
      </c>
      <c r="AB10" s="81">
        <f>IF(X10="Sin Pago",0,IFERROR(INDEX(Pagos_Odoo!$E:$E, MATCH(X10, Pagos_Odoo!$B:$B, 0)), 0))</f>
        <v/>
      </c>
      <c r="AC10" s="79">
        <f>IF(X10="Sin Pago","",IFERROR(INDEX(Pagos_Odoo!$G:$G, MATCH(X10, Pagos_Odoo!$B:$B, 0)), ""))</f>
        <v/>
      </c>
      <c r="AD10" s="82" t="n">
        <v>0</v>
      </c>
      <c r="AE10" s="82" t="n"/>
      <c r="AF10" s="82" t="n"/>
      <c r="AG10" s="82">
        <f>IF(AN10="","",AD10+AE10+AF10)</f>
        <v/>
      </c>
      <c r="AH10" s="81">
        <f>IF(AN10="","",P10*(1-AG10))</f>
        <v/>
      </c>
      <c r="AI10" s="81">
        <f>IF(AN10="","",IF(Q10="Sin Factura",0,IFERROR(INDEX(Facturas_Odoo!$H:$H, MATCH(Q10, Facturas_Odoo!$B:$B, 0)), 0)*(1-AG10)))</f>
        <v/>
      </c>
      <c r="AJ10" s="81">
        <f>IF(AN10="","",_xlfn.LET(idVenta, AN10&amp;"",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" s="81">
        <f>IF(AN10="","",AH10-AJ10)</f>
        <v/>
      </c>
      <c r="AL10" s="81">
        <f>IF(AN10="","",IF(Q10="Sin Factura","",AI10-AJ10))</f>
        <v/>
      </c>
      <c r="AM10" s="81">
        <f>IF(AN10="","",IF(Q10="Sin Factura",0,P10-IFERROR(INDEX(Facturas_Odoo!$H:$H, MATCH(Q10, Facturas_Odoo!$B:$B, 0)), 0)))</f>
        <v/>
      </c>
      <c r="AN10" s="79">
        <f>IF(AND(A10="", J10=""), "", IF(A10&lt;&gt;"", VALUE(MID(A10,2,LEN(A10))), AN9))</f>
        <v/>
      </c>
      <c r="AO10" s="79">
        <f>IF(AN10="","",IF(AD10=0,"OK",_xlfn.LET(monedaPago, IF(AA10="","USD",AA10), limitePermitido, IFERROR(VLOOKUP(monedaPago, Configuración!$A$2:$B$3, 2, FALSE), 0.15), IF(AD10&gt;limitePermitido, "ALERTA: EXCESO (" &amp; TEXT(limitePermitido, "0%") &amp; " máx)", "OK"))))</f>
        <v/>
      </c>
      <c r="AP10" s="79">
        <f>IF(AN10="","",IF(AE10=0,"OK",_xlfn.LET(fechaPago, Z10, fechaFactura, R10, diasCredito, IF(E10="Pago inmediato", 0, IFERROR(VALUE(MID(E10, 1, SEARCH(" ", E10)-1)),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" s="79">
        <f>IF(AN10="","",IF(AND(N10&gt;0, AG10&gt;0), IF(Configuración!$K$2="NO", "ALERTA: DESCUENTO DOBLE NO PERMITIDO", "OK"), "OK"))</f>
        <v/>
      </c>
      <c r="AR10" s="79">
        <f>IF(AN10="","",IF(OR(AO10&lt;&gt;"OK", AP10&lt;&gt;"OK", AQ10&lt;&gt;"OK"), "⚠️ REVISAR", "OK"))</f>
        <v/>
      </c>
    </row>
    <row r="11">
      <c r="A11" s="79">
        <f>IF('Ordenes_Odoo'!A11="","",'Ordenes_Odoo'!A11)</f>
        <v/>
      </c>
      <c r="B11" s="80">
        <f>IF('Ordenes_Odoo'!B11="","",'Ordenes_Odoo'!B11)</f>
        <v/>
      </c>
      <c r="C11" s="79">
        <f>IF('Ordenes_Odoo'!C11="","",'Ordenes_Odoo'!C11)</f>
        <v/>
      </c>
      <c r="D11" s="79">
        <f>IF('Ordenes_Odoo'!D11="","",'Ordenes_Odoo'!D11)</f>
        <v/>
      </c>
      <c r="E11" s="79">
        <f>IF('Ordenes_Odoo'!E11="","",'Ordenes_Odoo'!E11)</f>
        <v/>
      </c>
      <c r="F11" s="79">
        <f>IF('Ordenes_Odoo'!F11="","",'Ordenes_Odoo'!F11)</f>
        <v/>
      </c>
      <c r="G11" s="79">
        <f>IF('Ordenes_Odoo'!G11="","",'Ordenes_Odoo'!G11)</f>
        <v/>
      </c>
      <c r="H11" s="79">
        <f>IF('Ordenes_Odoo'!H11="","",'Ordenes_Odoo'!H11)</f>
        <v/>
      </c>
      <c r="I11" s="79">
        <f>IF('Ordenes_Odoo'!I11="","",'Ordenes_Odoo'!I11)</f>
        <v/>
      </c>
      <c r="J11" s="79">
        <f>IF('Ordenes_Odoo'!J11="","",'Ordenes_Odoo'!J11)</f>
        <v/>
      </c>
      <c r="K11" s="81">
        <f>IF('Ordenes_Odoo'!K11="","",'Ordenes_Odoo'!K11)</f>
        <v/>
      </c>
      <c r="L11" s="81">
        <f>IF('Ordenes_Odoo'!L11="","",'Ordenes_Odoo'!L11)</f>
        <v/>
      </c>
      <c r="M11" s="79">
        <f>IF('Ordenes_Odoo'!M11="","",'Ordenes_Odoo'!M11)</f>
        <v/>
      </c>
      <c r="N11" s="79">
        <f>IF('Ordenes_Odoo'!N11="","",'Ordenes_Odoo'!N11)</f>
        <v/>
      </c>
      <c r="O11" s="81">
        <f>IF('Ordenes_Odoo'!O11="","",'Ordenes_Odoo'!O11)</f>
        <v/>
      </c>
      <c r="P11" s="81">
        <f>IF('Ordenes_Odoo'!P11="","",'Ordenes_Odoo'!P11)</f>
        <v/>
      </c>
      <c r="Q11" s="79">
        <f>IF(A11="","",IFERROR(INDEX(Facturas_Odoo!$B:$B, MATCH(A11, Facturas_Odoo!$D:$D, 0)), "Sin Factura"))</f>
        <v/>
      </c>
      <c r="R11" s="80">
        <f>IF(Q11="Sin Factura","",IFERROR(INDEX(Facturas_Odoo!$A:$A, MATCH(Q11, Facturas_Odoo!$B:$B, 0)), ""))</f>
        <v/>
      </c>
      <c r="S11" s="79">
        <f>IF(Q11="Sin Factura","",IFERROR(_xlfn.XLOOKUP(1, (Facturas_Odoo!$D:$D=A11) * (Facturas_Odoo!$K:$K=I11), Facturas_Odoo!$L:$L, ""), ""))</f>
        <v/>
      </c>
      <c r="T11" s="81">
        <f>IF(Q11="Sin Factura",0,IFERROR(_xlfn.XLOOKUP(1, (Facturas_Odoo!$D:$D=A11) * (Facturas_Odoo!$K:$K=I11), Facturas_Odoo!$M:$M, 0), 0))</f>
        <v/>
      </c>
      <c r="U11" s="79">
        <f>IF(Q11="Sin Factura",0,IFERROR(_xlfn.XLOOKUP(1, (Facturas_Odoo!$D:$D=A11) * (Facturas_Odoo!$K:$K=I11), Facturas_Odoo!$N:$N, 0), 0))</f>
        <v/>
      </c>
      <c r="V11" s="79">
        <f>IF(Q11="Sin Factura",0,IFERROR(_xlfn.XLOOKUP(1, (Facturas_Odoo!$D:$D=A11) * (Facturas_Odoo!$K:$K=I11), Facturas_Odoo!$O:$O, 0), 0))</f>
        <v/>
      </c>
      <c r="W11" s="81">
        <f>IF(Q11="Sin Factura",0,IFERROR(_xlfn.XLOOKUP(1, (Facturas_Odoo!$D:$D=A11) * (Facturas_Odoo!$K:$K=I11), Facturas_Odoo!$Q:$Q, 0), 0))</f>
        <v/>
      </c>
      <c r="X11" s="79">
        <f>IF(OR(Q11="Sin Factura",Q11=""),"",IFERROR(INDEX(Pagos_Odoo!$B:$B, MATCH(Q11, Pagos_Odoo!$I:$I, 0)), "Sin Pago"))</f>
        <v/>
      </c>
      <c r="Y11" s="79">
        <f>IF(X11="Sin Pago","",IFERROR(INDEX(Pagos_Odoo!$C:$C, MATCH(X11, Pagos_Odoo!$B:$B, 0)), ""))</f>
        <v/>
      </c>
      <c r="Z11" s="80">
        <f>IF(X11="Sin Pago","",IFERROR(INDEX(Pagos_Odoo!$A:$A, MATCH(X11, Pagos_Odoo!$B:$B, 0)), ""))</f>
        <v/>
      </c>
      <c r="AA11" s="79">
        <f>IF(X11="Sin Pago","",IFERROR(INDEX(Pagos_Odoo!$F:$F, MATCH(X11, Pagos_Odoo!$B:$B, 0)), ""))</f>
        <v/>
      </c>
      <c r="AB11" s="81">
        <f>IF(X11="Sin Pago",0,IFERROR(INDEX(Pagos_Odoo!$E:$E, MATCH(X11, Pagos_Odoo!$B:$B, 0)), 0))</f>
        <v/>
      </c>
      <c r="AC11" s="79">
        <f>IF(X11="Sin Pago","",IFERROR(INDEX(Pagos_Odoo!$G:$G, MATCH(X11, Pagos_Odoo!$B:$B, 0)), ""))</f>
        <v/>
      </c>
      <c r="AD11" s="82" t="n">
        <v>0</v>
      </c>
      <c r="AE11" s="82" t="n"/>
      <c r="AF11" s="82" t="n"/>
      <c r="AG11" s="82">
        <f>IF(AN11="","",AD11+AE11+AF11)</f>
        <v/>
      </c>
      <c r="AH11" s="81">
        <f>IF(AN11="","",P11*(1-AG11))</f>
        <v/>
      </c>
      <c r="AI11" s="81">
        <f>IF(AN11="","",IF(Q11="Sin Factura",0,IFERROR(INDEX(Facturas_Odoo!$H:$H, MATCH(Q11, Facturas_Odoo!$B:$B, 0)), 0)*(1-AG11)))</f>
        <v/>
      </c>
      <c r="AJ11" s="81">
        <f>IF(AN11="","",_xlfn.LET(idVenta, AN11&amp;"",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" s="81">
        <f>IF(AN11="","",AH11-AJ11)</f>
        <v/>
      </c>
      <c r="AL11" s="81">
        <f>IF(AN11="","",IF(Q11="Sin Factura","",AI11-AJ11))</f>
        <v/>
      </c>
      <c r="AM11" s="81">
        <f>IF(AN11="","",IF(Q11="Sin Factura",0,P11-IFERROR(INDEX(Facturas_Odoo!$H:$H, MATCH(Q11, Facturas_Odoo!$B:$B, 0)), 0)))</f>
        <v/>
      </c>
      <c r="AN11" s="79">
        <f>IF(AND(A11="", J11=""), "", IF(A11&lt;&gt;"", VALUE(MID(A11,2,LEN(A11))), AN10))</f>
        <v/>
      </c>
      <c r="AO11" s="79">
        <f>IF(AN11="","",IF(AD11=0,"OK",_xlfn.LET(monedaPago, IF(AA11="","USD",AA11), limitePermitido, IFERROR(VLOOKUP(monedaPago, Configuración!$A$2:$B$3, 2, FALSE), 0.15), IF(AD11&gt;limitePermitido, "ALERTA: EXCESO (" &amp; TEXT(limitePermitido, "0%") &amp; " máx)", "OK"))))</f>
        <v/>
      </c>
      <c r="AP11" s="79">
        <f>IF(AN11="","",IF(AE11=0,"OK",_xlfn.LET(fechaPago, Z11, fechaFactura, R11, diasCredito, IF(E11="Pago inmediato", 0, IFERROR(VALUE(MID(E11, 1, SEARCH(" ", E11)-1)),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" s="79">
        <f>IF(AN11="","",IF(AND(N11&gt;0, AG11&gt;0), IF(Configuración!$K$2="NO", "ALERTA: DESCUENTO DOBLE NO PERMITIDO", "OK"), "OK"))</f>
        <v/>
      </c>
      <c r="AR11" s="79">
        <f>IF(AN11="","",IF(OR(AO11&lt;&gt;"OK", AP11&lt;&gt;"OK", AQ11&lt;&gt;"OK"), "⚠️ REVISAR", "OK"))</f>
        <v/>
      </c>
    </row>
    <row r="12">
      <c r="A12" s="79">
        <f>IF('Ordenes_Odoo'!A12="","",'Ordenes_Odoo'!A12)</f>
        <v/>
      </c>
      <c r="B12" s="80">
        <f>IF('Ordenes_Odoo'!B12="","",'Ordenes_Odoo'!B12)</f>
        <v/>
      </c>
      <c r="C12" s="79">
        <f>IF('Ordenes_Odoo'!C12="","",'Ordenes_Odoo'!C12)</f>
        <v/>
      </c>
      <c r="D12" s="79">
        <f>IF('Ordenes_Odoo'!D12="","",'Ordenes_Odoo'!D12)</f>
        <v/>
      </c>
      <c r="E12" s="79">
        <f>IF('Ordenes_Odoo'!E12="","",'Ordenes_Odoo'!E12)</f>
        <v/>
      </c>
      <c r="F12" s="79">
        <f>IF('Ordenes_Odoo'!F12="","",'Ordenes_Odoo'!F12)</f>
        <v/>
      </c>
      <c r="G12" s="79">
        <f>IF('Ordenes_Odoo'!G12="","",'Ordenes_Odoo'!G12)</f>
        <v/>
      </c>
      <c r="H12" s="79">
        <f>IF('Ordenes_Odoo'!H12="","",'Ordenes_Odoo'!H12)</f>
        <v/>
      </c>
      <c r="I12" s="79">
        <f>IF('Ordenes_Odoo'!I12="","",'Ordenes_Odoo'!I12)</f>
        <v/>
      </c>
      <c r="J12" s="79">
        <f>IF('Ordenes_Odoo'!J12="","",'Ordenes_Odoo'!J12)</f>
        <v/>
      </c>
      <c r="K12" s="81">
        <f>IF('Ordenes_Odoo'!K12="","",'Ordenes_Odoo'!K12)</f>
        <v/>
      </c>
      <c r="L12" s="81">
        <f>IF('Ordenes_Odoo'!L12="","",'Ordenes_Odoo'!L12)</f>
        <v/>
      </c>
      <c r="M12" s="79">
        <f>IF('Ordenes_Odoo'!M12="","",'Ordenes_Odoo'!M12)</f>
        <v/>
      </c>
      <c r="N12" s="79">
        <f>IF('Ordenes_Odoo'!N12="","",'Ordenes_Odoo'!N12)</f>
        <v/>
      </c>
      <c r="O12" s="81">
        <f>IF('Ordenes_Odoo'!O12="","",'Ordenes_Odoo'!O12)</f>
        <v/>
      </c>
      <c r="P12" s="81">
        <f>IF('Ordenes_Odoo'!P12="","",'Ordenes_Odoo'!P12)</f>
        <v/>
      </c>
      <c r="Q12" s="79">
        <f>IF(A12="","",IFERROR(INDEX(Facturas_Odoo!$B:$B, MATCH(A12, Facturas_Odoo!$D:$D, 0)), "Sin Factura"))</f>
        <v/>
      </c>
      <c r="R12" s="80">
        <f>IF(Q12="Sin Factura","",IFERROR(INDEX(Facturas_Odoo!$A:$A, MATCH(Q12, Facturas_Odoo!$B:$B, 0)), ""))</f>
        <v/>
      </c>
      <c r="S12" s="79">
        <f>IF(Q12="Sin Factura","",IFERROR(_xlfn.XLOOKUP(1, (Facturas_Odoo!$D:$D=A12) * (Facturas_Odoo!$K:$K=I12), Facturas_Odoo!$L:$L, ""), ""))</f>
        <v/>
      </c>
      <c r="T12" s="81">
        <f>IF(Q12="Sin Factura",0,IFERROR(_xlfn.XLOOKUP(1, (Facturas_Odoo!$D:$D=A12) * (Facturas_Odoo!$K:$K=I12), Facturas_Odoo!$M:$M, 0), 0))</f>
        <v/>
      </c>
      <c r="U12" s="79">
        <f>IF(Q12="Sin Factura",0,IFERROR(_xlfn.XLOOKUP(1, (Facturas_Odoo!$D:$D=A12) * (Facturas_Odoo!$K:$K=I12), Facturas_Odoo!$N:$N, 0), 0))</f>
        <v/>
      </c>
      <c r="V12" s="79">
        <f>IF(Q12="Sin Factura",0,IFERROR(_xlfn.XLOOKUP(1, (Facturas_Odoo!$D:$D=A12) * (Facturas_Odoo!$K:$K=I12), Facturas_Odoo!$O:$O, 0), 0))</f>
        <v/>
      </c>
      <c r="W12" s="81">
        <f>IF(Q12="Sin Factura",0,IFERROR(_xlfn.XLOOKUP(1, (Facturas_Odoo!$D:$D=A12) * (Facturas_Odoo!$K:$K=I12), Facturas_Odoo!$Q:$Q, 0), 0))</f>
        <v/>
      </c>
      <c r="X12" s="79">
        <f>IF(OR(Q12="Sin Factura",Q12=""),"",IFERROR(INDEX(Pagos_Odoo!$B:$B, MATCH(Q12, Pagos_Odoo!$I:$I, 0)), "Sin Pago"))</f>
        <v/>
      </c>
      <c r="Y12" s="79">
        <f>IF(X12="Sin Pago","",IFERROR(INDEX(Pagos_Odoo!$C:$C, MATCH(X12, Pagos_Odoo!$B:$B, 0)), ""))</f>
        <v/>
      </c>
      <c r="Z12" s="80">
        <f>IF(X12="Sin Pago","",IFERROR(INDEX(Pagos_Odoo!$A:$A, MATCH(X12, Pagos_Odoo!$B:$B, 0)), ""))</f>
        <v/>
      </c>
      <c r="AA12" s="79">
        <f>IF(X12="Sin Pago","",IFERROR(INDEX(Pagos_Odoo!$F:$F, MATCH(X12, Pagos_Odoo!$B:$B, 0)), ""))</f>
        <v/>
      </c>
      <c r="AB12" s="81">
        <f>IF(X12="Sin Pago",0,IFERROR(INDEX(Pagos_Odoo!$E:$E, MATCH(X12, Pagos_Odoo!$B:$B, 0)), 0))</f>
        <v/>
      </c>
      <c r="AC12" s="79">
        <f>IF(X12="Sin Pago","",IFERROR(INDEX(Pagos_Odoo!$G:$G, MATCH(X12, Pagos_Odoo!$B:$B, 0)), ""))</f>
        <v/>
      </c>
      <c r="AD12" s="82" t="n">
        <v>0</v>
      </c>
      <c r="AE12" s="82" t="n"/>
      <c r="AF12" s="82" t="n"/>
      <c r="AG12" s="82">
        <f>IF(AN12="","",AD12+AE12+AF12)</f>
        <v/>
      </c>
      <c r="AH12" s="81">
        <f>IF(AN12="","",P12*(1-AG12))</f>
        <v/>
      </c>
      <c r="AI12" s="81">
        <f>IF(AN12="","",IF(Q12="Sin Factura",0,IFERROR(INDEX(Facturas_Odoo!$H:$H, MATCH(Q12, Facturas_Odoo!$B:$B, 0)), 0)*(1-AG12)))</f>
        <v/>
      </c>
      <c r="AJ12" s="81">
        <f>IF(AN12="","",_xlfn.LET(idVenta, AN12&amp;"",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" s="81">
        <f>IF(AN12="","",AH12-AJ12)</f>
        <v/>
      </c>
      <c r="AL12" s="81">
        <f>IF(AN12="","",IF(Q12="Sin Factura","",AI12-AJ12))</f>
        <v/>
      </c>
      <c r="AM12" s="81">
        <f>IF(AN12="","",IF(Q12="Sin Factura",0,P12-IFERROR(INDEX(Facturas_Odoo!$H:$H, MATCH(Q12, Facturas_Odoo!$B:$B, 0)), 0)))</f>
        <v/>
      </c>
      <c r="AN12" s="79">
        <f>IF(AND(A12="", J12=""), "", IF(A12&lt;&gt;"", VALUE(MID(A12,2,LEN(A12))), AN11))</f>
        <v/>
      </c>
      <c r="AO12" s="79">
        <f>IF(AN12="","",IF(AD12=0,"OK",_xlfn.LET(monedaPago, IF(AA12="","USD",AA12), limitePermitido, IFERROR(VLOOKUP(monedaPago, Configuración!$A$2:$B$3, 2, FALSE), 0.15), IF(AD12&gt;limitePermitido, "ALERTA: EXCESO (" &amp; TEXT(limitePermitido, "0%") &amp; " máx)", "OK"))))</f>
        <v/>
      </c>
      <c r="AP12" s="79">
        <f>IF(AN12="","",IF(AE12=0,"OK",_xlfn.LET(fechaPago, Z12, fechaFactura, R12, diasCredito, IF(E12="Pago inmediato", 0, IFERROR(VALUE(MID(E12, 1, SEARCH(" ", E12)-1)),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" s="79">
        <f>IF(AN12="","",IF(AND(N12&gt;0, AG12&gt;0), IF(Configuración!$K$2="NO", "ALERTA: DESCUENTO DOBLE NO PERMITIDO", "OK"), "OK"))</f>
        <v/>
      </c>
      <c r="AR12" s="79">
        <f>IF(AN12="","",IF(OR(AO12&lt;&gt;"OK", AP12&lt;&gt;"OK", AQ12&lt;&gt;"OK"), "⚠️ REVISAR", "OK"))</f>
        <v/>
      </c>
    </row>
    <row r="13">
      <c r="A13" s="79">
        <f>IF('Ordenes_Odoo'!A13="","",'Ordenes_Odoo'!A13)</f>
        <v/>
      </c>
      <c r="B13" s="80">
        <f>IF('Ordenes_Odoo'!B13="","",'Ordenes_Odoo'!B13)</f>
        <v/>
      </c>
      <c r="C13" s="79">
        <f>IF('Ordenes_Odoo'!C13="","",'Ordenes_Odoo'!C13)</f>
        <v/>
      </c>
      <c r="D13" s="79">
        <f>IF('Ordenes_Odoo'!D13="","",'Ordenes_Odoo'!D13)</f>
        <v/>
      </c>
      <c r="E13" s="79">
        <f>IF('Ordenes_Odoo'!E13="","",'Ordenes_Odoo'!E13)</f>
        <v/>
      </c>
      <c r="F13" s="79">
        <f>IF('Ordenes_Odoo'!F13="","",'Ordenes_Odoo'!F13)</f>
        <v/>
      </c>
      <c r="G13" s="79">
        <f>IF('Ordenes_Odoo'!G13="","",'Ordenes_Odoo'!G13)</f>
        <v/>
      </c>
      <c r="H13" s="79">
        <f>IF('Ordenes_Odoo'!H13="","",'Ordenes_Odoo'!H13)</f>
        <v/>
      </c>
      <c r="I13" s="79">
        <f>IF('Ordenes_Odoo'!I13="","",'Ordenes_Odoo'!I13)</f>
        <v/>
      </c>
      <c r="J13" s="79">
        <f>IF('Ordenes_Odoo'!J13="","",'Ordenes_Odoo'!J13)</f>
        <v/>
      </c>
      <c r="K13" s="81">
        <f>IF('Ordenes_Odoo'!K13="","",'Ordenes_Odoo'!K13)</f>
        <v/>
      </c>
      <c r="L13" s="81">
        <f>IF('Ordenes_Odoo'!L13="","",'Ordenes_Odoo'!L13)</f>
        <v/>
      </c>
      <c r="M13" s="79">
        <f>IF('Ordenes_Odoo'!M13="","",'Ordenes_Odoo'!M13)</f>
        <v/>
      </c>
      <c r="N13" s="79">
        <f>IF('Ordenes_Odoo'!N13="","",'Ordenes_Odoo'!N13)</f>
        <v/>
      </c>
      <c r="O13" s="81">
        <f>IF('Ordenes_Odoo'!O13="","",'Ordenes_Odoo'!O13)</f>
        <v/>
      </c>
      <c r="P13" s="81">
        <f>IF('Ordenes_Odoo'!P13="","",'Ordenes_Odoo'!P13)</f>
        <v/>
      </c>
      <c r="Q13" s="79">
        <f>IF(A13="","",IFERROR(INDEX(Facturas_Odoo!$B:$B, MATCH(A13, Facturas_Odoo!$D:$D, 0)), "Sin Factura"))</f>
        <v/>
      </c>
      <c r="R13" s="80">
        <f>IF(Q13="Sin Factura","",IFERROR(INDEX(Facturas_Odoo!$A:$A, MATCH(Q13, Facturas_Odoo!$B:$B, 0)), ""))</f>
        <v/>
      </c>
      <c r="S13" s="79">
        <f>IF(Q13="Sin Factura","",IFERROR(_xlfn.XLOOKUP(1, (Facturas_Odoo!$D:$D=A13) * (Facturas_Odoo!$K:$K=I13), Facturas_Odoo!$L:$L, ""), ""))</f>
        <v/>
      </c>
      <c r="T13" s="81">
        <f>IF(Q13="Sin Factura",0,IFERROR(_xlfn.XLOOKUP(1, (Facturas_Odoo!$D:$D=A13) * (Facturas_Odoo!$K:$K=I13), Facturas_Odoo!$M:$M, 0), 0))</f>
        <v/>
      </c>
      <c r="U13" s="79">
        <f>IF(Q13="Sin Factura",0,IFERROR(_xlfn.XLOOKUP(1, (Facturas_Odoo!$D:$D=A13) * (Facturas_Odoo!$K:$K=I13), Facturas_Odoo!$N:$N, 0), 0))</f>
        <v/>
      </c>
      <c r="V13" s="79">
        <f>IF(Q13="Sin Factura",0,IFERROR(_xlfn.XLOOKUP(1, (Facturas_Odoo!$D:$D=A13) * (Facturas_Odoo!$K:$K=I13), Facturas_Odoo!$O:$O, 0), 0))</f>
        <v/>
      </c>
      <c r="W13" s="81">
        <f>IF(Q13="Sin Factura",0,IFERROR(_xlfn.XLOOKUP(1, (Facturas_Odoo!$D:$D=A13) * (Facturas_Odoo!$K:$K=I13), Facturas_Odoo!$Q:$Q, 0), 0))</f>
        <v/>
      </c>
      <c r="X13" s="79">
        <f>IF(OR(Q13="Sin Factura",Q13=""),"",IFERROR(INDEX(Pagos_Odoo!$B:$B, MATCH(Q13, Pagos_Odoo!$I:$I, 0)), "Sin Pago"))</f>
        <v/>
      </c>
      <c r="Y13" s="79">
        <f>IF(X13="Sin Pago","",IFERROR(INDEX(Pagos_Odoo!$C:$C, MATCH(X13, Pagos_Odoo!$B:$B, 0)), ""))</f>
        <v/>
      </c>
      <c r="Z13" s="80">
        <f>IF(X13="Sin Pago","",IFERROR(INDEX(Pagos_Odoo!$A:$A, MATCH(X13, Pagos_Odoo!$B:$B, 0)), ""))</f>
        <v/>
      </c>
      <c r="AA13" s="79">
        <f>IF(X13="Sin Pago","",IFERROR(INDEX(Pagos_Odoo!$F:$F, MATCH(X13, Pagos_Odoo!$B:$B, 0)), ""))</f>
        <v/>
      </c>
      <c r="AB13" s="81">
        <f>IF(X13="Sin Pago",0,IFERROR(INDEX(Pagos_Odoo!$E:$E, MATCH(X13, Pagos_Odoo!$B:$B, 0)), 0))</f>
        <v/>
      </c>
      <c r="AC13" s="79">
        <f>IF(X13="Sin Pago","",IFERROR(INDEX(Pagos_Odoo!$G:$G, MATCH(X13, Pagos_Odoo!$B:$B, 0)), ""))</f>
        <v/>
      </c>
      <c r="AD13" s="82" t="n">
        <v>0</v>
      </c>
      <c r="AE13" s="82" t="n"/>
      <c r="AF13" s="82" t="n"/>
      <c r="AG13" s="82">
        <f>IF(AN13="","",AD13+AE13+AF13)</f>
        <v/>
      </c>
      <c r="AH13" s="81">
        <f>IF(AN13="","",P13*(1-AG13))</f>
        <v/>
      </c>
      <c r="AI13" s="81">
        <f>IF(AN13="","",IF(Q13="Sin Factura",0,IFERROR(INDEX(Facturas_Odoo!$H:$H, MATCH(Q13, Facturas_Odoo!$B:$B, 0)), 0)*(1-AG13)))</f>
        <v/>
      </c>
      <c r="AJ13" s="81">
        <f>IF(AN13="","",_xlfn.LET(idVenta, AN13&amp;"",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" s="81">
        <f>IF(AN13="","",AH13-AJ13)</f>
        <v/>
      </c>
      <c r="AL13" s="81">
        <f>IF(AN13="","",IF(Q13="Sin Factura","",AI13-AJ13))</f>
        <v/>
      </c>
      <c r="AM13" s="81">
        <f>IF(AN13="","",IF(Q13="Sin Factura",0,P13-IFERROR(INDEX(Facturas_Odoo!$H:$H, MATCH(Q13, Facturas_Odoo!$B:$B, 0)), 0)))</f>
        <v/>
      </c>
      <c r="AN13" s="79">
        <f>IF(AND(A13="", J13=""), "", IF(A13&lt;&gt;"", VALUE(MID(A13,2,LEN(A13))), AN12))</f>
        <v/>
      </c>
      <c r="AO13" s="79">
        <f>IF(AN13="","",IF(AD13=0,"OK",_xlfn.LET(monedaPago, IF(AA13="","USD",AA13), limitePermitido, IFERROR(VLOOKUP(monedaPago, Configuración!$A$2:$B$3, 2, FALSE), 0.15), IF(AD13&gt;limitePermitido, "ALERTA: EXCESO (" &amp; TEXT(limitePermitido, "0%") &amp; " máx)", "OK"))))</f>
        <v/>
      </c>
      <c r="AP13" s="79">
        <f>IF(AN13="","",IF(AE13=0,"OK",_xlfn.LET(fechaPago, Z13, fechaFactura, R13, diasCredito, IF(E13="Pago inmediato", 0, IFERROR(VALUE(MID(E13, 1, SEARCH(" ", E13)-1)),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" s="79">
        <f>IF(AN13="","",IF(AND(N13&gt;0, AG13&gt;0), IF(Configuración!$K$2="NO", "ALERTA: DESCUENTO DOBLE NO PERMITIDO", "OK"), "OK"))</f>
        <v/>
      </c>
      <c r="AR13" s="79">
        <f>IF(AN13="","",IF(OR(AO13&lt;&gt;"OK", AP13&lt;&gt;"OK", AQ13&lt;&gt;"OK"), "⚠️ REVISAR", "OK"))</f>
        <v/>
      </c>
    </row>
    <row r="14">
      <c r="A14" s="79">
        <f>IF('Ordenes_Odoo'!A14="","",'Ordenes_Odoo'!A14)</f>
        <v/>
      </c>
      <c r="B14" s="80">
        <f>IF('Ordenes_Odoo'!B14="","",'Ordenes_Odoo'!B14)</f>
        <v/>
      </c>
      <c r="C14" s="79">
        <f>IF('Ordenes_Odoo'!C14="","",'Ordenes_Odoo'!C14)</f>
        <v/>
      </c>
      <c r="D14" s="79">
        <f>IF('Ordenes_Odoo'!D14="","",'Ordenes_Odoo'!D14)</f>
        <v/>
      </c>
      <c r="E14" s="79">
        <f>IF('Ordenes_Odoo'!E14="","",'Ordenes_Odoo'!E14)</f>
        <v/>
      </c>
      <c r="F14" s="79">
        <f>IF('Ordenes_Odoo'!F14="","",'Ordenes_Odoo'!F14)</f>
        <v/>
      </c>
      <c r="G14" s="79">
        <f>IF('Ordenes_Odoo'!G14="","",'Ordenes_Odoo'!G14)</f>
        <v/>
      </c>
      <c r="H14" s="79">
        <f>IF('Ordenes_Odoo'!H14="","",'Ordenes_Odoo'!H14)</f>
        <v/>
      </c>
      <c r="I14" s="79">
        <f>IF('Ordenes_Odoo'!I14="","",'Ordenes_Odoo'!I14)</f>
        <v/>
      </c>
      <c r="J14" s="79">
        <f>IF('Ordenes_Odoo'!J14="","",'Ordenes_Odoo'!J14)</f>
        <v/>
      </c>
      <c r="K14" s="81">
        <f>IF('Ordenes_Odoo'!K14="","",'Ordenes_Odoo'!K14)</f>
        <v/>
      </c>
      <c r="L14" s="81">
        <f>IF('Ordenes_Odoo'!L14="","",'Ordenes_Odoo'!L14)</f>
        <v/>
      </c>
      <c r="M14" s="79">
        <f>IF('Ordenes_Odoo'!M14="","",'Ordenes_Odoo'!M14)</f>
        <v/>
      </c>
      <c r="N14" s="79">
        <f>IF('Ordenes_Odoo'!N14="","",'Ordenes_Odoo'!N14)</f>
        <v/>
      </c>
      <c r="O14" s="81">
        <f>IF('Ordenes_Odoo'!O14="","",'Ordenes_Odoo'!O14)</f>
        <v/>
      </c>
      <c r="P14" s="81">
        <f>IF('Ordenes_Odoo'!P14="","",'Ordenes_Odoo'!P14)</f>
        <v/>
      </c>
      <c r="Q14" s="79">
        <f>IF(A14="","",IFERROR(INDEX(Facturas_Odoo!$B:$B, MATCH(A14, Facturas_Odoo!$D:$D, 0)), "Sin Factura"))</f>
        <v/>
      </c>
      <c r="R14" s="80">
        <f>IF(Q14="Sin Factura","",IFERROR(INDEX(Facturas_Odoo!$A:$A, MATCH(Q14, Facturas_Odoo!$B:$B, 0)), ""))</f>
        <v/>
      </c>
      <c r="S14" s="79">
        <f>IF(Q14="Sin Factura","",IFERROR(_xlfn.XLOOKUP(1, (Facturas_Odoo!$D:$D=A14) * (Facturas_Odoo!$K:$K=I14), Facturas_Odoo!$L:$L, ""), ""))</f>
        <v/>
      </c>
      <c r="T14" s="81">
        <f>IF(Q14="Sin Factura",0,IFERROR(_xlfn.XLOOKUP(1, (Facturas_Odoo!$D:$D=A14) * (Facturas_Odoo!$K:$K=I14), Facturas_Odoo!$M:$M, 0), 0))</f>
        <v/>
      </c>
      <c r="U14" s="79">
        <f>IF(Q14="Sin Factura",0,IFERROR(_xlfn.XLOOKUP(1, (Facturas_Odoo!$D:$D=A14) * (Facturas_Odoo!$K:$K=I14), Facturas_Odoo!$N:$N, 0), 0))</f>
        <v/>
      </c>
      <c r="V14" s="79">
        <f>IF(Q14="Sin Factura",0,IFERROR(_xlfn.XLOOKUP(1, (Facturas_Odoo!$D:$D=A14) * (Facturas_Odoo!$K:$K=I14), Facturas_Odoo!$O:$O, 0), 0))</f>
        <v/>
      </c>
      <c r="W14" s="81">
        <f>IF(Q14="Sin Factura",0,IFERROR(_xlfn.XLOOKUP(1, (Facturas_Odoo!$D:$D=A14) * (Facturas_Odoo!$K:$K=I14), Facturas_Odoo!$Q:$Q, 0), 0))</f>
        <v/>
      </c>
      <c r="X14" s="79">
        <f>IF(OR(Q14="Sin Factura",Q14=""),"",IFERROR(INDEX(Pagos_Odoo!$B:$B, MATCH(Q14, Pagos_Odoo!$I:$I, 0)), "Sin Pago"))</f>
        <v/>
      </c>
      <c r="Y14" s="79">
        <f>IF(X14="Sin Pago","",IFERROR(INDEX(Pagos_Odoo!$C:$C, MATCH(X14, Pagos_Odoo!$B:$B, 0)), ""))</f>
        <v/>
      </c>
      <c r="Z14" s="80">
        <f>IF(X14="Sin Pago","",IFERROR(INDEX(Pagos_Odoo!$A:$A, MATCH(X14, Pagos_Odoo!$B:$B, 0)), ""))</f>
        <v/>
      </c>
      <c r="AA14" s="79">
        <f>IF(X14="Sin Pago","",IFERROR(INDEX(Pagos_Odoo!$F:$F, MATCH(X14, Pagos_Odoo!$B:$B, 0)), ""))</f>
        <v/>
      </c>
      <c r="AB14" s="81">
        <f>IF(X14="Sin Pago",0,IFERROR(INDEX(Pagos_Odoo!$E:$E, MATCH(X14, Pagos_Odoo!$B:$B, 0)), 0))</f>
        <v/>
      </c>
      <c r="AC14" s="79">
        <f>IF(X14="Sin Pago","",IFERROR(INDEX(Pagos_Odoo!$G:$G, MATCH(X14, Pagos_Odoo!$B:$B, 0)), ""))</f>
        <v/>
      </c>
      <c r="AD14" s="82" t="n">
        <v>0</v>
      </c>
      <c r="AE14" s="82" t="n"/>
      <c r="AF14" s="82" t="n"/>
      <c r="AG14" s="82">
        <f>IF(AN14="","",AD14+AE14+AF14)</f>
        <v/>
      </c>
      <c r="AH14" s="81">
        <f>IF(AN14="","",P14*(1-AG14))</f>
        <v/>
      </c>
      <c r="AI14" s="81">
        <f>IF(AN14="","",IF(Q14="Sin Factura",0,IFERROR(INDEX(Facturas_Odoo!$H:$H, MATCH(Q14, Facturas_Odoo!$B:$B, 0)), 0)*(1-AG14)))</f>
        <v/>
      </c>
      <c r="AJ14" s="81">
        <f>IF(AN14="","",_xlfn.LET(idVenta, AN14&amp;"",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" s="81">
        <f>IF(AN14="","",AH14-AJ14)</f>
        <v/>
      </c>
      <c r="AL14" s="81">
        <f>IF(AN14="","",IF(Q14="Sin Factura","",AI14-AJ14))</f>
        <v/>
      </c>
      <c r="AM14" s="81">
        <f>IF(AN14="","",IF(Q14="Sin Factura",0,P14-IFERROR(INDEX(Facturas_Odoo!$H:$H, MATCH(Q14, Facturas_Odoo!$B:$B, 0)), 0)))</f>
        <v/>
      </c>
      <c r="AN14" s="79">
        <f>IF(AND(A14="", J14=""), "", IF(A14&lt;&gt;"", VALUE(MID(A14,2,LEN(A14))), AN13))</f>
        <v/>
      </c>
      <c r="AO14" s="79">
        <f>IF(AN14="","",IF(AD14=0,"OK",_xlfn.LET(monedaPago, IF(AA14="","USD",AA14), limitePermitido, IFERROR(VLOOKUP(monedaPago, Configuración!$A$2:$B$3, 2, FALSE), 0.15), IF(AD14&gt;limitePermitido, "ALERTA: EXCESO (" &amp; TEXT(limitePermitido, "0%") &amp; " máx)", "OK"))))</f>
        <v/>
      </c>
      <c r="AP14" s="79">
        <f>IF(AN14="","",IF(AE14=0,"OK",_xlfn.LET(fechaPago, Z14, fechaFactura, R14, diasCredito, IF(E14="Pago inmediato", 0, IFERROR(VALUE(MID(E14, 1, SEARCH(" ", E14)-1)),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" s="79">
        <f>IF(AN14="","",IF(AND(N14&gt;0, AG14&gt;0), IF(Configuración!$K$2="NO", "ALERTA: DESCUENTO DOBLE NO PERMITIDO", "OK"), "OK"))</f>
        <v/>
      </c>
      <c r="AR14" s="79">
        <f>IF(AN14="","",IF(OR(AO14&lt;&gt;"OK", AP14&lt;&gt;"OK", AQ14&lt;&gt;"OK"), "⚠️ REVISAR", "OK"))</f>
        <v/>
      </c>
    </row>
    <row r="15">
      <c r="A15" s="79">
        <f>IF('Ordenes_Odoo'!A15="","",'Ordenes_Odoo'!A15)</f>
        <v/>
      </c>
      <c r="B15" s="80">
        <f>IF('Ordenes_Odoo'!B15="","",'Ordenes_Odoo'!B15)</f>
        <v/>
      </c>
      <c r="C15" s="79">
        <f>IF('Ordenes_Odoo'!C15="","",'Ordenes_Odoo'!C15)</f>
        <v/>
      </c>
      <c r="D15" s="79">
        <f>IF('Ordenes_Odoo'!D15="","",'Ordenes_Odoo'!D15)</f>
        <v/>
      </c>
      <c r="E15" s="79">
        <f>IF('Ordenes_Odoo'!E15="","",'Ordenes_Odoo'!E15)</f>
        <v/>
      </c>
      <c r="F15" s="79">
        <f>IF('Ordenes_Odoo'!F15="","",'Ordenes_Odoo'!F15)</f>
        <v/>
      </c>
      <c r="G15" s="79">
        <f>IF('Ordenes_Odoo'!G15="","",'Ordenes_Odoo'!G15)</f>
        <v/>
      </c>
      <c r="H15" s="79">
        <f>IF('Ordenes_Odoo'!H15="","",'Ordenes_Odoo'!H15)</f>
        <v/>
      </c>
      <c r="I15" s="79">
        <f>IF('Ordenes_Odoo'!I15="","",'Ordenes_Odoo'!I15)</f>
        <v/>
      </c>
      <c r="J15" s="79">
        <f>IF('Ordenes_Odoo'!J15="","",'Ordenes_Odoo'!J15)</f>
        <v/>
      </c>
      <c r="K15" s="81">
        <f>IF('Ordenes_Odoo'!K15="","",'Ordenes_Odoo'!K15)</f>
        <v/>
      </c>
      <c r="L15" s="81">
        <f>IF('Ordenes_Odoo'!L15="","",'Ordenes_Odoo'!L15)</f>
        <v/>
      </c>
      <c r="M15" s="79">
        <f>IF('Ordenes_Odoo'!M15="","",'Ordenes_Odoo'!M15)</f>
        <v/>
      </c>
      <c r="N15" s="79">
        <f>IF('Ordenes_Odoo'!N15="","",'Ordenes_Odoo'!N15)</f>
        <v/>
      </c>
      <c r="O15" s="81">
        <f>IF('Ordenes_Odoo'!O15="","",'Ordenes_Odoo'!O15)</f>
        <v/>
      </c>
      <c r="P15" s="81">
        <f>IF('Ordenes_Odoo'!P15="","",'Ordenes_Odoo'!P15)</f>
        <v/>
      </c>
      <c r="Q15" s="79">
        <f>IF(A15="","",IFERROR(INDEX(Facturas_Odoo!$B:$B, MATCH(A15, Facturas_Odoo!$D:$D, 0)), "Sin Factura"))</f>
        <v/>
      </c>
      <c r="R15" s="80">
        <f>IF(Q15="Sin Factura","",IFERROR(INDEX(Facturas_Odoo!$A:$A, MATCH(Q15, Facturas_Odoo!$B:$B, 0)), ""))</f>
        <v/>
      </c>
      <c r="S15" s="79">
        <f>IF(Q15="Sin Factura","",IFERROR(_xlfn.XLOOKUP(1, (Facturas_Odoo!$D:$D=A15) * (Facturas_Odoo!$K:$K=I15), Facturas_Odoo!$L:$L, ""), ""))</f>
        <v/>
      </c>
      <c r="T15" s="81">
        <f>IF(Q15="Sin Factura",0,IFERROR(_xlfn.XLOOKUP(1, (Facturas_Odoo!$D:$D=A15) * (Facturas_Odoo!$K:$K=I15), Facturas_Odoo!$M:$M, 0), 0))</f>
        <v/>
      </c>
      <c r="U15" s="79">
        <f>IF(Q15="Sin Factura",0,IFERROR(_xlfn.XLOOKUP(1, (Facturas_Odoo!$D:$D=A15) * (Facturas_Odoo!$K:$K=I15), Facturas_Odoo!$N:$N, 0), 0))</f>
        <v/>
      </c>
      <c r="V15" s="79">
        <f>IF(Q15="Sin Factura",0,IFERROR(_xlfn.XLOOKUP(1, (Facturas_Odoo!$D:$D=A15) * (Facturas_Odoo!$K:$K=I15), Facturas_Odoo!$O:$O, 0), 0))</f>
        <v/>
      </c>
      <c r="W15" s="81">
        <f>IF(Q15="Sin Factura",0,IFERROR(_xlfn.XLOOKUP(1, (Facturas_Odoo!$D:$D=A15) * (Facturas_Odoo!$K:$K=I15), Facturas_Odoo!$Q:$Q, 0), 0))</f>
        <v/>
      </c>
      <c r="X15" s="79">
        <f>IF(OR(Q15="Sin Factura",Q15=""),"",IFERROR(INDEX(Pagos_Odoo!$B:$B, MATCH(Q15, Pagos_Odoo!$I:$I, 0)), "Sin Pago"))</f>
        <v/>
      </c>
      <c r="Y15" s="79">
        <f>IF(X15="Sin Pago","",IFERROR(INDEX(Pagos_Odoo!$C:$C, MATCH(X15, Pagos_Odoo!$B:$B, 0)), ""))</f>
        <v/>
      </c>
      <c r="Z15" s="80">
        <f>IF(X15="Sin Pago","",IFERROR(INDEX(Pagos_Odoo!$A:$A, MATCH(X15, Pagos_Odoo!$B:$B, 0)), ""))</f>
        <v/>
      </c>
      <c r="AA15" s="79">
        <f>IF(X15="Sin Pago","",IFERROR(INDEX(Pagos_Odoo!$F:$F, MATCH(X15, Pagos_Odoo!$B:$B, 0)), ""))</f>
        <v/>
      </c>
      <c r="AB15" s="81">
        <f>IF(X15="Sin Pago",0,IFERROR(INDEX(Pagos_Odoo!$E:$E, MATCH(X15, Pagos_Odoo!$B:$B, 0)), 0))</f>
        <v/>
      </c>
      <c r="AC15" s="79">
        <f>IF(X15="Sin Pago","",IFERROR(INDEX(Pagos_Odoo!$G:$G, MATCH(X15, Pagos_Odoo!$B:$B, 0)), ""))</f>
        <v/>
      </c>
      <c r="AD15" s="82" t="n">
        <v>0</v>
      </c>
      <c r="AE15" s="82" t="n"/>
      <c r="AF15" s="82" t="n"/>
      <c r="AG15" s="82">
        <f>IF(AN15="","",AD15+AE15+AF15)</f>
        <v/>
      </c>
      <c r="AH15" s="81">
        <f>IF(AN15="","",P15*(1-AG15))</f>
        <v/>
      </c>
      <c r="AI15" s="81">
        <f>IF(AN15="","",IF(Q15="Sin Factura",0,IFERROR(INDEX(Facturas_Odoo!$H:$H, MATCH(Q15, Facturas_Odoo!$B:$B, 0)), 0)*(1-AG15)))</f>
        <v/>
      </c>
      <c r="AJ15" s="81">
        <f>IF(AN15="","",_xlfn.LET(idVenta, AN15&amp;"",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" s="81">
        <f>IF(AN15="","",AH15-AJ15)</f>
        <v/>
      </c>
      <c r="AL15" s="81">
        <f>IF(AN15="","",IF(Q15="Sin Factura","",AI15-AJ15))</f>
        <v/>
      </c>
      <c r="AM15" s="81">
        <f>IF(AN15="","",IF(Q15="Sin Factura",0,P15-IFERROR(INDEX(Facturas_Odoo!$H:$H, MATCH(Q15, Facturas_Odoo!$B:$B, 0)), 0)))</f>
        <v/>
      </c>
      <c r="AN15" s="79">
        <f>IF(AND(A15="", J15=""), "", IF(A15&lt;&gt;"", VALUE(MID(A15,2,LEN(A15))), AN14))</f>
        <v/>
      </c>
      <c r="AO15" s="79">
        <f>IF(AN15="","",IF(AD15=0,"OK",_xlfn.LET(monedaPago, IF(AA15="","USD",AA15), limitePermitido, IFERROR(VLOOKUP(monedaPago, Configuración!$A$2:$B$3, 2, FALSE), 0.15), IF(AD15&gt;limitePermitido, "ALERTA: EXCESO (" &amp; TEXT(limitePermitido, "0%") &amp; " máx)", "OK"))))</f>
        <v/>
      </c>
      <c r="AP15" s="79">
        <f>IF(AN15="","",IF(AE15=0,"OK",_xlfn.LET(fechaPago, Z15, fechaFactura, R15, diasCredito, IF(E15="Pago inmediato", 0, IFERROR(VALUE(MID(E15, 1, SEARCH(" ", E15)-1)),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" s="79">
        <f>IF(AN15="","",IF(AND(N15&gt;0, AG15&gt;0), IF(Configuración!$K$2="NO", "ALERTA: DESCUENTO DOBLE NO PERMITIDO", "OK"), "OK"))</f>
        <v/>
      </c>
      <c r="AR15" s="79">
        <f>IF(AN15="","",IF(OR(AO15&lt;&gt;"OK", AP15&lt;&gt;"OK", AQ15&lt;&gt;"OK"), "⚠️ REVISAR", "OK"))</f>
        <v/>
      </c>
    </row>
    <row r="16">
      <c r="A16" s="79">
        <f>IF('Ordenes_Odoo'!A16="","",'Ordenes_Odoo'!A16)</f>
        <v/>
      </c>
      <c r="B16" s="80">
        <f>IF('Ordenes_Odoo'!B16="","",'Ordenes_Odoo'!B16)</f>
        <v/>
      </c>
      <c r="C16" s="79">
        <f>IF('Ordenes_Odoo'!C16="","",'Ordenes_Odoo'!C16)</f>
        <v/>
      </c>
      <c r="D16" s="79">
        <f>IF('Ordenes_Odoo'!D16="","",'Ordenes_Odoo'!D16)</f>
        <v/>
      </c>
      <c r="E16" s="79">
        <f>IF('Ordenes_Odoo'!E16="","",'Ordenes_Odoo'!E16)</f>
        <v/>
      </c>
      <c r="F16" s="79">
        <f>IF('Ordenes_Odoo'!F16="","",'Ordenes_Odoo'!F16)</f>
        <v/>
      </c>
      <c r="G16" s="79">
        <f>IF('Ordenes_Odoo'!G16="","",'Ordenes_Odoo'!G16)</f>
        <v/>
      </c>
      <c r="H16" s="79">
        <f>IF('Ordenes_Odoo'!H16="","",'Ordenes_Odoo'!H16)</f>
        <v/>
      </c>
      <c r="I16" s="79">
        <f>IF('Ordenes_Odoo'!I16="","",'Ordenes_Odoo'!I16)</f>
        <v/>
      </c>
      <c r="J16" s="79">
        <f>IF('Ordenes_Odoo'!J16="","",'Ordenes_Odoo'!J16)</f>
        <v/>
      </c>
      <c r="K16" s="81">
        <f>IF('Ordenes_Odoo'!K16="","",'Ordenes_Odoo'!K16)</f>
        <v/>
      </c>
      <c r="L16" s="81">
        <f>IF('Ordenes_Odoo'!L16="","",'Ordenes_Odoo'!L16)</f>
        <v/>
      </c>
      <c r="M16" s="79">
        <f>IF('Ordenes_Odoo'!M16="","",'Ordenes_Odoo'!M16)</f>
        <v/>
      </c>
      <c r="N16" s="79">
        <f>IF('Ordenes_Odoo'!N16="","",'Ordenes_Odoo'!N16)</f>
        <v/>
      </c>
      <c r="O16" s="81">
        <f>IF('Ordenes_Odoo'!O16="","",'Ordenes_Odoo'!O16)</f>
        <v/>
      </c>
      <c r="P16" s="81">
        <f>IF('Ordenes_Odoo'!P16="","",'Ordenes_Odoo'!P16)</f>
        <v/>
      </c>
      <c r="Q16" s="79">
        <f>IF(A16="","",IFERROR(INDEX(Facturas_Odoo!$B:$B, MATCH(A16, Facturas_Odoo!$D:$D, 0)), "Sin Factura"))</f>
        <v/>
      </c>
      <c r="R16" s="80">
        <f>IF(Q16="Sin Factura","",IFERROR(INDEX(Facturas_Odoo!$A:$A, MATCH(Q16, Facturas_Odoo!$B:$B, 0)), ""))</f>
        <v/>
      </c>
      <c r="S16" s="79">
        <f>IF(Q16="Sin Factura","",IFERROR(_xlfn.XLOOKUP(1, (Facturas_Odoo!$D:$D=A16) * (Facturas_Odoo!$K:$K=I16), Facturas_Odoo!$L:$L, ""), ""))</f>
        <v/>
      </c>
      <c r="T16" s="81">
        <f>IF(Q16="Sin Factura",0,IFERROR(_xlfn.XLOOKUP(1, (Facturas_Odoo!$D:$D=A16) * (Facturas_Odoo!$K:$K=I16), Facturas_Odoo!$M:$M, 0), 0))</f>
        <v/>
      </c>
      <c r="U16" s="79">
        <f>IF(Q16="Sin Factura",0,IFERROR(_xlfn.XLOOKUP(1, (Facturas_Odoo!$D:$D=A16) * (Facturas_Odoo!$K:$K=I16), Facturas_Odoo!$N:$N, 0), 0))</f>
        <v/>
      </c>
      <c r="V16" s="79">
        <f>IF(Q16="Sin Factura",0,IFERROR(_xlfn.XLOOKUP(1, (Facturas_Odoo!$D:$D=A16) * (Facturas_Odoo!$K:$K=I16), Facturas_Odoo!$O:$O, 0), 0))</f>
        <v/>
      </c>
      <c r="W16" s="81">
        <f>IF(Q16="Sin Factura",0,IFERROR(_xlfn.XLOOKUP(1, (Facturas_Odoo!$D:$D=A16) * (Facturas_Odoo!$K:$K=I16), Facturas_Odoo!$Q:$Q, 0), 0))</f>
        <v/>
      </c>
      <c r="X16" s="79">
        <f>IF(OR(Q16="Sin Factura",Q16=""),"",IFERROR(INDEX(Pagos_Odoo!$B:$B, MATCH(Q16, Pagos_Odoo!$I:$I, 0)), "Sin Pago"))</f>
        <v/>
      </c>
      <c r="Y16" s="79">
        <f>IF(X16="Sin Pago","",IFERROR(INDEX(Pagos_Odoo!$C:$C, MATCH(X16, Pagos_Odoo!$B:$B, 0)), ""))</f>
        <v/>
      </c>
      <c r="Z16" s="80">
        <f>IF(X16="Sin Pago","",IFERROR(INDEX(Pagos_Odoo!$A:$A, MATCH(X16, Pagos_Odoo!$B:$B, 0)), ""))</f>
        <v/>
      </c>
      <c r="AA16" s="79">
        <f>IF(X16="Sin Pago","",IFERROR(INDEX(Pagos_Odoo!$F:$F, MATCH(X16, Pagos_Odoo!$B:$B, 0)), ""))</f>
        <v/>
      </c>
      <c r="AB16" s="81">
        <f>IF(X16="Sin Pago",0,IFERROR(INDEX(Pagos_Odoo!$E:$E, MATCH(X16, Pagos_Odoo!$B:$B, 0)), 0))</f>
        <v/>
      </c>
      <c r="AC16" s="79">
        <f>IF(X16="Sin Pago","",IFERROR(INDEX(Pagos_Odoo!$G:$G, MATCH(X16, Pagos_Odoo!$B:$B, 0)), ""))</f>
        <v/>
      </c>
      <c r="AD16" s="82" t="n">
        <v>0</v>
      </c>
      <c r="AE16" s="82" t="n"/>
      <c r="AF16" s="82" t="n"/>
      <c r="AG16" s="82">
        <f>IF(AN16="","",AD16+AE16+AF16)</f>
        <v/>
      </c>
      <c r="AH16" s="81">
        <f>IF(AN16="","",P16*(1-AG16))</f>
        <v/>
      </c>
      <c r="AI16" s="81">
        <f>IF(AN16="","",IF(Q16="Sin Factura",0,IFERROR(INDEX(Facturas_Odoo!$H:$H, MATCH(Q16, Facturas_Odoo!$B:$B, 0)), 0)*(1-AG16)))</f>
        <v/>
      </c>
      <c r="AJ16" s="81">
        <f>IF(AN16="","",_xlfn.LET(idVenta, AN16&amp;"",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" s="81">
        <f>IF(AN16="","",AH16-AJ16)</f>
        <v/>
      </c>
      <c r="AL16" s="81">
        <f>IF(AN16="","",IF(Q16="Sin Factura","",AI16-AJ16))</f>
        <v/>
      </c>
      <c r="AM16" s="81">
        <f>IF(AN16="","",IF(Q16="Sin Factura",0,P16-IFERROR(INDEX(Facturas_Odoo!$H:$H, MATCH(Q16, Facturas_Odoo!$B:$B, 0)), 0)))</f>
        <v/>
      </c>
      <c r="AN16" s="79">
        <f>IF(AND(A16="", J16=""), "", IF(A16&lt;&gt;"", VALUE(MID(A16,2,LEN(A16))), AN15))</f>
        <v/>
      </c>
      <c r="AO16" s="79">
        <f>IF(AN16="","",IF(AD16=0,"OK",_xlfn.LET(monedaPago, IF(AA16="","USD",AA16), limitePermitido, IFERROR(VLOOKUP(monedaPago, Configuración!$A$2:$B$3, 2, FALSE), 0.15), IF(AD16&gt;limitePermitido, "ALERTA: EXCESO (" &amp; TEXT(limitePermitido, "0%") &amp; " máx)", "OK"))))</f>
        <v/>
      </c>
      <c r="AP16" s="79">
        <f>IF(AN16="","",IF(AE16=0,"OK",_xlfn.LET(fechaPago, Z16, fechaFactura, R16, diasCredito, IF(E16="Pago inmediato", 0, IFERROR(VALUE(MID(E16, 1, SEARCH(" ", E16)-1)),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" s="79">
        <f>IF(AN16="","",IF(AND(N16&gt;0, AG16&gt;0), IF(Configuración!$K$2="NO", "ALERTA: DESCUENTO DOBLE NO PERMITIDO", "OK"), "OK"))</f>
        <v/>
      </c>
      <c r="AR16" s="79">
        <f>IF(AN16="","",IF(OR(AO16&lt;&gt;"OK", AP16&lt;&gt;"OK", AQ16&lt;&gt;"OK"), "⚠️ REVISAR", "OK"))</f>
        <v/>
      </c>
    </row>
    <row r="17">
      <c r="A17" s="79">
        <f>IF('Ordenes_Odoo'!A17="","",'Ordenes_Odoo'!A17)</f>
        <v/>
      </c>
      <c r="B17" s="80">
        <f>IF('Ordenes_Odoo'!B17="","",'Ordenes_Odoo'!B17)</f>
        <v/>
      </c>
      <c r="C17" s="79">
        <f>IF('Ordenes_Odoo'!C17="","",'Ordenes_Odoo'!C17)</f>
        <v/>
      </c>
      <c r="D17" s="79">
        <f>IF('Ordenes_Odoo'!D17="","",'Ordenes_Odoo'!D17)</f>
        <v/>
      </c>
      <c r="E17" s="79">
        <f>IF('Ordenes_Odoo'!E17="","",'Ordenes_Odoo'!E17)</f>
        <v/>
      </c>
      <c r="F17" s="79">
        <f>IF('Ordenes_Odoo'!F17="","",'Ordenes_Odoo'!F17)</f>
        <v/>
      </c>
      <c r="G17" s="79">
        <f>IF('Ordenes_Odoo'!G17="","",'Ordenes_Odoo'!G17)</f>
        <v/>
      </c>
      <c r="H17" s="79">
        <f>IF('Ordenes_Odoo'!H17="","",'Ordenes_Odoo'!H17)</f>
        <v/>
      </c>
      <c r="I17" s="79">
        <f>IF('Ordenes_Odoo'!I17="","",'Ordenes_Odoo'!I17)</f>
        <v/>
      </c>
      <c r="J17" s="79">
        <f>IF('Ordenes_Odoo'!J17="","",'Ordenes_Odoo'!J17)</f>
        <v/>
      </c>
      <c r="K17" s="81">
        <f>IF('Ordenes_Odoo'!K17="","",'Ordenes_Odoo'!K17)</f>
        <v/>
      </c>
      <c r="L17" s="81">
        <f>IF('Ordenes_Odoo'!L17="","",'Ordenes_Odoo'!L17)</f>
        <v/>
      </c>
      <c r="M17" s="79">
        <f>IF('Ordenes_Odoo'!M17="","",'Ordenes_Odoo'!M17)</f>
        <v/>
      </c>
      <c r="N17" s="79">
        <f>IF('Ordenes_Odoo'!N17="","",'Ordenes_Odoo'!N17)</f>
        <v/>
      </c>
      <c r="O17" s="81">
        <f>IF('Ordenes_Odoo'!O17="","",'Ordenes_Odoo'!O17)</f>
        <v/>
      </c>
      <c r="P17" s="81">
        <f>IF('Ordenes_Odoo'!P17="","",'Ordenes_Odoo'!P17)</f>
        <v/>
      </c>
      <c r="Q17" s="79">
        <f>IF(A17="","",IFERROR(INDEX(Facturas_Odoo!$B:$B, MATCH(A17, Facturas_Odoo!$D:$D, 0)), "Sin Factura"))</f>
        <v/>
      </c>
      <c r="R17" s="80">
        <f>IF(Q17="Sin Factura","",IFERROR(INDEX(Facturas_Odoo!$A:$A, MATCH(Q17, Facturas_Odoo!$B:$B, 0)), ""))</f>
        <v/>
      </c>
      <c r="S17" s="79">
        <f>IF(Q17="Sin Factura","",IFERROR(_xlfn.XLOOKUP(1, (Facturas_Odoo!$D:$D=A17) * (Facturas_Odoo!$K:$K=I17), Facturas_Odoo!$L:$L, ""), ""))</f>
        <v/>
      </c>
      <c r="T17" s="81">
        <f>IF(Q17="Sin Factura",0,IFERROR(_xlfn.XLOOKUP(1, (Facturas_Odoo!$D:$D=A17) * (Facturas_Odoo!$K:$K=I17), Facturas_Odoo!$M:$M, 0), 0))</f>
        <v/>
      </c>
      <c r="U17" s="79">
        <f>IF(Q17="Sin Factura",0,IFERROR(_xlfn.XLOOKUP(1, (Facturas_Odoo!$D:$D=A17) * (Facturas_Odoo!$K:$K=I17), Facturas_Odoo!$N:$N, 0), 0))</f>
        <v/>
      </c>
      <c r="V17" s="79">
        <f>IF(Q17="Sin Factura",0,IFERROR(_xlfn.XLOOKUP(1, (Facturas_Odoo!$D:$D=A17) * (Facturas_Odoo!$K:$K=I17), Facturas_Odoo!$O:$O, 0), 0))</f>
        <v/>
      </c>
      <c r="W17" s="81">
        <f>IF(Q17="Sin Factura",0,IFERROR(_xlfn.XLOOKUP(1, (Facturas_Odoo!$D:$D=A17) * (Facturas_Odoo!$K:$K=I17), Facturas_Odoo!$Q:$Q, 0), 0))</f>
        <v/>
      </c>
      <c r="X17" s="79">
        <f>IF(OR(Q17="Sin Factura",Q17=""),"",IFERROR(INDEX(Pagos_Odoo!$B:$B, MATCH(Q17, Pagos_Odoo!$I:$I, 0)), "Sin Pago"))</f>
        <v/>
      </c>
      <c r="Y17" s="79">
        <f>IF(X17="Sin Pago","",IFERROR(INDEX(Pagos_Odoo!$C:$C, MATCH(X17, Pagos_Odoo!$B:$B, 0)), ""))</f>
        <v/>
      </c>
      <c r="Z17" s="80">
        <f>IF(X17="Sin Pago","",IFERROR(INDEX(Pagos_Odoo!$A:$A, MATCH(X17, Pagos_Odoo!$B:$B, 0)), ""))</f>
        <v/>
      </c>
      <c r="AA17" s="79">
        <f>IF(X17="Sin Pago","",IFERROR(INDEX(Pagos_Odoo!$F:$F, MATCH(X17, Pagos_Odoo!$B:$B, 0)), ""))</f>
        <v/>
      </c>
      <c r="AB17" s="81">
        <f>IF(X17="Sin Pago",0,IFERROR(INDEX(Pagos_Odoo!$E:$E, MATCH(X17, Pagos_Odoo!$B:$B, 0)), 0))</f>
        <v/>
      </c>
      <c r="AC17" s="79">
        <f>IF(X17="Sin Pago","",IFERROR(INDEX(Pagos_Odoo!$G:$G, MATCH(X17, Pagos_Odoo!$B:$B, 0)), ""))</f>
        <v/>
      </c>
      <c r="AD17" s="82" t="n">
        <v>0</v>
      </c>
      <c r="AE17" s="82" t="n"/>
      <c r="AF17" s="82" t="n"/>
      <c r="AG17" s="82">
        <f>IF(AN17="","",AD17+AE17+AF17)</f>
        <v/>
      </c>
      <c r="AH17" s="81">
        <f>IF(AN17="","",P17*(1-AG17))</f>
        <v/>
      </c>
      <c r="AI17" s="81">
        <f>IF(AN17="","",IF(Q17="Sin Factura",0,IFERROR(INDEX(Facturas_Odoo!$H:$H, MATCH(Q17, Facturas_Odoo!$B:$B, 0)), 0)*(1-AG17)))</f>
        <v/>
      </c>
      <c r="AJ17" s="81">
        <f>IF(AN17="","",_xlfn.LET(idVenta, AN17&amp;"",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" s="81">
        <f>IF(AN17="","",AH17-AJ17)</f>
        <v/>
      </c>
      <c r="AL17" s="81">
        <f>IF(AN17="","",IF(Q17="Sin Factura","",AI17-AJ17))</f>
        <v/>
      </c>
      <c r="AM17" s="81">
        <f>IF(AN17="","",IF(Q17="Sin Factura",0,P17-IFERROR(INDEX(Facturas_Odoo!$H:$H, MATCH(Q17, Facturas_Odoo!$B:$B, 0)), 0)))</f>
        <v/>
      </c>
      <c r="AN17" s="79">
        <f>IF(AND(A17="", J17=""), "", IF(A17&lt;&gt;"", VALUE(MID(A17,2,LEN(A17))), AN16))</f>
        <v/>
      </c>
      <c r="AO17" s="79">
        <f>IF(AN17="","",IF(AD17=0,"OK",_xlfn.LET(monedaPago, IF(AA17="","USD",AA17), limitePermitido, IFERROR(VLOOKUP(monedaPago, Configuración!$A$2:$B$3, 2, FALSE), 0.15), IF(AD17&gt;limitePermitido, "ALERTA: EXCESO (" &amp; TEXT(limitePermitido, "0%") &amp; " máx)", "OK"))))</f>
        <v/>
      </c>
      <c r="AP17" s="79">
        <f>IF(AN17="","",IF(AE17=0,"OK",_xlfn.LET(fechaPago, Z17, fechaFactura, R17, diasCredito, IF(E17="Pago inmediato", 0, IFERROR(VALUE(MID(E17, 1, SEARCH(" ", E17)-1)),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" s="79">
        <f>IF(AN17="","",IF(AND(N17&gt;0, AG17&gt;0), IF(Configuración!$K$2="NO", "ALERTA: DESCUENTO DOBLE NO PERMITIDO", "OK"), "OK"))</f>
        <v/>
      </c>
      <c r="AR17" s="79">
        <f>IF(AN17="","",IF(OR(AO17&lt;&gt;"OK", AP17&lt;&gt;"OK", AQ17&lt;&gt;"OK"), "⚠️ REVISAR", "OK"))</f>
        <v/>
      </c>
    </row>
    <row r="18">
      <c r="A18" s="79">
        <f>IF('Ordenes_Odoo'!A18="","",'Ordenes_Odoo'!A18)</f>
        <v/>
      </c>
      <c r="B18" s="80">
        <f>IF('Ordenes_Odoo'!B18="","",'Ordenes_Odoo'!B18)</f>
        <v/>
      </c>
      <c r="C18" s="79">
        <f>IF('Ordenes_Odoo'!C18="","",'Ordenes_Odoo'!C18)</f>
        <v/>
      </c>
      <c r="D18" s="79">
        <f>IF('Ordenes_Odoo'!D18="","",'Ordenes_Odoo'!D18)</f>
        <v/>
      </c>
      <c r="E18" s="79">
        <f>IF('Ordenes_Odoo'!E18="","",'Ordenes_Odoo'!E18)</f>
        <v/>
      </c>
      <c r="F18" s="79">
        <f>IF('Ordenes_Odoo'!F18="","",'Ordenes_Odoo'!F18)</f>
        <v/>
      </c>
      <c r="G18" s="79">
        <f>IF('Ordenes_Odoo'!G18="","",'Ordenes_Odoo'!G18)</f>
        <v/>
      </c>
      <c r="H18" s="79">
        <f>IF('Ordenes_Odoo'!H18="","",'Ordenes_Odoo'!H18)</f>
        <v/>
      </c>
      <c r="I18" s="79">
        <f>IF('Ordenes_Odoo'!I18="","",'Ordenes_Odoo'!I18)</f>
        <v/>
      </c>
      <c r="J18" s="79">
        <f>IF('Ordenes_Odoo'!J18="","",'Ordenes_Odoo'!J18)</f>
        <v/>
      </c>
      <c r="K18" s="81">
        <f>IF('Ordenes_Odoo'!K18="","",'Ordenes_Odoo'!K18)</f>
        <v/>
      </c>
      <c r="L18" s="81">
        <f>IF('Ordenes_Odoo'!L18="","",'Ordenes_Odoo'!L18)</f>
        <v/>
      </c>
      <c r="M18" s="79">
        <f>IF('Ordenes_Odoo'!M18="","",'Ordenes_Odoo'!M18)</f>
        <v/>
      </c>
      <c r="N18" s="79">
        <f>IF('Ordenes_Odoo'!N18="","",'Ordenes_Odoo'!N18)</f>
        <v/>
      </c>
      <c r="O18" s="81">
        <f>IF('Ordenes_Odoo'!O18="","",'Ordenes_Odoo'!O18)</f>
        <v/>
      </c>
      <c r="P18" s="81">
        <f>IF('Ordenes_Odoo'!P18="","",'Ordenes_Odoo'!P18)</f>
        <v/>
      </c>
      <c r="Q18" s="79">
        <f>IF(A18="","",IFERROR(INDEX(Facturas_Odoo!$B:$B, MATCH(A18, Facturas_Odoo!$D:$D, 0)), "Sin Factura"))</f>
        <v/>
      </c>
      <c r="R18" s="80">
        <f>IF(Q18="Sin Factura","",IFERROR(INDEX(Facturas_Odoo!$A:$A, MATCH(Q18, Facturas_Odoo!$B:$B, 0)), ""))</f>
        <v/>
      </c>
      <c r="S18" s="79">
        <f>IF(Q18="Sin Factura","",IFERROR(_xlfn.XLOOKUP(1, (Facturas_Odoo!$D:$D=A18) * (Facturas_Odoo!$K:$K=I18), Facturas_Odoo!$L:$L, ""), ""))</f>
        <v/>
      </c>
      <c r="T18" s="81">
        <f>IF(Q18="Sin Factura",0,IFERROR(_xlfn.XLOOKUP(1, (Facturas_Odoo!$D:$D=A18) * (Facturas_Odoo!$K:$K=I18), Facturas_Odoo!$M:$M, 0), 0))</f>
        <v/>
      </c>
      <c r="U18" s="79">
        <f>IF(Q18="Sin Factura",0,IFERROR(_xlfn.XLOOKUP(1, (Facturas_Odoo!$D:$D=A18) * (Facturas_Odoo!$K:$K=I18), Facturas_Odoo!$N:$N, 0), 0))</f>
        <v/>
      </c>
      <c r="V18" s="79">
        <f>IF(Q18="Sin Factura",0,IFERROR(_xlfn.XLOOKUP(1, (Facturas_Odoo!$D:$D=A18) * (Facturas_Odoo!$K:$K=I18), Facturas_Odoo!$O:$O, 0), 0))</f>
        <v/>
      </c>
      <c r="W18" s="81">
        <f>IF(Q18="Sin Factura",0,IFERROR(_xlfn.XLOOKUP(1, (Facturas_Odoo!$D:$D=A18) * (Facturas_Odoo!$K:$K=I18), Facturas_Odoo!$Q:$Q, 0), 0))</f>
        <v/>
      </c>
      <c r="X18" s="79">
        <f>IF(OR(Q18="Sin Factura",Q18=""),"",IFERROR(INDEX(Pagos_Odoo!$B:$B, MATCH(Q18, Pagos_Odoo!$I:$I, 0)), "Sin Pago"))</f>
        <v/>
      </c>
      <c r="Y18" s="79">
        <f>IF(X18="Sin Pago","",IFERROR(INDEX(Pagos_Odoo!$C:$C, MATCH(X18, Pagos_Odoo!$B:$B, 0)), ""))</f>
        <v/>
      </c>
      <c r="Z18" s="80">
        <f>IF(X18="Sin Pago","",IFERROR(INDEX(Pagos_Odoo!$A:$A, MATCH(X18, Pagos_Odoo!$B:$B, 0)), ""))</f>
        <v/>
      </c>
      <c r="AA18" s="79">
        <f>IF(X18="Sin Pago","",IFERROR(INDEX(Pagos_Odoo!$F:$F, MATCH(X18, Pagos_Odoo!$B:$B, 0)), ""))</f>
        <v/>
      </c>
      <c r="AB18" s="81">
        <f>IF(X18="Sin Pago",0,IFERROR(INDEX(Pagos_Odoo!$E:$E, MATCH(X18, Pagos_Odoo!$B:$B, 0)), 0))</f>
        <v/>
      </c>
      <c r="AC18" s="79">
        <f>IF(X18="Sin Pago","",IFERROR(INDEX(Pagos_Odoo!$G:$G, MATCH(X18, Pagos_Odoo!$B:$B, 0)), ""))</f>
        <v/>
      </c>
      <c r="AD18" s="82" t="n">
        <v>0</v>
      </c>
      <c r="AE18" s="82" t="n"/>
      <c r="AF18" s="82" t="n"/>
      <c r="AG18" s="82">
        <f>IF(AN18="","",AD18+AE18+AF18)</f>
        <v/>
      </c>
      <c r="AH18" s="81">
        <f>IF(AN18="","",P18*(1-AG18))</f>
        <v/>
      </c>
      <c r="AI18" s="81">
        <f>IF(AN18="","",IF(Q18="Sin Factura",0,IFERROR(INDEX(Facturas_Odoo!$H:$H, MATCH(Q18, Facturas_Odoo!$B:$B, 0)), 0)*(1-AG18)))</f>
        <v/>
      </c>
      <c r="AJ18" s="81">
        <f>IF(AN18="","",_xlfn.LET(idVenta, AN18&amp;"",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" s="81">
        <f>IF(AN18="","",AH18-AJ18)</f>
        <v/>
      </c>
      <c r="AL18" s="81">
        <f>IF(AN18="","",IF(Q18="Sin Factura","",AI18-AJ18))</f>
        <v/>
      </c>
      <c r="AM18" s="81">
        <f>IF(AN18="","",IF(Q18="Sin Factura",0,P18-IFERROR(INDEX(Facturas_Odoo!$H:$H, MATCH(Q18, Facturas_Odoo!$B:$B, 0)), 0)))</f>
        <v/>
      </c>
      <c r="AN18" s="79">
        <f>IF(AND(A18="", J18=""), "", IF(A18&lt;&gt;"", VALUE(MID(A18,2,LEN(A18))), AN17))</f>
        <v/>
      </c>
      <c r="AO18" s="79">
        <f>IF(AN18="","",IF(AD18=0,"OK",_xlfn.LET(monedaPago, IF(AA18="","USD",AA18), limitePermitido, IFERROR(VLOOKUP(monedaPago, Configuración!$A$2:$B$3, 2, FALSE), 0.15), IF(AD18&gt;limitePermitido, "ALERTA: EXCESO (" &amp; TEXT(limitePermitido, "0%") &amp; " máx)", "OK"))))</f>
        <v/>
      </c>
      <c r="AP18" s="79">
        <f>IF(AN18="","",IF(AE18=0,"OK",_xlfn.LET(fechaPago, Z18, fechaFactura, R18, diasCredito, IF(E18="Pago inmediato", 0, IFERROR(VALUE(MID(E18, 1, SEARCH(" ", E18)-1)),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" s="79">
        <f>IF(AN18="","",IF(AND(N18&gt;0, AG18&gt;0), IF(Configuración!$K$2="NO", "ALERTA: DESCUENTO DOBLE NO PERMITIDO", "OK"), "OK"))</f>
        <v/>
      </c>
      <c r="AR18" s="79">
        <f>IF(AN18="","",IF(OR(AO18&lt;&gt;"OK", AP18&lt;&gt;"OK", AQ18&lt;&gt;"OK"), "⚠️ REVISAR", "OK"))</f>
        <v/>
      </c>
    </row>
    <row r="19">
      <c r="A19" s="79">
        <f>IF('Ordenes_Odoo'!A19="","",'Ordenes_Odoo'!A19)</f>
        <v/>
      </c>
      <c r="B19" s="80">
        <f>IF('Ordenes_Odoo'!B19="","",'Ordenes_Odoo'!B19)</f>
        <v/>
      </c>
      <c r="C19" s="79">
        <f>IF('Ordenes_Odoo'!C19="","",'Ordenes_Odoo'!C19)</f>
        <v/>
      </c>
      <c r="D19" s="79">
        <f>IF('Ordenes_Odoo'!D19="","",'Ordenes_Odoo'!D19)</f>
        <v/>
      </c>
      <c r="E19" s="79">
        <f>IF('Ordenes_Odoo'!E19="","",'Ordenes_Odoo'!E19)</f>
        <v/>
      </c>
      <c r="F19" s="79">
        <f>IF('Ordenes_Odoo'!F19="","",'Ordenes_Odoo'!F19)</f>
        <v/>
      </c>
      <c r="G19" s="79">
        <f>IF('Ordenes_Odoo'!G19="","",'Ordenes_Odoo'!G19)</f>
        <v/>
      </c>
      <c r="H19" s="79">
        <f>IF('Ordenes_Odoo'!H19="","",'Ordenes_Odoo'!H19)</f>
        <v/>
      </c>
      <c r="I19" s="79">
        <f>IF('Ordenes_Odoo'!I19="","",'Ordenes_Odoo'!I19)</f>
        <v/>
      </c>
      <c r="J19" s="79">
        <f>IF('Ordenes_Odoo'!J19="","",'Ordenes_Odoo'!J19)</f>
        <v/>
      </c>
      <c r="K19" s="81">
        <f>IF('Ordenes_Odoo'!K19="","",'Ordenes_Odoo'!K19)</f>
        <v/>
      </c>
      <c r="L19" s="81">
        <f>IF('Ordenes_Odoo'!L19="","",'Ordenes_Odoo'!L19)</f>
        <v/>
      </c>
      <c r="M19" s="79">
        <f>IF('Ordenes_Odoo'!M19="","",'Ordenes_Odoo'!M19)</f>
        <v/>
      </c>
      <c r="N19" s="79">
        <f>IF('Ordenes_Odoo'!N19="","",'Ordenes_Odoo'!N19)</f>
        <v/>
      </c>
      <c r="O19" s="81">
        <f>IF('Ordenes_Odoo'!O19="","",'Ordenes_Odoo'!O19)</f>
        <v/>
      </c>
      <c r="P19" s="81">
        <f>IF('Ordenes_Odoo'!P19="","",'Ordenes_Odoo'!P19)</f>
        <v/>
      </c>
      <c r="Q19" s="79">
        <f>IF(A19="","",IFERROR(INDEX(Facturas_Odoo!$B:$B, MATCH(A19, Facturas_Odoo!$D:$D, 0)), "Sin Factura"))</f>
        <v/>
      </c>
      <c r="R19" s="80">
        <f>IF(Q19="Sin Factura","",IFERROR(INDEX(Facturas_Odoo!$A:$A, MATCH(Q19, Facturas_Odoo!$B:$B, 0)), ""))</f>
        <v/>
      </c>
      <c r="S19" s="79">
        <f>IF(Q19="Sin Factura","",IFERROR(_xlfn.XLOOKUP(1, (Facturas_Odoo!$D:$D=A19) * (Facturas_Odoo!$K:$K=I19), Facturas_Odoo!$L:$L, ""), ""))</f>
        <v/>
      </c>
      <c r="T19" s="81">
        <f>IF(Q19="Sin Factura",0,IFERROR(_xlfn.XLOOKUP(1, (Facturas_Odoo!$D:$D=A19) * (Facturas_Odoo!$K:$K=I19), Facturas_Odoo!$M:$M, 0), 0))</f>
        <v/>
      </c>
      <c r="U19" s="79">
        <f>IF(Q19="Sin Factura",0,IFERROR(_xlfn.XLOOKUP(1, (Facturas_Odoo!$D:$D=A19) * (Facturas_Odoo!$K:$K=I19), Facturas_Odoo!$N:$N, 0), 0))</f>
        <v/>
      </c>
      <c r="V19" s="79">
        <f>IF(Q19="Sin Factura",0,IFERROR(_xlfn.XLOOKUP(1, (Facturas_Odoo!$D:$D=A19) * (Facturas_Odoo!$K:$K=I19), Facturas_Odoo!$O:$O, 0), 0))</f>
        <v/>
      </c>
      <c r="W19" s="81">
        <f>IF(Q19="Sin Factura",0,IFERROR(_xlfn.XLOOKUP(1, (Facturas_Odoo!$D:$D=A19) * (Facturas_Odoo!$K:$K=I19), Facturas_Odoo!$Q:$Q, 0), 0))</f>
        <v/>
      </c>
      <c r="X19" s="79">
        <f>IF(OR(Q19="Sin Factura",Q19=""),"",IFERROR(INDEX(Pagos_Odoo!$B:$B, MATCH(Q19, Pagos_Odoo!$I:$I, 0)), "Sin Pago"))</f>
        <v/>
      </c>
      <c r="Y19" s="79">
        <f>IF(X19="Sin Pago","",IFERROR(INDEX(Pagos_Odoo!$C:$C, MATCH(X19, Pagos_Odoo!$B:$B, 0)), ""))</f>
        <v/>
      </c>
      <c r="Z19" s="80">
        <f>IF(X19="Sin Pago","",IFERROR(INDEX(Pagos_Odoo!$A:$A, MATCH(X19, Pagos_Odoo!$B:$B, 0)), ""))</f>
        <v/>
      </c>
      <c r="AA19" s="79">
        <f>IF(X19="Sin Pago","",IFERROR(INDEX(Pagos_Odoo!$F:$F, MATCH(X19, Pagos_Odoo!$B:$B, 0)), ""))</f>
        <v/>
      </c>
      <c r="AB19" s="81">
        <f>IF(X19="Sin Pago",0,IFERROR(INDEX(Pagos_Odoo!$E:$E, MATCH(X19, Pagos_Odoo!$B:$B, 0)), 0))</f>
        <v/>
      </c>
      <c r="AC19" s="79">
        <f>IF(X19="Sin Pago","",IFERROR(INDEX(Pagos_Odoo!$G:$G, MATCH(X19, Pagos_Odoo!$B:$B, 0)), ""))</f>
        <v/>
      </c>
      <c r="AD19" s="82" t="n">
        <v>0</v>
      </c>
      <c r="AE19" s="82" t="n"/>
      <c r="AF19" s="82" t="n"/>
      <c r="AG19" s="82">
        <f>IF(AN19="","",AD19+AE19+AF19)</f>
        <v/>
      </c>
      <c r="AH19" s="81">
        <f>IF(AN19="","",P19*(1-AG19))</f>
        <v/>
      </c>
      <c r="AI19" s="81">
        <f>IF(AN19="","",IF(Q19="Sin Factura",0,IFERROR(INDEX(Facturas_Odoo!$H:$H, MATCH(Q19, Facturas_Odoo!$B:$B, 0)), 0)*(1-AG19)))</f>
        <v/>
      </c>
      <c r="AJ19" s="81">
        <f>IF(AN19="","",_xlfn.LET(idVenta, AN19&amp;"",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" s="81">
        <f>IF(AN19="","",AH19-AJ19)</f>
        <v/>
      </c>
      <c r="AL19" s="81">
        <f>IF(AN19="","",IF(Q19="Sin Factura","",AI19-AJ19))</f>
        <v/>
      </c>
      <c r="AM19" s="81">
        <f>IF(AN19="","",IF(Q19="Sin Factura",0,P19-IFERROR(INDEX(Facturas_Odoo!$H:$H, MATCH(Q19, Facturas_Odoo!$B:$B, 0)), 0)))</f>
        <v/>
      </c>
      <c r="AN19" s="79">
        <f>IF(AND(A19="", J19=""), "", IF(A19&lt;&gt;"", VALUE(MID(A19,2,LEN(A19))), AN18))</f>
        <v/>
      </c>
      <c r="AO19" s="79">
        <f>IF(AN19="","",IF(AD19=0,"OK",_xlfn.LET(monedaPago, IF(AA19="","USD",AA19), limitePermitido, IFERROR(VLOOKUP(monedaPago, Configuración!$A$2:$B$3, 2, FALSE), 0.15), IF(AD19&gt;limitePermitido, "ALERTA: EXCESO (" &amp; TEXT(limitePermitido, "0%") &amp; " máx)", "OK"))))</f>
        <v/>
      </c>
      <c r="AP19" s="79">
        <f>IF(AN19="","",IF(AE19=0,"OK",_xlfn.LET(fechaPago, Z19, fechaFactura, R19, diasCredito, IF(E19="Pago inmediato", 0, IFERROR(VALUE(MID(E19, 1, SEARCH(" ", E19)-1)),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" s="79">
        <f>IF(AN19="","",IF(AND(N19&gt;0, AG19&gt;0), IF(Configuración!$K$2="NO", "ALERTA: DESCUENTO DOBLE NO PERMITIDO", "OK"), "OK"))</f>
        <v/>
      </c>
      <c r="AR19" s="79">
        <f>IF(AN19="","",IF(OR(AO19&lt;&gt;"OK", AP19&lt;&gt;"OK", AQ19&lt;&gt;"OK"), "⚠️ REVISAR", "OK"))</f>
        <v/>
      </c>
    </row>
    <row r="20">
      <c r="A20" s="79">
        <f>IF('Ordenes_Odoo'!A20="","",'Ordenes_Odoo'!A20)</f>
        <v/>
      </c>
      <c r="B20" s="80">
        <f>IF('Ordenes_Odoo'!B20="","",'Ordenes_Odoo'!B20)</f>
        <v/>
      </c>
      <c r="C20" s="79">
        <f>IF('Ordenes_Odoo'!C20="","",'Ordenes_Odoo'!C20)</f>
        <v/>
      </c>
      <c r="D20" s="79">
        <f>IF('Ordenes_Odoo'!D20="","",'Ordenes_Odoo'!D20)</f>
        <v/>
      </c>
      <c r="E20" s="79">
        <f>IF('Ordenes_Odoo'!E20="","",'Ordenes_Odoo'!E20)</f>
        <v/>
      </c>
      <c r="F20" s="79">
        <f>IF('Ordenes_Odoo'!F20="","",'Ordenes_Odoo'!F20)</f>
        <v/>
      </c>
      <c r="G20" s="79">
        <f>IF('Ordenes_Odoo'!G20="","",'Ordenes_Odoo'!G20)</f>
        <v/>
      </c>
      <c r="H20" s="79">
        <f>IF('Ordenes_Odoo'!H20="","",'Ordenes_Odoo'!H20)</f>
        <v/>
      </c>
      <c r="I20" s="79">
        <f>IF('Ordenes_Odoo'!I20="","",'Ordenes_Odoo'!I20)</f>
        <v/>
      </c>
      <c r="J20" s="79">
        <f>IF('Ordenes_Odoo'!J20="","",'Ordenes_Odoo'!J20)</f>
        <v/>
      </c>
      <c r="K20" s="81">
        <f>IF('Ordenes_Odoo'!K20="","",'Ordenes_Odoo'!K20)</f>
        <v/>
      </c>
      <c r="L20" s="81">
        <f>IF('Ordenes_Odoo'!L20="","",'Ordenes_Odoo'!L20)</f>
        <v/>
      </c>
      <c r="M20" s="79">
        <f>IF('Ordenes_Odoo'!M20="","",'Ordenes_Odoo'!M20)</f>
        <v/>
      </c>
      <c r="N20" s="79">
        <f>IF('Ordenes_Odoo'!N20="","",'Ordenes_Odoo'!N20)</f>
        <v/>
      </c>
      <c r="O20" s="81">
        <f>IF('Ordenes_Odoo'!O20="","",'Ordenes_Odoo'!O20)</f>
        <v/>
      </c>
      <c r="P20" s="81">
        <f>IF('Ordenes_Odoo'!P20="","",'Ordenes_Odoo'!P20)</f>
        <v/>
      </c>
      <c r="Q20" s="79">
        <f>IF(A20="","",IFERROR(INDEX(Facturas_Odoo!$B:$B, MATCH(A20, Facturas_Odoo!$D:$D, 0)), "Sin Factura"))</f>
        <v/>
      </c>
      <c r="R20" s="80">
        <f>IF(Q20="Sin Factura","",IFERROR(INDEX(Facturas_Odoo!$A:$A, MATCH(Q20, Facturas_Odoo!$B:$B, 0)), ""))</f>
        <v/>
      </c>
      <c r="S20" s="79">
        <f>IF(Q20="Sin Factura","",IFERROR(_xlfn.XLOOKUP(1, (Facturas_Odoo!$D:$D=A20) * (Facturas_Odoo!$K:$K=I20), Facturas_Odoo!$L:$L, ""), ""))</f>
        <v/>
      </c>
      <c r="T20" s="81">
        <f>IF(Q20="Sin Factura",0,IFERROR(_xlfn.XLOOKUP(1, (Facturas_Odoo!$D:$D=A20) * (Facturas_Odoo!$K:$K=I20), Facturas_Odoo!$M:$M, 0), 0))</f>
        <v/>
      </c>
      <c r="U20" s="79">
        <f>IF(Q20="Sin Factura",0,IFERROR(_xlfn.XLOOKUP(1, (Facturas_Odoo!$D:$D=A20) * (Facturas_Odoo!$K:$K=I20), Facturas_Odoo!$N:$N, 0), 0))</f>
        <v/>
      </c>
      <c r="V20" s="79">
        <f>IF(Q20="Sin Factura",0,IFERROR(_xlfn.XLOOKUP(1, (Facturas_Odoo!$D:$D=A20) * (Facturas_Odoo!$K:$K=I20), Facturas_Odoo!$O:$O, 0), 0))</f>
        <v/>
      </c>
      <c r="W20" s="81">
        <f>IF(Q20="Sin Factura",0,IFERROR(_xlfn.XLOOKUP(1, (Facturas_Odoo!$D:$D=A20) * (Facturas_Odoo!$K:$K=I20), Facturas_Odoo!$Q:$Q, 0), 0))</f>
        <v/>
      </c>
      <c r="X20" s="79">
        <f>IF(OR(Q20="Sin Factura",Q20=""),"",IFERROR(INDEX(Pagos_Odoo!$B:$B, MATCH(Q20, Pagos_Odoo!$I:$I, 0)), "Sin Pago"))</f>
        <v/>
      </c>
      <c r="Y20" s="79">
        <f>IF(X20="Sin Pago","",IFERROR(INDEX(Pagos_Odoo!$C:$C, MATCH(X20, Pagos_Odoo!$B:$B, 0)), ""))</f>
        <v/>
      </c>
      <c r="Z20" s="80">
        <f>IF(X20="Sin Pago","",IFERROR(INDEX(Pagos_Odoo!$A:$A, MATCH(X20, Pagos_Odoo!$B:$B, 0)), ""))</f>
        <v/>
      </c>
      <c r="AA20" s="79">
        <f>IF(X20="Sin Pago","",IFERROR(INDEX(Pagos_Odoo!$F:$F, MATCH(X20, Pagos_Odoo!$B:$B, 0)), ""))</f>
        <v/>
      </c>
      <c r="AB20" s="81">
        <f>IF(X20="Sin Pago",0,IFERROR(INDEX(Pagos_Odoo!$E:$E, MATCH(X20, Pagos_Odoo!$B:$B, 0)), 0))</f>
        <v/>
      </c>
      <c r="AC20" s="79">
        <f>IF(X20="Sin Pago","",IFERROR(INDEX(Pagos_Odoo!$G:$G, MATCH(X20, Pagos_Odoo!$B:$B, 0)), ""))</f>
        <v/>
      </c>
      <c r="AD20" s="82" t="n">
        <v>0</v>
      </c>
      <c r="AE20" s="82" t="n"/>
      <c r="AF20" s="82" t="n"/>
      <c r="AG20" s="82">
        <f>IF(AN20="","",AD20+AE20+AF20)</f>
        <v/>
      </c>
      <c r="AH20" s="81">
        <f>IF(AN20="","",P20*(1-AG20))</f>
        <v/>
      </c>
      <c r="AI20" s="81">
        <f>IF(AN20="","",IF(Q20="Sin Factura",0,IFERROR(INDEX(Facturas_Odoo!$H:$H, MATCH(Q20, Facturas_Odoo!$B:$B, 0)), 0)*(1-AG20)))</f>
        <v/>
      </c>
      <c r="AJ20" s="81">
        <f>IF(AN20="","",_xlfn.LET(idVenta, AN20&amp;"",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" s="81">
        <f>IF(AN20="","",AH20-AJ20)</f>
        <v/>
      </c>
      <c r="AL20" s="81">
        <f>IF(AN20="","",IF(Q20="Sin Factura","",AI20-AJ20))</f>
        <v/>
      </c>
      <c r="AM20" s="81">
        <f>IF(AN20="","",IF(Q20="Sin Factura",0,P20-IFERROR(INDEX(Facturas_Odoo!$H:$H, MATCH(Q20, Facturas_Odoo!$B:$B, 0)), 0)))</f>
        <v/>
      </c>
      <c r="AN20" s="79">
        <f>IF(AND(A20="", J20=""), "", IF(A20&lt;&gt;"", VALUE(MID(A20,2,LEN(A20))), AN19))</f>
        <v/>
      </c>
      <c r="AO20" s="79">
        <f>IF(AN20="","",IF(AD20=0,"OK",_xlfn.LET(monedaPago, IF(AA20="","USD",AA20), limitePermitido, IFERROR(VLOOKUP(monedaPago, Configuración!$A$2:$B$3, 2, FALSE), 0.15), IF(AD20&gt;limitePermitido, "ALERTA: EXCESO (" &amp; TEXT(limitePermitido, "0%") &amp; " máx)", "OK"))))</f>
        <v/>
      </c>
      <c r="AP20" s="79">
        <f>IF(AN20="","",IF(AE20=0,"OK",_xlfn.LET(fechaPago, Z20, fechaFactura, R20, diasCredito, IF(E20="Pago inmediato", 0, IFERROR(VALUE(MID(E20, 1, SEARCH(" ", E20)-1)),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" s="79">
        <f>IF(AN20="","",IF(AND(N20&gt;0, AG20&gt;0), IF(Configuración!$K$2="NO", "ALERTA: DESCUENTO DOBLE NO PERMITIDO", "OK"), "OK"))</f>
        <v/>
      </c>
      <c r="AR20" s="79">
        <f>IF(AN20="","",IF(OR(AO20&lt;&gt;"OK", AP20&lt;&gt;"OK", AQ20&lt;&gt;"OK"), "⚠️ REVISAR", "OK"))</f>
        <v/>
      </c>
    </row>
    <row r="21">
      <c r="A21" s="79">
        <f>IF('Ordenes_Odoo'!A21="","",'Ordenes_Odoo'!A21)</f>
        <v/>
      </c>
      <c r="B21" s="80">
        <f>IF('Ordenes_Odoo'!B21="","",'Ordenes_Odoo'!B21)</f>
        <v/>
      </c>
      <c r="C21" s="79">
        <f>IF('Ordenes_Odoo'!C21="","",'Ordenes_Odoo'!C21)</f>
        <v/>
      </c>
      <c r="D21" s="79">
        <f>IF('Ordenes_Odoo'!D21="","",'Ordenes_Odoo'!D21)</f>
        <v/>
      </c>
      <c r="E21" s="79">
        <f>IF('Ordenes_Odoo'!E21="","",'Ordenes_Odoo'!E21)</f>
        <v/>
      </c>
      <c r="F21" s="79">
        <f>IF('Ordenes_Odoo'!F21="","",'Ordenes_Odoo'!F21)</f>
        <v/>
      </c>
      <c r="G21" s="79">
        <f>IF('Ordenes_Odoo'!G21="","",'Ordenes_Odoo'!G21)</f>
        <v/>
      </c>
      <c r="H21" s="79">
        <f>IF('Ordenes_Odoo'!H21="","",'Ordenes_Odoo'!H21)</f>
        <v/>
      </c>
      <c r="I21" s="79">
        <f>IF('Ordenes_Odoo'!I21="","",'Ordenes_Odoo'!I21)</f>
        <v/>
      </c>
      <c r="J21" s="79">
        <f>IF('Ordenes_Odoo'!J21="","",'Ordenes_Odoo'!J21)</f>
        <v/>
      </c>
      <c r="K21" s="81">
        <f>IF('Ordenes_Odoo'!K21="","",'Ordenes_Odoo'!K21)</f>
        <v/>
      </c>
      <c r="L21" s="81">
        <f>IF('Ordenes_Odoo'!L21="","",'Ordenes_Odoo'!L21)</f>
        <v/>
      </c>
      <c r="M21" s="79">
        <f>IF('Ordenes_Odoo'!M21="","",'Ordenes_Odoo'!M21)</f>
        <v/>
      </c>
      <c r="N21" s="79">
        <f>IF('Ordenes_Odoo'!N21="","",'Ordenes_Odoo'!N21)</f>
        <v/>
      </c>
      <c r="O21" s="81">
        <f>IF('Ordenes_Odoo'!O21="","",'Ordenes_Odoo'!O21)</f>
        <v/>
      </c>
      <c r="P21" s="81">
        <f>IF('Ordenes_Odoo'!P21="","",'Ordenes_Odoo'!P21)</f>
        <v/>
      </c>
      <c r="Q21" s="79">
        <f>IF(A21="","",IFERROR(INDEX(Facturas_Odoo!$B:$B, MATCH(A21, Facturas_Odoo!$D:$D, 0)), "Sin Factura"))</f>
        <v/>
      </c>
      <c r="R21" s="80">
        <f>IF(Q21="Sin Factura","",IFERROR(INDEX(Facturas_Odoo!$A:$A, MATCH(Q21, Facturas_Odoo!$B:$B, 0)), ""))</f>
        <v/>
      </c>
      <c r="S21" s="79">
        <f>IF(Q21="Sin Factura","",IFERROR(_xlfn.XLOOKUP(1, (Facturas_Odoo!$D:$D=A21) * (Facturas_Odoo!$K:$K=I21), Facturas_Odoo!$L:$L, ""), ""))</f>
        <v/>
      </c>
      <c r="T21" s="81">
        <f>IF(Q21="Sin Factura",0,IFERROR(_xlfn.XLOOKUP(1, (Facturas_Odoo!$D:$D=A21) * (Facturas_Odoo!$K:$K=I21), Facturas_Odoo!$M:$M, 0), 0))</f>
        <v/>
      </c>
      <c r="U21" s="79">
        <f>IF(Q21="Sin Factura",0,IFERROR(_xlfn.XLOOKUP(1, (Facturas_Odoo!$D:$D=A21) * (Facturas_Odoo!$K:$K=I21), Facturas_Odoo!$N:$N, 0), 0))</f>
        <v/>
      </c>
      <c r="V21" s="79">
        <f>IF(Q21="Sin Factura",0,IFERROR(_xlfn.XLOOKUP(1, (Facturas_Odoo!$D:$D=A21) * (Facturas_Odoo!$K:$K=I21), Facturas_Odoo!$O:$O, 0), 0))</f>
        <v/>
      </c>
      <c r="W21" s="81">
        <f>IF(Q21="Sin Factura",0,IFERROR(_xlfn.XLOOKUP(1, (Facturas_Odoo!$D:$D=A21) * (Facturas_Odoo!$K:$K=I21), Facturas_Odoo!$Q:$Q, 0), 0))</f>
        <v/>
      </c>
      <c r="X21" s="79">
        <f>IF(OR(Q21="Sin Factura",Q21=""),"",IFERROR(INDEX(Pagos_Odoo!$B:$B, MATCH(Q21, Pagos_Odoo!$I:$I, 0)), "Sin Pago"))</f>
        <v/>
      </c>
      <c r="Y21" s="79">
        <f>IF(X21="Sin Pago","",IFERROR(INDEX(Pagos_Odoo!$C:$C, MATCH(X21, Pagos_Odoo!$B:$B, 0)), ""))</f>
        <v/>
      </c>
      <c r="Z21" s="80">
        <f>IF(X21="Sin Pago","",IFERROR(INDEX(Pagos_Odoo!$A:$A, MATCH(X21, Pagos_Odoo!$B:$B, 0)), ""))</f>
        <v/>
      </c>
      <c r="AA21" s="79">
        <f>IF(X21="Sin Pago","",IFERROR(INDEX(Pagos_Odoo!$F:$F, MATCH(X21, Pagos_Odoo!$B:$B, 0)), ""))</f>
        <v/>
      </c>
      <c r="AB21" s="81">
        <f>IF(X21="Sin Pago",0,IFERROR(INDEX(Pagos_Odoo!$E:$E, MATCH(X21, Pagos_Odoo!$B:$B, 0)), 0))</f>
        <v/>
      </c>
      <c r="AC21" s="79">
        <f>IF(X21="Sin Pago","",IFERROR(INDEX(Pagos_Odoo!$G:$G, MATCH(X21, Pagos_Odoo!$B:$B, 0)), ""))</f>
        <v/>
      </c>
      <c r="AD21" s="82" t="n">
        <v>0</v>
      </c>
      <c r="AE21" s="82" t="n"/>
      <c r="AF21" s="82" t="n"/>
      <c r="AG21" s="82">
        <f>IF(AN21="","",AD21+AE21+AF21)</f>
        <v/>
      </c>
      <c r="AH21" s="81">
        <f>IF(AN21="","",P21*(1-AG21))</f>
        <v/>
      </c>
      <c r="AI21" s="81">
        <f>IF(AN21="","",IF(Q21="Sin Factura",0,IFERROR(INDEX(Facturas_Odoo!$H:$H, MATCH(Q21, Facturas_Odoo!$B:$B, 0)), 0)*(1-AG21)))</f>
        <v/>
      </c>
      <c r="AJ21" s="81">
        <f>IF(AN21="","",_xlfn.LET(idVenta, AN21&amp;"",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" s="81">
        <f>IF(AN21="","",AH21-AJ21)</f>
        <v/>
      </c>
      <c r="AL21" s="81">
        <f>IF(AN21="","",IF(Q21="Sin Factura","",AI21-AJ21))</f>
        <v/>
      </c>
      <c r="AM21" s="81">
        <f>IF(AN21="","",IF(Q21="Sin Factura",0,P21-IFERROR(INDEX(Facturas_Odoo!$H:$H, MATCH(Q21, Facturas_Odoo!$B:$B, 0)), 0)))</f>
        <v/>
      </c>
      <c r="AN21" s="79">
        <f>IF(AND(A21="", J21=""), "", IF(A21&lt;&gt;"", VALUE(MID(A21,2,LEN(A21))), AN20))</f>
        <v/>
      </c>
      <c r="AO21" s="79">
        <f>IF(AN21="","",IF(AD21=0,"OK",_xlfn.LET(monedaPago, IF(AA21="","USD",AA21), limitePermitido, IFERROR(VLOOKUP(monedaPago, Configuración!$A$2:$B$3, 2, FALSE), 0.15), IF(AD21&gt;limitePermitido, "ALERTA: EXCESO (" &amp; TEXT(limitePermitido, "0%") &amp; " máx)", "OK"))))</f>
        <v/>
      </c>
      <c r="AP21" s="79">
        <f>IF(AN21="","",IF(AE21=0,"OK",_xlfn.LET(fechaPago, Z21, fechaFactura, R21, diasCredito, IF(E21="Pago inmediato", 0, IFERROR(VALUE(MID(E21, 1, SEARCH(" ", E21)-1)),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" s="79">
        <f>IF(AN21="","",IF(AND(N21&gt;0, AG21&gt;0), IF(Configuración!$K$2="NO", "ALERTA: DESCUENTO DOBLE NO PERMITIDO", "OK"), "OK"))</f>
        <v/>
      </c>
      <c r="AR21" s="79">
        <f>IF(AN21="","",IF(OR(AO21&lt;&gt;"OK", AP21&lt;&gt;"OK", AQ21&lt;&gt;"OK"), "⚠️ REVISAR", "OK"))</f>
        <v/>
      </c>
    </row>
    <row r="22">
      <c r="A22" s="79">
        <f>IF('Ordenes_Odoo'!A22="","",'Ordenes_Odoo'!A22)</f>
        <v/>
      </c>
      <c r="B22" s="80">
        <f>IF('Ordenes_Odoo'!B22="","",'Ordenes_Odoo'!B22)</f>
        <v/>
      </c>
      <c r="C22" s="79">
        <f>IF('Ordenes_Odoo'!C22="","",'Ordenes_Odoo'!C22)</f>
        <v/>
      </c>
      <c r="D22" s="79">
        <f>IF('Ordenes_Odoo'!D22="","",'Ordenes_Odoo'!D22)</f>
        <v/>
      </c>
      <c r="E22" s="79">
        <f>IF('Ordenes_Odoo'!E22="","",'Ordenes_Odoo'!E22)</f>
        <v/>
      </c>
      <c r="F22" s="79">
        <f>IF('Ordenes_Odoo'!F22="","",'Ordenes_Odoo'!F22)</f>
        <v/>
      </c>
      <c r="G22" s="79">
        <f>IF('Ordenes_Odoo'!G22="","",'Ordenes_Odoo'!G22)</f>
        <v/>
      </c>
      <c r="H22" s="79">
        <f>IF('Ordenes_Odoo'!H22="","",'Ordenes_Odoo'!H22)</f>
        <v/>
      </c>
      <c r="I22" s="79">
        <f>IF('Ordenes_Odoo'!I22="","",'Ordenes_Odoo'!I22)</f>
        <v/>
      </c>
      <c r="J22" s="79">
        <f>IF('Ordenes_Odoo'!J22="","",'Ordenes_Odoo'!J22)</f>
        <v/>
      </c>
      <c r="K22" s="81">
        <f>IF('Ordenes_Odoo'!K22="","",'Ordenes_Odoo'!K22)</f>
        <v/>
      </c>
      <c r="L22" s="81">
        <f>IF('Ordenes_Odoo'!L22="","",'Ordenes_Odoo'!L22)</f>
        <v/>
      </c>
      <c r="M22" s="79">
        <f>IF('Ordenes_Odoo'!M22="","",'Ordenes_Odoo'!M22)</f>
        <v/>
      </c>
      <c r="N22" s="79">
        <f>IF('Ordenes_Odoo'!N22="","",'Ordenes_Odoo'!N22)</f>
        <v/>
      </c>
      <c r="O22" s="81">
        <f>IF('Ordenes_Odoo'!O22="","",'Ordenes_Odoo'!O22)</f>
        <v/>
      </c>
      <c r="P22" s="81">
        <f>IF('Ordenes_Odoo'!P22="","",'Ordenes_Odoo'!P22)</f>
        <v/>
      </c>
      <c r="Q22" s="79">
        <f>IF(A22="","",IFERROR(INDEX(Facturas_Odoo!$B:$B, MATCH(A22, Facturas_Odoo!$D:$D, 0)), "Sin Factura"))</f>
        <v/>
      </c>
      <c r="R22" s="80">
        <f>IF(Q22="Sin Factura","",IFERROR(INDEX(Facturas_Odoo!$A:$A, MATCH(Q22, Facturas_Odoo!$B:$B, 0)), ""))</f>
        <v/>
      </c>
      <c r="S22" s="79">
        <f>IF(Q22="Sin Factura","",IFERROR(_xlfn.XLOOKUP(1, (Facturas_Odoo!$D:$D=A22) * (Facturas_Odoo!$K:$K=I22), Facturas_Odoo!$L:$L, ""), ""))</f>
        <v/>
      </c>
      <c r="T22" s="81">
        <f>IF(Q22="Sin Factura",0,IFERROR(_xlfn.XLOOKUP(1, (Facturas_Odoo!$D:$D=A22) * (Facturas_Odoo!$K:$K=I22), Facturas_Odoo!$M:$M, 0), 0))</f>
        <v/>
      </c>
      <c r="U22" s="79">
        <f>IF(Q22="Sin Factura",0,IFERROR(_xlfn.XLOOKUP(1, (Facturas_Odoo!$D:$D=A22) * (Facturas_Odoo!$K:$K=I22), Facturas_Odoo!$N:$N, 0), 0))</f>
        <v/>
      </c>
      <c r="V22" s="79">
        <f>IF(Q22="Sin Factura",0,IFERROR(_xlfn.XLOOKUP(1, (Facturas_Odoo!$D:$D=A22) * (Facturas_Odoo!$K:$K=I22), Facturas_Odoo!$O:$O, 0), 0))</f>
        <v/>
      </c>
      <c r="W22" s="81">
        <f>IF(Q22="Sin Factura",0,IFERROR(_xlfn.XLOOKUP(1, (Facturas_Odoo!$D:$D=A22) * (Facturas_Odoo!$K:$K=I22), Facturas_Odoo!$Q:$Q, 0), 0))</f>
        <v/>
      </c>
      <c r="X22" s="79">
        <f>IF(OR(Q22="Sin Factura",Q22=""),"",IFERROR(INDEX(Pagos_Odoo!$B:$B, MATCH(Q22, Pagos_Odoo!$I:$I, 0)), "Sin Pago"))</f>
        <v/>
      </c>
      <c r="Y22" s="79">
        <f>IF(X22="Sin Pago","",IFERROR(INDEX(Pagos_Odoo!$C:$C, MATCH(X22, Pagos_Odoo!$B:$B, 0)), ""))</f>
        <v/>
      </c>
      <c r="Z22" s="80">
        <f>IF(X22="Sin Pago","",IFERROR(INDEX(Pagos_Odoo!$A:$A, MATCH(X22, Pagos_Odoo!$B:$B, 0)), ""))</f>
        <v/>
      </c>
      <c r="AA22" s="79">
        <f>IF(X22="Sin Pago","",IFERROR(INDEX(Pagos_Odoo!$F:$F, MATCH(X22, Pagos_Odoo!$B:$B, 0)), ""))</f>
        <v/>
      </c>
      <c r="AB22" s="81">
        <f>IF(X22="Sin Pago",0,IFERROR(INDEX(Pagos_Odoo!$E:$E, MATCH(X22, Pagos_Odoo!$B:$B, 0)), 0))</f>
        <v/>
      </c>
      <c r="AC22" s="79">
        <f>IF(X22="Sin Pago","",IFERROR(INDEX(Pagos_Odoo!$G:$G, MATCH(X22, Pagos_Odoo!$B:$B, 0)), ""))</f>
        <v/>
      </c>
      <c r="AD22" s="82" t="n">
        <v>0</v>
      </c>
      <c r="AE22" s="82" t="n"/>
      <c r="AF22" s="82" t="n"/>
      <c r="AG22" s="82">
        <f>IF(AN22="","",AD22+AE22+AF22)</f>
        <v/>
      </c>
      <c r="AH22" s="81">
        <f>IF(AN22="","",P22*(1-AG22))</f>
        <v/>
      </c>
      <c r="AI22" s="81">
        <f>IF(AN22="","",IF(Q22="Sin Factura",0,IFERROR(INDEX(Facturas_Odoo!$H:$H, MATCH(Q22, Facturas_Odoo!$B:$B, 0)), 0)*(1-AG22)))</f>
        <v/>
      </c>
      <c r="AJ22" s="81">
        <f>IF(AN22="","",_xlfn.LET(idVenta, AN22&amp;"",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" s="81">
        <f>IF(AN22="","",AH22-AJ22)</f>
        <v/>
      </c>
      <c r="AL22" s="81">
        <f>IF(AN22="","",IF(Q22="Sin Factura","",AI22-AJ22))</f>
        <v/>
      </c>
      <c r="AM22" s="81">
        <f>IF(AN22="","",IF(Q22="Sin Factura",0,P22-IFERROR(INDEX(Facturas_Odoo!$H:$H, MATCH(Q22, Facturas_Odoo!$B:$B, 0)), 0)))</f>
        <v/>
      </c>
      <c r="AN22" s="79">
        <f>IF(AND(A22="", J22=""), "", IF(A22&lt;&gt;"", VALUE(MID(A22,2,LEN(A22))), AN21))</f>
        <v/>
      </c>
      <c r="AO22" s="79">
        <f>IF(AN22="","",IF(AD22=0,"OK",_xlfn.LET(monedaPago, IF(AA22="","USD",AA22), limitePermitido, IFERROR(VLOOKUP(monedaPago, Configuración!$A$2:$B$3, 2, FALSE), 0.15), IF(AD22&gt;limitePermitido, "ALERTA: EXCESO (" &amp; TEXT(limitePermitido, "0%") &amp; " máx)", "OK"))))</f>
        <v/>
      </c>
      <c r="AP22" s="79">
        <f>IF(AN22="","",IF(AE22=0,"OK",_xlfn.LET(fechaPago, Z22, fechaFactura, R22, diasCredito, IF(E22="Pago inmediato", 0, IFERROR(VALUE(MID(E22, 1, SEARCH(" ", E22)-1)),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" s="79">
        <f>IF(AN22="","",IF(AND(N22&gt;0, AG22&gt;0), IF(Configuración!$K$2="NO", "ALERTA: DESCUENTO DOBLE NO PERMITIDO", "OK"), "OK"))</f>
        <v/>
      </c>
      <c r="AR22" s="79">
        <f>IF(AN22="","",IF(OR(AO22&lt;&gt;"OK", AP22&lt;&gt;"OK", AQ22&lt;&gt;"OK"), "⚠️ REVISAR", "OK"))</f>
        <v/>
      </c>
    </row>
    <row r="23">
      <c r="A23" s="79">
        <f>IF('Ordenes_Odoo'!A23="","",'Ordenes_Odoo'!A23)</f>
        <v/>
      </c>
      <c r="B23" s="80">
        <f>IF('Ordenes_Odoo'!B23="","",'Ordenes_Odoo'!B23)</f>
        <v/>
      </c>
      <c r="C23" s="79">
        <f>IF('Ordenes_Odoo'!C23="","",'Ordenes_Odoo'!C23)</f>
        <v/>
      </c>
      <c r="D23" s="79">
        <f>IF('Ordenes_Odoo'!D23="","",'Ordenes_Odoo'!D23)</f>
        <v/>
      </c>
      <c r="E23" s="79">
        <f>IF('Ordenes_Odoo'!E23="","",'Ordenes_Odoo'!E23)</f>
        <v/>
      </c>
      <c r="F23" s="79">
        <f>IF('Ordenes_Odoo'!F23="","",'Ordenes_Odoo'!F23)</f>
        <v/>
      </c>
      <c r="G23" s="79">
        <f>IF('Ordenes_Odoo'!G23="","",'Ordenes_Odoo'!G23)</f>
        <v/>
      </c>
      <c r="H23" s="79">
        <f>IF('Ordenes_Odoo'!H23="","",'Ordenes_Odoo'!H23)</f>
        <v/>
      </c>
      <c r="I23" s="79">
        <f>IF('Ordenes_Odoo'!I23="","",'Ordenes_Odoo'!I23)</f>
        <v/>
      </c>
      <c r="J23" s="79">
        <f>IF('Ordenes_Odoo'!J23="","",'Ordenes_Odoo'!J23)</f>
        <v/>
      </c>
      <c r="K23" s="81">
        <f>IF('Ordenes_Odoo'!K23="","",'Ordenes_Odoo'!K23)</f>
        <v/>
      </c>
      <c r="L23" s="81">
        <f>IF('Ordenes_Odoo'!L23="","",'Ordenes_Odoo'!L23)</f>
        <v/>
      </c>
      <c r="M23" s="79">
        <f>IF('Ordenes_Odoo'!M23="","",'Ordenes_Odoo'!M23)</f>
        <v/>
      </c>
      <c r="N23" s="79">
        <f>IF('Ordenes_Odoo'!N23="","",'Ordenes_Odoo'!N23)</f>
        <v/>
      </c>
      <c r="O23" s="81">
        <f>IF('Ordenes_Odoo'!O23="","",'Ordenes_Odoo'!O23)</f>
        <v/>
      </c>
      <c r="P23" s="81">
        <f>IF('Ordenes_Odoo'!P23="","",'Ordenes_Odoo'!P23)</f>
        <v/>
      </c>
      <c r="Q23" s="79">
        <f>IF(A23="","",IFERROR(INDEX(Facturas_Odoo!$B:$B, MATCH(A23, Facturas_Odoo!$D:$D, 0)), "Sin Factura"))</f>
        <v/>
      </c>
      <c r="R23" s="80">
        <f>IF(Q23="Sin Factura","",IFERROR(INDEX(Facturas_Odoo!$A:$A, MATCH(Q23, Facturas_Odoo!$B:$B, 0)), ""))</f>
        <v/>
      </c>
      <c r="S23" s="79">
        <f>IF(Q23="Sin Factura","",IFERROR(_xlfn.XLOOKUP(1, (Facturas_Odoo!$D:$D=A23) * (Facturas_Odoo!$K:$K=I23), Facturas_Odoo!$L:$L, ""), ""))</f>
        <v/>
      </c>
      <c r="T23" s="81">
        <f>IF(Q23="Sin Factura",0,IFERROR(_xlfn.XLOOKUP(1, (Facturas_Odoo!$D:$D=A23) * (Facturas_Odoo!$K:$K=I23), Facturas_Odoo!$M:$M, 0), 0))</f>
        <v/>
      </c>
      <c r="U23" s="79">
        <f>IF(Q23="Sin Factura",0,IFERROR(_xlfn.XLOOKUP(1, (Facturas_Odoo!$D:$D=A23) * (Facturas_Odoo!$K:$K=I23), Facturas_Odoo!$N:$N, 0), 0))</f>
        <v/>
      </c>
      <c r="V23" s="79">
        <f>IF(Q23="Sin Factura",0,IFERROR(_xlfn.XLOOKUP(1, (Facturas_Odoo!$D:$D=A23) * (Facturas_Odoo!$K:$K=I23), Facturas_Odoo!$O:$O, 0), 0))</f>
        <v/>
      </c>
      <c r="W23" s="81">
        <f>IF(Q23="Sin Factura",0,IFERROR(_xlfn.XLOOKUP(1, (Facturas_Odoo!$D:$D=A23) * (Facturas_Odoo!$K:$K=I23), Facturas_Odoo!$Q:$Q, 0), 0))</f>
        <v/>
      </c>
      <c r="X23" s="79">
        <f>IF(OR(Q23="Sin Factura",Q23=""),"",IFERROR(INDEX(Pagos_Odoo!$B:$B, MATCH(Q23, Pagos_Odoo!$I:$I, 0)), "Sin Pago"))</f>
        <v/>
      </c>
      <c r="Y23" s="79">
        <f>IF(X23="Sin Pago","",IFERROR(INDEX(Pagos_Odoo!$C:$C, MATCH(X23, Pagos_Odoo!$B:$B, 0)), ""))</f>
        <v/>
      </c>
      <c r="Z23" s="80">
        <f>IF(X23="Sin Pago","",IFERROR(INDEX(Pagos_Odoo!$A:$A, MATCH(X23, Pagos_Odoo!$B:$B, 0)), ""))</f>
        <v/>
      </c>
      <c r="AA23" s="79">
        <f>IF(X23="Sin Pago","",IFERROR(INDEX(Pagos_Odoo!$F:$F, MATCH(X23, Pagos_Odoo!$B:$B, 0)), ""))</f>
        <v/>
      </c>
      <c r="AB23" s="81">
        <f>IF(X23="Sin Pago",0,IFERROR(INDEX(Pagos_Odoo!$E:$E, MATCH(X23, Pagos_Odoo!$B:$B, 0)), 0))</f>
        <v/>
      </c>
      <c r="AC23" s="79">
        <f>IF(X23="Sin Pago","",IFERROR(INDEX(Pagos_Odoo!$G:$G, MATCH(X23, Pagos_Odoo!$B:$B, 0)), ""))</f>
        <v/>
      </c>
      <c r="AD23" s="82" t="n">
        <v>0</v>
      </c>
      <c r="AE23" s="82" t="n"/>
      <c r="AF23" s="82" t="n"/>
      <c r="AG23" s="82">
        <f>IF(AN23="","",AD23+AE23+AF23)</f>
        <v/>
      </c>
      <c r="AH23" s="81">
        <f>IF(AN23="","",P23*(1-AG23))</f>
        <v/>
      </c>
      <c r="AI23" s="81">
        <f>IF(AN23="","",IF(Q23="Sin Factura",0,IFERROR(INDEX(Facturas_Odoo!$H:$H, MATCH(Q23, Facturas_Odoo!$B:$B, 0)), 0)*(1-AG23)))</f>
        <v/>
      </c>
      <c r="AJ23" s="81">
        <f>IF(AN23="","",_xlfn.LET(idVenta, AN23&amp;"",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" s="81">
        <f>IF(AN23="","",AH23-AJ23)</f>
        <v/>
      </c>
      <c r="AL23" s="81">
        <f>IF(AN23="","",IF(Q23="Sin Factura","",AI23-AJ23))</f>
        <v/>
      </c>
      <c r="AM23" s="81">
        <f>IF(AN23="","",IF(Q23="Sin Factura",0,P23-IFERROR(INDEX(Facturas_Odoo!$H:$H, MATCH(Q23, Facturas_Odoo!$B:$B, 0)), 0)))</f>
        <v/>
      </c>
      <c r="AN23" s="79">
        <f>IF(AND(A23="", J23=""), "", IF(A23&lt;&gt;"", VALUE(MID(A23,2,LEN(A23))), AN22))</f>
        <v/>
      </c>
      <c r="AO23" s="79">
        <f>IF(AN23="","",IF(AD23=0,"OK",_xlfn.LET(monedaPago, IF(AA23="","USD",AA23), limitePermitido, IFERROR(VLOOKUP(monedaPago, Configuración!$A$2:$B$3, 2, FALSE), 0.15), IF(AD23&gt;limitePermitido, "ALERTA: EXCESO (" &amp; TEXT(limitePermitido, "0%") &amp; " máx)", "OK"))))</f>
        <v/>
      </c>
      <c r="AP23" s="79">
        <f>IF(AN23="","",IF(AE23=0,"OK",_xlfn.LET(fechaPago, Z23, fechaFactura, R23, diasCredito, IF(E23="Pago inmediato", 0, IFERROR(VALUE(MID(E23, 1, SEARCH(" ", E23)-1)),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" s="79">
        <f>IF(AN23="","",IF(AND(N23&gt;0, AG23&gt;0), IF(Configuración!$K$2="NO", "ALERTA: DESCUENTO DOBLE NO PERMITIDO", "OK"), "OK"))</f>
        <v/>
      </c>
      <c r="AR23" s="79">
        <f>IF(AN23="","",IF(OR(AO23&lt;&gt;"OK", AP23&lt;&gt;"OK", AQ23&lt;&gt;"OK"), "⚠️ REVISAR", "OK"))</f>
        <v/>
      </c>
    </row>
    <row r="24">
      <c r="A24" s="79">
        <f>IF('Ordenes_Odoo'!A24="","",'Ordenes_Odoo'!A24)</f>
        <v/>
      </c>
      <c r="B24" s="80">
        <f>IF('Ordenes_Odoo'!B24="","",'Ordenes_Odoo'!B24)</f>
        <v/>
      </c>
      <c r="C24" s="79">
        <f>IF('Ordenes_Odoo'!C24="","",'Ordenes_Odoo'!C24)</f>
        <v/>
      </c>
      <c r="D24" s="79">
        <f>IF('Ordenes_Odoo'!D24="","",'Ordenes_Odoo'!D24)</f>
        <v/>
      </c>
      <c r="E24" s="79">
        <f>IF('Ordenes_Odoo'!E24="","",'Ordenes_Odoo'!E24)</f>
        <v/>
      </c>
      <c r="F24" s="79">
        <f>IF('Ordenes_Odoo'!F24="","",'Ordenes_Odoo'!F24)</f>
        <v/>
      </c>
      <c r="G24" s="79">
        <f>IF('Ordenes_Odoo'!G24="","",'Ordenes_Odoo'!G24)</f>
        <v/>
      </c>
      <c r="H24" s="79">
        <f>IF('Ordenes_Odoo'!H24="","",'Ordenes_Odoo'!H24)</f>
        <v/>
      </c>
      <c r="I24" s="79">
        <f>IF('Ordenes_Odoo'!I24="","",'Ordenes_Odoo'!I24)</f>
        <v/>
      </c>
      <c r="J24" s="79">
        <f>IF('Ordenes_Odoo'!J24="","",'Ordenes_Odoo'!J24)</f>
        <v/>
      </c>
      <c r="K24" s="81">
        <f>IF('Ordenes_Odoo'!K24="","",'Ordenes_Odoo'!K24)</f>
        <v/>
      </c>
      <c r="L24" s="81">
        <f>IF('Ordenes_Odoo'!L24="","",'Ordenes_Odoo'!L24)</f>
        <v/>
      </c>
      <c r="M24" s="79">
        <f>IF('Ordenes_Odoo'!M24="","",'Ordenes_Odoo'!M24)</f>
        <v/>
      </c>
      <c r="N24" s="79">
        <f>IF('Ordenes_Odoo'!N24="","",'Ordenes_Odoo'!N24)</f>
        <v/>
      </c>
      <c r="O24" s="81">
        <f>IF('Ordenes_Odoo'!O24="","",'Ordenes_Odoo'!O24)</f>
        <v/>
      </c>
      <c r="P24" s="81">
        <f>IF('Ordenes_Odoo'!P24="","",'Ordenes_Odoo'!P24)</f>
        <v/>
      </c>
      <c r="Q24" s="79">
        <f>IF(A24="","",IFERROR(INDEX(Facturas_Odoo!$B:$B, MATCH(A24, Facturas_Odoo!$D:$D, 0)), "Sin Factura"))</f>
        <v/>
      </c>
      <c r="R24" s="80">
        <f>IF(Q24="Sin Factura","",IFERROR(INDEX(Facturas_Odoo!$A:$A, MATCH(Q24, Facturas_Odoo!$B:$B, 0)), ""))</f>
        <v/>
      </c>
      <c r="S24" s="79">
        <f>IF(Q24="Sin Factura","",IFERROR(_xlfn.XLOOKUP(1, (Facturas_Odoo!$D:$D=A24) * (Facturas_Odoo!$K:$K=I24), Facturas_Odoo!$L:$L, ""), ""))</f>
        <v/>
      </c>
      <c r="T24" s="81">
        <f>IF(Q24="Sin Factura",0,IFERROR(_xlfn.XLOOKUP(1, (Facturas_Odoo!$D:$D=A24) * (Facturas_Odoo!$K:$K=I24), Facturas_Odoo!$M:$M, 0), 0))</f>
        <v/>
      </c>
      <c r="U24" s="79">
        <f>IF(Q24="Sin Factura",0,IFERROR(_xlfn.XLOOKUP(1, (Facturas_Odoo!$D:$D=A24) * (Facturas_Odoo!$K:$K=I24), Facturas_Odoo!$N:$N, 0), 0))</f>
        <v/>
      </c>
      <c r="V24" s="79">
        <f>IF(Q24="Sin Factura",0,IFERROR(_xlfn.XLOOKUP(1, (Facturas_Odoo!$D:$D=A24) * (Facturas_Odoo!$K:$K=I24), Facturas_Odoo!$O:$O, 0), 0))</f>
        <v/>
      </c>
      <c r="W24" s="81">
        <f>IF(Q24="Sin Factura",0,IFERROR(_xlfn.XLOOKUP(1, (Facturas_Odoo!$D:$D=A24) * (Facturas_Odoo!$K:$K=I24), Facturas_Odoo!$Q:$Q, 0), 0))</f>
        <v/>
      </c>
      <c r="X24" s="79">
        <f>IF(OR(Q24="Sin Factura",Q24=""),"",IFERROR(INDEX(Pagos_Odoo!$B:$B, MATCH(Q24, Pagos_Odoo!$I:$I, 0)), "Sin Pago"))</f>
        <v/>
      </c>
      <c r="Y24" s="79">
        <f>IF(X24="Sin Pago","",IFERROR(INDEX(Pagos_Odoo!$C:$C, MATCH(X24, Pagos_Odoo!$B:$B, 0)), ""))</f>
        <v/>
      </c>
      <c r="Z24" s="80">
        <f>IF(X24="Sin Pago","",IFERROR(INDEX(Pagos_Odoo!$A:$A, MATCH(X24, Pagos_Odoo!$B:$B, 0)), ""))</f>
        <v/>
      </c>
      <c r="AA24" s="79">
        <f>IF(X24="Sin Pago","",IFERROR(INDEX(Pagos_Odoo!$F:$F, MATCH(X24, Pagos_Odoo!$B:$B, 0)), ""))</f>
        <v/>
      </c>
      <c r="AB24" s="81">
        <f>IF(X24="Sin Pago",0,IFERROR(INDEX(Pagos_Odoo!$E:$E, MATCH(X24, Pagos_Odoo!$B:$B, 0)), 0))</f>
        <v/>
      </c>
      <c r="AC24" s="79">
        <f>IF(X24="Sin Pago","",IFERROR(INDEX(Pagos_Odoo!$G:$G, MATCH(X24, Pagos_Odoo!$B:$B, 0)), ""))</f>
        <v/>
      </c>
      <c r="AD24" s="82" t="n">
        <v>0</v>
      </c>
      <c r="AE24" s="82" t="n"/>
      <c r="AF24" s="82" t="n"/>
      <c r="AG24" s="82">
        <f>IF(AN24="","",AD24+AE24+AF24)</f>
        <v/>
      </c>
      <c r="AH24" s="81">
        <f>IF(AN24="","",P24*(1-AG24))</f>
        <v/>
      </c>
      <c r="AI24" s="81">
        <f>IF(AN24="","",IF(Q24="Sin Factura",0,IFERROR(INDEX(Facturas_Odoo!$H:$H, MATCH(Q24, Facturas_Odoo!$B:$B, 0)), 0)*(1-AG24)))</f>
        <v/>
      </c>
      <c r="AJ24" s="81">
        <f>IF(AN24="","",_xlfn.LET(idVenta, AN24&amp;"",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" s="81">
        <f>IF(AN24="","",AH24-AJ24)</f>
        <v/>
      </c>
      <c r="AL24" s="81">
        <f>IF(AN24="","",IF(Q24="Sin Factura","",AI24-AJ24))</f>
        <v/>
      </c>
      <c r="AM24" s="81">
        <f>IF(AN24="","",IF(Q24="Sin Factura",0,P24-IFERROR(INDEX(Facturas_Odoo!$H:$H, MATCH(Q24, Facturas_Odoo!$B:$B, 0)), 0)))</f>
        <v/>
      </c>
      <c r="AN24" s="79">
        <f>IF(AND(A24="", J24=""), "", IF(A24&lt;&gt;"", VALUE(MID(A24,2,LEN(A24))), AN23))</f>
        <v/>
      </c>
      <c r="AO24" s="79">
        <f>IF(AN24="","",IF(AD24=0,"OK",_xlfn.LET(monedaPago, IF(AA24="","USD",AA24), limitePermitido, IFERROR(VLOOKUP(monedaPago, Configuración!$A$2:$B$3, 2, FALSE), 0.15), IF(AD24&gt;limitePermitido, "ALERTA: EXCESO (" &amp; TEXT(limitePermitido, "0%") &amp; " máx)", "OK"))))</f>
        <v/>
      </c>
      <c r="AP24" s="79">
        <f>IF(AN24="","",IF(AE24=0,"OK",_xlfn.LET(fechaPago, Z24, fechaFactura, R24, diasCredito, IF(E24="Pago inmediato", 0, IFERROR(VALUE(MID(E24, 1, SEARCH(" ", E24)-1)),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" s="79">
        <f>IF(AN24="","",IF(AND(N24&gt;0, AG24&gt;0), IF(Configuración!$K$2="NO", "ALERTA: DESCUENTO DOBLE NO PERMITIDO", "OK"), "OK"))</f>
        <v/>
      </c>
      <c r="AR24" s="79">
        <f>IF(AN24="","",IF(OR(AO24&lt;&gt;"OK", AP24&lt;&gt;"OK", AQ24&lt;&gt;"OK"), "⚠️ REVISAR", "OK"))</f>
        <v/>
      </c>
    </row>
    <row r="25">
      <c r="A25" s="79">
        <f>IF('Ordenes_Odoo'!A25="","",'Ordenes_Odoo'!A25)</f>
        <v/>
      </c>
      <c r="B25" s="80">
        <f>IF('Ordenes_Odoo'!B25="","",'Ordenes_Odoo'!B25)</f>
        <v/>
      </c>
      <c r="C25" s="79">
        <f>IF('Ordenes_Odoo'!C25="","",'Ordenes_Odoo'!C25)</f>
        <v/>
      </c>
      <c r="D25" s="79">
        <f>IF('Ordenes_Odoo'!D25="","",'Ordenes_Odoo'!D25)</f>
        <v/>
      </c>
      <c r="E25" s="79">
        <f>IF('Ordenes_Odoo'!E25="","",'Ordenes_Odoo'!E25)</f>
        <v/>
      </c>
      <c r="F25" s="79">
        <f>IF('Ordenes_Odoo'!F25="","",'Ordenes_Odoo'!F25)</f>
        <v/>
      </c>
      <c r="G25" s="79">
        <f>IF('Ordenes_Odoo'!G25="","",'Ordenes_Odoo'!G25)</f>
        <v/>
      </c>
      <c r="H25" s="79">
        <f>IF('Ordenes_Odoo'!H25="","",'Ordenes_Odoo'!H25)</f>
        <v/>
      </c>
      <c r="I25" s="79">
        <f>IF('Ordenes_Odoo'!I25="","",'Ordenes_Odoo'!I25)</f>
        <v/>
      </c>
      <c r="J25" s="79">
        <f>IF('Ordenes_Odoo'!J25="","",'Ordenes_Odoo'!J25)</f>
        <v/>
      </c>
      <c r="K25" s="81">
        <f>IF('Ordenes_Odoo'!K25="","",'Ordenes_Odoo'!K25)</f>
        <v/>
      </c>
      <c r="L25" s="81">
        <f>IF('Ordenes_Odoo'!L25="","",'Ordenes_Odoo'!L25)</f>
        <v/>
      </c>
      <c r="M25" s="79">
        <f>IF('Ordenes_Odoo'!M25="","",'Ordenes_Odoo'!M25)</f>
        <v/>
      </c>
      <c r="N25" s="79">
        <f>IF('Ordenes_Odoo'!N25="","",'Ordenes_Odoo'!N25)</f>
        <v/>
      </c>
      <c r="O25" s="81">
        <f>IF('Ordenes_Odoo'!O25="","",'Ordenes_Odoo'!O25)</f>
        <v/>
      </c>
      <c r="P25" s="81">
        <f>IF('Ordenes_Odoo'!P25="","",'Ordenes_Odoo'!P25)</f>
        <v/>
      </c>
      <c r="Q25" s="79">
        <f>IF(A25="","",IFERROR(INDEX(Facturas_Odoo!$B:$B, MATCH(A25, Facturas_Odoo!$D:$D, 0)), "Sin Factura"))</f>
        <v/>
      </c>
      <c r="R25" s="80">
        <f>IF(Q25="Sin Factura","",IFERROR(INDEX(Facturas_Odoo!$A:$A, MATCH(Q25, Facturas_Odoo!$B:$B, 0)), ""))</f>
        <v/>
      </c>
      <c r="S25" s="79">
        <f>IF(Q25="Sin Factura","",IFERROR(_xlfn.XLOOKUP(1, (Facturas_Odoo!$D:$D=A25) * (Facturas_Odoo!$K:$K=I25), Facturas_Odoo!$L:$L, ""), ""))</f>
        <v/>
      </c>
      <c r="T25" s="81">
        <f>IF(Q25="Sin Factura",0,IFERROR(_xlfn.XLOOKUP(1, (Facturas_Odoo!$D:$D=A25) * (Facturas_Odoo!$K:$K=I25), Facturas_Odoo!$M:$M, 0), 0))</f>
        <v/>
      </c>
      <c r="U25" s="79">
        <f>IF(Q25="Sin Factura",0,IFERROR(_xlfn.XLOOKUP(1, (Facturas_Odoo!$D:$D=A25) * (Facturas_Odoo!$K:$K=I25), Facturas_Odoo!$N:$N, 0), 0))</f>
        <v/>
      </c>
      <c r="V25" s="79">
        <f>IF(Q25="Sin Factura",0,IFERROR(_xlfn.XLOOKUP(1, (Facturas_Odoo!$D:$D=A25) * (Facturas_Odoo!$K:$K=I25), Facturas_Odoo!$O:$O, 0), 0))</f>
        <v/>
      </c>
      <c r="W25" s="81">
        <f>IF(Q25="Sin Factura",0,IFERROR(_xlfn.XLOOKUP(1, (Facturas_Odoo!$D:$D=A25) * (Facturas_Odoo!$K:$K=I25), Facturas_Odoo!$Q:$Q, 0), 0))</f>
        <v/>
      </c>
      <c r="X25" s="79">
        <f>IF(OR(Q25="Sin Factura",Q25=""),"",IFERROR(INDEX(Pagos_Odoo!$B:$B, MATCH(Q25, Pagos_Odoo!$I:$I, 0)), "Sin Pago"))</f>
        <v/>
      </c>
      <c r="Y25" s="79">
        <f>IF(X25="Sin Pago","",IFERROR(INDEX(Pagos_Odoo!$C:$C, MATCH(X25, Pagos_Odoo!$B:$B, 0)), ""))</f>
        <v/>
      </c>
      <c r="Z25" s="80">
        <f>IF(X25="Sin Pago","",IFERROR(INDEX(Pagos_Odoo!$A:$A, MATCH(X25, Pagos_Odoo!$B:$B, 0)), ""))</f>
        <v/>
      </c>
      <c r="AA25" s="79">
        <f>IF(X25="Sin Pago","",IFERROR(INDEX(Pagos_Odoo!$F:$F, MATCH(X25, Pagos_Odoo!$B:$B, 0)), ""))</f>
        <v/>
      </c>
      <c r="AB25" s="81">
        <f>IF(X25="Sin Pago",0,IFERROR(INDEX(Pagos_Odoo!$E:$E, MATCH(X25, Pagos_Odoo!$B:$B, 0)), 0))</f>
        <v/>
      </c>
      <c r="AC25" s="79">
        <f>IF(X25="Sin Pago","",IFERROR(INDEX(Pagos_Odoo!$G:$G, MATCH(X25, Pagos_Odoo!$B:$B, 0)), ""))</f>
        <v/>
      </c>
      <c r="AD25" s="82" t="n">
        <v>0</v>
      </c>
      <c r="AE25" s="82" t="n"/>
      <c r="AF25" s="82" t="n"/>
      <c r="AG25" s="82">
        <f>IF(AN25="","",AD25+AE25+AF25)</f>
        <v/>
      </c>
      <c r="AH25" s="81">
        <f>IF(AN25="","",P25*(1-AG25))</f>
        <v/>
      </c>
      <c r="AI25" s="81">
        <f>IF(AN25="","",IF(Q25="Sin Factura",0,IFERROR(INDEX(Facturas_Odoo!$H:$H, MATCH(Q25, Facturas_Odoo!$B:$B, 0)), 0)*(1-AG25)))</f>
        <v/>
      </c>
      <c r="AJ25" s="81">
        <f>IF(AN25="","",_xlfn.LET(idVenta, AN25&amp;"",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" s="81">
        <f>IF(AN25="","",AH25-AJ25)</f>
        <v/>
      </c>
      <c r="AL25" s="81">
        <f>IF(AN25="","",IF(Q25="Sin Factura","",AI25-AJ25))</f>
        <v/>
      </c>
      <c r="AM25" s="81">
        <f>IF(AN25="","",IF(Q25="Sin Factura",0,P25-IFERROR(INDEX(Facturas_Odoo!$H:$H, MATCH(Q25, Facturas_Odoo!$B:$B, 0)), 0)))</f>
        <v/>
      </c>
      <c r="AN25" s="79">
        <f>IF(AND(A25="", J25=""), "", IF(A25&lt;&gt;"", VALUE(MID(A25,2,LEN(A25))), AN24))</f>
        <v/>
      </c>
      <c r="AO25" s="79">
        <f>IF(AN25="","",IF(AD25=0,"OK",_xlfn.LET(monedaPago, IF(AA25="","USD",AA25), limitePermitido, IFERROR(VLOOKUP(monedaPago, Configuración!$A$2:$B$3, 2, FALSE), 0.15), IF(AD25&gt;limitePermitido, "ALERTA: EXCESO (" &amp; TEXT(limitePermitido, "0%") &amp; " máx)", "OK"))))</f>
        <v/>
      </c>
      <c r="AP25" s="79">
        <f>IF(AN25="","",IF(AE25=0,"OK",_xlfn.LET(fechaPago, Z25, fechaFactura, R25, diasCredito, IF(E25="Pago inmediato", 0, IFERROR(VALUE(MID(E25, 1, SEARCH(" ", E25)-1)),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" s="79">
        <f>IF(AN25="","",IF(AND(N25&gt;0, AG25&gt;0), IF(Configuración!$K$2="NO", "ALERTA: DESCUENTO DOBLE NO PERMITIDO", "OK"), "OK"))</f>
        <v/>
      </c>
      <c r="AR25" s="79">
        <f>IF(AN25="","",IF(OR(AO25&lt;&gt;"OK", AP25&lt;&gt;"OK", AQ25&lt;&gt;"OK"), "⚠️ REVISAR", "OK"))</f>
        <v/>
      </c>
    </row>
    <row r="26">
      <c r="A26" s="79">
        <f>IF('Ordenes_Odoo'!A26="","",'Ordenes_Odoo'!A26)</f>
        <v/>
      </c>
      <c r="B26" s="80">
        <f>IF('Ordenes_Odoo'!B26="","",'Ordenes_Odoo'!B26)</f>
        <v/>
      </c>
      <c r="C26" s="79">
        <f>IF('Ordenes_Odoo'!C26="","",'Ordenes_Odoo'!C26)</f>
        <v/>
      </c>
      <c r="D26" s="79">
        <f>IF('Ordenes_Odoo'!D26="","",'Ordenes_Odoo'!D26)</f>
        <v/>
      </c>
      <c r="E26" s="79">
        <f>IF('Ordenes_Odoo'!E26="","",'Ordenes_Odoo'!E26)</f>
        <v/>
      </c>
      <c r="F26" s="79">
        <f>IF('Ordenes_Odoo'!F26="","",'Ordenes_Odoo'!F26)</f>
        <v/>
      </c>
      <c r="G26" s="79">
        <f>IF('Ordenes_Odoo'!G26="","",'Ordenes_Odoo'!G26)</f>
        <v/>
      </c>
      <c r="H26" s="79">
        <f>IF('Ordenes_Odoo'!H26="","",'Ordenes_Odoo'!H26)</f>
        <v/>
      </c>
      <c r="I26" s="79">
        <f>IF('Ordenes_Odoo'!I26="","",'Ordenes_Odoo'!I26)</f>
        <v/>
      </c>
      <c r="J26" s="79">
        <f>IF('Ordenes_Odoo'!J26="","",'Ordenes_Odoo'!J26)</f>
        <v/>
      </c>
      <c r="K26" s="81">
        <f>IF('Ordenes_Odoo'!K26="","",'Ordenes_Odoo'!K26)</f>
        <v/>
      </c>
      <c r="L26" s="81">
        <f>IF('Ordenes_Odoo'!L26="","",'Ordenes_Odoo'!L26)</f>
        <v/>
      </c>
      <c r="M26" s="79">
        <f>IF('Ordenes_Odoo'!M26="","",'Ordenes_Odoo'!M26)</f>
        <v/>
      </c>
      <c r="N26" s="79">
        <f>IF('Ordenes_Odoo'!N26="","",'Ordenes_Odoo'!N26)</f>
        <v/>
      </c>
      <c r="O26" s="81">
        <f>IF('Ordenes_Odoo'!O26="","",'Ordenes_Odoo'!O26)</f>
        <v/>
      </c>
      <c r="P26" s="81">
        <f>IF('Ordenes_Odoo'!P26="","",'Ordenes_Odoo'!P26)</f>
        <v/>
      </c>
      <c r="Q26" s="79">
        <f>IF(A26="","",IFERROR(INDEX(Facturas_Odoo!$B:$B, MATCH(A26, Facturas_Odoo!$D:$D, 0)), "Sin Factura"))</f>
        <v/>
      </c>
      <c r="R26" s="80">
        <f>IF(Q26="Sin Factura","",IFERROR(INDEX(Facturas_Odoo!$A:$A, MATCH(Q26, Facturas_Odoo!$B:$B, 0)), ""))</f>
        <v/>
      </c>
      <c r="S26" s="79">
        <f>IF(Q26="Sin Factura","",IFERROR(_xlfn.XLOOKUP(1, (Facturas_Odoo!$D:$D=A26) * (Facturas_Odoo!$K:$K=I26), Facturas_Odoo!$L:$L, ""), ""))</f>
        <v/>
      </c>
      <c r="T26" s="81">
        <f>IF(Q26="Sin Factura",0,IFERROR(_xlfn.XLOOKUP(1, (Facturas_Odoo!$D:$D=A26) * (Facturas_Odoo!$K:$K=I26), Facturas_Odoo!$M:$M, 0), 0))</f>
        <v/>
      </c>
      <c r="U26" s="79">
        <f>IF(Q26="Sin Factura",0,IFERROR(_xlfn.XLOOKUP(1, (Facturas_Odoo!$D:$D=A26) * (Facturas_Odoo!$K:$K=I26), Facturas_Odoo!$N:$N, 0), 0))</f>
        <v/>
      </c>
      <c r="V26" s="79">
        <f>IF(Q26="Sin Factura",0,IFERROR(_xlfn.XLOOKUP(1, (Facturas_Odoo!$D:$D=A26) * (Facturas_Odoo!$K:$K=I26), Facturas_Odoo!$O:$O, 0), 0))</f>
        <v/>
      </c>
      <c r="W26" s="81">
        <f>IF(Q26="Sin Factura",0,IFERROR(_xlfn.XLOOKUP(1, (Facturas_Odoo!$D:$D=A26) * (Facturas_Odoo!$K:$K=I26), Facturas_Odoo!$Q:$Q, 0), 0))</f>
        <v/>
      </c>
      <c r="X26" s="79">
        <f>IF(OR(Q26="Sin Factura",Q26=""),"",IFERROR(INDEX(Pagos_Odoo!$B:$B, MATCH(Q26, Pagos_Odoo!$I:$I, 0)), "Sin Pago"))</f>
        <v/>
      </c>
      <c r="Y26" s="79">
        <f>IF(X26="Sin Pago","",IFERROR(INDEX(Pagos_Odoo!$C:$C, MATCH(X26, Pagos_Odoo!$B:$B, 0)), ""))</f>
        <v/>
      </c>
      <c r="Z26" s="80">
        <f>IF(X26="Sin Pago","",IFERROR(INDEX(Pagos_Odoo!$A:$A, MATCH(X26, Pagos_Odoo!$B:$B, 0)), ""))</f>
        <v/>
      </c>
      <c r="AA26" s="79">
        <f>IF(X26="Sin Pago","",IFERROR(INDEX(Pagos_Odoo!$F:$F, MATCH(X26, Pagos_Odoo!$B:$B, 0)), ""))</f>
        <v/>
      </c>
      <c r="AB26" s="81">
        <f>IF(X26="Sin Pago",0,IFERROR(INDEX(Pagos_Odoo!$E:$E, MATCH(X26, Pagos_Odoo!$B:$B, 0)), 0))</f>
        <v/>
      </c>
      <c r="AC26" s="79">
        <f>IF(X26="Sin Pago","",IFERROR(INDEX(Pagos_Odoo!$G:$G, MATCH(X26, Pagos_Odoo!$B:$B, 0)), ""))</f>
        <v/>
      </c>
      <c r="AD26" s="82" t="n">
        <v>0</v>
      </c>
      <c r="AE26" s="82" t="n"/>
      <c r="AF26" s="82" t="n"/>
      <c r="AG26" s="82">
        <f>IF(AN26="","",AD26+AE26+AF26)</f>
        <v/>
      </c>
      <c r="AH26" s="81">
        <f>IF(AN26="","",P26*(1-AG26))</f>
        <v/>
      </c>
      <c r="AI26" s="81">
        <f>IF(AN26="","",IF(Q26="Sin Factura",0,IFERROR(INDEX(Facturas_Odoo!$H:$H, MATCH(Q26, Facturas_Odoo!$B:$B, 0)), 0)*(1-AG26)))</f>
        <v/>
      </c>
      <c r="AJ26" s="81">
        <f>IF(AN26="","",_xlfn.LET(idVenta, AN26&amp;"",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" s="81">
        <f>IF(AN26="","",AH26-AJ26)</f>
        <v/>
      </c>
      <c r="AL26" s="81">
        <f>IF(AN26="","",IF(Q26="Sin Factura","",AI26-AJ26))</f>
        <v/>
      </c>
      <c r="AM26" s="81">
        <f>IF(AN26="","",IF(Q26="Sin Factura",0,P26-IFERROR(INDEX(Facturas_Odoo!$H:$H, MATCH(Q26, Facturas_Odoo!$B:$B, 0)), 0)))</f>
        <v/>
      </c>
      <c r="AN26" s="79">
        <f>IF(AND(A26="", J26=""), "", IF(A26&lt;&gt;"", VALUE(MID(A26,2,LEN(A26))), AN25))</f>
        <v/>
      </c>
      <c r="AO26" s="79">
        <f>IF(AN26="","",IF(AD26=0,"OK",_xlfn.LET(monedaPago, IF(AA26="","USD",AA26), limitePermitido, IFERROR(VLOOKUP(monedaPago, Configuración!$A$2:$B$3, 2, FALSE), 0.15), IF(AD26&gt;limitePermitido, "ALERTA: EXCESO (" &amp; TEXT(limitePermitido, "0%") &amp; " máx)", "OK"))))</f>
        <v/>
      </c>
      <c r="AP26" s="79">
        <f>IF(AN26="","",IF(AE26=0,"OK",_xlfn.LET(fechaPago, Z26, fechaFactura, R26, diasCredito, IF(E26="Pago inmediato", 0, IFERROR(VALUE(MID(E26, 1, SEARCH(" ", E26)-1)),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" s="79">
        <f>IF(AN26="","",IF(AND(N26&gt;0, AG26&gt;0), IF(Configuración!$K$2="NO", "ALERTA: DESCUENTO DOBLE NO PERMITIDO", "OK"), "OK"))</f>
        <v/>
      </c>
      <c r="AR26" s="79">
        <f>IF(AN26="","",IF(OR(AO26&lt;&gt;"OK", AP26&lt;&gt;"OK", AQ26&lt;&gt;"OK"), "⚠️ REVISAR", "OK"))</f>
        <v/>
      </c>
    </row>
    <row r="27">
      <c r="A27" s="79">
        <f>IF('Ordenes_Odoo'!A27="","",'Ordenes_Odoo'!A27)</f>
        <v/>
      </c>
      <c r="B27" s="80">
        <f>IF('Ordenes_Odoo'!B27="","",'Ordenes_Odoo'!B27)</f>
        <v/>
      </c>
      <c r="C27" s="79">
        <f>IF('Ordenes_Odoo'!C27="","",'Ordenes_Odoo'!C27)</f>
        <v/>
      </c>
      <c r="D27" s="79">
        <f>IF('Ordenes_Odoo'!D27="","",'Ordenes_Odoo'!D27)</f>
        <v/>
      </c>
      <c r="E27" s="79">
        <f>IF('Ordenes_Odoo'!E27="","",'Ordenes_Odoo'!E27)</f>
        <v/>
      </c>
      <c r="F27" s="79">
        <f>IF('Ordenes_Odoo'!F27="","",'Ordenes_Odoo'!F27)</f>
        <v/>
      </c>
      <c r="G27" s="79">
        <f>IF('Ordenes_Odoo'!G27="","",'Ordenes_Odoo'!G27)</f>
        <v/>
      </c>
      <c r="H27" s="79">
        <f>IF('Ordenes_Odoo'!H27="","",'Ordenes_Odoo'!H27)</f>
        <v/>
      </c>
      <c r="I27" s="79">
        <f>IF('Ordenes_Odoo'!I27="","",'Ordenes_Odoo'!I27)</f>
        <v/>
      </c>
      <c r="J27" s="79">
        <f>IF('Ordenes_Odoo'!J27="","",'Ordenes_Odoo'!J27)</f>
        <v/>
      </c>
      <c r="K27" s="81">
        <f>IF('Ordenes_Odoo'!K27="","",'Ordenes_Odoo'!K27)</f>
        <v/>
      </c>
      <c r="L27" s="81">
        <f>IF('Ordenes_Odoo'!L27="","",'Ordenes_Odoo'!L27)</f>
        <v/>
      </c>
      <c r="M27" s="79">
        <f>IF('Ordenes_Odoo'!M27="","",'Ordenes_Odoo'!M27)</f>
        <v/>
      </c>
      <c r="N27" s="79">
        <f>IF('Ordenes_Odoo'!N27="","",'Ordenes_Odoo'!N27)</f>
        <v/>
      </c>
      <c r="O27" s="81">
        <f>IF('Ordenes_Odoo'!O27="","",'Ordenes_Odoo'!O27)</f>
        <v/>
      </c>
      <c r="P27" s="81">
        <f>IF('Ordenes_Odoo'!P27="","",'Ordenes_Odoo'!P27)</f>
        <v/>
      </c>
      <c r="Q27" s="79">
        <f>IF(A27="","",IFERROR(INDEX(Facturas_Odoo!$B:$B, MATCH(A27, Facturas_Odoo!$D:$D, 0)), "Sin Factura"))</f>
        <v/>
      </c>
      <c r="R27" s="80">
        <f>IF(Q27="Sin Factura","",IFERROR(INDEX(Facturas_Odoo!$A:$A, MATCH(Q27, Facturas_Odoo!$B:$B, 0)), ""))</f>
        <v/>
      </c>
      <c r="S27" s="79">
        <f>IF(Q27="Sin Factura","",IFERROR(_xlfn.XLOOKUP(1, (Facturas_Odoo!$D:$D=A27) * (Facturas_Odoo!$K:$K=I27), Facturas_Odoo!$L:$L, ""), ""))</f>
        <v/>
      </c>
      <c r="T27" s="81">
        <f>IF(Q27="Sin Factura",0,IFERROR(_xlfn.XLOOKUP(1, (Facturas_Odoo!$D:$D=A27) * (Facturas_Odoo!$K:$K=I27), Facturas_Odoo!$M:$M, 0), 0))</f>
        <v/>
      </c>
      <c r="U27" s="79">
        <f>IF(Q27="Sin Factura",0,IFERROR(_xlfn.XLOOKUP(1, (Facturas_Odoo!$D:$D=A27) * (Facturas_Odoo!$K:$K=I27), Facturas_Odoo!$N:$N, 0), 0))</f>
        <v/>
      </c>
      <c r="V27" s="79">
        <f>IF(Q27="Sin Factura",0,IFERROR(_xlfn.XLOOKUP(1, (Facturas_Odoo!$D:$D=A27) * (Facturas_Odoo!$K:$K=I27), Facturas_Odoo!$O:$O, 0), 0))</f>
        <v/>
      </c>
      <c r="W27" s="81">
        <f>IF(Q27="Sin Factura",0,IFERROR(_xlfn.XLOOKUP(1, (Facturas_Odoo!$D:$D=A27) * (Facturas_Odoo!$K:$K=I27), Facturas_Odoo!$Q:$Q, 0), 0))</f>
        <v/>
      </c>
      <c r="X27" s="79">
        <f>IF(OR(Q27="Sin Factura",Q27=""),"",IFERROR(INDEX(Pagos_Odoo!$B:$B, MATCH(Q27, Pagos_Odoo!$I:$I, 0)), "Sin Pago"))</f>
        <v/>
      </c>
      <c r="Y27" s="79">
        <f>IF(X27="Sin Pago","",IFERROR(INDEX(Pagos_Odoo!$C:$C, MATCH(X27, Pagos_Odoo!$B:$B, 0)), ""))</f>
        <v/>
      </c>
      <c r="Z27" s="80">
        <f>IF(X27="Sin Pago","",IFERROR(INDEX(Pagos_Odoo!$A:$A, MATCH(X27, Pagos_Odoo!$B:$B, 0)), ""))</f>
        <v/>
      </c>
      <c r="AA27" s="79">
        <f>IF(X27="Sin Pago","",IFERROR(INDEX(Pagos_Odoo!$F:$F, MATCH(X27, Pagos_Odoo!$B:$B, 0)), ""))</f>
        <v/>
      </c>
      <c r="AB27" s="81">
        <f>IF(X27="Sin Pago",0,IFERROR(INDEX(Pagos_Odoo!$E:$E, MATCH(X27, Pagos_Odoo!$B:$B, 0)), 0))</f>
        <v/>
      </c>
      <c r="AC27" s="79">
        <f>IF(X27="Sin Pago","",IFERROR(INDEX(Pagos_Odoo!$G:$G, MATCH(X27, Pagos_Odoo!$B:$B, 0)), ""))</f>
        <v/>
      </c>
      <c r="AD27" s="82" t="n">
        <v>0</v>
      </c>
      <c r="AE27" s="82" t="n"/>
      <c r="AF27" s="82" t="n"/>
      <c r="AG27" s="82">
        <f>IF(AN27="","",AD27+AE27+AF27)</f>
        <v/>
      </c>
      <c r="AH27" s="81">
        <f>IF(AN27="","",P27*(1-AG27))</f>
        <v/>
      </c>
      <c r="AI27" s="81">
        <f>IF(AN27="","",IF(Q27="Sin Factura",0,IFERROR(INDEX(Facturas_Odoo!$H:$H, MATCH(Q27, Facturas_Odoo!$B:$B, 0)), 0)*(1-AG27)))</f>
        <v/>
      </c>
      <c r="AJ27" s="81">
        <f>IF(AN27="","",_xlfn.LET(idVenta, AN27&amp;"",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" s="81">
        <f>IF(AN27="","",AH27-AJ27)</f>
        <v/>
      </c>
      <c r="AL27" s="81">
        <f>IF(AN27="","",IF(Q27="Sin Factura","",AI27-AJ27))</f>
        <v/>
      </c>
      <c r="AM27" s="81">
        <f>IF(AN27="","",IF(Q27="Sin Factura",0,P27-IFERROR(INDEX(Facturas_Odoo!$H:$H, MATCH(Q27, Facturas_Odoo!$B:$B, 0)), 0)))</f>
        <v/>
      </c>
      <c r="AN27" s="79">
        <f>IF(AND(A27="", J27=""), "", IF(A27&lt;&gt;"", VALUE(MID(A27,2,LEN(A27))), AN26))</f>
        <v/>
      </c>
      <c r="AO27" s="79">
        <f>IF(AN27="","",IF(AD27=0,"OK",_xlfn.LET(monedaPago, IF(AA27="","USD",AA27), limitePermitido, IFERROR(VLOOKUP(monedaPago, Configuración!$A$2:$B$3, 2, FALSE), 0.15), IF(AD27&gt;limitePermitido, "ALERTA: EXCESO (" &amp; TEXT(limitePermitido, "0%") &amp; " máx)", "OK"))))</f>
        <v/>
      </c>
      <c r="AP27" s="79">
        <f>IF(AN27="","",IF(AE27=0,"OK",_xlfn.LET(fechaPago, Z27, fechaFactura, R27, diasCredito, IF(E27="Pago inmediato", 0, IFERROR(VALUE(MID(E27, 1, SEARCH(" ", E27)-1)),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" s="79">
        <f>IF(AN27="","",IF(AND(N27&gt;0, AG27&gt;0), IF(Configuración!$K$2="NO", "ALERTA: DESCUENTO DOBLE NO PERMITIDO", "OK"), "OK"))</f>
        <v/>
      </c>
      <c r="AR27" s="79">
        <f>IF(AN27="","",IF(OR(AO27&lt;&gt;"OK", AP27&lt;&gt;"OK", AQ27&lt;&gt;"OK"), "⚠️ REVISAR", "OK"))</f>
        <v/>
      </c>
    </row>
    <row r="28">
      <c r="A28" s="79">
        <f>IF('Ordenes_Odoo'!A28="","",'Ordenes_Odoo'!A28)</f>
        <v/>
      </c>
      <c r="B28" s="80">
        <f>IF('Ordenes_Odoo'!B28="","",'Ordenes_Odoo'!B28)</f>
        <v/>
      </c>
      <c r="C28" s="79">
        <f>IF('Ordenes_Odoo'!C28="","",'Ordenes_Odoo'!C28)</f>
        <v/>
      </c>
      <c r="D28" s="79">
        <f>IF('Ordenes_Odoo'!D28="","",'Ordenes_Odoo'!D28)</f>
        <v/>
      </c>
      <c r="E28" s="79">
        <f>IF('Ordenes_Odoo'!E28="","",'Ordenes_Odoo'!E28)</f>
        <v/>
      </c>
      <c r="F28" s="79">
        <f>IF('Ordenes_Odoo'!F28="","",'Ordenes_Odoo'!F28)</f>
        <v/>
      </c>
      <c r="G28" s="79">
        <f>IF('Ordenes_Odoo'!G28="","",'Ordenes_Odoo'!G28)</f>
        <v/>
      </c>
      <c r="H28" s="79">
        <f>IF('Ordenes_Odoo'!H28="","",'Ordenes_Odoo'!H28)</f>
        <v/>
      </c>
      <c r="I28" s="79">
        <f>IF('Ordenes_Odoo'!I28="","",'Ordenes_Odoo'!I28)</f>
        <v/>
      </c>
      <c r="J28" s="79">
        <f>IF('Ordenes_Odoo'!J28="","",'Ordenes_Odoo'!J28)</f>
        <v/>
      </c>
      <c r="K28" s="81">
        <f>IF('Ordenes_Odoo'!K28="","",'Ordenes_Odoo'!K28)</f>
        <v/>
      </c>
      <c r="L28" s="81">
        <f>IF('Ordenes_Odoo'!L28="","",'Ordenes_Odoo'!L28)</f>
        <v/>
      </c>
      <c r="M28" s="79">
        <f>IF('Ordenes_Odoo'!M28="","",'Ordenes_Odoo'!M28)</f>
        <v/>
      </c>
      <c r="N28" s="79">
        <f>IF('Ordenes_Odoo'!N28="","",'Ordenes_Odoo'!N28)</f>
        <v/>
      </c>
      <c r="O28" s="81">
        <f>IF('Ordenes_Odoo'!O28="","",'Ordenes_Odoo'!O28)</f>
        <v/>
      </c>
      <c r="P28" s="81">
        <f>IF('Ordenes_Odoo'!P28="","",'Ordenes_Odoo'!P28)</f>
        <v/>
      </c>
      <c r="Q28" s="79">
        <f>IF(A28="","",IFERROR(INDEX(Facturas_Odoo!$B:$B, MATCH(A28, Facturas_Odoo!$D:$D, 0)), "Sin Factura"))</f>
        <v/>
      </c>
      <c r="R28" s="80">
        <f>IF(Q28="Sin Factura","",IFERROR(INDEX(Facturas_Odoo!$A:$A, MATCH(Q28, Facturas_Odoo!$B:$B, 0)), ""))</f>
        <v/>
      </c>
      <c r="S28" s="79">
        <f>IF(Q28="Sin Factura","",IFERROR(_xlfn.XLOOKUP(1, (Facturas_Odoo!$D:$D=A28) * (Facturas_Odoo!$K:$K=I28), Facturas_Odoo!$L:$L, ""), ""))</f>
        <v/>
      </c>
      <c r="T28" s="81">
        <f>IF(Q28="Sin Factura",0,IFERROR(_xlfn.XLOOKUP(1, (Facturas_Odoo!$D:$D=A28) * (Facturas_Odoo!$K:$K=I28), Facturas_Odoo!$M:$M, 0), 0))</f>
        <v/>
      </c>
      <c r="U28" s="79">
        <f>IF(Q28="Sin Factura",0,IFERROR(_xlfn.XLOOKUP(1, (Facturas_Odoo!$D:$D=A28) * (Facturas_Odoo!$K:$K=I28), Facturas_Odoo!$N:$N, 0), 0))</f>
        <v/>
      </c>
      <c r="V28" s="79">
        <f>IF(Q28="Sin Factura",0,IFERROR(_xlfn.XLOOKUP(1, (Facturas_Odoo!$D:$D=A28) * (Facturas_Odoo!$K:$K=I28), Facturas_Odoo!$O:$O, 0), 0))</f>
        <v/>
      </c>
      <c r="W28" s="81">
        <f>IF(Q28="Sin Factura",0,IFERROR(_xlfn.XLOOKUP(1, (Facturas_Odoo!$D:$D=A28) * (Facturas_Odoo!$K:$K=I28), Facturas_Odoo!$Q:$Q, 0), 0))</f>
        <v/>
      </c>
      <c r="X28" s="79">
        <f>IF(OR(Q28="Sin Factura",Q28=""),"",IFERROR(INDEX(Pagos_Odoo!$B:$B, MATCH(Q28, Pagos_Odoo!$I:$I, 0)), "Sin Pago"))</f>
        <v/>
      </c>
      <c r="Y28" s="79">
        <f>IF(X28="Sin Pago","",IFERROR(INDEX(Pagos_Odoo!$C:$C, MATCH(X28, Pagos_Odoo!$B:$B, 0)), ""))</f>
        <v/>
      </c>
      <c r="Z28" s="80">
        <f>IF(X28="Sin Pago","",IFERROR(INDEX(Pagos_Odoo!$A:$A, MATCH(X28, Pagos_Odoo!$B:$B, 0)), ""))</f>
        <v/>
      </c>
      <c r="AA28" s="79">
        <f>IF(X28="Sin Pago","",IFERROR(INDEX(Pagos_Odoo!$F:$F, MATCH(X28, Pagos_Odoo!$B:$B, 0)), ""))</f>
        <v/>
      </c>
      <c r="AB28" s="81">
        <f>IF(X28="Sin Pago",0,IFERROR(INDEX(Pagos_Odoo!$E:$E, MATCH(X28, Pagos_Odoo!$B:$B, 0)), 0))</f>
        <v/>
      </c>
      <c r="AC28" s="79">
        <f>IF(X28="Sin Pago","",IFERROR(INDEX(Pagos_Odoo!$G:$G, MATCH(X28, Pagos_Odoo!$B:$B, 0)), ""))</f>
        <v/>
      </c>
      <c r="AD28" s="82" t="n">
        <v>0</v>
      </c>
      <c r="AE28" s="82" t="n"/>
      <c r="AF28" s="82" t="n"/>
      <c r="AG28" s="82">
        <f>IF(AN28="","",AD28+AE28+AF28)</f>
        <v/>
      </c>
      <c r="AH28" s="81">
        <f>IF(AN28="","",P28*(1-AG28))</f>
        <v/>
      </c>
      <c r="AI28" s="81">
        <f>IF(AN28="","",IF(Q28="Sin Factura",0,IFERROR(INDEX(Facturas_Odoo!$H:$H, MATCH(Q28, Facturas_Odoo!$B:$B, 0)), 0)*(1-AG28)))</f>
        <v/>
      </c>
      <c r="AJ28" s="81">
        <f>IF(AN28="","",_xlfn.LET(idVenta, AN28&amp;"",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" s="81">
        <f>IF(AN28="","",AH28-AJ28)</f>
        <v/>
      </c>
      <c r="AL28" s="81">
        <f>IF(AN28="","",IF(Q28="Sin Factura","",AI28-AJ28))</f>
        <v/>
      </c>
      <c r="AM28" s="81">
        <f>IF(AN28="","",IF(Q28="Sin Factura",0,P28-IFERROR(INDEX(Facturas_Odoo!$H:$H, MATCH(Q28, Facturas_Odoo!$B:$B, 0)), 0)))</f>
        <v/>
      </c>
      <c r="AN28" s="79">
        <f>IF(AND(A28="", J28=""), "", IF(A28&lt;&gt;"", VALUE(MID(A28,2,LEN(A28))), AN27))</f>
        <v/>
      </c>
      <c r="AO28" s="79">
        <f>IF(AN28="","",IF(AD28=0,"OK",_xlfn.LET(monedaPago, IF(AA28="","USD",AA28), limitePermitido, IFERROR(VLOOKUP(monedaPago, Configuración!$A$2:$B$3, 2, FALSE), 0.15), IF(AD28&gt;limitePermitido, "ALERTA: EXCESO (" &amp; TEXT(limitePermitido, "0%") &amp; " máx)", "OK"))))</f>
        <v/>
      </c>
      <c r="AP28" s="79">
        <f>IF(AN28="","",IF(AE28=0,"OK",_xlfn.LET(fechaPago, Z28, fechaFactura, R28, diasCredito, IF(E28="Pago inmediato", 0, IFERROR(VALUE(MID(E28, 1, SEARCH(" ", E28)-1)),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" s="79">
        <f>IF(AN28="","",IF(AND(N28&gt;0, AG28&gt;0), IF(Configuración!$K$2="NO", "ALERTA: DESCUENTO DOBLE NO PERMITIDO", "OK"), "OK"))</f>
        <v/>
      </c>
      <c r="AR28" s="79">
        <f>IF(AN28="","",IF(OR(AO28&lt;&gt;"OK", AP28&lt;&gt;"OK", AQ28&lt;&gt;"OK"), "⚠️ REVISAR", "OK"))</f>
        <v/>
      </c>
    </row>
    <row r="29">
      <c r="A29" s="79">
        <f>IF('Ordenes_Odoo'!A29="","",'Ordenes_Odoo'!A29)</f>
        <v/>
      </c>
      <c r="B29" s="80">
        <f>IF('Ordenes_Odoo'!B29="","",'Ordenes_Odoo'!B29)</f>
        <v/>
      </c>
      <c r="C29" s="79">
        <f>IF('Ordenes_Odoo'!C29="","",'Ordenes_Odoo'!C29)</f>
        <v/>
      </c>
      <c r="D29" s="79">
        <f>IF('Ordenes_Odoo'!D29="","",'Ordenes_Odoo'!D29)</f>
        <v/>
      </c>
      <c r="E29" s="79">
        <f>IF('Ordenes_Odoo'!E29="","",'Ordenes_Odoo'!E29)</f>
        <v/>
      </c>
      <c r="F29" s="79">
        <f>IF('Ordenes_Odoo'!F29="","",'Ordenes_Odoo'!F29)</f>
        <v/>
      </c>
      <c r="G29" s="79">
        <f>IF('Ordenes_Odoo'!G29="","",'Ordenes_Odoo'!G29)</f>
        <v/>
      </c>
      <c r="H29" s="79">
        <f>IF('Ordenes_Odoo'!H29="","",'Ordenes_Odoo'!H29)</f>
        <v/>
      </c>
      <c r="I29" s="79">
        <f>IF('Ordenes_Odoo'!I29="","",'Ordenes_Odoo'!I29)</f>
        <v/>
      </c>
      <c r="J29" s="79">
        <f>IF('Ordenes_Odoo'!J29="","",'Ordenes_Odoo'!J29)</f>
        <v/>
      </c>
      <c r="K29" s="81">
        <f>IF('Ordenes_Odoo'!K29="","",'Ordenes_Odoo'!K29)</f>
        <v/>
      </c>
      <c r="L29" s="81">
        <f>IF('Ordenes_Odoo'!L29="","",'Ordenes_Odoo'!L29)</f>
        <v/>
      </c>
      <c r="M29" s="79">
        <f>IF('Ordenes_Odoo'!M29="","",'Ordenes_Odoo'!M29)</f>
        <v/>
      </c>
      <c r="N29" s="79">
        <f>IF('Ordenes_Odoo'!N29="","",'Ordenes_Odoo'!N29)</f>
        <v/>
      </c>
      <c r="O29" s="81">
        <f>IF('Ordenes_Odoo'!O29="","",'Ordenes_Odoo'!O29)</f>
        <v/>
      </c>
      <c r="P29" s="81">
        <f>IF('Ordenes_Odoo'!P29="","",'Ordenes_Odoo'!P29)</f>
        <v/>
      </c>
      <c r="Q29" s="79">
        <f>IF(A29="","",IFERROR(INDEX(Facturas_Odoo!$B:$B, MATCH(A29, Facturas_Odoo!$D:$D, 0)), "Sin Factura"))</f>
        <v/>
      </c>
      <c r="R29" s="80">
        <f>IF(Q29="Sin Factura","",IFERROR(INDEX(Facturas_Odoo!$A:$A, MATCH(Q29, Facturas_Odoo!$B:$B, 0)), ""))</f>
        <v/>
      </c>
      <c r="S29" s="79">
        <f>IF(Q29="Sin Factura","",IFERROR(_xlfn.XLOOKUP(1, (Facturas_Odoo!$D:$D=A29) * (Facturas_Odoo!$K:$K=I29), Facturas_Odoo!$L:$L, ""), ""))</f>
        <v/>
      </c>
      <c r="T29" s="81">
        <f>IF(Q29="Sin Factura",0,IFERROR(_xlfn.XLOOKUP(1, (Facturas_Odoo!$D:$D=A29) * (Facturas_Odoo!$K:$K=I29), Facturas_Odoo!$M:$M, 0), 0))</f>
        <v/>
      </c>
      <c r="U29" s="79">
        <f>IF(Q29="Sin Factura",0,IFERROR(_xlfn.XLOOKUP(1, (Facturas_Odoo!$D:$D=A29) * (Facturas_Odoo!$K:$K=I29), Facturas_Odoo!$N:$N, 0), 0))</f>
        <v/>
      </c>
      <c r="V29" s="79">
        <f>IF(Q29="Sin Factura",0,IFERROR(_xlfn.XLOOKUP(1, (Facturas_Odoo!$D:$D=A29) * (Facturas_Odoo!$K:$K=I29), Facturas_Odoo!$O:$O, 0), 0))</f>
        <v/>
      </c>
      <c r="W29" s="81">
        <f>IF(Q29="Sin Factura",0,IFERROR(_xlfn.XLOOKUP(1, (Facturas_Odoo!$D:$D=A29) * (Facturas_Odoo!$K:$K=I29), Facturas_Odoo!$Q:$Q, 0), 0))</f>
        <v/>
      </c>
      <c r="X29" s="79">
        <f>IF(OR(Q29="Sin Factura",Q29=""),"",IFERROR(INDEX(Pagos_Odoo!$B:$B, MATCH(Q29, Pagos_Odoo!$I:$I, 0)), "Sin Pago"))</f>
        <v/>
      </c>
      <c r="Y29" s="79">
        <f>IF(X29="Sin Pago","",IFERROR(INDEX(Pagos_Odoo!$C:$C, MATCH(X29, Pagos_Odoo!$B:$B, 0)), ""))</f>
        <v/>
      </c>
      <c r="Z29" s="80">
        <f>IF(X29="Sin Pago","",IFERROR(INDEX(Pagos_Odoo!$A:$A, MATCH(X29, Pagos_Odoo!$B:$B, 0)), ""))</f>
        <v/>
      </c>
      <c r="AA29" s="79">
        <f>IF(X29="Sin Pago","",IFERROR(INDEX(Pagos_Odoo!$F:$F, MATCH(X29, Pagos_Odoo!$B:$B, 0)), ""))</f>
        <v/>
      </c>
      <c r="AB29" s="81">
        <f>IF(X29="Sin Pago",0,IFERROR(INDEX(Pagos_Odoo!$E:$E, MATCH(X29, Pagos_Odoo!$B:$B, 0)), 0))</f>
        <v/>
      </c>
      <c r="AC29" s="79">
        <f>IF(X29="Sin Pago","",IFERROR(INDEX(Pagos_Odoo!$G:$G, MATCH(X29, Pagos_Odoo!$B:$B, 0)), ""))</f>
        <v/>
      </c>
      <c r="AD29" s="82" t="n">
        <v>0</v>
      </c>
      <c r="AE29" s="82" t="n"/>
      <c r="AF29" s="82" t="n"/>
      <c r="AG29" s="82">
        <f>IF(AN29="","",AD29+AE29+AF29)</f>
        <v/>
      </c>
      <c r="AH29" s="81">
        <f>IF(AN29="","",P29*(1-AG29))</f>
        <v/>
      </c>
      <c r="AI29" s="81">
        <f>IF(AN29="","",IF(Q29="Sin Factura",0,IFERROR(INDEX(Facturas_Odoo!$H:$H, MATCH(Q29, Facturas_Odoo!$B:$B, 0)), 0)*(1-AG29)))</f>
        <v/>
      </c>
      <c r="AJ29" s="81">
        <f>IF(AN29="","",_xlfn.LET(idVenta, AN29&amp;"",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" s="81">
        <f>IF(AN29="","",AH29-AJ29)</f>
        <v/>
      </c>
      <c r="AL29" s="81">
        <f>IF(AN29="","",IF(Q29="Sin Factura","",AI29-AJ29))</f>
        <v/>
      </c>
      <c r="AM29" s="81">
        <f>IF(AN29="","",IF(Q29="Sin Factura",0,P29-IFERROR(INDEX(Facturas_Odoo!$H:$H, MATCH(Q29, Facturas_Odoo!$B:$B, 0)), 0)))</f>
        <v/>
      </c>
      <c r="AN29" s="79">
        <f>IF(AND(A29="", J29=""), "", IF(A29&lt;&gt;"", VALUE(MID(A29,2,LEN(A29))), AN28))</f>
        <v/>
      </c>
      <c r="AO29" s="79">
        <f>IF(AN29="","",IF(AD29=0,"OK",_xlfn.LET(monedaPago, IF(AA29="","USD",AA29), limitePermitido, IFERROR(VLOOKUP(monedaPago, Configuración!$A$2:$B$3, 2, FALSE), 0.15), IF(AD29&gt;limitePermitido, "ALERTA: EXCESO (" &amp; TEXT(limitePermitido, "0%") &amp; " máx)", "OK"))))</f>
        <v/>
      </c>
      <c r="AP29" s="79">
        <f>IF(AN29="","",IF(AE29=0,"OK",_xlfn.LET(fechaPago, Z29, fechaFactura, R29, diasCredito, IF(E29="Pago inmediato", 0, IFERROR(VALUE(MID(E29, 1, SEARCH(" ", E29)-1)),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" s="79">
        <f>IF(AN29="","",IF(AND(N29&gt;0, AG29&gt;0), IF(Configuración!$K$2="NO", "ALERTA: DESCUENTO DOBLE NO PERMITIDO", "OK"), "OK"))</f>
        <v/>
      </c>
      <c r="AR29" s="79">
        <f>IF(AN29="","",IF(OR(AO29&lt;&gt;"OK", AP29&lt;&gt;"OK", AQ29&lt;&gt;"OK"), "⚠️ REVISAR", "OK"))</f>
        <v/>
      </c>
    </row>
    <row r="30">
      <c r="A30" s="79">
        <f>IF('Ordenes_Odoo'!A30="","",'Ordenes_Odoo'!A30)</f>
        <v/>
      </c>
      <c r="B30" s="80">
        <f>IF('Ordenes_Odoo'!B30="","",'Ordenes_Odoo'!B30)</f>
        <v/>
      </c>
      <c r="C30" s="79">
        <f>IF('Ordenes_Odoo'!C30="","",'Ordenes_Odoo'!C30)</f>
        <v/>
      </c>
      <c r="D30" s="79">
        <f>IF('Ordenes_Odoo'!D30="","",'Ordenes_Odoo'!D30)</f>
        <v/>
      </c>
      <c r="E30" s="79">
        <f>IF('Ordenes_Odoo'!E30="","",'Ordenes_Odoo'!E30)</f>
        <v/>
      </c>
      <c r="F30" s="79">
        <f>IF('Ordenes_Odoo'!F30="","",'Ordenes_Odoo'!F30)</f>
        <v/>
      </c>
      <c r="G30" s="79">
        <f>IF('Ordenes_Odoo'!G30="","",'Ordenes_Odoo'!G30)</f>
        <v/>
      </c>
      <c r="H30" s="79">
        <f>IF('Ordenes_Odoo'!H30="","",'Ordenes_Odoo'!H30)</f>
        <v/>
      </c>
      <c r="I30" s="79">
        <f>IF('Ordenes_Odoo'!I30="","",'Ordenes_Odoo'!I30)</f>
        <v/>
      </c>
      <c r="J30" s="79">
        <f>IF('Ordenes_Odoo'!J30="","",'Ordenes_Odoo'!J30)</f>
        <v/>
      </c>
      <c r="K30" s="81">
        <f>IF('Ordenes_Odoo'!K30="","",'Ordenes_Odoo'!K30)</f>
        <v/>
      </c>
      <c r="L30" s="81">
        <f>IF('Ordenes_Odoo'!L30="","",'Ordenes_Odoo'!L30)</f>
        <v/>
      </c>
      <c r="M30" s="79">
        <f>IF('Ordenes_Odoo'!M30="","",'Ordenes_Odoo'!M30)</f>
        <v/>
      </c>
      <c r="N30" s="79">
        <f>IF('Ordenes_Odoo'!N30="","",'Ordenes_Odoo'!N30)</f>
        <v/>
      </c>
      <c r="O30" s="81">
        <f>IF('Ordenes_Odoo'!O30="","",'Ordenes_Odoo'!O30)</f>
        <v/>
      </c>
      <c r="P30" s="81">
        <f>IF('Ordenes_Odoo'!P30="","",'Ordenes_Odoo'!P30)</f>
        <v/>
      </c>
      <c r="Q30" s="79">
        <f>IF(A30="","",IFERROR(INDEX(Facturas_Odoo!$B:$B, MATCH(A30, Facturas_Odoo!$D:$D, 0)), "Sin Factura"))</f>
        <v/>
      </c>
      <c r="R30" s="80">
        <f>IF(Q30="Sin Factura","",IFERROR(INDEX(Facturas_Odoo!$A:$A, MATCH(Q30, Facturas_Odoo!$B:$B, 0)), ""))</f>
        <v/>
      </c>
      <c r="S30" s="79">
        <f>IF(Q30="Sin Factura","",IFERROR(_xlfn.XLOOKUP(1, (Facturas_Odoo!$D:$D=A30) * (Facturas_Odoo!$K:$K=I30), Facturas_Odoo!$L:$L, ""), ""))</f>
        <v/>
      </c>
      <c r="T30" s="81">
        <f>IF(Q30="Sin Factura",0,IFERROR(_xlfn.XLOOKUP(1, (Facturas_Odoo!$D:$D=A30) * (Facturas_Odoo!$K:$K=I30), Facturas_Odoo!$M:$M, 0), 0))</f>
        <v/>
      </c>
      <c r="U30" s="79">
        <f>IF(Q30="Sin Factura",0,IFERROR(_xlfn.XLOOKUP(1, (Facturas_Odoo!$D:$D=A30) * (Facturas_Odoo!$K:$K=I30), Facturas_Odoo!$N:$N, 0), 0))</f>
        <v/>
      </c>
      <c r="V30" s="79">
        <f>IF(Q30="Sin Factura",0,IFERROR(_xlfn.XLOOKUP(1, (Facturas_Odoo!$D:$D=A30) * (Facturas_Odoo!$K:$K=I30), Facturas_Odoo!$O:$O, 0), 0))</f>
        <v/>
      </c>
      <c r="W30" s="81">
        <f>IF(Q30="Sin Factura",0,IFERROR(_xlfn.XLOOKUP(1, (Facturas_Odoo!$D:$D=A30) * (Facturas_Odoo!$K:$K=I30), Facturas_Odoo!$Q:$Q, 0), 0))</f>
        <v/>
      </c>
      <c r="X30" s="79">
        <f>IF(OR(Q30="Sin Factura",Q30=""),"",IFERROR(INDEX(Pagos_Odoo!$B:$B, MATCH(Q30, Pagos_Odoo!$I:$I, 0)), "Sin Pago"))</f>
        <v/>
      </c>
      <c r="Y30" s="79">
        <f>IF(X30="Sin Pago","",IFERROR(INDEX(Pagos_Odoo!$C:$C, MATCH(X30, Pagos_Odoo!$B:$B, 0)), ""))</f>
        <v/>
      </c>
      <c r="Z30" s="80">
        <f>IF(X30="Sin Pago","",IFERROR(INDEX(Pagos_Odoo!$A:$A, MATCH(X30, Pagos_Odoo!$B:$B, 0)), ""))</f>
        <v/>
      </c>
      <c r="AA30" s="79">
        <f>IF(X30="Sin Pago","",IFERROR(INDEX(Pagos_Odoo!$F:$F, MATCH(X30, Pagos_Odoo!$B:$B, 0)), ""))</f>
        <v/>
      </c>
      <c r="AB30" s="81">
        <f>IF(X30="Sin Pago",0,IFERROR(INDEX(Pagos_Odoo!$E:$E, MATCH(X30, Pagos_Odoo!$B:$B, 0)), 0))</f>
        <v/>
      </c>
      <c r="AC30" s="79">
        <f>IF(X30="Sin Pago","",IFERROR(INDEX(Pagos_Odoo!$G:$G, MATCH(X30, Pagos_Odoo!$B:$B, 0)), ""))</f>
        <v/>
      </c>
      <c r="AD30" s="82" t="n">
        <v>0</v>
      </c>
      <c r="AE30" s="82" t="n"/>
      <c r="AF30" s="82" t="n"/>
      <c r="AG30" s="82">
        <f>IF(AN30="","",AD30+AE30+AF30)</f>
        <v/>
      </c>
      <c r="AH30" s="81">
        <f>IF(AN30="","",P30*(1-AG30))</f>
        <v/>
      </c>
      <c r="AI30" s="81">
        <f>IF(AN30="","",IF(Q30="Sin Factura",0,IFERROR(INDEX(Facturas_Odoo!$H:$H, MATCH(Q30, Facturas_Odoo!$B:$B, 0)), 0)*(1-AG30)))</f>
        <v/>
      </c>
      <c r="AJ30" s="81">
        <f>IF(AN30="","",_xlfn.LET(idVenta, AN30&amp;"",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0" s="81">
        <f>IF(AN30="","",AH30-AJ30)</f>
        <v/>
      </c>
      <c r="AL30" s="81">
        <f>IF(AN30="","",IF(Q30="Sin Factura","",AI30-AJ30))</f>
        <v/>
      </c>
      <c r="AM30" s="81">
        <f>IF(AN30="","",IF(Q30="Sin Factura",0,P30-IFERROR(INDEX(Facturas_Odoo!$H:$H, MATCH(Q30, Facturas_Odoo!$B:$B, 0)), 0)))</f>
        <v/>
      </c>
      <c r="AN30" s="79">
        <f>IF(AND(A30="", J30=""), "", IF(A30&lt;&gt;"", VALUE(MID(A30,2,LEN(A30))), AN29))</f>
        <v/>
      </c>
      <c r="AO30" s="79">
        <f>IF(AN30="","",IF(AD30=0,"OK",_xlfn.LET(monedaPago, IF(AA30="","USD",AA30), limitePermitido, IFERROR(VLOOKUP(monedaPago, Configuración!$A$2:$B$3, 2, FALSE), 0.15), IF(AD30&gt;limitePermitido, "ALERTA: EXCESO (" &amp; TEXT(limitePermitido, "0%") &amp; " máx)", "OK"))))</f>
        <v/>
      </c>
      <c r="AP30" s="79">
        <f>IF(AN30="","",IF(AE30=0,"OK",_xlfn.LET(fechaPago, Z30, fechaFactura, R30, diasCredito, IF(E30="Pago inmediato", 0, IFERROR(VALUE(MID(E30, 1, SEARCH(" ", E30)-1)),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0" s="79">
        <f>IF(AN30="","",IF(AND(N30&gt;0, AG30&gt;0), IF(Configuración!$K$2="NO", "ALERTA: DESCUENTO DOBLE NO PERMITIDO", "OK"), "OK"))</f>
        <v/>
      </c>
      <c r="AR30" s="79">
        <f>IF(AN30="","",IF(OR(AO30&lt;&gt;"OK", AP30&lt;&gt;"OK", AQ30&lt;&gt;"OK"), "⚠️ REVISAR", "OK"))</f>
        <v/>
      </c>
    </row>
    <row r="31">
      <c r="A31" s="79">
        <f>IF('Ordenes_Odoo'!A31="","",'Ordenes_Odoo'!A31)</f>
        <v/>
      </c>
      <c r="B31" s="80">
        <f>IF('Ordenes_Odoo'!B31="","",'Ordenes_Odoo'!B31)</f>
        <v/>
      </c>
      <c r="C31" s="79">
        <f>IF('Ordenes_Odoo'!C31="","",'Ordenes_Odoo'!C31)</f>
        <v/>
      </c>
      <c r="D31" s="79">
        <f>IF('Ordenes_Odoo'!D31="","",'Ordenes_Odoo'!D31)</f>
        <v/>
      </c>
      <c r="E31" s="79">
        <f>IF('Ordenes_Odoo'!E31="","",'Ordenes_Odoo'!E31)</f>
        <v/>
      </c>
      <c r="F31" s="79">
        <f>IF('Ordenes_Odoo'!F31="","",'Ordenes_Odoo'!F31)</f>
        <v/>
      </c>
      <c r="G31" s="79">
        <f>IF('Ordenes_Odoo'!G31="","",'Ordenes_Odoo'!G31)</f>
        <v/>
      </c>
      <c r="H31" s="79">
        <f>IF('Ordenes_Odoo'!H31="","",'Ordenes_Odoo'!H31)</f>
        <v/>
      </c>
      <c r="I31" s="79">
        <f>IF('Ordenes_Odoo'!I31="","",'Ordenes_Odoo'!I31)</f>
        <v/>
      </c>
      <c r="J31" s="79">
        <f>IF('Ordenes_Odoo'!J31="","",'Ordenes_Odoo'!J31)</f>
        <v/>
      </c>
      <c r="K31" s="81">
        <f>IF('Ordenes_Odoo'!K31="","",'Ordenes_Odoo'!K31)</f>
        <v/>
      </c>
      <c r="L31" s="81">
        <f>IF('Ordenes_Odoo'!L31="","",'Ordenes_Odoo'!L31)</f>
        <v/>
      </c>
      <c r="M31" s="79">
        <f>IF('Ordenes_Odoo'!M31="","",'Ordenes_Odoo'!M31)</f>
        <v/>
      </c>
      <c r="N31" s="79">
        <f>IF('Ordenes_Odoo'!N31="","",'Ordenes_Odoo'!N31)</f>
        <v/>
      </c>
      <c r="O31" s="81">
        <f>IF('Ordenes_Odoo'!O31="","",'Ordenes_Odoo'!O31)</f>
        <v/>
      </c>
      <c r="P31" s="81">
        <f>IF('Ordenes_Odoo'!P31="","",'Ordenes_Odoo'!P31)</f>
        <v/>
      </c>
      <c r="Q31" s="79">
        <f>IF(A31="","",IFERROR(INDEX(Facturas_Odoo!$B:$B, MATCH(A31, Facturas_Odoo!$D:$D, 0)), "Sin Factura"))</f>
        <v/>
      </c>
      <c r="R31" s="80">
        <f>IF(Q31="Sin Factura","",IFERROR(INDEX(Facturas_Odoo!$A:$A, MATCH(Q31, Facturas_Odoo!$B:$B, 0)), ""))</f>
        <v/>
      </c>
      <c r="S31" s="79">
        <f>IF(Q31="Sin Factura","",IFERROR(_xlfn.XLOOKUP(1, (Facturas_Odoo!$D:$D=A31) * (Facturas_Odoo!$K:$K=I31), Facturas_Odoo!$L:$L, ""), ""))</f>
        <v/>
      </c>
      <c r="T31" s="81">
        <f>IF(Q31="Sin Factura",0,IFERROR(_xlfn.XLOOKUP(1, (Facturas_Odoo!$D:$D=A31) * (Facturas_Odoo!$K:$K=I31), Facturas_Odoo!$M:$M, 0), 0))</f>
        <v/>
      </c>
      <c r="U31" s="79">
        <f>IF(Q31="Sin Factura",0,IFERROR(_xlfn.XLOOKUP(1, (Facturas_Odoo!$D:$D=A31) * (Facturas_Odoo!$K:$K=I31), Facturas_Odoo!$N:$N, 0), 0))</f>
        <v/>
      </c>
      <c r="V31" s="79">
        <f>IF(Q31="Sin Factura",0,IFERROR(_xlfn.XLOOKUP(1, (Facturas_Odoo!$D:$D=A31) * (Facturas_Odoo!$K:$K=I31), Facturas_Odoo!$O:$O, 0), 0))</f>
        <v/>
      </c>
      <c r="W31" s="81">
        <f>IF(Q31="Sin Factura",0,IFERROR(_xlfn.XLOOKUP(1, (Facturas_Odoo!$D:$D=A31) * (Facturas_Odoo!$K:$K=I31), Facturas_Odoo!$Q:$Q, 0), 0))</f>
        <v/>
      </c>
      <c r="X31" s="79">
        <f>IF(OR(Q31="Sin Factura",Q31=""),"",IFERROR(INDEX(Pagos_Odoo!$B:$B, MATCH(Q31, Pagos_Odoo!$I:$I, 0)), "Sin Pago"))</f>
        <v/>
      </c>
      <c r="Y31" s="79">
        <f>IF(X31="Sin Pago","",IFERROR(INDEX(Pagos_Odoo!$C:$C, MATCH(X31, Pagos_Odoo!$B:$B, 0)), ""))</f>
        <v/>
      </c>
      <c r="Z31" s="80">
        <f>IF(X31="Sin Pago","",IFERROR(INDEX(Pagos_Odoo!$A:$A, MATCH(X31, Pagos_Odoo!$B:$B, 0)), ""))</f>
        <v/>
      </c>
      <c r="AA31" s="79">
        <f>IF(X31="Sin Pago","",IFERROR(INDEX(Pagos_Odoo!$F:$F, MATCH(X31, Pagos_Odoo!$B:$B, 0)), ""))</f>
        <v/>
      </c>
      <c r="AB31" s="81">
        <f>IF(X31="Sin Pago",0,IFERROR(INDEX(Pagos_Odoo!$E:$E, MATCH(X31, Pagos_Odoo!$B:$B, 0)), 0))</f>
        <v/>
      </c>
      <c r="AC31" s="79">
        <f>IF(X31="Sin Pago","",IFERROR(INDEX(Pagos_Odoo!$G:$G, MATCH(X31, Pagos_Odoo!$B:$B, 0)), ""))</f>
        <v/>
      </c>
      <c r="AD31" s="82" t="n">
        <v>0</v>
      </c>
      <c r="AE31" s="82" t="n"/>
      <c r="AF31" s="82" t="n"/>
      <c r="AG31" s="82">
        <f>IF(AN31="","",AD31+AE31+AF31)</f>
        <v/>
      </c>
      <c r="AH31" s="81">
        <f>IF(AN31="","",P31*(1-AG31))</f>
        <v/>
      </c>
      <c r="AI31" s="81">
        <f>IF(AN31="","",IF(Q31="Sin Factura",0,IFERROR(INDEX(Facturas_Odoo!$H:$H, MATCH(Q31, Facturas_Odoo!$B:$B, 0)), 0)*(1-AG31)))</f>
        <v/>
      </c>
      <c r="AJ31" s="81">
        <f>IF(AN31="","",_xlfn.LET(idVenta, AN31&amp;"",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1" s="81">
        <f>IF(AN31="","",AH31-AJ31)</f>
        <v/>
      </c>
      <c r="AL31" s="81">
        <f>IF(AN31="","",IF(Q31="Sin Factura","",AI31-AJ31))</f>
        <v/>
      </c>
      <c r="AM31" s="81">
        <f>IF(AN31="","",IF(Q31="Sin Factura",0,P31-IFERROR(INDEX(Facturas_Odoo!$H:$H, MATCH(Q31, Facturas_Odoo!$B:$B, 0)), 0)))</f>
        <v/>
      </c>
      <c r="AN31" s="79">
        <f>IF(AND(A31="", J31=""), "", IF(A31&lt;&gt;"", VALUE(MID(A31,2,LEN(A31))), AN30))</f>
        <v/>
      </c>
      <c r="AO31" s="79">
        <f>IF(AN31="","",IF(AD31=0,"OK",_xlfn.LET(monedaPago, IF(AA31="","USD",AA31), limitePermitido, IFERROR(VLOOKUP(monedaPago, Configuración!$A$2:$B$3, 2, FALSE), 0.15), IF(AD31&gt;limitePermitido, "ALERTA: EXCESO (" &amp; TEXT(limitePermitido, "0%") &amp; " máx)", "OK"))))</f>
        <v/>
      </c>
      <c r="AP31" s="79">
        <f>IF(AN31="","",IF(AE31=0,"OK",_xlfn.LET(fechaPago, Z31, fechaFactura, R31, diasCredito, IF(E31="Pago inmediato", 0, IFERROR(VALUE(MID(E31, 1, SEARCH(" ", E31)-1)),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1" s="79">
        <f>IF(AN31="","",IF(AND(N31&gt;0, AG31&gt;0), IF(Configuración!$K$2="NO", "ALERTA: DESCUENTO DOBLE NO PERMITIDO", "OK"), "OK"))</f>
        <v/>
      </c>
      <c r="AR31" s="79">
        <f>IF(AN31="","",IF(OR(AO31&lt;&gt;"OK", AP31&lt;&gt;"OK", AQ31&lt;&gt;"OK"), "⚠️ REVISAR", "OK"))</f>
        <v/>
      </c>
    </row>
    <row r="32">
      <c r="A32" s="79">
        <f>IF('Ordenes_Odoo'!A32="","",'Ordenes_Odoo'!A32)</f>
        <v/>
      </c>
      <c r="B32" s="80">
        <f>IF('Ordenes_Odoo'!B32="","",'Ordenes_Odoo'!B32)</f>
        <v/>
      </c>
      <c r="C32" s="79">
        <f>IF('Ordenes_Odoo'!C32="","",'Ordenes_Odoo'!C32)</f>
        <v/>
      </c>
      <c r="D32" s="79">
        <f>IF('Ordenes_Odoo'!D32="","",'Ordenes_Odoo'!D32)</f>
        <v/>
      </c>
      <c r="E32" s="79">
        <f>IF('Ordenes_Odoo'!E32="","",'Ordenes_Odoo'!E32)</f>
        <v/>
      </c>
      <c r="F32" s="79">
        <f>IF('Ordenes_Odoo'!F32="","",'Ordenes_Odoo'!F32)</f>
        <v/>
      </c>
      <c r="G32" s="79">
        <f>IF('Ordenes_Odoo'!G32="","",'Ordenes_Odoo'!G32)</f>
        <v/>
      </c>
      <c r="H32" s="79">
        <f>IF('Ordenes_Odoo'!H32="","",'Ordenes_Odoo'!H32)</f>
        <v/>
      </c>
      <c r="I32" s="79">
        <f>IF('Ordenes_Odoo'!I32="","",'Ordenes_Odoo'!I32)</f>
        <v/>
      </c>
      <c r="J32" s="79">
        <f>IF('Ordenes_Odoo'!J32="","",'Ordenes_Odoo'!J32)</f>
        <v/>
      </c>
      <c r="K32" s="81">
        <f>IF('Ordenes_Odoo'!K32="","",'Ordenes_Odoo'!K32)</f>
        <v/>
      </c>
      <c r="L32" s="81">
        <f>IF('Ordenes_Odoo'!L32="","",'Ordenes_Odoo'!L32)</f>
        <v/>
      </c>
      <c r="M32" s="79">
        <f>IF('Ordenes_Odoo'!M32="","",'Ordenes_Odoo'!M32)</f>
        <v/>
      </c>
      <c r="N32" s="79">
        <f>IF('Ordenes_Odoo'!N32="","",'Ordenes_Odoo'!N32)</f>
        <v/>
      </c>
      <c r="O32" s="81">
        <f>IF('Ordenes_Odoo'!O32="","",'Ordenes_Odoo'!O32)</f>
        <v/>
      </c>
      <c r="P32" s="81">
        <f>IF('Ordenes_Odoo'!P32="","",'Ordenes_Odoo'!P32)</f>
        <v/>
      </c>
      <c r="Q32" s="79">
        <f>IF(A32="","",IFERROR(INDEX(Facturas_Odoo!$B:$B, MATCH(A32, Facturas_Odoo!$D:$D, 0)), "Sin Factura"))</f>
        <v/>
      </c>
      <c r="R32" s="80">
        <f>IF(Q32="Sin Factura","",IFERROR(INDEX(Facturas_Odoo!$A:$A, MATCH(Q32, Facturas_Odoo!$B:$B, 0)), ""))</f>
        <v/>
      </c>
      <c r="S32" s="79">
        <f>IF(Q32="Sin Factura","",IFERROR(_xlfn.XLOOKUP(1, (Facturas_Odoo!$D:$D=A32) * (Facturas_Odoo!$K:$K=I32), Facturas_Odoo!$L:$L, ""), ""))</f>
        <v/>
      </c>
      <c r="T32" s="81">
        <f>IF(Q32="Sin Factura",0,IFERROR(_xlfn.XLOOKUP(1, (Facturas_Odoo!$D:$D=A32) * (Facturas_Odoo!$K:$K=I32), Facturas_Odoo!$M:$M, 0), 0))</f>
        <v/>
      </c>
      <c r="U32" s="79">
        <f>IF(Q32="Sin Factura",0,IFERROR(_xlfn.XLOOKUP(1, (Facturas_Odoo!$D:$D=A32) * (Facturas_Odoo!$K:$K=I32), Facturas_Odoo!$N:$N, 0), 0))</f>
        <v/>
      </c>
      <c r="V32" s="79">
        <f>IF(Q32="Sin Factura",0,IFERROR(_xlfn.XLOOKUP(1, (Facturas_Odoo!$D:$D=A32) * (Facturas_Odoo!$K:$K=I32), Facturas_Odoo!$O:$O, 0), 0))</f>
        <v/>
      </c>
      <c r="W32" s="81">
        <f>IF(Q32="Sin Factura",0,IFERROR(_xlfn.XLOOKUP(1, (Facturas_Odoo!$D:$D=A32) * (Facturas_Odoo!$K:$K=I32), Facturas_Odoo!$Q:$Q, 0), 0))</f>
        <v/>
      </c>
      <c r="X32" s="79">
        <f>IF(OR(Q32="Sin Factura",Q32=""),"",IFERROR(INDEX(Pagos_Odoo!$B:$B, MATCH(Q32, Pagos_Odoo!$I:$I, 0)), "Sin Pago"))</f>
        <v/>
      </c>
      <c r="Y32" s="79">
        <f>IF(X32="Sin Pago","",IFERROR(INDEX(Pagos_Odoo!$C:$C, MATCH(X32, Pagos_Odoo!$B:$B, 0)), ""))</f>
        <v/>
      </c>
      <c r="Z32" s="80">
        <f>IF(X32="Sin Pago","",IFERROR(INDEX(Pagos_Odoo!$A:$A, MATCH(X32, Pagos_Odoo!$B:$B, 0)), ""))</f>
        <v/>
      </c>
      <c r="AA32" s="79">
        <f>IF(X32="Sin Pago","",IFERROR(INDEX(Pagos_Odoo!$F:$F, MATCH(X32, Pagos_Odoo!$B:$B, 0)), ""))</f>
        <v/>
      </c>
      <c r="AB32" s="81">
        <f>IF(X32="Sin Pago",0,IFERROR(INDEX(Pagos_Odoo!$E:$E, MATCH(X32, Pagos_Odoo!$B:$B, 0)), 0))</f>
        <v/>
      </c>
      <c r="AC32" s="79">
        <f>IF(X32="Sin Pago","",IFERROR(INDEX(Pagos_Odoo!$G:$G, MATCH(X32, Pagos_Odoo!$B:$B, 0)), ""))</f>
        <v/>
      </c>
      <c r="AD32" s="82" t="n">
        <v>0</v>
      </c>
      <c r="AE32" s="82" t="n"/>
      <c r="AF32" s="82" t="n"/>
      <c r="AG32" s="82">
        <f>IF(AN32="","",AD32+AE32+AF32)</f>
        <v/>
      </c>
      <c r="AH32" s="81">
        <f>IF(AN32="","",P32*(1-AG32))</f>
        <v/>
      </c>
      <c r="AI32" s="81">
        <f>IF(AN32="","",IF(Q32="Sin Factura",0,IFERROR(INDEX(Facturas_Odoo!$H:$H, MATCH(Q32, Facturas_Odoo!$B:$B, 0)), 0)*(1-AG32)))</f>
        <v/>
      </c>
      <c r="AJ32" s="81">
        <f>IF(AN32="","",_xlfn.LET(idVenta, AN32&amp;"",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2" s="81">
        <f>IF(AN32="","",AH32-AJ32)</f>
        <v/>
      </c>
      <c r="AL32" s="81">
        <f>IF(AN32="","",IF(Q32="Sin Factura","",AI32-AJ32))</f>
        <v/>
      </c>
      <c r="AM32" s="81">
        <f>IF(AN32="","",IF(Q32="Sin Factura",0,P32-IFERROR(INDEX(Facturas_Odoo!$H:$H, MATCH(Q32, Facturas_Odoo!$B:$B, 0)), 0)))</f>
        <v/>
      </c>
      <c r="AN32" s="79">
        <f>IF(AND(A32="", J32=""), "", IF(A32&lt;&gt;"", VALUE(MID(A32,2,LEN(A32))), AN31))</f>
        <v/>
      </c>
      <c r="AO32" s="79">
        <f>IF(AN32="","",IF(AD32=0,"OK",_xlfn.LET(monedaPago, IF(AA32="","USD",AA32), limitePermitido, IFERROR(VLOOKUP(monedaPago, Configuración!$A$2:$B$3, 2, FALSE), 0.15), IF(AD32&gt;limitePermitido, "ALERTA: EXCESO (" &amp; TEXT(limitePermitido, "0%") &amp; " máx)", "OK"))))</f>
        <v/>
      </c>
      <c r="AP32" s="79">
        <f>IF(AN32="","",IF(AE32=0,"OK",_xlfn.LET(fechaPago, Z32, fechaFactura, R32, diasCredito, IF(E32="Pago inmediato", 0, IFERROR(VALUE(MID(E32, 1, SEARCH(" ", E32)-1)),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2" s="79">
        <f>IF(AN32="","",IF(AND(N32&gt;0, AG32&gt;0), IF(Configuración!$K$2="NO", "ALERTA: DESCUENTO DOBLE NO PERMITIDO", "OK"), "OK"))</f>
        <v/>
      </c>
      <c r="AR32" s="79">
        <f>IF(AN32="","",IF(OR(AO32&lt;&gt;"OK", AP32&lt;&gt;"OK", AQ32&lt;&gt;"OK"), "⚠️ REVISAR", "OK"))</f>
        <v/>
      </c>
    </row>
    <row r="33">
      <c r="A33" s="79">
        <f>IF('Ordenes_Odoo'!A33="","",'Ordenes_Odoo'!A33)</f>
        <v/>
      </c>
      <c r="B33" s="80">
        <f>IF('Ordenes_Odoo'!B33="","",'Ordenes_Odoo'!B33)</f>
        <v/>
      </c>
      <c r="C33" s="79">
        <f>IF('Ordenes_Odoo'!C33="","",'Ordenes_Odoo'!C33)</f>
        <v/>
      </c>
      <c r="D33" s="79">
        <f>IF('Ordenes_Odoo'!D33="","",'Ordenes_Odoo'!D33)</f>
        <v/>
      </c>
      <c r="E33" s="79">
        <f>IF('Ordenes_Odoo'!E33="","",'Ordenes_Odoo'!E33)</f>
        <v/>
      </c>
      <c r="F33" s="79">
        <f>IF('Ordenes_Odoo'!F33="","",'Ordenes_Odoo'!F33)</f>
        <v/>
      </c>
      <c r="G33" s="79">
        <f>IF('Ordenes_Odoo'!G33="","",'Ordenes_Odoo'!G33)</f>
        <v/>
      </c>
      <c r="H33" s="79">
        <f>IF('Ordenes_Odoo'!H33="","",'Ordenes_Odoo'!H33)</f>
        <v/>
      </c>
      <c r="I33" s="79">
        <f>IF('Ordenes_Odoo'!I33="","",'Ordenes_Odoo'!I33)</f>
        <v/>
      </c>
      <c r="J33" s="79">
        <f>IF('Ordenes_Odoo'!J33="","",'Ordenes_Odoo'!J33)</f>
        <v/>
      </c>
      <c r="K33" s="81">
        <f>IF('Ordenes_Odoo'!K33="","",'Ordenes_Odoo'!K33)</f>
        <v/>
      </c>
      <c r="L33" s="81">
        <f>IF('Ordenes_Odoo'!L33="","",'Ordenes_Odoo'!L33)</f>
        <v/>
      </c>
      <c r="M33" s="79">
        <f>IF('Ordenes_Odoo'!M33="","",'Ordenes_Odoo'!M33)</f>
        <v/>
      </c>
      <c r="N33" s="79">
        <f>IF('Ordenes_Odoo'!N33="","",'Ordenes_Odoo'!N33)</f>
        <v/>
      </c>
      <c r="O33" s="81">
        <f>IF('Ordenes_Odoo'!O33="","",'Ordenes_Odoo'!O33)</f>
        <v/>
      </c>
      <c r="P33" s="81">
        <f>IF('Ordenes_Odoo'!P33="","",'Ordenes_Odoo'!P33)</f>
        <v/>
      </c>
      <c r="Q33" s="79">
        <f>IF(A33="","",IFERROR(INDEX(Facturas_Odoo!$B:$B, MATCH(A33, Facturas_Odoo!$D:$D, 0)), "Sin Factura"))</f>
        <v/>
      </c>
      <c r="R33" s="80">
        <f>IF(Q33="Sin Factura","",IFERROR(INDEX(Facturas_Odoo!$A:$A, MATCH(Q33, Facturas_Odoo!$B:$B, 0)), ""))</f>
        <v/>
      </c>
      <c r="S33" s="79">
        <f>IF(Q33="Sin Factura","",IFERROR(_xlfn.XLOOKUP(1, (Facturas_Odoo!$D:$D=A33) * (Facturas_Odoo!$K:$K=I33), Facturas_Odoo!$L:$L, ""), ""))</f>
        <v/>
      </c>
      <c r="T33" s="81">
        <f>IF(Q33="Sin Factura",0,IFERROR(_xlfn.XLOOKUP(1, (Facturas_Odoo!$D:$D=A33) * (Facturas_Odoo!$K:$K=I33), Facturas_Odoo!$M:$M, 0), 0))</f>
        <v/>
      </c>
      <c r="U33" s="79">
        <f>IF(Q33="Sin Factura",0,IFERROR(_xlfn.XLOOKUP(1, (Facturas_Odoo!$D:$D=A33) * (Facturas_Odoo!$K:$K=I33), Facturas_Odoo!$N:$N, 0), 0))</f>
        <v/>
      </c>
      <c r="V33" s="79">
        <f>IF(Q33="Sin Factura",0,IFERROR(_xlfn.XLOOKUP(1, (Facturas_Odoo!$D:$D=A33) * (Facturas_Odoo!$K:$K=I33), Facturas_Odoo!$O:$O, 0), 0))</f>
        <v/>
      </c>
      <c r="W33" s="81">
        <f>IF(Q33="Sin Factura",0,IFERROR(_xlfn.XLOOKUP(1, (Facturas_Odoo!$D:$D=A33) * (Facturas_Odoo!$K:$K=I33), Facturas_Odoo!$Q:$Q, 0), 0))</f>
        <v/>
      </c>
      <c r="X33" s="79">
        <f>IF(OR(Q33="Sin Factura",Q33=""),"",IFERROR(INDEX(Pagos_Odoo!$B:$B, MATCH(Q33, Pagos_Odoo!$I:$I, 0)), "Sin Pago"))</f>
        <v/>
      </c>
      <c r="Y33" s="79">
        <f>IF(X33="Sin Pago","",IFERROR(INDEX(Pagos_Odoo!$C:$C, MATCH(X33, Pagos_Odoo!$B:$B, 0)), ""))</f>
        <v/>
      </c>
      <c r="Z33" s="80">
        <f>IF(X33="Sin Pago","",IFERROR(INDEX(Pagos_Odoo!$A:$A, MATCH(X33, Pagos_Odoo!$B:$B, 0)), ""))</f>
        <v/>
      </c>
      <c r="AA33" s="79">
        <f>IF(X33="Sin Pago","",IFERROR(INDEX(Pagos_Odoo!$F:$F, MATCH(X33, Pagos_Odoo!$B:$B, 0)), ""))</f>
        <v/>
      </c>
      <c r="AB33" s="81">
        <f>IF(X33="Sin Pago",0,IFERROR(INDEX(Pagos_Odoo!$E:$E, MATCH(X33, Pagos_Odoo!$B:$B, 0)), 0))</f>
        <v/>
      </c>
      <c r="AC33" s="79">
        <f>IF(X33="Sin Pago","",IFERROR(INDEX(Pagos_Odoo!$G:$G, MATCH(X33, Pagos_Odoo!$B:$B, 0)), ""))</f>
        <v/>
      </c>
      <c r="AD33" s="82" t="n">
        <v>0</v>
      </c>
      <c r="AE33" s="82" t="n"/>
      <c r="AF33" s="82" t="n"/>
      <c r="AG33" s="82">
        <f>IF(AN33="","",AD33+AE33+AF33)</f>
        <v/>
      </c>
      <c r="AH33" s="81">
        <f>IF(AN33="","",P33*(1-AG33))</f>
        <v/>
      </c>
      <c r="AI33" s="81">
        <f>IF(AN33="","",IF(Q33="Sin Factura",0,IFERROR(INDEX(Facturas_Odoo!$H:$H, MATCH(Q33, Facturas_Odoo!$B:$B, 0)), 0)*(1-AG33)))</f>
        <v/>
      </c>
      <c r="AJ33" s="81">
        <f>IF(AN33="","",_xlfn.LET(idVenta, AN33&amp;"",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3" s="81">
        <f>IF(AN33="","",AH33-AJ33)</f>
        <v/>
      </c>
      <c r="AL33" s="81">
        <f>IF(AN33="","",IF(Q33="Sin Factura","",AI33-AJ33))</f>
        <v/>
      </c>
      <c r="AM33" s="81">
        <f>IF(AN33="","",IF(Q33="Sin Factura",0,P33-IFERROR(INDEX(Facturas_Odoo!$H:$H, MATCH(Q33, Facturas_Odoo!$B:$B, 0)), 0)))</f>
        <v/>
      </c>
      <c r="AN33" s="79">
        <f>IF(AND(A33="", J33=""), "", IF(A33&lt;&gt;"", VALUE(MID(A33,2,LEN(A33))), AN32))</f>
        <v/>
      </c>
      <c r="AO33" s="79">
        <f>IF(AN33="","",IF(AD33=0,"OK",_xlfn.LET(monedaPago, IF(AA33="","USD",AA33), limitePermitido, IFERROR(VLOOKUP(monedaPago, Configuración!$A$2:$B$3, 2, FALSE), 0.15), IF(AD33&gt;limitePermitido, "ALERTA: EXCESO (" &amp; TEXT(limitePermitido, "0%") &amp; " máx)", "OK"))))</f>
        <v/>
      </c>
      <c r="AP33" s="79">
        <f>IF(AN33="","",IF(AE33=0,"OK",_xlfn.LET(fechaPago, Z33, fechaFactura, R33, diasCredito, IF(E33="Pago inmediato", 0, IFERROR(VALUE(MID(E33, 1, SEARCH(" ", E33)-1)),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3" s="79">
        <f>IF(AN33="","",IF(AND(N33&gt;0, AG33&gt;0), IF(Configuración!$K$2="NO", "ALERTA: DESCUENTO DOBLE NO PERMITIDO", "OK"), "OK"))</f>
        <v/>
      </c>
      <c r="AR33" s="79">
        <f>IF(AN33="","",IF(OR(AO33&lt;&gt;"OK", AP33&lt;&gt;"OK", AQ33&lt;&gt;"OK"), "⚠️ REVISAR", "OK"))</f>
        <v/>
      </c>
    </row>
    <row r="34">
      <c r="A34" s="79">
        <f>IF('Ordenes_Odoo'!A34="","",'Ordenes_Odoo'!A34)</f>
        <v/>
      </c>
      <c r="B34" s="80">
        <f>IF('Ordenes_Odoo'!B34="","",'Ordenes_Odoo'!B34)</f>
        <v/>
      </c>
      <c r="C34" s="79">
        <f>IF('Ordenes_Odoo'!C34="","",'Ordenes_Odoo'!C34)</f>
        <v/>
      </c>
      <c r="D34" s="79">
        <f>IF('Ordenes_Odoo'!D34="","",'Ordenes_Odoo'!D34)</f>
        <v/>
      </c>
      <c r="E34" s="79">
        <f>IF('Ordenes_Odoo'!E34="","",'Ordenes_Odoo'!E34)</f>
        <v/>
      </c>
      <c r="F34" s="79">
        <f>IF('Ordenes_Odoo'!F34="","",'Ordenes_Odoo'!F34)</f>
        <v/>
      </c>
      <c r="G34" s="79">
        <f>IF('Ordenes_Odoo'!G34="","",'Ordenes_Odoo'!G34)</f>
        <v/>
      </c>
      <c r="H34" s="79">
        <f>IF('Ordenes_Odoo'!H34="","",'Ordenes_Odoo'!H34)</f>
        <v/>
      </c>
      <c r="I34" s="79">
        <f>IF('Ordenes_Odoo'!I34="","",'Ordenes_Odoo'!I34)</f>
        <v/>
      </c>
      <c r="J34" s="79">
        <f>IF('Ordenes_Odoo'!J34="","",'Ordenes_Odoo'!J34)</f>
        <v/>
      </c>
      <c r="K34" s="81">
        <f>IF('Ordenes_Odoo'!K34="","",'Ordenes_Odoo'!K34)</f>
        <v/>
      </c>
      <c r="L34" s="81">
        <f>IF('Ordenes_Odoo'!L34="","",'Ordenes_Odoo'!L34)</f>
        <v/>
      </c>
      <c r="M34" s="79">
        <f>IF('Ordenes_Odoo'!M34="","",'Ordenes_Odoo'!M34)</f>
        <v/>
      </c>
      <c r="N34" s="79">
        <f>IF('Ordenes_Odoo'!N34="","",'Ordenes_Odoo'!N34)</f>
        <v/>
      </c>
      <c r="O34" s="81">
        <f>IF('Ordenes_Odoo'!O34="","",'Ordenes_Odoo'!O34)</f>
        <v/>
      </c>
      <c r="P34" s="81">
        <f>IF('Ordenes_Odoo'!P34="","",'Ordenes_Odoo'!P34)</f>
        <v/>
      </c>
      <c r="Q34" s="79">
        <f>IF(A34="","",IFERROR(INDEX(Facturas_Odoo!$B:$B, MATCH(A34, Facturas_Odoo!$D:$D, 0)), "Sin Factura"))</f>
        <v/>
      </c>
      <c r="R34" s="80">
        <f>IF(Q34="Sin Factura","",IFERROR(INDEX(Facturas_Odoo!$A:$A, MATCH(Q34, Facturas_Odoo!$B:$B, 0)), ""))</f>
        <v/>
      </c>
      <c r="S34" s="79">
        <f>IF(Q34="Sin Factura","",IFERROR(_xlfn.XLOOKUP(1, (Facturas_Odoo!$D:$D=A34) * (Facturas_Odoo!$K:$K=I34), Facturas_Odoo!$L:$L, ""), ""))</f>
        <v/>
      </c>
      <c r="T34" s="81">
        <f>IF(Q34="Sin Factura",0,IFERROR(_xlfn.XLOOKUP(1, (Facturas_Odoo!$D:$D=A34) * (Facturas_Odoo!$K:$K=I34), Facturas_Odoo!$M:$M, 0), 0))</f>
        <v/>
      </c>
      <c r="U34" s="79">
        <f>IF(Q34="Sin Factura",0,IFERROR(_xlfn.XLOOKUP(1, (Facturas_Odoo!$D:$D=A34) * (Facturas_Odoo!$K:$K=I34), Facturas_Odoo!$N:$N, 0), 0))</f>
        <v/>
      </c>
      <c r="V34" s="79">
        <f>IF(Q34="Sin Factura",0,IFERROR(_xlfn.XLOOKUP(1, (Facturas_Odoo!$D:$D=A34) * (Facturas_Odoo!$K:$K=I34), Facturas_Odoo!$O:$O, 0), 0))</f>
        <v/>
      </c>
      <c r="W34" s="81">
        <f>IF(Q34="Sin Factura",0,IFERROR(_xlfn.XLOOKUP(1, (Facturas_Odoo!$D:$D=A34) * (Facturas_Odoo!$K:$K=I34), Facturas_Odoo!$Q:$Q, 0), 0))</f>
        <v/>
      </c>
      <c r="X34" s="79">
        <f>IF(OR(Q34="Sin Factura",Q34=""),"",IFERROR(INDEX(Pagos_Odoo!$B:$B, MATCH(Q34, Pagos_Odoo!$I:$I, 0)), "Sin Pago"))</f>
        <v/>
      </c>
      <c r="Y34" s="79">
        <f>IF(X34="Sin Pago","",IFERROR(INDEX(Pagos_Odoo!$C:$C, MATCH(X34, Pagos_Odoo!$B:$B, 0)), ""))</f>
        <v/>
      </c>
      <c r="Z34" s="80">
        <f>IF(X34="Sin Pago","",IFERROR(INDEX(Pagos_Odoo!$A:$A, MATCH(X34, Pagos_Odoo!$B:$B, 0)), ""))</f>
        <v/>
      </c>
      <c r="AA34" s="79">
        <f>IF(X34="Sin Pago","",IFERROR(INDEX(Pagos_Odoo!$F:$F, MATCH(X34, Pagos_Odoo!$B:$B, 0)), ""))</f>
        <v/>
      </c>
      <c r="AB34" s="81">
        <f>IF(X34="Sin Pago",0,IFERROR(INDEX(Pagos_Odoo!$E:$E, MATCH(X34, Pagos_Odoo!$B:$B, 0)), 0))</f>
        <v/>
      </c>
      <c r="AC34" s="79">
        <f>IF(X34="Sin Pago","",IFERROR(INDEX(Pagos_Odoo!$G:$G, MATCH(X34, Pagos_Odoo!$B:$B, 0)), ""))</f>
        <v/>
      </c>
      <c r="AD34" s="82" t="n">
        <v>0</v>
      </c>
      <c r="AE34" s="82" t="n"/>
      <c r="AF34" s="82" t="n"/>
      <c r="AG34" s="82">
        <f>IF(AN34="","",AD34+AE34+AF34)</f>
        <v/>
      </c>
      <c r="AH34" s="81">
        <f>IF(AN34="","",P34*(1-AG34))</f>
        <v/>
      </c>
      <c r="AI34" s="81">
        <f>IF(AN34="","",IF(Q34="Sin Factura",0,IFERROR(INDEX(Facturas_Odoo!$H:$H, MATCH(Q34, Facturas_Odoo!$B:$B, 0)), 0)*(1-AG34)))</f>
        <v/>
      </c>
      <c r="AJ34" s="81">
        <f>IF(AN34="","",_xlfn.LET(idVenta, AN34&amp;"",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4" s="81">
        <f>IF(AN34="","",AH34-AJ34)</f>
        <v/>
      </c>
      <c r="AL34" s="81">
        <f>IF(AN34="","",IF(Q34="Sin Factura","",AI34-AJ34))</f>
        <v/>
      </c>
      <c r="AM34" s="81">
        <f>IF(AN34="","",IF(Q34="Sin Factura",0,P34-IFERROR(INDEX(Facturas_Odoo!$H:$H, MATCH(Q34, Facturas_Odoo!$B:$B, 0)), 0)))</f>
        <v/>
      </c>
      <c r="AN34" s="79">
        <f>IF(AND(A34="", J34=""), "", IF(A34&lt;&gt;"", VALUE(MID(A34,2,LEN(A34))), AN33))</f>
        <v/>
      </c>
      <c r="AO34" s="79">
        <f>IF(AN34="","",IF(AD34=0,"OK",_xlfn.LET(monedaPago, IF(AA34="","USD",AA34), limitePermitido, IFERROR(VLOOKUP(monedaPago, Configuración!$A$2:$B$3, 2, FALSE), 0.15), IF(AD34&gt;limitePermitido, "ALERTA: EXCESO (" &amp; TEXT(limitePermitido, "0%") &amp; " máx)", "OK"))))</f>
        <v/>
      </c>
      <c r="AP34" s="79">
        <f>IF(AN34="","",IF(AE34=0,"OK",_xlfn.LET(fechaPago, Z34, fechaFactura, R34, diasCredito, IF(E34="Pago inmediato", 0, IFERROR(VALUE(MID(E34, 1, SEARCH(" ", E34)-1)),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4" s="79">
        <f>IF(AN34="","",IF(AND(N34&gt;0, AG34&gt;0), IF(Configuración!$K$2="NO", "ALERTA: DESCUENTO DOBLE NO PERMITIDO", "OK"), "OK"))</f>
        <v/>
      </c>
      <c r="AR34" s="79">
        <f>IF(AN34="","",IF(OR(AO34&lt;&gt;"OK", AP34&lt;&gt;"OK", AQ34&lt;&gt;"OK"), "⚠️ REVISAR", "OK"))</f>
        <v/>
      </c>
    </row>
    <row r="35">
      <c r="A35" s="79">
        <f>IF('Ordenes_Odoo'!A35="","",'Ordenes_Odoo'!A35)</f>
        <v/>
      </c>
      <c r="B35" s="80">
        <f>IF('Ordenes_Odoo'!B35="","",'Ordenes_Odoo'!B35)</f>
        <v/>
      </c>
      <c r="C35" s="79">
        <f>IF('Ordenes_Odoo'!C35="","",'Ordenes_Odoo'!C35)</f>
        <v/>
      </c>
      <c r="D35" s="79">
        <f>IF('Ordenes_Odoo'!D35="","",'Ordenes_Odoo'!D35)</f>
        <v/>
      </c>
      <c r="E35" s="79">
        <f>IF('Ordenes_Odoo'!E35="","",'Ordenes_Odoo'!E35)</f>
        <v/>
      </c>
      <c r="F35" s="79">
        <f>IF('Ordenes_Odoo'!F35="","",'Ordenes_Odoo'!F35)</f>
        <v/>
      </c>
      <c r="G35" s="79">
        <f>IF('Ordenes_Odoo'!G35="","",'Ordenes_Odoo'!G35)</f>
        <v/>
      </c>
      <c r="H35" s="79">
        <f>IF('Ordenes_Odoo'!H35="","",'Ordenes_Odoo'!H35)</f>
        <v/>
      </c>
      <c r="I35" s="79">
        <f>IF('Ordenes_Odoo'!I35="","",'Ordenes_Odoo'!I35)</f>
        <v/>
      </c>
      <c r="J35" s="79">
        <f>IF('Ordenes_Odoo'!J35="","",'Ordenes_Odoo'!J35)</f>
        <v/>
      </c>
      <c r="K35" s="81">
        <f>IF('Ordenes_Odoo'!K35="","",'Ordenes_Odoo'!K35)</f>
        <v/>
      </c>
      <c r="L35" s="81">
        <f>IF('Ordenes_Odoo'!L35="","",'Ordenes_Odoo'!L35)</f>
        <v/>
      </c>
      <c r="M35" s="79">
        <f>IF('Ordenes_Odoo'!M35="","",'Ordenes_Odoo'!M35)</f>
        <v/>
      </c>
      <c r="N35" s="79">
        <f>IF('Ordenes_Odoo'!N35="","",'Ordenes_Odoo'!N35)</f>
        <v/>
      </c>
      <c r="O35" s="81">
        <f>IF('Ordenes_Odoo'!O35="","",'Ordenes_Odoo'!O35)</f>
        <v/>
      </c>
      <c r="P35" s="81">
        <f>IF('Ordenes_Odoo'!P35="","",'Ordenes_Odoo'!P35)</f>
        <v/>
      </c>
      <c r="Q35" s="79">
        <f>IF(A35="","",IFERROR(INDEX(Facturas_Odoo!$B:$B, MATCH(A35, Facturas_Odoo!$D:$D, 0)), "Sin Factura"))</f>
        <v/>
      </c>
      <c r="R35" s="80">
        <f>IF(Q35="Sin Factura","",IFERROR(INDEX(Facturas_Odoo!$A:$A, MATCH(Q35, Facturas_Odoo!$B:$B, 0)), ""))</f>
        <v/>
      </c>
      <c r="S35" s="79">
        <f>IF(Q35="Sin Factura","",IFERROR(_xlfn.XLOOKUP(1, (Facturas_Odoo!$D:$D=A35) * (Facturas_Odoo!$K:$K=I35), Facturas_Odoo!$L:$L, ""), ""))</f>
        <v/>
      </c>
      <c r="T35" s="81">
        <f>IF(Q35="Sin Factura",0,IFERROR(_xlfn.XLOOKUP(1, (Facturas_Odoo!$D:$D=A35) * (Facturas_Odoo!$K:$K=I35), Facturas_Odoo!$M:$M, 0), 0))</f>
        <v/>
      </c>
      <c r="U35" s="79">
        <f>IF(Q35="Sin Factura",0,IFERROR(_xlfn.XLOOKUP(1, (Facturas_Odoo!$D:$D=A35) * (Facturas_Odoo!$K:$K=I35), Facturas_Odoo!$N:$N, 0), 0))</f>
        <v/>
      </c>
      <c r="V35" s="79">
        <f>IF(Q35="Sin Factura",0,IFERROR(_xlfn.XLOOKUP(1, (Facturas_Odoo!$D:$D=A35) * (Facturas_Odoo!$K:$K=I35), Facturas_Odoo!$O:$O, 0), 0))</f>
        <v/>
      </c>
      <c r="W35" s="81">
        <f>IF(Q35="Sin Factura",0,IFERROR(_xlfn.XLOOKUP(1, (Facturas_Odoo!$D:$D=A35) * (Facturas_Odoo!$K:$K=I35), Facturas_Odoo!$Q:$Q, 0), 0))</f>
        <v/>
      </c>
      <c r="X35" s="79">
        <f>IF(OR(Q35="Sin Factura",Q35=""),"",IFERROR(INDEX(Pagos_Odoo!$B:$B, MATCH(Q35, Pagos_Odoo!$I:$I, 0)), "Sin Pago"))</f>
        <v/>
      </c>
      <c r="Y35" s="79">
        <f>IF(X35="Sin Pago","",IFERROR(INDEX(Pagos_Odoo!$C:$C, MATCH(X35, Pagos_Odoo!$B:$B, 0)), ""))</f>
        <v/>
      </c>
      <c r="Z35" s="80">
        <f>IF(X35="Sin Pago","",IFERROR(INDEX(Pagos_Odoo!$A:$A, MATCH(X35, Pagos_Odoo!$B:$B, 0)), ""))</f>
        <v/>
      </c>
      <c r="AA35" s="79">
        <f>IF(X35="Sin Pago","",IFERROR(INDEX(Pagos_Odoo!$F:$F, MATCH(X35, Pagos_Odoo!$B:$B, 0)), ""))</f>
        <v/>
      </c>
      <c r="AB35" s="81">
        <f>IF(X35="Sin Pago",0,IFERROR(INDEX(Pagos_Odoo!$E:$E, MATCH(X35, Pagos_Odoo!$B:$B, 0)), 0))</f>
        <v/>
      </c>
      <c r="AC35" s="79">
        <f>IF(X35="Sin Pago","",IFERROR(INDEX(Pagos_Odoo!$G:$G, MATCH(X35, Pagos_Odoo!$B:$B, 0)), ""))</f>
        <v/>
      </c>
      <c r="AD35" s="82" t="n">
        <v>0</v>
      </c>
      <c r="AE35" s="82" t="n"/>
      <c r="AF35" s="82" t="n"/>
      <c r="AG35" s="82">
        <f>IF(AN35="","",AD35+AE35+AF35)</f>
        <v/>
      </c>
      <c r="AH35" s="81">
        <f>IF(AN35="","",P35*(1-AG35))</f>
        <v/>
      </c>
      <c r="AI35" s="81">
        <f>IF(AN35="","",IF(Q35="Sin Factura",0,IFERROR(INDEX(Facturas_Odoo!$H:$H, MATCH(Q35, Facturas_Odoo!$B:$B, 0)), 0)*(1-AG35)))</f>
        <v/>
      </c>
      <c r="AJ35" s="81">
        <f>IF(AN35="","",_xlfn.LET(idVenta, AN35&amp;"",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5" s="81">
        <f>IF(AN35="","",AH35-AJ35)</f>
        <v/>
      </c>
      <c r="AL35" s="81">
        <f>IF(AN35="","",IF(Q35="Sin Factura","",AI35-AJ35))</f>
        <v/>
      </c>
      <c r="AM35" s="81">
        <f>IF(AN35="","",IF(Q35="Sin Factura",0,P35-IFERROR(INDEX(Facturas_Odoo!$H:$H, MATCH(Q35, Facturas_Odoo!$B:$B, 0)), 0)))</f>
        <v/>
      </c>
      <c r="AN35" s="79">
        <f>IF(AND(A35="", J35=""), "", IF(A35&lt;&gt;"", VALUE(MID(A35,2,LEN(A35))), AN34))</f>
        <v/>
      </c>
      <c r="AO35" s="79">
        <f>IF(AN35="","",IF(AD35=0,"OK",_xlfn.LET(monedaPago, IF(AA35="","USD",AA35), limitePermitido, IFERROR(VLOOKUP(monedaPago, Configuración!$A$2:$B$3, 2, FALSE), 0.15), IF(AD35&gt;limitePermitido, "ALERTA: EXCESO (" &amp; TEXT(limitePermitido, "0%") &amp; " máx)", "OK"))))</f>
        <v/>
      </c>
      <c r="AP35" s="79">
        <f>IF(AN35="","",IF(AE35=0,"OK",_xlfn.LET(fechaPago, Z35, fechaFactura, R35, diasCredito, IF(E35="Pago inmediato", 0, IFERROR(VALUE(MID(E35, 1, SEARCH(" ", E35)-1)),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5" s="79">
        <f>IF(AN35="","",IF(AND(N35&gt;0, AG35&gt;0), IF(Configuración!$K$2="NO", "ALERTA: DESCUENTO DOBLE NO PERMITIDO", "OK"), "OK"))</f>
        <v/>
      </c>
      <c r="AR35" s="79">
        <f>IF(AN35="","",IF(OR(AO35&lt;&gt;"OK", AP35&lt;&gt;"OK", AQ35&lt;&gt;"OK"), "⚠️ REVISAR", "OK"))</f>
        <v/>
      </c>
    </row>
    <row r="36">
      <c r="A36" s="79">
        <f>IF('Ordenes_Odoo'!A36="","",'Ordenes_Odoo'!A36)</f>
        <v/>
      </c>
      <c r="B36" s="80">
        <f>IF('Ordenes_Odoo'!B36="","",'Ordenes_Odoo'!B36)</f>
        <v/>
      </c>
      <c r="C36" s="79">
        <f>IF('Ordenes_Odoo'!C36="","",'Ordenes_Odoo'!C36)</f>
        <v/>
      </c>
      <c r="D36" s="79">
        <f>IF('Ordenes_Odoo'!D36="","",'Ordenes_Odoo'!D36)</f>
        <v/>
      </c>
      <c r="E36" s="79">
        <f>IF('Ordenes_Odoo'!E36="","",'Ordenes_Odoo'!E36)</f>
        <v/>
      </c>
      <c r="F36" s="79">
        <f>IF('Ordenes_Odoo'!F36="","",'Ordenes_Odoo'!F36)</f>
        <v/>
      </c>
      <c r="G36" s="79">
        <f>IF('Ordenes_Odoo'!G36="","",'Ordenes_Odoo'!G36)</f>
        <v/>
      </c>
      <c r="H36" s="79">
        <f>IF('Ordenes_Odoo'!H36="","",'Ordenes_Odoo'!H36)</f>
        <v/>
      </c>
      <c r="I36" s="79">
        <f>IF('Ordenes_Odoo'!I36="","",'Ordenes_Odoo'!I36)</f>
        <v/>
      </c>
      <c r="J36" s="79">
        <f>IF('Ordenes_Odoo'!J36="","",'Ordenes_Odoo'!J36)</f>
        <v/>
      </c>
      <c r="K36" s="81">
        <f>IF('Ordenes_Odoo'!K36="","",'Ordenes_Odoo'!K36)</f>
        <v/>
      </c>
      <c r="L36" s="81">
        <f>IF('Ordenes_Odoo'!L36="","",'Ordenes_Odoo'!L36)</f>
        <v/>
      </c>
      <c r="M36" s="79">
        <f>IF('Ordenes_Odoo'!M36="","",'Ordenes_Odoo'!M36)</f>
        <v/>
      </c>
      <c r="N36" s="79">
        <f>IF('Ordenes_Odoo'!N36="","",'Ordenes_Odoo'!N36)</f>
        <v/>
      </c>
      <c r="O36" s="81">
        <f>IF('Ordenes_Odoo'!O36="","",'Ordenes_Odoo'!O36)</f>
        <v/>
      </c>
      <c r="P36" s="81">
        <f>IF('Ordenes_Odoo'!P36="","",'Ordenes_Odoo'!P36)</f>
        <v/>
      </c>
      <c r="Q36" s="79">
        <f>IF(A36="","",IFERROR(INDEX(Facturas_Odoo!$B:$B, MATCH(A36, Facturas_Odoo!$D:$D, 0)), "Sin Factura"))</f>
        <v/>
      </c>
      <c r="R36" s="80">
        <f>IF(Q36="Sin Factura","",IFERROR(INDEX(Facturas_Odoo!$A:$A, MATCH(Q36, Facturas_Odoo!$B:$B, 0)), ""))</f>
        <v/>
      </c>
      <c r="S36" s="79">
        <f>IF(Q36="Sin Factura","",IFERROR(_xlfn.XLOOKUP(1, (Facturas_Odoo!$D:$D=A36) * (Facturas_Odoo!$K:$K=I36), Facturas_Odoo!$L:$L, ""), ""))</f>
        <v/>
      </c>
      <c r="T36" s="81">
        <f>IF(Q36="Sin Factura",0,IFERROR(_xlfn.XLOOKUP(1, (Facturas_Odoo!$D:$D=A36) * (Facturas_Odoo!$K:$K=I36), Facturas_Odoo!$M:$M, 0), 0))</f>
        <v/>
      </c>
      <c r="U36" s="79">
        <f>IF(Q36="Sin Factura",0,IFERROR(_xlfn.XLOOKUP(1, (Facturas_Odoo!$D:$D=A36) * (Facturas_Odoo!$K:$K=I36), Facturas_Odoo!$N:$N, 0), 0))</f>
        <v/>
      </c>
      <c r="V36" s="79">
        <f>IF(Q36="Sin Factura",0,IFERROR(_xlfn.XLOOKUP(1, (Facturas_Odoo!$D:$D=A36) * (Facturas_Odoo!$K:$K=I36), Facturas_Odoo!$O:$O, 0), 0))</f>
        <v/>
      </c>
      <c r="W36" s="81">
        <f>IF(Q36="Sin Factura",0,IFERROR(_xlfn.XLOOKUP(1, (Facturas_Odoo!$D:$D=A36) * (Facturas_Odoo!$K:$K=I36), Facturas_Odoo!$Q:$Q, 0), 0))</f>
        <v/>
      </c>
      <c r="X36" s="79">
        <f>IF(OR(Q36="Sin Factura",Q36=""),"",IFERROR(INDEX(Pagos_Odoo!$B:$B, MATCH(Q36, Pagos_Odoo!$I:$I, 0)), "Sin Pago"))</f>
        <v/>
      </c>
      <c r="Y36" s="79">
        <f>IF(X36="Sin Pago","",IFERROR(INDEX(Pagos_Odoo!$C:$C, MATCH(X36, Pagos_Odoo!$B:$B, 0)), ""))</f>
        <v/>
      </c>
      <c r="Z36" s="80">
        <f>IF(X36="Sin Pago","",IFERROR(INDEX(Pagos_Odoo!$A:$A, MATCH(X36, Pagos_Odoo!$B:$B, 0)), ""))</f>
        <v/>
      </c>
      <c r="AA36" s="79">
        <f>IF(X36="Sin Pago","",IFERROR(INDEX(Pagos_Odoo!$F:$F, MATCH(X36, Pagos_Odoo!$B:$B, 0)), ""))</f>
        <v/>
      </c>
      <c r="AB36" s="81">
        <f>IF(X36="Sin Pago",0,IFERROR(INDEX(Pagos_Odoo!$E:$E, MATCH(X36, Pagos_Odoo!$B:$B, 0)), 0))</f>
        <v/>
      </c>
      <c r="AC36" s="79">
        <f>IF(X36="Sin Pago","",IFERROR(INDEX(Pagos_Odoo!$G:$G, MATCH(X36, Pagos_Odoo!$B:$B, 0)), ""))</f>
        <v/>
      </c>
      <c r="AD36" s="82" t="n">
        <v>0</v>
      </c>
      <c r="AE36" s="82" t="n"/>
      <c r="AF36" s="82" t="n"/>
      <c r="AG36" s="82">
        <f>IF(AN36="","",AD36+AE36+AF36)</f>
        <v/>
      </c>
      <c r="AH36" s="81">
        <f>IF(AN36="","",P36*(1-AG36))</f>
        <v/>
      </c>
      <c r="AI36" s="81">
        <f>IF(AN36="","",IF(Q36="Sin Factura",0,IFERROR(INDEX(Facturas_Odoo!$H:$H, MATCH(Q36, Facturas_Odoo!$B:$B, 0)), 0)*(1-AG36)))</f>
        <v/>
      </c>
      <c r="AJ36" s="81">
        <f>IF(AN36="","",_xlfn.LET(idVenta, AN36&amp;"",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6" s="81">
        <f>IF(AN36="","",AH36-AJ36)</f>
        <v/>
      </c>
      <c r="AL36" s="81">
        <f>IF(AN36="","",IF(Q36="Sin Factura","",AI36-AJ36))</f>
        <v/>
      </c>
      <c r="AM36" s="81">
        <f>IF(AN36="","",IF(Q36="Sin Factura",0,P36-IFERROR(INDEX(Facturas_Odoo!$H:$H, MATCH(Q36, Facturas_Odoo!$B:$B, 0)), 0)))</f>
        <v/>
      </c>
      <c r="AN36" s="79">
        <f>IF(AND(A36="", J36=""), "", IF(A36&lt;&gt;"", VALUE(MID(A36,2,LEN(A36))), AN35))</f>
        <v/>
      </c>
      <c r="AO36" s="79">
        <f>IF(AN36="","",IF(AD36=0,"OK",_xlfn.LET(monedaPago, IF(AA36="","USD",AA36), limitePermitido, IFERROR(VLOOKUP(monedaPago, Configuración!$A$2:$B$3, 2, FALSE), 0.15), IF(AD36&gt;limitePermitido, "ALERTA: EXCESO (" &amp; TEXT(limitePermitido, "0%") &amp; " máx)", "OK"))))</f>
        <v/>
      </c>
      <c r="AP36" s="79">
        <f>IF(AN36="","",IF(AE36=0,"OK",_xlfn.LET(fechaPago, Z36, fechaFactura, R36, diasCredito, IF(E36="Pago inmediato", 0, IFERROR(VALUE(MID(E36, 1, SEARCH(" ", E36)-1)),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6" s="79">
        <f>IF(AN36="","",IF(AND(N36&gt;0, AG36&gt;0), IF(Configuración!$K$2="NO", "ALERTA: DESCUENTO DOBLE NO PERMITIDO", "OK"), "OK"))</f>
        <v/>
      </c>
      <c r="AR36" s="79">
        <f>IF(AN36="","",IF(OR(AO36&lt;&gt;"OK", AP36&lt;&gt;"OK", AQ36&lt;&gt;"OK"), "⚠️ REVISAR", "OK"))</f>
        <v/>
      </c>
    </row>
    <row r="37">
      <c r="A37" s="79">
        <f>IF('Ordenes_Odoo'!A37="","",'Ordenes_Odoo'!A37)</f>
        <v/>
      </c>
      <c r="B37" s="80">
        <f>IF('Ordenes_Odoo'!B37="","",'Ordenes_Odoo'!B37)</f>
        <v/>
      </c>
      <c r="C37" s="79">
        <f>IF('Ordenes_Odoo'!C37="","",'Ordenes_Odoo'!C37)</f>
        <v/>
      </c>
      <c r="D37" s="79">
        <f>IF('Ordenes_Odoo'!D37="","",'Ordenes_Odoo'!D37)</f>
        <v/>
      </c>
      <c r="E37" s="79">
        <f>IF('Ordenes_Odoo'!E37="","",'Ordenes_Odoo'!E37)</f>
        <v/>
      </c>
      <c r="F37" s="79">
        <f>IF('Ordenes_Odoo'!F37="","",'Ordenes_Odoo'!F37)</f>
        <v/>
      </c>
      <c r="G37" s="79">
        <f>IF('Ordenes_Odoo'!G37="","",'Ordenes_Odoo'!G37)</f>
        <v/>
      </c>
      <c r="H37" s="79">
        <f>IF('Ordenes_Odoo'!H37="","",'Ordenes_Odoo'!H37)</f>
        <v/>
      </c>
      <c r="I37" s="79">
        <f>IF('Ordenes_Odoo'!I37="","",'Ordenes_Odoo'!I37)</f>
        <v/>
      </c>
      <c r="J37" s="79">
        <f>IF('Ordenes_Odoo'!J37="","",'Ordenes_Odoo'!J37)</f>
        <v/>
      </c>
      <c r="K37" s="81">
        <f>IF('Ordenes_Odoo'!K37="","",'Ordenes_Odoo'!K37)</f>
        <v/>
      </c>
      <c r="L37" s="81">
        <f>IF('Ordenes_Odoo'!L37="","",'Ordenes_Odoo'!L37)</f>
        <v/>
      </c>
      <c r="M37" s="79">
        <f>IF('Ordenes_Odoo'!M37="","",'Ordenes_Odoo'!M37)</f>
        <v/>
      </c>
      <c r="N37" s="79">
        <f>IF('Ordenes_Odoo'!N37="","",'Ordenes_Odoo'!N37)</f>
        <v/>
      </c>
      <c r="O37" s="81">
        <f>IF('Ordenes_Odoo'!O37="","",'Ordenes_Odoo'!O37)</f>
        <v/>
      </c>
      <c r="P37" s="81">
        <f>IF('Ordenes_Odoo'!P37="","",'Ordenes_Odoo'!P37)</f>
        <v/>
      </c>
      <c r="Q37" s="79">
        <f>IF(A37="","",IFERROR(INDEX(Facturas_Odoo!$B:$B, MATCH(A37, Facturas_Odoo!$D:$D, 0)), "Sin Factura"))</f>
        <v/>
      </c>
      <c r="R37" s="80">
        <f>IF(Q37="Sin Factura","",IFERROR(INDEX(Facturas_Odoo!$A:$A, MATCH(Q37, Facturas_Odoo!$B:$B, 0)), ""))</f>
        <v/>
      </c>
      <c r="S37" s="79">
        <f>IF(Q37="Sin Factura","",IFERROR(_xlfn.XLOOKUP(1, (Facturas_Odoo!$D:$D=A37) * (Facturas_Odoo!$K:$K=I37), Facturas_Odoo!$L:$L, ""), ""))</f>
        <v/>
      </c>
      <c r="T37" s="81">
        <f>IF(Q37="Sin Factura",0,IFERROR(_xlfn.XLOOKUP(1, (Facturas_Odoo!$D:$D=A37) * (Facturas_Odoo!$K:$K=I37), Facturas_Odoo!$M:$M, 0), 0))</f>
        <v/>
      </c>
      <c r="U37" s="79">
        <f>IF(Q37="Sin Factura",0,IFERROR(_xlfn.XLOOKUP(1, (Facturas_Odoo!$D:$D=A37) * (Facturas_Odoo!$K:$K=I37), Facturas_Odoo!$N:$N, 0), 0))</f>
        <v/>
      </c>
      <c r="V37" s="79">
        <f>IF(Q37="Sin Factura",0,IFERROR(_xlfn.XLOOKUP(1, (Facturas_Odoo!$D:$D=A37) * (Facturas_Odoo!$K:$K=I37), Facturas_Odoo!$O:$O, 0), 0))</f>
        <v/>
      </c>
      <c r="W37" s="81">
        <f>IF(Q37="Sin Factura",0,IFERROR(_xlfn.XLOOKUP(1, (Facturas_Odoo!$D:$D=A37) * (Facturas_Odoo!$K:$K=I37), Facturas_Odoo!$Q:$Q, 0), 0))</f>
        <v/>
      </c>
      <c r="X37" s="79">
        <f>IF(OR(Q37="Sin Factura",Q37=""),"",IFERROR(INDEX(Pagos_Odoo!$B:$B, MATCH(Q37, Pagos_Odoo!$I:$I, 0)), "Sin Pago"))</f>
        <v/>
      </c>
      <c r="Y37" s="79">
        <f>IF(X37="Sin Pago","",IFERROR(INDEX(Pagos_Odoo!$C:$C, MATCH(X37, Pagos_Odoo!$B:$B, 0)), ""))</f>
        <v/>
      </c>
      <c r="Z37" s="80">
        <f>IF(X37="Sin Pago","",IFERROR(INDEX(Pagos_Odoo!$A:$A, MATCH(X37, Pagos_Odoo!$B:$B, 0)), ""))</f>
        <v/>
      </c>
      <c r="AA37" s="79">
        <f>IF(X37="Sin Pago","",IFERROR(INDEX(Pagos_Odoo!$F:$F, MATCH(X37, Pagos_Odoo!$B:$B, 0)), ""))</f>
        <v/>
      </c>
      <c r="AB37" s="81">
        <f>IF(X37="Sin Pago",0,IFERROR(INDEX(Pagos_Odoo!$E:$E, MATCH(X37, Pagos_Odoo!$B:$B, 0)), 0))</f>
        <v/>
      </c>
      <c r="AC37" s="79">
        <f>IF(X37="Sin Pago","",IFERROR(INDEX(Pagos_Odoo!$G:$G, MATCH(X37, Pagos_Odoo!$B:$B, 0)), ""))</f>
        <v/>
      </c>
      <c r="AD37" s="82" t="n">
        <v>0</v>
      </c>
      <c r="AE37" s="82" t="n"/>
      <c r="AF37" s="82" t="n"/>
      <c r="AG37" s="82">
        <f>IF(AN37="","",AD37+AE37+AF37)</f>
        <v/>
      </c>
      <c r="AH37" s="81">
        <f>IF(AN37="","",P37*(1-AG37))</f>
        <v/>
      </c>
      <c r="AI37" s="81">
        <f>IF(AN37="","",IF(Q37="Sin Factura",0,IFERROR(INDEX(Facturas_Odoo!$H:$H, MATCH(Q37, Facturas_Odoo!$B:$B, 0)), 0)*(1-AG37)))</f>
        <v/>
      </c>
      <c r="AJ37" s="81">
        <f>IF(AN37="","",_xlfn.LET(idVenta, AN37&amp;"",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7" s="81">
        <f>IF(AN37="","",AH37-AJ37)</f>
        <v/>
      </c>
      <c r="AL37" s="81">
        <f>IF(AN37="","",IF(Q37="Sin Factura","",AI37-AJ37))</f>
        <v/>
      </c>
      <c r="AM37" s="81">
        <f>IF(AN37="","",IF(Q37="Sin Factura",0,P37-IFERROR(INDEX(Facturas_Odoo!$H:$H, MATCH(Q37, Facturas_Odoo!$B:$B, 0)), 0)))</f>
        <v/>
      </c>
      <c r="AN37" s="79">
        <f>IF(AND(A37="", J37=""), "", IF(A37&lt;&gt;"", VALUE(MID(A37,2,LEN(A37))), AN36))</f>
        <v/>
      </c>
      <c r="AO37" s="79">
        <f>IF(AN37="","",IF(AD37=0,"OK",_xlfn.LET(monedaPago, IF(AA37="","USD",AA37), limitePermitido, IFERROR(VLOOKUP(monedaPago, Configuración!$A$2:$B$3, 2, FALSE), 0.15), IF(AD37&gt;limitePermitido, "ALERTA: EXCESO (" &amp; TEXT(limitePermitido, "0%") &amp; " máx)", "OK"))))</f>
        <v/>
      </c>
      <c r="AP37" s="79">
        <f>IF(AN37="","",IF(AE37=0,"OK",_xlfn.LET(fechaPago, Z37, fechaFactura, R37, diasCredito, IF(E37="Pago inmediato", 0, IFERROR(VALUE(MID(E37, 1, SEARCH(" ", E37)-1)),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7" s="79">
        <f>IF(AN37="","",IF(AND(N37&gt;0, AG37&gt;0), IF(Configuración!$K$2="NO", "ALERTA: DESCUENTO DOBLE NO PERMITIDO", "OK"), "OK"))</f>
        <v/>
      </c>
      <c r="AR37" s="79">
        <f>IF(AN37="","",IF(OR(AO37&lt;&gt;"OK", AP37&lt;&gt;"OK", AQ37&lt;&gt;"OK"), "⚠️ REVISAR", "OK"))</f>
        <v/>
      </c>
    </row>
    <row r="38">
      <c r="A38" s="79">
        <f>IF('Ordenes_Odoo'!A38="","",'Ordenes_Odoo'!A38)</f>
        <v/>
      </c>
      <c r="B38" s="80">
        <f>IF('Ordenes_Odoo'!B38="","",'Ordenes_Odoo'!B38)</f>
        <v/>
      </c>
      <c r="C38" s="79">
        <f>IF('Ordenes_Odoo'!C38="","",'Ordenes_Odoo'!C38)</f>
        <v/>
      </c>
      <c r="D38" s="79">
        <f>IF('Ordenes_Odoo'!D38="","",'Ordenes_Odoo'!D38)</f>
        <v/>
      </c>
      <c r="E38" s="79">
        <f>IF('Ordenes_Odoo'!E38="","",'Ordenes_Odoo'!E38)</f>
        <v/>
      </c>
      <c r="F38" s="79">
        <f>IF('Ordenes_Odoo'!F38="","",'Ordenes_Odoo'!F38)</f>
        <v/>
      </c>
      <c r="G38" s="79">
        <f>IF('Ordenes_Odoo'!G38="","",'Ordenes_Odoo'!G38)</f>
        <v/>
      </c>
      <c r="H38" s="79">
        <f>IF('Ordenes_Odoo'!H38="","",'Ordenes_Odoo'!H38)</f>
        <v/>
      </c>
      <c r="I38" s="79">
        <f>IF('Ordenes_Odoo'!I38="","",'Ordenes_Odoo'!I38)</f>
        <v/>
      </c>
      <c r="J38" s="79">
        <f>IF('Ordenes_Odoo'!J38="","",'Ordenes_Odoo'!J38)</f>
        <v/>
      </c>
      <c r="K38" s="81">
        <f>IF('Ordenes_Odoo'!K38="","",'Ordenes_Odoo'!K38)</f>
        <v/>
      </c>
      <c r="L38" s="81">
        <f>IF('Ordenes_Odoo'!L38="","",'Ordenes_Odoo'!L38)</f>
        <v/>
      </c>
      <c r="M38" s="79">
        <f>IF('Ordenes_Odoo'!M38="","",'Ordenes_Odoo'!M38)</f>
        <v/>
      </c>
      <c r="N38" s="79">
        <f>IF('Ordenes_Odoo'!N38="","",'Ordenes_Odoo'!N38)</f>
        <v/>
      </c>
      <c r="O38" s="81">
        <f>IF('Ordenes_Odoo'!O38="","",'Ordenes_Odoo'!O38)</f>
        <v/>
      </c>
      <c r="P38" s="81">
        <f>IF('Ordenes_Odoo'!P38="","",'Ordenes_Odoo'!P38)</f>
        <v/>
      </c>
      <c r="Q38" s="79">
        <f>IF(A38="","",IFERROR(INDEX(Facturas_Odoo!$B:$B, MATCH(A38, Facturas_Odoo!$D:$D, 0)), "Sin Factura"))</f>
        <v/>
      </c>
      <c r="R38" s="80">
        <f>IF(Q38="Sin Factura","",IFERROR(INDEX(Facturas_Odoo!$A:$A, MATCH(Q38, Facturas_Odoo!$B:$B, 0)), ""))</f>
        <v/>
      </c>
      <c r="S38" s="79">
        <f>IF(Q38="Sin Factura","",IFERROR(_xlfn.XLOOKUP(1, (Facturas_Odoo!$D:$D=A38) * (Facturas_Odoo!$K:$K=I38), Facturas_Odoo!$L:$L, ""), ""))</f>
        <v/>
      </c>
      <c r="T38" s="81">
        <f>IF(Q38="Sin Factura",0,IFERROR(_xlfn.XLOOKUP(1, (Facturas_Odoo!$D:$D=A38) * (Facturas_Odoo!$K:$K=I38), Facturas_Odoo!$M:$M, 0), 0))</f>
        <v/>
      </c>
      <c r="U38" s="79">
        <f>IF(Q38="Sin Factura",0,IFERROR(_xlfn.XLOOKUP(1, (Facturas_Odoo!$D:$D=A38) * (Facturas_Odoo!$K:$K=I38), Facturas_Odoo!$N:$N, 0), 0))</f>
        <v/>
      </c>
      <c r="V38" s="79">
        <f>IF(Q38="Sin Factura",0,IFERROR(_xlfn.XLOOKUP(1, (Facturas_Odoo!$D:$D=A38) * (Facturas_Odoo!$K:$K=I38), Facturas_Odoo!$O:$O, 0), 0))</f>
        <v/>
      </c>
      <c r="W38" s="81">
        <f>IF(Q38="Sin Factura",0,IFERROR(_xlfn.XLOOKUP(1, (Facturas_Odoo!$D:$D=A38) * (Facturas_Odoo!$K:$K=I38), Facturas_Odoo!$Q:$Q, 0), 0))</f>
        <v/>
      </c>
      <c r="X38" s="79">
        <f>IF(OR(Q38="Sin Factura",Q38=""),"",IFERROR(INDEX(Pagos_Odoo!$B:$B, MATCH(Q38, Pagos_Odoo!$I:$I, 0)), "Sin Pago"))</f>
        <v/>
      </c>
      <c r="Y38" s="79">
        <f>IF(X38="Sin Pago","",IFERROR(INDEX(Pagos_Odoo!$C:$C, MATCH(X38, Pagos_Odoo!$B:$B, 0)), ""))</f>
        <v/>
      </c>
      <c r="Z38" s="80">
        <f>IF(X38="Sin Pago","",IFERROR(INDEX(Pagos_Odoo!$A:$A, MATCH(X38, Pagos_Odoo!$B:$B, 0)), ""))</f>
        <v/>
      </c>
      <c r="AA38" s="79">
        <f>IF(X38="Sin Pago","",IFERROR(INDEX(Pagos_Odoo!$F:$F, MATCH(X38, Pagos_Odoo!$B:$B, 0)), ""))</f>
        <v/>
      </c>
      <c r="AB38" s="81">
        <f>IF(X38="Sin Pago",0,IFERROR(INDEX(Pagos_Odoo!$E:$E, MATCH(X38, Pagos_Odoo!$B:$B, 0)), 0))</f>
        <v/>
      </c>
      <c r="AC38" s="79">
        <f>IF(X38="Sin Pago","",IFERROR(INDEX(Pagos_Odoo!$G:$G, MATCH(X38, Pagos_Odoo!$B:$B, 0)), ""))</f>
        <v/>
      </c>
      <c r="AD38" s="82" t="n">
        <v>0</v>
      </c>
      <c r="AE38" s="82" t="n"/>
      <c r="AF38" s="82" t="n"/>
      <c r="AG38" s="82">
        <f>IF(AN38="","",AD38+AE38+AF38)</f>
        <v/>
      </c>
      <c r="AH38" s="81">
        <f>IF(AN38="","",P38*(1-AG38))</f>
        <v/>
      </c>
      <c r="AI38" s="81">
        <f>IF(AN38="","",IF(Q38="Sin Factura",0,IFERROR(INDEX(Facturas_Odoo!$H:$H, MATCH(Q38, Facturas_Odoo!$B:$B, 0)), 0)*(1-AG38)))</f>
        <v/>
      </c>
      <c r="AJ38" s="81">
        <f>IF(AN38="","",_xlfn.LET(idVenta, AN38&amp;"",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8" s="81">
        <f>IF(AN38="","",AH38-AJ38)</f>
        <v/>
      </c>
      <c r="AL38" s="81">
        <f>IF(AN38="","",IF(Q38="Sin Factura","",AI38-AJ38))</f>
        <v/>
      </c>
      <c r="AM38" s="81">
        <f>IF(AN38="","",IF(Q38="Sin Factura",0,P38-IFERROR(INDEX(Facturas_Odoo!$H:$H, MATCH(Q38, Facturas_Odoo!$B:$B, 0)), 0)))</f>
        <v/>
      </c>
      <c r="AN38" s="79">
        <f>IF(AND(A38="", J38=""), "", IF(A38&lt;&gt;"", VALUE(MID(A38,2,LEN(A38))), AN37))</f>
        <v/>
      </c>
      <c r="AO38" s="79">
        <f>IF(AN38="","",IF(AD38=0,"OK",_xlfn.LET(monedaPago, IF(AA38="","USD",AA38), limitePermitido, IFERROR(VLOOKUP(monedaPago, Configuración!$A$2:$B$3, 2, FALSE), 0.15), IF(AD38&gt;limitePermitido, "ALERTA: EXCESO (" &amp; TEXT(limitePermitido, "0%") &amp; " máx)", "OK"))))</f>
        <v/>
      </c>
      <c r="AP38" s="79">
        <f>IF(AN38="","",IF(AE38=0,"OK",_xlfn.LET(fechaPago, Z38, fechaFactura, R38, diasCredito, IF(E38="Pago inmediato", 0, IFERROR(VALUE(MID(E38, 1, SEARCH(" ", E38)-1)),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8" s="79">
        <f>IF(AN38="","",IF(AND(N38&gt;0, AG38&gt;0), IF(Configuración!$K$2="NO", "ALERTA: DESCUENTO DOBLE NO PERMITIDO", "OK"), "OK"))</f>
        <v/>
      </c>
      <c r="AR38" s="79">
        <f>IF(AN38="","",IF(OR(AO38&lt;&gt;"OK", AP38&lt;&gt;"OK", AQ38&lt;&gt;"OK"), "⚠️ REVISAR", "OK"))</f>
        <v/>
      </c>
    </row>
    <row r="39">
      <c r="A39" s="79">
        <f>IF('Ordenes_Odoo'!A39="","",'Ordenes_Odoo'!A39)</f>
        <v/>
      </c>
      <c r="B39" s="80">
        <f>IF('Ordenes_Odoo'!B39="","",'Ordenes_Odoo'!B39)</f>
        <v/>
      </c>
      <c r="C39" s="79">
        <f>IF('Ordenes_Odoo'!C39="","",'Ordenes_Odoo'!C39)</f>
        <v/>
      </c>
      <c r="D39" s="79">
        <f>IF('Ordenes_Odoo'!D39="","",'Ordenes_Odoo'!D39)</f>
        <v/>
      </c>
      <c r="E39" s="79">
        <f>IF('Ordenes_Odoo'!E39="","",'Ordenes_Odoo'!E39)</f>
        <v/>
      </c>
      <c r="F39" s="79">
        <f>IF('Ordenes_Odoo'!F39="","",'Ordenes_Odoo'!F39)</f>
        <v/>
      </c>
      <c r="G39" s="79">
        <f>IF('Ordenes_Odoo'!G39="","",'Ordenes_Odoo'!G39)</f>
        <v/>
      </c>
      <c r="H39" s="79">
        <f>IF('Ordenes_Odoo'!H39="","",'Ordenes_Odoo'!H39)</f>
        <v/>
      </c>
      <c r="I39" s="79">
        <f>IF('Ordenes_Odoo'!I39="","",'Ordenes_Odoo'!I39)</f>
        <v/>
      </c>
      <c r="J39" s="79">
        <f>IF('Ordenes_Odoo'!J39="","",'Ordenes_Odoo'!J39)</f>
        <v/>
      </c>
      <c r="K39" s="81">
        <f>IF('Ordenes_Odoo'!K39="","",'Ordenes_Odoo'!K39)</f>
        <v/>
      </c>
      <c r="L39" s="81">
        <f>IF('Ordenes_Odoo'!L39="","",'Ordenes_Odoo'!L39)</f>
        <v/>
      </c>
      <c r="M39" s="79">
        <f>IF('Ordenes_Odoo'!M39="","",'Ordenes_Odoo'!M39)</f>
        <v/>
      </c>
      <c r="N39" s="79">
        <f>IF('Ordenes_Odoo'!N39="","",'Ordenes_Odoo'!N39)</f>
        <v/>
      </c>
      <c r="O39" s="81">
        <f>IF('Ordenes_Odoo'!O39="","",'Ordenes_Odoo'!O39)</f>
        <v/>
      </c>
      <c r="P39" s="81">
        <f>IF('Ordenes_Odoo'!P39="","",'Ordenes_Odoo'!P39)</f>
        <v/>
      </c>
      <c r="Q39" s="79">
        <f>IF(A39="","",IFERROR(INDEX(Facturas_Odoo!$B:$B, MATCH(A39, Facturas_Odoo!$D:$D, 0)), "Sin Factura"))</f>
        <v/>
      </c>
      <c r="R39" s="80">
        <f>IF(Q39="Sin Factura","",IFERROR(INDEX(Facturas_Odoo!$A:$A, MATCH(Q39, Facturas_Odoo!$B:$B, 0)), ""))</f>
        <v/>
      </c>
      <c r="S39" s="79">
        <f>IF(Q39="Sin Factura","",IFERROR(_xlfn.XLOOKUP(1, (Facturas_Odoo!$D:$D=A39) * (Facturas_Odoo!$K:$K=I39), Facturas_Odoo!$L:$L, ""), ""))</f>
        <v/>
      </c>
      <c r="T39" s="81">
        <f>IF(Q39="Sin Factura",0,IFERROR(_xlfn.XLOOKUP(1, (Facturas_Odoo!$D:$D=A39) * (Facturas_Odoo!$K:$K=I39), Facturas_Odoo!$M:$M, 0), 0))</f>
        <v/>
      </c>
      <c r="U39" s="79">
        <f>IF(Q39="Sin Factura",0,IFERROR(_xlfn.XLOOKUP(1, (Facturas_Odoo!$D:$D=A39) * (Facturas_Odoo!$K:$K=I39), Facturas_Odoo!$N:$N, 0), 0))</f>
        <v/>
      </c>
      <c r="V39" s="79">
        <f>IF(Q39="Sin Factura",0,IFERROR(_xlfn.XLOOKUP(1, (Facturas_Odoo!$D:$D=A39) * (Facturas_Odoo!$K:$K=I39), Facturas_Odoo!$O:$O, 0), 0))</f>
        <v/>
      </c>
      <c r="W39" s="81">
        <f>IF(Q39="Sin Factura",0,IFERROR(_xlfn.XLOOKUP(1, (Facturas_Odoo!$D:$D=A39) * (Facturas_Odoo!$K:$K=I39), Facturas_Odoo!$Q:$Q, 0), 0))</f>
        <v/>
      </c>
      <c r="X39" s="79">
        <f>IF(OR(Q39="Sin Factura",Q39=""),"",IFERROR(INDEX(Pagos_Odoo!$B:$B, MATCH(Q39, Pagos_Odoo!$I:$I, 0)), "Sin Pago"))</f>
        <v/>
      </c>
      <c r="Y39" s="79">
        <f>IF(X39="Sin Pago","",IFERROR(INDEX(Pagos_Odoo!$C:$C, MATCH(X39, Pagos_Odoo!$B:$B, 0)), ""))</f>
        <v/>
      </c>
      <c r="Z39" s="80">
        <f>IF(X39="Sin Pago","",IFERROR(INDEX(Pagos_Odoo!$A:$A, MATCH(X39, Pagos_Odoo!$B:$B, 0)), ""))</f>
        <v/>
      </c>
      <c r="AA39" s="79">
        <f>IF(X39="Sin Pago","",IFERROR(INDEX(Pagos_Odoo!$F:$F, MATCH(X39, Pagos_Odoo!$B:$B, 0)), ""))</f>
        <v/>
      </c>
      <c r="AB39" s="81">
        <f>IF(X39="Sin Pago",0,IFERROR(INDEX(Pagos_Odoo!$E:$E, MATCH(X39, Pagos_Odoo!$B:$B, 0)), 0))</f>
        <v/>
      </c>
      <c r="AC39" s="79">
        <f>IF(X39="Sin Pago","",IFERROR(INDEX(Pagos_Odoo!$G:$G, MATCH(X39, Pagos_Odoo!$B:$B, 0)), ""))</f>
        <v/>
      </c>
      <c r="AD39" s="82" t="n">
        <v>0</v>
      </c>
      <c r="AE39" s="82" t="n"/>
      <c r="AF39" s="82" t="n"/>
      <c r="AG39" s="82">
        <f>IF(AN39="","",AD39+AE39+AF39)</f>
        <v/>
      </c>
      <c r="AH39" s="81">
        <f>IF(AN39="","",P39*(1-AG39))</f>
        <v/>
      </c>
      <c r="AI39" s="81">
        <f>IF(AN39="","",IF(Q39="Sin Factura",0,IFERROR(INDEX(Facturas_Odoo!$H:$H, MATCH(Q39, Facturas_Odoo!$B:$B, 0)), 0)*(1-AG39)))</f>
        <v/>
      </c>
      <c r="AJ39" s="81">
        <f>IF(AN39="","",_xlfn.LET(idVenta, AN39&amp;"",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9" s="81">
        <f>IF(AN39="","",AH39-AJ39)</f>
        <v/>
      </c>
      <c r="AL39" s="81">
        <f>IF(AN39="","",IF(Q39="Sin Factura","",AI39-AJ39))</f>
        <v/>
      </c>
      <c r="AM39" s="81">
        <f>IF(AN39="","",IF(Q39="Sin Factura",0,P39-IFERROR(INDEX(Facturas_Odoo!$H:$H, MATCH(Q39, Facturas_Odoo!$B:$B, 0)), 0)))</f>
        <v/>
      </c>
      <c r="AN39" s="79">
        <f>IF(AND(A39="", J39=""), "", IF(A39&lt;&gt;"", VALUE(MID(A39,2,LEN(A39))), AN38))</f>
        <v/>
      </c>
      <c r="AO39" s="79">
        <f>IF(AN39="","",IF(AD39=0,"OK",_xlfn.LET(monedaPago, IF(AA39="","USD",AA39), limitePermitido, IFERROR(VLOOKUP(monedaPago, Configuración!$A$2:$B$3, 2, FALSE), 0.15), IF(AD39&gt;limitePermitido, "ALERTA: EXCESO (" &amp; TEXT(limitePermitido, "0%") &amp; " máx)", "OK"))))</f>
        <v/>
      </c>
      <c r="AP39" s="79">
        <f>IF(AN39="","",IF(AE39=0,"OK",_xlfn.LET(fechaPago, Z39, fechaFactura, R39, diasCredito, IF(E39="Pago inmediato", 0, IFERROR(VALUE(MID(E39, 1, SEARCH(" ", E39)-1)),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9" s="79">
        <f>IF(AN39="","",IF(AND(N39&gt;0, AG39&gt;0), IF(Configuración!$K$2="NO", "ALERTA: DESCUENTO DOBLE NO PERMITIDO", "OK"), "OK"))</f>
        <v/>
      </c>
      <c r="AR39" s="79">
        <f>IF(AN39="","",IF(OR(AO39&lt;&gt;"OK", AP39&lt;&gt;"OK", AQ39&lt;&gt;"OK"), "⚠️ REVISAR", "OK"))</f>
        <v/>
      </c>
    </row>
    <row r="40">
      <c r="A40" s="79">
        <f>IF('Ordenes_Odoo'!A40="","",'Ordenes_Odoo'!A40)</f>
        <v/>
      </c>
      <c r="B40" s="80">
        <f>IF('Ordenes_Odoo'!B40="","",'Ordenes_Odoo'!B40)</f>
        <v/>
      </c>
      <c r="C40" s="79">
        <f>IF('Ordenes_Odoo'!C40="","",'Ordenes_Odoo'!C40)</f>
        <v/>
      </c>
      <c r="D40" s="79">
        <f>IF('Ordenes_Odoo'!D40="","",'Ordenes_Odoo'!D40)</f>
        <v/>
      </c>
      <c r="E40" s="79">
        <f>IF('Ordenes_Odoo'!E40="","",'Ordenes_Odoo'!E40)</f>
        <v/>
      </c>
      <c r="F40" s="79">
        <f>IF('Ordenes_Odoo'!F40="","",'Ordenes_Odoo'!F40)</f>
        <v/>
      </c>
      <c r="G40" s="79">
        <f>IF('Ordenes_Odoo'!G40="","",'Ordenes_Odoo'!G40)</f>
        <v/>
      </c>
      <c r="H40" s="79">
        <f>IF('Ordenes_Odoo'!H40="","",'Ordenes_Odoo'!H40)</f>
        <v/>
      </c>
      <c r="I40" s="79">
        <f>IF('Ordenes_Odoo'!I40="","",'Ordenes_Odoo'!I40)</f>
        <v/>
      </c>
      <c r="J40" s="79">
        <f>IF('Ordenes_Odoo'!J40="","",'Ordenes_Odoo'!J40)</f>
        <v/>
      </c>
      <c r="K40" s="81">
        <f>IF('Ordenes_Odoo'!K40="","",'Ordenes_Odoo'!K40)</f>
        <v/>
      </c>
      <c r="L40" s="81">
        <f>IF('Ordenes_Odoo'!L40="","",'Ordenes_Odoo'!L40)</f>
        <v/>
      </c>
      <c r="M40" s="79">
        <f>IF('Ordenes_Odoo'!M40="","",'Ordenes_Odoo'!M40)</f>
        <v/>
      </c>
      <c r="N40" s="79">
        <f>IF('Ordenes_Odoo'!N40="","",'Ordenes_Odoo'!N40)</f>
        <v/>
      </c>
      <c r="O40" s="81">
        <f>IF('Ordenes_Odoo'!O40="","",'Ordenes_Odoo'!O40)</f>
        <v/>
      </c>
      <c r="P40" s="81">
        <f>IF('Ordenes_Odoo'!P40="","",'Ordenes_Odoo'!P40)</f>
        <v/>
      </c>
      <c r="Q40" s="79">
        <f>IF(A40="","",IFERROR(INDEX(Facturas_Odoo!$B:$B, MATCH(A40, Facturas_Odoo!$D:$D, 0)), "Sin Factura"))</f>
        <v/>
      </c>
      <c r="R40" s="80">
        <f>IF(Q40="Sin Factura","",IFERROR(INDEX(Facturas_Odoo!$A:$A, MATCH(Q40, Facturas_Odoo!$B:$B, 0)), ""))</f>
        <v/>
      </c>
      <c r="S40" s="79">
        <f>IF(Q40="Sin Factura","",IFERROR(_xlfn.XLOOKUP(1, (Facturas_Odoo!$D:$D=A40) * (Facturas_Odoo!$K:$K=I40), Facturas_Odoo!$L:$L, ""), ""))</f>
        <v/>
      </c>
      <c r="T40" s="81">
        <f>IF(Q40="Sin Factura",0,IFERROR(_xlfn.XLOOKUP(1, (Facturas_Odoo!$D:$D=A40) * (Facturas_Odoo!$K:$K=I40), Facturas_Odoo!$M:$M, 0), 0))</f>
        <v/>
      </c>
      <c r="U40" s="79">
        <f>IF(Q40="Sin Factura",0,IFERROR(_xlfn.XLOOKUP(1, (Facturas_Odoo!$D:$D=A40) * (Facturas_Odoo!$K:$K=I40), Facturas_Odoo!$N:$N, 0), 0))</f>
        <v/>
      </c>
      <c r="V40" s="79">
        <f>IF(Q40="Sin Factura",0,IFERROR(_xlfn.XLOOKUP(1, (Facturas_Odoo!$D:$D=A40) * (Facturas_Odoo!$K:$K=I40), Facturas_Odoo!$O:$O, 0), 0))</f>
        <v/>
      </c>
      <c r="W40" s="81">
        <f>IF(Q40="Sin Factura",0,IFERROR(_xlfn.XLOOKUP(1, (Facturas_Odoo!$D:$D=A40) * (Facturas_Odoo!$K:$K=I40), Facturas_Odoo!$Q:$Q, 0), 0))</f>
        <v/>
      </c>
      <c r="X40" s="79">
        <f>IF(OR(Q40="Sin Factura",Q40=""),"",IFERROR(INDEX(Pagos_Odoo!$B:$B, MATCH(Q40, Pagos_Odoo!$I:$I, 0)), "Sin Pago"))</f>
        <v/>
      </c>
      <c r="Y40" s="79">
        <f>IF(X40="Sin Pago","",IFERROR(INDEX(Pagos_Odoo!$C:$C, MATCH(X40, Pagos_Odoo!$B:$B, 0)), ""))</f>
        <v/>
      </c>
      <c r="Z40" s="80">
        <f>IF(X40="Sin Pago","",IFERROR(INDEX(Pagos_Odoo!$A:$A, MATCH(X40, Pagos_Odoo!$B:$B, 0)), ""))</f>
        <v/>
      </c>
      <c r="AA40" s="79">
        <f>IF(X40="Sin Pago","",IFERROR(INDEX(Pagos_Odoo!$F:$F, MATCH(X40, Pagos_Odoo!$B:$B, 0)), ""))</f>
        <v/>
      </c>
      <c r="AB40" s="81">
        <f>IF(X40="Sin Pago",0,IFERROR(INDEX(Pagos_Odoo!$E:$E, MATCH(X40, Pagos_Odoo!$B:$B, 0)), 0))</f>
        <v/>
      </c>
      <c r="AC40" s="79">
        <f>IF(X40="Sin Pago","",IFERROR(INDEX(Pagos_Odoo!$G:$G, MATCH(X40, Pagos_Odoo!$B:$B, 0)), ""))</f>
        <v/>
      </c>
      <c r="AD40" s="82" t="n">
        <v>0</v>
      </c>
      <c r="AE40" s="82" t="n"/>
      <c r="AF40" s="82" t="n"/>
      <c r="AG40" s="82">
        <f>IF(AN40="","",AD40+AE40+AF40)</f>
        <v/>
      </c>
      <c r="AH40" s="81">
        <f>IF(AN40="","",P40*(1-AG40))</f>
        <v/>
      </c>
      <c r="AI40" s="81">
        <f>IF(AN40="","",IF(Q40="Sin Factura",0,IFERROR(INDEX(Facturas_Odoo!$H:$H, MATCH(Q40, Facturas_Odoo!$B:$B, 0)), 0)*(1-AG40)))</f>
        <v/>
      </c>
      <c r="AJ40" s="81">
        <f>IF(AN40="","",_xlfn.LET(idVenta, AN40&amp;"",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0" s="81">
        <f>IF(AN40="","",AH40-AJ40)</f>
        <v/>
      </c>
      <c r="AL40" s="81">
        <f>IF(AN40="","",IF(Q40="Sin Factura","",AI40-AJ40))</f>
        <v/>
      </c>
      <c r="AM40" s="81">
        <f>IF(AN40="","",IF(Q40="Sin Factura",0,P40-IFERROR(INDEX(Facturas_Odoo!$H:$H, MATCH(Q40, Facturas_Odoo!$B:$B, 0)), 0)))</f>
        <v/>
      </c>
      <c r="AN40" s="79">
        <f>IF(AND(A40="", J40=""), "", IF(A40&lt;&gt;"", VALUE(MID(A40,2,LEN(A40))), AN39))</f>
        <v/>
      </c>
      <c r="AO40" s="79">
        <f>IF(AN40="","",IF(AD40=0,"OK",_xlfn.LET(monedaPago, IF(AA40="","USD",AA40), limitePermitido, IFERROR(VLOOKUP(monedaPago, Configuración!$A$2:$B$3, 2, FALSE), 0.15), IF(AD40&gt;limitePermitido, "ALERTA: EXCESO (" &amp; TEXT(limitePermitido, "0%") &amp; " máx)", "OK"))))</f>
        <v/>
      </c>
      <c r="AP40" s="79">
        <f>IF(AN40="","",IF(AE40=0,"OK",_xlfn.LET(fechaPago, Z40, fechaFactura, R40, diasCredito, IF(E40="Pago inmediato", 0, IFERROR(VALUE(MID(E40, 1, SEARCH(" ", E40)-1)),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0" s="79">
        <f>IF(AN40="","",IF(AND(N40&gt;0, AG40&gt;0), IF(Configuración!$K$2="NO", "ALERTA: DESCUENTO DOBLE NO PERMITIDO", "OK"), "OK"))</f>
        <v/>
      </c>
      <c r="AR40" s="79">
        <f>IF(AN40="","",IF(OR(AO40&lt;&gt;"OK", AP40&lt;&gt;"OK", AQ40&lt;&gt;"OK"), "⚠️ REVISAR", "OK"))</f>
        <v/>
      </c>
    </row>
    <row r="41">
      <c r="A41" s="79">
        <f>IF('Ordenes_Odoo'!A41="","",'Ordenes_Odoo'!A41)</f>
        <v/>
      </c>
      <c r="B41" s="80">
        <f>IF('Ordenes_Odoo'!B41="","",'Ordenes_Odoo'!B41)</f>
        <v/>
      </c>
      <c r="C41" s="79">
        <f>IF('Ordenes_Odoo'!C41="","",'Ordenes_Odoo'!C41)</f>
        <v/>
      </c>
      <c r="D41" s="79">
        <f>IF('Ordenes_Odoo'!D41="","",'Ordenes_Odoo'!D41)</f>
        <v/>
      </c>
      <c r="E41" s="79">
        <f>IF('Ordenes_Odoo'!E41="","",'Ordenes_Odoo'!E41)</f>
        <v/>
      </c>
      <c r="F41" s="79">
        <f>IF('Ordenes_Odoo'!F41="","",'Ordenes_Odoo'!F41)</f>
        <v/>
      </c>
      <c r="G41" s="79">
        <f>IF('Ordenes_Odoo'!G41="","",'Ordenes_Odoo'!G41)</f>
        <v/>
      </c>
      <c r="H41" s="79">
        <f>IF('Ordenes_Odoo'!H41="","",'Ordenes_Odoo'!H41)</f>
        <v/>
      </c>
      <c r="I41" s="79">
        <f>IF('Ordenes_Odoo'!I41="","",'Ordenes_Odoo'!I41)</f>
        <v/>
      </c>
      <c r="J41" s="79">
        <f>IF('Ordenes_Odoo'!J41="","",'Ordenes_Odoo'!J41)</f>
        <v/>
      </c>
      <c r="K41" s="81">
        <f>IF('Ordenes_Odoo'!K41="","",'Ordenes_Odoo'!K41)</f>
        <v/>
      </c>
      <c r="L41" s="81">
        <f>IF('Ordenes_Odoo'!L41="","",'Ordenes_Odoo'!L41)</f>
        <v/>
      </c>
      <c r="M41" s="79">
        <f>IF('Ordenes_Odoo'!M41="","",'Ordenes_Odoo'!M41)</f>
        <v/>
      </c>
      <c r="N41" s="79">
        <f>IF('Ordenes_Odoo'!N41="","",'Ordenes_Odoo'!N41)</f>
        <v/>
      </c>
      <c r="O41" s="81">
        <f>IF('Ordenes_Odoo'!O41="","",'Ordenes_Odoo'!O41)</f>
        <v/>
      </c>
      <c r="P41" s="81">
        <f>IF('Ordenes_Odoo'!P41="","",'Ordenes_Odoo'!P41)</f>
        <v/>
      </c>
      <c r="Q41" s="79">
        <f>IF(A41="","",IFERROR(INDEX(Facturas_Odoo!$B:$B, MATCH(A41, Facturas_Odoo!$D:$D, 0)), "Sin Factura"))</f>
        <v/>
      </c>
      <c r="R41" s="80">
        <f>IF(Q41="Sin Factura","",IFERROR(INDEX(Facturas_Odoo!$A:$A, MATCH(Q41, Facturas_Odoo!$B:$B, 0)), ""))</f>
        <v/>
      </c>
      <c r="S41" s="79">
        <f>IF(Q41="Sin Factura","",IFERROR(_xlfn.XLOOKUP(1, (Facturas_Odoo!$D:$D=A41) * (Facturas_Odoo!$K:$K=I41), Facturas_Odoo!$L:$L, ""), ""))</f>
        <v/>
      </c>
      <c r="T41" s="81">
        <f>IF(Q41="Sin Factura",0,IFERROR(_xlfn.XLOOKUP(1, (Facturas_Odoo!$D:$D=A41) * (Facturas_Odoo!$K:$K=I41), Facturas_Odoo!$M:$M, 0), 0))</f>
        <v/>
      </c>
      <c r="U41" s="79">
        <f>IF(Q41="Sin Factura",0,IFERROR(_xlfn.XLOOKUP(1, (Facturas_Odoo!$D:$D=A41) * (Facturas_Odoo!$K:$K=I41), Facturas_Odoo!$N:$N, 0), 0))</f>
        <v/>
      </c>
      <c r="V41" s="79">
        <f>IF(Q41="Sin Factura",0,IFERROR(_xlfn.XLOOKUP(1, (Facturas_Odoo!$D:$D=A41) * (Facturas_Odoo!$K:$K=I41), Facturas_Odoo!$O:$O, 0), 0))</f>
        <v/>
      </c>
      <c r="W41" s="81">
        <f>IF(Q41="Sin Factura",0,IFERROR(_xlfn.XLOOKUP(1, (Facturas_Odoo!$D:$D=A41) * (Facturas_Odoo!$K:$K=I41), Facturas_Odoo!$Q:$Q, 0), 0))</f>
        <v/>
      </c>
      <c r="X41" s="79">
        <f>IF(OR(Q41="Sin Factura",Q41=""),"",IFERROR(INDEX(Pagos_Odoo!$B:$B, MATCH(Q41, Pagos_Odoo!$I:$I, 0)), "Sin Pago"))</f>
        <v/>
      </c>
      <c r="Y41" s="79">
        <f>IF(X41="Sin Pago","",IFERROR(INDEX(Pagos_Odoo!$C:$C, MATCH(X41, Pagos_Odoo!$B:$B, 0)), ""))</f>
        <v/>
      </c>
      <c r="Z41" s="80">
        <f>IF(X41="Sin Pago","",IFERROR(INDEX(Pagos_Odoo!$A:$A, MATCH(X41, Pagos_Odoo!$B:$B, 0)), ""))</f>
        <v/>
      </c>
      <c r="AA41" s="79">
        <f>IF(X41="Sin Pago","",IFERROR(INDEX(Pagos_Odoo!$F:$F, MATCH(X41, Pagos_Odoo!$B:$B, 0)), ""))</f>
        <v/>
      </c>
      <c r="AB41" s="81">
        <f>IF(X41="Sin Pago",0,IFERROR(INDEX(Pagos_Odoo!$E:$E, MATCH(X41, Pagos_Odoo!$B:$B, 0)), 0))</f>
        <v/>
      </c>
      <c r="AC41" s="79">
        <f>IF(X41="Sin Pago","",IFERROR(INDEX(Pagos_Odoo!$G:$G, MATCH(X41, Pagos_Odoo!$B:$B, 0)), ""))</f>
        <v/>
      </c>
      <c r="AD41" s="82" t="n">
        <v>0</v>
      </c>
      <c r="AE41" s="82" t="n"/>
      <c r="AF41" s="82" t="n"/>
      <c r="AG41" s="82">
        <f>IF(AN41="","",AD41+AE41+AF41)</f>
        <v/>
      </c>
      <c r="AH41" s="81">
        <f>IF(AN41="","",P41*(1-AG41))</f>
        <v/>
      </c>
      <c r="AI41" s="81">
        <f>IF(AN41="","",IF(Q41="Sin Factura",0,IFERROR(INDEX(Facturas_Odoo!$H:$H, MATCH(Q41, Facturas_Odoo!$B:$B, 0)), 0)*(1-AG41)))</f>
        <v/>
      </c>
      <c r="AJ41" s="81">
        <f>IF(AN41="","",_xlfn.LET(idVenta, AN41&amp;"",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1" s="81">
        <f>IF(AN41="","",AH41-AJ41)</f>
        <v/>
      </c>
      <c r="AL41" s="81">
        <f>IF(AN41="","",IF(Q41="Sin Factura","",AI41-AJ41))</f>
        <v/>
      </c>
      <c r="AM41" s="81">
        <f>IF(AN41="","",IF(Q41="Sin Factura",0,P41-IFERROR(INDEX(Facturas_Odoo!$H:$H, MATCH(Q41, Facturas_Odoo!$B:$B, 0)), 0)))</f>
        <v/>
      </c>
      <c r="AN41" s="79">
        <f>IF(AND(A41="", J41=""), "", IF(A41&lt;&gt;"", VALUE(MID(A41,2,LEN(A41))), AN40))</f>
        <v/>
      </c>
      <c r="AO41" s="79">
        <f>IF(AN41="","",IF(AD41=0,"OK",_xlfn.LET(monedaPago, IF(AA41="","USD",AA41), limitePermitido, IFERROR(VLOOKUP(monedaPago, Configuración!$A$2:$B$3, 2, FALSE), 0.15), IF(AD41&gt;limitePermitido, "ALERTA: EXCESO (" &amp; TEXT(limitePermitido, "0%") &amp; " máx)", "OK"))))</f>
        <v/>
      </c>
      <c r="AP41" s="79">
        <f>IF(AN41="","",IF(AE41=0,"OK",_xlfn.LET(fechaPago, Z41, fechaFactura, R41, diasCredito, IF(E41="Pago inmediato", 0, IFERROR(VALUE(MID(E41, 1, SEARCH(" ", E41)-1)),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1" s="79">
        <f>IF(AN41="","",IF(AND(N41&gt;0, AG41&gt;0), IF(Configuración!$K$2="NO", "ALERTA: DESCUENTO DOBLE NO PERMITIDO", "OK"), "OK"))</f>
        <v/>
      </c>
      <c r="AR41" s="79">
        <f>IF(AN41="","",IF(OR(AO41&lt;&gt;"OK", AP41&lt;&gt;"OK", AQ41&lt;&gt;"OK"), "⚠️ REVISAR", "OK"))</f>
        <v/>
      </c>
    </row>
    <row r="42">
      <c r="A42" s="79">
        <f>IF('Ordenes_Odoo'!A42="","",'Ordenes_Odoo'!A42)</f>
        <v/>
      </c>
      <c r="B42" s="80">
        <f>IF('Ordenes_Odoo'!B42="","",'Ordenes_Odoo'!B42)</f>
        <v/>
      </c>
      <c r="C42" s="79">
        <f>IF('Ordenes_Odoo'!C42="","",'Ordenes_Odoo'!C42)</f>
        <v/>
      </c>
      <c r="D42" s="79">
        <f>IF('Ordenes_Odoo'!D42="","",'Ordenes_Odoo'!D42)</f>
        <v/>
      </c>
      <c r="E42" s="79">
        <f>IF('Ordenes_Odoo'!E42="","",'Ordenes_Odoo'!E42)</f>
        <v/>
      </c>
      <c r="F42" s="79">
        <f>IF('Ordenes_Odoo'!F42="","",'Ordenes_Odoo'!F42)</f>
        <v/>
      </c>
      <c r="G42" s="79">
        <f>IF('Ordenes_Odoo'!G42="","",'Ordenes_Odoo'!G42)</f>
        <v/>
      </c>
      <c r="H42" s="79">
        <f>IF('Ordenes_Odoo'!H42="","",'Ordenes_Odoo'!H42)</f>
        <v/>
      </c>
      <c r="I42" s="79">
        <f>IF('Ordenes_Odoo'!I42="","",'Ordenes_Odoo'!I42)</f>
        <v/>
      </c>
      <c r="J42" s="79">
        <f>IF('Ordenes_Odoo'!J42="","",'Ordenes_Odoo'!J42)</f>
        <v/>
      </c>
      <c r="K42" s="81">
        <f>IF('Ordenes_Odoo'!K42="","",'Ordenes_Odoo'!K42)</f>
        <v/>
      </c>
      <c r="L42" s="81">
        <f>IF('Ordenes_Odoo'!L42="","",'Ordenes_Odoo'!L42)</f>
        <v/>
      </c>
      <c r="M42" s="79">
        <f>IF('Ordenes_Odoo'!M42="","",'Ordenes_Odoo'!M42)</f>
        <v/>
      </c>
      <c r="N42" s="79">
        <f>IF('Ordenes_Odoo'!N42="","",'Ordenes_Odoo'!N42)</f>
        <v/>
      </c>
      <c r="O42" s="81">
        <f>IF('Ordenes_Odoo'!O42="","",'Ordenes_Odoo'!O42)</f>
        <v/>
      </c>
      <c r="P42" s="81">
        <f>IF('Ordenes_Odoo'!P42="","",'Ordenes_Odoo'!P42)</f>
        <v/>
      </c>
      <c r="Q42" s="79">
        <f>IF(A42="","",IFERROR(INDEX(Facturas_Odoo!$B:$B, MATCH(A42, Facturas_Odoo!$D:$D, 0)), "Sin Factura"))</f>
        <v/>
      </c>
      <c r="R42" s="80">
        <f>IF(Q42="Sin Factura","",IFERROR(INDEX(Facturas_Odoo!$A:$A, MATCH(Q42, Facturas_Odoo!$B:$B, 0)), ""))</f>
        <v/>
      </c>
      <c r="S42" s="79">
        <f>IF(Q42="Sin Factura","",IFERROR(_xlfn.XLOOKUP(1, (Facturas_Odoo!$D:$D=A42) * (Facturas_Odoo!$K:$K=I42), Facturas_Odoo!$L:$L, ""), ""))</f>
        <v/>
      </c>
      <c r="T42" s="81">
        <f>IF(Q42="Sin Factura",0,IFERROR(_xlfn.XLOOKUP(1, (Facturas_Odoo!$D:$D=A42) * (Facturas_Odoo!$K:$K=I42), Facturas_Odoo!$M:$M, 0), 0))</f>
        <v/>
      </c>
      <c r="U42" s="79">
        <f>IF(Q42="Sin Factura",0,IFERROR(_xlfn.XLOOKUP(1, (Facturas_Odoo!$D:$D=A42) * (Facturas_Odoo!$K:$K=I42), Facturas_Odoo!$N:$N, 0), 0))</f>
        <v/>
      </c>
      <c r="V42" s="79">
        <f>IF(Q42="Sin Factura",0,IFERROR(_xlfn.XLOOKUP(1, (Facturas_Odoo!$D:$D=A42) * (Facturas_Odoo!$K:$K=I42), Facturas_Odoo!$O:$O, 0), 0))</f>
        <v/>
      </c>
      <c r="W42" s="81">
        <f>IF(Q42="Sin Factura",0,IFERROR(_xlfn.XLOOKUP(1, (Facturas_Odoo!$D:$D=A42) * (Facturas_Odoo!$K:$K=I42), Facturas_Odoo!$Q:$Q, 0), 0))</f>
        <v/>
      </c>
      <c r="X42" s="79">
        <f>IF(OR(Q42="Sin Factura",Q42=""),"",IFERROR(INDEX(Pagos_Odoo!$B:$B, MATCH(Q42, Pagos_Odoo!$I:$I, 0)), "Sin Pago"))</f>
        <v/>
      </c>
      <c r="Y42" s="79">
        <f>IF(X42="Sin Pago","",IFERROR(INDEX(Pagos_Odoo!$C:$C, MATCH(X42, Pagos_Odoo!$B:$B, 0)), ""))</f>
        <v/>
      </c>
      <c r="Z42" s="80">
        <f>IF(X42="Sin Pago","",IFERROR(INDEX(Pagos_Odoo!$A:$A, MATCH(X42, Pagos_Odoo!$B:$B, 0)), ""))</f>
        <v/>
      </c>
      <c r="AA42" s="79">
        <f>IF(X42="Sin Pago","",IFERROR(INDEX(Pagos_Odoo!$F:$F, MATCH(X42, Pagos_Odoo!$B:$B, 0)), ""))</f>
        <v/>
      </c>
      <c r="AB42" s="81">
        <f>IF(X42="Sin Pago",0,IFERROR(INDEX(Pagos_Odoo!$E:$E, MATCH(X42, Pagos_Odoo!$B:$B, 0)), 0))</f>
        <v/>
      </c>
      <c r="AC42" s="79">
        <f>IF(X42="Sin Pago","",IFERROR(INDEX(Pagos_Odoo!$G:$G, MATCH(X42, Pagos_Odoo!$B:$B, 0)), ""))</f>
        <v/>
      </c>
      <c r="AD42" s="82" t="n">
        <v>0</v>
      </c>
      <c r="AE42" s="82" t="n"/>
      <c r="AF42" s="82" t="n"/>
      <c r="AG42" s="82">
        <f>IF(AN42="","",AD42+AE42+AF42)</f>
        <v/>
      </c>
      <c r="AH42" s="81">
        <f>IF(AN42="","",P42*(1-AG42))</f>
        <v/>
      </c>
      <c r="AI42" s="81">
        <f>IF(AN42="","",IF(Q42="Sin Factura",0,IFERROR(INDEX(Facturas_Odoo!$H:$H, MATCH(Q42, Facturas_Odoo!$B:$B, 0)), 0)*(1-AG42)))</f>
        <v/>
      </c>
      <c r="AJ42" s="81">
        <f>IF(AN42="","",_xlfn.LET(idVenta, AN42&amp;"",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2" s="81">
        <f>IF(AN42="","",AH42-AJ42)</f>
        <v/>
      </c>
      <c r="AL42" s="81">
        <f>IF(AN42="","",IF(Q42="Sin Factura","",AI42-AJ42))</f>
        <v/>
      </c>
      <c r="AM42" s="81">
        <f>IF(AN42="","",IF(Q42="Sin Factura",0,P42-IFERROR(INDEX(Facturas_Odoo!$H:$H, MATCH(Q42, Facturas_Odoo!$B:$B, 0)), 0)))</f>
        <v/>
      </c>
      <c r="AN42" s="79">
        <f>IF(AND(A42="", J42=""), "", IF(A42&lt;&gt;"", VALUE(MID(A42,2,LEN(A42))), AN41))</f>
        <v/>
      </c>
      <c r="AO42" s="79">
        <f>IF(AN42="","",IF(AD42=0,"OK",_xlfn.LET(monedaPago, IF(AA42="","USD",AA42), limitePermitido, IFERROR(VLOOKUP(monedaPago, Configuración!$A$2:$B$3, 2, FALSE), 0.15), IF(AD42&gt;limitePermitido, "ALERTA: EXCESO (" &amp; TEXT(limitePermitido, "0%") &amp; " máx)", "OK"))))</f>
        <v/>
      </c>
      <c r="AP42" s="79">
        <f>IF(AN42="","",IF(AE42=0,"OK",_xlfn.LET(fechaPago, Z42, fechaFactura, R42, diasCredito, IF(E42="Pago inmediato", 0, IFERROR(VALUE(MID(E42, 1, SEARCH(" ", E42)-1)),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2" s="79">
        <f>IF(AN42="","",IF(AND(N42&gt;0, AG42&gt;0), IF(Configuración!$K$2="NO", "ALERTA: DESCUENTO DOBLE NO PERMITIDO", "OK"), "OK"))</f>
        <v/>
      </c>
      <c r="AR42" s="79">
        <f>IF(AN42="","",IF(OR(AO42&lt;&gt;"OK", AP42&lt;&gt;"OK", AQ42&lt;&gt;"OK"), "⚠️ REVISAR", "OK"))</f>
        <v/>
      </c>
    </row>
    <row r="43">
      <c r="A43" s="79">
        <f>IF('Ordenes_Odoo'!A43="","",'Ordenes_Odoo'!A43)</f>
        <v/>
      </c>
      <c r="B43" s="80">
        <f>IF('Ordenes_Odoo'!B43="","",'Ordenes_Odoo'!B43)</f>
        <v/>
      </c>
      <c r="C43" s="79">
        <f>IF('Ordenes_Odoo'!C43="","",'Ordenes_Odoo'!C43)</f>
        <v/>
      </c>
      <c r="D43" s="79">
        <f>IF('Ordenes_Odoo'!D43="","",'Ordenes_Odoo'!D43)</f>
        <v/>
      </c>
      <c r="E43" s="79">
        <f>IF('Ordenes_Odoo'!E43="","",'Ordenes_Odoo'!E43)</f>
        <v/>
      </c>
      <c r="F43" s="79">
        <f>IF('Ordenes_Odoo'!F43="","",'Ordenes_Odoo'!F43)</f>
        <v/>
      </c>
      <c r="G43" s="79">
        <f>IF('Ordenes_Odoo'!G43="","",'Ordenes_Odoo'!G43)</f>
        <v/>
      </c>
      <c r="H43" s="79">
        <f>IF('Ordenes_Odoo'!H43="","",'Ordenes_Odoo'!H43)</f>
        <v/>
      </c>
      <c r="I43" s="79">
        <f>IF('Ordenes_Odoo'!I43="","",'Ordenes_Odoo'!I43)</f>
        <v/>
      </c>
      <c r="J43" s="79">
        <f>IF('Ordenes_Odoo'!J43="","",'Ordenes_Odoo'!J43)</f>
        <v/>
      </c>
      <c r="K43" s="81">
        <f>IF('Ordenes_Odoo'!K43="","",'Ordenes_Odoo'!K43)</f>
        <v/>
      </c>
      <c r="L43" s="81">
        <f>IF('Ordenes_Odoo'!L43="","",'Ordenes_Odoo'!L43)</f>
        <v/>
      </c>
      <c r="M43" s="79">
        <f>IF('Ordenes_Odoo'!M43="","",'Ordenes_Odoo'!M43)</f>
        <v/>
      </c>
      <c r="N43" s="79">
        <f>IF('Ordenes_Odoo'!N43="","",'Ordenes_Odoo'!N43)</f>
        <v/>
      </c>
      <c r="O43" s="81">
        <f>IF('Ordenes_Odoo'!O43="","",'Ordenes_Odoo'!O43)</f>
        <v/>
      </c>
      <c r="P43" s="81">
        <f>IF('Ordenes_Odoo'!P43="","",'Ordenes_Odoo'!P43)</f>
        <v/>
      </c>
      <c r="Q43" s="79">
        <f>IF(A43="","",IFERROR(INDEX(Facturas_Odoo!$B:$B, MATCH(A43, Facturas_Odoo!$D:$D, 0)), "Sin Factura"))</f>
        <v/>
      </c>
      <c r="R43" s="80">
        <f>IF(Q43="Sin Factura","",IFERROR(INDEX(Facturas_Odoo!$A:$A, MATCH(Q43, Facturas_Odoo!$B:$B, 0)), ""))</f>
        <v/>
      </c>
      <c r="S43" s="79">
        <f>IF(Q43="Sin Factura","",IFERROR(_xlfn.XLOOKUP(1, (Facturas_Odoo!$D:$D=A43) * (Facturas_Odoo!$K:$K=I43), Facturas_Odoo!$L:$L, ""), ""))</f>
        <v/>
      </c>
      <c r="T43" s="81">
        <f>IF(Q43="Sin Factura",0,IFERROR(_xlfn.XLOOKUP(1, (Facturas_Odoo!$D:$D=A43) * (Facturas_Odoo!$K:$K=I43), Facturas_Odoo!$M:$M, 0), 0))</f>
        <v/>
      </c>
      <c r="U43" s="79">
        <f>IF(Q43="Sin Factura",0,IFERROR(_xlfn.XLOOKUP(1, (Facturas_Odoo!$D:$D=A43) * (Facturas_Odoo!$K:$K=I43), Facturas_Odoo!$N:$N, 0), 0))</f>
        <v/>
      </c>
      <c r="V43" s="79">
        <f>IF(Q43="Sin Factura",0,IFERROR(_xlfn.XLOOKUP(1, (Facturas_Odoo!$D:$D=A43) * (Facturas_Odoo!$K:$K=I43), Facturas_Odoo!$O:$O, 0), 0))</f>
        <v/>
      </c>
      <c r="W43" s="81">
        <f>IF(Q43="Sin Factura",0,IFERROR(_xlfn.XLOOKUP(1, (Facturas_Odoo!$D:$D=A43) * (Facturas_Odoo!$K:$K=I43), Facturas_Odoo!$Q:$Q, 0), 0))</f>
        <v/>
      </c>
      <c r="X43" s="79">
        <f>IF(OR(Q43="Sin Factura",Q43=""),"",IFERROR(INDEX(Pagos_Odoo!$B:$B, MATCH(Q43, Pagos_Odoo!$I:$I, 0)), "Sin Pago"))</f>
        <v/>
      </c>
      <c r="Y43" s="79">
        <f>IF(X43="Sin Pago","",IFERROR(INDEX(Pagos_Odoo!$C:$C, MATCH(X43, Pagos_Odoo!$B:$B, 0)), ""))</f>
        <v/>
      </c>
      <c r="Z43" s="80">
        <f>IF(X43="Sin Pago","",IFERROR(INDEX(Pagos_Odoo!$A:$A, MATCH(X43, Pagos_Odoo!$B:$B, 0)), ""))</f>
        <v/>
      </c>
      <c r="AA43" s="79">
        <f>IF(X43="Sin Pago","",IFERROR(INDEX(Pagos_Odoo!$F:$F, MATCH(X43, Pagos_Odoo!$B:$B, 0)), ""))</f>
        <v/>
      </c>
      <c r="AB43" s="81">
        <f>IF(X43="Sin Pago",0,IFERROR(INDEX(Pagos_Odoo!$E:$E, MATCH(X43, Pagos_Odoo!$B:$B, 0)), 0))</f>
        <v/>
      </c>
      <c r="AC43" s="79">
        <f>IF(X43="Sin Pago","",IFERROR(INDEX(Pagos_Odoo!$G:$G, MATCH(X43, Pagos_Odoo!$B:$B, 0)), ""))</f>
        <v/>
      </c>
      <c r="AD43" s="82" t="n">
        <v>0</v>
      </c>
      <c r="AE43" s="82" t="n"/>
      <c r="AF43" s="82" t="n"/>
      <c r="AG43" s="82">
        <f>IF(AN43="","",AD43+AE43+AF43)</f>
        <v/>
      </c>
      <c r="AH43" s="81">
        <f>IF(AN43="","",P43*(1-AG43))</f>
        <v/>
      </c>
      <c r="AI43" s="81">
        <f>IF(AN43="","",IF(Q43="Sin Factura",0,IFERROR(INDEX(Facturas_Odoo!$H:$H, MATCH(Q43, Facturas_Odoo!$B:$B, 0)), 0)*(1-AG43)))</f>
        <v/>
      </c>
      <c r="AJ43" s="81">
        <f>IF(AN43="","",_xlfn.LET(idVenta, AN43&amp;"",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3" s="81">
        <f>IF(AN43="","",AH43-AJ43)</f>
        <v/>
      </c>
      <c r="AL43" s="81">
        <f>IF(AN43="","",IF(Q43="Sin Factura","",AI43-AJ43))</f>
        <v/>
      </c>
      <c r="AM43" s="81">
        <f>IF(AN43="","",IF(Q43="Sin Factura",0,P43-IFERROR(INDEX(Facturas_Odoo!$H:$H, MATCH(Q43, Facturas_Odoo!$B:$B, 0)), 0)))</f>
        <v/>
      </c>
      <c r="AN43" s="79">
        <f>IF(AND(A43="", J43=""), "", IF(A43&lt;&gt;"", VALUE(MID(A43,2,LEN(A43))), AN42))</f>
        <v/>
      </c>
      <c r="AO43" s="79">
        <f>IF(AN43="","",IF(AD43=0,"OK",_xlfn.LET(monedaPago, IF(AA43="","USD",AA43), limitePermitido, IFERROR(VLOOKUP(monedaPago, Configuración!$A$2:$B$3, 2, FALSE), 0.15), IF(AD43&gt;limitePermitido, "ALERTA: EXCESO (" &amp; TEXT(limitePermitido, "0%") &amp; " máx)", "OK"))))</f>
        <v/>
      </c>
      <c r="AP43" s="79">
        <f>IF(AN43="","",IF(AE43=0,"OK",_xlfn.LET(fechaPago, Z43, fechaFactura, R43, diasCredito, IF(E43="Pago inmediato", 0, IFERROR(VALUE(MID(E43, 1, SEARCH(" ", E43)-1)),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3" s="79">
        <f>IF(AN43="","",IF(AND(N43&gt;0, AG43&gt;0), IF(Configuración!$K$2="NO", "ALERTA: DESCUENTO DOBLE NO PERMITIDO", "OK"), "OK"))</f>
        <v/>
      </c>
      <c r="AR43" s="79">
        <f>IF(AN43="","",IF(OR(AO43&lt;&gt;"OK", AP43&lt;&gt;"OK", AQ43&lt;&gt;"OK"), "⚠️ REVISAR", "OK"))</f>
        <v/>
      </c>
    </row>
    <row r="44">
      <c r="A44" s="79">
        <f>IF('Ordenes_Odoo'!A44="","",'Ordenes_Odoo'!A44)</f>
        <v/>
      </c>
      <c r="B44" s="80">
        <f>IF('Ordenes_Odoo'!B44="","",'Ordenes_Odoo'!B44)</f>
        <v/>
      </c>
      <c r="C44" s="79">
        <f>IF('Ordenes_Odoo'!C44="","",'Ordenes_Odoo'!C44)</f>
        <v/>
      </c>
      <c r="D44" s="79">
        <f>IF('Ordenes_Odoo'!D44="","",'Ordenes_Odoo'!D44)</f>
        <v/>
      </c>
      <c r="E44" s="79">
        <f>IF('Ordenes_Odoo'!E44="","",'Ordenes_Odoo'!E44)</f>
        <v/>
      </c>
      <c r="F44" s="79">
        <f>IF('Ordenes_Odoo'!F44="","",'Ordenes_Odoo'!F44)</f>
        <v/>
      </c>
      <c r="G44" s="79">
        <f>IF('Ordenes_Odoo'!G44="","",'Ordenes_Odoo'!G44)</f>
        <v/>
      </c>
      <c r="H44" s="79">
        <f>IF('Ordenes_Odoo'!H44="","",'Ordenes_Odoo'!H44)</f>
        <v/>
      </c>
      <c r="I44" s="79">
        <f>IF('Ordenes_Odoo'!I44="","",'Ordenes_Odoo'!I44)</f>
        <v/>
      </c>
      <c r="J44" s="79">
        <f>IF('Ordenes_Odoo'!J44="","",'Ordenes_Odoo'!J44)</f>
        <v/>
      </c>
      <c r="K44" s="81">
        <f>IF('Ordenes_Odoo'!K44="","",'Ordenes_Odoo'!K44)</f>
        <v/>
      </c>
      <c r="L44" s="81">
        <f>IF('Ordenes_Odoo'!L44="","",'Ordenes_Odoo'!L44)</f>
        <v/>
      </c>
      <c r="M44" s="79">
        <f>IF('Ordenes_Odoo'!M44="","",'Ordenes_Odoo'!M44)</f>
        <v/>
      </c>
      <c r="N44" s="79">
        <f>IF('Ordenes_Odoo'!N44="","",'Ordenes_Odoo'!N44)</f>
        <v/>
      </c>
      <c r="O44" s="81">
        <f>IF('Ordenes_Odoo'!O44="","",'Ordenes_Odoo'!O44)</f>
        <v/>
      </c>
      <c r="P44" s="81">
        <f>IF('Ordenes_Odoo'!P44="","",'Ordenes_Odoo'!P44)</f>
        <v/>
      </c>
      <c r="Q44" s="79">
        <f>IF(A44="","",IFERROR(INDEX(Facturas_Odoo!$B:$B, MATCH(A44, Facturas_Odoo!$D:$D, 0)), "Sin Factura"))</f>
        <v/>
      </c>
      <c r="R44" s="80">
        <f>IF(Q44="Sin Factura","",IFERROR(INDEX(Facturas_Odoo!$A:$A, MATCH(Q44, Facturas_Odoo!$B:$B, 0)), ""))</f>
        <v/>
      </c>
      <c r="S44" s="79">
        <f>IF(Q44="Sin Factura","",IFERROR(_xlfn.XLOOKUP(1, (Facturas_Odoo!$D:$D=A44) * (Facturas_Odoo!$K:$K=I44), Facturas_Odoo!$L:$L, ""), ""))</f>
        <v/>
      </c>
      <c r="T44" s="81">
        <f>IF(Q44="Sin Factura",0,IFERROR(_xlfn.XLOOKUP(1, (Facturas_Odoo!$D:$D=A44) * (Facturas_Odoo!$K:$K=I44), Facturas_Odoo!$M:$M, 0), 0))</f>
        <v/>
      </c>
      <c r="U44" s="79">
        <f>IF(Q44="Sin Factura",0,IFERROR(_xlfn.XLOOKUP(1, (Facturas_Odoo!$D:$D=A44) * (Facturas_Odoo!$K:$K=I44), Facturas_Odoo!$N:$N, 0), 0))</f>
        <v/>
      </c>
      <c r="V44" s="79">
        <f>IF(Q44="Sin Factura",0,IFERROR(_xlfn.XLOOKUP(1, (Facturas_Odoo!$D:$D=A44) * (Facturas_Odoo!$K:$K=I44), Facturas_Odoo!$O:$O, 0), 0))</f>
        <v/>
      </c>
      <c r="W44" s="81">
        <f>IF(Q44="Sin Factura",0,IFERROR(_xlfn.XLOOKUP(1, (Facturas_Odoo!$D:$D=A44) * (Facturas_Odoo!$K:$K=I44), Facturas_Odoo!$Q:$Q, 0), 0))</f>
        <v/>
      </c>
      <c r="X44" s="79">
        <f>IF(OR(Q44="Sin Factura",Q44=""),"",IFERROR(INDEX(Pagos_Odoo!$B:$B, MATCH(Q44, Pagos_Odoo!$I:$I, 0)), "Sin Pago"))</f>
        <v/>
      </c>
      <c r="Y44" s="79">
        <f>IF(X44="Sin Pago","",IFERROR(INDEX(Pagos_Odoo!$C:$C, MATCH(X44, Pagos_Odoo!$B:$B, 0)), ""))</f>
        <v/>
      </c>
      <c r="Z44" s="80">
        <f>IF(X44="Sin Pago","",IFERROR(INDEX(Pagos_Odoo!$A:$A, MATCH(X44, Pagos_Odoo!$B:$B, 0)), ""))</f>
        <v/>
      </c>
      <c r="AA44" s="79">
        <f>IF(X44="Sin Pago","",IFERROR(INDEX(Pagos_Odoo!$F:$F, MATCH(X44, Pagos_Odoo!$B:$B, 0)), ""))</f>
        <v/>
      </c>
      <c r="AB44" s="81">
        <f>IF(X44="Sin Pago",0,IFERROR(INDEX(Pagos_Odoo!$E:$E, MATCH(X44, Pagos_Odoo!$B:$B, 0)), 0))</f>
        <v/>
      </c>
      <c r="AC44" s="79">
        <f>IF(X44="Sin Pago","",IFERROR(INDEX(Pagos_Odoo!$G:$G, MATCH(X44, Pagos_Odoo!$B:$B, 0)), ""))</f>
        <v/>
      </c>
      <c r="AD44" s="82" t="n">
        <v>0</v>
      </c>
      <c r="AE44" s="82" t="n"/>
      <c r="AF44" s="82" t="n"/>
      <c r="AG44" s="82">
        <f>IF(AN44="","",AD44+AE44+AF44)</f>
        <v/>
      </c>
      <c r="AH44" s="81">
        <f>IF(AN44="","",P44*(1-AG44))</f>
        <v/>
      </c>
      <c r="AI44" s="81">
        <f>IF(AN44="","",IF(Q44="Sin Factura",0,IFERROR(INDEX(Facturas_Odoo!$H:$H, MATCH(Q44, Facturas_Odoo!$B:$B, 0)), 0)*(1-AG44)))</f>
        <v/>
      </c>
      <c r="AJ44" s="81">
        <f>IF(AN44="","",_xlfn.LET(idVenta, AN44&amp;"",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4" s="81">
        <f>IF(AN44="","",AH44-AJ44)</f>
        <v/>
      </c>
      <c r="AL44" s="81">
        <f>IF(AN44="","",IF(Q44="Sin Factura","",AI44-AJ44))</f>
        <v/>
      </c>
      <c r="AM44" s="81">
        <f>IF(AN44="","",IF(Q44="Sin Factura",0,P44-IFERROR(INDEX(Facturas_Odoo!$H:$H, MATCH(Q44, Facturas_Odoo!$B:$B, 0)), 0)))</f>
        <v/>
      </c>
      <c r="AN44" s="79">
        <f>IF(AND(A44="", J44=""), "", IF(A44&lt;&gt;"", VALUE(MID(A44,2,LEN(A44))), AN43))</f>
        <v/>
      </c>
      <c r="AO44" s="79">
        <f>IF(AN44="","",IF(AD44=0,"OK",_xlfn.LET(monedaPago, IF(AA44="","USD",AA44), limitePermitido, IFERROR(VLOOKUP(monedaPago, Configuración!$A$2:$B$3, 2, FALSE), 0.15), IF(AD44&gt;limitePermitido, "ALERTA: EXCESO (" &amp; TEXT(limitePermitido, "0%") &amp; " máx)", "OK"))))</f>
        <v/>
      </c>
      <c r="AP44" s="79">
        <f>IF(AN44="","",IF(AE44=0,"OK",_xlfn.LET(fechaPago, Z44, fechaFactura, R44, diasCredito, IF(E44="Pago inmediato", 0, IFERROR(VALUE(MID(E44, 1, SEARCH(" ", E44)-1)),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4" s="79">
        <f>IF(AN44="","",IF(AND(N44&gt;0, AG44&gt;0), IF(Configuración!$K$2="NO", "ALERTA: DESCUENTO DOBLE NO PERMITIDO", "OK"), "OK"))</f>
        <v/>
      </c>
      <c r="AR44" s="79">
        <f>IF(AN44="","",IF(OR(AO44&lt;&gt;"OK", AP44&lt;&gt;"OK", AQ44&lt;&gt;"OK"), "⚠️ REVISAR", "OK"))</f>
        <v/>
      </c>
    </row>
    <row r="45">
      <c r="A45" s="79">
        <f>IF('Ordenes_Odoo'!A45="","",'Ordenes_Odoo'!A45)</f>
        <v/>
      </c>
      <c r="B45" s="80">
        <f>IF('Ordenes_Odoo'!B45="","",'Ordenes_Odoo'!B45)</f>
        <v/>
      </c>
      <c r="C45" s="79">
        <f>IF('Ordenes_Odoo'!C45="","",'Ordenes_Odoo'!C45)</f>
        <v/>
      </c>
      <c r="D45" s="79">
        <f>IF('Ordenes_Odoo'!D45="","",'Ordenes_Odoo'!D45)</f>
        <v/>
      </c>
      <c r="E45" s="79">
        <f>IF('Ordenes_Odoo'!E45="","",'Ordenes_Odoo'!E45)</f>
        <v/>
      </c>
      <c r="F45" s="79">
        <f>IF('Ordenes_Odoo'!F45="","",'Ordenes_Odoo'!F45)</f>
        <v/>
      </c>
      <c r="G45" s="79">
        <f>IF('Ordenes_Odoo'!G45="","",'Ordenes_Odoo'!G45)</f>
        <v/>
      </c>
      <c r="H45" s="79">
        <f>IF('Ordenes_Odoo'!H45="","",'Ordenes_Odoo'!H45)</f>
        <v/>
      </c>
      <c r="I45" s="79">
        <f>IF('Ordenes_Odoo'!I45="","",'Ordenes_Odoo'!I45)</f>
        <v/>
      </c>
      <c r="J45" s="79">
        <f>IF('Ordenes_Odoo'!J45="","",'Ordenes_Odoo'!J45)</f>
        <v/>
      </c>
      <c r="K45" s="81">
        <f>IF('Ordenes_Odoo'!K45="","",'Ordenes_Odoo'!K45)</f>
        <v/>
      </c>
      <c r="L45" s="81">
        <f>IF('Ordenes_Odoo'!L45="","",'Ordenes_Odoo'!L45)</f>
        <v/>
      </c>
      <c r="M45" s="79">
        <f>IF('Ordenes_Odoo'!M45="","",'Ordenes_Odoo'!M45)</f>
        <v/>
      </c>
      <c r="N45" s="79">
        <f>IF('Ordenes_Odoo'!N45="","",'Ordenes_Odoo'!N45)</f>
        <v/>
      </c>
      <c r="O45" s="81">
        <f>IF('Ordenes_Odoo'!O45="","",'Ordenes_Odoo'!O45)</f>
        <v/>
      </c>
      <c r="P45" s="81">
        <f>IF('Ordenes_Odoo'!P45="","",'Ordenes_Odoo'!P45)</f>
        <v/>
      </c>
      <c r="Q45" s="79">
        <f>IF(A45="","",IFERROR(INDEX(Facturas_Odoo!$B:$B, MATCH(A45, Facturas_Odoo!$D:$D, 0)), "Sin Factura"))</f>
        <v/>
      </c>
      <c r="R45" s="80">
        <f>IF(Q45="Sin Factura","",IFERROR(INDEX(Facturas_Odoo!$A:$A, MATCH(Q45, Facturas_Odoo!$B:$B, 0)), ""))</f>
        <v/>
      </c>
      <c r="S45" s="79">
        <f>IF(Q45="Sin Factura","",IFERROR(_xlfn.XLOOKUP(1, (Facturas_Odoo!$D:$D=A45) * (Facturas_Odoo!$K:$K=I45), Facturas_Odoo!$L:$L, ""), ""))</f>
        <v/>
      </c>
      <c r="T45" s="81">
        <f>IF(Q45="Sin Factura",0,IFERROR(_xlfn.XLOOKUP(1, (Facturas_Odoo!$D:$D=A45) * (Facturas_Odoo!$K:$K=I45), Facturas_Odoo!$M:$M, 0), 0))</f>
        <v/>
      </c>
      <c r="U45" s="79">
        <f>IF(Q45="Sin Factura",0,IFERROR(_xlfn.XLOOKUP(1, (Facturas_Odoo!$D:$D=A45) * (Facturas_Odoo!$K:$K=I45), Facturas_Odoo!$N:$N, 0), 0))</f>
        <v/>
      </c>
      <c r="V45" s="79">
        <f>IF(Q45="Sin Factura",0,IFERROR(_xlfn.XLOOKUP(1, (Facturas_Odoo!$D:$D=A45) * (Facturas_Odoo!$K:$K=I45), Facturas_Odoo!$O:$O, 0), 0))</f>
        <v/>
      </c>
      <c r="W45" s="81">
        <f>IF(Q45="Sin Factura",0,IFERROR(_xlfn.XLOOKUP(1, (Facturas_Odoo!$D:$D=A45) * (Facturas_Odoo!$K:$K=I45), Facturas_Odoo!$Q:$Q, 0), 0))</f>
        <v/>
      </c>
      <c r="X45" s="79">
        <f>IF(OR(Q45="Sin Factura",Q45=""),"",IFERROR(INDEX(Pagos_Odoo!$B:$B, MATCH(Q45, Pagos_Odoo!$I:$I, 0)), "Sin Pago"))</f>
        <v/>
      </c>
      <c r="Y45" s="79">
        <f>IF(X45="Sin Pago","",IFERROR(INDEX(Pagos_Odoo!$C:$C, MATCH(X45, Pagos_Odoo!$B:$B, 0)), ""))</f>
        <v/>
      </c>
      <c r="Z45" s="80">
        <f>IF(X45="Sin Pago","",IFERROR(INDEX(Pagos_Odoo!$A:$A, MATCH(X45, Pagos_Odoo!$B:$B, 0)), ""))</f>
        <v/>
      </c>
      <c r="AA45" s="79">
        <f>IF(X45="Sin Pago","",IFERROR(INDEX(Pagos_Odoo!$F:$F, MATCH(X45, Pagos_Odoo!$B:$B, 0)), ""))</f>
        <v/>
      </c>
      <c r="AB45" s="81">
        <f>IF(X45="Sin Pago",0,IFERROR(INDEX(Pagos_Odoo!$E:$E, MATCH(X45, Pagos_Odoo!$B:$B, 0)), 0))</f>
        <v/>
      </c>
      <c r="AC45" s="79">
        <f>IF(X45="Sin Pago","",IFERROR(INDEX(Pagos_Odoo!$G:$G, MATCH(X45, Pagos_Odoo!$B:$B, 0)), ""))</f>
        <v/>
      </c>
      <c r="AD45" s="82" t="n">
        <v>0</v>
      </c>
      <c r="AE45" s="82" t="n"/>
      <c r="AF45" s="82" t="n"/>
      <c r="AG45" s="82">
        <f>IF(AN45="","",AD45+AE45+AF45)</f>
        <v/>
      </c>
      <c r="AH45" s="81">
        <f>IF(AN45="","",P45*(1-AG45))</f>
        <v/>
      </c>
      <c r="AI45" s="81">
        <f>IF(AN45="","",IF(Q45="Sin Factura",0,IFERROR(INDEX(Facturas_Odoo!$H:$H, MATCH(Q45, Facturas_Odoo!$B:$B, 0)), 0)*(1-AG45)))</f>
        <v/>
      </c>
      <c r="AJ45" s="81">
        <f>IF(AN45="","",_xlfn.LET(idVenta, AN45&amp;"",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5" s="81">
        <f>IF(AN45="","",AH45-AJ45)</f>
        <v/>
      </c>
      <c r="AL45" s="81">
        <f>IF(AN45="","",IF(Q45="Sin Factura","",AI45-AJ45))</f>
        <v/>
      </c>
      <c r="AM45" s="81">
        <f>IF(AN45="","",IF(Q45="Sin Factura",0,P45-IFERROR(INDEX(Facturas_Odoo!$H:$H, MATCH(Q45, Facturas_Odoo!$B:$B, 0)), 0)))</f>
        <v/>
      </c>
      <c r="AN45" s="79">
        <f>IF(AND(A45="", J45=""), "", IF(A45&lt;&gt;"", VALUE(MID(A45,2,LEN(A45))), AN44))</f>
        <v/>
      </c>
      <c r="AO45" s="79">
        <f>IF(AN45="","",IF(AD45=0,"OK",_xlfn.LET(monedaPago, IF(AA45="","USD",AA45), limitePermitido, IFERROR(VLOOKUP(monedaPago, Configuración!$A$2:$B$3, 2, FALSE), 0.15), IF(AD45&gt;limitePermitido, "ALERTA: EXCESO (" &amp; TEXT(limitePermitido, "0%") &amp; " máx)", "OK"))))</f>
        <v/>
      </c>
      <c r="AP45" s="79">
        <f>IF(AN45="","",IF(AE45=0,"OK",_xlfn.LET(fechaPago, Z45, fechaFactura, R45, diasCredito, IF(E45="Pago inmediato", 0, IFERROR(VALUE(MID(E45, 1, SEARCH(" ", E45)-1)),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5" s="79">
        <f>IF(AN45="","",IF(AND(N45&gt;0, AG45&gt;0), IF(Configuración!$K$2="NO", "ALERTA: DESCUENTO DOBLE NO PERMITIDO", "OK"), "OK"))</f>
        <v/>
      </c>
      <c r="AR45" s="79">
        <f>IF(AN45="","",IF(OR(AO45&lt;&gt;"OK", AP45&lt;&gt;"OK", AQ45&lt;&gt;"OK"), "⚠️ REVISAR", "OK"))</f>
        <v/>
      </c>
    </row>
    <row r="46">
      <c r="A46" s="79">
        <f>IF('Ordenes_Odoo'!A46="","",'Ordenes_Odoo'!A46)</f>
        <v/>
      </c>
      <c r="B46" s="80">
        <f>IF('Ordenes_Odoo'!B46="","",'Ordenes_Odoo'!B46)</f>
        <v/>
      </c>
      <c r="C46" s="79">
        <f>IF('Ordenes_Odoo'!C46="","",'Ordenes_Odoo'!C46)</f>
        <v/>
      </c>
      <c r="D46" s="79">
        <f>IF('Ordenes_Odoo'!D46="","",'Ordenes_Odoo'!D46)</f>
        <v/>
      </c>
      <c r="E46" s="79">
        <f>IF('Ordenes_Odoo'!E46="","",'Ordenes_Odoo'!E46)</f>
        <v/>
      </c>
      <c r="F46" s="79">
        <f>IF('Ordenes_Odoo'!F46="","",'Ordenes_Odoo'!F46)</f>
        <v/>
      </c>
      <c r="G46" s="79">
        <f>IF('Ordenes_Odoo'!G46="","",'Ordenes_Odoo'!G46)</f>
        <v/>
      </c>
      <c r="H46" s="79">
        <f>IF('Ordenes_Odoo'!H46="","",'Ordenes_Odoo'!H46)</f>
        <v/>
      </c>
      <c r="I46" s="79">
        <f>IF('Ordenes_Odoo'!I46="","",'Ordenes_Odoo'!I46)</f>
        <v/>
      </c>
      <c r="J46" s="79">
        <f>IF('Ordenes_Odoo'!J46="","",'Ordenes_Odoo'!J46)</f>
        <v/>
      </c>
      <c r="K46" s="81">
        <f>IF('Ordenes_Odoo'!K46="","",'Ordenes_Odoo'!K46)</f>
        <v/>
      </c>
      <c r="L46" s="81">
        <f>IF('Ordenes_Odoo'!L46="","",'Ordenes_Odoo'!L46)</f>
        <v/>
      </c>
      <c r="M46" s="79">
        <f>IF('Ordenes_Odoo'!M46="","",'Ordenes_Odoo'!M46)</f>
        <v/>
      </c>
      <c r="N46" s="79">
        <f>IF('Ordenes_Odoo'!N46="","",'Ordenes_Odoo'!N46)</f>
        <v/>
      </c>
      <c r="O46" s="81">
        <f>IF('Ordenes_Odoo'!O46="","",'Ordenes_Odoo'!O46)</f>
        <v/>
      </c>
      <c r="P46" s="81">
        <f>IF('Ordenes_Odoo'!P46="","",'Ordenes_Odoo'!P46)</f>
        <v/>
      </c>
      <c r="Q46" s="79">
        <f>IF(A46="","",IFERROR(INDEX(Facturas_Odoo!$B:$B, MATCH(A46, Facturas_Odoo!$D:$D, 0)), "Sin Factura"))</f>
        <v/>
      </c>
      <c r="R46" s="80">
        <f>IF(Q46="Sin Factura","",IFERROR(INDEX(Facturas_Odoo!$A:$A, MATCH(Q46, Facturas_Odoo!$B:$B, 0)), ""))</f>
        <v/>
      </c>
      <c r="S46" s="79">
        <f>IF(Q46="Sin Factura","",IFERROR(_xlfn.XLOOKUP(1, (Facturas_Odoo!$D:$D=A46) * (Facturas_Odoo!$K:$K=I46), Facturas_Odoo!$L:$L, ""), ""))</f>
        <v/>
      </c>
      <c r="T46" s="81">
        <f>IF(Q46="Sin Factura",0,IFERROR(_xlfn.XLOOKUP(1, (Facturas_Odoo!$D:$D=A46) * (Facturas_Odoo!$K:$K=I46), Facturas_Odoo!$M:$M, 0), 0))</f>
        <v/>
      </c>
      <c r="U46" s="79">
        <f>IF(Q46="Sin Factura",0,IFERROR(_xlfn.XLOOKUP(1, (Facturas_Odoo!$D:$D=A46) * (Facturas_Odoo!$K:$K=I46), Facturas_Odoo!$N:$N, 0), 0))</f>
        <v/>
      </c>
      <c r="V46" s="79">
        <f>IF(Q46="Sin Factura",0,IFERROR(_xlfn.XLOOKUP(1, (Facturas_Odoo!$D:$D=A46) * (Facturas_Odoo!$K:$K=I46), Facturas_Odoo!$O:$O, 0), 0))</f>
        <v/>
      </c>
      <c r="W46" s="81">
        <f>IF(Q46="Sin Factura",0,IFERROR(_xlfn.XLOOKUP(1, (Facturas_Odoo!$D:$D=A46) * (Facturas_Odoo!$K:$K=I46), Facturas_Odoo!$Q:$Q, 0), 0))</f>
        <v/>
      </c>
      <c r="X46" s="79">
        <f>IF(OR(Q46="Sin Factura",Q46=""),"",IFERROR(INDEX(Pagos_Odoo!$B:$B, MATCH(Q46, Pagos_Odoo!$I:$I, 0)), "Sin Pago"))</f>
        <v/>
      </c>
      <c r="Y46" s="79">
        <f>IF(X46="Sin Pago","",IFERROR(INDEX(Pagos_Odoo!$C:$C, MATCH(X46, Pagos_Odoo!$B:$B, 0)), ""))</f>
        <v/>
      </c>
      <c r="Z46" s="80">
        <f>IF(X46="Sin Pago","",IFERROR(INDEX(Pagos_Odoo!$A:$A, MATCH(X46, Pagos_Odoo!$B:$B, 0)), ""))</f>
        <v/>
      </c>
      <c r="AA46" s="79">
        <f>IF(X46="Sin Pago","",IFERROR(INDEX(Pagos_Odoo!$F:$F, MATCH(X46, Pagos_Odoo!$B:$B, 0)), ""))</f>
        <v/>
      </c>
      <c r="AB46" s="81">
        <f>IF(X46="Sin Pago",0,IFERROR(INDEX(Pagos_Odoo!$E:$E, MATCH(X46, Pagos_Odoo!$B:$B, 0)), 0))</f>
        <v/>
      </c>
      <c r="AC46" s="79">
        <f>IF(X46="Sin Pago","",IFERROR(INDEX(Pagos_Odoo!$G:$G, MATCH(X46, Pagos_Odoo!$B:$B, 0)), ""))</f>
        <v/>
      </c>
      <c r="AD46" s="82" t="n">
        <v>0</v>
      </c>
      <c r="AE46" s="82" t="n"/>
      <c r="AF46" s="82" t="n"/>
      <c r="AG46" s="82">
        <f>IF(AN46="","",AD46+AE46+AF46)</f>
        <v/>
      </c>
      <c r="AH46" s="81">
        <f>IF(AN46="","",P46*(1-AG46))</f>
        <v/>
      </c>
      <c r="AI46" s="81">
        <f>IF(AN46="","",IF(Q46="Sin Factura",0,IFERROR(INDEX(Facturas_Odoo!$H:$H, MATCH(Q46, Facturas_Odoo!$B:$B, 0)), 0)*(1-AG46)))</f>
        <v/>
      </c>
      <c r="AJ46" s="81">
        <f>IF(AN46="","",_xlfn.LET(idVenta, AN46&amp;"",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6" s="81">
        <f>IF(AN46="","",AH46-AJ46)</f>
        <v/>
      </c>
      <c r="AL46" s="81">
        <f>IF(AN46="","",IF(Q46="Sin Factura","",AI46-AJ46))</f>
        <v/>
      </c>
      <c r="AM46" s="81">
        <f>IF(AN46="","",IF(Q46="Sin Factura",0,P46-IFERROR(INDEX(Facturas_Odoo!$H:$H, MATCH(Q46, Facturas_Odoo!$B:$B, 0)), 0)))</f>
        <v/>
      </c>
      <c r="AN46" s="79">
        <f>IF(AND(A46="", J46=""), "", IF(A46&lt;&gt;"", VALUE(MID(A46,2,LEN(A46))), AN45))</f>
        <v/>
      </c>
      <c r="AO46" s="79">
        <f>IF(AN46="","",IF(AD46=0,"OK",_xlfn.LET(monedaPago, IF(AA46="","USD",AA46), limitePermitido, IFERROR(VLOOKUP(monedaPago, Configuración!$A$2:$B$3, 2, FALSE), 0.15), IF(AD46&gt;limitePermitido, "ALERTA: EXCESO (" &amp; TEXT(limitePermitido, "0%") &amp; " máx)", "OK"))))</f>
        <v/>
      </c>
      <c r="AP46" s="79">
        <f>IF(AN46="","",IF(AE46=0,"OK",_xlfn.LET(fechaPago, Z46, fechaFactura, R46, diasCredito, IF(E46="Pago inmediato", 0, IFERROR(VALUE(MID(E46, 1, SEARCH(" ", E46)-1)),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6" s="79">
        <f>IF(AN46="","",IF(AND(N46&gt;0, AG46&gt;0), IF(Configuración!$K$2="NO", "ALERTA: DESCUENTO DOBLE NO PERMITIDO", "OK"), "OK"))</f>
        <v/>
      </c>
      <c r="AR46" s="79">
        <f>IF(AN46="","",IF(OR(AO46&lt;&gt;"OK", AP46&lt;&gt;"OK", AQ46&lt;&gt;"OK"), "⚠️ REVISAR", "OK"))</f>
        <v/>
      </c>
    </row>
    <row r="47">
      <c r="A47" s="79">
        <f>IF('Ordenes_Odoo'!A47="","",'Ordenes_Odoo'!A47)</f>
        <v/>
      </c>
      <c r="B47" s="80">
        <f>IF('Ordenes_Odoo'!B47="","",'Ordenes_Odoo'!B47)</f>
        <v/>
      </c>
      <c r="C47" s="79">
        <f>IF('Ordenes_Odoo'!C47="","",'Ordenes_Odoo'!C47)</f>
        <v/>
      </c>
      <c r="D47" s="79">
        <f>IF('Ordenes_Odoo'!D47="","",'Ordenes_Odoo'!D47)</f>
        <v/>
      </c>
      <c r="E47" s="79">
        <f>IF('Ordenes_Odoo'!E47="","",'Ordenes_Odoo'!E47)</f>
        <v/>
      </c>
      <c r="F47" s="79">
        <f>IF('Ordenes_Odoo'!F47="","",'Ordenes_Odoo'!F47)</f>
        <v/>
      </c>
      <c r="G47" s="79">
        <f>IF('Ordenes_Odoo'!G47="","",'Ordenes_Odoo'!G47)</f>
        <v/>
      </c>
      <c r="H47" s="79">
        <f>IF('Ordenes_Odoo'!H47="","",'Ordenes_Odoo'!H47)</f>
        <v/>
      </c>
      <c r="I47" s="79">
        <f>IF('Ordenes_Odoo'!I47="","",'Ordenes_Odoo'!I47)</f>
        <v/>
      </c>
      <c r="J47" s="79">
        <f>IF('Ordenes_Odoo'!J47="","",'Ordenes_Odoo'!J47)</f>
        <v/>
      </c>
      <c r="K47" s="81">
        <f>IF('Ordenes_Odoo'!K47="","",'Ordenes_Odoo'!K47)</f>
        <v/>
      </c>
      <c r="L47" s="81">
        <f>IF('Ordenes_Odoo'!L47="","",'Ordenes_Odoo'!L47)</f>
        <v/>
      </c>
      <c r="M47" s="79">
        <f>IF('Ordenes_Odoo'!M47="","",'Ordenes_Odoo'!M47)</f>
        <v/>
      </c>
      <c r="N47" s="79">
        <f>IF('Ordenes_Odoo'!N47="","",'Ordenes_Odoo'!N47)</f>
        <v/>
      </c>
      <c r="O47" s="81">
        <f>IF('Ordenes_Odoo'!O47="","",'Ordenes_Odoo'!O47)</f>
        <v/>
      </c>
      <c r="P47" s="81">
        <f>IF('Ordenes_Odoo'!P47="","",'Ordenes_Odoo'!P47)</f>
        <v/>
      </c>
      <c r="Q47" s="79">
        <f>IF(A47="","",IFERROR(INDEX(Facturas_Odoo!$B:$B, MATCH(A47, Facturas_Odoo!$D:$D, 0)), "Sin Factura"))</f>
        <v/>
      </c>
      <c r="R47" s="80">
        <f>IF(Q47="Sin Factura","",IFERROR(INDEX(Facturas_Odoo!$A:$A, MATCH(Q47, Facturas_Odoo!$B:$B, 0)), ""))</f>
        <v/>
      </c>
      <c r="S47" s="79">
        <f>IF(Q47="Sin Factura","",IFERROR(_xlfn.XLOOKUP(1, (Facturas_Odoo!$D:$D=A47) * (Facturas_Odoo!$K:$K=I47), Facturas_Odoo!$L:$L, ""), ""))</f>
        <v/>
      </c>
      <c r="T47" s="81">
        <f>IF(Q47="Sin Factura",0,IFERROR(_xlfn.XLOOKUP(1, (Facturas_Odoo!$D:$D=A47) * (Facturas_Odoo!$K:$K=I47), Facturas_Odoo!$M:$M, 0), 0))</f>
        <v/>
      </c>
      <c r="U47" s="79">
        <f>IF(Q47="Sin Factura",0,IFERROR(_xlfn.XLOOKUP(1, (Facturas_Odoo!$D:$D=A47) * (Facturas_Odoo!$K:$K=I47), Facturas_Odoo!$N:$N, 0), 0))</f>
        <v/>
      </c>
      <c r="V47" s="79">
        <f>IF(Q47="Sin Factura",0,IFERROR(_xlfn.XLOOKUP(1, (Facturas_Odoo!$D:$D=A47) * (Facturas_Odoo!$K:$K=I47), Facturas_Odoo!$O:$O, 0), 0))</f>
        <v/>
      </c>
      <c r="W47" s="81">
        <f>IF(Q47="Sin Factura",0,IFERROR(_xlfn.XLOOKUP(1, (Facturas_Odoo!$D:$D=A47) * (Facturas_Odoo!$K:$K=I47), Facturas_Odoo!$Q:$Q, 0), 0))</f>
        <v/>
      </c>
      <c r="X47" s="79">
        <f>IF(OR(Q47="Sin Factura",Q47=""),"",IFERROR(INDEX(Pagos_Odoo!$B:$B, MATCH(Q47, Pagos_Odoo!$I:$I, 0)), "Sin Pago"))</f>
        <v/>
      </c>
      <c r="Y47" s="79">
        <f>IF(X47="Sin Pago","",IFERROR(INDEX(Pagos_Odoo!$C:$C, MATCH(X47, Pagos_Odoo!$B:$B, 0)), ""))</f>
        <v/>
      </c>
      <c r="Z47" s="80">
        <f>IF(X47="Sin Pago","",IFERROR(INDEX(Pagos_Odoo!$A:$A, MATCH(X47, Pagos_Odoo!$B:$B, 0)), ""))</f>
        <v/>
      </c>
      <c r="AA47" s="79">
        <f>IF(X47="Sin Pago","",IFERROR(INDEX(Pagos_Odoo!$F:$F, MATCH(X47, Pagos_Odoo!$B:$B, 0)), ""))</f>
        <v/>
      </c>
      <c r="AB47" s="81">
        <f>IF(X47="Sin Pago",0,IFERROR(INDEX(Pagos_Odoo!$E:$E, MATCH(X47, Pagos_Odoo!$B:$B, 0)), 0))</f>
        <v/>
      </c>
      <c r="AC47" s="79">
        <f>IF(X47="Sin Pago","",IFERROR(INDEX(Pagos_Odoo!$G:$G, MATCH(X47, Pagos_Odoo!$B:$B, 0)), ""))</f>
        <v/>
      </c>
      <c r="AD47" s="82" t="n">
        <v>0</v>
      </c>
      <c r="AE47" s="82" t="n"/>
      <c r="AF47" s="82" t="n"/>
      <c r="AG47" s="82">
        <f>IF(AN47="","",AD47+AE47+AF47)</f>
        <v/>
      </c>
      <c r="AH47" s="81">
        <f>IF(AN47="","",P47*(1-AG47))</f>
        <v/>
      </c>
      <c r="AI47" s="81">
        <f>IF(AN47="","",IF(Q47="Sin Factura",0,IFERROR(INDEX(Facturas_Odoo!$H:$H, MATCH(Q47, Facturas_Odoo!$B:$B, 0)), 0)*(1-AG47)))</f>
        <v/>
      </c>
      <c r="AJ47" s="81">
        <f>IF(AN47="","",_xlfn.LET(idVenta, AN47&amp;"",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7" s="81">
        <f>IF(AN47="","",AH47-AJ47)</f>
        <v/>
      </c>
      <c r="AL47" s="81">
        <f>IF(AN47="","",IF(Q47="Sin Factura","",AI47-AJ47))</f>
        <v/>
      </c>
      <c r="AM47" s="81">
        <f>IF(AN47="","",IF(Q47="Sin Factura",0,P47-IFERROR(INDEX(Facturas_Odoo!$H:$H, MATCH(Q47, Facturas_Odoo!$B:$B, 0)), 0)))</f>
        <v/>
      </c>
      <c r="AN47" s="79">
        <f>IF(AND(A47="", J47=""), "", IF(A47&lt;&gt;"", VALUE(MID(A47,2,LEN(A47))), AN46))</f>
        <v/>
      </c>
      <c r="AO47" s="79">
        <f>IF(AN47="","",IF(AD47=0,"OK",_xlfn.LET(monedaPago, IF(AA47="","USD",AA47), limitePermitido, IFERROR(VLOOKUP(monedaPago, Configuración!$A$2:$B$3, 2, FALSE), 0.15), IF(AD47&gt;limitePermitido, "ALERTA: EXCESO (" &amp; TEXT(limitePermitido, "0%") &amp; " máx)", "OK"))))</f>
        <v/>
      </c>
      <c r="AP47" s="79">
        <f>IF(AN47="","",IF(AE47=0,"OK",_xlfn.LET(fechaPago, Z47, fechaFactura, R47, diasCredito, IF(E47="Pago inmediato", 0, IFERROR(VALUE(MID(E47, 1, SEARCH(" ", E47)-1)),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7" s="79">
        <f>IF(AN47="","",IF(AND(N47&gt;0, AG47&gt;0), IF(Configuración!$K$2="NO", "ALERTA: DESCUENTO DOBLE NO PERMITIDO", "OK"), "OK"))</f>
        <v/>
      </c>
      <c r="AR47" s="79">
        <f>IF(AN47="","",IF(OR(AO47&lt;&gt;"OK", AP47&lt;&gt;"OK", AQ47&lt;&gt;"OK"), "⚠️ REVISAR", "OK"))</f>
        <v/>
      </c>
    </row>
    <row r="48">
      <c r="A48" s="79">
        <f>IF('Ordenes_Odoo'!A48="","",'Ordenes_Odoo'!A48)</f>
        <v/>
      </c>
      <c r="B48" s="80">
        <f>IF('Ordenes_Odoo'!B48="","",'Ordenes_Odoo'!B48)</f>
        <v/>
      </c>
      <c r="C48" s="79">
        <f>IF('Ordenes_Odoo'!C48="","",'Ordenes_Odoo'!C48)</f>
        <v/>
      </c>
      <c r="D48" s="79">
        <f>IF('Ordenes_Odoo'!D48="","",'Ordenes_Odoo'!D48)</f>
        <v/>
      </c>
      <c r="E48" s="79">
        <f>IF('Ordenes_Odoo'!E48="","",'Ordenes_Odoo'!E48)</f>
        <v/>
      </c>
      <c r="F48" s="79">
        <f>IF('Ordenes_Odoo'!F48="","",'Ordenes_Odoo'!F48)</f>
        <v/>
      </c>
      <c r="G48" s="79">
        <f>IF('Ordenes_Odoo'!G48="","",'Ordenes_Odoo'!G48)</f>
        <v/>
      </c>
      <c r="H48" s="79">
        <f>IF('Ordenes_Odoo'!H48="","",'Ordenes_Odoo'!H48)</f>
        <v/>
      </c>
      <c r="I48" s="79">
        <f>IF('Ordenes_Odoo'!I48="","",'Ordenes_Odoo'!I48)</f>
        <v/>
      </c>
      <c r="J48" s="79">
        <f>IF('Ordenes_Odoo'!J48="","",'Ordenes_Odoo'!J48)</f>
        <v/>
      </c>
      <c r="K48" s="81">
        <f>IF('Ordenes_Odoo'!K48="","",'Ordenes_Odoo'!K48)</f>
        <v/>
      </c>
      <c r="L48" s="81">
        <f>IF('Ordenes_Odoo'!L48="","",'Ordenes_Odoo'!L48)</f>
        <v/>
      </c>
      <c r="M48" s="79">
        <f>IF('Ordenes_Odoo'!M48="","",'Ordenes_Odoo'!M48)</f>
        <v/>
      </c>
      <c r="N48" s="79">
        <f>IF('Ordenes_Odoo'!N48="","",'Ordenes_Odoo'!N48)</f>
        <v/>
      </c>
      <c r="O48" s="81">
        <f>IF('Ordenes_Odoo'!O48="","",'Ordenes_Odoo'!O48)</f>
        <v/>
      </c>
      <c r="P48" s="81">
        <f>IF('Ordenes_Odoo'!P48="","",'Ordenes_Odoo'!P48)</f>
        <v/>
      </c>
      <c r="Q48" s="79">
        <f>IF(A48="","",IFERROR(INDEX(Facturas_Odoo!$B:$B, MATCH(A48, Facturas_Odoo!$D:$D, 0)), "Sin Factura"))</f>
        <v/>
      </c>
      <c r="R48" s="80">
        <f>IF(Q48="Sin Factura","",IFERROR(INDEX(Facturas_Odoo!$A:$A, MATCH(Q48, Facturas_Odoo!$B:$B, 0)), ""))</f>
        <v/>
      </c>
      <c r="S48" s="79">
        <f>IF(Q48="Sin Factura","",IFERROR(_xlfn.XLOOKUP(1, (Facturas_Odoo!$D:$D=A48) * (Facturas_Odoo!$K:$K=I48), Facturas_Odoo!$L:$L, ""), ""))</f>
        <v/>
      </c>
      <c r="T48" s="81">
        <f>IF(Q48="Sin Factura",0,IFERROR(_xlfn.XLOOKUP(1, (Facturas_Odoo!$D:$D=A48) * (Facturas_Odoo!$K:$K=I48), Facturas_Odoo!$M:$M, 0), 0))</f>
        <v/>
      </c>
      <c r="U48" s="79">
        <f>IF(Q48="Sin Factura",0,IFERROR(_xlfn.XLOOKUP(1, (Facturas_Odoo!$D:$D=A48) * (Facturas_Odoo!$K:$K=I48), Facturas_Odoo!$N:$N, 0), 0))</f>
        <v/>
      </c>
      <c r="V48" s="79">
        <f>IF(Q48="Sin Factura",0,IFERROR(_xlfn.XLOOKUP(1, (Facturas_Odoo!$D:$D=A48) * (Facturas_Odoo!$K:$K=I48), Facturas_Odoo!$O:$O, 0), 0))</f>
        <v/>
      </c>
      <c r="W48" s="81">
        <f>IF(Q48="Sin Factura",0,IFERROR(_xlfn.XLOOKUP(1, (Facturas_Odoo!$D:$D=A48) * (Facturas_Odoo!$K:$K=I48), Facturas_Odoo!$Q:$Q, 0), 0))</f>
        <v/>
      </c>
      <c r="X48" s="79">
        <f>IF(OR(Q48="Sin Factura",Q48=""),"",IFERROR(INDEX(Pagos_Odoo!$B:$B, MATCH(Q48, Pagos_Odoo!$I:$I, 0)), "Sin Pago"))</f>
        <v/>
      </c>
      <c r="Y48" s="79">
        <f>IF(X48="Sin Pago","",IFERROR(INDEX(Pagos_Odoo!$C:$C, MATCH(X48, Pagos_Odoo!$B:$B, 0)), ""))</f>
        <v/>
      </c>
      <c r="Z48" s="80">
        <f>IF(X48="Sin Pago","",IFERROR(INDEX(Pagos_Odoo!$A:$A, MATCH(X48, Pagos_Odoo!$B:$B, 0)), ""))</f>
        <v/>
      </c>
      <c r="AA48" s="79">
        <f>IF(X48="Sin Pago","",IFERROR(INDEX(Pagos_Odoo!$F:$F, MATCH(X48, Pagos_Odoo!$B:$B, 0)), ""))</f>
        <v/>
      </c>
      <c r="AB48" s="81">
        <f>IF(X48="Sin Pago",0,IFERROR(INDEX(Pagos_Odoo!$E:$E, MATCH(X48, Pagos_Odoo!$B:$B, 0)), 0))</f>
        <v/>
      </c>
      <c r="AC48" s="79">
        <f>IF(X48="Sin Pago","",IFERROR(INDEX(Pagos_Odoo!$G:$G, MATCH(X48, Pagos_Odoo!$B:$B, 0)), ""))</f>
        <v/>
      </c>
      <c r="AD48" s="82" t="n">
        <v>0</v>
      </c>
      <c r="AE48" s="82" t="n"/>
      <c r="AF48" s="82" t="n"/>
      <c r="AG48" s="82">
        <f>IF(AN48="","",AD48+AE48+AF48)</f>
        <v/>
      </c>
      <c r="AH48" s="81">
        <f>IF(AN48="","",P48*(1-AG48))</f>
        <v/>
      </c>
      <c r="AI48" s="81">
        <f>IF(AN48="","",IF(Q48="Sin Factura",0,IFERROR(INDEX(Facturas_Odoo!$H:$H, MATCH(Q48, Facturas_Odoo!$B:$B, 0)), 0)*(1-AG48)))</f>
        <v/>
      </c>
      <c r="AJ48" s="81">
        <f>IF(AN48="","",_xlfn.LET(idVenta, AN48&amp;"",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8" s="81">
        <f>IF(AN48="","",AH48-AJ48)</f>
        <v/>
      </c>
      <c r="AL48" s="81">
        <f>IF(AN48="","",IF(Q48="Sin Factura","",AI48-AJ48))</f>
        <v/>
      </c>
      <c r="AM48" s="81">
        <f>IF(AN48="","",IF(Q48="Sin Factura",0,P48-IFERROR(INDEX(Facturas_Odoo!$H:$H, MATCH(Q48, Facturas_Odoo!$B:$B, 0)), 0)))</f>
        <v/>
      </c>
      <c r="AN48" s="79">
        <f>IF(AND(A48="", J48=""), "", IF(A48&lt;&gt;"", VALUE(MID(A48,2,LEN(A48))), AN47))</f>
        <v/>
      </c>
      <c r="AO48" s="79">
        <f>IF(AN48="","",IF(AD48=0,"OK",_xlfn.LET(monedaPago, IF(AA48="","USD",AA48), limitePermitido, IFERROR(VLOOKUP(monedaPago, Configuración!$A$2:$B$3, 2, FALSE), 0.15), IF(AD48&gt;limitePermitido, "ALERTA: EXCESO (" &amp; TEXT(limitePermitido, "0%") &amp; " máx)", "OK"))))</f>
        <v/>
      </c>
      <c r="AP48" s="79">
        <f>IF(AN48="","",IF(AE48=0,"OK",_xlfn.LET(fechaPago, Z48, fechaFactura, R48, diasCredito, IF(E48="Pago inmediato", 0, IFERROR(VALUE(MID(E48, 1, SEARCH(" ", E48)-1)),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8" s="79">
        <f>IF(AN48="","",IF(AND(N48&gt;0, AG48&gt;0), IF(Configuración!$K$2="NO", "ALERTA: DESCUENTO DOBLE NO PERMITIDO", "OK"), "OK"))</f>
        <v/>
      </c>
      <c r="AR48" s="79">
        <f>IF(AN48="","",IF(OR(AO48&lt;&gt;"OK", AP48&lt;&gt;"OK", AQ48&lt;&gt;"OK"), "⚠️ REVISAR", "OK"))</f>
        <v/>
      </c>
    </row>
    <row r="49">
      <c r="A49" s="79">
        <f>IF('Ordenes_Odoo'!A49="","",'Ordenes_Odoo'!A49)</f>
        <v/>
      </c>
      <c r="B49" s="80">
        <f>IF('Ordenes_Odoo'!B49="","",'Ordenes_Odoo'!B49)</f>
        <v/>
      </c>
      <c r="C49" s="79">
        <f>IF('Ordenes_Odoo'!C49="","",'Ordenes_Odoo'!C49)</f>
        <v/>
      </c>
      <c r="D49" s="79">
        <f>IF('Ordenes_Odoo'!D49="","",'Ordenes_Odoo'!D49)</f>
        <v/>
      </c>
      <c r="E49" s="79">
        <f>IF('Ordenes_Odoo'!E49="","",'Ordenes_Odoo'!E49)</f>
        <v/>
      </c>
      <c r="F49" s="79">
        <f>IF('Ordenes_Odoo'!F49="","",'Ordenes_Odoo'!F49)</f>
        <v/>
      </c>
      <c r="G49" s="79">
        <f>IF('Ordenes_Odoo'!G49="","",'Ordenes_Odoo'!G49)</f>
        <v/>
      </c>
      <c r="H49" s="79">
        <f>IF('Ordenes_Odoo'!H49="","",'Ordenes_Odoo'!H49)</f>
        <v/>
      </c>
      <c r="I49" s="79">
        <f>IF('Ordenes_Odoo'!I49="","",'Ordenes_Odoo'!I49)</f>
        <v/>
      </c>
      <c r="J49" s="79">
        <f>IF('Ordenes_Odoo'!J49="","",'Ordenes_Odoo'!J49)</f>
        <v/>
      </c>
      <c r="K49" s="81">
        <f>IF('Ordenes_Odoo'!K49="","",'Ordenes_Odoo'!K49)</f>
        <v/>
      </c>
      <c r="L49" s="81">
        <f>IF('Ordenes_Odoo'!L49="","",'Ordenes_Odoo'!L49)</f>
        <v/>
      </c>
      <c r="M49" s="79">
        <f>IF('Ordenes_Odoo'!M49="","",'Ordenes_Odoo'!M49)</f>
        <v/>
      </c>
      <c r="N49" s="79">
        <f>IF('Ordenes_Odoo'!N49="","",'Ordenes_Odoo'!N49)</f>
        <v/>
      </c>
      <c r="O49" s="81">
        <f>IF('Ordenes_Odoo'!O49="","",'Ordenes_Odoo'!O49)</f>
        <v/>
      </c>
      <c r="P49" s="81">
        <f>IF('Ordenes_Odoo'!P49="","",'Ordenes_Odoo'!P49)</f>
        <v/>
      </c>
      <c r="Q49" s="79">
        <f>IF(A49="","",IFERROR(INDEX(Facturas_Odoo!$B:$B, MATCH(A49, Facturas_Odoo!$D:$D, 0)), "Sin Factura"))</f>
        <v/>
      </c>
      <c r="R49" s="80">
        <f>IF(Q49="Sin Factura","",IFERROR(INDEX(Facturas_Odoo!$A:$A, MATCH(Q49, Facturas_Odoo!$B:$B, 0)), ""))</f>
        <v/>
      </c>
      <c r="S49" s="79">
        <f>IF(Q49="Sin Factura","",IFERROR(_xlfn.XLOOKUP(1, (Facturas_Odoo!$D:$D=A49) * (Facturas_Odoo!$K:$K=I49), Facturas_Odoo!$L:$L, ""), ""))</f>
        <v/>
      </c>
      <c r="T49" s="81">
        <f>IF(Q49="Sin Factura",0,IFERROR(_xlfn.XLOOKUP(1, (Facturas_Odoo!$D:$D=A49) * (Facturas_Odoo!$K:$K=I49), Facturas_Odoo!$M:$M, 0), 0))</f>
        <v/>
      </c>
      <c r="U49" s="79">
        <f>IF(Q49="Sin Factura",0,IFERROR(_xlfn.XLOOKUP(1, (Facturas_Odoo!$D:$D=A49) * (Facturas_Odoo!$K:$K=I49), Facturas_Odoo!$N:$N, 0), 0))</f>
        <v/>
      </c>
      <c r="V49" s="79">
        <f>IF(Q49="Sin Factura",0,IFERROR(_xlfn.XLOOKUP(1, (Facturas_Odoo!$D:$D=A49) * (Facturas_Odoo!$K:$K=I49), Facturas_Odoo!$O:$O, 0), 0))</f>
        <v/>
      </c>
      <c r="W49" s="81">
        <f>IF(Q49="Sin Factura",0,IFERROR(_xlfn.XLOOKUP(1, (Facturas_Odoo!$D:$D=A49) * (Facturas_Odoo!$K:$K=I49), Facturas_Odoo!$Q:$Q, 0), 0))</f>
        <v/>
      </c>
      <c r="X49" s="79">
        <f>IF(OR(Q49="Sin Factura",Q49=""),"",IFERROR(INDEX(Pagos_Odoo!$B:$B, MATCH(Q49, Pagos_Odoo!$I:$I, 0)), "Sin Pago"))</f>
        <v/>
      </c>
      <c r="Y49" s="79">
        <f>IF(X49="Sin Pago","",IFERROR(INDEX(Pagos_Odoo!$C:$C, MATCH(X49, Pagos_Odoo!$B:$B, 0)), ""))</f>
        <v/>
      </c>
      <c r="Z49" s="80">
        <f>IF(X49="Sin Pago","",IFERROR(INDEX(Pagos_Odoo!$A:$A, MATCH(X49, Pagos_Odoo!$B:$B, 0)), ""))</f>
        <v/>
      </c>
      <c r="AA49" s="79">
        <f>IF(X49="Sin Pago","",IFERROR(INDEX(Pagos_Odoo!$F:$F, MATCH(X49, Pagos_Odoo!$B:$B, 0)), ""))</f>
        <v/>
      </c>
      <c r="AB49" s="81">
        <f>IF(X49="Sin Pago",0,IFERROR(INDEX(Pagos_Odoo!$E:$E, MATCH(X49, Pagos_Odoo!$B:$B, 0)), 0))</f>
        <v/>
      </c>
      <c r="AC49" s="79">
        <f>IF(X49="Sin Pago","",IFERROR(INDEX(Pagos_Odoo!$G:$G, MATCH(X49, Pagos_Odoo!$B:$B, 0)), ""))</f>
        <v/>
      </c>
      <c r="AD49" s="82" t="n">
        <v>0</v>
      </c>
      <c r="AE49" s="82" t="n"/>
      <c r="AF49" s="82" t="n"/>
      <c r="AG49" s="82">
        <f>IF(AN49="","",AD49+AE49+AF49)</f>
        <v/>
      </c>
      <c r="AH49" s="81">
        <f>IF(AN49="","",P49*(1-AG49))</f>
        <v/>
      </c>
      <c r="AI49" s="81">
        <f>IF(AN49="","",IF(Q49="Sin Factura",0,IFERROR(INDEX(Facturas_Odoo!$H:$H, MATCH(Q49, Facturas_Odoo!$B:$B, 0)), 0)*(1-AG49)))</f>
        <v/>
      </c>
      <c r="AJ49" s="81">
        <f>IF(AN49="","",_xlfn.LET(idVenta, AN49&amp;"",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9" s="81">
        <f>IF(AN49="","",AH49-AJ49)</f>
        <v/>
      </c>
      <c r="AL49" s="81">
        <f>IF(AN49="","",IF(Q49="Sin Factura","",AI49-AJ49))</f>
        <v/>
      </c>
      <c r="AM49" s="81">
        <f>IF(AN49="","",IF(Q49="Sin Factura",0,P49-IFERROR(INDEX(Facturas_Odoo!$H:$H, MATCH(Q49, Facturas_Odoo!$B:$B, 0)), 0)))</f>
        <v/>
      </c>
      <c r="AN49" s="79">
        <f>IF(AND(A49="", J49=""), "", IF(A49&lt;&gt;"", VALUE(MID(A49,2,LEN(A49))), AN48))</f>
        <v/>
      </c>
      <c r="AO49" s="79">
        <f>IF(AN49="","",IF(AD49=0,"OK",_xlfn.LET(monedaPago, IF(AA49="","USD",AA49), limitePermitido, IFERROR(VLOOKUP(monedaPago, Configuración!$A$2:$B$3, 2, FALSE), 0.15), IF(AD49&gt;limitePermitido, "ALERTA: EXCESO (" &amp; TEXT(limitePermitido, "0%") &amp; " máx)", "OK"))))</f>
        <v/>
      </c>
      <c r="AP49" s="79">
        <f>IF(AN49="","",IF(AE49=0,"OK",_xlfn.LET(fechaPago, Z49, fechaFactura, R49, diasCredito, IF(E49="Pago inmediato", 0, IFERROR(VALUE(MID(E49, 1, SEARCH(" ", E49)-1)),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9" s="79">
        <f>IF(AN49="","",IF(AND(N49&gt;0, AG49&gt;0), IF(Configuración!$K$2="NO", "ALERTA: DESCUENTO DOBLE NO PERMITIDO", "OK"), "OK"))</f>
        <v/>
      </c>
      <c r="AR49" s="79">
        <f>IF(AN49="","",IF(OR(AO49&lt;&gt;"OK", AP49&lt;&gt;"OK", AQ49&lt;&gt;"OK"), "⚠️ REVISAR", "OK"))</f>
        <v/>
      </c>
    </row>
    <row r="50">
      <c r="A50" s="79">
        <f>IF('Ordenes_Odoo'!A50="","",'Ordenes_Odoo'!A50)</f>
        <v/>
      </c>
      <c r="B50" s="80">
        <f>IF('Ordenes_Odoo'!B50="","",'Ordenes_Odoo'!B50)</f>
        <v/>
      </c>
      <c r="C50" s="79">
        <f>IF('Ordenes_Odoo'!C50="","",'Ordenes_Odoo'!C50)</f>
        <v/>
      </c>
      <c r="D50" s="79">
        <f>IF('Ordenes_Odoo'!D50="","",'Ordenes_Odoo'!D50)</f>
        <v/>
      </c>
      <c r="E50" s="79">
        <f>IF('Ordenes_Odoo'!E50="","",'Ordenes_Odoo'!E50)</f>
        <v/>
      </c>
      <c r="F50" s="79">
        <f>IF('Ordenes_Odoo'!F50="","",'Ordenes_Odoo'!F50)</f>
        <v/>
      </c>
      <c r="G50" s="79">
        <f>IF('Ordenes_Odoo'!G50="","",'Ordenes_Odoo'!G50)</f>
        <v/>
      </c>
      <c r="H50" s="79">
        <f>IF('Ordenes_Odoo'!H50="","",'Ordenes_Odoo'!H50)</f>
        <v/>
      </c>
      <c r="I50" s="79">
        <f>IF('Ordenes_Odoo'!I50="","",'Ordenes_Odoo'!I50)</f>
        <v/>
      </c>
      <c r="J50" s="79">
        <f>IF('Ordenes_Odoo'!J50="","",'Ordenes_Odoo'!J50)</f>
        <v/>
      </c>
      <c r="K50" s="81">
        <f>IF('Ordenes_Odoo'!K50="","",'Ordenes_Odoo'!K50)</f>
        <v/>
      </c>
      <c r="L50" s="81">
        <f>IF('Ordenes_Odoo'!L50="","",'Ordenes_Odoo'!L50)</f>
        <v/>
      </c>
      <c r="M50" s="79">
        <f>IF('Ordenes_Odoo'!M50="","",'Ordenes_Odoo'!M50)</f>
        <v/>
      </c>
      <c r="N50" s="79">
        <f>IF('Ordenes_Odoo'!N50="","",'Ordenes_Odoo'!N50)</f>
        <v/>
      </c>
      <c r="O50" s="81">
        <f>IF('Ordenes_Odoo'!O50="","",'Ordenes_Odoo'!O50)</f>
        <v/>
      </c>
      <c r="P50" s="81">
        <f>IF('Ordenes_Odoo'!P50="","",'Ordenes_Odoo'!P50)</f>
        <v/>
      </c>
      <c r="Q50" s="79">
        <f>IF(A50="","",IFERROR(INDEX(Facturas_Odoo!$B:$B, MATCH(A50, Facturas_Odoo!$D:$D, 0)), "Sin Factura"))</f>
        <v/>
      </c>
      <c r="R50" s="80">
        <f>IF(Q50="Sin Factura","",IFERROR(INDEX(Facturas_Odoo!$A:$A, MATCH(Q50, Facturas_Odoo!$B:$B, 0)), ""))</f>
        <v/>
      </c>
      <c r="S50" s="79">
        <f>IF(Q50="Sin Factura","",IFERROR(_xlfn.XLOOKUP(1, (Facturas_Odoo!$D:$D=A50) * (Facturas_Odoo!$K:$K=I50), Facturas_Odoo!$L:$L, ""), ""))</f>
        <v/>
      </c>
      <c r="T50" s="81">
        <f>IF(Q50="Sin Factura",0,IFERROR(_xlfn.XLOOKUP(1, (Facturas_Odoo!$D:$D=A50) * (Facturas_Odoo!$K:$K=I50), Facturas_Odoo!$M:$M, 0), 0))</f>
        <v/>
      </c>
      <c r="U50" s="79">
        <f>IF(Q50="Sin Factura",0,IFERROR(_xlfn.XLOOKUP(1, (Facturas_Odoo!$D:$D=A50) * (Facturas_Odoo!$K:$K=I50), Facturas_Odoo!$N:$N, 0), 0))</f>
        <v/>
      </c>
      <c r="V50" s="79">
        <f>IF(Q50="Sin Factura",0,IFERROR(_xlfn.XLOOKUP(1, (Facturas_Odoo!$D:$D=A50) * (Facturas_Odoo!$K:$K=I50), Facturas_Odoo!$O:$O, 0), 0))</f>
        <v/>
      </c>
      <c r="W50" s="81">
        <f>IF(Q50="Sin Factura",0,IFERROR(_xlfn.XLOOKUP(1, (Facturas_Odoo!$D:$D=A50) * (Facturas_Odoo!$K:$K=I50), Facturas_Odoo!$Q:$Q, 0), 0))</f>
        <v/>
      </c>
      <c r="X50" s="79">
        <f>IF(OR(Q50="Sin Factura",Q50=""),"",IFERROR(INDEX(Pagos_Odoo!$B:$B, MATCH(Q50, Pagos_Odoo!$I:$I, 0)), "Sin Pago"))</f>
        <v/>
      </c>
      <c r="Y50" s="79">
        <f>IF(X50="Sin Pago","",IFERROR(INDEX(Pagos_Odoo!$C:$C, MATCH(X50, Pagos_Odoo!$B:$B, 0)), ""))</f>
        <v/>
      </c>
      <c r="Z50" s="80">
        <f>IF(X50="Sin Pago","",IFERROR(INDEX(Pagos_Odoo!$A:$A, MATCH(X50, Pagos_Odoo!$B:$B, 0)), ""))</f>
        <v/>
      </c>
      <c r="AA50" s="79">
        <f>IF(X50="Sin Pago","",IFERROR(INDEX(Pagos_Odoo!$F:$F, MATCH(X50, Pagos_Odoo!$B:$B, 0)), ""))</f>
        <v/>
      </c>
      <c r="AB50" s="81">
        <f>IF(X50="Sin Pago",0,IFERROR(INDEX(Pagos_Odoo!$E:$E, MATCH(X50, Pagos_Odoo!$B:$B, 0)), 0))</f>
        <v/>
      </c>
      <c r="AC50" s="79">
        <f>IF(X50="Sin Pago","",IFERROR(INDEX(Pagos_Odoo!$G:$G, MATCH(X50, Pagos_Odoo!$B:$B, 0)), ""))</f>
        <v/>
      </c>
      <c r="AD50" s="82" t="n">
        <v>0</v>
      </c>
      <c r="AE50" s="82" t="n"/>
      <c r="AF50" s="82" t="n"/>
      <c r="AG50" s="82">
        <f>IF(AN50="","",AD50+AE50+AF50)</f>
        <v/>
      </c>
      <c r="AH50" s="81">
        <f>IF(AN50="","",P50*(1-AG50))</f>
        <v/>
      </c>
      <c r="AI50" s="81">
        <f>IF(AN50="","",IF(Q50="Sin Factura",0,IFERROR(INDEX(Facturas_Odoo!$H:$H, MATCH(Q50, Facturas_Odoo!$B:$B, 0)), 0)*(1-AG50)))</f>
        <v/>
      </c>
      <c r="AJ50" s="81">
        <f>IF(AN50="","",_xlfn.LET(idVenta, AN50&amp;"",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0" s="81">
        <f>IF(AN50="","",AH50-AJ50)</f>
        <v/>
      </c>
      <c r="AL50" s="81">
        <f>IF(AN50="","",IF(Q50="Sin Factura","",AI50-AJ50))</f>
        <v/>
      </c>
      <c r="AM50" s="81">
        <f>IF(AN50="","",IF(Q50="Sin Factura",0,P50-IFERROR(INDEX(Facturas_Odoo!$H:$H, MATCH(Q50, Facturas_Odoo!$B:$B, 0)), 0)))</f>
        <v/>
      </c>
      <c r="AN50" s="79">
        <f>IF(AND(A50="", J50=""), "", IF(A50&lt;&gt;"", VALUE(MID(A50,2,LEN(A50))), AN49))</f>
        <v/>
      </c>
      <c r="AO50" s="79">
        <f>IF(AN50="","",IF(AD50=0,"OK",_xlfn.LET(monedaPago, IF(AA50="","USD",AA50), limitePermitido, IFERROR(VLOOKUP(monedaPago, Configuración!$A$2:$B$3, 2, FALSE), 0.15), IF(AD50&gt;limitePermitido, "ALERTA: EXCESO (" &amp; TEXT(limitePermitido, "0%") &amp; " máx)", "OK"))))</f>
        <v/>
      </c>
      <c r="AP50" s="79">
        <f>IF(AN50="","",IF(AE50=0,"OK",_xlfn.LET(fechaPago, Z50, fechaFactura, R50, diasCredito, IF(E50="Pago inmediato", 0, IFERROR(VALUE(MID(E50, 1, SEARCH(" ", E50)-1)),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0" s="79">
        <f>IF(AN50="","",IF(AND(N50&gt;0, AG50&gt;0), IF(Configuración!$K$2="NO", "ALERTA: DESCUENTO DOBLE NO PERMITIDO", "OK"), "OK"))</f>
        <v/>
      </c>
      <c r="AR50" s="79">
        <f>IF(AN50="","",IF(OR(AO50&lt;&gt;"OK", AP50&lt;&gt;"OK", AQ50&lt;&gt;"OK"), "⚠️ REVISAR", "OK"))</f>
        <v/>
      </c>
    </row>
    <row r="51">
      <c r="A51" s="79">
        <f>IF('Ordenes_Odoo'!A51="","",'Ordenes_Odoo'!A51)</f>
        <v/>
      </c>
      <c r="B51" s="80">
        <f>IF('Ordenes_Odoo'!B51="","",'Ordenes_Odoo'!B51)</f>
        <v/>
      </c>
      <c r="C51" s="79">
        <f>IF('Ordenes_Odoo'!C51="","",'Ordenes_Odoo'!C51)</f>
        <v/>
      </c>
      <c r="D51" s="79">
        <f>IF('Ordenes_Odoo'!D51="","",'Ordenes_Odoo'!D51)</f>
        <v/>
      </c>
      <c r="E51" s="79">
        <f>IF('Ordenes_Odoo'!E51="","",'Ordenes_Odoo'!E51)</f>
        <v/>
      </c>
      <c r="F51" s="79">
        <f>IF('Ordenes_Odoo'!F51="","",'Ordenes_Odoo'!F51)</f>
        <v/>
      </c>
      <c r="G51" s="79">
        <f>IF('Ordenes_Odoo'!G51="","",'Ordenes_Odoo'!G51)</f>
        <v/>
      </c>
      <c r="H51" s="79">
        <f>IF('Ordenes_Odoo'!H51="","",'Ordenes_Odoo'!H51)</f>
        <v/>
      </c>
      <c r="I51" s="79">
        <f>IF('Ordenes_Odoo'!I51="","",'Ordenes_Odoo'!I51)</f>
        <v/>
      </c>
      <c r="J51" s="79">
        <f>IF('Ordenes_Odoo'!J51="","",'Ordenes_Odoo'!J51)</f>
        <v/>
      </c>
      <c r="K51" s="81">
        <f>IF('Ordenes_Odoo'!K51="","",'Ordenes_Odoo'!K51)</f>
        <v/>
      </c>
      <c r="L51" s="81">
        <f>IF('Ordenes_Odoo'!L51="","",'Ordenes_Odoo'!L51)</f>
        <v/>
      </c>
      <c r="M51" s="79">
        <f>IF('Ordenes_Odoo'!M51="","",'Ordenes_Odoo'!M51)</f>
        <v/>
      </c>
      <c r="N51" s="79">
        <f>IF('Ordenes_Odoo'!N51="","",'Ordenes_Odoo'!N51)</f>
        <v/>
      </c>
      <c r="O51" s="81">
        <f>IF('Ordenes_Odoo'!O51="","",'Ordenes_Odoo'!O51)</f>
        <v/>
      </c>
      <c r="P51" s="81">
        <f>IF('Ordenes_Odoo'!P51="","",'Ordenes_Odoo'!P51)</f>
        <v/>
      </c>
      <c r="Q51" s="79">
        <f>IF(A51="","",IFERROR(INDEX(Facturas_Odoo!$B:$B, MATCH(A51, Facturas_Odoo!$D:$D, 0)), "Sin Factura"))</f>
        <v/>
      </c>
      <c r="R51" s="80">
        <f>IF(Q51="Sin Factura","",IFERROR(INDEX(Facturas_Odoo!$A:$A, MATCH(Q51, Facturas_Odoo!$B:$B, 0)), ""))</f>
        <v/>
      </c>
      <c r="S51" s="79">
        <f>IF(Q51="Sin Factura","",IFERROR(_xlfn.XLOOKUP(1, (Facturas_Odoo!$D:$D=A51) * (Facturas_Odoo!$K:$K=I51), Facturas_Odoo!$L:$L, ""), ""))</f>
        <v/>
      </c>
      <c r="T51" s="81">
        <f>IF(Q51="Sin Factura",0,IFERROR(_xlfn.XLOOKUP(1, (Facturas_Odoo!$D:$D=A51) * (Facturas_Odoo!$K:$K=I51), Facturas_Odoo!$M:$M, 0), 0))</f>
        <v/>
      </c>
      <c r="U51" s="79">
        <f>IF(Q51="Sin Factura",0,IFERROR(_xlfn.XLOOKUP(1, (Facturas_Odoo!$D:$D=A51) * (Facturas_Odoo!$K:$K=I51), Facturas_Odoo!$N:$N, 0), 0))</f>
        <v/>
      </c>
      <c r="V51" s="79">
        <f>IF(Q51="Sin Factura",0,IFERROR(_xlfn.XLOOKUP(1, (Facturas_Odoo!$D:$D=A51) * (Facturas_Odoo!$K:$K=I51), Facturas_Odoo!$O:$O, 0), 0))</f>
        <v/>
      </c>
      <c r="W51" s="81">
        <f>IF(Q51="Sin Factura",0,IFERROR(_xlfn.XLOOKUP(1, (Facturas_Odoo!$D:$D=A51) * (Facturas_Odoo!$K:$K=I51), Facturas_Odoo!$Q:$Q, 0), 0))</f>
        <v/>
      </c>
      <c r="X51" s="79">
        <f>IF(OR(Q51="Sin Factura",Q51=""),"",IFERROR(INDEX(Pagos_Odoo!$B:$B, MATCH(Q51, Pagos_Odoo!$I:$I, 0)), "Sin Pago"))</f>
        <v/>
      </c>
      <c r="Y51" s="79">
        <f>IF(X51="Sin Pago","",IFERROR(INDEX(Pagos_Odoo!$C:$C, MATCH(X51, Pagos_Odoo!$B:$B, 0)), ""))</f>
        <v/>
      </c>
      <c r="Z51" s="80">
        <f>IF(X51="Sin Pago","",IFERROR(INDEX(Pagos_Odoo!$A:$A, MATCH(X51, Pagos_Odoo!$B:$B, 0)), ""))</f>
        <v/>
      </c>
      <c r="AA51" s="79">
        <f>IF(X51="Sin Pago","",IFERROR(INDEX(Pagos_Odoo!$F:$F, MATCH(X51, Pagos_Odoo!$B:$B, 0)), ""))</f>
        <v/>
      </c>
      <c r="AB51" s="81">
        <f>IF(X51="Sin Pago",0,IFERROR(INDEX(Pagos_Odoo!$E:$E, MATCH(X51, Pagos_Odoo!$B:$B, 0)), 0))</f>
        <v/>
      </c>
      <c r="AC51" s="79">
        <f>IF(X51="Sin Pago","",IFERROR(INDEX(Pagos_Odoo!$G:$G, MATCH(X51, Pagos_Odoo!$B:$B, 0)), ""))</f>
        <v/>
      </c>
      <c r="AD51" s="82" t="n">
        <v>0</v>
      </c>
      <c r="AE51" s="82" t="n"/>
      <c r="AF51" s="82" t="n"/>
      <c r="AG51" s="82">
        <f>IF(AN51="","",AD51+AE51+AF51)</f>
        <v/>
      </c>
      <c r="AH51" s="81">
        <f>IF(AN51="","",P51*(1-AG51))</f>
        <v/>
      </c>
      <c r="AI51" s="81">
        <f>IF(AN51="","",IF(Q51="Sin Factura",0,IFERROR(INDEX(Facturas_Odoo!$H:$H, MATCH(Q51, Facturas_Odoo!$B:$B, 0)), 0)*(1-AG51)))</f>
        <v/>
      </c>
      <c r="AJ51" s="81">
        <f>IF(AN51="","",_xlfn.LET(idVenta, AN51&amp;"",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1" s="81">
        <f>IF(AN51="","",AH51-AJ51)</f>
        <v/>
      </c>
      <c r="AL51" s="81">
        <f>IF(AN51="","",IF(Q51="Sin Factura","",AI51-AJ51))</f>
        <v/>
      </c>
      <c r="AM51" s="81">
        <f>IF(AN51="","",IF(Q51="Sin Factura",0,P51-IFERROR(INDEX(Facturas_Odoo!$H:$H, MATCH(Q51, Facturas_Odoo!$B:$B, 0)), 0)))</f>
        <v/>
      </c>
      <c r="AN51" s="79">
        <f>IF(AND(A51="", J51=""), "", IF(A51&lt;&gt;"", VALUE(MID(A51,2,LEN(A51))), AN50))</f>
        <v/>
      </c>
      <c r="AO51" s="79">
        <f>IF(AN51="","",IF(AD51=0,"OK",_xlfn.LET(monedaPago, IF(AA51="","USD",AA51), limitePermitido, IFERROR(VLOOKUP(monedaPago, Configuración!$A$2:$B$3, 2, FALSE), 0.15), IF(AD51&gt;limitePermitido, "ALERTA: EXCESO (" &amp; TEXT(limitePermitido, "0%") &amp; " máx)", "OK"))))</f>
        <v/>
      </c>
      <c r="AP51" s="79">
        <f>IF(AN51="","",IF(AE51=0,"OK",_xlfn.LET(fechaPago, Z51, fechaFactura, R51, diasCredito, IF(E51="Pago inmediato", 0, IFERROR(VALUE(MID(E51, 1, SEARCH(" ", E51)-1)),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1" s="79">
        <f>IF(AN51="","",IF(AND(N51&gt;0, AG51&gt;0), IF(Configuración!$K$2="NO", "ALERTA: DESCUENTO DOBLE NO PERMITIDO", "OK"), "OK"))</f>
        <v/>
      </c>
      <c r="AR51" s="79">
        <f>IF(AN51="","",IF(OR(AO51&lt;&gt;"OK", AP51&lt;&gt;"OK", AQ51&lt;&gt;"OK"), "⚠️ REVISAR", "OK"))</f>
        <v/>
      </c>
    </row>
    <row r="52">
      <c r="A52" s="79">
        <f>IF('Ordenes_Odoo'!A52="","",'Ordenes_Odoo'!A52)</f>
        <v/>
      </c>
      <c r="B52" s="80">
        <f>IF('Ordenes_Odoo'!B52="","",'Ordenes_Odoo'!B52)</f>
        <v/>
      </c>
      <c r="C52" s="79">
        <f>IF('Ordenes_Odoo'!C52="","",'Ordenes_Odoo'!C52)</f>
        <v/>
      </c>
      <c r="D52" s="79">
        <f>IF('Ordenes_Odoo'!D52="","",'Ordenes_Odoo'!D52)</f>
        <v/>
      </c>
      <c r="E52" s="79">
        <f>IF('Ordenes_Odoo'!E52="","",'Ordenes_Odoo'!E52)</f>
        <v/>
      </c>
      <c r="F52" s="79">
        <f>IF('Ordenes_Odoo'!F52="","",'Ordenes_Odoo'!F52)</f>
        <v/>
      </c>
      <c r="G52" s="79">
        <f>IF('Ordenes_Odoo'!G52="","",'Ordenes_Odoo'!G52)</f>
        <v/>
      </c>
      <c r="H52" s="79">
        <f>IF('Ordenes_Odoo'!H52="","",'Ordenes_Odoo'!H52)</f>
        <v/>
      </c>
      <c r="I52" s="79">
        <f>IF('Ordenes_Odoo'!I52="","",'Ordenes_Odoo'!I52)</f>
        <v/>
      </c>
      <c r="J52" s="79">
        <f>IF('Ordenes_Odoo'!J52="","",'Ordenes_Odoo'!J52)</f>
        <v/>
      </c>
      <c r="K52" s="81">
        <f>IF('Ordenes_Odoo'!K52="","",'Ordenes_Odoo'!K52)</f>
        <v/>
      </c>
      <c r="L52" s="81">
        <f>IF('Ordenes_Odoo'!L52="","",'Ordenes_Odoo'!L52)</f>
        <v/>
      </c>
      <c r="M52" s="79">
        <f>IF('Ordenes_Odoo'!M52="","",'Ordenes_Odoo'!M52)</f>
        <v/>
      </c>
      <c r="N52" s="79">
        <f>IF('Ordenes_Odoo'!N52="","",'Ordenes_Odoo'!N52)</f>
        <v/>
      </c>
      <c r="O52" s="81">
        <f>IF('Ordenes_Odoo'!O52="","",'Ordenes_Odoo'!O52)</f>
        <v/>
      </c>
      <c r="P52" s="81">
        <f>IF('Ordenes_Odoo'!P52="","",'Ordenes_Odoo'!P52)</f>
        <v/>
      </c>
      <c r="Q52" s="79">
        <f>IF(A52="","",IFERROR(INDEX(Facturas_Odoo!$B:$B, MATCH(A52, Facturas_Odoo!$D:$D, 0)), "Sin Factura"))</f>
        <v/>
      </c>
      <c r="R52" s="80">
        <f>IF(Q52="Sin Factura","",IFERROR(INDEX(Facturas_Odoo!$A:$A, MATCH(Q52, Facturas_Odoo!$B:$B, 0)), ""))</f>
        <v/>
      </c>
      <c r="S52" s="79">
        <f>IF(Q52="Sin Factura","",IFERROR(_xlfn.XLOOKUP(1, (Facturas_Odoo!$D:$D=A52) * (Facturas_Odoo!$K:$K=I52), Facturas_Odoo!$L:$L, ""), ""))</f>
        <v/>
      </c>
      <c r="T52" s="81">
        <f>IF(Q52="Sin Factura",0,IFERROR(_xlfn.XLOOKUP(1, (Facturas_Odoo!$D:$D=A52) * (Facturas_Odoo!$K:$K=I52), Facturas_Odoo!$M:$M, 0), 0))</f>
        <v/>
      </c>
      <c r="U52" s="79">
        <f>IF(Q52="Sin Factura",0,IFERROR(_xlfn.XLOOKUP(1, (Facturas_Odoo!$D:$D=A52) * (Facturas_Odoo!$K:$K=I52), Facturas_Odoo!$N:$N, 0), 0))</f>
        <v/>
      </c>
      <c r="V52" s="79">
        <f>IF(Q52="Sin Factura",0,IFERROR(_xlfn.XLOOKUP(1, (Facturas_Odoo!$D:$D=A52) * (Facturas_Odoo!$K:$K=I52), Facturas_Odoo!$O:$O, 0), 0))</f>
        <v/>
      </c>
      <c r="W52" s="81">
        <f>IF(Q52="Sin Factura",0,IFERROR(_xlfn.XLOOKUP(1, (Facturas_Odoo!$D:$D=A52) * (Facturas_Odoo!$K:$K=I52), Facturas_Odoo!$Q:$Q, 0), 0))</f>
        <v/>
      </c>
      <c r="X52" s="79">
        <f>IF(OR(Q52="Sin Factura",Q52=""),"",IFERROR(INDEX(Pagos_Odoo!$B:$B, MATCH(Q52, Pagos_Odoo!$I:$I, 0)), "Sin Pago"))</f>
        <v/>
      </c>
      <c r="Y52" s="79">
        <f>IF(X52="Sin Pago","",IFERROR(INDEX(Pagos_Odoo!$C:$C, MATCH(X52, Pagos_Odoo!$B:$B, 0)), ""))</f>
        <v/>
      </c>
      <c r="Z52" s="80">
        <f>IF(X52="Sin Pago","",IFERROR(INDEX(Pagos_Odoo!$A:$A, MATCH(X52, Pagos_Odoo!$B:$B, 0)), ""))</f>
        <v/>
      </c>
      <c r="AA52" s="79">
        <f>IF(X52="Sin Pago","",IFERROR(INDEX(Pagos_Odoo!$F:$F, MATCH(X52, Pagos_Odoo!$B:$B, 0)), ""))</f>
        <v/>
      </c>
      <c r="AB52" s="81">
        <f>IF(X52="Sin Pago",0,IFERROR(INDEX(Pagos_Odoo!$E:$E, MATCH(X52, Pagos_Odoo!$B:$B, 0)), 0))</f>
        <v/>
      </c>
      <c r="AC52" s="79">
        <f>IF(X52="Sin Pago","",IFERROR(INDEX(Pagos_Odoo!$G:$G, MATCH(X52, Pagos_Odoo!$B:$B, 0)), ""))</f>
        <v/>
      </c>
      <c r="AD52" s="82" t="n">
        <v>0</v>
      </c>
      <c r="AE52" s="82" t="n"/>
      <c r="AF52" s="82" t="n"/>
      <c r="AG52" s="82">
        <f>IF(AN52="","",AD52+AE52+AF52)</f>
        <v/>
      </c>
      <c r="AH52" s="81">
        <f>IF(AN52="","",P52*(1-AG52))</f>
        <v/>
      </c>
      <c r="AI52" s="81">
        <f>IF(AN52="","",IF(Q52="Sin Factura",0,IFERROR(INDEX(Facturas_Odoo!$H:$H, MATCH(Q52, Facturas_Odoo!$B:$B, 0)), 0)*(1-AG52)))</f>
        <v/>
      </c>
      <c r="AJ52" s="81">
        <f>IF(AN52="","",_xlfn.LET(idVenta, AN52&amp;"",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2" s="81">
        <f>IF(AN52="","",AH52-AJ52)</f>
        <v/>
      </c>
      <c r="AL52" s="81">
        <f>IF(AN52="","",IF(Q52="Sin Factura","",AI52-AJ52))</f>
        <v/>
      </c>
      <c r="AM52" s="81">
        <f>IF(AN52="","",IF(Q52="Sin Factura",0,P52-IFERROR(INDEX(Facturas_Odoo!$H:$H, MATCH(Q52, Facturas_Odoo!$B:$B, 0)), 0)))</f>
        <v/>
      </c>
      <c r="AN52" s="79">
        <f>IF(AND(A52="", J52=""), "", IF(A52&lt;&gt;"", VALUE(MID(A52,2,LEN(A52))), AN51))</f>
        <v/>
      </c>
      <c r="AO52" s="79">
        <f>IF(AN52="","",IF(AD52=0,"OK",_xlfn.LET(monedaPago, IF(AA52="","USD",AA52), limitePermitido, IFERROR(VLOOKUP(monedaPago, Configuración!$A$2:$B$3, 2, FALSE), 0.15), IF(AD52&gt;limitePermitido, "ALERTA: EXCESO (" &amp; TEXT(limitePermitido, "0%") &amp; " máx)", "OK"))))</f>
        <v/>
      </c>
      <c r="AP52" s="79">
        <f>IF(AN52="","",IF(AE52=0,"OK",_xlfn.LET(fechaPago, Z52, fechaFactura, R52, diasCredito, IF(E52="Pago inmediato", 0, IFERROR(VALUE(MID(E52, 1, SEARCH(" ", E52)-1)),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2" s="79">
        <f>IF(AN52="","",IF(AND(N52&gt;0, AG52&gt;0), IF(Configuración!$K$2="NO", "ALERTA: DESCUENTO DOBLE NO PERMITIDO", "OK"), "OK"))</f>
        <v/>
      </c>
      <c r="AR52" s="79">
        <f>IF(AN52="","",IF(OR(AO52&lt;&gt;"OK", AP52&lt;&gt;"OK", AQ52&lt;&gt;"OK"), "⚠️ REVISAR", "OK"))</f>
        <v/>
      </c>
    </row>
    <row r="53">
      <c r="A53" s="79">
        <f>IF('Ordenes_Odoo'!A53="","",'Ordenes_Odoo'!A53)</f>
        <v/>
      </c>
      <c r="B53" s="80">
        <f>IF('Ordenes_Odoo'!B53="","",'Ordenes_Odoo'!B53)</f>
        <v/>
      </c>
      <c r="C53" s="79">
        <f>IF('Ordenes_Odoo'!C53="","",'Ordenes_Odoo'!C53)</f>
        <v/>
      </c>
      <c r="D53" s="79">
        <f>IF('Ordenes_Odoo'!D53="","",'Ordenes_Odoo'!D53)</f>
        <v/>
      </c>
      <c r="E53" s="79">
        <f>IF('Ordenes_Odoo'!E53="","",'Ordenes_Odoo'!E53)</f>
        <v/>
      </c>
      <c r="F53" s="79">
        <f>IF('Ordenes_Odoo'!F53="","",'Ordenes_Odoo'!F53)</f>
        <v/>
      </c>
      <c r="G53" s="79">
        <f>IF('Ordenes_Odoo'!G53="","",'Ordenes_Odoo'!G53)</f>
        <v/>
      </c>
      <c r="H53" s="79">
        <f>IF('Ordenes_Odoo'!H53="","",'Ordenes_Odoo'!H53)</f>
        <v/>
      </c>
      <c r="I53" s="79">
        <f>IF('Ordenes_Odoo'!I53="","",'Ordenes_Odoo'!I53)</f>
        <v/>
      </c>
      <c r="J53" s="79">
        <f>IF('Ordenes_Odoo'!J53="","",'Ordenes_Odoo'!J53)</f>
        <v/>
      </c>
      <c r="K53" s="81">
        <f>IF('Ordenes_Odoo'!K53="","",'Ordenes_Odoo'!K53)</f>
        <v/>
      </c>
      <c r="L53" s="81">
        <f>IF('Ordenes_Odoo'!L53="","",'Ordenes_Odoo'!L53)</f>
        <v/>
      </c>
      <c r="M53" s="79">
        <f>IF('Ordenes_Odoo'!M53="","",'Ordenes_Odoo'!M53)</f>
        <v/>
      </c>
      <c r="N53" s="79">
        <f>IF('Ordenes_Odoo'!N53="","",'Ordenes_Odoo'!N53)</f>
        <v/>
      </c>
      <c r="O53" s="81">
        <f>IF('Ordenes_Odoo'!O53="","",'Ordenes_Odoo'!O53)</f>
        <v/>
      </c>
      <c r="P53" s="81">
        <f>IF('Ordenes_Odoo'!P53="","",'Ordenes_Odoo'!P53)</f>
        <v/>
      </c>
      <c r="Q53" s="79">
        <f>IF(A53="","",IFERROR(INDEX(Facturas_Odoo!$B:$B, MATCH(A53, Facturas_Odoo!$D:$D, 0)), "Sin Factura"))</f>
        <v/>
      </c>
      <c r="R53" s="80">
        <f>IF(Q53="Sin Factura","",IFERROR(INDEX(Facturas_Odoo!$A:$A, MATCH(Q53, Facturas_Odoo!$B:$B, 0)), ""))</f>
        <v/>
      </c>
      <c r="S53" s="79">
        <f>IF(Q53="Sin Factura","",IFERROR(_xlfn.XLOOKUP(1, (Facturas_Odoo!$D:$D=A53) * (Facturas_Odoo!$K:$K=I53), Facturas_Odoo!$L:$L, ""), ""))</f>
        <v/>
      </c>
      <c r="T53" s="81">
        <f>IF(Q53="Sin Factura",0,IFERROR(_xlfn.XLOOKUP(1, (Facturas_Odoo!$D:$D=A53) * (Facturas_Odoo!$K:$K=I53), Facturas_Odoo!$M:$M, 0), 0))</f>
        <v/>
      </c>
      <c r="U53" s="79">
        <f>IF(Q53="Sin Factura",0,IFERROR(_xlfn.XLOOKUP(1, (Facturas_Odoo!$D:$D=A53) * (Facturas_Odoo!$K:$K=I53), Facturas_Odoo!$N:$N, 0), 0))</f>
        <v/>
      </c>
      <c r="V53" s="79">
        <f>IF(Q53="Sin Factura",0,IFERROR(_xlfn.XLOOKUP(1, (Facturas_Odoo!$D:$D=A53) * (Facturas_Odoo!$K:$K=I53), Facturas_Odoo!$O:$O, 0), 0))</f>
        <v/>
      </c>
      <c r="W53" s="81">
        <f>IF(Q53="Sin Factura",0,IFERROR(_xlfn.XLOOKUP(1, (Facturas_Odoo!$D:$D=A53) * (Facturas_Odoo!$K:$K=I53), Facturas_Odoo!$Q:$Q, 0), 0))</f>
        <v/>
      </c>
      <c r="X53" s="79">
        <f>IF(OR(Q53="Sin Factura",Q53=""),"",IFERROR(INDEX(Pagos_Odoo!$B:$B, MATCH(Q53, Pagos_Odoo!$I:$I, 0)), "Sin Pago"))</f>
        <v/>
      </c>
      <c r="Y53" s="79">
        <f>IF(X53="Sin Pago","",IFERROR(INDEX(Pagos_Odoo!$C:$C, MATCH(X53, Pagos_Odoo!$B:$B, 0)), ""))</f>
        <v/>
      </c>
      <c r="Z53" s="80">
        <f>IF(X53="Sin Pago","",IFERROR(INDEX(Pagos_Odoo!$A:$A, MATCH(X53, Pagos_Odoo!$B:$B, 0)), ""))</f>
        <v/>
      </c>
      <c r="AA53" s="79">
        <f>IF(X53="Sin Pago","",IFERROR(INDEX(Pagos_Odoo!$F:$F, MATCH(X53, Pagos_Odoo!$B:$B, 0)), ""))</f>
        <v/>
      </c>
      <c r="AB53" s="81">
        <f>IF(X53="Sin Pago",0,IFERROR(INDEX(Pagos_Odoo!$E:$E, MATCH(X53, Pagos_Odoo!$B:$B, 0)), 0))</f>
        <v/>
      </c>
      <c r="AC53" s="79">
        <f>IF(X53="Sin Pago","",IFERROR(INDEX(Pagos_Odoo!$G:$G, MATCH(X53, Pagos_Odoo!$B:$B, 0)), ""))</f>
        <v/>
      </c>
      <c r="AD53" s="82" t="n">
        <v>0</v>
      </c>
      <c r="AE53" s="82" t="n"/>
      <c r="AF53" s="82" t="n"/>
      <c r="AG53" s="82">
        <f>IF(AN53="","",AD53+AE53+AF53)</f>
        <v/>
      </c>
      <c r="AH53" s="81">
        <f>IF(AN53="","",P53*(1-AG53))</f>
        <v/>
      </c>
      <c r="AI53" s="81">
        <f>IF(AN53="","",IF(Q53="Sin Factura",0,IFERROR(INDEX(Facturas_Odoo!$H:$H, MATCH(Q53, Facturas_Odoo!$B:$B, 0)), 0)*(1-AG53)))</f>
        <v/>
      </c>
      <c r="AJ53" s="81">
        <f>IF(AN53="","",_xlfn.LET(idVenta, AN53&amp;"",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3" s="81">
        <f>IF(AN53="","",AH53-AJ53)</f>
        <v/>
      </c>
      <c r="AL53" s="81">
        <f>IF(AN53="","",IF(Q53="Sin Factura","",AI53-AJ53))</f>
        <v/>
      </c>
      <c r="AM53" s="81">
        <f>IF(AN53="","",IF(Q53="Sin Factura",0,P53-IFERROR(INDEX(Facturas_Odoo!$H:$H, MATCH(Q53, Facturas_Odoo!$B:$B, 0)), 0)))</f>
        <v/>
      </c>
      <c r="AN53" s="79">
        <f>IF(AND(A53="", J53=""), "", IF(A53&lt;&gt;"", VALUE(MID(A53,2,LEN(A53))), AN52))</f>
        <v/>
      </c>
      <c r="AO53" s="79">
        <f>IF(AN53="","",IF(AD53=0,"OK",_xlfn.LET(monedaPago, IF(AA53="","USD",AA53), limitePermitido, IFERROR(VLOOKUP(monedaPago, Configuración!$A$2:$B$3, 2, FALSE), 0.15), IF(AD53&gt;limitePermitido, "ALERTA: EXCESO (" &amp; TEXT(limitePermitido, "0%") &amp; " máx)", "OK"))))</f>
        <v/>
      </c>
      <c r="AP53" s="79">
        <f>IF(AN53="","",IF(AE53=0,"OK",_xlfn.LET(fechaPago, Z53, fechaFactura, R53, diasCredito, IF(E53="Pago inmediato", 0, IFERROR(VALUE(MID(E53, 1, SEARCH(" ", E53)-1)),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3" s="79">
        <f>IF(AN53="","",IF(AND(N53&gt;0, AG53&gt;0), IF(Configuración!$K$2="NO", "ALERTA: DESCUENTO DOBLE NO PERMITIDO", "OK"), "OK"))</f>
        <v/>
      </c>
      <c r="AR53" s="79">
        <f>IF(AN53="","",IF(OR(AO53&lt;&gt;"OK", AP53&lt;&gt;"OK", AQ53&lt;&gt;"OK"), "⚠️ REVISAR", "OK"))</f>
        <v/>
      </c>
    </row>
    <row r="54">
      <c r="A54" s="79">
        <f>IF('Ordenes_Odoo'!A54="","",'Ordenes_Odoo'!A54)</f>
        <v/>
      </c>
      <c r="B54" s="80">
        <f>IF('Ordenes_Odoo'!B54="","",'Ordenes_Odoo'!B54)</f>
        <v/>
      </c>
      <c r="C54" s="79">
        <f>IF('Ordenes_Odoo'!C54="","",'Ordenes_Odoo'!C54)</f>
        <v/>
      </c>
      <c r="D54" s="79">
        <f>IF('Ordenes_Odoo'!D54="","",'Ordenes_Odoo'!D54)</f>
        <v/>
      </c>
      <c r="E54" s="79">
        <f>IF('Ordenes_Odoo'!E54="","",'Ordenes_Odoo'!E54)</f>
        <v/>
      </c>
      <c r="F54" s="79">
        <f>IF('Ordenes_Odoo'!F54="","",'Ordenes_Odoo'!F54)</f>
        <v/>
      </c>
      <c r="G54" s="79">
        <f>IF('Ordenes_Odoo'!G54="","",'Ordenes_Odoo'!G54)</f>
        <v/>
      </c>
      <c r="H54" s="79">
        <f>IF('Ordenes_Odoo'!H54="","",'Ordenes_Odoo'!H54)</f>
        <v/>
      </c>
      <c r="I54" s="79">
        <f>IF('Ordenes_Odoo'!I54="","",'Ordenes_Odoo'!I54)</f>
        <v/>
      </c>
      <c r="J54" s="79">
        <f>IF('Ordenes_Odoo'!J54="","",'Ordenes_Odoo'!J54)</f>
        <v/>
      </c>
      <c r="K54" s="81">
        <f>IF('Ordenes_Odoo'!K54="","",'Ordenes_Odoo'!K54)</f>
        <v/>
      </c>
      <c r="L54" s="81">
        <f>IF('Ordenes_Odoo'!L54="","",'Ordenes_Odoo'!L54)</f>
        <v/>
      </c>
      <c r="M54" s="79">
        <f>IF('Ordenes_Odoo'!M54="","",'Ordenes_Odoo'!M54)</f>
        <v/>
      </c>
      <c r="N54" s="79">
        <f>IF('Ordenes_Odoo'!N54="","",'Ordenes_Odoo'!N54)</f>
        <v/>
      </c>
      <c r="O54" s="81">
        <f>IF('Ordenes_Odoo'!O54="","",'Ordenes_Odoo'!O54)</f>
        <v/>
      </c>
      <c r="P54" s="81">
        <f>IF('Ordenes_Odoo'!P54="","",'Ordenes_Odoo'!P54)</f>
        <v/>
      </c>
      <c r="Q54" s="79">
        <f>IF(A54="","",IFERROR(INDEX(Facturas_Odoo!$B:$B, MATCH(A54, Facturas_Odoo!$D:$D, 0)), "Sin Factura"))</f>
        <v/>
      </c>
      <c r="R54" s="80">
        <f>IF(Q54="Sin Factura","",IFERROR(INDEX(Facturas_Odoo!$A:$A, MATCH(Q54, Facturas_Odoo!$B:$B, 0)), ""))</f>
        <v/>
      </c>
      <c r="S54" s="79">
        <f>IF(Q54="Sin Factura","",IFERROR(_xlfn.XLOOKUP(1, (Facturas_Odoo!$D:$D=A54) * (Facturas_Odoo!$K:$K=I54), Facturas_Odoo!$L:$L, ""), ""))</f>
        <v/>
      </c>
      <c r="T54" s="81">
        <f>IF(Q54="Sin Factura",0,IFERROR(_xlfn.XLOOKUP(1, (Facturas_Odoo!$D:$D=A54) * (Facturas_Odoo!$K:$K=I54), Facturas_Odoo!$M:$M, 0), 0))</f>
        <v/>
      </c>
      <c r="U54" s="79">
        <f>IF(Q54="Sin Factura",0,IFERROR(_xlfn.XLOOKUP(1, (Facturas_Odoo!$D:$D=A54) * (Facturas_Odoo!$K:$K=I54), Facturas_Odoo!$N:$N, 0), 0))</f>
        <v/>
      </c>
      <c r="V54" s="79">
        <f>IF(Q54="Sin Factura",0,IFERROR(_xlfn.XLOOKUP(1, (Facturas_Odoo!$D:$D=A54) * (Facturas_Odoo!$K:$K=I54), Facturas_Odoo!$O:$O, 0), 0))</f>
        <v/>
      </c>
      <c r="W54" s="81">
        <f>IF(Q54="Sin Factura",0,IFERROR(_xlfn.XLOOKUP(1, (Facturas_Odoo!$D:$D=A54) * (Facturas_Odoo!$K:$K=I54), Facturas_Odoo!$Q:$Q, 0), 0))</f>
        <v/>
      </c>
      <c r="X54" s="79">
        <f>IF(OR(Q54="Sin Factura",Q54=""),"",IFERROR(INDEX(Pagos_Odoo!$B:$B, MATCH(Q54, Pagos_Odoo!$I:$I, 0)), "Sin Pago"))</f>
        <v/>
      </c>
      <c r="Y54" s="79">
        <f>IF(X54="Sin Pago","",IFERROR(INDEX(Pagos_Odoo!$C:$C, MATCH(X54, Pagos_Odoo!$B:$B, 0)), ""))</f>
        <v/>
      </c>
      <c r="Z54" s="80">
        <f>IF(X54="Sin Pago","",IFERROR(INDEX(Pagos_Odoo!$A:$A, MATCH(X54, Pagos_Odoo!$B:$B, 0)), ""))</f>
        <v/>
      </c>
      <c r="AA54" s="79">
        <f>IF(X54="Sin Pago","",IFERROR(INDEX(Pagos_Odoo!$F:$F, MATCH(X54, Pagos_Odoo!$B:$B, 0)), ""))</f>
        <v/>
      </c>
      <c r="AB54" s="81">
        <f>IF(X54="Sin Pago",0,IFERROR(INDEX(Pagos_Odoo!$E:$E, MATCH(X54, Pagos_Odoo!$B:$B, 0)), 0))</f>
        <v/>
      </c>
      <c r="AC54" s="79">
        <f>IF(X54="Sin Pago","",IFERROR(INDEX(Pagos_Odoo!$G:$G, MATCH(X54, Pagos_Odoo!$B:$B, 0)), ""))</f>
        <v/>
      </c>
      <c r="AD54" s="82" t="n">
        <v>0</v>
      </c>
      <c r="AE54" s="82" t="n"/>
      <c r="AF54" s="82" t="n"/>
      <c r="AG54" s="82">
        <f>IF(AN54="","",AD54+AE54+AF54)</f>
        <v/>
      </c>
      <c r="AH54" s="81">
        <f>IF(AN54="","",P54*(1-AG54))</f>
        <v/>
      </c>
      <c r="AI54" s="81">
        <f>IF(AN54="","",IF(Q54="Sin Factura",0,IFERROR(INDEX(Facturas_Odoo!$H:$H, MATCH(Q54, Facturas_Odoo!$B:$B, 0)), 0)*(1-AG54)))</f>
        <v/>
      </c>
      <c r="AJ54" s="81">
        <f>IF(AN54="","",_xlfn.LET(idVenta, AN54&amp;"",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4" s="81">
        <f>IF(AN54="","",AH54-AJ54)</f>
        <v/>
      </c>
      <c r="AL54" s="81">
        <f>IF(AN54="","",IF(Q54="Sin Factura","",AI54-AJ54))</f>
        <v/>
      </c>
      <c r="AM54" s="81">
        <f>IF(AN54="","",IF(Q54="Sin Factura",0,P54-IFERROR(INDEX(Facturas_Odoo!$H:$H, MATCH(Q54, Facturas_Odoo!$B:$B, 0)), 0)))</f>
        <v/>
      </c>
      <c r="AN54" s="79">
        <f>IF(AND(A54="", J54=""), "", IF(A54&lt;&gt;"", VALUE(MID(A54,2,LEN(A54))), AN53))</f>
        <v/>
      </c>
      <c r="AO54" s="79">
        <f>IF(AN54="","",IF(AD54=0,"OK",_xlfn.LET(monedaPago, IF(AA54="","USD",AA54), limitePermitido, IFERROR(VLOOKUP(monedaPago, Configuración!$A$2:$B$3, 2, FALSE), 0.15), IF(AD54&gt;limitePermitido, "ALERTA: EXCESO (" &amp; TEXT(limitePermitido, "0%") &amp; " máx)", "OK"))))</f>
        <v/>
      </c>
      <c r="AP54" s="79">
        <f>IF(AN54="","",IF(AE54=0,"OK",_xlfn.LET(fechaPago, Z54, fechaFactura, R54, diasCredito, IF(E54="Pago inmediato", 0, IFERROR(VALUE(MID(E54, 1, SEARCH(" ", E54)-1)),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4" s="79">
        <f>IF(AN54="","",IF(AND(N54&gt;0, AG54&gt;0), IF(Configuración!$K$2="NO", "ALERTA: DESCUENTO DOBLE NO PERMITIDO", "OK"), "OK"))</f>
        <v/>
      </c>
      <c r="AR54" s="79">
        <f>IF(AN54="","",IF(OR(AO54&lt;&gt;"OK", AP54&lt;&gt;"OK", AQ54&lt;&gt;"OK"), "⚠️ REVISAR", "OK"))</f>
        <v/>
      </c>
    </row>
    <row r="55">
      <c r="A55" s="79">
        <f>IF('Ordenes_Odoo'!A55="","",'Ordenes_Odoo'!A55)</f>
        <v/>
      </c>
      <c r="B55" s="80">
        <f>IF('Ordenes_Odoo'!B55="","",'Ordenes_Odoo'!B55)</f>
        <v/>
      </c>
      <c r="C55" s="79">
        <f>IF('Ordenes_Odoo'!C55="","",'Ordenes_Odoo'!C55)</f>
        <v/>
      </c>
      <c r="D55" s="79">
        <f>IF('Ordenes_Odoo'!D55="","",'Ordenes_Odoo'!D55)</f>
        <v/>
      </c>
      <c r="E55" s="79">
        <f>IF('Ordenes_Odoo'!E55="","",'Ordenes_Odoo'!E55)</f>
        <v/>
      </c>
      <c r="F55" s="79">
        <f>IF('Ordenes_Odoo'!F55="","",'Ordenes_Odoo'!F55)</f>
        <v/>
      </c>
      <c r="G55" s="79">
        <f>IF('Ordenes_Odoo'!G55="","",'Ordenes_Odoo'!G55)</f>
        <v/>
      </c>
      <c r="H55" s="79">
        <f>IF('Ordenes_Odoo'!H55="","",'Ordenes_Odoo'!H55)</f>
        <v/>
      </c>
      <c r="I55" s="79">
        <f>IF('Ordenes_Odoo'!I55="","",'Ordenes_Odoo'!I55)</f>
        <v/>
      </c>
      <c r="J55" s="79">
        <f>IF('Ordenes_Odoo'!J55="","",'Ordenes_Odoo'!J55)</f>
        <v/>
      </c>
      <c r="K55" s="81">
        <f>IF('Ordenes_Odoo'!K55="","",'Ordenes_Odoo'!K55)</f>
        <v/>
      </c>
      <c r="L55" s="81">
        <f>IF('Ordenes_Odoo'!L55="","",'Ordenes_Odoo'!L55)</f>
        <v/>
      </c>
      <c r="M55" s="79">
        <f>IF('Ordenes_Odoo'!M55="","",'Ordenes_Odoo'!M55)</f>
        <v/>
      </c>
      <c r="N55" s="79">
        <f>IF('Ordenes_Odoo'!N55="","",'Ordenes_Odoo'!N55)</f>
        <v/>
      </c>
      <c r="O55" s="81">
        <f>IF('Ordenes_Odoo'!O55="","",'Ordenes_Odoo'!O55)</f>
        <v/>
      </c>
      <c r="P55" s="81">
        <f>IF('Ordenes_Odoo'!P55="","",'Ordenes_Odoo'!P55)</f>
        <v/>
      </c>
      <c r="Q55" s="79">
        <f>IF(A55="","",IFERROR(INDEX(Facturas_Odoo!$B:$B, MATCH(A55, Facturas_Odoo!$D:$D, 0)), "Sin Factura"))</f>
        <v/>
      </c>
      <c r="R55" s="80">
        <f>IF(Q55="Sin Factura","",IFERROR(INDEX(Facturas_Odoo!$A:$A, MATCH(Q55, Facturas_Odoo!$B:$B, 0)), ""))</f>
        <v/>
      </c>
      <c r="S55" s="79">
        <f>IF(Q55="Sin Factura","",IFERROR(_xlfn.XLOOKUP(1, (Facturas_Odoo!$D:$D=A55) * (Facturas_Odoo!$K:$K=I55), Facturas_Odoo!$L:$L, ""), ""))</f>
        <v/>
      </c>
      <c r="T55" s="81">
        <f>IF(Q55="Sin Factura",0,IFERROR(_xlfn.XLOOKUP(1, (Facturas_Odoo!$D:$D=A55) * (Facturas_Odoo!$K:$K=I55), Facturas_Odoo!$M:$M, 0), 0))</f>
        <v/>
      </c>
      <c r="U55" s="79">
        <f>IF(Q55="Sin Factura",0,IFERROR(_xlfn.XLOOKUP(1, (Facturas_Odoo!$D:$D=A55) * (Facturas_Odoo!$K:$K=I55), Facturas_Odoo!$N:$N, 0), 0))</f>
        <v/>
      </c>
      <c r="V55" s="79">
        <f>IF(Q55="Sin Factura",0,IFERROR(_xlfn.XLOOKUP(1, (Facturas_Odoo!$D:$D=A55) * (Facturas_Odoo!$K:$K=I55), Facturas_Odoo!$O:$O, 0), 0))</f>
        <v/>
      </c>
      <c r="W55" s="81">
        <f>IF(Q55="Sin Factura",0,IFERROR(_xlfn.XLOOKUP(1, (Facturas_Odoo!$D:$D=A55) * (Facturas_Odoo!$K:$K=I55), Facturas_Odoo!$Q:$Q, 0), 0))</f>
        <v/>
      </c>
      <c r="X55" s="79">
        <f>IF(OR(Q55="Sin Factura",Q55=""),"",IFERROR(INDEX(Pagos_Odoo!$B:$B, MATCH(Q55, Pagos_Odoo!$I:$I, 0)), "Sin Pago"))</f>
        <v/>
      </c>
      <c r="Y55" s="79">
        <f>IF(X55="Sin Pago","",IFERROR(INDEX(Pagos_Odoo!$C:$C, MATCH(X55, Pagos_Odoo!$B:$B, 0)), ""))</f>
        <v/>
      </c>
      <c r="Z55" s="80">
        <f>IF(X55="Sin Pago","",IFERROR(INDEX(Pagos_Odoo!$A:$A, MATCH(X55, Pagos_Odoo!$B:$B, 0)), ""))</f>
        <v/>
      </c>
      <c r="AA55" s="79">
        <f>IF(X55="Sin Pago","",IFERROR(INDEX(Pagos_Odoo!$F:$F, MATCH(X55, Pagos_Odoo!$B:$B, 0)), ""))</f>
        <v/>
      </c>
      <c r="AB55" s="81">
        <f>IF(X55="Sin Pago",0,IFERROR(INDEX(Pagos_Odoo!$E:$E, MATCH(X55, Pagos_Odoo!$B:$B, 0)), 0))</f>
        <v/>
      </c>
      <c r="AC55" s="79">
        <f>IF(X55="Sin Pago","",IFERROR(INDEX(Pagos_Odoo!$G:$G, MATCH(X55, Pagos_Odoo!$B:$B, 0)), ""))</f>
        <v/>
      </c>
      <c r="AD55" s="82" t="n">
        <v>0</v>
      </c>
      <c r="AE55" s="82" t="n"/>
      <c r="AF55" s="82" t="n"/>
      <c r="AG55" s="82">
        <f>IF(AN55="","",AD55+AE55+AF55)</f>
        <v/>
      </c>
      <c r="AH55" s="81">
        <f>IF(AN55="","",P55*(1-AG55))</f>
        <v/>
      </c>
      <c r="AI55" s="81">
        <f>IF(AN55="","",IF(Q55="Sin Factura",0,IFERROR(INDEX(Facturas_Odoo!$H:$H, MATCH(Q55, Facturas_Odoo!$B:$B, 0)), 0)*(1-AG55)))</f>
        <v/>
      </c>
      <c r="AJ55" s="81">
        <f>IF(AN55="","",_xlfn.LET(idVenta, AN55&amp;"",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5" s="81">
        <f>IF(AN55="","",AH55-AJ55)</f>
        <v/>
      </c>
      <c r="AL55" s="81">
        <f>IF(AN55="","",IF(Q55="Sin Factura","",AI55-AJ55))</f>
        <v/>
      </c>
      <c r="AM55" s="81">
        <f>IF(AN55="","",IF(Q55="Sin Factura",0,P55-IFERROR(INDEX(Facturas_Odoo!$H:$H, MATCH(Q55, Facturas_Odoo!$B:$B, 0)), 0)))</f>
        <v/>
      </c>
      <c r="AN55" s="79">
        <f>IF(AND(A55="", J55=""), "", IF(A55&lt;&gt;"", VALUE(MID(A55,2,LEN(A55))), AN54))</f>
        <v/>
      </c>
      <c r="AO55" s="79">
        <f>IF(AN55="","",IF(AD55=0,"OK",_xlfn.LET(monedaPago, IF(AA55="","USD",AA55), limitePermitido, IFERROR(VLOOKUP(monedaPago, Configuración!$A$2:$B$3, 2, FALSE), 0.15), IF(AD55&gt;limitePermitido, "ALERTA: EXCESO (" &amp; TEXT(limitePermitido, "0%") &amp; " máx)", "OK"))))</f>
        <v/>
      </c>
      <c r="AP55" s="79">
        <f>IF(AN55="","",IF(AE55=0,"OK",_xlfn.LET(fechaPago, Z55, fechaFactura, R55, diasCredito, IF(E55="Pago inmediato", 0, IFERROR(VALUE(MID(E55, 1, SEARCH(" ", E55)-1)),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5" s="79">
        <f>IF(AN55="","",IF(AND(N55&gt;0, AG55&gt;0), IF(Configuración!$K$2="NO", "ALERTA: DESCUENTO DOBLE NO PERMITIDO", "OK"), "OK"))</f>
        <v/>
      </c>
      <c r="AR55" s="79">
        <f>IF(AN55="","",IF(OR(AO55&lt;&gt;"OK", AP55&lt;&gt;"OK", AQ55&lt;&gt;"OK"), "⚠️ REVISAR", "OK"))</f>
        <v/>
      </c>
    </row>
    <row r="56">
      <c r="A56" s="79">
        <f>IF('Ordenes_Odoo'!A56="","",'Ordenes_Odoo'!A56)</f>
        <v/>
      </c>
      <c r="B56" s="80">
        <f>IF('Ordenes_Odoo'!B56="","",'Ordenes_Odoo'!B56)</f>
        <v/>
      </c>
      <c r="C56" s="79">
        <f>IF('Ordenes_Odoo'!C56="","",'Ordenes_Odoo'!C56)</f>
        <v/>
      </c>
      <c r="D56" s="79">
        <f>IF('Ordenes_Odoo'!D56="","",'Ordenes_Odoo'!D56)</f>
        <v/>
      </c>
      <c r="E56" s="79">
        <f>IF('Ordenes_Odoo'!E56="","",'Ordenes_Odoo'!E56)</f>
        <v/>
      </c>
      <c r="F56" s="79">
        <f>IF('Ordenes_Odoo'!F56="","",'Ordenes_Odoo'!F56)</f>
        <v/>
      </c>
      <c r="G56" s="79">
        <f>IF('Ordenes_Odoo'!G56="","",'Ordenes_Odoo'!G56)</f>
        <v/>
      </c>
      <c r="H56" s="79">
        <f>IF('Ordenes_Odoo'!H56="","",'Ordenes_Odoo'!H56)</f>
        <v/>
      </c>
      <c r="I56" s="79">
        <f>IF('Ordenes_Odoo'!I56="","",'Ordenes_Odoo'!I56)</f>
        <v/>
      </c>
      <c r="J56" s="79">
        <f>IF('Ordenes_Odoo'!J56="","",'Ordenes_Odoo'!J56)</f>
        <v/>
      </c>
      <c r="K56" s="81">
        <f>IF('Ordenes_Odoo'!K56="","",'Ordenes_Odoo'!K56)</f>
        <v/>
      </c>
      <c r="L56" s="81">
        <f>IF('Ordenes_Odoo'!L56="","",'Ordenes_Odoo'!L56)</f>
        <v/>
      </c>
      <c r="M56" s="79">
        <f>IF('Ordenes_Odoo'!M56="","",'Ordenes_Odoo'!M56)</f>
        <v/>
      </c>
      <c r="N56" s="79">
        <f>IF('Ordenes_Odoo'!N56="","",'Ordenes_Odoo'!N56)</f>
        <v/>
      </c>
      <c r="O56" s="81">
        <f>IF('Ordenes_Odoo'!O56="","",'Ordenes_Odoo'!O56)</f>
        <v/>
      </c>
      <c r="P56" s="81">
        <f>IF('Ordenes_Odoo'!P56="","",'Ordenes_Odoo'!P56)</f>
        <v/>
      </c>
      <c r="Q56" s="79">
        <f>IF(A56="","",IFERROR(INDEX(Facturas_Odoo!$B:$B, MATCH(A56, Facturas_Odoo!$D:$D, 0)), "Sin Factura"))</f>
        <v/>
      </c>
      <c r="R56" s="80">
        <f>IF(Q56="Sin Factura","",IFERROR(INDEX(Facturas_Odoo!$A:$A, MATCH(Q56, Facturas_Odoo!$B:$B, 0)), ""))</f>
        <v/>
      </c>
      <c r="S56" s="79">
        <f>IF(Q56="Sin Factura","",IFERROR(_xlfn.XLOOKUP(1, (Facturas_Odoo!$D:$D=A56) * (Facturas_Odoo!$K:$K=I56), Facturas_Odoo!$L:$L, ""), ""))</f>
        <v/>
      </c>
      <c r="T56" s="81">
        <f>IF(Q56="Sin Factura",0,IFERROR(_xlfn.XLOOKUP(1, (Facturas_Odoo!$D:$D=A56) * (Facturas_Odoo!$K:$K=I56), Facturas_Odoo!$M:$M, 0), 0))</f>
        <v/>
      </c>
      <c r="U56" s="79">
        <f>IF(Q56="Sin Factura",0,IFERROR(_xlfn.XLOOKUP(1, (Facturas_Odoo!$D:$D=A56) * (Facturas_Odoo!$K:$K=I56), Facturas_Odoo!$N:$N, 0), 0))</f>
        <v/>
      </c>
      <c r="V56" s="79">
        <f>IF(Q56="Sin Factura",0,IFERROR(_xlfn.XLOOKUP(1, (Facturas_Odoo!$D:$D=A56) * (Facturas_Odoo!$K:$K=I56), Facturas_Odoo!$O:$O, 0), 0))</f>
        <v/>
      </c>
      <c r="W56" s="81">
        <f>IF(Q56="Sin Factura",0,IFERROR(_xlfn.XLOOKUP(1, (Facturas_Odoo!$D:$D=A56) * (Facturas_Odoo!$K:$K=I56), Facturas_Odoo!$Q:$Q, 0), 0))</f>
        <v/>
      </c>
      <c r="X56" s="79">
        <f>IF(OR(Q56="Sin Factura",Q56=""),"",IFERROR(INDEX(Pagos_Odoo!$B:$B, MATCH(Q56, Pagos_Odoo!$I:$I, 0)), "Sin Pago"))</f>
        <v/>
      </c>
      <c r="Y56" s="79">
        <f>IF(X56="Sin Pago","",IFERROR(INDEX(Pagos_Odoo!$C:$C, MATCH(X56, Pagos_Odoo!$B:$B, 0)), ""))</f>
        <v/>
      </c>
      <c r="Z56" s="80">
        <f>IF(X56="Sin Pago","",IFERROR(INDEX(Pagos_Odoo!$A:$A, MATCH(X56, Pagos_Odoo!$B:$B, 0)), ""))</f>
        <v/>
      </c>
      <c r="AA56" s="79">
        <f>IF(X56="Sin Pago","",IFERROR(INDEX(Pagos_Odoo!$F:$F, MATCH(X56, Pagos_Odoo!$B:$B, 0)), ""))</f>
        <v/>
      </c>
      <c r="AB56" s="81">
        <f>IF(X56="Sin Pago",0,IFERROR(INDEX(Pagos_Odoo!$E:$E, MATCH(X56, Pagos_Odoo!$B:$B, 0)), 0))</f>
        <v/>
      </c>
      <c r="AC56" s="79">
        <f>IF(X56="Sin Pago","",IFERROR(INDEX(Pagos_Odoo!$G:$G, MATCH(X56, Pagos_Odoo!$B:$B, 0)), ""))</f>
        <v/>
      </c>
      <c r="AD56" s="82" t="n">
        <v>0</v>
      </c>
      <c r="AE56" s="82" t="n"/>
      <c r="AF56" s="82" t="n"/>
      <c r="AG56" s="82">
        <f>IF(AN56="","",AD56+AE56+AF56)</f>
        <v/>
      </c>
      <c r="AH56" s="81">
        <f>IF(AN56="","",P56*(1-AG56))</f>
        <v/>
      </c>
      <c r="AI56" s="81">
        <f>IF(AN56="","",IF(Q56="Sin Factura",0,IFERROR(INDEX(Facturas_Odoo!$H:$H, MATCH(Q56, Facturas_Odoo!$B:$B, 0)), 0)*(1-AG56)))</f>
        <v/>
      </c>
      <c r="AJ56" s="81">
        <f>IF(AN56="","",_xlfn.LET(idVenta, AN56&amp;"",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6" s="81">
        <f>IF(AN56="","",AH56-AJ56)</f>
        <v/>
      </c>
      <c r="AL56" s="81">
        <f>IF(AN56="","",IF(Q56="Sin Factura","",AI56-AJ56))</f>
        <v/>
      </c>
      <c r="AM56" s="81">
        <f>IF(AN56="","",IF(Q56="Sin Factura",0,P56-IFERROR(INDEX(Facturas_Odoo!$H:$H, MATCH(Q56, Facturas_Odoo!$B:$B, 0)), 0)))</f>
        <v/>
      </c>
      <c r="AN56" s="79">
        <f>IF(AND(A56="", J56=""), "", IF(A56&lt;&gt;"", VALUE(MID(A56,2,LEN(A56))), AN55))</f>
        <v/>
      </c>
      <c r="AO56" s="79">
        <f>IF(AN56="","",IF(AD56=0,"OK",_xlfn.LET(monedaPago, IF(AA56="","USD",AA56), limitePermitido, IFERROR(VLOOKUP(monedaPago, Configuración!$A$2:$B$3, 2, FALSE), 0.15), IF(AD56&gt;limitePermitido, "ALERTA: EXCESO (" &amp; TEXT(limitePermitido, "0%") &amp; " máx)", "OK"))))</f>
        <v/>
      </c>
      <c r="AP56" s="79">
        <f>IF(AN56="","",IF(AE56=0,"OK",_xlfn.LET(fechaPago, Z56, fechaFactura, R56, diasCredito, IF(E56="Pago inmediato", 0, IFERROR(VALUE(MID(E56, 1, SEARCH(" ", E56)-1)),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6" s="79">
        <f>IF(AN56="","",IF(AND(N56&gt;0, AG56&gt;0), IF(Configuración!$K$2="NO", "ALERTA: DESCUENTO DOBLE NO PERMITIDO", "OK"), "OK"))</f>
        <v/>
      </c>
      <c r="AR56" s="79">
        <f>IF(AN56="","",IF(OR(AO56&lt;&gt;"OK", AP56&lt;&gt;"OK", AQ56&lt;&gt;"OK"), "⚠️ REVISAR", "OK"))</f>
        <v/>
      </c>
    </row>
    <row r="57">
      <c r="A57" s="79">
        <f>IF('Ordenes_Odoo'!A57="","",'Ordenes_Odoo'!A57)</f>
        <v/>
      </c>
      <c r="B57" s="80">
        <f>IF('Ordenes_Odoo'!B57="","",'Ordenes_Odoo'!B57)</f>
        <v/>
      </c>
      <c r="C57" s="79">
        <f>IF('Ordenes_Odoo'!C57="","",'Ordenes_Odoo'!C57)</f>
        <v/>
      </c>
      <c r="D57" s="79">
        <f>IF('Ordenes_Odoo'!D57="","",'Ordenes_Odoo'!D57)</f>
        <v/>
      </c>
      <c r="E57" s="79">
        <f>IF('Ordenes_Odoo'!E57="","",'Ordenes_Odoo'!E57)</f>
        <v/>
      </c>
      <c r="F57" s="79">
        <f>IF('Ordenes_Odoo'!F57="","",'Ordenes_Odoo'!F57)</f>
        <v/>
      </c>
      <c r="G57" s="79">
        <f>IF('Ordenes_Odoo'!G57="","",'Ordenes_Odoo'!G57)</f>
        <v/>
      </c>
      <c r="H57" s="79">
        <f>IF('Ordenes_Odoo'!H57="","",'Ordenes_Odoo'!H57)</f>
        <v/>
      </c>
      <c r="I57" s="79">
        <f>IF('Ordenes_Odoo'!I57="","",'Ordenes_Odoo'!I57)</f>
        <v/>
      </c>
      <c r="J57" s="79">
        <f>IF('Ordenes_Odoo'!J57="","",'Ordenes_Odoo'!J57)</f>
        <v/>
      </c>
      <c r="K57" s="81">
        <f>IF('Ordenes_Odoo'!K57="","",'Ordenes_Odoo'!K57)</f>
        <v/>
      </c>
      <c r="L57" s="81">
        <f>IF('Ordenes_Odoo'!L57="","",'Ordenes_Odoo'!L57)</f>
        <v/>
      </c>
      <c r="M57" s="79">
        <f>IF('Ordenes_Odoo'!M57="","",'Ordenes_Odoo'!M57)</f>
        <v/>
      </c>
      <c r="N57" s="79">
        <f>IF('Ordenes_Odoo'!N57="","",'Ordenes_Odoo'!N57)</f>
        <v/>
      </c>
      <c r="O57" s="81">
        <f>IF('Ordenes_Odoo'!O57="","",'Ordenes_Odoo'!O57)</f>
        <v/>
      </c>
      <c r="P57" s="81">
        <f>IF('Ordenes_Odoo'!P57="","",'Ordenes_Odoo'!P57)</f>
        <v/>
      </c>
      <c r="Q57" s="79">
        <f>IF(A57="","",IFERROR(INDEX(Facturas_Odoo!$B:$B, MATCH(A57, Facturas_Odoo!$D:$D, 0)), "Sin Factura"))</f>
        <v/>
      </c>
      <c r="R57" s="80">
        <f>IF(Q57="Sin Factura","",IFERROR(INDEX(Facturas_Odoo!$A:$A, MATCH(Q57, Facturas_Odoo!$B:$B, 0)), ""))</f>
        <v/>
      </c>
      <c r="S57" s="79">
        <f>IF(Q57="Sin Factura","",IFERROR(_xlfn.XLOOKUP(1, (Facturas_Odoo!$D:$D=A57) * (Facturas_Odoo!$K:$K=I57), Facturas_Odoo!$L:$L, ""), ""))</f>
        <v/>
      </c>
      <c r="T57" s="81">
        <f>IF(Q57="Sin Factura",0,IFERROR(_xlfn.XLOOKUP(1, (Facturas_Odoo!$D:$D=A57) * (Facturas_Odoo!$K:$K=I57), Facturas_Odoo!$M:$M, 0), 0))</f>
        <v/>
      </c>
      <c r="U57" s="79">
        <f>IF(Q57="Sin Factura",0,IFERROR(_xlfn.XLOOKUP(1, (Facturas_Odoo!$D:$D=A57) * (Facturas_Odoo!$K:$K=I57), Facturas_Odoo!$N:$N, 0), 0))</f>
        <v/>
      </c>
      <c r="V57" s="79">
        <f>IF(Q57="Sin Factura",0,IFERROR(_xlfn.XLOOKUP(1, (Facturas_Odoo!$D:$D=A57) * (Facturas_Odoo!$K:$K=I57), Facturas_Odoo!$O:$O, 0), 0))</f>
        <v/>
      </c>
      <c r="W57" s="81">
        <f>IF(Q57="Sin Factura",0,IFERROR(_xlfn.XLOOKUP(1, (Facturas_Odoo!$D:$D=A57) * (Facturas_Odoo!$K:$K=I57), Facturas_Odoo!$Q:$Q, 0), 0))</f>
        <v/>
      </c>
      <c r="X57" s="79">
        <f>IF(OR(Q57="Sin Factura",Q57=""),"",IFERROR(INDEX(Pagos_Odoo!$B:$B, MATCH(Q57, Pagos_Odoo!$I:$I, 0)), "Sin Pago"))</f>
        <v/>
      </c>
      <c r="Y57" s="79">
        <f>IF(X57="Sin Pago","",IFERROR(INDEX(Pagos_Odoo!$C:$C, MATCH(X57, Pagos_Odoo!$B:$B, 0)), ""))</f>
        <v/>
      </c>
      <c r="Z57" s="80">
        <f>IF(X57="Sin Pago","",IFERROR(INDEX(Pagos_Odoo!$A:$A, MATCH(X57, Pagos_Odoo!$B:$B, 0)), ""))</f>
        <v/>
      </c>
      <c r="AA57" s="79">
        <f>IF(X57="Sin Pago","",IFERROR(INDEX(Pagos_Odoo!$F:$F, MATCH(X57, Pagos_Odoo!$B:$B, 0)), ""))</f>
        <v/>
      </c>
      <c r="AB57" s="81">
        <f>IF(X57="Sin Pago",0,IFERROR(INDEX(Pagos_Odoo!$E:$E, MATCH(X57, Pagos_Odoo!$B:$B, 0)), 0))</f>
        <v/>
      </c>
      <c r="AC57" s="79">
        <f>IF(X57="Sin Pago","",IFERROR(INDEX(Pagos_Odoo!$G:$G, MATCH(X57, Pagos_Odoo!$B:$B, 0)), ""))</f>
        <v/>
      </c>
      <c r="AD57" s="82" t="n">
        <v>0</v>
      </c>
      <c r="AE57" s="82" t="n"/>
      <c r="AF57" s="82" t="n"/>
      <c r="AG57" s="82">
        <f>IF(AN57="","",AD57+AE57+AF57)</f>
        <v/>
      </c>
      <c r="AH57" s="81">
        <f>IF(AN57="","",P57*(1-AG57))</f>
        <v/>
      </c>
      <c r="AI57" s="81">
        <f>IF(AN57="","",IF(Q57="Sin Factura",0,IFERROR(INDEX(Facturas_Odoo!$H:$H, MATCH(Q57, Facturas_Odoo!$B:$B, 0)), 0)*(1-AG57)))</f>
        <v/>
      </c>
      <c r="AJ57" s="81">
        <f>IF(AN57="","",_xlfn.LET(idVenta, AN57&amp;"",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7" s="81">
        <f>IF(AN57="","",AH57-AJ57)</f>
        <v/>
      </c>
      <c r="AL57" s="81">
        <f>IF(AN57="","",IF(Q57="Sin Factura","",AI57-AJ57))</f>
        <v/>
      </c>
      <c r="AM57" s="81">
        <f>IF(AN57="","",IF(Q57="Sin Factura",0,P57-IFERROR(INDEX(Facturas_Odoo!$H:$H, MATCH(Q57, Facturas_Odoo!$B:$B, 0)), 0)))</f>
        <v/>
      </c>
      <c r="AN57" s="79">
        <f>IF(AND(A57="", J57=""), "", IF(A57&lt;&gt;"", VALUE(MID(A57,2,LEN(A57))), AN56))</f>
        <v/>
      </c>
      <c r="AO57" s="79">
        <f>IF(AN57="","",IF(AD57=0,"OK",_xlfn.LET(monedaPago, IF(AA57="","USD",AA57), limitePermitido, IFERROR(VLOOKUP(monedaPago, Configuración!$A$2:$B$3, 2, FALSE), 0.15), IF(AD57&gt;limitePermitido, "ALERTA: EXCESO (" &amp; TEXT(limitePermitido, "0%") &amp; " máx)", "OK"))))</f>
        <v/>
      </c>
      <c r="AP57" s="79">
        <f>IF(AN57="","",IF(AE57=0,"OK",_xlfn.LET(fechaPago, Z57, fechaFactura, R57, diasCredito, IF(E57="Pago inmediato", 0, IFERROR(VALUE(MID(E57, 1, SEARCH(" ", E57)-1)),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7" s="79">
        <f>IF(AN57="","",IF(AND(N57&gt;0, AG57&gt;0), IF(Configuración!$K$2="NO", "ALERTA: DESCUENTO DOBLE NO PERMITIDO", "OK"), "OK"))</f>
        <v/>
      </c>
      <c r="AR57" s="79">
        <f>IF(AN57="","",IF(OR(AO57&lt;&gt;"OK", AP57&lt;&gt;"OK", AQ57&lt;&gt;"OK"), "⚠️ REVISAR", "OK"))</f>
        <v/>
      </c>
    </row>
    <row r="58">
      <c r="A58" s="79">
        <f>IF('Ordenes_Odoo'!A58="","",'Ordenes_Odoo'!A58)</f>
        <v/>
      </c>
      <c r="B58" s="80">
        <f>IF('Ordenes_Odoo'!B58="","",'Ordenes_Odoo'!B58)</f>
        <v/>
      </c>
      <c r="C58" s="79">
        <f>IF('Ordenes_Odoo'!C58="","",'Ordenes_Odoo'!C58)</f>
        <v/>
      </c>
      <c r="D58" s="79">
        <f>IF('Ordenes_Odoo'!D58="","",'Ordenes_Odoo'!D58)</f>
        <v/>
      </c>
      <c r="E58" s="79">
        <f>IF('Ordenes_Odoo'!E58="","",'Ordenes_Odoo'!E58)</f>
        <v/>
      </c>
      <c r="F58" s="79">
        <f>IF('Ordenes_Odoo'!F58="","",'Ordenes_Odoo'!F58)</f>
        <v/>
      </c>
      <c r="G58" s="79">
        <f>IF('Ordenes_Odoo'!G58="","",'Ordenes_Odoo'!G58)</f>
        <v/>
      </c>
      <c r="H58" s="79">
        <f>IF('Ordenes_Odoo'!H58="","",'Ordenes_Odoo'!H58)</f>
        <v/>
      </c>
      <c r="I58" s="79">
        <f>IF('Ordenes_Odoo'!I58="","",'Ordenes_Odoo'!I58)</f>
        <v/>
      </c>
      <c r="J58" s="79">
        <f>IF('Ordenes_Odoo'!J58="","",'Ordenes_Odoo'!J58)</f>
        <v/>
      </c>
      <c r="K58" s="81">
        <f>IF('Ordenes_Odoo'!K58="","",'Ordenes_Odoo'!K58)</f>
        <v/>
      </c>
      <c r="L58" s="81">
        <f>IF('Ordenes_Odoo'!L58="","",'Ordenes_Odoo'!L58)</f>
        <v/>
      </c>
      <c r="M58" s="79">
        <f>IF('Ordenes_Odoo'!M58="","",'Ordenes_Odoo'!M58)</f>
        <v/>
      </c>
      <c r="N58" s="79">
        <f>IF('Ordenes_Odoo'!N58="","",'Ordenes_Odoo'!N58)</f>
        <v/>
      </c>
      <c r="O58" s="81">
        <f>IF('Ordenes_Odoo'!O58="","",'Ordenes_Odoo'!O58)</f>
        <v/>
      </c>
      <c r="P58" s="81">
        <f>IF('Ordenes_Odoo'!P58="","",'Ordenes_Odoo'!P58)</f>
        <v/>
      </c>
      <c r="Q58" s="79">
        <f>IF(A58="","",IFERROR(INDEX(Facturas_Odoo!$B:$B, MATCH(A58, Facturas_Odoo!$D:$D, 0)), "Sin Factura"))</f>
        <v/>
      </c>
      <c r="R58" s="80">
        <f>IF(Q58="Sin Factura","",IFERROR(INDEX(Facturas_Odoo!$A:$A, MATCH(Q58, Facturas_Odoo!$B:$B, 0)), ""))</f>
        <v/>
      </c>
      <c r="S58" s="79">
        <f>IF(Q58="Sin Factura","",IFERROR(_xlfn.XLOOKUP(1, (Facturas_Odoo!$D:$D=A58) * (Facturas_Odoo!$K:$K=I58), Facturas_Odoo!$L:$L, ""), ""))</f>
        <v/>
      </c>
      <c r="T58" s="81">
        <f>IF(Q58="Sin Factura",0,IFERROR(_xlfn.XLOOKUP(1, (Facturas_Odoo!$D:$D=A58) * (Facturas_Odoo!$K:$K=I58), Facturas_Odoo!$M:$M, 0), 0))</f>
        <v/>
      </c>
      <c r="U58" s="79">
        <f>IF(Q58="Sin Factura",0,IFERROR(_xlfn.XLOOKUP(1, (Facturas_Odoo!$D:$D=A58) * (Facturas_Odoo!$K:$K=I58), Facturas_Odoo!$N:$N, 0), 0))</f>
        <v/>
      </c>
      <c r="V58" s="79">
        <f>IF(Q58="Sin Factura",0,IFERROR(_xlfn.XLOOKUP(1, (Facturas_Odoo!$D:$D=A58) * (Facturas_Odoo!$K:$K=I58), Facturas_Odoo!$O:$O, 0), 0))</f>
        <v/>
      </c>
      <c r="W58" s="81">
        <f>IF(Q58="Sin Factura",0,IFERROR(_xlfn.XLOOKUP(1, (Facturas_Odoo!$D:$D=A58) * (Facturas_Odoo!$K:$K=I58), Facturas_Odoo!$Q:$Q, 0), 0))</f>
        <v/>
      </c>
      <c r="X58" s="79">
        <f>IF(OR(Q58="Sin Factura",Q58=""),"",IFERROR(INDEX(Pagos_Odoo!$B:$B, MATCH(Q58, Pagos_Odoo!$I:$I, 0)), "Sin Pago"))</f>
        <v/>
      </c>
      <c r="Y58" s="79">
        <f>IF(X58="Sin Pago","",IFERROR(INDEX(Pagos_Odoo!$C:$C, MATCH(X58, Pagos_Odoo!$B:$B, 0)), ""))</f>
        <v/>
      </c>
      <c r="Z58" s="80">
        <f>IF(X58="Sin Pago","",IFERROR(INDEX(Pagos_Odoo!$A:$A, MATCH(X58, Pagos_Odoo!$B:$B, 0)), ""))</f>
        <v/>
      </c>
      <c r="AA58" s="79">
        <f>IF(X58="Sin Pago","",IFERROR(INDEX(Pagos_Odoo!$F:$F, MATCH(X58, Pagos_Odoo!$B:$B, 0)), ""))</f>
        <v/>
      </c>
      <c r="AB58" s="81">
        <f>IF(X58="Sin Pago",0,IFERROR(INDEX(Pagos_Odoo!$E:$E, MATCH(X58, Pagos_Odoo!$B:$B, 0)), 0))</f>
        <v/>
      </c>
      <c r="AC58" s="79">
        <f>IF(X58="Sin Pago","",IFERROR(INDEX(Pagos_Odoo!$G:$G, MATCH(X58, Pagos_Odoo!$B:$B, 0)), ""))</f>
        <v/>
      </c>
      <c r="AD58" s="82" t="n">
        <v>0</v>
      </c>
      <c r="AE58" s="82" t="n"/>
      <c r="AF58" s="82" t="n"/>
      <c r="AG58" s="82">
        <f>IF(AN58="","",AD58+AE58+AF58)</f>
        <v/>
      </c>
      <c r="AH58" s="81">
        <f>IF(AN58="","",P58*(1-AG58))</f>
        <v/>
      </c>
      <c r="AI58" s="81">
        <f>IF(AN58="","",IF(Q58="Sin Factura",0,IFERROR(INDEX(Facturas_Odoo!$H:$H, MATCH(Q58, Facturas_Odoo!$B:$B, 0)), 0)*(1-AG58)))</f>
        <v/>
      </c>
      <c r="AJ58" s="81">
        <f>IF(AN58="","",_xlfn.LET(idVenta, AN58&amp;"",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8" s="81">
        <f>IF(AN58="","",AH58-AJ58)</f>
        <v/>
      </c>
      <c r="AL58" s="81">
        <f>IF(AN58="","",IF(Q58="Sin Factura","",AI58-AJ58))</f>
        <v/>
      </c>
      <c r="AM58" s="81">
        <f>IF(AN58="","",IF(Q58="Sin Factura",0,P58-IFERROR(INDEX(Facturas_Odoo!$H:$H, MATCH(Q58, Facturas_Odoo!$B:$B, 0)), 0)))</f>
        <v/>
      </c>
      <c r="AN58" s="79">
        <f>IF(AND(A58="", J58=""), "", IF(A58&lt;&gt;"", VALUE(MID(A58,2,LEN(A58))), AN57))</f>
        <v/>
      </c>
      <c r="AO58" s="79">
        <f>IF(AN58="","",IF(AD58=0,"OK",_xlfn.LET(monedaPago, IF(AA58="","USD",AA58), limitePermitido, IFERROR(VLOOKUP(monedaPago, Configuración!$A$2:$B$3, 2, FALSE), 0.15), IF(AD58&gt;limitePermitido, "ALERTA: EXCESO (" &amp; TEXT(limitePermitido, "0%") &amp; " máx)", "OK"))))</f>
        <v/>
      </c>
      <c r="AP58" s="79">
        <f>IF(AN58="","",IF(AE58=0,"OK",_xlfn.LET(fechaPago, Z58, fechaFactura, R58, diasCredito, IF(E58="Pago inmediato", 0, IFERROR(VALUE(MID(E58, 1, SEARCH(" ", E58)-1)),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8" s="79">
        <f>IF(AN58="","",IF(AND(N58&gt;0, AG58&gt;0), IF(Configuración!$K$2="NO", "ALERTA: DESCUENTO DOBLE NO PERMITIDO", "OK"), "OK"))</f>
        <v/>
      </c>
      <c r="AR58" s="79">
        <f>IF(AN58="","",IF(OR(AO58&lt;&gt;"OK", AP58&lt;&gt;"OK", AQ58&lt;&gt;"OK"), "⚠️ REVISAR", "OK"))</f>
        <v/>
      </c>
    </row>
    <row r="59">
      <c r="A59" s="79">
        <f>IF('Ordenes_Odoo'!A59="","",'Ordenes_Odoo'!A59)</f>
        <v/>
      </c>
      <c r="B59" s="80">
        <f>IF('Ordenes_Odoo'!B59="","",'Ordenes_Odoo'!B59)</f>
        <v/>
      </c>
      <c r="C59" s="79">
        <f>IF('Ordenes_Odoo'!C59="","",'Ordenes_Odoo'!C59)</f>
        <v/>
      </c>
      <c r="D59" s="79">
        <f>IF('Ordenes_Odoo'!D59="","",'Ordenes_Odoo'!D59)</f>
        <v/>
      </c>
      <c r="E59" s="79">
        <f>IF('Ordenes_Odoo'!E59="","",'Ordenes_Odoo'!E59)</f>
        <v/>
      </c>
      <c r="F59" s="79">
        <f>IF('Ordenes_Odoo'!F59="","",'Ordenes_Odoo'!F59)</f>
        <v/>
      </c>
      <c r="G59" s="79">
        <f>IF('Ordenes_Odoo'!G59="","",'Ordenes_Odoo'!G59)</f>
        <v/>
      </c>
      <c r="H59" s="79">
        <f>IF('Ordenes_Odoo'!H59="","",'Ordenes_Odoo'!H59)</f>
        <v/>
      </c>
      <c r="I59" s="79">
        <f>IF('Ordenes_Odoo'!I59="","",'Ordenes_Odoo'!I59)</f>
        <v/>
      </c>
      <c r="J59" s="79">
        <f>IF('Ordenes_Odoo'!J59="","",'Ordenes_Odoo'!J59)</f>
        <v/>
      </c>
      <c r="K59" s="81">
        <f>IF('Ordenes_Odoo'!K59="","",'Ordenes_Odoo'!K59)</f>
        <v/>
      </c>
      <c r="L59" s="81">
        <f>IF('Ordenes_Odoo'!L59="","",'Ordenes_Odoo'!L59)</f>
        <v/>
      </c>
      <c r="M59" s="79">
        <f>IF('Ordenes_Odoo'!M59="","",'Ordenes_Odoo'!M59)</f>
        <v/>
      </c>
      <c r="N59" s="79">
        <f>IF('Ordenes_Odoo'!N59="","",'Ordenes_Odoo'!N59)</f>
        <v/>
      </c>
      <c r="O59" s="81">
        <f>IF('Ordenes_Odoo'!O59="","",'Ordenes_Odoo'!O59)</f>
        <v/>
      </c>
      <c r="P59" s="81">
        <f>IF('Ordenes_Odoo'!P59="","",'Ordenes_Odoo'!P59)</f>
        <v/>
      </c>
      <c r="Q59" s="79">
        <f>IF(A59="","",IFERROR(INDEX(Facturas_Odoo!$B:$B, MATCH(A59, Facturas_Odoo!$D:$D, 0)), "Sin Factura"))</f>
        <v/>
      </c>
      <c r="R59" s="80">
        <f>IF(Q59="Sin Factura","",IFERROR(INDEX(Facturas_Odoo!$A:$A, MATCH(Q59, Facturas_Odoo!$B:$B, 0)), ""))</f>
        <v/>
      </c>
      <c r="S59" s="79">
        <f>IF(Q59="Sin Factura","",IFERROR(_xlfn.XLOOKUP(1, (Facturas_Odoo!$D:$D=A59) * (Facturas_Odoo!$K:$K=I59), Facturas_Odoo!$L:$L, ""), ""))</f>
        <v/>
      </c>
      <c r="T59" s="81">
        <f>IF(Q59="Sin Factura",0,IFERROR(_xlfn.XLOOKUP(1, (Facturas_Odoo!$D:$D=A59) * (Facturas_Odoo!$K:$K=I59), Facturas_Odoo!$M:$M, 0), 0))</f>
        <v/>
      </c>
      <c r="U59" s="79">
        <f>IF(Q59="Sin Factura",0,IFERROR(_xlfn.XLOOKUP(1, (Facturas_Odoo!$D:$D=A59) * (Facturas_Odoo!$K:$K=I59), Facturas_Odoo!$N:$N, 0), 0))</f>
        <v/>
      </c>
      <c r="V59" s="79">
        <f>IF(Q59="Sin Factura",0,IFERROR(_xlfn.XLOOKUP(1, (Facturas_Odoo!$D:$D=A59) * (Facturas_Odoo!$K:$K=I59), Facturas_Odoo!$O:$O, 0), 0))</f>
        <v/>
      </c>
      <c r="W59" s="81">
        <f>IF(Q59="Sin Factura",0,IFERROR(_xlfn.XLOOKUP(1, (Facturas_Odoo!$D:$D=A59) * (Facturas_Odoo!$K:$K=I59), Facturas_Odoo!$Q:$Q, 0), 0))</f>
        <v/>
      </c>
      <c r="X59" s="79">
        <f>IF(OR(Q59="Sin Factura",Q59=""),"",IFERROR(INDEX(Pagos_Odoo!$B:$B, MATCH(Q59, Pagos_Odoo!$I:$I, 0)), "Sin Pago"))</f>
        <v/>
      </c>
      <c r="Y59" s="79">
        <f>IF(X59="Sin Pago","",IFERROR(INDEX(Pagos_Odoo!$C:$C, MATCH(X59, Pagos_Odoo!$B:$B, 0)), ""))</f>
        <v/>
      </c>
      <c r="Z59" s="80">
        <f>IF(X59="Sin Pago","",IFERROR(INDEX(Pagos_Odoo!$A:$A, MATCH(X59, Pagos_Odoo!$B:$B, 0)), ""))</f>
        <v/>
      </c>
      <c r="AA59" s="79">
        <f>IF(X59="Sin Pago","",IFERROR(INDEX(Pagos_Odoo!$F:$F, MATCH(X59, Pagos_Odoo!$B:$B, 0)), ""))</f>
        <v/>
      </c>
      <c r="AB59" s="81">
        <f>IF(X59="Sin Pago",0,IFERROR(INDEX(Pagos_Odoo!$E:$E, MATCH(X59, Pagos_Odoo!$B:$B, 0)), 0))</f>
        <v/>
      </c>
      <c r="AC59" s="79">
        <f>IF(X59="Sin Pago","",IFERROR(INDEX(Pagos_Odoo!$G:$G, MATCH(X59, Pagos_Odoo!$B:$B, 0)), ""))</f>
        <v/>
      </c>
      <c r="AD59" s="82" t="n">
        <v>0</v>
      </c>
      <c r="AE59" s="82" t="n"/>
      <c r="AF59" s="82" t="n"/>
      <c r="AG59" s="82">
        <f>IF(AN59="","",AD59+AE59+AF59)</f>
        <v/>
      </c>
      <c r="AH59" s="81">
        <f>IF(AN59="","",P59*(1-AG59))</f>
        <v/>
      </c>
      <c r="AI59" s="81">
        <f>IF(AN59="","",IF(Q59="Sin Factura",0,IFERROR(INDEX(Facturas_Odoo!$H:$H, MATCH(Q59, Facturas_Odoo!$B:$B, 0)), 0)*(1-AG59)))</f>
        <v/>
      </c>
      <c r="AJ59" s="81">
        <f>IF(AN59="","",_xlfn.LET(idVenta, AN59&amp;"",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9" s="81">
        <f>IF(AN59="","",AH59-AJ59)</f>
        <v/>
      </c>
      <c r="AL59" s="81">
        <f>IF(AN59="","",IF(Q59="Sin Factura","",AI59-AJ59))</f>
        <v/>
      </c>
      <c r="AM59" s="81">
        <f>IF(AN59="","",IF(Q59="Sin Factura",0,P59-IFERROR(INDEX(Facturas_Odoo!$H:$H, MATCH(Q59, Facturas_Odoo!$B:$B, 0)), 0)))</f>
        <v/>
      </c>
      <c r="AN59" s="79">
        <f>IF(AND(A59="", J59=""), "", IF(A59&lt;&gt;"", VALUE(MID(A59,2,LEN(A59))), AN58))</f>
        <v/>
      </c>
      <c r="AO59" s="79">
        <f>IF(AN59="","",IF(AD59=0,"OK",_xlfn.LET(monedaPago, IF(AA59="","USD",AA59), limitePermitido, IFERROR(VLOOKUP(monedaPago, Configuración!$A$2:$B$3, 2, FALSE), 0.15), IF(AD59&gt;limitePermitido, "ALERTA: EXCESO (" &amp; TEXT(limitePermitido, "0%") &amp; " máx)", "OK"))))</f>
        <v/>
      </c>
      <c r="AP59" s="79">
        <f>IF(AN59="","",IF(AE59=0,"OK",_xlfn.LET(fechaPago, Z59, fechaFactura, R59, diasCredito, IF(E59="Pago inmediato", 0, IFERROR(VALUE(MID(E59, 1, SEARCH(" ", E59)-1)),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9" s="79">
        <f>IF(AN59="","",IF(AND(N59&gt;0, AG59&gt;0), IF(Configuración!$K$2="NO", "ALERTA: DESCUENTO DOBLE NO PERMITIDO", "OK"), "OK"))</f>
        <v/>
      </c>
      <c r="AR59" s="79">
        <f>IF(AN59="","",IF(OR(AO59&lt;&gt;"OK", AP59&lt;&gt;"OK", AQ59&lt;&gt;"OK"), "⚠️ REVISAR", "OK"))</f>
        <v/>
      </c>
    </row>
    <row r="60">
      <c r="A60" s="79">
        <f>IF('Ordenes_Odoo'!A60="","",'Ordenes_Odoo'!A60)</f>
        <v/>
      </c>
      <c r="B60" s="80">
        <f>IF('Ordenes_Odoo'!B60="","",'Ordenes_Odoo'!B60)</f>
        <v/>
      </c>
      <c r="C60" s="79">
        <f>IF('Ordenes_Odoo'!C60="","",'Ordenes_Odoo'!C60)</f>
        <v/>
      </c>
      <c r="D60" s="79">
        <f>IF('Ordenes_Odoo'!D60="","",'Ordenes_Odoo'!D60)</f>
        <v/>
      </c>
      <c r="E60" s="79">
        <f>IF('Ordenes_Odoo'!E60="","",'Ordenes_Odoo'!E60)</f>
        <v/>
      </c>
      <c r="F60" s="79">
        <f>IF('Ordenes_Odoo'!F60="","",'Ordenes_Odoo'!F60)</f>
        <v/>
      </c>
      <c r="G60" s="79">
        <f>IF('Ordenes_Odoo'!G60="","",'Ordenes_Odoo'!G60)</f>
        <v/>
      </c>
      <c r="H60" s="79">
        <f>IF('Ordenes_Odoo'!H60="","",'Ordenes_Odoo'!H60)</f>
        <v/>
      </c>
      <c r="I60" s="79">
        <f>IF('Ordenes_Odoo'!I60="","",'Ordenes_Odoo'!I60)</f>
        <v/>
      </c>
      <c r="J60" s="79">
        <f>IF('Ordenes_Odoo'!J60="","",'Ordenes_Odoo'!J60)</f>
        <v/>
      </c>
      <c r="K60" s="81">
        <f>IF('Ordenes_Odoo'!K60="","",'Ordenes_Odoo'!K60)</f>
        <v/>
      </c>
      <c r="L60" s="81">
        <f>IF('Ordenes_Odoo'!L60="","",'Ordenes_Odoo'!L60)</f>
        <v/>
      </c>
      <c r="M60" s="79">
        <f>IF('Ordenes_Odoo'!M60="","",'Ordenes_Odoo'!M60)</f>
        <v/>
      </c>
      <c r="N60" s="79">
        <f>IF('Ordenes_Odoo'!N60="","",'Ordenes_Odoo'!N60)</f>
        <v/>
      </c>
      <c r="O60" s="81">
        <f>IF('Ordenes_Odoo'!O60="","",'Ordenes_Odoo'!O60)</f>
        <v/>
      </c>
      <c r="P60" s="81">
        <f>IF('Ordenes_Odoo'!P60="","",'Ordenes_Odoo'!P60)</f>
        <v/>
      </c>
      <c r="Q60" s="79">
        <f>IF(A60="","",IFERROR(INDEX(Facturas_Odoo!$B:$B, MATCH(A60, Facturas_Odoo!$D:$D, 0)), "Sin Factura"))</f>
        <v/>
      </c>
      <c r="R60" s="80">
        <f>IF(Q60="Sin Factura","",IFERROR(INDEX(Facturas_Odoo!$A:$A, MATCH(Q60, Facturas_Odoo!$B:$B, 0)), ""))</f>
        <v/>
      </c>
      <c r="S60" s="79">
        <f>IF(Q60="Sin Factura","",IFERROR(_xlfn.XLOOKUP(1, (Facturas_Odoo!$D:$D=A60) * (Facturas_Odoo!$K:$K=I60), Facturas_Odoo!$L:$L, ""), ""))</f>
        <v/>
      </c>
      <c r="T60" s="81">
        <f>IF(Q60="Sin Factura",0,IFERROR(_xlfn.XLOOKUP(1, (Facturas_Odoo!$D:$D=A60) * (Facturas_Odoo!$K:$K=I60), Facturas_Odoo!$M:$M, 0), 0))</f>
        <v/>
      </c>
      <c r="U60" s="79">
        <f>IF(Q60="Sin Factura",0,IFERROR(_xlfn.XLOOKUP(1, (Facturas_Odoo!$D:$D=A60) * (Facturas_Odoo!$K:$K=I60), Facturas_Odoo!$N:$N, 0), 0))</f>
        <v/>
      </c>
      <c r="V60" s="79">
        <f>IF(Q60="Sin Factura",0,IFERROR(_xlfn.XLOOKUP(1, (Facturas_Odoo!$D:$D=A60) * (Facturas_Odoo!$K:$K=I60), Facturas_Odoo!$O:$O, 0), 0))</f>
        <v/>
      </c>
      <c r="W60" s="81">
        <f>IF(Q60="Sin Factura",0,IFERROR(_xlfn.XLOOKUP(1, (Facturas_Odoo!$D:$D=A60) * (Facturas_Odoo!$K:$K=I60), Facturas_Odoo!$Q:$Q, 0), 0))</f>
        <v/>
      </c>
      <c r="X60" s="79">
        <f>IF(OR(Q60="Sin Factura",Q60=""),"",IFERROR(INDEX(Pagos_Odoo!$B:$B, MATCH(Q60, Pagos_Odoo!$I:$I, 0)), "Sin Pago"))</f>
        <v/>
      </c>
      <c r="Y60" s="79">
        <f>IF(X60="Sin Pago","",IFERROR(INDEX(Pagos_Odoo!$C:$C, MATCH(X60, Pagos_Odoo!$B:$B, 0)), ""))</f>
        <v/>
      </c>
      <c r="Z60" s="80">
        <f>IF(X60="Sin Pago","",IFERROR(INDEX(Pagos_Odoo!$A:$A, MATCH(X60, Pagos_Odoo!$B:$B, 0)), ""))</f>
        <v/>
      </c>
      <c r="AA60" s="79">
        <f>IF(X60="Sin Pago","",IFERROR(INDEX(Pagos_Odoo!$F:$F, MATCH(X60, Pagos_Odoo!$B:$B, 0)), ""))</f>
        <v/>
      </c>
      <c r="AB60" s="81">
        <f>IF(X60="Sin Pago",0,IFERROR(INDEX(Pagos_Odoo!$E:$E, MATCH(X60, Pagos_Odoo!$B:$B, 0)), 0))</f>
        <v/>
      </c>
      <c r="AC60" s="79">
        <f>IF(X60="Sin Pago","",IFERROR(INDEX(Pagos_Odoo!$G:$G, MATCH(X60, Pagos_Odoo!$B:$B, 0)), ""))</f>
        <v/>
      </c>
      <c r="AD60" s="82" t="n">
        <v>0</v>
      </c>
      <c r="AE60" s="82" t="n"/>
      <c r="AF60" s="82" t="n"/>
      <c r="AG60" s="82">
        <f>IF(AN60="","",AD60+AE60+AF60)</f>
        <v/>
      </c>
      <c r="AH60" s="81">
        <f>IF(AN60="","",P60*(1-AG60))</f>
        <v/>
      </c>
      <c r="AI60" s="81">
        <f>IF(AN60="","",IF(Q60="Sin Factura",0,IFERROR(INDEX(Facturas_Odoo!$H:$H, MATCH(Q60, Facturas_Odoo!$B:$B, 0)), 0)*(1-AG60)))</f>
        <v/>
      </c>
      <c r="AJ60" s="81">
        <f>IF(AN60="","",_xlfn.LET(idVenta, AN60&amp;"",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0" s="81">
        <f>IF(AN60="","",AH60-AJ60)</f>
        <v/>
      </c>
      <c r="AL60" s="81">
        <f>IF(AN60="","",IF(Q60="Sin Factura","",AI60-AJ60))</f>
        <v/>
      </c>
      <c r="AM60" s="81">
        <f>IF(AN60="","",IF(Q60="Sin Factura",0,P60-IFERROR(INDEX(Facturas_Odoo!$H:$H, MATCH(Q60, Facturas_Odoo!$B:$B, 0)), 0)))</f>
        <v/>
      </c>
      <c r="AN60" s="79">
        <f>IF(AND(A60="", J60=""), "", IF(A60&lt;&gt;"", VALUE(MID(A60,2,LEN(A60))), AN59))</f>
        <v/>
      </c>
      <c r="AO60" s="79">
        <f>IF(AN60="","",IF(AD60=0,"OK",_xlfn.LET(monedaPago, IF(AA60="","USD",AA60), limitePermitido, IFERROR(VLOOKUP(monedaPago, Configuración!$A$2:$B$3, 2, FALSE), 0.15), IF(AD60&gt;limitePermitido, "ALERTA: EXCESO (" &amp; TEXT(limitePermitido, "0%") &amp; " máx)", "OK"))))</f>
        <v/>
      </c>
      <c r="AP60" s="79">
        <f>IF(AN60="","",IF(AE60=0,"OK",_xlfn.LET(fechaPago, Z60, fechaFactura, R60, diasCredito, IF(E60="Pago inmediato", 0, IFERROR(VALUE(MID(E60, 1, SEARCH(" ", E60)-1)),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0" s="79">
        <f>IF(AN60="","",IF(AND(N60&gt;0, AG60&gt;0), IF(Configuración!$K$2="NO", "ALERTA: DESCUENTO DOBLE NO PERMITIDO", "OK"), "OK"))</f>
        <v/>
      </c>
      <c r="AR60" s="79">
        <f>IF(AN60="","",IF(OR(AO60&lt;&gt;"OK", AP60&lt;&gt;"OK", AQ60&lt;&gt;"OK"), "⚠️ REVISAR", "OK"))</f>
        <v/>
      </c>
    </row>
    <row r="61">
      <c r="A61" s="79">
        <f>IF('Ordenes_Odoo'!A61="","",'Ordenes_Odoo'!A61)</f>
        <v/>
      </c>
      <c r="B61" s="80">
        <f>IF('Ordenes_Odoo'!B61="","",'Ordenes_Odoo'!B61)</f>
        <v/>
      </c>
      <c r="C61" s="79">
        <f>IF('Ordenes_Odoo'!C61="","",'Ordenes_Odoo'!C61)</f>
        <v/>
      </c>
      <c r="D61" s="79">
        <f>IF('Ordenes_Odoo'!D61="","",'Ordenes_Odoo'!D61)</f>
        <v/>
      </c>
      <c r="E61" s="79">
        <f>IF('Ordenes_Odoo'!E61="","",'Ordenes_Odoo'!E61)</f>
        <v/>
      </c>
      <c r="F61" s="79">
        <f>IF('Ordenes_Odoo'!F61="","",'Ordenes_Odoo'!F61)</f>
        <v/>
      </c>
      <c r="G61" s="79">
        <f>IF('Ordenes_Odoo'!G61="","",'Ordenes_Odoo'!G61)</f>
        <v/>
      </c>
      <c r="H61" s="79">
        <f>IF('Ordenes_Odoo'!H61="","",'Ordenes_Odoo'!H61)</f>
        <v/>
      </c>
      <c r="I61" s="79">
        <f>IF('Ordenes_Odoo'!I61="","",'Ordenes_Odoo'!I61)</f>
        <v/>
      </c>
      <c r="J61" s="79">
        <f>IF('Ordenes_Odoo'!J61="","",'Ordenes_Odoo'!J61)</f>
        <v/>
      </c>
      <c r="K61" s="81">
        <f>IF('Ordenes_Odoo'!K61="","",'Ordenes_Odoo'!K61)</f>
        <v/>
      </c>
      <c r="L61" s="81">
        <f>IF('Ordenes_Odoo'!L61="","",'Ordenes_Odoo'!L61)</f>
        <v/>
      </c>
      <c r="M61" s="79">
        <f>IF('Ordenes_Odoo'!M61="","",'Ordenes_Odoo'!M61)</f>
        <v/>
      </c>
      <c r="N61" s="79">
        <f>IF('Ordenes_Odoo'!N61="","",'Ordenes_Odoo'!N61)</f>
        <v/>
      </c>
      <c r="O61" s="81">
        <f>IF('Ordenes_Odoo'!O61="","",'Ordenes_Odoo'!O61)</f>
        <v/>
      </c>
      <c r="P61" s="81">
        <f>IF('Ordenes_Odoo'!P61="","",'Ordenes_Odoo'!P61)</f>
        <v/>
      </c>
      <c r="Q61" s="79">
        <f>IF(A61="","",IFERROR(INDEX(Facturas_Odoo!$B:$B, MATCH(A61, Facturas_Odoo!$D:$D, 0)), "Sin Factura"))</f>
        <v/>
      </c>
      <c r="R61" s="80">
        <f>IF(Q61="Sin Factura","",IFERROR(INDEX(Facturas_Odoo!$A:$A, MATCH(Q61, Facturas_Odoo!$B:$B, 0)), ""))</f>
        <v/>
      </c>
      <c r="S61" s="79">
        <f>IF(Q61="Sin Factura","",IFERROR(_xlfn.XLOOKUP(1, (Facturas_Odoo!$D:$D=A61) * (Facturas_Odoo!$K:$K=I61), Facturas_Odoo!$L:$L, ""), ""))</f>
        <v/>
      </c>
      <c r="T61" s="81">
        <f>IF(Q61="Sin Factura",0,IFERROR(_xlfn.XLOOKUP(1, (Facturas_Odoo!$D:$D=A61) * (Facturas_Odoo!$K:$K=I61), Facturas_Odoo!$M:$M, 0), 0))</f>
        <v/>
      </c>
      <c r="U61" s="79">
        <f>IF(Q61="Sin Factura",0,IFERROR(_xlfn.XLOOKUP(1, (Facturas_Odoo!$D:$D=A61) * (Facturas_Odoo!$K:$K=I61), Facturas_Odoo!$N:$N, 0), 0))</f>
        <v/>
      </c>
      <c r="V61" s="79">
        <f>IF(Q61="Sin Factura",0,IFERROR(_xlfn.XLOOKUP(1, (Facturas_Odoo!$D:$D=A61) * (Facturas_Odoo!$K:$K=I61), Facturas_Odoo!$O:$O, 0), 0))</f>
        <v/>
      </c>
      <c r="W61" s="81">
        <f>IF(Q61="Sin Factura",0,IFERROR(_xlfn.XLOOKUP(1, (Facturas_Odoo!$D:$D=A61) * (Facturas_Odoo!$K:$K=I61), Facturas_Odoo!$Q:$Q, 0), 0))</f>
        <v/>
      </c>
      <c r="X61" s="79">
        <f>IF(OR(Q61="Sin Factura",Q61=""),"",IFERROR(INDEX(Pagos_Odoo!$B:$B, MATCH(Q61, Pagos_Odoo!$I:$I, 0)), "Sin Pago"))</f>
        <v/>
      </c>
      <c r="Y61" s="79">
        <f>IF(X61="Sin Pago","",IFERROR(INDEX(Pagos_Odoo!$C:$C, MATCH(X61, Pagos_Odoo!$B:$B, 0)), ""))</f>
        <v/>
      </c>
      <c r="Z61" s="80">
        <f>IF(X61="Sin Pago","",IFERROR(INDEX(Pagos_Odoo!$A:$A, MATCH(X61, Pagos_Odoo!$B:$B, 0)), ""))</f>
        <v/>
      </c>
      <c r="AA61" s="79">
        <f>IF(X61="Sin Pago","",IFERROR(INDEX(Pagos_Odoo!$F:$F, MATCH(X61, Pagos_Odoo!$B:$B, 0)), ""))</f>
        <v/>
      </c>
      <c r="AB61" s="81">
        <f>IF(X61="Sin Pago",0,IFERROR(INDEX(Pagos_Odoo!$E:$E, MATCH(X61, Pagos_Odoo!$B:$B, 0)), 0))</f>
        <v/>
      </c>
      <c r="AC61" s="79">
        <f>IF(X61="Sin Pago","",IFERROR(INDEX(Pagos_Odoo!$G:$G, MATCH(X61, Pagos_Odoo!$B:$B, 0)), ""))</f>
        <v/>
      </c>
      <c r="AD61" s="82" t="n">
        <v>0</v>
      </c>
      <c r="AE61" s="82" t="n"/>
      <c r="AF61" s="82" t="n"/>
      <c r="AG61" s="82">
        <f>IF(AN61="","",AD61+AE61+AF61)</f>
        <v/>
      </c>
      <c r="AH61" s="81">
        <f>IF(AN61="","",P61*(1-AG61))</f>
        <v/>
      </c>
      <c r="AI61" s="81">
        <f>IF(AN61="","",IF(Q61="Sin Factura",0,IFERROR(INDEX(Facturas_Odoo!$H:$H, MATCH(Q61, Facturas_Odoo!$B:$B, 0)), 0)*(1-AG61)))</f>
        <v/>
      </c>
      <c r="AJ61" s="81">
        <f>IF(AN61="","",_xlfn.LET(idVenta, AN61&amp;"",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1" s="81">
        <f>IF(AN61="","",AH61-AJ61)</f>
        <v/>
      </c>
      <c r="AL61" s="81">
        <f>IF(AN61="","",IF(Q61="Sin Factura","",AI61-AJ61))</f>
        <v/>
      </c>
      <c r="AM61" s="81">
        <f>IF(AN61="","",IF(Q61="Sin Factura",0,P61-IFERROR(INDEX(Facturas_Odoo!$H:$H, MATCH(Q61, Facturas_Odoo!$B:$B, 0)), 0)))</f>
        <v/>
      </c>
      <c r="AN61" s="79">
        <f>IF(AND(A61="", J61=""), "", IF(A61&lt;&gt;"", VALUE(MID(A61,2,LEN(A61))), AN60))</f>
        <v/>
      </c>
      <c r="AO61" s="79">
        <f>IF(AN61="","",IF(AD61=0,"OK",_xlfn.LET(monedaPago, IF(AA61="","USD",AA61), limitePermitido, IFERROR(VLOOKUP(monedaPago, Configuración!$A$2:$B$3, 2, FALSE), 0.15), IF(AD61&gt;limitePermitido, "ALERTA: EXCESO (" &amp; TEXT(limitePermitido, "0%") &amp; " máx)", "OK"))))</f>
        <v/>
      </c>
      <c r="AP61" s="79">
        <f>IF(AN61="","",IF(AE61=0,"OK",_xlfn.LET(fechaPago, Z61, fechaFactura, R61, diasCredito, IF(E61="Pago inmediato", 0, IFERROR(VALUE(MID(E61, 1, SEARCH(" ", E61)-1)),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1" s="79">
        <f>IF(AN61="","",IF(AND(N61&gt;0, AG61&gt;0), IF(Configuración!$K$2="NO", "ALERTA: DESCUENTO DOBLE NO PERMITIDO", "OK"), "OK"))</f>
        <v/>
      </c>
      <c r="AR61" s="79">
        <f>IF(AN61="","",IF(OR(AO61&lt;&gt;"OK", AP61&lt;&gt;"OK", AQ61&lt;&gt;"OK"), "⚠️ REVISAR", "OK"))</f>
        <v/>
      </c>
    </row>
    <row r="62">
      <c r="A62" s="79">
        <f>IF('Ordenes_Odoo'!A62="","",'Ordenes_Odoo'!A62)</f>
        <v/>
      </c>
      <c r="B62" s="80">
        <f>IF('Ordenes_Odoo'!B62="","",'Ordenes_Odoo'!B62)</f>
        <v/>
      </c>
      <c r="C62" s="79">
        <f>IF('Ordenes_Odoo'!C62="","",'Ordenes_Odoo'!C62)</f>
        <v/>
      </c>
      <c r="D62" s="79">
        <f>IF('Ordenes_Odoo'!D62="","",'Ordenes_Odoo'!D62)</f>
        <v/>
      </c>
      <c r="E62" s="79">
        <f>IF('Ordenes_Odoo'!E62="","",'Ordenes_Odoo'!E62)</f>
        <v/>
      </c>
      <c r="F62" s="79">
        <f>IF('Ordenes_Odoo'!F62="","",'Ordenes_Odoo'!F62)</f>
        <v/>
      </c>
      <c r="G62" s="79">
        <f>IF('Ordenes_Odoo'!G62="","",'Ordenes_Odoo'!G62)</f>
        <v/>
      </c>
      <c r="H62" s="79">
        <f>IF('Ordenes_Odoo'!H62="","",'Ordenes_Odoo'!H62)</f>
        <v/>
      </c>
      <c r="I62" s="79">
        <f>IF('Ordenes_Odoo'!I62="","",'Ordenes_Odoo'!I62)</f>
        <v/>
      </c>
      <c r="J62" s="79">
        <f>IF('Ordenes_Odoo'!J62="","",'Ordenes_Odoo'!J62)</f>
        <v/>
      </c>
      <c r="K62" s="81">
        <f>IF('Ordenes_Odoo'!K62="","",'Ordenes_Odoo'!K62)</f>
        <v/>
      </c>
      <c r="L62" s="81">
        <f>IF('Ordenes_Odoo'!L62="","",'Ordenes_Odoo'!L62)</f>
        <v/>
      </c>
      <c r="M62" s="79">
        <f>IF('Ordenes_Odoo'!M62="","",'Ordenes_Odoo'!M62)</f>
        <v/>
      </c>
      <c r="N62" s="79">
        <f>IF('Ordenes_Odoo'!N62="","",'Ordenes_Odoo'!N62)</f>
        <v/>
      </c>
      <c r="O62" s="81">
        <f>IF('Ordenes_Odoo'!O62="","",'Ordenes_Odoo'!O62)</f>
        <v/>
      </c>
      <c r="P62" s="81">
        <f>IF('Ordenes_Odoo'!P62="","",'Ordenes_Odoo'!P62)</f>
        <v/>
      </c>
      <c r="Q62" s="79">
        <f>IF(A62="","",IFERROR(INDEX(Facturas_Odoo!$B:$B, MATCH(A62, Facturas_Odoo!$D:$D, 0)), "Sin Factura"))</f>
        <v/>
      </c>
      <c r="R62" s="80">
        <f>IF(Q62="Sin Factura","",IFERROR(INDEX(Facturas_Odoo!$A:$A, MATCH(Q62, Facturas_Odoo!$B:$B, 0)), ""))</f>
        <v/>
      </c>
      <c r="S62" s="79">
        <f>IF(Q62="Sin Factura","",IFERROR(_xlfn.XLOOKUP(1, (Facturas_Odoo!$D:$D=A62) * (Facturas_Odoo!$K:$K=I62), Facturas_Odoo!$L:$L, ""), ""))</f>
        <v/>
      </c>
      <c r="T62" s="81">
        <f>IF(Q62="Sin Factura",0,IFERROR(_xlfn.XLOOKUP(1, (Facturas_Odoo!$D:$D=A62) * (Facturas_Odoo!$K:$K=I62), Facturas_Odoo!$M:$M, 0), 0))</f>
        <v/>
      </c>
      <c r="U62" s="79">
        <f>IF(Q62="Sin Factura",0,IFERROR(_xlfn.XLOOKUP(1, (Facturas_Odoo!$D:$D=A62) * (Facturas_Odoo!$K:$K=I62), Facturas_Odoo!$N:$N, 0), 0))</f>
        <v/>
      </c>
      <c r="V62" s="79">
        <f>IF(Q62="Sin Factura",0,IFERROR(_xlfn.XLOOKUP(1, (Facturas_Odoo!$D:$D=A62) * (Facturas_Odoo!$K:$K=I62), Facturas_Odoo!$O:$O, 0), 0))</f>
        <v/>
      </c>
      <c r="W62" s="81">
        <f>IF(Q62="Sin Factura",0,IFERROR(_xlfn.XLOOKUP(1, (Facturas_Odoo!$D:$D=A62) * (Facturas_Odoo!$K:$K=I62), Facturas_Odoo!$Q:$Q, 0), 0))</f>
        <v/>
      </c>
      <c r="X62" s="79">
        <f>IF(OR(Q62="Sin Factura",Q62=""),"",IFERROR(INDEX(Pagos_Odoo!$B:$B, MATCH(Q62, Pagos_Odoo!$I:$I, 0)), "Sin Pago"))</f>
        <v/>
      </c>
      <c r="Y62" s="79">
        <f>IF(X62="Sin Pago","",IFERROR(INDEX(Pagos_Odoo!$C:$C, MATCH(X62, Pagos_Odoo!$B:$B, 0)), ""))</f>
        <v/>
      </c>
      <c r="Z62" s="80">
        <f>IF(X62="Sin Pago","",IFERROR(INDEX(Pagos_Odoo!$A:$A, MATCH(X62, Pagos_Odoo!$B:$B, 0)), ""))</f>
        <v/>
      </c>
      <c r="AA62" s="79">
        <f>IF(X62="Sin Pago","",IFERROR(INDEX(Pagos_Odoo!$F:$F, MATCH(X62, Pagos_Odoo!$B:$B, 0)), ""))</f>
        <v/>
      </c>
      <c r="AB62" s="81">
        <f>IF(X62="Sin Pago",0,IFERROR(INDEX(Pagos_Odoo!$E:$E, MATCH(X62, Pagos_Odoo!$B:$B, 0)), 0))</f>
        <v/>
      </c>
      <c r="AC62" s="79">
        <f>IF(X62="Sin Pago","",IFERROR(INDEX(Pagos_Odoo!$G:$G, MATCH(X62, Pagos_Odoo!$B:$B, 0)), ""))</f>
        <v/>
      </c>
      <c r="AD62" s="82" t="n">
        <v>0</v>
      </c>
      <c r="AE62" s="82" t="n"/>
      <c r="AF62" s="82" t="n"/>
      <c r="AG62" s="82">
        <f>IF(AN62="","",AD62+AE62+AF62)</f>
        <v/>
      </c>
      <c r="AH62" s="81">
        <f>IF(AN62="","",P62*(1-AG62))</f>
        <v/>
      </c>
      <c r="AI62" s="81">
        <f>IF(AN62="","",IF(Q62="Sin Factura",0,IFERROR(INDEX(Facturas_Odoo!$H:$H, MATCH(Q62, Facturas_Odoo!$B:$B, 0)), 0)*(1-AG62)))</f>
        <v/>
      </c>
      <c r="AJ62" s="81">
        <f>IF(AN62="","",_xlfn.LET(idVenta, AN62&amp;"",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2" s="81">
        <f>IF(AN62="","",AH62-AJ62)</f>
        <v/>
      </c>
      <c r="AL62" s="81">
        <f>IF(AN62="","",IF(Q62="Sin Factura","",AI62-AJ62))</f>
        <v/>
      </c>
      <c r="AM62" s="81">
        <f>IF(AN62="","",IF(Q62="Sin Factura",0,P62-IFERROR(INDEX(Facturas_Odoo!$H:$H, MATCH(Q62, Facturas_Odoo!$B:$B, 0)), 0)))</f>
        <v/>
      </c>
      <c r="AN62" s="79">
        <f>IF(AND(A62="", J62=""), "", IF(A62&lt;&gt;"", VALUE(MID(A62,2,LEN(A62))), AN61))</f>
        <v/>
      </c>
      <c r="AO62" s="79">
        <f>IF(AN62="","",IF(AD62=0,"OK",_xlfn.LET(monedaPago, IF(AA62="","USD",AA62), limitePermitido, IFERROR(VLOOKUP(monedaPago, Configuración!$A$2:$B$3, 2, FALSE), 0.15), IF(AD62&gt;limitePermitido, "ALERTA: EXCESO (" &amp; TEXT(limitePermitido, "0%") &amp; " máx)", "OK"))))</f>
        <v/>
      </c>
      <c r="AP62" s="79">
        <f>IF(AN62="","",IF(AE62=0,"OK",_xlfn.LET(fechaPago, Z62, fechaFactura, R62, diasCredito, IF(E62="Pago inmediato", 0, IFERROR(VALUE(MID(E62, 1, SEARCH(" ", E62)-1)),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2" s="79">
        <f>IF(AN62="","",IF(AND(N62&gt;0, AG62&gt;0), IF(Configuración!$K$2="NO", "ALERTA: DESCUENTO DOBLE NO PERMITIDO", "OK"), "OK"))</f>
        <v/>
      </c>
      <c r="AR62" s="79">
        <f>IF(AN62="","",IF(OR(AO62&lt;&gt;"OK", AP62&lt;&gt;"OK", AQ62&lt;&gt;"OK"), "⚠️ REVISAR", "OK"))</f>
        <v/>
      </c>
    </row>
    <row r="63">
      <c r="A63" s="79">
        <f>IF('Ordenes_Odoo'!A63="","",'Ordenes_Odoo'!A63)</f>
        <v/>
      </c>
      <c r="B63" s="80">
        <f>IF('Ordenes_Odoo'!B63="","",'Ordenes_Odoo'!B63)</f>
        <v/>
      </c>
      <c r="C63" s="79">
        <f>IF('Ordenes_Odoo'!C63="","",'Ordenes_Odoo'!C63)</f>
        <v/>
      </c>
      <c r="D63" s="79">
        <f>IF('Ordenes_Odoo'!D63="","",'Ordenes_Odoo'!D63)</f>
        <v/>
      </c>
      <c r="E63" s="79">
        <f>IF('Ordenes_Odoo'!E63="","",'Ordenes_Odoo'!E63)</f>
        <v/>
      </c>
      <c r="F63" s="79">
        <f>IF('Ordenes_Odoo'!F63="","",'Ordenes_Odoo'!F63)</f>
        <v/>
      </c>
      <c r="G63" s="79">
        <f>IF('Ordenes_Odoo'!G63="","",'Ordenes_Odoo'!G63)</f>
        <v/>
      </c>
      <c r="H63" s="79">
        <f>IF('Ordenes_Odoo'!H63="","",'Ordenes_Odoo'!H63)</f>
        <v/>
      </c>
      <c r="I63" s="79">
        <f>IF('Ordenes_Odoo'!I63="","",'Ordenes_Odoo'!I63)</f>
        <v/>
      </c>
      <c r="J63" s="79">
        <f>IF('Ordenes_Odoo'!J63="","",'Ordenes_Odoo'!J63)</f>
        <v/>
      </c>
      <c r="K63" s="81">
        <f>IF('Ordenes_Odoo'!K63="","",'Ordenes_Odoo'!K63)</f>
        <v/>
      </c>
      <c r="L63" s="81">
        <f>IF('Ordenes_Odoo'!L63="","",'Ordenes_Odoo'!L63)</f>
        <v/>
      </c>
      <c r="M63" s="79">
        <f>IF('Ordenes_Odoo'!M63="","",'Ordenes_Odoo'!M63)</f>
        <v/>
      </c>
      <c r="N63" s="79">
        <f>IF('Ordenes_Odoo'!N63="","",'Ordenes_Odoo'!N63)</f>
        <v/>
      </c>
      <c r="O63" s="81">
        <f>IF('Ordenes_Odoo'!O63="","",'Ordenes_Odoo'!O63)</f>
        <v/>
      </c>
      <c r="P63" s="81">
        <f>IF('Ordenes_Odoo'!P63="","",'Ordenes_Odoo'!P63)</f>
        <v/>
      </c>
      <c r="Q63" s="79">
        <f>IF(A63="","",IFERROR(INDEX(Facturas_Odoo!$B:$B, MATCH(A63, Facturas_Odoo!$D:$D, 0)), "Sin Factura"))</f>
        <v/>
      </c>
      <c r="R63" s="80">
        <f>IF(Q63="Sin Factura","",IFERROR(INDEX(Facturas_Odoo!$A:$A, MATCH(Q63, Facturas_Odoo!$B:$B, 0)), ""))</f>
        <v/>
      </c>
      <c r="S63" s="79">
        <f>IF(Q63="Sin Factura","",IFERROR(_xlfn.XLOOKUP(1, (Facturas_Odoo!$D:$D=A63) * (Facturas_Odoo!$K:$K=I63), Facturas_Odoo!$L:$L, ""), ""))</f>
        <v/>
      </c>
      <c r="T63" s="81">
        <f>IF(Q63="Sin Factura",0,IFERROR(_xlfn.XLOOKUP(1, (Facturas_Odoo!$D:$D=A63) * (Facturas_Odoo!$K:$K=I63), Facturas_Odoo!$M:$M, 0), 0))</f>
        <v/>
      </c>
      <c r="U63" s="79">
        <f>IF(Q63="Sin Factura",0,IFERROR(_xlfn.XLOOKUP(1, (Facturas_Odoo!$D:$D=A63) * (Facturas_Odoo!$K:$K=I63), Facturas_Odoo!$N:$N, 0), 0))</f>
        <v/>
      </c>
      <c r="V63" s="79">
        <f>IF(Q63="Sin Factura",0,IFERROR(_xlfn.XLOOKUP(1, (Facturas_Odoo!$D:$D=A63) * (Facturas_Odoo!$K:$K=I63), Facturas_Odoo!$O:$O, 0), 0))</f>
        <v/>
      </c>
      <c r="W63" s="81">
        <f>IF(Q63="Sin Factura",0,IFERROR(_xlfn.XLOOKUP(1, (Facturas_Odoo!$D:$D=A63) * (Facturas_Odoo!$K:$K=I63), Facturas_Odoo!$Q:$Q, 0), 0))</f>
        <v/>
      </c>
      <c r="X63" s="79">
        <f>IF(OR(Q63="Sin Factura",Q63=""),"",IFERROR(INDEX(Pagos_Odoo!$B:$B, MATCH(Q63, Pagos_Odoo!$I:$I, 0)), "Sin Pago"))</f>
        <v/>
      </c>
      <c r="Y63" s="79">
        <f>IF(X63="Sin Pago","",IFERROR(INDEX(Pagos_Odoo!$C:$C, MATCH(X63, Pagos_Odoo!$B:$B, 0)), ""))</f>
        <v/>
      </c>
      <c r="Z63" s="80">
        <f>IF(X63="Sin Pago","",IFERROR(INDEX(Pagos_Odoo!$A:$A, MATCH(X63, Pagos_Odoo!$B:$B, 0)), ""))</f>
        <v/>
      </c>
      <c r="AA63" s="79">
        <f>IF(X63="Sin Pago","",IFERROR(INDEX(Pagos_Odoo!$F:$F, MATCH(X63, Pagos_Odoo!$B:$B, 0)), ""))</f>
        <v/>
      </c>
      <c r="AB63" s="81">
        <f>IF(X63="Sin Pago",0,IFERROR(INDEX(Pagos_Odoo!$E:$E, MATCH(X63, Pagos_Odoo!$B:$B, 0)), 0))</f>
        <v/>
      </c>
      <c r="AC63" s="79">
        <f>IF(X63="Sin Pago","",IFERROR(INDEX(Pagos_Odoo!$G:$G, MATCH(X63, Pagos_Odoo!$B:$B, 0)), ""))</f>
        <v/>
      </c>
      <c r="AD63" s="82" t="n">
        <v>0</v>
      </c>
      <c r="AE63" s="82" t="n"/>
      <c r="AF63" s="82" t="n"/>
      <c r="AG63" s="82">
        <f>IF(AN63="","",AD63+AE63+AF63)</f>
        <v/>
      </c>
      <c r="AH63" s="81">
        <f>IF(AN63="","",P63*(1-AG63))</f>
        <v/>
      </c>
      <c r="AI63" s="81">
        <f>IF(AN63="","",IF(Q63="Sin Factura",0,IFERROR(INDEX(Facturas_Odoo!$H:$H, MATCH(Q63, Facturas_Odoo!$B:$B, 0)), 0)*(1-AG63)))</f>
        <v/>
      </c>
      <c r="AJ63" s="81">
        <f>IF(AN63="","",_xlfn.LET(idVenta, AN63&amp;"",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3" s="81">
        <f>IF(AN63="","",AH63-AJ63)</f>
        <v/>
      </c>
      <c r="AL63" s="81">
        <f>IF(AN63="","",IF(Q63="Sin Factura","",AI63-AJ63))</f>
        <v/>
      </c>
      <c r="AM63" s="81">
        <f>IF(AN63="","",IF(Q63="Sin Factura",0,P63-IFERROR(INDEX(Facturas_Odoo!$H:$H, MATCH(Q63, Facturas_Odoo!$B:$B, 0)), 0)))</f>
        <v/>
      </c>
      <c r="AN63" s="79">
        <f>IF(AND(A63="", J63=""), "", IF(A63&lt;&gt;"", VALUE(MID(A63,2,LEN(A63))), AN62))</f>
        <v/>
      </c>
      <c r="AO63" s="79">
        <f>IF(AN63="","",IF(AD63=0,"OK",_xlfn.LET(monedaPago, IF(AA63="","USD",AA63), limitePermitido, IFERROR(VLOOKUP(monedaPago, Configuración!$A$2:$B$3, 2, FALSE), 0.15), IF(AD63&gt;limitePermitido, "ALERTA: EXCESO (" &amp; TEXT(limitePermitido, "0%") &amp; " máx)", "OK"))))</f>
        <v/>
      </c>
      <c r="AP63" s="79">
        <f>IF(AN63="","",IF(AE63=0,"OK",_xlfn.LET(fechaPago, Z63, fechaFactura, R63, diasCredito, IF(E63="Pago inmediato", 0, IFERROR(VALUE(MID(E63, 1, SEARCH(" ", E63)-1)),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3" s="79">
        <f>IF(AN63="","",IF(AND(N63&gt;0, AG63&gt;0), IF(Configuración!$K$2="NO", "ALERTA: DESCUENTO DOBLE NO PERMITIDO", "OK"), "OK"))</f>
        <v/>
      </c>
      <c r="AR63" s="79">
        <f>IF(AN63="","",IF(OR(AO63&lt;&gt;"OK", AP63&lt;&gt;"OK", AQ63&lt;&gt;"OK"), "⚠️ REVISAR", "OK"))</f>
        <v/>
      </c>
    </row>
    <row r="64">
      <c r="A64" s="79">
        <f>IF('Ordenes_Odoo'!A64="","",'Ordenes_Odoo'!A64)</f>
        <v/>
      </c>
      <c r="B64" s="80">
        <f>IF('Ordenes_Odoo'!B64="","",'Ordenes_Odoo'!B64)</f>
        <v/>
      </c>
      <c r="C64" s="79">
        <f>IF('Ordenes_Odoo'!C64="","",'Ordenes_Odoo'!C64)</f>
        <v/>
      </c>
      <c r="D64" s="79">
        <f>IF('Ordenes_Odoo'!D64="","",'Ordenes_Odoo'!D64)</f>
        <v/>
      </c>
      <c r="E64" s="79">
        <f>IF('Ordenes_Odoo'!E64="","",'Ordenes_Odoo'!E64)</f>
        <v/>
      </c>
      <c r="F64" s="79">
        <f>IF('Ordenes_Odoo'!F64="","",'Ordenes_Odoo'!F64)</f>
        <v/>
      </c>
      <c r="G64" s="79">
        <f>IF('Ordenes_Odoo'!G64="","",'Ordenes_Odoo'!G64)</f>
        <v/>
      </c>
      <c r="H64" s="79">
        <f>IF('Ordenes_Odoo'!H64="","",'Ordenes_Odoo'!H64)</f>
        <v/>
      </c>
      <c r="I64" s="79">
        <f>IF('Ordenes_Odoo'!I64="","",'Ordenes_Odoo'!I64)</f>
        <v/>
      </c>
      <c r="J64" s="79">
        <f>IF('Ordenes_Odoo'!J64="","",'Ordenes_Odoo'!J64)</f>
        <v/>
      </c>
      <c r="K64" s="81">
        <f>IF('Ordenes_Odoo'!K64="","",'Ordenes_Odoo'!K64)</f>
        <v/>
      </c>
      <c r="L64" s="81">
        <f>IF('Ordenes_Odoo'!L64="","",'Ordenes_Odoo'!L64)</f>
        <v/>
      </c>
      <c r="M64" s="79">
        <f>IF('Ordenes_Odoo'!M64="","",'Ordenes_Odoo'!M64)</f>
        <v/>
      </c>
      <c r="N64" s="79">
        <f>IF('Ordenes_Odoo'!N64="","",'Ordenes_Odoo'!N64)</f>
        <v/>
      </c>
      <c r="O64" s="81">
        <f>IF('Ordenes_Odoo'!O64="","",'Ordenes_Odoo'!O64)</f>
        <v/>
      </c>
      <c r="P64" s="81">
        <f>IF('Ordenes_Odoo'!P64="","",'Ordenes_Odoo'!P64)</f>
        <v/>
      </c>
      <c r="Q64" s="79">
        <f>IF(A64="","",IFERROR(INDEX(Facturas_Odoo!$B:$B, MATCH(A64, Facturas_Odoo!$D:$D, 0)), "Sin Factura"))</f>
        <v/>
      </c>
      <c r="R64" s="80">
        <f>IF(Q64="Sin Factura","",IFERROR(INDEX(Facturas_Odoo!$A:$A, MATCH(Q64, Facturas_Odoo!$B:$B, 0)), ""))</f>
        <v/>
      </c>
      <c r="S64" s="79">
        <f>IF(Q64="Sin Factura","",IFERROR(_xlfn.XLOOKUP(1, (Facturas_Odoo!$D:$D=A64) * (Facturas_Odoo!$K:$K=I64), Facturas_Odoo!$L:$L, ""), ""))</f>
        <v/>
      </c>
      <c r="T64" s="81">
        <f>IF(Q64="Sin Factura",0,IFERROR(_xlfn.XLOOKUP(1, (Facturas_Odoo!$D:$D=A64) * (Facturas_Odoo!$K:$K=I64), Facturas_Odoo!$M:$M, 0), 0))</f>
        <v/>
      </c>
      <c r="U64" s="79">
        <f>IF(Q64="Sin Factura",0,IFERROR(_xlfn.XLOOKUP(1, (Facturas_Odoo!$D:$D=A64) * (Facturas_Odoo!$K:$K=I64), Facturas_Odoo!$N:$N, 0), 0))</f>
        <v/>
      </c>
      <c r="V64" s="79">
        <f>IF(Q64="Sin Factura",0,IFERROR(_xlfn.XLOOKUP(1, (Facturas_Odoo!$D:$D=A64) * (Facturas_Odoo!$K:$K=I64), Facturas_Odoo!$O:$O, 0), 0))</f>
        <v/>
      </c>
      <c r="W64" s="81">
        <f>IF(Q64="Sin Factura",0,IFERROR(_xlfn.XLOOKUP(1, (Facturas_Odoo!$D:$D=A64) * (Facturas_Odoo!$K:$K=I64), Facturas_Odoo!$Q:$Q, 0), 0))</f>
        <v/>
      </c>
      <c r="X64" s="79">
        <f>IF(OR(Q64="Sin Factura",Q64=""),"",IFERROR(INDEX(Pagos_Odoo!$B:$B, MATCH(Q64, Pagos_Odoo!$I:$I, 0)), "Sin Pago"))</f>
        <v/>
      </c>
      <c r="Y64" s="79">
        <f>IF(X64="Sin Pago","",IFERROR(INDEX(Pagos_Odoo!$C:$C, MATCH(X64, Pagos_Odoo!$B:$B, 0)), ""))</f>
        <v/>
      </c>
      <c r="Z64" s="80">
        <f>IF(X64="Sin Pago","",IFERROR(INDEX(Pagos_Odoo!$A:$A, MATCH(X64, Pagos_Odoo!$B:$B, 0)), ""))</f>
        <v/>
      </c>
      <c r="AA64" s="79">
        <f>IF(X64="Sin Pago","",IFERROR(INDEX(Pagos_Odoo!$F:$F, MATCH(X64, Pagos_Odoo!$B:$B, 0)), ""))</f>
        <v/>
      </c>
      <c r="AB64" s="81">
        <f>IF(X64="Sin Pago",0,IFERROR(INDEX(Pagos_Odoo!$E:$E, MATCH(X64, Pagos_Odoo!$B:$B, 0)), 0))</f>
        <v/>
      </c>
      <c r="AC64" s="79">
        <f>IF(X64="Sin Pago","",IFERROR(INDEX(Pagos_Odoo!$G:$G, MATCH(X64, Pagos_Odoo!$B:$B, 0)), ""))</f>
        <v/>
      </c>
      <c r="AD64" s="82" t="n">
        <v>0</v>
      </c>
      <c r="AE64" s="82" t="n"/>
      <c r="AF64" s="82" t="n"/>
      <c r="AG64" s="82">
        <f>IF(AN64="","",AD64+AE64+AF64)</f>
        <v/>
      </c>
      <c r="AH64" s="81">
        <f>IF(AN64="","",P64*(1-AG64))</f>
        <v/>
      </c>
      <c r="AI64" s="81">
        <f>IF(AN64="","",IF(Q64="Sin Factura",0,IFERROR(INDEX(Facturas_Odoo!$H:$H, MATCH(Q64, Facturas_Odoo!$B:$B, 0)), 0)*(1-AG64)))</f>
        <v/>
      </c>
      <c r="AJ64" s="81">
        <f>IF(AN64="","",_xlfn.LET(idVenta, AN64&amp;"",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4" s="81">
        <f>IF(AN64="","",AH64-AJ64)</f>
        <v/>
      </c>
      <c r="AL64" s="81">
        <f>IF(AN64="","",IF(Q64="Sin Factura","",AI64-AJ64))</f>
        <v/>
      </c>
      <c r="AM64" s="81">
        <f>IF(AN64="","",IF(Q64="Sin Factura",0,P64-IFERROR(INDEX(Facturas_Odoo!$H:$H, MATCH(Q64, Facturas_Odoo!$B:$B, 0)), 0)))</f>
        <v/>
      </c>
      <c r="AN64" s="79">
        <f>IF(AND(A64="", J64=""), "", IF(A64&lt;&gt;"", VALUE(MID(A64,2,LEN(A64))), AN63))</f>
        <v/>
      </c>
      <c r="AO64" s="79">
        <f>IF(AN64="","",IF(AD64=0,"OK",_xlfn.LET(monedaPago, IF(AA64="","USD",AA64), limitePermitido, IFERROR(VLOOKUP(monedaPago, Configuración!$A$2:$B$3, 2, FALSE), 0.15), IF(AD64&gt;limitePermitido, "ALERTA: EXCESO (" &amp; TEXT(limitePermitido, "0%") &amp; " máx)", "OK"))))</f>
        <v/>
      </c>
      <c r="AP64" s="79">
        <f>IF(AN64="","",IF(AE64=0,"OK",_xlfn.LET(fechaPago, Z64, fechaFactura, R64, diasCredito, IF(E64="Pago inmediato", 0, IFERROR(VALUE(MID(E64, 1, SEARCH(" ", E64)-1)),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4" s="79">
        <f>IF(AN64="","",IF(AND(N64&gt;0, AG64&gt;0), IF(Configuración!$K$2="NO", "ALERTA: DESCUENTO DOBLE NO PERMITIDO", "OK"), "OK"))</f>
        <v/>
      </c>
      <c r="AR64" s="79">
        <f>IF(AN64="","",IF(OR(AO64&lt;&gt;"OK", AP64&lt;&gt;"OK", AQ64&lt;&gt;"OK"), "⚠️ REVISAR", "OK"))</f>
        <v/>
      </c>
    </row>
    <row r="65">
      <c r="A65" s="79">
        <f>IF('Ordenes_Odoo'!A65="","",'Ordenes_Odoo'!A65)</f>
        <v/>
      </c>
      <c r="B65" s="80">
        <f>IF('Ordenes_Odoo'!B65="","",'Ordenes_Odoo'!B65)</f>
        <v/>
      </c>
      <c r="C65" s="79">
        <f>IF('Ordenes_Odoo'!C65="","",'Ordenes_Odoo'!C65)</f>
        <v/>
      </c>
      <c r="D65" s="79">
        <f>IF('Ordenes_Odoo'!D65="","",'Ordenes_Odoo'!D65)</f>
        <v/>
      </c>
      <c r="E65" s="79">
        <f>IF('Ordenes_Odoo'!E65="","",'Ordenes_Odoo'!E65)</f>
        <v/>
      </c>
      <c r="F65" s="79">
        <f>IF('Ordenes_Odoo'!F65="","",'Ordenes_Odoo'!F65)</f>
        <v/>
      </c>
      <c r="G65" s="79">
        <f>IF('Ordenes_Odoo'!G65="","",'Ordenes_Odoo'!G65)</f>
        <v/>
      </c>
      <c r="H65" s="79">
        <f>IF('Ordenes_Odoo'!H65="","",'Ordenes_Odoo'!H65)</f>
        <v/>
      </c>
      <c r="I65" s="79">
        <f>IF('Ordenes_Odoo'!I65="","",'Ordenes_Odoo'!I65)</f>
        <v/>
      </c>
      <c r="J65" s="79">
        <f>IF('Ordenes_Odoo'!J65="","",'Ordenes_Odoo'!J65)</f>
        <v/>
      </c>
      <c r="K65" s="81">
        <f>IF('Ordenes_Odoo'!K65="","",'Ordenes_Odoo'!K65)</f>
        <v/>
      </c>
      <c r="L65" s="81">
        <f>IF('Ordenes_Odoo'!L65="","",'Ordenes_Odoo'!L65)</f>
        <v/>
      </c>
      <c r="M65" s="79">
        <f>IF('Ordenes_Odoo'!M65="","",'Ordenes_Odoo'!M65)</f>
        <v/>
      </c>
      <c r="N65" s="79">
        <f>IF('Ordenes_Odoo'!N65="","",'Ordenes_Odoo'!N65)</f>
        <v/>
      </c>
      <c r="O65" s="81">
        <f>IF('Ordenes_Odoo'!O65="","",'Ordenes_Odoo'!O65)</f>
        <v/>
      </c>
      <c r="P65" s="81">
        <f>IF('Ordenes_Odoo'!P65="","",'Ordenes_Odoo'!P65)</f>
        <v/>
      </c>
      <c r="Q65" s="79">
        <f>IF(A65="","",IFERROR(INDEX(Facturas_Odoo!$B:$B, MATCH(A65, Facturas_Odoo!$D:$D, 0)), "Sin Factura"))</f>
        <v/>
      </c>
      <c r="R65" s="80">
        <f>IF(Q65="Sin Factura","",IFERROR(INDEX(Facturas_Odoo!$A:$A, MATCH(Q65, Facturas_Odoo!$B:$B, 0)), ""))</f>
        <v/>
      </c>
      <c r="S65" s="79">
        <f>IF(Q65="Sin Factura","",IFERROR(_xlfn.XLOOKUP(1, (Facturas_Odoo!$D:$D=A65) * (Facturas_Odoo!$K:$K=I65), Facturas_Odoo!$L:$L, ""), ""))</f>
        <v/>
      </c>
      <c r="T65" s="81">
        <f>IF(Q65="Sin Factura",0,IFERROR(_xlfn.XLOOKUP(1, (Facturas_Odoo!$D:$D=A65) * (Facturas_Odoo!$K:$K=I65), Facturas_Odoo!$M:$M, 0), 0))</f>
        <v/>
      </c>
      <c r="U65" s="79">
        <f>IF(Q65="Sin Factura",0,IFERROR(_xlfn.XLOOKUP(1, (Facturas_Odoo!$D:$D=A65) * (Facturas_Odoo!$K:$K=I65), Facturas_Odoo!$N:$N, 0), 0))</f>
        <v/>
      </c>
      <c r="V65" s="79">
        <f>IF(Q65="Sin Factura",0,IFERROR(_xlfn.XLOOKUP(1, (Facturas_Odoo!$D:$D=A65) * (Facturas_Odoo!$K:$K=I65), Facturas_Odoo!$O:$O, 0), 0))</f>
        <v/>
      </c>
      <c r="W65" s="81">
        <f>IF(Q65="Sin Factura",0,IFERROR(_xlfn.XLOOKUP(1, (Facturas_Odoo!$D:$D=A65) * (Facturas_Odoo!$K:$K=I65), Facturas_Odoo!$Q:$Q, 0), 0))</f>
        <v/>
      </c>
      <c r="X65" s="79">
        <f>IF(OR(Q65="Sin Factura",Q65=""),"",IFERROR(INDEX(Pagos_Odoo!$B:$B, MATCH(Q65, Pagos_Odoo!$I:$I, 0)), "Sin Pago"))</f>
        <v/>
      </c>
      <c r="Y65" s="79">
        <f>IF(X65="Sin Pago","",IFERROR(INDEX(Pagos_Odoo!$C:$C, MATCH(X65, Pagos_Odoo!$B:$B, 0)), ""))</f>
        <v/>
      </c>
      <c r="Z65" s="80">
        <f>IF(X65="Sin Pago","",IFERROR(INDEX(Pagos_Odoo!$A:$A, MATCH(X65, Pagos_Odoo!$B:$B, 0)), ""))</f>
        <v/>
      </c>
      <c r="AA65" s="79">
        <f>IF(X65="Sin Pago","",IFERROR(INDEX(Pagos_Odoo!$F:$F, MATCH(X65, Pagos_Odoo!$B:$B, 0)), ""))</f>
        <v/>
      </c>
      <c r="AB65" s="81">
        <f>IF(X65="Sin Pago",0,IFERROR(INDEX(Pagos_Odoo!$E:$E, MATCH(X65, Pagos_Odoo!$B:$B, 0)), 0))</f>
        <v/>
      </c>
      <c r="AC65" s="79">
        <f>IF(X65="Sin Pago","",IFERROR(INDEX(Pagos_Odoo!$G:$G, MATCH(X65, Pagos_Odoo!$B:$B, 0)), ""))</f>
        <v/>
      </c>
      <c r="AD65" s="82" t="n">
        <v>0</v>
      </c>
      <c r="AE65" s="82" t="n"/>
      <c r="AF65" s="82" t="n"/>
      <c r="AG65" s="82">
        <f>IF(AN65="","",AD65+AE65+AF65)</f>
        <v/>
      </c>
      <c r="AH65" s="81">
        <f>IF(AN65="","",P65*(1-AG65))</f>
        <v/>
      </c>
      <c r="AI65" s="81">
        <f>IF(AN65="","",IF(Q65="Sin Factura",0,IFERROR(INDEX(Facturas_Odoo!$H:$H, MATCH(Q65, Facturas_Odoo!$B:$B, 0)), 0)*(1-AG65)))</f>
        <v/>
      </c>
      <c r="AJ65" s="81">
        <f>IF(AN65="","",_xlfn.LET(idVenta, AN65&amp;"",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5" s="81">
        <f>IF(AN65="","",AH65-AJ65)</f>
        <v/>
      </c>
      <c r="AL65" s="81">
        <f>IF(AN65="","",IF(Q65="Sin Factura","",AI65-AJ65))</f>
        <v/>
      </c>
      <c r="AM65" s="81">
        <f>IF(AN65="","",IF(Q65="Sin Factura",0,P65-IFERROR(INDEX(Facturas_Odoo!$H:$H, MATCH(Q65, Facturas_Odoo!$B:$B, 0)), 0)))</f>
        <v/>
      </c>
      <c r="AN65" s="79">
        <f>IF(AND(A65="", J65=""), "", IF(A65&lt;&gt;"", VALUE(MID(A65,2,LEN(A65))), AN64))</f>
        <v/>
      </c>
      <c r="AO65" s="79">
        <f>IF(AN65="","",IF(AD65=0,"OK",_xlfn.LET(monedaPago, IF(AA65="","USD",AA65), limitePermitido, IFERROR(VLOOKUP(monedaPago, Configuración!$A$2:$B$3, 2, FALSE), 0.15), IF(AD65&gt;limitePermitido, "ALERTA: EXCESO (" &amp; TEXT(limitePermitido, "0%") &amp; " máx)", "OK"))))</f>
        <v/>
      </c>
      <c r="AP65" s="79">
        <f>IF(AN65="","",IF(AE65=0,"OK",_xlfn.LET(fechaPago, Z65, fechaFactura, R65, diasCredito, IF(E65="Pago inmediato", 0, IFERROR(VALUE(MID(E65, 1, SEARCH(" ", E65)-1)),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5" s="79">
        <f>IF(AN65="","",IF(AND(N65&gt;0, AG65&gt;0), IF(Configuración!$K$2="NO", "ALERTA: DESCUENTO DOBLE NO PERMITIDO", "OK"), "OK"))</f>
        <v/>
      </c>
      <c r="AR65" s="79">
        <f>IF(AN65="","",IF(OR(AO65&lt;&gt;"OK", AP65&lt;&gt;"OK", AQ65&lt;&gt;"OK"), "⚠️ REVISAR", "OK"))</f>
        <v/>
      </c>
    </row>
    <row r="66">
      <c r="A66" s="79">
        <f>IF('Ordenes_Odoo'!A66="","",'Ordenes_Odoo'!A66)</f>
        <v/>
      </c>
      <c r="B66" s="80">
        <f>IF('Ordenes_Odoo'!B66="","",'Ordenes_Odoo'!B66)</f>
        <v/>
      </c>
      <c r="C66" s="79">
        <f>IF('Ordenes_Odoo'!C66="","",'Ordenes_Odoo'!C66)</f>
        <v/>
      </c>
      <c r="D66" s="79">
        <f>IF('Ordenes_Odoo'!D66="","",'Ordenes_Odoo'!D66)</f>
        <v/>
      </c>
      <c r="E66" s="79">
        <f>IF('Ordenes_Odoo'!E66="","",'Ordenes_Odoo'!E66)</f>
        <v/>
      </c>
      <c r="F66" s="79">
        <f>IF('Ordenes_Odoo'!F66="","",'Ordenes_Odoo'!F66)</f>
        <v/>
      </c>
      <c r="G66" s="79">
        <f>IF('Ordenes_Odoo'!G66="","",'Ordenes_Odoo'!G66)</f>
        <v/>
      </c>
      <c r="H66" s="79">
        <f>IF('Ordenes_Odoo'!H66="","",'Ordenes_Odoo'!H66)</f>
        <v/>
      </c>
      <c r="I66" s="79">
        <f>IF('Ordenes_Odoo'!I66="","",'Ordenes_Odoo'!I66)</f>
        <v/>
      </c>
      <c r="J66" s="79">
        <f>IF('Ordenes_Odoo'!J66="","",'Ordenes_Odoo'!J66)</f>
        <v/>
      </c>
      <c r="K66" s="81">
        <f>IF('Ordenes_Odoo'!K66="","",'Ordenes_Odoo'!K66)</f>
        <v/>
      </c>
      <c r="L66" s="81">
        <f>IF('Ordenes_Odoo'!L66="","",'Ordenes_Odoo'!L66)</f>
        <v/>
      </c>
      <c r="M66" s="79">
        <f>IF('Ordenes_Odoo'!M66="","",'Ordenes_Odoo'!M66)</f>
        <v/>
      </c>
      <c r="N66" s="79">
        <f>IF('Ordenes_Odoo'!N66="","",'Ordenes_Odoo'!N66)</f>
        <v/>
      </c>
      <c r="O66" s="81">
        <f>IF('Ordenes_Odoo'!O66="","",'Ordenes_Odoo'!O66)</f>
        <v/>
      </c>
      <c r="P66" s="81">
        <f>IF('Ordenes_Odoo'!P66="","",'Ordenes_Odoo'!P66)</f>
        <v/>
      </c>
      <c r="Q66" s="79">
        <f>IF(A66="","",IFERROR(INDEX(Facturas_Odoo!$B:$B, MATCH(A66, Facturas_Odoo!$D:$D, 0)), "Sin Factura"))</f>
        <v/>
      </c>
      <c r="R66" s="80">
        <f>IF(Q66="Sin Factura","",IFERROR(INDEX(Facturas_Odoo!$A:$A, MATCH(Q66, Facturas_Odoo!$B:$B, 0)), ""))</f>
        <v/>
      </c>
      <c r="S66" s="79">
        <f>IF(Q66="Sin Factura","",IFERROR(_xlfn.XLOOKUP(1, (Facturas_Odoo!$D:$D=A66) * (Facturas_Odoo!$K:$K=I66), Facturas_Odoo!$L:$L, ""), ""))</f>
        <v/>
      </c>
      <c r="T66" s="81">
        <f>IF(Q66="Sin Factura",0,IFERROR(_xlfn.XLOOKUP(1, (Facturas_Odoo!$D:$D=A66) * (Facturas_Odoo!$K:$K=I66), Facturas_Odoo!$M:$M, 0), 0))</f>
        <v/>
      </c>
      <c r="U66" s="79">
        <f>IF(Q66="Sin Factura",0,IFERROR(_xlfn.XLOOKUP(1, (Facturas_Odoo!$D:$D=A66) * (Facturas_Odoo!$K:$K=I66), Facturas_Odoo!$N:$N, 0), 0))</f>
        <v/>
      </c>
      <c r="V66" s="79">
        <f>IF(Q66="Sin Factura",0,IFERROR(_xlfn.XLOOKUP(1, (Facturas_Odoo!$D:$D=A66) * (Facturas_Odoo!$K:$K=I66), Facturas_Odoo!$O:$O, 0), 0))</f>
        <v/>
      </c>
      <c r="W66" s="81">
        <f>IF(Q66="Sin Factura",0,IFERROR(_xlfn.XLOOKUP(1, (Facturas_Odoo!$D:$D=A66) * (Facturas_Odoo!$K:$K=I66), Facturas_Odoo!$Q:$Q, 0), 0))</f>
        <v/>
      </c>
      <c r="X66" s="79">
        <f>IF(OR(Q66="Sin Factura",Q66=""),"",IFERROR(INDEX(Pagos_Odoo!$B:$B, MATCH(Q66, Pagos_Odoo!$I:$I, 0)), "Sin Pago"))</f>
        <v/>
      </c>
      <c r="Y66" s="79">
        <f>IF(X66="Sin Pago","",IFERROR(INDEX(Pagos_Odoo!$C:$C, MATCH(X66, Pagos_Odoo!$B:$B, 0)), ""))</f>
        <v/>
      </c>
      <c r="Z66" s="80">
        <f>IF(X66="Sin Pago","",IFERROR(INDEX(Pagos_Odoo!$A:$A, MATCH(X66, Pagos_Odoo!$B:$B, 0)), ""))</f>
        <v/>
      </c>
      <c r="AA66" s="79">
        <f>IF(X66="Sin Pago","",IFERROR(INDEX(Pagos_Odoo!$F:$F, MATCH(X66, Pagos_Odoo!$B:$B, 0)), ""))</f>
        <v/>
      </c>
      <c r="AB66" s="81">
        <f>IF(X66="Sin Pago",0,IFERROR(INDEX(Pagos_Odoo!$E:$E, MATCH(X66, Pagos_Odoo!$B:$B, 0)), 0))</f>
        <v/>
      </c>
      <c r="AC66" s="79">
        <f>IF(X66="Sin Pago","",IFERROR(INDEX(Pagos_Odoo!$G:$G, MATCH(X66, Pagos_Odoo!$B:$B, 0)), ""))</f>
        <v/>
      </c>
      <c r="AD66" s="82" t="n">
        <v>0</v>
      </c>
      <c r="AE66" s="82" t="n"/>
      <c r="AF66" s="82" t="n"/>
      <c r="AG66" s="82">
        <f>IF(AN66="","",AD66+AE66+AF66)</f>
        <v/>
      </c>
      <c r="AH66" s="81">
        <f>IF(AN66="","",P66*(1-AG66))</f>
        <v/>
      </c>
      <c r="AI66" s="81">
        <f>IF(AN66="","",IF(Q66="Sin Factura",0,IFERROR(INDEX(Facturas_Odoo!$H:$H, MATCH(Q66, Facturas_Odoo!$B:$B, 0)), 0)*(1-AG66)))</f>
        <v/>
      </c>
      <c r="AJ66" s="81">
        <f>IF(AN66="","",_xlfn.LET(idVenta, AN66&amp;"",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6" s="81">
        <f>IF(AN66="","",AH66-AJ66)</f>
        <v/>
      </c>
      <c r="AL66" s="81">
        <f>IF(AN66="","",IF(Q66="Sin Factura","",AI66-AJ66))</f>
        <v/>
      </c>
      <c r="AM66" s="81">
        <f>IF(AN66="","",IF(Q66="Sin Factura",0,P66-IFERROR(INDEX(Facturas_Odoo!$H:$H, MATCH(Q66, Facturas_Odoo!$B:$B, 0)), 0)))</f>
        <v/>
      </c>
      <c r="AN66" s="79">
        <f>IF(AND(A66="", J66=""), "", IF(A66&lt;&gt;"", VALUE(MID(A66,2,LEN(A66))), AN65))</f>
        <v/>
      </c>
      <c r="AO66" s="79">
        <f>IF(AN66="","",IF(AD66=0,"OK",_xlfn.LET(monedaPago, IF(AA66="","USD",AA66), limitePermitido, IFERROR(VLOOKUP(monedaPago, Configuración!$A$2:$B$3, 2, FALSE), 0.15), IF(AD66&gt;limitePermitido, "ALERTA: EXCESO (" &amp; TEXT(limitePermitido, "0%") &amp; " máx)", "OK"))))</f>
        <v/>
      </c>
      <c r="AP66" s="79">
        <f>IF(AN66="","",IF(AE66=0,"OK",_xlfn.LET(fechaPago, Z66, fechaFactura, R66, diasCredito, IF(E66="Pago inmediato", 0, IFERROR(VALUE(MID(E66, 1, SEARCH(" ", E66)-1)),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6" s="79">
        <f>IF(AN66="","",IF(AND(N66&gt;0, AG66&gt;0), IF(Configuración!$K$2="NO", "ALERTA: DESCUENTO DOBLE NO PERMITIDO", "OK"), "OK"))</f>
        <v/>
      </c>
      <c r="AR66" s="79">
        <f>IF(AN66="","",IF(OR(AO66&lt;&gt;"OK", AP66&lt;&gt;"OK", AQ66&lt;&gt;"OK"), "⚠️ REVISAR", "OK"))</f>
        <v/>
      </c>
    </row>
    <row r="67">
      <c r="A67" s="79">
        <f>IF('Ordenes_Odoo'!A67="","",'Ordenes_Odoo'!A67)</f>
        <v/>
      </c>
      <c r="B67" s="80">
        <f>IF('Ordenes_Odoo'!B67="","",'Ordenes_Odoo'!B67)</f>
        <v/>
      </c>
      <c r="C67" s="79">
        <f>IF('Ordenes_Odoo'!C67="","",'Ordenes_Odoo'!C67)</f>
        <v/>
      </c>
      <c r="D67" s="79">
        <f>IF('Ordenes_Odoo'!D67="","",'Ordenes_Odoo'!D67)</f>
        <v/>
      </c>
      <c r="E67" s="79">
        <f>IF('Ordenes_Odoo'!E67="","",'Ordenes_Odoo'!E67)</f>
        <v/>
      </c>
      <c r="F67" s="79">
        <f>IF('Ordenes_Odoo'!F67="","",'Ordenes_Odoo'!F67)</f>
        <v/>
      </c>
      <c r="G67" s="79">
        <f>IF('Ordenes_Odoo'!G67="","",'Ordenes_Odoo'!G67)</f>
        <v/>
      </c>
      <c r="H67" s="79">
        <f>IF('Ordenes_Odoo'!H67="","",'Ordenes_Odoo'!H67)</f>
        <v/>
      </c>
      <c r="I67" s="79">
        <f>IF('Ordenes_Odoo'!I67="","",'Ordenes_Odoo'!I67)</f>
        <v/>
      </c>
      <c r="J67" s="79">
        <f>IF('Ordenes_Odoo'!J67="","",'Ordenes_Odoo'!J67)</f>
        <v/>
      </c>
      <c r="K67" s="81">
        <f>IF('Ordenes_Odoo'!K67="","",'Ordenes_Odoo'!K67)</f>
        <v/>
      </c>
      <c r="L67" s="81">
        <f>IF('Ordenes_Odoo'!L67="","",'Ordenes_Odoo'!L67)</f>
        <v/>
      </c>
      <c r="M67" s="79">
        <f>IF('Ordenes_Odoo'!M67="","",'Ordenes_Odoo'!M67)</f>
        <v/>
      </c>
      <c r="N67" s="79">
        <f>IF('Ordenes_Odoo'!N67="","",'Ordenes_Odoo'!N67)</f>
        <v/>
      </c>
      <c r="O67" s="81">
        <f>IF('Ordenes_Odoo'!O67="","",'Ordenes_Odoo'!O67)</f>
        <v/>
      </c>
      <c r="P67" s="81">
        <f>IF('Ordenes_Odoo'!P67="","",'Ordenes_Odoo'!P67)</f>
        <v/>
      </c>
      <c r="Q67" s="79">
        <f>IF(A67="","",IFERROR(INDEX(Facturas_Odoo!$B:$B, MATCH(A67, Facturas_Odoo!$D:$D, 0)), "Sin Factura"))</f>
        <v/>
      </c>
      <c r="R67" s="80">
        <f>IF(Q67="Sin Factura","",IFERROR(INDEX(Facturas_Odoo!$A:$A, MATCH(Q67, Facturas_Odoo!$B:$B, 0)), ""))</f>
        <v/>
      </c>
      <c r="S67" s="79">
        <f>IF(Q67="Sin Factura","",IFERROR(_xlfn.XLOOKUP(1, (Facturas_Odoo!$D:$D=A67) * (Facturas_Odoo!$K:$K=I67), Facturas_Odoo!$L:$L, ""), ""))</f>
        <v/>
      </c>
      <c r="T67" s="81">
        <f>IF(Q67="Sin Factura",0,IFERROR(_xlfn.XLOOKUP(1, (Facturas_Odoo!$D:$D=A67) * (Facturas_Odoo!$K:$K=I67), Facturas_Odoo!$M:$M, 0), 0))</f>
        <v/>
      </c>
      <c r="U67" s="79">
        <f>IF(Q67="Sin Factura",0,IFERROR(_xlfn.XLOOKUP(1, (Facturas_Odoo!$D:$D=A67) * (Facturas_Odoo!$K:$K=I67), Facturas_Odoo!$N:$N, 0), 0))</f>
        <v/>
      </c>
      <c r="V67" s="79">
        <f>IF(Q67="Sin Factura",0,IFERROR(_xlfn.XLOOKUP(1, (Facturas_Odoo!$D:$D=A67) * (Facturas_Odoo!$K:$K=I67), Facturas_Odoo!$O:$O, 0), 0))</f>
        <v/>
      </c>
      <c r="W67" s="81">
        <f>IF(Q67="Sin Factura",0,IFERROR(_xlfn.XLOOKUP(1, (Facturas_Odoo!$D:$D=A67) * (Facturas_Odoo!$K:$K=I67), Facturas_Odoo!$Q:$Q, 0), 0))</f>
        <v/>
      </c>
      <c r="X67" s="79">
        <f>IF(OR(Q67="Sin Factura",Q67=""),"",IFERROR(INDEX(Pagos_Odoo!$B:$B, MATCH(Q67, Pagos_Odoo!$I:$I, 0)), "Sin Pago"))</f>
        <v/>
      </c>
      <c r="Y67" s="79">
        <f>IF(X67="Sin Pago","",IFERROR(INDEX(Pagos_Odoo!$C:$C, MATCH(X67, Pagos_Odoo!$B:$B, 0)), ""))</f>
        <v/>
      </c>
      <c r="Z67" s="80">
        <f>IF(X67="Sin Pago","",IFERROR(INDEX(Pagos_Odoo!$A:$A, MATCH(X67, Pagos_Odoo!$B:$B, 0)), ""))</f>
        <v/>
      </c>
      <c r="AA67" s="79">
        <f>IF(X67="Sin Pago","",IFERROR(INDEX(Pagos_Odoo!$F:$F, MATCH(X67, Pagos_Odoo!$B:$B, 0)), ""))</f>
        <v/>
      </c>
      <c r="AB67" s="81">
        <f>IF(X67="Sin Pago",0,IFERROR(INDEX(Pagos_Odoo!$E:$E, MATCH(X67, Pagos_Odoo!$B:$B, 0)), 0))</f>
        <v/>
      </c>
      <c r="AC67" s="79">
        <f>IF(X67="Sin Pago","",IFERROR(INDEX(Pagos_Odoo!$G:$G, MATCH(X67, Pagos_Odoo!$B:$B, 0)), ""))</f>
        <v/>
      </c>
      <c r="AD67" s="82" t="n">
        <v>0</v>
      </c>
      <c r="AE67" s="82" t="n"/>
      <c r="AF67" s="82" t="n"/>
      <c r="AG67" s="82">
        <f>IF(AN67="","",AD67+AE67+AF67)</f>
        <v/>
      </c>
      <c r="AH67" s="81">
        <f>IF(AN67="","",P67*(1-AG67))</f>
        <v/>
      </c>
      <c r="AI67" s="81">
        <f>IF(AN67="","",IF(Q67="Sin Factura",0,IFERROR(INDEX(Facturas_Odoo!$H:$H, MATCH(Q67, Facturas_Odoo!$B:$B, 0)), 0)*(1-AG67)))</f>
        <v/>
      </c>
      <c r="AJ67" s="81">
        <f>IF(AN67="","",_xlfn.LET(idVenta, AN67&amp;"",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7" s="81">
        <f>IF(AN67="","",AH67-AJ67)</f>
        <v/>
      </c>
      <c r="AL67" s="81">
        <f>IF(AN67="","",IF(Q67="Sin Factura","",AI67-AJ67))</f>
        <v/>
      </c>
      <c r="AM67" s="81">
        <f>IF(AN67="","",IF(Q67="Sin Factura",0,P67-IFERROR(INDEX(Facturas_Odoo!$H:$H, MATCH(Q67, Facturas_Odoo!$B:$B, 0)), 0)))</f>
        <v/>
      </c>
      <c r="AN67" s="79">
        <f>IF(AND(A67="", J67=""), "", IF(A67&lt;&gt;"", VALUE(MID(A67,2,LEN(A67))), AN66))</f>
        <v/>
      </c>
      <c r="AO67" s="79">
        <f>IF(AN67="","",IF(AD67=0,"OK",_xlfn.LET(monedaPago, IF(AA67="","USD",AA67), limitePermitido, IFERROR(VLOOKUP(monedaPago, Configuración!$A$2:$B$3, 2, FALSE), 0.15), IF(AD67&gt;limitePermitido, "ALERTA: EXCESO (" &amp; TEXT(limitePermitido, "0%") &amp; " máx)", "OK"))))</f>
        <v/>
      </c>
      <c r="AP67" s="79">
        <f>IF(AN67="","",IF(AE67=0,"OK",_xlfn.LET(fechaPago, Z67, fechaFactura, R67, diasCredito, IF(E67="Pago inmediato", 0, IFERROR(VALUE(MID(E67, 1, SEARCH(" ", E67)-1)),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7" s="79">
        <f>IF(AN67="","",IF(AND(N67&gt;0, AG67&gt;0), IF(Configuración!$K$2="NO", "ALERTA: DESCUENTO DOBLE NO PERMITIDO", "OK"), "OK"))</f>
        <v/>
      </c>
      <c r="AR67" s="79">
        <f>IF(AN67="","",IF(OR(AO67&lt;&gt;"OK", AP67&lt;&gt;"OK", AQ67&lt;&gt;"OK"), "⚠️ REVISAR", "OK"))</f>
        <v/>
      </c>
    </row>
    <row r="68">
      <c r="A68" s="79">
        <f>IF('Ordenes_Odoo'!A68="","",'Ordenes_Odoo'!A68)</f>
        <v/>
      </c>
      <c r="B68" s="80">
        <f>IF('Ordenes_Odoo'!B68="","",'Ordenes_Odoo'!B68)</f>
        <v/>
      </c>
      <c r="C68" s="79">
        <f>IF('Ordenes_Odoo'!C68="","",'Ordenes_Odoo'!C68)</f>
        <v/>
      </c>
      <c r="D68" s="79">
        <f>IF('Ordenes_Odoo'!D68="","",'Ordenes_Odoo'!D68)</f>
        <v/>
      </c>
      <c r="E68" s="79">
        <f>IF('Ordenes_Odoo'!E68="","",'Ordenes_Odoo'!E68)</f>
        <v/>
      </c>
      <c r="F68" s="79">
        <f>IF('Ordenes_Odoo'!F68="","",'Ordenes_Odoo'!F68)</f>
        <v/>
      </c>
      <c r="G68" s="79">
        <f>IF('Ordenes_Odoo'!G68="","",'Ordenes_Odoo'!G68)</f>
        <v/>
      </c>
      <c r="H68" s="79">
        <f>IF('Ordenes_Odoo'!H68="","",'Ordenes_Odoo'!H68)</f>
        <v/>
      </c>
      <c r="I68" s="79">
        <f>IF('Ordenes_Odoo'!I68="","",'Ordenes_Odoo'!I68)</f>
        <v/>
      </c>
      <c r="J68" s="79">
        <f>IF('Ordenes_Odoo'!J68="","",'Ordenes_Odoo'!J68)</f>
        <v/>
      </c>
      <c r="K68" s="81">
        <f>IF('Ordenes_Odoo'!K68="","",'Ordenes_Odoo'!K68)</f>
        <v/>
      </c>
      <c r="L68" s="81">
        <f>IF('Ordenes_Odoo'!L68="","",'Ordenes_Odoo'!L68)</f>
        <v/>
      </c>
      <c r="M68" s="79">
        <f>IF('Ordenes_Odoo'!M68="","",'Ordenes_Odoo'!M68)</f>
        <v/>
      </c>
      <c r="N68" s="79">
        <f>IF('Ordenes_Odoo'!N68="","",'Ordenes_Odoo'!N68)</f>
        <v/>
      </c>
      <c r="O68" s="81">
        <f>IF('Ordenes_Odoo'!O68="","",'Ordenes_Odoo'!O68)</f>
        <v/>
      </c>
      <c r="P68" s="81">
        <f>IF('Ordenes_Odoo'!P68="","",'Ordenes_Odoo'!P68)</f>
        <v/>
      </c>
      <c r="Q68" s="79">
        <f>IF(A68="","",IFERROR(INDEX(Facturas_Odoo!$B:$B, MATCH(A68, Facturas_Odoo!$D:$D, 0)), "Sin Factura"))</f>
        <v/>
      </c>
      <c r="R68" s="80">
        <f>IF(Q68="Sin Factura","",IFERROR(INDEX(Facturas_Odoo!$A:$A, MATCH(Q68, Facturas_Odoo!$B:$B, 0)), ""))</f>
        <v/>
      </c>
      <c r="S68" s="79">
        <f>IF(Q68="Sin Factura","",IFERROR(_xlfn.XLOOKUP(1, (Facturas_Odoo!$D:$D=A68) * (Facturas_Odoo!$K:$K=I68), Facturas_Odoo!$L:$L, ""), ""))</f>
        <v/>
      </c>
      <c r="T68" s="81">
        <f>IF(Q68="Sin Factura",0,IFERROR(_xlfn.XLOOKUP(1, (Facturas_Odoo!$D:$D=A68) * (Facturas_Odoo!$K:$K=I68), Facturas_Odoo!$M:$M, 0), 0))</f>
        <v/>
      </c>
      <c r="U68" s="79">
        <f>IF(Q68="Sin Factura",0,IFERROR(_xlfn.XLOOKUP(1, (Facturas_Odoo!$D:$D=A68) * (Facturas_Odoo!$K:$K=I68), Facturas_Odoo!$N:$N, 0), 0))</f>
        <v/>
      </c>
      <c r="V68" s="79">
        <f>IF(Q68="Sin Factura",0,IFERROR(_xlfn.XLOOKUP(1, (Facturas_Odoo!$D:$D=A68) * (Facturas_Odoo!$K:$K=I68), Facturas_Odoo!$O:$O, 0), 0))</f>
        <v/>
      </c>
      <c r="W68" s="81">
        <f>IF(Q68="Sin Factura",0,IFERROR(_xlfn.XLOOKUP(1, (Facturas_Odoo!$D:$D=A68) * (Facturas_Odoo!$K:$K=I68), Facturas_Odoo!$Q:$Q, 0), 0))</f>
        <v/>
      </c>
      <c r="X68" s="79">
        <f>IF(OR(Q68="Sin Factura",Q68=""),"",IFERROR(INDEX(Pagos_Odoo!$B:$B, MATCH(Q68, Pagos_Odoo!$I:$I, 0)), "Sin Pago"))</f>
        <v/>
      </c>
      <c r="Y68" s="79">
        <f>IF(X68="Sin Pago","",IFERROR(INDEX(Pagos_Odoo!$C:$C, MATCH(X68, Pagos_Odoo!$B:$B, 0)), ""))</f>
        <v/>
      </c>
      <c r="Z68" s="80">
        <f>IF(X68="Sin Pago","",IFERROR(INDEX(Pagos_Odoo!$A:$A, MATCH(X68, Pagos_Odoo!$B:$B, 0)), ""))</f>
        <v/>
      </c>
      <c r="AA68" s="79">
        <f>IF(X68="Sin Pago","",IFERROR(INDEX(Pagos_Odoo!$F:$F, MATCH(X68, Pagos_Odoo!$B:$B, 0)), ""))</f>
        <v/>
      </c>
      <c r="AB68" s="81">
        <f>IF(X68="Sin Pago",0,IFERROR(INDEX(Pagos_Odoo!$E:$E, MATCH(X68, Pagos_Odoo!$B:$B, 0)), 0))</f>
        <v/>
      </c>
      <c r="AC68" s="79">
        <f>IF(X68="Sin Pago","",IFERROR(INDEX(Pagos_Odoo!$G:$G, MATCH(X68, Pagos_Odoo!$B:$B, 0)), ""))</f>
        <v/>
      </c>
      <c r="AD68" s="82" t="n">
        <v>0</v>
      </c>
      <c r="AE68" s="82" t="n"/>
      <c r="AF68" s="82" t="n"/>
      <c r="AG68" s="82">
        <f>IF(AN68="","",AD68+AE68+AF68)</f>
        <v/>
      </c>
      <c r="AH68" s="81">
        <f>IF(AN68="","",P68*(1-AG68))</f>
        <v/>
      </c>
      <c r="AI68" s="81">
        <f>IF(AN68="","",IF(Q68="Sin Factura",0,IFERROR(INDEX(Facturas_Odoo!$H:$H, MATCH(Q68, Facturas_Odoo!$B:$B, 0)), 0)*(1-AG68)))</f>
        <v/>
      </c>
      <c r="AJ68" s="81">
        <f>IF(AN68="","",_xlfn.LET(idVenta, AN68&amp;"",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8" s="81">
        <f>IF(AN68="","",AH68-AJ68)</f>
        <v/>
      </c>
      <c r="AL68" s="81">
        <f>IF(AN68="","",IF(Q68="Sin Factura","",AI68-AJ68))</f>
        <v/>
      </c>
      <c r="AM68" s="81">
        <f>IF(AN68="","",IF(Q68="Sin Factura",0,P68-IFERROR(INDEX(Facturas_Odoo!$H:$H, MATCH(Q68, Facturas_Odoo!$B:$B, 0)), 0)))</f>
        <v/>
      </c>
      <c r="AN68" s="79">
        <f>IF(AND(A68="", J68=""), "", IF(A68&lt;&gt;"", VALUE(MID(A68,2,LEN(A68))), AN67))</f>
        <v/>
      </c>
      <c r="AO68" s="79">
        <f>IF(AN68="","",IF(AD68=0,"OK",_xlfn.LET(monedaPago, IF(AA68="","USD",AA68), limitePermitido, IFERROR(VLOOKUP(monedaPago, Configuración!$A$2:$B$3, 2, FALSE), 0.15), IF(AD68&gt;limitePermitido, "ALERTA: EXCESO (" &amp; TEXT(limitePermitido, "0%") &amp; " máx)", "OK"))))</f>
        <v/>
      </c>
      <c r="AP68" s="79">
        <f>IF(AN68="","",IF(AE68=0,"OK",_xlfn.LET(fechaPago, Z68, fechaFactura, R68, diasCredito, IF(E68="Pago inmediato", 0, IFERROR(VALUE(MID(E68, 1, SEARCH(" ", E68)-1)),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8" s="79">
        <f>IF(AN68="","",IF(AND(N68&gt;0, AG68&gt;0), IF(Configuración!$K$2="NO", "ALERTA: DESCUENTO DOBLE NO PERMITIDO", "OK"), "OK"))</f>
        <v/>
      </c>
      <c r="AR68" s="79">
        <f>IF(AN68="","",IF(OR(AO68&lt;&gt;"OK", AP68&lt;&gt;"OK", AQ68&lt;&gt;"OK"), "⚠️ REVISAR", "OK"))</f>
        <v/>
      </c>
    </row>
    <row r="69">
      <c r="A69" s="79">
        <f>IF('Ordenes_Odoo'!A69="","",'Ordenes_Odoo'!A69)</f>
        <v/>
      </c>
      <c r="B69" s="80">
        <f>IF('Ordenes_Odoo'!B69="","",'Ordenes_Odoo'!B69)</f>
        <v/>
      </c>
      <c r="C69" s="79">
        <f>IF('Ordenes_Odoo'!C69="","",'Ordenes_Odoo'!C69)</f>
        <v/>
      </c>
      <c r="D69" s="79">
        <f>IF('Ordenes_Odoo'!D69="","",'Ordenes_Odoo'!D69)</f>
        <v/>
      </c>
      <c r="E69" s="79">
        <f>IF('Ordenes_Odoo'!E69="","",'Ordenes_Odoo'!E69)</f>
        <v/>
      </c>
      <c r="F69" s="79">
        <f>IF('Ordenes_Odoo'!F69="","",'Ordenes_Odoo'!F69)</f>
        <v/>
      </c>
      <c r="G69" s="79">
        <f>IF('Ordenes_Odoo'!G69="","",'Ordenes_Odoo'!G69)</f>
        <v/>
      </c>
      <c r="H69" s="79">
        <f>IF('Ordenes_Odoo'!H69="","",'Ordenes_Odoo'!H69)</f>
        <v/>
      </c>
      <c r="I69" s="79">
        <f>IF('Ordenes_Odoo'!I69="","",'Ordenes_Odoo'!I69)</f>
        <v/>
      </c>
      <c r="J69" s="79">
        <f>IF('Ordenes_Odoo'!J69="","",'Ordenes_Odoo'!J69)</f>
        <v/>
      </c>
      <c r="K69" s="81">
        <f>IF('Ordenes_Odoo'!K69="","",'Ordenes_Odoo'!K69)</f>
        <v/>
      </c>
      <c r="L69" s="81">
        <f>IF('Ordenes_Odoo'!L69="","",'Ordenes_Odoo'!L69)</f>
        <v/>
      </c>
      <c r="M69" s="79">
        <f>IF('Ordenes_Odoo'!M69="","",'Ordenes_Odoo'!M69)</f>
        <v/>
      </c>
      <c r="N69" s="79">
        <f>IF('Ordenes_Odoo'!N69="","",'Ordenes_Odoo'!N69)</f>
        <v/>
      </c>
      <c r="O69" s="81">
        <f>IF('Ordenes_Odoo'!O69="","",'Ordenes_Odoo'!O69)</f>
        <v/>
      </c>
      <c r="P69" s="81">
        <f>IF('Ordenes_Odoo'!P69="","",'Ordenes_Odoo'!P69)</f>
        <v/>
      </c>
      <c r="Q69" s="79">
        <f>IF(A69="","",IFERROR(INDEX(Facturas_Odoo!$B:$B, MATCH(A69, Facturas_Odoo!$D:$D, 0)), "Sin Factura"))</f>
        <v/>
      </c>
      <c r="R69" s="80">
        <f>IF(Q69="Sin Factura","",IFERROR(INDEX(Facturas_Odoo!$A:$A, MATCH(Q69, Facturas_Odoo!$B:$B, 0)), ""))</f>
        <v/>
      </c>
      <c r="S69" s="79">
        <f>IF(Q69="Sin Factura","",IFERROR(_xlfn.XLOOKUP(1, (Facturas_Odoo!$D:$D=A69) * (Facturas_Odoo!$K:$K=I69), Facturas_Odoo!$L:$L, ""), ""))</f>
        <v/>
      </c>
      <c r="T69" s="81">
        <f>IF(Q69="Sin Factura",0,IFERROR(_xlfn.XLOOKUP(1, (Facturas_Odoo!$D:$D=A69) * (Facturas_Odoo!$K:$K=I69), Facturas_Odoo!$M:$M, 0), 0))</f>
        <v/>
      </c>
      <c r="U69" s="79">
        <f>IF(Q69="Sin Factura",0,IFERROR(_xlfn.XLOOKUP(1, (Facturas_Odoo!$D:$D=A69) * (Facturas_Odoo!$K:$K=I69), Facturas_Odoo!$N:$N, 0), 0))</f>
        <v/>
      </c>
      <c r="V69" s="79">
        <f>IF(Q69="Sin Factura",0,IFERROR(_xlfn.XLOOKUP(1, (Facturas_Odoo!$D:$D=A69) * (Facturas_Odoo!$K:$K=I69), Facturas_Odoo!$O:$O, 0), 0))</f>
        <v/>
      </c>
      <c r="W69" s="81">
        <f>IF(Q69="Sin Factura",0,IFERROR(_xlfn.XLOOKUP(1, (Facturas_Odoo!$D:$D=A69) * (Facturas_Odoo!$K:$K=I69), Facturas_Odoo!$Q:$Q, 0), 0))</f>
        <v/>
      </c>
      <c r="X69" s="79">
        <f>IF(OR(Q69="Sin Factura",Q69=""),"",IFERROR(INDEX(Pagos_Odoo!$B:$B, MATCH(Q69, Pagos_Odoo!$I:$I, 0)), "Sin Pago"))</f>
        <v/>
      </c>
      <c r="Y69" s="79">
        <f>IF(X69="Sin Pago","",IFERROR(INDEX(Pagos_Odoo!$C:$C, MATCH(X69, Pagos_Odoo!$B:$B, 0)), ""))</f>
        <v/>
      </c>
      <c r="Z69" s="80">
        <f>IF(X69="Sin Pago","",IFERROR(INDEX(Pagos_Odoo!$A:$A, MATCH(X69, Pagos_Odoo!$B:$B, 0)), ""))</f>
        <v/>
      </c>
      <c r="AA69" s="79">
        <f>IF(X69="Sin Pago","",IFERROR(INDEX(Pagos_Odoo!$F:$F, MATCH(X69, Pagos_Odoo!$B:$B, 0)), ""))</f>
        <v/>
      </c>
      <c r="AB69" s="81">
        <f>IF(X69="Sin Pago",0,IFERROR(INDEX(Pagos_Odoo!$E:$E, MATCH(X69, Pagos_Odoo!$B:$B, 0)), 0))</f>
        <v/>
      </c>
      <c r="AC69" s="79">
        <f>IF(X69="Sin Pago","",IFERROR(INDEX(Pagos_Odoo!$G:$G, MATCH(X69, Pagos_Odoo!$B:$B, 0)), ""))</f>
        <v/>
      </c>
      <c r="AD69" s="82" t="n">
        <v>0</v>
      </c>
      <c r="AE69" s="82" t="n"/>
      <c r="AF69" s="82" t="n"/>
      <c r="AG69" s="82">
        <f>IF(AN69="","",AD69+AE69+AF69)</f>
        <v/>
      </c>
      <c r="AH69" s="81">
        <f>IF(AN69="","",P69*(1-AG69))</f>
        <v/>
      </c>
      <c r="AI69" s="81">
        <f>IF(AN69="","",IF(Q69="Sin Factura",0,IFERROR(INDEX(Facturas_Odoo!$H:$H, MATCH(Q69, Facturas_Odoo!$B:$B, 0)), 0)*(1-AG69)))</f>
        <v/>
      </c>
      <c r="AJ69" s="81">
        <f>IF(AN69="","",_xlfn.LET(idVenta, AN69&amp;"",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9" s="81">
        <f>IF(AN69="","",AH69-AJ69)</f>
        <v/>
      </c>
      <c r="AL69" s="81">
        <f>IF(AN69="","",IF(Q69="Sin Factura","",AI69-AJ69))</f>
        <v/>
      </c>
      <c r="AM69" s="81">
        <f>IF(AN69="","",IF(Q69="Sin Factura",0,P69-IFERROR(INDEX(Facturas_Odoo!$H:$H, MATCH(Q69, Facturas_Odoo!$B:$B, 0)), 0)))</f>
        <v/>
      </c>
      <c r="AN69" s="79">
        <f>IF(AND(A69="", J69=""), "", IF(A69&lt;&gt;"", VALUE(MID(A69,2,LEN(A69))), AN68))</f>
        <v/>
      </c>
      <c r="AO69" s="79">
        <f>IF(AN69="","",IF(AD69=0,"OK",_xlfn.LET(monedaPago, IF(AA69="","USD",AA69), limitePermitido, IFERROR(VLOOKUP(monedaPago, Configuración!$A$2:$B$3, 2, FALSE), 0.15), IF(AD69&gt;limitePermitido, "ALERTA: EXCESO (" &amp; TEXT(limitePermitido, "0%") &amp; " máx)", "OK"))))</f>
        <v/>
      </c>
      <c r="AP69" s="79">
        <f>IF(AN69="","",IF(AE69=0,"OK",_xlfn.LET(fechaPago, Z69, fechaFactura, R69, diasCredito, IF(E69="Pago inmediato", 0, IFERROR(VALUE(MID(E69, 1, SEARCH(" ", E69)-1)),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9" s="79">
        <f>IF(AN69="","",IF(AND(N69&gt;0, AG69&gt;0), IF(Configuración!$K$2="NO", "ALERTA: DESCUENTO DOBLE NO PERMITIDO", "OK"), "OK"))</f>
        <v/>
      </c>
      <c r="AR69" s="79">
        <f>IF(AN69="","",IF(OR(AO69&lt;&gt;"OK", AP69&lt;&gt;"OK", AQ69&lt;&gt;"OK"), "⚠️ REVISAR", "OK"))</f>
        <v/>
      </c>
    </row>
    <row r="70">
      <c r="A70" s="79">
        <f>IF('Ordenes_Odoo'!A70="","",'Ordenes_Odoo'!A70)</f>
        <v/>
      </c>
      <c r="B70" s="80">
        <f>IF('Ordenes_Odoo'!B70="","",'Ordenes_Odoo'!B70)</f>
        <v/>
      </c>
      <c r="C70" s="79">
        <f>IF('Ordenes_Odoo'!C70="","",'Ordenes_Odoo'!C70)</f>
        <v/>
      </c>
      <c r="D70" s="79">
        <f>IF('Ordenes_Odoo'!D70="","",'Ordenes_Odoo'!D70)</f>
        <v/>
      </c>
      <c r="E70" s="79">
        <f>IF('Ordenes_Odoo'!E70="","",'Ordenes_Odoo'!E70)</f>
        <v/>
      </c>
      <c r="F70" s="79">
        <f>IF('Ordenes_Odoo'!F70="","",'Ordenes_Odoo'!F70)</f>
        <v/>
      </c>
      <c r="G70" s="79">
        <f>IF('Ordenes_Odoo'!G70="","",'Ordenes_Odoo'!G70)</f>
        <v/>
      </c>
      <c r="H70" s="79">
        <f>IF('Ordenes_Odoo'!H70="","",'Ordenes_Odoo'!H70)</f>
        <v/>
      </c>
      <c r="I70" s="79">
        <f>IF('Ordenes_Odoo'!I70="","",'Ordenes_Odoo'!I70)</f>
        <v/>
      </c>
      <c r="J70" s="79">
        <f>IF('Ordenes_Odoo'!J70="","",'Ordenes_Odoo'!J70)</f>
        <v/>
      </c>
      <c r="K70" s="81">
        <f>IF('Ordenes_Odoo'!K70="","",'Ordenes_Odoo'!K70)</f>
        <v/>
      </c>
      <c r="L70" s="81">
        <f>IF('Ordenes_Odoo'!L70="","",'Ordenes_Odoo'!L70)</f>
        <v/>
      </c>
      <c r="M70" s="79">
        <f>IF('Ordenes_Odoo'!M70="","",'Ordenes_Odoo'!M70)</f>
        <v/>
      </c>
      <c r="N70" s="79">
        <f>IF('Ordenes_Odoo'!N70="","",'Ordenes_Odoo'!N70)</f>
        <v/>
      </c>
      <c r="O70" s="81">
        <f>IF('Ordenes_Odoo'!O70="","",'Ordenes_Odoo'!O70)</f>
        <v/>
      </c>
      <c r="P70" s="81">
        <f>IF('Ordenes_Odoo'!P70="","",'Ordenes_Odoo'!P70)</f>
        <v/>
      </c>
      <c r="Q70" s="79">
        <f>IF(A70="","",IFERROR(INDEX(Facturas_Odoo!$B:$B, MATCH(A70, Facturas_Odoo!$D:$D, 0)), "Sin Factura"))</f>
        <v/>
      </c>
      <c r="R70" s="80">
        <f>IF(Q70="Sin Factura","",IFERROR(INDEX(Facturas_Odoo!$A:$A, MATCH(Q70, Facturas_Odoo!$B:$B, 0)), ""))</f>
        <v/>
      </c>
      <c r="S70" s="79">
        <f>IF(Q70="Sin Factura","",IFERROR(_xlfn.XLOOKUP(1, (Facturas_Odoo!$D:$D=A70) * (Facturas_Odoo!$K:$K=I70), Facturas_Odoo!$L:$L, ""), ""))</f>
        <v/>
      </c>
      <c r="T70" s="81">
        <f>IF(Q70="Sin Factura",0,IFERROR(_xlfn.XLOOKUP(1, (Facturas_Odoo!$D:$D=A70) * (Facturas_Odoo!$K:$K=I70), Facturas_Odoo!$M:$M, 0), 0))</f>
        <v/>
      </c>
      <c r="U70" s="79">
        <f>IF(Q70="Sin Factura",0,IFERROR(_xlfn.XLOOKUP(1, (Facturas_Odoo!$D:$D=A70) * (Facturas_Odoo!$K:$K=I70), Facturas_Odoo!$N:$N, 0), 0))</f>
        <v/>
      </c>
      <c r="V70" s="79">
        <f>IF(Q70="Sin Factura",0,IFERROR(_xlfn.XLOOKUP(1, (Facturas_Odoo!$D:$D=A70) * (Facturas_Odoo!$K:$K=I70), Facturas_Odoo!$O:$O, 0), 0))</f>
        <v/>
      </c>
      <c r="W70" s="81">
        <f>IF(Q70="Sin Factura",0,IFERROR(_xlfn.XLOOKUP(1, (Facturas_Odoo!$D:$D=A70) * (Facturas_Odoo!$K:$K=I70), Facturas_Odoo!$Q:$Q, 0), 0))</f>
        <v/>
      </c>
      <c r="X70" s="79">
        <f>IF(OR(Q70="Sin Factura",Q70=""),"",IFERROR(INDEX(Pagos_Odoo!$B:$B, MATCH(Q70, Pagos_Odoo!$I:$I, 0)), "Sin Pago"))</f>
        <v/>
      </c>
      <c r="Y70" s="79">
        <f>IF(X70="Sin Pago","",IFERROR(INDEX(Pagos_Odoo!$C:$C, MATCH(X70, Pagos_Odoo!$B:$B, 0)), ""))</f>
        <v/>
      </c>
      <c r="Z70" s="80">
        <f>IF(X70="Sin Pago","",IFERROR(INDEX(Pagos_Odoo!$A:$A, MATCH(X70, Pagos_Odoo!$B:$B, 0)), ""))</f>
        <v/>
      </c>
      <c r="AA70" s="79">
        <f>IF(X70="Sin Pago","",IFERROR(INDEX(Pagos_Odoo!$F:$F, MATCH(X70, Pagos_Odoo!$B:$B, 0)), ""))</f>
        <v/>
      </c>
      <c r="AB70" s="81">
        <f>IF(X70="Sin Pago",0,IFERROR(INDEX(Pagos_Odoo!$E:$E, MATCH(X70, Pagos_Odoo!$B:$B, 0)), 0))</f>
        <v/>
      </c>
      <c r="AC70" s="79">
        <f>IF(X70="Sin Pago","",IFERROR(INDEX(Pagos_Odoo!$G:$G, MATCH(X70, Pagos_Odoo!$B:$B, 0)), ""))</f>
        <v/>
      </c>
      <c r="AD70" s="82" t="n">
        <v>0</v>
      </c>
      <c r="AE70" s="82" t="n"/>
      <c r="AF70" s="82" t="n"/>
      <c r="AG70" s="82">
        <f>IF(AN70="","",AD70+AE70+AF70)</f>
        <v/>
      </c>
      <c r="AH70" s="81">
        <f>IF(AN70="","",P70*(1-AG70))</f>
        <v/>
      </c>
      <c r="AI70" s="81">
        <f>IF(AN70="","",IF(Q70="Sin Factura",0,IFERROR(INDEX(Facturas_Odoo!$H:$H, MATCH(Q70, Facturas_Odoo!$B:$B, 0)), 0)*(1-AG70)))</f>
        <v/>
      </c>
      <c r="AJ70" s="81">
        <f>IF(AN70="","",_xlfn.LET(idVenta, AN70&amp;"",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0" s="81">
        <f>IF(AN70="","",AH70-AJ70)</f>
        <v/>
      </c>
      <c r="AL70" s="81">
        <f>IF(AN70="","",IF(Q70="Sin Factura","",AI70-AJ70))</f>
        <v/>
      </c>
      <c r="AM70" s="81">
        <f>IF(AN70="","",IF(Q70="Sin Factura",0,P70-IFERROR(INDEX(Facturas_Odoo!$H:$H, MATCH(Q70, Facturas_Odoo!$B:$B, 0)), 0)))</f>
        <v/>
      </c>
      <c r="AN70" s="79">
        <f>IF(AND(A70="", J70=""), "", IF(A70&lt;&gt;"", VALUE(MID(A70,2,LEN(A70))), AN69))</f>
        <v/>
      </c>
      <c r="AO70" s="79">
        <f>IF(AN70="","",IF(AD70=0,"OK",_xlfn.LET(monedaPago, IF(AA70="","USD",AA70), limitePermitido, IFERROR(VLOOKUP(monedaPago, Configuración!$A$2:$B$3, 2, FALSE), 0.15), IF(AD70&gt;limitePermitido, "ALERTA: EXCESO (" &amp; TEXT(limitePermitido, "0%") &amp; " máx)", "OK"))))</f>
        <v/>
      </c>
      <c r="AP70" s="79">
        <f>IF(AN70="","",IF(AE70=0,"OK",_xlfn.LET(fechaPago, Z70, fechaFactura, R70, diasCredito, IF(E70="Pago inmediato", 0, IFERROR(VALUE(MID(E70, 1, SEARCH(" ", E70)-1)),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0" s="79">
        <f>IF(AN70="","",IF(AND(N70&gt;0, AG70&gt;0), IF(Configuración!$K$2="NO", "ALERTA: DESCUENTO DOBLE NO PERMITIDO", "OK"), "OK"))</f>
        <v/>
      </c>
      <c r="AR70" s="79">
        <f>IF(AN70="","",IF(OR(AO70&lt;&gt;"OK", AP70&lt;&gt;"OK", AQ70&lt;&gt;"OK"), "⚠️ REVISAR", "OK"))</f>
        <v/>
      </c>
    </row>
    <row r="71">
      <c r="A71" s="79">
        <f>IF('Ordenes_Odoo'!A71="","",'Ordenes_Odoo'!A71)</f>
        <v/>
      </c>
      <c r="B71" s="80">
        <f>IF('Ordenes_Odoo'!B71="","",'Ordenes_Odoo'!B71)</f>
        <v/>
      </c>
      <c r="C71" s="79">
        <f>IF('Ordenes_Odoo'!C71="","",'Ordenes_Odoo'!C71)</f>
        <v/>
      </c>
      <c r="D71" s="79">
        <f>IF('Ordenes_Odoo'!D71="","",'Ordenes_Odoo'!D71)</f>
        <v/>
      </c>
      <c r="E71" s="79">
        <f>IF('Ordenes_Odoo'!E71="","",'Ordenes_Odoo'!E71)</f>
        <v/>
      </c>
      <c r="F71" s="79">
        <f>IF('Ordenes_Odoo'!F71="","",'Ordenes_Odoo'!F71)</f>
        <v/>
      </c>
      <c r="G71" s="79">
        <f>IF('Ordenes_Odoo'!G71="","",'Ordenes_Odoo'!G71)</f>
        <v/>
      </c>
      <c r="H71" s="79">
        <f>IF('Ordenes_Odoo'!H71="","",'Ordenes_Odoo'!H71)</f>
        <v/>
      </c>
      <c r="I71" s="79">
        <f>IF('Ordenes_Odoo'!I71="","",'Ordenes_Odoo'!I71)</f>
        <v/>
      </c>
      <c r="J71" s="79">
        <f>IF('Ordenes_Odoo'!J71="","",'Ordenes_Odoo'!J71)</f>
        <v/>
      </c>
      <c r="K71" s="81">
        <f>IF('Ordenes_Odoo'!K71="","",'Ordenes_Odoo'!K71)</f>
        <v/>
      </c>
      <c r="L71" s="81">
        <f>IF('Ordenes_Odoo'!L71="","",'Ordenes_Odoo'!L71)</f>
        <v/>
      </c>
      <c r="M71" s="79">
        <f>IF('Ordenes_Odoo'!M71="","",'Ordenes_Odoo'!M71)</f>
        <v/>
      </c>
      <c r="N71" s="79">
        <f>IF('Ordenes_Odoo'!N71="","",'Ordenes_Odoo'!N71)</f>
        <v/>
      </c>
      <c r="O71" s="81">
        <f>IF('Ordenes_Odoo'!O71="","",'Ordenes_Odoo'!O71)</f>
        <v/>
      </c>
      <c r="P71" s="81">
        <f>IF('Ordenes_Odoo'!P71="","",'Ordenes_Odoo'!P71)</f>
        <v/>
      </c>
      <c r="Q71" s="79">
        <f>IF(A71="","",IFERROR(INDEX(Facturas_Odoo!$B:$B, MATCH(A71, Facturas_Odoo!$D:$D, 0)), "Sin Factura"))</f>
        <v/>
      </c>
      <c r="R71" s="80">
        <f>IF(Q71="Sin Factura","",IFERROR(INDEX(Facturas_Odoo!$A:$A, MATCH(Q71, Facturas_Odoo!$B:$B, 0)), ""))</f>
        <v/>
      </c>
      <c r="S71" s="79">
        <f>IF(Q71="Sin Factura","",IFERROR(_xlfn.XLOOKUP(1, (Facturas_Odoo!$D:$D=A71) * (Facturas_Odoo!$K:$K=I71), Facturas_Odoo!$L:$L, ""), ""))</f>
        <v/>
      </c>
      <c r="T71" s="81">
        <f>IF(Q71="Sin Factura",0,IFERROR(_xlfn.XLOOKUP(1, (Facturas_Odoo!$D:$D=A71) * (Facturas_Odoo!$K:$K=I71), Facturas_Odoo!$M:$M, 0), 0))</f>
        <v/>
      </c>
      <c r="U71" s="79">
        <f>IF(Q71="Sin Factura",0,IFERROR(_xlfn.XLOOKUP(1, (Facturas_Odoo!$D:$D=A71) * (Facturas_Odoo!$K:$K=I71), Facturas_Odoo!$N:$N, 0), 0))</f>
        <v/>
      </c>
      <c r="V71" s="79">
        <f>IF(Q71="Sin Factura",0,IFERROR(_xlfn.XLOOKUP(1, (Facturas_Odoo!$D:$D=A71) * (Facturas_Odoo!$K:$K=I71), Facturas_Odoo!$O:$O, 0), 0))</f>
        <v/>
      </c>
      <c r="W71" s="81">
        <f>IF(Q71="Sin Factura",0,IFERROR(_xlfn.XLOOKUP(1, (Facturas_Odoo!$D:$D=A71) * (Facturas_Odoo!$K:$K=I71), Facturas_Odoo!$Q:$Q, 0), 0))</f>
        <v/>
      </c>
      <c r="X71" s="79">
        <f>IF(OR(Q71="Sin Factura",Q71=""),"",IFERROR(INDEX(Pagos_Odoo!$B:$B, MATCH(Q71, Pagos_Odoo!$I:$I, 0)), "Sin Pago"))</f>
        <v/>
      </c>
      <c r="Y71" s="79">
        <f>IF(X71="Sin Pago","",IFERROR(INDEX(Pagos_Odoo!$C:$C, MATCH(X71, Pagos_Odoo!$B:$B, 0)), ""))</f>
        <v/>
      </c>
      <c r="Z71" s="80">
        <f>IF(X71="Sin Pago","",IFERROR(INDEX(Pagos_Odoo!$A:$A, MATCH(X71, Pagos_Odoo!$B:$B, 0)), ""))</f>
        <v/>
      </c>
      <c r="AA71" s="79">
        <f>IF(X71="Sin Pago","",IFERROR(INDEX(Pagos_Odoo!$F:$F, MATCH(X71, Pagos_Odoo!$B:$B, 0)), ""))</f>
        <v/>
      </c>
      <c r="AB71" s="81">
        <f>IF(X71="Sin Pago",0,IFERROR(INDEX(Pagos_Odoo!$E:$E, MATCH(X71, Pagos_Odoo!$B:$B, 0)), 0))</f>
        <v/>
      </c>
      <c r="AC71" s="79">
        <f>IF(X71="Sin Pago","",IFERROR(INDEX(Pagos_Odoo!$G:$G, MATCH(X71, Pagos_Odoo!$B:$B, 0)), ""))</f>
        <v/>
      </c>
      <c r="AD71" s="82" t="n">
        <v>0</v>
      </c>
      <c r="AE71" s="82" t="n"/>
      <c r="AF71" s="82" t="n"/>
      <c r="AG71" s="82">
        <f>IF(AN71="","",AD71+AE71+AF71)</f>
        <v/>
      </c>
      <c r="AH71" s="81">
        <f>IF(AN71="","",P71*(1-AG71))</f>
        <v/>
      </c>
      <c r="AI71" s="81">
        <f>IF(AN71="","",IF(Q71="Sin Factura",0,IFERROR(INDEX(Facturas_Odoo!$H:$H, MATCH(Q71, Facturas_Odoo!$B:$B, 0)), 0)*(1-AG71)))</f>
        <v/>
      </c>
      <c r="AJ71" s="81">
        <f>IF(AN71="","",_xlfn.LET(idVenta, AN71&amp;"",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1" s="81">
        <f>IF(AN71="","",AH71-AJ71)</f>
        <v/>
      </c>
      <c r="AL71" s="81">
        <f>IF(AN71="","",IF(Q71="Sin Factura","",AI71-AJ71))</f>
        <v/>
      </c>
      <c r="AM71" s="81">
        <f>IF(AN71="","",IF(Q71="Sin Factura",0,P71-IFERROR(INDEX(Facturas_Odoo!$H:$H, MATCH(Q71, Facturas_Odoo!$B:$B, 0)), 0)))</f>
        <v/>
      </c>
      <c r="AN71" s="79">
        <f>IF(AND(A71="", J71=""), "", IF(A71&lt;&gt;"", VALUE(MID(A71,2,LEN(A71))), AN70))</f>
        <v/>
      </c>
      <c r="AO71" s="79">
        <f>IF(AN71="","",IF(AD71=0,"OK",_xlfn.LET(monedaPago, IF(AA71="","USD",AA71), limitePermitido, IFERROR(VLOOKUP(monedaPago, Configuración!$A$2:$B$3, 2, FALSE), 0.15), IF(AD71&gt;limitePermitido, "ALERTA: EXCESO (" &amp; TEXT(limitePermitido, "0%") &amp; " máx)", "OK"))))</f>
        <v/>
      </c>
      <c r="AP71" s="79">
        <f>IF(AN71="","",IF(AE71=0,"OK",_xlfn.LET(fechaPago, Z71, fechaFactura, R71, diasCredito, IF(E71="Pago inmediato", 0, IFERROR(VALUE(MID(E71, 1, SEARCH(" ", E71)-1)),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1" s="79">
        <f>IF(AN71="","",IF(AND(N71&gt;0, AG71&gt;0), IF(Configuración!$K$2="NO", "ALERTA: DESCUENTO DOBLE NO PERMITIDO", "OK"), "OK"))</f>
        <v/>
      </c>
      <c r="AR71" s="79">
        <f>IF(AN71="","",IF(OR(AO71&lt;&gt;"OK", AP71&lt;&gt;"OK", AQ71&lt;&gt;"OK"), "⚠️ REVISAR", "OK"))</f>
        <v/>
      </c>
    </row>
    <row r="72">
      <c r="A72" s="79">
        <f>IF('Ordenes_Odoo'!A72="","",'Ordenes_Odoo'!A72)</f>
        <v/>
      </c>
      <c r="B72" s="80">
        <f>IF('Ordenes_Odoo'!B72="","",'Ordenes_Odoo'!B72)</f>
        <v/>
      </c>
      <c r="C72" s="79">
        <f>IF('Ordenes_Odoo'!C72="","",'Ordenes_Odoo'!C72)</f>
        <v/>
      </c>
      <c r="D72" s="79">
        <f>IF('Ordenes_Odoo'!D72="","",'Ordenes_Odoo'!D72)</f>
        <v/>
      </c>
      <c r="E72" s="79">
        <f>IF('Ordenes_Odoo'!E72="","",'Ordenes_Odoo'!E72)</f>
        <v/>
      </c>
      <c r="F72" s="79">
        <f>IF('Ordenes_Odoo'!F72="","",'Ordenes_Odoo'!F72)</f>
        <v/>
      </c>
      <c r="G72" s="79">
        <f>IF('Ordenes_Odoo'!G72="","",'Ordenes_Odoo'!G72)</f>
        <v/>
      </c>
      <c r="H72" s="79">
        <f>IF('Ordenes_Odoo'!H72="","",'Ordenes_Odoo'!H72)</f>
        <v/>
      </c>
      <c r="I72" s="79">
        <f>IF('Ordenes_Odoo'!I72="","",'Ordenes_Odoo'!I72)</f>
        <v/>
      </c>
      <c r="J72" s="79">
        <f>IF('Ordenes_Odoo'!J72="","",'Ordenes_Odoo'!J72)</f>
        <v/>
      </c>
      <c r="K72" s="81">
        <f>IF('Ordenes_Odoo'!K72="","",'Ordenes_Odoo'!K72)</f>
        <v/>
      </c>
      <c r="L72" s="81">
        <f>IF('Ordenes_Odoo'!L72="","",'Ordenes_Odoo'!L72)</f>
        <v/>
      </c>
      <c r="M72" s="79">
        <f>IF('Ordenes_Odoo'!M72="","",'Ordenes_Odoo'!M72)</f>
        <v/>
      </c>
      <c r="N72" s="79">
        <f>IF('Ordenes_Odoo'!N72="","",'Ordenes_Odoo'!N72)</f>
        <v/>
      </c>
      <c r="O72" s="81">
        <f>IF('Ordenes_Odoo'!O72="","",'Ordenes_Odoo'!O72)</f>
        <v/>
      </c>
      <c r="P72" s="81">
        <f>IF('Ordenes_Odoo'!P72="","",'Ordenes_Odoo'!P72)</f>
        <v/>
      </c>
      <c r="Q72" s="79">
        <f>IF(A72="","",IFERROR(INDEX(Facturas_Odoo!$B:$B, MATCH(A72, Facturas_Odoo!$D:$D, 0)), "Sin Factura"))</f>
        <v/>
      </c>
      <c r="R72" s="80">
        <f>IF(Q72="Sin Factura","",IFERROR(INDEX(Facturas_Odoo!$A:$A, MATCH(Q72, Facturas_Odoo!$B:$B, 0)), ""))</f>
        <v/>
      </c>
      <c r="S72" s="79">
        <f>IF(Q72="Sin Factura","",IFERROR(_xlfn.XLOOKUP(1, (Facturas_Odoo!$D:$D=A72) * (Facturas_Odoo!$K:$K=I72), Facturas_Odoo!$L:$L, ""), ""))</f>
        <v/>
      </c>
      <c r="T72" s="81">
        <f>IF(Q72="Sin Factura",0,IFERROR(_xlfn.XLOOKUP(1, (Facturas_Odoo!$D:$D=A72) * (Facturas_Odoo!$K:$K=I72), Facturas_Odoo!$M:$M, 0), 0))</f>
        <v/>
      </c>
      <c r="U72" s="79">
        <f>IF(Q72="Sin Factura",0,IFERROR(_xlfn.XLOOKUP(1, (Facturas_Odoo!$D:$D=A72) * (Facturas_Odoo!$K:$K=I72), Facturas_Odoo!$N:$N, 0), 0))</f>
        <v/>
      </c>
      <c r="V72" s="79">
        <f>IF(Q72="Sin Factura",0,IFERROR(_xlfn.XLOOKUP(1, (Facturas_Odoo!$D:$D=A72) * (Facturas_Odoo!$K:$K=I72), Facturas_Odoo!$O:$O, 0), 0))</f>
        <v/>
      </c>
      <c r="W72" s="81">
        <f>IF(Q72="Sin Factura",0,IFERROR(_xlfn.XLOOKUP(1, (Facturas_Odoo!$D:$D=A72) * (Facturas_Odoo!$K:$K=I72), Facturas_Odoo!$Q:$Q, 0), 0))</f>
        <v/>
      </c>
      <c r="X72" s="79">
        <f>IF(OR(Q72="Sin Factura",Q72=""),"",IFERROR(INDEX(Pagos_Odoo!$B:$B, MATCH(Q72, Pagos_Odoo!$I:$I, 0)), "Sin Pago"))</f>
        <v/>
      </c>
      <c r="Y72" s="79">
        <f>IF(X72="Sin Pago","",IFERROR(INDEX(Pagos_Odoo!$C:$C, MATCH(X72, Pagos_Odoo!$B:$B, 0)), ""))</f>
        <v/>
      </c>
      <c r="Z72" s="80">
        <f>IF(X72="Sin Pago","",IFERROR(INDEX(Pagos_Odoo!$A:$A, MATCH(X72, Pagos_Odoo!$B:$B, 0)), ""))</f>
        <v/>
      </c>
      <c r="AA72" s="79">
        <f>IF(X72="Sin Pago","",IFERROR(INDEX(Pagos_Odoo!$F:$F, MATCH(X72, Pagos_Odoo!$B:$B, 0)), ""))</f>
        <v/>
      </c>
      <c r="AB72" s="81">
        <f>IF(X72="Sin Pago",0,IFERROR(INDEX(Pagos_Odoo!$E:$E, MATCH(X72, Pagos_Odoo!$B:$B, 0)), 0))</f>
        <v/>
      </c>
      <c r="AC72" s="79">
        <f>IF(X72="Sin Pago","",IFERROR(INDEX(Pagos_Odoo!$G:$G, MATCH(X72, Pagos_Odoo!$B:$B, 0)), ""))</f>
        <v/>
      </c>
      <c r="AD72" s="82" t="n">
        <v>0</v>
      </c>
      <c r="AE72" s="82" t="n"/>
      <c r="AF72" s="82" t="n"/>
      <c r="AG72" s="82">
        <f>IF(AN72="","",AD72+AE72+AF72)</f>
        <v/>
      </c>
      <c r="AH72" s="81">
        <f>IF(AN72="","",P72*(1-AG72))</f>
        <v/>
      </c>
      <c r="AI72" s="81">
        <f>IF(AN72="","",IF(Q72="Sin Factura",0,IFERROR(INDEX(Facturas_Odoo!$H:$H, MATCH(Q72, Facturas_Odoo!$B:$B, 0)), 0)*(1-AG72)))</f>
        <v/>
      </c>
      <c r="AJ72" s="81">
        <f>IF(AN72="","",_xlfn.LET(idVenta, AN72&amp;"",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2" s="81">
        <f>IF(AN72="","",AH72-AJ72)</f>
        <v/>
      </c>
      <c r="AL72" s="81">
        <f>IF(AN72="","",IF(Q72="Sin Factura","",AI72-AJ72))</f>
        <v/>
      </c>
      <c r="AM72" s="81">
        <f>IF(AN72="","",IF(Q72="Sin Factura",0,P72-IFERROR(INDEX(Facturas_Odoo!$H:$H, MATCH(Q72, Facturas_Odoo!$B:$B, 0)), 0)))</f>
        <v/>
      </c>
      <c r="AN72" s="79">
        <f>IF(AND(A72="", J72=""), "", IF(A72&lt;&gt;"", VALUE(MID(A72,2,LEN(A72))), AN71))</f>
        <v/>
      </c>
      <c r="AO72" s="79">
        <f>IF(AN72="","",IF(AD72=0,"OK",_xlfn.LET(monedaPago, IF(AA72="","USD",AA72), limitePermitido, IFERROR(VLOOKUP(monedaPago, Configuración!$A$2:$B$3, 2, FALSE), 0.15), IF(AD72&gt;limitePermitido, "ALERTA: EXCESO (" &amp; TEXT(limitePermitido, "0%") &amp; " máx)", "OK"))))</f>
        <v/>
      </c>
      <c r="AP72" s="79">
        <f>IF(AN72="","",IF(AE72=0,"OK",_xlfn.LET(fechaPago, Z72, fechaFactura, R72, diasCredito, IF(E72="Pago inmediato", 0, IFERROR(VALUE(MID(E72, 1, SEARCH(" ", E72)-1)),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2" s="79">
        <f>IF(AN72="","",IF(AND(N72&gt;0, AG72&gt;0), IF(Configuración!$K$2="NO", "ALERTA: DESCUENTO DOBLE NO PERMITIDO", "OK"), "OK"))</f>
        <v/>
      </c>
      <c r="AR72" s="79">
        <f>IF(AN72="","",IF(OR(AO72&lt;&gt;"OK", AP72&lt;&gt;"OK", AQ72&lt;&gt;"OK"), "⚠️ REVISAR", "OK"))</f>
        <v/>
      </c>
    </row>
    <row r="73">
      <c r="A73" s="79">
        <f>IF('Ordenes_Odoo'!A73="","",'Ordenes_Odoo'!A73)</f>
        <v/>
      </c>
      <c r="B73" s="80">
        <f>IF('Ordenes_Odoo'!B73="","",'Ordenes_Odoo'!B73)</f>
        <v/>
      </c>
      <c r="C73" s="79">
        <f>IF('Ordenes_Odoo'!C73="","",'Ordenes_Odoo'!C73)</f>
        <v/>
      </c>
      <c r="D73" s="79">
        <f>IF('Ordenes_Odoo'!D73="","",'Ordenes_Odoo'!D73)</f>
        <v/>
      </c>
      <c r="E73" s="79">
        <f>IF('Ordenes_Odoo'!E73="","",'Ordenes_Odoo'!E73)</f>
        <v/>
      </c>
      <c r="F73" s="79">
        <f>IF('Ordenes_Odoo'!F73="","",'Ordenes_Odoo'!F73)</f>
        <v/>
      </c>
      <c r="G73" s="79">
        <f>IF('Ordenes_Odoo'!G73="","",'Ordenes_Odoo'!G73)</f>
        <v/>
      </c>
      <c r="H73" s="79">
        <f>IF('Ordenes_Odoo'!H73="","",'Ordenes_Odoo'!H73)</f>
        <v/>
      </c>
      <c r="I73" s="79">
        <f>IF('Ordenes_Odoo'!I73="","",'Ordenes_Odoo'!I73)</f>
        <v/>
      </c>
      <c r="J73" s="79">
        <f>IF('Ordenes_Odoo'!J73="","",'Ordenes_Odoo'!J73)</f>
        <v/>
      </c>
      <c r="K73" s="81">
        <f>IF('Ordenes_Odoo'!K73="","",'Ordenes_Odoo'!K73)</f>
        <v/>
      </c>
      <c r="L73" s="81">
        <f>IF('Ordenes_Odoo'!L73="","",'Ordenes_Odoo'!L73)</f>
        <v/>
      </c>
      <c r="M73" s="79">
        <f>IF('Ordenes_Odoo'!M73="","",'Ordenes_Odoo'!M73)</f>
        <v/>
      </c>
      <c r="N73" s="79">
        <f>IF('Ordenes_Odoo'!N73="","",'Ordenes_Odoo'!N73)</f>
        <v/>
      </c>
      <c r="O73" s="81">
        <f>IF('Ordenes_Odoo'!O73="","",'Ordenes_Odoo'!O73)</f>
        <v/>
      </c>
      <c r="P73" s="81">
        <f>IF('Ordenes_Odoo'!P73="","",'Ordenes_Odoo'!P73)</f>
        <v/>
      </c>
      <c r="Q73" s="79">
        <f>IF(A73="","",IFERROR(INDEX(Facturas_Odoo!$B:$B, MATCH(A73, Facturas_Odoo!$D:$D, 0)), "Sin Factura"))</f>
        <v/>
      </c>
      <c r="R73" s="80">
        <f>IF(Q73="Sin Factura","",IFERROR(INDEX(Facturas_Odoo!$A:$A, MATCH(Q73, Facturas_Odoo!$B:$B, 0)), ""))</f>
        <v/>
      </c>
      <c r="S73" s="79">
        <f>IF(Q73="Sin Factura","",IFERROR(_xlfn.XLOOKUP(1, (Facturas_Odoo!$D:$D=A73) * (Facturas_Odoo!$K:$K=I73), Facturas_Odoo!$L:$L, ""), ""))</f>
        <v/>
      </c>
      <c r="T73" s="81">
        <f>IF(Q73="Sin Factura",0,IFERROR(_xlfn.XLOOKUP(1, (Facturas_Odoo!$D:$D=A73) * (Facturas_Odoo!$K:$K=I73), Facturas_Odoo!$M:$M, 0), 0))</f>
        <v/>
      </c>
      <c r="U73" s="79">
        <f>IF(Q73="Sin Factura",0,IFERROR(_xlfn.XLOOKUP(1, (Facturas_Odoo!$D:$D=A73) * (Facturas_Odoo!$K:$K=I73), Facturas_Odoo!$N:$N, 0), 0))</f>
        <v/>
      </c>
      <c r="V73" s="79">
        <f>IF(Q73="Sin Factura",0,IFERROR(_xlfn.XLOOKUP(1, (Facturas_Odoo!$D:$D=A73) * (Facturas_Odoo!$K:$K=I73), Facturas_Odoo!$O:$O, 0), 0))</f>
        <v/>
      </c>
      <c r="W73" s="81">
        <f>IF(Q73="Sin Factura",0,IFERROR(_xlfn.XLOOKUP(1, (Facturas_Odoo!$D:$D=A73) * (Facturas_Odoo!$K:$K=I73), Facturas_Odoo!$Q:$Q, 0), 0))</f>
        <v/>
      </c>
      <c r="X73" s="79">
        <f>IF(OR(Q73="Sin Factura",Q73=""),"",IFERROR(INDEX(Pagos_Odoo!$B:$B, MATCH(Q73, Pagos_Odoo!$I:$I, 0)), "Sin Pago"))</f>
        <v/>
      </c>
      <c r="Y73" s="79">
        <f>IF(X73="Sin Pago","",IFERROR(INDEX(Pagos_Odoo!$C:$C, MATCH(X73, Pagos_Odoo!$B:$B, 0)), ""))</f>
        <v/>
      </c>
      <c r="Z73" s="80">
        <f>IF(X73="Sin Pago","",IFERROR(INDEX(Pagos_Odoo!$A:$A, MATCH(X73, Pagos_Odoo!$B:$B, 0)), ""))</f>
        <v/>
      </c>
      <c r="AA73" s="79">
        <f>IF(X73="Sin Pago","",IFERROR(INDEX(Pagos_Odoo!$F:$F, MATCH(X73, Pagos_Odoo!$B:$B, 0)), ""))</f>
        <v/>
      </c>
      <c r="AB73" s="81">
        <f>IF(X73="Sin Pago",0,IFERROR(INDEX(Pagos_Odoo!$E:$E, MATCH(X73, Pagos_Odoo!$B:$B, 0)), 0))</f>
        <v/>
      </c>
      <c r="AC73" s="79">
        <f>IF(X73="Sin Pago","",IFERROR(INDEX(Pagos_Odoo!$G:$G, MATCH(X73, Pagos_Odoo!$B:$B, 0)), ""))</f>
        <v/>
      </c>
      <c r="AD73" s="82" t="n">
        <v>0</v>
      </c>
      <c r="AE73" s="82" t="n"/>
      <c r="AF73" s="82" t="n"/>
      <c r="AG73" s="82">
        <f>IF(AN73="","",AD73+AE73+AF73)</f>
        <v/>
      </c>
      <c r="AH73" s="81">
        <f>IF(AN73="","",P73*(1-AG73))</f>
        <v/>
      </c>
      <c r="AI73" s="81">
        <f>IF(AN73="","",IF(Q73="Sin Factura",0,IFERROR(INDEX(Facturas_Odoo!$H:$H, MATCH(Q73, Facturas_Odoo!$B:$B, 0)), 0)*(1-AG73)))</f>
        <v/>
      </c>
      <c r="AJ73" s="81">
        <f>IF(AN73="","",_xlfn.LET(idVenta, AN73&amp;"",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3" s="81">
        <f>IF(AN73="","",AH73-AJ73)</f>
        <v/>
      </c>
      <c r="AL73" s="81">
        <f>IF(AN73="","",IF(Q73="Sin Factura","",AI73-AJ73))</f>
        <v/>
      </c>
      <c r="AM73" s="81">
        <f>IF(AN73="","",IF(Q73="Sin Factura",0,P73-IFERROR(INDEX(Facturas_Odoo!$H:$H, MATCH(Q73, Facturas_Odoo!$B:$B, 0)), 0)))</f>
        <v/>
      </c>
      <c r="AN73" s="79">
        <f>IF(AND(A73="", J73=""), "", IF(A73&lt;&gt;"", VALUE(MID(A73,2,LEN(A73))), AN72))</f>
        <v/>
      </c>
      <c r="AO73" s="79">
        <f>IF(AN73="","",IF(AD73=0,"OK",_xlfn.LET(monedaPago, IF(AA73="","USD",AA73), limitePermitido, IFERROR(VLOOKUP(monedaPago, Configuración!$A$2:$B$3, 2, FALSE), 0.15), IF(AD73&gt;limitePermitido, "ALERTA: EXCESO (" &amp; TEXT(limitePermitido, "0%") &amp; " máx)", "OK"))))</f>
        <v/>
      </c>
      <c r="AP73" s="79">
        <f>IF(AN73="","",IF(AE73=0,"OK",_xlfn.LET(fechaPago, Z73, fechaFactura, R73, diasCredito, IF(E73="Pago inmediato", 0, IFERROR(VALUE(MID(E73, 1, SEARCH(" ", E73)-1)),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3" s="79">
        <f>IF(AN73="","",IF(AND(N73&gt;0, AG73&gt;0), IF(Configuración!$K$2="NO", "ALERTA: DESCUENTO DOBLE NO PERMITIDO", "OK"), "OK"))</f>
        <v/>
      </c>
      <c r="AR73" s="79">
        <f>IF(AN73="","",IF(OR(AO73&lt;&gt;"OK", AP73&lt;&gt;"OK", AQ73&lt;&gt;"OK"), "⚠️ REVISAR", "OK"))</f>
        <v/>
      </c>
    </row>
    <row r="74">
      <c r="A74" s="79">
        <f>IF('Ordenes_Odoo'!A74="","",'Ordenes_Odoo'!A74)</f>
        <v/>
      </c>
      <c r="B74" s="80">
        <f>IF('Ordenes_Odoo'!B74="","",'Ordenes_Odoo'!B74)</f>
        <v/>
      </c>
      <c r="C74" s="79">
        <f>IF('Ordenes_Odoo'!C74="","",'Ordenes_Odoo'!C74)</f>
        <v/>
      </c>
      <c r="D74" s="79">
        <f>IF('Ordenes_Odoo'!D74="","",'Ordenes_Odoo'!D74)</f>
        <v/>
      </c>
      <c r="E74" s="79">
        <f>IF('Ordenes_Odoo'!E74="","",'Ordenes_Odoo'!E74)</f>
        <v/>
      </c>
      <c r="F74" s="79">
        <f>IF('Ordenes_Odoo'!F74="","",'Ordenes_Odoo'!F74)</f>
        <v/>
      </c>
      <c r="G74" s="79">
        <f>IF('Ordenes_Odoo'!G74="","",'Ordenes_Odoo'!G74)</f>
        <v/>
      </c>
      <c r="H74" s="79">
        <f>IF('Ordenes_Odoo'!H74="","",'Ordenes_Odoo'!H74)</f>
        <v/>
      </c>
      <c r="I74" s="79">
        <f>IF('Ordenes_Odoo'!I74="","",'Ordenes_Odoo'!I74)</f>
        <v/>
      </c>
      <c r="J74" s="79">
        <f>IF('Ordenes_Odoo'!J74="","",'Ordenes_Odoo'!J74)</f>
        <v/>
      </c>
      <c r="K74" s="81">
        <f>IF('Ordenes_Odoo'!K74="","",'Ordenes_Odoo'!K74)</f>
        <v/>
      </c>
      <c r="L74" s="81">
        <f>IF('Ordenes_Odoo'!L74="","",'Ordenes_Odoo'!L74)</f>
        <v/>
      </c>
      <c r="M74" s="79">
        <f>IF('Ordenes_Odoo'!M74="","",'Ordenes_Odoo'!M74)</f>
        <v/>
      </c>
      <c r="N74" s="79">
        <f>IF('Ordenes_Odoo'!N74="","",'Ordenes_Odoo'!N74)</f>
        <v/>
      </c>
      <c r="O74" s="81">
        <f>IF('Ordenes_Odoo'!O74="","",'Ordenes_Odoo'!O74)</f>
        <v/>
      </c>
      <c r="P74" s="81">
        <f>IF('Ordenes_Odoo'!P74="","",'Ordenes_Odoo'!P74)</f>
        <v/>
      </c>
      <c r="Q74" s="79">
        <f>IF(A74="","",IFERROR(INDEX(Facturas_Odoo!$B:$B, MATCH(A74, Facturas_Odoo!$D:$D, 0)), "Sin Factura"))</f>
        <v/>
      </c>
      <c r="R74" s="80">
        <f>IF(Q74="Sin Factura","",IFERROR(INDEX(Facturas_Odoo!$A:$A, MATCH(Q74, Facturas_Odoo!$B:$B, 0)), ""))</f>
        <v/>
      </c>
      <c r="S74" s="79">
        <f>IF(Q74="Sin Factura","",IFERROR(_xlfn.XLOOKUP(1, (Facturas_Odoo!$D:$D=A74) * (Facturas_Odoo!$K:$K=I74), Facturas_Odoo!$L:$L, ""), ""))</f>
        <v/>
      </c>
      <c r="T74" s="81">
        <f>IF(Q74="Sin Factura",0,IFERROR(_xlfn.XLOOKUP(1, (Facturas_Odoo!$D:$D=A74) * (Facturas_Odoo!$K:$K=I74), Facturas_Odoo!$M:$M, 0), 0))</f>
        <v/>
      </c>
      <c r="U74" s="79">
        <f>IF(Q74="Sin Factura",0,IFERROR(_xlfn.XLOOKUP(1, (Facturas_Odoo!$D:$D=A74) * (Facturas_Odoo!$K:$K=I74), Facturas_Odoo!$N:$N, 0), 0))</f>
        <v/>
      </c>
      <c r="V74" s="79">
        <f>IF(Q74="Sin Factura",0,IFERROR(_xlfn.XLOOKUP(1, (Facturas_Odoo!$D:$D=A74) * (Facturas_Odoo!$K:$K=I74), Facturas_Odoo!$O:$O, 0), 0))</f>
        <v/>
      </c>
      <c r="W74" s="81">
        <f>IF(Q74="Sin Factura",0,IFERROR(_xlfn.XLOOKUP(1, (Facturas_Odoo!$D:$D=A74) * (Facturas_Odoo!$K:$K=I74), Facturas_Odoo!$Q:$Q, 0), 0))</f>
        <v/>
      </c>
      <c r="X74" s="79">
        <f>IF(OR(Q74="Sin Factura",Q74=""),"",IFERROR(INDEX(Pagos_Odoo!$B:$B, MATCH(Q74, Pagos_Odoo!$I:$I, 0)), "Sin Pago"))</f>
        <v/>
      </c>
      <c r="Y74" s="79">
        <f>IF(X74="Sin Pago","",IFERROR(INDEX(Pagos_Odoo!$C:$C, MATCH(X74, Pagos_Odoo!$B:$B, 0)), ""))</f>
        <v/>
      </c>
      <c r="Z74" s="80">
        <f>IF(X74="Sin Pago","",IFERROR(INDEX(Pagos_Odoo!$A:$A, MATCH(X74, Pagos_Odoo!$B:$B, 0)), ""))</f>
        <v/>
      </c>
      <c r="AA74" s="79">
        <f>IF(X74="Sin Pago","",IFERROR(INDEX(Pagos_Odoo!$F:$F, MATCH(X74, Pagos_Odoo!$B:$B, 0)), ""))</f>
        <v/>
      </c>
      <c r="AB74" s="81">
        <f>IF(X74="Sin Pago",0,IFERROR(INDEX(Pagos_Odoo!$E:$E, MATCH(X74, Pagos_Odoo!$B:$B, 0)), 0))</f>
        <v/>
      </c>
      <c r="AC74" s="79">
        <f>IF(X74="Sin Pago","",IFERROR(INDEX(Pagos_Odoo!$G:$G, MATCH(X74, Pagos_Odoo!$B:$B, 0)), ""))</f>
        <v/>
      </c>
      <c r="AD74" s="82" t="n">
        <v>0</v>
      </c>
      <c r="AE74" s="82" t="n"/>
      <c r="AF74" s="82" t="n"/>
      <c r="AG74" s="82">
        <f>IF(AN74="","",AD74+AE74+AF74)</f>
        <v/>
      </c>
      <c r="AH74" s="81">
        <f>IF(AN74="","",P74*(1-AG74))</f>
        <v/>
      </c>
      <c r="AI74" s="81">
        <f>IF(AN74="","",IF(Q74="Sin Factura",0,IFERROR(INDEX(Facturas_Odoo!$H:$H, MATCH(Q74, Facturas_Odoo!$B:$B, 0)), 0)*(1-AG74)))</f>
        <v/>
      </c>
      <c r="AJ74" s="81">
        <f>IF(AN74="","",_xlfn.LET(idVenta, AN74&amp;"",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4" s="81">
        <f>IF(AN74="","",AH74-AJ74)</f>
        <v/>
      </c>
      <c r="AL74" s="81">
        <f>IF(AN74="","",IF(Q74="Sin Factura","",AI74-AJ74))</f>
        <v/>
      </c>
      <c r="AM74" s="81">
        <f>IF(AN74="","",IF(Q74="Sin Factura",0,P74-IFERROR(INDEX(Facturas_Odoo!$H:$H, MATCH(Q74, Facturas_Odoo!$B:$B, 0)), 0)))</f>
        <v/>
      </c>
      <c r="AN74" s="79">
        <f>IF(AND(A74="", J74=""), "", IF(A74&lt;&gt;"", VALUE(MID(A74,2,LEN(A74))), AN73))</f>
        <v/>
      </c>
      <c r="AO74" s="79">
        <f>IF(AN74="","",IF(AD74=0,"OK",_xlfn.LET(monedaPago, IF(AA74="","USD",AA74), limitePermitido, IFERROR(VLOOKUP(monedaPago, Configuración!$A$2:$B$3, 2, FALSE), 0.15), IF(AD74&gt;limitePermitido, "ALERTA: EXCESO (" &amp; TEXT(limitePermitido, "0%") &amp; " máx)", "OK"))))</f>
        <v/>
      </c>
      <c r="AP74" s="79">
        <f>IF(AN74="","",IF(AE74=0,"OK",_xlfn.LET(fechaPago, Z74, fechaFactura, R74, diasCredito, IF(E74="Pago inmediato", 0, IFERROR(VALUE(MID(E74, 1, SEARCH(" ", E74)-1)),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4" s="79">
        <f>IF(AN74="","",IF(AND(N74&gt;0, AG74&gt;0), IF(Configuración!$K$2="NO", "ALERTA: DESCUENTO DOBLE NO PERMITIDO", "OK"), "OK"))</f>
        <v/>
      </c>
      <c r="AR74" s="79">
        <f>IF(AN74="","",IF(OR(AO74&lt;&gt;"OK", AP74&lt;&gt;"OK", AQ74&lt;&gt;"OK"), "⚠️ REVISAR", "OK"))</f>
        <v/>
      </c>
    </row>
    <row r="75">
      <c r="A75" s="79">
        <f>IF('Ordenes_Odoo'!A75="","",'Ordenes_Odoo'!A75)</f>
        <v/>
      </c>
      <c r="B75" s="80">
        <f>IF('Ordenes_Odoo'!B75="","",'Ordenes_Odoo'!B75)</f>
        <v/>
      </c>
      <c r="C75" s="79">
        <f>IF('Ordenes_Odoo'!C75="","",'Ordenes_Odoo'!C75)</f>
        <v/>
      </c>
      <c r="D75" s="79">
        <f>IF('Ordenes_Odoo'!D75="","",'Ordenes_Odoo'!D75)</f>
        <v/>
      </c>
      <c r="E75" s="79">
        <f>IF('Ordenes_Odoo'!E75="","",'Ordenes_Odoo'!E75)</f>
        <v/>
      </c>
      <c r="F75" s="79">
        <f>IF('Ordenes_Odoo'!F75="","",'Ordenes_Odoo'!F75)</f>
        <v/>
      </c>
      <c r="G75" s="79">
        <f>IF('Ordenes_Odoo'!G75="","",'Ordenes_Odoo'!G75)</f>
        <v/>
      </c>
      <c r="H75" s="79">
        <f>IF('Ordenes_Odoo'!H75="","",'Ordenes_Odoo'!H75)</f>
        <v/>
      </c>
      <c r="I75" s="79">
        <f>IF('Ordenes_Odoo'!I75="","",'Ordenes_Odoo'!I75)</f>
        <v/>
      </c>
      <c r="J75" s="79">
        <f>IF('Ordenes_Odoo'!J75="","",'Ordenes_Odoo'!J75)</f>
        <v/>
      </c>
      <c r="K75" s="81">
        <f>IF('Ordenes_Odoo'!K75="","",'Ordenes_Odoo'!K75)</f>
        <v/>
      </c>
      <c r="L75" s="81">
        <f>IF('Ordenes_Odoo'!L75="","",'Ordenes_Odoo'!L75)</f>
        <v/>
      </c>
      <c r="M75" s="79">
        <f>IF('Ordenes_Odoo'!M75="","",'Ordenes_Odoo'!M75)</f>
        <v/>
      </c>
      <c r="N75" s="79">
        <f>IF('Ordenes_Odoo'!N75="","",'Ordenes_Odoo'!N75)</f>
        <v/>
      </c>
      <c r="O75" s="81">
        <f>IF('Ordenes_Odoo'!O75="","",'Ordenes_Odoo'!O75)</f>
        <v/>
      </c>
      <c r="P75" s="81">
        <f>IF('Ordenes_Odoo'!P75="","",'Ordenes_Odoo'!P75)</f>
        <v/>
      </c>
      <c r="Q75" s="79">
        <f>IF(A75="","",IFERROR(INDEX(Facturas_Odoo!$B:$B, MATCH(A75, Facturas_Odoo!$D:$D, 0)), "Sin Factura"))</f>
        <v/>
      </c>
      <c r="R75" s="80">
        <f>IF(Q75="Sin Factura","",IFERROR(INDEX(Facturas_Odoo!$A:$A, MATCH(Q75, Facturas_Odoo!$B:$B, 0)), ""))</f>
        <v/>
      </c>
      <c r="S75" s="79">
        <f>IF(Q75="Sin Factura","",IFERROR(_xlfn.XLOOKUP(1, (Facturas_Odoo!$D:$D=A75) * (Facturas_Odoo!$K:$K=I75), Facturas_Odoo!$L:$L, ""), ""))</f>
        <v/>
      </c>
      <c r="T75" s="81">
        <f>IF(Q75="Sin Factura",0,IFERROR(_xlfn.XLOOKUP(1, (Facturas_Odoo!$D:$D=A75) * (Facturas_Odoo!$K:$K=I75), Facturas_Odoo!$M:$M, 0), 0))</f>
        <v/>
      </c>
      <c r="U75" s="79">
        <f>IF(Q75="Sin Factura",0,IFERROR(_xlfn.XLOOKUP(1, (Facturas_Odoo!$D:$D=A75) * (Facturas_Odoo!$K:$K=I75), Facturas_Odoo!$N:$N, 0), 0))</f>
        <v/>
      </c>
      <c r="V75" s="79">
        <f>IF(Q75="Sin Factura",0,IFERROR(_xlfn.XLOOKUP(1, (Facturas_Odoo!$D:$D=A75) * (Facturas_Odoo!$K:$K=I75), Facturas_Odoo!$O:$O, 0), 0))</f>
        <v/>
      </c>
      <c r="W75" s="81">
        <f>IF(Q75="Sin Factura",0,IFERROR(_xlfn.XLOOKUP(1, (Facturas_Odoo!$D:$D=A75) * (Facturas_Odoo!$K:$K=I75), Facturas_Odoo!$Q:$Q, 0), 0))</f>
        <v/>
      </c>
      <c r="X75" s="79">
        <f>IF(OR(Q75="Sin Factura",Q75=""),"",IFERROR(INDEX(Pagos_Odoo!$B:$B, MATCH(Q75, Pagos_Odoo!$I:$I, 0)), "Sin Pago"))</f>
        <v/>
      </c>
      <c r="Y75" s="79">
        <f>IF(X75="Sin Pago","",IFERROR(INDEX(Pagos_Odoo!$C:$C, MATCH(X75, Pagos_Odoo!$B:$B, 0)), ""))</f>
        <v/>
      </c>
      <c r="Z75" s="80">
        <f>IF(X75="Sin Pago","",IFERROR(INDEX(Pagos_Odoo!$A:$A, MATCH(X75, Pagos_Odoo!$B:$B, 0)), ""))</f>
        <v/>
      </c>
      <c r="AA75" s="79">
        <f>IF(X75="Sin Pago","",IFERROR(INDEX(Pagos_Odoo!$F:$F, MATCH(X75, Pagos_Odoo!$B:$B, 0)), ""))</f>
        <v/>
      </c>
      <c r="AB75" s="81">
        <f>IF(X75="Sin Pago",0,IFERROR(INDEX(Pagos_Odoo!$E:$E, MATCH(X75, Pagos_Odoo!$B:$B, 0)), 0))</f>
        <v/>
      </c>
      <c r="AC75" s="79">
        <f>IF(X75="Sin Pago","",IFERROR(INDEX(Pagos_Odoo!$G:$G, MATCH(X75, Pagos_Odoo!$B:$B, 0)), ""))</f>
        <v/>
      </c>
      <c r="AD75" s="82" t="n">
        <v>0</v>
      </c>
      <c r="AE75" s="82" t="n"/>
      <c r="AF75" s="82" t="n"/>
      <c r="AG75" s="82">
        <f>IF(AN75="","",AD75+AE75+AF75)</f>
        <v/>
      </c>
      <c r="AH75" s="81">
        <f>IF(AN75="","",P75*(1-AG75))</f>
        <v/>
      </c>
      <c r="AI75" s="81">
        <f>IF(AN75="","",IF(Q75="Sin Factura",0,IFERROR(INDEX(Facturas_Odoo!$H:$H, MATCH(Q75, Facturas_Odoo!$B:$B, 0)), 0)*(1-AG75)))</f>
        <v/>
      </c>
      <c r="AJ75" s="81">
        <f>IF(AN75="","",_xlfn.LET(idVenta, AN75&amp;"",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5" s="81">
        <f>IF(AN75="","",AH75-AJ75)</f>
        <v/>
      </c>
      <c r="AL75" s="81">
        <f>IF(AN75="","",IF(Q75="Sin Factura","",AI75-AJ75))</f>
        <v/>
      </c>
      <c r="AM75" s="81">
        <f>IF(AN75="","",IF(Q75="Sin Factura",0,P75-IFERROR(INDEX(Facturas_Odoo!$H:$H, MATCH(Q75, Facturas_Odoo!$B:$B, 0)), 0)))</f>
        <v/>
      </c>
      <c r="AN75" s="79">
        <f>IF(AND(A75="", J75=""), "", IF(A75&lt;&gt;"", VALUE(MID(A75,2,LEN(A75))), AN74))</f>
        <v/>
      </c>
      <c r="AO75" s="79">
        <f>IF(AN75="","",IF(AD75=0,"OK",_xlfn.LET(monedaPago, IF(AA75="","USD",AA75), limitePermitido, IFERROR(VLOOKUP(monedaPago, Configuración!$A$2:$B$3, 2, FALSE), 0.15), IF(AD75&gt;limitePermitido, "ALERTA: EXCESO (" &amp; TEXT(limitePermitido, "0%") &amp; " máx)", "OK"))))</f>
        <v/>
      </c>
      <c r="AP75" s="79">
        <f>IF(AN75="","",IF(AE75=0,"OK",_xlfn.LET(fechaPago, Z75, fechaFactura, R75, diasCredito, IF(E75="Pago inmediato", 0, IFERROR(VALUE(MID(E75, 1, SEARCH(" ", E75)-1)),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5" s="79">
        <f>IF(AN75="","",IF(AND(N75&gt;0, AG75&gt;0), IF(Configuración!$K$2="NO", "ALERTA: DESCUENTO DOBLE NO PERMITIDO", "OK"), "OK"))</f>
        <v/>
      </c>
      <c r="AR75" s="79">
        <f>IF(AN75="","",IF(OR(AO75&lt;&gt;"OK", AP75&lt;&gt;"OK", AQ75&lt;&gt;"OK"), "⚠️ REVISAR", "OK"))</f>
        <v/>
      </c>
    </row>
    <row r="76">
      <c r="A76" s="79">
        <f>IF('Ordenes_Odoo'!A76="","",'Ordenes_Odoo'!A76)</f>
        <v/>
      </c>
      <c r="B76" s="80">
        <f>IF('Ordenes_Odoo'!B76="","",'Ordenes_Odoo'!B76)</f>
        <v/>
      </c>
      <c r="C76" s="79">
        <f>IF('Ordenes_Odoo'!C76="","",'Ordenes_Odoo'!C76)</f>
        <v/>
      </c>
      <c r="D76" s="79">
        <f>IF('Ordenes_Odoo'!D76="","",'Ordenes_Odoo'!D76)</f>
        <v/>
      </c>
      <c r="E76" s="79">
        <f>IF('Ordenes_Odoo'!E76="","",'Ordenes_Odoo'!E76)</f>
        <v/>
      </c>
      <c r="F76" s="79">
        <f>IF('Ordenes_Odoo'!F76="","",'Ordenes_Odoo'!F76)</f>
        <v/>
      </c>
      <c r="G76" s="79">
        <f>IF('Ordenes_Odoo'!G76="","",'Ordenes_Odoo'!G76)</f>
        <v/>
      </c>
      <c r="H76" s="79">
        <f>IF('Ordenes_Odoo'!H76="","",'Ordenes_Odoo'!H76)</f>
        <v/>
      </c>
      <c r="I76" s="79">
        <f>IF('Ordenes_Odoo'!I76="","",'Ordenes_Odoo'!I76)</f>
        <v/>
      </c>
      <c r="J76" s="79">
        <f>IF('Ordenes_Odoo'!J76="","",'Ordenes_Odoo'!J76)</f>
        <v/>
      </c>
      <c r="K76" s="81">
        <f>IF('Ordenes_Odoo'!K76="","",'Ordenes_Odoo'!K76)</f>
        <v/>
      </c>
      <c r="L76" s="81">
        <f>IF('Ordenes_Odoo'!L76="","",'Ordenes_Odoo'!L76)</f>
        <v/>
      </c>
      <c r="M76" s="79">
        <f>IF('Ordenes_Odoo'!M76="","",'Ordenes_Odoo'!M76)</f>
        <v/>
      </c>
      <c r="N76" s="79">
        <f>IF('Ordenes_Odoo'!N76="","",'Ordenes_Odoo'!N76)</f>
        <v/>
      </c>
      <c r="O76" s="81">
        <f>IF('Ordenes_Odoo'!O76="","",'Ordenes_Odoo'!O76)</f>
        <v/>
      </c>
      <c r="P76" s="81">
        <f>IF('Ordenes_Odoo'!P76="","",'Ordenes_Odoo'!P76)</f>
        <v/>
      </c>
      <c r="Q76" s="79">
        <f>IF(A76="","",IFERROR(INDEX(Facturas_Odoo!$B:$B, MATCH(A76, Facturas_Odoo!$D:$D, 0)), "Sin Factura"))</f>
        <v/>
      </c>
      <c r="R76" s="80">
        <f>IF(Q76="Sin Factura","",IFERROR(INDEX(Facturas_Odoo!$A:$A, MATCH(Q76, Facturas_Odoo!$B:$B, 0)), ""))</f>
        <v/>
      </c>
      <c r="S76" s="79">
        <f>IF(Q76="Sin Factura","",IFERROR(_xlfn.XLOOKUP(1, (Facturas_Odoo!$D:$D=A76) * (Facturas_Odoo!$K:$K=I76), Facturas_Odoo!$L:$L, ""), ""))</f>
        <v/>
      </c>
      <c r="T76" s="81">
        <f>IF(Q76="Sin Factura",0,IFERROR(_xlfn.XLOOKUP(1, (Facturas_Odoo!$D:$D=A76) * (Facturas_Odoo!$K:$K=I76), Facturas_Odoo!$M:$M, 0), 0))</f>
        <v/>
      </c>
      <c r="U76" s="79">
        <f>IF(Q76="Sin Factura",0,IFERROR(_xlfn.XLOOKUP(1, (Facturas_Odoo!$D:$D=A76) * (Facturas_Odoo!$K:$K=I76), Facturas_Odoo!$N:$N, 0), 0))</f>
        <v/>
      </c>
      <c r="V76" s="79">
        <f>IF(Q76="Sin Factura",0,IFERROR(_xlfn.XLOOKUP(1, (Facturas_Odoo!$D:$D=A76) * (Facturas_Odoo!$K:$K=I76), Facturas_Odoo!$O:$O, 0), 0))</f>
        <v/>
      </c>
      <c r="W76" s="81">
        <f>IF(Q76="Sin Factura",0,IFERROR(_xlfn.XLOOKUP(1, (Facturas_Odoo!$D:$D=A76) * (Facturas_Odoo!$K:$K=I76), Facturas_Odoo!$Q:$Q, 0), 0))</f>
        <v/>
      </c>
      <c r="X76" s="79">
        <f>IF(OR(Q76="Sin Factura",Q76=""),"",IFERROR(INDEX(Pagos_Odoo!$B:$B, MATCH(Q76, Pagos_Odoo!$I:$I, 0)), "Sin Pago"))</f>
        <v/>
      </c>
      <c r="Y76" s="79">
        <f>IF(X76="Sin Pago","",IFERROR(INDEX(Pagos_Odoo!$C:$C, MATCH(X76, Pagos_Odoo!$B:$B, 0)), ""))</f>
        <v/>
      </c>
      <c r="Z76" s="80">
        <f>IF(X76="Sin Pago","",IFERROR(INDEX(Pagos_Odoo!$A:$A, MATCH(X76, Pagos_Odoo!$B:$B, 0)), ""))</f>
        <v/>
      </c>
      <c r="AA76" s="79">
        <f>IF(X76="Sin Pago","",IFERROR(INDEX(Pagos_Odoo!$F:$F, MATCH(X76, Pagos_Odoo!$B:$B, 0)), ""))</f>
        <v/>
      </c>
      <c r="AB76" s="81">
        <f>IF(X76="Sin Pago",0,IFERROR(INDEX(Pagos_Odoo!$E:$E, MATCH(X76, Pagos_Odoo!$B:$B, 0)), 0))</f>
        <v/>
      </c>
      <c r="AC76" s="79">
        <f>IF(X76="Sin Pago","",IFERROR(INDEX(Pagos_Odoo!$G:$G, MATCH(X76, Pagos_Odoo!$B:$B, 0)), ""))</f>
        <v/>
      </c>
      <c r="AD76" s="82" t="n">
        <v>0</v>
      </c>
      <c r="AE76" s="82" t="n"/>
      <c r="AF76" s="82" t="n"/>
      <c r="AG76" s="82">
        <f>IF(AN76="","",AD76+AE76+AF76)</f>
        <v/>
      </c>
      <c r="AH76" s="81">
        <f>IF(AN76="","",P76*(1-AG76))</f>
        <v/>
      </c>
      <c r="AI76" s="81">
        <f>IF(AN76="","",IF(Q76="Sin Factura",0,IFERROR(INDEX(Facturas_Odoo!$H:$H, MATCH(Q76, Facturas_Odoo!$B:$B, 0)), 0)*(1-AG76)))</f>
        <v/>
      </c>
      <c r="AJ76" s="81">
        <f>IF(AN76="","",_xlfn.LET(idVenta, AN76&amp;"",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6" s="81">
        <f>IF(AN76="","",AH76-AJ76)</f>
        <v/>
      </c>
      <c r="AL76" s="81">
        <f>IF(AN76="","",IF(Q76="Sin Factura","",AI76-AJ76))</f>
        <v/>
      </c>
      <c r="AM76" s="81">
        <f>IF(AN76="","",IF(Q76="Sin Factura",0,P76-IFERROR(INDEX(Facturas_Odoo!$H:$H, MATCH(Q76, Facturas_Odoo!$B:$B, 0)), 0)))</f>
        <v/>
      </c>
      <c r="AN76" s="79">
        <f>IF(AND(A76="", J76=""), "", IF(A76&lt;&gt;"", VALUE(MID(A76,2,LEN(A76))), AN75))</f>
        <v/>
      </c>
      <c r="AO76" s="79">
        <f>IF(AN76="","",IF(AD76=0,"OK",_xlfn.LET(monedaPago, IF(AA76="","USD",AA76), limitePermitido, IFERROR(VLOOKUP(monedaPago, Configuración!$A$2:$B$3, 2, FALSE), 0.15), IF(AD76&gt;limitePermitido, "ALERTA: EXCESO (" &amp; TEXT(limitePermitido, "0%") &amp; " máx)", "OK"))))</f>
        <v/>
      </c>
      <c r="AP76" s="79">
        <f>IF(AN76="","",IF(AE76=0,"OK",_xlfn.LET(fechaPago, Z76, fechaFactura, R76, diasCredito, IF(E76="Pago inmediato", 0, IFERROR(VALUE(MID(E76, 1, SEARCH(" ", E76)-1)),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6" s="79">
        <f>IF(AN76="","",IF(AND(N76&gt;0, AG76&gt;0), IF(Configuración!$K$2="NO", "ALERTA: DESCUENTO DOBLE NO PERMITIDO", "OK"), "OK"))</f>
        <v/>
      </c>
      <c r="AR76" s="79">
        <f>IF(AN76="","",IF(OR(AO76&lt;&gt;"OK", AP76&lt;&gt;"OK", AQ76&lt;&gt;"OK"), "⚠️ REVISAR", "OK"))</f>
        <v/>
      </c>
    </row>
    <row r="77">
      <c r="A77" s="79">
        <f>IF('Ordenes_Odoo'!A77="","",'Ordenes_Odoo'!A77)</f>
        <v/>
      </c>
      <c r="B77" s="80">
        <f>IF('Ordenes_Odoo'!B77="","",'Ordenes_Odoo'!B77)</f>
        <v/>
      </c>
      <c r="C77" s="79">
        <f>IF('Ordenes_Odoo'!C77="","",'Ordenes_Odoo'!C77)</f>
        <v/>
      </c>
      <c r="D77" s="79">
        <f>IF('Ordenes_Odoo'!D77="","",'Ordenes_Odoo'!D77)</f>
        <v/>
      </c>
      <c r="E77" s="79">
        <f>IF('Ordenes_Odoo'!E77="","",'Ordenes_Odoo'!E77)</f>
        <v/>
      </c>
      <c r="F77" s="79">
        <f>IF('Ordenes_Odoo'!F77="","",'Ordenes_Odoo'!F77)</f>
        <v/>
      </c>
      <c r="G77" s="79">
        <f>IF('Ordenes_Odoo'!G77="","",'Ordenes_Odoo'!G77)</f>
        <v/>
      </c>
      <c r="H77" s="79">
        <f>IF('Ordenes_Odoo'!H77="","",'Ordenes_Odoo'!H77)</f>
        <v/>
      </c>
      <c r="I77" s="79">
        <f>IF('Ordenes_Odoo'!I77="","",'Ordenes_Odoo'!I77)</f>
        <v/>
      </c>
      <c r="J77" s="79">
        <f>IF('Ordenes_Odoo'!J77="","",'Ordenes_Odoo'!J77)</f>
        <v/>
      </c>
      <c r="K77" s="81">
        <f>IF('Ordenes_Odoo'!K77="","",'Ordenes_Odoo'!K77)</f>
        <v/>
      </c>
      <c r="L77" s="81">
        <f>IF('Ordenes_Odoo'!L77="","",'Ordenes_Odoo'!L77)</f>
        <v/>
      </c>
      <c r="M77" s="79">
        <f>IF('Ordenes_Odoo'!M77="","",'Ordenes_Odoo'!M77)</f>
        <v/>
      </c>
      <c r="N77" s="79">
        <f>IF('Ordenes_Odoo'!N77="","",'Ordenes_Odoo'!N77)</f>
        <v/>
      </c>
      <c r="O77" s="81">
        <f>IF('Ordenes_Odoo'!O77="","",'Ordenes_Odoo'!O77)</f>
        <v/>
      </c>
      <c r="P77" s="81">
        <f>IF('Ordenes_Odoo'!P77="","",'Ordenes_Odoo'!P77)</f>
        <v/>
      </c>
      <c r="Q77" s="79">
        <f>IF(A77="","",IFERROR(INDEX(Facturas_Odoo!$B:$B, MATCH(A77, Facturas_Odoo!$D:$D, 0)), "Sin Factura"))</f>
        <v/>
      </c>
      <c r="R77" s="80">
        <f>IF(Q77="Sin Factura","",IFERROR(INDEX(Facturas_Odoo!$A:$A, MATCH(Q77, Facturas_Odoo!$B:$B, 0)), ""))</f>
        <v/>
      </c>
      <c r="S77" s="79">
        <f>IF(Q77="Sin Factura","",IFERROR(_xlfn.XLOOKUP(1, (Facturas_Odoo!$D:$D=A77) * (Facturas_Odoo!$K:$K=I77), Facturas_Odoo!$L:$L, ""), ""))</f>
        <v/>
      </c>
      <c r="T77" s="81">
        <f>IF(Q77="Sin Factura",0,IFERROR(_xlfn.XLOOKUP(1, (Facturas_Odoo!$D:$D=A77) * (Facturas_Odoo!$K:$K=I77), Facturas_Odoo!$M:$M, 0), 0))</f>
        <v/>
      </c>
      <c r="U77" s="79">
        <f>IF(Q77="Sin Factura",0,IFERROR(_xlfn.XLOOKUP(1, (Facturas_Odoo!$D:$D=A77) * (Facturas_Odoo!$K:$K=I77), Facturas_Odoo!$N:$N, 0), 0))</f>
        <v/>
      </c>
      <c r="V77" s="79">
        <f>IF(Q77="Sin Factura",0,IFERROR(_xlfn.XLOOKUP(1, (Facturas_Odoo!$D:$D=A77) * (Facturas_Odoo!$K:$K=I77), Facturas_Odoo!$O:$O, 0), 0))</f>
        <v/>
      </c>
      <c r="W77" s="81">
        <f>IF(Q77="Sin Factura",0,IFERROR(_xlfn.XLOOKUP(1, (Facturas_Odoo!$D:$D=A77) * (Facturas_Odoo!$K:$K=I77), Facturas_Odoo!$Q:$Q, 0), 0))</f>
        <v/>
      </c>
      <c r="X77" s="79">
        <f>IF(OR(Q77="Sin Factura",Q77=""),"",IFERROR(INDEX(Pagos_Odoo!$B:$B, MATCH(Q77, Pagos_Odoo!$I:$I, 0)), "Sin Pago"))</f>
        <v/>
      </c>
      <c r="Y77" s="79">
        <f>IF(X77="Sin Pago","",IFERROR(INDEX(Pagos_Odoo!$C:$C, MATCH(X77, Pagos_Odoo!$B:$B, 0)), ""))</f>
        <v/>
      </c>
      <c r="Z77" s="80">
        <f>IF(X77="Sin Pago","",IFERROR(INDEX(Pagos_Odoo!$A:$A, MATCH(X77, Pagos_Odoo!$B:$B, 0)), ""))</f>
        <v/>
      </c>
      <c r="AA77" s="79">
        <f>IF(X77="Sin Pago","",IFERROR(INDEX(Pagos_Odoo!$F:$F, MATCH(X77, Pagos_Odoo!$B:$B, 0)), ""))</f>
        <v/>
      </c>
      <c r="AB77" s="81">
        <f>IF(X77="Sin Pago",0,IFERROR(INDEX(Pagos_Odoo!$E:$E, MATCH(X77, Pagos_Odoo!$B:$B, 0)), 0))</f>
        <v/>
      </c>
      <c r="AC77" s="79">
        <f>IF(X77="Sin Pago","",IFERROR(INDEX(Pagos_Odoo!$G:$G, MATCH(X77, Pagos_Odoo!$B:$B, 0)), ""))</f>
        <v/>
      </c>
      <c r="AD77" s="82" t="n">
        <v>0</v>
      </c>
      <c r="AE77" s="82" t="n"/>
      <c r="AF77" s="82" t="n"/>
      <c r="AG77" s="82">
        <f>IF(AN77="","",AD77+AE77+AF77)</f>
        <v/>
      </c>
      <c r="AH77" s="81">
        <f>IF(AN77="","",P77*(1-AG77))</f>
        <v/>
      </c>
      <c r="AI77" s="81">
        <f>IF(AN77="","",IF(Q77="Sin Factura",0,IFERROR(INDEX(Facturas_Odoo!$H:$H, MATCH(Q77, Facturas_Odoo!$B:$B, 0)), 0)*(1-AG77)))</f>
        <v/>
      </c>
      <c r="AJ77" s="81">
        <f>IF(AN77="","",_xlfn.LET(idVenta, AN77&amp;"",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7" s="81">
        <f>IF(AN77="","",AH77-AJ77)</f>
        <v/>
      </c>
      <c r="AL77" s="81">
        <f>IF(AN77="","",IF(Q77="Sin Factura","",AI77-AJ77))</f>
        <v/>
      </c>
      <c r="AM77" s="81">
        <f>IF(AN77="","",IF(Q77="Sin Factura",0,P77-IFERROR(INDEX(Facturas_Odoo!$H:$H, MATCH(Q77, Facturas_Odoo!$B:$B, 0)), 0)))</f>
        <v/>
      </c>
      <c r="AN77" s="79">
        <f>IF(AND(A77="", J77=""), "", IF(A77&lt;&gt;"", VALUE(MID(A77,2,LEN(A77))), AN76))</f>
        <v/>
      </c>
      <c r="AO77" s="79">
        <f>IF(AN77="","",IF(AD77=0,"OK",_xlfn.LET(monedaPago, IF(AA77="","USD",AA77), limitePermitido, IFERROR(VLOOKUP(monedaPago, Configuración!$A$2:$B$3, 2, FALSE), 0.15), IF(AD77&gt;limitePermitido, "ALERTA: EXCESO (" &amp; TEXT(limitePermitido, "0%") &amp; " máx)", "OK"))))</f>
        <v/>
      </c>
      <c r="AP77" s="79">
        <f>IF(AN77="","",IF(AE77=0,"OK",_xlfn.LET(fechaPago, Z77, fechaFactura, R77, diasCredito, IF(E77="Pago inmediato", 0, IFERROR(VALUE(MID(E77, 1, SEARCH(" ", E77)-1)),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7" s="79">
        <f>IF(AN77="","",IF(AND(N77&gt;0, AG77&gt;0), IF(Configuración!$K$2="NO", "ALERTA: DESCUENTO DOBLE NO PERMITIDO", "OK"), "OK"))</f>
        <v/>
      </c>
      <c r="AR77" s="79">
        <f>IF(AN77="","",IF(OR(AO77&lt;&gt;"OK", AP77&lt;&gt;"OK", AQ77&lt;&gt;"OK"), "⚠️ REVISAR", "OK"))</f>
        <v/>
      </c>
    </row>
    <row r="78">
      <c r="A78" s="79">
        <f>IF('Ordenes_Odoo'!A78="","",'Ordenes_Odoo'!A78)</f>
        <v/>
      </c>
      <c r="B78" s="80">
        <f>IF('Ordenes_Odoo'!B78="","",'Ordenes_Odoo'!B78)</f>
        <v/>
      </c>
      <c r="C78" s="79">
        <f>IF('Ordenes_Odoo'!C78="","",'Ordenes_Odoo'!C78)</f>
        <v/>
      </c>
      <c r="D78" s="79">
        <f>IF('Ordenes_Odoo'!D78="","",'Ordenes_Odoo'!D78)</f>
        <v/>
      </c>
      <c r="E78" s="79">
        <f>IF('Ordenes_Odoo'!E78="","",'Ordenes_Odoo'!E78)</f>
        <v/>
      </c>
      <c r="F78" s="79">
        <f>IF('Ordenes_Odoo'!F78="","",'Ordenes_Odoo'!F78)</f>
        <v/>
      </c>
      <c r="G78" s="79">
        <f>IF('Ordenes_Odoo'!G78="","",'Ordenes_Odoo'!G78)</f>
        <v/>
      </c>
      <c r="H78" s="79">
        <f>IF('Ordenes_Odoo'!H78="","",'Ordenes_Odoo'!H78)</f>
        <v/>
      </c>
      <c r="I78" s="79">
        <f>IF('Ordenes_Odoo'!I78="","",'Ordenes_Odoo'!I78)</f>
        <v/>
      </c>
      <c r="J78" s="79">
        <f>IF('Ordenes_Odoo'!J78="","",'Ordenes_Odoo'!J78)</f>
        <v/>
      </c>
      <c r="K78" s="81">
        <f>IF('Ordenes_Odoo'!K78="","",'Ordenes_Odoo'!K78)</f>
        <v/>
      </c>
      <c r="L78" s="81">
        <f>IF('Ordenes_Odoo'!L78="","",'Ordenes_Odoo'!L78)</f>
        <v/>
      </c>
      <c r="M78" s="79">
        <f>IF('Ordenes_Odoo'!M78="","",'Ordenes_Odoo'!M78)</f>
        <v/>
      </c>
      <c r="N78" s="79">
        <f>IF('Ordenes_Odoo'!N78="","",'Ordenes_Odoo'!N78)</f>
        <v/>
      </c>
      <c r="O78" s="81">
        <f>IF('Ordenes_Odoo'!O78="","",'Ordenes_Odoo'!O78)</f>
        <v/>
      </c>
      <c r="P78" s="81">
        <f>IF('Ordenes_Odoo'!P78="","",'Ordenes_Odoo'!P78)</f>
        <v/>
      </c>
      <c r="Q78" s="79">
        <f>IF(A78="","",IFERROR(INDEX(Facturas_Odoo!$B:$B, MATCH(A78, Facturas_Odoo!$D:$D, 0)), "Sin Factura"))</f>
        <v/>
      </c>
      <c r="R78" s="80">
        <f>IF(Q78="Sin Factura","",IFERROR(INDEX(Facturas_Odoo!$A:$A, MATCH(Q78, Facturas_Odoo!$B:$B, 0)), ""))</f>
        <v/>
      </c>
      <c r="S78" s="79">
        <f>IF(Q78="Sin Factura","",IFERROR(_xlfn.XLOOKUP(1, (Facturas_Odoo!$D:$D=A78) * (Facturas_Odoo!$K:$K=I78), Facturas_Odoo!$L:$L, ""), ""))</f>
        <v/>
      </c>
      <c r="T78" s="81">
        <f>IF(Q78="Sin Factura",0,IFERROR(_xlfn.XLOOKUP(1, (Facturas_Odoo!$D:$D=A78) * (Facturas_Odoo!$K:$K=I78), Facturas_Odoo!$M:$M, 0), 0))</f>
        <v/>
      </c>
      <c r="U78" s="79">
        <f>IF(Q78="Sin Factura",0,IFERROR(_xlfn.XLOOKUP(1, (Facturas_Odoo!$D:$D=A78) * (Facturas_Odoo!$K:$K=I78), Facturas_Odoo!$N:$N, 0), 0))</f>
        <v/>
      </c>
      <c r="V78" s="79">
        <f>IF(Q78="Sin Factura",0,IFERROR(_xlfn.XLOOKUP(1, (Facturas_Odoo!$D:$D=A78) * (Facturas_Odoo!$K:$K=I78), Facturas_Odoo!$O:$O, 0), 0))</f>
        <v/>
      </c>
      <c r="W78" s="81">
        <f>IF(Q78="Sin Factura",0,IFERROR(_xlfn.XLOOKUP(1, (Facturas_Odoo!$D:$D=A78) * (Facturas_Odoo!$K:$K=I78), Facturas_Odoo!$Q:$Q, 0), 0))</f>
        <v/>
      </c>
      <c r="X78" s="79">
        <f>IF(OR(Q78="Sin Factura",Q78=""),"",IFERROR(INDEX(Pagos_Odoo!$B:$B, MATCH(Q78, Pagos_Odoo!$I:$I, 0)), "Sin Pago"))</f>
        <v/>
      </c>
      <c r="Y78" s="79">
        <f>IF(X78="Sin Pago","",IFERROR(INDEX(Pagos_Odoo!$C:$C, MATCH(X78, Pagos_Odoo!$B:$B, 0)), ""))</f>
        <v/>
      </c>
      <c r="Z78" s="80">
        <f>IF(X78="Sin Pago","",IFERROR(INDEX(Pagos_Odoo!$A:$A, MATCH(X78, Pagos_Odoo!$B:$B, 0)), ""))</f>
        <v/>
      </c>
      <c r="AA78" s="79">
        <f>IF(X78="Sin Pago","",IFERROR(INDEX(Pagos_Odoo!$F:$F, MATCH(X78, Pagos_Odoo!$B:$B, 0)), ""))</f>
        <v/>
      </c>
      <c r="AB78" s="81">
        <f>IF(X78="Sin Pago",0,IFERROR(INDEX(Pagos_Odoo!$E:$E, MATCH(X78, Pagos_Odoo!$B:$B, 0)), 0))</f>
        <v/>
      </c>
      <c r="AC78" s="79">
        <f>IF(X78="Sin Pago","",IFERROR(INDEX(Pagos_Odoo!$G:$G, MATCH(X78, Pagos_Odoo!$B:$B, 0)), ""))</f>
        <v/>
      </c>
      <c r="AD78" s="82" t="n">
        <v>0</v>
      </c>
      <c r="AE78" s="82" t="n"/>
      <c r="AF78" s="82" t="n"/>
      <c r="AG78" s="82">
        <f>IF(AN78="","",AD78+AE78+AF78)</f>
        <v/>
      </c>
      <c r="AH78" s="81">
        <f>IF(AN78="","",P78*(1-AG78))</f>
        <v/>
      </c>
      <c r="AI78" s="81">
        <f>IF(AN78="","",IF(Q78="Sin Factura",0,IFERROR(INDEX(Facturas_Odoo!$H:$H, MATCH(Q78, Facturas_Odoo!$B:$B, 0)), 0)*(1-AG78)))</f>
        <v/>
      </c>
      <c r="AJ78" s="81">
        <f>IF(AN78="","",_xlfn.LET(idVenta, AN78&amp;"",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8" s="81">
        <f>IF(AN78="","",AH78-AJ78)</f>
        <v/>
      </c>
      <c r="AL78" s="81">
        <f>IF(AN78="","",IF(Q78="Sin Factura","",AI78-AJ78))</f>
        <v/>
      </c>
      <c r="AM78" s="81">
        <f>IF(AN78="","",IF(Q78="Sin Factura",0,P78-IFERROR(INDEX(Facturas_Odoo!$H:$H, MATCH(Q78, Facturas_Odoo!$B:$B, 0)), 0)))</f>
        <v/>
      </c>
      <c r="AN78" s="79">
        <f>IF(AND(A78="", J78=""), "", IF(A78&lt;&gt;"", VALUE(MID(A78,2,LEN(A78))), AN77))</f>
        <v/>
      </c>
      <c r="AO78" s="79">
        <f>IF(AN78="","",IF(AD78=0,"OK",_xlfn.LET(monedaPago, IF(AA78="","USD",AA78), limitePermitido, IFERROR(VLOOKUP(monedaPago, Configuración!$A$2:$B$3, 2, FALSE), 0.15), IF(AD78&gt;limitePermitido, "ALERTA: EXCESO (" &amp; TEXT(limitePermitido, "0%") &amp; " máx)", "OK"))))</f>
        <v/>
      </c>
      <c r="AP78" s="79">
        <f>IF(AN78="","",IF(AE78=0,"OK",_xlfn.LET(fechaPago, Z78, fechaFactura, R78, diasCredito, IF(E78="Pago inmediato", 0, IFERROR(VALUE(MID(E78, 1, SEARCH(" ", E78)-1)),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8" s="79">
        <f>IF(AN78="","",IF(AND(N78&gt;0, AG78&gt;0), IF(Configuración!$K$2="NO", "ALERTA: DESCUENTO DOBLE NO PERMITIDO", "OK"), "OK"))</f>
        <v/>
      </c>
      <c r="AR78" s="79">
        <f>IF(AN78="","",IF(OR(AO78&lt;&gt;"OK", AP78&lt;&gt;"OK", AQ78&lt;&gt;"OK"), "⚠️ REVISAR", "OK"))</f>
        <v/>
      </c>
    </row>
    <row r="79">
      <c r="A79" s="79">
        <f>IF('Ordenes_Odoo'!A79="","",'Ordenes_Odoo'!A79)</f>
        <v/>
      </c>
      <c r="B79" s="80">
        <f>IF('Ordenes_Odoo'!B79="","",'Ordenes_Odoo'!B79)</f>
        <v/>
      </c>
      <c r="C79" s="79">
        <f>IF('Ordenes_Odoo'!C79="","",'Ordenes_Odoo'!C79)</f>
        <v/>
      </c>
      <c r="D79" s="79">
        <f>IF('Ordenes_Odoo'!D79="","",'Ordenes_Odoo'!D79)</f>
        <v/>
      </c>
      <c r="E79" s="79">
        <f>IF('Ordenes_Odoo'!E79="","",'Ordenes_Odoo'!E79)</f>
        <v/>
      </c>
      <c r="F79" s="79">
        <f>IF('Ordenes_Odoo'!F79="","",'Ordenes_Odoo'!F79)</f>
        <v/>
      </c>
      <c r="G79" s="79">
        <f>IF('Ordenes_Odoo'!G79="","",'Ordenes_Odoo'!G79)</f>
        <v/>
      </c>
      <c r="H79" s="79">
        <f>IF('Ordenes_Odoo'!H79="","",'Ordenes_Odoo'!H79)</f>
        <v/>
      </c>
      <c r="I79" s="79">
        <f>IF('Ordenes_Odoo'!I79="","",'Ordenes_Odoo'!I79)</f>
        <v/>
      </c>
      <c r="J79" s="79">
        <f>IF('Ordenes_Odoo'!J79="","",'Ordenes_Odoo'!J79)</f>
        <v/>
      </c>
      <c r="K79" s="81">
        <f>IF('Ordenes_Odoo'!K79="","",'Ordenes_Odoo'!K79)</f>
        <v/>
      </c>
      <c r="L79" s="81">
        <f>IF('Ordenes_Odoo'!L79="","",'Ordenes_Odoo'!L79)</f>
        <v/>
      </c>
      <c r="M79" s="79">
        <f>IF('Ordenes_Odoo'!M79="","",'Ordenes_Odoo'!M79)</f>
        <v/>
      </c>
      <c r="N79" s="79">
        <f>IF('Ordenes_Odoo'!N79="","",'Ordenes_Odoo'!N79)</f>
        <v/>
      </c>
      <c r="O79" s="81">
        <f>IF('Ordenes_Odoo'!O79="","",'Ordenes_Odoo'!O79)</f>
        <v/>
      </c>
      <c r="P79" s="81">
        <f>IF('Ordenes_Odoo'!P79="","",'Ordenes_Odoo'!P79)</f>
        <v/>
      </c>
      <c r="Q79" s="79">
        <f>IF(A79="","",IFERROR(INDEX(Facturas_Odoo!$B:$B, MATCH(A79, Facturas_Odoo!$D:$D, 0)), "Sin Factura"))</f>
        <v/>
      </c>
      <c r="R79" s="80">
        <f>IF(Q79="Sin Factura","",IFERROR(INDEX(Facturas_Odoo!$A:$A, MATCH(Q79, Facturas_Odoo!$B:$B, 0)), ""))</f>
        <v/>
      </c>
      <c r="S79" s="79">
        <f>IF(Q79="Sin Factura","",IFERROR(_xlfn.XLOOKUP(1, (Facturas_Odoo!$D:$D=A79) * (Facturas_Odoo!$K:$K=I79), Facturas_Odoo!$L:$L, ""), ""))</f>
        <v/>
      </c>
      <c r="T79" s="81">
        <f>IF(Q79="Sin Factura",0,IFERROR(_xlfn.XLOOKUP(1, (Facturas_Odoo!$D:$D=A79) * (Facturas_Odoo!$K:$K=I79), Facturas_Odoo!$M:$M, 0), 0))</f>
        <v/>
      </c>
      <c r="U79" s="79">
        <f>IF(Q79="Sin Factura",0,IFERROR(_xlfn.XLOOKUP(1, (Facturas_Odoo!$D:$D=A79) * (Facturas_Odoo!$K:$K=I79), Facturas_Odoo!$N:$N, 0), 0))</f>
        <v/>
      </c>
      <c r="V79" s="79">
        <f>IF(Q79="Sin Factura",0,IFERROR(_xlfn.XLOOKUP(1, (Facturas_Odoo!$D:$D=A79) * (Facturas_Odoo!$K:$K=I79), Facturas_Odoo!$O:$O, 0), 0))</f>
        <v/>
      </c>
      <c r="W79" s="81">
        <f>IF(Q79="Sin Factura",0,IFERROR(_xlfn.XLOOKUP(1, (Facturas_Odoo!$D:$D=A79) * (Facturas_Odoo!$K:$K=I79), Facturas_Odoo!$Q:$Q, 0), 0))</f>
        <v/>
      </c>
      <c r="X79" s="79">
        <f>IF(OR(Q79="Sin Factura",Q79=""),"",IFERROR(INDEX(Pagos_Odoo!$B:$B, MATCH(Q79, Pagos_Odoo!$I:$I, 0)), "Sin Pago"))</f>
        <v/>
      </c>
      <c r="Y79" s="79">
        <f>IF(X79="Sin Pago","",IFERROR(INDEX(Pagos_Odoo!$C:$C, MATCH(X79, Pagos_Odoo!$B:$B, 0)), ""))</f>
        <v/>
      </c>
      <c r="Z79" s="80">
        <f>IF(X79="Sin Pago","",IFERROR(INDEX(Pagos_Odoo!$A:$A, MATCH(X79, Pagos_Odoo!$B:$B, 0)), ""))</f>
        <v/>
      </c>
      <c r="AA79" s="79">
        <f>IF(X79="Sin Pago","",IFERROR(INDEX(Pagos_Odoo!$F:$F, MATCH(X79, Pagos_Odoo!$B:$B, 0)), ""))</f>
        <v/>
      </c>
      <c r="AB79" s="81">
        <f>IF(X79="Sin Pago",0,IFERROR(INDEX(Pagos_Odoo!$E:$E, MATCH(X79, Pagos_Odoo!$B:$B, 0)), 0))</f>
        <v/>
      </c>
      <c r="AC79" s="79">
        <f>IF(X79="Sin Pago","",IFERROR(INDEX(Pagos_Odoo!$G:$G, MATCH(X79, Pagos_Odoo!$B:$B, 0)), ""))</f>
        <v/>
      </c>
      <c r="AD79" s="82" t="n">
        <v>0</v>
      </c>
      <c r="AE79" s="82" t="n"/>
      <c r="AF79" s="82" t="n"/>
      <c r="AG79" s="82">
        <f>IF(AN79="","",AD79+AE79+AF79)</f>
        <v/>
      </c>
      <c r="AH79" s="81">
        <f>IF(AN79="","",P79*(1-AG79))</f>
        <v/>
      </c>
      <c r="AI79" s="81">
        <f>IF(AN79="","",IF(Q79="Sin Factura",0,IFERROR(INDEX(Facturas_Odoo!$H:$H, MATCH(Q79, Facturas_Odoo!$B:$B, 0)), 0)*(1-AG79)))</f>
        <v/>
      </c>
      <c r="AJ79" s="81">
        <f>IF(AN79="","",_xlfn.LET(idVenta, AN79&amp;"",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9" s="81">
        <f>IF(AN79="","",AH79-AJ79)</f>
        <v/>
      </c>
      <c r="AL79" s="81">
        <f>IF(AN79="","",IF(Q79="Sin Factura","",AI79-AJ79))</f>
        <v/>
      </c>
      <c r="AM79" s="81">
        <f>IF(AN79="","",IF(Q79="Sin Factura",0,P79-IFERROR(INDEX(Facturas_Odoo!$H:$H, MATCH(Q79, Facturas_Odoo!$B:$B, 0)), 0)))</f>
        <v/>
      </c>
      <c r="AN79" s="79">
        <f>IF(AND(A79="", J79=""), "", IF(A79&lt;&gt;"", VALUE(MID(A79,2,LEN(A79))), AN78))</f>
        <v/>
      </c>
      <c r="AO79" s="79">
        <f>IF(AN79="","",IF(AD79=0,"OK",_xlfn.LET(monedaPago, IF(AA79="","USD",AA79), limitePermitido, IFERROR(VLOOKUP(monedaPago, Configuración!$A$2:$B$3, 2, FALSE), 0.15), IF(AD79&gt;limitePermitido, "ALERTA: EXCESO (" &amp; TEXT(limitePermitido, "0%") &amp; " máx)", "OK"))))</f>
        <v/>
      </c>
      <c r="AP79" s="79">
        <f>IF(AN79="","",IF(AE79=0,"OK",_xlfn.LET(fechaPago, Z79, fechaFactura, R79, diasCredito, IF(E79="Pago inmediato", 0, IFERROR(VALUE(MID(E79, 1, SEARCH(" ", E79)-1)),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9" s="79">
        <f>IF(AN79="","",IF(AND(N79&gt;0, AG79&gt;0), IF(Configuración!$K$2="NO", "ALERTA: DESCUENTO DOBLE NO PERMITIDO", "OK"), "OK"))</f>
        <v/>
      </c>
      <c r="AR79" s="79">
        <f>IF(AN79="","",IF(OR(AO79&lt;&gt;"OK", AP79&lt;&gt;"OK", AQ79&lt;&gt;"OK"), "⚠️ REVISAR", "OK"))</f>
        <v/>
      </c>
    </row>
    <row r="80">
      <c r="A80" s="79">
        <f>IF('Ordenes_Odoo'!A80="","",'Ordenes_Odoo'!A80)</f>
        <v/>
      </c>
      <c r="B80" s="80">
        <f>IF('Ordenes_Odoo'!B80="","",'Ordenes_Odoo'!B80)</f>
        <v/>
      </c>
      <c r="C80" s="79">
        <f>IF('Ordenes_Odoo'!C80="","",'Ordenes_Odoo'!C80)</f>
        <v/>
      </c>
      <c r="D80" s="79">
        <f>IF('Ordenes_Odoo'!D80="","",'Ordenes_Odoo'!D80)</f>
        <v/>
      </c>
      <c r="E80" s="79">
        <f>IF('Ordenes_Odoo'!E80="","",'Ordenes_Odoo'!E80)</f>
        <v/>
      </c>
      <c r="F80" s="79">
        <f>IF('Ordenes_Odoo'!F80="","",'Ordenes_Odoo'!F80)</f>
        <v/>
      </c>
      <c r="G80" s="79">
        <f>IF('Ordenes_Odoo'!G80="","",'Ordenes_Odoo'!G80)</f>
        <v/>
      </c>
      <c r="H80" s="79">
        <f>IF('Ordenes_Odoo'!H80="","",'Ordenes_Odoo'!H80)</f>
        <v/>
      </c>
      <c r="I80" s="79">
        <f>IF('Ordenes_Odoo'!I80="","",'Ordenes_Odoo'!I80)</f>
        <v/>
      </c>
      <c r="J80" s="79">
        <f>IF('Ordenes_Odoo'!J80="","",'Ordenes_Odoo'!J80)</f>
        <v/>
      </c>
      <c r="K80" s="81">
        <f>IF('Ordenes_Odoo'!K80="","",'Ordenes_Odoo'!K80)</f>
        <v/>
      </c>
      <c r="L80" s="81">
        <f>IF('Ordenes_Odoo'!L80="","",'Ordenes_Odoo'!L80)</f>
        <v/>
      </c>
      <c r="M80" s="79">
        <f>IF('Ordenes_Odoo'!M80="","",'Ordenes_Odoo'!M80)</f>
        <v/>
      </c>
      <c r="N80" s="79">
        <f>IF('Ordenes_Odoo'!N80="","",'Ordenes_Odoo'!N80)</f>
        <v/>
      </c>
      <c r="O80" s="81">
        <f>IF('Ordenes_Odoo'!O80="","",'Ordenes_Odoo'!O80)</f>
        <v/>
      </c>
      <c r="P80" s="81">
        <f>IF('Ordenes_Odoo'!P80="","",'Ordenes_Odoo'!P80)</f>
        <v/>
      </c>
      <c r="Q80" s="79">
        <f>IF(A80="","",IFERROR(INDEX(Facturas_Odoo!$B:$B, MATCH(A80, Facturas_Odoo!$D:$D, 0)), "Sin Factura"))</f>
        <v/>
      </c>
      <c r="R80" s="80">
        <f>IF(Q80="Sin Factura","",IFERROR(INDEX(Facturas_Odoo!$A:$A, MATCH(Q80, Facturas_Odoo!$B:$B, 0)), ""))</f>
        <v/>
      </c>
      <c r="S80" s="79">
        <f>IF(Q80="Sin Factura","",IFERROR(_xlfn.XLOOKUP(1, (Facturas_Odoo!$D:$D=A80) * (Facturas_Odoo!$K:$K=I80), Facturas_Odoo!$L:$L, ""), ""))</f>
        <v/>
      </c>
      <c r="T80" s="81">
        <f>IF(Q80="Sin Factura",0,IFERROR(_xlfn.XLOOKUP(1, (Facturas_Odoo!$D:$D=A80) * (Facturas_Odoo!$K:$K=I80), Facturas_Odoo!$M:$M, 0), 0))</f>
        <v/>
      </c>
      <c r="U80" s="79">
        <f>IF(Q80="Sin Factura",0,IFERROR(_xlfn.XLOOKUP(1, (Facturas_Odoo!$D:$D=A80) * (Facturas_Odoo!$K:$K=I80), Facturas_Odoo!$N:$N, 0), 0))</f>
        <v/>
      </c>
      <c r="V80" s="79">
        <f>IF(Q80="Sin Factura",0,IFERROR(_xlfn.XLOOKUP(1, (Facturas_Odoo!$D:$D=A80) * (Facturas_Odoo!$K:$K=I80), Facturas_Odoo!$O:$O, 0), 0))</f>
        <v/>
      </c>
      <c r="W80" s="81">
        <f>IF(Q80="Sin Factura",0,IFERROR(_xlfn.XLOOKUP(1, (Facturas_Odoo!$D:$D=A80) * (Facturas_Odoo!$K:$K=I80), Facturas_Odoo!$Q:$Q, 0), 0))</f>
        <v/>
      </c>
      <c r="X80" s="79">
        <f>IF(OR(Q80="Sin Factura",Q80=""),"",IFERROR(INDEX(Pagos_Odoo!$B:$B, MATCH(Q80, Pagos_Odoo!$I:$I, 0)), "Sin Pago"))</f>
        <v/>
      </c>
      <c r="Y80" s="79">
        <f>IF(X80="Sin Pago","",IFERROR(INDEX(Pagos_Odoo!$C:$C, MATCH(X80, Pagos_Odoo!$B:$B, 0)), ""))</f>
        <v/>
      </c>
      <c r="Z80" s="80">
        <f>IF(X80="Sin Pago","",IFERROR(INDEX(Pagos_Odoo!$A:$A, MATCH(X80, Pagos_Odoo!$B:$B, 0)), ""))</f>
        <v/>
      </c>
      <c r="AA80" s="79">
        <f>IF(X80="Sin Pago","",IFERROR(INDEX(Pagos_Odoo!$F:$F, MATCH(X80, Pagos_Odoo!$B:$B, 0)), ""))</f>
        <v/>
      </c>
      <c r="AB80" s="81">
        <f>IF(X80="Sin Pago",0,IFERROR(INDEX(Pagos_Odoo!$E:$E, MATCH(X80, Pagos_Odoo!$B:$B, 0)), 0))</f>
        <v/>
      </c>
      <c r="AC80" s="79">
        <f>IF(X80="Sin Pago","",IFERROR(INDEX(Pagos_Odoo!$G:$G, MATCH(X80, Pagos_Odoo!$B:$B, 0)), ""))</f>
        <v/>
      </c>
      <c r="AD80" s="82" t="n">
        <v>0</v>
      </c>
      <c r="AE80" s="82" t="n"/>
      <c r="AF80" s="82" t="n"/>
      <c r="AG80" s="82">
        <f>IF(AN80="","",AD80+AE80+AF80)</f>
        <v/>
      </c>
      <c r="AH80" s="81">
        <f>IF(AN80="","",P80*(1-AG80))</f>
        <v/>
      </c>
      <c r="AI80" s="81">
        <f>IF(AN80="","",IF(Q80="Sin Factura",0,IFERROR(INDEX(Facturas_Odoo!$H:$H, MATCH(Q80, Facturas_Odoo!$B:$B, 0)), 0)*(1-AG80)))</f>
        <v/>
      </c>
      <c r="AJ80" s="81">
        <f>IF(AN80="","",_xlfn.LET(idVenta, AN80&amp;"",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0" s="81">
        <f>IF(AN80="","",AH80-AJ80)</f>
        <v/>
      </c>
      <c r="AL80" s="81">
        <f>IF(AN80="","",IF(Q80="Sin Factura","",AI80-AJ80))</f>
        <v/>
      </c>
      <c r="AM80" s="81">
        <f>IF(AN80="","",IF(Q80="Sin Factura",0,P80-IFERROR(INDEX(Facturas_Odoo!$H:$H, MATCH(Q80, Facturas_Odoo!$B:$B, 0)), 0)))</f>
        <v/>
      </c>
      <c r="AN80" s="79">
        <f>IF(AND(A80="", J80=""), "", IF(A80&lt;&gt;"", VALUE(MID(A80,2,LEN(A80))), AN79))</f>
        <v/>
      </c>
      <c r="AO80" s="79">
        <f>IF(AN80="","",IF(AD80=0,"OK",_xlfn.LET(monedaPago, IF(AA80="","USD",AA80), limitePermitido, IFERROR(VLOOKUP(monedaPago, Configuración!$A$2:$B$3, 2, FALSE), 0.15), IF(AD80&gt;limitePermitido, "ALERTA: EXCESO (" &amp; TEXT(limitePermitido, "0%") &amp; " máx)", "OK"))))</f>
        <v/>
      </c>
      <c r="AP80" s="79">
        <f>IF(AN80="","",IF(AE80=0,"OK",_xlfn.LET(fechaPago, Z80, fechaFactura, R80, diasCredito, IF(E80="Pago inmediato", 0, IFERROR(VALUE(MID(E80, 1, SEARCH(" ", E80)-1)),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0" s="79">
        <f>IF(AN80="","",IF(AND(N80&gt;0, AG80&gt;0), IF(Configuración!$K$2="NO", "ALERTA: DESCUENTO DOBLE NO PERMITIDO", "OK"), "OK"))</f>
        <v/>
      </c>
      <c r="AR80" s="79">
        <f>IF(AN80="","",IF(OR(AO80&lt;&gt;"OK", AP80&lt;&gt;"OK", AQ80&lt;&gt;"OK"), "⚠️ REVISAR", "OK"))</f>
        <v/>
      </c>
    </row>
    <row r="81">
      <c r="A81" s="79">
        <f>IF('Ordenes_Odoo'!A81="","",'Ordenes_Odoo'!A81)</f>
        <v/>
      </c>
      <c r="B81" s="80">
        <f>IF('Ordenes_Odoo'!B81="","",'Ordenes_Odoo'!B81)</f>
        <v/>
      </c>
      <c r="C81" s="79">
        <f>IF('Ordenes_Odoo'!C81="","",'Ordenes_Odoo'!C81)</f>
        <v/>
      </c>
      <c r="D81" s="79">
        <f>IF('Ordenes_Odoo'!D81="","",'Ordenes_Odoo'!D81)</f>
        <v/>
      </c>
      <c r="E81" s="79">
        <f>IF('Ordenes_Odoo'!E81="","",'Ordenes_Odoo'!E81)</f>
        <v/>
      </c>
      <c r="F81" s="79">
        <f>IF('Ordenes_Odoo'!F81="","",'Ordenes_Odoo'!F81)</f>
        <v/>
      </c>
      <c r="G81" s="79">
        <f>IF('Ordenes_Odoo'!G81="","",'Ordenes_Odoo'!G81)</f>
        <v/>
      </c>
      <c r="H81" s="79">
        <f>IF('Ordenes_Odoo'!H81="","",'Ordenes_Odoo'!H81)</f>
        <v/>
      </c>
      <c r="I81" s="79">
        <f>IF('Ordenes_Odoo'!I81="","",'Ordenes_Odoo'!I81)</f>
        <v/>
      </c>
      <c r="J81" s="79">
        <f>IF('Ordenes_Odoo'!J81="","",'Ordenes_Odoo'!J81)</f>
        <v/>
      </c>
      <c r="K81" s="81">
        <f>IF('Ordenes_Odoo'!K81="","",'Ordenes_Odoo'!K81)</f>
        <v/>
      </c>
      <c r="L81" s="81">
        <f>IF('Ordenes_Odoo'!L81="","",'Ordenes_Odoo'!L81)</f>
        <v/>
      </c>
      <c r="M81" s="79">
        <f>IF('Ordenes_Odoo'!M81="","",'Ordenes_Odoo'!M81)</f>
        <v/>
      </c>
      <c r="N81" s="79">
        <f>IF('Ordenes_Odoo'!N81="","",'Ordenes_Odoo'!N81)</f>
        <v/>
      </c>
      <c r="O81" s="81">
        <f>IF('Ordenes_Odoo'!O81="","",'Ordenes_Odoo'!O81)</f>
        <v/>
      </c>
      <c r="P81" s="81">
        <f>IF('Ordenes_Odoo'!P81="","",'Ordenes_Odoo'!P81)</f>
        <v/>
      </c>
      <c r="Q81" s="79">
        <f>IF(A81="","",IFERROR(INDEX(Facturas_Odoo!$B:$B, MATCH(A81, Facturas_Odoo!$D:$D, 0)), "Sin Factura"))</f>
        <v/>
      </c>
      <c r="R81" s="80">
        <f>IF(Q81="Sin Factura","",IFERROR(INDEX(Facturas_Odoo!$A:$A, MATCH(Q81, Facturas_Odoo!$B:$B, 0)), ""))</f>
        <v/>
      </c>
      <c r="S81" s="79">
        <f>IF(Q81="Sin Factura","",IFERROR(_xlfn.XLOOKUP(1, (Facturas_Odoo!$D:$D=A81) * (Facturas_Odoo!$K:$K=I81), Facturas_Odoo!$L:$L, ""), ""))</f>
        <v/>
      </c>
      <c r="T81" s="81">
        <f>IF(Q81="Sin Factura",0,IFERROR(_xlfn.XLOOKUP(1, (Facturas_Odoo!$D:$D=A81) * (Facturas_Odoo!$K:$K=I81), Facturas_Odoo!$M:$M, 0), 0))</f>
        <v/>
      </c>
      <c r="U81" s="79">
        <f>IF(Q81="Sin Factura",0,IFERROR(_xlfn.XLOOKUP(1, (Facturas_Odoo!$D:$D=A81) * (Facturas_Odoo!$K:$K=I81), Facturas_Odoo!$N:$N, 0), 0))</f>
        <v/>
      </c>
      <c r="V81" s="79">
        <f>IF(Q81="Sin Factura",0,IFERROR(_xlfn.XLOOKUP(1, (Facturas_Odoo!$D:$D=A81) * (Facturas_Odoo!$K:$K=I81), Facturas_Odoo!$O:$O, 0), 0))</f>
        <v/>
      </c>
      <c r="W81" s="81">
        <f>IF(Q81="Sin Factura",0,IFERROR(_xlfn.XLOOKUP(1, (Facturas_Odoo!$D:$D=A81) * (Facturas_Odoo!$K:$K=I81), Facturas_Odoo!$Q:$Q, 0), 0))</f>
        <v/>
      </c>
      <c r="X81" s="79">
        <f>IF(OR(Q81="Sin Factura",Q81=""),"",IFERROR(INDEX(Pagos_Odoo!$B:$B, MATCH(Q81, Pagos_Odoo!$I:$I, 0)), "Sin Pago"))</f>
        <v/>
      </c>
      <c r="Y81" s="79">
        <f>IF(X81="Sin Pago","",IFERROR(INDEX(Pagos_Odoo!$C:$C, MATCH(X81, Pagos_Odoo!$B:$B, 0)), ""))</f>
        <v/>
      </c>
      <c r="Z81" s="80">
        <f>IF(X81="Sin Pago","",IFERROR(INDEX(Pagos_Odoo!$A:$A, MATCH(X81, Pagos_Odoo!$B:$B, 0)), ""))</f>
        <v/>
      </c>
      <c r="AA81" s="79">
        <f>IF(X81="Sin Pago","",IFERROR(INDEX(Pagos_Odoo!$F:$F, MATCH(X81, Pagos_Odoo!$B:$B, 0)), ""))</f>
        <v/>
      </c>
      <c r="AB81" s="81">
        <f>IF(X81="Sin Pago",0,IFERROR(INDEX(Pagos_Odoo!$E:$E, MATCH(X81, Pagos_Odoo!$B:$B, 0)), 0))</f>
        <v/>
      </c>
      <c r="AC81" s="79">
        <f>IF(X81="Sin Pago","",IFERROR(INDEX(Pagos_Odoo!$G:$G, MATCH(X81, Pagos_Odoo!$B:$B, 0)), ""))</f>
        <v/>
      </c>
      <c r="AD81" s="82" t="n">
        <v>0</v>
      </c>
      <c r="AE81" s="82" t="n"/>
      <c r="AF81" s="82" t="n"/>
      <c r="AG81" s="82">
        <f>IF(AN81="","",AD81+AE81+AF81)</f>
        <v/>
      </c>
      <c r="AH81" s="81">
        <f>IF(AN81="","",P81*(1-AG81))</f>
        <v/>
      </c>
      <c r="AI81" s="81">
        <f>IF(AN81="","",IF(Q81="Sin Factura",0,IFERROR(INDEX(Facturas_Odoo!$H:$H, MATCH(Q81, Facturas_Odoo!$B:$B, 0)), 0)*(1-AG81)))</f>
        <v/>
      </c>
      <c r="AJ81" s="81">
        <f>IF(AN81="","",_xlfn.LET(idVenta, AN81&amp;"",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1" s="81">
        <f>IF(AN81="","",AH81-AJ81)</f>
        <v/>
      </c>
      <c r="AL81" s="81">
        <f>IF(AN81="","",IF(Q81="Sin Factura","",AI81-AJ81))</f>
        <v/>
      </c>
      <c r="AM81" s="81">
        <f>IF(AN81="","",IF(Q81="Sin Factura",0,P81-IFERROR(INDEX(Facturas_Odoo!$H:$H, MATCH(Q81, Facturas_Odoo!$B:$B, 0)), 0)))</f>
        <v/>
      </c>
      <c r="AN81" s="79">
        <f>IF(AND(A81="", J81=""), "", IF(A81&lt;&gt;"", VALUE(MID(A81,2,LEN(A81))), AN80))</f>
        <v/>
      </c>
      <c r="AO81" s="79">
        <f>IF(AN81="","",IF(AD81=0,"OK",_xlfn.LET(monedaPago, IF(AA81="","USD",AA81), limitePermitido, IFERROR(VLOOKUP(monedaPago, Configuración!$A$2:$B$3, 2, FALSE), 0.15), IF(AD81&gt;limitePermitido, "ALERTA: EXCESO (" &amp; TEXT(limitePermitido, "0%") &amp; " máx)", "OK"))))</f>
        <v/>
      </c>
      <c r="AP81" s="79">
        <f>IF(AN81="","",IF(AE81=0,"OK",_xlfn.LET(fechaPago, Z81, fechaFactura, R81, diasCredito, IF(E81="Pago inmediato", 0, IFERROR(VALUE(MID(E81, 1, SEARCH(" ", E81)-1)),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1" s="79">
        <f>IF(AN81="","",IF(AND(N81&gt;0, AG81&gt;0), IF(Configuración!$K$2="NO", "ALERTA: DESCUENTO DOBLE NO PERMITIDO", "OK"), "OK"))</f>
        <v/>
      </c>
      <c r="AR81" s="79">
        <f>IF(AN81="","",IF(OR(AO81&lt;&gt;"OK", AP81&lt;&gt;"OK", AQ81&lt;&gt;"OK"), "⚠️ REVISAR", "OK"))</f>
        <v/>
      </c>
    </row>
    <row r="82">
      <c r="A82" s="79">
        <f>IF('Ordenes_Odoo'!A82="","",'Ordenes_Odoo'!A82)</f>
        <v/>
      </c>
      <c r="B82" s="80">
        <f>IF('Ordenes_Odoo'!B82="","",'Ordenes_Odoo'!B82)</f>
        <v/>
      </c>
      <c r="C82" s="79">
        <f>IF('Ordenes_Odoo'!C82="","",'Ordenes_Odoo'!C82)</f>
        <v/>
      </c>
      <c r="D82" s="79">
        <f>IF('Ordenes_Odoo'!D82="","",'Ordenes_Odoo'!D82)</f>
        <v/>
      </c>
      <c r="E82" s="79">
        <f>IF('Ordenes_Odoo'!E82="","",'Ordenes_Odoo'!E82)</f>
        <v/>
      </c>
      <c r="F82" s="79">
        <f>IF('Ordenes_Odoo'!F82="","",'Ordenes_Odoo'!F82)</f>
        <v/>
      </c>
      <c r="G82" s="79">
        <f>IF('Ordenes_Odoo'!G82="","",'Ordenes_Odoo'!G82)</f>
        <v/>
      </c>
      <c r="H82" s="79">
        <f>IF('Ordenes_Odoo'!H82="","",'Ordenes_Odoo'!H82)</f>
        <v/>
      </c>
      <c r="I82" s="79">
        <f>IF('Ordenes_Odoo'!I82="","",'Ordenes_Odoo'!I82)</f>
        <v/>
      </c>
      <c r="J82" s="79">
        <f>IF('Ordenes_Odoo'!J82="","",'Ordenes_Odoo'!J82)</f>
        <v/>
      </c>
      <c r="K82" s="81">
        <f>IF('Ordenes_Odoo'!K82="","",'Ordenes_Odoo'!K82)</f>
        <v/>
      </c>
      <c r="L82" s="81">
        <f>IF('Ordenes_Odoo'!L82="","",'Ordenes_Odoo'!L82)</f>
        <v/>
      </c>
      <c r="M82" s="79">
        <f>IF('Ordenes_Odoo'!M82="","",'Ordenes_Odoo'!M82)</f>
        <v/>
      </c>
      <c r="N82" s="79">
        <f>IF('Ordenes_Odoo'!N82="","",'Ordenes_Odoo'!N82)</f>
        <v/>
      </c>
      <c r="O82" s="81">
        <f>IF('Ordenes_Odoo'!O82="","",'Ordenes_Odoo'!O82)</f>
        <v/>
      </c>
      <c r="P82" s="81">
        <f>IF('Ordenes_Odoo'!P82="","",'Ordenes_Odoo'!P82)</f>
        <v/>
      </c>
      <c r="Q82" s="79">
        <f>IF(A82="","",IFERROR(INDEX(Facturas_Odoo!$B:$B, MATCH(A82, Facturas_Odoo!$D:$D, 0)), "Sin Factura"))</f>
        <v/>
      </c>
      <c r="R82" s="80">
        <f>IF(Q82="Sin Factura","",IFERROR(INDEX(Facturas_Odoo!$A:$A, MATCH(Q82, Facturas_Odoo!$B:$B, 0)), ""))</f>
        <v/>
      </c>
      <c r="S82" s="79">
        <f>IF(Q82="Sin Factura","",IFERROR(_xlfn.XLOOKUP(1, (Facturas_Odoo!$D:$D=A82) * (Facturas_Odoo!$K:$K=I82), Facturas_Odoo!$L:$L, ""), ""))</f>
        <v/>
      </c>
      <c r="T82" s="81">
        <f>IF(Q82="Sin Factura",0,IFERROR(_xlfn.XLOOKUP(1, (Facturas_Odoo!$D:$D=A82) * (Facturas_Odoo!$K:$K=I82), Facturas_Odoo!$M:$M, 0), 0))</f>
        <v/>
      </c>
      <c r="U82" s="79">
        <f>IF(Q82="Sin Factura",0,IFERROR(_xlfn.XLOOKUP(1, (Facturas_Odoo!$D:$D=A82) * (Facturas_Odoo!$K:$K=I82), Facturas_Odoo!$N:$N, 0), 0))</f>
        <v/>
      </c>
      <c r="V82" s="79">
        <f>IF(Q82="Sin Factura",0,IFERROR(_xlfn.XLOOKUP(1, (Facturas_Odoo!$D:$D=A82) * (Facturas_Odoo!$K:$K=I82), Facturas_Odoo!$O:$O, 0), 0))</f>
        <v/>
      </c>
      <c r="W82" s="81">
        <f>IF(Q82="Sin Factura",0,IFERROR(_xlfn.XLOOKUP(1, (Facturas_Odoo!$D:$D=A82) * (Facturas_Odoo!$K:$K=I82), Facturas_Odoo!$Q:$Q, 0), 0))</f>
        <v/>
      </c>
      <c r="X82" s="79">
        <f>IF(OR(Q82="Sin Factura",Q82=""),"",IFERROR(INDEX(Pagos_Odoo!$B:$B, MATCH(Q82, Pagos_Odoo!$I:$I, 0)), "Sin Pago"))</f>
        <v/>
      </c>
      <c r="Y82" s="79">
        <f>IF(X82="Sin Pago","",IFERROR(INDEX(Pagos_Odoo!$C:$C, MATCH(X82, Pagos_Odoo!$B:$B, 0)), ""))</f>
        <v/>
      </c>
      <c r="Z82" s="80">
        <f>IF(X82="Sin Pago","",IFERROR(INDEX(Pagos_Odoo!$A:$A, MATCH(X82, Pagos_Odoo!$B:$B, 0)), ""))</f>
        <v/>
      </c>
      <c r="AA82" s="79">
        <f>IF(X82="Sin Pago","",IFERROR(INDEX(Pagos_Odoo!$F:$F, MATCH(X82, Pagos_Odoo!$B:$B, 0)), ""))</f>
        <v/>
      </c>
      <c r="AB82" s="81">
        <f>IF(X82="Sin Pago",0,IFERROR(INDEX(Pagos_Odoo!$E:$E, MATCH(X82, Pagos_Odoo!$B:$B, 0)), 0))</f>
        <v/>
      </c>
      <c r="AC82" s="79">
        <f>IF(X82="Sin Pago","",IFERROR(INDEX(Pagos_Odoo!$G:$G, MATCH(X82, Pagos_Odoo!$B:$B, 0)), ""))</f>
        <v/>
      </c>
      <c r="AD82" s="82" t="n">
        <v>0</v>
      </c>
      <c r="AE82" s="82" t="n"/>
      <c r="AF82" s="82" t="n"/>
      <c r="AG82" s="82">
        <f>IF(AN82="","",AD82+AE82+AF82)</f>
        <v/>
      </c>
      <c r="AH82" s="81">
        <f>IF(AN82="","",P82*(1-AG82))</f>
        <v/>
      </c>
      <c r="AI82" s="81">
        <f>IF(AN82="","",IF(Q82="Sin Factura",0,IFERROR(INDEX(Facturas_Odoo!$H:$H, MATCH(Q82, Facturas_Odoo!$B:$B, 0)), 0)*(1-AG82)))</f>
        <v/>
      </c>
      <c r="AJ82" s="81">
        <f>IF(AN82="","",_xlfn.LET(idVenta, AN82&amp;"",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2" s="81">
        <f>IF(AN82="","",AH82-AJ82)</f>
        <v/>
      </c>
      <c r="AL82" s="81">
        <f>IF(AN82="","",IF(Q82="Sin Factura","",AI82-AJ82))</f>
        <v/>
      </c>
      <c r="AM82" s="81">
        <f>IF(AN82="","",IF(Q82="Sin Factura",0,P82-IFERROR(INDEX(Facturas_Odoo!$H:$H, MATCH(Q82, Facturas_Odoo!$B:$B, 0)), 0)))</f>
        <v/>
      </c>
      <c r="AN82" s="79">
        <f>IF(AND(A82="", J82=""), "", IF(A82&lt;&gt;"", VALUE(MID(A82,2,LEN(A82))), AN81))</f>
        <v/>
      </c>
      <c r="AO82" s="79">
        <f>IF(AN82="","",IF(AD82=0,"OK",_xlfn.LET(monedaPago, IF(AA82="","USD",AA82), limitePermitido, IFERROR(VLOOKUP(monedaPago, Configuración!$A$2:$B$3, 2, FALSE), 0.15), IF(AD82&gt;limitePermitido, "ALERTA: EXCESO (" &amp; TEXT(limitePermitido, "0%") &amp; " máx)", "OK"))))</f>
        <v/>
      </c>
      <c r="AP82" s="79">
        <f>IF(AN82="","",IF(AE82=0,"OK",_xlfn.LET(fechaPago, Z82, fechaFactura, R82, diasCredito, IF(E82="Pago inmediato", 0, IFERROR(VALUE(MID(E82, 1, SEARCH(" ", E82)-1)),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2" s="79">
        <f>IF(AN82="","",IF(AND(N82&gt;0, AG82&gt;0), IF(Configuración!$K$2="NO", "ALERTA: DESCUENTO DOBLE NO PERMITIDO", "OK"), "OK"))</f>
        <v/>
      </c>
      <c r="AR82" s="79">
        <f>IF(AN82="","",IF(OR(AO82&lt;&gt;"OK", AP82&lt;&gt;"OK", AQ82&lt;&gt;"OK"), "⚠️ REVISAR", "OK"))</f>
        <v/>
      </c>
    </row>
    <row r="83">
      <c r="A83" s="79">
        <f>IF('Ordenes_Odoo'!A83="","",'Ordenes_Odoo'!A83)</f>
        <v/>
      </c>
      <c r="B83" s="80">
        <f>IF('Ordenes_Odoo'!B83="","",'Ordenes_Odoo'!B83)</f>
        <v/>
      </c>
      <c r="C83" s="79">
        <f>IF('Ordenes_Odoo'!C83="","",'Ordenes_Odoo'!C83)</f>
        <v/>
      </c>
      <c r="D83" s="79">
        <f>IF('Ordenes_Odoo'!D83="","",'Ordenes_Odoo'!D83)</f>
        <v/>
      </c>
      <c r="E83" s="79">
        <f>IF('Ordenes_Odoo'!E83="","",'Ordenes_Odoo'!E83)</f>
        <v/>
      </c>
      <c r="F83" s="79">
        <f>IF('Ordenes_Odoo'!F83="","",'Ordenes_Odoo'!F83)</f>
        <v/>
      </c>
      <c r="G83" s="79">
        <f>IF('Ordenes_Odoo'!G83="","",'Ordenes_Odoo'!G83)</f>
        <v/>
      </c>
      <c r="H83" s="79">
        <f>IF('Ordenes_Odoo'!H83="","",'Ordenes_Odoo'!H83)</f>
        <v/>
      </c>
      <c r="I83" s="79">
        <f>IF('Ordenes_Odoo'!I83="","",'Ordenes_Odoo'!I83)</f>
        <v/>
      </c>
      <c r="J83" s="79">
        <f>IF('Ordenes_Odoo'!J83="","",'Ordenes_Odoo'!J83)</f>
        <v/>
      </c>
      <c r="K83" s="81">
        <f>IF('Ordenes_Odoo'!K83="","",'Ordenes_Odoo'!K83)</f>
        <v/>
      </c>
      <c r="L83" s="81">
        <f>IF('Ordenes_Odoo'!L83="","",'Ordenes_Odoo'!L83)</f>
        <v/>
      </c>
      <c r="M83" s="79">
        <f>IF('Ordenes_Odoo'!M83="","",'Ordenes_Odoo'!M83)</f>
        <v/>
      </c>
      <c r="N83" s="79">
        <f>IF('Ordenes_Odoo'!N83="","",'Ordenes_Odoo'!N83)</f>
        <v/>
      </c>
      <c r="O83" s="81">
        <f>IF('Ordenes_Odoo'!O83="","",'Ordenes_Odoo'!O83)</f>
        <v/>
      </c>
      <c r="P83" s="81">
        <f>IF('Ordenes_Odoo'!P83="","",'Ordenes_Odoo'!P83)</f>
        <v/>
      </c>
      <c r="Q83" s="79">
        <f>IF(A83="","",IFERROR(INDEX(Facturas_Odoo!$B:$B, MATCH(A83, Facturas_Odoo!$D:$D, 0)), "Sin Factura"))</f>
        <v/>
      </c>
      <c r="R83" s="80">
        <f>IF(Q83="Sin Factura","",IFERROR(INDEX(Facturas_Odoo!$A:$A, MATCH(Q83, Facturas_Odoo!$B:$B, 0)), ""))</f>
        <v/>
      </c>
      <c r="S83" s="79">
        <f>IF(Q83="Sin Factura","",IFERROR(_xlfn.XLOOKUP(1, (Facturas_Odoo!$D:$D=A83) * (Facturas_Odoo!$K:$K=I83), Facturas_Odoo!$L:$L, ""), ""))</f>
        <v/>
      </c>
      <c r="T83" s="81">
        <f>IF(Q83="Sin Factura",0,IFERROR(_xlfn.XLOOKUP(1, (Facturas_Odoo!$D:$D=A83) * (Facturas_Odoo!$K:$K=I83), Facturas_Odoo!$M:$M, 0), 0))</f>
        <v/>
      </c>
      <c r="U83" s="79">
        <f>IF(Q83="Sin Factura",0,IFERROR(_xlfn.XLOOKUP(1, (Facturas_Odoo!$D:$D=A83) * (Facturas_Odoo!$K:$K=I83), Facturas_Odoo!$N:$N, 0), 0))</f>
        <v/>
      </c>
      <c r="V83" s="79">
        <f>IF(Q83="Sin Factura",0,IFERROR(_xlfn.XLOOKUP(1, (Facturas_Odoo!$D:$D=A83) * (Facturas_Odoo!$K:$K=I83), Facturas_Odoo!$O:$O, 0), 0))</f>
        <v/>
      </c>
      <c r="W83" s="81">
        <f>IF(Q83="Sin Factura",0,IFERROR(_xlfn.XLOOKUP(1, (Facturas_Odoo!$D:$D=A83) * (Facturas_Odoo!$K:$K=I83), Facturas_Odoo!$Q:$Q, 0), 0))</f>
        <v/>
      </c>
      <c r="X83" s="79">
        <f>IF(OR(Q83="Sin Factura",Q83=""),"",IFERROR(INDEX(Pagos_Odoo!$B:$B, MATCH(Q83, Pagos_Odoo!$I:$I, 0)), "Sin Pago"))</f>
        <v/>
      </c>
      <c r="Y83" s="79">
        <f>IF(X83="Sin Pago","",IFERROR(INDEX(Pagos_Odoo!$C:$C, MATCH(X83, Pagos_Odoo!$B:$B, 0)), ""))</f>
        <v/>
      </c>
      <c r="Z83" s="80">
        <f>IF(X83="Sin Pago","",IFERROR(INDEX(Pagos_Odoo!$A:$A, MATCH(X83, Pagos_Odoo!$B:$B, 0)), ""))</f>
        <v/>
      </c>
      <c r="AA83" s="79">
        <f>IF(X83="Sin Pago","",IFERROR(INDEX(Pagos_Odoo!$F:$F, MATCH(X83, Pagos_Odoo!$B:$B, 0)), ""))</f>
        <v/>
      </c>
      <c r="AB83" s="81">
        <f>IF(X83="Sin Pago",0,IFERROR(INDEX(Pagos_Odoo!$E:$E, MATCH(X83, Pagos_Odoo!$B:$B, 0)), 0))</f>
        <v/>
      </c>
      <c r="AC83" s="79">
        <f>IF(X83="Sin Pago","",IFERROR(INDEX(Pagos_Odoo!$G:$G, MATCH(X83, Pagos_Odoo!$B:$B, 0)), ""))</f>
        <v/>
      </c>
      <c r="AD83" s="82" t="n">
        <v>0</v>
      </c>
      <c r="AE83" s="82" t="n"/>
      <c r="AF83" s="82" t="n"/>
      <c r="AG83" s="82">
        <f>IF(AN83="","",AD83+AE83+AF83)</f>
        <v/>
      </c>
      <c r="AH83" s="81">
        <f>IF(AN83="","",P83*(1-AG83))</f>
        <v/>
      </c>
      <c r="AI83" s="81">
        <f>IF(AN83="","",IF(Q83="Sin Factura",0,IFERROR(INDEX(Facturas_Odoo!$H:$H, MATCH(Q83, Facturas_Odoo!$B:$B, 0)), 0)*(1-AG83)))</f>
        <v/>
      </c>
      <c r="AJ83" s="81">
        <f>IF(AN83="","",_xlfn.LET(idVenta, AN83&amp;"",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3" s="81">
        <f>IF(AN83="","",AH83-AJ83)</f>
        <v/>
      </c>
      <c r="AL83" s="81">
        <f>IF(AN83="","",IF(Q83="Sin Factura","",AI83-AJ83))</f>
        <v/>
      </c>
      <c r="AM83" s="81">
        <f>IF(AN83="","",IF(Q83="Sin Factura",0,P83-IFERROR(INDEX(Facturas_Odoo!$H:$H, MATCH(Q83, Facturas_Odoo!$B:$B, 0)), 0)))</f>
        <v/>
      </c>
      <c r="AN83" s="79">
        <f>IF(AND(A83="", J83=""), "", IF(A83&lt;&gt;"", VALUE(MID(A83,2,LEN(A83))), AN82))</f>
        <v/>
      </c>
      <c r="AO83" s="79">
        <f>IF(AN83="","",IF(AD83=0,"OK",_xlfn.LET(monedaPago, IF(AA83="","USD",AA83), limitePermitido, IFERROR(VLOOKUP(monedaPago, Configuración!$A$2:$B$3, 2, FALSE), 0.15), IF(AD83&gt;limitePermitido, "ALERTA: EXCESO (" &amp; TEXT(limitePermitido, "0%") &amp; " máx)", "OK"))))</f>
        <v/>
      </c>
      <c r="AP83" s="79">
        <f>IF(AN83="","",IF(AE83=0,"OK",_xlfn.LET(fechaPago, Z83, fechaFactura, R83, diasCredito, IF(E83="Pago inmediato", 0, IFERROR(VALUE(MID(E83, 1, SEARCH(" ", E83)-1)),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3" s="79">
        <f>IF(AN83="","",IF(AND(N83&gt;0, AG83&gt;0), IF(Configuración!$K$2="NO", "ALERTA: DESCUENTO DOBLE NO PERMITIDO", "OK"), "OK"))</f>
        <v/>
      </c>
      <c r="AR83" s="79">
        <f>IF(AN83="","",IF(OR(AO83&lt;&gt;"OK", AP83&lt;&gt;"OK", AQ83&lt;&gt;"OK"), "⚠️ REVISAR", "OK"))</f>
        <v/>
      </c>
    </row>
    <row r="84">
      <c r="A84" s="79">
        <f>IF('Ordenes_Odoo'!A84="","",'Ordenes_Odoo'!A84)</f>
        <v/>
      </c>
      <c r="B84" s="80">
        <f>IF('Ordenes_Odoo'!B84="","",'Ordenes_Odoo'!B84)</f>
        <v/>
      </c>
      <c r="C84" s="79">
        <f>IF('Ordenes_Odoo'!C84="","",'Ordenes_Odoo'!C84)</f>
        <v/>
      </c>
      <c r="D84" s="79">
        <f>IF('Ordenes_Odoo'!D84="","",'Ordenes_Odoo'!D84)</f>
        <v/>
      </c>
      <c r="E84" s="79">
        <f>IF('Ordenes_Odoo'!E84="","",'Ordenes_Odoo'!E84)</f>
        <v/>
      </c>
      <c r="F84" s="79">
        <f>IF('Ordenes_Odoo'!F84="","",'Ordenes_Odoo'!F84)</f>
        <v/>
      </c>
      <c r="G84" s="79">
        <f>IF('Ordenes_Odoo'!G84="","",'Ordenes_Odoo'!G84)</f>
        <v/>
      </c>
      <c r="H84" s="79">
        <f>IF('Ordenes_Odoo'!H84="","",'Ordenes_Odoo'!H84)</f>
        <v/>
      </c>
      <c r="I84" s="79">
        <f>IF('Ordenes_Odoo'!I84="","",'Ordenes_Odoo'!I84)</f>
        <v/>
      </c>
      <c r="J84" s="79">
        <f>IF('Ordenes_Odoo'!J84="","",'Ordenes_Odoo'!J84)</f>
        <v/>
      </c>
      <c r="K84" s="81">
        <f>IF('Ordenes_Odoo'!K84="","",'Ordenes_Odoo'!K84)</f>
        <v/>
      </c>
      <c r="L84" s="81">
        <f>IF('Ordenes_Odoo'!L84="","",'Ordenes_Odoo'!L84)</f>
        <v/>
      </c>
      <c r="M84" s="79">
        <f>IF('Ordenes_Odoo'!M84="","",'Ordenes_Odoo'!M84)</f>
        <v/>
      </c>
      <c r="N84" s="79">
        <f>IF('Ordenes_Odoo'!N84="","",'Ordenes_Odoo'!N84)</f>
        <v/>
      </c>
      <c r="O84" s="81">
        <f>IF('Ordenes_Odoo'!O84="","",'Ordenes_Odoo'!O84)</f>
        <v/>
      </c>
      <c r="P84" s="81">
        <f>IF('Ordenes_Odoo'!P84="","",'Ordenes_Odoo'!P84)</f>
        <v/>
      </c>
      <c r="Q84" s="79">
        <f>IF(A84="","",IFERROR(INDEX(Facturas_Odoo!$B:$B, MATCH(A84, Facturas_Odoo!$D:$D, 0)), "Sin Factura"))</f>
        <v/>
      </c>
      <c r="R84" s="80">
        <f>IF(Q84="Sin Factura","",IFERROR(INDEX(Facturas_Odoo!$A:$A, MATCH(Q84, Facturas_Odoo!$B:$B, 0)), ""))</f>
        <v/>
      </c>
      <c r="S84" s="79">
        <f>IF(Q84="Sin Factura","",IFERROR(_xlfn.XLOOKUP(1, (Facturas_Odoo!$D:$D=A84) * (Facturas_Odoo!$K:$K=I84), Facturas_Odoo!$L:$L, ""), ""))</f>
        <v/>
      </c>
      <c r="T84" s="81">
        <f>IF(Q84="Sin Factura",0,IFERROR(_xlfn.XLOOKUP(1, (Facturas_Odoo!$D:$D=A84) * (Facturas_Odoo!$K:$K=I84), Facturas_Odoo!$M:$M, 0), 0))</f>
        <v/>
      </c>
      <c r="U84" s="79">
        <f>IF(Q84="Sin Factura",0,IFERROR(_xlfn.XLOOKUP(1, (Facturas_Odoo!$D:$D=A84) * (Facturas_Odoo!$K:$K=I84), Facturas_Odoo!$N:$N, 0), 0))</f>
        <v/>
      </c>
      <c r="V84" s="79">
        <f>IF(Q84="Sin Factura",0,IFERROR(_xlfn.XLOOKUP(1, (Facturas_Odoo!$D:$D=A84) * (Facturas_Odoo!$K:$K=I84), Facturas_Odoo!$O:$O, 0), 0))</f>
        <v/>
      </c>
      <c r="W84" s="81">
        <f>IF(Q84="Sin Factura",0,IFERROR(_xlfn.XLOOKUP(1, (Facturas_Odoo!$D:$D=A84) * (Facturas_Odoo!$K:$K=I84), Facturas_Odoo!$Q:$Q, 0), 0))</f>
        <v/>
      </c>
      <c r="X84" s="79">
        <f>IF(OR(Q84="Sin Factura",Q84=""),"",IFERROR(INDEX(Pagos_Odoo!$B:$B, MATCH(Q84, Pagos_Odoo!$I:$I, 0)), "Sin Pago"))</f>
        <v/>
      </c>
      <c r="Y84" s="79">
        <f>IF(X84="Sin Pago","",IFERROR(INDEX(Pagos_Odoo!$C:$C, MATCH(X84, Pagos_Odoo!$B:$B, 0)), ""))</f>
        <v/>
      </c>
      <c r="Z84" s="80">
        <f>IF(X84="Sin Pago","",IFERROR(INDEX(Pagos_Odoo!$A:$A, MATCH(X84, Pagos_Odoo!$B:$B, 0)), ""))</f>
        <v/>
      </c>
      <c r="AA84" s="79">
        <f>IF(X84="Sin Pago","",IFERROR(INDEX(Pagos_Odoo!$F:$F, MATCH(X84, Pagos_Odoo!$B:$B, 0)), ""))</f>
        <v/>
      </c>
      <c r="AB84" s="81">
        <f>IF(X84="Sin Pago",0,IFERROR(INDEX(Pagos_Odoo!$E:$E, MATCH(X84, Pagos_Odoo!$B:$B, 0)), 0))</f>
        <v/>
      </c>
      <c r="AC84" s="79">
        <f>IF(X84="Sin Pago","",IFERROR(INDEX(Pagos_Odoo!$G:$G, MATCH(X84, Pagos_Odoo!$B:$B, 0)), ""))</f>
        <v/>
      </c>
      <c r="AD84" s="82" t="n">
        <v>0</v>
      </c>
      <c r="AE84" s="82" t="n"/>
      <c r="AF84" s="82" t="n"/>
      <c r="AG84" s="82">
        <f>IF(AN84="","",AD84+AE84+AF84)</f>
        <v/>
      </c>
      <c r="AH84" s="81">
        <f>IF(AN84="","",P84*(1-AG84))</f>
        <v/>
      </c>
      <c r="AI84" s="81">
        <f>IF(AN84="","",IF(Q84="Sin Factura",0,IFERROR(INDEX(Facturas_Odoo!$H:$H, MATCH(Q84, Facturas_Odoo!$B:$B, 0)), 0)*(1-AG84)))</f>
        <v/>
      </c>
      <c r="AJ84" s="81">
        <f>IF(AN84="","",_xlfn.LET(idVenta, AN84&amp;"",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4" s="81">
        <f>IF(AN84="","",AH84-AJ84)</f>
        <v/>
      </c>
      <c r="AL84" s="81">
        <f>IF(AN84="","",IF(Q84="Sin Factura","",AI84-AJ84))</f>
        <v/>
      </c>
      <c r="AM84" s="81">
        <f>IF(AN84="","",IF(Q84="Sin Factura",0,P84-IFERROR(INDEX(Facturas_Odoo!$H:$H, MATCH(Q84, Facturas_Odoo!$B:$B, 0)), 0)))</f>
        <v/>
      </c>
      <c r="AN84" s="79">
        <f>IF(AND(A84="", J84=""), "", IF(A84&lt;&gt;"", VALUE(MID(A84,2,LEN(A84))), AN83))</f>
        <v/>
      </c>
      <c r="AO84" s="79">
        <f>IF(AN84="","",IF(AD84=0,"OK",_xlfn.LET(monedaPago, IF(AA84="","USD",AA84), limitePermitido, IFERROR(VLOOKUP(monedaPago, Configuración!$A$2:$B$3, 2, FALSE), 0.15), IF(AD84&gt;limitePermitido, "ALERTA: EXCESO (" &amp; TEXT(limitePermitido, "0%") &amp; " máx)", "OK"))))</f>
        <v/>
      </c>
      <c r="AP84" s="79">
        <f>IF(AN84="","",IF(AE84=0,"OK",_xlfn.LET(fechaPago, Z84, fechaFactura, R84, diasCredito, IF(E84="Pago inmediato", 0, IFERROR(VALUE(MID(E84, 1, SEARCH(" ", E84)-1)),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4" s="79">
        <f>IF(AN84="","",IF(AND(N84&gt;0, AG84&gt;0), IF(Configuración!$K$2="NO", "ALERTA: DESCUENTO DOBLE NO PERMITIDO", "OK"), "OK"))</f>
        <v/>
      </c>
      <c r="AR84" s="79">
        <f>IF(AN84="","",IF(OR(AO84&lt;&gt;"OK", AP84&lt;&gt;"OK", AQ84&lt;&gt;"OK"), "⚠️ REVISAR", "OK"))</f>
        <v/>
      </c>
    </row>
    <row r="85">
      <c r="A85" s="79">
        <f>IF('Ordenes_Odoo'!A85="","",'Ordenes_Odoo'!A85)</f>
        <v/>
      </c>
      <c r="B85" s="80">
        <f>IF('Ordenes_Odoo'!B85="","",'Ordenes_Odoo'!B85)</f>
        <v/>
      </c>
      <c r="C85" s="79">
        <f>IF('Ordenes_Odoo'!C85="","",'Ordenes_Odoo'!C85)</f>
        <v/>
      </c>
      <c r="D85" s="79">
        <f>IF('Ordenes_Odoo'!D85="","",'Ordenes_Odoo'!D85)</f>
        <v/>
      </c>
      <c r="E85" s="79">
        <f>IF('Ordenes_Odoo'!E85="","",'Ordenes_Odoo'!E85)</f>
        <v/>
      </c>
      <c r="F85" s="79">
        <f>IF('Ordenes_Odoo'!F85="","",'Ordenes_Odoo'!F85)</f>
        <v/>
      </c>
      <c r="G85" s="79">
        <f>IF('Ordenes_Odoo'!G85="","",'Ordenes_Odoo'!G85)</f>
        <v/>
      </c>
      <c r="H85" s="79">
        <f>IF('Ordenes_Odoo'!H85="","",'Ordenes_Odoo'!H85)</f>
        <v/>
      </c>
      <c r="I85" s="79">
        <f>IF('Ordenes_Odoo'!I85="","",'Ordenes_Odoo'!I85)</f>
        <v/>
      </c>
      <c r="J85" s="79">
        <f>IF('Ordenes_Odoo'!J85="","",'Ordenes_Odoo'!J85)</f>
        <v/>
      </c>
      <c r="K85" s="81">
        <f>IF('Ordenes_Odoo'!K85="","",'Ordenes_Odoo'!K85)</f>
        <v/>
      </c>
      <c r="L85" s="81">
        <f>IF('Ordenes_Odoo'!L85="","",'Ordenes_Odoo'!L85)</f>
        <v/>
      </c>
      <c r="M85" s="79">
        <f>IF('Ordenes_Odoo'!M85="","",'Ordenes_Odoo'!M85)</f>
        <v/>
      </c>
      <c r="N85" s="79">
        <f>IF('Ordenes_Odoo'!N85="","",'Ordenes_Odoo'!N85)</f>
        <v/>
      </c>
      <c r="O85" s="81">
        <f>IF('Ordenes_Odoo'!O85="","",'Ordenes_Odoo'!O85)</f>
        <v/>
      </c>
      <c r="P85" s="81">
        <f>IF('Ordenes_Odoo'!P85="","",'Ordenes_Odoo'!P85)</f>
        <v/>
      </c>
      <c r="Q85" s="79">
        <f>IF(A85="","",IFERROR(INDEX(Facturas_Odoo!$B:$B, MATCH(A85, Facturas_Odoo!$D:$D, 0)), "Sin Factura"))</f>
        <v/>
      </c>
      <c r="R85" s="80">
        <f>IF(Q85="Sin Factura","",IFERROR(INDEX(Facturas_Odoo!$A:$A, MATCH(Q85, Facturas_Odoo!$B:$B, 0)), ""))</f>
        <v/>
      </c>
      <c r="S85" s="79">
        <f>IF(Q85="Sin Factura","",IFERROR(_xlfn.XLOOKUP(1, (Facturas_Odoo!$D:$D=A85) * (Facturas_Odoo!$K:$K=I85), Facturas_Odoo!$L:$L, ""), ""))</f>
        <v/>
      </c>
      <c r="T85" s="81">
        <f>IF(Q85="Sin Factura",0,IFERROR(_xlfn.XLOOKUP(1, (Facturas_Odoo!$D:$D=A85) * (Facturas_Odoo!$K:$K=I85), Facturas_Odoo!$M:$M, 0), 0))</f>
        <v/>
      </c>
      <c r="U85" s="79">
        <f>IF(Q85="Sin Factura",0,IFERROR(_xlfn.XLOOKUP(1, (Facturas_Odoo!$D:$D=A85) * (Facturas_Odoo!$K:$K=I85), Facturas_Odoo!$N:$N, 0), 0))</f>
        <v/>
      </c>
      <c r="V85" s="79">
        <f>IF(Q85="Sin Factura",0,IFERROR(_xlfn.XLOOKUP(1, (Facturas_Odoo!$D:$D=A85) * (Facturas_Odoo!$K:$K=I85), Facturas_Odoo!$O:$O, 0), 0))</f>
        <v/>
      </c>
      <c r="W85" s="81">
        <f>IF(Q85="Sin Factura",0,IFERROR(_xlfn.XLOOKUP(1, (Facturas_Odoo!$D:$D=A85) * (Facturas_Odoo!$K:$K=I85), Facturas_Odoo!$Q:$Q, 0), 0))</f>
        <v/>
      </c>
      <c r="X85" s="79">
        <f>IF(OR(Q85="Sin Factura",Q85=""),"",IFERROR(INDEX(Pagos_Odoo!$B:$B, MATCH(Q85, Pagos_Odoo!$I:$I, 0)), "Sin Pago"))</f>
        <v/>
      </c>
      <c r="Y85" s="79">
        <f>IF(X85="Sin Pago","",IFERROR(INDEX(Pagos_Odoo!$C:$C, MATCH(X85, Pagos_Odoo!$B:$B, 0)), ""))</f>
        <v/>
      </c>
      <c r="Z85" s="80">
        <f>IF(X85="Sin Pago","",IFERROR(INDEX(Pagos_Odoo!$A:$A, MATCH(X85, Pagos_Odoo!$B:$B, 0)), ""))</f>
        <v/>
      </c>
      <c r="AA85" s="79">
        <f>IF(X85="Sin Pago","",IFERROR(INDEX(Pagos_Odoo!$F:$F, MATCH(X85, Pagos_Odoo!$B:$B, 0)), ""))</f>
        <v/>
      </c>
      <c r="AB85" s="81">
        <f>IF(X85="Sin Pago",0,IFERROR(INDEX(Pagos_Odoo!$E:$E, MATCH(X85, Pagos_Odoo!$B:$B, 0)), 0))</f>
        <v/>
      </c>
      <c r="AC85" s="79">
        <f>IF(X85="Sin Pago","",IFERROR(INDEX(Pagos_Odoo!$G:$G, MATCH(X85, Pagos_Odoo!$B:$B, 0)), ""))</f>
        <v/>
      </c>
      <c r="AD85" s="82" t="n">
        <v>0</v>
      </c>
      <c r="AE85" s="82" t="n"/>
      <c r="AF85" s="82" t="n"/>
      <c r="AG85" s="82">
        <f>IF(AN85="","",AD85+AE85+AF85)</f>
        <v/>
      </c>
      <c r="AH85" s="81">
        <f>IF(AN85="","",P85*(1-AG85))</f>
        <v/>
      </c>
      <c r="AI85" s="81">
        <f>IF(AN85="","",IF(Q85="Sin Factura",0,IFERROR(INDEX(Facturas_Odoo!$H:$H, MATCH(Q85, Facturas_Odoo!$B:$B, 0)), 0)*(1-AG85)))</f>
        <v/>
      </c>
      <c r="AJ85" s="81">
        <f>IF(AN85="","",_xlfn.LET(idVenta, AN85&amp;"",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5" s="81">
        <f>IF(AN85="","",AH85-AJ85)</f>
        <v/>
      </c>
      <c r="AL85" s="81">
        <f>IF(AN85="","",IF(Q85="Sin Factura","",AI85-AJ85))</f>
        <v/>
      </c>
      <c r="AM85" s="81">
        <f>IF(AN85="","",IF(Q85="Sin Factura",0,P85-IFERROR(INDEX(Facturas_Odoo!$H:$H, MATCH(Q85, Facturas_Odoo!$B:$B, 0)), 0)))</f>
        <v/>
      </c>
      <c r="AN85" s="79">
        <f>IF(AND(A85="", J85=""), "", IF(A85&lt;&gt;"", VALUE(MID(A85,2,LEN(A85))), AN84))</f>
        <v/>
      </c>
      <c r="AO85" s="79">
        <f>IF(AN85="","",IF(AD85=0,"OK",_xlfn.LET(monedaPago, IF(AA85="","USD",AA85), limitePermitido, IFERROR(VLOOKUP(monedaPago, Configuración!$A$2:$B$3, 2, FALSE), 0.15), IF(AD85&gt;limitePermitido, "ALERTA: EXCESO (" &amp; TEXT(limitePermitido, "0%") &amp; " máx)", "OK"))))</f>
        <v/>
      </c>
      <c r="AP85" s="79">
        <f>IF(AN85="","",IF(AE85=0,"OK",_xlfn.LET(fechaPago, Z85, fechaFactura, R85, diasCredito, IF(E85="Pago inmediato", 0, IFERROR(VALUE(MID(E85, 1, SEARCH(" ", E85)-1)),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5" s="79">
        <f>IF(AN85="","",IF(AND(N85&gt;0, AG85&gt;0), IF(Configuración!$K$2="NO", "ALERTA: DESCUENTO DOBLE NO PERMITIDO", "OK"), "OK"))</f>
        <v/>
      </c>
      <c r="AR85" s="79">
        <f>IF(AN85="","",IF(OR(AO85&lt;&gt;"OK", AP85&lt;&gt;"OK", AQ85&lt;&gt;"OK"), "⚠️ REVISAR", "OK"))</f>
        <v/>
      </c>
    </row>
    <row r="86">
      <c r="A86" s="79">
        <f>IF('Ordenes_Odoo'!A86="","",'Ordenes_Odoo'!A86)</f>
        <v/>
      </c>
      <c r="B86" s="80">
        <f>IF('Ordenes_Odoo'!B86="","",'Ordenes_Odoo'!B86)</f>
        <v/>
      </c>
      <c r="C86" s="79">
        <f>IF('Ordenes_Odoo'!C86="","",'Ordenes_Odoo'!C86)</f>
        <v/>
      </c>
      <c r="D86" s="79">
        <f>IF('Ordenes_Odoo'!D86="","",'Ordenes_Odoo'!D86)</f>
        <v/>
      </c>
      <c r="E86" s="79">
        <f>IF('Ordenes_Odoo'!E86="","",'Ordenes_Odoo'!E86)</f>
        <v/>
      </c>
      <c r="F86" s="79">
        <f>IF('Ordenes_Odoo'!F86="","",'Ordenes_Odoo'!F86)</f>
        <v/>
      </c>
      <c r="G86" s="79">
        <f>IF('Ordenes_Odoo'!G86="","",'Ordenes_Odoo'!G86)</f>
        <v/>
      </c>
      <c r="H86" s="79">
        <f>IF('Ordenes_Odoo'!H86="","",'Ordenes_Odoo'!H86)</f>
        <v/>
      </c>
      <c r="I86" s="79">
        <f>IF('Ordenes_Odoo'!I86="","",'Ordenes_Odoo'!I86)</f>
        <v/>
      </c>
      <c r="J86" s="79">
        <f>IF('Ordenes_Odoo'!J86="","",'Ordenes_Odoo'!J86)</f>
        <v/>
      </c>
      <c r="K86" s="81">
        <f>IF('Ordenes_Odoo'!K86="","",'Ordenes_Odoo'!K86)</f>
        <v/>
      </c>
      <c r="L86" s="81">
        <f>IF('Ordenes_Odoo'!L86="","",'Ordenes_Odoo'!L86)</f>
        <v/>
      </c>
      <c r="M86" s="79">
        <f>IF('Ordenes_Odoo'!M86="","",'Ordenes_Odoo'!M86)</f>
        <v/>
      </c>
      <c r="N86" s="79">
        <f>IF('Ordenes_Odoo'!N86="","",'Ordenes_Odoo'!N86)</f>
        <v/>
      </c>
      <c r="O86" s="81">
        <f>IF('Ordenes_Odoo'!O86="","",'Ordenes_Odoo'!O86)</f>
        <v/>
      </c>
      <c r="P86" s="81">
        <f>IF('Ordenes_Odoo'!P86="","",'Ordenes_Odoo'!P86)</f>
        <v/>
      </c>
      <c r="Q86" s="79">
        <f>IF(A86="","",IFERROR(INDEX(Facturas_Odoo!$B:$B, MATCH(A86, Facturas_Odoo!$D:$D, 0)), "Sin Factura"))</f>
        <v/>
      </c>
      <c r="R86" s="80">
        <f>IF(Q86="Sin Factura","",IFERROR(INDEX(Facturas_Odoo!$A:$A, MATCH(Q86, Facturas_Odoo!$B:$B, 0)), ""))</f>
        <v/>
      </c>
      <c r="S86" s="79">
        <f>IF(Q86="Sin Factura","",IFERROR(_xlfn.XLOOKUP(1, (Facturas_Odoo!$D:$D=A86) * (Facturas_Odoo!$K:$K=I86), Facturas_Odoo!$L:$L, ""), ""))</f>
        <v/>
      </c>
      <c r="T86" s="81">
        <f>IF(Q86="Sin Factura",0,IFERROR(_xlfn.XLOOKUP(1, (Facturas_Odoo!$D:$D=A86) * (Facturas_Odoo!$K:$K=I86), Facturas_Odoo!$M:$M, 0), 0))</f>
        <v/>
      </c>
      <c r="U86" s="79">
        <f>IF(Q86="Sin Factura",0,IFERROR(_xlfn.XLOOKUP(1, (Facturas_Odoo!$D:$D=A86) * (Facturas_Odoo!$K:$K=I86), Facturas_Odoo!$N:$N, 0), 0))</f>
        <v/>
      </c>
      <c r="V86" s="79">
        <f>IF(Q86="Sin Factura",0,IFERROR(_xlfn.XLOOKUP(1, (Facturas_Odoo!$D:$D=A86) * (Facturas_Odoo!$K:$K=I86), Facturas_Odoo!$O:$O, 0), 0))</f>
        <v/>
      </c>
      <c r="W86" s="81">
        <f>IF(Q86="Sin Factura",0,IFERROR(_xlfn.XLOOKUP(1, (Facturas_Odoo!$D:$D=A86) * (Facturas_Odoo!$K:$K=I86), Facturas_Odoo!$Q:$Q, 0), 0))</f>
        <v/>
      </c>
      <c r="X86" s="79">
        <f>IF(OR(Q86="Sin Factura",Q86=""),"",IFERROR(INDEX(Pagos_Odoo!$B:$B, MATCH(Q86, Pagos_Odoo!$I:$I, 0)), "Sin Pago"))</f>
        <v/>
      </c>
      <c r="Y86" s="79">
        <f>IF(X86="Sin Pago","",IFERROR(INDEX(Pagos_Odoo!$C:$C, MATCH(X86, Pagos_Odoo!$B:$B, 0)), ""))</f>
        <v/>
      </c>
      <c r="Z86" s="80">
        <f>IF(X86="Sin Pago","",IFERROR(INDEX(Pagos_Odoo!$A:$A, MATCH(X86, Pagos_Odoo!$B:$B, 0)), ""))</f>
        <v/>
      </c>
      <c r="AA86" s="79">
        <f>IF(X86="Sin Pago","",IFERROR(INDEX(Pagos_Odoo!$F:$F, MATCH(X86, Pagos_Odoo!$B:$B, 0)), ""))</f>
        <v/>
      </c>
      <c r="AB86" s="81">
        <f>IF(X86="Sin Pago",0,IFERROR(INDEX(Pagos_Odoo!$E:$E, MATCH(X86, Pagos_Odoo!$B:$B, 0)), 0))</f>
        <v/>
      </c>
      <c r="AC86" s="79">
        <f>IF(X86="Sin Pago","",IFERROR(INDEX(Pagos_Odoo!$G:$G, MATCH(X86, Pagos_Odoo!$B:$B, 0)), ""))</f>
        <v/>
      </c>
      <c r="AD86" s="82" t="n">
        <v>0</v>
      </c>
      <c r="AE86" s="82" t="n"/>
      <c r="AF86" s="82" t="n"/>
      <c r="AG86" s="82">
        <f>IF(AN86="","",AD86+AE86+AF86)</f>
        <v/>
      </c>
      <c r="AH86" s="81">
        <f>IF(AN86="","",P86*(1-AG86))</f>
        <v/>
      </c>
      <c r="AI86" s="81">
        <f>IF(AN86="","",IF(Q86="Sin Factura",0,IFERROR(INDEX(Facturas_Odoo!$H:$H, MATCH(Q86, Facturas_Odoo!$B:$B, 0)), 0)*(1-AG86)))</f>
        <v/>
      </c>
      <c r="AJ86" s="81">
        <f>IF(AN86="","",_xlfn.LET(idVenta, AN86&amp;"",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6" s="81">
        <f>IF(AN86="","",AH86-AJ86)</f>
        <v/>
      </c>
      <c r="AL86" s="81">
        <f>IF(AN86="","",IF(Q86="Sin Factura","",AI86-AJ86))</f>
        <v/>
      </c>
      <c r="AM86" s="81">
        <f>IF(AN86="","",IF(Q86="Sin Factura",0,P86-IFERROR(INDEX(Facturas_Odoo!$H:$H, MATCH(Q86, Facturas_Odoo!$B:$B, 0)), 0)))</f>
        <v/>
      </c>
      <c r="AN86" s="79">
        <f>IF(AND(A86="", J86=""), "", IF(A86&lt;&gt;"", VALUE(MID(A86,2,LEN(A86))), AN85))</f>
        <v/>
      </c>
      <c r="AO86" s="79">
        <f>IF(AN86="","",IF(AD86=0,"OK",_xlfn.LET(monedaPago, IF(AA86="","USD",AA86), limitePermitido, IFERROR(VLOOKUP(monedaPago, Configuración!$A$2:$B$3, 2, FALSE), 0.15), IF(AD86&gt;limitePermitido, "ALERTA: EXCESO (" &amp; TEXT(limitePermitido, "0%") &amp; " máx)", "OK"))))</f>
        <v/>
      </c>
      <c r="AP86" s="79">
        <f>IF(AN86="","",IF(AE86=0,"OK",_xlfn.LET(fechaPago, Z86, fechaFactura, R86, diasCredito, IF(E86="Pago inmediato", 0, IFERROR(VALUE(MID(E86, 1, SEARCH(" ", E86)-1)),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6" s="79">
        <f>IF(AN86="","",IF(AND(N86&gt;0, AG86&gt;0), IF(Configuración!$K$2="NO", "ALERTA: DESCUENTO DOBLE NO PERMITIDO", "OK"), "OK"))</f>
        <v/>
      </c>
      <c r="AR86" s="79">
        <f>IF(AN86="","",IF(OR(AO86&lt;&gt;"OK", AP86&lt;&gt;"OK", AQ86&lt;&gt;"OK"), "⚠️ REVISAR", "OK"))</f>
        <v/>
      </c>
    </row>
    <row r="87">
      <c r="A87" s="79">
        <f>IF('Ordenes_Odoo'!A87="","",'Ordenes_Odoo'!A87)</f>
        <v/>
      </c>
      <c r="B87" s="80">
        <f>IF('Ordenes_Odoo'!B87="","",'Ordenes_Odoo'!B87)</f>
        <v/>
      </c>
      <c r="C87" s="79">
        <f>IF('Ordenes_Odoo'!C87="","",'Ordenes_Odoo'!C87)</f>
        <v/>
      </c>
      <c r="D87" s="79">
        <f>IF('Ordenes_Odoo'!D87="","",'Ordenes_Odoo'!D87)</f>
        <v/>
      </c>
      <c r="E87" s="79">
        <f>IF('Ordenes_Odoo'!E87="","",'Ordenes_Odoo'!E87)</f>
        <v/>
      </c>
      <c r="F87" s="79">
        <f>IF('Ordenes_Odoo'!F87="","",'Ordenes_Odoo'!F87)</f>
        <v/>
      </c>
      <c r="G87" s="79">
        <f>IF('Ordenes_Odoo'!G87="","",'Ordenes_Odoo'!G87)</f>
        <v/>
      </c>
      <c r="H87" s="79">
        <f>IF('Ordenes_Odoo'!H87="","",'Ordenes_Odoo'!H87)</f>
        <v/>
      </c>
      <c r="I87" s="79">
        <f>IF('Ordenes_Odoo'!I87="","",'Ordenes_Odoo'!I87)</f>
        <v/>
      </c>
      <c r="J87" s="79">
        <f>IF('Ordenes_Odoo'!J87="","",'Ordenes_Odoo'!J87)</f>
        <v/>
      </c>
      <c r="K87" s="81">
        <f>IF('Ordenes_Odoo'!K87="","",'Ordenes_Odoo'!K87)</f>
        <v/>
      </c>
      <c r="L87" s="81">
        <f>IF('Ordenes_Odoo'!L87="","",'Ordenes_Odoo'!L87)</f>
        <v/>
      </c>
      <c r="M87" s="79">
        <f>IF('Ordenes_Odoo'!M87="","",'Ordenes_Odoo'!M87)</f>
        <v/>
      </c>
      <c r="N87" s="79">
        <f>IF('Ordenes_Odoo'!N87="","",'Ordenes_Odoo'!N87)</f>
        <v/>
      </c>
      <c r="O87" s="81">
        <f>IF('Ordenes_Odoo'!O87="","",'Ordenes_Odoo'!O87)</f>
        <v/>
      </c>
      <c r="P87" s="81">
        <f>IF('Ordenes_Odoo'!P87="","",'Ordenes_Odoo'!P87)</f>
        <v/>
      </c>
      <c r="Q87" s="79">
        <f>IF(A87="","",IFERROR(INDEX(Facturas_Odoo!$B:$B, MATCH(A87, Facturas_Odoo!$D:$D, 0)), "Sin Factura"))</f>
        <v/>
      </c>
      <c r="R87" s="80">
        <f>IF(Q87="Sin Factura","",IFERROR(INDEX(Facturas_Odoo!$A:$A, MATCH(Q87, Facturas_Odoo!$B:$B, 0)), ""))</f>
        <v/>
      </c>
      <c r="S87" s="79">
        <f>IF(Q87="Sin Factura","",IFERROR(_xlfn.XLOOKUP(1, (Facturas_Odoo!$D:$D=A87) * (Facturas_Odoo!$K:$K=I87), Facturas_Odoo!$L:$L, ""), ""))</f>
        <v/>
      </c>
      <c r="T87" s="81">
        <f>IF(Q87="Sin Factura",0,IFERROR(_xlfn.XLOOKUP(1, (Facturas_Odoo!$D:$D=A87) * (Facturas_Odoo!$K:$K=I87), Facturas_Odoo!$M:$M, 0), 0))</f>
        <v/>
      </c>
      <c r="U87" s="79">
        <f>IF(Q87="Sin Factura",0,IFERROR(_xlfn.XLOOKUP(1, (Facturas_Odoo!$D:$D=A87) * (Facturas_Odoo!$K:$K=I87), Facturas_Odoo!$N:$N, 0), 0))</f>
        <v/>
      </c>
      <c r="V87" s="79">
        <f>IF(Q87="Sin Factura",0,IFERROR(_xlfn.XLOOKUP(1, (Facturas_Odoo!$D:$D=A87) * (Facturas_Odoo!$K:$K=I87), Facturas_Odoo!$O:$O, 0), 0))</f>
        <v/>
      </c>
      <c r="W87" s="81">
        <f>IF(Q87="Sin Factura",0,IFERROR(_xlfn.XLOOKUP(1, (Facturas_Odoo!$D:$D=A87) * (Facturas_Odoo!$K:$K=I87), Facturas_Odoo!$Q:$Q, 0), 0))</f>
        <v/>
      </c>
      <c r="X87" s="79">
        <f>IF(OR(Q87="Sin Factura",Q87=""),"",IFERROR(INDEX(Pagos_Odoo!$B:$B, MATCH(Q87, Pagos_Odoo!$I:$I, 0)), "Sin Pago"))</f>
        <v/>
      </c>
      <c r="Y87" s="79">
        <f>IF(X87="Sin Pago","",IFERROR(INDEX(Pagos_Odoo!$C:$C, MATCH(X87, Pagos_Odoo!$B:$B, 0)), ""))</f>
        <v/>
      </c>
      <c r="Z87" s="80">
        <f>IF(X87="Sin Pago","",IFERROR(INDEX(Pagos_Odoo!$A:$A, MATCH(X87, Pagos_Odoo!$B:$B, 0)), ""))</f>
        <v/>
      </c>
      <c r="AA87" s="79">
        <f>IF(X87="Sin Pago","",IFERROR(INDEX(Pagos_Odoo!$F:$F, MATCH(X87, Pagos_Odoo!$B:$B, 0)), ""))</f>
        <v/>
      </c>
      <c r="AB87" s="81">
        <f>IF(X87="Sin Pago",0,IFERROR(INDEX(Pagos_Odoo!$E:$E, MATCH(X87, Pagos_Odoo!$B:$B, 0)), 0))</f>
        <v/>
      </c>
      <c r="AC87" s="79">
        <f>IF(X87="Sin Pago","",IFERROR(INDEX(Pagos_Odoo!$G:$G, MATCH(X87, Pagos_Odoo!$B:$B, 0)), ""))</f>
        <v/>
      </c>
      <c r="AD87" s="82" t="n">
        <v>0</v>
      </c>
      <c r="AE87" s="82" t="n"/>
      <c r="AF87" s="82" t="n"/>
      <c r="AG87" s="82">
        <f>IF(AN87="","",AD87+AE87+AF87)</f>
        <v/>
      </c>
      <c r="AH87" s="81">
        <f>IF(AN87="","",P87*(1-AG87))</f>
        <v/>
      </c>
      <c r="AI87" s="81">
        <f>IF(AN87="","",IF(Q87="Sin Factura",0,IFERROR(INDEX(Facturas_Odoo!$H:$H, MATCH(Q87, Facturas_Odoo!$B:$B, 0)), 0)*(1-AG87)))</f>
        <v/>
      </c>
      <c r="AJ87" s="81">
        <f>IF(AN87="","",_xlfn.LET(idVenta, AN87&amp;"",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7" s="81">
        <f>IF(AN87="","",AH87-AJ87)</f>
        <v/>
      </c>
      <c r="AL87" s="81">
        <f>IF(AN87="","",IF(Q87="Sin Factura","",AI87-AJ87))</f>
        <v/>
      </c>
      <c r="AM87" s="81">
        <f>IF(AN87="","",IF(Q87="Sin Factura",0,P87-IFERROR(INDEX(Facturas_Odoo!$H:$H, MATCH(Q87, Facturas_Odoo!$B:$B, 0)), 0)))</f>
        <v/>
      </c>
      <c r="AN87" s="79">
        <f>IF(AND(A87="", J87=""), "", IF(A87&lt;&gt;"", VALUE(MID(A87,2,LEN(A87))), AN86))</f>
        <v/>
      </c>
      <c r="AO87" s="79">
        <f>IF(AN87="","",IF(AD87=0,"OK",_xlfn.LET(monedaPago, IF(AA87="","USD",AA87), limitePermitido, IFERROR(VLOOKUP(monedaPago, Configuración!$A$2:$B$3, 2, FALSE), 0.15), IF(AD87&gt;limitePermitido, "ALERTA: EXCESO (" &amp; TEXT(limitePermitido, "0%") &amp; " máx)", "OK"))))</f>
        <v/>
      </c>
      <c r="AP87" s="79">
        <f>IF(AN87="","",IF(AE87=0,"OK",_xlfn.LET(fechaPago, Z87, fechaFactura, R87, diasCredito, IF(E87="Pago inmediato", 0, IFERROR(VALUE(MID(E87, 1, SEARCH(" ", E87)-1)),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7" s="79">
        <f>IF(AN87="","",IF(AND(N87&gt;0, AG87&gt;0), IF(Configuración!$K$2="NO", "ALERTA: DESCUENTO DOBLE NO PERMITIDO", "OK"), "OK"))</f>
        <v/>
      </c>
      <c r="AR87" s="79">
        <f>IF(AN87="","",IF(OR(AO87&lt;&gt;"OK", AP87&lt;&gt;"OK", AQ87&lt;&gt;"OK"), "⚠️ REVISAR", "OK"))</f>
        <v/>
      </c>
    </row>
    <row r="88">
      <c r="A88" s="79">
        <f>IF('Ordenes_Odoo'!A88="","",'Ordenes_Odoo'!A88)</f>
        <v/>
      </c>
      <c r="B88" s="80">
        <f>IF('Ordenes_Odoo'!B88="","",'Ordenes_Odoo'!B88)</f>
        <v/>
      </c>
      <c r="C88" s="79">
        <f>IF('Ordenes_Odoo'!C88="","",'Ordenes_Odoo'!C88)</f>
        <v/>
      </c>
      <c r="D88" s="79">
        <f>IF('Ordenes_Odoo'!D88="","",'Ordenes_Odoo'!D88)</f>
        <v/>
      </c>
      <c r="E88" s="79">
        <f>IF('Ordenes_Odoo'!E88="","",'Ordenes_Odoo'!E88)</f>
        <v/>
      </c>
      <c r="F88" s="79">
        <f>IF('Ordenes_Odoo'!F88="","",'Ordenes_Odoo'!F88)</f>
        <v/>
      </c>
      <c r="G88" s="79">
        <f>IF('Ordenes_Odoo'!G88="","",'Ordenes_Odoo'!G88)</f>
        <v/>
      </c>
      <c r="H88" s="79">
        <f>IF('Ordenes_Odoo'!H88="","",'Ordenes_Odoo'!H88)</f>
        <v/>
      </c>
      <c r="I88" s="79">
        <f>IF('Ordenes_Odoo'!I88="","",'Ordenes_Odoo'!I88)</f>
        <v/>
      </c>
      <c r="J88" s="79">
        <f>IF('Ordenes_Odoo'!J88="","",'Ordenes_Odoo'!J88)</f>
        <v/>
      </c>
      <c r="K88" s="81">
        <f>IF('Ordenes_Odoo'!K88="","",'Ordenes_Odoo'!K88)</f>
        <v/>
      </c>
      <c r="L88" s="81">
        <f>IF('Ordenes_Odoo'!L88="","",'Ordenes_Odoo'!L88)</f>
        <v/>
      </c>
      <c r="M88" s="79">
        <f>IF('Ordenes_Odoo'!M88="","",'Ordenes_Odoo'!M88)</f>
        <v/>
      </c>
      <c r="N88" s="79">
        <f>IF('Ordenes_Odoo'!N88="","",'Ordenes_Odoo'!N88)</f>
        <v/>
      </c>
      <c r="O88" s="81">
        <f>IF('Ordenes_Odoo'!O88="","",'Ordenes_Odoo'!O88)</f>
        <v/>
      </c>
      <c r="P88" s="81">
        <f>IF('Ordenes_Odoo'!P88="","",'Ordenes_Odoo'!P88)</f>
        <v/>
      </c>
      <c r="Q88" s="79">
        <f>IF(A88="","",IFERROR(INDEX(Facturas_Odoo!$B:$B, MATCH(A88, Facturas_Odoo!$D:$D, 0)), "Sin Factura"))</f>
        <v/>
      </c>
      <c r="R88" s="80">
        <f>IF(Q88="Sin Factura","",IFERROR(INDEX(Facturas_Odoo!$A:$A, MATCH(Q88, Facturas_Odoo!$B:$B, 0)), ""))</f>
        <v/>
      </c>
      <c r="S88" s="79">
        <f>IF(Q88="Sin Factura","",IFERROR(_xlfn.XLOOKUP(1, (Facturas_Odoo!$D:$D=A88) * (Facturas_Odoo!$K:$K=I88), Facturas_Odoo!$L:$L, ""), ""))</f>
        <v/>
      </c>
      <c r="T88" s="81">
        <f>IF(Q88="Sin Factura",0,IFERROR(_xlfn.XLOOKUP(1, (Facturas_Odoo!$D:$D=A88) * (Facturas_Odoo!$K:$K=I88), Facturas_Odoo!$M:$M, 0), 0))</f>
        <v/>
      </c>
      <c r="U88" s="79">
        <f>IF(Q88="Sin Factura",0,IFERROR(_xlfn.XLOOKUP(1, (Facturas_Odoo!$D:$D=A88) * (Facturas_Odoo!$K:$K=I88), Facturas_Odoo!$N:$N, 0), 0))</f>
        <v/>
      </c>
      <c r="V88" s="79">
        <f>IF(Q88="Sin Factura",0,IFERROR(_xlfn.XLOOKUP(1, (Facturas_Odoo!$D:$D=A88) * (Facturas_Odoo!$K:$K=I88), Facturas_Odoo!$O:$O, 0), 0))</f>
        <v/>
      </c>
      <c r="W88" s="81">
        <f>IF(Q88="Sin Factura",0,IFERROR(_xlfn.XLOOKUP(1, (Facturas_Odoo!$D:$D=A88) * (Facturas_Odoo!$K:$K=I88), Facturas_Odoo!$Q:$Q, 0), 0))</f>
        <v/>
      </c>
      <c r="X88" s="79">
        <f>IF(OR(Q88="Sin Factura",Q88=""),"",IFERROR(INDEX(Pagos_Odoo!$B:$B, MATCH(Q88, Pagos_Odoo!$I:$I, 0)), "Sin Pago"))</f>
        <v/>
      </c>
      <c r="Y88" s="79">
        <f>IF(X88="Sin Pago","",IFERROR(INDEX(Pagos_Odoo!$C:$C, MATCH(X88, Pagos_Odoo!$B:$B, 0)), ""))</f>
        <v/>
      </c>
      <c r="Z88" s="80">
        <f>IF(X88="Sin Pago","",IFERROR(INDEX(Pagos_Odoo!$A:$A, MATCH(X88, Pagos_Odoo!$B:$B, 0)), ""))</f>
        <v/>
      </c>
      <c r="AA88" s="79">
        <f>IF(X88="Sin Pago","",IFERROR(INDEX(Pagos_Odoo!$F:$F, MATCH(X88, Pagos_Odoo!$B:$B, 0)), ""))</f>
        <v/>
      </c>
      <c r="AB88" s="81">
        <f>IF(X88="Sin Pago",0,IFERROR(INDEX(Pagos_Odoo!$E:$E, MATCH(X88, Pagos_Odoo!$B:$B, 0)), 0))</f>
        <v/>
      </c>
      <c r="AC88" s="79">
        <f>IF(X88="Sin Pago","",IFERROR(INDEX(Pagos_Odoo!$G:$G, MATCH(X88, Pagos_Odoo!$B:$B, 0)), ""))</f>
        <v/>
      </c>
      <c r="AD88" s="82" t="n">
        <v>0</v>
      </c>
      <c r="AE88" s="82" t="n"/>
      <c r="AF88" s="82" t="n"/>
      <c r="AG88" s="82">
        <f>IF(AN88="","",AD88+AE88+AF88)</f>
        <v/>
      </c>
      <c r="AH88" s="81">
        <f>IF(AN88="","",P88*(1-AG88))</f>
        <v/>
      </c>
      <c r="AI88" s="81">
        <f>IF(AN88="","",IF(Q88="Sin Factura",0,IFERROR(INDEX(Facturas_Odoo!$H:$H, MATCH(Q88, Facturas_Odoo!$B:$B, 0)), 0)*(1-AG88)))</f>
        <v/>
      </c>
      <c r="AJ88" s="81">
        <f>IF(AN88="","",_xlfn.LET(idVenta, AN88&amp;"",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8" s="81">
        <f>IF(AN88="","",AH88-AJ88)</f>
        <v/>
      </c>
      <c r="AL88" s="81">
        <f>IF(AN88="","",IF(Q88="Sin Factura","",AI88-AJ88))</f>
        <v/>
      </c>
      <c r="AM88" s="81">
        <f>IF(AN88="","",IF(Q88="Sin Factura",0,P88-IFERROR(INDEX(Facturas_Odoo!$H:$H, MATCH(Q88, Facturas_Odoo!$B:$B, 0)), 0)))</f>
        <v/>
      </c>
      <c r="AN88" s="79">
        <f>IF(AND(A88="", J88=""), "", IF(A88&lt;&gt;"", VALUE(MID(A88,2,LEN(A88))), AN87))</f>
        <v/>
      </c>
      <c r="AO88" s="79">
        <f>IF(AN88="","",IF(AD88=0,"OK",_xlfn.LET(monedaPago, IF(AA88="","USD",AA88), limitePermitido, IFERROR(VLOOKUP(monedaPago, Configuración!$A$2:$B$3, 2, FALSE), 0.15), IF(AD88&gt;limitePermitido, "ALERTA: EXCESO (" &amp; TEXT(limitePermitido, "0%") &amp; " máx)", "OK"))))</f>
        <v/>
      </c>
      <c r="AP88" s="79">
        <f>IF(AN88="","",IF(AE88=0,"OK",_xlfn.LET(fechaPago, Z88, fechaFactura, R88, diasCredito, IF(E88="Pago inmediato", 0, IFERROR(VALUE(MID(E88, 1, SEARCH(" ", E88)-1)),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8" s="79">
        <f>IF(AN88="","",IF(AND(N88&gt;0, AG88&gt;0), IF(Configuración!$K$2="NO", "ALERTA: DESCUENTO DOBLE NO PERMITIDO", "OK"), "OK"))</f>
        <v/>
      </c>
      <c r="AR88" s="79">
        <f>IF(AN88="","",IF(OR(AO88&lt;&gt;"OK", AP88&lt;&gt;"OK", AQ88&lt;&gt;"OK"), "⚠️ REVISAR", "OK"))</f>
        <v/>
      </c>
    </row>
    <row r="89">
      <c r="A89" s="79">
        <f>IF('Ordenes_Odoo'!A89="","",'Ordenes_Odoo'!A89)</f>
        <v/>
      </c>
      <c r="B89" s="80">
        <f>IF('Ordenes_Odoo'!B89="","",'Ordenes_Odoo'!B89)</f>
        <v/>
      </c>
      <c r="C89" s="79">
        <f>IF('Ordenes_Odoo'!C89="","",'Ordenes_Odoo'!C89)</f>
        <v/>
      </c>
      <c r="D89" s="79">
        <f>IF('Ordenes_Odoo'!D89="","",'Ordenes_Odoo'!D89)</f>
        <v/>
      </c>
      <c r="E89" s="79">
        <f>IF('Ordenes_Odoo'!E89="","",'Ordenes_Odoo'!E89)</f>
        <v/>
      </c>
      <c r="F89" s="79">
        <f>IF('Ordenes_Odoo'!F89="","",'Ordenes_Odoo'!F89)</f>
        <v/>
      </c>
      <c r="G89" s="79">
        <f>IF('Ordenes_Odoo'!G89="","",'Ordenes_Odoo'!G89)</f>
        <v/>
      </c>
      <c r="H89" s="79">
        <f>IF('Ordenes_Odoo'!H89="","",'Ordenes_Odoo'!H89)</f>
        <v/>
      </c>
      <c r="I89" s="79">
        <f>IF('Ordenes_Odoo'!I89="","",'Ordenes_Odoo'!I89)</f>
        <v/>
      </c>
      <c r="J89" s="79">
        <f>IF('Ordenes_Odoo'!J89="","",'Ordenes_Odoo'!J89)</f>
        <v/>
      </c>
      <c r="K89" s="81">
        <f>IF('Ordenes_Odoo'!K89="","",'Ordenes_Odoo'!K89)</f>
        <v/>
      </c>
      <c r="L89" s="81">
        <f>IF('Ordenes_Odoo'!L89="","",'Ordenes_Odoo'!L89)</f>
        <v/>
      </c>
      <c r="M89" s="79">
        <f>IF('Ordenes_Odoo'!M89="","",'Ordenes_Odoo'!M89)</f>
        <v/>
      </c>
      <c r="N89" s="79">
        <f>IF('Ordenes_Odoo'!N89="","",'Ordenes_Odoo'!N89)</f>
        <v/>
      </c>
      <c r="O89" s="81">
        <f>IF('Ordenes_Odoo'!O89="","",'Ordenes_Odoo'!O89)</f>
        <v/>
      </c>
      <c r="P89" s="81">
        <f>IF('Ordenes_Odoo'!P89="","",'Ordenes_Odoo'!P89)</f>
        <v/>
      </c>
      <c r="Q89" s="79">
        <f>IF(A89="","",IFERROR(INDEX(Facturas_Odoo!$B:$B, MATCH(A89, Facturas_Odoo!$D:$D, 0)), "Sin Factura"))</f>
        <v/>
      </c>
      <c r="R89" s="80">
        <f>IF(Q89="Sin Factura","",IFERROR(INDEX(Facturas_Odoo!$A:$A, MATCH(Q89, Facturas_Odoo!$B:$B, 0)), ""))</f>
        <v/>
      </c>
      <c r="S89" s="79">
        <f>IF(Q89="Sin Factura","",IFERROR(_xlfn.XLOOKUP(1, (Facturas_Odoo!$D:$D=A89) * (Facturas_Odoo!$K:$K=I89), Facturas_Odoo!$L:$L, ""), ""))</f>
        <v/>
      </c>
      <c r="T89" s="81">
        <f>IF(Q89="Sin Factura",0,IFERROR(_xlfn.XLOOKUP(1, (Facturas_Odoo!$D:$D=A89) * (Facturas_Odoo!$K:$K=I89), Facturas_Odoo!$M:$M, 0), 0))</f>
        <v/>
      </c>
      <c r="U89" s="79">
        <f>IF(Q89="Sin Factura",0,IFERROR(_xlfn.XLOOKUP(1, (Facturas_Odoo!$D:$D=A89) * (Facturas_Odoo!$K:$K=I89), Facturas_Odoo!$N:$N, 0), 0))</f>
        <v/>
      </c>
      <c r="V89" s="79">
        <f>IF(Q89="Sin Factura",0,IFERROR(_xlfn.XLOOKUP(1, (Facturas_Odoo!$D:$D=A89) * (Facturas_Odoo!$K:$K=I89), Facturas_Odoo!$O:$O, 0), 0))</f>
        <v/>
      </c>
      <c r="W89" s="81">
        <f>IF(Q89="Sin Factura",0,IFERROR(_xlfn.XLOOKUP(1, (Facturas_Odoo!$D:$D=A89) * (Facturas_Odoo!$K:$K=I89), Facturas_Odoo!$Q:$Q, 0), 0))</f>
        <v/>
      </c>
      <c r="X89" s="79">
        <f>IF(OR(Q89="Sin Factura",Q89=""),"",IFERROR(INDEX(Pagos_Odoo!$B:$B, MATCH(Q89, Pagos_Odoo!$I:$I, 0)), "Sin Pago"))</f>
        <v/>
      </c>
      <c r="Y89" s="79">
        <f>IF(X89="Sin Pago","",IFERROR(INDEX(Pagos_Odoo!$C:$C, MATCH(X89, Pagos_Odoo!$B:$B, 0)), ""))</f>
        <v/>
      </c>
      <c r="Z89" s="80">
        <f>IF(X89="Sin Pago","",IFERROR(INDEX(Pagos_Odoo!$A:$A, MATCH(X89, Pagos_Odoo!$B:$B, 0)), ""))</f>
        <v/>
      </c>
      <c r="AA89" s="79">
        <f>IF(X89="Sin Pago","",IFERROR(INDEX(Pagos_Odoo!$F:$F, MATCH(X89, Pagos_Odoo!$B:$B, 0)), ""))</f>
        <v/>
      </c>
      <c r="AB89" s="81">
        <f>IF(X89="Sin Pago",0,IFERROR(INDEX(Pagos_Odoo!$E:$E, MATCH(X89, Pagos_Odoo!$B:$B, 0)), 0))</f>
        <v/>
      </c>
      <c r="AC89" s="79">
        <f>IF(X89="Sin Pago","",IFERROR(INDEX(Pagos_Odoo!$G:$G, MATCH(X89, Pagos_Odoo!$B:$B, 0)), ""))</f>
        <v/>
      </c>
      <c r="AD89" s="82" t="n">
        <v>0</v>
      </c>
      <c r="AE89" s="82" t="n"/>
      <c r="AF89" s="82" t="n"/>
      <c r="AG89" s="82">
        <f>IF(AN89="","",AD89+AE89+AF89)</f>
        <v/>
      </c>
      <c r="AH89" s="81">
        <f>IF(AN89="","",P89*(1-AG89))</f>
        <v/>
      </c>
      <c r="AI89" s="81">
        <f>IF(AN89="","",IF(Q89="Sin Factura",0,IFERROR(INDEX(Facturas_Odoo!$H:$H, MATCH(Q89, Facturas_Odoo!$B:$B, 0)), 0)*(1-AG89)))</f>
        <v/>
      </c>
      <c r="AJ89" s="81">
        <f>IF(AN89="","",_xlfn.LET(idVenta, AN89&amp;"",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9" s="81">
        <f>IF(AN89="","",AH89-AJ89)</f>
        <v/>
      </c>
      <c r="AL89" s="81">
        <f>IF(AN89="","",IF(Q89="Sin Factura","",AI89-AJ89))</f>
        <v/>
      </c>
      <c r="AM89" s="81">
        <f>IF(AN89="","",IF(Q89="Sin Factura",0,P89-IFERROR(INDEX(Facturas_Odoo!$H:$H, MATCH(Q89, Facturas_Odoo!$B:$B, 0)), 0)))</f>
        <v/>
      </c>
      <c r="AN89" s="79">
        <f>IF(AND(A89="", J89=""), "", IF(A89&lt;&gt;"", VALUE(MID(A89,2,LEN(A89))), AN88))</f>
        <v/>
      </c>
      <c r="AO89" s="79">
        <f>IF(AN89="","",IF(AD89=0,"OK",_xlfn.LET(monedaPago, IF(AA89="","USD",AA89), limitePermitido, IFERROR(VLOOKUP(monedaPago, Configuración!$A$2:$B$3, 2, FALSE), 0.15), IF(AD89&gt;limitePermitido, "ALERTA: EXCESO (" &amp; TEXT(limitePermitido, "0%") &amp; " máx)", "OK"))))</f>
        <v/>
      </c>
      <c r="AP89" s="79">
        <f>IF(AN89="","",IF(AE89=0,"OK",_xlfn.LET(fechaPago, Z89, fechaFactura, R89, diasCredito, IF(E89="Pago inmediato", 0, IFERROR(VALUE(MID(E89, 1, SEARCH(" ", E89)-1)),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9" s="79">
        <f>IF(AN89="","",IF(AND(N89&gt;0, AG89&gt;0), IF(Configuración!$K$2="NO", "ALERTA: DESCUENTO DOBLE NO PERMITIDO", "OK"), "OK"))</f>
        <v/>
      </c>
      <c r="AR89" s="79">
        <f>IF(AN89="","",IF(OR(AO89&lt;&gt;"OK", AP89&lt;&gt;"OK", AQ89&lt;&gt;"OK"), "⚠️ REVISAR", "OK"))</f>
        <v/>
      </c>
    </row>
    <row r="90">
      <c r="A90" s="79">
        <f>IF('Ordenes_Odoo'!A90="","",'Ordenes_Odoo'!A90)</f>
        <v/>
      </c>
      <c r="B90" s="80">
        <f>IF('Ordenes_Odoo'!B90="","",'Ordenes_Odoo'!B90)</f>
        <v/>
      </c>
      <c r="C90" s="79">
        <f>IF('Ordenes_Odoo'!C90="","",'Ordenes_Odoo'!C90)</f>
        <v/>
      </c>
      <c r="D90" s="79">
        <f>IF('Ordenes_Odoo'!D90="","",'Ordenes_Odoo'!D90)</f>
        <v/>
      </c>
      <c r="E90" s="79">
        <f>IF('Ordenes_Odoo'!E90="","",'Ordenes_Odoo'!E90)</f>
        <v/>
      </c>
      <c r="F90" s="79">
        <f>IF('Ordenes_Odoo'!F90="","",'Ordenes_Odoo'!F90)</f>
        <v/>
      </c>
      <c r="G90" s="79">
        <f>IF('Ordenes_Odoo'!G90="","",'Ordenes_Odoo'!G90)</f>
        <v/>
      </c>
      <c r="H90" s="79">
        <f>IF('Ordenes_Odoo'!H90="","",'Ordenes_Odoo'!H90)</f>
        <v/>
      </c>
      <c r="I90" s="79">
        <f>IF('Ordenes_Odoo'!I90="","",'Ordenes_Odoo'!I90)</f>
        <v/>
      </c>
      <c r="J90" s="79">
        <f>IF('Ordenes_Odoo'!J90="","",'Ordenes_Odoo'!J90)</f>
        <v/>
      </c>
      <c r="K90" s="81">
        <f>IF('Ordenes_Odoo'!K90="","",'Ordenes_Odoo'!K90)</f>
        <v/>
      </c>
      <c r="L90" s="81">
        <f>IF('Ordenes_Odoo'!L90="","",'Ordenes_Odoo'!L90)</f>
        <v/>
      </c>
      <c r="M90" s="79">
        <f>IF('Ordenes_Odoo'!M90="","",'Ordenes_Odoo'!M90)</f>
        <v/>
      </c>
      <c r="N90" s="79">
        <f>IF('Ordenes_Odoo'!N90="","",'Ordenes_Odoo'!N90)</f>
        <v/>
      </c>
      <c r="O90" s="81">
        <f>IF('Ordenes_Odoo'!O90="","",'Ordenes_Odoo'!O90)</f>
        <v/>
      </c>
      <c r="P90" s="81">
        <f>IF('Ordenes_Odoo'!P90="","",'Ordenes_Odoo'!P90)</f>
        <v/>
      </c>
      <c r="Q90" s="79">
        <f>IF(A90="","",IFERROR(INDEX(Facturas_Odoo!$B:$B, MATCH(A90, Facturas_Odoo!$D:$D, 0)), "Sin Factura"))</f>
        <v/>
      </c>
      <c r="R90" s="80">
        <f>IF(Q90="Sin Factura","",IFERROR(INDEX(Facturas_Odoo!$A:$A, MATCH(Q90, Facturas_Odoo!$B:$B, 0)), ""))</f>
        <v/>
      </c>
      <c r="S90" s="79">
        <f>IF(Q90="Sin Factura","",IFERROR(_xlfn.XLOOKUP(1, (Facturas_Odoo!$D:$D=A90) * (Facturas_Odoo!$K:$K=I90), Facturas_Odoo!$L:$L, ""), ""))</f>
        <v/>
      </c>
      <c r="T90" s="81">
        <f>IF(Q90="Sin Factura",0,IFERROR(_xlfn.XLOOKUP(1, (Facturas_Odoo!$D:$D=A90) * (Facturas_Odoo!$K:$K=I90), Facturas_Odoo!$M:$M, 0), 0))</f>
        <v/>
      </c>
      <c r="U90" s="79">
        <f>IF(Q90="Sin Factura",0,IFERROR(_xlfn.XLOOKUP(1, (Facturas_Odoo!$D:$D=A90) * (Facturas_Odoo!$K:$K=I90), Facturas_Odoo!$N:$N, 0), 0))</f>
        <v/>
      </c>
      <c r="V90" s="79">
        <f>IF(Q90="Sin Factura",0,IFERROR(_xlfn.XLOOKUP(1, (Facturas_Odoo!$D:$D=A90) * (Facturas_Odoo!$K:$K=I90), Facturas_Odoo!$O:$O, 0), 0))</f>
        <v/>
      </c>
      <c r="W90" s="81">
        <f>IF(Q90="Sin Factura",0,IFERROR(_xlfn.XLOOKUP(1, (Facturas_Odoo!$D:$D=A90) * (Facturas_Odoo!$K:$K=I90), Facturas_Odoo!$Q:$Q, 0), 0))</f>
        <v/>
      </c>
      <c r="X90" s="79">
        <f>IF(OR(Q90="Sin Factura",Q90=""),"",IFERROR(INDEX(Pagos_Odoo!$B:$B, MATCH(Q90, Pagos_Odoo!$I:$I, 0)), "Sin Pago"))</f>
        <v/>
      </c>
      <c r="Y90" s="79">
        <f>IF(X90="Sin Pago","",IFERROR(INDEX(Pagos_Odoo!$C:$C, MATCH(X90, Pagos_Odoo!$B:$B, 0)), ""))</f>
        <v/>
      </c>
      <c r="Z90" s="80">
        <f>IF(X90="Sin Pago","",IFERROR(INDEX(Pagos_Odoo!$A:$A, MATCH(X90, Pagos_Odoo!$B:$B, 0)), ""))</f>
        <v/>
      </c>
      <c r="AA90" s="79">
        <f>IF(X90="Sin Pago","",IFERROR(INDEX(Pagos_Odoo!$F:$F, MATCH(X90, Pagos_Odoo!$B:$B, 0)), ""))</f>
        <v/>
      </c>
      <c r="AB90" s="81">
        <f>IF(X90="Sin Pago",0,IFERROR(INDEX(Pagos_Odoo!$E:$E, MATCH(X90, Pagos_Odoo!$B:$B, 0)), 0))</f>
        <v/>
      </c>
      <c r="AC90" s="79">
        <f>IF(X90="Sin Pago","",IFERROR(INDEX(Pagos_Odoo!$G:$G, MATCH(X90, Pagos_Odoo!$B:$B, 0)), ""))</f>
        <v/>
      </c>
      <c r="AD90" s="82" t="n">
        <v>0</v>
      </c>
      <c r="AE90" s="82" t="n"/>
      <c r="AF90" s="82" t="n"/>
      <c r="AG90" s="82">
        <f>IF(AN90="","",AD90+AE90+AF90)</f>
        <v/>
      </c>
      <c r="AH90" s="81">
        <f>IF(AN90="","",P90*(1-AG90))</f>
        <v/>
      </c>
      <c r="AI90" s="81">
        <f>IF(AN90="","",IF(Q90="Sin Factura",0,IFERROR(INDEX(Facturas_Odoo!$H:$H, MATCH(Q90, Facturas_Odoo!$B:$B, 0)), 0)*(1-AG90)))</f>
        <v/>
      </c>
      <c r="AJ90" s="81">
        <f>IF(AN90="","",_xlfn.LET(idVenta, AN90&amp;"",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0" s="81">
        <f>IF(AN90="","",AH90-AJ90)</f>
        <v/>
      </c>
      <c r="AL90" s="81">
        <f>IF(AN90="","",IF(Q90="Sin Factura","",AI90-AJ90))</f>
        <v/>
      </c>
      <c r="AM90" s="81">
        <f>IF(AN90="","",IF(Q90="Sin Factura",0,P90-IFERROR(INDEX(Facturas_Odoo!$H:$H, MATCH(Q90, Facturas_Odoo!$B:$B, 0)), 0)))</f>
        <v/>
      </c>
      <c r="AN90" s="79">
        <f>IF(AND(A90="", J90=""), "", IF(A90&lt;&gt;"", VALUE(MID(A90,2,LEN(A90))), AN89))</f>
        <v/>
      </c>
      <c r="AO90" s="79">
        <f>IF(AN90="","",IF(AD90=0,"OK",_xlfn.LET(monedaPago, IF(AA90="","USD",AA90), limitePermitido, IFERROR(VLOOKUP(monedaPago, Configuración!$A$2:$B$3, 2, FALSE), 0.15), IF(AD90&gt;limitePermitido, "ALERTA: EXCESO (" &amp; TEXT(limitePermitido, "0%") &amp; " máx)", "OK"))))</f>
        <v/>
      </c>
      <c r="AP90" s="79">
        <f>IF(AN90="","",IF(AE90=0,"OK",_xlfn.LET(fechaPago, Z90, fechaFactura, R90, diasCredito, IF(E90="Pago inmediato", 0, IFERROR(VALUE(MID(E90, 1, SEARCH(" ", E90)-1)),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0" s="79">
        <f>IF(AN90="","",IF(AND(N90&gt;0, AG90&gt;0), IF(Configuración!$K$2="NO", "ALERTA: DESCUENTO DOBLE NO PERMITIDO", "OK"), "OK"))</f>
        <v/>
      </c>
      <c r="AR90" s="79">
        <f>IF(AN90="","",IF(OR(AO90&lt;&gt;"OK", AP90&lt;&gt;"OK", AQ90&lt;&gt;"OK"), "⚠️ REVISAR", "OK"))</f>
        <v/>
      </c>
    </row>
    <row r="91">
      <c r="A91" s="79">
        <f>IF('Ordenes_Odoo'!A91="","",'Ordenes_Odoo'!A91)</f>
        <v/>
      </c>
      <c r="B91" s="80">
        <f>IF('Ordenes_Odoo'!B91="","",'Ordenes_Odoo'!B91)</f>
        <v/>
      </c>
      <c r="C91" s="79">
        <f>IF('Ordenes_Odoo'!C91="","",'Ordenes_Odoo'!C91)</f>
        <v/>
      </c>
      <c r="D91" s="79">
        <f>IF('Ordenes_Odoo'!D91="","",'Ordenes_Odoo'!D91)</f>
        <v/>
      </c>
      <c r="E91" s="79">
        <f>IF('Ordenes_Odoo'!E91="","",'Ordenes_Odoo'!E91)</f>
        <v/>
      </c>
      <c r="F91" s="79">
        <f>IF('Ordenes_Odoo'!F91="","",'Ordenes_Odoo'!F91)</f>
        <v/>
      </c>
      <c r="G91" s="79">
        <f>IF('Ordenes_Odoo'!G91="","",'Ordenes_Odoo'!G91)</f>
        <v/>
      </c>
      <c r="H91" s="79">
        <f>IF('Ordenes_Odoo'!H91="","",'Ordenes_Odoo'!H91)</f>
        <v/>
      </c>
      <c r="I91" s="79">
        <f>IF('Ordenes_Odoo'!I91="","",'Ordenes_Odoo'!I91)</f>
        <v/>
      </c>
      <c r="J91" s="79">
        <f>IF('Ordenes_Odoo'!J91="","",'Ordenes_Odoo'!J91)</f>
        <v/>
      </c>
      <c r="K91" s="81">
        <f>IF('Ordenes_Odoo'!K91="","",'Ordenes_Odoo'!K91)</f>
        <v/>
      </c>
      <c r="L91" s="81">
        <f>IF('Ordenes_Odoo'!L91="","",'Ordenes_Odoo'!L91)</f>
        <v/>
      </c>
      <c r="M91" s="79">
        <f>IF('Ordenes_Odoo'!M91="","",'Ordenes_Odoo'!M91)</f>
        <v/>
      </c>
      <c r="N91" s="79">
        <f>IF('Ordenes_Odoo'!N91="","",'Ordenes_Odoo'!N91)</f>
        <v/>
      </c>
      <c r="O91" s="81">
        <f>IF('Ordenes_Odoo'!O91="","",'Ordenes_Odoo'!O91)</f>
        <v/>
      </c>
      <c r="P91" s="81">
        <f>IF('Ordenes_Odoo'!P91="","",'Ordenes_Odoo'!P91)</f>
        <v/>
      </c>
      <c r="Q91" s="79">
        <f>IF(A91="","",IFERROR(INDEX(Facturas_Odoo!$B:$B, MATCH(A91, Facturas_Odoo!$D:$D, 0)), "Sin Factura"))</f>
        <v/>
      </c>
      <c r="R91" s="80">
        <f>IF(Q91="Sin Factura","",IFERROR(INDEX(Facturas_Odoo!$A:$A, MATCH(Q91, Facturas_Odoo!$B:$B, 0)), ""))</f>
        <v/>
      </c>
      <c r="S91" s="79">
        <f>IF(Q91="Sin Factura","",IFERROR(_xlfn.XLOOKUP(1, (Facturas_Odoo!$D:$D=A91) * (Facturas_Odoo!$K:$K=I91), Facturas_Odoo!$L:$L, ""), ""))</f>
        <v/>
      </c>
      <c r="T91" s="81">
        <f>IF(Q91="Sin Factura",0,IFERROR(_xlfn.XLOOKUP(1, (Facturas_Odoo!$D:$D=A91) * (Facturas_Odoo!$K:$K=I91), Facturas_Odoo!$M:$M, 0), 0))</f>
        <v/>
      </c>
      <c r="U91" s="79">
        <f>IF(Q91="Sin Factura",0,IFERROR(_xlfn.XLOOKUP(1, (Facturas_Odoo!$D:$D=A91) * (Facturas_Odoo!$K:$K=I91), Facturas_Odoo!$N:$N, 0), 0))</f>
        <v/>
      </c>
      <c r="V91" s="79">
        <f>IF(Q91="Sin Factura",0,IFERROR(_xlfn.XLOOKUP(1, (Facturas_Odoo!$D:$D=A91) * (Facturas_Odoo!$K:$K=I91), Facturas_Odoo!$O:$O, 0), 0))</f>
        <v/>
      </c>
      <c r="W91" s="81">
        <f>IF(Q91="Sin Factura",0,IFERROR(_xlfn.XLOOKUP(1, (Facturas_Odoo!$D:$D=A91) * (Facturas_Odoo!$K:$K=I91), Facturas_Odoo!$Q:$Q, 0), 0))</f>
        <v/>
      </c>
      <c r="X91" s="79">
        <f>IF(OR(Q91="Sin Factura",Q91=""),"",IFERROR(INDEX(Pagos_Odoo!$B:$B, MATCH(Q91, Pagos_Odoo!$I:$I, 0)), "Sin Pago"))</f>
        <v/>
      </c>
      <c r="Y91" s="79">
        <f>IF(X91="Sin Pago","",IFERROR(INDEX(Pagos_Odoo!$C:$C, MATCH(X91, Pagos_Odoo!$B:$B, 0)), ""))</f>
        <v/>
      </c>
      <c r="Z91" s="80">
        <f>IF(X91="Sin Pago","",IFERROR(INDEX(Pagos_Odoo!$A:$A, MATCH(X91, Pagos_Odoo!$B:$B, 0)), ""))</f>
        <v/>
      </c>
      <c r="AA91" s="79">
        <f>IF(X91="Sin Pago","",IFERROR(INDEX(Pagos_Odoo!$F:$F, MATCH(X91, Pagos_Odoo!$B:$B, 0)), ""))</f>
        <v/>
      </c>
      <c r="AB91" s="81">
        <f>IF(X91="Sin Pago",0,IFERROR(INDEX(Pagos_Odoo!$E:$E, MATCH(X91, Pagos_Odoo!$B:$B, 0)), 0))</f>
        <v/>
      </c>
      <c r="AC91" s="79">
        <f>IF(X91="Sin Pago","",IFERROR(INDEX(Pagos_Odoo!$G:$G, MATCH(X91, Pagos_Odoo!$B:$B, 0)), ""))</f>
        <v/>
      </c>
      <c r="AD91" s="82" t="n">
        <v>0</v>
      </c>
      <c r="AE91" s="82" t="n"/>
      <c r="AF91" s="82" t="n"/>
      <c r="AG91" s="82">
        <f>IF(AN91="","",AD91+AE91+AF91)</f>
        <v/>
      </c>
      <c r="AH91" s="81">
        <f>IF(AN91="","",P91*(1-AG91))</f>
        <v/>
      </c>
      <c r="AI91" s="81">
        <f>IF(AN91="","",IF(Q91="Sin Factura",0,IFERROR(INDEX(Facturas_Odoo!$H:$H, MATCH(Q91, Facturas_Odoo!$B:$B, 0)), 0)*(1-AG91)))</f>
        <v/>
      </c>
      <c r="AJ91" s="81">
        <f>IF(AN91="","",_xlfn.LET(idVenta, AN91&amp;"",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1" s="81">
        <f>IF(AN91="","",AH91-AJ91)</f>
        <v/>
      </c>
      <c r="AL91" s="81">
        <f>IF(AN91="","",IF(Q91="Sin Factura","",AI91-AJ91))</f>
        <v/>
      </c>
      <c r="AM91" s="81">
        <f>IF(AN91="","",IF(Q91="Sin Factura",0,P91-IFERROR(INDEX(Facturas_Odoo!$H:$H, MATCH(Q91, Facturas_Odoo!$B:$B, 0)), 0)))</f>
        <v/>
      </c>
      <c r="AN91" s="79">
        <f>IF(AND(A91="", J91=""), "", IF(A91&lt;&gt;"", VALUE(MID(A91,2,LEN(A91))), AN90))</f>
        <v/>
      </c>
      <c r="AO91" s="79">
        <f>IF(AN91="","",IF(AD91=0,"OK",_xlfn.LET(monedaPago, IF(AA91="","USD",AA91), limitePermitido, IFERROR(VLOOKUP(monedaPago, Configuración!$A$2:$B$3, 2, FALSE), 0.15), IF(AD91&gt;limitePermitido, "ALERTA: EXCESO (" &amp; TEXT(limitePermitido, "0%") &amp; " máx)", "OK"))))</f>
        <v/>
      </c>
      <c r="AP91" s="79">
        <f>IF(AN91="","",IF(AE91=0,"OK",_xlfn.LET(fechaPago, Z91, fechaFactura, R91, diasCredito, IF(E91="Pago inmediato", 0, IFERROR(VALUE(MID(E91, 1, SEARCH(" ", E91)-1)),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1" s="79">
        <f>IF(AN91="","",IF(AND(N91&gt;0, AG91&gt;0), IF(Configuración!$K$2="NO", "ALERTA: DESCUENTO DOBLE NO PERMITIDO", "OK"), "OK"))</f>
        <v/>
      </c>
      <c r="AR91" s="79">
        <f>IF(AN91="","",IF(OR(AO91&lt;&gt;"OK", AP91&lt;&gt;"OK", AQ91&lt;&gt;"OK"), "⚠️ REVISAR", "OK"))</f>
        <v/>
      </c>
    </row>
    <row r="92">
      <c r="A92" s="79">
        <f>IF('Ordenes_Odoo'!A92="","",'Ordenes_Odoo'!A92)</f>
        <v/>
      </c>
      <c r="B92" s="80">
        <f>IF('Ordenes_Odoo'!B92="","",'Ordenes_Odoo'!B92)</f>
        <v/>
      </c>
      <c r="C92" s="79">
        <f>IF('Ordenes_Odoo'!C92="","",'Ordenes_Odoo'!C92)</f>
        <v/>
      </c>
      <c r="D92" s="79">
        <f>IF('Ordenes_Odoo'!D92="","",'Ordenes_Odoo'!D92)</f>
        <v/>
      </c>
      <c r="E92" s="79">
        <f>IF('Ordenes_Odoo'!E92="","",'Ordenes_Odoo'!E92)</f>
        <v/>
      </c>
      <c r="F92" s="79">
        <f>IF('Ordenes_Odoo'!F92="","",'Ordenes_Odoo'!F92)</f>
        <v/>
      </c>
      <c r="G92" s="79">
        <f>IF('Ordenes_Odoo'!G92="","",'Ordenes_Odoo'!G92)</f>
        <v/>
      </c>
      <c r="H92" s="79">
        <f>IF('Ordenes_Odoo'!H92="","",'Ordenes_Odoo'!H92)</f>
        <v/>
      </c>
      <c r="I92" s="79">
        <f>IF('Ordenes_Odoo'!I92="","",'Ordenes_Odoo'!I92)</f>
        <v/>
      </c>
      <c r="J92" s="79">
        <f>IF('Ordenes_Odoo'!J92="","",'Ordenes_Odoo'!J92)</f>
        <v/>
      </c>
      <c r="K92" s="81">
        <f>IF('Ordenes_Odoo'!K92="","",'Ordenes_Odoo'!K92)</f>
        <v/>
      </c>
      <c r="L92" s="81">
        <f>IF('Ordenes_Odoo'!L92="","",'Ordenes_Odoo'!L92)</f>
        <v/>
      </c>
      <c r="M92" s="79">
        <f>IF('Ordenes_Odoo'!M92="","",'Ordenes_Odoo'!M92)</f>
        <v/>
      </c>
      <c r="N92" s="79">
        <f>IF('Ordenes_Odoo'!N92="","",'Ordenes_Odoo'!N92)</f>
        <v/>
      </c>
      <c r="O92" s="81">
        <f>IF('Ordenes_Odoo'!O92="","",'Ordenes_Odoo'!O92)</f>
        <v/>
      </c>
      <c r="P92" s="81">
        <f>IF('Ordenes_Odoo'!P92="","",'Ordenes_Odoo'!P92)</f>
        <v/>
      </c>
      <c r="Q92" s="79">
        <f>IF(A92="","",IFERROR(INDEX(Facturas_Odoo!$B:$B, MATCH(A92, Facturas_Odoo!$D:$D, 0)), "Sin Factura"))</f>
        <v/>
      </c>
      <c r="R92" s="80">
        <f>IF(Q92="Sin Factura","",IFERROR(INDEX(Facturas_Odoo!$A:$A, MATCH(Q92, Facturas_Odoo!$B:$B, 0)), ""))</f>
        <v/>
      </c>
      <c r="S92" s="79">
        <f>IF(Q92="Sin Factura","",IFERROR(_xlfn.XLOOKUP(1, (Facturas_Odoo!$D:$D=A92) * (Facturas_Odoo!$K:$K=I92), Facturas_Odoo!$L:$L, ""), ""))</f>
        <v/>
      </c>
      <c r="T92" s="81">
        <f>IF(Q92="Sin Factura",0,IFERROR(_xlfn.XLOOKUP(1, (Facturas_Odoo!$D:$D=A92) * (Facturas_Odoo!$K:$K=I92), Facturas_Odoo!$M:$M, 0), 0))</f>
        <v/>
      </c>
      <c r="U92" s="79">
        <f>IF(Q92="Sin Factura",0,IFERROR(_xlfn.XLOOKUP(1, (Facturas_Odoo!$D:$D=A92) * (Facturas_Odoo!$K:$K=I92), Facturas_Odoo!$N:$N, 0), 0))</f>
        <v/>
      </c>
      <c r="V92" s="79">
        <f>IF(Q92="Sin Factura",0,IFERROR(_xlfn.XLOOKUP(1, (Facturas_Odoo!$D:$D=A92) * (Facturas_Odoo!$K:$K=I92), Facturas_Odoo!$O:$O, 0), 0))</f>
        <v/>
      </c>
      <c r="W92" s="81">
        <f>IF(Q92="Sin Factura",0,IFERROR(_xlfn.XLOOKUP(1, (Facturas_Odoo!$D:$D=A92) * (Facturas_Odoo!$K:$K=I92), Facturas_Odoo!$Q:$Q, 0), 0))</f>
        <v/>
      </c>
      <c r="X92" s="79">
        <f>IF(OR(Q92="Sin Factura",Q92=""),"",IFERROR(INDEX(Pagos_Odoo!$B:$B, MATCH(Q92, Pagos_Odoo!$I:$I, 0)), "Sin Pago"))</f>
        <v/>
      </c>
      <c r="Y92" s="79">
        <f>IF(X92="Sin Pago","",IFERROR(INDEX(Pagos_Odoo!$C:$C, MATCH(X92, Pagos_Odoo!$B:$B, 0)), ""))</f>
        <v/>
      </c>
      <c r="Z92" s="80">
        <f>IF(X92="Sin Pago","",IFERROR(INDEX(Pagos_Odoo!$A:$A, MATCH(X92, Pagos_Odoo!$B:$B, 0)), ""))</f>
        <v/>
      </c>
      <c r="AA92" s="79">
        <f>IF(X92="Sin Pago","",IFERROR(INDEX(Pagos_Odoo!$F:$F, MATCH(X92, Pagos_Odoo!$B:$B, 0)), ""))</f>
        <v/>
      </c>
      <c r="AB92" s="81">
        <f>IF(X92="Sin Pago",0,IFERROR(INDEX(Pagos_Odoo!$E:$E, MATCH(X92, Pagos_Odoo!$B:$B, 0)), 0))</f>
        <v/>
      </c>
      <c r="AC92" s="79">
        <f>IF(X92="Sin Pago","",IFERROR(INDEX(Pagos_Odoo!$G:$G, MATCH(X92, Pagos_Odoo!$B:$B, 0)), ""))</f>
        <v/>
      </c>
      <c r="AD92" s="82" t="n">
        <v>0</v>
      </c>
      <c r="AE92" s="82" t="n"/>
      <c r="AF92" s="82" t="n"/>
      <c r="AG92" s="82">
        <f>IF(AN92="","",AD92+AE92+AF92)</f>
        <v/>
      </c>
      <c r="AH92" s="81">
        <f>IF(AN92="","",P92*(1-AG92))</f>
        <v/>
      </c>
      <c r="AI92" s="81">
        <f>IF(AN92="","",IF(Q92="Sin Factura",0,IFERROR(INDEX(Facturas_Odoo!$H:$H, MATCH(Q92, Facturas_Odoo!$B:$B, 0)), 0)*(1-AG92)))</f>
        <v/>
      </c>
      <c r="AJ92" s="81">
        <f>IF(AN92="","",_xlfn.LET(idVenta, AN92&amp;"",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2" s="81">
        <f>IF(AN92="","",AH92-AJ92)</f>
        <v/>
      </c>
      <c r="AL92" s="81">
        <f>IF(AN92="","",IF(Q92="Sin Factura","",AI92-AJ92))</f>
        <v/>
      </c>
      <c r="AM92" s="81">
        <f>IF(AN92="","",IF(Q92="Sin Factura",0,P92-IFERROR(INDEX(Facturas_Odoo!$H:$H, MATCH(Q92, Facturas_Odoo!$B:$B, 0)), 0)))</f>
        <v/>
      </c>
      <c r="AN92" s="79">
        <f>IF(AND(A92="", J92=""), "", IF(A92&lt;&gt;"", VALUE(MID(A92,2,LEN(A92))), AN91))</f>
        <v/>
      </c>
      <c r="AO92" s="79">
        <f>IF(AN92="","",IF(AD92=0,"OK",_xlfn.LET(monedaPago, IF(AA92="","USD",AA92), limitePermitido, IFERROR(VLOOKUP(monedaPago, Configuración!$A$2:$B$3, 2, FALSE), 0.15), IF(AD92&gt;limitePermitido, "ALERTA: EXCESO (" &amp; TEXT(limitePermitido, "0%") &amp; " máx)", "OK"))))</f>
        <v/>
      </c>
      <c r="AP92" s="79">
        <f>IF(AN92="","",IF(AE92=0,"OK",_xlfn.LET(fechaPago, Z92, fechaFactura, R92, diasCredito, IF(E92="Pago inmediato", 0, IFERROR(VALUE(MID(E92, 1, SEARCH(" ", E92)-1)),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2" s="79">
        <f>IF(AN92="","",IF(AND(N92&gt;0, AG92&gt;0), IF(Configuración!$K$2="NO", "ALERTA: DESCUENTO DOBLE NO PERMITIDO", "OK"), "OK"))</f>
        <v/>
      </c>
      <c r="AR92" s="79">
        <f>IF(AN92="","",IF(OR(AO92&lt;&gt;"OK", AP92&lt;&gt;"OK", AQ92&lt;&gt;"OK"), "⚠️ REVISAR", "OK"))</f>
        <v/>
      </c>
    </row>
    <row r="93">
      <c r="A93" s="79">
        <f>IF('Ordenes_Odoo'!A93="","",'Ordenes_Odoo'!A93)</f>
        <v/>
      </c>
      <c r="B93" s="80">
        <f>IF('Ordenes_Odoo'!B93="","",'Ordenes_Odoo'!B93)</f>
        <v/>
      </c>
      <c r="C93" s="79">
        <f>IF('Ordenes_Odoo'!C93="","",'Ordenes_Odoo'!C93)</f>
        <v/>
      </c>
      <c r="D93" s="79">
        <f>IF('Ordenes_Odoo'!D93="","",'Ordenes_Odoo'!D93)</f>
        <v/>
      </c>
      <c r="E93" s="79">
        <f>IF('Ordenes_Odoo'!E93="","",'Ordenes_Odoo'!E93)</f>
        <v/>
      </c>
      <c r="F93" s="79">
        <f>IF('Ordenes_Odoo'!F93="","",'Ordenes_Odoo'!F93)</f>
        <v/>
      </c>
      <c r="G93" s="79">
        <f>IF('Ordenes_Odoo'!G93="","",'Ordenes_Odoo'!G93)</f>
        <v/>
      </c>
      <c r="H93" s="79">
        <f>IF('Ordenes_Odoo'!H93="","",'Ordenes_Odoo'!H93)</f>
        <v/>
      </c>
      <c r="I93" s="79">
        <f>IF('Ordenes_Odoo'!I93="","",'Ordenes_Odoo'!I93)</f>
        <v/>
      </c>
      <c r="J93" s="79">
        <f>IF('Ordenes_Odoo'!J93="","",'Ordenes_Odoo'!J93)</f>
        <v/>
      </c>
      <c r="K93" s="81">
        <f>IF('Ordenes_Odoo'!K93="","",'Ordenes_Odoo'!K93)</f>
        <v/>
      </c>
      <c r="L93" s="81">
        <f>IF('Ordenes_Odoo'!L93="","",'Ordenes_Odoo'!L93)</f>
        <v/>
      </c>
      <c r="M93" s="79">
        <f>IF('Ordenes_Odoo'!M93="","",'Ordenes_Odoo'!M93)</f>
        <v/>
      </c>
      <c r="N93" s="79">
        <f>IF('Ordenes_Odoo'!N93="","",'Ordenes_Odoo'!N93)</f>
        <v/>
      </c>
      <c r="O93" s="81">
        <f>IF('Ordenes_Odoo'!O93="","",'Ordenes_Odoo'!O93)</f>
        <v/>
      </c>
      <c r="P93" s="81">
        <f>IF('Ordenes_Odoo'!P93="","",'Ordenes_Odoo'!P93)</f>
        <v/>
      </c>
      <c r="Q93" s="79">
        <f>IF(A93="","",IFERROR(INDEX(Facturas_Odoo!$B:$B, MATCH(A93, Facturas_Odoo!$D:$D, 0)), "Sin Factura"))</f>
        <v/>
      </c>
      <c r="R93" s="80">
        <f>IF(Q93="Sin Factura","",IFERROR(INDEX(Facturas_Odoo!$A:$A, MATCH(Q93, Facturas_Odoo!$B:$B, 0)), ""))</f>
        <v/>
      </c>
      <c r="S93" s="79">
        <f>IF(Q93="Sin Factura","",IFERROR(_xlfn.XLOOKUP(1, (Facturas_Odoo!$D:$D=A93) * (Facturas_Odoo!$K:$K=I93), Facturas_Odoo!$L:$L, ""), ""))</f>
        <v/>
      </c>
      <c r="T93" s="81">
        <f>IF(Q93="Sin Factura",0,IFERROR(_xlfn.XLOOKUP(1, (Facturas_Odoo!$D:$D=A93) * (Facturas_Odoo!$K:$K=I93), Facturas_Odoo!$M:$M, 0), 0))</f>
        <v/>
      </c>
      <c r="U93" s="79">
        <f>IF(Q93="Sin Factura",0,IFERROR(_xlfn.XLOOKUP(1, (Facturas_Odoo!$D:$D=A93) * (Facturas_Odoo!$K:$K=I93), Facturas_Odoo!$N:$N, 0), 0))</f>
        <v/>
      </c>
      <c r="V93" s="79">
        <f>IF(Q93="Sin Factura",0,IFERROR(_xlfn.XLOOKUP(1, (Facturas_Odoo!$D:$D=A93) * (Facturas_Odoo!$K:$K=I93), Facturas_Odoo!$O:$O, 0), 0))</f>
        <v/>
      </c>
      <c r="W93" s="81">
        <f>IF(Q93="Sin Factura",0,IFERROR(_xlfn.XLOOKUP(1, (Facturas_Odoo!$D:$D=A93) * (Facturas_Odoo!$K:$K=I93), Facturas_Odoo!$Q:$Q, 0), 0))</f>
        <v/>
      </c>
      <c r="X93" s="79">
        <f>IF(OR(Q93="Sin Factura",Q93=""),"",IFERROR(INDEX(Pagos_Odoo!$B:$B, MATCH(Q93, Pagos_Odoo!$I:$I, 0)), "Sin Pago"))</f>
        <v/>
      </c>
      <c r="Y93" s="79">
        <f>IF(X93="Sin Pago","",IFERROR(INDEX(Pagos_Odoo!$C:$C, MATCH(X93, Pagos_Odoo!$B:$B, 0)), ""))</f>
        <v/>
      </c>
      <c r="Z93" s="80">
        <f>IF(X93="Sin Pago","",IFERROR(INDEX(Pagos_Odoo!$A:$A, MATCH(X93, Pagos_Odoo!$B:$B, 0)), ""))</f>
        <v/>
      </c>
      <c r="AA93" s="79">
        <f>IF(X93="Sin Pago","",IFERROR(INDEX(Pagos_Odoo!$F:$F, MATCH(X93, Pagos_Odoo!$B:$B, 0)), ""))</f>
        <v/>
      </c>
      <c r="AB93" s="81">
        <f>IF(X93="Sin Pago",0,IFERROR(INDEX(Pagos_Odoo!$E:$E, MATCH(X93, Pagos_Odoo!$B:$B, 0)), 0))</f>
        <v/>
      </c>
      <c r="AC93" s="79">
        <f>IF(X93="Sin Pago","",IFERROR(INDEX(Pagos_Odoo!$G:$G, MATCH(X93, Pagos_Odoo!$B:$B, 0)), ""))</f>
        <v/>
      </c>
      <c r="AD93" s="82" t="n">
        <v>0</v>
      </c>
      <c r="AE93" s="82" t="n"/>
      <c r="AF93" s="82" t="n"/>
      <c r="AG93" s="82">
        <f>IF(AN93="","",AD93+AE93+AF93)</f>
        <v/>
      </c>
      <c r="AH93" s="81">
        <f>IF(AN93="","",P93*(1-AG93))</f>
        <v/>
      </c>
      <c r="AI93" s="81">
        <f>IF(AN93="","",IF(Q93="Sin Factura",0,IFERROR(INDEX(Facturas_Odoo!$H:$H, MATCH(Q93, Facturas_Odoo!$B:$B, 0)), 0)*(1-AG93)))</f>
        <v/>
      </c>
      <c r="AJ93" s="81">
        <f>IF(AN93="","",_xlfn.LET(idVenta, AN93&amp;"",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3" s="81">
        <f>IF(AN93="","",AH93-AJ93)</f>
        <v/>
      </c>
      <c r="AL93" s="81">
        <f>IF(AN93="","",IF(Q93="Sin Factura","",AI93-AJ93))</f>
        <v/>
      </c>
      <c r="AM93" s="81">
        <f>IF(AN93="","",IF(Q93="Sin Factura",0,P93-IFERROR(INDEX(Facturas_Odoo!$H:$H, MATCH(Q93, Facturas_Odoo!$B:$B, 0)), 0)))</f>
        <v/>
      </c>
      <c r="AN93" s="79">
        <f>IF(AND(A93="", J93=""), "", IF(A93&lt;&gt;"", VALUE(MID(A93,2,LEN(A93))), AN92))</f>
        <v/>
      </c>
      <c r="AO93" s="79">
        <f>IF(AN93="","",IF(AD93=0,"OK",_xlfn.LET(monedaPago, IF(AA93="","USD",AA93), limitePermitido, IFERROR(VLOOKUP(monedaPago, Configuración!$A$2:$B$3, 2, FALSE), 0.15), IF(AD93&gt;limitePermitido, "ALERTA: EXCESO (" &amp; TEXT(limitePermitido, "0%") &amp; " máx)", "OK"))))</f>
        <v/>
      </c>
      <c r="AP93" s="79">
        <f>IF(AN93="","",IF(AE93=0,"OK",_xlfn.LET(fechaPago, Z93, fechaFactura, R93, diasCredito, IF(E93="Pago inmediato", 0, IFERROR(VALUE(MID(E93, 1, SEARCH(" ", E93)-1)),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3" s="79">
        <f>IF(AN93="","",IF(AND(N93&gt;0, AG93&gt;0), IF(Configuración!$K$2="NO", "ALERTA: DESCUENTO DOBLE NO PERMITIDO", "OK"), "OK"))</f>
        <v/>
      </c>
      <c r="AR93" s="79">
        <f>IF(AN93="","",IF(OR(AO93&lt;&gt;"OK", AP93&lt;&gt;"OK", AQ93&lt;&gt;"OK"), "⚠️ REVISAR", "OK"))</f>
        <v/>
      </c>
    </row>
    <row r="94">
      <c r="A94" s="79">
        <f>IF('Ordenes_Odoo'!A94="","",'Ordenes_Odoo'!A94)</f>
        <v/>
      </c>
      <c r="B94" s="80">
        <f>IF('Ordenes_Odoo'!B94="","",'Ordenes_Odoo'!B94)</f>
        <v/>
      </c>
      <c r="C94" s="79">
        <f>IF('Ordenes_Odoo'!C94="","",'Ordenes_Odoo'!C94)</f>
        <v/>
      </c>
      <c r="D94" s="79">
        <f>IF('Ordenes_Odoo'!D94="","",'Ordenes_Odoo'!D94)</f>
        <v/>
      </c>
      <c r="E94" s="79">
        <f>IF('Ordenes_Odoo'!E94="","",'Ordenes_Odoo'!E94)</f>
        <v/>
      </c>
      <c r="F94" s="79">
        <f>IF('Ordenes_Odoo'!F94="","",'Ordenes_Odoo'!F94)</f>
        <v/>
      </c>
      <c r="G94" s="79">
        <f>IF('Ordenes_Odoo'!G94="","",'Ordenes_Odoo'!G94)</f>
        <v/>
      </c>
      <c r="H94" s="79">
        <f>IF('Ordenes_Odoo'!H94="","",'Ordenes_Odoo'!H94)</f>
        <v/>
      </c>
      <c r="I94" s="79">
        <f>IF('Ordenes_Odoo'!I94="","",'Ordenes_Odoo'!I94)</f>
        <v/>
      </c>
      <c r="J94" s="79">
        <f>IF('Ordenes_Odoo'!J94="","",'Ordenes_Odoo'!J94)</f>
        <v/>
      </c>
      <c r="K94" s="81">
        <f>IF('Ordenes_Odoo'!K94="","",'Ordenes_Odoo'!K94)</f>
        <v/>
      </c>
      <c r="L94" s="81">
        <f>IF('Ordenes_Odoo'!L94="","",'Ordenes_Odoo'!L94)</f>
        <v/>
      </c>
      <c r="M94" s="79">
        <f>IF('Ordenes_Odoo'!M94="","",'Ordenes_Odoo'!M94)</f>
        <v/>
      </c>
      <c r="N94" s="79">
        <f>IF('Ordenes_Odoo'!N94="","",'Ordenes_Odoo'!N94)</f>
        <v/>
      </c>
      <c r="O94" s="81">
        <f>IF('Ordenes_Odoo'!O94="","",'Ordenes_Odoo'!O94)</f>
        <v/>
      </c>
      <c r="P94" s="81">
        <f>IF('Ordenes_Odoo'!P94="","",'Ordenes_Odoo'!P94)</f>
        <v/>
      </c>
      <c r="Q94" s="79">
        <f>IF(A94="","",IFERROR(INDEX(Facturas_Odoo!$B:$B, MATCH(A94, Facturas_Odoo!$D:$D, 0)), "Sin Factura"))</f>
        <v/>
      </c>
      <c r="R94" s="80">
        <f>IF(Q94="Sin Factura","",IFERROR(INDEX(Facturas_Odoo!$A:$A, MATCH(Q94, Facturas_Odoo!$B:$B, 0)), ""))</f>
        <v/>
      </c>
      <c r="S94" s="79">
        <f>IF(Q94="Sin Factura","",IFERROR(_xlfn.XLOOKUP(1, (Facturas_Odoo!$D:$D=A94) * (Facturas_Odoo!$K:$K=I94), Facturas_Odoo!$L:$L, ""), ""))</f>
        <v/>
      </c>
      <c r="T94" s="81">
        <f>IF(Q94="Sin Factura",0,IFERROR(_xlfn.XLOOKUP(1, (Facturas_Odoo!$D:$D=A94) * (Facturas_Odoo!$K:$K=I94), Facturas_Odoo!$M:$M, 0), 0))</f>
        <v/>
      </c>
      <c r="U94" s="79">
        <f>IF(Q94="Sin Factura",0,IFERROR(_xlfn.XLOOKUP(1, (Facturas_Odoo!$D:$D=A94) * (Facturas_Odoo!$K:$K=I94), Facturas_Odoo!$N:$N, 0), 0))</f>
        <v/>
      </c>
      <c r="V94" s="79">
        <f>IF(Q94="Sin Factura",0,IFERROR(_xlfn.XLOOKUP(1, (Facturas_Odoo!$D:$D=A94) * (Facturas_Odoo!$K:$K=I94), Facturas_Odoo!$O:$O, 0), 0))</f>
        <v/>
      </c>
      <c r="W94" s="81">
        <f>IF(Q94="Sin Factura",0,IFERROR(_xlfn.XLOOKUP(1, (Facturas_Odoo!$D:$D=A94) * (Facturas_Odoo!$K:$K=I94), Facturas_Odoo!$Q:$Q, 0), 0))</f>
        <v/>
      </c>
      <c r="X94" s="79">
        <f>IF(OR(Q94="Sin Factura",Q94=""),"",IFERROR(INDEX(Pagos_Odoo!$B:$B, MATCH(Q94, Pagos_Odoo!$I:$I, 0)), "Sin Pago"))</f>
        <v/>
      </c>
      <c r="Y94" s="79">
        <f>IF(X94="Sin Pago","",IFERROR(INDEX(Pagos_Odoo!$C:$C, MATCH(X94, Pagos_Odoo!$B:$B, 0)), ""))</f>
        <v/>
      </c>
      <c r="Z94" s="80">
        <f>IF(X94="Sin Pago","",IFERROR(INDEX(Pagos_Odoo!$A:$A, MATCH(X94, Pagos_Odoo!$B:$B, 0)), ""))</f>
        <v/>
      </c>
      <c r="AA94" s="79">
        <f>IF(X94="Sin Pago","",IFERROR(INDEX(Pagos_Odoo!$F:$F, MATCH(X94, Pagos_Odoo!$B:$B, 0)), ""))</f>
        <v/>
      </c>
      <c r="AB94" s="81">
        <f>IF(X94="Sin Pago",0,IFERROR(INDEX(Pagos_Odoo!$E:$E, MATCH(X94, Pagos_Odoo!$B:$B, 0)), 0))</f>
        <v/>
      </c>
      <c r="AC94" s="79">
        <f>IF(X94="Sin Pago","",IFERROR(INDEX(Pagos_Odoo!$G:$G, MATCH(X94, Pagos_Odoo!$B:$B, 0)), ""))</f>
        <v/>
      </c>
      <c r="AD94" s="82" t="n">
        <v>0</v>
      </c>
      <c r="AE94" s="82" t="n"/>
      <c r="AF94" s="82" t="n"/>
      <c r="AG94" s="82">
        <f>IF(AN94="","",AD94+AE94+AF94)</f>
        <v/>
      </c>
      <c r="AH94" s="81">
        <f>IF(AN94="","",P94*(1-AG94))</f>
        <v/>
      </c>
      <c r="AI94" s="81">
        <f>IF(AN94="","",IF(Q94="Sin Factura",0,IFERROR(INDEX(Facturas_Odoo!$H:$H, MATCH(Q94, Facturas_Odoo!$B:$B, 0)), 0)*(1-AG94)))</f>
        <v/>
      </c>
      <c r="AJ94" s="81">
        <f>IF(AN94="","",_xlfn.LET(idVenta, AN94&amp;"",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4" s="81">
        <f>IF(AN94="","",AH94-AJ94)</f>
        <v/>
      </c>
      <c r="AL94" s="81">
        <f>IF(AN94="","",IF(Q94="Sin Factura","",AI94-AJ94))</f>
        <v/>
      </c>
      <c r="AM94" s="81">
        <f>IF(AN94="","",IF(Q94="Sin Factura",0,P94-IFERROR(INDEX(Facturas_Odoo!$H:$H, MATCH(Q94, Facturas_Odoo!$B:$B, 0)), 0)))</f>
        <v/>
      </c>
      <c r="AN94" s="79">
        <f>IF(AND(A94="", J94=""), "", IF(A94&lt;&gt;"", VALUE(MID(A94,2,LEN(A94))), AN93))</f>
        <v/>
      </c>
      <c r="AO94" s="79">
        <f>IF(AN94="","",IF(AD94=0,"OK",_xlfn.LET(monedaPago, IF(AA94="","USD",AA94), limitePermitido, IFERROR(VLOOKUP(monedaPago, Configuración!$A$2:$B$3, 2, FALSE), 0.15), IF(AD94&gt;limitePermitido, "ALERTA: EXCESO (" &amp; TEXT(limitePermitido, "0%") &amp; " máx)", "OK"))))</f>
        <v/>
      </c>
      <c r="AP94" s="79">
        <f>IF(AN94="","",IF(AE94=0,"OK",_xlfn.LET(fechaPago, Z94, fechaFactura, R94, diasCredito, IF(E94="Pago inmediato", 0, IFERROR(VALUE(MID(E94, 1, SEARCH(" ", E94)-1)),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4" s="79">
        <f>IF(AN94="","",IF(AND(N94&gt;0, AG94&gt;0), IF(Configuración!$K$2="NO", "ALERTA: DESCUENTO DOBLE NO PERMITIDO", "OK"), "OK"))</f>
        <v/>
      </c>
      <c r="AR94" s="79">
        <f>IF(AN94="","",IF(OR(AO94&lt;&gt;"OK", AP94&lt;&gt;"OK", AQ94&lt;&gt;"OK"), "⚠️ REVISAR", "OK"))</f>
        <v/>
      </c>
    </row>
    <row r="95">
      <c r="A95" s="79">
        <f>IF('Ordenes_Odoo'!A95="","",'Ordenes_Odoo'!A95)</f>
        <v/>
      </c>
      <c r="B95" s="80">
        <f>IF('Ordenes_Odoo'!B95="","",'Ordenes_Odoo'!B95)</f>
        <v/>
      </c>
      <c r="C95" s="79">
        <f>IF('Ordenes_Odoo'!C95="","",'Ordenes_Odoo'!C95)</f>
        <v/>
      </c>
      <c r="D95" s="79">
        <f>IF('Ordenes_Odoo'!D95="","",'Ordenes_Odoo'!D95)</f>
        <v/>
      </c>
      <c r="E95" s="79">
        <f>IF('Ordenes_Odoo'!E95="","",'Ordenes_Odoo'!E95)</f>
        <v/>
      </c>
      <c r="F95" s="79">
        <f>IF('Ordenes_Odoo'!F95="","",'Ordenes_Odoo'!F95)</f>
        <v/>
      </c>
      <c r="G95" s="79">
        <f>IF('Ordenes_Odoo'!G95="","",'Ordenes_Odoo'!G95)</f>
        <v/>
      </c>
      <c r="H95" s="79">
        <f>IF('Ordenes_Odoo'!H95="","",'Ordenes_Odoo'!H95)</f>
        <v/>
      </c>
      <c r="I95" s="79">
        <f>IF('Ordenes_Odoo'!I95="","",'Ordenes_Odoo'!I95)</f>
        <v/>
      </c>
      <c r="J95" s="79">
        <f>IF('Ordenes_Odoo'!J95="","",'Ordenes_Odoo'!J95)</f>
        <v/>
      </c>
      <c r="K95" s="81">
        <f>IF('Ordenes_Odoo'!K95="","",'Ordenes_Odoo'!K95)</f>
        <v/>
      </c>
      <c r="L95" s="81">
        <f>IF('Ordenes_Odoo'!L95="","",'Ordenes_Odoo'!L95)</f>
        <v/>
      </c>
      <c r="M95" s="79">
        <f>IF('Ordenes_Odoo'!M95="","",'Ordenes_Odoo'!M95)</f>
        <v/>
      </c>
      <c r="N95" s="79">
        <f>IF('Ordenes_Odoo'!N95="","",'Ordenes_Odoo'!N95)</f>
        <v/>
      </c>
      <c r="O95" s="81">
        <f>IF('Ordenes_Odoo'!O95="","",'Ordenes_Odoo'!O95)</f>
        <v/>
      </c>
      <c r="P95" s="81">
        <f>IF('Ordenes_Odoo'!P95="","",'Ordenes_Odoo'!P95)</f>
        <v/>
      </c>
      <c r="Q95" s="79">
        <f>IF(A95="","",IFERROR(INDEX(Facturas_Odoo!$B:$B, MATCH(A95, Facturas_Odoo!$D:$D, 0)), "Sin Factura"))</f>
        <v/>
      </c>
      <c r="R95" s="80">
        <f>IF(Q95="Sin Factura","",IFERROR(INDEX(Facturas_Odoo!$A:$A, MATCH(Q95, Facturas_Odoo!$B:$B, 0)), ""))</f>
        <v/>
      </c>
      <c r="S95" s="79">
        <f>IF(Q95="Sin Factura","",IFERROR(_xlfn.XLOOKUP(1, (Facturas_Odoo!$D:$D=A95) * (Facturas_Odoo!$K:$K=I95), Facturas_Odoo!$L:$L, ""), ""))</f>
        <v/>
      </c>
      <c r="T95" s="81">
        <f>IF(Q95="Sin Factura",0,IFERROR(_xlfn.XLOOKUP(1, (Facturas_Odoo!$D:$D=A95) * (Facturas_Odoo!$K:$K=I95), Facturas_Odoo!$M:$M, 0), 0))</f>
        <v/>
      </c>
      <c r="U95" s="79">
        <f>IF(Q95="Sin Factura",0,IFERROR(_xlfn.XLOOKUP(1, (Facturas_Odoo!$D:$D=A95) * (Facturas_Odoo!$K:$K=I95), Facturas_Odoo!$N:$N, 0), 0))</f>
        <v/>
      </c>
      <c r="V95" s="79">
        <f>IF(Q95="Sin Factura",0,IFERROR(_xlfn.XLOOKUP(1, (Facturas_Odoo!$D:$D=A95) * (Facturas_Odoo!$K:$K=I95), Facturas_Odoo!$O:$O, 0), 0))</f>
        <v/>
      </c>
      <c r="W95" s="81">
        <f>IF(Q95="Sin Factura",0,IFERROR(_xlfn.XLOOKUP(1, (Facturas_Odoo!$D:$D=A95) * (Facturas_Odoo!$K:$K=I95), Facturas_Odoo!$Q:$Q, 0), 0))</f>
        <v/>
      </c>
      <c r="X95" s="79">
        <f>IF(OR(Q95="Sin Factura",Q95=""),"",IFERROR(INDEX(Pagos_Odoo!$B:$B, MATCH(Q95, Pagos_Odoo!$I:$I, 0)), "Sin Pago"))</f>
        <v/>
      </c>
      <c r="Y95" s="79">
        <f>IF(X95="Sin Pago","",IFERROR(INDEX(Pagos_Odoo!$C:$C, MATCH(X95, Pagos_Odoo!$B:$B, 0)), ""))</f>
        <v/>
      </c>
      <c r="Z95" s="80">
        <f>IF(X95="Sin Pago","",IFERROR(INDEX(Pagos_Odoo!$A:$A, MATCH(X95, Pagos_Odoo!$B:$B, 0)), ""))</f>
        <v/>
      </c>
      <c r="AA95" s="79">
        <f>IF(X95="Sin Pago","",IFERROR(INDEX(Pagos_Odoo!$F:$F, MATCH(X95, Pagos_Odoo!$B:$B, 0)), ""))</f>
        <v/>
      </c>
      <c r="AB95" s="81">
        <f>IF(X95="Sin Pago",0,IFERROR(INDEX(Pagos_Odoo!$E:$E, MATCH(X95, Pagos_Odoo!$B:$B, 0)), 0))</f>
        <v/>
      </c>
      <c r="AC95" s="79">
        <f>IF(X95="Sin Pago","",IFERROR(INDEX(Pagos_Odoo!$G:$G, MATCH(X95, Pagos_Odoo!$B:$B, 0)), ""))</f>
        <v/>
      </c>
      <c r="AD95" s="82" t="n">
        <v>0</v>
      </c>
      <c r="AE95" s="82" t="n"/>
      <c r="AF95" s="82" t="n"/>
      <c r="AG95" s="82">
        <f>IF(AN95="","",AD95+AE95+AF95)</f>
        <v/>
      </c>
      <c r="AH95" s="81">
        <f>IF(AN95="","",P95*(1-AG95))</f>
        <v/>
      </c>
      <c r="AI95" s="81">
        <f>IF(AN95="","",IF(Q95="Sin Factura",0,IFERROR(INDEX(Facturas_Odoo!$H:$H, MATCH(Q95, Facturas_Odoo!$B:$B, 0)), 0)*(1-AG95)))</f>
        <v/>
      </c>
      <c r="AJ95" s="81">
        <f>IF(AN95="","",_xlfn.LET(idVenta, AN95&amp;"",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5" s="81">
        <f>IF(AN95="","",AH95-AJ95)</f>
        <v/>
      </c>
      <c r="AL95" s="81">
        <f>IF(AN95="","",IF(Q95="Sin Factura","",AI95-AJ95))</f>
        <v/>
      </c>
      <c r="AM95" s="81">
        <f>IF(AN95="","",IF(Q95="Sin Factura",0,P95-IFERROR(INDEX(Facturas_Odoo!$H:$H, MATCH(Q95, Facturas_Odoo!$B:$B, 0)), 0)))</f>
        <v/>
      </c>
      <c r="AN95" s="79">
        <f>IF(AND(A95="", J95=""), "", IF(A95&lt;&gt;"", VALUE(MID(A95,2,LEN(A95))), AN94))</f>
        <v/>
      </c>
      <c r="AO95" s="79">
        <f>IF(AN95="","",IF(AD95=0,"OK",_xlfn.LET(monedaPago, IF(AA95="","USD",AA95), limitePermitido, IFERROR(VLOOKUP(monedaPago, Configuración!$A$2:$B$3, 2, FALSE), 0.15), IF(AD95&gt;limitePermitido, "ALERTA: EXCESO (" &amp; TEXT(limitePermitido, "0%") &amp; " máx)", "OK"))))</f>
        <v/>
      </c>
      <c r="AP95" s="79">
        <f>IF(AN95="","",IF(AE95=0,"OK",_xlfn.LET(fechaPago, Z95, fechaFactura, R95, diasCredito, IF(E95="Pago inmediato", 0, IFERROR(VALUE(MID(E95, 1, SEARCH(" ", E95)-1)),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5" s="79">
        <f>IF(AN95="","",IF(AND(N95&gt;0, AG95&gt;0), IF(Configuración!$K$2="NO", "ALERTA: DESCUENTO DOBLE NO PERMITIDO", "OK"), "OK"))</f>
        <v/>
      </c>
      <c r="AR95" s="79">
        <f>IF(AN95="","",IF(OR(AO95&lt;&gt;"OK", AP95&lt;&gt;"OK", AQ95&lt;&gt;"OK"), "⚠️ REVISAR", "OK"))</f>
        <v/>
      </c>
    </row>
    <row r="96">
      <c r="A96" s="79">
        <f>IF('Ordenes_Odoo'!A96="","",'Ordenes_Odoo'!A96)</f>
        <v/>
      </c>
      <c r="B96" s="80">
        <f>IF('Ordenes_Odoo'!B96="","",'Ordenes_Odoo'!B96)</f>
        <v/>
      </c>
      <c r="C96" s="79">
        <f>IF('Ordenes_Odoo'!C96="","",'Ordenes_Odoo'!C96)</f>
        <v/>
      </c>
      <c r="D96" s="79">
        <f>IF('Ordenes_Odoo'!D96="","",'Ordenes_Odoo'!D96)</f>
        <v/>
      </c>
      <c r="E96" s="79">
        <f>IF('Ordenes_Odoo'!E96="","",'Ordenes_Odoo'!E96)</f>
        <v/>
      </c>
      <c r="F96" s="79">
        <f>IF('Ordenes_Odoo'!F96="","",'Ordenes_Odoo'!F96)</f>
        <v/>
      </c>
      <c r="G96" s="79">
        <f>IF('Ordenes_Odoo'!G96="","",'Ordenes_Odoo'!G96)</f>
        <v/>
      </c>
      <c r="H96" s="79">
        <f>IF('Ordenes_Odoo'!H96="","",'Ordenes_Odoo'!H96)</f>
        <v/>
      </c>
      <c r="I96" s="79">
        <f>IF('Ordenes_Odoo'!I96="","",'Ordenes_Odoo'!I96)</f>
        <v/>
      </c>
      <c r="J96" s="79">
        <f>IF('Ordenes_Odoo'!J96="","",'Ordenes_Odoo'!J96)</f>
        <v/>
      </c>
      <c r="K96" s="81">
        <f>IF('Ordenes_Odoo'!K96="","",'Ordenes_Odoo'!K96)</f>
        <v/>
      </c>
      <c r="L96" s="81">
        <f>IF('Ordenes_Odoo'!L96="","",'Ordenes_Odoo'!L96)</f>
        <v/>
      </c>
      <c r="M96" s="79">
        <f>IF('Ordenes_Odoo'!M96="","",'Ordenes_Odoo'!M96)</f>
        <v/>
      </c>
      <c r="N96" s="79">
        <f>IF('Ordenes_Odoo'!N96="","",'Ordenes_Odoo'!N96)</f>
        <v/>
      </c>
      <c r="O96" s="81">
        <f>IF('Ordenes_Odoo'!O96="","",'Ordenes_Odoo'!O96)</f>
        <v/>
      </c>
      <c r="P96" s="81">
        <f>IF('Ordenes_Odoo'!P96="","",'Ordenes_Odoo'!P96)</f>
        <v/>
      </c>
      <c r="Q96" s="79">
        <f>IF(A96="","",IFERROR(INDEX(Facturas_Odoo!$B:$B, MATCH(A96, Facturas_Odoo!$D:$D, 0)), "Sin Factura"))</f>
        <v/>
      </c>
      <c r="R96" s="80">
        <f>IF(Q96="Sin Factura","",IFERROR(INDEX(Facturas_Odoo!$A:$A, MATCH(Q96, Facturas_Odoo!$B:$B, 0)), ""))</f>
        <v/>
      </c>
      <c r="S96" s="79">
        <f>IF(Q96="Sin Factura","",IFERROR(_xlfn.XLOOKUP(1, (Facturas_Odoo!$D:$D=A96) * (Facturas_Odoo!$K:$K=I96), Facturas_Odoo!$L:$L, ""), ""))</f>
        <v/>
      </c>
      <c r="T96" s="81">
        <f>IF(Q96="Sin Factura",0,IFERROR(_xlfn.XLOOKUP(1, (Facturas_Odoo!$D:$D=A96) * (Facturas_Odoo!$K:$K=I96), Facturas_Odoo!$M:$M, 0), 0))</f>
        <v/>
      </c>
      <c r="U96" s="79">
        <f>IF(Q96="Sin Factura",0,IFERROR(_xlfn.XLOOKUP(1, (Facturas_Odoo!$D:$D=A96) * (Facturas_Odoo!$K:$K=I96), Facturas_Odoo!$N:$N, 0), 0))</f>
        <v/>
      </c>
      <c r="V96" s="79">
        <f>IF(Q96="Sin Factura",0,IFERROR(_xlfn.XLOOKUP(1, (Facturas_Odoo!$D:$D=A96) * (Facturas_Odoo!$K:$K=I96), Facturas_Odoo!$O:$O, 0), 0))</f>
        <v/>
      </c>
      <c r="W96" s="81">
        <f>IF(Q96="Sin Factura",0,IFERROR(_xlfn.XLOOKUP(1, (Facturas_Odoo!$D:$D=A96) * (Facturas_Odoo!$K:$K=I96), Facturas_Odoo!$Q:$Q, 0), 0))</f>
        <v/>
      </c>
      <c r="X96" s="79">
        <f>IF(OR(Q96="Sin Factura",Q96=""),"",IFERROR(INDEX(Pagos_Odoo!$B:$B, MATCH(Q96, Pagos_Odoo!$I:$I, 0)), "Sin Pago"))</f>
        <v/>
      </c>
      <c r="Y96" s="79">
        <f>IF(X96="Sin Pago","",IFERROR(INDEX(Pagos_Odoo!$C:$C, MATCH(X96, Pagos_Odoo!$B:$B, 0)), ""))</f>
        <v/>
      </c>
      <c r="Z96" s="80">
        <f>IF(X96="Sin Pago","",IFERROR(INDEX(Pagos_Odoo!$A:$A, MATCH(X96, Pagos_Odoo!$B:$B, 0)), ""))</f>
        <v/>
      </c>
      <c r="AA96" s="79">
        <f>IF(X96="Sin Pago","",IFERROR(INDEX(Pagos_Odoo!$F:$F, MATCH(X96, Pagos_Odoo!$B:$B, 0)), ""))</f>
        <v/>
      </c>
      <c r="AB96" s="81">
        <f>IF(X96="Sin Pago",0,IFERROR(INDEX(Pagos_Odoo!$E:$E, MATCH(X96, Pagos_Odoo!$B:$B, 0)), 0))</f>
        <v/>
      </c>
      <c r="AC96" s="79">
        <f>IF(X96="Sin Pago","",IFERROR(INDEX(Pagos_Odoo!$G:$G, MATCH(X96, Pagos_Odoo!$B:$B, 0)), ""))</f>
        <v/>
      </c>
      <c r="AD96" s="82" t="n">
        <v>0</v>
      </c>
      <c r="AE96" s="82" t="n"/>
      <c r="AF96" s="82" t="n"/>
      <c r="AG96" s="82">
        <f>IF(AN96="","",AD96+AE96+AF96)</f>
        <v/>
      </c>
      <c r="AH96" s="81">
        <f>IF(AN96="","",P96*(1-AG96))</f>
        <v/>
      </c>
      <c r="AI96" s="81">
        <f>IF(AN96="","",IF(Q96="Sin Factura",0,IFERROR(INDEX(Facturas_Odoo!$H:$H, MATCH(Q96, Facturas_Odoo!$B:$B, 0)), 0)*(1-AG96)))</f>
        <v/>
      </c>
      <c r="AJ96" s="81">
        <f>IF(AN96="","",_xlfn.LET(idVenta, AN96&amp;"",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6" s="81">
        <f>IF(AN96="","",AH96-AJ96)</f>
        <v/>
      </c>
      <c r="AL96" s="81">
        <f>IF(AN96="","",IF(Q96="Sin Factura","",AI96-AJ96))</f>
        <v/>
      </c>
      <c r="AM96" s="81">
        <f>IF(AN96="","",IF(Q96="Sin Factura",0,P96-IFERROR(INDEX(Facturas_Odoo!$H:$H, MATCH(Q96, Facturas_Odoo!$B:$B, 0)), 0)))</f>
        <v/>
      </c>
      <c r="AN96" s="79">
        <f>IF(AND(A96="", J96=""), "", IF(A96&lt;&gt;"", VALUE(MID(A96,2,LEN(A96))), AN95))</f>
        <v/>
      </c>
      <c r="AO96" s="79">
        <f>IF(AN96="","",IF(AD96=0,"OK",_xlfn.LET(monedaPago, IF(AA96="","USD",AA96), limitePermitido, IFERROR(VLOOKUP(monedaPago, Configuración!$A$2:$B$3, 2, FALSE), 0.15), IF(AD96&gt;limitePermitido, "ALERTA: EXCESO (" &amp; TEXT(limitePermitido, "0%") &amp; " máx)", "OK"))))</f>
        <v/>
      </c>
      <c r="AP96" s="79">
        <f>IF(AN96="","",IF(AE96=0,"OK",_xlfn.LET(fechaPago, Z96, fechaFactura, R96, diasCredito, IF(E96="Pago inmediato", 0, IFERROR(VALUE(MID(E96, 1, SEARCH(" ", E96)-1)),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6" s="79">
        <f>IF(AN96="","",IF(AND(N96&gt;0, AG96&gt;0), IF(Configuración!$K$2="NO", "ALERTA: DESCUENTO DOBLE NO PERMITIDO", "OK"), "OK"))</f>
        <v/>
      </c>
      <c r="AR96" s="79">
        <f>IF(AN96="","",IF(OR(AO96&lt;&gt;"OK", AP96&lt;&gt;"OK", AQ96&lt;&gt;"OK"), "⚠️ REVISAR", "OK"))</f>
        <v/>
      </c>
    </row>
    <row r="97">
      <c r="A97" s="79">
        <f>IF('Ordenes_Odoo'!A97="","",'Ordenes_Odoo'!A97)</f>
        <v/>
      </c>
      <c r="B97" s="80">
        <f>IF('Ordenes_Odoo'!B97="","",'Ordenes_Odoo'!B97)</f>
        <v/>
      </c>
      <c r="C97" s="79">
        <f>IF('Ordenes_Odoo'!C97="","",'Ordenes_Odoo'!C97)</f>
        <v/>
      </c>
      <c r="D97" s="79">
        <f>IF('Ordenes_Odoo'!D97="","",'Ordenes_Odoo'!D97)</f>
        <v/>
      </c>
      <c r="E97" s="79">
        <f>IF('Ordenes_Odoo'!E97="","",'Ordenes_Odoo'!E97)</f>
        <v/>
      </c>
      <c r="F97" s="79">
        <f>IF('Ordenes_Odoo'!F97="","",'Ordenes_Odoo'!F97)</f>
        <v/>
      </c>
      <c r="G97" s="79">
        <f>IF('Ordenes_Odoo'!G97="","",'Ordenes_Odoo'!G97)</f>
        <v/>
      </c>
      <c r="H97" s="79">
        <f>IF('Ordenes_Odoo'!H97="","",'Ordenes_Odoo'!H97)</f>
        <v/>
      </c>
      <c r="I97" s="79">
        <f>IF('Ordenes_Odoo'!I97="","",'Ordenes_Odoo'!I97)</f>
        <v/>
      </c>
      <c r="J97" s="79">
        <f>IF('Ordenes_Odoo'!J97="","",'Ordenes_Odoo'!J97)</f>
        <v/>
      </c>
      <c r="K97" s="81">
        <f>IF('Ordenes_Odoo'!K97="","",'Ordenes_Odoo'!K97)</f>
        <v/>
      </c>
      <c r="L97" s="81">
        <f>IF('Ordenes_Odoo'!L97="","",'Ordenes_Odoo'!L97)</f>
        <v/>
      </c>
      <c r="M97" s="79">
        <f>IF('Ordenes_Odoo'!M97="","",'Ordenes_Odoo'!M97)</f>
        <v/>
      </c>
      <c r="N97" s="79">
        <f>IF('Ordenes_Odoo'!N97="","",'Ordenes_Odoo'!N97)</f>
        <v/>
      </c>
      <c r="O97" s="81">
        <f>IF('Ordenes_Odoo'!O97="","",'Ordenes_Odoo'!O97)</f>
        <v/>
      </c>
      <c r="P97" s="81">
        <f>IF('Ordenes_Odoo'!P97="","",'Ordenes_Odoo'!P97)</f>
        <v/>
      </c>
      <c r="Q97" s="79">
        <f>IF(A97="","",IFERROR(INDEX(Facturas_Odoo!$B:$B, MATCH(A97, Facturas_Odoo!$D:$D, 0)), "Sin Factura"))</f>
        <v/>
      </c>
      <c r="R97" s="80">
        <f>IF(Q97="Sin Factura","",IFERROR(INDEX(Facturas_Odoo!$A:$A, MATCH(Q97, Facturas_Odoo!$B:$B, 0)), ""))</f>
        <v/>
      </c>
      <c r="S97" s="79">
        <f>IF(Q97="Sin Factura","",IFERROR(_xlfn.XLOOKUP(1, (Facturas_Odoo!$D:$D=A97) * (Facturas_Odoo!$K:$K=I97), Facturas_Odoo!$L:$L, ""), ""))</f>
        <v/>
      </c>
      <c r="T97" s="81">
        <f>IF(Q97="Sin Factura",0,IFERROR(_xlfn.XLOOKUP(1, (Facturas_Odoo!$D:$D=A97) * (Facturas_Odoo!$K:$K=I97), Facturas_Odoo!$M:$M, 0), 0))</f>
        <v/>
      </c>
      <c r="U97" s="79">
        <f>IF(Q97="Sin Factura",0,IFERROR(_xlfn.XLOOKUP(1, (Facturas_Odoo!$D:$D=A97) * (Facturas_Odoo!$K:$K=I97), Facturas_Odoo!$N:$N, 0), 0))</f>
        <v/>
      </c>
      <c r="V97" s="79">
        <f>IF(Q97="Sin Factura",0,IFERROR(_xlfn.XLOOKUP(1, (Facturas_Odoo!$D:$D=A97) * (Facturas_Odoo!$K:$K=I97), Facturas_Odoo!$O:$O, 0), 0))</f>
        <v/>
      </c>
      <c r="W97" s="81">
        <f>IF(Q97="Sin Factura",0,IFERROR(_xlfn.XLOOKUP(1, (Facturas_Odoo!$D:$D=A97) * (Facturas_Odoo!$K:$K=I97), Facturas_Odoo!$Q:$Q, 0), 0))</f>
        <v/>
      </c>
      <c r="X97" s="79">
        <f>IF(OR(Q97="Sin Factura",Q97=""),"",IFERROR(INDEX(Pagos_Odoo!$B:$B, MATCH(Q97, Pagos_Odoo!$I:$I, 0)), "Sin Pago"))</f>
        <v/>
      </c>
      <c r="Y97" s="79">
        <f>IF(X97="Sin Pago","",IFERROR(INDEX(Pagos_Odoo!$C:$C, MATCH(X97, Pagos_Odoo!$B:$B, 0)), ""))</f>
        <v/>
      </c>
      <c r="Z97" s="80">
        <f>IF(X97="Sin Pago","",IFERROR(INDEX(Pagos_Odoo!$A:$A, MATCH(X97, Pagos_Odoo!$B:$B, 0)), ""))</f>
        <v/>
      </c>
      <c r="AA97" s="79">
        <f>IF(X97="Sin Pago","",IFERROR(INDEX(Pagos_Odoo!$F:$F, MATCH(X97, Pagos_Odoo!$B:$B, 0)), ""))</f>
        <v/>
      </c>
      <c r="AB97" s="81">
        <f>IF(X97="Sin Pago",0,IFERROR(INDEX(Pagos_Odoo!$E:$E, MATCH(X97, Pagos_Odoo!$B:$B, 0)), 0))</f>
        <v/>
      </c>
      <c r="AC97" s="79">
        <f>IF(X97="Sin Pago","",IFERROR(INDEX(Pagos_Odoo!$G:$G, MATCH(X97, Pagos_Odoo!$B:$B, 0)), ""))</f>
        <v/>
      </c>
      <c r="AD97" s="82" t="n">
        <v>0</v>
      </c>
      <c r="AE97" s="82" t="n"/>
      <c r="AF97" s="82" t="n"/>
      <c r="AG97" s="82">
        <f>IF(AN97="","",AD97+AE97+AF97)</f>
        <v/>
      </c>
      <c r="AH97" s="81">
        <f>IF(AN97="","",P97*(1-AG97))</f>
        <v/>
      </c>
      <c r="AI97" s="81">
        <f>IF(AN97="","",IF(Q97="Sin Factura",0,IFERROR(INDEX(Facturas_Odoo!$H:$H, MATCH(Q97, Facturas_Odoo!$B:$B, 0)), 0)*(1-AG97)))</f>
        <v/>
      </c>
      <c r="AJ97" s="81">
        <f>IF(AN97="","",_xlfn.LET(idVenta, AN97&amp;"",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7" s="81">
        <f>IF(AN97="","",AH97-AJ97)</f>
        <v/>
      </c>
      <c r="AL97" s="81">
        <f>IF(AN97="","",IF(Q97="Sin Factura","",AI97-AJ97))</f>
        <v/>
      </c>
      <c r="AM97" s="81">
        <f>IF(AN97="","",IF(Q97="Sin Factura",0,P97-IFERROR(INDEX(Facturas_Odoo!$H:$H, MATCH(Q97, Facturas_Odoo!$B:$B, 0)), 0)))</f>
        <v/>
      </c>
      <c r="AN97" s="79">
        <f>IF(AND(A97="", J97=""), "", IF(A97&lt;&gt;"", VALUE(MID(A97,2,LEN(A97))), AN96))</f>
        <v/>
      </c>
      <c r="AO97" s="79">
        <f>IF(AN97="","",IF(AD97=0,"OK",_xlfn.LET(monedaPago, IF(AA97="","USD",AA97), limitePermitido, IFERROR(VLOOKUP(monedaPago, Configuración!$A$2:$B$3, 2, FALSE), 0.15), IF(AD97&gt;limitePermitido, "ALERTA: EXCESO (" &amp; TEXT(limitePermitido, "0%") &amp; " máx)", "OK"))))</f>
        <v/>
      </c>
      <c r="AP97" s="79">
        <f>IF(AN97="","",IF(AE97=0,"OK",_xlfn.LET(fechaPago, Z97, fechaFactura, R97, diasCredito, IF(E97="Pago inmediato", 0, IFERROR(VALUE(MID(E97, 1, SEARCH(" ", E97)-1)),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7" s="79">
        <f>IF(AN97="","",IF(AND(N97&gt;0, AG97&gt;0), IF(Configuración!$K$2="NO", "ALERTA: DESCUENTO DOBLE NO PERMITIDO", "OK"), "OK"))</f>
        <v/>
      </c>
      <c r="AR97" s="79">
        <f>IF(AN97="","",IF(OR(AO97&lt;&gt;"OK", AP97&lt;&gt;"OK", AQ97&lt;&gt;"OK"), "⚠️ REVISAR", "OK"))</f>
        <v/>
      </c>
    </row>
    <row r="98">
      <c r="A98" s="79">
        <f>IF('Ordenes_Odoo'!A98="","",'Ordenes_Odoo'!A98)</f>
        <v/>
      </c>
      <c r="B98" s="80">
        <f>IF('Ordenes_Odoo'!B98="","",'Ordenes_Odoo'!B98)</f>
        <v/>
      </c>
      <c r="C98" s="79">
        <f>IF('Ordenes_Odoo'!C98="","",'Ordenes_Odoo'!C98)</f>
        <v/>
      </c>
      <c r="D98" s="79">
        <f>IF('Ordenes_Odoo'!D98="","",'Ordenes_Odoo'!D98)</f>
        <v/>
      </c>
      <c r="E98" s="79">
        <f>IF('Ordenes_Odoo'!E98="","",'Ordenes_Odoo'!E98)</f>
        <v/>
      </c>
      <c r="F98" s="79">
        <f>IF('Ordenes_Odoo'!F98="","",'Ordenes_Odoo'!F98)</f>
        <v/>
      </c>
      <c r="G98" s="79">
        <f>IF('Ordenes_Odoo'!G98="","",'Ordenes_Odoo'!G98)</f>
        <v/>
      </c>
      <c r="H98" s="79">
        <f>IF('Ordenes_Odoo'!H98="","",'Ordenes_Odoo'!H98)</f>
        <v/>
      </c>
      <c r="I98" s="79">
        <f>IF('Ordenes_Odoo'!I98="","",'Ordenes_Odoo'!I98)</f>
        <v/>
      </c>
      <c r="J98" s="79">
        <f>IF('Ordenes_Odoo'!J98="","",'Ordenes_Odoo'!J98)</f>
        <v/>
      </c>
      <c r="K98" s="81">
        <f>IF('Ordenes_Odoo'!K98="","",'Ordenes_Odoo'!K98)</f>
        <v/>
      </c>
      <c r="L98" s="81">
        <f>IF('Ordenes_Odoo'!L98="","",'Ordenes_Odoo'!L98)</f>
        <v/>
      </c>
      <c r="M98" s="79">
        <f>IF('Ordenes_Odoo'!M98="","",'Ordenes_Odoo'!M98)</f>
        <v/>
      </c>
      <c r="N98" s="79">
        <f>IF('Ordenes_Odoo'!N98="","",'Ordenes_Odoo'!N98)</f>
        <v/>
      </c>
      <c r="O98" s="81">
        <f>IF('Ordenes_Odoo'!O98="","",'Ordenes_Odoo'!O98)</f>
        <v/>
      </c>
      <c r="P98" s="81">
        <f>IF('Ordenes_Odoo'!P98="","",'Ordenes_Odoo'!P98)</f>
        <v/>
      </c>
      <c r="Q98" s="79">
        <f>IF(A98="","",IFERROR(INDEX(Facturas_Odoo!$B:$B, MATCH(A98, Facturas_Odoo!$D:$D, 0)), "Sin Factura"))</f>
        <v/>
      </c>
      <c r="R98" s="80">
        <f>IF(Q98="Sin Factura","",IFERROR(INDEX(Facturas_Odoo!$A:$A, MATCH(Q98, Facturas_Odoo!$B:$B, 0)), ""))</f>
        <v/>
      </c>
      <c r="S98" s="79">
        <f>IF(Q98="Sin Factura","",IFERROR(_xlfn.XLOOKUP(1, (Facturas_Odoo!$D:$D=A98) * (Facturas_Odoo!$K:$K=I98), Facturas_Odoo!$L:$L, ""), ""))</f>
        <v/>
      </c>
      <c r="T98" s="81">
        <f>IF(Q98="Sin Factura",0,IFERROR(_xlfn.XLOOKUP(1, (Facturas_Odoo!$D:$D=A98) * (Facturas_Odoo!$K:$K=I98), Facturas_Odoo!$M:$M, 0), 0))</f>
        <v/>
      </c>
      <c r="U98" s="79">
        <f>IF(Q98="Sin Factura",0,IFERROR(_xlfn.XLOOKUP(1, (Facturas_Odoo!$D:$D=A98) * (Facturas_Odoo!$K:$K=I98), Facturas_Odoo!$N:$N, 0), 0))</f>
        <v/>
      </c>
      <c r="V98" s="79">
        <f>IF(Q98="Sin Factura",0,IFERROR(_xlfn.XLOOKUP(1, (Facturas_Odoo!$D:$D=A98) * (Facturas_Odoo!$K:$K=I98), Facturas_Odoo!$O:$O, 0), 0))</f>
        <v/>
      </c>
      <c r="W98" s="81">
        <f>IF(Q98="Sin Factura",0,IFERROR(_xlfn.XLOOKUP(1, (Facturas_Odoo!$D:$D=A98) * (Facturas_Odoo!$K:$K=I98), Facturas_Odoo!$Q:$Q, 0), 0))</f>
        <v/>
      </c>
      <c r="X98" s="79">
        <f>IF(OR(Q98="Sin Factura",Q98=""),"",IFERROR(INDEX(Pagos_Odoo!$B:$B, MATCH(Q98, Pagos_Odoo!$I:$I, 0)), "Sin Pago"))</f>
        <v/>
      </c>
      <c r="Y98" s="79">
        <f>IF(X98="Sin Pago","",IFERROR(INDEX(Pagos_Odoo!$C:$C, MATCH(X98, Pagos_Odoo!$B:$B, 0)), ""))</f>
        <v/>
      </c>
      <c r="Z98" s="80">
        <f>IF(X98="Sin Pago","",IFERROR(INDEX(Pagos_Odoo!$A:$A, MATCH(X98, Pagos_Odoo!$B:$B, 0)), ""))</f>
        <v/>
      </c>
      <c r="AA98" s="79">
        <f>IF(X98="Sin Pago","",IFERROR(INDEX(Pagos_Odoo!$F:$F, MATCH(X98, Pagos_Odoo!$B:$B, 0)), ""))</f>
        <v/>
      </c>
      <c r="AB98" s="81">
        <f>IF(X98="Sin Pago",0,IFERROR(INDEX(Pagos_Odoo!$E:$E, MATCH(X98, Pagos_Odoo!$B:$B, 0)), 0))</f>
        <v/>
      </c>
      <c r="AC98" s="79">
        <f>IF(X98="Sin Pago","",IFERROR(INDEX(Pagos_Odoo!$G:$G, MATCH(X98, Pagos_Odoo!$B:$B, 0)), ""))</f>
        <v/>
      </c>
      <c r="AD98" s="82" t="n">
        <v>0</v>
      </c>
      <c r="AE98" s="82" t="n"/>
      <c r="AF98" s="82" t="n"/>
      <c r="AG98" s="82">
        <f>IF(AN98="","",AD98+AE98+AF98)</f>
        <v/>
      </c>
      <c r="AH98" s="81">
        <f>IF(AN98="","",P98*(1-AG98))</f>
        <v/>
      </c>
      <c r="AI98" s="81">
        <f>IF(AN98="","",IF(Q98="Sin Factura",0,IFERROR(INDEX(Facturas_Odoo!$H:$H, MATCH(Q98, Facturas_Odoo!$B:$B, 0)), 0)*(1-AG98)))</f>
        <v/>
      </c>
      <c r="AJ98" s="81">
        <f>IF(AN98="","",_xlfn.LET(idVenta, AN98&amp;"",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8" s="81">
        <f>IF(AN98="","",AH98-AJ98)</f>
        <v/>
      </c>
      <c r="AL98" s="81">
        <f>IF(AN98="","",IF(Q98="Sin Factura","",AI98-AJ98))</f>
        <v/>
      </c>
      <c r="AM98" s="81">
        <f>IF(AN98="","",IF(Q98="Sin Factura",0,P98-IFERROR(INDEX(Facturas_Odoo!$H:$H, MATCH(Q98, Facturas_Odoo!$B:$B, 0)), 0)))</f>
        <v/>
      </c>
      <c r="AN98" s="79">
        <f>IF(AND(A98="", J98=""), "", IF(A98&lt;&gt;"", VALUE(MID(A98,2,LEN(A98))), AN97))</f>
        <v/>
      </c>
      <c r="AO98" s="79">
        <f>IF(AN98="","",IF(AD98=0,"OK",_xlfn.LET(monedaPago, IF(AA98="","USD",AA98), limitePermitido, IFERROR(VLOOKUP(monedaPago, Configuración!$A$2:$B$3, 2, FALSE), 0.15), IF(AD98&gt;limitePermitido, "ALERTA: EXCESO (" &amp; TEXT(limitePermitido, "0%") &amp; " máx)", "OK"))))</f>
        <v/>
      </c>
      <c r="AP98" s="79">
        <f>IF(AN98="","",IF(AE98=0,"OK",_xlfn.LET(fechaPago, Z98, fechaFactura, R98, diasCredito, IF(E98="Pago inmediato", 0, IFERROR(VALUE(MID(E98, 1, SEARCH(" ", E98)-1)),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8" s="79">
        <f>IF(AN98="","",IF(AND(N98&gt;0, AG98&gt;0), IF(Configuración!$K$2="NO", "ALERTA: DESCUENTO DOBLE NO PERMITIDO", "OK"), "OK"))</f>
        <v/>
      </c>
      <c r="AR98" s="79">
        <f>IF(AN98="","",IF(OR(AO98&lt;&gt;"OK", AP98&lt;&gt;"OK", AQ98&lt;&gt;"OK"), "⚠️ REVISAR", "OK"))</f>
        <v/>
      </c>
    </row>
    <row r="99">
      <c r="A99" s="79">
        <f>IF('Ordenes_Odoo'!A99="","",'Ordenes_Odoo'!A99)</f>
        <v/>
      </c>
      <c r="B99" s="80">
        <f>IF('Ordenes_Odoo'!B99="","",'Ordenes_Odoo'!B99)</f>
        <v/>
      </c>
      <c r="C99" s="79">
        <f>IF('Ordenes_Odoo'!C99="","",'Ordenes_Odoo'!C99)</f>
        <v/>
      </c>
      <c r="D99" s="79">
        <f>IF('Ordenes_Odoo'!D99="","",'Ordenes_Odoo'!D99)</f>
        <v/>
      </c>
      <c r="E99" s="79">
        <f>IF('Ordenes_Odoo'!E99="","",'Ordenes_Odoo'!E99)</f>
        <v/>
      </c>
      <c r="F99" s="79">
        <f>IF('Ordenes_Odoo'!F99="","",'Ordenes_Odoo'!F99)</f>
        <v/>
      </c>
      <c r="G99" s="79">
        <f>IF('Ordenes_Odoo'!G99="","",'Ordenes_Odoo'!G99)</f>
        <v/>
      </c>
      <c r="H99" s="79">
        <f>IF('Ordenes_Odoo'!H99="","",'Ordenes_Odoo'!H99)</f>
        <v/>
      </c>
      <c r="I99" s="79">
        <f>IF('Ordenes_Odoo'!I99="","",'Ordenes_Odoo'!I99)</f>
        <v/>
      </c>
      <c r="J99" s="79">
        <f>IF('Ordenes_Odoo'!J99="","",'Ordenes_Odoo'!J99)</f>
        <v/>
      </c>
      <c r="K99" s="81">
        <f>IF('Ordenes_Odoo'!K99="","",'Ordenes_Odoo'!K99)</f>
        <v/>
      </c>
      <c r="L99" s="81">
        <f>IF('Ordenes_Odoo'!L99="","",'Ordenes_Odoo'!L99)</f>
        <v/>
      </c>
      <c r="M99" s="79">
        <f>IF('Ordenes_Odoo'!M99="","",'Ordenes_Odoo'!M99)</f>
        <v/>
      </c>
      <c r="N99" s="79">
        <f>IF('Ordenes_Odoo'!N99="","",'Ordenes_Odoo'!N99)</f>
        <v/>
      </c>
      <c r="O99" s="81">
        <f>IF('Ordenes_Odoo'!O99="","",'Ordenes_Odoo'!O99)</f>
        <v/>
      </c>
      <c r="P99" s="81">
        <f>IF('Ordenes_Odoo'!P99="","",'Ordenes_Odoo'!P99)</f>
        <v/>
      </c>
      <c r="Q99" s="79">
        <f>IF(A99="","",IFERROR(INDEX(Facturas_Odoo!$B:$B, MATCH(A99, Facturas_Odoo!$D:$D, 0)), "Sin Factura"))</f>
        <v/>
      </c>
      <c r="R99" s="80">
        <f>IF(Q99="Sin Factura","",IFERROR(INDEX(Facturas_Odoo!$A:$A, MATCH(Q99, Facturas_Odoo!$B:$B, 0)), ""))</f>
        <v/>
      </c>
      <c r="S99" s="79">
        <f>IF(Q99="Sin Factura","",IFERROR(_xlfn.XLOOKUP(1, (Facturas_Odoo!$D:$D=A99) * (Facturas_Odoo!$K:$K=I99), Facturas_Odoo!$L:$L, ""), ""))</f>
        <v/>
      </c>
      <c r="T99" s="81">
        <f>IF(Q99="Sin Factura",0,IFERROR(_xlfn.XLOOKUP(1, (Facturas_Odoo!$D:$D=A99) * (Facturas_Odoo!$K:$K=I99), Facturas_Odoo!$M:$M, 0), 0))</f>
        <v/>
      </c>
      <c r="U99" s="79">
        <f>IF(Q99="Sin Factura",0,IFERROR(_xlfn.XLOOKUP(1, (Facturas_Odoo!$D:$D=A99) * (Facturas_Odoo!$K:$K=I99), Facturas_Odoo!$N:$N, 0), 0))</f>
        <v/>
      </c>
      <c r="V99" s="79">
        <f>IF(Q99="Sin Factura",0,IFERROR(_xlfn.XLOOKUP(1, (Facturas_Odoo!$D:$D=A99) * (Facturas_Odoo!$K:$K=I99), Facturas_Odoo!$O:$O, 0), 0))</f>
        <v/>
      </c>
      <c r="W99" s="81">
        <f>IF(Q99="Sin Factura",0,IFERROR(_xlfn.XLOOKUP(1, (Facturas_Odoo!$D:$D=A99) * (Facturas_Odoo!$K:$K=I99), Facturas_Odoo!$Q:$Q, 0), 0))</f>
        <v/>
      </c>
      <c r="X99" s="79">
        <f>IF(OR(Q99="Sin Factura",Q99=""),"",IFERROR(INDEX(Pagos_Odoo!$B:$B, MATCH(Q99, Pagos_Odoo!$I:$I, 0)), "Sin Pago"))</f>
        <v/>
      </c>
      <c r="Y99" s="79">
        <f>IF(X99="Sin Pago","",IFERROR(INDEX(Pagos_Odoo!$C:$C, MATCH(X99, Pagos_Odoo!$B:$B, 0)), ""))</f>
        <v/>
      </c>
      <c r="Z99" s="80">
        <f>IF(X99="Sin Pago","",IFERROR(INDEX(Pagos_Odoo!$A:$A, MATCH(X99, Pagos_Odoo!$B:$B, 0)), ""))</f>
        <v/>
      </c>
      <c r="AA99" s="79">
        <f>IF(X99="Sin Pago","",IFERROR(INDEX(Pagos_Odoo!$F:$F, MATCH(X99, Pagos_Odoo!$B:$B, 0)), ""))</f>
        <v/>
      </c>
      <c r="AB99" s="81">
        <f>IF(X99="Sin Pago",0,IFERROR(INDEX(Pagos_Odoo!$E:$E, MATCH(X99, Pagos_Odoo!$B:$B, 0)), 0))</f>
        <v/>
      </c>
      <c r="AC99" s="79">
        <f>IF(X99="Sin Pago","",IFERROR(INDEX(Pagos_Odoo!$G:$G, MATCH(X99, Pagos_Odoo!$B:$B, 0)), ""))</f>
        <v/>
      </c>
      <c r="AD99" s="82" t="n">
        <v>0</v>
      </c>
      <c r="AE99" s="82" t="n"/>
      <c r="AF99" s="82" t="n"/>
      <c r="AG99" s="82">
        <f>IF(AN99="","",AD99+AE99+AF99)</f>
        <v/>
      </c>
      <c r="AH99" s="81">
        <f>IF(AN99="","",P99*(1-AG99))</f>
        <v/>
      </c>
      <c r="AI99" s="81">
        <f>IF(AN99="","",IF(Q99="Sin Factura",0,IFERROR(INDEX(Facturas_Odoo!$H:$H, MATCH(Q99, Facturas_Odoo!$B:$B, 0)), 0)*(1-AG99)))</f>
        <v/>
      </c>
      <c r="AJ99" s="81">
        <f>IF(AN99="","",_xlfn.LET(idVenta, AN99&amp;"",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9" s="81">
        <f>IF(AN99="","",AH99-AJ99)</f>
        <v/>
      </c>
      <c r="AL99" s="81">
        <f>IF(AN99="","",IF(Q99="Sin Factura","",AI99-AJ99))</f>
        <v/>
      </c>
      <c r="AM99" s="81">
        <f>IF(AN99="","",IF(Q99="Sin Factura",0,P99-IFERROR(INDEX(Facturas_Odoo!$H:$H, MATCH(Q99, Facturas_Odoo!$B:$B, 0)), 0)))</f>
        <v/>
      </c>
      <c r="AN99" s="79">
        <f>IF(AND(A99="", J99=""), "", IF(A99&lt;&gt;"", VALUE(MID(A99,2,LEN(A99))), AN98))</f>
        <v/>
      </c>
      <c r="AO99" s="79">
        <f>IF(AN99="","",IF(AD99=0,"OK",_xlfn.LET(monedaPago, IF(AA99="","USD",AA99), limitePermitido, IFERROR(VLOOKUP(monedaPago, Configuración!$A$2:$B$3, 2, FALSE), 0.15), IF(AD99&gt;limitePermitido, "ALERTA: EXCESO (" &amp; TEXT(limitePermitido, "0%") &amp; " máx)", "OK"))))</f>
        <v/>
      </c>
      <c r="AP99" s="79">
        <f>IF(AN99="","",IF(AE99=0,"OK",_xlfn.LET(fechaPago, Z99, fechaFactura, R99, diasCredito, IF(E99="Pago inmediato", 0, IFERROR(VALUE(MID(E99, 1, SEARCH(" ", E99)-1)),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9" s="79">
        <f>IF(AN99="","",IF(AND(N99&gt;0, AG99&gt;0), IF(Configuración!$K$2="NO", "ALERTA: DESCUENTO DOBLE NO PERMITIDO", "OK"), "OK"))</f>
        <v/>
      </c>
      <c r="AR99" s="79">
        <f>IF(AN99="","",IF(OR(AO99&lt;&gt;"OK", AP99&lt;&gt;"OK", AQ99&lt;&gt;"OK"), "⚠️ REVISAR", "OK"))</f>
        <v/>
      </c>
    </row>
    <row r="100">
      <c r="A100" s="79">
        <f>IF('Ordenes_Odoo'!A100="","",'Ordenes_Odoo'!A100)</f>
        <v/>
      </c>
      <c r="B100" s="80">
        <f>IF('Ordenes_Odoo'!B100="","",'Ordenes_Odoo'!B100)</f>
        <v/>
      </c>
      <c r="C100" s="79">
        <f>IF('Ordenes_Odoo'!C100="","",'Ordenes_Odoo'!C100)</f>
        <v/>
      </c>
      <c r="D100" s="79">
        <f>IF('Ordenes_Odoo'!D100="","",'Ordenes_Odoo'!D100)</f>
        <v/>
      </c>
      <c r="E100" s="79">
        <f>IF('Ordenes_Odoo'!E100="","",'Ordenes_Odoo'!E100)</f>
        <v/>
      </c>
      <c r="F100" s="79">
        <f>IF('Ordenes_Odoo'!F100="","",'Ordenes_Odoo'!F100)</f>
        <v/>
      </c>
      <c r="G100" s="79">
        <f>IF('Ordenes_Odoo'!G100="","",'Ordenes_Odoo'!G100)</f>
        <v/>
      </c>
      <c r="H100" s="79">
        <f>IF('Ordenes_Odoo'!H100="","",'Ordenes_Odoo'!H100)</f>
        <v/>
      </c>
      <c r="I100" s="79">
        <f>IF('Ordenes_Odoo'!I100="","",'Ordenes_Odoo'!I100)</f>
        <v/>
      </c>
      <c r="J100" s="79">
        <f>IF('Ordenes_Odoo'!J100="","",'Ordenes_Odoo'!J100)</f>
        <v/>
      </c>
      <c r="K100" s="81">
        <f>IF('Ordenes_Odoo'!K100="","",'Ordenes_Odoo'!K100)</f>
        <v/>
      </c>
      <c r="L100" s="81">
        <f>IF('Ordenes_Odoo'!L100="","",'Ordenes_Odoo'!L100)</f>
        <v/>
      </c>
      <c r="M100" s="79">
        <f>IF('Ordenes_Odoo'!M100="","",'Ordenes_Odoo'!M100)</f>
        <v/>
      </c>
      <c r="N100" s="79">
        <f>IF('Ordenes_Odoo'!N100="","",'Ordenes_Odoo'!N100)</f>
        <v/>
      </c>
      <c r="O100" s="81">
        <f>IF('Ordenes_Odoo'!O100="","",'Ordenes_Odoo'!O100)</f>
        <v/>
      </c>
      <c r="P100" s="81">
        <f>IF('Ordenes_Odoo'!P100="","",'Ordenes_Odoo'!P100)</f>
        <v/>
      </c>
      <c r="Q100" s="79">
        <f>IF(A100="","",IFERROR(INDEX(Facturas_Odoo!$B:$B, MATCH(A100, Facturas_Odoo!$D:$D, 0)), "Sin Factura"))</f>
        <v/>
      </c>
      <c r="R100" s="80">
        <f>IF(Q100="Sin Factura","",IFERROR(INDEX(Facturas_Odoo!$A:$A, MATCH(Q100, Facturas_Odoo!$B:$B, 0)), ""))</f>
        <v/>
      </c>
      <c r="S100" s="79">
        <f>IF(Q100="Sin Factura","",IFERROR(_xlfn.XLOOKUP(1, (Facturas_Odoo!$D:$D=A100) * (Facturas_Odoo!$K:$K=I100), Facturas_Odoo!$L:$L, ""), ""))</f>
        <v/>
      </c>
      <c r="T100" s="81">
        <f>IF(Q100="Sin Factura",0,IFERROR(_xlfn.XLOOKUP(1, (Facturas_Odoo!$D:$D=A100) * (Facturas_Odoo!$K:$K=I100), Facturas_Odoo!$M:$M, 0), 0))</f>
        <v/>
      </c>
      <c r="U100" s="79">
        <f>IF(Q100="Sin Factura",0,IFERROR(_xlfn.XLOOKUP(1, (Facturas_Odoo!$D:$D=A100) * (Facturas_Odoo!$K:$K=I100), Facturas_Odoo!$N:$N, 0), 0))</f>
        <v/>
      </c>
      <c r="V100" s="79">
        <f>IF(Q100="Sin Factura",0,IFERROR(_xlfn.XLOOKUP(1, (Facturas_Odoo!$D:$D=A100) * (Facturas_Odoo!$K:$K=I100), Facturas_Odoo!$O:$O, 0), 0))</f>
        <v/>
      </c>
      <c r="W100" s="81">
        <f>IF(Q100="Sin Factura",0,IFERROR(_xlfn.XLOOKUP(1, (Facturas_Odoo!$D:$D=A100) * (Facturas_Odoo!$K:$K=I100), Facturas_Odoo!$Q:$Q, 0), 0))</f>
        <v/>
      </c>
      <c r="X100" s="79">
        <f>IF(OR(Q100="Sin Factura",Q100=""),"",IFERROR(INDEX(Pagos_Odoo!$B:$B, MATCH(Q100, Pagos_Odoo!$I:$I, 0)), "Sin Pago"))</f>
        <v/>
      </c>
      <c r="Y100" s="79">
        <f>IF(X100="Sin Pago","",IFERROR(INDEX(Pagos_Odoo!$C:$C, MATCH(X100, Pagos_Odoo!$B:$B, 0)), ""))</f>
        <v/>
      </c>
      <c r="Z100" s="80">
        <f>IF(X100="Sin Pago","",IFERROR(INDEX(Pagos_Odoo!$A:$A, MATCH(X100, Pagos_Odoo!$B:$B, 0)), ""))</f>
        <v/>
      </c>
      <c r="AA100" s="79">
        <f>IF(X100="Sin Pago","",IFERROR(INDEX(Pagos_Odoo!$F:$F, MATCH(X100, Pagos_Odoo!$B:$B, 0)), ""))</f>
        <v/>
      </c>
      <c r="AB100" s="81">
        <f>IF(X100="Sin Pago",0,IFERROR(INDEX(Pagos_Odoo!$E:$E, MATCH(X100, Pagos_Odoo!$B:$B, 0)), 0))</f>
        <v/>
      </c>
      <c r="AC100" s="79">
        <f>IF(X100="Sin Pago","",IFERROR(INDEX(Pagos_Odoo!$G:$G, MATCH(X100, Pagos_Odoo!$B:$B, 0)), ""))</f>
        <v/>
      </c>
      <c r="AD100" s="82" t="n">
        <v>0</v>
      </c>
      <c r="AE100" s="82" t="n"/>
      <c r="AF100" s="82" t="n"/>
      <c r="AG100" s="82">
        <f>IF(AN100="","",AD100+AE100+AF100)</f>
        <v/>
      </c>
      <c r="AH100" s="81">
        <f>IF(AN100="","",P100*(1-AG100))</f>
        <v/>
      </c>
      <c r="AI100" s="81">
        <f>IF(AN100="","",IF(Q100="Sin Factura",0,IFERROR(INDEX(Facturas_Odoo!$H:$H, MATCH(Q100, Facturas_Odoo!$B:$B, 0)), 0)*(1-AG100)))</f>
        <v/>
      </c>
      <c r="AJ100" s="81">
        <f>IF(AN100="","",_xlfn.LET(idVenta, AN100&amp;"",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0" s="81">
        <f>IF(AN100="","",AH100-AJ100)</f>
        <v/>
      </c>
      <c r="AL100" s="81">
        <f>IF(AN100="","",IF(Q100="Sin Factura","",AI100-AJ100))</f>
        <v/>
      </c>
      <c r="AM100" s="81">
        <f>IF(AN100="","",IF(Q100="Sin Factura",0,P100-IFERROR(INDEX(Facturas_Odoo!$H:$H, MATCH(Q100, Facturas_Odoo!$B:$B, 0)), 0)))</f>
        <v/>
      </c>
      <c r="AN100" s="79">
        <f>IF(AND(A100="", J100=""), "", IF(A100&lt;&gt;"", VALUE(MID(A100,2,LEN(A100))), AN99))</f>
        <v/>
      </c>
      <c r="AO100" s="79">
        <f>IF(AN100="","",IF(AD100=0,"OK",_xlfn.LET(monedaPago, IF(AA100="","USD",AA100), limitePermitido, IFERROR(VLOOKUP(monedaPago, Configuración!$A$2:$B$3, 2, FALSE), 0.15), IF(AD100&gt;limitePermitido, "ALERTA: EXCESO (" &amp; TEXT(limitePermitido, "0%") &amp; " máx)", "OK"))))</f>
        <v/>
      </c>
      <c r="AP100" s="79">
        <f>IF(AN100="","",IF(AE100=0,"OK",_xlfn.LET(fechaPago, Z100, fechaFactura, R100, diasCredito, IF(E100="Pago inmediato", 0, IFERROR(VALUE(MID(E100, 1, SEARCH(" ", E100)-1)),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0" s="79">
        <f>IF(AN100="","",IF(AND(N100&gt;0, AG100&gt;0), IF(Configuración!$K$2="NO", "ALERTA: DESCUENTO DOBLE NO PERMITIDO", "OK"), "OK"))</f>
        <v/>
      </c>
      <c r="AR100" s="79">
        <f>IF(AN100="","",IF(OR(AO100&lt;&gt;"OK", AP100&lt;&gt;"OK", AQ100&lt;&gt;"OK"), "⚠️ REVISAR", "OK"))</f>
        <v/>
      </c>
    </row>
    <row r="101">
      <c r="A101" s="79">
        <f>IF('Ordenes_Odoo'!A101="","",'Ordenes_Odoo'!A101)</f>
        <v/>
      </c>
      <c r="B101" s="80">
        <f>IF('Ordenes_Odoo'!B101="","",'Ordenes_Odoo'!B101)</f>
        <v/>
      </c>
      <c r="C101" s="79">
        <f>IF('Ordenes_Odoo'!C101="","",'Ordenes_Odoo'!C101)</f>
        <v/>
      </c>
      <c r="D101" s="79">
        <f>IF('Ordenes_Odoo'!D101="","",'Ordenes_Odoo'!D101)</f>
        <v/>
      </c>
      <c r="E101" s="79">
        <f>IF('Ordenes_Odoo'!E101="","",'Ordenes_Odoo'!E101)</f>
        <v/>
      </c>
      <c r="F101" s="79">
        <f>IF('Ordenes_Odoo'!F101="","",'Ordenes_Odoo'!F101)</f>
        <v/>
      </c>
      <c r="G101" s="79">
        <f>IF('Ordenes_Odoo'!G101="","",'Ordenes_Odoo'!G101)</f>
        <v/>
      </c>
      <c r="H101" s="79">
        <f>IF('Ordenes_Odoo'!H101="","",'Ordenes_Odoo'!H101)</f>
        <v/>
      </c>
      <c r="I101" s="79">
        <f>IF('Ordenes_Odoo'!I101="","",'Ordenes_Odoo'!I101)</f>
        <v/>
      </c>
      <c r="J101" s="79">
        <f>IF('Ordenes_Odoo'!J101="","",'Ordenes_Odoo'!J101)</f>
        <v/>
      </c>
      <c r="K101" s="81">
        <f>IF('Ordenes_Odoo'!K101="","",'Ordenes_Odoo'!K101)</f>
        <v/>
      </c>
      <c r="L101" s="81">
        <f>IF('Ordenes_Odoo'!L101="","",'Ordenes_Odoo'!L101)</f>
        <v/>
      </c>
      <c r="M101" s="79">
        <f>IF('Ordenes_Odoo'!M101="","",'Ordenes_Odoo'!M101)</f>
        <v/>
      </c>
      <c r="N101" s="79">
        <f>IF('Ordenes_Odoo'!N101="","",'Ordenes_Odoo'!N101)</f>
        <v/>
      </c>
      <c r="O101" s="81">
        <f>IF('Ordenes_Odoo'!O101="","",'Ordenes_Odoo'!O101)</f>
        <v/>
      </c>
      <c r="P101" s="81">
        <f>IF('Ordenes_Odoo'!P101="","",'Ordenes_Odoo'!P101)</f>
        <v/>
      </c>
      <c r="Q101" s="79">
        <f>IF(A101="","",IFERROR(INDEX(Facturas_Odoo!$B:$B, MATCH(A101, Facturas_Odoo!$D:$D, 0)), "Sin Factura"))</f>
        <v/>
      </c>
      <c r="R101" s="80">
        <f>IF(Q101="Sin Factura","",IFERROR(INDEX(Facturas_Odoo!$A:$A, MATCH(Q101, Facturas_Odoo!$B:$B, 0)), ""))</f>
        <v/>
      </c>
      <c r="S101" s="79">
        <f>IF(Q101="Sin Factura","",IFERROR(_xlfn.XLOOKUP(1, (Facturas_Odoo!$D:$D=A101) * (Facturas_Odoo!$K:$K=I101), Facturas_Odoo!$L:$L, ""), ""))</f>
        <v/>
      </c>
      <c r="T101" s="81">
        <f>IF(Q101="Sin Factura",0,IFERROR(_xlfn.XLOOKUP(1, (Facturas_Odoo!$D:$D=A101) * (Facturas_Odoo!$K:$K=I101), Facturas_Odoo!$M:$M, 0), 0))</f>
        <v/>
      </c>
      <c r="U101" s="79">
        <f>IF(Q101="Sin Factura",0,IFERROR(_xlfn.XLOOKUP(1, (Facturas_Odoo!$D:$D=A101) * (Facturas_Odoo!$K:$K=I101), Facturas_Odoo!$N:$N, 0), 0))</f>
        <v/>
      </c>
      <c r="V101" s="79">
        <f>IF(Q101="Sin Factura",0,IFERROR(_xlfn.XLOOKUP(1, (Facturas_Odoo!$D:$D=A101) * (Facturas_Odoo!$K:$K=I101), Facturas_Odoo!$O:$O, 0), 0))</f>
        <v/>
      </c>
      <c r="W101" s="81">
        <f>IF(Q101="Sin Factura",0,IFERROR(_xlfn.XLOOKUP(1, (Facturas_Odoo!$D:$D=A101) * (Facturas_Odoo!$K:$K=I101), Facturas_Odoo!$Q:$Q, 0), 0))</f>
        <v/>
      </c>
      <c r="X101" s="79">
        <f>IF(OR(Q101="Sin Factura",Q101=""),"",IFERROR(INDEX(Pagos_Odoo!$B:$B, MATCH(Q101, Pagos_Odoo!$I:$I, 0)), "Sin Pago"))</f>
        <v/>
      </c>
      <c r="Y101" s="79">
        <f>IF(X101="Sin Pago","",IFERROR(INDEX(Pagos_Odoo!$C:$C, MATCH(X101, Pagos_Odoo!$B:$B, 0)), ""))</f>
        <v/>
      </c>
      <c r="Z101" s="80">
        <f>IF(X101="Sin Pago","",IFERROR(INDEX(Pagos_Odoo!$A:$A, MATCH(X101, Pagos_Odoo!$B:$B, 0)), ""))</f>
        <v/>
      </c>
      <c r="AA101" s="79">
        <f>IF(X101="Sin Pago","",IFERROR(INDEX(Pagos_Odoo!$F:$F, MATCH(X101, Pagos_Odoo!$B:$B, 0)), ""))</f>
        <v/>
      </c>
      <c r="AB101" s="81">
        <f>IF(X101="Sin Pago",0,IFERROR(INDEX(Pagos_Odoo!$E:$E, MATCH(X101, Pagos_Odoo!$B:$B, 0)), 0))</f>
        <v/>
      </c>
      <c r="AC101" s="79">
        <f>IF(X101="Sin Pago","",IFERROR(INDEX(Pagos_Odoo!$G:$G, MATCH(X101, Pagos_Odoo!$B:$B, 0)), ""))</f>
        <v/>
      </c>
      <c r="AD101" s="82" t="n">
        <v>0</v>
      </c>
      <c r="AE101" s="82" t="n"/>
      <c r="AF101" s="82" t="n"/>
      <c r="AG101" s="82">
        <f>IF(AN101="","",AD101+AE101+AF101)</f>
        <v/>
      </c>
      <c r="AH101" s="81">
        <f>IF(AN101="","",P101*(1-AG101))</f>
        <v/>
      </c>
      <c r="AI101" s="81">
        <f>IF(AN101="","",IF(Q101="Sin Factura",0,IFERROR(INDEX(Facturas_Odoo!$H:$H, MATCH(Q101, Facturas_Odoo!$B:$B, 0)), 0)*(1-AG101)))</f>
        <v/>
      </c>
      <c r="AJ101" s="81">
        <f>IF(AN101="","",_xlfn.LET(idVenta, AN101&amp;"",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1" s="81">
        <f>IF(AN101="","",AH101-AJ101)</f>
        <v/>
      </c>
      <c r="AL101" s="81">
        <f>IF(AN101="","",IF(Q101="Sin Factura","",AI101-AJ101))</f>
        <v/>
      </c>
      <c r="AM101" s="81">
        <f>IF(AN101="","",IF(Q101="Sin Factura",0,P101-IFERROR(INDEX(Facturas_Odoo!$H:$H, MATCH(Q101, Facturas_Odoo!$B:$B, 0)), 0)))</f>
        <v/>
      </c>
      <c r="AN101" s="79">
        <f>IF(AND(A101="", J101=""), "", IF(A101&lt;&gt;"", VALUE(MID(A101,2,LEN(A101))), AN100))</f>
        <v/>
      </c>
      <c r="AO101" s="79">
        <f>IF(AN101="","",IF(AD101=0,"OK",_xlfn.LET(monedaPago, IF(AA101="","USD",AA101), limitePermitido, IFERROR(VLOOKUP(monedaPago, Configuración!$A$2:$B$3, 2, FALSE), 0.15), IF(AD101&gt;limitePermitido, "ALERTA: EXCESO (" &amp; TEXT(limitePermitido, "0%") &amp; " máx)", "OK"))))</f>
        <v/>
      </c>
      <c r="AP101" s="79">
        <f>IF(AN101="","",IF(AE101=0,"OK",_xlfn.LET(fechaPago, Z101, fechaFactura, R101, diasCredito, IF(E101="Pago inmediato", 0, IFERROR(VALUE(MID(E101, 1, SEARCH(" ", E101)-1)),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1" s="79">
        <f>IF(AN101="","",IF(AND(N101&gt;0, AG101&gt;0), IF(Configuración!$K$2="NO", "ALERTA: DESCUENTO DOBLE NO PERMITIDO", "OK"), "OK"))</f>
        <v/>
      </c>
      <c r="AR101" s="79">
        <f>IF(AN101="","",IF(OR(AO101&lt;&gt;"OK", AP101&lt;&gt;"OK", AQ101&lt;&gt;"OK"), "⚠️ REVISAR", "OK"))</f>
        <v/>
      </c>
    </row>
    <row r="102">
      <c r="A102" s="79">
        <f>IF('Ordenes_Odoo'!A102="","",'Ordenes_Odoo'!A102)</f>
        <v/>
      </c>
      <c r="B102" s="80">
        <f>IF('Ordenes_Odoo'!B102="","",'Ordenes_Odoo'!B102)</f>
        <v/>
      </c>
      <c r="C102" s="79">
        <f>IF('Ordenes_Odoo'!C102="","",'Ordenes_Odoo'!C102)</f>
        <v/>
      </c>
      <c r="D102" s="79">
        <f>IF('Ordenes_Odoo'!D102="","",'Ordenes_Odoo'!D102)</f>
        <v/>
      </c>
      <c r="E102" s="79">
        <f>IF('Ordenes_Odoo'!E102="","",'Ordenes_Odoo'!E102)</f>
        <v/>
      </c>
      <c r="F102" s="79">
        <f>IF('Ordenes_Odoo'!F102="","",'Ordenes_Odoo'!F102)</f>
        <v/>
      </c>
      <c r="G102" s="79">
        <f>IF('Ordenes_Odoo'!G102="","",'Ordenes_Odoo'!G102)</f>
        <v/>
      </c>
      <c r="H102" s="79">
        <f>IF('Ordenes_Odoo'!H102="","",'Ordenes_Odoo'!H102)</f>
        <v/>
      </c>
      <c r="I102" s="79">
        <f>IF('Ordenes_Odoo'!I102="","",'Ordenes_Odoo'!I102)</f>
        <v/>
      </c>
      <c r="J102" s="79">
        <f>IF('Ordenes_Odoo'!J102="","",'Ordenes_Odoo'!J102)</f>
        <v/>
      </c>
      <c r="K102" s="81">
        <f>IF('Ordenes_Odoo'!K102="","",'Ordenes_Odoo'!K102)</f>
        <v/>
      </c>
      <c r="L102" s="81">
        <f>IF('Ordenes_Odoo'!L102="","",'Ordenes_Odoo'!L102)</f>
        <v/>
      </c>
      <c r="M102" s="79">
        <f>IF('Ordenes_Odoo'!M102="","",'Ordenes_Odoo'!M102)</f>
        <v/>
      </c>
      <c r="N102" s="79">
        <f>IF('Ordenes_Odoo'!N102="","",'Ordenes_Odoo'!N102)</f>
        <v/>
      </c>
      <c r="O102" s="81">
        <f>IF('Ordenes_Odoo'!O102="","",'Ordenes_Odoo'!O102)</f>
        <v/>
      </c>
      <c r="P102" s="81">
        <f>IF('Ordenes_Odoo'!P102="","",'Ordenes_Odoo'!P102)</f>
        <v/>
      </c>
      <c r="Q102" s="79">
        <f>IF(A102="","",IFERROR(INDEX(Facturas_Odoo!$B:$B, MATCH(A102, Facturas_Odoo!$D:$D, 0)), "Sin Factura"))</f>
        <v/>
      </c>
      <c r="R102" s="80">
        <f>IF(Q102="Sin Factura","",IFERROR(INDEX(Facturas_Odoo!$A:$A, MATCH(Q102, Facturas_Odoo!$B:$B, 0)), ""))</f>
        <v/>
      </c>
      <c r="S102" s="79">
        <f>IF(Q102="Sin Factura","",IFERROR(_xlfn.XLOOKUP(1, (Facturas_Odoo!$D:$D=A102) * (Facturas_Odoo!$K:$K=I102), Facturas_Odoo!$L:$L, ""), ""))</f>
        <v/>
      </c>
      <c r="T102" s="81">
        <f>IF(Q102="Sin Factura",0,IFERROR(_xlfn.XLOOKUP(1, (Facturas_Odoo!$D:$D=A102) * (Facturas_Odoo!$K:$K=I102), Facturas_Odoo!$M:$M, 0), 0))</f>
        <v/>
      </c>
      <c r="U102" s="79">
        <f>IF(Q102="Sin Factura",0,IFERROR(_xlfn.XLOOKUP(1, (Facturas_Odoo!$D:$D=A102) * (Facturas_Odoo!$K:$K=I102), Facturas_Odoo!$N:$N, 0), 0))</f>
        <v/>
      </c>
      <c r="V102" s="79">
        <f>IF(Q102="Sin Factura",0,IFERROR(_xlfn.XLOOKUP(1, (Facturas_Odoo!$D:$D=A102) * (Facturas_Odoo!$K:$K=I102), Facturas_Odoo!$O:$O, 0), 0))</f>
        <v/>
      </c>
      <c r="W102" s="81">
        <f>IF(Q102="Sin Factura",0,IFERROR(_xlfn.XLOOKUP(1, (Facturas_Odoo!$D:$D=A102) * (Facturas_Odoo!$K:$K=I102), Facturas_Odoo!$Q:$Q, 0), 0))</f>
        <v/>
      </c>
      <c r="X102" s="79">
        <f>IF(OR(Q102="Sin Factura",Q102=""),"",IFERROR(INDEX(Pagos_Odoo!$B:$B, MATCH(Q102, Pagos_Odoo!$I:$I, 0)), "Sin Pago"))</f>
        <v/>
      </c>
      <c r="Y102" s="79">
        <f>IF(X102="Sin Pago","",IFERROR(INDEX(Pagos_Odoo!$C:$C, MATCH(X102, Pagos_Odoo!$B:$B, 0)), ""))</f>
        <v/>
      </c>
      <c r="Z102" s="80">
        <f>IF(X102="Sin Pago","",IFERROR(INDEX(Pagos_Odoo!$A:$A, MATCH(X102, Pagos_Odoo!$B:$B, 0)), ""))</f>
        <v/>
      </c>
      <c r="AA102" s="79">
        <f>IF(X102="Sin Pago","",IFERROR(INDEX(Pagos_Odoo!$F:$F, MATCH(X102, Pagos_Odoo!$B:$B, 0)), ""))</f>
        <v/>
      </c>
      <c r="AB102" s="81">
        <f>IF(X102="Sin Pago",0,IFERROR(INDEX(Pagos_Odoo!$E:$E, MATCH(X102, Pagos_Odoo!$B:$B, 0)), 0))</f>
        <v/>
      </c>
      <c r="AC102" s="79">
        <f>IF(X102="Sin Pago","",IFERROR(INDEX(Pagos_Odoo!$G:$G, MATCH(X102, Pagos_Odoo!$B:$B, 0)), ""))</f>
        <v/>
      </c>
      <c r="AD102" s="82" t="n">
        <v>0</v>
      </c>
      <c r="AE102" s="82" t="n"/>
      <c r="AF102" s="82" t="n"/>
      <c r="AG102" s="82">
        <f>IF(AN102="","",AD102+AE102+AF102)</f>
        <v/>
      </c>
      <c r="AH102" s="81">
        <f>IF(AN102="","",P102*(1-AG102))</f>
        <v/>
      </c>
      <c r="AI102" s="81">
        <f>IF(AN102="","",IF(Q102="Sin Factura",0,IFERROR(INDEX(Facturas_Odoo!$H:$H, MATCH(Q102, Facturas_Odoo!$B:$B, 0)), 0)*(1-AG102)))</f>
        <v/>
      </c>
      <c r="AJ102" s="81">
        <f>IF(AN102="","",_xlfn.LET(idVenta, AN102&amp;"",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2" s="81">
        <f>IF(AN102="","",AH102-AJ102)</f>
        <v/>
      </c>
      <c r="AL102" s="81">
        <f>IF(AN102="","",IF(Q102="Sin Factura","",AI102-AJ102))</f>
        <v/>
      </c>
      <c r="AM102" s="81">
        <f>IF(AN102="","",IF(Q102="Sin Factura",0,P102-IFERROR(INDEX(Facturas_Odoo!$H:$H, MATCH(Q102, Facturas_Odoo!$B:$B, 0)), 0)))</f>
        <v/>
      </c>
      <c r="AN102" s="79">
        <f>IF(AND(A102="", J102=""), "", IF(A102&lt;&gt;"", VALUE(MID(A102,2,LEN(A102))), AN101))</f>
        <v/>
      </c>
      <c r="AO102" s="79">
        <f>IF(AN102="","",IF(AD102=0,"OK",_xlfn.LET(monedaPago, IF(AA102="","USD",AA102), limitePermitido, IFERROR(VLOOKUP(monedaPago, Configuración!$A$2:$B$3, 2, FALSE), 0.15), IF(AD102&gt;limitePermitido, "ALERTA: EXCESO (" &amp; TEXT(limitePermitido, "0%") &amp; " máx)", "OK"))))</f>
        <v/>
      </c>
      <c r="AP102" s="79">
        <f>IF(AN102="","",IF(AE102=0,"OK",_xlfn.LET(fechaPago, Z102, fechaFactura, R102, diasCredito, IF(E102="Pago inmediato", 0, IFERROR(VALUE(MID(E102, 1, SEARCH(" ", E102)-1)),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2" s="79">
        <f>IF(AN102="","",IF(AND(N102&gt;0, AG102&gt;0), IF(Configuración!$K$2="NO", "ALERTA: DESCUENTO DOBLE NO PERMITIDO", "OK"), "OK"))</f>
        <v/>
      </c>
      <c r="AR102" s="79">
        <f>IF(AN102="","",IF(OR(AO102&lt;&gt;"OK", AP102&lt;&gt;"OK", AQ102&lt;&gt;"OK"), "⚠️ REVISAR", "OK"))</f>
        <v/>
      </c>
    </row>
    <row r="103">
      <c r="A103" s="79">
        <f>IF('Ordenes_Odoo'!A103="","",'Ordenes_Odoo'!A103)</f>
        <v/>
      </c>
      <c r="B103" s="80">
        <f>IF('Ordenes_Odoo'!B103="","",'Ordenes_Odoo'!B103)</f>
        <v/>
      </c>
      <c r="C103" s="79">
        <f>IF('Ordenes_Odoo'!C103="","",'Ordenes_Odoo'!C103)</f>
        <v/>
      </c>
      <c r="D103" s="79">
        <f>IF('Ordenes_Odoo'!D103="","",'Ordenes_Odoo'!D103)</f>
        <v/>
      </c>
      <c r="E103" s="79">
        <f>IF('Ordenes_Odoo'!E103="","",'Ordenes_Odoo'!E103)</f>
        <v/>
      </c>
      <c r="F103" s="79">
        <f>IF('Ordenes_Odoo'!F103="","",'Ordenes_Odoo'!F103)</f>
        <v/>
      </c>
      <c r="G103" s="79">
        <f>IF('Ordenes_Odoo'!G103="","",'Ordenes_Odoo'!G103)</f>
        <v/>
      </c>
      <c r="H103" s="79">
        <f>IF('Ordenes_Odoo'!H103="","",'Ordenes_Odoo'!H103)</f>
        <v/>
      </c>
      <c r="I103" s="79">
        <f>IF('Ordenes_Odoo'!I103="","",'Ordenes_Odoo'!I103)</f>
        <v/>
      </c>
      <c r="J103" s="79">
        <f>IF('Ordenes_Odoo'!J103="","",'Ordenes_Odoo'!J103)</f>
        <v/>
      </c>
      <c r="K103" s="81">
        <f>IF('Ordenes_Odoo'!K103="","",'Ordenes_Odoo'!K103)</f>
        <v/>
      </c>
      <c r="L103" s="81">
        <f>IF('Ordenes_Odoo'!L103="","",'Ordenes_Odoo'!L103)</f>
        <v/>
      </c>
      <c r="M103" s="79">
        <f>IF('Ordenes_Odoo'!M103="","",'Ordenes_Odoo'!M103)</f>
        <v/>
      </c>
      <c r="N103" s="79">
        <f>IF('Ordenes_Odoo'!N103="","",'Ordenes_Odoo'!N103)</f>
        <v/>
      </c>
      <c r="O103" s="81">
        <f>IF('Ordenes_Odoo'!O103="","",'Ordenes_Odoo'!O103)</f>
        <v/>
      </c>
      <c r="P103" s="81">
        <f>IF('Ordenes_Odoo'!P103="","",'Ordenes_Odoo'!P103)</f>
        <v/>
      </c>
      <c r="Q103" s="79">
        <f>IF(A103="","",IFERROR(INDEX(Facturas_Odoo!$B:$B, MATCH(A103, Facturas_Odoo!$D:$D, 0)), "Sin Factura"))</f>
        <v/>
      </c>
      <c r="R103" s="80">
        <f>IF(Q103="Sin Factura","",IFERROR(INDEX(Facturas_Odoo!$A:$A, MATCH(Q103, Facturas_Odoo!$B:$B, 0)), ""))</f>
        <v/>
      </c>
      <c r="S103" s="79">
        <f>IF(Q103="Sin Factura","",IFERROR(_xlfn.XLOOKUP(1, (Facturas_Odoo!$D:$D=A103) * (Facturas_Odoo!$K:$K=I103), Facturas_Odoo!$L:$L, ""), ""))</f>
        <v/>
      </c>
      <c r="T103" s="81">
        <f>IF(Q103="Sin Factura",0,IFERROR(_xlfn.XLOOKUP(1, (Facturas_Odoo!$D:$D=A103) * (Facturas_Odoo!$K:$K=I103), Facturas_Odoo!$M:$M, 0), 0))</f>
        <v/>
      </c>
      <c r="U103" s="79">
        <f>IF(Q103="Sin Factura",0,IFERROR(_xlfn.XLOOKUP(1, (Facturas_Odoo!$D:$D=A103) * (Facturas_Odoo!$K:$K=I103), Facturas_Odoo!$N:$N, 0), 0))</f>
        <v/>
      </c>
      <c r="V103" s="79">
        <f>IF(Q103="Sin Factura",0,IFERROR(_xlfn.XLOOKUP(1, (Facturas_Odoo!$D:$D=A103) * (Facturas_Odoo!$K:$K=I103), Facturas_Odoo!$O:$O, 0), 0))</f>
        <v/>
      </c>
      <c r="W103" s="81">
        <f>IF(Q103="Sin Factura",0,IFERROR(_xlfn.XLOOKUP(1, (Facturas_Odoo!$D:$D=A103) * (Facturas_Odoo!$K:$K=I103), Facturas_Odoo!$Q:$Q, 0), 0))</f>
        <v/>
      </c>
      <c r="X103" s="79">
        <f>IF(OR(Q103="Sin Factura",Q103=""),"",IFERROR(INDEX(Pagos_Odoo!$B:$B, MATCH(Q103, Pagos_Odoo!$I:$I, 0)), "Sin Pago"))</f>
        <v/>
      </c>
      <c r="Y103" s="79">
        <f>IF(X103="Sin Pago","",IFERROR(INDEX(Pagos_Odoo!$C:$C, MATCH(X103, Pagos_Odoo!$B:$B, 0)), ""))</f>
        <v/>
      </c>
      <c r="Z103" s="80">
        <f>IF(X103="Sin Pago","",IFERROR(INDEX(Pagos_Odoo!$A:$A, MATCH(X103, Pagos_Odoo!$B:$B, 0)), ""))</f>
        <v/>
      </c>
      <c r="AA103" s="79">
        <f>IF(X103="Sin Pago","",IFERROR(INDEX(Pagos_Odoo!$F:$F, MATCH(X103, Pagos_Odoo!$B:$B, 0)), ""))</f>
        <v/>
      </c>
      <c r="AB103" s="81">
        <f>IF(X103="Sin Pago",0,IFERROR(INDEX(Pagos_Odoo!$E:$E, MATCH(X103, Pagos_Odoo!$B:$B, 0)), 0))</f>
        <v/>
      </c>
      <c r="AC103" s="79">
        <f>IF(X103="Sin Pago","",IFERROR(INDEX(Pagos_Odoo!$G:$G, MATCH(X103, Pagos_Odoo!$B:$B, 0)), ""))</f>
        <v/>
      </c>
      <c r="AD103" s="82" t="n">
        <v>0</v>
      </c>
      <c r="AE103" s="82" t="n"/>
      <c r="AF103" s="82" t="n"/>
      <c r="AG103" s="82">
        <f>IF(AN103="","",AD103+AE103+AF103)</f>
        <v/>
      </c>
      <c r="AH103" s="81">
        <f>IF(AN103="","",P103*(1-AG103))</f>
        <v/>
      </c>
      <c r="AI103" s="81">
        <f>IF(AN103="","",IF(Q103="Sin Factura",0,IFERROR(INDEX(Facturas_Odoo!$H:$H, MATCH(Q103, Facturas_Odoo!$B:$B, 0)), 0)*(1-AG103)))</f>
        <v/>
      </c>
      <c r="AJ103" s="81">
        <f>IF(AN103="","",_xlfn.LET(idVenta, AN103&amp;"",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3" s="81">
        <f>IF(AN103="","",AH103-AJ103)</f>
        <v/>
      </c>
      <c r="AL103" s="81">
        <f>IF(AN103="","",IF(Q103="Sin Factura","",AI103-AJ103))</f>
        <v/>
      </c>
      <c r="AM103" s="81">
        <f>IF(AN103="","",IF(Q103="Sin Factura",0,P103-IFERROR(INDEX(Facturas_Odoo!$H:$H, MATCH(Q103, Facturas_Odoo!$B:$B, 0)), 0)))</f>
        <v/>
      </c>
      <c r="AN103" s="79">
        <f>IF(AND(A103="", J103=""), "", IF(A103&lt;&gt;"", VALUE(MID(A103,2,LEN(A103))), AN102))</f>
        <v/>
      </c>
      <c r="AO103" s="79">
        <f>IF(AN103="","",IF(AD103=0,"OK",_xlfn.LET(monedaPago, IF(AA103="","USD",AA103), limitePermitido, IFERROR(VLOOKUP(monedaPago, Configuración!$A$2:$B$3, 2, FALSE), 0.15), IF(AD103&gt;limitePermitido, "ALERTA: EXCESO (" &amp; TEXT(limitePermitido, "0%") &amp; " máx)", "OK"))))</f>
        <v/>
      </c>
      <c r="AP103" s="79">
        <f>IF(AN103="","",IF(AE103=0,"OK",_xlfn.LET(fechaPago, Z103, fechaFactura, R103, diasCredito, IF(E103="Pago inmediato", 0, IFERROR(VALUE(MID(E103, 1, SEARCH(" ", E103)-1)),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3" s="79">
        <f>IF(AN103="","",IF(AND(N103&gt;0, AG103&gt;0), IF(Configuración!$K$2="NO", "ALERTA: DESCUENTO DOBLE NO PERMITIDO", "OK"), "OK"))</f>
        <v/>
      </c>
      <c r="AR103" s="79">
        <f>IF(AN103="","",IF(OR(AO103&lt;&gt;"OK", AP103&lt;&gt;"OK", AQ103&lt;&gt;"OK"), "⚠️ REVISAR", "OK"))</f>
        <v/>
      </c>
    </row>
    <row r="104">
      <c r="A104" s="79">
        <f>IF('Ordenes_Odoo'!A104="","",'Ordenes_Odoo'!A104)</f>
        <v/>
      </c>
      <c r="B104" s="80">
        <f>IF('Ordenes_Odoo'!B104="","",'Ordenes_Odoo'!B104)</f>
        <v/>
      </c>
      <c r="C104" s="79">
        <f>IF('Ordenes_Odoo'!C104="","",'Ordenes_Odoo'!C104)</f>
        <v/>
      </c>
      <c r="D104" s="79">
        <f>IF('Ordenes_Odoo'!D104="","",'Ordenes_Odoo'!D104)</f>
        <v/>
      </c>
      <c r="E104" s="79">
        <f>IF('Ordenes_Odoo'!E104="","",'Ordenes_Odoo'!E104)</f>
        <v/>
      </c>
      <c r="F104" s="79">
        <f>IF('Ordenes_Odoo'!F104="","",'Ordenes_Odoo'!F104)</f>
        <v/>
      </c>
      <c r="G104" s="79">
        <f>IF('Ordenes_Odoo'!G104="","",'Ordenes_Odoo'!G104)</f>
        <v/>
      </c>
      <c r="H104" s="79">
        <f>IF('Ordenes_Odoo'!H104="","",'Ordenes_Odoo'!H104)</f>
        <v/>
      </c>
      <c r="I104" s="79">
        <f>IF('Ordenes_Odoo'!I104="","",'Ordenes_Odoo'!I104)</f>
        <v/>
      </c>
      <c r="J104" s="79">
        <f>IF('Ordenes_Odoo'!J104="","",'Ordenes_Odoo'!J104)</f>
        <v/>
      </c>
      <c r="K104" s="81">
        <f>IF('Ordenes_Odoo'!K104="","",'Ordenes_Odoo'!K104)</f>
        <v/>
      </c>
      <c r="L104" s="81">
        <f>IF('Ordenes_Odoo'!L104="","",'Ordenes_Odoo'!L104)</f>
        <v/>
      </c>
      <c r="M104" s="79">
        <f>IF('Ordenes_Odoo'!M104="","",'Ordenes_Odoo'!M104)</f>
        <v/>
      </c>
      <c r="N104" s="79">
        <f>IF('Ordenes_Odoo'!N104="","",'Ordenes_Odoo'!N104)</f>
        <v/>
      </c>
      <c r="O104" s="81">
        <f>IF('Ordenes_Odoo'!O104="","",'Ordenes_Odoo'!O104)</f>
        <v/>
      </c>
      <c r="P104" s="81">
        <f>IF('Ordenes_Odoo'!P104="","",'Ordenes_Odoo'!P104)</f>
        <v/>
      </c>
      <c r="Q104" s="79">
        <f>IF(A104="","",IFERROR(INDEX(Facturas_Odoo!$B:$B, MATCH(A104, Facturas_Odoo!$D:$D, 0)), "Sin Factura"))</f>
        <v/>
      </c>
      <c r="R104" s="80">
        <f>IF(Q104="Sin Factura","",IFERROR(INDEX(Facturas_Odoo!$A:$A, MATCH(Q104, Facturas_Odoo!$B:$B, 0)), ""))</f>
        <v/>
      </c>
      <c r="S104" s="79">
        <f>IF(Q104="Sin Factura","",IFERROR(_xlfn.XLOOKUP(1, (Facturas_Odoo!$D:$D=A104) * (Facturas_Odoo!$K:$K=I104), Facturas_Odoo!$L:$L, ""), ""))</f>
        <v/>
      </c>
      <c r="T104" s="81">
        <f>IF(Q104="Sin Factura",0,IFERROR(_xlfn.XLOOKUP(1, (Facturas_Odoo!$D:$D=A104) * (Facturas_Odoo!$K:$K=I104), Facturas_Odoo!$M:$M, 0), 0))</f>
        <v/>
      </c>
      <c r="U104" s="79">
        <f>IF(Q104="Sin Factura",0,IFERROR(_xlfn.XLOOKUP(1, (Facturas_Odoo!$D:$D=A104) * (Facturas_Odoo!$K:$K=I104), Facturas_Odoo!$N:$N, 0), 0))</f>
        <v/>
      </c>
      <c r="V104" s="79">
        <f>IF(Q104="Sin Factura",0,IFERROR(_xlfn.XLOOKUP(1, (Facturas_Odoo!$D:$D=A104) * (Facturas_Odoo!$K:$K=I104), Facturas_Odoo!$O:$O, 0), 0))</f>
        <v/>
      </c>
      <c r="W104" s="81">
        <f>IF(Q104="Sin Factura",0,IFERROR(_xlfn.XLOOKUP(1, (Facturas_Odoo!$D:$D=A104) * (Facturas_Odoo!$K:$K=I104), Facturas_Odoo!$Q:$Q, 0), 0))</f>
        <v/>
      </c>
      <c r="X104" s="79">
        <f>IF(OR(Q104="Sin Factura",Q104=""),"",IFERROR(INDEX(Pagos_Odoo!$B:$B, MATCH(Q104, Pagos_Odoo!$I:$I, 0)), "Sin Pago"))</f>
        <v/>
      </c>
      <c r="Y104" s="79">
        <f>IF(X104="Sin Pago","",IFERROR(INDEX(Pagos_Odoo!$C:$C, MATCH(X104, Pagos_Odoo!$B:$B, 0)), ""))</f>
        <v/>
      </c>
      <c r="Z104" s="80">
        <f>IF(X104="Sin Pago","",IFERROR(INDEX(Pagos_Odoo!$A:$A, MATCH(X104, Pagos_Odoo!$B:$B, 0)), ""))</f>
        <v/>
      </c>
      <c r="AA104" s="79">
        <f>IF(X104="Sin Pago","",IFERROR(INDEX(Pagos_Odoo!$F:$F, MATCH(X104, Pagos_Odoo!$B:$B, 0)), ""))</f>
        <v/>
      </c>
      <c r="AB104" s="81">
        <f>IF(X104="Sin Pago",0,IFERROR(INDEX(Pagos_Odoo!$E:$E, MATCH(X104, Pagos_Odoo!$B:$B, 0)), 0))</f>
        <v/>
      </c>
      <c r="AC104" s="79">
        <f>IF(X104="Sin Pago","",IFERROR(INDEX(Pagos_Odoo!$G:$G, MATCH(X104, Pagos_Odoo!$B:$B, 0)), ""))</f>
        <v/>
      </c>
      <c r="AD104" s="82" t="n">
        <v>0</v>
      </c>
      <c r="AE104" s="82" t="n"/>
      <c r="AF104" s="82" t="n"/>
      <c r="AG104" s="82">
        <f>IF(AN104="","",AD104+AE104+AF104)</f>
        <v/>
      </c>
      <c r="AH104" s="81">
        <f>IF(AN104="","",P104*(1-AG104))</f>
        <v/>
      </c>
      <c r="AI104" s="81">
        <f>IF(AN104="","",IF(Q104="Sin Factura",0,IFERROR(INDEX(Facturas_Odoo!$H:$H, MATCH(Q104, Facturas_Odoo!$B:$B, 0)), 0)*(1-AG104)))</f>
        <v/>
      </c>
      <c r="AJ104" s="81">
        <f>IF(AN104="","",_xlfn.LET(idVenta, AN104&amp;"",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4" s="81">
        <f>IF(AN104="","",AH104-AJ104)</f>
        <v/>
      </c>
      <c r="AL104" s="81">
        <f>IF(AN104="","",IF(Q104="Sin Factura","",AI104-AJ104))</f>
        <v/>
      </c>
      <c r="AM104" s="81">
        <f>IF(AN104="","",IF(Q104="Sin Factura",0,P104-IFERROR(INDEX(Facturas_Odoo!$H:$H, MATCH(Q104, Facturas_Odoo!$B:$B, 0)), 0)))</f>
        <v/>
      </c>
      <c r="AN104" s="79">
        <f>IF(AND(A104="", J104=""), "", IF(A104&lt;&gt;"", VALUE(MID(A104,2,LEN(A104))), AN103))</f>
        <v/>
      </c>
      <c r="AO104" s="79">
        <f>IF(AN104="","",IF(AD104=0,"OK",_xlfn.LET(monedaPago, IF(AA104="","USD",AA104), limitePermitido, IFERROR(VLOOKUP(monedaPago, Configuración!$A$2:$B$3, 2, FALSE), 0.15), IF(AD104&gt;limitePermitido, "ALERTA: EXCESO (" &amp; TEXT(limitePermitido, "0%") &amp; " máx)", "OK"))))</f>
        <v/>
      </c>
      <c r="AP104" s="79">
        <f>IF(AN104="","",IF(AE104=0,"OK",_xlfn.LET(fechaPago, Z104, fechaFactura, R104, diasCredito, IF(E104="Pago inmediato", 0, IFERROR(VALUE(MID(E104, 1, SEARCH(" ", E104)-1)),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4" s="79">
        <f>IF(AN104="","",IF(AND(N104&gt;0, AG104&gt;0), IF(Configuración!$K$2="NO", "ALERTA: DESCUENTO DOBLE NO PERMITIDO", "OK"), "OK"))</f>
        <v/>
      </c>
      <c r="AR104" s="79">
        <f>IF(AN104="","",IF(OR(AO104&lt;&gt;"OK", AP104&lt;&gt;"OK", AQ104&lt;&gt;"OK"), "⚠️ REVISAR", "OK"))</f>
        <v/>
      </c>
    </row>
    <row r="105">
      <c r="A105" s="79">
        <f>IF('Ordenes_Odoo'!A105="","",'Ordenes_Odoo'!A105)</f>
        <v/>
      </c>
      <c r="B105" s="80">
        <f>IF('Ordenes_Odoo'!B105="","",'Ordenes_Odoo'!B105)</f>
        <v/>
      </c>
      <c r="C105" s="79">
        <f>IF('Ordenes_Odoo'!C105="","",'Ordenes_Odoo'!C105)</f>
        <v/>
      </c>
      <c r="D105" s="79">
        <f>IF('Ordenes_Odoo'!D105="","",'Ordenes_Odoo'!D105)</f>
        <v/>
      </c>
      <c r="E105" s="79">
        <f>IF('Ordenes_Odoo'!E105="","",'Ordenes_Odoo'!E105)</f>
        <v/>
      </c>
      <c r="F105" s="79">
        <f>IF('Ordenes_Odoo'!F105="","",'Ordenes_Odoo'!F105)</f>
        <v/>
      </c>
      <c r="G105" s="79">
        <f>IF('Ordenes_Odoo'!G105="","",'Ordenes_Odoo'!G105)</f>
        <v/>
      </c>
      <c r="H105" s="79">
        <f>IF('Ordenes_Odoo'!H105="","",'Ordenes_Odoo'!H105)</f>
        <v/>
      </c>
      <c r="I105" s="79">
        <f>IF('Ordenes_Odoo'!I105="","",'Ordenes_Odoo'!I105)</f>
        <v/>
      </c>
      <c r="J105" s="79">
        <f>IF('Ordenes_Odoo'!J105="","",'Ordenes_Odoo'!J105)</f>
        <v/>
      </c>
      <c r="K105" s="81">
        <f>IF('Ordenes_Odoo'!K105="","",'Ordenes_Odoo'!K105)</f>
        <v/>
      </c>
      <c r="L105" s="81">
        <f>IF('Ordenes_Odoo'!L105="","",'Ordenes_Odoo'!L105)</f>
        <v/>
      </c>
      <c r="M105" s="79">
        <f>IF('Ordenes_Odoo'!M105="","",'Ordenes_Odoo'!M105)</f>
        <v/>
      </c>
      <c r="N105" s="79">
        <f>IF('Ordenes_Odoo'!N105="","",'Ordenes_Odoo'!N105)</f>
        <v/>
      </c>
      <c r="O105" s="81">
        <f>IF('Ordenes_Odoo'!O105="","",'Ordenes_Odoo'!O105)</f>
        <v/>
      </c>
      <c r="P105" s="81">
        <f>IF('Ordenes_Odoo'!P105="","",'Ordenes_Odoo'!P105)</f>
        <v/>
      </c>
      <c r="Q105" s="79">
        <f>IF(A105="","",IFERROR(INDEX(Facturas_Odoo!$B:$B, MATCH(A105, Facturas_Odoo!$D:$D, 0)), "Sin Factura"))</f>
        <v/>
      </c>
      <c r="R105" s="80">
        <f>IF(Q105="Sin Factura","",IFERROR(INDEX(Facturas_Odoo!$A:$A, MATCH(Q105, Facturas_Odoo!$B:$B, 0)), ""))</f>
        <v/>
      </c>
      <c r="S105" s="79">
        <f>IF(Q105="Sin Factura","",IFERROR(_xlfn.XLOOKUP(1, (Facturas_Odoo!$D:$D=A105) * (Facturas_Odoo!$K:$K=I105), Facturas_Odoo!$L:$L, ""), ""))</f>
        <v/>
      </c>
      <c r="T105" s="81">
        <f>IF(Q105="Sin Factura",0,IFERROR(_xlfn.XLOOKUP(1, (Facturas_Odoo!$D:$D=A105) * (Facturas_Odoo!$K:$K=I105), Facturas_Odoo!$M:$M, 0), 0))</f>
        <v/>
      </c>
      <c r="U105" s="79">
        <f>IF(Q105="Sin Factura",0,IFERROR(_xlfn.XLOOKUP(1, (Facturas_Odoo!$D:$D=A105) * (Facturas_Odoo!$K:$K=I105), Facturas_Odoo!$N:$N, 0), 0))</f>
        <v/>
      </c>
      <c r="V105" s="79">
        <f>IF(Q105="Sin Factura",0,IFERROR(_xlfn.XLOOKUP(1, (Facturas_Odoo!$D:$D=A105) * (Facturas_Odoo!$K:$K=I105), Facturas_Odoo!$O:$O, 0), 0))</f>
        <v/>
      </c>
      <c r="W105" s="81">
        <f>IF(Q105="Sin Factura",0,IFERROR(_xlfn.XLOOKUP(1, (Facturas_Odoo!$D:$D=A105) * (Facturas_Odoo!$K:$K=I105), Facturas_Odoo!$Q:$Q, 0), 0))</f>
        <v/>
      </c>
      <c r="X105" s="79">
        <f>IF(OR(Q105="Sin Factura",Q105=""),"",IFERROR(INDEX(Pagos_Odoo!$B:$B, MATCH(Q105, Pagos_Odoo!$I:$I, 0)), "Sin Pago"))</f>
        <v/>
      </c>
      <c r="Y105" s="79">
        <f>IF(X105="Sin Pago","",IFERROR(INDEX(Pagos_Odoo!$C:$C, MATCH(X105, Pagos_Odoo!$B:$B, 0)), ""))</f>
        <v/>
      </c>
      <c r="Z105" s="80">
        <f>IF(X105="Sin Pago","",IFERROR(INDEX(Pagos_Odoo!$A:$A, MATCH(X105, Pagos_Odoo!$B:$B, 0)), ""))</f>
        <v/>
      </c>
      <c r="AA105" s="79">
        <f>IF(X105="Sin Pago","",IFERROR(INDEX(Pagos_Odoo!$F:$F, MATCH(X105, Pagos_Odoo!$B:$B, 0)), ""))</f>
        <v/>
      </c>
      <c r="AB105" s="81">
        <f>IF(X105="Sin Pago",0,IFERROR(INDEX(Pagos_Odoo!$E:$E, MATCH(X105, Pagos_Odoo!$B:$B, 0)), 0))</f>
        <v/>
      </c>
      <c r="AC105" s="79">
        <f>IF(X105="Sin Pago","",IFERROR(INDEX(Pagos_Odoo!$G:$G, MATCH(X105, Pagos_Odoo!$B:$B, 0)), ""))</f>
        <v/>
      </c>
      <c r="AD105" s="82" t="n">
        <v>0</v>
      </c>
      <c r="AE105" s="82" t="n"/>
      <c r="AF105" s="82" t="n"/>
      <c r="AG105" s="82">
        <f>IF(AN105="","",AD105+AE105+AF105)</f>
        <v/>
      </c>
      <c r="AH105" s="81">
        <f>IF(AN105="","",P105*(1-AG105))</f>
        <v/>
      </c>
      <c r="AI105" s="81">
        <f>IF(AN105="","",IF(Q105="Sin Factura",0,IFERROR(INDEX(Facturas_Odoo!$H:$H, MATCH(Q105, Facturas_Odoo!$B:$B, 0)), 0)*(1-AG105)))</f>
        <v/>
      </c>
      <c r="AJ105" s="81">
        <f>IF(AN105="","",_xlfn.LET(idVenta, AN105&amp;"",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5" s="81">
        <f>IF(AN105="","",AH105-AJ105)</f>
        <v/>
      </c>
      <c r="AL105" s="81">
        <f>IF(AN105="","",IF(Q105="Sin Factura","",AI105-AJ105))</f>
        <v/>
      </c>
      <c r="AM105" s="81">
        <f>IF(AN105="","",IF(Q105="Sin Factura",0,P105-IFERROR(INDEX(Facturas_Odoo!$H:$H, MATCH(Q105, Facturas_Odoo!$B:$B, 0)), 0)))</f>
        <v/>
      </c>
      <c r="AN105" s="79">
        <f>IF(AND(A105="", J105=""), "", IF(A105&lt;&gt;"", VALUE(MID(A105,2,LEN(A105))), AN104))</f>
        <v/>
      </c>
      <c r="AO105" s="79">
        <f>IF(AN105="","",IF(AD105=0,"OK",_xlfn.LET(monedaPago, IF(AA105="","USD",AA105), limitePermitido, IFERROR(VLOOKUP(monedaPago, Configuración!$A$2:$B$3, 2, FALSE), 0.15), IF(AD105&gt;limitePermitido, "ALERTA: EXCESO (" &amp; TEXT(limitePermitido, "0%") &amp; " máx)", "OK"))))</f>
        <v/>
      </c>
      <c r="AP105" s="79">
        <f>IF(AN105="","",IF(AE105=0,"OK",_xlfn.LET(fechaPago, Z105, fechaFactura, R105, diasCredito, IF(E105="Pago inmediato", 0, IFERROR(VALUE(MID(E105, 1, SEARCH(" ", E105)-1)),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5" s="79">
        <f>IF(AN105="","",IF(AND(N105&gt;0, AG105&gt;0), IF(Configuración!$K$2="NO", "ALERTA: DESCUENTO DOBLE NO PERMITIDO", "OK"), "OK"))</f>
        <v/>
      </c>
      <c r="AR105" s="79">
        <f>IF(AN105="","",IF(OR(AO105&lt;&gt;"OK", AP105&lt;&gt;"OK", AQ105&lt;&gt;"OK"), "⚠️ REVISAR", "OK"))</f>
        <v/>
      </c>
    </row>
    <row r="106">
      <c r="A106" s="79">
        <f>IF('Ordenes_Odoo'!A106="","",'Ordenes_Odoo'!A106)</f>
        <v/>
      </c>
      <c r="B106" s="80">
        <f>IF('Ordenes_Odoo'!B106="","",'Ordenes_Odoo'!B106)</f>
        <v/>
      </c>
      <c r="C106" s="79">
        <f>IF('Ordenes_Odoo'!C106="","",'Ordenes_Odoo'!C106)</f>
        <v/>
      </c>
      <c r="D106" s="79">
        <f>IF('Ordenes_Odoo'!D106="","",'Ordenes_Odoo'!D106)</f>
        <v/>
      </c>
      <c r="E106" s="79">
        <f>IF('Ordenes_Odoo'!E106="","",'Ordenes_Odoo'!E106)</f>
        <v/>
      </c>
      <c r="F106" s="79">
        <f>IF('Ordenes_Odoo'!F106="","",'Ordenes_Odoo'!F106)</f>
        <v/>
      </c>
      <c r="G106" s="79">
        <f>IF('Ordenes_Odoo'!G106="","",'Ordenes_Odoo'!G106)</f>
        <v/>
      </c>
      <c r="H106" s="79">
        <f>IF('Ordenes_Odoo'!H106="","",'Ordenes_Odoo'!H106)</f>
        <v/>
      </c>
      <c r="I106" s="79">
        <f>IF('Ordenes_Odoo'!I106="","",'Ordenes_Odoo'!I106)</f>
        <v/>
      </c>
      <c r="J106" s="79">
        <f>IF('Ordenes_Odoo'!J106="","",'Ordenes_Odoo'!J106)</f>
        <v/>
      </c>
      <c r="K106" s="81">
        <f>IF('Ordenes_Odoo'!K106="","",'Ordenes_Odoo'!K106)</f>
        <v/>
      </c>
      <c r="L106" s="81">
        <f>IF('Ordenes_Odoo'!L106="","",'Ordenes_Odoo'!L106)</f>
        <v/>
      </c>
      <c r="M106" s="79">
        <f>IF('Ordenes_Odoo'!M106="","",'Ordenes_Odoo'!M106)</f>
        <v/>
      </c>
      <c r="N106" s="79">
        <f>IF('Ordenes_Odoo'!N106="","",'Ordenes_Odoo'!N106)</f>
        <v/>
      </c>
      <c r="O106" s="81">
        <f>IF('Ordenes_Odoo'!O106="","",'Ordenes_Odoo'!O106)</f>
        <v/>
      </c>
      <c r="P106" s="81">
        <f>IF('Ordenes_Odoo'!P106="","",'Ordenes_Odoo'!P106)</f>
        <v/>
      </c>
      <c r="Q106" s="79">
        <f>IF(A106="","",IFERROR(INDEX(Facturas_Odoo!$B:$B, MATCH(A106, Facturas_Odoo!$D:$D, 0)), "Sin Factura"))</f>
        <v/>
      </c>
      <c r="R106" s="80">
        <f>IF(Q106="Sin Factura","",IFERROR(INDEX(Facturas_Odoo!$A:$A, MATCH(Q106, Facturas_Odoo!$B:$B, 0)), ""))</f>
        <v/>
      </c>
      <c r="S106" s="79">
        <f>IF(Q106="Sin Factura","",IFERROR(_xlfn.XLOOKUP(1, (Facturas_Odoo!$D:$D=A106) * (Facturas_Odoo!$K:$K=I106), Facturas_Odoo!$L:$L, ""), ""))</f>
        <v/>
      </c>
      <c r="T106" s="81">
        <f>IF(Q106="Sin Factura",0,IFERROR(_xlfn.XLOOKUP(1, (Facturas_Odoo!$D:$D=A106) * (Facturas_Odoo!$K:$K=I106), Facturas_Odoo!$M:$M, 0), 0))</f>
        <v/>
      </c>
      <c r="U106" s="79">
        <f>IF(Q106="Sin Factura",0,IFERROR(_xlfn.XLOOKUP(1, (Facturas_Odoo!$D:$D=A106) * (Facturas_Odoo!$K:$K=I106), Facturas_Odoo!$N:$N, 0), 0))</f>
        <v/>
      </c>
      <c r="V106" s="79">
        <f>IF(Q106="Sin Factura",0,IFERROR(_xlfn.XLOOKUP(1, (Facturas_Odoo!$D:$D=A106) * (Facturas_Odoo!$K:$K=I106), Facturas_Odoo!$O:$O, 0), 0))</f>
        <v/>
      </c>
      <c r="W106" s="81">
        <f>IF(Q106="Sin Factura",0,IFERROR(_xlfn.XLOOKUP(1, (Facturas_Odoo!$D:$D=A106) * (Facturas_Odoo!$K:$K=I106), Facturas_Odoo!$Q:$Q, 0), 0))</f>
        <v/>
      </c>
      <c r="X106" s="79">
        <f>IF(OR(Q106="Sin Factura",Q106=""),"",IFERROR(INDEX(Pagos_Odoo!$B:$B, MATCH(Q106, Pagos_Odoo!$I:$I, 0)), "Sin Pago"))</f>
        <v/>
      </c>
      <c r="Y106" s="79">
        <f>IF(X106="Sin Pago","",IFERROR(INDEX(Pagos_Odoo!$C:$C, MATCH(X106, Pagos_Odoo!$B:$B, 0)), ""))</f>
        <v/>
      </c>
      <c r="Z106" s="80">
        <f>IF(X106="Sin Pago","",IFERROR(INDEX(Pagos_Odoo!$A:$A, MATCH(X106, Pagos_Odoo!$B:$B, 0)), ""))</f>
        <v/>
      </c>
      <c r="AA106" s="79">
        <f>IF(X106="Sin Pago","",IFERROR(INDEX(Pagos_Odoo!$F:$F, MATCH(X106, Pagos_Odoo!$B:$B, 0)), ""))</f>
        <v/>
      </c>
      <c r="AB106" s="81">
        <f>IF(X106="Sin Pago",0,IFERROR(INDEX(Pagos_Odoo!$E:$E, MATCH(X106, Pagos_Odoo!$B:$B, 0)), 0))</f>
        <v/>
      </c>
      <c r="AC106" s="79">
        <f>IF(X106="Sin Pago","",IFERROR(INDEX(Pagos_Odoo!$G:$G, MATCH(X106, Pagos_Odoo!$B:$B, 0)), ""))</f>
        <v/>
      </c>
      <c r="AD106" s="82" t="n">
        <v>0</v>
      </c>
      <c r="AE106" s="82" t="n"/>
      <c r="AF106" s="82" t="n"/>
      <c r="AG106" s="82">
        <f>IF(AN106="","",AD106+AE106+AF106)</f>
        <v/>
      </c>
      <c r="AH106" s="81">
        <f>IF(AN106="","",P106*(1-AG106))</f>
        <v/>
      </c>
      <c r="AI106" s="81">
        <f>IF(AN106="","",IF(Q106="Sin Factura",0,IFERROR(INDEX(Facturas_Odoo!$H:$H, MATCH(Q106, Facturas_Odoo!$B:$B, 0)), 0)*(1-AG106)))</f>
        <v/>
      </c>
      <c r="AJ106" s="81">
        <f>IF(AN106="","",_xlfn.LET(idVenta, AN106&amp;"",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6" s="81">
        <f>IF(AN106="","",AH106-AJ106)</f>
        <v/>
      </c>
      <c r="AL106" s="81">
        <f>IF(AN106="","",IF(Q106="Sin Factura","",AI106-AJ106))</f>
        <v/>
      </c>
      <c r="AM106" s="81">
        <f>IF(AN106="","",IF(Q106="Sin Factura",0,P106-IFERROR(INDEX(Facturas_Odoo!$H:$H, MATCH(Q106, Facturas_Odoo!$B:$B, 0)), 0)))</f>
        <v/>
      </c>
      <c r="AN106" s="79">
        <f>IF(AND(A106="", J106=""), "", IF(A106&lt;&gt;"", VALUE(MID(A106,2,LEN(A106))), AN105))</f>
        <v/>
      </c>
      <c r="AO106" s="79">
        <f>IF(AN106="","",IF(AD106=0,"OK",_xlfn.LET(monedaPago, IF(AA106="","USD",AA106), limitePermitido, IFERROR(VLOOKUP(monedaPago, Configuración!$A$2:$B$3, 2, FALSE), 0.15), IF(AD106&gt;limitePermitido, "ALERTA: EXCESO (" &amp; TEXT(limitePermitido, "0%") &amp; " máx)", "OK"))))</f>
        <v/>
      </c>
      <c r="AP106" s="79">
        <f>IF(AN106="","",IF(AE106=0,"OK",_xlfn.LET(fechaPago, Z106, fechaFactura, R106, diasCredito, IF(E106="Pago inmediato", 0, IFERROR(VALUE(MID(E106, 1, SEARCH(" ", E106)-1)),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6" s="79">
        <f>IF(AN106="","",IF(AND(N106&gt;0, AG106&gt;0), IF(Configuración!$K$2="NO", "ALERTA: DESCUENTO DOBLE NO PERMITIDO", "OK"), "OK"))</f>
        <v/>
      </c>
      <c r="AR106" s="79">
        <f>IF(AN106="","",IF(OR(AO106&lt;&gt;"OK", AP106&lt;&gt;"OK", AQ106&lt;&gt;"OK"), "⚠️ REVISAR", "OK"))</f>
        <v/>
      </c>
    </row>
    <row r="107">
      <c r="A107" s="79">
        <f>IF('Ordenes_Odoo'!A107="","",'Ordenes_Odoo'!A107)</f>
        <v/>
      </c>
      <c r="B107" s="80">
        <f>IF('Ordenes_Odoo'!B107="","",'Ordenes_Odoo'!B107)</f>
        <v/>
      </c>
      <c r="C107" s="79">
        <f>IF('Ordenes_Odoo'!C107="","",'Ordenes_Odoo'!C107)</f>
        <v/>
      </c>
      <c r="D107" s="79">
        <f>IF('Ordenes_Odoo'!D107="","",'Ordenes_Odoo'!D107)</f>
        <v/>
      </c>
      <c r="E107" s="79">
        <f>IF('Ordenes_Odoo'!E107="","",'Ordenes_Odoo'!E107)</f>
        <v/>
      </c>
      <c r="F107" s="79">
        <f>IF('Ordenes_Odoo'!F107="","",'Ordenes_Odoo'!F107)</f>
        <v/>
      </c>
      <c r="G107" s="79">
        <f>IF('Ordenes_Odoo'!G107="","",'Ordenes_Odoo'!G107)</f>
        <v/>
      </c>
      <c r="H107" s="79">
        <f>IF('Ordenes_Odoo'!H107="","",'Ordenes_Odoo'!H107)</f>
        <v/>
      </c>
      <c r="I107" s="79">
        <f>IF('Ordenes_Odoo'!I107="","",'Ordenes_Odoo'!I107)</f>
        <v/>
      </c>
      <c r="J107" s="79">
        <f>IF('Ordenes_Odoo'!J107="","",'Ordenes_Odoo'!J107)</f>
        <v/>
      </c>
      <c r="K107" s="81">
        <f>IF('Ordenes_Odoo'!K107="","",'Ordenes_Odoo'!K107)</f>
        <v/>
      </c>
      <c r="L107" s="81">
        <f>IF('Ordenes_Odoo'!L107="","",'Ordenes_Odoo'!L107)</f>
        <v/>
      </c>
      <c r="M107" s="79">
        <f>IF('Ordenes_Odoo'!M107="","",'Ordenes_Odoo'!M107)</f>
        <v/>
      </c>
      <c r="N107" s="79">
        <f>IF('Ordenes_Odoo'!N107="","",'Ordenes_Odoo'!N107)</f>
        <v/>
      </c>
      <c r="O107" s="81">
        <f>IF('Ordenes_Odoo'!O107="","",'Ordenes_Odoo'!O107)</f>
        <v/>
      </c>
      <c r="P107" s="81">
        <f>IF('Ordenes_Odoo'!P107="","",'Ordenes_Odoo'!P107)</f>
        <v/>
      </c>
      <c r="Q107" s="79">
        <f>IF(A107="","",IFERROR(INDEX(Facturas_Odoo!$B:$B, MATCH(A107, Facturas_Odoo!$D:$D, 0)), "Sin Factura"))</f>
        <v/>
      </c>
      <c r="R107" s="80">
        <f>IF(Q107="Sin Factura","",IFERROR(INDEX(Facturas_Odoo!$A:$A, MATCH(Q107, Facturas_Odoo!$B:$B, 0)), ""))</f>
        <v/>
      </c>
      <c r="S107" s="79">
        <f>IF(Q107="Sin Factura","",IFERROR(_xlfn.XLOOKUP(1, (Facturas_Odoo!$D:$D=A107) * (Facturas_Odoo!$K:$K=I107), Facturas_Odoo!$L:$L, ""), ""))</f>
        <v/>
      </c>
      <c r="T107" s="81">
        <f>IF(Q107="Sin Factura",0,IFERROR(_xlfn.XLOOKUP(1, (Facturas_Odoo!$D:$D=A107) * (Facturas_Odoo!$K:$K=I107), Facturas_Odoo!$M:$M, 0), 0))</f>
        <v/>
      </c>
      <c r="U107" s="79">
        <f>IF(Q107="Sin Factura",0,IFERROR(_xlfn.XLOOKUP(1, (Facturas_Odoo!$D:$D=A107) * (Facturas_Odoo!$K:$K=I107), Facturas_Odoo!$N:$N, 0), 0))</f>
        <v/>
      </c>
      <c r="V107" s="79">
        <f>IF(Q107="Sin Factura",0,IFERROR(_xlfn.XLOOKUP(1, (Facturas_Odoo!$D:$D=A107) * (Facturas_Odoo!$K:$K=I107), Facturas_Odoo!$O:$O, 0), 0))</f>
        <v/>
      </c>
      <c r="W107" s="81">
        <f>IF(Q107="Sin Factura",0,IFERROR(_xlfn.XLOOKUP(1, (Facturas_Odoo!$D:$D=A107) * (Facturas_Odoo!$K:$K=I107), Facturas_Odoo!$Q:$Q, 0), 0))</f>
        <v/>
      </c>
      <c r="X107" s="79">
        <f>IF(OR(Q107="Sin Factura",Q107=""),"",IFERROR(INDEX(Pagos_Odoo!$B:$B, MATCH(Q107, Pagos_Odoo!$I:$I, 0)), "Sin Pago"))</f>
        <v/>
      </c>
      <c r="Y107" s="79">
        <f>IF(X107="Sin Pago","",IFERROR(INDEX(Pagos_Odoo!$C:$C, MATCH(X107, Pagos_Odoo!$B:$B, 0)), ""))</f>
        <v/>
      </c>
      <c r="Z107" s="80">
        <f>IF(X107="Sin Pago","",IFERROR(INDEX(Pagos_Odoo!$A:$A, MATCH(X107, Pagos_Odoo!$B:$B, 0)), ""))</f>
        <v/>
      </c>
      <c r="AA107" s="79">
        <f>IF(X107="Sin Pago","",IFERROR(INDEX(Pagos_Odoo!$F:$F, MATCH(X107, Pagos_Odoo!$B:$B, 0)), ""))</f>
        <v/>
      </c>
      <c r="AB107" s="81">
        <f>IF(X107="Sin Pago",0,IFERROR(INDEX(Pagos_Odoo!$E:$E, MATCH(X107, Pagos_Odoo!$B:$B, 0)), 0))</f>
        <v/>
      </c>
      <c r="AC107" s="79">
        <f>IF(X107="Sin Pago","",IFERROR(INDEX(Pagos_Odoo!$G:$G, MATCH(X107, Pagos_Odoo!$B:$B, 0)), ""))</f>
        <v/>
      </c>
      <c r="AD107" s="82" t="n">
        <v>0</v>
      </c>
      <c r="AE107" s="82" t="n"/>
      <c r="AF107" s="82" t="n"/>
      <c r="AG107" s="82">
        <f>IF(AN107="","",AD107+AE107+AF107)</f>
        <v/>
      </c>
      <c r="AH107" s="81">
        <f>IF(AN107="","",P107*(1-AG107))</f>
        <v/>
      </c>
      <c r="AI107" s="81">
        <f>IF(AN107="","",IF(Q107="Sin Factura",0,IFERROR(INDEX(Facturas_Odoo!$H:$H, MATCH(Q107, Facturas_Odoo!$B:$B, 0)), 0)*(1-AG107)))</f>
        <v/>
      </c>
      <c r="AJ107" s="81">
        <f>IF(AN107="","",_xlfn.LET(idVenta, AN107&amp;"",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7" s="81">
        <f>IF(AN107="","",AH107-AJ107)</f>
        <v/>
      </c>
      <c r="AL107" s="81">
        <f>IF(AN107="","",IF(Q107="Sin Factura","",AI107-AJ107))</f>
        <v/>
      </c>
      <c r="AM107" s="81">
        <f>IF(AN107="","",IF(Q107="Sin Factura",0,P107-IFERROR(INDEX(Facturas_Odoo!$H:$H, MATCH(Q107, Facturas_Odoo!$B:$B, 0)), 0)))</f>
        <v/>
      </c>
      <c r="AN107" s="79">
        <f>IF(AND(A107="", J107=""), "", IF(A107&lt;&gt;"", VALUE(MID(A107,2,LEN(A107))), AN106))</f>
        <v/>
      </c>
      <c r="AO107" s="79">
        <f>IF(AN107="","",IF(AD107=0,"OK",_xlfn.LET(monedaPago, IF(AA107="","USD",AA107), limitePermitido, IFERROR(VLOOKUP(monedaPago, Configuración!$A$2:$B$3, 2, FALSE), 0.15), IF(AD107&gt;limitePermitido, "ALERTA: EXCESO (" &amp; TEXT(limitePermitido, "0%") &amp; " máx)", "OK"))))</f>
        <v/>
      </c>
      <c r="AP107" s="79">
        <f>IF(AN107="","",IF(AE107=0,"OK",_xlfn.LET(fechaPago, Z107, fechaFactura, R107, diasCredito, IF(E107="Pago inmediato", 0, IFERROR(VALUE(MID(E107, 1, SEARCH(" ", E107)-1)),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7" s="79">
        <f>IF(AN107="","",IF(AND(N107&gt;0, AG107&gt;0), IF(Configuración!$K$2="NO", "ALERTA: DESCUENTO DOBLE NO PERMITIDO", "OK"), "OK"))</f>
        <v/>
      </c>
      <c r="AR107" s="79">
        <f>IF(AN107="","",IF(OR(AO107&lt;&gt;"OK", AP107&lt;&gt;"OK", AQ107&lt;&gt;"OK"), "⚠️ REVISAR", "OK"))</f>
        <v/>
      </c>
    </row>
    <row r="108">
      <c r="A108" s="79">
        <f>IF('Ordenes_Odoo'!A108="","",'Ordenes_Odoo'!A108)</f>
        <v/>
      </c>
      <c r="B108" s="80">
        <f>IF('Ordenes_Odoo'!B108="","",'Ordenes_Odoo'!B108)</f>
        <v/>
      </c>
      <c r="C108" s="79">
        <f>IF('Ordenes_Odoo'!C108="","",'Ordenes_Odoo'!C108)</f>
        <v/>
      </c>
      <c r="D108" s="79">
        <f>IF('Ordenes_Odoo'!D108="","",'Ordenes_Odoo'!D108)</f>
        <v/>
      </c>
      <c r="E108" s="79">
        <f>IF('Ordenes_Odoo'!E108="","",'Ordenes_Odoo'!E108)</f>
        <v/>
      </c>
      <c r="F108" s="79">
        <f>IF('Ordenes_Odoo'!F108="","",'Ordenes_Odoo'!F108)</f>
        <v/>
      </c>
      <c r="G108" s="79">
        <f>IF('Ordenes_Odoo'!G108="","",'Ordenes_Odoo'!G108)</f>
        <v/>
      </c>
      <c r="H108" s="79">
        <f>IF('Ordenes_Odoo'!H108="","",'Ordenes_Odoo'!H108)</f>
        <v/>
      </c>
      <c r="I108" s="79">
        <f>IF('Ordenes_Odoo'!I108="","",'Ordenes_Odoo'!I108)</f>
        <v/>
      </c>
      <c r="J108" s="79">
        <f>IF('Ordenes_Odoo'!J108="","",'Ordenes_Odoo'!J108)</f>
        <v/>
      </c>
      <c r="K108" s="81">
        <f>IF('Ordenes_Odoo'!K108="","",'Ordenes_Odoo'!K108)</f>
        <v/>
      </c>
      <c r="L108" s="81">
        <f>IF('Ordenes_Odoo'!L108="","",'Ordenes_Odoo'!L108)</f>
        <v/>
      </c>
      <c r="M108" s="79">
        <f>IF('Ordenes_Odoo'!M108="","",'Ordenes_Odoo'!M108)</f>
        <v/>
      </c>
      <c r="N108" s="79">
        <f>IF('Ordenes_Odoo'!N108="","",'Ordenes_Odoo'!N108)</f>
        <v/>
      </c>
      <c r="O108" s="81">
        <f>IF('Ordenes_Odoo'!O108="","",'Ordenes_Odoo'!O108)</f>
        <v/>
      </c>
      <c r="P108" s="81">
        <f>IF('Ordenes_Odoo'!P108="","",'Ordenes_Odoo'!P108)</f>
        <v/>
      </c>
      <c r="Q108" s="79">
        <f>IF(A108="","",IFERROR(INDEX(Facturas_Odoo!$B:$B, MATCH(A108, Facturas_Odoo!$D:$D, 0)), "Sin Factura"))</f>
        <v/>
      </c>
      <c r="R108" s="80">
        <f>IF(Q108="Sin Factura","",IFERROR(INDEX(Facturas_Odoo!$A:$A, MATCH(Q108, Facturas_Odoo!$B:$B, 0)), ""))</f>
        <v/>
      </c>
      <c r="S108" s="79">
        <f>IF(Q108="Sin Factura","",IFERROR(_xlfn.XLOOKUP(1, (Facturas_Odoo!$D:$D=A108) * (Facturas_Odoo!$K:$K=I108), Facturas_Odoo!$L:$L, ""), ""))</f>
        <v/>
      </c>
      <c r="T108" s="81">
        <f>IF(Q108="Sin Factura",0,IFERROR(_xlfn.XLOOKUP(1, (Facturas_Odoo!$D:$D=A108) * (Facturas_Odoo!$K:$K=I108), Facturas_Odoo!$M:$M, 0), 0))</f>
        <v/>
      </c>
      <c r="U108" s="79">
        <f>IF(Q108="Sin Factura",0,IFERROR(_xlfn.XLOOKUP(1, (Facturas_Odoo!$D:$D=A108) * (Facturas_Odoo!$K:$K=I108), Facturas_Odoo!$N:$N, 0), 0))</f>
        <v/>
      </c>
      <c r="V108" s="79">
        <f>IF(Q108="Sin Factura",0,IFERROR(_xlfn.XLOOKUP(1, (Facturas_Odoo!$D:$D=A108) * (Facturas_Odoo!$K:$K=I108), Facturas_Odoo!$O:$O, 0), 0))</f>
        <v/>
      </c>
      <c r="W108" s="81">
        <f>IF(Q108="Sin Factura",0,IFERROR(_xlfn.XLOOKUP(1, (Facturas_Odoo!$D:$D=A108) * (Facturas_Odoo!$K:$K=I108), Facturas_Odoo!$Q:$Q, 0), 0))</f>
        <v/>
      </c>
      <c r="X108" s="79">
        <f>IF(OR(Q108="Sin Factura",Q108=""),"",IFERROR(INDEX(Pagos_Odoo!$B:$B, MATCH(Q108, Pagos_Odoo!$I:$I, 0)), "Sin Pago"))</f>
        <v/>
      </c>
      <c r="Y108" s="79">
        <f>IF(X108="Sin Pago","",IFERROR(INDEX(Pagos_Odoo!$C:$C, MATCH(X108, Pagos_Odoo!$B:$B, 0)), ""))</f>
        <v/>
      </c>
      <c r="Z108" s="80">
        <f>IF(X108="Sin Pago","",IFERROR(INDEX(Pagos_Odoo!$A:$A, MATCH(X108, Pagos_Odoo!$B:$B, 0)), ""))</f>
        <v/>
      </c>
      <c r="AA108" s="79">
        <f>IF(X108="Sin Pago","",IFERROR(INDEX(Pagos_Odoo!$F:$F, MATCH(X108, Pagos_Odoo!$B:$B, 0)), ""))</f>
        <v/>
      </c>
      <c r="AB108" s="81">
        <f>IF(X108="Sin Pago",0,IFERROR(INDEX(Pagos_Odoo!$E:$E, MATCH(X108, Pagos_Odoo!$B:$B, 0)), 0))</f>
        <v/>
      </c>
      <c r="AC108" s="79">
        <f>IF(X108="Sin Pago","",IFERROR(INDEX(Pagos_Odoo!$G:$G, MATCH(X108, Pagos_Odoo!$B:$B, 0)), ""))</f>
        <v/>
      </c>
      <c r="AD108" s="82" t="n">
        <v>0</v>
      </c>
      <c r="AE108" s="82" t="n"/>
      <c r="AF108" s="82" t="n"/>
      <c r="AG108" s="82">
        <f>IF(AN108="","",AD108+AE108+AF108)</f>
        <v/>
      </c>
      <c r="AH108" s="81">
        <f>IF(AN108="","",P108*(1-AG108))</f>
        <v/>
      </c>
      <c r="AI108" s="81">
        <f>IF(AN108="","",IF(Q108="Sin Factura",0,IFERROR(INDEX(Facturas_Odoo!$H:$H, MATCH(Q108, Facturas_Odoo!$B:$B, 0)), 0)*(1-AG108)))</f>
        <v/>
      </c>
      <c r="AJ108" s="81">
        <f>IF(AN108="","",_xlfn.LET(idVenta, AN108&amp;"",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8" s="81">
        <f>IF(AN108="","",AH108-AJ108)</f>
        <v/>
      </c>
      <c r="AL108" s="81">
        <f>IF(AN108="","",IF(Q108="Sin Factura","",AI108-AJ108))</f>
        <v/>
      </c>
      <c r="AM108" s="81">
        <f>IF(AN108="","",IF(Q108="Sin Factura",0,P108-IFERROR(INDEX(Facturas_Odoo!$H:$H, MATCH(Q108, Facturas_Odoo!$B:$B, 0)), 0)))</f>
        <v/>
      </c>
      <c r="AN108" s="79">
        <f>IF(AND(A108="", J108=""), "", IF(A108&lt;&gt;"", VALUE(MID(A108,2,LEN(A108))), AN107))</f>
        <v/>
      </c>
      <c r="AO108" s="79">
        <f>IF(AN108="","",IF(AD108=0,"OK",_xlfn.LET(monedaPago, IF(AA108="","USD",AA108), limitePermitido, IFERROR(VLOOKUP(monedaPago, Configuración!$A$2:$B$3, 2, FALSE), 0.15), IF(AD108&gt;limitePermitido, "ALERTA: EXCESO (" &amp; TEXT(limitePermitido, "0%") &amp; " máx)", "OK"))))</f>
        <v/>
      </c>
      <c r="AP108" s="79">
        <f>IF(AN108="","",IF(AE108=0,"OK",_xlfn.LET(fechaPago, Z108, fechaFactura, R108, diasCredito, IF(E108="Pago inmediato", 0, IFERROR(VALUE(MID(E108, 1, SEARCH(" ", E108)-1)),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8" s="79">
        <f>IF(AN108="","",IF(AND(N108&gt;0, AG108&gt;0), IF(Configuración!$K$2="NO", "ALERTA: DESCUENTO DOBLE NO PERMITIDO", "OK"), "OK"))</f>
        <v/>
      </c>
      <c r="AR108" s="79">
        <f>IF(AN108="","",IF(OR(AO108&lt;&gt;"OK", AP108&lt;&gt;"OK", AQ108&lt;&gt;"OK"), "⚠️ REVISAR", "OK"))</f>
        <v/>
      </c>
    </row>
    <row r="109">
      <c r="A109" s="79">
        <f>IF('Ordenes_Odoo'!A109="","",'Ordenes_Odoo'!A109)</f>
        <v/>
      </c>
      <c r="B109" s="80">
        <f>IF('Ordenes_Odoo'!B109="","",'Ordenes_Odoo'!B109)</f>
        <v/>
      </c>
      <c r="C109" s="79">
        <f>IF('Ordenes_Odoo'!C109="","",'Ordenes_Odoo'!C109)</f>
        <v/>
      </c>
      <c r="D109" s="79">
        <f>IF('Ordenes_Odoo'!D109="","",'Ordenes_Odoo'!D109)</f>
        <v/>
      </c>
      <c r="E109" s="79">
        <f>IF('Ordenes_Odoo'!E109="","",'Ordenes_Odoo'!E109)</f>
        <v/>
      </c>
      <c r="F109" s="79">
        <f>IF('Ordenes_Odoo'!F109="","",'Ordenes_Odoo'!F109)</f>
        <v/>
      </c>
      <c r="G109" s="79">
        <f>IF('Ordenes_Odoo'!G109="","",'Ordenes_Odoo'!G109)</f>
        <v/>
      </c>
      <c r="H109" s="79">
        <f>IF('Ordenes_Odoo'!H109="","",'Ordenes_Odoo'!H109)</f>
        <v/>
      </c>
      <c r="I109" s="79">
        <f>IF('Ordenes_Odoo'!I109="","",'Ordenes_Odoo'!I109)</f>
        <v/>
      </c>
      <c r="J109" s="79">
        <f>IF('Ordenes_Odoo'!J109="","",'Ordenes_Odoo'!J109)</f>
        <v/>
      </c>
      <c r="K109" s="81">
        <f>IF('Ordenes_Odoo'!K109="","",'Ordenes_Odoo'!K109)</f>
        <v/>
      </c>
      <c r="L109" s="81">
        <f>IF('Ordenes_Odoo'!L109="","",'Ordenes_Odoo'!L109)</f>
        <v/>
      </c>
      <c r="M109" s="79">
        <f>IF('Ordenes_Odoo'!M109="","",'Ordenes_Odoo'!M109)</f>
        <v/>
      </c>
      <c r="N109" s="79">
        <f>IF('Ordenes_Odoo'!N109="","",'Ordenes_Odoo'!N109)</f>
        <v/>
      </c>
      <c r="O109" s="81">
        <f>IF('Ordenes_Odoo'!O109="","",'Ordenes_Odoo'!O109)</f>
        <v/>
      </c>
      <c r="P109" s="81">
        <f>IF('Ordenes_Odoo'!P109="","",'Ordenes_Odoo'!P109)</f>
        <v/>
      </c>
      <c r="Q109" s="79">
        <f>IF(A109="","",IFERROR(INDEX(Facturas_Odoo!$B:$B, MATCH(A109, Facturas_Odoo!$D:$D, 0)), "Sin Factura"))</f>
        <v/>
      </c>
      <c r="R109" s="80">
        <f>IF(Q109="Sin Factura","",IFERROR(INDEX(Facturas_Odoo!$A:$A, MATCH(Q109, Facturas_Odoo!$B:$B, 0)), ""))</f>
        <v/>
      </c>
      <c r="S109" s="79">
        <f>IF(Q109="Sin Factura","",IFERROR(_xlfn.XLOOKUP(1, (Facturas_Odoo!$D:$D=A109) * (Facturas_Odoo!$K:$K=I109), Facturas_Odoo!$L:$L, ""), ""))</f>
        <v/>
      </c>
      <c r="T109" s="81">
        <f>IF(Q109="Sin Factura",0,IFERROR(_xlfn.XLOOKUP(1, (Facturas_Odoo!$D:$D=A109) * (Facturas_Odoo!$K:$K=I109), Facturas_Odoo!$M:$M, 0), 0))</f>
        <v/>
      </c>
      <c r="U109" s="79">
        <f>IF(Q109="Sin Factura",0,IFERROR(_xlfn.XLOOKUP(1, (Facturas_Odoo!$D:$D=A109) * (Facturas_Odoo!$K:$K=I109), Facturas_Odoo!$N:$N, 0), 0))</f>
        <v/>
      </c>
      <c r="V109" s="79">
        <f>IF(Q109="Sin Factura",0,IFERROR(_xlfn.XLOOKUP(1, (Facturas_Odoo!$D:$D=A109) * (Facturas_Odoo!$K:$K=I109), Facturas_Odoo!$O:$O, 0), 0))</f>
        <v/>
      </c>
      <c r="W109" s="81">
        <f>IF(Q109="Sin Factura",0,IFERROR(_xlfn.XLOOKUP(1, (Facturas_Odoo!$D:$D=A109) * (Facturas_Odoo!$K:$K=I109), Facturas_Odoo!$Q:$Q, 0), 0))</f>
        <v/>
      </c>
      <c r="X109" s="79">
        <f>IF(OR(Q109="Sin Factura",Q109=""),"",IFERROR(INDEX(Pagos_Odoo!$B:$B, MATCH(Q109, Pagos_Odoo!$I:$I, 0)), "Sin Pago"))</f>
        <v/>
      </c>
      <c r="Y109" s="79">
        <f>IF(X109="Sin Pago","",IFERROR(INDEX(Pagos_Odoo!$C:$C, MATCH(X109, Pagos_Odoo!$B:$B, 0)), ""))</f>
        <v/>
      </c>
      <c r="Z109" s="80">
        <f>IF(X109="Sin Pago","",IFERROR(INDEX(Pagos_Odoo!$A:$A, MATCH(X109, Pagos_Odoo!$B:$B, 0)), ""))</f>
        <v/>
      </c>
      <c r="AA109" s="79">
        <f>IF(X109="Sin Pago","",IFERROR(INDEX(Pagos_Odoo!$F:$F, MATCH(X109, Pagos_Odoo!$B:$B, 0)), ""))</f>
        <v/>
      </c>
      <c r="AB109" s="81">
        <f>IF(X109="Sin Pago",0,IFERROR(INDEX(Pagos_Odoo!$E:$E, MATCH(X109, Pagos_Odoo!$B:$B, 0)), 0))</f>
        <v/>
      </c>
      <c r="AC109" s="79">
        <f>IF(X109="Sin Pago","",IFERROR(INDEX(Pagos_Odoo!$G:$G, MATCH(X109, Pagos_Odoo!$B:$B, 0)), ""))</f>
        <v/>
      </c>
      <c r="AD109" s="82" t="n">
        <v>0</v>
      </c>
      <c r="AE109" s="82" t="n"/>
      <c r="AF109" s="82" t="n"/>
      <c r="AG109" s="82">
        <f>IF(AN109="","",AD109+AE109+AF109)</f>
        <v/>
      </c>
      <c r="AH109" s="81">
        <f>IF(AN109="","",P109*(1-AG109))</f>
        <v/>
      </c>
      <c r="AI109" s="81">
        <f>IF(AN109="","",IF(Q109="Sin Factura",0,IFERROR(INDEX(Facturas_Odoo!$H:$H, MATCH(Q109, Facturas_Odoo!$B:$B, 0)), 0)*(1-AG109)))</f>
        <v/>
      </c>
      <c r="AJ109" s="81">
        <f>IF(AN109="","",_xlfn.LET(idVenta, AN109&amp;"",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9" s="81">
        <f>IF(AN109="","",AH109-AJ109)</f>
        <v/>
      </c>
      <c r="AL109" s="81">
        <f>IF(AN109="","",IF(Q109="Sin Factura","",AI109-AJ109))</f>
        <v/>
      </c>
      <c r="AM109" s="81">
        <f>IF(AN109="","",IF(Q109="Sin Factura",0,P109-IFERROR(INDEX(Facturas_Odoo!$H:$H, MATCH(Q109, Facturas_Odoo!$B:$B, 0)), 0)))</f>
        <v/>
      </c>
      <c r="AN109" s="79">
        <f>IF(AND(A109="", J109=""), "", IF(A109&lt;&gt;"", VALUE(MID(A109,2,LEN(A109))), AN108))</f>
        <v/>
      </c>
      <c r="AO109" s="79">
        <f>IF(AN109="","",IF(AD109=0,"OK",_xlfn.LET(monedaPago, IF(AA109="","USD",AA109), limitePermitido, IFERROR(VLOOKUP(monedaPago, Configuración!$A$2:$B$3, 2, FALSE), 0.15), IF(AD109&gt;limitePermitido, "ALERTA: EXCESO (" &amp; TEXT(limitePermitido, "0%") &amp; " máx)", "OK"))))</f>
        <v/>
      </c>
      <c r="AP109" s="79">
        <f>IF(AN109="","",IF(AE109=0,"OK",_xlfn.LET(fechaPago, Z109, fechaFactura, R109, diasCredito, IF(E109="Pago inmediato", 0, IFERROR(VALUE(MID(E109, 1, SEARCH(" ", E109)-1)),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9" s="79">
        <f>IF(AN109="","",IF(AND(N109&gt;0, AG109&gt;0), IF(Configuración!$K$2="NO", "ALERTA: DESCUENTO DOBLE NO PERMITIDO", "OK"), "OK"))</f>
        <v/>
      </c>
      <c r="AR109" s="79">
        <f>IF(AN109="","",IF(OR(AO109&lt;&gt;"OK", AP109&lt;&gt;"OK", AQ109&lt;&gt;"OK"), "⚠️ REVISAR", "OK"))</f>
        <v/>
      </c>
    </row>
    <row r="110">
      <c r="A110" s="79">
        <f>IF('Ordenes_Odoo'!A110="","",'Ordenes_Odoo'!A110)</f>
        <v/>
      </c>
      <c r="B110" s="80">
        <f>IF('Ordenes_Odoo'!B110="","",'Ordenes_Odoo'!B110)</f>
        <v/>
      </c>
      <c r="C110" s="79">
        <f>IF('Ordenes_Odoo'!C110="","",'Ordenes_Odoo'!C110)</f>
        <v/>
      </c>
      <c r="D110" s="79">
        <f>IF('Ordenes_Odoo'!D110="","",'Ordenes_Odoo'!D110)</f>
        <v/>
      </c>
      <c r="E110" s="79">
        <f>IF('Ordenes_Odoo'!E110="","",'Ordenes_Odoo'!E110)</f>
        <v/>
      </c>
      <c r="F110" s="79">
        <f>IF('Ordenes_Odoo'!F110="","",'Ordenes_Odoo'!F110)</f>
        <v/>
      </c>
      <c r="G110" s="79">
        <f>IF('Ordenes_Odoo'!G110="","",'Ordenes_Odoo'!G110)</f>
        <v/>
      </c>
      <c r="H110" s="79">
        <f>IF('Ordenes_Odoo'!H110="","",'Ordenes_Odoo'!H110)</f>
        <v/>
      </c>
      <c r="I110" s="79">
        <f>IF('Ordenes_Odoo'!I110="","",'Ordenes_Odoo'!I110)</f>
        <v/>
      </c>
      <c r="J110" s="79">
        <f>IF('Ordenes_Odoo'!J110="","",'Ordenes_Odoo'!J110)</f>
        <v/>
      </c>
      <c r="K110" s="81">
        <f>IF('Ordenes_Odoo'!K110="","",'Ordenes_Odoo'!K110)</f>
        <v/>
      </c>
      <c r="L110" s="81">
        <f>IF('Ordenes_Odoo'!L110="","",'Ordenes_Odoo'!L110)</f>
        <v/>
      </c>
      <c r="M110" s="79">
        <f>IF('Ordenes_Odoo'!M110="","",'Ordenes_Odoo'!M110)</f>
        <v/>
      </c>
      <c r="N110" s="79">
        <f>IF('Ordenes_Odoo'!N110="","",'Ordenes_Odoo'!N110)</f>
        <v/>
      </c>
      <c r="O110" s="81">
        <f>IF('Ordenes_Odoo'!O110="","",'Ordenes_Odoo'!O110)</f>
        <v/>
      </c>
      <c r="P110" s="81">
        <f>IF('Ordenes_Odoo'!P110="","",'Ordenes_Odoo'!P110)</f>
        <v/>
      </c>
      <c r="Q110" s="79">
        <f>IF(A110="","",IFERROR(INDEX(Facturas_Odoo!$B:$B, MATCH(A110, Facturas_Odoo!$D:$D, 0)), "Sin Factura"))</f>
        <v/>
      </c>
      <c r="R110" s="80">
        <f>IF(Q110="Sin Factura","",IFERROR(INDEX(Facturas_Odoo!$A:$A, MATCH(Q110, Facturas_Odoo!$B:$B, 0)), ""))</f>
        <v/>
      </c>
      <c r="S110" s="79">
        <f>IF(Q110="Sin Factura","",IFERROR(_xlfn.XLOOKUP(1, (Facturas_Odoo!$D:$D=A110) * (Facturas_Odoo!$K:$K=I110), Facturas_Odoo!$L:$L, ""), ""))</f>
        <v/>
      </c>
      <c r="T110" s="81">
        <f>IF(Q110="Sin Factura",0,IFERROR(_xlfn.XLOOKUP(1, (Facturas_Odoo!$D:$D=A110) * (Facturas_Odoo!$K:$K=I110), Facturas_Odoo!$M:$M, 0), 0))</f>
        <v/>
      </c>
      <c r="U110" s="79">
        <f>IF(Q110="Sin Factura",0,IFERROR(_xlfn.XLOOKUP(1, (Facturas_Odoo!$D:$D=A110) * (Facturas_Odoo!$K:$K=I110), Facturas_Odoo!$N:$N, 0), 0))</f>
        <v/>
      </c>
      <c r="V110" s="79">
        <f>IF(Q110="Sin Factura",0,IFERROR(_xlfn.XLOOKUP(1, (Facturas_Odoo!$D:$D=A110) * (Facturas_Odoo!$K:$K=I110), Facturas_Odoo!$O:$O, 0), 0))</f>
        <v/>
      </c>
      <c r="W110" s="81">
        <f>IF(Q110="Sin Factura",0,IFERROR(_xlfn.XLOOKUP(1, (Facturas_Odoo!$D:$D=A110) * (Facturas_Odoo!$K:$K=I110), Facturas_Odoo!$Q:$Q, 0), 0))</f>
        <v/>
      </c>
      <c r="X110" s="79">
        <f>IF(OR(Q110="Sin Factura",Q110=""),"",IFERROR(INDEX(Pagos_Odoo!$B:$B, MATCH(Q110, Pagos_Odoo!$I:$I, 0)), "Sin Pago"))</f>
        <v/>
      </c>
      <c r="Y110" s="79">
        <f>IF(X110="Sin Pago","",IFERROR(INDEX(Pagos_Odoo!$C:$C, MATCH(X110, Pagos_Odoo!$B:$B, 0)), ""))</f>
        <v/>
      </c>
      <c r="Z110" s="80">
        <f>IF(X110="Sin Pago","",IFERROR(INDEX(Pagos_Odoo!$A:$A, MATCH(X110, Pagos_Odoo!$B:$B, 0)), ""))</f>
        <v/>
      </c>
      <c r="AA110" s="79">
        <f>IF(X110="Sin Pago","",IFERROR(INDEX(Pagos_Odoo!$F:$F, MATCH(X110, Pagos_Odoo!$B:$B, 0)), ""))</f>
        <v/>
      </c>
      <c r="AB110" s="81">
        <f>IF(X110="Sin Pago",0,IFERROR(INDEX(Pagos_Odoo!$E:$E, MATCH(X110, Pagos_Odoo!$B:$B, 0)), 0))</f>
        <v/>
      </c>
      <c r="AC110" s="79">
        <f>IF(X110="Sin Pago","",IFERROR(INDEX(Pagos_Odoo!$G:$G, MATCH(X110, Pagos_Odoo!$B:$B, 0)), ""))</f>
        <v/>
      </c>
      <c r="AD110" s="82" t="n">
        <v>0</v>
      </c>
      <c r="AE110" s="82" t="n"/>
      <c r="AF110" s="82" t="n"/>
      <c r="AG110" s="82">
        <f>IF(AN110="","",AD110+AE110+AF110)</f>
        <v/>
      </c>
      <c r="AH110" s="81">
        <f>IF(AN110="","",P110*(1-AG110))</f>
        <v/>
      </c>
      <c r="AI110" s="81">
        <f>IF(AN110="","",IF(Q110="Sin Factura",0,IFERROR(INDEX(Facturas_Odoo!$H:$H, MATCH(Q110, Facturas_Odoo!$B:$B, 0)), 0)*(1-AG110)))</f>
        <v/>
      </c>
      <c r="AJ110" s="81">
        <f>IF(AN110="","",_xlfn.LET(idVenta, AN110&amp;"",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0" s="81">
        <f>IF(AN110="","",AH110-AJ110)</f>
        <v/>
      </c>
      <c r="AL110" s="81">
        <f>IF(AN110="","",IF(Q110="Sin Factura","",AI110-AJ110))</f>
        <v/>
      </c>
      <c r="AM110" s="81">
        <f>IF(AN110="","",IF(Q110="Sin Factura",0,P110-IFERROR(INDEX(Facturas_Odoo!$H:$H, MATCH(Q110, Facturas_Odoo!$B:$B, 0)), 0)))</f>
        <v/>
      </c>
      <c r="AN110" s="79">
        <f>IF(AND(A110="", J110=""), "", IF(A110&lt;&gt;"", VALUE(MID(A110,2,LEN(A110))), AN109))</f>
        <v/>
      </c>
      <c r="AO110" s="79">
        <f>IF(AN110="","",IF(AD110=0,"OK",_xlfn.LET(monedaPago, IF(AA110="","USD",AA110), limitePermitido, IFERROR(VLOOKUP(monedaPago, Configuración!$A$2:$B$3, 2, FALSE), 0.15), IF(AD110&gt;limitePermitido, "ALERTA: EXCESO (" &amp; TEXT(limitePermitido, "0%") &amp; " máx)", "OK"))))</f>
        <v/>
      </c>
      <c r="AP110" s="79">
        <f>IF(AN110="","",IF(AE110=0,"OK",_xlfn.LET(fechaPago, Z110, fechaFactura, R110, diasCredito, IF(E110="Pago inmediato", 0, IFERROR(VALUE(MID(E110, 1, SEARCH(" ", E110)-1)),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0" s="79">
        <f>IF(AN110="","",IF(AND(N110&gt;0, AG110&gt;0), IF(Configuración!$K$2="NO", "ALERTA: DESCUENTO DOBLE NO PERMITIDO", "OK"), "OK"))</f>
        <v/>
      </c>
      <c r="AR110" s="79">
        <f>IF(AN110="","",IF(OR(AO110&lt;&gt;"OK", AP110&lt;&gt;"OK", AQ110&lt;&gt;"OK"), "⚠️ REVISAR", "OK"))</f>
        <v/>
      </c>
    </row>
    <row r="111">
      <c r="A111" s="79">
        <f>IF('Ordenes_Odoo'!A111="","",'Ordenes_Odoo'!A111)</f>
        <v/>
      </c>
      <c r="B111" s="80">
        <f>IF('Ordenes_Odoo'!B111="","",'Ordenes_Odoo'!B111)</f>
        <v/>
      </c>
      <c r="C111" s="79">
        <f>IF('Ordenes_Odoo'!C111="","",'Ordenes_Odoo'!C111)</f>
        <v/>
      </c>
      <c r="D111" s="79">
        <f>IF('Ordenes_Odoo'!D111="","",'Ordenes_Odoo'!D111)</f>
        <v/>
      </c>
      <c r="E111" s="79">
        <f>IF('Ordenes_Odoo'!E111="","",'Ordenes_Odoo'!E111)</f>
        <v/>
      </c>
      <c r="F111" s="79">
        <f>IF('Ordenes_Odoo'!F111="","",'Ordenes_Odoo'!F111)</f>
        <v/>
      </c>
      <c r="G111" s="79">
        <f>IF('Ordenes_Odoo'!G111="","",'Ordenes_Odoo'!G111)</f>
        <v/>
      </c>
      <c r="H111" s="79">
        <f>IF('Ordenes_Odoo'!H111="","",'Ordenes_Odoo'!H111)</f>
        <v/>
      </c>
      <c r="I111" s="79">
        <f>IF('Ordenes_Odoo'!I111="","",'Ordenes_Odoo'!I111)</f>
        <v/>
      </c>
      <c r="J111" s="79">
        <f>IF('Ordenes_Odoo'!J111="","",'Ordenes_Odoo'!J111)</f>
        <v/>
      </c>
      <c r="K111" s="81">
        <f>IF('Ordenes_Odoo'!K111="","",'Ordenes_Odoo'!K111)</f>
        <v/>
      </c>
      <c r="L111" s="81">
        <f>IF('Ordenes_Odoo'!L111="","",'Ordenes_Odoo'!L111)</f>
        <v/>
      </c>
      <c r="M111" s="79">
        <f>IF('Ordenes_Odoo'!M111="","",'Ordenes_Odoo'!M111)</f>
        <v/>
      </c>
      <c r="N111" s="79">
        <f>IF('Ordenes_Odoo'!N111="","",'Ordenes_Odoo'!N111)</f>
        <v/>
      </c>
      <c r="O111" s="81">
        <f>IF('Ordenes_Odoo'!O111="","",'Ordenes_Odoo'!O111)</f>
        <v/>
      </c>
      <c r="P111" s="81">
        <f>IF('Ordenes_Odoo'!P111="","",'Ordenes_Odoo'!P111)</f>
        <v/>
      </c>
      <c r="Q111" s="79">
        <f>IF(A111="","",IFERROR(INDEX(Facturas_Odoo!$B:$B, MATCH(A111, Facturas_Odoo!$D:$D, 0)), "Sin Factura"))</f>
        <v/>
      </c>
      <c r="R111" s="80">
        <f>IF(Q111="Sin Factura","",IFERROR(INDEX(Facturas_Odoo!$A:$A, MATCH(Q111, Facturas_Odoo!$B:$B, 0)), ""))</f>
        <v/>
      </c>
      <c r="S111" s="79">
        <f>IF(Q111="Sin Factura","",IFERROR(_xlfn.XLOOKUP(1, (Facturas_Odoo!$D:$D=A111) * (Facturas_Odoo!$K:$K=I111), Facturas_Odoo!$L:$L, ""), ""))</f>
        <v/>
      </c>
      <c r="T111" s="81">
        <f>IF(Q111="Sin Factura",0,IFERROR(_xlfn.XLOOKUP(1, (Facturas_Odoo!$D:$D=A111) * (Facturas_Odoo!$K:$K=I111), Facturas_Odoo!$M:$M, 0), 0))</f>
        <v/>
      </c>
      <c r="U111" s="79">
        <f>IF(Q111="Sin Factura",0,IFERROR(_xlfn.XLOOKUP(1, (Facturas_Odoo!$D:$D=A111) * (Facturas_Odoo!$K:$K=I111), Facturas_Odoo!$N:$N, 0), 0))</f>
        <v/>
      </c>
      <c r="V111" s="79">
        <f>IF(Q111="Sin Factura",0,IFERROR(_xlfn.XLOOKUP(1, (Facturas_Odoo!$D:$D=A111) * (Facturas_Odoo!$K:$K=I111), Facturas_Odoo!$O:$O, 0), 0))</f>
        <v/>
      </c>
      <c r="W111" s="81">
        <f>IF(Q111="Sin Factura",0,IFERROR(_xlfn.XLOOKUP(1, (Facturas_Odoo!$D:$D=A111) * (Facturas_Odoo!$K:$K=I111), Facturas_Odoo!$Q:$Q, 0), 0))</f>
        <v/>
      </c>
      <c r="X111" s="79">
        <f>IF(OR(Q111="Sin Factura",Q111=""),"",IFERROR(INDEX(Pagos_Odoo!$B:$B, MATCH(Q111, Pagos_Odoo!$I:$I, 0)), "Sin Pago"))</f>
        <v/>
      </c>
      <c r="Y111" s="79">
        <f>IF(X111="Sin Pago","",IFERROR(INDEX(Pagos_Odoo!$C:$C, MATCH(X111, Pagos_Odoo!$B:$B, 0)), ""))</f>
        <v/>
      </c>
      <c r="Z111" s="80">
        <f>IF(X111="Sin Pago","",IFERROR(INDEX(Pagos_Odoo!$A:$A, MATCH(X111, Pagos_Odoo!$B:$B, 0)), ""))</f>
        <v/>
      </c>
      <c r="AA111" s="79">
        <f>IF(X111="Sin Pago","",IFERROR(INDEX(Pagos_Odoo!$F:$F, MATCH(X111, Pagos_Odoo!$B:$B, 0)), ""))</f>
        <v/>
      </c>
      <c r="AB111" s="81">
        <f>IF(X111="Sin Pago",0,IFERROR(INDEX(Pagos_Odoo!$E:$E, MATCH(X111, Pagos_Odoo!$B:$B, 0)), 0))</f>
        <v/>
      </c>
      <c r="AC111" s="79">
        <f>IF(X111="Sin Pago","",IFERROR(INDEX(Pagos_Odoo!$G:$G, MATCH(X111, Pagos_Odoo!$B:$B, 0)), ""))</f>
        <v/>
      </c>
      <c r="AD111" s="82" t="n">
        <v>0</v>
      </c>
      <c r="AE111" s="82" t="n"/>
      <c r="AF111" s="82" t="n"/>
      <c r="AG111" s="82">
        <f>IF(AN111="","",AD111+AE111+AF111)</f>
        <v/>
      </c>
      <c r="AH111" s="81">
        <f>IF(AN111="","",P111*(1-AG111))</f>
        <v/>
      </c>
      <c r="AI111" s="81">
        <f>IF(AN111="","",IF(Q111="Sin Factura",0,IFERROR(INDEX(Facturas_Odoo!$H:$H, MATCH(Q111, Facturas_Odoo!$B:$B, 0)), 0)*(1-AG111)))</f>
        <v/>
      </c>
      <c r="AJ111" s="81">
        <f>IF(AN111="","",_xlfn.LET(idVenta, AN111&amp;"",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1" s="81">
        <f>IF(AN111="","",AH111-AJ111)</f>
        <v/>
      </c>
      <c r="AL111" s="81">
        <f>IF(AN111="","",IF(Q111="Sin Factura","",AI111-AJ111))</f>
        <v/>
      </c>
      <c r="AM111" s="81">
        <f>IF(AN111="","",IF(Q111="Sin Factura",0,P111-IFERROR(INDEX(Facturas_Odoo!$H:$H, MATCH(Q111, Facturas_Odoo!$B:$B, 0)), 0)))</f>
        <v/>
      </c>
      <c r="AN111" s="79">
        <f>IF(AND(A111="", J111=""), "", IF(A111&lt;&gt;"", VALUE(MID(A111,2,LEN(A111))), AN110))</f>
        <v/>
      </c>
      <c r="AO111" s="79">
        <f>IF(AN111="","",IF(AD111=0,"OK",_xlfn.LET(monedaPago, IF(AA111="","USD",AA111), limitePermitido, IFERROR(VLOOKUP(monedaPago, Configuración!$A$2:$B$3, 2, FALSE), 0.15), IF(AD111&gt;limitePermitido, "ALERTA: EXCESO (" &amp; TEXT(limitePermitido, "0%") &amp; " máx)", "OK"))))</f>
        <v/>
      </c>
      <c r="AP111" s="79">
        <f>IF(AN111="","",IF(AE111=0,"OK",_xlfn.LET(fechaPago, Z111, fechaFactura, R111, diasCredito, IF(E111="Pago inmediato", 0, IFERROR(VALUE(MID(E111, 1, SEARCH(" ", E111)-1)),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1" s="79">
        <f>IF(AN111="","",IF(AND(N111&gt;0, AG111&gt;0), IF(Configuración!$K$2="NO", "ALERTA: DESCUENTO DOBLE NO PERMITIDO", "OK"), "OK"))</f>
        <v/>
      </c>
      <c r="AR111" s="79">
        <f>IF(AN111="","",IF(OR(AO111&lt;&gt;"OK", AP111&lt;&gt;"OK", AQ111&lt;&gt;"OK"), "⚠️ REVISAR", "OK"))</f>
        <v/>
      </c>
    </row>
    <row r="112">
      <c r="A112" s="79">
        <f>IF('Ordenes_Odoo'!A112="","",'Ordenes_Odoo'!A112)</f>
        <v/>
      </c>
      <c r="B112" s="80">
        <f>IF('Ordenes_Odoo'!B112="","",'Ordenes_Odoo'!B112)</f>
        <v/>
      </c>
      <c r="C112" s="79">
        <f>IF('Ordenes_Odoo'!C112="","",'Ordenes_Odoo'!C112)</f>
        <v/>
      </c>
      <c r="D112" s="79">
        <f>IF('Ordenes_Odoo'!D112="","",'Ordenes_Odoo'!D112)</f>
        <v/>
      </c>
      <c r="E112" s="79">
        <f>IF('Ordenes_Odoo'!E112="","",'Ordenes_Odoo'!E112)</f>
        <v/>
      </c>
      <c r="F112" s="79">
        <f>IF('Ordenes_Odoo'!F112="","",'Ordenes_Odoo'!F112)</f>
        <v/>
      </c>
      <c r="G112" s="79">
        <f>IF('Ordenes_Odoo'!G112="","",'Ordenes_Odoo'!G112)</f>
        <v/>
      </c>
      <c r="H112" s="79">
        <f>IF('Ordenes_Odoo'!H112="","",'Ordenes_Odoo'!H112)</f>
        <v/>
      </c>
      <c r="I112" s="79">
        <f>IF('Ordenes_Odoo'!I112="","",'Ordenes_Odoo'!I112)</f>
        <v/>
      </c>
      <c r="J112" s="79">
        <f>IF('Ordenes_Odoo'!J112="","",'Ordenes_Odoo'!J112)</f>
        <v/>
      </c>
      <c r="K112" s="81">
        <f>IF('Ordenes_Odoo'!K112="","",'Ordenes_Odoo'!K112)</f>
        <v/>
      </c>
      <c r="L112" s="81">
        <f>IF('Ordenes_Odoo'!L112="","",'Ordenes_Odoo'!L112)</f>
        <v/>
      </c>
      <c r="M112" s="79">
        <f>IF('Ordenes_Odoo'!M112="","",'Ordenes_Odoo'!M112)</f>
        <v/>
      </c>
      <c r="N112" s="79">
        <f>IF('Ordenes_Odoo'!N112="","",'Ordenes_Odoo'!N112)</f>
        <v/>
      </c>
      <c r="O112" s="81">
        <f>IF('Ordenes_Odoo'!O112="","",'Ordenes_Odoo'!O112)</f>
        <v/>
      </c>
      <c r="P112" s="81">
        <f>IF('Ordenes_Odoo'!P112="","",'Ordenes_Odoo'!P112)</f>
        <v/>
      </c>
      <c r="Q112" s="79">
        <f>IF(A112="","",IFERROR(INDEX(Facturas_Odoo!$B:$B, MATCH(A112, Facturas_Odoo!$D:$D, 0)), "Sin Factura"))</f>
        <v/>
      </c>
      <c r="R112" s="80">
        <f>IF(Q112="Sin Factura","",IFERROR(INDEX(Facturas_Odoo!$A:$A, MATCH(Q112, Facturas_Odoo!$B:$B, 0)), ""))</f>
        <v/>
      </c>
      <c r="S112" s="79">
        <f>IF(Q112="Sin Factura","",IFERROR(_xlfn.XLOOKUP(1, (Facturas_Odoo!$D:$D=A112) * (Facturas_Odoo!$K:$K=I112), Facturas_Odoo!$L:$L, ""), ""))</f>
        <v/>
      </c>
      <c r="T112" s="81">
        <f>IF(Q112="Sin Factura",0,IFERROR(_xlfn.XLOOKUP(1, (Facturas_Odoo!$D:$D=A112) * (Facturas_Odoo!$K:$K=I112), Facturas_Odoo!$M:$M, 0), 0))</f>
        <v/>
      </c>
      <c r="U112" s="79">
        <f>IF(Q112="Sin Factura",0,IFERROR(_xlfn.XLOOKUP(1, (Facturas_Odoo!$D:$D=A112) * (Facturas_Odoo!$K:$K=I112), Facturas_Odoo!$N:$N, 0), 0))</f>
        <v/>
      </c>
      <c r="V112" s="79">
        <f>IF(Q112="Sin Factura",0,IFERROR(_xlfn.XLOOKUP(1, (Facturas_Odoo!$D:$D=A112) * (Facturas_Odoo!$K:$K=I112), Facturas_Odoo!$O:$O, 0), 0))</f>
        <v/>
      </c>
      <c r="W112" s="81">
        <f>IF(Q112="Sin Factura",0,IFERROR(_xlfn.XLOOKUP(1, (Facturas_Odoo!$D:$D=A112) * (Facturas_Odoo!$K:$K=I112), Facturas_Odoo!$Q:$Q, 0), 0))</f>
        <v/>
      </c>
      <c r="X112" s="79">
        <f>IF(OR(Q112="Sin Factura",Q112=""),"",IFERROR(INDEX(Pagos_Odoo!$B:$B, MATCH(Q112, Pagos_Odoo!$I:$I, 0)), "Sin Pago"))</f>
        <v/>
      </c>
      <c r="Y112" s="79">
        <f>IF(X112="Sin Pago","",IFERROR(INDEX(Pagos_Odoo!$C:$C, MATCH(X112, Pagos_Odoo!$B:$B, 0)), ""))</f>
        <v/>
      </c>
      <c r="Z112" s="80">
        <f>IF(X112="Sin Pago","",IFERROR(INDEX(Pagos_Odoo!$A:$A, MATCH(X112, Pagos_Odoo!$B:$B, 0)), ""))</f>
        <v/>
      </c>
      <c r="AA112" s="79">
        <f>IF(X112="Sin Pago","",IFERROR(INDEX(Pagos_Odoo!$F:$F, MATCH(X112, Pagos_Odoo!$B:$B, 0)), ""))</f>
        <v/>
      </c>
      <c r="AB112" s="81">
        <f>IF(X112="Sin Pago",0,IFERROR(INDEX(Pagos_Odoo!$E:$E, MATCH(X112, Pagos_Odoo!$B:$B, 0)), 0))</f>
        <v/>
      </c>
      <c r="AC112" s="79">
        <f>IF(X112="Sin Pago","",IFERROR(INDEX(Pagos_Odoo!$G:$G, MATCH(X112, Pagos_Odoo!$B:$B, 0)), ""))</f>
        <v/>
      </c>
      <c r="AD112" s="82" t="n">
        <v>0</v>
      </c>
      <c r="AE112" s="82" t="n"/>
      <c r="AF112" s="82" t="n"/>
      <c r="AG112" s="82">
        <f>IF(AN112="","",AD112+AE112+AF112)</f>
        <v/>
      </c>
      <c r="AH112" s="81">
        <f>IF(AN112="","",P112*(1-AG112))</f>
        <v/>
      </c>
      <c r="AI112" s="81">
        <f>IF(AN112="","",IF(Q112="Sin Factura",0,IFERROR(INDEX(Facturas_Odoo!$H:$H, MATCH(Q112, Facturas_Odoo!$B:$B, 0)), 0)*(1-AG112)))</f>
        <v/>
      </c>
      <c r="AJ112" s="81">
        <f>IF(AN112="","",_xlfn.LET(idVenta, AN112&amp;"",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2" s="81">
        <f>IF(AN112="","",AH112-AJ112)</f>
        <v/>
      </c>
      <c r="AL112" s="81">
        <f>IF(AN112="","",IF(Q112="Sin Factura","",AI112-AJ112))</f>
        <v/>
      </c>
      <c r="AM112" s="81">
        <f>IF(AN112="","",IF(Q112="Sin Factura",0,P112-IFERROR(INDEX(Facturas_Odoo!$H:$H, MATCH(Q112, Facturas_Odoo!$B:$B, 0)), 0)))</f>
        <v/>
      </c>
      <c r="AN112" s="79">
        <f>IF(AND(A112="", J112=""), "", IF(A112&lt;&gt;"", VALUE(MID(A112,2,LEN(A112))), AN111))</f>
        <v/>
      </c>
      <c r="AO112" s="79">
        <f>IF(AN112="","",IF(AD112=0,"OK",_xlfn.LET(monedaPago, IF(AA112="","USD",AA112), limitePermitido, IFERROR(VLOOKUP(monedaPago, Configuración!$A$2:$B$3, 2, FALSE), 0.15), IF(AD112&gt;limitePermitido, "ALERTA: EXCESO (" &amp; TEXT(limitePermitido, "0%") &amp; " máx)", "OK"))))</f>
        <v/>
      </c>
      <c r="AP112" s="79">
        <f>IF(AN112="","",IF(AE112=0,"OK",_xlfn.LET(fechaPago, Z112, fechaFactura, R112, diasCredito, IF(E112="Pago inmediato", 0, IFERROR(VALUE(MID(E112, 1, SEARCH(" ", E112)-1)),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2" s="79">
        <f>IF(AN112="","",IF(AND(N112&gt;0, AG112&gt;0), IF(Configuración!$K$2="NO", "ALERTA: DESCUENTO DOBLE NO PERMITIDO", "OK"), "OK"))</f>
        <v/>
      </c>
      <c r="AR112" s="79">
        <f>IF(AN112="","",IF(OR(AO112&lt;&gt;"OK", AP112&lt;&gt;"OK", AQ112&lt;&gt;"OK"), "⚠️ REVISAR", "OK"))</f>
        <v/>
      </c>
    </row>
    <row r="113">
      <c r="A113" s="79">
        <f>IF('Ordenes_Odoo'!A113="","",'Ordenes_Odoo'!A113)</f>
        <v/>
      </c>
      <c r="B113" s="80">
        <f>IF('Ordenes_Odoo'!B113="","",'Ordenes_Odoo'!B113)</f>
        <v/>
      </c>
      <c r="C113" s="79">
        <f>IF('Ordenes_Odoo'!C113="","",'Ordenes_Odoo'!C113)</f>
        <v/>
      </c>
      <c r="D113" s="79">
        <f>IF('Ordenes_Odoo'!D113="","",'Ordenes_Odoo'!D113)</f>
        <v/>
      </c>
      <c r="E113" s="79">
        <f>IF('Ordenes_Odoo'!E113="","",'Ordenes_Odoo'!E113)</f>
        <v/>
      </c>
      <c r="F113" s="79">
        <f>IF('Ordenes_Odoo'!F113="","",'Ordenes_Odoo'!F113)</f>
        <v/>
      </c>
      <c r="G113" s="79">
        <f>IF('Ordenes_Odoo'!G113="","",'Ordenes_Odoo'!G113)</f>
        <v/>
      </c>
      <c r="H113" s="79">
        <f>IF('Ordenes_Odoo'!H113="","",'Ordenes_Odoo'!H113)</f>
        <v/>
      </c>
      <c r="I113" s="79">
        <f>IF('Ordenes_Odoo'!I113="","",'Ordenes_Odoo'!I113)</f>
        <v/>
      </c>
      <c r="J113" s="79">
        <f>IF('Ordenes_Odoo'!J113="","",'Ordenes_Odoo'!J113)</f>
        <v/>
      </c>
      <c r="K113" s="81">
        <f>IF('Ordenes_Odoo'!K113="","",'Ordenes_Odoo'!K113)</f>
        <v/>
      </c>
      <c r="L113" s="81">
        <f>IF('Ordenes_Odoo'!L113="","",'Ordenes_Odoo'!L113)</f>
        <v/>
      </c>
      <c r="M113" s="79">
        <f>IF('Ordenes_Odoo'!M113="","",'Ordenes_Odoo'!M113)</f>
        <v/>
      </c>
      <c r="N113" s="79">
        <f>IF('Ordenes_Odoo'!N113="","",'Ordenes_Odoo'!N113)</f>
        <v/>
      </c>
      <c r="O113" s="81">
        <f>IF('Ordenes_Odoo'!O113="","",'Ordenes_Odoo'!O113)</f>
        <v/>
      </c>
      <c r="P113" s="81">
        <f>IF('Ordenes_Odoo'!P113="","",'Ordenes_Odoo'!P113)</f>
        <v/>
      </c>
      <c r="Q113" s="79">
        <f>IF(A113="","",IFERROR(INDEX(Facturas_Odoo!$B:$B, MATCH(A113, Facturas_Odoo!$D:$D, 0)), "Sin Factura"))</f>
        <v/>
      </c>
      <c r="R113" s="80">
        <f>IF(Q113="Sin Factura","",IFERROR(INDEX(Facturas_Odoo!$A:$A, MATCH(Q113, Facturas_Odoo!$B:$B, 0)), ""))</f>
        <v/>
      </c>
      <c r="S113" s="79">
        <f>IF(Q113="Sin Factura","",IFERROR(_xlfn.XLOOKUP(1, (Facturas_Odoo!$D:$D=A113) * (Facturas_Odoo!$K:$K=I113), Facturas_Odoo!$L:$L, ""), ""))</f>
        <v/>
      </c>
      <c r="T113" s="81">
        <f>IF(Q113="Sin Factura",0,IFERROR(_xlfn.XLOOKUP(1, (Facturas_Odoo!$D:$D=A113) * (Facturas_Odoo!$K:$K=I113), Facturas_Odoo!$M:$M, 0), 0))</f>
        <v/>
      </c>
      <c r="U113" s="79">
        <f>IF(Q113="Sin Factura",0,IFERROR(_xlfn.XLOOKUP(1, (Facturas_Odoo!$D:$D=A113) * (Facturas_Odoo!$K:$K=I113), Facturas_Odoo!$N:$N, 0), 0))</f>
        <v/>
      </c>
      <c r="V113" s="79">
        <f>IF(Q113="Sin Factura",0,IFERROR(_xlfn.XLOOKUP(1, (Facturas_Odoo!$D:$D=A113) * (Facturas_Odoo!$K:$K=I113), Facturas_Odoo!$O:$O, 0), 0))</f>
        <v/>
      </c>
      <c r="W113" s="81">
        <f>IF(Q113="Sin Factura",0,IFERROR(_xlfn.XLOOKUP(1, (Facturas_Odoo!$D:$D=A113) * (Facturas_Odoo!$K:$K=I113), Facturas_Odoo!$Q:$Q, 0), 0))</f>
        <v/>
      </c>
      <c r="X113" s="79">
        <f>IF(OR(Q113="Sin Factura",Q113=""),"",IFERROR(INDEX(Pagos_Odoo!$B:$B, MATCH(Q113, Pagos_Odoo!$I:$I, 0)), "Sin Pago"))</f>
        <v/>
      </c>
      <c r="Y113" s="79">
        <f>IF(X113="Sin Pago","",IFERROR(INDEX(Pagos_Odoo!$C:$C, MATCH(X113, Pagos_Odoo!$B:$B, 0)), ""))</f>
        <v/>
      </c>
      <c r="Z113" s="80">
        <f>IF(X113="Sin Pago","",IFERROR(INDEX(Pagos_Odoo!$A:$A, MATCH(X113, Pagos_Odoo!$B:$B, 0)), ""))</f>
        <v/>
      </c>
      <c r="AA113" s="79">
        <f>IF(X113="Sin Pago","",IFERROR(INDEX(Pagos_Odoo!$F:$F, MATCH(X113, Pagos_Odoo!$B:$B, 0)), ""))</f>
        <v/>
      </c>
      <c r="AB113" s="81">
        <f>IF(X113="Sin Pago",0,IFERROR(INDEX(Pagos_Odoo!$E:$E, MATCH(X113, Pagos_Odoo!$B:$B, 0)), 0))</f>
        <v/>
      </c>
      <c r="AC113" s="79">
        <f>IF(X113="Sin Pago","",IFERROR(INDEX(Pagos_Odoo!$G:$G, MATCH(X113, Pagos_Odoo!$B:$B, 0)), ""))</f>
        <v/>
      </c>
      <c r="AD113" s="82" t="n">
        <v>0</v>
      </c>
      <c r="AE113" s="82" t="n"/>
      <c r="AF113" s="82" t="n"/>
      <c r="AG113" s="82">
        <f>IF(AN113="","",AD113+AE113+AF113)</f>
        <v/>
      </c>
      <c r="AH113" s="81">
        <f>IF(AN113="","",P113*(1-AG113))</f>
        <v/>
      </c>
      <c r="AI113" s="81">
        <f>IF(AN113="","",IF(Q113="Sin Factura",0,IFERROR(INDEX(Facturas_Odoo!$H:$H, MATCH(Q113, Facturas_Odoo!$B:$B, 0)), 0)*(1-AG113)))</f>
        <v/>
      </c>
      <c r="AJ113" s="81">
        <f>IF(AN113="","",_xlfn.LET(idVenta, AN113&amp;"",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3" s="81">
        <f>IF(AN113="","",AH113-AJ113)</f>
        <v/>
      </c>
      <c r="AL113" s="81">
        <f>IF(AN113="","",IF(Q113="Sin Factura","",AI113-AJ113))</f>
        <v/>
      </c>
      <c r="AM113" s="81">
        <f>IF(AN113="","",IF(Q113="Sin Factura",0,P113-IFERROR(INDEX(Facturas_Odoo!$H:$H, MATCH(Q113, Facturas_Odoo!$B:$B, 0)), 0)))</f>
        <v/>
      </c>
      <c r="AN113" s="79">
        <f>IF(AND(A113="", J113=""), "", IF(A113&lt;&gt;"", VALUE(MID(A113,2,LEN(A113))), AN112))</f>
        <v/>
      </c>
      <c r="AO113" s="79">
        <f>IF(AN113="","",IF(AD113=0,"OK",_xlfn.LET(monedaPago, IF(AA113="","USD",AA113), limitePermitido, IFERROR(VLOOKUP(monedaPago, Configuración!$A$2:$B$3, 2, FALSE), 0.15), IF(AD113&gt;limitePermitido, "ALERTA: EXCESO (" &amp; TEXT(limitePermitido, "0%") &amp; " máx)", "OK"))))</f>
        <v/>
      </c>
      <c r="AP113" s="79">
        <f>IF(AN113="","",IF(AE113=0,"OK",_xlfn.LET(fechaPago, Z113, fechaFactura, R113, diasCredito, IF(E113="Pago inmediato", 0, IFERROR(VALUE(MID(E113, 1, SEARCH(" ", E113)-1)),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3" s="79">
        <f>IF(AN113="","",IF(AND(N113&gt;0, AG113&gt;0), IF(Configuración!$K$2="NO", "ALERTA: DESCUENTO DOBLE NO PERMITIDO", "OK"), "OK"))</f>
        <v/>
      </c>
      <c r="AR113" s="79">
        <f>IF(AN113="","",IF(OR(AO113&lt;&gt;"OK", AP113&lt;&gt;"OK", AQ113&lt;&gt;"OK"), "⚠️ REVISAR", "OK"))</f>
        <v/>
      </c>
    </row>
    <row r="114">
      <c r="A114" s="79">
        <f>IF('Ordenes_Odoo'!A114="","",'Ordenes_Odoo'!A114)</f>
        <v/>
      </c>
      <c r="B114" s="80">
        <f>IF('Ordenes_Odoo'!B114="","",'Ordenes_Odoo'!B114)</f>
        <v/>
      </c>
      <c r="C114" s="79">
        <f>IF('Ordenes_Odoo'!C114="","",'Ordenes_Odoo'!C114)</f>
        <v/>
      </c>
      <c r="D114" s="79">
        <f>IF('Ordenes_Odoo'!D114="","",'Ordenes_Odoo'!D114)</f>
        <v/>
      </c>
      <c r="E114" s="79">
        <f>IF('Ordenes_Odoo'!E114="","",'Ordenes_Odoo'!E114)</f>
        <v/>
      </c>
      <c r="F114" s="79">
        <f>IF('Ordenes_Odoo'!F114="","",'Ordenes_Odoo'!F114)</f>
        <v/>
      </c>
      <c r="G114" s="79">
        <f>IF('Ordenes_Odoo'!G114="","",'Ordenes_Odoo'!G114)</f>
        <v/>
      </c>
      <c r="H114" s="79">
        <f>IF('Ordenes_Odoo'!H114="","",'Ordenes_Odoo'!H114)</f>
        <v/>
      </c>
      <c r="I114" s="79">
        <f>IF('Ordenes_Odoo'!I114="","",'Ordenes_Odoo'!I114)</f>
        <v/>
      </c>
      <c r="J114" s="79">
        <f>IF('Ordenes_Odoo'!J114="","",'Ordenes_Odoo'!J114)</f>
        <v/>
      </c>
      <c r="K114" s="81">
        <f>IF('Ordenes_Odoo'!K114="","",'Ordenes_Odoo'!K114)</f>
        <v/>
      </c>
      <c r="L114" s="81">
        <f>IF('Ordenes_Odoo'!L114="","",'Ordenes_Odoo'!L114)</f>
        <v/>
      </c>
      <c r="M114" s="79">
        <f>IF('Ordenes_Odoo'!M114="","",'Ordenes_Odoo'!M114)</f>
        <v/>
      </c>
      <c r="N114" s="79">
        <f>IF('Ordenes_Odoo'!N114="","",'Ordenes_Odoo'!N114)</f>
        <v/>
      </c>
      <c r="O114" s="81">
        <f>IF('Ordenes_Odoo'!O114="","",'Ordenes_Odoo'!O114)</f>
        <v/>
      </c>
      <c r="P114" s="81">
        <f>IF('Ordenes_Odoo'!P114="","",'Ordenes_Odoo'!P114)</f>
        <v/>
      </c>
      <c r="Q114" s="79">
        <f>IF(A114="","",IFERROR(INDEX(Facturas_Odoo!$B:$B, MATCH(A114, Facturas_Odoo!$D:$D, 0)), "Sin Factura"))</f>
        <v/>
      </c>
      <c r="R114" s="80">
        <f>IF(Q114="Sin Factura","",IFERROR(INDEX(Facturas_Odoo!$A:$A, MATCH(Q114, Facturas_Odoo!$B:$B, 0)), ""))</f>
        <v/>
      </c>
      <c r="S114" s="79">
        <f>IF(Q114="Sin Factura","",IFERROR(_xlfn.XLOOKUP(1, (Facturas_Odoo!$D:$D=A114) * (Facturas_Odoo!$K:$K=I114), Facturas_Odoo!$L:$L, ""), ""))</f>
        <v/>
      </c>
      <c r="T114" s="81">
        <f>IF(Q114="Sin Factura",0,IFERROR(_xlfn.XLOOKUP(1, (Facturas_Odoo!$D:$D=A114) * (Facturas_Odoo!$K:$K=I114), Facturas_Odoo!$M:$M, 0), 0))</f>
        <v/>
      </c>
      <c r="U114" s="79">
        <f>IF(Q114="Sin Factura",0,IFERROR(_xlfn.XLOOKUP(1, (Facturas_Odoo!$D:$D=A114) * (Facturas_Odoo!$K:$K=I114), Facturas_Odoo!$N:$N, 0), 0))</f>
        <v/>
      </c>
      <c r="V114" s="79">
        <f>IF(Q114="Sin Factura",0,IFERROR(_xlfn.XLOOKUP(1, (Facturas_Odoo!$D:$D=A114) * (Facturas_Odoo!$K:$K=I114), Facturas_Odoo!$O:$O, 0), 0))</f>
        <v/>
      </c>
      <c r="W114" s="81">
        <f>IF(Q114="Sin Factura",0,IFERROR(_xlfn.XLOOKUP(1, (Facturas_Odoo!$D:$D=A114) * (Facturas_Odoo!$K:$K=I114), Facturas_Odoo!$Q:$Q, 0), 0))</f>
        <v/>
      </c>
      <c r="X114" s="79">
        <f>IF(OR(Q114="Sin Factura",Q114=""),"",IFERROR(INDEX(Pagos_Odoo!$B:$B, MATCH(Q114, Pagos_Odoo!$I:$I, 0)), "Sin Pago"))</f>
        <v/>
      </c>
      <c r="Y114" s="79">
        <f>IF(X114="Sin Pago","",IFERROR(INDEX(Pagos_Odoo!$C:$C, MATCH(X114, Pagos_Odoo!$B:$B, 0)), ""))</f>
        <v/>
      </c>
      <c r="Z114" s="80">
        <f>IF(X114="Sin Pago","",IFERROR(INDEX(Pagos_Odoo!$A:$A, MATCH(X114, Pagos_Odoo!$B:$B, 0)), ""))</f>
        <v/>
      </c>
      <c r="AA114" s="79">
        <f>IF(X114="Sin Pago","",IFERROR(INDEX(Pagos_Odoo!$F:$F, MATCH(X114, Pagos_Odoo!$B:$B, 0)), ""))</f>
        <v/>
      </c>
      <c r="AB114" s="81">
        <f>IF(X114="Sin Pago",0,IFERROR(INDEX(Pagos_Odoo!$E:$E, MATCH(X114, Pagos_Odoo!$B:$B, 0)), 0))</f>
        <v/>
      </c>
      <c r="AC114" s="79">
        <f>IF(X114="Sin Pago","",IFERROR(INDEX(Pagos_Odoo!$G:$G, MATCH(X114, Pagos_Odoo!$B:$B, 0)), ""))</f>
        <v/>
      </c>
      <c r="AD114" s="82" t="n">
        <v>0</v>
      </c>
      <c r="AE114" s="82" t="n"/>
      <c r="AF114" s="82" t="n"/>
      <c r="AG114" s="82">
        <f>IF(AN114="","",AD114+AE114+AF114)</f>
        <v/>
      </c>
      <c r="AH114" s="81">
        <f>IF(AN114="","",P114*(1-AG114))</f>
        <v/>
      </c>
      <c r="AI114" s="81">
        <f>IF(AN114="","",IF(Q114="Sin Factura",0,IFERROR(INDEX(Facturas_Odoo!$H:$H, MATCH(Q114, Facturas_Odoo!$B:$B, 0)), 0)*(1-AG114)))</f>
        <v/>
      </c>
      <c r="AJ114" s="81">
        <f>IF(AN114="","",_xlfn.LET(idVenta, AN114&amp;"",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4" s="81">
        <f>IF(AN114="","",AH114-AJ114)</f>
        <v/>
      </c>
      <c r="AL114" s="81">
        <f>IF(AN114="","",IF(Q114="Sin Factura","",AI114-AJ114))</f>
        <v/>
      </c>
      <c r="AM114" s="81">
        <f>IF(AN114="","",IF(Q114="Sin Factura",0,P114-IFERROR(INDEX(Facturas_Odoo!$H:$H, MATCH(Q114, Facturas_Odoo!$B:$B, 0)), 0)))</f>
        <v/>
      </c>
      <c r="AN114" s="79">
        <f>IF(AND(A114="", J114=""), "", IF(A114&lt;&gt;"", VALUE(MID(A114,2,LEN(A114))), AN113))</f>
        <v/>
      </c>
      <c r="AO114" s="79">
        <f>IF(AN114="","",IF(AD114=0,"OK",_xlfn.LET(monedaPago, IF(AA114="","USD",AA114), limitePermitido, IFERROR(VLOOKUP(monedaPago, Configuración!$A$2:$B$3, 2, FALSE), 0.15), IF(AD114&gt;limitePermitido, "ALERTA: EXCESO (" &amp; TEXT(limitePermitido, "0%") &amp; " máx)", "OK"))))</f>
        <v/>
      </c>
      <c r="AP114" s="79">
        <f>IF(AN114="","",IF(AE114=0,"OK",_xlfn.LET(fechaPago, Z114, fechaFactura, R114, diasCredito, IF(E114="Pago inmediato", 0, IFERROR(VALUE(MID(E114, 1, SEARCH(" ", E114)-1)),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4" s="79">
        <f>IF(AN114="","",IF(AND(N114&gt;0, AG114&gt;0), IF(Configuración!$K$2="NO", "ALERTA: DESCUENTO DOBLE NO PERMITIDO", "OK"), "OK"))</f>
        <v/>
      </c>
      <c r="AR114" s="79">
        <f>IF(AN114="","",IF(OR(AO114&lt;&gt;"OK", AP114&lt;&gt;"OK", AQ114&lt;&gt;"OK"), "⚠️ REVISAR", "OK"))</f>
        <v/>
      </c>
    </row>
    <row r="115">
      <c r="A115" s="79">
        <f>IF('Ordenes_Odoo'!A115="","",'Ordenes_Odoo'!A115)</f>
        <v/>
      </c>
      <c r="B115" s="80">
        <f>IF('Ordenes_Odoo'!B115="","",'Ordenes_Odoo'!B115)</f>
        <v/>
      </c>
      <c r="C115" s="79">
        <f>IF('Ordenes_Odoo'!C115="","",'Ordenes_Odoo'!C115)</f>
        <v/>
      </c>
      <c r="D115" s="79">
        <f>IF('Ordenes_Odoo'!D115="","",'Ordenes_Odoo'!D115)</f>
        <v/>
      </c>
      <c r="E115" s="79">
        <f>IF('Ordenes_Odoo'!E115="","",'Ordenes_Odoo'!E115)</f>
        <v/>
      </c>
      <c r="F115" s="79">
        <f>IF('Ordenes_Odoo'!F115="","",'Ordenes_Odoo'!F115)</f>
        <v/>
      </c>
      <c r="G115" s="79">
        <f>IF('Ordenes_Odoo'!G115="","",'Ordenes_Odoo'!G115)</f>
        <v/>
      </c>
      <c r="H115" s="79">
        <f>IF('Ordenes_Odoo'!H115="","",'Ordenes_Odoo'!H115)</f>
        <v/>
      </c>
      <c r="I115" s="79">
        <f>IF('Ordenes_Odoo'!I115="","",'Ordenes_Odoo'!I115)</f>
        <v/>
      </c>
      <c r="J115" s="79">
        <f>IF('Ordenes_Odoo'!J115="","",'Ordenes_Odoo'!J115)</f>
        <v/>
      </c>
      <c r="K115" s="81">
        <f>IF('Ordenes_Odoo'!K115="","",'Ordenes_Odoo'!K115)</f>
        <v/>
      </c>
      <c r="L115" s="81">
        <f>IF('Ordenes_Odoo'!L115="","",'Ordenes_Odoo'!L115)</f>
        <v/>
      </c>
      <c r="M115" s="79">
        <f>IF('Ordenes_Odoo'!M115="","",'Ordenes_Odoo'!M115)</f>
        <v/>
      </c>
      <c r="N115" s="79">
        <f>IF('Ordenes_Odoo'!N115="","",'Ordenes_Odoo'!N115)</f>
        <v/>
      </c>
      <c r="O115" s="81">
        <f>IF('Ordenes_Odoo'!O115="","",'Ordenes_Odoo'!O115)</f>
        <v/>
      </c>
      <c r="P115" s="81">
        <f>IF('Ordenes_Odoo'!P115="","",'Ordenes_Odoo'!P115)</f>
        <v/>
      </c>
      <c r="Q115" s="79">
        <f>IF(A115="","",IFERROR(INDEX(Facturas_Odoo!$B:$B, MATCH(A115, Facturas_Odoo!$D:$D, 0)), "Sin Factura"))</f>
        <v/>
      </c>
      <c r="R115" s="80">
        <f>IF(Q115="Sin Factura","",IFERROR(INDEX(Facturas_Odoo!$A:$A, MATCH(Q115, Facturas_Odoo!$B:$B, 0)), ""))</f>
        <v/>
      </c>
      <c r="S115" s="79">
        <f>IF(Q115="Sin Factura","",IFERROR(_xlfn.XLOOKUP(1, (Facturas_Odoo!$D:$D=A115) * (Facturas_Odoo!$K:$K=I115), Facturas_Odoo!$L:$L, ""), ""))</f>
        <v/>
      </c>
      <c r="T115" s="81">
        <f>IF(Q115="Sin Factura",0,IFERROR(_xlfn.XLOOKUP(1, (Facturas_Odoo!$D:$D=A115) * (Facturas_Odoo!$K:$K=I115), Facturas_Odoo!$M:$M, 0), 0))</f>
        <v/>
      </c>
      <c r="U115" s="79">
        <f>IF(Q115="Sin Factura",0,IFERROR(_xlfn.XLOOKUP(1, (Facturas_Odoo!$D:$D=A115) * (Facturas_Odoo!$K:$K=I115), Facturas_Odoo!$N:$N, 0), 0))</f>
        <v/>
      </c>
      <c r="V115" s="79">
        <f>IF(Q115="Sin Factura",0,IFERROR(_xlfn.XLOOKUP(1, (Facturas_Odoo!$D:$D=A115) * (Facturas_Odoo!$K:$K=I115), Facturas_Odoo!$O:$O, 0), 0))</f>
        <v/>
      </c>
      <c r="W115" s="81">
        <f>IF(Q115="Sin Factura",0,IFERROR(_xlfn.XLOOKUP(1, (Facturas_Odoo!$D:$D=A115) * (Facturas_Odoo!$K:$K=I115), Facturas_Odoo!$Q:$Q, 0), 0))</f>
        <v/>
      </c>
      <c r="X115" s="79">
        <f>IF(OR(Q115="Sin Factura",Q115=""),"",IFERROR(INDEX(Pagos_Odoo!$B:$B, MATCH(Q115, Pagos_Odoo!$I:$I, 0)), "Sin Pago"))</f>
        <v/>
      </c>
      <c r="Y115" s="79">
        <f>IF(X115="Sin Pago","",IFERROR(INDEX(Pagos_Odoo!$C:$C, MATCH(X115, Pagos_Odoo!$B:$B, 0)), ""))</f>
        <v/>
      </c>
      <c r="Z115" s="80">
        <f>IF(X115="Sin Pago","",IFERROR(INDEX(Pagos_Odoo!$A:$A, MATCH(X115, Pagos_Odoo!$B:$B, 0)), ""))</f>
        <v/>
      </c>
      <c r="AA115" s="79">
        <f>IF(X115="Sin Pago","",IFERROR(INDEX(Pagos_Odoo!$F:$F, MATCH(X115, Pagos_Odoo!$B:$B, 0)), ""))</f>
        <v/>
      </c>
      <c r="AB115" s="81">
        <f>IF(X115="Sin Pago",0,IFERROR(INDEX(Pagos_Odoo!$E:$E, MATCH(X115, Pagos_Odoo!$B:$B, 0)), 0))</f>
        <v/>
      </c>
      <c r="AC115" s="79">
        <f>IF(X115="Sin Pago","",IFERROR(INDEX(Pagos_Odoo!$G:$G, MATCH(X115, Pagos_Odoo!$B:$B, 0)), ""))</f>
        <v/>
      </c>
      <c r="AD115" s="82" t="n">
        <v>0</v>
      </c>
      <c r="AE115" s="82" t="n"/>
      <c r="AF115" s="82" t="n"/>
      <c r="AG115" s="82">
        <f>IF(AN115="","",AD115+AE115+AF115)</f>
        <v/>
      </c>
      <c r="AH115" s="81">
        <f>IF(AN115="","",P115*(1-AG115))</f>
        <v/>
      </c>
      <c r="AI115" s="81">
        <f>IF(AN115="","",IF(Q115="Sin Factura",0,IFERROR(INDEX(Facturas_Odoo!$H:$H, MATCH(Q115, Facturas_Odoo!$B:$B, 0)), 0)*(1-AG115)))</f>
        <v/>
      </c>
      <c r="AJ115" s="81">
        <f>IF(AN115="","",_xlfn.LET(idVenta, AN115&amp;"",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5" s="81">
        <f>IF(AN115="","",AH115-AJ115)</f>
        <v/>
      </c>
      <c r="AL115" s="81">
        <f>IF(AN115="","",IF(Q115="Sin Factura","",AI115-AJ115))</f>
        <v/>
      </c>
      <c r="AM115" s="81">
        <f>IF(AN115="","",IF(Q115="Sin Factura",0,P115-IFERROR(INDEX(Facturas_Odoo!$H:$H, MATCH(Q115, Facturas_Odoo!$B:$B, 0)), 0)))</f>
        <v/>
      </c>
      <c r="AN115" s="79">
        <f>IF(AND(A115="", J115=""), "", IF(A115&lt;&gt;"", VALUE(MID(A115,2,LEN(A115))), AN114))</f>
        <v/>
      </c>
      <c r="AO115" s="79">
        <f>IF(AN115="","",IF(AD115=0,"OK",_xlfn.LET(monedaPago, IF(AA115="","USD",AA115), limitePermitido, IFERROR(VLOOKUP(monedaPago, Configuración!$A$2:$B$3, 2, FALSE), 0.15), IF(AD115&gt;limitePermitido, "ALERTA: EXCESO (" &amp; TEXT(limitePermitido, "0%") &amp; " máx)", "OK"))))</f>
        <v/>
      </c>
      <c r="AP115" s="79">
        <f>IF(AN115="","",IF(AE115=0,"OK",_xlfn.LET(fechaPago, Z115, fechaFactura, R115, diasCredito, IF(E115="Pago inmediato", 0, IFERROR(VALUE(MID(E115, 1, SEARCH(" ", E115)-1)),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5" s="79">
        <f>IF(AN115="","",IF(AND(N115&gt;0, AG115&gt;0), IF(Configuración!$K$2="NO", "ALERTA: DESCUENTO DOBLE NO PERMITIDO", "OK"), "OK"))</f>
        <v/>
      </c>
      <c r="AR115" s="79">
        <f>IF(AN115="","",IF(OR(AO115&lt;&gt;"OK", AP115&lt;&gt;"OK", AQ115&lt;&gt;"OK"), "⚠️ REVISAR", "OK"))</f>
        <v/>
      </c>
    </row>
    <row r="116">
      <c r="A116" s="79">
        <f>IF('Ordenes_Odoo'!A116="","",'Ordenes_Odoo'!A116)</f>
        <v/>
      </c>
      <c r="B116" s="80">
        <f>IF('Ordenes_Odoo'!B116="","",'Ordenes_Odoo'!B116)</f>
        <v/>
      </c>
      <c r="C116" s="79">
        <f>IF('Ordenes_Odoo'!C116="","",'Ordenes_Odoo'!C116)</f>
        <v/>
      </c>
      <c r="D116" s="79">
        <f>IF('Ordenes_Odoo'!D116="","",'Ordenes_Odoo'!D116)</f>
        <v/>
      </c>
      <c r="E116" s="79">
        <f>IF('Ordenes_Odoo'!E116="","",'Ordenes_Odoo'!E116)</f>
        <v/>
      </c>
      <c r="F116" s="79">
        <f>IF('Ordenes_Odoo'!F116="","",'Ordenes_Odoo'!F116)</f>
        <v/>
      </c>
      <c r="G116" s="79">
        <f>IF('Ordenes_Odoo'!G116="","",'Ordenes_Odoo'!G116)</f>
        <v/>
      </c>
      <c r="H116" s="79">
        <f>IF('Ordenes_Odoo'!H116="","",'Ordenes_Odoo'!H116)</f>
        <v/>
      </c>
      <c r="I116" s="79">
        <f>IF('Ordenes_Odoo'!I116="","",'Ordenes_Odoo'!I116)</f>
        <v/>
      </c>
      <c r="J116" s="79">
        <f>IF('Ordenes_Odoo'!J116="","",'Ordenes_Odoo'!J116)</f>
        <v/>
      </c>
      <c r="K116" s="81">
        <f>IF('Ordenes_Odoo'!K116="","",'Ordenes_Odoo'!K116)</f>
        <v/>
      </c>
      <c r="L116" s="81">
        <f>IF('Ordenes_Odoo'!L116="","",'Ordenes_Odoo'!L116)</f>
        <v/>
      </c>
      <c r="M116" s="79">
        <f>IF('Ordenes_Odoo'!M116="","",'Ordenes_Odoo'!M116)</f>
        <v/>
      </c>
      <c r="N116" s="79">
        <f>IF('Ordenes_Odoo'!N116="","",'Ordenes_Odoo'!N116)</f>
        <v/>
      </c>
      <c r="O116" s="81">
        <f>IF('Ordenes_Odoo'!O116="","",'Ordenes_Odoo'!O116)</f>
        <v/>
      </c>
      <c r="P116" s="81">
        <f>IF('Ordenes_Odoo'!P116="","",'Ordenes_Odoo'!P116)</f>
        <v/>
      </c>
      <c r="Q116" s="79">
        <f>IF(A116="","",IFERROR(INDEX(Facturas_Odoo!$B:$B, MATCH(A116, Facturas_Odoo!$D:$D, 0)), "Sin Factura"))</f>
        <v/>
      </c>
      <c r="R116" s="80">
        <f>IF(Q116="Sin Factura","",IFERROR(INDEX(Facturas_Odoo!$A:$A, MATCH(Q116, Facturas_Odoo!$B:$B, 0)), ""))</f>
        <v/>
      </c>
      <c r="S116" s="79">
        <f>IF(Q116="Sin Factura","",IFERROR(_xlfn.XLOOKUP(1, (Facturas_Odoo!$D:$D=A116) * (Facturas_Odoo!$K:$K=I116), Facturas_Odoo!$L:$L, ""), ""))</f>
        <v/>
      </c>
      <c r="T116" s="81">
        <f>IF(Q116="Sin Factura",0,IFERROR(_xlfn.XLOOKUP(1, (Facturas_Odoo!$D:$D=A116) * (Facturas_Odoo!$K:$K=I116), Facturas_Odoo!$M:$M, 0), 0))</f>
        <v/>
      </c>
      <c r="U116" s="79">
        <f>IF(Q116="Sin Factura",0,IFERROR(_xlfn.XLOOKUP(1, (Facturas_Odoo!$D:$D=A116) * (Facturas_Odoo!$K:$K=I116), Facturas_Odoo!$N:$N, 0), 0))</f>
        <v/>
      </c>
      <c r="V116" s="79">
        <f>IF(Q116="Sin Factura",0,IFERROR(_xlfn.XLOOKUP(1, (Facturas_Odoo!$D:$D=A116) * (Facturas_Odoo!$K:$K=I116), Facturas_Odoo!$O:$O, 0), 0))</f>
        <v/>
      </c>
      <c r="W116" s="81">
        <f>IF(Q116="Sin Factura",0,IFERROR(_xlfn.XLOOKUP(1, (Facturas_Odoo!$D:$D=A116) * (Facturas_Odoo!$K:$K=I116), Facturas_Odoo!$Q:$Q, 0), 0))</f>
        <v/>
      </c>
      <c r="X116" s="79">
        <f>IF(OR(Q116="Sin Factura",Q116=""),"",IFERROR(INDEX(Pagos_Odoo!$B:$B, MATCH(Q116, Pagos_Odoo!$I:$I, 0)), "Sin Pago"))</f>
        <v/>
      </c>
      <c r="Y116" s="79">
        <f>IF(X116="Sin Pago","",IFERROR(INDEX(Pagos_Odoo!$C:$C, MATCH(X116, Pagos_Odoo!$B:$B, 0)), ""))</f>
        <v/>
      </c>
      <c r="Z116" s="80">
        <f>IF(X116="Sin Pago","",IFERROR(INDEX(Pagos_Odoo!$A:$A, MATCH(X116, Pagos_Odoo!$B:$B, 0)), ""))</f>
        <v/>
      </c>
      <c r="AA116" s="79">
        <f>IF(X116="Sin Pago","",IFERROR(INDEX(Pagos_Odoo!$F:$F, MATCH(X116, Pagos_Odoo!$B:$B, 0)), ""))</f>
        <v/>
      </c>
      <c r="AB116" s="81">
        <f>IF(X116="Sin Pago",0,IFERROR(INDEX(Pagos_Odoo!$E:$E, MATCH(X116, Pagos_Odoo!$B:$B, 0)), 0))</f>
        <v/>
      </c>
      <c r="AC116" s="79">
        <f>IF(X116="Sin Pago","",IFERROR(INDEX(Pagos_Odoo!$G:$G, MATCH(X116, Pagos_Odoo!$B:$B, 0)), ""))</f>
        <v/>
      </c>
      <c r="AD116" s="82" t="n">
        <v>0</v>
      </c>
      <c r="AE116" s="82" t="n"/>
      <c r="AF116" s="82" t="n"/>
      <c r="AG116" s="82">
        <f>IF(AN116="","",AD116+AE116+AF116)</f>
        <v/>
      </c>
      <c r="AH116" s="81">
        <f>IF(AN116="","",P116*(1-AG116))</f>
        <v/>
      </c>
      <c r="AI116" s="81">
        <f>IF(AN116="","",IF(Q116="Sin Factura",0,IFERROR(INDEX(Facturas_Odoo!$H:$H, MATCH(Q116, Facturas_Odoo!$B:$B, 0)), 0)*(1-AG116)))</f>
        <v/>
      </c>
      <c r="AJ116" s="81">
        <f>IF(AN116="","",_xlfn.LET(idVenta, AN116&amp;"",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6" s="81">
        <f>IF(AN116="","",AH116-AJ116)</f>
        <v/>
      </c>
      <c r="AL116" s="81">
        <f>IF(AN116="","",IF(Q116="Sin Factura","",AI116-AJ116))</f>
        <v/>
      </c>
      <c r="AM116" s="81">
        <f>IF(AN116="","",IF(Q116="Sin Factura",0,P116-IFERROR(INDEX(Facturas_Odoo!$H:$H, MATCH(Q116, Facturas_Odoo!$B:$B, 0)), 0)))</f>
        <v/>
      </c>
      <c r="AN116" s="79">
        <f>IF(AND(A116="", J116=""), "", IF(A116&lt;&gt;"", VALUE(MID(A116,2,LEN(A116))), AN115))</f>
        <v/>
      </c>
      <c r="AO116" s="79">
        <f>IF(AN116="","",IF(AD116=0,"OK",_xlfn.LET(monedaPago, IF(AA116="","USD",AA116), limitePermitido, IFERROR(VLOOKUP(monedaPago, Configuración!$A$2:$B$3, 2, FALSE), 0.15), IF(AD116&gt;limitePermitido, "ALERTA: EXCESO (" &amp; TEXT(limitePermitido, "0%") &amp; " máx)", "OK"))))</f>
        <v/>
      </c>
      <c r="AP116" s="79">
        <f>IF(AN116="","",IF(AE116=0,"OK",_xlfn.LET(fechaPago, Z116, fechaFactura, R116, diasCredito, IF(E116="Pago inmediato", 0, IFERROR(VALUE(MID(E116, 1, SEARCH(" ", E116)-1)),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6" s="79">
        <f>IF(AN116="","",IF(AND(N116&gt;0, AG116&gt;0), IF(Configuración!$K$2="NO", "ALERTA: DESCUENTO DOBLE NO PERMITIDO", "OK"), "OK"))</f>
        <v/>
      </c>
      <c r="AR116" s="79">
        <f>IF(AN116="","",IF(OR(AO116&lt;&gt;"OK", AP116&lt;&gt;"OK", AQ116&lt;&gt;"OK"), "⚠️ REVISAR", "OK"))</f>
        <v/>
      </c>
    </row>
    <row r="117">
      <c r="A117" s="79">
        <f>IF('Ordenes_Odoo'!A117="","",'Ordenes_Odoo'!A117)</f>
        <v/>
      </c>
      <c r="B117" s="80">
        <f>IF('Ordenes_Odoo'!B117="","",'Ordenes_Odoo'!B117)</f>
        <v/>
      </c>
      <c r="C117" s="79">
        <f>IF('Ordenes_Odoo'!C117="","",'Ordenes_Odoo'!C117)</f>
        <v/>
      </c>
      <c r="D117" s="79">
        <f>IF('Ordenes_Odoo'!D117="","",'Ordenes_Odoo'!D117)</f>
        <v/>
      </c>
      <c r="E117" s="79">
        <f>IF('Ordenes_Odoo'!E117="","",'Ordenes_Odoo'!E117)</f>
        <v/>
      </c>
      <c r="F117" s="79">
        <f>IF('Ordenes_Odoo'!F117="","",'Ordenes_Odoo'!F117)</f>
        <v/>
      </c>
      <c r="G117" s="79">
        <f>IF('Ordenes_Odoo'!G117="","",'Ordenes_Odoo'!G117)</f>
        <v/>
      </c>
      <c r="H117" s="79">
        <f>IF('Ordenes_Odoo'!H117="","",'Ordenes_Odoo'!H117)</f>
        <v/>
      </c>
      <c r="I117" s="79">
        <f>IF('Ordenes_Odoo'!I117="","",'Ordenes_Odoo'!I117)</f>
        <v/>
      </c>
      <c r="J117" s="79">
        <f>IF('Ordenes_Odoo'!J117="","",'Ordenes_Odoo'!J117)</f>
        <v/>
      </c>
      <c r="K117" s="81">
        <f>IF('Ordenes_Odoo'!K117="","",'Ordenes_Odoo'!K117)</f>
        <v/>
      </c>
      <c r="L117" s="81">
        <f>IF('Ordenes_Odoo'!L117="","",'Ordenes_Odoo'!L117)</f>
        <v/>
      </c>
      <c r="M117" s="79">
        <f>IF('Ordenes_Odoo'!M117="","",'Ordenes_Odoo'!M117)</f>
        <v/>
      </c>
      <c r="N117" s="79">
        <f>IF('Ordenes_Odoo'!N117="","",'Ordenes_Odoo'!N117)</f>
        <v/>
      </c>
      <c r="O117" s="81">
        <f>IF('Ordenes_Odoo'!O117="","",'Ordenes_Odoo'!O117)</f>
        <v/>
      </c>
      <c r="P117" s="81">
        <f>IF('Ordenes_Odoo'!P117="","",'Ordenes_Odoo'!P117)</f>
        <v/>
      </c>
      <c r="Q117" s="79">
        <f>IF(A117="","",IFERROR(INDEX(Facturas_Odoo!$B:$B, MATCH(A117, Facturas_Odoo!$D:$D, 0)), "Sin Factura"))</f>
        <v/>
      </c>
      <c r="R117" s="80">
        <f>IF(Q117="Sin Factura","",IFERROR(INDEX(Facturas_Odoo!$A:$A, MATCH(Q117, Facturas_Odoo!$B:$B, 0)), ""))</f>
        <v/>
      </c>
      <c r="S117" s="79">
        <f>IF(Q117="Sin Factura","",IFERROR(_xlfn.XLOOKUP(1, (Facturas_Odoo!$D:$D=A117) * (Facturas_Odoo!$K:$K=I117), Facturas_Odoo!$L:$L, ""), ""))</f>
        <v/>
      </c>
      <c r="T117" s="81">
        <f>IF(Q117="Sin Factura",0,IFERROR(_xlfn.XLOOKUP(1, (Facturas_Odoo!$D:$D=A117) * (Facturas_Odoo!$K:$K=I117), Facturas_Odoo!$M:$M, 0), 0))</f>
        <v/>
      </c>
      <c r="U117" s="79">
        <f>IF(Q117="Sin Factura",0,IFERROR(_xlfn.XLOOKUP(1, (Facturas_Odoo!$D:$D=A117) * (Facturas_Odoo!$K:$K=I117), Facturas_Odoo!$N:$N, 0), 0))</f>
        <v/>
      </c>
      <c r="V117" s="79">
        <f>IF(Q117="Sin Factura",0,IFERROR(_xlfn.XLOOKUP(1, (Facturas_Odoo!$D:$D=A117) * (Facturas_Odoo!$K:$K=I117), Facturas_Odoo!$O:$O, 0), 0))</f>
        <v/>
      </c>
      <c r="W117" s="81">
        <f>IF(Q117="Sin Factura",0,IFERROR(_xlfn.XLOOKUP(1, (Facturas_Odoo!$D:$D=A117) * (Facturas_Odoo!$K:$K=I117), Facturas_Odoo!$Q:$Q, 0), 0))</f>
        <v/>
      </c>
      <c r="X117" s="79">
        <f>IF(OR(Q117="Sin Factura",Q117=""),"",IFERROR(INDEX(Pagos_Odoo!$B:$B, MATCH(Q117, Pagos_Odoo!$I:$I, 0)), "Sin Pago"))</f>
        <v/>
      </c>
      <c r="Y117" s="79">
        <f>IF(X117="Sin Pago","",IFERROR(INDEX(Pagos_Odoo!$C:$C, MATCH(X117, Pagos_Odoo!$B:$B, 0)), ""))</f>
        <v/>
      </c>
      <c r="Z117" s="80">
        <f>IF(X117="Sin Pago","",IFERROR(INDEX(Pagos_Odoo!$A:$A, MATCH(X117, Pagos_Odoo!$B:$B, 0)), ""))</f>
        <v/>
      </c>
      <c r="AA117" s="79">
        <f>IF(X117="Sin Pago","",IFERROR(INDEX(Pagos_Odoo!$F:$F, MATCH(X117, Pagos_Odoo!$B:$B, 0)), ""))</f>
        <v/>
      </c>
      <c r="AB117" s="81">
        <f>IF(X117="Sin Pago",0,IFERROR(INDEX(Pagos_Odoo!$E:$E, MATCH(X117, Pagos_Odoo!$B:$B, 0)), 0))</f>
        <v/>
      </c>
      <c r="AC117" s="79">
        <f>IF(X117="Sin Pago","",IFERROR(INDEX(Pagos_Odoo!$G:$G, MATCH(X117, Pagos_Odoo!$B:$B, 0)), ""))</f>
        <v/>
      </c>
      <c r="AD117" s="82" t="n">
        <v>0</v>
      </c>
      <c r="AE117" s="82" t="n"/>
      <c r="AF117" s="82" t="n"/>
      <c r="AG117" s="82">
        <f>IF(AN117="","",AD117+AE117+AF117)</f>
        <v/>
      </c>
      <c r="AH117" s="81">
        <f>IF(AN117="","",P117*(1-AG117))</f>
        <v/>
      </c>
      <c r="AI117" s="81">
        <f>IF(AN117="","",IF(Q117="Sin Factura",0,IFERROR(INDEX(Facturas_Odoo!$H:$H, MATCH(Q117, Facturas_Odoo!$B:$B, 0)), 0)*(1-AG117)))</f>
        <v/>
      </c>
      <c r="AJ117" s="81">
        <f>IF(AN117="","",_xlfn.LET(idVenta, AN117&amp;"",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7" s="81">
        <f>IF(AN117="","",AH117-AJ117)</f>
        <v/>
      </c>
      <c r="AL117" s="81">
        <f>IF(AN117="","",IF(Q117="Sin Factura","",AI117-AJ117))</f>
        <v/>
      </c>
      <c r="AM117" s="81">
        <f>IF(AN117="","",IF(Q117="Sin Factura",0,P117-IFERROR(INDEX(Facturas_Odoo!$H:$H, MATCH(Q117, Facturas_Odoo!$B:$B, 0)), 0)))</f>
        <v/>
      </c>
      <c r="AN117" s="79">
        <f>IF(AND(A117="", J117=""), "", IF(A117&lt;&gt;"", VALUE(MID(A117,2,LEN(A117))), AN116))</f>
        <v/>
      </c>
      <c r="AO117" s="79">
        <f>IF(AN117="","",IF(AD117=0,"OK",_xlfn.LET(monedaPago, IF(AA117="","USD",AA117), limitePermitido, IFERROR(VLOOKUP(monedaPago, Configuración!$A$2:$B$3, 2, FALSE), 0.15), IF(AD117&gt;limitePermitido, "ALERTA: EXCESO (" &amp; TEXT(limitePermitido, "0%") &amp; " máx)", "OK"))))</f>
        <v/>
      </c>
      <c r="AP117" s="79">
        <f>IF(AN117="","",IF(AE117=0,"OK",_xlfn.LET(fechaPago, Z117, fechaFactura, R117, diasCredito, IF(E117="Pago inmediato", 0, IFERROR(VALUE(MID(E117, 1, SEARCH(" ", E117)-1)),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7" s="79">
        <f>IF(AN117="","",IF(AND(N117&gt;0, AG117&gt;0), IF(Configuración!$K$2="NO", "ALERTA: DESCUENTO DOBLE NO PERMITIDO", "OK"), "OK"))</f>
        <v/>
      </c>
      <c r="AR117" s="79">
        <f>IF(AN117="","",IF(OR(AO117&lt;&gt;"OK", AP117&lt;&gt;"OK", AQ117&lt;&gt;"OK"), "⚠️ REVISAR", "OK"))</f>
        <v/>
      </c>
    </row>
    <row r="118">
      <c r="A118" s="79">
        <f>IF('Ordenes_Odoo'!A118="","",'Ordenes_Odoo'!A118)</f>
        <v/>
      </c>
      <c r="B118" s="80">
        <f>IF('Ordenes_Odoo'!B118="","",'Ordenes_Odoo'!B118)</f>
        <v/>
      </c>
      <c r="C118" s="79">
        <f>IF('Ordenes_Odoo'!C118="","",'Ordenes_Odoo'!C118)</f>
        <v/>
      </c>
      <c r="D118" s="79">
        <f>IF('Ordenes_Odoo'!D118="","",'Ordenes_Odoo'!D118)</f>
        <v/>
      </c>
      <c r="E118" s="79">
        <f>IF('Ordenes_Odoo'!E118="","",'Ordenes_Odoo'!E118)</f>
        <v/>
      </c>
      <c r="F118" s="79">
        <f>IF('Ordenes_Odoo'!F118="","",'Ordenes_Odoo'!F118)</f>
        <v/>
      </c>
      <c r="G118" s="79">
        <f>IF('Ordenes_Odoo'!G118="","",'Ordenes_Odoo'!G118)</f>
        <v/>
      </c>
      <c r="H118" s="79">
        <f>IF('Ordenes_Odoo'!H118="","",'Ordenes_Odoo'!H118)</f>
        <v/>
      </c>
      <c r="I118" s="79">
        <f>IF('Ordenes_Odoo'!I118="","",'Ordenes_Odoo'!I118)</f>
        <v/>
      </c>
      <c r="J118" s="79">
        <f>IF('Ordenes_Odoo'!J118="","",'Ordenes_Odoo'!J118)</f>
        <v/>
      </c>
      <c r="K118" s="81">
        <f>IF('Ordenes_Odoo'!K118="","",'Ordenes_Odoo'!K118)</f>
        <v/>
      </c>
      <c r="L118" s="81">
        <f>IF('Ordenes_Odoo'!L118="","",'Ordenes_Odoo'!L118)</f>
        <v/>
      </c>
      <c r="M118" s="79">
        <f>IF('Ordenes_Odoo'!M118="","",'Ordenes_Odoo'!M118)</f>
        <v/>
      </c>
      <c r="N118" s="79">
        <f>IF('Ordenes_Odoo'!N118="","",'Ordenes_Odoo'!N118)</f>
        <v/>
      </c>
      <c r="O118" s="81">
        <f>IF('Ordenes_Odoo'!O118="","",'Ordenes_Odoo'!O118)</f>
        <v/>
      </c>
      <c r="P118" s="81">
        <f>IF('Ordenes_Odoo'!P118="","",'Ordenes_Odoo'!P118)</f>
        <v/>
      </c>
      <c r="Q118" s="79">
        <f>IF(A118="","",IFERROR(INDEX(Facturas_Odoo!$B:$B, MATCH(A118, Facturas_Odoo!$D:$D, 0)), "Sin Factura"))</f>
        <v/>
      </c>
      <c r="R118" s="80">
        <f>IF(Q118="Sin Factura","",IFERROR(INDEX(Facturas_Odoo!$A:$A, MATCH(Q118, Facturas_Odoo!$B:$B, 0)), ""))</f>
        <v/>
      </c>
      <c r="S118" s="79">
        <f>IF(Q118="Sin Factura","",IFERROR(_xlfn.XLOOKUP(1, (Facturas_Odoo!$D:$D=A118) * (Facturas_Odoo!$K:$K=I118), Facturas_Odoo!$L:$L, ""), ""))</f>
        <v/>
      </c>
      <c r="T118" s="81">
        <f>IF(Q118="Sin Factura",0,IFERROR(_xlfn.XLOOKUP(1, (Facturas_Odoo!$D:$D=A118) * (Facturas_Odoo!$K:$K=I118), Facturas_Odoo!$M:$M, 0), 0))</f>
        <v/>
      </c>
      <c r="U118" s="79">
        <f>IF(Q118="Sin Factura",0,IFERROR(_xlfn.XLOOKUP(1, (Facturas_Odoo!$D:$D=A118) * (Facturas_Odoo!$K:$K=I118), Facturas_Odoo!$N:$N, 0), 0))</f>
        <v/>
      </c>
      <c r="V118" s="79">
        <f>IF(Q118="Sin Factura",0,IFERROR(_xlfn.XLOOKUP(1, (Facturas_Odoo!$D:$D=A118) * (Facturas_Odoo!$K:$K=I118), Facturas_Odoo!$O:$O, 0), 0))</f>
        <v/>
      </c>
      <c r="W118" s="81">
        <f>IF(Q118="Sin Factura",0,IFERROR(_xlfn.XLOOKUP(1, (Facturas_Odoo!$D:$D=A118) * (Facturas_Odoo!$K:$K=I118), Facturas_Odoo!$Q:$Q, 0), 0))</f>
        <v/>
      </c>
      <c r="X118" s="79">
        <f>IF(OR(Q118="Sin Factura",Q118=""),"",IFERROR(INDEX(Pagos_Odoo!$B:$B, MATCH(Q118, Pagos_Odoo!$I:$I, 0)), "Sin Pago"))</f>
        <v/>
      </c>
      <c r="Y118" s="79">
        <f>IF(X118="Sin Pago","",IFERROR(INDEX(Pagos_Odoo!$C:$C, MATCH(X118, Pagos_Odoo!$B:$B, 0)), ""))</f>
        <v/>
      </c>
      <c r="Z118" s="80">
        <f>IF(X118="Sin Pago","",IFERROR(INDEX(Pagos_Odoo!$A:$A, MATCH(X118, Pagos_Odoo!$B:$B, 0)), ""))</f>
        <v/>
      </c>
      <c r="AA118" s="79">
        <f>IF(X118="Sin Pago","",IFERROR(INDEX(Pagos_Odoo!$F:$F, MATCH(X118, Pagos_Odoo!$B:$B, 0)), ""))</f>
        <v/>
      </c>
      <c r="AB118" s="81">
        <f>IF(X118="Sin Pago",0,IFERROR(INDEX(Pagos_Odoo!$E:$E, MATCH(X118, Pagos_Odoo!$B:$B, 0)), 0))</f>
        <v/>
      </c>
      <c r="AC118" s="79">
        <f>IF(X118="Sin Pago","",IFERROR(INDEX(Pagos_Odoo!$G:$G, MATCH(X118, Pagos_Odoo!$B:$B, 0)), ""))</f>
        <v/>
      </c>
      <c r="AD118" s="82" t="n">
        <v>0</v>
      </c>
      <c r="AE118" s="82" t="n"/>
      <c r="AF118" s="82" t="n"/>
      <c r="AG118" s="82">
        <f>IF(AN118="","",AD118+AE118+AF118)</f>
        <v/>
      </c>
      <c r="AH118" s="81">
        <f>IF(AN118="","",P118*(1-AG118))</f>
        <v/>
      </c>
      <c r="AI118" s="81">
        <f>IF(AN118="","",IF(Q118="Sin Factura",0,IFERROR(INDEX(Facturas_Odoo!$H:$H, MATCH(Q118, Facturas_Odoo!$B:$B, 0)), 0)*(1-AG118)))</f>
        <v/>
      </c>
      <c r="AJ118" s="81">
        <f>IF(AN118="","",_xlfn.LET(idVenta, AN118&amp;"",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8" s="81">
        <f>IF(AN118="","",AH118-AJ118)</f>
        <v/>
      </c>
      <c r="AL118" s="81">
        <f>IF(AN118="","",IF(Q118="Sin Factura","",AI118-AJ118))</f>
        <v/>
      </c>
      <c r="AM118" s="81">
        <f>IF(AN118="","",IF(Q118="Sin Factura",0,P118-IFERROR(INDEX(Facturas_Odoo!$H:$H, MATCH(Q118, Facturas_Odoo!$B:$B, 0)), 0)))</f>
        <v/>
      </c>
      <c r="AN118" s="79">
        <f>IF(AND(A118="", J118=""), "", IF(A118&lt;&gt;"", VALUE(MID(A118,2,LEN(A118))), AN117))</f>
        <v/>
      </c>
      <c r="AO118" s="79">
        <f>IF(AN118="","",IF(AD118=0,"OK",_xlfn.LET(monedaPago, IF(AA118="","USD",AA118), limitePermitido, IFERROR(VLOOKUP(monedaPago, Configuración!$A$2:$B$3, 2, FALSE), 0.15), IF(AD118&gt;limitePermitido, "ALERTA: EXCESO (" &amp; TEXT(limitePermitido, "0%") &amp; " máx)", "OK"))))</f>
        <v/>
      </c>
      <c r="AP118" s="79">
        <f>IF(AN118="","",IF(AE118=0,"OK",_xlfn.LET(fechaPago, Z118, fechaFactura, R118, diasCredito, IF(E118="Pago inmediato", 0, IFERROR(VALUE(MID(E118, 1, SEARCH(" ", E118)-1)),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8" s="79">
        <f>IF(AN118="","",IF(AND(N118&gt;0, AG118&gt;0), IF(Configuración!$K$2="NO", "ALERTA: DESCUENTO DOBLE NO PERMITIDO", "OK"), "OK"))</f>
        <v/>
      </c>
      <c r="AR118" s="79">
        <f>IF(AN118="","",IF(OR(AO118&lt;&gt;"OK", AP118&lt;&gt;"OK", AQ118&lt;&gt;"OK"), "⚠️ REVISAR", "OK"))</f>
        <v/>
      </c>
    </row>
    <row r="119">
      <c r="A119" s="79">
        <f>IF('Ordenes_Odoo'!A119="","",'Ordenes_Odoo'!A119)</f>
        <v/>
      </c>
      <c r="B119" s="80">
        <f>IF('Ordenes_Odoo'!B119="","",'Ordenes_Odoo'!B119)</f>
        <v/>
      </c>
      <c r="C119" s="79">
        <f>IF('Ordenes_Odoo'!C119="","",'Ordenes_Odoo'!C119)</f>
        <v/>
      </c>
      <c r="D119" s="79">
        <f>IF('Ordenes_Odoo'!D119="","",'Ordenes_Odoo'!D119)</f>
        <v/>
      </c>
      <c r="E119" s="79">
        <f>IF('Ordenes_Odoo'!E119="","",'Ordenes_Odoo'!E119)</f>
        <v/>
      </c>
      <c r="F119" s="79">
        <f>IF('Ordenes_Odoo'!F119="","",'Ordenes_Odoo'!F119)</f>
        <v/>
      </c>
      <c r="G119" s="79">
        <f>IF('Ordenes_Odoo'!G119="","",'Ordenes_Odoo'!G119)</f>
        <v/>
      </c>
      <c r="H119" s="79">
        <f>IF('Ordenes_Odoo'!H119="","",'Ordenes_Odoo'!H119)</f>
        <v/>
      </c>
      <c r="I119" s="79">
        <f>IF('Ordenes_Odoo'!I119="","",'Ordenes_Odoo'!I119)</f>
        <v/>
      </c>
      <c r="J119" s="79">
        <f>IF('Ordenes_Odoo'!J119="","",'Ordenes_Odoo'!J119)</f>
        <v/>
      </c>
      <c r="K119" s="81">
        <f>IF('Ordenes_Odoo'!K119="","",'Ordenes_Odoo'!K119)</f>
        <v/>
      </c>
      <c r="L119" s="81">
        <f>IF('Ordenes_Odoo'!L119="","",'Ordenes_Odoo'!L119)</f>
        <v/>
      </c>
      <c r="M119" s="79">
        <f>IF('Ordenes_Odoo'!M119="","",'Ordenes_Odoo'!M119)</f>
        <v/>
      </c>
      <c r="N119" s="79">
        <f>IF('Ordenes_Odoo'!N119="","",'Ordenes_Odoo'!N119)</f>
        <v/>
      </c>
      <c r="O119" s="81">
        <f>IF('Ordenes_Odoo'!O119="","",'Ordenes_Odoo'!O119)</f>
        <v/>
      </c>
      <c r="P119" s="81">
        <f>IF('Ordenes_Odoo'!P119="","",'Ordenes_Odoo'!P119)</f>
        <v/>
      </c>
      <c r="Q119" s="79">
        <f>IF(A119="","",IFERROR(INDEX(Facturas_Odoo!$B:$B, MATCH(A119, Facturas_Odoo!$D:$D, 0)), "Sin Factura"))</f>
        <v/>
      </c>
      <c r="R119" s="80">
        <f>IF(Q119="Sin Factura","",IFERROR(INDEX(Facturas_Odoo!$A:$A, MATCH(Q119, Facturas_Odoo!$B:$B, 0)), ""))</f>
        <v/>
      </c>
      <c r="S119" s="79">
        <f>IF(Q119="Sin Factura","",IFERROR(_xlfn.XLOOKUP(1, (Facturas_Odoo!$D:$D=A119) * (Facturas_Odoo!$K:$K=I119), Facturas_Odoo!$L:$L, ""), ""))</f>
        <v/>
      </c>
      <c r="T119" s="81">
        <f>IF(Q119="Sin Factura",0,IFERROR(_xlfn.XLOOKUP(1, (Facturas_Odoo!$D:$D=A119) * (Facturas_Odoo!$K:$K=I119), Facturas_Odoo!$M:$M, 0), 0))</f>
        <v/>
      </c>
      <c r="U119" s="79">
        <f>IF(Q119="Sin Factura",0,IFERROR(_xlfn.XLOOKUP(1, (Facturas_Odoo!$D:$D=A119) * (Facturas_Odoo!$K:$K=I119), Facturas_Odoo!$N:$N, 0), 0))</f>
        <v/>
      </c>
      <c r="V119" s="79">
        <f>IF(Q119="Sin Factura",0,IFERROR(_xlfn.XLOOKUP(1, (Facturas_Odoo!$D:$D=A119) * (Facturas_Odoo!$K:$K=I119), Facturas_Odoo!$O:$O, 0), 0))</f>
        <v/>
      </c>
      <c r="W119" s="81">
        <f>IF(Q119="Sin Factura",0,IFERROR(_xlfn.XLOOKUP(1, (Facturas_Odoo!$D:$D=A119) * (Facturas_Odoo!$K:$K=I119), Facturas_Odoo!$Q:$Q, 0), 0))</f>
        <v/>
      </c>
      <c r="X119" s="79">
        <f>IF(OR(Q119="Sin Factura",Q119=""),"",IFERROR(INDEX(Pagos_Odoo!$B:$B, MATCH(Q119, Pagos_Odoo!$I:$I, 0)), "Sin Pago"))</f>
        <v/>
      </c>
      <c r="Y119" s="79">
        <f>IF(X119="Sin Pago","",IFERROR(INDEX(Pagos_Odoo!$C:$C, MATCH(X119, Pagos_Odoo!$B:$B, 0)), ""))</f>
        <v/>
      </c>
      <c r="Z119" s="80">
        <f>IF(X119="Sin Pago","",IFERROR(INDEX(Pagos_Odoo!$A:$A, MATCH(X119, Pagos_Odoo!$B:$B, 0)), ""))</f>
        <v/>
      </c>
      <c r="AA119" s="79">
        <f>IF(X119="Sin Pago","",IFERROR(INDEX(Pagos_Odoo!$F:$F, MATCH(X119, Pagos_Odoo!$B:$B, 0)), ""))</f>
        <v/>
      </c>
      <c r="AB119" s="81">
        <f>IF(X119="Sin Pago",0,IFERROR(INDEX(Pagos_Odoo!$E:$E, MATCH(X119, Pagos_Odoo!$B:$B, 0)), 0))</f>
        <v/>
      </c>
      <c r="AC119" s="79">
        <f>IF(X119="Sin Pago","",IFERROR(INDEX(Pagos_Odoo!$G:$G, MATCH(X119, Pagos_Odoo!$B:$B, 0)), ""))</f>
        <v/>
      </c>
      <c r="AD119" s="82" t="n">
        <v>0</v>
      </c>
      <c r="AE119" s="82" t="n"/>
      <c r="AF119" s="82" t="n"/>
      <c r="AG119" s="82">
        <f>IF(AN119="","",AD119+AE119+AF119)</f>
        <v/>
      </c>
      <c r="AH119" s="81">
        <f>IF(AN119="","",P119*(1-AG119))</f>
        <v/>
      </c>
      <c r="AI119" s="81">
        <f>IF(AN119="","",IF(Q119="Sin Factura",0,IFERROR(INDEX(Facturas_Odoo!$H:$H, MATCH(Q119, Facturas_Odoo!$B:$B, 0)), 0)*(1-AG119)))</f>
        <v/>
      </c>
      <c r="AJ119" s="81">
        <f>IF(AN119="","",_xlfn.LET(idVenta, AN119&amp;"",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9" s="81">
        <f>IF(AN119="","",AH119-AJ119)</f>
        <v/>
      </c>
      <c r="AL119" s="81">
        <f>IF(AN119="","",IF(Q119="Sin Factura","",AI119-AJ119))</f>
        <v/>
      </c>
      <c r="AM119" s="81">
        <f>IF(AN119="","",IF(Q119="Sin Factura",0,P119-IFERROR(INDEX(Facturas_Odoo!$H:$H, MATCH(Q119, Facturas_Odoo!$B:$B, 0)), 0)))</f>
        <v/>
      </c>
      <c r="AN119" s="79">
        <f>IF(AND(A119="", J119=""), "", IF(A119&lt;&gt;"", VALUE(MID(A119,2,LEN(A119))), AN118))</f>
        <v/>
      </c>
      <c r="AO119" s="79">
        <f>IF(AN119="","",IF(AD119=0,"OK",_xlfn.LET(monedaPago, IF(AA119="","USD",AA119), limitePermitido, IFERROR(VLOOKUP(monedaPago, Configuración!$A$2:$B$3, 2, FALSE), 0.15), IF(AD119&gt;limitePermitido, "ALERTA: EXCESO (" &amp; TEXT(limitePermitido, "0%") &amp; " máx)", "OK"))))</f>
        <v/>
      </c>
      <c r="AP119" s="79">
        <f>IF(AN119="","",IF(AE119=0,"OK",_xlfn.LET(fechaPago, Z119, fechaFactura, R119, diasCredito, IF(E119="Pago inmediato", 0, IFERROR(VALUE(MID(E119, 1, SEARCH(" ", E119)-1)),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9" s="79">
        <f>IF(AN119="","",IF(AND(N119&gt;0, AG119&gt;0), IF(Configuración!$K$2="NO", "ALERTA: DESCUENTO DOBLE NO PERMITIDO", "OK"), "OK"))</f>
        <v/>
      </c>
      <c r="AR119" s="79">
        <f>IF(AN119="","",IF(OR(AO119&lt;&gt;"OK", AP119&lt;&gt;"OK", AQ119&lt;&gt;"OK"), "⚠️ REVISAR", "OK"))</f>
        <v/>
      </c>
    </row>
    <row r="120">
      <c r="A120" s="79">
        <f>IF('Ordenes_Odoo'!A120="","",'Ordenes_Odoo'!A120)</f>
        <v/>
      </c>
      <c r="B120" s="80">
        <f>IF('Ordenes_Odoo'!B120="","",'Ordenes_Odoo'!B120)</f>
        <v/>
      </c>
      <c r="C120" s="79">
        <f>IF('Ordenes_Odoo'!C120="","",'Ordenes_Odoo'!C120)</f>
        <v/>
      </c>
      <c r="D120" s="79">
        <f>IF('Ordenes_Odoo'!D120="","",'Ordenes_Odoo'!D120)</f>
        <v/>
      </c>
      <c r="E120" s="79">
        <f>IF('Ordenes_Odoo'!E120="","",'Ordenes_Odoo'!E120)</f>
        <v/>
      </c>
      <c r="F120" s="79">
        <f>IF('Ordenes_Odoo'!F120="","",'Ordenes_Odoo'!F120)</f>
        <v/>
      </c>
      <c r="G120" s="79">
        <f>IF('Ordenes_Odoo'!G120="","",'Ordenes_Odoo'!G120)</f>
        <v/>
      </c>
      <c r="H120" s="79">
        <f>IF('Ordenes_Odoo'!H120="","",'Ordenes_Odoo'!H120)</f>
        <v/>
      </c>
      <c r="I120" s="79">
        <f>IF('Ordenes_Odoo'!I120="","",'Ordenes_Odoo'!I120)</f>
        <v/>
      </c>
      <c r="J120" s="79">
        <f>IF('Ordenes_Odoo'!J120="","",'Ordenes_Odoo'!J120)</f>
        <v/>
      </c>
      <c r="K120" s="81">
        <f>IF('Ordenes_Odoo'!K120="","",'Ordenes_Odoo'!K120)</f>
        <v/>
      </c>
      <c r="L120" s="81">
        <f>IF('Ordenes_Odoo'!L120="","",'Ordenes_Odoo'!L120)</f>
        <v/>
      </c>
      <c r="M120" s="79">
        <f>IF('Ordenes_Odoo'!M120="","",'Ordenes_Odoo'!M120)</f>
        <v/>
      </c>
      <c r="N120" s="79">
        <f>IF('Ordenes_Odoo'!N120="","",'Ordenes_Odoo'!N120)</f>
        <v/>
      </c>
      <c r="O120" s="81">
        <f>IF('Ordenes_Odoo'!O120="","",'Ordenes_Odoo'!O120)</f>
        <v/>
      </c>
      <c r="P120" s="81">
        <f>IF('Ordenes_Odoo'!P120="","",'Ordenes_Odoo'!P120)</f>
        <v/>
      </c>
      <c r="Q120" s="79">
        <f>IF(A120="","",IFERROR(INDEX(Facturas_Odoo!$B:$B, MATCH(A120, Facturas_Odoo!$D:$D, 0)), "Sin Factura"))</f>
        <v/>
      </c>
      <c r="R120" s="80">
        <f>IF(Q120="Sin Factura","",IFERROR(INDEX(Facturas_Odoo!$A:$A, MATCH(Q120, Facturas_Odoo!$B:$B, 0)), ""))</f>
        <v/>
      </c>
      <c r="S120" s="79">
        <f>IF(Q120="Sin Factura","",IFERROR(_xlfn.XLOOKUP(1, (Facturas_Odoo!$D:$D=A120) * (Facturas_Odoo!$K:$K=I120), Facturas_Odoo!$L:$L, ""), ""))</f>
        <v/>
      </c>
      <c r="T120" s="81">
        <f>IF(Q120="Sin Factura",0,IFERROR(_xlfn.XLOOKUP(1, (Facturas_Odoo!$D:$D=A120) * (Facturas_Odoo!$K:$K=I120), Facturas_Odoo!$M:$M, 0), 0))</f>
        <v/>
      </c>
      <c r="U120" s="79">
        <f>IF(Q120="Sin Factura",0,IFERROR(_xlfn.XLOOKUP(1, (Facturas_Odoo!$D:$D=A120) * (Facturas_Odoo!$K:$K=I120), Facturas_Odoo!$N:$N, 0), 0))</f>
        <v/>
      </c>
      <c r="V120" s="79">
        <f>IF(Q120="Sin Factura",0,IFERROR(_xlfn.XLOOKUP(1, (Facturas_Odoo!$D:$D=A120) * (Facturas_Odoo!$K:$K=I120), Facturas_Odoo!$O:$O, 0), 0))</f>
        <v/>
      </c>
      <c r="W120" s="81">
        <f>IF(Q120="Sin Factura",0,IFERROR(_xlfn.XLOOKUP(1, (Facturas_Odoo!$D:$D=A120) * (Facturas_Odoo!$K:$K=I120), Facturas_Odoo!$Q:$Q, 0), 0))</f>
        <v/>
      </c>
      <c r="X120" s="79">
        <f>IF(OR(Q120="Sin Factura",Q120=""),"",IFERROR(INDEX(Pagos_Odoo!$B:$B, MATCH(Q120, Pagos_Odoo!$I:$I, 0)), "Sin Pago"))</f>
        <v/>
      </c>
      <c r="Y120" s="79">
        <f>IF(X120="Sin Pago","",IFERROR(INDEX(Pagos_Odoo!$C:$C, MATCH(X120, Pagos_Odoo!$B:$B, 0)), ""))</f>
        <v/>
      </c>
      <c r="Z120" s="80">
        <f>IF(X120="Sin Pago","",IFERROR(INDEX(Pagos_Odoo!$A:$A, MATCH(X120, Pagos_Odoo!$B:$B, 0)), ""))</f>
        <v/>
      </c>
      <c r="AA120" s="79">
        <f>IF(X120="Sin Pago","",IFERROR(INDEX(Pagos_Odoo!$F:$F, MATCH(X120, Pagos_Odoo!$B:$B, 0)), ""))</f>
        <v/>
      </c>
      <c r="AB120" s="81">
        <f>IF(X120="Sin Pago",0,IFERROR(INDEX(Pagos_Odoo!$E:$E, MATCH(X120, Pagos_Odoo!$B:$B, 0)), 0))</f>
        <v/>
      </c>
      <c r="AC120" s="79">
        <f>IF(X120="Sin Pago","",IFERROR(INDEX(Pagos_Odoo!$G:$G, MATCH(X120, Pagos_Odoo!$B:$B, 0)), ""))</f>
        <v/>
      </c>
      <c r="AD120" s="82" t="n">
        <v>0</v>
      </c>
      <c r="AE120" s="82" t="n"/>
      <c r="AF120" s="82" t="n"/>
      <c r="AG120" s="82">
        <f>IF(AN120="","",AD120+AE120+AF120)</f>
        <v/>
      </c>
      <c r="AH120" s="81">
        <f>IF(AN120="","",P120*(1-AG120))</f>
        <v/>
      </c>
      <c r="AI120" s="81">
        <f>IF(AN120="","",IF(Q120="Sin Factura",0,IFERROR(INDEX(Facturas_Odoo!$H:$H, MATCH(Q120, Facturas_Odoo!$B:$B, 0)), 0)*(1-AG120)))</f>
        <v/>
      </c>
      <c r="AJ120" s="81">
        <f>IF(AN120="","",_xlfn.LET(idVenta, AN120&amp;"",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0" s="81">
        <f>IF(AN120="","",AH120-AJ120)</f>
        <v/>
      </c>
      <c r="AL120" s="81">
        <f>IF(AN120="","",IF(Q120="Sin Factura","",AI120-AJ120))</f>
        <v/>
      </c>
      <c r="AM120" s="81">
        <f>IF(AN120="","",IF(Q120="Sin Factura",0,P120-IFERROR(INDEX(Facturas_Odoo!$H:$H, MATCH(Q120, Facturas_Odoo!$B:$B, 0)), 0)))</f>
        <v/>
      </c>
      <c r="AN120" s="79">
        <f>IF(AND(A120="", J120=""), "", IF(A120&lt;&gt;"", VALUE(MID(A120,2,LEN(A120))), AN119))</f>
        <v/>
      </c>
      <c r="AO120" s="79">
        <f>IF(AN120="","",IF(AD120=0,"OK",_xlfn.LET(monedaPago, IF(AA120="","USD",AA120), limitePermitido, IFERROR(VLOOKUP(monedaPago, Configuración!$A$2:$B$3, 2, FALSE), 0.15), IF(AD120&gt;limitePermitido, "ALERTA: EXCESO (" &amp; TEXT(limitePermitido, "0%") &amp; " máx)", "OK"))))</f>
        <v/>
      </c>
      <c r="AP120" s="79">
        <f>IF(AN120="","",IF(AE120=0,"OK",_xlfn.LET(fechaPago, Z120, fechaFactura, R120, diasCredito, IF(E120="Pago inmediato", 0, IFERROR(VALUE(MID(E120, 1, SEARCH(" ", E120)-1)),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0" s="79">
        <f>IF(AN120="","",IF(AND(N120&gt;0, AG120&gt;0), IF(Configuración!$K$2="NO", "ALERTA: DESCUENTO DOBLE NO PERMITIDO", "OK"), "OK"))</f>
        <v/>
      </c>
      <c r="AR120" s="79">
        <f>IF(AN120="","",IF(OR(AO120&lt;&gt;"OK", AP120&lt;&gt;"OK", AQ120&lt;&gt;"OK"), "⚠️ REVISAR", "OK"))</f>
        <v/>
      </c>
    </row>
    <row r="121">
      <c r="A121" s="79">
        <f>IF('Ordenes_Odoo'!A121="","",'Ordenes_Odoo'!A121)</f>
        <v/>
      </c>
      <c r="B121" s="80">
        <f>IF('Ordenes_Odoo'!B121="","",'Ordenes_Odoo'!B121)</f>
        <v/>
      </c>
      <c r="C121" s="79">
        <f>IF('Ordenes_Odoo'!C121="","",'Ordenes_Odoo'!C121)</f>
        <v/>
      </c>
      <c r="D121" s="79">
        <f>IF('Ordenes_Odoo'!D121="","",'Ordenes_Odoo'!D121)</f>
        <v/>
      </c>
      <c r="E121" s="79">
        <f>IF('Ordenes_Odoo'!E121="","",'Ordenes_Odoo'!E121)</f>
        <v/>
      </c>
      <c r="F121" s="79">
        <f>IF('Ordenes_Odoo'!F121="","",'Ordenes_Odoo'!F121)</f>
        <v/>
      </c>
      <c r="G121" s="79">
        <f>IF('Ordenes_Odoo'!G121="","",'Ordenes_Odoo'!G121)</f>
        <v/>
      </c>
      <c r="H121" s="79">
        <f>IF('Ordenes_Odoo'!H121="","",'Ordenes_Odoo'!H121)</f>
        <v/>
      </c>
      <c r="I121" s="79">
        <f>IF('Ordenes_Odoo'!I121="","",'Ordenes_Odoo'!I121)</f>
        <v/>
      </c>
      <c r="J121" s="79">
        <f>IF('Ordenes_Odoo'!J121="","",'Ordenes_Odoo'!J121)</f>
        <v/>
      </c>
      <c r="K121" s="81">
        <f>IF('Ordenes_Odoo'!K121="","",'Ordenes_Odoo'!K121)</f>
        <v/>
      </c>
      <c r="L121" s="81">
        <f>IF('Ordenes_Odoo'!L121="","",'Ordenes_Odoo'!L121)</f>
        <v/>
      </c>
      <c r="M121" s="79">
        <f>IF('Ordenes_Odoo'!M121="","",'Ordenes_Odoo'!M121)</f>
        <v/>
      </c>
      <c r="N121" s="79">
        <f>IF('Ordenes_Odoo'!N121="","",'Ordenes_Odoo'!N121)</f>
        <v/>
      </c>
      <c r="O121" s="81">
        <f>IF('Ordenes_Odoo'!O121="","",'Ordenes_Odoo'!O121)</f>
        <v/>
      </c>
      <c r="P121" s="81">
        <f>IF('Ordenes_Odoo'!P121="","",'Ordenes_Odoo'!P121)</f>
        <v/>
      </c>
      <c r="Q121" s="79">
        <f>IF(A121="","",IFERROR(INDEX(Facturas_Odoo!$B:$B, MATCH(A121, Facturas_Odoo!$D:$D, 0)), "Sin Factura"))</f>
        <v/>
      </c>
      <c r="R121" s="80">
        <f>IF(Q121="Sin Factura","",IFERROR(INDEX(Facturas_Odoo!$A:$A, MATCH(Q121, Facturas_Odoo!$B:$B, 0)), ""))</f>
        <v/>
      </c>
      <c r="S121" s="79">
        <f>IF(Q121="Sin Factura","",IFERROR(_xlfn.XLOOKUP(1, (Facturas_Odoo!$D:$D=A121) * (Facturas_Odoo!$K:$K=I121), Facturas_Odoo!$L:$L, ""), ""))</f>
        <v/>
      </c>
      <c r="T121" s="81">
        <f>IF(Q121="Sin Factura",0,IFERROR(_xlfn.XLOOKUP(1, (Facturas_Odoo!$D:$D=A121) * (Facturas_Odoo!$K:$K=I121), Facturas_Odoo!$M:$M, 0), 0))</f>
        <v/>
      </c>
      <c r="U121" s="79">
        <f>IF(Q121="Sin Factura",0,IFERROR(_xlfn.XLOOKUP(1, (Facturas_Odoo!$D:$D=A121) * (Facturas_Odoo!$K:$K=I121), Facturas_Odoo!$N:$N, 0), 0))</f>
        <v/>
      </c>
      <c r="V121" s="79">
        <f>IF(Q121="Sin Factura",0,IFERROR(_xlfn.XLOOKUP(1, (Facturas_Odoo!$D:$D=A121) * (Facturas_Odoo!$K:$K=I121), Facturas_Odoo!$O:$O, 0), 0))</f>
        <v/>
      </c>
      <c r="W121" s="81">
        <f>IF(Q121="Sin Factura",0,IFERROR(_xlfn.XLOOKUP(1, (Facturas_Odoo!$D:$D=A121) * (Facturas_Odoo!$K:$K=I121), Facturas_Odoo!$Q:$Q, 0), 0))</f>
        <v/>
      </c>
      <c r="X121" s="79">
        <f>IF(OR(Q121="Sin Factura",Q121=""),"",IFERROR(INDEX(Pagos_Odoo!$B:$B, MATCH(Q121, Pagos_Odoo!$I:$I, 0)), "Sin Pago"))</f>
        <v/>
      </c>
      <c r="Y121" s="79">
        <f>IF(X121="Sin Pago","",IFERROR(INDEX(Pagos_Odoo!$C:$C, MATCH(X121, Pagos_Odoo!$B:$B, 0)), ""))</f>
        <v/>
      </c>
      <c r="Z121" s="80">
        <f>IF(X121="Sin Pago","",IFERROR(INDEX(Pagos_Odoo!$A:$A, MATCH(X121, Pagos_Odoo!$B:$B, 0)), ""))</f>
        <v/>
      </c>
      <c r="AA121" s="79">
        <f>IF(X121="Sin Pago","",IFERROR(INDEX(Pagos_Odoo!$F:$F, MATCH(X121, Pagos_Odoo!$B:$B, 0)), ""))</f>
        <v/>
      </c>
      <c r="AB121" s="81">
        <f>IF(X121="Sin Pago",0,IFERROR(INDEX(Pagos_Odoo!$E:$E, MATCH(X121, Pagos_Odoo!$B:$B, 0)), 0))</f>
        <v/>
      </c>
      <c r="AC121" s="79">
        <f>IF(X121="Sin Pago","",IFERROR(INDEX(Pagos_Odoo!$G:$G, MATCH(X121, Pagos_Odoo!$B:$B, 0)), ""))</f>
        <v/>
      </c>
      <c r="AD121" s="82" t="n">
        <v>0</v>
      </c>
      <c r="AE121" s="82" t="n"/>
      <c r="AF121" s="82" t="n"/>
      <c r="AG121" s="82">
        <f>IF(AN121="","",AD121+AE121+AF121)</f>
        <v/>
      </c>
      <c r="AH121" s="81">
        <f>IF(AN121="","",P121*(1-AG121))</f>
        <v/>
      </c>
      <c r="AI121" s="81">
        <f>IF(AN121="","",IF(Q121="Sin Factura",0,IFERROR(INDEX(Facturas_Odoo!$H:$H, MATCH(Q121, Facturas_Odoo!$B:$B, 0)), 0)*(1-AG121)))</f>
        <v/>
      </c>
      <c r="AJ121" s="81">
        <f>IF(AN121="","",_xlfn.LET(idVenta, AN121&amp;"",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1" s="81">
        <f>IF(AN121="","",AH121-AJ121)</f>
        <v/>
      </c>
      <c r="AL121" s="81">
        <f>IF(AN121="","",IF(Q121="Sin Factura","",AI121-AJ121))</f>
        <v/>
      </c>
      <c r="AM121" s="81">
        <f>IF(AN121="","",IF(Q121="Sin Factura",0,P121-IFERROR(INDEX(Facturas_Odoo!$H:$H, MATCH(Q121, Facturas_Odoo!$B:$B, 0)), 0)))</f>
        <v/>
      </c>
      <c r="AN121" s="79">
        <f>IF(AND(A121="", J121=""), "", IF(A121&lt;&gt;"", VALUE(MID(A121,2,LEN(A121))), AN120))</f>
        <v/>
      </c>
      <c r="AO121" s="79">
        <f>IF(AN121="","",IF(AD121=0,"OK",_xlfn.LET(monedaPago, IF(AA121="","USD",AA121), limitePermitido, IFERROR(VLOOKUP(monedaPago, Configuración!$A$2:$B$3, 2, FALSE), 0.15), IF(AD121&gt;limitePermitido, "ALERTA: EXCESO (" &amp; TEXT(limitePermitido, "0%") &amp; " máx)", "OK"))))</f>
        <v/>
      </c>
      <c r="AP121" s="79">
        <f>IF(AN121="","",IF(AE121=0,"OK",_xlfn.LET(fechaPago, Z121, fechaFactura, R121, diasCredito, IF(E121="Pago inmediato", 0, IFERROR(VALUE(MID(E121, 1, SEARCH(" ", E121)-1)),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1" s="79">
        <f>IF(AN121="","",IF(AND(N121&gt;0, AG121&gt;0), IF(Configuración!$K$2="NO", "ALERTA: DESCUENTO DOBLE NO PERMITIDO", "OK"), "OK"))</f>
        <v/>
      </c>
      <c r="AR121" s="79">
        <f>IF(AN121="","",IF(OR(AO121&lt;&gt;"OK", AP121&lt;&gt;"OK", AQ121&lt;&gt;"OK"), "⚠️ REVISAR", "OK"))</f>
        <v/>
      </c>
    </row>
    <row r="122">
      <c r="A122" s="79">
        <f>IF('Ordenes_Odoo'!A122="","",'Ordenes_Odoo'!A122)</f>
        <v/>
      </c>
      <c r="B122" s="80">
        <f>IF('Ordenes_Odoo'!B122="","",'Ordenes_Odoo'!B122)</f>
        <v/>
      </c>
      <c r="C122" s="79">
        <f>IF('Ordenes_Odoo'!C122="","",'Ordenes_Odoo'!C122)</f>
        <v/>
      </c>
      <c r="D122" s="79">
        <f>IF('Ordenes_Odoo'!D122="","",'Ordenes_Odoo'!D122)</f>
        <v/>
      </c>
      <c r="E122" s="79">
        <f>IF('Ordenes_Odoo'!E122="","",'Ordenes_Odoo'!E122)</f>
        <v/>
      </c>
      <c r="F122" s="79">
        <f>IF('Ordenes_Odoo'!F122="","",'Ordenes_Odoo'!F122)</f>
        <v/>
      </c>
      <c r="G122" s="79">
        <f>IF('Ordenes_Odoo'!G122="","",'Ordenes_Odoo'!G122)</f>
        <v/>
      </c>
      <c r="H122" s="79">
        <f>IF('Ordenes_Odoo'!H122="","",'Ordenes_Odoo'!H122)</f>
        <v/>
      </c>
      <c r="I122" s="79">
        <f>IF('Ordenes_Odoo'!I122="","",'Ordenes_Odoo'!I122)</f>
        <v/>
      </c>
      <c r="J122" s="79">
        <f>IF('Ordenes_Odoo'!J122="","",'Ordenes_Odoo'!J122)</f>
        <v/>
      </c>
      <c r="K122" s="81">
        <f>IF('Ordenes_Odoo'!K122="","",'Ordenes_Odoo'!K122)</f>
        <v/>
      </c>
      <c r="L122" s="81">
        <f>IF('Ordenes_Odoo'!L122="","",'Ordenes_Odoo'!L122)</f>
        <v/>
      </c>
      <c r="M122" s="79">
        <f>IF('Ordenes_Odoo'!M122="","",'Ordenes_Odoo'!M122)</f>
        <v/>
      </c>
      <c r="N122" s="79">
        <f>IF('Ordenes_Odoo'!N122="","",'Ordenes_Odoo'!N122)</f>
        <v/>
      </c>
      <c r="O122" s="81">
        <f>IF('Ordenes_Odoo'!O122="","",'Ordenes_Odoo'!O122)</f>
        <v/>
      </c>
      <c r="P122" s="81">
        <f>IF('Ordenes_Odoo'!P122="","",'Ordenes_Odoo'!P122)</f>
        <v/>
      </c>
      <c r="Q122" s="79">
        <f>IF(A122="","",IFERROR(INDEX(Facturas_Odoo!$B:$B, MATCH(A122, Facturas_Odoo!$D:$D, 0)), "Sin Factura"))</f>
        <v/>
      </c>
      <c r="R122" s="80">
        <f>IF(Q122="Sin Factura","",IFERROR(INDEX(Facturas_Odoo!$A:$A, MATCH(Q122, Facturas_Odoo!$B:$B, 0)), ""))</f>
        <v/>
      </c>
      <c r="S122" s="79">
        <f>IF(Q122="Sin Factura","",IFERROR(_xlfn.XLOOKUP(1, (Facturas_Odoo!$D:$D=A122) * (Facturas_Odoo!$K:$K=I122), Facturas_Odoo!$L:$L, ""), ""))</f>
        <v/>
      </c>
      <c r="T122" s="81">
        <f>IF(Q122="Sin Factura",0,IFERROR(_xlfn.XLOOKUP(1, (Facturas_Odoo!$D:$D=A122) * (Facturas_Odoo!$K:$K=I122), Facturas_Odoo!$M:$M, 0), 0))</f>
        <v/>
      </c>
      <c r="U122" s="79">
        <f>IF(Q122="Sin Factura",0,IFERROR(_xlfn.XLOOKUP(1, (Facturas_Odoo!$D:$D=A122) * (Facturas_Odoo!$K:$K=I122), Facturas_Odoo!$N:$N, 0), 0))</f>
        <v/>
      </c>
      <c r="V122" s="79">
        <f>IF(Q122="Sin Factura",0,IFERROR(_xlfn.XLOOKUP(1, (Facturas_Odoo!$D:$D=A122) * (Facturas_Odoo!$K:$K=I122), Facturas_Odoo!$O:$O, 0), 0))</f>
        <v/>
      </c>
      <c r="W122" s="81">
        <f>IF(Q122="Sin Factura",0,IFERROR(_xlfn.XLOOKUP(1, (Facturas_Odoo!$D:$D=A122) * (Facturas_Odoo!$K:$K=I122), Facturas_Odoo!$Q:$Q, 0), 0))</f>
        <v/>
      </c>
      <c r="X122" s="79">
        <f>IF(OR(Q122="Sin Factura",Q122=""),"",IFERROR(INDEX(Pagos_Odoo!$B:$B, MATCH(Q122, Pagos_Odoo!$I:$I, 0)), "Sin Pago"))</f>
        <v/>
      </c>
      <c r="Y122" s="79">
        <f>IF(X122="Sin Pago","",IFERROR(INDEX(Pagos_Odoo!$C:$C, MATCH(X122, Pagos_Odoo!$B:$B, 0)), ""))</f>
        <v/>
      </c>
      <c r="Z122" s="80">
        <f>IF(X122="Sin Pago","",IFERROR(INDEX(Pagos_Odoo!$A:$A, MATCH(X122, Pagos_Odoo!$B:$B, 0)), ""))</f>
        <v/>
      </c>
      <c r="AA122" s="79">
        <f>IF(X122="Sin Pago","",IFERROR(INDEX(Pagos_Odoo!$F:$F, MATCH(X122, Pagos_Odoo!$B:$B, 0)), ""))</f>
        <v/>
      </c>
      <c r="AB122" s="81">
        <f>IF(X122="Sin Pago",0,IFERROR(INDEX(Pagos_Odoo!$E:$E, MATCH(X122, Pagos_Odoo!$B:$B, 0)), 0))</f>
        <v/>
      </c>
      <c r="AC122" s="79">
        <f>IF(X122="Sin Pago","",IFERROR(INDEX(Pagos_Odoo!$G:$G, MATCH(X122, Pagos_Odoo!$B:$B, 0)), ""))</f>
        <v/>
      </c>
      <c r="AD122" s="82" t="n">
        <v>0</v>
      </c>
      <c r="AE122" s="82" t="n"/>
      <c r="AF122" s="82" t="n"/>
      <c r="AG122" s="82">
        <f>IF(AN122="","",AD122+AE122+AF122)</f>
        <v/>
      </c>
      <c r="AH122" s="81">
        <f>IF(AN122="","",P122*(1-AG122))</f>
        <v/>
      </c>
      <c r="AI122" s="81">
        <f>IF(AN122="","",IF(Q122="Sin Factura",0,IFERROR(INDEX(Facturas_Odoo!$H:$H, MATCH(Q122, Facturas_Odoo!$B:$B, 0)), 0)*(1-AG122)))</f>
        <v/>
      </c>
      <c r="AJ122" s="81">
        <f>IF(AN122="","",_xlfn.LET(idVenta, AN122&amp;"",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2" s="81">
        <f>IF(AN122="","",AH122-AJ122)</f>
        <v/>
      </c>
      <c r="AL122" s="81">
        <f>IF(AN122="","",IF(Q122="Sin Factura","",AI122-AJ122))</f>
        <v/>
      </c>
      <c r="AM122" s="81">
        <f>IF(AN122="","",IF(Q122="Sin Factura",0,P122-IFERROR(INDEX(Facturas_Odoo!$H:$H, MATCH(Q122, Facturas_Odoo!$B:$B, 0)), 0)))</f>
        <v/>
      </c>
      <c r="AN122" s="79">
        <f>IF(AND(A122="", J122=""), "", IF(A122&lt;&gt;"", VALUE(MID(A122,2,LEN(A122))), AN121))</f>
        <v/>
      </c>
      <c r="AO122" s="79">
        <f>IF(AN122="","",IF(AD122=0,"OK",_xlfn.LET(monedaPago, IF(AA122="","USD",AA122), limitePermitido, IFERROR(VLOOKUP(monedaPago, Configuración!$A$2:$B$3, 2, FALSE), 0.15), IF(AD122&gt;limitePermitido, "ALERTA: EXCESO (" &amp; TEXT(limitePermitido, "0%") &amp; " máx)", "OK"))))</f>
        <v/>
      </c>
      <c r="AP122" s="79">
        <f>IF(AN122="","",IF(AE122=0,"OK",_xlfn.LET(fechaPago, Z122, fechaFactura, R122, diasCredito, IF(E122="Pago inmediato", 0, IFERROR(VALUE(MID(E122, 1, SEARCH(" ", E122)-1)),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2" s="79">
        <f>IF(AN122="","",IF(AND(N122&gt;0, AG122&gt;0), IF(Configuración!$K$2="NO", "ALERTA: DESCUENTO DOBLE NO PERMITIDO", "OK"), "OK"))</f>
        <v/>
      </c>
      <c r="AR122" s="79">
        <f>IF(AN122="","",IF(OR(AO122&lt;&gt;"OK", AP122&lt;&gt;"OK", AQ122&lt;&gt;"OK"), "⚠️ REVISAR", "OK"))</f>
        <v/>
      </c>
    </row>
    <row r="123">
      <c r="A123" s="79">
        <f>IF('Ordenes_Odoo'!A123="","",'Ordenes_Odoo'!A123)</f>
        <v/>
      </c>
      <c r="B123" s="80">
        <f>IF('Ordenes_Odoo'!B123="","",'Ordenes_Odoo'!B123)</f>
        <v/>
      </c>
      <c r="C123" s="79">
        <f>IF('Ordenes_Odoo'!C123="","",'Ordenes_Odoo'!C123)</f>
        <v/>
      </c>
      <c r="D123" s="79">
        <f>IF('Ordenes_Odoo'!D123="","",'Ordenes_Odoo'!D123)</f>
        <v/>
      </c>
      <c r="E123" s="79">
        <f>IF('Ordenes_Odoo'!E123="","",'Ordenes_Odoo'!E123)</f>
        <v/>
      </c>
      <c r="F123" s="79">
        <f>IF('Ordenes_Odoo'!F123="","",'Ordenes_Odoo'!F123)</f>
        <v/>
      </c>
      <c r="G123" s="79">
        <f>IF('Ordenes_Odoo'!G123="","",'Ordenes_Odoo'!G123)</f>
        <v/>
      </c>
      <c r="H123" s="79">
        <f>IF('Ordenes_Odoo'!H123="","",'Ordenes_Odoo'!H123)</f>
        <v/>
      </c>
      <c r="I123" s="79">
        <f>IF('Ordenes_Odoo'!I123="","",'Ordenes_Odoo'!I123)</f>
        <v/>
      </c>
      <c r="J123" s="79">
        <f>IF('Ordenes_Odoo'!J123="","",'Ordenes_Odoo'!J123)</f>
        <v/>
      </c>
      <c r="K123" s="81">
        <f>IF('Ordenes_Odoo'!K123="","",'Ordenes_Odoo'!K123)</f>
        <v/>
      </c>
      <c r="L123" s="81">
        <f>IF('Ordenes_Odoo'!L123="","",'Ordenes_Odoo'!L123)</f>
        <v/>
      </c>
      <c r="M123" s="79">
        <f>IF('Ordenes_Odoo'!M123="","",'Ordenes_Odoo'!M123)</f>
        <v/>
      </c>
      <c r="N123" s="79">
        <f>IF('Ordenes_Odoo'!N123="","",'Ordenes_Odoo'!N123)</f>
        <v/>
      </c>
      <c r="O123" s="81">
        <f>IF('Ordenes_Odoo'!O123="","",'Ordenes_Odoo'!O123)</f>
        <v/>
      </c>
      <c r="P123" s="81">
        <f>IF('Ordenes_Odoo'!P123="","",'Ordenes_Odoo'!P123)</f>
        <v/>
      </c>
      <c r="Q123" s="79">
        <f>IF(A123="","",IFERROR(INDEX(Facturas_Odoo!$B:$B, MATCH(A123, Facturas_Odoo!$D:$D, 0)), "Sin Factura"))</f>
        <v/>
      </c>
      <c r="R123" s="80">
        <f>IF(Q123="Sin Factura","",IFERROR(INDEX(Facturas_Odoo!$A:$A, MATCH(Q123, Facturas_Odoo!$B:$B, 0)), ""))</f>
        <v/>
      </c>
      <c r="S123" s="79">
        <f>IF(Q123="Sin Factura","",IFERROR(_xlfn.XLOOKUP(1, (Facturas_Odoo!$D:$D=A123) * (Facturas_Odoo!$K:$K=I123), Facturas_Odoo!$L:$L, ""), ""))</f>
        <v/>
      </c>
      <c r="T123" s="81">
        <f>IF(Q123="Sin Factura",0,IFERROR(_xlfn.XLOOKUP(1, (Facturas_Odoo!$D:$D=A123) * (Facturas_Odoo!$K:$K=I123), Facturas_Odoo!$M:$M, 0), 0))</f>
        <v/>
      </c>
      <c r="U123" s="79">
        <f>IF(Q123="Sin Factura",0,IFERROR(_xlfn.XLOOKUP(1, (Facturas_Odoo!$D:$D=A123) * (Facturas_Odoo!$K:$K=I123), Facturas_Odoo!$N:$N, 0), 0))</f>
        <v/>
      </c>
      <c r="V123" s="79">
        <f>IF(Q123="Sin Factura",0,IFERROR(_xlfn.XLOOKUP(1, (Facturas_Odoo!$D:$D=A123) * (Facturas_Odoo!$K:$K=I123), Facturas_Odoo!$O:$O, 0), 0))</f>
        <v/>
      </c>
      <c r="W123" s="81">
        <f>IF(Q123="Sin Factura",0,IFERROR(_xlfn.XLOOKUP(1, (Facturas_Odoo!$D:$D=A123) * (Facturas_Odoo!$K:$K=I123), Facturas_Odoo!$Q:$Q, 0), 0))</f>
        <v/>
      </c>
      <c r="X123" s="79">
        <f>IF(OR(Q123="Sin Factura",Q123=""),"",IFERROR(INDEX(Pagos_Odoo!$B:$B, MATCH(Q123, Pagos_Odoo!$I:$I, 0)), "Sin Pago"))</f>
        <v/>
      </c>
      <c r="Y123" s="79">
        <f>IF(X123="Sin Pago","",IFERROR(INDEX(Pagos_Odoo!$C:$C, MATCH(X123, Pagos_Odoo!$B:$B, 0)), ""))</f>
        <v/>
      </c>
      <c r="Z123" s="80">
        <f>IF(X123="Sin Pago","",IFERROR(INDEX(Pagos_Odoo!$A:$A, MATCH(X123, Pagos_Odoo!$B:$B, 0)), ""))</f>
        <v/>
      </c>
      <c r="AA123" s="79">
        <f>IF(X123="Sin Pago","",IFERROR(INDEX(Pagos_Odoo!$F:$F, MATCH(X123, Pagos_Odoo!$B:$B, 0)), ""))</f>
        <v/>
      </c>
      <c r="AB123" s="81">
        <f>IF(X123="Sin Pago",0,IFERROR(INDEX(Pagos_Odoo!$E:$E, MATCH(X123, Pagos_Odoo!$B:$B, 0)), 0))</f>
        <v/>
      </c>
      <c r="AC123" s="79">
        <f>IF(X123="Sin Pago","",IFERROR(INDEX(Pagos_Odoo!$G:$G, MATCH(X123, Pagos_Odoo!$B:$B, 0)), ""))</f>
        <v/>
      </c>
      <c r="AD123" s="82" t="n">
        <v>0</v>
      </c>
      <c r="AE123" s="82" t="n"/>
      <c r="AF123" s="82" t="n"/>
      <c r="AG123" s="82">
        <f>IF(AN123="","",AD123+AE123+AF123)</f>
        <v/>
      </c>
      <c r="AH123" s="81">
        <f>IF(AN123="","",P123*(1-AG123))</f>
        <v/>
      </c>
      <c r="AI123" s="81">
        <f>IF(AN123="","",IF(Q123="Sin Factura",0,IFERROR(INDEX(Facturas_Odoo!$H:$H, MATCH(Q123, Facturas_Odoo!$B:$B, 0)), 0)*(1-AG123)))</f>
        <v/>
      </c>
      <c r="AJ123" s="81">
        <f>IF(AN123="","",_xlfn.LET(idVenta, AN123&amp;"",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3" s="81">
        <f>IF(AN123="","",AH123-AJ123)</f>
        <v/>
      </c>
      <c r="AL123" s="81">
        <f>IF(AN123="","",IF(Q123="Sin Factura","",AI123-AJ123))</f>
        <v/>
      </c>
      <c r="AM123" s="81">
        <f>IF(AN123="","",IF(Q123="Sin Factura",0,P123-IFERROR(INDEX(Facturas_Odoo!$H:$H, MATCH(Q123, Facturas_Odoo!$B:$B, 0)), 0)))</f>
        <v/>
      </c>
      <c r="AN123" s="79">
        <f>IF(AND(A123="", J123=""), "", IF(A123&lt;&gt;"", VALUE(MID(A123,2,LEN(A123))), AN122))</f>
        <v/>
      </c>
      <c r="AO123" s="79">
        <f>IF(AN123="","",IF(AD123=0,"OK",_xlfn.LET(monedaPago, IF(AA123="","USD",AA123), limitePermitido, IFERROR(VLOOKUP(monedaPago, Configuración!$A$2:$B$3, 2, FALSE), 0.15), IF(AD123&gt;limitePermitido, "ALERTA: EXCESO (" &amp; TEXT(limitePermitido, "0%") &amp; " máx)", "OK"))))</f>
        <v/>
      </c>
      <c r="AP123" s="79">
        <f>IF(AN123="","",IF(AE123=0,"OK",_xlfn.LET(fechaPago, Z123, fechaFactura, R123, diasCredito, IF(E123="Pago inmediato", 0, IFERROR(VALUE(MID(E123, 1, SEARCH(" ", E123)-1)),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3" s="79">
        <f>IF(AN123="","",IF(AND(N123&gt;0, AG123&gt;0), IF(Configuración!$K$2="NO", "ALERTA: DESCUENTO DOBLE NO PERMITIDO", "OK"), "OK"))</f>
        <v/>
      </c>
      <c r="AR123" s="79">
        <f>IF(AN123="","",IF(OR(AO123&lt;&gt;"OK", AP123&lt;&gt;"OK", AQ123&lt;&gt;"OK"), "⚠️ REVISAR", "OK"))</f>
        <v/>
      </c>
    </row>
    <row r="124">
      <c r="A124" s="79">
        <f>IF('Ordenes_Odoo'!A124="","",'Ordenes_Odoo'!A124)</f>
        <v/>
      </c>
      <c r="B124" s="80">
        <f>IF('Ordenes_Odoo'!B124="","",'Ordenes_Odoo'!B124)</f>
        <v/>
      </c>
      <c r="C124" s="79">
        <f>IF('Ordenes_Odoo'!C124="","",'Ordenes_Odoo'!C124)</f>
        <v/>
      </c>
      <c r="D124" s="79">
        <f>IF('Ordenes_Odoo'!D124="","",'Ordenes_Odoo'!D124)</f>
        <v/>
      </c>
      <c r="E124" s="79">
        <f>IF('Ordenes_Odoo'!E124="","",'Ordenes_Odoo'!E124)</f>
        <v/>
      </c>
      <c r="F124" s="79">
        <f>IF('Ordenes_Odoo'!F124="","",'Ordenes_Odoo'!F124)</f>
        <v/>
      </c>
      <c r="G124" s="79">
        <f>IF('Ordenes_Odoo'!G124="","",'Ordenes_Odoo'!G124)</f>
        <v/>
      </c>
      <c r="H124" s="79">
        <f>IF('Ordenes_Odoo'!H124="","",'Ordenes_Odoo'!H124)</f>
        <v/>
      </c>
      <c r="I124" s="79">
        <f>IF('Ordenes_Odoo'!I124="","",'Ordenes_Odoo'!I124)</f>
        <v/>
      </c>
      <c r="J124" s="79">
        <f>IF('Ordenes_Odoo'!J124="","",'Ordenes_Odoo'!J124)</f>
        <v/>
      </c>
      <c r="K124" s="81">
        <f>IF('Ordenes_Odoo'!K124="","",'Ordenes_Odoo'!K124)</f>
        <v/>
      </c>
      <c r="L124" s="81">
        <f>IF('Ordenes_Odoo'!L124="","",'Ordenes_Odoo'!L124)</f>
        <v/>
      </c>
      <c r="M124" s="79">
        <f>IF('Ordenes_Odoo'!M124="","",'Ordenes_Odoo'!M124)</f>
        <v/>
      </c>
      <c r="N124" s="79">
        <f>IF('Ordenes_Odoo'!N124="","",'Ordenes_Odoo'!N124)</f>
        <v/>
      </c>
      <c r="O124" s="81">
        <f>IF('Ordenes_Odoo'!O124="","",'Ordenes_Odoo'!O124)</f>
        <v/>
      </c>
      <c r="P124" s="81">
        <f>IF('Ordenes_Odoo'!P124="","",'Ordenes_Odoo'!P124)</f>
        <v/>
      </c>
      <c r="Q124" s="79">
        <f>IF(A124="","",IFERROR(INDEX(Facturas_Odoo!$B:$B, MATCH(A124, Facturas_Odoo!$D:$D, 0)), "Sin Factura"))</f>
        <v/>
      </c>
      <c r="R124" s="80">
        <f>IF(Q124="Sin Factura","",IFERROR(INDEX(Facturas_Odoo!$A:$A, MATCH(Q124, Facturas_Odoo!$B:$B, 0)), ""))</f>
        <v/>
      </c>
      <c r="S124" s="79">
        <f>IF(Q124="Sin Factura","",IFERROR(_xlfn.XLOOKUP(1, (Facturas_Odoo!$D:$D=A124) * (Facturas_Odoo!$K:$K=I124), Facturas_Odoo!$L:$L, ""), ""))</f>
        <v/>
      </c>
      <c r="T124" s="81">
        <f>IF(Q124="Sin Factura",0,IFERROR(_xlfn.XLOOKUP(1, (Facturas_Odoo!$D:$D=A124) * (Facturas_Odoo!$K:$K=I124), Facturas_Odoo!$M:$M, 0), 0))</f>
        <v/>
      </c>
      <c r="U124" s="79">
        <f>IF(Q124="Sin Factura",0,IFERROR(_xlfn.XLOOKUP(1, (Facturas_Odoo!$D:$D=A124) * (Facturas_Odoo!$K:$K=I124), Facturas_Odoo!$N:$N, 0), 0))</f>
        <v/>
      </c>
      <c r="V124" s="79">
        <f>IF(Q124="Sin Factura",0,IFERROR(_xlfn.XLOOKUP(1, (Facturas_Odoo!$D:$D=A124) * (Facturas_Odoo!$K:$K=I124), Facturas_Odoo!$O:$O, 0), 0))</f>
        <v/>
      </c>
      <c r="W124" s="81">
        <f>IF(Q124="Sin Factura",0,IFERROR(_xlfn.XLOOKUP(1, (Facturas_Odoo!$D:$D=A124) * (Facturas_Odoo!$K:$K=I124), Facturas_Odoo!$Q:$Q, 0), 0))</f>
        <v/>
      </c>
      <c r="X124" s="79">
        <f>IF(OR(Q124="Sin Factura",Q124=""),"",IFERROR(INDEX(Pagos_Odoo!$B:$B, MATCH(Q124, Pagos_Odoo!$I:$I, 0)), "Sin Pago"))</f>
        <v/>
      </c>
      <c r="Y124" s="79">
        <f>IF(X124="Sin Pago","",IFERROR(INDEX(Pagos_Odoo!$C:$C, MATCH(X124, Pagos_Odoo!$B:$B, 0)), ""))</f>
        <v/>
      </c>
      <c r="Z124" s="80">
        <f>IF(X124="Sin Pago","",IFERROR(INDEX(Pagos_Odoo!$A:$A, MATCH(X124, Pagos_Odoo!$B:$B, 0)), ""))</f>
        <v/>
      </c>
      <c r="AA124" s="79">
        <f>IF(X124="Sin Pago","",IFERROR(INDEX(Pagos_Odoo!$F:$F, MATCH(X124, Pagos_Odoo!$B:$B, 0)), ""))</f>
        <v/>
      </c>
      <c r="AB124" s="81">
        <f>IF(X124="Sin Pago",0,IFERROR(INDEX(Pagos_Odoo!$E:$E, MATCH(X124, Pagos_Odoo!$B:$B, 0)), 0))</f>
        <v/>
      </c>
      <c r="AC124" s="79">
        <f>IF(X124="Sin Pago","",IFERROR(INDEX(Pagos_Odoo!$G:$G, MATCH(X124, Pagos_Odoo!$B:$B, 0)), ""))</f>
        <v/>
      </c>
      <c r="AD124" s="82" t="n">
        <v>0</v>
      </c>
      <c r="AE124" s="82" t="n"/>
      <c r="AF124" s="82" t="n"/>
      <c r="AG124" s="82">
        <f>IF(AN124="","",AD124+AE124+AF124)</f>
        <v/>
      </c>
      <c r="AH124" s="81">
        <f>IF(AN124="","",P124*(1-AG124))</f>
        <v/>
      </c>
      <c r="AI124" s="81">
        <f>IF(AN124="","",IF(Q124="Sin Factura",0,IFERROR(INDEX(Facturas_Odoo!$H:$H, MATCH(Q124, Facturas_Odoo!$B:$B, 0)), 0)*(1-AG124)))</f>
        <v/>
      </c>
      <c r="AJ124" s="81">
        <f>IF(AN124="","",_xlfn.LET(idVenta, AN124&amp;"",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4" s="81">
        <f>IF(AN124="","",AH124-AJ124)</f>
        <v/>
      </c>
      <c r="AL124" s="81">
        <f>IF(AN124="","",IF(Q124="Sin Factura","",AI124-AJ124))</f>
        <v/>
      </c>
      <c r="AM124" s="81">
        <f>IF(AN124="","",IF(Q124="Sin Factura",0,P124-IFERROR(INDEX(Facturas_Odoo!$H:$H, MATCH(Q124, Facturas_Odoo!$B:$B, 0)), 0)))</f>
        <v/>
      </c>
      <c r="AN124" s="79">
        <f>IF(AND(A124="", J124=""), "", IF(A124&lt;&gt;"", VALUE(MID(A124,2,LEN(A124))), AN123))</f>
        <v/>
      </c>
      <c r="AO124" s="79">
        <f>IF(AN124="","",IF(AD124=0,"OK",_xlfn.LET(monedaPago, IF(AA124="","USD",AA124), limitePermitido, IFERROR(VLOOKUP(monedaPago, Configuración!$A$2:$B$3, 2, FALSE), 0.15), IF(AD124&gt;limitePermitido, "ALERTA: EXCESO (" &amp; TEXT(limitePermitido, "0%") &amp; " máx)", "OK"))))</f>
        <v/>
      </c>
      <c r="AP124" s="79">
        <f>IF(AN124="","",IF(AE124=0,"OK",_xlfn.LET(fechaPago, Z124, fechaFactura, R124, diasCredito, IF(E124="Pago inmediato", 0, IFERROR(VALUE(MID(E124, 1, SEARCH(" ", E124)-1)),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4" s="79">
        <f>IF(AN124="","",IF(AND(N124&gt;0, AG124&gt;0), IF(Configuración!$K$2="NO", "ALERTA: DESCUENTO DOBLE NO PERMITIDO", "OK"), "OK"))</f>
        <v/>
      </c>
      <c r="AR124" s="79">
        <f>IF(AN124="","",IF(OR(AO124&lt;&gt;"OK", AP124&lt;&gt;"OK", AQ124&lt;&gt;"OK"), "⚠️ REVISAR", "OK"))</f>
        <v/>
      </c>
    </row>
    <row r="125">
      <c r="A125" s="79">
        <f>IF('Ordenes_Odoo'!A125="","",'Ordenes_Odoo'!A125)</f>
        <v/>
      </c>
      <c r="B125" s="80">
        <f>IF('Ordenes_Odoo'!B125="","",'Ordenes_Odoo'!B125)</f>
        <v/>
      </c>
      <c r="C125" s="79">
        <f>IF('Ordenes_Odoo'!C125="","",'Ordenes_Odoo'!C125)</f>
        <v/>
      </c>
      <c r="D125" s="79">
        <f>IF('Ordenes_Odoo'!D125="","",'Ordenes_Odoo'!D125)</f>
        <v/>
      </c>
      <c r="E125" s="79">
        <f>IF('Ordenes_Odoo'!E125="","",'Ordenes_Odoo'!E125)</f>
        <v/>
      </c>
      <c r="F125" s="79">
        <f>IF('Ordenes_Odoo'!F125="","",'Ordenes_Odoo'!F125)</f>
        <v/>
      </c>
      <c r="G125" s="79">
        <f>IF('Ordenes_Odoo'!G125="","",'Ordenes_Odoo'!G125)</f>
        <v/>
      </c>
      <c r="H125" s="79">
        <f>IF('Ordenes_Odoo'!H125="","",'Ordenes_Odoo'!H125)</f>
        <v/>
      </c>
      <c r="I125" s="79">
        <f>IF('Ordenes_Odoo'!I125="","",'Ordenes_Odoo'!I125)</f>
        <v/>
      </c>
      <c r="J125" s="79">
        <f>IF('Ordenes_Odoo'!J125="","",'Ordenes_Odoo'!J125)</f>
        <v/>
      </c>
      <c r="K125" s="81">
        <f>IF('Ordenes_Odoo'!K125="","",'Ordenes_Odoo'!K125)</f>
        <v/>
      </c>
      <c r="L125" s="81">
        <f>IF('Ordenes_Odoo'!L125="","",'Ordenes_Odoo'!L125)</f>
        <v/>
      </c>
      <c r="M125" s="79">
        <f>IF('Ordenes_Odoo'!M125="","",'Ordenes_Odoo'!M125)</f>
        <v/>
      </c>
      <c r="N125" s="79">
        <f>IF('Ordenes_Odoo'!N125="","",'Ordenes_Odoo'!N125)</f>
        <v/>
      </c>
      <c r="O125" s="81">
        <f>IF('Ordenes_Odoo'!O125="","",'Ordenes_Odoo'!O125)</f>
        <v/>
      </c>
      <c r="P125" s="81">
        <f>IF('Ordenes_Odoo'!P125="","",'Ordenes_Odoo'!P125)</f>
        <v/>
      </c>
      <c r="Q125" s="79">
        <f>IF(A125="","",IFERROR(INDEX(Facturas_Odoo!$B:$B, MATCH(A125, Facturas_Odoo!$D:$D, 0)), "Sin Factura"))</f>
        <v/>
      </c>
      <c r="R125" s="80">
        <f>IF(Q125="Sin Factura","",IFERROR(INDEX(Facturas_Odoo!$A:$A, MATCH(Q125, Facturas_Odoo!$B:$B, 0)), ""))</f>
        <v/>
      </c>
      <c r="S125" s="79">
        <f>IF(Q125="Sin Factura","",IFERROR(_xlfn.XLOOKUP(1, (Facturas_Odoo!$D:$D=A125) * (Facturas_Odoo!$K:$K=I125), Facturas_Odoo!$L:$L, ""), ""))</f>
        <v/>
      </c>
      <c r="T125" s="81">
        <f>IF(Q125="Sin Factura",0,IFERROR(_xlfn.XLOOKUP(1, (Facturas_Odoo!$D:$D=A125) * (Facturas_Odoo!$K:$K=I125), Facturas_Odoo!$M:$M, 0), 0))</f>
        <v/>
      </c>
      <c r="U125" s="79">
        <f>IF(Q125="Sin Factura",0,IFERROR(_xlfn.XLOOKUP(1, (Facturas_Odoo!$D:$D=A125) * (Facturas_Odoo!$K:$K=I125), Facturas_Odoo!$N:$N, 0), 0))</f>
        <v/>
      </c>
      <c r="V125" s="79">
        <f>IF(Q125="Sin Factura",0,IFERROR(_xlfn.XLOOKUP(1, (Facturas_Odoo!$D:$D=A125) * (Facturas_Odoo!$K:$K=I125), Facturas_Odoo!$O:$O, 0), 0))</f>
        <v/>
      </c>
      <c r="W125" s="81">
        <f>IF(Q125="Sin Factura",0,IFERROR(_xlfn.XLOOKUP(1, (Facturas_Odoo!$D:$D=A125) * (Facturas_Odoo!$K:$K=I125), Facturas_Odoo!$Q:$Q, 0), 0))</f>
        <v/>
      </c>
      <c r="X125" s="79">
        <f>IF(OR(Q125="Sin Factura",Q125=""),"",IFERROR(INDEX(Pagos_Odoo!$B:$B, MATCH(Q125, Pagos_Odoo!$I:$I, 0)), "Sin Pago"))</f>
        <v/>
      </c>
      <c r="Y125" s="79">
        <f>IF(X125="Sin Pago","",IFERROR(INDEX(Pagos_Odoo!$C:$C, MATCH(X125, Pagos_Odoo!$B:$B, 0)), ""))</f>
        <v/>
      </c>
      <c r="Z125" s="80">
        <f>IF(X125="Sin Pago","",IFERROR(INDEX(Pagos_Odoo!$A:$A, MATCH(X125, Pagos_Odoo!$B:$B, 0)), ""))</f>
        <v/>
      </c>
      <c r="AA125" s="79">
        <f>IF(X125="Sin Pago","",IFERROR(INDEX(Pagos_Odoo!$F:$F, MATCH(X125, Pagos_Odoo!$B:$B, 0)), ""))</f>
        <v/>
      </c>
      <c r="AB125" s="81">
        <f>IF(X125="Sin Pago",0,IFERROR(INDEX(Pagos_Odoo!$E:$E, MATCH(X125, Pagos_Odoo!$B:$B, 0)), 0))</f>
        <v/>
      </c>
      <c r="AC125" s="79">
        <f>IF(X125="Sin Pago","",IFERROR(INDEX(Pagos_Odoo!$G:$G, MATCH(X125, Pagos_Odoo!$B:$B, 0)), ""))</f>
        <v/>
      </c>
      <c r="AD125" s="82" t="n">
        <v>0</v>
      </c>
      <c r="AE125" s="82" t="n"/>
      <c r="AF125" s="82" t="n"/>
      <c r="AG125" s="82">
        <f>IF(AN125="","",AD125+AE125+AF125)</f>
        <v/>
      </c>
      <c r="AH125" s="81">
        <f>IF(AN125="","",P125*(1-AG125))</f>
        <v/>
      </c>
      <c r="AI125" s="81">
        <f>IF(AN125="","",IF(Q125="Sin Factura",0,IFERROR(INDEX(Facturas_Odoo!$H:$H, MATCH(Q125, Facturas_Odoo!$B:$B, 0)), 0)*(1-AG125)))</f>
        <v/>
      </c>
      <c r="AJ125" s="81">
        <f>IF(AN125="","",_xlfn.LET(idVenta, AN125&amp;"",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5" s="81">
        <f>IF(AN125="","",AH125-AJ125)</f>
        <v/>
      </c>
      <c r="AL125" s="81">
        <f>IF(AN125="","",IF(Q125="Sin Factura","",AI125-AJ125))</f>
        <v/>
      </c>
      <c r="AM125" s="81">
        <f>IF(AN125="","",IF(Q125="Sin Factura",0,P125-IFERROR(INDEX(Facturas_Odoo!$H:$H, MATCH(Q125, Facturas_Odoo!$B:$B, 0)), 0)))</f>
        <v/>
      </c>
      <c r="AN125" s="79">
        <f>IF(AND(A125="", J125=""), "", IF(A125&lt;&gt;"", VALUE(MID(A125,2,LEN(A125))), AN124))</f>
        <v/>
      </c>
      <c r="AO125" s="79">
        <f>IF(AN125="","",IF(AD125=0,"OK",_xlfn.LET(monedaPago, IF(AA125="","USD",AA125), limitePermitido, IFERROR(VLOOKUP(monedaPago, Configuración!$A$2:$B$3, 2, FALSE), 0.15), IF(AD125&gt;limitePermitido, "ALERTA: EXCESO (" &amp; TEXT(limitePermitido, "0%") &amp; " máx)", "OK"))))</f>
        <v/>
      </c>
      <c r="AP125" s="79">
        <f>IF(AN125="","",IF(AE125=0,"OK",_xlfn.LET(fechaPago, Z125, fechaFactura, R125, diasCredito, IF(E125="Pago inmediato", 0, IFERROR(VALUE(MID(E125, 1, SEARCH(" ", E125)-1)),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5" s="79">
        <f>IF(AN125="","",IF(AND(N125&gt;0, AG125&gt;0), IF(Configuración!$K$2="NO", "ALERTA: DESCUENTO DOBLE NO PERMITIDO", "OK"), "OK"))</f>
        <v/>
      </c>
      <c r="AR125" s="79">
        <f>IF(AN125="","",IF(OR(AO125&lt;&gt;"OK", AP125&lt;&gt;"OK", AQ125&lt;&gt;"OK"), "⚠️ REVISAR", "OK"))</f>
        <v/>
      </c>
    </row>
    <row r="126">
      <c r="A126" s="79">
        <f>IF('Ordenes_Odoo'!A126="","",'Ordenes_Odoo'!A126)</f>
        <v/>
      </c>
      <c r="B126" s="80">
        <f>IF('Ordenes_Odoo'!B126="","",'Ordenes_Odoo'!B126)</f>
        <v/>
      </c>
      <c r="C126" s="79">
        <f>IF('Ordenes_Odoo'!C126="","",'Ordenes_Odoo'!C126)</f>
        <v/>
      </c>
      <c r="D126" s="79">
        <f>IF('Ordenes_Odoo'!D126="","",'Ordenes_Odoo'!D126)</f>
        <v/>
      </c>
      <c r="E126" s="79">
        <f>IF('Ordenes_Odoo'!E126="","",'Ordenes_Odoo'!E126)</f>
        <v/>
      </c>
      <c r="F126" s="79">
        <f>IF('Ordenes_Odoo'!F126="","",'Ordenes_Odoo'!F126)</f>
        <v/>
      </c>
      <c r="G126" s="79">
        <f>IF('Ordenes_Odoo'!G126="","",'Ordenes_Odoo'!G126)</f>
        <v/>
      </c>
      <c r="H126" s="79">
        <f>IF('Ordenes_Odoo'!H126="","",'Ordenes_Odoo'!H126)</f>
        <v/>
      </c>
      <c r="I126" s="79">
        <f>IF('Ordenes_Odoo'!I126="","",'Ordenes_Odoo'!I126)</f>
        <v/>
      </c>
      <c r="J126" s="79">
        <f>IF('Ordenes_Odoo'!J126="","",'Ordenes_Odoo'!J126)</f>
        <v/>
      </c>
      <c r="K126" s="81">
        <f>IF('Ordenes_Odoo'!K126="","",'Ordenes_Odoo'!K126)</f>
        <v/>
      </c>
      <c r="L126" s="81">
        <f>IF('Ordenes_Odoo'!L126="","",'Ordenes_Odoo'!L126)</f>
        <v/>
      </c>
      <c r="M126" s="79">
        <f>IF('Ordenes_Odoo'!M126="","",'Ordenes_Odoo'!M126)</f>
        <v/>
      </c>
      <c r="N126" s="79">
        <f>IF('Ordenes_Odoo'!N126="","",'Ordenes_Odoo'!N126)</f>
        <v/>
      </c>
      <c r="O126" s="81">
        <f>IF('Ordenes_Odoo'!O126="","",'Ordenes_Odoo'!O126)</f>
        <v/>
      </c>
      <c r="P126" s="81">
        <f>IF('Ordenes_Odoo'!P126="","",'Ordenes_Odoo'!P126)</f>
        <v/>
      </c>
      <c r="Q126" s="79">
        <f>IF(A126="","",IFERROR(INDEX(Facturas_Odoo!$B:$B, MATCH(A126, Facturas_Odoo!$D:$D, 0)), "Sin Factura"))</f>
        <v/>
      </c>
      <c r="R126" s="80">
        <f>IF(Q126="Sin Factura","",IFERROR(INDEX(Facturas_Odoo!$A:$A, MATCH(Q126, Facturas_Odoo!$B:$B, 0)), ""))</f>
        <v/>
      </c>
      <c r="S126" s="79">
        <f>IF(Q126="Sin Factura","",IFERROR(_xlfn.XLOOKUP(1, (Facturas_Odoo!$D:$D=A126) * (Facturas_Odoo!$K:$K=I126), Facturas_Odoo!$L:$L, ""), ""))</f>
        <v/>
      </c>
      <c r="T126" s="81">
        <f>IF(Q126="Sin Factura",0,IFERROR(_xlfn.XLOOKUP(1, (Facturas_Odoo!$D:$D=A126) * (Facturas_Odoo!$K:$K=I126), Facturas_Odoo!$M:$M, 0), 0))</f>
        <v/>
      </c>
      <c r="U126" s="79">
        <f>IF(Q126="Sin Factura",0,IFERROR(_xlfn.XLOOKUP(1, (Facturas_Odoo!$D:$D=A126) * (Facturas_Odoo!$K:$K=I126), Facturas_Odoo!$N:$N, 0), 0))</f>
        <v/>
      </c>
      <c r="V126" s="79">
        <f>IF(Q126="Sin Factura",0,IFERROR(_xlfn.XLOOKUP(1, (Facturas_Odoo!$D:$D=A126) * (Facturas_Odoo!$K:$K=I126), Facturas_Odoo!$O:$O, 0), 0))</f>
        <v/>
      </c>
      <c r="W126" s="81">
        <f>IF(Q126="Sin Factura",0,IFERROR(_xlfn.XLOOKUP(1, (Facturas_Odoo!$D:$D=A126) * (Facturas_Odoo!$K:$K=I126), Facturas_Odoo!$Q:$Q, 0), 0))</f>
        <v/>
      </c>
      <c r="X126" s="79">
        <f>IF(OR(Q126="Sin Factura",Q126=""),"",IFERROR(INDEX(Pagos_Odoo!$B:$B, MATCH(Q126, Pagos_Odoo!$I:$I, 0)), "Sin Pago"))</f>
        <v/>
      </c>
      <c r="Y126" s="79">
        <f>IF(X126="Sin Pago","",IFERROR(INDEX(Pagos_Odoo!$C:$C, MATCH(X126, Pagos_Odoo!$B:$B, 0)), ""))</f>
        <v/>
      </c>
      <c r="Z126" s="80">
        <f>IF(X126="Sin Pago","",IFERROR(INDEX(Pagos_Odoo!$A:$A, MATCH(X126, Pagos_Odoo!$B:$B, 0)), ""))</f>
        <v/>
      </c>
      <c r="AA126" s="79">
        <f>IF(X126="Sin Pago","",IFERROR(INDEX(Pagos_Odoo!$F:$F, MATCH(X126, Pagos_Odoo!$B:$B, 0)), ""))</f>
        <v/>
      </c>
      <c r="AB126" s="81">
        <f>IF(X126="Sin Pago",0,IFERROR(INDEX(Pagos_Odoo!$E:$E, MATCH(X126, Pagos_Odoo!$B:$B, 0)), 0))</f>
        <v/>
      </c>
      <c r="AC126" s="79">
        <f>IF(X126="Sin Pago","",IFERROR(INDEX(Pagos_Odoo!$G:$G, MATCH(X126, Pagos_Odoo!$B:$B, 0)), ""))</f>
        <v/>
      </c>
      <c r="AD126" s="82" t="n">
        <v>0</v>
      </c>
      <c r="AE126" s="82" t="n"/>
      <c r="AF126" s="82" t="n"/>
      <c r="AG126" s="82">
        <f>IF(AN126="","",AD126+AE126+AF126)</f>
        <v/>
      </c>
      <c r="AH126" s="81">
        <f>IF(AN126="","",P126*(1-AG126))</f>
        <v/>
      </c>
      <c r="AI126" s="81">
        <f>IF(AN126="","",IF(Q126="Sin Factura",0,IFERROR(INDEX(Facturas_Odoo!$H:$H, MATCH(Q126, Facturas_Odoo!$B:$B, 0)), 0)*(1-AG126)))</f>
        <v/>
      </c>
      <c r="AJ126" s="81">
        <f>IF(AN126="","",_xlfn.LET(idVenta, AN126&amp;"",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6" s="81">
        <f>IF(AN126="","",AH126-AJ126)</f>
        <v/>
      </c>
      <c r="AL126" s="81">
        <f>IF(AN126="","",IF(Q126="Sin Factura","",AI126-AJ126))</f>
        <v/>
      </c>
      <c r="AM126" s="81">
        <f>IF(AN126="","",IF(Q126="Sin Factura",0,P126-IFERROR(INDEX(Facturas_Odoo!$H:$H, MATCH(Q126, Facturas_Odoo!$B:$B, 0)), 0)))</f>
        <v/>
      </c>
      <c r="AN126" s="79">
        <f>IF(AND(A126="", J126=""), "", IF(A126&lt;&gt;"", VALUE(MID(A126,2,LEN(A126))), AN125))</f>
        <v/>
      </c>
      <c r="AO126" s="79">
        <f>IF(AN126="","",IF(AD126=0,"OK",_xlfn.LET(monedaPago, IF(AA126="","USD",AA126), limitePermitido, IFERROR(VLOOKUP(monedaPago, Configuración!$A$2:$B$3, 2, FALSE), 0.15), IF(AD126&gt;limitePermitido, "ALERTA: EXCESO (" &amp; TEXT(limitePermitido, "0%") &amp; " máx)", "OK"))))</f>
        <v/>
      </c>
      <c r="AP126" s="79">
        <f>IF(AN126="","",IF(AE126=0,"OK",_xlfn.LET(fechaPago, Z126, fechaFactura, R126, diasCredito, IF(E126="Pago inmediato", 0, IFERROR(VALUE(MID(E126, 1, SEARCH(" ", E126)-1)),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6" s="79">
        <f>IF(AN126="","",IF(AND(N126&gt;0, AG126&gt;0), IF(Configuración!$K$2="NO", "ALERTA: DESCUENTO DOBLE NO PERMITIDO", "OK"), "OK"))</f>
        <v/>
      </c>
      <c r="AR126" s="79">
        <f>IF(AN126="","",IF(OR(AO126&lt;&gt;"OK", AP126&lt;&gt;"OK", AQ126&lt;&gt;"OK"), "⚠️ REVISAR", "OK"))</f>
        <v/>
      </c>
    </row>
    <row r="127">
      <c r="A127" s="79">
        <f>IF('Ordenes_Odoo'!A127="","",'Ordenes_Odoo'!A127)</f>
        <v/>
      </c>
      <c r="B127" s="80">
        <f>IF('Ordenes_Odoo'!B127="","",'Ordenes_Odoo'!B127)</f>
        <v/>
      </c>
      <c r="C127" s="79">
        <f>IF('Ordenes_Odoo'!C127="","",'Ordenes_Odoo'!C127)</f>
        <v/>
      </c>
      <c r="D127" s="79">
        <f>IF('Ordenes_Odoo'!D127="","",'Ordenes_Odoo'!D127)</f>
        <v/>
      </c>
      <c r="E127" s="79">
        <f>IF('Ordenes_Odoo'!E127="","",'Ordenes_Odoo'!E127)</f>
        <v/>
      </c>
      <c r="F127" s="79">
        <f>IF('Ordenes_Odoo'!F127="","",'Ordenes_Odoo'!F127)</f>
        <v/>
      </c>
      <c r="G127" s="79">
        <f>IF('Ordenes_Odoo'!G127="","",'Ordenes_Odoo'!G127)</f>
        <v/>
      </c>
      <c r="H127" s="79">
        <f>IF('Ordenes_Odoo'!H127="","",'Ordenes_Odoo'!H127)</f>
        <v/>
      </c>
      <c r="I127" s="79">
        <f>IF('Ordenes_Odoo'!I127="","",'Ordenes_Odoo'!I127)</f>
        <v/>
      </c>
      <c r="J127" s="79">
        <f>IF('Ordenes_Odoo'!J127="","",'Ordenes_Odoo'!J127)</f>
        <v/>
      </c>
      <c r="K127" s="81">
        <f>IF('Ordenes_Odoo'!K127="","",'Ordenes_Odoo'!K127)</f>
        <v/>
      </c>
      <c r="L127" s="81">
        <f>IF('Ordenes_Odoo'!L127="","",'Ordenes_Odoo'!L127)</f>
        <v/>
      </c>
      <c r="M127" s="79">
        <f>IF('Ordenes_Odoo'!M127="","",'Ordenes_Odoo'!M127)</f>
        <v/>
      </c>
      <c r="N127" s="79">
        <f>IF('Ordenes_Odoo'!N127="","",'Ordenes_Odoo'!N127)</f>
        <v/>
      </c>
      <c r="O127" s="81">
        <f>IF('Ordenes_Odoo'!O127="","",'Ordenes_Odoo'!O127)</f>
        <v/>
      </c>
      <c r="P127" s="81">
        <f>IF('Ordenes_Odoo'!P127="","",'Ordenes_Odoo'!P127)</f>
        <v/>
      </c>
      <c r="Q127" s="79">
        <f>IF(A127="","",IFERROR(INDEX(Facturas_Odoo!$B:$B, MATCH(A127, Facturas_Odoo!$D:$D, 0)), "Sin Factura"))</f>
        <v/>
      </c>
      <c r="R127" s="80">
        <f>IF(Q127="Sin Factura","",IFERROR(INDEX(Facturas_Odoo!$A:$A, MATCH(Q127, Facturas_Odoo!$B:$B, 0)), ""))</f>
        <v/>
      </c>
      <c r="S127" s="79">
        <f>IF(Q127="Sin Factura","",IFERROR(_xlfn.XLOOKUP(1, (Facturas_Odoo!$D:$D=A127) * (Facturas_Odoo!$K:$K=I127), Facturas_Odoo!$L:$L, ""), ""))</f>
        <v/>
      </c>
      <c r="T127" s="81">
        <f>IF(Q127="Sin Factura",0,IFERROR(_xlfn.XLOOKUP(1, (Facturas_Odoo!$D:$D=A127) * (Facturas_Odoo!$K:$K=I127), Facturas_Odoo!$M:$M, 0), 0))</f>
        <v/>
      </c>
      <c r="U127" s="79">
        <f>IF(Q127="Sin Factura",0,IFERROR(_xlfn.XLOOKUP(1, (Facturas_Odoo!$D:$D=A127) * (Facturas_Odoo!$K:$K=I127), Facturas_Odoo!$N:$N, 0), 0))</f>
        <v/>
      </c>
      <c r="V127" s="79">
        <f>IF(Q127="Sin Factura",0,IFERROR(_xlfn.XLOOKUP(1, (Facturas_Odoo!$D:$D=A127) * (Facturas_Odoo!$K:$K=I127), Facturas_Odoo!$O:$O, 0), 0))</f>
        <v/>
      </c>
      <c r="W127" s="81">
        <f>IF(Q127="Sin Factura",0,IFERROR(_xlfn.XLOOKUP(1, (Facturas_Odoo!$D:$D=A127) * (Facturas_Odoo!$K:$K=I127), Facturas_Odoo!$Q:$Q, 0), 0))</f>
        <v/>
      </c>
      <c r="X127" s="79">
        <f>IF(OR(Q127="Sin Factura",Q127=""),"",IFERROR(INDEX(Pagos_Odoo!$B:$B, MATCH(Q127, Pagos_Odoo!$I:$I, 0)), "Sin Pago"))</f>
        <v/>
      </c>
      <c r="Y127" s="79">
        <f>IF(X127="Sin Pago","",IFERROR(INDEX(Pagos_Odoo!$C:$C, MATCH(X127, Pagos_Odoo!$B:$B, 0)), ""))</f>
        <v/>
      </c>
      <c r="Z127" s="80">
        <f>IF(X127="Sin Pago","",IFERROR(INDEX(Pagos_Odoo!$A:$A, MATCH(X127, Pagos_Odoo!$B:$B, 0)), ""))</f>
        <v/>
      </c>
      <c r="AA127" s="79">
        <f>IF(X127="Sin Pago","",IFERROR(INDEX(Pagos_Odoo!$F:$F, MATCH(X127, Pagos_Odoo!$B:$B, 0)), ""))</f>
        <v/>
      </c>
      <c r="AB127" s="81">
        <f>IF(X127="Sin Pago",0,IFERROR(INDEX(Pagos_Odoo!$E:$E, MATCH(X127, Pagos_Odoo!$B:$B, 0)), 0))</f>
        <v/>
      </c>
      <c r="AC127" s="79">
        <f>IF(X127="Sin Pago","",IFERROR(INDEX(Pagos_Odoo!$G:$G, MATCH(X127, Pagos_Odoo!$B:$B, 0)), ""))</f>
        <v/>
      </c>
      <c r="AD127" s="82" t="n">
        <v>0</v>
      </c>
      <c r="AE127" s="82" t="n"/>
      <c r="AF127" s="82" t="n"/>
      <c r="AG127" s="82">
        <f>IF(AN127="","",AD127+AE127+AF127)</f>
        <v/>
      </c>
      <c r="AH127" s="81">
        <f>IF(AN127="","",P127*(1-AG127))</f>
        <v/>
      </c>
      <c r="AI127" s="81">
        <f>IF(AN127="","",IF(Q127="Sin Factura",0,IFERROR(INDEX(Facturas_Odoo!$H:$H, MATCH(Q127, Facturas_Odoo!$B:$B, 0)), 0)*(1-AG127)))</f>
        <v/>
      </c>
      <c r="AJ127" s="81">
        <f>IF(AN127="","",_xlfn.LET(idVenta, AN127&amp;"",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7" s="81">
        <f>IF(AN127="","",AH127-AJ127)</f>
        <v/>
      </c>
      <c r="AL127" s="81">
        <f>IF(AN127="","",IF(Q127="Sin Factura","",AI127-AJ127))</f>
        <v/>
      </c>
      <c r="AM127" s="81">
        <f>IF(AN127="","",IF(Q127="Sin Factura",0,P127-IFERROR(INDEX(Facturas_Odoo!$H:$H, MATCH(Q127, Facturas_Odoo!$B:$B, 0)), 0)))</f>
        <v/>
      </c>
      <c r="AN127" s="79">
        <f>IF(AND(A127="", J127=""), "", IF(A127&lt;&gt;"", VALUE(MID(A127,2,LEN(A127))), AN126))</f>
        <v/>
      </c>
      <c r="AO127" s="79">
        <f>IF(AN127="","",IF(AD127=0,"OK",_xlfn.LET(monedaPago, IF(AA127="","USD",AA127), limitePermitido, IFERROR(VLOOKUP(monedaPago, Configuración!$A$2:$B$3, 2, FALSE), 0.15), IF(AD127&gt;limitePermitido, "ALERTA: EXCESO (" &amp; TEXT(limitePermitido, "0%") &amp; " máx)", "OK"))))</f>
        <v/>
      </c>
      <c r="AP127" s="79">
        <f>IF(AN127="","",IF(AE127=0,"OK",_xlfn.LET(fechaPago, Z127, fechaFactura, R127, diasCredito, IF(E127="Pago inmediato", 0, IFERROR(VALUE(MID(E127, 1, SEARCH(" ", E127)-1)),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7" s="79">
        <f>IF(AN127="","",IF(AND(N127&gt;0, AG127&gt;0), IF(Configuración!$K$2="NO", "ALERTA: DESCUENTO DOBLE NO PERMITIDO", "OK"), "OK"))</f>
        <v/>
      </c>
      <c r="AR127" s="79">
        <f>IF(AN127="","",IF(OR(AO127&lt;&gt;"OK", AP127&lt;&gt;"OK", AQ127&lt;&gt;"OK"), "⚠️ REVISAR", "OK"))</f>
        <v/>
      </c>
    </row>
    <row r="128">
      <c r="A128" s="79">
        <f>IF('Ordenes_Odoo'!A128="","",'Ordenes_Odoo'!A128)</f>
        <v/>
      </c>
      <c r="B128" s="80">
        <f>IF('Ordenes_Odoo'!B128="","",'Ordenes_Odoo'!B128)</f>
        <v/>
      </c>
      <c r="C128" s="79">
        <f>IF('Ordenes_Odoo'!C128="","",'Ordenes_Odoo'!C128)</f>
        <v/>
      </c>
      <c r="D128" s="79">
        <f>IF('Ordenes_Odoo'!D128="","",'Ordenes_Odoo'!D128)</f>
        <v/>
      </c>
      <c r="E128" s="79">
        <f>IF('Ordenes_Odoo'!E128="","",'Ordenes_Odoo'!E128)</f>
        <v/>
      </c>
      <c r="F128" s="79">
        <f>IF('Ordenes_Odoo'!F128="","",'Ordenes_Odoo'!F128)</f>
        <v/>
      </c>
      <c r="G128" s="79">
        <f>IF('Ordenes_Odoo'!G128="","",'Ordenes_Odoo'!G128)</f>
        <v/>
      </c>
      <c r="H128" s="79">
        <f>IF('Ordenes_Odoo'!H128="","",'Ordenes_Odoo'!H128)</f>
        <v/>
      </c>
      <c r="I128" s="79">
        <f>IF('Ordenes_Odoo'!I128="","",'Ordenes_Odoo'!I128)</f>
        <v/>
      </c>
      <c r="J128" s="79">
        <f>IF('Ordenes_Odoo'!J128="","",'Ordenes_Odoo'!J128)</f>
        <v/>
      </c>
      <c r="K128" s="81">
        <f>IF('Ordenes_Odoo'!K128="","",'Ordenes_Odoo'!K128)</f>
        <v/>
      </c>
      <c r="L128" s="81">
        <f>IF('Ordenes_Odoo'!L128="","",'Ordenes_Odoo'!L128)</f>
        <v/>
      </c>
      <c r="M128" s="79">
        <f>IF('Ordenes_Odoo'!M128="","",'Ordenes_Odoo'!M128)</f>
        <v/>
      </c>
      <c r="N128" s="79">
        <f>IF('Ordenes_Odoo'!N128="","",'Ordenes_Odoo'!N128)</f>
        <v/>
      </c>
      <c r="O128" s="81">
        <f>IF('Ordenes_Odoo'!O128="","",'Ordenes_Odoo'!O128)</f>
        <v/>
      </c>
      <c r="P128" s="81">
        <f>IF('Ordenes_Odoo'!P128="","",'Ordenes_Odoo'!P128)</f>
        <v/>
      </c>
      <c r="Q128" s="79">
        <f>IF(A128="","",IFERROR(INDEX(Facturas_Odoo!$B:$B, MATCH(A128, Facturas_Odoo!$D:$D, 0)), "Sin Factura"))</f>
        <v/>
      </c>
      <c r="R128" s="80">
        <f>IF(Q128="Sin Factura","",IFERROR(INDEX(Facturas_Odoo!$A:$A, MATCH(Q128, Facturas_Odoo!$B:$B, 0)), ""))</f>
        <v/>
      </c>
      <c r="S128" s="79">
        <f>IF(Q128="Sin Factura","",IFERROR(_xlfn.XLOOKUP(1, (Facturas_Odoo!$D:$D=A128) * (Facturas_Odoo!$K:$K=I128), Facturas_Odoo!$L:$L, ""), ""))</f>
        <v/>
      </c>
      <c r="T128" s="81">
        <f>IF(Q128="Sin Factura",0,IFERROR(_xlfn.XLOOKUP(1, (Facturas_Odoo!$D:$D=A128) * (Facturas_Odoo!$K:$K=I128), Facturas_Odoo!$M:$M, 0), 0))</f>
        <v/>
      </c>
      <c r="U128" s="79">
        <f>IF(Q128="Sin Factura",0,IFERROR(_xlfn.XLOOKUP(1, (Facturas_Odoo!$D:$D=A128) * (Facturas_Odoo!$K:$K=I128), Facturas_Odoo!$N:$N, 0), 0))</f>
        <v/>
      </c>
      <c r="V128" s="79">
        <f>IF(Q128="Sin Factura",0,IFERROR(_xlfn.XLOOKUP(1, (Facturas_Odoo!$D:$D=A128) * (Facturas_Odoo!$K:$K=I128), Facturas_Odoo!$O:$O, 0), 0))</f>
        <v/>
      </c>
      <c r="W128" s="81">
        <f>IF(Q128="Sin Factura",0,IFERROR(_xlfn.XLOOKUP(1, (Facturas_Odoo!$D:$D=A128) * (Facturas_Odoo!$K:$K=I128), Facturas_Odoo!$Q:$Q, 0), 0))</f>
        <v/>
      </c>
      <c r="X128" s="79">
        <f>IF(OR(Q128="Sin Factura",Q128=""),"",IFERROR(INDEX(Pagos_Odoo!$B:$B, MATCH(Q128, Pagos_Odoo!$I:$I, 0)), "Sin Pago"))</f>
        <v/>
      </c>
      <c r="Y128" s="79">
        <f>IF(X128="Sin Pago","",IFERROR(INDEX(Pagos_Odoo!$C:$C, MATCH(X128, Pagos_Odoo!$B:$B, 0)), ""))</f>
        <v/>
      </c>
      <c r="Z128" s="80">
        <f>IF(X128="Sin Pago","",IFERROR(INDEX(Pagos_Odoo!$A:$A, MATCH(X128, Pagos_Odoo!$B:$B, 0)), ""))</f>
        <v/>
      </c>
      <c r="AA128" s="79">
        <f>IF(X128="Sin Pago","",IFERROR(INDEX(Pagos_Odoo!$F:$F, MATCH(X128, Pagos_Odoo!$B:$B, 0)), ""))</f>
        <v/>
      </c>
      <c r="AB128" s="81">
        <f>IF(X128="Sin Pago",0,IFERROR(INDEX(Pagos_Odoo!$E:$E, MATCH(X128, Pagos_Odoo!$B:$B, 0)), 0))</f>
        <v/>
      </c>
      <c r="AC128" s="79">
        <f>IF(X128="Sin Pago","",IFERROR(INDEX(Pagos_Odoo!$G:$G, MATCH(X128, Pagos_Odoo!$B:$B, 0)), ""))</f>
        <v/>
      </c>
      <c r="AD128" s="82" t="n">
        <v>0</v>
      </c>
      <c r="AE128" s="82" t="n"/>
      <c r="AF128" s="82" t="n"/>
      <c r="AG128" s="82">
        <f>IF(AN128="","",AD128+AE128+AF128)</f>
        <v/>
      </c>
      <c r="AH128" s="81">
        <f>IF(AN128="","",P128*(1-AG128))</f>
        <v/>
      </c>
      <c r="AI128" s="81">
        <f>IF(AN128="","",IF(Q128="Sin Factura",0,IFERROR(INDEX(Facturas_Odoo!$H:$H, MATCH(Q128, Facturas_Odoo!$B:$B, 0)), 0)*(1-AG128)))</f>
        <v/>
      </c>
      <c r="AJ128" s="81">
        <f>IF(AN128="","",_xlfn.LET(idVenta, AN128&amp;"",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8" s="81">
        <f>IF(AN128="","",AH128-AJ128)</f>
        <v/>
      </c>
      <c r="AL128" s="81">
        <f>IF(AN128="","",IF(Q128="Sin Factura","",AI128-AJ128))</f>
        <v/>
      </c>
      <c r="AM128" s="81">
        <f>IF(AN128="","",IF(Q128="Sin Factura",0,P128-IFERROR(INDEX(Facturas_Odoo!$H:$H, MATCH(Q128, Facturas_Odoo!$B:$B, 0)), 0)))</f>
        <v/>
      </c>
      <c r="AN128" s="79">
        <f>IF(AND(A128="", J128=""), "", IF(A128&lt;&gt;"", VALUE(MID(A128,2,LEN(A128))), AN127))</f>
        <v/>
      </c>
      <c r="AO128" s="79">
        <f>IF(AN128="","",IF(AD128=0,"OK",_xlfn.LET(monedaPago, IF(AA128="","USD",AA128), limitePermitido, IFERROR(VLOOKUP(monedaPago, Configuración!$A$2:$B$3, 2, FALSE), 0.15), IF(AD128&gt;limitePermitido, "ALERTA: EXCESO (" &amp; TEXT(limitePermitido, "0%") &amp; " máx)", "OK"))))</f>
        <v/>
      </c>
      <c r="AP128" s="79">
        <f>IF(AN128="","",IF(AE128=0,"OK",_xlfn.LET(fechaPago, Z128, fechaFactura, R128, diasCredito, IF(E128="Pago inmediato", 0, IFERROR(VALUE(MID(E128, 1, SEARCH(" ", E128)-1)),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8" s="79">
        <f>IF(AN128="","",IF(AND(N128&gt;0, AG128&gt;0), IF(Configuración!$K$2="NO", "ALERTA: DESCUENTO DOBLE NO PERMITIDO", "OK"), "OK"))</f>
        <v/>
      </c>
      <c r="AR128" s="79">
        <f>IF(AN128="","",IF(OR(AO128&lt;&gt;"OK", AP128&lt;&gt;"OK", AQ128&lt;&gt;"OK"), "⚠️ REVISAR", "OK"))</f>
        <v/>
      </c>
    </row>
    <row r="129">
      <c r="A129" s="79">
        <f>IF('Ordenes_Odoo'!A129="","",'Ordenes_Odoo'!A129)</f>
        <v/>
      </c>
      <c r="B129" s="80">
        <f>IF('Ordenes_Odoo'!B129="","",'Ordenes_Odoo'!B129)</f>
        <v/>
      </c>
      <c r="C129" s="79">
        <f>IF('Ordenes_Odoo'!C129="","",'Ordenes_Odoo'!C129)</f>
        <v/>
      </c>
      <c r="D129" s="79">
        <f>IF('Ordenes_Odoo'!D129="","",'Ordenes_Odoo'!D129)</f>
        <v/>
      </c>
      <c r="E129" s="79">
        <f>IF('Ordenes_Odoo'!E129="","",'Ordenes_Odoo'!E129)</f>
        <v/>
      </c>
      <c r="F129" s="79">
        <f>IF('Ordenes_Odoo'!F129="","",'Ordenes_Odoo'!F129)</f>
        <v/>
      </c>
      <c r="G129" s="79">
        <f>IF('Ordenes_Odoo'!G129="","",'Ordenes_Odoo'!G129)</f>
        <v/>
      </c>
      <c r="H129" s="79">
        <f>IF('Ordenes_Odoo'!H129="","",'Ordenes_Odoo'!H129)</f>
        <v/>
      </c>
      <c r="I129" s="79">
        <f>IF('Ordenes_Odoo'!I129="","",'Ordenes_Odoo'!I129)</f>
        <v/>
      </c>
      <c r="J129" s="79">
        <f>IF('Ordenes_Odoo'!J129="","",'Ordenes_Odoo'!J129)</f>
        <v/>
      </c>
      <c r="K129" s="81">
        <f>IF('Ordenes_Odoo'!K129="","",'Ordenes_Odoo'!K129)</f>
        <v/>
      </c>
      <c r="L129" s="81">
        <f>IF('Ordenes_Odoo'!L129="","",'Ordenes_Odoo'!L129)</f>
        <v/>
      </c>
      <c r="M129" s="79">
        <f>IF('Ordenes_Odoo'!M129="","",'Ordenes_Odoo'!M129)</f>
        <v/>
      </c>
      <c r="N129" s="79">
        <f>IF('Ordenes_Odoo'!N129="","",'Ordenes_Odoo'!N129)</f>
        <v/>
      </c>
      <c r="O129" s="81">
        <f>IF('Ordenes_Odoo'!O129="","",'Ordenes_Odoo'!O129)</f>
        <v/>
      </c>
      <c r="P129" s="81">
        <f>IF('Ordenes_Odoo'!P129="","",'Ordenes_Odoo'!P129)</f>
        <v/>
      </c>
      <c r="Q129" s="79">
        <f>IF(A129="","",IFERROR(INDEX(Facturas_Odoo!$B:$B, MATCH(A129, Facturas_Odoo!$D:$D, 0)), "Sin Factura"))</f>
        <v/>
      </c>
      <c r="R129" s="80">
        <f>IF(Q129="Sin Factura","",IFERROR(INDEX(Facturas_Odoo!$A:$A, MATCH(Q129, Facturas_Odoo!$B:$B, 0)), ""))</f>
        <v/>
      </c>
      <c r="S129" s="79">
        <f>IF(Q129="Sin Factura","",IFERROR(_xlfn.XLOOKUP(1, (Facturas_Odoo!$D:$D=A129) * (Facturas_Odoo!$K:$K=I129), Facturas_Odoo!$L:$L, ""), ""))</f>
        <v/>
      </c>
      <c r="T129" s="81">
        <f>IF(Q129="Sin Factura",0,IFERROR(_xlfn.XLOOKUP(1, (Facturas_Odoo!$D:$D=A129) * (Facturas_Odoo!$K:$K=I129), Facturas_Odoo!$M:$M, 0), 0))</f>
        <v/>
      </c>
      <c r="U129" s="79">
        <f>IF(Q129="Sin Factura",0,IFERROR(_xlfn.XLOOKUP(1, (Facturas_Odoo!$D:$D=A129) * (Facturas_Odoo!$K:$K=I129), Facturas_Odoo!$N:$N, 0), 0))</f>
        <v/>
      </c>
      <c r="V129" s="79">
        <f>IF(Q129="Sin Factura",0,IFERROR(_xlfn.XLOOKUP(1, (Facturas_Odoo!$D:$D=A129) * (Facturas_Odoo!$K:$K=I129), Facturas_Odoo!$O:$O, 0), 0))</f>
        <v/>
      </c>
      <c r="W129" s="81">
        <f>IF(Q129="Sin Factura",0,IFERROR(_xlfn.XLOOKUP(1, (Facturas_Odoo!$D:$D=A129) * (Facturas_Odoo!$K:$K=I129), Facturas_Odoo!$Q:$Q, 0), 0))</f>
        <v/>
      </c>
      <c r="X129" s="79">
        <f>IF(OR(Q129="Sin Factura",Q129=""),"",IFERROR(INDEX(Pagos_Odoo!$B:$B, MATCH(Q129, Pagos_Odoo!$I:$I, 0)), "Sin Pago"))</f>
        <v/>
      </c>
      <c r="Y129" s="79">
        <f>IF(X129="Sin Pago","",IFERROR(INDEX(Pagos_Odoo!$C:$C, MATCH(X129, Pagos_Odoo!$B:$B, 0)), ""))</f>
        <v/>
      </c>
      <c r="Z129" s="80">
        <f>IF(X129="Sin Pago","",IFERROR(INDEX(Pagos_Odoo!$A:$A, MATCH(X129, Pagos_Odoo!$B:$B, 0)), ""))</f>
        <v/>
      </c>
      <c r="AA129" s="79">
        <f>IF(X129="Sin Pago","",IFERROR(INDEX(Pagos_Odoo!$F:$F, MATCH(X129, Pagos_Odoo!$B:$B, 0)), ""))</f>
        <v/>
      </c>
      <c r="AB129" s="81">
        <f>IF(X129="Sin Pago",0,IFERROR(INDEX(Pagos_Odoo!$E:$E, MATCH(X129, Pagos_Odoo!$B:$B, 0)), 0))</f>
        <v/>
      </c>
      <c r="AC129" s="79">
        <f>IF(X129="Sin Pago","",IFERROR(INDEX(Pagos_Odoo!$G:$G, MATCH(X129, Pagos_Odoo!$B:$B, 0)), ""))</f>
        <v/>
      </c>
      <c r="AD129" s="82" t="n">
        <v>0</v>
      </c>
      <c r="AE129" s="82" t="n"/>
      <c r="AF129" s="82" t="n"/>
      <c r="AG129" s="82">
        <f>IF(AN129="","",AD129+AE129+AF129)</f>
        <v/>
      </c>
      <c r="AH129" s="81">
        <f>IF(AN129="","",P129*(1-AG129))</f>
        <v/>
      </c>
      <c r="AI129" s="81">
        <f>IF(AN129="","",IF(Q129="Sin Factura",0,IFERROR(INDEX(Facturas_Odoo!$H:$H, MATCH(Q129, Facturas_Odoo!$B:$B, 0)), 0)*(1-AG129)))</f>
        <v/>
      </c>
      <c r="AJ129" s="81">
        <f>IF(AN129="","",_xlfn.LET(idVenta, AN129&amp;"",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9" s="81">
        <f>IF(AN129="","",AH129-AJ129)</f>
        <v/>
      </c>
      <c r="AL129" s="81">
        <f>IF(AN129="","",IF(Q129="Sin Factura","",AI129-AJ129))</f>
        <v/>
      </c>
      <c r="AM129" s="81">
        <f>IF(AN129="","",IF(Q129="Sin Factura",0,P129-IFERROR(INDEX(Facturas_Odoo!$H:$H, MATCH(Q129, Facturas_Odoo!$B:$B, 0)), 0)))</f>
        <v/>
      </c>
      <c r="AN129" s="79">
        <f>IF(AND(A129="", J129=""), "", IF(A129&lt;&gt;"", VALUE(MID(A129,2,LEN(A129))), AN128))</f>
        <v/>
      </c>
      <c r="AO129" s="79">
        <f>IF(AN129="","",IF(AD129=0,"OK",_xlfn.LET(monedaPago, IF(AA129="","USD",AA129), limitePermitido, IFERROR(VLOOKUP(monedaPago, Configuración!$A$2:$B$3, 2, FALSE), 0.15), IF(AD129&gt;limitePermitido, "ALERTA: EXCESO (" &amp; TEXT(limitePermitido, "0%") &amp; " máx)", "OK"))))</f>
        <v/>
      </c>
      <c r="AP129" s="79">
        <f>IF(AN129="","",IF(AE129=0,"OK",_xlfn.LET(fechaPago, Z129, fechaFactura, R129, diasCredito, IF(E129="Pago inmediato", 0, IFERROR(VALUE(MID(E129, 1, SEARCH(" ", E129)-1)),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9" s="79">
        <f>IF(AN129="","",IF(AND(N129&gt;0, AG129&gt;0), IF(Configuración!$K$2="NO", "ALERTA: DESCUENTO DOBLE NO PERMITIDO", "OK"), "OK"))</f>
        <v/>
      </c>
      <c r="AR129" s="79">
        <f>IF(AN129="","",IF(OR(AO129&lt;&gt;"OK", AP129&lt;&gt;"OK", AQ129&lt;&gt;"OK"), "⚠️ REVISAR", "OK"))</f>
        <v/>
      </c>
    </row>
    <row r="130">
      <c r="A130" s="79">
        <f>IF('Ordenes_Odoo'!A130="","",'Ordenes_Odoo'!A130)</f>
        <v/>
      </c>
      <c r="B130" s="80">
        <f>IF('Ordenes_Odoo'!B130="","",'Ordenes_Odoo'!B130)</f>
        <v/>
      </c>
      <c r="C130" s="79">
        <f>IF('Ordenes_Odoo'!C130="","",'Ordenes_Odoo'!C130)</f>
        <v/>
      </c>
      <c r="D130" s="79">
        <f>IF('Ordenes_Odoo'!D130="","",'Ordenes_Odoo'!D130)</f>
        <v/>
      </c>
      <c r="E130" s="79">
        <f>IF('Ordenes_Odoo'!E130="","",'Ordenes_Odoo'!E130)</f>
        <v/>
      </c>
      <c r="F130" s="79">
        <f>IF('Ordenes_Odoo'!F130="","",'Ordenes_Odoo'!F130)</f>
        <v/>
      </c>
      <c r="G130" s="79">
        <f>IF('Ordenes_Odoo'!G130="","",'Ordenes_Odoo'!G130)</f>
        <v/>
      </c>
      <c r="H130" s="79">
        <f>IF('Ordenes_Odoo'!H130="","",'Ordenes_Odoo'!H130)</f>
        <v/>
      </c>
      <c r="I130" s="79">
        <f>IF('Ordenes_Odoo'!I130="","",'Ordenes_Odoo'!I130)</f>
        <v/>
      </c>
      <c r="J130" s="79">
        <f>IF('Ordenes_Odoo'!J130="","",'Ordenes_Odoo'!J130)</f>
        <v/>
      </c>
      <c r="K130" s="81">
        <f>IF('Ordenes_Odoo'!K130="","",'Ordenes_Odoo'!K130)</f>
        <v/>
      </c>
      <c r="L130" s="81">
        <f>IF('Ordenes_Odoo'!L130="","",'Ordenes_Odoo'!L130)</f>
        <v/>
      </c>
      <c r="M130" s="79">
        <f>IF('Ordenes_Odoo'!M130="","",'Ordenes_Odoo'!M130)</f>
        <v/>
      </c>
      <c r="N130" s="79">
        <f>IF('Ordenes_Odoo'!N130="","",'Ordenes_Odoo'!N130)</f>
        <v/>
      </c>
      <c r="O130" s="81">
        <f>IF('Ordenes_Odoo'!O130="","",'Ordenes_Odoo'!O130)</f>
        <v/>
      </c>
      <c r="P130" s="81">
        <f>IF('Ordenes_Odoo'!P130="","",'Ordenes_Odoo'!P130)</f>
        <v/>
      </c>
      <c r="Q130" s="79">
        <f>IF(A130="","",IFERROR(INDEX(Facturas_Odoo!$B:$B, MATCH(A130, Facturas_Odoo!$D:$D, 0)), "Sin Factura"))</f>
        <v/>
      </c>
      <c r="R130" s="80">
        <f>IF(Q130="Sin Factura","",IFERROR(INDEX(Facturas_Odoo!$A:$A, MATCH(Q130, Facturas_Odoo!$B:$B, 0)), ""))</f>
        <v/>
      </c>
      <c r="S130" s="79">
        <f>IF(Q130="Sin Factura","",IFERROR(_xlfn.XLOOKUP(1, (Facturas_Odoo!$D:$D=A130) * (Facturas_Odoo!$K:$K=I130), Facturas_Odoo!$L:$L, ""), ""))</f>
        <v/>
      </c>
      <c r="T130" s="81">
        <f>IF(Q130="Sin Factura",0,IFERROR(_xlfn.XLOOKUP(1, (Facturas_Odoo!$D:$D=A130) * (Facturas_Odoo!$K:$K=I130), Facturas_Odoo!$M:$M, 0), 0))</f>
        <v/>
      </c>
      <c r="U130" s="79">
        <f>IF(Q130="Sin Factura",0,IFERROR(_xlfn.XLOOKUP(1, (Facturas_Odoo!$D:$D=A130) * (Facturas_Odoo!$K:$K=I130), Facturas_Odoo!$N:$N, 0), 0))</f>
        <v/>
      </c>
      <c r="V130" s="79">
        <f>IF(Q130="Sin Factura",0,IFERROR(_xlfn.XLOOKUP(1, (Facturas_Odoo!$D:$D=A130) * (Facturas_Odoo!$K:$K=I130), Facturas_Odoo!$O:$O, 0), 0))</f>
        <v/>
      </c>
      <c r="W130" s="81">
        <f>IF(Q130="Sin Factura",0,IFERROR(_xlfn.XLOOKUP(1, (Facturas_Odoo!$D:$D=A130) * (Facturas_Odoo!$K:$K=I130), Facturas_Odoo!$Q:$Q, 0), 0))</f>
        <v/>
      </c>
      <c r="X130" s="79">
        <f>IF(OR(Q130="Sin Factura",Q130=""),"",IFERROR(INDEX(Pagos_Odoo!$B:$B, MATCH(Q130, Pagos_Odoo!$I:$I, 0)), "Sin Pago"))</f>
        <v/>
      </c>
      <c r="Y130" s="79">
        <f>IF(X130="Sin Pago","",IFERROR(INDEX(Pagos_Odoo!$C:$C, MATCH(X130, Pagos_Odoo!$B:$B, 0)), ""))</f>
        <v/>
      </c>
      <c r="Z130" s="80">
        <f>IF(X130="Sin Pago","",IFERROR(INDEX(Pagos_Odoo!$A:$A, MATCH(X130, Pagos_Odoo!$B:$B, 0)), ""))</f>
        <v/>
      </c>
      <c r="AA130" s="79">
        <f>IF(X130="Sin Pago","",IFERROR(INDEX(Pagos_Odoo!$F:$F, MATCH(X130, Pagos_Odoo!$B:$B, 0)), ""))</f>
        <v/>
      </c>
      <c r="AB130" s="81">
        <f>IF(X130="Sin Pago",0,IFERROR(INDEX(Pagos_Odoo!$E:$E, MATCH(X130, Pagos_Odoo!$B:$B, 0)), 0))</f>
        <v/>
      </c>
      <c r="AC130" s="79">
        <f>IF(X130="Sin Pago","",IFERROR(INDEX(Pagos_Odoo!$G:$G, MATCH(X130, Pagos_Odoo!$B:$B, 0)), ""))</f>
        <v/>
      </c>
      <c r="AD130" s="82" t="n">
        <v>0</v>
      </c>
      <c r="AE130" s="82" t="n"/>
      <c r="AF130" s="82" t="n"/>
      <c r="AG130" s="82">
        <f>IF(AN130="","",AD130+AE130+AF130)</f>
        <v/>
      </c>
      <c r="AH130" s="81">
        <f>IF(AN130="","",P130*(1-AG130))</f>
        <v/>
      </c>
      <c r="AI130" s="81">
        <f>IF(AN130="","",IF(Q130="Sin Factura",0,IFERROR(INDEX(Facturas_Odoo!$H:$H, MATCH(Q130, Facturas_Odoo!$B:$B, 0)), 0)*(1-AG130)))</f>
        <v/>
      </c>
      <c r="AJ130" s="81">
        <f>IF(AN130="","",_xlfn.LET(idVenta, AN130&amp;"",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0" s="81">
        <f>IF(AN130="","",AH130-AJ130)</f>
        <v/>
      </c>
      <c r="AL130" s="81">
        <f>IF(AN130="","",IF(Q130="Sin Factura","",AI130-AJ130))</f>
        <v/>
      </c>
      <c r="AM130" s="81">
        <f>IF(AN130="","",IF(Q130="Sin Factura",0,P130-IFERROR(INDEX(Facturas_Odoo!$H:$H, MATCH(Q130, Facturas_Odoo!$B:$B, 0)), 0)))</f>
        <v/>
      </c>
      <c r="AN130" s="79">
        <f>IF(AND(A130="", J130=""), "", IF(A130&lt;&gt;"", VALUE(MID(A130,2,LEN(A130))), AN129))</f>
        <v/>
      </c>
      <c r="AO130" s="79">
        <f>IF(AN130="","",IF(AD130=0,"OK",_xlfn.LET(monedaPago, IF(AA130="","USD",AA130), limitePermitido, IFERROR(VLOOKUP(monedaPago, Configuración!$A$2:$B$3, 2, FALSE), 0.15), IF(AD130&gt;limitePermitido, "ALERTA: EXCESO (" &amp; TEXT(limitePermitido, "0%") &amp; " máx)", "OK"))))</f>
        <v/>
      </c>
      <c r="AP130" s="79">
        <f>IF(AN130="","",IF(AE130=0,"OK",_xlfn.LET(fechaPago, Z130, fechaFactura, R130, diasCredito, IF(E130="Pago inmediato", 0, IFERROR(VALUE(MID(E130, 1, SEARCH(" ", E130)-1)),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0" s="79">
        <f>IF(AN130="","",IF(AND(N130&gt;0, AG130&gt;0), IF(Configuración!$K$2="NO", "ALERTA: DESCUENTO DOBLE NO PERMITIDO", "OK"), "OK"))</f>
        <v/>
      </c>
      <c r="AR130" s="79">
        <f>IF(AN130="","",IF(OR(AO130&lt;&gt;"OK", AP130&lt;&gt;"OK", AQ130&lt;&gt;"OK"), "⚠️ REVISAR", "OK"))</f>
        <v/>
      </c>
    </row>
    <row r="131">
      <c r="A131" s="79">
        <f>IF('Ordenes_Odoo'!A131="","",'Ordenes_Odoo'!A131)</f>
        <v/>
      </c>
      <c r="B131" s="80">
        <f>IF('Ordenes_Odoo'!B131="","",'Ordenes_Odoo'!B131)</f>
        <v/>
      </c>
      <c r="C131" s="79">
        <f>IF('Ordenes_Odoo'!C131="","",'Ordenes_Odoo'!C131)</f>
        <v/>
      </c>
      <c r="D131" s="79">
        <f>IF('Ordenes_Odoo'!D131="","",'Ordenes_Odoo'!D131)</f>
        <v/>
      </c>
      <c r="E131" s="79">
        <f>IF('Ordenes_Odoo'!E131="","",'Ordenes_Odoo'!E131)</f>
        <v/>
      </c>
      <c r="F131" s="79">
        <f>IF('Ordenes_Odoo'!F131="","",'Ordenes_Odoo'!F131)</f>
        <v/>
      </c>
      <c r="G131" s="79">
        <f>IF('Ordenes_Odoo'!G131="","",'Ordenes_Odoo'!G131)</f>
        <v/>
      </c>
      <c r="H131" s="79">
        <f>IF('Ordenes_Odoo'!H131="","",'Ordenes_Odoo'!H131)</f>
        <v/>
      </c>
      <c r="I131" s="79">
        <f>IF('Ordenes_Odoo'!I131="","",'Ordenes_Odoo'!I131)</f>
        <v/>
      </c>
      <c r="J131" s="79">
        <f>IF('Ordenes_Odoo'!J131="","",'Ordenes_Odoo'!J131)</f>
        <v/>
      </c>
      <c r="K131" s="81">
        <f>IF('Ordenes_Odoo'!K131="","",'Ordenes_Odoo'!K131)</f>
        <v/>
      </c>
      <c r="L131" s="81">
        <f>IF('Ordenes_Odoo'!L131="","",'Ordenes_Odoo'!L131)</f>
        <v/>
      </c>
      <c r="M131" s="79">
        <f>IF('Ordenes_Odoo'!M131="","",'Ordenes_Odoo'!M131)</f>
        <v/>
      </c>
      <c r="N131" s="79">
        <f>IF('Ordenes_Odoo'!N131="","",'Ordenes_Odoo'!N131)</f>
        <v/>
      </c>
      <c r="O131" s="81">
        <f>IF('Ordenes_Odoo'!O131="","",'Ordenes_Odoo'!O131)</f>
        <v/>
      </c>
      <c r="P131" s="81">
        <f>IF('Ordenes_Odoo'!P131="","",'Ordenes_Odoo'!P131)</f>
        <v/>
      </c>
      <c r="Q131" s="79">
        <f>IF(A131="","",IFERROR(INDEX(Facturas_Odoo!$B:$B, MATCH(A131, Facturas_Odoo!$D:$D, 0)), "Sin Factura"))</f>
        <v/>
      </c>
      <c r="R131" s="80">
        <f>IF(Q131="Sin Factura","",IFERROR(INDEX(Facturas_Odoo!$A:$A, MATCH(Q131, Facturas_Odoo!$B:$B, 0)), ""))</f>
        <v/>
      </c>
      <c r="S131" s="79">
        <f>IF(Q131="Sin Factura","",IFERROR(_xlfn.XLOOKUP(1, (Facturas_Odoo!$D:$D=A131) * (Facturas_Odoo!$K:$K=I131), Facturas_Odoo!$L:$L, ""), ""))</f>
        <v/>
      </c>
      <c r="T131" s="81">
        <f>IF(Q131="Sin Factura",0,IFERROR(_xlfn.XLOOKUP(1, (Facturas_Odoo!$D:$D=A131) * (Facturas_Odoo!$K:$K=I131), Facturas_Odoo!$M:$M, 0), 0))</f>
        <v/>
      </c>
      <c r="U131" s="79">
        <f>IF(Q131="Sin Factura",0,IFERROR(_xlfn.XLOOKUP(1, (Facturas_Odoo!$D:$D=A131) * (Facturas_Odoo!$K:$K=I131), Facturas_Odoo!$N:$N, 0), 0))</f>
        <v/>
      </c>
      <c r="V131" s="79">
        <f>IF(Q131="Sin Factura",0,IFERROR(_xlfn.XLOOKUP(1, (Facturas_Odoo!$D:$D=A131) * (Facturas_Odoo!$K:$K=I131), Facturas_Odoo!$O:$O, 0), 0))</f>
        <v/>
      </c>
      <c r="W131" s="81">
        <f>IF(Q131="Sin Factura",0,IFERROR(_xlfn.XLOOKUP(1, (Facturas_Odoo!$D:$D=A131) * (Facturas_Odoo!$K:$K=I131), Facturas_Odoo!$Q:$Q, 0), 0))</f>
        <v/>
      </c>
      <c r="X131" s="79">
        <f>IF(OR(Q131="Sin Factura",Q131=""),"",IFERROR(INDEX(Pagos_Odoo!$B:$B, MATCH(Q131, Pagos_Odoo!$I:$I, 0)), "Sin Pago"))</f>
        <v/>
      </c>
      <c r="Y131" s="79">
        <f>IF(X131="Sin Pago","",IFERROR(INDEX(Pagos_Odoo!$C:$C, MATCH(X131, Pagos_Odoo!$B:$B, 0)), ""))</f>
        <v/>
      </c>
      <c r="Z131" s="80">
        <f>IF(X131="Sin Pago","",IFERROR(INDEX(Pagos_Odoo!$A:$A, MATCH(X131, Pagos_Odoo!$B:$B, 0)), ""))</f>
        <v/>
      </c>
      <c r="AA131" s="79">
        <f>IF(X131="Sin Pago","",IFERROR(INDEX(Pagos_Odoo!$F:$F, MATCH(X131, Pagos_Odoo!$B:$B, 0)), ""))</f>
        <v/>
      </c>
      <c r="AB131" s="81">
        <f>IF(X131="Sin Pago",0,IFERROR(INDEX(Pagos_Odoo!$E:$E, MATCH(X131, Pagos_Odoo!$B:$B, 0)), 0))</f>
        <v/>
      </c>
      <c r="AC131" s="79">
        <f>IF(X131="Sin Pago","",IFERROR(INDEX(Pagos_Odoo!$G:$G, MATCH(X131, Pagos_Odoo!$B:$B, 0)), ""))</f>
        <v/>
      </c>
      <c r="AD131" s="82" t="n">
        <v>0</v>
      </c>
      <c r="AE131" s="82" t="n"/>
      <c r="AF131" s="82" t="n"/>
      <c r="AG131" s="82">
        <f>IF(AN131="","",AD131+AE131+AF131)</f>
        <v/>
      </c>
      <c r="AH131" s="81">
        <f>IF(AN131="","",P131*(1-AG131))</f>
        <v/>
      </c>
      <c r="AI131" s="81">
        <f>IF(AN131="","",IF(Q131="Sin Factura",0,IFERROR(INDEX(Facturas_Odoo!$H:$H, MATCH(Q131, Facturas_Odoo!$B:$B, 0)), 0)*(1-AG131)))</f>
        <v/>
      </c>
      <c r="AJ131" s="81">
        <f>IF(AN131="","",_xlfn.LET(idVenta, AN131&amp;"",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1" s="81">
        <f>IF(AN131="","",AH131-AJ131)</f>
        <v/>
      </c>
      <c r="AL131" s="81">
        <f>IF(AN131="","",IF(Q131="Sin Factura","",AI131-AJ131))</f>
        <v/>
      </c>
      <c r="AM131" s="81">
        <f>IF(AN131="","",IF(Q131="Sin Factura",0,P131-IFERROR(INDEX(Facturas_Odoo!$H:$H, MATCH(Q131, Facturas_Odoo!$B:$B, 0)), 0)))</f>
        <v/>
      </c>
      <c r="AN131" s="79">
        <f>IF(AND(A131="", J131=""), "", IF(A131&lt;&gt;"", VALUE(MID(A131,2,LEN(A131))), AN130))</f>
        <v/>
      </c>
      <c r="AO131" s="79">
        <f>IF(AN131="","",IF(AD131=0,"OK",_xlfn.LET(monedaPago, IF(AA131="","USD",AA131), limitePermitido, IFERROR(VLOOKUP(monedaPago, Configuración!$A$2:$B$3, 2, FALSE), 0.15), IF(AD131&gt;limitePermitido, "ALERTA: EXCESO (" &amp; TEXT(limitePermitido, "0%") &amp; " máx)", "OK"))))</f>
        <v/>
      </c>
      <c r="AP131" s="79">
        <f>IF(AN131="","",IF(AE131=0,"OK",_xlfn.LET(fechaPago, Z131, fechaFactura, R131, diasCredito, IF(E131="Pago inmediato", 0, IFERROR(VALUE(MID(E131, 1, SEARCH(" ", E131)-1)),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1" s="79">
        <f>IF(AN131="","",IF(AND(N131&gt;0, AG131&gt;0), IF(Configuración!$K$2="NO", "ALERTA: DESCUENTO DOBLE NO PERMITIDO", "OK"), "OK"))</f>
        <v/>
      </c>
      <c r="AR131" s="79">
        <f>IF(AN131="","",IF(OR(AO131&lt;&gt;"OK", AP131&lt;&gt;"OK", AQ131&lt;&gt;"OK"), "⚠️ REVISAR", "OK"))</f>
        <v/>
      </c>
    </row>
    <row r="132">
      <c r="A132" s="79">
        <f>IF('Ordenes_Odoo'!A132="","",'Ordenes_Odoo'!A132)</f>
        <v/>
      </c>
      <c r="B132" s="80">
        <f>IF('Ordenes_Odoo'!B132="","",'Ordenes_Odoo'!B132)</f>
        <v/>
      </c>
      <c r="C132" s="79">
        <f>IF('Ordenes_Odoo'!C132="","",'Ordenes_Odoo'!C132)</f>
        <v/>
      </c>
      <c r="D132" s="79">
        <f>IF('Ordenes_Odoo'!D132="","",'Ordenes_Odoo'!D132)</f>
        <v/>
      </c>
      <c r="E132" s="79">
        <f>IF('Ordenes_Odoo'!E132="","",'Ordenes_Odoo'!E132)</f>
        <v/>
      </c>
      <c r="F132" s="79">
        <f>IF('Ordenes_Odoo'!F132="","",'Ordenes_Odoo'!F132)</f>
        <v/>
      </c>
      <c r="G132" s="79">
        <f>IF('Ordenes_Odoo'!G132="","",'Ordenes_Odoo'!G132)</f>
        <v/>
      </c>
      <c r="H132" s="79">
        <f>IF('Ordenes_Odoo'!H132="","",'Ordenes_Odoo'!H132)</f>
        <v/>
      </c>
      <c r="I132" s="79">
        <f>IF('Ordenes_Odoo'!I132="","",'Ordenes_Odoo'!I132)</f>
        <v/>
      </c>
      <c r="J132" s="79">
        <f>IF('Ordenes_Odoo'!J132="","",'Ordenes_Odoo'!J132)</f>
        <v/>
      </c>
      <c r="K132" s="81">
        <f>IF('Ordenes_Odoo'!K132="","",'Ordenes_Odoo'!K132)</f>
        <v/>
      </c>
      <c r="L132" s="81">
        <f>IF('Ordenes_Odoo'!L132="","",'Ordenes_Odoo'!L132)</f>
        <v/>
      </c>
      <c r="M132" s="79">
        <f>IF('Ordenes_Odoo'!M132="","",'Ordenes_Odoo'!M132)</f>
        <v/>
      </c>
      <c r="N132" s="79">
        <f>IF('Ordenes_Odoo'!N132="","",'Ordenes_Odoo'!N132)</f>
        <v/>
      </c>
      <c r="O132" s="81">
        <f>IF('Ordenes_Odoo'!O132="","",'Ordenes_Odoo'!O132)</f>
        <v/>
      </c>
      <c r="P132" s="81">
        <f>IF('Ordenes_Odoo'!P132="","",'Ordenes_Odoo'!P132)</f>
        <v/>
      </c>
      <c r="Q132" s="79">
        <f>IF(A132="","",IFERROR(INDEX(Facturas_Odoo!$B:$B, MATCH(A132, Facturas_Odoo!$D:$D, 0)), "Sin Factura"))</f>
        <v/>
      </c>
      <c r="R132" s="80">
        <f>IF(Q132="Sin Factura","",IFERROR(INDEX(Facturas_Odoo!$A:$A, MATCH(Q132, Facturas_Odoo!$B:$B, 0)), ""))</f>
        <v/>
      </c>
      <c r="S132" s="79">
        <f>IF(Q132="Sin Factura","",IFERROR(_xlfn.XLOOKUP(1, (Facturas_Odoo!$D:$D=A132) * (Facturas_Odoo!$K:$K=I132), Facturas_Odoo!$L:$L, ""), ""))</f>
        <v/>
      </c>
      <c r="T132" s="81">
        <f>IF(Q132="Sin Factura",0,IFERROR(_xlfn.XLOOKUP(1, (Facturas_Odoo!$D:$D=A132) * (Facturas_Odoo!$K:$K=I132), Facturas_Odoo!$M:$M, 0), 0))</f>
        <v/>
      </c>
      <c r="U132" s="79">
        <f>IF(Q132="Sin Factura",0,IFERROR(_xlfn.XLOOKUP(1, (Facturas_Odoo!$D:$D=A132) * (Facturas_Odoo!$K:$K=I132), Facturas_Odoo!$N:$N, 0), 0))</f>
        <v/>
      </c>
      <c r="V132" s="79">
        <f>IF(Q132="Sin Factura",0,IFERROR(_xlfn.XLOOKUP(1, (Facturas_Odoo!$D:$D=A132) * (Facturas_Odoo!$K:$K=I132), Facturas_Odoo!$O:$O, 0), 0))</f>
        <v/>
      </c>
      <c r="W132" s="81">
        <f>IF(Q132="Sin Factura",0,IFERROR(_xlfn.XLOOKUP(1, (Facturas_Odoo!$D:$D=A132) * (Facturas_Odoo!$K:$K=I132), Facturas_Odoo!$Q:$Q, 0), 0))</f>
        <v/>
      </c>
      <c r="X132" s="79">
        <f>IF(OR(Q132="Sin Factura",Q132=""),"",IFERROR(INDEX(Pagos_Odoo!$B:$B, MATCH(Q132, Pagos_Odoo!$I:$I, 0)), "Sin Pago"))</f>
        <v/>
      </c>
      <c r="Y132" s="79">
        <f>IF(X132="Sin Pago","",IFERROR(INDEX(Pagos_Odoo!$C:$C, MATCH(X132, Pagos_Odoo!$B:$B, 0)), ""))</f>
        <v/>
      </c>
      <c r="Z132" s="80">
        <f>IF(X132="Sin Pago","",IFERROR(INDEX(Pagos_Odoo!$A:$A, MATCH(X132, Pagos_Odoo!$B:$B, 0)), ""))</f>
        <v/>
      </c>
      <c r="AA132" s="79">
        <f>IF(X132="Sin Pago","",IFERROR(INDEX(Pagos_Odoo!$F:$F, MATCH(X132, Pagos_Odoo!$B:$B, 0)), ""))</f>
        <v/>
      </c>
      <c r="AB132" s="81">
        <f>IF(X132="Sin Pago",0,IFERROR(INDEX(Pagos_Odoo!$E:$E, MATCH(X132, Pagos_Odoo!$B:$B, 0)), 0))</f>
        <v/>
      </c>
      <c r="AC132" s="79">
        <f>IF(X132="Sin Pago","",IFERROR(INDEX(Pagos_Odoo!$G:$G, MATCH(X132, Pagos_Odoo!$B:$B, 0)), ""))</f>
        <v/>
      </c>
      <c r="AD132" s="82" t="n">
        <v>0</v>
      </c>
      <c r="AE132" s="82" t="n"/>
      <c r="AF132" s="82" t="n"/>
      <c r="AG132" s="82">
        <f>IF(AN132="","",AD132+AE132+AF132)</f>
        <v/>
      </c>
      <c r="AH132" s="81">
        <f>IF(AN132="","",P132*(1-AG132))</f>
        <v/>
      </c>
      <c r="AI132" s="81">
        <f>IF(AN132="","",IF(Q132="Sin Factura",0,IFERROR(INDEX(Facturas_Odoo!$H:$H, MATCH(Q132, Facturas_Odoo!$B:$B, 0)), 0)*(1-AG132)))</f>
        <v/>
      </c>
      <c r="AJ132" s="81">
        <f>IF(AN132="","",_xlfn.LET(idVenta, AN132&amp;"",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2" s="81">
        <f>IF(AN132="","",AH132-AJ132)</f>
        <v/>
      </c>
      <c r="AL132" s="81">
        <f>IF(AN132="","",IF(Q132="Sin Factura","",AI132-AJ132))</f>
        <v/>
      </c>
      <c r="AM132" s="81">
        <f>IF(AN132="","",IF(Q132="Sin Factura",0,P132-IFERROR(INDEX(Facturas_Odoo!$H:$H, MATCH(Q132, Facturas_Odoo!$B:$B, 0)), 0)))</f>
        <v/>
      </c>
      <c r="AN132" s="79">
        <f>IF(AND(A132="", J132=""), "", IF(A132&lt;&gt;"", VALUE(MID(A132,2,LEN(A132))), AN131))</f>
        <v/>
      </c>
      <c r="AO132" s="79">
        <f>IF(AN132="","",IF(AD132=0,"OK",_xlfn.LET(monedaPago, IF(AA132="","USD",AA132), limitePermitido, IFERROR(VLOOKUP(monedaPago, Configuración!$A$2:$B$3, 2, FALSE), 0.15), IF(AD132&gt;limitePermitido, "ALERTA: EXCESO (" &amp; TEXT(limitePermitido, "0%") &amp; " máx)", "OK"))))</f>
        <v/>
      </c>
      <c r="AP132" s="79">
        <f>IF(AN132="","",IF(AE132=0,"OK",_xlfn.LET(fechaPago, Z132, fechaFactura, R132, diasCredito, IF(E132="Pago inmediato", 0, IFERROR(VALUE(MID(E132, 1, SEARCH(" ", E132)-1)),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2" s="79">
        <f>IF(AN132="","",IF(AND(N132&gt;0, AG132&gt;0), IF(Configuración!$K$2="NO", "ALERTA: DESCUENTO DOBLE NO PERMITIDO", "OK"), "OK"))</f>
        <v/>
      </c>
      <c r="AR132" s="79">
        <f>IF(AN132="","",IF(OR(AO132&lt;&gt;"OK", AP132&lt;&gt;"OK", AQ132&lt;&gt;"OK"), "⚠️ REVISAR", "OK"))</f>
        <v/>
      </c>
    </row>
    <row r="133">
      <c r="A133" s="79">
        <f>IF('Ordenes_Odoo'!A133="","",'Ordenes_Odoo'!A133)</f>
        <v/>
      </c>
      <c r="B133" s="80">
        <f>IF('Ordenes_Odoo'!B133="","",'Ordenes_Odoo'!B133)</f>
        <v/>
      </c>
      <c r="C133" s="79">
        <f>IF('Ordenes_Odoo'!C133="","",'Ordenes_Odoo'!C133)</f>
        <v/>
      </c>
      <c r="D133" s="79">
        <f>IF('Ordenes_Odoo'!D133="","",'Ordenes_Odoo'!D133)</f>
        <v/>
      </c>
      <c r="E133" s="79">
        <f>IF('Ordenes_Odoo'!E133="","",'Ordenes_Odoo'!E133)</f>
        <v/>
      </c>
      <c r="F133" s="79">
        <f>IF('Ordenes_Odoo'!F133="","",'Ordenes_Odoo'!F133)</f>
        <v/>
      </c>
      <c r="G133" s="79">
        <f>IF('Ordenes_Odoo'!G133="","",'Ordenes_Odoo'!G133)</f>
        <v/>
      </c>
      <c r="H133" s="79">
        <f>IF('Ordenes_Odoo'!H133="","",'Ordenes_Odoo'!H133)</f>
        <v/>
      </c>
      <c r="I133" s="79">
        <f>IF('Ordenes_Odoo'!I133="","",'Ordenes_Odoo'!I133)</f>
        <v/>
      </c>
      <c r="J133" s="79">
        <f>IF('Ordenes_Odoo'!J133="","",'Ordenes_Odoo'!J133)</f>
        <v/>
      </c>
      <c r="K133" s="81">
        <f>IF('Ordenes_Odoo'!K133="","",'Ordenes_Odoo'!K133)</f>
        <v/>
      </c>
      <c r="L133" s="81">
        <f>IF('Ordenes_Odoo'!L133="","",'Ordenes_Odoo'!L133)</f>
        <v/>
      </c>
      <c r="M133" s="79">
        <f>IF('Ordenes_Odoo'!M133="","",'Ordenes_Odoo'!M133)</f>
        <v/>
      </c>
      <c r="N133" s="79">
        <f>IF('Ordenes_Odoo'!N133="","",'Ordenes_Odoo'!N133)</f>
        <v/>
      </c>
      <c r="O133" s="81">
        <f>IF('Ordenes_Odoo'!O133="","",'Ordenes_Odoo'!O133)</f>
        <v/>
      </c>
      <c r="P133" s="81">
        <f>IF('Ordenes_Odoo'!P133="","",'Ordenes_Odoo'!P133)</f>
        <v/>
      </c>
      <c r="Q133" s="79">
        <f>IF(A133="","",IFERROR(INDEX(Facturas_Odoo!$B:$B, MATCH(A133, Facturas_Odoo!$D:$D, 0)), "Sin Factura"))</f>
        <v/>
      </c>
      <c r="R133" s="80">
        <f>IF(Q133="Sin Factura","",IFERROR(INDEX(Facturas_Odoo!$A:$A, MATCH(Q133, Facturas_Odoo!$B:$B, 0)), ""))</f>
        <v/>
      </c>
      <c r="S133" s="79">
        <f>IF(Q133="Sin Factura","",IFERROR(_xlfn.XLOOKUP(1, (Facturas_Odoo!$D:$D=A133) * (Facturas_Odoo!$K:$K=I133), Facturas_Odoo!$L:$L, ""), ""))</f>
        <v/>
      </c>
      <c r="T133" s="81">
        <f>IF(Q133="Sin Factura",0,IFERROR(_xlfn.XLOOKUP(1, (Facturas_Odoo!$D:$D=A133) * (Facturas_Odoo!$K:$K=I133), Facturas_Odoo!$M:$M, 0), 0))</f>
        <v/>
      </c>
      <c r="U133" s="79">
        <f>IF(Q133="Sin Factura",0,IFERROR(_xlfn.XLOOKUP(1, (Facturas_Odoo!$D:$D=A133) * (Facturas_Odoo!$K:$K=I133), Facturas_Odoo!$N:$N, 0), 0))</f>
        <v/>
      </c>
      <c r="V133" s="79">
        <f>IF(Q133="Sin Factura",0,IFERROR(_xlfn.XLOOKUP(1, (Facturas_Odoo!$D:$D=A133) * (Facturas_Odoo!$K:$K=I133), Facturas_Odoo!$O:$O, 0), 0))</f>
        <v/>
      </c>
      <c r="W133" s="81">
        <f>IF(Q133="Sin Factura",0,IFERROR(_xlfn.XLOOKUP(1, (Facturas_Odoo!$D:$D=A133) * (Facturas_Odoo!$K:$K=I133), Facturas_Odoo!$Q:$Q, 0), 0))</f>
        <v/>
      </c>
      <c r="X133" s="79">
        <f>IF(OR(Q133="Sin Factura",Q133=""),"",IFERROR(INDEX(Pagos_Odoo!$B:$B, MATCH(Q133, Pagos_Odoo!$I:$I, 0)), "Sin Pago"))</f>
        <v/>
      </c>
      <c r="Y133" s="79">
        <f>IF(X133="Sin Pago","",IFERROR(INDEX(Pagos_Odoo!$C:$C, MATCH(X133, Pagos_Odoo!$B:$B, 0)), ""))</f>
        <v/>
      </c>
      <c r="Z133" s="80">
        <f>IF(X133="Sin Pago","",IFERROR(INDEX(Pagos_Odoo!$A:$A, MATCH(X133, Pagos_Odoo!$B:$B, 0)), ""))</f>
        <v/>
      </c>
      <c r="AA133" s="79">
        <f>IF(X133="Sin Pago","",IFERROR(INDEX(Pagos_Odoo!$F:$F, MATCH(X133, Pagos_Odoo!$B:$B, 0)), ""))</f>
        <v/>
      </c>
      <c r="AB133" s="81">
        <f>IF(X133="Sin Pago",0,IFERROR(INDEX(Pagos_Odoo!$E:$E, MATCH(X133, Pagos_Odoo!$B:$B, 0)), 0))</f>
        <v/>
      </c>
      <c r="AC133" s="79">
        <f>IF(X133="Sin Pago","",IFERROR(INDEX(Pagos_Odoo!$G:$G, MATCH(X133, Pagos_Odoo!$B:$B, 0)), ""))</f>
        <v/>
      </c>
      <c r="AD133" s="82" t="n">
        <v>0</v>
      </c>
      <c r="AE133" s="82" t="n"/>
      <c r="AF133" s="82" t="n"/>
      <c r="AG133" s="82">
        <f>IF(AN133="","",AD133+AE133+AF133)</f>
        <v/>
      </c>
      <c r="AH133" s="81">
        <f>IF(AN133="","",P133*(1-AG133))</f>
        <v/>
      </c>
      <c r="AI133" s="81">
        <f>IF(AN133="","",IF(Q133="Sin Factura",0,IFERROR(INDEX(Facturas_Odoo!$H:$H, MATCH(Q133, Facturas_Odoo!$B:$B, 0)), 0)*(1-AG133)))</f>
        <v/>
      </c>
      <c r="AJ133" s="81">
        <f>IF(AN133="","",_xlfn.LET(idVenta, AN133&amp;"",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3" s="81">
        <f>IF(AN133="","",AH133-AJ133)</f>
        <v/>
      </c>
      <c r="AL133" s="81">
        <f>IF(AN133="","",IF(Q133="Sin Factura","",AI133-AJ133))</f>
        <v/>
      </c>
      <c r="AM133" s="81">
        <f>IF(AN133="","",IF(Q133="Sin Factura",0,P133-IFERROR(INDEX(Facturas_Odoo!$H:$H, MATCH(Q133, Facturas_Odoo!$B:$B, 0)), 0)))</f>
        <v/>
      </c>
      <c r="AN133" s="79">
        <f>IF(AND(A133="", J133=""), "", IF(A133&lt;&gt;"", VALUE(MID(A133,2,LEN(A133))), AN132))</f>
        <v/>
      </c>
      <c r="AO133" s="79">
        <f>IF(AN133="","",IF(AD133=0,"OK",_xlfn.LET(monedaPago, IF(AA133="","USD",AA133), limitePermitido, IFERROR(VLOOKUP(monedaPago, Configuración!$A$2:$B$3, 2, FALSE), 0.15), IF(AD133&gt;limitePermitido, "ALERTA: EXCESO (" &amp; TEXT(limitePermitido, "0%") &amp; " máx)", "OK"))))</f>
        <v/>
      </c>
      <c r="AP133" s="79">
        <f>IF(AN133="","",IF(AE133=0,"OK",_xlfn.LET(fechaPago, Z133, fechaFactura, R133, diasCredito, IF(E133="Pago inmediato", 0, IFERROR(VALUE(MID(E133, 1, SEARCH(" ", E133)-1)),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3" s="79">
        <f>IF(AN133="","",IF(AND(N133&gt;0, AG133&gt;0), IF(Configuración!$K$2="NO", "ALERTA: DESCUENTO DOBLE NO PERMITIDO", "OK"), "OK"))</f>
        <v/>
      </c>
      <c r="AR133" s="79">
        <f>IF(AN133="","",IF(OR(AO133&lt;&gt;"OK", AP133&lt;&gt;"OK", AQ133&lt;&gt;"OK"), "⚠️ REVISAR", "OK"))</f>
        <v/>
      </c>
    </row>
    <row r="134">
      <c r="A134" s="79">
        <f>IF('Ordenes_Odoo'!A134="","",'Ordenes_Odoo'!A134)</f>
        <v/>
      </c>
      <c r="B134" s="80">
        <f>IF('Ordenes_Odoo'!B134="","",'Ordenes_Odoo'!B134)</f>
        <v/>
      </c>
      <c r="C134" s="79">
        <f>IF('Ordenes_Odoo'!C134="","",'Ordenes_Odoo'!C134)</f>
        <v/>
      </c>
      <c r="D134" s="79">
        <f>IF('Ordenes_Odoo'!D134="","",'Ordenes_Odoo'!D134)</f>
        <v/>
      </c>
      <c r="E134" s="79">
        <f>IF('Ordenes_Odoo'!E134="","",'Ordenes_Odoo'!E134)</f>
        <v/>
      </c>
      <c r="F134" s="79">
        <f>IF('Ordenes_Odoo'!F134="","",'Ordenes_Odoo'!F134)</f>
        <v/>
      </c>
      <c r="G134" s="79">
        <f>IF('Ordenes_Odoo'!G134="","",'Ordenes_Odoo'!G134)</f>
        <v/>
      </c>
      <c r="H134" s="79">
        <f>IF('Ordenes_Odoo'!H134="","",'Ordenes_Odoo'!H134)</f>
        <v/>
      </c>
      <c r="I134" s="79">
        <f>IF('Ordenes_Odoo'!I134="","",'Ordenes_Odoo'!I134)</f>
        <v/>
      </c>
      <c r="J134" s="79">
        <f>IF('Ordenes_Odoo'!J134="","",'Ordenes_Odoo'!J134)</f>
        <v/>
      </c>
      <c r="K134" s="81">
        <f>IF('Ordenes_Odoo'!K134="","",'Ordenes_Odoo'!K134)</f>
        <v/>
      </c>
      <c r="L134" s="81">
        <f>IF('Ordenes_Odoo'!L134="","",'Ordenes_Odoo'!L134)</f>
        <v/>
      </c>
      <c r="M134" s="79">
        <f>IF('Ordenes_Odoo'!M134="","",'Ordenes_Odoo'!M134)</f>
        <v/>
      </c>
      <c r="N134" s="79">
        <f>IF('Ordenes_Odoo'!N134="","",'Ordenes_Odoo'!N134)</f>
        <v/>
      </c>
      <c r="O134" s="81">
        <f>IF('Ordenes_Odoo'!O134="","",'Ordenes_Odoo'!O134)</f>
        <v/>
      </c>
      <c r="P134" s="81">
        <f>IF('Ordenes_Odoo'!P134="","",'Ordenes_Odoo'!P134)</f>
        <v/>
      </c>
      <c r="Q134" s="79">
        <f>IF(A134="","",IFERROR(INDEX(Facturas_Odoo!$B:$B, MATCH(A134, Facturas_Odoo!$D:$D, 0)), "Sin Factura"))</f>
        <v/>
      </c>
      <c r="R134" s="80">
        <f>IF(Q134="Sin Factura","",IFERROR(INDEX(Facturas_Odoo!$A:$A, MATCH(Q134, Facturas_Odoo!$B:$B, 0)), ""))</f>
        <v/>
      </c>
      <c r="S134" s="79">
        <f>IF(Q134="Sin Factura","",IFERROR(_xlfn.XLOOKUP(1, (Facturas_Odoo!$D:$D=A134) * (Facturas_Odoo!$K:$K=I134), Facturas_Odoo!$L:$L, ""), ""))</f>
        <v/>
      </c>
      <c r="T134" s="81">
        <f>IF(Q134="Sin Factura",0,IFERROR(_xlfn.XLOOKUP(1, (Facturas_Odoo!$D:$D=A134) * (Facturas_Odoo!$K:$K=I134), Facturas_Odoo!$M:$M, 0), 0))</f>
        <v/>
      </c>
      <c r="U134" s="79">
        <f>IF(Q134="Sin Factura",0,IFERROR(_xlfn.XLOOKUP(1, (Facturas_Odoo!$D:$D=A134) * (Facturas_Odoo!$K:$K=I134), Facturas_Odoo!$N:$N, 0), 0))</f>
        <v/>
      </c>
      <c r="V134" s="79">
        <f>IF(Q134="Sin Factura",0,IFERROR(_xlfn.XLOOKUP(1, (Facturas_Odoo!$D:$D=A134) * (Facturas_Odoo!$K:$K=I134), Facturas_Odoo!$O:$O, 0), 0))</f>
        <v/>
      </c>
      <c r="W134" s="81">
        <f>IF(Q134="Sin Factura",0,IFERROR(_xlfn.XLOOKUP(1, (Facturas_Odoo!$D:$D=A134) * (Facturas_Odoo!$K:$K=I134), Facturas_Odoo!$Q:$Q, 0), 0))</f>
        <v/>
      </c>
      <c r="X134" s="79">
        <f>IF(OR(Q134="Sin Factura",Q134=""),"",IFERROR(INDEX(Pagos_Odoo!$B:$B, MATCH(Q134, Pagos_Odoo!$I:$I, 0)), "Sin Pago"))</f>
        <v/>
      </c>
      <c r="Y134" s="79">
        <f>IF(X134="Sin Pago","",IFERROR(INDEX(Pagos_Odoo!$C:$C, MATCH(X134, Pagos_Odoo!$B:$B, 0)), ""))</f>
        <v/>
      </c>
      <c r="Z134" s="80">
        <f>IF(X134="Sin Pago","",IFERROR(INDEX(Pagos_Odoo!$A:$A, MATCH(X134, Pagos_Odoo!$B:$B, 0)), ""))</f>
        <v/>
      </c>
      <c r="AA134" s="79">
        <f>IF(X134="Sin Pago","",IFERROR(INDEX(Pagos_Odoo!$F:$F, MATCH(X134, Pagos_Odoo!$B:$B, 0)), ""))</f>
        <v/>
      </c>
      <c r="AB134" s="81">
        <f>IF(X134="Sin Pago",0,IFERROR(INDEX(Pagos_Odoo!$E:$E, MATCH(X134, Pagos_Odoo!$B:$B, 0)), 0))</f>
        <v/>
      </c>
      <c r="AC134" s="79">
        <f>IF(X134="Sin Pago","",IFERROR(INDEX(Pagos_Odoo!$G:$G, MATCH(X134, Pagos_Odoo!$B:$B, 0)), ""))</f>
        <v/>
      </c>
      <c r="AD134" s="82" t="n">
        <v>0</v>
      </c>
      <c r="AE134" s="82" t="n"/>
      <c r="AF134" s="82" t="n"/>
      <c r="AG134" s="82">
        <f>IF(AN134="","",AD134+AE134+AF134)</f>
        <v/>
      </c>
      <c r="AH134" s="81">
        <f>IF(AN134="","",P134*(1-AG134))</f>
        <v/>
      </c>
      <c r="AI134" s="81">
        <f>IF(AN134="","",IF(Q134="Sin Factura",0,IFERROR(INDEX(Facturas_Odoo!$H:$H, MATCH(Q134, Facturas_Odoo!$B:$B, 0)), 0)*(1-AG134)))</f>
        <v/>
      </c>
      <c r="AJ134" s="81">
        <f>IF(AN134="","",_xlfn.LET(idVenta, AN134&amp;"",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4" s="81">
        <f>IF(AN134="","",AH134-AJ134)</f>
        <v/>
      </c>
      <c r="AL134" s="81">
        <f>IF(AN134="","",IF(Q134="Sin Factura","",AI134-AJ134))</f>
        <v/>
      </c>
      <c r="AM134" s="81">
        <f>IF(AN134="","",IF(Q134="Sin Factura",0,P134-IFERROR(INDEX(Facturas_Odoo!$H:$H, MATCH(Q134, Facturas_Odoo!$B:$B, 0)), 0)))</f>
        <v/>
      </c>
      <c r="AN134" s="79">
        <f>IF(AND(A134="", J134=""), "", IF(A134&lt;&gt;"", VALUE(MID(A134,2,LEN(A134))), AN133))</f>
        <v/>
      </c>
      <c r="AO134" s="79">
        <f>IF(AN134="","",IF(AD134=0,"OK",_xlfn.LET(monedaPago, IF(AA134="","USD",AA134), limitePermitido, IFERROR(VLOOKUP(monedaPago, Configuración!$A$2:$B$3, 2, FALSE), 0.15), IF(AD134&gt;limitePermitido, "ALERTA: EXCESO (" &amp; TEXT(limitePermitido, "0%") &amp; " máx)", "OK"))))</f>
        <v/>
      </c>
      <c r="AP134" s="79">
        <f>IF(AN134="","",IF(AE134=0,"OK",_xlfn.LET(fechaPago, Z134, fechaFactura, R134, diasCredito, IF(E134="Pago inmediato", 0, IFERROR(VALUE(MID(E134, 1, SEARCH(" ", E134)-1)),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4" s="79">
        <f>IF(AN134="","",IF(AND(N134&gt;0, AG134&gt;0), IF(Configuración!$K$2="NO", "ALERTA: DESCUENTO DOBLE NO PERMITIDO", "OK"), "OK"))</f>
        <v/>
      </c>
      <c r="AR134" s="79">
        <f>IF(AN134="","",IF(OR(AO134&lt;&gt;"OK", AP134&lt;&gt;"OK", AQ134&lt;&gt;"OK"), "⚠️ REVISAR", "OK"))</f>
        <v/>
      </c>
    </row>
    <row r="135">
      <c r="A135" s="79">
        <f>IF('Ordenes_Odoo'!A135="","",'Ordenes_Odoo'!A135)</f>
        <v/>
      </c>
      <c r="B135" s="80">
        <f>IF('Ordenes_Odoo'!B135="","",'Ordenes_Odoo'!B135)</f>
        <v/>
      </c>
      <c r="C135" s="79">
        <f>IF('Ordenes_Odoo'!C135="","",'Ordenes_Odoo'!C135)</f>
        <v/>
      </c>
      <c r="D135" s="79">
        <f>IF('Ordenes_Odoo'!D135="","",'Ordenes_Odoo'!D135)</f>
        <v/>
      </c>
      <c r="E135" s="79">
        <f>IF('Ordenes_Odoo'!E135="","",'Ordenes_Odoo'!E135)</f>
        <v/>
      </c>
      <c r="F135" s="79">
        <f>IF('Ordenes_Odoo'!F135="","",'Ordenes_Odoo'!F135)</f>
        <v/>
      </c>
      <c r="G135" s="79">
        <f>IF('Ordenes_Odoo'!G135="","",'Ordenes_Odoo'!G135)</f>
        <v/>
      </c>
      <c r="H135" s="79">
        <f>IF('Ordenes_Odoo'!H135="","",'Ordenes_Odoo'!H135)</f>
        <v/>
      </c>
      <c r="I135" s="79">
        <f>IF('Ordenes_Odoo'!I135="","",'Ordenes_Odoo'!I135)</f>
        <v/>
      </c>
      <c r="J135" s="79">
        <f>IF('Ordenes_Odoo'!J135="","",'Ordenes_Odoo'!J135)</f>
        <v/>
      </c>
      <c r="K135" s="81">
        <f>IF('Ordenes_Odoo'!K135="","",'Ordenes_Odoo'!K135)</f>
        <v/>
      </c>
      <c r="L135" s="81">
        <f>IF('Ordenes_Odoo'!L135="","",'Ordenes_Odoo'!L135)</f>
        <v/>
      </c>
      <c r="M135" s="79">
        <f>IF('Ordenes_Odoo'!M135="","",'Ordenes_Odoo'!M135)</f>
        <v/>
      </c>
      <c r="N135" s="79">
        <f>IF('Ordenes_Odoo'!N135="","",'Ordenes_Odoo'!N135)</f>
        <v/>
      </c>
      <c r="O135" s="81">
        <f>IF('Ordenes_Odoo'!O135="","",'Ordenes_Odoo'!O135)</f>
        <v/>
      </c>
      <c r="P135" s="81">
        <f>IF('Ordenes_Odoo'!P135="","",'Ordenes_Odoo'!P135)</f>
        <v/>
      </c>
      <c r="Q135" s="79">
        <f>IF(A135="","",IFERROR(INDEX(Facturas_Odoo!$B:$B, MATCH(A135, Facturas_Odoo!$D:$D, 0)), "Sin Factura"))</f>
        <v/>
      </c>
      <c r="R135" s="80">
        <f>IF(Q135="Sin Factura","",IFERROR(INDEX(Facturas_Odoo!$A:$A, MATCH(Q135, Facturas_Odoo!$B:$B, 0)), ""))</f>
        <v/>
      </c>
      <c r="S135" s="79">
        <f>IF(Q135="Sin Factura","",IFERROR(_xlfn.XLOOKUP(1, (Facturas_Odoo!$D:$D=A135) * (Facturas_Odoo!$K:$K=I135), Facturas_Odoo!$L:$L, ""), ""))</f>
        <v/>
      </c>
      <c r="T135" s="81">
        <f>IF(Q135="Sin Factura",0,IFERROR(_xlfn.XLOOKUP(1, (Facturas_Odoo!$D:$D=A135) * (Facturas_Odoo!$K:$K=I135), Facturas_Odoo!$M:$M, 0), 0))</f>
        <v/>
      </c>
      <c r="U135" s="79">
        <f>IF(Q135="Sin Factura",0,IFERROR(_xlfn.XLOOKUP(1, (Facturas_Odoo!$D:$D=A135) * (Facturas_Odoo!$K:$K=I135), Facturas_Odoo!$N:$N, 0), 0))</f>
        <v/>
      </c>
      <c r="V135" s="79">
        <f>IF(Q135="Sin Factura",0,IFERROR(_xlfn.XLOOKUP(1, (Facturas_Odoo!$D:$D=A135) * (Facturas_Odoo!$K:$K=I135), Facturas_Odoo!$O:$O, 0), 0))</f>
        <v/>
      </c>
      <c r="W135" s="81">
        <f>IF(Q135="Sin Factura",0,IFERROR(_xlfn.XLOOKUP(1, (Facturas_Odoo!$D:$D=A135) * (Facturas_Odoo!$K:$K=I135), Facturas_Odoo!$Q:$Q, 0), 0))</f>
        <v/>
      </c>
      <c r="X135" s="79">
        <f>IF(OR(Q135="Sin Factura",Q135=""),"",IFERROR(INDEX(Pagos_Odoo!$B:$B, MATCH(Q135, Pagos_Odoo!$I:$I, 0)), "Sin Pago"))</f>
        <v/>
      </c>
      <c r="Y135" s="79">
        <f>IF(X135="Sin Pago","",IFERROR(INDEX(Pagos_Odoo!$C:$C, MATCH(X135, Pagos_Odoo!$B:$B, 0)), ""))</f>
        <v/>
      </c>
      <c r="Z135" s="80">
        <f>IF(X135="Sin Pago","",IFERROR(INDEX(Pagos_Odoo!$A:$A, MATCH(X135, Pagos_Odoo!$B:$B, 0)), ""))</f>
        <v/>
      </c>
      <c r="AA135" s="79">
        <f>IF(X135="Sin Pago","",IFERROR(INDEX(Pagos_Odoo!$F:$F, MATCH(X135, Pagos_Odoo!$B:$B, 0)), ""))</f>
        <v/>
      </c>
      <c r="AB135" s="81">
        <f>IF(X135="Sin Pago",0,IFERROR(INDEX(Pagos_Odoo!$E:$E, MATCH(X135, Pagos_Odoo!$B:$B, 0)), 0))</f>
        <v/>
      </c>
      <c r="AC135" s="79">
        <f>IF(X135="Sin Pago","",IFERROR(INDEX(Pagos_Odoo!$G:$G, MATCH(X135, Pagos_Odoo!$B:$B, 0)), ""))</f>
        <v/>
      </c>
      <c r="AD135" s="82" t="n">
        <v>0</v>
      </c>
      <c r="AE135" s="82" t="n"/>
      <c r="AF135" s="82" t="n"/>
      <c r="AG135" s="82">
        <f>IF(AN135="","",AD135+AE135+AF135)</f>
        <v/>
      </c>
      <c r="AH135" s="81">
        <f>IF(AN135="","",P135*(1-AG135))</f>
        <v/>
      </c>
      <c r="AI135" s="81">
        <f>IF(AN135="","",IF(Q135="Sin Factura",0,IFERROR(INDEX(Facturas_Odoo!$H:$H, MATCH(Q135, Facturas_Odoo!$B:$B, 0)), 0)*(1-AG135)))</f>
        <v/>
      </c>
      <c r="AJ135" s="81">
        <f>IF(AN135="","",_xlfn.LET(idVenta, AN135&amp;"",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5" s="81">
        <f>IF(AN135="","",AH135-AJ135)</f>
        <v/>
      </c>
      <c r="AL135" s="81">
        <f>IF(AN135="","",IF(Q135="Sin Factura","",AI135-AJ135))</f>
        <v/>
      </c>
      <c r="AM135" s="81">
        <f>IF(AN135="","",IF(Q135="Sin Factura",0,P135-IFERROR(INDEX(Facturas_Odoo!$H:$H, MATCH(Q135, Facturas_Odoo!$B:$B, 0)), 0)))</f>
        <v/>
      </c>
      <c r="AN135" s="79">
        <f>IF(AND(A135="", J135=""), "", IF(A135&lt;&gt;"", VALUE(MID(A135,2,LEN(A135))), AN134))</f>
        <v/>
      </c>
      <c r="AO135" s="79">
        <f>IF(AN135="","",IF(AD135=0,"OK",_xlfn.LET(monedaPago, IF(AA135="","USD",AA135), limitePermitido, IFERROR(VLOOKUP(monedaPago, Configuración!$A$2:$B$3, 2, FALSE), 0.15), IF(AD135&gt;limitePermitido, "ALERTA: EXCESO (" &amp; TEXT(limitePermitido, "0%") &amp; " máx)", "OK"))))</f>
        <v/>
      </c>
      <c r="AP135" s="79">
        <f>IF(AN135="","",IF(AE135=0,"OK",_xlfn.LET(fechaPago, Z135, fechaFactura, R135, diasCredito, IF(E135="Pago inmediato", 0, IFERROR(VALUE(MID(E135, 1, SEARCH(" ", E135)-1)),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5" s="79">
        <f>IF(AN135="","",IF(AND(N135&gt;0, AG135&gt;0), IF(Configuración!$K$2="NO", "ALERTA: DESCUENTO DOBLE NO PERMITIDO", "OK"), "OK"))</f>
        <v/>
      </c>
      <c r="AR135" s="79">
        <f>IF(AN135="","",IF(OR(AO135&lt;&gt;"OK", AP135&lt;&gt;"OK", AQ135&lt;&gt;"OK"), "⚠️ REVISAR", "OK"))</f>
        <v/>
      </c>
    </row>
    <row r="136">
      <c r="A136" s="79">
        <f>IF('Ordenes_Odoo'!A136="","",'Ordenes_Odoo'!A136)</f>
        <v/>
      </c>
      <c r="B136" s="80">
        <f>IF('Ordenes_Odoo'!B136="","",'Ordenes_Odoo'!B136)</f>
        <v/>
      </c>
      <c r="C136" s="79">
        <f>IF('Ordenes_Odoo'!C136="","",'Ordenes_Odoo'!C136)</f>
        <v/>
      </c>
      <c r="D136" s="79">
        <f>IF('Ordenes_Odoo'!D136="","",'Ordenes_Odoo'!D136)</f>
        <v/>
      </c>
      <c r="E136" s="79">
        <f>IF('Ordenes_Odoo'!E136="","",'Ordenes_Odoo'!E136)</f>
        <v/>
      </c>
      <c r="F136" s="79">
        <f>IF('Ordenes_Odoo'!F136="","",'Ordenes_Odoo'!F136)</f>
        <v/>
      </c>
      <c r="G136" s="79">
        <f>IF('Ordenes_Odoo'!G136="","",'Ordenes_Odoo'!G136)</f>
        <v/>
      </c>
      <c r="H136" s="79">
        <f>IF('Ordenes_Odoo'!H136="","",'Ordenes_Odoo'!H136)</f>
        <v/>
      </c>
      <c r="I136" s="79">
        <f>IF('Ordenes_Odoo'!I136="","",'Ordenes_Odoo'!I136)</f>
        <v/>
      </c>
      <c r="J136" s="79">
        <f>IF('Ordenes_Odoo'!J136="","",'Ordenes_Odoo'!J136)</f>
        <v/>
      </c>
      <c r="K136" s="81">
        <f>IF('Ordenes_Odoo'!K136="","",'Ordenes_Odoo'!K136)</f>
        <v/>
      </c>
      <c r="L136" s="81">
        <f>IF('Ordenes_Odoo'!L136="","",'Ordenes_Odoo'!L136)</f>
        <v/>
      </c>
      <c r="M136" s="79">
        <f>IF('Ordenes_Odoo'!M136="","",'Ordenes_Odoo'!M136)</f>
        <v/>
      </c>
      <c r="N136" s="79">
        <f>IF('Ordenes_Odoo'!N136="","",'Ordenes_Odoo'!N136)</f>
        <v/>
      </c>
      <c r="O136" s="81">
        <f>IF('Ordenes_Odoo'!O136="","",'Ordenes_Odoo'!O136)</f>
        <v/>
      </c>
      <c r="P136" s="81">
        <f>IF('Ordenes_Odoo'!P136="","",'Ordenes_Odoo'!P136)</f>
        <v/>
      </c>
      <c r="Q136" s="79">
        <f>IF(A136="","",IFERROR(INDEX(Facturas_Odoo!$B:$B, MATCH(A136, Facturas_Odoo!$D:$D, 0)), "Sin Factura"))</f>
        <v/>
      </c>
      <c r="R136" s="80">
        <f>IF(Q136="Sin Factura","",IFERROR(INDEX(Facturas_Odoo!$A:$A, MATCH(Q136, Facturas_Odoo!$B:$B, 0)), ""))</f>
        <v/>
      </c>
      <c r="S136" s="79">
        <f>IF(Q136="Sin Factura","",IFERROR(_xlfn.XLOOKUP(1, (Facturas_Odoo!$D:$D=A136) * (Facturas_Odoo!$K:$K=I136), Facturas_Odoo!$L:$L, ""), ""))</f>
        <v/>
      </c>
      <c r="T136" s="81">
        <f>IF(Q136="Sin Factura",0,IFERROR(_xlfn.XLOOKUP(1, (Facturas_Odoo!$D:$D=A136) * (Facturas_Odoo!$K:$K=I136), Facturas_Odoo!$M:$M, 0), 0))</f>
        <v/>
      </c>
      <c r="U136" s="79">
        <f>IF(Q136="Sin Factura",0,IFERROR(_xlfn.XLOOKUP(1, (Facturas_Odoo!$D:$D=A136) * (Facturas_Odoo!$K:$K=I136), Facturas_Odoo!$N:$N, 0), 0))</f>
        <v/>
      </c>
      <c r="V136" s="79">
        <f>IF(Q136="Sin Factura",0,IFERROR(_xlfn.XLOOKUP(1, (Facturas_Odoo!$D:$D=A136) * (Facturas_Odoo!$K:$K=I136), Facturas_Odoo!$O:$O, 0), 0))</f>
        <v/>
      </c>
      <c r="W136" s="81">
        <f>IF(Q136="Sin Factura",0,IFERROR(_xlfn.XLOOKUP(1, (Facturas_Odoo!$D:$D=A136) * (Facturas_Odoo!$K:$K=I136), Facturas_Odoo!$Q:$Q, 0), 0))</f>
        <v/>
      </c>
      <c r="X136" s="79">
        <f>IF(OR(Q136="Sin Factura",Q136=""),"",IFERROR(INDEX(Pagos_Odoo!$B:$B, MATCH(Q136, Pagos_Odoo!$I:$I, 0)), "Sin Pago"))</f>
        <v/>
      </c>
      <c r="Y136" s="79">
        <f>IF(X136="Sin Pago","",IFERROR(INDEX(Pagos_Odoo!$C:$C, MATCH(X136, Pagos_Odoo!$B:$B, 0)), ""))</f>
        <v/>
      </c>
      <c r="Z136" s="80">
        <f>IF(X136="Sin Pago","",IFERROR(INDEX(Pagos_Odoo!$A:$A, MATCH(X136, Pagos_Odoo!$B:$B, 0)), ""))</f>
        <v/>
      </c>
      <c r="AA136" s="79">
        <f>IF(X136="Sin Pago","",IFERROR(INDEX(Pagos_Odoo!$F:$F, MATCH(X136, Pagos_Odoo!$B:$B, 0)), ""))</f>
        <v/>
      </c>
      <c r="AB136" s="81">
        <f>IF(X136="Sin Pago",0,IFERROR(INDEX(Pagos_Odoo!$E:$E, MATCH(X136, Pagos_Odoo!$B:$B, 0)), 0))</f>
        <v/>
      </c>
      <c r="AC136" s="79">
        <f>IF(X136="Sin Pago","",IFERROR(INDEX(Pagos_Odoo!$G:$G, MATCH(X136, Pagos_Odoo!$B:$B, 0)), ""))</f>
        <v/>
      </c>
      <c r="AD136" s="82" t="n">
        <v>0</v>
      </c>
      <c r="AE136" s="82" t="n"/>
      <c r="AF136" s="82" t="n"/>
      <c r="AG136" s="82">
        <f>IF(AN136="","",AD136+AE136+AF136)</f>
        <v/>
      </c>
      <c r="AH136" s="81">
        <f>IF(AN136="","",P136*(1-AG136))</f>
        <v/>
      </c>
      <c r="AI136" s="81">
        <f>IF(AN136="","",IF(Q136="Sin Factura",0,IFERROR(INDEX(Facturas_Odoo!$H:$H, MATCH(Q136, Facturas_Odoo!$B:$B, 0)), 0)*(1-AG136)))</f>
        <v/>
      </c>
      <c r="AJ136" s="81">
        <f>IF(AN136="","",_xlfn.LET(idVenta, AN136&amp;"",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6" s="81">
        <f>IF(AN136="","",AH136-AJ136)</f>
        <v/>
      </c>
      <c r="AL136" s="81">
        <f>IF(AN136="","",IF(Q136="Sin Factura","",AI136-AJ136))</f>
        <v/>
      </c>
      <c r="AM136" s="81">
        <f>IF(AN136="","",IF(Q136="Sin Factura",0,P136-IFERROR(INDEX(Facturas_Odoo!$H:$H, MATCH(Q136, Facturas_Odoo!$B:$B, 0)), 0)))</f>
        <v/>
      </c>
      <c r="AN136" s="79">
        <f>IF(AND(A136="", J136=""), "", IF(A136&lt;&gt;"", VALUE(MID(A136,2,LEN(A136))), AN135))</f>
        <v/>
      </c>
      <c r="AO136" s="79">
        <f>IF(AN136="","",IF(AD136=0,"OK",_xlfn.LET(monedaPago, IF(AA136="","USD",AA136), limitePermitido, IFERROR(VLOOKUP(monedaPago, Configuración!$A$2:$B$3, 2, FALSE), 0.15), IF(AD136&gt;limitePermitido, "ALERTA: EXCESO (" &amp; TEXT(limitePermitido, "0%") &amp; " máx)", "OK"))))</f>
        <v/>
      </c>
      <c r="AP136" s="79">
        <f>IF(AN136="","",IF(AE136=0,"OK",_xlfn.LET(fechaPago, Z136, fechaFactura, R136, diasCredito, IF(E136="Pago inmediato", 0, IFERROR(VALUE(MID(E136, 1, SEARCH(" ", E136)-1)),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6" s="79">
        <f>IF(AN136="","",IF(AND(N136&gt;0, AG136&gt;0), IF(Configuración!$K$2="NO", "ALERTA: DESCUENTO DOBLE NO PERMITIDO", "OK"), "OK"))</f>
        <v/>
      </c>
      <c r="AR136" s="79">
        <f>IF(AN136="","",IF(OR(AO136&lt;&gt;"OK", AP136&lt;&gt;"OK", AQ136&lt;&gt;"OK"), "⚠️ REVISAR", "OK"))</f>
        <v/>
      </c>
    </row>
    <row r="137">
      <c r="A137" s="79">
        <f>IF('Ordenes_Odoo'!A137="","",'Ordenes_Odoo'!A137)</f>
        <v/>
      </c>
      <c r="B137" s="80">
        <f>IF('Ordenes_Odoo'!B137="","",'Ordenes_Odoo'!B137)</f>
        <v/>
      </c>
      <c r="C137" s="79">
        <f>IF('Ordenes_Odoo'!C137="","",'Ordenes_Odoo'!C137)</f>
        <v/>
      </c>
      <c r="D137" s="79">
        <f>IF('Ordenes_Odoo'!D137="","",'Ordenes_Odoo'!D137)</f>
        <v/>
      </c>
      <c r="E137" s="79">
        <f>IF('Ordenes_Odoo'!E137="","",'Ordenes_Odoo'!E137)</f>
        <v/>
      </c>
      <c r="F137" s="79">
        <f>IF('Ordenes_Odoo'!F137="","",'Ordenes_Odoo'!F137)</f>
        <v/>
      </c>
      <c r="G137" s="79">
        <f>IF('Ordenes_Odoo'!G137="","",'Ordenes_Odoo'!G137)</f>
        <v/>
      </c>
      <c r="H137" s="79">
        <f>IF('Ordenes_Odoo'!H137="","",'Ordenes_Odoo'!H137)</f>
        <v/>
      </c>
      <c r="I137" s="79">
        <f>IF('Ordenes_Odoo'!I137="","",'Ordenes_Odoo'!I137)</f>
        <v/>
      </c>
      <c r="J137" s="79">
        <f>IF('Ordenes_Odoo'!J137="","",'Ordenes_Odoo'!J137)</f>
        <v/>
      </c>
      <c r="K137" s="81">
        <f>IF('Ordenes_Odoo'!K137="","",'Ordenes_Odoo'!K137)</f>
        <v/>
      </c>
      <c r="L137" s="81">
        <f>IF('Ordenes_Odoo'!L137="","",'Ordenes_Odoo'!L137)</f>
        <v/>
      </c>
      <c r="M137" s="79">
        <f>IF('Ordenes_Odoo'!M137="","",'Ordenes_Odoo'!M137)</f>
        <v/>
      </c>
      <c r="N137" s="79">
        <f>IF('Ordenes_Odoo'!N137="","",'Ordenes_Odoo'!N137)</f>
        <v/>
      </c>
      <c r="O137" s="81">
        <f>IF('Ordenes_Odoo'!O137="","",'Ordenes_Odoo'!O137)</f>
        <v/>
      </c>
      <c r="P137" s="81">
        <f>IF('Ordenes_Odoo'!P137="","",'Ordenes_Odoo'!P137)</f>
        <v/>
      </c>
      <c r="Q137" s="79">
        <f>IF(A137="","",IFERROR(INDEX(Facturas_Odoo!$B:$B, MATCH(A137, Facturas_Odoo!$D:$D, 0)), "Sin Factura"))</f>
        <v/>
      </c>
      <c r="R137" s="80">
        <f>IF(Q137="Sin Factura","",IFERROR(INDEX(Facturas_Odoo!$A:$A, MATCH(Q137, Facturas_Odoo!$B:$B, 0)), ""))</f>
        <v/>
      </c>
      <c r="S137" s="79">
        <f>IF(Q137="Sin Factura","",IFERROR(_xlfn.XLOOKUP(1, (Facturas_Odoo!$D:$D=A137) * (Facturas_Odoo!$K:$K=I137), Facturas_Odoo!$L:$L, ""), ""))</f>
        <v/>
      </c>
      <c r="T137" s="81">
        <f>IF(Q137="Sin Factura",0,IFERROR(_xlfn.XLOOKUP(1, (Facturas_Odoo!$D:$D=A137) * (Facturas_Odoo!$K:$K=I137), Facturas_Odoo!$M:$M, 0), 0))</f>
        <v/>
      </c>
      <c r="U137" s="79">
        <f>IF(Q137="Sin Factura",0,IFERROR(_xlfn.XLOOKUP(1, (Facturas_Odoo!$D:$D=A137) * (Facturas_Odoo!$K:$K=I137), Facturas_Odoo!$N:$N, 0), 0))</f>
        <v/>
      </c>
      <c r="V137" s="79">
        <f>IF(Q137="Sin Factura",0,IFERROR(_xlfn.XLOOKUP(1, (Facturas_Odoo!$D:$D=A137) * (Facturas_Odoo!$K:$K=I137), Facturas_Odoo!$O:$O, 0), 0))</f>
        <v/>
      </c>
      <c r="W137" s="81">
        <f>IF(Q137="Sin Factura",0,IFERROR(_xlfn.XLOOKUP(1, (Facturas_Odoo!$D:$D=A137) * (Facturas_Odoo!$K:$K=I137), Facturas_Odoo!$Q:$Q, 0), 0))</f>
        <v/>
      </c>
      <c r="X137" s="79">
        <f>IF(OR(Q137="Sin Factura",Q137=""),"",IFERROR(INDEX(Pagos_Odoo!$B:$B, MATCH(Q137, Pagos_Odoo!$I:$I, 0)), "Sin Pago"))</f>
        <v/>
      </c>
      <c r="Y137" s="79">
        <f>IF(X137="Sin Pago","",IFERROR(INDEX(Pagos_Odoo!$C:$C, MATCH(X137, Pagos_Odoo!$B:$B, 0)), ""))</f>
        <v/>
      </c>
      <c r="Z137" s="80">
        <f>IF(X137="Sin Pago","",IFERROR(INDEX(Pagos_Odoo!$A:$A, MATCH(X137, Pagos_Odoo!$B:$B, 0)), ""))</f>
        <v/>
      </c>
      <c r="AA137" s="79">
        <f>IF(X137="Sin Pago","",IFERROR(INDEX(Pagos_Odoo!$F:$F, MATCH(X137, Pagos_Odoo!$B:$B, 0)), ""))</f>
        <v/>
      </c>
      <c r="AB137" s="81">
        <f>IF(X137="Sin Pago",0,IFERROR(INDEX(Pagos_Odoo!$E:$E, MATCH(X137, Pagos_Odoo!$B:$B, 0)), 0))</f>
        <v/>
      </c>
      <c r="AC137" s="79">
        <f>IF(X137="Sin Pago","",IFERROR(INDEX(Pagos_Odoo!$G:$G, MATCH(X137, Pagos_Odoo!$B:$B, 0)), ""))</f>
        <v/>
      </c>
      <c r="AD137" s="82" t="n">
        <v>0</v>
      </c>
      <c r="AE137" s="82" t="n"/>
      <c r="AF137" s="82" t="n"/>
      <c r="AG137" s="82">
        <f>IF(AN137="","",AD137+AE137+AF137)</f>
        <v/>
      </c>
      <c r="AH137" s="81">
        <f>IF(AN137="","",P137*(1-AG137))</f>
        <v/>
      </c>
      <c r="AI137" s="81">
        <f>IF(AN137="","",IF(Q137="Sin Factura",0,IFERROR(INDEX(Facturas_Odoo!$H:$H, MATCH(Q137, Facturas_Odoo!$B:$B, 0)), 0)*(1-AG137)))</f>
        <v/>
      </c>
      <c r="AJ137" s="81">
        <f>IF(AN137="","",_xlfn.LET(idVenta, AN137&amp;"",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7" s="81">
        <f>IF(AN137="","",AH137-AJ137)</f>
        <v/>
      </c>
      <c r="AL137" s="81">
        <f>IF(AN137="","",IF(Q137="Sin Factura","",AI137-AJ137))</f>
        <v/>
      </c>
      <c r="AM137" s="81">
        <f>IF(AN137="","",IF(Q137="Sin Factura",0,P137-IFERROR(INDEX(Facturas_Odoo!$H:$H, MATCH(Q137, Facturas_Odoo!$B:$B, 0)), 0)))</f>
        <v/>
      </c>
      <c r="AN137" s="79">
        <f>IF(AND(A137="", J137=""), "", IF(A137&lt;&gt;"", VALUE(MID(A137,2,LEN(A137))), AN136))</f>
        <v/>
      </c>
      <c r="AO137" s="79">
        <f>IF(AN137="","",IF(AD137=0,"OK",_xlfn.LET(monedaPago, IF(AA137="","USD",AA137), limitePermitido, IFERROR(VLOOKUP(monedaPago, Configuración!$A$2:$B$3, 2, FALSE), 0.15), IF(AD137&gt;limitePermitido, "ALERTA: EXCESO (" &amp; TEXT(limitePermitido, "0%") &amp; " máx)", "OK"))))</f>
        <v/>
      </c>
      <c r="AP137" s="79">
        <f>IF(AN137="","",IF(AE137=0,"OK",_xlfn.LET(fechaPago, Z137, fechaFactura, R137, diasCredito, IF(E137="Pago inmediato", 0, IFERROR(VALUE(MID(E137, 1, SEARCH(" ", E137)-1)),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7" s="79">
        <f>IF(AN137="","",IF(AND(N137&gt;0, AG137&gt;0), IF(Configuración!$K$2="NO", "ALERTA: DESCUENTO DOBLE NO PERMITIDO", "OK"), "OK"))</f>
        <v/>
      </c>
      <c r="AR137" s="79">
        <f>IF(AN137="","",IF(OR(AO137&lt;&gt;"OK", AP137&lt;&gt;"OK", AQ137&lt;&gt;"OK"), "⚠️ REVISAR", "OK"))</f>
        <v/>
      </c>
    </row>
    <row r="138">
      <c r="A138" s="79">
        <f>IF('Ordenes_Odoo'!A138="","",'Ordenes_Odoo'!A138)</f>
        <v/>
      </c>
      <c r="B138" s="80">
        <f>IF('Ordenes_Odoo'!B138="","",'Ordenes_Odoo'!B138)</f>
        <v/>
      </c>
      <c r="C138" s="79">
        <f>IF('Ordenes_Odoo'!C138="","",'Ordenes_Odoo'!C138)</f>
        <v/>
      </c>
      <c r="D138" s="79">
        <f>IF('Ordenes_Odoo'!D138="","",'Ordenes_Odoo'!D138)</f>
        <v/>
      </c>
      <c r="E138" s="79">
        <f>IF('Ordenes_Odoo'!E138="","",'Ordenes_Odoo'!E138)</f>
        <v/>
      </c>
      <c r="F138" s="79">
        <f>IF('Ordenes_Odoo'!F138="","",'Ordenes_Odoo'!F138)</f>
        <v/>
      </c>
      <c r="G138" s="79">
        <f>IF('Ordenes_Odoo'!G138="","",'Ordenes_Odoo'!G138)</f>
        <v/>
      </c>
      <c r="H138" s="79">
        <f>IF('Ordenes_Odoo'!H138="","",'Ordenes_Odoo'!H138)</f>
        <v/>
      </c>
      <c r="I138" s="79">
        <f>IF('Ordenes_Odoo'!I138="","",'Ordenes_Odoo'!I138)</f>
        <v/>
      </c>
      <c r="J138" s="79">
        <f>IF('Ordenes_Odoo'!J138="","",'Ordenes_Odoo'!J138)</f>
        <v/>
      </c>
      <c r="K138" s="81">
        <f>IF('Ordenes_Odoo'!K138="","",'Ordenes_Odoo'!K138)</f>
        <v/>
      </c>
      <c r="L138" s="81">
        <f>IF('Ordenes_Odoo'!L138="","",'Ordenes_Odoo'!L138)</f>
        <v/>
      </c>
      <c r="M138" s="79">
        <f>IF('Ordenes_Odoo'!M138="","",'Ordenes_Odoo'!M138)</f>
        <v/>
      </c>
      <c r="N138" s="79">
        <f>IF('Ordenes_Odoo'!N138="","",'Ordenes_Odoo'!N138)</f>
        <v/>
      </c>
      <c r="O138" s="81">
        <f>IF('Ordenes_Odoo'!O138="","",'Ordenes_Odoo'!O138)</f>
        <v/>
      </c>
      <c r="P138" s="81">
        <f>IF('Ordenes_Odoo'!P138="","",'Ordenes_Odoo'!P138)</f>
        <v/>
      </c>
      <c r="Q138" s="79">
        <f>IF(A138="","",IFERROR(INDEX(Facturas_Odoo!$B:$B, MATCH(A138, Facturas_Odoo!$D:$D, 0)), "Sin Factura"))</f>
        <v/>
      </c>
      <c r="R138" s="80">
        <f>IF(Q138="Sin Factura","",IFERROR(INDEX(Facturas_Odoo!$A:$A, MATCH(Q138, Facturas_Odoo!$B:$B, 0)), ""))</f>
        <v/>
      </c>
      <c r="S138" s="79">
        <f>IF(Q138="Sin Factura","",IFERROR(_xlfn.XLOOKUP(1, (Facturas_Odoo!$D:$D=A138) * (Facturas_Odoo!$K:$K=I138), Facturas_Odoo!$L:$L, ""), ""))</f>
        <v/>
      </c>
      <c r="T138" s="81">
        <f>IF(Q138="Sin Factura",0,IFERROR(_xlfn.XLOOKUP(1, (Facturas_Odoo!$D:$D=A138) * (Facturas_Odoo!$K:$K=I138), Facturas_Odoo!$M:$M, 0), 0))</f>
        <v/>
      </c>
      <c r="U138" s="79">
        <f>IF(Q138="Sin Factura",0,IFERROR(_xlfn.XLOOKUP(1, (Facturas_Odoo!$D:$D=A138) * (Facturas_Odoo!$K:$K=I138), Facturas_Odoo!$N:$N, 0), 0))</f>
        <v/>
      </c>
      <c r="V138" s="79">
        <f>IF(Q138="Sin Factura",0,IFERROR(_xlfn.XLOOKUP(1, (Facturas_Odoo!$D:$D=A138) * (Facturas_Odoo!$K:$K=I138), Facturas_Odoo!$O:$O, 0), 0))</f>
        <v/>
      </c>
      <c r="W138" s="81">
        <f>IF(Q138="Sin Factura",0,IFERROR(_xlfn.XLOOKUP(1, (Facturas_Odoo!$D:$D=A138) * (Facturas_Odoo!$K:$K=I138), Facturas_Odoo!$Q:$Q, 0), 0))</f>
        <v/>
      </c>
      <c r="X138" s="79">
        <f>IF(OR(Q138="Sin Factura",Q138=""),"",IFERROR(INDEX(Pagos_Odoo!$B:$B, MATCH(Q138, Pagos_Odoo!$I:$I, 0)), "Sin Pago"))</f>
        <v/>
      </c>
      <c r="Y138" s="79">
        <f>IF(X138="Sin Pago","",IFERROR(INDEX(Pagos_Odoo!$C:$C, MATCH(X138, Pagos_Odoo!$B:$B, 0)), ""))</f>
        <v/>
      </c>
      <c r="Z138" s="80">
        <f>IF(X138="Sin Pago","",IFERROR(INDEX(Pagos_Odoo!$A:$A, MATCH(X138, Pagos_Odoo!$B:$B, 0)), ""))</f>
        <v/>
      </c>
      <c r="AA138" s="79">
        <f>IF(X138="Sin Pago","",IFERROR(INDEX(Pagos_Odoo!$F:$F, MATCH(X138, Pagos_Odoo!$B:$B, 0)), ""))</f>
        <v/>
      </c>
      <c r="AB138" s="81">
        <f>IF(X138="Sin Pago",0,IFERROR(INDEX(Pagos_Odoo!$E:$E, MATCH(X138, Pagos_Odoo!$B:$B, 0)), 0))</f>
        <v/>
      </c>
      <c r="AC138" s="79">
        <f>IF(X138="Sin Pago","",IFERROR(INDEX(Pagos_Odoo!$G:$G, MATCH(X138, Pagos_Odoo!$B:$B, 0)), ""))</f>
        <v/>
      </c>
      <c r="AD138" s="82" t="n">
        <v>0</v>
      </c>
      <c r="AE138" s="82" t="n"/>
      <c r="AF138" s="82" t="n"/>
      <c r="AG138" s="82">
        <f>IF(AN138="","",AD138+AE138+AF138)</f>
        <v/>
      </c>
      <c r="AH138" s="81">
        <f>IF(AN138="","",P138*(1-AG138))</f>
        <v/>
      </c>
      <c r="AI138" s="81">
        <f>IF(AN138="","",IF(Q138="Sin Factura",0,IFERROR(INDEX(Facturas_Odoo!$H:$H, MATCH(Q138, Facturas_Odoo!$B:$B, 0)), 0)*(1-AG138)))</f>
        <v/>
      </c>
      <c r="AJ138" s="81">
        <f>IF(AN138="","",_xlfn.LET(idVenta, AN138&amp;"",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8" s="81">
        <f>IF(AN138="","",AH138-AJ138)</f>
        <v/>
      </c>
      <c r="AL138" s="81">
        <f>IF(AN138="","",IF(Q138="Sin Factura","",AI138-AJ138))</f>
        <v/>
      </c>
      <c r="AM138" s="81">
        <f>IF(AN138="","",IF(Q138="Sin Factura",0,P138-IFERROR(INDEX(Facturas_Odoo!$H:$H, MATCH(Q138, Facturas_Odoo!$B:$B, 0)), 0)))</f>
        <v/>
      </c>
      <c r="AN138" s="79">
        <f>IF(AND(A138="", J138=""), "", IF(A138&lt;&gt;"", VALUE(MID(A138,2,LEN(A138))), AN137))</f>
        <v/>
      </c>
      <c r="AO138" s="79">
        <f>IF(AN138="","",IF(AD138=0,"OK",_xlfn.LET(monedaPago, IF(AA138="","USD",AA138), limitePermitido, IFERROR(VLOOKUP(monedaPago, Configuración!$A$2:$B$3, 2, FALSE), 0.15), IF(AD138&gt;limitePermitido, "ALERTA: EXCESO (" &amp; TEXT(limitePermitido, "0%") &amp; " máx)", "OK"))))</f>
        <v/>
      </c>
      <c r="AP138" s="79">
        <f>IF(AN138="","",IF(AE138=0,"OK",_xlfn.LET(fechaPago, Z138, fechaFactura, R138, diasCredito, IF(E138="Pago inmediato", 0, IFERROR(VALUE(MID(E138, 1, SEARCH(" ", E138)-1)),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8" s="79">
        <f>IF(AN138="","",IF(AND(N138&gt;0, AG138&gt;0), IF(Configuración!$K$2="NO", "ALERTA: DESCUENTO DOBLE NO PERMITIDO", "OK"), "OK"))</f>
        <v/>
      </c>
      <c r="AR138" s="79">
        <f>IF(AN138="","",IF(OR(AO138&lt;&gt;"OK", AP138&lt;&gt;"OK", AQ138&lt;&gt;"OK"), "⚠️ REVISAR", "OK"))</f>
        <v/>
      </c>
    </row>
    <row r="139">
      <c r="A139" s="79">
        <f>IF('Ordenes_Odoo'!A139="","",'Ordenes_Odoo'!A139)</f>
        <v/>
      </c>
      <c r="B139" s="80">
        <f>IF('Ordenes_Odoo'!B139="","",'Ordenes_Odoo'!B139)</f>
        <v/>
      </c>
      <c r="C139" s="79">
        <f>IF('Ordenes_Odoo'!C139="","",'Ordenes_Odoo'!C139)</f>
        <v/>
      </c>
      <c r="D139" s="79">
        <f>IF('Ordenes_Odoo'!D139="","",'Ordenes_Odoo'!D139)</f>
        <v/>
      </c>
      <c r="E139" s="79">
        <f>IF('Ordenes_Odoo'!E139="","",'Ordenes_Odoo'!E139)</f>
        <v/>
      </c>
      <c r="F139" s="79">
        <f>IF('Ordenes_Odoo'!F139="","",'Ordenes_Odoo'!F139)</f>
        <v/>
      </c>
      <c r="G139" s="79">
        <f>IF('Ordenes_Odoo'!G139="","",'Ordenes_Odoo'!G139)</f>
        <v/>
      </c>
      <c r="H139" s="79">
        <f>IF('Ordenes_Odoo'!H139="","",'Ordenes_Odoo'!H139)</f>
        <v/>
      </c>
      <c r="I139" s="79">
        <f>IF('Ordenes_Odoo'!I139="","",'Ordenes_Odoo'!I139)</f>
        <v/>
      </c>
      <c r="J139" s="79">
        <f>IF('Ordenes_Odoo'!J139="","",'Ordenes_Odoo'!J139)</f>
        <v/>
      </c>
      <c r="K139" s="81">
        <f>IF('Ordenes_Odoo'!K139="","",'Ordenes_Odoo'!K139)</f>
        <v/>
      </c>
      <c r="L139" s="81">
        <f>IF('Ordenes_Odoo'!L139="","",'Ordenes_Odoo'!L139)</f>
        <v/>
      </c>
      <c r="M139" s="79">
        <f>IF('Ordenes_Odoo'!M139="","",'Ordenes_Odoo'!M139)</f>
        <v/>
      </c>
      <c r="N139" s="79">
        <f>IF('Ordenes_Odoo'!N139="","",'Ordenes_Odoo'!N139)</f>
        <v/>
      </c>
      <c r="O139" s="81">
        <f>IF('Ordenes_Odoo'!O139="","",'Ordenes_Odoo'!O139)</f>
        <v/>
      </c>
      <c r="P139" s="81">
        <f>IF('Ordenes_Odoo'!P139="","",'Ordenes_Odoo'!P139)</f>
        <v/>
      </c>
      <c r="Q139" s="79">
        <f>IF(A139="","",IFERROR(INDEX(Facturas_Odoo!$B:$B, MATCH(A139, Facturas_Odoo!$D:$D, 0)), "Sin Factura"))</f>
        <v/>
      </c>
      <c r="R139" s="80">
        <f>IF(Q139="Sin Factura","",IFERROR(INDEX(Facturas_Odoo!$A:$A, MATCH(Q139, Facturas_Odoo!$B:$B, 0)), ""))</f>
        <v/>
      </c>
      <c r="S139" s="79">
        <f>IF(Q139="Sin Factura","",IFERROR(_xlfn.XLOOKUP(1, (Facturas_Odoo!$D:$D=A139) * (Facturas_Odoo!$K:$K=I139), Facturas_Odoo!$L:$L, ""), ""))</f>
        <v/>
      </c>
      <c r="T139" s="81">
        <f>IF(Q139="Sin Factura",0,IFERROR(_xlfn.XLOOKUP(1, (Facturas_Odoo!$D:$D=A139) * (Facturas_Odoo!$K:$K=I139), Facturas_Odoo!$M:$M, 0), 0))</f>
        <v/>
      </c>
      <c r="U139" s="79">
        <f>IF(Q139="Sin Factura",0,IFERROR(_xlfn.XLOOKUP(1, (Facturas_Odoo!$D:$D=A139) * (Facturas_Odoo!$K:$K=I139), Facturas_Odoo!$N:$N, 0), 0))</f>
        <v/>
      </c>
      <c r="V139" s="79">
        <f>IF(Q139="Sin Factura",0,IFERROR(_xlfn.XLOOKUP(1, (Facturas_Odoo!$D:$D=A139) * (Facturas_Odoo!$K:$K=I139), Facturas_Odoo!$O:$O, 0), 0))</f>
        <v/>
      </c>
      <c r="W139" s="81">
        <f>IF(Q139="Sin Factura",0,IFERROR(_xlfn.XLOOKUP(1, (Facturas_Odoo!$D:$D=A139) * (Facturas_Odoo!$K:$K=I139), Facturas_Odoo!$Q:$Q, 0), 0))</f>
        <v/>
      </c>
      <c r="X139" s="79">
        <f>IF(OR(Q139="Sin Factura",Q139=""),"",IFERROR(INDEX(Pagos_Odoo!$B:$B, MATCH(Q139, Pagos_Odoo!$I:$I, 0)), "Sin Pago"))</f>
        <v/>
      </c>
      <c r="Y139" s="79">
        <f>IF(X139="Sin Pago","",IFERROR(INDEX(Pagos_Odoo!$C:$C, MATCH(X139, Pagos_Odoo!$B:$B, 0)), ""))</f>
        <v/>
      </c>
      <c r="Z139" s="80">
        <f>IF(X139="Sin Pago","",IFERROR(INDEX(Pagos_Odoo!$A:$A, MATCH(X139, Pagos_Odoo!$B:$B, 0)), ""))</f>
        <v/>
      </c>
      <c r="AA139" s="79">
        <f>IF(X139="Sin Pago","",IFERROR(INDEX(Pagos_Odoo!$F:$F, MATCH(X139, Pagos_Odoo!$B:$B, 0)), ""))</f>
        <v/>
      </c>
      <c r="AB139" s="81">
        <f>IF(X139="Sin Pago",0,IFERROR(INDEX(Pagos_Odoo!$E:$E, MATCH(X139, Pagos_Odoo!$B:$B, 0)), 0))</f>
        <v/>
      </c>
      <c r="AC139" s="79">
        <f>IF(X139="Sin Pago","",IFERROR(INDEX(Pagos_Odoo!$G:$G, MATCH(X139, Pagos_Odoo!$B:$B, 0)), ""))</f>
        <v/>
      </c>
      <c r="AD139" s="82" t="n">
        <v>0</v>
      </c>
      <c r="AE139" s="82" t="n"/>
      <c r="AF139" s="82" t="n"/>
      <c r="AG139" s="82">
        <f>IF(AN139="","",AD139+AE139+AF139)</f>
        <v/>
      </c>
      <c r="AH139" s="81">
        <f>IF(AN139="","",P139*(1-AG139))</f>
        <v/>
      </c>
      <c r="AI139" s="81">
        <f>IF(AN139="","",IF(Q139="Sin Factura",0,IFERROR(INDEX(Facturas_Odoo!$H:$H, MATCH(Q139, Facturas_Odoo!$B:$B, 0)), 0)*(1-AG139)))</f>
        <v/>
      </c>
      <c r="AJ139" s="81">
        <f>IF(AN139="","",_xlfn.LET(idVenta, AN139&amp;"",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9" s="81">
        <f>IF(AN139="","",AH139-AJ139)</f>
        <v/>
      </c>
      <c r="AL139" s="81">
        <f>IF(AN139="","",IF(Q139="Sin Factura","",AI139-AJ139))</f>
        <v/>
      </c>
      <c r="AM139" s="81">
        <f>IF(AN139="","",IF(Q139="Sin Factura",0,P139-IFERROR(INDEX(Facturas_Odoo!$H:$H, MATCH(Q139, Facturas_Odoo!$B:$B, 0)), 0)))</f>
        <v/>
      </c>
      <c r="AN139" s="79">
        <f>IF(AND(A139="", J139=""), "", IF(A139&lt;&gt;"", VALUE(MID(A139,2,LEN(A139))), AN138))</f>
        <v/>
      </c>
      <c r="AO139" s="79">
        <f>IF(AN139="","",IF(AD139=0,"OK",_xlfn.LET(monedaPago, IF(AA139="","USD",AA139), limitePermitido, IFERROR(VLOOKUP(monedaPago, Configuración!$A$2:$B$3, 2, FALSE), 0.15), IF(AD139&gt;limitePermitido, "ALERTA: EXCESO (" &amp; TEXT(limitePermitido, "0%") &amp; " máx)", "OK"))))</f>
        <v/>
      </c>
      <c r="AP139" s="79">
        <f>IF(AN139="","",IF(AE139=0,"OK",_xlfn.LET(fechaPago, Z139, fechaFactura, R139, diasCredito, IF(E139="Pago inmediato", 0, IFERROR(VALUE(MID(E139, 1, SEARCH(" ", E139)-1)),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9" s="79">
        <f>IF(AN139="","",IF(AND(N139&gt;0, AG139&gt;0), IF(Configuración!$K$2="NO", "ALERTA: DESCUENTO DOBLE NO PERMITIDO", "OK"), "OK"))</f>
        <v/>
      </c>
      <c r="AR139" s="79">
        <f>IF(AN139="","",IF(OR(AO139&lt;&gt;"OK", AP139&lt;&gt;"OK", AQ139&lt;&gt;"OK"), "⚠️ REVISAR", "OK"))</f>
        <v/>
      </c>
    </row>
    <row r="140">
      <c r="A140" s="79">
        <f>IF('Ordenes_Odoo'!A140="","",'Ordenes_Odoo'!A140)</f>
        <v/>
      </c>
      <c r="B140" s="80">
        <f>IF('Ordenes_Odoo'!B140="","",'Ordenes_Odoo'!B140)</f>
        <v/>
      </c>
      <c r="C140" s="79">
        <f>IF('Ordenes_Odoo'!C140="","",'Ordenes_Odoo'!C140)</f>
        <v/>
      </c>
      <c r="D140" s="79">
        <f>IF('Ordenes_Odoo'!D140="","",'Ordenes_Odoo'!D140)</f>
        <v/>
      </c>
      <c r="E140" s="79">
        <f>IF('Ordenes_Odoo'!E140="","",'Ordenes_Odoo'!E140)</f>
        <v/>
      </c>
      <c r="F140" s="79">
        <f>IF('Ordenes_Odoo'!F140="","",'Ordenes_Odoo'!F140)</f>
        <v/>
      </c>
      <c r="G140" s="79">
        <f>IF('Ordenes_Odoo'!G140="","",'Ordenes_Odoo'!G140)</f>
        <v/>
      </c>
      <c r="H140" s="79">
        <f>IF('Ordenes_Odoo'!H140="","",'Ordenes_Odoo'!H140)</f>
        <v/>
      </c>
      <c r="I140" s="79">
        <f>IF('Ordenes_Odoo'!I140="","",'Ordenes_Odoo'!I140)</f>
        <v/>
      </c>
      <c r="J140" s="79">
        <f>IF('Ordenes_Odoo'!J140="","",'Ordenes_Odoo'!J140)</f>
        <v/>
      </c>
      <c r="K140" s="81">
        <f>IF('Ordenes_Odoo'!K140="","",'Ordenes_Odoo'!K140)</f>
        <v/>
      </c>
      <c r="L140" s="81">
        <f>IF('Ordenes_Odoo'!L140="","",'Ordenes_Odoo'!L140)</f>
        <v/>
      </c>
      <c r="M140" s="79">
        <f>IF('Ordenes_Odoo'!M140="","",'Ordenes_Odoo'!M140)</f>
        <v/>
      </c>
      <c r="N140" s="79">
        <f>IF('Ordenes_Odoo'!N140="","",'Ordenes_Odoo'!N140)</f>
        <v/>
      </c>
      <c r="O140" s="81">
        <f>IF('Ordenes_Odoo'!O140="","",'Ordenes_Odoo'!O140)</f>
        <v/>
      </c>
      <c r="P140" s="81">
        <f>IF('Ordenes_Odoo'!P140="","",'Ordenes_Odoo'!P140)</f>
        <v/>
      </c>
      <c r="Q140" s="79">
        <f>IF(A140="","",IFERROR(INDEX(Facturas_Odoo!$B:$B, MATCH(A140, Facturas_Odoo!$D:$D, 0)), "Sin Factura"))</f>
        <v/>
      </c>
      <c r="R140" s="80">
        <f>IF(Q140="Sin Factura","",IFERROR(INDEX(Facturas_Odoo!$A:$A, MATCH(Q140, Facturas_Odoo!$B:$B, 0)), ""))</f>
        <v/>
      </c>
      <c r="S140" s="79">
        <f>IF(Q140="Sin Factura","",IFERROR(_xlfn.XLOOKUP(1, (Facturas_Odoo!$D:$D=A140) * (Facturas_Odoo!$K:$K=I140), Facturas_Odoo!$L:$L, ""), ""))</f>
        <v/>
      </c>
      <c r="T140" s="81">
        <f>IF(Q140="Sin Factura",0,IFERROR(_xlfn.XLOOKUP(1, (Facturas_Odoo!$D:$D=A140) * (Facturas_Odoo!$K:$K=I140), Facturas_Odoo!$M:$M, 0), 0))</f>
        <v/>
      </c>
      <c r="U140" s="79">
        <f>IF(Q140="Sin Factura",0,IFERROR(_xlfn.XLOOKUP(1, (Facturas_Odoo!$D:$D=A140) * (Facturas_Odoo!$K:$K=I140), Facturas_Odoo!$N:$N, 0), 0))</f>
        <v/>
      </c>
      <c r="V140" s="79">
        <f>IF(Q140="Sin Factura",0,IFERROR(_xlfn.XLOOKUP(1, (Facturas_Odoo!$D:$D=A140) * (Facturas_Odoo!$K:$K=I140), Facturas_Odoo!$O:$O, 0), 0))</f>
        <v/>
      </c>
      <c r="W140" s="81">
        <f>IF(Q140="Sin Factura",0,IFERROR(_xlfn.XLOOKUP(1, (Facturas_Odoo!$D:$D=A140) * (Facturas_Odoo!$K:$K=I140), Facturas_Odoo!$Q:$Q, 0), 0))</f>
        <v/>
      </c>
      <c r="X140" s="79">
        <f>IF(OR(Q140="Sin Factura",Q140=""),"",IFERROR(INDEX(Pagos_Odoo!$B:$B, MATCH(Q140, Pagos_Odoo!$I:$I, 0)), "Sin Pago"))</f>
        <v/>
      </c>
      <c r="Y140" s="79">
        <f>IF(X140="Sin Pago","",IFERROR(INDEX(Pagos_Odoo!$C:$C, MATCH(X140, Pagos_Odoo!$B:$B, 0)), ""))</f>
        <v/>
      </c>
      <c r="Z140" s="80">
        <f>IF(X140="Sin Pago","",IFERROR(INDEX(Pagos_Odoo!$A:$A, MATCH(X140, Pagos_Odoo!$B:$B, 0)), ""))</f>
        <v/>
      </c>
      <c r="AA140" s="79">
        <f>IF(X140="Sin Pago","",IFERROR(INDEX(Pagos_Odoo!$F:$F, MATCH(X140, Pagos_Odoo!$B:$B, 0)), ""))</f>
        <v/>
      </c>
      <c r="AB140" s="81">
        <f>IF(X140="Sin Pago",0,IFERROR(INDEX(Pagos_Odoo!$E:$E, MATCH(X140, Pagos_Odoo!$B:$B, 0)), 0))</f>
        <v/>
      </c>
      <c r="AC140" s="79">
        <f>IF(X140="Sin Pago","",IFERROR(INDEX(Pagos_Odoo!$G:$G, MATCH(X140, Pagos_Odoo!$B:$B, 0)), ""))</f>
        <v/>
      </c>
      <c r="AD140" s="82" t="n">
        <v>0</v>
      </c>
      <c r="AE140" s="82" t="n"/>
      <c r="AF140" s="82" t="n"/>
      <c r="AG140" s="82">
        <f>IF(AN140="","",AD140+AE140+AF140)</f>
        <v/>
      </c>
      <c r="AH140" s="81">
        <f>IF(AN140="","",P140*(1-AG140))</f>
        <v/>
      </c>
      <c r="AI140" s="81">
        <f>IF(AN140="","",IF(Q140="Sin Factura",0,IFERROR(INDEX(Facturas_Odoo!$H:$H, MATCH(Q140, Facturas_Odoo!$B:$B, 0)), 0)*(1-AG140)))</f>
        <v/>
      </c>
      <c r="AJ140" s="81">
        <f>IF(AN140="","",_xlfn.LET(idVenta, AN140&amp;"",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0" s="81">
        <f>IF(AN140="","",AH140-AJ140)</f>
        <v/>
      </c>
      <c r="AL140" s="81">
        <f>IF(AN140="","",IF(Q140="Sin Factura","",AI140-AJ140))</f>
        <v/>
      </c>
      <c r="AM140" s="81">
        <f>IF(AN140="","",IF(Q140="Sin Factura",0,P140-IFERROR(INDEX(Facturas_Odoo!$H:$H, MATCH(Q140, Facturas_Odoo!$B:$B, 0)), 0)))</f>
        <v/>
      </c>
      <c r="AN140" s="79">
        <f>IF(AND(A140="", J140=""), "", IF(A140&lt;&gt;"", VALUE(MID(A140,2,LEN(A140))), AN139))</f>
        <v/>
      </c>
      <c r="AO140" s="79">
        <f>IF(AN140="","",IF(AD140=0,"OK",_xlfn.LET(monedaPago, IF(AA140="","USD",AA140), limitePermitido, IFERROR(VLOOKUP(monedaPago, Configuración!$A$2:$B$3, 2, FALSE), 0.15), IF(AD140&gt;limitePermitido, "ALERTA: EXCESO (" &amp; TEXT(limitePermitido, "0%") &amp; " máx)", "OK"))))</f>
        <v/>
      </c>
      <c r="AP140" s="79">
        <f>IF(AN140="","",IF(AE140=0,"OK",_xlfn.LET(fechaPago, Z140, fechaFactura, R140, diasCredito, IF(E140="Pago inmediato", 0, IFERROR(VALUE(MID(E140, 1, SEARCH(" ", E140)-1)),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0" s="79">
        <f>IF(AN140="","",IF(AND(N140&gt;0, AG140&gt;0), IF(Configuración!$K$2="NO", "ALERTA: DESCUENTO DOBLE NO PERMITIDO", "OK"), "OK"))</f>
        <v/>
      </c>
      <c r="AR140" s="79">
        <f>IF(AN140="","",IF(OR(AO140&lt;&gt;"OK", AP140&lt;&gt;"OK", AQ140&lt;&gt;"OK"), "⚠️ REVISAR", "OK"))</f>
        <v/>
      </c>
    </row>
    <row r="141">
      <c r="A141" s="79">
        <f>IF('Ordenes_Odoo'!A141="","",'Ordenes_Odoo'!A141)</f>
        <v/>
      </c>
      <c r="B141" s="80">
        <f>IF('Ordenes_Odoo'!B141="","",'Ordenes_Odoo'!B141)</f>
        <v/>
      </c>
      <c r="C141" s="79">
        <f>IF('Ordenes_Odoo'!C141="","",'Ordenes_Odoo'!C141)</f>
        <v/>
      </c>
      <c r="D141" s="79">
        <f>IF('Ordenes_Odoo'!D141="","",'Ordenes_Odoo'!D141)</f>
        <v/>
      </c>
      <c r="E141" s="79">
        <f>IF('Ordenes_Odoo'!E141="","",'Ordenes_Odoo'!E141)</f>
        <v/>
      </c>
      <c r="F141" s="79">
        <f>IF('Ordenes_Odoo'!F141="","",'Ordenes_Odoo'!F141)</f>
        <v/>
      </c>
      <c r="G141" s="79">
        <f>IF('Ordenes_Odoo'!G141="","",'Ordenes_Odoo'!G141)</f>
        <v/>
      </c>
      <c r="H141" s="79">
        <f>IF('Ordenes_Odoo'!H141="","",'Ordenes_Odoo'!H141)</f>
        <v/>
      </c>
      <c r="I141" s="79">
        <f>IF('Ordenes_Odoo'!I141="","",'Ordenes_Odoo'!I141)</f>
        <v/>
      </c>
      <c r="J141" s="79">
        <f>IF('Ordenes_Odoo'!J141="","",'Ordenes_Odoo'!J141)</f>
        <v/>
      </c>
      <c r="K141" s="81">
        <f>IF('Ordenes_Odoo'!K141="","",'Ordenes_Odoo'!K141)</f>
        <v/>
      </c>
      <c r="L141" s="81">
        <f>IF('Ordenes_Odoo'!L141="","",'Ordenes_Odoo'!L141)</f>
        <v/>
      </c>
      <c r="M141" s="79">
        <f>IF('Ordenes_Odoo'!M141="","",'Ordenes_Odoo'!M141)</f>
        <v/>
      </c>
      <c r="N141" s="79">
        <f>IF('Ordenes_Odoo'!N141="","",'Ordenes_Odoo'!N141)</f>
        <v/>
      </c>
      <c r="O141" s="81">
        <f>IF('Ordenes_Odoo'!O141="","",'Ordenes_Odoo'!O141)</f>
        <v/>
      </c>
      <c r="P141" s="81">
        <f>IF('Ordenes_Odoo'!P141="","",'Ordenes_Odoo'!P141)</f>
        <v/>
      </c>
      <c r="Q141" s="79">
        <f>IF(A141="","",IFERROR(INDEX(Facturas_Odoo!$B:$B, MATCH(A141, Facturas_Odoo!$D:$D, 0)), "Sin Factura"))</f>
        <v/>
      </c>
      <c r="R141" s="80">
        <f>IF(Q141="Sin Factura","",IFERROR(INDEX(Facturas_Odoo!$A:$A, MATCH(Q141, Facturas_Odoo!$B:$B, 0)), ""))</f>
        <v/>
      </c>
      <c r="S141" s="79">
        <f>IF(Q141="Sin Factura","",IFERROR(_xlfn.XLOOKUP(1, (Facturas_Odoo!$D:$D=A141) * (Facturas_Odoo!$K:$K=I141), Facturas_Odoo!$L:$L, ""), ""))</f>
        <v/>
      </c>
      <c r="T141" s="81">
        <f>IF(Q141="Sin Factura",0,IFERROR(_xlfn.XLOOKUP(1, (Facturas_Odoo!$D:$D=A141) * (Facturas_Odoo!$K:$K=I141), Facturas_Odoo!$M:$M, 0), 0))</f>
        <v/>
      </c>
      <c r="U141" s="79">
        <f>IF(Q141="Sin Factura",0,IFERROR(_xlfn.XLOOKUP(1, (Facturas_Odoo!$D:$D=A141) * (Facturas_Odoo!$K:$K=I141), Facturas_Odoo!$N:$N, 0), 0))</f>
        <v/>
      </c>
      <c r="V141" s="79">
        <f>IF(Q141="Sin Factura",0,IFERROR(_xlfn.XLOOKUP(1, (Facturas_Odoo!$D:$D=A141) * (Facturas_Odoo!$K:$K=I141), Facturas_Odoo!$O:$O, 0), 0))</f>
        <v/>
      </c>
      <c r="W141" s="81">
        <f>IF(Q141="Sin Factura",0,IFERROR(_xlfn.XLOOKUP(1, (Facturas_Odoo!$D:$D=A141) * (Facturas_Odoo!$K:$K=I141), Facturas_Odoo!$Q:$Q, 0), 0))</f>
        <v/>
      </c>
      <c r="X141" s="79">
        <f>IF(OR(Q141="Sin Factura",Q141=""),"",IFERROR(INDEX(Pagos_Odoo!$B:$B, MATCH(Q141, Pagos_Odoo!$I:$I, 0)), "Sin Pago"))</f>
        <v/>
      </c>
      <c r="Y141" s="79">
        <f>IF(X141="Sin Pago","",IFERROR(INDEX(Pagos_Odoo!$C:$C, MATCH(X141, Pagos_Odoo!$B:$B, 0)), ""))</f>
        <v/>
      </c>
      <c r="Z141" s="80">
        <f>IF(X141="Sin Pago","",IFERROR(INDEX(Pagos_Odoo!$A:$A, MATCH(X141, Pagos_Odoo!$B:$B, 0)), ""))</f>
        <v/>
      </c>
      <c r="AA141" s="79">
        <f>IF(X141="Sin Pago","",IFERROR(INDEX(Pagos_Odoo!$F:$F, MATCH(X141, Pagos_Odoo!$B:$B, 0)), ""))</f>
        <v/>
      </c>
      <c r="AB141" s="81">
        <f>IF(X141="Sin Pago",0,IFERROR(INDEX(Pagos_Odoo!$E:$E, MATCH(X141, Pagos_Odoo!$B:$B, 0)), 0))</f>
        <v/>
      </c>
      <c r="AC141" s="79">
        <f>IF(X141="Sin Pago","",IFERROR(INDEX(Pagos_Odoo!$G:$G, MATCH(X141, Pagos_Odoo!$B:$B, 0)), ""))</f>
        <v/>
      </c>
      <c r="AD141" s="82" t="n">
        <v>0</v>
      </c>
      <c r="AE141" s="82" t="n"/>
      <c r="AF141" s="82" t="n"/>
      <c r="AG141" s="82">
        <f>IF(AN141="","",AD141+AE141+AF141)</f>
        <v/>
      </c>
      <c r="AH141" s="81">
        <f>IF(AN141="","",P141*(1-AG141))</f>
        <v/>
      </c>
      <c r="AI141" s="81">
        <f>IF(AN141="","",IF(Q141="Sin Factura",0,IFERROR(INDEX(Facturas_Odoo!$H:$H, MATCH(Q141, Facturas_Odoo!$B:$B, 0)), 0)*(1-AG141)))</f>
        <v/>
      </c>
      <c r="AJ141" s="81">
        <f>IF(AN141="","",_xlfn.LET(idVenta, AN141&amp;"",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1" s="81">
        <f>IF(AN141="","",AH141-AJ141)</f>
        <v/>
      </c>
      <c r="AL141" s="81">
        <f>IF(AN141="","",IF(Q141="Sin Factura","",AI141-AJ141))</f>
        <v/>
      </c>
      <c r="AM141" s="81">
        <f>IF(AN141="","",IF(Q141="Sin Factura",0,P141-IFERROR(INDEX(Facturas_Odoo!$H:$H, MATCH(Q141, Facturas_Odoo!$B:$B, 0)), 0)))</f>
        <v/>
      </c>
      <c r="AN141" s="79">
        <f>IF(AND(A141="", J141=""), "", IF(A141&lt;&gt;"", VALUE(MID(A141,2,LEN(A141))), AN140))</f>
        <v/>
      </c>
      <c r="AO141" s="79">
        <f>IF(AN141="","",IF(AD141=0,"OK",_xlfn.LET(monedaPago, IF(AA141="","USD",AA141), limitePermitido, IFERROR(VLOOKUP(monedaPago, Configuración!$A$2:$B$3, 2, FALSE), 0.15), IF(AD141&gt;limitePermitido, "ALERTA: EXCESO (" &amp; TEXT(limitePermitido, "0%") &amp; " máx)", "OK"))))</f>
        <v/>
      </c>
      <c r="AP141" s="79">
        <f>IF(AN141="","",IF(AE141=0,"OK",_xlfn.LET(fechaPago, Z141, fechaFactura, R141, diasCredito, IF(E141="Pago inmediato", 0, IFERROR(VALUE(MID(E141, 1, SEARCH(" ", E141)-1)),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1" s="79">
        <f>IF(AN141="","",IF(AND(N141&gt;0, AG141&gt;0), IF(Configuración!$K$2="NO", "ALERTA: DESCUENTO DOBLE NO PERMITIDO", "OK"), "OK"))</f>
        <v/>
      </c>
      <c r="AR141" s="79">
        <f>IF(AN141="","",IF(OR(AO141&lt;&gt;"OK", AP141&lt;&gt;"OK", AQ141&lt;&gt;"OK"), "⚠️ REVISAR", "OK"))</f>
        <v/>
      </c>
    </row>
    <row r="142">
      <c r="A142" s="79">
        <f>IF('Ordenes_Odoo'!A142="","",'Ordenes_Odoo'!A142)</f>
        <v/>
      </c>
      <c r="B142" s="80">
        <f>IF('Ordenes_Odoo'!B142="","",'Ordenes_Odoo'!B142)</f>
        <v/>
      </c>
      <c r="C142" s="79">
        <f>IF('Ordenes_Odoo'!C142="","",'Ordenes_Odoo'!C142)</f>
        <v/>
      </c>
      <c r="D142" s="79">
        <f>IF('Ordenes_Odoo'!D142="","",'Ordenes_Odoo'!D142)</f>
        <v/>
      </c>
      <c r="E142" s="79">
        <f>IF('Ordenes_Odoo'!E142="","",'Ordenes_Odoo'!E142)</f>
        <v/>
      </c>
      <c r="F142" s="79">
        <f>IF('Ordenes_Odoo'!F142="","",'Ordenes_Odoo'!F142)</f>
        <v/>
      </c>
      <c r="G142" s="79">
        <f>IF('Ordenes_Odoo'!G142="","",'Ordenes_Odoo'!G142)</f>
        <v/>
      </c>
      <c r="H142" s="79">
        <f>IF('Ordenes_Odoo'!H142="","",'Ordenes_Odoo'!H142)</f>
        <v/>
      </c>
      <c r="I142" s="79">
        <f>IF('Ordenes_Odoo'!I142="","",'Ordenes_Odoo'!I142)</f>
        <v/>
      </c>
      <c r="J142" s="79">
        <f>IF('Ordenes_Odoo'!J142="","",'Ordenes_Odoo'!J142)</f>
        <v/>
      </c>
      <c r="K142" s="81">
        <f>IF('Ordenes_Odoo'!K142="","",'Ordenes_Odoo'!K142)</f>
        <v/>
      </c>
      <c r="L142" s="81">
        <f>IF('Ordenes_Odoo'!L142="","",'Ordenes_Odoo'!L142)</f>
        <v/>
      </c>
      <c r="M142" s="79">
        <f>IF('Ordenes_Odoo'!M142="","",'Ordenes_Odoo'!M142)</f>
        <v/>
      </c>
      <c r="N142" s="79">
        <f>IF('Ordenes_Odoo'!N142="","",'Ordenes_Odoo'!N142)</f>
        <v/>
      </c>
      <c r="O142" s="81">
        <f>IF('Ordenes_Odoo'!O142="","",'Ordenes_Odoo'!O142)</f>
        <v/>
      </c>
      <c r="P142" s="81">
        <f>IF('Ordenes_Odoo'!P142="","",'Ordenes_Odoo'!P142)</f>
        <v/>
      </c>
      <c r="Q142" s="79">
        <f>IF(A142="","",IFERROR(INDEX(Facturas_Odoo!$B:$B, MATCH(A142, Facturas_Odoo!$D:$D, 0)), "Sin Factura"))</f>
        <v/>
      </c>
      <c r="R142" s="80">
        <f>IF(Q142="Sin Factura","",IFERROR(INDEX(Facturas_Odoo!$A:$A, MATCH(Q142, Facturas_Odoo!$B:$B, 0)), ""))</f>
        <v/>
      </c>
      <c r="S142" s="79">
        <f>IF(Q142="Sin Factura","",IFERROR(_xlfn.XLOOKUP(1, (Facturas_Odoo!$D:$D=A142) * (Facturas_Odoo!$K:$K=I142), Facturas_Odoo!$L:$L, ""), ""))</f>
        <v/>
      </c>
      <c r="T142" s="81">
        <f>IF(Q142="Sin Factura",0,IFERROR(_xlfn.XLOOKUP(1, (Facturas_Odoo!$D:$D=A142) * (Facturas_Odoo!$K:$K=I142), Facturas_Odoo!$M:$M, 0), 0))</f>
        <v/>
      </c>
      <c r="U142" s="79">
        <f>IF(Q142="Sin Factura",0,IFERROR(_xlfn.XLOOKUP(1, (Facturas_Odoo!$D:$D=A142) * (Facturas_Odoo!$K:$K=I142), Facturas_Odoo!$N:$N, 0), 0))</f>
        <v/>
      </c>
      <c r="V142" s="79">
        <f>IF(Q142="Sin Factura",0,IFERROR(_xlfn.XLOOKUP(1, (Facturas_Odoo!$D:$D=A142) * (Facturas_Odoo!$K:$K=I142), Facturas_Odoo!$O:$O, 0), 0))</f>
        <v/>
      </c>
      <c r="W142" s="81">
        <f>IF(Q142="Sin Factura",0,IFERROR(_xlfn.XLOOKUP(1, (Facturas_Odoo!$D:$D=A142) * (Facturas_Odoo!$K:$K=I142), Facturas_Odoo!$Q:$Q, 0), 0))</f>
        <v/>
      </c>
      <c r="X142" s="79">
        <f>IF(OR(Q142="Sin Factura",Q142=""),"",IFERROR(INDEX(Pagos_Odoo!$B:$B, MATCH(Q142, Pagos_Odoo!$I:$I, 0)), "Sin Pago"))</f>
        <v/>
      </c>
      <c r="Y142" s="79">
        <f>IF(X142="Sin Pago","",IFERROR(INDEX(Pagos_Odoo!$C:$C, MATCH(X142, Pagos_Odoo!$B:$B, 0)), ""))</f>
        <v/>
      </c>
      <c r="Z142" s="80">
        <f>IF(X142="Sin Pago","",IFERROR(INDEX(Pagos_Odoo!$A:$A, MATCH(X142, Pagos_Odoo!$B:$B, 0)), ""))</f>
        <v/>
      </c>
      <c r="AA142" s="79">
        <f>IF(X142="Sin Pago","",IFERROR(INDEX(Pagos_Odoo!$F:$F, MATCH(X142, Pagos_Odoo!$B:$B, 0)), ""))</f>
        <v/>
      </c>
      <c r="AB142" s="81">
        <f>IF(X142="Sin Pago",0,IFERROR(INDEX(Pagos_Odoo!$E:$E, MATCH(X142, Pagos_Odoo!$B:$B, 0)), 0))</f>
        <v/>
      </c>
      <c r="AC142" s="79">
        <f>IF(X142="Sin Pago","",IFERROR(INDEX(Pagos_Odoo!$G:$G, MATCH(X142, Pagos_Odoo!$B:$B, 0)), ""))</f>
        <v/>
      </c>
      <c r="AD142" s="82" t="n">
        <v>0</v>
      </c>
      <c r="AE142" s="82" t="n"/>
      <c r="AF142" s="82" t="n"/>
      <c r="AG142" s="82">
        <f>IF(AN142="","",AD142+AE142+AF142)</f>
        <v/>
      </c>
      <c r="AH142" s="81">
        <f>IF(AN142="","",P142*(1-AG142))</f>
        <v/>
      </c>
      <c r="AI142" s="81">
        <f>IF(AN142="","",IF(Q142="Sin Factura",0,IFERROR(INDEX(Facturas_Odoo!$H:$H, MATCH(Q142, Facturas_Odoo!$B:$B, 0)), 0)*(1-AG142)))</f>
        <v/>
      </c>
      <c r="AJ142" s="81">
        <f>IF(AN142="","",_xlfn.LET(idVenta, AN142&amp;"",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2" s="81">
        <f>IF(AN142="","",AH142-AJ142)</f>
        <v/>
      </c>
      <c r="AL142" s="81">
        <f>IF(AN142="","",IF(Q142="Sin Factura","",AI142-AJ142))</f>
        <v/>
      </c>
      <c r="AM142" s="81">
        <f>IF(AN142="","",IF(Q142="Sin Factura",0,P142-IFERROR(INDEX(Facturas_Odoo!$H:$H, MATCH(Q142, Facturas_Odoo!$B:$B, 0)), 0)))</f>
        <v/>
      </c>
      <c r="AN142" s="79">
        <f>IF(AND(A142="", J142=""), "", IF(A142&lt;&gt;"", VALUE(MID(A142,2,LEN(A142))), AN141))</f>
        <v/>
      </c>
      <c r="AO142" s="79">
        <f>IF(AN142="","",IF(AD142=0,"OK",_xlfn.LET(monedaPago, IF(AA142="","USD",AA142), limitePermitido, IFERROR(VLOOKUP(monedaPago, Configuración!$A$2:$B$3, 2, FALSE), 0.15), IF(AD142&gt;limitePermitido, "ALERTA: EXCESO (" &amp; TEXT(limitePermitido, "0%") &amp; " máx)", "OK"))))</f>
        <v/>
      </c>
      <c r="AP142" s="79">
        <f>IF(AN142="","",IF(AE142=0,"OK",_xlfn.LET(fechaPago, Z142, fechaFactura, R142, diasCredito, IF(E142="Pago inmediato", 0, IFERROR(VALUE(MID(E142, 1, SEARCH(" ", E142)-1)),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2" s="79">
        <f>IF(AN142="","",IF(AND(N142&gt;0, AG142&gt;0), IF(Configuración!$K$2="NO", "ALERTA: DESCUENTO DOBLE NO PERMITIDO", "OK"), "OK"))</f>
        <v/>
      </c>
      <c r="AR142" s="79">
        <f>IF(AN142="","",IF(OR(AO142&lt;&gt;"OK", AP142&lt;&gt;"OK", AQ142&lt;&gt;"OK"), "⚠️ REVISAR", "OK"))</f>
        <v/>
      </c>
    </row>
    <row r="143">
      <c r="A143" s="79">
        <f>IF('Ordenes_Odoo'!A143="","",'Ordenes_Odoo'!A143)</f>
        <v/>
      </c>
      <c r="B143" s="80">
        <f>IF('Ordenes_Odoo'!B143="","",'Ordenes_Odoo'!B143)</f>
        <v/>
      </c>
      <c r="C143" s="79">
        <f>IF('Ordenes_Odoo'!C143="","",'Ordenes_Odoo'!C143)</f>
        <v/>
      </c>
      <c r="D143" s="79">
        <f>IF('Ordenes_Odoo'!D143="","",'Ordenes_Odoo'!D143)</f>
        <v/>
      </c>
      <c r="E143" s="79">
        <f>IF('Ordenes_Odoo'!E143="","",'Ordenes_Odoo'!E143)</f>
        <v/>
      </c>
      <c r="F143" s="79">
        <f>IF('Ordenes_Odoo'!F143="","",'Ordenes_Odoo'!F143)</f>
        <v/>
      </c>
      <c r="G143" s="79">
        <f>IF('Ordenes_Odoo'!G143="","",'Ordenes_Odoo'!G143)</f>
        <v/>
      </c>
      <c r="H143" s="79">
        <f>IF('Ordenes_Odoo'!H143="","",'Ordenes_Odoo'!H143)</f>
        <v/>
      </c>
      <c r="I143" s="79">
        <f>IF('Ordenes_Odoo'!I143="","",'Ordenes_Odoo'!I143)</f>
        <v/>
      </c>
      <c r="J143" s="79">
        <f>IF('Ordenes_Odoo'!J143="","",'Ordenes_Odoo'!J143)</f>
        <v/>
      </c>
      <c r="K143" s="81">
        <f>IF('Ordenes_Odoo'!K143="","",'Ordenes_Odoo'!K143)</f>
        <v/>
      </c>
      <c r="L143" s="81">
        <f>IF('Ordenes_Odoo'!L143="","",'Ordenes_Odoo'!L143)</f>
        <v/>
      </c>
      <c r="M143" s="79">
        <f>IF('Ordenes_Odoo'!M143="","",'Ordenes_Odoo'!M143)</f>
        <v/>
      </c>
      <c r="N143" s="79">
        <f>IF('Ordenes_Odoo'!N143="","",'Ordenes_Odoo'!N143)</f>
        <v/>
      </c>
      <c r="O143" s="81">
        <f>IF('Ordenes_Odoo'!O143="","",'Ordenes_Odoo'!O143)</f>
        <v/>
      </c>
      <c r="P143" s="81">
        <f>IF('Ordenes_Odoo'!P143="","",'Ordenes_Odoo'!P143)</f>
        <v/>
      </c>
      <c r="Q143" s="79">
        <f>IF(A143="","",IFERROR(INDEX(Facturas_Odoo!$B:$B, MATCH(A143, Facturas_Odoo!$D:$D, 0)), "Sin Factura"))</f>
        <v/>
      </c>
      <c r="R143" s="80">
        <f>IF(Q143="Sin Factura","",IFERROR(INDEX(Facturas_Odoo!$A:$A, MATCH(Q143, Facturas_Odoo!$B:$B, 0)), ""))</f>
        <v/>
      </c>
      <c r="S143" s="79">
        <f>IF(Q143="Sin Factura","",IFERROR(_xlfn.XLOOKUP(1, (Facturas_Odoo!$D:$D=A143) * (Facturas_Odoo!$K:$K=I143), Facturas_Odoo!$L:$L, ""), ""))</f>
        <v/>
      </c>
      <c r="T143" s="81">
        <f>IF(Q143="Sin Factura",0,IFERROR(_xlfn.XLOOKUP(1, (Facturas_Odoo!$D:$D=A143) * (Facturas_Odoo!$K:$K=I143), Facturas_Odoo!$M:$M, 0), 0))</f>
        <v/>
      </c>
      <c r="U143" s="79">
        <f>IF(Q143="Sin Factura",0,IFERROR(_xlfn.XLOOKUP(1, (Facturas_Odoo!$D:$D=A143) * (Facturas_Odoo!$K:$K=I143), Facturas_Odoo!$N:$N, 0), 0))</f>
        <v/>
      </c>
      <c r="V143" s="79">
        <f>IF(Q143="Sin Factura",0,IFERROR(_xlfn.XLOOKUP(1, (Facturas_Odoo!$D:$D=A143) * (Facturas_Odoo!$K:$K=I143), Facturas_Odoo!$O:$O, 0), 0))</f>
        <v/>
      </c>
      <c r="W143" s="81">
        <f>IF(Q143="Sin Factura",0,IFERROR(_xlfn.XLOOKUP(1, (Facturas_Odoo!$D:$D=A143) * (Facturas_Odoo!$K:$K=I143), Facturas_Odoo!$Q:$Q, 0), 0))</f>
        <v/>
      </c>
      <c r="X143" s="79">
        <f>IF(OR(Q143="Sin Factura",Q143=""),"",IFERROR(INDEX(Pagos_Odoo!$B:$B, MATCH(Q143, Pagos_Odoo!$I:$I, 0)), "Sin Pago"))</f>
        <v/>
      </c>
      <c r="Y143" s="79">
        <f>IF(X143="Sin Pago","",IFERROR(INDEX(Pagos_Odoo!$C:$C, MATCH(X143, Pagos_Odoo!$B:$B, 0)), ""))</f>
        <v/>
      </c>
      <c r="Z143" s="80">
        <f>IF(X143="Sin Pago","",IFERROR(INDEX(Pagos_Odoo!$A:$A, MATCH(X143, Pagos_Odoo!$B:$B, 0)), ""))</f>
        <v/>
      </c>
      <c r="AA143" s="79">
        <f>IF(X143="Sin Pago","",IFERROR(INDEX(Pagos_Odoo!$F:$F, MATCH(X143, Pagos_Odoo!$B:$B, 0)), ""))</f>
        <v/>
      </c>
      <c r="AB143" s="81">
        <f>IF(X143="Sin Pago",0,IFERROR(INDEX(Pagos_Odoo!$E:$E, MATCH(X143, Pagos_Odoo!$B:$B, 0)), 0))</f>
        <v/>
      </c>
      <c r="AC143" s="79">
        <f>IF(X143="Sin Pago","",IFERROR(INDEX(Pagos_Odoo!$G:$G, MATCH(X143, Pagos_Odoo!$B:$B, 0)), ""))</f>
        <v/>
      </c>
      <c r="AD143" s="82" t="n">
        <v>0</v>
      </c>
      <c r="AE143" s="82" t="n"/>
      <c r="AF143" s="82" t="n"/>
      <c r="AG143" s="82">
        <f>IF(AN143="","",AD143+AE143+AF143)</f>
        <v/>
      </c>
      <c r="AH143" s="81">
        <f>IF(AN143="","",P143*(1-AG143))</f>
        <v/>
      </c>
      <c r="AI143" s="81">
        <f>IF(AN143="","",IF(Q143="Sin Factura",0,IFERROR(INDEX(Facturas_Odoo!$H:$H, MATCH(Q143, Facturas_Odoo!$B:$B, 0)), 0)*(1-AG143)))</f>
        <v/>
      </c>
      <c r="AJ143" s="81">
        <f>IF(AN143="","",_xlfn.LET(idVenta, AN143&amp;"",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3" s="81">
        <f>IF(AN143="","",AH143-AJ143)</f>
        <v/>
      </c>
      <c r="AL143" s="81">
        <f>IF(AN143="","",IF(Q143="Sin Factura","",AI143-AJ143))</f>
        <v/>
      </c>
      <c r="AM143" s="81">
        <f>IF(AN143="","",IF(Q143="Sin Factura",0,P143-IFERROR(INDEX(Facturas_Odoo!$H:$H, MATCH(Q143, Facturas_Odoo!$B:$B, 0)), 0)))</f>
        <v/>
      </c>
      <c r="AN143" s="79">
        <f>IF(AND(A143="", J143=""), "", IF(A143&lt;&gt;"", VALUE(MID(A143,2,LEN(A143))), AN142))</f>
        <v/>
      </c>
      <c r="AO143" s="79">
        <f>IF(AN143="","",IF(AD143=0,"OK",_xlfn.LET(monedaPago, IF(AA143="","USD",AA143), limitePermitido, IFERROR(VLOOKUP(monedaPago, Configuración!$A$2:$B$3, 2, FALSE), 0.15), IF(AD143&gt;limitePermitido, "ALERTA: EXCESO (" &amp; TEXT(limitePermitido, "0%") &amp; " máx)", "OK"))))</f>
        <v/>
      </c>
      <c r="AP143" s="79">
        <f>IF(AN143="","",IF(AE143=0,"OK",_xlfn.LET(fechaPago, Z143, fechaFactura, R143, diasCredito, IF(E143="Pago inmediato", 0, IFERROR(VALUE(MID(E143, 1, SEARCH(" ", E143)-1)),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3" s="79">
        <f>IF(AN143="","",IF(AND(N143&gt;0, AG143&gt;0), IF(Configuración!$K$2="NO", "ALERTA: DESCUENTO DOBLE NO PERMITIDO", "OK"), "OK"))</f>
        <v/>
      </c>
      <c r="AR143" s="79">
        <f>IF(AN143="","",IF(OR(AO143&lt;&gt;"OK", AP143&lt;&gt;"OK", AQ143&lt;&gt;"OK"), "⚠️ REVISAR", "OK"))</f>
        <v/>
      </c>
    </row>
    <row r="144">
      <c r="A144" s="79">
        <f>IF('Ordenes_Odoo'!A144="","",'Ordenes_Odoo'!A144)</f>
        <v/>
      </c>
      <c r="B144" s="80">
        <f>IF('Ordenes_Odoo'!B144="","",'Ordenes_Odoo'!B144)</f>
        <v/>
      </c>
      <c r="C144" s="79">
        <f>IF('Ordenes_Odoo'!C144="","",'Ordenes_Odoo'!C144)</f>
        <v/>
      </c>
      <c r="D144" s="79">
        <f>IF('Ordenes_Odoo'!D144="","",'Ordenes_Odoo'!D144)</f>
        <v/>
      </c>
      <c r="E144" s="79">
        <f>IF('Ordenes_Odoo'!E144="","",'Ordenes_Odoo'!E144)</f>
        <v/>
      </c>
      <c r="F144" s="79">
        <f>IF('Ordenes_Odoo'!F144="","",'Ordenes_Odoo'!F144)</f>
        <v/>
      </c>
      <c r="G144" s="79">
        <f>IF('Ordenes_Odoo'!G144="","",'Ordenes_Odoo'!G144)</f>
        <v/>
      </c>
      <c r="H144" s="79">
        <f>IF('Ordenes_Odoo'!H144="","",'Ordenes_Odoo'!H144)</f>
        <v/>
      </c>
      <c r="I144" s="79">
        <f>IF('Ordenes_Odoo'!I144="","",'Ordenes_Odoo'!I144)</f>
        <v/>
      </c>
      <c r="J144" s="79">
        <f>IF('Ordenes_Odoo'!J144="","",'Ordenes_Odoo'!J144)</f>
        <v/>
      </c>
      <c r="K144" s="81">
        <f>IF('Ordenes_Odoo'!K144="","",'Ordenes_Odoo'!K144)</f>
        <v/>
      </c>
      <c r="L144" s="81">
        <f>IF('Ordenes_Odoo'!L144="","",'Ordenes_Odoo'!L144)</f>
        <v/>
      </c>
      <c r="M144" s="79">
        <f>IF('Ordenes_Odoo'!M144="","",'Ordenes_Odoo'!M144)</f>
        <v/>
      </c>
      <c r="N144" s="79">
        <f>IF('Ordenes_Odoo'!N144="","",'Ordenes_Odoo'!N144)</f>
        <v/>
      </c>
      <c r="O144" s="81">
        <f>IF('Ordenes_Odoo'!O144="","",'Ordenes_Odoo'!O144)</f>
        <v/>
      </c>
      <c r="P144" s="81">
        <f>IF('Ordenes_Odoo'!P144="","",'Ordenes_Odoo'!P144)</f>
        <v/>
      </c>
      <c r="Q144" s="79">
        <f>IF(A144="","",IFERROR(INDEX(Facturas_Odoo!$B:$B, MATCH(A144, Facturas_Odoo!$D:$D, 0)), "Sin Factura"))</f>
        <v/>
      </c>
      <c r="R144" s="80">
        <f>IF(Q144="Sin Factura","",IFERROR(INDEX(Facturas_Odoo!$A:$A, MATCH(Q144, Facturas_Odoo!$B:$B, 0)), ""))</f>
        <v/>
      </c>
      <c r="S144" s="79">
        <f>IF(Q144="Sin Factura","",IFERROR(_xlfn.XLOOKUP(1, (Facturas_Odoo!$D:$D=A144) * (Facturas_Odoo!$K:$K=I144), Facturas_Odoo!$L:$L, ""), ""))</f>
        <v/>
      </c>
      <c r="T144" s="81">
        <f>IF(Q144="Sin Factura",0,IFERROR(_xlfn.XLOOKUP(1, (Facturas_Odoo!$D:$D=A144) * (Facturas_Odoo!$K:$K=I144), Facturas_Odoo!$M:$M, 0), 0))</f>
        <v/>
      </c>
      <c r="U144" s="79">
        <f>IF(Q144="Sin Factura",0,IFERROR(_xlfn.XLOOKUP(1, (Facturas_Odoo!$D:$D=A144) * (Facturas_Odoo!$K:$K=I144), Facturas_Odoo!$N:$N, 0), 0))</f>
        <v/>
      </c>
      <c r="V144" s="79">
        <f>IF(Q144="Sin Factura",0,IFERROR(_xlfn.XLOOKUP(1, (Facturas_Odoo!$D:$D=A144) * (Facturas_Odoo!$K:$K=I144), Facturas_Odoo!$O:$O, 0), 0))</f>
        <v/>
      </c>
      <c r="W144" s="81">
        <f>IF(Q144="Sin Factura",0,IFERROR(_xlfn.XLOOKUP(1, (Facturas_Odoo!$D:$D=A144) * (Facturas_Odoo!$K:$K=I144), Facturas_Odoo!$Q:$Q, 0), 0))</f>
        <v/>
      </c>
      <c r="X144" s="79">
        <f>IF(OR(Q144="Sin Factura",Q144=""),"",IFERROR(INDEX(Pagos_Odoo!$B:$B, MATCH(Q144, Pagos_Odoo!$I:$I, 0)), "Sin Pago"))</f>
        <v/>
      </c>
      <c r="Y144" s="79">
        <f>IF(X144="Sin Pago","",IFERROR(INDEX(Pagos_Odoo!$C:$C, MATCH(X144, Pagos_Odoo!$B:$B, 0)), ""))</f>
        <v/>
      </c>
      <c r="Z144" s="80">
        <f>IF(X144="Sin Pago","",IFERROR(INDEX(Pagos_Odoo!$A:$A, MATCH(X144, Pagos_Odoo!$B:$B, 0)), ""))</f>
        <v/>
      </c>
      <c r="AA144" s="79">
        <f>IF(X144="Sin Pago","",IFERROR(INDEX(Pagos_Odoo!$F:$F, MATCH(X144, Pagos_Odoo!$B:$B, 0)), ""))</f>
        <v/>
      </c>
      <c r="AB144" s="81">
        <f>IF(X144="Sin Pago",0,IFERROR(INDEX(Pagos_Odoo!$E:$E, MATCH(X144, Pagos_Odoo!$B:$B, 0)), 0))</f>
        <v/>
      </c>
      <c r="AC144" s="79">
        <f>IF(X144="Sin Pago","",IFERROR(INDEX(Pagos_Odoo!$G:$G, MATCH(X144, Pagos_Odoo!$B:$B, 0)), ""))</f>
        <v/>
      </c>
      <c r="AD144" s="82" t="n">
        <v>0</v>
      </c>
      <c r="AE144" s="82" t="n"/>
      <c r="AF144" s="82" t="n"/>
      <c r="AG144" s="82">
        <f>IF(AN144="","",AD144+AE144+AF144)</f>
        <v/>
      </c>
      <c r="AH144" s="81">
        <f>IF(AN144="","",P144*(1-AG144))</f>
        <v/>
      </c>
      <c r="AI144" s="81">
        <f>IF(AN144="","",IF(Q144="Sin Factura",0,IFERROR(INDEX(Facturas_Odoo!$H:$H, MATCH(Q144, Facturas_Odoo!$B:$B, 0)), 0)*(1-AG144)))</f>
        <v/>
      </c>
      <c r="AJ144" s="81">
        <f>IF(AN144="","",_xlfn.LET(idVenta, AN144&amp;"",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4" s="81">
        <f>IF(AN144="","",AH144-AJ144)</f>
        <v/>
      </c>
      <c r="AL144" s="81">
        <f>IF(AN144="","",IF(Q144="Sin Factura","",AI144-AJ144))</f>
        <v/>
      </c>
      <c r="AM144" s="81">
        <f>IF(AN144="","",IF(Q144="Sin Factura",0,P144-IFERROR(INDEX(Facturas_Odoo!$H:$H, MATCH(Q144, Facturas_Odoo!$B:$B, 0)), 0)))</f>
        <v/>
      </c>
      <c r="AN144" s="79">
        <f>IF(AND(A144="", J144=""), "", IF(A144&lt;&gt;"", VALUE(MID(A144,2,LEN(A144))), AN143))</f>
        <v/>
      </c>
      <c r="AO144" s="79">
        <f>IF(AN144="","",IF(AD144=0,"OK",_xlfn.LET(monedaPago, IF(AA144="","USD",AA144), limitePermitido, IFERROR(VLOOKUP(monedaPago, Configuración!$A$2:$B$3, 2, FALSE), 0.15), IF(AD144&gt;limitePermitido, "ALERTA: EXCESO (" &amp; TEXT(limitePermitido, "0%") &amp; " máx)", "OK"))))</f>
        <v/>
      </c>
      <c r="AP144" s="79">
        <f>IF(AN144="","",IF(AE144=0,"OK",_xlfn.LET(fechaPago, Z144, fechaFactura, R144, diasCredito, IF(E144="Pago inmediato", 0, IFERROR(VALUE(MID(E144, 1, SEARCH(" ", E144)-1)),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4" s="79">
        <f>IF(AN144="","",IF(AND(N144&gt;0, AG144&gt;0), IF(Configuración!$K$2="NO", "ALERTA: DESCUENTO DOBLE NO PERMITIDO", "OK"), "OK"))</f>
        <v/>
      </c>
      <c r="AR144" s="79">
        <f>IF(AN144="","",IF(OR(AO144&lt;&gt;"OK", AP144&lt;&gt;"OK", AQ144&lt;&gt;"OK"), "⚠️ REVISAR", "OK"))</f>
        <v/>
      </c>
    </row>
    <row r="145">
      <c r="A145" s="79">
        <f>IF('Ordenes_Odoo'!A145="","",'Ordenes_Odoo'!A145)</f>
        <v/>
      </c>
      <c r="B145" s="80">
        <f>IF('Ordenes_Odoo'!B145="","",'Ordenes_Odoo'!B145)</f>
        <v/>
      </c>
      <c r="C145" s="79">
        <f>IF('Ordenes_Odoo'!C145="","",'Ordenes_Odoo'!C145)</f>
        <v/>
      </c>
      <c r="D145" s="79">
        <f>IF('Ordenes_Odoo'!D145="","",'Ordenes_Odoo'!D145)</f>
        <v/>
      </c>
      <c r="E145" s="79">
        <f>IF('Ordenes_Odoo'!E145="","",'Ordenes_Odoo'!E145)</f>
        <v/>
      </c>
      <c r="F145" s="79">
        <f>IF('Ordenes_Odoo'!F145="","",'Ordenes_Odoo'!F145)</f>
        <v/>
      </c>
      <c r="G145" s="79">
        <f>IF('Ordenes_Odoo'!G145="","",'Ordenes_Odoo'!G145)</f>
        <v/>
      </c>
      <c r="H145" s="79">
        <f>IF('Ordenes_Odoo'!H145="","",'Ordenes_Odoo'!H145)</f>
        <v/>
      </c>
      <c r="I145" s="79">
        <f>IF('Ordenes_Odoo'!I145="","",'Ordenes_Odoo'!I145)</f>
        <v/>
      </c>
      <c r="J145" s="79">
        <f>IF('Ordenes_Odoo'!J145="","",'Ordenes_Odoo'!J145)</f>
        <v/>
      </c>
      <c r="K145" s="81">
        <f>IF('Ordenes_Odoo'!K145="","",'Ordenes_Odoo'!K145)</f>
        <v/>
      </c>
      <c r="L145" s="81">
        <f>IF('Ordenes_Odoo'!L145="","",'Ordenes_Odoo'!L145)</f>
        <v/>
      </c>
      <c r="M145" s="79">
        <f>IF('Ordenes_Odoo'!M145="","",'Ordenes_Odoo'!M145)</f>
        <v/>
      </c>
      <c r="N145" s="79">
        <f>IF('Ordenes_Odoo'!N145="","",'Ordenes_Odoo'!N145)</f>
        <v/>
      </c>
      <c r="O145" s="81">
        <f>IF('Ordenes_Odoo'!O145="","",'Ordenes_Odoo'!O145)</f>
        <v/>
      </c>
      <c r="P145" s="81">
        <f>IF('Ordenes_Odoo'!P145="","",'Ordenes_Odoo'!P145)</f>
        <v/>
      </c>
      <c r="Q145" s="79">
        <f>IF(A145="","",IFERROR(INDEX(Facturas_Odoo!$B:$B, MATCH(A145, Facturas_Odoo!$D:$D, 0)), "Sin Factura"))</f>
        <v/>
      </c>
      <c r="R145" s="80">
        <f>IF(Q145="Sin Factura","",IFERROR(INDEX(Facturas_Odoo!$A:$A, MATCH(Q145, Facturas_Odoo!$B:$B, 0)), ""))</f>
        <v/>
      </c>
      <c r="S145" s="79">
        <f>IF(Q145="Sin Factura","",IFERROR(_xlfn.XLOOKUP(1, (Facturas_Odoo!$D:$D=A145) * (Facturas_Odoo!$K:$K=I145), Facturas_Odoo!$L:$L, ""), ""))</f>
        <v/>
      </c>
      <c r="T145" s="81">
        <f>IF(Q145="Sin Factura",0,IFERROR(_xlfn.XLOOKUP(1, (Facturas_Odoo!$D:$D=A145) * (Facturas_Odoo!$K:$K=I145), Facturas_Odoo!$M:$M, 0), 0))</f>
        <v/>
      </c>
      <c r="U145" s="79">
        <f>IF(Q145="Sin Factura",0,IFERROR(_xlfn.XLOOKUP(1, (Facturas_Odoo!$D:$D=A145) * (Facturas_Odoo!$K:$K=I145), Facturas_Odoo!$N:$N, 0), 0))</f>
        <v/>
      </c>
      <c r="V145" s="79">
        <f>IF(Q145="Sin Factura",0,IFERROR(_xlfn.XLOOKUP(1, (Facturas_Odoo!$D:$D=A145) * (Facturas_Odoo!$K:$K=I145), Facturas_Odoo!$O:$O, 0), 0))</f>
        <v/>
      </c>
      <c r="W145" s="81">
        <f>IF(Q145="Sin Factura",0,IFERROR(_xlfn.XLOOKUP(1, (Facturas_Odoo!$D:$D=A145) * (Facturas_Odoo!$K:$K=I145), Facturas_Odoo!$Q:$Q, 0), 0))</f>
        <v/>
      </c>
      <c r="X145" s="79">
        <f>IF(OR(Q145="Sin Factura",Q145=""),"",IFERROR(INDEX(Pagos_Odoo!$B:$B, MATCH(Q145, Pagos_Odoo!$I:$I, 0)), "Sin Pago"))</f>
        <v/>
      </c>
      <c r="Y145" s="79">
        <f>IF(X145="Sin Pago","",IFERROR(INDEX(Pagos_Odoo!$C:$C, MATCH(X145, Pagos_Odoo!$B:$B, 0)), ""))</f>
        <v/>
      </c>
      <c r="Z145" s="80">
        <f>IF(X145="Sin Pago","",IFERROR(INDEX(Pagos_Odoo!$A:$A, MATCH(X145, Pagos_Odoo!$B:$B, 0)), ""))</f>
        <v/>
      </c>
      <c r="AA145" s="79">
        <f>IF(X145="Sin Pago","",IFERROR(INDEX(Pagos_Odoo!$F:$F, MATCH(X145, Pagos_Odoo!$B:$B, 0)), ""))</f>
        <v/>
      </c>
      <c r="AB145" s="81">
        <f>IF(X145="Sin Pago",0,IFERROR(INDEX(Pagos_Odoo!$E:$E, MATCH(X145, Pagos_Odoo!$B:$B, 0)), 0))</f>
        <v/>
      </c>
      <c r="AC145" s="79">
        <f>IF(X145="Sin Pago","",IFERROR(INDEX(Pagos_Odoo!$G:$G, MATCH(X145, Pagos_Odoo!$B:$B, 0)), ""))</f>
        <v/>
      </c>
      <c r="AD145" s="82" t="n">
        <v>0</v>
      </c>
      <c r="AE145" s="82" t="n"/>
      <c r="AF145" s="82" t="n"/>
      <c r="AG145" s="82">
        <f>IF(AN145="","",AD145+AE145+AF145)</f>
        <v/>
      </c>
      <c r="AH145" s="81">
        <f>IF(AN145="","",P145*(1-AG145))</f>
        <v/>
      </c>
      <c r="AI145" s="81">
        <f>IF(AN145="","",IF(Q145="Sin Factura",0,IFERROR(INDEX(Facturas_Odoo!$H:$H, MATCH(Q145, Facturas_Odoo!$B:$B, 0)), 0)*(1-AG145)))</f>
        <v/>
      </c>
      <c r="AJ145" s="81">
        <f>IF(AN145="","",_xlfn.LET(idVenta, AN145&amp;"",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5" s="81">
        <f>IF(AN145="","",AH145-AJ145)</f>
        <v/>
      </c>
      <c r="AL145" s="81">
        <f>IF(AN145="","",IF(Q145="Sin Factura","",AI145-AJ145))</f>
        <v/>
      </c>
      <c r="AM145" s="81">
        <f>IF(AN145="","",IF(Q145="Sin Factura",0,P145-IFERROR(INDEX(Facturas_Odoo!$H:$H, MATCH(Q145, Facturas_Odoo!$B:$B, 0)), 0)))</f>
        <v/>
      </c>
      <c r="AN145" s="79">
        <f>IF(AND(A145="", J145=""), "", IF(A145&lt;&gt;"", VALUE(MID(A145,2,LEN(A145))), AN144))</f>
        <v/>
      </c>
      <c r="AO145" s="79">
        <f>IF(AN145="","",IF(AD145=0,"OK",_xlfn.LET(monedaPago, IF(AA145="","USD",AA145), limitePermitido, IFERROR(VLOOKUP(monedaPago, Configuración!$A$2:$B$3, 2, FALSE), 0.15), IF(AD145&gt;limitePermitido, "ALERTA: EXCESO (" &amp; TEXT(limitePermitido, "0%") &amp; " máx)", "OK"))))</f>
        <v/>
      </c>
      <c r="AP145" s="79">
        <f>IF(AN145="","",IF(AE145=0,"OK",_xlfn.LET(fechaPago, Z145, fechaFactura, R145, diasCredito, IF(E145="Pago inmediato", 0, IFERROR(VALUE(MID(E145, 1, SEARCH(" ", E145)-1)),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5" s="79">
        <f>IF(AN145="","",IF(AND(N145&gt;0, AG145&gt;0), IF(Configuración!$K$2="NO", "ALERTA: DESCUENTO DOBLE NO PERMITIDO", "OK"), "OK"))</f>
        <v/>
      </c>
      <c r="AR145" s="79">
        <f>IF(AN145="","",IF(OR(AO145&lt;&gt;"OK", AP145&lt;&gt;"OK", AQ145&lt;&gt;"OK"), "⚠️ REVISAR", "OK"))</f>
        <v/>
      </c>
    </row>
    <row r="146">
      <c r="A146" s="79">
        <f>IF('Ordenes_Odoo'!A146="","",'Ordenes_Odoo'!A146)</f>
        <v/>
      </c>
      <c r="B146" s="80">
        <f>IF('Ordenes_Odoo'!B146="","",'Ordenes_Odoo'!B146)</f>
        <v/>
      </c>
      <c r="C146" s="79">
        <f>IF('Ordenes_Odoo'!C146="","",'Ordenes_Odoo'!C146)</f>
        <v/>
      </c>
      <c r="D146" s="79">
        <f>IF('Ordenes_Odoo'!D146="","",'Ordenes_Odoo'!D146)</f>
        <v/>
      </c>
      <c r="E146" s="79">
        <f>IF('Ordenes_Odoo'!E146="","",'Ordenes_Odoo'!E146)</f>
        <v/>
      </c>
      <c r="F146" s="79">
        <f>IF('Ordenes_Odoo'!F146="","",'Ordenes_Odoo'!F146)</f>
        <v/>
      </c>
      <c r="G146" s="79">
        <f>IF('Ordenes_Odoo'!G146="","",'Ordenes_Odoo'!G146)</f>
        <v/>
      </c>
      <c r="H146" s="79">
        <f>IF('Ordenes_Odoo'!H146="","",'Ordenes_Odoo'!H146)</f>
        <v/>
      </c>
      <c r="I146" s="79">
        <f>IF('Ordenes_Odoo'!I146="","",'Ordenes_Odoo'!I146)</f>
        <v/>
      </c>
      <c r="J146" s="79">
        <f>IF('Ordenes_Odoo'!J146="","",'Ordenes_Odoo'!J146)</f>
        <v/>
      </c>
      <c r="K146" s="81">
        <f>IF('Ordenes_Odoo'!K146="","",'Ordenes_Odoo'!K146)</f>
        <v/>
      </c>
      <c r="L146" s="81">
        <f>IF('Ordenes_Odoo'!L146="","",'Ordenes_Odoo'!L146)</f>
        <v/>
      </c>
      <c r="M146" s="79">
        <f>IF('Ordenes_Odoo'!M146="","",'Ordenes_Odoo'!M146)</f>
        <v/>
      </c>
      <c r="N146" s="79">
        <f>IF('Ordenes_Odoo'!N146="","",'Ordenes_Odoo'!N146)</f>
        <v/>
      </c>
      <c r="O146" s="81">
        <f>IF('Ordenes_Odoo'!O146="","",'Ordenes_Odoo'!O146)</f>
        <v/>
      </c>
      <c r="P146" s="81">
        <f>IF('Ordenes_Odoo'!P146="","",'Ordenes_Odoo'!P146)</f>
        <v/>
      </c>
      <c r="Q146" s="79">
        <f>IF(A146="","",IFERROR(INDEX(Facturas_Odoo!$B:$B, MATCH(A146, Facturas_Odoo!$D:$D, 0)), "Sin Factura"))</f>
        <v/>
      </c>
      <c r="R146" s="80">
        <f>IF(Q146="Sin Factura","",IFERROR(INDEX(Facturas_Odoo!$A:$A, MATCH(Q146, Facturas_Odoo!$B:$B, 0)), ""))</f>
        <v/>
      </c>
      <c r="S146" s="79">
        <f>IF(Q146="Sin Factura","",IFERROR(_xlfn.XLOOKUP(1, (Facturas_Odoo!$D:$D=A146) * (Facturas_Odoo!$K:$K=I146), Facturas_Odoo!$L:$L, ""), ""))</f>
        <v/>
      </c>
      <c r="T146" s="81">
        <f>IF(Q146="Sin Factura",0,IFERROR(_xlfn.XLOOKUP(1, (Facturas_Odoo!$D:$D=A146) * (Facturas_Odoo!$K:$K=I146), Facturas_Odoo!$M:$M, 0), 0))</f>
        <v/>
      </c>
      <c r="U146" s="79">
        <f>IF(Q146="Sin Factura",0,IFERROR(_xlfn.XLOOKUP(1, (Facturas_Odoo!$D:$D=A146) * (Facturas_Odoo!$K:$K=I146), Facturas_Odoo!$N:$N, 0), 0))</f>
        <v/>
      </c>
      <c r="V146" s="79">
        <f>IF(Q146="Sin Factura",0,IFERROR(_xlfn.XLOOKUP(1, (Facturas_Odoo!$D:$D=A146) * (Facturas_Odoo!$K:$K=I146), Facturas_Odoo!$O:$O, 0), 0))</f>
        <v/>
      </c>
      <c r="W146" s="81">
        <f>IF(Q146="Sin Factura",0,IFERROR(_xlfn.XLOOKUP(1, (Facturas_Odoo!$D:$D=A146) * (Facturas_Odoo!$K:$K=I146), Facturas_Odoo!$Q:$Q, 0), 0))</f>
        <v/>
      </c>
      <c r="X146" s="79">
        <f>IF(OR(Q146="Sin Factura",Q146=""),"",IFERROR(INDEX(Pagos_Odoo!$B:$B, MATCH(Q146, Pagos_Odoo!$I:$I, 0)), "Sin Pago"))</f>
        <v/>
      </c>
      <c r="Y146" s="79">
        <f>IF(X146="Sin Pago","",IFERROR(INDEX(Pagos_Odoo!$C:$C, MATCH(X146, Pagos_Odoo!$B:$B, 0)), ""))</f>
        <v/>
      </c>
      <c r="Z146" s="80">
        <f>IF(X146="Sin Pago","",IFERROR(INDEX(Pagos_Odoo!$A:$A, MATCH(X146, Pagos_Odoo!$B:$B, 0)), ""))</f>
        <v/>
      </c>
      <c r="AA146" s="79">
        <f>IF(X146="Sin Pago","",IFERROR(INDEX(Pagos_Odoo!$F:$F, MATCH(X146, Pagos_Odoo!$B:$B, 0)), ""))</f>
        <v/>
      </c>
      <c r="AB146" s="81">
        <f>IF(X146="Sin Pago",0,IFERROR(INDEX(Pagos_Odoo!$E:$E, MATCH(X146, Pagos_Odoo!$B:$B, 0)), 0))</f>
        <v/>
      </c>
      <c r="AC146" s="79">
        <f>IF(X146="Sin Pago","",IFERROR(INDEX(Pagos_Odoo!$G:$G, MATCH(X146, Pagos_Odoo!$B:$B, 0)), ""))</f>
        <v/>
      </c>
      <c r="AD146" s="82" t="n">
        <v>0</v>
      </c>
      <c r="AE146" s="82" t="n"/>
      <c r="AF146" s="82" t="n"/>
      <c r="AG146" s="82">
        <f>IF(AN146="","",AD146+AE146+AF146)</f>
        <v/>
      </c>
      <c r="AH146" s="81">
        <f>IF(AN146="","",P146*(1-AG146))</f>
        <v/>
      </c>
      <c r="AI146" s="81">
        <f>IF(AN146="","",IF(Q146="Sin Factura",0,IFERROR(INDEX(Facturas_Odoo!$H:$H, MATCH(Q146, Facturas_Odoo!$B:$B, 0)), 0)*(1-AG146)))</f>
        <v/>
      </c>
      <c r="AJ146" s="81">
        <f>IF(AN146="","",_xlfn.LET(idVenta, AN146&amp;"",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6" s="81">
        <f>IF(AN146="","",AH146-AJ146)</f>
        <v/>
      </c>
      <c r="AL146" s="81">
        <f>IF(AN146="","",IF(Q146="Sin Factura","",AI146-AJ146))</f>
        <v/>
      </c>
      <c r="AM146" s="81">
        <f>IF(AN146="","",IF(Q146="Sin Factura",0,P146-IFERROR(INDEX(Facturas_Odoo!$H:$H, MATCH(Q146, Facturas_Odoo!$B:$B, 0)), 0)))</f>
        <v/>
      </c>
      <c r="AN146" s="79">
        <f>IF(AND(A146="", J146=""), "", IF(A146&lt;&gt;"", VALUE(MID(A146,2,LEN(A146))), AN145))</f>
        <v/>
      </c>
      <c r="AO146" s="79">
        <f>IF(AN146="","",IF(AD146=0,"OK",_xlfn.LET(monedaPago, IF(AA146="","USD",AA146), limitePermitido, IFERROR(VLOOKUP(monedaPago, Configuración!$A$2:$B$3, 2, FALSE), 0.15), IF(AD146&gt;limitePermitido, "ALERTA: EXCESO (" &amp; TEXT(limitePermitido, "0%") &amp; " máx)", "OK"))))</f>
        <v/>
      </c>
      <c r="AP146" s="79">
        <f>IF(AN146="","",IF(AE146=0,"OK",_xlfn.LET(fechaPago, Z146, fechaFactura, R146, diasCredito, IF(E146="Pago inmediato", 0, IFERROR(VALUE(MID(E146, 1, SEARCH(" ", E146)-1)),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6" s="79">
        <f>IF(AN146="","",IF(AND(N146&gt;0, AG146&gt;0), IF(Configuración!$K$2="NO", "ALERTA: DESCUENTO DOBLE NO PERMITIDO", "OK"), "OK"))</f>
        <v/>
      </c>
      <c r="AR146" s="79">
        <f>IF(AN146="","",IF(OR(AO146&lt;&gt;"OK", AP146&lt;&gt;"OK", AQ146&lt;&gt;"OK"), "⚠️ REVISAR", "OK"))</f>
        <v/>
      </c>
    </row>
    <row r="147">
      <c r="A147" s="79">
        <f>IF('Ordenes_Odoo'!A147="","",'Ordenes_Odoo'!A147)</f>
        <v/>
      </c>
      <c r="B147" s="80">
        <f>IF('Ordenes_Odoo'!B147="","",'Ordenes_Odoo'!B147)</f>
        <v/>
      </c>
      <c r="C147" s="79">
        <f>IF('Ordenes_Odoo'!C147="","",'Ordenes_Odoo'!C147)</f>
        <v/>
      </c>
      <c r="D147" s="79">
        <f>IF('Ordenes_Odoo'!D147="","",'Ordenes_Odoo'!D147)</f>
        <v/>
      </c>
      <c r="E147" s="79">
        <f>IF('Ordenes_Odoo'!E147="","",'Ordenes_Odoo'!E147)</f>
        <v/>
      </c>
      <c r="F147" s="79">
        <f>IF('Ordenes_Odoo'!F147="","",'Ordenes_Odoo'!F147)</f>
        <v/>
      </c>
      <c r="G147" s="79">
        <f>IF('Ordenes_Odoo'!G147="","",'Ordenes_Odoo'!G147)</f>
        <v/>
      </c>
      <c r="H147" s="79">
        <f>IF('Ordenes_Odoo'!H147="","",'Ordenes_Odoo'!H147)</f>
        <v/>
      </c>
      <c r="I147" s="79">
        <f>IF('Ordenes_Odoo'!I147="","",'Ordenes_Odoo'!I147)</f>
        <v/>
      </c>
      <c r="J147" s="79">
        <f>IF('Ordenes_Odoo'!J147="","",'Ordenes_Odoo'!J147)</f>
        <v/>
      </c>
      <c r="K147" s="81">
        <f>IF('Ordenes_Odoo'!K147="","",'Ordenes_Odoo'!K147)</f>
        <v/>
      </c>
      <c r="L147" s="81">
        <f>IF('Ordenes_Odoo'!L147="","",'Ordenes_Odoo'!L147)</f>
        <v/>
      </c>
      <c r="M147" s="79">
        <f>IF('Ordenes_Odoo'!M147="","",'Ordenes_Odoo'!M147)</f>
        <v/>
      </c>
      <c r="N147" s="79">
        <f>IF('Ordenes_Odoo'!N147="","",'Ordenes_Odoo'!N147)</f>
        <v/>
      </c>
      <c r="O147" s="81">
        <f>IF('Ordenes_Odoo'!O147="","",'Ordenes_Odoo'!O147)</f>
        <v/>
      </c>
      <c r="P147" s="81">
        <f>IF('Ordenes_Odoo'!P147="","",'Ordenes_Odoo'!P147)</f>
        <v/>
      </c>
      <c r="Q147" s="79">
        <f>IF(A147="","",IFERROR(INDEX(Facturas_Odoo!$B:$B, MATCH(A147, Facturas_Odoo!$D:$D, 0)), "Sin Factura"))</f>
        <v/>
      </c>
      <c r="R147" s="80">
        <f>IF(Q147="Sin Factura","",IFERROR(INDEX(Facturas_Odoo!$A:$A, MATCH(Q147, Facturas_Odoo!$B:$B, 0)), ""))</f>
        <v/>
      </c>
      <c r="S147" s="79">
        <f>IF(Q147="Sin Factura","",IFERROR(_xlfn.XLOOKUP(1, (Facturas_Odoo!$D:$D=A147) * (Facturas_Odoo!$K:$K=I147), Facturas_Odoo!$L:$L, ""), ""))</f>
        <v/>
      </c>
      <c r="T147" s="81">
        <f>IF(Q147="Sin Factura",0,IFERROR(_xlfn.XLOOKUP(1, (Facturas_Odoo!$D:$D=A147) * (Facturas_Odoo!$K:$K=I147), Facturas_Odoo!$M:$M, 0), 0))</f>
        <v/>
      </c>
      <c r="U147" s="79">
        <f>IF(Q147="Sin Factura",0,IFERROR(_xlfn.XLOOKUP(1, (Facturas_Odoo!$D:$D=A147) * (Facturas_Odoo!$K:$K=I147), Facturas_Odoo!$N:$N, 0), 0))</f>
        <v/>
      </c>
      <c r="V147" s="79">
        <f>IF(Q147="Sin Factura",0,IFERROR(_xlfn.XLOOKUP(1, (Facturas_Odoo!$D:$D=A147) * (Facturas_Odoo!$K:$K=I147), Facturas_Odoo!$O:$O, 0), 0))</f>
        <v/>
      </c>
      <c r="W147" s="81">
        <f>IF(Q147="Sin Factura",0,IFERROR(_xlfn.XLOOKUP(1, (Facturas_Odoo!$D:$D=A147) * (Facturas_Odoo!$K:$K=I147), Facturas_Odoo!$Q:$Q, 0), 0))</f>
        <v/>
      </c>
      <c r="X147" s="79">
        <f>IF(OR(Q147="Sin Factura",Q147=""),"",IFERROR(INDEX(Pagos_Odoo!$B:$B, MATCH(Q147, Pagos_Odoo!$I:$I, 0)), "Sin Pago"))</f>
        <v/>
      </c>
      <c r="Y147" s="79">
        <f>IF(X147="Sin Pago","",IFERROR(INDEX(Pagos_Odoo!$C:$C, MATCH(X147, Pagos_Odoo!$B:$B, 0)), ""))</f>
        <v/>
      </c>
      <c r="Z147" s="80">
        <f>IF(X147="Sin Pago","",IFERROR(INDEX(Pagos_Odoo!$A:$A, MATCH(X147, Pagos_Odoo!$B:$B, 0)), ""))</f>
        <v/>
      </c>
      <c r="AA147" s="79">
        <f>IF(X147="Sin Pago","",IFERROR(INDEX(Pagos_Odoo!$F:$F, MATCH(X147, Pagos_Odoo!$B:$B, 0)), ""))</f>
        <v/>
      </c>
      <c r="AB147" s="81">
        <f>IF(X147="Sin Pago",0,IFERROR(INDEX(Pagos_Odoo!$E:$E, MATCH(X147, Pagos_Odoo!$B:$B, 0)), 0))</f>
        <v/>
      </c>
      <c r="AC147" s="79">
        <f>IF(X147="Sin Pago","",IFERROR(INDEX(Pagos_Odoo!$G:$G, MATCH(X147, Pagos_Odoo!$B:$B, 0)), ""))</f>
        <v/>
      </c>
      <c r="AD147" s="82" t="n">
        <v>0</v>
      </c>
      <c r="AE147" s="82" t="n"/>
      <c r="AF147" s="82" t="n"/>
      <c r="AG147" s="82">
        <f>IF(AN147="","",AD147+AE147+AF147)</f>
        <v/>
      </c>
      <c r="AH147" s="81">
        <f>IF(AN147="","",P147*(1-AG147))</f>
        <v/>
      </c>
      <c r="AI147" s="81">
        <f>IF(AN147="","",IF(Q147="Sin Factura",0,IFERROR(INDEX(Facturas_Odoo!$H:$H, MATCH(Q147, Facturas_Odoo!$B:$B, 0)), 0)*(1-AG147)))</f>
        <v/>
      </c>
      <c r="AJ147" s="81">
        <f>IF(AN147="","",_xlfn.LET(idVenta, AN147&amp;"",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7" s="81">
        <f>IF(AN147="","",AH147-AJ147)</f>
        <v/>
      </c>
      <c r="AL147" s="81">
        <f>IF(AN147="","",IF(Q147="Sin Factura","",AI147-AJ147))</f>
        <v/>
      </c>
      <c r="AM147" s="81">
        <f>IF(AN147="","",IF(Q147="Sin Factura",0,P147-IFERROR(INDEX(Facturas_Odoo!$H:$H, MATCH(Q147, Facturas_Odoo!$B:$B, 0)), 0)))</f>
        <v/>
      </c>
      <c r="AN147" s="79">
        <f>IF(AND(A147="", J147=""), "", IF(A147&lt;&gt;"", VALUE(MID(A147,2,LEN(A147))), AN146))</f>
        <v/>
      </c>
      <c r="AO147" s="79">
        <f>IF(AN147="","",IF(AD147=0,"OK",_xlfn.LET(monedaPago, IF(AA147="","USD",AA147), limitePermitido, IFERROR(VLOOKUP(monedaPago, Configuración!$A$2:$B$3, 2, FALSE), 0.15), IF(AD147&gt;limitePermitido, "ALERTA: EXCESO (" &amp; TEXT(limitePermitido, "0%") &amp; " máx)", "OK"))))</f>
        <v/>
      </c>
      <c r="AP147" s="79">
        <f>IF(AN147="","",IF(AE147=0,"OK",_xlfn.LET(fechaPago, Z147, fechaFactura, R147, diasCredito, IF(E147="Pago inmediato", 0, IFERROR(VALUE(MID(E147, 1, SEARCH(" ", E147)-1)),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7" s="79">
        <f>IF(AN147="","",IF(AND(N147&gt;0, AG147&gt;0), IF(Configuración!$K$2="NO", "ALERTA: DESCUENTO DOBLE NO PERMITIDO", "OK"), "OK"))</f>
        <v/>
      </c>
      <c r="AR147" s="79">
        <f>IF(AN147="","",IF(OR(AO147&lt;&gt;"OK", AP147&lt;&gt;"OK", AQ147&lt;&gt;"OK"), "⚠️ REVISAR", "OK"))</f>
        <v/>
      </c>
    </row>
    <row r="148">
      <c r="A148" s="79">
        <f>IF('Ordenes_Odoo'!A148="","",'Ordenes_Odoo'!A148)</f>
        <v/>
      </c>
      <c r="B148" s="80">
        <f>IF('Ordenes_Odoo'!B148="","",'Ordenes_Odoo'!B148)</f>
        <v/>
      </c>
      <c r="C148" s="79">
        <f>IF('Ordenes_Odoo'!C148="","",'Ordenes_Odoo'!C148)</f>
        <v/>
      </c>
      <c r="D148" s="79">
        <f>IF('Ordenes_Odoo'!D148="","",'Ordenes_Odoo'!D148)</f>
        <v/>
      </c>
      <c r="E148" s="79">
        <f>IF('Ordenes_Odoo'!E148="","",'Ordenes_Odoo'!E148)</f>
        <v/>
      </c>
      <c r="F148" s="79">
        <f>IF('Ordenes_Odoo'!F148="","",'Ordenes_Odoo'!F148)</f>
        <v/>
      </c>
      <c r="G148" s="79">
        <f>IF('Ordenes_Odoo'!G148="","",'Ordenes_Odoo'!G148)</f>
        <v/>
      </c>
      <c r="H148" s="79">
        <f>IF('Ordenes_Odoo'!H148="","",'Ordenes_Odoo'!H148)</f>
        <v/>
      </c>
      <c r="I148" s="79">
        <f>IF('Ordenes_Odoo'!I148="","",'Ordenes_Odoo'!I148)</f>
        <v/>
      </c>
      <c r="J148" s="79">
        <f>IF('Ordenes_Odoo'!J148="","",'Ordenes_Odoo'!J148)</f>
        <v/>
      </c>
      <c r="K148" s="81">
        <f>IF('Ordenes_Odoo'!K148="","",'Ordenes_Odoo'!K148)</f>
        <v/>
      </c>
      <c r="L148" s="81">
        <f>IF('Ordenes_Odoo'!L148="","",'Ordenes_Odoo'!L148)</f>
        <v/>
      </c>
      <c r="M148" s="79">
        <f>IF('Ordenes_Odoo'!M148="","",'Ordenes_Odoo'!M148)</f>
        <v/>
      </c>
      <c r="N148" s="79">
        <f>IF('Ordenes_Odoo'!N148="","",'Ordenes_Odoo'!N148)</f>
        <v/>
      </c>
      <c r="O148" s="81">
        <f>IF('Ordenes_Odoo'!O148="","",'Ordenes_Odoo'!O148)</f>
        <v/>
      </c>
      <c r="P148" s="81">
        <f>IF('Ordenes_Odoo'!P148="","",'Ordenes_Odoo'!P148)</f>
        <v/>
      </c>
      <c r="Q148" s="79">
        <f>IF(A148="","",IFERROR(INDEX(Facturas_Odoo!$B:$B, MATCH(A148, Facturas_Odoo!$D:$D, 0)), "Sin Factura"))</f>
        <v/>
      </c>
      <c r="R148" s="80">
        <f>IF(Q148="Sin Factura","",IFERROR(INDEX(Facturas_Odoo!$A:$A, MATCH(Q148, Facturas_Odoo!$B:$B, 0)), ""))</f>
        <v/>
      </c>
      <c r="S148" s="79">
        <f>IF(Q148="Sin Factura","",IFERROR(_xlfn.XLOOKUP(1, (Facturas_Odoo!$D:$D=A148) * (Facturas_Odoo!$K:$K=I148), Facturas_Odoo!$L:$L, ""), ""))</f>
        <v/>
      </c>
      <c r="T148" s="81">
        <f>IF(Q148="Sin Factura",0,IFERROR(_xlfn.XLOOKUP(1, (Facturas_Odoo!$D:$D=A148) * (Facturas_Odoo!$K:$K=I148), Facturas_Odoo!$M:$M, 0), 0))</f>
        <v/>
      </c>
      <c r="U148" s="79">
        <f>IF(Q148="Sin Factura",0,IFERROR(_xlfn.XLOOKUP(1, (Facturas_Odoo!$D:$D=A148) * (Facturas_Odoo!$K:$K=I148), Facturas_Odoo!$N:$N, 0), 0))</f>
        <v/>
      </c>
      <c r="V148" s="79">
        <f>IF(Q148="Sin Factura",0,IFERROR(_xlfn.XLOOKUP(1, (Facturas_Odoo!$D:$D=A148) * (Facturas_Odoo!$K:$K=I148), Facturas_Odoo!$O:$O, 0), 0))</f>
        <v/>
      </c>
      <c r="W148" s="81">
        <f>IF(Q148="Sin Factura",0,IFERROR(_xlfn.XLOOKUP(1, (Facturas_Odoo!$D:$D=A148) * (Facturas_Odoo!$K:$K=I148), Facturas_Odoo!$Q:$Q, 0), 0))</f>
        <v/>
      </c>
      <c r="X148" s="79">
        <f>IF(OR(Q148="Sin Factura",Q148=""),"",IFERROR(INDEX(Pagos_Odoo!$B:$B, MATCH(Q148, Pagos_Odoo!$I:$I, 0)), "Sin Pago"))</f>
        <v/>
      </c>
      <c r="Y148" s="79">
        <f>IF(X148="Sin Pago","",IFERROR(INDEX(Pagos_Odoo!$C:$C, MATCH(X148, Pagos_Odoo!$B:$B, 0)), ""))</f>
        <v/>
      </c>
      <c r="Z148" s="80">
        <f>IF(X148="Sin Pago","",IFERROR(INDEX(Pagos_Odoo!$A:$A, MATCH(X148, Pagos_Odoo!$B:$B, 0)), ""))</f>
        <v/>
      </c>
      <c r="AA148" s="79">
        <f>IF(X148="Sin Pago","",IFERROR(INDEX(Pagos_Odoo!$F:$F, MATCH(X148, Pagos_Odoo!$B:$B, 0)), ""))</f>
        <v/>
      </c>
      <c r="AB148" s="81">
        <f>IF(X148="Sin Pago",0,IFERROR(INDEX(Pagos_Odoo!$E:$E, MATCH(X148, Pagos_Odoo!$B:$B, 0)), 0))</f>
        <v/>
      </c>
      <c r="AC148" s="79">
        <f>IF(X148="Sin Pago","",IFERROR(INDEX(Pagos_Odoo!$G:$G, MATCH(X148, Pagos_Odoo!$B:$B, 0)), ""))</f>
        <v/>
      </c>
      <c r="AD148" s="82" t="n">
        <v>0</v>
      </c>
      <c r="AE148" s="82" t="n"/>
      <c r="AF148" s="82" t="n"/>
      <c r="AG148" s="82">
        <f>IF(AN148="","",AD148+AE148+AF148)</f>
        <v/>
      </c>
      <c r="AH148" s="81">
        <f>IF(AN148="","",P148*(1-AG148))</f>
        <v/>
      </c>
      <c r="AI148" s="81">
        <f>IF(AN148="","",IF(Q148="Sin Factura",0,IFERROR(INDEX(Facturas_Odoo!$H:$H, MATCH(Q148, Facturas_Odoo!$B:$B, 0)), 0)*(1-AG148)))</f>
        <v/>
      </c>
      <c r="AJ148" s="81">
        <f>IF(AN148="","",_xlfn.LET(idVenta, AN148&amp;"",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8" s="81">
        <f>IF(AN148="","",AH148-AJ148)</f>
        <v/>
      </c>
      <c r="AL148" s="81">
        <f>IF(AN148="","",IF(Q148="Sin Factura","",AI148-AJ148))</f>
        <v/>
      </c>
      <c r="AM148" s="81">
        <f>IF(AN148="","",IF(Q148="Sin Factura",0,P148-IFERROR(INDEX(Facturas_Odoo!$H:$H, MATCH(Q148, Facturas_Odoo!$B:$B, 0)), 0)))</f>
        <v/>
      </c>
      <c r="AN148" s="79">
        <f>IF(AND(A148="", J148=""), "", IF(A148&lt;&gt;"", VALUE(MID(A148,2,LEN(A148))), AN147))</f>
        <v/>
      </c>
      <c r="AO148" s="79">
        <f>IF(AN148="","",IF(AD148=0,"OK",_xlfn.LET(monedaPago, IF(AA148="","USD",AA148), limitePermitido, IFERROR(VLOOKUP(monedaPago, Configuración!$A$2:$B$3, 2, FALSE), 0.15), IF(AD148&gt;limitePermitido, "ALERTA: EXCESO (" &amp; TEXT(limitePermitido, "0%") &amp; " máx)", "OK"))))</f>
        <v/>
      </c>
      <c r="AP148" s="79">
        <f>IF(AN148="","",IF(AE148=0,"OK",_xlfn.LET(fechaPago, Z148, fechaFactura, R148, diasCredito, IF(E148="Pago inmediato", 0, IFERROR(VALUE(MID(E148, 1, SEARCH(" ", E148)-1)),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8" s="79">
        <f>IF(AN148="","",IF(AND(N148&gt;0, AG148&gt;0), IF(Configuración!$K$2="NO", "ALERTA: DESCUENTO DOBLE NO PERMITIDO", "OK"), "OK"))</f>
        <v/>
      </c>
      <c r="AR148" s="79">
        <f>IF(AN148="","",IF(OR(AO148&lt;&gt;"OK", AP148&lt;&gt;"OK", AQ148&lt;&gt;"OK"), "⚠️ REVISAR", "OK"))</f>
        <v/>
      </c>
    </row>
    <row r="149">
      <c r="A149" s="79">
        <f>IF('Ordenes_Odoo'!A149="","",'Ordenes_Odoo'!A149)</f>
        <v/>
      </c>
      <c r="B149" s="80">
        <f>IF('Ordenes_Odoo'!B149="","",'Ordenes_Odoo'!B149)</f>
        <v/>
      </c>
      <c r="C149" s="79">
        <f>IF('Ordenes_Odoo'!C149="","",'Ordenes_Odoo'!C149)</f>
        <v/>
      </c>
      <c r="D149" s="79">
        <f>IF('Ordenes_Odoo'!D149="","",'Ordenes_Odoo'!D149)</f>
        <v/>
      </c>
      <c r="E149" s="79">
        <f>IF('Ordenes_Odoo'!E149="","",'Ordenes_Odoo'!E149)</f>
        <v/>
      </c>
      <c r="F149" s="79">
        <f>IF('Ordenes_Odoo'!F149="","",'Ordenes_Odoo'!F149)</f>
        <v/>
      </c>
      <c r="G149" s="79">
        <f>IF('Ordenes_Odoo'!G149="","",'Ordenes_Odoo'!G149)</f>
        <v/>
      </c>
      <c r="H149" s="79">
        <f>IF('Ordenes_Odoo'!H149="","",'Ordenes_Odoo'!H149)</f>
        <v/>
      </c>
      <c r="I149" s="79">
        <f>IF('Ordenes_Odoo'!I149="","",'Ordenes_Odoo'!I149)</f>
        <v/>
      </c>
      <c r="J149" s="79">
        <f>IF('Ordenes_Odoo'!J149="","",'Ordenes_Odoo'!J149)</f>
        <v/>
      </c>
      <c r="K149" s="81">
        <f>IF('Ordenes_Odoo'!K149="","",'Ordenes_Odoo'!K149)</f>
        <v/>
      </c>
      <c r="L149" s="81">
        <f>IF('Ordenes_Odoo'!L149="","",'Ordenes_Odoo'!L149)</f>
        <v/>
      </c>
      <c r="M149" s="79">
        <f>IF('Ordenes_Odoo'!M149="","",'Ordenes_Odoo'!M149)</f>
        <v/>
      </c>
      <c r="N149" s="79">
        <f>IF('Ordenes_Odoo'!N149="","",'Ordenes_Odoo'!N149)</f>
        <v/>
      </c>
      <c r="O149" s="81">
        <f>IF('Ordenes_Odoo'!O149="","",'Ordenes_Odoo'!O149)</f>
        <v/>
      </c>
      <c r="P149" s="81">
        <f>IF('Ordenes_Odoo'!P149="","",'Ordenes_Odoo'!P149)</f>
        <v/>
      </c>
      <c r="Q149" s="79">
        <f>IF(A149="","",IFERROR(INDEX(Facturas_Odoo!$B:$B, MATCH(A149, Facturas_Odoo!$D:$D, 0)), "Sin Factura"))</f>
        <v/>
      </c>
      <c r="R149" s="80">
        <f>IF(Q149="Sin Factura","",IFERROR(INDEX(Facturas_Odoo!$A:$A, MATCH(Q149, Facturas_Odoo!$B:$B, 0)), ""))</f>
        <v/>
      </c>
      <c r="S149" s="79">
        <f>IF(Q149="Sin Factura","",IFERROR(_xlfn.XLOOKUP(1, (Facturas_Odoo!$D:$D=A149) * (Facturas_Odoo!$K:$K=I149), Facturas_Odoo!$L:$L, ""), ""))</f>
        <v/>
      </c>
      <c r="T149" s="81">
        <f>IF(Q149="Sin Factura",0,IFERROR(_xlfn.XLOOKUP(1, (Facturas_Odoo!$D:$D=A149) * (Facturas_Odoo!$K:$K=I149), Facturas_Odoo!$M:$M, 0), 0))</f>
        <v/>
      </c>
      <c r="U149" s="79">
        <f>IF(Q149="Sin Factura",0,IFERROR(_xlfn.XLOOKUP(1, (Facturas_Odoo!$D:$D=A149) * (Facturas_Odoo!$K:$K=I149), Facturas_Odoo!$N:$N, 0), 0))</f>
        <v/>
      </c>
      <c r="V149" s="79">
        <f>IF(Q149="Sin Factura",0,IFERROR(_xlfn.XLOOKUP(1, (Facturas_Odoo!$D:$D=A149) * (Facturas_Odoo!$K:$K=I149), Facturas_Odoo!$O:$O, 0), 0))</f>
        <v/>
      </c>
      <c r="W149" s="81">
        <f>IF(Q149="Sin Factura",0,IFERROR(_xlfn.XLOOKUP(1, (Facturas_Odoo!$D:$D=A149) * (Facturas_Odoo!$K:$K=I149), Facturas_Odoo!$Q:$Q, 0), 0))</f>
        <v/>
      </c>
      <c r="X149" s="79">
        <f>IF(OR(Q149="Sin Factura",Q149=""),"",IFERROR(INDEX(Pagos_Odoo!$B:$B, MATCH(Q149, Pagos_Odoo!$I:$I, 0)), "Sin Pago"))</f>
        <v/>
      </c>
      <c r="Y149" s="79">
        <f>IF(X149="Sin Pago","",IFERROR(INDEX(Pagos_Odoo!$C:$C, MATCH(X149, Pagos_Odoo!$B:$B, 0)), ""))</f>
        <v/>
      </c>
      <c r="Z149" s="80">
        <f>IF(X149="Sin Pago","",IFERROR(INDEX(Pagos_Odoo!$A:$A, MATCH(X149, Pagos_Odoo!$B:$B, 0)), ""))</f>
        <v/>
      </c>
      <c r="AA149" s="79">
        <f>IF(X149="Sin Pago","",IFERROR(INDEX(Pagos_Odoo!$F:$F, MATCH(X149, Pagos_Odoo!$B:$B, 0)), ""))</f>
        <v/>
      </c>
      <c r="AB149" s="81">
        <f>IF(X149="Sin Pago",0,IFERROR(INDEX(Pagos_Odoo!$E:$E, MATCH(X149, Pagos_Odoo!$B:$B, 0)), 0))</f>
        <v/>
      </c>
      <c r="AC149" s="79">
        <f>IF(X149="Sin Pago","",IFERROR(INDEX(Pagos_Odoo!$G:$G, MATCH(X149, Pagos_Odoo!$B:$B, 0)), ""))</f>
        <v/>
      </c>
      <c r="AD149" s="82" t="n">
        <v>0</v>
      </c>
      <c r="AE149" s="82" t="n"/>
      <c r="AF149" s="82" t="n"/>
      <c r="AG149" s="82">
        <f>IF(AN149="","",AD149+AE149+AF149)</f>
        <v/>
      </c>
      <c r="AH149" s="81">
        <f>IF(AN149="","",P149*(1-AG149))</f>
        <v/>
      </c>
      <c r="AI149" s="81">
        <f>IF(AN149="","",IF(Q149="Sin Factura",0,IFERROR(INDEX(Facturas_Odoo!$H:$H, MATCH(Q149, Facturas_Odoo!$B:$B, 0)), 0)*(1-AG149)))</f>
        <v/>
      </c>
      <c r="AJ149" s="81">
        <f>IF(AN149="","",_xlfn.LET(idVenta, AN149&amp;"",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9" s="81">
        <f>IF(AN149="","",AH149-AJ149)</f>
        <v/>
      </c>
      <c r="AL149" s="81">
        <f>IF(AN149="","",IF(Q149="Sin Factura","",AI149-AJ149))</f>
        <v/>
      </c>
      <c r="AM149" s="81">
        <f>IF(AN149="","",IF(Q149="Sin Factura",0,P149-IFERROR(INDEX(Facturas_Odoo!$H:$H, MATCH(Q149, Facturas_Odoo!$B:$B, 0)), 0)))</f>
        <v/>
      </c>
      <c r="AN149" s="79">
        <f>IF(AND(A149="", J149=""), "", IF(A149&lt;&gt;"", VALUE(MID(A149,2,LEN(A149))), AN148))</f>
        <v/>
      </c>
      <c r="AO149" s="79">
        <f>IF(AN149="","",IF(AD149=0,"OK",_xlfn.LET(monedaPago, IF(AA149="","USD",AA149), limitePermitido, IFERROR(VLOOKUP(monedaPago, Configuración!$A$2:$B$3, 2, FALSE), 0.15), IF(AD149&gt;limitePermitido, "ALERTA: EXCESO (" &amp; TEXT(limitePermitido, "0%") &amp; " máx)", "OK"))))</f>
        <v/>
      </c>
      <c r="AP149" s="79">
        <f>IF(AN149="","",IF(AE149=0,"OK",_xlfn.LET(fechaPago, Z149, fechaFactura, R149, diasCredito, IF(E149="Pago inmediato", 0, IFERROR(VALUE(MID(E149, 1, SEARCH(" ", E149)-1)),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9" s="79">
        <f>IF(AN149="","",IF(AND(N149&gt;0, AG149&gt;0), IF(Configuración!$K$2="NO", "ALERTA: DESCUENTO DOBLE NO PERMITIDO", "OK"), "OK"))</f>
        <v/>
      </c>
      <c r="AR149" s="79">
        <f>IF(AN149="","",IF(OR(AO149&lt;&gt;"OK", AP149&lt;&gt;"OK", AQ149&lt;&gt;"OK"), "⚠️ REVISAR", "OK"))</f>
        <v/>
      </c>
    </row>
    <row r="150">
      <c r="A150" s="79">
        <f>IF('Ordenes_Odoo'!A150="","",'Ordenes_Odoo'!A150)</f>
        <v/>
      </c>
      <c r="B150" s="80">
        <f>IF('Ordenes_Odoo'!B150="","",'Ordenes_Odoo'!B150)</f>
        <v/>
      </c>
      <c r="C150" s="79">
        <f>IF('Ordenes_Odoo'!C150="","",'Ordenes_Odoo'!C150)</f>
        <v/>
      </c>
      <c r="D150" s="79">
        <f>IF('Ordenes_Odoo'!D150="","",'Ordenes_Odoo'!D150)</f>
        <v/>
      </c>
      <c r="E150" s="79">
        <f>IF('Ordenes_Odoo'!E150="","",'Ordenes_Odoo'!E150)</f>
        <v/>
      </c>
      <c r="F150" s="79">
        <f>IF('Ordenes_Odoo'!F150="","",'Ordenes_Odoo'!F150)</f>
        <v/>
      </c>
      <c r="G150" s="79">
        <f>IF('Ordenes_Odoo'!G150="","",'Ordenes_Odoo'!G150)</f>
        <v/>
      </c>
      <c r="H150" s="79">
        <f>IF('Ordenes_Odoo'!H150="","",'Ordenes_Odoo'!H150)</f>
        <v/>
      </c>
      <c r="I150" s="79">
        <f>IF('Ordenes_Odoo'!I150="","",'Ordenes_Odoo'!I150)</f>
        <v/>
      </c>
      <c r="J150" s="79">
        <f>IF('Ordenes_Odoo'!J150="","",'Ordenes_Odoo'!J150)</f>
        <v/>
      </c>
      <c r="K150" s="81">
        <f>IF('Ordenes_Odoo'!K150="","",'Ordenes_Odoo'!K150)</f>
        <v/>
      </c>
      <c r="L150" s="81">
        <f>IF('Ordenes_Odoo'!L150="","",'Ordenes_Odoo'!L150)</f>
        <v/>
      </c>
      <c r="M150" s="79">
        <f>IF('Ordenes_Odoo'!M150="","",'Ordenes_Odoo'!M150)</f>
        <v/>
      </c>
      <c r="N150" s="79">
        <f>IF('Ordenes_Odoo'!N150="","",'Ordenes_Odoo'!N150)</f>
        <v/>
      </c>
      <c r="O150" s="81">
        <f>IF('Ordenes_Odoo'!O150="","",'Ordenes_Odoo'!O150)</f>
        <v/>
      </c>
      <c r="P150" s="81">
        <f>IF('Ordenes_Odoo'!P150="","",'Ordenes_Odoo'!P150)</f>
        <v/>
      </c>
      <c r="Q150" s="79">
        <f>IF(A150="","",IFERROR(INDEX(Facturas_Odoo!$B:$B, MATCH(A150, Facturas_Odoo!$D:$D, 0)), "Sin Factura"))</f>
        <v/>
      </c>
      <c r="R150" s="80">
        <f>IF(Q150="Sin Factura","",IFERROR(INDEX(Facturas_Odoo!$A:$A, MATCH(Q150, Facturas_Odoo!$B:$B, 0)), ""))</f>
        <v/>
      </c>
      <c r="S150" s="79">
        <f>IF(Q150="Sin Factura","",IFERROR(_xlfn.XLOOKUP(1, (Facturas_Odoo!$D:$D=A150) * (Facturas_Odoo!$K:$K=I150), Facturas_Odoo!$L:$L, ""), ""))</f>
        <v/>
      </c>
      <c r="T150" s="81">
        <f>IF(Q150="Sin Factura",0,IFERROR(_xlfn.XLOOKUP(1, (Facturas_Odoo!$D:$D=A150) * (Facturas_Odoo!$K:$K=I150), Facturas_Odoo!$M:$M, 0), 0))</f>
        <v/>
      </c>
      <c r="U150" s="79">
        <f>IF(Q150="Sin Factura",0,IFERROR(_xlfn.XLOOKUP(1, (Facturas_Odoo!$D:$D=A150) * (Facturas_Odoo!$K:$K=I150), Facturas_Odoo!$N:$N, 0), 0))</f>
        <v/>
      </c>
      <c r="V150" s="79">
        <f>IF(Q150="Sin Factura",0,IFERROR(_xlfn.XLOOKUP(1, (Facturas_Odoo!$D:$D=A150) * (Facturas_Odoo!$K:$K=I150), Facturas_Odoo!$O:$O, 0), 0))</f>
        <v/>
      </c>
      <c r="W150" s="81">
        <f>IF(Q150="Sin Factura",0,IFERROR(_xlfn.XLOOKUP(1, (Facturas_Odoo!$D:$D=A150) * (Facturas_Odoo!$K:$K=I150), Facturas_Odoo!$Q:$Q, 0), 0))</f>
        <v/>
      </c>
      <c r="X150" s="79">
        <f>IF(OR(Q150="Sin Factura",Q150=""),"",IFERROR(INDEX(Pagos_Odoo!$B:$B, MATCH(Q150, Pagos_Odoo!$I:$I, 0)), "Sin Pago"))</f>
        <v/>
      </c>
      <c r="Y150" s="79">
        <f>IF(X150="Sin Pago","",IFERROR(INDEX(Pagos_Odoo!$C:$C, MATCH(X150, Pagos_Odoo!$B:$B, 0)), ""))</f>
        <v/>
      </c>
      <c r="Z150" s="80">
        <f>IF(X150="Sin Pago","",IFERROR(INDEX(Pagos_Odoo!$A:$A, MATCH(X150, Pagos_Odoo!$B:$B, 0)), ""))</f>
        <v/>
      </c>
      <c r="AA150" s="79">
        <f>IF(X150="Sin Pago","",IFERROR(INDEX(Pagos_Odoo!$F:$F, MATCH(X150, Pagos_Odoo!$B:$B, 0)), ""))</f>
        <v/>
      </c>
      <c r="AB150" s="81">
        <f>IF(X150="Sin Pago",0,IFERROR(INDEX(Pagos_Odoo!$E:$E, MATCH(X150, Pagos_Odoo!$B:$B, 0)), 0))</f>
        <v/>
      </c>
      <c r="AC150" s="79">
        <f>IF(X150="Sin Pago","",IFERROR(INDEX(Pagos_Odoo!$G:$G, MATCH(X150, Pagos_Odoo!$B:$B, 0)), ""))</f>
        <v/>
      </c>
      <c r="AD150" s="82" t="n">
        <v>0</v>
      </c>
      <c r="AE150" s="82" t="n"/>
      <c r="AF150" s="82" t="n"/>
      <c r="AG150" s="82">
        <f>IF(AN150="","",AD150+AE150+AF150)</f>
        <v/>
      </c>
      <c r="AH150" s="81">
        <f>IF(AN150="","",P150*(1-AG150))</f>
        <v/>
      </c>
      <c r="AI150" s="81">
        <f>IF(AN150="","",IF(Q150="Sin Factura",0,IFERROR(INDEX(Facturas_Odoo!$H:$H, MATCH(Q150, Facturas_Odoo!$B:$B, 0)), 0)*(1-AG150)))</f>
        <v/>
      </c>
      <c r="AJ150" s="81">
        <f>IF(AN150="","",_xlfn.LET(idVenta, AN150&amp;"",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0" s="81">
        <f>IF(AN150="","",AH150-AJ150)</f>
        <v/>
      </c>
      <c r="AL150" s="81">
        <f>IF(AN150="","",IF(Q150="Sin Factura","",AI150-AJ150))</f>
        <v/>
      </c>
      <c r="AM150" s="81">
        <f>IF(AN150="","",IF(Q150="Sin Factura",0,P150-IFERROR(INDEX(Facturas_Odoo!$H:$H, MATCH(Q150, Facturas_Odoo!$B:$B, 0)), 0)))</f>
        <v/>
      </c>
      <c r="AN150" s="79">
        <f>IF(AND(A150="", J150=""), "", IF(A150&lt;&gt;"", VALUE(MID(A150,2,LEN(A150))), AN149))</f>
        <v/>
      </c>
      <c r="AO150" s="79">
        <f>IF(AN150="","",IF(AD150=0,"OK",_xlfn.LET(monedaPago, IF(AA150="","USD",AA150), limitePermitido, IFERROR(VLOOKUP(monedaPago, Configuración!$A$2:$B$3, 2, FALSE), 0.15), IF(AD150&gt;limitePermitido, "ALERTA: EXCESO (" &amp; TEXT(limitePermitido, "0%") &amp; " máx)", "OK"))))</f>
        <v/>
      </c>
      <c r="AP150" s="79">
        <f>IF(AN150="","",IF(AE150=0,"OK",_xlfn.LET(fechaPago, Z150, fechaFactura, R150, diasCredito, IF(E150="Pago inmediato", 0, IFERROR(VALUE(MID(E150, 1, SEARCH(" ", E150)-1)),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0" s="79">
        <f>IF(AN150="","",IF(AND(N150&gt;0, AG150&gt;0), IF(Configuración!$K$2="NO", "ALERTA: DESCUENTO DOBLE NO PERMITIDO", "OK"), "OK"))</f>
        <v/>
      </c>
      <c r="AR150" s="79">
        <f>IF(AN150="","",IF(OR(AO150&lt;&gt;"OK", AP150&lt;&gt;"OK", AQ150&lt;&gt;"OK"), "⚠️ REVISAR", "OK"))</f>
        <v/>
      </c>
    </row>
    <row r="151">
      <c r="A151" s="79">
        <f>IF('Ordenes_Odoo'!A151="","",'Ordenes_Odoo'!A151)</f>
        <v/>
      </c>
      <c r="B151" s="80">
        <f>IF('Ordenes_Odoo'!B151="","",'Ordenes_Odoo'!B151)</f>
        <v/>
      </c>
      <c r="C151" s="79">
        <f>IF('Ordenes_Odoo'!C151="","",'Ordenes_Odoo'!C151)</f>
        <v/>
      </c>
      <c r="D151" s="79">
        <f>IF('Ordenes_Odoo'!D151="","",'Ordenes_Odoo'!D151)</f>
        <v/>
      </c>
      <c r="E151" s="79">
        <f>IF('Ordenes_Odoo'!E151="","",'Ordenes_Odoo'!E151)</f>
        <v/>
      </c>
      <c r="F151" s="79">
        <f>IF('Ordenes_Odoo'!F151="","",'Ordenes_Odoo'!F151)</f>
        <v/>
      </c>
      <c r="G151" s="79">
        <f>IF('Ordenes_Odoo'!G151="","",'Ordenes_Odoo'!G151)</f>
        <v/>
      </c>
      <c r="H151" s="79">
        <f>IF('Ordenes_Odoo'!H151="","",'Ordenes_Odoo'!H151)</f>
        <v/>
      </c>
      <c r="I151" s="79">
        <f>IF('Ordenes_Odoo'!I151="","",'Ordenes_Odoo'!I151)</f>
        <v/>
      </c>
      <c r="J151" s="79">
        <f>IF('Ordenes_Odoo'!J151="","",'Ordenes_Odoo'!J151)</f>
        <v/>
      </c>
      <c r="K151" s="81">
        <f>IF('Ordenes_Odoo'!K151="","",'Ordenes_Odoo'!K151)</f>
        <v/>
      </c>
      <c r="L151" s="81">
        <f>IF('Ordenes_Odoo'!L151="","",'Ordenes_Odoo'!L151)</f>
        <v/>
      </c>
      <c r="M151" s="79">
        <f>IF('Ordenes_Odoo'!M151="","",'Ordenes_Odoo'!M151)</f>
        <v/>
      </c>
      <c r="N151" s="79">
        <f>IF('Ordenes_Odoo'!N151="","",'Ordenes_Odoo'!N151)</f>
        <v/>
      </c>
      <c r="O151" s="81">
        <f>IF('Ordenes_Odoo'!O151="","",'Ordenes_Odoo'!O151)</f>
        <v/>
      </c>
      <c r="P151" s="81">
        <f>IF('Ordenes_Odoo'!P151="","",'Ordenes_Odoo'!P151)</f>
        <v/>
      </c>
      <c r="Q151" s="79">
        <f>IF(A151="","",IFERROR(INDEX(Facturas_Odoo!$B:$B, MATCH(A151, Facturas_Odoo!$D:$D, 0)), "Sin Factura"))</f>
        <v/>
      </c>
      <c r="R151" s="80">
        <f>IF(Q151="Sin Factura","",IFERROR(INDEX(Facturas_Odoo!$A:$A, MATCH(Q151, Facturas_Odoo!$B:$B, 0)), ""))</f>
        <v/>
      </c>
      <c r="S151" s="79">
        <f>IF(Q151="Sin Factura","",IFERROR(_xlfn.XLOOKUP(1, (Facturas_Odoo!$D:$D=A151) * (Facturas_Odoo!$K:$K=I151), Facturas_Odoo!$L:$L, ""), ""))</f>
        <v/>
      </c>
      <c r="T151" s="81">
        <f>IF(Q151="Sin Factura",0,IFERROR(_xlfn.XLOOKUP(1, (Facturas_Odoo!$D:$D=A151) * (Facturas_Odoo!$K:$K=I151), Facturas_Odoo!$M:$M, 0), 0))</f>
        <v/>
      </c>
      <c r="U151" s="79">
        <f>IF(Q151="Sin Factura",0,IFERROR(_xlfn.XLOOKUP(1, (Facturas_Odoo!$D:$D=A151) * (Facturas_Odoo!$K:$K=I151), Facturas_Odoo!$N:$N, 0), 0))</f>
        <v/>
      </c>
      <c r="V151" s="79">
        <f>IF(Q151="Sin Factura",0,IFERROR(_xlfn.XLOOKUP(1, (Facturas_Odoo!$D:$D=A151) * (Facturas_Odoo!$K:$K=I151), Facturas_Odoo!$O:$O, 0), 0))</f>
        <v/>
      </c>
      <c r="W151" s="81">
        <f>IF(Q151="Sin Factura",0,IFERROR(_xlfn.XLOOKUP(1, (Facturas_Odoo!$D:$D=A151) * (Facturas_Odoo!$K:$K=I151), Facturas_Odoo!$Q:$Q, 0), 0))</f>
        <v/>
      </c>
      <c r="X151" s="79">
        <f>IF(OR(Q151="Sin Factura",Q151=""),"",IFERROR(INDEX(Pagos_Odoo!$B:$B, MATCH(Q151, Pagos_Odoo!$I:$I, 0)), "Sin Pago"))</f>
        <v/>
      </c>
      <c r="Y151" s="79">
        <f>IF(X151="Sin Pago","",IFERROR(INDEX(Pagos_Odoo!$C:$C, MATCH(X151, Pagos_Odoo!$B:$B, 0)), ""))</f>
        <v/>
      </c>
      <c r="Z151" s="80">
        <f>IF(X151="Sin Pago","",IFERROR(INDEX(Pagos_Odoo!$A:$A, MATCH(X151, Pagos_Odoo!$B:$B, 0)), ""))</f>
        <v/>
      </c>
      <c r="AA151" s="79">
        <f>IF(X151="Sin Pago","",IFERROR(INDEX(Pagos_Odoo!$F:$F, MATCH(X151, Pagos_Odoo!$B:$B, 0)), ""))</f>
        <v/>
      </c>
      <c r="AB151" s="81">
        <f>IF(X151="Sin Pago",0,IFERROR(INDEX(Pagos_Odoo!$E:$E, MATCH(X151, Pagos_Odoo!$B:$B, 0)), 0))</f>
        <v/>
      </c>
      <c r="AC151" s="79">
        <f>IF(X151="Sin Pago","",IFERROR(INDEX(Pagos_Odoo!$G:$G, MATCH(X151, Pagos_Odoo!$B:$B, 0)), ""))</f>
        <v/>
      </c>
      <c r="AD151" s="82" t="n">
        <v>0</v>
      </c>
      <c r="AE151" s="82" t="n"/>
      <c r="AF151" s="82" t="n"/>
      <c r="AG151" s="82">
        <f>IF(AN151="","",AD151+AE151+AF151)</f>
        <v/>
      </c>
      <c r="AH151" s="81">
        <f>IF(AN151="","",P151*(1-AG151))</f>
        <v/>
      </c>
      <c r="AI151" s="81">
        <f>IF(AN151="","",IF(Q151="Sin Factura",0,IFERROR(INDEX(Facturas_Odoo!$H:$H, MATCH(Q151, Facturas_Odoo!$B:$B, 0)), 0)*(1-AG151)))</f>
        <v/>
      </c>
      <c r="AJ151" s="81">
        <f>IF(AN151="","",_xlfn.LET(idVenta, AN151&amp;"",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1" s="81">
        <f>IF(AN151="","",AH151-AJ151)</f>
        <v/>
      </c>
      <c r="AL151" s="81">
        <f>IF(AN151="","",IF(Q151="Sin Factura","",AI151-AJ151))</f>
        <v/>
      </c>
      <c r="AM151" s="81">
        <f>IF(AN151="","",IF(Q151="Sin Factura",0,P151-IFERROR(INDEX(Facturas_Odoo!$H:$H, MATCH(Q151, Facturas_Odoo!$B:$B, 0)), 0)))</f>
        <v/>
      </c>
      <c r="AN151" s="79">
        <f>IF(AND(A151="", J151=""), "", IF(A151&lt;&gt;"", VALUE(MID(A151,2,LEN(A151))), AN150))</f>
        <v/>
      </c>
      <c r="AO151" s="79">
        <f>IF(AN151="","",IF(AD151=0,"OK",_xlfn.LET(monedaPago, IF(AA151="","USD",AA151), limitePermitido, IFERROR(VLOOKUP(monedaPago, Configuración!$A$2:$B$3, 2, FALSE), 0.15), IF(AD151&gt;limitePermitido, "ALERTA: EXCESO (" &amp; TEXT(limitePermitido, "0%") &amp; " máx)", "OK"))))</f>
        <v/>
      </c>
      <c r="AP151" s="79">
        <f>IF(AN151="","",IF(AE151=0,"OK",_xlfn.LET(fechaPago, Z151, fechaFactura, R151, diasCredito, IF(E151="Pago inmediato", 0, IFERROR(VALUE(MID(E151, 1, SEARCH(" ", E151)-1)),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1" s="79">
        <f>IF(AN151="","",IF(AND(N151&gt;0, AG151&gt;0), IF(Configuración!$K$2="NO", "ALERTA: DESCUENTO DOBLE NO PERMITIDO", "OK"), "OK"))</f>
        <v/>
      </c>
      <c r="AR151" s="79">
        <f>IF(AN151="","",IF(OR(AO151&lt;&gt;"OK", AP151&lt;&gt;"OK", AQ151&lt;&gt;"OK"), "⚠️ REVISAR", "OK"))</f>
        <v/>
      </c>
    </row>
    <row r="152">
      <c r="A152" s="79">
        <f>IF('Ordenes_Odoo'!A152="","",'Ordenes_Odoo'!A152)</f>
        <v/>
      </c>
      <c r="B152" s="80">
        <f>IF('Ordenes_Odoo'!B152="","",'Ordenes_Odoo'!B152)</f>
        <v/>
      </c>
      <c r="C152" s="79">
        <f>IF('Ordenes_Odoo'!C152="","",'Ordenes_Odoo'!C152)</f>
        <v/>
      </c>
      <c r="D152" s="79">
        <f>IF('Ordenes_Odoo'!D152="","",'Ordenes_Odoo'!D152)</f>
        <v/>
      </c>
      <c r="E152" s="79">
        <f>IF('Ordenes_Odoo'!E152="","",'Ordenes_Odoo'!E152)</f>
        <v/>
      </c>
      <c r="F152" s="79">
        <f>IF('Ordenes_Odoo'!F152="","",'Ordenes_Odoo'!F152)</f>
        <v/>
      </c>
      <c r="G152" s="79">
        <f>IF('Ordenes_Odoo'!G152="","",'Ordenes_Odoo'!G152)</f>
        <v/>
      </c>
      <c r="H152" s="79">
        <f>IF('Ordenes_Odoo'!H152="","",'Ordenes_Odoo'!H152)</f>
        <v/>
      </c>
      <c r="I152" s="79">
        <f>IF('Ordenes_Odoo'!I152="","",'Ordenes_Odoo'!I152)</f>
        <v/>
      </c>
      <c r="J152" s="79">
        <f>IF('Ordenes_Odoo'!J152="","",'Ordenes_Odoo'!J152)</f>
        <v/>
      </c>
      <c r="K152" s="81">
        <f>IF('Ordenes_Odoo'!K152="","",'Ordenes_Odoo'!K152)</f>
        <v/>
      </c>
      <c r="L152" s="81">
        <f>IF('Ordenes_Odoo'!L152="","",'Ordenes_Odoo'!L152)</f>
        <v/>
      </c>
      <c r="M152" s="79">
        <f>IF('Ordenes_Odoo'!M152="","",'Ordenes_Odoo'!M152)</f>
        <v/>
      </c>
      <c r="N152" s="79">
        <f>IF('Ordenes_Odoo'!N152="","",'Ordenes_Odoo'!N152)</f>
        <v/>
      </c>
      <c r="O152" s="81">
        <f>IF('Ordenes_Odoo'!O152="","",'Ordenes_Odoo'!O152)</f>
        <v/>
      </c>
      <c r="P152" s="81">
        <f>IF('Ordenes_Odoo'!P152="","",'Ordenes_Odoo'!P152)</f>
        <v/>
      </c>
      <c r="Q152" s="79">
        <f>IF(A152="","",IFERROR(INDEX(Facturas_Odoo!$B:$B, MATCH(A152, Facturas_Odoo!$D:$D, 0)), "Sin Factura"))</f>
        <v/>
      </c>
      <c r="R152" s="80">
        <f>IF(Q152="Sin Factura","",IFERROR(INDEX(Facturas_Odoo!$A:$A, MATCH(Q152, Facturas_Odoo!$B:$B, 0)), ""))</f>
        <v/>
      </c>
      <c r="S152" s="79">
        <f>IF(Q152="Sin Factura","",IFERROR(_xlfn.XLOOKUP(1, (Facturas_Odoo!$D:$D=A152) * (Facturas_Odoo!$K:$K=I152), Facturas_Odoo!$L:$L, ""), ""))</f>
        <v/>
      </c>
      <c r="T152" s="81">
        <f>IF(Q152="Sin Factura",0,IFERROR(_xlfn.XLOOKUP(1, (Facturas_Odoo!$D:$D=A152) * (Facturas_Odoo!$K:$K=I152), Facturas_Odoo!$M:$M, 0), 0))</f>
        <v/>
      </c>
      <c r="U152" s="79">
        <f>IF(Q152="Sin Factura",0,IFERROR(_xlfn.XLOOKUP(1, (Facturas_Odoo!$D:$D=A152) * (Facturas_Odoo!$K:$K=I152), Facturas_Odoo!$N:$N, 0), 0))</f>
        <v/>
      </c>
      <c r="V152" s="79">
        <f>IF(Q152="Sin Factura",0,IFERROR(_xlfn.XLOOKUP(1, (Facturas_Odoo!$D:$D=A152) * (Facturas_Odoo!$K:$K=I152), Facturas_Odoo!$O:$O, 0), 0))</f>
        <v/>
      </c>
      <c r="W152" s="81">
        <f>IF(Q152="Sin Factura",0,IFERROR(_xlfn.XLOOKUP(1, (Facturas_Odoo!$D:$D=A152) * (Facturas_Odoo!$K:$K=I152), Facturas_Odoo!$Q:$Q, 0), 0))</f>
        <v/>
      </c>
      <c r="X152" s="79">
        <f>IF(OR(Q152="Sin Factura",Q152=""),"",IFERROR(INDEX(Pagos_Odoo!$B:$B, MATCH(Q152, Pagos_Odoo!$I:$I, 0)), "Sin Pago"))</f>
        <v/>
      </c>
      <c r="Y152" s="79">
        <f>IF(X152="Sin Pago","",IFERROR(INDEX(Pagos_Odoo!$C:$C, MATCH(X152, Pagos_Odoo!$B:$B, 0)), ""))</f>
        <v/>
      </c>
      <c r="Z152" s="80">
        <f>IF(X152="Sin Pago","",IFERROR(INDEX(Pagos_Odoo!$A:$A, MATCH(X152, Pagos_Odoo!$B:$B, 0)), ""))</f>
        <v/>
      </c>
      <c r="AA152" s="79">
        <f>IF(X152="Sin Pago","",IFERROR(INDEX(Pagos_Odoo!$F:$F, MATCH(X152, Pagos_Odoo!$B:$B, 0)), ""))</f>
        <v/>
      </c>
      <c r="AB152" s="81">
        <f>IF(X152="Sin Pago",0,IFERROR(INDEX(Pagos_Odoo!$E:$E, MATCH(X152, Pagos_Odoo!$B:$B, 0)), 0))</f>
        <v/>
      </c>
      <c r="AC152" s="79">
        <f>IF(X152="Sin Pago","",IFERROR(INDEX(Pagos_Odoo!$G:$G, MATCH(X152, Pagos_Odoo!$B:$B, 0)), ""))</f>
        <v/>
      </c>
      <c r="AD152" s="82" t="n">
        <v>0</v>
      </c>
      <c r="AE152" s="82" t="n"/>
      <c r="AF152" s="82" t="n"/>
      <c r="AG152" s="82">
        <f>IF(AN152="","",AD152+AE152+AF152)</f>
        <v/>
      </c>
      <c r="AH152" s="81">
        <f>IF(AN152="","",P152*(1-AG152))</f>
        <v/>
      </c>
      <c r="AI152" s="81">
        <f>IF(AN152="","",IF(Q152="Sin Factura",0,IFERROR(INDEX(Facturas_Odoo!$H:$H, MATCH(Q152, Facturas_Odoo!$B:$B, 0)), 0)*(1-AG152)))</f>
        <v/>
      </c>
      <c r="AJ152" s="81">
        <f>IF(AN152="","",_xlfn.LET(idVenta, AN152&amp;"",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2" s="81">
        <f>IF(AN152="","",AH152-AJ152)</f>
        <v/>
      </c>
      <c r="AL152" s="81">
        <f>IF(AN152="","",IF(Q152="Sin Factura","",AI152-AJ152))</f>
        <v/>
      </c>
      <c r="AM152" s="81">
        <f>IF(AN152="","",IF(Q152="Sin Factura",0,P152-IFERROR(INDEX(Facturas_Odoo!$H:$H, MATCH(Q152, Facturas_Odoo!$B:$B, 0)), 0)))</f>
        <v/>
      </c>
      <c r="AN152" s="79">
        <f>IF(AND(A152="", J152=""), "", IF(A152&lt;&gt;"", VALUE(MID(A152,2,LEN(A152))), AN151))</f>
        <v/>
      </c>
      <c r="AO152" s="79">
        <f>IF(AN152="","",IF(AD152=0,"OK",_xlfn.LET(monedaPago, IF(AA152="","USD",AA152), limitePermitido, IFERROR(VLOOKUP(monedaPago, Configuración!$A$2:$B$3, 2, FALSE), 0.15), IF(AD152&gt;limitePermitido, "ALERTA: EXCESO (" &amp; TEXT(limitePermitido, "0%") &amp; " máx)", "OK"))))</f>
        <v/>
      </c>
      <c r="AP152" s="79">
        <f>IF(AN152="","",IF(AE152=0,"OK",_xlfn.LET(fechaPago, Z152, fechaFactura, R152, diasCredito, IF(E152="Pago inmediato", 0, IFERROR(VALUE(MID(E152, 1, SEARCH(" ", E152)-1)),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2" s="79">
        <f>IF(AN152="","",IF(AND(N152&gt;0, AG152&gt;0), IF(Configuración!$K$2="NO", "ALERTA: DESCUENTO DOBLE NO PERMITIDO", "OK"), "OK"))</f>
        <v/>
      </c>
      <c r="AR152" s="79">
        <f>IF(AN152="","",IF(OR(AO152&lt;&gt;"OK", AP152&lt;&gt;"OK", AQ152&lt;&gt;"OK"), "⚠️ REVISAR", "OK"))</f>
        <v/>
      </c>
    </row>
    <row r="153">
      <c r="A153" s="79">
        <f>IF('Ordenes_Odoo'!A153="","",'Ordenes_Odoo'!A153)</f>
        <v/>
      </c>
      <c r="B153" s="80">
        <f>IF('Ordenes_Odoo'!B153="","",'Ordenes_Odoo'!B153)</f>
        <v/>
      </c>
      <c r="C153" s="79">
        <f>IF('Ordenes_Odoo'!C153="","",'Ordenes_Odoo'!C153)</f>
        <v/>
      </c>
      <c r="D153" s="79">
        <f>IF('Ordenes_Odoo'!D153="","",'Ordenes_Odoo'!D153)</f>
        <v/>
      </c>
      <c r="E153" s="79">
        <f>IF('Ordenes_Odoo'!E153="","",'Ordenes_Odoo'!E153)</f>
        <v/>
      </c>
      <c r="F153" s="79">
        <f>IF('Ordenes_Odoo'!F153="","",'Ordenes_Odoo'!F153)</f>
        <v/>
      </c>
      <c r="G153" s="79">
        <f>IF('Ordenes_Odoo'!G153="","",'Ordenes_Odoo'!G153)</f>
        <v/>
      </c>
      <c r="H153" s="79">
        <f>IF('Ordenes_Odoo'!H153="","",'Ordenes_Odoo'!H153)</f>
        <v/>
      </c>
      <c r="I153" s="79">
        <f>IF('Ordenes_Odoo'!I153="","",'Ordenes_Odoo'!I153)</f>
        <v/>
      </c>
      <c r="J153" s="79">
        <f>IF('Ordenes_Odoo'!J153="","",'Ordenes_Odoo'!J153)</f>
        <v/>
      </c>
      <c r="K153" s="81">
        <f>IF('Ordenes_Odoo'!K153="","",'Ordenes_Odoo'!K153)</f>
        <v/>
      </c>
      <c r="L153" s="81">
        <f>IF('Ordenes_Odoo'!L153="","",'Ordenes_Odoo'!L153)</f>
        <v/>
      </c>
      <c r="M153" s="79">
        <f>IF('Ordenes_Odoo'!M153="","",'Ordenes_Odoo'!M153)</f>
        <v/>
      </c>
      <c r="N153" s="79">
        <f>IF('Ordenes_Odoo'!N153="","",'Ordenes_Odoo'!N153)</f>
        <v/>
      </c>
      <c r="O153" s="81">
        <f>IF('Ordenes_Odoo'!O153="","",'Ordenes_Odoo'!O153)</f>
        <v/>
      </c>
      <c r="P153" s="81">
        <f>IF('Ordenes_Odoo'!P153="","",'Ordenes_Odoo'!P153)</f>
        <v/>
      </c>
      <c r="Q153" s="79">
        <f>IF(A153="","",IFERROR(INDEX(Facturas_Odoo!$B:$B, MATCH(A153, Facturas_Odoo!$D:$D, 0)), "Sin Factura"))</f>
        <v/>
      </c>
      <c r="R153" s="80">
        <f>IF(Q153="Sin Factura","",IFERROR(INDEX(Facturas_Odoo!$A:$A, MATCH(Q153, Facturas_Odoo!$B:$B, 0)), ""))</f>
        <v/>
      </c>
      <c r="S153" s="79">
        <f>IF(Q153="Sin Factura","",IFERROR(_xlfn.XLOOKUP(1, (Facturas_Odoo!$D:$D=A153) * (Facturas_Odoo!$K:$K=I153), Facturas_Odoo!$L:$L, ""), ""))</f>
        <v/>
      </c>
      <c r="T153" s="81">
        <f>IF(Q153="Sin Factura",0,IFERROR(_xlfn.XLOOKUP(1, (Facturas_Odoo!$D:$D=A153) * (Facturas_Odoo!$K:$K=I153), Facturas_Odoo!$M:$M, 0), 0))</f>
        <v/>
      </c>
      <c r="U153" s="79">
        <f>IF(Q153="Sin Factura",0,IFERROR(_xlfn.XLOOKUP(1, (Facturas_Odoo!$D:$D=A153) * (Facturas_Odoo!$K:$K=I153), Facturas_Odoo!$N:$N, 0), 0))</f>
        <v/>
      </c>
      <c r="V153" s="79">
        <f>IF(Q153="Sin Factura",0,IFERROR(_xlfn.XLOOKUP(1, (Facturas_Odoo!$D:$D=A153) * (Facturas_Odoo!$K:$K=I153), Facturas_Odoo!$O:$O, 0), 0))</f>
        <v/>
      </c>
      <c r="W153" s="81">
        <f>IF(Q153="Sin Factura",0,IFERROR(_xlfn.XLOOKUP(1, (Facturas_Odoo!$D:$D=A153) * (Facturas_Odoo!$K:$K=I153), Facturas_Odoo!$Q:$Q, 0), 0))</f>
        <v/>
      </c>
      <c r="X153" s="79">
        <f>IF(OR(Q153="Sin Factura",Q153=""),"",IFERROR(INDEX(Pagos_Odoo!$B:$B, MATCH(Q153, Pagos_Odoo!$I:$I, 0)), "Sin Pago"))</f>
        <v/>
      </c>
      <c r="Y153" s="79">
        <f>IF(X153="Sin Pago","",IFERROR(INDEX(Pagos_Odoo!$C:$C, MATCH(X153, Pagos_Odoo!$B:$B, 0)), ""))</f>
        <v/>
      </c>
      <c r="Z153" s="80">
        <f>IF(X153="Sin Pago","",IFERROR(INDEX(Pagos_Odoo!$A:$A, MATCH(X153, Pagos_Odoo!$B:$B, 0)), ""))</f>
        <v/>
      </c>
      <c r="AA153" s="79">
        <f>IF(X153="Sin Pago","",IFERROR(INDEX(Pagos_Odoo!$F:$F, MATCH(X153, Pagos_Odoo!$B:$B, 0)), ""))</f>
        <v/>
      </c>
      <c r="AB153" s="81">
        <f>IF(X153="Sin Pago",0,IFERROR(INDEX(Pagos_Odoo!$E:$E, MATCH(X153, Pagos_Odoo!$B:$B, 0)), 0))</f>
        <v/>
      </c>
      <c r="AC153" s="79">
        <f>IF(X153="Sin Pago","",IFERROR(INDEX(Pagos_Odoo!$G:$G, MATCH(X153, Pagos_Odoo!$B:$B, 0)), ""))</f>
        <v/>
      </c>
      <c r="AD153" s="82" t="n">
        <v>0</v>
      </c>
      <c r="AE153" s="82" t="n"/>
      <c r="AF153" s="82" t="n"/>
      <c r="AG153" s="82">
        <f>IF(AN153="","",AD153+AE153+AF153)</f>
        <v/>
      </c>
      <c r="AH153" s="81">
        <f>IF(AN153="","",P153*(1-AG153))</f>
        <v/>
      </c>
      <c r="AI153" s="81">
        <f>IF(AN153="","",IF(Q153="Sin Factura",0,IFERROR(INDEX(Facturas_Odoo!$H:$H, MATCH(Q153, Facturas_Odoo!$B:$B, 0)), 0)*(1-AG153)))</f>
        <v/>
      </c>
      <c r="AJ153" s="81">
        <f>IF(AN153="","",_xlfn.LET(idVenta, AN153&amp;"",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3" s="81">
        <f>IF(AN153="","",AH153-AJ153)</f>
        <v/>
      </c>
      <c r="AL153" s="81">
        <f>IF(AN153="","",IF(Q153="Sin Factura","",AI153-AJ153))</f>
        <v/>
      </c>
      <c r="AM153" s="81">
        <f>IF(AN153="","",IF(Q153="Sin Factura",0,P153-IFERROR(INDEX(Facturas_Odoo!$H:$H, MATCH(Q153, Facturas_Odoo!$B:$B, 0)), 0)))</f>
        <v/>
      </c>
      <c r="AN153" s="79">
        <f>IF(AND(A153="", J153=""), "", IF(A153&lt;&gt;"", VALUE(MID(A153,2,LEN(A153))), AN152))</f>
        <v/>
      </c>
      <c r="AO153" s="79">
        <f>IF(AN153="","",IF(AD153=0,"OK",_xlfn.LET(monedaPago, IF(AA153="","USD",AA153), limitePermitido, IFERROR(VLOOKUP(monedaPago, Configuración!$A$2:$B$3, 2, FALSE), 0.15), IF(AD153&gt;limitePermitido, "ALERTA: EXCESO (" &amp; TEXT(limitePermitido, "0%") &amp; " máx)", "OK"))))</f>
        <v/>
      </c>
      <c r="AP153" s="79">
        <f>IF(AN153="","",IF(AE153=0,"OK",_xlfn.LET(fechaPago, Z153, fechaFactura, R153, diasCredito, IF(E153="Pago inmediato", 0, IFERROR(VALUE(MID(E153, 1, SEARCH(" ", E153)-1)),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3" s="79">
        <f>IF(AN153="","",IF(AND(N153&gt;0, AG153&gt;0), IF(Configuración!$K$2="NO", "ALERTA: DESCUENTO DOBLE NO PERMITIDO", "OK"), "OK"))</f>
        <v/>
      </c>
      <c r="AR153" s="79">
        <f>IF(AN153="","",IF(OR(AO153&lt;&gt;"OK", AP153&lt;&gt;"OK", AQ153&lt;&gt;"OK"), "⚠️ REVISAR", "OK"))</f>
        <v/>
      </c>
    </row>
    <row r="154">
      <c r="A154" s="79">
        <f>IF('Ordenes_Odoo'!A154="","",'Ordenes_Odoo'!A154)</f>
        <v/>
      </c>
      <c r="B154" s="80">
        <f>IF('Ordenes_Odoo'!B154="","",'Ordenes_Odoo'!B154)</f>
        <v/>
      </c>
      <c r="C154" s="79">
        <f>IF('Ordenes_Odoo'!C154="","",'Ordenes_Odoo'!C154)</f>
        <v/>
      </c>
      <c r="D154" s="79">
        <f>IF('Ordenes_Odoo'!D154="","",'Ordenes_Odoo'!D154)</f>
        <v/>
      </c>
      <c r="E154" s="79">
        <f>IF('Ordenes_Odoo'!E154="","",'Ordenes_Odoo'!E154)</f>
        <v/>
      </c>
      <c r="F154" s="79">
        <f>IF('Ordenes_Odoo'!F154="","",'Ordenes_Odoo'!F154)</f>
        <v/>
      </c>
      <c r="G154" s="79">
        <f>IF('Ordenes_Odoo'!G154="","",'Ordenes_Odoo'!G154)</f>
        <v/>
      </c>
      <c r="H154" s="79">
        <f>IF('Ordenes_Odoo'!H154="","",'Ordenes_Odoo'!H154)</f>
        <v/>
      </c>
      <c r="I154" s="79">
        <f>IF('Ordenes_Odoo'!I154="","",'Ordenes_Odoo'!I154)</f>
        <v/>
      </c>
      <c r="J154" s="79">
        <f>IF('Ordenes_Odoo'!J154="","",'Ordenes_Odoo'!J154)</f>
        <v/>
      </c>
      <c r="K154" s="81">
        <f>IF('Ordenes_Odoo'!K154="","",'Ordenes_Odoo'!K154)</f>
        <v/>
      </c>
      <c r="L154" s="81">
        <f>IF('Ordenes_Odoo'!L154="","",'Ordenes_Odoo'!L154)</f>
        <v/>
      </c>
      <c r="M154" s="79">
        <f>IF('Ordenes_Odoo'!M154="","",'Ordenes_Odoo'!M154)</f>
        <v/>
      </c>
      <c r="N154" s="79">
        <f>IF('Ordenes_Odoo'!N154="","",'Ordenes_Odoo'!N154)</f>
        <v/>
      </c>
      <c r="O154" s="81">
        <f>IF('Ordenes_Odoo'!O154="","",'Ordenes_Odoo'!O154)</f>
        <v/>
      </c>
      <c r="P154" s="81">
        <f>IF('Ordenes_Odoo'!P154="","",'Ordenes_Odoo'!P154)</f>
        <v/>
      </c>
      <c r="Q154" s="79">
        <f>IF(A154="","",IFERROR(INDEX(Facturas_Odoo!$B:$B, MATCH(A154, Facturas_Odoo!$D:$D, 0)), "Sin Factura"))</f>
        <v/>
      </c>
      <c r="R154" s="80">
        <f>IF(Q154="Sin Factura","",IFERROR(INDEX(Facturas_Odoo!$A:$A, MATCH(Q154, Facturas_Odoo!$B:$B, 0)), ""))</f>
        <v/>
      </c>
      <c r="S154" s="79">
        <f>IF(Q154="Sin Factura","",IFERROR(_xlfn.XLOOKUP(1, (Facturas_Odoo!$D:$D=A154) * (Facturas_Odoo!$K:$K=I154), Facturas_Odoo!$L:$L, ""), ""))</f>
        <v/>
      </c>
      <c r="T154" s="81">
        <f>IF(Q154="Sin Factura",0,IFERROR(_xlfn.XLOOKUP(1, (Facturas_Odoo!$D:$D=A154) * (Facturas_Odoo!$K:$K=I154), Facturas_Odoo!$M:$M, 0), 0))</f>
        <v/>
      </c>
      <c r="U154" s="79">
        <f>IF(Q154="Sin Factura",0,IFERROR(_xlfn.XLOOKUP(1, (Facturas_Odoo!$D:$D=A154) * (Facturas_Odoo!$K:$K=I154), Facturas_Odoo!$N:$N, 0), 0))</f>
        <v/>
      </c>
      <c r="V154" s="79">
        <f>IF(Q154="Sin Factura",0,IFERROR(_xlfn.XLOOKUP(1, (Facturas_Odoo!$D:$D=A154) * (Facturas_Odoo!$K:$K=I154), Facturas_Odoo!$O:$O, 0), 0))</f>
        <v/>
      </c>
      <c r="W154" s="81">
        <f>IF(Q154="Sin Factura",0,IFERROR(_xlfn.XLOOKUP(1, (Facturas_Odoo!$D:$D=A154) * (Facturas_Odoo!$K:$K=I154), Facturas_Odoo!$Q:$Q, 0), 0))</f>
        <v/>
      </c>
      <c r="X154" s="79">
        <f>IF(OR(Q154="Sin Factura",Q154=""),"",IFERROR(INDEX(Pagos_Odoo!$B:$B, MATCH(Q154, Pagos_Odoo!$I:$I, 0)), "Sin Pago"))</f>
        <v/>
      </c>
      <c r="Y154" s="79">
        <f>IF(X154="Sin Pago","",IFERROR(INDEX(Pagos_Odoo!$C:$C, MATCH(X154, Pagos_Odoo!$B:$B, 0)), ""))</f>
        <v/>
      </c>
      <c r="Z154" s="80">
        <f>IF(X154="Sin Pago","",IFERROR(INDEX(Pagos_Odoo!$A:$A, MATCH(X154, Pagos_Odoo!$B:$B, 0)), ""))</f>
        <v/>
      </c>
      <c r="AA154" s="79">
        <f>IF(X154="Sin Pago","",IFERROR(INDEX(Pagos_Odoo!$F:$F, MATCH(X154, Pagos_Odoo!$B:$B, 0)), ""))</f>
        <v/>
      </c>
      <c r="AB154" s="81">
        <f>IF(X154="Sin Pago",0,IFERROR(INDEX(Pagos_Odoo!$E:$E, MATCH(X154, Pagos_Odoo!$B:$B, 0)), 0))</f>
        <v/>
      </c>
      <c r="AC154" s="79">
        <f>IF(X154="Sin Pago","",IFERROR(INDEX(Pagos_Odoo!$G:$G, MATCH(X154, Pagos_Odoo!$B:$B, 0)), ""))</f>
        <v/>
      </c>
      <c r="AD154" s="82" t="n">
        <v>0</v>
      </c>
      <c r="AE154" s="82" t="n"/>
      <c r="AF154" s="82" t="n"/>
      <c r="AG154" s="82">
        <f>IF(AN154="","",AD154+AE154+AF154)</f>
        <v/>
      </c>
      <c r="AH154" s="81">
        <f>IF(AN154="","",P154*(1-AG154))</f>
        <v/>
      </c>
      <c r="AI154" s="81">
        <f>IF(AN154="","",IF(Q154="Sin Factura",0,IFERROR(INDEX(Facturas_Odoo!$H:$H, MATCH(Q154, Facturas_Odoo!$B:$B, 0)), 0)*(1-AG154)))</f>
        <v/>
      </c>
      <c r="AJ154" s="81">
        <f>IF(AN154="","",_xlfn.LET(idVenta, AN154&amp;"",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4" s="81">
        <f>IF(AN154="","",AH154-AJ154)</f>
        <v/>
      </c>
      <c r="AL154" s="81">
        <f>IF(AN154="","",IF(Q154="Sin Factura","",AI154-AJ154))</f>
        <v/>
      </c>
      <c r="AM154" s="81">
        <f>IF(AN154="","",IF(Q154="Sin Factura",0,P154-IFERROR(INDEX(Facturas_Odoo!$H:$H, MATCH(Q154, Facturas_Odoo!$B:$B, 0)), 0)))</f>
        <v/>
      </c>
      <c r="AN154" s="79">
        <f>IF(AND(A154="", J154=""), "", IF(A154&lt;&gt;"", VALUE(MID(A154,2,LEN(A154))), AN153))</f>
        <v/>
      </c>
      <c r="AO154" s="79">
        <f>IF(AN154="","",IF(AD154=0,"OK",_xlfn.LET(monedaPago, IF(AA154="","USD",AA154), limitePermitido, IFERROR(VLOOKUP(monedaPago, Configuración!$A$2:$B$3, 2, FALSE), 0.15), IF(AD154&gt;limitePermitido, "ALERTA: EXCESO (" &amp; TEXT(limitePermitido, "0%") &amp; " máx)", "OK"))))</f>
        <v/>
      </c>
      <c r="AP154" s="79">
        <f>IF(AN154="","",IF(AE154=0,"OK",_xlfn.LET(fechaPago, Z154, fechaFactura, R154, diasCredito, IF(E154="Pago inmediato", 0, IFERROR(VALUE(MID(E154, 1, SEARCH(" ", E154)-1)),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4" s="79">
        <f>IF(AN154="","",IF(AND(N154&gt;0, AG154&gt;0), IF(Configuración!$K$2="NO", "ALERTA: DESCUENTO DOBLE NO PERMITIDO", "OK"), "OK"))</f>
        <v/>
      </c>
      <c r="AR154" s="79">
        <f>IF(AN154="","",IF(OR(AO154&lt;&gt;"OK", AP154&lt;&gt;"OK", AQ154&lt;&gt;"OK"), "⚠️ REVISAR", "OK"))</f>
        <v/>
      </c>
    </row>
    <row r="155">
      <c r="A155" s="79">
        <f>IF('Ordenes_Odoo'!A155="","",'Ordenes_Odoo'!A155)</f>
        <v/>
      </c>
      <c r="B155" s="80">
        <f>IF('Ordenes_Odoo'!B155="","",'Ordenes_Odoo'!B155)</f>
        <v/>
      </c>
      <c r="C155" s="79">
        <f>IF('Ordenes_Odoo'!C155="","",'Ordenes_Odoo'!C155)</f>
        <v/>
      </c>
      <c r="D155" s="79">
        <f>IF('Ordenes_Odoo'!D155="","",'Ordenes_Odoo'!D155)</f>
        <v/>
      </c>
      <c r="E155" s="79">
        <f>IF('Ordenes_Odoo'!E155="","",'Ordenes_Odoo'!E155)</f>
        <v/>
      </c>
      <c r="F155" s="79">
        <f>IF('Ordenes_Odoo'!F155="","",'Ordenes_Odoo'!F155)</f>
        <v/>
      </c>
      <c r="G155" s="79">
        <f>IF('Ordenes_Odoo'!G155="","",'Ordenes_Odoo'!G155)</f>
        <v/>
      </c>
      <c r="H155" s="79">
        <f>IF('Ordenes_Odoo'!H155="","",'Ordenes_Odoo'!H155)</f>
        <v/>
      </c>
      <c r="I155" s="79">
        <f>IF('Ordenes_Odoo'!I155="","",'Ordenes_Odoo'!I155)</f>
        <v/>
      </c>
      <c r="J155" s="79">
        <f>IF('Ordenes_Odoo'!J155="","",'Ordenes_Odoo'!J155)</f>
        <v/>
      </c>
      <c r="K155" s="81">
        <f>IF('Ordenes_Odoo'!K155="","",'Ordenes_Odoo'!K155)</f>
        <v/>
      </c>
      <c r="L155" s="81">
        <f>IF('Ordenes_Odoo'!L155="","",'Ordenes_Odoo'!L155)</f>
        <v/>
      </c>
      <c r="M155" s="79">
        <f>IF('Ordenes_Odoo'!M155="","",'Ordenes_Odoo'!M155)</f>
        <v/>
      </c>
      <c r="N155" s="79">
        <f>IF('Ordenes_Odoo'!N155="","",'Ordenes_Odoo'!N155)</f>
        <v/>
      </c>
      <c r="O155" s="81">
        <f>IF('Ordenes_Odoo'!O155="","",'Ordenes_Odoo'!O155)</f>
        <v/>
      </c>
      <c r="P155" s="81">
        <f>IF('Ordenes_Odoo'!P155="","",'Ordenes_Odoo'!P155)</f>
        <v/>
      </c>
      <c r="Q155" s="79">
        <f>IF(A155="","",IFERROR(INDEX(Facturas_Odoo!$B:$B, MATCH(A155, Facturas_Odoo!$D:$D, 0)), "Sin Factura"))</f>
        <v/>
      </c>
      <c r="R155" s="80">
        <f>IF(Q155="Sin Factura","",IFERROR(INDEX(Facturas_Odoo!$A:$A, MATCH(Q155, Facturas_Odoo!$B:$B, 0)), ""))</f>
        <v/>
      </c>
      <c r="S155" s="79">
        <f>IF(Q155="Sin Factura","",IFERROR(_xlfn.XLOOKUP(1, (Facturas_Odoo!$D:$D=A155) * (Facturas_Odoo!$K:$K=I155), Facturas_Odoo!$L:$L, ""), ""))</f>
        <v/>
      </c>
      <c r="T155" s="81">
        <f>IF(Q155="Sin Factura",0,IFERROR(_xlfn.XLOOKUP(1, (Facturas_Odoo!$D:$D=A155) * (Facturas_Odoo!$K:$K=I155), Facturas_Odoo!$M:$M, 0), 0))</f>
        <v/>
      </c>
      <c r="U155" s="79">
        <f>IF(Q155="Sin Factura",0,IFERROR(_xlfn.XLOOKUP(1, (Facturas_Odoo!$D:$D=A155) * (Facturas_Odoo!$K:$K=I155), Facturas_Odoo!$N:$N, 0), 0))</f>
        <v/>
      </c>
      <c r="V155" s="79">
        <f>IF(Q155="Sin Factura",0,IFERROR(_xlfn.XLOOKUP(1, (Facturas_Odoo!$D:$D=A155) * (Facturas_Odoo!$K:$K=I155), Facturas_Odoo!$O:$O, 0), 0))</f>
        <v/>
      </c>
      <c r="W155" s="81">
        <f>IF(Q155="Sin Factura",0,IFERROR(_xlfn.XLOOKUP(1, (Facturas_Odoo!$D:$D=A155) * (Facturas_Odoo!$K:$K=I155), Facturas_Odoo!$Q:$Q, 0), 0))</f>
        <v/>
      </c>
      <c r="X155" s="79">
        <f>IF(OR(Q155="Sin Factura",Q155=""),"",IFERROR(INDEX(Pagos_Odoo!$B:$B, MATCH(Q155, Pagos_Odoo!$I:$I, 0)), "Sin Pago"))</f>
        <v/>
      </c>
      <c r="Y155" s="79">
        <f>IF(X155="Sin Pago","",IFERROR(INDEX(Pagos_Odoo!$C:$C, MATCH(X155, Pagos_Odoo!$B:$B, 0)), ""))</f>
        <v/>
      </c>
      <c r="Z155" s="80">
        <f>IF(X155="Sin Pago","",IFERROR(INDEX(Pagos_Odoo!$A:$A, MATCH(X155, Pagos_Odoo!$B:$B, 0)), ""))</f>
        <v/>
      </c>
      <c r="AA155" s="79">
        <f>IF(X155="Sin Pago","",IFERROR(INDEX(Pagos_Odoo!$F:$F, MATCH(X155, Pagos_Odoo!$B:$B, 0)), ""))</f>
        <v/>
      </c>
      <c r="AB155" s="81">
        <f>IF(X155="Sin Pago",0,IFERROR(INDEX(Pagos_Odoo!$E:$E, MATCH(X155, Pagos_Odoo!$B:$B, 0)), 0))</f>
        <v/>
      </c>
      <c r="AC155" s="79">
        <f>IF(X155="Sin Pago","",IFERROR(INDEX(Pagos_Odoo!$G:$G, MATCH(X155, Pagos_Odoo!$B:$B, 0)), ""))</f>
        <v/>
      </c>
      <c r="AD155" s="82" t="n">
        <v>0</v>
      </c>
      <c r="AE155" s="82" t="n"/>
      <c r="AF155" s="82" t="n"/>
      <c r="AG155" s="82">
        <f>IF(AN155="","",AD155+AE155+AF155)</f>
        <v/>
      </c>
      <c r="AH155" s="81">
        <f>IF(AN155="","",P155*(1-AG155))</f>
        <v/>
      </c>
      <c r="AI155" s="81">
        <f>IF(AN155="","",IF(Q155="Sin Factura",0,IFERROR(INDEX(Facturas_Odoo!$H:$H, MATCH(Q155, Facturas_Odoo!$B:$B, 0)), 0)*(1-AG155)))</f>
        <v/>
      </c>
      <c r="AJ155" s="81">
        <f>IF(AN155="","",_xlfn.LET(idVenta, AN155&amp;"",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5" s="81">
        <f>IF(AN155="","",AH155-AJ155)</f>
        <v/>
      </c>
      <c r="AL155" s="81">
        <f>IF(AN155="","",IF(Q155="Sin Factura","",AI155-AJ155))</f>
        <v/>
      </c>
      <c r="AM155" s="81">
        <f>IF(AN155="","",IF(Q155="Sin Factura",0,P155-IFERROR(INDEX(Facturas_Odoo!$H:$H, MATCH(Q155, Facturas_Odoo!$B:$B, 0)), 0)))</f>
        <v/>
      </c>
      <c r="AN155" s="79">
        <f>IF(AND(A155="", J155=""), "", IF(A155&lt;&gt;"", VALUE(MID(A155,2,LEN(A155))), AN154))</f>
        <v/>
      </c>
      <c r="AO155" s="79">
        <f>IF(AN155="","",IF(AD155=0,"OK",_xlfn.LET(monedaPago, IF(AA155="","USD",AA155), limitePermitido, IFERROR(VLOOKUP(monedaPago, Configuración!$A$2:$B$3, 2, FALSE), 0.15), IF(AD155&gt;limitePermitido, "ALERTA: EXCESO (" &amp; TEXT(limitePermitido, "0%") &amp; " máx)", "OK"))))</f>
        <v/>
      </c>
      <c r="AP155" s="79">
        <f>IF(AN155="","",IF(AE155=0,"OK",_xlfn.LET(fechaPago, Z155, fechaFactura, R155, diasCredito, IF(E155="Pago inmediato", 0, IFERROR(VALUE(MID(E155, 1, SEARCH(" ", E155)-1)),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5" s="79">
        <f>IF(AN155="","",IF(AND(N155&gt;0, AG155&gt;0), IF(Configuración!$K$2="NO", "ALERTA: DESCUENTO DOBLE NO PERMITIDO", "OK"), "OK"))</f>
        <v/>
      </c>
      <c r="AR155" s="79">
        <f>IF(AN155="","",IF(OR(AO155&lt;&gt;"OK", AP155&lt;&gt;"OK", AQ155&lt;&gt;"OK"), "⚠️ REVISAR", "OK"))</f>
        <v/>
      </c>
    </row>
    <row r="156">
      <c r="A156" s="79">
        <f>IF('Ordenes_Odoo'!A156="","",'Ordenes_Odoo'!A156)</f>
        <v/>
      </c>
      <c r="B156" s="80">
        <f>IF('Ordenes_Odoo'!B156="","",'Ordenes_Odoo'!B156)</f>
        <v/>
      </c>
      <c r="C156" s="79">
        <f>IF('Ordenes_Odoo'!C156="","",'Ordenes_Odoo'!C156)</f>
        <v/>
      </c>
      <c r="D156" s="79">
        <f>IF('Ordenes_Odoo'!D156="","",'Ordenes_Odoo'!D156)</f>
        <v/>
      </c>
      <c r="E156" s="79">
        <f>IF('Ordenes_Odoo'!E156="","",'Ordenes_Odoo'!E156)</f>
        <v/>
      </c>
      <c r="F156" s="79">
        <f>IF('Ordenes_Odoo'!F156="","",'Ordenes_Odoo'!F156)</f>
        <v/>
      </c>
      <c r="G156" s="79">
        <f>IF('Ordenes_Odoo'!G156="","",'Ordenes_Odoo'!G156)</f>
        <v/>
      </c>
      <c r="H156" s="79">
        <f>IF('Ordenes_Odoo'!H156="","",'Ordenes_Odoo'!H156)</f>
        <v/>
      </c>
      <c r="I156" s="79">
        <f>IF('Ordenes_Odoo'!I156="","",'Ordenes_Odoo'!I156)</f>
        <v/>
      </c>
      <c r="J156" s="79">
        <f>IF('Ordenes_Odoo'!J156="","",'Ordenes_Odoo'!J156)</f>
        <v/>
      </c>
      <c r="K156" s="81">
        <f>IF('Ordenes_Odoo'!K156="","",'Ordenes_Odoo'!K156)</f>
        <v/>
      </c>
      <c r="L156" s="81">
        <f>IF('Ordenes_Odoo'!L156="","",'Ordenes_Odoo'!L156)</f>
        <v/>
      </c>
      <c r="M156" s="79">
        <f>IF('Ordenes_Odoo'!M156="","",'Ordenes_Odoo'!M156)</f>
        <v/>
      </c>
      <c r="N156" s="79">
        <f>IF('Ordenes_Odoo'!N156="","",'Ordenes_Odoo'!N156)</f>
        <v/>
      </c>
      <c r="O156" s="81">
        <f>IF('Ordenes_Odoo'!O156="","",'Ordenes_Odoo'!O156)</f>
        <v/>
      </c>
      <c r="P156" s="81">
        <f>IF('Ordenes_Odoo'!P156="","",'Ordenes_Odoo'!P156)</f>
        <v/>
      </c>
      <c r="Q156" s="79">
        <f>IF(A156="","",IFERROR(INDEX(Facturas_Odoo!$B:$B, MATCH(A156, Facturas_Odoo!$D:$D, 0)), "Sin Factura"))</f>
        <v/>
      </c>
      <c r="R156" s="80">
        <f>IF(Q156="Sin Factura","",IFERROR(INDEX(Facturas_Odoo!$A:$A, MATCH(Q156, Facturas_Odoo!$B:$B, 0)), ""))</f>
        <v/>
      </c>
      <c r="S156" s="79">
        <f>IF(Q156="Sin Factura","",IFERROR(_xlfn.XLOOKUP(1, (Facturas_Odoo!$D:$D=A156) * (Facturas_Odoo!$K:$K=I156), Facturas_Odoo!$L:$L, ""), ""))</f>
        <v/>
      </c>
      <c r="T156" s="81">
        <f>IF(Q156="Sin Factura",0,IFERROR(_xlfn.XLOOKUP(1, (Facturas_Odoo!$D:$D=A156) * (Facturas_Odoo!$K:$K=I156), Facturas_Odoo!$M:$M, 0), 0))</f>
        <v/>
      </c>
      <c r="U156" s="79">
        <f>IF(Q156="Sin Factura",0,IFERROR(_xlfn.XLOOKUP(1, (Facturas_Odoo!$D:$D=A156) * (Facturas_Odoo!$K:$K=I156), Facturas_Odoo!$N:$N, 0), 0))</f>
        <v/>
      </c>
      <c r="V156" s="79">
        <f>IF(Q156="Sin Factura",0,IFERROR(_xlfn.XLOOKUP(1, (Facturas_Odoo!$D:$D=A156) * (Facturas_Odoo!$K:$K=I156), Facturas_Odoo!$O:$O, 0), 0))</f>
        <v/>
      </c>
      <c r="W156" s="81">
        <f>IF(Q156="Sin Factura",0,IFERROR(_xlfn.XLOOKUP(1, (Facturas_Odoo!$D:$D=A156) * (Facturas_Odoo!$K:$K=I156), Facturas_Odoo!$Q:$Q, 0), 0))</f>
        <v/>
      </c>
      <c r="X156" s="79">
        <f>IF(OR(Q156="Sin Factura",Q156=""),"",IFERROR(INDEX(Pagos_Odoo!$B:$B, MATCH(Q156, Pagos_Odoo!$I:$I, 0)), "Sin Pago"))</f>
        <v/>
      </c>
      <c r="Y156" s="79">
        <f>IF(X156="Sin Pago","",IFERROR(INDEX(Pagos_Odoo!$C:$C, MATCH(X156, Pagos_Odoo!$B:$B, 0)), ""))</f>
        <v/>
      </c>
      <c r="Z156" s="80">
        <f>IF(X156="Sin Pago","",IFERROR(INDEX(Pagos_Odoo!$A:$A, MATCH(X156, Pagos_Odoo!$B:$B, 0)), ""))</f>
        <v/>
      </c>
      <c r="AA156" s="79">
        <f>IF(X156="Sin Pago","",IFERROR(INDEX(Pagos_Odoo!$F:$F, MATCH(X156, Pagos_Odoo!$B:$B, 0)), ""))</f>
        <v/>
      </c>
      <c r="AB156" s="81">
        <f>IF(X156="Sin Pago",0,IFERROR(INDEX(Pagos_Odoo!$E:$E, MATCH(X156, Pagos_Odoo!$B:$B, 0)), 0))</f>
        <v/>
      </c>
      <c r="AC156" s="79">
        <f>IF(X156="Sin Pago","",IFERROR(INDEX(Pagos_Odoo!$G:$G, MATCH(X156, Pagos_Odoo!$B:$B, 0)), ""))</f>
        <v/>
      </c>
      <c r="AD156" s="82" t="n">
        <v>0</v>
      </c>
      <c r="AE156" s="82" t="n"/>
      <c r="AF156" s="82" t="n"/>
      <c r="AG156" s="82">
        <f>IF(AN156="","",AD156+AE156+AF156)</f>
        <v/>
      </c>
      <c r="AH156" s="81">
        <f>IF(AN156="","",P156*(1-AG156))</f>
        <v/>
      </c>
      <c r="AI156" s="81">
        <f>IF(AN156="","",IF(Q156="Sin Factura",0,IFERROR(INDEX(Facturas_Odoo!$H:$H, MATCH(Q156, Facturas_Odoo!$B:$B, 0)), 0)*(1-AG156)))</f>
        <v/>
      </c>
      <c r="AJ156" s="81">
        <f>IF(AN156="","",_xlfn.LET(idVenta, AN156&amp;"",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6" s="81">
        <f>IF(AN156="","",AH156-AJ156)</f>
        <v/>
      </c>
      <c r="AL156" s="81">
        <f>IF(AN156="","",IF(Q156="Sin Factura","",AI156-AJ156))</f>
        <v/>
      </c>
      <c r="AM156" s="81">
        <f>IF(AN156="","",IF(Q156="Sin Factura",0,P156-IFERROR(INDEX(Facturas_Odoo!$H:$H, MATCH(Q156, Facturas_Odoo!$B:$B, 0)), 0)))</f>
        <v/>
      </c>
      <c r="AN156" s="79">
        <f>IF(AND(A156="", J156=""), "", IF(A156&lt;&gt;"", VALUE(MID(A156,2,LEN(A156))), AN155))</f>
        <v/>
      </c>
      <c r="AO156" s="79">
        <f>IF(AN156="","",IF(AD156=0,"OK",_xlfn.LET(monedaPago, IF(AA156="","USD",AA156), limitePermitido, IFERROR(VLOOKUP(monedaPago, Configuración!$A$2:$B$3, 2, FALSE), 0.15), IF(AD156&gt;limitePermitido, "ALERTA: EXCESO (" &amp; TEXT(limitePermitido, "0%") &amp; " máx)", "OK"))))</f>
        <v/>
      </c>
      <c r="AP156" s="79">
        <f>IF(AN156="","",IF(AE156=0,"OK",_xlfn.LET(fechaPago, Z156, fechaFactura, R156, diasCredito, IF(E156="Pago inmediato", 0, IFERROR(VALUE(MID(E156, 1, SEARCH(" ", E156)-1)),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6" s="79">
        <f>IF(AN156="","",IF(AND(N156&gt;0, AG156&gt;0), IF(Configuración!$K$2="NO", "ALERTA: DESCUENTO DOBLE NO PERMITIDO", "OK"), "OK"))</f>
        <v/>
      </c>
      <c r="AR156" s="79">
        <f>IF(AN156="","",IF(OR(AO156&lt;&gt;"OK", AP156&lt;&gt;"OK", AQ156&lt;&gt;"OK"), "⚠️ REVISAR", "OK"))</f>
        <v/>
      </c>
    </row>
    <row r="157">
      <c r="A157" s="79">
        <f>IF('Ordenes_Odoo'!A157="","",'Ordenes_Odoo'!A157)</f>
        <v/>
      </c>
      <c r="B157" s="80">
        <f>IF('Ordenes_Odoo'!B157="","",'Ordenes_Odoo'!B157)</f>
        <v/>
      </c>
      <c r="C157" s="79">
        <f>IF('Ordenes_Odoo'!C157="","",'Ordenes_Odoo'!C157)</f>
        <v/>
      </c>
      <c r="D157" s="79">
        <f>IF('Ordenes_Odoo'!D157="","",'Ordenes_Odoo'!D157)</f>
        <v/>
      </c>
      <c r="E157" s="79">
        <f>IF('Ordenes_Odoo'!E157="","",'Ordenes_Odoo'!E157)</f>
        <v/>
      </c>
      <c r="F157" s="79">
        <f>IF('Ordenes_Odoo'!F157="","",'Ordenes_Odoo'!F157)</f>
        <v/>
      </c>
      <c r="G157" s="79">
        <f>IF('Ordenes_Odoo'!G157="","",'Ordenes_Odoo'!G157)</f>
        <v/>
      </c>
      <c r="H157" s="79">
        <f>IF('Ordenes_Odoo'!H157="","",'Ordenes_Odoo'!H157)</f>
        <v/>
      </c>
      <c r="I157" s="79">
        <f>IF('Ordenes_Odoo'!I157="","",'Ordenes_Odoo'!I157)</f>
        <v/>
      </c>
      <c r="J157" s="79">
        <f>IF('Ordenes_Odoo'!J157="","",'Ordenes_Odoo'!J157)</f>
        <v/>
      </c>
      <c r="K157" s="81">
        <f>IF('Ordenes_Odoo'!K157="","",'Ordenes_Odoo'!K157)</f>
        <v/>
      </c>
      <c r="L157" s="81">
        <f>IF('Ordenes_Odoo'!L157="","",'Ordenes_Odoo'!L157)</f>
        <v/>
      </c>
      <c r="M157" s="79">
        <f>IF('Ordenes_Odoo'!M157="","",'Ordenes_Odoo'!M157)</f>
        <v/>
      </c>
      <c r="N157" s="79">
        <f>IF('Ordenes_Odoo'!N157="","",'Ordenes_Odoo'!N157)</f>
        <v/>
      </c>
      <c r="O157" s="81">
        <f>IF('Ordenes_Odoo'!O157="","",'Ordenes_Odoo'!O157)</f>
        <v/>
      </c>
      <c r="P157" s="81">
        <f>IF('Ordenes_Odoo'!P157="","",'Ordenes_Odoo'!P157)</f>
        <v/>
      </c>
      <c r="Q157" s="79">
        <f>IF(A157="","",IFERROR(INDEX(Facturas_Odoo!$B:$B, MATCH(A157, Facturas_Odoo!$D:$D, 0)), "Sin Factura"))</f>
        <v/>
      </c>
      <c r="R157" s="80">
        <f>IF(Q157="Sin Factura","",IFERROR(INDEX(Facturas_Odoo!$A:$A, MATCH(Q157, Facturas_Odoo!$B:$B, 0)), ""))</f>
        <v/>
      </c>
      <c r="S157" s="79">
        <f>IF(Q157="Sin Factura","",IFERROR(_xlfn.XLOOKUP(1, (Facturas_Odoo!$D:$D=A157) * (Facturas_Odoo!$K:$K=I157), Facturas_Odoo!$L:$L, ""), ""))</f>
        <v/>
      </c>
      <c r="T157" s="81">
        <f>IF(Q157="Sin Factura",0,IFERROR(_xlfn.XLOOKUP(1, (Facturas_Odoo!$D:$D=A157) * (Facturas_Odoo!$K:$K=I157), Facturas_Odoo!$M:$M, 0), 0))</f>
        <v/>
      </c>
      <c r="U157" s="79">
        <f>IF(Q157="Sin Factura",0,IFERROR(_xlfn.XLOOKUP(1, (Facturas_Odoo!$D:$D=A157) * (Facturas_Odoo!$K:$K=I157), Facturas_Odoo!$N:$N, 0), 0))</f>
        <v/>
      </c>
      <c r="V157" s="79">
        <f>IF(Q157="Sin Factura",0,IFERROR(_xlfn.XLOOKUP(1, (Facturas_Odoo!$D:$D=A157) * (Facturas_Odoo!$K:$K=I157), Facturas_Odoo!$O:$O, 0), 0))</f>
        <v/>
      </c>
      <c r="W157" s="81">
        <f>IF(Q157="Sin Factura",0,IFERROR(_xlfn.XLOOKUP(1, (Facturas_Odoo!$D:$D=A157) * (Facturas_Odoo!$K:$K=I157), Facturas_Odoo!$Q:$Q, 0), 0))</f>
        <v/>
      </c>
      <c r="X157" s="79">
        <f>IF(OR(Q157="Sin Factura",Q157=""),"",IFERROR(INDEX(Pagos_Odoo!$B:$B, MATCH(Q157, Pagos_Odoo!$I:$I, 0)), "Sin Pago"))</f>
        <v/>
      </c>
      <c r="Y157" s="79">
        <f>IF(X157="Sin Pago","",IFERROR(INDEX(Pagos_Odoo!$C:$C, MATCH(X157, Pagos_Odoo!$B:$B, 0)), ""))</f>
        <v/>
      </c>
      <c r="Z157" s="80">
        <f>IF(X157="Sin Pago","",IFERROR(INDEX(Pagos_Odoo!$A:$A, MATCH(X157, Pagos_Odoo!$B:$B, 0)), ""))</f>
        <v/>
      </c>
      <c r="AA157" s="79">
        <f>IF(X157="Sin Pago","",IFERROR(INDEX(Pagos_Odoo!$F:$F, MATCH(X157, Pagos_Odoo!$B:$B, 0)), ""))</f>
        <v/>
      </c>
      <c r="AB157" s="81">
        <f>IF(X157="Sin Pago",0,IFERROR(INDEX(Pagos_Odoo!$E:$E, MATCH(X157, Pagos_Odoo!$B:$B, 0)), 0))</f>
        <v/>
      </c>
      <c r="AC157" s="79">
        <f>IF(X157="Sin Pago","",IFERROR(INDEX(Pagos_Odoo!$G:$G, MATCH(X157, Pagos_Odoo!$B:$B, 0)), ""))</f>
        <v/>
      </c>
      <c r="AD157" s="82" t="n">
        <v>0</v>
      </c>
      <c r="AE157" s="82" t="n"/>
      <c r="AF157" s="82" t="n"/>
      <c r="AG157" s="82">
        <f>IF(AN157="","",AD157+AE157+AF157)</f>
        <v/>
      </c>
      <c r="AH157" s="81">
        <f>IF(AN157="","",P157*(1-AG157))</f>
        <v/>
      </c>
      <c r="AI157" s="81">
        <f>IF(AN157="","",IF(Q157="Sin Factura",0,IFERROR(INDEX(Facturas_Odoo!$H:$H, MATCH(Q157, Facturas_Odoo!$B:$B, 0)), 0)*(1-AG157)))</f>
        <v/>
      </c>
      <c r="AJ157" s="81">
        <f>IF(AN157="","",_xlfn.LET(idVenta, AN157&amp;"",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7" s="81">
        <f>IF(AN157="","",AH157-AJ157)</f>
        <v/>
      </c>
      <c r="AL157" s="81">
        <f>IF(AN157="","",IF(Q157="Sin Factura","",AI157-AJ157))</f>
        <v/>
      </c>
      <c r="AM157" s="81">
        <f>IF(AN157="","",IF(Q157="Sin Factura",0,P157-IFERROR(INDEX(Facturas_Odoo!$H:$H, MATCH(Q157, Facturas_Odoo!$B:$B, 0)), 0)))</f>
        <v/>
      </c>
      <c r="AN157" s="79">
        <f>IF(AND(A157="", J157=""), "", IF(A157&lt;&gt;"", VALUE(MID(A157,2,LEN(A157))), AN156))</f>
        <v/>
      </c>
      <c r="AO157" s="79">
        <f>IF(AN157="","",IF(AD157=0,"OK",_xlfn.LET(monedaPago, IF(AA157="","USD",AA157), limitePermitido, IFERROR(VLOOKUP(monedaPago, Configuración!$A$2:$B$3, 2, FALSE), 0.15), IF(AD157&gt;limitePermitido, "ALERTA: EXCESO (" &amp; TEXT(limitePermitido, "0%") &amp; " máx)", "OK"))))</f>
        <v/>
      </c>
      <c r="AP157" s="79">
        <f>IF(AN157="","",IF(AE157=0,"OK",_xlfn.LET(fechaPago, Z157, fechaFactura, R157, diasCredito, IF(E157="Pago inmediato", 0, IFERROR(VALUE(MID(E157, 1, SEARCH(" ", E157)-1)),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7" s="79">
        <f>IF(AN157="","",IF(AND(N157&gt;0, AG157&gt;0), IF(Configuración!$K$2="NO", "ALERTA: DESCUENTO DOBLE NO PERMITIDO", "OK"), "OK"))</f>
        <v/>
      </c>
      <c r="AR157" s="79">
        <f>IF(AN157="","",IF(OR(AO157&lt;&gt;"OK", AP157&lt;&gt;"OK", AQ157&lt;&gt;"OK"), "⚠️ REVISAR", "OK"))</f>
        <v/>
      </c>
    </row>
    <row r="158">
      <c r="A158" s="79">
        <f>IF('Ordenes_Odoo'!A158="","",'Ordenes_Odoo'!A158)</f>
        <v/>
      </c>
      <c r="B158" s="80">
        <f>IF('Ordenes_Odoo'!B158="","",'Ordenes_Odoo'!B158)</f>
        <v/>
      </c>
      <c r="C158" s="79">
        <f>IF('Ordenes_Odoo'!C158="","",'Ordenes_Odoo'!C158)</f>
        <v/>
      </c>
      <c r="D158" s="79">
        <f>IF('Ordenes_Odoo'!D158="","",'Ordenes_Odoo'!D158)</f>
        <v/>
      </c>
      <c r="E158" s="79">
        <f>IF('Ordenes_Odoo'!E158="","",'Ordenes_Odoo'!E158)</f>
        <v/>
      </c>
      <c r="F158" s="79">
        <f>IF('Ordenes_Odoo'!F158="","",'Ordenes_Odoo'!F158)</f>
        <v/>
      </c>
      <c r="G158" s="79">
        <f>IF('Ordenes_Odoo'!G158="","",'Ordenes_Odoo'!G158)</f>
        <v/>
      </c>
      <c r="H158" s="79">
        <f>IF('Ordenes_Odoo'!H158="","",'Ordenes_Odoo'!H158)</f>
        <v/>
      </c>
      <c r="I158" s="79">
        <f>IF('Ordenes_Odoo'!I158="","",'Ordenes_Odoo'!I158)</f>
        <v/>
      </c>
      <c r="J158" s="79">
        <f>IF('Ordenes_Odoo'!J158="","",'Ordenes_Odoo'!J158)</f>
        <v/>
      </c>
      <c r="K158" s="81">
        <f>IF('Ordenes_Odoo'!K158="","",'Ordenes_Odoo'!K158)</f>
        <v/>
      </c>
      <c r="L158" s="81">
        <f>IF('Ordenes_Odoo'!L158="","",'Ordenes_Odoo'!L158)</f>
        <v/>
      </c>
      <c r="M158" s="79">
        <f>IF('Ordenes_Odoo'!M158="","",'Ordenes_Odoo'!M158)</f>
        <v/>
      </c>
      <c r="N158" s="79">
        <f>IF('Ordenes_Odoo'!N158="","",'Ordenes_Odoo'!N158)</f>
        <v/>
      </c>
      <c r="O158" s="81">
        <f>IF('Ordenes_Odoo'!O158="","",'Ordenes_Odoo'!O158)</f>
        <v/>
      </c>
      <c r="P158" s="81">
        <f>IF('Ordenes_Odoo'!P158="","",'Ordenes_Odoo'!P158)</f>
        <v/>
      </c>
      <c r="Q158" s="79">
        <f>IF(A158="","",IFERROR(INDEX(Facturas_Odoo!$B:$B, MATCH(A158, Facturas_Odoo!$D:$D, 0)), "Sin Factura"))</f>
        <v/>
      </c>
      <c r="R158" s="80">
        <f>IF(Q158="Sin Factura","",IFERROR(INDEX(Facturas_Odoo!$A:$A, MATCH(Q158, Facturas_Odoo!$B:$B, 0)), ""))</f>
        <v/>
      </c>
      <c r="S158" s="79">
        <f>IF(Q158="Sin Factura","",IFERROR(_xlfn.XLOOKUP(1, (Facturas_Odoo!$D:$D=A158) * (Facturas_Odoo!$K:$K=I158), Facturas_Odoo!$L:$L, ""), ""))</f>
        <v/>
      </c>
      <c r="T158" s="81">
        <f>IF(Q158="Sin Factura",0,IFERROR(_xlfn.XLOOKUP(1, (Facturas_Odoo!$D:$D=A158) * (Facturas_Odoo!$K:$K=I158), Facturas_Odoo!$M:$M, 0), 0))</f>
        <v/>
      </c>
      <c r="U158" s="79">
        <f>IF(Q158="Sin Factura",0,IFERROR(_xlfn.XLOOKUP(1, (Facturas_Odoo!$D:$D=A158) * (Facturas_Odoo!$K:$K=I158), Facturas_Odoo!$N:$N, 0), 0))</f>
        <v/>
      </c>
      <c r="V158" s="79">
        <f>IF(Q158="Sin Factura",0,IFERROR(_xlfn.XLOOKUP(1, (Facturas_Odoo!$D:$D=A158) * (Facturas_Odoo!$K:$K=I158), Facturas_Odoo!$O:$O, 0), 0))</f>
        <v/>
      </c>
      <c r="W158" s="81">
        <f>IF(Q158="Sin Factura",0,IFERROR(_xlfn.XLOOKUP(1, (Facturas_Odoo!$D:$D=A158) * (Facturas_Odoo!$K:$K=I158), Facturas_Odoo!$Q:$Q, 0), 0))</f>
        <v/>
      </c>
      <c r="X158" s="79">
        <f>IF(OR(Q158="Sin Factura",Q158=""),"",IFERROR(INDEX(Pagos_Odoo!$B:$B, MATCH(Q158, Pagos_Odoo!$I:$I, 0)), "Sin Pago"))</f>
        <v/>
      </c>
      <c r="Y158" s="79">
        <f>IF(X158="Sin Pago","",IFERROR(INDEX(Pagos_Odoo!$C:$C, MATCH(X158, Pagos_Odoo!$B:$B, 0)), ""))</f>
        <v/>
      </c>
      <c r="Z158" s="80">
        <f>IF(X158="Sin Pago","",IFERROR(INDEX(Pagos_Odoo!$A:$A, MATCH(X158, Pagos_Odoo!$B:$B, 0)), ""))</f>
        <v/>
      </c>
      <c r="AA158" s="79">
        <f>IF(X158="Sin Pago","",IFERROR(INDEX(Pagos_Odoo!$F:$F, MATCH(X158, Pagos_Odoo!$B:$B, 0)), ""))</f>
        <v/>
      </c>
      <c r="AB158" s="81">
        <f>IF(X158="Sin Pago",0,IFERROR(INDEX(Pagos_Odoo!$E:$E, MATCH(X158, Pagos_Odoo!$B:$B, 0)), 0))</f>
        <v/>
      </c>
      <c r="AC158" s="79">
        <f>IF(X158="Sin Pago","",IFERROR(INDEX(Pagos_Odoo!$G:$G, MATCH(X158, Pagos_Odoo!$B:$B, 0)), ""))</f>
        <v/>
      </c>
      <c r="AD158" s="82" t="n">
        <v>0</v>
      </c>
      <c r="AE158" s="82" t="n"/>
      <c r="AF158" s="82" t="n"/>
      <c r="AG158" s="82">
        <f>IF(AN158="","",AD158+AE158+AF158)</f>
        <v/>
      </c>
      <c r="AH158" s="81">
        <f>IF(AN158="","",P158*(1-AG158))</f>
        <v/>
      </c>
      <c r="AI158" s="81">
        <f>IF(AN158="","",IF(Q158="Sin Factura",0,IFERROR(INDEX(Facturas_Odoo!$H:$H, MATCH(Q158, Facturas_Odoo!$B:$B, 0)), 0)*(1-AG158)))</f>
        <v/>
      </c>
      <c r="AJ158" s="81">
        <f>IF(AN158="","",_xlfn.LET(idVenta, AN158&amp;"",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8" s="81">
        <f>IF(AN158="","",AH158-AJ158)</f>
        <v/>
      </c>
      <c r="AL158" s="81">
        <f>IF(AN158="","",IF(Q158="Sin Factura","",AI158-AJ158))</f>
        <v/>
      </c>
      <c r="AM158" s="81">
        <f>IF(AN158="","",IF(Q158="Sin Factura",0,P158-IFERROR(INDEX(Facturas_Odoo!$H:$H, MATCH(Q158, Facturas_Odoo!$B:$B, 0)), 0)))</f>
        <v/>
      </c>
      <c r="AN158" s="79">
        <f>IF(AND(A158="", J158=""), "", IF(A158&lt;&gt;"", VALUE(MID(A158,2,LEN(A158))), AN157))</f>
        <v/>
      </c>
      <c r="AO158" s="79">
        <f>IF(AN158="","",IF(AD158=0,"OK",_xlfn.LET(monedaPago, IF(AA158="","USD",AA158), limitePermitido, IFERROR(VLOOKUP(monedaPago, Configuración!$A$2:$B$3, 2, FALSE), 0.15), IF(AD158&gt;limitePermitido, "ALERTA: EXCESO (" &amp; TEXT(limitePermitido, "0%") &amp; " máx)", "OK"))))</f>
        <v/>
      </c>
      <c r="AP158" s="79">
        <f>IF(AN158="","",IF(AE158=0,"OK",_xlfn.LET(fechaPago, Z158, fechaFactura, R158, diasCredito, IF(E158="Pago inmediato", 0, IFERROR(VALUE(MID(E158, 1, SEARCH(" ", E158)-1)),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8" s="79">
        <f>IF(AN158="","",IF(AND(N158&gt;0, AG158&gt;0), IF(Configuración!$K$2="NO", "ALERTA: DESCUENTO DOBLE NO PERMITIDO", "OK"), "OK"))</f>
        <v/>
      </c>
      <c r="AR158" s="79">
        <f>IF(AN158="","",IF(OR(AO158&lt;&gt;"OK", AP158&lt;&gt;"OK", AQ158&lt;&gt;"OK"), "⚠️ REVISAR", "OK"))</f>
        <v/>
      </c>
    </row>
    <row r="159">
      <c r="A159" s="79">
        <f>IF('Ordenes_Odoo'!A159="","",'Ordenes_Odoo'!A159)</f>
        <v/>
      </c>
      <c r="B159" s="80">
        <f>IF('Ordenes_Odoo'!B159="","",'Ordenes_Odoo'!B159)</f>
        <v/>
      </c>
      <c r="C159" s="79">
        <f>IF('Ordenes_Odoo'!C159="","",'Ordenes_Odoo'!C159)</f>
        <v/>
      </c>
      <c r="D159" s="79">
        <f>IF('Ordenes_Odoo'!D159="","",'Ordenes_Odoo'!D159)</f>
        <v/>
      </c>
      <c r="E159" s="79">
        <f>IF('Ordenes_Odoo'!E159="","",'Ordenes_Odoo'!E159)</f>
        <v/>
      </c>
      <c r="F159" s="79">
        <f>IF('Ordenes_Odoo'!F159="","",'Ordenes_Odoo'!F159)</f>
        <v/>
      </c>
      <c r="G159" s="79">
        <f>IF('Ordenes_Odoo'!G159="","",'Ordenes_Odoo'!G159)</f>
        <v/>
      </c>
      <c r="H159" s="79">
        <f>IF('Ordenes_Odoo'!H159="","",'Ordenes_Odoo'!H159)</f>
        <v/>
      </c>
      <c r="I159" s="79">
        <f>IF('Ordenes_Odoo'!I159="","",'Ordenes_Odoo'!I159)</f>
        <v/>
      </c>
      <c r="J159" s="79">
        <f>IF('Ordenes_Odoo'!J159="","",'Ordenes_Odoo'!J159)</f>
        <v/>
      </c>
      <c r="K159" s="81">
        <f>IF('Ordenes_Odoo'!K159="","",'Ordenes_Odoo'!K159)</f>
        <v/>
      </c>
      <c r="L159" s="81">
        <f>IF('Ordenes_Odoo'!L159="","",'Ordenes_Odoo'!L159)</f>
        <v/>
      </c>
      <c r="M159" s="79">
        <f>IF('Ordenes_Odoo'!M159="","",'Ordenes_Odoo'!M159)</f>
        <v/>
      </c>
      <c r="N159" s="79">
        <f>IF('Ordenes_Odoo'!N159="","",'Ordenes_Odoo'!N159)</f>
        <v/>
      </c>
      <c r="O159" s="81">
        <f>IF('Ordenes_Odoo'!O159="","",'Ordenes_Odoo'!O159)</f>
        <v/>
      </c>
      <c r="P159" s="81">
        <f>IF('Ordenes_Odoo'!P159="","",'Ordenes_Odoo'!P159)</f>
        <v/>
      </c>
      <c r="Q159" s="79">
        <f>IF(A159="","",IFERROR(INDEX(Facturas_Odoo!$B:$B, MATCH(A159, Facturas_Odoo!$D:$D, 0)), "Sin Factura"))</f>
        <v/>
      </c>
      <c r="R159" s="80">
        <f>IF(Q159="Sin Factura","",IFERROR(INDEX(Facturas_Odoo!$A:$A, MATCH(Q159, Facturas_Odoo!$B:$B, 0)), ""))</f>
        <v/>
      </c>
      <c r="S159" s="79">
        <f>IF(Q159="Sin Factura","",IFERROR(_xlfn.XLOOKUP(1, (Facturas_Odoo!$D:$D=A159) * (Facturas_Odoo!$K:$K=I159), Facturas_Odoo!$L:$L, ""), ""))</f>
        <v/>
      </c>
      <c r="T159" s="81">
        <f>IF(Q159="Sin Factura",0,IFERROR(_xlfn.XLOOKUP(1, (Facturas_Odoo!$D:$D=A159) * (Facturas_Odoo!$K:$K=I159), Facturas_Odoo!$M:$M, 0), 0))</f>
        <v/>
      </c>
      <c r="U159" s="79">
        <f>IF(Q159="Sin Factura",0,IFERROR(_xlfn.XLOOKUP(1, (Facturas_Odoo!$D:$D=A159) * (Facturas_Odoo!$K:$K=I159), Facturas_Odoo!$N:$N, 0), 0))</f>
        <v/>
      </c>
      <c r="V159" s="79">
        <f>IF(Q159="Sin Factura",0,IFERROR(_xlfn.XLOOKUP(1, (Facturas_Odoo!$D:$D=A159) * (Facturas_Odoo!$K:$K=I159), Facturas_Odoo!$O:$O, 0), 0))</f>
        <v/>
      </c>
      <c r="W159" s="81">
        <f>IF(Q159="Sin Factura",0,IFERROR(_xlfn.XLOOKUP(1, (Facturas_Odoo!$D:$D=A159) * (Facturas_Odoo!$K:$K=I159), Facturas_Odoo!$Q:$Q, 0), 0))</f>
        <v/>
      </c>
      <c r="X159" s="79">
        <f>IF(OR(Q159="Sin Factura",Q159=""),"",IFERROR(INDEX(Pagos_Odoo!$B:$B, MATCH(Q159, Pagos_Odoo!$I:$I, 0)), "Sin Pago"))</f>
        <v/>
      </c>
      <c r="Y159" s="79">
        <f>IF(X159="Sin Pago","",IFERROR(INDEX(Pagos_Odoo!$C:$C, MATCH(X159, Pagos_Odoo!$B:$B, 0)), ""))</f>
        <v/>
      </c>
      <c r="Z159" s="80">
        <f>IF(X159="Sin Pago","",IFERROR(INDEX(Pagos_Odoo!$A:$A, MATCH(X159, Pagos_Odoo!$B:$B, 0)), ""))</f>
        <v/>
      </c>
      <c r="AA159" s="79">
        <f>IF(X159="Sin Pago","",IFERROR(INDEX(Pagos_Odoo!$F:$F, MATCH(X159, Pagos_Odoo!$B:$B, 0)), ""))</f>
        <v/>
      </c>
      <c r="AB159" s="81">
        <f>IF(X159="Sin Pago",0,IFERROR(INDEX(Pagos_Odoo!$E:$E, MATCH(X159, Pagos_Odoo!$B:$B, 0)), 0))</f>
        <v/>
      </c>
      <c r="AC159" s="79">
        <f>IF(X159="Sin Pago","",IFERROR(INDEX(Pagos_Odoo!$G:$G, MATCH(X159, Pagos_Odoo!$B:$B, 0)), ""))</f>
        <v/>
      </c>
      <c r="AD159" s="82" t="n">
        <v>0</v>
      </c>
      <c r="AE159" s="82" t="n"/>
      <c r="AF159" s="82" t="n"/>
      <c r="AG159" s="82">
        <f>IF(AN159="","",AD159+AE159+AF159)</f>
        <v/>
      </c>
      <c r="AH159" s="81">
        <f>IF(AN159="","",P159*(1-AG159))</f>
        <v/>
      </c>
      <c r="AI159" s="81">
        <f>IF(AN159="","",IF(Q159="Sin Factura",0,IFERROR(INDEX(Facturas_Odoo!$H:$H, MATCH(Q159, Facturas_Odoo!$B:$B, 0)), 0)*(1-AG159)))</f>
        <v/>
      </c>
      <c r="AJ159" s="81">
        <f>IF(AN159="","",_xlfn.LET(idVenta, AN159&amp;"",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9" s="81">
        <f>IF(AN159="","",AH159-AJ159)</f>
        <v/>
      </c>
      <c r="AL159" s="81">
        <f>IF(AN159="","",IF(Q159="Sin Factura","",AI159-AJ159))</f>
        <v/>
      </c>
      <c r="AM159" s="81">
        <f>IF(AN159="","",IF(Q159="Sin Factura",0,P159-IFERROR(INDEX(Facturas_Odoo!$H:$H, MATCH(Q159, Facturas_Odoo!$B:$B, 0)), 0)))</f>
        <v/>
      </c>
      <c r="AN159" s="79">
        <f>IF(AND(A159="", J159=""), "", IF(A159&lt;&gt;"", VALUE(MID(A159,2,LEN(A159))), AN158))</f>
        <v/>
      </c>
      <c r="AO159" s="79">
        <f>IF(AN159="","",IF(AD159=0,"OK",_xlfn.LET(monedaPago, IF(AA159="","USD",AA159), limitePermitido, IFERROR(VLOOKUP(monedaPago, Configuración!$A$2:$B$3, 2, FALSE), 0.15), IF(AD159&gt;limitePermitido, "ALERTA: EXCESO (" &amp; TEXT(limitePermitido, "0%") &amp; " máx)", "OK"))))</f>
        <v/>
      </c>
      <c r="AP159" s="79">
        <f>IF(AN159="","",IF(AE159=0,"OK",_xlfn.LET(fechaPago, Z159, fechaFactura, R159, diasCredito, IF(E159="Pago inmediato", 0, IFERROR(VALUE(MID(E159, 1, SEARCH(" ", E159)-1)),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9" s="79">
        <f>IF(AN159="","",IF(AND(N159&gt;0, AG159&gt;0), IF(Configuración!$K$2="NO", "ALERTA: DESCUENTO DOBLE NO PERMITIDO", "OK"), "OK"))</f>
        <v/>
      </c>
      <c r="AR159" s="79">
        <f>IF(AN159="","",IF(OR(AO159&lt;&gt;"OK", AP159&lt;&gt;"OK", AQ159&lt;&gt;"OK"), "⚠️ REVISAR", "OK"))</f>
        <v/>
      </c>
    </row>
    <row r="160">
      <c r="A160" s="79">
        <f>IF('Ordenes_Odoo'!A160="","",'Ordenes_Odoo'!A160)</f>
        <v/>
      </c>
      <c r="B160" s="80">
        <f>IF('Ordenes_Odoo'!B160="","",'Ordenes_Odoo'!B160)</f>
        <v/>
      </c>
      <c r="C160" s="79">
        <f>IF('Ordenes_Odoo'!C160="","",'Ordenes_Odoo'!C160)</f>
        <v/>
      </c>
      <c r="D160" s="79">
        <f>IF('Ordenes_Odoo'!D160="","",'Ordenes_Odoo'!D160)</f>
        <v/>
      </c>
      <c r="E160" s="79">
        <f>IF('Ordenes_Odoo'!E160="","",'Ordenes_Odoo'!E160)</f>
        <v/>
      </c>
      <c r="F160" s="79">
        <f>IF('Ordenes_Odoo'!F160="","",'Ordenes_Odoo'!F160)</f>
        <v/>
      </c>
      <c r="G160" s="79">
        <f>IF('Ordenes_Odoo'!G160="","",'Ordenes_Odoo'!G160)</f>
        <v/>
      </c>
      <c r="H160" s="79">
        <f>IF('Ordenes_Odoo'!H160="","",'Ordenes_Odoo'!H160)</f>
        <v/>
      </c>
      <c r="I160" s="79">
        <f>IF('Ordenes_Odoo'!I160="","",'Ordenes_Odoo'!I160)</f>
        <v/>
      </c>
      <c r="J160" s="79">
        <f>IF('Ordenes_Odoo'!J160="","",'Ordenes_Odoo'!J160)</f>
        <v/>
      </c>
      <c r="K160" s="81">
        <f>IF('Ordenes_Odoo'!K160="","",'Ordenes_Odoo'!K160)</f>
        <v/>
      </c>
      <c r="L160" s="81">
        <f>IF('Ordenes_Odoo'!L160="","",'Ordenes_Odoo'!L160)</f>
        <v/>
      </c>
      <c r="M160" s="79">
        <f>IF('Ordenes_Odoo'!M160="","",'Ordenes_Odoo'!M160)</f>
        <v/>
      </c>
      <c r="N160" s="79">
        <f>IF('Ordenes_Odoo'!N160="","",'Ordenes_Odoo'!N160)</f>
        <v/>
      </c>
      <c r="O160" s="81">
        <f>IF('Ordenes_Odoo'!O160="","",'Ordenes_Odoo'!O160)</f>
        <v/>
      </c>
      <c r="P160" s="81">
        <f>IF('Ordenes_Odoo'!P160="","",'Ordenes_Odoo'!P160)</f>
        <v/>
      </c>
      <c r="Q160" s="79">
        <f>IF(A160="","",IFERROR(INDEX(Facturas_Odoo!$B:$B, MATCH(A160, Facturas_Odoo!$D:$D, 0)), "Sin Factura"))</f>
        <v/>
      </c>
      <c r="R160" s="80">
        <f>IF(Q160="Sin Factura","",IFERROR(INDEX(Facturas_Odoo!$A:$A, MATCH(Q160, Facturas_Odoo!$B:$B, 0)), ""))</f>
        <v/>
      </c>
      <c r="S160" s="79">
        <f>IF(Q160="Sin Factura","",IFERROR(_xlfn.XLOOKUP(1, (Facturas_Odoo!$D:$D=A160) * (Facturas_Odoo!$K:$K=I160), Facturas_Odoo!$L:$L, ""), ""))</f>
        <v/>
      </c>
      <c r="T160" s="81">
        <f>IF(Q160="Sin Factura",0,IFERROR(_xlfn.XLOOKUP(1, (Facturas_Odoo!$D:$D=A160) * (Facturas_Odoo!$K:$K=I160), Facturas_Odoo!$M:$M, 0), 0))</f>
        <v/>
      </c>
      <c r="U160" s="79">
        <f>IF(Q160="Sin Factura",0,IFERROR(_xlfn.XLOOKUP(1, (Facturas_Odoo!$D:$D=A160) * (Facturas_Odoo!$K:$K=I160), Facturas_Odoo!$N:$N, 0), 0))</f>
        <v/>
      </c>
      <c r="V160" s="79">
        <f>IF(Q160="Sin Factura",0,IFERROR(_xlfn.XLOOKUP(1, (Facturas_Odoo!$D:$D=A160) * (Facturas_Odoo!$K:$K=I160), Facturas_Odoo!$O:$O, 0), 0))</f>
        <v/>
      </c>
      <c r="W160" s="81">
        <f>IF(Q160="Sin Factura",0,IFERROR(_xlfn.XLOOKUP(1, (Facturas_Odoo!$D:$D=A160) * (Facturas_Odoo!$K:$K=I160), Facturas_Odoo!$Q:$Q, 0), 0))</f>
        <v/>
      </c>
      <c r="X160" s="79">
        <f>IF(OR(Q160="Sin Factura",Q160=""),"",IFERROR(INDEX(Pagos_Odoo!$B:$B, MATCH(Q160, Pagos_Odoo!$I:$I, 0)), "Sin Pago"))</f>
        <v/>
      </c>
      <c r="Y160" s="79">
        <f>IF(X160="Sin Pago","",IFERROR(INDEX(Pagos_Odoo!$C:$C, MATCH(X160, Pagos_Odoo!$B:$B, 0)), ""))</f>
        <v/>
      </c>
      <c r="Z160" s="80">
        <f>IF(X160="Sin Pago","",IFERROR(INDEX(Pagos_Odoo!$A:$A, MATCH(X160, Pagos_Odoo!$B:$B, 0)), ""))</f>
        <v/>
      </c>
      <c r="AA160" s="79">
        <f>IF(X160="Sin Pago","",IFERROR(INDEX(Pagos_Odoo!$F:$F, MATCH(X160, Pagos_Odoo!$B:$B, 0)), ""))</f>
        <v/>
      </c>
      <c r="AB160" s="81">
        <f>IF(X160="Sin Pago",0,IFERROR(INDEX(Pagos_Odoo!$E:$E, MATCH(X160, Pagos_Odoo!$B:$B, 0)), 0))</f>
        <v/>
      </c>
      <c r="AC160" s="79">
        <f>IF(X160="Sin Pago","",IFERROR(INDEX(Pagos_Odoo!$G:$G, MATCH(X160, Pagos_Odoo!$B:$B, 0)), ""))</f>
        <v/>
      </c>
      <c r="AD160" s="82" t="n">
        <v>0</v>
      </c>
      <c r="AE160" s="82" t="n"/>
      <c r="AF160" s="82" t="n"/>
      <c r="AG160" s="82">
        <f>IF(AN160="","",AD160+AE160+AF160)</f>
        <v/>
      </c>
      <c r="AH160" s="81">
        <f>IF(AN160="","",P160*(1-AG160))</f>
        <v/>
      </c>
      <c r="AI160" s="81">
        <f>IF(AN160="","",IF(Q160="Sin Factura",0,IFERROR(INDEX(Facturas_Odoo!$H:$H, MATCH(Q160, Facturas_Odoo!$B:$B, 0)), 0)*(1-AG160)))</f>
        <v/>
      </c>
      <c r="AJ160" s="81">
        <f>IF(AN160="","",_xlfn.LET(idVenta, AN160&amp;"",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0" s="81">
        <f>IF(AN160="","",AH160-AJ160)</f>
        <v/>
      </c>
      <c r="AL160" s="81">
        <f>IF(AN160="","",IF(Q160="Sin Factura","",AI160-AJ160))</f>
        <v/>
      </c>
      <c r="AM160" s="81">
        <f>IF(AN160="","",IF(Q160="Sin Factura",0,P160-IFERROR(INDEX(Facturas_Odoo!$H:$H, MATCH(Q160, Facturas_Odoo!$B:$B, 0)), 0)))</f>
        <v/>
      </c>
      <c r="AN160" s="79">
        <f>IF(AND(A160="", J160=""), "", IF(A160&lt;&gt;"", VALUE(MID(A160,2,LEN(A160))), AN159))</f>
        <v/>
      </c>
      <c r="AO160" s="79">
        <f>IF(AN160="","",IF(AD160=0,"OK",_xlfn.LET(monedaPago, IF(AA160="","USD",AA160), limitePermitido, IFERROR(VLOOKUP(monedaPago, Configuración!$A$2:$B$3, 2, FALSE), 0.15), IF(AD160&gt;limitePermitido, "ALERTA: EXCESO (" &amp; TEXT(limitePermitido, "0%") &amp; " máx)", "OK"))))</f>
        <v/>
      </c>
      <c r="AP160" s="79">
        <f>IF(AN160="","",IF(AE160=0,"OK",_xlfn.LET(fechaPago, Z160, fechaFactura, R160, diasCredito, IF(E160="Pago inmediato", 0, IFERROR(VALUE(MID(E160, 1, SEARCH(" ", E160)-1)),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0" s="79">
        <f>IF(AN160="","",IF(AND(N160&gt;0, AG160&gt;0), IF(Configuración!$K$2="NO", "ALERTA: DESCUENTO DOBLE NO PERMITIDO", "OK"), "OK"))</f>
        <v/>
      </c>
      <c r="AR160" s="79">
        <f>IF(AN160="","",IF(OR(AO160&lt;&gt;"OK", AP160&lt;&gt;"OK", AQ160&lt;&gt;"OK"), "⚠️ REVISAR", "OK"))</f>
        <v/>
      </c>
    </row>
    <row r="161">
      <c r="A161" s="79">
        <f>IF('Ordenes_Odoo'!A161="","",'Ordenes_Odoo'!A161)</f>
        <v/>
      </c>
      <c r="B161" s="80">
        <f>IF('Ordenes_Odoo'!B161="","",'Ordenes_Odoo'!B161)</f>
        <v/>
      </c>
      <c r="C161" s="79">
        <f>IF('Ordenes_Odoo'!C161="","",'Ordenes_Odoo'!C161)</f>
        <v/>
      </c>
      <c r="D161" s="79">
        <f>IF('Ordenes_Odoo'!D161="","",'Ordenes_Odoo'!D161)</f>
        <v/>
      </c>
      <c r="E161" s="79">
        <f>IF('Ordenes_Odoo'!E161="","",'Ordenes_Odoo'!E161)</f>
        <v/>
      </c>
      <c r="F161" s="79">
        <f>IF('Ordenes_Odoo'!F161="","",'Ordenes_Odoo'!F161)</f>
        <v/>
      </c>
      <c r="G161" s="79">
        <f>IF('Ordenes_Odoo'!G161="","",'Ordenes_Odoo'!G161)</f>
        <v/>
      </c>
      <c r="H161" s="79">
        <f>IF('Ordenes_Odoo'!H161="","",'Ordenes_Odoo'!H161)</f>
        <v/>
      </c>
      <c r="I161" s="79">
        <f>IF('Ordenes_Odoo'!I161="","",'Ordenes_Odoo'!I161)</f>
        <v/>
      </c>
      <c r="J161" s="79">
        <f>IF('Ordenes_Odoo'!J161="","",'Ordenes_Odoo'!J161)</f>
        <v/>
      </c>
      <c r="K161" s="81">
        <f>IF('Ordenes_Odoo'!K161="","",'Ordenes_Odoo'!K161)</f>
        <v/>
      </c>
      <c r="L161" s="81">
        <f>IF('Ordenes_Odoo'!L161="","",'Ordenes_Odoo'!L161)</f>
        <v/>
      </c>
      <c r="M161" s="79">
        <f>IF('Ordenes_Odoo'!M161="","",'Ordenes_Odoo'!M161)</f>
        <v/>
      </c>
      <c r="N161" s="79">
        <f>IF('Ordenes_Odoo'!N161="","",'Ordenes_Odoo'!N161)</f>
        <v/>
      </c>
      <c r="O161" s="81">
        <f>IF('Ordenes_Odoo'!O161="","",'Ordenes_Odoo'!O161)</f>
        <v/>
      </c>
      <c r="P161" s="81">
        <f>IF('Ordenes_Odoo'!P161="","",'Ordenes_Odoo'!P161)</f>
        <v/>
      </c>
      <c r="Q161" s="79">
        <f>IF(A161="","",IFERROR(INDEX(Facturas_Odoo!$B:$B, MATCH(A161, Facturas_Odoo!$D:$D, 0)), "Sin Factura"))</f>
        <v/>
      </c>
      <c r="R161" s="80">
        <f>IF(Q161="Sin Factura","",IFERROR(INDEX(Facturas_Odoo!$A:$A, MATCH(Q161, Facturas_Odoo!$B:$B, 0)), ""))</f>
        <v/>
      </c>
      <c r="S161" s="79">
        <f>IF(Q161="Sin Factura","",IFERROR(_xlfn.XLOOKUP(1, (Facturas_Odoo!$D:$D=A161) * (Facturas_Odoo!$K:$K=I161), Facturas_Odoo!$L:$L, ""), ""))</f>
        <v/>
      </c>
      <c r="T161" s="81">
        <f>IF(Q161="Sin Factura",0,IFERROR(_xlfn.XLOOKUP(1, (Facturas_Odoo!$D:$D=A161) * (Facturas_Odoo!$K:$K=I161), Facturas_Odoo!$M:$M, 0), 0))</f>
        <v/>
      </c>
      <c r="U161" s="79">
        <f>IF(Q161="Sin Factura",0,IFERROR(_xlfn.XLOOKUP(1, (Facturas_Odoo!$D:$D=A161) * (Facturas_Odoo!$K:$K=I161), Facturas_Odoo!$N:$N, 0), 0))</f>
        <v/>
      </c>
      <c r="V161" s="79">
        <f>IF(Q161="Sin Factura",0,IFERROR(_xlfn.XLOOKUP(1, (Facturas_Odoo!$D:$D=A161) * (Facturas_Odoo!$K:$K=I161), Facturas_Odoo!$O:$O, 0), 0))</f>
        <v/>
      </c>
      <c r="W161" s="81">
        <f>IF(Q161="Sin Factura",0,IFERROR(_xlfn.XLOOKUP(1, (Facturas_Odoo!$D:$D=A161) * (Facturas_Odoo!$K:$K=I161), Facturas_Odoo!$Q:$Q, 0), 0))</f>
        <v/>
      </c>
      <c r="X161" s="79">
        <f>IF(OR(Q161="Sin Factura",Q161=""),"",IFERROR(INDEX(Pagos_Odoo!$B:$B, MATCH(Q161, Pagos_Odoo!$I:$I, 0)), "Sin Pago"))</f>
        <v/>
      </c>
      <c r="Y161" s="79">
        <f>IF(X161="Sin Pago","",IFERROR(INDEX(Pagos_Odoo!$C:$C, MATCH(X161, Pagos_Odoo!$B:$B, 0)), ""))</f>
        <v/>
      </c>
      <c r="Z161" s="80">
        <f>IF(X161="Sin Pago","",IFERROR(INDEX(Pagos_Odoo!$A:$A, MATCH(X161, Pagos_Odoo!$B:$B, 0)), ""))</f>
        <v/>
      </c>
      <c r="AA161" s="79">
        <f>IF(X161="Sin Pago","",IFERROR(INDEX(Pagos_Odoo!$F:$F, MATCH(X161, Pagos_Odoo!$B:$B, 0)), ""))</f>
        <v/>
      </c>
      <c r="AB161" s="81">
        <f>IF(X161="Sin Pago",0,IFERROR(INDEX(Pagos_Odoo!$E:$E, MATCH(X161, Pagos_Odoo!$B:$B, 0)), 0))</f>
        <v/>
      </c>
      <c r="AC161" s="79">
        <f>IF(X161="Sin Pago","",IFERROR(INDEX(Pagos_Odoo!$G:$G, MATCH(X161, Pagos_Odoo!$B:$B, 0)), ""))</f>
        <v/>
      </c>
      <c r="AD161" s="82" t="n">
        <v>0</v>
      </c>
      <c r="AE161" s="82" t="n"/>
      <c r="AF161" s="82" t="n"/>
      <c r="AG161" s="82">
        <f>IF(AN161="","",AD161+AE161+AF161)</f>
        <v/>
      </c>
      <c r="AH161" s="81">
        <f>IF(AN161="","",P161*(1-AG161))</f>
        <v/>
      </c>
      <c r="AI161" s="81">
        <f>IF(AN161="","",IF(Q161="Sin Factura",0,IFERROR(INDEX(Facturas_Odoo!$H:$H, MATCH(Q161, Facturas_Odoo!$B:$B, 0)), 0)*(1-AG161)))</f>
        <v/>
      </c>
      <c r="AJ161" s="81">
        <f>IF(AN161="","",_xlfn.LET(idVenta, AN161&amp;"",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1" s="81">
        <f>IF(AN161="","",AH161-AJ161)</f>
        <v/>
      </c>
      <c r="AL161" s="81">
        <f>IF(AN161="","",IF(Q161="Sin Factura","",AI161-AJ161))</f>
        <v/>
      </c>
      <c r="AM161" s="81">
        <f>IF(AN161="","",IF(Q161="Sin Factura",0,P161-IFERROR(INDEX(Facturas_Odoo!$H:$H, MATCH(Q161, Facturas_Odoo!$B:$B, 0)), 0)))</f>
        <v/>
      </c>
      <c r="AN161" s="79">
        <f>IF(AND(A161="", J161=""), "", IF(A161&lt;&gt;"", VALUE(MID(A161,2,LEN(A161))), AN160))</f>
        <v/>
      </c>
      <c r="AO161" s="79">
        <f>IF(AN161="","",IF(AD161=0,"OK",_xlfn.LET(monedaPago, IF(AA161="","USD",AA161), limitePermitido, IFERROR(VLOOKUP(monedaPago, Configuración!$A$2:$B$3, 2, FALSE), 0.15), IF(AD161&gt;limitePermitido, "ALERTA: EXCESO (" &amp; TEXT(limitePermitido, "0%") &amp; " máx)", "OK"))))</f>
        <v/>
      </c>
      <c r="AP161" s="79">
        <f>IF(AN161="","",IF(AE161=0,"OK",_xlfn.LET(fechaPago, Z161, fechaFactura, R161, diasCredito, IF(E161="Pago inmediato", 0, IFERROR(VALUE(MID(E161, 1, SEARCH(" ", E161)-1)),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1" s="79">
        <f>IF(AN161="","",IF(AND(N161&gt;0, AG161&gt;0), IF(Configuración!$K$2="NO", "ALERTA: DESCUENTO DOBLE NO PERMITIDO", "OK"), "OK"))</f>
        <v/>
      </c>
      <c r="AR161" s="79">
        <f>IF(AN161="","",IF(OR(AO161&lt;&gt;"OK", AP161&lt;&gt;"OK", AQ161&lt;&gt;"OK"), "⚠️ REVISAR", "OK"))</f>
        <v/>
      </c>
    </row>
    <row r="162">
      <c r="A162" s="79">
        <f>IF('Ordenes_Odoo'!A162="","",'Ordenes_Odoo'!A162)</f>
        <v/>
      </c>
      <c r="B162" s="80">
        <f>IF('Ordenes_Odoo'!B162="","",'Ordenes_Odoo'!B162)</f>
        <v/>
      </c>
      <c r="C162" s="79">
        <f>IF('Ordenes_Odoo'!C162="","",'Ordenes_Odoo'!C162)</f>
        <v/>
      </c>
      <c r="D162" s="79">
        <f>IF('Ordenes_Odoo'!D162="","",'Ordenes_Odoo'!D162)</f>
        <v/>
      </c>
      <c r="E162" s="79">
        <f>IF('Ordenes_Odoo'!E162="","",'Ordenes_Odoo'!E162)</f>
        <v/>
      </c>
      <c r="F162" s="79">
        <f>IF('Ordenes_Odoo'!F162="","",'Ordenes_Odoo'!F162)</f>
        <v/>
      </c>
      <c r="G162" s="79">
        <f>IF('Ordenes_Odoo'!G162="","",'Ordenes_Odoo'!G162)</f>
        <v/>
      </c>
      <c r="H162" s="79">
        <f>IF('Ordenes_Odoo'!H162="","",'Ordenes_Odoo'!H162)</f>
        <v/>
      </c>
      <c r="I162" s="79">
        <f>IF('Ordenes_Odoo'!I162="","",'Ordenes_Odoo'!I162)</f>
        <v/>
      </c>
      <c r="J162" s="79">
        <f>IF('Ordenes_Odoo'!J162="","",'Ordenes_Odoo'!J162)</f>
        <v/>
      </c>
      <c r="K162" s="81">
        <f>IF('Ordenes_Odoo'!K162="","",'Ordenes_Odoo'!K162)</f>
        <v/>
      </c>
      <c r="L162" s="81">
        <f>IF('Ordenes_Odoo'!L162="","",'Ordenes_Odoo'!L162)</f>
        <v/>
      </c>
      <c r="M162" s="79">
        <f>IF('Ordenes_Odoo'!M162="","",'Ordenes_Odoo'!M162)</f>
        <v/>
      </c>
      <c r="N162" s="79">
        <f>IF('Ordenes_Odoo'!N162="","",'Ordenes_Odoo'!N162)</f>
        <v/>
      </c>
      <c r="O162" s="81">
        <f>IF('Ordenes_Odoo'!O162="","",'Ordenes_Odoo'!O162)</f>
        <v/>
      </c>
      <c r="P162" s="81">
        <f>IF('Ordenes_Odoo'!P162="","",'Ordenes_Odoo'!P162)</f>
        <v/>
      </c>
      <c r="Q162" s="79">
        <f>IF(A162="","",IFERROR(INDEX(Facturas_Odoo!$B:$B, MATCH(A162, Facturas_Odoo!$D:$D, 0)), "Sin Factura"))</f>
        <v/>
      </c>
      <c r="R162" s="80">
        <f>IF(Q162="Sin Factura","",IFERROR(INDEX(Facturas_Odoo!$A:$A, MATCH(Q162, Facturas_Odoo!$B:$B, 0)), ""))</f>
        <v/>
      </c>
      <c r="S162" s="79">
        <f>IF(Q162="Sin Factura","",IFERROR(_xlfn.XLOOKUP(1, (Facturas_Odoo!$D:$D=A162) * (Facturas_Odoo!$K:$K=I162), Facturas_Odoo!$L:$L, ""), ""))</f>
        <v/>
      </c>
      <c r="T162" s="81">
        <f>IF(Q162="Sin Factura",0,IFERROR(_xlfn.XLOOKUP(1, (Facturas_Odoo!$D:$D=A162) * (Facturas_Odoo!$K:$K=I162), Facturas_Odoo!$M:$M, 0), 0))</f>
        <v/>
      </c>
      <c r="U162" s="79">
        <f>IF(Q162="Sin Factura",0,IFERROR(_xlfn.XLOOKUP(1, (Facturas_Odoo!$D:$D=A162) * (Facturas_Odoo!$K:$K=I162), Facturas_Odoo!$N:$N, 0), 0))</f>
        <v/>
      </c>
      <c r="V162" s="79">
        <f>IF(Q162="Sin Factura",0,IFERROR(_xlfn.XLOOKUP(1, (Facturas_Odoo!$D:$D=A162) * (Facturas_Odoo!$K:$K=I162), Facturas_Odoo!$O:$O, 0), 0))</f>
        <v/>
      </c>
      <c r="W162" s="81">
        <f>IF(Q162="Sin Factura",0,IFERROR(_xlfn.XLOOKUP(1, (Facturas_Odoo!$D:$D=A162) * (Facturas_Odoo!$K:$K=I162), Facturas_Odoo!$Q:$Q, 0), 0))</f>
        <v/>
      </c>
      <c r="X162" s="79">
        <f>IF(OR(Q162="Sin Factura",Q162=""),"",IFERROR(INDEX(Pagos_Odoo!$B:$B, MATCH(Q162, Pagos_Odoo!$I:$I, 0)), "Sin Pago"))</f>
        <v/>
      </c>
      <c r="Y162" s="79">
        <f>IF(X162="Sin Pago","",IFERROR(INDEX(Pagos_Odoo!$C:$C, MATCH(X162, Pagos_Odoo!$B:$B, 0)), ""))</f>
        <v/>
      </c>
      <c r="Z162" s="80">
        <f>IF(X162="Sin Pago","",IFERROR(INDEX(Pagos_Odoo!$A:$A, MATCH(X162, Pagos_Odoo!$B:$B, 0)), ""))</f>
        <v/>
      </c>
      <c r="AA162" s="79">
        <f>IF(X162="Sin Pago","",IFERROR(INDEX(Pagos_Odoo!$F:$F, MATCH(X162, Pagos_Odoo!$B:$B, 0)), ""))</f>
        <v/>
      </c>
      <c r="AB162" s="81">
        <f>IF(X162="Sin Pago",0,IFERROR(INDEX(Pagos_Odoo!$E:$E, MATCH(X162, Pagos_Odoo!$B:$B, 0)), 0))</f>
        <v/>
      </c>
      <c r="AC162" s="79">
        <f>IF(X162="Sin Pago","",IFERROR(INDEX(Pagos_Odoo!$G:$G, MATCH(X162, Pagos_Odoo!$B:$B, 0)), ""))</f>
        <v/>
      </c>
      <c r="AD162" s="82" t="n">
        <v>0</v>
      </c>
      <c r="AE162" s="82" t="n"/>
      <c r="AF162" s="82" t="n"/>
      <c r="AG162" s="82">
        <f>IF(AN162="","",AD162+AE162+AF162)</f>
        <v/>
      </c>
      <c r="AH162" s="81">
        <f>IF(AN162="","",P162*(1-AG162))</f>
        <v/>
      </c>
      <c r="AI162" s="81">
        <f>IF(AN162="","",IF(Q162="Sin Factura",0,IFERROR(INDEX(Facturas_Odoo!$H:$H, MATCH(Q162, Facturas_Odoo!$B:$B, 0)), 0)*(1-AG162)))</f>
        <v/>
      </c>
      <c r="AJ162" s="81">
        <f>IF(AN162="","",_xlfn.LET(idVenta, AN162&amp;"",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2" s="81">
        <f>IF(AN162="","",AH162-AJ162)</f>
        <v/>
      </c>
      <c r="AL162" s="81">
        <f>IF(AN162="","",IF(Q162="Sin Factura","",AI162-AJ162))</f>
        <v/>
      </c>
      <c r="AM162" s="81">
        <f>IF(AN162="","",IF(Q162="Sin Factura",0,P162-IFERROR(INDEX(Facturas_Odoo!$H:$H, MATCH(Q162, Facturas_Odoo!$B:$B, 0)), 0)))</f>
        <v/>
      </c>
      <c r="AN162" s="79">
        <f>IF(AND(A162="", J162=""), "", IF(A162&lt;&gt;"", VALUE(MID(A162,2,LEN(A162))), AN161))</f>
        <v/>
      </c>
      <c r="AO162" s="79">
        <f>IF(AN162="","",IF(AD162=0,"OK",_xlfn.LET(monedaPago, IF(AA162="","USD",AA162), limitePermitido, IFERROR(VLOOKUP(monedaPago, Configuración!$A$2:$B$3, 2, FALSE), 0.15), IF(AD162&gt;limitePermitido, "ALERTA: EXCESO (" &amp; TEXT(limitePermitido, "0%") &amp; " máx)", "OK"))))</f>
        <v/>
      </c>
      <c r="AP162" s="79">
        <f>IF(AN162="","",IF(AE162=0,"OK",_xlfn.LET(fechaPago, Z162, fechaFactura, R162, diasCredito, IF(E162="Pago inmediato", 0, IFERROR(VALUE(MID(E162, 1, SEARCH(" ", E162)-1)),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2" s="79">
        <f>IF(AN162="","",IF(AND(N162&gt;0, AG162&gt;0), IF(Configuración!$K$2="NO", "ALERTA: DESCUENTO DOBLE NO PERMITIDO", "OK"), "OK"))</f>
        <v/>
      </c>
      <c r="AR162" s="79">
        <f>IF(AN162="","",IF(OR(AO162&lt;&gt;"OK", AP162&lt;&gt;"OK", AQ162&lt;&gt;"OK"), "⚠️ REVISAR", "OK"))</f>
        <v/>
      </c>
    </row>
    <row r="163">
      <c r="A163" s="79">
        <f>IF('Ordenes_Odoo'!A163="","",'Ordenes_Odoo'!A163)</f>
        <v/>
      </c>
      <c r="B163" s="80">
        <f>IF('Ordenes_Odoo'!B163="","",'Ordenes_Odoo'!B163)</f>
        <v/>
      </c>
      <c r="C163" s="79">
        <f>IF('Ordenes_Odoo'!C163="","",'Ordenes_Odoo'!C163)</f>
        <v/>
      </c>
      <c r="D163" s="79">
        <f>IF('Ordenes_Odoo'!D163="","",'Ordenes_Odoo'!D163)</f>
        <v/>
      </c>
      <c r="E163" s="79">
        <f>IF('Ordenes_Odoo'!E163="","",'Ordenes_Odoo'!E163)</f>
        <v/>
      </c>
      <c r="F163" s="79">
        <f>IF('Ordenes_Odoo'!F163="","",'Ordenes_Odoo'!F163)</f>
        <v/>
      </c>
      <c r="G163" s="79">
        <f>IF('Ordenes_Odoo'!G163="","",'Ordenes_Odoo'!G163)</f>
        <v/>
      </c>
      <c r="H163" s="79">
        <f>IF('Ordenes_Odoo'!H163="","",'Ordenes_Odoo'!H163)</f>
        <v/>
      </c>
      <c r="I163" s="79">
        <f>IF('Ordenes_Odoo'!I163="","",'Ordenes_Odoo'!I163)</f>
        <v/>
      </c>
      <c r="J163" s="79">
        <f>IF('Ordenes_Odoo'!J163="","",'Ordenes_Odoo'!J163)</f>
        <v/>
      </c>
      <c r="K163" s="81">
        <f>IF('Ordenes_Odoo'!K163="","",'Ordenes_Odoo'!K163)</f>
        <v/>
      </c>
      <c r="L163" s="81">
        <f>IF('Ordenes_Odoo'!L163="","",'Ordenes_Odoo'!L163)</f>
        <v/>
      </c>
      <c r="M163" s="79">
        <f>IF('Ordenes_Odoo'!M163="","",'Ordenes_Odoo'!M163)</f>
        <v/>
      </c>
      <c r="N163" s="79">
        <f>IF('Ordenes_Odoo'!N163="","",'Ordenes_Odoo'!N163)</f>
        <v/>
      </c>
      <c r="O163" s="81">
        <f>IF('Ordenes_Odoo'!O163="","",'Ordenes_Odoo'!O163)</f>
        <v/>
      </c>
      <c r="P163" s="81">
        <f>IF('Ordenes_Odoo'!P163="","",'Ordenes_Odoo'!P163)</f>
        <v/>
      </c>
      <c r="Q163" s="79">
        <f>IF(A163="","",IFERROR(INDEX(Facturas_Odoo!$B:$B, MATCH(A163, Facturas_Odoo!$D:$D, 0)), "Sin Factura"))</f>
        <v/>
      </c>
      <c r="R163" s="80">
        <f>IF(Q163="Sin Factura","",IFERROR(INDEX(Facturas_Odoo!$A:$A, MATCH(Q163, Facturas_Odoo!$B:$B, 0)), ""))</f>
        <v/>
      </c>
      <c r="S163" s="79">
        <f>IF(Q163="Sin Factura","",IFERROR(_xlfn.XLOOKUP(1, (Facturas_Odoo!$D:$D=A163) * (Facturas_Odoo!$K:$K=I163), Facturas_Odoo!$L:$L, ""), ""))</f>
        <v/>
      </c>
      <c r="T163" s="81">
        <f>IF(Q163="Sin Factura",0,IFERROR(_xlfn.XLOOKUP(1, (Facturas_Odoo!$D:$D=A163) * (Facturas_Odoo!$K:$K=I163), Facturas_Odoo!$M:$M, 0), 0))</f>
        <v/>
      </c>
      <c r="U163" s="79">
        <f>IF(Q163="Sin Factura",0,IFERROR(_xlfn.XLOOKUP(1, (Facturas_Odoo!$D:$D=A163) * (Facturas_Odoo!$K:$K=I163), Facturas_Odoo!$N:$N, 0), 0))</f>
        <v/>
      </c>
      <c r="V163" s="79">
        <f>IF(Q163="Sin Factura",0,IFERROR(_xlfn.XLOOKUP(1, (Facturas_Odoo!$D:$D=A163) * (Facturas_Odoo!$K:$K=I163), Facturas_Odoo!$O:$O, 0), 0))</f>
        <v/>
      </c>
      <c r="W163" s="81">
        <f>IF(Q163="Sin Factura",0,IFERROR(_xlfn.XLOOKUP(1, (Facturas_Odoo!$D:$D=A163) * (Facturas_Odoo!$K:$K=I163), Facturas_Odoo!$Q:$Q, 0), 0))</f>
        <v/>
      </c>
      <c r="X163" s="79">
        <f>IF(OR(Q163="Sin Factura",Q163=""),"",IFERROR(INDEX(Pagos_Odoo!$B:$B, MATCH(Q163, Pagos_Odoo!$I:$I, 0)), "Sin Pago"))</f>
        <v/>
      </c>
      <c r="Y163" s="79">
        <f>IF(X163="Sin Pago","",IFERROR(INDEX(Pagos_Odoo!$C:$C, MATCH(X163, Pagos_Odoo!$B:$B, 0)), ""))</f>
        <v/>
      </c>
      <c r="Z163" s="80">
        <f>IF(X163="Sin Pago","",IFERROR(INDEX(Pagos_Odoo!$A:$A, MATCH(X163, Pagos_Odoo!$B:$B, 0)), ""))</f>
        <v/>
      </c>
      <c r="AA163" s="79">
        <f>IF(X163="Sin Pago","",IFERROR(INDEX(Pagos_Odoo!$F:$F, MATCH(X163, Pagos_Odoo!$B:$B, 0)), ""))</f>
        <v/>
      </c>
      <c r="AB163" s="81">
        <f>IF(X163="Sin Pago",0,IFERROR(INDEX(Pagos_Odoo!$E:$E, MATCH(X163, Pagos_Odoo!$B:$B, 0)), 0))</f>
        <v/>
      </c>
      <c r="AC163" s="79">
        <f>IF(X163="Sin Pago","",IFERROR(INDEX(Pagos_Odoo!$G:$G, MATCH(X163, Pagos_Odoo!$B:$B, 0)), ""))</f>
        <v/>
      </c>
      <c r="AD163" s="82" t="n">
        <v>0</v>
      </c>
      <c r="AE163" s="82" t="n"/>
      <c r="AF163" s="82" t="n"/>
      <c r="AG163" s="82">
        <f>IF(AN163="","",AD163+AE163+AF163)</f>
        <v/>
      </c>
      <c r="AH163" s="81">
        <f>IF(AN163="","",P163*(1-AG163))</f>
        <v/>
      </c>
      <c r="AI163" s="81">
        <f>IF(AN163="","",IF(Q163="Sin Factura",0,IFERROR(INDEX(Facturas_Odoo!$H:$H, MATCH(Q163, Facturas_Odoo!$B:$B, 0)), 0)*(1-AG163)))</f>
        <v/>
      </c>
      <c r="AJ163" s="81">
        <f>IF(AN163="","",_xlfn.LET(idVenta, AN163&amp;"",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3" s="81">
        <f>IF(AN163="","",AH163-AJ163)</f>
        <v/>
      </c>
      <c r="AL163" s="81">
        <f>IF(AN163="","",IF(Q163="Sin Factura","",AI163-AJ163))</f>
        <v/>
      </c>
      <c r="AM163" s="81">
        <f>IF(AN163="","",IF(Q163="Sin Factura",0,P163-IFERROR(INDEX(Facturas_Odoo!$H:$H, MATCH(Q163, Facturas_Odoo!$B:$B, 0)), 0)))</f>
        <v/>
      </c>
      <c r="AN163" s="79">
        <f>IF(AND(A163="", J163=""), "", IF(A163&lt;&gt;"", VALUE(MID(A163,2,LEN(A163))), AN162))</f>
        <v/>
      </c>
      <c r="AO163" s="79">
        <f>IF(AN163="","",IF(AD163=0,"OK",_xlfn.LET(monedaPago, IF(AA163="","USD",AA163), limitePermitido, IFERROR(VLOOKUP(monedaPago, Configuración!$A$2:$B$3, 2, FALSE), 0.15), IF(AD163&gt;limitePermitido, "ALERTA: EXCESO (" &amp; TEXT(limitePermitido, "0%") &amp; " máx)", "OK"))))</f>
        <v/>
      </c>
      <c r="AP163" s="79">
        <f>IF(AN163="","",IF(AE163=0,"OK",_xlfn.LET(fechaPago, Z163, fechaFactura, R163, diasCredito, IF(E163="Pago inmediato", 0, IFERROR(VALUE(MID(E163, 1, SEARCH(" ", E163)-1)),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3" s="79">
        <f>IF(AN163="","",IF(AND(N163&gt;0, AG163&gt;0), IF(Configuración!$K$2="NO", "ALERTA: DESCUENTO DOBLE NO PERMITIDO", "OK"), "OK"))</f>
        <v/>
      </c>
      <c r="AR163" s="79">
        <f>IF(AN163="","",IF(OR(AO163&lt;&gt;"OK", AP163&lt;&gt;"OK", AQ163&lt;&gt;"OK"), "⚠️ REVISAR", "OK"))</f>
        <v/>
      </c>
    </row>
    <row r="164">
      <c r="A164" s="79">
        <f>IF('Ordenes_Odoo'!A164="","",'Ordenes_Odoo'!A164)</f>
        <v/>
      </c>
      <c r="B164" s="80">
        <f>IF('Ordenes_Odoo'!B164="","",'Ordenes_Odoo'!B164)</f>
        <v/>
      </c>
      <c r="C164" s="79">
        <f>IF('Ordenes_Odoo'!C164="","",'Ordenes_Odoo'!C164)</f>
        <v/>
      </c>
      <c r="D164" s="79">
        <f>IF('Ordenes_Odoo'!D164="","",'Ordenes_Odoo'!D164)</f>
        <v/>
      </c>
      <c r="E164" s="79">
        <f>IF('Ordenes_Odoo'!E164="","",'Ordenes_Odoo'!E164)</f>
        <v/>
      </c>
      <c r="F164" s="79">
        <f>IF('Ordenes_Odoo'!F164="","",'Ordenes_Odoo'!F164)</f>
        <v/>
      </c>
      <c r="G164" s="79">
        <f>IF('Ordenes_Odoo'!G164="","",'Ordenes_Odoo'!G164)</f>
        <v/>
      </c>
      <c r="H164" s="79">
        <f>IF('Ordenes_Odoo'!H164="","",'Ordenes_Odoo'!H164)</f>
        <v/>
      </c>
      <c r="I164" s="79">
        <f>IF('Ordenes_Odoo'!I164="","",'Ordenes_Odoo'!I164)</f>
        <v/>
      </c>
      <c r="J164" s="79">
        <f>IF('Ordenes_Odoo'!J164="","",'Ordenes_Odoo'!J164)</f>
        <v/>
      </c>
      <c r="K164" s="81">
        <f>IF('Ordenes_Odoo'!K164="","",'Ordenes_Odoo'!K164)</f>
        <v/>
      </c>
      <c r="L164" s="81">
        <f>IF('Ordenes_Odoo'!L164="","",'Ordenes_Odoo'!L164)</f>
        <v/>
      </c>
      <c r="M164" s="79">
        <f>IF('Ordenes_Odoo'!M164="","",'Ordenes_Odoo'!M164)</f>
        <v/>
      </c>
      <c r="N164" s="79">
        <f>IF('Ordenes_Odoo'!N164="","",'Ordenes_Odoo'!N164)</f>
        <v/>
      </c>
      <c r="O164" s="81">
        <f>IF('Ordenes_Odoo'!O164="","",'Ordenes_Odoo'!O164)</f>
        <v/>
      </c>
      <c r="P164" s="81">
        <f>IF('Ordenes_Odoo'!P164="","",'Ordenes_Odoo'!P164)</f>
        <v/>
      </c>
      <c r="Q164" s="79">
        <f>IF(A164="","",IFERROR(INDEX(Facturas_Odoo!$B:$B, MATCH(A164, Facturas_Odoo!$D:$D, 0)), "Sin Factura"))</f>
        <v/>
      </c>
      <c r="R164" s="80">
        <f>IF(Q164="Sin Factura","",IFERROR(INDEX(Facturas_Odoo!$A:$A, MATCH(Q164, Facturas_Odoo!$B:$B, 0)), ""))</f>
        <v/>
      </c>
      <c r="S164" s="79">
        <f>IF(Q164="Sin Factura","",IFERROR(_xlfn.XLOOKUP(1, (Facturas_Odoo!$D:$D=A164) * (Facturas_Odoo!$K:$K=I164), Facturas_Odoo!$L:$L, ""), ""))</f>
        <v/>
      </c>
      <c r="T164" s="81">
        <f>IF(Q164="Sin Factura",0,IFERROR(_xlfn.XLOOKUP(1, (Facturas_Odoo!$D:$D=A164) * (Facturas_Odoo!$K:$K=I164), Facturas_Odoo!$M:$M, 0), 0))</f>
        <v/>
      </c>
      <c r="U164" s="79">
        <f>IF(Q164="Sin Factura",0,IFERROR(_xlfn.XLOOKUP(1, (Facturas_Odoo!$D:$D=A164) * (Facturas_Odoo!$K:$K=I164), Facturas_Odoo!$N:$N, 0), 0))</f>
        <v/>
      </c>
      <c r="V164" s="79">
        <f>IF(Q164="Sin Factura",0,IFERROR(_xlfn.XLOOKUP(1, (Facturas_Odoo!$D:$D=A164) * (Facturas_Odoo!$K:$K=I164), Facturas_Odoo!$O:$O, 0), 0))</f>
        <v/>
      </c>
      <c r="W164" s="81">
        <f>IF(Q164="Sin Factura",0,IFERROR(_xlfn.XLOOKUP(1, (Facturas_Odoo!$D:$D=A164) * (Facturas_Odoo!$K:$K=I164), Facturas_Odoo!$Q:$Q, 0), 0))</f>
        <v/>
      </c>
      <c r="X164" s="79">
        <f>IF(OR(Q164="Sin Factura",Q164=""),"",IFERROR(INDEX(Pagos_Odoo!$B:$B, MATCH(Q164, Pagos_Odoo!$I:$I, 0)), "Sin Pago"))</f>
        <v/>
      </c>
      <c r="Y164" s="79">
        <f>IF(X164="Sin Pago","",IFERROR(INDEX(Pagos_Odoo!$C:$C, MATCH(X164, Pagos_Odoo!$B:$B, 0)), ""))</f>
        <v/>
      </c>
      <c r="Z164" s="80">
        <f>IF(X164="Sin Pago","",IFERROR(INDEX(Pagos_Odoo!$A:$A, MATCH(X164, Pagos_Odoo!$B:$B, 0)), ""))</f>
        <v/>
      </c>
      <c r="AA164" s="79">
        <f>IF(X164="Sin Pago","",IFERROR(INDEX(Pagos_Odoo!$F:$F, MATCH(X164, Pagos_Odoo!$B:$B, 0)), ""))</f>
        <v/>
      </c>
      <c r="AB164" s="81">
        <f>IF(X164="Sin Pago",0,IFERROR(INDEX(Pagos_Odoo!$E:$E, MATCH(X164, Pagos_Odoo!$B:$B, 0)), 0))</f>
        <v/>
      </c>
      <c r="AC164" s="79">
        <f>IF(X164="Sin Pago","",IFERROR(INDEX(Pagos_Odoo!$G:$G, MATCH(X164, Pagos_Odoo!$B:$B, 0)), ""))</f>
        <v/>
      </c>
      <c r="AD164" s="82" t="n">
        <v>0</v>
      </c>
      <c r="AE164" s="82" t="n"/>
      <c r="AF164" s="82" t="n"/>
      <c r="AG164" s="82">
        <f>IF(AN164="","",AD164+AE164+AF164)</f>
        <v/>
      </c>
      <c r="AH164" s="81">
        <f>IF(AN164="","",P164*(1-AG164))</f>
        <v/>
      </c>
      <c r="AI164" s="81">
        <f>IF(AN164="","",IF(Q164="Sin Factura",0,IFERROR(INDEX(Facturas_Odoo!$H:$H, MATCH(Q164, Facturas_Odoo!$B:$B, 0)), 0)*(1-AG164)))</f>
        <v/>
      </c>
      <c r="AJ164" s="81">
        <f>IF(AN164="","",_xlfn.LET(idVenta, AN164&amp;"",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4" s="81">
        <f>IF(AN164="","",AH164-AJ164)</f>
        <v/>
      </c>
      <c r="AL164" s="81">
        <f>IF(AN164="","",IF(Q164="Sin Factura","",AI164-AJ164))</f>
        <v/>
      </c>
      <c r="AM164" s="81">
        <f>IF(AN164="","",IF(Q164="Sin Factura",0,P164-IFERROR(INDEX(Facturas_Odoo!$H:$H, MATCH(Q164, Facturas_Odoo!$B:$B, 0)), 0)))</f>
        <v/>
      </c>
      <c r="AN164" s="79">
        <f>IF(AND(A164="", J164=""), "", IF(A164&lt;&gt;"", VALUE(MID(A164,2,LEN(A164))), AN163))</f>
        <v/>
      </c>
      <c r="AO164" s="79">
        <f>IF(AN164="","",IF(AD164=0,"OK",_xlfn.LET(monedaPago, IF(AA164="","USD",AA164), limitePermitido, IFERROR(VLOOKUP(monedaPago, Configuración!$A$2:$B$3, 2, FALSE), 0.15), IF(AD164&gt;limitePermitido, "ALERTA: EXCESO (" &amp; TEXT(limitePermitido, "0%") &amp; " máx)", "OK"))))</f>
        <v/>
      </c>
      <c r="AP164" s="79">
        <f>IF(AN164="","",IF(AE164=0,"OK",_xlfn.LET(fechaPago, Z164, fechaFactura, R164, diasCredito, IF(E164="Pago inmediato", 0, IFERROR(VALUE(MID(E164, 1, SEARCH(" ", E164)-1)),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4" s="79">
        <f>IF(AN164="","",IF(AND(N164&gt;0, AG164&gt;0), IF(Configuración!$K$2="NO", "ALERTA: DESCUENTO DOBLE NO PERMITIDO", "OK"), "OK"))</f>
        <v/>
      </c>
      <c r="AR164" s="79">
        <f>IF(AN164="","",IF(OR(AO164&lt;&gt;"OK", AP164&lt;&gt;"OK", AQ164&lt;&gt;"OK"), "⚠️ REVISAR", "OK"))</f>
        <v/>
      </c>
    </row>
    <row r="165">
      <c r="A165" s="79">
        <f>IF('Ordenes_Odoo'!A165="","",'Ordenes_Odoo'!A165)</f>
        <v/>
      </c>
      <c r="B165" s="80">
        <f>IF('Ordenes_Odoo'!B165="","",'Ordenes_Odoo'!B165)</f>
        <v/>
      </c>
      <c r="C165" s="79">
        <f>IF('Ordenes_Odoo'!C165="","",'Ordenes_Odoo'!C165)</f>
        <v/>
      </c>
      <c r="D165" s="79">
        <f>IF('Ordenes_Odoo'!D165="","",'Ordenes_Odoo'!D165)</f>
        <v/>
      </c>
      <c r="E165" s="79">
        <f>IF('Ordenes_Odoo'!E165="","",'Ordenes_Odoo'!E165)</f>
        <v/>
      </c>
      <c r="F165" s="79">
        <f>IF('Ordenes_Odoo'!F165="","",'Ordenes_Odoo'!F165)</f>
        <v/>
      </c>
      <c r="G165" s="79">
        <f>IF('Ordenes_Odoo'!G165="","",'Ordenes_Odoo'!G165)</f>
        <v/>
      </c>
      <c r="H165" s="79">
        <f>IF('Ordenes_Odoo'!H165="","",'Ordenes_Odoo'!H165)</f>
        <v/>
      </c>
      <c r="I165" s="79">
        <f>IF('Ordenes_Odoo'!I165="","",'Ordenes_Odoo'!I165)</f>
        <v/>
      </c>
      <c r="J165" s="79">
        <f>IF('Ordenes_Odoo'!J165="","",'Ordenes_Odoo'!J165)</f>
        <v/>
      </c>
      <c r="K165" s="81">
        <f>IF('Ordenes_Odoo'!K165="","",'Ordenes_Odoo'!K165)</f>
        <v/>
      </c>
      <c r="L165" s="81">
        <f>IF('Ordenes_Odoo'!L165="","",'Ordenes_Odoo'!L165)</f>
        <v/>
      </c>
      <c r="M165" s="79">
        <f>IF('Ordenes_Odoo'!M165="","",'Ordenes_Odoo'!M165)</f>
        <v/>
      </c>
      <c r="N165" s="79">
        <f>IF('Ordenes_Odoo'!N165="","",'Ordenes_Odoo'!N165)</f>
        <v/>
      </c>
      <c r="O165" s="81">
        <f>IF('Ordenes_Odoo'!O165="","",'Ordenes_Odoo'!O165)</f>
        <v/>
      </c>
      <c r="P165" s="81">
        <f>IF('Ordenes_Odoo'!P165="","",'Ordenes_Odoo'!P165)</f>
        <v/>
      </c>
      <c r="Q165" s="79">
        <f>IF(A165="","",IFERROR(INDEX(Facturas_Odoo!$B:$B, MATCH(A165, Facturas_Odoo!$D:$D, 0)), "Sin Factura"))</f>
        <v/>
      </c>
      <c r="R165" s="80">
        <f>IF(Q165="Sin Factura","",IFERROR(INDEX(Facturas_Odoo!$A:$A, MATCH(Q165, Facturas_Odoo!$B:$B, 0)), ""))</f>
        <v/>
      </c>
      <c r="S165" s="79">
        <f>IF(Q165="Sin Factura","",IFERROR(_xlfn.XLOOKUP(1, (Facturas_Odoo!$D:$D=A165) * (Facturas_Odoo!$K:$K=I165), Facturas_Odoo!$L:$L, ""), ""))</f>
        <v/>
      </c>
      <c r="T165" s="81">
        <f>IF(Q165="Sin Factura",0,IFERROR(_xlfn.XLOOKUP(1, (Facturas_Odoo!$D:$D=A165) * (Facturas_Odoo!$K:$K=I165), Facturas_Odoo!$M:$M, 0), 0))</f>
        <v/>
      </c>
      <c r="U165" s="79">
        <f>IF(Q165="Sin Factura",0,IFERROR(_xlfn.XLOOKUP(1, (Facturas_Odoo!$D:$D=A165) * (Facturas_Odoo!$K:$K=I165), Facturas_Odoo!$N:$N, 0), 0))</f>
        <v/>
      </c>
      <c r="V165" s="79">
        <f>IF(Q165="Sin Factura",0,IFERROR(_xlfn.XLOOKUP(1, (Facturas_Odoo!$D:$D=A165) * (Facturas_Odoo!$K:$K=I165), Facturas_Odoo!$O:$O, 0), 0))</f>
        <v/>
      </c>
      <c r="W165" s="81">
        <f>IF(Q165="Sin Factura",0,IFERROR(_xlfn.XLOOKUP(1, (Facturas_Odoo!$D:$D=A165) * (Facturas_Odoo!$K:$K=I165), Facturas_Odoo!$Q:$Q, 0), 0))</f>
        <v/>
      </c>
      <c r="X165" s="79">
        <f>IF(OR(Q165="Sin Factura",Q165=""),"",IFERROR(INDEX(Pagos_Odoo!$B:$B, MATCH(Q165, Pagos_Odoo!$I:$I, 0)), "Sin Pago"))</f>
        <v/>
      </c>
      <c r="Y165" s="79">
        <f>IF(X165="Sin Pago","",IFERROR(INDEX(Pagos_Odoo!$C:$C, MATCH(X165, Pagos_Odoo!$B:$B, 0)), ""))</f>
        <v/>
      </c>
      <c r="Z165" s="80">
        <f>IF(X165="Sin Pago","",IFERROR(INDEX(Pagos_Odoo!$A:$A, MATCH(X165, Pagos_Odoo!$B:$B, 0)), ""))</f>
        <v/>
      </c>
      <c r="AA165" s="79">
        <f>IF(X165="Sin Pago","",IFERROR(INDEX(Pagos_Odoo!$F:$F, MATCH(X165, Pagos_Odoo!$B:$B, 0)), ""))</f>
        <v/>
      </c>
      <c r="AB165" s="81">
        <f>IF(X165="Sin Pago",0,IFERROR(INDEX(Pagos_Odoo!$E:$E, MATCH(X165, Pagos_Odoo!$B:$B, 0)), 0))</f>
        <v/>
      </c>
      <c r="AC165" s="79">
        <f>IF(X165="Sin Pago","",IFERROR(INDEX(Pagos_Odoo!$G:$G, MATCH(X165, Pagos_Odoo!$B:$B, 0)), ""))</f>
        <v/>
      </c>
      <c r="AD165" s="82" t="n">
        <v>0</v>
      </c>
      <c r="AE165" s="82" t="n"/>
      <c r="AF165" s="82" t="n"/>
      <c r="AG165" s="82">
        <f>IF(AN165="","",AD165+AE165+AF165)</f>
        <v/>
      </c>
      <c r="AH165" s="81">
        <f>IF(AN165="","",P165*(1-AG165))</f>
        <v/>
      </c>
      <c r="AI165" s="81">
        <f>IF(AN165="","",IF(Q165="Sin Factura",0,IFERROR(INDEX(Facturas_Odoo!$H:$H, MATCH(Q165, Facturas_Odoo!$B:$B, 0)), 0)*(1-AG165)))</f>
        <v/>
      </c>
      <c r="AJ165" s="81">
        <f>IF(AN165="","",_xlfn.LET(idVenta, AN165&amp;"",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5" s="81">
        <f>IF(AN165="","",AH165-AJ165)</f>
        <v/>
      </c>
      <c r="AL165" s="81">
        <f>IF(AN165="","",IF(Q165="Sin Factura","",AI165-AJ165))</f>
        <v/>
      </c>
      <c r="AM165" s="81">
        <f>IF(AN165="","",IF(Q165="Sin Factura",0,P165-IFERROR(INDEX(Facturas_Odoo!$H:$H, MATCH(Q165, Facturas_Odoo!$B:$B, 0)), 0)))</f>
        <v/>
      </c>
      <c r="AN165" s="79">
        <f>IF(AND(A165="", J165=""), "", IF(A165&lt;&gt;"", VALUE(MID(A165,2,LEN(A165))), AN164))</f>
        <v/>
      </c>
      <c r="AO165" s="79">
        <f>IF(AN165="","",IF(AD165=0,"OK",_xlfn.LET(monedaPago, IF(AA165="","USD",AA165), limitePermitido, IFERROR(VLOOKUP(monedaPago, Configuración!$A$2:$B$3, 2, FALSE), 0.15), IF(AD165&gt;limitePermitido, "ALERTA: EXCESO (" &amp; TEXT(limitePermitido, "0%") &amp; " máx)", "OK"))))</f>
        <v/>
      </c>
      <c r="AP165" s="79">
        <f>IF(AN165="","",IF(AE165=0,"OK",_xlfn.LET(fechaPago, Z165, fechaFactura, R165, diasCredito, IF(E165="Pago inmediato", 0, IFERROR(VALUE(MID(E165, 1, SEARCH(" ", E165)-1)),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5" s="79">
        <f>IF(AN165="","",IF(AND(N165&gt;0, AG165&gt;0), IF(Configuración!$K$2="NO", "ALERTA: DESCUENTO DOBLE NO PERMITIDO", "OK"), "OK"))</f>
        <v/>
      </c>
      <c r="AR165" s="79">
        <f>IF(AN165="","",IF(OR(AO165&lt;&gt;"OK", AP165&lt;&gt;"OK", AQ165&lt;&gt;"OK"), "⚠️ REVISAR", "OK"))</f>
        <v/>
      </c>
    </row>
    <row r="166">
      <c r="A166" s="79">
        <f>IF('Ordenes_Odoo'!A166="","",'Ordenes_Odoo'!A166)</f>
        <v/>
      </c>
      <c r="B166" s="80">
        <f>IF('Ordenes_Odoo'!B166="","",'Ordenes_Odoo'!B166)</f>
        <v/>
      </c>
      <c r="C166" s="79">
        <f>IF('Ordenes_Odoo'!C166="","",'Ordenes_Odoo'!C166)</f>
        <v/>
      </c>
      <c r="D166" s="79">
        <f>IF('Ordenes_Odoo'!D166="","",'Ordenes_Odoo'!D166)</f>
        <v/>
      </c>
      <c r="E166" s="79">
        <f>IF('Ordenes_Odoo'!E166="","",'Ordenes_Odoo'!E166)</f>
        <v/>
      </c>
      <c r="F166" s="79">
        <f>IF('Ordenes_Odoo'!F166="","",'Ordenes_Odoo'!F166)</f>
        <v/>
      </c>
      <c r="G166" s="79">
        <f>IF('Ordenes_Odoo'!G166="","",'Ordenes_Odoo'!G166)</f>
        <v/>
      </c>
      <c r="H166" s="79">
        <f>IF('Ordenes_Odoo'!H166="","",'Ordenes_Odoo'!H166)</f>
        <v/>
      </c>
      <c r="I166" s="79">
        <f>IF('Ordenes_Odoo'!I166="","",'Ordenes_Odoo'!I166)</f>
        <v/>
      </c>
      <c r="J166" s="79">
        <f>IF('Ordenes_Odoo'!J166="","",'Ordenes_Odoo'!J166)</f>
        <v/>
      </c>
      <c r="K166" s="81">
        <f>IF('Ordenes_Odoo'!K166="","",'Ordenes_Odoo'!K166)</f>
        <v/>
      </c>
      <c r="L166" s="81">
        <f>IF('Ordenes_Odoo'!L166="","",'Ordenes_Odoo'!L166)</f>
        <v/>
      </c>
      <c r="M166" s="79">
        <f>IF('Ordenes_Odoo'!M166="","",'Ordenes_Odoo'!M166)</f>
        <v/>
      </c>
      <c r="N166" s="79">
        <f>IF('Ordenes_Odoo'!N166="","",'Ordenes_Odoo'!N166)</f>
        <v/>
      </c>
      <c r="O166" s="81">
        <f>IF('Ordenes_Odoo'!O166="","",'Ordenes_Odoo'!O166)</f>
        <v/>
      </c>
      <c r="P166" s="81">
        <f>IF('Ordenes_Odoo'!P166="","",'Ordenes_Odoo'!P166)</f>
        <v/>
      </c>
      <c r="Q166" s="79">
        <f>IF(A166="","",IFERROR(INDEX(Facturas_Odoo!$B:$B, MATCH(A166, Facturas_Odoo!$D:$D, 0)), "Sin Factura"))</f>
        <v/>
      </c>
      <c r="R166" s="80">
        <f>IF(Q166="Sin Factura","",IFERROR(INDEX(Facturas_Odoo!$A:$A, MATCH(Q166, Facturas_Odoo!$B:$B, 0)), ""))</f>
        <v/>
      </c>
      <c r="S166" s="79">
        <f>IF(Q166="Sin Factura","",IFERROR(_xlfn.XLOOKUP(1, (Facturas_Odoo!$D:$D=A166) * (Facturas_Odoo!$K:$K=I166), Facturas_Odoo!$L:$L, ""), ""))</f>
        <v/>
      </c>
      <c r="T166" s="81">
        <f>IF(Q166="Sin Factura",0,IFERROR(_xlfn.XLOOKUP(1, (Facturas_Odoo!$D:$D=A166) * (Facturas_Odoo!$K:$K=I166), Facturas_Odoo!$M:$M, 0), 0))</f>
        <v/>
      </c>
      <c r="U166" s="79">
        <f>IF(Q166="Sin Factura",0,IFERROR(_xlfn.XLOOKUP(1, (Facturas_Odoo!$D:$D=A166) * (Facturas_Odoo!$K:$K=I166), Facturas_Odoo!$N:$N, 0), 0))</f>
        <v/>
      </c>
      <c r="V166" s="79">
        <f>IF(Q166="Sin Factura",0,IFERROR(_xlfn.XLOOKUP(1, (Facturas_Odoo!$D:$D=A166) * (Facturas_Odoo!$K:$K=I166), Facturas_Odoo!$O:$O, 0), 0))</f>
        <v/>
      </c>
      <c r="W166" s="81">
        <f>IF(Q166="Sin Factura",0,IFERROR(_xlfn.XLOOKUP(1, (Facturas_Odoo!$D:$D=A166) * (Facturas_Odoo!$K:$K=I166), Facturas_Odoo!$Q:$Q, 0), 0))</f>
        <v/>
      </c>
      <c r="X166" s="79">
        <f>IF(OR(Q166="Sin Factura",Q166=""),"",IFERROR(INDEX(Pagos_Odoo!$B:$B, MATCH(Q166, Pagos_Odoo!$I:$I, 0)), "Sin Pago"))</f>
        <v/>
      </c>
      <c r="Y166" s="79">
        <f>IF(X166="Sin Pago","",IFERROR(INDEX(Pagos_Odoo!$C:$C, MATCH(X166, Pagos_Odoo!$B:$B, 0)), ""))</f>
        <v/>
      </c>
      <c r="Z166" s="80">
        <f>IF(X166="Sin Pago","",IFERROR(INDEX(Pagos_Odoo!$A:$A, MATCH(X166, Pagos_Odoo!$B:$B, 0)), ""))</f>
        <v/>
      </c>
      <c r="AA166" s="79">
        <f>IF(X166="Sin Pago","",IFERROR(INDEX(Pagos_Odoo!$F:$F, MATCH(X166, Pagos_Odoo!$B:$B, 0)), ""))</f>
        <v/>
      </c>
      <c r="AB166" s="81">
        <f>IF(X166="Sin Pago",0,IFERROR(INDEX(Pagos_Odoo!$E:$E, MATCH(X166, Pagos_Odoo!$B:$B, 0)), 0))</f>
        <v/>
      </c>
      <c r="AC166" s="79">
        <f>IF(X166="Sin Pago","",IFERROR(INDEX(Pagos_Odoo!$G:$G, MATCH(X166, Pagos_Odoo!$B:$B, 0)), ""))</f>
        <v/>
      </c>
      <c r="AD166" s="82" t="n">
        <v>0</v>
      </c>
      <c r="AE166" s="82" t="n"/>
      <c r="AF166" s="82" t="n"/>
      <c r="AG166" s="82">
        <f>IF(AN166="","",AD166+AE166+AF166)</f>
        <v/>
      </c>
      <c r="AH166" s="81">
        <f>IF(AN166="","",P166*(1-AG166))</f>
        <v/>
      </c>
      <c r="AI166" s="81">
        <f>IF(AN166="","",IF(Q166="Sin Factura",0,IFERROR(INDEX(Facturas_Odoo!$H:$H, MATCH(Q166, Facturas_Odoo!$B:$B, 0)), 0)*(1-AG166)))</f>
        <v/>
      </c>
      <c r="AJ166" s="81">
        <f>IF(AN166="","",_xlfn.LET(idVenta, AN166&amp;"",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6" s="81">
        <f>IF(AN166="","",AH166-AJ166)</f>
        <v/>
      </c>
      <c r="AL166" s="81">
        <f>IF(AN166="","",IF(Q166="Sin Factura","",AI166-AJ166))</f>
        <v/>
      </c>
      <c r="AM166" s="81">
        <f>IF(AN166="","",IF(Q166="Sin Factura",0,P166-IFERROR(INDEX(Facturas_Odoo!$H:$H, MATCH(Q166, Facturas_Odoo!$B:$B, 0)), 0)))</f>
        <v/>
      </c>
      <c r="AN166" s="79">
        <f>IF(AND(A166="", J166=""), "", IF(A166&lt;&gt;"", VALUE(MID(A166,2,LEN(A166))), AN165))</f>
        <v/>
      </c>
      <c r="AO166" s="79">
        <f>IF(AN166="","",IF(AD166=0,"OK",_xlfn.LET(monedaPago, IF(AA166="","USD",AA166), limitePermitido, IFERROR(VLOOKUP(monedaPago, Configuración!$A$2:$B$3, 2, FALSE), 0.15), IF(AD166&gt;limitePermitido, "ALERTA: EXCESO (" &amp; TEXT(limitePermitido, "0%") &amp; " máx)", "OK"))))</f>
        <v/>
      </c>
      <c r="AP166" s="79">
        <f>IF(AN166="","",IF(AE166=0,"OK",_xlfn.LET(fechaPago, Z166, fechaFactura, R166, diasCredito, IF(E166="Pago inmediato", 0, IFERROR(VALUE(MID(E166, 1, SEARCH(" ", E166)-1)),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6" s="79">
        <f>IF(AN166="","",IF(AND(N166&gt;0, AG166&gt;0), IF(Configuración!$K$2="NO", "ALERTA: DESCUENTO DOBLE NO PERMITIDO", "OK"), "OK"))</f>
        <v/>
      </c>
      <c r="AR166" s="79">
        <f>IF(AN166="","",IF(OR(AO166&lt;&gt;"OK", AP166&lt;&gt;"OK", AQ166&lt;&gt;"OK"), "⚠️ REVISAR", "OK"))</f>
        <v/>
      </c>
    </row>
    <row r="167">
      <c r="A167" s="79">
        <f>IF('Ordenes_Odoo'!A167="","",'Ordenes_Odoo'!A167)</f>
        <v/>
      </c>
      <c r="B167" s="80">
        <f>IF('Ordenes_Odoo'!B167="","",'Ordenes_Odoo'!B167)</f>
        <v/>
      </c>
      <c r="C167" s="79">
        <f>IF('Ordenes_Odoo'!C167="","",'Ordenes_Odoo'!C167)</f>
        <v/>
      </c>
      <c r="D167" s="79">
        <f>IF('Ordenes_Odoo'!D167="","",'Ordenes_Odoo'!D167)</f>
        <v/>
      </c>
      <c r="E167" s="79">
        <f>IF('Ordenes_Odoo'!E167="","",'Ordenes_Odoo'!E167)</f>
        <v/>
      </c>
      <c r="F167" s="79">
        <f>IF('Ordenes_Odoo'!F167="","",'Ordenes_Odoo'!F167)</f>
        <v/>
      </c>
      <c r="G167" s="79">
        <f>IF('Ordenes_Odoo'!G167="","",'Ordenes_Odoo'!G167)</f>
        <v/>
      </c>
      <c r="H167" s="79">
        <f>IF('Ordenes_Odoo'!H167="","",'Ordenes_Odoo'!H167)</f>
        <v/>
      </c>
      <c r="I167" s="79">
        <f>IF('Ordenes_Odoo'!I167="","",'Ordenes_Odoo'!I167)</f>
        <v/>
      </c>
      <c r="J167" s="79">
        <f>IF('Ordenes_Odoo'!J167="","",'Ordenes_Odoo'!J167)</f>
        <v/>
      </c>
      <c r="K167" s="81">
        <f>IF('Ordenes_Odoo'!K167="","",'Ordenes_Odoo'!K167)</f>
        <v/>
      </c>
      <c r="L167" s="81">
        <f>IF('Ordenes_Odoo'!L167="","",'Ordenes_Odoo'!L167)</f>
        <v/>
      </c>
      <c r="M167" s="79">
        <f>IF('Ordenes_Odoo'!M167="","",'Ordenes_Odoo'!M167)</f>
        <v/>
      </c>
      <c r="N167" s="79">
        <f>IF('Ordenes_Odoo'!N167="","",'Ordenes_Odoo'!N167)</f>
        <v/>
      </c>
      <c r="O167" s="81">
        <f>IF('Ordenes_Odoo'!O167="","",'Ordenes_Odoo'!O167)</f>
        <v/>
      </c>
      <c r="P167" s="81">
        <f>IF('Ordenes_Odoo'!P167="","",'Ordenes_Odoo'!P167)</f>
        <v/>
      </c>
      <c r="Q167" s="79">
        <f>IF(A167="","",IFERROR(INDEX(Facturas_Odoo!$B:$B, MATCH(A167, Facturas_Odoo!$D:$D, 0)), "Sin Factura"))</f>
        <v/>
      </c>
      <c r="R167" s="80">
        <f>IF(Q167="Sin Factura","",IFERROR(INDEX(Facturas_Odoo!$A:$A, MATCH(Q167, Facturas_Odoo!$B:$B, 0)), ""))</f>
        <v/>
      </c>
      <c r="S167" s="79">
        <f>IF(Q167="Sin Factura","",IFERROR(_xlfn.XLOOKUP(1, (Facturas_Odoo!$D:$D=A167) * (Facturas_Odoo!$K:$K=I167), Facturas_Odoo!$L:$L, ""), ""))</f>
        <v/>
      </c>
      <c r="T167" s="81">
        <f>IF(Q167="Sin Factura",0,IFERROR(_xlfn.XLOOKUP(1, (Facturas_Odoo!$D:$D=A167) * (Facturas_Odoo!$K:$K=I167), Facturas_Odoo!$M:$M, 0), 0))</f>
        <v/>
      </c>
      <c r="U167" s="79">
        <f>IF(Q167="Sin Factura",0,IFERROR(_xlfn.XLOOKUP(1, (Facturas_Odoo!$D:$D=A167) * (Facturas_Odoo!$K:$K=I167), Facturas_Odoo!$N:$N, 0), 0))</f>
        <v/>
      </c>
      <c r="V167" s="79">
        <f>IF(Q167="Sin Factura",0,IFERROR(_xlfn.XLOOKUP(1, (Facturas_Odoo!$D:$D=A167) * (Facturas_Odoo!$K:$K=I167), Facturas_Odoo!$O:$O, 0), 0))</f>
        <v/>
      </c>
      <c r="W167" s="81">
        <f>IF(Q167="Sin Factura",0,IFERROR(_xlfn.XLOOKUP(1, (Facturas_Odoo!$D:$D=A167) * (Facturas_Odoo!$K:$K=I167), Facturas_Odoo!$Q:$Q, 0), 0))</f>
        <v/>
      </c>
      <c r="X167" s="79">
        <f>IF(OR(Q167="Sin Factura",Q167=""),"",IFERROR(INDEX(Pagos_Odoo!$B:$B, MATCH(Q167, Pagos_Odoo!$I:$I, 0)), "Sin Pago"))</f>
        <v/>
      </c>
      <c r="Y167" s="79">
        <f>IF(X167="Sin Pago","",IFERROR(INDEX(Pagos_Odoo!$C:$C, MATCH(X167, Pagos_Odoo!$B:$B, 0)), ""))</f>
        <v/>
      </c>
      <c r="Z167" s="80">
        <f>IF(X167="Sin Pago","",IFERROR(INDEX(Pagos_Odoo!$A:$A, MATCH(X167, Pagos_Odoo!$B:$B, 0)), ""))</f>
        <v/>
      </c>
      <c r="AA167" s="79">
        <f>IF(X167="Sin Pago","",IFERROR(INDEX(Pagos_Odoo!$F:$F, MATCH(X167, Pagos_Odoo!$B:$B, 0)), ""))</f>
        <v/>
      </c>
      <c r="AB167" s="81">
        <f>IF(X167="Sin Pago",0,IFERROR(INDEX(Pagos_Odoo!$E:$E, MATCH(X167, Pagos_Odoo!$B:$B, 0)), 0))</f>
        <v/>
      </c>
      <c r="AC167" s="79">
        <f>IF(X167="Sin Pago","",IFERROR(INDEX(Pagos_Odoo!$G:$G, MATCH(X167, Pagos_Odoo!$B:$B, 0)), ""))</f>
        <v/>
      </c>
      <c r="AD167" s="82" t="n">
        <v>0</v>
      </c>
      <c r="AE167" s="82" t="n"/>
      <c r="AF167" s="82" t="n"/>
      <c r="AG167" s="82">
        <f>IF(AN167="","",AD167+AE167+AF167)</f>
        <v/>
      </c>
      <c r="AH167" s="81">
        <f>IF(AN167="","",P167*(1-AG167))</f>
        <v/>
      </c>
      <c r="AI167" s="81">
        <f>IF(AN167="","",IF(Q167="Sin Factura",0,IFERROR(INDEX(Facturas_Odoo!$H:$H, MATCH(Q167, Facturas_Odoo!$B:$B, 0)), 0)*(1-AG167)))</f>
        <v/>
      </c>
      <c r="AJ167" s="81">
        <f>IF(AN167="","",_xlfn.LET(idVenta, AN167&amp;"",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7" s="81">
        <f>IF(AN167="","",AH167-AJ167)</f>
        <v/>
      </c>
      <c r="AL167" s="81">
        <f>IF(AN167="","",IF(Q167="Sin Factura","",AI167-AJ167))</f>
        <v/>
      </c>
      <c r="AM167" s="81">
        <f>IF(AN167="","",IF(Q167="Sin Factura",0,P167-IFERROR(INDEX(Facturas_Odoo!$H:$H, MATCH(Q167, Facturas_Odoo!$B:$B, 0)), 0)))</f>
        <v/>
      </c>
      <c r="AN167" s="79">
        <f>IF(AND(A167="", J167=""), "", IF(A167&lt;&gt;"", VALUE(MID(A167,2,LEN(A167))), AN166))</f>
        <v/>
      </c>
      <c r="AO167" s="79">
        <f>IF(AN167="","",IF(AD167=0,"OK",_xlfn.LET(monedaPago, IF(AA167="","USD",AA167), limitePermitido, IFERROR(VLOOKUP(monedaPago, Configuración!$A$2:$B$3, 2, FALSE), 0.15), IF(AD167&gt;limitePermitido, "ALERTA: EXCESO (" &amp; TEXT(limitePermitido, "0%") &amp; " máx)", "OK"))))</f>
        <v/>
      </c>
      <c r="AP167" s="79">
        <f>IF(AN167="","",IF(AE167=0,"OK",_xlfn.LET(fechaPago, Z167, fechaFactura, R167, diasCredito, IF(E167="Pago inmediato", 0, IFERROR(VALUE(MID(E167, 1, SEARCH(" ", E167)-1)),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7" s="79">
        <f>IF(AN167="","",IF(AND(N167&gt;0, AG167&gt;0), IF(Configuración!$K$2="NO", "ALERTA: DESCUENTO DOBLE NO PERMITIDO", "OK"), "OK"))</f>
        <v/>
      </c>
      <c r="AR167" s="79">
        <f>IF(AN167="","",IF(OR(AO167&lt;&gt;"OK", AP167&lt;&gt;"OK", AQ167&lt;&gt;"OK"), "⚠️ REVISAR", "OK"))</f>
        <v/>
      </c>
    </row>
    <row r="168">
      <c r="A168" s="79">
        <f>IF('Ordenes_Odoo'!A168="","",'Ordenes_Odoo'!A168)</f>
        <v/>
      </c>
      <c r="B168" s="80">
        <f>IF('Ordenes_Odoo'!B168="","",'Ordenes_Odoo'!B168)</f>
        <v/>
      </c>
      <c r="C168" s="79">
        <f>IF('Ordenes_Odoo'!C168="","",'Ordenes_Odoo'!C168)</f>
        <v/>
      </c>
      <c r="D168" s="79">
        <f>IF('Ordenes_Odoo'!D168="","",'Ordenes_Odoo'!D168)</f>
        <v/>
      </c>
      <c r="E168" s="79">
        <f>IF('Ordenes_Odoo'!E168="","",'Ordenes_Odoo'!E168)</f>
        <v/>
      </c>
      <c r="F168" s="79">
        <f>IF('Ordenes_Odoo'!F168="","",'Ordenes_Odoo'!F168)</f>
        <v/>
      </c>
      <c r="G168" s="79">
        <f>IF('Ordenes_Odoo'!G168="","",'Ordenes_Odoo'!G168)</f>
        <v/>
      </c>
      <c r="H168" s="79">
        <f>IF('Ordenes_Odoo'!H168="","",'Ordenes_Odoo'!H168)</f>
        <v/>
      </c>
      <c r="I168" s="79">
        <f>IF('Ordenes_Odoo'!I168="","",'Ordenes_Odoo'!I168)</f>
        <v/>
      </c>
      <c r="J168" s="79">
        <f>IF('Ordenes_Odoo'!J168="","",'Ordenes_Odoo'!J168)</f>
        <v/>
      </c>
      <c r="K168" s="81">
        <f>IF('Ordenes_Odoo'!K168="","",'Ordenes_Odoo'!K168)</f>
        <v/>
      </c>
      <c r="L168" s="81">
        <f>IF('Ordenes_Odoo'!L168="","",'Ordenes_Odoo'!L168)</f>
        <v/>
      </c>
      <c r="M168" s="79">
        <f>IF('Ordenes_Odoo'!M168="","",'Ordenes_Odoo'!M168)</f>
        <v/>
      </c>
      <c r="N168" s="79">
        <f>IF('Ordenes_Odoo'!N168="","",'Ordenes_Odoo'!N168)</f>
        <v/>
      </c>
      <c r="O168" s="81">
        <f>IF('Ordenes_Odoo'!O168="","",'Ordenes_Odoo'!O168)</f>
        <v/>
      </c>
      <c r="P168" s="81">
        <f>IF('Ordenes_Odoo'!P168="","",'Ordenes_Odoo'!P168)</f>
        <v/>
      </c>
      <c r="Q168" s="79">
        <f>IF(A168="","",IFERROR(INDEX(Facturas_Odoo!$B:$B, MATCH(A168, Facturas_Odoo!$D:$D, 0)), "Sin Factura"))</f>
        <v/>
      </c>
      <c r="R168" s="80">
        <f>IF(Q168="Sin Factura","",IFERROR(INDEX(Facturas_Odoo!$A:$A, MATCH(Q168, Facturas_Odoo!$B:$B, 0)), ""))</f>
        <v/>
      </c>
      <c r="S168" s="79">
        <f>IF(Q168="Sin Factura","",IFERROR(_xlfn.XLOOKUP(1, (Facturas_Odoo!$D:$D=A168) * (Facturas_Odoo!$K:$K=I168), Facturas_Odoo!$L:$L, ""), ""))</f>
        <v/>
      </c>
      <c r="T168" s="81">
        <f>IF(Q168="Sin Factura",0,IFERROR(_xlfn.XLOOKUP(1, (Facturas_Odoo!$D:$D=A168) * (Facturas_Odoo!$K:$K=I168), Facturas_Odoo!$M:$M, 0), 0))</f>
        <v/>
      </c>
      <c r="U168" s="79">
        <f>IF(Q168="Sin Factura",0,IFERROR(_xlfn.XLOOKUP(1, (Facturas_Odoo!$D:$D=A168) * (Facturas_Odoo!$K:$K=I168), Facturas_Odoo!$N:$N, 0), 0))</f>
        <v/>
      </c>
      <c r="V168" s="79">
        <f>IF(Q168="Sin Factura",0,IFERROR(_xlfn.XLOOKUP(1, (Facturas_Odoo!$D:$D=A168) * (Facturas_Odoo!$K:$K=I168), Facturas_Odoo!$O:$O, 0), 0))</f>
        <v/>
      </c>
      <c r="W168" s="81">
        <f>IF(Q168="Sin Factura",0,IFERROR(_xlfn.XLOOKUP(1, (Facturas_Odoo!$D:$D=A168) * (Facturas_Odoo!$K:$K=I168), Facturas_Odoo!$Q:$Q, 0), 0))</f>
        <v/>
      </c>
      <c r="X168" s="79">
        <f>IF(OR(Q168="Sin Factura",Q168=""),"",IFERROR(INDEX(Pagos_Odoo!$B:$B, MATCH(Q168, Pagos_Odoo!$I:$I, 0)), "Sin Pago"))</f>
        <v/>
      </c>
      <c r="Y168" s="79">
        <f>IF(X168="Sin Pago","",IFERROR(INDEX(Pagos_Odoo!$C:$C, MATCH(X168, Pagos_Odoo!$B:$B, 0)), ""))</f>
        <v/>
      </c>
      <c r="Z168" s="80">
        <f>IF(X168="Sin Pago","",IFERROR(INDEX(Pagos_Odoo!$A:$A, MATCH(X168, Pagos_Odoo!$B:$B, 0)), ""))</f>
        <v/>
      </c>
      <c r="AA168" s="79">
        <f>IF(X168="Sin Pago","",IFERROR(INDEX(Pagos_Odoo!$F:$F, MATCH(X168, Pagos_Odoo!$B:$B, 0)), ""))</f>
        <v/>
      </c>
      <c r="AB168" s="81">
        <f>IF(X168="Sin Pago",0,IFERROR(INDEX(Pagos_Odoo!$E:$E, MATCH(X168, Pagos_Odoo!$B:$B, 0)), 0))</f>
        <v/>
      </c>
      <c r="AC168" s="79">
        <f>IF(X168="Sin Pago","",IFERROR(INDEX(Pagos_Odoo!$G:$G, MATCH(X168, Pagos_Odoo!$B:$B, 0)), ""))</f>
        <v/>
      </c>
      <c r="AD168" s="82" t="n">
        <v>0</v>
      </c>
      <c r="AE168" s="82" t="n"/>
      <c r="AF168" s="82" t="n"/>
      <c r="AG168" s="82">
        <f>IF(AN168="","",AD168+AE168+AF168)</f>
        <v/>
      </c>
      <c r="AH168" s="81">
        <f>IF(AN168="","",P168*(1-AG168))</f>
        <v/>
      </c>
      <c r="AI168" s="81">
        <f>IF(AN168="","",IF(Q168="Sin Factura",0,IFERROR(INDEX(Facturas_Odoo!$H:$H, MATCH(Q168, Facturas_Odoo!$B:$B, 0)), 0)*(1-AG168)))</f>
        <v/>
      </c>
      <c r="AJ168" s="81">
        <f>IF(AN168="","",_xlfn.LET(idVenta, AN168&amp;"",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8" s="81">
        <f>IF(AN168="","",AH168-AJ168)</f>
        <v/>
      </c>
      <c r="AL168" s="81">
        <f>IF(AN168="","",IF(Q168="Sin Factura","",AI168-AJ168))</f>
        <v/>
      </c>
      <c r="AM168" s="81">
        <f>IF(AN168="","",IF(Q168="Sin Factura",0,P168-IFERROR(INDEX(Facturas_Odoo!$H:$H, MATCH(Q168, Facturas_Odoo!$B:$B, 0)), 0)))</f>
        <v/>
      </c>
      <c r="AN168" s="79">
        <f>IF(AND(A168="", J168=""), "", IF(A168&lt;&gt;"", VALUE(MID(A168,2,LEN(A168))), AN167))</f>
        <v/>
      </c>
      <c r="AO168" s="79">
        <f>IF(AN168="","",IF(AD168=0,"OK",_xlfn.LET(monedaPago, IF(AA168="","USD",AA168), limitePermitido, IFERROR(VLOOKUP(monedaPago, Configuración!$A$2:$B$3, 2, FALSE), 0.15), IF(AD168&gt;limitePermitido, "ALERTA: EXCESO (" &amp; TEXT(limitePermitido, "0%") &amp; " máx)", "OK"))))</f>
        <v/>
      </c>
      <c r="AP168" s="79">
        <f>IF(AN168="","",IF(AE168=0,"OK",_xlfn.LET(fechaPago, Z168, fechaFactura, R168, diasCredito, IF(E168="Pago inmediato", 0, IFERROR(VALUE(MID(E168, 1, SEARCH(" ", E168)-1)),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8" s="79">
        <f>IF(AN168="","",IF(AND(N168&gt;0, AG168&gt;0), IF(Configuración!$K$2="NO", "ALERTA: DESCUENTO DOBLE NO PERMITIDO", "OK"), "OK"))</f>
        <v/>
      </c>
      <c r="AR168" s="79">
        <f>IF(AN168="","",IF(OR(AO168&lt;&gt;"OK", AP168&lt;&gt;"OK", AQ168&lt;&gt;"OK"), "⚠️ REVISAR", "OK"))</f>
        <v/>
      </c>
    </row>
    <row r="169">
      <c r="A169" s="79">
        <f>IF('Ordenes_Odoo'!A169="","",'Ordenes_Odoo'!A169)</f>
        <v/>
      </c>
      <c r="B169" s="80">
        <f>IF('Ordenes_Odoo'!B169="","",'Ordenes_Odoo'!B169)</f>
        <v/>
      </c>
      <c r="C169" s="79">
        <f>IF('Ordenes_Odoo'!C169="","",'Ordenes_Odoo'!C169)</f>
        <v/>
      </c>
      <c r="D169" s="79">
        <f>IF('Ordenes_Odoo'!D169="","",'Ordenes_Odoo'!D169)</f>
        <v/>
      </c>
      <c r="E169" s="79">
        <f>IF('Ordenes_Odoo'!E169="","",'Ordenes_Odoo'!E169)</f>
        <v/>
      </c>
      <c r="F169" s="79">
        <f>IF('Ordenes_Odoo'!F169="","",'Ordenes_Odoo'!F169)</f>
        <v/>
      </c>
      <c r="G169" s="79">
        <f>IF('Ordenes_Odoo'!G169="","",'Ordenes_Odoo'!G169)</f>
        <v/>
      </c>
      <c r="H169" s="79">
        <f>IF('Ordenes_Odoo'!H169="","",'Ordenes_Odoo'!H169)</f>
        <v/>
      </c>
      <c r="I169" s="79">
        <f>IF('Ordenes_Odoo'!I169="","",'Ordenes_Odoo'!I169)</f>
        <v/>
      </c>
      <c r="J169" s="79">
        <f>IF('Ordenes_Odoo'!J169="","",'Ordenes_Odoo'!J169)</f>
        <v/>
      </c>
      <c r="K169" s="81">
        <f>IF('Ordenes_Odoo'!K169="","",'Ordenes_Odoo'!K169)</f>
        <v/>
      </c>
      <c r="L169" s="81">
        <f>IF('Ordenes_Odoo'!L169="","",'Ordenes_Odoo'!L169)</f>
        <v/>
      </c>
      <c r="M169" s="79">
        <f>IF('Ordenes_Odoo'!M169="","",'Ordenes_Odoo'!M169)</f>
        <v/>
      </c>
      <c r="N169" s="79">
        <f>IF('Ordenes_Odoo'!N169="","",'Ordenes_Odoo'!N169)</f>
        <v/>
      </c>
      <c r="O169" s="81">
        <f>IF('Ordenes_Odoo'!O169="","",'Ordenes_Odoo'!O169)</f>
        <v/>
      </c>
      <c r="P169" s="81">
        <f>IF('Ordenes_Odoo'!P169="","",'Ordenes_Odoo'!P169)</f>
        <v/>
      </c>
      <c r="Q169" s="79">
        <f>IF(A169="","",IFERROR(INDEX(Facturas_Odoo!$B:$B, MATCH(A169, Facturas_Odoo!$D:$D, 0)), "Sin Factura"))</f>
        <v/>
      </c>
      <c r="R169" s="80">
        <f>IF(Q169="Sin Factura","",IFERROR(INDEX(Facturas_Odoo!$A:$A, MATCH(Q169, Facturas_Odoo!$B:$B, 0)), ""))</f>
        <v/>
      </c>
      <c r="S169" s="79">
        <f>IF(Q169="Sin Factura","",IFERROR(_xlfn.XLOOKUP(1, (Facturas_Odoo!$D:$D=A169) * (Facturas_Odoo!$K:$K=I169), Facturas_Odoo!$L:$L, ""), ""))</f>
        <v/>
      </c>
      <c r="T169" s="81">
        <f>IF(Q169="Sin Factura",0,IFERROR(_xlfn.XLOOKUP(1, (Facturas_Odoo!$D:$D=A169) * (Facturas_Odoo!$K:$K=I169), Facturas_Odoo!$M:$M, 0), 0))</f>
        <v/>
      </c>
      <c r="U169" s="79">
        <f>IF(Q169="Sin Factura",0,IFERROR(_xlfn.XLOOKUP(1, (Facturas_Odoo!$D:$D=A169) * (Facturas_Odoo!$K:$K=I169), Facturas_Odoo!$N:$N, 0), 0))</f>
        <v/>
      </c>
      <c r="V169" s="79">
        <f>IF(Q169="Sin Factura",0,IFERROR(_xlfn.XLOOKUP(1, (Facturas_Odoo!$D:$D=A169) * (Facturas_Odoo!$K:$K=I169), Facturas_Odoo!$O:$O, 0), 0))</f>
        <v/>
      </c>
      <c r="W169" s="81">
        <f>IF(Q169="Sin Factura",0,IFERROR(_xlfn.XLOOKUP(1, (Facturas_Odoo!$D:$D=A169) * (Facturas_Odoo!$K:$K=I169), Facturas_Odoo!$Q:$Q, 0), 0))</f>
        <v/>
      </c>
      <c r="X169" s="79">
        <f>IF(OR(Q169="Sin Factura",Q169=""),"",IFERROR(INDEX(Pagos_Odoo!$B:$B, MATCH(Q169, Pagos_Odoo!$I:$I, 0)), "Sin Pago"))</f>
        <v/>
      </c>
      <c r="Y169" s="79">
        <f>IF(X169="Sin Pago","",IFERROR(INDEX(Pagos_Odoo!$C:$C, MATCH(X169, Pagos_Odoo!$B:$B, 0)), ""))</f>
        <v/>
      </c>
      <c r="Z169" s="80">
        <f>IF(X169="Sin Pago","",IFERROR(INDEX(Pagos_Odoo!$A:$A, MATCH(X169, Pagos_Odoo!$B:$B, 0)), ""))</f>
        <v/>
      </c>
      <c r="AA169" s="79">
        <f>IF(X169="Sin Pago","",IFERROR(INDEX(Pagos_Odoo!$F:$F, MATCH(X169, Pagos_Odoo!$B:$B, 0)), ""))</f>
        <v/>
      </c>
      <c r="AB169" s="81">
        <f>IF(X169="Sin Pago",0,IFERROR(INDEX(Pagos_Odoo!$E:$E, MATCH(X169, Pagos_Odoo!$B:$B, 0)), 0))</f>
        <v/>
      </c>
      <c r="AC169" s="79">
        <f>IF(X169="Sin Pago","",IFERROR(INDEX(Pagos_Odoo!$G:$G, MATCH(X169, Pagos_Odoo!$B:$B, 0)), ""))</f>
        <v/>
      </c>
      <c r="AD169" s="82" t="n">
        <v>0</v>
      </c>
      <c r="AE169" s="82" t="n"/>
      <c r="AF169" s="82" t="n"/>
      <c r="AG169" s="82">
        <f>IF(AN169="","",AD169+AE169+AF169)</f>
        <v/>
      </c>
      <c r="AH169" s="81">
        <f>IF(AN169="","",P169*(1-AG169))</f>
        <v/>
      </c>
      <c r="AI169" s="81">
        <f>IF(AN169="","",IF(Q169="Sin Factura",0,IFERROR(INDEX(Facturas_Odoo!$H:$H, MATCH(Q169, Facturas_Odoo!$B:$B, 0)), 0)*(1-AG169)))</f>
        <v/>
      </c>
      <c r="AJ169" s="81">
        <f>IF(AN169="","",_xlfn.LET(idVenta, AN169&amp;"",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9" s="81">
        <f>IF(AN169="","",AH169-AJ169)</f>
        <v/>
      </c>
      <c r="AL169" s="81">
        <f>IF(AN169="","",IF(Q169="Sin Factura","",AI169-AJ169))</f>
        <v/>
      </c>
      <c r="AM169" s="81">
        <f>IF(AN169="","",IF(Q169="Sin Factura",0,P169-IFERROR(INDEX(Facturas_Odoo!$H:$H, MATCH(Q169, Facturas_Odoo!$B:$B, 0)), 0)))</f>
        <v/>
      </c>
      <c r="AN169" s="79">
        <f>IF(AND(A169="", J169=""), "", IF(A169&lt;&gt;"", VALUE(MID(A169,2,LEN(A169))), AN168))</f>
        <v/>
      </c>
      <c r="AO169" s="79">
        <f>IF(AN169="","",IF(AD169=0,"OK",_xlfn.LET(monedaPago, IF(AA169="","USD",AA169), limitePermitido, IFERROR(VLOOKUP(monedaPago, Configuración!$A$2:$B$3, 2, FALSE), 0.15), IF(AD169&gt;limitePermitido, "ALERTA: EXCESO (" &amp; TEXT(limitePermitido, "0%") &amp; " máx)", "OK"))))</f>
        <v/>
      </c>
      <c r="AP169" s="79">
        <f>IF(AN169="","",IF(AE169=0,"OK",_xlfn.LET(fechaPago, Z169, fechaFactura, R169, diasCredito, IF(E169="Pago inmediato", 0, IFERROR(VALUE(MID(E169, 1, SEARCH(" ", E169)-1)),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9" s="79">
        <f>IF(AN169="","",IF(AND(N169&gt;0, AG169&gt;0), IF(Configuración!$K$2="NO", "ALERTA: DESCUENTO DOBLE NO PERMITIDO", "OK"), "OK"))</f>
        <v/>
      </c>
      <c r="AR169" s="79">
        <f>IF(AN169="","",IF(OR(AO169&lt;&gt;"OK", AP169&lt;&gt;"OK", AQ169&lt;&gt;"OK"), "⚠️ REVISAR", "OK"))</f>
        <v/>
      </c>
    </row>
    <row r="170">
      <c r="A170" s="79">
        <f>IF('Ordenes_Odoo'!A170="","",'Ordenes_Odoo'!A170)</f>
        <v/>
      </c>
      <c r="B170" s="80">
        <f>IF('Ordenes_Odoo'!B170="","",'Ordenes_Odoo'!B170)</f>
        <v/>
      </c>
      <c r="C170" s="79">
        <f>IF('Ordenes_Odoo'!C170="","",'Ordenes_Odoo'!C170)</f>
        <v/>
      </c>
      <c r="D170" s="79">
        <f>IF('Ordenes_Odoo'!D170="","",'Ordenes_Odoo'!D170)</f>
        <v/>
      </c>
      <c r="E170" s="79">
        <f>IF('Ordenes_Odoo'!E170="","",'Ordenes_Odoo'!E170)</f>
        <v/>
      </c>
      <c r="F170" s="79">
        <f>IF('Ordenes_Odoo'!F170="","",'Ordenes_Odoo'!F170)</f>
        <v/>
      </c>
      <c r="G170" s="79">
        <f>IF('Ordenes_Odoo'!G170="","",'Ordenes_Odoo'!G170)</f>
        <v/>
      </c>
      <c r="H170" s="79">
        <f>IF('Ordenes_Odoo'!H170="","",'Ordenes_Odoo'!H170)</f>
        <v/>
      </c>
      <c r="I170" s="79">
        <f>IF('Ordenes_Odoo'!I170="","",'Ordenes_Odoo'!I170)</f>
        <v/>
      </c>
      <c r="J170" s="79">
        <f>IF('Ordenes_Odoo'!J170="","",'Ordenes_Odoo'!J170)</f>
        <v/>
      </c>
      <c r="K170" s="81">
        <f>IF('Ordenes_Odoo'!K170="","",'Ordenes_Odoo'!K170)</f>
        <v/>
      </c>
      <c r="L170" s="81">
        <f>IF('Ordenes_Odoo'!L170="","",'Ordenes_Odoo'!L170)</f>
        <v/>
      </c>
      <c r="M170" s="79">
        <f>IF('Ordenes_Odoo'!M170="","",'Ordenes_Odoo'!M170)</f>
        <v/>
      </c>
      <c r="N170" s="79">
        <f>IF('Ordenes_Odoo'!N170="","",'Ordenes_Odoo'!N170)</f>
        <v/>
      </c>
      <c r="O170" s="81">
        <f>IF('Ordenes_Odoo'!O170="","",'Ordenes_Odoo'!O170)</f>
        <v/>
      </c>
      <c r="P170" s="81">
        <f>IF('Ordenes_Odoo'!P170="","",'Ordenes_Odoo'!P170)</f>
        <v/>
      </c>
      <c r="Q170" s="79">
        <f>IF(A170="","",IFERROR(INDEX(Facturas_Odoo!$B:$B, MATCH(A170, Facturas_Odoo!$D:$D, 0)), "Sin Factura"))</f>
        <v/>
      </c>
      <c r="R170" s="80">
        <f>IF(Q170="Sin Factura","",IFERROR(INDEX(Facturas_Odoo!$A:$A, MATCH(Q170, Facturas_Odoo!$B:$B, 0)), ""))</f>
        <v/>
      </c>
      <c r="S170" s="79">
        <f>IF(Q170="Sin Factura","",IFERROR(_xlfn.XLOOKUP(1, (Facturas_Odoo!$D:$D=A170) * (Facturas_Odoo!$K:$K=I170), Facturas_Odoo!$L:$L, ""), ""))</f>
        <v/>
      </c>
      <c r="T170" s="81">
        <f>IF(Q170="Sin Factura",0,IFERROR(_xlfn.XLOOKUP(1, (Facturas_Odoo!$D:$D=A170) * (Facturas_Odoo!$K:$K=I170), Facturas_Odoo!$M:$M, 0), 0))</f>
        <v/>
      </c>
      <c r="U170" s="79">
        <f>IF(Q170="Sin Factura",0,IFERROR(_xlfn.XLOOKUP(1, (Facturas_Odoo!$D:$D=A170) * (Facturas_Odoo!$K:$K=I170), Facturas_Odoo!$N:$N, 0), 0))</f>
        <v/>
      </c>
      <c r="V170" s="79">
        <f>IF(Q170="Sin Factura",0,IFERROR(_xlfn.XLOOKUP(1, (Facturas_Odoo!$D:$D=A170) * (Facturas_Odoo!$K:$K=I170), Facturas_Odoo!$O:$O, 0), 0))</f>
        <v/>
      </c>
      <c r="W170" s="81">
        <f>IF(Q170="Sin Factura",0,IFERROR(_xlfn.XLOOKUP(1, (Facturas_Odoo!$D:$D=A170) * (Facturas_Odoo!$K:$K=I170), Facturas_Odoo!$Q:$Q, 0), 0))</f>
        <v/>
      </c>
      <c r="X170" s="79">
        <f>IF(OR(Q170="Sin Factura",Q170=""),"",IFERROR(INDEX(Pagos_Odoo!$B:$B, MATCH(Q170, Pagos_Odoo!$I:$I, 0)), "Sin Pago"))</f>
        <v/>
      </c>
      <c r="Y170" s="79">
        <f>IF(X170="Sin Pago","",IFERROR(INDEX(Pagos_Odoo!$C:$C, MATCH(X170, Pagos_Odoo!$B:$B, 0)), ""))</f>
        <v/>
      </c>
      <c r="Z170" s="80">
        <f>IF(X170="Sin Pago","",IFERROR(INDEX(Pagos_Odoo!$A:$A, MATCH(X170, Pagos_Odoo!$B:$B, 0)), ""))</f>
        <v/>
      </c>
      <c r="AA170" s="79">
        <f>IF(X170="Sin Pago","",IFERROR(INDEX(Pagos_Odoo!$F:$F, MATCH(X170, Pagos_Odoo!$B:$B, 0)), ""))</f>
        <v/>
      </c>
      <c r="AB170" s="81">
        <f>IF(X170="Sin Pago",0,IFERROR(INDEX(Pagos_Odoo!$E:$E, MATCH(X170, Pagos_Odoo!$B:$B, 0)), 0))</f>
        <v/>
      </c>
      <c r="AC170" s="79">
        <f>IF(X170="Sin Pago","",IFERROR(INDEX(Pagos_Odoo!$G:$G, MATCH(X170, Pagos_Odoo!$B:$B, 0)), ""))</f>
        <v/>
      </c>
      <c r="AD170" s="82" t="n">
        <v>0</v>
      </c>
      <c r="AE170" s="82" t="n"/>
      <c r="AF170" s="82" t="n"/>
      <c r="AG170" s="82">
        <f>IF(AN170="","",AD170+AE170+AF170)</f>
        <v/>
      </c>
      <c r="AH170" s="81">
        <f>IF(AN170="","",P170*(1-AG170))</f>
        <v/>
      </c>
      <c r="AI170" s="81">
        <f>IF(AN170="","",IF(Q170="Sin Factura",0,IFERROR(INDEX(Facturas_Odoo!$H:$H, MATCH(Q170, Facturas_Odoo!$B:$B, 0)), 0)*(1-AG170)))</f>
        <v/>
      </c>
      <c r="AJ170" s="81">
        <f>IF(AN170="","",_xlfn.LET(idVenta, AN170&amp;"",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0" s="81">
        <f>IF(AN170="","",AH170-AJ170)</f>
        <v/>
      </c>
      <c r="AL170" s="81">
        <f>IF(AN170="","",IF(Q170="Sin Factura","",AI170-AJ170))</f>
        <v/>
      </c>
      <c r="AM170" s="81">
        <f>IF(AN170="","",IF(Q170="Sin Factura",0,P170-IFERROR(INDEX(Facturas_Odoo!$H:$H, MATCH(Q170, Facturas_Odoo!$B:$B, 0)), 0)))</f>
        <v/>
      </c>
      <c r="AN170" s="79">
        <f>IF(AND(A170="", J170=""), "", IF(A170&lt;&gt;"", VALUE(MID(A170,2,LEN(A170))), AN169))</f>
        <v/>
      </c>
      <c r="AO170" s="79">
        <f>IF(AN170="","",IF(AD170=0,"OK",_xlfn.LET(monedaPago, IF(AA170="","USD",AA170), limitePermitido, IFERROR(VLOOKUP(monedaPago, Configuración!$A$2:$B$3, 2, FALSE), 0.15), IF(AD170&gt;limitePermitido, "ALERTA: EXCESO (" &amp; TEXT(limitePermitido, "0%") &amp; " máx)", "OK"))))</f>
        <v/>
      </c>
      <c r="AP170" s="79">
        <f>IF(AN170="","",IF(AE170=0,"OK",_xlfn.LET(fechaPago, Z170, fechaFactura, R170, diasCredito, IF(E170="Pago inmediato", 0, IFERROR(VALUE(MID(E170, 1, SEARCH(" ", E170)-1)),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0" s="79">
        <f>IF(AN170="","",IF(AND(N170&gt;0, AG170&gt;0), IF(Configuración!$K$2="NO", "ALERTA: DESCUENTO DOBLE NO PERMITIDO", "OK"), "OK"))</f>
        <v/>
      </c>
      <c r="AR170" s="79">
        <f>IF(AN170="","",IF(OR(AO170&lt;&gt;"OK", AP170&lt;&gt;"OK", AQ170&lt;&gt;"OK"), "⚠️ REVISAR", "OK"))</f>
        <v/>
      </c>
    </row>
    <row r="171">
      <c r="A171" s="79">
        <f>IF('Ordenes_Odoo'!A171="","",'Ordenes_Odoo'!A171)</f>
        <v/>
      </c>
      <c r="B171" s="80">
        <f>IF('Ordenes_Odoo'!B171="","",'Ordenes_Odoo'!B171)</f>
        <v/>
      </c>
      <c r="C171" s="79">
        <f>IF('Ordenes_Odoo'!C171="","",'Ordenes_Odoo'!C171)</f>
        <v/>
      </c>
      <c r="D171" s="79">
        <f>IF('Ordenes_Odoo'!D171="","",'Ordenes_Odoo'!D171)</f>
        <v/>
      </c>
      <c r="E171" s="79">
        <f>IF('Ordenes_Odoo'!E171="","",'Ordenes_Odoo'!E171)</f>
        <v/>
      </c>
      <c r="F171" s="79">
        <f>IF('Ordenes_Odoo'!F171="","",'Ordenes_Odoo'!F171)</f>
        <v/>
      </c>
      <c r="G171" s="79">
        <f>IF('Ordenes_Odoo'!G171="","",'Ordenes_Odoo'!G171)</f>
        <v/>
      </c>
      <c r="H171" s="79">
        <f>IF('Ordenes_Odoo'!H171="","",'Ordenes_Odoo'!H171)</f>
        <v/>
      </c>
      <c r="I171" s="79">
        <f>IF('Ordenes_Odoo'!I171="","",'Ordenes_Odoo'!I171)</f>
        <v/>
      </c>
      <c r="J171" s="79">
        <f>IF('Ordenes_Odoo'!J171="","",'Ordenes_Odoo'!J171)</f>
        <v/>
      </c>
      <c r="K171" s="81">
        <f>IF('Ordenes_Odoo'!K171="","",'Ordenes_Odoo'!K171)</f>
        <v/>
      </c>
      <c r="L171" s="81">
        <f>IF('Ordenes_Odoo'!L171="","",'Ordenes_Odoo'!L171)</f>
        <v/>
      </c>
      <c r="M171" s="79">
        <f>IF('Ordenes_Odoo'!M171="","",'Ordenes_Odoo'!M171)</f>
        <v/>
      </c>
      <c r="N171" s="79">
        <f>IF('Ordenes_Odoo'!N171="","",'Ordenes_Odoo'!N171)</f>
        <v/>
      </c>
      <c r="O171" s="81">
        <f>IF('Ordenes_Odoo'!O171="","",'Ordenes_Odoo'!O171)</f>
        <v/>
      </c>
      <c r="P171" s="81">
        <f>IF('Ordenes_Odoo'!P171="","",'Ordenes_Odoo'!P171)</f>
        <v/>
      </c>
      <c r="Q171" s="79">
        <f>IF(A171="","",IFERROR(INDEX(Facturas_Odoo!$B:$B, MATCH(A171, Facturas_Odoo!$D:$D, 0)), "Sin Factura"))</f>
        <v/>
      </c>
      <c r="R171" s="80">
        <f>IF(Q171="Sin Factura","",IFERROR(INDEX(Facturas_Odoo!$A:$A, MATCH(Q171, Facturas_Odoo!$B:$B, 0)), ""))</f>
        <v/>
      </c>
      <c r="S171" s="79">
        <f>IF(Q171="Sin Factura","",IFERROR(_xlfn.XLOOKUP(1, (Facturas_Odoo!$D:$D=A171) * (Facturas_Odoo!$K:$K=I171), Facturas_Odoo!$L:$L, ""), ""))</f>
        <v/>
      </c>
      <c r="T171" s="81">
        <f>IF(Q171="Sin Factura",0,IFERROR(_xlfn.XLOOKUP(1, (Facturas_Odoo!$D:$D=A171) * (Facturas_Odoo!$K:$K=I171), Facturas_Odoo!$M:$M, 0), 0))</f>
        <v/>
      </c>
      <c r="U171" s="79">
        <f>IF(Q171="Sin Factura",0,IFERROR(_xlfn.XLOOKUP(1, (Facturas_Odoo!$D:$D=A171) * (Facturas_Odoo!$K:$K=I171), Facturas_Odoo!$N:$N, 0), 0))</f>
        <v/>
      </c>
      <c r="V171" s="79">
        <f>IF(Q171="Sin Factura",0,IFERROR(_xlfn.XLOOKUP(1, (Facturas_Odoo!$D:$D=A171) * (Facturas_Odoo!$K:$K=I171), Facturas_Odoo!$O:$O, 0), 0))</f>
        <v/>
      </c>
      <c r="W171" s="81">
        <f>IF(Q171="Sin Factura",0,IFERROR(_xlfn.XLOOKUP(1, (Facturas_Odoo!$D:$D=A171) * (Facturas_Odoo!$K:$K=I171), Facturas_Odoo!$Q:$Q, 0), 0))</f>
        <v/>
      </c>
      <c r="X171" s="79">
        <f>IF(OR(Q171="Sin Factura",Q171=""),"",IFERROR(INDEX(Pagos_Odoo!$B:$B, MATCH(Q171, Pagos_Odoo!$I:$I, 0)), "Sin Pago"))</f>
        <v/>
      </c>
      <c r="Y171" s="79">
        <f>IF(X171="Sin Pago","",IFERROR(INDEX(Pagos_Odoo!$C:$C, MATCH(X171, Pagos_Odoo!$B:$B, 0)), ""))</f>
        <v/>
      </c>
      <c r="Z171" s="80">
        <f>IF(X171="Sin Pago","",IFERROR(INDEX(Pagos_Odoo!$A:$A, MATCH(X171, Pagos_Odoo!$B:$B, 0)), ""))</f>
        <v/>
      </c>
      <c r="AA171" s="79">
        <f>IF(X171="Sin Pago","",IFERROR(INDEX(Pagos_Odoo!$F:$F, MATCH(X171, Pagos_Odoo!$B:$B, 0)), ""))</f>
        <v/>
      </c>
      <c r="AB171" s="81">
        <f>IF(X171="Sin Pago",0,IFERROR(INDEX(Pagos_Odoo!$E:$E, MATCH(X171, Pagos_Odoo!$B:$B, 0)), 0))</f>
        <v/>
      </c>
      <c r="AC171" s="79">
        <f>IF(X171="Sin Pago","",IFERROR(INDEX(Pagos_Odoo!$G:$G, MATCH(X171, Pagos_Odoo!$B:$B, 0)), ""))</f>
        <v/>
      </c>
      <c r="AD171" s="82" t="n">
        <v>0</v>
      </c>
      <c r="AE171" s="82" t="n"/>
      <c r="AF171" s="82" t="n"/>
      <c r="AG171" s="82">
        <f>IF(AN171="","",AD171+AE171+AF171)</f>
        <v/>
      </c>
      <c r="AH171" s="81">
        <f>IF(AN171="","",P171*(1-AG171))</f>
        <v/>
      </c>
      <c r="AI171" s="81">
        <f>IF(AN171="","",IF(Q171="Sin Factura",0,IFERROR(INDEX(Facturas_Odoo!$H:$H, MATCH(Q171, Facturas_Odoo!$B:$B, 0)), 0)*(1-AG171)))</f>
        <v/>
      </c>
      <c r="AJ171" s="81">
        <f>IF(AN171="","",_xlfn.LET(idVenta, AN171&amp;"",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1" s="81">
        <f>IF(AN171="","",AH171-AJ171)</f>
        <v/>
      </c>
      <c r="AL171" s="81">
        <f>IF(AN171="","",IF(Q171="Sin Factura","",AI171-AJ171))</f>
        <v/>
      </c>
      <c r="AM171" s="81">
        <f>IF(AN171="","",IF(Q171="Sin Factura",0,P171-IFERROR(INDEX(Facturas_Odoo!$H:$H, MATCH(Q171, Facturas_Odoo!$B:$B, 0)), 0)))</f>
        <v/>
      </c>
      <c r="AN171" s="79">
        <f>IF(AND(A171="", J171=""), "", IF(A171&lt;&gt;"", VALUE(MID(A171,2,LEN(A171))), AN170))</f>
        <v/>
      </c>
      <c r="AO171" s="79">
        <f>IF(AN171="","",IF(AD171=0,"OK",_xlfn.LET(monedaPago, IF(AA171="","USD",AA171), limitePermitido, IFERROR(VLOOKUP(monedaPago, Configuración!$A$2:$B$3, 2, FALSE), 0.15), IF(AD171&gt;limitePermitido, "ALERTA: EXCESO (" &amp; TEXT(limitePermitido, "0%") &amp; " máx)", "OK"))))</f>
        <v/>
      </c>
      <c r="AP171" s="79">
        <f>IF(AN171="","",IF(AE171=0,"OK",_xlfn.LET(fechaPago, Z171, fechaFactura, R171, diasCredito, IF(E171="Pago inmediato", 0, IFERROR(VALUE(MID(E171, 1, SEARCH(" ", E171)-1)),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1" s="79">
        <f>IF(AN171="","",IF(AND(N171&gt;0, AG171&gt;0), IF(Configuración!$K$2="NO", "ALERTA: DESCUENTO DOBLE NO PERMITIDO", "OK"), "OK"))</f>
        <v/>
      </c>
      <c r="AR171" s="79">
        <f>IF(AN171="","",IF(OR(AO171&lt;&gt;"OK", AP171&lt;&gt;"OK", AQ171&lt;&gt;"OK"), "⚠️ REVISAR", "OK"))</f>
        <v/>
      </c>
    </row>
    <row r="172">
      <c r="A172" s="79">
        <f>IF('Ordenes_Odoo'!A172="","",'Ordenes_Odoo'!A172)</f>
        <v/>
      </c>
      <c r="B172" s="80">
        <f>IF('Ordenes_Odoo'!B172="","",'Ordenes_Odoo'!B172)</f>
        <v/>
      </c>
      <c r="C172" s="79">
        <f>IF('Ordenes_Odoo'!C172="","",'Ordenes_Odoo'!C172)</f>
        <v/>
      </c>
      <c r="D172" s="79">
        <f>IF('Ordenes_Odoo'!D172="","",'Ordenes_Odoo'!D172)</f>
        <v/>
      </c>
      <c r="E172" s="79">
        <f>IF('Ordenes_Odoo'!E172="","",'Ordenes_Odoo'!E172)</f>
        <v/>
      </c>
      <c r="F172" s="79">
        <f>IF('Ordenes_Odoo'!F172="","",'Ordenes_Odoo'!F172)</f>
        <v/>
      </c>
      <c r="G172" s="79">
        <f>IF('Ordenes_Odoo'!G172="","",'Ordenes_Odoo'!G172)</f>
        <v/>
      </c>
      <c r="H172" s="79">
        <f>IF('Ordenes_Odoo'!H172="","",'Ordenes_Odoo'!H172)</f>
        <v/>
      </c>
      <c r="I172" s="79">
        <f>IF('Ordenes_Odoo'!I172="","",'Ordenes_Odoo'!I172)</f>
        <v/>
      </c>
      <c r="J172" s="79">
        <f>IF('Ordenes_Odoo'!J172="","",'Ordenes_Odoo'!J172)</f>
        <v/>
      </c>
      <c r="K172" s="81">
        <f>IF('Ordenes_Odoo'!K172="","",'Ordenes_Odoo'!K172)</f>
        <v/>
      </c>
      <c r="L172" s="81">
        <f>IF('Ordenes_Odoo'!L172="","",'Ordenes_Odoo'!L172)</f>
        <v/>
      </c>
      <c r="M172" s="79">
        <f>IF('Ordenes_Odoo'!M172="","",'Ordenes_Odoo'!M172)</f>
        <v/>
      </c>
      <c r="N172" s="79">
        <f>IF('Ordenes_Odoo'!N172="","",'Ordenes_Odoo'!N172)</f>
        <v/>
      </c>
      <c r="O172" s="81">
        <f>IF('Ordenes_Odoo'!O172="","",'Ordenes_Odoo'!O172)</f>
        <v/>
      </c>
      <c r="P172" s="81">
        <f>IF('Ordenes_Odoo'!P172="","",'Ordenes_Odoo'!P172)</f>
        <v/>
      </c>
      <c r="Q172" s="79">
        <f>IF(A172="","",IFERROR(INDEX(Facturas_Odoo!$B:$B, MATCH(A172, Facturas_Odoo!$D:$D, 0)), "Sin Factura"))</f>
        <v/>
      </c>
      <c r="R172" s="80">
        <f>IF(Q172="Sin Factura","",IFERROR(INDEX(Facturas_Odoo!$A:$A, MATCH(Q172, Facturas_Odoo!$B:$B, 0)), ""))</f>
        <v/>
      </c>
      <c r="S172" s="79">
        <f>IF(Q172="Sin Factura","",IFERROR(_xlfn.XLOOKUP(1, (Facturas_Odoo!$D:$D=A172) * (Facturas_Odoo!$K:$K=I172), Facturas_Odoo!$L:$L, ""), ""))</f>
        <v/>
      </c>
      <c r="T172" s="81">
        <f>IF(Q172="Sin Factura",0,IFERROR(_xlfn.XLOOKUP(1, (Facturas_Odoo!$D:$D=A172) * (Facturas_Odoo!$K:$K=I172), Facturas_Odoo!$M:$M, 0), 0))</f>
        <v/>
      </c>
      <c r="U172" s="79">
        <f>IF(Q172="Sin Factura",0,IFERROR(_xlfn.XLOOKUP(1, (Facturas_Odoo!$D:$D=A172) * (Facturas_Odoo!$K:$K=I172), Facturas_Odoo!$N:$N, 0), 0))</f>
        <v/>
      </c>
      <c r="V172" s="79">
        <f>IF(Q172="Sin Factura",0,IFERROR(_xlfn.XLOOKUP(1, (Facturas_Odoo!$D:$D=A172) * (Facturas_Odoo!$K:$K=I172), Facturas_Odoo!$O:$O, 0), 0))</f>
        <v/>
      </c>
      <c r="W172" s="81">
        <f>IF(Q172="Sin Factura",0,IFERROR(_xlfn.XLOOKUP(1, (Facturas_Odoo!$D:$D=A172) * (Facturas_Odoo!$K:$K=I172), Facturas_Odoo!$Q:$Q, 0), 0))</f>
        <v/>
      </c>
      <c r="X172" s="79">
        <f>IF(OR(Q172="Sin Factura",Q172=""),"",IFERROR(INDEX(Pagos_Odoo!$B:$B, MATCH(Q172, Pagos_Odoo!$I:$I, 0)), "Sin Pago"))</f>
        <v/>
      </c>
      <c r="Y172" s="79">
        <f>IF(X172="Sin Pago","",IFERROR(INDEX(Pagos_Odoo!$C:$C, MATCH(X172, Pagos_Odoo!$B:$B, 0)), ""))</f>
        <v/>
      </c>
      <c r="Z172" s="80">
        <f>IF(X172="Sin Pago","",IFERROR(INDEX(Pagos_Odoo!$A:$A, MATCH(X172, Pagos_Odoo!$B:$B, 0)), ""))</f>
        <v/>
      </c>
      <c r="AA172" s="79">
        <f>IF(X172="Sin Pago","",IFERROR(INDEX(Pagos_Odoo!$F:$F, MATCH(X172, Pagos_Odoo!$B:$B, 0)), ""))</f>
        <v/>
      </c>
      <c r="AB172" s="81">
        <f>IF(X172="Sin Pago",0,IFERROR(INDEX(Pagos_Odoo!$E:$E, MATCH(X172, Pagos_Odoo!$B:$B, 0)), 0))</f>
        <v/>
      </c>
      <c r="AC172" s="79">
        <f>IF(X172="Sin Pago","",IFERROR(INDEX(Pagos_Odoo!$G:$G, MATCH(X172, Pagos_Odoo!$B:$B, 0)), ""))</f>
        <v/>
      </c>
      <c r="AD172" s="82" t="n">
        <v>0</v>
      </c>
      <c r="AE172" s="82" t="n"/>
      <c r="AF172" s="82" t="n"/>
      <c r="AG172" s="82">
        <f>IF(AN172="","",AD172+AE172+AF172)</f>
        <v/>
      </c>
      <c r="AH172" s="81">
        <f>IF(AN172="","",P172*(1-AG172))</f>
        <v/>
      </c>
      <c r="AI172" s="81">
        <f>IF(AN172="","",IF(Q172="Sin Factura",0,IFERROR(INDEX(Facturas_Odoo!$H:$H, MATCH(Q172, Facturas_Odoo!$B:$B, 0)), 0)*(1-AG172)))</f>
        <v/>
      </c>
      <c r="AJ172" s="81">
        <f>IF(AN172="","",_xlfn.LET(idVenta, AN172&amp;"",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2" s="81">
        <f>IF(AN172="","",AH172-AJ172)</f>
        <v/>
      </c>
      <c r="AL172" s="81">
        <f>IF(AN172="","",IF(Q172="Sin Factura","",AI172-AJ172))</f>
        <v/>
      </c>
      <c r="AM172" s="81">
        <f>IF(AN172="","",IF(Q172="Sin Factura",0,P172-IFERROR(INDEX(Facturas_Odoo!$H:$H, MATCH(Q172, Facturas_Odoo!$B:$B, 0)), 0)))</f>
        <v/>
      </c>
      <c r="AN172" s="79">
        <f>IF(AND(A172="", J172=""), "", IF(A172&lt;&gt;"", VALUE(MID(A172,2,LEN(A172))), AN171))</f>
        <v/>
      </c>
      <c r="AO172" s="79">
        <f>IF(AN172="","",IF(AD172=0,"OK",_xlfn.LET(monedaPago, IF(AA172="","USD",AA172), limitePermitido, IFERROR(VLOOKUP(monedaPago, Configuración!$A$2:$B$3, 2, FALSE), 0.15), IF(AD172&gt;limitePermitido, "ALERTA: EXCESO (" &amp; TEXT(limitePermitido, "0%") &amp; " máx)", "OK"))))</f>
        <v/>
      </c>
      <c r="AP172" s="79">
        <f>IF(AN172="","",IF(AE172=0,"OK",_xlfn.LET(fechaPago, Z172, fechaFactura, R172, diasCredito, IF(E172="Pago inmediato", 0, IFERROR(VALUE(MID(E172, 1, SEARCH(" ", E172)-1)),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2" s="79">
        <f>IF(AN172="","",IF(AND(N172&gt;0, AG172&gt;0), IF(Configuración!$K$2="NO", "ALERTA: DESCUENTO DOBLE NO PERMITIDO", "OK"), "OK"))</f>
        <v/>
      </c>
      <c r="AR172" s="79">
        <f>IF(AN172="","",IF(OR(AO172&lt;&gt;"OK", AP172&lt;&gt;"OK", AQ172&lt;&gt;"OK"), "⚠️ REVISAR", "OK"))</f>
        <v/>
      </c>
    </row>
    <row r="173">
      <c r="A173" s="79">
        <f>IF('Ordenes_Odoo'!A173="","",'Ordenes_Odoo'!A173)</f>
        <v/>
      </c>
      <c r="B173" s="80">
        <f>IF('Ordenes_Odoo'!B173="","",'Ordenes_Odoo'!B173)</f>
        <v/>
      </c>
      <c r="C173" s="79">
        <f>IF('Ordenes_Odoo'!C173="","",'Ordenes_Odoo'!C173)</f>
        <v/>
      </c>
      <c r="D173" s="79">
        <f>IF('Ordenes_Odoo'!D173="","",'Ordenes_Odoo'!D173)</f>
        <v/>
      </c>
      <c r="E173" s="79">
        <f>IF('Ordenes_Odoo'!E173="","",'Ordenes_Odoo'!E173)</f>
        <v/>
      </c>
      <c r="F173" s="79">
        <f>IF('Ordenes_Odoo'!F173="","",'Ordenes_Odoo'!F173)</f>
        <v/>
      </c>
      <c r="G173" s="79">
        <f>IF('Ordenes_Odoo'!G173="","",'Ordenes_Odoo'!G173)</f>
        <v/>
      </c>
      <c r="H173" s="79">
        <f>IF('Ordenes_Odoo'!H173="","",'Ordenes_Odoo'!H173)</f>
        <v/>
      </c>
      <c r="I173" s="79">
        <f>IF('Ordenes_Odoo'!I173="","",'Ordenes_Odoo'!I173)</f>
        <v/>
      </c>
      <c r="J173" s="79">
        <f>IF('Ordenes_Odoo'!J173="","",'Ordenes_Odoo'!J173)</f>
        <v/>
      </c>
      <c r="K173" s="81">
        <f>IF('Ordenes_Odoo'!K173="","",'Ordenes_Odoo'!K173)</f>
        <v/>
      </c>
      <c r="L173" s="81">
        <f>IF('Ordenes_Odoo'!L173="","",'Ordenes_Odoo'!L173)</f>
        <v/>
      </c>
      <c r="M173" s="79">
        <f>IF('Ordenes_Odoo'!M173="","",'Ordenes_Odoo'!M173)</f>
        <v/>
      </c>
      <c r="N173" s="79">
        <f>IF('Ordenes_Odoo'!N173="","",'Ordenes_Odoo'!N173)</f>
        <v/>
      </c>
      <c r="O173" s="81">
        <f>IF('Ordenes_Odoo'!O173="","",'Ordenes_Odoo'!O173)</f>
        <v/>
      </c>
      <c r="P173" s="81">
        <f>IF('Ordenes_Odoo'!P173="","",'Ordenes_Odoo'!P173)</f>
        <v/>
      </c>
      <c r="Q173" s="79">
        <f>IF(A173="","",IFERROR(INDEX(Facturas_Odoo!$B:$B, MATCH(A173, Facturas_Odoo!$D:$D, 0)), "Sin Factura"))</f>
        <v/>
      </c>
      <c r="R173" s="80">
        <f>IF(Q173="Sin Factura","",IFERROR(INDEX(Facturas_Odoo!$A:$A, MATCH(Q173, Facturas_Odoo!$B:$B, 0)), ""))</f>
        <v/>
      </c>
      <c r="S173" s="79">
        <f>IF(Q173="Sin Factura","",IFERROR(_xlfn.XLOOKUP(1, (Facturas_Odoo!$D:$D=A173) * (Facturas_Odoo!$K:$K=I173), Facturas_Odoo!$L:$L, ""), ""))</f>
        <v/>
      </c>
      <c r="T173" s="81">
        <f>IF(Q173="Sin Factura",0,IFERROR(_xlfn.XLOOKUP(1, (Facturas_Odoo!$D:$D=A173) * (Facturas_Odoo!$K:$K=I173), Facturas_Odoo!$M:$M, 0), 0))</f>
        <v/>
      </c>
      <c r="U173" s="79">
        <f>IF(Q173="Sin Factura",0,IFERROR(_xlfn.XLOOKUP(1, (Facturas_Odoo!$D:$D=A173) * (Facturas_Odoo!$K:$K=I173), Facturas_Odoo!$N:$N, 0), 0))</f>
        <v/>
      </c>
      <c r="V173" s="79">
        <f>IF(Q173="Sin Factura",0,IFERROR(_xlfn.XLOOKUP(1, (Facturas_Odoo!$D:$D=A173) * (Facturas_Odoo!$K:$K=I173), Facturas_Odoo!$O:$O, 0), 0))</f>
        <v/>
      </c>
      <c r="W173" s="81">
        <f>IF(Q173="Sin Factura",0,IFERROR(_xlfn.XLOOKUP(1, (Facturas_Odoo!$D:$D=A173) * (Facturas_Odoo!$K:$K=I173), Facturas_Odoo!$Q:$Q, 0), 0))</f>
        <v/>
      </c>
      <c r="X173" s="79">
        <f>IF(OR(Q173="Sin Factura",Q173=""),"",IFERROR(INDEX(Pagos_Odoo!$B:$B, MATCH(Q173, Pagos_Odoo!$I:$I, 0)), "Sin Pago"))</f>
        <v/>
      </c>
      <c r="Y173" s="79">
        <f>IF(X173="Sin Pago","",IFERROR(INDEX(Pagos_Odoo!$C:$C, MATCH(X173, Pagos_Odoo!$B:$B, 0)), ""))</f>
        <v/>
      </c>
      <c r="Z173" s="80">
        <f>IF(X173="Sin Pago","",IFERROR(INDEX(Pagos_Odoo!$A:$A, MATCH(X173, Pagos_Odoo!$B:$B, 0)), ""))</f>
        <v/>
      </c>
      <c r="AA173" s="79">
        <f>IF(X173="Sin Pago","",IFERROR(INDEX(Pagos_Odoo!$F:$F, MATCH(X173, Pagos_Odoo!$B:$B, 0)), ""))</f>
        <v/>
      </c>
      <c r="AB173" s="81">
        <f>IF(X173="Sin Pago",0,IFERROR(INDEX(Pagos_Odoo!$E:$E, MATCH(X173, Pagos_Odoo!$B:$B, 0)), 0))</f>
        <v/>
      </c>
      <c r="AC173" s="79">
        <f>IF(X173="Sin Pago","",IFERROR(INDEX(Pagos_Odoo!$G:$G, MATCH(X173, Pagos_Odoo!$B:$B, 0)), ""))</f>
        <v/>
      </c>
      <c r="AD173" s="82" t="n">
        <v>0</v>
      </c>
      <c r="AE173" s="82" t="n"/>
      <c r="AF173" s="82" t="n"/>
      <c r="AG173" s="82">
        <f>IF(AN173="","",AD173+AE173+AF173)</f>
        <v/>
      </c>
      <c r="AH173" s="81">
        <f>IF(AN173="","",P173*(1-AG173))</f>
        <v/>
      </c>
      <c r="AI173" s="81">
        <f>IF(AN173="","",IF(Q173="Sin Factura",0,IFERROR(INDEX(Facturas_Odoo!$H:$H, MATCH(Q173, Facturas_Odoo!$B:$B, 0)), 0)*(1-AG173)))</f>
        <v/>
      </c>
      <c r="AJ173" s="81">
        <f>IF(AN173="","",_xlfn.LET(idVenta, AN173&amp;"",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3" s="81">
        <f>IF(AN173="","",AH173-AJ173)</f>
        <v/>
      </c>
      <c r="AL173" s="81">
        <f>IF(AN173="","",IF(Q173="Sin Factura","",AI173-AJ173))</f>
        <v/>
      </c>
      <c r="AM173" s="81">
        <f>IF(AN173="","",IF(Q173="Sin Factura",0,P173-IFERROR(INDEX(Facturas_Odoo!$H:$H, MATCH(Q173, Facturas_Odoo!$B:$B, 0)), 0)))</f>
        <v/>
      </c>
      <c r="AN173" s="79">
        <f>IF(AND(A173="", J173=""), "", IF(A173&lt;&gt;"", VALUE(MID(A173,2,LEN(A173))), AN172))</f>
        <v/>
      </c>
      <c r="AO173" s="79">
        <f>IF(AN173="","",IF(AD173=0,"OK",_xlfn.LET(monedaPago, IF(AA173="","USD",AA173), limitePermitido, IFERROR(VLOOKUP(monedaPago, Configuración!$A$2:$B$3, 2, FALSE), 0.15), IF(AD173&gt;limitePermitido, "ALERTA: EXCESO (" &amp; TEXT(limitePermitido, "0%") &amp; " máx)", "OK"))))</f>
        <v/>
      </c>
      <c r="AP173" s="79">
        <f>IF(AN173="","",IF(AE173=0,"OK",_xlfn.LET(fechaPago, Z173, fechaFactura, R173, diasCredito, IF(E173="Pago inmediato", 0, IFERROR(VALUE(MID(E173, 1, SEARCH(" ", E173)-1)),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3" s="79">
        <f>IF(AN173="","",IF(AND(N173&gt;0, AG173&gt;0), IF(Configuración!$K$2="NO", "ALERTA: DESCUENTO DOBLE NO PERMITIDO", "OK"), "OK"))</f>
        <v/>
      </c>
      <c r="AR173" s="79">
        <f>IF(AN173="","",IF(OR(AO173&lt;&gt;"OK", AP173&lt;&gt;"OK", AQ173&lt;&gt;"OK"), "⚠️ REVISAR", "OK"))</f>
        <v/>
      </c>
    </row>
    <row r="174">
      <c r="A174" s="79">
        <f>IF('Ordenes_Odoo'!A174="","",'Ordenes_Odoo'!A174)</f>
        <v/>
      </c>
      <c r="B174" s="80">
        <f>IF('Ordenes_Odoo'!B174="","",'Ordenes_Odoo'!B174)</f>
        <v/>
      </c>
      <c r="C174" s="79">
        <f>IF('Ordenes_Odoo'!C174="","",'Ordenes_Odoo'!C174)</f>
        <v/>
      </c>
      <c r="D174" s="79">
        <f>IF('Ordenes_Odoo'!D174="","",'Ordenes_Odoo'!D174)</f>
        <v/>
      </c>
      <c r="E174" s="79">
        <f>IF('Ordenes_Odoo'!E174="","",'Ordenes_Odoo'!E174)</f>
        <v/>
      </c>
      <c r="F174" s="79">
        <f>IF('Ordenes_Odoo'!F174="","",'Ordenes_Odoo'!F174)</f>
        <v/>
      </c>
      <c r="G174" s="79">
        <f>IF('Ordenes_Odoo'!G174="","",'Ordenes_Odoo'!G174)</f>
        <v/>
      </c>
      <c r="H174" s="79">
        <f>IF('Ordenes_Odoo'!H174="","",'Ordenes_Odoo'!H174)</f>
        <v/>
      </c>
      <c r="I174" s="79">
        <f>IF('Ordenes_Odoo'!I174="","",'Ordenes_Odoo'!I174)</f>
        <v/>
      </c>
      <c r="J174" s="79">
        <f>IF('Ordenes_Odoo'!J174="","",'Ordenes_Odoo'!J174)</f>
        <v/>
      </c>
      <c r="K174" s="81">
        <f>IF('Ordenes_Odoo'!K174="","",'Ordenes_Odoo'!K174)</f>
        <v/>
      </c>
      <c r="L174" s="81">
        <f>IF('Ordenes_Odoo'!L174="","",'Ordenes_Odoo'!L174)</f>
        <v/>
      </c>
      <c r="M174" s="79">
        <f>IF('Ordenes_Odoo'!M174="","",'Ordenes_Odoo'!M174)</f>
        <v/>
      </c>
      <c r="N174" s="79">
        <f>IF('Ordenes_Odoo'!N174="","",'Ordenes_Odoo'!N174)</f>
        <v/>
      </c>
      <c r="O174" s="81">
        <f>IF('Ordenes_Odoo'!O174="","",'Ordenes_Odoo'!O174)</f>
        <v/>
      </c>
      <c r="P174" s="81">
        <f>IF('Ordenes_Odoo'!P174="","",'Ordenes_Odoo'!P174)</f>
        <v/>
      </c>
      <c r="Q174" s="79">
        <f>IF(A174="","",IFERROR(INDEX(Facturas_Odoo!$B:$B, MATCH(A174, Facturas_Odoo!$D:$D, 0)), "Sin Factura"))</f>
        <v/>
      </c>
      <c r="R174" s="80">
        <f>IF(Q174="Sin Factura","",IFERROR(INDEX(Facturas_Odoo!$A:$A, MATCH(Q174, Facturas_Odoo!$B:$B, 0)), ""))</f>
        <v/>
      </c>
      <c r="S174" s="79">
        <f>IF(Q174="Sin Factura","",IFERROR(_xlfn.XLOOKUP(1, (Facturas_Odoo!$D:$D=A174) * (Facturas_Odoo!$K:$K=I174), Facturas_Odoo!$L:$L, ""), ""))</f>
        <v/>
      </c>
      <c r="T174" s="81">
        <f>IF(Q174="Sin Factura",0,IFERROR(_xlfn.XLOOKUP(1, (Facturas_Odoo!$D:$D=A174) * (Facturas_Odoo!$K:$K=I174), Facturas_Odoo!$M:$M, 0), 0))</f>
        <v/>
      </c>
      <c r="U174" s="79">
        <f>IF(Q174="Sin Factura",0,IFERROR(_xlfn.XLOOKUP(1, (Facturas_Odoo!$D:$D=A174) * (Facturas_Odoo!$K:$K=I174), Facturas_Odoo!$N:$N, 0), 0))</f>
        <v/>
      </c>
      <c r="V174" s="79">
        <f>IF(Q174="Sin Factura",0,IFERROR(_xlfn.XLOOKUP(1, (Facturas_Odoo!$D:$D=A174) * (Facturas_Odoo!$K:$K=I174), Facturas_Odoo!$O:$O, 0), 0))</f>
        <v/>
      </c>
      <c r="W174" s="81">
        <f>IF(Q174="Sin Factura",0,IFERROR(_xlfn.XLOOKUP(1, (Facturas_Odoo!$D:$D=A174) * (Facturas_Odoo!$K:$K=I174), Facturas_Odoo!$Q:$Q, 0), 0))</f>
        <v/>
      </c>
      <c r="X174" s="79">
        <f>IF(OR(Q174="Sin Factura",Q174=""),"",IFERROR(INDEX(Pagos_Odoo!$B:$B, MATCH(Q174, Pagos_Odoo!$I:$I, 0)), "Sin Pago"))</f>
        <v/>
      </c>
      <c r="Y174" s="79">
        <f>IF(X174="Sin Pago","",IFERROR(INDEX(Pagos_Odoo!$C:$C, MATCH(X174, Pagos_Odoo!$B:$B, 0)), ""))</f>
        <v/>
      </c>
      <c r="Z174" s="80">
        <f>IF(X174="Sin Pago","",IFERROR(INDEX(Pagos_Odoo!$A:$A, MATCH(X174, Pagos_Odoo!$B:$B, 0)), ""))</f>
        <v/>
      </c>
      <c r="AA174" s="79">
        <f>IF(X174="Sin Pago","",IFERROR(INDEX(Pagos_Odoo!$F:$F, MATCH(X174, Pagos_Odoo!$B:$B, 0)), ""))</f>
        <v/>
      </c>
      <c r="AB174" s="81">
        <f>IF(X174="Sin Pago",0,IFERROR(INDEX(Pagos_Odoo!$E:$E, MATCH(X174, Pagos_Odoo!$B:$B, 0)), 0))</f>
        <v/>
      </c>
      <c r="AC174" s="79">
        <f>IF(X174="Sin Pago","",IFERROR(INDEX(Pagos_Odoo!$G:$G, MATCH(X174, Pagos_Odoo!$B:$B, 0)), ""))</f>
        <v/>
      </c>
      <c r="AD174" s="82" t="n">
        <v>0</v>
      </c>
      <c r="AE174" s="82" t="n"/>
      <c r="AF174" s="82" t="n"/>
      <c r="AG174" s="82">
        <f>IF(AN174="","",AD174+AE174+AF174)</f>
        <v/>
      </c>
      <c r="AH174" s="81">
        <f>IF(AN174="","",P174*(1-AG174))</f>
        <v/>
      </c>
      <c r="AI174" s="81">
        <f>IF(AN174="","",IF(Q174="Sin Factura",0,IFERROR(INDEX(Facturas_Odoo!$H:$H, MATCH(Q174, Facturas_Odoo!$B:$B, 0)), 0)*(1-AG174)))</f>
        <v/>
      </c>
      <c r="AJ174" s="81">
        <f>IF(AN174="","",_xlfn.LET(idVenta, AN174&amp;"",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4" s="81">
        <f>IF(AN174="","",AH174-AJ174)</f>
        <v/>
      </c>
      <c r="AL174" s="81">
        <f>IF(AN174="","",IF(Q174="Sin Factura","",AI174-AJ174))</f>
        <v/>
      </c>
      <c r="AM174" s="81">
        <f>IF(AN174="","",IF(Q174="Sin Factura",0,P174-IFERROR(INDEX(Facturas_Odoo!$H:$H, MATCH(Q174, Facturas_Odoo!$B:$B, 0)), 0)))</f>
        <v/>
      </c>
      <c r="AN174" s="79">
        <f>IF(AND(A174="", J174=""), "", IF(A174&lt;&gt;"", VALUE(MID(A174,2,LEN(A174))), AN173))</f>
        <v/>
      </c>
      <c r="AO174" s="79">
        <f>IF(AN174="","",IF(AD174=0,"OK",_xlfn.LET(monedaPago, IF(AA174="","USD",AA174), limitePermitido, IFERROR(VLOOKUP(monedaPago, Configuración!$A$2:$B$3, 2, FALSE), 0.15), IF(AD174&gt;limitePermitido, "ALERTA: EXCESO (" &amp; TEXT(limitePermitido, "0%") &amp; " máx)", "OK"))))</f>
        <v/>
      </c>
      <c r="AP174" s="79">
        <f>IF(AN174="","",IF(AE174=0,"OK",_xlfn.LET(fechaPago, Z174, fechaFactura, R174, diasCredito, IF(E174="Pago inmediato", 0, IFERROR(VALUE(MID(E174, 1, SEARCH(" ", E174)-1)),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4" s="79">
        <f>IF(AN174="","",IF(AND(N174&gt;0, AG174&gt;0), IF(Configuración!$K$2="NO", "ALERTA: DESCUENTO DOBLE NO PERMITIDO", "OK"), "OK"))</f>
        <v/>
      </c>
      <c r="AR174" s="79">
        <f>IF(AN174="","",IF(OR(AO174&lt;&gt;"OK", AP174&lt;&gt;"OK", AQ174&lt;&gt;"OK"), "⚠️ REVISAR", "OK"))</f>
        <v/>
      </c>
    </row>
    <row r="175">
      <c r="A175" s="79">
        <f>IF('Ordenes_Odoo'!A175="","",'Ordenes_Odoo'!A175)</f>
        <v/>
      </c>
      <c r="B175" s="80">
        <f>IF('Ordenes_Odoo'!B175="","",'Ordenes_Odoo'!B175)</f>
        <v/>
      </c>
      <c r="C175" s="79">
        <f>IF('Ordenes_Odoo'!C175="","",'Ordenes_Odoo'!C175)</f>
        <v/>
      </c>
      <c r="D175" s="79">
        <f>IF('Ordenes_Odoo'!D175="","",'Ordenes_Odoo'!D175)</f>
        <v/>
      </c>
      <c r="E175" s="79">
        <f>IF('Ordenes_Odoo'!E175="","",'Ordenes_Odoo'!E175)</f>
        <v/>
      </c>
      <c r="F175" s="79">
        <f>IF('Ordenes_Odoo'!F175="","",'Ordenes_Odoo'!F175)</f>
        <v/>
      </c>
      <c r="G175" s="79">
        <f>IF('Ordenes_Odoo'!G175="","",'Ordenes_Odoo'!G175)</f>
        <v/>
      </c>
      <c r="H175" s="79">
        <f>IF('Ordenes_Odoo'!H175="","",'Ordenes_Odoo'!H175)</f>
        <v/>
      </c>
      <c r="I175" s="79">
        <f>IF('Ordenes_Odoo'!I175="","",'Ordenes_Odoo'!I175)</f>
        <v/>
      </c>
      <c r="J175" s="79">
        <f>IF('Ordenes_Odoo'!J175="","",'Ordenes_Odoo'!J175)</f>
        <v/>
      </c>
      <c r="K175" s="81">
        <f>IF('Ordenes_Odoo'!K175="","",'Ordenes_Odoo'!K175)</f>
        <v/>
      </c>
      <c r="L175" s="81">
        <f>IF('Ordenes_Odoo'!L175="","",'Ordenes_Odoo'!L175)</f>
        <v/>
      </c>
      <c r="M175" s="79">
        <f>IF('Ordenes_Odoo'!M175="","",'Ordenes_Odoo'!M175)</f>
        <v/>
      </c>
      <c r="N175" s="79">
        <f>IF('Ordenes_Odoo'!N175="","",'Ordenes_Odoo'!N175)</f>
        <v/>
      </c>
      <c r="O175" s="81">
        <f>IF('Ordenes_Odoo'!O175="","",'Ordenes_Odoo'!O175)</f>
        <v/>
      </c>
      <c r="P175" s="81">
        <f>IF('Ordenes_Odoo'!P175="","",'Ordenes_Odoo'!P175)</f>
        <v/>
      </c>
      <c r="Q175" s="79">
        <f>IF(A175="","",IFERROR(INDEX(Facturas_Odoo!$B:$B, MATCH(A175, Facturas_Odoo!$D:$D, 0)), "Sin Factura"))</f>
        <v/>
      </c>
      <c r="R175" s="80">
        <f>IF(Q175="Sin Factura","",IFERROR(INDEX(Facturas_Odoo!$A:$A, MATCH(Q175, Facturas_Odoo!$B:$B, 0)), ""))</f>
        <v/>
      </c>
      <c r="S175" s="79">
        <f>IF(Q175="Sin Factura","",IFERROR(_xlfn.XLOOKUP(1, (Facturas_Odoo!$D:$D=A175) * (Facturas_Odoo!$K:$K=I175), Facturas_Odoo!$L:$L, ""), ""))</f>
        <v/>
      </c>
      <c r="T175" s="81">
        <f>IF(Q175="Sin Factura",0,IFERROR(_xlfn.XLOOKUP(1, (Facturas_Odoo!$D:$D=A175) * (Facturas_Odoo!$K:$K=I175), Facturas_Odoo!$M:$M, 0), 0))</f>
        <v/>
      </c>
      <c r="U175" s="79">
        <f>IF(Q175="Sin Factura",0,IFERROR(_xlfn.XLOOKUP(1, (Facturas_Odoo!$D:$D=A175) * (Facturas_Odoo!$K:$K=I175), Facturas_Odoo!$N:$N, 0), 0))</f>
        <v/>
      </c>
      <c r="V175" s="79">
        <f>IF(Q175="Sin Factura",0,IFERROR(_xlfn.XLOOKUP(1, (Facturas_Odoo!$D:$D=A175) * (Facturas_Odoo!$K:$K=I175), Facturas_Odoo!$O:$O, 0), 0))</f>
        <v/>
      </c>
      <c r="W175" s="81">
        <f>IF(Q175="Sin Factura",0,IFERROR(_xlfn.XLOOKUP(1, (Facturas_Odoo!$D:$D=A175) * (Facturas_Odoo!$K:$K=I175), Facturas_Odoo!$Q:$Q, 0), 0))</f>
        <v/>
      </c>
      <c r="X175" s="79">
        <f>IF(OR(Q175="Sin Factura",Q175=""),"",IFERROR(INDEX(Pagos_Odoo!$B:$B, MATCH(Q175, Pagos_Odoo!$I:$I, 0)), "Sin Pago"))</f>
        <v/>
      </c>
      <c r="Y175" s="79">
        <f>IF(X175="Sin Pago","",IFERROR(INDEX(Pagos_Odoo!$C:$C, MATCH(X175, Pagos_Odoo!$B:$B, 0)), ""))</f>
        <v/>
      </c>
      <c r="Z175" s="80">
        <f>IF(X175="Sin Pago","",IFERROR(INDEX(Pagos_Odoo!$A:$A, MATCH(X175, Pagos_Odoo!$B:$B, 0)), ""))</f>
        <v/>
      </c>
      <c r="AA175" s="79">
        <f>IF(X175="Sin Pago","",IFERROR(INDEX(Pagos_Odoo!$F:$F, MATCH(X175, Pagos_Odoo!$B:$B, 0)), ""))</f>
        <v/>
      </c>
      <c r="AB175" s="81">
        <f>IF(X175="Sin Pago",0,IFERROR(INDEX(Pagos_Odoo!$E:$E, MATCH(X175, Pagos_Odoo!$B:$B, 0)), 0))</f>
        <v/>
      </c>
      <c r="AC175" s="79">
        <f>IF(X175="Sin Pago","",IFERROR(INDEX(Pagos_Odoo!$G:$G, MATCH(X175, Pagos_Odoo!$B:$B, 0)), ""))</f>
        <v/>
      </c>
      <c r="AD175" s="82" t="n">
        <v>0</v>
      </c>
      <c r="AE175" s="82" t="n"/>
      <c r="AF175" s="82" t="n"/>
      <c r="AG175" s="82">
        <f>IF(AN175="","",AD175+AE175+AF175)</f>
        <v/>
      </c>
      <c r="AH175" s="81">
        <f>IF(AN175="","",P175*(1-AG175))</f>
        <v/>
      </c>
      <c r="AI175" s="81">
        <f>IF(AN175="","",IF(Q175="Sin Factura",0,IFERROR(INDEX(Facturas_Odoo!$H:$H, MATCH(Q175, Facturas_Odoo!$B:$B, 0)), 0)*(1-AG175)))</f>
        <v/>
      </c>
      <c r="AJ175" s="81">
        <f>IF(AN175="","",_xlfn.LET(idVenta, AN175&amp;"",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5" s="81">
        <f>IF(AN175="","",AH175-AJ175)</f>
        <v/>
      </c>
      <c r="AL175" s="81">
        <f>IF(AN175="","",IF(Q175="Sin Factura","",AI175-AJ175))</f>
        <v/>
      </c>
      <c r="AM175" s="81">
        <f>IF(AN175="","",IF(Q175="Sin Factura",0,P175-IFERROR(INDEX(Facturas_Odoo!$H:$H, MATCH(Q175, Facturas_Odoo!$B:$B, 0)), 0)))</f>
        <v/>
      </c>
      <c r="AN175" s="79">
        <f>IF(AND(A175="", J175=""), "", IF(A175&lt;&gt;"", VALUE(MID(A175,2,LEN(A175))), AN174))</f>
        <v/>
      </c>
      <c r="AO175" s="79">
        <f>IF(AN175="","",IF(AD175=0,"OK",_xlfn.LET(monedaPago, IF(AA175="","USD",AA175), limitePermitido, IFERROR(VLOOKUP(monedaPago, Configuración!$A$2:$B$3, 2, FALSE), 0.15), IF(AD175&gt;limitePermitido, "ALERTA: EXCESO (" &amp; TEXT(limitePermitido, "0%") &amp; " máx)", "OK"))))</f>
        <v/>
      </c>
      <c r="AP175" s="79">
        <f>IF(AN175="","",IF(AE175=0,"OK",_xlfn.LET(fechaPago, Z175, fechaFactura, R175, diasCredito, IF(E175="Pago inmediato", 0, IFERROR(VALUE(MID(E175, 1, SEARCH(" ", E175)-1)),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5" s="79">
        <f>IF(AN175="","",IF(AND(N175&gt;0, AG175&gt;0), IF(Configuración!$K$2="NO", "ALERTA: DESCUENTO DOBLE NO PERMITIDO", "OK"), "OK"))</f>
        <v/>
      </c>
      <c r="AR175" s="79">
        <f>IF(AN175="","",IF(OR(AO175&lt;&gt;"OK", AP175&lt;&gt;"OK", AQ175&lt;&gt;"OK"), "⚠️ REVISAR", "OK"))</f>
        <v/>
      </c>
    </row>
    <row r="176">
      <c r="A176" s="79">
        <f>IF('Ordenes_Odoo'!A176="","",'Ordenes_Odoo'!A176)</f>
        <v/>
      </c>
      <c r="B176" s="80">
        <f>IF('Ordenes_Odoo'!B176="","",'Ordenes_Odoo'!B176)</f>
        <v/>
      </c>
      <c r="C176" s="79">
        <f>IF('Ordenes_Odoo'!C176="","",'Ordenes_Odoo'!C176)</f>
        <v/>
      </c>
      <c r="D176" s="79">
        <f>IF('Ordenes_Odoo'!D176="","",'Ordenes_Odoo'!D176)</f>
        <v/>
      </c>
      <c r="E176" s="79">
        <f>IF('Ordenes_Odoo'!E176="","",'Ordenes_Odoo'!E176)</f>
        <v/>
      </c>
      <c r="F176" s="79">
        <f>IF('Ordenes_Odoo'!F176="","",'Ordenes_Odoo'!F176)</f>
        <v/>
      </c>
      <c r="G176" s="79">
        <f>IF('Ordenes_Odoo'!G176="","",'Ordenes_Odoo'!G176)</f>
        <v/>
      </c>
      <c r="H176" s="79">
        <f>IF('Ordenes_Odoo'!H176="","",'Ordenes_Odoo'!H176)</f>
        <v/>
      </c>
      <c r="I176" s="79">
        <f>IF('Ordenes_Odoo'!I176="","",'Ordenes_Odoo'!I176)</f>
        <v/>
      </c>
      <c r="J176" s="79">
        <f>IF('Ordenes_Odoo'!J176="","",'Ordenes_Odoo'!J176)</f>
        <v/>
      </c>
      <c r="K176" s="81">
        <f>IF('Ordenes_Odoo'!K176="","",'Ordenes_Odoo'!K176)</f>
        <v/>
      </c>
      <c r="L176" s="81">
        <f>IF('Ordenes_Odoo'!L176="","",'Ordenes_Odoo'!L176)</f>
        <v/>
      </c>
      <c r="M176" s="79">
        <f>IF('Ordenes_Odoo'!M176="","",'Ordenes_Odoo'!M176)</f>
        <v/>
      </c>
      <c r="N176" s="79">
        <f>IF('Ordenes_Odoo'!N176="","",'Ordenes_Odoo'!N176)</f>
        <v/>
      </c>
      <c r="O176" s="81">
        <f>IF('Ordenes_Odoo'!O176="","",'Ordenes_Odoo'!O176)</f>
        <v/>
      </c>
      <c r="P176" s="81">
        <f>IF('Ordenes_Odoo'!P176="","",'Ordenes_Odoo'!P176)</f>
        <v/>
      </c>
      <c r="Q176" s="79">
        <f>IF(A176="","",IFERROR(INDEX(Facturas_Odoo!$B:$B, MATCH(A176, Facturas_Odoo!$D:$D, 0)), "Sin Factura"))</f>
        <v/>
      </c>
      <c r="R176" s="80">
        <f>IF(Q176="Sin Factura","",IFERROR(INDEX(Facturas_Odoo!$A:$A, MATCH(Q176, Facturas_Odoo!$B:$B, 0)), ""))</f>
        <v/>
      </c>
      <c r="S176" s="79">
        <f>IF(Q176="Sin Factura","",IFERROR(_xlfn.XLOOKUP(1, (Facturas_Odoo!$D:$D=A176) * (Facturas_Odoo!$K:$K=I176), Facturas_Odoo!$L:$L, ""), ""))</f>
        <v/>
      </c>
      <c r="T176" s="81">
        <f>IF(Q176="Sin Factura",0,IFERROR(_xlfn.XLOOKUP(1, (Facturas_Odoo!$D:$D=A176) * (Facturas_Odoo!$K:$K=I176), Facturas_Odoo!$M:$M, 0), 0))</f>
        <v/>
      </c>
      <c r="U176" s="79">
        <f>IF(Q176="Sin Factura",0,IFERROR(_xlfn.XLOOKUP(1, (Facturas_Odoo!$D:$D=A176) * (Facturas_Odoo!$K:$K=I176), Facturas_Odoo!$N:$N, 0), 0))</f>
        <v/>
      </c>
      <c r="V176" s="79">
        <f>IF(Q176="Sin Factura",0,IFERROR(_xlfn.XLOOKUP(1, (Facturas_Odoo!$D:$D=A176) * (Facturas_Odoo!$K:$K=I176), Facturas_Odoo!$O:$O, 0), 0))</f>
        <v/>
      </c>
      <c r="W176" s="81">
        <f>IF(Q176="Sin Factura",0,IFERROR(_xlfn.XLOOKUP(1, (Facturas_Odoo!$D:$D=A176) * (Facturas_Odoo!$K:$K=I176), Facturas_Odoo!$Q:$Q, 0), 0))</f>
        <v/>
      </c>
      <c r="X176" s="79">
        <f>IF(OR(Q176="Sin Factura",Q176=""),"",IFERROR(INDEX(Pagos_Odoo!$B:$B, MATCH(Q176, Pagos_Odoo!$I:$I, 0)), "Sin Pago"))</f>
        <v/>
      </c>
      <c r="Y176" s="79">
        <f>IF(X176="Sin Pago","",IFERROR(INDEX(Pagos_Odoo!$C:$C, MATCH(X176, Pagos_Odoo!$B:$B, 0)), ""))</f>
        <v/>
      </c>
      <c r="Z176" s="80">
        <f>IF(X176="Sin Pago","",IFERROR(INDEX(Pagos_Odoo!$A:$A, MATCH(X176, Pagos_Odoo!$B:$B, 0)), ""))</f>
        <v/>
      </c>
      <c r="AA176" s="79">
        <f>IF(X176="Sin Pago","",IFERROR(INDEX(Pagos_Odoo!$F:$F, MATCH(X176, Pagos_Odoo!$B:$B, 0)), ""))</f>
        <v/>
      </c>
      <c r="AB176" s="81">
        <f>IF(X176="Sin Pago",0,IFERROR(INDEX(Pagos_Odoo!$E:$E, MATCH(X176, Pagos_Odoo!$B:$B, 0)), 0))</f>
        <v/>
      </c>
      <c r="AC176" s="79">
        <f>IF(X176="Sin Pago","",IFERROR(INDEX(Pagos_Odoo!$G:$G, MATCH(X176, Pagos_Odoo!$B:$B, 0)), ""))</f>
        <v/>
      </c>
      <c r="AD176" s="82" t="n">
        <v>0</v>
      </c>
      <c r="AE176" s="82" t="n"/>
      <c r="AF176" s="82" t="n"/>
      <c r="AG176" s="82">
        <f>IF(AN176="","",AD176+AE176+AF176)</f>
        <v/>
      </c>
      <c r="AH176" s="81">
        <f>IF(AN176="","",P176*(1-AG176))</f>
        <v/>
      </c>
      <c r="AI176" s="81">
        <f>IF(AN176="","",IF(Q176="Sin Factura",0,IFERROR(INDEX(Facturas_Odoo!$H:$H, MATCH(Q176, Facturas_Odoo!$B:$B, 0)), 0)*(1-AG176)))</f>
        <v/>
      </c>
      <c r="AJ176" s="81">
        <f>IF(AN176="","",_xlfn.LET(idVenta, AN176&amp;"",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6" s="81">
        <f>IF(AN176="","",AH176-AJ176)</f>
        <v/>
      </c>
      <c r="AL176" s="81">
        <f>IF(AN176="","",IF(Q176="Sin Factura","",AI176-AJ176))</f>
        <v/>
      </c>
      <c r="AM176" s="81">
        <f>IF(AN176="","",IF(Q176="Sin Factura",0,P176-IFERROR(INDEX(Facturas_Odoo!$H:$H, MATCH(Q176, Facturas_Odoo!$B:$B, 0)), 0)))</f>
        <v/>
      </c>
      <c r="AN176" s="79">
        <f>IF(AND(A176="", J176=""), "", IF(A176&lt;&gt;"", VALUE(MID(A176,2,LEN(A176))), AN175))</f>
        <v/>
      </c>
      <c r="AO176" s="79">
        <f>IF(AN176="","",IF(AD176=0,"OK",_xlfn.LET(monedaPago, IF(AA176="","USD",AA176), limitePermitido, IFERROR(VLOOKUP(monedaPago, Configuración!$A$2:$B$3, 2, FALSE), 0.15), IF(AD176&gt;limitePermitido, "ALERTA: EXCESO (" &amp; TEXT(limitePermitido, "0%") &amp; " máx)", "OK"))))</f>
        <v/>
      </c>
      <c r="AP176" s="79">
        <f>IF(AN176="","",IF(AE176=0,"OK",_xlfn.LET(fechaPago, Z176, fechaFactura, R176, diasCredito, IF(E176="Pago inmediato", 0, IFERROR(VALUE(MID(E176, 1, SEARCH(" ", E176)-1)),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6" s="79">
        <f>IF(AN176="","",IF(AND(N176&gt;0, AG176&gt;0), IF(Configuración!$K$2="NO", "ALERTA: DESCUENTO DOBLE NO PERMITIDO", "OK"), "OK"))</f>
        <v/>
      </c>
      <c r="AR176" s="79">
        <f>IF(AN176="","",IF(OR(AO176&lt;&gt;"OK", AP176&lt;&gt;"OK", AQ176&lt;&gt;"OK"), "⚠️ REVISAR", "OK"))</f>
        <v/>
      </c>
    </row>
    <row r="177">
      <c r="A177" s="79">
        <f>IF('Ordenes_Odoo'!A177="","",'Ordenes_Odoo'!A177)</f>
        <v/>
      </c>
      <c r="B177" s="80">
        <f>IF('Ordenes_Odoo'!B177="","",'Ordenes_Odoo'!B177)</f>
        <v/>
      </c>
      <c r="C177" s="79">
        <f>IF('Ordenes_Odoo'!C177="","",'Ordenes_Odoo'!C177)</f>
        <v/>
      </c>
      <c r="D177" s="79">
        <f>IF('Ordenes_Odoo'!D177="","",'Ordenes_Odoo'!D177)</f>
        <v/>
      </c>
      <c r="E177" s="79">
        <f>IF('Ordenes_Odoo'!E177="","",'Ordenes_Odoo'!E177)</f>
        <v/>
      </c>
      <c r="F177" s="79">
        <f>IF('Ordenes_Odoo'!F177="","",'Ordenes_Odoo'!F177)</f>
        <v/>
      </c>
      <c r="G177" s="79">
        <f>IF('Ordenes_Odoo'!G177="","",'Ordenes_Odoo'!G177)</f>
        <v/>
      </c>
      <c r="H177" s="79">
        <f>IF('Ordenes_Odoo'!H177="","",'Ordenes_Odoo'!H177)</f>
        <v/>
      </c>
      <c r="I177" s="79">
        <f>IF('Ordenes_Odoo'!I177="","",'Ordenes_Odoo'!I177)</f>
        <v/>
      </c>
      <c r="J177" s="79">
        <f>IF('Ordenes_Odoo'!J177="","",'Ordenes_Odoo'!J177)</f>
        <v/>
      </c>
      <c r="K177" s="81">
        <f>IF('Ordenes_Odoo'!K177="","",'Ordenes_Odoo'!K177)</f>
        <v/>
      </c>
      <c r="L177" s="81">
        <f>IF('Ordenes_Odoo'!L177="","",'Ordenes_Odoo'!L177)</f>
        <v/>
      </c>
      <c r="M177" s="79">
        <f>IF('Ordenes_Odoo'!M177="","",'Ordenes_Odoo'!M177)</f>
        <v/>
      </c>
      <c r="N177" s="79">
        <f>IF('Ordenes_Odoo'!N177="","",'Ordenes_Odoo'!N177)</f>
        <v/>
      </c>
      <c r="O177" s="81">
        <f>IF('Ordenes_Odoo'!O177="","",'Ordenes_Odoo'!O177)</f>
        <v/>
      </c>
      <c r="P177" s="81">
        <f>IF('Ordenes_Odoo'!P177="","",'Ordenes_Odoo'!P177)</f>
        <v/>
      </c>
      <c r="Q177" s="79">
        <f>IF(A177="","",IFERROR(INDEX(Facturas_Odoo!$B:$B, MATCH(A177, Facturas_Odoo!$D:$D, 0)), "Sin Factura"))</f>
        <v/>
      </c>
      <c r="R177" s="80">
        <f>IF(Q177="Sin Factura","",IFERROR(INDEX(Facturas_Odoo!$A:$A, MATCH(Q177, Facturas_Odoo!$B:$B, 0)), ""))</f>
        <v/>
      </c>
      <c r="S177" s="79">
        <f>IF(Q177="Sin Factura","",IFERROR(_xlfn.XLOOKUP(1, (Facturas_Odoo!$D:$D=A177) * (Facturas_Odoo!$K:$K=I177), Facturas_Odoo!$L:$L, ""), ""))</f>
        <v/>
      </c>
      <c r="T177" s="81">
        <f>IF(Q177="Sin Factura",0,IFERROR(_xlfn.XLOOKUP(1, (Facturas_Odoo!$D:$D=A177) * (Facturas_Odoo!$K:$K=I177), Facturas_Odoo!$M:$M, 0), 0))</f>
        <v/>
      </c>
      <c r="U177" s="79">
        <f>IF(Q177="Sin Factura",0,IFERROR(_xlfn.XLOOKUP(1, (Facturas_Odoo!$D:$D=A177) * (Facturas_Odoo!$K:$K=I177), Facturas_Odoo!$N:$N, 0), 0))</f>
        <v/>
      </c>
      <c r="V177" s="79">
        <f>IF(Q177="Sin Factura",0,IFERROR(_xlfn.XLOOKUP(1, (Facturas_Odoo!$D:$D=A177) * (Facturas_Odoo!$K:$K=I177), Facturas_Odoo!$O:$O, 0), 0))</f>
        <v/>
      </c>
      <c r="W177" s="81">
        <f>IF(Q177="Sin Factura",0,IFERROR(_xlfn.XLOOKUP(1, (Facturas_Odoo!$D:$D=A177) * (Facturas_Odoo!$K:$K=I177), Facturas_Odoo!$Q:$Q, 0), 0))</f>
        <v/>
      </c>
      <c r="X177" s="79">
        <f>IF(OR(Q177="Sin Factura",Q177=""),"",IFERROR(INDEX(Pagos_Odoo!$B:$B, MATCH(Q177, Pagos_Odoo!$I:$I, 0)), "Sin Pago"))</f>
        <v/>
      </c>
      <c r="Y177" s="79">
        <f>IF(X177="Sin Pago","",IFERROR(INDEX(Pagos_Odoo!$C:$C, MATCH(X177, Pagos_Odoo!$B:$B, 0)), ""))</f>
        <v/>
      </c>
      <c r="Z177" s="80">
        <f>IF(X177="Sin Pago","",IFERROR(INDEX(Pagos_Odoo!$A:$A, MATCH(X177, Pagos_Odoo!$B:$B, 0)), ""))</f>
        <v/>
      </c>
      <c r="AA177" s="79">
        <f>IF(X177="Sin Pago","",IFERROR(INDEX(Pagos_Odoo!$F:$F, MATCH(X177, Pagos_Odoo!$B:$B, 0)), ""))</f>
        <v/>
      </c>
      <c r="AB177" s="81">
        <f>IF(X177="Sin Pago",0,IFERROR(INDEX(Pagos_Odoo!$E:$E, MATCH(X177, Pagos_Odoo!$B:$B, 0)), 0))</f>
        <v/>
      </c>
      <c r="AC177" s="79">
        <f>IF(X177="Sin Pago","",IFERROR(INDEX(Pagos_Odoo!$G:$G, MATCH(X177, Pagos_Odoo!$B:$B, 0)), ""))</f>
        <v/>
      </c>
      <c r="AD177" s="82" t="n">
        <v>0</v>
      </c>
      <c r="AE177" s="82" t="n"/>
      <c r="AF177" s="82" t="n"/>
      <c r="AG177" s="82">
        <f>IF(AN177="","",AD177+AE177+AF177)</f>
        <v/>
      </c>
      <c r="AH177" s="81">
        <f>IF(AN177="","",P177*(1-AG177))</f>
        <v/>
      </c>
      <c r="AI177" s="81">
        <f>IF(AN177="","",IF(Q177="Sin Factura",0,IFERROR(INDEX(Facturas_Odoo!$H:$H, MATCH(Q177, Facturas_Odoo!$B:$B, 0)), 0)*(1-AG177)))</f>
        <v/>
      </c>
      <c r="AJ177" s="81">
        <f>IF(AN177="","",_xlfn.LET(idVenta, AN177&amp;"",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7" s="81">
        <f>IF(AN177="","",AH177-AJ177)</f>
        <v/>
      </c>
      <c r="AL177" s="81">
        <f>IF(AN177="","",IF(Q177="Sin Factura","",AI177-AJ177))</f>
        <v/>
      </c>
      <c r="AM177" s="81">
        <f>IF(AN177="","",IF(Q177="Sin Factura",0,P177-IFERROR(INDEX(Facturas_Odoo!$H:$H, MATCH(Q177, Facturas_Odoo!$B:$B, 0)), 0)))</f>
        <v/>
      </c>
      <c r="AN177" s="79">
        <f>IF(AND(A177="", J177=""), "", IF(A177&lt;&gt;"", VALUE(MID(A177,2,LEN(A177))), AN176))</f>
        <v/>
      </c>
      <c r="AO177" s="79">
        <f>IF(AN177="","",IF(AD177=0,"OK",_xlfn.LET(monedaPago, IF(AA177="","USD",AA177), limitePermitido, IFERROR(VLOOKUP(monedaPago, Configuración!$A$2:$B$3, 2, FALSE), 0.15), IF(AD177&gt;limitePermitido, "ALERTA: EXCESO (" &amp; TEXT(limitePermitido, "0%") &amp; " máx)", "OK"))))</f>
        <v/>
      </c>
      <c r="AP177" s="79">
        <f>IF(AN177="","",IF(AE177=0,"OK",_xlfn.LET(fechaPago, Z177, fechaFactura, R177, diasCredito, IF(E177="Pago inmediato", 0, IFERROR(VALUE(MID(E177, 1, SEARCH(" ", E177)-1)),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7" s="79">
        <f>IF(AN177="","",IF(AND(N177&gt;0, AG177&gt;0), IF(Configuración!$K$2="NO", "ALERTA: DESCUENTO DOBLE NO PERMITIDO", "OK"), "OK"))</f>
        <v/>
      </c>
      <c r="AR177" s="79">
        <f>IF(AN177="","",IF(OR(AO177&lt;&gt;"OK", AP177&lt;&gt;"OK", AQ177&lt;&gt;"OK"), "⚠️ REVISAR", "OK"))</f>
        <v/>
      </c>
    </row>
    <row r="178">
      <c r="A178" s="79">
        <f>IF('Ordenes_Odoo'!A178="","",'Ordenes_Odoo'!A178)</f>
        <v/>
      </c>
      <c r="B178" s="80">
        <f>IF('Ordenes_Odoo'!B178="","",'Ordenes_Odoo'!B178)</f>
        <v/>
      </c>
      <c r="C178" s="79">
        <f>IF('Ordenes_Odoo'!C178="","",'Ordenes_Odoo'!C178)</f>
        <v/>
      </c>
      <c r="D178" s="79">
        <f>IF('Ordenes_Odoo'!D178="","",'Ordenes_Odoo'!D178)</f>
        <v/>
      </c>
      <c r="E178" s="79">
        <f>IF('Ordenes_Odoo'!E178="","",'Ordenes_Odoo'!E178)</f>
        <v/>
      </c>
      <c r="F178" s="79">
        <f>IF('Ordenes_Odoo'!F178="","",'Ordenes_Odoo'!F178)</f>
        <v/>
      </c>
      <c r="G178" s="79">
        <f>IF('Ordenes_Odoo'!G178="","",'Ordenes_Odoo'!G178)</f>
        <v/>
      </c>
      <c r="H178" s="79">
        <f>IF('Ordenes_Odoo'!H178="","",'Ordenes_Odoo'!H178)</f>
        <v/>
      </c>
      <c r="I178" s="79">
        <f>IF('Ordenes_Odoo'!I178="","",'Ordenes_Odoo'!I178)</f>
        <v/>
      </c>
      <c r="J178" s="79">
        <f>IF('Ordenes_Odoo'!J178="","",'Ordenes_Odoo'!J178)</f>
        <v/>
      </c>
      <c r="K178" s="81">
        <f>IF('Ordenes_Odoo'!K178="","",'Ordenes_Odoo'!K178)</f>
        <v/>
      </c>
      <c r="L178" s="81">
        <f>IF('Ordenes_Odoo'!L178="","",'Ordenes_Odoo'!L178)</f>
        <v/>
      </c>
      <c r="M178" s="79">
        <f>IF('Ordenes_Odoo'!M178="","",'Ordenes_Odoo'!M178)</f>
        <v/>
      </c>
      <c r="N178" s="79">
        <f>IF('Ordenes_Odoo'!N178="","",'Ordenes_Odoo'!N178)</f>
        <v/>
      </c>
      <c r="O178" s="81">
        <f>IF('Ordenes_Odoo'!O178="","",'Ordenes_Odoo'!O178)</f>
        <v/>
      </c>
      <c r="P178" s="81">
        <f>IF('Ordenes_Odoo'!P178="","",'Ordenes_Odoo'!P178)</f>
        <v/>
      </c>
      <c r="Q178" s="79">
        <f>IF(A178="","",IFERROR(INDEX(Facturas_Odoo!$B:$B, MATCH(A178, Facturas_Odoo!$D:$D, 0)), "Sin Factura"))</f>
        <v/>
      </c>
      <c r="R178" s="80">
        <f>IF(Q178="Sin Factura","",IFERROR(INDEX(Facturas_Odoo!$A:$A, MATCH(Q178, Facturas_Odoo!$B:$B, 0)), ""))</f>
        <v/>
      </c>
      <c r="S178" s="79">
        <f>IF(Q178="Sin Factura","",IFERROR(_xlfn.XLOOKUP(1, (Facturas_Odoo!$D:$D=A178) * (Facturas_Odoo!$K:$K=I178), Facturas_Odoo!$L:$L, ""), ""))</f>
        <v/>
      </c>
      <c r="T178" s="81">
        <f>IF(Q178="Sin Factura",0,IFERROR(_xlfn.XLOOKUP(1, (Facturas_Odoo!$D:$D=A178) * (Facturas_Odoo!$K:$K=I178), Facturas_Odoo!$M:$M, 0), 0))</f>
        <v/>
      </c>
      <c r="U178" s="79">
        <f>IF(Q178="Sin Factura",0,IFERROR(_xlfn.XLOOKUP(1, (Facturas_Odoo!$D:$D=A178) * (Facturas_Odoo!$K:$K=I178), Facturas_Odoo!$N:$N, 0), 0))</f>
        <v/>
      </c>
      <c r="V178" s="79">
        <f>IF(Q178="Sin Factura",0,IFERROR(_xlfn.XLOOKUP(1, (Facturas_Odoo!$D:$D=A178) * (Facturas_Odoo!$K:$K=I178), Facturas_Odoo!$O:$O, 0), 0))</f>
        <v/>
      </c>
      <c r="W178" s="81">
        <f>IF(Q178="Sin Factura",0,IFERROR(_xlfn.XLOOKUP(1, (Facturas_Odoo!$D:$D=A178) * (Facturas_Odoo!$K:$K=I178), Facturas_Odoo!$Q:$Q, 0), 0))</f>
        <v/>
      </c>
      <c r="X178" s="79">
        <f>IF(OR(Q178="Sin Factura",Q178=""),"",IFERROR(INDEX(Pagos_Odoo!$B:$B, MATCH(Q178, Pagos_Odoo!$I:$I, 0)), "Sin Pago"))</f>
        <v/>
      </c>
      <c r="Y178" s="79">
        <f>IF(X178="Sin Pago","",IFERROR(INDEX(Pagos_Odoo!$C:$C, MATCH(X178, Pagos_Odoo!$B:$B, 0)), ""))</f>
        <v/>
      </c>
      <c r="Z178" s="80">
        <f>IF(X178="Sin Pago","",IFERROR(INDEX(Pagos_Odoo!$A:$A, MATCH(X178, Pagos_Odoo!$B:$B, 0)), ""))</f>
        <v/>
      </c>
      <c r="AA178" s="79">
        <f>IF(X178="Sin Pago","",IFERROR(INDEX(Pagos_Odoo!$F:$F, MATCH(X178, Pagos_Odoo!$B:$B, 0)), ""))</f>
        <v/>
      </c>
      <c r="AB178" s="81">
        <f>IF(X178="Sin Pago",0,IFERROR(INDEX(Pagos_Odoo!$E:$E, MATCH(X178, Pagos_Odoo!$B:$B, 0)), 0))</f>
        <v/>
      </c>
      <c r="AC178" s="79">
        <f>IF(X178="Sin Pago","",IFERROR(INDEX(Pagos_Odoo!$G:$G, MATCH(X178, Pagos_Odoo!$B:$B, 0)), ""))</f>
        <v/>
      </c>
      <c r="AD178" s="82" t="n">
        <v>0</v>
      </c>
      <c r="AE178" s="82" t="n"/>
      <c r="AF178" s="82" t="n"/>
      <c r="AG178" s="82">
        <f>IF(AN178="","",AD178+AE178+AF178)</f>
        <v/>
      </c>
      <c r="AH178" s="81">
        <f>IF(AN178="","",P178*(1-AG178))</f>
        <v/>
      </c>
      <c r="AI178" s="81">
        <f>IF(AN178="","",IF(Q178="Sin Factura",0,IFERROR(INDEX(Facturas_Odoo!$H:$H, MATCH(Q178, Facturas_Odoo!$B:$B, 0)), 0)*(1-AG178)))</f>
        <v/>
      </c>
      <c r="AJ178" s="81">
        <f>IF(AN178="","",_xlfn.LET(idVenta, AN178&amp;"",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8" s="81">
        <f>IF(AN178="","",AH178-AJ178)</f>
        <v/>
      </c>
      <c r="AL178" s="81">
        <f>IF(AN178="","",IF(Q178="Sin Factura","",AI178-AJ178))</f>
        <v/>
      </c>
      <c r="AM178" s="81">
        <f>IF(AN178="","",IF(Q178="Sin Factura",0,P178-IFERROR(INDEX(Facturas_Odoo!$H:$H, MATCH(Q178, Facturas_Odoo!$B:$B, 0)), 0)))</f>
        <v/>
      </c>
      <c r="AN178" s="79">
        <f>IF(AND(A178="", J178=""), "", IF(A178&lt;&gt;"", VALUE(MID(A178,2,LEN(A178))), AN177))</f>
        <v/>
      </c>
      <c r="AO178" s="79">
        <f>IF(AN178="","",IF(AD178=0,"OK",_xlfn.LET(monedaPago, IF(AA178="","USD",AA178), limitePermitido, IFERROR(VLOOKUP(monedaPago, Configuración!$A$2:$B$3, 2, FALSE), 0.15), IF(AD178&gt;limitePermitido, "ALERTA: EXCESO (" &amp; TEXT(limitePermitido, "0%") &amp; " máx)", "OK"))))</f>
        <v/>
      </c>
      <c r="AP178" s="79">
        <f>IF(AN178="","",IF(AE178=0,"OK",_xlfn.LET(fechaPago, Z178, fechaFactura, R178, diasCredito, IF(E178="Pago inmediato", 0, IFERROR(VALUE(MID(E178, 1, SEARCH(" ", E178)-1)),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8" s="79">
        <f>IF(AN178="","",IF(AND(N178&gt;0, AG178&gt;0), IF(Configuración!$K$2="NO", "ALERTA: DESCUENTO DOBLE NO PERMITIDO", "OK"), "OK"))</f>
        <v/>
      </c>
      <c r="AR178" s="79">
        <f>IF(AN178="","",IF(OR(AO178&lt;&gt;"OK", AP178&lt;&gt;"OK", AQ178&lt;&gt;"OK"), "⚠️ REVISAR", "OK"))</f>
        <v/>
      </c>
    </row>
    <row r="179">
      <c r="A179" s="79">
        <f>IF('Ordenes_Odoo'!A179="","",'Ordenes_Odoo'!A179)</f>
        <v/>
      </c>
      <c r="B179" s="80">
        <f>IF('Ordenes_Odoo'!B179="","",'Ordenes_Odoo'!B179)</f>
        <v/>
      </c>
      <c r="C179" s="79">
        <f>IF('Ordenes_Odoo'!C179="","",'Ordenes_Odoo'!C179)</f>
        <v/>
      </c>
      <c r="D179" s="79">
        <f>IF('Ordenes_Odoo'!D179="","",'Ordenes_Odoo'!D179)</f>
        <v/>
      </c>
      <c r="E179" s="79">
        <f>IF('Ordenes_Odoo'!E179="","",'Ordenes_Odoo'!E179)</f>
        <v/>
      </c>
      <c r="F179" s="79">
        <f>IF('Ordenes_Odoo'!F179="","",'Ordenes_Odoo'!F179)</f>
        <v/>
      </c>
      <c r="G179" s="79">
        <f>IF('Ordenes_Odoo'!G179="","",'Ordenes_Odoo'!G179)</f>
        <v/>
      </c>
      <c r="H179" s="79">
        <f>IF('Ordenes_Odoo'!H179="","",'Ordenes_Odoo'!H179)</f>
        <v/>
      </c>
      <c r="I179" s="79">
        <f>IF('Ordenes_Odoo'!I179="","",'Ordenes_Odoo'!I179)</f>
        <v/>
      </c>
      <c r="J179" s="79">
        <f>IF('Ordenes_Odoo'!J179="","",'Ordenes_Odoo'!J179)</f>
        <v/>
      </c>
      <c r="K179" s="81">
        <f>IF('Ordenes_Odoo'!K179="","",'Ordenes_Odoo'!K179)</f>
        <v/>
      </c>
      <c r="L179" s="81">
        <f>IF('Ordenes_Odoo'!L179="","",'Ordenes_Odoo'!L179)</f>
        <v/>
      </c>
      <c r="M179" s="79">
        <f>IF('Ordenes_Odoo'!M179="","",'Ordenes_Odoo'!M179)</f>
        <v/>
      </c>
      <c r="N179" s="79">
        <f>IF('Ordenes_Odoo'!N179="","",'Ordenes_Odoo'!N179)</f>
        <v/>
      </c>
      <c r="O179" s="81">
        <f>IF('Ordenes_Odoo'!O179="","",'Ordenes_Odoo'!O179)</f>
        <v/>
      </c>
      <c r="P179" s="81">
        <f>IF('Ordenes_Odoo'!P179="","",'Ordenes_Odoo'!P179)</f>
        <v/>
      </c>
      <c r="Q179" s="79">
        <f>IF(A179="","",IFERROR(INDEX(Facturas_Odoo!$B:$B, MATCH(A179, Facturas_Odoo!$D:$D, 0)), "Sin Factura"))</f>
        <v/>
      </c>
      <c r="R179" s="80">
        <f>IF(Q179="Sin Factura","",IFERROR(INDEX(Facturas_Odoo!$A:$A, MATCH(Q179, Facturas_Odoo!$B:$B, 0)), ""))</f>
        <v/>
      </c>
      <c r="S179" s="79">
        <f>IF(Q179="Sin Factura","",IFERROR(_xlfn.XLOOKUP(1, (Facturas_Odoo!$D:$D=A179) * (Facturas_Odoo!$K:$K=I179), Facturas_Odoo!$L:$L, ""), ""))</f>
        <v/>
      </c>
      <c r="T179" s="81">
        <f>IF(Q179="Sin Factura",0,IFERROR(_xlfn.XLOOKUP(1, (Facturas_Odoo!$D:$D=A179) * (Facturas_Odoo!$K:$K=I179), Facturas_Odoo!$M:$M, 0), 0))</f>
        <v/>
      </c>
      <c r="U179" s="79">
        <f>IF(Q179="Sin Factura",0,IFERROR(_xlfn.XLOOKUP(1, (Facturas_Odoo!$D:$D=A179) * (Facturas_Odoo!$K:$K=I179), Facturas_Odoo!$N:$N, 0), 0))</f>
        <v/>
      </c>
      <c r="V179" s="79">
        <f>IF(Q179="Sin Factura",0,IFERROR(_xlfn.XLOOKUP(1, (Facturas_Odoo!$D:$D=A179) * (Facturas_Odoo!$K:$K=I179), Facturas_Odoo!$O:$O, 0), 0))</f>
        <v/>
      </c>
      <c r="W179" s="81">
        <f>IF(Q179="Sin Factura",0,IFERROR(_xlfn.XLOOKUP(1, (Facturas_Odoo!$D:$D=A179) * (Facturas_Odoo!$K:$K=I179), Facturas_Odoo!$Q:$Q, 0), 0))</f>
        <v/>
      </c>
      <c r="X179" s="79">
        <f>IF(OR(Q179="Sin Factura",Q179=""),"",IFERROR(INDEX(Pagos_Odoo!$B:$B, MATCH(Q179, Pagos_Odoo!$I:$I, 0)), "Sin Pago"))</f>
        <v/>
      </c>
      <c r="Y179" s="79">
        <f>IF(X179="Sin Pago","",IFERROR(INDEX(Pagos_Odoo!$C:$C, MATCH(X179, Pagos_Odoo!$B:$B, 0)), ""))</f>
        <v/>
      </c>
      <c r="Z179" s="80">
        <f>IF(X179="Sin Pago","",IFERROR(INDEX(Pagos_Odoo!$A:$A, MATCH(X179, Pagos_Odoo!$B:$B, 0)), ""))</f>
        <v/>
      </c>
      <c r="AA179" s="79">
        <f>IF(X179="Sin Pago","",IFERROR(INDEX(Pagos_Odoo!$F:$F, MATCH(X179, Pagos_Odoo!$B:$B, 0)), ""))</f>
        <v/>
      </c>
      <c r="AB179" s="81">
        <f>IF(X179="Sin Pago",0,IFERROR(INDEX(Pagos_Odoo!$E:$E, MATCH(X179, Pagos_Odoo!$B:$B, 0)), 0))</f>
        <v/>
      </c>
      <c r="AC179" s="79">
        <f>IF(X179="Sin Pago","",IFERROR(INDEX(Pagos_Odoo!$G:$G, MATCH(X179, Pagos_Odoo!$B:$B, 0)), ""))</f>
        <v/>
      </c>
      <c r="AD179" s="82" t="n">
        <v>0</v>
      </c>
      <c r="AE179" s="82" t="n"/>
      <c r="AF179" s="82" t="n"/>
      <c r="AG179" s="82">
        <f>IF(AN179="","",AD179+AE179+AF179)</f>
        <v/>
      </c>
      <c r="AH179" s="81">
        <f>IF(AN179="","",P179*(1-AG179))</f>
        <v/>
      </c>
      <c r="AI179" s="81">
        <f>IF(AN179="","",IF(Q179="Sin Factura",0,IFERROR(INDEX(Facturas_Odoo!$H:$H, MATCH(Q179, Facturas_Odoo!$B:$B, 0)), 0)*(1-AG179)))</f>
        <v/>
      </c>
      <c r="AJ179" s="81">
        <f>IF(AN179="","",_xlfn.LET(idVenta, AN179&amp;"",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9" s="81">
        <f>IF(AN179="","",AH179-AJ179)</f>
        <v/>
      </c>
      <c r="AL179" s="81">
        <f>IF(AN179="","",IF(Q179="Sin Factura","",AI179-AJ179))</f>
        <v/>
      </c>
      <c r="AM179" s="81">
        <f>IF(AN179="","",IF(Q179="Sin Factura",0,P179-IFERROR(INDEX(Facturas_Odoo!$H:$H, MATCH(Q179, Facturas_Odoo!$B:$B, 0)), 0)))</f>
        <v/>
      </c>
      <c r="AN179" s="79">
        <f>IF(AND(A179="", J179=""), "", IF(A179&lt;&gt;"", VALUE(MID(A179,2,LEN(A179))), AN178))</f>
        <v/>
      </c>
      <c r="AO179" s="79">
        <f>IF(AN179="","",IF(AD179=0,"OK",_xlfn.LET(monedaPago, IF(AA179="","USD",AA179), limitePermitido, IFERROR(VLOOKUP(monedaPago, Configuración!$A$2:$B$3, 2, FALSE), 0.15), IF(AD179&gt;limitePermitido, "ALERTA: EXCESO (" &amp; TEXT(limitePermitido, "0%") &amp; " máx)", "OK"))))</f>
        <v/>
      </c>
      <c r="AP179" s="79">
        <f>IF(AN179="","",IF(AE179=0,"OK",_xlfn.LET(fechaPago, Z179, fechaFactura, R179, diasCredito, IF(E179="Pago inmediato", 0, IFERROR(VALUE(MID(E179, 1, SEARCH(" ", E179)-1)),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9" s="79">
        <f>IF(AN179="","",IF(AND(N179&gt;0, AG179&gt;0), IF(Configuración!$K$2="NO", "ALERTA: DESCUENTO DOBLE NO PERMITIDO", "OK"), "OK"))</f>
        <v/>
      </c>
      <c r="AR179" s="79">
        <f>IF(AN179="","",IF(OR(AO179&lt;&gt;"OK", AP179&lt;&gt;"OK", AQ179&lt;&gt;"OK"), "⚠️ REVISAR", "OK"))</f>
        <v/>
      </c>
    </row>
    <row r="180">
      <c r="A180" s="79">
        <f>IF('Ordenes_Odoo'!A180="","",'Ordenes_Odoo'!A180)</f>
        <v/>
      </c>
      <c r="B180" s="80">
        <f>IF('Ordenes_Odoo'!B180="","",'Ordenes_Odoo'!B180)</f>
        <v/>
      </c>
      <c r="C180" s="79">
        <f>IF('Ordenes_Odoo'!C180="","",'Ordenes_Odoo'!C180)</f>
        <v/>
      </c>
      <c r="D180" s="79">
        <f>IF('Ordenes_Odoo'!D180="","",'Ordenes_Odoo'!D180)</f>
        <v/>
      </c>
      <c r="E180" s="79">
        <f>IF('Ordenes_Odoo'!E180="","",'Ordenes_Odoo'!E180)</f>
        <v/>
      </c>
      <c r="F180" s="79">
        <f>IF('Ordenes_Odoo'!F180="","",'Ordenes_Odoo'!F180)</f>
        <v/>
      </c>
      <c r="G180" s="79">
        <f>IF('Ordenes_Odoo'!G180="","",'Ordenes_Odoo'!G180)</f>
        <v/>
      </c>
      <c r="H180" s="79">
        <f>IF('Ordenes_Odoo'!H180="","",'Ordenes_Odoo'!H180)</f>
        <v/>
      </c>
      <c r="I180" s="79">
        <f>IF('Ordenes_Odoo'!I180="","",'Ordenes_Odoo'!I180)</f>
        <v/>
      </c>
      <c r="J180" s="79">
        <f>IF('Ordenes_Odoo'!J180="","",'Ordenes_Odoo'!J180)</f>
        <v/>
      </c>
      <c r="K180" s="81">
        <f>IF('Ordenes_Odoo'!K180="","",'Ordenes_Odoo'!K180)</f>
        <v/>
      </c>
      <c r="L180" s="81">
        <f>IF('Ordenes_Odoo'!L180="","",'Ordenes_Odoo'!L180)</f>
        <v/>
      </c>
      <c r="M180" s="79">
        <f>IF('Ordenes_Odoo'!M180="","",'Ordenes_Odoo'!M180)</f>
        <v/>
      </c>
      <c r="N180" s="79">
        <f>IF('Ordenes_Odoo'!N180="","",'Ordenes_Odoo'!N180)</f>
        <v/>
      </c>
      <c r="O180" s="81">
        <f>IF('Ordenes_Odoo'!O180="","",'Ordenes_Odoo'!O180)</f>
        <v/>
      </c>
      <c r="P180" s="81">
        <f>IF('Ordenes_Odoo'!P180="","",'Ordenes_Odoo'!P180)</f>
        <v/>
      </c>
      <c r="Q180" s="79">
        <f>IF(A180="","",IFERROR(INDEX(Facturas_Odoo!$B:$B, MATCH(A180, Facturas_Odoo!$D:$D, 0)), "Sin Factura"))</f>
        <v/>
      </c>
      <c r="R180" s="80">
        <f>IF(Q180="Sin Factura","",IFERROR(INDEX(Facturas_Odoo!$A:$A, MATCH(Q180, Facturas_Odoo!$B:$B, 0)), ""))</f>
        <v/>
      </c>
      <c r="S180" s="79">
        <f>IF(Q180="Sin Factura","",IFERROR(_xlfn.XLOOKUP(1, (Facturas_Odoo!$D:$D=A180) * (Facturas_Odoo!$K:$K=I180), Facturas_Odoo!$L:$L, ""), ""))</f>
        <v/>
      </c>
      <c r="T180" s="81">
        <f>IF(Q180="Sin Factura",0,IFERROR(_xlfn.XLOOKUP(1, (Facturas_Odoo!$D:$D=A180) * (Facturas_Odoo!$K:$K=I180), Facturas_Odoo!$M:$M, 0), 0))</f>
        <v/>
      </c>
      <c r="U180" s="79">
        <f>IF(Q180="Sin Factura",0,IFERROR(_xlfn.XLOOKUP(1, (Facturas_Odoo!$D:$D=A180) * (Facturas_Odoo!$K:$K=I180), Facturas_Odoo!$N:$N, 0), 0))</f>
        <v/>
      </c>
      <c r="V180" s="79">
        <f>IF(Q180="Sin Factura",0,IFERROR(_xlfn.XLOOKUP(1, (Facturas_Odoo!$D:$D=A180) * (Facturas_Odoo!$K:$K=I180), Facturas_Odoo!$O:$O, 0), 0))</f>
        <v/>
      </c>
      <c r="W180" s="81">
        <f>IF(Q180="Sin Factura",0,IFERROR(_xlfn.XLOOKUP(1, (Facturas_Odoo!$D:$D=A180) * (Facturas_Odoo!$K:$K=I180), Facturas_Odoo!$Q:$Q, 0), 0))</f>
        <v/>
      </c>
      <c r="X180" s="79">
        <f>IF(OR(Q180="Sin Factura",Q180=""),"",IFERROR(INDEX(Pagos_Odoo!$B:$B, MATCH(Q180, Pagos_Odoo!$I:$I, 0)), "Sin Pago"))</f>
        <v/>
      </c>
      <c r="Y180" s="79">
        <f>IF(X180="Sin Pago","",IFERROR(INDEX(Pagos_Odoo!$C:$C, MATCH(X180, Pagos_Odoo!$B:$B, 0)), ""))</f>
        <v/>
      </c>
      <c r="Z180" s="80">
        <f>IF(X180="Sin Pago","",IFERROR(INDEX(Pagos_Odoo!$A:$A, MATCH(X180, Pagos_Odoo!$B:$B, 0)), ""))</f>
        <v/>
      </c>
      <c r="AA180" s="79">
        <f>IF(X180="Sin Pago","",IFERROR(INDEX(Pagos_Odoo!$F:$F, MATCH(X180, Pagos_Odoo!$B:$B, 0)), ""))</f>
        <v/>
      </c>
      <c r="AB180" s="81">
        <f>IF(X180="Sin Pago",0,IFERROR(INDEX(Pagos_Odoo!$E:$E, MATCH(X180, Pagos_Odoo!$B:$B, 0)), 0))</f>
        <v/>
      </c>
      <c r="AC180" s="79">
        <f>IF(X180="Sin Pago","",IFERROR(INDEX(Pagos_Odoo!$G:$G, MATCH(X180, Pagos_Odoo!$B:$B, 0)), ""))</f>
        <v/>
      </c>
      <c r="AD180" s="82" t="n">
        <v>0</v>
      </c>
      <c r="AE180" s="82" t="n"/>
      <c r="AF180" s="82" t="n"/>
      <c r="AG180" s="82">
        <f>IF(AN180="","",AD180+AE180+AF180)</f>
        <v/>
      </c>
      <c r="AH180" s="81">
        <f>IF(AN180="","",P180*(1-AG180))</f>
        <v/>
      </c>
      <c r="AI180" s="81">
        <f>IF(AN180="","",IF(Q180="Sin Factura",0,IFERROR(INDEX(Facturas_Odoo!$H:$H, MATCH(Q180, Facturas_Odoo!$B:$B, 0)), 0)*(1-AG180)))</f>
        <v/>
      </c>
      <c r="AJ180" s="81">
        <f>IF(AN180="","",_xlfn.LET(idVenta, AN180&amp;"",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0" s="81">
        <f>IF(AN180="","",AH180-AJ180)</f>
        <v/>
      </c>
      <c r="AL180" s="81">
        <f>IF(AN180="","",IF(Q180="Sin Factura","",AI180-AJ180))</f>
        <v/>
      </c>
      <c r="AM180" s="81">
        <f>IF(AN180="","",IF(Q180="Sin Factura",0,P180-IFERROR(INDEX(Facturas_Odoo!$H:$H, MATCH(Q180, Facturas_Odoo!$B:$B, 0)), 0)))</f>
        <v/>
      </c>
      <c r="AN180" s="79">
        <f>IF(AND(A180="", J180=""), "", IF(A180&lt;&gt;"", VALUE(MID(A180,2,LEN(A180))), AN179))</f>
        <v/>
      </c>
      <c r="AO180" s="79">
        <f>IF(AN180="","",IF(AD180=0,"OK",_xlfn.LET(monedaPago, IF(AA180="","USD",AA180), limitePermitido, IFERROR(VLOOKUP(monedaPago, Configuración!$A$2:$B$3, 2, FALSE), 0.15), IF(AD180&gt;limitePermitido, "ALERTA: EXCESO (" &amp; TEXT(limitePermitido, "0%") &amp; " máx)", "OK"))))</f>
        <v/>
      </c>
      <c r="AP180" s="79">
        <f>IF(AN180="","",IF(AE180=0,"OK",_xlfn.LET(fechaPago, Z180, fechaFactura, R180, diasCredito, IF(E180="Pago inmediato", 0, IFERROR(VALUE(MID(E180, 1, SEARCH(" ", E180)-1)),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0" s="79">
        <f>IF(AN180="","",IF(AND(N180&gt;0, AG180&gt;0), IF(Configuración!$K$2="NO", "ALERTA: DESCUENTO DOBLE NO PERMITIDO", "OK"), "OK"))</f>
        <v/>
      </c>
      <c r="AR180" s="79">
        <f>IF(AN180="","",IF(OR(AO180&lt;&gt;"OK", AP180&lt;&gt;"OK", AQ180&lt;&gt;"OK"), "⚠️ REVISAR", "OK"))</f>
        <v/>
      </c>
    </row>
    <row r="181">
      <c r="A181" s="79">
        <f>IF('Ordenes_Odoo'!A181="","",'Ordenes_Odoo'!A181)</f>
        <v/>
      </c>
      <c r="B181" s="80">
        <f>IF('Ordenes_Odoo'!B181="","",'Ordenes_Odoo'!B181)</f>
        <v/>
      </c>
      <c r="C181" s="79">
        <f>IF('Ordenes_Odoo'!C181="","",'Ordenes_Odoo'!C181)</f>
        <v/>
      </c>
      <c r="D181" s="79">
        <f>IF('Ordenes_Odoo'!D181="","",'Ordenes_Odoo'!D181)</f>
        <v/>
      </c>
      <c r="E181" s="79">
        <f>IF('Ordenes_Odoo'!E181="","",'Ordenes_Odoo'!E181)</f>
        <v/>
      </c>
      <c r="F181" s="79">
        <f>IF('Ordenes_Odoo'!F181="","",'Ordenes_Odoo'!F181)</f>
        <v/>
      </c>
      <c r="G181" s="79">
        <f>IF('Ordenes_Odoo'!G181="","",'Ordenes_Odoo'!G181)</f>
        <v/>
      </c>
      <c r="H181" s="79">
        <f>IF('Ordenes_Odoo'!H181="","",'Ordenes_Odoo'!H181)</f>
        <v/>
      </c>
      <c r="I181" s="79">
        <f>IF('Ordenes_Odoo'!I181="","",'Ordenes_Odoo'!I181)</f>
        <v/>
      </c>
      <c r="J181" s="79">
        <f>IF('Ordenes_Odoo'!J181="","",'Ordenes_Odoo'!J181)</f>
        <v/>
      </c>
      <c r="K181" s="81">
        <f>IF('Ordenes_Odoo'!K181="","",'Ordenes_Odoo'!K181)</f>
        <v/>
      </c>
      <c r="L181" s="81">
        <f>IF('Ordenes_Odoo'!L181="","",'Ordenes_Odoo'!L181)</f>
        <v/>
      </c>
      <c r="M181" s="79">
        <f>IF('Ordenes_Odoo'!M181="","",'Ordenes_Odoo'!M181)</f>
        <v/>
      </c>
      <c r="N181" s="79">
        <f>IF('Ordenes_Odoo'!N181="","",'Ordenes_Odoo'!N181)</f>
        <v/>
      </c>
      <c r="O181" s="81">
        <f>IF('Ordenes_Odoo'!O181="","",'Ordenes_Odoo'!O181)</f>
        <v/>
      </c>
      <c r="P181" s="81">
        <f>IF('Ordenes_Odoo'!P181="","",'Ordenes_Odoo'!P181)</f>
        <v/>
      </c>
      <c r="Q181" s="79">
        <f>IF(A181="","",IFERROR(INDEX(Facturas_Odoo!$B:$B, MATCH(A181, Facturas_Odoo!$D:$D, 0)), "Sin Factura"))</f>
        <v/>
      </c>
      <c r="R181" s="80">
        <f>IF(Q181="Sin Factura","",IFERROR(INDEX(Facturas_Odoo!$A:$A, MATCH(Q181, Facturas_Odoo!$B:$B, 0)), ""))</f>
        <v/>
      </c>
      <c r="S181" s="79">
        <f>IF(Q181="Sin Factura","",IFERROR(_xlfn.XLOOKUP(1, (Facturas_Odoo!$D:$D=A181) * (Facturas_Odoo!$K:$K=I181), Facturas_Odoo!$L:$L, ""), ""))</f>
        <v/>
      </c>
      <c r="T181" s="81">
        <f>IF(Q181="Sin Factura",0,IFERROR(_xlfn.XLOOKUP(1, (Facturas_Odoo!$D:$D=A181) * (Facturas_Odoo!$K:$K=I181), Facturas_Odoo!$M:$M, 0), 0))</f>
        <v/>
      </c>
      <c r="U181" s="79">
        <f>IF(Q181="Sin Factura",0,IFERROR(_xlfn.XLOOKUP(1, (Facturas_Odoo!$D:$D=A181) * (Facturas_Odoo!$K:$K=I181), Facturas_Odoo!$N:$N, 0), 0))</f>
        <v/>
      </c>
      <c r="V181" s="79">
        <f>IF(Q181="Sin Factura",0,IFERROR(_xlfn.XLOOKUP(1, (Facturas_Odoo!$D:$D=A181) * (Facturas_Odoo!$K:$K=I181), Facturas_Odoo!$O:$O, 0), 0))</f>
        <v/>
      </c>
      <c r="W181" s="81">
        <f>IF(Q181="Sin Factura",0,IFERROR(_xlfn.XLOOKUP(1, (Facturas_Odoo!$D:$D=A181) * (Facturas_Odoo!$K:$K=I181), Facturas_Odoo!$Q:$Q, 0), 0))</f>
        <v/>
      </c>
      <c r="X181" s="79">
        <f>IF(OR(Q181="Sin Factura",Q181=""),"",IFERROR(INDEX(Pagos_Odoo!$B:$B, MATCH(Q181, Pagos_Odoo!$I:$I, 0)), "Sin Pago"))</f>
        <v/>
      </c>
      <c r="Y181" s="79">
        <f>IF(X181="Sin Pago","",IFERROR(INDEX(Pagos_Odoo!$C:$C, MATCH(X181, Pagos_Odoo!$B:$B, 0)), ""))</f>
        <v/>
      </c>
      <c r="Z181" s="80">
        <f>IF(X181="Sin Pago","",IFERROR(INDEX(Pagos_Odoo!$A:$A, MATCH(X181, Pagos_Odoo!$B:$B, 0)), ""))</f>
        <v/>
      </c>
      <c r="AA181" s="79">
        <f>IF(X181="Sin Pago","",IFERROR(INDEX(Pagos_Odoo!$F:$F, MATCH(X181, Pagos_Odoo!$B:$B, 0)), ""))</f>
        <v/>
      </c>
      <c r="AB181" s="81">
        <f>IF(X181="Sin Pago",0,IFERROR(INDEX(Pagos_Odoo!$E:$E, MATCH(X181, Pagos_Odoo!$B:$B, 0)), 0))</f>
        <v/>
      </c>
      <c r="AC181" s="79">
        <f>IF(X181="Sin Pago","",IFERROR(INDEX(Pagos_Odoo!$G:$G, MATCH(X181, Pagos_Odoo!$B:$B, 0)), ""))</f>
        <v/>
      </c>
      <c r="AD181" s="82" t="n">
        <v>0</v>
      </c>
      <c r="AE181" s="82" t="n"/>
      <c r="AF181" s="82" t="n"/>
      <c r="AG181" s="82">
        <f>IF(AN181="","",AD181+AE181+AF181)</f>
        <v/>
      </c>
      <c r="AH181" s="81">
        <f>IF(AN181="","",P181*(1-AG181))</f>
        <v/>
      </c>
      <c r="AI181" s="81">
        <f>IF(AN181="","",IF(Q181="Sin Factura",0,IFERROR(INDEX(Facturas_Odoo!$H:$H, MATCH(Q181, Facturas_Odoo!$B:$B, 0)), 0)*(1-AG181)))</f>
        <v/>
      </c>
      <c r="AJ181" s="81">
        <f>IF(AN181="","",_xlfn.LET(idVenta, AN181&amp;"",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1" s="81">
        <f>IF(AN181="","",AH181-AJ181)</f>
        <v/>
      </c>
      <c r="AL181" s="81">
        <f>IF(AN181="","",IF(Q181="Sin Factura","",AI181-AJ181))</f>
        <v/>
      </c>
      <c r="AM181" s="81">
        <f>IF(AN181="","",IF(Q181="Sin Factura",0,P181-IFERROR(INDEX(Facturas_Odoo!$H:$H, MATCH(Q181, Facturas_Odoo!$B:$B, 0)), 0)))</f>
        <v/>
      </c>
      <c r="AN181" s="79">
        <f>IF(AND(A181="", J181=""), "", IF(A181&lt;&gt;"", VALUE(MID(A181,2,LEN(A181))), AN180))</f>
        <v/>
      </c>
      <c r="AO181" s="79">
        <f>IF(AN181="","",IF(AD181=0,"OK",_xlfn.LET(monedaPago, IF(AA181="","USD",AA181), limitePermitido, IFERROR(VLOOKUP(monedaPago, Configuración!$A$2:$B$3, 2, FALSE), 0.15), IF(AD181&gt;limitePermitido, "ALERTA: EXCESO (" &amp; TEXT(limitePermitido, "0%") &amp; " máx)", "OK"))))</f>
        <v/>
      </c>
      <c r="AP181" s="79">
        <f>IF(AN181="","",IF(AE181=0,"OK",_xlfn.LET(fechaPago, Z181, fechaFactura, R181, diasCredito, IF(E181="Pago inmediato", 0, IFERROR(VALUE(MID(E181, 1, SEARCH(" ", E181)-1)),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1" s="79">
        <f>IF(AN181="","",IF(AND(N181&gt;0, AG181&gt;0), IF(Configuración!$K$2="NO", "ALERTA: DESCUENTO DOBLE NO PERMITIDO", "OK"), "OK"))</f>
        <v/>
      </c>
      <c r="AR181" s="79">
        <f>IF(AN181="","",IF(OR(AO181&lt;&gt;"OK", AP181&lt;&gt;"OK", AQ181&lt;&gt;"OK"), "⚠️ REVISAR", "OK"))</f>
        <v/>
      </c>
    </row>
    <row r="182">
      <c r="A182" s="79">
        <f>IF('Ordenes_Odoo'!A182="","",'Ordenes_Odoo'!A182)</f>
        <v/>
      </c>
      <c r="B182" s="80">
        <f>IF('Ordenes_Odoo'!B182="","",'Ordenes_Odoo'!B182)</f>
        <v/>
      </c>
      <c r="C182" s="79">
        <f>IF('Ordenes_Odoo'!C182="","",'Ordenes_Odoo'!C182)</f>
        <v/>
      </c>
      <c r="D182" s="79">
        <f>IF('Ordenes_Odoo'!D182="","",'Ordenes_Odoo'!D182)</f>
        <v/>
      </c>
      <c r="E182" s="79">
        <f>IF('Ordenes_Odoo'!E182="","",'Ordenes_Odoo'!E182)</f>
        <v/>
      </c>
      <c r="F182" s="79">
        <f>IF('Ordenes_Odoo'!F182="","",'Ordenes_Odoo'!F182)</f>
        <v/>
      </c>
      <c r="G182" s="79">
        <f>IF('Ordenes_Odoo'!G182="","",'Ordenes_Odoo'!G182)</f>
        <v/>
      </c>
      <c r="H182" s="79">
        <f>IF('Ordenes_Odoo'!H182="","",'Ordenes_Odoo'!H182)</f>
        <v/>
      </c>
      <c r="I182" s="79">
        <f>IF('Ordenes_Odoo'!I182="","",'Ordenes_Odoo'!I182)</f>
        <v/>
      </c>
      <c r="J182" s="79">
        <f>IF('Ordenes_Odoo'!J182="","",'Ordenes_Odoo'!J182)</f>
        <v/>
      </c>
      <c r="K182" s="81">
        <f>IF('Ordenes_Odoo'!K182="","",'Ordenes_Odoo'!K182)</f>
        <v/>
      </c>
      <c r="L182" s="81">
        <f>IF('Ordenes_Odoo'!L182="","",'Ordenes_Odoo'!L182)</f>
        <v/>
      </c>
      <c r="M182" s="79">
        <f>IF('Ordenes_Odoo'!M182="","",'Ordenes_Odoo'!M182)</f>
        <v/>
      </c>
      <c r="N182" s="79">
        <f>IF('Ordenes_Odoo'!N182="","",'Ordenes_Odoo'!N182)</f>
        <v/>
      </c>
      <c r="O182" s="81">
        <f>IF('Ordenes_Odoo'!O182="","",'Ordenes_Odoo'!O182)</f>
        <v/>
      </c>
      <c r="P182" s="81">
        <f>IF('Ordenes_Odoo'!P182="","",'Ordenes_Odoo'!P182)</f>
        <v/>
      </c>
      <c r="Q182" s="79">
        <f>IF(A182="","",IFERROR(INDEX(Facturas_Odoo!$B:$B, MATCH(A182, Facturas_Odoo!$D:$D, 0)), "Sin Factura"))</f>
        <v/>
      </c>
      <c r="R182" s="80">
        <f>IF(Q182="Sin Factura","",IFERROR(INDEX(Facturas_Odoo!$A:$A, MATCH(Q182, Facturas_Odoo!$B:$B, 0)), ""))</f>
        <v/>
      </c>
      <c r="S182" s="79">
        <f>IF(Q182="Sin Factura","",IFERROR(_xlfn.XLOOKUP(1, (Facturas_Odoo!$D:$D=A182) * (Facturas_Odoo!$K:$K=I182), Facturas_Odoo!$L:$L, ""), ""))</f>
        <v/>
      </c>
      <c r="T182" s="81">
        <f>IF(Q182="Sin Factura",0,IFERROR(_xlfn.XLOOKUP(1, (Facturas_Odoo!$D:$D=A182) * (Facturas_Odoo!$K:$K=I182), Facturas_Odoo!$M:$M, 0), 0))</f>
        <v/>
      </c>
      <c r="U182" s="79">
        <f>IF(Q182="Sin Factura",0,IFERROR(_xlfn.XLOOKUP(1, (Facturas_Odoo!$D:$D=A182) * (Facturas_Odoo!$K:$K=I182), Facturas_Odoo!$N:$N, 0), 0))</f>
        <v/>
      </c>
      <c r="V182" s="79">
        <f>IF(Q182="Sin Factura",0,IFERROR(_xlfn.XLOOKUP(1, (Facturas_Odoo!$D:$D=A182) * (Facturas_Odoo!$K:$K=I182), Facturas_Odoo!$O:$O, 0), 0))</f>
        <v/>
      </c>
      <c r="W182" s="81">
        <f>IF(Q182="Sin Factura",0,IFERROR(_xlfn.XLOOKUP(1, (Facturas_Odoo!$D:$D=A182) * (Facturas_Odoo!$K:$K=I182), Facturas_Odoo!$Q:$Q, 0), 0))</f>
        <v/>
      </c>
      <c r="X182" s="79">
        <f>IF(OR(Q182="Sin Factura",Q182=""),"",IFERROR(INDEX(Pagos_Odoo!$B:$B, MATCH(Q182, Pagos_Odoo!$I:$I, 0)), "Sin Pago"))</f>
        <v/>
      </c>
      <c r="Y182" s="79">
        <f>IF(X182="Sin Pago","",IFERROR(INDEX(Pagos_Odoo!$C:$C, MATCH(X182, Pagos_Odoo!$B:$B, 0)), ""))</f>
        <v/>
      </c>
      <c r="Z182" s="80">
        <f>IF(X182="Sin Pago","",IFERROR(INDEX(Pagos_Odoo!$A:$A, MATCH(X182, Pagos_Odoo!$B:$B, 0)), ""))</f>
        <v/>
      </c>
      <c r="AA182" s="79">
        <f>IF(X182="Sin Pago","",IFERROR(INDEX(Pagos_Odoo!$F:$F, MATCH(X182, Pagos_Odoo!$B:$B, 0)), ""))</f>
        <v/>
      </c>
      <c r="AB182" s="81">
        <f>IF(X182="Sin Pago",0,IFERROR(INDEX(Pagos_Odoo!$E:$E, MATCH(X182, Pagos_Odoo!$B:$B, 0)), 0))</f>
        <v/>
      </c>
      <c r="AC182" s="79">
        <f>IF(X182="Sin Pago","",IFERROR(INDEX(Pagos_Odoo!$G:$G, MATCH(X182, Pagos_Odoo!$B:$B, 0)), ""))</f>
        <v/>
      </c>
      <c r="AD182" s="82" t="n">
        <v>0</v>
      </c>
      <c r="AE182" s="82" t="n"/>
      <c r="AF182" s="82" t="n"/>
      <c r="AG182" s="82">
        <f>IF(AN182="","",AD182+AE182+AF182)</f>
        <v/>
      </c>
      <c r="AH182" s="81">
        <f>IF(AN182="","",P182*(1-AG182))</f>
        <v/>
      </c>
      <c r="AI182" s="81">
        <f>IF(AN182="","",IF(Q182="Sin Factura",0,IFERROR(INDEX(Facturas_Odoo!$H:$H, MATCH(Q182, Facturas_Odoo!$B:$B, 0)), 0)*(1-AG182)))</f>
        <v/>
      </c>
      <c r="AJ182" s="81">
        <f>IF(AN182="","",_xlfn.LET(idVenta, AN182&amp;"",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2" s="81">
        <f>IF(AN182="","",AH182-AJ182)</f>
        <v/>
      </c>
      <c r="AL182" s="81">
        <f>IF(AN182="","",IF(Q182="Sin Factura","",AI182-AJ182))</f>
        <v/>
      </c>
      <c r="AM182" s="81">
        <f>IF(AN182="","",IF(Q182="Sin Factura",0,P182-IFERROR(INDEX(Facturas_Odoo!$H:$H, MATCH(Q182, Facturas_Odoo!$B:$B, 0)), 0)))</f>
        <v/>
      </c>
      <c r="AN182" s="79">
        <f>IF(AND(A182="", J182=""), "", IF(A182&lt;&gt;"", VALUE(MID(A182,2,LEN(A182))), AN181))</f>
        <v/>
      </c>
      <c r="AO182" s="79">
        <f>IF(AN182="","",IF(AD182=0,"OK",_xlfn.LET(monedaPago, IF(AA182="","USD",AA182), limitePermitido, IFERROR(VLOOKUP(monedaPago, Configuración!$A$2:$B$3, 2, FALSE), 0.15), IF(AD182&gt;limitePermitido, "ALERTA: EXCESO (" &amp; TEXT(limitePermitido, "0%") &amp; " máx)", "OK"))))</f>
        <v/>
      </c>
      <c r="AP182" s="79">
        <f>IF(AN182="","",IF(AE182=0,"OK",_xlfn.LET(fechaPago, Z182, fechaFactura, R182, diasCredito, IF(E182="Pago inmediato", 0, IFERROR(VALUE(MID(E182, 1, SEARCH(" ", E182)-1)),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2" s="79">
        <f>IF(AN182="","",IF(AND(N182&gt;0, AG182&gt;0), IF(Configuración!$K$2="NO", "ALERTA: DESCUENTO DOBLE NO PERMITIDO", "OK"), "OK"))</f>
        <v/>
      </c>
      <c r="AR182" s="79">
        <f>IF(AN182="","",IF(OR(AO182&lt;&gt;"OK", AP182&lt;&gt;"OK", AQ182&lt;&gt;"OK"), "⚠️ REVISAR", "OK"))</f>
        <v/>
      </c>
    </row>
    <row r="183">
      <c r="A183" s="79">
        <f>IF('Ordenes_Odoo'!A183="","",'Ordenes_Odoo'!A183)</f>
        <v/>
      </c>
      <c r="B183" s="80">
        <f>IF('Ordenes_Odoo'!B183="","",'Ordenes_Odoo'!B183)</f>
        <v/>
      </c>
      <c r="C183" s="79">
        <f>IF('Ordenes_Odoo'!C183="","",'Ordenes_Odoo'!C183)</f>
        <v/>
      </c>
      <c r="D183" s="79">
        <f>IF('Ordenes_Odoo'!D183="","",'Ordenes_Odoo'!D183)</f>
        <v/>
      </c>
      <c r="E183" s="79">
        <f>IF('Ordenes_Odoo'!E183="","",'Ordenes_Odoo'!E183)</f>
        <v/>
      </c>
      <c r="F183" s="79">
        <f>IF('Ordenes_Odoo'!F183="","",'Ordenes_Odoo'!F183)</f>
        <v/>
      </c>
      <c r="G183" s="79">
        <f>IF('Ordenes_Odoo'!G183="","",'Ordenes_Odoo'!G183)</f>
        <v/>
      </c>
      <c r="H183" s="79">
        <f>IF('Ordenes_Odoo'!H183="","",'Ordenes_Odoo'!H183)</f>
        <v/>
      </c>
      <c r="I183" s="79">
        <f>IF('Ordenes_Odoo'!I183="","",'Ordenes_Odoo'!I183)</f>
        <v/>
      </c>
      <c r="J183" s="79">
        <f>IF('Ordenes_Odoo'!J183="","",'Ordenes_Odoo'!J183)</f>
        <v/>
      </c>
      <c r="K183" s="81">
        <f>IF('Ordenes_Odoo'!K183="","",'Ordenes_Odoo'!K183)</f>
        <v/>
      </c>
      <c r="L183" s="81">
        <f>IF('Ordenes_Odoo'!L183="","",'Ordenes_Odoo'!L183)</f>
        <v/>
      </c>
      <c r="M183" s="79">
        <f>IF('Ordenes_Odoo'!M183="","",'Ordenes_Odoo'!M183)</f>
        <v/>
      </c>
      <c r="N183" s="79">
        <f>IF('Ordenes_Odoo'!N183="","",'Ordenes_Odoo'!N183)</f>
        <v/>
      </c>
      <c r="O183" s="81">
        <f>IF('Ordenes_Odoo'!O183="","",'Ordenes_Odoo'!O183)</f>
        <v/>
      </c>
      <c r="P183" s="81">
        <f>IF('Ordenes_Odoo'!P183="","",'Ordenes_Odoo'!P183)</f>
        <v/>
      </c>
      <c r="Q183" s="79">
        <f>IF(A183="","",IFERROR(INDEX(Facturas_Odoo!$B:$B, MATCH(A183, Facturas_Odoo!$D:$D, 0)), "Sin Factura"))</f>
        <v/>
      </c>
      <c r="R183" s="80">
        <f>IF(Q183="Sin Factura","",IFERROR(INDEX(Facturas_Odoo!$A:$A, MATCH(Q183, Facturas_Odoo!$B:$B, 0)), ""))</f>
        <v/>
      </c>
      <c r="S183" s="79">
        <f>IF(Q183="Sin Factura","",IFERROR(_xlfn.XLOOKUP(1, (Facturas_Odoo!$D:$D=A183) * (Facturas_Odoo!$K:$K=I183), Facturas_Odoo!$L:$L, ""), ""))</f>
        <v/>
      </c>
      <c r="T183" s="81">
        <f>IF(Q183="Sin Factura",0,IFERROR(_xlfn.XLOOKUP(1, (Facturas_Odoo!$D:$D=A183) * (Facturas_Odoo!$K:$K=I183), Facturas_Odoo!$M:$M, 0), 0))</f>
        <v/>
      </c>
      <c r="U183" s="79">
        <f>IF(Q183="Sin Factura",0,IFERROR(_xlfn.XLOOKUP(1, (Facturas_Odoo!$D:$D=A183) * (Facturas_Odoo!$K:$K=I183), Facturas_Odoo!$N:$N, 0), 0))</f>
        <v/>
      </c>
      <c r="V183" s="79">
        <f>IF(Q183="Sin Factura",0,IFERROR(_xlfn.XLOOKUP(1, (Facturas_Odoo!$D:$D=A183) * (Facturas_Odoo!$K:$K=I183), Facturas_Odoo!$O:$O, 0), 0))</f>
        <v/>
      </c>
      <c r="W183" s="81">
        <f>IF(Q183="Sin Factura",0,IFERROR(_xlfn.XLOOKUP(1, (Facturas_Odoo!$D:$D=A183) * (Facturas_Odoo!$K:$K=I183), Facturas_Odoo!$Q:$Q, 0), 0))</f>
        <v/>
      </c>
      <c r="X183" s="79">
        <f>IF(OR(Q183="Sin Factura",Q183=""),"",IFERROR(INDEX(Pagos_Odoo!$B:$B, MATCH(Q183, Pagos_Odoo!$I:$I, 0)), "Sin Pago"))</f>
        <v/>
      </c>
      <c r="Y183" s="79">
        <f>IF(X183="Sin Pago","",IFERROR(INDEX(Pagos_Odoo!$C:$C, MATCH(X183, Pagos_Odoo!$B:$B, 0)), ""))</f>
        <v/>
      </c>
      <c r="Z183" s="80">
        <f>IF(X183="Sin Pago","",IFERROR(INDEX(Pagos_Odoo!$A:$A, MATCH(X183, Pagos_Odoo!$B:$B, 0)), ""))</f>
        <v/>
      </c>
      <c r="AA183" s="79">
        <f>IF(X183="Sin Pago","",IFERROR(INDEX(Pagos_Odoo!$F:$F, MATCH(X183, Pagos_Odoo!$B:$B, 0)), ""))</f>
        <v/>
      </c>
      <c r="AB183" s="81">
        <f>IF(X183="Sin Pago",0,IFERROR(INDEX(Pagos_Odoo!$E:$E, MATCH(X183, Pagos_Odoo!$B:$B, 0)), 0))</f>
        <v/>
      </c>
      <c r="AC183" s="79">
        <f>IF(X183="Sin Pago","",IFERROR(INDEX(Pagos_Odoo!$G:$G, MATCH(X183, Pagos_Odoo!$B:$B, 0)), ""))</f>
        <v/>
      </c>
      <c r="AD183" s="82" t="n">
        <v>0</v>
      </c>
      <c r="AE183" s="82" t="n"/>
      <c r="AF183" s="82" t="n"/>
      <c r="AG183" s="82">
        <f>IF(AN183="","",AD183+AE183+AF183)</f>
        <v/>
      </c>
      <c r="AH183" s="81">
        <f>IF(AN183="","",P183*(1-AG183))</f>
        <v/>
      </c>
      <c r="AI183" s="81">
        <f>IF(AN183="","",IF(Q183="Sin Factura",0,IFERROR(INDEX(Facturas_Odoo!$H:$H, MATCH(Q183, Facturas_Odoo!$B:$B, 0)), 0)*(1-AG183)))</f>
        <v/>
      </c>
      <c r="AJ183" s="81">
        <f>IF(AN183="","",_xlfn.LET(idVenta, AN183&amp;"",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3" s="81">
        <f>IF(AN183="","",AH183-AJ183)</f>
        <v/>
      </c>
      <c r="AL183" s="81">
        <f>IF(AN183="","",IF(Q183="Sin Factura","",AI183-AJ183))</f>
        <v/>
      </c>
      <c r="AM183" s="81">
        <f>IF(AN183="","",IF(Q183="Sin Factura",0,P183-IFERROR(INDEX(Facturas_Odoo!$H:$H, MATCH(Q183, Facturas_Odoo!$B:$B, 0)), 0)))</f>
        <v/>
      </c>
      <c r="AN183" s="79">
        <f>IF(AND(A183="", J183=""), "", IF(A183&lt;&gt;"", VALUE(MID(A183,2,LEN(A183))), AN182))</f>
        <v/>
      </c>
      <c r="AO183" s="79">
        <f>IF(AN183="","",IF(AD183=0,"OK",_xlfn.LET(monedaPago, IF(AA183="","USD",AA183), limitePermitido, IFERROR(VLOOKUP(monedaPago, Configuración!$A$2:$B$3, 2, FALSE), 0.15), IF(AD183&gt;limitePermitido, "ALERTA: EXCESO (" &amp; TEXT(limitePermitido, "0%") &amp; " máx)", "OK"))))</f>
        <v/>
      </c>
      <c r="AP183" s="79">
        <f>IF(AN183="","",IF(AE183=0,"OK",_xlfn.LET(fechaPago, Z183, fechaFactura, R183, diasCredito, IF(E183="Pago inmediato", 0, IFERROR(VALUE(MID(E183, 1, SEARCH(" ", E183)-1)),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3" s="79">
        <f>IF(AN183="","",IF(AND(N183&gt;0, AG183&gt;0), IF(Configuración!$K$2="NO", "ALERTA: DESCUENTO DOBLE NO PERMITIDO", "OK"), "OK"))</f>
        <v/>
      </c>
      <c r="AR183" s="79">
        <f>IF(AN183="","",IF(OR(AO183&lt;&gt;"OK", AP183&lt;&gt;"OK", AQ183&lt;&gt;"OK"), "⚠️ REVISAR", "OK"))</f>
        <v/>
      </c>
    </row>
    <row r="184">
      <c r="A184" s="79">
        <f>IF('Ordenes_Odoo'!A184="","",'Ordenes_Odoo'!A184)</f>
        <v/>
      </c>
      <c r="B184" s="80">
        <f>IF('Ordenes_Odoo'!B184="","",'Ordenes_Odoo'!B184)</f>
        <v/>
      </c>
      <c r="C184" s="79">
        <f>IF('Ordenes_Odoo'!C184="","",'Ordenes_Odoo'!C184)</f>
        <v/>
      </c>
      <c r="D184" s="79">
        <f>IF('Ordenes_Odoo'!D184="","",'Ordenes_Odoo'!D184)</f>
        <v/>
      </c>
      <c r="E184" s="79">
        <f>IF('Ordenes_Odoo'!E184="","",'Ordenes_Odoo'!E184)</f>
        <v/>
      </c>
      <c r="F184" s="79">
        <f>IF('Ordenes_Odoo'!F184="","",'Ordenes_Odoo'!F184)</f>
        <v/>
      </c>
      <c r="G184" s="79">
        <f>IF('Ordenes_Odoo'!G184="","",'Ordenes_Odoo'!G184)</f>
        <v/>
      </c>
      <c r="H184" s="79">
        <f>IF('Ordenes_Odoo'!H184="","",'Ordenes_Odoo'!H184)</f>
        <v/>
      </c>
      <c r="I184" s="79">
        <f>IF('Ordenes_Odoo'!I184="","",'Ordenes_Odoo'!I184)</f>
        <v/>
      </c>
      <c r="J184" s="79">
        <f>IF('Ordenes_Odoo'!J184="","",'Ordenes_Odoo'!J184)</f>
        <v/>
      </c>
      <c r="K184" s="81">
        <f>IF('Ordenes_Odoo'!K184="","",'Ordenes_Odoo'!K184)</f>
        <v/>
      </c>
      <c r="L184" s="81">
        <f>IF('Ordenes_Odoo'!L184="","",'Ordenes_Odoo'!L184)</f>
        <v/>
      </c>
      <c r="M184" s="79">
        <f>IF('Ordenes_Odoo'!M184="","",'Ordenes_Odoo'!M184)</f>
        <v/>
      </c>
      <c r="N184" s="79">
        <f>IF('Ordenes_Odoo'!N184="","",'Ordenes_Odoo'!N184)</f>
        <v/>
      </c>
      <c r="O184" s="81">
        <f>IF('Ordenes_Odoo'!O184="","",'Ordenes_Odoo'!O184)</f>
        <v/>
      </c>
      <c r="P184" s="81">
        <f>IF('Ordenes_Odoo'!P184="","",'Ordenes_Odoo'!P184)</f>
        <v/>
      </c>
      <c r="Q184" s="79">
        <f>IF(A184="","",IFERROR(INDEX(Facturas_Odoo!$B:$B, MATCH(A184, Facturas_Odoo!$D:$D, 0)), "Sin Factura"))</f>
        <v/>
      </c>
      <c r="R184" s="80">
        <f>IF(Q184="Sin Factura","",IFERROR(INDEX(Facturas_Odoo!$A:$A, MATCH(Q184, Facturas_Odoo!$B:$B, 0)), ""))</f>
        <v/>
      </c>
      <c r="S184" s="79">
        <f>IF(Q184="Sin Factura","",IFERROR(_xlfn.XLOOKUP(1, (Facturas_Odoo!$D:$D=A184) * (Facturas_Odoo!$K:$K=I184), Facturas_Odoo!$L:$L, ""), ""))</f>
        <v/>
      </c>
      <c r="T184" s="81">
        <f>IF(Q184="Sin Factura",0,IFERROR(_xlfn.XLOOKUP(1, (Facturas_Odoo!$D:$D=A184) * (Facturas_Odoo!$K:$K=I184), Facturas_Odoo!$M:$M, 0), 0))</f>
        <v/>
      </c>
      <c r="U184" s="79">
        <f>IF(Q184="Sin Factura",0,IFERROR(_xlfn.XLOOKUP(1, (Facturas_Odoo!$D:$D=A184) * (Facturas_Odoo!$K:$K=I184), Facturas_Odoo!$N:$N, 0), 0))</f>
        <v/>
      </c>
      <c r="V184" s="79">
        <f>IF(Q184="Sin Factura",0,IFERROR(_xlfn.XLOOKUP(1, (Facturas_Odoo!$D:$D=A184) * (Facturas_Odoo!$K:$K=I184), Facturas_Odoo!$O:$O, 0), 0))</f>
        <v/>
      </c>
      <c r="W184" s="81">
        <f>IF(Q184="Sin Factura",0,IFERROR(_xlfn.XLOOKUP(1, (Facturas_Odoo!$D:$D=A184) * (Facturas_Odoo!$K:$K=I184), Facturas_Odoo!$Q:$Q, 0), 0))</f>
        <v/>
      </c>
      <c r="X184" s="79">
        <f>IF(OR(Q184="Sin Factura",Q184=""),"",IFERROR(INDEX(Pagos_Odoo!$B:$B, MATCH(Q184, Pagos_Odoo!$I:$I, 0)), "Sin Pago"))</f>
        <v/>
      </c>
      <c r="Y184" s="79">
        <f>IF(X184="Sin Pago","",IFERROR(INDEX(Pagos_Odoo!$C:$C, MATCH(X184, Pagos_Odoo!$B:$B, 0)), ""))</f>
        <v/>
      </c>
      <c r="Z184" s="80">
        <f>IF(X184="Sin Pago","",IFERROR(INDEX(Pagos_Odoo!$A:$A, MATCH(X184, Pagos_Odoo!$B:$B, 0)), ""))</f>
        <v/>
      </c>
      <c r="AA184" s="79">
        <f>IF(X184="Sin Pago","",IFERROR(INDEX(Pagos_Odoo!$F:$F, MATCH(X184, Pagos_Odoo!$B:$B, 0)), ""))</f>
        <v/>
      </c>
      <c r="AB184" s="81">
        <f>IF(X184="Sin Pago",0,IFERROR(INDEX(Pagos_Odoo!$E:$E, MATCH(X184, Pagos_Odoo!$B:$B, 0)), 0))</f>
        <v/>
      </c>
      <c r="AC184" s="79">
        <f>IF(X184="Sin Pago","",IFERROR(INDEX(Pagos_Odoo!$G:$G, MATCH(X184, Pagos_Odoo!$B:$B, 0)), ""))</f>
        <v/>
      </c>
      <c r="AD184" s="82" t="n">
        <v>0</v>
      </c>
      <c r="AE184" s="82" t="n"/>
      <c r="AF184" s="82" t="n"/>
      <c r="AG184" s="82">
        <f>IF(AN184="","",AD184+AE184+AF184)</f>
        <v/>
      </c>
      <c r="AH184" s="81">
        <f>IF(AN184="","",P184*(1-AG184))</f>
        <v/>
      </c>
      <c r="AI184" s="81">
        <f>IF(AN184="","",IF(Q184="Sin Factura",0,IFERROR(INDEX(Facturas_Odoo!$H:$H, MATCH(Q184, Facturas_Odoo!$B:$B, 0)), 0)*(1-AG184)))</f>
        <v/>
      </c>
      <c r="AJ184" s="81">
        <f>IF(AN184="","",_xlfn.LET(idVenta, AN184&amp;"",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4" s="81">
        <f>IF(AN184="","",AH184-AJ184)</f>
        <v/>
      </c>
      <c r="AL184" s="81">
        <f>IF(AN184="","",IF(Q184="Sin Factura","",AI184-AJ184))</f>
        <v/>
      </c>
      <c r="AM184" s="81">
        <f>IF(AN184="","",IF(Q184="Sin Factura",0,P184-IFERROR(INDEX(Facturas_Odoo!$H:$H, MATCH(Q184, Facturas_Odoo!$B:$B, 0)), 0)))</f>
        <v/>
      </c>
      <c r="AN184" s="79">
        <f>IF(AND(A184="", J184=""), "", IF(A184&lt;&gt;"", VALUE(MID(A184,2,LEN(A184))), AN183))</f>
        <v/>
      </c>
      <c r="AO184" s="79">
        <f>IF(AN184="","",IF(AD184=0,"OK",_xlfn.LET(monedaPago, IF(AA184="","USD",AA184), limitePermitido, IFERROR(VLOOKUP(monedaPago, Configuración!$A$2:$B$3, 2, FALSE), 0.15), IF(AD184&gt;limitePermitido, "ALERTA: EXCESO (" &amp; TEXT(limitePermitido, "0%") &amp; " máx)", "OK"))))</f>
        <v/>
      </c>
      <c r="AP184" s="79">
        <f>IF(AN184="","",IF(AE184=0,"OK",_xlfn.LET(fechaPago, Z184, fechaFactura, R184, diasCredito, IF(E184="Pago inmediato", 0, IFERROR(VALUE(MID(E184, 1, SEARCH(" ", E184)-1)),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4" s="79">
        <f>IF(AN184="","",IF(AND(N184&gt;0, AG184&gt;0), IF(Configuración!$K$2="NO", "ALERTA: DESCUENTO DOBLE NO PERMITIDO", "OK"), "OK"))</f>
        <v/>
      </c>
      <c r="AR184" s="79">
        <f>IF(AN184="","",IF(OR(AO184&lt;&gt;"OK", AP184&lt;&gt;"OK", AQ184&lt;&gt;"OK"), "⚠️ REVISAR", "OK"))</f>
        <v/>
      </c>
    </row>
    <row r="185">
      <c r="A185" s="79">
        <f>IF('Ordenes_Odoo'!A185="","",'Ordenes_Odoo'!A185)</f>
        <v/>
      </c>
      <c r="B185" s="80">
        <f>IF('Ordenes_Odoo'!B185="","",'Ordenes_Odoo'!B185)</f>
        <v/>
      </c>
      <c r="C185" s="79">
        <f>IF('Ordenes_Odoo'!C185="","",'Ordenes_Odoo'!C185)</f>
        <v/>
      </c>
      <c r="D185" s="79">
        <f>IF('Ordenes_Odoo'!D185="","",'Ordenes_Odoo'!D185)</f>
        <v/>
      </c>
      <c r="E185" s="79">
        <f>IF('Ordenes_Odoo'!E185="","",'Ordenes_Odoo'!E185)</f>
        <v/>
      </c>
      <c r="F185" s="79">
        <f>IF('Ordenes_Odoo'!F185="","",'Ordenes_Odoo'!F185)</f>
        <v/>
      </c>
      <c r="G185" s="79">
        <f>IF('Ordenes_Odoo'!G185="","",'Ordenes_Odoo'!G185)</f>
        <v/>
      </c>
      <c r="H185" s="79">
        <f>IF('Ordenes_Odoo'!H185="","",'Ordenes_Odoo'!H185)</f>
        <v/>
      </c>
      <c r="I185" s="79">
        <f>IF('Ordenes_Odoo'!I185="","",'Ordenes_Odoo'!I185)</f>
        <v/>
      </c>
      <c r="J185" s="79">
        <f>IF('Ordenes_Odoo'!J185="","",'Ordenes_Odoo'!J185)</f>
        <v/>
      </c>
      <c r="K185" s="81">
        <f>IF('Ordenes_Odoo'!K185="","",'Ordenes_Odoo'!K185)</f>
        <v/>
      </c>
      <c r="L185" s="81">
        <f>IF('Ordenes_Odoo'!L185="","",'Ordenes_Odoo'!L185)</f>
        <v/>
      </c>
      <c r="M185" s="79">
        <f>IF('Ordenes_Odoo'!M185="","",'Ordenes_Odoo'!M185)</f>
        <v/>
      </c>
      <c r="N185" s="79">
        <f>IF('Ordenes_Odoo'!N185="","",'Ordenes_Odoo'!N185)</f>
        <v/>
      </c>
      <c r="O185" s="81">
        <f>IF('Ordenes_Odoo'!O185="","",'Ordenes_Odoo'!O185)</f>
        <v/>
      </c>
      <c r="P185" s="81">
        <f>IF('Ordenes_Odoo'!P185="","",'Ordenes_Odoo'!P185)</f>
        <v/>
      </c>
      <c r="Q185" s="79">
        <f>IF(A185="","",IFERROR(INDEX(Facturas_Odoo!$B:$B, MATCH(A185, Facturas_Odoo!$D:$D, 0)), "Sin Factura"))</f>
        <v/>
      </c>
      <c r="R185" s="80">
        <f>IF(Q185="Sin Factura","",IFERROR(INDEX(Facturas_Odoo!$A:$A, MATCH(Q185, Facturas_Odoo!$B:$B, 0)), ""))</f>
        <v/>
      </c>
      <c r="S185" s="79">
        <f>IF(Q185="Sin Factura","",IFERROR(_xlfn.XLOOKUP(1, (Facturas_Odoo!$D:$D=A185) * (Facturas_Odoo!$K:$K=I185), Facturas_Odoo!$L:$L, ""), ""))</f>
        <v/>
      </c>
      <c r="T185" s="81">
        <f>IF(Q185="Sin Factura",0,IFERROR(_xlfn.XLOOKUP(1, (Facturas_Odoo!$D:$D=A185) * (Facturas_Odoo!$K:$K=I185), Facturas_Odoo!$M:$M, 0), 0))</f>
        <v/>
      </c>
      <c r="U185" s="79">
        <f>IF(Q185="Sin Factura",0,IFERROR(_xlfn.XLOOKUP(1, (Facturas_Odoo!$D:$D=A185) * (Facturas_Odoo!$K:$K=I185), Facturas_Odoo!$N:$N, 0), 0))</f>
        <v/>
      </c>
      <c r="V185" s="79">
        <f>IF(Q185="Sin Factura",0,IFERROR(_xlfn.XLOOKUP(1, (Facturas_Odoo!$D:$D=A185) * (Facturas_Odoo!$K:$K=I185), Facturas_Odoo!$O:$O, 0), 0))</f>
        <v/>
      </c>
      <c r="W185" s="81">
        <f>IF(Q185="Sin Factura",0,IFERROR(_xlfn.XLOOKUP(1, (Facturas_Odoo!$D:$D=A185) * (Facturas_Odoo!$K:$K=I185), Facturas_Odoo!$Q:$Q, 0), 0))</f>
        <v/>
      </c>
      <c r="X185" s="79">
        <f>IF(OR(Q185="Sin Factura",Q185=""),"",IFERROR(INDEX(Pagos_Odoo!$B:$B, MATCH(Q185, Pagos_Odoo!$I:$I, 0)), "Sin Pago"))</f>
        <v/>
      </c>
      <c r="Y185" s="79">
        <f>IF(X185="Sin Pago","",IFERROR(INDEX(Pagos_Odoo!$C:$C, MATCH(X185, Pagos_Odoo!$B:$B, 0)), ""))</f>
        <v/>
      </c>
      <c r="Z185" s="80">
        <f>IF(X185="Sin Pago","",IFERROR(INDEX(Pagos_Odoo!$A:$A, MATCH(X185, Pagos_Odoo!$B:$B, 0)), ""))</f>
        <v/>
      </c>
      <c r="AA185" s="79">
        <f>IF(X185="Sin Pago","",IFERROR(INDEX(Pagos_Odoo!$F:$F, MATCH(X185, Pagos_Odoo!$B:$B, 0)), ""))</f>
        <v/>
      </c>
      <c r="AB185" s="81">
        <f>IF(X185="Sin Pago",0,IFERROR(INDEX(Pagos_Odoo!$E:$E, MATCH(X185, Pagos_Odoo!$B:$B, 0)), 0))</f>
        <v/>
      </c>
      <c r="AC185" s="79">
        <f>IF(X185="Sin Pago","",IFERROR(INDEX(Pagos_Odoo!$G:$G, MATCH(X185, Pagos_Odoo!$B:$B, 0)), ""))</f>
        <v/>
      </c>
      <c r="AD185" s="82" t="n">
        <v>0</v>
      </c>
      <c r="AE185" s="82" t="n"/>
      <c r="AF185" s="82" t="n"/>
      <c r="AG185" s="82">
        <f>IF(AN185="","",AD185+AE185+AF185)</f>
        <v/>
      </c>
      <c r="AH185" s="81">
        <f>IF(AN185="","",P185*(1-AG185))</f>
        <v/>
      </c>
      <c r="AI185" s="81">
        <f>IF(AN185="","",IF(Q185="Sin Factura",0,IFERROR(INDEX(Facturas_Odoo!$H:$H, MATCH(Q185, Facturas_Odoo!$B:$B, 0)), 0)*(1-AG185)))</f>
        <v/>
      </c>
      <c r="AJ185" s="81">
        <f>IF(AN185="","",_xlfn.LET(idVenta, AN185&amp;"",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5" s="81">
        <f>IF(AN185="","",AH185-AJ185)</f>
        <v/>
      </c>
      <c r="AL185" s="81">
        <f>IF(AN185="","",IF(Q185="Sin Factura","",AI185-AJ185))</f>
        <v/>
      </c>
      <c r="AM185" s="81">
        <f>IF(AN185="","",IF(Q185="Sin Factura",0,P185-IFERROR(INDEX(Facturas_Odoo!$H:$H, MATCH(Q185, Facturas_Odoo!$B:$B, 0)), 0)))</f>
        <v/>
      </c>
      <c r="AN185" s="79">
        <f>IF(AND(A185="", J185=""), "", IF(A185&lt;&gt;"", VALUE(MID(A185,2,LEN(A185))), AN184))</f>
        <v/>
      </c>
      <c r="AO185" s="79">
        <f>IF(AN185="","",IF(AD185=0,"OK",_xlfn.LET(monedaPago, IF(AA185="","USD",AA185), limitePermitido, IFERROR(VLOOKUP(monedaPago, Configuración!$A$2:$B$3, 2, FALSE), 0.15), IF(AD185&gt;limitePermitido, "ALERTA: EXCESO (" &amp; TEXT(limitePermitido, "0%") &amp; " máx)", "OK"))))</f>
        <v/>
      </c>
      <c r="AP185" s="79">
        <f>IF(AN185="","",IF(AE185=0,"OK",_xlfn.LET(fechaPago, Z185, fechaFactura, R185, diasCredito, IF(E185="Pago inmediato", 0, IFERROR(VALUE(MID(E185, 1, SEARCH(" ", E185)-1)),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5" s="79">
        <f>IF(AN185="","",IF(AND(N185&gt;0, AG185&gt;0), IF(Configuración!$K$2="NO", "ALERTA: DESCUENTO DOBLE NO PERMITIDO", "OK"), "OK"))</f>
        <v/>
      </c>
      <c r="AR185" s="79">
        <f>IF(AN185="","",IF(OR(AO185&lt;&gt;"OK", AP185&lt;&gt;"OK", AQ185&lt;&gt;"OK"), "⚠️ REVISAR", "OK"))</f>
        <v/>
      </c>
    </row>
    <row r="186">
      <c r="A186" s="79">
        <f>IF('Ordenes_Odoo'!A186="","",'Ordenes_Odoo'!A186)</f>
        <v/>
      </c>
      <c r="B186" s="80">
        <f>IF('Ordenes_Odoo'!B186="","",'Ordenes_Odoo'!B186)</f>
        <v/>
      </c>
      <c r="C186" s="79">
        <f>IF('Ordenes_Odoo'!C186="","",'Ordenes_Odoo'!C186)</f>
        <v/>
      </c>
      <c r="D186" s="79">
        <f>IF('Ordenes_Odoo'!D186="","",'Ordenes_Odoo'!D186)</f>
        <v/>
      </c>
      <c r="E186" s="79">
        <f>IF('Ordenes_Odoo'!E186="","",'Ordenes_Odoo'!E186)</f>
        <v/>
      </c>
      <c r="F186" s="79">
        <f>IF('Ordenes_Odoo'!F186="","",'Ordenes_Odoo'!F186)</f>
        <v/>
      </c>
      <c r="G186" s="79">
        <f>IF('Ordenes_Odoo'!G186="","",'Ordenes_Odoo'!G186)</f>
        <v/>
      </c>
      <c r="H186" s="79">
        <f>IF('Ordenes_Odoo'!H186="","",'Ordenes_Odoo'!H186)</f>
        <v/>
      </c>
      <c r="I186" s="79">
        <f>IF('Ordenes_Odoo'!I186="","",'Ordenes_Odoo'!I186)</f>
        <v/>
      </c>
      <c r="J186" s="79">
        <f>IF('Ordenes_Odoo'!J186="","",'Ordenes_Odoo'!J186)</f>
        <v/>
      </c>
      <c r="K186" s="81">
        <f>IF('Ordenes_Odoo'!K186="","",'Ordenes_Odoo'!K186)</f>
        <v/>
      </c>
      <c r="L186" s="81">
        <f>IF('Ordenes_Odoo'!L186="","",'Ordenes_Odoo'!L186)</f>
        <v/>
      </c>
      <c r="M186" s="79">
        <f>IF('Ordenes_Odoo'!M186="","",'Ordenes_Odoo'!M186)</f>
        <v/>
      </c>
      <c r="N186" s="79">
        <f>IF('Ordenes_Odoo'!N186="","",'Ordenes_Odoo'!N186)</f>
        <v/>
      </c>
      <c r="O186" s="81">
        <f>IF('Ordenes_Odoo'!O186="","",'Ordenes_Odoo'!O186)</f>
        <v/>
      </c>
      <c r="P186" s="81">
        <f>IF('Ordenes_Odoo'!P186="","",'Ordenes_Odoo'!P186)</f>
        <v/>
      </c>
      <c r="Q186" s="79">
        <f>IF(A186="","",IFERROR(INDEX(Facturas_Odoo!$B:$B, MATCH(A186, Facturas_Odoo!$D:$D, 0)), "Sin Factura"))</f>
        <v/>
      </c>
      <c r="R186" s="80">
        <f>IF(Q186="Sin Factura","",IFERROR(INDEX(Facturas_Odoo!$A:$A, MATCH(Q186, Facturas_Odoo!$B:$B, 0)), ""))</f>
        <v/>
      </c>
      <c r="S186" s="79">
        <f>IF(Q186="Sin Factura","",IFERROR(_xlfn.XLOOKUP(1, (Facturas_Odoo!$D:$D=A186) * (Facturas_Odoo!$K:$K=I186), Facturas_Odoo!$L:$L, ""), ""))</f>
        <v/>
      </c>
      <c r="T186" s="81">
        <f>IF(Q186="Sin Factura",0,IFERROR(_xlfn.XLOOKUP(1, (Facturas_Odoo!$D:$D=A186) * (Facturas_Odoo!$K:$K=I186), Facturas_Odoo!$M:$M, 0), 0))</f>
        <v/>
      </c>
      <c r="U186" s="79">
        <f>IF(Q186="Sin Factura",0,IFERROR(_xlfn.XLOOKUP(1, (Facturas_Odoo!$D:$D=A186) * (Facturas_Odoo!$K:$K=I186), Facturas_Odoo!$N:$N, 0), 0))</f>
        <v/>
      </c>
      <c r="V186" s="79">
        <f>IF(Q186="Sin Factura",0,IFERROR(_xlfn.XLOOKUP(1, (Facturas_Odoo!$D:$D=A186) * (Facturas_Odoo!$K:$K=I186), Facturas_Odoo!$O:$O, 0), 0))</f>
        <v/>
      </c>
      <c r="W186" s="81">
        <f>IF(Q186="Sin Factura",0,IFERROR(_xlfn.XLOOKUP(1, (Facturas_Odoo!$D:$D=A186) * (Facturas_Odoo!$K:$K=I186), Facturas_Odoo!$Q:$Q, 0), 0))</f>
        <v/>
      </c>
      <c r="X186" s="79">
        <f>IF(OR(Q186="Sin Factura",Q186=""),"",IFERROR(INDEX(Pagos_Odoo!$B:$B, MATCH(Q186, Pagos_Odoo!$I:$I, 0)), "Sin Pago"))</f>
        <v/>
      </c>
      <c r="Y186" s="79">
        <f>IF(X186="Sin Pago","",IFERROR(INDEX(Pagos_Odoo!$C:$C, MATCH(X186, Pagos_Odoo!$B:$B, 0)), ""))</f>
        <v/>
      </c>
      <c r="Z186" s="80">
        <f>IF(X186="Sin Pago","",IFERROR(INDEX(Pagos_Odoo!$A:$A, MATCH(X186, Pagos_Odoo!$B:$B, 0)), ""))</f>
        <v/>
      </c>
      <c r="AA186" s="79">
        <f>IF(X186="Sin Pago","",IFERROR(INDEX(Pagos_Odoo!$F:$F, MATCH(X186, Pagos_Odoo!$B:$B, 0)), ""))</f>
        <v/>
      </c>
      <c r="AB186" s="81">
        <f>IF(X186="Sin Pago",0,IFERROR(INDEX(Pagos_Odoo!$E:$E, MATCH(X186, Pagos_Odoo!$B:$B, 0)), 0))</f>
        <v/>
      </c>
      <c r="AC186" s="79">
        <f>IF(X186="Sin Pago","",IFERROR(INDEX(Pagos_Odoo!$G:$G, MATCH(X186, Pagos_Odoo!$B:$B, 0)), ""))</f>
        <v/>
      </c>
      <c r="AD186" s="82" t="n">
        <v>0</v>
      </c>
      <c r="AE186" s="82" t="n"/>
      <c r="AF186" s="82" t="n"/>
      <c r="AG186" s="82">
        <f>IF(AN186="","",AD186+AE186+AF186)</f>
        <v/>
      </c>
      <c r="AH186" s="81">
        <f>IF(AN186="","",P186*(1-AG186))</f>
        <v/>
      </c>
      <c r="AI186" s="81">
        <f>IF(AN186="","",IF(Q186="Sin Factura",0,IFERROR(INDEX(Facturas_Odoo!$H:$H, MATCH(Q186, Facturas_Odoo!$B:$B, 0)), 0)*(1-AG186)))</f>
        <v/>
      </c>
      <c r="AJ186" s="81">
        <f>IF(AN186="","",_xlfn.LET(idVenta, AN186&amp;"",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6" s="81">
        <f>IF(AN186="","",AH186-AJ186)</f>
        <v/>
      </c>
      <c r="AL186" s="81">
        <f>IF(AN186="","",IF(Q186="Sin Factura","",AI186-AJ186))</f>
        <v/>
      </c>
      <c r="AM186" s="81">
        <f>IF(AN186="","",IF(Q186="Sin Factura",0,P186-IFERROR(INDEX(Facturas_Odoo!$H:$H, MATCH(Q186, Facturas_Odoo!$B:$B, 0)), 0)))</f>
        <v/>
      </c>
      <c r="AN186" s="79">
        <f>IF(AND(A186="", J186=""), "", IF(A186&lt;&gt;"", VALUE(MID(A186,2,LEN(A186))), AN185))</f>
        <v/>
      </c>
      <c r="AO186" s="79">
        <f>IF(AN186="","",IF(AD186=0,"OK",_xlfn.LET(monedaPago, IF(AA186="","USD",AA186), limitePermitido, IFERROR(VLOOKUP(monedaPago, Configuración!$A$2:$B$3, 2, FALSE), 0.15), IF(AD186&gt;limitePermitido, "ALERTA: EXCESO (" &amp; TEXT(limitePermitido, "0%") &amp; " máx)", "OK"))))</f>
        <v/>
      </c>
      <c r="AP186" s="79">
        <f>IF(AN186="","",IF(AE186=0,"OK",_xlfn.LET(fechaPago, Z186, fechaFactura, R186, diasCredito, IF(E186="Pago inmediato", 0, IFERROR(VALUE(MID(E186, 1, SEARCH(" ", E186)-1)),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6" s="79">
        <f>IF(AN186="","",IF(AND(N186&gt;0, AG186&gt;0), IF(Configuración!$K$2="NO", "ALERTA: DESCUENTO DOBLE NO PERMITIDO", "OK"), "OK"))</f>
        <v/>
      </c>
      <c r="AR186" s="79">
        <f>IF(AN186="","",IF(OR(AO186&lt;&gt;"OK", AP186&lt;&gt;"OK", AQ186&lt;&gt;"OK"), "⚠️ REVISAR", "OK"))</f>
        <v/>
      </c>
    </row>
    <row r="187">
      <c r="A187" s="79">
        <f>IF('Ordenes_Odoo'!A187="","",'Ordenes_Odoo'!A187)</f>
        <v/>
      </c>
      <c r="B187" s="80">
        <f>IF('Ordenes_Odoo'!B187="","",'Ordenes_Odoo'!B187)</f>
        <v/>
      </c>
      <c r="C187" s="79">
        <f>IF('Ordenes_Odoo'!C187="","",'Ordenes_Odoo'!C187)</f>
        <v/>
      </c>
      <c r="D187" s="79">
        <f>IF('Ordenes_Odoo'!D187="","",'Ordenes_Odoo'!D187)</f>
        <v/>
      </c>
      <c r="E187" s="79">
        <f>IF('Ordenes_Odoo'!E187="","",'Ordenes_Odoo'!E187)</f>
        <v/>
      </c>
      <c r="F187" s="79">
        <f>IF('Ordenes_Odoo'!F187="","",'Ordenes_Odoo'!F187)</f>
        <v/>
      </c>
      <c r="G187" s="79">
        <f>IF('Ordenes_Odoo'!G187="","",'Ordenes_Odoo'!G187)</f>
        <v/>
      </c>
      <c r="H187" s="79">
        <f>IF('Ordenes_Odoo'!H187="","",'Ordenes_Odoo'!H187)</f>
        <v/>
      </c>
      <c r="I187" s="79">
        <f>IF('Ordenes_Odoo'!I187="","",'Ordenes_Odoo'!I187)</f>
        <v/>
      </c>
      <c r="J187" s="79">
        <f>IF('Ordenes_Odoo'!J187="","",'Ordenes_Odoo'!J187)</f>
        <v/>
      </c>
      <c r="K187" s="81">
        <f>IF('Ordenes_Odoo'!K187="","",'Ordenes_Odoo'!K187)</f>
        <v/>
      </c>
      <c r="L187" s="81">
        <f>IF('Ordenes_Odoo'!L187="","",'Ordenes_Odoo'!L187)</f>
        <v/>
      </c>
      <c r="M187" s="79">
        <f>IF('Ordenes_Odoo'!M187="","",'Ordenes_Odoo'!M187)</f>
        <v/>
      </c>
      <c r="N187" s="79">
        <f>IF('Ordenes_Odoo'!N187="","",'Ordenes_Odoo'!N187)</f>
        <v/>
      </c>
      <c r="O187" s="81">
        <f>IF('Ordenes_Odoo'!O187="","",'Ordenes_Odoo'!O187)</f>
        <v/>
      </c>
      <c r="P187" s="81">
        <f>IF('Ordenes_Odoo'!P187="","",'Ordenes_Odoo'!P187)</f>
        <v/>
      </c>
      <c r="Q187" s="79">
        <f>IF(A187="","",IFERROR(INDEX(Facturas_Odoo!$B:$B, MATCH(A187, Facturas_Odoo!$D:$D, 0)), "Sin Factura"))</f>
        <v/>
      </c>
      <c r="R187" s="80">
        <f>IF(Q187="Sin Factura","",IFERROR(INDEX(Facturas_Odoo!$A:$A, MATCH(Q187, Facturas_Odoo!$B:$B, 0)), ""))</f>
        <v/>
      </c>
      <c r="S187" s="79">
        <f>IF(Q187="Sin Factura","",IFERROR(_xlfn.XLOOKUP(1, (Facturas_Odoo!$D:$D=A187) * (Facturas_Odoo!$K:$K=I187), Facturas_Odoo!$L:$L, ""), ""))</f>
        <v/>
      </c>
      <c r="T187" s="81">
        <f>IF(Q187="Sin Factura",0,IFERROR(_xlfn.XLOOKUP(1, (Facturas_Odoo!$D:$D=A187) * (Facturas_Odoo!$K:$K=I187), Facturas_Odoo!$M:$M, 0), 0))</f>
        <v/>
      </c>
      <c r="U187" s="79">
        <f>IF(Q187="Sin Factura",0,IFERROR(_xlfn.XLOOKUP(1, (Facturas_Odoo!$D:$D=A187) * (Facturas_Odoo!$K:$K=I187), Facturas_Odoo!$N:$N, 0), 0))</f>
        <v/>
      </c>
      <c r="V187" s="79">
        <f>IF(Q187="Sin Factura",0,IFERROR(_xlfn.XLOOKUP(1, (Facturas_Odoo!$D:$D=A187) * (Facturas_Odoo!$K:$K=I187), Facturas_Odoo!$O:$O, 0), 0))</f>
        <v/>
      </c>
      <c r="W187" s="81">
        <f>IF(Q187="Sin Factura",0,IFERROR(_xlfn.XLOOKUP(1, (Facturas_Odoo!$D:$D=A187) * (Facturas_Odoo!$K:$K=I187), Facturas_Odoo!$Q:$Q, 0), 0))</f>
        <v/>
      </c>
      <c r="X187" s="79">
        <f>IF(OR(Q187="Sin Factura",Q187=""),"",IFERROR(INDEX(Pagos_Odoo!$B:$B, MATCH(Q187, Pagos_Odoo!$I:$I, 0)), "Sin Pago"))</f>
        <v/>
      </c>
      <c r="Y187" s="79">
        <f>IF(X187="Sin Pago","",IFERROR(INDEX(Pagos_Odoo!$C:$C, MATCH(X187, Pagos_Odoo!$B:$B, 0)), ""))</f>
        <v/>
      </c>
      <c r="Z187" s="80">
        <f>IF(X187="Sin Pago","",IFERROR(INDEX(Pagos_Odoo!$A:$A, MATCH(X187, Pagos_Odoo!$B:$B, 0)), ""))</f>
        <v/>
      </c>
      <c r="AA187" s="79">
        <f>IF(X187="Sin Pago","",IFERROR(INDEX(Pagos_Odoo!$F:$F, MATCH(X187, Pagos_Odoo!$B:$B, 0)), ""))</f>
        <v/>
      </c>
      <c r="AB187" s="81">
        <f>IF(X187="Sin Pago",0,IFERROR(INDEX(Pagos_Odoo!$E:$E, MATCH(X187, Pagos_Odoo!$B:$B, 0)), 0))</f>
        <v/>
      </c>
      <c r="AC187" s="79">
        <f>IF(X187="Sin Pago","",IFERROR(INDEX(Pagos_Odoo!$G:$G, MATCH(X187, Pagos_Odoo!$B:$B, 0)), ""))</f>
        <v/>
      </c>
      <c r="AD187" s="82" t="n">
        <v>0</v>
      </c>
      <c r="AE187" s="82" t="n"/>
      <c r="AF187" s="82" t="n"/>
      <c r="AG187" s="82">
        <f>IF(AN187="","",AD187+AE187+AF187)</f>
        <v/>
      </c>
      <c r="AH187" s="81">
        <f>IF(AN187="","",P187*(1-AG187))</f>
        <v/>
      </c>
      <c r="AI187" s="81">
        <f>IF(AN187="","",IF(Q187="Sin Factura",0,IFERROR(INDEX(Facturas_Odoo!$H:$H, MATCH(Q187, Facturas_Odoo!$B:$B, 0)), 0)*(1-AG187)))</f>
        <v/>
      </c>
      <c r="AJ187" s="81">
        <f>IF(AN187="","",_xlfn.LET(idVenta, AN187&amp;"",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7" s="81">
        <f>IF(AN187="","",AH187-AJ187)</f>
        <v/>
      </c>
      <c r="AL187" s="81">
        <f>IF(AN187="","",IF(Q187="Sin Factura","",AI187-AJ187))</f>
        <v/>
      </c>
      <c r="AM187" s="81">
        <f>IF(AN187="","",IF(Q187="Sin Factura",0,P187-IFERROR(INDEX(Facturas_Odoo!$H:$H, MATCH(Q187, Facturas_Odoo!$B:$B, 0)), 0)))</f>
        <v/>
      </c>
      <c r="AN187" s="79">
        <f>IF(AND(A187="", J187=""), "", IF(A187&lt;&gt;"", VALUE(MID(A187,2,LEN(A187))), AN186))</f>
        <v/>
      </c>
      <c r="AO187" s="79">
        <f>IF(AN187="","",IF(AD187=0,"OK",_xlfn.LET(monedaPago, IF(AA187="","USD",AA187), limitePermitido, IFERROR(VLOOKUP(monedaPago, Configuración!$A$2:$B$3, 2, FALSE), 0.15), IF(AD187&gt;limitePermitido, "ALERTA: EXCESO (" &amp; TEXT(limitePermitido, "0%") &amp; " máx)", "OK"))))</f>
        <v/>
      </c>
      <c r="AP187" s="79">
        <f>IF(AN187="","",IF(AE187=0,"OK",_xlfn.LET(fechaPago, Z187, fechaFactura, R187, diasCredito, IF(E187="Pago inmediato", 0, IFERROR(VALUE(MID(E187, 1, SEARCH(" ", E187)-1)),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7" s="79">
        <f>IF(AN187="","",IF(AND(N187&gt;0, AG187&gt;0), IF(Configuración!$K$2="NO", "ALERTA: DESCUENTO DOBLE NO PERMITIDO", "OK"), "OK"))</f>
        <v/>
      </c>
      <c r="AR187" s="79">
        <f>IF(AN187="","",IF(OR(AO187&lt;&gt;"OK", AP187&lt;&gt;"OK", AQ187&lt;&gt;"OK"), "⚠️ REVISAR", "OK"))</f>
        <v/>
      </c>
    </row>
    <row r="188">
      <c r="A188" s="79">
        <f>IF('Ordenes_Odoo'!A188="","",'Ordenes_Odoo'!A188)</f>
        <v/>
      </c>
      <c r="B188" s="80">
        <f>IF('Ordenes_Odoo'!B188="","",'Ordenes_Odoo'!B188)</f>
        <v/>
      </c>
      <c r="C188" s="79">
        <f>IF('Ordenes_Odoo'!C188="","",'Ordenes_Odoo'!C188)</f>
        <v/>
      </c>
      <c r="D188" s="79">
        <f>IF('Ordenes_Odoo'!D188="","",'Ordenes_Odoo'!D188)</f>
        <v/>
      </c>
      <c r="E188" s="79">
        <f>IF('Ordenes_Odoo'!E188="","",'Ordenes_Odoo'!E188)</f>
        <v/>
      </c>
      <c r="F188" s="79">
        <f>IF('Ordenes_Odoo'!F188="","",'Ordenes_Odoo'!F188)</f>
        <v/>
      </c>
      <c r="G188" s="79">
        <f>IF('Ordenes_Odoo'!G188="","",'Ordenes_Odoo'!G188)</f>
        <v/>
      </c>
      <c r="H188" s="79">
        <f>IF('Ordenes_Odoo'!H188="","",'Ordenes_Odoo'!H188)</f>
        <v/>
      </c>
      <c r="I188" s="79">
        <f>IF('Ordenes_Odoo'!I188="","",'Ordenes_Odoo'!I188)</f>
        <v/>
      </c>
      <c r="J188" s="79">
        <f>IF('Ordenes_Odoo'!J188="","",'Ordenes_Odoo'!J188)</f>
        <v/>
      </c>
      <c r="K188" s="81">
        <f>IF('Ordenes_Odoo'!K188="","",'Ordenes_Odoo'!K188)</f>
        <v/>
      </c>
      <c r="L188" s="81">
        <f>IF('Ordenes_Odoo'!L188="","",'Ordenes_Odoo'!L188)</f>
        <v/>
      </c>
      <c r="M188" s="79">
        <f>IF('Ordenes_Odoo'!M188="","",'Ordenes_Odoo'!M188)</f>
        <v/>
      </c>
      <c r="N188" s="79">
        <f>IF('Ordenes_Odoo'!N188="","",'Ordenes_Odoo'!N188)</f>
        <v/>
      </c>
      <c r="O188" s="81">
        <f>IF('Ordenes_Odoo'!O188="","",'Ordenes_Odoo'!O188)</f>
        <v/>
      </c>
      <c r="P188" s="81">
        <f>IF('Ordenes_Odoo'!P188="","",'Ordenes_Odoo'!P188)</f>
        <v/>
      </c>
      <c r="Q188" s="79">
        <f>IF(A188="","",IFERROR(INDEX(Facturas_Odoo!$B:$B, MATCH(A188, Facturas_Odoo!$D:$D, 0)), "Sin Factura"))</f>
        <v/>
      </c>
      <c r="R188" s="80">
        <f>IF(Q188="Sin Factura","",IFERROR(INDEX(Facturas_Odoo!$A:$A, MATCH(Q188, Facturas_Odoo!$B:$B, 0)), ""))</f>
        <v/>
      </c>
      <c r="S188" s="79">
        <f>IF(Q188="Sin Factura","",IFERROR(_xlfn.XLOOKUP(1, (Facturas_Odoo!$D:$D=A188) * (Facturas_Odoo!$K:$K=I188), Facturas_Odoo!$L:$L, ""), ""))</f>
        <v/>
      </c>
      <c r="T188" s="81">
        <f>IF(Q188="Sin Factura",0,IFERROR(_xlfn.XLOOKUP(1, (Facturas_Odoo!$D:$D=A188) * (Facturas_Odoo!$K:$K=I188), Facturas_Odoo!$M:$M, 0), 0))</f>
        <v/>
      </c>
      <c r="U188" s="79">
        <f>IF(Q188="Sin Factura",0,IFERROR(_xlfn.XLOOKUP(1, (Facturas_Odoo!$D:$D=A188) * (Facturas_Odoo!$K:$K=I188), Facturas_Odoo!$N:$N, 0), 0))</f>
        <v/>
      </c>
      <c r="V188" s="79">
        <f>IF(Q188="Sin Factura",0,IFERROR(_xlfn.XLOOKUP(1, (Facturas_Odoo!$D:$D=A188) * (Facturas_Odoo!$K:$K=I188), Facturas_Odoo!$O:$O, 0), 0))</f>
        <v/>
      </c>
      <c r="W188" s="81">
        <f>IF(Q188="Sin Factura",0,IFERROR(_xlfn.XLOOKUP(1, (Facturas_Odoo!$D:$D=A188) * (Facturas_Odoo!$K:$K=I188), Facturas_Odoo!$Q:$Q, 0), 0))</f>
        <v/>
      </c>
      <c r="X188" s="79">
        <f>IF(OR(Q188="Sin Factura",Q188=""),"",IFERROR(INDEX(Pagos_Odoo!$B:$B, MATCH(Q188, Pagos_Odoo!$I:$I, 0)), "Sin Pago"))</f>
        <v/>
      </c>
      <c r="Y188" s="79">
        <f>IF(X188="Sin Pago","",IFERROR(INDEX(Pagos_Odoo!$C:$C, MATCH(X188, Pagos_Odoo!$B:$B, 0)), ""))</f>
        <v/>
      </c>
      <c r="Z188" s="80">
        <f>IF(X188="Sin Pago","",IFERROR(INDEX(Pagos_Odoo!$A:$A, MATCH(X188, Pagos_Odoo!$B:$B, 0)), ""))</f>
        <v/>
      </c>
      <c r="AA188" s="79">
        <f>IF(X188="Sin Pago","",IFERROR(INDEX(Pagos_Odoo!$F:$F, MATCH(X188, Pagos_Odoo!$B:$B, 0)), ""))</f>
        <v/>
      </c>
      <c r="AB188" s="81">
        <f>IF(X188="Sin Pago",0,IFERROR(INDEX(Pagos_Odoo!$E:$E, MATCH(X188, Pagos_Odoo!$B:$B, 0)), 0))</f>
        <v/>
      </c>
      <c r="AC188" s="79">
        <f>IF(X188="Sin Pago","",IFERROR(INDEX(Pagos_Odoo!$G:$G, MATCH(X188, Pagos_Odoo!$B:$B, 0)), ""))</f>
        <v/>
      </c>
      <c r="AD188" s="82" t="n">
        <v>0</v>
      </c>
      <c r="AE188" s="82" t="n"/>
      <c r="AF188" s="82" t="n"/>
      <c r="AG188" s="82">
        <f>IF(AN188="","",AD188+AE188+AF188)</f>
        <v/>
      </c>
      <c r="AH188" s="81">
        <f>IF(AN188="","",P188*(1-AG188))</f>
        <v/>
      </c>
      <c r="AI188" s="81">
        <f>IF(AN188="","",IF(Q188="Sin Factura",0,IFERROR(INDEX(Facturas_Odoo!$H:$H, MATCH(Q188, Facturas_Odoo!$B:$B, 0)), 0)*(1-AG188)))</f>
        <v/>
      </c>
      <c r="AJ188" s="81">
        <f>IF(AN188="","",_xlfn.LET(idVenta, AN188&amp;"",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8" s="81">
        <f>IF(AN188="","",AH188-AJ188)</f>
        <v/>
      </c>
      <c r="AL188" s="81">
        <f>IF(AN188="","",IF(Q188="Sin Factura","",AI188-AJ188))</f>
        <v/>
      </c>
      <c r="AM188" s="81">
        <f>IF(AN188="","",IF(Q188="Sin Factura",0,P188-IFERROR(INDEX(Facturas_Odoo!$H:$H, MATCH(Q188, Facturas_Odoo!$B:$B, 0)), 0)))</f>
        <v/>
      </c>
      <c r="AN188" s="79">
        <f>IF(AND(A188="", J188=""), "", IF(A188&lt;&gt;"", VALUE(MID(A188,2,LEN(A188))), AN187))</f>
        <v/>
      </c>
      <c r="AO188" s="79">
        <f>IF(AN188="","",IF(AD188=0,"OK",_xlfn.LET(monedaPago, IF(AA188="","USD",AA188), limitePermitido, IFERROR(VLOOKUP(monedaPago, Configuración!$A$2:$B$3, 2, FALSE), 0.15), IF(AD188&gt;limitePermitido, "ALERTA: EXCESO (" &amp; TEXT(limitePermitido, "0%") &amp; " máx)", "OK"))))</f>
        <v/>
      </c>
      <c r="AP188" s="79">
        <f>IF(AN188="","",IF(AE188=0,"OK",_xlfn.LET(fechaPago, Z188, fechaFactura, R188, diasCredito, IF(E188="Pago inmediato", 0, IFERROR(VALUE(MID(E188, 1, SEARCH(" ", E188)-1)),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8" s="79">
        <f>IF(AN188="","",IF(AND(N188&gt;0, AG188&gt;0), IF(Configuración!$K$2="NO", "ALERTA: DESCUENTO DOBLE NO PERMITIDO", "OK"), "OK"))</f>
        <v/>
      </c>
      <c r="AR188" s="79">
        <f>IF(AN188="","",IF(OR(AO188&lt;&gt;"OK", AP188&lt;&gt;"OK", AQ188&lt;&gt;"OK"), "⚠️ REVISAR", "OK"))</f>
        <v/>
      </c>
    </row>
    <row r="189">
      <c r="A189" s="79">
        <f>IF('Ordenes_Odoo'!A189="","",'Ordenes_Odoo'!A189)</f>
        <v/>
      </c>
      <c r="B189" s="80">
        <f>IF('Ordenes_Odoo'!B189="","",'Ordenes_Odoo'!B189)</f>
        <v/>
      </c>
      <c r="C189" s="79">
        <f>IF('Ordenes_Odoo'!C189="","",'Ordenes_Odoo'!C189)</f>
        <v/>
      </c>
      <c r="D189" s="79">
        <f>IF('Ordenes_Odoo'!D189="","",'Ordenes_Odoo'!D189)</f>
        <v/>
      </c>
      <c r="E189" s="79">
        <f>IF('Ordenes_Odoo'!E189="","",'Ordenes_Odoo'!E189)</f>
        <v/>
      </c>
      <c r="F189" s="79">
        <f>IF('Ordenes_Odoo'!F189="","",'Ordenes_Odoo'!F189)</f>
        <v/>
      </c>
      <c r="G189" s="79">
        <f>IF('Ordenes_Odoo'!G189="","",'Ordenes_Odoo'!G189)</f>
        <v/>
      </c>
      <c r="H189" s="79">
        <f>IF('Ordenes_Odoo'!H189="","",'Ordenes_Odoo'!H189)</f>
        <v/>
      </c>
      <c r="I189" s="79">
        <f>IF('Ordenes_Odoo'!I189="","",'Ordenes_Odoo'!I189)</f>
        <v/>
      </c>
      <c r="J189" s="79">
        <f>IF('Ordenes_Odoo'!J189="","",'Ordenes_Odoo'!J189)</f>
        <v/>
      </c>
      <c r="K189" s="81">
        <f>IF('Ordenes_Odoo'!K189="","",'Ordenes_Odoo'!K189)</f>
        <v/>
      </c>
      <c r="L189" s="81">
        <f>IF('Ordenes_Odoo'!L189="","",'Ordenes_Odoo'!L189)</f>
        <v/>
      </c>
      <c r="M189" s="79">
        <f>IF('Ordenes_Odoo'!M189="","",'Ordenes_Odoo'!M189)</f>
        <v/>
      </c>
      <c r="N189" s="79">
        <f>IF('Ordenes_Odoo'!N189="","",'Ordenes_Odoo'!N189)</f>
        <v/>
      </c>
      <c r="O189" s="81">
        <f>IF('Ordenes_Odoo'!O189="","",'Ordenes_Odoo'!O189)</f>
        <v/>
      </c>
      <c r="P189" s="81">
        <f>IF('Ordenes_Odoo'!P189="","",'Ordenes_Odoo'!P189)</f>
        <v/>
      </c>
      <c r="Q189" s="79">
        <f>IF(A189="","",IFERROR(INDEX(Facturas_Odoo!$B:$B, MATCH(A189, Facturas_Odoo!$D:$D, 0)), "Sin Factura"))</f>
        <v/>
      </c>
      <c r="R189" s="80">
        <f>IF(Q189="Sin Factura","",IFERROR(INDEX(Facturas_Odoo!$A:$A, MATCH(Q189, Facturas_Odoo!$B:$B, 0)), ""))</f>
        <v/>
      </c>
      <c r="S189" s="79">
        <f>IF(Q189="Sin Factura","",IFERROR(_xlfn.XLOOKUP(1, (Facturas_Odoo!$D:$D=A189) * (Facturas_Odoo!$K:$K=I189), Facturas_Odoo!$L:$L, ""), ""))</f>
        <v/>
      </c>
      <c r="T189" s="81">
        <f>IF(Q189="Sin Factura",0,IFERROR(_xlfn.XLOOKUP(1, (Facturas_Odoo!$D:$D=A189) * (Facturas_Odoo!$K:$K=I189), Facturas_Odoo!$M:$M, 0), 0))</f>
        <v/>
      </c>
      <c r="U189" s="79">
        <f>IF(Q189="Sin Factura",0,IFERROR(_xlfn.XLOOKUP(1, (Facturas_Odoo!$D:$D=A189) * (Facturas_Odoo!$K:$K=I189), Facturas_Odoo!$N:$N, 0), 0))</f>
        <v/>
      </c>
      <c r="V189" s="79">
        <f>IF(Q189="Sin Factura",0,IFERROR(_xlfn.XLOOKUP(1, (Facturas_Odoo!$D:$D=A189) * (Facturas_Odoo!$K:$K=I189), Facturas_Odoo!$O:$O, 0), 0))</f>
        <v/>
      </c>
      <c r="W189" s="81">
        <f>IF(Q189="Sin Factura",0,IFERROR(_xlfn.XLOOKUP(1, (Facturas_Odoo!$D:$D=A189) * (Facturas_Odoo!$K:$K=I189), Facturas_Odoo!$Q:$Q, 0), 0))</f>
        <v/>
      </c>
      <c r="X189" s="79">
        <f>IF(OR(Q189="Sin Factura",Q189=""),"",IFERROR(INDEX(Pagos_Odoo!$B:$B, MATCH(Q189, Pagos_Odoo!$I:$I, 0)), "Sin Pago"))</f>
        <v/>
      </c>
      <c r="Y189" s="79">
        <f>IF(X189="Sin Pago","",IFERROR(INDEX(Pagos_Odoo!$C:$C, MATCH(X189, Pagos_Odoo!$B:$B, 0)), ""))</f>
        <v/>
      </c>
      <c r="Z189" s="80">
        <f>IF(X189="Sin Pago","",IFERROR(INDEX(Pagos_Odoo!$A:$A, MATCH(X189, Pagos_Odoo!$B:$B, 0)), ""))</f>
        <v/>
      </c>
      <c r="AA189" s="79">
        <f>IF(X189="Sin Pago","",IFERROR(INDEX(Pagos_Odoo!$F:$F, MATCH(X189, Pagos_Odoo!$B:$B, 0)), ""))</f>
        <v/>
      </c>
      <c r="AB189" s="81">
        <f>IF(X189="Sin Pago",0,IFERROR(INDEX(Pagos_Odoo!$E:$E, MATCH(X189, Pagos_Odoo!$B:$B, 0)), 0))</f>
        <v/>
      </c>
      <c r="AC189" s="79">
        <f>IF(X189="Sin Pago","",IFERROR(INDEX(Pagos_Odoo!$G:$G, MATCH(X189, Pagos_Odoo!$B:$B, 0)), ""))</f>
        <v/>
      </c>
      <c r="AD189" s="82" t="n">
        <v>0</v>
      </c>
      <c r="AE189" s="82" t="n"/>
      <c r="AF189" s="82" t="n"/>
      <c r="AG189" s="82">
        <f>IF(AN189="","",AD189+AE189+AF189)</f>
        <v/>
      </c>
      <c r="AH189" s="81">
        <f>IF(AN189="","",P189*(1-AG189))</f>
        <v/>
      </c>
      <c r="AI189" s="81">
        <f>IF(AN189="","",IF(Q189="Sin Factura",0,IFERROR(INDEX(Facturas_Odoo!$H:$H, MATCH(Q189, Facturas_Odoo!$B:$B, 0)), 0)*(1-AG189)))</f>
        <v/>
      </c>
      <c r="AJ189" s="81">
        <f>IF(AN189="","",_xlfn.LET(idVenta, AN189&amp;"",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9" s="81">
        <f>IF(AN189="","",AH189-AJ189)</f>
        <v/>
      </c>
      <c r="AL189" s="81">
        <f>IF(AN189="","",IF(Q189="Sin Factura","",AI189-AJ189))</f>
        <v/>
      </c>
      <c r="AM189" s="81">
        <f>IF(AN189="","",IF(Q189="Sin Factura",0,P189-IFERROR(INDEX(Facturas_Odoo!$H:$H, MATCH(Q189, Facturas_Odoo!$B:$B, 0)), 0)))</f>
        <v/>
      </c>
      <c r="AN189" s="79">
        <f>IF(AND(A189="", J189=""), "", IF(A189&lt;&gt;"", VALUE(MID(A189,2,LEN(A189))), AN188))</f>
        <v/>
      </c>
      <c r="AO189" s="79">
        <f>IF(AN189="","",IF(AD189=0,"OK",_xlfn.LET(monedaPago, IF(AA189="","USD",AA189), limitePermitido, IFERROR(VLOOKUP(monedaPago, Configuración!$A$2:$B$3, 2, FALSE), 0.15), IF(AD189&gt;limitePermitido, "ALERTA: EXCESO (" &amp; TEXT(limitePermitido, "0%") &amp; " máx)", "OK"))))</f>
        <v/>
      </c>
      <c r="AP189" s="79">
        <f>IF(AN189="","",IF(AE189=0,"OK",_xlfn.LET(fechaPago, Z189, fechaFactura, R189, diasCredito, IF(E189="Pago inmediato", 0, IFERROR(VALUE(MID(E189, 1, SEARCH(" ", E189)-1)),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9" s="79">
        <f>IF(AN189="","",IF(AND(N189&gt;0, AG189&gt;0), IF(Configuración!$K$2="NO", "ALERTA: DESCUENTO DOBLE NO PERMITIDO", "OK"), "OK"))</f>
        <v/>
      </c>
      <c r="AR189" s="79">
        <f>IF(AN189="","",IF(OR(AO189&lt;&gt;"OK", AP189&lt;&gt;"OK", AQ189&lt;&gt;"OK"), "⚠️ REVISAR", "OK"))</f>
        <v/>
      </c>
    </row>
    <row r="190">
      <c r="A190" s="79">
        <f>IF('Ordenes_Odoo'!A190="","",'Ordenes_Odoo'!A190)</f>
        <v/>
      </c>
      <c r="B190" s="80">
        <f>IF('Ordenes_Odoo'!B190="","",'Ordenes_Odoo'!B190)</f>
        <v/>
      </c>
      <c r="C190" s="79">
        <f>IF('Ordenes_Odoo'!C190="","",'Ordenes_Odoo'!C190)</f>
        <v/>
      </c>
      <c r="D190" s="79">
        <f>IF('Ordenes_Odoo'!D190="","",'Ordenes_Odoo'!D190)</f>
        <v/>
      </c>
      <c r="E190" s="79">
        <f>IF('Ordenes_Odoo'!E190="","",'Ordenes_Odoo'!E190)</f>
        <v/>
      </c>
      <c r="F190" s="79">
        <f>IF('Ordenes_Odoo'!F190="","",'Ordenes_Odoo'!F190)</f>
        <v/>
      </c>
      <c r="G190" s="79">
        <f>IF('Ordenes_Odoo'!G190="","",'Ordenes_Odoo'!G190)</f>
        <v/>
      </c>
      <c r="H190" s="79">
        <f>IF('Ordenes_Odoo'!H190="","",'Ordenes_Odoo'!H190)</f>
        <v/>
      </c>
      <c r="I190" s="79">
        <f>IF('Ordenes_Odoo'!I190="","",'Ordenes_Odoo'!I190)</f>
        <v/>
      </c>
      <c r="J190" s="79">
        <f>IF('Ordenes_Odoo'!J190="","",'Ordenes_Odoo'!J190)</f>
        <v/>
      </c>
      <c r="K190" s="81">
        <f>IF('Ordenes_Odoo'!K190="","",'Ordenes_Odoo'!K190)</f>
        <v/>
      </c>
      <c r="L190" s="81">
        <f>IF('Ordenes_Odoo'!L190="","",'Ordenes_Odoo'!L190)</f>
        <v/>
      </c>
      <c r="M190" s="79">
        <f>IF('Ordenes_Odoo'!M190="","",'Ordenes_Odoo'!M190)</f>
        <v/>
      </c>
      <c r="N190" s="79">
        <f>IF('Ordenes_Odoo'!N190="","",'Ordenes_Odoo'!N190)</f>
        <v/>
      </c>
      <c r="O190" s="81">
        <f>IF('Ordenes_Odoo'!O190="","",'Ordenes_Odoo'!O190)</f>
        <v/>
      </c>
      <c r="P190" s="81">
        <f>IF('Ordenes_Odoo'!P190="","",'Ordenes_Odoo'!P190)</f>
        <v/>
      </c>
      <c r="Q190" s="79">
        <f>IF(A190="","",IFERROR(INDEX(Facturas_Odoo!$B:$B, MATCH(A190, Facturas_Odoo!$D:$D, 0)), "Sin Factura"))</f>
        <v/>
      </c>
      <c r="R190" s="80">
        <f>IF(Q190="Sin Factura","",IFERROR(INDEX(Facturas_Odoo!$A:$A, MATCH(Q190, Facturas_Odoo!$B:$B, 0)), ""))</f>
        <v/>
      </c>
      <c r="S190" s="79">
        <f>IF(Q190="Sin Factura","",IFERROR(_xlfn.XLOOKUP(1, (Facturas_Odoo!$D:$D=A190) * (Facturas_Odoo!$K:$K=I190), Facturas_Odoo!$L:$L, ""), ""))</f>
        <v/>
      </c>
      <c r="T190" s="81">
        <f>IF(Q190="Sin Factura",0,IFERROR(_xlfn.XLOOKUP(1, (Facturas_Odoo!$D:$D=A190) * (Facturas_Odoo!$K:$K=I190), Facturas_Odoo!$M:$M, 0), 0))</f>
        <v/>
      </c>
      <c r="U190" s="79">
        <f>IF(Q190="Sin Factura",0,IFERROR(_xlfn.XLOOKUP(1, (Facturas_Odoo!$D:$D=A190) * (Facturas_Odoo!$K:$K=I190), Facturas_Odoo!$N:$N, 0), 0))</f>
        <v/>
      </c>
      <c r="V190" s="79">
        <f>IF(Q190="Sin Factura",0,IFERROR(_xlfn.XLOOKUP(1, (Facturas_Odoo!$D:$D=A190) * (Facturas_Odoo!$K:$K=I190), Facturas_Odoo!$O:$O, 0), 0))</f>
        <v/>
      </c>
      <c r="W190" s="81">
        <f>IF(Q190="Sin Factura",0,IFERROR(_xlfn.XLOOKUP(1, (Facturas_Odoo!$D:$D=A190) * (Facturas_Odoo!$K:$K=I190), Facturas_Odoo!$Q:$Q, 0), 0))</f>
        <v/>
      </c>
      <c r="X190" s="79">
        <f>IF(OR(Q190="Sin Factura",Q190=""),"",IFERROR(INDEX(Pagos_Odoo!$B:$B, MATCH(Q190, Pagos_Odoo!$I:$I, 0)), "Sin Pago"))</f>
        <v/>
      </c>
      <c r="Y190" s="79">
        <f>IF(X190="Sin Pago","",IFERROR(INDEX(Pagos_Odoo!$C:$C, MATCH(X190, Pagos_Odoo!$B:$B, 0)), ""))</f>
        <v/>
      </c>
      <c r="Z190" s="80">
        <f>IF(X190="Sin Pago","",IFERROR(INDEX(Pagos_Odoo!$A:$A, MATCH(X190, Pagos_Odoo!$B:$B, 0)), ""))</f>
        <v/>
      </c>
      <c r="AA190" s="79">
        <f>IF(X190="Sin Pago","",IFERROR(INDEX(Pagos_Odoo!$F:$F, MATCH(X190, Pagos_Odoo!$B:$B, 0)), ""))</f>
        <v/>
      </c>
      <c r="AB190" s="81">
        <f>IF(X190="Sin Pago",0,IFERROR(INDEX(Pagos_Odoo!$E:$E, MATCH(X190, Pagos_Odoo!$B:$B, 0)), 0))</f>
        <v/>
      </c>
      <c r="AC190" s="79">
        <f>IF(X190="Sin Pago","",IFERROR(INDEX(Pagos_Odoo!$G:$G, MATCH(X190, Pagos_Odoo!$B:$B, 0)), ""))</f>
        <v/>
      </c>
      <c r="AD190" s="82" t="n">
        <v>0</v>
      </c>
      <c r="AE190" s="82" t="n"/>
      <c r="AF190" s="82" t="n"/>
      <c r="AG190" s="82">
        <f>IF(AN190="","",AD190+AE190+AF190)</f>
        <v/>
      </c>
      <c r="AH190" s="81">
        <f>IF(AN190="","",P190*(1-AG190))</f>
        <v/>
      </c>
      <c r="AI190" s="81">
        <f>IF(AN190="","",IF(Q190="Sin Factura",0,IFERROR(INDEX(Facturas_Odoo!$H:$H, MATCH(Q190, Facturas_Odoo!$B:$B, 0)), 0)*(1-AG190)))</f>
        <v/>
      </c>
      <c r="AJ190" s="81">
        <f>IF(AN190="","",_xlfn.LET(idVenta, AN190&amp;"",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0" s="81">
        <f>IF(AN190="","",AH190-AJ190)</f>
        <v/>
      </c>
      <c r="AL190" s="81">
        <f>IF(AN190="","",IF(Q190="Sin Factura","",AI190-AJ190))</f>
        <v/>
      </c>
      <c r="AM190" s="81">
        <f>IF(AN190="","",IF(Q190="Sin Factura",0,P190-IFERROR(INDEX(Facturas_Odoo!$H:$H, MATCH(Q190, Facturas_Odoo!$B:$B, 0)), 0)))</f>
        <v/>
      </c>
      <c r="AN190" s="79">
        <f>IF(AND(A190="", J190=""), "", IF(A190&lt;&gt;"", VALUE(MID(A190,2,LEN(A190))), AN189))</f>
        <v/>
      </c>
      <c r="AO190" s="79">
        <f>IF(AN190="","",IF(AD190=0,"OK",_xlfn.LET(monedaPago, IF(AA190="","USD",AA190), limitePermitido, IFERROR(VLOOKUP(monedaPago, Configuración!$A$2:$B$3, 2, FALSE), 0.15), IF(AD190&gt;limitePermitido, "ALERTA: EXCESO (" &amp; TEXT(limitePermitido, "0%") &amp; " máx)", "OK"))))</f>
        <v/>
      </c>
      <c r="AP190" s="79">
        <f>IF(AN190="","",IF(AE190=0,"OK",_xlfn.LET(fechaPago, Z190, fechaFactura, R190, diasCredito, IF(E190="Pago inmediato", 0, IFERROR(VALUE(MID(E190, 1, SEARCH(" ", E190)-1)),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0" s="79">
        <f>IF(AN190="","",IF(AND(N190&gt;0, AG190&gt;0), IF(Configuración!$K$2="NO", "ALERTA: DESCUENTO DOBLE NO PERMITIDO", "OK"), "OK"))</f>
        <v/>
      </c>
      <c r="AR190" s="79">
        <f>IF(AN190="","",IF(OR(AO190&lt;&gt;"OK", AP190&lt;&gt;"OK", AQ190&lt;&gt;"OK"), "⚠️ REVISAR", "OK"))</f>
        <v/>
      </c>
    </row>
    <row r="191">
      <c r="A191" s="79">
        <f>IF('Ordenes_Odoo'!A191="","",'Ordenes_Odoo'!A191)</f>
        <v/>
      </c>
      <c r="B191" s="80">
        <f>IF('Ordenes_Odoo'!B191="","",'Ordenes_Odoo'!B191)</f>
        <v/>
      </c>
      <c r="C191" s="79">
        <f>IF('Ordenes_Odoo'!C191="","",'Ordenes_Odoo'!C191)</f>
        <v/>
      </c>
      <c r="D191" s="79">
        <f>IF('Ordenes_Odoo'!D191="","",'Ordenes_Odoo'!D191)</f>
        <v/>
      </c>
      <c r="E191" s="79">
        <f>IF('Ordenes_Odoo'!E191="","",'Ordenes_Odoo'!E191)</f>
        <v/>
      </c>
      <c r="F191" s="79">
        <f>IF('Ordenes_Odoo'!F191="","",'Ordenes_Odoo'!F191)</f>
        <v/>
      </c>
      <c r="G191" s="79">
        <f>IF('Ordenes_Odoo'!G191="","",'Ordenes_Odoo'!G191)</f>
        <v/>
      </c>
      <c r="H191" s="79">
        <f>IF('Ordenes_Odoo'!H191="","",'Ordenes_Odoo'!H191)</f>
        <v/>
      </c>
      <c r="I191" s="79">
        <f>IF('Ordenes_Odoo'!I191="","",'Ordenes_Odoo'!I191)</f>
        <v/>
      </c>
      <c r="J191" s="79">
        <f>IF('Ordenes_Odoo'!J191="","",'Ordenes_Odoo'!J191)</f>
        <v/>
      </c>
      <c r="K191" s="81">
        <f>IF('Ordenes_Odoo'!K191="","",'Ordenes_Odoo'!K191)</f>
        <v/>
      </c>
      <c r="L191" s="81">
        <f>IF('Ordenes_Odoo'!L191="","",'Ordenes_Odoo'!L191)</f>
        <v/>
      </c>
      <c r="M191" s="79">
        <f>IF('Ordenes_Odoo'!M191="","",'Ordenes_Odoo'!M191)</f>
        <v/>
      </c>
      <c r="N191" s="79">
        <f>IF('Ordenes_Odoo'!N191="","",'Ordenes_Odoo'!N191)</f>
        <v/>
      </c>
      <c r="O191" s="81">
        <f>IF('Ordenes_Odoo'!O191="","",'Ordenes_Odoo'!O191)</f>
        <v/>
      </c>
      <c r="P191" s="81">
        <f>IF('Ordenes_Odoo'!P191="","",'Ordenes_Odoo'!P191)</f>
        <v/>
      </c>
      <c r="Q191" s="79">
        <f>IF(A191="","",IFERROR(INDEX(Facturas_Odoo!$B:$B, MATCH(A191, Facturas_Odoo!$D:$D, 0)), "Sin Factura"))</f>
        <v/>
      </c>
      <c r="R191" s="80">
        <f>IF(Q191="Sin Factura","",IFERROR(INDEX(Facturas_Odoo!$A:$A, MATCH(Q191, Facturas_Odoo!$B:$B, 0)), ""))</f>
        <v/>
      </c>
      <c r="S191" s="79">
        <f>IF(Q191="Sin Factura","",IFERROR(_xlfn.XLOOKUP(1, (Facturas_Odoo!$D:$D=A191) * (Facturas_Odoo!$K:$K=I191), Facturas_Odoo!$L:$L, ""), ""))</f>
        <v/>
      </c>
      <c r="T191" s="81">
        <f>IF(Q191="Sin Factura",0,IFERROR(_xlfn.XLOOKUP(1, (Facturas_Odoo!$D:$D=A191) * (Facturas_Odoo!$K:$K=I191), Facturas_Odoo!$M:$M, 0), 0))</f>
        <v/>
      </c>
      <c r="U191" s="79">
        <f>IF(Q191="Sin Factura",0,IFERROR(_xlfn.XLOOKUP(1, (Facturas_Odoo!$D:$D=A191) * (Facturas_Odoo!$K:$K=I191), Facturas_Odoo!$N:$N, 0), 0))</f>
        <v/>
      </c>
      <c r="V191" s="79">
        <f>IF(Q191="Sin Factura",0,IFERROR(_xlfn.XLOOKUP(1, (Facturas_Odoo!$D:$D=A191) * (Facturas_Odoo!$K:$K=I191), Facturas_Odoo!$O:$O, 0), 0))</f>
        <v/>
      </c>
      <c r="W191" s="81">
        <f>IF(Q191="Sin Factura",0,IFERROR(_xlfn.XLOOKUP(1, (Facturas_Odoo!$D:$D=A191) * (Facturas_Odoo!$K:$K=I191), Facturas_Odoo!$Q:$Q, 0), 0))</f>
        <v/>
      </c>
      <c r="X191" s="79">
        <f>IF(OR(Q191="Sin Factura",Q191=""),"",IFERROR(INDEX(Pagos_Odoo!$B:$B, MATCH(Q191, Pagos_Odoo!$I:$I, 0)), "Sin Pago"))</f>
        <v/>
      </c>
      <c r="Y191" s="79">
        <f>IF(X191="Sin Pago","",IFERROR(INDEX(Pagos_Odoo!$C:$C, MATCH(X191, Pagos_Odoo!$B:$B, 0)), ""))</f>
        <v/>
      </c>
      <c r="Z191" s="80">
        <f>IF(X191="Sin Pago","",IFERROR(INDEX(Pagos_Odoo!$A:$A, MATCH(X191, Pagos_Odoo!$B:$B, 0)), ""))</f>
        <v/>
      </c>
      <c r="AA191" s="79">
        <f>IF(X191="Sin Pago","",IFERROR(INDEX(Pagos_Odoo!$F:$F, MATCH(X191, Pagos_Odoo!$B:$B, 0)), ""))</f>
        <v/>
      </c>
      <c r="AB191" s="81">
        <f>IF(X191="Sin Pago",0,IFERROR(INDEX(Pagos_Odoo!$E:$E, MATCH(X191, Pagos_Odoo!$B:$B, 0)), 0))</f>
        <v/>
      </c>
      <c r="AC191" s="79">
        <f>IF(X191="Sin Pago","",IFERROR(INDEX(Pagos_Odoo!$G:$G, MATCH(X191, Pagos_Odoo!$B:$B, 0)), ""))</f>
        <v/>
      </c>
      <c r="AD191" s="82" t="n">
        <v>0</v>
      </c>
      <c r="AE191" s="82" t="n"/>
      <c r="AF191" s="82" t="n"/>
      <c r="AG191" s="82">
        <f>IF(AN191="","",AD191+AE191+AF191)</f>
        <v/>
      </c>
      <c r="AH191" s="81">
        <f>IF(AN191="","",P191*(1-AG191))</f>
        <v/>
      </c>
      <c r="AI191" s="81">
        <f>IF(AN191="","",IF(Q191="Sin Factura",0,IFERROR(INDEX(Facturas_Odoo!$H:$H, MATCH(Q191, Facturas_Odoo!$B:$B, 0)), 0)*(1-AG191)))</f>
        <v/>
      </c>
      <c r="AJ191" s="81">
        <f>IF(AN191="","",_xlfn.LET(idVenta, AN191&amp;"",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1" s="81">
        <f>IF(AN191="","",AH191-AJ191)</f>
        <v/>
      </c>
      <c r="AL191" s="81">
        <f>IF(AN191="","",IF(Q191="Sin Factura","",AI191-AJ191))</f>
        <v/>
      </c>
      <c r="AM191" s="81">
        <f>IF(AN191="","",IF(Q191="Sin Factura",0,P191-IFERROR(INDEX(Facturas_Odoo!$H:$H, MATCH(Q191, Facturas_Odoo!$B:$B, 0)), 0)))</f>
        <v/>
      </c>
      <c r="AN191" s="79">
        <f>IF(AND(A191="", J191=""), "", IF(A191&lt;&gt;"", VALUE(MID(A191,2,LEN(A191))), AN190))</f>
        <v/>
      </c>
      <c r="AO191" s="79">
        <f>IF(AN191="","",IF(AD191=0,"OK",_xlfn.LET(monedaPago, IF(AA191="","USD",AA191), limitePermitido, IFERROR(VLOOKUP(monedaPago, Configuración!$A$2:$B$3, 2, FALSE), 0.15), IF(AD191&gt;limitePermitido, "ALERTA: EXCESO (" &amp; TEXT(limitePermitido, "0%") &amp; " máx)", "OK"))))</f>
        <v/>
      </c>
      <c r="AP191" s="79">
        <f>IF(AN191="","",IF(AE191=0,"OK",_xlfn.LET(fechaPago, Z191, fechaFactura, R191, diasCredito, IF(E191="Pago inmediato", 0, IFERROR(VALUE(MID(E191, 1, SEARCH(" ", E191)-1)),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1" s="79">
        <f>IF(AN191="","",IF(AND(N191&gt;0, AG191&gt;0), IF(Configuración!$K$2="NO", "ALERTA: DESCUENTO DOBLE NO PERMITIDO", "OK"), "OK"))</f>
        <v/>
      </c>
      <c r="AR191" s="79">
        <f>IF(AN191="","",IF(OR(AO191&lt;&gt;"OK", AP191&lt;&gt;"OK", AQ191&lt;&gt;"OK"), "⚠️ REVISAR", "OK"))</f>
        <v/>
      </c>
    </row>
    <row r="192">
      <c r="A192" s="79">
        <f>IF('Ordenes_Odoo'!A192="","",'Ordenes_Odoo'!A192)</f>
        <v/>
      </c>
      <c r="B192" s="80">
        <f>IF('Ordenes_Odoo'!B192="","",'Ordenes_Odoo'!B192)</f>
        <v/>
      </c>
      <c r="C192" s="79">
        <f>IF('Ordenes_Odoo'!C192="","",'Ordenes_Odoo'!C192)</f>
        <v/>
      </c>
      <c r="D192" s="79">
        <f>IF('Ordenes_Odoo'!D192="","",'Ordenes_Odoo'!D192)</f>
        <v/>
      </c>
      <c r="E192" s="79">
        <f>IF('Ordenes_Odoo'!E192="","",'Ordenes_Odoo'!E192)</f>
        <v/>
      </c>
      <c r="F192" s="79">
        <f>IF('Ordenes_Odoo'!F192="","",'Ordenes_Odoo'!F192)</f>
        <v/>
      </c>
      <c r="G192" s="79">
        <f>IF('Ordenes_Odoo'!G192="","",'Ordenes_Odoo'!G192)</f>
        <v/>
      </c>
      <c r="H192" s="79">
        <f>IF('Ordenes_Odoo'!H192="","",'Ordenes_Odoo'!H192)</f>
        <v/>
      </c>
      <c r="I192" s="79">
        <f>IF('Ordenes_Odoo'!I192="","",'Ordenes_Odoo'!I192)</f>
        <v/>
      </c>
      <c r="J192" s="79">
        <f>IF('Ordenes_Odoo'!J192="","",'Ordenes_Odoo'!J192)</f>
        <v/>
      </c>
      <c r="K192" s="81">
        <f>IF('Ordenes_Odoo'!K192="","",'Ordenes_Odoo'!K192)</f>
        <v/>
      </c>
      <c r="L192" s="81">
        <f>IF('Ordenes_Odoo'!L192="","",'Ordenes_Odoo'!L192)</f>
        <v/>
      </c>
      <c r="M192" s="79">
        <f>IF('Ordenes_Odoo'!M192="","",'Ordenes_Odoo'!M192)</f>
        <v/>
      </c>
      <c r="N192" s="79">
        <f>IF('Ordenes_Odoo'!N192="","",'Ordenes_Odoo'!N192)</f>
        <v/>
      </c>
      <c r="O192" s="81">
        <f>IF('Ordenes_Odoo'!O192="","",'Ordenes_Odoo'!O192)</f>
        <v/>
      </c>
      <c r="P192" s="81">
        <f>IF('Ordenes_Odoo'!P192="","",'Ordenes_Odoo'!P192)</f>
        <v/>
      </c>
      <c r="Q192" s="79">
        <f>IF(A192="","",IFERROR(INDEX(Facturas_Odoo!$B:$B, MATCH(A192, Facturas_Odoo!$D:$D, 0)), "Sin Factura"))</f>
        <v/>
      </c>
      <c r="R192" s="80">
        <f>IF(Q192="Sin Factura","",IFERROR(INDEX(Facturas_Odoo!$A:$A, MATCH(Q192, Facturas_Odoo!$B:$B, 0)), ""))</f>
        <v/>
      </c>
      <c r="S192" s="79">
        <f>IF(Q192="Sin Factura","",IFERROR(_xlfn.XLOOKUP(1, (Facturas_Odoo!$D:$D=A192) * (Facturas_Odoo!$K:$K=I192), Facturas_Odoo!$L:$L, ""), ""))</f>
        <v/>
      </c>
      <c r="T192" s="81">
        <f>IF(Q192="Sin Factura",0,IFERROR(_xlfn.XLOOKUP(1, (Facturas_Odoo!$D:$D=A192) * (Facturas_Odoo!$K:$K=I192), Facturas_Odoo!$M:$M, 0), 0))</f>
        <v/>
      </c>
      <c r="U192" s="79">
        <f>IF(Q192="Sin Factura",0,IFERROR(_xlfn.XLOOKUP(1, (Facturas_Odoo!$D:$D=A192) * (Facturas_Odoo!$K:$K=I192), Facturas_Odoo!$N:$N, 0), 0))</f>
        <v/>
      </c>
      <c r="V192" s="79">
        <f>IF(Q192="Sin Factura",0,IFERROR(_xlfn.XLOOKUP(1, (Facturas_Odoo!$D:$D=A192) * (Facturas_Odoo!$K:$K=I192), Facturas_Odoo!$O:$O, 0), 0))</f>
        <v/>
      </c>
      <c r="W192" s="81">
        <f>IF(Q192="Sin Factura",0,IFERROR(_xlfn.XLOOKUP(1, (Facturas_Odoo!$D:$D=A192) * (Facturas_Odoo!$K:$K=I192), Facturas_Odoo!$Q:$Q, 0), 0))</f>
        <v/>
      </c>
      <c r="X192" s="79">
        <f>IF(OR(Q192="Sin Factura",Q192=""),"",IFERROR(INDEX(Pagos_Odoo!$B:$B, MATCH(Q192, Pagos_Odoo!$I:$I, 0)), "Sin Pago"))</f>
        <v/>
      </c>
      <c r="Y192" s="79">
        <f>IF(X192="Sin Pago","",IFERROR(INDEX(Pagos_Odoo!$C:$C, MATCH(X192, Pagos_Odoo!$B:$B, 0)), ""))</f>
        <v/>
      </c>
      <c r="Z192" s="80">
        <f>IF(X192="Sin Pago","",IFERROR(INDEX(Pagos_Odoo!$A:$A, MATCH(X192, Pagos_Odoo!$B:$B, 0)), ""))</f>
        <v/>
      </c>
      <c r="AA192" s="79">
        <f>IF(X192="Sin Pago","",IFERROR(INDEX(Pagos_Odoo!$F:$F, MATCH(X192, Pagos_Odoo!$B:$B, 0)), ""))</f>
        <v/>
      </c>
      <c r="AB192" s="81">
        <f>IF(X192="Sin Pago",0,IFERROR(INDEX(Pagos_Odoo!$E:$E, MATCH(X192, Pagos_Odoo!$B:$B, 0)), 0))</f>
        <v/>
      </c>
      <c r="AC192" s="79">
        <f>IF(X192="Sin Pago","",IFERROR(INDEX(Pagos_Odoo!$G:$G, MATCH(X192, Pagos_Odoo!$B:$B, 0)), ""))</f>
        <v/>
      </c>
      <c r="AD192" s="82" t="n">
        <v>0</v>
      </c>
      <c r="AE192" s="82" t="n"/>
      <c r="AF192" s="82" t="n"/>
      <c r="AG192" s="82">
        <f>IF(AN192="","",AD192+AE192+AF192)</f>
        <v/>
      </c>
      <c r="AH192" s="81">
        <f>IF(AN192="","",P192*(1-AG192))</f>
        <v/>
      </c>
      <c r="AI192" s="81">
        <f>IF(AN192="","",IF(Q192="Sin Factura",0,IFERROR(INDEX(Facturas_Odoo!$H:$H, MATCH(Q192, Facturas_Odoo!$B:$B, 0)), 0)*(1-AG192)))</f>
        <v/>
      </c>
      <c r="AJ192" s="81">
        <f>IF(AN192="","",_xlfn.LET(idVenta, AN192&amp;"",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2" s="81">
        <f>IF(AN192="","",AH192-AJ192)</f>
        <v/>
      </c>
      <c r="AL192" s="81">
        <f>IF(AN192="","",IF(Q192="Sin Factura","",AI192-AJ192))</f>
        <v/>
      </c>
      <c r="AM192" s="81">
        <f>IF(AN192="","",IF(Q192="Sin Factura",0,P192-IFERROR(INDEX(Facturas_Odoo!$H:$H, MATCH(Q192, Facturas_Odoo!$B:$B, 0)), 0)))</f>
        <v/>
      </c>
      <c r="AN192" s="79">
        <f>IF(AND(A192="", J192=""), "", IF(A192&lt;&gt;"", VALUE(MID(A192,2,LEN(A192))), AN191))</f>
        <v/>
      </c>
      <c r="AO192" s="79">
        <f>IF(AN192="","",IF(AD192=0,"OK",_xlfn.LET(monedaPago, IF(AA192="","USD",AA192), limitePermitido, IFERROR(VLOOKUP(monedaPago, Configuración!$A$2:$B$3, 2, FALSE), 0.15), IF(AD192&gt;limitePermitido, "ALERTA: EXCESO (" &amp; TEXT(limitePermitido, "0%") &amp; " máx)", "OK"))))</f>
        <v/>
      </c>
      <c r="AP192" s="79">
        <f>IF(AN192="","",IF(AE192=0,"OK",_xlfn.LET(fechaPago, Z192, fechaFactura, R192, diasCredito, IF(E192="Pago inmediato", 0, IFERROR(VALUE(MID(E192, 1, SEARCH(" ", E192)-1)),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2" s="79">
        <f>IF(AN192="","",IF(AND(N192&gt;0, AG192&gt;0), IF(Configuración!$K$2="NO", "ALERTA: DESCUENTO DOBLE NO PERMITIDO", "OK"), "OK"))</f>
        <v/>
      </c>
      <c r="AR192" s="79">
        <f>IF(AN192="","",IF(OR(AO192&lt;&gt;"OK", AP192&lt;&gt;"OK", AQ192&lt;&gt;"OK"), "⚠️ REVISAR", "OK"))</f>
        <v/>
      </c>
    </row>
    <row r="193">
      <c r="A193" s="79">
        <f>IF('Ordenes_Odoo'!A193="","",'Ordenes_Odoo'!A193)</f>
        <v/>
      </c>
      <c r="B193" s="80">
        <f>IF('Ordenes_Odoo'!B193="","",'Ordenes_Odoo'!B193)</f>
        <v/>
      </c>
      <c r="C193" s="79">
        <f>IF('Ordenes_Odoo'!C193="","",'Ordenes_Odoo'!C193)</f>
        <v/>
      </c>
      <c r="D193" s="79">
        <f>IF('Ordenes_Odoo'!D193="","",'Ordenes_Odoo'!D193)</f>
        <v/>
      </c>
      <c r="E193" s="79">
        <f>IF('Ordenes_Odoo'!E193="","",'Ordenes_Odoo'!E193)</f>
        <v/>
      </c>
      <c r="F193" s="79">
        <f>IF('Ordenes_Odoo'!F193="","",'Ordenes_Odoo'!F193)</f>
        <v/>
      </c>
      <c r="G193" s="79">
        <f>IF('Ordenes_Odoo'!G193="","",'Ordenes_Odoo'!G193)</f>
        <v/>
      </c>
      <c r="H193" s="79">
        <f>IF('Ordenes_Odoo'!H193="","",'Ordenes_Odoo'!H193)</f>
        <v/>
      </c>
      <c r="I193" s="79">
        <f>IF('Ordenes_Odoo'!I193="","",'Ordenes_Odoo'!I193)</f>
        <v/>
      </c>
      <c r="J193" s="79">
        <f>IF('Ordenes_Odoo'!J193="","",'Ordenes_Odoo'!J193)</f>
        <v/>
      </c>
      <c r="K193" s="81">
        <f>IF('Ordenes_Odoo'!K193="","",'Ordenes_Odoo'!K193)</f>
        <v/>
      </c>
      <c r="L193" s="81">
        <f>IF('Ordenes_Odoo'!L193="","",'Ordenes_Odoo'!L193)</f>
        <v/>
      </c>
      <c r="M193" s="79">
        <f>IF('Ordenes_Odoo'!M193="","",'Ordenes_Odoo'!M193)</f>
        <v/>
      </c>
      <c r="N193" s="79">
        <f>IF('Ordenes_Odoo'!N193="","",'Ordenes_Odoo'!N193)</f>
        <v/>
      </c>
      <c r="O193" s="81">
        <f>IF('Ordenes_Odoo'!O193="","",'Ordenes_Odoo'!O193)</f>
        <v/>
      </c>
      <c r="P193" s="81">
        <f>IF('Ordenes_Odoo'!P193="","",'Ordenes_Odoo'!P193)</f>
        <v/>
      </c>
      <c r="Q193" s="79">
        <f>IF(A193="","",IFERROR(INDEX(Facturas_Odoo!$B:$B, MATCH(A193, Facturas_Odoo!$D:$D, 0)), "Sin Factura"))</f>
        <v/>
      </c>
      <c r="R193" s="80">
        <f>IF(Q193="Sin Factura","",IFERROR(INDEX(Facturas_Odoo!$A:$A, MATCH(Q193, Facturas_Odoo!$B:$B, 0)), ""))</f>
        <v/>
      </c>
      <c r="S193" s="79">
        <f>IF(Q193="Sin Factura","",IFERROR(_xlfn.XLOOKUP(1, (Facturas_Odoo!$D:$D=A193) * (Facturas_Odoo!$K:$K=I193), Facturas_Odoo!$L:$L, ""), ""))</f>
        <v/>
      </c>
      <c r="T193" s="81">
        <f>IF(Q193="Sin Factura",0,IFERROR(_xlfn.XLOOKUP(1, (Facturas_Odoo!$D:$D=A193) * (Facturas_Odoo!$K:$K=I193), Facturas_Odoo!$M:$M, 0), 0))</f>
        <v/>
      </c>
      <c r="U193" s="79">
        <f>IF(Q193="Sin Factura",0,IFERROR(_xlfn.XLOOKUP(1, (Facturas_Odoo!$D:$D=A193) * (Facturas_Odoo!$K:$K=I193), Facturas_Odoo!$N:$N, 0), 0))</f>
        <v/>
      </c>
      <c r="V193" s="79">
        <f>IF(Q193="Sin Factura",0,IFERROR(_xlfn.XLOOKUP(1, (Facturas_Odoo!$D:$D=A193) * (Facturas_Odoo!$K:$K=I193), Facturas_Odoo!$O:$O, 0), 0))</f>
        <v/>
      </c>
      <c r="W193" s="81">
        <f>IF(Q193="Sin Factura",0,IFERROR(_xlfn.XLOOKUP(1, (Facturas_Odoo!$D:$D=A193) * (Facturas_Odoo!$K:$K=I193), Facturas_Odoo!$Q:$Q, 0), 0))</f>
        <v/>
      </c>
      <c r="X193" s="79">
        <f>IF(OR(Q193="Sin Factura",Q193=""),"",IFERROR(INDEX(Pagos_Odoo!$B:$B, MATCH(Q193, Pagos_Odoo!$I:$I, 0)), "Sin Pago"))</f>
        <v/>
      </c>
      <c r="Y193" s="79">
        <f>IF(X193="Sin Pago","",IFERROR(INDEX(Pagos_Odoo!$C:$C, MATCH(X193, Pagos_Odoo!$B:$B, 0)), ""))</f>
        <v/>
      </c>
      <c r="Z193" s="80">
        <f>IF(X193="Sin Pago","",IFERROR(INDEX(Pagos_Odoo!$A:$A, MATCH(X193, Pagos_Odoo!$B:$B, 0)), ""))</f>
        <v/>
      </c>
      <c r="AA193" s="79">
        <f>IF(X193="Sin Pago","",IFERROR(INDEX(Pagos_Odoo!$F:$F, MATCH(X193, Pagos_Odoo!$B:$B, 0)), ""))</f>
        <v/>
      </c>
      <c r="AB193" s="81">
        <f>IF(X193="Sin Pago",0,IFERROR(INDEX(Pagos_Odoo!$E:$E, MATCH(X193, Pagos_Odoo!$B:$B, 0)), 0))</f>
        <v/>
      </c>
      <c r="AC193" s="79">
        <f>IF(X193="Sin Pago","",IFERROR(INDEX(Pagos_Odoo!$G:$G, MATCH(X193, Pagos_Odoo!$B:$B, 0)), ""))</f>
        <v/>
      </c>
      <c r="AD193" s="82" t="n">
        <v>0</v>
      </c>
      <c r="AE193" s="82" t="n"/>
      <c r="AF193" s="82" t="n"/>
      <c r="AG193" s="82">
        <f>IF(AN193="","",AD193+AE193+AF193)</f>
        <v/>
      </c>
      <c r="AH193" s="81">
        <f>IF(AN193="","",P193*(1-AG193))</f>
        <v/>
      </c>
      <c r="AI193" s="81">
        <f>IF(AN193="","",IF(Q193="Sin Factura",0,IFERROR(INDEX(Facturas_Odoo!$H:$H, MATCH(Q193, Facturas_Odoo!$B:$B, 0)), 0)*(1-AG193)))</f>
        <v/>
      </c>
      <c r="AJ193" s="81">
        <f>IF(AN193="","",_xlfn.LET(idVenta, AN193&amp;"",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3" s="81">
        <f>IF(AN193="","",AH193-AJ193)</f>
        <v/>
      </c>
      <c r="AL193" s="81">
        <f>IF(AN193="","",IF(Q193="Sin Factura","",AI193-AJ193))</f>
        <v/>
      </c>
      <c r="AM193" s="81">
        <f>IF(AN193="","",IF(Q193="Sin Factura",0,P193-IFERROR(INDEX(Facturas_Odoo!$H:$H, MATCH(Q193, Facturas_Odoo!$B:$B, 0)), 0)))</f>
        <v/>
      </c>
      <c r="AN193" s="79">
        <f>IF(AND(A193="", J193=""), "", IF(A193&lt;&gt;"", VALUE(MID(A193,2,LEN(A193))), AN192))</f>
        <v/>
      </c>
      <c r="AO193" s="79">
        <f>IF(AN193="","",IF(AD193=0,"OK",_xlfn.LET(monedaPago, IF(AA193="","USD",AA193), limitePermitido, IFERROR(VLOOKUP(monedaPago, Configuración!$A$2:$B$3, 2, FALSE), 0.15), IF(AD193&gt;limitePermitido, "ALERTA: EXCESO (" &amp; TEXT(limitePermitido, "0%") &amp; " máx)", "OK"))))</f>
        <v/>
      </c>
      <c r="AP193" s="79">
        <f>IF(AN193="","",IF(AE193=0,"OK",_xlfn.LET(fechaPago, Z193, fechaFactura, R193, diasCredito, IF(E193="Pago inmediato", 0, IFERROR(VALUE(MID(E193, 1, SEARCH(" ", E193)-1)),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3" s="79">
        <f>IF(AN193="","",IF(AND(N193&gt;0, AG193&gt;0), IF(Configuración!$K$2="NO", "ALERTA: DESCUENTO DOBLE NO PERMITIDO", "OK"), "OK"))</f>
        <v/>
      </c>
      <c r="AR193" s="79">
        <f>IF(AN193="","",IF(OR(AO193&lt;&gt;"OK", AP193&lt;&gt;"OK", AQ193&lt;&gt;"OK"), "⚠️ REVISAR", "OK"))</f>
        <v/>
      </c>
    </row>
    <row r="194">
      <c r="A194" s="79">
        <f>IF('Ordenes_Odoo'!A194="","",'Ordenes_Odoo'!A194)</f>
        <v/>
      </c>
      <c r="B194" s="80">
        <f>IF('Ordenes_Odoo'!B194="","",'Ordenes_Odoo'!B194)</f>
        <v/>
      </c>
      <c r="C194" s="79">
        <f>IF('Ordenes_Odoo'!C194="","",'Ordenes_Odoo'!C194)</f>
        <v/>
      </c>
      <c r="D194" s="79">
        <f>IF('Ordenes_Odoo'!D194="","",'Ordenes_Odoo'!D194)</f>
        <v/>
      </c>
      <c r="E194" s="79">
        <f>IF('Ordenes_Odoo'!E194="","",'Ordenes_Odoo'!E194)</f>
        <v/>
      </c>
      <c r="F194" s="79">
        <f>IF('Ordenes_Odoo'!F194="","",'Ordenes_Odoo'!F194)</f>
        <v/>
      </c>
      <c r="G194" s="79">
        <f>IF('Ordenes_Odoo'!G194="","",'Ordenes_Odoo'!G194)</f>
        <v/>
      </c>
      <c r="H194" s="79">
        <f>IF('Ordenes_Odoo'!H194="","",'Ordenes_Odoo'!H194)</f>
        <v/>
      </c>
      <c r="I194" s="79">
        <f>IF('Ordenes_Odoo'!I194="","",'Ordenes_Odoo'!I194)</f>
        <v/>
      </c>
      <c r="J194" s="79">
        <f>IF('Ordenes_Odoo'!J194="","",'Ordenes_Odoo'!J194)</f>
        <v/>
      </c>
      <c r="K194" s="81">
        <f>IF('Ordenes_Odoo'!K194="","",'Ordenes_Odoo'!K194)</f>
        <v/>
      </c>
      <c r="L194" s="81">
        <f>IF('Ordenes_Odoo'!L194="","",'Ordenes_Odoo'!L194)</f>
        <v/>
      </c>
      <c r="M194" s="79">
        <f>IF('Ordenes_Odoo'!M194="","",'Ordenes_Odoo'!M194)</f>
        <v/>
      </c>
      <c r="N194" s="79">
        <f>IF('Ordenes_Odoo'!N194="","",'Ordenes_Odoo'!N194)</f>
        <v/>
      </c>
      <c r="O194" s="81">
        <f>IF('Ordenes_Odoo'!O194="","",'Ordenes_Odoo'!O194)</f>
        <v/>
      </c>
      <c r="P194" s="81">
        <f>IF('Ordenes_Odoo'!P194="","",'Ordenes_Odoo'!P194)</f>
        <v/>
      </c>
      <c r="Q194" s="79">
        <f>IF(A194="","",IFERROR(INDEX(Facturas_Odoo!$B:$B, MATCH(A194, Facturas_Odoo!$D:$D, 0)), "Sin Factura"))</f>
        <v/>
      </c>
      <c r="R194" s="80">
        <f>IF(Q194="Sin Factura","",IFERROR(INDEX(Facturas_Odoo!$A:$A, MATCH(Q194, Facturas_Odoo!$B:$B, 0)), ""))</f>
        <v/>
      </c>
      <c r="S194" s="79">
        <f>IF(Q194="Sin Factura","",IFERROR(_xlfn.XLOOKUP(1, (Facturas_Odoo!$D:$D=A194) * (Facturas_Odoo!$K:$K=I194), Facturas_Odoo!$L:$L, ""), ""))</f>
        <v/>
      </c>
      <c r="T194" s="81">
        <f>IF(Q194="Sin Factura",0,IFERROR(_xlfn.XLOOKUP(1, (Facturas_Odoo!$D:$D=A194) * (Facturas_Odoo!$K:$K=I194), Facturas_Odoo!$M:$M, 0), 0))</f>
        <v/>
      </c>
      <c r="U194" s="79">
        <f>IF(Q194="Sin Factura",0,IFERROR(_xlfn.XLOOKUP(1, (Facturas_Odoo!$D:$D=A194) * (Facturas_Odoo!$K:$K=I194), Facturas_Odoo!$N:$N, 0), 0))</f>
        <v/>
      </c>
      <c r="V194" s="79">
        <f>IF(Q194="Sin Factura",0,IFERROR(_xlfn.XLOOKUP(1, (Facturas_Odoo!$D:$D=A194) * (Facturas_Odoo!$K:$K=I194), Facturas_Odoo!$O:$O, 0), 0))</f>
        <v/>
      </c>
      <c r="W194" s="81">
        <f>IF(Q194="Sin Factura",0,IFERROR(_xlfn.XLOOKUP(1, (Facturas_Odoo!$D:$D=A194) * (Facturas_Odoo!$K:$K=I194), Facturas_Odoo!$Q:$Q, 0), 0))</f>
        <v/>
      </c>
      <c r="X194" s="79">
        <f>IF(OR(Q194="Sin Factura",Q194=""),"",IFERROR(INDEX(Pagos_Odoo!$B:$B, MATCH(Q194, Pagos_Odoo!$I:$I, 0)), "Sin Pago"))</f>
        <v/>
      </c>
      <c r="Y194" s="79">
        <f>IF(X194="Sin Pago","",IFERROR(INDEX(Pagos_Odoo!$C:$C, MATCH(X194, Pagos_Odoo!$B:$B, 0)), ""))</f>
        <v/>
      </c>
      <c r="Z194" s="80">
        <f>IF(X194="Sin Pago","",IFERROR(INDEX(Pagos_Odoo!$A:$A, MATCH(X194, Pagos_Odoo!$B:$B, 0)), ""))</f>
        <v/>
      </c>
      <c r="AA194" s="79">
        <f>IF(X194="Sin Pago","",IFERROR(INDEX(Pagos_Odoo!$F:$F, MATCH(X194, Pagos_Odoo!$B:$B, 0)), ""))</f>
        <v/>
      </c>
      <c r="AB194" s="81">
        <f>IF(X194="Sin Pago",0,IFERROR(INDEX(Pagos_Odoo!$E:$E, MATCH(X194, Pagos_Odoo!$B:$B, 0)), 0))</f>
        <v/>
      </c>
      <c r="AC194" s="79">
        <f>IF(X194="Sin Pago","",IFERROR(INDEX(Pagos_Odoo!$G:$G, MATCH(X194, Pagos_Odoo!$B:$B, 0)), ""))</f>
        <v/>
      </c>
      <c r="AD194" s="82" t="n">
        <v>0</v>
      </c>
      <c r="AE194" s="82" t="n"/>
      <c r="AF194" s="82" t="n"/>
      <c r="AG194" s="82">
        <f>IF(AN194="","",AD194+AE194+AF194)</f>
        <v/>
      </c>
      <c r="AH194" s="81">
        <f>IF(AN194="","",P194*(1-AG194))</f>
        <v/>
      </c>
      <c r="AI194" s="81">
        <f>IF(AN194="","",IF(Q194="Sin Factura",0,IFERROR(INDEX(Facturas_Odoo!$H:$H, MATCH(Q194, Facturas_Odoo!$B:$B, 0)), 0)*(1-AG194)))</f>
        <v/>
      </c>
      <c r="AJ194" s="81">
        <f>IF(AN194="","",_xlfn.LET(idVenta, AN194&amp;"",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4" s="81">
        <f>IF(AN194="","",AH194-AJ194)</f>
        <v/>
      </c>
      <c r="AL194" s="81">
        <f>IF(AN194="","",IF(Q194="Sin Factura","",AI194-AJ194))</f>
        <v/>
      </c>
      <c r="AM194" s="81">
        <f>IF(AN194="","",IF(Q194="Sin Factura",0,P194-IFERROR(INDEX(Facturas_Odoo!$H:$H, MATCH(Q194, Facturas_Odoo!$B:$B, 0)), 0)))</f>
        <v/>
      </c>
      <c r="AN194" s="79">
        <f>IF(AND(A194="", J194=""), "", IF(A194&lt;&gt;"", VALUE(MID(A194,2,LEN(A194))), AN193))</f>
        <v/>
      </c>
      <c r="AO194" s="79">
        <f>IF(AN194="","",IF(AD194=0,"OK",_xlfn.LET(monedaPago, IF(AA194="","USD",AA194), limitePermitido, IFERROR(VLOOKUP(monedaPago, Configuración!$A$2:$B$3, 2, FALSE), 0.15), IF(AD194&gt;limitePermitido, "ALERTA: EXCESO (" &amp; TEXT(limitePermitido, "0%") &amp; " máx)", "OK"))))</f>
        <v/>
      </c>
      <c r="AP194" s="79">
        <f>IF(AN194="","",IF(AE194=0,"OK",_xlfn.LET(fechaPago, Z194, fechaFactura, R194, diasCredito, IF(E194="Pago inmediato", 0, IFERROR(VALUE(MID(E194, 1, SEARCH(" ", E194)-1)),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4" s="79">
        <f>IF(AN194="","",IF(AND(N194&gt;0, AG194&gt;0), IF(Configuración!$K$2="NO", "ALERTA: DESCUENTO DOBLE NO PERMITIDO", "OK"), "OK"))</f>
        <v/>
      </c>
      <c r="AR194" s="79">
        <f>IF(AN194="","",IF(OR(AO194&lt;&gt;"OK", AP194&lt;&gt;"OK", AQ194&lt;&gt;"OK"), "⚠️ REVISAR", "OK"))</f>
        <v/>
      </c>
    </row>
    <row r="195">
      <c r="A195" s="79">
        <f>IF('Ordenes_Odoo'!A195="","",'Ordenes_Odoo'!A195)</f>
        <v/>
      </c>
      <c r="B195" s="80">
        <f>IF('Ordenes_Odoo'!B195="","",'Ordenes_Odoo'!B195)</f>
        <v/>
      </c>
      <c r="C195" s="79">
        <f>IF('Ordenes_Odoo'!C195="","",'Ordenes_Odoo'!C195)</f>
        <v/>
      </c>
      <c r="D195" s="79">
        <f>IF('Ordenes_Odoo'!D195="","",'Ordenes_Odoo'!D195)</f>
        <v/>
      </c>
      <c r="E195" s="79">
        <f>IF('Ordenes_Odoo'!E195="","",'Ordenes_Odoo'!E195)</f>
        <v/>
      </c>
      <c r="F195" s="79">
        <f>IF('Ordenes_Odoo'!F195="","",'Ordenes_Odoo'!F195)</f>
        <v/>
      </c>
      <c r="G195" s="79">
        <f>IF('Ordenes_Odoo'!G195="","",'Ordenes_Odoo'!G195)</f>
        <v/>
      </c>
      <c r="H195" s="79">
        <f>IF('Ordenes_Odoo'!H195="","",'Ordenes_Odoo'!H195)</f>
        <v/>
      </c>
      <c r="I195" s="79">
        <f>IF('Ordenes_Odoo'!I195="","",'Ordenes_Odoo'!I195)</f>
        <v/>
      </c>
      <c r="J195" s="79">
        <f>IF('Ordenes_Odoo'!J195="","",'Ordenes_Odoo'!J195)</f>
        <v/>
      </c>
      <c r="K195" s="81">
        <f>IF('Ordenes_Odoo'!K195="","",'Ordenes_Odoo'!K195)</f>
        <v/>
      </c>
      <c r="L195" s="81">
        <f>IF('Ordenes_Odoo'!L195="","",'Ordenes_Odoo'!L195)</f>
        <v/>
      </c>
      <c r="M195" s="79">
        <f>IF('Ordenes_Odoo'!M195="","",'Ordenes_Odoo'!M195)</f>
        <v/>
      </c>
      <c r="N195" s="79">
        <f>IF('Ordenes_Odoo'!N195="","",'Ordenes_Odoo'!N195)</f>
        <v/>
      </c>
      <c r="O195" s="81">
        <f>IF('Ordenes_Odoo'!O195="","",'Ordenes_Odoo'!O195)</f>
        <v/>
      </c>
      <c r="P195" s="81">
        <f>IF('Ordenes_Odoo'!P195="","",'Ordenes_Odoo'!P195)</f>
        <v/>
      </c>
      <c r="Q195" s="79">
        <f>IF(A195="","",IFERROR(INDEX(Facturas_Odoo!$B:$B, MATCH(A195, Facturas_Odoo!$D:$D, 0)), "Sin Factura"))</f>
        <v/>
      </c>
      <c r="R195" s="80">
        <f>IF(Q195="Sin Factura","",IFERROR(INDEX(Facturas_Odoo!$A:$A, MATCH(Q195, Facturas_Odoo!$B:$B, 0)), ""))</f>
        <v/>
      </c>
      <c r="S195" s="79">
        <f>IF(Q195="Sin Factura","",IFERROR(_xlfn.XLOOKUP(1, (Facturas_Odoo!$D:$D=A195) * (Facturas_Odoo!$K:$K=I195), Facturas_Odoo!$L:$L, ""), ""))</f>
        <v/>
      </c>
      <c r="T195" s="81">
        <f>IF(Q195="Sin Factura",0,IFERROR(_xlfn.XLOOKUP(1, (Facturas_Odoo!$D:$D=A195) * (Facturas_Odoo!$K:$K=I195), Facturas_Odoo!$M:$M, 0), 0))</f>
        <v/>
      </c>
      <c r="U195" s="79">
        <f>IF(Q195="Sin Factura",0,IFERROR(_xlfn.XLOOKUP(1, (Facturas_Odoo!$D:$D=A195) * (Facturas_Odoo!$K:$K=I195), Facturas_Odoo!$N:$N, 0), 0))</f>
        <v/>
      </c>
      <c r="V195" s="79">
        <f>IF(Q195="Sin Factura",0,IFERROR(_xlfn.XLOOKUP(1, (Facturas_Odoo!$D:$D=A195) * (Facturas_Odoo!$K:$K=I195), Facturas_Odoo!$O:$O, 0), 0))</f>
        <v/>
      </c>
      <c r="W195" s="81">
        <f>IF(Q195="Sin Factura",0,IFERROR(_xlfn.XLOOKUP(1, (Facturas_Odoo!$D:$D=A195) * (Facturas_Odoo!$K:$K=I195), Facturas_Odoo!$Q:$Q, 0), 0))</f>
        <v/>
      </c>
      <c r="X195" s="79">
        <f>IF(OR(Q195="Sin Factura",Q195=""),"",IFERROR(INDEX(Pagos_Odoo!$B:$B, MATCH(Q195, Pagos_Odoo!$I:$I, 0)), "Sin Pago"))</f>
        <v/>
      </c>
      <c r="Y195" s="79">
        <f>IF(X195="Sin Pago","",IFERROR(INDEX(Pagos_Odoo!$C:$C, MATCH(X195, Pagos_Odoo!$B:$B, 0)), ""))</f>
        <v/>
      </c>
      <c r="Z195" s="80">
        <f>IF(X195="Sin Pago","",IFERROR(INDEX(Pagos_Odoo!$A:$A, MATCH(X195, Pagos_Odoo!$B:$B, 0)), ""))</f>
        <v/>
      </c>
      <c r="AA195" s="79">
        <f>IF(X195="Sin Pago","",IFERROR(INDEX(Pagos_Odoo!$F:$F, MATCH(X195, Pagos_Odoo!$B:$B, 0)), ""))</f>
        <v/>
      </c>
      <c r="AB195" s="81">
        <f>IF(X195="Sin Pago",0,IFERROR(INDEX(Pagos_Odoo!$E:$E, MATCH(X195, Pagos_Odoo!$B:$B, 0)), 0))</f>
        <v/>
      </c>
      <c r="AC195" s="79">
        <f>IF(X195="Sin Pago","",IFERROR(INDEX(Pagos_Odoo!$G:$G, MATCH(X195, Pagos_Odoo!$B:$B, 0)), ""))</f>
        <v/>
      </c>
      <c r="AD195" s="82" t="n">
        <v>0</v>
      </c>
      <c r="AE195" s="82" t="n"/>
      <c r="AF195" s="82" t="n"/>
      <c r="AG195" s="82">
        <f>IF(AN195="","",AD195+AE195+AF195)</f>
        <v/>
      </c>
      <c r="AH195" s="81">
        <f>IF(AN195="","",P195*(1-AG195))</f>
        <v/>
      </c>
      <c r="AI195" s="81">
        <f>IF(AN195="","",IF(Q195="Sin Factura",0,IFERROR(INDEX(Facturas_Odoo!$H:$H, MATCH(Q195, Facturas_Odoo!$B:$B, 0)), 0)*(1-AG195)))</f>
        <v/>
      </c>
      <c r="AJ195" s="81">
        <f>IF(AN195="","",_xlfn.LET(idVenta, AN195&amp;"",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5" s="81">
        <f>IF(AN195="","",AH195-AJ195)</f>
        <v/>
      </c>
      <c r="AL195" s="81">
        <f>IF(AN195="","",IF(Q195="Sin Factura","",AI195-AJ195))</f>
        <v/>
      </c>
      <c r="AM195" s="81">
        <f>IF(AN195="","",IF(Q195="Sin Factura",0,P195-IFERROR(INDEX(Facturas_Odoo!$H:$H, MATCH(Q195, Facturas_Odoo!$B:$B, 0)), 0)))</f>
        <v/>
      </c>
      <c r="AN195" s="79">
        <f>IF(AND(A195="", J195=""), "", IF(A195&lt;&gt;"", VALUE(MID(A195,2,LEN(A195))), AN194))</f>
        <v/>
      </c>
      <c r="AO195" s="79">
        <f>IF(AN195="","",IF(AD195=0,"OK",_xlfn.LET(monedaPago, IF(AA195="","USD",AA195), limitePermitido, IFERROR(VLOOKUP(monedaPago, Configuración!$A$2:$B$3, 2, FALSE), 0.15), IF(AD195&gt;limitePermitido, "ALERTA: EXCESO (" &amp; TEXT(limitePermitido, "0%") &amp; " máx)", "OK"))))</f>
        <v/>
      </c>
      <c r="AP195" s="79">
        <f>IF(AN195="","",IF(AE195=0,"OK",_xlfn.LET(fechaPago, Z195, fechaFactura, R195, diasCredito, IF(E195="Pago inmediato", 0, IFERROR(VALUE(MID(E195, 1, SEARCH(" ", E195)-1)),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5" s="79">
        <f>IF(AN195="","",IF(AND(N195&gt;0, AG195&gt;0), IF(Configuración!$K$2="NO", "ALERTA: DESCUENTO DOBLE NO PERMITIDO", "OK"), "OK"))</f>
        <v/>
      </c>
      <c r="AR195" s="79">
        <f>IF(AN195="","",IF(OR(AO195&lt;&gt;"OK", AP195&lt;&gt;"OK", AQ195&lt;&gt;"OK"), "⚠️ REVISAR", "OK"))</f>
        <v/>
      </c>
    </row>
    <row r="196">
      <c r="A196" s="79">
        <f>IF('Ordenes_Odoo'!A196="","",'Ordenes_Odoo'!A196)</f>
        <v/>
      </c>
      <c r="B196" s="80">
        <f>IF('Ordenes_Odoo'!B196="","",'Ordenes_Odoo'!B196)</f>
        <v/>
      </c>
      <c r="C196" s="79">
        <f>IF('Ordenes_Odoo'!C196="","",'Ordenes_Odoo'!C196)</f>
        <v/>
      </c>
      <c r="D196" s="79">
        <f>IF('Ordenes_Odoo'!D196="","",'Ordenes_Odoo'!D196)</f>
        <v/>
      </c>
      <c r="E196" s="79">
        <f>IF('Ordenes_Odoo'!E196="","",'Ordenes_Odoo'!E196)</f>
        <v/>
      </c>
      <c r="F196" s="79">
        <f>IF('Ordenes_Odoo'!F196="","",'Ordenes_Odoo'!F196)</f>
        <v/>
      </c>
      <c r="G196" s="79">
        <f>IF('Ordenes_Odoo'!G196="","",'Ordenes_Odoo'!G196)</f>
        <v/>
      </c>
      <c r="H196" s="79">
        <f>IF('Ordenes_Odoo'!H196="","",'Ordenes_Odoo'!H196)</f>
        <v/>
      </c>
      <c r="I196" s="79">
        <f>IF('Ordenes_Odoo'!I196="","",'Ordenes_Odoo'!I196)</f>
        <v/>
      </c>
      <c r="J196" s="79">
        <f>IF('Ordenes_Odoo'!J196="","",'Ordenes_Odoo'!J196)</f>
        <v/>
      </c>
      <c r="K196" s="81">
        <f>IF('Ordenes_Odoo'!K196="","",'Ordenes_Odoo'!K196)</f>
        <v/>
      </c>
      <c r="L196" s="81">
        <f>IF('Ordenes_Odoo'!L196="","",'Ordenes_Odoo'!L196)</f>
        <v/>
      </c>
      <c r="M196" s="79">
        <f>IF('Ordenes_Odoo'!M196="","",'Ordenes_Odoo'!M196)</f>
        <v/>
      </c>
      <c r="N196" s="79">
        <f>IF('Ordenes_Odoo'!N196="","",'Ordenes_Odoo'!N196)</f>
        <v/>
      </c>
      <c r="O196" s="81">
        <f>IF('Ordenes_Odoo'!O196="","",'Ordenes_Odoo'!O196)</f>
        <v/>
      </c>
      <c r="P196" s="81">
        <f>IF('Ordenes_Odoo'!P196="","",'Ordenes_Odoo'!P196)</f>
        <v/>
      </c>
      <c r="Q196" s="79">
        <f>IF(A196="","",IFERROR(INDEX(Facturas_Odoo!$B:$B, MATCH(A196, Facturas_Odoo!$D:$D, 0)), "Sin Factura"))</f>
        <v/>
      </c>
      <c r="R196" s="80">
        <f>IF(Q196="Sin Factura","",IFERROR(INDEX(Facturas_Odoo!$A:$A, MATCH(Q196, Facturas_Odoo!$B:$B, 0)), ""))</f>
        <v/>
      </c>
      <c r="S196" s="79">
        <f>IF(Q196="Sin Factura","",IFERROR(_xlfn.XLOOKUP(1, (Facturas_Odoo!$D:$D=A196) * (Facturas_Odoo!$K:$K=I196), Facturas_Odoo!$L:$L, ""), ""))</f>
        <v/>
      </c>
      <c r="T196" s="81">
        <f>IF(Q196="Sin Factura",0,IFERROR(_xlfn.XLOOKUP(1, (Facturas_Odoo!$D:$D=A196) * (Facturas_Odoo!$K:$K=I196), Facturas_Odoo!$M:$M, 0), 0))</f>
        <v/>
      </c>
      <c r="U196" s="79">
        <f>IF(Q196="Sin Factura",0,IFERROR(_xlfn.XLOOKUP(1, (Facturas_Odoo!$D:$D=A196) * (Facturas_Odoo!$K:$K=I196), Facturas_Odoo!$N:$N, 0), 0))</f>
        <v/>
      </c>
      <c r="V196" s="79">
        <f>IF(Q196="Sin Factura",0,IFERROR(_xlfn.XLOOKUP(1, (Facturas_Odoo!$D:$D=A196) * (Facturas_Odoo!$K:$K=I196), Facturas_Odoo!$O:$O, 0), 0))</f>
        <v/>
      </c>
      <c r="W196" s="81">
        <f>IF(Q196="Sin Factura",0,IFERROR(_xlfn.XLOOKUP(1, (Facturas_Odoo!$D:$D=A196) * (Facturas_Odoo!$K:$K=I196), Facturas_Odoo!$Q:$Q, 0), 0))</f>
        <v/>
      </c>
      <c r="X196" s="79">
        <f>IF(OR(Q196="Sin Factura",Q196=""),"",IFERROR(INDEX(Pagos_Odoo!$B:$B, MATCH(Q196, Pagos_Odoo!$I:$I, 0)), "Sin Pago"))</f>
        <v/>
      </c>
      <c r="Y196" s="79">
        <f>IF(X196="Sin Pago","",IFERROR(INDEX(Pagos_Odoo!$C:$C, MATCH(X196, Pagos_Odoo!$B:$B, 0)), ""))</f>
        <v/>
      </c>
      <c r="Z196" s="80">
        <f>IF(X196="Sin Pago","",IFERROR(INDEX(Pagos_Odoo!$A:$A, MATCH(X196, Pagos_Odoo!$B:$B, 0)), ""))</f>
        <v/>
      </c>
      <c r="AA196" s="79">
        <f>IF(X196="Sin Pago","",IFERROR(INDEX(Pagos_Odoo!$F:$F, MATCH(X196, Pagos_Odoo!$B:$B, 0)), ""))</f>
        <v/>
      </c>
      <c r="AB196" s="81">
        <f>IF(X196="Sin Pago",0,IFERROR(INDEX(Pagos_Odoo!$E:$E, MATCH(X196, Pagos_Odoo!$B:$B, 0)), 0))</f>
        <v/>
      </c>
      <c r="AC196" s="79">
        <f>IF(X196="Sin Pago","",IFERROR(INDEX(Pagos_Odoo!$G:$G, MATCH(X196, Pagos_Odoo!$B:$B, 0)), ""))</f>
        <v/>
      </c>
      <c r="AD196" s="82" t="n">
        <v>0</v>
      </c>
      <c r="AE196" s="82" t="n"/>
      <c r="AF196" s="82" t="n"/>
      <c r="AG196" s="82">
        <f>IF(AN196="","",AD196+AE196+AF196)</f>
        <v/>
      </c>
      <c r="AH196" s="81">
        <f>IF(AN196="","",P196*(1-AG196))</f>
        <v/>
      </c>
      <c r="AI196" s="81">
        <f>IF(AN196="","",IF(Q196="Sin Factura",0,IFERROR(INDEX(Facturas_Odoo!$H:$H, MATCH(Q196, Facturas_Odoo!$B:$B, 0)), 0)*(1-AG196)))</f>
        <v/>
      </c>
      <c r="AJ196" s="81">
        <f>IF(AN196="","",_xlfn.LET(idVenta, AN196&amp;"",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6" s="81">
        <f>IF(AN196="","",AH196-AJ196)</f>
        <v/>
      </c>
      <c r="AL196" s="81">
        <f>IF(AN196="","",IF(Q196="Sin Factura","",AI196-AJ196))</f>
        <v/>
      </c>
      <c r="AM196" s="81">
        <f>IF(AN196="","",IF(Q196="Sin Factura",0,P196-IFERROR(INDEX(Facturas_Odoo!$H:$H, MATCH(Q196, Facturas_Odoo!$B:$B, 0)), 0)))</f>
        <v/>
      </c>
      <c r="AN196" s="79">
        <f>IF(AND(A196="", J196=""), "", IF(A196&lt;&gt;"", VALUE(MID(A196,2,LEN(A196))), AN195))</f>
        <v/>
      </c>
      <c r="AO196" s="79">
        <f>IF(AN196="","",IF(AD196=0,"OK",_xlfn.LET(monedaPago, IF(AA196="","USD",AA196), limitePermitido, IFERROR(VLOOKUP(monedaPago, Configuración!$A$2:$B$3, 2, FALSE), 0.15), IF(AD196&gt;limitePermitido, "ALERTA: EXCESO (" &amp; TEXT(limitePermitido, "0%") &amp; " máx)", "OK"))))</f>
        <v/>
      </c>
      <c r="AP196" s="79">
        <f>IF(AN196="","",IF(AE196=0,"OK",_xlfn.LET(fechaPago, Z196, fechaFactura, R196, diasCredito, IF(E196="Pago inmediato", 0, IFERROR(VALUE(MID(E196, 1, SEARCH(" ", E196)-1)),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6" s="79">
        <f>IF(AN196="","",IF(AND(N196&gt;0, AG196&gt;0), IF(Configuración!$K$2="NO", "ALERTA: DESCUENTO DOBLE NO PERMITIDO", "OK"), "OK"))</f>
        <v/>
      </c>
      <c r="AR196" s="79">
        <f>IF(AN196="","",IF(OR(AO196&lt;&gt;"OK", AP196&lt;&gt;"OK", AQ196&lt;&gt;"OK"), "⚠️ REVISAR", "OK"))</f>
        <v/>
      </c>
    </row>
    <row r="197">
      <c r="A197" s="79">
        <f>IF('Ordenes_Odoo'!A197="","",'Ordenes_Odoo'!A197)</f>
        <v/>
      </c>
      <c r="B197" s="80">
        <f>IF('Ordenes_Odoo'!B197="","",'Ordenes_Odoo'!B197)</f>
        <v/>
      </c>
      <c r="C197" s="79">
        <f>IF('Ordenes_Odoo'!C197="","",'Ordenes_Odoo'!C197)</f>
        <v/>
      </c>
      <c r="D197" s="79">
        <f>IF('Ordenes_Odoo'!D197="","",'Ordenes_Odoo'!D197)</f>
        <v/>
      </c>
      <c r="E197" s="79">
        <f>IF('Ordenes_Odoo'!E197="","",'Ordenes_Odoo'!E197)</f>
        <v/>
      </c>
      <c r="F197" s="79">
        <f>IF('Ordenes_Odoo'!F197="","",'Ordenes_Odoo'!F197)</f>
        <v/>
      </c>
      <c r="G197" s="79">
        <f>IF('Ordenes_Odoo'!G197="","",'Ordenes_Odoo'!G197)</f>
        <v/>
      </c>
      <c r="H197" s="79">
        <f>IF('Ordenes_Odoo'!H197="","",'Ordenes_Odoo'!H197)</f>
        <v/>
      </c>
      <c r="I197" s="79">
        <f>IF('Ordenes_Odoo'!I197="","",'Ordenes_Odoo'!I197)</f>
        <v/>
      </c>
      <c r="J197" s="79">
        <f>IF('Ordenes_Odoo'!J197="","",'Ordenes_Odoo'!J197)</f>
        <v/>
      </c>
      <c r="K197" s="81">
        <f>IF('Ordenes_Odoo'!K197="","",'Ordenes_Odoo'!K197)</f>
        <v/>
      </c>
      <c r="L197" s="81">
        <f>IF('Ordenes_Odoo'!L197="","",'Ordenes_Odoo'!L197)</f>
        <v/>
      </c>
      <c r="M197" s="79">
        <f>IF('Ordenes_Odoo'!M197="","",'Ordenes_Odoo'!M197)</f>
        <v/>
      </c>
      <c r="N197" s="79">
        <f>IF('Ordenes_Odoo'!N197="","",'Ordenes_Odoo'!N197)</f>
        <v/>
      </c>
      <c r="O197" s="81">
        <f>IF('Ordenes_Odoo'!O197="","",'Ordenes_Odoo'!O197)</f>
        <v/>
      </c>
      <c r="P197" s="81">
        <f>IF('Ordenes_Odoo'!P197="","",'Ordenes_Odoo'!P197)</f>
        <v/>
      </c>
      <c r="Q197" s="79">
        <f>IF(A197="","",IFERROR(INDEX(Facturas_Odoo!$B:$B, MATCH(A197, Facturas_Odoo!$D:$D, 0)), "Sin Factura"))</f>
        <v/>
      </c>
      <c r="R197" s="80">
        <f>IF(Q197="Sin Factura","",IFERROR(INDEX(Facturas_Odoo!$A:$A, MATCH(Q197, Facturas_Odoo!$B:$B, 0)), ""))</f>
        <v/>
      </c>
      <c r="S197" s="79">
        <f>IF(Q197="Sin Factura","",IFERROR(_xlfn.XLOOKUP(1, (Facturas_Odoo!$D:$D=A197) * (Facturas_Odoo!$K:$K=I197), Facturas_Odoo!$L:$L, ""), ""))</f>
        <v/>
      </c>
      <c r="T197" s="81">
        <f>IF(Q197="Sin Factura",0,IFERROR(_xlfn.XLOOKUP(1, (Facturas_Odoo!$D:$D=A197) * (Facturas_Odoo!$K:$K=I197), Facturas_Odoo!$M:$M, 0), 0))</f>
        <v/>
      </c>
      <c r="U197" s="79">
        <f>IF(Q197="Sin Factura",0,IFERROR(_xlfn.XLOOKUP(1, (Facturas_Odoo!$D:$D=A197) * (Facturas_Odoo!$K:$K=I197), Facturas_Odoo!$N:$N, 0), 0))</f>
        <v/>
      </c>
      <c r="V197" s="79">
        <f>IF(Q197="Sin Factura",0,IFERROR(_xlfn.XLOOKUP(1, (Facturas_Odoo!$D:$D=A197) * (Facturas_Odoo!$K:$K=I197), Facturas_Odoo!$O:$O, 0), 0))</f>
        <v/>
      </c>
      <c r="W197" s="81">
        <f>IF(Q197="Sin Factura",0,IFERROR(_xlfn.XLOOKUP(1, (Facturas_Odoo!$D:$D=A197) * (Facturas_Odoo!$K:$K=I197), Facturas_Odoo!$Q:$Q, 0), 0))</f>
        <v/>
      </c>
      <c r="X197" s="79">
        <f>IF(OR(Q197="Sin Factura",Q197=""),"",IFERROR(INDEX(Pagos_Odoo!$B:$B, MATCH(Q197, Pagos_Odoo!$I:$I, 0)), "Sin Pago"))</f>
        <v/>
      </c>
      <c r="Y197" s="79">
        <f>IF(X197="Sin Pago","",IFERROR(INDEX(Pagos_Odoo!$C:$C, MATCH(X197, Pagos_Odoo!$B:$B, 0)), ""))</f>
        <v/>
      </c>
      <c r="Z197" s="80">
        <f>IF(X197="Sin Pago","",IFERROR(INDEX(Pagos_Odoo!$A:$A, MATCH(X197, Pagos_Odoo!$B:$B, 0)), ""))</f>
        <v/>
      </c>
      <c r="AA197" s="79">
        <f>IF(X197="Sin Pago","",IFERROR(INDEX(Pagos_Odoo!$F:$F, MATCH(X197, Pagos_Odoo!$B:$B, 0)), ""))</f>
        <v/>
      </c>
      <c r="AB197" s="81">
        <f>IF(X197="Sin Pago",0,IFERROR(INDEX(Pagos_Odoo!$E:$E, MATCH(X197, Pagos_Odoo!$B:$B, 0)), 0))</f>
        <v/>
      </c>
      <c r="AC197" s="79">
        <f>IF(X197="Sin Pago","",IFERROR(INDEX(Pagos_Odoo!$G:$G, MATCH(X197, Pagos_Odoo!$B:$B, 0)), ""))</f>
        <v/>
      </c>
      <c r="AD197" s="82" t="n">
        <v>0</v>
      </c>
      <c r="AE197" s="82" t="n"/>
      <c r="AF197" s="82" t="n"/>
      <c r="AG197" s="82">
        <f>IF(AN197="","",AD197+AE197+AF197)</f>
        <v/>
      </c>
      <c r="AH197" s="81">
        <f>IF(AN197="","",P197*(1-AG197))</f>
        <v/>
      </c>
      <c r="AI197" s="81">
        <f>IF(AN197="","",IF(Q197="Sin Factura",0,IFERROR(INDEX(Facturas_Odoo!$H:$H, MATCH(Q197, Facturas_Odoo!$B:$B, 0)), 0)*(1-AG197)))</f>
        <v/>
      </c>
      <c r="AJ197" s="81">
        <f>IF(AN197="","",_xlfn.LET(idVenta, AN197&amp;"",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7" s="81">
        <f>IF(AN197="","",AH197-AJ197)</f>
        <v/>
      </c>
      <c r="AL197" s="81">
        <f>IF(AN197="","",IF(Q197="Sin Factura","",AI197-AJ197))</f>
        <v/>
      </c>
      <c r="AM197" s="81">
        <f>IF(AN197="","",IF(Q197="Sin Factura",0,P197-IFERROR(INDEX(Facturas_Odoo!$H:$H, MATCH(Q197, Facturas_Odoo!$B:$B, 0)), 0)))</f>
        <v/>
      </c>
      <c r="AN197" s="79">
        <f>IF(AND(A197="", J197=""), "", IF(A197&lt;&gt;"", VALUE(MID(A197,2,LEN(A197))), AN196))</f>
        <v/>
      </c>
      <c r="AO197" s="79">
        <f>IF(AN197="","",IF(AD197=0,"OK",_xlfn.LET(monedaPago, IF(AA197="","USD",AA197), limitePermitido, IFERROR(VLOOKUP(monedaPago, Configuración!$A$2:$B$3, 2, FALSE), 0.15), IF(AD197&gt;limitePermitido, "ALERTA: EXCESO (" &amp; TEXT(limitePermitido, "0%") &amp; " máx)", "OK"))))</f>
        <v/>
      </c>
      <c r="AP197" s="79">
        <f>IF(AN197="","",IF(AE197=0,"OK",_xlfn.LET(fechaPago, Z197, fechaFactura, R197, diasCredito, IF(E197="Pago inmediato", 0, IFERROR(VALUE(MID(E197, 1, SEARCH(" ", E197)-1)),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7" s="79">
        <f>IF(AN197="","",IF(AND(N197&gt;0, AG197&gt;0), IF(Configuración!$K$2="NO", "ALERTA: DESCUENTO DOBLE NO PERMITIDO", "OK"), "OK"))</f>
        <v/>
      </c>
      <c r="AR197" s="79">
        <f>IF(AN197="","",IF(OR(AO197&lt;&gt;"OK", AP197&lt;&gt;"OK", AQ197&lt;&gt;"OK"), "⚠️ REVISAR", "OK"))</f>
        <v/>
      </c>
    </row>
    <row r="198">
      <c r="A198" s="79">
        <f>IF('Ordenes_Odoo'!A198="","",'Ordenes_Odoo'!A198)</f>
        <v/>
      </c>
      <c r="B198" s="80">
        <f>IF('Ordenes_Odoo'!B198="","",'Ordenes_Odoo'!B198)</f>
        <v/>
      </c>
      <c r="C198" s="79">
        <f>IF('Ordenes_Odoo'!C198="","",'Ordenes_Odoo'!C198)</f>
        <v/>
      </c>
      <c r="D198" s="79">
        <f>IF('Ordenes_Odoo'!D198="","",'Ordenes_Odoo'!D198)</f>
        <v/>
      </c>
      <c r="E198" s="79">
        <f>IF('Ordenes_Odoo'!E198="","",'Ordenes_Odoo'!E198)</f>
        <v/>
      </c>
      <c r="F198" s="79">
        <f>IF('Ordenes_Odoo'!F198="","",'Ordenes_Odoo'!F198)</f>
        <v/>
      </c>
      <c r="G198" s="79">
        <f>IF('Ordenes_Odoo'!G198="","",'Ordenes_Odoo'!G198)</f>
        <v/>
      </c>
      <c r="H198" s="79">
        <f>IF('Ordenes_Odoo'!H198="","",'Ordenes_Odoo'!H198)</f>
        <v/>
      </c>
      <c r="I198" s="79">
        <f>IF('Ordenes_Odoo'!I198="","",'Ordenes_Odoo'!I198)</f>
        <v/>
      </c>
      <c r="J198" s="79">
        <f>IF('Ordenes_Odoo'!J198="","",'Ordenes_Odoo'!J198)</f>
        <v/>
      </c>
      <c r="K198" s="81">
        <f>IF('Ordenes_Odoo'!K198="","",'Ordenes_Odoo'!K198)</f>
        <v/>
      </c>
      <c r="L198" s="81">
        <f>IF('Ordenes_Odoo'!L198="","",'Ordenes_Odoo'!L198)</f>
        <v/>
      </c>
      <c r="M198" s="79">
        <f>IF('Ordenes_Odoo'!M198="","",'Ordenes_Odoo'!M198)</f>
        <v/>
      </c>
      <c r="N198" s="79">
        <f>IF('Ordenes_Odoo'!N198="","",'Ordenes_Odoo'!N198)</f>
        <v/>
      </c>
      <c r="O198" s="81">
        <f>IF('Ordenes_Odoo'!O198="","",'Ordenes_Odoo'!O198)</f>
        <v/>
      </c>
      <c r="P198" s="81">
        <f>IF('Ordenes_Odoo'!P198="","",'Ordenes_Odoo'!P198)</f>
        <v/>
      </c>
      <c r="Q198" s="79">
        <f>IF(A198="","",IFERROR(INDEX(Facturas_Odoo!$B:$B, MATCH(A198, Facturas_Odoo!$D:$D, 0)), "Sin Factura"))</f>
        <v/>
      </c>
      <c r="R198" s="80">
        <f>IF(Q198="Sin Factura","",IFERROR(INDEX(Facturas_Odoo!$A:$A, MATCH(Q198, Facturas_Odoo!$B:$B, 0)), ""))</f>
        <v/>
      </c>
      <c r="S198" s="79">
        <f>IF(Q198="Sin Factura","",IFERROR(_xlfn.XLOOKUP(1, (Facturas_Odoo!$D:$D=A198) * (Facturas_Odoo!$K:$K=I198), Facturas_Odoo!$L:$L, ""), ""))</f>
        <v/>
      </c>
      <c r="T198" s="81">
        <f>IF(Q198="Sin Factura",0,IFERROR(_xlfn.XLOOKUP(1, (Facturas_Odoo!$D:$D=A198) * (Facturas_Odoo!$K:$K=I198), Facturas_Odoo!$M:$M, 0), 0))</f>
        <v/>
      </c>
      <c r="U198" s="79">
        <f>IF(Q198="Sin Factura",0,IFERROR(_xlfn.XLOOKUP(1, (Facturas_Odoo!$D:$D=A198) * (Facturas_Odoo!$K:$K=I198), Facturas_Odoo!$N:$N, 0), 0))</f>
        <v/>
      </c>
      <c r="V198" s="79">
        <f>IF(Q198="Sin Factura",0,IFERROR(_xlfn.XLOOKUP(1, (Facturas_Odoo!$D:$D=A198) * (Facturas_Odoo!$K:$K=I198), Facturas_Odoo!$O:$O, 0), 0))</f>
        <v/>
      </c>
      <c r="W198" s="81">
        <f>IF(Q198="Sin Factura",0,IFERROR(_xlfn.XLOOKUP(1, (Facturas_Odoo!$D:$D=A198) * (Facturas_Odoo!$K:$K=I198), Facturas_Odoo!$Q:$Q, 0), 0))</f>
        <v/>
      </c>
      <c r="X198" s="79">
        <f>IF(OR(Q198="Sin Factura",Q198=""),"",IFERROR(INDEX(Pagos_Odoo!$B:$B, MATCH(Q198, Pagos_Odoo!$I:$I, 0)), "Sin Pago"))</f>
        <v/>
      </c>
      <c r="Y198" s="79">
        <f>IF(X198="Sin Pago","",IFERROR(INDEX(Pagos_Odoo!$C:$C, MATCH(X198, Pagos_Odoo!$B:$B, 0)), ""))</f>
        <v/>
      </c>
      <c r="Z198" s="80">
        <f>IF(X198="Sin Pago","",IFERROR(INDEX(Pagos_Odoo!$A:$A, MATCH(X198, Pagos_Odoo!$B:$B, 0)), ""))</f>
        <v/>
      </c>
      <c r="AA198" s="79">
        <f>IF(X198="Sin Pago","",IFERROR(INDEX(Pagos_Odoo!$F:$F, MATCH(X198, Pagos_Odoo!$B:$B, 0)), ""))</f>
        <v/>
      </c>
      <c r="AB198" s="81">
        <f>IF(X198="Sin Pago",0,IFERROR(INDEX(Pagos_Odoo!$E:$E, MATCH(X198, Pagos_Odoo!$B:$B, 0)), 0))</f>
        <v/>
      </c>
      <c r="AC198" s="79">
        <f>IF(X198="Sin Pago","",IFERROR(INDEX(Pagos_Odoo!$G:$G, MATCH(X198, Pagos_Odoo!$B:$B, 0)), ""))</f>
        <v/>
      </c>
      <c r="AD198" s="82" t="n">
        <v>0</v>
      </c>
      <c r="AE198" s="82" t="n"/>
      <c r="AF198" s="82" t="n"/>
      <c r="AG198" s="82">
        <f>IF(AN198="","",AD198+AE198+AF198)</f>
        <v/>
      </c>
      <c r="AH198" s="81">
        <f>IF(AN198="","",P198*(1-AG198))</f>
        <v/>
      </c>
      <c r="AI198" s="81">
        <f>IF(AN198="","",IF(Q198="Sin Factura",0,IFERROR(INDEX(Facturas_Odoo!$H:$H, MATCH(Q198, Facturas_Odoo!$B:$B, 0)), 0)*(1-AG198)))</f>
        <v/>
      </c>
      <c r="AJ198" s="81">
        <f>IF(AN198="","",_xlfn.LET(idVenta, AN198&amp;"",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8" s="81">
        <f>IF(AN198="","",AH198-AJ198)</f>
        <v/>
      </c>
      <c r="AL198" s="81">
        <f>IF(AN198="","",IF(Q198="Sin Factura","",AI198-AJ198))</f>
        <v/>
      </c>
      <c r="AM198" s="81">
        <f>IF(AN198="","",IF(Q198="Sin Factura",0,P198-IFERROR(INDEX(Facturas_Odoo!$H:$H, MATCH(Q198, Facturas_Odoo!$B:$B, 0)), 0)))</f>
        <v/>
      </c>
      <c r="AN198" s="79">
        <f>IF(AND(A198="", J198=""), "", IF(A198&lt;&gt;"", VALUE(MID(A198,2,LEN(A198))), AN197))</f>
        <v/>
      </c>
      <c r="AO198" s="79">
        <f>IF(AN198="","",IF(AD198=0,"OK",_xlfn.LET(monedaPago, IF(AA198="","USD",AA198), limitePermitido, IFERROR(VLOOKUP(monedaPago, Configuración!$A$2:$B$3, 2, FALSE), 0.15), IF(AD198&gt;limitePermitido, "ALERTA: EXCESO (" &amp; TEXT(limitePermitido, "0%") &amp; " máx)", "OK"))))</f>
        <v/>
      </c>
      <c r="AP198" s="79">
        <f>IF(AN198="","",IF(AE198=0,"OK",_xlfn.LET(fechaPago, Z198, fechaFactura, R198, diasCredito, IF(E198="Pago inmediato", 0, IFERROR(VALUE(MID(E198, 1, SEARCH(" ", E198)-1)),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8" s="79">
        <f>IF(AN198="","",IF(AND(N198&gt;0, AG198&gt;0), IF(Configuración!$K$2="NO", "ALERTA: DESCUENTO DOBLE NO PERMITIDO", "OK"), "OK"))</f>
        <v/>
      </c>
      <c r="AR198" s="79">
        <f>IF(AN198="","",IF(OR(AO198&lt;&gt;"OK", AP198&lt;&gt;"OK", AQ198&lt;&gt;"OK"), "⚠️ REVISAR", "OK"))</f>
        <v/>
      </c>
    </row>
    <row r="199">
      <c r="A199" s="79">
        <f>IF('Ordenes_Odoo'!A199="","",'Ordenes_Odoo'!A199)</f>
        <v/>
      </c>
      <c r="B199" s="80">
        <f>IF('Ordenes_Odoo'!B199="","",'Ordenes_Odoo'!B199)</f>
        <v/>
      </c>
      <c r="C199" s="79">
        <f>IF('Ordenes_Odoo'!C199="","",'Ordenes_Odoo'!C199)</f>
        <v/>
      </c>
      <c r="D199" s="79">
        <f>IF('Ordenes_Odoo'!D199="","",'Ordenes_Odoo'!D199)</f>
        <v/>
      </c>
      <c r="E199" s="79">
        <f>IF('Ordenes_Odoo'!E199="","",'Ordenes_Odoo'!E199)</f>
        <v/>
      </c>
      <c r="F199" s="79">
        <f>IF('Ordenes_Odoo'!F199="","",'Ordenes_Odoo'!F199)</f>
        <v/>
      </c>
      <c r="G199" s="79">
        <f>IF('Ordenes_Odoo'!G199="","",'Ordenes_Odoo'!G199)</f>
        <v/>
      </c>
      <c r="H199" s="79">
        <f>IF('Ordenes_Odoo'!H199="","",'Ordenes_Odoo'!H199)</f>
        <v/>
      </c>
      <c r="I199" s="79">
        <f>IF('Ordenes_Odoo'!I199="","",'Ordenes_Odoo'!I199)</f>
        <v/>
      </c>
      <c r="J199" s="79">
        <f>IF('Ordenes_Odoo'!J199="","",'Ordenes_Odoo'!J199)</f>
        <v/>
      </c>
      <c r="K199" s="81">
        <f>IF('Ordenes_Odoo'!K199="","",'Ordenes_Odoo'!K199)</f>
        <v/>
      </c>
      <c r="L199" s="81">
        <f>IF('Ordenes_Odoo'!L199="","",'Ordenes_Odoo'!L199)</f>
        <v/>
      </c>
      <c r="M199" s="79">
        <f>IF('Ordenes_Odoo'!M199="","",'Ordenes_Odoo'!M199)</f>
        <v/>
      </c>
      <c r="N199" s="79">
        <f>IF('Ordenes_Odoo'!N199="","",'Ordenes_Odoo'!N199)</f>
        <v/>
      </c>
      <c r="O199" s="81">
        <f>IF('Ordenes_Odoo'!O199="","",'Ordenes_Odoo'!O199)</f>
        <v/>
      </c>
      <c r="P199" s="81">
        <f>IF('Ordenes_Odoo'!P199="","",'Ordenes_Odoo'!P199)</f>
        <v/>
      </c>
      <c r="Q199" s="79">
        <f>IF(A199="","",IFERROR(INDEX(Facturas_Odoo!$B:$B, MATCH(A199, Facturas_Odoo!$D:$D, 0)), "Sin Factura"))</f>
        <v/>
      </c>
      <c r="R199" s="80">
        <f>IF(Q199="Sin Factura","",IFERROR(INDEX(Facturas_Odoo!$A:$A, MATCH(Q199, Facturas_Odoo!$B:$B, 0)), ""))</f>
        <v/>
      </c>
      <c r="S199" s="79">
        <f>IF(Q199="Sin Factura","",IFERROR(_xlfn.XLOOKUP(1, (Facturas_Odoo!$D:$D=A199) * (Facturas_Odoo!$K:$K=I199), Facturas_Odoo!$L:$L, ""), ""))</f>
        <v/>
      </c>
      <c r="T199" s="81">
        <f>IF(Q199="Sin Factura",0,IFERROR(_xlfn.XLOOKUP(1, (Facturas_Odoo!$D:$D=A199) * (Facturas_Odoo!$K:$K=I199), Facturas_Odoo!$M:$M, 0), 0))</f>
        <v/>
      </c>
      <c r="U199" s="79">
        <f>IF(Q199="Sin Factura",0,IFERROR(_xlfn.XLOOKUP(1, (Facturas_Odoo!$D:$D=A199) * (Facturas_Odoo!$K:$K=I199), Facturas_Odoo!$N:$N, 0), 0))</f>
        <v/>
      </c>
      <c r="V199" s="79">
        <f>IF(Q199="Sin Factura",0,IFERROR(_xlfn.XLOOKUP(1, (Facturas_Odoo!$D:$D=A199) * (Facturas_Odoo!$K:$K=I199), Facturas_Odoo!$O:$O, 0), 0))</f>
        <v/>
      </c>
      <c r="W199" s="81">
        <f>IF(Q199="Sin Factura",0,IFERROR(_xlfn.XLOOKUP(1, (Facturas_Odoo!$D:$D=A199) * (Facturas_Odoo!$K:$K=I199), Facturas_Odoo!$Q:$Q, 0), 0))</f>
        <v/>
      </c>
      <c r="X199" s="79">
        <f>IF(OR(Q199="Sin Factura",Q199=""),"",IFERROR(INDEX(Pagos_Odoo!$B:$B, MATCH(Q199, Pagos_Odoo!$I:$I, 0)), "Sin Pago"))</f>
        <v/>
      </c>
      <c r="Y199" s="79">
        <f>IF(X199="Sin Pago","",IFERROR(INDEX(Pagos_Odoo!$C:$C, MATCH(X199, Pagos_Odoo!$B:$B, 0)), ""))</f>
        <v/>
      </c>
      <c r="Z199" s="80">
        <f>IF(X199="Sin Pago","",IFERROR(INDEX(Pagos_Odoo!$A:$A, MATCH(X199, Pagos_Odoo!$B:$B, 0)), ""))</f>
        <v/>
      </c>
      <c r="AA199" s="79">
        <f>IF(X199="Sin Pago","",IFERROR(INDEX(Pagos_Odoo!$F:$F, MATCH(X199, Pagos_Odoo!$B:$B, 0)), ""))</f>
        <v/>
      </c>
      <c r="AB199" s="81">
        <f>IF(X199="Sin Pago",0,IFERROR(INDEX(Pagos_Odoo!$E:$E, MATCH(X199, Pagos_Odoo!$B:$B, 0)), 0))</f>
        <v/>
      </c>
      <c r="AC199" s="79">
        <f>IF(X199="Sin Pago","",IFERROR(INDEX(Pagos_Odoo!$G:$G, MATCH(X199, Pagos_Odoo!$B:$B, 0)), ""))</f>
        <v/>
      </c>
      <c r="AD199" s="82" t="n">
        <v>0</v>
      </c>
      <c r="AE199" s="82" t="n"/>
      <c r="AF199" s="82" t="n"/>
      <c r="AG199" s="82">
        <f>IF(AN199="","",AD199+AE199+AF199)</f>
        <v/>
      </c>
      <c r="AH199" s="81">
        <f>IF(AN199="","",P199*(1-AG199))</f>
        <v/>
      </c>
      <c r="AI199" s="81">
        <f>IF(AN199="","",IF(Q199="Sin Factura",0,IFERROR(INDEX(Facturas_Odoo!$H:$H, MATCH(Q199, Facturas_Odoo!$B:$B, 0)), 0)*(1-AG199)))</f>
        <v/>
      </c>
      <c r="AJ199" s="81">
        <f>IF(AN199="","",_xlfn.LET(idVenta, AN199&amp;"",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9" s="81">
        <f>IF(AN199="","",AH199-AJ199)</f>
        <v/>
      </c>
      <c r="AL199" s="81">
        <f>IF(AN199="","",IF(Q199="Sin Factura","",AI199-AJ199))</f>
        <v/>
      </c>
      <c r="AM199" s="81">
        <f>IF(AN199="","",IF(Q199="Sin Factura",0,P199-IFERROR(INDEX(Facturas_Odoo!$H:$H, MATCH(Q199, Facturas_Odoo!$B:$B, 0)), 0)))</f>
        <v/>
      </c>
      <c r="AN199" s="79">
        <f>IF(AND(A199="", J199=""), "", IF(A199&lt;&gt;"", VALUE(MID(A199,2,LEN(A199))), AN198))</f>
        <v/>
      </c>
      <c r="AO199" s="79">
        <f>IF(AN199="","",IF(AD199=0,"OK",_xlfn.LET(monedaPago, IF(AA199="","USD",AA199), limitePermitido, IFERROR(VLOOKUP(monedaPago, Configuración!$A$2:$B$3, 2, FALSE), 0.15), IF(AD199&gt;limitePermitido, "ALERTA: EXCESO (" &amp; TEXT(limitePermitido, "0%") &amp; " máx)", "OK"))))</f>
        <v/>
      </c>
      <c r="AP199" s="79">
        <f>IF(AN199="","",IF(AE199=0,"OK",_xlfn.LET(fechaPago, Z199, fechaFactura, R199, diasCredito, IF(E199="Pago inmediato", 0, IFERROR(VALUE(MID(E199, 1, SEARCH(" ", E199)-1)),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9" s="79">
        <f>IF(AN199="","",IF(AND(N199&gt;0, AG199&gt;0), IF(Configuración!$K$2="NO", "ALERTA: DESCUENTO DOBLE NO PERMITIDO", "OK"), "OK"))</f>
        <v/>
      </c>
      <c r="AR199" s="79">
        <f>IF(AN199="","",IF(OR(AO199&lt;&gt;"OK", AP199&lt;&gt;"OK", AQ199&lt;&gt;"OK"), "⚠️ REVISAR", "OK"))</f>
        <v/>
      </c>
    </row>
    <row r="200">
      <c r="A200" s="79">
        <f>IF('Ordenes_Odoo'!A200="","",'Ordenes_Odoo'!A200)</f>
        <v/>
      </c>
      <c r="B200" s="80">
        <f>IF('Ordenes_Odoo'!B200="","",'Ordenes_Odoo'!B200)</f>
        <v/>
      </c>
      <c r="C200" s="79">
        <f>IF('Ordenes_Odoo'!C200="","",'Ordenes_Odoo'!C200)</f>
        <v/>
      </c>
      <c r="D200" s="79">
        <f>IF('Ordenes_Odoo'!D200="","",'Ordenes_Odoo'!D200)</f>
        <v/>
      </c>
      <c r="E200" s="79">
        <f>IF('Ordenes_Odoo'!E200="","",'Ordenes_Odoo'!E200)</f>
        <v/>
      </c>
      <c r="F200" s="79">
        <f>IF('Ordenes_Odoo'!F200="","",'Ordenes_Odoo'!F200)</f>
        <v/>
      </c>
      <c r="G200" s="79">
        <f>IF('Ordenes_Odoo'!G200="","",'Ordenes_Odoo'!G200)</f>
        <v/>
      </c>
      <c r="H200" s="79">
        <f>IF('Ordenes_Odoo'!H200="","",'Ordenes_Odoo'!H200)</f>
        <v/>
      </c>
      <c r="I200" s="79">
        <f>IF('Ordenes_Odoo'!I200="","",'Ordenes_Odoo'!I200)</f>
        <v/>
      </c>
      <c r="J200" s="79">
        <f>IF('Ordenes_Odoo'!J200="","",'Ordenes_Odoo'!J200)</f>
        <v/>
      </c>
      <c r="K200" s="81">
        <f>IF('Ordenes_Odoo'!K200="","",'Ordenes_Odoo'!K200)</f>
        <v/>
      </c>
      <c r="L200" s="81">
        <f>IF('Ordenes_Odoo'!L200="","",'Ordenes_Odoo'!L200)</f>
        <v/>
      </c>
      <c r="M200" s="79">
        <f>IF('Ordenes_Odoo'!M200="","",'Ordenes_Odoo'!M200)</f>
        <v/>
      </c>
      <c r="N200" s="79">
        <f>IF('Ordenes_Odoo'!N200="","",'Ordenes_Odoo'!N200)</f>
        <v/>
      </c>
      <c r="O200" s="81">
        <f>IF('Ordenes_Odoo'!O200="","",'Ordenes_Odoo'!O200)</f>
        <v/>
      </c>
      <c r="P200" s="81">
        <f>IF('Ordenes_Odoo'!P200="","",'Ordenes_Odoo'!P200)</f>
        <v/>
      </c>
      <c r="Q200" s="79">
        <f>IF(A200="","",IFERROR(INDEX(Facturas_Odoo!$B:$B, MATCH(A200, Facturas_Odoo!$D:$D, 0)), "Sin Factura"))</f>
        <v/>
      </c>
      <c r="R200" s="80">
        <f>IF(Q200="Sin Factura","",IFERROR(INDEX(Facturas_Odoo!$A:$A, MATCH(Q200, Facturas_Odoo!$B:$B, 0)), ""))</f>
        <v/>
      </c>
      <c r="S200" s="79">
        <f>IF(Q200="Sin Factura","",IFERROR(_xlfn.XLOOKUP(1, (Facturas_Odoo!$D:$D=A200) * (Facturas_Odoo!$K:$K=I200), Facturas_Odoo!$L:$L, ""), ""))</f>
        <v/>
      </c>
      <c r="T200" s="81">
        <f>IF(Q200="Sin Factura",0,IFERROR(_xlfn.XLOOKUP(1, (Facturas_Odoo!$D:$D=A200) * (Facturas_Odoo!$K:$K=I200), Facturas_Odoo!$M:$M, 0), 0))</f>
        <v/>
      </c>
      <c r="U200" s="79">
        <f>IF(Q200="Sin Factura",0,IFERROR(_xlfn.XLOOKUP(1, (Facturas_Odoo!$D:$D=A200) * (Facturas_Odoo!$K:$K=I200), Facturas_Odoo!$N:$N, 0), 0))</f>
        <v/>
      </c>
      <c r="V200" s="79">
        <f>IF(Q200="Sin Factura",0,IFERROR(_xlfn.XLOOKUP(1, (Facturas_Odoo!$D:$D=A200) * (Facturas_Odoo!$K:$K=I200), Facturas_Odoo!$O:$O, 0), 0))</f>
        <v/>
      </c>
      <c r="W200" s="81">
        <f>IF(Q200="Sin Factura",0,IFERROR(_xlfn.XLOOKUP(1, (Facturas_Odoo!$D:$D=A200) * (Facturas_Odoo!$K:$K=I200), Facturas_Odoo!$Q:$Q, 0), 0))</f>
        <v/>
      </c>
      <c r="X200" s="79">
        <f>IF(OR(Q200="Sin Factura",Q200=""),"",IFERROR(INDEX(Pagos_Odoo!$B:$B, MATCH(Q200, Pagos_Odoo!$I:$I, 0)), "Sin Pago"))</f>
        <v/>
      </c>
      <c r="Y200" s="79">
        <f>IF(X200="Sin Pago","",IFERROR(INDEX(Pagos_Odoo!$C:$C, MATCH(X200, Pagos_Odoo!$B:$B, 0)), ""))</f>
        <v/>
      </c>
      <c r="Z200" s="80">
        <f>IF(X200="Sin Pago","",IFERROR(INDEX(Pagos_Odoo!$A:$A, MATCH(X200, Pagos_Odoo!$B:$B, 0)), ""))</f>
        <v/>
      </c>
      <c r="AA200" s="79">
        <f>IF(X200="Sin Pago","",IFERROR(INDEX(Pagos_Odoo!$F:$F, MATCH(X200, Pagos_Odoo!$B:$B, 0)), ""))</f>
        <v/>
      </c>
      <c r="AB200" s="81">
        <f>IF(X200="Sin Pago",0,IFERROR(INDEX(Pagos_Odoo!$E:$E, MATCH(X200, Pagos_Odoo!$B:$B, 0)), 0))</f>
        <v/>
      </c>
      <c r="AC200" s="79">
        <f>IF(X200="Sin Pago","",IFERROR(INDEX(Pagos_Odoo!$G:$G, MATCH(X200, Pagos_Odoo!$B:$B, 0)), ""))</f>
        <v/>
      </c>
      <c r="AD200" s="82" t="n">
        <v>0</v>
      </c>
      <c r="AE200" s="82" t="n"/>
      <c r="AF200" s="82" t="n"/>
      <c r="AG200" s="82">
        <f>IF(AN200="","",AD200+AE200+AF200)</f>
        <v/>
      </c>
      <c r="AH200" s="81">
        <f>IF(AN200="","",P200*(1-AG200))</f>
        <v/>
      </c>
      <c r="AI200" s="81">
        <f>IF(AN200="","",IF(Q200="Sin Factura",0,IFERROR(INDEX(Facturas_Odoo!$H:$H, MATCH(Q200, Facturas_Odoo!$B:$B, 0)), 0)*(1-AG200)))</f>
        <v/>
      </c>
      <c r="AJ200" s="81">
        <f>IF(AN200="","",_xlfn.LET(idVenta, AN200&amp;"",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0" s="81">
        <f>IF(AN200="","",AH200-AJ200)</f>
        <v/>
      </c>
      <c r="AL200" s="81">
        <f>IF(AN200="","",IF(Q200="Sin Factura","",AI200-AJ200))</f>
        <v/>
      </c>
      <c r="AM200" s="81">
        <f>IF(AN200="","",IF(Q200="Sin Factura",0,P200-IFERROR(INDEX(Facturas_Odoo!$H:$H, MATCH(Q200, Facturas_Odoo!$B:$B, 0)), 0)))</f>
        <v/>
      </c>
      <c r="AN200" s="79">
        <f>IF(AND(A200="", J200=""), "", IF(A200&lt;&gt;"", VALUE(MID(A200,2,LEN(A200))), AN199))</f>
        <v/>
      </c>
      <c r="AO200" s="79">
        <f>IF(AN200="","",IF(AD200=0,"OK",_xlfn.LET(monedaPago, IF(AA200="","USD",AA200), limitePermitido, IFERROR(VLOOKUP(monedaPago, Configuración!$A$2:$B$3, 2, FALSE), 0.15), IF(AD200&gt;limitePermitido, "ALERTA: EXCESO (" &amp; TEXT(limitePermitido, "0%") &amp; " máx)", "OK"))))</f>
        <v/>
      </c>
      <c r="AP200" s="79">
        <f>IF(AN200="","",IF(AE200=0,"OK",_xlfn.LET(fechaPago, Z200, fechaFactura, R200, diasCredito, IF(E200="Pago inmediato", 0, IFERROR(VALUE(MID(E200, 1, SEARCH(" ", E200)-1)),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0" s="79">
        <f>IF(AN200="","",IF(AND(N200&gt;0, AG200&gt;0), IF(Configuración!$K$2="NO", "ALERTA: DESCUENTO DOBLE NO PERMITIDO", "OK"), "OK"))</f>
        <v/>
      </c>
      <c r="AR200" s="79">
        <f>IF(AN200="","",IF(OR(AO200&lt;&gt;"OK", AP200&lt;&gt;"OK", AQ200&lt;&gt;"OK"), "⚠️ REVISAR", "OK"))</f>
        <v/>
      </c>
    </row>
    <row r="201">
      <c r="A201" s="79">
        <f>IF('Ordenes_Odoo'!A201="","",'Ordenes_Odoo'!A201)</f>
        <v/>
      </c>
      <c r="B201" s="80">
        <f>IF('Ordenes_Odoo'!B201="","",'Ordenes_Odoo'!B201)</f>
        <v/>
      </c>
      <c r="C201" s="79">
        <f>IF('Ordenes_Odoo'!C201="","",'Ordenes_Odoo'!C201)</f>
        <v/>
      </c>
      <c r="D201" s="79">
        <f>IF('Ordenes_Odoo'!D201="","",'Ordenes_Odoo'!D201)</f>
        <v/>
      </c>
      <c r="E201" s="79">
        <f>IF('Ordenes_Odoo'!E201="","",'Ordenes_Odoo'!E201)</f>
        <v/>
      </c>
      <c r="F201" s="79">
        <f>IF('Ordenes_Odoo'!F201="","",'Ordenes_Odoo'!F201)</f>
        <v/>
      </c>
      <c r="G201" s="79">
        <f>IF('Ordenes_Odoo'!G201="","",'Ordenes_Odoo'!G201)</f>
        <v/>
      </c>
      <c r="H201" s="79">
        <f>IF('Ordenes_Odoo'!H201="","",'Ordenes_Odoo'!H201)</f>
        <v/>
      </c>
      <c r="I201" s="79">
        <f>IF('Ordenes_Odoo'!I201="","",'Ordenes_Odoo'!I201)</f>
        <v/>
      </c>
      <c r="J201" s="79">
        <f>IF('Ordenes_Odoo'!J201="","",'Ordenes_Odoo'!J201)</f>
        <v/>
      </c>
      <c r="K201" s="81">
        <f>IF('Ordenes_Odoo'!K201="","",'Ordenes_Odoo'!K201)</f>
        <v/>
      </c>
      <c r="L201" s="81">
        <f>IF('Ordenes_Odoo'!L201="","",'Ordenes_Odoo'!L201)</f>
        <v/>
      </c>
      <c r="M201" s="79">
        <f>IF('Ordenes_Odoo'!M201="","",'Ordenes_Odoo'!M201)</f>
        <v/>
      </c>
      <c r="N201" s="79">
        <f>IF('Ordenes_Odoo'!N201="","",'Ordenes_Odoo'!N201)</f>
        <v/>
      </c>
      <c r="O201" s="81">
        <f>IF('Ordenes_Odoo'!O201="","",'Ordenes_Odoo'!O201)</f>
        <v/>
      </c>
      <c r="P201" s="81">
        <f>IF('Ordenes_Odoo'!P201="","",'Ordenes_Odoo'!P201)</f>
        <v/>
      </c>
      <c r="Q201" s="79">
        <f>IF(A201="","",IFERROR(INDEX(Facturas_Odoo!$B:$B, MATCH(A201, Facturas_Odoo!$D:$D, 0)), "Sin Factura"))</f>
        <v/>
      </c>
      <c r="R201" s="80">
        <f>IF(Q201="Sin Factura","",IFERROR(INDEX(Facturas_Odoo!$A:$A, MATCH(Q201, Facturas_Odoo!$B:$B, 0)), ""))</f>
        <v/>
      </c>
      <c r="S201" s="79">
        <f>IF(Q201="Sin Factura","",IFERROR(_xlfn.XLOOKUP(1, (Facturas_Odoo!$D:$D=A201) * (Facturas_Odoo!$K:$K=I201), Facturas_Odoo!$L:$L, ""), ""))</f>
        <v/>
      </c>
      <c r="T201" s="81">
        <f>IF(Q201="Sin Factura",0,IFERROR(_xlfn.XLOOKUP(1, (Facturas_Odoo!$D:$D=A201) * (Facturas_Odoo!$K:$K=I201), Facturas_Odoo!$M:$M, 0), 0))</f>
        <v/>
      </c>
      <c r="U201" s="79">
        <f>IF(Q201="Sin Factura",0,IFERROR(_xlfn.XLOOKUP(1, (Facturas_Odoo!$D:$D=A201) * (Facturas_Odoo!$K:$K=I201), Facturas_Odoo!$N:$N, 0), 0))</f>
        <v/>
      </c>
      <c r="V201" s="79">
        <f>IF(Q201="Sin Factura",0,IFERROR(_xlfn.XLOOKUP(1, (Facturas_Odoo!$D:$D=A201) * (Facturas_Odoo!$K:$K=I201), Facturas_Odoo!$O:$O, 0), 0))</f>
        <v/>
      </c>
      <c r="W201" s="81">
        <f>IF(Q201="Sin Factura",0,IFERROR(_xlfn.XLOOKUP(1, (Facturas_Odoo!$D:$D=A201) * (Facturas_Odoo!$K:$K=I201), Facturas_Odoo!$Q:$Q, 0), 0))</f>
        <v/>
      </c>
      <c r="X201" s="79">
        <f>IF(OR(Q201="Sin Factura",Q201=""),"",IFERROR(INDEX(Pagos_Odoo!$B:$B, MATCH(Q201, Pagos_Odoo!$I:$I, 0)), "Sin Pago"))</f>
        <v/>
      </c>
      <c r="Y201" s="79">
        <f>IF(X201="Sin Pago","",IFERROR(INDEX(Pagos_Odoo!$C:$C, MATCH(X201, Pagos_Odoo!$B:$B, 0)), ""))</f>
        <v/>
      </c>
      <c r="Z201" s="80">
        <f>IF(X201="Sin Pago","",IFERROR(INDEX(Pagos_Odoo!$A:$A, MATCH(X201, Pagos_Odoo!$B:$B, 0)), ""))</f>
        <v/>
      </c>
      <c r="AA201" s="79">
        <f>IF(X201="Sin Pago","",IFERROR(INDEX(Pagos_Odoo!$F:$F, MATCH(X201, Pagos_Odoo!$B:$B, 0)), ""))</f>
        <v/>
      </c>
      <c r="AB201" s="81">
        <f>IF(X201="Sin Pago",0,IFERROR(INDEX(Pagos_Odoo!$E:$E, MATCH(X201, Pagos_Odoo!$B:$B, 0)), 0))</f>
        <v/>
      </c>
      <c r="AC201" s="79">
        <f>IF(X201="Sin Pago","",IFERROR(INDEX(Pagos_Odoo!$G:$G, MATCH(X201, Pagos_Odoo!$B:$B, 0)), ""))</f>
        <v/>
      </c>
      <c r="AD201" s="82" t="n">
        <v>0</v>
      </c>
      <c r="AE201" s="82" t="n"/>
      <c r="AF201" s="82" t="n"/>
      <c r="AG201" s="82">
        <f>IF(AN201="","",AD201+AE201+AF201)</f>
        <v/>
      </c>
      <c r="AH201" s="81">
        <f>IF(AN201="","",P201*(1-AG201))</f>
        <v/>
      </c>
      <c r="AI201" s="81">
        <f>IF(AN201="","",IF(Q201="Sin Factura",0,IFERROR(INDEX(Facturas_Odoo!$H:$H, MATCH(Q201, Facturas_Odoo!$B:$B, 0)), 0)*(1-AG201)))</f>
        <v/>
      </c>
      <c r="AJ201" s="81">
        <f>IF(AN201="","",_xlfn.LET(idVenta, AN201&amp;"",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1" s="81">
        <f>IF(AN201="","",AH201-AJ201)</f>
        <v/>
      </c>
      <c r="AL201" s="81">
        <f>IF(AN201="","",IF(Q201="Sin Factura","",AI201-AJ201))</f>
        <v/>
      </c>
      <c r="AM201" s="81">
        <f>IF(AN201="","",IF(Q201="Sin Factura",0,P201-IFERROR(INDEX(Facturas_Odoo!$H:$H, MATCH(Q201, Facturas_Odoo!$B:$B, 0)), 0)))</f>
        <v/>
      </c>
      <c r="AN201" s="79">
        <f>IF(AND(A201="", J201=""), "", IF(A201&lt;&gt;"", VALUE(MID(A201,2,LEN(A201))), AN200))</f>
        <v/>
      </c>
      <c r="AO201" s="79">
        <f>IF(AN201="","",IF(AD201=0,"OK",_xlfn.LET(monedaPago, IF(AA201="","USD",AA201), limitePermitido, IFERROR(VLOOKUP(monedaPago, Configuración!$A$2:$B$3, 2, FALSE), 0.15), IF(AD201&gt;limitePermitido, "ALERTA: EXCESO (" &amp; TEXT(limitePermitido, "0%") &amp; " máx)", "OK"))))</f>
        <v/>
      </c>
      <c r="AP201" s="79">
        <f>IF(AN201="","",IF(AE201=0,"OK",_xlfn.LET(fechaPago, Z201, fechaFactura, R201, diasCredito, IF(E201="Pago inmediato", 0, IFERROR(VALUE(MID(E201, 1, SEARCH(" ", E201)-1)),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1" s="79">
        <f>IF(AN201="","",IF(AND(N201&gt;0, AG201&gt;0), IF(Configuración!$K$2="NO", "ALERTA: DESCUENTO DOBLE NO PERMITIDO", "OK"), "OK"))</f>
        <v/>
      </c>
      <c r="AR201" s="79">
        <f>IF(AN201="","",IF(OR(AO201&lt;&gt;"OK", AP201&lt;&gt;"OK", AQ201&lt;&gt;"OK"), "⚠️ REVISAR", "OK"))</f>
        <v/>
      </c>
    </row>
    <row r="202">
      <c r="A202" s="79">
        <f>IF('Ordenes_Odoo'!A202="","",'Ordenes_Odoo'!A202)</f>
        <v/>
      </c>
      <c r="B202" s="80">
        <f>IF('Ordenes_Odoo'!B202="","",'Ordenes_Odoo'!B202)</f>
        <v/>
      </c>
      <c r="C202" s="79">
        <f>IF('Ordenes_Odoo'!C202="","",'Ordenes_Odoo'!C202)</f>
        <v/>
      </c>
      <c r="D202" s="79">
        <f>IF('Ordenes_Odoo'!D202="","",'Ordenes_Odoo'!D202)</f>
        <v/>
      </c>
      <c r="E202" s="79">
        <f>IF('Ordenes_Odoo'!E202="","",'Ordenes_Odoo'!E202)</f>
        <v/>
      </c>
      <c r="F202" s="79">
        <f>IF('Ordenes_Odoo'!F202="","",'Ordenes_Odoo'!F202)</f>
        <v/>
      </c>
      <c r="G202" s="79">
        <f>IF('Ordenes_Odoo'!G202="","",'Ordenes_Odoo'!G202)</f>
        <v/>
      </c>
      <c r="H202" s="79">
        <f>IF('Ordenes_Odoo'!H202="","",'Ordenes_Odoo'!H202)</f>
        <v/>
      </c>
      <c r="I202" s="79">
        <f>IF('Ordenes_Odoo'!I202="","",'Ordenes_Odoo'!I202)</f>
        <v/>
      </c>
      <c r="J202" s="79">
        <f>IF('Ordenes_Odoo'!J202="","",'Ordenes_Odoo'!J202)</f>
        <v/>
      </c>
      <c r="K202" s="81">
        <f>IF('Ordenes_Odoo'!K202="","",'Ordenes_Odoo'!K202)</f>
        <v/>
      </c>
      <c r="L202" s="81">
        <f>IF('Ordenes_Odoo'!L202="","",'Ordenes_Odoo'!L202)</f>
        <v/>
      </c>
      <c r="M202" s="79">
        <f>IF('Ordenes_Odoo'!M202="","",'Ordenes_Odoo'!M202)</f>
        <v/>
      </c>
      <c r="N202" s="79">
        <f>IF('Ordenes_Odoo'!N202="","",'Ordenes_Odoo'!N202)</f>
        <v/>
      </c>
      <c r="O202" s="81">
        <f>IF('Ordenes_Odoo'!O202="","",'Ordenes_Odoo'!O202)</f>
        <v/>
      </c>
      <c r="P202" s="81">
        <f>IF('Ordenes_Odoo'!P202="","",'Ordenes_Odoo'!P202)</f>
        <v/>
      </c>
      <c r="Q202" s="79">
        <f>IF(A202="","",IFERROR(INDEX(Facturas_Odoo!$B:$B, MATCH(A202, Facturas_Odoo!$D:$D, 0)), "Sin Factura"))</f>
        <v/>
      </c>
      <c r="R202" s="80">
        <f>IF(Q202="Sin Factura","",IFERROR(INDEX(Facturas_Odoo!$A:$A, MATCH(Q202, Facturas_Odoo!$B:$B, 0)), ""))</f>
        <v/>
      </c>
      <c r="S202" s="79">
        <f>IF(Q202="Sin Factura","",IFERROR(_xlfn.XLOOKUP(1, (Facturas_Odoo!$D:$D=A202) * (Facturas_Odoo!$K:$K=I202), Facturas_Odoo!$L:$L, ""), ""))</f>
        <v/>
      </c>
      <c r="T202" s="81">
        <f>IF(Q202="Sin Factura",0,IFERROR(_xlfn.XLOOKUP(1, (Facturas_Odoo!$D:$D=A202) * (Facturas_Odoo!$K:$K=I202), Facturas_Odoo!$M:$M, 0), 0))</f>
        <v/>
      </c>
      <c r="U202" s="79">
        <f>IF(Q202="Sin Factura",0,IFERROR(_xlfn.XLOOKUP(1, (Facturas_Odoo!$D:$D=A202) * (Facturas_Odoo!$K:$K=I202), Facturas_Odoo!$N:$N, 0), 0))</f>
        <v/>
      </c>
      <c r="V202" s="79">
        <f>IF(Q202="Sin Factura",0,IFERROR(_xlfn.XLOOKUP(1, (Facturas_Odoo!$D:$D=A202) * (Facturas_Odoo!$K:$K=I202), Facturas_Odoo!$O:$O, 0), 0))</f>
        <v/>
      </c>
      <c r="W202" s="81">
        <f>IF(Q202="Sin Factura",0,IFERROR(_xlfn.XLOOKUP(1, (Facturas_Odoo!$D:$D=A202) * (Facturas_Odoo!$K:$K=I202), Facturas_Odoo!$Q:$Q, 0), 0))</f>
        <v/>
      </c>
      <c r="X202" s="79">
        <f>IF(OR(Q202="Sin Factura",Q202=""),"",IFERROR(INDEX(Pagos_Odoo!$B:$B, MATCH(Q202, Pagos_Odoo!$I:$I, 0)), "Sin Pago"))</f>
        <v/>
      </c>
      <c r="Y202" s="79">
        <f>IF(X202="Sin Pago","",IFERROR(INDEX(Pagos_Odoo!$C:$C, MATCH(X202, Pagos_Odoo!$B:$B, 0)), ""))</f>
        <v/>
      </c>
      <c r="Z202" s="80">
        <f>IF(X202="Sin Pago","",IFERROR(INDEX(Pagos_Odoo!$A:$A, MATCH(X202, Pagos_Odoo!$B:$B, 0)), ""))</f>
        <v/>
      </c>
      <c r="AA202" s="79">
        <f>IF(X202="Sin Pago","",IFERROR(INDEX(Pagos_Odoo!$F:$F, MATCH(X202, Pagos_Odoo!$B:$B, 0)), ""))</f>
        <v/>
      </c>
      <c r="AB202" s="81">
        <f>IF(X202="Sin Pago",0,IFERROR(INDEX(Pagos_Odoo!$E:$E, MATCH(X202, Pagos_Odoo!$B:$B, 0)), 0))</f>
        <v/>
      </c>
      <c r="AC202" s="79">
        <f>IF(X202="Sin Pago","",IFERROR(INDEX(Pagos_Odoo!$G:$G, MATCH(X202, Pagos_Odoo!$B:$B, 0)), ""))</f>
        <v/>
      </c>
      <c r="AD202" s="82" t="n">
        <v>0</v>
      </c>
      <c r="AE202" s="82" t="n"/>
      <c r="AF202" s="82" t="n"/>
      <c r="AG202" s="82">
        <f>IF(AN202="","",AD202+AE202+AF202)</f>
        <v/>
      </c>
      <c r="AH202" s="81">
        <f>IF(AN202="","",P202*(1-AG202))</f>
        <v/>
      </c>
      <c r="AI202" s="81">
        <f>IF(AN202="","",IF(Q202="Sin Factura",0,IFERROR(INDEX(Facturas_Odoo!$H:$H, MATCH(Q202, Facturas_Odoo!$B:$B, 0)), 0)*(1-AG202)))</f>
        <v/>
      </c>
      <c r="AJ202" s="81">
        <f>IF(AN202="","",_xlfn.LET(idVenta, AN202&amp;"",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2" s="81">
        <f>IF(AN202="","",AH202-AJ202)</f>
        <v/>
      </c>
      <c r="AL202" s="81">
        <f>IF(AN202="","",IF(Q202="Sin Factura","",AI202-AJ202))</f>
        <v/>
      </c>
      <c r="AM202" s="81">
        <f>IF(AN202="","",IF(Q202="Sin Factura",0,P202-IFERROR(INDEX(Facturas_Odoo!$H:$H, MATCH(Q202, Facturas_Odoo!$B:$B, 0)), 0)))</f>
        <v/>
      </c>
      <c r="AN202" s="79">
        <f>IF(AND(A202="", J202=""), "", IF(A202&lt;&gt;"", VALUE(MID(A202,2,LEN(A202))), AN201))</f>
        <v/>
      </c>
      <c r="AO202" s="79">
        <f>IF(AN202="","",IF(AD202=0,"OK",_xlfn.LET(monedaPago, IF(AA202="","USD",AA202), limitePermitido, IFERROR(VLOOKUP(monedaPago, Configuración!$A$2:$B$3, 2, FALSE), 0.15), IF(AD202&gt;limitePermitido, "ALERTA: EXCESO (" &amp; TEXT(limitePermitido, "0%") &amp; " máx)", "OK"))))</f>
        <v/>
      </c>
      <c r="AP202" s="79">
        <f>IF(AN202="","",IF(AE202=0,"OK",_xlfn.LET(fechaPago, Z202, fechaFactura, R202, diasCredito, IF(E202="Pago inmediato", 0, IFERROR(VALUE(MID(E202, 1, SEARCH(" ", E202)-1)),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2" s="79">
        <f>IF(AN202="","",IF(AND(N202&gt;0, AG202&gt;0), IF(Configuración!$K$2="NO", "ALERTA: DESCUENTO DOBLE NO PERMITIDO", "OK"), "OK"))</f>
        <v/>
      </c>
      <c r="AR202" s="79">
        <f>IF(AN202="","",IF(OR(AO202&lt;&gt;"OK", AP202&lt;&gt;"OK", AQ202&lt;&gt;"OK"), "⚠️ REVISAR", "OK"))</f>
        <v/>
      </c>
    </row>
    <row r="203">
      <c r="A203" s="79">
        <f>IF('Ordenes_Odoo'!A203="","",'Ordenes_Odoo'!A203)</f>
        <v/>
      </c>
      <c r="B203" s="80">
        <f>IF('Ordenes_Odoo'!B203="","",'Ordenes_Odoo'!B203)</f>
        <v/>
      </c>
      <c r="C203" s="79">
        <f>IF('Ordenes_Odoo'!C203="","",'Ordenes_Odoo'!C203)</f>
        <v/>
      </c>
      <c r="D203" s="79">
        <f>IF('Ordenes_Odoo'!D203="","",'Ordenes_Odoo'!D203)</f>
        <v/>
      </c>
      <c r="E203" s="79">
        <f>IF('Ordenes_Odoo'!E203="","",'Ordenes_Odoo'!E203)</f>
        <v/>
      </c>
      <c r="F203" s="79">
        <f>IF('Ordenes_Odoo'!F203="","",'Ordenes_Odoo'!F203)</f>
        <v/>
      </c>
      <c r="G203" s="79">
        <f>IF('Ordenes_Odoo'!G203="","",'Ordenes_Odoo'!G203)</f>
        <v/>
      </c>
      <c r="H203" s="79">
        <f>IF('Ordenes_Odoo'!H203="","",'Ordenes_Odoo'!H203)</f>
        <v/>
      </c>
      <c r="I203" s="79">
        <f>IF('Ordenes_Odoo'!I203="","",'Ordenes_Odoo'!I203)</f>
        <v/>
      </c>
      <c r="J203" s="79">
        <f>IF('Ordenes_Odoo'!J203="","",'Ordenes_Odoo'!J203)</f>
        <v/>
      </c>
      <c r="K203" s="81">
        <f>IF('Ordenes_Odoo'!K203="","",'Ordenes_Odoo'!K203)</f>
        <v/>
      </c>
      <c r="L203" s="81">
        <f>IF('Ordenes_Odoo'!L203="","",'Ordenes_Odoo'!L203)</f>
        <v/>
      </c>
      <c r="M203" s="79">
        <f>IF('Ordenes_Odoo'!M203="","",'Ordenes_Odoo'!M203)</f>
        <v/>
      </c>
      <c r="N203" s="79">
        <f>IF('Ordenes_Odoo'!N203="","",'Ordenes_Odoo'!N203)</f>
        <v/>
      </c>
      <c r="O203" s="81">
        <f>IF('Ordenes_Odoo'!O203="","",'Ordenes_Odoo'!O203)</f>
        <v/>
      </c>
      <c r="P203" s="81">
        <f>IF('Ordenes_Odoo'!P203="","",'Ordenes_Odoo'!P203)</f>
        <v/>
      </c>
      <c r="Q203" s="79">
        <f>IF(A203="","",IFERROR(INDEX(Facturas_Odoo!$B:$B, MATCH(A203, Facturas_Odoo!$D:$D, 0)), "Sin Factura"))</f>
        <v/>
      </c>
      <c r="R203" s="80">
        <f>IF(Q203="Sin Factura","",IFERROR(INDEX(Facturas_Odoo!$A:$A, MATCH(Q203, Facturas_Odoo!$B:$B, 0)), ""))</f>
        <v/>
      </c>
      <c r="S203" s="79">
        <f>IF(Q203="Sin Factura","",IFERROR(_xlfn.XLOOKUP(1, (Facturas_Odoo!$D:$D=A203) * (Facturas_Odoo!$K:$K=I203), Facturas_Odoo!$L:$L, ""), ""))</f>
        <v/>
      </c>
      <c r="T203" s="81">
        <f>IF(Q203="Sin Factura",0,IFERROR(_xlfn.XLOOKUP(1, (Facturas_Odoo!$D:$D=A203) * (Facturas_Odoo!$K:$K=I203), Facturas_Odoo!$M:$M, 0), 0))</f>
        <v/>
      </c>
      <c r="U203" s="79">
        <f>IF(Q203="Sin Factura",0,IFERROR(_xlfn.XLOOKUP(1, (Facturas_Odoo!$D:$D=A203) * (Facturas_Odoo!$K:$K=I203), Facturas_Odoo!$N:$N, 0), 0))</f>
        <v/>
      </c>
      <c r="V203" s="79">
        <f>IF(Q203="Sin Factura",0,IFERROR(_xlfn.XLOOKUP(1, (Facturas_Odoo!$D:$D=A203) * (Facturas_Odoo!$K:$K=I203), Facturas_Odoo!$O:$O, 0), 0))</f>
        <v/>
      </c>
      <c r="W203" s="81">
        <f>IF(Q203="Sin Factura",0,IFERROR(_xlfn.XLOOKUP(1, (Facturas_Odoo!$D:$D=A203) * (Facturas_Odoo!$K:$K=I203), Facturas_Odoo!$Q:$Q, 0), 0))</f>
        <v/>
      </c>
      <c r="X203" s="79">
        <f>IF(OR(Q203="Sin Factura",Q203=""),"",IFERROR(INDEX(Pagos_Odoo!$B:$B, MATCH(Q203, Pagos_Odoo!$I:$I, 0)), "Sin Pago"))</f>
        <v/>
      </c>
      <c r="Y203" s="79">
        <f>IF(X203="Sin Pago","",IFERROR(INDEX(Pagos_Odoo!$C:$C, MATCH(X203, Pagos_Odoo!$B:$B, 0)), ""))</f>
        <v/>
      </c>
      <c r="Z203" s="80">
        <f>IF(X203="Sin Pago","",IFERROR(INDEX(Pagos_Odoo!$A:$A, MATCH(X203, Pagos_Odoo!$B:$B, 0)), ""))</f>
        <v/>
      </c>
      <c r="AA203" s="79">
        <f>IF(X203="Sin Pago","",IFERROR(INDEX(Pagos_Odoo!$F:$F, MATCH(X203, Pagos_Odoo!$B:$B, 0)), ""))</f>
        <v/>
      </c>
      <c r="AB203" s="81">
        <f>IF(X203="Sin Pago",0,IFERROR(INDEX(Pagos_Odoo!$E:$E, MATCH(X203, Pagos_Odoo!$B:$B, 0)), 0))</f>
        <v/>
      </c>
      <c r="AC203" s="79">
        <f>IF(X203="Sin Pago","",IFERROR(INDEX(Pagos_Odoo!$G:$G, MATCH(X203, Pagos_Odoo!$B:$B, 0)), ""))</f>
        <v/>
      </c>
      <c r="AD203" s="82" t="n">
        <v>0</v>
      </c>
      <c r="AE203" s="82" t="n"/>
      <c r="AF203" s="82" t="n"/>
      <c r="AG203" s="82">
        <f>IF(AN203="","",AD203+AE203+AF203)</f>
        <v/>
      </c>
      <c r="AH203" s="81">
        <f>IF(AN203="","",P203*(1-AG203))</f>
        <v/>
      </c>
      <c r="AI203" s="81">
        <f>IF(AN203="","",IF(Q203="Sin Factura",0,IFERROR(INDEX(Facturas_Odoo!$H:$H, MATCH(Q203, Facturas_Odoo!$B:$B, 0)), 0)*(1-AG203)))</f>
        <v/>
      </c>
      <c r="AJ203" s="81">
        <f>IF(AN203="","",_xlfn.LET(idVenta, AN203&amp;"",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3" s="81">
        <f>IF(AN203="","",AH203-AJ203)</f>
        <v/>
      </c>
      <c r="AL203" s="81">
        <f>IF(AN203="","",IF(Q203="Sin Factura","",AI203-AJ203))</f>
        <v/>
      </c>
      <c r="AM203" s="81">
        <f>IF(AN203="","",IF(Q203="Sin Factura",0,P203-IFERROR(INDEX(Facturas_Odoo!$H:$H, MATCH(Q203, Facturas_Odoo!$B:$B, 0)), 0)))</f>
        <v/>
      </c>
      <c r="AN203" s="79">
        <f>IF(AND(A203="", J203=""), "", IF(A203&lt;&gt;"", VALUE(MID(A203,2,LEN(A203))), AN202))</f>
        <v/>
      </c>
      <c r="AO203" s="79">
        <f>IF(AN203="","",IF(AD203=0,"OK",_xlfn.LET(monedaPago, IF(AA203="","USD",AA203), limitePermitido, IFERROR(VLOOKUP(monedaPago, Configuración!$A$2:$B$3, 2, FALSE), 0.15), IF(AD203&gt;limitePermitido, "ALERTA: EXCESO (" &amp; TEXT(limitePermitido, "0%") &amp; " máx)", "OK"))))</f>
        <v/>
      </c>
      <c r="AP203" s="79">
        <f>IF(AN203="","",IF(AE203=0,"OK",_xlfn.LET(fechaPago, Z203, fechaFactura, R203, diasCredito, IF(E203="Pago inmediato", 0, IFERROR(VALUE(MID(E203, 1, SEARCH(" ", E203)-1)),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3" s="79">
        <f>IF(AN203="","",IF(AND(N203&gt;0, AG203&gt;0), IF(Configuración!$K$2="NO", "ALERTA: DESCUENTO DOBLE NO PERMITIDO", "OK"), "OK"))</f>
        <v/>
      </c>
      <c r="AR203" s="79">
        <f>IF(AN203="","",IF(OR(AO203&lt;&gt;"OK", AP203&lt;&gt;"OK", AQ203&lt;&gt;"OK"), "⚠️ REVISAR", "OK"))</f>
        <v/>
      </c>
    </row>
    <row r="204">
      <c r="A204" s="79">
        <f>IF('Ordenes_Odoo'!A204="","",'Ordenes_Odoo'!A204)</f>
        <v/>
      </c>
      <c r="B204" s="80">
        <f>IF('Ordenes_Odoo'!B204="","",'Ordenes_Odoo'!B204)</f>
        <v/>
      </c>
      <c r="C204" s="79">
        <f>IF('Ordenes_Odoo'!C204="","",'Ordenes_Odoo'!C204)</f>
        <v/>
      </c>
      <c r="D204" s="79">
        <f>IF('Ordenes_Odoo'!D204="","",'Ordenes_Odoo'!D204)</f>
        <v/>
      </c>
      <c r="E204" s="79">
        <f>IF('Ordenes_Odoo'!E204="","",'Ordenes_Odoo'!E204)</f>
        <v/>
      </c>
      <c r="F204" s="79">
        <f>IF('Ordenes_Odoo'!F204="","",'Ordenes_Odoo'!F204)</f>
        <v/>
      </c>
      <c r="G204" s="79">
        <f>IF('Ordenes_Odoo'!G204="","",'Ordenes_Odoo'!G204)</f>
        <v/>
      </c>
      <c r="H204" s="79">
        <f>IF('Ordenes_Odoo'!H204="","",'Ordenes_Odoo'!H204)</f>
        <v/>
      </c>
      <c r="I204" s="79">
        <f>IF('Ordenes_Odoo'!I204="","",'Ordenes_Odoo'!I204)</f>
        <v/>
      </c>
      <c r="J204" s="79">
        <f>IF('Ordenes_Odoo'!J204="","",'Ordenes_Odoo'!J204)</f>
        <v/>
      </c>
      <c r="K204" s="81">
        <f>IF('Ordenes_Odoo'!K204="","",'Ordenes_Odoo'!K204)</f>
        <v/>
      </c>
      <c r="L204" s="81">
        <f>IF('Ordenes_Odoo'!L204="","",'Ordenes_Odoo'!L204)</f>
        <v/>
      </c>
      <c r="M204" s="79">
        <f>IF('Ordenes_Odoo'!M204="","",'Ordenes_Odoo'!M204)</f>
        <v/>
      </c>
      <c r="N204" s="79">
        <f>IF('Ordenes_Odoo'!N204="","",'Ordenes_Odoo'!N204)</f>
        <v/>
      </c>
      <c r="O204" s="81">
        <f>IF('Ordenes_Odoo'!O204="","",'Ordenes_Odoo'!O204)</f>
        <v/>
      </c>
      <c r="P204" s="81">
        <f>IF('Ordenes_Odoo'!P204="","",'Ordenes_Odoo'!P204)</f>
        <v/>
      </c>
      <c r="Q204" s="79">
        <f>IF(A204="","",IFERROR(INDEX(Facturas_Odoo!$B:$B, MATCH(A204, Facturas_Odoo!$D:$D, 0)), "Sin Factura"))</f>
        <v/>
      </c>
      <c r="R204" s="80">
        <f>IF(Q204="Sin Factura","",IFERROR(INDEX(Facturas_Odoo!$A:$A, MATCH(Q204, Facturas_Odoo!$B:$B, 0)), ""))</f>
        <v/>
      </c>
      <c r="S204" s="79">
        <f>IF(Q204="Sin Factura","",IFERROR(_xlfn.XLOOKUP(1, (Facturas_Odoo!$D:$D=A204) * (Facturas_Odoo!$K:$K=I204), Facturas_Odoo!$L:$L, ""), ""))</f>
        <v/>
      </c>
      <c r="T204" s="81">
        <f>IF(Q204="Sin Factura",0,IFERROR(_xlfn.XLOOKUP(1, (Facturas_Odoo!$D:$D=A204) * (Facturas_Odoo!$K:$K=I204), Facturas_Odoo!$M:$M, 0), 0))</f>
        <v/>
      </c>
      <c r="U204" s="79">
        <f>IF(Q204="Sin Factura",0,IFERROR(_xlfn.XLOOKUP(1, (Facturas_Odoo!$D:$D=A204) * (Facturas_Odoo!$K:$K=I204), Facturas_Odoo!$N:$N, 0), 0))</f>
        <v/>
      </c>
      <c r="V204" s="79">
        <f>IF(Q204="Sin Factura",0,IFERROR(_xlfn.XLOOKUP(1, (Facturas_Odoo!$D:$D=A204) * (Facturas_Odoo!$K:$K=I204), Facturas_Odoo!$O:$O, 0), 0))</f>
        <v/>
      </c>
      <c r="W204" s="81">
        <f>IF(Q204="Sin Factura",0,IFERROR(_xlfn.XLOOKUP(1, (Facturas_Odoo!$D:$D=A204) * (Facturas_Odoo!$K:$K=I204), Facturas_Odoo!$Q:$Q, 0), 0))</f>
        <v/>
      </c>
      <c r="X204" s="79">
        <f>IF(OR(Q204="Sin Factura",Q204=""),"",IFERROR(INDEX(Pagos_Odoo!$B:$B, MATCH(Q204, Pagos_Odoo!$I:$I, 0)), "Sin Pago"))</f>
        <v/>
      </c>
      <c r="Y204" s="79">
        <f>IF(X204="Sin Pago","",IFERROR(INDEX(Pagos_Odoo!$C:$C, MATCH(X204, Pagos_Odoo!$B:$B, 0)), ""))</f>
        <v/>
      </c>
      <c r="Z204" s="80">
        <f>IF(X204="Sin Pago","",IFERROR(INDEX(Pagos_Odoo!$A:$A, MATCH(X204, Pagos_Odoo!$B:$B, 0)), ""))</f>
        <v/>
      </c>
      <c r="AA204" s="79">
        <f>IF(X204="Sin Pago","",IFERROR(INDEX(Pagos_Odoo!$F:$F, MATCH(X204, Pagos_Odoo!$B:$B, 0)), ""))</f>
        <v/>
      </c>
      <c r="AB204" s="81">
        <f>IF(X204="Sin Pago",0,IFERROR(INDEX(Pagos_Odoo!$E:$E, MATCH(X204, Pagos_Odoo!$B:$B, 0)), 0))</f>
        <v/>
      </c>
      <c r="AC204" s="79">
        <f>IF(X204="Sin Pago","",IFERROR(INDEX(Pagos_Odoo!$G:$G, MATCH(X204, Pagos_Odoo!$B:$B, 0)), ""))</f>
        <v/>
      </c>
      <c r="AD204" s="82" t="n">
        <v>0</v>
      </c>
      <c r="AE204" s="82" t="n"/>
      <c r="AF204" s="82" t="n"/>
      <c r="AG204" s="82">
        <f>IF(AN204="","",AD204+AE204+AF204)</f>
        <v/>
      </c>
      <c r="AH204" s="81">
        <f>IF(AN204="","",P204*(1-AG204))</f>
        <v/>
      </c>
      <c r="AI204" s="81">
        <f>IF(AN204="","",IF(Q204="Sin Factura",0,IFERROR(INDEX(Facturas_Odoo!$H:$H, MATCH(Q204, Facturas_Odoo!$B:$B, 0)), 0)*(1-AG204)))</f>
        <v/>
      </c>
      <c r="AJ204" s="81">
        <f>IF(AN204="","",_xlfn.LET(idVenta, AN204&amp;"",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4" s="81">
        <f>IF(AN204="","",AH204-AJ204)</f>
        <v/>
      </c>
      <c r="AL204" s="81">
        <f>IF(AN204="","",IF(Q204="Sin Factura","",AI204-AJ204))</f>
        <v/>
      </c>
      <c r="AM204" s="81">
        <f>IF(AN204="","",IF(Q204="Sin Factura",0,P204-IFERROR(INDEX(Facturas_Odoo!$H:$H, MATCH(Q204, Facturas_Odoo!$B:$B, 0)), 0)))</f>
        <v/>
      </c>
      <c r="AN204" s="79">
        <f>IF(AND(A204="", J204=""), "", IF(A204&lt;&gt;"", VALUE(MID(A204,2,LEN(A204))), AN203))</f>
        <v/>
      </c>
      <c r="AO204" s="79">
        <f>IF(AN204="","",IF(AD204=0,"OK",_xlfn.LET(monedaPago, IF(AA204="","USD",AA204), limitePermitido, IFERROR(VLOOKUP(monedaPago, Configuración!$A$2:$B$3, 2, FALSE), 0.15), IF(AD204&gt;limitePermitido, "ALERTA: EXCESO (" &amp; TEXT(limitePermitido, "0%") &amp; " máx)", "OK"))))</f>
        <v/>
      </c>
      <c r="AP204" s="79">
        <f>IF(AN204="","",IF(AE204=0,"OK",_xlfn.LET(fechaPago, Z204, fechaFactura, R204, diasCredito, IF(E204="Pago inmediato", 0, IFERROR(VALUE(MID(E204, 1, SEARCH(" ", E204)-1)),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4" s="79">
        <f>IF(AN204="","",IF(AND(N204&gt;0, AG204&gt;0), IF(Configuración!$K$2="NO", "ALERTA: DESCUENTO DOBLE NO PERMITIDO", "OK"), "OK"))</f>
        <v/>
      </c>
      <c r="AR204" s="79">
        <f>IF(AN204="","",IF(OR(AO204&lt;&gt;"OK", AP204&lt;&gt;"OK", AQ204&lt;&gt;"OK"), "⚠️ REVISAR", "OK"))</f>
        <v/>
      </c>
    </row>
    <row r="205">
      <c r="A205" s="79">
        <f>IF('Ordenes_Odoo'!A205="","",'Ordenes_Odoo'!A205)</f>
        <v/>
      </c>
      <c r="B205" s="80">
        <f>IF('Ordenes_Odoo'!B205="","",'Ordenes_Odoo'!B205)</f>
        <v/>
      </c>
      <c r="C205" s="79">
        <f>IF('Ordenes_Odoo'!C205="","",'Ordenes_Odoo'!C205)</f>
        <v/>
      </c>
      <c r="D205" s="79">
        <f>IF('Ordenes_Odoo'!D205="","",'Ordenes_Odoo'!D205)</f>
        <v/>
      </c>
      <c r="E205" s="79">
        <f>IF('Ordenes_Odoo'!E205="","",'Ordenes_Odoo'!E205)</f>
        <v/>
      </c>
      <c r="F205" s="79">
        <f>IF('Ordenes_Odoo'!F205="","",'Ordenes_Odoo'!F205)</f>
        <v/>
      </c>
      <c r="G205" s="79">
        <f>IF('Ordenes_Odoo'!G205="","",'Ordenes_Odoo'!G205)</f>
        <v/>
      </c>
      <c r="H205" s="79">
        <f>IF('Ordenes_Odoo'!H205="","",'Ordenes_Odoo'!H205)</f>
        <v/>
      </c>
      <c r="I205" s="79">
        <f>IF('Ordenes_Odoo'!I205="","",'Ordenes_Odoo'!I205)</f>
        <v/>
      </c>
      <c r="J205" s="79">
        <f>IF('Ordenes_Odoo'!J205="","",'Ordenes_Odoo'!J205)</f>
        <v/>
      </c>
      <c r="K205" s="81">
        <f>IF('Ordenes_Odoo'!K205="","",'Ordenes_Odoo'!K205)</f>
        <v/>
      </c>
      <c r="L205" s="81">
        <f>IF('Ordenes_Odoo'!L205="","",'Ordenes_Odoo'!L205)</f>
        <v/>
      </c>
      <c r="M205" s="79">
        <f>IF('Ordenes_Odoo'!M205="","",'Ordenes_Odoo'!M205)</f>
        <v/>
      </c>
      <c r="N205" s="79">
        <f>IF('Ordenes_Odoo'!N205="","",'Ordenes_Odoo'!N205)</f>
        <v/>
      </c>
      <c r="O205" s="81">
        <f>IF('Ordenes_Odoo'!O205="","",'Ordenes_Odoo'!O205)</f>
        <v/>
      </c>
      <c r="P205" s="81">
        <f>IF('Ordenes_Odoo'!P205="","",'Ordenes_Odoo'!P205)</f>
        <v/>
      </c>
      <c r="Q205" s="79">
        <f>IF(A205="","",IFERROR(INDEX(Facturas_Odoo!$B:$B, MATCH(A205, Facturas_Odoo!$D:$D, 0)), "Sin Factura"))</f>
        <v/>
      </c>
      <c r="R205" s="80">
        <f>IF(Q205="Sin Factura","",IFERROR(INDEX(Facturas_Odoo!$A:$A, MATCH(Q205, Facturas_Odoo!$B:$B, 0)), ""))</f>
        <v/>
      </c>
      <c r="S205" s="79">
        <f>IF(Q205="Sin Factura","",IFERROR(_xlfn.XLOOKUP(1, (Facturas_Odoo!$D:$D=A205) * (Facturas_Odoo!$K:$K=I205), Facturas_Odoo!$L:$L, ""), ""))</f>
        <v/>
      </c>
      <c r="T205" s="81">
        <f>IF(Q205="Sin Factura",0,IFERROR(_xlfn.XLOOKUP(1, (Facturas_Odoo!$D:$D=A205) * (Facturas_Odoo!$K:$K=I205), Facturas_Odoo!$M:$M, 0), 0))</f>
        <v/>
      </c>
      <c r="U205" s="79">
        <f>IF(Q205="Sin Factura",0,IFERROR(_xlfn.XLOOKUP(1, (Facturas_Odoo!$D:$D=A205) * (Facturas_Odoo!$K:$K=I205), Facturas_Odoo!$N:$N, 0), 0))</f>
        <v/>
      </c>
      <c r="V205" s="79">
        <f>IF(Q205="Sin Factura",0,IFERROR(_xlfn.XLOOKUP(1, (Facturas_Odoo!$D:$D=A205) * (Facturas_Odoo!$K:$K=I205), Facturas_Odoo!$O:$O, 0), 0))</f>
        <v/>
      </c>
      <c r="W205" s="81">
        <f>IF(Q205="Sin Factura",0,IFERROR(_xlfn.XLOOKUP(1, (Facturas_Odoo!$D:$D=A205) * (Facturas_Odoo!$K:$K=I205), Facturas_Odoo!$Q:$Q, 0), 0))</f>
        <v/>
      </c>
      <c r="X205" s="79">
        <f>IF(OR(Q205="Sin Factura",Q205=""),"",IFERROR(INDEX(Pagos_Odoo!$B:$B, MATCH(Q205, Pagos_Odoo!$I:$I, 0)), "Sin Pago"))</f>
        <v/>
      </c>
      <c r="Y205" s="79">
        <f>IF(X205="Sin Pago","",IFERROR(INDEX(Pagos_Odoo!$C:$C, MATCH(X205, Pagos_Odoo!$B:$B, 0)), ""))</f>
        <v/>
      </c>
      <c r="Z205" s="80">
        <f>IF(X205="Sin Pago","",IFERROR(INDEX(Pagos_Odoo!$A:$A, MATCH(X205, Pagos_Odoo!$B:$B, 0)), ""))</f>
        <v/>
      </c>
      <c r="AA205" s="79">
        <f>IF(X205="Sin Pago","",IFERROR(INDEX(Pagos_Odoo!$F:$F, MATCH(X205, Pagos_Odoo!$B:$B, 0)), ""))</f>
        <v/>
      </c>
      <c r="AB205" s="81">
        <f>IF(X205="Sin Pago",0,IFERROR(INDEX(Pagos_Odoo!$E:$E, MATCH(X205, Pagos_Odoo!$B:$B, 0)), 0))</f>
        <v/>
      </c>
      <c r="AC205" s="79">
        <f>IF(X205="Sin Pago","",IFERROR(INDEX(Pagos_Odoo!$G:$G, MATCH(X205, Pagos_Odoo!$B:$B, 0)), ""))</f>
        <v/>
      </c>
      <c r="AD205" s="82" t="n">
        <v>0</v>
      </c>
      <c r="AE205" s="82" t="n"/>
      <c r="AF205" s="82" t="n"/>
      <c r="AG205" s="82">
        <f>IF(AN205="","",AD205+AE205+AF205)</f>
        <v/>
      </c>
      <c r="AH205" s="81">
        <f>IF(AN205="","",P205*(1-AG205))</f>
        <v/>
      </c>
      <c r="AI205" s="81">
        <f>IF(AN205="","",IF(Q205="Sin Factura",0,IFERROR(INDEX(Facturas_Odoo!$H:$H, MATCH(Q205, Facturas_Odoo!$B:$B, 0)), 0)*(1-AG205)))</f>
        <v/>
      </c>
      <c r="AJ205" s="81">
        <f>IF(AN205="","",_xlfn.LET(idVenta, AN205&amp;"",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5" s="81">
        <f>IF(AN205="","",AH205-AJ205)</f>
        <v/>
      </c>
      <c r="AL205" s="81">
        <f>IF(AN205="","",IF(Q205="Sin Factura","",AI205-AJ205))</f>
        <v/>
      </c>
      <c r="AM205" s="81">
        <f>IF(AN205="","",IF(Q205="Sin Factura",0,P205-IFERROR(INDEX(Facturas_Odoo!$H:$H, MATCH(Q205, Facturas_Odoo!$B:$B, 0)), 0)))</f>
        <v/>
      </c>
      <c r="AN205" s="79">
        <f>IF(AND(A205="", J205=""), "", IF(A205&lt;&gt;"", VALUE(MID(A205,2,LEN(A205))), AN204))</f>
        <v/>
      </c>
      <c r="AO205" s="79">
        <f>IF(AN205="","",IF(AD205=0,"OK",_xlfn.LET(monedaPago, IF(AA205="","USD",AA205), limitePermitido, IFERROR(VLOOKUP(monedaPago, Configuración!$A$2:$B$3, 2, FALSE), 0.15), IF(AD205&gt;limitePermitido, "ALERTA: EXCESO (" &amp; TEXT(limitePermitido, "0%") &amp; " máx)", "OK"))))</f>
        <v/>
      </c>
      <c r="AP205" s="79">
        <f>IF(AN205="","",IF(AE205=0,"OK",_xlfn.LET(fechaPago, Z205, fechaFactura, R205, diasCredito, IF(E205="Pago inmediato", 0, IFERROR(VALUE(MID(E205, 1, SEARCH(" ", E205)-1)),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5" s="79">
        <f>IF(AN205="","",IF(AND(N205&gt;0, AG205&gt;0), IF(Configuración!$K$2="NO", "ALERTA: DESCUENTO DOBLE NO PERMITIDO", "OK"), "OK"))</f>
        <v/>
      </c>
      <c r="AR205" s="79">
        <f>IF(AN205="","",IF(OR(AO205&lt;&gt;"OK", AP205&lt;&gt;"OK", AQ205&lt;&gt;"OK"), "⚠️ REVISAR", "OK"))</f>
        <v/>
      </c>
    </row>
    <row r="206">
      <c r="A206" s="79">
        <f>IF('Ordenes_Odoo'!A206="","",'Ordenes_Odoo'!A206)</f>
        <v/>
      </c>
      <c r="B206" s="80">
        <f>IF('Ordenes_Odoo'!B206="","",'Ordenes_Odoo'!B206)</f>
        <v/>
      </c>
      <c r="C206" s="79">
        <f>IF('Ordenes_Odoo'!C206="","",'Ordenes_Odoo'!C206)</f>
        <v/>
      </c>
      <c r="D206" s="79">
        <f>IF('Ordenes_Odoo'!D206="","",'Ordenes_Odoo'!D206)</f>
        <v/>
      </c>
      <c r="E206" s="79">
        <f>IF('Ordenes_Odoo'!E206="","",'Ordenes_Odoo'!E206)</f>
        <v/>
      </c>
      <c r="F206" s="79">
        <f>IF('Ordenes_Odoo'!F206="","",'Ordenes_Odoo'!F206)</f>
        <v/>
      </c>
      <c r="G206" s="79">
        <f>IF('Ordenes_Odoo'!G206="","",'Ordenes_Odoo'!G206)</f>
        <v/>
      </c>
      <c r="H206" s="79">
        <f>IF('Ordenes_Odoo'!H206="","",'Ordenes_Odoo'!H206)</f>
        <v/>
      </c>
      <c r="I206" s="79">
        <f>IF('Ordenes_Odoo'!I206="","",'Ordenes_Odoo'!I206)</f>
        <v/>
      </c>
      <c r="J206" s="79">
        <f>IF('Ordenes_Odoo'!J206="","",'Ordenes_Odoo'!J206)</f>
        <v/>
      </c>
      <c r="K206" s="81">
        <f>IF('Ordenes_Odoo'!K206="","",'Ordenes_Odoo'!K206)</f>
        <v/>
      </c>
      <c r="L206" s="81">
        <f>IF('Ordenes_Odoo'!L206="","",'Ordenes_Odoo'!L206)</f>
        <v/>
      </c>
      <c r="M206" s="79">
        <f>IF('Ordenes_Odoo'!M206="","",'Ordenes_Odoo'!M206)</f>
        <v/>
      </c>
      <c r="N206" s="79">
        <f>IF('Ordenes_Odoo'!N206="","",'Ordenes_Odoo'!N206)</f>
        <v/>
      </c>
      <c r="O206" s="81">
        <f>IF('Ordenes_Odoo'!O206="","",'Ordenes_Odoo'!O206)</f>
        <v/>
      </c>
      <c r="P206" s="81">
        <f>IF('Ordenes_Odoo'!P206="","",'Ordenes_Odoo'!P206)</f>
        <v/>
      </c>
      <c r="Q206" s="79">
        <f>IF(A206="","",IFERROR(INDEX(Facturas_Odoo!$B:$B, MATCH(A206, Facturas_Odoo!$D:$D, 0)), "Sin Factura"))</f>
        <v/>
      </c>
      <c r="R206" s="80">
        <f>IF(Q206="Sin Factura","",IFERROR(INDEX(Facturas_Odoo!$A:$A, MATCH(Q206, Facturas_Odoo!$B:$B, 0)), ""))</f>
        <v/>
      </c>
      <c r="S206" s="79">
        <f>IF(Q206="Sin Factura","",IFERROR(_xlfn.XLOOKUP(1, (Facturas_Odoo!$D:$D=A206) * (Facturas_Odoo!$K:$K=I206), Facturas_Odoo!$L:$L, ""), ""))</f>
        <v/>
      </c>
      <c r="T206" s="81">
        <f>IF(Q206="Sin Factura",0,IFERROR(_xlfn.XLOOKUP(1, (Facturas_Odoo!$D:$D=A206) * (Facturas_Odoo!$K:$K=I206), Facturas_Odoo!$M:$M, 0), 0))</f>
        <v/>
      </c>
      <c r="U206" s="79">
        <f>IF(Q206="Sin Factura",0,IFERROR(_xlfn.XLOOKUP(1, (Facturas_Odoo!$D:$D=A206) * (Facturas_Odoo!$K:$K=I206), Facturas_Odoo!$N:$N, 0), 0))</f>
        <v/>
      </c>
      <c r="V206" s="79">
        <f>IF(Q206="Sin Factura",0,IFERROR(_xlfn.XLOOKUP(1, (Facturas_Odoo!$D:$D=A206) * (Facturas_Odoo!$K:$K=I206), Facturas_Odoo!$O:$O, 0), 0))</f>
        <v/>
      </c>
      <c r="W206" s="81">
        <f>IF(Q206="Sin Factura",0,IFERROR(_xlfn.XLOOKUP(1, (Facturas_Odoo!$D:$D=A206) * (Facturas_Odoo!$K:$K=I206), Facturas_Odoo!$Q:$Q, 0), 0))</f>
        <v/>
      </c>
      <c r="X206" s="79">
        <f>IF(OR(Q206="Sin Factura",Q206=""),"",IFERROR(INDEX(Pagos_Odoo!$B:$B, MATCH(Q206, Pagos_Odoo!$I:$I, 0)), "Sin Pago"))</f>
        <v/>
      </c>
      <c r="Y206" s="79">
        <f>IF(X206="Sin Pago","",IFERROR(INDEX(Pagos_Odoo!$C:$C, MATCH(X206, Pagos_Odoo!$B:$B, 0)), ""))</f>
        <v/>
      </c>
      <c r="Z206" s="80">
        <f>IF(X206="Sin Pago","",IFERROR(INDEX(Pagos_Odoo!$A:$A, MATCH(X206, Pagos_Odoo!$B:$B, 0)), ""))</f>
        <v/>
      </c>
      <c r="AA206" s="79">
        <f>IF(X206="Sin Pago","",IFERROR(INDEX(Pagos_Odoo!$F:$F, MATCH(X206, Pagos_Odoo!$B:$B, 0)), ""))</f>
        <v/>
      </c>
      <c r="AB206" s="81">
        <f>IF(X206="Sin Pago",0,IFERROR(INDEX(Pagos_Odoo!$E:$E, MATCH(X206, Pagos_Odoo!$B:$B, 0)), 0))</f>
        <v/>
      </c>
      <c r="AC206" s="79">
        <f>IF(X206="Sin Pago","",IFERROR(INDEX(Pagos_Odoo!$G:$G, MATCH(X206, Pagos_Odoo!$B:$B, 0)), ""))</f>
        <v/>
      </c>
      <c r="AD206" s="82" t="n">
        <v>0</v>
      </c>
      <c r="AE206" s="82" t="n"/>
      <c r="AF206" s="82" t="n"/>
      <c r="AG206" s="82">
        <f>IF(AN206="","",AD206+AE206+AF206)</f>
        <v/>
      </c>
      <c r="AH206" s="81">
        <f>IF(AN206="","",P206*(1-AG206))</f>
        <v/>
      </c>
      <c r="AI206" s="81">
        <f>IF(AN206="","",IF(Q206="Sin Factura",0,IFERROR(INDEX(Facturas_Odoo!$H:$H, MATCH(Q206, Facturas_Odoo!$B:$B, 0)), 0)*(1-AG206)))</f>
        <v/>
      </c>
      <c r="AJ206" s="81">
        <f>IF(AN206="","",_xlfn.LET(idVenta, AN206&amp;"",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6" s="81">
        <f>IF(AN206="","",AH206-AJ206)</f>
        <v/>
      </c>
      <c r="AL206" s="81">
        <f>IF(AN206="","",IF(Q206="Sin Factura","",AI206-AJ206))</f>
        <v/>
      </c>
      <c r="AM206" s="81">
        <f>IF(AN206="","",IF(Q206="Sin Factura",0,P206-IFERROR(INDEX(Facturas_Odoo!$H:$H, MATCH(Q206, Facturas_Odoo!$B:$B, 0)), 0)))</f>
        <v/>
      </c>
      <c r="AN206" s="79">
        <f>IF(AND(A206="", J206=""), "", IF(A206&lt;&gt;"", VALUE(MID(A206,2,LEN(A206))), AN205))</f>
        <v/>
      </c>
      <c r="AO206" s="79">
        <f>IF(AN206="","",IF(AD206=0,"OK",_xlfn.LET(monedaPago, IF(AA206="","USD",AA206), limitePermitido, IFERROR(VLOOKUP(monedaPago, Configuración!$A$2:$B$3, 2, FALSE), 0.15), IF(AD206&gt;limitePermitido, "ALERTA: EXCESO (" &amp; TEXT(limitePermitido, "0%") &amp; " máx)", "OK"))))</f>
        <v/>
      </c>
      <c r="AP206" s="79">
        <f>IF(AN206="","",IF(AE206=0,"OK",_xlfn.LET(fechaPago, Z206, fechaFactura, R206, diasCredito, IF(E206="Pago inmediato", 0, IFERROR(VALUE(MID(E206, 1, SEARCH(" ", E206)-1)),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6" s="79">
        <f>IF(AN206="","",IF(AND(N206&gt;0, AG206&gt;0), IF(Configuración!$K$2="NO", "ALERTA: DESCUENTO DOBLE NO PERMITIDO", "OK"), "OK"))</f>
        <v/>
      </c>
      <c r="AR206" s="79">
        <f>IF(AN206="","",IF(OR(AO206&lt;&gt;"OK", AP206&lt;&gt;"OK", AQ206&lt;&gt;"OK"), "⚠️ REVISAR", "OK"))</f>
        <v/>
      </c>
    </row>
    <row r="207">
      <c r="A207" s="79">
        <f>IF('Ordenes_Odoo'!A207="","",'Ordenes_Odoo'!A207)</f>
        <v/>
      </c>
      <c r="B207" s="80">
        <f>IF('Ordenes_Odoo'!B207="","",'Ordenes_Odoo'!B207)</f>
        <v/>
      </c>
      <c r="C207" s="79">
        <f>IF('Ordenes_Odoo'!C207="","",'Ordenes_Odoo'!C207)</f>
        <v/>
      </c>
      <c r="D207" s="79">
        <f>IF('Ordenes_Odoo'!D207="","",'Ordenes_Odoo'!D207)</f>
        <v/>
      </c>
      <c r="E207" s="79">
        <f>IF('Ordenes_Odoo'!E207="","",'Ordenes_Odoo'!E207)</f>
        <v/>
      </c>
      <c r="F207" s="79">
        <f>IF('Ordenes_Odoo'!F207="","",'Ordenes_Odoo'!F207)</f>
        <v/>
      </c>
      <c r="G207" s="79">
        <f>IF('Ordenes_Odoo'!G207="","",'Ordenes_Odoo'!G207)</f>
        <v/>
      </c>
      <c r="H207" s="79">
        <f>IF('Ordenes_Odoo'!H207="","",'Ordenes_Odoo'!H207)</f>
        <v/>
      </c>
      <c r="I207" s="79">
        <f>IF('Ordenes_Odoo'!I207="","",'Ordenes_Odoo'!I207)</f>
        <v/>
      </c>
      <c r="J207" s="79">
        <f>IF('Ordenes_Odoo'!J207="","",'Ordenes_Odoo'!J207)</f>
        <v/>
      </c>
      <c r="K207" s="81">
        <f>IF('Ordenes_Odoo'!K207="","",'Ordenes_Odoo'!K207)</f>
        <v/>
      </c>
      <c r="L207" s="81">
        <f>IF('Ordenes_Odoo'!L207="","",'Ordenes_Odoo'!L207)</f>
        <v/>
      </c>
      <c r="M207" s="79">
        <f>IF('Ordenes_Odoo'!M207="","",'Ordenes_Odoo'!M207)</f>
        <v/>
      </c>
      <c r="N207" s="79">
        <f>IF('Ordenes_Odoo'!N207="","",'Ordenes_Odoo'!N207)</f>
        <v/>
      </c>
      <c r="O207" s="81">
        <f>IF('Ordenes_Odoo'!O207="","",'Ordenes_Odoo'!O207)</f>
        <v/>
      </c>
      <c r="P207" s="81">
        <f>IF('Ordenes_Odoo'!P207="","",'Ordenes_Odoo'!P207)</f>
        <v/>
      </c>
      <c r="Q207" s="79">
        <f>IF(A207="","",IFERROR(INDEX(Facturas_Odoo!$B:$B, MATCH(A207, Facturas_Odoo!$D:$D, 0)), "Sin Factura"))</f>
        <v/>
      </c>
      <c r="R207" s="80">
        <f>IF(Q207="Sin Factura","",IFERROR(INDEX(Facturas_Odoo!$A:$A, MATCH(Q207, Facturas_Odoo!$B:$B, 0)), ""))</f>
        <v/>
      </c>
      <c r="S207" s="79">
        <f>IF(Q207="Sin Factura","",IFERROR(_xlfn.XLOOKUP(1, (Facturas_Odoo!$D:$D=A207) * (Facturas_Odoo!$K:$K=I207), Facturas_Odoo!$L:$L, ""), ""))</f>
        <v/>
      </c>
      <c r="T207" s="81">
        <f>IF(Q207="Sin Factura",0,IFERROR(_xlfn.XLOOKUP(1, (Facturas_Odoo!$D:$D=A207) * (Facturas_Odoo!$K:$K=I207), Facturas_Odoo!$M:$M, 0), 0))</f>
        <v/>
      </c>
      <c r="U207" s="79">
        <f>IF(Q207="Sin Factura",0,IFERROR(_xlfn.XLOOKUP(1, (Facturas_Odoo!$D:$D=A207) * (Facturas_Odoo!$K:$K=I207), Facturas_Odoo!$N:$N, 0), 0))</f>
        <v/>
      </c>
      <c r="V207" s="79">
        <f>IF(Q207="Sin Factura",0,IFERROR(_xlfn.XLOOKUP(1, (Facturas_Odoo!$D:$D=A207) * (Facturas_Odoo!$K:$K=I207), Facturas_Odoo!$O:$O, 0), 0))</f>
        <v/>
      </c>
      <c r="W207" s="81">
        <f>IF(Q207="Sin Factura",0,IFERROR(_xlfn.XLOOKUP(1, (Facturas_Odoo!$D:$D=A207) * (Facturas_Odoo!$K:$K=I207), Facturas_Odoo!$Q:$Q, 0), 0))</f>
        <v/>
      </c>
      <c r="X207" s="79">
        <f>IF(OR(Q207="Sin Factura",Q207=""),"",IFERROR(INDEX(Pagos_Odoo!$B:$B, MATCH(Q207, Pagos_Odoo!$I:$I, 0)), "Sin Pago"))</f>
        <v/>
      </c>
      <c r="Y207" s="79">
        <f>IF(X207="Sin Pago","",IFERROR(INDEX(Pagos_Odoo!$C:$C, MATCH(X207, Pagos_Odoo!$B:$B, 0)), ""))</f>
        <v/>
      </c>
      <c r="Z207" s="80">
        <f>IF(X207="Sin Pago","",IFERROR(INDEX(Pagos_Odoo!$A:$A, MATCH(X207, Pagos_Odoo!$B:$B, 0)), ""))</f>
        <v/>
      </c>
      <c r="AA207" s="79">
        <f>IF(X207="Sin Pago","",IFERROR(INDEX(Pagos_Odoo!$F:$F, MATCH(X207, Pagos_Odoo!$B:$B, 0)), ""))</f>
        <v/>
      </c>
      <c r="AB207" s="81">
        <f>IF(X207="Sin Pago",0,IFERROR(INDEX(Pagos_Odoo!$E:$E, MATCH(X207, Pagos_Odoo!$B:$B, 0)), 0))</f>
        <v/>
      </c>
      <c r="AC207" s="79">
        <f>IF(X207="Sin Pago","",IFERROR(INDEX(Pagos_Odoo!$G:$G, MATCH(X207, Pagos_Odoo!$B:$B, 0)), ""))</f>
        <v/>
      </c>
      <c r="AD207" s="82" t="n">
        <v>0</v>
      </c>
      <c r="AE207" s="82" t="n"/>
      <c r="AF207" s="82" t="n"/>
      <c r="AG207" s="82">
        <f>IF(AN207="","",AD207+AE207+AF207)</f>
        <v/>
      </c>
      <c r="AH207" s="81">
        <f>IF(AN207="","",P207*(1-AG207))</f>
        <v/>
      </c>
      <c r="AI207" s="81">
        <f>IF(AN207="","",IF(Q207="Sin Factura",0,IFERROR(INDEX(Facturas_Odoo!$H:$H, MATCH(Q207, Facturas_Odoo!$B:$B, 0)), 0)*(1-AG207)))</f>
        <v/>
      </c>
      <c r="AJ207" s="81">
        <f>IF(AN207="","",_xlfn.LET(idVenta, AN207&amp;"",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7" s="81">
        <f>IF(AN207="","",AH207-AJ207)</f>
        <v/>
      </c>
      <c r="AL207" s="81">
        <f>IF(AN207="","",IF(Q207="Sin Factura","",AI207-AJ207))</f>
        <v/>
      </c>
      <c r="AM207" s="81">
        <f>IF(AN207="","",IF(Q207="Sin Factura",0,P207-IFERROR(INDEX(Facturas_Odoo!$H:$H, MATCH(Q207, Facturas_Odoo!$B:$B, 0)), 0)))</f>
        <v/>
      </c>
      <c r="AN207" s="79">
        <f>IF(AND(A207="", J207=""), "", IF(A207&lt;&gt;"", VALUE(MID(A207,2,LEN(A207))), AN206))</f>
        <v/>
      </c>
      <c r="AO207" s="79">
        <f>IF(AN207="","",IF(AD207=0,"OK",_xlfn.LET(monedaPago, IF(AA207="","USD",AA207), limitePermitido, IFERROR(VLOOKUP(monedaPago, Configuración!$A$2:$B$3, 2, FALSE), 0.15), IF(AD207&gt;limitePermitido, "ALERTA: EXCESO (" &amp; TEXT(limitePermitido, "0%") &amp; " máx)", "OK"))))</f>
        <v/>
      </c>
      <c r="AP207" s="79">
        <f>IF(AN207="","",IF(AE207=0,"OK",_xlfn.LET(fechaPago, Z207, fechaFactura, R207, diasCredito, IF(E207="Pago inmediato", 0, IFERROR(VALUE(MID(E207, 1, SEARCH(" ", E207)-1)),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7" s="79">
        <f>IF(AN207="","",IF(AND(N207&gt;0, AG207&gt;0), IF(Configuración!$K$2="NO", "ALERTA: DESCUENTO DOBLE NO PERMITIDO", "OK"), "OK"))</f>
        <v/>
      </c>
      <c r="AR207" s="79">
        <f>IF(AN207="","",IF(OR(AO207&lt;&gt;"OK", AP207&lt;&gt;"OK", AQ207&lt;&gt;"OK"), "⚠️ REVISAR", "OK"))</f>
        <v/>
      </c>
    </row>
    <row r="208">
      <c r="A208" s="79">
        <f>IF('Ordenes_Odoo'!A208="","",'Ordenes_Odoo'!A208)</f>
        <v/>
      </c>
      <c r="B208" s="80">
        <f>IF('Ordenes_Odoo'!B208="","",'Ordenes_Odoo'!B208)</f>
        <v/>
      </c>
      <c r="C208" s="79">
        <f>IF('Ordenes_Odoo'!C208="","",'Ordenes_Odoo'!C208)</f>
        <v/>
      </c>
      <c r="D208" s="79">
        <f>IF('Ordenes_Odoo'!D208="","",'Ordenes_Odoo'!D208)</f>
        <v/>
      </c>
      <c r="E208" s="79">
        <f>IF('Ordenes_Odoo'!E208="","",'Ordenes_Odoo'!E208)</f>
        <v/>
      </c>
      <c r="F208" s="79">
        <f>IF('Ordenes_Odoo'!F208="","",'Ordenes_Odoo'!F208)</f>
        <v/>
      </c>
      <c r="G208" s="79">
        <f>IF('Ordenes_Odoo'!G208="","",'Ordenes_Odoo'!G208)</f>
        <v/>
      </c>
      <c r="H208" s="79">
        <f>IF('Ordenes_Odoo'!H208="","",'Ordenes_Odoo'!H208)</f>
        <v/>
      </c>
      <c r="I208" s="79">
        <f>IF('Ordenes_Odoo'!I208="","",'Ordenes_Odoo'!I208)</f>
        <v/>
      </c>
      <c r="J208" s="79">
        <f>IF('Ordenes_Odoo'!J208="","",'Ordenes_Odoo'!J208)</f>
        <v/>
      </c>
      <c r="K208" s="81">
        <f>IF('Ordenes_Odoo'!K208="","",'Ordenes_Odoo'!K208)</f>
        <v/>
      </c>
      <c r="L208" s="81">
        <f>IF('Ordenes_Odoo'!L208="","",'Ordenes_Odoo'!L208)</f>
        <v/>
      </c>
      <c r="M208" s="79">
        <f>IF('Ordenes_Odoo'!M208="","",'Ordenes_Odoo'!M208)</f>
        <v/>
      </c>
      <c r="N208" s="79">
        <f>IF('Ordenes_Odoo'!N208="","",'Ordenes_Odoo'!N208)</f>
        <v/>
      </c>
      <c r="O208" s="81">
        <f>IF('Ordenes_Odoo'!O208="","",'Ordenes_Odoo'!O208)</f>
        <v/>
      </c>
      <c r="P208" s="81">
        <f>IF('Ordenes_Odoo'!P208="","",'Ordenes_Odoo'!P208)</f>
        <v/>
      </c>
      <c r="Q208" s="79">
        <f>IF(A208="","",IFERROR(INDEX(Facturas_Odoo!$B:$B, MATCH(A208, Facturas_Odoo!$D:$D, 0)), "Sin Factura"))</f>
        <v/>
      </c>
      <c r="R208" s="80">
        <f>IF(Q208="Sin Factura","",IFERROR(INDEX(Facturas_Odoo!$A:$A, MATCH(Q208, Facturas_Odoo!$B:$B, 0)), ""))</f>
        <v/>
      </c>
      <c r="S208" s="79">
        <f>IF(Q208="Sin Factura","",IFERROR(_xlfn.XLOOKUP(1, (Facturas_Odoo!$D:$D=A208) * (Facturas_Odoo!$K:$K=I208), Facturas_Odoo!$L:$L, ""), ""))</f>
        <v/>
      </c>
      <c r="T208" s="81">
        <f>IF(Q208="Sin Factura",0,IFERROR(_xlfn.XLOOKUP(1, (Facturas_Odoo!$D:$D=A208) * (Facturas_Odoo!$K:$K=I208), Facturas_Odoo!$M:$M, 0), 0))</f>
        <v/>
      </c>
      <c r="U208" s="79">
        <f>IF(Q208="Sin Factura",0,IFERROR(_xlfn.XLOOKUP(1, (Facturas_Odoo!$D:$D=A208) * (Facturas_Odoo!$K:$K=I208), Facturas_Odoo!$N:$N, 0), 0))</f>
        <v/>
      </c>
      <c r="V208" s="79">
        <f>IF(Q208="Sin Factura",0,IFERROR(_xlfn.XLOOKUP(1, (Facturas_Odoo!$D:$D=A208) * (Facturas_Odoo!$K:$K=I208), Facturas_Odoo!$O:$O, 0), 0))</f>
        <v/>
      </c>
      <c r="W208" s="81">
        <f>IF(Q208="Sin Factura",0,IFERROR(_xlfn.XLOOKUP(1, (Facturas_Odoo!$D:$D=A208) * (Facturas_Odoo!$K:$K=I208), Facturas_Odoo!$Q:$Q, 0), 0))</f>
        <v/>
      </c>
      <c r="X208" s="79">
        <f>IF(OR(Q208="Sin Factura",Q208=""),"",IFERROR(INDEX(Pagos_Odoo!$B:$B, MATCH(Q208, Pagos_Odoo!$I:$I, 0)), "Sin Pago"))</f>
        <v/>
      </c>
      <c r="Y208" s="79">
        <f>IF(X208="Sin Pago","",IFERROR(INDEX(Pagos_Odoo!$C:$C, MATCH(X208, Pagos_Odoo!$B:$B, 0)), ""))</f>
        <v/>
      </c>
      <c r="Z208" s="80">
        <f>IF(X208="Sin Pago","",IFERROR(INDEX(Pagos_Odoo!$A:$A, MATCH(X208, Pagos_Odoo!$B:$B, 0)), ""))</f>
        <v/>
      </c>
      <c r="AA208" s="79">
        <f>IF(X208="Sin Pago","",IFERROR(INDEX(Pagos_Odoo!$F:$F, MATCH(X208, Pagos_Odoo!$B:$B, 0)), ""))</f>
        <v/>
      </c>
      <c r="AB208" s="81">
        <f>IF(X208="Sin Pago",0,IFERROR(INDEX(Pagos_Odoo!$E:$E, MATCH(X208, Pagos_Odoo!$B:$B, 0)), 0))</f>
        <v/>
      </c>
      <c r="AC208" s="79">
        <f>IF(X208="Sin Pago","",IFERROR(INDEX(Pagos_Odoo!$G:$G, MATCH(X208, Pagos_Odoo!$B:$B, 0)), ""))</f>
        <v/>
      </c>
      <c r="AD208" s="82" t="n">
        <v>0</v>
      </c>
      <c r="AE208" s="82" t="n"/>
      <c r="AF208" s="82" t="n"/>
      <c r="AG208" s="82">
        <f>IF(AN208="","",AD208+AE208+AF208)</f>
        <v/>
      </c>
      <c r="AH208" s="81">
        <f>IF(AN208="","",P208*(1-AG208))</f>
        <v/>
      </c>
      <c r="AI208" s="81">
        <f>IF(AN208="","",IF(Q208="Sin Factura",0,IFERROR(INDEX(Facturas_Odoo!$H:$H, MATCH(Q208, Facturas_Odoo!$B:$B, 0)), 0)*(1-AG208)))</f>
        <v/>
      </c>
      <c r="AJ208" s="81">
        <f>IF(AN208="","",_xlfn.LET(idVenta, AN208&amp;"",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8" s="81">
        <f>IF(AN208="","",AH208-AJ208)</f>
        <v/>
      </c>
      <c r="AL208" s="81">
        <f>IF(AN208="","",IF(Q208="Sin Factura","",AI208-AJ208))</f>
        <v/>
      </c>
      <c r="AM208" s="81">
        <f>IF(AN208="","",IF(Q208="Sin Factura",0,P208-IFERROR(INDEX(Facturas_Odoo!$H:$H, MATCH(Q208, Facturas_Odoo!$B:$B, 0)), 0)))</f>
        <v/>
      </c>
      <c r="AN208" s="79">
        <f>IF(AND(A208="", J208=""), "", IF(A208&lt;&gt;"", VALUE(MID(A208,2,LEN(A208))), AN207))</f>
        <v/>
      </c>
      <c r="AO208" s="79">
        <f>IF(AN208="","",IF(AD208=0,"OK",_xlfn.LET(monedaPago, IF(AA208="","USD",AA208), limitePermitido, IFERROR(VLOOKUP(monedaPago, Configuración!$A$2:$B$3, 2, FALSE), 0.15), IF(AD208&gt;limitePermitido, "ALERTA: EXCESO (" &amp; TEXT(limitePermitido, "0%") &amp; " máx)", "OK"))))</f>
        <v/>
      </c>
      <c r="AP208" s="79">
        <f>IF(AN208="","",IF(AE208=0,"OK",_xlfn.LET(fechaPago, Z208, fechaFactura, R208, diasCredito, IF(E208="Pago inmediato", 0, IFERROR(VALUE(MID(E208, 1, SEARCH(" ", E208)-1)),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8" s="79">
        <f>IF(AN208="","",IF(AND(N208&gt;0, AG208&gt;0), IF(Configuración!$K$2="NO", "ALERTA: DESCUENTO DOBLE NO PERMITIDO", "OK"), "OK"))</f>
        <v/>
      </c>
      <c r="AR208" s="79">
        <f>IF(AN208="","",IF(OR(AO208&lt;&gt;"OK", AP208&lt;&gt;"OK", AQ208&lt;&gt;"OK"), "⚠️ REVISAR", "OK"))</f>
        <v/>
      </c>
    </row>
    <row r="209">
      <c r="A209" s="79">
        <f>IF('Ordenes_Odoo'!A209="","",'Ordenes_Odoo'!A209)</f>
        <v/>
      </c>
      <c r="B209" s="80">
        <f>IF('Ordenes_Odoo'!B209="","",'Ordenes_Odoo'!B209)</f>
        <v/>
      </c>
      <c r="C209" s="79">
        <f>IF('Ordenes_Odoo'!C209="","",'Ordenes_Odoo'!C209)</f>
        <v/>
      </c>
      <c r="D209" s="79">
        <f>IF('Ordenes_Odoo'!D209="","",'Ordenes_Odoo'!D209)</f>
        <v/>
      </c>
      <c r="E209" s="79">
        <f>IF('Ordenes_Odoo'!E209="","",'Ordenes_Odoo'!E209)</f>
        <v/>
      </c>
      <c r="F209" s="79">
        <f>IF('Ordenes_Odoo'!F209="","",'Ordenes_Odoo'!F209)</f>
        <v/>
      </c>
      <c r="G209" s="79">
        <f>IF('Ordenes_Odoo'!G209="","",'Ordenes_Odoo'!G209)</f>
        <v/>
      </c>
      <c r="H209" s="79">
        <f>IF('Ordenes_Odoo'!H209="","",'Ordenes_Odoo'!H209)</f>
        <v/>
      </c>
      <c r="I209" s="79">
        <f>IF('Ordenes_Odoo'!I209="","",'Ordenes_Odoo'!I209)</f>
        <v/>
      </c>
      <c r="J209" s="79">
        <f>IF('Ordenes_Odoo'!J209="","",'Ordenes_Odoo'!J209)</f>
        <v/>
      </c>
      <c r="K209" s="81">
        <f>IF('Ordenes_Odoo'!K209="","",'Ordenes_Odoo'!K209)</f>
        <v/>
      </c>
      <c r="L209" s="81">
        <f>IF('Ordenes_Odoo'!L209="","",'Ordenes_Odoo'!L209)</f>
        <v/>
      </c>
      <c r="M209" s="79">
        <f>IF('Ordenes_Odoo'!M209="","",'Ordenes_Odoo'!M209)</f>
        <v/>
      </c>
      <c r="N209" s="79">
        <f>IF('Ordenes_Odoo'!N209="","",'Ordenes_Odoo'!N209)</f>
        <v/>
      </c>
      <c r="O209" s="81">
        <f>IF('Ordenes_Odoo'!O209="","",'Ordenes_Odoo'!O209)</f>
        <v/>
      </c>
      <c r="P209" s="81">
        <f>IF('Ordenes_Odoo'!P209="","",'Ordenes_Odoo'!P209)</f>
        <v/>
      </c>
      <c r="Q209" s="79">
        <f>IF(A209="","",IFERROR(INDEX(Facturas_Odoo!$B:$B, MATCH(A209, Facturas_Odoo!$D:$D, 0)), "Sin Factura"))</f>
        <v/>
      </c>
      <c r="R209" s="80">
        <f>IF(Q209="Sin Factura","",IFERROR(INDEX(Facturas_Odoo!$A:$A, MATCH(Q209, Facturas_Odoo!$B:$B, 0)), ""))</f>
        <v/>
      </c>
      <c r="S209" s="79">
        <f>IF(Q209="Sin Factura","",IFERROR(_xlfn.XLOOKUP(1, (Facturas_Odoo!$D:$D=A209) * (Facturas_Odoo!$K:$K=I209), Facturas_Odoo!$L:$L, ""), ""))</f>
        <v/>
      </c>
      <c r="T209" s="81">
        <f>IF(Q209="Sin Factura",0,IFERROR(_xlfn.XLOOKUP(1, (Facturas_Odoo!$D:$D=A209) * (Facturas_Odoo!$K:$K=I209), Facturas_Odoo!$M:$M, 0), 0))</f>
        <v/>
      </c>
      <c r="U209" s="79">
        <f>IF(Q209="Sin Factura",0,IFERROR(_xlfn.XLOOKUP(1, (Facturas_Odoo!$D:$D=A209) * (Facturas_Odoo!$K:$K=I209), Facturas_Odoo!$N:$N, 0), 0))</f>
        <v/>
      </c>
      <c r="V209" s="79">
        <f>IF(Q209="Sin Factura",0,IFERROR(_xlfn.XLOOKUP(1, (Facturas_Odoo!$D:$D=A209) * (Facturas_Odoo!$K:$K=I209), Facturas_Odoo!$O:$O, 0), 0))</f>
        <v/>
      </c>
      <c r="W209" s="81">
        <f>IF(Q209="Sin Factura",0,IFERROR(_xlfn.XLOOKUP(1, (Facturas_Odoo!$D:$D=A209) * (Facturas_Odoo!$K:$K=I209), Facturas_Odoo!$Q:$Q, 0), 0))</f>
        <v/>
      </c>
      <c r="X209" s="79">
        <f>IF(OR(Q209="Sin Factura",Q209=""),"",IFERROR(INDEX(Pagos_Odoo!$B:$B, MATCH(Q209, Pagos_Odoo!$I:$I, 0)), "Sin Pago"))</f>
        <v/>
      </c>
      <c r="Y209" s="79">
        <f>IF(X209="Sin Pago","",IFERROR(INDEX(Pagos_Odoo!$C:$C, MATCH(X209, Pagos_Odoo!$B:$B, 0)), ""))</f>
        <v/>
      </c>
      <c r="Z209" s="80">
        <f>IF(X209="Sin Pago","",IFERROR(INDEX(Pagos_Odoo!$A:$A, MATCH(X209, Pagos_Odoo!$B:$B, 0)), ""))</f>
        <v/>
      </c>
      <c r="AA209" s="79">
        <f>IF(X209="Sin Pago","",IFERROR(INDEX(Pagos_Odoo!$F:$F, MATCH(X209, Pagos_Odoo!$B:$B, 0)), ""))</f>
        <v/>
      </c>
      <c r="AB209" s="81">
        <f>IF(X209="Sin Pago",0,IFERROR(INDEX(Pagos_Odoo!$E:$E, MATCH(X209, Pagos_Odoo!$B:$B, 0)), 0))</f>
        <v/>
      </c>
      <c r="AC209" s="79">
        <f>IF(X209="Sin Pago","",IFERROR(INDEX(Pagos_Odoo!$G:$G, MATCH(X209, Pagos_Odoo!$B:$B, 0)), ""))</f>
        <v/>
      </c>
      <c r="AD209" s="82" t="n">
        <v>0</v>
      </c>
      <c r="AE209" s="82" t="n"/>
      <c r="AF209" s="82" t="n"/>
      <c r="AG209" s="82">
        <f>IF(AN209="","",AD209+AE209+AF209)</f>
        <v/>
      </c>
      <c r="AH209" s="81">
        <f>IF(AN209="","",P209*(1-AG209))</f>
        <v/>
      </c>
      <c r="AI209" s="81">
        <f>IF(AN209="","",IF(Q209="Sin Factura",0,IFERROR(INDEX(Facturas_Odoo!$H:$H, MATCH(Q209, Facturas_Odoo!$B:$B, 0)), 0)*(1-AG209)))</f>
        <v/>
      </c>
      <c r="AJ209" s="81">
        <f>IF(AN209="","",_xlfn.LET(idVenta, AN209&amp;"",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9" s="81">
        <f>IF(AN209="","",AH209-AJ209)</f>
        <v/>
      </c>
      <c r="AL209" s="81">
        <f>IF(AN209="","",IF(Q209="Sin Factura","",AI209-AJ209))</f>
        <v/>
      </c>
      <c r="AM209" s="81">
        <f>IF(AN209="","",IF(Q209="Sin Factura",0,P209-IFERROR(INDEX(Facturas_Odoo!$H:$H, MATCH(Q209, Facturas_Odoo!$B:$B, 0)), 0)))</f>
        <v/>
      </c>
      <c r="AN209" s="79">
        <f>IF(AND(A209="", J209=""), "", IF(A209&lt;&gt;"", VALUE(MID(A209,2,LEN(A209))), AN208))</f>
        <v/>
      </c>
      <c r="AO209" s="79">
        <f>IF(AN209="","",IF(AD209=0,"OK",_xlfn.LET(monedaPago, IF(AA209="","USD",AA209), limitePermitido, IFERROR(VLOOKUP(monedaPago, Configuración!$A$2:$B$3, 2, FALSE), 0.15), IF(AD209&gt;limitePermitido, "ALERTA: EXCESO (" &amp; TEXT(limitePermitido, "0%") &amp; " máx)", "OK"))))</f>
        <v/>
      </c>
      <c r="AP209" s="79">
        <f>IF(AN209="","",IF(AE209=0,"OK",_xlfn.LET(fechaPago, Z209, fechaFactura, R209, diasCredito, IF(E209="Pago inmediato", 0, IFERROR(VALUE(MID(E209, 1, SEARCH(" ", E209)-1)),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9" s="79">
        <f>IF(AN209="","",IF(AND(N209&gt;0, AG209&gt;0), IF(Configuración!$K$2="NO", "ALERTA: DESCUENTO DOBLE NO PERMITIDO", "OK"), "OK"))</f>
        <v/>
      </c>
      <c r="AR209" s="79">
        <f>IF(AN209="","",IF(OR(AO209&lt;&gt;"OK", AP209&lt;&gt;"OK", AQ209&lt;&gt;"OK"), "⚠️ REVISAR", "OK"))</f>
        <v/>
      </c>
    </row>
    <row r="210">
      <c r="A210" s="79">
        <f>IF('Ordenes_Odoo'!A210="","",'Ordenes_Odoo'!A210)</f>
        <v/>
      </c>
      <c r="B210" s="80">
        <f>IF('Ordenes_Odoo'!B210="","",'Ordenes_Odoo'!B210)</f>
        <v/>
      </c>
      <c r="C210" s="79">
        <f>IF('Ordenes_Odoo'!C210="","",'Ordenes_Odoo'!C210)</f>
        <v/>
      </c>
      <c r="D210" s="79">
        <f>IF('Ordenes_Odoo'!D210="","",'Ordenes_Odoo'!D210)</f>
        <v/>
      </c>
      <c r="E210" s="79">
        <f>IF('Ordenes_Odoo'!E210="","",'Ordenes_Odoo'!E210)</f>
        <v/>
      </c>
      <c r="F210" s="79">
        <f>IF('Ordenes_Odoo'!F210="","",'Ordenes_Odoo'!F210)</f>
        <v/>
      </c>
      <c r="G210" s="79">
        <f>IF('Ordenes_Odoo'!G210="","",'Ordenes_Odoo'!G210)</f>
        <v/>
      </c>
      <c r="H210" s="79">
        <f>IF('Ordenes_Odoo'!H210="","",'Ordenes_Odoo'!H210)</f>
        <v/>
      </c>
      <c r="I210" s="79">
        <f>IF('Ordenes_Odoo'!I210="","",'Ordenes_Odoo'!I210)</f>
        <v/>
      </c>
      <c r="J210" s="79">
        <f>IF('Ordenes_Odoo'!J210="","",'Ordenes_Odoo'!J210)</f>
        <v/>
      </c>
      <c r="K210" s="81">
        <f>IF('Ordenes_Odoo'!K210="","",'Ordenes_Odoo'!K210)</f>
        <v/>
      </c>
      <c r="L210" s="81">
        <f>IF('Ordenes_Odoo'!L210="","",'Ordenes_Odoo'!L210)</f>
        <v/>
      </c>
      <c r="M210" s="79">
        <f>IF('Ordenes_Odoo'!M210="","",'Ordenes_Odoo'!M210)</f>
        <v/>
      </c>
      <c r="N210" s="79">
        <f>IF('Ordenes_Odoo'!N210="","",'Ordenes_Odoo'!N210)</f>
        <v/>
      </c>
      <c r="O210" s="81">
        <f>IF('Ordenes_Odoo'!O210="","",'Ordenes_Odoo'!O210)</f>
        <v/>
      </c>
      <c r="P210" s="81">
        <f>IF('Ordenes_Odoo'!P210="","",'Ordenes_Odoo'!P210)</f>
        <v/>
      </c>
      <c r="Q210" s="79">
        <f>IF(A210="","",IFERROR(INDEX(Facturas_Odoo!$B:$B, MATCH(A210, Facturas_Odoo!$D:$D, 0)), "Sin Factura"))</f>
        <v/>
      </c>
      <c r="R210" s="80">
        <f>IF(Q210="Sin Factura","",IFERROR(INDEX(Facturas_Odoo!$A:$A, MATCH(Q210, Facturas_Odoo!$B:$B, 0)), ""))</f>
        <v/>
      </c>
      <c r="S210" s="79">
        <f>IF(Q210="Sin Factura","",IFERROR(_xlfn.XLOOKUP(1, (Facturas_Odoo!$D:$D=A210) * (Facturas_Odoo!$K:$K=I210), Facturas_Odoo!$L:$L, ""), ""))</f>
        <v/>
      </c>
      <c r="T210" s="81">
        <f>IF(Q210="Sin Factura",0,IFERROR(_xlfn.XLOOKUP(1, (Facturas_Odoo!$D:$D=A210) * (Facturas_Odoo!$K:$K=I210), Facturas_Odoo!$M:$M, 0), 0))</f>
        <v/>
      </c>
      <c r="U210" s="79">
        <f>IF(Q210="Sin Factura",0,IFERROR(_xlfn.XLOOKUP(1, (Facturas_Odoo!$D:$D=A210) * (Facturas_Odoo!$K:$K=I210), Facturas_Odoo!$N:$N, 0), 0))</f>
        <v/>
      </c>
      <c r="V210" s="79">
        <f>IF(Q210="Sin Factura",0,IFERROR(_xlfn.XLOOKUP(1, (Facturas_Odoo!$D:$D=A210) * (Facturas_Odoo!$K:$K=I210), Facturas_Odoo!$O:$O, 0), 0))</f>
        <v/>
      </c>
      <c r="W210" s="81">
        <f>IF(Q210="Sin Factura",0,IFERROR(_xlfn.XLOOKUP(1, (Facturas_Odoo!$D:$D=A210) * (Facturas_Odoo!$K:$K=I210), Facturas_Odoo!$Q:$Q, 0), 0))</f>
        <v/>
      </c>
      <c r="X210" s="79">
        <f>IF(OR(Q210="Sin Factura",Q210=""),"",IFERROR(INDEX(Pagos_Odoo!$B:$B, MATCH(Q210, Pagos_Odoo!$I:$I, 0)), "Sin Pago"))</f>
        <v/>
      </c>
      <c r="Y210" s="79">
        <f>IF(X210="Sin Pago","",IFERROR(INDEX(Pagos_Odoo!$C:$C, MATCH(X210, Pagos_Odoo!$B:$B, 0)), ""))</f>
        <v/>
      </c>
      <c r="Z210" s="80">
        <f>IF(X210="Sin Pago","",IFERROR(INDEX(Pagos_Odoo!$A:$A, MATCH(X210, Pagos_Odoo!$B:$B, 0)), ""))</f>
        <v/>
      </c>
      <c r="AA210" s="79">
        <f>IF(X210="Sin Pago","",IFERROR(INDEX(Pagos_Odoo!$F:$F, MATCH(X210, Pagos_Odoo!$B:$B, 0)), ""))</f>
        <v/>
      </c>
      <c r="AB210" s="81">
        <f>IF(X210="Sin Pago",0,IFERROR(INDEX(Pagos_Odoo!$E:$E, MATCH(X210, Pagos_Odoo!$B:$B, 0)), 0))</f>
        <v/>
      </c>
      <c r="AC210" s="79">
        <f>IF(X210="Sin Pago","",IFERROR(INDEX(Pagos_Odoo!$G:$G, MATCH(X210, Pagos_Odoo!$B:$B, 0)), ""))</f>
        <v/>
      </c>
      <c r="AD210" s="82" t="n">
        <v>0</v>
      </c>
      <c r="AE210" s="82" t="n"/>
      <c r="AF210" s="82" t="n"/>
      <c r="AG210" s="82">
        <f>IF(AN210="","",AD210+AE210+AF210)</f>
        <v/>
      </c>
      <c r="AH210" s="81">
        <f>IF(AN210="","",P210*(1-AG210))</f>
        <v/>
      </c>
      <c r="AI210" s="81">
        <f>IF(AN210="","",IF(Q210="Sin Factura",0,IFERROR(INDEX(Facturas_Odoo!$H:$H, MATCH(Q210, Facturas_Odoo!$B:$B, 0)), 0)*(1-AG210)))</f>
        <v/>
      </c>
      <c r="AJ210" s="81">
        <f>IF(AN210="","",_xlfn.LET(idVenta, AN210&amp;"",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0" s="81">
        <f>IF(AN210="","",AH210-AJ210)</f>
        <v/>
      </c>
      <c r="AL210" s="81">
        <f>IF(AN210="","",IF(Q210="Sin Factura","",AI210-AJ210))</f>
        <v/>
      </c>
      <c r="AM210" s="81">
        <f>IF(AN210="","",IF(Q210="Sin Factura",0,P210-IFERROR(INDEX(Facturas_Odoo!$H:$H, MATCH(Q210, Facturas_Odoo!$B:$B, 0)), 0)))</f>
        <v/>
      </c>
      <c r="AN210" s="79">
        <f>IF(AND(A210="", J210=""), "", IF(A210&lt;&gt;"", VALUE(MID(A210,2,LEN(A210))), AN209))</f>
        <v/>
      </c>
      <c r="AO210" s="79">
        <f>IF(AN210="","",IF(AD210=0,"OK",_xlfn.LET(monedaPago, IF(AA210="","USD",AA210), limitePermitido, IFERROR(VLOOKUP(monedaPago, Configuración!$A$2:$B$3, 2, FALSE), 0.15), IF(AD210&gt;limitePermitido, "ALERTA: EXCESO (" &amp; TEXT(limitePermitido, "0%") &amp; " máx)", "OK"))))</f>
        <v/>
      </c>
      <c r="AP210" s="79">
        <f>IF(AN210="","",IF(AE210=0,"OK",_xlfn.LET(fechaPago, Z210, fechaFactura, R210, diasCredito, IF(E210="Pago inmediato", 0, IFERROR(VALUE(MID(E210, 1, SEARCH(" ", E210)-1)),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0" s="79">
        <f>IF(AN210="","",IF(AND(N210&gt;0, AG210&gt;0), IF(Configuración!$K$2="NO", "ALERTA: DESCUENTO DOBLE NO PERMITIDO", "OK"), "OK"))</f>
        <v/>
      </c>
      <c r="AR210" s="79">
        <f>IF(AN210="","",IF(OR(AO210&lt;&gt;"OK", AP210&lt;&gt;"OK", AQ210&lt;&gt;"OK"), "⚠️ REVISAR", "OK"))</f>
        <v/>
      </c>
    </row>
    <row r="211">
      <c r="A211" s="79">
        <f>IF('Ordenes_Odoo'!A211="","",'Ordenes_Odoo'!A211)</f>
        <v/>
      </c>
      <c r="B211" s="80">
        <f>IF('Ordenes_Odoo'!B211="","",'Ordenes_Odoo'!B211)</f>
        <v/>
      </c>
      <c r="C211" s="79">
        <f>IF('Ordenes_Odoo'!C211="","",'Ordenes_Odoo'!C211)</f>
        <v/>
      </c>
      <c r="D211" s="79">
        <f>IF('Ordenes_Odoo'!D211="","",'Ordenes_Odoo'!D211)</f>
        <v/>
      </c>
      <c r="E211" s="79">
        <f>IF('Ordenes_Odoo'!E211="","",'Ordenes_Odoo'!E211)</f>
        <v/>
      </c>
      <c r="F211" s="79">
        <f>IF('Ordenes_Odoo'!F211="","",'Ordenes_Odoo'!F211)</f>
        <v/>
      </c>
      <c r="G211" s="79">
        <f>IF('Ordenes_Odoo'!G211="","",'Ordenes_Odoo'!G211)</f>
        <v/>
      </c>
      <c r="H211" s="79">
        <f>IF('Ordenes_Odoo'!H211="","",'Ordenes_Odoo'!H211)</f>
        <v/>
      </c>
      <c r="I211" s="79">
        <f>IF('Ordenes_Odoo'!I211="","",'Ordenes_Odoo'!I211)</f>
        <v/>
      </c>
      <c r="J211" s="79">
        <f>IF('Ordenes_Odoo'!J211="","",'Ordenes_Odoo'!J211)</f>
        <v/>
      </c>
      <c r="K211" s="81">
        <f>IF('Ordenes_Odoo'!K211="","",'Ordenes_Odoo'!K211)</f>
        <v/>
      </c>
      <c r="L211" s="81">
        <f>IF('Ordenes_Odoo'!L211="","",'Ordenes_Odoo'!L211)</f>
        <v/>
      </c>
      <c r="M211" s="79">
        <f>IF('Ordenes_Odoo'!M211="","",'Ordenes_Odoo'!M211)</f>
        <v/>
      </c>
      <c r="N211" s="79">
        <f>IF('Ordenes_Odoo'!N211="","",'Ordenes_Odoo'!N211)</f>
        <v/>
      </c>
      <c r="O211" s="81">
        <f>IF('Ordenes_Odoo'!O211="","",'Ordenes_Odoo'!O211)</f>
        <v/>
      </c>
      <c r="P211" s="81">
        <f>IF('Ordenes_Odoo'!P211="","",'Ordenes_Odoo'!P211)</f>
        <v/>
      </c>
      <c r="Q211" s="79">
        <f>IF(A211="","",IFERROR(INDEX(Facturas_Odoo!$B:$B, MATCH(A211, Facturas_Odoo!$D:$D, 0)), "Sin Factura"))</f>
        <v/>
      </c>
      <c r="R211" s="80">
        <f>IF(Q211="Sin Factura","",IFERROR(INDEX(Facturas_Odoo!$A:$A, MATCH(Q211, Facturas_Odoo!$B:$B, 0)), ""))</f>
        <v/>
      </c>
      <c r="S211" s="79">
        <f>IF(Q211="Sin Factura","",IFERROR(_xlfn.XLOOKUP(1, (Facturas_Odoo!$D:$D=A211) * (Facturas_Odoo!$K:$K=I211), Facturas_Odoo!$L:$L, ""), ""))</f>
        <v/>
      </c>
      <c r="T211" s="81">
        <f>IF(Q211="Sin Factura",0,IFERROR(_xlfn.XLOOKUP(1, (Facturas_Odoo!$D:$D=A211) * (Facturas_Odoo!$K:$K=I211), Facturas_Odoo!$M:$M, 0), 0))</f>
        <v/>
      </c>
      <c r="U211" s="79">
        <f>IF(Q211="Sin Factura",0,IFERROR(_xlfn.XLOOKUP(1, (Facturas_Odoo!$D:$D=A211) * (Facturas_Odoo!$K:$K=I211), Facturas_Odoo!$N:$N, 0), 0))</f>
        <v/>
      </c>
      <c r="V211" s="79">
        <f>IF(Q211="Sin Factura",0,IFERROR(_xlfn.XLOOKUP(1, (Facturas_Odoo!$D:$D=A211) * (Facturas_Odoo!$K:$K=I211), Facturas_Odoo!$O:$O, 0), 0))</f>
        <v/>
      </c>
      <c r="W211" s="81">
        <f>IF(Q211="Sin Factura",0,IFERROR(_xlfn.XLOOKUP(1, (Facturas_Odoo!$D:$D=A211) * (Facturas_Odoo!$K:$K=I211), Facturas_Odoo!$Q:$Q, 0), 0))</f>
        <v/>
      </c>
      <c r="X211" s="79">
        <f>IF(OR(Q211="Sin Factura",Q211=""),"",IFERROR(INDEX(Pagos_Odoo!$B:$B, MATCH(Q211, Pagos_Odoo!$I:$I, 0)), "Sin Pago"))</f>
        <v/>
      </c>
      <c r="Y211" s="79">
        <f>IF(X211="Sin Pago","",IFERROR(INDEX(Pagos_Odoo!$C:$C, MATCH(X211, Pagos_Odoo!$B:$B, 0)), ""))</f>
        <v/>
      </c>
      <c r="Z211" s="80">
        <f>IF(X211="Sin Pago","",IFERROR(INDEX(Pagos_Odoo!$A:$A, MATCH(X211, Pagos_Odoo!$B:$B, 0)), ""))</f>
        <v/>
      </c>
      <c r="AA211" s="79">
        <f>IF(X211="Sin Pago","",IFERROR(INDEX(Pagos_Odoo!$F:$F, MATCH(X211, Pagos_Odoo!$B:$B, 0)), ""))</f>
        <v/>
      </c>
      <c r="AB211" s="81">
        <f>IF(X211="Sin Pago",0,IFERROR(INDEX(Pagos_Odoo!$E:$E, MATCH(X211, Pagos_Odoo!$B:$B, 0)), 0))</f>
        <v/>
      </c>
      <c r="AC211" s="79">
        <f>IF(X211="Sin Pago","",IFERROR(INDEX(Pagos_Odoo!$G:$G, MATCH(X211, Pagos_Odoo!$B:$B, 0)), ""))</f>
        <v/>
      </c>
      <c r="AD211" s="82" t="n">
        <v>0</v>
      </c>
      <c r="AE211" s="82" t="n"/>
      <c r="AF211" s="82" t="n"/>
      <c r="AG211" s="82">
        <f>IF(AN211="","",AD211+AE211+AF211)</f>
        <v/>
      </c>
      <c r="AH211" s="81">
        <f>IF(AN211="","",P211*(1-AG211))</f>
        <v/>
      </c>
      <c r="AI211" s="81">
        <f>IF(AN211="","",IF(Q211="Sin Factura",0,IFERROR(INDEX(Facturas_Odoo!$H:$H, MATCH(Q211, Facturas_Odoo!$B:$B, 0)), 0)*(1-AG211)))</f>
        <v/>
      </c>
      <c r="AJ211" s="81">
        <f>IF(AN211="","",_xlfn.LET(idVenta, AN211&amp;"",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1" s="81">
        <f>IF(AN211="","",AH211-AJ211)</f>
        <v/>
      </c>
      <c r="AL211" s="81">
        <f>IF(AN211="","",IF(Q211="Sin Factura","",AI211-AJ211))</f>
        <v/>
      </c>
      <c r="AM211" s="81">
        <f>IF(AN211="","",IF(Q211="Sin Factura",0,P211-IFERROR(INDEX(Facturas_Odoo!$H:$H, MATCH(Q211, Facturas_Odoo!$B:$B, 0)), 0)))</f>
        <v/>
      </c>
      <c r="AN211" s="79">
        <f>IF(AND(A211="", J211=""), "", IF(A211&lt;&gt;"", VALUE(MID(A211,2,LEN(A211))), AN210))</f>
        <v/>
      </c>
      <c r="AO211" s="79">
        <f>IF(AN211="","",IF(AD211=0,"OK",_xlfn.LET(monedaPago, IF(AA211="","USD",AA211), limitePermitido, IFERROR(VLOOKUP(monedaPago, Configuración!$A$2:$B$3, 2, FALSE), 0.15), IF(AD211&gt;limitePermitido, "ALERTA: EXCESO (" &amp; TEXT(limitePermitido, "0%") &amp; " máx)", "OK"))))</f>
        <v/>
      </c>
      <c r="AP211" s="79">
        <f>IF(AN211="","",IF(AE211=0,"OK",_xlfn.LET(fechaPago, Z211, fechaFactura, R211, diasCredito, IF(E211="Pago inmediato", 0, IFERROR(VALUE(MID(E211, 1, SEARCH(" ", E211)-1)),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1" s="79">
        <f>IF(AN211="","",IF(AND(N211&gt;0, AG211&gt;0), IF(Configuración!$K$2="NO", "ALERTA: DESCUENTO DOBLE NO PERMITIDO", "OK"), "OK"))</f>
        <v/>
      </c>
      <c r="AR211" s="79">
        <f>IF(AN211="","",IF(OR(AO211&lt;&gt;"OK", AP211&lt;&gt;"OK", AQ211&lt;&gt;"OK"), "⚠️ REVISAR", "OK"))</f>
        <v/>
      </c>
    </row>
    <row r="212">
      <c r="A212" s="79">
        <f>IF('Ordenes_Odoo'!A212="","",'Ordenes_Odoo'!A212)</f>
        <v/>
      </c>
      <c r="B212" s="80">
        <f>IF('Ordenes_Odoo'!B212="","",'Ordenes_Odoo'!B212)</f>
        <v/>
      </c>
      <c r="C212" s="79">
        <f>IF('Ordenes_Odoo'!C212="","",'Ordenes_Odoo'!C212)</f>
        <v/>
      </c>
      <c r="D212" s="79">
        <f>IF('Ordenes_Odoo'!D212="","",'Ordenes_Odoo'!D212)</f>
        <v/>
      </c>
      <c r="E212" s="79">
        <f>IF('Ordenes_Odoo'!E212="","",'Ordenes_Odoo'!E212)</f>
        <v/>
      </c>
      <c r="F212" s="79">
        <f>IF('Ordenes_Odoo'!F212="","",'Ordenes_Odoo'!F212)</f>
        <v/>
      </c>
      <c r="G212" s="79">
        <f>IF('Ordenes_Odoo'!G212="","",'Ordenes_Odoo'!G212)</f>
        <v/>
      </c>
      <c r="H212" s="79">
        <f>IF('Ordenes_Odoo'!H212="","",'Ordenes_Odoo'!H212)</f>
        <v/>
      </c>
      <c r="I212" s="79">
        <f>IF('Ordenes_Odoo'!I212="","",'Ordenes_Odoo'!I212)</f>
        <v/>
      </c>
      <c r="J212" s="79">
        <f>IF('Ordenes_Odoo'!J212="","",'Ordenes_Odoo'!J212)</f>
        <v/>
      </c>
      <c r="K212" s="81">
        <f>IF('Ordenes_Odoo'!K212="","",'Ordenes_Odoo'!K212)</f>
        <v/>
      </c>
      <c r="L212" s="81">
        <f>IF('Ordenes_Odoo'!L212="","",'Ordenes_Odoo'!L212)</f>
        <v/>
      </c>
      <c r="M212" s="79">
        <f>IF('Ordenes_Odoo'!M212="","",'Ordenes_Odoo'!M212)</f>
        <v/>
      </c>
      <c r="N212" s="79">
        <f>IF('Ordenes_Odoo'!N212="","",'Ordenes_Odoo'!N212)</f>
        <v/>
      </c>
      <c r="O212" s="81">
        <f>IF('Ordenes_Odoo'!O212="","",'Ordenes_Odoo'!O212)</f>
        <v/>
      </c>
      <c r="P212" s="81">
        <f>IF('Ordenes_Odoo'!P212="","",'Ordenes_Odoo'!P212)</f>
        <v/>
      </c>
      <c r="Q212" s="79">
        <f>IF(A212="","",IFERROR(INDEX(Facturas_Odoo!$B:$B, MATCH(A212, Facturas_Odoo!$D:$D, 0)), "Sin Factura"))</f>
        <v/>
      </c>
      <c r="R212" s="80">
        <f>IF(Q212="Sin Factura","",IFERROR(INDEX(Facturas_Odoo!$A:$A, MATCH(Q212, Facturas_Odoo!$B:$B, 0)), ""))</f>
        <v/>
      </c>
      <c r="S212" s="79">
        <f>IF(Q212="Sin Factura","",IFERROR(_xlfn.XLOOKUP(1, (Facturas_Odoo!$D:$D=A212) * (Facturas_Odoo!$K:$K=I212), Facturas_Odoo!$L:$L, ""), ""))</f>
        <v/>
      </c>
      <c r="T212" s="81">
        <f>IF(Q212="Sin Factura",0,IFERROR(_xlfn.XLOOKUP(1, (Facturas_Odoo!$D:$D=A212) * (Facturas_Odoo!$K:$K=I212), Facturas_Odoo!$M:$M, 0), 0))</f>
        <v/>
      </c>
      <c r="U212" s="79">
        <f>IF(Q212="Sin Factura",0,IFERROR(_xlfn.XLOOKUP(1, (Facturas_Odoo!$D:$D=A212) * (Facturas_Odoo!$K:$K=I212), Facturas_Odoo!$N:$N, 0), 0))</f>
        <v/>
      </c>
      <c r="V212" s="79">
        <f>IF(Q212="Sin Factura",0,IFERROR(_xlfn.XLOOKUP(1, (Facturas_Odoo!$D:$D=A212) * (Facturas_Odoo!$K:$K=I212), Facturas_Odoo!$O:$O, 0), 0))</f>
        <v/>
      </c>
      <c r="W212" s="81">
        <f>IF(Q212="Sin Factura",0,IFERROR(_xlfn.XLOOKUP(1, (Facturas_Odoo!$D:$D=A212) * (Facturas_Odoo!$K:$K=I212), Facturas_Odoo!$Q:$Q, 0), 0))</f>
        <v/>
      </c>
      <c r="X212" s="79">
        <f>IF(OR(Q212="Sin Factura",Q212=""),"",IFERROR(INDEX(Pagos_Odoo!$B:$B, MATCH(Q212, Pagos_Odoo!$I:$I, 0)), "Sin Pago"))</f>
        <v/>
      </c>
      <c r="Y212" s="79">
        <f>IF(X212="Sin Pago","",IFERROR(INDEX(Pagos_Odoo!$C:$C, MATCH(X212, Pagos_Odoo!$B:$B, 0)), ""))</f>
        <v/>
      </c>
      <c r="Z212" s="80">
        <f>IF(X212="Sin Pago","",IFERROR(INDEX(Pagos_Odoo!$A:$A, MATCH(X212, Pagos_Odoo!$B:$B, 0)), ""))</f>
        <v/>
      </c>
      <c r="AA212" s="79">
        <f>IF(X212="Sin Pago","",IFERROR(INDEX(Pagos_Odoo!$F:$F, MATCH(X212, Pagos_Odoo!$B:$B, 0)), ""))</f>
        <v/>
      </c>
      <c r="AB212" s="81">
        <f>IF(X212="Sin Pago",0,IFERROR(INDEX(Pagos_Odoo!$E:$E, MATCH(X212, Pagos_Odoo!$B:$B, 0)), 0))</f>
        <v/>
      </c>
      <c r="AC212" s="79">
        <f>IF(X212="Sin Pago","",IFERROR(INDEX(Pagos_Odoo!$G:$G, MATCH(X212, Pagos_Odoo!$B:$B, 0)), ""))</f>
        <v/>
      </c>
      <c r="AD212" s="82" t="n">
        <v>0</v>
      </c>
      <c r="AE212" s="82" t="n"/>
      <c r="AF212" s="82" t="n"/>
      <c r="AG212" s="82">
        <f>IF(AN212="","",AD212+AE212+AF212)</f>
        <v/>
      </c>
      <c r="AH212" s="81">
        <f>IF(AN212="","",P212*(1-AG212))</f>
        <v/>
      </c>
      <c r="AI212" s="81">
        <f>IF(AN212="","",IF(Q212="Sin Factura",0,IFERROR(INDEX(Facturas_Odoo!$H:$H, MATCH(Q212, Facturas_Odoo!$B:$B, 0)), 0)*(1-AG212)))</f>
        <v/>
      </c>
      <c r="AJ212" s="81">
        <f>IF(AN212="","",_xlfn.LET(idVenta, AN212&amp;"",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2" s="81">
        <f>IF(AN212="","",AH212-AJ212)</f>
        <v/>
      </c>
      <c r="AL212" s="81">
        <f>IF(AN212="","",IF(Q212="Sin Factura","",AI212-AJ212))</f>
        <v/>
      </c>
      <c r="AM212" s="81">
        <f>IF(AN212="","",IF(Q212="Sin Factura",0,P212-IFERROR(INDEX(Facturas_Odoo!$H:$H, MATCH(Q212, Facturas_Odoo!$B:$B, 0)), 0)))</f>
        <v/>
      </c>
      <c r="AN212" s="79">
        <f>IF(AND(A212="", J212=""), "", IF(A212&lt;&gt;"", VALUE(MID(A212,2,LEN(A212))), AN211))</f>
        <v/>
      </c>
      <c r="AO212" s="79">
        <f>IF(AN212="","",IF(AD212=0,"OK",_xlfn.LET(monedaPago, IF(AA212="","USD",AA212), limitePermitido, IFERROR(VLOOKUP(monedaPago, Configuración!$A$2:$B$3, 2, FALSE), 0.15), IF(AD212&gt;limitePermitido, "ALERTA: EXCESO (" &amp; TEXT(limitePermitido, "0%") &amp; " máx)", "OK"))))</f>
        <v/>
      </c>
      <c r="AP212" s="79">
        <f>IF(AN212="","",IF(AE212=0,"OK",_xlfn.LET(fechaPago, Z212, fechaFactura, R212, diasCredito, IF(E212="Pago inmediato", 0, IFERROR(VALUE(MID(E212, 1, SEARCH(" ", E212)-1)),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2" s="79">
        <f>IF(AN212="","",IF(AND(N212&gt;0, AG212&gt;0), IF(Configuración!$K$2="NO", "ALERTA: DESCUENTO DOBLE NO PERMITIDO", "OK"), "OK"))</f>
        <v/>
      </c>
      <c r="AR212" s="79">
        <f>IF(AN212="","",IF(OR(AO212&lt;&gt;"OK", AP212&lt;&gt;"OK", AQ212&lt;&gt;"OK"), "⚠️ REVISAR", "OK"))</f>
        <v/>
      </c>
    </row>
    <row r="213">
      <c r="A213" s="79">
        <f>IF('Ordenes_Odoo'!A213="","",'Ordenes_Odoo'!A213)</f>
        <v/>
      </c>
      <c r="B213" s="80">
        <f>IF('Ordenes_Odoo'!B213="","",'Ordenes_Odoo'!B213)</f>
        <v/>
      </c>
      <c r="C213" s="79">
        <f>IF('Ordenes_Odoo'!C213="","",'Ordenes_Odoo'!C213)</f>
        <v/>
      </c>
      <c r="D213" s="79">
        <f>IF('Ordenes_Odoo'!D213="","",'Ordenes_Odoo'!D213)</f>
        <v/>
      </c>
      <c r="E213" s="79">
        <f>IF('Ordenes_Odoo'!E213="","",'Ordenes_Odoo'!E213)</f>
        <v/>
      </c>
      <c r="F213" s="79">
        <f>IF('Ordenes_Odoo'!F213="","",'Ordenes_Odoo'!F213)</f>
        <v/>
      </c>
      <c r="G213" s="79">
        <f>IF('Ordenes_Odoo'!G213="","",'Ordenes_Odoo'!G213)</f>
        <v/>
      </c>
      <c r="H213" s="79">
        <f>IF('Ordenes_Odoo'!H213="","",'Ordenes_Odoo'!H213)</f>
        <v/>
      </c>
      <c r="I213" s="79">
        <f>IF('Ordenes_Odoo'!I213="","",'Ordenes_Odoo'!I213)</f>
        <v/>
      </c>
      <c r="J213" s="79">
        <f>IF('Ordenes_Odoo'!J213="","",'Ordenes_Odoo'!J213)</f>
        <v/>
      </c>
      <c r="K213" s="81">
        <f>IF('Ordenes_Odoo'!K213="","",'Ordenes_Odoo'!K213)</f>
        <v/>
      </c>
      <c r="L213" s="81">
        <f>IF('Ordenes_Odoo'!L213="","",'Ordenes_Odoo'!L213)</f>
        <v/>
      </c>
      <c r="M213" s="79">
        <f>IF('Ordenes_Odoo'!M213="","",'Ordenes_Odoo'!M213)</f>
        <v/>
      </c>
      <c r="N213" s="79">
        <f>IF('Ordenes_Odoo'!N213="","",'Ordenes_Odoo'!N213)</f>
        <v/>
      </c>
      <c r="O213" s="81">
        <f>IF('Ordenes_Odoo'!O213="","",'Ordenes_Odoo'!O213)</f>
        <v/>
      </c>
      <c r="P213" s="81">
        <f>IF('Ordenes_Odoo'!P213="","",'Ordenes_Odoo'!P213)</f>
        <v/>
      </c>
      <c r="Q213" s="79">
        <f>IF(A213="","",IFERROR(INDEX(Facturas_Odoo!$B:$B, MATCH(A213, Facturas_Odoo!$D:$D, 0)), "Sin Factura"))</f>
        <v/>
      </c>
      <c r="R213" s="80">
        <f>IF(Q213="Sin Factura","",IFERROR(INDEX(Facturas_Odoo!$A:$A, MATCH(Q213, Facturas_Odoo!$B:$B, 0)), ""))</f>
        <v/>
      </c>
      <c r="S213" s="79">
        <f>IF(Q213="Sin Factura","",IFERROR(_xlfn.XLOOKUP(1, (Facturas_Odoo!$D:$D=A213) * (Facturas_Odoo!$K:$K=I213), Facturas_Odoo!$L:$L, ""), ""))</f>
        <v/>
      </c>
      <c r="T213" s="81">
        <f>IF(Q213="Sin Factura",0,IFERROR(_xlfn.XLOOKUP(1, (Facturas_Odoo!$D:$D=A213) * (Facturas_Odoo!$K:$K=I213), Facturas_Odoo!$M:$M, 0), 0))</f>
        <v/>
      </c>
      <c r="U213" s="79">
        <f>IF(Q213="Sin Factura",0,IFERROR(_xlfn.XLOOKUP(1, (Facturas_Odoo!$D:$D=A213) * (Facturas_Odoo!$K:$K=I213), Facturas_Odoo!$N:$N, 0), 0))</f>
        <v/>
      </c>
      <c r="V213" s="79">
        <f>IF(Q213="Sin Factura",0,IFERROR(_xlfn.XLOOKUP(1, (Facturas_Odoo!$D:$D=A213) * (Facturas_Odoo!$K:$K=I213), Facturas_Odoo!$O:$O, 0), 0))</f>
        <v/>
      </c>
      <c r="W213" s="81">
        <f>IF(Q213="Sin Factura",0,IFERROR(_xlfn.XLOOKUP(1, (Facturas_Odoo!$D:$D=A213) * (Facturas_Odoo!$K:$K=I213), Facturas_Odoo!$Q:$Q, 0), 0))</f>
        <v/>
      </c>
      <c r="X213" s="79">
        <f>IF(OR(Q213="Sin Factura",Q213=""),"",IFERROR(INDEX(Pagos_Odoo!$B:$B, MATCH(Q213, Pagos_Odoo!$I:$I, 0)), "Sin Pago"))</f>
        <v/>
      </c>
      <c r="Y213" s="79">
        <f>IF(X213="Sin Pago","",IFERROR(INDEX(Pagos_Odoo!$C:$C, MATCH(X213, Pagos_Odoo!$B:$B, 0)), ""))</f>
        <v/>
      </c>
      <c r="Z213" s="80">
        <f>IF(X213="Sin Pago","",IFERROR(INDEX(Pagos_Odoo!$A:$A, MATCH(X213, Pagos_Odoo!$B:$B, 0)), ""))</f>
        <v/>
      </c>
      <c r="AA213" s="79">
        <f>IF(X213="Sin Pago","",IFERROR(INDEX(Pagos_Odoo!$F:$F, MATCH(X213, Pagos_Odoo!$B:$B, 0)), ""))</f>
        <v/>
      </c>
      <c r="AB213" s="81">
        <f>IF(X213="Sin Pago",0,IFERROR(INDEX(Pagos_Odoo!$E:$E, MATCH(X213, Pagos_Odoo!$B:$B, 0)), 0))</f>
        <v/>
      </c>
      <c r="AC213" s="79">
        <f>IF(X213="Sin Pago","",IFERROR(INDEX(Pagos_Odoo!$G:$G, MATCH(X213, Pagos_Odoo!$B:$B, 0)), ""))</f>
        <v/>
      </c>
      <c r="AD213" s="82" t="n">
        <v>0</v>
      </c>
      <c r="AE213" s="82" t="n"/>
      <c r="AF213" s="82" t="n"/>
      <c r="AG213" s="82">
        <f>IF(AN213="","",AD213+AE213+AF213)</f>
        <v/>
      </c>
      <c r="AH213" s="81">
        <f>IF(AN213="","",P213*(1-AG213))</f>
        <v/>
      </c>
      <c r="AI213" s="81">
        <f>IF(AN213="","",IF(Q213="Sin Factura",0,IFERROR(INDEX(Facturas_Odoo!$H:$H, MATCH(Q213, Facturas_Odoo!$B:$B, 0)), 0)*(1-AG213)))</f>
        <v/>
      </c>
      <c r="AJ213" s="81">
        <f>IF(AN213="","",_xlfn.LET(idVenta, AN213&amp;"",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3" s="81">
        <f>IF(AN213="","",AH213-AJ213)</f>
        <v/>
      </c>
      <c r="AL213" s="81">
        <f>IF(AN213="","",IF(Q213="Sin Factura","",AI213-AJ213))</f>
        <v/>
      </c>
      <c r="AM213" s="81">
        <f>IF(AN213="","",IF(Q213="Sin Factura",0,P213-IFERROR(INDEX(Facturas_Odoo!$H:$H, MATCH(Q213, Facturas_Odoo!$B:$B, 0)), 0)))</f>
        <v/>
      </c>
      <c r="AN213" s="79">
        <f>IF(AND(A213="", J213=""), "", IF(A213&lt;&gt;"", VALUE(MID(A213,2,LEN(A213))), AN212))</f>
        <v/>
      </c>
      <c r="AO213" s="79">
        <f>IF(AN213="","",IF(AD213=0,"OK",_xlfn.LET(monedaPago, IF(AA213="","USD",AA213), limitePermitido, IFERROR(VLOOKUP(monedaPago, Configuración!$A$2:$B$3, 2, FALSE), 0.15), IF(AD213&gt;limitePermitido, "ALERTA: EXCESO (" &amp; TEXT(limitePermitido, "0%") &amp; " máx)", "OK"))))</f>
        <v/>
      </c>
      <c r="AP213" s="79">
        <f>IF(AN213="","",IF(AE213=0,"OK",_xlfn.LET(fechaPago, Z213, fechaFactura, R213, diasCredito, IF(E213="Pago inmediato", 0, IFERROR(VALUE(MID(E213, 1, SEARCH(" ", E213)-1)),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3" s="79">
        <f>IF(AN213="","",IF(AND(N213&gt;0, AG213&gt;0), IF(Configuración!$K$2="NO", "ALERTA: DESCUENTO DOBLE NO PERMITIDO", "OK"), "OK"))</f>
        <v/>
      </c>
      <c r="AR213" s="79">
        <f>IF(AN213="","",IF(OR(AO213&lt;&gt;"OK", AP213&lt;&gt;"OK", AQ213&lt;&gt;"OK"), "⚠️ REVISAR", "OK"))</f>
        <v/>
      </c>
    </row>
    <row r="214">
      <c r="A214" s="79">
        <f>IF('Ordenes_Odoo'!A214="","",'Ordenes_Odoo'!A214)</f>
        <v/>
      </c>
      <c r="B214" s="80">
        <f>IF('Ordenes_Odoo'!B214="","",'Ordenes_Odoo'!B214)</f>
        <v/>
      </c>
      <c r="C214" s="79">
        <f>IF('Ordenes_Odoo'!C214="","",'Ordenes_Odoo'!C214)</f>
        <v/>
      </c>
      <c r="D214" s="79">
        <f>IF('Ordenes_Odoo'!D214="","",'Ordenes_Odoo'!D214)</f>
        <v/>
      </c>
      <c r="E214" s="79">
        <f>IF('Ordenes_Odoo'!E214="","",'Ordenes_Odoo'!E214)</f>
        <v/>
      </c>
      <c r="F214" s="79">
        <f>IF('Ordenes_Odoo'!F214="","",'Ordenes_Odoo'!F214)</f>
        <v/>
      </c>
      <c r="G214" s="79">
        <f>IF('Ordenes_Odoo'!G214="","",'Ordenes_Odoo'!G214)</f>
        <v/>
      </c>
      <c r="H214" s="79">
        <f>IF('Ordenes_Odoo'!H214="","",'Ordenes_Odoo'!H214)</f>
        <v/>
      </c>
      <c r="I214" s="79">
        <f>IF('Ordenes_Odoo'!I214="","",'Ordenes_Odoo'!I214)</f>
        <v/>
      </c>
      <c r="J214" s="79">
        <f>IF('Ordenes_Odoo'!J214="","",'Ordenes_Odoo'!J214)</f>
        <v/>
      </c>
      <c r="K214" s="81">
        <f>IF('Ordenes_Odoo'!K214="","",'Ordenes_Odoo'!K214)</f>
        <v/>
      </c>
      <c r="L214" s="81">
        <f>IF('Ordenes_Odoo'!L214="","",'Ordenes_Odoo'!L214)</f>
        <v/>
      </c>
      <c r="M214" s="79">
        <f>IF('Ordenes_Odoo'!M214="","",'Ordenes_Odoo'!M214)</f>
        <v/>
      </c>
      <c r="N214" s="79">
        <f>IF('Ordenes_Odoo'!N214="","",'Ordenes_Odoo'!N214)</f>
        <v/>
      </c>
      <c r="O214" s="81">
        <f>IF('Ordenes_Odoo'!O214="","",'Ordenes_Odoo'!O214)</f>
        <v/>
      </c>
      <c r="P214" s="81">
        <f>IF('Ordenes_Odoo'!P214="","",'Ordenes_Odoo'!P214)</f>
        <v/>
      </c>
      <c r="Q214" s="79">
        <f>IF(A214="","",IFERROR(INDEX(Facturas_Odoo!$B:$B, MATCH(A214, Facturas_Odoo!$D:$D, 0)), "Sin Factura"))</f>
        <v/>
      </c>
      <c r="R214" s="80">
        <f>IF(Q214="Sin Factura","",IFERROR(INDEX(Facturas_Odoo!$A:$A, MATCH(Q214, Facturas_Odoo!$B:$B, 0)), ""))</f>
        <v/>
      </c>
      <c r="S214" s="79">
        <f>IF(Q214="Sin Factura","",IFERROR(_xlfn.XLOOKUP(1, (Facturas_Odoo!$D:$D=A214) * (Facturas_Odoo!$K:$K=I214), Facturas_Odoo!$L:$L, ""), ""))</f>
        <v/>
      </c>
      <c r="T214" s="81">
        <f>IF(Q214="Sin Factura",0,IFERROR(_xlfn.XLOOKUP(1, (Facturas_Odoo!$D:$D=A214) * (Facturas_Odoo!$K:$K=I214), Facturas_Odoo!$M:$M, 0), 0))</f>
        <v/>
      </c>
      <c r="U214" s="79">
        <f>IF(Q214="Sin Factura",0,IFERROR(_xlfn.XLOOKUP(1, (Facturas_Odoo!$D:$D=A214) * (Facturas_Odoo!$K:$K=I214), Facturas_Odoo!$N:$N, 0), 0))</f>
        <v/>
      </c>
      <c r="V214" s="79">
        <f>IF(Q214="Sin Factura",0,IFERROR(_xlfn.XLOOKUP(1, (Facturas_Odoo!$D:$D=A214) * (Facturas_Odoo!$K:$K=I214), Facturas_Odoo!$O:$O, 0), 0))</f>
        <v/>
      </c>
      <c r="W214" s="81">
        <f>IF(Q214="Sin Factura",0,IFERROR(_xlfn.XLOOKUP(1, (Facturas_Odoo!$D:$D=A214) * (Facturas_Odoo!$K:$K=I214), Facturas_Odoo!$Q:$Q, 0), 0))</f>
        <v/>
      </c>
      <c r="X214" s="79">
        <f>IF(OR(Q214="Sin Factura",Q214=""),"",IFERROR(INDEX(Pagos_Odoo!$B:$B, MATCH(Q214, Pagos_Odoo!$I:$I, 0)), "Sin Pago"))</f>
        <v/>
      </c>
      <c r="Y214" s="79">
        <f>IF(X214="Sin Pago","",IFERROR(INDEX(Pagos_Odoo!$C:$C, MATCH(X214, Pagos_Odoo!$B:$B, 0)), ""))</f>
        <v/>
      </c>
      <c r="Z214" s="80">
        <f>IF(X214="Sin Pago","",IFERROR(INDEX(Pagos_Odoo!$A:$A, MATCH(X214, Pagos_Odoo!$B:$B, 0)), ""))</f>
        <v/>
      </c>
      <c r="AA214" s="79">
        <f>IF(X214="Sin Pago","",IFERROR(INDEX(Pagos_Odoo!$F:$F, MATCH(X214, Pagos_Odoo!$B:$B, 0)), ""))</f>
        <v/>
      </c>
      <c r="AB214" s="81">
        <f>IF(X214="Sin Pago",0,IFERROR(INDEX(Pagos_Odoo!$E:$E, MATCH(X214, Pagos_Odoo!$B:$B, 0)), 0))</f>
        <v/>
      </c>
      <c r="AC214" s="79">
        <f>IF(X214="Sin Pago","",IFERROR(INDEX(Pagos_Odoo!$G:$G, MATCH(X214, Pagos_Odoo!$B:$B, 0)), ""))</f>
        <v/>
      </c>
      <c r="AD214" s="82" t="n">
        <v>0</v>
      </c>
      <c r="AE214" s="82" t="n"/>
      <c r="AF214" s="82" t="n"/>
      <c r="AG214" s="82">
        <f>IF(AN214="","",AD214+AE214+AF214)</f>
        <v/>
      </c>
      <c r="AH214" s="81">
        <f>IF(AN214="","",P214*(1-AG214))</f>
        <v/>
      </c>
      <c r="AI214" s="81">
        <f>IF(AN214="","",IF(Q214="Sin Factura",0,IFERROR(INDEX(Facturas_Odoo!$H:$H, MATCH(Q214, Facturas_Odoo!$B:$B, 0)), 0)*(1-AG214)))</f>
        <v/>
      </c>
      <c r="AJ214" s="81">
        <f>IF(AN214="","",_xlfn.LET(idVenta, AN214&amp;"",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4" s="81">
        <f>IF(AN214="","",AH214-AJ214)</f>
        <v/>
      </c>
      <c r="AL214" s="81">
        <f>IF(AN214="","",IF(Q214="Sin Factura","",AI214-AJ214))</f>
        <v/>
      </c>
      <c r="AM214" s="81">
        <f>IF(AN214="","",IF(Q214="Sin Factura",0,P214-IFERROR(INDEX(Facturas_Odoo!$H:$H, MATCH(Q214, Facturas_Odoo!$B:$B, 0)), 0)))</f>
        <v/>
      </c>
      <c r="AN214" s="79">
        <f>IF(AND(A214="", J214=""), "", IF(A214&lt;&gt;"", VALUE(MID(A214,2,LEN(A214))), AN213))</f>
        <v/>
      </c>
      <c r="AO214" s="79">
        <f>IF(AN214="","",IF(AD214=0,"OK",_xlfn.LET(monedaPago, IF(AA214="","USD",AA214), limitePermitido, IFERROR(VLOOKUP(monedaPago, Configuración!$A$2:$B$3, 2, FALSE), 0.15), IF(AD214&gt;limitePermitido, "ALERTA: EXCESO (" &amp; TEXT(limitePermitido, "0%") &amp; " máx)", "OK"))))</f>
        <v/>
      </c>
      <c r="AP214" s="79">
        <f>IF(AN214="","",IF(AE214=0,"OK",_xlfn.LET(fechaPago, Z214, fechaFactura, R214, diasCredito, IF(E214="Pago inmediato", 0, IFERROR(VALUE(MID(E214, 1, SEARCH(" ", E214)-1)),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4" s="79">
        <f>IF(AN214="","",IF(AND(N214&gt;0, AG214&gt;0), IF(Configuración!$K$2="NO", "ALERTA: DESCUENTO DOBLE NO PERMITIDO", "OK"), "OK"))</f>
        <v/>
      </c>
      <c r="AR214" s="79">
        <f>IF(AN214="","",IF(OR(AO214&lt;&gt;"OK", AP214&lt;&gt;"OK", AQ214&lt;&gt;"OK"), "⚠️ REVISAR", "OK"))</f>
        <v/>
      </c>
    </row>
    <row r="215">
      <c r="A215" s="79">
        <f>IF('Ordenes_Odoo'!A215="","",'Ordenes_Odoo'!A215)</f>
        <v/>
      </c>
      <c r="B215" s="80">
        <f>IF('Ordenes_Odoo'!B215="","",'Ordenes_Odoo'!B215)</f>
        <v/>
      </c>
      <c r="C215" s="79">
        <f>IF('Ordenes_Odoo'!C215="","",'Ordenes_Odoo'!C215)</f>
        <v/>
      </c>
      <c r="D215" s="79">
        <f>IF('Ordenes_Odoo'!D215="","",'Ordenes_Odoo'!D215)</f>
        <v/>
      </c>
      <c r="E215" s="79">
        <f>IF('Ordenes_Odoo'!E215="","",'Ordenes_Odoo'!E215)</f>
        <v/>
      </c>
      <c r="F215" s="79">
        <f>IF('Ordenes_Odoo'!F215="","",'Ordenes_Odoo'!F215)</f>
        <v/>
      </c>
      <c r="G215" s="79">
        <f>IF('Ordenes_Odoo'!G215="","",'Ordenes_Odoo'!G215)</f>
        <v/>
      </c>
      <c r="H215" s="79">
        <f>IF('Ordenes_Odoo'!H215="","",'Ordenes_Odoo'!H215)</f>
        <v/>
      </c>
      <c r="I215" s="79">
        <f>IF('Ordenes_Odoo'!I215="","",'Ordenes_Odoo'!I215)</f>
        <v/>
      </c>
      <c r="J215" s="79">
        <f>IF('Ordenes_Odoo'!J215="","",'Ordenes_Odoo'!J215)</f>
        <v/>
      </c>
      <c r="K215" s="81">
        <f>IF('Ordenes_Odoo'!K215="","",'Ordenes_Odoo'!K215)</f>
        <v/>
      </c>
      <c r="L215" s="81">
        <f>IF('Ordenes_Odoo'!L215="","",'Ordenes_Odoo'!L215)</f>
        <v/>
      </c>
      <c r="M215" s="79">
        <f>IF('Ordenes_Odoo'!M215="","",'Ordenes_Odoo'!M215)</f>
        <v/>
      </c>
      <c r="N215" s="79">
        <f>IF('Ordenes_Odoo'!N215="","",'Ordenes_Odoo'!N215)</f>
        <v/>
      </c>
      <c r="O215" s="81">
        <f>IF('Ordenes_Odoo'!O215="","",'Ordenes_Odoo'!O215)</f>
        <v/>
      </c>
      <c r="P215" s="81">
        <f>IF('Ordenes_Odoo'!P215="","",'Ordenes_Odoo'!P215)</f>
        <v/>
      </c>
      <c r="Q215" s="79">
        <f>IF(A215="","",IFERROR(INDEX(Facturas_Odoo!$B:$B, MATCH(A215, Facturas_Odoo!$D:$D, 0)), "Sin Factura"))</f>
        <v/>
      </c>
      <c r="R215" s="80">
        <f>IF(Q215="Sin Factura","",IFERROR(INDEX(Facturas_Odoo!$A:$A, MATCH(Q215, Facturas_Odoo!$B:$B, 0)), ""))</f>
        <v/>
      </c>
      <c r="S215" s="79">
        <f>IF(Q215="Sin Factura","",IFERROR(_xlfn.XLOOKUP(1, (Facturas_Odoo!$D:$D=A215) * (Facturas_Odoo!$K:$K=I215), Facturas_Odoo!$L:$L, ""), ""))</f>
        <v/>
      </c>
      <c r="T215" s="81">
        <f>IF(Q215="Sin Factura",0,IFERROR(_xlfn.XLOOKUP(1, (Facturas_Odoo!$D:$D=A215) * (Facturas_Odoo!$K:$K=I215), Facturas_Odoo!$M:$M, 0), 0))</f>
        <v/>
      </c>
      <c r="U215" s="79">
        <f>IF(Q215="Sin Factura",0,IFERROR(_xlfn.XLOOKUP(1, (Facturas_Odoo!$D:$D=A215) * (Facturas_Odoo!$K:$K=I215), Facturas_Odoo!$N:$N, 0), 0))</f>
        <v/>
      </c>
      <c r="V215" s="79">
        <f>IF(Q215="Sin Factura",0,IFERROR(_xlfn.XLOOKUP(1, (Facturas_Odoo!$D:$D=A215) * (Facturas_Odoo!$K:$K=I215), Facturas_Odoo!$O:$O, 0), 0))</f>
        <v/>
      </c>
      <c r="W215" s="81">
        <f>IF(Q215="Sin Factura",0,IFERROR(_xlfn.XLOOKUP(1, (Facturas_Odoo!$D:$D=A215) * (Facturas_Odoo!$K:$K=I215), Facturas_Odoo!$Q:$Q, 0), 0))</f>
        <v/>
      </c>
      <c r="X215" s="79">
        <f>IF(OR(Q215="Sin Factura",Q215=""),"",IFERROR(INDEX(Pagos_Odoo!$B:$B, MATCH(Q215, Pagos_Odoo!$I:$I, 0)), "Sin Pago"))</f>
        <v/>
      </c>
      <c r="Y215" s="79">
        <f>IF(X215="Sin Pago","",IFERROR(INDEX(Pagos_Odoo!$C:$C, MATCH(X215, Pagos_Odoo!$B:$B, 0)), ""))</f>
        <v/>
      </c>
      <c r="Z215" s="80">
        <f>IF(X215="Sin Pago","",IFERROR(INDEX(Pagos_Odoo!$A:$A, MATCH(X215, Pagos_Odoo!$B:$B, 0)), ""))</f>
        <v/>
      </c>
      <c r="AA215" s="79">
        <f>IF(X215="Sin Pago","",IFERROR(INDEX(Pagos_Odoo!$F:$F, MATCH(X215, Pagos_Odoo!$B:$B, 0)), ""))</f>
        <v/>
      </c>
      <c r="AB215" s="81">
        <f>IF(X215="Sin Pago",0,IFERROR(INDEX(Pagos_Odoo!$E:$E, MATCH(X215, Pagos_Odoo!$B:$B, 0)), 0))</f>
        <v/>
      </c>
      <c r="AC215" s="79">
        <f>IF(X215="Sin Pago","",IFERROR(INDEX(Pagos_Odoo!$G:$G, MATCH(X215, Pagos_Odoo!$B:$B, 0)), ""))</f>
        <v/>
      </c>
      <c r="AD215" s="82" t="n">
        <v>0</v>
      </c>
      <c r="AE215" s="82" t="n"/>
      <c r="AF215" s="82" t="n"/>
      <c r="AG215" s="82">
        <f>IF(AN215="","",AD215+AE215+AF215)</f>
        <v/>
      </c>
      <c r="AH215" s="81">
        <f>IF(AN215="","",P215*(1-AG215))</f>
        <v/>
      </c>
      <c r="AI215" s="81">
        <f>IF(AN215="","",IF(Q215="Sin Factura",0,IFERROR(INDEX(Facturas_Odoo!$H:$H, MATCH(Q215, Facturas_Odoo!$B:$B, 0)), 0)*(1-AG215)))</f>
        <v/>
      </c>
      <c r="AJ215" s="81">
        <f>IF(AN215="","",_xlfn.LET(idVenta, AN215&amp;"",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5" s="81">
        <f>IF(AN215="","",AH215-AJ215)</f>
        <v/>
      </c>
      <c r="AL215" s="81">
        <f>IF(AN215="","",IF(Q215="Sin Factura","",AI215-AJ215))</f>
        <v/>
      </c>
      <c r="AM215" s="81">
        <f>IF(AN215="","",IF(Q215="Sin Factura",0,P215-IFERROR(INDEX(Facturas_Odoo!$H:$H, MATCH(Q215, Facturas_Odoo!$B:$B, 0)), 0)))</f>
        <v/>
      </c>
      <c r="AN215" s="79">
        <f>IF(AND(A215="", J215=""), "", IF(A215&lt;&gt;"", VALUE(MID(A215,2,LEN(A215))), AN214))</f>
        <v/>
      </c>
      <c r="AO215" s="79">
        <f>IF(AN215="","",IF(AD215=0,"OK",_xlfn.LET(monedaPago, IF(AA215="","USD",AA215), limitePermitido, IFERROR(VLOOKUP(monedaPago, Configuración!$A$2:$B$3, 2, FALSE), 0.15), IF(AD215&gt;limitePermitido, "ALERTA: EXCESO (" &amp; TEXT(limitePermitido, "0%") &amp; " máx)", "OK"))))</f>
        <v/>
      </c>
      <c r="AP215" s="79">
        <f>IF(AN215="","",IF(AE215=0,"OK",_xlfn.LET(fechaPago, Z215, fechaFactura, R215, diasCredito, IF(E215="Pago inmediato", 0, IFERROR(VALUE(MID(E215, 1, SEARCH(" ", E215)-1)),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5" s="79">
        <f>IF(AN215="","",IF(AND(N215&gt;0, AG215&gt;0), IF(Configuración!$K$2="NO", "ALERTA: DESCUENTO DOBLE NO PERMITIDO", "OK"), "OK"))</f>
        <v/>
      </c>
      <c r="AR215" s="79">
        <f>IF(AN215="","",IF(OR(AO215&lt;&gt;"OK", AP215&lt;&gt;"OK", AQ215&lt;&gt;"OK"), "⚠️ REVISAR", "OK"))</f>
        <v/>
      </c>
    </row>
    <row r="216">
      <c r="A216" s="79">
        <f>IF('Ordenes_Odoo'!A216="","",'Ordenes_Odoo'!A216)</f>
        <v/>
      </c>
      <c r="B216" s="80">
        <f>IF('Ordenes_Odoo'!B216="","",'Ordenes_Odoo'!B216)</f>
        <v/>
      </c>
      <c r="C216" s="79">
        <f>IF('Ordenes_Odoo'!C216="","",'Ordenes_Odoo'!C216)</f>
        <v/>
      </c>
      <c r="D216" s="79">
        <f>IF('Ordenes_Odoo'!D216="","",'Ordenes_Odoo'!D216)</f>
        <v/>
      </c>
      <c r="E216" s="79">
        <f>IF('Ordenes_Odoo'!E216="","",'Ordenes_Odoo'!E216)</f>
        <v/>
      </c>
      <c r="F216" s="79">
        <f>IF('Ordenes_Odoo'!F216="","",'Ordenes_Odoo'!F216)</f>
        <v/>
      </c>
      <c r="G216" s="79">
        <f>IF('Ordenes_Odoo'!G216="","",'Ordenes_Odoo'!G216)</f>
        <v/>
      </c>
      <c r="H216" s="79">
        <f>IF('Ordenes_Odoo'!H216="","",'Ordenes_Odoo'!H216)</f>
        <v/>
      </c>
      <c r="I216" s="79">
        <f>IF('Ordenes_Odoo'!I216="","",'Ordenes_Odoo'!I216)</f>
        <v/>
      </c>
      <c r="J216" s="79">
        <f>IF('Ordenes_Odoo'!J216="","",'Ordenes_Odoo'!J216)</f>
        <v/>
      </c>
      <c r="K216" s="81">
        <f>IF('Ordenes_Odoo'!K216="","",'Ordenes_Odoo'!K216)</f>
        <v/>
      </c>
      <c r="L216" s="81">
        <f>IF('Ordenes_Odoo'!L216="","",'Ordenes_Odoo'!L216)</f>
        <v/>
      </c>
      <c r="M216" s="79">
        <f>IF('Ordenes_Odoo'!M216="","",'Ordenes_Odoo'!M216)</f>
        <v/>
      </c>
      <c r="N216" s="79">
        <f>IF('Ordenes_Odoo'!N216="","",'Ordenes_Odoo'!N216)</f>
        <v/>
      </c>
      <c r="O216" s="81">
        <f>IF('Ordenes_Odoo'!O216="","",'Ordenes_Odoo'!O216)</f>
        <v/>
      </c>
      <c r="P216" s="81">
        <f>IF('Ordenes_Odoo'!P216="","",'Ordenes_Odoo'!P216)</f>
        <v/>
      </c>
      <c r="Q216" s="79">
        <f>IF(A216="","",IFERROR(INDEX(Facturas_Odoo!$B:$B, MATCH(A216, Facturas_Odoo!$D:$D, 0)), "Sin Factura"))</f>
        <v/>
      </c>
      <c r="R216" s="80">
        <f>IF(Q216="Sin Factura","",IFERROR(INDEX(Facturas_Odoo!$A:$A, MATCH(Q216, Facturas_Odoo!$B:$B, 0)), ""))</f>
        <v/>
      </c>
      <c r="S216" s="79">
        <f>IF(Q216="Sin Factura","",IFERROR(_xlfn.XLOOKUP(1, (Facturas_Odoo!$D:$D=A216) * (Facturas_Odoo!$K:$K=I216), Facturas_Odoo!$L:$L, ""), ""))</f>
        <v/>
      </c>
      <c r="T216" s="81">
        <f>IF(Q216="Sin Factura",0,IFERROR(_xlfn.XLOOKUP(1, (Facturas_Odoo!$D:$D=A216) * (Facturas_Odoo!$K:$K=I216), Facturas_Odoo!$M:$M, 0), 0))</f>
        <v/>
      </c>
      <c r="U216" s="79">
        <f>IF(Q216="Sin Factura",0,IFERROR(_xlfn.XLOOKUP(1, (Facturas_Odoo!$D:$D=A216) * (Facturas_Odoo!$K:$K=I216), Facturas_Odoo!$N:$N, 0), 0))</f>
        <v/>
      </c>
      <c r="V216" s="79">
        <f>IF(Q216="Sin Factura",0,IFERROR(_xlfn.XLOOKUP(1, (Facturas_Odoo!$D:$D=A216) * (Facturas_Odoo!$K:$K=I216), Facturas_Odoo!$O:$O, 0), 0))</f>
        <v/>
      </c>
      <c r="W216" s="81">
        <f>IF(Q216="Sin Factura",0,IFERROR(_xlfn.XLOOKUP(1, (Facturas_Odoo!$D:$D=A216) * (Facturas_Odoo!$K:$K=I216), Facturas_Odoo!$Q:$Q, 0), 0))</f>
        <v/>
      </c>
      <c r="X216" s="79">
        <f>IF(OR(Q216="Sin Factura",Q216=""),"",IFERROR(INDEX(Pagos_Odoo!$B:$B, MATCH(Q216, Pagos_Odoo!$I:$I, 0)), "Sin Pago"))</f>
        <v/>
      </c>
      <c r="Y216" s="79">
        <f>IF(X216="Sin Pago","",IFERROR(INDEX(Pagos_Odoo!$C:$C, MATCH(X216, Pagos_Odoo!$B:$B, 0)), ""))</f>
        <v/>
      </c>
      <c r="Z216" s="80">
        <f>IF(X216="Sin Pago","",IFERROR(INDEX(Pagos_Odoo!$A:$A, MATCH(X216, Pagos_Odoo!$B:$B, 0)), ""))</f>
        <v/>
      </c>
      <c r="AA216" s="79">
        <f>IF(X216="Sin Pago","",IFERROR(INDEX(Pagos_Odoo!$F:$F, MATCH(X216, Pagos_Odoo!$B:$B, 0)), ""))</f>
        <v/>
      </c>
      <c r="AB216" s="81">
        <f>IF(X216="Sin Pago",0,IFERROR(INDEX(Pagos_Odoo!$E:$E, MATCH(X216, Pagos_Odoo!$B:$B, 0)), 0))</f>
        <v/>
      </c>
      <c r="AC216" s="79">
        <f>IF(X216="Sin Pago","",IFERROR(INDEX(Pagos_Odoo!$G:$G, MATCH(X216, Pagos_Odoo!$B:$B, 0)), ""))</f>
        <v/>
      </c>
      <c r="AD216" s="82" t="n">
        <v>0</v>
      </c>
      <c r="AE216" s="82" t="n"/>
      <c r="AF216" s="82" t="n"/>
      <c r="AG216" s="82">
        <f>IF(AN216="","",AD216+AE216+AF216)</f>
        <v/>
      </c>
      <c r="AH216" s="81">
        <f>IF(AN216="","",P216*(1-AG216))</f>
        <v/>
      </c>
      <c r="AI216" s="81">
        <f>IF(AN216="","",IF(Q216="Sin Factura",0,IFERROR(INDEX(Facturas_Odoo!$H:$H, MATCH(Q216, Facturas_Odoo!$B:$B, 0)), 0)*(1-AG216)))</f>
        <v/>
      </c>
      <c r="AJ216" s="81">
        <f>IF(AN216="","",_xlfn.LET(idVenta, AN216&amp;"",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6" s="81">
        <f>IF(AN216="","",AH216-AJ216)</f>
        <v/>
      </c>
      <c r="AL216" s="81">
        <f>IF(AN216="","",IF(Q216="Sin Factura","",AI216-AJ216))</f>
        <v/>
      </c>
      <c r="AM216" s="81">
        <f>IF(AN216="","",IF(Q216="Sin Factura",0,P216-IFERROR(INDEX(Facturas_Odoo!$H:$H, MATCH(Q216, Facturas_Odoo!$B:$B, 0)), 0)))</f>
        <v/>
      </c>
      <c r="AN216" s="79">
        <f>IF(AND(A216="", J216=""), "", IF(A216&lt;&gt;"", VALUE(MID(A216,2,LEN(A216))), AN215))</f>
        <v/>
      </c>
      <c r="AO216" s="79">
        <f>IF(AN216="","",IF(AD216=0,"OK",_xlfn.LET(monedaPago, IF(AA216="","USD",AA216), limitePermitido, IFERROR(VLOOKUP(monedaPago, Configuración!$A$2:$B$3, 2, FALSE), 0.15), IF(AD216&gt;limitePermitido, "ALERTA: EXCESO (" &amp; TEXT(limitePermitido, "0%") &amp; " máx)", "OK"))))</f>
        <v/>
      </c>
      <c r="AP216" s="79">
        <f>IF(AN216="","",IF(AE216=0,"OK",_xlfn.LET(fechaPago, Z216, fechaFactura, R216, diasCredito, IF(E216="Pago inmediato", 0, IFERROR(VALUE(MID(E216, 1, SEARCH(" ", E216)-1)),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6" s="79">
        <f>IF(AN216="","",IF(AND(N216&gt;0, AG216&gt;0), IF(Configuración!$K$2="NO", "ALERTA: DESCUENTO DOBLE NO PERMITIDO", "OK"), "OK"))</f>
        <v/>
      </c>
      <c r="AR216" s="79">
        <f>IF(AN216="","",IF(OR(AO216&lt;&gt;"OK", AP216&lt;&gt;"OK", AQ216&lt;&gt;"OK"), "⚠️ REVISAR", "OK"))</f>
        <v/>
      </c>
    </row>
    <row r="217">
      <c r="A217" s="79">
        <f>IF('Ordenes_Odoo'!A217="","",'Ordenes_Odoo'!A217)</f>
        <v/>
      </c>
      <c r="B217" s="80">
        <f>IF('Ordenes_Odoo'!B217="","",'Ordenes_Odoo'!B217)</f>
        <v/>
      </c>
      <c r="C217" s="79">
        <f>IF('Ordenes_Odoo'!C217="","",'Ordenes_Odoo'!C217)</f>
        <v/>
      </c>
      <c r="D217" s="79">
        <f>IF('Ordenes_Odoo'!D217="","",'Ordenes_Odoo'!D217)</f>
        <v/>
      </c>
      <c r="E217" s="79">
        <f>IF('Ordenes_Odoo'!E217="","",'Ordenes_Odoo'!E217)</f>
        <v/>
      </c>
      <c r="F217" s="79">
        <f>IF('Ordenes_Odoo'!F217="","",'Ordenes_Odoo'!F217)</f>
        <v/>
      </c>
      <c r="G217" s="79">
        <f>IF('Ordenes_Odoo'!G217="","",'Ordenes_Odoo'!G217)</f>
        <v/>
      </c>
      <c r="H217" s="79">
        <f>IF('Ordenes_Odoo'!H217="","",'Ordenes_Odoo'!H217)</f>
        <v/>
      </c>
      <c r="I217" s="79">
        <f>IF('Ordenes_Odoo'!I217="","",'Ordenes_Odoo'!I217)</f>
        <v/>
      </c>
      <c r="J217" s="79">
        <f>IF('Ordenes_Odoo'!J217="","",'Ordenes_Odoo'!J217)</f>
        <v/>
      </c>
      <c r="K217" s="81">
        <f>IF('Ordenes_Odoo'!K217="","",'Ordenes_Odoo'!K217)</f>
        <v/>
      </c>
      <c r="L217" s="81">
        <f>IF('Ordenes_Odoo'!L217="","",'Ordenes_Odoo'!L217)</f>
        <v/>
      </c>
      <c r="M217" s="79">
        <f>IF('Ordenes_Odoo'!M217="","",'Ordenes_Odoo'!M217)</f>
        <v/>
      </c>
      <c r="N217" s="79">
        <f>IF('Ordenes_Odoo'!N217="","",'Ordenes_Odoo'!N217)</f>
        <v/>
      </c>
      <c r="O217" s="81">
        <f>IF('Ordenes_Odoo'!O217="","",'Ordenes_Odoo'!O217)</f>
        <v/>
      </c>
      <c r="P217" s="81">
        <f>IF('Ordenes_Odoo'!P217="","",'Ordenes_Odoo'!P217)</f>
        <v/>
      </c>
      <c r="Q217" s="79">
        <f>IF(A217="","",IFERROR(INDEX(Facturas_Odoo!$B:$B, MATCH(A217, Facturas_Odoo!$D:$D, 0)), "Sin Factura"))</f>
        <v/>
      </c>
      <c r="R217" s="80">
        <f>IF(Q217="Sin Factura","",IFERROR(INDEX(Facturas_Odoo!$A:$A, MATCH(Q217, Facturas_Odoo!$B:$B, 0)), ""))</f>
        <v/>
      </c>
      <c r="S217" s="79">
        <f>IF(Q217="Sin Factura","",IFERROR(_xlfn.XLOOKUP(1, (Facturas_Odoo!$D:$D=A217) * (Facturas_Odoo!$K:$K=I217), Facturas_Odoo!$L:$L, ""), ""))</f>
        <v/>
      </c>
      <c r="T217" s="81">
        <f>IF(Q217="Sin Factura",0,IFERROR(_xlfn.XLOOKUP(1, (Facturas_Odoo!$D:$D=A217) * (Facturas_Odoo!$K:$K=I217), Facturas_Odoo!$M:$M, 0), 0))</f>
        <v/>
      </c>
      <c r="U217" s="79">
        <f>IF(Q217="Sin Factura",0,IFERROR(_xlfn.XLOOKUP(1, (Facturas_Odoo!$D:$D=A217) * (Facturas_Odoo!$K:$K=I217), Facturas_Odoo!$N:$N, 0), 0))</f>
        <v/>
      </c>
      <c r="V217" s="79">
        <f>IF(Q217="Sin Factura",0,IFERROR(_xlfn.XLOOKUP(1, (Facturas_Odoo!$D:$D=A217) * (Facturas_Odoo!$K:$K=I217), Facturas_Odoo!$O:$O, 0), 0))</f>
        <v/>
      </c>
      <c r="W217" s="81">
        <f>IF(Q217="Sin Factura",0,IFERROR(_xlfn.XLOOKUP(1, (Facturas_Odoo!$D:$D=A217) * (Facturas_Odoo!$K:$K=I217), Facturas_Odoo!$Q:$Q, 0), 0))</f>
        <v/>
      </c>
      <c r="X217" s="79">
        <f>IF(OR(Q217="Sin Factura",Q217=""),"",IFERROR(INDEX(Pagos_Odoo!$B:$B, MATCH(Q217, Pagos_Odoo!$I:$I, 0)), "Sin Pago"))</f>
        <v/>
      </c>
      <c r="Y217" s="79">
        <f>IF(X217="Sin Pago","",IFERROR(INDEX(Pagos_Odoo!$C:$C, MATCH(X217, Pagos_Odoo!$B:$B, 0)), ""))</f>
        <v/>
      </c>
      <c r="Z217" s="80">
        <f>IF(X217="Sin Pago","",IFERROR(INDEX(Pagos_Odoo!$A:$A, MATCH(X217, Pagos_Odoo!$B:$B, 0)), ""))</f>
        <v/>
      </c>
      <c r="AA217" s="79">
        <f>IF(X217="Sin Pago","",IFERROR(INDEX(Pagos_Odoo!$F:$F, MATCH(X217, Pagos_Odoo!$B:$B, 0)), ""))</f>
        <v/>
      </c>
      <c r="AB217" s="81">
        <f>IF(X217="Sin Pago",0,IFERROR(INDEX(Pagos_Odoo!$E:$E, MATCH(X217, Pagos_Odoo!$B:$B, 0)), 0))</f>
        <v/>
      </c>
      <c r="AC217" s="79">
        <f>IF(X217="Sin Pago","",IFERROR(INDEX(Pagos_Odoo!$G:$G, MATCH(X217, Pagos_Odoo!$B:$B, 0)), ""))</f>
        <v/>
      </c>
      <c r="AD217" s="82" t="n">
        <v>0</v>
      </c>
      <c r="AE217" s="82" t="n"/>
      <c r="AF217" s="82" t="n"/>
      <c r="AG217" s="82">
        <f>IF(AN217="","",AD217+AE217+AF217)</f>
        <v/>
      </c>
      <c r="AH217" s="81">
        <f>IF(AN217="","",P217*(1-AG217))</f>
        <v/>
      </c>
      <c r="AI217" s="81">
        <f>IF(AN217="","",IF(Q217="Sin Factura",0,IFERROR(INDEX(Facturas_Odoo!$H:$H, MATCH(Q217, Facturas_Odoo!$B:$B, 0)), 0)*(1-AG217)))</f>
        <v/>
      </c>
      <c r="AJ217" s="81">
        <f>IF(AN217="","",_xlfn.LET(idVenta, AN217&amp;"",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7" s="81">
        <f>IF(AN217="","",AH217-AJ217)</f>
        <v/>
      </c>
      <c r="AL217" s="81">
        <f>IF(AN217="","",IF(Q217="Sin Factura","",AI217-AJ217))</f>
        <v/>
      </c>
      <c r="AM217" s="81">
        <f>IF(AN217="","",IF(Q217="Sin Factura",0,P217-IFERROR(INDEX(Facturas_Odoo!$H:$H, MATCH(Q217, Facturas_Odoo!$B:$B, 0)), 0)))</f>
        <v/>
      </c>
      <c r="AN217" s="79">
        <f>IF(AND(A217="", J217=""), "", IF(A217&lt;&gt;"", VALUE(MID(A217,2,LEN(A217))), AN216))</f>
        <v/>
      </c>
      <c r="AO217" s="79">
        <f>IF(AN217="","",IF(AD217=0,"OK",_xlfn.LET(monedaPago, IF(AA217="","USD",AA217), limitePermitido, IFERROR(VLOOKUP(monedaPago, Configuración!$A$2:$B$3, 2, FALSE), 0.15), IF(AD217&gt;limitePermitido, "ALERTA: EXCESO (" &amp; TEXT(limitePermitido, "0%") &amp; " máx)", "OK"))))</f>
        <v/>
      </c>
      <c r="AP217" s="79">
        <f>IF(AN217="","",IF(AE217=0,"OK",_xlfn.LET(fechaPago, Z217, fechaFactura, R217, diasCredito, IF(E217="Pago inmediato", 0, IFERROR(VALUE(MID(E217, 1, SEARCH(" ", E217)-1)),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7" s="79">
        <f>IF(AN217="","",IF(AND(N217&gt;0, AG217&gt;0), IF(Configuración!$K$2="NO", "ALERTA: DESCUENTO DOBLE NO PERMITIDO", "OK"), "OK"))</f>
        <v/>
      </c>
      <c r="AR217" s="79">
        <f>IF(AN217="","",IF(OR(AO217&lt;&gt;"OK", AP217&lt;&gt;"OK", AQ217&lt;&gt;"OK"), "⚠️ REVISAR", "OK"))</f>
        <v/>
      </c>
    </row>
    <row r="218">
      <c r="A218" s="79">
        <f>IF('Ordenes_Odoo'!A218="","",'Ordenes_Odoo'!A218)</f>
        <v/>
      </c>
      <c r="B218" s="80">
        <f>IF('Ordenes_Odoo'!B218="","",'Ordenes_Odoo'!B218)</f>
        <v/>
      </c>
      <c r="C218" s="79">
        <f>IF('Ordenes_Odoo'!C218="","",'Ordenes_Odoo'!C218)</f>
        <v/>
      </c>
      <c r="D218" s="79">
        <f>IF('Ordenes_Odoo'!D218="","",'Ordenes_Odoo'!D218)</f>
        <v/>
      </c>
      <c r="E218" s="79">
        <f>IF('Ordenes_Odoo'!E218="","",'Ordenes_Odoo'!E218)</f>
        <v/>
      </c>
      <c r="F218" s="79">
        <f>IF('Ordenes_Odoo'!F218="","",'Ordenes_Odoo'!F218)</f>
        <v/>
      </c>
      <c r="G218" s="79">
        <f>IF('Ordenes_Odoo'!G218="","",'Ordenes_Odoo'!G218)</f>
        <v/>
      </c>
      <c r="H218" s="79">
        <f>IF('Ordenes_Odoo'!H218="","",'Ordenes_Odoo'!H218)</f>
        <v/>
      </c>
      <c r="I218" s="79">
        <f>IF('Ordenes_Odoo'!I218="","",'Ordenes_Odoo'!I218)</f>
        <v/>
      </c>
      <c r="J218" s="79">
        <f>IF('Ordenes_Odoo'!J218="","",'Ordenes_Odoo'!J218)</f>
        <v/>
      </c>
      <c r="K218" s="81">
        <f>IF('Ordenes_Odoo'!K218="","",'Ordenes_Odoo'!K218)</f>
        <v/>
      </c>
      <c r="L218" s="81">
        <f>IF('Ordenes_Odoo'!L218="","",'Ordenes_Odoo'!L218)</f>
        <v/>
      </c>
      <c r="M218" s="79">
        <f>IF('Ordenes_Odoo'!M218="","",'Ordenes_Odoo'!M218)</f>
        <v/>
      </c>
      <c r="N218" s="79">
        <f>IF('Ordenes_Odoo'!N218="","",'Ordenes_Odoo'!N218)</f>
        <v/>
      </c>
      <c r="O218" s="81">
        <f>IF('Ordenes_Odoo'!O218="","",'Ordenes_Odoo'!O218)</f>
        <v/>
      </c>
      <c r="P218" s="81">
        <f>IF('Ordenes_Odoo'!P218="","",'Ordenes_Odoo'!P218)</f>
        <v/>
      </c>
      <c r="Q218" s="79">
        <f>IF(A218="","",IFERROR(INDEX(Facturas_Odoo!$B:$B, MATCH(A218, Facturas_Odoo!$D:$D, 0)), "Sin Factura"))</f>
        <v/>
      </c>
      <c r="R218" s="80">
        <f>IF(Q218="Sin Factura","",IFERROR(INDEX(Facturas_Odoo!$A:$A, MATCH(Q218, Facturas_Odoo!$B:$B, 0)), ""))</f>
        <v/>
      </c>
      <c r="S218" s="79">
        <f>IF(Q218="Sin Factura","",IFERROR(_xlfn.XLOOKUP(1, (Facturas_Odoo!$D:$D=A218) * (Facturas_Odoo!$K:$K=I218), Facturas_Odoo!$L:$L, ""), ""))</f>
        <v/>
      </c>
      <c r="T218" s="81">
        <f>IF(Q218="Sin Factura",0,IFERROR(_xlfn.XLOOKUP(1, (Facturas_Odoo!$D:$D=A218) * (Facturas_Odoo!$K:$K=I218), Facturas_Odoo!$M:$M, 0), 0))</f>
        <v/>
      </c>
      <c r="U218" s="79">
        <f>IF(Q218="Sin Factura",0,IFERROR(_xlfn.XLOOKUP(1, (Facturas_Odoo!$D:$D=A218) * (Facturas_Odoo!$K:$K=I218), Facturas_Odoo!$N:$N, 0), 0))</f>
        <v/>
      </c>
      <c r="V218" s="79">
        <f>IF(Q218="Sin Factura",0,IFERROR(_xlfn.XLOOKUP(1, (Facturas_Odoo!$D:$D=A218) * (Facturas_Odoo!$K:$K=I218), Facturas_Odoo!$O:$O, 0), 0))</f>
        <v/>
      </c>
      <c r="W218" s="81">
        <f>IF(Q218="Sin Factura",0,IFERROR(_xlfn.XLOOKUP(1, (Facturas_Odoo!$D:$D=A218) * (Facturas_Odoo!$K:$K=I218), Facturas_Odoo!$Q:$Q, 0), 0))</f>
        <v/>
      </c>
      <c r="X218" s="79">
        <f>IF(OR(Q218="Sin Factura",Q218=""),"",IFERROR(INDEX(Pagos_Odoo!$B:$B, MATCH(Q218, Pagos_Odoo!$I:$I, 0)), "Sin Pago"))</f>
        <v/>
      </c>
      <c r="Y218" s="79">
        <f>IF(X218="Sin Pago","",IFERROR(INDEX(Pagos_Odoo!$C:$C, MATCH(X218, Pagos_Odoo!$B:$B, 0)), ""))</f>
        <v/>
      </c>
      <c r="Z218" s="80">
        <f>IF(X218="Sin Pago","",IFERROR(INDEX(Pagos_Odoo!$A:$A, MATCH(X218, Pagos_Odoo!$B:$B, 0)), ""))</f>
        <v/>
      </c>
      <c r="AA218" s="79">
        <f>IF(X218="Sin Pago","",IFERROR(INDEX(Pagos_Odoo!$F:$F, MATCH(X218, Pagos_Odoo!$B:$B, 0)), ""))</f>
        <v/>
      </c>
      <c r="AB218" s="81">
        <f>IF(X218="Sin Pago",0,IFERROR(INDEX(Pagos_Odoo!$E:$E, MATCH(X218, Pagos_Odoo!$B:$B, 0)), 0))</f>
        <v/>
      </c>
      <c r="AC218" s="79">
        <f>IF(X218="Sin Pago","",IFERROR(INDEX(Pagos_Odoo!$G:$G, MATCH(X218, Pagos_Odoo!$B:$B, 0)), ""))</f>
        <v/>
      </c>
      <c r="AD218" s="82" t="n">
        <v>0</v>
      </c>
      <c r="AE218" s="82" t="n"/>
      <c r="AF218" s="82" t="n"/>
      <c r="AG218" s="82">
        <f>IF(AN218="","",AD218+AE218+AF218)</f>
        <v/>
      </c>
      <c r="AH218" s="81">
        <f>IF(AN218="","",P218*(1-AG218))</f>
        <v/>
      </c>
      <c r="AI218" s="81">
        <f>IF(AN218="","",IF(Q218="Sin Factura",0,IFERROR(INDEX(Facturas_Odoo!$H:$H, MATCH(Q218, Facturas_Odoo!$B:$B, 0)), 0)*(1-AG218)))</f>
        <v/>
      </c>
      <c r="AJ218" s="81">
        <f>IF(AN218="","",_xlfn.LET(idVenta, AN218&amp;"",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8" s="81">
        <f>IF(AN218="","",AH218-AJ218)</f>
        <v/>
      </c>
      <c r="AL218" s="81">
        <f>IF(AN218="","",IF(Q218="Sin Factura","",AI218-AJ218))</f>
        <v/>
      </c>
      <c r="AM218" s="81">
        <f>IF(AN218="","",IF(Q218="Sin Factura",0,P218-IFERROR(INDEX(Facturas_Odoo!$H:$H, MATCH(Q218, Facturas_Odoo!$B:$B, 0)), 0)))</f>
        <v/>
      </c>
      <c r="AN218" s="79">
        <f>IF(AND(A218="", J218=""), "", IF(A218&lt;&gt;"", VALUE(MID(A218,2,LEN(A218))), AN217))</f>
        <v/>
      </c>
      <c r="AO218" s="79">
        <f>IF(AN218="","",IF(AD218=0,"OK",_xlfn.LET(monedaPago, IF(AA218="","USD",AA218), limitePermitido, IFERROR(VLOOKUP(monedaPago, Configuración!$A$2:$B$3, 2, FALSE), 0.15), IF(AD218&gt;limitePermitido, "ALERTA: EXCESO (" &amp; TEXT(limitePermitido, "0%") &amp; " máx)", "OK"))))</f>
        <v/>
      </c>
      <c r="AP218" s="79">
        <f>IF(AN218="","",IF(AE218=0,"OK",_xlfn.LET(fechaPago, Z218, fechaFactura, R218, diasCredito, IF(E218="Pago inmediato", 0, IFERROR(VALUE(MID(E218, 1, SEARCH(" ", E218)-1)),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8" s="79">
        <f>IF(AN218="","",IF(AND(N218&gt;0, AG218&gt;0), IF(Configuración!$K$2="NO", "ALERTA: DESCUENTO DOBLE NO PERMITIDO", "OK"), "OK"))</f>
        <v/>
      </c>
      <c r="AR218" s="79">
        <f>IF(AN218="","",IF(OR(AO218&lt;&gt;"OK", AP218&lt;&gt;"OK", AQ218&lt;&gt;"OK"), "⚠️ REVISAR", "OK"))</f>
        <v/>
      </c>
    </row>
    <row r="219">
      <c r="A219" s="79">
        <f>IF('Ordenes_Odoo'!A219="","",'Ordenes_Odoo'!A219)</f>
        <v/>
      </c>
      <c r="B219" s="80">
        <f>IF('Ordenes_Odoo'!B219="","",'Ordenes_Odoo'!B219)</f>
        <v/>
      </c>
      <c r="C219" s="79">
        <f>IF('Ordenes_Odoo'!C219="","",'Ordenes_Odoo'!C219)</f>
        <v/>
      </c>
      <c r="D219" s="79">
        <f>IF('Ordenes_Odoo'!D219="","",'Ordenes_Odoo'!D219)</f>
        <v/>
      </c>
      <c r="E219" s="79">
        <f>IF('Ordenes_Odoo'!E219="","",'Ordenes_Odoo'!E219)</f>
        <v/>
      </c>
      <c r="F219" s="79">
        <f>IF('Ordenes_Odoo'!F219="","",'Ordenes_Odoo'!F219)</f>
        <v/>
      </c>
      <c r="G219" s="79">
        <f>IF('Ordenes_Odoo'!G219="","",'Ordenes_Odoo'!G219)</f>
        <v/>
      </c>
      <c r="H219" s="79">
        <f>IF('Ordenes_Odoo'!H219="","",'Ordenes_Odoo'!H219)</f>
        <v/>
      </c>
      <c r="I219" s="79">
        <f>IF('Ordenes_Odoo'!I219="","",'Ordenes_Odoo'!I219)</f>
        <v/>
      </c>
      <c r="J219" s="79">
        <f>IF('Ordenes_Odoo'!J219="","",'Ordenes_Odoo'!J219)</f>
        <v/>
      </c>
      <c r="K219" s="81">
        <f>IF('Ordenes_Odoo'!K219="","",'Ordenes_Odoo'!K219)</f>
        <v/>
      </c>
      <c r="L219" s="81">
        <f>IF('Ordenes_Odoo'!L219="","",'Ordenes_Odoo'!L219)</f>
        <v/>
      </c>
      <c r="M219" s="79">
        <f>IF('Ordenes_Odoo'!M219="","",'Ordenes_Odoo'!M219)</f>
        <v/>
      </c>
      <c r="N219" s="79">
        <f>IF('Ordenes_Odoo'!N219="","",'Ordenes_Odoo'!N219)</f>
        <v/>
      </c>
      <c r="O219" s="81">
        <f>IF('Ordenes_Odoo'!O219="","",'Ordenes_Odoo'!O219)</f>
        <v/>
      </c>
      <c r="P219" s="81">
        <f>IF('Ordenes_Odoo'!P219="","",'Ordenes_Odoo'!P219)</f>
        <v/>
      </c>
      <c r="Q219" s="79">
        <f>IF(A219="","",IFERROR(INDEX(Facturas_Odoo!$B:$B, MATCH(A219, Facturas_Odoo!$D:$D, 0)), "Sin Factura"))</f>
        <v/>
      </c>
      <c r="R219" s="80">
        <f>IF(Q219="Sin Factura","",IFERROR(INDEX(Facturas_Odoo!$A:$A, MATCH(Q219, Facturas_Odoo!$B:$B, 0)), ""))</f>
        <v/>
      </c>
      <c r="S219" s="79">
        <f>IF(Q219="Sin Factura","",IFERROR(_xlfn.XLOOKUP(1, (Facturas_Odoo!$D:$D=A219) * (Facturas_Odoo!$K:$K=I219), Facturas_Odoo!$L:$L, ""), ""))</f>
        <v/>
      </c>
      <c r="T219" s="81">
        <f>IF(Q219="Sin Factura",0,IFERROR(_xlfn.XLOOKUP(1, (Facturas_Odoo!$D:$D=A219) * (Facturas_Odoo!$K:$K=I219), Facturas_Odoo!$M:$M, 0), 0))</f>
        <v/>
      </c>
      <c r="U219" s="79">
        <f>IF(Q219="Sin Factura",0,IFERROR(_xlfn.XLOOKUP(1, (Facturas_Odoo!$D:$D=A219) * (Facturas_Odoo!$K:$K=I219), Facturas_Odoo!$N:$N, 0), 0))</f>
        <v/>
      </c>
      <c r="V219" s="79">
        <f>IF(Q219="Sin Factura",0,IFERROR(_xlfn.XLOOKUP(1, (Facturas_Odoo!$D:$D=A219) * (Facturas_Odoo!$K:$K=I219), Facturas_Odoo!$O:$O, 0), 0))</f>
        <v/>
      </c>
      <c r="W219" s="81">
        <f>IF(Q219="Sin Factura",0,IFERROR(_xlfn.XLOOKUP(1, (Facturas_Odoo!$D:$D=A219) * (Facturas_Odoo!$K:$K=I219), Facturas_Odoo!$Q:$Q, 0), 0))</f>
        <v/>
      </c>
      <c r="X219" s="79">
        <f>IF(OR(Q219="Sin Factura",Q219=""),"",IFERROR(INDEX(Pagos_Odoo!$B:$B, MATCH(Q219, Pagos_Odoo!$I:$I, 0)), "Sin Pago"))</f>
        <v/>
      </c>
      <c r="Y219" s="79">
        <f>IF(X219="Sin Pago","",IFERROR(INDEX(Pagos_Odoo!$C:$C, MATCH(X219, Pagos_Odoo!$B:$B, 0)), ""))</f>
        <v/>
      </c>
      <c r="Z219" s="80">
        <f>IF(X219="Sin Pago","",IFERROR(INDEX(Pagos_Odoo!$A:$A, MATCH(X219, Pagos_Odoo!$B:$B, 0)), ""))</f>
        <v/>
      </c>
      <c r="AA219" s="79">
        <f>IF(X219="Sin Pago","",IFERROR(INDEX(Pagos_Odoo!$F:$F, MATCH(X219, Pagos_Odoo!$B:$B, 0)), ""))</f>
        <v/>
      </c>
      <c r="AB219" s="81">
        <f>IF(X219="Sin Pago",0,IFERROR(INDEX(Pagos_Odoo!$E:$E, MATCH(X219, Pagos_Odoo!$B:$B, 0)), 0))</f>
        <v/>
      </c>
      <c r="AC219" s="79">
        <f>IF(X219="Sin Pago","",IFERROR(INDEX(Pagos_Odoo!$G:$G, MATCH(X219, Pagos_Odoo!$B:$B, 0)), ""))</f>
        <v/>
      </c>
      <c r="AD219" s="82" t="n">
        <v>0</v>
      </c>
      <c r="AE219" s="82" t="n"/>
      <c r="AF219" s="82" t="n"/>
      <c r="AG219" s="82">
        <f>IF(AN219="","",AD219+AE219+AF219)</f>
        <v/>
      </c>
      <c r="AH219" s="81">
        <f>IF(AN219="","",P219*(1-AG219))</f>
        <v/>
      </c>
      <c r="AI219" s="81">
        <f>IF(AN219="","",IF(Q219="Sin Factura",0,IFERROR(INDEX(Facturas_Odoo!$H:$H, MATCH(Q219, Facturas_Odoo!$B:$B, 0)), 0)*(1-AG219)))</f>
        <v/>
      </c>
      <c r="AJ219" s="81">
        <f>IF(AN219="","",_xlfn.LET(idVenta, AN219&amp;"",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9" s="81">
        <f>IF(AN219="","",AH219-AJ219)</f>
        <v/>
      </c>
      <c r="AL219" s="81">
        <f>IF(AN219="","",IF(Q219="Sin Factura","",AI219-AJ219))</f>
        <v/>
      </c>
      <c r="AM219" s="81">
        <f>IF(AN219="","",IF(Q219="Sin Factura",0,P219-IFERROR(INDEX(Facturas_Odoo!$H:$H, MATCH(Q219, Facturas_Odoo!$B:$B, 0)), 0)))</f>
        <v/>
      </c>
      <c r="AN219" s="79">
        <f>IF(AND(A219="", J219=""), "", IF(A219&lt;&gt;"", VALUE(MID(A219,2,LEN(A219))), AN218))</f>
        <v/>
      </c>
      <c r="AO219" s="79">
        <f>IF(AN219="","",IF(AD219=0,"OK",_xlfn.LET(monedaPago, IF(AA219="","USD",AA219), limitePermitido, IFERROR(VLOOKUP(monedaPago, Configuración!$A$2:$B$3, 2, FALSE), 0.15), IF(AD219&gt;limitePermitido, "ALERTA: EXCESO (" &amp; TEXT(limitePermitido, "0%") &amp; " máx)", "OK"))))</f>
        <v/>
      </c>
      <c r="AP219" s="79">
        <f>IF(AN219="","",IF(AE219=0,"OK",_xlfn.LET(fechaPago, Z219, fechaFactura, R219, diasCredito, IF(E219="Pago inmediato", 0, IFERROR(VALUE(MID(E219, 1, SEARCH(" ", E219)-1)),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9" s="79">
        <f>IF(AN219="","",IF(AND(N219&gt;0, AG219&gt;0), IF(Configuración!$K$2="NO", "ALERTA: DESCUENTO DOBLE NO PERMITIDO", "OK"), "OK"))</f>
        <v/>
      </c>
      <c r="AR219" s="79">
        <f>IF(AN219="","",IF(OR(AO219&lt;&gt;"OK", AP219&lt;&gt;"OK", AQ219&lt;&gt;"OK"), "⚠️ REVISAR", "OK"))</f>
        <v/>
      </c>
    </row>
    <row r="220">
      <c r="A220" s="79">
        <f>IF('Ordenes_Odoo'!A220="","",'Ordenes_Odoo'!A220)</f>
        <v/>
      </c>
      <c r="B220" s="80">
        <f>IF('Ordenes_Odoo'!B220="","",'Ordenes_Odoo'!B220)</f>
        <v/>
      </c>
      <c r="C220" s="79">
        <f>IF('Ordenes_Odoo'!C220="","",'Ordenes_Odoo'!C220)</f>
        <v/>
      </c>
      <c r="D220" s="79">
        <f>IF('Ordenes_Odoo'!D220="","",'Ordenes_Odoo'!D220)</f>
        <v/>
      </c>
      <c r="E220" s="79">
        <f>IF('Ordenes_Odoo'!E220="","",'Ordenes_Odoo'!E220)</f>
        <v/>
      </c>
      <c r="F220" s="79">
        <f>IF('Ordenes_Odoo'!F220="","",'Ordenes_Odoo'!F220)</f>
        <v/>
      </c>
      <c r="G220" s="79">
        <f>IF('Ordenes_Odoo'!G220="","",'Ordenes_Odoo'!G220)</f>
        <v/>
      </c>
      <c r="H220" s="79">
        <f>IF('Ordenes_Odoo'!H220="","",'Ordenes_Odoo'!H220)</f>
        <v/>
      </c>
      <c r="I220" s="79">
        <f>IF('Ordenes_Odoo'!I220="","",'Ordenes_Odoo'!I220)</f>
        <v/>
      </c>
      <c r="J220" s="79">
        <f>IF('Ordenes_Odoo'!J220="","",'Ordenes_Odoo'!J220)</f>
        <v/>
      </c>
      <c r="K220" s="81">
        <f>IF('Ordenes_Odoo'!K220="","",'Ordenes_Odoo'!K220)</f>
        <v/>
      </c>
      <c r="L220" s="81">
        <f>IF('Ordenes_Odoo'!L220="","",'Ordenes_Odoo'!L220)</f>
        <v/>
      </c>
      <c r="M220" s="79">
        <f>IF('Ordenes_Odoo'!M220="","",'Ordenes_Odoo'!M220)</f>
        <v/>
      </c>
      <c r="N220" s="79">
        <f>IF('Ordenes_Odoo'!N220="","",'Ordenes_Odoo'!N220)</f>
        <v/>
      </c>
      <c r="O220" s="81">
        <f>IF('Ordenes_Odoo'!O220="","",'Ordenes_Odoo'!O220)</f>
        <v/>
      </c>
      <c r="P220" s="81">
        <f>IF('Ordenes_Odoo'!P220="","",'Ordenes_Odoo'!P220)</f>
        <v/>
      </c>
      <c r="Q220" s="79">
        <f>IF(A220="","",IFERROR(INDEX(Facturas_Odoo!$B:$B, MATCH(A220, Facturas_Odoo!$D:$D, 0)), "Sin Factura"))</f>
        <v/>
      </c>
      <c r="R220" s="80">
        <f>IF(Q220="Sin Factura","",IFERROR(INDEX(Facturas_Odoo!$A:$A, MATCH(Q220, Facturas_Odoo!$B:$B, 0)), ""))</f>
        <v/>
      </c>
      <c r="S220" s="79">
        <f>IF(Q220="Sin Factura","",IFERROR(_xlfn.XLOOKUP(1, (Facturas_Odoo!$D:$D=A220) * (Facturas_Odoo!$K:$K=I220), Facturas_Odoo!$L:$L, ""), ""))</f>
        <v/>
      </c>
      <c r="T220" s="81">
        <f>IF(Q220="Sin Factura",0,IFERROR(_xlfn.XLOOKUP(1, (Facturas_Odoo!$D:$D=A220) * (Facturas_Odoo!$K:$K=I220), Facturas_Odoo!$M:$M, 0), 0))</f>
        <v/>
      </c>
      <c r="U220" s="79">
        <f>IF(Q220="Sin Factura",0,IFERROR(_xlfn.XLOOKUP(1, (Facturas_Odoo!$D:$D=A220) * (Facturas_Odoo!$K:$K=I220), Facturas_Odoo!$N:$N, 0), 0))</f>
        <v/>
      </c>
      <c r="V220" s="79">
        <f>IF(Q220="Sin Factura",0,IFERROR(_xlfn.XLOOKUP(1, (Facturas_Odoo!$D:$D=A220) * (Facturas_Odoo!$K:$K=I220), Facturas_Odoo!$O:$O, 0), 0))</f>
        <v/>
      </c>
      <c r="W220" s="81">
        <f>IF(Q220="Sin Factura",0,IFERROR(_xlfn.XLOOKUP(1, (Facturas_Odoo!$D:$D=A220) * (Facturas_Odoo!$K:$K=I220), Facturas_Odoo!$Q:$Q, 0), 0))</f>
        <v/>
      </c>
      <c r="X220" s="79">
        <f>IF(OR(Q220="Sin Factura",Q220=""),"",IFERROR(INDEX(Pagos_Odoo!$B:$B, MATCH(Q220, Pagos_Odoo!$I:$I, 0)), "Sin Pago"))</f>
        <v/>
      </c>
      <c r="Y220" s="79">
        <f>IF(X220="Sin Pago","",IFERROR(INDEX(Pagos_Odoo!$C:$C, MATCH(X220, Pagos_Odoo!$B:$B, 0)), ""))</f>
        <v/>
      </c>
      <c r="Z220" s="80">
        <f>IF(X220="Sin Pago","",IFERROR(INDEX(Pagos_Odoo!$A:$A, MATCH(X220, Pagos_Odoo!$B:$B, 0)), ""))</f>
        <v/>
      </c>
      <c r="AA220" s="79">
        <f>IF(X220="Sin Pago","",IFERROR(INDEX(Pagos_Odoo!$F:$F, MATCH(X220, Pagos_Odoo!$B:$B, 0)), ""))</f>
        <v/>
      </c>
      <c r="AB220" s="81">
        <f>IF(X220="Sin Pago",0,IFERROR(INDEX(Pagos_Odoo!$E:$E, MATCH(X220, Pagos_Odoo!$B:$B, 0)), 0))</f>
        <v/>
      </c>
      <c r="AC220" s="79">
        <f>IF(X220="Sin Pago","",IFERROR(INDEX(Pagos_Odoo!$G:$G, MATCH(X220, Pagos_Odoo!$B:$B, 0)), ""))</f>
        <v/>
      </c>
      <c r="AD220" s="82" t="n">
        <v>0</v>
      </c>
      <c r="AE220" s="82" t="n"/>
      <c r="AF220" s="82" t="n"/>
      <c r="AG220" s="82">
        <f>IF(AN220="","",AD220+AE220+AF220)</f>
        <v/>
      </c>
      <c r="AH220" s="81">
        <f>IF(AN220="","",P220*(1-AG220))</f>
        <v/>
      </c>
      <c r="AI220" s="81">
        <f>IF(AN220="","",IF(Q220="Sin Factura",0,IFERROR(INDEX(Facturas_Odoo!$H:$H, MATCH(Q220, Facturas_Odoo!$B:$B, 0)), 0)*(1-AG220)))</f>
        <v/>
      </c>
      <c r="AJ220" s="81">
        <f>IF(AN220="","",_xlfn.LET(idVenta, AN220&amp;"",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0" s="81">
        <f>IF(AN220="","",AH220-AJ220)</f>
        <v/>
      </c>
      <c r="AL220" s="81">
        <f>IF(AN220="","",IF(Q220="Sin Factura","",AI220-AJ220))</f>
        <v/>
      </c>
      <c r="AM220" s="81">
        <f>IF(AN220="","",IF(Q220="Sin Factura",0,P220-IFERROR(INDEX(Facturas_Odoo!$H:$H, MATCH(Q220, Facturas_Odoo!$B:$B, 0)), 0)))</f>
        <v/>
      </c>
      <c r="AN220" s="79">
        <f>IF(AND(A220="", J220=""), "", IF(A220&lt;&gt;"", VALUE(MID(A220,2,LEN(A220))), AN219))</f>
        <v/>
      </c>
      <c r="AO220" s="79">
        <f>IF(AN220="","",IF(AD220=0,"OK",_xlfn.LET(monedaPago, IF(AA220="","USD",AA220), limitePermitido, IFERROR(VLOOKUP(monedaPago, Configuración!$A$2:$B$3, 2, FALSE), 0.15), IF(AD220&gt;limitePermitido, "ALERTA: EXCESO (" &amp; TEXT(limitePermitido, "0%") &amp; " máx)", "OK"))))</f>
        <v/>
      </c>
      <c r="AP220" s="79">
        <f>IF(AN220="","",IF(AE220=0,"OK",_xlfn.LET(fechaPago, Z220, fechaFactura, R220, diasCredito, IF(E220="Pago inmediato", 0, IFERROR(VALUE(MID(E220, 1, SEARCH(" ", E220)-1)),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0" s="79">
        <f>IF(AN220="","",IF(AND(N220&gt;0, AG220&gt;0), IF(Configuración!$K$2="NO", "ALERTA: DESCUENTO DOBLE NO PERMITIDO", "OK"), "OK"))</f>
        <v/>
      </c>
      <c r="AR220" s="79">
        <f>IF(AN220="","",IF(OR(AO220&lt;&gt;"OK", AP220&lt;&gt;"OK", AQ220&lt;&gt;"OK"), "⚠️ REVISAR", "OK"))</f>
        <v/>
      </c>
    </row>
    <row r="221">
      <c r="A221" s="79">
        <f>IF('Ordenes_Odoo'!A221="","",'Ordenes_Odoo'!A221)</f>
        <v/>
      </c>
      <c r="B221" s="80">
        <f>IF('Ordenes_Odoo'!B221="","",'Ordenes_Odoo'!B221)</f>
        <v/>
      </c>
      <c r="C221" s="79">
        <f>IF('Ordenes_Odoo'!C221="","",'Ordenes_Odoo'!C221)</f>
        <v/>
      </c>
      <c r="D221" s="79">
        <f>IF('Ordenes_Odoo'!D221="","",'Ordenes_Odoo'!D221)</f>
        <v/>
      </c>
      <c r="E221" s="79">
        <f>IF('Ordenes_Odoo'!E221="","",'Ordenes_Odoo'!E221)</f>
        <v/>
      </c>
      <c r="F221" s="79">
        <f>IF('Ordenes_Odoo'!F221="","",'Ordenes_Odoo'!F221)</f>
        <v/>
      </c>
      <c r="G221" s="79">
        <f>IF('Ordenes_Odoo'!G221="","",'Ordenes_Odoo'!G221)</f>
        <v/>
      </c>
      <c r="H221" s="79">
        <f>IF('Ordenes_Odoo'!H221="","",'Ordenes_Odoo'!H221)</f>
        <v/>
      </c>
      <c r="I221" s="79">
        <f>IF('Ordenes_Odoo'!I221="","",'Ordenes_Odoo'!I221)</f>
        <v/>
      </c>
      <c r="J221" s="79">
        <f>IF('Ordenes_Odoo'!J221="","",'Ordenes_Odoo'!J221)</f>
        <v/>
      </c>
      <c r="K221" s="81">
        <f>IF('Ordenes_Odoo'!K221="","",'Ordenes_Odoo'!K221)</f>
        <v/>
      </c>
      <c r="L221" s="81">
        <f>IF('Ordenes_Odoo'!L221="","",'Ordenes_Odoo'!L221)</f>
        <v/>
      </c>
      <c r="M221" s="79">
        <f>IF('Ordenes_Odoo'!M221="","",'Ordenes_Odoo'!M221)</f>
        <v/>
      </c>
      <c r="N221" s="79">
        <f>IF('Ordenes_Odoo'!N221="","",'Ordenes_Odoo'!N221)</f>
        <v/>
      </c>
      <c r="O221" s="81">
        <f>IF('Ordenes_Odoo'!O221="","",'Ordenes_Odoo'!O221)</f>
        <v/>
      </c>
      <c r="P221" s="81">
        <f>IF('Ordenes_Odoo'!P221="","",'Ordenes_Odoo'!P221)</f>
        <v/>
      </c>
      <c r="Q221" s="79">
        <f>IF(A221="","",IFERROR(INDEX(Facturas_Odoo!$B:$B, MATCH(A221, Facturas_Odoo!$D:$D, 0)), "Sin Factura"))</f>
        <v/>
      </c>
      <c r="R221" s="80">
        <f>IF(Q221="Sin Factura","",IFERROR(INDEX(Facturas_Odoo!$A:$A, MATCH(Q221, Facturas_Odoo!$B:$B, 0)), ""))</f>
        <v/>
      </c>
      <c r="S221" s="79">
        <f>IF(Q221="Sin Factura","",IFERROR(_xlfn.XLOOKUP(1, (Facturas_Odoo!$D:$D=A221) * (Facturas_Odoo!$K:$K=I221), Facturas_Odoo!$L:$L, ""), ""))</f>
        <v/>
      </c>
      <c r="T221" s="81">
        <f>IF(Q221="Sin Factura",0,IFERROR(_xlfn.XLOOKUP(1, (Facturas_Odoo!$D:$D=A221) * (Facturas_Odoo!$K:$K=I221), Facturas_Odoo!$M:$M, 0), 0))</f>
        <v/>
      </c>
      <c r="U221" s="79">
        <f>IF(Q221="Sin Factura",0,IFERROR(_xlfn.XLOOKUP(1, (Facturas_Odoo!$D:$D=A221) * (Facturas_Odoo!$K:$K=I221), Facturas_Odoo!$N:$N, 0), 0))</f>
        <v/>
      </c>
      <c r="V221" s="79">
        <f>IF(Q221="Sin Factura",0,IFERROR(_xlfn.XLOOKUP(1, (Facturas_Odoo!$D:$D=A221) * (Facturas_Odoo!$K:$K=I221), Facturas_Odoo!$O:$O, 0), 0))</f>
        <v/>
      </c>
      <c r="W221" s="81">
        <f>IF(Q221="Sin Factura",0,IFERROR(_xlfn.XLOOKUP(1, (Facturas_Odoo!$D:$D=A221) * (Facturas_Odoo!$K:$K=I221), Facturas_Odoo!$Q:$Q, 0), 0))</f>
        <v/>
      </c>
      <c r="X221" s="79">
        <f>IF(OR(Q221="Sin Factura",Q221=""),"",IFERROR(INDEX(Pagos_Odoo!$B:$B, MATCH(Q221, Pagos_Odoo!$I:$I, 0)), "Sin Pago"))</f>
        <v/>
      </c>
      <c r="Y221" s="79">
        <f>IF(X221="Sin Pago","",IFERROR(INDEX(Pagos_Odoo!$C:$C, MATCH(X221, Pagos_Odoo!$B:$B, 0)), ""))</f>
        <v/>
      </c>
      <c r="Z221" s="80">
        <f>IF(X221="Sin Pago","",IFERROR(INDEX(Pagos_Odoo!$A:$A, MATCH(X221, Pagos_Odoo!$B:$B, 0)), ""))</f>
        <v/>
      </c>
      <c r="AA221" s="79">
        <f>IF(X221="Sin Pago","",IFERROR(INDEX(Pagos_Odoo!$F:$F, MATCH(X221, Pagos_Odoo!$B:$B, 0)), ""))</f>
        <v/>
      </c>
      <c r="AB221" s="81">
        <f>IF(X221="Sin Pago",0,IFERROR(INDEX(Pagos_Odoo!$E:$E, MATCH(X221, Pagos_Odoo!$B:$B, 0)), 0))</f>
        <v/>
      </c>
      <c r="AC221" s="79">
        <f>IF(X221="Sin Pago","",IFERROR(INDEX(Pagos_Odoo!$G:$G, MATCH(X221, Pagos_Odoo!$B:$B, 0)), ""))</f>
        <v/>
      </c>
      <c r="AD221" s="82" t="n">
        <v>0</v>
      </c>
      <c r="AE221" s="82" t="n"/>
      <c r="AF221" s="82" t="n"/>
      <c r="AG221" s="82">
        <f>IF(AN221="","",AD221+AE221+AF221)</f>
        <v/>
      </c>
      <c r="AH221" s="81">
        <f>IF(AN221="","",P221*(1-AG221))</f>
        <v/>
      </c>
      <c r="AI221" s="81">
        <f>IF(AN221="","",IF(Q221="Sin Factura",0,IFERROR(INDEX(Facturas_Odoo!$H:$H, MATCH(Q221, Facturas_Odoo!$B:$B, 0)), 0)*(1-AG221)))</f>
        <v/>
      </c>
      <c r="AJ221" s="81">
        <f>IF(AN221="","",_xlfn.LET(idVenta, AN221&amp;"",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1" s="81">
        <f>IF(AN221="","",AH221-AJ221)</f>
        <v/>
      </c>
      <c r="AL221" s="81">
        <f>IF(AN221="","",IF(Q221="Sin Factura","",AI221-AJ221))</f>
        <v/>
      </c>
      <c r="AM221" s="81">
        <f>IF(AN221="","",IF(Q221="Sin Factura",0,P221-IFERROR(INDEX(Facturas_Odoo!$H:$H, MATCH(Q221, Facturas_Odoo!$B:$B, 0)), 0)))</f>
        <v/>
      </c>
      <c r="AN221" s="79">
        <f>IF(AND(A221="", J221=""), "", IF(A221&lt;&gt;"", VALUE(MID(A221,2,LEN(A221))), AN220))</f>
        <v/>
      </c>
      <c r="AO221" s="79">
        <f>IF(AN221="","",IF(AD221=0,"OK",_xlfn.LET(monedaPago, IF(AA221="","USD",AA221), limitePermitido, IFERROR(VLOOKUP(monedaPago, Configuración!$A$2:$B$3, 2, FALSE), 0.15), IF(AD221&gt;limitePermitido, "ALERTA: EXCESO (" &amp; TEXT(limitePermitido, "0%") &amp; " máx)", "OK"))))</f>
        <v/>
      </c>
      <c r="AP221" s="79">
        <f>IF(AN221="","",IF(AE221=0,"OK",_xlfn.LET(fechaPago, Z221, fechaFactura, R221, diasCredito, IF(E221="Pago inmediato", 0, IFERROR(VALUE(MID(E221, 1, SEARCH(" ", E221)-1)),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1" s="79">
        <f>IF(AN221="","",IF(AND(N221&gt;0, AG221&gt;0), IF(Configuración!$K$2="NO", "ALERTA: DESCUENTO DOBLE NO PERMITIDO", "OK"), "OK"))</f>
        <v/>
      </c>
      <c r="AR221" s="79">
        <f>IF(AN221="","",IF(OR(AO221&lt;&gt;"OK", AP221&lt;&gt;"OK", AQ221&lt;&gt;"OK"), "⚠️ REVISAR", "OK"))</f>
        <v/>
      </c>
    </row>
    <row r="222">
      <c r="A222" s="79">
        <f>IF('Ordenes_Odoo'!A222="","",'Ordenes_Odoo'!A222)</f>
        <v/>
      </c>
      <c r="B222" s="80">
        <f>IF('Ordenes_Odoo'!B222="","",'Ordenes_Odoo'!B222)</f>
        <v/>
      </c>
      <c r="C222" s="79">
        <f>IF('Ordenes_Odoo'!C222="","",'Ordenes_Odoo'!C222)</f>
        <v/>
      </c>
      <c r="D222" s="79">
        <f>IF('Ordenes_Odoo'!D222="","",'Ordenes_Odoo'!D222)</f>
        <v/>
      </c>
      <c r="E222" s="79">
        <f>IF('Ordenes_Odoo'!E222="","",'Ordenes_Odoo'!E222)</f>
        <v/>
      </c>
      <c r="F222" s="79">
        <f>IF('Ordenes_Odoo'!F222="","",'Ordenes_Odoo'!F222)</f>
        <v/>
      </c>
      <c r="G222" s="79">
        <f>IF('Ordenes_Odoo'!G222="","",'Ordenes_Odoo'!G222)</f>
        <v/>
      </c>
      <c r="H222" s="79">
        <f>IF('Ordenes_Odoo'!H222="","",'Ordenes_Odoo'!H222)</f>
        <v/>
      </c>
      <c r="I222" s="79">
        <f>IF('Ordenes_Odoo'!I222="","",'Ordenes_Odoo'!I222)</f>
        <v/>
      </c>
      <c r="J222" s="79">
        <f>IF('Ordenes_Odoo'!J222="","",'Ordenes_Odoo'!J222)</f>
        <v/>
      </c>
      <c r="K222" s="81">
        <f>IF('Ordenes_Odoo'!K222="","",'Ordenes_Odoo'!K222)</f>
        <v/>
      </c>
      <c r="L222" s="81">
        <f>IF('Ordenes_Odoo'!L222="","",'Ordenes_Odoo'!L222)</f>
        <v/>
      </c>
      <c r="M222" s="79">
        <f>IF('Ordenes_Odoo'!M222="","",'Ordenes_Odoo'!M222)</f>
        <v/>
      </c>
      <c r="N222" s="79">
        <f>IF('Ordenes_Odoo'!N222="","",'Ordenes_Odoo'!N222)</f>
        <v/>
      </c>
      <c r="O222" s="81">
        <f>IF('Ordenes_Odoo'!O222="","",'Ordenes_Odoo'!O222)</f>
        <v/>
      </c>
      <c r="P222" s="81">
        <f>IF('Ordenes_Odoo'!P222="","",'Ordenes_Odoo'!P222)</f>
        <v/>
      </c>
      <c r="Q222" s="79">
        <f>IF(A222="","",IFERROR(INDEX(Facturas_Odoo!$B:$B, MATCH(A222, Facturas_Odoo!$D:$D, 0)), "Sin Factura"))</f>
        <v/>
      </c>
      <c r="R222" s="80">
        <f>IF(Q222="Sin Factura","",IFERROR(INDEX(Facturas_Odoo!$A:$A, MATCH(Q222, Facturas_Odoo!$B:$B, 0)), ""))</f>
        <v/>
      </c>
      <c r="S222" s="79">
        <f>IF(Q222="Sin Factura","",IFERROR(_xlfn.XLOOKUP(1, (Facturas_Odoo!$D:$D=A222) * (Facturas_Odoo!$K:$K=I222), Facturas_Odoo!$L:$L, ""), ""))</f>
        <v/>
      </c>
      <c r="T222" s="81">
        <f>IF(Q222="Sin Factura",0,IFERROR(_xlfn.XLOOKUP(1, (Facturas_Odoo!$D:$D=A222) * (Facturas_Odoo!$K:$K=I222), Facturas_Odoo!$M:$M, 0), 0))</f>
        <v/>
      </c>
      <c r="U222" s="79">
        <f>IF(Q222="Sin Factura",0,IFERROR(_xlfn.XLOOKUP(1, (Facturas_Odoo!$D:$D=A222) * (Facturas_Odoo!$K:$K=I222), Facturas_Odoo!$N:$N, 0), 0))</f>
        <v/>
      </c>
      <c r="V222" s="79">
        <f>IF(Q222="Sin Factura",0,IFERROR(_xlfn.XLOOKUP(1, (Facturas_Odoo!$D:$D=A222) * (Facturas_Odoo!$K:$K=I222), Facturas_Odoo!$O:$O, 0), 0))</f>
        <v/>
      </c>
      <c r="W222" s="81">
        <f>IF(Q222="Sin Factura",0,IFERROR(_xlfn.XLOOKUP(1, (Facturas_Odoo!$D:$D=A222) * (Facturas_Odoo!$K:$K=I222), Facturas_Odoo!$Q:$Q, 0), 0))</f>
        <v/>
      </c>
      <c r="X222" s="79">
        <f>IF(OR(Q222="Sin Factura",Q222=""),"",IFERROR(INDEX(Pagos_Odoo!$B:$B, MATCH(Q222, Pagos_Odoo!$I:$I, 0)), "Sin Pago"))</f>
        <v/>
      </c>
      <c r="Y222" s="79">
        <f>IF(X222="Sin Pago","",IFERROR(INDEX(Pagos_Odoo!$C:$C, MATCH(X222, Pagos_Odoo!$B:$B, 0)), ""))</f>
        <v/>
      </c>
      <c r="Z222" s="80">
        <f>IF(X222="Sin Pago","",IFERROR(INDEX(Pagos_Odoo!$A:$A, MATCH(X222, Pagos_Odoo!$B:$B, 0)), ""))</f>
        <v/>
      </c>
      <c r="AA222" s="79">
        <f>IF(X222="Sin Pago","",IFERROR(INDEX(Pagos_Odoo!$F:$F, MATCH(X222, Pagos_Odoo!$B:$B, 0)), ""))</f>
        <v/>
      </c>
      <c r="AB222" s="81">
        <f>IF(X222="Sin Pago",0,IFERROR(INDEX(Pagos_Odoo!$E:$E, MATCH(X222, Pagos_Odoo!$B:$B, 0)), 0))</f>
        <v/>
      </c>
      <c r="AC222" s="79">
        <f>IF(X222="Sin Pago","",IFERROR(INDEX(Pagos_Odoo!$G:$G, MATCH(X222, Pagos_Odoo!$B:$B, 0)), ""))</f>
        <v/>
      </c>
      <c r="AD222" s="82" t="n">
        <v>0</v>
      </c>
      <c r="AE222" s="82" t="n"/>
      <c r="AF222" s="82" t="n"/>
      <c r="AG222" s="82">
        <f>IF(AN222="","",AD222+AE222+AF222)</f>
        <v/>
      </c>
      <c r="AH222" s="81">
        <f>IF(AN222="","",P222*(1-AG222))</f>
        <v/>
      </c>
      <c r="AI222" s="81">
        <f>IF(AN222="","",IF(Q222="Sin Factura",0,IFERROR(INDEX(Facturas_Odoo!$H:$H, MATCH(Q222, Facturas_Odoo!$B:$B, 0)), 0)*(1-AG222)))</f>
        <v/>
      </c>
      <c r="AJ222" s="81">
        <f>IF(AN222="","",_xlfn.LET(idVenta, AN222&amp;"",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2" s="81">
        <f>IF(AN222="","",AH222-AJ222)</f>
        <v/>
      </c>
      <c r="AL222" s="81">
        <f>IF(AN222="","",IF(Q222="Sin Factura","",AI222-AJ222))</f>
        <v/>
      </c>
      <c r="AM222" s="81">
        <f>IF(AN222="","",IF(Q222="Sin Factura",0,P222-IFERROR(INDEX(Facturas_Odoo!$H:$H, MATCH(Q222, Facturas_Odoo!$B:$B, 0)), 0)))</f>
        <v/>
      </c>
      <c r="AN222" s="79">
        <f>IF(AND(A222="", J222=""), "", IF(A222&lt;&gt;"", VALUE(MID(A222,2,LEN(A222))), AN221))</f>
        <v/>
      </c>
      <c r="AO222" s="79">
        <f>IF(AN222="","",IF(AD222=0,"OK",_xlfn.LET(monedaPago, IF(AA222="","USD",AA222), limitePermitido, IFERROR(VLOOKUP(monedaPago, Configuración!$A$2:$B$3, 2, FALSE), 0.15), IF(AD222&gt;limitePermitido, "ALERTA: EXCESO (" &amp; TEXT(limitePermitido, "0%") &amp; " máx)", "OK"))))</f>
        <v/>
      </c>
      <c r="AP222" s="79">
        <f>IF(AN222="","",IF(AE222=0,"OK",_xlfn.LET(fechaPago, Z222, fechaFactura, R222, diasCredito, IF(E222="Pago inmediato", 0, IFERROR(VALUE(MID(E222, 1, SEARCH(" ", E222)-1)),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2" s="79">
        <f>IF(AN222="","",IF(AND(N222&gt;0, AG222&gt;0), IF(Configuración!$K$2="NO", "ALERTA: DESCUENTO DOBLE NO PERMITIDO", "OK"), "OK"))</f>
        <v/>
      </c>
      <c r="AR222" s="79">
        <f>IF(AN222="","",IF(OR(AO222&lt;&gt;"OK", AP222&lt;&gt;"OK", AQ222&lt;&gt;"OK"), "⚠️ REVISAR", "OK"))</f>
        <v/>
      </c>
    </row>
    <row r="223">
      <c r="A223" s="79">
        <f>IF('Ordenes_Odoo'!A223="","",'Ordenes_Odoo'!A223)</f>
        <v/>
      </c>
      <c r="B223" s="80">
        <f>IF('Ordenes_Odoo'!B223="","",'Ordenes_Odoo'!B223)</f>
        <v/>
      </c>
      <c r="C223" s="79">
        <f>IF('Ordenes_Odoo'!C223="","",'Ordenes_Odoo'!C223)</f>
        <v/>
      </c>
      <c r="D223" s="79">
        <f>IF('Ordenes_Odoo'!D223="","",'Ordenes_Odoo'!D223)</f>
        <v/>
      </c>
      <c r="E223" s="79">
        <f>IF('Ordenes_Odoo'!E223="","",'Ordenes_Odoo'!E223)</f>
        <v/>
      </c>
      <c r="F223" s="79">
        <f>IF('Ordenes_Odoo'!F223="","",'Ordenes_Odoo'!F223)</f>
        <v/>
      </c>
      <c r="G223" s="79">
        <f>IF('Ordenes_Odoo'!G223="","",'Ordenes_Odoo'!G223)</f>
        <v/>
      </c>
      <c r="H223" s="79">
        <f>IF('Ordenes_Odoo'!H223="","",'Ordenes_Odoo'!H223)</f>
        <v/>
      </c>
      <c r="I223" s="79">
        <f>IF('Ordenes_Odoo'!I223="","",'Ordenes_Odoo'!I223)</f>
        <v/>
      </c>
      <c r="J223" s="79">
        <f>IF('Ordenes_Odoo'!J223="","",'Ordenes_Odoo'!J223)</f>
        <v/>
      </c>
      <c r="K223" s="81">
        <f>IF('Ordenes_Odoo'!K223="","",'Ordenes_Odoo'!K223)</f>
        <v/>
      </c>
      <c r="L223" s="81">
        <f>IF('Ordenes_Odoo'!L223="","",'Ordenes_Odoo'!L223)</f>
        <v/>
      </c>
      <c r="M223" s="79">
        <f>IF('Ordenes_Odoo'!M223="","",'Ordenes_Odoo'!M223)</f>
        <v/>
      </c>
      <c r="N223" s="79">
        <f>IF('Ordenes_Odoo'!N223="","",'Ordenes_Odoo'!N223)</f>
        <v/>
      </c>
      <c r="O223" s="81">
        <f>IF('Ordenes_Odoo'!O223="","",'Ordenes_Odoo'!O223)</f>
        <v/>
      </c>
      <c r="P223" s="81">
        <f>IF('Ordenes_Odoo'!P223="","",'Ordenes_Odoo'!P223)</f>
        <v/>
      </c>
      <c r="Q223" s="79">
        <f>IF(A223="","",IFERROR(INDEX(Facturas_Odoo!$B:$B, MATCH(A223, Facturas_Odoo!$D:$D, 0)), "Sin Factura"))</f>
        <v/>
      </c>
      <c r="R223" s="80">
        <f>IF(Q223="Sin Factura","",IFERROR(INDEX(Facturas_Odoo!$A:$A, MATCH(Q223, Facturas_Odoo!$B:$B, 0)), ""))</f>
        <v/>
      </c>
      <c r="S223" s="79">
        <f>IF(Q223="Sin Factura","",IFERROR(_xlfn.XLOOKUP(1, (Facturas_Odoo!$D:$D=A223) * (Facturas_Odoo!$K:$K=I223), Facturas_Odoo!$L:$L, ""), ""))</f>
        <v/>
      </c>
      <c r="T223" s="81">
        <f>IF(Q223="Sin Factura",0,IFERROR(_xlfn.XLOOKUP(1, (Facturas_Odoo!$D:$D=A223) * (Facturas_Odoo!$K:$K=I223), Facturas_Odoo!$M:$M, 0), 0))</f>
        <v/>
      </c>
      <c r="U223" s="79">
        <f>IF(Q223="Sin Factura",0,IFERROR(_xlfn.XLOOKUP(1, (Facturas_Odoo!$D:$D=A223) * (Facturas_Odoo!$K:$K=I223), Facturas_Odoo!$N:$N, 0), 0))</f>
        <v/>
      </c>
      <c r="V223" s="79">
        <f>IF(Q223="Sin Factura",0,IFERROR(_xlfn.XLOOKUP(1, (Facturas_Odoo!$D:$D=A223) * (Facturas_Odoo!$K:$K=I223), Facturas_Odoo!$O:$O, 0), 0))</f>
        <v/>
      </c>
      <c r="W223" s="81">
        <f>IF(Q223="Sin Factura",0,IFERROR(_xlfn.XLOOKUP(1, (Facturas_Odoo!$D:$D=A223) * (Facturas_Odoo!$K:$K=I223), Facturas_Odoo!$Q:$Q, 0), 0))</f>
        <v/>
      </c>
      <c r="X223" s="79">
        <f>IF(OR(Q223="Sin Factura",Q223=""),"",IFERROR(INDEX(Pagos_Odoo!$B:$B, MATCH(Q223, Pagos_Odoo!$I:$I, 0)), "Sin Pago"))</f>
        <v/>
      </c>
      <c r="Y223" s="79">
        <f>IF(X223="Sin Pago","",IFERROR(INDEX(Pagos_Odoo!$C:$C, MATCH(X223, Pagos_Odoo!$B:$B, 0)), ""))</f>
        <v/>
      </c>
      <c r="Z223" s="80">
        <f>IF(X223="Sin Pago","",IFERROR(INDEX(Pagos_Odoo!$A:$A, MATCH(X223, Pagos_Odoo!$B:$B, 0)), ""))</f>
        <v/>
      </c>
      <c r="AA223" s="79">
        <f>IF(X223="Sin Pago","",IFERROR(INDEX(Pagos_Odoo!$F:$F, MATCH(X223, Pagos_Odoo!$B:$B, 0)), ""))</f>
        <v/>
      </c>
      <c r="AB223" s="81">
        <f>IF(X223="Sin Pago",0,IFERROR(INDEX(Pagos_Odoo!$E:$E, MATCH(X223, Pagos_Odoo!$B:$B, 0)), 0))</f>
        <v/>
      </c>
      <c r="AC223" s="79">
        <f>IF(X223="Sin Pago","",IFERROR(INDEX(Pagos_Odoo!$G:$G, MATCH(X223, Pagos_Odoo!$B:$B, 0)), ""))</f>
        <v/>
      </c>
      <c r="AD223" s="82" t="n">
        <v>0</v>
      </c>
      <c r="AE223" s="82" t="n"/>
      <c r="AF223" s="82" t="n"/>
      <c r="AG223" s="82">
        <f>IF(AN223="","",AD223+AE223+AF223)</f>
        <v/>
      </c>
      <c r="AH223" s="81">
        <f>IF(AN223="","",P223*(1-AG223))</f>
        <v/>
      </c>
      <c r="AI223" s="81">
        <f>IF(AN223="","",IF(Q223="Sin Factura",0,IFERROR(INDEX(Facturas_Odoo!$H:$H, MATCH(Q223, Facturas_Odoo!$B:$B, 0)), 0)*(1-AG223)))</f>
        <v/>
      </c>
      <c r="AJ223" s="81">
        <f>IF(AN223="","",_xlfn.LET(idVenta, AN223&amp;"",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3" s="81">
        <f>IF(AN223="","",AH223-AJ223)</f>
        <v/>
      </c>
      <c r="AL223" s="81">
        <f>IF(AN223="","",IF(Q223="Sin Factura","",AI223-AJ223))</f>
        <v/>
      </c>
      <c r="AM223" s="81">
        <f>IF(AN223="","",IF(Q223="Sin Factura",0,P223-IFERROR(INDEX(Facturas_Odoo!$H:$H, MATCH(Q223, Facturas_Odoo!$B:$B, 0)), 0)))</f>
        <v/>
      </c>
      <c r="AN223" s="79">
        <f>IF(AND(A223="", J223=""), "", IF(A223&lt;&gt;"", VALUE(MID(A223,2,LEN(A223))), AN222))</f>
        <v/>
      </c>
      <c r="AO223" s="79">
        <f>IF(AN223="","",IF(AD223=0,"OK",_xlfn.LET(monedaPago, IF(AA223="","USD",AA223), limitePermitido, IFERROR(VLOOKUP(monedaPago, Configuración!$A$2:$B$3, 2, FALSE), 0.15), IF(AD223&gt;limitePermitido, "ALERTA: EXCESO (" &amp; TEXT(limitePermitido, "0%") &amp; " máx)", "OK"))))</f>
        <v/>
      </c>
      <c r="AP223" s="79">
        <f>IF(AN223="","",IF(AE223=0,"OK",_xlfn.LET(fechaPago, Z223, fechaFactura, R223, diasCredito, IF(E223="Pago inmediato", 0, IFERROR(VALUE(MID(E223, 1, SEARCH(" ", E223)-1)),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3" s="79">
        <f>IF(AN223="","",IF(AND(N223&gt;0, AG223&gt;0), IF(Configuración!$K$2="NO", "ALERTA: DESCUENTO DOBLE NO PERMITIDO", "OK"), "OK"))</f>
        <v/>
      </c>
      <c r="AR223" s="79">
        <f>IF(AN223="","",IF(OR(AO223&lt;&gt;"OK", AP223&lt;&gt;"OK", AQ223&lt;&gt;"OK"), "⚠️ REVISAR", "OK"))</f>
        <v/>
      </c>
    </row>
    <row r="224">
      <c r="A224" s="79">
        <f>IF('Ordenes_Odoo'!A224="","",'Ordenes_Odoo'!A224)</f>
        <v/>
      </c>
      <c r="B224" s="80">
        <f>IF('Ordenes_Odoo'!B224="","",'Ordenes_Odoo'!B224)</f>
        <v/>
      </c>
      <c r="C224" s="79">
        <f>IF('Ordenes_Odoo'!C224="","",'Ordenes_Odoo'!C224)</f>
        <v/>
      </c>
      <c r="D224" s="79">
        <f>IF('Ordenes_Odoo'!D224="","",'Ordenes_Odoo'!D224)</f>
        <v/>
      </c>
      <c r="E224" s="79">
        <f>IF('Ordenes_Odoo'!E224="","",'Ordenes_Odoo'!E224)</f>
        <v/>
      </c>
      <c r="F224" s="79">
        <f>IF('Ordenes_Odoo'!F224="","",'Ordenes_Odoo'!F224)</f>
        <v/>
      </c>
      <c r="G224" s="79">
        <f>IF('Ordenes_Odoo'!G224="","",'Ordenes_Odoo'!G224)</f>
        <v/>
      </c>
      <c r="H224" s="79">
        <f>IF('Ordenes_Odoo'!H224="","",'Ordenes_Odoo'!H224)</f>
        <v/>
      </c>
      <c r="I224" s="79">
        <f>IF('Ordenes_Odoo'!I224="","",'Ordenes_Odoo'!I224)</f>
        <v/>
      </c>
      <c r="J224" s="79">
        <f>IF('Ordenes_Odoo'!J224="","",'Ordenes_Odoo'!J224)</f>
        <v/>
      </c>
      <c r="K224" s="81">
        <f>IF('Ordenes_Odoo'!K224="","",'Ordenes_Odoo'!K224)</f>
        <v/>
      </c>
      <c r="L224" s="81">
        <f>IF('Ordenes_Odoo'!L224="","",'Ordenes_Odoo'!L224)</f>
        <v/>
      </c>
      <c r="M224" s="79">
        <f>IF('Ordenes_Odoo'!M224="","",'Ordenes_Odoo'!M224)</f>
        <v/>
      </c>
      <c r="N224" s="79">
        <f>IF('Ordenes_Odoo'!N224="","",'Ordenes_Odoo'!N224)</f>
        <v/>
      </c>
      <c r="O224" s="81">
        <f>IF('Ordenes_Odoo'!O224="","",'Ordenes_Odoo'!O224)</f>
        <v/>
      </c>
      <c r="P224" s="81">
        <f>IF('Ordenes_Odoo'!P224="","",'Ordenes_Odoo'!P224)</f>
        <v/>
      </c>
      <c r="Q224" s="79">
        <f>IF(A224="","",IFERROR(INDEX(Facturas_Odoo!$B:$B, MATCH(A224, Facturas_Odoo!$D:$D, 0)), "Sin Factura"))</f>
        <v/>
      </c>
      <c r="R224" s="80">
        <f>IF(Q224="Sin Factura","",IFERROR(INDEX(Facturas_Odoo!$A:$A, MATCH(Q224, Facturas_Odoo!$B:$B, 0)), ""))</f>
        <v/>
      </c>
      <c r="S224" s="79">
        <f>IF(Q224="Sin Factura","",IFERROR(_xlfn.XLOOKUP(1, (Facturas_Odoo!$D:$D=A224) * (Facturas_Odoo!$K:$K=I224), Facturas_Odoo!$L:$L, ""), ""))</f>
        <v/>
      </c>
      <c r="T224" s="81">
        <f>IF(Q224="Sin Factura",0,IFERROR(_xlfn.XLOOKUP(1, (Facturas_Odoo!$D:$D=A224) * (Facturas_Odoo!$K:$K=I224), Facturas_Odoo!$M:$M, 0), 0))</f>
        <v/>
      </c>
      <c r="U224" s="79">
        <f>IF(Q224="Sin Factura",0,IFERROR(_xlfn.XLOOKUP(1, (Facturas_Odoo!$D:$D=A224) * (Facturas_Odoo!$K:$K=I224), Facturas_Odoo!$N:$N, 0), 0))</f>
        <v/>
      </c>
      <c r="V224" s="79">
        <f>IF(Q224="Sin Factura",0,IFERROR(_xlfn.XLOOKUP(1, (Facturas_Odoo!$D:$D=A224) * (Facturas_Odoo!$K:$K=I224), Facturas_Odoo!$O:$O, 0), 0))</f>
        <v/>
      </c>
      <c r="W224" s="81">
        <f>IF(Q224="Sin Factura",0,IFERROR(_xlfn.XLOOKUP(1, (Facturas_Odoo!$D:$D=A224) * (Facturas_Odoo!$K:$K=I224), Facturas_Odoo!$Q:$Q, 0), 0))</f>
        <v/>
      </c>
      <c r="X224" s="79">
        <f>IF(OR(Q224="Sin Factura",Q224=""),"",IFERROR(INDEX(Pagos_Odoo!$B:$B, MATCH(Q224, Pagos_Odoo!$I:$I, 0)), "Sin Pago"))</f>
        <v/>
      </c>
      <c r="Y224" s="79">
        <f>IF(X224="Sin Pago","",IFERROR(INDEX(Pagos_Odoo!$C:$C, MATCH(X224, Pagos_Odoo!$B:$B, 0)), ""))</f>
        <v/>
      </c>
      <c r="Z224" s="80">
        <f>IF(X224="Sin Pago","",IFERROR(INDEX(Pagos_Odoo!$A:$A, MATCH(X224, Pagos_Odoo!$B:$B, 0)), ""))</f>
        <v/>
      </c>
      <c r="AA224" s="79">
        <f>IF(X224="Sin Pago","",IFERROR(INDEX(Pagos_Odoo!$F:$F, MATCH(X224, Pagos_Odoo!$B:$B, 0)), ""))</f>
        <v/>
      </c>
      <c r="AB224" s="81">
        <f>IF(X224="Sin Pago",0,IFERROR(INDEX(Pagos_Odoo!$E:$E, MATCH(X224, Pagos_Odoo!$B:$B, 0)), 0))</f>
        <v/>
      </c>
      <c r="AC224" s="79">
        <f>IF(X224="Sin Pago","",IFERROR(INDEX(Pagos_Odoo!$G:$G, MATCH(X224, Pagos_Odoo!$B:$B, 0)), ""))</f>
        <v/>
      </c>
      <c r="AD224" s="82" t="n">
        <v>0</v>
      </c>
      <c r="AE224" s="82" t="n"/>
      <c r="AF224" s="82" t="n"/>
      <c r="AG224" s="82">
        <f>IF(AN224="","",AD224+AE224+AF224)</f>
        <v/>
      </c>
      <c r="AH224" s="81">
        <f>IF(AN224="","",P224*(1-AG224))</f>
        <v/>
      </c>
      <c r="AI224" s="81">
        <f>IF(AN224="","",IF(Q224="Sin Factura",0,IFERROR(INDEX(Facturas_Odoo!$H:$H, MATCH(Q224, Facturas_Odoo!$B:$B, 0)), 0)*(1-AG224)))</f>
        <v/>
      </c>
      <c r="AJ224" s="81">
        <f>IF(AN224="","",_xlfn.LET(idVenta, AN224&amp;"",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4" s="81">
        <f>IF(AN224="","",AH224-AJ224)</f>
        <v/>
      </c>
      <c r="AL224" s="81">
        <f>IF(AN224="","",IF(Q224="Sin Factura","",AI224-AJ224))</f>
        <v/>
      </c>
      <c r="AM224" s="81">
        <f>IF(AN224="","",IF(Q224="Sin Factura",0,P224-IFERROR(INDEX(Facturas_Odoo!$H:$H, MATCH(Q224, Facturas_Odoo!$B:$B, 0)), 0)))</f>
        <v/>
      </c>
      <c r="AN224" s="79">
        <f>IF(AND(A224="", J224=""), "", IF(A224&lt;&gt;"", VALUE(MID(A224,2,LEN(A224))), AN223))</f>
        <v/>
      </c>
      <c r="AO224" s="79">
        <f>IF(AN224="","",IF(AD224=0,"OK",_xlfn.LET(monedaPago, IF(AA224="","USD",AA224), limitePermitido, IFERROR(VLOOKUP(monedaPago, Configuración!$A$2:$B$3, 2, FALSE), 0.15), IF(AD224&gt;limitePermitido, "ALERTA: EXCESO (" &amp; TEXT(limitePermitido, "0%") &amp; " máx)", "OK"))))</f>
        <v/>
      </c>
      <c r="AP224" s="79">
        <f>IF(AN224="","",IF(AE224=0,"OK",_xlfn.LET(fechaPago, Z224, fechaFactura, R224, diasCredito, IF(E224="Pago inmediato", 0, IFERROR(VALUE(MID(E224, 1, SEARCH(" ", E224)-1)),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4" s="79">
        <f>IF(AN224="","",IF(AND(N224&gt;0, AG224&gt;0), IF(Configuración!$K$2="NO", "ALERTA: DESCUENTO DOBLE NO PERMITIDO", "OK"), "OK"))</f>
        <v/>
      </c>
      <c r="AR224" s="79">
        <f>IF(AN224="","",IF(OR(AO224&lt;&gt;"OK", AP224&lt;&gt;"OK", AQ224&lt;&gt;"OK"), "⚠️ REVISAR", "OK"))</f>
        <v/>
      </c>
    </row>
    <row r="225">
      <c r="A225" s="79">
        <f>IF('Ordenes_Odoo'!A225="","",'Ordenes_Odoo'!A225)</f>
        <v/>
      </c>
      <c r="B225" s="80">
        <f>IF('Ordenes_Odoo'!B225="","",'Ordenes_Odoo'!B225)</f>
        <v/>
      </c>
      <c r="C225" s="79">
        <f>IF('Ordenes_Odoo'!C225="","",'Ordenes_Odoo'!C225)</f>
        <v/>
      </c>
      <c r="D225" s="79">
        <f>IF('Ordenes_Odoo'!D225="","",'Ordenes_Odoo'!D225)</f>
        <v/>
      </c>
      <c r="E225" s="79">
        <f>IF('Ordenes_Odoo'!E225="","",'Ordenes_Odoo'!E225)</f>
        <v/>
      </c>
      <c r="F225" s="79">
        <f>IF('Ordenes_Odoo'!F225="","",'Ordenes_Odoo'!F225)</f>
        <v/>
      </c>
      <c r="G225" s="79">
        <f>IF('Ordenes_Odoo'!G225="","",'Ordenes_Odoo'!G225)</f>
        <v/>
      </c>
      <c r="H225" s="79">
        <f>IF('Ordenes_Odoo'!H225="","",'Ordenes_Odoo'!H225)</f>
        <v/>
      </c>
      <c r="I225" s="79">
        <f>IF('Ordenes_Odoo'!I225="","",'Ordenes_Odoo'!I225)</f>
        <v/>
      </c>
      <c r="J225" s="79">
        <f>IF('Ordenes_Odoo'!J225="","",'Ordenes_Odoo'!J225)</f>
        <v/>
      </c>
      <c r="K225" s="81">
        <f>IF('Ordenes_Odoo'!K225="","",'Ordenes_Odoo'!K225)</f>
        <v/>
      </c>
      <c r="L225" s="81">
        <f>IF('Ordenes_Odoo'!L225="","",'Ordenes_Odoo'!L225)</f>
        <v/>
      </c>
      <c r="M225" s="79">
        <f>IF('Ordenes_Odoo'!M225="","",'Ordenes_Odoo'!M225)</f>
        <v/>
      </c>
      <c r="N225" s="79">
        <f>IF('Ordenes_Odoo'!N225="","",'Ordenes_Odoo'!N225)</f>
        <v/>
      </c>
      <c r="O225" s="81">
        <f>IF('Ordenes_Odoo'!O225="","",'Ordenes_Odoo'!O225)</f>
        <v/>
      </c>
      <c r="P225" s="81">
        <f>IF('Ordenes_Odoo'!P225="","",'Ordenes_Odoo'!P225)</f>
        <v/>
      </c>
      <c r="Q225" s="79">
        <f>IF(A225="","",IFERROR(INDEX(Facturas_Odoo!$B:$B, MATCH(A225, Facturas_Odoo!$D:$D, 0)), "Sin Factura"))</f>
        <v/>
      </c>
      <c r="R225" s="80">
        <f>IF(Q225="Sin Factura","",IFERROR(INDEX(Facturas_Odoo!$A:$A, MATCH(Q225, Facturas_Odoo!$B:$B, 0)), ""))</f>
        <v/>
      </c>
      <c r="S225" s="79">
        <f>IF(Q225="Sin Factura","",IFERROR(_xlfn.XLOOKUP(1, (Facturas_Odoo!$D:$D=A225) * (Facturas_Odoo!$K:$K=I225), Facturas_Odoo!$L:$L, ""), ""))</f>
        <v/>
      </c>
      <c r="T225" s="81">
        <f>IF(Q225="Sin Factura",0,IFERROR(_xlfn.XLOOKUP(1, (Facturas_Odoo!$D:$D=A225) * (Facturas_Odoo!$K:$K=I225), Facturas_Odoo!$M:$M, 0), 0))</f>
        <v/>
      </c>
      <c r="U225" s="79">
        <f>IF(Q225="Sin Factura",0,IFERROR(_xlfn.XLOOKUP(1, (Facturas_Odoo!$D:$D=A225) * (Facturas_Odoo!$K:$K=I225), Facturas_Odoo!$N:$N, 0), 0))</f>
        <v/>
      </c>
      <c r="V225" s="79">
        <f>IF(Q225="Sin Factura",0,IFERROR(_xlfn.XLOOKUP(1, (Facturas_Odoo!$D:$D=A225) * (Facturas_Odoo!$K:$K=I225), Facturas_Odoo!$O:$O, 0), 0))</f>
        <v/>
      </c>
      <c r="W225" s="81">
        <f>IF(Q225="Sin Factura",0,IFERROR(_xlfn.XLOOKUP(1, (Facturas_Odoo!$D:$D=A225) * (Facturas_Odoo!$K:$K=I225), Facturas_Odoo!$Q:$Q, 0), 0))</f>
        <v/>
      </c>
      <c r="X225" s="79">
        <f>IF(OR(Q225="Sin Factura",Q225=""),"",IFERROR(INDEX(Pagos_Odoo!$B:$B, MATCH(Q225, Pagos_Odoo!$I:$I, 0)), "Sin Pago"))</f>
        <v/>
      </c>
      <c r="Y225" s="79">
        <f>IF(X225="Sin Pago","",IFERROR(INDEX(Pagos_Odoo!$C:$C, MATCH(X225, Pagos_Odoo!$B:$B, 0)), ""))</f>
        <v/>
      </c>
      <c r="Z225" s="80">
        <f>IF(X225="Sin Pago","",IFERROR(INDEX(Pagos_Odoo!$A:$A, MATCH(X225, Pagos_Odoo!$B:$B, 0)), ""))</f>
        <v/>
      </c>
      <c r="AA225" s="79">
        <f>IF(X225="Sin Pago","",IFERROR(INDEX(Pagos_Odoo!$F:$F, MATCH(X225, Pagos_Odoo!$B:$B, 0)), ""))</f>
        <v/>
      </c>
      <c r="AB225" s="81">
        <f>IF(X225="Sin Pago",0,IFERROR(INDEX(Pagos_Odoo!$E:$E, MATCH(X225, Pagos_Odoo!$B:$B, 0)), 0))</f>
        <v/>
      </c>
      <c r="AC225" s="79">
        <f>IF(X225="Sin Pago","",IFERROR(INDEX(Pagos_Odoo!$G:$G, MATCH(X225, Pagos_Odoo!$B:$B, 0)), ""))</f>
        <v/>
      </c>
      <c r="AD225" s="82" t="n">
        <v>0</v>
      </c>
      <c r="AE225" s="82" t="n"/>
      <c r="AF225" s="82" t="n"/>
      <c r="AG225" s="82">
        <f>IF(AN225="","",AD225+AE225+AF225)</f>
        <v/>
      </c>
      <c r="AH225" s="81">
        <f>IF(AN225="","",P225*(1-AG225))</f>
        <v/>
      </c>
      <c r="AI225" s="81">
        <f>IF(AN225="","",IF(Q225="Sin Factura",0,IFERROR(INDEX(Facturas_Odoo!$H:$H, MATCH(Q225, Facturas_Odoo!$B:$B, 0)), 0)*(1-AG225)))</f>
        <v/>
      </c>
      <c r="AJ225" s="81">
        <f>IF(AN225="","",_xlfn.LET(idVenta, AN225&amp;"",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5" s="81">
        <f>IF(AN225="","",AH225-AJ225)</f>
        <v/>
      </c>
      <c r="AL225" s="81">
        <f>IF(AN225="","",IF(Q225="Sin Factura","",AI225-AJ225))</f>
        <v/>
      </c>
      <c r="AM225" s="81">
        <f>IF(AN225="","",IF(Q225="Sin Factura",0,P225-IFERROR(INDEX(Facturas_Odoo!$H:$H, MATCH(Q225, Facturas_Odoo!$B:$B, 0)), 0)))</f>
        <v/>
      </c>
      <c r="AN225" s="79">
        <f>IF(AND(A225="", J225=""), "", IF(A225&lt;&gt;"", VALUE(MID(A225,2,LEN(A225))), AN224))</f>
        <v/>
      </c>
      <c r="AO225" s="79">
        <f>IF(AN225="","",IF(AD225=0,"OK",_xlfn.LET(monedaPago, IF(AA225="","USD",AA225), limitePermitido, IFERROR(VLOOKUP(monedaPago, Configuración!$A$2:$B$3, 2, FALSE), 0.15), IF(AD225&gt;limitePermitido, "ALERTA: EXCESO (" &amp; TEXT(limitePermitido, "0%") &amp; " máx)", "OK"))))</f>
        <v/>
      </c>
      <c r="AP225" s="79">
        <f>IF(AN225="","",IF(AE225=0,"OK",_xlfn.LET(fechaPago, Z225, fechaFactura, R225, diasCredito, IF(E225="Pago inmediato", 0, IFERROR(VALUE(MID(E225, 1, SEARCH(" ", E225)-1)),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5" s="79">
        <f>IF(AN225="","",IF(AND(N225&gt;0, AG225&gt;0), IF(Configuración!$K$2="NO", "ALERTA: DESCUENTO DOBLE NO PERMITIDO", "OK"), "OK"))</f>
        <v/>
      </c>
      <c r="AR225" s="79">
        <f>IF(AN225="","",IF(OR(AO225&lt;&gt;"OK", AP225&lt;&gt;"OK", AQ225&lt;&gt;"OK"), "⚠️ REVISAR", "OK"))</f>
        <v/>
      </c>
    </row>
    <row r="226">
      <c r="A226" s="79">
        <f>IF('Ordenes_Odoo'!A226="","",'Ordenes_Odoo'!A226)</f>
        <v/>
      </c>
      <c r="B226" s="80">
        <f>IF('Ordenes_Odoo'!B226="","",'Ordenes_Odoo'!B226)</f>
        <v/>
      </c>
      <c r="C226" s="79">
        <f>IF('Ordenes_Odoo'!C226="","",'Ordenes_Odoo'!C226)</f>
        <v/>
      </c>
      <c r="D226" s="79">
        <f>IF('Ordenes_Odoo'!D226="","",'Ordenes_Odoo'!D226)</f>
        <v/>
      </c>
      <c r="E226" s="79">
        <f>IF('Ordenes_Odoo'!E226="","",'Ordenes_Odoo'!E226)</f>
        <v/>
      </c>
      <c r="F226" s="79">
        <f>IF('Ordenes_Odoo'!F226="","",'Ordenes_Odoo'!F226)</f>
        <v/>
      </c>
      <c r="G226" s="79">
        <f>IF('Ordenes_Odoo'!G226="","",'Ordenes_Odoo'!G226)</f>
        <v/>
      </c>
      <c r="H226" s="79">
        <f>IF('Ordenes_Odoo'!H226="","",'Ordenes_Odoo'!H226)</f>
        <v/>
      </c>
      <c r="I226" s="79">
        <f>IF('Ordenes_Odoo'!I226="","",'Ordenes_Odoo'!I226)</f>
        <v/>
      </c>
      <c r="J226" s="79">
        <f>IF('Ordenes_Odoo'!J226="","",'Ordenes_Odoo'!J226)</f>
        <v/>
      </c>
      <c r="K226" s="81">
        <f>IF('Ordenes_Odoo'!K226="","",'Ordenes_Odoo'!K226)</f>
        <v/>
      </c>
      <c r="L226" s="81">
        <f>IF('Ordenes_Odoo'!L226="","",'Ordenes_Odoo'!L226)</f>
        <v/>
      </c>
      <c r="M226" s="79">
        <f>IF('Ordenes_Odoo'!M226="","",'Ordenes_Odoo'!M226)</f>
        <v/>
      </c>
      <c r="N226" s="79">
        <f>IF('Ordenes_Odoo'!N226="","",'Ordenes_Odoo'!N226)</f>
        <v/>
      </c>
      <c r="O226" s="81">
        <f>IF('Ordenes_Odoo'!O226="","",'Ordenes_Odoo'!O226)</f>
        <v/>
      </c>
      <c r="P226" s="81">
        <f>IF('Ordenes_Odoo'!P226="","",'Ordenes_Odoo'!P226)</f>
        <v/>
      </c>
      <c r="Q226" s="79">
        <f>IF(A226="","",IFERROR(INDEX(Facturas_Odoo!$B:$B, MATCH(A226, Facturas_Odoo!$D:$D, 0)), "Sin Factura"))</f>
        <v/>
      </c>
      <c r="R226" s="80">
        <f>IF(Q226="Sin Factura","",IFERROR(INDEX(Facturas_Odoo!$A:$A, MATCH(Q226, Facturas_Odoo!$B:$B, 0)), ""))</f>
        <v/>
      </c>
      <c r="S226" s="79">
        <f>IF(Q226="Sin Factura","",IFERROR(_xlfn.XLOOKUP(1, (Facturas_Odoo!$D:$D=A226) * (Facturas_Odoo!$K:$K=I226), Facturas_Odoo!$L:$L, ""), ""))</f>
        <v/>
      </c>
      <c r="T226" s="81">
        <f>IF(Q226="Sin Factura",0,IFERROR(_xlfn.XLOOKUP(1, (Facturas_Odoo!$D:$D=A226) * (Facturas_Odoo!$K:$K=I226), Facturas_Odoo!$M:$M, 0), 0))</f>
        <v/>
      </c>
      <c r="U226" s="79">
        <f>IF(Q226="Sin Factura",0,IFERROR(_xlfn.XLOOKUP(1, (Facturas_Odoo!$D:$D=A226) * (Facturas_Odoo!$K:$K=I226), Facturas_Odoo!$N:$N, 0), 0))</f>
        <v/>
      </c>
      <c r="V226" s="79">
        <f>IF(Q226="Sin Factura",0,IFERROR(_xlfn.XLOOKUP(1, (Facturas_Odoo!$D:$D=A226) * (Facturas_Odoo!$K:$K=I226), Facturas_Odoo!$O:$O, 0), 0))</f>
        <v/>
      </c>
      <c r="W226" s="81">
        <f>IF(Q226="Sin Factura",0,IFERROR(_xlfn.XLOOKUP(1, (Facturas_Odoo!$D:$D=A226) * (Facturas_Odoo!$K:$K=I226), Facturas_Odoo!$Q:$Q, 0), 0))</f>
        <v/>
      </c>
      <c r="X226" s="79">
        <f>IF(OR(Q226="Sin Factura",Q226=""),"",IFERROR(INDEX(Pagos_Odoo!$B:$B, MATCH(Q226, Pagos_Odoo!$I:$I, 0)), "Sin Pago"))</f>
        <v/>
      </c>
      <c r="Y226" s="79">
        <f>IF(X226="Sin Pago","",IFERROR(INDEX(Pagos_Odoo!$C:$C, MATCH(X226, Pagos_Odoo!$B:$B, 0)), ""))</f>
        <v/>
      </c>
      <c r="Z226" s="80">
        <f>IF(X226="Sin Pago","",IFERROR(INDEX(Pagos_Odoo!$A:$A, MATCH(X226, Pagos_Odoo!$B:$B, 0)), ""))</f>
        <v/>
      </c>
      <c r="AA226" s="79">
        <f>IF(X226="Sin Pago","",IFERROR(INDEX(Pagos_Odoo!$F:$F, MATCH(X226, Pagos_Odoo!$B:$B, 0)), ""))</f>
        <v/>
      </c>
      <c r="AB226" s="81">
        <f>IF(X226="Sin Pago",0,IFERROR(INDEX(Pagos_Odoo!$E:$E, MATCH(X226, Pagos_Odoo!$B:$B, 0)), 0))</f>
        <v/>
      </c>
      <c r="AC226" s="79">
        <f>IF(X226="Sin Pago","",IFERROR(INDEX(Pagos_Odoo!$G:$G, MATCH(X226, Pagos_Odoo!$B:$B, 0)), ""))</f>
        <v/>
      </c>
      <c r="AD226" s="82" t="n">
        <v>0</v>
      </c>
      <c r="AE226" s="82" t="n"/>
      <c r="AF226" s="82" t="n"/>
      <c r="AG226" s="82">
        <f>IF(AN226="","",AD226+AE226+AF226)</f>
        <v/>
      </c>
      <c r="AH226" s="81">
        <f>IF(AN226="","",P226*(1-AG226))</f>
        <v/>
      </c>
      <c r="AI226" s="81">
        <f>IF(AN226="","",IF(Q226="Sin Factura",0,IFERROR(INDEX(Facturas_Odoo!$H:$H, MATCH(Q226, Facturas_Odoo!$B:$B, 0)), 0)*(1-AG226)))</f>
        <v/>
      </c>
      <c r="AJ226" s="81">
        <f>IF(AN226="","",_xlfn.LET(idVenta, AN226&amp;"",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6" s="81">
        <f>IF(AN226="","",AH226-AJ226)</f>
        <v/>
      </c>
      <c r="AL226" s="81">
        <f>IF(AN226="","",IF(Q226="Sin Factura","",AI226-AJ226))</f>
        <v/>
      </c>
      <c r="AM226" s="81">
        <f>IF(AN226="","",IF(Q226="Sin Factura",0,P226-IFERROR(INDEX(Facturas_Odoo!$H:$H, MATCH(Q226, Facturas_Odoo!$B:$B, 0)), 0)))</f>
        <v/>
      </c>
      <c r="AN226" s="79">
        <f>IF(AND(A226="", J226=""), "", IF(A226&lt;&gt;"", VALUE(MID(A226,2,LEN(A226))), AN225))</f>
        <v/>
      </c>
      <c r="AO226" s="79">
        <f>IF(AN226="","",IF(AD226=0,"OK",_xlfn.LET(monedaPago, IF(AA226="","USD",AA226), limitePermitido, IFERROR(VLOOKUP(monedaPago, Configuración!$A$2:$B$3, 2, FALSE), 0.15), IF(AD226&gt;limitePermitido, "ALERTA: EXCESO (" &amp; TEXT(limitePermitido, "0%") &amp; " máx)", "OK"))))</f>
        <v/>
      </c>
      <c r="AP226" s="79">
        <f>IF(AN226="","",IF(AE226=0,"OK",_xlfn.LET(fechaPago, Z226, fechaFactura, R226, diasCredito, IF(E226="Pago inmediato", 0, IFERROR(VALUE(MID(E226, 1, SEARCH(" ", E226)-1)),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6" s="79">
        <f>IF(AN226="","",IF(AND(N226&gt;0, AG226&gt;0), IF(Configuración!$K$2="NO", "ALERTA: DESCUENTO DOBLE NO PERMITIDO", "OK"), "OK"))</f>
        <v/>
      </c>
      <c r="AR226" s="79">
        <f>IF(AN226="","",IF(OR(AO226&lt;&gt;"OK", AP226&lt;&gt;"OK", AQ226&lt;&gt;"OK"), "⚠️ REVISAR", "OK"))</f>
        <v/>
      </c>
    </row>
    <row r="227">
      <c r="A227" s="79">
        <f>IF('Ordenes_Odoo'!A227="","",'Ordenes_Odoo'!A227)</f>
        <v/>
      </c>
      <c r="B227" s="80">
        <f>IF('Ordenes_Odoo'!B227="","",'Ordenes_Odoo'!B227)</f>
        <v/>
      </c>
      <c r="C227" s="79">
        <f>IF('Ordenes_Odoo'!C227="","",'Ordenes_Odoo'!C227)</f>
        <v/>
      </c>
      <c r="D227" s="79">
        <f>IF('Ordenes_Odoo'!D227="","",'Ordenes_Odoo'!D227)</f>
        <v/>
      </c>
      <c r="E227" s="79">
        <f>IF('Ordenes_Odoo'!E227="","",'Ordenes_Odoo'!E227)</f>
        <v/>
      </c>
      <c r="F227" s="79">
        <f>IF('Ordenes_Odoo'!F227="","",'Ordenes_Odoo'!F227)</f>
        <v/>
      </c>
      <c r="G227" s="79">
        <f>IF('Ordenes_Odoo'!G227="","",'Ordenes_Odoo'!G227)</f>
        <v/>
      </c>
      <c r="H227" s="79">
        <f>IF('Ordenes_Odoo'!H227="","",'Ordenes_Odoo'!H227)</f>
        <v/>
      </c>
      <c r="I227" s="79">
        <f>IF('Ordenes_Odoo'!I227="","",'Ordenes_Odoo'!I227)</f>
        <v/>
      </c>
      <c r="J227" s="79">
        <f>IF('Ordenes_Odoo'!J227="","",'Ordenes_Odoo'!J227)</f>
        <v/>
      </c>
      <c r="K227" s="81">
        <f>IF('Ordenes_Odoo'!K227="","",'Ordenes_Odoo'!K227)</f>
        <v/>
      </c>
      <c r="L227" s="81">
        <f>IF('Ordenes_Odoo'!L227="","",'Ordenes_Odoo'!L227)</f>
        <v/>
      </c>
      <c r="M227" s="79">
        <f>IF('Ordenes_Odoo'!M227="","",'Ordenes_Odoo'!M227)</f>
        <v/>
      </c>
      <c r="N227" s="79">
        <f>IF('Ordenes_Odoo'!N227="","",'Ordenes_Odoo'!N227)</f>
        <v/>
      </c>
      <c r="O227" s="81">
        <f>IF('Ordenes_Odoo'!O227="","",'Ordenes_Odoo'!O227)</f>
        <v/>
      </c>
      <c r="P227" s="81">
        <f>IF('Ordenes_Odoo'!P227="","",'Ordenes_Odoo'!P227)</f>
        <v/>
      </c>
      <c r="Q227" s="79">
        <f>IF(A227="","",IFERROR(INDEX(Facturas_Odoo!$B:$B, MATCH(A227, Facturas_Odoo!$D:$D, 0)), "Sin Factura"))</f>
        <v/>
      </c>
      <c r="R227" s="80">
        <f>IF(Q227="Sin Factura","",IFERROR(INDEX(Facturas_Odoo!$A:$A, MATCH(Q227, Facturas_Odoo!$B:$B, 0)), ""))</f>
        <v/>
      </c>
      <c r="S227" s="79">
        <f>IF(Q227="Sin Factura","",IFERROR(_xlfn.XLOOKUP(1, (Facturas_Odoo!$D:$D=A227) * (Facturas_Odoo!$K:$K=I227), Facturas_Odoo!$L:$L, ""), ""))</f>
        <v/>
      </c>
      <c r="T227" s="81">
        <f>IF(Q227="Sin Factura",0,IFERROR(_xlfn.XLOOKUP(1, (Facturas_Odoo!$D:$D=A227) * (Facturas_Odoo!$K:$K=I227), Facturas_Odoo!$M:$M, 0), 0))</f>
        <v/>
      </c>
      <c r="U227" s="79">
        <f>IF(Q227="Sin Factura",0,IFERROR(_xlfn.XLOOKUP(1, (Facturas_Odoo!$D:$D=A227) * (Facturas_Odoo!$K:$K=I227), Facturas_Odoo!$N:$N, 0), 0))</f>
        <v/>
      </c>
      <c r="V227" s="79">
        <f>IF(Q227="Sin Factura",0,IFERROR(_xlfn.XLOOKUP(1, (Facturas_Odoo!$D:$D=A227) * (Facturas_Odoo!$K:$K=I227), Facturas_Odoo!$O:$O, 0), 0))</f>
        <v/>
      </c>
      <c r="W227" s="81">
        <f>IF(Q227="Sin Factura",0,IFERROR(_xlfn.XLOOKUP(1, (Facturas_Odoo!$D:$D=A227) * (Facturas_Odoo!$K:$K=I227), Facturas_Odoo!$Q:$Q, 0), 0))</f>
        <v/>
      </c>
      <c r="X227" s="79">
        <f>IF(OR(Q227="Sin Factura",Q227=""),"",IFERROR(INDEX(Pagos_Odoo!$B:$B, MATCH(Q227, Pagos_Odoo!$I:$I, 0)), "Sin Pago"))</f>
        <v/>
      </c>
      <c r="Y227" s="79">
        <f>IF(X227="Sin Pago","",IFERROR(INDEX(Pagos_Odoo!$C:$C, MATCH(X227, Pagos_Odoo!$B:$B, 0)), ""))</f>
        <v/>
      </c>
      <c r="Z227" s="80">
        <f>IF(X227="Sin Pago","",IFERROR(INDEX(Pagos_Odoo!$A:$A, MATCH(X227, Pagos_Odoo!$B:$B, 0)), ""))</f>
        <v/>
      </c>
      <c r="AA227" s="79">
        <f>IF(X227="Sin Pago","",IFERROR(INDEX(Pagos_Odoo!$F:$F, MATCH(X227, Pagos_Odoo!$B:$B, 0)), ""))</f>
        <v/>
      </c>
      <c r="AB227" s="81">
        <f>IF(X227="Sin Pago",0,IFERROR(INDEX(Pagos_Odoo!$E:$E, MATCH(X227, Pagos_Odoo!$B:$B, 0)), 0))</f>
        <v/>
      </c>
      <c r="AC227" s="79">
        <f>IF(X227="Sin Pago","",IFERROR(INDEX(Pagos_Odoo!$G:$G, MATCH(X227, Pagos_Odoo!$B:$B, 0)), ""))</f>
        <v/>
      </c>
      <c r="AD227" s="82" t="n">
        <v>0</v>
      </c>
      <c r="AE227" s="82" t="n"/>
      <c r="AF227" s="82" t="n"/>
      <c r="AG227" s="82">
        <f>IF(AN227="","",AD227+AE227+AF227)</f>
        <v/>
      </c>
      <c r="AH227" s="81">
        <f>IF(AN227="","",P227*(1-AG227))</f>
        <v/>
      </c>
      <c r="AI227" s="81">
        <f>IF(AN227="","",IF(Q227="Sin Factura",0,IFERROR(INDEX(Facturas_Odoo!$H:$H, MATCH(Q227, Facturas_Odoo!$B:$B, 0)), 0)*(1-AG227)))</f>
        <v/>
      </c>
      <c r="AJ227" s="81">
        <f>IF(AN227="","",_xlfn.LET(idVenta, AN227&amp;"",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7" s="81">
        <f>IF(AN227="","",AH227-AJ227)</f>
        <v/>
      </c>
      <c r="AL227" s="81">
        <f>IF(AN227="","",IF(Q227="Sin Factura","",AI227-AJ227))</f>
        <v/>
      </c>
      <c r="AM227" s="81">
        <f>IF(AN227="","",IF(Q227="Sin Factura",0,P227-IFERROR(INDEX(Facturas_Odoo!$H:$H, MATCH(Q227, Facturas_Odoo!$B:$B, 0)), 0)))</f>
        <v/>
      </c>
      <c r="AN227" s="79">
        <f>IF(AND(A227="", J227=""), "", IF(A227&lt;&gt;"", VALUE(MID(A227,2,LEN(A227))), AN226))</f>
        <v/>
      </c>
      <c r="AO227" s="79">
        <f>IF(AN227="","",IF(AD227=0,"OK",_xlfn.LET(monedaPago, IF(AA227="","USD",AA227), limitePermitido, IFERROR(VLOOKUP(monedaPago, Configuración!$A$2:$B$3, 2, FALSE), 0.15), IF(AD227&gt;limitePermitido, "ALERTA: EXCESO (" &amp; TEXT(limitePermitido, "0%") &amp; " máx)", "OK"))))</f>
        <v/>
      </c>
      <c r="AP227" s="79">
        <f>IF(AN227="","",IF(AE227=0,"OK",_xlfn.LET(fechaPago, Z227, fechaFactura, R227, diasCredito, IF(E227="Pago inmediato", 0, IFERROR(VALUE(MID(E227, 1, SEARCH(" ", E227)-1)),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7" s="79">
        <f>IF(AN227="","",IF(AND(N227&gt;0, AG227&gt;0), IF(Configuración!$K$2="NO", "ALERTA: DESCUENTO DOBLE NO PERMITIDO", "OK"), "OK"))</f>
        <v/>
      </c>
      <c r="AR227" s="79">
        <f>IF(AN227="","",IF(OR(AO227&lt;&gt;"OK", AP227&lt;&gt;"OK", AQ227&lt;&gt;"OK"), "⚠️ REVISAR", "OK"))</f>
        <v/>
      </c>
    </row>
    <row r="228">
      <c r="A228" s="79">
        <f>IF('Ordenes_Odoo'!A228="","",'Ordenes_Odoo'!A228)</f>
        <v/>
      </c>
      <c r="B228" s="80">
        <f>IF('Ordenes_Odoo'!B228="","",'Ordenes_Odoo'!B228)</f>
        <v/>
      </c>
      <c r="C228" s="79">
        <f>IF('Ordenes_Odoo'!C228="","",'Ordenes_Odoo'!C228)</f>
        <v/>
      </c>
      <c r="D228" s="79">
        <f>IF('Ordenes_Odoo'!D228="","",'Ordenes_Odoo'!D228)</f>
        <v/>
      </c>
      <c r="E228" s="79">
        <f>IF('Ordenes_Odoo'!E228="","",'Ordenes_Odoo'!E228)</f>
        <v/>
      </c>
      <c r="F228" s="79">
        <f>IF('Ordenes_Odoo'!F228="","",'Ordenes_Odoo'!F228)</f>
        <v/>
      </c>
      <c r="G228" s="79">
        <f>IF('Ordenes_Odoo'!G228="","",'Ordenes_Odoo'!G228)</f>
        <v/>
      </c>
      <c r="H228" s="79">
        <f>IF('Ordenes_Odoo'!H228="","",'Ordenes_Odoo'!H228)</f>
        <v/>
      </c>
      <c r="I228" s="79">
        <f>IF('Ordenes_Odoo'!I228="","",'Ordenes_Odoo'!I228)</f>
        <v/>
      </c>
      <c r="J228" s="79">
        <f>IF('Ordenes_Odoo'!J228="","",'Ordenes_Odoo'!J228)</f>
        <v/>
      </c>
      <c r="K228" s="81">
        <f>IF('Ordenes_Odoo'!K228="","",'Ordenes_Odoo'!K228)</f>
        <v/>
      </c>
      <c r="L228" s="81">
        <f>IF('Ordenes_Odoo'!L228="","",'Ordenes_Odoo'!L228)</f>
        <v/>
      </c>
      <c r="M228" s="79">
        <f>IF('Ordenes_Odoo'!M228="","",'Ordenes_Odoo'!M228)</f>
        <v/>
      </c>
      <c r="N228" s="79">
        <f>IF('Ordenes_Odoo'!N228="","",'Ordenes_Odoo'!N228)</f>
        <v/>
      </c>
      <c r="O228" s="81">
        <f>IF('Ordenes_Odoo'!O228="","",'Ordenes_Odoo'!O228)</f>
        <v/>
      </c>
      <c r="P228" s="81">
        <f>IF('Ordenes_Odoo'!P228="","",'Ordenes_Odoo'!P228)</f>
        <v/>
      </c>
      <c r="Q228" s="79">
        <f>IF(A228="","",IFERROR(INDEX(Facturas_Odoo!$B:$B, MATCH(A228, Facturas_Odoo!$D:$D, 0)), "Sin Factura"))</f>
        <v/>
      </c>
      <c r="R228" s="80">
        <f>IF(Q228="Sin Factura","",IFERROR(INDEX(Facturas_Odoo!$A:$A, MATCH(Q228, Facturas_Odoo!$B:$B, 0)), ""))</f>
        <v/>
      </c>
      <c r="S228" s="79">
        <f>IF(Q228="Sin Factura","",IFERROR(_xlfn.XLOOKUP(1, (Facturas_Odoo!$D:$D=A228) * (Facturas_Odoo!$K:$K=I228), Facturas_Odoo!$L:$L, ""), ""))</f>
        <v/>
      </c>
      <c r="T228" s="81">
        <f>IF(Q228="Sin Factura",0,IFERROR(_xlfn.XLOOKUP(1, (Facturas_Odoo!$D:$D=A228) * (Facturas_Odoo!$K:$K=I228), Facturas_Odoo!$M:$M, 0), 0))</f>
        <v/>
      </c>
      <c r="U228" s="79">
        <f>IF(Q228="Sin Factura",0,IFERROR(_xlfn.XLOOKUP(1, (Facturas_Odoo!$D:$D=A228) * (Facturas_Odoo!$K:$K=I228), Facturas_Odoo!$N:$N, 0), 0))</f>
        <v/>
      </c>
      <c r="V228" s="79">
        <f>IF(Q228="Sin Factura",0,IFERROR(_xlfn.XLOOKUP(1, (Facturas_Odoo!$D:$D=A228) * (Facturas_Odoo!$K:$K=I228), Facturas_Odoo!$O:$O, 0), 0))</f>
        <v/>
      </c>
      <c r="W228" s="81">
        <f>IF(Q228="Sin Factura",0,IFERROR(_xlfn.XLOOKUP(1, (Facturas_Odoo!$D:$D=A228) * (Facturas_Odoo!$K:$K=I228), Facturas_Odoo!$Q:$Q, 0), 0))</f>
        <v/>
      </c>
      <c r="X228" s="79">
        <f>IF(OR(Q228="Sin Factura",Q228=""),"",IFERROR(INDEX(Pagos_Odoo!$B:$B, MATCH(Q228, Pagos_Odoo!$I:$I, 0)), "Sin Pago"))</f>
        <v/>
      </c>
      <c r="Y228" s="79">
        <f>IF(X228="Sin Pago","",IFERROR(INDEX(Pagos_Odoo!$C:$C, MATCH(X228, Pagos_Odoo!$B:$B, 0)), ""))</f>
        <v/>
      </c>
      <c r="Z228" s="80">
        <f>IF(X228="Sin Pago","",IFERROR(INDEX(Pagos_Odoo!$A:$A, MATCH(X228, Pagos_Odoo!$B:$B, 0)), ""))</f>
        <v/>
      </c>
      <c r="AA228" s="79">
        <f>IF(X228="Sin Pago","",IFERROR(INDEX(Pagos_Odoo!$F:$F, MATCH(X228, Pagos_Odoo!$B:$B, 0)), ""))</f>
        <v/>
      </c>
      <c r="AB228" s="81">
        <f>IF(X228="Sin Pago",0,IFERROR(INDEX(Pagos_Odoo!$E:$E, MATCH(X228, Pagos_Odoo!$B:$B, 0)), 0))</f>
        <v/>
      </c>
      <c r="AC228" s="79">
        <f>IF(X228="Sin Pago","",IFERROR(INDEX(Pagos_Odoo!$G:$G, MATCH(X228, Pagos_Odoo!$B:$B, 0)), ""))</f>
        <v/>
      </c>
      <c r="AD228" s="82" t="n">
        <v>0</v>
      </c>
      <c r="AE228" s="82" t="n"/>
      <c r="AF228" s="82" t="n"/>
      <c r="AG228" s="82">
        <f>IF(AN228="","",AD228+AE228+AF228)</f>
        <v/>
      </c>
      <c r="AH228" s="81">
        <f>IF(AN228="","",P228*(1-AG228))</f>
        <v/>
      </c>
      <c r="AI228" s="81">
        <f>IF(AN228="","",IF(Q228="Sin Factura",0,IFERROR(INDEX(Facturas_Odoo!$H:$H, MATCH(Q228, Facturas_Odoo!$B:$B, 0)), 0)*(1-AG228)))</f>
        <v/>
      </c>
      <c r="AJ228" s="81">
        <f>IF(AN228="","",_xlfn.LET(idVenta, AN228&amp;"",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8" s="81">
        <f>IF(AN228="","",AH228-AJ228)</f>
        <v/>
      </c>
      <c r="AL228" s="81">
        <f>IF(AN228="","",IF(Q228="Sin Factura","",AI228-AJ228))</f>
        <v/>
      </c>
      <c r="AM228" s="81">
        <f>IF(AN228="","",IF(Q228="Sin Factura",0,P228-IFERROR(INDEX(Facturas_Odoo!$H:$H, MATCH(Q228, Facturas_Odoo!$B:$B, 0)), 0)))</f>
        <v/>
      </c>
      <c r="AN228" s="79">
        <f>IF(AND(A228="", J228=""), "", IF(A228&lt;&gt;"", VALUE(MID(A228,2,LEN(A228))), AN227))</f>
        <v/>
      </c>
      <c r="AO228" s="79">
        <f>IF(AN228="","",IF(AD228=0,"OK",_xlfn.LET(monedaPago, IF(AA228="","USD",AA228), limitePermitido, IFERROR(VLOOKUP(monedaPago, Configuración!$A$2:$B$3, 2, FALSE), 0.15), IF(AD228&gt;limitePermitido, "ALERTA: EXCESO (" &amp; TEXT(limitePermitido, "0%") &amp; " máx)", "OK"))))</f>
        <v/>
      </c>
      <c r="AP228" s="79">
        <f>IF(AN228="","",IF(AE228=0,"OK",_xlfn.LET(fechaPago, Z228, fechaFactura, R228, diasCredito, IF(E228="Pago inmediato", 0, IFERROR(VALUE(MID(E228, 1, SEARCH(" ", E228)-1)),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8" s="79">
        <f>IF(AN228="","",IF(AND(N228&gt;0, AG228&gt;0), IF(Configuración!$K$2="NO", "ALERTA: DESCUENTO DOBLE NO PERMITIDO", "OK"), "OK"))</f>
        <v/>
      </c>
      <c r="AR228" s="79">
        <f>IF(AN228="","",IF(OR(AO228&lt;&gt;"OK", AP228&lt;&gt;"OK", AQ228&lt;&gt;"OK"), "⚠️ REVISAR", "OK"))</f>
        <v/>
      </c>
    </row>
    <row r="229">
      <c r="A229" s="79">
        <f>IF('Ordenes_Odoo'!A229="","",'Ordenes_Odoo'!A229)</f>
        <v/>
      </c>
      <c r="B229" s="80">
        <f>IF('Ordenes_Odoo'!B229="","",'Ordenes_Odoo'!B229)</f>
        <v/>
      </c>
      <c r="C229" s="79">
        <f>IF('Ordenes_Odoo'!C229="","",'Ordenes_Odoo'!C229)</f>
        <v/>
      </c>
      <c r="D229" s="79">
        <f>IF('Ordenes_Odoo'!D229="","",'Ordenes_Odoo'!D229)</f>
        <v/>
      </c>
      <c r="E229" s="79">
        <f>IF('Ordenes_Odoo'!E229="","",'Ordenes_Odoo'!E229)</f>
        <v/>
      </c>
      <c r="F229" s="79">
        <f>IF('Ordenes_Odoo'!F229="","",'Ordenes_Odoo'!F229)</f>
        <v/>
      </c>
      <c r="G229" s="79">
        <f>IF('Ordenes_Odoo'!G229="","",'Ordenes_Odoo'!G229)</f>
        <v/>
      </c>
      <c r="H229" s="79">
        <f>IF('Ordenes_Odoo'!H229="","",'Ordenes_Odoo'!H229)</f>
        <v/>
      </c>
      <c r="I229" s="79">
        <f>IF('Ordenes_Odoo'!I229="","",'Ordenes_Odoo'!I229)</f>
        <v/>
      </c>
      <c r="J229" s="79">
        <f>IF('Ordenes_Odoo'!J229="","",'Ordenes_Odoo'!J229)</f>
        <v/>
      </c>
      <c r="K229" s="81">
        <f>IF('Ordenes_Odoo'!K229="","",'Ordenes_Odoo'!K229)</f>
        <v/>
      </c>
      <c r="L229" s="81">
        <f>IF('Ordenes_Odoo'!L229="","",'Ordenes_Odoo'!L229)</f>
        <v/>
      </c>
      <c r="M229" s="79">
        <f>IF('Ordenes_Odoo'!M229="","",'Ordenes_Odoo'!M229)</f>
        <v/>
      </c>
      <c r="N229" s="79">
        <f>IF('Ordenes_Odoo'!N229="","",'Ordenes_Odoo'!N229)</f>
        <v/>
      </c>
      <c r="O229" s="81">
        <f>IF('Ordenes_Odoo'!O229="","",'Ordenes_Odoo'!O229)</f>
        <v/>
      </c>
      <c r="P229" s="81">
        <f>IF('Ordenes_Odoo'!P229="","",'Ordenes_Odoo'!P229)</f>
        <v/>
      </c>
      <c r="Q229" s="79">
        <f>IF(A229="","",IFERROR(INDEX(Facturas_Odoo!$B:$B, MATCH(A229, Facturas_Odoo!$D:$D, 0)), "Sin Factura"))</f>
        <v/>
      </c>
      <c r="R229" s="80">
        <f>IF(Q229="Sin Factura","",IFERROR(INDEX(Facturas_Odoo!$A:$A, MATCH(Q229, Facturas_Odoo!$B:$B, 0)), ""))</f>
        <v/>
      </c>
      <c r="S229" s="79">
        <f>IF(Q229="Sin Factura","",IFERROR(_xlfn.XLOOKUP(1, (Facturas_Odoo!$D:$D=A229) * (Facturas_Odoo!$K:$K=I229), Facturas_Odoo!$L:$L, ""), ""))</f>
        <v/>
      </c>
      <c r="T229" s="81">
        <f>IF(Q229="Sin Factura",0,IFERROR(_xlfn.XLOOKUP(1, (Facturas_Odoo!$D:$D=A229) * (Facturas_Odoo!$K:$K=I229), Facturas_Odoo!$M:$M, 0), 0))</f>
        <v/>
      </c>
      <c r="U229" s="79">
        <f>IF(Q229="Sin Factura",0,IFERROR(_xlfn.XLOOKUP(1, (Facturas_Odoo!$D:$D=A229) * (Facturas_Odoo!$K:$K=I229), Facturas_Odoo!$N:$N, 0), 0))</f>
        <v/>
      </c>
      <c r="V229" s="79">
        <f>IF(Q229="Sin Factura",0,IFERROR(_xlfn.XLOOKUP(1, (Facturas_Odoo!$D:$D=A229) * (Facturas_Odoo!$K:$K=I229), Facturas_Odoo!$O:$O, 0), 0))</f>
        <v/>
      </c>
      <c r="W229" s="81">
        <f>IF(Q229="Sin Factura",0,IFERROR(_xlfn.XLOOKUP(1, (Facturas_Odoo!$D:$D=A229) * (Facturas_Odoo!$K:$K=I229), Facturas_Odoo!$Q:$Q, 0), 0))</f>
        <v/>
      </c>
      <c r="X229" s="79">
        <f>IF(OR(Q229="Sin Factura",Q229=""),"",IFERROR(INDEX(Pagos_Odoo!$B:$B, MATCH(Q229, Pagos_Odoo!$I:$I, 0)), "Sin Pago"))</f>
        <v/>
      </c>
      <c r="Y229" s="79">
        <f>IF(X229="Sin Pago","",IFERROR(INDEX(Pagos_Odoo!$C:$C, MATCH(X229, Pagos_Odoo!$B:$B, 0)), ""))</f>
        <v/>
      </c>
      <c r="Z229" s="80">
        <f>IF(X229="Sin Pago","",IFERROR(INDEX(Pagos_Odoo!$A:$A, MATCH(X229, Pagos_Odoo!$B:$B, 0)), ""))</f>
        <v/>
      </c>
      <c r="AA229" s="79">
        <f>IF(X229="Sin Pago","",IFERROR(INDEX(Pagos_Odoo!$F:$F, MATCH(X229, Pagos_Odoo!$B:$B, 0)), ""))</f>
        <v/>
      </c>
      <c r="AB229" s="81">
        <f>IF(X229="Sin Pago",0,IFERROR(INDEX(Pagos_Odoo!$E:$E, MATCH(X229, Pagos_Odoo!$B:$B, 0)), 0))</f>
        <v/>
      </c>
      <c r="AC229" s="79">
        <f>IF(X229="Sin Pago","",IFERROR(INDEX(Pagos_Odoo!$G:$G, MATCH(X229, Pagos_Odoo!$B:$B, 0)), ""))</f>
        <v/>
      </c>
      <c r="AD229" s="82" t="n">
        <v>0</v>
      </c>
      <c r="AE229" s="82" t="n"/>
      <c r="AF229" s="82" t="n"/>
      <c r="AG229" s="82">
        <f>IF(AN229="","",AD229+AE229+AF229)</f>
        <v/>
      </c>
      <c r="AH229" s="81">
        <f>IF(AN229="","",P229*(1-AG229))</f>
        <v/>
      </c>
      <c r="AI229" s="81">
        <f>IF(AN229="","",IF(Q229="Sin Factura",0,IFERROR(INDEX(Facturas_Odoo!$H:$H, MATCH(Q229, Facturas_Odoo!$B:$B, 0)), 0)*(1-AG229)))</f>
        <v/>
      </c>
      <c r="AJ229" s="81">
        <f>IF(AN229="","",_xlfn.LET(idVenta, AN229&amp;"",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9" s="81">
        <f>IF(AN229="","",AH229-AJ229)</f>
        <v/>
      </c>
      <c r="AL229" s="81">
        <f>IF(AN229="","",IF(Q229="Sin Factura","",AI229-AJ229))</f>
        <v/>
      </c>
      <c r="AM229" s="81">
        <f>IF(AN229="","",IF(Q229="Sin Factura",0,P229-IFERROR(INDEX(Facturas_Odoo!$H:$H, MATCH(Q229, Facturas_Odoo!$B:$B, 0)), 0)))</f>
        <v/>
      </c>
      <c r="AN229" s="79">
        <f>IF(AND(A229="", J229=""), "", IF(A229&lt;&gt;"", VALUE(MID(A229,2,LEN(A229))), AN228))</f>
        <v/>
      </c>
      <c r="AO229" s="79">
        <f>IF(AN229="","",IF(AD229=0,"OK",_xlfn.LET(monedaPago, IF(AA229="","USD",AA229), limitePermitido, IFERROR(VLOOKUP(monedaPago, Configuración!$A$2:$B$3, 2, FALSE), 0.15), IF(AD229&gt;limitePermitido, "ALERTA: EXCESO (" &amp; TEXT(limitePermitido, "0%") &amp; " máx)", "OK"))))</f>
        <v/>
      </c>
      <c r="AP229" s="79">
        <f>IF(AN229="","",IF(AE229=0,"OK",_xlfn.LET(fechaPago, Z229, fechaFactura, R229, diasCredito, IF(E229="Pago inmediato", 0, IFERROR(VALUE(MID(E229, 1, SEARCH(" ", E229)-1)),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9" s="79">
        <f>IF(AN229="","",IF(AND(N229&gt;0, AG229&gt;0), IF(Configuración!$K$2="NO", "ALERTA: DESCUENTO DOBLE NO PERMITIDO", "OK"), "OK"))</f>
        <v/>
      </c>
      <c r="AR229" s="79">
        <f>IF(AN229="","",IF(OR(AO229&lt;&gt;"OK", AP229&lt;&gt;"OK", AQ229&lt;&gt;"OK"), "⚠️ REVISAR", "OK"))</f>
        <v/>
      </c>
    </row>
    <row r="230">
      <c r="A230" s="79">
        <f>IF('Ordenes_Odoo'!A230="","",'Ordenes_Odoo'!A230)</f>
        <v/>
      </c>
      <c r="B230" s="80">
        <f>IF('Ordenes_Odoo'!B230="","",'Ordenes_Odoo'!B230)</f>
        <v/>
      </c>
      <c r="C230" s="79">
        <f>IF('Ordenes_Odoo'!C230="","",'Ordenes_Odoo'!C230)</f>
        <v/>
      </c>
      <c r="D230" s="79">
        <f>IF('Ordenes_Odoo'!D230="","",'Ordenes_Odoo'!D230)</f>
        <v/>
      </c>
      <c r="E230" s="79">
        <f>IF('Ordenes_Odoo'!E230="","",'Ordenes_Odoo'!E230)</f>
        <v/>
      </c>
      <c r="F230" s="79">
        <f>IF('Ordenes_Odoo'!F230="","",'Ordenes_Odoo'!F230)</f>
        <v/>
      </c>
      <c r="G230" s="79">
        <f>IF('Ordenes_Odoo'!G230="","",'Ordenes_Odoo'!G230)</f>
        <v/>
      </c>
      <c r="H230" s="79">
        <f>IF('Ordenes_Odoo'!H230="","",'Ordenes_Odoo'!H230)</f>
        <v/>
      </c>
      <c r="I230" s="79">
        <f>IF('Ordenes_Odoo'!I230="","",'Ordenes_Odoo'!I230)</f>
        <v/>
      </c>
      <c r="J230" s="79">
        <f>IF('Ordenes_Odoo'!J230="","",'Ordenes_Odoo'!J230)</f>
        <v/>
      </c>
      <c r="K230" s="81">
        <f>IF('Ordenes_Odoo'!K230="","",'Ordenes_Odoo'!K230)</f>
        <v/>
      </c>
      <c r="L230" s="81">
        <f>IF('Ordenes_Odoo'!L230="","",'Ordenes_Odoo'!L230)</f>
        <v/>
      </c>
      <c r="M230" s="79">
        <f>IF('Ordenes_Odoo'!M230="","",'Ordenes_Odoo'!M230)</f>
        <v/>
      </c>
      <c r="N230" s="79">
        <f>IF('Ordenes_Odoo'!N230="","",'Ordenes_Odoo'!N230)</f>
        <v/>
      </c>
      <c r="O230" s="81">
        <f>IF('Ordenes_Odoo'!O230="","",'Ordenes_Odoo'!O230)</f>
        <v/>
      </c>
      <c r="P230" s="81">
        <f>IF('Ordenes_Odoo'!P230="","",'Ordenes_Odoo'!P230)</f>
        <v/>
      </c>
      <c r="Q230" s="79">
        <f>IF(A230="","",IFERROR(INDEX(Facturas_Odoo!$B:$B, MATCH(A230, Facturas_Odoo!$D:$D, 0)), "Sin Factura"))</f>
        <v/>
      </c>
      <c r="R230" s="80">
        <f>IF(Q230="Sin Factura","",IFERROR(INDEX(Facturas_Odoo!$A:$A, MATCH(Q230, Facturas_Odoo!$B:$B, 0)), ""))</f>
        <v/>
      </c>
      <c r="S230" s="79">
        <f>IF(Q230="Sin Factura","",IFERROR(_xlfn.XLOOKUP(1, (Facturas_Odoo!$D:$D=A230) * (Facturas_Odoo!$K:$K=I230), Facturas_Odoo!$L:$L, ""), ""))</f>
        <v/>
      </c>
      <c r="T230" s="81">
        <f>IF(Q230="Sin Factura",0,IFERROR(_xlfn.XLOOKUP(1, (Facturas_Odoo!$D:$D=A230) * (Facturas_Odoo!$K:$K=I230), Facturas_Odoo!$M:$M, 0), 0))</f>
        <v/>
      </c>
      <c r="U230" s="79">
        <f>IF(Q230="Sin Factura",0,IFERROR(_xlfn.XLOOKUP(1, (Facturas_Odoo!$D:$D=A230) * (Facturas_Odoo!$K:$K=I230), Facturas_Odoo!$N:$N, 0), 0))</f>
        <v/>
      </c>
      <c r="V230" s="79">
        <f>IF(Q230="Sin Factura",0,IFERROR(_xlfn.XLOOKUP(1, (Facturas_Odoo!$D:$D=A230) * (Facturas_Odoo!$K:$K=I230), Facturas_Odoo!$O:$O, 0), 0))</f>
        <v/>
      </c>
      <c r="W230" s="81">
        <f>IF(Q230="Sin Factura",0,IFERROR(_xlfn.XLOOKUP(1, (Facturas_Odoo!$D:$D=A230) * (Facturas_Odoo!$K:$K=I230), Facturas_Odoo!$Q:$Q, 0), 0))</f>
        <v/>
      </c>
      <c r="X230" s="79">
        <f>IF(OR(Q230="Sin Factura",Q230=""),"",IFERROR(INDEX(Pagos_Odoo!$B:$B, MATCH(Q230, Pagos_Odoo!$I:$I, 0)), "Sin Pago"))</f>
        <v/>
      </c>
      <c r="Y230" s="79">
        <f>IF(X230="Sin Pago","",IFERROR(INDEX(Pagos_Odoo!$C:$C, MATCH(X230, Pagos_Odoo!$B:$B, 0)), ""))</f>
        <v/>
      </c>
      <c r="Z230" s="80">
        <f>IF(X230="Sin Pago","",IFERROR(INDEX(Pagos_Odoo!$A:$A, MATCH(X230, Pagos_Odoo!$B:$B, 0)), ""))</f>
        <v/>
      </c>
      <c r="AA230" s="79">
        <f>IF(X230="Sin Pago","",IFERROR(INDEX(Pagos_Odoo!$F:$F, MATCH(X230, Pagos_Odoo!$B:$B, 0)), ""))</f>
        <v/>
      </c>
      <c r="AB230" s="81">
        <f>IF(X230="Sin Pago",0,IFERROR(INDEX(Pagos_Odoo!$E:$E, MATCH(X230, Pagos_Odoo!$B:$B, 0)), 0))</f>
        <v/>
      </c>
      <c r="AC230" s="79">
        <f>IF(X230="Sin Pago","",IFERROR(INDEX(Pagos_Odoo!$G:$G, MATCH(X230, Pagos_Odoo!$B:$B, 0)), ""))</f>
        <v/>
      </c>
      <c r="AD230" s="82" t="n">
        <v>0</v>
      </c>
      <c r="AE230" s="82" t="n"/>
      <c r="AF230" s="82" t="n"/>
      <c r="AG230" s="82">
        <f>IF(AN230="","",AD230+AE230+AF230)</f>
        <v/>
      </c>
      <c r="AH230" s="81">
        <f>IF(AN230="","",P230*(1-AG230))</f>
        <v/>
      </c>
      <c r="AI230" s="81">
        <f>IF(AN230="","",IF(Q230="Sin Factura",0,IFERROR(INDEX(Facturas_Odoo!$H:$H, MATCH(Q230, Facturas_Odoo!$B:$B, 0)), 0)*(1-AG230)))</f>
        <v/>
      </c>
      <c r="AJ230" s="81">
        <f>IF(AN230="","",_xlfn.LET(idVenta, AN230&amp;"",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0" s="81">
        <f>IF(AN230="","",AH230-AJ230)</f>
        <v/>
      </c>
      <c r="AL230" s="81">
        <f>IF(AN230="","",IF(Q230="Sin Factura","",AI230-AJ230))</f>
        <v/>
      </c>
      <c r="AM230" s="81">
        <f>IF(AN230="","",IF(Q230="Sin Factura",0,P230-IFERROR(INDEX(Facturas_Odoo!$H:$H, MATCH(Q230, Facturas_Odoo!$B:$B, 0)), 0)))</f>
        <v/>
      </c>
      <c r="AN230" s="79">
        <f>IF(AND(A230="", J230=""), "", IF(A230&lt;&gt;"", VALUE(MID(A230,2,LEN(A230))), AN229))</f>
        <v/>
      </c>
      <c r="AO230" s="79">
        <f>IF(AN230="","",IF(AD230=0,"OK",_xlfn.LET(monedaPago, IF(AA230="","USD",AA230), limitePermitido, IFERROR(VLOOKUP(monedaPago, Configuración!$A$2:$B$3, 2, FALSE), 0.15), IF(AD230&gt;limitePermitido, "ALERTA: EXCESO (" &amp; TEXT(limitePermitido, "0%") &amp; " máx)", "OK"))))</f>
        <v/>
      </c>
      <c r="AP230" s="79">
        <f>IF(AN230="","",IF(AE230=0,"OK",_xlfn.LET(fechaPago, Z230, fechaFactura, R230, diasCredito, IF(E230="Pago inmediato", 0, IFERROR(VALUE(MID(E230, 1, SEARCH(" ", E230)-1)),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0" s="79">
        <f>IF(AN230="","",IF(AND(N230&gt;0, AG230&gt;0), IF(Configuración!$K$2="NO", "ALERTA: DESCUENTO DOBLE NO PERMITIDO", "OK"), "OK"))</f>
        <v/>
      </c>
      <c r="AR230" s="79">
        <f>IF(AN230="","",IF(OR(AO230&lt;&gt;"OK", AP230&lt;&gt;"OK", AQ230&lt;&gt;"OK"), "⚠️ REVISAR", "OK"))</f>
        <v/>
      </c>
    </row>
    <row r="231">
      <c r="A231" s="79">
        <f>IF('Ordenes_Odoo'!A231="","",'Ordenes_Odoo'!A231)</f>
        <v/>
      </c>
      <c r="B231" s="80">
        <f>IF('Ordenes_Odoo'!B231="","",'Ordenes_Odoo'!B231)</f>
        <v/>
      </c>
      <c r="C231" s="79">
        <f>IF('Ordenes_Odoo'!C231="","",'Ordenes_Odoo'!C231)</f>
        <v/>
      </c>
      <c r="D231" s="79">
        <f>IF('Ordenes_Odoo'!D231="","",'Ordenes_Odoo'!D231)</f>
        <v/>
      </c>
      <c r="E231" s="79">
        <f>IF('Ordenes_Odoo'!E231="","",'Ordenes_Odoo'!E231)</f>
        <v/>
      </c>
      <c r="F231" s="79">
        <f>IF('Ordenes_Odoo'!F231="","",'Ordenes_Odoo'!F231)</f>
        <v/>
      </c>
      <c r="G231" s="79">
        <f>IF('Ordenes_Odoo'!G231="","",'Ordenes_Odoo'!G231)</f>
        <v/>
      </c>
      <c r="H231" s="79">
        <f>IF('Ordenes_Odoo'!H231="","",'Ordenes_Odoo'!H231)</f>
        <v/>
      </c>
      <c r="I231" s="79">
        <f>IF('Ordenes_Odoo'!I231="","",'Ordenes_Odoo'!I231)</f>
        <v/>
      </c>
      <c r="J231" s="79">
        <f>IF('Ordenes_Odoo'!J231="","",'Ordenes_Odoo'!J231)</f>
        <v/>
      </c>
      <c r="K231" s="81">
        <f>IF('Ordenes_Odoo'!K231="","",'Ordenes_Odoo'!K231)</f>
        <v/>
      </c>
      <c r="L231" s="81">
        <f>IF('Ordenes_Odoo'!L231="","",'Ordenes_Odoo'!L231)</f>
        <v/>
      </c>
      <c r="M231" s="79">
        <f>IF('Ordenes_Odoo'!M231="","",'Ordenes_Odoo'!M231)</f>
        <v/>
      </c>
      <c r="N231" s="79">
        <f>IF('Ordenes_Odoo'!N231="","",'Ordenes_Odoo'!N231)</f>
        <v/>
      </c>
      <c r="O231" s="81">
        <f>IF('Ordenes_Odoo'!O231="","",'Ordenes_Odoo'!O231)</f>
        <v/>
      </c>
      <c r="P231" s="81">
        <f>IF('Ordenes_Odoo'!P231="","",'Ordenes_Odoo'!P231)</f>
        <v/>
      </c>
      <c r="Q231" s="79">
        <f>IF(A231="","",IFERROR(INDEX(Facturas_Odoo!$B:$B, MATCH(A231, Facturas_Odoo!$D:$D, 0)), "Sin Factura"))</f>
        <v/>
      </c>
      <c r="R231" s="80">
        <f>IF(Q231="Sin Factura","",IFERROR(INDEX(Facturas_Odoo!$A:$A, MATCH(Q231, Facturas_Odoo!$B:$B, 0)), ""))</f>
        <v/>
      </c>
      <c r="S231" s="79">
        <f>IF(Q231="Sin Factura","",IFERROR(_xlfn.XLOOKUP(1, (Facturas_Odoo!$D:$D=A231) * (Facturas_Odoo!$K:$K=I231), Facturas_Odoo!$L:$L, ""), ""))</f>
        <v/>
      </c>
      <c r="T231" s="81">
        <f>IF(Q231="Sin Factura",0,IFERROR(_xlfn.XLOOKUP(1, (Facturas_Odoo!$D:$D=A231) * (Facturas_Odoo!$K:$K=I231), Facturas_Odoo!$M:$M, 0), 0))</f>
        <v/>
      </c>
      <c r="U231" s="79">
        <f>IF(Q231="Sin Factura",0,IFERROR(_xlfn.XLOOKUP(1, (Facturas_Odoo!$D:$D=A231) * (Facturas_Odoo!$K:$K=I231), Facturas_Odoo!$N:$N, 0), 0))</f>
        <v/>
      </c>
      <c r="V231" s="79">
        <f>IF(Q231="Sin Factura",0,IFERROR(_xlfn.XLOOKUP(1, (Facturas_Odoo!$D:$D=A231) * (Facturas_Odoo!$K:$K=I231), Facturas_Odoo!$O:$O, 0), 0))</f>
        <v/>
      </c>
      <c r="W231" s="81">
        <f>IF(Q231="Sin Factura",0,IFERROR(_xlfn.XLOOKUP(1, (Facturas_Odoo!$D:$D=A231) * (Facturas_Odoo!$K:$K=I231), Facturas_Odoo!$Q:$Q, 0), 0))</f>
        <v/>
      </c>
      <c r="X231" s="79">
        <f>IF(OR(Q231="Sin Factura",Q231=""),"",IFERROR(INDEX(Pagos_Odoo!$B:$B, MATCH(Q231, Pagos_Odoo!$I:$I, 0)), "Sin Pago"))</f>
        <v/>
      </c>
      <c r="Y231" s="79">
        <f>IF(X231="Sin Pago","",IFERROR(INDEX(Pagos_Odoo!$C:$C, MATCH(X231, Pagos_Odoo!$B:$B, 0)), ""))</f>
        <v/>
      </c>
      <c r="Z231" s="80">
        <f>IF(X231="Sin Pago","",IFERROR(INDEX(Pagos_Odoo!$A:$A, MATCH(X231, Pagos_Odoo!$B:$B, 0)), ""))</f>
        <v/>
      </c>
      <c r="AA231" s="79">
        <f>IF(X231="Sin Pago","",IFERROR(INDEX(Pagos_Odoo!$F:$F, MATCH(X231, Pagos_Odoo!$B:$B, 0)), ""))</f>
        <v/>
      </c>
      <c r="AB231" s="81">
        <f>IF(X231="Sin Pago",0,IFERROR(INDEX(Pagos_Odoo!$E:$E, MATCH(X231, Pagos_Odoo!$B:$B, 0)), 0))</f>
        <v/>
      </c>
      <c r="AC231" s="79">
        <f>IF(X231="Sin Pago","",IFERROR(INDEX(Pagos_Odoo!$G:$G, MATCH(X231, Pagos_Odoo!$B:$B, 0)), ""))</f>
        <v/>
      </c>
      <c r="AD231" s="82" t="n">
        <v>0</v>
      </c>
      <c r="AE231" s="82" t="n"/>
      <c r="AF231" s="82" t="n"/>
      <c r="AG231" s="82">
        <f>IF(AN231="","",AD231+AE231+AF231)</f>
        <v/>
      </c>
      <c r="AH231" s="81">
        <f>IF(AN231="","",P231*(1-AG231))</f>
        <v/>
      </c>
      <c r="AI231" s="81">
        <f>IF(AN231="","",IF(Q231="Sin Factura",0,IFERROR(INDEX(Facturas_Odoo!$H:$H, MATCH(Q231, Facturas_Odoo!$B:$B, 0)), 0)*(1-AG231)))</f>
        <v/>
      </c>
      <c r="AJ231" s="81">
        <f>IF(AN231="","",_xlfn.LET(idVenta, AN231&amp;"",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1" s="81">
        <f>IF(AN231="","",AH231-AJ231)</f>
        <v/>
      </c>
      <c r="AL231" s="81">
        <f>IF(AN231="","",IF(Q231="Sin Factura","",AI231-AJ231))</f>
        <v/>
      </c>
      <c r="AM231" s="81">
        <f>IF(AN231="","",IF(Q231="Sin Factura",0,P231-IFERROR(INDEX(Facturas_Odoo!$H:$H, MATCH(Q231, Facturas_Odoo!$B:$B, 0)), 0)))</f>
        <v/>
      </c>
      <c r="AN231" s="79">
        <f>IF(AND(A231="", J231=""), "", IF(A231&lt;&gt;"", VALUE(MID(A231,2,LEN(A231))), AN230))</f>
        <v/>
      </c>
      <c r="AO231" s="79">
        <f>IF(AN231="","",IF(AD231=0,"OK",_xlfn.LET(monedaPago, IF(AA231="","USD",AA231), limitePermitido, IFERROR(VLOOKUP(monedaPago, Configuración!$A$2:$B$3, 2, FALSE), 0.15), IF(AD231&gt;limitePermitido, "ALERTA: EXCESO (" &amp; TEXT(limitePermitido, "0%") &amp; " máx)", "OK"))))</f>
        <v/>
      </c>
      <c r="AP231" s="79">
        <f>IF(AN231="","",IF(AE231=0,"OK",_xlfn.LET(fechaPago, Z231, fechaFactura, R231, diasCredito, IF(E231="Pago inmediato", 0, IFERROR(VALUE(MID(E231, 1, SEARCH(" ", E231)-1)),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1" s="79">
        <f>IF(AN231="","",IF(AND(N231&gt;0, AG231&gt;0), IF(Configuración!$K$2="NO", "ALERTA: DESCUENTO DOBLE NO PERMITIDO", "OK"), "OK"))</f>
        <v/>
      </c>
      <c r="AR231" s="79">
        <f>IF(AN231="","",IF(OR(AO231&lt;&gt;"OK", AP231&lt;&gt;"OK", AQ231&lt;&gt;"OK"), "⚠️ REVISAR", "OK"))</f>
        <v/>
      </c>
    </row>
    <row r="232">
      <c r="A232" s="79">
        <f>IF('Ordenes_Odoo'!A232="","",'Ordenes_Odoo'!A232)</f>
        <v/>
      </c>
      <c r="B232" s="80">
        <f>IF('Ordenes_Odoo'!B232="","",'Ordenes_Odoo'!B232)</f>
        <v/>
      </c>
      <c r="C232" s="79">
        <f>IF('Ordenes_Odoo'!C232="","",'Ordenes_Odoo'!C232)</f>
        <v/>
      </c>
      <c r="D232" s="79">
        <f>IF('Ordenes_Odoo'!D232="","",'Ordenes_Odoo'!D232)</f>
        <v/>
      </c>
      <c r="E232" s="79">
        <f>IF('Ordenes_Odoo'!E232="","",'Ordenes_Odoo'!E232)</f>
        <v/>
      </c>
      <c r="F232" s="79">
        <f>IF('Ordenes_Odoo'!F232="","",'Ordenes_Odoo'!F232)</f>
        <v/>
      </c>
      <c r="G232" s="79">
        <f>IF('Ordenes_Odoo'!G232="","",'Ordenes_Odoo'!G232)</f>
        <v/>
      </c>
      <c r="H232" s="79">
        <f>IF('Ordenes_Odoo'!H232="","",'Ordenes_Odoo'!H232)</f>
        <v/>
      </c>
      <c r="I232" s="79">
        <f>IF('Ordenes_Odoo'!I232="","",'Ordenes_Odoo'!I232)</f>
        <v/>
      </c>
      <c r="J232" s="79">
        <f>IF('Ordenes_Odoo'!J232="","",'Ordenes_Odoo'!J232)</f>
        <v/>
      </c>
      <c r="K232" s="81">
        <f>IF('Ordenes_Odoo'!K232="","",'Ordenes_Odoo'!K232)</f>
        <v/>
      </c>
      <c r="L232" s="81">
        <f>IF('Ordenes_Odoo'!L232="","",'Ordenes_Odoo'!L232)</f>
        <v/>
      </c>
      <c r="M232" s="79">
        <f>IF('Ordenes_Odoo'!M232="","",'Ordenes_Odoo'!M232)</f>
        <v/>
      </c>
      <c r="N232" s="79">
        <f>IF('Ordenes_Odoo'!N232="","",'Ordenes_Odoo'!N232)</f>
        <v/>
      </c>
      <c r="O232" s="81">
        <f>IF('Ordenes_Odoo'!O232="","",'Ordenes_Odoo'!O232)</f>
        <v/>
      </c>
      <c r="P232" s="81">
        <f>IF('Ordenes_Odoo'!P232="","",'Ordenes_Odoo'!P232)</f>
        <v/>
      </c>
      <c r="Q232" s="79">
        <f>IF(A232="","",IFERROR(INDEX(Facturas_Odoo!$B:$B, MATCH(A232, Facturas_Odoo!$D:$D, 0)), "Sin Factura"))</f>
        <v/>
      </c>
      <c r="R232" s="80">
        <f>IF(Q232="Sin Factura","",IFERROR(INDEX(Facturas_Odoo!$A:$A, MATCH(Q232, Facturas_Odoo!$B:$B, 0)), ""))</f>
        <v/>
      </c>
      <c r="S232" s="79">
        <f>IF(Q232="Sin Factura","",IFERROR(_xlfn.XLOOKUP(1, (Facturas_Odoo!$D:$D=A232) * (Facturas_Odoo!$K:$K=I232), Facturas_Odoo!$L:$L, ""), ""))</f>
        <v/>
      </c>
      <c r="T232" s="81">
        <f>IF(Q232="Sin Factura",0,IFERROR(_xlfn.XLOOKUP(1, (Facturas_Odoo!$D:$D=A232) * (Facturas_Odoo!$K:$K=I232), Facturas_Odoo!$M:$M, 0), 0))</f>
        <v/>
      </c>
      <c r="U232" s="79">
        <f>IF(Q232="Sin Factura",0,IFERROR(_xlfn.XLOOKUP(1, (Facturas_Odoo!$D:$D=A232) * (Facturas_Odoo!$K:$K=I232), Facturas_Odoo!$N:$N, 0), 0))</f>
        <v/>
      </c>
      <c r="V232" s="79">
        <f>IF(Q232="Sin Factura",0,IFERROR(_xlfn.XLOOKUP(1, (Facturas_Odoo!$D:$D=A232) * (Facturas_Odoo!$K:$K=I232), Facturas_Odoo!$O:$O, 0), 0))</f>
        <v/>
      </c>
      <c r="W232" s="81">
        <f>IF(Q232="Sin Factura",0,IFERROR(_xlfn.XLOOKUP(1, (Facturas_Odoo!$D:$D=A232) * (Facturas_Odoo!$K:$K=I232), Facturas_Odoo!$Q:$Q, 0), 0))</f>
        <v/>
      </c>
      <c r="X232" s="79">
        <f>IF(OR(Q232="Sin Factura",Q232=""),"",IFERROR(INDEX(Pagos_Odoo!$B:$B, MATCH(Q232, Pagos_Odoo!$I:$I, 0)), "Sin Pago"))</f>
        <v/>
      </c>
      <c r="Y232" s="79">
        <f>IF(X232="Sin Pago","",IFERROR(INDEX(Pagos_Odoo!$C:$C, MATCH(X232, Pagos_Odoo!$B:$B, 0)), ""))</f>
        <v/>
      </c>
      <c r="Z232" s="80">
        <f>IF(X232="Sin Pago","",IFERROR(INDEX(Pagos_Odoo!$A:$A, MATCH(X232, Pagos_Odoo!$B:$B, 0)), ""))</f>
        <v/>
      </c>
      <c r="AA232" s="79">
        <f>IF(X232="Sin Pago","",IFERROR(INDEX(Pagos_Odoo!$F:$F, MATCH(X232, Pagos_Odoo!$B:$B, 0)), ""))</f>
        <v/>
      </c>
      <c r="AB232" s="81">
        <f>IF(X232="Sin Pago",0,IFERROR(INDEX(Pagos_Odoo!$E:$E, MATCH(X232, Pagos_Odoo!$B:$B, 0)), 0))</f>
        <v/>
      </c>
      <c r="AC232" s="79">
        <f>IF(X232="Sin Pago","",IFERROR(INDEX(Pagos_Odoo!$G:$G, MATCH(X232, Pagos_Odoo!$B:$B, 0)), ""))</f>
        <v/>
      </c>
      <c r="AD232" s="82" t="n">
        <v>0</v>
      </c>
      <c r="AE232" s="82" t="n"/>
      <c r="AF232" s="82" t="n"/>
      <c r="AG232" s="82">
        <f>IF(AN232="","",AD232+AE232+AF232)</f>
        <v/>
      </c>
      <c r="AH232" s="81">
        <f>IF(AN232="","",P232*(1-AG232))</f>
        <v/>
      </c>
      <c r="AI232" s="81">
        <f>IF(AN232="","",IF(Q232="Sin Factura",0,IFERROR(INDEX(Facturas_Odoo!$H:$H, MATCH(Q232, Facturas_Odoo!$B:$B, 0)), 0)*(1-AG232)))</f>
        <v/>
      </c>
      <c r="AJ232" s="81">
        <f>IF(AN232="","",_xlfn.LET(idVenta, AN232&amp;"",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2" s="81">
        <f>IF(AN232="","",AH232-AJ232)</f>
        <v/>
      </c>
      <c r="AL232" s="81">
        <f>IF(AN232="","",IF(Q232="Sin Factura","",AI232-AJ232))</f>
        <v/>
      </c>
      <c r="AM232" s="81">
        <f>IF(AN232="","",IF(Q232="Sin Factura",0,P232-IFERROR(INDEX(Facturas_Odoo!$H:$H, MATCH(Q232, Facturas_Odoo!$B:$B, 0)), 0)))</f>
        <v/>
      </c>
      <c r="AN232" s="79">
        <f>IF(AND(A232="", J232=""), "", IF(A232&lt;&gt;"", VALUE(MID(A232,2,LEN(A232))), AN231))</f>
        <v/>
      </c>
      <c r="AO232" s="79">
        <f>IF(AN232="","",IF(AD232=0,"OK",_xlfn.LET(monedaPago, IF(AA232="","USD",AA232), limitePermitido, IFERROR(VLOOKUP(monedaPago, Configuración!$A$2:$B$3, 2, FALSE), 0.15), IF(AD232&gt;limitePermitido, "ALERTA: EXCESO (" &amp; TEXT(limitePermitido, "0%") &amp; " máx)", "OK"))))</f>
        <v/>
      </c>
      <c r="AP232" s="79">
        <f>IF(AN232="","",IF(AE232=0,"OK",_xlfn.LET(fechaPago, Z232, fechaFactura, R232, diasCredito, IF(E232="Pago inmediato", 0, IFERROR(VALUE(MID(E232, 1, SEARCH(" ", E232)-1)),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2" s="79">
        <f>IF(AN232="","",IF(AND(N232&gt;0, AG232&gt;0), IF(Configuración!$K$2="NO", "ALERTA: DESCUENTO DOBLE NO PERMITIDO", "OK"), "OK"))</f>
        <v/>
      </c>
      <c r="AR232" s="79">
        <f>IF(AN232="","",IF(OR(AO232&lt;&gt;"OK", AP232&lt;&gt;"OK", AQ232&lt;&gt;"OK"), "⚠️ REVISAR", "OK"))</f>
        <v/>
      </c>
    </row>
    <row r="233">
      <c r="A233" s="79">
        <f>IF('Ordenes_Odoo'!A233="","",'Ordenes_Odoo'!A233)</f>
        <v/>
      </c>
      <c r="B233" s="80">
        <f>IF('Ordenes_Odoo'!B233="","",'Ordenes_Odoo'!B233)</f>
        <v/>
      </c>
      <c r="C233" s="79">
        <f>IF('Ordenes_Odoo'!C233="","",'Ordenes_Odoo'!C233)</f>
        <v/>
      </c>
      <c r="D233" s="79">
        <f>IF('Ordenes_Odoo'!D233="","",'Ordenes_Odoo'!D233)</f>
        <v/>
      </c>
      <c r="E233" s="79">
        <f>IF('Ordenes_Odoo'!E233="","",'Ordenes_Odoo'!E233)</f>
        <v/>
      </c>
      <c r="F233" s="79">
        <f>IF('Ordenes_Odoo'!F233="","",'Ordenes_Odoo'!F233)</f>
        <v/>
      </c>
      <c r="G233" s="79">
        <f>IF('Ordenes_Odoo'!G233="","",'Ordenes_Odoo'!G233)</f>
        <v/>
      </c>
      <c r="H233" s="79">
        <f>IF('Ordenes_Odoo'!H233="","",'Ordenes_Odoo'!H233)</f>
        <v/>
      </c>
      <c r="I233" s="79">
        <f>IF('Ordenes_Odoo'!I233="","",'Ordenes_Odoo'!I233)</f>
        <v/>
      </c>
      <c r="J233" s="79">
        <f>IF('Ordenes_Odoo'!J233="","",'Ordenes_Odoo'!J233)</f>
        <v/>
      </c>
      <c r="K233" s="81">
        <f>IF('Ordenes_Odoo'!K233="","",'Ordenes_Odoo'!K233)</f>
        <v/>
      </c>
      <c r="L233" s="81">
        <f>IF('Ordenes_Odoo'!L233="","",'Ordenes_Odoo'!L233)</f>
        <v/>
      </c>
      <c r="M233" s="79">
        <f>IF('Ordenes_Odoo'!M233="","",'Ordenes_Odoo'!M233)</f>
        <v/>
      </c>
      <c r="N233" s="79">
        <f>IF('Ordenes_Odoo'!N233="","",'Ordenes_Odoo'!N233)</f>
        <v/>
      </c>
      <c r="O233" s="81">
        <f>IF('Ordenes_Odoo'!O233="","",'Ordenes_Odoo'!O233)</f>
        <v/>
      </c>
      <c r="P233" s="81">
        <f>IF('Ordenes_Odoo'!P233="","",'Ordenes_Odoo'!P233)</f>
        <v/>
      </c>
      <c r="Q233" s="79">
        <f>IF(A233="","",IFERROR(INDEX(Facturas_Odoo!$B:$B, MATCH(A233, Facturas_Odoo!$D:$D, 0)), "Sin Factura"))</f>
        <v/>
      </c>
      <c r="R233" s="80">
        <f>IF(Q233="Sin Factura","",IFERROR(INDEX(Facturas_Odoo!$A:$A, MATCH(Q233, Facturas_Odoo!$B:$B, 0)), ""))</f>
        <v/>
      </c>
      <c r="S233" s="79">
        <f>IF(Q233="Sin Factura","",IFERROR(_xlfn.XLOOKUP(1, (Facturas_Odoo!$D:$D=A233) * (Facturas_Odoo!$K:$K=I233), Facturas_Odoo!$L:$L, ""), ""))</f>
        <v/>
      </c>
      <c r="T233" s="81">
        <f>IF(Q233="Sin Factura",0,IFERROR(_xlfn.XLOOKUP(1, (Facturas_Odoo!$D:$D=A233) * (Facturas_Odoo!$K:$K=I233), Facturas_Odoo!$M:$M, 0), 0))</f>
        <v/>
      </c>
      <c r="U233" s="79">
        <f>IF(Q233="Sin Factura",0,IFERROR(_xlfn.XLOOKUP(1, (Facturas_Odoo!$D:$D=A233) * (Facturas_Odoo!$K:$K=I233), Facturas_Odoo!$N:$N, 0), 0))</f>
        <v/>
      </c>
      <c r="V233" s="79">
        <f>IF(Q233="Sin Factura",0,IFERROR(_xlfn.XLOOKUP(1, (Facturas_Odoo!$D:$D=A233) * (Facturas_Odoo!$K:$K=I233), Facturas_Odoo!$O:$O, 0), 0))</f>
        <v/>
      </c>
      <c r="W233" s="81">
        <f>IF(Q233="Sin Factura",0,IFERROR(_xlfn.XLOOKUP(1, (Facturas_Odoo!$D:$D=A233) * (Facturas_Odoo!$K:$K=I233), Facturas_Odoo!$Q:$Q, 0), 0))</f>
        <v/>
      </c>
      <c r="X233" s="79">
        <f>IF(OR(Q233="Sin Factura",Q233=""),"",IFERROR(INDEX(Pagos_Odoo!$B:$B, MATCH(Q233, Pagos_Odoo!$I:$I, 0)), "Sin Pago"))</f>
        <v/>
      </c>
      <c r="Y233" s="79">
        <f>IF(X233="Sin Pago","",IFERROR(INDEX(Pagos_Odoo!$C:$C, MATCH(X233, Pagos_Odoo!$B:$B, 0)), ""))</f>
        <v/>
      </c>
      <c r="Z233" s="80">
        <f>IF(X233="Sin Pago","",IFERROR(INDEX(Pagos_Odoo!$A:$A, MATCH(X233, Pagos_Odoo!$B:$B, 0)), ""))</f>
        <v/>
      </c>
      <c r="AA233" s="79">
        <f>IF(X233="Sin Pago","",IFERROR(INDEX(Pagos_Odoo!$F:$F, MATCH(X233, Pagos_Odoo!$B:$B, 0)), ""))</f>
        <v/>
      </c>
      <c r="AB233" s="81">
        <f>IF(X233="Sin Pago",0,IFERROR(INDEX(Pagos_Odoo!$E:$E, MATCH(X233, Pagos_Odoo!$B:$B, 0)), 0))</f>
        <v/>
      </c>
      <c r="AC233" s="79">
        <f>IF(X233="Sin Pago","",IFERROR(INDEX(Pagos_Odoo!$G:$G, MATCH(X233, Pagos_Odoo!$B:$B, 0)), ""))</f>
        <v/>
      </c>
      <c r="AD233" s="82" t="n">
        <v>0</v>
      </c>
      <c r="AE233" s="82" t="n"/>
      <c r="AF233" s="82" t="n"/>
      <c r="AG233" s="82">
        <f>IF(AN233="","",AD233+AE233+AF233)</f>
        <v/>
      </c>
      <c r="AH233" s="81">
        <f>IF(AN233="","",P233*(1-AG233))</f>
        <v/>
      </c>
      <c r="AI233" s="81">
        <f>IF(AN233="","",IF(Q233="Sin Factura",0,IFERROR(INDEX(Facturas_Odoo!$H:$H, MATCH(Q233, Facturas_Odoo!$B:$B, 0)), 0)*(1-AG233)))</f>
        <v/>
      </c>
      <c r="AJ233" s="81">
        <f>IF(AN233="","",_xlfn.LET(idVenta, AN233&amp;"",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3" s="81">
        <f>IF(AN233="","",AH233-AJ233)</f>
        <v/>
      </c>
      <c r="AL233" s="81">
        <f>IF(AN233="","",IF(Q233="Sin Factura","",AI233-AJ233))</f>
        <v/>
      </c>
      <c r="AM233" s="81">
        <f>IF(AN233="","",IF(Q233="Sin Factura",0,P233-IFERROR(INDEX(Facturas_Odoo!$H:$H, MATCH(Q233, Facturas_Odoo!$B:$B, 0)), 0)))</f>
        <v/>
      </c>
      <c r="AN233" s="79">
        <f>IF(AND(A233="", J233=""), "", IF(A233&lt;&gt;"", VALUE(MID(A233,2,LEN(A233))), AN232))</f>
        <v/>
      </c>
      <c r="AO233" s="79">
        <f>IF(AN233="","",IF(AD233=0,"OK",_xlfn.LET(monedaPago, IF(AA233="","USD",AA233), limitePermitido, IFERROR(VLOOKUP(monedaPago, Configuración!$A$2:$B$3, 2, FALSE), 0.15), IF(AD233&gt;limitePermitido, "ALERTA: EXCESO (" &amp; TEXT(limitePermitido, "0%") &amp; " máx)", "OK"))))</f>
        <v/>
      </c>
      <c r="AP233" s="79">
        <f>IF(AN233="","",IF(AE233=0,"OK",_xlfn.LET(fechaPago, Z233, fechaFactura, R233, diasCredito, IF(E233="Pago inmediato", 0, IFERROR(VALUE(MID(E233, 1, SEARCH(" ", E233)-1)),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3" s="79">
        <f>IF(AN233="","",IF(AND(N233&gt;0, AG233&gt;0), IF(Configuración!$K$2="NO", "ALERTA: DESCUENTO DOBLE NO PERMITIDO", "OK"), "OK"))</f>
        <v/>
      </c>
      <c r="AR233" s="79">
        <f>IF(AN233="","",IF(OR(AO233&lt;&gt;"OK", AP233&lt;&gt;"OK", AQ233&lt;&gt;"OK"), "⚠️ REVISAR", "OK"))</f>
        <v/>
      </c>
    </row>
    <row r="234">
      <c r="A234" s="79">
        <f>IF('Ordenes_Odoo'!A234="","",'Ordenes_Odoo'!A234)</f>
        <v/>
      </c>
      <c r="B234" s="80">
        <f>IF('Ordenes_Odoo'!B234="","",'Ordenes_Odoo'!B234)</f>
        <v/>
      </c>
      <c r="C234" s="79">
        <f>IF('Ordenes_Odoo'!C234="","",'Ordenes_Odoo'!C234)</f>
        <v/>
      </c>
      <c r="D234" s="79">
        <f>IF('Ordenes_Odoo'!D234="","",'Ordenes_Odoo'!D234)</f>
        <v/>
      </c>
      <c r="E234" s="79">
        <f>IF('Ordenes_Odoo'!E234="","",'Ordenes_Odoo'!E234)</f>
        <v/>
      </c>
      <c r="F234" s="79">
        <f>IF('Ordenes_Odoo'!F234="","",'Ordenes_Odoo'!F234)</f>
        <v/>
      </c>
      <c r="G234" s="79">
        <f>IF('Ordenes_Odoo'!G234="","",'Ordenes_Odoo'!G234)</f>
        <v/>
      </c>
      <c r="H234" s="79">
        <f>IF('Ordenes_Odoo'!H234="","",'Ordenes_Odoo'!H234)</f>
        <v/>
      </c>
      <c r="I234" s="79">
        <f>IF('Ordenes_Odoo'!I234="","",'Ordenes_Odoo'!I234)</f>
        <v/>
      </c>
      <c r="J234" s="79">
        <f>IF('Ordenes_Odoo'!J234="","",'Ordenes_Odoo'!J234)</f>
        <v/>
      </c>
      <c r="K234" s="81">
        <f>IF('Ordenes_Odoo'!K234="","",'Ordenes_Odoo'!K234)</f>
        <v/>
      </c>
      <c r="L234" s="81">
        <f>IF('Ordenes_Odoo'!L234="","",'Ordenes_Odoo'!L234)</f>
        <v/>
      </c>
      <c r="M234" s="79">
        <f>IF('Ordenes_Odoo'!M234="","",'Ordenes_Odoo'!M234)</f>
        <v/>
      </c>
      <c r="N234" s="79">
        <f>IF('Ordenes_Odoo'!N234="","",'Ordenes_Odoo'!N234)</f>
        <v/>
      </c>
      <c r="O234" s="81">
        <f>IF('Ordenes_Odoo'!O234="","",'Ordenes_Odoo'!O234)</f>
        <v/>
      </c>
      <c r="P234" s="81">
        <f>IF('Ordenes_Odoo'!P234="","",'Ordenes_Odoo'!P234)</f>
        <v/>
      </c>
      <c r="Q234" s="79">
        <f>IF(A234="","",IFERROR(INDEX(Facturas_Odoo!$B:$B, MATCH(A234, Facturas_Odoo!$D:$D, 0)), "Sin Factura"))</f>
        <v/>
      </c>
      <c r="R234" s="80">
        <f>IF(Q234="Sin Factura","",IFERROR(INDEX(Facturas_Odoo!$A:$A, MATCH(Q234, Facturas_Odoo!$B:$B, 0)), ""))</f>
        <v/>
      </c>
      <c r="S234" s="79">
        <f>IF(Q234="Sin Factura","",IFERROR(_xlfn.XLOOKUP(1, (Facturas_Odoo!$D:$D=A234) * (Facturas_Odoo!$K:$K=I234), Facturas_Odoo!$L:$L, ""), ""))</f>
        <v/>
      </c>
      <c r="T234" s="81">
        <f>IF(Q234="Sin Factura",0,IFERROR(_xlfn.XLOOKUP(1, (Facturas_Odoo!$D:$D=A234) * (Facturas_Odoo!$K:$K=I234), Facturas_Odoo!$M:$M, 0), 0))</f>
        <v/>
      </c>
      <c r="U234" s="79">
        <f>IF(Q234="Sin Factura",0,IFERROR(_xlfn.XLOOKUP(1, (Facturas_Odoo!$D:$D=A234) * (Facturas_Odoo!$K:$K=I234), Facturas_Odoo!$N:$N, 0), 0))</f>
        <v/>
      </c>
      <c r="V234" s="79">
        <f>IF(Q234="Sin Factura",0,IFERROR(_xlfn.XLOOKUP(1, (Facturas_Odoo!$D:$D=A234) * (Facturas_Odoo!$K:$K=I234), Facturas_Odoo!$O:$O, 0), 0))</f>
        <v/>
      </c>
      <c r="W234" s="81">
        <f>IF(Q234="Sin Factura",0,IFERROR(_xlfn.XLOOKUP(1, (Facturas_Odoo!$D:$D=A234) * (Facturas_Odoo!$K:$K=I234), Facturas_Odoo!$Q:$Q, 0), 0))</f>
        <v/>
      </c>
      <c r="X234" s="79">
        <f>IF(OR(Q234="Sin Factura",Q234=""),"",IFERROR(INDEX(Pagos_Odoo!$B:$B, MATCH(Q234, Pagos_Odoo!$I:$I, 0)), "Sin Pago"))</f>
        <v/>
      </c>
      <c r="Y234" s="79">
        <f>IF(X234="Sin Pago","",IFERROR(INDEX(Pagos_Odoo!$C:$C, MATCH(X234, Pagos_Odoo!$B:$B, 0)), ""))</f>
        <v/>
      </c>
      <c r="Z234" s="80">
        <f>IF(X234="Sin Pago","",IFERROR(INDEX(Pagos_Odoo!$A:$A, MATCH(X234, Pagos_Odoo!$B:$B, 0)), ""))</f>
        <v/>
      </c>
      <c r="AA234" s="79">
        <f>IF(X234="Sin Pago","",IFERROR(INDEX(Pagos_Odoo!$F:$F, MATCH(X234, Pagos_Odoo!$B:$B, 0)), ""))</f>
        <v/>
      </c>
      <c r="AB234" s="81">
        <f>IF(X234="Sin Pago",0,IFERROR(INDEX(Pagos_Odoo!$E:$E, MATCH(X234, Pagos_Odoo!$B:$B, 0)), 0))</f>
        <v/>
      </c>
      <c r="AC234" s="79">
        <f>IF(X234="Sin Pago","",IFERROR(INDEX(Pagos_Odoo!$G:$G, MATCH(X234, Pagos_Odoo!$B:$B, 0)), ""))</f>
        <v/>
      </c>
      <c r="AD234" s="82" t="n">
        <v>0</v>
      </c>
      <c r="AE234" s="82" t="n"/>
      <c r="AF234" s="82" t="n"/>
      <c r="AG234" s="82">
        <f>IF(AN234="","",AD234+AE234+AF234)</f>
        <v/>
      </c>
      <c r="AH234" s="81">
        <f>IF(AN234="","",P234*(1-AG234))</f>
        <v/>
      </c>
      <c r="AI234" s="81">
        <f>IF(AN234="","",IF(Q234="Sin Factura",0,IFERROR(INDEX(Facturas_Odoo!$H:$H, MATCH(Q234, Facturas_Odoo!$B:$B, 0)), 0)*(1-AG234)))</f>
        <v/>
      </c>
      <c r="AJ234" s="81">
        <f>IF(AN234="","",_xlfn.LET(idVenta, AN234&amp;"",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4" s="81">
        <f>IF(AN234="","",AH234-AJ234)</f>
        <v/>
      </c>
      <c r="AL234" s="81">
        <f>IF(AN234="","",IF(Q234="Sin Factura","",AI234-AJ234))</f>
        <v/>
      </c>
      <c r="AM234" s="81">
        <f>IF(AN234="","",IF(Q234="Sin Factura",0,P234-IFERROR(INDEX(Facturas_Odoo!$H:$H, MATCH(Q234, Facturas_Odoo!$B:$B, 0)), 0)))</f>
        <v/>
      </c>
      <c r="AN234" s="79">
        <f>IF(AND(A234="", J234=""), "", IF(A234&lt;&gt;"", VALUE(MID(A234,2,LEN(A234))), AN233))</f>
        <v/>
      </c>
      <c r="AO234" s="79">
        <f>IF(AN234="","",IF(AD234=0,"OK",_xlfn.LET(monedaPago, IF(AA234="","USD",AA234), limitePermitido, IFERROR(VLOOKUP(monedaPago, Configuración!$A$2:$B$3, 2, FALSE), 0.15), IF(AD234&gt;limitePermitido, "ALERTA: EXCESO (" &amp; TEXT(limitePermitido, "0%") &amp; " máx)", "OK"))))</f>
        <v/>
      </c>
      <c r="AP234" s="79">
        <f>IF(AN234="","",IF(AE234=0,"OK",_xlfn.LET(fechaPago, Z234, fechaFactura, R234, diasCredito, IF(E234="Pago inmediato", 0, IFERROR(VALUE(MID(E234, 1, SEARCH(" ", E234)-1)),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4" s="79">
        <f>IF(AN234="","",IF(AND(N234&gt;0, AG234&gt;0), IF(Configuración!$K$2="NO", "ALERTA: DESCUENTO DOBLE NO PERMITIDO", "OK"), "OK"))</f>
        <v/>
      </c>
      <c r="AR234" s="79">
        <f>IF(AN234="","",IF(OR(AO234&lt;&gt;"OK", AP234&lt;&gt;"OK", AQ234&lt;&gt;"OK"), "⚠️ REVISAR", "OK"))</f>
        <v/>
      </c>
    </row>
    <row r="235">
      <c r="A235" s="79">
        <f>IF('Ordenes_Odoo'!A235="","",'Ordenes_Odoo'!A235)</f>
        <v/>
      </c>
      <c r="B235" s="80">
        <f>IF('Ordenes_Odoo'!B235="","",'Ordenes_Odoo'!B235)</f>
        <v/>
      </c>
      <c r="C235" s="79">
        <f>IF('Ordenes_Odoo'!C235="","",'Ordenes_Odoo'!C235)</f>
        <v/>
      </c>
      <c r="D235" s="79">
        <f>IF('Ordenes_Odoo'!D235="","",'Ordenes_Odoo'!D235)</f>
        <v/>
      </c>
      <c r="E235" s="79">
        <f>IF('Ordenes_Odoo'!E235="","",'Ordenes_Odoo'!E235)</f>
        <v/>
      </c>
      <c r="F235" s="79">
        <f>IF('Ordenes_Odoo'!F235="","",'Ordenes_Odoo'!F235)</f>
        <v/>
      </c>
      <c r="G235" s="79">
        <f>IF('Ordenes_Odoo'!G235="","",'Ordenes_Odoo'!G235)</f>
        <v/>
      </c>
      <c r="H235" s="79">
        <f>IF('Ordenes_Odoo'!H235="","",'Ordenes_Odoo'!H235)</f>
        <v/>
      </c>
      <c r="I235" s="79">
        <f>IF('Ordenes_Odoo'!I235="","",'Ordenes_Odoo'!I235)</f>
        <v/>
      </c>
      <c r="J235" s="79">
        <f>IF('Ordenes_Odoo'!J235="","",'Ordenes_Odoo'!J235)</f>
        <v/>
      </c>
      <c r="K235" s="81">
        <f>IF('Ordenes_Odoo'!K235="","",'Ordenes_Odoo'!K235)</f>
        <v/>
      </c>
      <c r="L235" s="81">
        <f>IF('Ordenes_Odoo'!L235="","",'Ordenes_Odoo'!L235)</f>
        <v/>
      </c>
      <c r="M235" s="79">
        <f>IF('Ordenes_Odoo'!M235="","",'Ordenes_Odoo'!M235)</f>
        <v/>
      </c>
      <c r="N235" s="79">
        <f>IF('Ordenes_Odoo'!N235="","",'Ordenes_Odoo'!N235)</f>
        <v/>
      </c>
      <c r="O235" s="81">
        <f>IF('Ordenes_Odoo'!O235="","",'Ordenes_Odoo'!O235)</f>
        <v/>
      </c>
      <c r="P235" s="81">
        <f>IF('Ordenes_Odoo'!P235="","",'Ordenes_Odoo'!P235)</f>
        <v/>
      </c>
      <c r="Q235" s="79">
        <f>IF(A235="","",IFERROR(INDEX(Facturas_Odoo!$B:$B, MATCH(A235, Facturas_Odoo!$D:$D, 0)), "Sin Factura"))</f>
        <v/>
      </c>
      <c r="R235" s="80">
        <f>IF(Q235="Sin Factura","",IFERROR(INDEX(Facturas_Odoo!$A:$A, MATCH(Q235, Facturas_Odoo!$B:$B, 0)), ""))</f>
        <v/>
      </c>
      <c r="S235" s="79">
        <f>IF(Q235="Sin Factura","",IFERROR(_xlfn.XLOOKUP(1, (Facturas_Odoo!$D:$D=A235) * (Facturas_Odoo!$K:$K=I235), Facturas_Odoo!$L:$L, ""), ""))</f>
        <v/>
      </c>
      <c r="T235" s="81">
        <f>IF(Q235="Sin Factura",0,IFERROR(_xlfn.XLOOKUP(1, (Facturas_Odoo!$D:$D=A235) * (Facturas_Odoo!$K:$K=I235), Facturas_Odoo!$M:$M, 0), 0))</f>
        <v/>
      </c>
      <c r="U235" s="79">
        <f>IF(Q235="Sin Factura",0,IFERROR(_xlfn.XLOOKUP(1, (Facturas_Odoo!$D:$D=A235) * (Facturas_Odoo!$K:$K=I235), Facturas_Odoo!$N:$N, 0), 0))</f>
        <v/>
      </c>
      <c r="V235" s="79">
        <f>IF(Q235="Sin Factura",0,IFERROR(_xlfn.XLOOKUP(1, (Facturas_Odoo!$D:$D=A235) * (Facturas_Odoo!$K:$K=I235), Facturas_Odoo!$O:$O, 0), 0))</f>
        <v/>
      </c>
      <c r="W235" s="81">
        <f>IF(Q235="Sin Factura",0,IFERROR(_xlfn.XLOOKUP(1, (Facturas_Odoo!$D:$D=A235) * (Facturas_Odoo!$K:$K=I235), Facturas_Odoo!$Q:$Q, 0), 0))</f>
        <v/>
      </c>
      <c r="X235" s="79">
        <f>IF(OR(Q235="Sin Factura",Q235=""),"",IFERROR(INDEX(Pagos_Odoo!$B:$B, MATCH(Q235, Pagos_Odoo!$I:$I, 0)), "Sin Pago"))</f>
        <v/>
      </c>
      <c r="Y235" s="79">
        <f>IF(X235="Sin Pago","",IFERROR(INDEX(Pagos_Odoo!$C:$C, MATCH(X235, Pagos_Odoo!$B:$B, 0)), ""))</f>
        <v/>
      </c>
      <c r="Z235" s="80">
        <f>IF(X235="Sin Pago","",IFERROR(INDEX(Pagos_Odoo!$A:$A, MATCH(X235, Pagos_Odoo!$B:$B, 0)), ""))</f>
        <v/>
      </c>
      <c r="AA235" s="79">
        <f>IF(X235="Sin Pago","",IFERROR(INDEX(Pagos_Odoo!$F:$F, MATCH(X235, Pagos_Odoo!$B:$B, 0)), ""))</f>
        <v/>
      </c>
      <c r="AB235" s="81">
        <f>IF(X235="Sin Pago",0,IFERROR(INDEX(Pagos_Odoo!$E:$E, MATCH(X235, Pagos_Odoo!$B:$B, 0)), 0))</f>
        <v/>
      </c>
      <c r="AC235" s="79">
        <f>IF(X235="Sin Pago","",IFERROR(INDEX(Pagos_Odoo!$G:$G, MATCH(X235, Pagos_Odoo!$B:$B, 0)), ""))</f>
        <v/>
      </c>
      <c r="AD235" s="82" t="n">
        <v>0</v>
      </c>
      <c r="AE235" s="82" t="n"/>
      <c r="AF235" s="82" t="n"/>
      <c r="AG235" s="82">
        <f>IF(AN235="","",AD235+AE235+AF235)</f>
        <v/>
      </c>
      <c r="AH235" s="81">
        <f>IF(AN235="","",P235*(1-AG235))</f>
        <v/>
      </c>
      <c r="AI235" s="81">
        <f>IF(AN235="","",IF(Q235="Sin Factura",0,IFERROR(INDEX(Facturas_Odoo!$H:$H, MATCH(Q235, Facturas_Odoo!$B:$B, 0)), 0)*(1-AG235)))</f>
        <v/>
      </c>
      <c r="AJ235" s="81">
        <f>IF(AN235="","",_xlfn.LET(idVenta, AN235&amp;"",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5" s="81">
        <f>IF(AN235="","",AH235-AJ235)</f>
        <v/>
      </c>
      <c r="AL235" s="81">
        <f>IF(AN235="","",IF(Q235="Sin Factura","",AI235-AJ235))</f>
        <v/>
      </c>
      <c r="AM235" s="81">
        <f>IF(AN235="","",IF(Q235="Sin Factura",0,P235-IFERROR(INDEX(Facturas_Odoo!$H:$H, MATCH(Q235, Facturas_Odoo!$B:$B, 0)), 0)))</f>
        <v/>
      </c>
      <c r="AN235" s="79">
        <f>IF(AND(A235="", J235=""), "", IF(A235&lt;&gt;"", VALUE(MID(A235,2,LEN(A235))), AN234))</f>
        <v/>
      </c>
      <c r="AO235" s="79">
        <f>IF(AN235="","",IF(AD235=0,"OK",_xlfn.LET(monedaPago, IF(AA235="","USD",AA235), limitePermitido, IFERROR(VLOOKUP(monedaPago, Configuración!$A$2:$B$3, 2, FALSE), 0.15), IF(AD235&gt;limitePermitido, "ALERTA: EXCESO (" &amp; TEXT(limitePermitido, "0%") &amp; " máx)", "OK"))))</f>
        <v/>
      </c>
      <c r="AP235" s="79">
        <f>IF(AN235="","",IF(AE235=0,"OK",_xlfn.LET(fechaPago, Z235, fechaFactura, R235, diasCredito, IF(E235="Pago inmediato", 0, IFERROR(VALUE(MID(E235, 1, SEARCH(" ", E235)-1)),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5" s="79">
        <f>IF(AN235="","",IF(AND(N235&gt;0, AG235&gt;0), IF(Configuración!$K$2="NO", "ALERTA: DESCUENTO DOBLE NO PERMITIDO", "OK"), "OK"))</f>
        <v/>
      </c>
      <c r="AR235" s="79">
        <f>IF(AN235="","",IF(OR(AO235&lt;&gt;"OK", AP235&lt;&gt;"OK", AQ235&lt;&gt;"OK"), "⚠️ REVISAR", "OK"))</f>
        <v/>
      </c>
    </row>
    <row r="236">
      <c r="A236" s="79">
        <f>IF('Ordenes_Odoo'!A236="","",'Ordenes_Odoo'!A236)</f>
        <v/>
      </c>
      <c r="B236" s="80">
        <f>IF('Ordenes_Odoo'!B236="","",'Ordenes_Odoo'!B236)</f>
        <v/>
      </c>
      <c r="C236" s="79">
        <f>IF('Ordenes_Odoo'!C236="","",'Ordenes_Odoo'!C236)</f>
        <v/>
      </c>
      <c r="D236" s="79">
        <f>IF('Ordenes_Odoo'!D236="","",'Ordenes_Odoo'!D236)</f>
        <v/>
      </c>
      <c r="E236" s="79">
        <f>IF('Ordenes_Odoo'!E236="","",'Ordenes_Odoo'!E236)</f>
        <v/>
      </c>
      <c r="F236" s="79">
        <f>IF('Ordenes_Odoo'!F236="","",'Ordenes_Odoo'!F236)</f>
        <v/>
      </c>
      <c r="G236" s="79">
        <f>IF('Ordenes_Odoo'!G236="","",'Ordenes_Odoo'!G236)</f>
        <v/>
      </c>
      <c r="H236" s="79">
        <f>IF('Ordenes_Odoo'!H236="","",'Ordenes_Odoo'!H236)</f>
        <v/>
      </c>
      <c r="I236" s="79">
        <f>IF('Ordenes_Odoo'!I236="","",'Ordenes_Odoo'!I236)</f>
        <v/>
      </c>
      <c r="J236" s="79">
        <f>IF('Ordenes_Odoo'!J236="","",'Ordenes_Odoo'!J236)</f>
        <v/>
      </c>
      <c r="K236" s="81">
        <f>IF('Ordenes_Odoo'!K236="","",'Ordenes_Odoo'!K236)</f>
        <v/>
      </c>
      <c r="L236" s="81">
        <f>IF('Ordenes_Odoo'!L236="","",'Ordenes_Odoo'!L236)</f>
        <v/>
      </c>
      <c r="M236" s="79">
        <f>IF('Ordenes_Odoo'!M236="","",'Ordenes_Odoo'!M236)</f>
        <v/>
      </c>
      <c r="N236" s="79">
        <f>IF('Ordenes_Odoo'!N236="","",'Ordenes_Odoo'!N236)</f>
        <v/>
      </c>
      <c r="O236" s="81">
        <f>IF('Ordenes_Odoo'!O236="","",'Ordenes_Odoo'!O236)</f>
        <v/>
      </c>
      <c r="P236" s="81">
        <f>IF('Ordenes_Odoo'!P236="","",'Ordenes_Odoo'!P236)</f>
        <v/>
      </c>
      <c r="Q236" s="79">
        <f>IF(A236="","",IFERROR(INDEX(Facturas_Odoo!$B:$B, MATCH(A236, Facturas_Odoo!$D:$D, 0)), "Sin Factura"))</f>
        <v/>
      </c>
      <c r="R236" s="80">
        <f>IF(Q236="Sin Factura","",IFERROR(INDEX(Facturas_Odoo!$A:$A, MATCH(Q236, Facturas_Odoo!$B:$B, 0)), ""))</f>
        <v/>
      </c>
      <c r="S236" s="79">
        <f>IF(Q236="Sin Factura","",IFERROR(_xlfn.XLOOKUP(1, (Facturas_Odoo!$D:$D=A236) * (Facturas_Odoo!$K:$K=I236), Facturas_Odoo!$L:$L, ""), ""))</f>
        <v/>
      </c>
      <c r="T236" s="81">
        <f>IF(Q236="Sin Factura",0,IFERROR(_xlfn.XLOOKUP(1, (Facturas_Odoo!$D:$D=A236) * (Facturas_Odoo!$K:$K=I236), Facturas_Odoo!$M:$M, 0), 0))</f>
        <v/>
      </c>
      <c r="U236" s="79">
        <f>IF(Q236="Sin Factura",0,IFERROR(_xlfn.XLOOKUP(1, (Facturas_Odoo!$D:$D=A236) * (Facturas_Odoo!$K:$K=I236), Facturas_Odoo!$N:$N, 0), 0))</f>
        <v/>
      </c>
      <c r="V236" s="79">
        <f>IF(Q236="Sin Factura",0,IFERROR(_xlfn.XLOOKUP(1, (Facturas_Odoo!$D:$D=A236) * (Facturas_Odoo!$K:$K=I236), Facturas_Odoo!$O:$O, 0), 0))</f>
        <v/>
      </c>
      <c r="W236" s="81">
        <f>IF(Q236="Sin Factura",0,IFERROR(_xlfn.XLOOKUP(1, (Facturas_Odoo!$D:$D=A236) * (Facturas_Odoo!$K:$K=I236), Facturas_Odoo!$Q:$Q, 0), 0))</f>
        <v/>
      </c>
      <c r="X236" s="79">
        <f>IF(OR(Q236="Sin Factura",Q236=""),"",IFERROR(INDEX(Pagos_Odoo!$B:$B, MATCH(Q236, Pagos_Odoo!$I:$I, 0)), "Sin Pago"))</f>
        <v/>
      </c>
      <c r="Y236" s="79">
        <f>IF(X236="Sin Pago","",IFERROR(INDEX(Pagos_Odoo!$C:$C, MATCH(X236, Pagos_Odoo!$B:$B, 0)), ""))</f>
        <v/>
      </c>
      <c r="Z236" s="80">
        <f>IF(X236="Sin Pago","",IFERROR(INDEX(Pagos_Odoo!$A:$A, MATCH(X236, Pagos_Odoo!$B:$B, 0)), ""))</f>
        <v/>
      </c>
      <c r="AA236" s="79">
        <f>IF(X236="Sin Pago","",IFERROR(INDEX(Pagos_Odoo!$F:$F, MATCH(X236, Pagos_Odoo!$B:$B, 0)), ""))</f>
        <v/>
      </c>
      <c r="AB236" s="81">
        <f>IF(X236="Sin Pago",0,IFERROR(INDEX(Pagos_Odoo!$E:$E, MATCH(X236, Pagos_Odoo!$B:$B, 0)), 0))</f>
        <v/>
      </c>
      <c r="AC236" s="79">
        <f>IF(X236="Sin Pago","",IFERROR(INDEX(Pagos_Odoo!$G:$G, MATCH(X236, Pagos_Odoo!$B:$B, 0)), ""))</f>
        <v/>
      </c>
      <c r="AD236" s="82" t="n">
        <v>0</v>
      </c>
      <c r="AE236" s="82" t="n"/>
      <c r="AF236" s="82" t="n"/>
      <c r="AG236" s="82">
        <f>IF(AN236="","",AD236+AE236+AF236)</f>
        <v/>
      </c>
      <c r="AH236" s="81">
        <f>IF(AN236="","",P236*(1-AG236))</f>
        <v/>
      </c>
      <c r="AI236" s="81">
        <f>IF(AN236="","",IF(Q236="Sin Factura",0,IFERROR(INDEX(Facturas_Odoo!$H:$H, MATCH(Q236, Facturas_Odoo!$B:$B, 0)), 0)*(1-AG236)))</f>
        <v/>
      </c>
      <c r="AJ236" s="81">
        <f>IF(AN236="","",_xlfn.LET(idVenta, AN236&amp;"",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6" s="81">
        <f>IF(AN236="","",AH236-AJ236)</f>
        <v/>
      </c>
      <c r="AL236" s="81">
        <f>IF(AN236="","",IF(Q236="Sin Factura","",AI236-AJ236))</f>
        <v/>
      </c>
      <c r="AM236" s="81">
        <f>IF(AN236="","",IF(Q236="Sin Factura",0,P236-IFERROR(INDEX(Facturas_Odoo!$H:$H, MATCH(Q236, Facturas_Odoo!$B:$B, 0)), 0)))</f>
        <v/>
      </c>
      <c r="AN236" s="79">
        <f>IF(AND(A236="", J236=""), "", IF(A236&lt;&gt;"", VALUE(MID(A236,2,LEN(A236))), AN235))</f>
        <v/>
      </c>
      <c r="AO236" s="79">
        <f>IF(AN236="","",IF(AD236=0,"OK",_xlfn.LET(monedaPago, IF(AA236="","USD",AA236), limitePermitido, IFERROR(VLOOKUP(monedaPago, Configuración!$A$2:$B$3, 2, FALSE), 0.15), IF(AD236&gt;limitePermitido, "ALERTA: EXCESO (" &amp; TEXT(limitePermitido, "0%") &amp; " máx)", "OK"))))</f>
        <v/>
      </c>
      <c r="AP236" s="79">
        <f>IF(AN236="","",IF(AE236=0,"OK",_xlfn.LET(fechaPago, Z236, fechaFactura, R236, diasCredito, IF(E236="Pago inmediato", 0, IFERROR(VALUE(MID(E236, 1, SEARCH(" ", E236)-1)),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6" s="79">
        <f>IF(AN236="","",IF(AND(N236&gt;0, AG236&gt;0), IF(Configuración!$K$2="NO", "ALERTA: DESCUENTO DOBLE NO PERMITIDO", "OK"), "OK"))</f>
        <v/>
      </c>
      <c r="AR236" s="79">
        <f>IF(AN236="","",IF(OR(AO236&lt;&gt;"OK", AP236&lt;&gt;"OK", AQ236&lt;&gt;"OK"), "⚠️ REVISAR", "OK"))</f>
        <v/>
      </c>
    </row>
    <row r="237">
      <c r="A237" s="79">
        <f>IF('Ordenes_Odoo'!A237="","",'Ordenes_Odoo'!A237)</f>
        <v/>
      </c>
      <c r="B237" s="80">
        <f>IF('Ordenes_Odoo'!B237="","",'Ordenes_Odoo'!B237)</f>
        <v/>
      </c>
      <c r="C237" s="79">
        <f>IF('Ordenes_Odoo'!C237="","",'Ordenes_Odoo'!C237)</f>
        <v/>
      </c>
      <c r="D237" s="79">
        <f>IF('Ordenes_Odoo'!D237="","",'Ordenes_Odoo'!D237)</f>
        <v/>
      </c>
      <c r="E237" s="79">
        <f>IF('Ordenes_Odoo'!E237="","",'Ordenes_Odoo'!E237)</f>
        <v/>
      </c>
      <c r="F237" s="79">
        <f>IF('Ordenes_Odoo'!F237="","",'Ordenes_Odoo'!F237)</f>
        <v/>
      </c>
      <c r="G237" s="79">
        <f>IF('Ordenes_Odoo'!G237="","",'Ordenes_Odoo'!G237)</f>
        <v/>
      </c>
      <c r="H237" s="79">
        <f>IF('Ordenes_Odoo'!H237="","",'Ordenes_Odoo'!H237)</f>
        <v/>
      </c>
      <c r="I237" s="79">
        <f>IF('Ordenes_Odoo'!I237="","",'Ordenes_Odoo'!I237)</f>
        <v/>
      </c>
      <c r="J237" s="79">
        <f>IF('Ordenes_Odoo'!J237="","",'Ordenes_Odoo'!J237)</f>
        <v/>
      </c>
      <c r="K237" s="81">
        <f>IF('Ordenes_Odoo'!K237="","",'Ordenes_Odoo'!K237)</f>
        <v/>
      </c>
      <c r="L237" s="81">
        <f>IF('Ordenes_Odoo'!L237="","",'Ordenes_Odoo'!L237)</f>
        <v/>
      </c>
      <c r="M237" s="79">
        <f>IF('Ordenes_Odoo'!M237="","",'Ordenes_Odoo'!M237)</f>
        <v/>
      </c>
      <c r="N237" s="79">
        <f>IF('Ordenes_Odoo'!N237="","",'Ordenes_Odoo'!N237)</f>
        <v/>
      </c>
      <c r="O237" s="81">
        <f>IF('Ordenes_Odoo'!O237="","",'Ordenes_Odoo'!O237)</f>
        <v/>
      </c>
      <c r="P237" s="81">
        <f>IF('Ordenes_Odoo'!P237="","",'Ordenes_Odoo'!P237)</f>
        <v/>
      </c>
      <c r="Q237" s="79">
        <f>IF(A237="","",IFERROR(INDEX(Facturas_Odoo!$B:$B, MATCH(A237, Facturas_Odoo!$D:$D, 0)), "Sin Factura"))</f>
        <v/>
      </c>
      <c r="R237" s="80">
        <f>IF(Q237="Sin Factura","",IFERROR(INDEX(Facturas_Odoo!$A:$A, MATCH(Q237, Facturas_Odoo!$B:$B, 0)), ""))</f>
        <v/>
      </c>
      <c r="S237" s="79">
        <f>IF(Q237="Sin Factura","",IFERROR(_xlfn.XLOOKUP(1, (Facturas_Odoo!$D:$D=A237) * (Facturas_Odoo!$K:$K=I237), Facturas_Odoo!$L:$L, ""), ""))</f>
        <v/>
      </c>
      <c r="T237" s="81">
        <f>IF(Q237="Sin Factura",0,IFERROR(_xlfn.XLOOKUP(1, (Facturas_Odoo!$D:$D=A237) * (Facturas_Odoo!$K:$K=I237), Facturas_Odoo!$M:$M, 0), 0))</f>
        <v/>
      </c>
      <c r="U237" s="79">
        <f>IF(Q237="Sin Factura",0,IFERROR(_xlfn.XLOOKUP(1, (Facturas_Odoo!$D:$D=A237) * (Facturas_Odoo!$K:$K=I237), Facturas_Odoo!$N:$N, 0), 0))</f>
        <v/>
      </c>
      <c r="V237" s="79">
        <f>IF(Q237="Sin Factura",0,IFERROR(_xlfn.XLOOKUP(1, (Facturas_Odoo!$D:$D=A237) * (Facturas_Odoo!$K:$K=I237), Facturas_Odoo!$O:$O, 0), 0))</f>
        <v/>
      </c>
      <c r="W237" s="81">
        <f>IF(Q237="Sin Factura",0,IFERROR(_xlfn.XLOOKUP(1, (Facturas_Odoo!$D:$D=A237) * (Facturas_Odoo!$K:$K=I237), Facturas_Odoo!$Q:$Q, 0), 0))</f>
        <v/>
      </c>
      <c r="X237" s="79">
        <f>IF(OR(Q237="Sin Factura",Q237=""),"",IFERROR(INDEX(Pagos_Odoo!$B:$B, MATCH(Q237, Pagos_Odoo!$I:$I, 0)), "Sin Pago"))</f>
        <v/>
      </c>
      <c r="Y237" s="79">
        <f>IF(X237="Sin Pago","",IFERROR(INDEX(Pagos_Odoo!$C:$C, MATCH(X237, Pagos_Odoo!$B:$B, 0)), ""))</f>
        <v/>
      </c>
      <c r="Z237" s="80">
        <f>IF(X237="Sin Pago","",IFERROR(INDEX(Pagos_Odoo!$A:$A, MATCH(X237, Pagos_Odoo!$B:$B, 0)), ""))</f>
        <v/>
      </c>
      <c r="AA237" s="79">
        <f>IF(X237="Sin Pago","",IFERROR(INDEX(Pagos_Odoo!$F:$F, MATCH(X237, Pagos_Odoo!$B:$B, 0)), ""))</f>
        <v/>
      </c>
      <c r="AB237" s="81">
        <f>IF(X237="Sin Pago",0,IFERROR(INDEX(Pagos_Odoo!$E:$E, MATCH(X237, Pagos_Odoo!$B:$B, 0)), 0))</f>
        <v/>
      </c>
      <c r="AC237" s="79">
        <f>IF(X237="Sin Pago","",IFERROR(INDEX(Pagos_Odoo!$G:$G, MATCH(X237, Pagos_Odoo!$B:$B, 0)), ""))</f>
        <v/>
      </c>
      <c r="AD237" s="82" t="n">
        <v>0</v>
      </c>
      <c r="AE237" s="82" t="n"/>
      <c r="AF237" s="82" t="n"/>
      <c r="AG237" s="82">
        <f>IF(AN237="","",AD237+AE237+AF237)</f>
        <v/>
      </c>
      <c r="AH237" s="81">
        <f>IF(AN237="","",P237*(1-AG237))</f>
        <v/>
      </c>
      <c r="AI237" s="81">
        <f>IF(AN237="","",IF(Q237="Sin Factura",0,IFERROR(INDEX(Facturas_Odoo!$H:$H, MATCH(Q237, Facturas_Odoo!$B:$B, 0)), 0)*(1-AG237)))</f>
        <v/>
      </c>
      <c r="AJ237" s="81">
        <f>IF(AN237="","",_xlfn.LET(idVenta, AN237&amp;"",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7" s="81">
        <f>IF(AN237="","",AH237-AJ237)</f>
        <v/>
      </c>
      <c r="AL237" s="81">
        <f>IF(AN237="","",IF(Q237="Sin Factura","",AI237-AJ237))</f>
        <v/>
      </c>
      <c r="AM237" s="81">
        <f>IF(AN237="","",IF(Q237="Sin Factura",0,P237-IFERROR(INDEX(Facturas_Odoo!$H:$H, MATCH(Q237, Facturas_Odoo!$B:$B, 0)), 0)))</f>
        <v/>
      </c>
      <c r="AN237" s="79">
        <f>IF(AND(A237="", J237=""), "", IF(A237&lt;&gt;"", VALUE(MID(A237,2,LEN(A237))), AN236))</f>
        <v/>
      </c>
      <c r="AO237" s="79">
        <f>IF(AN237="","",IF(AD237=0,"OK",_xlfn.LET(monedaPago, IF(AA237="","USD",AA237), limitePermitido, IFERROR(VLOOKUP(monedaPago, Configuración!$A$2:$B$3, 2, FALSE), 0.15), IF(AD237&gt;limitePermitido, "ALERTA: EXCESO (" &amp; TEXT(limitePermitido, "0%") &amp; " máx)", "OK"))))</f>
        <v/>
      </c>
      <c r="AP237" s="79">
        <f>IF(AN237="","",IF(AE237=0,"OK",_xlfn.LET(fechaPago, Z237, fechaFactura, R237, diasCredito, IF(E237="Pago inmediato", 0, IFERROR(VALUE(MID(E237, 1, SEARCH(" ", E237)-1)),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7" s="79">
        <f>IF(AN237="","",IF(AND(N237&gt;0, AG237&gt;0), IF(Configuración!$K$2="NO", "ALERTA: DESCUENTO DOBLE NO PERMITIDO", "OK"), "OK"))</f>
        <v/>
      </c>
      <c r="AR237" s="79">
        <f>IF(AN237="","",IF(OR(AO237&lt;&gt;"OK", AP237&lt;&gt;"OK", AQ237&lt;&gt;"OK"), "⚠️ REVISAR", "OK"))</f>
        <v/>
      </c>
    </row>
    <row r="238">
      <c r="A238" s="79">
        <f>IF('Ordenes_Odoo'!A238="","",'Ordenes_Odoo'!A238)</f>
        <v/>
      </c>
      <c r="B238" s="80">
        <f>IF('Ordenes_Odoo'!B238="","",'Ordenes_Odoo'!B238)</f>
        <v/>
      </c>
      <c r="C238" s="79">
        <f>IF('Ordenes_Odoo'!C238="","",'Ordenes_Odoo'!C238)</f>
        <v/>
      </c>
      <c r="D238" s="79">
        <f>IF('Ordenes_Odoo'!D238="","",'Ordenes_Odoo'!D238)</f>
        <v/>
      </c>
      <c r="E238" s="79">
        <f>IF('Ordenes_Odoo'!E238="","",'Ordenes_Odoo'!E238)</f>
        <v/>
      </c>
      <c r="F238" s="79">
        <f>IF('Ordenes_Odoo'!F238="","",'Ordenes_Odoo'!F238)</f>
        <v/>
      </c>
      <c r="G238" s="79">
        <f>IF('Ordenes_Odoo'!G238="","",'Ordenes_Odoo'!G238)</f>
        <v/>
      </c>
      <c r="H238" s="79">
        <f>IF('Ordenes_Odoo'!H238="","",'Ordenes_Odoo'!H238)</f>
        <v/>
      </c>
      <c r="I238" s="79">
        <f>IF('Ordenes_Odoo'!I238="","",'Ordenes_Odoo'!I238)</f>
        <v/>
      </c>
      <c r="J238" s="79">
        <f>IF('Ordenes_Odoo'!J238="","",'Ordenes_Odoo'!J238)</f>
        <v/>
      </c>
      <c r="K238" s="81">
        <f>IF('Ordenes_Odoo'!K238="","",'Ordenes_Odoo'!K238)</f>
        <v/>
      </c>
      <c r="L238" s="81">
        <f>IF('Ordenes_Odoo'!L238="","",'Ordenes_Odoo'!L238)</f>
        <v/>
      </c>
      <c r="M238" s="79">
        <f>IF('Ordenes_Odoo'!M238="","",'Ordenes_Odoo'!M238)</f>
        <v/>
      </c>
      <c r="N238" s="79">
        <f>IF('Ordenes_Odoo'!N238="","",'Ordenes_Odoo'!N238)</f>
        <v/>
      </c>
      <c r="O238" s="81">
        <f>IF('Ordenes_Odoo'!O238="","",'Ordenes_Odoo'!O238)</f>
        <v/>
      </c>
      <c r="P238" s="81">
        <f>IF('Ordenes_Odoo'!P238="","",'Ordenes_Odoo'!P238)</f>
        <v/>
      </c>
      <c r="Q238" s="79">
        <f>IF(A238="","",IFERROR(INDEX(Facturas_Odoo!$B:$B, MATCH(A238, Facturas_Odoo!$D:$D, 0)), "Sin Factura"))</f>
        <v/>
      </c>
      <c r="R238" s="80">
        <f>IF(Q238="Sin Factura","",IFERROR(INDEX(Facturas_Odoo!$A:$A, MATCH(Q238, Facturas_Odoo!$B:$B, 0)), ""))</f>
        <v/>
      </c>
      <c r="S238" s="79">
        <f>IF(Q238="Sin Factura","",IFERROR(_xlfn.XLOOKUP(1, (Facturas_Odoo!$D:$D=A238) * (Facturas_Odoo!$K:$K=I238), Facturas_Odoo!$L:$L, ""), ""))</f>
        <v/>
      </c>
      <c r="T238" s="81">
        <f>IF(Q238="Sin Factura",0,IFERROR(_xlfn.XLOOKUP(1, (Facturas_Odoo!$D:$D=A238) * (Facturas_Odoo!$K:$K=I238), Facturas_Odoo!$M:$M, 0), 0))</f>
        <v/>
      </c>
      <c r="U238" s="79">
        <f>IF(Q238="Sin Factura",0,IFERROR(_xlfn.XLOOKUP(1, (Facturas_Odoo!$D:$D=A238) * (Facturas_Odoo!$K:$K=I238), Facturas_Odoo!$N:$N, 0), 0))</f>
        <v/>
      </c>
      <c r="V238" s="79">
        <f>IF(Q238="Sin Factura",0,IFERROR(_xlfn.XLOOKUP(1, (Facturas_Odoo!$D:$D=A238) * (Facturas_Odoo!$K:$K=I238), Facturas_Odoo!$O:$O, 0), 0))</f>
        <v/>
      </c>
      <c r="W238" s="81">
        <f>IF(Q238="Sin Factura",0,IFERROR(_xlfn.XLOOKUP(1, (Facturas_Odoo!$D:$D=A238) * (Facturas_Odoo!$K:$K=I238), Facturas_Odoo!$Q:$Q, 0), 0))</f>
        <v/>
      </c>
      <c r="X238" s="79">
        <f>IF(OR(Q238="Sin Factura",Q238=""),"",IFERROR(INDEX(Pagos_Odoo!$B:$B, MATCH(Q238, Pagos_Odoo!$I:$I, 0)), "Sin Pago"))</f>
        <v/>
      </c>
      <c r="Y238" s="79">
        <f>IF(X238="Sin Pago","",IFERROR(INDEX(Pagos_Odoo!$C:$C, MATCH(X238, Pagos_Odoo!$B:$B, 0)), ""))</f>
        <v/>
      </c>
      <c r="Z238" s="80">
        <f>IF(X238="Sin Pago","",IFERROR(INDEX(Pagos_Odoo!$A:$A, MATCH(X238, Pagos_Odoo!$B:$B, 0)), ""))</f>
        <v/>
      </c>
      <c r="AA238" s="79">
        <f>IF(X238="Sin Pago","",IFERROR(INDEX(Pagos_Odoo!$F:$F, MATCH(X238, Pagos_Odoo!$B:$B, 0)), ""))</f>
        <v/>
      </c>
      <c r="AB238" s="81">
        <f>IF(X238="Sin Pago",0,IFERROR(INDEX(Pagos_Odoo!$E:$E, MATCH(X238, Pagos_Odoo!$B:$B, 0)), 0))</f>
        <v/>
      </c>
      <c r="AC238" s="79">
        <f>IF(X238="Sin Pago","",IFERROR(INDEX(Pagos_Odoo!$G:$G, MATCH(X238, Pagos_Odoo!$B:$B, 0)), ""))</f>
        <v/>
      </c>
      <c r="AD238" s="82" t="n">
        <v>0</v>
      </c>
      <c r="AE238" s="82" t="n"/>
      <c r="AF238" s="82" t="n"/>
      <c r="AG238" s="82">
        <f>IF(AN238="","",AD238+AE238+AF238)</f>
        <v/>
      </c>
      <c r="AH238" s="81">
        <f>IF(AN238="","",P238*(1-AG238))</f>
        <v/>
      </c>
      <c r="AI238" s="81">
        <f>IF(AN238="","",IF(Q238="Sin Factura",0,IFERROR(INDEX(Facturas_Odoo!$H:$H, MATCH(Q238, Facturas_Odoo!$B:$B, 0)), 0)*(1-AG238)))</f>
        <v/>
      </c>
      <c r="AJ238" s="81">
        <f>IF(AN238="","",_xlfn.LET(idVenta, AN238&amp;"",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8" s="81">
        <f>IF(AN238="","",AH238-AJ238)</f>
        <v/>
      </c>
      <c r="AL238" s="81">
        <f>IF(AN238="","",IF(Q238="Sin Factura","",AI238-AJ238))</f>
        <v/>
      </c>
      <c r="AM238" s="81">
        <f>IF(AN238="","",IF(Q238="Sin Factura",0,P238-IFERROR(INDEX(Facturas_Odoo!$H:$H, MATCH(Q238, Facturas_Odoo!$B:$B, 0)), 0)))</f>
        <v/>
      </c>
      <c r="AN238" s="79">
        <f>IF(AND(A238="", J238=""), "", IF(A238&lt;&gt;"", VALUE(MID(A238,2,LEN(A238))), AN237))</f>
        <v/>
      </c>
      <c r="AO238" s="79">
        <f>IF(AN238="","",IF(AD238=0,"OK",_xlfn.LET(monedaPago, IF(AA238="","USD",AA238), limitePermitido, IFERROR(VLOOKUP(monedaPago, Configuración!$A$2:$B$3, 2, FALSE), 0.15), IF(AD238&gt;limitePermitido, "ALERTA: EXCESO (" &amp; TEXT(limitePermitido, "0%") &amp; " máx)", "OK"))))</f>
        <v/>
      </c>
      <c r="AP238" s="79">
        <f>IF(AN238="","",IF(AE238=0,"OK",_xlfn.LET(fechaPago, Z238, fechaFactura, R238, diasCredito, IF(E238="Pago inmediato", 0, IFERROR(VALUE(MID(E238, 1, SEARCH(" ", E238)-1)),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8" s="79">
        <f>IF(AN238="","",IF(AND(N238&gt;0, AG238&gt;0), IF(Configuración!$K$2="NO", "ALERTA: DESCUENTO DOBLE NO PERMITIDO", "OK"), "OK"))</f>
        <v/>
      </c>
      <c r="AR238" s="79">
        <f>IF(AN238="","",IF(OR(AO238&lt;&gt;"OK", AP238&lt;&gt;"OK", AQ238&lt;&gt;"OK"), "⚠️ REVISAR", "OK"))</f>
        <v/>
      </c>
    </row>
    <row r="239">
      <c r="A239" s="79">
        <f>IF('Ordenes_Odoo'!A239="","",'Ordenes_Odoo'!A239)</f>
        <v/>
      </c>
      <c r="B239" s="80">
        <f>IF('Ordenes_Odoo'!B239="","",'Ordenes_Odoo'!B239)</f>
        <v/>
      </c>
      <c r="C239" s="79">
        <f>IF('Ordenes_Odoo'!C239="","",'Ordenes_Odoo'!C239)</f>
        <v/>
      </c>
      <c r="D239" s="79">
        <f>IF('Ordenes_Odoo'!D239="","",'Ordenes_Odoo'!D239)</f>
        <v/>
      </c>
      <c r="E239" s="79">
        <f>IF('Ordenes_Odoo'!E239="","",'Ordenes_Odoo'!E239)</f>
        <v/>
      </c>
      <c r="F239" s="79">
        <f>IF('Ordenes_Odoo'!F239="","",'Ordenes_Odoo'!F239)</f>
        <v/>
      </c>
      <c r="G239" s="79">
        <f>IF('Ordenes_Odoo'!G239="","",'Ordenes_Odoo'!G239)</f>
        <v/>
      </c>
      <c r="H239" s="79">
        <f>IF('Ordenes_Odoo'!H239="","",'Ordenes_Odoo'!H239)</f>
        <v/>
      </c>
      <c r="I239" s="79">
        <f>IF('Ordenes_Odoo'!I239="","",'Ordenes_Odoo'!I239)</f>
        <v/>
      </c>
      <c r="J239" s="79">
        <f>IF('Ordenes_Odoo'!J239="","",'Ordenes_Odoo'!J239)</f>
        <v/>
      </c>
      <c r="K239" s="81">
        <f>IF('Ordenes_Odoo'!K239="","",'Ordenes_Odoo'!K239)</f>
        <v/>
      </c>
      <c r="L239" s="81">
        <f>IF('Ordenes_Odoo'!L239="","",'Ordenes_Odoo'!L239)</f>
        <v/>
      </c>
      <c r="M239" s="79">
        <f>IF('Ordenes_Odoo'!M239="","",'Ordenes_Odoo'!M239)</f>
        <v/>
      </c>
      <c r="N239" s="79">
        <f>IF('Ordenes_Odoo'!N239="","",'Ordenes_Odoo'!N239)</f>
        <v/>
      </c>
      <c r="O239" s="81">
        <f>IF('Ordenes_Odoo'!O239="","",'Ordenes_Odoo'!O239)</f>
        <v/>
      </c>
      <c r="P239" s="81">
        <f>IF('Ordenes_Odoo'!P239="","",'Ordenes_Odoo'!P239)</f>
        <v/>
      </c>
      <c r="Q239" s="79">
        <f>IF(A239="","",IFERROR(INDEX(Facturas_Odoo!$B:$B, MATCH(A239, Facturas_Odoo!$D:$D, 0)), "Sin Factura"))</f>
        <v/>
      </c>
      <c r="R239" s="80">
        <f>IF(Q239="Sin Factura","",IFERROR(INDEX(Facturas_Odoo!$A:$A, MATCH(Q239, Facturas_Odoo!$B:$B, 0)), ""))</f>
        <v/>
      </c>
      <c r="S239" s="79">
        <f>IF(Q239="Sin Factura","",IFERROR(_xlfn.XLOOKUP(1, (Facturas_Odoo!$D:$D=A239) * (Facturas_Odoo!$K:$K=I239), Facturas_Odoo!$L:$L, ""), ""))</f>
        <v/>
      </c>
      <c r="T239" s="81">
        <f>IF(Q239="Sin Factura",0,IFERROR(_xlfn.XLOOKUP(1, (Facturas_Odoo!$D:$D=A239) * (Facturas_Odoo!$K:$K=I239), Facturas_Odoo!$M:$M, 0), 0))</f>
        <v/>
      </c>
      <c r="U239" s="79">
        <f>IF(Q239="Sin Factura",0,IFERROR(_xlfn.XLOOKUP(1, (Facturas_Odoo!$D:$D=A239) * (Facturas_Odoo!$K:$K=I239), Facturas_Odoo!$N:$N, 0), 0))</f>
        <v/>
      </c>
      <c r="V239" s="79">
        <f>IF(Q239="Sin Factura",0,IFERROR(_xlfn.XLOOKUP(1, (Facturas_Odoo!$D:$D=A239) * (Facturas_Odoo!$K:$K=I239), Facturas_Odoo!$O:$O, 0), 0))</f>
        <v/>
      </c>
      <c r="W239" s="81">
        <f>IF(Q239="Sin Factura",0,IFERROR(_xlfn.XLOOKUP(1, (Facturas_Odoo!$D:$D=A239) * (Facturas_Odoo!$K:$K=I239), Facturas_Odoo!$Q:$Q, 0), 0))</f>
        <v/>
      </c>
      <c r="X239" s="79">
        <f>IF(OR(Q239="Sin Factura",Q239=""),"",IFERROR(INDEX(Pagos_Odoo!$B:$B, MATCH(Q239, Pagos_Odoo!$I:$I, 0)), "Sin Pago"))</f>
        <v/>
      </c>
      <c r="Y239" s="79">
        <f>IF(X239="Sin Pago","",IFERROR(INDEX(Pagos_Odoo!$C:$C, MATCH(X239, Pagos_Odoo!$B:$B, 0)), ""))</f>
        <v/>
      </c>
      <c r="Z239" s="80">
        <f>IF(X239="Sin Pago","",IFERROR(INDEX(Pagos_Odoo!$A:$A, MATCH(X239, Pagos_Odoo!$B:$B, 0)), ""))</f>
        <v/>
      </c>
      <c r="AA239" s="79">
        <f>IF(X239="Sin Pago","",IFERROR(INDEX(Pagos_Odoo!$F:$F, MATCH(X239, Pagos_Odoo!$B:$B, 0)), ""))</f>
        <v/>
      </c>
      <c r="AB239" s="81">
        <f>IF(X239="Sin Pago",0,IFERROR(INDEX(Pagos_Odoo!$E:$E, MATCH(X239, Pagos_Odoo!$B:$B, 0)), 0))</f>
        <v/>
      </c>
      <c r="AC239" s="79">
        <f>IF(X239="Sin Pago","",IFERROR(INDEX(Pagos_Odoo!$G:$G, MATCH(X239, Pagos_Odoo!$B:$B, 0)), ""))</f>
        <v/>
      </c>
      <c r="AD239" s="82" t="n">
        <v>0</v>
      </c>
      <c r="AE239" s="82" t="n"/>
      <c r="AF239" s="82" t="n"/>
      <c r="AG239" s="82">
        <f>IF(AN239="","",AD239+AE239+AF239)</f>
        <v/>
      </c>
      <c r="AH239" s="81">
        <f>IF(AN239="","",P239*(1-AG239))</f>
        <v/>
      </c>
      <c r="AI239" s="81">
        <f>IF(AN239="","",IF(Q239="Sin Factura",0,IFERROR(INDEX(Facturas_Odoo!$H:$H, MATCH(Q239, Facturas_Odoo!$B:$B, 0)), 0)*(1-AG239)))</f>
        <v/>
      </c>
      <c r="AJ239" s="81">
        <f>IF(AN239="","",_xlfn.LET(idVenta, AN239&amp;"",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9" s="81">
        <f>IF(AN239="","",AH239-AJ239)</f>
        <v/>
      </c>
      <c r="AL239" s="81">
        <f>IF(AN239="","",IF(Q239="Sin Factura","",AI239-AJ239))</f>
        <v/>
      </c>
      <c r="AM239" s="81">
        <f>IF(AN239="","",IF(Q239="Sin Factura",0,P239-IFERROR(INDEX(Facturas_Odoo!$H:$H, MATCH(Q239, Facturas_Odoo!$B:$B, 0)), 0)))</f>
        <v/>
      </c>
      <c r="AN239" s="79">
        <f>IF(AND(A239="", J239=""), "", IF(A239&lt;&gt;"", VALUE(MID(A239,2,LEN(A239))), AN238))</f>
        <v/>
      </c>
      <c r="AO239" s="79">
        <f>IF(AN239="","",IF(AD239=0,"OK",_xlfn.LET(monedaPago, IF(AA239="","USD",AA239), limitePermitido, IFERROR(VLOOKUP(monedaPago, Configuración!$A$2:$B$3, 2, FALSE), 0.15), IF(AD239&gt;limitePermitido, "ALERTA: EXCESO (" &amp; TEXT(limitePermitido, "0%") &amp; " máx)", "OK"))))</f>
        <v/>
      </c>
      <c r="AP239" s="79">
        <f>IF(AN239="","",IF(AE239=0,"OK",_xlfn.LET(fechaPago, Z239, fechaFactura, R239, diasCredito, IF(E239="Pago inmediato", 0, IFERROR(VALUE(MID(E239, 1, SEARCH(" ", E239)-1)),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9" s="79">
        <f>IF(AN239="","",IF(AND(N239&gt;0, AG239&gt;0), IF(Configuración!$K$2="NO", "ALERTA: DESCUENTO DOBLE NO PERMITIDO", "OK"), "OK"))</f>
        <v/>
      </c>
      <c r="AR239" s="79">
        <f>IF(AN239="","",IF(OR(AO239&lt;&gt;"OK", AP239&lt;&gt;"OK", AQ239&lt;&gt;"OK"), "⚠️ REVISAR", "OK"))</f>
        <v/>
      </c>
    </row>
    <row r="240">
      <c r="A240" s="79">
        <f>IF('Ordenes_Odoo'!A240="","",'Ordenes_Odoo'!A240)</f>
        <v/>
      </c>
      <c r="B240" s="80">
        <f>IF('Ordenes_Odoo'!B240="","",'Ordenes_Odoo'!B240)</f>
        <v/>
      </c>
      <c r="C240" s="79">
        <f>IF('Ordenes_Odoo'!C240="","",'Ordenes_Odoo'!C240)</f>
        <v/>
      </c>
      <c r="D240" s="79">
        <f>IF('Ordenes_Odoo'!D240="","",'Ordenes_Odoo'!D240)</f>
        <v/>
      </c>
      <c r="E240" s="79">
        <f>IF('Ordenes_Odoo'!E240="","",'Ordenes_Odoo'!E240)</f>
        <v/>
      </c>
      <c r="F240" s="79">
        <f>IF('Ordenes_Odoo'!F240="","",'Ordenes_Odoo'!F240)</f>
        <v/>
      </c>
      <c r="G240" s="79">
        <f>IF('Ordenes_Odoo'!G240="","",'Ordenes_Odoo'!G240)</f>
        <v/>
      </c>
      <c r="H240" s="79">
        <f>IF('Ordenes_Odoo'!H240="","",'Ordenes_Odoo'!H240)</f>
        <v/>
      </c>
      <c r="I240" s="79">
        <f>IF('Ordenes_Odoo'!I240="","",'Ordenes_Odoo'!I240)</f>
        <v/>
      </c>
      <c r="J240" s="79">
        <f>IF('Ordenes_Odoo'!J240="","",'Ordenes_Odoo'!J240)</f>
        <v/>
      </c>
      <c r="K240" s="81">
        <f>IF('Ordenes_Odoo'!K240="","",'Ordenes_Odoo'!K240)</f>
        <v/>
      </c>
      <c r="L240" s="81">
        <f>IF('Ordenes_Odoo'!L240="","",'Ordenes_Odoo'!L240)</f>
        <v/>
      </c>
      <c r="M240" s="79">
        <f>IF('Ordenes_Odoo'!M240="","",'Ordenes_Odoo'!M240)</f>
        <v/>
      </c>
      <c r="N240" s="79">
        <f>IF('Ordenes_Odoo'!N240="","",'Ordenes_Odoo'!N240)</f>
        <v/>
      </c>
      <c r="O240" s="81">
        <f>IF('Ordenes_Odoo'!O240="","",'Ordenes_Odoo'!O240)</f>
        <v/>
      </c>
      <c r="P240" s="81">
        <f>IF('Ordenes_Odoo'!P240="","",'Ordenes_Odoo'!P240)</f>
        <v/>
      </c>
      <c r="Q240" s="79">
        <f>IF(A240="","",IFERROR(INDEX(Facturas_Odoo!$B:$B, MATCH(A240, Facturas_Odoo!$D:$D, 0)), "Sin Factura"))</f>
        <v/>
      </c>
      <c r="R240" s="80">
        <f>IF(Q240="Sin Factura","",IFERROR(INDEX(Facturas_Odoo!$A:$A, MATCH(Q240, Facturas_Odoo!$B:$B, 0)), ""))</f>
        <v/>
      </c>
      <c r="S240" s="79">
        <f>IF(Q240="Sin Factura","",IFERROR(_xlfn.XLOOKUP(1, (Facturas_Odoo!$D:$D=A240) * (Facturas_Odoo!$K:$K=I240), Facturas_Odoo!$L:$L, ""), ""))</f>
        <v/>
      </c>
      <c r="T240" s="81">
        <f>IF(Q240="Sin Factura",0,IFERROR(_xlfn.XLOOKUP(1, (Facturas_Odoo!$D:$D=A240) * (Facturas_Odoo!$K:$K=I240), Facturas_Odoo!$M:$M, 0), 0))</f>
        <v/>
      </c>
      <c r="U240" s="79">
        <f>IF(Q240="Sin Factura",0,IFERROR(_xlfn.XLOOKUP(1, (Facturas_Odoo!$D:$D=A240) * (Facturas_Odoo!$K:$K=I240), Facturas_Odoo!$N:$N, 0), 0))</f>
        <v/>
      </c>
      <c r="V240" s="79">
        <f>IF(Q240="Sin Factura",0,IFERROR(_xlfn.XLOOKUP(1, (Facturas_Odoo!$D:$D=A240) * (Facturas_Odoo!$K:$K=I240), Facturas_Odoo!$O:$O, 0), 0))</f>
        <v/>
      </c>
      <c r="W240" s="81">
        <f>IF(Q240="Sin Factura",0,IFERROR(_xlfn.XLOOKUP(1, (Facturas_Odoo!$D:$D=A240) * (Facturas_Odoo!$K:$K=I240), Facturas_Odoo!$Q:$Q, 0), 0))</f>
        <v/>
      </c>
      <c r="X240" s="79">
        <f>IF(OR(Q240="Sin Factura",Q240=""),"",IFERROR(INDEX(Pagos_Odoo!$B:$B, MATCH(Q240, Pagos_Odoo!$I:$I, 0)), "Sin Pago"))</f>
        <v/>
      </c>
      <c r="Y240" s="79">
        <f>IF(X240="Sin Pago","",IFERROR(INDEX(Pagos_Odoo!$C:$C, MATCH(X240, Pagos_Odoo!$B:$B, 0)), ""))</f>
        <v/>
      </c>
      <c r="Z240" s="80">
        <f>IF(X240="Sin Pago","",IFERROR(INDEX(Pagos_Odoo!$A:$A, MATCH(X240, Pagos_Odoo!$B:$B, 0)), ""))</f>
        <v/>
      </c>
      <c r="AA240" s="79">
        <f>IF(X240="Sin Pago","",IFERROR(INDEX(Pagos_Odoo!$F:$F, MATCH(X240, Pagos_Odoo!$B:$B, 0)), ""))</f>
        <v/>
      </c>
      <c r="AB240" s="81">
        <f>IF(X240="Sin Pago",0,IFERROR(INDEX(Pagos_Odoo!$E:$E, MATCH(X240, Pagos_Odoo!$B:$B, 0)), 0))</f>
        <v/>
      </c>
      <c r="AC240" s="79">
        <f>IF(X240="Sin Pago","",IFERROR(INDEX(Pagos_Odoo!$G:$G, MATCH(X240, Pagos_Odoo!$B:$B, 0)), ""))</f>
        <v/>
      </c>
      <c r="AD240" s="82" t="n">
        <v>0</v>
      </c>
      <c r="AE240" s="82" t="n"/>
      <c r="AF240" s="82" t="n"/>
      <c r="AG240" s="82">
        <f>IF(AN240="","",AD240+AE240+AF240)</f>
        <v/>
      </c>
      <c r="AH240" s="81">
        <f>IF(AN240="","",P240*(1-AG240))</f>
        <v/>
      </c>
      <c r="AI240" s="81">
        <f>IF(AN240="","",IF(Q240="Sin Factura",0,IFERROR(INDEX(Facturas_Odoo!$H:$H, MATCH(Q240, Facturas_Odoo!$B:$B, 0)), 0)*(1-AG240)))</f>
        <v/>
      </c>
      <c r="AJ240" s="81">
        <f>IF(AN240="","",_xlfn.LET(idVenta, AN240&amp;"",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0" s="81">
        <f>IF(AN240="","",AH240-AJ240)</f>
        <v/>
      </c>
      <c r="AL240" s="81">
        <f>IF(AN240="","",IF(Q240="Sin Factura","",AI240-AJ240))</f>
        <v/>
      </c>
      <c r="AM240" s="81">
        <f>IF(AN240="","",IF(Q240="Sin Factura",0,P240-IFERROR(INDEX(Facturas_Odoo!$H:$H, MATCH(Q240, Facturas_Odoo!$B:$B, 0)), 0)))</f>
        <v/>
      </c>
      <c r="AN240" s="79">
        <f>IF(AND(A240="", J240=""), "", IF(A240&lt;&gt;"", VALUE(MID(A240,2,LEN(A240))), AN239))</f>
        <v/>
      </c>
      <c r="AO240" s="79">
        <f>IF(AN240="","",IF(AD240=0,"OK",_xlfn.LET(monedaPago, IF(AA240="","USD",AA240), limitePermitido, IFERROR(VLOOKUP(monedaPago, Configuración!$A$2:$B$3, 2, FALSE), 0.15), IF(AD240&gt;limitePermitido, "ALERTA: EXCESO (" &amp; TEXT(limitePermitido, "0%") &amp; " máx)", "OK"))))</f>
        <v/>
      </c>
      <c r="AP240" s="79">
        <f>IF(AN240="","",IF(AE240=0,"OK",_xlfn.LET(fechaPago, Z240, fechaFactura, R240, diasCredito, IF(E240="Pago inmediato", 0, IFERROR(VALUE(MID(E240, 1, SEARCH(" ", E240)-1)),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0" s="79">
        <f>IF(AN240="","",IF(AND(N240&gt;0, AG240&gt;0), IF(Configuración!$K$2="NO", "ALERTA: DESCUENTO DOBLE NO PERMITIDO", "OK"), "OK"))</f>
        <v/>
      </c>
      <c r="AR240" s="79">
        <f>IF(AN240="","",IF(OR(AO240&lt;&gt;"OK", AP240&lt;&gt;"OK", AQ240&lt;&gt;"OK"), "⚠️ REVISAR", "OK"))</f>
        <v/>
      </c>
    </row>
    <row r="241">
      <c r="A241" s="79">
        <f>IF('Ordenes_Odoo'!A241="","",'Ordenes_Odoo'!A241)</f>
        <v/>
      </c>
      <c r="B241" s="80">
        <f>IF('Ordenes_Odoo'!B241="","",'Ordenes_Odoo'!B241)</f>
        <v/>
      </c>
      <c r="C241" s="79">
        <f>IF('Ordenes_Odoo'!C241="","",'Ordenes_Odoo'!C241)</f>
        <v/>
      </c>
      <c r="D241" s="79">
        <f>IF('Ordenes_Odoo'!D241="","",'Ordenes_Odoo'!D241)</f>
        <v/>
      </c>
      <c r="E241" s="79">
        <f>IF('Ordenes_Odoo'!E241="","",'Ordenes_Odoo'!E241)</f>
        <v/>
      </c>
      <c r="F241" s="79">
        <f>IF('Ordenes_Odoo'!F241="","",'Ordenes_Odoo'!F241)</f>
        <v/>
      </c>
      <c r="G241" s="79">
        <f>IF('Ordenes_Odoo'!G241="","",'Ordenes_Odoo'!G241)</f>
        <v/>
      </c>
      <c r="H241" s="79">
        <f>IF('Ordenes_Odoo'!H241="","",'Ordenes_Odoo'!H241)</f>
        <v/>
      </c>
      <c r="I241" s="79">
        <f>IF('Ordenes_Odoo'!I241="","",'Ordenes_Odoo'!I241)</f>
        <v/>
      </c>
      <c r="J241" s="79">
        <f>IF('Ordenes_Odoo'!J241="","",'Ordenes_Odoo'!J241)</f>
        <v/>
      </c>
      <c r="K241" s="81">
        <f>IF('Ordenes_Odoo'!K241="","",'Ordenes_Odoo'!K241)</f>
        <v/>
      </c>
      <c r="L241" s="81">
        <f>IF('Ordenes_Odoo'!L241="","",'Ordenes_Odoo'!L241)</f>
        <v/>
      </c>
      <c r="M241" s="79">
        <f>IF('Ordenes_Odoo'!M241="","",'Ordenes_Odoo'!M241)</f>
        <v/>
      </c>
      <c r="N241" s="79">
        <f>IF('Ordenes_Odoo'!N241="","",'Ordenes_Odoo'!N241)</f>
        <v/>
      </c>
      <c r="O241" s="81">
        <f>IF('Ordenes_Odoo'!O241="","",'Ordenes_Odoo'!O241)</f>
        <v/>
      </c>
      <c r="P241" s="81">
        <f>IF('Ordenes_Odoo'!P241="","",'Ordenes_Odoo'!P241)</f>
        <v/>
      </c>
      <c r="Q241" s="79">
        <f>IF(A241="","",IFERROR(INDEX(Facturas_Odoo!$B:$B, MATCH(A241, Facturas_Odoo!$D:$D, 0)), "Sin Factura"))</f>
        <v/>
      </c>
      <c r="R241" s="80">
        <f>IF(Q241="Sin Factura","",IFERROR(INDEX(Facturas_Odoo!$A:$A, MATCH(Q241, Facturas_Odoo!$B:$B, 0)), ""))</f>
        <v/>
      </c>
      <c r="S241" s="79">
        <f>IF(Q241="Sin Factura","",IFERROR(_xlfn.XLOOKUP(1, (Facturas_Odoo!$D:$D=A241) * (Facturas_Odoo!$K:$K=I241), Facturas_Odoo!$L:$L, ""), ""))</f>
        <v/>
      </c>
      <c r="T241" s="81">
        <f>IF(Q241="Sin Factura",0,IFERROR(_xlfn.XLOOKUP(1, (Facturas_Odoo!$D:$D=A241) * (Facturas_Odoo!$K:$K=I241), Facturas_Odoo!$M:$M, 0), 0))</f>
        <v/>
      </c>
      <c r="U241" s="79">
        <f>IF(Q241="Sin Factura",0,IFERROR(_xlfn.XLOOKUP(1, (Facturas_Odoo!$D:$D=A241) * (Facturas_Odoo!$K:$K=I241), Facturas_Odoo!$N:$N, 0), 0))</f>
        <v/>
      </c>
      <c r="V241" s="79">
        <f>IF(Q241="Sin Factura",0,IFERROR(_xlfn.XLOOKUP(1, (Facturas_Odoo!$D:$D=A241) * (Facturas_Odoo!$K:$K=I241), Facturas_Odoo!$O:$O, 0), 0))</f>
        <v/>
      </c>
      <c r="W241" s="81">
        <f>IF(Q241="Sin Factura",0,IFERROR(_xlfn.XLOOKUP(1, (Facturas_Odoo!$D:$D=A241) * (Facturas_Odoo!$K:$K=I241), Facturas_Odoo!$Q:$Q, 0), 0))</f>
        <v/>
      </c>
      <c r="X241" s="79">
        <f>IF(OR(Q241="Sin Factura",Q241=""),"",IFERROR(INDEX(Pagos_Odoo!$B:$B, MATCH(Q241, Pagos_Odoo!$I:$I, 0)), "Sin Pago"))</f>
        <v/>
      </c>
      <c r="Y241" s="79">
        <f>IF(X241="Sin Pago","",IFERROR(INDEX(Pagos_Odoo!$C:$C, MATCH(X241, Pagos_Odoo!$B:$B, 0)), ""))</f>
        <v/>
      </c>
      <c r="Z241" s="80">
        <f>IF(X241="Sin Pago","",IFERROR(INDEX(Pagos_Odoo!$A:$A, MATCH(X241, Pagos_Odoo!$B:$B, 0)), ""))</f>
        <v/>
      </c>
      <c r="AA241" s="79">
        <f>IF(X241="Sin Pago","",IFERROR(INDEX(Pagos_Odoo!$F:$F, MATCH(X241, Pagos_Odoo!$B:$B, 0)), ""))</f>
        <v/>
      </c>
      <c r="AB241" s="81">
        <f>IF(X241="Sin Pago",0,IFERROR(INDEX(Pagos_Odoo!$E:$E, MATCH(X241, Pagos_Odoo!$B:$B, 0)), 0))</f>
        <v/>
      </c>
      <c r="AC241" s="79">
        <f>IF(X241="Sin Pago","",IFERROR(INDEX(Pagos_Odoo!$G:$G, MATCH(X241, Pagos_Odoo!$B:$B, 0)), ""))</f>
        <v/>
      </c>
      <c r="AD241" s="82" t="n">
        <v>0</v>
      </c>
      <c r="AE241" s="82" t="n"/>
      <c r="AF241" s="82" t="n"/>
      <c r="AG241" s="82">
        <f>IF(AN241="","",AD241+AE241+AF241)</f>
        <v/>
      </c>
      <c r="AH241" s="81">
        <f>IF(AN241="","",P241*(1-AG241))</f>
        <v/>
      </c>
      <c r="AI241" s="81">
        <f>IF(AN241="","",IF(Q241="Sin Factura",0,IFERROR(INDEX(Facturas_Odoo!$H:$H, MATCH(Q241, Facturas_Odoo!$B:$B, 0)), 0)*(1-AG241)))</f>
        <v/>
      </c>
      <c r="AJ241" s="81">
        <f>IF(AN241="","",_xlfn.LET(idVenta, AN241&amp;"",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1" s="81">
        <f>IF(AN241="","",AH241-AJ241)</f>
        <v/>
      </c>
      <c r="AL241" s="81">
        <f>IF(AN241="","",IF(Q241="Sin Factura","",AI241-AJ241))</f>
        <v/>
      </c>
      <c r="AM241" s="81">
        <f>IF(AN241="","",IF(Q241="Sin Factura",0,P241-IFERROR(INDEX(Facturas_Odoo!$H:$H, MATCH(Q241, Facturas_Odoo!$B:$B, 0)), 0)))</f>
        <v/>
      </c>
      <c r="AN241" s="79">
        <f>IF(AND(A241="", J241=""), "", IF(A241&lt;&gt;"", VALUE(MID(A241,2,LEN(A241))), AN240))</f>
        <v/>
      </c>
      <c r="AO241" s="79">
        <f>IF(AN241="","",IF(AD241=0,"OK",_xlfn.LET(monedaPago, IF(AA241="","USD",AA241), limitePermitido, IFERROR(VLOOKUP(monedaPago, Configuración!$A$2:$B$3, 2, FALSE), 0.15), IF(AD241&gt;limitePermitido, "ALERTA: EXCESO (" &amp; TEXT(limitePermitido, "0%") &amp; " máx)", "OK"))))</f>
        <v/>
      </c>
      <c r="AP241" s="79">
        <f>IF(AN241="","",IF(AE241=0,"OK",_xlfn.LET(fechaPago, Z241, fechaFactura, R241, diasCredito, IF(E241="Pago inmediato", 0, IFERROR(VALUE(MID(E241, 1, SEARCH(" ", E241)-1)),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1" s="79">
        <f>IF(AN241="","",IF(AND(N241&gt;0, AG241&gt;0), IF(Configuración!$K$2="NO", "ALERTA: DESCUENTO DOBLE NO PERMITIDO", "OK"), "OK"))</f>
        <v/>
      </c>
      <c r="AR241" s="79">
        <f>IF(AN241="","",IF(OR(AO241&lt;&gt;"OK", AP241&lt;&gt;"OK", AQ241&lt;&gt;"OK"), "⚠️ REVISAR", "OK"))</f>
        <v/>
      </c>
    </row>
    <row r="242">
      <c r="A242" s="79">
        <f>IF('Ordenes_Odoo'!A242="","",'Ordenes_Odoo'!A242)</f>
        <v/>
      </c>
      <c r="B242" s="80">
        <f>IF('Ordenes_Odoo'!B242="","",'Ordenes_Odoo'!B242)</f>
        <v/>
      </c>
      <c r="C242" s="79">
        <f>IF('Ordenes_Odoo'!C242="","",'Ordenes_Odoo'!C242)</f>
        <v/>
      </c>
      <c r="D242" s="79">
        <f>IF('Ordenes_Odoo'!D242="","",'Ordenes_Odoo'!D242)</f>
        <v/>
      </c>
      <c r="E242" s="79">
        <f>IF('Ordenes_Odoo'!E242="","",'Ordenes_Odoo'!E242)</f>
        <v/>
      </c>
      <c r="F242" s="79">
        <f>IF('Ordenes_Odoo'!F242="","",'Ordenes_Odoo'!F242)</f>
        <v/>
      </c>
      <c r="G242" s="79">
        <f>IF('Ordenes_Odoo'!G242="","",'Ordenes_Odoo'!G242)</f>
        <v/>
      </c>
      <c r="H242" s="79">
        <f>IF('Ordenes_Odoo'!H242="","",'Ordenes_Odoo'!H242)</f>
        <v/>
      </c>
      <c r="I242" s="79">
        <f>IF('Ordenes_Odoo'!I242="","",'Ordenes_Odoo'!I242)</f>
        <v/>
      </c>
      <c r="J242" s="79">
        <f>IF('Ordenes_Odoo'!J242="","",'Ordenes_Odoo'!J242)</f>
        <v/>
      </c>
      <c r="K242" s="81">
        <f>IF('Ordenes_Odoo'!K242="","",'Ordenes_Odoo'!K242)</f>
        <v/>
      </c>
      <c r="L242" s="81">
        <f>IF('Ordenes_Odoo'!L242="","",'Ordenes_Odoo'!L242)</f>
        <v/>
      </c>
      <c r="M242" s="79">
        <f>IF('Ordenes_Odoo'!M242="","",'Ordenes_Odoo'!M242)</f>
        <v/>
      </c>
      <c r="N242" s="79">
        <f>IF('Ordenes_Odoo'!N242="","",'Ordenes_Odoo'!N242)</f>
        <v/>
      </c>
      <c r="O242" s="81">
        <f>IF('Ordenes_Odoo'!O242="","",'Ordenes_Odoo'!O242)</f>
        <v/>
      </c>
      <c r="P242" s="81">
        <f>IF('Ordenes_Odoo'!P242="","",'Ordenes_Odoo'!P242)</f>
        <v/>
      </c>
      <c r="Q242" s="79">
        <f>IF(A242="","",IFERROR(INDEX(Facturas_Odoo!$B:$B, MATCH(A242, Facturas_Odoo!$D:$D, 0)), "Sin Factura"))</f>
        <v/>
      </c>
      <c r="R242" s="80">
        <f>IF(Q242="Sin Factura","",IFERROR(INDEX(Facturas_Odoo!$A:$A, MATCH(Q242, Facturas_Odoo!$B:$B, 0)), ""))</f>
        <v/>
      </c>
      <c r="S242" s="79">
        <f>IF(Q242="Sin Factura","",IFERROR(_xlfn.XLOOKUP(1, (Facturas_Odoo!$D:$D=A242) * (Facturas_Odoo!$K:$K=I242), Facturas_Odoo!$L:$L, ""), ""))</f>
        <v/>
      </c>
      <c r="T242" s="81">
        <f>IF(Q242="Sin Factura",0,IFERROR(_xlfn.XLOOKUP(1, (Facturas_Odoo!$D:$D=A242) * (Facturas_Odoo!$K:$K=I242), Facturas_Odoo!$M:$M, 0), 0))</f>
        <v/>
      </c>
      <c r="U242" s="79">
        <f>IF(Q242="Sin Factura",0,IFERROR(_xlfn.XLOOKUP(1, (Facturas_Odoo!$D:$D=A242) * (Facturas_Odoo!$K:$K=I242), Facturas_Odoo!$N:$N, 0), 0))</f>
        <v/>
      </c>
      <c r="V242" s="79">
        <f>IF(Q242="Sin Factura",0,IFERROR(_xlfn.XLOOKUP(1, (Facturas_Odoo!$D:$D=A242) * (Facturas_Odoo!$K:$K=I242), Facturas_Odoo!$O:$O, 0), 0))</f>
        <v/>
      </c>
      <c r="W242" s="81">
        <f>IF(Q242="Sin Factura",0,IFERROR(_xlfn.XLOOKUP(1, (Facturas_Odoo!$D:$D=A242) * (Facturas_Odoo!$K:$K=I242), Facturas_Odoo!$Q:$Q, 0), 0))</f>
        <v/>
      </c>
      <c r="X242" s="79">
        <f>IF(OR(Q242="Sin Factura",Q242=""),"",IFERROR(INDEX(Pagos_Odoo!$B:$B, MATCH(Q242, Pagos_Odoo!$I:$I, 0)), "Sin Pago"))</f>
        <v/>
      </c>
      <c r="Y242" s="79">
        <f>IF(X242="Sin Pago","",IFERROR(INDEX(Pagos_Odoo!$C:$C, MATCH(X242, Pagos_Odoo!$B:$B, 0)), ""))</f>
        <v/>
      </c>
      <c r="Z242" s="80">
        <f>IF(X242="Sin Pago","",IFERROR(INDEX(Pagos_Odoo!$A:$A, MATCH(X242, Pagos_Odoo!$B:$B, 0)), ""))</f>
        <v/>
      </c>
      <c r="AA242" s="79">
        <f>IF(X242="Sin Pago","",IFERROR(INDEX(Pagos_Odoo!$F:$F, MATCH(X242, Pagos_Odoo!$B:$B, 0)), ""))</f>
        <v/>
      </c>
      <c r="AB242" s="81">
        <f>IF(X242="Sin Pago",0,IFERROR(INDEX(Pagos_Odoo!$E:$E, MATCH(X242, Pagos_Odoo!$B:$B, 0)), 0))</f>
        <v/>
      </c>
      <c r="AC242" s="79">
        <f>IF(X242="Sin Pago","",IFERROR(INDEX(Pagos_Odoo!$G:$G, MATCH(X242, Pagos_Odoo!$B:$B, 0)), ""))</f>
        <v/>
      </c>
      <c r="AD242" s="82" t="n">
        <v>0</v>
      </c>
      <c r="AE242" s="82" t="n"/>
      <c r="AF242" s="82" t="n"/>
      <c r="AG242" s="82">
        <f>IF(AN242="","",AD242+AE242+AF242)</f>
        <v/>
      </c>
      <c r="AH242" s="81">
        <f>IF(AN242="","",P242*(1-AG242))</f>
        <v/>
      </c>
      <c r="AI242" s="81">
        <f>IF(AN242="","",IF(Q242="Sin Factura",0,IFERROR(INDEX(Facturas_Odoo!$H:$H, MATCH(Q242, Facturas_Odoo!$B:$B, 0)), 0)*(1-AG242)))</f>
        <v/>
      </c>
      <c r="AJ242" s="81">
        <f>IF(AN242="","",_xlfn.LET(idVenta, AN242&amp;"",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2" s="81">
        <f>IF(AN242="","",AH242-AJ242)</f>
        <v/>
      </c>
      <c r="AL242" s="81">
        <f>IF(AN242="","",IF(Q242="Sin Factura","",AI242-AJ242))</f>
        <v/>
      </c>
      <c r="AM242" s="81">
        <f>IF(AN242="","",IF(Q242="Sin Factura",0,P242-IFERROR(INDEX(Facturas_Odoo!$H:$H, MATCH(Q242, Facturas_Odoo!$B:$B, 0)), 0)))</f>
        <v/>
      </c>
      <c r="AN242" s="79">
        <f>IF(AND(A242="", J242=""), "", IF(A242&lt;&gt;"", VALUE(MID(A242,2,LEN(A242))), AN241))</f>
        <v/>
      </c>
      <c r="AO242" s="79">
        <f>IF(AN242="","",IF(AD242=0,"OK",_xlfn.LET(monedaPago, IF(AA242="","USD",AA242), limitePermitido, IFERROR(VLOOKUP(monedaPago, Configuración!$A$2:$B$3, 2, FALSE), 0.15), IF(AD242&gt;limitePermitido, "ALERTA: EXCESO (" &amp; TEXT(limitePermitido, "0%") &amp; " máx)", "OK"))))</f>
        <v/>
      </c>
      <c r="AP242" s="79">
        <f>IF(AN242="","",IF(AE242=0,"OK",_xlfn.LET(fechaPago, Z242, fechaFactura, R242, diasCredito, IF(E242="Pago inmediato", 0, IFERROR(VALUE(MID(E242, 1, SEARCH(" ", E242)-1)),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2" s="79">
        <f>IF(AN242="","",IF(AND(N242&gt;0, AG242&gt;0), IF(Configuración!$K$2="NO", "ALERTA: DESCUENTO DOBLE NO PERMITIDO", "OK"), "OK"))</f>
        <v/>
      </c>
      <c r="AR242" s="79">
        <f>IF(AN242="","",IF(OR(AO242&lt;&gt;"OK", AP242&lt;&gt;"OK", AQ242&lt;&gt;"OK"), "⚠️ REVISAR", "OK"))</f>
        <v/>
      </c>
    </row>
    <row r="243">
      <c r="A243" s="79">
        <f>IF('Ordenes_Odoo'!A243="","",'Ordenes_Odoo'!A243)</f>
        <v/>
      </c>
      <c r="B243" s="80">
        <f>IF('Ordenes_Odoo'!B243="","",'Ordenes_Odoo'!B243)</f>
        <v/>
      </c>
      <c r="C243" s="79">
        <f>IF('Ordenes_Odoo'!C243="","",'Ordenes_Odoo'!C243)</f>
        <v/>
      </c>
      <c r="D243" s="79">
        <f>IF('Ordenes_Odoo'!D243="","",'Ordenes_Odoo'!D243)</f>
        <v/>
      </c>
      <c r="E243" s="79">
        <f>IF('Ordenes_Odoo'!E243="","",'Ordenes_Odoo'!E243)</f>
        <v/>
      </c>
      <c r="F243" s="79">
        <f>IF('Ordenes_Odoo'!F243="","",'Ordenes_Odoo'!F243)</f>
        <v/>
      </c>
      <c r="G243" s="79">
        <f>IF('Ordenes_Odoo'!G243="","",'Ordenes_Odoo'!G243)</f>
        <v/>
      </c>
      <c r="H243" s="79">
        <f>IF('Ordenes_Odoo'!H243="","",'Ordenes_Odoo'!H243)</f>
        <v/>
      </c>
      <c r="I243" s="79">
        <f>IF('Ordenes_Odoo'!I243="","",'Ordenes_Odoo'!I243)</f>
        <v/>
      </c>
      <c r="J243" s="79">
        <f>IF('Ordenes_Odoo'!J243="","",'Ordenes_Odoo'!J243)</f>
        <v/>
      </c>
      <c r="K243" s="81">
        <f>IF('Ordenes_Odoo'!K243="","",'Ordenes_Odoo'!K243)</f>
        <v/>
      </c>
      <c r="L243" s="81">
        <f>IF('Ordenes_Odoo'!L243="","",'Ordenes_Odoo'!L243)</f>
        <v/>
      </c>
      <c r="M243" s="79">
        <f>IF('Ordenes_Odoo'!M243="","",'Ordenes_Odoo'!M243)</f>
        <v/>
      </c>
      <c r="N243" s="79">
        <f>IF('Ordenes_Odoo'!N243="","",'Ordenes_Odoo'!N243)</f>
        <v/>
      </c>
      <c r="O243" s="81">
        <f>IF('Ordenes_Odoo'!O243="","",'Ordenes_Odoo'!O243)</f>
        <v/>
      </c>
      <c r="P243" s="81">
        <f>IF('Ordenes_Odoo'!P243="","",'Ordenes_Odoo'!P243)</f>
        <v/>
      </c>
      <c r="Q243" s="79">
        <f>IF(A243="","",IFERROR(INDEX(Facturas_Odoo!$B:$B, MATCH(A243, Facturas_Odoo!$D:$D, 0)), "Sin Factura"))</f>
        <v/>
      </c>
      <c r="R243" s="80">
        <f>IF(Q243="Sin Factura","",IFERROR(INDEX(Facturas_Odoo!$A:$A, MATCH(Q243, Facturas_Odoo!$B:$B, 0)), ""))</f>
        <v/>
      </c>
      <c r="S243" s="79">
        <f>IF(Q243="Sin Factura","",IFERROR(_xlfn.XLOOKUP(1, (Facturas_Odoo!$D:$D=A243) * (Facturas_Odoo!$K:$K=I243), Facturas_Odoo!$L:$L, ""), ""))</f>
        <v/>
      </c>
      <c r="T243" s="81">
        <f>IF(Q243="Sin Factura",0,IFERROR(_xlfn.XLOOKUP(1, (Facturas_Odoo!$D:$D=A243) * (Facturas_Odoo!$K:$K=I243), Facturas_Odoo!$M:$M, 0), 0))</f>
        <v/>
      </c>
      <c r="U243" s="79">
        <f>IF(Q243="Sin Factura",0,IFERROR(_xlfn.XLOOKUP(1, (Facturas_Odoo!$D:$D=A243) * (Facturas_Odoo!$K:$K=I243), Facturas_Odoo!$N:$N, 0), 0))</f>
        <v/>
      </c>
      <c r="V243" s="79">
        <f>IF(Q243="Sin Factura",0,IFERROR(_xlfn.XLOOKUP(1, (Facturas_Odoo!$D:$D=A243) * (Facturas_Odoo!$K:$K=I243), Facturas_Odoo!$O:$O, 0), 0))</f>
        <v/>
      </c>
      <c r="W243" s="81">
        <f>IF(Q243="Sin Factura",0,IFERROR(_xlfn.XLOOKUP(1, (Facturas_Odoo!$D:$D=A243) * (Facturas_Odoo!$K:$K=I243), Facturas_Odoo!$Q:$Q, 0), 0))</f>
        <v/>
      </c>
      <c r="X243" s="79">
        <f>IF(OR(Q243="Sin Factura",Q243=""),"",IFERROR(INDEX(Pagos_Odoo!$B:$B, MATCH(Q243, Pagos_Odoo!$I:$I, 0)), "Sin Pago"))</f>
        <v/>
      </c>
      <c r="Y243" s="79">
        <f>IF(X243="Sin Pago","",IFERROR(INDEX(Pagos_Odoo!$C:$C, MATCH(X243, Pagos_Odoo!$B:$B, 0)), ""))</f>
        <v/>
      </c>
      <c r="Z243" s="80">
        <f>IF(X243="Sin Pago","",IFERROR(INDEX(Pagos_Odoo!$A:$A, MATCH(X243, Pagos_Odoo!$B:$B, 0)), ""))</f>
        <v/>
      </c>
      <c r="AA243" s="79">
        <f>IF(X243="Sin Pago","",IFERROR(INDEX(Pagos_Odoo!$F:$F, MATCH(X243, Pagos_Odoo!$B:$B, 0)), ""))</f>
        <v/>
      </c>
      <c r="AB243" s="81">
        <f>IF(X243="Sin Pago",0,IFERROR(INDEX(Pagos_Odoo!$E:$E, MATCH(X243, Pagos_Odoo!$B:$B, 0)), 0))</f>
        <v/>
      </c>
      <c r="AC243" s="79">
        <f>IF(X243="Sin Pago","",IFERROR(INDEX(Pagos_Odoo!$G:$G, MATCH(X243, Pagos_Odoo!$B:$B, 0)), ""))</f>
        <v/>
      </c>
      <c r="AD243" s="82" t="n">
        <v>0</v>
      </c>
      <c r="AE243" s="82" t="n"/>
      <c r="AF243" s="82" t="n"/>
      <c r="AG243" s="82">
        <f>IF(AN243="","",AD243+AE243+AF243)</f>
        <v/>
      </c>
      <c r="AH243" s="81">
        <f>IF(AN243="","",P243*(1-AG243))</f>
        <v/>
      </c>
      <c r="AI243" s="81">
        <f>IF(AN243="","",IF(Q243="Sin Factura",0,IFERROR(INDEX(Facturas_Odoo!$H:$H, MATCH(Q243, Facturas_Odoo!$B:$B, 0)), 0)*(1-AG243)))</f>
        <v/>
      </c>
      <c r="AJ243" s="81">
        <f>IF(AN243="","",_xlfn.LET(idVenta, AN243&amp;"",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3" s="81">
        <f>IF(AN243="","",AH243-AJ243)</f>
        <v/>
      </c>
      <c r="AL243" s="81">
        <f>IF(AN243="","",IF(Q243="Sin Factura","",AI243-AJ243))</f>
        <v/>
      </c>
      <c r="AM243" s="81">
        <f>IF(AN243="","",IF(Q243="Sin Factura",0,P243-IFERROR(INDEX(Facturas_Odoo!$H:$H, MATCH(Q243, Facturas_Odoo!$B:$B, 0)), 0)))</f>
        <v/>
      </c>
      <c r="AN243" s="79">
        <f>IF(AND(A243="", J243=""), "", IF(A243&lt;&gt;"", VALUE(MID(A243,2,LEN(A243))), AN242))</f>
        <v/>
      </c>
      <c r="AO243" s="79">
        <f>IF(AN243="","",IF(AD243=0,"OK",_xlfn.LET(monedaPago, IF(AA243="","USD",AA243), limitePermitido, IFERROR(VLOOKUP(monedaPago, Configuración!$A$2:$B$3, 2, FALSE), 0.15), IF(AD243&gt;limitePermitido, "ALERTA: EXCESO (" &amp; TEXT(limitePermitido, "0%") &amp; " máx)", "OK"))))</f>
        <v/>
      </c>
      <c r="AP243" s="79">
        <f>IF(AN243="","",IF(AE243=0,"OK",_xlfn.LET(fechaPago, Z243, fechaFactura, R243, diasCredito, IF(E243="Pago inmediato", 0, IFERROR(VALUE(MID(E243, 1, SEARCH(" ", E243)-1)),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3" s="79">
        <f>IF(AN243="","",IF(AND(N243&gt;0, AG243&gt;0), IF(Configuración!$K$2="NO", "ALERTA: DESCUENTO DOBLE NO PERMITIDO", "OK"), "OK"))</f>
        <v/>
      </c>
      <c r="AR243" s="79">
        <f>IF(AN243="","",IF(OR(AO243&lt;&gt;"OK", AP243&lt;&gt;"OK", AQ243&lt;&gt;"OK"), "⚠️ REVISAR", "OK"))</f>
        <v/>
      </c>
    </row>
    <row r="244">
      <c r="A244" s="79">
        <f>IF('Ordenes_Odoo'!A244="","",'Ordenes_Odoo'!A244)</f>
        <v/>
      </c>
      <c r="B244" s="80">
        <f>IF('Ordenes_Odoo'!B244="","",'Ordenes_Odoo'!B244)</f>
        <v/>
      </c>
      <c r="C244" s="79">
        <f>IF('Ordenes_Odoo'!C244="","",'Ordenes_Odoo'!C244)</f>
        <v/>
      </c>
      <c r="D244" s="79">
        <f>IF('Ordenes_Odoo'!D244="","",'Ordenes_Odoo'!D244)</f>
        <v/>
      </c>
      <c r="E244" s="79">
        <f>IF('Ordenes_Odoo'!E244="","",'Ordenes_Odoo'!E244)</f>
        <v/>
      </c>
      <c r="F244" s="79">
        <f>IF('Ordenes_Odoo'!F244="","",'Ordenes_Odoo'!F244)</f>
        <v/>
      </c>
      <c r="G244" s="79">
        <f>IF('Ordenes_Odoo'!G244="","",'Ordenes_Odoo'!G244)</f>
        <v/>
      </c>
      <c r="H244" s="79">
        <f>IF('Ordenes_Odoo'!H244="","",'Ordenes_Odoo'!H244)</f>
        <v/>
      </c>
      <c r="I244" s="79">
        <f>IF('Ordenes_Odoo'!I244="","",'Ordenes_Odoo'!I244)</f>
        <v/>
      </c>
      <c r="J244" s="79">
        <f>IF('Ordenes_Odoo'!J244="","",'Ordenes_Odoo'!J244)</f>
        <v/>
      </c>
      <c r="K244" s="81">
        <f>IF('Ordenes_Odoo'!K244="","",'Ordenes_Odoo'!K244)</f>
        <v/>
      </c>
      <c r="L244" s="81">
        <f>IF('Ordenes_Odoo'!L244="","",'Ordenes_Odoo'!L244)</f>
        <v/>
      </c>
      <c r="M244" s="79">
        <f>IF('Ordenes_Odoo'!M244="","",'Ordenes_Odoo'!M244)</f>
        <v/>
      </c>
      <c r="N244" s="79">
        <f>IF('Ordenes_Odoo'!N244="","",'Ordenes_Odoo'!N244)</f>
        <v/>
      </c>
      <c r="O244" s="81">
        <f>IF('Ordenes_Odoo'!O244="","",'Ordenes_Odoo'!O244)</f>
        <v/>
      </c>
      <c r="P244" s="81">
        <f>IF('Ordenes_Odoo'!P244="","",'Ordenes_Odoo'!P244)</f>
        <v/>
      </c>
      <c r="Q244" s="79">
        <f>IF(A244="","",IFERROR(INDEX(Facturas_Odoo!$B:$B, MATCH(A244, Facturas_Odoo!$D:$D, 0)), "Sin Factura"))</f>
        <v/>
      </c>
      <c r="R244" s="80">
        <f>IF(Q244="Sin Factura","",IFERROR(INDEX(Facturas_Odoo!$A:$A, MATCH(Q244, Facturas_Odoo!$B:$B, 0)), ""))</f>
        <v/>
      </c>
      <c r="S244" s="79">
        <f>IF(Q244="Sin Factura","",IFERROR(_xlfn.XLOOKUP(1, (Facturas_Odoo!$D:$D=A244) * (Facturas_Odoo!$K:$K=I244), Facturas_Odoo!$L:$L, ""), ""))</f>
        <v/>
      </c>
      <c r="T244" s="81">
        <f>IF(Q244="Sin Factura",0,IFERROR(_xlfn.XLOOKUP(1, (Facturas_Odoo!$D:$D=A244) * (Facturas_Odoo!$K:$K=I244), Facturas_Odoo!$M:$M, 0), 0))</f>
        <v/>
      </c>
      <c r="U244" s="79">
        <f>IF(Q244="Sin Factura",0,IFERROR(_xlfn.XLOOKUP(1, (Facturas_Odoo!$D:$D=A244) * (Facturas_Odoo!$K:$K=I244), Facturas_Odoo!$N:$N, 0), 0))</f>
        <v/>
      </c>
      <c r="V244" s="79">
        <f>IF(Q244="Sin Factura",0,IFERROR(_xlfn.XLOOKUP(1, (Facturas_Odoo!$D:$D=A244) * (Facturas_Odoo!$K:$K=I244), Facturas_Odoo!$O:$O, 0), 0))</f>
        <v/>
      </c>
      <c r="W244" s="81">
        <f>IF(Q244="Sin Factura",0,IFERROR(_xlfn.XLOOKUP(1, (Facturas_Odoo!$D:$D=A244) * (Facturas_Odoo!$K:$K=I244), Facturas_Odoo!$Q:$Q, 0), 0))</f>
        <v/>
      </c>
      <c r="X244" s="79">
        <f>IF(OR(Q244="Sin Factura",Q244=""),"",IFERROR(INDEX(Pagos_Odoo!$B:$B, MATCH(Q244, Pagos_Odoo!$I:$I, 0)), "Sin Pago"))</f>
        <v/>
      </c>
      <c r="Y244" s="79">
        <f>IF(X244="Sin Pago","",IFERROR(INDEX(Pagos_Odoo!$C:$C, MATCH(X244, Pagos_Odoo!$B:$B, 0)), ""))</f>
        <v/>
      </c>
      <c r="Z244" s="80">
        <f>IF(X244="Sin Pago","",IFERROR(INDEX(Pagos_Odoo!$A:$A, MATCH(X244, Pagos_Odoo!$B:$B, 0)), ""))</f>
        <v/>
      </c>
      <c r="AA244" s="79">
        <f>IF(X244="Sin Pago","",IFERROR(INDEX(Pagos_Odoo!$F:$F, MATCH(X244, Pagos_Odoo!$B:$B, 0)), ""))</f>
        <v/>
      </c>
      <c r="AB244" s="81">
        <f>IF(X244="Sin Pago",0,IFERROR(INDEX(Pagos_Odoo!$E:$E, MATCH(X244, Pagos_Odoo!$B:$B, 0)), 0))</f>
        <v/>
      </c>
      <c r="AC244" s="79">
        <f>IF(X244="Sin Pago","",IFERROR(INDEX(Pagos_Odoo!$G:$G, MATCH(X244, Pagos_Odoo!$B:$B, 0)), ""))</f>
        <v/>
      </c>
      <c r="AD244" s="82" t="n">
        <v>0</v>
      </c>
      <c r="AE244" s="82" t="n"/>
      <c r="AF244" s="82" t="n"/>
      <c r="AG244" s="82">
        <f>IF(AN244="","",AD244+AE244+AF244)</f>
        <v/>
      </c>
      <c r="AH244" s="81">
        <f>IF(AN244="","",P244*(1-AG244))</f>
        <v/>
      </c>
      <c r="AI244" s="81">
        <f>IF(AN244="","",IF(Q244="Sin Factura",0,IFERROR(INDEX(Facturas_Odoo!$H:$H, MATCH(Q244, Facturas_Odoo!$B:$B, 0)), 0)*(1-AG244)))</f>
        <v/>
      </c>
      <c r="AJ244" s="81">
        <f>IF(AN244="","",_xlfn.LET(idVenta, AN244&amp;"",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4" s="81">
        <f>IF(AN244="","",AH244-AJ244)</f>
        <v/>
      </c>
      <c r="AL244" s="81">
        <f>IF(AN244="","",IF(Q244="Sin Factura","",AI244-AJ244))</f>
        <v/>
      </c>
      <c r="AM244" s="81">
        <f>IF(AN244="","",IF(Q244="Sin Factura",0,P244-IFERROR(INDEX(Facturas_Odoo!$H:$H, MATCH(Q244, Facturas_Odoo!$B:$B, 0)), 0)))</f>
        <v/>
      </c>
      <c r="AN244" s="79">
        <f>IF(AND(A244="", J244=""), "", IF(A244&lt;&gt;"", VALUE(MID(A244,2,LEN(A244))), AN243))</f>
        <v/>
      </c>
      <c r="AO244" s="79">
        <f>IF(AN244="","",IF(AD244=0,"OK",_xlfn.LET(monedaPago, IF(AA244="","USD",AA244), limitePermitido, IFERROR(VLOOKUP(monedaPago, Configuración!$A$2:$B$3, 2, FALSE), 0.15), IF(AD244&gt;limitePermitido, "ALERTA: EXCESO (" &amp; TEXT(limitePermitido, "0%") &amp; " máx)", "OK"))))</f>
        <v/>
      </c>
      <c r="AP244" s="79">
        <f>IF(AN244="","",IF(AE244=0,"OK",_xlfn.LET(fechaPago, Z244, fechaFactura, R244, diasCredito, IF(E244="Pago inmediato", 0, IFERROR(VALUE(MID(E244, 1, SEARCH(" ", E244)-1)),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4" s="79">
        <f>IF(AN244="","",IF(AND(N244&gt;0, AG244&gt;0), IF(Configuración!$K$2="NO", "ALERTA: DESCUENTO DOBLE NO PERMITIDO", "OK"), "OK"))</f>
        <v/>
      </c>
      <c r="AR244" s="79">
        <f>IF(AN244="","",IF(OR(AO244&lt;&gt;"OK", AP244&lt;&gt;"OK", AQ244&lt;&gt;"OK"), "⚠️ REVISAR", "OK"))</f>
        <v/>
      </c>
    </row>
    <row r="245">
      <c r="A245" s="79">
        <f>IF('Ordenes_Odoo'!A245="","",'Ordenes_Odoo'!A245)</f>
        <v/>
      </c>
      <c r="B245" s="80">
        <f>IF('Ordenes_Odoo'!B245="","",'Ordenes_Odoo'!B245)</f>
        <v/>
      </c>
      <c r="C245" s="79">
        <f>IF('Ordenes_Odoo'!C245="","",'Ordenes_Odoo'!C245)</f>
        <v/>
      </c>
      <c r="D245" s="79">
        <f>IF('Ordenes_Odoo'!D245="","",'Ordenes_Odoo'!D245)</f>
        <v/>
      </c>
      <c r="E245" s="79">
        <f>IF('Ordenes_Odoo'!E245="","",'Ordenes_Odoo'!E245)</f>
        <v/>
      </c>
      <c r="F245" s="79">
        <f>IF('Ordenes_Odoo'!F245="","",'Ordenes_Odoo'!F245)</f>
        <v/>
      </c>
      <c r="G245" s="79">
        <f>IF('Ordenes_Odoo'!G245="","",'Ordenes_Odoo'!G245)</f>
        <v/>
      </c>
      <c r="H245" s="79">
        <f>IF('Ordenes_Odoo'!H245="","",'Ordenes_Odoo'!H245)</f>
        <v/>
      </c>
      <c r="I245" s="79">
        <f>IF('Ordenes_Odoo'!I245="","",'Ordenes_Odoo'!I245)</f>
        <v/>
      </c>
      <c r="J245" s="79">
        <f>IF('Ordenes_Odoo'!J245="","",'Ordenes_Odoo'!J245)</f>
        <v/>
      </c>
      <c r="K245" s="81">
        <f>IF('Ordenes_Odoo'!K245="","",'Ordenes_Odoo'!K245)</f>
        <v/>
      </c>
      <c r="L245" s="81">
        <f>IF('Ordenes_Odoo'!L245="","",'Ordenes_Odoo'!L245)</f>
        <v/>
      </c>
      <c r="M245" s="79">
        <f>IF('Ordenes_Odoo'!M245="","",'Ordenes_Odoo'!M245)</f>
        <v/>
      </c>
      <c r="N245" s="79">
        <f>IF('Ordenes_Odoo'!N245="","",'Ordenes_Odoo'!N245)</f>
        <v/>
      </c>
      <c r="O245" s="81">
        <f>IF('Ordenes_Odoo'!O245="","",'Ordenes_Odoo'!O245)</f>
        <v/>
      </c>
      <c r="P245" s="81">
        <f>IF('Ordenes_Odoo'!P245="","",'Ordenes_Odoo'!P245)</f>
        <v/>
      </c>
      <c r="Q245" s="79">
        <f>IF(A245="","",IFERROR(INDEX(Facturas_Odoo!$B:$B, MATCH(A245, Facturas_Odoo!$D:$D, 0)), "Sin Factura"))</f>
        <v/>
      </c>
      <c r="R245" s="80">
        <f>IF(Q245="Sin Factura","",IFERROR(INDEX(Facturas_Odoo!$A:$A, MATCH(Q245, Facturas_Odoo!$B:$B, 0)), ""))</f>
        <v/>
      </c>
      <c r="S245" s="79">
        <f>IF(Q245="Sin Factura","",IFERROR(_xlfn.XLOOKUP(1, (Facturas_Odoo!$D:$D=A245) * (Facturas_Odoo!$K:$K=I245), Facturas_Odoo!$L:$L, ""), ""))</f>
        <v/>
      </c>
      <c r="T245" s="81">
        <f>IF(Q245="Sin Factura",0,IFERROR(_xlfn.XLOOKUP(1, (Facturas_Odoo!$D:$D=A245) * (Facturas_Odoo!$K:$K=I245), Facturas_Odoo!$M:$M, 0), 0))</f>
        <v/>
      </c>
      <c r="U245" s="79">
        <f>IF(Q245="Sin Factura",0,IFERROR(_xlfn.XLOOKUP(1, (Facturas_Odoo!$D:$D=A245) * (Facturas_Odoo!$K:$K=I245), Facturas_Odoo!$N:$N, 0), 0))</f>
        <v/>
      </c>
      <c r="V245" s="79">
        <f>IF(Q245="Sin Factura",0,IFERROR(_xlfn.XLOOKUP(1, (Facturas_Odoo!$D:$D=A245) * (Facturas_Odoo!$K:$K=I245), Facturas_Odoo!$O:$O, 0), 0))</f>
        <v/>
      </c>
      <c r="W245" s="81">
        <f>IF(Q245="Sin Factura",0,IFERROR(_xlfn.XLOOKUP(1, (Facturas_Odoo!$D:$D=A245) * (Facturas_Odoo!$K:$K=I245), Facturas_Odoo!$Q:$Q, 0), 0))</f>
        <v/>
      </c>
      <c r="X245" s="79">
        <f>IF(OR(Q245="Sin Factura",Q245=""),"",IFERROR(INDEX(Pagos_Odoo!$B:$B, MATCH(Q245, Pagos_Odoo!$I:$I, 0)), "Sin Pago"))</f>
        <v/>
      </c>
      <c r="Y245" s="79">
        <f>IF(X245="Sin Pago","",IFERROR(INDEX(Pagos_Odoo!$C:$C, MATCH(X245, Pagos_Odoo!$B:$B, 0)), ""))</f>
        <v/>
      </c>
      <c r="Z245" s="80">
        <f>IF(X245="Sin Pago","",IFERROR(INDEX(Pagos_Odoo!$A:$A, MATCH(X245, Pagos_Odoo!$B:$B, 0)), ""))</f>
        <v/>
      </c>
      <c r="AA245" s="79">
        <f>IF(X245="Sin Pago","",IFERROR(INDEX(Pagos_Odoo!$F:$F, MATCH(X245, Pagos_Odoo!$B:$B, 0)), ""))</f>
        <v/>
      </c>
      <c r="AB245" s="81">
        <f>IF(X245="Sin Pago",0,IFERROR(INDEX(Pagos_Odoo!$E:$E, MATCH(X245, Pagos_Odoo!$B:$B, 0)), 0))</f>
        <v/>
      </c>
      <c r="AC245" s="79">
        <f>IF(X245="Sin Pago","",IFERROR(INDEX(Pagos_Odoo!$G:$G, MATCH(X245, Pagos_Odoo!$B:$B, 0)), ""))</f>
        <v/>
      </c>
      <c r="AD245" s="82" t="n">
        <v>0</v>
      </c>
      <c r="AE245" s="82" t="n"/>
      <c r="AF245" s="82" t="n"/>
      <c r="AG245" s="82">
        <f>IF(AN245="","",AD245+AE245+AF245)</f>
        <v/>
      </c>
      <c r="AH245" s="81">
        <f>IF(AN245="","",P245*(1-AG245))</f>
        <v/>
      </c>
      <c r="AI245" s="81">
        <f>IF(AN245="","",IF(Q245="Sin Factura",0,IFERROR(INDEX(Facturas_Odoo!$H:$H, MATCH(Q245, Facturas_Odoo!$B:$B, 0)), 0)*(1-AG245)))</f>
        <v/>
      </c>
      <c r="AJ245" s="81">
        <f>IF(AN245="","",_xlfn.LET(idVenta, AN245&amp;"",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5" s="81">
        <f>IF(AN245="","",AH245-AJ245)</f>
        <v/>
      </c>
      <c r="AL245" s="81">
        <f>IF(AN245="","",IF(Q245="Sin Factura","",AI245-AJ245))</f>
        <v/>
      </c>
      <c r="AM245" s="81">
        <f>IF(AN245="","",IF(Q245="Sin Factura",0,P245-IFERROR(INDEX(Facturas_Odoo!$H:$H, MATCH(Q245, Facturas_Odoo!$B:$B, 0)), 0)))</f>
        <v/>
      </c>
      <c r="AN245" s="79">
        <f>IF(AND(A245="", J245=""), "", IF(A245&lt;&gt;"", VALUE(MID(A245,2,LEN(A245))), AN244))</f>
        <v/>
      </c>
      <c r="AO245" s="79">
        <f>IF(AN245="","",IF(AD245=0,"OK",_xlfn.LET(monedaPago, IF(AA245="","USD",AA245), limitePermitido, IFERROR(VLOOKUP(monedaPago, Configuración!$A$2:$B$3, 2, FALSE), 0.15), IF(AD245&gt;limitePermitido, "ALERTA: EXCESO (" &amp; TEXT(limitePermitido, "0%") &amp; " máx)", "OK"))))</f>
        <v/>
      </c>
      <c r="AP245" s="79">
        <f>IF(AN245="","",IF(AE245=0,"OK",_xlfn.LET(fechaPago, Z245, fechaFactura, R245, diasCredito, IF(E245="Pago inmediato", 0, IFERROR(VALUE(MID(E245, 1, SEARCH(" ", E245)-1)),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5" s="79">
        <f>IF(AN245="","",IF(AND(N245&gt;0, AG245&gt;0), IF(Configuración!$K$2="NO", "ALERTA: DESCUENTO DOBLE NO PERMITIDO", "OK"), "OK"))</f>
        <v/>
      </c>
      <c r="AR245" s="79">
        <f>IF(AN245="","",IF(OR(AO245&lt;&gt;"OK", AP245&lt;&gt;"OK", AQ245&lt;&gt;"OK"), "⚠️ REVISAR", "OK"))</f>
        <v/>
      </c>
    </row>
    <row r="246">
      <c r="A246" s="79">
        <f>IF('Ordenes_Odoo'!A246="","",'Ordenes_Odoo'!A246)</f>
        <v/>
      </c>
      <c r="B246" s="80">
        <f>IF('Ordenes_Odoo'!B246="","",'Ordenes_Odoo'!B246)</f>
        <v/>
      </c>
      <c r="C246" s="79">
        <f>IF('Ordenes_Odoo'!C246="","",'Ordenes_Odoo'!C246)</f>
        <v/>
      </c>
      <c r="D246" s="79">
        <f>IF('Ordenes_Odoo'!D246="","",'Ordenes_Odoo'!D246)</f>
        <v/>
      </c>
      <c r="E246" s="79">
        <f>IF('Ordenes_Odoo'!E246="","",'Ordenes_Odoo'!E246)</f>
        <v/>
      </c>
      <c r="F246" s="79">
        <f>IF('Ordenes_Odoo'!F246="","",'Ordenes_Odoo'!F246)</f>
        <v/>
      </c>
      <c r="G246" s="79">
        <f>IF('Ordenes_Odoo'!G246="","",'Ordenes_Odoo'!G246)</f>
        <v/>
      </c>
      <c r="H246" s="79">
        <f>IF('Ordenes_Odoo'!H246="","",'Ordenes_Odoo'!H246)</f>
        <v/>
      </c>
      <c r="I246" s="79">
        <f>IF('Ordenes_Odoo'!I246="","",'Ordenes_Odoo'!I246)</f>
        <v/>
      </c>
      <c r="J246" s="79">
        <f>IF('Ordenes_Odoo'!J246="","",'Ordenes_Odoo'!J246)</f>
        <v/>
      </c>
      <c r="K246" s="81">
        <f>IF('Ordenes_Odoo'!K246="","",'Ordenes_Odoo'!K246)</f>
        <v/>
      </c>
      <c r="L246" s="81">
        <f>IF('Ordenes_Odoo'!L246="","",'Ordenes_Odoo'!L246)</f>
        <v/>
      </c>
      <c r="M246" s="79">
        <f>IF('Ordenes_Odoo'!M246="","",'Ordenes_Odoo'!M246)</f>
        <v/>
      </c>
      <c r="N246" s="79">
        <f>IF('Ordenes_Odoo'!N246="","",'Ordenes_Odoo'!N246)</f>
        <v/>
      </c>
      <c r="O246" s="81">
        <f>IF('Ordenes_Odoo'!O246="","",'Ordenes_Odoo'!O246)</f>
        <v/>
      </c>
      <c r="P246" s="81">
        <f>IF('Ordenes_Odoo'!P246="","",'Ordenes_Odoo'!P246)</f>
        <v/>
      </c>
      <c r="Q246" s="79">
        <f>IF(A246="","",IFERROR(INDEX(Facturas_Odoo!$B:$B, MATCH(A246, Facturas_Odoo!$D:$D, 0)), "Sin Factura"))</f>
        <v/>
      </c>
      <c r="R246" s="80">
        <f>IF(Q246="Sin Factura","",IFERROR(INDEX(Facturas_Odoo!$A:$A, MATCH(Q246, Facturas_Odoo!$B:$B, 0)), ""))</f>
        <v/>
      </c>
      <c r="S246" s="79">
        <f>IF(Q246="Sin Factura","",IFERROR(_xlfn.XLOOKUP(1, (Facturas_Odoo!$D:$D=A246) * (Facturas_Odoo!$K:$K=I246), Facturas_Odoo!$L:$L, ""), ""))</f>
        <v/>
      </c>
      <c r="T246" s="81">
        <f>IF(Q246="Sin Factura",0,IFERROR(_xlfn.XLOOKUP(1, (Facturas_Odoo!$D:$D=A246) * (Facturas_Odoo!$K:$K=I246), Facturas_Odoo!$M:$M, 0), 0))</f>
        <v/>
      </c>
      <c r="U246" s="79">
        <f>IF(Q246="Sin Factura",0,IFERROR(_xlfn.XLOOKUP(1, (Facturas_Odoo!$D:$D=A246) * (Facturas_Odoo!$K:$K=I246), Facturas_Odoo!$N:$N, 0), 0))</f>
        <v/>
      </c>
      <c r="V246" s="79">
        <f>IF(Q246="Sin Factura",0,IFERROR(_xlfn.XLOOKUP(1, (Facturas_Odoo!$D:$D=A246) * (Facturas_Odoo!$K:$K=I246), Facturas_Odoo!$O:$O, 0), 0))</f>
        <v/>
      </c>
      <c r="W246" s="81">
        <f>IF(Q246="Sin Factura",0,IFERROR(_xlfn.XLOOKUP(1, (Facturas_Odoo!$D:$D=A246) * (Facturas_Odoo!$K:$K=I246), Facturas_Odoo!$Q:$Q, 0), 0))</f>
        <v/>
      </c>
      <c r="X246" s="79">
        <f>IF(OR(Q246="Sin Factura",Q246=""),"",IFERROR(INDEX(Pagos_Odoo!$B:$B, MATCH(Q246, Pagos_Odoo!$I:$I, 0)), "Sin Pago"))</f>
        <v/>
      </c>
      <c r="Y246" s="79">
        <f>IF(X246="Sin Pago","",IFERROR(INDEX(Pagos_Odoo!$C:$C, MATCH(X246, Pagos_Odoo!$B:$B, 0)), ""))</f>
        <v/>
      </c>
      <c r="Z246" s="80">
        <f>IF(X246="Sin Pago","",IFERROR(INDEX(Pagos_Odoo!$A:$A, MATCH(X246, Pagos_Odoo!$B:$B, 0)), ""))</f>
        <v/>
      </c>
      <c r="AA246" s="79">
        <f>IF(X246="Sin Pago","",IFERROR(INDEX(Pagos_Odoo!$F:$F, MATCH(X246, Pagos_Odoo!$B:$B, 0)), ""))</f>
        <v/>
      </c>
      <c r="AB246" s="81">
        <f>IF(X246="Sin Pago",0,IFERROR(INDEX(Pagos_Odoo!$E:$E, MATCH(X246, Pagos_Odoo!$B:$B, 0)), 0))</f>
        <v/>
      </c>
      <c r="AC246" s="79">
        <f>IF(X246="Sin Pago","",IFERROR(INDEX(Pagos_Odoo!$G:$G, MATCH(X246, Pagos_Odoo!$B:$B, 0)), ""))</f>
        <v/>
      </c>
      <c r="AD246" s="82" t="n">
        <v>0</v>
      </c>
      <c r="AE246" s="82" t="n"/>
      <c r="AF246" s="82" t="n"/>
      <c r="AG246" s="82">
        <f>IF(AN246="","",AD246+AE246+AF246)</f>
        <v/>
      </c>
      <c r="AH246" s="81">
        <f>IF(AN246="","",P246*(1-AG246))</f>
        <v/>
      </c>
      <c r="AI246" s="81">
        <f>IF(AN246="","",IF(Q246="Sin Factura",0,IFERROR(INDEX(Facturas_Odoo!$H:$H, MATCH(Q246, Facturas_Odoo!$B:$B, 0)), 0)*(1-AG246)))</f>
        <v/>
      </c>
      <c r="AJ246" s="81">
        <f>IF(AN246="","",_xlfn.LET(idVenta, AN246&amp;"",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6" s="81">
        <f>IF(AN246="","",AH246-AJ246)</f>
        <v/>
      </c>
      <c r="AL246" s="81">
        <f>IF(AN246="","",IF(Q246="Sin Factura","",AI246-AJ246))</f>
        <v/>
      </c>
      <c r="AM246" s="81">
        <f>IF(AN246="","",IF(Q246="Sin Factura",0,P246-IFERROR(INDEX(Facturas_Odoo!$H:$H, MATCH(Q246, Facturas_Odoo!$B:$B, 0)), 0)))</f>
        <v/>
      </c>
      <c r="AN246" s="79">
        <f>IF(AND(A246="", J246=""), "", IF(A246&lt;&gt;"", VALUE(MID(A246,2,LEN(A246))), AN245))</f>
        <v/>
      </c>
      <c r="AO246" s="79">
        <f>IF(AN246="","",IF(AD246=0,"OK",_xlfn.LET(monedaPago, IF(AA246="","USD",AA246), limitePermitido, IFERROR(VLOOKUP(monedaPago, Configuración!$A$2:$B$3, 2, FALSE), 0.15), IF(AD246&gt;limitePermitido, "ALERTA: EXCESO (" &amp; TEXT(limitePermitido, "0%") &amp; " máx)", "OK"))))</f>
        <v/>
      </c>
      <c r="AP246" s="79">
        <f>IF(AN246="","",IF(AE246=0,"OK",_xlfn.LET(fechaPago, Z246, fechaFactura, R246, diasCredito, IF(E246="Pago inmediato", 0, IFERROR(VALUE(MID(E246, 1, SEARCH(" ", E246)-1)),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6" s="79">
        <f>IF(AN246="","",IF(AND(N246&gt;0, AG246&gt;0), IF(Configuración!$K$2="NO", "ALERTA: DESCUENTO DOBLE NO PERMITIDO", "OK"), "OK"))</f>
        <v/>
      </c>
      <c r="AR246" s="79">
        <f>IF(AN246="","",IF(OR(AO246&lt;&gt;"OK", AP246&lt;&gt;"OK", AQ246&lt;&gt;"OK"), "⚠️ REVISAR", "OK"))</f>
        <v/>
      </c>
    </row>
    <row r="247">
      <c r="A247" s="79">
        <f>IF('Ordenes_Odoo'!A247="","",'Ordenes_Odoo'!A247)</f>
        <v/>
      </c>
      <c r="B247" s="80">
        <f>IF('Ordenes_Odoo'!B247="","",'Ordenes_Odoo'!B247)</f>
        <v/>
      </c>
      <c r="C247" s="79">
        <f>IF('Ordenes_Odoo'!C247="","",'Ordenes_Odoo'!C247)</f>
        <v/>
      </c>
      <c r="D247" s="79">
        <f>IF('Ordenes_Odoo'!D247="","",'Ordenes_Odoo'!D247)</f>
        <v/>
      </c>
      <c r="E247" s="79">
        <f>IF('Ordenes_Odoo'!E247="","",'Ordenes_Odoo'!E247)</f>
        <v/>
      </c>
      <c r="F247" s="79">
        <f>IF('Ordenes_Odoo'!F247="","",'Ordenes_Odoo'!F247)</f>
        <v/>
      </c>
      <c r="G247" s="79">
        <f>IF('Ordenes_Odoo'!G247="","",'Ordenes_Odoo'!G247)</f>
        <v/>
      </c>
      <c r="H247" s="79">
        <f>IF('Ordenes_Odoo'!H247="","",'Ordenes_Odoo'!H247)</f>
        <v/>
      </c>
      <c r="I247" s="79">
        <f>IF('Ordenes_Odoo'!I247="","",'Ordenes_Odoo'!I247)</f>
        <v/>
      </c>
      <c r="J247" s="79">
        <f>IF('Ordenes_Odoo'!J247="","",'Ordenes_Odoo'!J247)</f>
        <v/>
      </c>
      <c r="K247" s="81">
        <f>IF('Ordenes_Odoo'!K247="","",'Ordenes_Odoo'!K247)</f>
        <v/>
      </c>
      <c r="L247" s="81">
        <f>IF('Ordenes_Odoo'!L247="","",'Ordenes_Odoo'!L247)</f>
        <v/>
      </c>
      <c r="M247" s="79">
        <f>IF('Ordenes_Odoo'!M247="","",'Ordenes_Odoo'!M247)</f>
        <v/>
      </c>
      <c r="N247" s="79">
        <f>IF('Ordenes_Odoo'!N247="","",'Ordenes_Odoo'!N247)</f>
        <v/>
      </c>
      <c r="O247" s="81">
        <f>IF('Ordenes_Odoo'!O247="","",'Ordenes_Odoo'!O247)</f>
        <v/>
      </c>
      <c r="P247" s="81">
        <f>IF('Ordenes_Odoo'!P247="","",'Ordenes_Odoo'!P247)</f>
        <v/>
      </c>
      <c r="Q247" s="79">
        <f>IF(A247="","",IFERROR(INDEX(Facturas_Odoo!$B:$B, MATCH(A247, Facturas_Odoo!$D:$D, 0)), "Sin Factura"))</f>
        <v/>
      </c>
      <c r="R247" s="80">
        <f>IF(Q247="Sin Factura","",IFERROR(INDEX(Facturas_Odoo!$A:$A, MATCH(Q247, Facturas_Odoo!$B:$B, 0)), ""))</f>
        <v/>
      </c>
      <c r="S247" s="79">
        <f>IF(Q247="Sin Factura","",IFERROR(_xlfn.XLOOKUP(1, (Facturas_Odoo!$D:$D=A247) * (Facturas_Odoo!$K:$K=I247), Facturas_Odoo!$L:$L, ""), ""))</f>
        <v/>
      </c>
      <c r="T247" s="81">
        <f>IF(Q247="Sin Factura",0,IFERROR(_xlfn.XLOOKUP(1, (Facturas_Odoo!$D:$D=A247) * (Facturas_Odoo!$K:$K=I247), Facturas_Odoo!$M:$M, 0), 0))</f>
        <v/>
      </c>
      <c r="U247" s="79">
        <f>IF(Q247="Sin Factura",0,IFERROR(_xlfn.XLOOKUP(1, (Facturas_Odoo!$D:$D=A247) * (Facturas_Odoo!$K:$K=I247), Facturas_Odoo!$N:$N, 0), 0))</f>
        <v/>
      </c>
      <c r="V247" s="79">
        <f>IF(Q247="Sin Factura",0,IFERROR(_xlfn.XLOOKUP(1, (Facturas_Odoo!$D:$D=A247) * (Facturas_Odoo!$K:$K=I247), Facturas_Odoo!$O:$O, 0), 0))</f>
        <v/>
      </c>
      <c r="W247" s="81">
        <f>IF(Q247="Sin Factura",0,IFERROR(_xlfn.XLOOKUP(1, (Facturas_Odoo!$D:$D=A247) * (Facturas_Odoo!$K:$K=I247), Facturas_Odoo!$Q:$Q, 0), 0))</f>
        <v/>
      </c>
      <c r="X247" s="79">
        <f>IF(OR(Q247="Sin Factura",Q247=""),"",IFERROR(INDEX(Pagos_Odoo!$B:$B, MATCH(Q247, Pagos_Odoo!$I:$I, 0)), "Sin Pago"))</f>
        <v/>
      </c>
      <c r="Y247" s="79">
        <f>IF(X247="Sin Pago","",IFERROR(INDEX(Pagos_Odoo!$C:$C, MATCH(X247, Pagos_Odoo!$B:$B, 0)), ""))</f>
        <v/>
      </c>
      <c r="Z247" s="80">
        <f>IF(X247="Sin Pago","",IFERROR(INDEX(Pagos_Odoo!$A:$A, MATCH(X247, Pagos_Odoo!$B:$B, 0)), ""))</f>
        <v/>
      </c>
      <c r="AA247" s="79">
        <f>IF(X247="Sin Pago","",IFERROR(INDEX(Pagos_Odoo!$F:$F, MATCH(X247, Pagos_Odoo!$B:$B, 0)), ""))</f>
        <v/>
      </c>
      <c r="AB247" s="81">
        <f>IF(X247="Sin Pago",0,IFERROR(INDEX(Pagos_Odoo!$E:$E, MATCH(X247, Pagos_Odoo!$B:$B, 0)), 0))</f>
        <v/>
      </c>
      <c r="AC247" s="79">
        <f>IF(X247="Sin Pago","",IFERROR(INDEX(Pagos_Odoo!$G:$G, MATCH(X247, Pagos_Odoo!$B:$B, 0)), ""))</f>
        <v/>
      </c>
      <c r="AD247" s="82" t="n">
        <v>0</v>
      </c>
      <c r="AE247" s="82" t="n"/>
      <c r="AF247" s="82" t="n"/>
      <c r="AG247" s="82">
        <f>IF(AN247="","",AD247+AE247+AF247)</f>
        <v/>
      </c>
      <c r="AH247" s="81">
        <f>IF(AN247="","",P247*(1-AG247))</f>
        <v/>
      </c>
      <c r="AI247" s="81">
        <f>IF(AN247="","",IF(Q247="Sin Factura",0,IFERROR(INDEX(Facturas_Odoo!$H:$H, MATCH(Q247, Facturas_Odoo!$B:$B, 0)), 0)*(1-AG247)))</f>
        <v/>
      </c>
      <c r="AJ247" s="81">
        <f>IF(AN247="","",_xlfn.LET(idVenta, AN247&amp;"",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7" s="81">
        <f>IF(AN247="","",AH247-AJ247)</f>
        <v/>
      </c>
      <c r="AL247" s="81">
        <f>IF(AN247="","",IF(Q247="Sin Factura","",AI247-AJ247))</f>
        <v/>
      </c>
      <c r="AM247" s="81">
        <f>IF(AN247="","",IF(Q247="Sin Factura",0,P247-IFERROR(INDEX(Facturas_Odoo!$H:$H, MATCH(Q247, Facturas_Odoo!$B:$B, 0)), 0)))</f>
        <v/>
      </c>
      <c r="AN247" s="79">
        <f>IF(AND(A247="", J247=""), "", IF(A247&lt;&gt;"", VALUE(MID(A247,2,LEN(A247))), AN246))</f>
        <v/>
      </c>
      <c r="AO247" s="79">
        <f>IF(AN247="","",IF(AD247=0,"OK",_xlfn.LET(monedaPago, IF(AA247="","USD",AA247), limitePermitido, IFERROR(VLOOKUP(monedaPago, Configuración!$A$2:$B$3, 2, FALSE), 0.15), IF(AD247&gt;limitePermitido, "ALERTA: EXCESO (" &amp; TEXT(limitePermitido, "0%") &amp; " máx)", "OK"))))</f>
        <v/>
      </c>
      <c r="AP247" s="79">
        <f>IF(AN247="","",IF(AE247=0,"OK",_xlfn.LET(fechaPago, Z247, fechaFactura, R247, diasCredito, IF(E247="Pago inmediato", 0, IFERROR(VALUE(MID(E247, 1, SEARCH(" ", E247)-1)),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7" s="79">
        <f>IF(AN247="","",IF(AND(N247&gt;0, AG247&gt;0), IF(Configuración!$K$2="NO", "ALERTA: DESCUENTO DOBLE NO PERMITIDO", "OK"), "OK"))</f>
        <v/>
      </c>
      <c r="AR247" s="79">
        <f>IF(AN247="","",IF(OR(AO247&lt;&gt;"OK", AP247&lt;&gt;"OK", AQ247&lt;&gt;"OK"), "⚠️ REVISAR", "OK"))</f>
        <v/>
      </c>
    </row>
    <row r="248">
      <c r="A248" s="79">
        <f>IF('Ordenes_Odoo'!A248="","",'Ordenes_Odoo'!A248)</f>
        <v/>
      </c>
      <c r="B248" s="80">
        <f>IF('Ordenes_Odoo'!B248="","",'Ordenes_Odoo'!B248)</f>
        <v/>
      </c>
      <c r="C248" s="79">
        <f>IF('Ordenes_Odoo'!C248="","",'Ordenes_Odoo'!C248)</f>
        <v/>
      </c>
      <c r="D248" s="79">
        <f>IF('Ordenes_Odoo'!D248="","",'Ordenes_Odoo'!D248)</f>
        <v/>
      </c>
      <c r="E248" s="79">
        <f>IF('Ordenes_Odoo'!E248="","",'Ordenes_Odoo'!E248)</f>
        <v/>
      </c>
      <c r="F248" s="79">
        <f>IF('Ordenes_Odoo'!F248="","",'Ordenes_Odoo'!F248)</f>
        <v/>
      </c>
      <c r="G248" s="79">
        <f>IF('Ordenes_Odoo'!G248="","",'Ordenes_Odoo'!G248)</f>
        <v/>
      </c>
      <c r="H248" s="79">
        <f>IF('Ordenes_Odoo'!H248="","",'Ordenes_Odoo'!H248)</f>
        <v/>
      </c>
      <c r="I248" s="79">
        <f>IF('Ordenes_Odoo'!I248="","",'Ordenes_Odoo'!I248)</f>
        <v/>
      </c>
      <c r="J248" s="79">
        <f>IF('Ordenes_Odoo'!J248="","",'Ordenes_Odoo'!J248)</f>
        <v/>
      </c>
      <c r="K248" s="81">
        <f>IF('Ordenes_Odoo'!K248="","",'Ordenes_Odoo'!K248)</f>
        <v/>
      </c>
      <c r="L248" s="81">
        <f>IF('Ordenes_Odoo'!L248="","",'Ordenes_Odoo'!L248)</f>
        <v/>
      </c>
      <c r="M248" s="79">
        <f>IF('Ordenes_Odoo'!M248="","",'Ordenes_Odoo'!M248)</f>
        <v/>
      </c>
      <c r="N248" s="79">
        <f>IF('Ordenes_Odoo'!N248="","",'Ordenes_Odoo'!N248)</f>
        <v/>
      </c>
      <c r="O248" s="81">
        <f>IF('Ordenes_Odoo'!O248="","",'Ordenes_Odoo'!O248)</f>
        <v/>
      </c>
      <c r="P248" s="81">
        <f>IF('Ordenes_Odoo'!P248="","",'Ordenes_Odoo'!P248)</f>
        <v/>
      </c>
      <c r="Q248" s="79">
        <f>IF(A248="","",IFERROR(INDEX(Facturas_Odoo!$B:$B, MATCH(A248, Facturas_Odoo!$D:$D, 0)), "Sin Factura"))</f>
        <v/>
      </c>
      <c r="R248" s="80">
        <f>IF(Q248="Sin Factura","",IFERROR(INDEX(Facturas_Odoo!$A:$A, MATCH(Q248, Facturas_Odoo!$B:$B, 0)), ""))</f>
        <v/>
      </c>
      <c r="S248" s="79">
        <f>IF(Q248="Sin Factura","",IFERROR(_xlfn.XLOOKUP(1, (Facturas_Odoo!$D:$D=A248) * (Facturas_Odoo!$K:$K=I248), Facturas_Odoo!$L:$L, ""), ""))</f>
        <v/>
      </c>
      <c r="T248" s="81">
        <f>IF(Q248="Sin Factura",0,IFERROR(_xlfn.XLOOKUP(1, (Facturas_Odoo!$D:$D=A248) * (Facturas_Odoo!$K:$K=I248), Facturas_Odoo!$M:$M, 0), 0))</f>
        <v/>
      </c>
      <c r="U248" s="79">
        <f>IF(Q248="Sin Factura",0,IFERROR(_xlfn.XLOOKUP(1, (Facturas_Odoo!$D:$D=A248) * (Facturas_Odoo!$K:$K=I248), Facturas_Odoo!$N:$N, 0), 0))</f>
        <v/>
      </c>
      <c r="V248" s="79">
        <f>IF(Q248="Sin Factura",0,IFERROR(_xlfn.XLOOKUP(1, (Facturas_Odoo!$D:$D=A248) * (Facturas_Odoo!$K:$K=I248), Facturas_Odoo!$O:$O, 0), 0))</f>
        <v/>
      </c>
      <c r="W248" s="81">
        <f>IF(Q248="Sin Factura",0,IFERROR(_xlfn.XLOOKUP(1, (Facturas_Odoo!$D:$D=A248) * (Facturas_Odoo!$K:$K=I248), Facturas_Odoo!$Q:$Q, 0), 0))</f>
        <v/>
      </c>
      <c r="X248" s="79">
        <f>IF(OR(Q248="Sin Factura",Q248=""),"",IFERROR(INDEX(Pagos_Odoo!$B:$B, MATCH(Q248, Pagos_Odoo!$I:$I, 0)), "Sin Pago"))</f>
        <v/>
      </c>
      <c r="Y248" s="79">
        <f>IF(X248="Sin Pago","",IFERROR(INDEX(Pagos_Odoo!$C:$C, MATCH(X248, Pagos_Odoo!$B:$B, 0)), ""))</f>
        <v/>
      </c>
      <c r="Z248" s="80">
        <f>IF(X248="Sin Pago","",IFERROR(INDEX(Pagos_Odoo!$A:$A, MATCH(X248, Pagos_Odoo!$B:$B, 0)), ""))</f>
        <v/>
      </c>
      <c r="AA248" s="79">
        <f>IF(X248="Sin Pago","",IFERROR(INDEX(Pagos_Odoo!$F:$F, MATCH(X248, Pagos_Odoo!$B:$B, 0)), ""))</f>
        <v/>
      </c>
      <c r="AB248" s="81">
        <f>IF(X248="Sin Pago",0,IFERROR(INDEX(Pagos_Odoo!$E:$E, MATCH(X248, Pagos_Odoo!$B:$B, 0)), 0))</f>
        <v/>
      </c>
      <c r="AC248" s="79">
        <f>IF(X248="Sin Pago","",IFERROR(INDEX(Pagos_Odoo!$G:$G, MATCH(X248, Pagos_Odoo!$B:$B, 0)), ""))</f>
        <v/>
      </c>
      <c r="AD248" s="82" t="n">
        <v>0</v>
      </c>
      <c r="AE248" s="82" t="n"/>
      <c r="AF248" s="82" t="n"/>
      <c r="AG248" s="82">
        <f>IF(AN248="","",AD248+AE248+AF248)</f>
        <v/>
      </c>
      <c r="AH248" s="81">
        <f>IF(AN248="","",P248*(1-AG248))</f>
        <v/>
      </c>
      <c r="AI248" s="81">
        <f>IF(AN248="","",IF(Q248="Sin Factura",0,IFERROR(INDEX(Facturas_Odoo!$H:$H, MATCH(Q248, Facturas_Odoo!$B:$B, 0)), 0)*(1-AG248)))</f>
        <v/>
      </c>
      <c r="AJ248" s="81">
        <f>IF(AN248="","",_xlfn.LET(idVenta, AN248&amp;"",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8" s="81">
        <f>IF(AN248="","",AH248-AJ248)</f>
        <v/>
      </c>
      <c r="AL248" s="81">
        <f>IF(AN248="","",IF(Q248="Sin Factura","",AI248-AJ248))</f>
        <v/>
      </c>
      <c r="AM248" s="81">
        <f>IF(AN248="","",IF(Q248="Sin Factura",0,P248-IFERROR(INDEX(Facturas_Odoo!$H:$H, MATCH(Q248, Facturas_Odoo!$B:$B, 0)), 0)))</f>
        <v/>
      </c>
      <c r="AN248" s="79">
        <f>IF(AND(A248="", J248=""), "", IF(A248&lt;&gt;"", VALUE(MID(A248,2,LEN(A248))), AN247))</f>
        <v/>
      </c>
      <c r="AO248" s="79">
        <f>IF(AN248="","",IF(AD248=0,"OK",_xlfn.LET(monedaPago, IF(AA248="","USD",AA248), limitePermitido, IFERROR(VLOOKUP(monedaPago, Configuración!$A$2:$B$3, 2, FALSE), 0.15), IF(AD248&gt;limitePermitido, "ALERTA: EXCESO (" &amp; TEXT(limitePermitido, "0%") &amp; " máx)", "OK"))))</f>
        <v/>
      </c>
      <c r="AP248" s="79">
        <f>IF(AN248="","",IF(AE248=0,"OK",_xlfn.LET(fechaPago, Z248, fechaFactura, R248, diasCredito, IF(E248="Pago inmediato", 0, IFERROR(VALUE(MID(E248, 1, SEARCH(" ", E248)-1)),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8" s="79">
        <f>IF(AN248="","",IF(AND(N248&gt;0, AG248&gt;0), IF(Configuración!$K$2="NO", "ALERTA: DESCUENTO DOBLE NO PERMITIDO", "OK"), "OK"))</f>
        <v/>
      </c>
      <c r="AR248" s="79">
        <f>IF(AN248="","",IF(OR(AO248&lt;&gt;"OK", AP248&lt;&gt;"OK", AQ248&lt;&gt;"OK"), "⚠️ REVISAR", "OK"))</f>
        <v/>
      </c>
    </row>
    <row r="249">
      <c r="A249" s="79">
        <f>IF('Ordenes_Odoo'!A249="","",'Ordenes_Odoo'!A249)</f>
        <v/>
      </c>
      <c r="B249" s="80">
        <f>IF('Ordenes_Odoo'!B249="","",'Ordenes_Odoo'!B249)</f>
        <v/>
      </c>
      <c r="C249" s="79">
        <f>IF('Ordenes_Odoo'!C249="","",'Ordenes_Odoo'!C249)</f>
        <v/>
      </c>
      <c r="D249" s="79">
        <f>IF('Ordenes_Odoo'!D249="","",'Ordenes_Odoo'!D249)</f>
        <v/>
      </c>
      <c r="E249" s="79">
        <f>IF('Ordenes_Odoo'!E249="","",'Ordenes_Odoo'!E249)</f>
        <v/>
      </c>
      <c r="F249" s="79">
        <f>IF('Ordenes_Odoo'!F249="","",'Ordenes_Odoo'!F249)</f>
        <v/>
      </c>
      <c r="G249" s="79">
        <f>IF('Ordenes_Odoo'!G249="","",'Ordenes_Odoo'!G249)</f>
        <v/>
      </c>
      <c r="H249" s="79">
        <f>IF('Ordenes_Odoo'!H249="","",'Ordenes_Odoo'!H249)</f>
        <v/>
      </c>
      <c r="I249" s="79">
        <f>IF('Ordenes_Odoo'!I249="","",'Ordenes_Odoo'!I249)</f>
        <v/>
      </c>
      <c r="J249" s="79">
        <f>IF('Ordenes_Odoo'!J249="","",'Ordenes_Odoo'!J249)</f>
        <v/>
      </c>
      <c r="K249" s="81">
        <f>IF('Ordenes_Odoo'!K249="","",'Ordenes_Odoo'!K249)</f>
        <v/>
      </c>
      <c r="L249" s="81">
        <f>IF('Ordenes_Odoo'!L249="","",'Ordenes_Odoo'!L249)</f>
        <v/>
      </c>
      <c r="M249" s="79">
        <f>IF('Ordenes_Odoo'!M249="","",'Ordenes_Odoo'!M249)</f>
        <v/>
      </c>
      <c r="N249" s="79">
        <f>IF('Ordenes_Odoo'!N249="","",'Ordenes_Odoo'!N249)</f>
        <v/>
      </c>
      <c r="O249" s="81">
        <f>IF('Ordenes_Odoo'!O249="","",'Ordenes_Odoo'!O249)</f>
        <v/>
      </c>
      <c r="P249" s="81">
        <f>IF('Ordenes_Odoo'!P249="","",'Ordenes_Odoo'!P249)</f>
        <v/>
      </c>
      <c r="Q249" s="79">
        <f>IF(A249="","",IFERROR(INDEX(Facturas_Odoo!$B:$B, MATCH(A249, Facturas_Odoo!$D:$D, 0)), "Sin Factura"))</f>
        <v/>
      </c>
      <c r="R249" s="80">
        <f>IF(Q249="Sin Factura","",IFERROR(INDEX(Facturas_Odoo!$A:$A, MATCH(Q249, Facturas_Odoo!$B:$B, 0)), ""))</f>
        <v/>
      </c>
      <c r="S249" s="79">
        <f>IF(Q249="Sin Factura","",IFERROR(_xlfn.XLOOKUP(1, (Facturas_Odoo!$D:$D=A249) * (Facturas_Odoo!$K:$K=I249), Facturas_Odoo!$L:$L, ""), ""))</f>
        <v/>
      </c>
      <c r="T249" s="81">
        <f>IF(Q249="Sin Factura",0,IFERROR(_xlfn.XLOOKUP(1, (Facturas_Odoo!$D:$D=A249) * (Facturas_Odoo!$K:$K=I249), Facturas_Odoo!$M:$M, 0), 0))</f>
        <v/>
      </c>
      <c r="U249" s="79">
        <f>IF(Q249="Sin Factura",0,IFERROR(_xlfn.XLOOKUP(1, (Facturas_Odoo!$D:$D=A249) * (Facturas_Odoo!$K:$K=I249), Facturas_Odoo!$N:$N, 0), 0))</f>
        <v/>
      </c>
      <c r="V249" s="79">
        <f>IF(Q249="Sin Factura",0,IFERROR(_xlfn.XLOOKUP(1, (Facturas_Odoo!$D:$D=A249) * (Facturas_Odoo!$K:$K=I249), Facturas_Odoo!$O:$O, 0), 0))</f>
        <v/>
      </c>
      <c r="W249" s="81">
        <f>IF(Q249="Sin Factura",0,IFERROR(_xlfn.XLOOKUP(1, (Facturas_Odoo!$D:$D=A249) * (Facturas_Odoo!$K:$K=I249), Facturas_Odoo!$Q:$Q, 0), 0))</f>
        <v/>
      </c>
      <c r="X249" s="79">
        <f>IF(OR(Q249="Sin Factura",Q249=""),"",IFERROR(INDEX(Pagos_Odoo!$B:$B, MATCH(Q249, Pagos_Odoo!$I:$I, 0)), "Sin Pago"))</f>
        <v/>
      </c>
      <c r="Y249" s="79">
        <f>IF(X249="Sin Pago","",IFERROR(INDEX(Pagos_Odoo!$C:$C, MATCH(X249, Pagos_Odoo!$B:$B, 0)), ""))</f>
        <v/>
      </c>
      <c r="Z249" s="80">
        <f>IF(X249="Sin Pago","",IFERROR(INDEX(Pagos_Odoo!$A:$A, MATCH(X249, Pagos_Odoo!$B:$B, 0)), ""))</f>
        <v/>
      </c>
      <c r="AA249" s="79">
        <f>IF(X249="Sin Pago","",IFERROR(INDEX(Pagos_Odoo!$F:$F, MATCH(X249, Pagos_Odoo!$B:$B, 0)), ""))</f>
        <v/>
      </c>
      <c r="AB249" s="81">
        <f>IF(X249="Sin Pago",0,IFERROR(INDEX(Pagos_Odoo!$E:$E, MATCH(X249, Pagos_Odoo!$B:$B, 0)), 0))</f>
        <v/>
      </c>
      <c r="AC249" s="79">
        <f>IF(X249="Sin Pago","",IFERROR(INDEX(Pagos_Odoo!$G:$G, MATCH(X249, Pagos_Odoo!$B:$B, 0)), ""))</f>
        <v/>
      </c>
      <c r="AD249" s="82" t="n">
        <v>0</v>
      </c>
      <c r="AE249" s="82" t="n"/>
      <c r="AF249" s="82" t="n"/>
      <c r="AG249" s="82">
        <f>IF(AN249="","",AD249+AE249+AF249)</f>
        <v/>
      </c>
      <c r="AH249" s="81">
        <f>IF(AN249="","",P249*(1-AG249))</f>
        <v/>
      </c>
      <c r="AI249" s="81">
        <f>IF(AN249="","",IF(Q249="Sin Factura",0,IFERROR(INDEX(Facturas_Odoo!$H:$H, MATCH(Q249, Facturas_Odoo!$B:$B, 0)), 0)*(1-AG249)))</f>
        <v/>
      </c>
      <c r="AJ249" s="81">
        <f>IF(AN249="","",_xlfn.LET(idVenta, AN249&amp;"",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9" s="81">
        <f>IF(AN249="","",AH249-AJ249)</f>
        <v/>
      </c>
      <c r="AL249" s="81">
        <f>IF(AN249="","",IF(Q249="Sin Factura","",AI249-AJ249))</f>
        <v/>
      </c>
      <c r="AM249" s="81">
        <f>IF(AN249="","",IF(Q249="Sin Factura",0,P249-IFERROR(INDEX(Facturas_Odoo!$H:$H, MATCH(Q249, Facturas_Odoo!$B:$B, 0)), 0)))</f>
        <v/>
      </c>
      <c r="AN249" s="79">
        <f>IF(AND(A249="", J249=""), "", IF(A249&lt;&gt;"", VALUE(MID(A249,2,LEN(A249))), AN248))</f>
        <v/>
      </c>
      <c r="AO249" s="79">
        <f>IF(AN249="","",IF(AD249=0,"OK",_xlfn.LET(monedaPago, IF(AA249="","USD",AA249), limitePermitido, IFERROR(VLOOKUP(monedaPago, Configuración!$A$2:$B$3, 2, FALSE), 0.15), IF(AD249&gt;limitePermitido, "ALERTA: EXCESO (" &amp; TEXT(limitePermitido, "0%") &amp; " máx)", "OK"))))</f>
        <v/>
      </c>
      <c r="AP249" s="79">
        <f>IF(AN249="","",IF(AE249=0,"OK",_xlfn.LET(fechaPago, Z249, fechaFactura, R249, diasCredito, IF(E249="Pago inmediato", 0, IFERROR(VALUE(MID(E249, 1, SEARCH(" ", E249)-1)),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9" s="79">
        <f>IF(AN249="","",IF(AND(N249&gt;0, AG249&gt;0), IF(Configuración!$K$2="NO", "ALERTA: DESCUENTO DOBLE NO PERMITIDO", "OK"), "OK"))</f>
        <v/>
      </c>
      <c r="AR249" s="79">
        <f>IF(AN249="","",IF(OR(AO249&lt;&gt;"OK", AP249&lt;&gt;"OK", AQ249&lt;&gt;"OK"), "⚠️ REVISAR", "OK"))</f>
        <v/>
      </c>
    </row>
    <row r="250">
      <c r="A250" s="79">
        <f>IF('Ordenes_Odoo'!A250="","",'Ordenes_Odoo'!A250)</f>
        <v/>
      </c>
      <c r="B250" s="80">
        <f>IF('Ordenes_Odoo'!B250="","",'Ordenes_Odoo'!B250)</f>
        <v/>
      </c>
      <c r="C250" s="79">
        <f>IF('Ordenes_Odoo'!C250="","",'Ordenes_Odoo'!C250)</f>
        <v/>
      </c>
      <c r="D250" s="79">
        <f>IF('Ordenes_Odoo'!D250="","",'Ordenes_Odoo'!D250)</f>
        <v/>
      </c>
      <c r="E250" s="79">
        <f>IF('Ordenes_Odoo'!E250="","",'Ordenes_Odoo'!E250)</f>
        <v/>
      </c>
      <c r="F250" s="79">
        <f>IF('Ordenes_Odoo'!F250="","",'Ordenes_Odoo'!F250)</f>
        <v/>
      </c>
      <c r="G250" s="79">
        <f>IF('Ordenes_Odoo'!G250="","",'Ordenes_Odoo'!G250)</f>
        <v/>
      </c>
      <c r="H250" s="79">
        <f>IF('Ordenes_Odoo'!H250="","",'Ordenes_Odoo'!H250)</f>
        <v/>
      </c>
      <c r="I250" s="79">
        <f>IF('Ordenes_Odoo'!I250="","",'Ordenes_Odoo'!I250)</f>
        <v/>
      </c>
      <c r="J250" s="79">
        <f>IF('Ordenes_Odoo'!J250="","",'Ordenes_Odoo'!J250)</f>
        <v/>
      </c>
      <c r="K250" s="81">
        <f>IF('Ordenes_Odoo'!K250="","",'Ordenes_Odoo'!K250)</f>
        <v/>
      </c>
      <c r="L250" s="81">
        <f>IF('Ordenes_Odoo'!L250="","",'Ordenes_Odoo'!L250)</f>
        <v/>
      </c>
      <c r="M250" s="79">
        <f>IF('Ordenes_Odoo'!M250="","",'Ordenes_Odoo'!M250)</f>
        <v/>
      </c>
      <c r="N250" s="79">
        <f>IF('Ordenes_Odoo'!N250="","",'Ordenes_Odoo'!N250)</f>
        <v/>
      </c>
      <c r="O250" s="81">
        <f>IF('Ordenes_Odoo'!O250="","",'Ordenes_Odoo'!O250)</f>
        <v/>
      </c>
      <c r="P250" s="81">
        <f>IF('Ordenes_Odoo'!P250="","",'Ordenes_Odoo'!P250)</f>
        <v/>
      </c>
      <c r="Q250" s="79">
        <f>IF(A250="","",IFERROR(INDEX(Facturas_Odoo!$B:$B, MATCH(A250, Facturas_Odoo!$D:$D, 0)), "Sin Factura"))</f>
        <v/>
      </c>
      <c r="R250" s="80">
        <f>IF(Q250="Sin Factura","",IFERROR(INDEX(Facturas_Odoo!$A:$A, MATCH(Q250, Facturas_Odoo!$B:$B, 0)), ""))</f>
        <v/>
      </c>
      <c r="S250" s="79">
        <f>IF(Q250="Sin Factura","",IFERROR(_xlfn.XLOOKUP(1, (Facturas_Odoo!$D:$D=A250) * (Facturas_Odoo!$K:$K=I250), Facturas_Odoo!$L:$L, ""), ""))</f>
        <v/>
      </c>
      <c r="T250" s="81">
        <f>IF(Q250="Sin Factura",0,IFERROR(_xlfn.XLOOKUP(1, (Facturas_Odoo!$D:$D=A250) * (Facturas_Odoo!$K:$K=I250), Facturas_Odoo!$M:$M, 0), 0))</f>
        <v/>
      </c>
      <c r="U250" s="79">
        <f>IF(Q250="Sin Factura",0,IFERROR(_xlfn.XLOOKUP(1, (Facturas_Odoo!$D:$D=A250) * (Facturas_Odoo!$K:$K=I250), Facturas_Odoo!$N:$N, 0), 0))</f>
        <v/>
      </c>
      <c r="V250" s="79">
        <f>IF(Q250="Sin Factura",0,IFERROR(_xlfn.XLOOKUP(1, (Facturas_Odoo!$D:$D=A250) * (Facturas_Odoo!$K:$K=I250), Facturas_Odoo!$O:$O, 0), 0))</f>
        <v/>
      </c>
      <c r="W250" s="81">
        <f>IF(Q250="Sin Factura",0,IFERROR(_xlfn.XLOOKUP(1, (Facturas_Odoo!$D:$D=A250) * (Facturas_Odoo!$K:$K=I250), Facturas_Odoo!$Q:$Q, 0), 0))</f>
        <v/>
      </c>
      <c r="X250" s="79">
        <f>IF(OR(Q250="Sin Factura",Q250=""),"",IFERROR(INDEX(Pagos_Odoo!$B:$B, MATCH(Q250, Pagos_Odoo!$I:$I, 0)), "Sin Pago"))</f>
        <v/>
      </c>
      <c r="Y250" s="79">
        <f>IF(X250="Sin Pago","",IFERROR(INDEX(Pagos_Odoo!$C:$C, MATCH(X250, Pagos_Odoo!$B:$B, 0)), ""))</f>
        <v/>
      </c>
      <c r="Z250" s="80">
        <f>IF(X250="Sin Pago","",IFERROR(INDEX(Pagos_Odoo!$A:$A, MATCH(X250, Pagos_Odoo!$B:$B, 0)), ""))</f>
        <v/>
      </c>
      <c r="AA250" s="79">
        <f>IF(X250="Sin Pago","",IFERROR(INDEX(Pagos_Odoo!$F:$F, MATCH(X250, Pagos_Odoo!$B:$B, 0)), ""))</f>
        <v/>
      </c>
      <c r="AB250" s="81">
        <f>IF(X250="Sin Pago",0,IFERROR(INDEX(Pagos_Odoo!$E:$E, MATCH(X250, Pagos_Odoo!$B:$B, 0)), 0))</f>
        <v/>
      </c>
      <c r="AC250" s="79">
        <f>IF(X250="Sin Pago","",IFERROR(INDEX(Pagos_Odoo!$G:$G, MATCH(X250, Pagos_Odoo!$B:$B, 0)), ""))</f>
        <v/>
      </c>
      <c r="AD250" s="82" t="n">
        <v>0</v>
      </c>
      <c r="AE250" s="82" t="n"/>
      <c r="AF250" s="82" t="n"/>
      <c r="AG250" s="82">
        <f>IF(AN250="","",AD250+AE250+AF250)</f>
        <v/>
      </c>
      <c r="AH250" s="81">
        <f>IF(AN250="","",P250*(1-AG250))</f>
        <v/>
      </c>
      <c r="AI250" s="81">
        <f>IF(AN250="","",IF(Q250="Sin Factura",0,IFERROR(INDEX(Facturas_Odoo!$H:$H, MATCH(Q250, Facturas_Odoo!$B:$B, 0)), 0)*(1-AG250)))</f>
        <v/>
      </c>
      <c r="AJ250" s="81">
        <f>IF(AN250="","",_xlfn.LET(idVenta, AN250&amp;"",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0" s="81">
        <f>IF(AN250="","",AH250-AJ250)</f>
        <v/>
      </c>
      <c r="AL250" s="81">
        <f>IF(AN250="","",IF(Q250="Sin Factura","",AI250-AJ250))</f>
        <v/>
      </c>
      <c r="AM250" s="81">
        <f>IF(AN250="","",IF(Q250="Sin Factura",0,P250-IFERROR(INDEX(Facturas_Odoo!$H:$H, MATCH(Q250, Facturas_Odoo!$B:$B, 0)), 0)))</f>
        <v/>
      </c>
      <c r="AN250" s="79">
        <f>IF(AND(A250="", J250=""), "", IF(A250&lt;&gt;"", VALUE(MID(A250,2,LEN(A250))), AN249))</f>
        <v/>
      </c>
      <c r="AO250" s="79">
        <f>IF(AN250="","",IF(AD250=0,"OK",_xlfn.LET(monedaPago, IF(AA250="","USD",AA250), limitePermitido, IFERROR(VLOOKUP(monedaPago, Configuración!$A$2:$B$3, 2, FALSE), 0.15), IF(AD250&gt;limitePermitido, "ALERTA: EXCESO (" &amp; TEXT(limitePermitido, "0%") &amp; " máx)", "OK"))))</f>
        <v/>
      </c>
      <c r="AP250" s="79">
        <f>IF(AN250="","",IF(AE250=0,"OK",_xlfn.LET(fechaPago, Z250, fechaFactura, R250, diasCredito, IF(E250="Pago inmediato", 0, IFERROR(VALUE(MID(E250, 1, SEARCH(" ", E250)-1)),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0" s="79">
        <f>IF(AN250="","",IF(AND(N250&gt;0, AG250&gt;0), IF(Configuración!$K$2="NO", "ALERTA: DESCUENTO DOBLE NO PERMITIDO", "OK"), "OK"))</f>
        <v/>
      </c>
      <c r="AR250" s="79">
        <f>IF(AN250="","",IF(OR(AO250&lt;&gt;"OK", AP250&lt;&gt;"OK", AQ250&lt;&gt;"OK"), "⚠️ REVISAR", "OK"))</f>
        <v/>
      </c>
    </row>
    <row r="251">
      <c r="A251" s="79">
        <f>IF('Ordenes_Odoo'!A251="","",'Ordenes_Odoo'!A251)</f>
        <v/>
      </c>
      <c r="B251" s="80">
        <f>IF('Ordenes_Odoo'!B251="","",'Ordenes_Odoo'!B251)</f>
        <v/>
      </c>
      <c r="C251" s="79">
        <f>IF('Ordenes_Odoo'!C251="","",'Ordenes_Odoo'!C251)</f>
        <v/>
      </c>
      <c r="D251" s="79">
        <f>IF('Ordenes_Odoo'!D251="","",'Ordenes_Odoo'!D251)</f>
        <v/>
      </c>
      <c r="E251" s="79">
        <f>IF('Ordenes_Odoo'!E251="","",'Ordenes_Odoo'!E251)</f>
        <v/>
      </c>
      <c r="F251" s="79">
        <f>IF('Ordenes_Odoo'!F251="","",'Ordenes_Odoo'!F251)</f>
        <v/>
      </c>
      <c r="G251" s="79">
        <f>IF('Ordenes_Odoo'!G251="","",'Ordenes_Odoo'!G251)</f>
        <v/>
      </c>
      <c r="H251" s="79">
        <f>IF('Ordenes_Odoo'!H251="","",'Ordenes_Odoo'!H251)</f>
        <v/>
      </c>
      <c r="I251" s="79">
        <f>IF('Ordenes_Odoo'!I251="","",'Ordenes_Odoo'!I251)</f>
        <v/>
      </c>
      <c r="J251" s="79">
        <f>IF('Ordenes_Odoo'!J251="","",'Ordenes_Odoo'!J251)</f>
        <v/>
      </c>
      <c r="K251" s="81">
        <f>IF('Ordenes_Odoo'!K251="","",'Ordenes_Odoo'!K251)</f>
        <v/>
      </c>
      <c r="L251" s="81">
        <f>IF('Ordenes_Odoo'!L251="","",'Ordenes_Odoo'!L251)</f>
        <v/>
      </c>
      <c r="M251" s="79">
        <f>IF('Ordenes_Odoo'!M251="","",'Ordenes_Odoo'!M251)</f>
        <v/>
      </c>
      <c r="N251" s="79">
        <f>IF('Ordenes_Odoo'!N251="","",'Ordenes_Odoo'!N251)</f>
        <v/>
      </c>
      <c r="O251" s="81">
        <f>IF('Ordenes_Odoo'!O251="","",'Ordenes_Odoo'!O251)</f>
        <v/>
      </c>
      <c r="P251" s="81">
        <f>IF('Ordenes_Odoo'!P251="","",'Ordenes_Odoo'!P251)</f>
        <v/>
      </c>
      <c r="Q251" s="79">
        <f>IF(A251="","",IFERROR(INDEX(Facturas_Odoo!$B:$B, MATCH(A251, Facturas_Odoo!$D:$D, 0)), "Sin Factura"))</f>
        <v/>
      </c>
      <c r="R251" s="80">
        <f>IF(Q251="Sin Factura","",IFERROR(INDEX(Facturas_Odoo!$A:$A, MATCH(Q251, Facturas_Odoo!$B:$B, 0)), ""))</f>
        <v/>
      </c>
      <c r="S251" s="79">
        <f>IF(Q251="Sin Factura","",IFERROR(_xlfn.XLOOKUP(1, (Facturas_Odoo!$D:$D=A251) * (Facturas_Odoo!$K:$K=I251), Facturas_Odoo!$L:$L, ""), ""))</f>
        <v/>
      </c>
      <c r="T251" s="81">
        <f>IF(Q251="Sin Factura",0,IFERROR(_xlfn.XLOOKUP(1, (Facturas_Odoo!$D:$D=A251) * (Facturas_Odoo!$K:$K=I251), Facturas_Odoo!$M:$M, 0), 0))</f>
        <v/>
      </c>
      <c r="U251" s="79">
        <f>IF(Q251="Sin Factura",0,IFERROR(_xlfn.XLOOKUP(1, (Facturas_Odoo!$D:$D=A251) * (Facturas_Odoo!$K:$K=I251), Facturas_Odoo!$N:$N, 0), 0))</f>
        <v/>
      </c>
      <c r="V251" s="79">
        <f>IF(Q251="Sin Factura",0,IFERROR(_xlfn.XLOOKUP(1, (Facturas_Odoo!$D:$D=A251) * (Facturas_Odoo!$K:$K=I251), Facturas_Odoo!$O:$O, 0), 0))</f>
        <v/>
      </c>
      <c r="W251" s="81">
        <f>IF(Q251="Sin Factura",0,IFERROR(_xlfn.XLOOKUP(1, (Facturas_Odoo!$D:$D=A251) * (Facturas_Odoo!$K:$K=I251), Facturas_Odoo!$Q:$Q, 0), 0))</f>
        <v/>
      </c>
      <c r="X251" s="79">
        <f>IF(OR(Q251="Sin Factura",Q251=""),"",IFERROR(INDEX(Pagos_Odoo!$B:$B, MATCH(Q251, Pagos_Odoo!$I:$I, 0)), "Sin Pago"))</f>
        <v/>
      </c>
      <c r="Y251" s="79">
        <f>IF(X251="Sin Pago","",IFERROR(INDEX(Pagos_Odoo!$C:$C, MATCH(X251, Pagos_Odoo!$B:$B, 0)), ""))</f>
        <v/>
      </c>
      <c r="Z251" s="80">
        <f>IF(X251="Sin Pago","",IFERROR(INDEX(Pagos_Odoo!$A:$A, MATCH(X251, Pagos_Odoo!$B:$B, 0)), ""))</f>
        <v/>
      </c>
      <c r="AA251" s="79">
        <f>IF(X251="Sin Pago","",IFERROR(INDEX(Pagos_Odoo!$F:$F, MATCH(X251, Pagos_Odoo!$B:$B, 0)), ""))</f>
        <v/>
      </c>
      <c r="AB251" s="81">
        <f>IF(X251="Sin Pago",0,IFERROR(INDEX(Pagos_Odoo!$E:$E, MATCH(X251, Pagos_Odoo!$B:$B, 0)), 0))</f>
        <v/>
      </c>
      <c r="AC251" s="79">
        <f>IF(X251="Sin Pago","",IFERROR(INDEX(Pagos_Odoo!$G:$G, MATCH(X251, Pagos_Odoo!$B:$B, 0)), ""))</f>
        <v/>
      </c>
      <c r="AD251" s="82" t="n">
        <v>0</v>
      </c>
      <c r="AE251" s="82" t="n"/>
      <c r="AF251" s="82" t="n"/>
      <c r="AG251" s="82">
        <f>IF(AN251="","",AD251+AE251+AF251)</f>
        <v/>
      </c>
      <c r="AH251" s="81">
        <f>IF(AN251="","",P251*(1-AG251))</f>
        <v/>
      </c>
      <c r="AI251" s="81">
        <f>IF(AN251="","",IF(Q251="Sin Factura",0,IFERROR(INDEX(Facturas_Odoo!$H:$H, MATCH(Q251, Facturas_Odoo!$B:$B, 0)), 0)*(1-AG251)))</f>
        <v/>
      </c>
      <c r="AJ251" s="81">
        <f>IF(AN251="","",_xlfn.LET(idVenta, AN251&amp;"",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1" s="81">
        <f>IF(AN251="","",AH251-AJ251)</f>
        <v/>
      </c>
      <c r="AL251" s="81">
        <f>IF(AN251="","",IF(Q251="Sin Factura","",AI251-AJ251))</f>
        <v/>
      </c>
      <c r="AM251" s="81">
        <f>IF(AN251="","",IF(Q251="Sin Factura",0,P251-IFERROR(INDEX(Facturas_Odoo!$H:$H, MATCH(Q251, Facturas_Odoo!$B:$B, 0)), 0)))</f>
        <v/>
      </c>
      <c r="AN251" s="79">
        <f>IF(AND(A251="", J251=""), "", IF(A251&lt;&gt;"", VALUE(MID(A251,2,LEN(A251))), AN250))</f>
        <v/>
      </c>
      <c r="AO251" s="79">
        <f>IF(AN251="","",IF(AD251=0,"OK",_xlfn.LET(monedaPago, IF(AA251="","USD",AA251), limitePermitido, IFERROR(VLOOKUP(monedaPago, Configuración!$A$2:$B$3, 2, FALSE), 0.15), IF(AD251&gt;limitePermitido, "ALERTA: EXCESO (" &amp; TEXT(limitePermitido, "0%") &amp; " máx)", "OK"))))</f>
        <v/>
      </c>
      <c r="AP251" s="79">
        <f>IF(AN251="","",IF(AE251=0,"OK",_xlfn.LET(fechaPago, Z251, fechaFactura, R251, diasCredito, IF(E251="Pago inmediato", 0, IFERROR(VALUE(MID(E251, 1, SEARCH(" ", E251)-1)),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1" s="79">
        <f>IF(AN251="","",IF(AND(N251&gt;0, AG251&gt;0), IF(Configuración!$K$2="NO", "ALERTA: DESCUENTO DOBLE NO PERMITIDO", "OK"), "OK"))</f>
        <v/>
      </c>
      <c r="AR251" s="79">
        <f>IF(AN251="","",IF(OR(AO251&lt;&gt;"OK", AP251&lt;&gt;"OK", AQ251&lt;&gt;"OK"), "⚠️ REVISAR", "OK"))</f>
        <v/>
      </c>
    </row>
    <row r="252">
      <c r="A252" s="79">
        <f>IF('Ordenes_Odoo'!A252="","",'Ordenes_Odoo'!A252)</f>
        <v/>
      </c>
      <c r="B252" s="80">
        <f>IF('Ordenes_Odoo'!B252="","",'Ordenes_Odoo'!B252)</f>
        <v/>
      </c>
      <c r="C252" s="79">
        <f>IF('Ordenes_Odoo'!C252="","",'Ordenes_Odoo'!C252)</f>
        <v/>
      </c>
      <c r="D252" s="79">
        <f>IF('Ordenes_Odoo'!D252="","",'Ordenes_Odoo'!D252)</f>
        <v/>
      </c>
      <c r="E252" s="79">
        <f>IF('Ordenes_Odoo'!E252="","",'Ordenes_Odoo'!E252)</f>
        <v/>
      </c>
      <c r="F252" s="79">
        <f>IF('Ordenes_Odoo'!F252="","",'Ordenes_Odoo'!F252)</f>
        <v/>
      </c>
      <c r="G252" s="79">
        <f>IF('Ordenes_Odoo'!G252="","",'Ordenes_Odoo'!G252)</f>
        <v/>
      </c>
      <c r="H252" s="79">
        <f>IF('Ordenes_Odoo'!H252="","",'Ordenes_Odoo'!H252)</f>
        <v/>
      </c>
      <c r="I252" s="79">
        <f>IF('Ordenes_Odoo'!I252="","",'Ordenes_Odoo'!I252)</f>
        <v/>
      </c>
      <c r="J252" s="79">
        <f>IF('Ordenes_Odoo'!J252="","",'Ordenes_Odoo'!J252)</f>
        <v/>
      </c>
      <c r="K252" s="81">
        <f>IF('Ordenes_Odoo'!K252="","",'Ordenes_Odoo'!K252)</f>
        <v/>
      </c>
      <c r="L252" s="81">
        <f>IF('Ordenes_Odoo'!L252="","",'Ordenes_Odoo'!L252)</f>
        <v/>
      </c>
      <c r="M252" s="79">
        <f>IF('Ordenes_Odoo'!M252="","",'Ordenes_Odoo'!M252)</f>
        <v/>
      </c>
      <c r="N252" s="79">
        <f>IF('Ordenes_Odoo'!N252="","",'Ordenes_Odoo'!N252)</f>
        <v/>
      </c>
      <c r="O252" s="81">
        <f>IF('Ordenes_Odoo'!O252="","",'Ordenes_Odoo'!O252)</f>
        <v/>
      </c>
      <c r="P252" s="81">
        <f>IF('Ordenes_Odoo'!P252="","",'Ordenes_Odoo'!P252)</f>
        <v/>
      </c>
      <c r="Q252" s="79">
        <f>IF(A252="","",IFERROR(INDEX(Facturas_Odoo!$B:$B, MATCH(A252, Facturas_Odoo!$D:$D, 0)), "Sin Factura"))</f>
        <v/>
      </c>
      <c r="R252" s="80">
        <f>IF(Q252="Sin Factura","",IFERROR(INDEX(Facturas_Odoo!$A:$A, MATCH(Q252, Facturas_Odoo!$B:$B, 0)), ""))</f>
        <v/>
      </c>
      <c r="S252" s="79">
        <f>IF(Q252="Sin Factura","",IFERROR(_xlfn.XLOOKUP(1, (Facturas_Odoo!$D:$D=A252) * (Facturas_Odoo!$K:$K=I252), Facturas_Odoo!$L:$L, ""), ""))</f>
        <v/>
      </c>
      <c r="T252" s="81">
        <f>IF(Q252="Sin Factura",0,IFERROR(_xlfn.XLOOKUP(1, (Facturas_Odoo!$D:$D=A252) * (Facturas_Odoo!$K:$K=I252), Facturas_Odoo!$M:$M, 0), 0))</f>
        <v/>
      </c>
      <c r="U252" s="79">
        <f>IF(Q252="Sin Factura",0,IFERROR(_xlfn.XLOOKUP(1, (Facturas_Odoo!$D:$D=A252) * (Facturas_Odoo!$K:$K=I252), Facturas_Odoo!$N:$N, 0), 0))</f>
        <v/>
      </c>
      <c r="V252" s="79">
        <f>IF(Q252="Sin Factura",0,IFERROR(_xlfn.XLOOKUP(1, (Facturas_Odoo!$D:$D=A252) * (Facturas_Odoo!$K:$K=I252), Facturas_Odoo!$O:$O, 0), 0))</f>
        <v/>
      </c>
      <c r="W252" s="81">
        <f>IF(Q252="Sin Factura",0,IFERROR(_xlfn.XLOOKUP(1, (Facturas_Odoo!$D:$D=A252) * (Facturas_Odoo!$K:$K=I252), Facturas_Odoo!$Q:$Q, 0), 0))</f>
        <v/>
      </c>
      <c r="X252" s="79">
        <f>IF(OR(Q252="Sin Factura",Q252=""),"",IFERROR(INDEX(Pagos_Odoo!$B:$B, MATCH(Q252, Pagos_Odoo!$I:$I, 0)), "Sin Pago"))</f>
        <v/>
      </c>
      <c r="Y252" s="79">
        <f>IF(X252="Sin Pago","",IFERROR(INDEX(Pagos_Odoo!$C:$C, MATCH(X252, Pagos_Odoo!$B:$B, 0)), ""))</f>
        <v/>
      </c>
      <c r="Z252" s="80">
        <f>IF(X252="Sin Pago","",IFERROR(INDEX(Pagos_Odoo!$A:$A, MATCH(X252, Pagos_Odoo!$B:$B, 0)), ""))</f>
        <v/>
      </c>
      <c r="AA252" s="79">
        <f>IF(X252="Sin Pago","",IFERROR(INDEX(Pagos_Odoo!$F:$F, MATCH(X252, Pagos_Odoo!$B:$B, 0)), ""))</f>
        <v/>
      </c>
      <c r="AB252" s="81">
        <f>IF(X252="Sin Pago",0,IFERROR(INDEX(Pagos_Odoo!$E:$E, MATCH(X252, Pagos_Odoo!$B:$B, 0)), 0))</f>
        <v/>
      </c>
      <c r="AC252" s="79">
        <f>IF(X252="Sin Pago","",IFERROR(INDEX(Pagos_Odoo!$G:$G, MATCH(X252, Pagos_Odoo!$B:$B, 0)), ""))</f>
        <v/>
      </c>
      <c r="AD252" s="82" t="n">
        <v>0</v>
      </c>
      <c r="AE252" s="82" t="n"/>
      <c r="AF252" s="82" t="n"/>
      <c r="AG252" s="82">
        <f>IF(AN252="","",AD252+AE252+AF252)</f>
        <v/>
      </c>
      <c r="AH252" s="81">
        <f>IF(AN252="","",P252*(1-AG252))</f>
        <v/>
      </c>
      <c r="AI252" s="81">
        <f>IF(AN252="","",IF(Q252="Sin Factura",0,IFERROR(INDEX(Facturas_Odoo!$H:$H, MATCH(Q252, Facturas_Odoo!$B:$B, 0)), 0)*(1-AG252)))</f>
        <v/>
      </c>
      <c r="AJ252" s="81">
        <f>IF(AN252="","",_xlfn.LET(idVenta, AN252&amp;"",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2" s="81">
        <f>IF(AN252="","",AH252-AJ252)</f>
        <v/>
      </c>
      <c r="AL252" s="81">
        <f>IF(AN252="","",IF(Q252="Sin Factura","",AI252-AJ252))</f>
        <v/>
      </c>
      <c r="AM252" s="81">
        <f>IF(AN252="","",IF(Q252="Sin Factura",0,P252-IFERROR(INDEX(Facturas_Odoo!$H:$H, MATCH(Q252, Facturas_Odoo!$B:$B, 0)), 0)))</f>
        <v/>
      </c>
      <c r="AN252" s="79">
        <f>IF(AND(A252="", J252=""), "", IF(A252&lt;&gt;"", VALUE(MID(A252,2,LEN(A252))), AN251))</f>
        <v/>
      </c>
      <c r="AO252" s="79">
        <f>IF(AN252="","",IF(AD252=0,"OK",_xlfn.LET(monedaPago, IF(AA252="","USD",AA252), limitePermitido, IFERROR(VLOOKUP(monedaPago, Configuración!$A$2:$B$3, 2, FALSE), 0.15), IF(AD252&gt;limitePermitido, "ALERTA: EXCESO (" &amp; TEXT(limitePermitido, "0%") &amp; " máx)", "OK"))))</f>
        <v/>
      </c>
      <c r="AP252" s="79">
        <f>IF(AN252="","",IF(AE252=0,"OK",_xlfn.LET(fechaPago, Z252, fechaFactura, R252, diasCredito, IF(E252="Pago inmediato", 0, IFERROR(VALUE(MID(E252, 1, SEARCH(" ", E252)-1)),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2" s="79">
        <f>IF(AN252="","",IF(AND(N252&gt;0, AG252&gt;0), IF(Configuración!$K$2="NO", "ALERTA: DESCUENTO DOBLE NO PERMITIDO", "OK"), "OK"))</f>
        <v/>
      </c>
      <c r="AR252" s="79">
        <f>IF(AN252="","",IF(OR(AO252&lt;&gt;"OK", AP252&lt;&gt;"OK", AQ252&lt;&gt;"OK"), "⚠️ REVISAR", "OK"))</f>
        <v/>
      </c>
    </row>
    <row r="253">
      <c r="A253" s="79">
        <f>IF('Ordenes_Odoo'!A253="","",'Ordenes_Odoo'!A253)</f>
        <v/>
      </c>
      <c r="B253" s="80">
        <f>IF('Ordenes_Odoo'!B253="","",'Ordenes_Odoo'!B253)</f>
        <v/>
      </c>
      <c r="C253" s="79">
        <f>IF('Ordenes_Odoo'!C253="","",'Ordenes_Odoo'!C253)</f>
        <v/>
      </c>
      <c r="D253" s="79">
        <f>IF('Ordenes_Odoo'!D253="","",'Ordenes_Odoo'!D253)</f>
        <v/>
      </c>
      <c r="E253" s="79">
        <f>IF('Ordenes_Odoo'!E253="","",'Ordenes_Odoo'!E253)</f>
        <v/>
      </c>
      <c r="F253" s="79">
        <f>IF('Ordenes_Odoo'!F253="","",'Ordenes_Odoo'!F253)</f>
        <v/>
      </c>
      <c r="G253" s="79">
        <f>IF('Ordenes_Odoo'!G253="","",'Ordenes_Odoo'!G253)</f>
        <v/>
      </c>
      <c r="H253" s="79">
        <f>IF('Ordenes_Odoo'!H253="","",'Ordenes_Odoo'!H253)</f>
        <v/>
      </c>
      <c r="I253" s="79">
        <f>IF('Ordenes_Odoo'!I253="","",'Ordenes_Odoo'!I253)</f>
        <v/>
      </c>
      <c r="J253" s="79">
        <f>IF('Ordenes_Odoo'!J253="","",'Ordenes_Odoo'!J253)</f>
        <v/>
      </c>
      <c r="K253" s="81">
        <f>IF('Ordenes_Odoo'!K253="","",'Ordenes_Odoo'!K253)</f>
        <v/>
      </c>
      <c r="L253" s="81">
        <f>IF('Ordenes_Odoo'!L253="","",'Ordenes_Odoo'!L253)</f>
        <v/>
      </c>
      <c r="M253" s="79">
        <f>IF('Ordenes_Odoo'!M253="","",'Ordenes_Odoo'!M253)</f>
        <v/>
      </c>
      <c r="N253" s="79">
        <f>IF('Ordenes_Odoo'!N253="","",'Ordenes_Odoo'!N253)</f>
        <v/>
      </c>
      <c r="O253" s="81">
        <f>IF('Ordenes_Odoo'!O253="","",'Ordenes_Odoo'!O253)</f>
        <v/>
      </c>
      <c r="P253" s="81">
        <f>IF('Ordenes_Odoo'!P253="","",'Ordenes_Odoo'!P253)</f>
        <v/>
      </c>
      <c r="Q253" s="79">
        <f>IF(A253="","",IFERROR(INDEX(Facturas_Odoo!$B:$B, MATCH(A253, Facturas_Odoo!$D:$D, 0)), "Sin Factura"))</f>
        <v/>
      </c>
      <c r="R253" s="80">
        <f>IF(Q253="Sin Factura","",IFERROR(INDEX(Facturas_Odoo!$A:$A, MATCH(Q253, Facturas_Odoo!$B:$B, 0)), ""))</f>
        <v/>
      </c>
      <c r="S253" s="79">
        <f>IF(Q253="Sin Factura","",IFERROR(_xlfn.XLOOKUP(1, (Facturas_Odoo!$D:$D=A253) * (Facturas_Odoo!$K:$K=I253), Facturas_Odoo!$L:$L, ""), ""))</f>
        <v/>
      </c>
      <c r="T253" s="81">
        <f>IF(Q253="Sin Factura",0,IFERROR(_xlfn.XLOOKUP(1, (Facturas_Odoo!$D:$D=A253) * (Facturas_Odoo!$K:$K=I253), Facturas_Odoo!$M:$M, 0), 0))</f>
        <v/>
      </c>
      <c r="U253" s="79">
        <f>IF(Q253="Sin Factura",0,IFERROR(_xlfn.XLOOKUP(1, (Facturas_Odoo!$D:$D=A253) * (Facturas_Odoo!$K:$K=I253), Facturas_Odoo!$N:$N, 0), 0))</f>
        <v/>
      </c>
      <c r="V253" s="79">
        <f>IF(Q253="Sin Factura",0,IFERROR(_xlfn.XLOOKUP(1, (Facturas_Odoo!$D:$D=A253) * (Facturas_Odoo!$K:$K=I253), Facturas_Odoo!$O:$O, 0), 0))</f>
        <v/>
      </c>
      <c r="W253" s="81">
        <f>IF(Q253="Sin Factura",0,IFERROR(_xlfn.XLOOKUP(1, (Facturas_Odoo!$D:$D=A253) * (Facturas_Odoo!$K:$K=I253), Facturas_Odoo!$Q:$Q, 0), 0))</f>
        <v/>
      </c>
      <c r="X253" s="79">
        <f>IF(OR(Q253="Sin Factura",Q253=""),"",IFERROR(INDEX(Pagos_Odoo!$B:$B, MATCH(Q253, Pagos_Odoo!$I:$I, 0)), "Sin Pago"))</f>
        <v/>
      </c>
      <c r="Y253" s="79">
        <f>IF(X253="Sin Pago","",IFERROR(INDEX(Pagos_Odoo!$C:$C, MATCH(X253, Pagos_Odoo!$B:$B, 0)), ""))</f>
        <v/>
      </c>
      <c r="Z253" s="80">
        <f>IF(X253="Sin Pago","",IFERROR(INDEX(Pagos_Odoo!$A:$A, MATCH(X253, Pagos_Odoo!$B:$B, 0)), ""))</f>
        <v/>
      </c>
      <c r="AA253" s="79">
        <f>IF(X253="Sin Pago","",IFERROR(INDEX(Pagos_Odoo!$F:$F, MATCH(X253, Pagos_Odoo!$B:$B, 0)), ""))</f>
        <v/>
      </c>
      <c r="AB253" s="81">
        <f>IF(X253="Sin Pago",0,IFERROR(INDEX(Pagos_Odoo!$E:$E, MATCH(X253, Pagos_Odoo!$B:$B, 0)), 0))</f>
        <v/>
      </c>
      <c r="AC253" s="79">
        <f>IF(X253="Sin Pago","",IFERROR(INDEX(Pagos_Odoo!$G:$G, MATCH(X253, Pagos_Odoo!$B:$B, 0)), ""))</f>
        <v/>
      </c>
      <c r="AD253" s="82" t="n">
        <v>0</v>
      </c>
      <c r="AE253" s="82" t="n"/>
      <c r="AF253" s="82" t="n"/>
      <c r="AG253" s="82">
        <f>IF(AN253="","",AD253+AE253+AF253)</f>
        <v/>
      </c>
      <c r="AH253" s="81">
        <f>IF(AN253="","",P253*(1-AG253))</f>
        <v/>
      </c>
      <c r="AI253" s="81">
        <f>IF(AN253="","",IF(Q253="Sin Factura",0,IFERROR(INDEX(Facturas_Odoo!$H:$H, MATCH(Q253, Facturas_Odoo!$B:$B, 0)), 0)*(1-AG253)))</f>
        <v/>
      </c>
      <c r="AJ253" s="81">
        <f>IF(AN253="","",_xlfn.LET(idVenta, AN253&amp;"",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3" s="81">
        <f>IF(AN253="","",AH253-AJ253)</f>
        <v/>
      </c>
      <c r="AL253" s="81">
        <f>IF(AN253="","",IF(Q253="Sin Factura","",AI253-AJ253))</f>
        <v/>
      </c>
      <c r="AM253" s="81">
        <f>IF(AN253="","",IF(Q253="Sin Factura",0,P253-IFERROR(INDEX(Facturas_Odoo!$H:$H, MATCH(Q253, Facturas_Odoo!$B:$B, 0)), 0)))</f>
        <v/>
      </c>
      <c r="AN253" s="79">
        <f>IF(AND(A253="", J253=""), "", IF(A253&lt;&gt;"", VALUE(MID(A253,2,LEN(A253))), AN252))</f>
        <v/>
      </c>
      <c r="AO253" s="79">
        <f>IF(AN253="","",IF(AD253=0,"OK",_xlfn.LET(monedaPago, IF(AA253="","USD",AA253), limitePermitido, IFERROR(VLOOKUP(monedaPago, Configuración!$A$2:$B$3, 2, FALSE), 0.15), IF(AD253&gt;limitePermitido, "ALERTA: EXCESO (" &amp; TEXT(limitePermitido, "0%") &amp; " máx)", "OK"))))</f>
        <v/>
      </c>
      <c r="AP253" s="79">
        <f>IF(AN253="","",IF(AE253=0,"OK",_xlfn.LET(fechaPago, Z253, fechaFactura, R253, diasCredito, IF(E253="Pago inmediato", 0, IFERROR(VALUE(MID(E253, 1, SEARCH(" ", E253)-1)),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3" s="79">
        <f>IF(AN253="","",IF(AND(N253&gt;0, AG253&gt;0), IF(Configuración!$K$2="NO", "ALERTA: DESCUENTO DOBLE NO PERMITIDO", "OK"), "OK"))</f>
        <v/>
      </c>
      <c r="AR253" s="79">
        <f>IF(AN253="","",IF(OR(AO253&lt;&gt;"OK", AP253&lt;&gt;"OK", AQ253&lt;&gt;"OK"), "⚠️ REVISAR", "OK"))</f>
        <v/>
      </c>
    </row>
    <row r="254">
      <c r="A254" s="79">
        <f>IF('Ordenes_Odoo'!A254="","",'Ordenes_Odoo'!A254)</f>
        <v/>
      </c>
      <c r="B254" s="80">
        <f>IF('Ordenes_Odoo'!B254="","",'Ordenes_Odoo'!B254)</f>
        <v/>
      </c>
      <c r="C254" s="79">
        <f>IF('Ordenes_Odoo'!C254="","",'Ordenes_Odoo'!C254)</f>
        <v/>
      </c>
      <c r="D254" s="79">
        <f>IF('Ordenes_Odoo'!D254="","",'Ordenes_Odoo'!D254)</f>
        <v/>
      </c>
      <c r="E254" s="79">
        <f>IF('Ordenes_Odoo'!E254="","",'Ordenes_Odoo'!E254)</f>
        <v/>
      </c>
      <c r="F254" s="79">
        <f>IF('Ordenes_Odoo'!F254="","",'Ordenes_Odoo'!F254)</f>
        <v/>
      </c>
      <c r="G254" s="79">
        <f>IF('Ordenes_Odoo'!G254="","",'Ordenes_Odoo'!G254)</f>
        <v/>
      </c>
      <c r="H254" s="79">
        <f>IF('Ordenes_Odoo'!H254="","",'Ordenes_Odoo'!H254)</f>
        <v/>
      </c>
      <c r="I254" s="79">
        <f>IF('Ordenes_Odoo'!I254="","",'Ordenes_Odoo'!I254)</f>
        <v/>
      </c>
      <c r="J254" s="79">
        <f>IF('Ordenes_Odoo'!J254="","",'Ordenes_Odoo'!J254)</f>
        <v/>
      </c>
      <c r="K254" s="81">
        <f>IF('Ordenes_Odoo'!K254="","",'Ordenes_Odoo'!K254)</f>
        <v/>
      </c>
      <c r="L254" s="81">
        <f>IF('Ordenes_Odoo'!L254="","",'Ordenes_Odoo'!L254)</f>
        <v/>
      </c>
      <c r="M254" s="79">
        <f>IF('Ordenes_Odoo'!M254="","",'Ordenes_Odoo'!M254)</f>
        <v/>
      </c>
      <c r="N254" s="79">
        <f>IF('Ordenes_Odoo'!N254="","",'Ordenes_Odoo'!N254)</f>
        <v/>
      </c>
      <c r="O254" s="81">
        <f>IF('Ordenes_Odoo'!O254="","",'Ordenes_Odoo'!O254)</f>
        <v/>
      </c>
      <c r="P254" s="81">
        <f>IF('Ordenes_Odoo'!P254="","",'Ordenes_Odoo'!P254)</f>
        <v/>
      </c>
      <c r="Q254" s="79">
        <f>IF(A254="","",IFERROR(INDEX(Facturas_Odoo!$B:$B, MATCH(A254, Facturas_Odoo!$D:$D, 0)), "Sin Factura"))</f>
        <v/>
      </c>
      <c r="R254" s="80">
        <f>IF(Q254="Sin Factura","",IFERROR(INDEX(Facturas_Odoo!$A:$A, MATCH(Q254, Facturas_Odoo!$B:$B, 0)), ""))</f>
        <v/>
      </c>
      <c r="S254" s="79">
        <f>IF(Q254="Sin Factura","",IFERROR(_xlfn.XLOOKUP(1, (Facturas_Odoo!$D:$D=A254) * (Facturas_Odoo!$K:$K=I254), Facturas_Odoo!$L:$L, ""), ""))</f>
        <v/>
      </c>
      <c r="T254" s="81">
        <f>IF(Q254="Sin Factura",0,IFERROR(_xlfn.XLOOKUP(1, (Facturas_Odoo!$D:$D=A254) * (Facturas_Odoo!$K:$K=I254), Facturas_Odoo!$M:$M, 0), 0))</f>
        <v/>
      </c>
      <c r="U254" s="79">
        <f>IF(Q254="Sin Factura",0,IFERROR(_xlfn.XLOOKUP(1, (Facturas_Odoo!$D:$D=A254) * (Facturas_Odoo!$K:$K=I254), Facturas_Odoo!$N:$N, 0), 0))</f>
        <v/>
      </c>
      <c r="V254" s="79">
        <f>IF(Q254="Sin Factura",0,IFERROR(_xlfn.XLOOKUP(1, (Facturas_Odoo!$D:$D=A254) * (Facturas_Odoo!$K:$K=I254), Facturas_Odoo!$O:$O, 0), 0))</f>
        <v/>
      </c>
      <c r="W254" s="81">
        <f>IF(Q254="Sin Factura",0,IFERROR(_xlfn.XLOOKUP(1, (Facturas_Odoo!$D:$D=A254) * (Facturas_Odoo!$K:$K=I254), Facturas_Odoo!$Q:$Q, 0), 0))</f>
        <v/>
      </c>
      <c r="X254" s="79">
        <f>IF(OR(Q254="Sin Factura",Q254=""),"",IFERROR(INDEX(Pagos_Odoo!$B:$B, MATCH(Q254, Pagos_Odoo!$I:$I, 0)), "Sin Pago"))</f>
        <v/>
      </c>
      <c r="Y254" s="79">
        <f>IF(X254="Sin Pago","",IFERROR(INDEX(Pagos_Odoo!$C:$C, MATCH(X254, Pagos_Odoo!$B:$B, 0)), ""))</f>
        <v/>
      </c>
      <c r="Z254" s="80">
        <f>IF(X254="Sin Pago","",IFERROR(INDEX(Pagos_Odoo!$A:$A, MATCH(X254, Pagos_Odoo!$B:$B, 0)), ""))</f>
        <v/>
      </c>
      <c r="AA254" s="79">
        <f>IF(X254="Sin Pago","",IFERROR(INDEX(Pagos_Odoo!$F:$F, MATCH(X254, Pagos_Odoo!$B:$B, 0)), ""))</f>
        <v/>
      </c>
      <c r="AB254" s="81">
        <f>IF(X254="Sin Pago",0,IFERROR(INDEX(Pagos_Odoo!$E:$E, MATCH(X254, Pagos_Odoo!$B:$B, 0)), 0))</f>
        <v/>
      </c>
      <c r="AC254" s="79">
        <f>IF(X254="Sin Pago","",IFERROR(INDEX(Pagos_Odoo!$G:$G, MATCH(X254, Pagos_Odoo!$B:$B, 0)), ""))</f>
        <v/>
      </c>
      <c r="AD254" s="82" t="n">
        <v>0</v>
      </c>
      <c r="AE254" s="82" t="n"/>
      <c r="AF254" s="82" t="n"/>
      <c r="AG254" s="82">
        <f>IF(AN254="","",AD254+AE254+AF254)</f>
        <v/>
      </c>
      <c r="AH254" s="81">
        <f>IF(AN254="","",P254*(1-AG254))</f>
        <v/>
      </c>
      <c r="AI254" s="81">
        <f>IF(AN254="","",IF(Q254="Sin Factura",0,IFERROR(INDEX(Facturas_Odoo!$H:$H, MATCH(Q254, Facturas_Odoo!$B:$B, 0)), 0)*(1-AG254)))</f>
        <v/>
      </c>
      <c r="AJ254" s="81">
        <f>IF(AN254="","",_xlfn.LET(idVenta, AN254&amp;"",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4" s="81">
        <f>IF(AN254="","",AH254-AJ254)</f>
        <v/>
      </c>
      <c r="AL254" s="81">
        <f>IF(AN254="","",IF(Q254="Sin Factura","",AI254-AJ254))</f>
        <v/>
      </c>
      <c r="AM254" s="81">
        <f>IF(AN254="","",IF(Q254="Sin Factura",0,P254-IFERROR(INDEX(Facturas_Odoo!$H:$H, MATCH(Q254, Facturas_Odoo!$B:$B, 0)), 0)))</f>
        <v/>
      </c>
      <c r="AN254" s="79">
        <f>IF(AND(A254="", J254=""), "", IF(A254&lt;&gt;"", VALUE(MID(A254,2,LEN(A254))), AN253))</f>
        <v/>
      </c>
      <c r="AO254" s="79">
        <f>IF(AN254="","",IF(AD254=0,"OK",_xlfn.LET(monedaPago, IF(AA254="","USD",AA254), limitePermitido, IFERROR(VLOOKUP(monedaPago, Configuración!$A$2:$B$3, 2, FALSE), 0.15), IF(AD254&gt;limitePermitido, "ALERTA: EXCESO (" &amp; TEXT(limitePermitido, "0%") &amp; " máx)", "OK"))))</f>
        <v/>
      </c>
      <c r="AP254" s="79">
        <f>IF(AN254="","",IF(AE254=0,"OK",_xlfn.LET(fechaPago, Z254, fechaFactura, R254, diasCredito, IF(E254="Pago inmediato", 0, IFERROR(VALUE(MID(E254, 1, SEARCH(" ", E254)-1)),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4" s="79">
        <f>IF(AN254="","",IF(AND(N254&gt;0, AG254&gt;0), IF(Configuración!$K$2="NO", "ALERTA: DESCUENTO DOBLE NO PERMITIDO", "OK"), "OK"))</f>
        <v/>
      </c>
      <c r="AR254" s="79">
        <f>IF(AN254="","",IF(OR(AO254&lt;&gt;"OK", AP254&lt;&gt;"OK", AQ254&lt;&gt;"OK"), "⚠️ REVISAR", "OK"))</f>
        <v/>
      </c>
    </row>
    <row r="255">
      <c r="A255" s="79">
        <f>IF('Ordenes_Odoo'!A255="","",'Ordenes_Odoo'!A255)</f>
        <v/>
      </c>
      <c r="B255" s="80">
        <f>IF('Ordenes_Odoo'!B255="","",'Ordenes_Odoo'!B255)</f>
        <v/>
      </c>
      <c r="C255" s="79">
        <f>IF('Ordenes_Odoo'!C255="","",'Ordenes_Odoo'!C255)</f>
        <v/>
      </c>
      <c r="D255" s="79">
        <f>IF('Ordenes_Odoo'!D255="","",'Ordenes_Odoo'!D255)</f>
        <v/>
      </c>
      <c r="E255" s="79">
        <f>IF('Ordenes_Odoo'!E255="","",'Ordenes_Odoo'!E255)</f>
        <v/>
      </c>
      <c r="F255" s="79">
        <f>IF('Ordenes_Odoo'!F255="","",'Ordenes_Odoo'!F255)</f>
        <v/>
      </c>
      <c r="G255" s="79">
        <f>IF('Ordenes_Odoo'!G255="","",'Ordenes_Odoo'!G255)</f>
        <v/>
      </c>
      <c r="H255" s="79">
        <f>IF('Ordenes_Odoo'!H255="","",'Ordenes_Odoo'!H255)</f>
        <v/>
      </c>
      <c r="I255" s="79">
        <f>IF('Ordenes_Odoo'!I255="","",'Ordenes_Odoo'!I255)</f>
        <v/>
      </c>
      <c r="J255" s="79">
        <f>IF('Ordenes_Odoo'!J255="","",'Ordenes_Odoo'!J255)</f>
        <v/>
      </c>
      <c r="K255" s="81">
        <f>IF('Ordenes_Odoo'!K255="","",'Ordenes_Odoo'!K255)</f>
        <v/>
      </c>
      <c r="L255" s="81">
        <f>IF('Ordenes_Odoo'!L255="","",'Ordenes_Odoo'!L255)</f>
        <v/>
      </c>
      <c r="M255" s="79">
        <f>IF('Ordenes_Odoo'!M255="","",'Ordenes_Odoo'!M255)</f>
        <v/>
      </c>
      <c r="N255" s="79">
        <f>IF('Ordenes_Odoo'!N255="","",'Ordenes_Odoo'!N255)</f>
        <v/>
      </c>
      <c r="O255" s="81">
        <f>IF('Ordenes_Odoo'!O255="","",'Ordenes_Odoo'!O255)</f>
        <v/>
      </c>
      <c r="P255" s="81">
        <f>IF('Ordenes_Odoo'!P255="","",'Ordenes_Odoo'!P255)</f>
        <v/>
      </c>
      <c r="Q255" s="79">
        <f>IF(A255="","",IFERROR(INDEX(Facturas_Odoo!$B:$B, MATCH(A255, Facturas_Odoo!$D:$D, 0)), "Sin Factura"))</f>
        <v/>
      </c>
      <c r="R255" s="80">
        <f>IF(Q255="Sin Factura","",IFERROR(INDEX(Facturas_Odoo!$A:$A, MATCH(Q255, Facturas_Odoo!$B:$B, 0)), ""))</f>
        <v/>
      </c>
      <c r="S255" s="79">
        <f>IF(Q255="Sin Factura","",IFERROR(_xlfn.XLOOKUP(1, (Facturas_Odoo!$D:$D=A255) * (Facturas_Odoo!$K:$K=I255), Facturas_Odoo!$L:$L, ""), ""))</f>
        <v/>
      </c>
      <c r="T255" s="81">
        <f>IF(Q255="Sin Factura",0,IFERROR(_xlfn.XLOOKUP(1, (Facturas_Odoo!$D:$D=A255) * (Facturas_Odoo!$K:$K=I255), Facturas_Odoo!$M:$M, 0), 0))</f>
        <v/>
      </c>
      <c r="U255" s="79">
        <f>IF(Q255="Sin Factura",0,IFERROR(_xlfn.XLOOKUP(1, (Facturas_Odoo!$D:$D=A255) * (Facturas_Odoo!$K:$K=I255), Facturas_Odoo!$N:$N, 0), 0))</f>
        <v/>
      </c>
      <c r="V255" s="79">
        <f>IF(Q255="Sin Factura",0,IFERROR(_xlfn.XLOOKUP(1, (Facturas_Odoo!$D:$D=A255) * (Facturas_Odoo!$K:$K=I255), Facturas_Odoo!$O:$O, 0), 0))</f>
        <v/>
      </c>
      <c r="W255" s="81">
        <f>IF(Q255="Sin Factura",0,IFERROR(_xlfn.XLOOKUP(1, (Facturas_Odoo!$D:$D=A255) * (Facturas_Odoo!$K:$K=I255), Facturas_Odoo!$Q:$Q, 0), 0))</f>
        <v/>
      </c>
      <c r="X255" s="79">
        <f>IF(OR(Q255="Sin Factura",Q255=""),"",IFERROR(INDEX(Pagos_Odoo!$B:$B, MATCH(Q255, Pagos_Odoo!$I:$I, 0)), "Sin Pago"))</f>
        <v/>
      </c>
      <c r="Y255" s="79">
        <f>IF(X255="Sin Pago","",IFERROR(INDEX(Pagos_Odoo!$C:$C, MATCH(X255, Pagos_Odoo!$B:$B, 0)), ""))</f>
        <v/>
      </c>
      <c r="Z255" s="80">
        <f>IF(X255="Sin Pago","",IFERROR(INDEX(Pagos_Odoo!$A:$A, MATCH(X255, Pagos_Odoo!$B:$B, 0)), ""))</f>
        <v/>
      </c>
      <c r="AA255" s="79">
        <f>IF(X255="Sin Pago","",IFERROR(INDEX(Pagos_Odoo!$F:$F, MATCH(X255, Pagos_Odoo!$B:$B, 0)), ""))</f>
        <v/>
      </c>
      <c r="AB255" s="81">
        <f>IF(X255="Sin Pago",0,IFERROR(INDEX(Pagos_Odoo!$E:$E, MATCH(X255, Pagos_Odoo!$B:$B, 0)), 0))</f>
        <v/>
      </c>
      <c r="AC255" s="79">
        <f>IF(X255="Sin Pago","",IFERROR(INDEX(Pagos_Odoo!$G:$G, MATCH(X255, Pagos_Odoo!$B:$B, 0)), ""))</f>
        <v/>
      </c>
      <c r="AD255" s="82" t="n">
        <v>0</v>
      </c>
      <c r="AE255" s="82" t="n"/>
      <c r="AF255" s="82" t="n"/>
      <c r="AG255" s="82">
        <f>IF(AN255="","",AD255+AE255+AF255)</f>
        <v/>
      </c>
      <c r="AH255" s="81">
        <f>IF(AN255="","",P255*(1-AG255))</f>
        <v/>
      </c>
      <c r="AI255" s="81">
        <f>IF(AN255="","",IF(Q255="Sin Factura",0,IFERROR(INDEX(Facturas_Odoo!$H:$H, MATCH(Q255, Facturas_Odoo!$B:$B, 0)), 0)*(1-AG255)))</f>
        <v/>
      </c>
      <c r="AJ255" s="81">
        <f>IF(AN255="","",_xlfn.LET(idVenta, AN255&amp;"",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5" s="81">
        <f>IF(AN255="","",AH255-AJ255)</f>
        <v/>
      </c>
      <c r="AL255" s="81">
        <f>IF(AN255="","",IF(Q255="Sin Factura","",AI255-AJ255))</f>
        <v/>
      </c>
      <c r="AM255" s="81">
        <f>IF(AN255="","",IF(Q255="Sin Factura",0,P255-IFERROR(INDEX(Facturas_Odoo!$H:$H, MATCH(Q255, Facturas_Odoo!$B:$B, 0)), 0)))</f>
        <v/>
      </c>
      <c r="AN255" s="79">
        <f>IF(AND(A255="", J255=""), "", IF(A255&lt;&gt;"", VALUE(MID(A255,2,LEN(A255))), AN254))</f>
        <v/>
      </c>
      <c r="AO255" s="79">
        <f>IF(AN255="","",IF(AD255=0,"OK",_xlfn.LET(monedaPago, IF(AA255="","USD",AA255), limitePermitido, IFERROR(VLOOKUP(monedaPago, Configuración!$A$2:$B$3, 2, FALSE), 0.15), IF(AD255&gt;limitePermitido, "ALERTA: EXCESO (" &amp; TEXT(limitePermitido, "0%") &amp; " máx)", "OK"))))</f>
        <v/>
      </c>
      <c r="AP255" s="79">
        <f>IF(AN255="","",IF(AE255=0,"OK",_xlfn.LET(fechaPago, Z255, fechaFactura, R255, diasCredito, IF(E255="Pago inmediato", 0, IFERROR(VALUE(MID(E255, 1, SEARCH(" ", E255)-1)),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5" s="79">
        <f>IF(AN255="","",IF(AND(N255&gt;0, AG255&gt;0), IF(Configuración!$K$2="NO", "ALERTA: DESCUENTO DOBLE NO PERMITIDO", "OK"), "OK"))</f>
        <v/>
      </c>
      <c r="AR255" s="79">
        <f>IF(AN255="","",IF(OR(AO255&lt;&gt;"OK", AP255&lt;&gt;"OK", AQ255&lt;&gt;"OK"), "⚠️ REVISAR", "OK"))</f>
        <v/>
      </c>
    </row>
    <row r="256">
      <c r="A256" s="79">
        <f>IF('Ordenes_Odoo'!A256="","",'Ordenes_Odoo'!A256)</f>
        <v/>
      </c>
      <c r="B256" s="80">
        <f>IF('Ordenes_Odoo'!B256="","",'Ordenes_Odoo'!B256)</f>
        <v/>
      </c>
      <c r="C256" s="79">
        <f>IF('Ordenes_Odoo'!C256="","",'Ordenes_Odoo'!C256)</f>
        <v/>
      </c>
      <c r="D256" s="79">
        <f>IF('Ordenes_Odoo'!D256="","",'Ordenes_Odoo'!D256)</f>
        <v/>
      </c>
      <c r="E256" s="79">
        <f>IF('Ordenes_Odoo'!E256="","",'Ordenes_Odoo'!E256)</f>
        <v/>
      </c>
      <c r="F256" s="79">
        <f>IF('Ordenes_Odoo'!F256="","",'Ordenes_Odoo'!F256)</f>
        <v/>
      </c>
      <c r="G256" s="79">
        <f>IF('Ordenes_Odoo'!G256="","",'Ordenes_Odoo'!G256)</f>
        <v/>
      </c>
      <c r="H256" s="79">
        <f>IF('Ordenes_Odoo'!H256="","",'Ordenes_Odoo'!H256)</f>
        <v/>
      </c>
      <c r="I256" s="79">
        <f>IF('Ordenes_Odoo'!I256="","",'Ordenes_Odoo'!I256)</f>
        <v/>
      </c>
      <c r="J256" s="79">
        <f>IF('Ordenes_Odoo'!J256="","",'Ordenes_Odoo'!J256)</f>
        <v/>
      </c>
      <c r="K256" s="81">
        <f>IF('Ordenes_Odoo'!K256="","",'Ordenes_Odoo'!K256)</f>
        <v/>
      </c>
      <c r="L256" s="81">
        <f>IF('Ordenes_Odoo'!L256="","",'Ordenes_Odoo'!L256)</f>
        <v/>
      </c>
      <c r="M256" s="79">
        <f>IF('Ordenes_Odoo'!M256="","",'Ordenes_Odoo'!M256)</f>
        <v/>
      </c>
      <c r="N256" s="79">
        <f>IF('Ordenes_Odoo'!N256="","",'Ordenes_Odoo'!N256)</f>
        <v/>
      </c>
      <c r="O256" s="81">
        <f>IF('Ordenes_Odoo'!O256="","",'Ordenes_Odoo'!O256)</f>
        <v/>
      </c>
      <c r="P256" s="81">
        <f>IF('Ordenes_Odoo'!P256="","",'Ordenes_Odoo'!P256)</f>
        <v/>
      </c>
      <c r="Q256" s="79">
        <f>IF(A256="","",IFERROR(INDEX(Facturas_Odoo!$B:$B, MATCH(A256, Facturas_Odoo!$D:$D, 0)), "Sin Factura"))</f>
        <v/>
      </c>
      <c r="R256" s="80">
        <f>IF(Q256="Sin Factura","",IFERROR(INDEX(Facturas_Odoo!$A:$A, MATCH(Q256, Facturas_Odoo!$B:$B, 0)), ""))</f>
        <v/>
      </c>
      <c r="S256" s="79">
        <f>IF(Q256="Sin Factura","",IFERROR(_xlfn.XLOOKUP(1, (Facturas_Odoo!$D:$D=A256) * (Facturas_Odoo!$K:$K=I256), Facturas_Odoo!$L:$L, ""), ""))</f>
        <v/>
      </c>
      <c r="T256" s="81">
        <f>IF(Q256="Sin Factura",0,IFERROR(_xlfn.XLOOKUP(1, (Facturas_Odoo!$D:$D=A256) * (Facturas_Odoo!$K:$K=I256), Facturas_Odoo!$M:$M, 0), 0))</f>
        <v/>
      </c>
      <c r="U256" s="79">
        <f>IF(Q256="Sin Factura",0,IFERROR(_xlfn.XLOOKUP(1, (Facturas_Odoo!$D:$D=A256) * (Facturas_Odoo!$K:$K=I256), Facturas_Odoo!$N:$N, 0), 0))</f>
        <v/>
      </c>
      <c r="V256" s="79">
        <f>IF(Q256="Sin Factura",0,IFERROR(_xlfn.XLOOKUP(1, (Facturas_Odoo!$D:$D=A256) * (Facturas_Odoo!$K:$K=I256), Facturas_Odoo!$O:$O, 0), 0))</f>
        <v/>
      </c>
      <c r="W256" s="81">
        <f>IF(Q256="Sin Factura",0,IFERROR(_xlfn.XLOOKUP(1, (Facturas_Odoo!$D:$D=A256) * (Facturas_Odoo!$K:$K=I256), Facturas_Odoo!$Q:$Q, 0), 0))</f>
        <v/>
      </c>
      <c r="X256" s="79">
        <f>IF(OR(Q256="Sin Factura",Q256=""),"",IFERROR(INDEX(Pagos_Odoo!$B:$B, MATCH(Q256, Pagos_Odoo!$I:$I, 0)), "Sin Pago"))</f>
        <v/>
      </c>
      <c r="Y256" s="79">
        <f>IF(X256="Sin Pago","",IFERROR(INDEX(Pagos_Odoo!$C:$C, MATCH(X256, Pagos_Odoo!$B:$B, 0)), ""))</f>
        <v/>
      </c>
      <c r="Z256" s="80">
        <f>IF(X256="Sin Pago","",IFERROR(INDEX(Pagos_Odoo!$A:$A, MATCH(X256, Pagos_Odoo!$B:$B, 0)), ""))</f>
        <v/>
      </c>
      <c r="AA256" s="79">
        <f>IF(X256="Sin Pago","",IFERROR(INDEX(Pagos_Odoo!$F:$F, MATCH(X256, Pagos_Odoo!$B:$B, 0)), ""))</f>
        <v/>
      </c>
      <c r="AB256" s="81">
        <f>IF(X256="Sin Pago",0,IFERROR(INDEX(Pagos_Odoo!$E:$E, MATCH(X256, Pagos_Odoo!$B:$B, 0)), 0))</f>
        <v/>
      </c>
      <c r="AC256" s="79">
        <f>IF(X256="Sin Pago","",IFERROR(INDEX(Pagos_Odoo!$G:$G, MATCH(X256, Pagos_Odoo!$B:$B, 0)), ""))</f>
        <v/>
      </c>
      <c r="AD256" s="82" t="n">
        <v>0</v>
      </c>
      <c r="AE256" s="82" t="n"/>
      <c r="AF256" s="82" t="n"/>
      <c r="AG256" s="82">
        <f>IF(AN256="","",AD256+AE256+AF256)</f>
        <v/>
      </c>
      <c r="AH256" s="81">
        <f>IF(AN256="","",P256*(1-AG256))</f>
        <v/>
      </c>
      <c r="AI256" s="81">
        <f>IF(AN256="","",IF(Q256="Sin Factura",0,IFERROR(INDEX(Facturas_Odoo!$H:$H, MATCH(Q256, Facturas_Odoo!$B:$B, 0)), 0)*(1-AG256)))</f>
        <v/>
      </c>
      <c r="AJ256" s="81">
        <f>IF(AN256="","",_xlfn.LET(idVenta, AN256&amp;"",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6" s="81">
        <f>IF(AN256="","",AH256-AJ256)</f>
        <v/>
      </c>
      <c r="AL256" s="81">
        <f>IF(AN256="","",IF(Q256="Sin Factura","",AI256-AJ256))</f>
        <v/>
      </c>
      <c r="AM256" s="81">
        <f>IF(AN256="","",IF(Q256="Sin Factura",0,P256-IFERROR(INDEX(Facturas_Odoo!$H:$H, MATCH(Q256, Facturas_Odoo!$B:$B, 0)), 0)))</f>
        <v/>
      </c>
      <c r="AN256" s="79">
        <f>IF(AND(A256="", J256=""), "", IF(A256&lt;&gt;"", VALUE(MID(A256,2,LEN(A256))), AN255))</f>
        <v/>
      </c>
      <c r="AO256" s="79">
        <f>IF(AN256="","",IF(AD256=0,"OK",_xlfn.LET(monedaPago, IF(AA256="","USD",AA256), limitePermitido, IFERROR(VLOOKUP(monedaPago, Configuración!$A$2:$B$3, 2, FALSE), 0.15), IF(AD256&gt;limitePermitido, "ALERTA: EXCESO (" &amp; TEXT(limitePermitido, "0%") &amp; " máx)", "OK"))))</f>
        <v/>
      </c>
      <c r="AP256" s="79">
        <f>IF(AN256="","",IF(AE256=0,"OK",_xlfn.LET(fechaPago, Z256, fechaFactura, R256, diasCredito, IF(E256="Pago inmediato", 0, IFERROR(VALUE(MID(E256, 1, SEARCH(" ", E256)-1)),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6" s="79">
        <f>IF(AN256="","",IF(AND(N256&gt;0, AG256&gt;0), IF(Configuración!$K$2="NO", "ALERTA: DESCUENTO DOBLE NO PERMITIDO", "OK"), "OK"))</f>
        <v/>
      </c>
      <c r="AR256" s="79">
        <f>IF(AN256="","",IF(OR(AO256&lt;&gt;"OK", AP256&lt;&gt;"OK", AQ256&lt;&gt;"OK"), "⚠️ REVISAR", "OK"))</f>
        <v/>
      </c>
    </row>
    <row r="257">
      <c r="A257" s="79">
        <f>IF('Ordenes_Odoo'!A257="","",'Ordenes_Odoo'!A257)</f>
        <v/>
      </c>
      <c r="B257" s="80">
        <f>IF('Ordenes_Odoo'!B257="","",'Ordenes_Odoo'!B257)</f>
        <v/>
      </c>
      <c r="C257" s="79">
        <f>IF('Ordenes_Odoo'!C257="","",'Ordenes_Odoo'!C257)</f>
        <v/>
      </c>
      <c r="D257" s="79">
        <f>IF('Ordenes_Odoo'!D257="","",'Ordenes_Odoo'!D257)</f>
        <v/>
      </c>
      <c r="E257" s="79">
        <f>IF('Ordenes_Odoo'!E257="","",'Ordenes_Odoo'!E257)</f>
        <v/>
      </c>
      <c r="F257" s="79">
        <f>IF('Ordenes_Odoo'!F257="","",'Ordenes_Odoo'!F257)</f>
        <v/>
      </c>
      <c r="G257" s="79">
        <f>IF('Ordenes_Odoo'!G257="","",'Ordenes_Odoo'!G257)</f>
        <v/>
      </c>
      <c r="H257" s="79">
        <f>IF('Ordenes_Odoo'!H257="","",'Ordenes_Odoo'!H257)</f>
        <v/>
      </c>
      <c r="I257" s="79">
        <f>IF('Ordenes_Odoo'!I257="","",'Ordenes_Odoo'!I257)</f>
        <v/>
      </c>
      <c r="J257" s="79">
        <f>IF('Ordenes_Odoo'!J257="","",'Ordenes_Odoo'!J257)</f>
        <v/>
      </c>
      <c r="K257" s="81">
        <f>IF('Ordenes_Odoo'!K257="","",'Ordenes_Odoo'!K257)</f>
        <v/>
      </c>
      <c r="L257" s="81">
        <f>IF('Ordenes_Odoo'!L257="","",'Ordenes_Odoo'!L257)</f>
        <v/>
      </c>
      <c r="M257" s="79">
        <f>IF('Ordenes_Odoo'!M257="","",'Ordenes_Odoo'!M257)</f>
        <v/>
      </c>
      <c r="N257" s="79">
        <f>IF('Ordenes_Odoo'!N257="","",'Ordenes_Odoo'!N257)</f>
        <v/>
      </c>
      <c r="O257" s="81">
        <f>IF('Ordenes_Odoo'!O257="","",'Ordenes_Odoo'!O257)</f>
        <v/>
      </c>
      <c r="P257" s="81">
        <f>IF('Ordenes_Odoo'!P257="","",'Ordenes_Odoo'!P257)</f>
        <v/>
      </c>
      <c r="Q257" s="79">
        <f>IF(A257="","",IFERROR(INDEX(Facturas_Odoo!$B:$B, MATCH(A257, Facturas_Odoo!$D:$D, 0)), "Sin Factura"))</f>
        <v/>
      </c>
      <c r="R257" s="80">
        <f>IF(Q257="Sin Factura","",IFERROR(INDEX(Facturas_Odoo!$A:$A, MATCH(Q257, Facturas_Odoo!$B:$B, 0)), ""))</f>
        <v/>
      </c>
      <c r="S257" s="79">
        <f>IF(Q257="Sin Factura","",IFERROR(_xlfn.XLOOKUP(1, (Facturas_Odoo!$D:$D=A257) * (Facturas_Odoo!$K:$K=I257), Facturas_Odoo!$L:$L, ""), ""))</f>
        <v/>
      </c>
      <c r="T257" s="81">
        <f>IF(Q257="Sin Factura",0,IFERROR(_xlfn.XLOOKUP(1, (Facturas_Odoo!$D:$D=A257) * (Facturas_Odoo!$K:$K=I257), Facturas_Odoo!$M:$M, 0), 0))</f>
        <v/>
      </c>
      <c r="U257" s="79">
        <f>IF(Q257="Sin Factura",0,IFERROR(_xlfn.XLOOKUP(1, (Facturas_Odoo!$D:$D=A257) * (Facturas_Odoo!$K:$K=I257), Facturas_Odoo!$N:$N, 0), 0))</f>
        <v/>
      </c>
      <c r="V257" s="79">
        <f>IF(Q257="Sin Factura",0,IFERROR(_xlfn.XLOOKUP(1, (Facturas_Odoo!$D:$D=A257) * (Facturas_Odoo!$K:$K=I257), Facturas_Odoo!$O:$O, 0), 0))</f>
        <v/>
      </c>
      <c r="W257" s="81">
        <f>IF(Q257="Sin Factura",0,IFERROR(_xlfn.XLOOKUP(1, (Facturas_Odoo!$D:$D=A257) * (Facturas_Odoo!$K:$K=I257), Facturas_Odoo!$Q:$Q, 0), 0))</f>
        <v/>
      </c>
      <c r="X257" s="79">
        <f>IF(OR(Q257="Sin Factura",Q257=""),"",IFERROR(INDEX(Pagos_Odoo!$B:$B, MATCH(Q257, Pagos_Odoo!$I:$I, 0)), "Sin Pago"))</f>
        <v/>
      </c>
      <c r="Y257" s="79">
        <f>IF(X257="Sin Pago","",IFERROR(INDEX(Pagos_Odoo!$C:$C, MATCH(X257, Pagos_Odoo!$B:$B, 0)), ""))</f>
        <v/>
      </c>
      <c r="Z257" s="80">
        <f>IF(X257="Sin Pago","",IFERROR(INDEX(Pagos_Odoo!$A:$A, MATCH(X257, Pagos_Odoo!$B:$B, 0)), ""))</f>
        <v/>
      </c>
      <c r="AA257" s="79">
        <f>IF(X257="Sin Pago","",IFERROR(INDEX(Pagos_Odoo!$F:$F, MATCH(X257, Pagos_Odoo!$B:$B, 0)), ""))</f>
        <v/>
      </c>
      <c r="AB257" s="81">
        <f>IF(X257="Sin Pago",0,IFERROR(INDEX(Pagos_Odoo!$E:$E, MATCH(X257, Pagos_Odoo!$B:$B, 0)), 0))</f>
        <v/>
      </c>
      <c r="AC257" s="79">
        <f>IF(X257="Sin Pago","",IFERROR(INDEX(Pagos_Odoo!$G:$G, MATCH(X257, Pagos_Odoo!$B:$B, 0)), ""))</f>
        <v/>
      </c>
      <c r="AD257" s="82" t="n">
        <v>0</v>
      </c>
      <c r="AE257" s="82" t="n"/>
      <c r="AF257" s="82" t="n"/>
      <c r="AG257" s="82">
        <f>IF(AN257="","",AD257+AE257+AF257)</f>
        <v/>
      </c>
      <c r="AH257" s="81">
        <f>IF(AN257="","",P257*(1-AG257))</f>
        <v/>
      </c>
      <c r="AI257" s="81">
        <f>IF(AN257="","",IF(Q257="Sin Factura",0,IFERROR(INDEX(Facturas_Odoo!$H:$H, MATCH(Q257, Facturas_Odoo!$B:$B, 0)), 0)*(1-AG257)))</f>
        <v/>
      </c>
      <c r="AJ257" s="81">
        <f>IF(AN257="","",_xlfn.LET(idVenta, AN257&amp;"",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7" s="81">
        <f>IF(AN257="","",AH257-AJ257)</f>
        <v/>
      </c>
      <c r="AL257" s="81">
        <f>IF(AN257="","",IF(Q257="Sin Factura","",AI257-AJ257))</f>
        <v/>
      </c>
      <c r="AM257" s="81">
        <f>IF(AN257="","",IF(Q257="Sin Factura",0,P257-IFERROR(INDEX(Facturas_Odoo!$H:$H, MATCH(Q257, Facturas_Odoo!$B:$B, 0)), 0)))</f>
        <v/>
      </c>
      <c r="AN257" s="79">
        <f>IF(AND(A257="", J257=""), "", IF(A257&lt;&gt;"", VALUE(MID(A257,2,LEN(A257))), AN256))</f>
        <v/>
      </c>
      <c r="AO257" s="79">
        <f>IF(AN257="","",IF(AD257=0,"OK",_xlfn.LET(monedaPago, IF(AA257="","USD",AA257), limitePermitido, IFERROR(VLOOKUP(monedaPago, Configuración!$A$2:$B$3, 2, FALSE), 0.15), IF(AD257&gt;limitePermitido, "ALERTA: EXCESO (" &amp; TEXT(limitePermitido, "0%") &amp; " máx)", "OK"))))</f>
        <v/>
      </c>
      <c r="AP257" s="79">
        <f>IF(AN257="","",IF(AE257=0,"OK",_xlfn.LET(fechaPago, Z257, fechaFactura, R257, diasCredito, IF(E257="Pago inmediato", 0, IFERROR(VALUE(MID(E257, 1, SEARCH(" ", E257)-1)),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7" s="79">
        <f>IF(AN257="","",IF(AND(N257&gt;0, AG257&gt;0), IF(Configuración!$K$2="NO", "ALERTA: DESCUENTO DOBLE NO PERMITIDO", "OK"), "OK"))</f>
        <v/>
      </c>
      <c r="AR257" s="79">
        <f>IF(AN257="","",IF(OR(AO257&lt;&gt;"OK", AP257&lt;&gt;"OK", AQ257&lt;&gt;"OK"), "⚠️ REVISAR", "OK"))</f>
        <v/>
      </c>
    </row>
    <row r="258">
      <c r="A258" s="79">
        <f>IF('Ordenes_Odoo'!A258="","",'Ordenes_Odoo'!A258)</f>
        <v/>
      </c>
      <c r="B258" s="80">
        <f>IF('Ordenes_Odoo'!B258="","",'Ordenes_Odoo'!B258)</f>
        <v/>
      </c>
      <c r="C258" s="79">
        <f>IF('Ordenes_Odoo'!C258="","",'Ordenes_Odoo'!C258)</f>
        <v/>
      </c>
      <c r="D258" s="79">
        <f>IF('Ordenes_Odoo'!D258="","",'Ordenes_Odoo'!D258)</f>
        <v/>
      </c>
      <c r="E258" s="79">
        <f>IF('Ordenes_Odoo'!E258="","",'Ordenes_Odoo'!E258)</f>
        <v/>
      </c>
      <c r="F258" s="79">
        <f>IF('Ordenes_Odoo'!F258="","",'Ordenes_Odoo'!F258)</f>
        <v/>
      </c>
      <c r="G258" s="79">
        <f>IF('Ordenes_Odoo'!G258="","",'Ordenes_Odoo'!G258)</f>
        <v/>
      </c>
      <c r="H258" s="79">
        <f>IF('Ordenes_Odoo'!H258="","",'Ordenes_Odoo'!H258)</f>
        <v/>
      </c>
      <c r="I258" s="79">
        <f>IF('Ordenes_Odoo'!I258="","",'Ordenes_Odoo'!I258)</f>
        <v/>
      </c>
      <c r="J258" s="79">
        <f>IF('Ordenes_Odoo'!J258="","",'Ordenes_Odoo'!J258)</f>
        <v/>
      </c>
      <c r="K258" s="81">
        <f>IF('Ordenes_Odoo'!K258="","",'Ordenes_Odoo'!K258)</f>
        <v/>
      </c>
      <c r="L258" s="81">
        <f>IF('Ordenes_Odoo'!L258="","",'Ordenes_Odoo'!L258)</f>
        <v/>
      </c>
      <c r="M258" s="79">
        <f>IF('Ordenes_Odoo'!M258="","",'Ordenes_Odoo'!M258)</f>
        <v/>
      </c>
      <c r="N258" s="79">
        <f>IF('Ordenes_Odoo'!N258="","",'Ordenes_Odoo'!N258)</f>
        <v/>
      </c>
      <c r="O258" s="81">
        <f>IF('Ordenes_Odoo'!O258="","",'Ordenes_Odoo'!O258)</f>
        <v/>
      </c>
      <c r="P258" s="81">
        <f>IF('Ordenes_Odoo'!P258="","",'Ordenes_Odoo'!P258)</f>
        <v/>
      </c>
      <c r="Q258" s="79">
        <f>IF(A258="","",IFERROR(INDEX(Facturas_Odoo!$B:$B, MATCH(A258, Facturas_Odoo!$D:$D, 0)), "Sin Factura"))</f>
        <v/>
      </c>
      <c r="R258" s="80">
        <f>IF(Q258="Sin Factura","",IFERROR(INDEX(Facturas_Odoo!$A:$A, MATCH(Q258, Facturas_Odoo!$B:$B, 0)), ""))</f>
        <v/>
      </c>
      <c r="S258" s="79">
        <f>IF(Q258="Sin Factura","",IFERROR(_xlfn.XLOOKUP(1, (Facturas_Odoo!$D:$D=A258) * (Facturas_Odoo!$K:$K=I258), Facturas_Odoo!$L:$L, ""), ""))</f>
        <v/>
      </c>
      <c r="T258" s="81">
        <f>IF(Q258="Sin Factura",0,IFERROR(_xlfn.XLOOKUP(1, (Facturas_Odoo!$D:$D=A258) * (Facturas_Odoo!$K:$K=I258), Facturas_Odoo!$M:$M, 0), 0))</f>
        <v/>
      </c>
      <c r="U258" s="79">
        <f>IF(Q258="Sin Factura",0,IFERROR(_xlfn.XLOOKUP(1, (Facturas_Odoo!$D:$D=A258) * (Facturas_Odoo!$K:$K=I258), Facturas_Odoo!$N:$N, 0), 0))</f>
        <v/>
      </c>
      <c r="V258" s="79">
        <f>IF(Q258="Sin Factura",0,IFERROR(_xlfn.XLOOKUP(1, (Facturas_Odoo!$D:$D=A258) * (Facturas_Odoo!$K:$K=I258), Facturas_Odoo!$O:$O, 0), 0))</f>
        <v/>
      </c>
      <c r="W258" s="81">
        <f>IF(Q258="Sin Factura",0,IFERROR(_xlfn.XLOOKUP(1, (Facturas_Odoo!$D:$D=A258) * (Facturas_Odoo!$K:$K=I258), Facturas_Odoo!$Q:$Q, 0), 0))</f>
        <v/>
      </c>
      <c r="X258" s="79">
        <f>IF(OR(Q258="Sin Factura",Q258=""),"",IFERROR(INDEX(Pagos_Odoo!$B:$B, MATCH(Q258, Pagos_Odoo!$I:$I, 0)), "Sin Pago"))</f>
        <v/>
      </c>
      <c r="Y258" s="79">
        <f>IF(X258="Sin Pago","",IFERROR(INDEX(Pagos_Odoo!$C:$C, MATCH(X258, Pagos_Odoo!$B:$B, 0)), ""))</f>
        <v/>
      </c>
      <c r="Z258" s="80">
        <f>IF(X258="Sin Pago","",IFERROR(INDEX(Pagos_Odoo!$A:$A, MATCH(X258, Pagos_Odoo!$B:$B, 0)), ""))</f>
        <v/>
      </c>
      <c r="AA258" s="79">
        <f>IF(X258="Sin Pago","",IFERROR(INDEX(Pagos_Odoo!$F:$F, MATCH(X258, Pagos_Odoo!$B:$B, 0)), ""))</f>
        <v/>
      </c>
      <c r="AB258" s="81">
        <f>IF(X258="Sin Pago",0,IFERROR(INDEX(Pagos_Odoo!$E:$E, MATCH(X258, Pagos_Odoo!$B:$B, 0)), 0))</f>
        <v/>
      </c>
      <c r="AC258" s="79">
        <f>IF(X258="Sin Pago","",IFERROR(INDEX(Pagos_Odoo!$G:$G, MATCH(X258, Pagos_Odoo!$B:$B, 0)), ""))</f>
        <v/>
      </c>
      <c r="AD258" s="82" t="n">
        <v>0</v>
      </c>
      <c r="AE258" s="82" t="n"/>
      <c r="AF258" s="82" t="n"/>
      <c r="AG258" s="82">
        <f>IF(AN258="","",AD258+AE258+AF258)</f>
        <v/>
      </c>
      <c r="AH258" s="81">
        <f>IF(AN258="","",P258*(1-AG258))</f>
        <v/>
      </c>
      <c r="AI258" s="81">
        <f>IF(AN258="","",IF(Q258="Sin Factura",0,IFERROR(INDEX(Facturas_Odoo!$H:$H, MATCH(Q258, Facturas_Odoo!$B:$B, 0)), 0)*(1-AG258)))</f>
        <v/>
      </c>
      <c r="AJ258" s="81">
        <f>IF(AN258="","",_xlfn.LET(idVenta, AN258&amp;"",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8" s="81">
        <f>IF(AN258="","",AH258-AJ258)</f>
        <v/>
      </c>
      <c r="AL258" s="81">
        <f>IF(AN258="","",IF(Q258="Sin Factura","",AI258-AJ258))</f>
        <v/>
      </c>
      <c r="AM258" s="81">
        <f>IF(AN258="","",IF(Q258="Sin Factura",0,P258-IFERROR(INDEX(Facturas_Odoo!$H:$H, MATCH(Q258, Facturas_Odoo!$B:$B, 0)), 0)))</f>
        <v/>
      </c>
      <c r="AN258" s="79">
        <f>IF(AND(A258="", J258=""), "", IF(A258&lt;&gt;"", VALUE(MID(A258,2,LEN(A258))), AN257))</f>
        <v/>
      </c>
      <c r="AO258" s="79">
        <f>IF(AN258="","",IF(AD258=0,"OK",_xlfn.LET(monedaPago, IF(AA258="","USD",AA258), limitePermitido, IFERROR(VLOOKUP(monedaPago, Configuración!$A$2:$B$3, 2, FALSE), 0.15), IF(AD258&gt;limitePermitido, "ALERTA: EXCESO (" &amp; TEXT(limitePermitido, "0%") &amp; " máx)", "OK"))))</f>
        <v/>
      </c>
      <c r="AP258" s="79">
        <f>IF(AN258="","",IF(AE258=0,"OK",_xlfn.LET(fechaPago, Z258, fechaFactura, R258, diasCredito, IF(E258="Pago inmediato", 0, IFERROR(VALUE(MID(E258, 1, SEARCH(" ", E258)-1)),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8" s="79">
        <f>IF(AN258="","",IF(AND(N258&gt;0, AG258&gt;0), IF(Configuración!$K$2="NO", "ALERTA: DESCUENTO DOBLE NO PERMITIDO", "OK"), "OK"))</f>
        <v/>
      </c>
      <c r="AR258" s="79">
        <f>IF(AN258="","",IF(OR(AO258&lt;&gt;"OK", AP258&lt;&gt;"OK", AQ258&lt;&gt;"OK"), "⚠️ REVISAR", "OK"))</f>
        <v/>
      </c>
    </row>
    <row r="259">
      <c r="A259" s="79">
        <f>IF('Ordenes_Odoo'!A259="","",'Ordenes_Odoo'!A259)</f>
        <v/>
      </c>
      <c r="B259" s="80">
        <f>IF('Ordenes_Odoo'!B259="","",'Ordenes_Odoo'!B259)</f>
        <v/>
      </c>
      <c r="C259" s="79">
        <f>IF('Ordenes_Odoo'!C259="","",'Ordenes_Odoo'!C259)</f>
        <v/>
      </c>
      <c r="D259" s="79">
        <f>IF('Ordenes_Odoo'!D259="","",'Ordenes_Odoo'!D259)</f>
        <v/>
      </c>
      <c r="E259" s="79">
        <f>IF('Ordenes_Odoo'!E259="","",'Ordenes_Odoo'!E259)</f>
        <v/>
      </c>
      <c r="F259" s="79">
        <f>IF('Ordenes_Odoo'!F259="","",'Ordenes_Odoo'!F259)</f>
        <v/>
      </c>
      <c r="G259" s="79">
        <f>IF('Ordenes_Odoo'!G259="","",'Ordenes_Odoo'!G259)</f>
        <v/>
      </c>
      <c r="H259" s="79">
        <f>IF('Ordenes_Odoo'!H259="","",'Ordenes_Odoo'!H259)</f>
        <v/>
      </c>
      <c r="I259" s="79">
        <f>IF('Ordenes_Odoo'!I259="","",'Ordenes_Odoo'!I259)</f>
        <v/>
      </c>
      <c r="J259" s="79">
        <f>IF('Ordenes_Odoo'!J259="","",'Ordenes_Odoo'!J259)</f>
        <v/>
      </c>
      <c r="K259" s="81">
        <f>IF('Ordenes_Odoo'!K259="","",'Ordenes_Odoo'!K259)</f>
        <v/>
      </c>
      <c r="L259" s="81">
        <f>IF('Ordenes_Odoo'!L259="","",'Ordenes_Odoo'!L259)</f>
        <v/>
      </c>
      <c r="M259" s="79">
        <f>IF('Ordenes_Odoo'!M259="","",'Ordenes_Odoo'!M259)</f>
        <v/>
      </c>
      <c r="N259" s="79">
        <f>IF('Ordenes_Odoo'!N259="","",'Ordenes_Odoo'!N259)</f>
        <v/>
      </c>
      <c r="O259" s="81">
        <f>IF('Ordenes_Odoo'!O259="","",'Ordenes_Odoo'!O259)</f>
        <v/>
      </c>
      <c r="P259" s="81">
        <f>IF('Ordenes_Odoo'!P259="","",'Ordenes_Odoo'!P259)</f>
        <v/>
      </c>
      <c r="Q259" s="79">
        <f>IF(A259="","",IFERROR(INDEX(Facturas_Odoo!$B:$B, MATCH(A259, Facturas_Odoo!$D:$D, 0)), "Sin Factura"))</f>
        <v/>
      </c>
      <c r="R259" s="80">
        <f>IF(Q259="Sin Factura","",IFERROR(INDEX(Facturas_Odoo!$A:$A, MATCH(Q259, Facturas_Odoo!$B:$B, 0)), ""))</f>
        <v/>
      </c>
      <c r="S259" s="79">
        <f>IF(Q259="Sin Factura","",IFERROR(_xlfn.XLOOKUP(1, (Facturas_Odoo!$D:$D=A259) * (Facturas_Odoo!$K:$K=I259), Facturas_Odoo!$L:$L, ""), ""))</f>
        <v/>
      </c>
      <c r="T259" s="81">
        <f>IF(Q259="Sin Factura",0,IFERROR(_xlfn.XLOOKUP(1, (Facturas_Odoo!$D:$D=A259) * (Facturas_Odoo!$K:$K=I259), Facturas_Odoo!$M:$M, 0), 0))</f>
        <v/>
      </c>
      <c r="U259" s="79">
        <f>IF(Q259="Sin Factura",0,IFERROR(_xlfn.XLOOKUP(1, (Facturas_Odoo!$D:$D=A259) * (Facturas_Odoo!$K:$K=I259), Facturas_Odoo!$N:$N, 0), 0))</f>
        <v/>
      </c>
      <c r="V259" s="79">
        <f>IF(Q259="Sin Factura",0,IFERROR(_xlfn.XLOOKUP(1, (Facturas_Odoo!$D:$D=A259) * (Facturas_Odoo!$K:$K=I259), Facturas_Odoo!$O:$O, 0), 0))</f>
        <v/>
      </c>
      <c r="W259" s="81">
        <f>IF(Q259="Sin Factura",0,IFERROR(_xlfn.XLOOKUP(1, (Facturas_Odoo!$D:$D=A259) * (Facturas_Odoo!$K:$K=I259), Facturas_Odoo!$Q:$Q, 0), 0))</f>
        <v/>
      </c>
      <c r="X259" s="79">
        <f>IF(OR(Q259="Sin Factura",Q259=""),"",IFERROR(INDEX(Pagos_Odoo!$B:$B, MATCH(Q259, Pagos_Odoo!$I:$I, 0)), "Sin Pago"))</f>
        <v/>
      </c>
      <c r="Y259" s="79">
        <f>IF(X259="Sin Pago","",IFERROR(INDEX(Pagos_Odoo!$C:$C, MATCH(X259, Pagos_Odoo!$B:$B, 0)), ""))</f>
        <v/>
      </c>
      <c r="Z259" s="80">
        <f>IF(X259="Sin Pago","",IFERROR(INDEX(Pagos_Odoo!$A:$A, MATCH(X259, Pagos_Odoo!$B:$B, 0)), ""))</f>
        <v/>
      </c>
      <c r="AA259" s="79">
        <f>IF(X259="Sin Pago","",IFERROR(INDEX(Pagos_Odoo!$F:$F, MATCH(X259, Pagos_Odoo!$B:$B, 0)), ""))</f>
        <v/>
      </c>
      <c r="AB259" s="81">
        <f>IF(X259="Sin Pago",0,IFERROR(INDEX(Pagos_Odoo!$E:$E, MATCH(X259, Pagos_Odoo!$B:$B, 0)), 0))</f>
        <v/>
      </c>
      <c r="AC259" s="79">
        <f>IF(X259="Sin Pago","",IFERROR(INDEX(Pagos_Odoo!$G:$G, MATCH(X259, Pagos_Odoo!$B:$B, 0)), ""))</f>
        <v/>
      </c>
      <c r="AD259" s="82" t="n">
        <v>0</v>
      </c>
      <c r="AE259" s="82" t="n"/>
      <c r="AF259" s="82" t="n"/>
      <c r="AG259" s="82">
        <f>IF(AN259="","",AD259+AE259+AF259)</f>
        <v/>
      </c>
      <c r="AH259" s="81">
        <f>IF(AN259="","",P259*(1-AG259))</f>
        <v/>
      </c>
      <c r="AI259" s="81">
        <f>IF(AN259="","",IF(Q259="Sin Factura",0,IFERROR(INDEX(Facturas_Odoo!$H:$H, MATCH(Q259, Facturas_Odoo!$B:$B, 0)), 0)*(1-AG259)))</f>
        <v/>
      </c>
      <c r="AJ259" s="81">
        <f>IF(AN259="","",_xlfn.LET(idVenta, AN259&amp;"",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9" s="81">
        <f>IF(AN259="","",AH259-AJ259)</f>
        <v/>
      </c>
      <c r="AL259" s="81">
        <f>IF(AN259="","",IF(Q259="Sin Factura","",AI259-AJ259))</f>
        <v/>
      </c>
      <c r="AM259" s="81">
        <f>IF(AN259="","",IF(Q259="Sin Factura",0,P259-IFERROR(INDEX(Facturas_Odoo!$H:$H, MATCH(Q259, Facturas_Odoo!$B:$B, 0)), 0)))</f>
        <v/>
      </c>
      <c r="AN259" s="79">
        <f>IF(AND(A259="", J259=""), "", IF(A259&lt;&gt;"", VALUE(MID(A259,2,LEN(A259))), AN258))</f>
        <v/>
      </c>
      <c r="AO259" s="79">
        <f>IF(AN259="","",IF(AD259=0,"OK",_xlfn.LET(monedaPago, IF(AA259="","USD",AA259), limitePermitido, IFERROR(VLOOKUP(monedaPago, Configuración!$A$2:$B$3, 2, FALSE), 0.15), IF(AD259&gt;limitePermitido, "ALERTA: EXCESO (" &amp; TEXT(limitePermitido, "0%") &amp; " máx)", "OK"))))</f>
        <v/>
      </c>
      <c r="AP259" s="79">
        <f>IF(AN259="","",IF(AE259=0,"OK",_xlfn.LET(fechaPago, Z259, fechaFactura, R259, diasCredito, IF(E259="Pago inmediato", 0, IFERROR(VALUE(MID(E259, 1, SEARCH(" ", E259)-1)),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9" s="79">
        <f>IF(AN259="","",IF(AND(N259&gt;0, AG259&gt;0), IF(Configuración!$K$2="NO", "ALERTA: DESCUENTO DOBLE NO PERMITIDO", "OK"), "OK"))</f>
        <v/>
      </c>
      <c r="AR259" s="79">
        <f>IF(AN259="","",IF(OR(AO259&lt;&gt;"OK", AP259&lt;&gt;"OK", AQ259&lt;&gt;"OK"), "⚠️ REVISAR", "OK"))</f>
        <v/>
      </c>
    </row>
    <row r="260">
      <c r="A260" s="79">
        <f>IF('Ordenes_Odoo'!A260="","",'Ordenes_Odoo'!A260)</f>
        <v/>
      </c>
      <c r="B260" s="80">
        <f>IF('Ordenes_Odoo'!B260="","",'Ordenes_Odoo'!B260)</f>
        <v/>
      </c>
      <c r="C260" s="79">
        <f>IF('Ordenes_Odoo'!C260="","",'Ordenes_Odoo'!C260)</f>
        <v/>
      </c>
      <c r="D260" s="79">
        <f>IF('Ordenes_Odoo'!D260="","",'Ordenes_Odoo'!D260)</f>
        <v/>
      </c>
      <c r="E260" s="79">
        <f>IF('Ordenes_Odoo'!E260="","",'Ordenes_Odoo'!E260)</f>
        <v/>
      </c>
      <c r="F260" s="79">
        <f>IF('Ordenes_Odoo'!F260="","",'Ordenes_Odoo'!F260)</f>
        <v/>
      </c>
      <c r="G260" s="79">
        <f>IF('Ordenes_Odoo'!G260="","",'Ordenes_Odoo'!G260)</f>
        <v/>
      </c>
      <c r="H260" s="79">
        <f>IF('Ordenes_Odoo'!H260="","",'Ordenes_Odoo'!H260)</f>
        <v/>
      </c>
      <c r="I260" s="79">
        <f>IF('Ordenes_Odoo'!I260="","",'Ordenes_Odoo'!I260)</f>
        <v/>
      </c>
      <c r="J260" s="79">
        <f>IF('Ordenes_Odoo'!J260="","",'Ordenes_Odoo'!J260)</f>
        <v/>
      </c>
      <c r="K260" s="81">
        <f>IF('Ordenes_Odoo'!K260="","",'Ordenes_Odoo'!K260)</f>
        <v/>
      </c>
      <c r="L260" s="81">
        <f>IF('Ordenes_Odoo'!L260="","",'Ordenes_Odoo'!L260)</f>
        <v/>
      </c>
      <c r="M260" s="79">
        <f>IF('Ordenes_Odoo'!M260="","",'Ordenes_Odoo'!M260)</f>
        <v/>
      </c>
      <c r="N260" s="79">
        <f>IF('Ordenes_Odoo'!N260="","",'Ordenes_Odoo'!N260)</f>
        <v/>
      </c>
      <c r="O260" s="81">
        <f>IF('Ordenes_Odoo'!O260="","",'Ordenes_Odoo'!O260)</f>
        <v/>
      </c>
      <c r="P260" s="81">
        <f>IF('Ordenes_Odoo'!P260="","",'Ordenes_Odoo'!P260)</f>
        <v/>
      </c>
      <c r="Q260" s="79">
        <f>IF(A260="","",IFERROR(INDEX(Facturas_Odoo!$B:$B, MATCH(A260, Facturas_Odoo!$D:$D, 0)), "Sin Factura"))</f>
        <v/>
      </c>
      <c r="R260" s="80">
        <f>IF(Q260="Sin Factura","",IFERROR(INDEX(Facturas_Odoo!$A:$A, MATCH(Q260, Facturas_Odoo!$B:$B, 0)), ""))</f>
        <v/>
      </c>
      <c r="S260" s="79">
        <f>IF(Q260="Sin Factura","",IFERROR(_xlfn.XLOOKUP(1, (Facturas_Odoo!$D:$D=A260) * (Facturas_Odoo!$K:$K=I260), Facturas_Odoo!$L:$L, ""), ""))</f>
        <v/>
      </c>
      <c r="T260" s="81">
        <f>IF(Q260="Sin Factura",0,IFERROR(_xlfn.XLOOKUP(1, (Facturas_Odoo!$D:$D=A260) * (Facturas_Odoo!$K:$K=I260), Facturas_Odoo!$M:$M, 0), 0))</f>
        <v/>
      </c>
      <c r="U260" s="79">
        <f>IF(Q260="Sin Factura",0,IFERROR(_xlfn.XLOOKUP(1, (Facturas_Odoo!$D:$D=A260) * (Facturas_Odoo!$K:$K=I260), Facturas_Odoo!$N:$N, 0), 0))</f>
        <v/>
      </c>
      <c r="V260" s="79">
        <f>IF(Q260="Sin Factura",0,IFERROR(_xlfn.XLOOKUP(1, (Facturas_Odoo!$D:$D=A260) * (Facturas_Odoo!$K:$K=I260), Facturas_Odoo!$O:$O, 0), 0))</f>
        <v/>
      </c>
      <c r="W260" s="81">
        <f>IF(Q260="Sin Factura",0,IFERROR(_xlfn.XLOOKUP(1, (Facturas_Odoo!$D:$D=A260) * (Facturas_Odoo!$K:$K=I260), Facturas_Odoo!$Q:$Q, 0), 0))</f>
        <v/>
      </c>
      <c r="X260" s="79">
        <f>IF(OR(Q260="Sin Factura",Q260=""),"",IFERROR(INDEX(Pagos_Odoo!$B:$B, MATCH(Q260, Pagos_Odoo!$I:$I, 0)), "Sin Pago"))</f>
        <v/>
      </c>
      <c r="Y260" s="79">
        <f>IF(X260="Sin Pago","",IFERROR(INDEX(Pagos_Odoo!$C:$C, MATCH(X260, Pagos_Odoo!$B:$B, 0)), ""))</f>
        <v/>
      </c>
      <c r="Z260" s="80">
        <f>IF(X260="Sin Pago","",IFERROR(INDEX(Pagos_Odoo!$A:$A, MATCH(X260, Pagos_Odoo!$B:$B, 0)), ""))</f>
        <v/>
      </c>
      <c r="AA260" s="79">
        <f>IF(X260="Sin Pago","",IFERROR(INDEX(Pagos_Odoo!$F:$F, MATCH(X260, Pagos_Odoo!$B:$B, 0)), ""))</f>
        <v/>
      </c>
      <c r="AB260" s="81">
        <f>IF(X260="Sin Pago",0,IFERROR(INDEX(Pagos_Odoo!$E:$E, MATCH(X260, Pagos_Odoo!$B:$B, 0)), 0))</f>
        <v/>
      </c>
      <c r="AC260" s="79">
        <f>IF(X260="Sin Pago","",IFERROR(INDEX(Pagos_Odoo!$G:$G, MATCH(X260, Pagos_Odoo!$B:$B, 0)), ""))</f>
        <v/>
      </c>
      <c r="AD260" s="82" t="n">
        <v>0</v>
      </c>
      <c r="AE260" s="82" t="n"/>
      <c r="AF260" s="82" t="n"/>
      <c r="AG260" s="82">
        <f>IF(AN260="","",AD260+AE260+AF260)</f>
        <v/>
      </c>
      <c r="AH260" s="81">
        <f>IF(AN260="","",P260*(1-AG260))</f>
        <v/>
      </c>
      <c r="AI260" s="81">
        <f>IF(AN260="","",IF(Q260="Sin Factura",0,IFERROR(INDEX(Facturas_Odoo!$H:$H, MATCH(Q260, Facturas_Odoo!$B:$B, 0)), 0)*(1-AG260)))</f>
        <v/>
      </c>
      <c r="AJ260" s="81">
        <f>IF(AN260="","",_xlfn.LET(idVenta, AN260&amp;"",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0" s="81">
        <f>IF(AN260="","",AH260-AJ260)</f>
        <v/>
      </c>
      <c r="AL260" s="81">
        <f>IF(AN260="","",IF(Q260="Sin Factura","",AI260-AJ260))</f>
        <v/>
      </c>
      <c r="AM260" s="81">
        <f>IF(AN260="","",IF(Q260="Sin Factura",0,P260-IFERROR(INDEX(Facturas_Odoo!$H:$H, MATCH(Q260, Facturas_Odoo!$B:$B, 0)), 0)))</f>
        <v/>
      </c>
      <c r="AN260" s="79">
        <f>IF(AND(A260="", J260=""), "", IF(A260&lt;&gt;"", VALUE(MID(A260,2,LEN(A260))), AN259))</f>
        <v/>
      </c>
      <c r="AO260" s="79">
        <f>IF(AN260="","",IF(AD260=0,"OK",_xlfn.LET(monedaPago, IF(AA260="","USD",AA260), limitePermitido, IFERROR(VLOOKUP(monedaPago, Configuración!$A$2:$B$3, 2, FALSE), 0.15), IF(AD260&gt;limitePermitido, "ALERTA: EXCESO (" &amp; TEXT(limitePermitido, "0%") &amp; " máx)", "OK"))))</f>
        <v/>
      </c>
      <c r="AP260" s="79">
        <f>IF(AN260="","",IF(AE260=0,"OK",_xlfn.LET(fechaPago, Z260, fechaFactura, R260, diasCredito, IF(E260="Pago inmediato", 0, IFERROR(VALUE(MID(E260, 1, SEARCH(" ", E260)-1)),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0" s="79">
        <f>IF(AN260="","",IF(AND(N260&gt;0, AG260&gt;0), IF(Configuración!$K$2="NO", "ALERTA: DESCUENTO DOBLE NO PERMITIDO", "OK"), "OK"))</f>
        <v/>
      </c>
      <c r="AR260" s="79">
        <f>IF(AN260="","",IF(OR(AO260&lt;&gt;"OK", AP260&lt;&gt;"OK", AQ260&lt;&gt;"OK"), "⚠️ REVISAR", "OK"))</f>
        <v/>
      </c>
    </row>
    <row r="261">
      <c r="A261" s="79">
        <f>IF('Ordenes_Odoo'!A261="","",'Ordenes_Odoo'!A261)</f>
        <v/>
      </c>
      <c r="B261" s="80">
        <f>IF('Ordenes_Odoo'!B261="","",'Ordenes_Odoo'!B261)</f>
        <v/>
      </c>
      <c r="C261" s="79">
        <f>IF('Ordenes_Odoo'!C261="","",'Ordenes_Odoo'!C261)</f>
        <v/>
      </c>
      <c r="D261" s="79">
        <f>IF('Ordenes_Odoo'!D261="","",'Ordenes_Odoo'!D261)</f>
        <v/>
      </c>
      <c r="E261" s="79">
        <f>IF('Ordenes_Odoo'!E261="","",'Ordenes_Odoo'!E261)</f>
        <v/>
      </c>
      <c r="F261" s="79">
        <f>IF('Ordenes_Odoo'!F261="","",'Ordenes_Odoo'!F261)</f>
        <v/>
      </c>
      <c r="G261" s="79">
        <f>IF('Ordenes_Odoo'!G261="","",'Ordenes_Odoo'!G261)</f>
        <v/>
      </c>
      <c r="H261" s="79">
        <f>IF('Ordenes_Odoo'!H261="","",'Ordenes_Odoo'!H261)</f>
        <v/>
      </c>
      <c r="I261" s="79">
        <f>IF('Ordenes_Odoo'!I261="","",'Ordenes_Odoo'!I261)</f>
        <v/>
      </c>
      <c r="J261" s="79">
        <f>IF('Ordenes_Odoo'!J261="","",'Ordenes_Odoo'!J261)</f>
        <v/>
      </c>
      <c r="K261" s="81">
        <f>IF('Ordenes_Odoo'!K261="","",'Ordenes_Odoo'!K261)</f>
        <v/>
      </c>
      <c r="L261" s="81">
        <f>IF('Ordenes_Odoo'!L261="","",'Ordenes_Odoo'!L261)</f>
        <v/>
      </c>
      <c r="M261" s="79">
        <f>IF('Ordenes_Odoo'!M261="","",'Ordenes_Odoo'!M261)</f>
        <v/>
      </c>
      <c r="N261" s="79">
        <f>IF('Ordenes_Odoo'!N261="","",'Ordenes_Odoo'!N261)</f>
        <v/>
      </c>
      <c r="O261" s="81">
        <f>IF('Ordenes_Odoo'!O261="","",'Ordenes_Odoo'!O261)</f>
        <v/>
      </c>
      <c r="P261" s="81">
        <f>IF('Ordenes_Odoo'!P261="","",'Ordenes_Odoo'!P261)</f>
        <v/>
      </c>
      <c r="Q261" s="79">
        <f>IF(A261="","",IFERROR(INDEX(Facturas_Odoo!$B:$B, MATCH(A261, Facturas_Odoo!$D:$D, 0)), "Sin Factura"))</f>
        <v/>
      </c>
      <c r="R261" s="80">
        <f>IF(Q261="Sin Factura","",IFERROR(INDEX(Facturas_Odoo!$A:$A, MATCH(Q261, Facturas_Odoo!$B:$B, 0)), ""))</f>
        <v/>
      </c>
      <c r="S261" s="79">
        <f>IF(Q261="Sin Factura","",IFERROR(_xlfn.XLOOKUP(1, (Facturas_Odoo!$D:$D=A261) * (Facturas_Odoo!$K:$K=I261), Facturas_Odoo!$L:$L, ""), ""))</f>
        <v/>
      </c>
      <c r="T261" s="81">
        <f>IF(Q261="Sin Factura",0,IFERROR(_xlfn.XLOOKUP(1, (Facturas_Odoo!$D:$D=A261) * (Facturas_Odoo!$K:$K=I261), Facturas_Odoo!$M:$M, 0), 0))</f>
        <v/>
      </c>
      <c r="U261" s="79">
        <f>IF(Q261="Sin Factura",0,IFERROR(_xlfn.XLOOKUP(1, (Facturas_Odoo!$D:$D=A261) * (Facturas_Odoo!$K:$K=I261), Facturas_Odoo!$N:$N, 0), 0))</f>
        <v/>
      </c>
      <c r="V261" s="79">
        <f>IF(Q261="Sin Factura",0,IFERROR(_xlfn.XLOOKUP(1, (Facturas_Odoo!$D:$D=A261) * (Facturas_Odoo!$K:$K=I261), Facturas_Odoo!$O:$O, 0), 0))</f>
        <v/>
      </c>
      <c r="W261" s="81">
        <f>IF(Q261="Sin Factura",0,IFERROR(_xlfn.XLOOKUP(1, (Facturas_Odoo!$D:$D=A261) * (Facturas_Odoo!$K:$K=I261), Facturas_Odoo!$Q:$Q, 0), 0))</f>
        <v/>
      </c>
      <c r="X261" s="79">
        <f>IF(OR(Q261="Sin Factura",Q261=""),"",IFERROR(INDEX(Pagos_Odoo!$B:$B, MATCH(Q261, Pagos_Odoo!$I:$I, 0)), "Sin Pago"))</f>
        <v/>
      </c>
      <c r="Y261" s="79">
        <f>IF(X261="Sin Pago","",IFERROR(INDEX(Pagos_Odoo!$C:$C, MATCH(X261, Pagos_Odoo!$B:$B, 0)), ""))</f>
        <v/>
      </c>
      <c r="Z261" s="80">
        <f>IF(X261="Sin Pago","",IFERROR(INDEX(Pagos_Odoo!$A:$A, MATCH(X261, Pagos_Odoo!$B:$B, 0)), ""))</f>
        <v/>
      </c>
      <c r="AA261" s="79">
        <f>IF(X261="Sin Pago","",IFERROR(INDEX(Pagos_Odoo!$F:$F, MATCH(X261, Pagos_Odoo!$B:$B, 0)), ""))</f>
        <v/>
      </c>
      <c r="AB261" s="81">
        <f>IF(X261="Sin Pago",0,IFERROR(INDEX(Pagos_Odoo!$E:$E, MATCH(X261, Pagos_Odoo!$B:$B, 0)), 0))</f>
        <v/>
      </c>
      <c r="AC261" s="79">
        <f>IF(X261="Sin Pago","",IFERROR(INDEX(Pagos_Odoo!$G:$G, MATCH(X261, Pagos_Odoo!$B:$B, 0)), ""))</f>
        <v/>
      </c>
      <c r="AD261" s="82" t="n">
        <v>0</v>
      </c>
      <c r="AE261" s="82" t="n"/>
      <c r="AF261" s="82" t="n"/>
      <c r="AG261" s="82">
        <f>IF(AN261="","",AD261+AE261+AF261)</f>
        <v/>
      </c>
      <c r="AH261" s="81">
        <f>IF(AN261="","",P261*(1-AG261))</f>
        <v/>
      </c>
      <c r="AI261" s="81">
        <f>IF(AN261="","",IF(Q261="Sin Factura",0,IFERROR(INDEX(Facturas_Odoo!$H:$H, MATCH(Q261, Facturas_Odoo!$B:$B, 0)), 0)*(1-AG261)))</f>
        <v/>
      </c>
      <c r="AJ261" s="81">
        <f>IF(AN261="","",_xlfn.LET(idVenta, AN261&amp;"",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1" s="81">
        <f>IF(AN261="","",AH261-AJ261)</f>
        <v/>
      </c>
      <c r="AL261" s="81">
        <f>IF(AN261="","",IF(Q261="Sin Factura","",AI261-AJ261))</f>
        <v/>
      </c>
      <c r="AM261" s="81">
        <f>IF(AN261="","",IF(Q261="Sin Factura",0,P261-IFERROR(INDEX(Facturas_Odoo!$H:$H, MATCH(Q261, Facturas_Odoo!$B:$B, 0)), 0)))</f>
        <v/>
      </c>
      <c r="AN261" s="79">
        <f>IF(AND(A261="", J261=""), "", IF(A261&lt;&gt;"", VALUE(MID(A261,2,LEN(A261))), AN260))</f>
        <v/>
      </c>
      <c r="AO261" s="79">
        <f>IF(AN261="","",IF(AD261=0,"OK",_xlfn.LET(monedaPago, IF(AA261="","USD",AA261), limitePermitido, IFERROR(VLOOKUP(monedaPago, Configuración!$A$2:$B$3, 2, FALSE), 0.15), IF(AD261&gt;limitePermitido, "ALERTA: EXCESO (" &amp; TEXT(limitePermitido, "0%") &amp; " máx)", "OK"))))</f>
        <v/>
      </c>
      <c r="AP261" s="79">
        <f>IF(AN261="","",IF(AE261=0,"OK",_xlfn.LET(fechaPago, Z261, fechaFactura, R261, diasCredito, IF(E261="Pago inmediato", 0, IFERROR(VALUE(MID(E261, 1, SEARCH(" ", E261)-1)),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1" s="79">
        <f>IF(AN261="","",IF(AND(N261&gt;0, AG261&gt;0), IF(Configuración!$K$2="NO", "ALERTA: DESCUENTO DOBLE NO PERMITIDO", "OK"), "OK"))</f>
        <v/>
      </c>
      <c r="AR261" s="79">
        <f>IF(AN261="","",IF(OR(AO261&lt;&gt;"OK", AP261&lt;&gt;"OK", AQ261&lt;&gt;"OK"), "⚠️ REVISAR", "OK"))</f>
        <v/>
      </c>
    </row>
    <row r="262">
      <c r="A262" s="79">
        <f>IF('Ordenes_Odoo'!A262="","",'Ordenes_Odoo'!A262)</f>
        <v/>
      </c>
      <c r="B262" s="80">
        <f>IF('Ordenes_Odoo'!B262="","",'Ordenes_Odoo'!B262)</f>
        <v/>
      </c>
      <c r="C262" s="79">
        <f>IF('Ordenes_Odoo'!C262="","",'Ordenes_Odoo'!C262)</f>
        <v/>
      </c>
      <c r="D262" s="79">
        <f>IF('Ordenes_Odoo'!D262="","",'Ordenes_Odoo'!D262)</f>
        <v/>
      </c>
      <c r="E262" s="79">
        <f>IF('Ordenes_Odoo'!E262="","",'Ordenes_Odoo'!E262)</f>
        <v/>
      </c>
      <c r="F262" s="79">
        <f>IF('Ordenes_Odoo'!F262="","",'Ordenes_Odoo'!F262)</f>
        <v/>
      </c>
      <c r="G262" s="79">
        <f>IF('Ordenes_Odoo'!G262="","",'Ordenes_Odoo'!G262)</f>
        <v/>
      </c>
      <c r="H262" s="79">
        <f>IF('Ordenes_Odoo'!H262="","",'Ordenes_Odoo'!H262)</f>
        <v/>
      </c>
      <c r="I262" s="79">
        <f>IF('Ordenes_Odoo'!I262="","",'Ordenes_Odoo'!I262)</f>
        <v/>
      </c>
      <c r="J262" s="79">
        <f>IF('Ordenes_Odoo'!J262="","",'Ordenes_Odoo'!J262)</f>
        <v/>
      </c>
      <c r="K262" s="81">
        <f>IF('Ordenes_Odoo'!K262="","",'Ordenes_Odoo'!K262)</f>
        <v/>
      </c>
      <c r="L262" s="81">
        <f>IF('Ordenes_Odoo'!L262="","",'Ordenes_Odoo'!L262)</f>
        <v/>
      </c>
      <c r="M262" s="79">
        <f>IF('Ordenes_Odoo'!M262="","",'Ordenes_Odoo'!M262)</f>
        <v/>
      </c>
      <c r="N262" s="79">
        <f>IF('Ordenes_Odoo'!N262="","",'Ordenes_Odoo'!N262)</f>
        <v/>
      </c>
      <c r="O262" s="81">
        <f>IF('Ordenes_Odoo'!O262="","",'Ordenes_Odoo'!O262)</f>
        <v/>
      </c>
      <c r="P262" s="81">
        <f>IF('Ordenes_Odoo'!P262="","",'Ordenes_Odoo'!P262)</f>
        <v/>
      </c>
      <c r="Q262" s="79">
        <f>IF(A262="","",IFERROR(INDEX(Facturas_Odoo!$B:$B, MATCH(A262, Facturas_Odoo!$D:$D, 0)), "Sin Factura"))</f>
        <v/>
      </c>
      <c r="R262" s="80">
        <f>IF(Q262="Sin Factura","",IFERROR(INDEX(Facturas_Odoo!$A:$A, MATCH(Q262, Facturas_Odoo!$B:$B, 0)), ""))</f>
        <v/>
      </c>
      <c r="S262" s="79">
        <f>IF(Q262="Sin Factura","",IFERROR(_xlfn.XLOOKUP(1, (Facturas_Odoo!$D:$D=A262) * (Facturas_Odoo!$K:$K=I262), Facturas_Odoo!$L:$L, ""), ""))</f>
        <v/>
      </c>
      <c r="T262" s="81">
        <f>IF(Q262="Sin Factura",0,IFERROR(_xlfn.XLOOKUP(1, (Facturas_Odoo!$D:$D=A262) * (Facturas_Odoo!$K:$K=I262), Facturas_Odoo!$M:$M, 0), 0))</f>
        <v/>
      </c>
      <c r="U262" s="79">
        <f>IF(Q262="Sin Factura",0,IFERROR(_xlfn.XLOOKUP(1, (Facturas_Odoo!$D:$D=A262) * (Facturas_Odoo!$K:$K=I262), Facturas_Odoo!$N:$N, 0), 0))</f>
        <v/>
      </c>
      <c r="V262" s="79">
        <f>IF(Q262="Sin Factura",0,IFERROR(_xlfn.XLOOKUP(1, (Facturas_Odoo!$D:$D=A262) * (Facturas_Odoo!$K:$K=I262), Facturas_Odoo!$O:$O, 0), 0))</f>
        <v/>
      </c>
      <c r="W262" s="81">
        <f>IF(Q262="Sin Factura",0,IFERROR(_xlfn.XLOOKUP(1, (Facturas_Odoo!$D:$D=A262) * (Facturas_Odoo!$K:$K=I262), Facturas_Odoo!$Q:$Q, 0), 0))</f>
        <v/>
      </c>
      <c r="X262" s="79">
        <f>IF(OR(Q262="Sin Factura",Q262=""),"",IFERROR(INDEX(Pagos_Odoo!$B:$B, MATCH(Q262, Pagos_Odoo!$I:$I, 0)), "Sin Pago"))</f>
        <v/>
      </c>
      <c r="Y262" s="79">
        <f>IF(X262="Sin Pago","",IFERROR(INDEX(Pagos_Odoo!$C:$C, MATCH(X262, Pagos_Odoo!$B:$B, 0)), ""))</f>
        <v/>
      </c>
      <c r="Z262" s="80">
        <f>IF(X262="Sin Pago","",IFERROR(INDEX(Pagos_Odoo!$A:$A, MATCH(X262, Pagos_Odoo!$B:$B, 0)), ""))</f>
        <v/>
      </c>
      <c r="AA262" s="79">
        <f>IF(X262="Sin Pago","",IFERROR(INDEX(Pagos_Odoo!$F:$F, MATCH(X262, Pagos_Odoo!$B:$B, 0)), ""))</f>
        <v/>
      </c>
      <c r="AB262" s="81">
        <f>IF(X262="Sin Pago",0,IFERROR(INDEX(Pagos_Odoo!$E:$E, MATCH(X262, Pagos_Odoo!$B:$B, 0)), 0))</f>
        <v/>
      </c>
      <c r="AC262" s="79">
        <f>IF(X262="Sin Pago","",IFERROR(INDEX(Pagos_Odoo!$G:$G, MATCH(X262, Pagos_Odoo!$B:$B, 0)), ""))</f>
        <v/>
      </c>
      <c r="AD262" s="82" t="n">
        <v>0</v>
      </c>
      <c r="AE262" s="82" t="n"/>
      <c r="AF262" s="82" t="n"/>
      <c r="AG262" s="82">
        <f>IF(AN262="","",AD262+AE262+AF262)</f>
        <v/>
      </c>
      <c r="AH262" s="81">
        <f>IF(AN262="","",P262*(1-AG262))</f>
        <v/>
      </c>
      <c r="AI262" s="81">
        <f>IF(AN262="","",IF(Q262="Sin Factura",0,IFERROR(INDEX(Facturas_Odoo!$H:$H, MATCH(Q262, Facturas_Odoo!$B:$B, 0)), 0)*(1-AG262)))</f>
        <v/>
      </c>
      <c r="AJ262" s="81">
        <f>IF(AN262="","",_xlfn.LET(idVenta, AN262&amp;"",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2" s="81">
        <f>IF(AN262="","",AH262-AJ262)</f>
        <v/>
      </c>
      <c r="AL262" s="81">
        <f>IF(AN262="","",IF(Q262="Sin Factura","",AI262-AJ262))</f>
        <v/>
      </c>
      <c r="AM262" s="81">
        <f>IF(AN262="","",IF(Q262="Sin Factura",0,P262-IFERROR(INDEX(Facturas_Odoo!$H:$H, MATCH(Q262, Facturas_Odoo!$B:$B, 0)), 0)))</f>
        <v/>
      </c>
      <c r="AN262" s="79">
        <f>IF(AND(A262="", J262=""), "", IF(A262&lt;&gt;"", VALUE(MID(A262,2,LEN(A262))), AN261))</f>
        <v/>
      </c>
      <c r="AO262" s="79">
        <f>IF(AN262="","",IF(AD262=0,"OK",_xlfn.LET(monedaPago, IF(AA262="","USD",AA262), limitePermitido, IFERROR(VLOOKUP(monedaPago, Configuración!$A$2:$B$3, 2, FALSE), 0.15), IF(AD262&gt;limitePermitido, "ALERTA: EXCESO (" &amp; TEXT(limitePermitido, "0%") &amp; " máx)", "OK"))))</f>
        <v/>
      </c>
      <c r="AP262" s="79">
        <f>IF(AN262="","",IF(AE262=0,"OK",_xlfn.LET(fechaPago, Z262, fechaFactura, R262, diasCredito, IF(E262="Pago inmediato", 0, IFERROR(VALUE(MID(E262, 1, SEARCH(" ", E262)-1)),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2" s="79">
        <f>IF(AN262="","",IF(AND(N262&gt;0, AG262&gt;0), IF(Configuración!$K$2="NO", "ALERTA: DESCUENTO DOBLE NO PERMITIDO", "OK"), "OK"))</f>
        <v/>
      </c>
      <c r="AR262" s="79">
        <f>IF(AN262="","",IF(OR(AO262&lt;&gt;"OK", AP262&lt;&gt;"OK", AQ262&lt;&gt;"OK"), "⚠️ REVISAR", "OK"))</f>
        <v/>
      </c>
    </row>
    <row r="263">
      <c r="A263" s="79">
        <f>IF('Ordenes_Odoo'!A263="","",'Ordenes_Odoo'!A263)</f>
        <v/>
      </c>
      <c r="B263" s="80">
        <f>IF('Ordenes_Odoo'!B263="","",'Ordenes_Odoo'!B263)</f>
        <v/>
      </c>
      <c r="C263" s="79">
        <f>IF('Ordenes_Odoo'!C263="","",'Ordenes_Odoo'!C263)</f>
        <v/>
      </c>
      <c r="D263" s="79">
        <f>IF('Ordenes_Odoo'!D263="","",'Ordenes_Odoo'!D263)</f>
        <v/>
      </c>
      <c r="E263" s="79">
        <f>IF('Ordenes_Odoo'!E263="","",'Ordenes_Odoo'!E263)</f>
        <v/>
      </c>
      <c r="F263" s="79">
        <f>IF('Ordenes_Odoo'!F263="","",'Ordenes_Odoo'!F263)</f>
        <v/>
      </c>
      <c r="G263" s="79">
        <f>IF('Ordenes_Odoo'!G263="","",'Ordenes_Odoo'!G263)</f>
        <v/>
      </c>
      <c r="H263" s="79">
        <f>IF('Ordenes_Odoo'!H263="","",'Ordenes_Odoo'!H263)</f>
        <v/>
      </c>
      <c r="I263" s="79">
        <f>IF('Ordenes_Odoo'!I263="","",'Ordenes_Odoo'!I263)</f>
        <v/>
      </c>
      <c r="J263" s="79">
        <f>IF('Ordenes_Odoo'!J263="","",'Ordenes_Odoo'!J263)</f>
        <v/>
      </c>
      <c r="K263" s="81">
        <f>IF('Ordenes_Odoo'!K263="","",'Ordenes_Odoo'!K263)</f>
        <v/>
      </c>
      <c r="L263" s="81">
        <f>IF('Ordenes_Odoo'!L263="","",'Ordenes_Odoo'!L263)</f>
        <v/>
      </c>
      <c r="M263" s="79">
        <f>IF('Ordenes_Odoo'!M263="","",'Ordenes_Odoo'!M263)</f>
        <v/>
      </c>
      <c r="N263" s="79">
        <f>IF('Ordenes_Odoo'!N263="","",'Ordenes_Odoo'!N263)</f>
        <v/>
      </c>
      <c r="O263" s="81">
        <f>IF('Ordenes_Odoo'!O263="","",'Ordenes_Odoo'!O263)</f>
        <v/>
      </c>
      <c r="P263" s="81">
        <f>IF('Ordenes_Odoo'!P263="","",'Ordenes_Odoo'!P263)</f>
        <v/>
      </c>
      <c r="Q263" s="79">
        <f>IF(A263="","",IFERROR(INDEX(Facturas_Odoo!$B:$B, MATCH(A263, Facturas_Odoo!$D:$D, 0)), "Sin Factura"))</f>
        <v/>
      </c>
      <c r="R263" s="80">
        <f>IF(Q263="Sin Factura","",IFERROR(INDEX(Facturas_Odoo!$A:$A, MATCH(Q263, Facturas_Odoo!$B:$B, 0)), ""))</f>
        <v/>
      </c>
      <c r="S263" s="79">
        <f>IF(Q263="Sin Factura","",IFERROR(_xlfn.XLOOKUP(1, (Facturas_Odoo!$D:$D=A263) * (Facturas_Odoo!$K:$K=I263), Facturas_Odoo!$L:$L, ""), ""))</f>
        <v/>
      </c>
      <c r="T263" s="81">
        <f>IF(Q263="Sin Factura",0,IFERROR(_xlfn.XLOOKUP(1, (Facturas_Odoo!$D:$D=A263) * (Facturas_Odoo!$K:$K=I263), Facturas_Odoo!$M:$M, 0), 0))</f>
        <v/>
      </c>
      <c r="U263" s="79">
        <f>IF(Q263="Sin Factura",0,IFERROR(_xlfn.XLOOKUP(1, (Facturas_Odoo!$D:$D=A263) * (Facturas_Odoo!$K:$K=I263), Facturas_Odoo!$N:$N, 0), 0))</f>
        <v/>
      </c>
      <c r="V263" s="79">
        <f>IF(Q263="Sin Factura",0,IFERROR(_xlfn.XLOOKUP(1, (Facturas_Odoo!$D:$D=A263) * (Facturas_Odoo!$K:$K=I263), Facturas_Odoo!$O:$O, 0), 0))</f>
        <v/>
      </c>
      <c r="W263" s="81">
        <f>IF(Q263="Sin Factura",0,IFERROR(_xlfn.XLOOKUP(1, (Facturas_Odoo!$D:$D=A263) * (Facturas_Odoo!$K:$K=I263), Facturas_Odoo!$Q:$Q, 0), 0))</f>
        <v/>
      </c>
      <c r="X263" s="79">
        <f>IF(OR(Q263="Sin Factura",Q263=""),"",IFERROR(INDEX(Pagos_Odoo!$B:$B, MATCH(Q263, Pagos_Odoo!$I:$I, 0)), "Sin Pago"))</f>
        <v/>
      </c>
      <c r="Y263" s="79">
        <f>IF(X263="Sin Pago","",IFERROR(INDEX(Pagos_Odoo!$C:$C, MATCH(X263, Pagos_Odoo!$B:$B, 0)), ""))</f>
        <v/>
      </c>
      <c r="Z263" s="80">
        <f>IF(X263="Sin Pago","",IFERROR(INDEX(Pagos_Odoo!$A:$A, MATCH(X263, Pagos_Odoo!$B:$B, 0)), ""))</f>
        <v/>
      </c>
      <c r="AA263" s="79">
        <f>IF(X263="Sin Pago","",IFERROR(INDEX(Pagos_Odoo!$F:$F, MATCH(X263, Pagos_Odoo!$B:$B, 0)), ""))</f>
        <v/>
      </c>
      <c r="AB263" s="81">
        <f>IF(X263="Sin Pago",0,IFERROR(INDEX(Pagos_Odoo!$E:$E, MATCH(X263, Pagos_Odoo!$B:$B, 0)), 0))</f>
        <v/>
      </c>
      <c r="AC263" s="79">
        <f>IF(X263="Sin Pago","",IFERROR(INDEX(Pagos_Odoo!$G:$G, MATCH(X263, Pagos_Odoo!$B:$B, 0)), ""))</f>
        <v/>
      </c>
      <c r="AD263" s="82" t="n">
        <v>0</v>
      </c>
      <c r="AE263" s="82" t="n"/>
      <c r="AF263" s="82" t="n"/>
      <c r="AG263" s="82">
        <f>IF(AN263="","",AD263+AE263+AF263)</f>
        <v/>
      </c>
      <c r="AH263" s="81">
        <f>IF(AN263="","",P263*(1-AG263))</f>
        <v/>
      </c>
      <c r="AI263" s="81">
        <f>IF(AN263="","",IF(Q263="Sin Factura",0,IFERROR(INDEX(Facturas_Odoo!$H:$H, MATCH(Q263, Facturas_Odoo!$B:$B, 0)), 0)*(1-AG263)))</f>
        <v/>
      </c>
      <c r="AJ263" s="81">
        <f>IF(AN263="","",_xlfn.LET(idVenta, AN263&amp;"",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3" s="81">
        <f>IF(AN263="","",AH263-AJ263)</f>
        <v/>
      </c>
      <c r="AL263" s="81">
        <f>IF(AN263="","",IF(Q263="Sin Factura","",AI263-AJ263))</f>
        <v/>
      </c>
      <c r="AM263" s="81">
        <f>IF(AN263="","",IF(Q263="Sin Factura",0,P263-IFERROR(INDEX(Facturas_Odoo!$H:$H, MATCH(Q263, Facturas_Odoo!$B:$B, 0)), 0)))</f>
        <v/>
      </c>
      <c r="AN263" s="79">
        <f>IF(AND(A263="", J263=""), "", IF(A263&lt;&gt;"", VALUE(MID(A263,2,LEN(A263))), AN262))</f>
        <v/>
      </c>
      <c r="AO263" s="79">
        <f>IF(AN263="","",IF(AD263=0,"OK",_xlfn.LET(monedaPago, IF(AA263="","USD",AA263), limitePermitido, IFERROR(VLOOKUP(monedaPago, Configuración!$A$2:$B$3, 2, FALSE), 0.15), IF(AD263&gt;limitePermitido, "ALERTA: EXCESO (" &amp; TEXT(limitePermitido, "0%") &amp; " máx)", "OK"))))</f>
        <v/>
      </c>
      <c r="AP263" s="79">
        <f>IF(AN263="","",IF(AE263=0,"OK",_xlfn.LET(fechaPago, Z263, fechaFactura, R263, diasCredito, IF(E263="Pago inmediato", 0, IFERROR(VALUE(MID(E263, 1, SEARCH(" ", E263)-1)),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3" s="79">
        <f>IF(AN263="","",IF(AND(N263&gt;0, AG263&gt;0), IF(Configuración!$K$2="NO", "ALERTA: DESCUENTO DOBLE NO PERMITIDO", "OK"), "OK"))</f>
        <v/>
      </c>
      <c r="AR263" s="79">
        <f>IF(AN263="","",IF(OR(AO263&lt;&gt;"OK", AP263&lt;&gt;"OK", AQ263&lt;&gt;"OK"), "⚠️ REVISAR", "OK"))</f>
        <v/>
      </c>
    </row>
    <row r="264">
      <c r="A264" s="79">
        <f>IF('Ordenes_Odoo'!A264="","",'Ordenes_Odoo'!A264)</f>
        <v/>
      </c>
      <c r="B264" s="80">
        <f>IF('Ordenes_Odoo'!B264="","",'Ordenes_Odoo'!B264)</f>
        <v/>
      </c>
      <c r="C264" s="79">
        <f>IF('Ordenes_Odoo'!C264="","",'Ordenes_Odoo'!C264)</f>
        <v/>
      </c>
      <c r="D264" s="79">
        <f>IF('Ordenes_Odoo'!D264="","",'Ordenes_Odoo'!D264)</f>
        <v/>
      </c>
      <c r="E264" s="79">
        <f>IF('Ordenes_Odoo'!E264="","",'Ordenes_Odoo'!E264)</f>
        <v/>
      </c>
      <c r="F264" s="79">
        <f>IF('Ordenes_Odoo'!F264="","",'Ordenes_Odoo'!F264)</f>
        <v/>
      </c>
      <c r="G264" s="79">
        <f>IF('Ordenes_Odoo'!G264="","",'Ordenes_Odoo'!G264)</f>
        <v/>
      </c>
      <c r="H264" s="79">
        <f>IF('Ordenes_Odoo'!H264="","",'Ordenes_Odoo'!H264)</f>
        <v/>
      </c>
      <c r="I264" s="79">
        <f>IF('Ordenes_Odoo'!I264="","",'Ordenes_Odoo'!I264)</f>
        <v/>
      </c>
      <c r="J264" s="79">
        <f>IF('Ordenes_Odoo'!J264="","",'Ordenes_Odoo'!J264)</f>
        <v/>
      </c>
      <c r="K264" s="81">
        <f>IF('Ordenes_Odoo'!K264="","",'Ordenes_Odoo'!K264)</f>
        <v/>
      </c>
      <c r="L264" s="81">
        <f>IF('Ordenes_Odoo'!L264="","",'Ordenes_Odoo'!L264)</f>
        <v/>
      </c>
      <c r="M264" s="79">
        <f>IF('Ordenes_Odoo'!M264="","",'Ordenes_Odoo'!M264)</f>
        <v/>
      </c>
      <c r="N264" s="79">
        <f>IF('Ordenes_Odoo'!N264="","",'Ordenes_Odoo'!N264)</f>
        <v/>
      </c>
      <c r="O264" s="81">
        <f>IF('Ordenes_Odoo'!O264="","",'Ordenes_Odoo'!O264)</f>
        <v/>
      </c>
      <c r="P264" s="81">
        <f>IF('Ordenes_Odoo'!P264="","",'Ordenes_Odoo'!P264)</f>
        <v/>
      </c>
      <c r="Q264" s="79">
        <f>IF(A264="","",IFERROR(INDEX(Facturas_Odoo!$B:$B, MATCH(A264, Facturas_Odoo!$D:$D, 0)), "Sin Factura"))</f>
        <v/>
      </c>
      <c r="R264" s="80">
        <f>IF(Q264="Sin Factura","",IFERROR(INDEX(Facturas_Odoo!$A:$A, MATCH(Q264, Facturas_Odoo!$B:$B, 0)), ""))</f>
        <v/>
      </c>
      <c r="S264" s="79">
        <f>IF(Q264="Sin Factura","",IFERROR(_xlfn.XLOOKUP(1, (Facturas_Odoo!$D:$D=A264) * (Facturas_Odoo!$K:$K=I264), Facturas_Odoo!$L:$L, ""), ""))</f>
        <v/>
      </c>
      <c r="T264" s="81">
        <f>IF(Q264="Sin Factura",0,IFERROR(_xlfn.XLOOKUP(1, (Facturas_Odoo!$D:$D=A264) * (Facturas_Odoo!$K:$K=I264), Facturas_Odoo!$M:$M, 0), 0))</f>
        <v/>
      </c>
      <c r="U264" s="79">
        <f>IF(Q264="Sin Factura",0,IFERROR(_xlfn.XLOOKUP(1, (Facturas_Odoo!$D:$D=A264) * (Facturas_Odoo!$K:$K=I264), Facturas_Odoo!$N:$N, 0), 0))</f>
        <v/>
      </c>
      <c r="V264" s="79">
        <f>IF(Q264="Sin Factura",0,IFERROR(_xlfn.XLOOKUP(1, (Facturas_Odoo!$D:$D=A264) * (Facturas_Odoo!$K:$K=I264), Facturas_Odoo!$O:$O, 0), 0))</f>
        <v/>
      </c>
      <c r="W264" s="81">
        <f>IF(Q264="Sin Factura",0,IFERROR(_xlfn.XLOOKUP(1, (Facturas_Odoo!$D:$D=A264) * (Facturas_Odoo!$K:$K=I264), Facturas_Odoo!$Q:$Q, 0), 0))</f>
        <v/>
      </c>
      <c r="X264" s="79">
        <f>IF(OR(Q264="Sin Factura",Q264=""),"",IFERROR(INDEX(Pagos_Odoo!$B:$B, MATCH(Q264, Pagos_Odoo!$I:$I, 0)), "Sin Pago"))</f>
        <v/>
      </c>
      <c r="Y264" s="79">
        <f>IF(X264="Sin Pago","",IFERROR(INDEX(Pagos_Odoo!$C:$C, MATCH(X264, Pagos_Odoo!$B:$B, 0)), ""))</f>
        <v/>
      </c>
      <c r="Z264" s="80">
        <f>IF(X264="Sin Pago","",IFERROR(INDEX(Pagos_Odoo!$A:$A, MATCH(X264, Pagos_Odoo!$B:$B, 0)), ""))</f>
        <v/>
      </c>
      <c r="AA264" s="79">
        <f>IF(X264="Sin Pago","",IFERROR(INDEX(Pagos_Odoo!$F:$F, MATCH(X264, Pagos_Odoo!$B:$B, 0)), ""))</f>
        <v/>
      </c>
      <c r="AB264" s="81">
        <f>IF(X264="Sin Pago",0,IFERROR(INDEX(Pagos_Odoo!$E:$E, MATCH(X264, Pagos_Odoo!$B:$B, 0)), 0))</f>
        <v/>
      </c>
      <c r="AC264" s="79">
        <f>IF(X264="Sin Pago","",IFERROR(INDEX(Pagos_Odoo!$G:$G, MATCH(X264, Pagos_Odoo!$B:$B, 0)), ""))</f>
        <v/>
      </c>
      <c r="AD264" s="82" t="n">
        <v>0</v>
      </c>
      <c r="AE264" s="82" t="n"/>
      <c r="AF264" s="82" t="n"/>
      <c r="AG264" s="82">
        <f>IF(AN264="","",AD264+AE264+AF264)</f>
        <v/>
      </c>
      <c r="AH264" s="81">
        <f>IF(AN264="","",P264*(1-AG264))</f>
        <v/>
      </c>
      <c r="AI264" s="81">
        <f>IF(AN264="","",IF(Q264="Sin Factura",0,IFERROR(INDEX(Facturas_Odoo!$H:$H, MATCH(Q264, Facturas_Odoo!$B:$B, 0)), 0)*(1-AG264)))</f>
        <v/>
      </c>
      <c r="AJ264" s="81">
        <f>IF(AN264="","",_xlfn.LET(idVenta, AN264&amp;"",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4" s="81">
        <f>IF(AN264="","",AH264-AJ264)</f>
        <v/>
      </c>
      <c r="AL264" s="81">
        <f>IF(AN264="","",IF(Q264="Sin Factura","",AI264-AJ264))</f>
        <v/>
      </c>
      <c r="AM264" s="81">
        <f>IF(AN264="","",IF(Q264="Sin Factura",0,P264-IFERROR(INDEX(Facturas_Odoo!$H:$H, MATCH(Q264, Facturas_Odoo!$B:$B, 0)), 0)))</f>
        <v/>
      </c>
      <c r="AN264" s="79">
        <f>IF(AND(A264="", J264=""), "", IF(A264&lt;&gt;"", VALUE(MID(A264,2,LEN(A264))), AN263))</f>
        <v/>
      </c>
      <c r="AO264" s="79">
        <f>IF(AN264="","",IF(AD264=0,"OK",_xlfn.LET(monedaPago, IF(AA264="","USD",AA264), limitePermitido, IFERROR(VLOOKUP(monedaPago, Configuración!$A$2:$B$3, 2, FALSE), 0.15), IF(AD264&gt;limitePermitido, "ALERTA: EXCESO (" &amp; TEXT(limitePermitido, "0%") &amp; " máx)", "OK"))))</f>
        <v/>
      </c>
      <c r="AP264" s="79">
        <f>IF(AN264="","",IF(AE264=0,"OK",_xlfn.LET(fechaPago, Z264, fechaFactura, R264, diasCredito, IF(E264="Pago inmediato", 0, IFERROR(VALUE(MID(E264, 1, SEARCH(" ", E264)-1)),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4" s="79">
        <f>IF(AN264="","",IF(AND(N264&gt;0, AG264&gt;0), IF(Configuración!$K$2="NO", "ALERTA: DESCUENTO DOBLE NO PERMITIDO", "OK"), "OK"))</f>
        <v/>
      </c>
      <c r="AR264" s="79">
        <f>IF(AN264="","",IF(OR(AO264&lt;&gt;"OK", AP264&lt;&gt;"OK", AQ264&lt;&gt;"OK"), "⚠️ REVISAR", "OK"))</f>
        <v/>
      </c>
    </row>
    <row r="265">
      <c r="A265" s="79">
        <f>IF('Ordenes_Odoo'!A265="","",'Ordenes_Odoo'!A265)</f>
        <v/>
      </c>
      <c r="B265" s="80">
        <f>IF('Ordenes_Odoo'!B265="","",'Ordenes_Odoo'!B265)</f>
        <v/>
      </c>
      <c r="C265" s="79">
        <f>IF('Ordenes_Odoo'!C265="","",'Ordenes_Odoo'!C265)</f>
        <v/>
      </c>
      <c r="D265" s="79">
        <f>IF('Ordenes_Odoo'!D265="","",'Ordenes_Odoo'!D265)</f>
        <v/>
      </c>
      <c r="E265" s="79">
        <f>IF('Ordenes_Odoo'!E265="","",'Ordenes_Odoo'!E265)</f>
        <v/>
      </c>
      <c r="F265" s="79">
        <f>IF('Ordenes_Odoo'!F265="","",'Ordenes_Odoo'!F265)</f>
        <v/>
      </c>
      <c r="G265" s="79">
        <f>IF('Ordenes_Odoo'!G265="","",'Ordenes_Odoo'!G265)</f>
        <v/>
      </c>
      <c r="H265" s="79">
        <f>IF('Ordenes_Odoo'!H265="","",'Ordenes_Odoo'!H265)</f>
        <v/>
      </c>
      <c r="I265" s="79">
        <f>IF('Ordenes_Odoo'!I265="","",'Ordenes_Odoo'!I265)</f>
        <v/>
      </c>
      <c r="J265" s="79">
        <f>IF('Ordenes_Odoo'!J265="","",'Ordenes_Odoo'!J265)</f>
        <v/>
      </c>
      <c r="K265" s="81">
        <f>IF('Ordenes_Odoo'!K265="","",'Ordenes_Odoo'!K265)</f>
        <v/>
      </c>
      <c r="L265" s="81">
        <f>IF('Ordenes_Odoo'!L265="","",'Ordenes_Odoo'!L265)</f>
        <v/>
      </c>
      <c r="M265" s="79">
        <f>IF('Ordenes_Odoo'!M265="","",'Ordenes_Odoo'!M265)</f>
        <v/>
      </c>
      <c r="N265" s="79">
        <f>IF('Ordenes_Odoo'!N265="","",'Ordenes_Odoo'!N265)</f>
        <v/>
      </c>
      <c r="O265" s="81">
        <f>IF('Ordenes_Odoo'!O265="","",'Ordenes_Odoo'!O265)</f>
        <v/>
      </c>
      <c r="P265" s="81">
        <f>IF('Ordenes_Odoo'!P265="","",'Ordenes_Odoo'!P265)</f>
        <v/>
      </c>
      <c r="Q265" s="79">
        <f>IF(A265="","",IFERROR(INDEX(Facturas_Odoo!$B:$B, MATCH(A265, Facturas_Odoo!$D:$D, 0)), "Sin Factura"))</f>
        <v/>
      </c>
      <c r="R265" s="80">
        <f>IF(Q265="Sin Factura","",IFERROR(INDEX(Facturas_Odoo!$A:$A, MATCH(Q265, Facturas_Odoo!$B:$B, 0)), ""))</f>
        <v/>
      </c>
      <c r="S265" s="79">
        <f>IF(Q265="Sin Factura","",IFERROR(_xlfn.XLOOKUP(1, (Facturas_Odoo!$D:$D=A265) * (Facturas_Odoo!$K:$K=I265), Facturas_Odoo!$L:$L, ""), ""))</f>
        <v/>
      </c>
      <c r="T265" s="81">
        <f>IF(Q265="Sin Factura",0,IFERROR(_xlfn.XLOOKUP(1, (Facturas_Odoo!$D:$D=A265) * (Facturas_Odoo!$K:$K=I265), Facturas_Odoo!$M:$M, 0), 0))</f>
        <v/>
      </c>
      <c r="U265" s="79">
        <f>IF(Q265="Sin Factura",0,IFERROR(_xlfn.XLOOKUP(1, (Facturas_Odoo!$D:$D=A265) * (Facturas_Odoo!$K:$K=I265), Facturas_Odoo!$N:$N, 0), 0))</f>
        <v/>
      </c>
      <c r="V265" s="79">
        <f>IF(Q265="Sin Factura",0,IFERROR(_xlfn.XLOOKUP(1, (Facturas_Odoo!$D:$D=A265) * (Facturas_Odoo!$K:$K=I265), Facturas_Odoo!$O:$O, 0), 0))</f>
        <v/>
      </c>
      <c r="W265" s="81">
        <f>IF(Q265="Sin Factura",0,IFERROR(_xlfn.XLOOKUP(1, (Facturas_Odoo!$D:$D=A265) * (Facturas_Odoo!$K:$K=I265), Facturas_Odoo!$Q:$Q, 0), 0))</f>
        <v/>
      </c>
      <c r="X265" s="79">
        <f>IF(OR(Q265="Sin Factura",Q265=""),"",IFERROR(INDEX(Pagos_Odoo!$B:$B, MATCH(Q265, Pagos_Odoo!$I:$I, 0)), "Sin Pago"))</f>
        <v/>
      </c>
      <c r="Y265" s="79">
        <f>IF(X265="Sin Pago","",IFERROR(INDEX(Pagos_Odoo!$C:$C, MATCH(X265, Pagos_Odoo!$B:$B, 0)), ""))</f>
        <v/>
      </c>
      <c r="Z265" s="80">
        <f>IF(X265="Sin Pago","",IFERROR(INDEX(Pagos_Odoo!$A:$A, MATCH(X265, Pagos_Odoo!$B:$B, 0)), ""))</f>
        <v/>
      </c>
      <c r="AA265" s="79">
        <f>IF(X265="Sin Pago","",IFERROR(INDEX(Pagos_Odoo!$F:$F, MATCH(X265, Pagos_Odoo!$B:$B, 0)), ""))</f>
        <v/>
      </c>
      <c r="AB265" s="81">
        <f>IF(X265="Sin Pago",0,IFERROR(INDEX(Pagos_Odoo!$E:$E, MATCH(X265, Pagos_Odoo!$B:$B, 0)), 0))</f>
        <v/>
      </c>
      <c r="AC265" s="79">
        <f>IF(X265="Sin Pago","",IFERROR(INDEX(Pagos_Odoo!$G:$G, MATCH(X265, Pagos_Odoo!$B:$B, 0)), ""))</f>
        <v/>
      </c>
      <c r="AD265" s="82" t="n">
        <v>0</v>
      </c>
      <c r="AE265" s="82" t="n"/>
      <c r="AF265" s="82" t="n"/>
      <c r="AG265" s="82">
        <f>IF(AN265="","",AD265+AE265+AF265)</f>
        <v/>
      </c>
      <c r="AH265" s="81">
        <f>IF(AN265="","",P265*(1-AG265))</f>
        <v/>
      </c>
      <c r="AI265" s="81">
        <f>IF(AN265="","",IF(Q265="Sin Factura",0,IFERROR(INDEX(Facturas_Odoo!$H:$H, MATCH(Q265, Facturas_Odoo!$B:$B, 0)), 0)*(1-AG265)))</f>
        <v/>
      </c>
      <c r="AJ265" s="81">
        <f>IF(AN265="","",_xlfn.LET(idVenta, AN265&amp;"",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5" s="81">
        <f>IF(AN265="","",AH265-AJ265)</f>
        <v/>
      </c>
      <c r="AL265" s="81">
        <f>IF(AN265="","",IF(Q265="Sin Factura","",AI265-AJ265))</f>
        <v/>
      </c>
      <c r="AM265" s="81">
        <f>IF(AN265="","",IF(Q265="Sin Factura",0,P265-IFERROR(INDEX(Facturas_Odoo!$H:$H, MATCH(Q265, Facturas_Odoo!$B:$B, 0)), 0)))</f>
        <v/>
      </c>
      <c r="AN265" s="79">
        <f>IF(AND(A265="", J265=""), "", IF(A265&lt;&gt;"", VALUE(MID(A265,2,LEN(A265))), AN264))</f>
        <v/>
      </c>
      <c r="AO265" s="79">
        <f>IF(AN265="","",IF(AD265=0,"OK",_xlfn.LET(monedaPago, IF(AA265="","USD",AA265), limitePermitido, IFERROR(VLOOKUP(monedaPago, Configuración!$A$2:$B$3, 2, FALSE), 0.15), IF(AD265&gt;limitePermitido, "ALERTA: EXCESO (" &amp; TEXT(limitePermitido, "0%") &amp; " máx)", "OK"))))</f>
        <v/>
      </c>
      <c r="AP265" s="79">
        <f>IF(AN265="","",IF(AE265=0,"OK",_xlfn.LET(fechaPago, Z265, fechaFactura, R265, diasCredito, IF(E265="Pago inmediato", 0, IFERROR(VALUE(MID(E265, 1, SEARCH(" ", E265)-1)),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5" s="79">
        <f>IF(AN265="","",IF(AND(N265&gt;0, AG265&gt;0), IF(Configuración!$K$2="NO", "ALERTA: DESCUENTO DOBLE NO PERMITIDO", "OK"), "OK"))</f>
        <v/>
      </c>
      <c r="AR265" s="79">
        <f>IF(AN265="","",IF(OR(AO265&lt;&gt;"OK", AP265&lt;&gt;"OK", AQ265&lt;&gt;"OK"), "⚠️ REVISAR", "OK"))</f>
        <v/>
      </c>
    </row>
    <row r="266">
      <c r="A266" s="79">
        <f>IF('Ordenes_Odoo'!A266="","",'Ordenes_Odoo'!A266)</f>
        <v/>
      </c>
      <c r="B266" s="80">
        <f>IF('Ordenes_Odoo'!B266="","",'Ordenes_Odoo'!B266)</f>
        <v/>
      </c>
      <c r="C266" s="79">
        <f>IF('Ordenes_Odoo'!C266="","",'Ordenes_Odoo'!C266)</f>
        <v/>
      </c>
      <c r="D266" s="79">
        <f>IF('Ordenes_Odoo'!D266="","",'Ordenes_Odoo'!D266)</f>
        <v/>
      </c>
      <c r="E266" s="79">
        <f>IF('Ordenes_Odoo'!E266="","",'Ordenes_Odoo'!E266)</f>
        <v/>
      </c>
      <c r="F266" s="79">
        <f>IF('Ordenes_Odoo'!F266="","",'Ordenes_Odoo'!F266)</f>
        <v/>
      </c>
      <c r="G266" s="79">
        <f>IF('Ordenes_Odoo'!G266="","",'Ordenes_Odoo'!G266)</f>
        <v/>
      </c>
      <c r="H266" s="79">
        <f>IF('Ordenes_Odoo'!H266="","",'Ordenes_Odoo'!H266)</f>
        <v/>
      </c>
      <c r="I266" s="79">
        <f>IF('Ordenes_Odoo'!I266="","",'Ordenes_Odoo'!I266)</f>
        <v/>
      </c>
      <c r="J266" s="79">
        <f>IF('Ordenes_Odoo'!J266="","",'Ordenes_Odoo'!J266)</f>
        <v/>
      </c>
      <c r="K266" s="81">
        <f>IF('Ordenes_Odoo'!K266="","",'Ordenes_Odoo'!K266)</f>
        <v/>
      </c>
      <c r="L266" s="81">
        <f>IF('Ordenes_Odoo'!L266="","",'Ordenes_Odoo'!L266)</f>
        <v/>
      </c>
      <c r="M266" s="79">
        <f>IF('Ordenes_Odoo'!M266="","",'Ordenes_Odoo'!M266)</f>
        <v/>
      </c>
      <c r="N266" s="79">
        <f>IF('Ordenes_Odoo'!N266="","",'Ordenes_Odoo'!N266)</f>
        <v/>
      </c>
      <c r="O266" s="81">
        <f>IF('Ordenes_Odoo'!O266="","",'Ordenes_Odoo'!O266)</f>
        <v/>
      </c>
      <c r="P266" s="81">
        <f>IF('Ordenes_Odoo'!P266="","",'Ordenes_Odoo'!P266)</f>
        <v/>
      </c>
      <c r="Q266" s="79">
        <f>IF(A266="","",IFERROR(INDEX(Facturas_Odoo!$B:$B, MATCH(A266, Facturas_Odoo!$D:$D, 0)), "Sin Factura"))</f>
        <v/>
      </c>
      <c r="R266" s="80">
        <f>IF(Q266="Sin Factura","",IFERROR(INDEX(Facturas_Odoo!$A:$A, MATCH(Q266, Facturas_Odoo!$B:$B, 0)), ""))</f>
        <v/>
      </c>
      <c r="S266" s="79">
        <f>IF(Q266="Sin Factura","",IFERROR(_xlfn.XLOOKUP(1, (Facturas_Odoo!$D:$D=A266) * (Facturas_Odoo!$K:$K=I266), Facturas_Odoo!$L:$L, ""), ""))</f>
        <v/>
      </c>
      <c r="T266" s="81">
        <f>IF(Q266="Sin Factura",0,IFERROR(_xlfn.XLOOKUP(1, (Facturas_Odoo!$D:$D=A266) * (Facturas_Odoo!$K:$K=I266), Facturas_Odoo!$M:$M, 0), 0))</f>
        <v/>
      </c>
      <c r="U266" s="79">
        <f>IF(Q266="Sin Factura",0,IFERROR(_xlfn.XLOOKUP(1, (Facturas_Odoo!$D:$D=A266) * (Facturas_Odoo!$K:$K=I266), Facturas_Odoo!$N:$N, 0), 0))</f>
        <v/>
      </c>
      <c r="V266" s="79">
        <f>IF(Q266="Sin Factura",0,IFERROR(_xlfn.XLOOKUP(1, (Facturas_Odoo!$D:$D=A266) * (Facturas_Odoo!$K:$K=I266), Facturas_Odoo!$O:$O, 0), 0))</f>
        <v/>
      </c>
      <c r="W266" s="81">
        <f>IF(Q266="Sin Factura",0,IFERROR(_xlfn.XLOOKUP(1, (Facturas_Odoo!$D:$D=A266) * (Facturas_Odoo!$K:$K=I266), Facturas_Odoo!$Q:$Q, 0), 0))</f>
        <v/>
      </c>
      <c r="X266" s="79">
        <f>IF(OR(Q266="Sin Factura",Q266=""),"",IFERROR(INDEX(Pagos_Odoo!$B:$B, MATCH(Q266, Pagos_Odoo!$I:$I, 0)), "Sin Pago"))</f>
        <v/>
      </c>
      <c r="Y266" s="79">
        <f>IF(X266="Sin Pago","",IFERROR(INDEX(Pagos_Odoo!$C:$C, MATCH(X266, Pagos_Odoo!$B:$B, 0)), ""))</f>
        <v/>
      </c>
      <c r="Z266" s="80">
        <f>IF(X266="Sin Pago","",IFERROR(INDEX(Pagos_Odoo!$A:$A, MATCH(X266, Pagos_Odoo!$B:$B, 0)), ""))</f>
        <v/>
      </c>
      <c r="AA266" s="79">
        <f>IF(X266="Sin Pago","",IFERROR(INDEX(Pagos_Odoo!$F:$F, MATCH(X266, Pagos_Odoo!$B:$B, 0)), ""))</f>
        <v/>
      </c>
      <c r="AB266" s="81">
        <f>IF(X266="Sin Pago",0,IFERROR(INDEX(Pagos_Odoo!$E:$E, MATCH(X266, Pagos_Odoo!$B:$B, 0)), 0))</f>
        <v/>
      </c>
      <c r="AC266" s="79">
        <f>IF(X266="Sin Pago","",IFERROR(INDEX(Pagos_Odoo!$G:$G, MATCH(X266, Pagos_Odoo!$B:$B, 0)), ""))</f>
        <v/>
      </c>
      <c r="AD266" s="82" t="n">
        <v>0</v>
      </c>
      <c r="AE266" s="82" t="n"/>
      <c r="AF266" s="82" t="n"/>
      <c r="AG266" s="82">
        <f>IF(AN266="","",AD266+AE266+AF266)</f>
        <v/>
      </c>
      <c r="AH266" s="81">
        <f>IF(AN266="","",P266*(1-AG266))</f>
        <v/>
      </c>
      <c r="AI266" s="81">
        <f>IF(AN266="","",IF(Q266="Sin Factura",0,IFERROR(INDEX(Facturas_Odoo!$H:$H, MATCH(Q266, Facturas_Odoo!$B:$B, 0)), 0)*(1-AG266)))</f>
        <v/>
      </c>
      <c r="AJ266" s="81">
        <f>IF(AN266="","",_xlfn.LET(idVenta, AN266&amp;"",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6" s="81">
        <f>IF(AN266="","",AH266-AJ266)</f>
        <v/>
      </c>
      <c r="AL266" s="81">
        <f>IF(AN266="","",IF(Q266="Sin Factura","",AI266-AJ266))</f>
        <v/>
      </c>
      <c r="AM266" s="81">
        <f>IF(AN266="","",IF(Q266="Sin Factura",0,P266-IFERROR(INDEX(Facturas_Odoo!$H:$H, MATCH(Q266, Facturas_Odoo!$B:$B, 0)), 0)))</f>
        <v/>
      </c>
      <c r="AN266" s="79">
        <f>IF(AND(A266="", J266=""), "", IF(A266&lt;&gt;"", VALUE(MID(A266,2,LEN(A266))), AN265))</f>
        <v/>
      </c>
      <c r="AO266" s="79">
        <f>IF(AN266="","",IF(AD266=0,"OK",_xlfn.LET(monedaPago, IF(AA266="","USD",AA266), limitePermitido, IFERROR(VLOOKUP(monedaPago, Configuración!$A$2:$B$3, 2, FALSE), 0.15), IF(AD266&gt;limitePermitido, "ALERTA: EXCESO (" &amp; TEXT(limitePermitido, "0%") &amp; " máx)", "OK"))))</f>
        <v/>
      </c>
      <c r="AP266" s="79">
        <f>IF(AN266="","",IF(AE266=0,"OK",_xlfn.LET(fechaPago, Z266, fechaFactura, R266, diasCredito, IF(E266="Pago inmediato", 0, IFERROR(VALUE(MID(E266, 1, SEARCH(" ", E266)-1)),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6" s="79">
        <f>IF(AN266="","",IF(AND(N266&gt;0, AG266&gt;0), IF(Configuración!$K$2="NO", "ALERTA: DESCUENTO DOBLE NO PERMITIDO", "OK"), "OK"))</f>
        <v/>
      </c>
      <c r="AR266" s="79">
        <f>IF(AN266="","",IF(OR(AO266&lt;&gt;"OK", AP266&lt;&gt;"OK", AQ266&lt;&gt;"OK"), "⚠️ REVISAR", "OK"))</f>
        <v/>
      </c>
    </row>
    <row r="267">
      <c r="A267" s="79">
        <f>IF('Ordenes_Odoo'!A267="","",'Ordenes_Odoo'!A267)</f>
        <v/>
      </c>
      <c r="B267" s="80">
        <f>IF('Ordenes_Odoo'!B267="","",'Ordenes_Odoo'!B267)</f>
        <v/>
      </c>
      <c r="C267" s="79">
        <f>IF('Ordenes_Odoo'!C267="","",'Ordenes_Odoo'!C267)</f>
        <v/>
      </c>
      <c r="D267" s="79">
        <f>IF('Ordenes_Odoo'!D267="","",'Ordenes_Odoo'!D267)</f>
        <v/>
      </c>
      <c r="E267" s="79">
        <f>IF('Ordenes_Odoo'!E267="","",'Ordenes_Odoo'!E267)</f>
        <v/>
      </c>
      <c r="F267" s="79">
        <f>IF('Ordenes_Odoo'!F267="","",'Ordenes_Odoo'!F267)</f>
        <v/>
      </c>
      <c r="G267" s="79">
        <f>IF('Ordenes_Odoo'!G267="","",'Ordenes_Odoo'!G267)</f>
        <v/>
      </c>
      <c r="H267" s="79">
        <f>IF('Ordenes_Odoo'!H267="","",'Ordenes_Odoo'!H267)</f>
        <v/>
      </c>
      <c r="I267" s="79">
        <f>IF('Ordenes_Odoo'!I267="","",'Ordenes_Odoo'!I267)</f>
        <v/>
      </c>
      <c r="J267" s="79">
        <f>IF('Ordenes_Odoo'!J267="","",'Ordenes_Odoo'!J267)</f>
        <v/>
      </c>
      <c r="K267" s="81">
        <f>IF('Ordenes_Odoo'!K267="","",'Ordenes_Odoo'!K267)</f>
        <v/>
      </c>
      <c r="L267" s="81">
        <f>IF('Ordenes_Odoo'!L267="","",'Ordenes_Odoo'!L267)</f>
        <v/>
      </c>
      <c r="M267" s="79">
        <f>IF('Ordenes_Odoo'!M267="","",'Ordenes_Odoo'!M267)</f>
        <v/>
      </c>
      <c r="N267" s="79">
        <f>IF('Ordenes_Odoo'!N267="","",'Ordenes_Odoo'!N267)</f>
        <v/>
      </c>
      <c r="O267" s="81">
        <f>IF('Ordenes_Odoo'!O267="","",'Ordenes_Odoo'!O267)</f>
        <v/>
      </c>
      <c r="P267" s="81">
        <f>IF('Ordenes_Odoo'!P267="","",'Ordenes_Odoo'!P267)</f>
        <v/>
      </c>
      <c r="Q267" s="79">
        <f>IF(A267="","",IFERROR(INDEX(Facturas_Odoo!$B:$B, MATCH(A267, Facturas_Odoo!$D:$D, 0)), "Sin Factura"))</f>
        <v/>
      </c>
      <c r="R267" s="80">
        <f>IF(Q267="Sin Factura","",IFERROR(INDEX(Facturas_Odoo!$A:$A, MATCH(Q267, Facturas_Odoo!$B:$B, 0)), ""))</f>
        <v/>
      </c>
      <c r="S267" s="79">
        <f>IF(Q267="Sin Factura","",IFERROR(_xlfn.XLOOKUP(1, (Facturas_Odoo!$D:$D=A267) * (Facturas_Odoo!$K:$K=I267), Facturas_Odoo!$L:$L, ""), ""))</f>
        <v/>
      </c>
      <c r="T267" s="81">
        <f>IF(Q267="Sin Factura",0,IFERROR(_xlfn.XLOOKUP(1, (Facturas_Odoo!$D:$D=A267) * (Facturas_Odoo!$K:$K=I267), Facturas_Odoo!$M:$M, 0), 0))</f>
        <v/>
      </c>
      <c r="U267" s="79">
        <f>IF(Q267="Sin Factura",0,IFERROR(_xlfn.XLOOKUP(1, (Facturas_Odoo!$D:$D=A267) * (Facturas_Odoo!$K:$K=I267), Facturas_Odoo!$N:$N, 0), 0))</f>
        <v/>
      </c>
      <c r="V267" s="79">
        <f>IF(Q267="Sin Factura",0,IFERROR(_xlfn.XLOOKUP(1, (Facturas_Odoo!$D:$D=A267) * (Facturas_Odoo!$K:$K=I267), Facturas_Odoo!$O:$O, 0), 0))</f>
        <v/>
      </c>
      <c r="W267" s="81">
        <f>IF(Q267="Sin Factura",0,IFERROR(_xlfn.XLOOKUP(1, (Facturas_Odoo!$D:$D=A267) * (Facturas_Odoo!$K:$K=I267), Facturas_Odoo!$Q:$Q, 0), 0))</f>
        <v/>
      </c>
      <c r="X267" s="79">
        <f>IF(OR(Q267="Sin Factura",Q267=""),"",IFERROR(INDEX(Pagos_Odoo!$B:$B, MATCH(Q267, Pagos_Odoo!$I:$I, 0)), "Sin Pago"))</f>
        <v/>
      </c>
      <c r="Y267" s="79">
        <f>IF(X267="Sin Pago","",IFERROR(INDEX(Pagos_Odoo!$C:$C, MATCH(X267, Pagos_Odoo!$B:$B, 0)), ""))</f>
        <v/>
      </c>
      <c r="Z267" s="80">
        <f>IF(X267="Sin Pago","",IFERROR(INDEX(Pagos_Odoo!$A:$A, MATCH(X267, Pagos_Odoo!$B:$B, 0)), ""))</f>
        <v/>
      </c>
      <c r="AA267" s="79">
        <f>IF(X267="Sin Pago","",IFERROR(INDEX(Pagos_Odoo!$F:$F, MATCH(X267, Pagos_Odoo!$B:$B, 0)), ""))</f>
        <v/>
      </c>
      <c r="AB267" s="81">
        <f>IF(X267="Sin Pago",0,IFERROR(INDEX(Pagos_Odoo!$E:$E, MATCH(X267, Pagos_Odoo!$B:$B, 0)), 0))</f>
        <v/>
      </c>
      <c r="AC267" s="79">
        <f>IF(X267="Sin Pago","",IFERROR(INDEX(Pagos_Odoo!$G:$G, MATCH(X267, Pagos_Odoo!$B:$B, 0)), ""))</f>
        <v/>
      </c>
      <c r="AD267" s="82" t="n">
        <v>0</v>
      </c>
      <c r="AE267" s="82" t="n"/>
      <c r="AF267" s="82" t="n"/>
      <c r="AG267" s="82">
        <f>IF(AN267="","",AD267+AE267+AF267)</f>
        <v/>
      </c>
      <c r="AH267" s="81">
        <f>IF(AN267="","",P267*(1-AG267))</f>
        <v/>
      </c>
      <c r="AI267" s="81">
        <f>IF(AN267="","",IF(Q267="Sin Factura",0,IFERROR(INDEX(Facturas_Odoo!$H:$H, MATCH(Q267, Facturas_Odoo!$B:$B, 0)), 0)*(1-AG267)))</f>
        <v/>
      </c>
      <c r="AJ267" s="81">
        <f>IF(AN267="","",_xlfn.LET(idVenta, AN267&amp;"",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7" s="81">
        <f>IF(AN267="","",AH267-AJ267)</f>
        <v/>
      </c>
      <c r="AL267" s="81">
        <f>IF(AN267="","",IF(Q267="Sin Factura","",AI267-AJ267))</f>
        <v/>
      </c>
      <c r="AM267" s="81">
        <f>IF(AN267="","",IF(Q267="Sin Factura",0,P267-IFERROR(INDEX(Facturas_Odoo!$H:$H, MATCH(Q267, Facturas_Odoo!$B:$B, 0)), 0)))</f>
        <v/>
      </c>
      <c r="AN267" s="79">
        <f>IF(AND(A267="", J267=""), "", IF(A267&lt;&gt;"", VALUE(MID(A267,2,LEN(A267))), AN266))</f>
        <v/>
      </c>
      <c r="AO267" s="79">
        <f>IF(AN267="","",IF(AD267=0,"OK",_xlfn.LET(monedaPago, IF(AA267="","USD",AA267), limitePermitido, IFERROR(VLOOKUP(monedaPago, Configuración!$A$2:$B$3, 2, FALSE), 0.15), IF(AD267&gt;limitePermitido, "ALERTA: EXCESO (" &amp; TEXT(limitePermitido, "0%") &amp; " máx)", "OK"))))</f>
        <v/>
      </c>
      <c r="AP267" s="79">
        <f>IF(AN267="","",IF(AE267=0,"OK",_xlfn.LET(fechaPago, Z267, fechaFactura, R267, diasCredito, IF(E267="Pago inmediato", 0, IFERROR(VALUE(MID(E267, 1, SEARCH(" ", E267)-1)),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7" s="79">
        <f>IF(AN267="","",IF(AND(N267&gt;0, AG267&gt;0), IF(Configuración!$K$2="NO", "ALERTA: DESCUENTO DOBLE NO PERMITIDO", "OK"), "OK"))</f>
        <v/>
      </c>
      <c r="AR267" s="79">
        <f>IF(AN267="","",IF(OR(AO267&lt;&gt;"OK", AP267&lt;&gt;"OK", AQ267&lt;&gt;"OK"), "⚠️ REVISAR", "OK"))</f>
        <v/>
      </c>
    </row>
    <row r="268">
      <c r="A268" s="79">
        <f>IF('Ordenes_Odoo'!A268="","",'Ordenes_Odoo'!A268)</f>
        <v/>
      </c>
      <c r="B268" s="80">
        <f>IF('Ordenes_Odoo'!B268="","",'Ordenes_Odoo'!B268)</f>
        <v/>
      </c>
      <c r="C268" s="79">
        <f>IF('Ordenes_Odoo'!C268="","",'Ordenes_Odoo'!C268)</f>
        <v/>
      </c>
      <c r="D268" s="79">
        <f>IF('Ordenes_Odoo'!D268="","",'Ordenes_Odoo'!D268)</f>
        <v/>
      </c>
      <c r="E268" s="79">
        <f>IF('Ordenes_Odoo'!E268="","",'Ordenes_Odoo'!E268)</f>
        <v/>
      </c>
      <c r="F268" s="79">
        <f>IF('Ordenes_Odoo'!F268="","",'Ordenes_Odoo'!F268)</f>
        <v/>
      </c>
      <c r="G268" s="79">
        <f>IF('Ordenes_Odoo'!G268="","",'Ordenes_Odoo'!G268)</f>
        <v/>
      </c>
      <c r="H268" s="79">
        <f>IF('Ordenes_Odoo'!H268="","",'Ordenes_Odoo'!H268)</f>
        <v/>
      </c>
      <c r="I268" s="79">
        <f>IF('Ordenes_Odoo'!I268="","",'Ordenes_Odoo'!I268)</f>
        <v/>
      </c>
      <c r="J268" s="79">
        <f>IF('Ordenes_Odoo'!J268="","",'Ordenes_Odoo'!J268)</f>
        <v/>
      </c>
      <c r="K268" s="81">
        <f>IF('Ordenes_Odoo'!K268="","",'Ordenes_Odoo'!K268)</f>
        <v/>
      </c>
      <c r="L268" s="81">
        <f>IF('Ordenes_Odoo'!L268="","",'Ordenes_Odoo'!L268)</f>
        <v/>
      </c>
      <c r="M268" s="79">
        <f>IF('Ordenes_Odoo'!M268="","",'Ordenes_Odoo'!M268)</f>
        <v/>
      </c>
      <c r="N268" s="79">
        <f>IF('Ordenes_Odoo'!N268="","",'Ordenes_Odoo'!N268)</f>
        <v/>
      </c>
      <c r="O268" s="81">
        <f>IF('Ordenes_Odoo'!O268="","",'Ordenes_Odoo'!O268)</f>
        <v/>
      </c>
      <c r="P268" s="81">
        <f>IF('Ordenes_Odoo'!P268="","",'Ordenes_Odoo'!P268)</f>
        <v/>
      </c>
      <c r="Q268" s="79">
        <f>IF(A268="","",IFERROR(INDEX(Facturas_Odoo!$B:$B, MATCH(A268, Facturas_Odoo!$D:$D, 0)), "Sin Factura"))</f>
        <v/>
      </c>
      <c r="R268" s="80">
        <f>IF(Q268="Sin Factura","",IFERROR(INDEX(Facturas_Odoo!$A:$A, MATCH(Q268, Facturas_Odoo!$B:$B, 0)), ""))</f>
        <v/>
      </c>
      <c r="S268" s="79">
        <f>IF(Q268="Sin Factura","",IFERROR(_xlfn.XLOOKUP(1, (Facturas_Odoo!$D:$D=A268) * (Facturas_Odoo!$K:$K=I268), Facturas_Odoo!$L:$L, ""), ""))</f>
        <v/>
      </c>
      <c r="T268" s="81">
        <f>IF(Q268="Sin Factura",0,IFERROR(_xlfn.XLOOKUP(1, (Facturas_Odoo!$D:$D=A268) * (Facturas_Odoo!$K:$K=I268), Facturas_Odoo!$M:$M, 0), 0))</f>
        <v/>
      </c>
      <c r="U268" s="79">
        <f>IF(Q268="Sin Factura",0,IFERROR(_xlfn.XLOOKUP(1, (Facturas_Odoo!$D:$D=A268) * (Facturas_Odoo!$K:$K=I268), Facturas_Odoo!$N:$N, 0), 0))</f>
        <v/>
      </c>
      <c r="V268" s="79">
        <f>IF(Q268="Sin Factura",0,IFERROR(_xlfn.XLOOKUP(1, (Facturas_Odoo!$D:$D=A268) * (Facturas_Odoo!$K:$K=I268), Facturas_Odoo!$O:$O, 0), 0))</f>
        <v/>
      </c>
      <c r="W268" s="81">
        <f>IF(Q268="Sin Factura",0,IFERROR(_xlfn.XLOOKUP(1, (Facturas_Odoo!$D:$D=A268) * (Facturas_Odoo!$K:$K=I268), Facturas_Odoo!$Q:$Q, 0), 0))</f>
        <v/>
      </c>
      <c r="X268" s="79">
        <f>IF(OR(Q268="Sin Factura",Q268=""),"",IFERROR(INDEX(Pagos_Odoo!$B:$B, MATCH(Q268, Pagos_Odoo!$I:$I, 0)), "Sin Pago"))</f>
        <v/>
      </c>
      <c r="Y268" s="79">
        <f>IF(X268="Sin Pago","",IFERROR(INDEX(Pagos_Odoo!$C:$C, MATCH(X268, Pagos_Odoo!$B:$B, 0)), ""))</f>
        <v/>
      </c>
      <c r="Z268" s="80">
        <f>IF(X268="Sin Pago","",IFERROR(INDEX(Pagos_Odoo!$A:$A, MATCH(X268, Pagos_Odoo!$B:$B, 0)), ""))</f>
        <v/>
      </c>
      <c r="AA268" s="79">
        <f>IF(X268="Sin Pago","",IFERROR(INDEX(Pagos_Odoo!$F:$F, MATCH(X268, Pagos_Odoo!$B:$B, 0)), ""))</f>
        <v/>
      </c>
      <c r="AB268" s="81">
        <f>IF(X268="Sin Pago",0,IFERROR(INDEX(Pagos_Odoo!$E:$E, MATCH(X268, Pagos_Odoo!$B:$B, 0)), 0))</f>
        <v/>
      </c>
      <c r="AC268" s="79">
        <f>IF(X268="Sin Pago","",IFERROR(INDEX(Pagos_Odoo!$G:$G, MATCH(X268, Pagos_Odoo!$B:$B, 0)), ""))</f>
        <v/>
      </c>
      <c r="AD268" s="82" t="n">
        <v>0</v>
      </c>
      <c r="AE268" s="82" t="n"/>
      <c r="AF268" s="82" t="n"/>
      <c r="AG268" s="82">
        <f>IF(AN268="","",AD268+AE268+AF268)</f>
        <v/>
      </c>
      <c r="AH268" s="81">
        <f>IF(AN268="","",P268*(1-AG268))</f>
        <v/>
      </c>
      <c r="AI268" s="81">
        <f>IF(AN268="","",IF(Q268="Sin Factura",0,IFERROR(INDEX(Facturas_Odoo!$H:$H, MATCH(Q268, Facturas_Odoo!$B:$B, 0)), 0)*(1-AG268)))</f>
        <v/>
      </c>
      <c r="AJ268" s="81">
        <f>IF(AN268="","",_xlfn.LET(idVenta, AN268&amp;"",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8" s="81">
        <f>IF(AN268="","",AH268-AJ268)</f>
        <v/>
      </c>
      <c r="AL268" s="81">
        <f>IF(AN268="","",IF(Q268="Sin Factura","",AI268-AJ268))</f>
        <v/>
      </c>
      <c r="AM268" s="81">
        <f>IF(AN268="","",IF(Q268="Sin Factura",0,P268-IFERROR(INDEX(Facturas_Odoo!$H:$H, MATCH(Q268, Facturas_Odoo!$B:$B, 0)), 0)))</f>
        <v/>
      </c>
      <c r="AN268" s="79">
        <f>IF(AND(A268="", J268=""), "", IF(A268&lt;&gt;"", VALUE(MID(A268,2,LEN(A268))), AN267))</f>
        <v/>
      </c>
      <c r="AO268" s="79">
        <f>IF(AN268="","",IF(AD268=0,"OK",_xlfn.LET(monedaPago, IF(AA268="","USD",AA268), limitePermitido, IFERROR(VLOOKUP(monedaPago, Configuración!$A$2:$B$3, 2, FALSE), 0.15), IF(AD268&gt;limitePermitido, "ALERTA: EXCESO (" &amp; TEXT(limitePermitido, "0%") &amp; " máx)", "OK"))))</f>
        <v/>
      </c>
      <c r="AP268" s="79">
        <f>IF(AN268="","",IF(AE268=0,"OK",_xlfn.LET(fechaPago, Z268, fechaFactura, R268, diasCredito, IF(E268="Pago inmediato", 0, IFERROR(VALUE(MID(E268, 1, SEARCH(" ", E268)-1)),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8" s="79">
        <f>IF(AN268="","",IF(AND(N268&gt;0, AG268&gt;0), IF(Configuración!$K$2="NO", "ALERTA: DESCUENTO DOBLE NO PERMITIDO", "OK"), "OK"))</f>
        <v/>
      </c>
      <c r="AR268" s="79">
        <f>IF(AN268="","",IF(OR(AO268&lt;&gt;"OK", AP268&lt;&gt;"OK", AQ268&lt;&gt;"OK"), "⚠️ REVISAR", "OK"))</f>
        <v/>
      </c>
    </row>
    <row r="269">
      <c r="A269" s="79">
        <f>IF('Ordenes_Odoo'!A269="","",'Ordenes_Odoo'!A269)</f>
        <v/>
      </c>
      <c r="B269" s="80">
        <f>IF('Ordenes_Odoo'!B269="","",'Ordenes_Odoo'!B269)</f>
        <v/>
      </c>
      <c r="C269" s="79">
        <f>IF('Ordenes_Odoo'!C269="","",'Ordenes_Odoo'!C269)</f>
        <v/>
      </c>
      <c r="D269" s="79">
        <f>IF('Ordenes_Odoo'!D269="","",'Ordenes_Odoo'!D269)</f>
        <v/>
      </c>
      <c r="E269" s="79">
        <f>IF('Ordenes_Odoo'!E269="","",'Ordenes_Odoo'!E269)</f>
        <v/>
      </c>
      <c r="F269" s="79">
        <f>IF('Ordenes_Odoo'!F269="","",'Ordenes_Odoo'!F269)</f>
        <v/>
      </c>
      <c r="G269" s="79">
        <f>IF('Ordenes_Odoo'!G269="","",'Ordenes_Odoo'!G269)</f>
        <v/>
      </c>
      <c r="H269" s="79">
        <f>IF('Ordenes_Odoo'!H269="","",'Ordenes_Odoo'!H269)</f>
        <v/>
      </c>
      <c r="I269" s="79">
        <f>IF('Ordenes_Odoo'!I269="","",'Ordenes_Odoo'!I269)</f>
        <v/>
      </c>
      <c r="J269" s="79">
        <f>IF('Ordenes_Odoo'!J269="","",'Ordenes_Odoo'!J269)</f>
        <v/>
      </c>
      <c r="K269" s="81">
        <f>IF('Ordenes_Odoo'!K269="","",'Ordenes_Odoo'!K269)</f>
        <v/>
      </c>
      <c r="L269" s="81">
        <f>IF('Ordenes_Odoo'!L269="","",'Ordenes_Odoo'!L269)</f>
        <v/>
      </c>
      <c r="M269" s="79">
        <f>IF('Ordenes_Odoo'!M269="","",'Ordenes_Odoo'!M269)</f>
        <v/>
      </c>
      <c r="N269" s="79">
        <f>IF('Ordenes_Odoo'!N269="","",'Ordenes_Odoo'!N269)</f>
        <v/>
      </c>
      <c r="O269" s="81">
        <f>IF('Ordenes_Odoo'!O269="","",'Ordenes_Odoo'!O269)</f>
        <v/>
      </c>
      <c r="P269" s="81">
        <f>IF('Ordenes_Odoo'!P269="","",'Ordenes_Odoo'!P269)</f>
        <v/>
      </c>
      <c r="Q269" s="79">
        <f>IF(A269="","",IFERROR(INDEX(Facturas_Odoo!$B:$B, MATCH(A269, Facturas_Odoo!$D:$D, 0)), "Sin Factura"))</f>
        <v/>
      </c>
      <c r="R269" s="80">
        <f>IF(Q269="Sin Factura","",IFERROR(INDEX(Facturas_Odoo!$A:$A, MATCH(Q269, Facturas_Odoo!$B:$B, 0)), ""))</f>
        <v/>
      </c>
      <c r="S269" s="79">
        <f>IF(Q269="Sin Factura","",IFERROR(_xlfn.XLOOKUP(1, (Facturas_Odoo!$D:$D=A269) * (Facturas_Odoo!$K:$K=I269), Facturas_Odoo!$L:$L, ""), ""))</f>
        <v/>
      </c>
      <c r="T269" s="81">
        <f>IF(Q269="Sin Factura",0,IFERROR(_xlfn.XLOOKUP(1, (Facturas_Odoo!$D:$D=A269) * (Facturas_Odoo!$K:$K=I269), Facturas_Odoo!$M:$M, 0), 0))</f>
        <v/>
      </c>
      <c r="U269" s="79">
        <f>IF(Q269="Sin Factura",0,IFERROR(_xlfn.XLOOKUP(1, (Facturas_Odoo!$D:$D=A269) * (Facturas_Odoo!$K:$K=I269), Facturas_Odoo!$N:$N, 0), 0))</f>
        <v/>
      </c>
      <c r="V269" s="79">
        <f>IF(Q269="Sin Factura",0,IFERROR(_xlfn.XLOOKUP(1, (Facturas_Odoo!$D:$D=A269) * (Facturas_Odoo!$K:$K=I269), Facturas_Odoo!$O:$O, 0), 0))</f>
        <v/>
      </c>
      <c r="W269" s="81">
        <f>IF(Q269="Sin Factura",0,IFERROR(_xlfn.XLOOKUP(1, (Facturas_Odoo!$D:$D=A269) * (Facturas_Odoo!$K:$K=I269), Facturas_Odoo!$Q:$Q, 0), 0))</f>
        <v/>
      </c>
      <c r="X269" s="79">
        <f>IF(OR(Q269="Sin Factura",Q269=""),"",IFERROR(INDEX(Pagos_Odoo!$B:$B, MATCH(Q269, Pagos_Odoo!$I:$I, 0)), "Sin Pago"))</f>
        <v/>
      </c>
      <c r="Y269" s="79">
        <f>IF(X269="Sin Pago","",IFERROR(INDEX(Pagos_Odoo!$C:$C, MATCH(X269, Pagos_Odoo!$B:$B, 0)), ""))</f>
        <v/>
      </c>
      <c r="Z269" s="80">
        <f>IF(X269="Sin Pago","",IFERROR(INDEX(Pagos_Odoo!$A:$A, MATCH(X269, Pagos_Odoo!$B:$B, 0)), ""))</f>
        <v/>
      </c>
      <c r="AA269" s="79">
        <f>IF(X269="Sin Pago","",IFERROR(INDEX(Pagos_Odoo!$F:$F, MATCH(X269, Pagos_Odoo!$B:$B, 0)), ""))</f>
        <v/>
      </c>
      <c r="AB269" s="81">
        <f>IF(X269="Sin Pago",0,IFERROR(INDEX(Pagos_Odoo!$E:$E, MATCH(X269, Pagos_Odoo!$B:$B, 0)), 0))</f>
        <v/>
      </c>
      <c r="AC269" s="79">
        <f>IF(X269="Sin Pago","",IFERROR(INDEX(Pagos_Odoo!$G:$G, MATCH(X269, Pagos_Odoo!$B:$B, 0)), ""))</f>
        <v/>
      </c>
      <c r="AD269" s="82" t="n">
        <v>0</v>
      </c>
      <c r="AE269" s="82" t="n"/>
      <c r="AF269" s="82" t="n"/>
      <c r="AG269" s="82">
        <f>IF(AN269="","",AD269+AE269+AF269)</f>
        <v/>
      </c>
      <c r="AH269" s="81">
        <f>IF(AN269="","",P269*(1-AG269))</f>
        <v/>
      </c>
      <c r="AI269" s="81">
        <f>IF(AN269="","",IF(Q269="Sin Factura",0,IFERROR(INDEX(Facturas_Odoo!$H:$H, MATCH(Q269, Facturas_Odoo!$B:$B, 0)), 0)*(1-AG269)))</f>
        <v/>
      </c>
      <c r="AJ269" s="81">
        <f>IF(AN269="","",_xlfn.LET(idVenta, AN269&amp;"",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9" s="81">
        <f>IF(AN269="","",AH269-AJ269)</f>
        <v/>
      </c>
      <c r="AL269" s="81">
        <f>IF(AN269="","",IF(Q269="Sin Factura","",AI269-AJ269))</f>
        <v/>
      </c>
      <c r="AM269" s="81">
        <f>IF(AN269="","",IF(Q269="Sin Factura",0,P269-IFERROR(INDEX(Facturas_Odoo!$H:$H, MATCH(Q269, Facturas_Odoo!$B:$B, 0)), 0)))</f>
        <v/>
      </c>
      <c r="AN269" s="79">
        <f>IF(AND(A269="", J269=""), "", IF(A269&lt;&gt;"", VALUE(MID(A269,2,LEN(A269))), AN268))</f>
        <v/>
      </c>
      <c r="AO269" s="79">
        <f>IF(AN269="","",IF(AD269=0,"OK",_xlfn.LET(monedaPago, IF(AA269="","USD",AA269), limitePermitido, IFERROR(VLOOKUP(monedaPago, Configuración!$A$2:$B$3, 2, FALSE), 0.15), IF(AD269&gt;limitePermitido, "ALERTA: EXCESO (" &amp; TEXT(limitePermitido, "0%") &amp; " máx)", "OK"))))</f>
        <v/>
      </c>
      <c r="AP269" s="79">
        <f>IF(AN269="","",IF(AE269=0,"OK",_xlfn.LET(fechaPago, Z269, fechaFactura, R269, diasCredito, IF(E269="Pago inmediato", 0, IFERROR(VALUE(MID(E269, 1, SEARCH(" ", E269)-1)),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9" s="79">
        <f>IF(AN269="","",IF(AND(N269&gt;0, AG269&gt;0), IF(Configuración!$K$2="NO", "ALERTA: DESCUENTO DOBLE NO PERMITIDO", "OK"), "OK"))</f>
        <v/>
      </c>
      <c r="AR269" s="79">
        <f>IF(AN269="","",IF(OR(AO269&lt;&gt;"OK", AP269&lt;&gt;"OK", AQ269&lt;&gt;"OK"), "⚠️ REVISAR", "OK"))</f>
        <v/>
      </c>
    </row>
    <row r="270">
      <c r="A270" s="79">
        <f>IF('Ordenes_Odoo'!A270="","",'Ordenes_Odoo'!A270)</f>
        <v/>
      </c>
      <c r="B270" s="80">
        <f>IF('Ordenes_Odoo'!B270="","",'Ordenes_Odoo'!B270)</f>
        <v/>
      </c>
      <c r="C270" s="79">
        <f>IF('Ordenes_Odoo'!C270="","",'Ordenes_Odoo'!C270)</f>
        <v/>
      </c>
      <c r="D270" s="79">
        <f>IF('Ordenes_Odoo'!D270="","",'Ordenes_Odoo'!D270)</f>
        <v/>
      </c>
      <c r="E270" s="79">
        <f>IF('Ordenes_Odoo'!E270="","",'Ordenes_Odoo'!E270)</f>
        <v/>
      </c>
      <c r="F270" s="79">
        <f>IF('Ordenes_Odoo'!F270="","",'Ordenes_Odoo'!F270)</f>
        <v/>
      </c>
      <c r="G270" s="79">
        <f>IF('Ordenes_Odoo'!G270="","",'Ordenes_Odoo'!G270)</f>
        <v/>
      </c>
      <c r="H270" s="79">
        <f>IF('Ordenes_Odoo'!H270="","",'Ordenes_Odoo'!H270)</f>
        <v/>
      </c>
      <c r="I270" s="79">
        <f>IF('Ordenes_Odoo'!I270="","",'Ordenes_Odoo'!I270)</f>
        <v/>
      </c>
      <c r="J270" s="79">
        <f>IF('Ordenes_Odoo'!J270="","",'Ordenes_Odoo'!J270)</f>
        <v/>
      </c>
      <c r="K270" s="81">
        <f>IF('Ordenes_Odoo'!K270="","",'Ordenes_Odoo'!K270)</f>
        <v/>
      </c>
      <c r="L270" s="81">
        <f>IF('Ordenes_Odoo'!L270="","",'Ordenes_Odoo'!L270)</f>
        <v/>
      </c>
      <c r="M270" s="79">
        <f>IF('Ordenes_Odoo'!M270="","",'Ordenes_Odoo'!M270)</f>
        <v/>
      </c>
      <c r="N270" s="79">
        <f>IF('Ordenes_Odoo'!N270="","",'Ordenes_Odoo'!N270)</f>
        <v/>
      </c>
      <c r="O270" s="81">
        <f>IF('Ordenes_Odoo'!O270="","",'Ordenes_Odoo'!O270)</f>
        <v/>
      </c>
      <c r="P270" s="81">
        <f>IF('Ordenes_Odoo'!P270="","",'Ordenes_Odoo'!P270)</f>
        <v/>
      </c>
      <c r="Q270" s="79">
        <f>IF(A270="","",IFERROR(INDEX(Facturas_Odoo!$B:$B, MATCH(A270, Facturas_Odoo!$D:$D, 0)), "Sin Factura"))</f>
        <v/>
      </c>
      <c r="R270" s="80">
        <f>IF(Q270="Sin Factura","",IFERROR(INDEX(Facturas_Odoo!$A:$A, MATCH(Q270, Facturas_Odoo!$B:$B, 0)), ""))</f>
        <v/>
      </c>
      <c r="S270" s="79">
        <f>IF(Q270="Sin Factura","",IFERROR(_xlfn.XLOOKUP(1, (Facturas_Odoo!$D:$D=A270) * (Facturas_Odoo!$K:$K=I270), Facturas_Odoo!$L:$L, ""), ""))</f>
        <v/>
      </c>
      <c r="T270" s="81">
        <f>IF(Q270="Sin Factura",0,IFERROR(_xlfn.XLOOKUP(1, (Facturas_Odoo!$D:$D=A270) * (Facturas_Odoo!$K:$K=I270), Facturas_Odoo!$M:$M, 0), 0))</f>
        <v/>
      </c>
      <c r="U270" s="79">
        <f>IF(Q270="Sin Factura",0,IFERROR(_xlfn.XLOOKUP(1, (Facturas_Odoo!$D:$D=A270) * (Facturas_Odoo!$K:$K=I270), Facturas_Odoo!$N:$N, 0), 0))</f>
        <v/>
      </c>
      <c r="V270" s="79">
        <f>IF(Q270="Sin Factura",0,IFERROR(_xlfn.XLOOKUP(1, (Facturas_Odoo!$D:$D=A270) * (Facturas_Odoo!$K:$K=I270), Facturas_Odoo!$O:$O, 0), 0))</f>
        <v/>
      </c>
      <c r="W270" s="81">
        <f>IF(Q270="Sin Factura",0,IFERROR(_xlfn.XLOOKUP(1, (Facturas_Odoo!$D:$D=A270) * (Facturas_Odoo!$K:$K=I270), Facturas_Odoo!$Q:$Q, 0), 0))</f>
        <v/>
      </c>
      <c r="X270" s="79">
        <f>IF(OR(Q270="Sin Factura",Q270=""),"",IFERROR(INDEX(Pagos_Odoo!$B:$B, MATCH(Q270, Pagos_Odoo!$I:$I, 0)), "Sin Pago"))</f>
        <v/>
      </c>
      <c r="Y270" s="79">
        <f>IF(X270="Sin Pago","",IFERROR(INDEX(Pagos_Odoo!$C:$C, MATCH(X270, Pagos_Odoo!$B:$B, 0)), ""))</f>
        <v/>
      </c>
      <c r="Z270" s="80">
        <f>IF(X270="Sin Pago","",IFERROR(INDEX(Pagos_Odoo!$A:$A, MATCH(X270, Pagos_Odoo!$B:$B, 0)), ""))</f>
        <v/>
      </c>
      <c r="AA270" s="79">
        <f>IF(X270="Sin Pago","",IFERROR(INDEX(Pagos_Odoo!$F:$F, MATCH(X270, Pagos_Odoo!$B:$B, 0)), ""))</f>
        <v/>
      </c>
      <c r="AB270" s="81">
        <f>IF(X270="Sin Pago",0,IFERROR(INDEX(Pagos_Odoo!$E:$E, MATCH(X270, Pagos_Odoo!$B:$B, 0)), 0))</f>
        <v/>
      </c>
      <c r="AC270" s="79">
        <f>IF(X270="Sin Pago","",IFERROR(INDEX(Pagos_Odoo!$G:$G, MATCH(X270, Pagos_Odoo!$B:$B, 0)), ""))</f>
        <v/>
      </c>
      <c r="AD270" s="82" t="n">
        <v>0</v>
      </c>
      <c r="AE270" s="82" t="n"/>
      <c r="AF270" s="82" t="n"/>
      <c r="AG270" s="82">
        <f>IF(AN270="","",AD270+AE270+AF270)</f>
        <v/>
      </c>
      <c r="AH270" s="81">
        <f>IF(AN270="","",P270*(1-AG270))</f>
        <v/>
      </c>
      <c r="AI270" s="81">
        <f>IF(AN270="","",IF(Q270="Sin Factura",0,IFERROR(INDEX(Facturas_Odoo!$H:$H, MATCH(Q270, Facturas_Odoo!$B:$B, 0)), 0)*(1-AG270)))</f>
        <v/>
      </c>
      <c r="AJ270" s="81">
        <f>IF(AN270="","",_xlfn.LET(idVenta, AN270&amp;"",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0" s="81">
        <f>IF(AN270="","",AH270-AJ270)</f>
        <v/>
      </c>
      <c r="AL270" s="81">
        <f>IF(AN270="","",IF(Q270="Sin Factura","",AI270-AJ270))</f>
        <v/>
      </c>
      <c r="AM270" s="81">
        <f>IF(AN270="","",IF(Q270="Sin Factura",0,P270-IFERROR(INDEX(Facturas_Odoo!$H:$H, MATCH(Q270, Facturas_Odoo!$B:$B, 0)), 0)))</f>
        <v/>
      </c>
      <c r="AN270" s="79">
        <f>IF(AND(A270="", J270=""), "", IF(A270&lt;&gt;"", VALUE(MID(A270,2,LEN(A270))), AN269))</f>
        <v/>
      </c>
      <c r="AO270" s="79">
        <f>IF(AN270="","",IF(AD270=0,"OK",_xlfn.LET(monedaPago, IF(AA270="","USD",AA270), limitePermitido, IFERROR(VLOOKUP(monedaPago, Configuración!$A$2:$B$3, 2, FALSE), 0.15), IF(AD270&gt;limitePermitido, "ALERTA: EXCESO (" &amp; TEXT(limitePermitido, "0%") &amp; " máx)", "OK"))))</f>
        <v/>
      </c>
      <c r="AP270" s="79">
        <f>IF(AN270="","",IF(AE270=0,"OK",_xlfn.LET(fechaPago, Z270, fechaFactura, R270, diasCredito, IF(E270="Pago inmediato", 0, IFERROR(VALUE(MID(E270, 1, SEARCH(" ", E270)-1)),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0" s="79">
        <f>IF(AN270="","",IF(AND(N270&gt;0, AG270&gt;0), IF(Configuración!$K$2="NO", "ALERTA: DESCUENTO DOBLE NO PERMITIDO", "OK"), "OK"))</f>
        <v/>
      </c>
      <c r="AR270" s="79">
        <f>IF(AN270="","",IF(OR(AO270&lt;&gt;"OK", AP270&lt;&gt;"OK", AQ270&lt;&gt;"OK"), "⚠️ REVISAR", "OK"))</f>
        <v/>
      </c>
    </row>
    <row r="271">
      <c r="A271" s="79">
        <f>IF('Ordenes_Odoo'!A271="","",'Ordenes_Odoo'!A271)</f>
        <v/>
      </c>
      <c r="B271" s="80">
        <f>IF('Ordenes_Odoo'!B271="","",'Ordenes_Odoo'!B271)</f>
        <v/>
      </c>
      <c r="C271" s="79">
        <f>IF('Ordenes_Odoo'!C271="","",'Ordenes_Odoo'!C271)</f>
        <v/>
      </c>
      <c r="D271" s="79">
        <f>IF('Ordenes_Odoo'!D271="","",'Ordenes_Odoo'!D271)</f>
        <v/>
      </c>
      <c r="E271" s="79">
        <f>IF('Ordenes_Odoo'!E271="","",'Ordenes_Odoo'!E271)</f>
        <v/>
      </c>
      <c r="F271" s="79">
        <f>IF('Ordenes_Odoo'!F271="","",'Ordenes_Odoo'!F271)</f>
        <v/>
      </c>
      <c r="G271" s="79">
        <f>IF('Ordenes_Odoo'!G271="","",'Ordenes_Odoo'!G271)</f>
        <v/>
      </c>
      <c r="H271" s="79">
        <f>IF('Ordenes_Odoo'!H271="","",'Ordenes_Odoo'!H271)</f>
        <v/>
      </c>
      <c r="I271" s="79">
        <f>IF('Ordenes_Odoo'!I271="","",'Ordenes_Odoo'!I271)</f>
        <v/>
      </c>
      <c r="J271" s="79">
        <f>IF('Ordenes_Odoo'!J271="","",'Ordenes_Odoo'!J271)</f>
        <v/>
      </c>
      <c r="K271" s="81">
        <f>IF('Ordenes_Odoo'!K271="","",'Ordenes_Odoo'!K271)</f>
        <v/>
      </c>
      <c r="L271" s="81">
        <f>IF('Ordenes_Odoo'!L271="","",'Ordenes_Odoo'!L271)</f>
        <v/>
      </c>
      <c r="M271" s="79">
        <f>IF('Ordenes_Odoo'!M271="","",'Ordenes_Odoo'!M271)</f>
        <v/>
      </c>
      <c r="N271" s="79">
        <f>IF('Ordenes_Odoo'!N271="","",'Ordenes_Odoo'!N271)</f>
        <v/>
      </c>
      <c r="O271" s="81">
        <f>IF('Ordenes_Odoo'!O271="","",'Ordenes_Odoo'!O271)</f>
        <v/>
      </c>
      <c r="P271" s="81">
        <f>IF('Ordenes_Odoo'!P271="","",'Ordenes_Odoo'!P271)</f>
        <v/>
      </c>
      <c r="Q271" s="79">
        <f>IF(A271="","",IFERROR(INDEX(Facturas_Odoo!$B:$B, MATCH(A271, Facturas_Odoo!$D:$D, 0)), "Sin Factura"))</f>
        <v/>
      </c>
      <c r="R271" s="80">
        <f>IF(Q271="Sin Factura","",IFERROR(INDEX(Facturas_Odoo!$A:$A, MATCH(Q271, Facturas_Odoo!$B:$B, 0)), ""))</f>
        <v/>
      </c>
      <c r="S271" s="79">
        <f>IF(Q271="Sin Factura","",IFERROR(_xlfn.XLOOKUP(1, (Facturas_Odoo!$D:$D=A271) * (Facturas_Odoo!$K:$K=I271), Facturas_Odoo!$L:$L, ""), ""))</f>
        <v/>
      </c>
      <c r="T271" s="81">
        <f>IF(Q271="Sin Factura",0,IFERROR(_xlfn.XLOOKUP(1, (Facturas_Odoo!$D:$D=A271) * (Facturas_Odoo!$K:$K=I271), Facturas_Odoo!$M:$M, 0), 0))</f>
        <v/>
      </c>
      <c r="U271" s="79">
        <f>IF(Q271="Sin Factura",0,IFERROR(_xlfn.XLOOKUP(1, (Facturas_Odoo!$D:$D=A271) * (Facturas_Odoo!$K:$K=I271), Facturas_Odoo!$N:$N, 0), 0))</f>
        <v/>
      </c>
      <c r="V271" s="79">
        <f>IF(Q271="Sin Factura",0,IFERROR(_xlfn.XLOOKUP(1, (Facturas_Odoo!$D:$D=A271) * (Facturas_Odoo!$K:$K=I271), Facturas_Odoo!$O:$O, 0), 0))</f>
        <v/>
      </c>
      <c r="W271" s="81">
        <f>IF(Q271="Sin Factura",0,IFERROR(_xlfn.XLOOKUP(1, (Facturas_Odoo!$D:$D=A271) * (Facturas_Odoo!$K:$K=I271), Facturas_Odoo!$Q:$Q, 0), 0))</f>
        <v/>
      </c>
      <c r="X271" s="79">
        <f>IF(OR(Q271="Sin Factura",Q271=""),"",IFERROR(INDEX(Pagos_Odoo!$B:$B, MATCH(Q271, Pagos_Odoo!$I:$I, 0)), "Sin Pago"))</f>
        <v/>
      </c>
      <c r="Y271" s="79">
        <f>IF(X271="Sin Pago","",IFERROR(INDEX(Pagos_Odoo!$C:$C, MATCH(X271, Pagos_Odoo!$B:$B, 0)), ""))</f>
        <v/>
      </c>
      <c r="Z271" s="80">
        <f>IF(X271="Sin Pago","",IFERROR(INDEX(Pagos_Odoo!$A:$A, MATCH(X271, Pagos_Odoo!$B:$B, 0)), ""))</f>
        <v/>
      </c>
      <c r="AA271" s="79">
        <f>IF(X271="Sin Pago","",IFERROR(INDEX(Pagos_Odoo!$F:$F, MATCH(X271, Pagos_Odoo!$B:$B, 0)), ""))</f>
        <v/>
      </c>
      <c r="AB271" s="81">
        <f>IF(X271="Sin Pago",0,IFERROR(INDEX(Pagos_Odoo!$E:$E, MATCH(X271, Pagos_Odoo!$B:$B, 0)), 0))</f>
        <v/>
      </c>
      <c r="AC271" s="79">
        <f>IF(X271="Sin Pago","",IFERROR(INDEX(Pagos_Odoo!$G:$G, MATCH(X271, Pagos_Odoo!$B:$B, 0)), ""))</f>
        <v/>
      </c>
      <c r="AD271" s="82" t="n">
        <v>0</v>
      </c>
      <c r="AE271" s="82" t="n"/>
      <c r="AF271" s="82" t="n"/>
      <c r="AG271" s="82">
        <f>IF(AN271="","",AD271+AE271+AF271)</f>
        <v/>
      </c>
      <c r="AH271" s="81">
        <f>IF(AN271="","",P271*(1-AG271))</f>
        <v/>
      </c>
      <c r="AI271" s="81">
        <f>IF(AN271="","",IF(Q271="Sin Factura",0,IFERROR(INDEX(Facturas_Odoo!$H:$H, MATCH(Q271, Facturas_Odoo!$B:$B, 0)), 0)*(1-AG271)))</f>
        <v/>
      </c>
      <c r="AJ271" s="81">
        <f>IF(AN271="","",_xlfn.LET(idVenta, AN271&amp;"",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1" s="81">
        <f>IF(AN271="","",AH271-AJ271)</f>
        <v/>
      </c>
      <c r="AL271" s="81">
        <f>IF(AN271="","",IF(Q271="Sin Factura","",AI271-AJ271))</f>
        <v/>
      </c>
      <c r="AM271" s="81">
        <f>IF(AN271="","",IF(Q271="Sin Factura",0,P271-IFERROR(INDEX(Facturas_Odoo!$H:$H, MATCH(Q271, Facturas_Odoo!$B:$B, 0)), 0)))</f>
        <v/>
      </c>
      <c r="AN271" s="79">
        <f>IF(AND(A271="", J271=""), "", IF(A271&lt;&gt;"", VALUE(MID(A271,2,LEN(A271))), AN270))</f>
        <v/>
      </c>
      <c r="AO271" s="79">
        <f>IF(AN271="","",IF(AD271=0,"OK",_xlfn.LET(monedaPago, IF(AA271="","USD",AA271), limitePermitido, IFERROR(VLOOKUP(monedaPago, Configuración!$A$2:$B$3, 2, FALSE), 0.15), IF(AD271&gt;limitePermitido, "ALERTA: EXCESO (" &amp; TEXT(limitePermitido, "0%") &amp; " máx)", "OK"))))</f>
        <v/>
      </c>
      <c r="AP271" s="79">
        <f>IF(AN271="","",IF(AE271=0,"OK",_xlfn.LET(fechaPago, Z271, fechaFactura, R271, diasCredito, IF(E271="Pago inmediato", 0, IFERROR(VALUE(MID(E271, 1, SEARCH(" ", E271)-1)),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1" s="79">
        <f>IF(AN271="","",IF(AND(N271&gt;0, AG271&gt;0), IF(Configuración!$K$2="NO", "ALERTA: DESCUENTO DOBLE NO PERMITIDO", "OK"), "OK"))</f>
        <v/>
      </c>
      <c r="AR271" s="79">
        <f>IF(AN271="","",IF(OR(AO271&lt;&gt;"OK", AP271&lt;&gt;"OK", AQ271&lt;&gt;"OK"), "⚠️ REVISAR", "OK"))</f>
        <v/>
      </c>
    </row>
    <row r="272">
      <c r="A272" s="79">
        <f>IF('Ordenes_Odoo'!A272="","",'Ordenes_Odoo'!A272)</f>
        <v/>
      </c>
      <c r="B272" s="80">
        <f>IF('Ordenes_Odoo'!B272="","",'Ordenes_Odoo'!B272)</f>
        <v/>
      </c>
      <c r="C272" s="79">
        <f>IF('Ordenes_Odoo'!C272="","",'Ordenes_Odoo'!C272)</f>
        <v/>
      </c>
      <c r="D272" s="79">
        <f>IF('Ordenes_Odoo'!D272="","",'Ordenes_Odoo'!D272)</f>
        <v/>
      </c>
      <c r="E272" s="79">
        <f>IF('Ordenes_Odoo'!E272="","",'Ordenes_Odoo'!E272)</f>
        <v/>
      </c>
      <c r="F272" s="79">
        <f>IF('Ordenes_Odoo'!F272="","",'Ordenes_Odoo'!F272)</f>
        <v/>
      </c>
      <c r="G272" s="79">
        <f>IF('Ordenes_Odoo'!G272="","",'Ordenes_Odoo'!G272)</f>
        <v/>
      </c>
      <c r="H272" s="79">
        <f>IF('Ordenes_Odoo'!H272="","",'Ordenes_Odoo'!H272)</f>
        <v/>
      </c>
      <c r="I272" s="79">
        <f>IF('Ordenes_Odoo'!I272="","",'Ordenes_Odoo'!I272)</f>
        <v/>
      </c>
      <c r="J272" s="79">
        <f>IF('Ordenes_Odoo'!J272="","",'Ordenes_Odoo'!J272)</f>
        <v/>
      </c>
      <c r="K272" s="81">
        <f>IF('Ordenes_Odoo'!K272="","",'Ordenes_Odoo'!K272)</f>
        <v/>
      </c>
      <c r="L272" s="81">
        <f>IF('Ordenes_Odoo'!L272="","",'Ordenes_Odoo'!L272)</f>
        <v/>
      </c>
      <c r="M272" s="79">
        <f>IF('Ordenes_Odoo'!M272="","",'Ordenes_Odoo'!M272)</f>
        <v/>
      </c>
      <c r="N272" s="79">
        <f>IF('Ordenes_Odoo'!N272="","",'Ordenes_Odoo'!N272)</f>
        <v/>
      </c>
      <c r="O272" s="81">
        <f>IF('Ordenes_Odoo'!O272="","",'Ordenes_Odoo'!O272)</f>
        <v/>
      </c>
      <c r="P272" s="81">
        <f>IF('Ordenes_Odoo'!P272="","",'Ordenes_Odoo'!P272)</f>
        <v/>
      </c>
      <c r="Q272" s="79">
        <f>IF(A272="","",IFERROR(INDEX(Facturas_Odoo!$B:$B, MATCH(A272, Facturas_Odoo!$D:$D, 0)), "Sin Factura"))</f>
        <v/>
      </c>
      <c r="R272" s="80">
        <f>IF(Q272="Sin Factura","",IFERROR(INDEX(Facturas_Odoo!$A:$A, MATCH(Q272, Facturas_Odoo!$B:$B, 0)), ""))</f>
        <v/>
      </c>
      <c r="S272" s="79">
        <f>IF(Q272="Sin Factura","",IFERROR(_xlfn.XLOOKUP(1, (Facturas_Odoo!$D:$D=A272) * (Facturas_Odoo!$K:$K=I272), Facturas_Odoo!$L:$L, ""), ""))</f>
        <v/>
      </c>
      <c r="T272" s="81">
        <f>IF(Q272="Sin Factura",0,IFERROR(_xlfn.XLOOKUP(1, (Facturas_Odoo!$D:$D=A272) * (Facturas_Odoo!$K:$K=I272), Facturas_Odoo!$M:$M, 0), 0))</f>
        <v/>
      </c>
      <c r="U272" s="79">
        <f>IF(Q272="Sin Factura",0,IFERROR(_xlfn.XLOOKUP(1, (Facturas_Odoo!$D:$D=A272) * (Facturas_Odoo!$K:$K=I272), Facturas_Odoo!$N:$N, 0), 0))</f>
        <v/>
      </c>
      <c r="V272" s="79">
        <f>IF(Q272="Sin Factura",0,IFERROR(_xlfn.XLOOKUP(1, (Facturas_Odoo!$D:$D=A272) * (Facturas_Odoo!$K:$K=I272), Facturas_Odoo!$O:$O, 0), 0))</f>
        <v/>
      </c>
      <c r="W272" s="81">
        <f>IF(Q272="Sin Factura",0,IFERROR(_xlfn.XLOOKUP(1, (Facturas_Odoo!$D:$D=A272) * (Facturas_Odoo!$K:$K=I272), Facturas_Odoo!$Q:$Q, 0), 0))</f>
        <v/>
      </c>
      <c r="X272" s="79">
        <f>IF(OR(Q272="Sin Factura",Q272=""),"",IFERROR(INDEX(Pagos_Odoo!$B:$B, MATCH(Q272, Pagos_Odoo!$I:$I, 0)), "Sin Pago"))</f>
        <v/>
      </c>
      <c r="Y272" s="79">
        <f>IF(X272="Sin Pago","",IFERROR(INDEX(Pagos_Odoo!$C:$C, MATCH(X272, Pagos_Odoo!$B:$B, 0)), ""))</f>
        <v/>
      </c>
      <c r="Z272" s="80">
        <f>IF(X272="Sin Pago","",IFERROR(INDEX(Pagos_Odoo!$A:$A, MATCH(X272, Pagos_Odoo!$B:$B, 0)), ""))</f>
        <v/>
      </c>
      <c r="AA272" s="79">
        <f>IF(X272="Sin Pago","",IFERROR(INDEX(Pagos_Odoo!$F:$F, MATCH(X272, Pagos_Odoo!$B:$B, 0)), ""))</f>
        <v/>
      </c>
      <c r="AB272" s="81">
        <f>IF(X272="Sin Pago",0,IFERROR(INDEX(Pagos_Odoo!$E:$E, MATCH(X272, Pagos_Odoo!$B:$B, 0)), 0))</f>
        <v/>
      </c>
      <c r="AC272" s="79">
        <f>IF(X272="Sin Pago","",IFERROR(INDEX(Pagos_Odoo!$G:$G, MATCH(X272, Pagos_Odoo!$B:$B, 0)), ""))</f>
        <v/>
      </c>
      <c r="AD272" s="82" t="n">
        <v>0</v>
      </c>
      <c r="AE272" s="82" t="n"/>
      <c r="AF272" s="82" t="n"/>
      <c r="AG272" s="82">
        <f>IF(AN272="","",AD272+AE272+AF272)</f>
        <v/>
      </c>
      <c r="AH272" s="81">
        <f>IF(AN272="","",P272*(1-AG272))</f>
        <v/>
      </c>
      <c r="AI272" s="81">
        <f>IF(AN272="","",IF(Q272="Sin Factura",0,IFERROR(INDEX(Facturas_Odoo!$H:$H, MATCH(Q272, Facturas_Odoo!$B:$B, 0)), 0)*(1-AG272)))</f>
        <v/>
      </c>
      <c r="AJ272" s="81">
        <f>IF(AN272="","",_xlfn.LET(idVenta, AN272&amp;"",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2" s="81">
        <f>IF(AN272="","",AH272-AJ272)</f>
        <v/>
      </c>
      <c r="AL272" s="81">
        <f>IF(AN272="","",IF(Q272="Sin Factura","",AI272-AJ272))</f>
        <v/>
      </c>
      <c r="AM272" s="81">
        <f>IF(AN272="","",IF(Q272="Sin Factura",0,P272-IFERROR(INDEX(Facturas_Odoo!$H:$H, MATCH(Q272, Facturas_Odoo!$B:$B, 0)), 0)))</f>
        <v/>
      </c>
      <c r="AN272" s="79">
        <f>IF(AND(A272="", J272=""), "", IF(A272&lt;&gt;"", VALUE(MID(A272,2,LEN(A272))), AN271))</f>
        <v/>
      </c>
      <c r="AO272" s="79">
        <f>IF(AN272="","",IF(AD272=0,"OK",_xlfn.LET(monedaPago, IF(AA272="","USD",AA272), limitePermitido, IFERROR(VLOOKUP(monedaPago, Configuración!$A$2:$B$3, 2, FALSE), 0.15), IF(AD272&gt;limitePermitido, "ALERTA: EXCESO (" &amp; TEXT(limitePermitido, "0%") &amp; " máx)", "OK"))))</f>
        <v/>
      </c>
      <c r="AP272" s="79">
        <f>IF(AN272="","",IF(AE272=0,"OK",_xlfn.LET(fechaPago, Z272, fechaFactura, R272, diasCredito, IF(E272="Pago inmediato", 0, IFERROR(VALUE(MID(E272, 1, SEARCH(" ", E272)-1)),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2" s="79">
        <f>IF(AN272="","",IF(AND(N272&gt;0, AG272&gt;0), IF(Configuración!$K$2="NO", "ALERTA: DESCUENTO DOBLE NO PERMITIDO", "OK"), "OK"))</f>
        <v/>
      </c>
      <c r="AR272" s="79">
        <f>IF(AN272="","",IF(OR(AO272&lt;&gt;"OK", AP272&lt;&gt;"OK", AQ272&lt;&gt;"OK"), "⚠️ REVISAR", "OK"))</f>
        <v/>
      </c>
    </row>
    <row r="273">
      <c r="A273" s="79">
        <f>IF('Ordenes_Odoo'!A273="","",'Ordenes_Odoo'!A273)</f>
        <v/>
      </c>
      <c r="B273" s="80">
        <f>IF('Ordenes_Odoo'!B273="","",'Ordenes_Odoo'!B273)</f>
        <v/>
      </c>
      <c r="C273" s="79">
        <f>IF('Ordenes_Odoo'!C273="","",'Ordenes_Odoo'!C273)</f>
        <v/>
      </c>
      <c r="D273" s="79">
        <f>IF('Ordenes_Odoo'!D273="","",'Ordenes_Odoo'!D273)</f>
        <v/>
      </c>
      <c r="E273" s="79">
        <f>IF('Ordenes_Odoo'!E273="","",'Ordenes_Odoo'!E273)</f>
        <v/>
      </c>
      <c r="F273" s="79">
        <f>IF('Ordenes_Odoo'!F273="","",'Ordenes_Odoo'!F273)</f>
        <v/>
      </c>
      <c r="G273" s="79">
        <f>IF('Ordenes_Odoo'!G273="","",'Ordenes_Odoo'!G273)</f>
        <v/>
      </c>
      <c r="H273" s="79">
        <f>IF('Ordenes_Odoo'!H273="","",'Ordenes_Odoo'!H273)</f>
        <v/>
      </c>
      <c r="I273" s="79">
        <f>IF('Ordenes_Odoo'!I273="","",'Ordenes_Odoo'!I273)</f>
        <v/>
      </c>
      <c r="J273" s="79">
        <f>IF('Ordenes_Odoo'!J273="","",'Ordenes_Odoo'!J273)</f>
        <v/>
      </c>
      <c r="K273" s="81">
        <f>IF('Ordenes_Odoo'!K273="","",'Ordenes_Odoo'!K273)</f>
        <v/>
      </c>
      <c r="L273" s="81">
        <f>IF('Ordenes_Odoo'!L273="","",'Ordenes_Odoo'!L273)</f>
        <v/>
      </c>
      <c r="M273" s="79">
        <f>IF('Ordenes_Odoo'!M273="","",'Ordenes_Odoo'!M273)</f>
        <v/>
      </c>
      <c r="N273" s="79">
        <f>IF('Ordenes_Odoo'!N273="","",'Ordenes_Odoo'!N273)</f>
        <v/>
      </c>
      <c r="O273" s="81">
        <f>IF('Ordenes_Odoo'!O273="","",'Ordenes_Odoo'!O273)</f>
        <v/>
      </c>
      <c r="P273" s="81">
        <f>IF('Ordenes_Odoo'!P273="","",'Ordenes_Odoo'!P273)</f>
        <v/>
      </c>
      <c r="Q273" s="79">
        <f>IF(A273="","",IFERROR(INDEX(Facturas_Odoo!$B:$B, MATCH(A273, Facturas_Odoo!$D:$D, 0)), "Sin Factura"))</f>
        <v/>
      </c>
      <c r="R273" s="80">
        <f>IF(Q273="Sin Factura","",IFERROR(INDEX(Facturas_Odoo!$A:$A, MATCH(Q273, Facturas_Odoo!$B:$B, 0)), ""))</f>
        <v/>
      </c>
      <c r="S273" s="79">
        <f>IF(Q273="Sin Factura","",IFERROR(_xlfn.XLOOKUP(1, (Facturas_Odoo!$D:$D=A273) * (Facturas_Odoo!$K:$K=I273), Facturas_Odoo!$L:$L, ""), ""))</f>
        <v/>
      </c>
      <c r="T273" s="81">
        <f>IF(Q273="Sin Factura",0,IFERROR(_xlfn.XLOOKUP(1, (Facturas_Odoo!$D:$D=A273) * (Facturas_Odoo!$K:$K=I273), Facturas_Odoo!$M:$M, 0), 0))</f>
        <v/>
      </c>
      <c r="U273" s="79">
        <f>IF(Q273="Sin Factura",0,IFERROR(_xlfn.XLOOKUP(1, (Facturas_Odoo!$D:$D=A273) * (Facturas_Odoo!$K:$K=I273), Facturas_Odoo!$N:$N, 0), 0))</f>
        <v/>
      </c>
      <c r="V273" s="79">
        <f>IF(Q273="Sin Factura",0,IFERROR(_xlfn.XLOOKUP(1, (Facturas_Odoo!$D:$D=A273) * (Facturas_Odoo!$K:$K=I273), Facturas_Odoo!$O:$O, 0), 0))</f>
        <v/>
      </c>
      <c r="W273" s="81">
        <f>IF(Q273="Sin Factura",0,IFERROR(_xlfn.XLOOKUP(1, (Facturas_Odoo!$D:$D=A273) * (Facturas_Odoo!$K:$K=I273), Facturas_Odoo!$Q:$Q, 0), 0))</f>
        <v/>
      </c>
      <c r="X273" s="79">
        <f>IF(OR(Q273="Sin Factura",Q273=""),"",IFERROR(INDEX(Pagos_Odoo!$B:$B, MATCH(Q273, Pagos_Odoo!$I:$I, 0)), "Sin Pago"))</f>
        <v/>
      </c>
      <c r="Y273" s="79">
        <f>IF(X273="Sin Pago","",IFERROR(INDEX(Pagos_Odoo!$C:$C, MATCH(X273, Pagos_Odoo!$B:$B, 0)), ""))</f>
        <v/>
      </c>
      <c r="Z273" s="80">
        <f>IF(X273="Sin Pago","",IFERROR(INDEX(Pagos_Odoo!$A:$A, MATCH(X273, Pagos_Odoo!$B:$B, 0)), ""))</f>
        <v/>
      </c>
      <c r="AA273" s="79">
        <f>IF(X273="Sin Pago","",IFERROR(INDEX(Pagos_Odoo!$F:$F, MATCH(X273, Pagos_Odoo!$B:$B, 0)), ""))</f>
        <v/>
      </c>
      <c r="AB273" s="81">
        <f>IF(X273="Sin Pago",0,IFERROR(INDEX(Pagos_Odoo!$E:$E, MATCH(X273, Pagos_Odoo!$B:$B, 0)), 0))</f>
        <v/>
      </c>
      <c r="AC273" s="79">
        <f>IF(X273="Sin Pago","",IFERROR(INDEX(Pagos_Odoo!$G:$G, MATCH(X273, Pagos_Odoo!$B:$B, 0)), ""))</f>
        <v/>
      </c>
      <c r="AD273" s="82" t="n">
        <v>0</v>
      </c>
      <c r="AE273" s="82" t="n"/>
      <c r="AF273" s="82" t="n"/>
      <c r="AG273" s="82">
        <f>IF(AN273="","",AD273+AE273+AF273)</f>
        <v/>
      </c>
      <c r="AH273" s="81">
        <f>IF(AN273="","",P273*(1-AG273))</f>
        <v/>
      </c>
      <c r="AI273" s="81">
        <f>IF(AN273="","",IF(Q273="Sin Factura",0,IFERROR(INDEX(Facturas_Odoo!$H:$H, MATCH(Q273, Facturas_Odoo!$B:$B, 0)), 0)*(1-AG273)))</f>
        <v/>
      </c>
      <c r="AJ273" s="81">
        <f>IF(AN273="","",_xlfn.LET(idVenta, AN273&amp;"",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3" s="81">
        <f>IF(AN273="","",AH273-AJ273)</f>
        <v/>
      </c>
      <c r="AL273" s="81">
        <f>IF(AN273="","",IF(Q273="Sin Factura","",AI273-AJ273))</f>
        <v/>
      </c>
      <c r="AM273" s="81">
        <f>IF(AN273="","",IF(Q273="Sin Factura",0,P273-IFERROR(INDEX(Facturas_Odoo!$H:$H, MATCH(Q273, Facturas_Odoo!$B:$B, 0)), 0)))</f>
        <v/>
      </c>
      <c r="AN273" s="79">
        <f>IF(AND(A273="", J273=""), "", IF(A273&lt;&gt;"", VALUE(MID(A273,2,LEN(A273))), AN272))</f>
        <v/>
      </c>
      <c r="AO273" s="79">
        <f>IF(AN273="","",IF(AD273=0,"OK",_xlfn.LET(monedaPago, IF(AA273="","USD",AA273), limitePermitido, IFERROR(VLOOKUP(monedaPago, Configuración!$A$2:$B$3, 2, FALSE), 0.15), IF(AD273&gt;limitePermitido, "ALERTA: EXCESO (" &amp; TEXT(limitePermitido, "0%") &amp; " máx)", "OK"))))</f>
        <v/>
      </c>
      <c r="AP273" s="79">
        <f>IF(AN273="","",IF(AE273=0,"OK",_xlfn.LET(fechaPago, Z273, fechaFactura, R273, diasCredito, IF(E273="Pago inmediato", 0, IFERROR(VALUE(MID(E273, 1, SEARCH(" ", E273)-1)),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3" s="79">
        <f>IF(AN273="","",IF(AND(N273&gt;0, AG273&gt;0), IF(Configuración!$K$2="NO", "ALERTA: DESCUENTO DOBLE NO PERMITIDO", "OK"), "OK"))</f>
        <v/>
      </c>
      <c r="AR273" s="79">
        <f>IF(AN273="","",IF(OR(AO273&lt;&gt;"OK", AP273&lt;&gt;"OK", AQ273&lt;&gt;"OK"), "⚠️ REVISAR", "OK"))</f>
        <v/>
      </c>
    </row>
    <row r="274">
      <c r="A274" s="79">
        <f>IF('Ordenes_Odoo'!A274="","",'Ordenes_Odoo'!A274)</f>
        <v/>
      </c>
      <c r="B274" s="80">
        <f>IF('Ordenes_Odoo'!B274="","",'Ordenes_Odoo'!B274)</f>
        <v/>
      </c>
      <c r="C274" s="79">
        <f>IF('Ordenes_Odoo'!C274="","",'Ordenes_Odoo'!C274)</f>
        <v/>
      </c>
      <c r="D274" s="79">
        <f>IF('Ordenes_Odoo'!D274="","",'Ordenes_Odoo'!D274)</f>
        <v/>
      </c>
      <c r="E274" s="79">
        <f>IF('Ordenes_Odoo'!E274="","",'Ordenes_Odoo'!E274)</f>
        <v/>
      </c>
      <c r="F274" s="79">
        <f>IF('Ordenes_Odoo'!F274="","",'Ordenes_Odoo'!F274)</f>
        <v/>
      </c>
      <c r="G274" s="79">
        <f>IF('Ordenes_Odoo'!G274="","",'Ordenes_Odoo'!G274)</f>
        <v/>
      </c>
      <c r="H274" s="79">
        <f>IF('Ordenes_Odoo'!H274="","",'Ordenes_Odoo'!H274)</f>
        <v/>
      </c>
      <c r="I274" s="79">
        <f>IF('Ordenes_Odoo'!I274="","",'Ordenes_Odoo'!I274)</f>
        <v/>
      </c>
      <c r="J274" s="79">
        <f>IF('Ordenes_Odoo'!J274="","",'Ordenes_Odoo'!J274)</f>
        <v/>
      </c>
      <c r="K274" s="81">
        <f>IF('Ordenes_Odoo'!K274="","",'Ordenes_Odoo'!K274)</f>
        <v/>
      </c>
      <c r="L274" s="81">
        <f>IF('Ordenes_Odoo'!L274="","",'Ordenes_Odoo'!L274)</f>
        <v/>
      </c>
      <c r="M274" s="79">
        <f>IF('Ordenes_Odoo'!M274="","",'Ordenes_Odoo'!M274)</f>
        <v/>
      </c>
      <c r="N274" s="79">
        <f>IF('Ordenes_Odoo'!N274="","",'Ordenes_Odoo'!N274)</f>
        <v/>
      </c>
      <c r="O274" s="81">
        <f>IF('Ordenes_Odoo'!O274="","",'Ordenes_Odoo'!O274)</f>
        <v/>
      </c>
      <c r="P274" s="81">
        <f>IF('Ordenes_Odoo'!P274="","",'Ordenes_Odoo'!P274)</f>
        <v/>
      </c>
      <c r="Q274" s="79">
        <f>IF(A274="","",IFERROR(INDEX(Facturas_Odoo!$B:$B, MATCH(A274, Facturas_Odoo!$D:$D, 0)), "Sin Factura"))</f>
        <v/>
      </c>
      <c r="R274" s="80">
        <f>IF(Q274="Sin Factura","",IFERROR(INDEX(Facturas_Odoo!$A:$A, MATCH(Q274, Facturas_Odoo!$B:$B, 0)), ""))</f>
        <v/>
      </c>
      <c r="S274" s="79">
        <f>IF(Q274="Sin Factura","",IFERROR(_xlfn.XLOOKUP(1, (Facturas_Odoo!$D:$D=A274) * (Facturas_Odoo!$K:$K=I274), Facturas_Odoo!$L:$L, ""), ""))</f>
        <v/>
      </c>
      <c r="T274" s="81">
        <f>IF(Q274="Sin Factura",0,IFERROR(_xlfn.XLOOKUP(1, (Facturas_Odoo!$D:$D=A274) * (Facturas_Odoo!$K:$K=I274), Facturas_Odoo!$M:$M, 0), 0))</f>
        <v/>
      </c>
      <c r="U274" s="79">
        <f>IF(Q274="Sin Factura",0,IFERROR(_xlfn.XLOOKUP(1, (Facturas_Odoo!$D:$D=A274) * (Facturas_Odoo!$K:$K=I274), Facturas_Odoo!$N:$N, 0), 0))</f>
        <v/>
      </c>
      <c r="V274" s="79">
        <f>IF(Q274="Sin Factura",0,IFERROR(_xlfn.XLOOKUP(1, (Facturas_Odoo!$D:$D=A274) * (Facturas_Odoo!$K:$K=I274), Facturas_Odoo!$O:$O, 0), 0))</f>
        <v/>
      </c>
      <c r="W274" s="81">
        <f>IF(Q274="Sin Factura",0,IFERROR(_xlfn.XLOOKUP(1, (Facturas_Odoo!$D:$D=A274) * (Facturas_Odoo!$K:$K=I274), Facturas_Odoo!$Q:$Q, 0), 0))</f>
        <v/>
      </c>
      <c r="X274" s="79">
        <f>IF(OR(Q274="Sin Factura",Q274=""),"",IFERROR(INDEX(Pagos_Odoo!$B:$B, MATCH(Q274, Pagos_Odoo!$I:$I, 0)), "Sin Pago"))</f>
        <v/>
      </c>
      <c r="Y274" s="79">
        <f>IF(X274="Sin Pago","",IFERROR(INDEX(Pagos_Odoo!$C:$C, MATCH(X274, Pagos_Odoo!$B:$B, 0)), ""))</f>
        <v/>
      </c>
      <c r="Z274" s="80">
        <f>IF(X274="Sin Pago","",IFERROR(INDEX(Pagos_Odoo!$A:$A, MATCH(X274, Pagos_Odoo!$B:$B, 0)), ""))</f>
        <v/>
      </c>
      <c r="AA274" s="79">
        <f>IF(X274="Sin Pago","",IFERROR(INDEX(Pagos_Odoo!$F:$F, MATCH(X274, Pagos_Odoo!$B:$B, 0)), ""))</f>
        <v/>
      </c>
      <c r="AB274" s="81">
        <f>IF(X274="Sin Pago",0,IFERROR(INDEX(Pagos_Odoo!$E:$E, MATCH(X274, Pagos_Odoo!$B:$B, 0)), 0))</f>
        <v/>
      </c>
      <c r="AC274" s="79">
        <f>IF(X274="Sin Pago","",IFERROR(INDEX(Pagos_Odoo!$G:$G, MATCH(X274, Pagos_Odoo!$B:$B, 0)), ""))</f>
        <v/>
      </c>
      <c r="AD274" s="82" t="n">
        <v>0</v>
      </c>
      <c r="AE274" s="82" t="n"/>
      <c r="AF274" s="82" t="n"/>
      <c r="AG274" s="82">
        <f>IF(AN274="","",AD274+AE274+AF274)</f>
        <v/>
      </c>
      <c r="AH274" s="81">
        <f>IF(AN274="","",P274*(1-AG274))</f>
        <v/>
      </c>
      <c r="AI274" s="81">
        <f>IF(AN274="","",IF(Q274="Sin Factura",0,IFERROR(INDEX(Facturas_Odoo!$H:$H, MATCH(Q274, Facturas_Odoo!$B:$B, 0)), 0)*(1-AG274)))</f>
        <v/>
      </c>
      <c r="AJ274" s="81">
        <f>IF(AN274="","",_xlfn.LET(idVenta, AN274&amp;"",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4" s="81">
        <f>IF(AN274="","",AH274-AJ274)</f>
        <v/>
      </c>
      <c r="AL274" s="81">
        <f>IF(AN274="","",IF(Q274="Sin Factura","",AI274-AJ274))</f>
        <v/>
      </c>
      <c r="AM274" s="81">
        <f>IF(AN274="","",IF(Q274="Sin Factura",0,P274-IFERROR(INDEX(Facturas_Odoo!$H:$H, MATCH(Q274, Facturas_Odoo!$B:$B, 0)), 0)))</f>
        <v/>
      </c>
      <c r="AN274" s="79">
        <f>IF(AND(A274="", J274=""), "", IF(A274&lt;&gt;"", VALUE(MID(A274,2,LEN(A274))), AN273))</f>
        <v/>
      </c>
      <c r="AO274" s="79">
        <f>IF(AN274="","",IF(AD274=0,"OK",_xlfn.LET(monedaPago, IF(AA274="","USD",AA274), limitePermitido, IFERROR(VLOOKUP(monedaPago, Configuración!$A$2:$B$3, 2, FALSE), 0.15), IF(AD274&gt;limitePermitido, "ALERTA: EXCESO (" &amp; TEXT(limitePermitido, "0%") &amp; " máx)", "OK"))))</f>
        <v/>
      </c>
      <c r="AP274" s="79">
        <f>IF(AN274="","",IF(AE274=0,"OK",_xlfn.LET(fechaPago, Z274, fechaFactura, R274, diasCredito, IF(E274="Pago inmediato", 0, IFERROR(VALUE(MID(E274, 1, SEARCH(" ", E274)-1)),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4" s="79">
        <f>IF(AN274="","",IF(AND(N274&gt;0, AG274&gt;0), IF(Configuración!$K$2="NO", "ALERTA: DESCUENTO DOBLE NO PERMITIDO", "OK"), "OK"))</f>
        <v/>
      </c>
      <c r="AR274" s="79">
        <f>IF(AN274="","",IF(OR(AO274&lt;&gt;"OK", AP274&lt;&gt;"OK", AQ274&lt;&gt;"OK"), "⚠️ REVISAR", "OK"))</f>
        <v/>
      </c>
    </row>
    <row r="275">
      <c r="A275" s="79">
        <f>IF('Ordenes_Odoo'!A275="","",'Ordenes_Odoo'!A275)</f>
        <v/>
      </c>
      <c r="B275" s="80">
        <f>IF('Ordenes_Odoo'!B275="","",'Ordenes_Odoo'!B275)</f>
        <v/>
      </c>
      <c r="C275" s="79">
        <f>IF('Ordenes_Odoo'!C275="","",'Ordenes_Odoo'!C275)</f>
        <v/>
      </c>
      <c r="D275" s="79">
        <f>IF('Ordenes_Odoo'!D275="","",'Ordenes_Odoo'!D275)</f>
        <v/>
      </c>
      <c r="E275" s="79">
        <f>IF('Ordenes_Odoo'!E275="","",'Ordenes_Odoo'!E275)</f>
        <v/>
      </c>
      <c r="F275" s="79">
        <f>IF('Ordenes_Odoo'!F275="","",'Ordenes_Odoo'!F275)</f>
        <v/>
      </c>
      <c r="G275" s="79">
        <f>IF('Ordenes_Odoo'!G275="","",'Ordenes_Odoo'!G275)</f>
        <v/>
      </c>
      <c r="H275" s="79">
        <f>IF('Ordenes_Odoo'!H275="","",'Ordenes_Odoo'!H275)</f>
        <v/>
      </c>
      <c r="I275" s="79">
        <f>IF('Ordenes_Odoo'!I275="","",'Ordenes_Odoo'!I275)</f>
        <v/>
      </c>
      <c r="J275" s="79">
        <f>IF('Ordenes_Odoo'!J275="","",'Ordenes_Odoo'!J275)</f>
        <v/>
      </c>
      <c r="K275" s="81">
        <f>IF('Ordenes_Odoo'!K275="","",'Ordenes_Odoo'!K275)</f>
        <v/>
      </c>
      <c r="L275" s="81">
        <f>IF('Ordenes_Odoo'!L275="","",'Ordenes_Odoo'!L275)</f>
        <v/>
      </c>
      <c r="M275" s="79">
        <f>IF('Ordenes_Odoo'!M275="","",'Ordenes_Odoo'!M275)</f>
        <v/>
      </c>
      <c r="N275" s="79">
        <f>IF('Ordenes_Odoo'!N275="","",'Ordenes_Odoo'!N275)</f>
        <v/>
      </c>
      <c r="O275" s="81">
        <f>IF('Ordenes_Odoo'!O275="","",'Ordenes_Odoo'!O275)</f>
        <v/>
      </c>
      <c r="P275" s="81">
        <f>IF('Ordenes_Odoo'!P275="","",'Ordenes_Odoo'!P275)</f>
        <v/>
      </c>
      <c r="Q275" s="79">
        <f>IF(A275="","",IFERROR(INDEX(Facturas_Odoo!$B:$B, MATCH(A275, Facturas_Odoo!$D:$D, 0)), "Sin Factura"))</f>
        <v/>
      </c>
      <c r="R275" s="80">
        <f>IF(Q275="Sin Factura","",IFERROR(INDEX(Facturas_Odoo!$A:$A, MATCH(Q275, Facturas_Odoo!$B:$B, 0)), ""))</f>
        <v/>
      </c>
      <c r="S275" s="79">
        <f>IF(Q275="Sin Factura","",IFERROR(_xlfn.XLOOKUP(1, (Facturas_Odoo!$D:$D=A275) * (Facturas_Odoo!$K:$K=I275), Facturas_Odoo!$L:$L, ""), ""))</f>
        <v/>
      </c>
      <c r="T275" s="81">
        <f>IF(Q275="Sin Factura",0,IFERROR(_xlfn.XLOOKUP(1, (Facturas_Odoo!$D:$D=A275) * (Facturas_Odoo!$K:$K=I275), Facturas_Odoo!$M:$M, 0), 0))</f>
        <v/>
      </c>
      <c r="U275" s="79">
        <f>IF(Q275="Sin Factura",0,IFERROR(_xlfn.XLOOKUP(1, (Facturas_Odoo!$D:$D=A275) * (Facturas_Odoo!$K:$K=I275), Facturas_Odoo!$N:$N, 0), 0))</f>
        <v/>
      </c>
      <c r="V275" s="79">
        <f>IF(Q275="Sin Factura",0,IFERROR(_xlfn.XLOOKUP(1, (Facturas_Odoo!$D:$D=A275) * (Facturas_Odoo!$K:$K=I275), Facturas_Odoo!$O:$O, 0), 0))</f>
        <v/>
      </c>
      <c r="W275" s="81">
        <f>IF(Q275="Sin Factura",0,IFERROR(_xlfn.XLOOKUP(1, (Facturas_Odoo!$D:$D=A275) * (Facturas_Odoo!$K:$K=I275), Facturas_Odoo!$Q:$Q, 0), 0))</f>
        <v/>
      </c>
      <c r="X275" s="79">
        <f>IF(OR(Q275="Sin Factura",Q275=""),"",IFERROR(INDEX(Pagos_Odoo!$B:$B, MATCH(Q275, Pagos_Odoo!$I:$I, 0)), "Sin Pago"))</f>
        <v/>
      </c>
      <c r="Y275" s="79">
        <f>IF(X275="Sin Pago","",IFERROR(INDEX(Pagos_Odoo!$C:$C, MATCH(X275, Pagos_Odoo!$B:$B, 0)), ""))</f>
        <v/>
      </c>
      <c r="Z275" s="80">
        <f>IF(X275="Sin Pago","",IFERROR(INDEX(Pagos_Odoo!$A:$A, MATCH(X275, Pagos_Odoo!$B:$B, 0)), ""))</f>
        <v/>
      </c>
      <c r="AA275" s="79">
        <f>IF(X275="Sin Pago","",IFERROR(INDEX(Pagos_Odoo!$F:$F, MATCH(X275, Pagos_Odoo!$B:$B, 0)), ""))</f>
        <v/>
      </c>
      <c r="AB275" s="81">
        <f>IF(X275="Sin Pago",0,IFERROR(INDEX(Pagos_Odoo!$E:$E, MATCH(X275, Pagos_Odoo!$B:$B, 0)), 0))</f>
        <v/>
      </c>
      <c r="AC275" s="79">
        <f>IF(X275="Sin Pago","",IFERROR(INDEX(Pagos_Odoo!$G:$G, MATCH(X275, Pagos_Odoo!$B:$B, 0)), ""))</f>
        <v/>
      </c>
      <c r="AD275" s="82" t="n">
        <v>0</v>
      </c>
      <c r="AE275" s="82" t="n"/>
      <c r="AF275" s="82" t="n"/>
      <c r="AG275" s="82">
        <f>IF(AN275="","",AD275+AE275+AF275)</f>
        <v/>
      </c>
      <c r="AH275" s="81">
        <f>IF(AN275="","",P275*(1-AG275))</f>
        <v/>
      </c>
      <c r="AI275" s="81">
        <f>IF(AN275="","",IF(Q275="Sin Factura",0,IFERROR(INDEX(Facturas_Odoo!$H:$H, MATCH(Q275, Facturas_Odoo!$B:$B, 0)), 0)*(1-AG275)))</f>
        <v/>
      </c>
      <c r="AJ275" s="81">
        <f>IF(AN275="","",_xlfn.LET(idVenta, AN275&amp;"",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5" s="81">
        <f>IF(AN275="","",AH275-AJ275)</f>
        <v/>
      </c>
      <c r="AL275" s="81">
        <f>IF(AN275="","",IF(Q275="Sin Factura","",AI275-AJ275))</f>
        <v/>
      </c>
      <c r="AM275" s="81">
        <f>IF(AN275="","",IF(Q275="Sin Factura",0,P275-IFERROR(INDEX(Facturas_Odoo!$H:$H, MATCH(Q275, Facturas_Odoo!$B:$B, 0)), 0)))</f>
        <v/>
      </c>
      <c r="AN275" s="79">
        <f>IF(AND(A275="", J275=""), "", IF(A275&lt;&gt;"", VALUE(MID(A275,2,LEN(A275))), AN274))</f>
        <v/>
      </c>
      <c r="AO275" s="79">
        <f>IF(AN275="","",IF(AD275=0,"OK",_xlfn.LET(monedaPago, IF(AA275="","USD",AA275), limitePermitido, IFERROR(VLOOKUP(monedaPago, Configuración!$A$2:$B$3, 2, FALSE), 0.15), IF(AD275&gt;limitePermitido, "ALERTA: EXCESO (" &amp; TEXT(limitePermitido, "0%") &amp; " máx)", "OK"))))</f>
        <v/>
      </c>
      <c r="AP275" s="79">
        <f>IF(AN275="","",IF(AE275=0,"OK",_xlfn.LET(fechaPago, Z275, fechaFactura, R275, diasCredito, IF(E275="Pago inmediato", 0, IFERROR(VALUE(MID(E275, 1, SEARCH(" ", E275)-1)),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5" s="79">
        <f>IF(AN275="","",IF(AND(N275&gt;0, AG275&gt;0), IF(Configuración!$K$2="NO", "ALERTA: DESCUENTO DOBLE NO PERMITIDO", "OK"), "OK"))</f>
        <v/>
      </c>
      <c r="AR275" s="79">
        <f>IF(AN275="","",IF(OR(AO275&lt;&gt;"OK", AP275&lt;&gt;"OK", AQ275&lt;&gt;"OK"), "⚠️ REVISAR", "OK"))</f>
        <v/>
      </c>
    </row>
    <row r="276">
      <c r="A276" s="79">
        <f>IF('Ordenes_Odoo'!A276="","",'Ordenes_Odoo'!A276)</f>
        <v/>
      </c>
      <c r="B276" s="80">
        <f>IF('Ordenes_Odoo'!B276="","",'Ordenes_Odoo'!B276)</f>
        <v/>
      </c>
      <c r="C276" s="79">
        <f>IF('Ordenes_Odoo'!C276="","",'Ordenes_Odoo'!C276)</f>
        <v/>
      </c>
      <c r="D276" s="79">
        <f>IF('Ordenes_Odoo'!D276="","",'Ordenes_Odoo'!D276)</f>
        <v/>
      </c>
      <c r="E276" s="79">
        <f>IF('Ordenes_Odoo'!E276="","",'Ordenes_Odoo'!E276)</f>
        <v/>
      </c>
      <c r="F276" s="79">
        <f>IF('Ordenes_Odoo'!F276="","",'Ordenes_Odoo'!F276)</f>
        <v/>
      </c>
      <c r="G276" s="79">
        <f>IF('Ordenes_Odoo'!G276="","",'Ordenes_Odoo'!G276)</f>
        <v/>
      </c>
      <c r="H276" s="79">
        <f>IF('Ordenes_Odoo'!H276="","",'Ordenes_Odoo'!H276)</f>
        <v/>
      </c>
      <c r="I276" s="79">
        <f>IF('Ordenes_Odoo'!I276="","",'Ordenes_Odoo'!I276)</f>
        <v/>
      </c>
      <c r="J276" s="79">
        <f>IF('Ordenes_Odoo'!J276="","",'Ordenes_Odoo'!J276)</f>
        <v/>
      </c>
      <c r="K276" s="81">
        <f>IF('Ordenes_Odoo'!K276="","",'Ordenes_Odoo'!K276)</f>
        <v/>
      </c>
      <c r="L276" s="81">
        <f>IF('Ordenes_Odoo'!L276="","",'Ordenes_Odoo'!L276)</f>
        <v/>
      </c>
      <c r="M276" s="79">
        <f>IF('Ordenes_Odoo'!M276="","",'Ordenes_Odoo'!M276)</f>
        <v/>
      </c>
      <c r="N276" s="79">
        <f>IF('Ordenes_Odoo'!N276="","",'Ordenes_Odoo'!N276)</f>
        <v/>
      </c>
      <c r="O276" s="81">
        <f>IF('Ordenes_Odoo'!O276="","",'Ordenes_Odoo'!O276)</f>
        <v/>
      </c>
      <c r="P276" s="81">
        <f>IF('Ordenes_Odoo'!P276="","",'Ordenes_Odoo'!P276)</f>
        <v/>
      </c>
      <c r="Q276" s="79">
        <f>IF(A276="","",IFERROR(INDEX(Facturas_Odoo!$B:$B, MATCH(A276, Facturas_Odoo!$D:$D, 0)), "Sin Factura"))</f>
        <v/>
      </c>
      <c r="R276" s="80">
        <f>IF(Q276="Sin Factura","",IFERROR(INDEX(Facturas_Odoo!$A:$A, MATCH(Q276, Facturas_Odoo!$B:$B, 0)), ""))</f>
        <v/>
      </c>
      <c r="S276" s="79">
        <f>IF(Q276="Sin Factura","",IFERROR(_xlfn.XLOOKUP(1, (Facturas_Odoo!$D:$D=A276) * (Facturas_Odoo!$K:$K=I276), Facturas_Odoo!$L:$L, ""), ""))</f>
        <v/>
      </c>
      <c r="T276" s="81">
        <f>IF(Q276="Sin Factura",0,IFERROR(_xlfn.XLOOKUP(1, (Facturas_Odoo!$D:$D=A276) * (Facturas_Odoo!$K:$K=I276), Facturas_Odoo!$M:$M, 0), 0))</f>
        <v/>
      </c>
      <c r="U276" s="79">
        <f>IF(Q276="Sin Factura",0,IFERROR(_xlfn.XLOOKUP(1, (Facturas_Odoo!$D:$D=A276) * (Facturas_Odoo!$K:$K=I276), Facturas_Odoo!$N:$N, 0), 0))</f>
        <v/>
      </c>
      <c r="V276" s="79">
        <f>IF(Q276="Sin Factura",0,IFERROR(_xlfn.XLOOKUP(1, (Facturas_Odoo!$D:$D=A276) * (Facturas_Odoo!$K:$K=I276), Facturas_Odoo!$O:$O, 0), 0))</f>
        <v/>
      </c>
      <c r="W276" s="81">
        <f>IF(Q276="Sin Factura",0,IFERROR(_xlfn.XLOOKUP(1, (Facturas_Odoo!$D:$D=A276) * (Facturas_Odoo!$K:$K=I276), Facturas_Odoo!$Q:$Q, 0), 0))</f>
        <v/>
      </c>
      <c r="X276" s="79">
        <f>IF(OR(Q276="Sin Factura",Q276=""),"",IFERROR(INDEX(Pagos_Odoo!$B:$B, MATCH(Q276, Pagos_Odoo!$I:$I, 0)), "Sin Pago"))</f>
        <v/>
      </c>
      <c r="Y276" s="79">
        <f>IF(X276="Sin Pago","",IFERROR(INDEX(Pagos_Odoo!$C:$C, MATCH(X276, Pagos_Odoo!$B:$B, 0)), ""))</f>
        <v/>
      </c>
      <c r="Z276" s="80">
        <f>IF(X276="Sin Pago","",IFERROR(INDEX(Pagos_Odoo!$A:$A, MATCH(X276, Pagos_Odoo!$B:$B, 0)), ""))</f>
        <v/>
      </c>
      <c r="AA276" s="79">
        <f>IF(X276="Sin Pago","",IFERROR(INDEX(Pagos_Odoo!$F:$F, MATCH(X276, Pagos_Odoo!$B:$B, 0)), ""))</f>
        <v/>
      </c>
      <c r="AB276" s="81">
        <f>IF(X276="Sin Pago",0,IFERROR(INDEX(Pagos_Odoo!$E:$E, MATCH(X276, Pagos_Odoo!$B:$B, 0)), 0))</f>
        <v/>
      </c>
      <c r="AC276" s="79">
        <f>IF(X276="Sin Pago","",IFERROR(INDEX(Pagos_Odoo!$G:$G, MATCH(X276, Pagos_Odoo!$B:$B, 0)), ""))</f>
        <v/>
      </c>
      <c r="AD276" s="82" t="n">
        <v>0</v>
      </c>
      <c r="AE276" s="82" t="n"/>
      <c r="AF276" s="82" t="n"/>
      <c r="AG276" s="82">
        <f>IF(AN276="","",AD276+AE276+AF276)</f>
        <v/>
      </c>
      <c r="AH276" s="81">
        <f>IF(AN276="","",P276*(1-AG276))</f>
        <v/>
      </c>
      <c r="AI276" s="81">
        <f>IF(AN276="","",IF(Q276="Sin Factura",0,IFERROR(INDEX(Facturas_Odoo!$H:$H, MATCH(Q276, Facturas_Odoo!$B:$B, 0)), 0)*(1-AG276)))</f>
        <v/>
      </c>
      <c r="AJ276" s="81">
        <f>IF(AN276="","",_xlfn.LET(idVenta, AN276&amp;"",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6" s="81">
        <f>IF(AN276="","",AH276-AJ276)</f>
        <v/>
      </c>
      <c r="AL276" s="81">
        <f>IF(AN276="","",IF(Q276="Sin Factura","",AI276-AJ276))</f>
        <v/>
      </c>
      <c r="AM276" s="81">
        <f>IF(AN276="","",IF(Q276="Sin Factura",0,P276-IFERROR(INDEX(Facturas_Odoo!$H:$H, MATCH(Q276, Facturas_Odoo!$B:$B, 0)), 0)))</f>
        <v/>
      </c>
      <c r="AN276" s="79">
        <f>IF(AND(A276="", J276=""), "", IF(A276&lt;&gt;"", VALUE(MID(A276,2,LEN(A276))), AN275))</f>
        <v/>
      </c>
      <c r="AO276" s="79">
        <f>IF(AN276="","",IF(AD276=0,"OK",_xlfn.LET(monedaPago, IF(AA276="","USD",AA276), limitePermitido, IFERROR(VLOOKUP(monedaPago, Configuración!$A$2:$B$3, 2, FALSE), 0.15), IF(AD276&gt;limitePermitido, "ALERTA: EXCESO (" &amp; TEXT(limitePermitido, "0%") &amp; " máx)", "OK"))))</f>
        <v/>
      </c>
      <c r="AP276" s="79">
        <f>IF(AN276="","",IF(AE276=0,"OK",_xlfn.LET(fechaPago, Z276, fechaFactura, R276, diasCredito, IF(E276="Pago inmediato", 0, IFERROR(VALUE(MID(E276, 1, SEARCH(" ", E276)-1)),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6" s="79">
        <f>IF(AN276="","",IF(AND(N276&gt;0, AG276&gt;0), IF(Configuración!$K$2="NO", "ALERTA: DESCUENTO DOBLE NO PERMITIDO", "OK"), "OK"))</f>
        <v/>
      </c>
      <c r="AR276" s="79">
        <f>IF(AN276="","",IF(OR(AO276&lt;&gt;"OK", AP276&lt;&gt;"OK", AQ276&lt;&gt;"OK"), "⚠️ REVISAR", "OK"))</f>
        <v/>
      </c>
    </row>
    <row r="277">
      <c r="A277" s="79">
        <f>IF('Ordenes_Odoo'!A277="","",'Ordenes_Odoo'!A277)</f>
        <v/>
      </c>
      <c r="B277" s="80">
        <f>IF('Ordenes_Odoo'!B277="","",'Ordenes_Odoo'!B277)</f>
        <v/>
      </c>
      <c r="C277" s="79">
        <f>IF('Ordenes_Odoo'!C277="","",'Ordenes_Odoo'!C277)</f>
        <v/>
      </c>
      <c r="D277" s="79">
        <f>IF('Ordenes_Odoo'!D277="","",'Ordenes_Odoo'!D277)</f>
        <v/>
      </c>
      <c r="E277" s="79">
        <f>IF('Ordenes_Odoo'!E277="","",'Ordenes_Odoo'!E277)</f>
        <v/>
      </c>
      <c r="F277" s="79">
        <f>IF('Ordenes_Odoo'!F277="","",'Ordenes_Odoo'!F277)</f>
        <v/>
      </c>
      <c r="G277" s="79">
        <f>IF('Ordenes_Odoo'!G277="","",'Ordenes_Odoo'!G277)</f>
        <v/>
      </c>
      <c r="H277" s="79">
        <f>IF('Ordenes_Odoo'!H277="","",'Ordenes_Odoo'!H277)</f>
        <v/>
      </c>
      <c r="I277" s="79">
        <f>IF('Ordenes_Odoo'!I277="","",'Ordenes_Odoo'!I277)</f>
        <v/>
      </c>
      <c r="J277" s="79">
        <f>IF('Ordenes_Odoo'!J277="","",'Ordenes_Odoo'!J277)</f>
        <v/>
      </c>
      <c r="K277" s="81">
        <f>IF('Ordenes_Odoo'!K277="","",'Ordenes_Odoo'!K277)</f>
        <v/>
      </c>
      <c r="L277" s="81">
        <f>IF('Ordenes_Odoo'!L277="","",'Ordenes_Odoo'!L277)</f>
        <v/>
      </c>
      <c r="M277" s="79">
        <f>IF('Ordenes_Odoo'!M277="","",'Ordenes_Odoo'!M277)</f>
        <v/>
      </c>
      <c r="N277" s="79">
        <f>IF('Ordenes_Odoo'!N277="","",'Ordenes_Odoo'!N277)</f>
        <v/>
      </c>
      <c r="O277" s="81">
        <f>IF('Ordenes_Odoo'!O277="","",'Ordenes_Odoo'!O277)</f>
        <v/>
      </c>
      <c r="P277" s="81">
        <f>IF('Ordenes_Odoo'!P277="","",'Ordenes_Odoo'!P277)</f>
        <v/>
      </c>
      <c r="Q277" s="79">
        <f>IF(A277="","",IFERROR(INDEX(Facturas_Odoo!$B:$B, MATCH(A277, Facturas_Odoo!$D:$D, 0)), "Sin Factura"))</f>
        <v/>
      </c>
      <c r="R277" s="80">
        <f>IF(Q277="Sin Factura","",IFERROR(INDEX(Facturas_Odoo!$A:$A, MATCH(Q277, Facturas_Odoo!$B:$B, 0)), ""))</f>
        <v/>
      </c>
      <c r="S277" s="79">
        <f>IF(Q277="Sin Factura","",IFERROR(_xlfn.XLOOKUP(1, (Facturas_Odoo!$D:$D=A277) * (Facturas_Odoo!$K:$K=I277), Facturas_Odoo!$L:$L, ""), ""))</f>
        <v/>
      </c>
      <c r="T277" s="81">
        <f>IF(Q277="Sin Factura",0,IFERROR(_xlfn.XLOOKUP(1, (Facturas_Odoo!$D:$D=A277) * (Facturas_Odoo!$K:$K=I277), Facturas_Odoo!$M:$M, 0), 0))</f>
        <v/>
      </c>
      <c r="U277" s="79">
        <f>IF(Q277="Sin Factura",0,IFERROR(_xlfn.XLOOKUP(1, (Facturas_Odoo!$D:$D=A277) * (Facturas_Odoo!$K:$K=I277), Facturas_Odoo!$N:$N, 0), 0))</f>
        <v/>
      </c>
      <c r="V277" s="79">
        <f>IF(Q277="Sin Factura",0,IFERROR(_xlfn.XLOOKUP(1, (Facturas_Odoo!$D:$D=A277) * (Facturas_Odoo!$K:$K=I277), Facturas_Odoo!$O:$O, 0), 0))</f>
        <v/>
      </c>
      <c r="W277" s="81">
        <f>IF(Q277="Sin Factura",0,IFERROR(_xlfn.XLOOKUP(1, (Facturas_Odoo!$D:$D=A277) * (Facturas_Odoo!$K:$K=I277), Facturas_Odoo!$Q:$Q, 0), 0))</f>
        <v/>
      </c>
      <c r="X277" s="79">
        <f>IF(OR(Q277="Sin Factura",Q277=""),"",IFERROR(INDEX(Pagos_Odoo!$B:$B, MATCH(Q277, Pagos_Odoo!$I:$I, 0)), "Sin Pago"))</f>
        <v/>
      </c>
      <c r="Y277" s="79">
        <f>IF(X277="Sin Pago","",IFERROR(INDEX(Pagos_Odoo!$C:$C, MATCH(X277, Pagos_Odoo!$B:$B, 0)), ""))</f>
        <v/>
      </c>
      <c r="Z277" s="80">
        <f>IF(X277="Sin Pago","",IFERROR(INDEX(Pagos_Odoo!$A:$A, MATCH(X277, Pagos_Odoo!$B:$B, 0)), ""))</f>
        <v/>
      </c>
      <c r="AA277" s="79">
        <f>IF(X277="Sin Pago","",IFERROR(INDEX(Pagos_Odoo!$F:$F, MATCH(X277, Pagos_Odoo!$B:$B, 0)), ""))</f>
        <v/>
      </c>
      <c r="AB277" s="81">
        <f>IF(X277="Sin Pago",0,IFERROR(INDEX(Pagos_Odoo!$E:$E, MATCH(X277, Pagos_Odoo!$B:$B, 0)), 0))</f>
        <v/>
      </c>
      <c r="AC277" s="79">
        <f>IF(X277="Sin Pago","",IFERROR(INDEX(Pagos_Odoo!$G:$G, MATCH(X277, Pagos_Odoo!$B:$B, 0)), ""))</f>
        <v/>
      </c>
      <c r="AD277" s="82" t="n">
        <v>0</v>
      </c>
      <c r="AE277" s="82" t="n"/>
      <c r="AF277" s="82" t="n"/>
      <c r="AG277" s="82">
        <f>IF(AN277="","",AD277+AE277+AF277)</f>
        <v/>
      </c>
      <c r="AH277" s="81">
        <f>IF(AN277="","",P277*(1-AG277))</f>
        <v/>
      </c>
      <c r="AI277" s="81">
        <f>IF(AN277="","",IF(Q277="Sin Factura",0,IFERROR(INDEX(Facturas_Odoo!$H:$H, MATCH(Q277, Facturas_Odoo!$B:$B, 0)), 0)*(1-AG277)))</f>
        <v/>
      </c>
      <c r="AJ277" s="81">
        <f>IF(AN277="","",_xlfn.LET(idVenta, AN277&amp;"",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7" s="81">
        <f>IF(AN277="","",AH277-AJ277)</f>
        <v/>
      </c>
      <c r="AL277" s="81">
        <f>IF(AN277="","",IF(Q277="Sin Factura","",AI277-AJ277))</f>
        <v/>
      </c>
      <c r="AM277" s="81">
        <f>IF(AN277="","",IF(Q277="Sin Factura",0,P277-IFERROR(INDEX(Facturas_Odoo!$H:$H, MATCH(Q277, Facturas_Odoo!$B:$B, 0)), 0)))</f>
        <v/>
      </c>
      <c r="AN277" s="79">
        <f>IF(AND(A277="", J277=""), "", IF(A277&lt;&gt;"", VALUE(MID(A277,2,LEN(A277))), AN276))</f>
        <v/>
      </c>
      <c r="AO277" s="79">
        <f>IF(AN277="","",IF(AD277=0,"OK",_xlfn.LET(monedaPago, IF(AA277="","USD",AA277), limitePermitido, IFERROR(VLOOKUP(monedaPago, Configuración!$A$2:$B$3, 2, FALSE), 0.15), IF(AD277&gt;limitePermitido, "ALERTA: EXCESO (" &amp; TEXT(limitePermitido, "0%") &amp; " máx)", "OK"))))</f>
        <v/>
      </c>
      <c r="AP277" s="79">
        <f>IF(AN277="","",IF(AE277=0,"OK",_xlfn.LET(fechaPago, Z277, fechaFactura, R277, diasCredito, IF(E277="Pago inmediato", 0, IFERROR(VALUE(MID(E277, 1, SEARCH(" ", E277)-1)),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7" s="79">
        <f>IF(AN277="","",IF(AND(N277&gt;0, AG277&gt;0), IF(Configuración!$K$2="NO", "ALERTA: DESCUENTO DOBLE NO PERMITIDO", "OK"), "OK"))</f>
        <v/>
      </c>
      <c r="AR277" s="79">
        <f>IF(AN277="","",IF(OR(AO277&lt;&gt;"OK", AP277&lt;&gt;"OK", AQ277&lt;&gt;"OK"), "⚠️ REVISAR", "OK"))</f>
        <v/>
      </c>
    </row>
    <row r="278">
      <c r="A278" s="79">
        <f>IF('Ordenes_Odoo'!A278="","",'Ordenes_Odoo'!A278)</f>
        <v/>
      </c>
      <c r="B278" s="80">
        <f>IF('Ordenes_Odoo'!B278="","",'Ordenes_Odoo'!B278)</f>
        <v/>
      </c>
      <c r="C278" s="79">
        <f>IF('Ordenes_Odoo'!C278="","",'Ordenes_Odoo'!C278)</f>
        <v/>
      </c>
      <c r="D278" s="79">
        <f>IF('Ordenes_Odoo'!D278="","",'Ordenes_Odoo'!D278)</f>
        <v/>
      </c>
      <c r="E278" s="79">
        <f>IF('Ordenes_Odoo'!E278="","",'Ordenes_Odoo'!E278)</f>
        <v/>
      </c>
      <c r="F278" s="79">
        <f>IF('Ordenes_Odoo'!F278="","",'Ordenes_Odoo'!F278)</f>
        <v/>
      </c>
      <c r="G278" s="79">
        <f>IF('Ordenes_Odoo'!G278="","",'Ordenes_Odoo'!G278)</f>
        <v/>
      </c>
      <c r="H278" s="79">
        <f>IF('Ordenes_Odoo'!H278="","",'Ordenes_Odoo'!H278)</f>
        <v/>
      </c>
      <c r="I278" s="79">
        <f>IF('Ordenes_Odoo'!I278="","",'Ordenes_Odoo'!I278)</f>
        <v/>
      </c>
      <c r="J278" s="79">
        <f>IF('Ordenes_Odoo'!J278="","",'Ordenes_Odoo'!J278)</f>
        <v/>
      </c>
      <c r="K278" s="81">
        <f>IF('Ordenes_Odoo'!K278="","",'Ordenes_Odoo'!K278)</f>
        <v/>
      </c>
      <c r="L278" s="81">
        <f>IF('Ordenes_Odoo'!L278="","",'Ordenes_Odoo'!L278)</f>
        <v/>
      </c>
      <c r="M278" s="79">
        <f>IF('Ordenes_Odoo'!M278="","",'Ordenes_Odoo'!M278)</f>
        <v/>
      </c>
      <c r="N278" s="79">
        <f>IF('Ordenes_Odoo'!N278="","",'Ordenes_Odoo'!N278)</f>
        <v/>
      </c>
      <c r="O278" s="81">
        <f>IF('Ordenes_Odoo'!O278="","",'Ordenes_Odoo'!O278)</f>
        <v/>
      </c>
      <c r="P278" s="81">
        <f>IF('Ordenes_Odoo'!P278="","",'Ordenes_Odoo'!P278)</f>
        <v/>
      </c>
      <c r="Q278" s="79">
        <f>IF(A278="","",IFERROR(INDEX(Facturas_Odoo!$B:$B, MATCH(A278, Facturas_Odoo!$D:$D, 0)), "Sin Factura"))</f>
        <v/>
      </c>
      <c r="R278" s="80">
        <f>IF(Q278="Sin Factura","",IFERROR(INDEX(Facturas_Odoo!$A:$A, MATCH(Q278, Facturas_Odoo!$B:$B, 0)), ""))</f>
        <v/>
      </c>
      <c r="S278" s="79">
        <f>IF(Q278="Sin Factura","",IFERROR(_xlfn.XLOOKUP(1, (Facturas_Odoo!$D:$D=A278) * (Facturas_Odoo!$K:$K=I278), Facturas_Odoo!$L:$L, ""), ""))</f>
        <v/>
      </c>
      <c r="T278" s="81">
        <f>IF(Q278="Sin Factura",0,IFERROR(_xlfn.XLOOKUP(1, (Facturas_Odoo!$D:$D=A278) * (Facturas_Odoo!$K:$K=I278), Facturas_Odoo!$M:$M, 0), 0))</f>
        <v/>
      </c>
      <c r="U278" s="79">
        <f>IF(Q278="Sin Factura",0,IFERROR(_xlfn.XLOOKUP(1, (Facturas_Odoo!$D:$D=A278) * (Facturas_Odoo!$K:$K=I278), Facturas_Odoo!$N:$N, 0), 0))</f>
        <v/>
      </c>
      <c r="V278" s="79">
        <f>IF(Q278="Sin Factura",0,IFERROR(_xlfn.XLOOKUP(1, (Facturas_Odoo!$D:$D=A278) * (Facturas_Odoo!$K:$K=I278), Facturas_Odoo!$O:$O, 0), 0))</f>
        <v/>
      </c>
      <c r="W278" s="81">
        <f>IF(Q278="Sin Factura",0,IFERROR(_xlfn.XLOOKUP(1, (Facturas_Odoo!$D:$D=A278) * (Facturas_Odoo!$K:$K=I278), Facturas_Odoo!$Q:$Q, 0), 0))</f>
        <v/>
      </c>
      <c r="X278" s="79">
        <f>IF(OR(Q278="Sin Factura",Q278=""),"",IFERROR(INDEX(Pagos_Odoo!$B:$B, MATCH(Q278, Pagos_Odoo!$I:$I, 0)), "Sin Pago"))</f>
        <v/>
      </c>
      <c r="Y278" s="79">
        <f>IF(X278="Sin Pago","",IFERROR(INDEX(Pagos_Odoo!$C:$C, MATCH(X278, Pagos_Odoo!$B:$B, 0)), ""))</f>
        <v/>
      </c>
      <c r="Z278" s="80">
        <f>IF(X278="Sin Pago","",IFERROR(INDEX(Pagos_Odoo!$A:$A, MATCH(X278, Pagos_Odoo!$B:$B, 0)), ""))</f>
        <v/>
      </c>
      <c r="AA278" s="79">
        <f>IF(X278="Sin Pago","",IFERROR(INDEX(Pagos_Odoo!$F:$F, MATCH(X278, Pagos_Odoo!$B:$B, 0)), ""))</f>
        <v/>
      </c>
      <c r="AB278" s="81">
        <f>IF(X278="Sin Pago",0,IFERROR(INDEX(Pagos_Odoo!$E:$E, MATCH(X278, Pagos_Odoo!$B:$B, 0)), 0))</f>
        <v/>
      </c>
      <c r="AC278" s="79">
        <f>IF(X278="Sin Pago","",IFERROR(INDEX(Pagos_Odoo!$G:$G, MATCH(X278, Pagos_Odoo!$B:$B, 0)), ""))</f>
        <v/>
      </c>
      <c r="AD278" s="82" t="n">
        <v>0</v>
      </c>
      <c r="AE278" s="82" t="n"/>
      <c r="AF278" s="82" t="n"/>
      <c r="AG278" s="82">
        <f>IF(AN278="","",AD278+AE278+AF278)</f>
        <v/>
      </c>
      <c r="AH278" s="81">
        <f>IF(AN278="","",P278*(1-AG278))</f>
        <v/>
      </c>
      <c r="AI278" s="81">
        <f>IF(AN278="","",IF(Q278="Sin Factura",0,IFERROR(INDEX(Facturas_Odoo!$H:$H, MATCH(Q278, Facturas_Odoo!$B:$B, 0)), 0)*(1-AG278)))</f>
        <v/>
      </c>
      <c r="AJ278" s="81">
        <f>IF(AN278="","",_xlfn.LET(idVenta, AN278&amp;"",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8" s="81">
        <f>IF(AN278="","",AH278-AJ278)</f>
        <v/>
      </c>
      <c r="AL278" s="81">
        <f>IF(AN278="","",IF(Q278="Sin Factura","",AI278-AJ278))</f>
        <v/>
      </c>
      <c r="AM278" s="81">
        <f>IF(AN278="","",IF(Q278="Sin Factura",0,P278-IFERROR(INDEX(Facturas_Odoo!$H:$H, MATCH(Q278, Facturas_Odoo!$B:$B, 0)), 0)))</f>
        <v/>
      </c>
      <c r="AN278" s="79">
        <f>IF(AND(A278="", J278=""), "", IF(A278&lt;&gt;"", VALUE(MID(A278,2,LEN(A278))), AN277))</f>
        <v/>
      </c>
      <c r="AO278" s="79">
        <f>IF(AN278="","",IF(AD278=0,"OK",_xlfn.LET(monedaPago, IF(AA278="","USD",AA278), limitePermitido, IFERROR(VLOOKUP(monedaPago, Configuración!$A$2:$B$3, 2, FALSE), 0.15), IF(AD278&gt;limitePermitido, "ALERTA: EXCESO (" &amp; TEXT(limitePermitido, "0%") &amp; " máx)", "OK"))))</f>
        <v/>
      </c>
      <c r="AP278" s="79">
        <f>IF(AN278="","",IF(AE278=0,"OK",_xlfn.LET(fechaPago, Z278, fechaFactura, R278, diasCredito, IF(E278="Pago inmediato", 0, IFERROR(VALUE(MID(E278, 1, SEARCH(" ", E278)-1)),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8" s="79">
        <f>IF(AN278="","",IF(AND(N278&gt;0, AG278&gt;0), IF(Configuración!$K$2="NO", "ALERTA: DESCUENTO DOBLE NO PERMITIDO", "OK"), "OK"))</f>
        <v/>
      </c>
      <c r="AR278" s="79">
        <f>IF(AN278="","",IF(OR(AO278&lt;&gt;"OK", AP278&lt;&gt;"OK", AQ278&lt;&gt;"OK"), "⚠️ REVISAR", "OK"))</f>
        <v/>
      </c>
    </row>
    <row r="279">
      <c r="A279" s="79">
        <f>IF('Ordenes_Odoo'!A279="","",'Ordenes_Odoo'!A279)</f>
        <v/>
      </c>
      <c r="B279" s="80">
        <f>IF('Ordenes_Odoo'!B279="","",'Ordenes_Odoo'!B279)</f>
        <v/>
      </c>
      <c r="C279" s="79">
        <f>IF('Ordenes_Odoo'!C279="","",'Ordenes_Odoo'!C279)</f>
        <v/>
      </c>
      <c r="D279" s="79">
        <f>IF('Ordenes_Odoo'!D279="","",'Ordenes_Odoo'!D279)</f>
        <v/>
      </c>
      <c r="E279" s="79">
        <f>IF('Ordenes_Odoo'!E279="","",'Ordenes_Odoo'!E279)</f>
        <v/>
      </c>
      <c r="F279" s="79">
        <f>IF('Ordenes_Odoo'!F279="","",'Ordenes_Odoo'!F279)</f>
        <v/>
      </c>
      <c r="G279" s="79">
        <f>IF('Ordenes_Odoo'!G279="","",'Ordenes_Odoo'!G279)</f>
        <v/>
      </c>
      <c r="H279" s="79">
        <f>IF('Ordenes_Odoo'!H279="","",'Ordenes_Odoo'!H279)</f>
        <v/>
      </c>
      <c r="I279" s="79">
        <f>IF('Ordenes_Odoo'!I279="","",'Ordenes_Odoo'!I279)</f>
        <v/>
      </c>
      <c r="J279" s="79">
        <f>IF('Ordenes_Odoo'!J279="","",'Ordenes_Odoo'!J279)</f>
        <v/>
      </c>
      <c r="K279" s="81">
        <f>IF('Ordenes_Odoo'!K279="","",'Ordenes_Odoo'!K279)</f>
        <v/>
      </c>
      <c r="L279" s="81">
        <f>IF('Ordenes_Odoo'!L279="","",'Ordenes_Odoo'!L279)</f>
        <v/>
      </c>
      <c r="M279" s="79">
        <f>IF('Ordenes_Odoo'!M279="","",'Ordenes_Odoo'!M279)</f>
        <v/>
      </c>
      <c r="N279" s="79">
        <f>IF('Ordenes_Odoo'!N279="","",'Ordenes_Odoo'!N279)</f>
        <v/>
      </c>
      <c r="O279" s="81">
        <f>IF('Ordenes_Odoo'!O279="","",'Ordenes_Odoo'!O279)</f>
        <v/>
      </c>
      <c r="P279" s="81">
        <f>IF('Ordenes_Odoo'!P279="","",'Ordenes_Odoo'!P279)</f>
        <v/>
      </c>
      <c r="Q279" s="79">
        <f>IF(A279="","",IFERROR(INDEX(Facturas_Odoo!$B:$B, MATCH(A279, Facturas_Odoo!$D:$D, 0)), "Sin Factura"))</f>
        <v/>
      </c>
      <c r="R279" s="80">
        <f>IF(Q279="Sin Factura","",IFERROR(INDEX(Facturas_Odoo!$A:$A, MATCH(Q279, Facturas_Odoo!$B:$B, 0)), ""))</f>
        <v/>
      </c>
      <c r="S279" s="79">
        <f>IF(Q279="Sin Factura","",IFERROR(_xlfn.XLOOKUP(1, (Facturas_Odoo!$D:$D=A279) * (Facturas_Odoo!$K:$K=I279), Facturas_Odoo!$L:$L, ""), ""))</f>
        <v/>
      </c>
      <c r="T279" s="81">
        <f>IF(Q279="Sin Factura",0,IFERROR(_xlfn.XLOOKUP(1, (Facturas_Odoo!$D:$D=A279) * (Facturas_Odoo!$K:$K=I279), Facturas_Odoo!$M:$M, 0), 0))</f>
        <v/>
      </c>
      <c r="U279" s="79">
        <f>IF(Q279="Sin Factura",0,IFERROR(_xlfn.XLOOKUP(1, (Facturas_Odoo!$D:$D=A279) * (Facturas_Odoo!$K:$K=I279), Facturas_Odoo!$N:$N, 0), 0))</f>
        <v/>
      </c>
      <c r="V279" s="79">
        <f>IF(Q279="Sin Factura",0,IFERROR(_xlfn.XLOOKUP(1, (Facturas_Odoo!$D:$D=A279) * (Facturas_Odoo!$K:$K=I279), Facturas_Odoo!$O:$O, 0), 0))</f>
        <v/>
      </c>
      <c r="W279" s="81">
        <f>IF(Q279="Sin Factura",0,IFERROR(_xlfn.XLOOKUP(1, (Facturas_Odoo!$D:$D=A279) * (Facturas_Odoo!$K:$K=I279), Facturas_Odoo!$Q:$Q, 0), 0))</f>
        <v/>
      </c>
      <c r="X279" s="79">
        <f>IF(OR(Q279="Sin Factura",Q279=""),"",IFERROR(INDEX(Pagos_Odoo!$B:$B, MATCH(Q279, Pagos_Odoo!$I:$I, 0)), "Sin Pago"))</f>
        <v/>
      </c>
      <c r="Y279" s="79">
        <f>IF(X279="Sin Pago","",IFERROR(INDEX(Pagos_Odoo!$C:$C, MATCH(X279, Pagos_Odoo!$B:$B, 0)), ""))</f>
        <v/>
      </c>
      <c r="Z279" s="80">
        <f>IF(X279="Sin Pago","",IFERROR(INDEX(Pagos_Odoo!$A:$A, MATCH(X279, Pagos_Odoo!$B:$B, 0)), ""))</f>
        <v/>
      </c>
      <c r="AA279" s="79">
        <f>IF(X279="Sin Pago","",IFERROR(INDEX(Pagos_Odoo!$F:$F, MATCH(X279, Pagos_Odoo!$B:$B, 0)), ""))</f>
        <v/>
      </c>
      <c r="AB279" s="81">
        <f>IF(X279="Sin Pago",0,IFERROR(INDEX(Pagos_Odoo!$E:$E, MATCH(X279, Pagos_Odoo!$B:$B, 0)), 0))</f>
        <v/>
      </c>
      <c r="AC279" s="79">
        <f>IF(X279="Sin Pago","",IFERROR(INDEX(Pagos_Odoo!$G:$G, MATCH(X279, Pagos_Odoo!$B:$B, 0)), ""))</f>
        <v/>
      </c>
      <c r="AD279" s="82" t="n">
        <v>0</v>
      </c>
      <c r="AE279" s="82" t="n"/>
      <c r="AF279" s="82" t="n"/>
      <c r="AG279" s="82">
        <f>IF(AN279="","",AD279+AE279+AF279)</f>
        <v/>
      </c>
      <c r="AH279" s="81">
        <f>IF(AN279="","",P279*(1-AG279))</f>
        <v/>
      </c>
      <c r="AI279" s="81">
        <f>IF(AN279="","",IF(Q279="Sin Factura",0,IFERROR(INDEX(Facturas_Odoo!$H:$H, MATCH(Q279, Facturas_Odoo!$B:$B, 0)), 0)*(1-AG279)))</f>
        <v/>
      </c>
      <c r="AJ279" s="81">
        <f>IF(AN279="","",_xlfn.LET(idVenta, AN279&amp;"",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9" s="81">
        <f>IF(AN279="","",AH279-AJ279)</f>
        <v/>
      </c>
      <c r="AL279" s="81">
        <f>IF(AN279="","",IF(Q279="Sin Factura","",AI279-AJ279))</f>
        <v/>
      </c>
      <c r="AM279" s="81">
        <f>IF(AN279="","",IF(Q279="Sin Factura",0,P279-IFERROR(INDEX(Facturas_Odoo!$H:$H, MATCH(Q279, Facturas_Odoo!$B:$B, 0)), 0)))</f>
        <v/>
      </c>
      <c r="AN279" s="79">
        <f>IF(AND(A279="", J279=""), "", IF(A279&lt;&gt;"", VALUE(MID(A279,2,LEN(A279))), AN278))</f>
        <v/>
      </c>
      <c r="AO279" s="79">
        <f>IF(AN279="","",IF(AD279=0,"OK",_xlfn.LET(monedaPago, IF(AA279="","USD",AA279), limitePermitido, IFERROR(VLOOKUP(monedaPago, Configuración!$A$2:$B$3, 2, FALSE), 0.15), IF(AD279&gt;limitePermitido, "ALERTA: EXCESO (" &amp; TEXT(limitePermitido, "0%") &amp; " máx)", "OK"))))</f>
        <v/>
      </c>
      <c r="AP279" s="79">
        <f>IF(AN279="","",IF(AE279=0,"OK",_xlfn.LET(fechaPago, Z279, fechaFactura, R279, diasCredito, IF(E279="Pago inmediato", 0, IFERROR(VALUE(MID(E279, 1, SEARCH(" ", E279)-1)),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9" s="79">
        <f>IF(AN279="","",IF(AND(N279&gt;0, AG279&gt;0), IF(Configuración!$K$2="NO", "ALERTA: DESCUENTO DOBLE NO PERMITIDO", "OK"), "OK"))</f>
        <v/>
      </c>
      <c r="AR279" s="79">
        <f>IF(AN279="","",IF(OR(AO279&lt;&gt;"OK", AP279&lt;&gt;"OK", AQ279&lt;&gt;"OK"), "⚠️ REVISAR", "OK"))</f>
        <v/>
      </c>
    </row>
    <row r="280">
      <c r="A280" s="79">
        <f>IF('Ordenes_Odoo'!A280="","",'Ordenes_Odoo'!A280)</f>
        <v/>
      </c>
      <c r="B280" s="80">
        <f>IF('Ordenes_Odoo'!B280="","",'Ordenes_Odoo'!B280)</f>
        <v/>
      </c>
      <c r="C280" s="79">
        <f>IF('Ordenes_Odoo'!C280="","",'Ordenes_Odoo'!C280)</f>
        <v/>
      </c>
      <c r="D280" s="79">
        <f>IF('Ordenes_Odoo'!D280="","",'Ordenes_Odoo'!D280)</f>
        <v/>
      </c>
      <c r="E280" s="79">
        <f>IF('Ordenes_Odoo'!E280="","",'Ordenes_Odoo'!E280)</f>
        <v/>
      </c>
      <c r="F280" s="79">
        <f>IF('Ordenes_Odoo'!F280="","",'Ordenes_Odoo'!F280)</f>
        <v/>
      </c>
      <c r="G280" s="79">
        <f>IF('Ordenes_Odoo'!G280="","",'Ordenes_Odoo'!G280)</f>
        <v/>
      </c>
      <c r="H280" s="79">
        <f>IF('Ordenes_Odoo'!H280="","",'Ordenes_Odoo'!H280)</f>
        <v/>
      </c>
      <c r="I280" s="79">
        <f>IF('Ordenes_Odoo'!I280="","",'Ordenes_Odoo'!I280)</f>
        <v/>
      </c>
      <c r="J280" s="79">
        <f>IF('Ordenes_Odoo'!J280="","",'Ordenes_Odoo'!J280)</f>
        <v/>
      </c>
      <c r="K280" s="81">
        <f>IF('Ordenes_Odoo'!K280="","",'Ordenes_Odoo'!K280)</f>
        <v/>
      </c>
      <c r="L280" s="81">
        <f>IF('Ordenes_Odoo'!L280="","",'Ordenes_Odoo'!L280)</f>
        <v/>
      </c>
      <c r="M280" s="79">
        <f>IF('Ordenes_Odoo'!M280="","",'Ordenes_Odoo'!M280)</f>
        <v/>
      </c>
      <c r="N280" s="79">
        <f>IF('Ordenes_Odoo'!N280="","",'Ordenes_Odoo'!N280)</f>
        <v/>
      </c>
      <c r="O280" s="81">
        <f>IF('Ordenes_Odoo'!O280="","",'Ordenes_Odoo'!O280)</f>
        <v/>
      </c>
      <c r="P280" s="81">
        <f>IF('Ordenes_Odoo'!P280="","",'Ordenes_Odoo'!P280)</f>
        <v/>
      </c>
      <c r="Q280" s="79">
        <f>IF(A280="","",IFERROR(INDEX(Facturas_Odoo!$B:$B, MATCH(A280, Facturas_Odoo!$D:$D, 0)), "Sin Factura"))</f>
        <v/>
      </c>
      <c r="R280" s="80">
        <f>IF(Q280="Sin Factura","",IFERROR(INDEX(Facturas_Odoo!$A:$A, MATCH(Q280, Facturas_Odoo!$B:$B, 0)), ""))</f>
        <v/>
      </c>
      <c r="S280" s="79">
        <f>IF(Q280="Sin Factura","",IFERROR(_xlfn.XLOOKUP(1, (Facturas_Odoo!$D:$D=A280) * (Facturas_Odoo!$K:$K=I280), Facturas_Odoo!$L:$L, ""), ""))</f>
        <v/>
      </c>
      <c r="T280" s="81">
        <f>IF(Q280="Sin Factura",0,IFERROR(_xlfn.XLOOKUP(1, (Facturas_Odoo!$D:$D=A280) * (Facturas_Odoo!$K:$K=I280), Facturas_Odoo!$M:$M, 0), 0))</f>
        <v/>
      </c>
      <c r="U280" s="79">
        <f>IF(Q280="Sin Factura",0,IFERROR(_xlfn.XLOOKUP(1, (Facturas_Odoo!$D:$D=A280) * (Facturas_Odoo!$K:$K=I280), Facturas_Odoo!$N:$N, 0), 0))</f>
        <v/>
      </c>
      <c r="V280" s="79">
        <f>IF(Q280="Sin Factura",0,IFERROR(_xlfn.XLOOKUP(1, (Facturas_Odoo!$D:$D=A280) * (Facturas_Odoo!$K:$K=I280), Facturas_Odoo!$O:$O, 0), 0))</f>
        <v/>
      </c>
      <c r="W280" s="81">
        <f>IF(Q280="Sin Factura",0,IFERROR(_xlfn.XLOOKUP(1, (Facturas_Odoo!$D:$D=A280) * (Facturas_Odoo!$K:$K=I280), Facturas_Odoo!$Q:$Q, 0), 0))</f>
        <v/>
      </c>
      <c r="X280" s="79">
        <f>IF(OR(Q280="Sin Factura",Q280=""),"",IFERROR(INDEX(Pagos_Odoo!$B:$B, MATCH(Q280, Pagos_Odoo!$I:$I, 0)), "Sin Pago"))</f>
        <v/>
      </c>
      <c r="Y280" s="79">
        <f>IF(X280="Sin Pago","",IFERROR(INDEX(Pagos_Odoo!$C:$C, MATCH(X280, Pagos_Odoo!$B:$B, 0)), ""))</f>
        <v/>
      </c>
      <c r="Z280" s="80">
        <f>IF(X280="Sin Pago","",IFERROR(INDEX(Pagos_Odoo!$A:$A, MATCH(X280, Pagos_Odoo!$B:$B, 0)), ""))</f>
        <v/>
      </c>
      <c r="AA280" s="79">
        <f>IF(X280="Sin Pago","",IFERROR(INDEX(Pagos_Odoo!$F:$F, MATCH(X280, Pagos_Odoo!$B:$B, 0)), ""))</f>
        <v/>
      </c>
      <c r="AB280" s="81">
        <f>IF(X280="Sin Pago",0,IFERROR(INDEX(Pagos_Odoo!$E:$E, MATCH(X280, Pagos_Odoo!$B:$B, 0)), 0))</f>
        <v/>
      </c>
      <c r="AC280" s="79">
        <f>IF(X280="Sin Pago","",IFERROR(INDEX(Pagos_Odoo!$G:$G, MATCH(X280, Pagos_Odoo!$B:$B, 0)), ""))</f>
        <v/>
      </c>
      <c r="AD280" s="82" t="n">
        <v>0</v>
      </c>
      <c r="AE280" s="82" t="n"/>
      <c r="AF280" s="82" t="n"/>
      <c r="AG280" s="82">
        <f>IF(AN280="","",AD280+AE280+AF280)</f>
        <v/>
      </c>
      <c r="AH280" s="81">
        <f>IF(AN280="","",P280*(1-AG280))</f>
        <v/>
      </c>
      <c r="AI280" s="81">
        <f>IF(AN280="","",IF(Q280="Sin Factura",0,IFERROR(INDEX(Facturas_Odoo!$H:$H, MATCH(Q280, Facturas_Odoo!$B:$B, 0)), 0)*(1-AG280)))</f>
        <v/>
      </c>
      <c r="AJ280" s="81">
        <f>IF(AN280="","",_xlfn.LET(idVenta, AN280&amp;"",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0" s="81">
        <f>IF(AN280="","",AH280-AJ280)</f>
        <v/>
      </c>
      <c r="AL280" s="81">
        <f>IF(AN280="","",IF(Q280="Sin Factura","",AI280-AJ280))</f>
        <v/>
      </c>
      <c r="AM280" s="81">
        <f>IF(AN280="","",IF(Q280="Sin Factura",0,P280-IFERROR(INDEX(Facturas_Odoo!$H:$H, MATCH(Q280, Facturas_Odoo!$B:$B, 0)), 0)))</f>
        <v/>
      </c>
      <c r="AN280" s="79">
        <f>IF(AND(A280="", J280=""), "", IF(A280&lt;&gt;"", VALUE(MID(A280,2,LEN(A280))), AN279))</f>
        <v/>
      </c>
      <c r="AO280" s="79">
        <f>IF(AN280="","",IF(AD280=0,"OK",_xlfn.LET(monedaPago, IF(AA280="","USD",AA280), limitePermitido, IFERROR(VLOOKUP(monedaPago, Configuración!$A$2:$B$3, 2, FALSE), 0.15), IF(AD280&gt;limitePermitido, "ALERTA: EXCESO (" &amp; TEXT(limitePermitido, "0%") &amp; " máx)", "OK"))))</f>
        <v/>
      </c>
      <c r="AP280" s="79">
        <f>IF(AN280="","",IF(AE280=0,"OK",_xlfn.LET(fechaPago, Z280, fechaFactura, R280, diasCredito, IF(E280="Pago inmediato", 0, IFERROR(VALUE(MID(E280, 1, SEARCH(" ", E280)-1)),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0" s="79">
        <f>IF(AN280="","",IF(AND(N280&gt;0, AG280&gt;0), IF(Configuración!$K$2="NO", "ALERTA: DESCUENTO DOBLE NO PERMITIDO", "OK"), "OK"))</f>
        <v/>
      </c>
      <c r="AR280" s="79">
        <f>IF(AN280="","",IF(OR(AO280&lt;&gt;"OK", AP280&lt;&gt;"OK", AQ280&lt;&gt;"OK"), "⚠️ REVISAR", "OK"))</f>
        <v/>
      </c>
    </row>
    <row r="281">
      <c r="A281" s="79">
        <f>IF('Ordenes_Odoo'!A281="","",'Ordenes_Odoo'!A281)</f>
        <v/>
      </c>
      <c r="B281" s="80">
        <f>IF('Ordenes_Odoo'!B281="","",'Ordenes_Odoo'!B281)</f>
        <v/>
      </c>
      <c r="C281" s="79">
        <f>IF('Ordenes_Odoo'!C281="","",'Ordenes_Odoo'!C281)</f>
        <v/>
      </c>
      <c r="D281" s="79">
        <f>IF('Ordenes_Odoo'!D281="","",'Ordenes_Odoo'!D281)</f>
        <v/>
      </c>
      <c r="E281" s="79">
        <f>IF('Ordenes_Odoo'!E281="","",'Ordenes_Odoo'!E281)</f>
        <v/>
      </c>
      <c r="F281" s="79">
        <f>IF('Ordenes_Odoo'!F281="","",'Ordenes_Odoo'!F281)</f>
        <v/>
      </c>
      <c r="G281" s="79">
        <f>IF('Ordenes_Odoo'!G281="","",'Ordenes_Odoo'!G281)</f>
        <v/>
      </c>
      <c r="H281" s="79">
        <f>IF('Ordenes_Odoo'!H281="","",'Ordenes_Odoo'!H281)</f>
        <v/>
      </c>
      <c r="I281" s="79">
        <f>IF('Ordenes_Odoo'!I281="","",'Ordenes_Odoo'!I281)</f>
        <v/>
      </c>
      <c r="J281" s="79">
        <f>IF('Ordenes_Odoo'!J281="","",'Ordenes_Odoo'!J281)</f>
        <v/>
      </c>
      <c r="K281" s="81">
        <f>IF('Ordenes_Odoo'!K281="","",'Ordenes_Odoo'!K281)</f>
        <v/>
      </c>
      <c r="L281" s="81">
        <f>IF('Ordenes_Odoo'!L281="","",'Ordenes_Odoo'!L281)</f>
        <v/>
      </c>
      <c r="M281" s="79">
        <f>IF('Ordenes_Odoo'!M281="","",'Ordenes_Odoo'!M281)</f>
        <v/>
      </c>
      <c r="N281" s="79">
        <f>IF('Ordenes_Odoo'!N281="","",'Ordenes_Odoo'!N281)</f>
        <v/>
      </c>
      <c r="O281" s="81">
        <f>IF('Ordenes_Odoo'!O281="","",'Ordenes_Odoo'!O281)</f>
        <v/>
      </c>
      <c r="P281" s="81">
        <f>IF('Ordenes_Odoo'!P281="","",'Ordenes_Odoo'!P281)</f>
        <v/>
      </c>
      <c r="Q281" s="79">
        <f>IF(A281="","",IFERROR(INDEX(Facturas_Odoo!$B:$B, MATCH(A281, Facturas_Odoo!$D:$D, 0)), "Sin Factura"))</f>
        <v/>
      </c>
      <c r="R281" s="80">
        <f>IF(Q281="Sin Factura","",IFERROR(INDEX(Facturas_Odoo!$A:$A, MATCH(Q281, Facturas_Odoo!$B:$B, 0)), ""))</f>
        <v/>
      </c>
      <c r="S281" s="79">
        <f>IF(Q281="Sin Factura","",IFERROR(_xlfn.XLOOKUP(1, (Facturas_Odoo!$D:$D=A281) * (Facturas_Odoo!$K:$K=I281), Facturas_Odoo!$L:$L, ""), ""))</f>
        <v/>
      </c>
      <c r="T281" s="81">
        <f>IF(Q281="Sin Factura",0,IFERROR(_xlfn.XLOOKUP(1, (Facturas_Odoo!$D:$D=A281) * (Facturas_Odoo!$K:$K=I281), Facturas_Odoo!$M:$M, 0), 0))</f>
        <v/>
      </c>
      <c r="U281" s="79">
        <f>IF(Q281="Sin Factura",0,IFERROR(_xlfn.XLOOKUP(1, (Facturas_Odoo!$D:$D=A281) * (Facturas_Odoo!$K:$K=I281), Facturas_Odoo!$N:$N, 0), 0))</f>
        <v/>
      </c>
      <c r="V281" s="79">
        <f>IF(Q281="Sin Factura",0,IFERROR(_xlfn.XLOOKUP(1, (Facturas_Odoo!$D:$D=A281) * (Facturas_Odoo!$K:$K=I281), Facturas_Odoo!$O:$O, 0), 0))</f>
        <v/>
      </c>
      <c r="W281" s="81">
        <f>IF(Q281="Sin Factura",0,IFERROR(_xlfn.XLOOKUP(1, (Facturas_Odoo!$D:$D=A281) * (Facturas_Odoo!$K:$K=I281), Facturas_Odoo!$Q:$Q, 0), 0))</f>
        <v/>
      </c>
      <c r="X281" s="79">
        <f>IF(OR(Q281="Sin Factura",Q281=""),"",IFERROR(INDEX(Pagos_Odoo!$B:$B, MATCH(Q281, Pagos_Odoo!$I:$I, 0)), "Sin Pago"))</f>
        <v/>
      </c>
      <c r="Y281" s="79">
        <f>IF(X281="Sin Pago","",IFERROR(INDEX(Pagos_Odoo!$C:$C, MATCH(X281, Pagos_Odoo!$B:$B, 0)), ""))</f>
        <v/>
      </c>
      <c r="Z281" s="80">
        <f>IF(X281="Sin Pago","",IFERROR(INDEX(Pagos_Odoo!$A:$A, MATCH(X281, Pagos_Odoo!$B:$B, 0)), ""))</f>
        <v/>
      </c>
      <c r="AA281" s="79">
        <f>IF(X281="Sin Pago","",IFERROR(INDEX(Pagos_Odoo!$F:$F, MATCH(X281, Pagos_Odoo!$B:$B, 0)), ""))</f>
        <v/>
      </c>
      <c r="AB281" s="81">
        <f>IF(X281="Sin Pago",0,IFERROR(INDEX(Pagos_Odoo!$E:$E, MATCH(X281, Pagos_Odoo!$B:$B, 0)), 0))</f>
        <v/>
      </c>
      <c r="AC281" s="79">
        <f>IF(X281="Sin Pago","",IFERROR(INDEX(Pagos_Odoo!$G:$G, MATCH(X281, Pagos_Odoo!$B:$B, 0)), ""))</f>
        <v/>
      </c>
      <c r="AD281" s="82" t="n">
        <v>0</v>
      </c>
      <c r="AE281" s="82" t="n"/>
      <c r="AF281" s="82" t="n"/>
      <c r="AG281" s="82">
        <f>IF(AN281="","",AD281+AE281+AF281)</f>
        <v/>
      </c>
      <c r="AH281" s="81">
        <f>IF(AN281="","",P281*(1-AG281))</f>
        <v/>
      </c>
      <c r="AI281" s="81">
        <f>IF(AN281="","",IF(Q281="Sin Factura",0,IFERROR(INDEX(Facturas_Odoo!$H:$H, MATCH(Q281, Facturas_Odoo!$B:$B, 0)), 0)*(1-AG281)))</f>
        <v/>
      </c>
      <c r="AJ281" s="81">
        <f>IF(AN281="","",_xlfn.LET(idVenta, AN281&amp;"",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1" s="81">
        <f>IF(AN281="","",AH281-AJ281)</f>
        <v/>
      </c>
      <c r="AL281" s="81">
        <f>IF(AN281="","",IF(Q281="Sin Factura","",AI281-AJ281))</f>
        <v/>
      </c>
      <c r="AM281" s="81">
        <f>IF(AN281="","",IF(Q281="Sin Factura",0,P281-IFERROR(INDEX(Facturas_Odoo!$H:$H, MATCH(Q281, Facturas_Odoo!$B:$B, 0)), 0)))</f>
        <v/>
      </c>
      <c r="AN281" s="79">
        <f>IF(AND(A281="", J281=""), "", IF(A281&lt;&gt;"", VALUE(MID(A281,2,LEN(A281))), AN280))</f>
        <v/>
      </c>
      <c r="AO281" s="79">
        <f>IF(AN281="","",IF(AD281=0,"OK",_xlfn.LET(monedaPago, IF(AA281="","USD",AA281), limitePermitido, IFERROR(VLOOKUP(monedaPago, Configuración!$A$2:$B$3, 2, FALSE), 0.15), IF(AD281&gt;limitePermitido, "ALERTA: EXCESO (" &amp; TEXT(limitePermitido, "0%") &amp; " máx)", "OK"))))</f>
        <v/>
      </c>
      <c r="AP281" s="79">
        <f>IF(AN281="","",IF(AE281=0,"OK",_xlfn.LET(fechaPago, Z281, fechaFactura, R281, diasCredito, IF(E281="Pago inmediato", 0, IFERROR(VALUE(MID(E281, 1, SEARCH(" ", E281)-1)),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1" s="79">
        <f>IF(AN281="","",IF(AND(N281&gt;0, AG281&gt;0), IF(Configuración!$K$2="NO", "ALERTA: DESCUENTO DOBLE NO PERMITIDO", "OK"), "OK"))</f>
        <v/>
      </c>
      <c r="AR281" s="79">
        <f>IF(AN281="","",IF(OR(AO281&lt;&gt;"OK", AP281&lt;&gt;"OK", AQ281&lt;&gt;"OK"), "⚠️ REVISAR", "OK"))</f>
        <v/>
      </c>
    </row>
    <row r="282">
      <c r="A282" s="79">
        <f>IF('Ordenes_Odoo'!A282="","",'Ordenes_Odoo'!A282)</f>
        <v/>
      </c>
      <c r="B282" s="80">
        <f>IF('Ordenes_Odoo'!B282="","",'Ordenes_Odoo'!B282)</f>
        <v/>
      </c>
      <c r="C282" s="79">
        <f>IF('Ordenes_Odoo'!C282="","",'Ordenes_Odoo'!C282)</f>
        <v/>
      </c>
      <c r="D282" s="79">
        <f>IF('Ordenes_Odoo'!D282="","",'Ordenes_Odoo'!D282)</f>
        <v/>
      </c>
      <c r="E282" s="79">
        <f>IF('Ordenes_Odoo'!E282="","",'Ordenes_Odoo'!E282)</f>
        <v/>
      </c>
      <c r="F282" s="79">
        <f>IF('Ordenes_Odoo'!F282="","",'Ordenes_Odoo'!F282)</f>
        <v/>
      </c>
      <c r="G282" s="79">
        <f>IF('Ordenes_Odoo'!G282="","",'Ordenes_Odoo'!G282)</f>
        <v/>
      </c>
      <c r="H282" s="79">
        <f>IF('Ordenes_Odoo'!H282="","",'Ordenes_Odoo'!H282)</f>
        <v/>
      </c>
      <c r="I282" s="79">
        <f>IF('Ordenes_Odoo'!I282="","",'Ordenes_Odoo'!I282)</f>
        <v/>
      </c>
      <c r="J282" s="79">
        <f>IF('Ordenes_Odoo'!J282="","",'Ordenes_Odoo'!J282)</f>
        <v/>
      </c>
      <c r="K282" s="81">
        <f>IF('Ordenes_Odoo'!K282="","",'Ordenes_Odoo'!K282)</f>
        <v/>
      </c>
      <c r="L282" s="81">
        <f>IF('Ordenes_Odoo'!L282="","",'Ordenes_Odoo'!L282)</f>
        <v/>
      </c>
      <c r="M282" s="79">
        <f>IF('Ordenes_Odoo'!M282="","",'Ordenes_Odoo'!M282)</f>
        <v/>
      </c>
      <c r="N282" s="79">
        <f>IF('Ordenes_Odoo'!N282="","",'Ordenes_Odoo'!N282)</f>
        <v/>
      </c>
      <c r="O282" s="81">
        <f>IF('Ordenes_Odoo'!O282="","",'Ordenes_Odoo'!O282)</f>
        <v/>
      </c>
      <c r="P282" s="81">
        <f>IF('Ordenes_Odoo'!P282="","",'Ordenes_Odoo'!P282)</f>
        <v/>
      </c>
      <c r="Q282" s="79">
        <f>IF(A282="","",IFERROR(INDEX(Facturas_Odoo!$B:$B, MATCH(A282, Facturas_Odoo!$D:$D, 0)), "Sin Factura"))</f>
        <v/>
      </c>
      <c r="R282" s="80">
        <f>IF(Q282="Sin Factura","",IFERROR(INDEX(Facturas_Odoo!$A:$A, MATCH(Q282, Facturas_Odoo!$B:$B, 0)), ""))</f>
        <v/>
      </c>
      <c r="S282" s="79">
        <f>IF(Q282="Sin Factura","",IFERROR(_xlfn.XLOOKUP(1, (Facturas_Odoo!$D:$D=A282) * (Facturas_Odoo!$K:$K=I282), Facturas_Odoo!$L:$L, ""), ""))</f>
        <v/>
      </c>
      <c r="T282" s="81">
        <f>IF(Q282="Sin Factura",0,IFERROR(_xlfn.XLOOKUP(1, (Facturas_Odoo!$D:$D=A282) * (Facturas_Odoo!$K:$K=I282), Facturas_Odoo!$M:$M, 0), 0))</f>
        <v/>
      </c>
      <c r="U282" s="79">
        <f>IF(Q282="Sin Factura",0,IFERROR(_xlfn.XLOOKUP(1, (Facturas_Odoo!$D:$D=A282) * (Facturas_Odoo!$K:$K=I282), Facturas_Odoo!$N:$N, 0), 0))</f>
        <v/>
      </c>
      <c r="V282" s="79">
        <f>IF(Q282="Sin Factura",0,IFERROR(_xlfn.XLOOKUP(1, (Facturas_Odoo!$D:$D=A282) * (Facturas_Odoo!$K:$K=I282), Facturas_Odoo!$O:$O, 0), 0))</f>
        <v/>
      </c>
      <c r="W282" s="81">
        <f>IF(Q282="Sin Factura",0,IFERROR(_xlfn.XLOOKUP(1, (Facturas_Odoo!$D:$D=A282) * (Facturas_Odoo!$K:$K=I282), Facturas_Odoo!$Q:$Q, 0), 0))</f>
        <v/>
      </c>
      <c r="X282" s="79">
        <f>IF(OR(Q282="Sin Factura",Q282=""),"",IFERROR(INDEX(Pagos_Odoo!$B:$B, MATCH(Q282, Pagos_Odoo!$I:$I, 0)), "Sin Pago"))</f>
        <v/>
      </c>
      <c r="Y282" s="79">
        <f>IF(X282="Sin Pago","",IFERROR(INDEX(Pagos_Odoo!$C:$C, MATCH(X282, Pagos_Odoo!$B:$B, 0)), ""))</f>
        <v/>
      </c>
      <c r="Z282" s="80">
        <f>IF(X282="Sin Pago","",IFERROR(INDEX(Pagos_Odoo!$A:$A, MATCH(X282, Pagos_Odoo!$B:$B, 0)), ""))</f>
        <v/>
      </c>
      <c r="AA282" s="79">
        <f>IF(X282="Sin Pago","",IFERROR(INDEX(Pagos_Odoo!$F:$F, MATCH(X282, Pagos_Odoo!$B:$B, 0)), ""))</f>
        <v/>
      </c>
      <c r="AB282" s="81">
        <f>IF(X282="Sin Pago",0,IFERROR(INDEX(Pagos_Odoo!$E:$E, MATCH(X282, Pagos_Odoo!$B:$B, 0)), 0))</f>
        <v/>
      </c>
      <c r="AC282" s="79">
        <f>IF(X282="Sin Pago","",IFERROR(INDEX(Pagos_Odoo!$G:$G, MATCH(X282, Pagos_Odoo!$B:$B, 0)), ""))</f>
        <v/>
      </c>
      <c r="AD282" s="82" t="n">
        <v>0</v>
      </c>
      <c r="AE282" s="82" t="n"/>
      <c r="AF282" s="82" t="n"/>
      <c r="AG282" s="82">
        <f>IF(AN282="","",AD282+AE282+AF282)</f>
        <v/>
      </c>
      <c r="AH282" s="81">
        <f>IF(AN282="","",P282*(1-AG282))</f>
        <v/>
      </c>
      <c r="AI282" s="81">
        <f>IF(AN282="","",IF(Q282="Sin Factura",0,IFERROR(INDEX(Facturas_Odoo!$H:$H, MATCH(Q282, Facturas_Odoo!$B:$B, 0)), 0)*(1-AG282)))</f>
        <v/>
      </c>
      <c r="AJ282" s="81">
        <f>IF(AN282="","",_xlfn.LET(idVenta, AN282&amp;"",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2" s="81">
        <f>IF(AN282="","",AH282-AJ282)</f>
        <v/>
      </c>
      <c r="AL282" s="81">
        <f>IF(AN282="","",IF(Q282="Sin Factura","",AI282-AJ282))</f>
        <v/>
      </c>
      <c r="AM282" s="81">
        <f>IF(AN282="","",IF(Q282="Sin Factura",0,P282-IFERROR(INDEX(Facturas_Odoo!$H:$H, MATCH(Q282, Facturas_Odoo!$B:$B, 0)), 0)))</f>
        <v/>
      </c>
      <c r="AN282" s="79">
        <f>IF(AND(A282="", J282=""), "", IF(A282&lt;&gt;"", VALUE(MID(A282,2,LEN(A282))), AN281))</f>
        <v/>
      </c>
      <c r="AO282" s="79">
        <f>IF(AN282="","",IF(AD282=0,"OK",_xlfn.LET(monedaPago, IF(AA282="","USD",AA282), limitePermitido, IFERROR(VLOOKUP(monedaPago, Configuración!$A$2:$B$3, 2, FALSE), 0.15), IF(AD282&gt;limitePermitido, "ALERTA: EXCESO (" &amp; TEXT(limitePermitido, "0%") &amp; " máx)", "OK"))))</f>
        <v/>
      </c>
      <c r="AP282" s="79">
        <f>IF(AN282="","",IF(AE282=0,"OK",_xlfn.LET(fechaPago, Z282, fechaFactura, R282, diasCredito, IF(E282="Pago inmediato", 0, IFERROR(VALUE(MID(E282, 1, SEARCH(" ", E282)-1)),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2" s="79">
        <f>IF(AN282="","",IF(AND(N282&gt;0, AG282&gt;0), IF(Configuración!$K$2="NO", "ALERTA: DESCUENTO DOBLE NO PERMITIDO", "OK"), "OK"))</f>
        <v/>
      </c>
      <c r="AR282" s="79">
        <f>IF(AN282="","",IF(OR(AO282&lt;&gt;"OK", AP282&lt;&gt;"OK", AQ282&lt;&gt;"OK"), "⚠️ REVISAR", "OK"))</f>
        <v/>
      </c>
    </row>
    <row r="283">
      <c r="A283" s="79">
        <f>IF('Ordenes_Odoo'!A283="","",'Ordenes_Odoo'!A283)</f>
        <v/>
      </c>
      <c r="B283" s="80">
        <f>IF('Ordenes_Odoo'!B283="","",'Ordenes_Odoo'!B283)</f>
        <v/>
      </c>
      <c r="C283" s="79">
        <f>IF('Ordenes_Odoo'!C283="","",'Ordenes_Odoo'!C283)</f>
        <v/>
      </c>
      <c r="D283" s="79">
        <f>IF('Ordenes_Odoo'!D283="","",'Ordenes_Odoo'!D283)</f>
        <v/>
      </c>
      <c r="E283" s="79">
        <f>IF('Ordenes_Odoo'!E283="","",'Ordenes_Odoo'!E283)</f>
        <v/>
      </c>
      <c r="F283" s="79">
        <f>IF('Ordenes_Odoo'!F283="","",'Ordenes_Odoo'!F283)</f>
        <v/>
      </c>
      <c r="G283" s="79">
        <f>IF('Ordenes_Odoo'!G283="","",'Ordenes_Odoo'!G283)</f>
        <v/>
      </c>
      <c r="H283" s="79">
        <f>IF('Ordenes_Odoo'!H283="","",'Ordenes_Odoo'!H283)</f>
        <v/>
      </c>
      <c r="I283" s="79">
        <f>IF('Ordenes_Odoo'!I283="","",'Ordenes_Odoo'!I283)</f>
        <v/>
      </c>
      <c r="J283" s="79">
        <f>IF('Ordenes_Odoo'!J283="","",'Ordenes_Odoo'!J283)</f>
        <v/>
      </c>
      <c r="K283" s="81">
        <f>IF('Ordenes_Odoo'!K283="","",'Ordenes_Odoo'!K283)</f>
        <v/>
      </c>
      <c r="L283" s="81">
        <f>IF('Ordenes_Odoo'!L283="","",'Ordenes_Odoo'!L283)</f>
        <v/>
      </c>
      <c r="M283" s="79">
        <f>IF('Ordenes_Odoo'!M283="","",'Ordenes_Odoo'!M283)</f>
        <v/>
      </c>
      <c r="N283" s="79">
        <f>IF('Ordenes_Odoo'!N283="","",'Ordenes_Odoo'!N283)</f>
        <v/>
      </c>
      <c r="O283" s="81">
        <f>IF('Ordenes_Odoo'!O283="","",'Ordenes_Odoo'!O283)</f>
        <v/>
      </c>
      <c r="P283" s="81">
        <f>IF('Ordenes_Odoo'!P283="","",'Ordenes_Odoo'!P283)</f>
        <v/>
      </c>
      <c r="Q283" s="79">
        <f>IF(A283="","",IFERROR(INDEX(Facturas_Odoo!$B:$B, MATCH(A283, Facturas_Odoo!$D:$D, 0)), "Sin Factura"))</f>
        <v/>
      </c>
      <c r="R283" s="80">
        <f>IF(Q283="Sin Factura","",IFERROR(INDEX(Facturas_Odoo!$A:$A, MATCH(Q283, Facturas_Odoo!$B:$B, 0)), ""))</f>
        <v/>
      </c>
      <c r="S283" s="79">
        <f>IF(Q283="Sin Factura","",IFERROR(_xlfn.XLOOKUP(1, (Facturas_Odoo!$D:$D=A283) * (Facturas_Odoo!$K:$K=I283), Facturas_Odoo!$L:$L, ""), ""))</f>
        <v/>
      </c>
      <c r="T283" s="81">
        <f>IF(Q283="Sin Factura",0,IFERROR(_xlfn.XLOOKUP(1, (Facturas_Odoo!$D:$D=A283) * (Facturas_Odoo!$K:$K=I283), Facturas_Odoo!$M:$M, 0), 0))</f>
        <v/>
      </c>
      <c r="U283" s="79">
        <f>IF(Q283="Sin Factura",0,IFERROR(_xlfn.XLOOKUP(1, (Facturas_Odoo!$D:$D=A283) * (Facturas_Odoo!$K:$K=I283), Facturas_Odoo!$N:$N, 0), 0))</f>
        <v/>
      </c>
      <c r="V283" s="79">
        <f>IF(Q283="Sin Factura",0,IFERROR(_xlfn.XLOOKUP(1, (Facturas_Odoo!$D:$D=A283) * (Facturas_Odoo!$K:$K=I283), Facturas_Odoo!$O:$O, 0), 0))</f>
        <v/>
      </c>
      <c r="W283" s="81">
        <f>IF(Q283="Sin Factura",0,IFERROR(_xlfn.XLOOKUP(1, (Facturas_Odoo!$D:$D=A283) * (Facturas_Odoo!$K:$K=I283), Facturas_Odoo!$Q:$Q, 0), 0))</f>
        <v/>
      </c>
      <c r="X283" s="79">
        <f>IF(OR(Q283="Sin Factura",Q283=""),"",IFERROR(INDEX(Pagos_Odoo!$B:$B, MATCH(Q283, Pagos_Odoo!$I:$I, 0)), "Sin Pago"))</f>
        <v/>
      </c>
      <c r="Y283" s="79">
        <f>IF(X283="Sin Pago","",IFERROR(INDEX(Pagos_Odoo!$C:$C, MATCH(X283, Pagos_Odoo!$B:$B, 0)), ""))</f>
        <v/>
      </c>
      <c r="Z283" s="80">
        <f>IF(X283="Sin Pago","",IFERROR(INDEX(Pagos_Odoo!$A:$A, MATCH(X283, Pagos_Odoo!$B:$B, 0)), ""))</f>
        <v/>
      </c>
      <c r="AA283" s="79">
        <f>IF(X283="Sin Pago","",IFERROR(INDEX(Pagos_Odoo!$F:$F, MATCH(X283, Pagos_Odoo!$B:$B, 0)), ""))</f>
        <v/>
      </c>
      <c r="AB283" s="81">
        <f>IF(X283="Sin Pago",0,IFERROR(INDEX(Pagos_Odoo!$E:$E, MATCH(X283, Pagos_Odoo!$B:$B, 0)), 0))</f>
        <v/>
      </c>
      <c r="AC283" s="79">
        <f>IF(X283="Sin Pago","",IFERROR(INDEX(Pagos_Odoo!$G:$G, MATCH(X283, Pagos_Odoo!$B:$B, 0)), ""))</f>
        <v/>
      </c>
      <c r="AD283" s="82" t="n">
        <v>0</v>
      </c>
      <c r="AE283" s="82" t="n"/>
      <c r="AF283" s="82" t="n"/>
      <c r="AG283" s="82">
        <f>IF(AN283="","",AD283+AE283+AF283)</f>
        <v/>
      </c>
      <c r="AH283" s="81">
        <f>IF(AN283="","",P283*(1-AG283))</f>
        <v/>
      </c>
      <c r="AI283" s="81">
        <f>IF(AN283="","",IF(Q283="Sin Factura",0,IFERROR(INDEX(Facturas_Odoo!$H:$H, MATCH(Q283, Facturas_Odoo!$B:$B, 0)), 0)*(1-AG283)))</f>
        <v/>
      </c>
      <c r="AJ283" s="81">
        <f>IF(AN283="","",_xlfn.LET(idVenta, AN283&amp;"",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3" s="81">
        <f>IF(AN283="","",AH283-AJ283)</f>
        <v/>
      </c>
      <c r="AL283" s="81">
        <f>IF(AN283="","",IF(Q283="Sin Factura","",AI283-AJ283))</f>
        <v/>
      </c>
      <c r="AM283" s="81">
        <f>IF(AN283="","",IF(Q283="Sin Factura",0,P283-IFERROR(INDEX(Facturas_Odoo!$H:$H, MATCH(Q283, Facturas_Odoo!$B:$B, 0)), 0)))</f>
        <v/>
      </c>
      <c r="AN283" s="79">
        <f>IF(AND(A283="", J283=""), "", IF(A283&lt;&gt;"", VALUE(MID(A283,2,LEN(A283))), AN282))</f>
        <v/>
      </c>
      <c r="AO283" s="79">
        <f>IF(AN283="","",IF(AD283=0,"OK",_xlfn.LET(monedaPago, IF(AA283="","USD",AA283), limitePermitido, IFERROR(VLOOKUP(monedaPago, Configuración!$A$2:$B$3, 2, FALSE), 0.15), IF(AD283&gt;limitePermitido, "ALERTA: EXCESO (" &amp; TEXT(limitePermitido, "0%") &amp; " máx)", "OK"))))</f>
        <v/>
      </c>
      <c r="AP283" s="79">
        <f>IF(AN283="","",IF(AE283=0,"OK",_xlfn.LET(fechaPago, Z283, fechaFactura, R283, diasCredito, IF(E283="Pago inmediato", 0, IFERROR(VALUE(MID(E283, 1, SEARCH(" ", E283)-1)),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3" s="79">
        <f>IF(AN283="","",IF(AND(N283&gt;0, AG283&gt;0), IF(Configuración!$K$2="NO", "ALERTA: DESCUENTO DOBLE NO PERMITIDO", "OK"), "OK"))</f>
        <v/>
      </c>
      <c r="AR283" s="79">
        <f>IF(AN283="","",IF(OR(AO283&lt;&gt;"OK", AP283&lt;&gt;"OK", AQ283&lt;&gt;"OK"), "⚠️ REVISAR", "OK"))</f>
        <v/>
      </c>
    </row>
    <row r="284">
      <c r="A284" s="79">
        <f>IF('Ordenes_Odoo'!A284="","",'Ordenes_Odoo'!A284)</f>
        <v/>
      </c>
      <c r="B284" s="80">
        <f>IF('Ordenes_Odoo'!B284="","",'Ordenes_Odoo'!B284)</f>
        <v/>
      </c>
      <c r="C284" s="79">
        <f>IF('Ordenes_Odoo'!C284="","",'Ordenes_Odoo'!C284)</f>
        <v/>
      </c>
      <c r="D284" s="79">
        <f>IF('Ordenes_Odoo'!D284="","",'Ordenes_Odoo'!D284)</f>
        <v/>
      </c>
      <c r="E284" s="79">
        <f>IF('Ordenes_Odoo'!E284="","",'Ordenes_Odoo'!E284)</f>
        <v/>
      </c>
      <c r="F284" s="79">
        <f>IF('Ordenes_Odoo'!F284="","",'Ordenes_Odoo'!F284)</f>
        <v/>
      </c>
      <c r="G284" s="79">
        <f>IF('Ordenes_Odoo'!G284="","",'Ordenes_Odoo'!G284)</f>
        <v/>
      </c>
      <c r="H284" s="79">
        <f>IF('Ordenes_Odoo'!H284="","",'Ordenes_Odoo'!H284)</f>
        <v/>
      </c>
      <c r="I284" s="79">
        <f>IF('Ordenes_Odoo'!I284="","",'Ordenes_Odoo'!I284)</f>
        <v/>
      </c>
      <c r="J284" s="79">
        <f>IF('Ordenes_Odoo'!J284="","",'Ordenes_Odoo'!J284)</f>
        <v/>
      </c>
      <c r="K284" s="81">
        <f>IF('Ordenes_Odoo'!K284="","",'Ordenes_Odoo'!K284)</f>
        <v/>
      </c>
      <c r="L284" s="81">
        <f>IF('Ordenes_Odoo'!L284="","",'Ordenes_Odoo'!L284)</f>
        <v/>
      </c>
      <c r="M284" s="79">
        <f>IF('Ordenes_Odoo'!M284="","",'Ordenes_Odoo'!M284)</f>
        <v/>
      </c>
      <c r="N284" s="79">
        <f>IF('Ordenes_Odoo'!N284="","",'Ordenes_Odoo'!N284)</f>
        <v/>
      </c>
      <c r="O284" s="81">
        <f>IF('Ordenes_Odoo'!O284="","",'Ordenes_Odoo'!O284)</f>
        <v/>
      </c>
      <c r="P284" s="81">
        <f>IF('Ordenes_Odoo'!P284="","",'Ordenes_Odoo'!P284)</f>
        <v/>
      </c>
      <c r="Q284" s="79">
        <f>IF(A284="","",IFERROR(INDEX(Facturas_Odoo!$B:$B, MATCH(A284, Facturas_Odoo!$D:$D, 0)), "Sin Factura"))</f>
        <v/>
      </c>
      <c r="R284" s="80">
        <f>IF(Q284="Sin Factura","",IFERROR(INDEX(Facturas_Odoo!$A:$A, MATCH(Q284, Facturas_Odoo!$B:$B, 0)), ""))</f>
        <v/>
      </c>
      <c r="S284" s="79">
        <f>IF(Q284="Sin Factura","",IFERROR(_xlfn.XLOOKUP(1, (Facturas_Odoo!$D:$D=A284) * (Facturas_Odoo!$K:$K=I284), Facturas_Odoo!$L:$L, ""), ""))</f>
        <v/>
      </c>
      <c r="T284" s="81">
        <f>IF(Q284="Sin Factura",0,IFERROR(_xlfn.XLOOKUP(1, (Facturas_Odoo!$D:$D=A284) * (Facturas_Odoo!$K:$K=I284), Facturas_Odoo!$M:$M, 0), 0))</f>
        <v/>
      </c>
      <c r="U284" s="79">
        <f>IF(Q284="Sin Factura",0,IFERROR(_xlfn.XLOOKUP(1, (Facturas_Odoo!$D:$D=A284) * (Facturas_Odoo!$K:$K=I284), Facturas_Odoo!$N:$N, 0), 0))</f>
        <v/>
      </c>
      <c r="V284" s="79">
        <f>IF(Q284="Sin Factura",0,IFERROR(_xlfn.XLOOKUP(1, (Facturas_Odoo!$D:$D=A284) * (Facturas_Odoo!$K:$K=I284), Facturas_Odoo!$O:$O, 0), 0))</f>
        <v/>
      </c>
      <c r="W284" s="81">
        <f>IF(Q284="Sin Factura",0,IFERROR(_xlfn.XLOOKUP(1, (Facturas_Odoo!$D:$D=A284) * (Facturas_Odoo!$K:$K=I284), Facturas_Odoo!$Q:$Q, 0), 0))</f>
        <v/>
      </c>
      <c r="X284" s="79">
        <f>IF(OR(Q284="Sin Factura",Q284=""),"",IFERROR(INDEX(Pagos_Odoo!$B:$B, MATCH(Q284, Pagos_Odoo!$I:$I, 0)), "Sin Pago"))</f>
        <v/>
      </c>
      <c r="Y284" s="79">
        <f>IF(X284="Sin Pago","",IFERROR(INDEX(Pagos_Odoo!$C:$C, MATCH(X284, Pagos_Odoo!$B:$B, 0)), ""))</f>
        <v/>
      </c>
      <c r="Z284" s="80">
        <f>IF(X284="Sin Pago","",IFERROR(INDEX(Pagos_Odoo!$A:$A, MATCH(X284, Pagos_Odoo!$B:$B, 0)), ""))</f>
        <v/>
      </c>
      <c r="AA284" s="79">
        <f>IF(X284="Sin Pago","",IFERROR(INDEX(Pagos_Odoo!$F:$F, MATCH(X284, Pagos_Odoo!$B:$B, 0)), ""))</f>
        <v/>
      </c>
      <c r="AB284" s="81">
        <f>IF(X284="Sin Pago",0,IFERROR(INDEX(Pagos_Odoo!$E:$E, MATCH(X284, Pagos_Odoo!$B:$B, 0)), 0))</f>
        <v/>
      </c>
      <c r="AC284" s="79">
        <f>IF(X284="Sin Pago","",IFERROR(INDEX(Pagos_Odoo!$G:$G, MATCH(X284, Pagos_Odoo!$B:$B, 0)), ""))</f>
        <v/>
      </c>
      <c r="AD284" s="82" t="n">
        <v>0</v>
      </c>
      <c r="AE284" s="82" t="n"/>
      <c r="AF284" s="82" t="n"/>
      <c r="AG284" s="82">
        <f>IF(AN284="","",AD284+AE284+AF284)</f>
        <v/>
      </c>
      <c r="AH284" s="81">
        <f>IF(AN284="","",P284*(1-AG284))</f>
        <v/>
      </c>
      <c r="AI284" s="81">
        <f>IF(AN284="","",IF(Q284="Sin Factura",0,IFERROR(INDEX(Facturas_Odoo!$H:$H, MATCH(Q284, Facturas_Odoo!$B:$B, 0)), 0)*(1-AG284)))</f>
        <v/>
      </c>
      <c r="AJ284" s="81">
        <f>IF(AN284="","",_xlfn.LET(idVenta, AN284&amp;"",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4" s="81">
        <f>IF(AN284="","",AH284-AJ284)</f>
        <v/>
      </c>
      <c r="AL284" s="81">
        <f>IF(AN284="","",IF(Q284="Sin Factura","",AI284-AJ284))</f>
        <v/>
      </c>
      <c r="AM284" s="81">
        <f>IF(AN284="","",IF(Q284="Sin Factura",0,P284-IFERROR(INDEX(Facturas_Odoo!$H:$H, MATCH(Q284, Facturas_Odoo!$B:$B, 0)), 0)))</f>
        <v/>
      </c>
      <c r="AN284" s="79">
        <f>IF(AND(A284="", J284=""), "", IF(A284&lt;&gt;"", VALUE(MID(A284,2,LEN(A284))), AN283))</f>
        <v/>
      </c>
      <c r="AO284" s="79">
        <f>IF(AN284="","",IF(AD284=0,"OK",_xlfn.LET(monedaPago, IF(AA284="","USD",AA284), limitePermitido, IFERROR(VLOOKUP(monedaPago, Configuración!$A$2:$B$3, 2, FALSE), 0.15), IF(AD284&gt;limitePermitido, "ALERTA: EXCESO (" &amp; TEXT(limitePermitido, "0%") &amp; " máx)", "OK"))))</f>
        <v/>
      </c>
      <c r="AP284" s="79">
        <f>IF(AN284="","",IF(AE284=0,"OK",_xlfn.LET(fechaPago, Z284, fechaFactura, R284, diasCredito, IF(E284="Pago inmediato", 0, IFERROR(VALUE(MID(E284, 1, SEARCH(" ", E284)-1)),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4" s="79">
        <f>IF(AN284="","",IF(AND(N284&gt;0, AG284&gt;0), IF(Configuración!$K$2="NO", "ALERTA: DESCUENTO DOBLE NO PERMITIDO", "OK"), "OK"))</f>
        <v/>
      </c>
      <c r="AR284" s="79">
        <f>IF(AN284="","",IF(OR(AO284&lt;&gt;"OK", AP284&lt;&gt;"OK", AQ284&lt;&gt;"OK"), "⚠️ REVISAR", "OK"))</f>
        <v/>
      </c>
    </row>
    <row r="285">
      <c r="A285" s="79">
        <f>IF('Ordenes_Odoo'!A285="","",'Ordenes_Odoo'!A285)</f>
        <v/>
      </c>
      <c r="B285" s="80">
        <f>IF('Ordenes_Odoo'!B285="","",'Ordenes_Odoo'!B285)</f>
        <v/>
      </c>
      <c r="C285" s="79">
        <f>IF('Ordenes_Odoo'!C285="","",'Ordenes_Odoo'!C285)</f>
        <v/>
      </c>
      <c r="D285" s="79">
        <f>IF('Ordenes_Odoo'!D285="","",'Ordenes_Odoo'!D285)</f>
        <v/>
      </c>
      <c r="E285" s="79">
        <f>IF('Ordenes_Odoo'!E285="","",'Ordenes_Odoo'!E285)</f>
        <v/>
      </c>
      <c r="F285" s="79">
        <f>IF('Ordenes_Odoo'!F285="","",'Ordenes_Odoo'!F285)</f>
        <v/>
      </c>
      <c r="G285" s="79">
        <f>IF('Ordenes_Odoo'!G285="","",'Ordenes_Odoo'!G285)</f>
        <v/>
      </c>
      <c r="H285" s="79">
        <f>IF('Ordenes_Odoo'!H285="","",'Ordenes_Odoo'!H285)</f>
        <v/>
      </c>
      <c r="I285" s="79">
        <f>IF('Ordenes_Odoo'!I285="","",'Ordenes_Odoo'!I285)</f>
        <v/>
      </c>
      <c r="J285" s="79">
        <f>IF('Ordenes_Odoo'!J285="","",'Ordenes_Odoo'!J285)</f>
        <v/>
      </c>
      <c r="K285" s="81">
        <f>IF('Ordenes_Odoo'!K285="","",'Ordenes_Odoo'!K285)</f>
        <v/>
      </c>
      <c r="L285" s="81">
        <f>IF('Ordenes_Odoo'!L285="","",'Ordenes_Odoo'!L285)</f>
        <v/>
      </c>
      <c r="M285" s="79">
        <f>IF('Ordenes_Odoo'!M285="","",'Ordenes_Odoo'!M285)</f>
        <v/>
      </c>
      <c r="N285" s="79">
        <f>IF('Ordenes_Odoo'!N285="","",'Ordenes_Odoo'!N285)</f>
        <v/>
      </c>
      <c r="O285" s="81">
        <f>IF('Ordenes_Odoo'!O285="","",'Ordenes_Odoo'!O285)</f>
        <v/>
      </c>
      <c r="P285" s="81">
        <f>IF('Ordenes_Odoo'!P285="","",'Ordenes_Odoo'!P285)</f>
        <v/>
      </c>
      <c r="Q285" s="79">
        <f>IF(A285="","",IFERROR(INDEX(Facturas_Odoo!$B:$B, MATCH(A285, Facturas_Odoo!$D:$D, 0)), "Sin Factura"))</f>
        <v/>
      </c>
      <c r="R285" s="80">
        <f>IF(Q285="Sin Factura","",IFERROR(INDEX(Facturas_Odoo!$A:$A, MATCH(Q285, Facturas_Odoo!$B:$B, 0)), ""))</f>
        <v/>
      </c>
      <c r="S285" s="79">
        <f>IF(Q285="Sin Factura","",IFERROR(_xlfn.XLOOKUP(1, (Facturas_Odoo!$D:$D=A285) * (Facturas_Odoo!$K:$K=I285), Facturas_Odoo!$L:$L, ""), ""))</f>
        <v/>
      </c>
      <c r="T285" s="81">
        <f>IF(Q285="Sin Factura",0,IFERROR(_xlfn.XLOOKUP(1, (Facturas_Odoo!$D:$D=A285) * (Facturas_Odoo!$K:$K=I285), Facturas_Odoo!$M:$M, 0), 0))</f>
        <v/>
      </c>
      <c r="U285" s="79">
        <f>IF(Q285="Sin Factura",0,IFERROR(_xlfn.XLOOKUP(1, (Facturas_Odoo!$D:$D=A285) * (Facturas_Odoo!$K:$K=I285), Facturas_Odoo!$N:$N, 0), 0))</f>
        <v/>
      </c>
      <c r="V285" s="79">
        <f>IF(Q285="Sin Factura",0,IFERROR(_xlfn.XLOOKUP(1, (Facturas_Odoo!$D:$D=A285) * (Facturas_Odoo!$K:$K=I285), Facturas_Odoo!$O:$O, 0), 0))</f>
        <v/>
      </c>
      <c r="W285" s="81">
        <f>IF(Q285="Sin Factura",0,IFERROR(_xlfn.XLOOKUP(1, (Facturas_Odoo!$D:$D=A285) * (Facturas_Odoo!$K:$K=I285), Facturas_Odoo!$Q:$Q, 0), 0))</f>
        <v/>
      </c>
      <c r="X285" s="79">
        <f>IF(OR(Q285="Sin Factura",Q285=""),"",IFERROR(INDEX(Pagos_Odoo!$B:$B, MATCH(Q285, Pagos_Odoo!$I:$I, 0)), "Sin Pago"))</f>
        <v/>
      </c>
      <c r="Y285" s="79">
        <f>IF(X285="Sin Pago","",IFERROR(INDEX(Pagos_Odoo!$C:$C, MATCH(X285, Pagos_Odoo!$B:$B, 0)), ""))</f>
        <v/>
      </c>
      <c r="Z285" s="80">
        <f>IF(X285="Sin Pago","",IFERROR(INDEX(Pagos_Odoo!$A:$A, MATCH(X285, Pagos_Odoo!$B:$B, 0)), ""))</f>
        <v/>
      </c>
      <c r="AA285" s="79">
        <f>IF(X285="Sin Pago","",IFERROR(INDEX(Pagos_Odoo!$F:$F, MATCH(X285, Pagos_Odoo!$B:$B, 0)), ""))</f>
        <v/>
      </c>
      <c r="AB285" s="81">
        <f>IF(X285="Sin Pago",0,IFERROR(INDEX(Pagos_Odoo!$E:$E, MATCH(X285, Pagos_Odoo!$B:$B, 0)), 0))</f>
        <v/>
      </c>
      <c r="AC285" s="79">
        <f>IF(X285="Sin Pago","",IFERROR(INDEX(Pagos_Odoo!$G:$G, MATCH(X285, Pagos_Odoo!$B:$B, 0)), ""))</f>
        <v/>
      </c>
      <c r="AD285" s="82" t="n">
        <v>0</v>
      </c>
      <c r="AE285" s="82" t="n"/>
      <c r="AF285" s="82" t="n"/>
      <c r="AG285" s="82">
        <f>IF(AN285="","",AD285+AE285+AF285)</f>
        <v/>
      </c>
      <c r="AH285" s="81">
        <f>IF(AN285="","",P285*(1-AG285))</f>
        <v/>
      </c>
      <c r="AI285" s="81">
        <f>IF(AN285="","",IF(Q285="Sin Factura",0,IFERROR(INDEX(Facturas_Odoo!$H:$H, MATCH(Q285, Facturas_Odoo!$B:$B, 0)), 0)*(1-AG285)))</f>
        <v/>
      </c>
      <c r="AJ285" s="81">
        <f>IF(AN285="","",_xlfn.LET(idVenta, AN285&amp;"",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5" s="81">
        <f>IF(AN285="","",AH285-AJ285)</f>
        <v/>
      </c>
      <c r="AL285" s="81">
        <f>IF(AN285="","",IF(Q285="Sin Factura","",AI285-AJ285))</f>
        <v/>
      </c>
      <c r="AM285" s="81">
        <f>IF(AN285="","",IF(Q285="Sin Factura",0,P285-IFERROR(INDEX(Facturas_Odoo!$H:$H, MATCH(Q285, Facturas_Odoo!$B:$B, 0)), 0)))</f>
        <v/>
      </c>
      <c r="AN285" s="79">
        <f>IF(AND(A285="", J285=""), "", IF(A285&lt;&gt;"", VALUE(MID(A285,2,LEN(A285))), AN284))</f>
        <v/>
      </c>
      <c r="AO285" s="79">
        <f>IF(AN285="","",IF(AD285=0,"OK",_xlfn.LET(monedaPago, IF(AA285="","USD",AA285), limitePermitido, IFERROR(VLOOKUP(monedaPago, Configuración!$A$2:$B$3, 2, FALSE), 0.15), IF(AD285&gt;limitePermitido, "ALERTA: EXCESO (" &amp; TEXT(limitePermitido, "0%") &amp; " máx)", "OK"))))</f>
        <v/>
      </c>
      <c r="AP285" s="79">
        <f>IF(AN285="","",IF(AE285=0,"OK",_xlfn.LET(fechaPago, Z285, fechaFactura, R285, diasCredito, IF(E285="Pago inmediato", 0, IFERROR(VALUE(MID(E285, 1, SEARCH(" ", E285)-1)),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5" s="79">
        <f>IF(AN285="","",IF(AND(N285&gt;0, AG285&gt;0), IF(Configuración!$K$2="NO", "ALERTA: DESCUENTO DOBLE NO PERMITIDO", "OK"), "OK"))</f>
        <v/>
      </c>
      <c r="AR285" s="79">
        <f>IF(AN285="","",IF(OR(AO285&lt;&gt;"OK", AP285&lt;&gt;"OK", AQ285&lt;&gt;"OK"), "⚠️ REVISAR", "OK"))</f>
        <v/>
      </c>
    </row>
    <row r="286">
      <c r="A286" s="79">
        <f>IF('Ordenes_Odoo'!A286="","",'Ordenes_Odoo'!A286)</f>
        <v/>
      </c>
      <c r="B286" s="80">
        <f>IF('Ordenes_Odoo'!B286="","",'Ordenes_Odoo'!B286)</f>
        <v/>
      </c>
      <c r="C286" s="79">
        <f>IF('Ordenes_Odoo'!C286="","",'Ordenes_Odoo'!C286)</f>
        <v/>
      </c>
      <c r="D286" s="79">
        <f>IF('Ordenes_Odoo'!D286="","",'Ordenes_Odoo'!D286)</f>
        <v/>
      </c>
      <c r="E286" s="79">
        <f>IF('Ordenes_Odoo'!E286="","",'Ordenes_Odoo'!E286)</f>
        <v/>
      </c>
      <c r="F286" s="79">
        <f>IF('Ordenes_Odoo'!F286="","",'Ordenes_Odoo'!F286)</f>
        <v/>
      </c>
      <c r="G286" s="79">
        <f>IF('Ordenes_Odoo'!G286="","",'Ordenes_Odoo'!G286)</f>
        <v/>
      </c>
      <c r="H286" s="79">
        <f>IF('Ordenes_Odoo'!H286="","",'Ordenes_Odoo'!H286)</f>
        <v/>
      </c>
      <c r="I286" s="79">
        <f>IF('Ordenes_Odoo'!I286="","",'Ordenes_Odoo'!I286)</f>
        <v/>
      </c>
      <c r="J286" s="79">
        <f>IF('Ordenes_Odoo'!J286="","",'Ordenes_Odoo'!J286)</f>
        <v/>
      </c>
      <c r="K286" s="81">
        <f>IF('Ordenes_Odoo'!K286="","",'Ordenes_Odoo'!K286)</f>
        <v/>
      </c>
      <c r="L286" s="81">
        <f>IF('Ordenes_Odoo'!L286="","",'Ordenes_Odoo'!L286)</f>
        <v/>
      </c>
      <c r="M286" s="79">
        <f>IF('Ordenes_Odoo'!M286="","",'Ordenes_Odoo'!M286)</f>
        <v/>
      </c>
      <c r="N286" s="79">
        <f>IF('Ordenes_Odoo'!N286="","",'Ordenes_Odoo'!N286)</f>
        <v/>
      </c>
      <c r="O286" s="81">
        <f>IF('Ordenes_Odoo'!O286="","",'Ordenes_Odoo'!O286)</f>
        <v/>
      </c>
      <c r="P286" s="81">
        <f>IF('Ordenes_Odoo'!P286="","",'Ordenes_Odoo'!P286)</f>
        <v/>
      </c>
      <c r="Q286" s="79">
        <f>IF(A286="","",IFERROR(INDEX(Facturas_Odoo!$B:$B, MATCH(A286, Facturas_Odoo!$D:$D, 0)), "Sin Factura"))</f>
        <v/>
      </c>
      <c r="R286" s="80">
        <f>IF(Q286="Sin Factura","",IFERROR(INDEX(Facturas_Odoo!$A:$A, MATCH(Q286, Facturas_Odoo!$B:$B, 0)), ""))</f>
        <v/>
      </c>
      <c r="S286" s="79">
        <f>IF(Q286="Sin Factura","",IFERROR(_xlfn.XLOOKUP(1, (Facturas_Odoo!$D:$D=A286) * (Facturas_Odoo!$K:$K=I286), Facturas_Odoo!$L:$L, ""), ""))</f>
        <v/>
      </c>
      <c r="T286" s="81">
        <f>IF(Q286="Sin Factura",0,IFERROR(_xlfn.XLOOKUP(1, (Facturas_Odoo!$D:$D=A286) * (Facturas_Odoo!$K:$K=I286), Facturas_Odoo!$M:$M, 0), 0))</f>
        <v/>
      </c>
      <c r="U286" s="79">
        <f>IF(Q286="Sin Factura",0,IFERROR(_xlfn.XLOOKUP(1, (Facturas_Odoo!$D:$D=A286) * (Facturas_Odoo!$K:$K=I286), Facturas_Odoo!$N:$N, 0), 0))</f>
        <v/>
      </c>
      <c r="V286" s="79">
        <f>IF(Q286="Sin Factura",0,IFERROR(_xlfn.XLOOKUP(1, (Facturas_Odoo!$D:$D=A286) * (Facturas_Odoo!$K:$K=I286), Facturas_Odoo!$O:$O, 0), 0))</f>
        <v/>
      </c>
      <c r="W286" s="81">
        <f>IF(Q286="Sin Factura",0,IFERROR(_xlfn.XLOOKUP(1, (Facturas_Odoo!$D:$D=A286) * (Facturas_Odoo!$K:$K=I286), Facturas_Odoo!$Q:$Q, 0), 0))</f>
        <v/>
      </c>
      <c r="X286" s="79">
        <f>IF(OR(Q286="Sin Factura",Q286=""),"",IFERROR(INDEX(Pagos_Odoo!$B:$B, MATCH(Q286, Pagos_Odoo!$I:$I, 0)), "Sin Pago"))</f>
        <v/>
      </c>
      <c r="Y286" s="79">
        <f>IF(X286="Sin Pago","",IFERROR(INDEX(Pagos_Odoo!$C:$C, MATCH(X286, Pagos_Odoo!$B:$B, 0)), ""))</f>
        <v/>
      </c>
      <c r="Z286" s="80">
        <f>IF(X286="Sin Pago","",IFERROR(INDEX(Pagos_Odoo!$A:$A, MATCH(X286, Pagos_Odoo!$B:$B, 0)), ""))</f>
        <v/>
      </c>
      <c r="AA286" s="79">
        <f>IF(X286="Sin Pago","",IFERROR(INDEX(Pagos_Odoo!$F:$F, MATCH(X286, Pagos_Odoo!$B:$B, 0)), ""))</f>
        <v/>
      </c>
      <c r="AB286" s="81">
        <f>IF(X286="Sin Pago",0,IFERROR(INDEX(Pagos_Odoo!$E:$E, MATCH(X286, Pagos_Odoo!$B:$B, 0)), 0))</f>
        <v/>
      </c>
      <c r="AC286" s="79">
        <f>IF(X286="Sin Pago","",IFERROR(INDEX(Pagos_Odoo!$G:$G, MATCH(X286, Pagos_Odoo!$B:$B, 0)), ""))</f>
        <v/>
      </c>
      <c r="AD286" s="82" t="n">
        <v>0</v>
      </c>
      <c r="AE286" s="82" t="n"/>
      <c r="AF286" s="82" t="n"/>
      <c r="AG286" s="82">
        <f>IF(AN286="","",AD286+AE286+AF286)</f>
        <v/>
      </c>
      <c r="AH286" s="81">
        <f>IF(AN286="","",P286*(1-AG286))</f>
        <v/>
      </c>
      <c r="AI286" s="81">
        <f>IF(AN286="","",IF(Q286="Sin Factura",0,IFERROR(INDEX(Facturas_Odoo!$H:$H, MATCH(Q286, Facturas_Odoo!$B:$B, 0)), 0)*(1-AG286)))</f>
        <v/>
      </c>
      <c r="AJ286" s="81">
        <f>IF(AN286="","",_xlfn.LET(idVenta, AN286&amp;"",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6" s="81">
        <f>IF(AN286="","",AH286-AJ286)</f>
        <v/>
      </c>
      <c r="AL286" s="81">
        <f>IF(AN286="","",IF(Q286="Sin Factura","",AI286-AJ286))</f>
        <v/>
      </c>
      <c r="AM286" s="81">
        <f>IF(AN286="","",IF(Q286="Sin Factura",0,P286-IFERROR(INDEX(Facturas_Odoo!$H:$H, MATCH(Q286, Facturas_Odoo!$B:$B, 0)), 0)))</f>
        <v/>
      </c>
      <c r="AN286" s="79">
        <f>IF(AND(A286="", J286=""), "", IF(A286&lt;&gt;"", VALUE(MID(A286,2,LEN(A286))), AN285))</f>
        <v/>
      </c>
      <c r="AO286" s="79">
        <f>IF(AN286="","",IF(AD286=0,"OK",_xlfn.LET(monedaPago, IF(AA286="","USD",AA286), limitePermitido, IFERROR(VLOOKUP(monedaPago, Configuración!$A$2:$B$3, 2, FALSE), 0.15), IF(AD286&gt;limitePermitido, "ALERTA: EXCESO (" &amp; TEXT(limitePermitido, "0%") &amp; " máx)", "OK"))))</f>
        <v/>
      </c>
      <c r="AP286" s="79">
        <f>IF(AN286="","",IF(AE286=0,"OK",_xlfn.LET(fechaPago, Z286, fechaFactura, R286, diasCredito, IF(E286="Pago inmediato", 0, IFERROR(VALUE(MID(E286, 1, SEARCH(" ", E286)-1)),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6" s="79">
        <f>IF(AN286="","",IF(AND(N286&gt;0, AG286&gt;0), IF(Configuración!$K$2="NO", "ALERTA: DESCUENTO DOBLE NO PERMITIDO", "OK"), "OK"))</f>
        <v/>
      </c>
      <c r="AR286" s="79">
        <f>IF(AN286="","",IF(OR(AO286&lt;&gt;"OK", AP286&lt;&gt;"OK", AQ286&lt;&gt;"OK"), "⚠️ REVISAR", "OK"))</f>
        <v/>
      </c>
    </row>
    <row r="287">
      <c r="A287" s="79">
        <f>IF('Ordenes_Odoo'!A287="","",'Ordenes_Odoo'!A287)</f>
        <v/>
      </c>
      <c r="B287" s="80">
        <f>IF('Ordenes_Odoo'!B287="","",'Ordenes_Odoo'!B287)</f>
        <v/>
      </c>
      <c r="C287" s="79">
        <f>IF('Ordenes_Odoo'!C287="","",'Ordenes_Odoo'!C287)</f>
        <v/>
      </c>
      <c r="D287" s="79">
        <f>IF('Ordenes_Odoo'!D287="","",'Ordenes_Odoo'!D287)</f>
        <v/>
      </c>
      <c r="E287" s="79">
        <f>IF('Ordenes_Odoo'!E287="","",'Ordenes_Odoo'!E287)</f>
        <v/>
      </c>
      <c r="F287" s="79">
        <f>IF('Ordenes_Odoo'!F287="","",'Ordenes_Odoo'!F287)</f>
        <v/>
      </c>
      <c r="G287" s="79">
        <f>IF('Ordenes_Odoo'!G287="","",'Ordenes_Odoo'!G287)</f>
        <v/>
      </c>
      <c r="H287" s="79">
        <f>IF('Ordenes_Odoo'!H287="","",'Ordenes_Odoo'!H287)</f>
        <v/>
      </c>
      <c r="I287" s="79">
        <f>IF('Ordenes_Odoo'!I287="","",'Ordenes_Odoo'!I287)</f>
        <v/>
      </c>
      <c r="J287" s="79">
        <f>IF('Ordenes_Odoo'!J287="","",'Ordenes_Odoo'!J287)</f>
        <v/>
      </c>
      <c r="K287" s="81">
        <f>IF('Ordenes_Odoo'!K287="","",'Ordenes_Odoo'!K287)</f>
        <v/>
      </c>
      <c r="L287" s="81">
        <f>IF('Ordenes_Odoo'!L287="","",'Ordenes_Odoo'!L287)</f>
        <v/>
      </c>
      <c r="M287" s="79">
        <f>IF('Ordenes_Odoo'!M287="","",'Ordenes_Odoo'!M287)</f>
        <v/>
      </c>
      <c r="N287" s="79">
        <f>IF('Ordenes_Odoo'!N287="","",'Ordenes_Odoo'!N287)</f>
        <v/>
      </c>
      <c r="O287" s="81">
        <f>IF('Ordenes_Odoo'!O287="","",'Ordenes_Odoo'!O287)</f>
        <v/>
      </c>
      <c r="P287" s="81">
        <f>IF('Ordenes_Odoo'!P287="","",'Ordenes_Odoo'!P287)</f>
        <v/>
      </c>
      <c r="Q287" s="79">
        <f>IF(A287="","",IFERROR(INDEX(Facturas_Odoo!$B:$B, MATCH(A287, Facturas_Odoo!$D:$D, 0)), "Sin Factura"))</f>
        <v/>
      </c>
      <c r="R287" s="80">
        <f>IF(Q287="Sin Factura","",IFERROR(INDEX(Facturas_Odoo!$A:$A, MATCH(Q287, Facturas_Odoo!$B:$B, 0)), ""))</f>
        <v/>
      </c>
      <c r="S287" s="79">
        <f>IF(Q287="Sin Factura","",IFERROR(_xlfn.XLOOKUP(1, (Facturas_Odoo!$D:$D=A287) * (Facturas_Odoo!$K:$K=I287), Facturas_Odoo!$L:$L, ""), ""))</f>
        <v/>
      </c>
      <c r="T287" s="81">
        <f>IF(Q287="Sin Factura",0,IFERROR(_xlfn.XLOOKUP(1, (Facturas_Odoo!$D:$D=A287) * (Facturas_Odoo!$K:$K=I287), Facturas_Odoo!$M:$M, 0), 0))</f>
        <v/>
      </c>
      <c r="U287" s="79">
        <f>IF(Q287="Sin Factura",0,IFERROR(_xlfn.XLOOKUP(1, (Facturas_Odoo!$D:$D=A287) * (Facturas_Odoo!$K:$K=I287), Facturas_Odoo!$N:$N, 0), 0))</f>
        <v/>
      </c>
      <c r="V287" s="79">
        <f>IF(Q287="Sin Factura",0,IFERROR(_xlfn.XLOOKUP(1, (Facturas_Odoo!$D:$D=A287) * (Facturas_Odoo!$K:$K=I287), Facturas_Odoo!$O:$O, 0), 0))</f>
        <v/>
      </c>
      <c r="W287" s="81">
        <f>IF(Q287="Sin Factura",0,IFERROR(_xlfn.XLOOKUP(1, (Facturas_Odoo!$D:$D=A287) * (Facturas_Odoo!$K:$K=I287), Facturas_Odoo!$Q:$Q, 0), 0))</f>
        <v/>
      </c>
      <c r="X287" s="79">
        <f>IF(OR(Q287="Sin Factura",Q287=""),"",IFERROR(INDEX(Pagos_Odoo!$B:$B, MATCH(Q287, Pagos_Odoo!$I:$I, 0)), "Sin Pago"))</f>
        <v/>
      </c>
      <c r="Y287" s="79">
        <f>IF(X287="Sin Pago","",IFERROR(INDEX(Pagos_Odoo!$C:$C, MATCH(X287, Pagos_Odoo!$B:$B, 0)), ""))</f>
        <v/>
      </c>
      <c r="Z287" s="80">
        <f>IF(X287="Sin Pago","",IFERROR(INDEX(Pagos_Odoo!$A:$A, MATCH(X287, Pagos_Odoo!$B:$B, 0)), ""))</f>
        <v/>
      </c>
      <c r="AA287" s="79">
        <f>IF(X287="Sin Pago","",IFERROR(INDEX(Pagos_Odoo!$F:$F, MATCH(X287, Pagos_Odoo!$B:$B, 0)), ""))</f>
        <v/>
      </c>
      <c r="AB287" s="81">
        <f>IF(X287="Sin Pago",0,IFERROR(INDEX(Pagos_Odoo!$E:$E, MATCH(X287, Pagos_Odoo!$B:$B, 0)), 0))</f>
        <v/>
      </c>
      <c r="AC287" s="79">
        <f>IF(X287="Sin Pago","",IFERROR(INDEX(Pagos_Odoo!$G:$G, MATCH(X287, Pagos_Odoo!$B:$B, 0)), ""))</f>
        <v/>
      </c>
      <c r="AD287" s="82" t="n">
        <v>0</v>
      </c>
      <c r="AE287" s="82" t="n"/>
      <c r="AF287" s="82" t="n"/>
      <c r="AG287" s="82">
        <f>IF(AN287="","",AD287+AE287+AF287)</f>
        <v/>
      </c>
      <c r="AH287" s="81">
        <f>IF(AN287="","",P287*(1-AG287))</f>
        <v/>
      </c>
      <c r="AI287" s="81">
        <f>IF(AN287="","",IF(Q287="Sin Factura",0,IFERROR(INDEX(Facturas_Odoo!$H:$H, MATCH(Q287, Facturas_Odoo!$B:$B, 0)), 0)*(1-AG287)))</f>
        <v/>
      </c>
      <c r="AJ287" s="81">
        <f>IF(AN287="","",_xlfn.LET(idVenta, AN287&amp;"",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7" s="81">
        <f>IF(AN287="","",AH287-AJ287)</f>
        <v/>
      </c>
      <c r="AL287" s="81">
        <f>IF(AN287="","",IF(Q287="Sin Factura","",AI287-AJ287))</f>
        <v/>
      </c>
      <c r="AM287" s="81">
        <f>IF(AN287="","",IF(Q287="Sin Factura",0,P287-IFERROR(INDEX(Facturas_Odoo!$H:$H, MATCH(Q287, Facturas_Odoo!$B:$B, 0)), 0)))</f>
        <v/>
      </c>
      <c r="AN287" s="79">
        <f>IF(AND(A287="", J287=""), "", IF(A287&lt;&gt;"", VALUE(MID(A287,2,LEN(A287))), AN286))</f>
        <v/>
      </c>
      <c r="AO287" s="79">
        <f>IF(AN287="","",IF(AD287=0,"OK",_xlfn.LET(monedaPago, IF(AA287="","USD",AA287), limitePermitido, IFERROR(VLOOKUP(monedaPago, Configuración!$A$2:$B$3, 2, FALSE), 0.15), IF(AD287&gt;limitePermitido, "ALERTA: EXCESO (" &amp; TEXT(limitePermitido, "0%") &amp; " máx)", "OK"))))</f>
        <v/>
      </c>
      <c r="AP287" s="79">
        <f>IF(AN287="","",IF(AE287=0,"OK",_xlfn.LET(fechaPago, Z287, fechaFactura, R287, diasCredito, IF(E287="Pago inmediato", 0, IFERROR(VALUE(MID(E287, 1, SEARCH(" ", E287)-1)),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7" s="79">
        <f>IF(AN287="","",IF(AND(N287&gt;0, AG287&gt;0), IF(Configuración!$K$2="NO", "ALERTA: DESCUENTO DOBLE NO PERMITIDO", "OK"), "OK"))</f>
        <v/>
      </c>
      <c r="AR287" s="79">
        <f>IF(AN287="","",IF(OR(AO287&lt;&gt;"OK", AP287&lt;&gt;"OK", AQ287&lt;&gt;"OK"), "⚠️ REVISAR", "OK"))</f>
        <v/>
      </c>
    </row>
    <row r="288">
      <c r="A288" s="79">
        <f>IF('Ordenes_Odoo'!A288="","",'Ordenes_Odoo'!A288)</f>
        <v/>
      </c>
      <c r="B288" s="80">
        <f>IF('Ordenes_Odoo'!B288="","",'Ordenes_Odoo'!B288)</f>
        <v/>
      </c>
      <c r="C288" s="79">
        <f>IF('Ordenes_Odoo'!C288="","",'Ordenes_Odoo'!C288)</f>
        <v/>
      </c>
      <c r="D288" s="79">
        <f>IF('Ordenes_Odoo'!D288="","",'Ordenes_Odoo'!D288)</f>
        <v/>
      </c>
      <c r="E288" s="79">
        <f>IF('Ordenes_Odoo'!E288="","",'Ordenes_Odoo'!E288)</f>
        <v/>
      </c>
      <c r="F288" s="79">
        <f>IF('Ordenes_Odoo'!F288="","",'Ordenes_Odoo'!F288)</f>
        <v/>
      </c>
      <c r="G288" s="79">
        <f>IF('Ordenes_Odoo'!G288="","",'Ordenes_Odoo'!G288)</f>
        <v/>
      </c>
      <c r="H288" s="79">
        <f>IF('Ordenes_Odoo'!H288="","",'Ordenes_Odoo'!H288)</f>
        <v/>
      </c>
      <c r="I288" s="79">
        <f>IF('Ordenes_Odoo'!I288="","",'Ordenes_Odoo'!I288)</f>
        <v/>
      </c>
      <c r="J288" s="79">
        <f>IF('Ordenes_Odoo'!J288="","",'Ordenes_Odoo'!J288)</f>
        <v/>
      </c>
      <c r="K288" s="81">
        <f>IF('Ordenes_Odoo'!K288="","",'Ordenes_Odoo'!K288)</f>
        <v/>
      </c>
      <c r="L288" s="81">
        <f>IF('Ordenes_Odoo'!L288="","",'Ordenes_Odoo'!L288)</f>
        <v/>
      </c>
      <c r="M288" s="79">
        <f>IF('Ordenes_Odoo'!M288="","",'Ordenes_Odoo'!M288)</f>
        <v/>
      </c>
      <c r="N288" s="79">
        <f>IF('Ordenes_Odoo'!N288="","",'Ordenes_Odoo'!N288)</f>
        <v/>
      </c>
      <c r="O288" s="81">
        <f>IF('Ordenes_Odoo'!O288="","",'Ordenes_Odoo'!O288)</f>
        <v/>
      </c>
      <c r="P288" s="81">
        <f>IF('Ordenes_Odoo'!P288="","",'Ordenes_Odoo'!P288)</f>
        <v/>
      </c>
      <c r="Q288" s="79">
        <f>IF(A288="","",IFERROR(INDEX(Facturas_Odoo!$B:$B, MATCH(A288, Facturas_Odoo!$D:$D, 0)), "Sin Factura"))</f>
        <v/>
      </c>
      <c r="R288" s="80">
        <f>IF(Q288="Sin Factura","",IFERROR(INDEX(Facturas_Odoo!$A:$A, MATCH(Q288, Facturas_Odoo!$B:$B, 0)), ""))</f>
        <v/>
      </c>
      <c r="S288" s="79">
        <f>IF(Q288="Sin Factura","",IFERROR(_xlfn.XLOOKUP(1, (Facturas_Odoo!$D:$D=A288) * (Facturas_Odoo!$K:$K=I288), Facturas_Odoo!$L:$L, ""), ""))</f>
        <v/>
      </c>
      <c r="T288" s="81">
        <f>IF(Q288="Sin Factura",0,IFERROR(_xlfn.XLOOKUP(1, (Facturas_Odoo!$D:$D=A288) * (Facturas_Odoo!$K:$K=I288), Facturas_Odoo!$M:$M, 0), 0))</f>
        <v/>
      </c>
      <c r="U288" s="79">
        <f>IF(Q288="Sin Factura",0,IFERROR(_xlfn.XLOOKUP(1, (Facturas_Odoo!$D:$D=A288) * (Facturas_Odoo!$K:$K=I288), Facturas_Odoo!$N:$N, 0), 0))</f>
        <v/>
      </c>
      <c r="V288" s="79">
        <f>IF(Q288="Sin Factura",0,IFERROR(_xlfn.XLOOKUP(1, (Facturas_Odoo!$D:$D=A288) * (Facturas_Odoo!$K:$K=I288), Facturas_Odoo!$O:$O, 0), 0))</f>
        <v/>
      </c>
      <c r="W288" s="81">
        <f>IF(Q288="Sin Factura",0,IFERROR(_xlfn.XLOOKUP(1, (Facturas_Odoo!$D:$D=A288) * (Facturas_Odoo!$K:$K=I288), Facturas_Odoo!$Q:$Q, 0), 0))</f>
        <v/>
      </c>
      <c r="X288" s="79">
        <f>IF(OR(Q288="Sin Factura",Q288=""),"",IFERROR(INDEX(Pagos_Odoo!$B:$B, MATCH(Q288, Pagos_Odoo!$I:$I, 0)), "Sin Pago"))</f>
        <v/>
      </c>
      <c r="Y288" s="79">
        <f>IF(X288="Sin Pago","",IFERROR(INDEX(Pagos_Odoo!$C:$C, MATCH(X288, Pagos_Odoo!$B:$B, 0)), ""))</f>
        <v/>
      </c>
      <c r="Z288" s="80">
        <f>IF(X288="Sin Pago","",IFERROR(INDEX(Pagos_Odoo!$A:$A, MATCH(X288, Pagos_Odoo!$B:$B, 0)), ""))</f>
        <v/>
      </c>
      <c r="AA288" s="79">
        <f>IF(X288="Sin Pago","",IFERROR(INDEX(Pagos_Odoo!$F:$F, MATCH(X288, Pagos_Odoo!$B:$B, 0)), ""))</f>
        <v/>
      </c>
      <c r="AB288" s="81">
        <f>IF(X288="Sin Pago",0,IFERROR(INDEX(Pagos_Odoo!$E:$E, MATCH(X288, Pagos_Odoo!$B:$B, 0)), 0))</f>
        <v/>
      </c>
      <c r="AC288" s="79">
        <f>IF(X288="Sin Pago","",IFERROR(INDEX(Pagos_Odoo!$G:$G, MATCH(X288, Pagos_Odoo!$B:$B, 0)), ""))</f>
        <v/>
      </c>
      <c r="AD288" s="82" t="n">
        <v>0</v>
      </c>
      <c r="AE288" s="82" t="n"/>
      <c r="AF288" s="82" t="n"/>
      <c r="AG288" s="82">
        <f>IF(AN288="","",AD288+AE288+AF288)</f>
        <v/>
      </c>
      <c r="AH288" s="81">
        <f>IF(AN288="","",P288*(1-AG288))</f>
        <v/>
      </c>
      <c r="AI288" s="81">
        <f>IF(AN288="","",IF(Q288="Sin Factura",0,IFERROR(INDEX(Facturas_Odoo!$H:$H, MATCH(Q288, Facturas_Odoo!$B:$B, 0)), 0)*(1-AG288)))</f>
        <v/>
      </c>
      <c r="AJ288" s="81">
        <f>IF(AN288="","",_xlfn.LET(idVenta, AN288&amp;"",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8" s="81">
        <f>IF(AN288="","",AH288-AJ288)</f>
        <v/>
      </c>
      <c r="AL288" s="81">
        <f>IF(AN288="","",IF(Q288="Sin Factura","",AI288-AJ288))</f>
        <v/>
      </c>
      <c r="AM288" s="81">
        <f>IF(AN288="","",IF(Q288="Sin Factura",0,P288-IFERROR(INDEX(Facturas_Odoo!$H:$H, MATCH(Q288, Facturas_Odoo!$B:$B, 0)), 0)))</f>
        <v/>
      </c>
      <c r="AN288" s="79">
        <f>IF(AND(A288="", J288=""), "", IF(A288&lt;&gt;"", VALUE(MID(A288,2,LEN(A288))), AN287))</f>
        <v/>
      </c>
      <c r="AO288" s="79">
        <f>IF(AN288="","",IF(AD288=0,"OK",_xlfn.LET(monedaPago, IF(AA288="","USD",AA288), limitePermitido, IFERROR(VLOOKUP(monedaPago, Configuración!$A$2:$B$3, 2, FALSE), 0.15), IF(AD288&gt;limitePermitido, "ALERTA: EXCESO (" &amp; TEXT(limitePermitido, "0%") &amp; " máx)", "OK"))))</f>
        <v/>
      </c>
      <c r="AP288" s="79">
        <f>IF(AN288="","",IF(AE288=0,"OK",_xlfn.LET(fechaPago, Z288, fechaFactura, R288, diasCredito, IF(E288="Pago inmediato", 0, IFERROR(VALUE(MID(E288, 1, SEARCH(" ", E288)-1)),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8" s="79">
        <f>IF(AN288="","",IF(AND(N288&gt;0, AG288&gt;0), IF(Configuración!$K$2="NO", "ALERTA: DESCUENTO DOBLE NO PERMITIDO", "OK"), "OK"))</f>
        <v/>
      </c>
      <c r="AR288" s="79">
        <f>IF(AN288="","",IF(OR(AO288&lt;&gt;"OK", AP288&lt;&gt;"OK", AQ288&lt;&gt;"OK"), "⚠️ REVISAR", "OK"))</f>
        <v/>
      </c>
    </row>
    <row r="289">
      <c r="A289" s="79">
        <f>IF('Ordenes_Odoo'!A289="","",'Ordenes_Odoo'!A289)</f>
        <v/>
      </c>
      <c r="B289" s="80">
        <f>IF('Ordenes_Odoo'!B289="","",'Ordenes_Odoo'!B289)</f>
        <v/>
      </c>
      <c r="C289" s="79">
        <f>IF('Ordenes_Odoo'!C289="","",'Ordenes_Odoo'!C289)</f>
        <v/>
      </c>
      <c r="D289" s="79">
        <f>IF('Ordenes_Odoo'!D289="","",'Ordenes_Odoo'!D289)</f>
        <v/>
      </c>
      <c r="E289" s="79">
        <f>IF('Ordenes_Odoo'!E289="","",'Ordenes_Odoo'!E289)</f>
        <v/>
      </c>
      <c r="F289" s="79">
        <f>IF('Ordenes_Odoo'!F289="","",'Ordenes_Odoo'!F289)</f>
        <v/>
      </c>
      <c r="G289" s="79">
        <f>IF('Ordenes_Odoo'!G289="","",'Ordenes_Odoo'!G289)</f>
        <v/>
      </c>
      <c r="H289" s="79">
        <f>IF('Ordenes_Odoo'!H289="","",'Ordenes_Odoo'!H289)</f>
        <v/>
      </c>
      <c r="I289" s="79">
        <f>IF('Ordenes_Odoo'!I289="","",'Ordenes_Odoo'!I289)</f>
        <v/>
      </c>
      <c r="J289" s="79">
        <f>IF('Ordenes_Odoo'!J289="","",'Ordenes_Odoo'!J289)</f>
        <v/>
      </c>
      <c r="K289" s="81">
        <f>IF('Ordenes_Odoo'!K289="","",'Ordenes_Odoo'!K289)</f>
        <v/>
      </c>
      <c r="L289" s="81">
        <f>IF('Ordenes_Odoo'!L289="","",'Ordenes_Odoo'!L289)</f>
        <v/>
      </c>
      <c r="M289" s="79">
        <f>IF('Ordenes_Odoo'!M289="","",'Ordenes_Odoo'!M289)</f>
        <v/>
      </c>
      <c r="N289" s="79">
        <f>IF('Ordenes_Odoo'!N289="","",'Ordenes_Odoo'!N289)</f>
        <v/>
      </c>
      <c r="O289" s="81">
        <f>IF('Ordenes_Odoo'!O289="","",'Ordenes_Odoo'!O289)</f>
        <v/>
      </c>
      <c r="P289" s="81">
        <f>IF('Ordenes_Odoo'!P289="","",'Ordenes_Odoo'!P289)</f>
        <v/>
      </c>
      <c r="Q289" s="79">
        <f>IF(A289="","",IFERROR(INDEX(Facturas_Odoo!$B:$B, MATCH(A289, Facturas_Odoo!$D:$D, 0)), "Sin Factura"))</f>
        <v/>
      </c>
      <c r="R289" s="80">
        <f>IF(Q289="Sin Factura","",IFERROR(INDEX(Facturas_Odoo!$A:$A, MATCH(Q289, Facturas_Odoo!$B:$B, 0)), ""))</f>
        <v/>
      </c>
      <c r="S289" s="79">
        <f>IF(Q289="Sin Factura","",IFERROR(_xlfn.XLOOKUP(1, (Facturas_Odoo!$D:$D=A289) * (Facturas_Odoo!$K:$K=I289), Facturas_Odoo!$L:$L, ""), ""))</f>
        <v/>
      </c>
      <c r="T289" s="81">
        <f>IF(Q289="Sin Factura",0,IFERROR(_xlfn.XLOOKUP(1, (Facturas_Odoo!$D:$D=A289) * (Facturas_Odoo!$K:$K=I289), Facturas_Odoo!$M:$M, 0), 0))</f>
        <v/>
      </c>
      <c r="U289" s="79">
        <f>IF(Q289="Sin Factura",0,IFERROR(_xlfn.XLOOKUP(1, (Facturas_Odoo!$D:$D=A289) * (Facturas_Odoo!$K:$K=I289), Facturas_Odoo!$N:$N, 0), 0))</f>
        <v/>
      </c>
      <c r="V289" s="79">
        <f>IF(Q289="Sin Factura",0,IFERROR(_xlfn.XLOOKUP(1, (Facturas_Odoo!$D:$D=A289) * (Facturas_Odoo!$K:$K=I289), Facturas_Odoo!$O:$O, 0), 0))</f>
        <v/>
      </c>
      <c r="W289" s="81">
        <f>IF(Q289="Sin Factura",0,IFERROR(_xlfn.XLOOKUP(1, (Facturas_Odoo!$D:$D=A289) * (Facturas_Odoo!$K:$K=I289), Facturas_Odoo!$Q:$Q, 0), 0))</f>
        <v/>
      </c>
      <c r="X289" s="79">
        <f>IF(OR(Q289="Sin Factura",Q289=""),"",IFERROR(INDEX(Pagos_Odoo!$B:$B, MATCH(Q289, Pagos_Odoo!$I:$I, 0)), "Sin Pago"))</f>
        <v/>
      </c>
      <c r="Y289" s="79">
        <f>IF(X289="Sin Pago","",IFERROR(INDEX(Pagos_Odoo!$C:$C, MATCH(X289, Pagos_Odoo!$B:$B, 0)), ""))</f>
        <v/>
      </c>
      <c r="Z289" s="80">
        <f>IF(X289="Sin Pago","",IFERROR(INDEX(Pagos_Odoo!$A:$A, MATCH(X289, Pagos_Odoo!$B:$B, 0)), ""))</f>
        <v/>
      </c>
      <c r="AA289" s="79">
        <f>IF(X289="Sin Pago","",IFERROR(INDEX(Pagos_Odoo!$F:$F, MATCH(X289, Pagos_Odoo!$B:$B, 0)), ""))</f>
        <v/>
      </c>
      <c r="AB289" s="81">
        <f>IF(X289="Sin Pago",0,IFERROR(INDEX(Pagos_Odoo!$E:$E, MATCH(X289, Pagos_Odoo!$B:$B, 0)), 0))</f>
        <v/>
      </c>
      <c r="AC289" s="79">
        <f>IF(X289="Sin Pago","",IFERROR(INDEX(Pagos_Odoo!$G:$G, MATCH(X289, Pagos_Odoo!$B:$B, 0)), ""))</f>
        <v/>
      </c>
      <c r="AD289" s="82" t="n">
        <v>0</v>
      </c>
      <c r="AE289" s="82" t="n"/>
      <c r="AF289" s="82" t="n"/>
      <c r="AG289" s="82">
        <f>IF(AN289="","",AD289+AE289+AF289)</f>
        <v/>
      </c>
      <c r="AH289" s="81">
        <f>IF(AN289="","",P289*(1-AG289))</f>
        <v/>
      </c>
      <c r="AI289" s="81">
        <f>IF(AN289="","",IF(Q289="Sin Factura",0,IFERROR(INDEX(Facturas_Odoo!$H:$H, MATCH(Q289, Facturas_Odoo!$B:$B, 0)), 0)*(1-AG289)))</f>
        <v/>
      </c>
      <c r="AJ289" s="81">
        <f>IF(AN289="","",_xlfn.LET(idVenta, AN289&amp;"",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9" s="81">
        <f>IF(AN289="","",AH289-AJ289)</f>
        <v/>
      </c>
      <c r="AL289" s="81">
        <f>IF(AN289="","",IF(Q289="Sin Factura","",AI289-AJ289))</f>
        <v/>
      </c>
      <c r="AM289" s="81">
        <f>IF(AN289="","",IF(Q289="Sin Factura",0,P289-IFERROR(INDEX(Facturas_Odoo!$H:$H, MATCH(Q289, Facturas_Odoo!$B:$B, 0)), 0)))</f>
        <v/>
      </c>
      <c r="AN289" s="79">
        <f>IF(AND(A289="", J289=""), "", IF(A289&lt;&gt;"", VALUE(MID(A289,2,LEN(A289))), AN288))</f>
        <v/>
      </c>
      <c r="AO289" s="79">
        <f>IF(AN289="","",IF(AD289=0,"OK",_xlfn.LET(monedaPago, IF(AA289="","USD",AA289), limitePermitido, IFERROR(VLOOKUP(monedaPago, Configuración!$A$2:$B$3, 2, FALSE), 0.15), IF(AD289&gt;limitePermitido, "ALERTA: EXCESO (" &amp; TEXT(limitePermitido, "0%") &amp; " máx)", "OK"))))</f>
        <v/>
      </c>
      <c r="AP289" s="79">
        <f>IF(AN289="","",IF(AE289=0,"OK",_xlfn.LET(fechaPago, Z289, fechaFactura, R289, diasCredito, IF(E289="Pago inmediato", 0, IFERROR(VALUE(MID(E289, 1, SEARCH(" ", E289)-1)),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9" s="79">
        <f>IF(AN289="","",IF(AND(N289&gt;0, AG289&gt;0), IF(Configuración!$K$2="NO", "ALERTA: DESCUENTO DOBLE NO PERMITIDO", "OK"), "OK"))</f>
        <v/>
      </c>
      <c r="AR289" s="79">
        <f>IF(AN289="","",IF(OR(AO289&lt;&gt;"OK", AP289&lt;&gt;"OK", AQ289&lt;&gt;"OK"), "⚠️ REVISAR", "OK"))</f>
        <v/>
      </c>
    </row>
    <row r="290">
      <c r="A290" s="79">
        <f>IF('Ordenes_Odoo'!A290="","",'Ordenes_Odoo'!A290)</f>
        <v/>
      </c>
      <c r="B290" s="80">
        <f>IF('Ordenes_Odoo'!B290="","",'Ordenes_Odoo'!B290)</f>
        <v/>
      </c>
      <c r="C290" s="79">
        <f>IF('Ordenes_Odoo'!C290="","",'Ordenes_Odoo'!C290)</f>
        <v/>
      </c>
      <c r="D290" s="79">
        <f>IF('Ordenes_Odoo'!D290="","",'Ordenes_Odoo'!D290)</f>
        <v/>
      </c>
      <c r="E290" s="79">
        <f>IF('Ordenes_Odoo'!E290="","",'Ordenes_Odoo'!E290)</f>
        <v/>
      </c>
      <c r="F290" s="79">
        <f>IF('Ordenes_Odoo'!F290="","",'Ordenes_Odoo'!F290)</f>
        <v/>
      </c>
      <c r="G290" s="79">
        <f>IF('Ordenes_Odoo'!G290="","",'Ordenes_Odoo'!G290)</f>
        <v/>
      </c>
      <c r="H290" s="79">
        <f>IF('Ordenes_Odoo'!H290="","",'Ordenes_Odoo'!H290)</f>
        <v/>
      </c>
      <c r="I290" s="79">
        <f>IF('Ordenes_Odoo'!I290="","",'Ordenes_Odoo'!I290)</f>
        <v/>
      </c>
      <c r="J290" s="79">
        <f>IF('Ordenes_Odoo'!J290="","",'Ordenes_Odoo'!J290)</f>
        <v/>
      </c>
      <c r="K290" s="81">
        <f>IF('Ordenes_Odoo'!K290="","",'Ordenes_Odoo'!K290)</f>
        <v/>
      </c>
      <c r="L290" s="81">
        <f>IF('Ordenes_Odoo'!L290="","",'Ordenes_Odoo'!L290)</f>
        <v/>
      </c>
      <c r="M290" s="79">
        <f>IF('Ordenes_Odoo'!M290="","",'Ordenes_Odoo'!M290)</f>
        <v/>
      </c>
      <c r="N290" s="79">
        <f>IF('Ordenes_Odoo'!N290="","",'Ordenes_Odoo'!N290)</f>
        <v/>
      </c>
      <c r="O290" s="81">
        <f>IF('Ordenes_Odoo'!O290="","",'Ordenes_Odoo'!O290)</f>
        <v/>
      </c>
      <c r="P290" s="81">
        <f>IF('Ordenes_Odoo'!P290="","",'Ordenes_Odoo'!P290)</f>
        <v/>
      </c>
      <c r="Q290" s="79">
        <f>IF(A290="","",IFERROR(INDEX(Facturas_Odoo!$B:$B, MATCH(A290, Facturas_Odoo!$D:$D, 0)), "Sin Factura"))</f>
        <v/>
      </c>
      <c r="R290" s="80">
        <f>IF(Q290="Sin Factura","",IFERROR(INDEX(Facturas_Odoo!$A:$A, MATCH(Q290, Facturas_Odoo!$B:$B, 0)), ""))</f>
        <v/>
      </c>
      <c r="S290" s="79">
        <f>IF(Q290="Sin Factura","",IFERROR(_xlfn.XLOOKUP(1, (Facturas_Odoo!$D:$D=A290) * (Facturas_Odoo!$K:$K=I290), Facturas_Odoo!$L:$L, ""), ""))</f>
        <v/>
      </c>
      <c r="T290" s="81">
        <f>IF(Q290="Sin Factura",0,IFERROR(_xlfn.XLOOKUP(1, (Facturas_Odoo!$D:$D=A290) * (Facturas_Odoo!$K:$K=I290), Facturas_Odoo!$M:$M, 0), 0))</f>
        <v/>
      </c>
      <c r="U290" s="79">
        <f>IF(Q290="Sin Factura",0,IFERROR(_xlfn.XLOOKUP(1, (Facturas_Odoo!$D:$D=A290) * (Facturas_Odoo!$K:$K=I290), Facturas_Odoo!$N:$N, 0), 0))</f>
        <v/>
      </c>
      <c r="V290" s="79">
        <f>IF(Q290="Sin Factura",0,IFERROR(_xlfn.XLOOKUP(1, (Facturas_Odoo!$D:$D=A290) * (Facturas_Odoo!$K:$K=I290), Facturas_Odoo!$O:$O, 0), 0))</f>
        <v/>
      </c>
      <c r="W290" s="81">
        <f>IF(Q290="Sin Factura",0,IFERROR(_xlfn.XLOOKUP(1, (Facturas_Odoo!$D:$D=A290) * (Facturas_Odoo!$K:$K=I290), Facturas_Odoo!$Q:$Q, 0), 0))</f>
        <v/>
      </c>
      <c r="X290" s="79">
        <f>IF(OR(Q290="Sin Factura",Q290=""),"",IFERROR(INDEX(Pagos_Odoo!$B:$B, MATCH(Q290, Pagos_Odoo!$I:$I, 0)), "Sin Pago"))</f>
        <v/>
      </c>
      <c r="Y290" s="79">
        <f>IF(X290="Sin Pago","",IFERROR(INDEX(Pagos_Odoo!$C:$C, MATCH(X290, Pagos_Odoo!$B:$B, 0)), ""))</f>
        <v/>
      </c>
      <c r="Z290" s="80">
        <f>IF(X290="Sin Pago","",IFERROR(INDEX(Pagos_Odoo!$A:$A, MATCH(X290, Pagos_Odoo!$B:$B, 0)), ""))</f>
        <v/>
      </c>
      <c r="AA290" s="79">
        <f>IF(X290="Sin Pago","",IFERROR(INDEX(Pagos_Odoo!$F:$F, MATCH(X290, Pagos_Odoo!$B:$B, 0)), ""))</f>
        <v/>
      </c>
      <c r="AB290" s="81">
        <f>IF(X290="Sin Pago",0,IFERROR(INDEX(Pagos_Odoo!$E:$E, MATCH(X290, Pagos_Odoo!$B:$B, 0)), 0))</f>
        <v/>
      </c>
      <c r="AC290" s="79">
        <f>IF(X290="Sin Pago","",IFERROR(INDEX(Pagos_Odoo!$G:$G, MATCH(X290, Pagos_Odoo!$B:$B, 0)), ""))</f>
        <v/>
      </c>
      <c r="AD290" s="82" t="n">
        <v>0</v>
      </c>
      <c r="AE290" s="82" t="n"/>
      <c r="AF290" s="82" t="n"/>
      <c r="AG290" s="82">
        <f>IF(AN290="","",AD290+AE290+AF290)</f>
        <v/>
      </c>
      <c r="AH290" s="81">
        <f>IF(AN290="","",P290*(1-AG290))</f>
        <v/>
      </c>
      <c r="AI290" s="81">
        <f>IF(AN290="","",IF(Q290="Sin Factura",0,IFERROR(INDEX(Facturas_Odoo!$H:$H, MATCH(Q290, Facturas_Odoo!$B:$B, 0)), 0)*(1-AG290)))</f>
        <v/>
      </c>
      <c r="AJ290" s="81">
        <f>IF(AN290="","",_xlfn.LET(idVenta, AN290&amp;"",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0" s="81">
        <f>IF(AN290="","",AH290-AJ290)</f>
        <v/>
      </c>
      <c r="AL290" s="81">
        <f>IF(AN290="","",IF(Q290="Sin Factura","",AI290-AJ290))</f>
        <v/>
      </c>
      <c r="AM290" s="81">
        <f>IF(AN290="","",IF(Q290="Sin Factura",0,P290-IFERROR(INDEX(Facturas_Odoo!$H:$H, MATCH(Q290, Facturas_Odoo!$B:$B, 0)), 0)))</f>
        <v/>
      </c>
      <c r="AN290" s="79">
        <f>IF(AND(A290="", J290=""), "", IF(A290&lt;&gt;"", VALUE(MID(A290,2,LEN(A290))), AN289))</f>
        <v/>
      </c>
      <c r="AO290" s="79">
        <f>IF(AN290="","",IF(AD290=0,"OK",_xlfn.LET(monedaPago, IF(AA290="","USD",AA290), limitePermitido, IFERROR(VLOOKUP(monedaPago, Configuración!$A$2:$B$3, 2, FALSE), 0.15), IF(AD290&gt;limitePermitido, "ALERTA: EXCESO (" &amp; TEXT(limitePermitido, "0%") &amp; " máx)", "OK"))))</f>
        <v/>
      </c>
      <c r="AP290" s="79">
        <f>IF(AN290="","",IF(AE290=0,"OK",_xlfn.LET(fechaPago, Z290, fechaFactura, R290, diasCredito, IF(E290="Pago inmediato", 0, IFERROR(VALUE(MID(E290, 1, SEARCH(" ", E290)-1)),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0" s="79">
        <f>IF(AN290="","",IF(AND(N290&gt;0, AG290&gt;0), IF(Configuración!$K$2="NO", "ALERTA: DESCUENTO DOBLE NO PERMITIDO", "OK"), "OK"))</f>
        <v/>
      </c>
      <c r="AR290" s="79">
        <f>IF(AN290="","",IF(OR(AO290&lt;&gt;"OK", AP290&lt;&gt;"OK", AQ290&lt;&gt;"OK"), "⚠️ REVISAR", "OK"))</f>
        <v/>
      </c>
    </row>
    <row r="291">
      <c r="A291" s="79">
        <f>IF('Ordenes_Odoo'!A291="","",'Ordenes_Odoo'!A291)</f>
        <v/>
      </c>
      <c r="B291" s="80">
        <f>IF('Ordenes_Odoo'!B291="","",'Ordenes_Odoo'!B291)</f>
        <v/>
      </c>
      <c r="C291" s="79">
        <f>IF('Ordenes_Odoo'!C291="","",'Ordenes_Odoo'!C291)</f>
        <v/>
      </c>
      <c r="D291" s="79">
        <f>IF('Ordenes_Odoo'!D291="","",'Ordenes_Odoo'!D291)</f>
        <v/>
      </c>
      <c r="E291" s="79">
        <f>IF('Ordenes_Odoo'!E291="","",'Ordenes_Odoo'!E291)</f>
        <v/>
      </c>
      <c r="F291" s="79">
        <f>IF('Ordenes_Odoo'!F291="","",'Ordenes_Odoo'!F291)</f>
        <v/>
      </c>
      <c r="G291" s="79">
        <f>IF('Ordenes_Odoo'!G291="","",'Ordenes_Odoo'!G291)</f>
        <v/>
      </c>
      <c r="H291" s="79">
        <f>IF('Ordenes_Odoo'!H291="","",'Ordenes_Odoo'!H291)</f>
        <v/>
      </c>
      <c r="I291" s="79">
        <f>IF('Ordenes_Odoo'!I291="","",'Ordenes_Odoo'!I291)</f>
        <v/>
      </c>
      <c r="J291" s="79">
        <f>IF('Ordenes_Odoo'!J291="","",'Ordenes_Odoo'!J291)</f>
        <v/>
      </c>
      <c r="K291" s="81">
        <f>IF('Ordenes_Odoo'!K291="","",'Ordenes_Odoo'!K291)</f>
        <v/>
      </c>
      <c r="L291" s="81">
        <f>IF('Ordenes_Odoo'!L291="","",'Ordenes_Odoo'!L291)</f>
        <v/>
      </c>
      <c r="M291" s="79">
        <f>IF('Ordenes_Odoo'!M291="","",'Ordenes_Odoo'!M291)</f>
        <v/>
      </c>
      <c r="N291" s="79">
        <f>IF('Ordenes_Odoo'!N291="","",'Ordenes_Odoo'!N291)</f>
        <v/>
      </c>
      <c r="O291" s="81">
        <f>IF('Ordenes_Odoo'!O291="","",'Ordenes_Odoo'!O291)</f>
        <v/>
      </c>
      <c r="P291" s="81">
        <f>IF('Ordenes_Odoo'!P291="","",'Ordenes_Odoo'!P291)</f>
        <v/>
      </c>
      <c r="Q291" s="79">
        <f>IF(A291="","",IFERROR(INDEX(Facturas_Odoo!$B:$B, MATCH(A291, Facturas_Odoo!$D:$D, 0)), "Sin Factura"))</f>
        <v/>
      </c>
      <c r="R291" s="80">
        <f>IF(Q291="Sin Factura","",IFERROR(INDEX(Facturas_Odoo!$A:$A, MATCH(Q291, Facturas_Odoo!$B:$B, 0)), ""))</f>
        <v/>
      </c>
      <c r="S291" s="79">
        <f>IF(Q291="Sin Factura","",IFERROR(_xlfn.XLOOKUP(1, (Facturas_Odoo!$D:$D=A291) * (Facturas_Odoo!$K:$K=I291), Facturas_Odoo!$L:$L, ""), ""))</f>
        <v/>
      </c>
      <c r="T291" s="81">
        <f>IF(Q291="Sin Factura",0,IFERROR(_xlfn.XLOOKUP(1, (Facturas_Odoo!$D:$D=A291) * (Facturas_Odoo!$K:$K=I291), Facturas_Odoo!$M:$M, 0), 0))</f>
        <v/>
      </c>
      <c r="U291" s="79">
        <f>IF(Q291="Sin Factura",0,IFERROR(_xlfn.XLOOKUP(1, (Facturas_Odoo!$D:$D=A291) * (Facturas_Odoo!$K:$K=I291), Facturas_Odoo!$N:$N, 0), 0))</f>
        <v/>
      </c>
      <c r="V291" s="79">
        <f>IF(Q291="Sin Factura",0,IFERROR(_xlfn.XLOOKUP(1, (Facturas_Odoo!$D:$D=A291) * (Facturas_Odoo!$K:$K=I291), Facturas_Odoo!$O:$O, 0), 0))</f>
        <v/>
      </c>
      <c r="W291" s="81">
        <f>IF(Q291="Sin Factura",0,IFERROR(_xlfn.XLOOKUP(1, (Facturas_Odoo!$D:$D=A291) * (Facturas_Odoo!$K:$K=I291), Facturas_Odoo!$Q:$Q, 0), 0))</f>
        <v/>
      </c>
      <c r="X291" s="79">
        <f>IF(OR(Q291="Sin Factura",Q291=""),"",IFERROR(INDEX(Pagos_Odoo!$B:$B, MATCH(Q291, Pagos_Odoo!$I:$I, 0)), "Sin Pago"))</f>
        <v/>
      </c>
      <c r="Y291" s="79">
        <f>IF(X291="Sin Pago","",IFERROR(INDEX(Pagos_Odoo!$C:$C, MATCH(X291, Pagos_Odoo!$B:$B, 0)), ""))</f>
        <v/>
      </c>
      <c r="Z291" s="80">
        <f>IF(X291="Sin Pago","",IFERROR(INDEX(Pagos_Odoo!$A:$A, MATCH(X291, Pagos_Odoo!$B:$B, 0)), ""))</f>
        <v/>
      </c>
      <c r="AA291" s="79">
        <f>IF(X291="Sin Pago","",IFERROR(INDEX(Pagos_Odoo!$F:$F, MATCH(X291, Pagos_Odoo!$B:$B, 0)), ""))</f>
        <v/>
      </c>
      <c r="AB291" s="81">
        <f>IF(X291="Sin Pago",0,IFERROR(INDEX(Pagos_Odoo!$E:$E, MATCH(X291, Pagos_Odoo!$B:$B, 0)), 0))</f>
        <v/>
      </c>
      <c r="AC291" s="79">
        <f>IF(X291="Sin Pago","",IFERROR(INDEX(Pagos_Odoo!$G:$G, MATCH(X291, Pagos_Odoo!$B:$B, 0)), ""))</f>
        <v/>
      </c>
      <c r="AD291" s="82" t="n">
        <v>0</v>
      </c>
      <c r="AE291" s="82" t="n"/>
      <c r="AF291" s="82" t="n"/>
      <c r="AG291" s="82">
        <f>IF(AN291="","",AD291+AE291+AF291)</f>
        <v/>
      </c>
      <c r="AH291" s="81">
        <f>IF(AN291="","",P291*(1-AG291))</f>
        <v/>
      </c>
      <c r="AI291" s="81">
        <f>IF(AN291="","",IF(Q291="Sin Factura",0,IFERROR(INDEX(Facturas_Odoo!$H:$H, MATCH(Q291, Facturas_Odoo!$B:$B, 0)), 0)*(1-AG291)))</f>
        <v/>
      </c>
      <c r="AJ291" s="81">
        <f>IF(AN291="","",_xlfn.LET(idVenta, AN291&amp;"",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1" s="81">
        <f>IF(AN291="","",AH291-AJ291)</f>
        <v/>
      </c>
      <c r="AL291" s="81">
        <f>IF(AN291="","",IF(Q291="Sin Factura","",AI291-AJ291))</f>
        <v/>
      </c>
      <c r="AM291" s="81">
        <f>IF(AN291="","",IF(Q291="Sin Factura",0,P291-IFERROR(INDEX(Facturas_Odoo!$H:$H, MATCH(Q291, Facturas_Odoo!$B:$B, 0)), 0)))</f>
        <v/>
      </c>
      <c r="AN291" s="79">
        <f>IF(AND(A291="", J291=""), "", IF(A291&lt;&gt;"", VALUE(MID(A291,2,LEN(A291))), AN290))</f>
        <v/>
      </c>
      <c r="AO291" s="79">
        <f>IF(AN291="","",IF(AD291=0,"OK",_xlfn.LET(monedaPago, IF(AA291="","USD",AA291), limitePermitido, IFERROR(VLOOKUP(monedaPago, Configuración!$A$2:$B$3, 2, FALSE), 0.15), IF(AD291&gt;limitePermitido, "ALERTA: EXCESO (" &amp; TEXT(limitePermitido, "0%") &amp; " máx)", "OK"))))</f>
        <v/>
      </c>
      <c r="AP291" s="79">
        <f>IF(AN291="","",IF(AE291=0,"OK",_xlfn.LET(fechaPago, Z291, fechaFactura, R291, diasCredito, IF(E291="Pago inmediato", 0, IFERROR(VALUE(MID(E291, 1, SEARCH(" ", E291)-1)),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1" s="79">
        <f>IF(AN291="","",IF(AND(N291&gt;0, AG291&gt;0), IF(Configuración!$K$2="NO", "ALERTA: DESCUENTO DOBLE NO PERMITIDO", "OK"), "OK"))</f>
        <v/>
      </c>
      <c r="AR291" s="79">
        <f>IF(AN291="","",IF(OR(AO291&lt;&gt;"OK", AP291&lt;&gt;"OK", AQ291&lt;&gt;"OK"), "⚠️ REVISAR", "OK"))</f>
        <v/>
      </c>
    </row>
    <row r="292">
      <c r="A292" s="79">
        <f>IF('Ordenes_Odoo'!A292="","",'Ordenes_Odoo'!A292)</f>
        <v/>
      </c>
      <c r="B292" s="80">
        <f>IF('Ordenes_Odoo'!B292="","",'Ordenes_Odoo'!B292)</f>
        <v/>
      </c>
      <c r="C292" s="79">
        <f>IF('Ordenes_Odoo'!C292="","",'Ordenes_Odoo'!C292)</f>
        <v/>
      </c>
      <c r="D292" s="79">
        <f>IF('Ordenes_Odoo'!D292="","",'Ordenes_Odoo'!D292)</f>
        <v/>
      </c>
      <c r="E292" s="79">
        <f>IF('Ordenes_Odoo'!E292="","",'Ordenes_Odoo'!E292)</f>
        <v/>
      </c>
      <c r="F292" s="79">
        <f>IF('Ordenes_Odoo'!F292="","",'Ordenes_Odoo'!F292)</f>
        <v/>
      </c>
      <c r="G292" s="79">
        <f>IF('Ordenes_Odoo'!G292="","",'Ordenes_Odoo'!G292)</f>
        <v/>
      </c>
      <c r="H292" s="79">
        <f>IF('Ordenes_Odoo'!H292="","",'Ordenes_Odoo'!H292)</f>
        <v/>
      </c>
      <c r="I292" s="79">
        <f>IF('Ordenes_Odoo'!I292="","",'Ordenes_Odoo'!I292)</f>
        <v/>
      </c>
      <c r="J292" s="79">
        <f>IF('Ordenes_Odoo'!J292="","",'Ordenes_Odoo'!J292)</f>
        <v/>
      </c>
      <c r="K292" s="81">
        <f>IF('Ordenes_Odoo'!K292="","",'Ordenes_Odoo'!K292)</f>
        <v/>
      </c>
      <c r="L292" s="81">
        <f>IF('Ordenes_Odoo'!L292="","",'Ordenes_Odoo'!L292)</f>
        <v/>
      </c>
      <c r="M292" s="79">
        <f>IF('Ordenes_Odoo'!M292="","",'Ordenes_Odoo'!M292)</f>
        <v/>
      </c>
      <c r="N292" s="79">
        <f>IF('Ordenes_Odoo'!N292="","",'Ordenes_Odoo'!N292)</f>
        <v/>
      </c>
      <c r="O292" s="81">
        <f>IF('Ordenes_Odoo'!O292="","",'Ordenes_Odoo'!O292)</f>
        <v/>
      </c>
      <c r="P292" s="81">
        <f>IF('Ordenes_Odoo'!P292="","",'Ordenes_Odoo'!P292)</f>
        <v/>
      </c>
      <c r="Q292" s="79">
        <f>IF(A292="","",IFERROR(INDEX(Facturas_Odoo!$B:$B, MATCH(A292, Facturas_Odoo!$D:$D, 0)), "Sin Factura"))</f>
        <v/>
      </c>
      <c r="R292" s="80">
        <f>IF(Q292="Sin Factura","",IFERROR(INDEX(Facturas_Odoo!$A:$A, MATCH(Q292, Facturas_Odoo!$B:$B, 0)), ""))</f>
        <v/>
      </c>
      <c r="S292" s="79">
        <f>IF(Q292="Sin Factura","",IFERROR(_xlfn.XLOOKUP(1, (Facturas_Odoo!$D:$D=A292) * (Facturas_Odoo!$K:$K=I292), Facturas_Odoo!$L:$L, ""), ""))</f>
        <v/>
      </c>
      <c r="T292" s="81">
        <f>IF(Q292="Sin Factura",0,IFERROR(_xlfn.XLOOKUP(1, (Facturas_Odoo!$D:$D=A292) * (Facturas_Odoo!$K:$K=I292), Facturas_Odoo!$M:$M, 0), 0))</f>
        <v/>
      </c>
      <c r="U292" s="79">
        <f>IF(Q292="Sin Factura",0,IFERROR(_xlfn.XLOOKUP(1, (Facturas_Odoo!$D:$D=A292) * (Facturas_Odoo!$K:$K=I292), Facturas_Odoo!$N:$N, 0), 0))</f>
        <v/>
      </c>
      <c r="V292" s="79">
        <f>IF(Q292="Sin Factura",0,IFERROR(_xlfn.XLOOKUP(1, (Facturas_Odoo!$D:$D=A292) * (Facturas_Odoo!$K:$K=I292), Facturas_Odoo!$O:$O, 0), 0))</f>
        <v/>
      </c>
      <c r="W292" s="81">
        <f>IF(Q292="Sin Factura",0,IFERROR(_xlfn.XLOOKUP(1, (Facturas_Odoo!$D:$D=A292) * (Facturas_Odoo!$K:$K=I292), Facturas_Odoo!$Q:$Q, 0), 0))</f>
        <v/>
      </c>
      <c r="X292" s="79">
        <f>IF(OR(Q292="Sin Factura",Q292=""),"",IFERROR(INDEX(Pagos_Odoo!$B:$B, MATCH(Q292, Pagos_Odoo!$I:$I, 0)), "Sin Pago"))</f>
        <v/>
      </c>
      <c r="Y292" s="79">
        <f>IF(X292="Sin Pago","",IFERROR(INDEX(Pagos_Odoo!$C:$C, MATCH(X292, Pagos_Odoo!$B:$B, 0)), ""))</f>
        <v/>
      </c>
      <c r="Z292" s="80">
        <f>IF(X292="Sin Pago","",IFERROR(INDEX(Pagos_Odoo!$A:$A, MATCH(X292, Pagos_Odoo!$B:$B, 0)), ""))</f>
        <v/>
      </c>
      <c r="AA292" s="79">
        <f>IF(X292="Sin Pago","",IFERROR(INDEX(Pagos_Odoo!$F:$F, MATCH(X292, Pagos_Odoo!$B:$B, 0)), ""))</f>
        <v/>
      </c>
      <c r="AB292" s="81">
        <f>IF(X292="Sin Pago",0,IFERROR(INDEX(Pagos_Odoo!$E:$E, MATCH(X292, Pagos_Odoo!$B:$B, 0)), 0))</f>
        <v/>
      </c>
      <c r="AC292" s="79">
        <f>IF(X292="Sin Pago","",IFERROR(INDEX(Pagos_Odoo!$G:$G, MATCH(X292, Pagos_Odoo!$B:$B, 0)), ""))</f>
        <v/>
      </c>
      <c r="AD292" s="82" t="n">
        <v>0</v>
      </c>
      <c r="AE292" s="82" t="n"/>
      <c r="AF292" s="82" t="n"/>
      <c r="AG292" s="82">
        <f>IF(AN292="","",AD292+AE292+AF292)</f>
        <v/>
      </c>
      <c r="AH292" s="81">
        <f>IF(AN292="","",P292*(1-AG292))</f>
        <v/>
      </c>
      <c r="AI292" s="81">
        <f>IF(AN292="","",IF(Q292="Sin Factura",0,IFERROR(INDEX(Facturas_Odoo!$H:$H, MATCH(Q292, Facturas_Odoo!$B:$B, 0)), 0)*(1-AG292)))</f>
        <v/>
      </c>
      <c r="AJ292" s="81">
        <f>IF(AN292="","",_xlfn.LET(idVenta, AN292&amp;"",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2" s="81">
        <f>IF(AN292="","",AH292-AJ292)</f>
        <v/>
      </c>
      <c r="AL292" s="81">
        <f>IF(AN292="","",IF(Q292="Sin Factura","",AI292-AJ292))</f>
        <v/>
      </c>
      <c r="AM292" s="81">
        <f>IF(AN292="","",IF(Q292="Sin Factura",0,P292-IFERROR(INDEX(Facturas_Odoo!$H:$H, MATCH(Q292, Facturas_Odoo!$B:$B, 0)), 0)))</f>
        <v/>
      </c>
      <c r="AN292" s="79">
        <f>IF(AND(A292="", J292=""), "", IF(A292&lt;&gt;"", VALUE(MID(A292,2,LEN(A292))), AN291))</f>
        <v/>
      </c>
      <c r="AO292" s="79">
        <f>IF(AN292="","",IF(AD292=0,"OK",_xlfn.LET(monedaPago, IF(AA292="","USD",AA292), limitePermitido, IFERROR(VLOOKUP(monedaPago, Configuración!$A$2:$B$3, 2, FALSE), 0.15), IF(AD292&gt;limitePermitido, "ALERTA: EXCESO (" &amp; TEXT(limitePermitido, "0%") &amp; " máx)", "OK"))))</f>
        <v/>
      </c>
      <c r="AP292" s="79">
        <f>IF(AN292="","",IF(AE292=0,"OK",_xlfn.LET(fechaPago, Z292, fechaFactura, R292, diasCredito, IF(E292="Pago inmediato", 0, IFERROR(VALUE(MID(E292, 1, SEARCH(" ", E292)-1)),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2" s="79">
        <f>IF(AN292="","",IF(AND(N292&gt;0, AG292&gt;0), IF(Configuración!$K$2="NO", "ALERTA: DESCUENTO DOBLE NO PERMITIDO", "OK"), "OK"))</f>
        <v/>
      </c>
      <c r="AR292" s="79">
        <f>IF(AN292="","",IF(OR(AO292&lt;&gt;"OK", AP292&lt;&gt;"OK", AQ292&lt;&gt;"OK"), "⚠️ REVISAR", "OK"))</f>
        <v/>
      </c>
    </row>
    <row r="293">
      <c r="A293" s="79">
        <f>IF('Ordenes_Odoo'!A293="","",'Ordenes_Odoo'!A293)</f>
        <v/>
      </c>
      <c r="B293" s="80">
        <f>IF('Ordenes_Odoo'!B293="","",'Ordenes_Odoo'!B293)</f>
        <v/>
      </c>
      <c r="C293" s="79">
        <f>IF('Ordenes_Odoo'!C293="","",'Ordenes_Odoo'!C293)</f>
        <v/>
      </c>
      <c r="D293" s="79">
        <f>IF('Ordenes_Odoo'!D293="","",'Ordenes_Odoo'!D293)</f>
        <v/>
      </c>
      <c r="E293" s="79">
        <f>IF('Ordenes_Odoo'!E293="","",'Ordenes_Odoo'!E293)</f>
        <v/>
      </c>
      <c r="F293" s="79">
        <f>IF('Ordenes_Odoo'!F293="","",'Ordenes_Odoo'!F293)</f>
        <v/>
      </c>
      <c r="G293" s="79">
        <f>IF('Ordenes_Odoo'!G293="","",'Ordenes_Odoo'!G293)</f>
        <v/>
      </c>
      <c r="H293" s="79">
        <f>IF('Ordenes_Odoo'!H293="","",'Ordenes_Odoo'!H293)</f>
        <v/>
      </c>
      <c r="I293" s="79">
        <f>IF('Ordenes_Odoo'!I293="","",'Ordenes_Odoo'!I293)</f>
        <v/>
      </c>
      <c r="J293" s="79">
        <f>IF('Ordenes_Odoo'!J293="","",'Ordenes_Odoo'!J293)</f>
        <v/>
      </c>
      <c r="K293" s="81">
        <f>IF('Ordenes_Odoo'!K293="","",'Ordenes_Odoo'!K293)</f>
        <v/>
      </c>
      <c r="L293" s="81">
        <f>IF('Ordenes_Odoo'!L293="","",'Ordenes_Odoo'!L293)</f>
        <v/>
      </c>
      <c r="M293" s="79">
        <f>IF('Ordenes_Odoo'!M293="","",'Ordenes_Odoo'!M293)</f>
        <v/>
      </c>
      <c r="N293" s="79">
        <f>IF('Ordenes_Odoo'!N293="","",'Ordenes_Odoo'!N293)</f>
        <v/>
      </c>
      <c r="O293" s="81">
        <f>IF('Ordenes_Odoo'!O293="","",'Ordenes_Odoo'!O293)</f>
        <v/>
      </c>
      <c r="P293" s="81">
        <f>IF('Ordenes_Odoo'!P293="","",'Ordenes_Odoo'!P293)</f>
        <v/>
      </c>
      <c r="Q293" s="79">
        <f>IF(A293="","",IFERROR(INDEX(Facturas_Odoo!$B:$B, MATCH(A293, Facturas_Odoo!$D:$D, 0)), "Sin Factura"))</f>
        <v/>
      </c>
      <c r="R293" s="80">
        <f>IF(Q293="Sin Factura","",IFERROR(INDEX(Facturas_Odoo!$A:$A, MATCH(Q293, Facturas_Odoo!$B:$B, 0)), ""))</f>
        <v/>
      </c>
      <c r="S293" s="79">
        <f>IF(Q293="Sin Factura","",IFERROR(_xlfn.XLOOKUP(1, (Facturas_Odoo!$D:$D=A293) * (Facturas_Odoo!$K:$K=I293), Facturas_Odoo!$L:$L, ""), ""))</f>
        <v/>
      </c>
      <c r="T293" s="81">
        <f>IF(Q293="Sin Factura",0,IFERROR(_xlfn.XLOOKUP(1, (Facturas_Odoo!$D:$D=A293) * (Facturas_Odoo!$K:$K=I293), Facturas_Odoo!$M:$M, 0), 0))</f>
        <v/>
      </c>
      <c r="U293" s="79">
        <f>IF(Q293="Sin Factura",0,IFERROR(_xlfn.XLOOKUP(1, (Facturas_Odoo!$D:$D=A293) * (Facturas_Odoo!$K:$K=I293), Facturas_Odoo!$N:$N, 0), 0))</f>
        <v/>
      </c>
      <c r="V293" s="79">
        <f>IF(Q293="Sin Factura",0,IFERROR(_xlfn.XLOOKUP(1, (Facturas_Odoo!$D:$D=A293) * (Facturas_Odoo!$K:$K=I293), Facturas_Odoo!$O:$O, 0), 0))</f>
        <v/>
      </c>
      <c r="W293" s="81">
        <f>IF(Q293="Sin Factura",0,IFERROR(_xlfn.XLOOKUP(1, (Facturas_Odoo!$D:$D=A293) * (Facturas_Odoo!$K:$K=I293), Facturas_Odoo!$Q:$Q, 0), 0))</f>
        <v/>
      </c>
      <c r="X293" s="79">
        <f>IF(OR(Q293="Sin Factura",Q293=""),"",IFERROR(INDEX(Pagos_Odoo!$B:$B, MATCH(Q293, Pagos_Odoo!$I:$I, 0)), "Sin Pago"))</f>
        <v/>
      </c>
      <c r="Y293" s="79">
        <f>IF(X293="Sin Pago","",IFERROR(INDEX(Pagos_Odoo!$C:$C, MATCH(X293, Pagos_Odoo!$B:$B, 0)), ""))</f>
        <v/>
      </c>
      <c r="Z293" s="80">
        <f>IF(X293="Sin Pago","",IFERROR(INDEX(Pagos_Odoo!$A:$A, MATCH(X293, Pagos_Odoo!$B:$B, 0)), ""))</f>
        <v/>
      </c>
      <c r="AA293" s="79">
        <f>IF(X293="Sin Pago","",IFERROR(INDEX(Pagos_Odoo!$F:$F, MATCH(X293, Pagos_Odoo!$B:$B, 0)), ""))</f>
        <v/>
      </c>
      <c r="AB293" s="81">
        <f>IF(X293="Sin Pago",0,IFERROR(INDEX(Pagos_Odoo!$E:$E, MATCH(X293, Pagos_Odoo!$B:$B, 0)), 0))</f>
        <v/>
      </c>
      <c r="AC293" s="79">
        <f>IF(X293="Sin Pago","",IFERROR(INDEX(Pagos_Odoo!$G:$G, MATCH(X293, Pagos_Odoo!$B:$B, 0)), ""))</f>
        <v/>
      </c>
      <c r="AD293" s="82" t="n">
        <v>0</v>
      </c>
      <c r="AE293" s="82" t="n"/>
      <c r="AF293" s="82" t="n"/>
      <c r="AG293" s="82">
        <f>IF(AN293="","",AD293+AE293+AF293)</f>
        <v/>
      </c>
      <c r="AH293" s="81">
        <f>IF(AN293="","",P293*(1-AG293))</f>
        <v/>
      </c>
      <c r="AI293" s="81">
        <f>IF(AN293="","",IF(Q293="Sin Factura",0,IFERROR(INDEX(Facturas_Odoo!$H:$H, MATCH(Q293, Facturas_Odoo!$B:$B, 0)), 0)*(1-AG293)))</f>
        <v/>
      </c>
      <c r="AJ293" s="81">
        <f>IF(AN293="","",_xlfn.LET(idVenta, AN293&amp;"",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3" s="81">
        <f>IF(AN293="","",AH293-AJ293)</f>
        <v/>
      </c>
      <c r="AL293" s="81">
        <f>IF(AN293="","",IF(Q293="Sin Factura","",AI293-AJ293))</f>
        <v/>
      </c>
      <c r="AM293" s="81">
        <f>IF(AN293="","",IF(Q293="Sin Factura",0,P293-IFERROR(INDEX(Facturas_Odoo!$H:$H, MATCH(Q293, Facturas_Odoo!$B:$B, 0)), 0)))</f>
        <v/>
      </c>
      <c r="AN293" s="79">
        <f>IF(AND(A293="", J293=""), "", IF(A293&lt;&gt;"", VALUE(MID(A293,2,LEN(A293))), AN292))</f>
        <v/>
      </c>
      <c r="AO293" s="79">
        <f>IF(AN293="","",IF(AD293=0,"OK",_xlfn.LET(monedaPago, IF(AA293="","USD",AA293), limitePermitido, IFERROR(VLOOKUP(monedaPago, Configuración!$A$2:$B$3, 2, FALSE), 0.15), IF(AD293&gt;limitePermitido, "ALERTA: EXCESO (" &amp; TEXT(limitePermitido, "0%") &amp; " máx)", "OK"))))</f>
        <v/>
      </c>
      <c r="AP293" s="79">
        <f>IF(AN293="","",IF(AE293=0,"OK",_xlfn.LET(fechaPago, Z293, fechaFactura, R293, diasCredito, IF(E293="Pago inmediato", 0, IFERROR(VALUE(MID(E293, 1, SEARCH(" ", E293)-1)),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3" s="79">
        <f>IF(AN293="","",IF(AND(N293&gt;0, AG293&gt;0), IF(Configuración!$K$2="NO", "ALERTA: DESCUENTO DOBLE NO PERMITIDO", "OK"), "OK"))</f>
        <v/>
      </c>
      <c r="AR293" s="79">
        <f>IF(AN293="","",IF(OR(AO293&lt;&gt;"OK", AP293&lt;&gt;"OK", AQ293&lt;&gt;"OK"), "⚠️ REVISAR", "OK"))</f>
        <v/>
      </c>
    </row>
    <row r="294">
      <c r="A294" s="79">
        <f>IF('Ordenes_Odoo'!A294="","",'Ordenes_Odoo'!A294)</f>
        <v/>
      </c>
      <c r="B294" s="80">
        <f>IF('Ordenes_Odoo'!B294="","",'Ordenes_Odoo'!B294)</f>
        <v/>
      </c>
      <c r="C294" s="79">
        <f>IF('Ordenes_Odoo'!C294="","",'Ordenes_Odoo'!C294)</f>
        <v/>
      </c>
      <c r="D294" s="79">
        <f>IF('Ordenes_Odoo'!D294="","",'Ordenes_Odoo'!D294)</f>
        <v/>
      </c>
      <c r="E294" s="79">
        <f>IF('Ordenes_Odoo'!E294="","",'Ordenes_Odoo'!E294)</f>
        <v/>
      </c>
      <c r="F294" s="79">
        <f>IF('Ordenes_Odoo'!F294="","",'Ordenes_Odoo'!F294)</f>
        <v/>
      </c>
      <c r="G294" s="79">
        <f>IF('Ordenes_Odoo'!G294="","",'Ordenes_Odoo'!G294)</f>
        <v/>
      </c>
      <c r="H294" s="79">
        <f>IF('Ordenes_Odoo'!H294="","",'Ordenes_Odoo'!H294)</f>
        <v/>
      </c>
      <c r="I294" s="79">
        <f>IF('Ordenes_Odoo'!I294="","",'Ordenes_Odoo'!I294)</f>
        <v/>
      </c>
      <c r="J294" s="79">
        <f>IF('Ordenes_Odoo'!J294="","",'Ordenes_Odoo'!J294)</f>
        <v/>
      </c>
      <c r="K294" s="81">
        <f>IF('Ordenes_Odoo'!K294="","",'Ordenes_Odoo'!K294)</f>
        <v/>
      </c>
      <c r="L294" s="81">
        <f>IF('Ordenes_Odoo'!L294="","",'Ordenes_Odoo'!L294)</f>
        <v/>
      </c>
      <c r="M294" s="79">
        <f>IF('Ordenes_Odoo'!M294="","",'Ordenes_Odoo'!M294)</f>
        <v/>
      </c>
      <c r="N294" s="79">
        <f>IF('Ordenes_Odoo'!N294="","",'Ordenes_Odoo'!N294)</f>
        <v/>
      </c>
      <c r="O294" s="81">
        <f>IF('Ordenes_Odoo'!O294="","",'Ordenes_Odoo'!O294)</f>
        <v/>
      </c>
      <c r="P294" s="81">
        <f>IF('Ordenes_Odoo'!P294="","",'Ordenes_Odoo'!P294)</f>
        <v/>
      </c>
      <c r="Q294" s="79">
        <f>IF(A294="","",IFERROR(INDEX(Facturas_Odoo!$B:$B, MATCH(A294, Facturas_Odoo!$D:$D, 0)), "Sin Factura"))</f>
        <v/>
      </c>
      <c r="R294" s="80">
        <f>IF(Q294="Sin Factura","",IFERROR(INDEX(Facturas_Odoo!$A:$A, MATCH(Q294, Facturas_Odoo!$B:$B, 0)), ""))</f>
        <v/>
      </c>
      <c r="S294" s="79">
        <f>IF(Q294="Sin Factura","",IFERROR(_xlfn.XLOOKUP(1, (Facturas_Odoo!$D:$D=A294) * (Facturas_Odoo!$K:$K=I294), Facturas_Odoo!$L:$L, ""), ""))</f>
        <v/>
      </c>
      <c r="T294" s="81">
        <f>IF(Q294="Sin Factura",0,IFERROR(_xlfn.XLOOKUP(1, (Facturas_Odoo!$D:$D=A294) * (Facturas_Odoo!$K:$K=I294), Facturas_Odoo!$M:$M, 0), 0))</f>
        <v/>
      </c>
      <c r="U294" s="79">
        <f>IF(Q294="Sin Factura",0,IFERROR(_xlfn.XLOOKUP(1, (Facturas_Odoo!$D:$D=A294) * (Facturas_Odoo!$K:$K=I294), Facturas_Odoo!$N:$N, 0), 0))</f>
        <v/>
      </c>
      <c r="V294" s="79">
        <f>IF(Q294="Sin Factura",0,IFERROR(_xlfn.XLOOKUP(1, (Facturas_Odoo!$D:$D=A294) * (Facturas_Odoo!$K:$K=I294), Facturas_Odoo!$O:$O, 0), 0))</f>
        <v/>
      </c>
      <c r="W294" s="81">
        <f>IF(Q294="Sin Factura",0,IFERROR(_xlfn.XLOOKUP(1, (Facturas_Odoo!$D:$D=A294) * (Facturas_Odoo!$K:$K=I294), Facturas_Odoo!$Q:$Q, 0), 0))</f>
        <v/>
      </c>
      <c r="X294" s="79">
        <f>IF(OR(Q294="Sin Factura",Q294=""),"",IFERROR(INDEX(Pagos_Odoo!$B:$B, MATCH(Q294, Pagos_Odoo!$I:$I, 0)), "Sin Pago"))</f>
        <v/>
      </c>
      <c r="Y294" s="79">
        <f>IF(X294="Sin Pago","",IFERROR(INDEX(Pagos_Odoo!$C:$C, MATCH(X294, Pagos_Odoo!$B:$B, 0)), ""))</f>
        <v/>
      </c>
      <c r="Z294" s="80">
        <f>IF(X294="Sin Pago","",IFERROR(INDEX(Pagos_Odoo!$A:$A, MATCH(X294, Pagos_Odoo!$B:$B, 0)), ""))</f>
        <v/>
      </c>
      <c r="AA294" s="79">
        <f>IF(X294="Sin Pago","",IFERROR(INDEX(Pagos_Odoo!$F:$F, MATCH(X294, Pagos_Odoo!$B:$B, 0)), ""))</f>
        <v/>
      </c>
      <c r="AB294" s="81">
        <f>IF(X294="Sin Pago",0,IFERROR(INDEX(Pagos_Odoo!$E:$E, MATCH(X294, Pagos_Odoo!$B:$B, 0)), 0))</f>
        <v/>
      </c>
      <c r="AC294" s="79">
        <f>IF(X294="Sin Pago","",IFERROR(INDEX(Pagos_Odoo!$G:$G, MATCH(X294, Pagos_Odoo!$B:$B, 0)), ""))</f>
        <v/>
      </c>
      <c r="AD294" s="82" t="n">
        <v>0</v>
      </c>
      <c r="AE294" s="82" t="n"/>
      <c r="AF294" s="82" t="n"/>
      <c r="AG294" s="82">
        <f>IF(AN294="","",AD294+AE294+AF294)</f>
        <v/>
      </c>
      <c r="AH294" s="81">
        <f>IF(AN294="","",P294*(1-AG294))</f>
        <v/>
      </c>
      <c r="AI294" s="81">
        <f>IF(AN294="","",IF(Q294="Sin Factura",0,IFERROR(INDEX(Facturas_Odoo!$H:$H, MATCH(Q294, Facturas_Odoo!$B:$B, 0)), 0)*(1-AG294)))</f>
        <v/>
      </c>
      <c r="AJ294" s="81">
        <f>IF(AN294="","",_xlfn.LET(idVenta, AN294&amp;"",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4" s="81">
        <f>IF(AN294="","",AH294-AJ294)</f>
        <v/>
      </c>
      <c r="AL294" s="81">
        <f>IF(AN294="","",IF(Q294="Sin Factura","",AI294-AJ294))</f>
        <v/>
      </c>
      <c r="AM294" s="81">
        <f>IF(AN294="","",IF(Q294="Sin Factura",0,P294-IFERROR(INDEX(Facturas_Odoo!$H:$H, MATCH(Q294, Facturas_Odoo!$B:$B, 0)), 0)))</f>
        <v/>
      </c>
      <c r="AN294" s="79">
        <f>IF(AND(A294="", J294=""), "", IF(A294&lt;&gt;"", VALUE(MID(A294,2,LEN(A294))), AN293))</f>
        <v/>
      </c>
      <c r="AO294" s="79">
        <f>IF(AN294="","",IF(AD294=0,"OK",_xlfn.LET(monedaPago, IF(AA294="","USD",AA294), limitePermitido, IFERROR(VLOOKUP(monedaPago, Configuración!$A$2:$B$3, 2, FALSE), 0.15), IF(AD294&gt;limitePermitido, "ALERTA: EXCESO (" &amp; TEXT(limitePermitido, "0%") &amp; " máx)", "OK"))))</f>
        <v/>
      </c>
      <c r="AP294" s="79">
        <f>IF(AN294="","",IF(AE294=0,"OK",_xlfn.LET(fechaPago, Z294, fechaFactura, R294, diasCredito, IF(E294="Pago inmediato", 0, IFERROR(VALUE(MID(E294, 1, SEARCH(" ", E294)-1)),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4" s="79">
        <f>IF(AN294="","",IF(AND(N294&gt;0, AG294&gt;0), IF(Configuración!$K$2="NO", "ALERTA: DESCUENTO DOBLE NO PERMITIDO", "OK"), "OK"))</f>
        <v/>
      </c>
      <c r="AR294" s="79">
        <f>IF(AN294="","",IF(OR(AO294&lt;&gt;"OK", AP294&lt;&gt;"OK", AQ294&lt;&gt;"OK"), "⚠️ REVISAR", "OK"))</f>
        <v/>
      </c>
    </row>
    <row r="295">
      <c r="A295" s="79">
        <f>IF('Ordenes_Odoo'!A295="","",'Ordenes_Odoo'!A295)</f>
        <v/>
      </c>
      <c r="B295" s="80">
        <f>IF('Ordenes_Odoo'!B295="","",'Ordenes_Odoo'!B295)</f>
        <v/>
      </c>
      <c r="C295" s="79">
        <f>IF('Ordenes_Odoo'!C295="","",'Ordenes_Odoo'!C295)</f>
        <v/>
      </c>
      <c r="D295" s="79">
        <f>IF('Ordenes_Odoo'!D295="","",'Ordenes_Odoo'!D295)</f>
        <v/>
      </c>
      <c r="E295" s="79">
        <f>IF('Ordenes_Odoo'!E295="","",'Ordenes_Odoo'!E295)</f>
        <v/>
      </c>
      <c r="F295" s="79">
        <f>IF('Ordenes_Odoo'!F295="","",'Ordenes_Odoo'!F295)</f>
        <v/>
      </c>
      <c r="G295" s="79">
        <f>IF('Ordenes_Odoo'!G295="","",'Ordenes_Odoo'!G295)</f>
        <v/>
      </c>
      <c r="H295" s="79">
        <f>IF('Ordenes_Odoo'!H295="","",'Ordenes_Odoo'!H295)</f>
        <v/>
      </c>
      <c r="I295" s="79">
        <f>IF('Ordenes_Odoo'!I295="","",'Ordenes_Odoo'!I295)</f>
        <v/>
      </c>
      <c r="J295" s="79">
        <f>IF('Ordenes_Odoo'!J295="","",'Ordenes_Odoo'!J295)</f>
        <v/>
      </c>
      <c r="K295" s="81">
        <f>IF('Ordenes_Odoo'!K295="","",'Ordenes_Odoo'!K295)</f>
        <v/>
      </c>
      <c r="L295" s="81">
        <f>IF('Ordenes_Odoo'!L295="","",'Ordenes_Odoo'!L295)</f>
        <v/>
      </c>
      <c r="M295" s="79">
        <f>IF('Ordenes_Odoo'!M295="","",'Ordenes_Odoo'!M295)</f>
        <v/>
      </c>
      <c r="N295" s="79">
        <f>IF('Ordenes_Odoo'!N295="","",'Ordenes_Odoo'!N295)</f>
        <v/>
      </c>
      <c r="O295" s="81">
        <f>IF('Ordenes_Odoo'!O295="","",'Ordenes_Odoo'!O295)</f>
        <v/>
      </c>
      <c r="P295" s="81">
        <f>IF('Ordenes_Odoo'!P295="","",'Ordenes_Odoo'!P295)</f>
        <v/>
      </c>
      <c r="Q295" s="79">
        <f>IF(A295="","",IFERROR(INDEX(Facturas_Odoo!$B:$B, MATCH(A295, Facturas_Odoo!$D:$D, 0)), "Sin Factura"))</f>
        <v/>
      </c>
      <c r="R295" s="80">
        <f>IF(Q295="Sin Factura","",IFERROR(INDEX(Facturas_Odoo!$A:$A, MATCH(Q295, Facturas_Odoo!$B:$B, 0)), ""))</f>
        <v/>
      </c>
      <c r="S295" s="79">
        <f>IF(Q295="Sin Factura","",IFERROR(_xlfn.XLOOKUP(1, (Facturas_Odoo!$D:$D=A295) * (Facturas_Odoo!$K:$K=I295), Facturas_Odoo!$L:$L, ""), ""))</f>
        <v/>
      </c>
      <c r="T295" s="81">
        <f>IF(Q295="Sin Factura",0,IFERROR(_xlfn.XLOOKUP(1, (Facturas_Odoo!$D:$D=A295) * (Facturas_Odoo!$K:$K=I295), Facturas_Odoo!$M:$M, 0), 0))</f>
        <v/>
      </c>
      <c r="U295" s="79">
        <f>IF(Q295="Sin Factura",0,IFERROR(_xlfn.XLOOKUP(1, (Facturas_Odoo!$D:$D=A295) * (Facturas_Odoo!$K:$K=I295), Facturas_Odoo!$N:$N, 0), 0))</f>
        <v/>
      </c>
      <c r="V295" s="79">
        <f>IF(Q295="Sin Factura",0,IFERROR(_xlfn.XLOOKUP(1, (Facturas_Odoo!$D:$D=A295) * (Facturas_Odoo!$K:$K=I295), Facturas_Odoo!$O:$O, 0), 0))</f>
        <v/>
      </c>
      <c r="W295" s="81">
        <f>IF(Q295="Sin Factura",0,IFERROR(_xlfn.XLOOKUP(1, (Facturas_Odoo!$D:$D=A295) * (Facturas_Odoo!$K:$K=I295), Facturas_Odoo!$Q:$Q, 0), 0))</f>
        <v/>
      </c>
      <c r="X295" s="79">
        <f>IF(OR(Q295="Sin Factura",Q295=""),"",IFERROR(INDEX(Pagos_Odoo!$B:$B, MATCH(Q295, Pagos_Odoo!$I:$I, 0)), "Sin Pago"))</f>
        <v/>
      </c>
      <c r="Y295" s="79">
        <f>IF(X295="Sin Pago","",IFERROR(INDEX(Pagos_Odoo!$C:$C, MATCH(X295, Pagos_Odoo!$B:$B, 0)), ""))</f>
        <v/>
      </c>
      <c r="Z295" s="80">
        <f>IF(X295="Sin Pago","",IFERROR(INDEX(Pagos_Odoo!$A:$A, MATCH(X295, Pagos_Odoo!$B:$B, 0)), ""))</f>
        <v/>
      </c>
      <c r="AA295" s="79">
        <f>IF(X295="Sin Pago","",IFERROR(INDEX(Pagos_Odoo!$F:$F, MATCH(X295, Pagos_Odoo!$B:$B, 0)), ""))</f>
        <v/>
      </c>
      <c r="AB295" s="81">
        <f>IF(X295="Sin Pago",0,IFERROR(INDEX(Pagos_Odoo!$E:$E, MATCH(X295, Pagos_Odoo!$B:$B, 0)), 0))</f>
        <v/>
      </c>
      <c r="AC295" s="79">
        <f>IF(X295="Sin Pago","",IFERROR(INDEX(Pagos_Odoo!$G:$G, MATCH(X295, Pagos_Odoo!$B:$B, 0)), ""))</f>
        <v/>
      </c>
      <c r="AD295" s="82" t="n">
        <v>0</v>
      </c>
      <c r="AE295" s="82" t="n"/>
      <c r="AF295" s="82" t="n"/>
      <c r="AG295" s="82">
        <f>IF(AN295="","",AD295+AE295+AF295)</f>
        <v/>
      </c>
      <c r="AH295" s="81">
        <f>IF(AN295="","",P295*(1-AG295))</f>
        <v/>
      </c>
      <c r="AI295" s="81">
        <f>IF(AN295="","",IF(Q295="Sin Factura",0,IFERROR(INDEX(Facturas_Odoo!$H:$H, MATCH(Q295, Facturas_Odoo!$B:$B, 0)), 0)*(1-AG295)))</f>
        <v/>
      </c>
      <c r="AJ295" s="81">
        <f>IF(AN295="","",_xlfn.LET(idVenta, AN295&amp;"",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5" s="81">
        <f>IF(AN295="","",AH295-AJ295)</f>
        <v/>
      </c>
      <c r="AL295" s="81">
        <f>IF(AN295="","",IF(Q295="Sin Factura","",AI295-AJ295))</f>
        <v/>
      </c>
      <c r="AM295" s="81">
        <f>IF(AN295="","",IF(Q295="Sin Factura",0,P295-IFERROR(INDEX(Facturas_Odoo!$H:$H, MATCH(Q295, Facturas_Odoo!$B:$B, 0)), 0)))</f>
        <v/>
      </c>
      <c r="AN295" s="79">
        <f>IF(AND(A295="", J295=""), "", IF(A295&lt;&gt;"", VALUE(MID(A295,2,LEN(A295))), AN294))</f>
        <v/>
      </c>
      <c r="AO295" s="79">
        <f>IF(AN295="","",IF(AD295=0,"OK",_xlfn.LET(monedaPago, IF(AA295="","USD",AA295), limitePermitido, IFERROR(VLOOKUP(monedaPago, Configuración!$A$2:$B$3, 2, FALSE), 0.15), IF(AD295&gt;limitePermitido, "ALERTA: EXCESO (" &amp; TEXT(limitePermitido, "0%") &amp; " máx)", "OK"))))</f>
        <v/>
      </c>
      <c r="AP295" s="79">
        <f>IF(AN295="","",IF(AE295=0,"OK",_xlfn.LET(fechaPago, Z295, fechaFactura, R295, diasCredito, IF(E295="Pago inmediato", 0, IFERROR(VALUE(MID(E295, 1, SEARCH(" ", E295)-1)),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5" s="79">
        <f>IF(AN295="","",IF(AND(N295&gt;0, AG295&gt;0), IF(Configuración!$K$2="NO", "ALERTA: DESCUENTO DOBLE NO PERMITIDO", "OK"), "OK"))</f>
        <v/>
      </c>
      <c r="AR295" s="79">
        <f>IF(AN295="","",IF(OR(AO295&lt;&gt;"OK", AP295&lt;&gt;"OK", AQ295&lt;&gt;"OK"), "⚠️ REVISAR", "OK"))</f>
        <v/>
      </c>
    </row>
    <row r="296">
      <c r="A296" s="79">
        <f>IF('Ordenes_Odoo'!A296="","",'Ordenes_Odoo'!A296)</f>
        <v/>
      </c>
      <c r="B296" s="80">
        <f>IF('Ordenes_Odoo'!B296="","",'Ordenes_Odoo'!B296)</f>
        <v/>
      </c>
      <c r="C296" s="79">
        <f>IF('Ordenes_Odoo'!C296="","",'Ordenes_Odoo'!C296)</f>
        <v/>
      </c>
      <c r="D296" s="79">
        <f>IF('Ordenes_Odoo'!D296="","",'Ordenes_Odoo'!D296)</f>
        <v/>
      </c>
      <c r="E296" s="79">
        <f>IF('Ordenes_Odoo'!E296="","",'Ordenes_Odoo'!E296)</f>
        <v/>
      </c>
      <c r="F296" s="79">
        <f>IF('Ordenes_Odoo'!F296="","",'Ordenes_Odoo'!F296)</f>
        <v/>
      </c>
      <c r="G296" s="79">
        <f>IF('Ordenes_Odoo'!G296="","",'Ordenes_Odoo'!G296)</f>
        <v/>
      </c>
      <c r="H296" s="79">
        <f>IF('Ordenes_Odoo'!H296="","",'Ordenes_Odoo'!H296)</f>
        <v/>
      </c>
      <c r="I296" s="79">
        <f>IF('Ordenes_Odoo'!I296="","",'Ordenes_Odoo'!I296)</f>
        <v/>
      </c>
      <c r="J296" s="79">
        <f>IF('Ordenes_Odoo'!J296="","",'Ordenes_Odoo'!J296)</f>
        <v/>
      </c>
      <c r="K296" s="81">
        <f>IF('Ordenes_Odoo'!K296="","",'Ordenes_Odoo'!K296)</f>
        <v/>
      </c>
      <c r="L296" s="81">
        <f>IF('Ordenes_Odoo'!L296="","",'Ordenes_Odoo'!L296)</f>
        <v/>
      </c>
      <c r="M296" s="79">
        <f>IF('Ordenes_Odoo'!M296="","",'Ordenes_Odoo'!M296)</f>
        <v/>
      </c>
      <c r="N296" s="79">
        <f>IF('Ordenes_Odoo'!N296="","",'Ordenes_Odoo'!N296)</f>
        <v/>
      </c>
      <c r="O296" s="81">
        <f>IF('Ordenes_Odoo'!O296="","",'Ordenes_Odoo'!O296)</f>
        <v/>
      </c>
      <c r="P296" s="81">
        <f>IF('Ordenes_Odoo'!P296="","",'Ordenes_Odoo'!P296)</f>
        <v/>
      </c>
      <c r="Q296" s="79">
        <f>IF(A296="","",IFERROR(INDEX(Facturas_Odoo!$B:$B, MATCH(A296, Facturas_Odoo!$D:$D, 0)), "Sin Factura"))</f>
        <v/>
      </c>
      <c r="R296" s="80">
        <f>IF(Q296="Sin Factura","",IFERROR(INDEX(Facturas_Odoo!$A:$A, MATCH(Q296, Facturas_Odoo!$B:$B, 0)), ""))</f>
        <v/>
      </c>
      <c r="S296" s="79">
        <f>IF(Q296="Sin Factura","",IFERROR(_xlfn.XLOOKUP(1, (Facturas_Odoo!$D:$D=A296) * (Facturas_Odoo!$K:$K=I296), Facturas_Odoo!$L:$L, ""), ""))</f>
        <v/>
      </c>
      <c r="T296" s="81">
        <f>IF(Q296="Sin Factura",0,IFERROR(_xlfn.XLOOKUP(1, (Facturas_Odoo!$D:$D=A296) * (Facturas_Odoo!$K:$K=I296), Facturas_Odoo!$M:$M, 0), 0))</f>
        <v/>
      </c>
      <c r="U296" s="79">
        <f>IF(Q296="Sin Factura",0,IFERROR(_xlfn.XLOOKUP(1, (Facturas_Odoo!$D:$D=A296) * (Facturas_Odoo!$K:$K=I296), Facturas_Odoo!$N:$N, 0), 0))</f>
        <v/>
      </c>
      <c r="V296" s="79">
        <f>IF(Q296="Sin Factura",0,IFERROR(_xlfn.XLOOKUP(1, (Facturas_Odoo!$D:$D=A296) * (Facturas_Odoo!$K:$K=I296), Facturas_Odoo!$O:$O, 0), 0))</f>
        <v/>
      </c>
      <c r="W296" s="81">
        <f>IF(Q296="Sin Factura",0,IFERROR(_xlfn.XLOOKUP(1, (Facturas_Odoo!$D:$D=A296) * (Facturas_Odoo!$K:$K=I296), Facturas_Odoo!$Q:$Q, 0), 0))</f>
        <v/>
      </c>
      <c r="X296" s="79">
        <f>IF(OR(Q296="Sin Factura",Q296=""),"",IFERROR(INDEX(Pagos_Odoo!$B:$B, MATCH(Q296, Pagos_Odoo!$I:$I, 0)), "Sin Pago"))</f>
        <v/>
      </c>
      <c r="Y296" s="79">
        <f>IF(X296="Sin Pago","",IFERROR(INDEX(Pagos_Odoo!$C:$C, MATCH(X296, Pagos_Odoo!$B:$B, 0)), ""))</f>
        <v/>
      </c>
      <c r="Z296" s="80">
        <f>IF(X296="Sin Pago","",IFERROR(INDEX(Pagos_Odoo!$A:$A, MATCH(X296, Pagos_Odoo!$B:$B, 0)), ""))</f>
        <v/>
      </c>
      <c r="AA296" s="79">
        <f>IF(X296="Sin Pago","",IFERROR(INDEX(Pagos_Odoo!$F:$F, MATCH(X296, Pagos_Odoo!$B:$B, 0)), ""))</f>
        <v/>
      </c>
      <c r="AB296" s="81">
        <f>IF(X296="Sin Pago",0,IFERROR(INDEX(Pagos_Odoo!$E:$E, MATCH(X296, Pagos_Odoo!$B:$B, 0)), 0))</f>
        <v/>
      </c>
      <c r="AC296" s="79">
        <f>IF(X296="Sin Pago","",IFERROR(INDEX(Pagos_Odoo!$G:$G, MATCH(X296, Pagos_Odoo!$B:$B, 0)), ""))</f>
        <v/>
      </c>
      <c r="AD296" s="82" t="n">
        <v>0</v>
      </c>
      <c r="AE296" s="82" t="n"/>
      <c r="AF296" s="82" t="n"/>
      <c r="AG296" s="82">
        <f>IF(AN296="","",AD296+AE296+AF296)</f>
        <v/>
      </c>
      <c r="AH296" s="81">
        <f>IF(AN296="","",P296*(1-AG296))</f>
        <v/>
      </c>
      <c r="AI296" s="81">
        <f>IF(AN296="","",IF(Q296="Sin Factura",0,IFERROR(INDEX(Facturas_Odoo!$H:$H, MATCH(Q296, Facturas_Odoo!$B:$B, 0)), 0)*(1-AG296)))</f>
        <v/>
      </c>
      <c r="AJ296" s="81">
        <f>IF(AN296="","",_xlfn.LET(idVenta, AN296&amp;"",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6" s="81">
        <f>IF(AN296="","",AH296-AJ296)</f>
        <v/>
      </c>
      <c r="AL296" s="81">
        <f>IF(AN296="","",IF(Q296="Sin Factura","",AI296-AJ296))</f>
        <v/>
      </c>
      <c r="AM296" s="81">
        <f>IF(AN296="","",IF(Q296="Sin Factura",0,P296-IFERROR(INDEX(Facturas_Odoo!$H:$H, MATCH(Q296, Facturas_Odoo!$B:$B, 0)), 0)))</f>
        <v/>
      </c>
      <c r="AN296" s="79">
        <f>IF(AND(A296="", J296=""), "", IF(A296&lt;&gt;"", VALUE(MID(A296,2,LEN(A296))), AN295))</f>
        <v/>
      </c>
      <c r="AO296" s="79">
        <f>IF(AN296="","",IF(AD296=0,"OK",_xlfn.LET(monedaPago, IF(AA296="","USD",AA296), limitePermitido, IFERROR(VLOOKUP(monedaPago, Configuración!$A$2:$B$3, 2, FALSE), 0.15), IF(AD296&gt;limitePermitido, "ALERTA: EXCESO (" &amp; TEXT(limitePermitido, "0%") &amp; " máx)", "OK"))))</f>
        <v/>
      </c>
      <c r="AP296" s="79">
        <f>IF(AN296="","",IF(AE296=0,"OK",_xlfn.LET(fechaPago, Z296, fechaFactura, R296, diasCredito, IF(E296="Pago inmediato", 0, IFERROR(VALUE(MID(E296, 1, SEARCH(" ", E296)-1)),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6" s="79">
        <f>IF(AN296="","",IF(AND(N296&gt;0, AG296&gt;0), IF(Configuración!$K$2="NO", "ALERTA: DESCUENTO DOBLE NO PERMITIDO", "OK"), "OK"))</f>
        <v/>
      </c>
      <c r="AR296" s="79">
        <f>IF(AN296="","",IF(OR(AO296&lt;&gt;"OK", AP296&lt;&gt;"OK", AQ296&lt;&gt;"OK"), "⚠️ REVISAR", "OK"))</f>
        <v/>
      </c>
    </row>
    <row r="297">
      <c r="A297" s="79">
        <f>IF('Ordenes_Odoo'!A297="","",'Ordenes_Odoo'!A297)</f>
        <v/>
      </c>
      <c r="B297" s="80">
        <f>IF('Ordenes_Odoo'!B297="","",'Ordenes_Odoo'!B297)</f>
        <v/>
      </c>
      <c r="C297" s="79">
        <f>IF('Ordenes_Odoo'!C297="","",'Ordenes_Odoo'!C297)</f>
        <v/>
      </c>
      <c r="D297" s="79">
        <f>IF('Ordenes_Odoo'!D297="","",'Ordenes_Odoo'!D297)</f>
        <v/>
      </c>
      <c r="E297" s="79">
        <f>IF('Ordenes_Odoo'!E297="","",'Ordenes_Odoo'!E297)</f>
        <v/>
      </c>
      <c r="F297" s="79">
        <f>IF('Ordenes_Odoo'!F297="","",'Ordenes_Odoo'!F297)</f>
        <v/>
      </c>
      <c r="G297" s="79">
        <f>IF('Ordenes_Odoo'!G297="","",'Ordenes_Odoo'!G297)</f>
        <v/>
      </c>
      <c r="H297" s="79">
        <f>IF('Ordenes_Odoo'!H297="","",'Ordenes_Odoo'!H297)</f>
        <v/>
      </c>
      <c r="I297" s="79">
        <f>IF('Ordenes_Odoo'!I297="","",'Ordenes_Odoo'!I297)</f>
        <v/>
      </c>
      <c r="J297" s="79">
        <f>IF('Ordenes_Odoo'!J297="","",'Ordenes_Odoo'!J297)</f>
        <v/>
      </c>
      <c r="K297" s="81">
        <f>IF('Ordenes_Odoo'!K297="","",'Ordenes_Odoo'!K297)</f>
        <v/>
      </c>
      <c r="L297" s="81">
        <f>IF('Ordenes_Odoo'!L297="","",'Ordenes_Odoo'!L297)</f>
        <v/>
      </c>
      <c r="M297" s="79">
        <f>IF('Ordenes_Odoo'!M297="","",'Ordenes_Odoo'!M297)</f>
        <v/>
      </c>
      <c r="N297" s="79">
        <f>IF('Ordenes_Odoo'!N297="","",'Ordenes_Odoo'!N297)</f>
        <v/>
      </c>
      <c r="O297" s="81">
        <f>IF('Ordenes_Odoo'!O297="","",'Ordenes_Odoo'!O297)</f>
        <v/>
      </c>
      <c r="P297" s="81">
        <f>IF('Ordenes_Odoo'!P297="","",'Ordenes_Odoo'!P297)</f>
        <v/>
      </c>
      <c r="Q297" s="79">
        <f>IF(A297="","",IFERROR(INDEX(Facturas_Odoo!$B:$B, MATCH(A297, Facturas_Odoo!$D:$D, 0)), "Sin Factura"))</f>
        <v/>
      </c>
      <c r="R297" s="80">
        <f>IF(Q297="Sin Factura","",IFERROR(INDEX(Facturas_Odoo!$A:$A, MATCH(Q297, Facturas_Odoo!$B:$B, 0)), ""))</f>
        <v/>
      </c>
      <c r="S297" s="79">
        <f>IF(Q297="Sin Factura","",IFERROR(_xlfn.XLOOKUP(1, (Facturas_Odoo!$D:$D=A297) * (Facturas_Odoo!$K:$K=I297), Facturas_Odoo!$L:$L, ""), ""))</f>
        <v/>
      </c>
      <c r="T297" s="81">
        <f>IF(Q297="Sin Factura",0,IFERROR(_xlfn.XLOOKUP(1, (Facturas_Odoo!$D:$D=A297) * (Facturas_Odoo!$K:$K=I297), Facturas_Odoo!$M:$M, 0), 0))</f>
        <v/>
      </c>
      <c r="U297" s="79">
        <f>IF(Q297="Sin Factura",0,IFERROR(_xlfn.XLOOKUP(1, (Facturas_Odoo!$D:$D=A297) * (Facturas_Odoo!$K:$K=I297), Facturas_Odoo!$N:$N, 0), 0))</f>
        <v/>
      </c>
      <c r="V297" s="79">
        <f>IF(Q297="Sin Factura",0,IFERROR(_xlfn.XLOOKUP(1, (Facturas_Odoo!$D:$D=A297) * (Facturas_Odoo!$K:$K=I297), Facturas_Odoo!$O:$O, 0), 0))</f>
        <v/>
      </c>
      <c r="W297" s="81">
        <f>IF(Q297="Sin Factura",0,IFERROR(_xlfn.XLOOKUP(1, (Facturas_Odoo!$D:$D=A297) * (Facturas_Odoo!$K:$K=I297), Facturas_Odoo!$Q:$Q, 0), 0))</f>
        <v/>
      </c>
      <c r="X297" s="79">
        <f>IF(OR(Q297="Sin Factura",Q297=""),"",IFERROR(INDEX(Pagos_Odoo!$B:$B, MATCH(Q297, Pagos_Odoo!$I:$I, 0)), "Sin Pago"))</f>
        <v/>
      </c>
      <c r="Y297" s="79">
        <f>IF(X297="Sin Pago","",IFERROR(INDEX(Pagos_Odoo!$C:$C, MATCH(X297, Pagos_Odoo!$B:$B, 0)), ""))</f>
        <v/>
      </c>
      <c r="Z297" s="80">
        <f>IF(X297="Sin Pago","",IFERROR(INDEX(Pagos_Odoo!$A:$A, MATCH(X297, Pagos_Odoo!$B:$B, 0)), ""))</f>
        <v/>
      </c>
      <c r="AA297" s="79">
        <f>IF(X297="Sin Pago","",IFERROR(INDEX(Pagos_Odoo!$F:$F, MATCH(X297, Pagos_Odoo!$B:$B, 0)), ""))</f>
        <v/>
      </c>
      <c r="AB297" s="81">
        <f>IF(X297="Sin Pago",0,IFERROR(INDEX(Pagos_Odoo!$E:$E, MATCH(X297, Pagos_Odoo!$B:$B, 0)), 0))</f>
        <v/>
      </c>
      <c r="AC297" s="79">
        <f>IF(X297="Sin Pago","",IFERROR(INDEX(Pagos_Odoo!$G:$G, MATCH(X297, Pagos_Odoo!$B:$B, 0)), ""))</f>
        <v/>
      </c>
      <c r="AD297" s="82" t="n">
        <v>0</v>
      </c>
      <c r="AE297" s="82" t="n"/>
      <c r="AF297" s="82" t="n"/>
      <c r="AG297" s="82">
        <f>IF(AN297="","",AD297+AE297+AF297)</f>
        <v/>
      </c>
      <c r="AH297" s="81">
        <f>IF(AN297="","",P297*(1-AG297))</f>
        <v/>
      </c>
      <c r="AI297" s="81">
        <f>IF(AN297="","",IF(Q297="Sin Factura",0,IFERROR(INDEX(Facturas_Odoo!$H:$H, MATCH(Q297, Facturas_Odoo!$B:$B, 0)), 0)*(1-AG297)))</f>
        <v/>
      </c>
      <c r="AJ297" s="81">
        <f>IF(AN297="","",_xlfn.LET(idVenta, AN297&amp;"",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7" s="81">
        <f>IF(AN297="","",AH297-AJ297)</f>
        <v/>
      </c>
      <c r="AL297" s="81">
        <f>IF(AN297="","",IF(Q297="Sin Factura","",AI297-AJ297))</f>
        <v/>
      </c>
      <c r="AM297" s="81">
        <f>IF(AN297="","",IF(Q297="Sin Factura",0,P297-IFERROR(INDEX(Facturas_Odoo!$H:$H, MATCH(Q297, Facturas_Odoo!$B:$B, 0)), 0)))</f>
        <v/>
      </c>
      <c r="AN297" s="79">
        <f>IF(AND(A297="", J297=""), "", IF(A297&lt;&gt;"", VALUE(MID(A297,2,LEN(A297))), AN296))</f>
        <v/>
      </c>
      <c r="AO297" s="79">
        <f>IF(AN297="","",IF(AD297=0,"OK",_xlfn.LET(monedaPago, IF(AA297="","USD",AA297), limitePermitido, IFERROR(VLOOKUP(monedaPago, Configuración!$A$2:$B$3, 2, FALSE), 0.15), IF(AD297&gt;limitePermitido, "ALERTA: EXCESO (" &amp; TEXT(limitePermitido, "0%") &amp; " máx)", "OK"))))</f>
        <v/>
      </c>
      <c r="AP297" s="79">
        <f>IF(AN297="","",IF(AE297=0,"OK",_xlfn.LET(fechaPago, Z297, fechaFactura, R297, diasCredito, IF(E297="Pago inmediato", 0, IFERROR(VALUE(MID(E297, 1, SEARCH(" ", E297)-1)),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7" s="79">
        <f>IF(AN297="","",IF(AND(N297&gt;0, AG297&gt;0), IF(Configuración!$K$2="NO", "ALERTA: DESCUENTO DOBLE NO PERMITIDO", "OK"), "OK"))</f>
        <v/>
      </c>
      <c r="AR297" s="79">
        <f>IF(AN297="","",IF(OR(AO297&lt;&gt;"OK", AP297&lt;&gt;"OK", AQ297&lt;&gt;"OK"), "⚠️ REVISAR", "OK"))</f>
        <v/>
      </c>
    </row>
    <row r="298">
      <c r="A298" s="79">
        <f>IF('Ordenes_Odoo'!A298="","",'Ordenes_Odoo'!A298)</f>
        <v/>
      </c>
      <c r="B298" s="80">
        <f>IF('Ordenes_Odoo'!B298="","",'Ordenes_Odoo'!B298)</f>
        <v/>
      </c>
      <c r="C298" s="79">
        <f>IF('Ordenes_Odoo'!C298="","",'Ordenes_Odoo'!C298)</f>
        <v/>
      </c>
      <c r="D298" s="79">
        <f>IF('Ordenes_Odoo'!D298="","",'Ordenes_Odoo'!D298)</f>
        <v/>
      </c>
      <c r="E298" s="79">
        <f>IF('Ordenes_Odoo'!E298="","",'Ordenes_Odoo'!E298)</f>
        <v/>
      </c>
      <c r="F298" s="79">
        <f>IF('Ordenes_Odoo'!F298="","",'Ordenes_Odoo'!F298)</f>
        <v/>
      </c>
      <c r="G298" s="79">
        <f>IF('Ordenes_Odoo'!G298="","",'Ordenes_Odoo'!G298)</f>
        <v/>
      </c>
      <c r="H298" s="79">
        <f>IF('Ordenes_Odoo'!H298="","",'Ordenes_Odoo'!H298)</f>
        <v/>
      </c>
      <c r="I298" s="79">
        <f>IF('Ordenes_Odoo'!I298="","",'Ordenes_Odoo'!I298)</f>
        <v/>
      </c>
      <c r="J298" s="79">
        <f>IF('Ordenes_Odoo'!J298="","",'Ordenes_Odoo'!J298)</f>
        <v/>
      </c>
      <c r="K298" s="81">
        <f>IF('Ordenes_Odoo'!K298="","",'Ordenes_Odoo'!K298)</f>
        <v/>
      </c>
      <c r="L298" s="81">
        <f>IF('Ordenes_Odoo'!L298="","",'Ordenes_Odoo'!L298)</f>
        <v/>
      </c>
      <c r="M298" s="79">
        <f>IF('Ordenes_Odoo'!M298="","",'Ordenes_Odoo'!M298)</f>
        <v/>
      </c>
      <c r="N298" s="79">
        <f>IF('Ordenes_Odoo'!N298="","",'Ordenes_Odoo'!N298)</f>
        <v/>
      </c>
      <c r="O298" s="81">
        <f>IF('Ordenes_Odoo'!O298="","",'Ordenes_Odoo'!O298)</f>
        <v/>
      </c>
      <c r="P298" s="81">
        <f>IF('Ordenes_Odoo'!P298="","",'Ordenes_Odoo'!P298)</f>
        <v/>
      </c>
      <c r="Q298" s="79">
        <f>IF(A298="","",IFERROR(INDEX(Facturas_Odoo!$B:$B, MATCH(A298, Facturas_Odoo!$D:$D, 0)), "Sin Factura"))</f>
        <v/>
      </c>
      <c r="R298" s="80">
        <f>IF(Q298="Sin Factura","",IFERROR(INDEX(Facturas_Odoo!$A:$A, MATCH(Q298, Facturas_Odoo!$B:$B, 0)), ""))</f>
        <v/>
      </c>
      <c r="S298" s="79">
        <f>IF(Q298="Sin Factura","",IFERROR(_xlfn.XLOOKUP(1, (Facturas_Odoo!$D:$D=A298) * (Facturas_Odoo!$K:$K=I298), Facturas_Odoo!$L:$L, ""), ""))</f>
        <v/>
      </c>
      <c r="T298" s="81">
        <f>IF(Q298="Sin Factura",0,IFERROR(_xlfn.XLOOKUP(1, (Facturas_Odoo!$D:$D=A298) * (Facturas_Odoo!$K:$K=I298), Facturas_Odoo!$M:$M, 0), 0))</f>
        <v/>
      </c>
      <c r="U298" s="79">
        <f>IF(Q298="Sin Factura",0,IFERROR(_xlfn.XLOOKUP(1, (Facturas_Odoo!$D:$D=A298) * (Facturas_Odoo!$K:$K=I298), Facturas_Odoo!$N:$N, 0), 0))</f>
        <v/>
      </c>
      <c r="V298" s="79">
        <f>IF(Q298="Sin Factura",0,IFERROR(_xlfn.XLOOKUP(1, (Facturas_Odoo!$D:$D=A298) * (Facturas_Odoo!$K:$K=I298), Facturas_Odoo!$O:$O, 0), 0))</f>
        <v/>
      </c>
      <c r="W298" s="81">
        <f>IF(Q298="Sin Factura",0,IFERROR(_xlfn.XLOOKUP(1, (Facturas_Odoo!$D:$D=A298) * (Facturas_Odoo!$K:$K=I298), Facturas_Odoo!$Q:$Q, 0), 0))</f>
        <v/>
      </c>
      <c r="X298" s="79">
        <f>IF(OR(Q298="Sin Factura",Q298=""),"",IFERROR(INDEX(Pagos_Odoo!$B:$B, MATCH(Q298, Pagos_Odoo!$I:$I, 0)), "Sin Pago"))</f>
        <v/>
      </c>
      <c r="Y298" s="79">
        <f>IF(X298="Sin Pago","",IFERROR(INDEX(Pagos_Odoo!$C:$C, MATCH(X298, Pagos_Odoo!$B:$B, 0)), ""))</f>
        <v/>
      </c>
      <c r="Z298" s="80">
        <f>IF(X298="Sin Pago","",IFERROR(INDEX(Pagos_Odoo!$A:$A, MATCH(X298, Pagos_Odoo!$B:$B, 0)), ""))</f>
        <v/>
      </c>
      <c r="AA298" s="79">
        <f>IF(X298="Sin Pago","",IFERROR(INDEX(Pagos_Odoo!$F:$F, MATCH(X298, Pagos_Odoo!$B:$B, 0)), ""))</f>
        <v/>
      </c>
      <c r="AB298" s="81">
        <f>IF(X298="Sin Pago",0,IFERROR(INDEX(Pagos_Odoo!$E:$E, MATCH(X298, Pagos_Odoo!$B:$B, 0)), 0))</f>
        <v/>
      </c>
      <c r="AC298" s="79">
        <f>IF(X298="Sin Pago","",IFERROR(INDEX(Pagos_Odoo!$G:$G, MATCH(X298, Pagos_Odoo!$B:$B, 0)), ""))</f>
        <v/>
      </c>
      <c r="AD298" s="82" t="n">
        <v>0</v>
      </c>
      <c r="AE298" s="82" t="n"/>
      <c r="AF298" s="82" t="n"/>
      <c r="AG298" s="82">
        <f>IF(AN298="","",AD298+AE298+AF298)</f>
        <v/>
      </c>
      <c r="AH298" s="81">
        <f>IF(AN298="","",P298*(1-AG298))</f>
        <v/>
      </c>
      <c r="AI298" s="81">
        <f>IF(AN298="","",IF(Q298="Sin Factura",0,IFERROR(INDEX(Facturas_Odoo!$H:$H, MATCH(Q298, Facturas_Odoo!$B:$B, 0)), 0)*(1-AG298)))</f>
        <v/>
      </c>
      <c r="AJ298" s="81">
        <f>IF(AN298="","",_xlfn.LET(idVenta, AN298&amp;"",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8" s="81">
        <f>IF(AN298="","",AH298-AJ298)</f>
        <v/>
      </c>
      <c r="AL298" s="81">
        <f>IF(AN298="","",IF(Q298="Sin Factura","",AI298-AJ298))</f>
        <v/>
      </c>
      <c r="AM298" s="81">
        <f>IF(AN298="","",IF(Q298="Sin Factura",0,P298-IFERROR(INDEX(Facturas_Odoo!$H:$H, MATCH(Q298, Facturas_Odoo!$B:$B, 0)), 0)))</f>
        <v/>
      </c>
      <c r="AN298" s="79">
        <f>IF(AND(A298="", J298=""), "", IF(A298&lt;&gt;"", VALUE(MID(A298,2,LEN(A298))), AN297))</f>
        <v/>
      </c>
      <c r="AO298" s="79">
        <f>IF(AN298="","",IF(AD298=0,"OK",_xlfn.LET(monedaPago, IF(AA298="","USD",AA298), limitePermitido, IFERROR(VLOOKUP(monedaPago, Configuración!$A$2:$B$3, 2, FALSE), 0.15), IF(AD298&gt;limitePermitido, "ALERTA: EXCESO (" &amp; TEXT(limitePermitido, "0%") &amp; " máx)", "OK"))))</f>
        <v/>
      </c>
      <c r="AP298" s="79">
        <f>IF(AN298="","",IF(AE298=0,"OK",_xlfn.LET(fechaPago, Z298, fechaFactura, R298, diasCredito, IF(E298="Pago inmediato", 0, IFERROR(VALUE(MID(E298, 1, SEARCH(" ", E298)-1)),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8" s="79">
        <f>IF(AN298="","",IF(AND(N298&gt;0, AG298&gt;0), IF(Configuración!$K$2="NO", "ALERTA: DESCUENTO DOBLE NO PERMITIDO", "OK"), "OK"))</f>
        <v/>
      </c>
      <c r="AR298" s="79">
        <f>IF(AN298="","",IF(OR(AO298&lt;&gt;"OK", AP298&lt;&gt;"OK", AQ298&lt;&gt;"OK"), "⚠️ REVISAR", "OK"))</f>
        <v/>
      </c>
    </row>
    <row r="299">
      <c r="A299" s="79">
        <f>IF('Ordenes_Odoo'!A299="","",'Ordenes_Odoo'!A299)</f>
        <v/>
      </c>
      <c r="B299" s="80">
        <f>IF('Ordenes_Odoo'!B299="","",'Ordenes_Odoo'!B299)</f>
        <v/>
      </c>
      <c r="C299" s="79">
        <f>IF('Ordenes_Odoo'!C299="","",'Ordenes_Odoo'!C299)</f>
        <v/>
      </c>
      <c r="D299" s="79">
        <f>IF('Ordenes_Odoo'!D299="","",'Ordenes_Odoo'!D299)</f>
        <v/>
      </c>
      <c r="E299" s="79">
        <f>IF('Ordenes_Odoo'!E299="","",'Ordenes_Odoo'!E299)</f>
        <v/>
      </c>
      <c r="F299" s="79">
        <f>IF('Ordenes_Odoo'!F299="","",'Ordenes_Odoo'!F299)</f>
        <v/>
      </c>
      <c r="G299" s="79">
        <f>IF('Ordenes_Odoo'!G299="","",'Ordenes_Odoo'!G299)</f>
        <v/>
      </c>
      <c r="H299" s="79">
        <f>IF('Ordenes_Odoo'!H299="","",'Ordenes_Odoo'!H299)</f>
        <v/>
      </c>
      <c r="I299" s="79">
        <f>IF('Ordenes_Odoo'!I299="","",'Ordenes_Odoo'!I299)</f>
        <v/>
      </c>
      <c r="J299" s="79">
        <f>IF('Ordenes_Odoo'!J299="","",'Ordenes_Odoo'!J299)</f>
        <v/>
      </c>
      <c r="K299" s="81">
        <f>IF('Ordenes_Odoo'!K299="","",'Ordenes_Odoo'!K299)</f>
        <v/>
      </c>
      <c r="L299" s="81">
        <f>IF('Ordenes_Odoo'!L299="","",'Ordenes_Odoo'!L299)</f>
        <v/>
      </c>
      <c r="M299" s="79">
        <f>IF('Ordenes_Odoo'!M299="","",'Ordenes_Odoo'!M299)</f>
        <v/>
      </c>
      <c r="N299" s="79">
        <f>IF('Ordenes_Odoo'!N299="","",'Ordenes_Odoo'!N299)</f>
        <v/>
      </c>
      <c r="O299" s="81">
        <f>IF('Ordenes_Odoo'!O299="","",'Ordenes_Odoo'!O299)</f>
        <v/>
      </c>
      <c r="P299" s="81">
        <f>IF('Ordenes_Odoo'!P299="","",'Ordenes_Odoo'!P299)</f>
        <v/>
      </c>
      <c r="Q299" s="79">
        <f>IF(A299="","",IFERROR(INDEX(Facturas_Odoo!$B:$B, MATCH(A299, Facturas_Odoo!$D:$D, 0)), "Sin Factura"))</f>
        <v/>
      </c>
      <c r="R299" s="80">
        <f>IF(Q299="Sin Factura","",IFERROR(INDEX(Facturas_Odoo!$A:$A, MATCH(Q299, Facturas_Odoo!$B:$B, 0)), ""))</f>
        <v/>
      </c>
      <c r="S299" s="79">
        <f>IF(Q299="Sin Factura","",IFERROR(_xlfn.XLOOKUP(1, (Facturas_Odoo!$D:$D=A299) * (Facturas_Odoo!$K:$K=I299), Facturas_Odoo!$L:$L, ""), ""))</f>
        <v/>
      </c>
      <c r="T299" s="81">
        <f>IF(Q299="Sin Factura",0,IFERROR(_xlfn.XLOOKUP(1, (Facturas_Odoo!$D:$D=A299) * (Facturas_Odoo!$K:$K=I299), Facturas_Odoo!$M:$M, 0), 0))</f>
        <v/>
      </c>
      <c r="U299" s="79">
        <f>IF(Q299="Sin Factura",0,IFERROR(_xlfn.XLOOKUP(1, (Facturas_Odoo!$D:$D=A299) * (Facturas_Odoo!$K:$K=I299), Facturas_Odoo!$N:$N, 0), 0))</f>
        <v/>
      </c>
      <c r="V299" s="79">
        <f>IF(Q299="Sin Factura",0,IFERROR(_xlfn.XLOOKUP(1, (Facturas_Odoo!$D:$D=A299) * (Facturas_Odoo!$K:$K=I299), Facturas_Odoo!$O:$O, 0), 0))</f>
        <v/>
      </c>
      <c r="W299" s="81">
        <f>IF(Q299="Sin Factura",0,IFERROR(_xlfn.XLOOKUP(1, (Facturas_Odoo!$D:$D=A299) * (Facturas_Odoo!$K:$K=I299), Facturas_Odoo!$Q:$Q, 0), 0))</f>
        <v/>
      </c>
      <c r="X299" s="79">
        <f>IF(OR(Q299="Sin Factura",Q299=""),"",IFERROR(INDEX(Pagos_Odoo!$B:$B, MATCH(Q299, Pagos_Odoo!$I:$I, 0)), "Sin Pago"))</f>
        <v/>
      </c>
      <c r="Y299" s="79">
        <f>IF(X299="Sin Pago","",IFERROR(INDEX(Pagos_Odoo!$C:$C, MATCH(X299, Pagos_Odoo!$B:$B, 0)), ""))</f>
        <v/>
      </c>
      <c r="Z299" s="80">
        <f>IF(X299="Sin Pago","",IFERROR(INDEX(Pagos_Odoo!$A:$A, MATCH(X299, Pagos_Odoo!$B:$B, 0)), ""))</f>
        <v/>
      </c>
      <c r="AA299" s="79">
        <f>IF(X299="Sin Pago","",IFERROR(INDEX(Pagos_Odoo!$F:$F, MATCH(X299, Pagos_Odoo!$B:$B, 0)), ""))</f>
        <v/>
      </c>
      <c r="AB299" s="81">
        <f>IF(X299="Sin Pago",0,IFERROR(INDEX(Pagos_Odoo!$E:$E, MATCH(X299, Pagos_Odoo!$B:$B, 0)), 0))</f>
        <v/>
      </c>
      <c r="AC299" s="79">
        <f>IF(X299="Sin Pago","",IFERROR(INDEX(Pagos_Odoo!$G:$G, MATCH(X299, Pagos_Odoo!$B:$B, 0)), ""))</f>
        <v/>
      </c>
      <c r="AD299" s="82" t="n">
        <v>0</v>
      </c>
      <c r="AE299" s="82" t="n"/>
      <c r="AF299" s="82" t="n"/>
      <c r="AG299" s="82">
        <f>IF(AN299="","",AD299+AE299+AF299)</f>
        <v/>
      </c>
      <c r="AH299" s="81">
        <f>IF(AN299="","",P299*(1-AG299))</f>
        <v/>
      </c>
      <c r="AI299" s="81">
        <f>IF(AN299="","",IF(Q299="Sin Factura",0,IFERROR(INDEX(Facturas_Odoo!$H:$H, MATCH(Q299, Facturas_Odoo!$B:$B, 0)), 0)*(1-AG299)))</f>
        <v/>
      </c>
      <c r="AJ299" s="81">
        <f>IF(AN299="","",_xlfn.LET(idVenta, AN299&amp;"",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9" s="81">
        <f>IF(AN299="","",AH299-AJ299)</f>
        <v/>
      </c>
      <c r="AL299" s="81">
        <f>IF(AN299="","",IF(Q299="Sin Factura","",AI299-AJ299))</f>
        <v/>
      </c>
      <c r="AM299" s="81">
        <f>IF(AN299="","",IF(Q299="Sin Factura",0,P299-IFERROR(INDEX(Facturas_Odoo!$H:$H, MATCH(Q299, Facturas_Odoo!$B:$B, 0)), 0)))</f>
        <v/>
      </c>
      <c r="AN299" s="79">
        <f>IF(AND(A299="", J299=""), "", IF(A299&lt;&gt;"", VALUE(MID(A299,2,LEN(A299))), AN298))</f>
        <v/>
      </c>
      <c r="AO299" s="79">
        <f>IF(AN299="","",IF(AD299=0,"OK",_xlfn.LET(monedaPago, IF(AA299="","USD",AA299), limitePermitido, IFERROR(VLOOKUP(monedaPago, Configuración!$A$2:$B$3, 2, FALSE), 0.15), IF(AD299&gt;limitePermitido, "ALERTA: EXCESO (" &amp; TEXT(limitePermitido, "0%") &amp; " máx)", "OK"))))</f>
        <v/>
      </c>
      <c r="AP299" s="79">
        <f>IF(AN299="","",IF(AE299=0,"OK",_xlfn.LET(fechaPago, Z299, fechaFactura, R299, diasCredito, IF(E299="Pago inmediato", 0, IFERROR(VALUE(MID(E299, 1, SEARCH(" ", E299)-1)),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9" s="79">
        <f>IF(AN299="","",IF(AND(N299&gt;0, AG299&gt;0), IF(Configuración!$K$2="NO", "ALERTA: DESCUENTO DOBLE NO PERMITIDO", "OK"), "OK"))</f>
        <v/>
      </c>
      <c r="AR299" s="79">
        <f>IF(AN299="","",IF(OR(AO299&lt;&gt;"OK", AP299&lt;&gt;"OK", AQ299&lt;&gt;"OK"), "⚠️ REVISAR", "OK"))</f>
        <v/>
      </c>
    </row>
    <row r="300">
      <c r="A300" s="79">
        <f>IF('Ordenes_Odoo'!A300="","",'Ordenes_Odoo'!A300)</f>
        <v/>
      </c>
      <c r="B300" s="80">
        <f>IF('Ordenes_Odoo'!B300="","",'Ordenes_Odoo'!B300)</f>
        <v/>
      </c>
      <c r="C300" s="79">
        <f>IF('Ordenes_Odoo'!C300="","",'Ordenes_Odoo'!C300)</f>
        <v/>
      </c>
      <c r="D300" s="79">
        <f>IF('Ordenes_Odoo'!D300="","",'Ordenes_Odoo'!D300)</f>
        <v/>
      </c>
      <c r="E300" s="79">
        <f>IF('Ordenes_Odoo'!E300="","",'Ordenes_Odoo'!E300)</f>
        <v/>
      </c>
      <c r="F300" s="79">
        <f>IF('Ordenes_Odoo'!F300="","",'Ordenes_Odoo'!F300)</f>
        <v/>
      </c>
      <c r="G300" s="79">
        <f>IF('Ordenes_Odoo'!G300="","",'Ordenes_Odoo'!G300)</f>
        <v/>
      </c>
      <c r="H300" s="79">
        <f>IF('Ordenes_Odoo'!H300="","",'Ordenes_Odoo'!H300)</f>
        <v/>
      </c>
      <c r="I300" s="79">
        <f>IF('Ordenes_Odoo'!I300="","",'Ordenes_Odoo'!I300)</f>
        <v/>
      </c>
      <c r="J300" s="79">
        <f>IF('Ordenes_Odoo'!J300="","",'Ordenes_Odoo'!J300)</f>
        <v/>
      </c>
      <c r="K300" s="81">
        <f>IF('Ordenes_Odoo'!K300="","",'Ordenes_Odoo'!K300)</f>
        <v/>
      </c>
      <c r="L300" s="81">
        <f>IF('Ordenes_Odoo'!L300="","",'Ordenes_Odoo'!L300)</f>
        <v/>
      </c>
      <c r="M300" s="79">
        <f>IF('Ordenes_Odoo'!M300="","",'Ordenes_Odoo'!M300)</f>
        <v/>
      </c>
      <c r="N300" s="79">
        <f>IF('Ordenes_Odoo'!N300="","",'Ordenes_Odoo'!N300)</f>
        <v/>
      </c>
      <c r="O300" s="81">
        <f>IF('Ordenes_Odoo'!O300="","",'Ordenes_Odoo'!O300)</f>
        <v/>
      </c>
      <c r="P300" s="81">
        <f>IF('Ordenes_Odoo'!P300="","",'Ordenes_Odoo'!P300)</f>
        <v/>
      </c>
      <c r="Q300" s="79">
        <f>IF(A300="","",IFERROR(INDEX(Facturas_Odoo!$B:$B, MATCH(A300, Facturas_Odoo!$D:$D, 0)), "Sin Factura"))</f>
        <v/>
      </c>
      <c r="R300" s="80">
        <f>IF(Q300="Sin Factura","",IFERROR(INDEX(Facturas_Odoo!$A:$A, MATCH(Q300, Facturas_Odoo!$B:$B, 0)), ""))</f>
        <v/>
      </c>
      <c r="S300" s="79">
        <f>IF(Q300="Sin Factura","",IFERROR(_xlfn.XLOOKUP(1, (Facturas_Odoo!$D:$D=A300) * (Facturas_Odoo!$K:$K=I300), Facturas_Odoo!$L:$L, ""), ""))</f>
        <v/>
      </c>
      <c r="T300" s="81">
        <f>IF(Q300="Sin Factura",0,IFERROR(_xlfn.XLOOKUP(1, (Facturas_Odoo!$D:$D=A300) * (Facturas_Odoo!$K:$K=I300), Facturas_Odoo!$M:$M, 0), 0))</f>
        <v/>
      </c>
      <c r="U300" s="79">
        <f>IF(Q300="Sin Factura",0,IFERROR(_xlfn.XLOOKUP(1, (Facturas_Odoo!$D:$D=A300) * (Facturas_Odoo!$K:$K=I300), Facturas_Odoo!$N:$N, 0), 0))</f>
        <v/>
      </c>
      <c r="V300" s="79">
        <f>IF(Q300="Sin Factura",0,IFERROR(_xlfn.XLOOKUP(1, (Facturas_Odoo!$D:$D=A300) * (Facturas_Odoo!$K:$K=I300), Facturas_Odoo!$O:$O, 0), 0))</f>
        <v/>
      </c>
      <c r="W300" s="81">
        <f>IF(Q300="Sin Factura",0,IFERROR(_xlfn.XLOOKUP(1, (Facturas_Odoo!$D:$D=A300) * (Facturas_Odoo!$K:$K=I300), Facturas_Odoo!$Q:$Q, 0), 0))</f>
        <v/>
      </c>
      <c r="X300" s="79">
        <f>IF(OR(Q300="Sin Factura",Q300=""),"",IFERROR(INDEX(Pagos_Odoo!$B:$B, MATCH(Q300, Pagos_Odoo!$I:$I, 0)), "Sin Pago"))</f>
        <v/>
      </c>
      <c r="Y300" s="79">
        <f>IF(X300="Sin Pago","",IFERROR(INDEX(Pagos_Odoo!$C:$C, MATCH(X300, Pagos_Odoo!$B:$B, 0)), ""))</f>
        <v/>
      </c>
      <c r="Z300" s="80">
        <f>IF(X300="Sin Pago","",IFERROR(INDEX(Pagos_Odoo!$A:$A, MATCH(X300, Pagos_Odoo!$B:$B, 0)), ""))</f>
        <v/>
      </c>
      <c r="AA300" s="79">
        <f>IF(X300="Sin Pago","",IFERROR(INDEX(Pagos_Odoo!$F:$F, MATCH(X300, Pagos_Odoo!$B:$B, 0)), ""))</f>
        <v/>
      </c>
      <c r="AB300" s="81">
        <f>IF(X300="Sin Pago",0,IFERROR(INDEX(Pagos_Odoo!$E:$E, MATCH(X300, Pagos_Odoo!$B:$B, 0)), 0))</f>
        <v/>
      </c>
      <c r="AC300" s="79">
        <f>IF(X300="Sin Pago","",IFERROR(INDEX(Pagos_Odoo!$G:$G, MATCH(X300, Pagos_Odoo!$B:$B, 0)), ""))</f>
        <v/>
      </c>
      <c r="AD300" s="82" t="n">
        <v>0</v>
      </c>
      <c r="AE300" s="82" t="n"/>
      <c r="AF300" s="82" t="n"/>
      <c r="AG300" s="82">
        <f>IF(AN300="","",AD300+AE300+AF300)</f>
        <v/>
      </c>
      <c r="AH300" s="81">
        <f>IF(AN300="","",P300*(1-AG300))</f>
        <v/>
      </c>
      <c r="AI300" s="81">
        <f>IF(AN300="","",IF(Q300="Sin Factura",0,IFERROR(INDEX(Facturas_Odoo!$H:$H, MATCH(Q300, Facturas_Odoo!$B:$B, 0)), 0)*(1-AG300)))</f>
        <v/>
      </c>
      <c r="AJ300" s="81">
        <f>IF(AN300="","",_xlfn.LET(idVenta, AN300&amp;"",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00" s="81">
        <f>IF(AN300="","",AH300-AJ300)</f>
        <v/>
      </c>
      <c r="AL300" s="81">
        <f>IF(AN300="","",IF(Q300="Sin Factura","",AI300-AJ300))</f>
        <v/>
      </c>
      <c r="AM300" s="81">
        <f>IF(AN300="","",IF(Q300="Sin Factura",0,P300-IFERROR(INDEX(Facturas_Odoo!$H:$H, MATCH(Q300, Facturas_Odoo!$B:$B, 0)), 0)))</f>
        <v/>
      </c>
      <c r="AN300" s="79">
        <f>IF(AND(A300="", J300=""), "", IF(A300&lt;&gt;"", VALUE(MID(A300,2,LEN(A300))), AN299))</f>
        <v/>
      </c>
      <c r="AO300" s="79">
        <f>IF(AN300="","",IF(AD300=0,"OK",_xlfn.LET(monedaPago, IF(AA300="","USD",AA300), limitePermitido, IFERROR(VLOOKUP(monedaPago, Configuración!$A$2:$B$3, 2, FALSE), 0.15), IF(AD300&gt;limitePermitido, "ALERTA: EXCESO (" &amp; TEXT(limitePermitido, "0%") &amp; " máx)", "OK"))))</f>
        <v/>
      </c>
      <c r="AP300" s="79">
        <f>IF(AN300="","",IF(AE300=0,"OK",_xlfn.LET(fechaPago, Z300, fechaFactura, R300, diasCredito, IF(E300="Pago inmediato", 0, IFERROR(VALUE(MID(E300, 1, SEARCH(" ", E300)-1)),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00" s="79">
        <f>IF(AN300="","",IF(AND(N300&gt;0, AG300&gt;0), IF(Configuración!$K$2="NO", "ALERTA: DESCUENTO DOBLE NO PERMITIDO", "OK"), "OK"))</f>
        <v/>
      </c>
      <c r="AR300" s="79">
        <f>IF(AN300="","",IF(OR(AO300&lt;&gt;"OK", AP300&lt;&gt;"OK", AQ300&lt;&gt;"OK"), "⚠️ REVISAR", "OK"))</f>
        <v/>
      </c>
    </row>
    <row r="301">
      <c r="A301" s="79">
        <f>IF('Ordenes_Odoo'!A301="","",'Ordenes_Odoo'!A301)</f>
        <v/>
      </c>
      <c r="B301" s="80">
        <f>IF('Ordenes_Odoo'!B301="","",'Ordenes_Odoo'!B301)</f>
        <v/>
      </c>
      <c r="C301" s="79">
        <f>IF('Ordenes_Odoo'!C301="","",'Ordenes_Odoo'!C301)</f>
        <v/>
      </c>
      <c r="D301" s="79">
        <f>IF('Ordenes_Odoo'!D301="","",'Ordenes_Odoo'!D301)</f>
        <v/>
      </c>
      <c r="E301" s="79">
        <f>IF('Ordenes_Odoo'!E301="","",'Ordenes_Odoo'!E301)</f>
        <v/>
      </c>
      <c r="F301" s="79">
        <f>IF('Ordenes_Odoo'!F301="","",'Ordenes_Odoo'!F301)</f>
        <v/>
      </c>
      <c r="G301" s="79">
        <f>IF('Ordenes_Odoo'!G301="","",'Ordenes_Odoo'!G301)</f>
        <v/>
      </c>
      <c r="H301" s="79">
        <f>IF('Ordenes_Odoo'!H301="","",'Ordenes_Odoo'!H301)</f>
        <v/>
      </c>
      <c r="I301" s="79">
        <f>IF('Ordenes_Odoo'!I301="","",'Ordenes_Odoo'!I301)</f>
        <v/>
      </c>
      <c r="J301" s="79">
        <f>IF('Ordenes_Odoo'!J301="","",'Ordenes_Odoo'!J301)</f>
        <v/>
      </c>
      <c r="K301" s="81">
        <f>IF('Ordenes_Odoo'!K301="","",'Ordenes_Odoo'!K301)</f>
        <v/>
      </c>
      <c r="L301" s="81">
        <f>IF('Ordenes_Odoo'!L301="","",'Ordenes_Odoo'!L301)</f>
        <v/>
      </c>
      <c r="M301" s="79">
        <f>IF('Ordenes_Odoo'!M301="","",'Ordenes_Odoo'!M301)</f>
        <v/>
      </c>
      <c r="N301" s="79">
        <f>IF('Ordenes_Odoo'!N301="","",'Ordenes_Odoo'!N301)</f>
        <v/>
      </c>
      <c r="O301" s="81">
        <f>IF('Ordenes_Odoo'!O301="","",'Ordenes_Odoo'!O301)</f>
        <v/>
      </c>
      <c r="P301" s="81">
        <f>IF('Ordenes_Odoo'!P301="","",'Ordenes_Odoo'!P301)</f>
        <v/>
      </c>
      <c r="Q301" s="79">
        <f>IF(A301="","",IFERROR(INDEX(Facturas_Odoo!$B:$B, MATCH(A301, Facturas_Odoo!$D:$D, 0)), "Sin Factura"))</f>
        <v/>
      </c>
      <c r="R301" s="80">
        <f>IF(Q301="Sin Factura","",IFERROR(INDEX(Facturas_Odoo!$A:$A, MATCH(Q301, Facturas_Odoo!$B:$B, 0)), ""))</f>
        <v/>
      </c>
      <c r="S301" s="79">
        <f>IF(Q301="Sin Factura","",IFERROR(_xlfn.XLOOKUP(1, (Facturas_Odoo!$D:$D=A301) * (Facturas_Odoo!$K:$K=I301), Facturas_Odoo!$L:$L, ""), ""))</f>
        <v/>
      </c>
      <c r="T301" s="81">
        <f>IF(Q301="Sin Factura",0,IFERROR(_xlfn.XLOOKUP(1, (Facturas_Odoo!$D:$D=A301) * (Facturas_Odoo!$K:$K=I301), Facturas_Odoo!$M:$M, 0), 0))</f>
        <v/>
      </c>
      <c r="U301" s="79">
        <f>IF(Q301="Sin Factura",0,IFERROR(_xlfn.XLOOKUP(1, (Facturas_Odoo!$D:$D=A301) * (Facturas_Odoo!$K:$K=I301), Facturas_Odoo!$N:$N, 0), 0))</f>
        <v/>
      </c>
      <c r="V301" s="79">
        <f>IF(Q301="Sin Factura",0,IFERROR(_xlfn.XLOOKUP(1, (Facturas_Odoo!$D:$D=A301) * (Facturas_Odoo!$K:$K=I301), Facturas_Odoo!$O:$O, 0), 0))</f>
        <v/>
      </c>
      <c r="W301" s="81">
        <f>IF(Q301="Sin Factura",0,IFERROR(_xlfn.XLOOKUP(1, (Facturas_Odoo!$D:$D=A301) * (Facturas_Odoo!$K:$K=I301), Facturas_Odoo!$Q:$Q, 0), 0))</f>
        <v/>
      </c>
      <c r="X301" s="79">
        <f>IF(OR(Q301="Sin Factura",Q301=""),"",IFERROR(INDEX(Pagos_Odoo!$B:$B, MATCH(Q301, Pagos_Odoo!$I:$I, 0)), "Sin Pago"))</f>
        <v/>
      </c>
      <c r="Y301" s="79">
        <f>IF(X301="Sin Pago","",IFERROR(INDEX(Pagos_Odoo!$C:$C, MATCH(X301, Pagos_Odoo!$B:$B, 0)), ""))</f>
        <v/>
      </c>
      <c r="Z301" s="80">
        <f>IF(X301="Sin Pago","",IFERROR(INDEX(Pagos_Odoo!$A:$A, MATCH(X301, Pagos_Odoo!$B:$B, 0)), ""))</f>
        <v/>
      </c>
      <c r="AA301" s="79">
        <f>IF(X301="Sin Pago","",IFERROR(INDEX(Pagos_Odoo!$F:$F, MATCH(X301, Pagos_Odoo!$B:$B, 0)), ""))</f>
        <v/>
      </c>
      <c r="AB301" s="81">
        <f>IF(X301="Sin Pago",0,IFERROR(INDEX(Pagos_Odoo!$E:$E, MATCH(X301, Pagos_Odoo!$B:$B, 0)), 0))</f>
        <v/>
      </c>
      <c r="AC301" s="79">
        <f>IF(X301="Sin Pago","",IFERROR(INDEX(Pagos_Odoo!$G:$G, MATCH(X301, Pagos_Odoo!$B:$B, 0)), ""))</f>
        <v/>
      </c>
      <c r="AD301" s="82" t="n">
        <v>0</v>
      </c>
      <c r="AE301" s="82" t="n"/>
      <c r="AF301" s="82" t="n"/>
      <c r="AG301" s="82">
        <f>IF(AN301="","",AD301+AE301+AF301)</f>
        <v/>
      </c>
      <c r="AH301" s="81">
        <f>IF(AN301="","",P301*(1-AG301))</f>
        <v/>
      </c>
      <c r="AI301" s="81">
        <f>IF(AN301="","",IF(Q301="Sin Factura",0,IFERROR(INDEX(Facturas_Odoo!$H:$H, MATCH(Q301, Facturas_Odoo!$B:$B, 0)), 0)*(1-AG301)))</f>
        <v/>
      </c>
      <c r="AJ301" s="81">
        <f>IF(AN301="","",_xlfn.LET(idVenta, AN301&amp;"",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01" s="81">
        <f>IF(AN301="","",AH301-AJ301)</f>
        <v/>
      </c>
      <c r="AL301" s="81">
        <f>IF(AN301="","",IF(Q301="Sin Factura","",AI301-AJ301))</f>
        <v/>
      </c>
      <c r="AM301" s="81">
        <f>IF(AN301="","",IF(Q301="Sin Factura",0,P301-IFERROR(INDEX(Facturas_Odoo!$H:$H, MATCH(Q301, Facturas_Odoo!$B:$B, 0)), 0)))</f>
        <v/>
      </c>
      <c r="AN301" s="79">
        <f>IF(AND(A301="", J301=""), "", IF(A301&lt;&gt;"", VALUE(MID(A301,2,LEN(A301))), AN300))</f>
        <v/>
      </c>
      <c r="AO301" s="79">
        <f>IF(AN301="","",IF(AD301=0,"OK",_xlfn.LET(monedaPago, IF(AA301="","USD",AA301), limitePermitido, IFERROR(VLOOKUP(monedaPago, Configuración!$A$2:$B$3, 2, FALSE), 0.15), IF(AD301&gt;limitePermitido, "ALERTA: EXCESO (" &amp; TEXT(limitePermitido, "0%") &amp; " máx)", "OK"))))</f>
        <v/>
      </c>
      <c r="AP301" s="79">
        <f>IF(AN301="","",IF(AE301=0,"OK",_xlfn.LET(fechaPago, Z301, fechaFactura, R301, diasCredito, IF(E301="Pago inmediato", 0, IFERROR(VALUE(MID(E301, 1, SEARCH(" ", E301)-1)),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01" s="79">
        <f>IF(AN301="","",IF(AND(N301&gt;0, AG301&gt;0), IF(Configuración!$K$2="NO", "ALERTA: DESCUENTO DOBLE NO PERMITIDO", "OK"), "OK"))</f>
        <v/>
      </c>
      <c r="AR301" s="79">
        <f>IF(AN301="","",IF(OR(AO301&lt;&gt;"OK", AP301&lt;&gt;"OK", AQ301&lt;&gt;"OK"), "⚠️ REVISAR", "OK"))</f>
        <v/>
      </c>
    </row>
    <row r="302">
      <c r="A302" s="79">
        <f>IF('Ordenes_Odoo'!A302="","",'Ordenes_Odoo'!A302)</f>
        <v/>
      </c>
      <c r="B302" s="80">
        <f>IF('Ordenes_Odoo'!B302="","",'Ordenes_Odoo'!B302)</f>
        <v/>
      </c>
      <c r="C302" s="79">
        <f>IF('Ordenes_Odoo'!C302="","",'Ordenes_Odoo'!C302)</f>
        <v/>
      </c>
      <c r="D302" s="79">
        <f>IF('Ordenes_Odoo'!D302="","",'Ordenes_Odoo'!D302)</f>
        <v/>
      </c>
      <c r="E302" s="79">
        <f>IF('Ordenes_Odoo'!E302="","",'Ordenes_Odoo'!E302)</f>
        <v/>
      </c>
      <c r="F302" s="79">
        <f>IF('Ordenes_Odoo'!F302="","",'Ordenes_Odoo'!F302)</f>
        <v/>
      </c>
      <c r="G302" s="79">
        <f>IF('Ordenes_Odoo'!G302="","",'Ordenes_Odoo'!G302)</f>
        <v/>
      </c>
      <c r="H302" s="79">
        <f>IF('Ordenes_Odoo'!H302="","",'Ordenes_Odoo'!H302)</f>
        <v/>
      </c>
      <c r="I302" s="79">
        <f>IF('Ordenes_Odoo'!I302="","",'Ordenes_Odoo'!I302)</f>
        <v/>
      </c>
      <c r="J302" s="79">
        <f>IF('Ordenes_Odoo'!J302="","",'Ordenes_Odoo'!J302)</f>
        <v/>
      </c>
      <c r="K302" s="81">
        <f>IF('Ordenes_Odoo'!K302="","",'Ordenes_Odoo'!K302)</f>
        <v/>
      </c>
      <c r="L302" s="81">
        <f>IF('Ordenes_Odoo'!L302="","",'Ordenes_Odoo'!L302)</f>
        <v/>
      </c>
      <c r="M302" s="79">
        <f>IF('Ordenes_Odoo'!M302="","",'Ordenes_Odoo'!M302)</f>
        <v/>
      </c>
      <c r="N302" s="79">
        <f>IF('Ordenes_Odoo'!N302="","",'Ordenes_Odoo'!N302)</f>
        <v/>
      </c>
      <c r="O302" s="81">
        <f>IF('Ordenes_Odoo'!O302="","",'Ordenes_Odoo'!O302)</f>
        <v/>
      </c>
      <c r="P302" s="81">
        <f>IF('Ordenes_Odoo'!P302="","",'Ordenes_Odoo'!P302)</f>
        <v/>
      </c>
      <c r="Q302" s="79">
        <f>IF(A302="","",IFERROR(INDEX(Facturas_Odoo!$B:$B, MATCH(A302, Facturas_Odoo!$D:$D, 0)), "Sin Factura"))</f>
        <v/>
      </c>
      <c r="R302" s="80">
        <f>IF(Q302="Sin Factura","",IFERROR(INDEX(Facturas_Odoo!$A:$A, MATCH(Q302, Facturas_Odoo!$B:$B, 0)), ""))</f>
        <v/>
      </c>
      <c r="S302" s="79">
        <f>IF(Q302="Sin Factura","",IFERROR(_xlfn.XLOOKUP(1, (Facturas_Odoo!$D:$D=A302) * (Facturas_Odoo!$K:$K=I302), Facturas_Odoo!$L:$L, ""), ""))</f>
        <v/>
      </c>
      <c r="T302" s="81">
        <f>IF(Q302="Sin Factura",0,IFERROR(_xlfn.XLOOKUP(1, (Facturas_Odoo!$D:$D=A302) * (Facturas_Odoo!$K:$K=I302), Facturas_Odoo!$M:$M, 0), 0))</f>
        <v/>
      </c>
      <c r="U302" s="79">
        <f>IF(Q302="Sin Factura",0,IFERROR(_xlfn.XLOOKUP(1, (Facturas_Odoo!$D:$D=A302) * (Facturas_Odoo!$K:$K=I302), Facturas_Odoo!$N:$N, 0), 0))</f>
        <v/>
      </c>
      <c r="V302" s="79">
        <f>IF(Q302="Sin Factura",0,IFERROR(_xlfn.XLOOKUP(1, (Facturas_Odoo!$D:$D=A302) * (Facturas_Odoo!$K:$K=I302), Facturas_Odoo!$O:$O, 0), 0))</f>
        <v/>
      </c>
      <c r="W302" s="81">
        <f>IF(Q302="Sin Factura",0,IFERROR(_xlfn.XLOOKUP(1, (Facturas_Odoo!$D:$D=A302) * (Facturas_Odoo!$K:$K=I302), Facturas_Odoo!$Q:$Q, 0), 0))</f>
        <v/>
      </c>
      <c r="X302" s="79">
        <f>IF(OR(Q302="Sin Factura",Q302=""),"",IFERROR(INDEX(Pagos_Odoo!$B:$B, MATCH(Q302, Pagos_Odoo!$I:$I, 0)), "Sin Pago"))</f>
        <v/>
      </c>
      <c r="Y302" s="79">
        <f>IF(X302="Sin Pago","",IFERROR(INDEX(Pagos_Odoo!$C:$C, MATCH(X302, Pagos_Odoo!$B:$B, 0)), ""))</f>
        <v/>
      </c>
      <c r="Z302" s="80">
        <f>IF(X302="Sin Pago","",IFERROR(INDEX(Pagos_Odoo!$A:$A, MATCH(X302, Pagos_Odoo!$B:$B, 0)), ""))</f>
        <v/>
      </c>
      <c r="AA302" s="79">
        <f>IF(X302="Sin Pago","",IFERROR(INDEX(Pagos_Odoo!$F:$F, MATCH(X302, Pagos_Odoo!$B:$B, 0)), ""))</f>
        <v/>
      </c>
      <c r="AB302" s="81">
        <f>IF(X302="Sin Pago",0,IFERROR(INDEX(Pagos_Odoo!$E:$E, MATCH(X302, Pagos_Odoo!$B:$B, 0)), 0))</f>
        <v/>
      </c>
      <c r="AC302" s="79">
        <f>IF(X302="Sin Pago","",IFERROR(INDEX(Pagos_Odoo!$G:$G, MATCH(X302, Pagos_Odoo!$B:$B, 0)), ""))</f>
        <v/>
      </c>
      <c r="AD302" s="82" t="n">
        <v>0</v>
      </c>
      <c r="AE302" s="82" t="n"/>
      <c r="AF302" s="82" t="n"/>
      <c r="AG302" s="82">
        <f>IF(AN302="","",AD302+AE302+AF302)</f>
        <v/>
      </c>
      <c r="AH302" s="81">
        <f>IF(AN302="","",P302*(1-AG302))</f>
        <v/>
      </c>
      <c r="AI302" s="81">
        <f>IF(AN302="","",IF(Q302="Sin Factura",0,IFERROR(INDEX(Facturas_Odoo!$H:$H, MATCH(Q302, Facturas_Odoo!$B:$B, 0)), 0)*(1-AG302)))</f>
        <v/>
      </c>
      <c r="AJ302" s="81">
        <f>IF(AN302="","",_xlfn.LET(idVenta, AN302&amp;"",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02" s="81">
        <f>IF(AN302="","",AH302-AJ302)</f>
        <v/>
      </c>
      <c r="AL302" s="81">
        <f>IF(AN302="","",IF(Q302="Sin Factura","",AI302-AJ302))</f>
        <v/>
      </c>
      <c r="AM302" s="81">
        <f>IF(AN302="","",IF(Q302="Sin Factura",0,P302-IFERROR(INDEX(Facturas_Odoo!$H:$H, MATCH(Q302, Facturas_Odoo!$B:$B, 0)), 0)))</f>
        <v/>
      </c>
      <c r="AN302" s="79">
        <f>IF(AND(A302="", J302=""), "", IF(A302&lt;&gt;"", VALUE(MID(A302,2,LEN(A302))), AN301))</f>
        <v/>
      </c>
      <c r="AO302" s="79">
        <f>IF(AN302="","",IF(AD302=0,"OK",_xlfn.LET(monedaPago, IF(AA302="","USD",AA302), limitePermitido, IFERROR(VLOOKUP(monedaPago, Configuración!$A$2:$B$3, 2, FALSE), 0.15), IF(AD302&gt;limitePermitido, "ALERTA: EXCESO (" &amp; TEXT(limitePermitido, "0%") &amp; " máx)", "OK"))))</f>
        <v/>
      </c>
      <c r="AP302" s="79">
        <f>IF(AN302="","",IF(AE302=0,"OK",_xlfn.LET(fechaPago, Z302, fechaFactura, R302, diasCredito, IF(E302="Pago inmediato", 0, IFERROR(VALUE(MID(E302, 1, SEARCH(" ", E302)-1)),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02" s="79">
        <f>IF(AN302="","",IF(AND(N302&gt;0, AG302&gt;0), IF(Configuración!$K$2="NO", "ALERTA: DESCUENTO DOBLE NO PERMITIDO", "OK"), "OK"))</f>
        <v/>
      </c>
      <c r="AR302" s="79">
        <f>IF(AN302="","",IF(OR(AO302&lt;&gt;"OK", AP302&lt;&gt;"OK", AQ302&lt;&gt;"OK"), "⚠️ REVISAR", "OK"))</f>
        <v/>
      </c>
    </row>
    <row r="303">
      <c r="A303" s="79">
        <f>IF('Ordenes_Odoo'!A303="","",'Ordenes_Odoo'!A303)</f>
        <v/>
      </c>
      <c r="B303" s="80">
        <f>IF('Ordenes_Odoo'!B303="","",'Ordenes_Odoo'!B303)</f>
        <v/>
      </c>
      <c r="C303" s="79">
        <f>IF('Ordenes_Odoo'!C303="","",'Ordenes_Odoo'!C303)</f>
        <v/>
      </c>
      <c r="D303" s="79">
        <f>IF('Ordenes_Odoo'!D303="","",'Ordenes_Odoo'!D303)</f>
        <v/>
      </c>
      <c r="E303" s="79">
        <f>IF('Ordenes_Odoo'!E303="","",'Ordenes_Odoo'!E303)</f>
        <v/>
      </c>
      <c r="F303" s="79">
        <f>IF('Ordenes_Odoo'!F303="","",'Ordenes_Odoo'!F303)</f>
        <v/>
      </c>
      <c r="G303" s="79">
        <f>IF('Ordenes_Odoo'!G303="","",'Ordenes_Odoo'!G303)</f>
        <v/>
      </c>
      <c r="H303" s="79">
        <f>IF('Ordenes_Odoo'!H303="","",'Ordenes_Odoo'!H303)</f>
        <v/>
      </c>
      <c r="I303" s="79">
        <f>IF('Ordenes_Odoo'!I303="","",'Ordenes_Odoo'!I303)</f>
        <v/>
      </c>
      <c r="J303" s="79">
        <f>IF('Ordenes_Odoo'!J303="","",'Ordenes_Odoo'!J303)</f>
        <v/>
      </c>
      <c r="K303" s="81">
        <f>IF('Ordenes_Odoo'!K303="","",'Ordenes_Odoo'!K303)</f>
        <v/>
      </c>
      <c r="L303" s="81">
        <f>IF('Ordenes_Odoo'!L303="","",'Ordenes_Odoo'!L303)</f>
        <v/>
      </c>
      <c r="M303" s="79">
        <f>IF('Ordenes_Odoo'!M303="","",'Ordenes_Odoo'!M303)</f>
        <v/>
      </c>
      <c r="N303" s="79">
        <f>IF('Ordenes_Odoo'!N303="","",'Ordenes_Odoo'!N303)</f>
        <v/>
      </c>
      <c r="O303" s="81">
        <f>IF('Ordenes_Odoo'!O303="","",'Ordenes_Odoo'!O303)</f>
        <v/>
      </c>
      <c r="P303" s="81">
        <f>IF('Ordenes_Odoo'!P303="","",'Ordenes_Odoo'!P303)</f>
        <v/>
      </c>
      <c r="Q303" s="79">
        <f>IF(A303="","",IFERROR(INDEX(Facturas_Odoo!$B:$B, MATCH(A303, Facturas_Odoo!$D:$D, 0)), "Sin Factura"))</f>
        <v/>
      </c>
      <c r="R303" s="80">
        <f>IF(Q303="Sin Factura","",IFERROR(INDEX(Facturas_Odoo!$A:$A, MATCH(Q303, Facturas_Odoo!$B:$B, 0)), ""))</f>
        <v/>
      </c>
      <c r="S303" s="79">
        <f>IF(Q303="Sin Factura","",IFERROR(_xlfn.XLOOKUP(1, (Facturas_Odoo!$D:$D=A303) * (Facturas_Odoo!$K:$K=I303), Facturas_Odoo!$L:$L, ""), ""))</f>
        <v/>
      </c>
      <c r="T303" s="81">
        <f>IF(Q303="Sin Factura",0,IFERROR(_xlfn.XLOOKUP(1, (Facturas_Odoo!$D:$D=A303) * (Facturas_Odoo!$K:$K=I303), Facturas_Odoo!$M:$M, 0), 0))</f>
        <v/>
      </c>
      <c r="U303" s="79">
        <f>IF(Q303="Sin Factura",0,IFERROR(_xlfn.XLOOKUP(1, (Facturas_Odoo!$D:$D=A303) * (Facturas_Odoo!$K:$K=I303), Facturas_Odoo!$N:$N, 0), 0))</f>
        <v/>
      </c>
      <c r="V303" s="79">
        <f>IF(Q303="Sin Factura",0,IFERROR(_xlfn.XLOOKUP(1, (Facturas_Odoo!$D:$D=A303) * (Facturas_Odoo!$K:$K=I303), Facturas_Odoo!$O:$O, 0), 0))</f>
        <v/>
      </c>
      <c r="W303" s="81">
        <f>IF(Q303="Sin Factura",0,IFERROR(_xlfn.XLOOKUP(1, (Facturas_Odoo!$D:$D=A303) * (Facturas_Odoo!$K:$K=I303), Facturas_Odoo!$Q:$Q, 0), 0))</f>
        <v/>
      </c>
      <c r="X303" s="79">
        <f>IF(OR(Q303="Sin Factura",Q303=""),"",IFERROR(INDEX(Pagos_Odoo!$B:$B, MATCH(Q303, Pagos_Odoo!$I:$I, 0)), "Sin Pago"))</f>
        <v/>
      </c>
      <c r="Y303" s="79">
        <f>IF(X303="Sin Pago","",IFERROR(INDEX(Pagos_Odoo!$C:$C, MATCH(X303, Pagos_Odoo!$B:$B, 0)), ""))</f>
        <v/>
      </c>
      <c r="Z303" s="80">
        <f>IF(X303="Sin Pago","",IFERROR(INDEX(Pagos_Odoo!$A:$A, MATCH(X303, Pagos_Odoo!$B:$B, 0)), ""))</f>
        <v/>
      </c>
      <c r="AA303" s="79">
        <f>IF(X303="Sin Pago","",IFERROR(INDEX(Pagos_Odoo!$F:$F, MATCH(X303, Pagos_Odoo!$B:$B, 0)), ""))</f>
        <v/>
      </c>
      <c r="AB303" s="81">
        <f>IF(X303="Sin Pago",0,IFERROR(INDEX(Pagos_Odoo!$E:$E, MATCH(X303, Pagos_Odoo!$B:$B, 0)), 0))</f>
        <v/>
      </c>
      <c r="AC303" s="79">
        <f>IF(X303="Sin Pago","",IFERROR(INDEX(Pagos_Odoo!$G:$G, MATCH(X303, Pagos_Odoo!$B:$B, 0)), ""))</f>
        <v/>
      </c>
      <c r="AD303" s="82" t="n">
        <v>0</v>
      </c>
      <c r="AE303" s="82" t="n"/>
      <c r="AF303" s="82" t="n"/>
      <c r="AG303" s="82">
        <f>IF(AN303="","",AD303+AE303+AF303)</f>
        <v/>
      </c>
      <c r="AH303" s="81">
        <f>IF(AN303="","",P303*(1-AG303))</f>
        <v/>
      </c>
      <c r="AI303" s="81">
        <f>IF(AN303="","",IF(Q303="Sin Factura",0,IFERROR(INDEX(Facturas_Odoo!$H:$H, MATCH(Q303, Facturas_Odoo!$B:$B, 0)), 0)*(1-AG303)))</f>
        <v/>
      </c>
      <c r="AJ303" s="81">
        <f>IF(AN303="","",_xlfn.LET(idVenta, AN303&amp;"",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03" s="81">
        <f>IF(AN303="","",AH303-AJ303)</f>
        <v/>
      </c>
      <c r="AL303" s="81">
        <f>IF(AN303="","",IF(Q303="Sin Factura","",AI303-AJ303))</f>
        <v/>
      </c>
      <c r="AM303" s="81">
        <f>IF(AN303="","",IF(Q303="Sin Factura",0,P303-IFERROR(INDEX(Facturas_Odoo!$H:$H, MATCH(Q303, Facturas_Odoo!$B:$B, 0)), 0)))</f>
        <v/>
      </c>
      <c r="AN303" s="79">
        <f>IF(AND(A303="", J303=""), "", IF(A303&lt;&gt;"", VALUE(MID(A303,2,LEN(A303))), AN302))</f>
        <v/>
      </c>
      <c r="AO303" s="79">
        <f>IF(AN303="","",IF(AD303=0,"OK",_xlfn.LET(monedaPago, IF(AA303="","USD",AA303), limitePermitido, IFERROR(VLOOKUP(monedaPago, Configuración!$A$2:$B$3, 2, FALSE), 0.15), IF(AD303&gt;limitePermitido, "ALERTA: EXCESO (" &amp; TEXT(limitePermitido, "0%") &amp; " máx)", "OK"))))</f>
        <v/>
      </c>
      <c r="AP303" s="79">
        <f>IF(AN303="","",IF(AE303=0,"OK",_xlfn.LET(fechaPago, Z303, fechaFactura, R303, diasCredito, IF(E303="Pago inmediato", 0, IFERROR(VALUE(MID(E303, 1, SEARCH(" ", E303)-1)),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03" s="79">
        <f>IF(AN303="","",IF(AND(N303&gt;0, AG303&gt;0), IF(Configuración!$K$2="NO", "ALERTA: DESCUENTO DOBLE NO PERMITIDO", "OK"), "OK"))</f>
        <v/>
      </c>
      <c r="AR303" s="79">
        <f>IF(AN303="","",IF(OR(AO303&lt;&gt;"OK", AP303&lt;&gt;"OK", AQ303&lt;&gt;"OK"), "⚠️ REVISAR", "OK"))</f>
        <v/>
      </c>
    </row>
    <row r="304">
      <c r="A304" s="79">
        <f>IF('Ordenes_Odoo'!A304="","",'Ordenes_Odoo'!A304)</f>
        <v/>
      </c>
      <c r="B304" s="80">
        <f>IF('Ordenes_Odoo'!B304="","",'Ordenes_Odoo'!B304)</f>
        <v/>
      </c>
      <c r="C304" s="79">
        <f>IF('Ordenes_Odoo'!C304="","",'Ordenes_Odoo'!C304)</f>
        <v/>
      </c>
      <c r="D304" s="79">
        <f>IF('Ordenes_Odoo'!D304="","",'Ordenes_Odoo'!D304)</f>
        <v/>
      </c>
      <c r="E304" s="79">
        <f>IF('Ordenes_Odoo'!E304="","",'Ordenes_Odoo'!E304)</f>
        <v/>
      </c>
      <c r="F304" s="79">
        <f>IF('Ordenes_Odoo'!F304="","",'Ordenes_Odoo'!F304)</f>
        <v/>
      </c>
      <c r="G304" s="79">
        <f>IF('Ordenes_Odoo'!G304="","",'Ordenes_Odoo'!G304)</f>
        <v/>
      </c>
      <c r="H304" s="79">
        <f>IF('Ordenes_Odoo'!H304="","",'Ordenes_Odoo'!H304)</f>
        <v/>
      </c>
      <c r="I304" s="79">
        <f>IF('Ordenes_Odoo'!I304="","",'Ordenes_Odoo'!I304)</f>
        <v/>
      </c>
      <c r="J304" s="79">
        <f>IF('Ordenes_Odoo'!J304="","",'Ordenes_Odoo'!J304)</f>
        <v/>
      </c>
      <c r="K304" s="81">
        <f>IF('Ordenes_Odoo'!K304="","",'Ordenes_Odoo'!K304)</f>
        <v/>
      </c>
      <c r="L304" s="81">
        <f>IF('Ordenes_Odoo'!L304="","",'Ordenes_Odoo'!L304)</f>
        <v/>
      </c>
      <c r="M304" s="79">
        <f>IF('Ordenes_Odoo'!M304="","",'Ordenes_Odoo'!M304)</f>
        <v/>
      </c>
      <c r="N304" s="79">
        <f>IF('Ordenes_Odoo'!N304="","",'Ordenes_Odoo'!N304)</f>
        <v/>
      </c>
      <c r="O304" s="81">
        <f>IF('Ordenes_Odoo'!O304="","",'Ordenes_Odoo'!O304)</f>
        <v/>
      </c>
      <c r="P304" s="81">
        <f>IF('Ordenes_Odoo'!P304="","",'Ordenes_Odoo'!P304)</f>
        <v/>
      </c>
      <c r="Q304" s="79">
        <f>IF(A304="","",IFERROR(INDEX(Facturas_Odoo!$B:$B, MATCH(A304, Facturas_Odoo!$D:$D, 0)), "Sin Factura"))</f>
        <v/>
      </c>
      <c r="R304" s="80">
        <f>IF(Q304="Sin Factura","",IFERROR(INDEX(Facturas_Odoo!$A:$A, MATCH(Q304, Facturas_Odoo!$B:$B, 0)), ""))</f>
        <v/>
      </c>
      <c r="S304" s="79">
        <f>IF(Q304="Sin Factura","",IFERROR(_xlfn.XLOOKUP(1, (Facturas_Odoo!$D:$D=A304) * (Facturas_Odoo!$K:$K=I304), Facturas_Odoo!$L:$L, ""), ""))</f>
        <v/>
      </c>
      <c r="T304" s="81">
        <f>IF(Q304="Sin Factura",0,IFERROR(_xlfn.XLOOKUP(1, (Facturas_Odoo!$D:$D=A304) * (Facturas_Odoo!$K:$K=I304), Facturas_Odoo!$M:$M, 0), 0))</f>
        <v/>
      </c>
      <c r="U304" s="79">
        <f>IF(Q304="Sin Factura",0,IFERROR(_xlfn.XLOOKUP(1, (Facturas_Odoo!$D:$D=A304) * (Facturas_Odoo!$K:$K=I304), Facturas_Odoo!$N:$N, 0), 0))</f>
        <v/>
      </c>
      <c r="V304" s="79">
        <f>IF(Q304="Sin Factura",0,IFERROR(_xlfn.XLOOKUP(1, (Facturas_Odoo!$D:$D=A304) * (Facturas_Odoo!$K:$K=I304), Facturas_Odoo!$O:$O, 0), 0))</f>
        <v/>
      </c>
      <c r="W304" s="81">
        <f>IF(Q304="Sin Factura",0,IFERROR(_xlfn.XLOOKUP(1, (Facturas_Odoo!$D:$D=A304) * (Facturas_Odoo!$K:$K=I304), Facturas_Odoo!$Q:$Q, 0), 0))</f>
        <v/>
      </c>
      <c r="X304" s="79">
        <f>IF(OR(Q304="Sin Factura",Q304=""),"",IFERROR(INDEX(Pagos_Odoo!$B:$B, MATCH(Q304, Pagos_Odoo!$I:$I, 0)), "Sin Pago"))</f>
        <v/>
      </c>
      <c r="Y304" s="79">
        <f>IF(X304="Sin Pago","",IFERROR(INDEX(Pagos_Odoo!$C:$C, MATCH(X304, Pagos_Odoo!$B:$B, 0)), ""))</f>
        <v/>
      </c>
      <c r="Z304" s="80">
        <f>IF(X304="Sin Pago","",IFERROR(INDEX(Pagos_Odoo!$A:$A, MATCH(X304, Pagos_Odoo!$B:$B, 0)), ""))</f>
        <v/>
      </c>
      <c r="AA304" s="79">
        <f>IF(X304="Sin Pago","",IFERROR(INDEX(Pagos_Odoo!$F:$F, MATCH(X304, Pagos_Odoo!$B:$B, 0)), ""))</f>
        <v/>
      </c>
      <c r="AB304" s="81">
        <f>IF(X304="Sin Pago",0,IFERROR(INDEX(Pagos_Odoo!$E:$E, MATCH(X304, Pagos_Odoo!$B:$B, 0)), 0))</f>
        <v/>
      </c>
      <c r="AC304" s="79">
        <f>IF(X304="Sin Pago","",IFERROR(INDEX(Pagos_Odoo!$G:$G, MATCH(X304, Pagos_Odoo!$B:$B, 0)), ""))</f>
        <v/>
      </c>
      <c r="AD304" s="82" t="n">
        <v>0</v>
      </c>
      <c r="AE304" s="82" t="n"/>
      <c r="AF304" s="82" t="n"/>
      <c r="AG304" s="82">
        <f>IF(AN304="","",AD304+AE304+AF304)</f>
        <v/>
      </c>
      <c r="AH304" s="81">
        <f>IF(AN304="","",P304*(1-AG304))</f>
        <v/>
      </c>
      <c r="AI304" s="81">
        <f>IF(AN304="","",IF(Q304="Sin Factura",0,IFERROR(INDEX(Facturas_Odoo!$H:$H, MATCH(Q304, Facturas_Odoo!$B:$B, 0)), 0)*(1-AG304)))</f>
        <v/>
      </c>
      <c r="AJ304" s="81">
        <f>IF(AN304="","",_xlfn.LET(idVenta, AN304&amp;"",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04" s="81">
        <f>IF(AN304="","",AH304-AJ304)</f>
        <v/>
      </c>
      <c r="AL304" s="81">
        <f>IF(AN304="","",IF(Q304="Sin Factura","",AI304-AJ304))</f>
        <v/>
      </c>
      <c r="AM304" s="81">
        <f>IF(AN304="","",IF(Q304="Sin Factura",0,P304-IFERROR(INDEX(Facturas_Odoo!$H:$H, MATCH(Q304, Facturas_Odoo!$B:$B, 0)), 0)))</f>
        <v/>
      </c>
      <c r="AN304" s="79">
        <f>IF(AND(A304="", J304=""), "", IF(A304&lt;&gt;"", VALUE(MID(A304,2,LEN(A304))), AN303))</f>
        <v/>
      </c>
      <c r="AO304" s="79">
        <f>IF(AN304="","",IF(AD304=0,"OK",_xlfn.LET(monedaPago, IF(AA304="","USD",AA304), limitePermitido, IFERROR(VLOOKUP(monedaPago, Configuración!$A$2:$B$3, 2, FALSE), 0.15), IF(AD304&gt;limitePermitido, "ALERTA: EXCESO (" &amp; TEXT(limitePermitido, "0%") &amp; " máx)", "OK"))))</f>
        <v/>
      </c>
      <c r="AP304" s="79">
        <f>IF(AN304="","",IF(AE304=0,"OK",_xlfn.LET(fechaPago, Z304, fechaFactura, R304, diasCredito, IF(E304="Pago inmediato", 0, IFERROR(VALUE(MID(E304, 1, SEARCH(" ", E304)-1)),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04" s="79">
        <f>IF(AN304="","",IF(AND(N304&gt;0, AG304&gt;0), IF(Configuración!$K$2="NO", "ALERTA: DESCUENTO DOBLE NO PERMITIDO", "OK"), "OK"))</f>
        <v/>
      </c>
      <c r="AR304" s="79">
        <f>IF(AN304="","",IF(OR(AO304&lt;&gt;"OK", AP304&lt;&gt;"OK", AQ304&lt;&gt;"OK"), "⚠️ REVISAR", "OK"))</f>
        <v/>
      </c>
    </row>
    <row r="305">
      <c r="A305" s="79">
        <f>IF('Ordenes_Odoo'!A305="","",'Ordenes_Odoo'!A305)</f>
        <v/>
      </c>
      <c r="B305" s="80">
        <f>IF('Ordenes_Odoo'!B305="","",'Ordenes_Odoo'!B305)</f>
        <v/>
      </c>
      <c r="C305" s="79">
        <f>IF('Ordenes_Odoo'!C305="","",'Ordenes_Odoo'!C305)</f>
        <v/>
      </c>
      <c r="D305" s="79">
        <f>IF('Ordenes_Odoo'!D305="","",'Ordenes_Odoo'!D305)</f>
        <v/>
      </c>
      <c r="E305" s="79">
        <f>IF('Ordenes_Odoo'!E305="","",'Ordenes_Odoo'!E305)</f>
        <v/>
      </c>
      <c r="F305" s="79">
        <f>IF('Ordenes_Odoo'!F305="","",'Ordenes_Odoo'!F305)</f>
        <v/>
      </c>
      <c r="G305" s="79">
        <f>IF('Ordenes_Odoo'!G305="","",'Ordenes_Odoo'!G305)</f>
        <v/>
      </c>
      <c r="H305" s="79">
        <f>IF('Ordenes_Odoo'!H305="","",'Ordenes_Odoo'!H305)</f>
        <v/>
      </c>
      <c r="I305" s="79">
        <f>IF('Ordenes_Odoo'!I305="","",'Ordenes_Odoo'!I305)</f>
        <v/>
      </c>
      <c r="J305" s="79">
        <f>IF('Ordenes_Odoo'!J305="","",'Ordenes_Odoo'!J305)</f>
        <v/>
      </c>
      <c r="K305" s="81">
        <f>IF('Ordenes_Odoo'!K305="","",'Ordenes_Odoo'!K305)</f>
        <v/>
      </c>
      <c r="L305" s="81">
        <f>IF('Ordenes_Odoo'!L305="","",'Ordenes_Odoo'!L305)</f>
        <v/>
      </c>
      <c r="M305" s="79">
        <f>IF('Ordenes_Odoo'!M305="","",'Ordenes_Odoo'!M305)</f>
        <v/>
      </c>
      <c r="N305" s="79">
        <f>IF('Ordenes_Odoo'!N305="","",'Ordenes_Odoo'!N305)</f>
        <v/>
      </c>
      <c r="O305" s="81">
        <f>IF('Ordenes_Odoo'!O305="","",'Ordenes_Odoo'!O305)</f>
        <v/>
      </c>
      <c r="P305" s="81">
        <f>IF('Ordenes_Odoo'!P305="","",'Ordenes_Odoo'!P305)</f>
        <v/>
      </c>
      <c r="Q305" s="79">
        <f>IF(A305="","",IFERROR(INDEX(Facturas_Odoo!$B:$B, MATCH(A305, Facturas_Odoo!$D:$D, 0)), "Sin Factura"))</f>
        <v/>
      </c>
      <c r="R305" s="80">
        <f>IF(Q305="Sin Factura","",IFERROR(INDEX(Facturas_Odoo!$A:$A, MATCH(Q305, Facturas_Odoo!$B:$B, 0)), ""))</f>
        <v/>
      </c>
      <c r="S305" s="79">
        <f>IF(Q305="Sin Factura","",IFERROR(_xlfn.XLOOKUP(1, (Facturas_Odoo!$D:$D=A305) * (Facturas_Odoo!$K:$K=I305), Facturas_Odoo!$L:$L, ""), ""))</f>
        <v/>
      </c>
      <c r="T305" s="81">
        <f>IF(Q305="Sin Factura",0,IFERROR(_xlfn.XLOOKUP(1, (Facturas_Odoo!$D:$D=A305) * (Facturas_Odoo!$K:$K=I305), Facturas_Odoo!$M:$M, 0), 0))</f>
        <v/>
      </c>
      <c r="U305" s="79">
        <f>IF(Q305="Sin Factura",0,IFERROR(_xlfn.XLOOKUP(1, (Facturas_Odoo!$D:$D=A305) * (Facturas_Odoo!$K:$K=I305), Facturas_Odoo!$N:$N, 0), 0))</f>
        <v/>
      </c>
      <c r="V305" s="79">
        <f>IF(Q305="Sin Factura",0,IFERROR(_xlfn.XLOOKUP(1, (Facturas_Odoo!$D:$D=A305) * (Facturas_Odoo!$K:$K=I305), Facturas_Odoo!$O:$O, 0), 0))</f>
        <v/>
      </c>
      <c r="W305" s="81">
        <f>IF(Q305="Sin Factura",0,IFERROR(_xlfn.XLOOKUP(1, (Facturas_Odoo!$D:$D=A305) * (Facturas_Odoo!$K:$K=I305), Facturas_Odoo!$Q:$Q, 0), 0))</f>
        <v/>
      </c>
      <c r="X305" s="79">
        <f>IF(OR(Q305="Sin Factura",Q305=""),"",IFERROR(INDEX(Pagos_Odoo!$B:$B, MATCH(Q305, Pagos_Odoo!$I:$I, 0)), "Sin Pago"))</f>
        <v/>
      </c>
      <c r="Y305" s="79">
        <f>IF(X305="Sin Pago","",IFERROR(INDEX(Pagos_Odoo!$C:$C, MATCH(X305, Pagos_Odoo!$B:$B, 0)), ""))</f>
        <v/>
      </c>
      <c r="Z305" s="80">
        <f>IF(X305="Sin Pago","",IFERROR(INDEX(Pagos_Odoo!$A:$A, MATCH(X305, Pagos_Odoo!$B:$B, 0)), ""))</f>
        <v/>
      </c>
      <c r="AA305" s="79">
        <f>IF(X305="Sin Pago","",IFERROR(INDEX(Pagos_Odoo!$F:$F, MATCH(X305, Pagos_Odoo!$B:$B, 0)), ""))</f>
        <v/>
      </c>
      <c r="AB305" s="81">
        <f>IF(X305="Sin Pago",0,IFERROR(INDEX(Pagos_Odoo!$E:$E, MATCH(X305, Pagos_Odoo!$B:$B, 0)), 0))</f>
        <v/>
      </c>
      <c r="AC305" s="79">
        <f>IF(X305="Sin Pago","",IFERROR(INDEX(Pagos_Odoo!$G:$G, MATCH(X305, Pagos_Odoo!$B:$B, 0)), ""))</f>
        <v/>
      </c>
      <c r="AD305" s="82" t="n">
        <v>0</v>
      </c>
      <c r="AE305" s="82" t="n"/>
      <c r="AF305" s="82" t="n"/>
      <c r="AG305" s="82">
        <f>IF(AN305="","",AD305+AE305+AF305)</f>
        <v/>
      </c>
      <c r="AH305" s="81">
        <f>IF(AN305="","",P305*(1-AG305))</f>
        <v/>
      </c>
      <c r="AI305" s="81">
        <f>IF(AN305="","",IF(Q305="Sin Factura",0,IFERROR(INDEX(Facturas_Odoo!$H:$H, MATCH(Q305, Facturas_Odoo!$B:$B, 0)), 0)*(1-AG305)))</f>
        <v/>
      </c>
      <c r="AJ305" s="81">
        <f>IF(AN305="","",_xlfn.LET(idVenta, AN305&amp;"",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05" s="81">
        <f>IF(AN305="","",AH305-AJ305)</f>
        <v/>
      </c>
      <c r="AL305" s="81">
        <f>IF(AN305="","",IF(Q305="Sin Factura","",AI305-AJ305))</f>
        <v/>
      </c>
      <c r="AM305" s="81">
        <f>IF(AN305="","",IF(Q305="Sin Factura",0,P305-IFERROR(INDEX(Facturas_Odoo!$H:$H, MATCH(Q305, Facturas_Odoo!$B:$B, 0)), 0)))</f>
        <v/>
      </c>
      <c r="AN305" s="79">
        <f>IF(AND(A305="", J305=""), "", IF(A305&lt;&gt;"", VALUE(MID(A305,2,LEN(A305))), AN304))</f>
        <v/>
      </c>
      <c r="AO305" s="79">
        <f>IF(AN305="","",IF(AD305=0,"OK",_xlfn.LET(monedaPago, IF(AA305="","USD",AA305), limitePermitido, IFERROR(VLOOKUP(monedaPago, Configuración!$A$2:$B$3, 2, FALSE), 0.15), IF(AD305&gt;limitePermitido, "ALERTA: EXCESO (" &amp; TEXT(limitePermitido, "0%") &amp; " máx)", "OK"))))</f>
        <v/>
      </c>
      <c r="AP305" s="79">
        <f>IF(AN305="","",IF(AE305=0,"OK",_xlfn.LET(fechaPago, Z305, fechaFactura, R305, diasCredito, IF(E305="Pago inmediato", 0, IFERROR(VALUE(MID(E305, 1, SEARCH(" ", E305)-1)),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05" s="79">
        <f>IF(AN305="","",IF(AND(N305&gt;0, AG305&gt;0), IF(Configuración!$K$2="NO", "ALERTA: DESCUENTO DOBLE NO PERMITIDO", "OK"), "OK"))</f>
        <v/>
      </c>
      <c r="AR305" s="79">
        <f>IF(AN305="","",IF(OR(AO305&lt;&gt;"OK", AP305&lt;&gt;"OK", AQ305&lt;&gt;"OK"), "⚠️ REVISAR", "OK"))</f>
        <v/>
      </c>
    </row>
    <row r="306">
      <c r="A306" s="79">
        <f>IF('Ordenes_Odoo'!A306="","",'Ordenes_Odoo'!A306)</f>
        <v/>
      </c>
      <c r="B306" s="80">
        <f>IF('Ordenes_Odoo'!B306="","",'Ordenes_Odoo'!B306)</f>
        <v/>
      </c>
      <c r="C306" s="79">
        <f>IF('Ordenes_Odoo'!C306="","",'Ordenes_Odoo'!C306)</f>
        <v/>
      </c>
      <c r="D306" s="79">
        <f>IF('Ordenes_Odoo'!D306="","",'Ordenes_Odoo'!D306)</f>
        <v/>
      </c>
      <c r="E306" s="79">
        <f>IF('Ordenes_Odoo'!E306="","",'Ordenes_Odoo'!E306)</f>
        <v/>
      </c>
      <c r="F306" s="79">
        <f>IF('Ordenes_Odoo'!F306="","",'Ordenes_Odoo'!F306)</f>
        <v/>
      </c>
      <c r="G306" s="79">
        <f>IF('Ordenes_Odoo'!G306="","",'Ordenes_Odoo'!G306)</f>
        <v/>
      </c>
      <c r="H306" s="79">
        <f>IF('Ordenes_Odoo'!H306="","",'Ordenes_Odoo'!H306)</f>
        <v/>
      </c>
      <c r="I306" s="79">
        <f>IF('Ordenes_Odoo'!I306="","",'Ordenes_Odoo'!I306)</f>
        <v/>
      </c>
      <c r="J306" s="79">
        <f>IF('Ordenes_Odoo'!J306="","",'Ordenes_Odoo'!J306)</f>
        <v/>
      </c>
      <c r="K306" s="81">
        <f>IF('Ordenes_Odoo'!K306="","",'Ordenes_Odoo'!K306)</f>
        <v/>
      </c>
      <c r="L306" s="81">
        <f>IF('Ordenes_Odoo'!L306="","",'Ordenes_Odoo'!L306)</f>
        <v/>
      </c>
      <c r="M306" s="79">
        <f>IF('Ordenes_Odoo'!M306="","",'Ordenes_Odoo'!M306)</f>
        <v/>
      </c>
      <c r="N306" s="79">
        <f>IF('Ordenes_Odoo'!N306="","",'Ordenes_Odoo'!N306)</f>
        <v/>
      </c>
      <c r="O306" s="81">
        <f>IF('Ordenes_Odoo'!O306="","",'Ordenes_Odoo'!O306)</f>
        <v/>
      </c>
      <c r="P306" s="81">
        <f>IF('Ordenes_Odoo'!P306="","",'Ordenes_Odoo'!P306)</f>
        <v/>
      </c>
      <c r="Q306" s="79">
        <f>IF(A306="","",IFERROR(INDEX(Facturas_Odoo!$B:$B, MATCH(A306, Facturas_Odoo!$D:$D, 0)), "Sin Factura"))</f>
        <v/>
      </c>
      <c r="R306" s="80">
        <f>IF(Q306="Sin Factura","",IFERROR(INDEX(Facturas_Odoo!$A:$A, MATCH(Q306, Facturas_Odoo!$B:$B, 0)), ""))</f>
        <v/>
      </c>
      <c r="S306" s="79">
        <f>IF(Q306="Sin Factura","",IFERROR(_xlfn.XLOOKUP(1, (Facturas_Odoo!$D:$D=A306) * (Facturas_Odoo!$K:$K=I306), Facturas_Odoo!$L:$L, ""), ""))</f>
        <v/>
      </c>
      <c r="T306" s="81">
        <f>IF(Q306="Sin Factura",0,IFERROR(_xlfn.XLOOKUP(1, (Facturas_Odoo!$D:$D=A306) * (Facturas_Odoo!$K:$K=I306), Facturas_Odoo!$M:$M, 0), 0))</f>
        <v/>
      </c>
      <c r="U306" s="79">
        <f>IF(Q306="Sin Factura",0,IFERROR(_xlfn.XLOOKUP(1, (Facturas_Odoo!$D:$D=A306) * (Facturas_Odoo!$K:$K=I306), Facturas_Odoo!$N:$N, 0), 0))</f>
        <v/>
      </c>
      <c r="V306" s="79">
        <f>IF(Q306="Sin Factura",0,IFERROR(_xlfn.XLOOKUP(1, (Facturas_Odoo!$D:$D=A306) * (Facturas_Odoo!$K:$K=I306), Facturas_Odoo!$O:$O, 0), 0))</f>
        <v/>
      </c>
      <c r="W306" s="81">
        <f>IF(Q306="Sin Factura",0,IFERROR(_xlfn.XLOOKUP(1, (Facturas_Odoo!$D:$D=A306) * (Facturas_Odoo!$K:$K=I306), Facturas_Odoo!$Q:$Q, 0), 0))</f>
        <v/>
      </c>
      <c r="X306" s="79">
        <f>IF(OR(Q306="Sin Factura",Q306=""),"",IFERROR(INDEX(Pagos_Odoo!$B:$B, MATCH(Q306, Pagos_Odoo!$I:$I, 0)), "Sin Pago"))</f>
        <v/>
      </c>
      <c r="Y306" s="79">
        <f>IF(X306="Sin Pago","",IFERROR(INDEX(Pagos_Odoo!$C:$C, MATCH(X306, Pagos_Odoo!$B:$B, 0)), ""))</f>
        <v/>
      </c>
      <c r="Z306" s="80">
        <f>IF(X306="Sin Pago","",IFERROR(INDEX(Pagos_Odoo!$A:$A, MATCH(X306, Pagos_Odoo!$B:$B, 0)), ""))</f>
        <v/>
      </c>
      <c r="AA306" s="79">
        <f>IF(X306="Sin Pago","",IFERROR(INDEX(Pagos_Odoo!$F:$F, MATCH(X306, Pagos_Odoo!$B:$B, 0)), ""))</f>
        <v/>
      </c>
      <c r="AB306" s="81">
        <f>IF(X306="Sin Pago",0,IFERROR(INDEX(Pagos_Odoo!$E:$E, MATCH(X306, Pagos_Odoo!$B:$B, 0)), 0))</f>
        <v/>
      </c>
      <c r="AC306" s="79">
        <f>IF(X306="Sin Pago","",IFERROR(INDEX(Pagos_Odoo!$G:$G, MATCH(X306, Pagos_Odoo!$B:$B, 0)), ""))</f>
        <v/>
      </c>
      <c r="AD306" s="82" t="n">
        <v>0</v>
      </c>
      <c r="AE306" s="82" t="n"/>
      <c r="AF306" s="82" t="n"/>
      <c r="AG306" s="82">
        <f>IF(AN306="","",AD306+AE306+AF306)</f>
        <v/>
      </c>
      <c r="AH306" s="81">
        <f>IF(AN306="","",P306*(1-AG306))</f>
        <v/>
      </c>
      <c r="AI306" s="81">
        <f>IF(AN306="","",IF(Q306="Sin Factura",0,IFERROR(INDEX(Facturas_Odoo!$H:$H, MATCH(Q306, Facturas_Odoo!$B:$B, 0)), 0)*(1-AG306)))</f>
        <v/>
      </c>
      <c r="AJ306" s="81">
        <f>IF(AN306="","",_xlfn.LET(idVenta, AN306&amp;"",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06" s="81">
        <f>IF(AN306="","",AH306-AJ306)</f>
        <v/>
      </c>
      <c r="AL306" s="81">
        <f>IF(AN306="","",IF(Q306="Sin Factura","",AI306-AJ306))</f>
        <v/>
      </c>
      <c r="AM306" s="81">
        <f>IF(AN306="","",IF(Q306="Sin Factura",0,P306-IFERROR(INDEX(Facturas_Odoo!$H:$H, MATCH(Q306, Facturas_Odoo!$B:$B, 0)), 0)))</f>
        <v/>
      </c>
      <c r="AN306" s="79">
        <f>IF(AND(A306="", J306=""), "", IF(A306&lt;&gt;"", VALUE(MID(A306,2,LEN(A306))), AN305))</f>
        <v/>
      </c>
      <c r="AO306" s="79">
        <f>IF(AN306="","",IF(AD306=0,"OK",_xlfn.LET(monedaPago, IF(AA306="","USD",AA306), limitePermitido, IFERROR(VLOOKUP(monedaPago, Configuración!$A$2:$B$3, 2, FALSE), 0.15), IF(AD306&gt;limitePermitido, "ALERTA: EXCESO (" &amp; TEXT(limitePermitido, "0%") &amp; " máx)", "OK"))))</f>
        <v/>
      </c>
      <c r="AP306" s="79">
        <f>IF(AN306="","",IF(AE306=0,"OK",_xlfn.LET(fechaPago, Z306, fechaFactura, R306, diasCredito, IF(E306="Pago inmediato", 0, IFERROR(VALUE(MID(E306, 1, SEARCH(" ", E306)-1)),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06" s="79">
        <f>IF(AN306="","",IF(AND(N306&gt;0, AG306&gt;0), IF(Configuración!$K$2="NO", "ALERTA: DESCUENTO DOBLE NO PERMITIDO", "OK"), "OK"))</f>
        <v/>
      </c>
      <c r="AR306" s="79">
        <f>IF(AN306="","",IF(OR(AO306&lt;&gt;"OK", AP306&lt;&gt;"OK", AQ306&lt;&gt;"OK"), "⚠️ REVISAR", "OK"))</f>
        <v/>
      </c>
    </row>
    <row r="307">
      <c r="A307" s="79">
        <f>IF('Ordenes_Odoo'!A307="","",'Ordenes_Odoo'!A307)</f>
        <v/>
      </c>
      <c r="B307" s="80">
        <f>IF('Ordenes_Odoo'!B307="","",'Ordenes_Odoo'!B307)</f>
        <v/>
      </c>
      <c r="C307" s="79">
        <f>IF('Ordenes_Odoo'!C307="","",'Ordenes_Odoo'!C307)</f>
        <v/>
      </c>
      <c r="D307" s="79">
        <f>IF('Ordenes_Odoo'!D307="","",'Ordenes_Odoo'!D307)</f>
        <v/>
      </c>
      <c r="E307" s="79">
        <f>IF('Ordenes_Odoo'!E307="","",'Ordenes_Odoo'!E307)</f>
        <v/>
      </c>
      <c r="F307" s="79">
        <f>IF('Ordenes_Odoo'!F307="","",'Ordenes_Odoo'!F307)</f>
        <v/>
      </c>
      <c r="G307" s="79">
        <f>IF('Ordenes_Odoo'!G307="","",'Ordenes_Odoo'!G307)</f>
        <v/>
      </c>
      <c r="H307" s="79">
        <f>IF('Ordenes_Odoo'!H307="","",'Ordenes_Odoo'!H307)</f>
        <v/>
      </c>
      <c r="I307" s="79">
        <f>IF('Ordenes_Odoo'!I307="","",'Ordenes_Odoo'!I307)</f>
        <v/>
      </c>
      <c r="J307" s="79">
        <f>IF('Ordenes_Odoo'!J307="","",'Ordenes_Odoo'!J307)</f>
        <v/>
      </c>
      <c r="K307" s="81">
        <f>IF('Ordenes_Odoo'!K307="","",'Ordenes_Odoo'!K307)</f>
        <v/>
      </c>
      <c r="L307" s="81">
        <f>IF('Ordenes_Odoo'!L307="","",'Ordenes_Odoo'!L307)</f>
        <v/>
      </c>
      <c r="M307" s="79">
        <f>IF('Ordenes_Odoo'!M307="","",'Ordenes_Odoo'!M307)</f>
        <v/>
      </c>
      <c r="N307" s="79">
        <f>IF('Ordenes_Odoo'!N307="","",'Ordenes_Odoo'!N307)</f>
        <v/>
      </c>
      <c r="O307" s="81">
        <f>IF('Ordenes_Odoo'!O307="","",'Ordenes_Odoo'!O307)</f>
        <v/>
      </c>
      <c r="P307" s="81">
        <f>IF('Ordenes_Odoo'!P307="","",'Ordenes_Odoo'!P307)</f>
        <v/>
      </c>
      <c r="Q307" s="79">
        <f>IF(A307="","",IFERROR(INDEX(Facturas_Odoo!$B:$B, MATCH(A307, Facturas_Odoo!$D:$D, 0)), "Sin Factura"))</f>
        <v/>
      </c>
      <c r="R307" s="80">
        <f>IF(Q307="Sin Factura","",IFERROR(INDEX(Facturas_Odoo!$A:$A, MATCH(Q307, Facturas_Odoo!$B:$B, 0)), ""))</f>
        <v/>
      </c>
      <c r="S307" s="79">
        <f>IF(Q307="Sin Factura","",IFERROR(_xlfn.XLOOKUP(1, (Facturas_Odoo!$D:$D=A307) * (Facturas_Odoo!$K:$K=I307), Facturas_Odoo!$L:$L, ""), ""))</f>
        <v/>
      </c>
      <c r="T307" s="81">
        <f>IF(Q307="Sin Factura",0,IFERROR(_xlfn.XLOOKUP(1, (Facturas_Odoo!$D:$D=A307) * (Facturas_Odoo!$K:$K=I307), Facturas_Odoo!$M:$M, 0), 0))</f>
        <v/>
      </c>
      <c r="U307" s="79">
        <f>IF(Q307="Sin Factura",0,IFERROR(_xlfn.XLOOKUP(1, (Facturas_Odoo!$D:$D=A307) * (Facturas_Odoo!$K:$K=I307), Facturas_Odoo!$N:$N, 0), 0))</f>
        <v/>
      </c>
      <c r="V307" s="79">
        <f>IF(Q307="Sin Factura",0,IFERROR(_xlfn.XLOOKUP(1, (Facturas_Odoo!$D:$D=A307) * (Facturas_Odoo!$K:$K=I307), Facturas_Odoo!$O:$O, 0), 0))</f>
        <v/>
      </c>
      <c r="W307" s="81">
        <f>IF(Q307="Sin Factura",0,IFERROR(_xlfn.XLOOKUP(1, (Facturas_Odoo!$D:$D=A307) * (Facturas_Odoo!$K:$K=I307), Facturas_Odoo!$Q:$Q, 0), 0))</f>
        <v/>
      </c>
      <c r="X307" s="79">
        <f>IF(OR(Q307="Sin Factura",Q307=""),"",IFERROR(INDEX(Pagos_Odoo!$B:$B, MATCH(Q307, Pagos_Odoo!$I:$I, 0)), "Sin Pago"))</f>
        <v/>
      </c>
      <c r="Y307" s="79">
        <f>IF(X307="Sin Pago","",IFERROR(INDEX(Pagos_Odoo!$C:$C, MATCH(X307, Pagos_Odoo!$B:$B, 0)), ""))</f>
        <v/>
      </c>
      <c r="Z307" s="80">
        <f>IF(X307="Sin Pago","",IFERROR(INDEX(Pagos_Odoo!$A:$A, MATCH(X307, Pagos_Odoo!$B:$B, 0)), ""))</f>
        <v/>
      </c>
      <c r="AA307" s="79">
        <f>IF(X307="Sin Pago","",IFERROR(INDEX(Pagos_Odoo!$F:$F, MATCH(X307, Pagos_Odoo!$B:$B, 0)), ""))</f>
        <v/>
      </c>
      <c r="AB307" s="81">
        <f>IF(X307="Sin Pago",0,IFERROR(INDEX(Pagos_Odoo!$E:$E, MATCH(X307, Pagos_Odoo!$B:$B, 0)), 0))</f>
        <v/>
      </c>
      <c r="AC307" s="79">
        <f>IF(X307="Sin Pago","",IFERROR(INDEX(Pagos_Odoo!$G:$G, MATCH(X307, Pagos_Odoo!$B:$B, 0)), ""))</f>
        <v/>
      </c>
      <c r="AD307" s="82" t="n">
        <v>0</v>
      </c>
      <c r="AE307" s="82" t="n"/>
      <c r="AF307" s="82" t="n"/>
      <c r="AG307" s="82">
        <f>IF(AN307="","",AD307+AE307+AF307)</f>
        <v/>
      </c>
      <c r="AH307" s="81">
        <f>IF(AN307="","",P307*(1-AG307))</f>
        <v/>
      </c>
      <c r="AI307" s="81">
        <f>IF(AN307="","",IF(Q307="Sin Factura",0,IFERROR(INDEX(Facturas_Odoo!$H:$H, MATCH(Q307, Facturas_Odoo!$B:$B, 0)), 0)*(1-AG307)))</f>
        <v/>
      </c>
      <c r="AJ307" s="81">
        <f>IF(AN307="","",_xlfn.LET(idVenta, AN307&amp;"",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07" s="81">
        <f>IF(AN307="","",AH307-AJ307)</f>
        <v/>
      </c>
      <c r="AL307" s="81">
        <f>IF(AN307="","",IF(Q307="Sin Factura","",AI307-AJ307))</f>
        <v/>
      </c>
      <c r="AM307" s="81">
        <f>IF(AN307="","",IF(Q307="Sin Factura",0,P307-IFERROR(INDEX(Facturas_Odoo!$H:$H, MATCH(Q307, Facturas_Odoo!$B:$B, 0)), 0)))</f>
        <v/>
      </c>
      <c r="AN307" s="79">
        <f>IF(AND(A307="", J307=""), "", IF(A307&lt;&gt;"", VALUE(MID(A307,2,LEN(A307))), AN306))</f>
        <v/>
      </c>
      <c r="AO307" s="79">
        <f>IF(AN307="","",IF(AD307=0,"OK",_xlfn.LET(monedaPago, IF(AA307="","USD",AA307), limitePermitido, IFERROR(VLOOKUP(monedaPago, Configuración!$A$2:$B$3, 2, FALSE), 0.15), IF(AD307&gt;limitePermitido, "ALERTA: EXCESO (" &amp; TEXT(limitePermitido, "0%") &amp; " máx)", "OK"))))</f>
        <v/>
      </c>
      <c r="AP307" s="79">
        <f>IF(AN307="","",IF(AE307=0,"OK",_xlfn.LET(fechaPago, Z307, fechaFactura, R307, diasCredito, IF(E307="Pago inmediato", 0, IFERROR(VALUE(MID(E307, 1, SEARCH(" ", E307)-1)),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07" s="79">
        <f>IF(AN307="","",IF(AND(N307&gt;0, AG307&gt;0), IF(Configuración!$K$2="NO", "ALERTA: DESCUENTO DOBLE NO PERMITIDO", "OK"), "OK"))</f>
        <v/>
      </c>
      <c r="AR307" s="79">
        <f>IF(AN307="","",IF(OR(AO307&lt;&gt;"OK", AP307&lt;&gt;"OK", AQ307&lt;&gt;"OK"), "⚠️ REVISAR", "OK"))</f>
        <v/>
      </c>
    </row>
    <row r="308">
      <c r="A308" s="79">
        <f>IF('Ordenes_Odoo'!A308="","",'Ordenes_Odoo'!A308)</f>
        <v/>
      </c>
      <c r="B308" s="80">
        <f>IF('Ordenes_Odoo'!B308="","",'Ordenes_Odoo'!B308)</f>
        <v/>
      </c>
      <c r="C308" s="79">
        <f>IF('Ordenes_Odoo'!C308="","",'Ordenes_Odoo'!C308)</f>
        <v/>
      </c>
      <c r="D308" s="79">
        <f>IF('Ordenes_Odoo'!D308="","",'Ordenes_Odoo'!D308)</f>
        <v/>
      </c>
      <c r="E308" s="79">
        <f>IF('Ordenes_Odoo'!E308="","",'Ordenes_Odoo'!E308)</f>
        <v/>
      </c>
      <c r="F308" s="79">
        <f>IF('Ordenes_Odoo'!F308="","",'Ordenes_Odoo'!F308)</f>
        <v/>
      </c>
      <c r="G308" s="79">
        <f>IF('Ordenes_Odoo'!G308="","",'Ordenes_Odoo'!G308)</f>
        <v/>
      </c>
      <c r="H308" s="79">
        <f>IF('Ordenes_Odoo'!H308="","",'Ordenes_Odoo'!H308)</f>
        <v/>
      </c>
      <c r="I308" s="79">
        <f>IF('Ordenes_Odoo'!I308="","",'Ordenes_Odoo'!I308)</f>
        <v/>
      </c>
      <c r="J308" s="79">
        <f>IF('Ordenes_Odoo'!J308="","",'Ordenes_Odoo'!J308)</f>
        <v/>
      </c>
      <c r="K308" s="81">
        <f>IF('Ordenes_Odoo'!K308="","",'Ordenes_Odoo'!K308)</f>
        <v/>
      </c>
      <c r="L308" s="81">
        <f>IF('Ordenes_Odoo'!L308="","",'Ordenes_Odoo'!L308)</f>
        <v/>
      </c>
      <c r="M308" s="79">
        <f>IF('Ordenes_Odoo'!M308="","",'Ordenes_Odoo'!M308)</f>
        <v/>
      </c>
      <c r="N308" s="79">
        <f>IF('Ordenes_Odoo'!N308="","",'Ordenes_Odoo'!N308)</f>
        <v/>
      </c>
      <c r="O308" s="81">
        <f>IF('Ordenes_Odoo'!O308="","",'Ordenes_Odoo'!O308)</f>
        <v/>
      </c>
      <c r="P308" s="81">
        <f>IF('Ordenes_Odoo'!P308="","",'Ordenes_Odoo'!P308)</f>
        <v/>
      </c>
      <c r="Q308" s="79">
        <f>IF(A308="","",IFERROR(INDEX(Facturas_Odoo!$B:$B, MATCH(A308, Facturas_Odoo!$D:$D, 0)), "Sin Factura"))</f>
        <v/>
      </c>
      <c r="R308" s="80">
        <f>IF(Q308="Sin Factura","",IFERROR(INDEX(Facturas_Odoo!$A:$A, MATCH(Q308, Facturas_Odoo!$B:$B, 0)), ""))</f>
        <v/>
      </c>
      <c r="S308" s="79">
        <f>IF(Q308="Sin Factura","",IFERROR(_xlfn.XLOOKUP(1, (Facturas_Odoo!$D:$D=A308) * (Facturas_Odoo!$K:$K=I308), Facturas_Odoo!$L:$L, ""), ""))</f>
        <v/>
      </c>
      <c r="T308" s="81">
        <f>IF(Q308="Sin Factura",0,IFERROR(_xlfn.XLOOKUP(1, (Facturas_Odoo!$D:$D=A308) * (Facturas_Odoo!$K:$K=I308), Facturas_Odoo!$M:$M, 0), 0))</f>
        <v/>
      </c>
      <c r="U308" s="79">
        <f>IF(Q308="Sin Factura",0,IFERROR(_xlfn.XLOOKUP(1, (Facturas_Odoo!$D:$D=A308) * (Facturas_Odoo!$K:$K=I308), Facturas_Odoo!$N:$N, 0), 0))</f>
        <v/>
      </c>
      <c r="V308" s="79">
        <f>IF(Q308="Sin Factura",0,IFERROR(_xlfn.XLOOKUP(1, (Facturas_Odoo!$D:$D=A308) * (Facturas_Odoo!$K:$K=I308), Facturas_Odoo!$O:$O, 0), 0))</f>
        <v/>
      </c>
      <c r="W308" s="81">
        <f>IF(Q308="Sin Factura",0,IFERROR(_xlfn.XLOOKUP(1, (Facturas_Odoo!$D:$D=A308) * (Facturas_Odoo!$K:$K=I308), Facturas_Odoo!$Q:$Q, 0), 0))</f>
        <v/>
      </c>
      <c r="X308" s="79">
        <f>IF(OR(Q308="Sin Factura",Q308=""),"",IFERROR(INDEX(Pagos_Odoo!$B:$B, MATCH(Q308, Pagos_Odoo!$I:$I, 0)), "Sin Pago"))</f>
        <v/>
      </c>
      <c r="Y308" s="79">
        <f>IF(X308="Sin Pago","",IFERROR(INDEX(Pagos_Odoo!$C:$C, MATCH(X308, Pagos_Odoo!$B:$B, 0)), ""))</f>
        <v/>
      </c>
      <c r="Z308" s="80">
        <f>IF(X308="Sin Pago","",IFERROR(INDEX(Pagos_Odoo!$A:$A, MATCH(X308, Pagos_Odoo!$B:$B, 0)), ""))</f>
        <v/>
      </c>
      <c r="AA308" s="79">
        <f>IF(X308="Sin Pago","",IFERROR(INDEX(Pagos_Odoo!$F:$F, MATCH(X308, Pagos_Odoo!$B:$B, 0)), ""))</f>
        <v/>
      </c>
      <c r="AB308" s="81">
        <f>IF(X308="Sin Pago",0,IFERROR(INDEX(Pagos_Odoo!$E:$E, MATCH(X308, Pagos_Odoo!$B:$B, 0)), 0))</f>
        <v/>
      </c>
      <c r="AC308" s="79">
        <f>IF(X308="Sin Pago","",IFERROR(INDEX(Pagos_Odoo!$G:$G, MATCH(X308, Pagos_Odoo!$B:$B, 0)), ""))</f>
        <v/>
      </c>
      <c r="AD308" s="82" t="n">
        <v>0</v>
      </c>
      <c r="AE308" s="82" t="n"/>
      <c r="AF308" s="82" t="n"/>
      <c r="AG308" s="82">
        <f>IF(AN308="","",AD308+AE308+AF308)</f>
        <v/>
      </c>
      <c r="AH308" s="81">
        <f>IF(AN308="","",P308*(1-AG308))</f>
        <v/>
      </c>
      <c r="AI308" s="81">
        <f>IF(AN308="","",IF(Q308="Sin Factura",0,IFERROR(INDEX(Facturas_Odoo!$H:$H, MATCH(Q308, Facturas_Odoo!$B:$B, 0)), 0)*(1-AG308)))</f>
        <v/>
      </c>
      <c r="AJ308" s="81">
        <f>IF(AN308="","",_xlfn.LET(idVenta, AN308&amp;"",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08" s="81">
        <f>IF(AN308="","",AH308-AJ308)</f>
        <v/>
      </c>
      <c r="AL308" s="81">
        <f>IF(AN308="","",IF(Q308="Sin Factura","",AI308-AJ308))</f>
        <v/>
      </c>
      <c r="AM308" s="81">
        <f>IF(AN308="","",IF(Q308="Sin Factura",0,P308-IFERROR(INDEX(Facturas_Odoo!$H:$H, MATCH(Q308, Facturas_Odoo!$B:$B, 0)), 0)))</f>
        <v/>
      </c>
      <c r="AN308" s="79">
        <f>IF(AND(A308="", J308=""), "", IF(A308&lt;&gt;"", VALUE(MID(A308,2,LEN(A308))), AN307))</f>
        <v/>
      </c>
      <c r="AO308" s="79">
        <f>IF(AN308="","",IF(AD308=0,"OK",_xlfn.LET(monedaPago, IF(AA308="","USD",AA308), limitePermitido, IFERROR(VLOOKUP(monedaPago, Configuración!$A$2:$B$3, 2, FALSE), 0.15), IF(AD308&gt;limitePermitido, "ALERTA: EXCESO (" &amp; TEXT(limitePermitido, "0%") &amp; " máx)", "OK"))))</f>
        <v/>
      </c>
      <c r="AP308" s="79">
        <f>IF(AN308="","",IF(AE308=0,"OK",_xlfn.LET(fechaPago, Z308, fechaFactura, R308, diasCredito, IF(E308="Pago inmediato", 0, IFERROR(VALUE(MID(E308, 1, SEARCH(" ", E308)-1)),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08" s="79">
        <f>IF(AN308="","",IF(AND(N308&gt;0, AG308&gt;0), IF(Configuración!$K$2="NO", "ALERTA: DESCUENTO DOBLE NO PERMITIDO", "OK"), "OK"))</f>
        <v/>
      </c>
      <c r="AR308" s="79">
        <f>IF(AN308="","",IF(OR(AO308&lt;&gt;"OK", AP308&lt;&gt;"OK", AQ308&lt;&gt;"OK"), "⚠️ REVISAR", "OK"))</f>
        <v/>
      </c>
    </row>
    <row r="309">
      <c r="A309" s="79">
        <f>IF('Ordenes_Odoo'!A309="","",'Ordenes_Odoo'!A309)</f>
        <v/>
      </c>
      <c r="B309" s="80">
        <f>IF('Ordenes_Odoo'!B309="","",'Ordenes_Odoo'!B309)</f>
        <v/>
      </c>
      <c r="C309" s="79">
        <f>IF('Ordenes_Odoo'!C309="","",'Ordenes_Odoo'!C309)</f>
        <v/>
      </c>
      <c r="D309" s="79">
        <f>IF('Ordenes_Odoo'!D309="","",'Ordenes_Odoo'!D309)</f>
        <v/>
      </c>
      <c r="E309" s="79">
        <f>IF('Ordenes_Odoo'!E309="","",'Ordenes_Odoo'!E309)</f>
        <v/>
      </c>
      <c r="F309" s="79">
        <f>IF('Ordenes_Odoo'!F309="","",'Ordenes_Odoo'!F309)</f>
        <v/>
      </c>
      <c r="G309" s="79">
        <f>IF('Ordenes_Odoo'!G309="","",'Ordenes_Odoo'!G309)</f>
        <v/>
      </c>
      <c r="H309" s="79">
        <f>IF('Ordenes_Odoo'!H309="","",'Ordenes_Odoo'!H309)</f>
        <v/>
      </c>
      <c r="I309" s="79">
        <f>IF('Ordenes_Odoo'!I309="","",'Ordenes_Odoo'!I309)</f>
        <v/>
      </c>
      <c r="J309" s="79">
        <f>IF('Ordenes_Odoo'!J309="","",'Ordenes_Odoo'!J309)</f>
        <v/>
      </c>
      <c r="K309" s="81">
        <f>IF('Ordenes_Odoo'!K309="","",'Ordenes_Odoo'!K309)</f>
        <v/>
      </c>
      <c r="L309" s="81">
        <f>IF('Ordenes_Odoo'!L309="","",'Ordenes_Odoo'!L309)</f>
        <v/>
      </c>
      <c r="M309" s="79">
        <f>IF('Ordenes_Odoo'!M309="","",'Ordenes_Odoo'!M309)</f>
        <v/>
      </c>
      <c r="N309" s="79">
        <f>IF('Ordenes_Odoo'!N309="","",'Ordenes_Odoo'!N309)</f>
        <v/>
      </c>
      <c r="O309" s="81">
        <f>IF('Ordenes_Odoo'!O309="","",'Ordenes_Odoo'!O309)</f>
        <v/>
      </c>
      <c r="P309" s="81">
        <f>IF('Ordenes_Odoo'!P309="","",'Ordenes_Odoo'!P309)</f>
        <v/>
      </c>
      <c r="Q309" s="79">
        <f>IF(A309="","",IFERROR(INDEX(Facturas_Odoo!$B:$B, MATCH(A309, Facturas_Odoo!$D:$D, 0)), "Sin Factura"))</f>
        <v/>
      </c>
      <c r="R309" s="80">
        <f>IF(Q309="Sin Factura","",IFERROR(INDEX(Facturas_Odoo!$A:$A, MATCH(Q309, Facturas_Odoo!$B:$B, 0)), ""))</f>
        <v/>
      </c>
      <c r="S309" s="79">
        <f>IF(Q309="Sin Factura","",IFERROR(_xlfn.XLOOKUP(1, (Facturas_Odoo!$D:$D=A309) * (Facturas_Odoo!$K:$K=I309), Facturas_Odoo!$L:$L, ""), ""))</f>
        <v/>
      </c>
      <c r="T309" s="81">
        <f>IF(Q309="Sin Factura",0,IFERROR(_xlfn.XLOOKUP(1, (Facturas_Odoo!$D:$D=A309) * (Facturas_Odoo!$K:$K=I309), Facturas_Odoo!$M:$M, 0), 0))</f>
        <v/>
      </c>
      <c r="U309" s="79">
        <f>IF(Q309="Sin Factura",0,IFERROR(_xlfn.XLOOKUP(1, (Facturas_Odoo!$D:$D=A309) * (Facturas_Odoo!$K:$K=I309), Facturas_Odoo!$N:$N, 0), 0))</f>
        <v/>
      </c>
      <c r="V309" s="79">
        <f>IF(Q309="Sin Factura",0,IFERROR(_xlfn.XLOOKUP(1, (Facturas_Odoo!$D:$D=A309) * (Facturas_Odoo!$K:$K=I309), Facturas_Odoo!$O:$O, 0), 0))</f>
        <v/>
      </c>
      <c r="W309" s="81">
        <f>IF(Q309="Sin Factura",0,IFERROR(_xlfn.XLOOKUP(1, (Facturas_Odoo!$D:$D=A309) * (Facturas_Odoo!$K:$K=I309), Facturas_Odoo!$Q:$Q, 0), 0))</f>
        <v/>
      </c>
      <c r="X309" s="79">
        <f>IF(OR(Q309="Sin Factura",Q309=""),"",IFERROR(INDEX(Pagos_Odoo!$B:$B, MATCH(Q309, Pagos_Odoo!$I:$I, 0)), "Sin Pago"))</f>
        <v/>
      </c>
      <c r="Y309" s="79">
        <f>IF(X309="Sin Pago","",IFERROR(INDEX(Pagos_Odoo!$C:$C, MATCH(X309, Pagos_Odoo!$B:$B, 0)), ""))</f>
        <v/>
      </c>
      <c r="Z309" s="80">
        <f>IF(X309="Sin Pago","",IFERROR(INDEX(Pagos_Odoo!$A:$A, MATCH(X309, Pagos_Odoo!$B:$B, 0)), ""))</f>
        <v/>
      </c>
      <c r="AA309" s="79">
        <f>IF(X309="Sin Pago","",IFERROR(INDEX(Pagos_Odoo!$F:$F, MATCH(X309, Pagos_Odoo!$B:$B, 0)), ""))</f>
        <v/>
      </c>
      <c r="AB309" s="81">
        <f>IF(X309="Sin Pago",0,IFERROR(INDEX(Pagos_Odoo!$E:$E, MATCH(X309, Pagos_Odoo!$B:$B, 0)), 0))</f>
        <v/>
      </c>
      <c r="AC309" s="79">
        <f>IF(X309="Sin Pago","",IFERROR(INDEX(Pagos_Odoo!$G:$G, MATCH(X309, Pagos_Odoo!$B:$B, 0)), ""))</f>
        <v/>
      </c>
      <c r="AD309" s="82" t="n">
        <v>0</v>
      </c>
      <c r="AE309" s="82" t="n"/>
      <c r="AF309" s="82" t="n"/>
      <c r="AG309" s="82">
        <f>IF(AN309="","",AD309+AE309+AF309)</f>
        <v/>
      </c>
      <c r="AH309" s="81">
        <f>IF(AN309="","",P309*(1-AG309))</f>
        <v/>
      </c>
      <c r="AI309" s="81">
        <f>IF(AN309="","",IF(Q309="Sin Factura",0,IFERROR(INDEX(Facturas_Odoo!$H:$H, MATCH(Q309, Facturas_Odoo!$B:$B, 0)), 0)*(1-AG309)))</f>
        <v/>
      </c>
      <c r="AJ309" s="81">
        <f>IF(AN309="","",_xlfn.LET(idVenta, AN309&amp;"",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09" s="81">
        <f>IF(AN309="","",AH309-AJ309)</f>
        <v/>
      </c>
      <c r="AL309" s="81">
        <f>IF(AN309="","",IF(Q309="Sin Factura","",AI309-AJ309))</f>
        <v/>
      </c>
      <c r="AM309" s="81">
        <f>IF(AN309="","",IF(Q309="Sin Factura",0,P309-IFERROR(INDEX(Facturas_Odoo!$H:$H, MATCH(Q309, Facturas_Odoo!$B:$B, 0)), 0)))</f>
        <v/>
      </c>
      <c r="AN309" s="79">
        <f>IF(AND(A309="", J309=""), "", IF(A309&lt;&gt;"", VALUE(MID(A309,2,LEN(A309))), AN308))</f>
        <v/>
      </c>
      <c r="AO309" s="79">
        <f>IF(AN309="","",IF(AD309=0,"OK",_xlfn.LET(monedaPago, IF(AA309="","USD",AA309), limitePermitido, IFERROR(VLOOKUP(monedaPago, Configuración!$A$2:$B$3, 2, FALSE), 0.15), IF(AD309&gt;limitePermitido, "ALERTA: EXCESO (" &amp; TEXT(limitePermitido, "0%") &amp; " máx)", "OK"))))</f>
        <v/>
      </c>
      <c r="AP309" s="79">
        <f>IF(AN309="","",IF(AE309=0,"OK",_xlfn.LET(fechaPago, Z309, fechaFactura, R309, diasCredito, IF(E309="Pago inmediato", 0, IFERROR(VALUE(MID(E309, 1, SEARCH(" ", E309)-1)),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09" s="79">
        <f>IF(AN309="","",IF(AND(N309&gt;0, AG309&gt;0), IF(Configuración!$K$2="NO", "ALERTA: DESCUENTO DOBLE NO PERMITIDO", "OK"), "OK"))</f>
        <v/>
      </c>
      <c r="AR309" s="79">
        <f>IF(AN309="","",IF(OR(AO309&lt;&gt;"OK", AP309&lt;&gt;"OK", AQ309&lt;&gt;"OK"), "⚠️ REVISAR", "OK"))</f>
        <v/>
      </c>
    </row>
    <row r="310">
      <c r="A310" s="79">
        <f>IF('Ordenes_Odoo'!A310="","",'Ordenes_Odoo'!A310)</f>
        <v/>
      </c>
      <c r="B310" s="80">
        <f>IF('Ordenes_Odoo'!B310="","",'Ordenes_Odoo'!B310)</f>
        <v/>
      </c>
      <c r="C310" s="79">
        <f>IF('Ordenes_Odoo'!C310="","",'Ordenes_Odoo'!C310)</f>
        <v/>
      </c>
      <c r="D310" s="79">
        <f>IF('Ordenes_Odoo'!D310="","",'Ordenes_Odoo'!D310)</f>
        <v/>
      </c>
      <c r="E310" s="79">
        <f>IF('Ordenes_Odoo'!E310="","",'Ordenes_Odoo'!E310)</f>
        <v/>
      </c>
      <c r="F310" s="79">
        <f>IF('Ordenes_Odoo'!F310="","",'Ordenes_Odoo'!F310)</f>
        <v/>
      </c>
      <c r="G310" s="79">
        <f>IF('Ordenes_Odoo'!G310="","",'Ordenes_Odoo'!G310)</f>
        <v/>
      </c>
      <c r="H310" s="79">
        <f>IF('Ordenes_Odoo'!H310="","",'Ordenes_Odoo'!H310)</f>
        <v/>
      </c>
      <c r="I310" s="79">
        <f>IF('Ordenes_Odoo'!I310="","",'Ordenes_Odoo'!I310)</f>
        <v/>
      </c>
      <c r="J310" s="79">
        <f>IF('Ordenes_Odoo'!J310="","",'Ordenes_Odoo'!J310)</f>
        <v/>
      </c>
      <c r="K310" s="81">
        <f>IF('Ordenes_Odoo'!K310="","",'Ordenes_Odoo'!K310)</f>
        <v/>
      </c>
      <c r="L310" s="81">
        <f>IF('Ordenes_Odoo'!L310="","",'Ordenes_Odoo'!L310)</f>
        <v/>
      </c>
      <c r="M310" s="79">
        <f>IF('Ordenes_Odoo'!M310="","",'Ordenes_Odoo'!M310)</f>
        <v/>
      </c>
      <c r="N310" s="79">
        <f>IF('Ordenes_Odoo'!N310="","",'Ordenes_Odoo'!N310)</f>
        <v/>
      </c>
      <c r="O310" s="81">
        <f>IF('Ordenes_Odoo'!O310="","",'Ordenes_Odoo'!O310)</f>
        <v/>
      </c>
      <c r="P310" s="81">
        <f>IF('Ordenes_Odoo'!P310="","",'Ordenes_Odoo'!P310)</f>
        <v/>
      </c>
      <c r="Q310" s="79">
        <f>IF(A310="","",IFERROR(INDEX(Facturas_Odoo!$B:$B, MATCH(A310, Facturas_Odoo!$D:$D, 0)), "Sin Factura"))</f>
        <v/>
      </c>
      <c r="R310" s="80">
        <f>IF(Q310="Sin Factura","",IFERROR(INDEX(Facturas_Odoo!$A:$A, MATCH(Q310, Facturas_Odoo!$B:$B, 0)), ""))</f>
        <v/>
      </c>
      <c r="S310" s="79">
        <f>IF(Q310="Sin Factura","",IFERROR(_xlfn.XLOOKUP(1, (Facturas_Odoo!$D:$D=A310) * (Facturas_Odoo!$K:$K=I310), Facturas_Odoo!$L:$L, ""), ""))</f>
        <v/>
      </c>
      <c r="T310" s="81">
        <f>IF(Q310="Sin Factura",0,IFERROR(_xlfn.XLOOKUP(1, (Facturas_Odoo!$D:$D=A310) * (Facturas_Odoo!$K:$K=I310), Facturas_Odoo!$M:$M, 0), 0))</f>
        <v/>
      </c>
      <c r="U310" s="79">
        <f>IF(Q310="Sin Factura",0,IFERROR(_xlfn.XLOOKUP(1, (Facturas_Odoo!$D:$D=A310) * (Facturas_Odoo!$K:$K=I310), Facturas_Odoo!$N:$N, 0), 0))</f>
        <v/>
      </c>
      <c r="V310" s="79">
        <f>IF(Q310="Sin Factura",0,IFERROR(_xlfn.XLOOKUP(1, (Facturas_Odoo!$D:$D=A310) * (Facturas_Odoo!$K:$K=I310), Facturas_Odoo!$O:$O, 0), 0))</f>
        <v/>
      </c>
      <c r="W310" s="81">
        <f>IF(Q310="Sin Factura",0,IFERROR(_xlfn.XLOOKUP(1, (Facturas_Odoo!$D:$D=A310) * (Facturas_Odoo!$K:$K=I310), Facturas_Odoo!$Q:$Q, 0), 0))</f>
        <v/>
      </c>
      <c r="X310" s="79">
        <f>IF(OR(Q310="Sin Factura",Q310=""),"",IFERROR(INDEX(Pagos_Odoo!$B:$B, MATCH(Q310, Pagos_Odoo!$I:$I, 0)), "Sin Pago"))</f>
        <v/>
      </c>
      <c r="Y310" s="79">
        <f>IF(X310="Sin Pago","",IFERROR(INDEX(Pagos_Odoo!$C:$C, MATCH(X310, Pagos_Odoo!$B:$B, 0)), ""))</f>
        <v/>
      </c>
      <c r="Z310" s="80">
        <f>IF(X310="Sin Pago","",IFERROR(INDEX(Pagos_Odoo!$A:$A, MATCH(X310, Pagos_Odoo!$B:$B, 0)), ""))</f>
        <v/>
      </c>
      <c r="AA310" s="79">
        <f>IF(X310="Sin Pago","",IFERROR(INDEX(Pagos_Odoo!$F:$F, MATCH(X310, Pagos_Odoo!$B:$B, 0)), ""))</f>
        <v/>
      </c>
      <c r="AB310" s="81">
        <f>IF(X310="Sin Pago",0,IFERROR(INDEX(Pagos_Odoo!$E:$E, MATCH(X310, Pagos_Odoo!$B:$B, 0)), 0))</f>
        <v/>
      </c>
      <c r="AC310" s="79">
        <f>IF(X310="Sin Pago","",IFERROR(INDEX(Pagos_Odoo!$G:$G, MATCH(X310, Pagos_Odoo!$B:$B, 0)), ""))</f>
        <v/>
      </c>
      <c r="AD310" s="82" t="n">
        <v>0</v>
      </c>
      <c r="AE310" s="82" t="n"/>
      <c r="AF310" s="82" t="n"/>
      <c r="AG310" s="82">
        <f>IF(AN310="","",AD310+AE310+AF310)</f>
        <v/>
      </c>
      <c r="AH310" s="81">
        <f>IF(AN310="","",P310*(1-AG310))</f>
        <v/>
      </c>
      <c r="AI310" s="81">
        <f>IF(AN310="","",IF(Q310="Sin Factura",0,IFERROR(INDEX(Facturas_Odoo!$H:$H, MATCH(Q310, Facturas_Odoo!$B:$B, 0)), 0)*(1-AG310)))</f>
        <v/>
      </c>
      <c r="AJ310" s="81">
        <f>IF(AN310="","",_xlfn.LET(idVenta, AN310&amp;"",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10" s="81">
        <f>IF(AN310="","",AH310-AJ310)</f>
        <v/>
      </c>
      <c r="AL310" s="81">
        <f>IF(AN310="","",IF(Q310="Sin Factura","",AI310-AJ310))</f>
        <v/>
      </c>
      <c r="AM310" s="81">
        <f>IF(AN310="","",IF(Q310="Sin Factura",0,P310-IFERROR(INDEX(Facturas_Odoo!$H:$H, MATCH(Q310, Facturas_Odoo!$B:$B, 0)), 0)))</f>
        <v/>
      </c>
      <c r="AN310" s="79">
        <f>IF(AND(A310="", J310=""), "", IF(A310&lt;&gt;"", VALUE(MID(A310,2,LEN(A310))), AN309))</f>
        <v/>
      </c>
      <c r="AO310" s="79">
        <f>IF(AN310="","",IF(AD310=0,"OK",_xlfn.LET(monedaPago, IF(AA310="","USD",AA310), limitePermitido, IFERROR(VLOOKUP(monedaPago, Configuración!$A$2:$B$3, 2, FALSE), 0.15), IF(AD310&gt;limitePermitido, "ALERTA: EXCESO (" &amp; TEXT(limitePermitido, "0%") &amp; " máx)", "OK"))))</f>
        <v/>
      </c>
      <c r="AP310" s="79">
        <f>IF(AN310="","",IF(AE310=0,"OK",_xlfn.LET(fechaPago, Z310, fechaFactura, R310, diasCredito, IF(E310="Pago inmediato", 0, IFERROR(VALUE(MID(E310, 1, SEARCH(" ", E310)-1)),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10" s="79">
        <f>IF(AN310="","",IF(AND(N310&gt;0, AG310&gt;0), IF(Configuración!$K$2="NO", "ALERTA: DESCUENTO DOBLE NO PERMITIDO", "OK"), "OK"))</f>
        <v/>
      </c>
      <c r="AR310" s="79">
        <f>IF(AN310="","",IF(OR(AO310&lt;&gt;"OK", AP310&lt;&gt;"OK", AQ310&lt;&gt;"OK"), "⚠️ REVISAR", "OK"))</f>
        <v/>
      </c>
    </row>
    <row r="311">
      <c r="A311" s="79">
        <f>IF('Ordenes_Odoo'!A311="","",'Ordenes_Odoo'!A311)</f>
        <v/>
      </c>
      <c r="B311" s="80">
        <f>IF('Ordenes_Odoo'!B311="","",'Ordenes_Odoo'!B311)</f>
        <v/>
      </c>
      <c r="C311" s="79">
        <f>IF('Ordenes_Odoo'!C311="","",'Ordenes_Odoo'!C311)</f>
        <v/>
      </c>
      <c r="D311" s="79">
        <f>IF('Ordenes_Odoo'!D311="","",'Ordenes_Odoo'!D311)</f>
        <v/>
      </c>
      <c r="E311" s="79">
        <f>IF('Ordenes_Odoo'!E311="","",'Ordenes_Odoo'!E311)</f>
        <v/>
      </c>
      <c r="F311" s="79">
        <f>IF('Ordenes_Odoo'!F311="","",'Ordenes_Odoo'!F311)</f>
        <v/>
      </c>
      <c r="G311" s="79">
        <f>IF('Ordenes_Odoo'!G311="","",'Ordenes_Odoo'!G311)</f>
        <v/>
      </c>
      <c r="H311" s="79">
        <f>IF('Ordenes_Odoo'!H311="","",'Ordenes_Odoo'!H311)</f>
        <v/>
      </c>
      <c r="I311" s="79">
        <f>IF('Ordenes_Odoo'!I311="","",'Ordenes_Odoo'!I311)</f>
        <v/>
      </c>
      <c r="J311" s="79">
        <f>IF('Ordenes_Odoo'!J311="","",'Ordenes_Odoo'!J311)</f>
        <v/>
      </c>
      <c r="K311" s="81">
        <f>IF('Ordenes_Odoo'!K311="","",'Ordenes_Odoo'!K311)</f>
        <v/>
      </c>
      <c r="L311" s="81">
        <f>IF('Ordenes_Odoo'!L311="","",'Ordenes_Odoo'!L311)</f>
        <v/>
      </c>
      <c r="M311" s="79">
        <f>IF('Ordenes_Odoo'!M311="","",'Ordenes_Odoo'!M311)</f>
        <v/>
      </c>
      <c r="N311" s="79">
        <f>IF('Ordenes_Odoo'!N311="","",'Ordenes_Odoo'!N311)</f>
        <v/>
      </c>
      <c r="O311" s="81">
        <f>IF('Ordenes_Odoo'!O311="","",'Ordenes_Odoo'!O311)</f>
        <v/>
      </c>
      <c r="P311" s="81">
        <f>IF('Ordenes_Odoo'!P311="","",'Ordenes_Odoo'!P311)</f>
        <v/>
      </c>
      <c r="Q311" s="79">
        <f>IF(A311="","",IFERROR(INDEX(Facturas_Odoo!$B:$B, MATCH(A311, Facturas_Odoo!$D:$D, 0)), "Sin Factura"))</f>
        <v/>
      </c>
      <c r="R311" s="80">
        <f>IF(Q311="Sin Factura","",IFERROR(INDEX(Facturas_Odoo!$A:$A, MATCH(Q311, Facturas_Odoo!$B:$B, 0)), ""))</f>
        <v/>
      </c>
      <c r="S311" s="79">
        <f>IF(Q311="Sin Factura","",IFERROR(_xlfn.XLOOKUP(1, (Facturas_Odoo!$D:$D=A311) * (Facturas_Odoo!$K:$K=I311), Facturas_Odoo!$L:$L, ""), ""))</f>
        <v/>
      </c>
      <c r="T311" s="81">
        <f>IF(Q311="Sin Factura",0,IFERROR(_xlfn.XLOOKUP(1, (Facturas_Odoo!$D:$D=A311) * (Facturas_Odoo!$K:$K=I311), Facturas_Odoo!$M:$M, 0), 0))</f>
        <v/>
      </c>
      <c r="U311" s="79">
        <f>IF(Q311="Sin Factura",0,IFERROR(_xlfn.XLOOKUP(1, (Facturas_Odoo!$D:$D=A311) * (Facturas_Odoo!$K:$K=I311), Facturas_Odoo!$N:$N, 0), 0))</f>
        <v/>
      </c>
      <c r="V311" s="79">
        <f>IF(Q311="Sin Factura",0,IFERROR(_xlfn.XLOOKUP(1, (Facturas_Odoo!$D:$D=A311) * (Facturas_Odoo!$K:$K=I311), Facturas_Odoo!$O:$O, 0), 0))</f>
        <v/>
      </c>
      <c r="W311" s="81">
        <f>IF(Q311="Sin Factura",0,IFERROR(_xlfn.XLOOKUP(1, (Facturas_Odoo!$D:$D=A311) * (Facturas_Odoo!$K:$K=I311), Facturas_Odoo!$Q:$Q, 0), 0))</f>
        <v/>
      </c>
      <c r="X311" s="79">
        <f>IF(OR(Q311="Sin Factura",Q311=""),"",IFERROR(INDEX(Pagos_Odoo!$B:$B, MATCH(Q311, Pagos_Odoo!$I:$I, 0)), "Sin Pago"))</f>
        <v/>
      </c>
      <c r="Y311" s="79">
        <f>IF(X311="Sin Pago","",IFERROR(INDEX(Pagos_Odoo!$C:$C, MATCH(X311, Pagos_Odoo!$B:$B, 0)), ""))</f>
        <v/>
      </c>
      <c r="Z311" s="80">
        <f>IF(X311="Sin Pago","",IFERROR(INDEX(Pagos_Odoo!$A:$A, MATCH(X311, Pagos_Odoo!$B:$B, 0)), ""))</f>
        <v/>
      </c>
      <c r="AA311" s="79">
        <f>IF(X311="Sin Pago","",IFERROR(INDEX(Pagos_Odoo!$F:$F, MATCH(X311, Pagos_Odoo!$B:$B, 0)), ""))</f>
        <v/>
      </c>
      <c r="AB311" s="81">
        <f>IF(X311="Sin Pago",0,IFERROR(INDEX(Pagos_Odoo!$E:$E, MATCH(X311, Pagos_Odoo!$B:$B, 0)), 0))</f>
        <v/>
      </c>
      <c r="AC311" s="79">
        <f>IF(X311="Sin Pago","",IFERROR(INDEX(Pagos_Odoo!$G:$G, MATCH(X311, Pagos_Odoo!$B:$B, 0)), ""))</f>
        <v/>
      </c>
      <c r="AD311" s="82" t="n">
        <v>0</v>
      </c>
      <c r="AE311" s="82" t="n"/>
      <c r="AF311" s="82" t="n"/>
      <c r="AG311" s="82">
        <f>IF(AN311="","",AD311+AE311+AF311)</f>
        <v/>
      </c>
      <c r="AH311" s="81">
        <f>IF(AN311="","",P311*(1-AG311))</f>
        <v/>
      </c>
      <c r="AI311" s="81">
        <f>IF(AN311="","",IF(Q311="Sin Factura",0,IFERROR(INDEX(Facturas_Odoo!$H:$H, MATCH(Q311, Facturas_Odoo!$B:$B, 0)), 0)*(1-AG311)))</f>
        <v/>
      </c>
      <c r="AJ311" s="81">
        <f>IF(AN311="","",_xlfn.LET(idVenta, AN311&amp;"",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11" s="81">
        <f>IF(AN311="","",AH311-AJ311)</f>
        <v/>
      </c>
      <c r="AL311" s="81">
        <f>IF(AN311="","",IF(Q311="Sin Factura","",AI311-AJ311))</f>
        <v/>
      </c>
      <c r="AM311" s="81">
        <f>IF(AN311="","",IF(Q311="Sin Factura",0,P311-IFERROR(INDEX(Facturas_Odoo!$H:$H, MATCH(Q311, Facturas_Odoo!$B:$B, 0)), 0)))</f>
        <v/>
      </c>
      <c r="AN311" s="79">
        <f>IF(AND(A311="", J311=""), "", IF(A311&lt;&gt;"", VALUE(MID(A311,2,LEN(A311))), AN310))</f>
        <v/>
      </c>
      <c r="AO311" s="79">
        <f>IF(AN311="","",IF(AD311=0,"OK",_xlfn.LET(monedaPago, IF(AA311="","USD",AA311), limitePermitido, IFERROR(VLOOKUP(monedaPago, Configuración!$A$2:$B$3, 2, FALSE), 0.15), IF(AD311&gt;limitePermitido, "ALERTA: EXCESO (" &amp; TEXT(limitePermitido, "0%") &amp; " máx)", "OK"))))</f>
        <v/>
      </c>
      <c r="AP311" s="79">
        <f>IF(AN311="","",IF(AE311=0,"OK",_xlfn.LET(fechaPago, Z311, fechaFactura, R311, diasCredito, IF(E311="Pago inmediato", 0, IFERROR(VALUE(MID(E311, 1, SEARCH(" ", E311)-1)),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11" s="79">
        <f>IF(AN311="","",IF(AND(N311&gt;0, AG311&gt;0), IF(Configuración!$K$2="NO", "ALERTA: DESCUENTO DOBLE NO PERMITIDO", "OK"), "OK"))</f>
        <v/>
      </c>
      <c r="AR311" s="79">
        <f>IF(AN311="","",IF(OR(AO311&lt;&gt;"OK", AP311&lt;&gt;"OK", AQ311&lt;&gt;"OK"), "⚠️ REVISAR", "OK"))</f>
        <v/>
      </c>
    </row>
    <row r="312">
      <c r="A312" s="79">
        <f>IF('Ordenes_Odoo'!A312="","",'Ordenes_Odoo'!A312)</f>
        <v/>
      </c>
      <c r="B312" s="80">
        <f>IF('Ordenes_Odoo'!B312="","",'Ordenes_Odoo'!B312)</f>
        <v/>
      </c>
      <c r="C312" s="79">
        <f>IF('Ordenes_Odoo'!C312="","",'Ordenes_Odoo'!C312)</f>
        <v/>
      </c>
      <c r="D312" s="79">
        <f>IF('Ordenes_Odoo'!D312="","",'Ordenes_Odoo'!D312)</f>
        <v/>
      </c>
      <c r="E312" s="79">
        <f>IF('Ordenes_Odoo'!E312="","",'Ordenes_Odoo'!E312)</f>
        <v/>
      </c>
      <c r="F312" s="79">
        <f>IF('Ordenes_Odoo'!F312="","",'Ordenes_Odoo'!F312)</f>
        <v/>
      </c>
      <c r="G312" s="79">
        <f>IF('Ordenes_Odoo'!G312="","",'Ordenes_Odoo'!G312)</f>
        <v/>
      </c>
      <c r="H312" s="79">
        <f>IF('Ordenes_Odoo'!H312="","",'Ordenes_Odoo'!H312)</f>
        <v/>
      </c>
      <c r="I312" s="79">
        <f>IF('Ordenes_Odoo'!I312="","",'Ordenes_Odoo'!I312)</f>
        <v/>
      </c>
      <c r="J312" s="79">
        <f>IF('Ordenes_Odoo'!J312="","",'Ordenes_Odoo'!J312)</f>
        <v/>
      </c>
      <c r="K312" s="81">
        <f>IF('Ordenes_Odoo'!K312="","",'Ordenes_Odoo'!K312)</f>
        <v/>
      </c>
      <c r="L312" s="81">
        <f>IF('Ordenes_Odoo'!L312="","",'Ordenes_Odoo'!L312)</f>
        <v/>
      </c>
      <c r="M312" s="79">
        <f>IF('Ordenes_Odoo'!M312="","",'Ordenes_Odoo'!M312)</f>
        <v/>
      </c>
      <c r="N312" s="79">
        <f>IF('Ordenes_Odoo'!N312="","",'Ordenes_Odoo'!N312)</f>
        <v/>
      </c>
      <c r="O312" s="81">
        <f>IF('Ordenes_Odoo'!O312="","",'Ordenes_Odoo'!O312)</f>
        <v/>
      </c>
      <c r="P312" s="81">
        <f>IF('Ordenes_Odoo'!P312="","",'Ordenes_Odoo'!P312)</f>
        <v/>
      </c>
      <c r="Q312" s="79">
        <f>IF(A312="","",IFERROR(INDEX(Facturas_Odoo!$B:$B, MATCH(A312, Facturas_Odoo!$D:$D, 0)), "Sin Factura"))</f>
        <v/>
      </c>
      <c r="R312" s="80">
        <f>IF(Q312="Sin Factura","",IFERROR(INDEX(Facturas_Odoo!$A:$A, MATCH(Q312, Facturas_Odoo!$B:$B, 0)), ""))</f>
        <v/>
      </c>
      <c r="S312" s="79">
        <f>IF(Q312="Sin Factura","",IFERROR(_xlfn.XLOOKUP(1, (Facturas_Odoo!$D:$D=A312) * (Facturas_Odoo!$K:$K=I312), Facturas_Odoo!$L:$L, ""), ""))</f>
        <v/>
      </c>
      <c r="T312" s="81">
        <f>IF(Q312="Sin Factura",0,IFERROR(_xlfn.XLOOKUP(1, (Facturas_Odoo!$D:$D=A312) * (Facturas_Odoo!$K:$K=I312), Facturas_Odoo!$M:$M, 0), 0))</f>
        <v/>
      </c>
      <c r="U312" s="79">
        <f>IF(Q312="Sin Factura",0,IFERROR(_xlfn.XLOOKUP(1, (Facturas_Odoo!$D:$D=A312) * (Facturas_Odoo!$K:$K=I312), Facturas_Odoo!$N:$N, 0), 0))</f>
        <v/>
      </c>
      <c r="V312" s="79">
        <f>IF(Q312="Sin Factura",0,IFERROR(_xlfn.XLOOKUP(1, (Facturas_Odoo!$D:$D=A312) * (Facturas_Odoo!$K:$K=I312), Facturas_Odoo!$O:$O, 0), 0))</f>
        <v/>
      </c>
      <c r="W312" s="81">
        <f>IF(Q312="Sin Factura",0,IFERROR(_xlfn.XLOOKUP(1, (Facturas_Odoo!$D:$D=A312) * (Facturas_Odoo!$K:$K=I312), Facturas_Odoo!$Q:$Q, 0), 0))</f>
        <v/>
      </c>
      <c r="X312" s="79">
        <f>IF(OR(Q312="Sin Factura",Q312=""),"",IFERROR(INDEX(Pagos_Odoo!$B:$B, MATCH(Q312, Pagos_Odoo!$I:$I, 0)), "Sin Pago"))</f>
        <v/>
      </c>
      <c r="Y312" s="79">
        <f>IF(X312="Sin Pago","",IFERROR(INDEX(Pagos_Odoo!$C:$C, MATCH(X312, Pagos_Odoo!$B:$B, 0)), ""))</f>
        <v/>
      </c>
      <c r="Z312" s="80">
        <f>IF(X312="Sin Pago","",IFERROR(INDEX(Pagos_Odoo!$A:$A, MATCH(X312, Pagos_Odoo!$B:$B, 0)), ""))</f>
        <v/>
      </c>
      <c r="AA312" s="79">
        <f>IF(X312="Sin Pago","",IFERROR(INDEX(Pagos_Odoo!$F:$F, MATCH(X312, Pagos_Odoo!$B:$B, 0)), ""))</f>
        <v/>
      </c>
      <c r="AB312" s="81">
        <f>IF(X312="Sin Pago",0,IFERROR(INDEX(Pagos_Odoo!$E:$E, MATCH(X312, Pagos_Odoo!$B:$B, 0)), 0))</f>
        <v/>
      </c>
      <c r="AC312" s="79">
        <f>IF(X312="Sin Pago","",IFERROR(INDEX(Pagos_Odoo!$G:$G, MATCH(X312, Pagos_Odoo!$B:$B, 0)), ""))</f>
        <v/>
      </c>
      <c r="AD312" s="82" t="n">
        <v>0</v>
      </c>
      <c r="AE312" s="82" t="n"/>
      <c r="AF312" s="82" t="n"/>
      <c r="AG312" s="82">
        <f>IF(AN312="","",AD312+AE312+AF312)</f>
        <v/>
      </c>
      <c r="AH312" s="81">
        <f>IF(AN312="","",P312*(1-AG312))</f>
        <v/>
      </c>
      <c r="AI312" s="81">
        <f>IF(AN312="","",IF(Q312="Sin Factura",0,IFERROR(INDEX(Facturas_Odoo!$H:$H, MATCH(Q312, Facturas_Odoo!$B:$B, 0)), 0)*(1-AG312)))</f>
        <v/>
      </c>
      <c r="AJ312" s="81">
        <f>IF(AN312="","",_xlfn.LET(idVenta, AN312&amp;"",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12" s="81">
        <f>IF(AN312="","",AH312-AJ312)</f>
        <v/>
      </c>
      <c r="AL312" s="81">
        <f>IF(AN312="","",IF(Q312="Sin Factura","",AI312-AJ312))</f>
        <v/>
      </c>
      <c r="AM312" s="81">
        <f>IF(AN312="","",IF(Q312="Sin Factura",0,P312-IFERROR(INDEX(Facturas_Odoo!$H:$H, MATCH(Q312, Facturas_Odoo!$B:$B, 0)), 0)))</f>
        <v/>
      </c>
      <c r="AN312" s="79">
        <f>IF(AND(A312="", J312=""), "", IF(A312&lt;&gt;"", VALUE(MID(A312,2,LEN(A312))), AN311))</f>
        <v/>
      </c>
      <c r="AO312" s="79">
        <f>IF(AN312="","",IF(AD312=0,"OK",_xlfn.LET(monedaPago, IF(AA312="","USD",AA312), limitePermitido, IFERROR(VLOOKUP(monedaPago, Configuración!$A$2:$B$3, 2, FALSE), 0.15), IF(AD312&gt;limitePermitido, "ALERTA: EXCESO (" &amp; TEXT(limitePermitido, "0%") &amp; " máx)", "OK"))))</f>
        <v/>
      </c>
      <c r="AP312" s="79">
        <f>IF(AN312="","",IF(AE312=0,"OK",_xlfn.LET(fechaPago, Z312, fechaFactura, R312, diasCredito, IF(E312="Pago inmediato", 0, IFERROR(VALUE(MID(E312, 1, SEARCH(" ", E312)-1)),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12" s="79">
        <f>IF(AN312="","",IF(AND(N312&gt;0, AG312&gt;0), IF(Configuración!$K$2="NO", "ALERTA: DESCUENTO DOBLE NO PERMITIDO", "OK"), "OK"))</f>
        <v/>
      </c>
      <c r="AR312" s="79">
        <f>IF(AN312="","",IF(OR(AO312&lt;&gt;"OK", AP312&lt;&gt;"OK", AQ312&lt;&gt;"OK"), "⚠️ REVISAR", "OK"))</f>
        <v/>
      </c>
    </row>
    <row r="313">
      <c r="A313" s="79">
        <f>IF('Ordenes_Odoo'!A313="","",'Ordenes_Odoo'!A313)</f>
        <v/>
      </c>
      <c r="B313" s="80">
        <f>IF('Ordenes_Odoo'!B313="","",'Ordenes_Odoo'!B313)</f>
        <v/>
      </c>
      <c r="C313" s="79">
        <f>IF('Ordenes_Odoo'!C313="","",'Ordenes_Odoo'!C313)</f>
        <v/>
      </c>
      <c r="D313" s="79">
        <f>IF('Ordenes_Odoo'!D313="","",'Ordenes_Odoo'!D313)</f>
        <v/>
      </c>
      <c r="E313" s="79">
        <f>IF('Ordenes_Odoo'!E313="","",'Ordenes_Odoo'!E313)</f>
        <v/>
      </c>
      <c r="F313" s="79">
        <f>IF('Ordenes_Odoo'!F313="","",'Ordenes_Odoo'!F313)</f>
        <v/>
      </c>
      <c r="G313" s="79">
        <f>IF('Ordenes_Odoo'!G313="","",'Ordenes_Odoo'!G313)</f>
        <v/>
      </c>
      <c r="H313" s="79">
        <f>IF('Ordenes_Odoo'!H313="","",'Ordenes_Odoo'!H313)</f>
        <v/>
      </c>
      <c r="I313" s="79">
        <f>IF('Ordenes_Odoo'!I313="","",'Ordenes_Odoo'!I313)</f>
        <v/>
      </c>
      <c r="J313" s="79">
        <f>IF('Ordenes_Odoo'!J313="","",'Ordenes_Odoo'!J313)</f>
        <v/>
      </c>
      <c r="K313" s="81">
        <f>IF('Ordenes_Odoo'!K313="","",'Ordenes_Odoo'!K313)</f>
        <v/>
      </c>
      <c r="L313" s="81">
        <f>IF('Ordenes_Odoo'!L313="","",'Ordenes_Odoo'!L313)</f>
        <v/>
      </c>
      <c r="M313" s="79">
        <f>IF('Ordenes_Odoo'!M313="","",'Ordenes_Odoo'!M313)</f>
        <v/>
      </c>
      <c r="N313" s="79">
        <f>IF('Ordenes_Odoo'!N313="","",'Ordenes_Odoo'!N313)</f>
        <v/>
      </c>
      <c r="O313" s="81">
        <f>IF('Ordenes_Odoo'!O313="","",'Ordenes_Odoo'!O313)</f>
        <v/>
      </c>
      <c r="P313" s="81">
        <f>IF('Ordenes_Odoo'!P313="","",'Ordenes_Odoo'!P313)</f>
        <v/>
      </c>
      <c r="Q313" s="79">
        <f>IF(A313="","",IFERROR(INDEX(Facturas_Odoo!$B:$B, MATCH(A313, Facturas_Odoo!$D:$D, 0)), "Sin Factura"))</f>
        <v/>
      </c>
      <c r="R313" s="80">
        <f>IF(Q313="Sin Factura","",IFERROR(INDEX(Facturas_Odoo!$A:$A, MATCH(Q313, Facturas_Odoo!$B:$B, 0)), ""))</f>
        <v/>
      </c>
      <c r="S313" s="79">
        <f>IF(Q313="Sin Factura","",IFERROR(_xlfn.XLOOKUP(1, (Facturas_Odoo!$D:$D=A313) * (Facturas_Odoo!$K:$K=I313), Facturas_Odoo!$L:$L, ""), ""))</f>
        <v/>
      </c>
      <c r="T313" s="81">
        <f>IF(Q313="Sin Factura",0,IFERROR(_xlfn.XLOOKUP(1, (Facturas_Odoo!$D:$D=A313) * (Facturas_Odoo!$K:$K=I313), Facturas_Odoo!$M:$M, 0), 0))</f>
        <v/>
      </c>
      <c r="U313" s="79">
        <f>IF(Q313="Sin Factura",0,IFERROR(_xlfn.XLOOKUP(1, (Facturas_Odoo!$D:$D=A313) * (Facturas_Odoo!$K:$K=I313), Facturas_Odoo!$N:$N, 0), 0))</f>
        <v/>
      </c>
      <c r="V313" s="79">
        <f>IF(Q313="Sin Factura",0,IFERROR(_xlfn.XLOOKUP(1, (Facturas_Odoo!$D:$D=A313) * (Facturas_Odoo!$K:$K=I313), Facturas_Odoo!$O:$O, 0), 0))</f>
        <v/>
      </c>
      <c r="W313" s="81">
        <f>IF(Q313="Sin Factura",0,IFERROR(_xlfn.XLOOKUP(1, (Facturas_Odoo!$D:$D=A313) * (Facturas_Odoo!$K:$K=I313), Facturas_Odoo!$Q:$Q, 0), 0))</f>
        <v/>
      </c>
      <c r="X313" s="79">
        <f>IF(OR(Q313="Sin Factura",Q313=""),"",IFERROR(INDEX(Pagos_Odoo!$B:$B, MATCH(Q313, Pagos_Odoo!$I:$I, 0)), "Sin Pago"))</f>
        <v/>
      </c>
      <c r="Y313" s="79">
        <f>IF(X313="Sin Pago","",IFERROR(INDEX(Pagos_Odoo!$C:$C, MATCH(X313, Pagos_Odoo!$B:$B, 0)), ""))</f>
        <v/>
      </c>
      <c r="Z313" s="80">
        <f>IF(X313="Sin Pago","",IFERROR(INDEX(Pagos_Odoo!$A:$A, MATCH(X313, Pagos_Odoo!$B:$B, 0)), ""))</f>
        <v/>
      </c>
      <c r="AA313" s="79">
        <f>IF(X313="Sin Pago","",IFERROR(INDEX(Pagos_Odoo!$F:$F, MATCH(X313, Pagos_Odoo!$B:$B, 0)), ""))</f>
        <v/>
      </c>
      <c r="AB313" s="81">
        <f>IF(X313="Sin Pago",0,IFERROR(INDEX(Pagos_Odoo!$E:$E, MATCH(X313, Pagos_Odoo!$B:$B, 0)), 0))</f>
        <v/>
      </c>
      <c r="AC313" s="79">
        <f>IF(X313="Sin Pago","",IFERROR(INDEX(Pagos_Odoo!$G:$G, MATCH(X313, Pagos_Odoo!$B:$B, 0)), ""))</f>
        <v/>
      </c>
      <c r="AD313" s="82" t="n">
        <v>0</v>
      </c>
      <c r="AE313" s="82" t="n"/>
      <c r="AF313" s="82" t="n"/>
      <c r="AG313" s="82">
        <f>IF(AN313="","",AD313+AE313+AF313)</f>
        <v/>
      </c>
      <c r="AH313" s="81">
        <f>IF(AN313="","",P313*(1-AG313))</f>
        <v/>
      </c>
      <c r="AI313" s="81">
        <f>IF(AN313="","",IF(Q313="Sin Factura",0,IFERROR(INDEX(Facturas_Odoo!$H:$H, MATCH(Q313, Facturas_Odoo!$B:$B, 0)), 0)*(1-AG313)))</f>
        <v/>
      </c>
      <c r="AJ313" s="81">
        <f>IF(AN313="","",_xlfn.LET(idVenta, AN313&amp;"",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13" s="81">
        <f>IF(AN313="","",AH313-AJ313)</f>
        <v/>
      </c>
      <c r="AL313" s="81">
        <f>IF(AN313="","",IF(Q313="Sin Factura","",AI313-AJ313))</f>
        <v/>
      </c>
      <c r="AM313" s="81">
        <f>IF(AN313="","",IF(Q313="Sin Factura",0,P313-IFERROR(INDEX(Facturas_Odoo!$H:$H, MATCH(Q313, Facturas_Odoo!$B:$B, 0)), 0)))</f>
        <v/>
      </c>
      <c r="AN313" s="79">
        <f>IF(AND(A313="", J313=""), "", IF(A313&lt;&gt;"", VALUE(MID(A313,2,LEN(A313))), AN312))</f>
        <v/>
      </c>
      <c r="AO313" s="79">
        <f>IF(AN313="","",IF(AD313=0,"OK",_xlfn.LET(monedaPago, IF(AA313="","USD",AA313), limitePermitido, IFERROR(VLOOKUP(monedaPago, Configuración!$A$2:$B$3, 2, FALSE), 0.15), IF(AD313&gt;limitePermitido, "ALERTA: EXCESO (" &amp; TEXT(limitePermitido, "0%") &amp; " máx)", "OK"))))</f>
        <v/>
      </c>
      <c r="AP313" s="79">
        <f>IF(AN313="","",IF(AE313=0,"OK",_xlfn.LET(fechaPago, Z313, fechaFactura, R313, diasCredito, IF(E313="Pago inmediato", 0, IFERROR(VALUE(MID(E313, 1, SEARCH(" ", E313)-1)),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13" s="79">
        <f>IF(AN313="","",IF(AND(N313&gt;0, AG313&gt;0), IF(Configuración!$K$2="NO", "ALERTA: DESCUENTO DOBLE NO PERMITIDO", "OK"), "OK"))</f>
        <v/>
      </c>
      <c r="AR313" s="79">
        <f>IF(AN313="","",IF(OR(AO313&lt;&gt;"OK", AP313&lt;&gt;"OK", AQ313&lt;&gt;"OK"), "⚠️ REVISAR", "OK"))</f>
        <v/>
      </c>
    </row>
    <row r="314">
      <c r="A314" s="79">
        <f>IF('Ordenes_Odoo'!A314="","",'Ordenes_Odoo'!A314)</f>
        <v/>
      </c>
      <c r="B314" s="80">
        <f>IF('Ordenes_Odoo'!B314="","",'Ordenes_Odoo'!B314)</f>
        <v/>
      </c>
      <c r="C314" s="79">
        <f>IF('Ordenes_Odoo'!C314="","",'Ordenes_Odoo'!C314)</f>
        <v/>
      </c>
      <c r="D314" s="79">
        <f>IF('Ordenes_Odoo'!D314="","",'Ordenes_Odoo'!D314)</f>
        <v/>
      </c>
      <c r="E314" s="79">
        <f>IF('Ordenes_Odoo'!E314="","",'Ordenes_Odoo'!E314)</f>
        <v/>
      </c>
      <c r="F314" s="79">
        <f>IF('Ordenes_Odoo'!F314="","",'Ordenes_Odoo'!F314)</f>
        <v/>
      </c>
      <c r="G314" s="79">
        <f>IF('Ordenes_Odoo'!G314="","",'Ordenes_Odoo'!G314)</f>
        <v/>
      </c>
      <c r="H314" s="79">
        <f>IF('Ordenes_Odoo'!H314="","",'Ordenes_Odoo'!H314)</f>
        <v/>
      </c>
      <c r="I314" s="79">
        <f>IF('Ordenes_Odoo'!I314="","",'Ordenes_Odoo'!I314)</f>
        <v/>
      </c>
      <c r="J314" s="79">
        <f>IF('Ordenes_Odoo'!J314="","",'Ordenes_Odoo'!J314)</f>
        <v/>
      </c>
      <c r="K314" s="81">
        <f>IF('Ordenes_Odoo'!K314="","",'Ordenes_Odoo'!K314)</f>
        <v/>
      </c>
      <c r="L314" s="81">
        <f>IF('Ordenes_Odoo'!L314="","",'Ordenes_Odoo'!L314)</f>
        <v/>
      </c>
      <c r="M314" s="79">
        <f>IF('Ordenes_Odoo'!M314="","",'Ordenes_Odoo'!M314)</f>
        <v/>
      </c>
      <c r="N314" s="79">
        <f>IF('Ordenes_Odoo'!N314="","",'Ordenes_Odoo'!N314)</f>
        <v/>
      </c>
      <c r="O314" s="81">
        <f>IF('Ordenes_Odoo'!O314="","",'Ordenes_Odoo'!O314)</f>
        <v/>
      </c>
      <c r="P314" s="81">
        <f>IF('Ordenes_Odoo'!P314="","",'Ordenes_Odoo'!P314)</f>
        <v/>
      </c>
      <c r="Q314" s="79">
        <f>IF(A314="","",IFERROR(INDEX(Facturas_Odoo!$B:$B, MATCH(A314, Facturas_Odoo!$D:$D, 0)), "Sin Factura"))</f>
        <v/>
      </c>
      <c r="R314" s="80">
        <f>IF(Q314="Sin Factura","",IFERROR(INDEX(Facturas_Odoo!$A:$A, MATCH(Q314, Facturas_Odoo!$B:$B, 0)), ""))</f>
        <v/>
      </c>
      <c r="S314" s="79">
        <f>IF(Q314="Sin Factura","",IFERROR(_xlfn.XLOOKUP(1, (Facturas_Odoo!$D:$D=A314) * (Facturas_Odoo!$K:$K=I314), Facturas_Odoo!$L:$L, ""), ""))</f>
        <v/>
      </c>
      <c r="T314" s="81">
        <f>IF(Q314="Sin Factura",0,IFERROR(_xlfn.XLOOKUP(1, (Facturas_Odoo!$D:$D=A314) * (Facturas_Odoo!$K:$K=I314), Facturas_Odoo!$M:$M, 0), 0))</f>
        <v/>
      </c>
      <c r="U314" s="79">
        <f>IF(Q314="Sin Factura",0,IFERROR(_xlfn.XLOOKUP(1, (Facturas_Odoo!$D:$D=A314) * (Facturas_Odoo!$K:$K=I314), Facturas_Odoo!$N:$N, 0), 0))</f>
        <v/>
      </c>
      <c r="V314" s="79">
        <f>IF(Q314="Sin Factura",0,IFERROR(_xlfn.XLOOKUP(1, (Facturas_Odoo!$D:$D=A314) * (Facturas_Odoo!$K:$K=I314), Facturas_Odoo!$O:$O, 0), 0))</f>
        <v/>
      </c>
      <c r="W314" s="81">
        <f>IF(Q314="Sin Factura",0,IFERROR(_xlfn.XLOOKUP(1, (Facturas_Odoo!$D:$D=A314) * (Facturas_Odoo!$K:$K=I314), Facturas_Odoo!$Q:$Q, 0), 0))</f>
        <v/>
      </c>
      <c r="X314" s="79">
        <f>IF(OR(Q314="Sin Factura",Q314=""),"",IFERROR(INDEX(Pagos_Odoo!$B:$B, MATCH(Q314, Pagos_Odoo!$I:$I, 0)), "Sin Pago"))</f>
        <v/>
      </c>
      <c r="Y314" s="79">
        <f>IF(X314="Sin Pago","",IFERROR(INDEX(Pagos_Odoo!$C:$C, MATCH(X314, Pagos_Odoo!$B:$B, 0)), ""))</f>
        <v/>
      </c>
      <c r="Z314" s="80">
        <f>IF(X314="Sin Pago","",IFERROR(INDEX(Pagos_Odoo!$A:$A, MATCH(X314, Pagos_Odoo!$B:$B, 0)), ""))</f>
        <v/>
      </c>
      <c r="AA314" s="79">
        <f>IF(X314="Sin Pago","",IFERROR(INDEX(Pagos_Odoo!$F:$F, MATCH(X314, Pagos_Odoo!$B:$B, 0)), ""))</f>
        <v/>
      </c>
      <c r="AB314" s="81">
        <f>IF(X314="Sin Pago",0,IFERROR(INDEX(Pagos_Odoo!$E:$E, MATCH(X314, Pagos_Odoo!$B:$B, 0)), 0))</f>
        <v/>
      </c>
      <c r="AC314" s="79">
        <f>IF(X314="Sin Pago","",IFERROR(INDEX(Pagos_Odoo!$G:$G, MATCH(X314, Pagos_Odoo!$B:$B, 0)), ""))</f>
        <v/>
      </c>
      <c r="AD314" s="82" t="n">
        <v>0</v>
      </c>
      <c r="AE314" s="82" t="n"/>
      <c r="AF314" s="82" t="n"/>
      <c r="AG314" s="82">
        <f>IF(AN314="","",AD314+AE314+AF314)</f>
        <v/>
      </c>
      <c r="AH314" s="81">
        <f>IF(AN314="","",P314*(1-AG314))</f>
        <v/>
      </c>
      <c r="AI314" s="81">
        <f>IF(AN314="","",IF(Q314="Sin Factura",0,IFERROR(INDEX(Facturas_Odoo!$H:$H, MATCH(Q314, Facturas_Odoo!$B:$B, 0)), 0)*(1-AG314)))</f>
        <v/>
      </c>
      <c r="AJ314" s="81">
        <f>IF(AN314="","",_xlfn.LET(idVenta, AN314&amp;"",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14" s="81">
        <f>IF(AN314="","",AH314-AJ314)</f>
        <v/>
      </c>
      <c r="AL314" s="81">
        <f>IF(AN314="","",IF(Q314="Sin Factura","",AI314-AJ314))</f>
        <v/>
      </c>
      <c r="AM314" s="81">
        <f>IF(AN314="","",IF(Q314="Sin Factura",0,P314-IFERROR(INDEX(Facturas_Odoo!$H:$H, MATCH(Q314, Facturas_Odoo!$B:$B, 0)), 0)))</f>
        <v/>
      </c>
      <c r="AN314" s="79">
        <f>IF(AND(A314="", J314=""), "", IF(A314&lt;&gt;"", VALUE(MID(A314,2,LEN(A314))), AN313))</f>
        <v/>
      </c>
      <c r="AO314" s="79">
        <f>IF(AN314="","",IF(AD314=0,"OK",_xlfn.LET(monedaPago, IF(AA314="","USD",AA314), limitePermitido, IFERROR(VLOOKUP(monedaPago, Configuración!$A$2:$B$3, 2, FALSE), 0.15), IF(AD314&gt;limitePermitido, "ALERTA: EXCESO (" &amp; TEXT(limitePermitido, "0%") &amp; " máx)", "OK"))))</f>
        <v/>
      </c>
      <c r="AP314" s="79">
        <f>IF(AN314="","",IF(AE314=0,"OK",_xlfn.LET(fechaPago, Z314, fechaFactura, R314, diasCredito, IF(E314="Pago inmediato", 0, IFERROR(VALUE(MID(E314, 1, SEARCH(" ", E314)-1)),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14" s="79">
        <f>IF(AN314="","",IF(AND(N314&gt;0, AG314&gt;0), IF(Configuración!$K$2="NO", "ALERTA: DESCUENTO DOBLE NO PERMITIDO", "OK"), "OK"))</f>
        <v/>
      </c>
      <c r="AR314" s="79">
        <f>IF(AN314="","",IF(OR(AO314&lt;&gt;"OK", AP314&lt;&gt;"OK", AQ314&lt;&gt;"OK"), "⚠️ REVISAR", "OK"))</f>
        <v/>
      </c>
    </row>
    <row r="315">
      <c r="A315" s="79">
        <f>IF('Ordenes_Odoo'!A315="","",'Ordenes_Odoo'!A315)</f>
        <v/>
      </c>
      <c r="B315" s="80">
        <f>IF('Ordenes_Odoo'!B315="","",'Ordenes_Odoo'!B315)</f>
        <v/>
      </c>
      <c r="C315" s="79">
        <f>IF('Ordenes_Odoo'!C315="","",'Ordenes_Odoo'!C315)</f>
        <v/>
      </c>
      <c r="D315" s="79">
        <f>IF('Ordenes_Odoo'!D315="","",'Ordenes_Odoo'!D315)</f>
        <v/>
      </c>
      <c r="E315" s="79">
        <f>IF('Ordenes_Odoo'!E315="","",'Ordenes_Odoo'!E315)</f>
        <v/>
      </c>
      <c r="F315" s="79">
        <f>IF('Ordenes_Odoo'!F315="","",'Ordenes_Odoo'!F315)</f>
        <v/>
      </c>
      <c r="G315" s="79">
        <f>IF('Ordenes_Odoo'!G315="","",'Ordenes_Odoo'!G315)</f>
        <v/>
      </c>
      <c r="H315" s="79">
        <f>IF('Ordenes_Odoo'!H315="","",'Ordenes_Odoo'!H315)</f>
        <v/>
      </c>
      <c r="I315" s="79">
        <f>IF('Ordenes_Odoo'!I315="","",'Ordenes_Odoo'!I315)</f>
        <v/>
      </c>
      <c r="J315" s="79">
        <f>IF('Ordenes_Odoo'!J315="","",'Ordenes_Odoo'!J315)</f>
        <v/>
      </c>
      <c r="K315" s="81">
        <f>IF('Ordenes_Odoo'!K315="","",'Ordenes_Odoo'!K315)</f>
        <v/>
      </c>
      <c r="L315" s="81">
        <f>IF('Ordenes_Odoo'!L315="","",'Ordenes_Odoo'!L315)</f>
        <v/>
      </c>
      <c r="M315" s="79">
        <f>IF('Ordenes_Odoo'!M315="","",'Ordenes_Odoo'!M315)</f>
        <v/>
      </c>
      <c r="N315" s="79">
        <f>IF('Ordenes_Odoo'!N315="","",'Ordenes_Odoo'!N315)</f>
        <v/>
      </c>
      <c r="O315" s="81">
        <f>IF('Ordenes_Odoo'!O315="","",'Ordenes_Odoo'!O315)</f>
        <v/>
      </c>
      <c r="P315" s="81">
        <f>IF('Ordenes_Odoo'!P315="","",'Ordenes_Odoo'!P315)</f>
        <v/>
      </c>
      <c r="Q315" s="79">
        <f>IF(A315="","",IFERROR(INDEX(Facturas_Odoo!$B:$B, MATCH(A315, Facturas_Odoo!$D:$D, 0)), "Sin Factura"))</f>
        <v/>
      </c>
      <c r="R315" s="80">
        <f>IF(Q315="Sin Factura","",IFERROR(INDEX(Facturas_Odoo!$A:$A, MATCH(Q315, Facturas_Odoo!$B:$B, 0)), ""))</f>
        <v/>
      </c>
      <c r="S315" s="79">
        <f>IF(Q315="Sin Factura","",IFERROR(_xlfn.XLOOKUP(1, (Facturas_Odoo!$D:$D=A315) * (Facturas_Odoo!$K:$K=I315), Facturas_Odoo!$L:$L, ""), ""))</f>
        <v/>
      </c>
      <c r="T315" s="81">
        <f>IF(Q315="Sin Factura",0,IFERROR(_xlfn.XLOOKUP(1, (Facturas_Odoo!$D:$D=A315) * (Facturas_Odoo!$K:$K=I315), Facturas_Odoo!$M:$M, 0), 0))</f>
        <v/>
      </c>
      <c r="U315" s="79">
        <f>IF(Q315="Sin Factura",0,IFERROR(_xlfn.XLOOKUP(1, (Facturas_Odoo!$D:$D=A315) * (Facturas_Odoo!$K:$K=I315), Facturas_Odoo!$N:$N, 0), 0))</f>
        <v/>
      </c>
      <c r="V315" s="79">
        <f>IF(Q315="Sin Factura",0,IFERROR(_xlfn.XLOOKUP(1, (Facturas_Odoo!$D:$D=A315) * (Facturas_Odoo!$K:$K=I315), Facturas_Odoo!$O:$O, 0), 0))</f>
        <v/>
      </c>
      <c r="W315" s="81">
        <f>IF(Q315="Sin Factura",0,IFERROR(_xlfn.XLOOKUP(1, (Facturas_Odoo!$D:$D=A315) * (Facturas_Odoo!$K:$K=I315), Facturas_Odoo!$Q:$Q, 0), 0))</f>
        <v/>
      </c>
      <c r="X315" s="79">
        <f>IF(OR(Q315="Sin Factura",Q315=""),"",IFERROR(INDEX(Pagos_Odoo!$B:$B, MATCH(Q315, Pagos_Odoo!$I:$I, 0)), "Sin Pago"))</f>
        <v/>
      </c>
      <c r="Y315" s="79">
        <f>IF(X315="Sin Pago","",IFERROR(INDEX(Pagos_Odoo!$C:$C, MATCH(X315, Pagos_Odoo!$B:$B, 0)), ""))</f>
        <v/>
      </c>
      <c r="Z315" s="80">
        <f>IF(X315="Sin Pago","",IFERROR(INDEX(Pagos_Odoo!$A:$A, MATCH(X315, Pagos_Odoo!$B:$B, 0)), ""))</f>
        <v/>
      </c>
      <c r="AA315" s="79">
        <f>IF(X315="Sin Pago","",IFERROR(INDEX(Pagos_Odoo!$F:$F, MATCH(X315, Pagos_Odoo!$B:$B, 0)), ""))</f>
        <v/>
      </c>
      <c r="AB315" s="81">
        <f>IF(X315="Sin Pago",0,IFERROR(INDEX(Pagos_Odoo!$E:$E, MATCH(X315, Pagos_Odoo!$B:$B, 0)), 0))</f>
        <v/>
      </c>
      <c r="AC315" s="79">
        <f>IF(X315="Sin Pago","",IFERROR(INDEX(Pagos_Odoo!$G:$G, MATCH(X315, Pagos_Odoo!$B:$B, 0)), ""))</f>
        <v/>
      </c>
      <c r="AD315" s="82" t="n">
        <v>0</v>
      </c>
      <c r="AE315" s="82" t="n"/>
      <c r="AF315" s="82" t="n"/>
      <c r="AG315" s="82">
        <f>IF(AN315="","",AD315+AE315+AF315)</f>
        <v/>
      </c>
      <c r="AH315" s="81">
        <f>IF(AN315="","",P315*(1-AG315))</f>
        <v/>
      </c>
      <c r="AI315" s="81">
        <f>IF(AN315="","",IF(Q315="Sin Factura",0,IFERROR(INDEX(Facturas_Odoo!$H:$H, MATCH(Q315, Facturas_Odoo!$B:$B, 0)), 0)*(1-AG315)))</f>
        <v/>
      </c>
      <c r="AJ315" s="81">
        <f>IF(AN315="","",_xlfn.LET(idVenta, AN315&amp;"",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15" s="81">
        <f>IF(AN315="","",AH315-AJ315)</f>
        <v/>
      </c>
      <c r="AL315" s="81">
        <f>IF(AN315="","",IF(Q315="Sin Factura","",AI315-AJ315))</f>
        <v/>
      </c>
      <c r="AM315" s="81">
        <f>IF(AN315="","",IF(Q315="Sin Factura",0,P315-IFERROR(INDEX(Facturas_Odoo!$H:$H, MATCH(Q315, Facturas_Odoo!$B:$B, 0)), 0)))</f>
        <v/>
      </c>
      <c r="AN315" s="79">
        <f>IF(AND(A315="", J315=""), "", IF(A315&lt;&gt;"", VALUE(MID(A315,2,LEN(A315))), AN314))</f>
        <v/>
      </c>
      <c r="AO315" s="79">
        <f>IF(AN315="","",IF(AD315=0,"OK",_xlfn.LET(monedaPago, IF(AA315="","USD",AA315), limitePermitido, IFERROR(VLOOKUP(monedaPago, Configuración!$A$2:$B$3, 2, FALSE), 0.15), IF(AD315&gt;limitePermitido, "ALERTA: EXCESO (" &amp; TEXT(limitePermitido, "0%") &amp; " máx)", "OK"))))</f>
        <v/>
      </c>
      <c r="AP315" s="79">
        <f>IF(AN315="","",IF(AE315=0,"OK",_xlfn.LET(fechaPago, Z315, fechaFactura, R315, diasCredito, IF(E315="Pago inmediato", 0, IFERROR(VALUE(MID(E315, 1, SEARCH(" ", E315)-1)),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15" s="79">
        <f>IF(AN315="","",IF(AND(N315&gt;0, AG315&gt;0), IF(Configuración!$K$2="NO", "ALERTA: DESCUENTO DOBLE NO PERMITIDO", "OK"), "OK"))</f>
        <v/>
      </c>
      <c r="AR315" s="79">
        <f>IF(AN315="","",IF(OR(AO315&lt;&gt;"OK", AP315&lt;&gt;"OK", AQ315&lt;&gt;"OK"), "⚠️ REVISAR", "OK"))</f>
        <v/>
      </c>
    </row>
    <row r="316">
      <c r="A316" s="79">
        <f>IF('Ordenes_Odoo'!A316="","",'Ordenes_Odoo'!A316)</f>
        <v/>
      </c>
      <c r="B316" s="80">
        <f>IF('Ordenes_Odoo'!B316="","",'Ordenes_Odoo'!B316)</f>
        <v/>
      </c>
      <c r="C316" s="79">
        <f>IF('Ordenes_Odoo'!C316="","",'Ordenes_Odoo'!C316)</f>
        <v/>
      </c>
      <c r="D316" s="79">
        <f>IF('Ordenes_Odoo'!D316="","",'Ordenes_Odoo'!D316)</f>
        <v/>
      </c>
      <c r="E316" s="79">
        <f>IF('Ordenes_Odoo'!E316="","",'Ordenes_Odoo'!E316)</f>
        <v/>
      </c>
      <c r="F316" s="79">
        <f>IF('Ordenes_Odoo'!F316="","",'Ordenes_Odoo'!F316)</f>
        <v/>
      </c>
      <c r="G316" s="79">
        <f>IF('Ordenes_Odoo'!G316="","",'Ordenes_Odoo'!G316)</f>
        <v/>
      </c>
      <c r="H316" s="79">
        <f>IF('Ordenes_Odoo'!H316="","",'Ordenes_Odoo'!H316)</f>
        <v/>
      </c>
      <c r="I316" s="79">
        <f>IF('Ordenes_Odoo'!I316="","",'Ordenes_Odoo'!I316)</f>
        <v/>
      </c>
      <c r="J316" s="79">
        <f>IF('Ordenes_Odoo'!J316="","",'Ordenes_Odoo'!J316)</f>
        <v/>
      </c>
      <c r="K316" s="81">
        <f>IF('Ordenes_Odoo'!K316="","",'Ordenes_Odoo'!K316)</f>
        <v/>
      </c>
      <c r="L316" s="81">
        <f>IF('Ordenes_Odoo'!L316="","",'Ordenes_Odoo'!L316)</f>
        <v/>
      </c>
      <c r="M316" s="79">
        <f>IF('Ordenes_Odoo'!M316="","",'Ordenes_Odoo'!M316)</f>
        <v/>
      </c>
      <c r="N316" s="79">
        <f>IF('Ordenes_Odoo'!N316="","",'Ordenes_Odoo'!N316)</f>
        <v/>
      </c>
      <c r="O316" s="81">
        <f>IF('Ordenes_Odoo'!O316="","",'Ordenes_Odoo'!O316)</f>
        <v/>
      </c>
      <c r="P316" s="81">
        <f>IF('Ordenes_Odoo'!P316="","",'Ordenes_Odoo'!P316)</f>
        <v/>
      </c>
      <c r="Q316" s="79">
        <f>IF(A316="","",IFERROR(INDEX(Facturas_Odoo!$B:$B, MATCH(A316, Facturas_Odoo!$D:$D, 0)), "Sin Factura"))</f>
        <v/>
      </c>
      <c r="R316" s="80">
        <f>IF(Q316="Sin Factura","",IFERROR(INDEX(Facturas_Odoo!$A:$A, MATCH(Q316, Facturas_Odoo!$B:$B, 0)), ""))</f>
        <v/>
      </c>
      <c r="S316" s="79">
        <f>IF(Q316="Sin Factura","",IFERROR(_xlfn.XLOOKUP(1, (Facturas_Odoo!$D:$D=A316) * (Facturas_Odoo!$K:$K=I316), Facturas_Odoo!$L:$L, ""), ""))</f>
        <v/>
      </c>
      <c r="T316" s="81">
        <f>IF(Q316="Sin Factura",0,IFERROR(_xlfn.XLOOKUP(1, (Facturas_Odoo!$D:$D=A316) * (Facturas_Odoo!$K:$K=I316), Facturas_Odoo!$M:$M, 0), 0))</f>
        <v/>
      </c>
      <c r="U316" s="79">
        <f>IF(Q316="Sin Factura",0,IFERROR(_xlfn.XLOOKUP(1, (Facturas_Odoo!$D:$D=A316) * (Facturas_Odoo!$K:$K=I316), Facturas_Odoo!$N:$N, 0), 0))</f>
        <v/>
      </c>
      <c r="V316" s="79">
        <f>IF(Q316="Sin Factura",0,IFERROR(_xlfn.XLOOKUP(1, (Facturas_Odoo!$D:$D=A316) * (Facturas_Odoo!$K:$K=I316), Facturas_Odoo!$O:$O, 0), 0))</f>
        <v/>
      </c>
      <c r="W316" s="81">
        <f>IF(Q316="Sin Factura",0,IFERROR(_xlfn.XLOOKUP(1, (Facturas_Odoo!$D:$D=A316) * (Facturas_Odoo!$K:$K=I316), Facturas_Odoo!$Q:$Q, 0), 0))</f>
        <v/>
      </c>
      <c r="X316" s="79">
        <f>IF(OR(Q316="Sin Factura",Q316=""),"",IFERROR(INDEX(Pagos_Odoo!$B:$B, MATCH(Q316, Pagos_Odoo!$I:$I, 0)), "Sin Pago"))</f>
        <v/>
      </c>
      <c r="Y316" s="79">
        <f>IF(X316="Sin Pago","",IFERROR(INDEX(Pagos_Odoo!$C:$C, MATCH(X316, Pagos_Odoo!$B:$B, 0)), ""))</f>
        <v/>
      </c>
      <c r="Z316" s="80">
        <f>IF(X316="Sin Pago","",IFERROR(INDEX(Pagos_Odoo!$A:$A, MATCH(X316, Pagos_Odoo!$B:$B, 0)), ""))</f>
        <v/>
      </c>
      <c r="AA316" s="79">
        <f>IF(X316="Sin Pago","",IFERROR(INDEX(Pagos_Odoo!$F:$F, MATCH(X316, Pagos_Odoo!$B:$B, 0)), ""))</f>
        <v/>
      </c>
      <c r="AB316" s="81">
        <f>IF(X316="Sin Pago",0,IFERROR(INDEX(Pagos_Odoo!$E:$E, MATCH(X316, Pagos_Odoo!$B:$B, 0)), 0))</f>
        <v/>
      </c>
      <c r="AC316" s="79">
        <f>IF(X316="Sin Pago","",IFERROR(INDEX(Pagos_Odoo!$G:$G, MATCH(X316, Pagos_Odoo!$B:$B, 0)), ""))</f>
        <v/>
      </c>
      <c r="AD316" s="82" t="n">
        <v>0</v>
      </c>
      <c r="AE316" s="82" t="n"/>
      <c r="AF316" s="82" t="n"/>
      <c r="AG316" s="82">
        <f>IF(AN316="","",AD316+AE316+AF316)</f>
        <v/>
      </c>
      <c r="AH316" s="81">
        <f>IF(AN316="","",P316*(1-AG316))</f>
        <v/>
      </c>
      <c r="AI316" s="81">
        <f>IF(AN316="","",IF(Q316="Sin Factura",0,IFERROR(INDEX(Facturas_Odoo!$H:$H, MATCH(Q316, Facturas_Odoo!$B:$B, 0)), 0)*(1-AG316)))</f>
        <v/>
      </c>
      <c r="AJ316" s="81">
        <f>IF(AN316="","",_xlfn.LET(idVenta, AN316&amp;"",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16" s="81">
        <f>IF(AN316="","",AH316-AJ316)</f>
        <v/>
      </c>
      <c r="AL316" s="81">
        <f>IF(AN316="","",IF(Q316="Sin Factura","",AI316-AJ316))</f>
        <v/>
      </c>
      <c r="AM316" s="81">
        <f>IF(AN316="","",IF(Q316="Sin Factura",0,P316-IFERROR(INDEX(Facturas_Odoo!$H:$H, MATCH(Q316, Facturas_Odoo!$B:$B, 0)), 0)))</f>
        <v/>
      </c>
      <c r="AN316" s="79">
        <f>IF(AND(A316="", J316=""), "", IF(A316&lt;&gt;"", VALUE(MID(A316,2,LEN(A316))), AN315))</f>
        <v/>
      </c>
      <c r="AO316" s="79">
        <f>IF(AN316="","",IF(AD316=0,"OK",_xlfn.LET(monedaPago, IF(AA316="","USD",AA316), limitePermitido, IFERROR(VLOOKUP(monedaPago, Configuración!$A$2:$B$3, 2, FALSE), 0.15), IF(AD316&gt;limitePermitido, "ALERTA: EXCESO (" &amp; TEXT(limitePermitido, "0%") &amp; " máx)", "OK"))))</f>
        <v/>
      </c>
      <c r="AP316" s="79">
        <f>IF(AN316="","",IF(AE316=0,"OK",_xlfn.LET(fechaPago, Z316, fechaFactura, R316, diasCredito, IF(E316="Pago inmediato", 0, IFERROR(VALUE(MID(E316, 1, SEARCH(" ", E316)-1)),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16" s="79">
        <f>IF(AN316="","",IF(AND(N316&gt;0, AG316&gt;0), IF(Configuración!$K$2="NO", "ALERTA: DESCUENTO DOBLE NO PERMITIDO", "OK"), "OK"))</f>
        <v/>
      </c>
      <c r="AR316" s="79">
        <f>IF(AN316="","",IF(OR(AO316&lt;&gt;"OK", AP316&lt;&gt;"OK", AQ316&lt;&gt;"OK"), "⚠️ REVISAR", "OK"))</f>
        <v/>
      </c>
    </row>
    <row r="317">
      <c r="A317" s="79">
        <f>IF('Ordenes_Odoo'!A317="","",'Ordenes_Odoo'!A317)</f>
        <v/>
      </c>
      <c r="B317" s="80">
        <f>IF('Ordenes_Odoo'!B317="","",'Ordenes_Odoo'!B317)</f>
        <v/>
      </c>
      <c r="C317" s="79">
        <f>IF('Ordenes_Odoo'!C317="","",'Ordenes_Odoo'!C317)</f>
        <v/>
      </c>
      <c r="D317" s="79">
        <f>IF('Ordenes_Odoo'!D317="","",'Ordenes_Odoo'!D317)</f>
        <v/>
      </c>
      <c r="E317" s="79">
        <f>IF('Ordenes_Odoo'!E317="","",'Ordenes_Odoo'!E317)</f>
        <v/>
      </c>
      <c r="F317" s="79">
        <f>IF('Ordenes_Odoo'!F317="","",'Ordenes_Odoo'!F317)</f>
        <v/>
      </c>
      <c r="G317" s="79">
        <f>IF('Ordenes_Odoo'!G317="","",'Ordenes_Odoo'!G317)</f>
        <v/>
      </c>
      <c r="H317" s="79">
        <f>IF('Ordenes_Odoo'!H317="","",'Ordenes_Odoo'!H317)</f>
        <v/>
      </c>
      <c r="I317" s="79">
        <f>IF('Ordenes_Odoo'!I317="","",'Ordenes_Odoo'!I317)</f>
        <v/>
      </c>
      <c r="J317" s="79">
        <f>IF('Ordenes_Odoo'!J317="","",'Ordenes_Odoo'!J317)</f>
        <v/>
      </c>
      <c r="K317" s="81">
        <f>IF('Ordenes_Odoo'!K317="","",'Ordenes_Odoo'!K317)</f>
        <v/>
      </c>
      <c r="L317" s="81">
        <f>IF('Ordenes_Odoo'!L317="","",'Ordenes_Odoo'!L317)</f>
        <v/>
      </c>
      <c r="M317" s="79">
        <f>IF('Ordenes_Odoo'!M317="","",'Ordenes_Odoo'!M317)</f>
        <v/>
      </c>
      <c r="N317" s="79">
        <f>IF('Ordenes_Odoo'!N317="","",'Ordenes_Odoo'!N317)</f>
        <v/>
      </c>
      <c r="O317" s="81">
        <f>IF('Ordenes_Odoo'!O317="","",'Ordenes_Odoo'!O317)</f>
        <v/>
      </c>
      <c r="P317" s="81">
        <f>IF('Ordenes_Odoo'!P317="","",'Ordenes_Odoo'!P317)</f>
        <v/>
      </c>
      <c r="Q317" s="79">
        <f>IF(A317="","",IFERROR(INDEX(Facturas_Odoo!$B:$B, MATCH(A317, Facturas_Odoo!$D:$D, 0)), "Sin Factura"))</f>
        <v/>
      </c>
      <c r="R317" s="80">
        <f>IF(Q317="Sin Factura","",IFERROR(INDEX(Facturas_Odoo!$A:$A, MATCH(Q317, Facturas_Odoo!$B:$B, 0)), ""))</f>
        <v/>
      </c>
      <c r="S317" s="79">
        <f>IF(Q317="Sin Factura","",IFERROR(_xlfn.XLOOKUP(1, (Facturas_Odoo!$D:$D=A317) * (Facturas_Odoo!$K:$K=I317), Facturas_Odoo!$L:$L, ""), ""))</f>
        <v/>
      </c>
      <c r="T317" s="81">
        <f>IF(Q317="Sin Factura",0,IFERROR(_xlfn.XLOOKUP(1, (Facturas_Odoo!$D:$D=A317) * (Facturas_Odoo!$K:$K=I317), Facturas_Odoo!$M:$M, 0), 0))</f>
        <v/>
      </c>
      <c r="U317" s="79">
        <f>IF(Q317="Sin Factura",0,IFERROR(_xlfn.XLOOKUP(1, (Facturas_Odoo!$D:$D=A317) * (Facturas_Odoo!$K:$K=I317), Facturas_Odoo!$N:$N, 0), 0))</f>
        <v/>
      </c>
      <c r="V317" s="79">
        <f>IF(Q317="Sin Factura",0,IFERROR(_xlfn.XLOOKUP(1, (Facturas_Odoo!$D:$D=A317) * (Facturas_Odoo!$K:$K=I317), Facturas_Odoo!$O:$O, 0), 0))</f>
        <v/>
      </c>
      <c r="W317" s="81">
        <f>IF(Q317="Sin Factura",0,IFERROR(_xlfn.XLOOKUP(1, (Facturas_Odoo!$D:$D=A317) * (Facturas_Odoo!$K:$K=I317), Facturas_Odoo!$Q:$Q, 0), 0))</f>
        <v/>
      </c>
      <c r="X317" s="79">
        <f>IF(OR(Q317="Sin Factura",Q317=""),"",IFERROR(INDEX(Pagos_Odoo!$B:$B, MATCH(Q317, Pagos_Odoo!$I:$I, 0)), "Sin Pago"))</f>
        <v/>
      </c>
      <c r="Y317" s="79">
        <f>IF(X317="Sin Pago","",IFERROR(INDEX(Pagos_Odoo!$C:$C, MATCH(X317, Pagos_Odoo!$B:$B, 0)), ""))</f>
        <v/>
      </c>
      <c r="Z317" s="80">
        <f>IF(X317="Sin Pago","",IFERROR(INDEX(Pagos_Odoo!$A:$A, MATCH(X317, Pagos_Odoo!$B:$B, 0)), ""))</f>
        <v/>
      </c>
      <c r="AA317" s="79">
        <f>IF(X317="Sin Pago","",IFERROR(INDEX(Pagos_Odoo!$F:$F, MATCH(X317, Pagos_Odoo!$B:$B, 0)), ""))</f>
        <v/>
      </c>
      <c r="AB317" s="81">
        <f>IF(X317="Sin Pago",0,IFERROR(INDEX(Pagos_Odoo!$E:$E, MATCH(X317, Pagos_Odoo!$B:$B, 0)), 0))</f>
        <v/>
      </c>
      <c r="AC317" s="79">
        <f>IF(X317="Sin Pago","",IFERROR(INDEX(Pagos_Odoo!$G:$G, MATCH(X317, Pagos_Odoo!$B:$B, 0)), ""))</f>
        <v/>
      </c>
      <c r="AD317" s="82" t="n">
        <v>0</v>
      </c>
      <c r="AE317" s="82" t="n"/>
      <c r="AF317" s="82" t="n"/>
      <c r="AG317" s="82">
        <f>IF(AN317="","",AD317+AE317+AF317)</f>
        <v/>
      </c>
      <c r="AH317" s="81">
        <f>IF(AN317="","",P317*(1-AG317))</f>
        <v/>
      </c>
      <c r="AI317" s="81">
        <f>IF(AN317="","",IF(Q317="Sin Factura",0,IFERROR(INDEX(Facturas_Odoo!$H:$H, MATCH(Q317, Facturas_Odoo!$B:$B, 0)), 0)*(1-AG317)))</f>
        <v/>
      </c>
      <c r="AJ317" s="81">
        <f>IF(AN317="","",_xlfn.LET(idVenta, AN317&amp;"",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17" s="81">
        <f>IF(AN317="","",AH317-AJ317)</f>
        <v/>
      </c>
      <c r="AL317" s="81">
        <f>IF(AN317="","",IF(Q317="Sin Factura","",AI317-AJ317))</f>
        <v/>
      </c>
      <c r="AM317" s="81">
        <f>IF(AN317="","",IF(Q317="Sin Factura",0,P317-IFERROR(INDEX(Facturas_Odoo!$H:$H, MATCH(Q317, Facturas_Odoo!$B:$B, 0)), 0)))</f>
        <v/>
      </c>
      <c r="AN317" s="79">
        <f>IF(AND(A317="", J317=""), "", IF(A317&lt;&gt;"", VALUE(MID(A317,2,LEN(A317))), AN316))</f>
        <v/>
      </c>
      <c r="AO317" s="79">
        <f>IF(AN317="","",IF(AD317=0,"OK",_xlfn.LET(monedaPago, IF(AA317="","USD",AA317), limitePermitido, IFERROR(VLOOKUP(monedaPago, Configuración!$A$2:$B$3, 2, FALSE), 0.15), IF(AD317&gt;limitePermitido, "ALERTA: EXCESO (" &amp; TEXT(limitePermitido, "0%") &amp; " máx)", "OK"))))</f>
        <v/>
      </c>
      <c r="AP317" s="79">
        <f>IF(AN317="","",IF(AE317=0,"OK",_xlfn.LET(fechaPago, Z317, fechaFactura, R317, diasCredito, IF(E317="Pago inmediato", 0, IFERROR(VALUE(MID(E317, 1, SEARCH(" ", E317)-1)),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17" s="79">
        <f>IF(AN317="","",IF(AND(N317&gt;0, AG317&gt;0), IF(Configuración!$K$2="NO", "ALERTA: DESCUENTO DOBLE NO PERMITIDO", "OK"), "OK"))</f>
        <v/>
      </c>
      <c r="AR317" s="79">
        <f>IF(AN317="","",IF(OR(AO317&lt;&gt;"OK", AP317&lt;&gt;"OK", AQ317&lt;&gt;"OK"), "⚠️ REVISAR", "OK"))</f>
        <v/>
      </c>
    </row>
    <row r="318">
      <c r="A318" s="79">
        <f>IF('Ordenes_Odoo'!A318="","",'Ordenes_Odoo'!A318)</f>
        <v/>
      </c>
      <c r="B318" s="80">
        <f>IF('Ordenes_Odoo'!B318="","",'Ordenes_Odoo'!B318)</f>
        <v/>
      </c>
      <c r="C318" s="79">
        <f>IF('Ordenes_Odoo'!C318="","",'Ordenes_Odoo'!C318)</f>
        <v/>
      </c>
      <c r="D318" s="79">
        <f>IF('Ordenes_Odoo'!D318="","",'Ordenes_Odoo'!D318)</f>
        <v/>
      </c>
      <c r="E318" s="79">
        <f>IF('Ordenes_Odoo'!E318="","",'Ordenes_Odoo'!E318)</f>
        <v/>
      </c>
      <c r="F318" s="79">
        <f>IF('Ordenes_Odoo'!F318="","",'Ordenes_Odoo'!F318)</f>
        <v/>
      </c>
      <c r="G318" s="79">
        <f>IF('Ordenes_Odoo'!G318="","",'Ordenes_Odoo'!G318)</f>
        <v/>
      </c>
      <c r="H318" s="79">
        <f>IF('Ordenes_Odoo'!H318="","",'Ordenes_Odoo'!H318)</f>
        <v/>
      </c>
      <c r="I318" s="79">
        <f>IF('Ordenes_Odoo'!I318="","",'Ordenes_Odoo'!I318)</f>
        <v/>
      </c>
      <c r="J318" s="79">
        <f>IF('Ordenes_Odoo'!J318="","",'Ordenes_Odoo'!J318)</f>
        <v/>
      </c>
      <c r="K318" s="81">
        <f>IF('Ordenes_Odoo'!K318="","",'Ordenes_Odoo'!K318)</f>
        <v/>
      </c>
      <c r="L318" s="81">
        <f>IF('Ordenes_Odoo'!L318="","",'Ordenes_Odoo'!L318)</f>
        <v/>
      </c>
      <c r="M318" s="79">
        <f>IF('Ordenes_Odoo'!M318="","",'Ordenes_Odoo'!M318)</f>
        <v/>
      </c>
      <c r="N318" s="79">
        <f>IF('Ordenes_Odoo'!N318="","",'Ordenes_Odoo'!N318)</f>
        <v/>
      </c>
      <c r="O318" s="81">
        <f>IF('Ordenes_Odoo'!O318="","",'Ordenes_Odoo'!O318)</f>
        <v/>
      </c>
      <c r="P318" s="81">
        <f>IF('Ordenes_Odoo'!P318="","",'Ordenes_Odoo'!P318)</f>
        <v/>
      </c>
      <c r="Q318" s="79">
        <f>IF(A318="","",IFERROR(INDEX(Facturas_Odoo!$B:$B, MATCH(A318, Facturas_Odoo!$D:$D, 0)), "Sin Factura"))</f>
        <v/>
      </c>
      <c r="R318" s="80">
        <f>IF(Q318="Sin Factura","",IFERROR(INDEX(Facturas_Odoo!$A:$A, MATCH(Q318, Facturas_Odoo!$B:$B, 0)), ""))</f>
        <v/>
      </c>
      <c r="S318" s="79">
        <f>IF(Q318="Sin Factura","",IFERROR(_xlfn.XLOOKUP(1, (Facturas_Odoo!$D:$D=A318) * (Facturas_Odoo!$K:$K=I318), Facturas_Odoo!$L:$L, ""), ""))</f>
        <v/>
      </c>
      <c r="T318" s="81">
        <f>IF(Q318="Sin Factura",0,IFERROR(_xlfn.XLOOKUP(1, (Facturas_Odoo!$D:$D=A318) * (Facturas_Odoo!$K:$K=I318), Facturas_Odoo!$M:$M, 0), 0))</f>
        <v/>
      </c>
      <c r="U318" s="79">
        <f>IF(Q318="Sin Factura",0,IFERROR(_xlfn.XLOOKUP(1, (Facturas_Odoo!$D:$D=A318) * (Facturas_Odoo!$K:$K=I318), Facturas_Odoo!$N:$N, 0), 0))</f>
        <v/>
      </c>
      <c r="V318" s="79">
        <f>IF(Q318="Sin Factura",0,IFERROR(_xlfn.XLOOKUP(1, (Facturas_Odoo!$D:$D=A318) * (Facturas_Odoo!$K:$K=I318), Facturas_Odoo!$O:$O, 0), 0))</f>
        <v/>
      </c>
      <c r="W318" s="81">
        <f>IF(Q318="Sin Factura",0,IFERROR(_xlfn.XLOOKUP(1, (Facturas_Odoo!$D:$D=A318) * (Facturas_Odoo!$K:$K=I318), Facturas_Odoo!$Q:$Q, 0), 0))</f>
        <v/>
      </c>
      <c r="X318" s="79">
        <f>IF(OR(Q318="Sin Factura",Q318=""),"",IFERROR(INDEX(Pagos_Odoo!$B:$B, MATCH(Q318, Pagos_Odoo!$I:$I, 0)), "Sin Pago"))</f>
        <v/>
      </c>
      <c r="Y318" s="79">
        <f>IF(X318="Sin Pago","",IFERROR(INDEX(Pagos_Odoo!$C:$C, MATCH(X318, Pagos_Odoo!$B:$B, 0)), ""))</f>
        <v/>
      </c>
      <c r="Z318" s="80">
        <f>IF(X318="Sin Pago","",IFERROR(INDEX(Pagos_Odoo!$A:$A, MATCH(X318, Pagos_Odoo!$B:$B, 0)), ""))</f>
        <v/>
      </c>
      <c r="AA318" s="79">
        <f>IF(X318="Sin Pago","",IFERROR(INDEX(Pagos_Odoo!$F:$F, MATCH(X318, Pagos_Odoo!$B:$B, 0)), ""))</f>
        <v/>
      </c>
      <c r="AB318" s="81">
        <f>IF(X318="Sin Pago",0,IFERROR(INDEX(Pagos_Odoo!$E:$E, MATCH(X318, Pagos_Odoo!$B:$B, 0)), 0))</f>
        <v/>
      </c>
      <c r="AC318" s="79">
        <f>IF(X318="Sin Pago","",IFERROR(INDEX(Pagos_Odoo!$G:$G, MATCH(X318, Pagos_Odoo!$B:$B, 0)), ""))</f>
        <v/>
      </c>
      <c r="AD318" s="82" t="n">
        <v>0</v>
      </c>
      <c r="AE318" s="82" t="n"/>
      <c r="AF318" s="82" t="n"/>
      <c r="AG318" s="82">
        <f>IF(AN318="","",AD318+AE318+AF318)</f>
        <v/>
      </c>
      <c r="AH318" s="81">
        <f>IF(AN318="","",P318*(1-AG318))</f>
        <v/>
      </c>
      <c r="AI318" s="81">
        <f>IF(AN318="","",IF(Q318="Sin Factura",0,IFERROR(INDEX(Facturas_Odoo!$H:$H, MATCH(Q318, Facturas_Odoo!$B:$B, 0)), 0)*(1-AG318)))</f>
        <v/>
      </c>
      <c r="AJ318" s="81">
        <f>IF(AN318="","",_xlfn.LET(idVenta, AN318&amp;"",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18" s="81">
        <f>IF(AN318="","",AH318-AJ318)</f>
        <v/>
      </c>
      <c r="AL318" s="81">
        <f>IF(AN318="","",IF(Q318="Sin Factura","",AI318-AJ318))</f>
        <v/>
      </c>
      <c r="AM318" s="81">
        <f>IF(AN318="","",IF(Q318="Sin Factura",0,P318-IFERROR(INDEX(Facturas_Odoo!$H:$H, MATCH(Q318, Facturas_Odoo!$B:$B, 0)), 0)))</f>
        <v/>
      </c>
      <c r="AN318" s="79">
        <f>IF(AND(A318="", J318=""), "", IF(A318&lt;&gt;"", VALUE(MID(A318,2,LEN(A318))), AN317))</f>
        <v/>
      </c>
      <c r="AO318" s="79">
        <f>IF(AN318="","",IF(AD318=0,"OK",_xlfn.LET(monedaPago, IF(AA318="","USD",AA318), limitePermitido, IFERROR(VLOOKUP(monedaPago, Configuración!$A$2:$B$3, 2, FALSE), 0.15), IF(AD318&gt;limitePermitido, "ALERTA: EXCESO (" &amp; TEXT(limitePermitido, "0%") &amp; " máx)", "OK"))))</f>
        <v/>
      </c>
      <c r="AP318" s="79">
        <f>IF(AN318="","",IF(AE318=0,"OK",_xlfn.LET(fechaPago, Z318, fechaFactura, R318, diasCredito, IF(E318="Pago inmediato", 0, IFERROR(VALUE(MID(E318, 1, SEARCH(" ", E318)-1)),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18" s="79">
        <f>IF(AN318="","",IF(AND(N318&gt;0, AG318&gt;0), IF(Configuración!$K$2="NO", "ALERTA: DESCUENTO DOBLE NO PERMITIDO", "OK"), "OK"))</f>
        <v/>
      </c>
      <c r="AR318" s="79">
        <f>IF(AN318="","",IF(OR(AO318&lt;&gt;"OK", AP318&lt;&gt;"OK", AQ318&lt;&gt;"OK"), "⚠️ REVISAR", "OK"))</f>
        <v/>
      </c>
    </row>
    <row r="319">
      <c r="A319" s="79">
        <f>IF('Ordenes_Odoo'!A319="","",'Ordenes_Odoo'!A319)</f>
        <v/>
      </c>
      <c r="B319" s="80">
        <f>IF('Ordenes_Odoo'!B319="","",'Ordenes_Odoo'!B319)</f>
        <v/>
      </c>
      <c r="C319" s="79">
        <f>IF('Ordenes_Odoo'!C319="","",'Ordenes_Odoo'!C319)</f>
        <v/>
      </c>
      <c r="D319" s="79">
        <f>IF('Ordenes_Odoo'!D319="","",'Ordenes_Odoo'!D319)</f>
        <v/>
      </c>
      <c r="E319" s="79">
        <f>IF('Ordenes_Odoo'!E319="","",'Ordenes_Odoo'!E319)</f>
        <v/>
      </c>
      <c r="F319" s="79">
        <f>IF('Ordenes_Odoo'!F319="","",'Ordenes_Odoo'!F319)</f>
        <v/>
      </c>
      <c r="G319" s="79">
        <f>IF('Ordenes_Odoo'!G319="","",'Ordenes_Odoo'!G319)</f>
        <v/>
      </c>
      <c r="H319" s="79">
        <f>IF('Ordenes_Odoo'!H319="","",'Ordenes_Odoo'!H319)</f>
        <v/>
      </c>
      <c r="I319" s="79">
        <f>IF('Ordenes_Odoo'!I319="","",'Ordenes_Odoo'!I319)</f>
        <v/>
      </c>
      <c r="J319" s="79">
        <f>IF('Ordenes_Odoo'!J319="","",'Ordenes_Odoo'!J319)</f>
        <v/>
      </c>
      <c r="K319" s="81">
        <f>IF('Ordenes_Odoo'!K319="","",'Ordenes_Odoo'!K319)</f>
        <v/>
      </c>
      <c r="L319" s="81">
        <f>IF('Ordenes_Odoo'!L319="","",'Ordenes_Odoo'!L319)</f>
        <v/>
      </c>
      <c r="M319" s="79">
        <f>IF('Ordenes_Odoo'!M319="","",'Ordenes_Odoo'!M319)</f>
        <v/>
      </c>
      <c r="N319" s="79">
        <f>IF('Ordenes_Odoo'!N319="","",'Ordenes_Odoo'!N319)</f>
        <v/>
      </c>
      <c r="O319" s="81">
        <f>IF('Ordenes_Odoo'!O319="","",'Ordenes_Odoo'!O319)</f>
        <v/>
      </c>
      <c r="P319" s="81">
        <f>IF('Ordenes_Odoo'!P319="","",'Ordenes_Odoo'!P319)</f>
        <v/>
      </c>
      <c r="Q319" s="79">
        <f>IF(A319="","",IFERROR(INDEX(Facturas_Odoo!$B:$B, MATCH(A319, Facturas_Odoo!$D:$D, 0)), "Sin Factura"))</f>
        <v/>
      </c>
      <c r="R319" s="80">
        <f>IF(Q319="Sin Factura","",IFERROR(INDEX(Facturas_Odoo!$A:$A, MATCH(Q319, Facturas_Odoo!$B:$B, 0)), ""))</f>
        <v/>
      </c>
      <c r="S319" s="79">
        <f>IF(Q319="Sin Factura","",IFERROR(_xlfn.XLOOKUP(1, (Facturas_Odoo!$D:$D=A319) * (Facturas_Odoo!$K:$K=I319), Facturas_Odoo!$L:$L, ""), ""))</f>
        <v/>
      </c>
      <c r="T319" s="81">
        <f>IF(Q319="Sin Factura",0,IFERROR(_xlfn.XLOOKUP(1, (Facturas_Odoo!$D:$D=A319) * (Facturas_Odoo!$K:$K=I319), Facturas_Odoo!$M:$M, 0), 0))</f>
        <v/>
      </c>
      <c r="U319" s="79">
        <f>IF(Q319="Sin Factura",0,IFERROR(_xlfn.XLOOKUP(1, (Facturas_Odoo!$D:$D=A319) * (Facturas_Odoo!$K:$K=I319), Facturas_Odoo!$N:$N, 0), 0))</f>
        <v/>
      </c>
      <c r="V319" s="79">
        <f>IF(Q319="Sin Factura",0,IFERROR(_xlfn.XLOOKUP(1, (Facturas_Odoo!$D:$D=A319) * (Facturas_Odoo!$K:$K=I319), Facturas_Odoo!$O:$O, 0), 0))</f>
        <v/>
      </c>
      <c r="W319" s="81">
        <f>IF(Q319="Sin Factura",0,IFERROR(_xlfn.XLOOKUP(1, (Facturas_Odoo!$D:$D=A319) * (Facturas_Odoo!$K:$K=I319), Facturas_Odoo!$Q:$Q, 0), 0))</f>
        <v/>
      </c>
      <c r="X319" s="79">
        <f>IF(OR(Q319="Sin Factura",Q319=""),"",IFERROR(INDEX(Pagos_Odoo!$B:$B, MATCH(Q319, Pagos_Odoo!$I:$I, 0)), "Sin Pago"))</f>
        <v/>
      </c>
      <c r="Y319" s="79">
        <f>IF(X319="Sin Pago","",IFERROR(INDEX(Pagos_Odoo!$C:$C, MATCH(X319, Pagos_Odoo!$B:$B, 0)), ""))</f>
        <v/>
      </c>
      <c r="Z319" s="80">
        <f>IF(X319="Sin Pago","",IFERROR(INDEX(Pagos_Odoo!$A:$A, MATCH(X319, Pagos_Odoo!$B:$B, 0)), ""))</f>
        <v/>
      </c>
      <c r="AA319" s="79">
        <f>IF(X319="Sin Pago","",IFERROR(INDEX(Pagos_Odoo!$F:$F, MATCH(X319, Pagos_Odoo!$B:$B, 0)), ""))</f>
        <v/>
      </c>
      <c r="AB319" s="81">
        <f>IF(X319="Sin Pago",0,IFERROR(INDEX(Pagos_Odoo!$E:$E, MATCH(X319, Pagos_Odoo!$B:$B, 0)), 0))</f>
        <v/>
      </c>
      <c r="AC319" s="79">
        <f>IF(X319="Sin Pago","",IFERROR(INDEX(Pagos_Odoo!$G:$G, MATCH(X319, Pagos_Odoo!$B:$B, 0)), ""))</f>
        <v/>
      </c>
      <c r="AD319" s="82" t="n">
        <v>0</v>
      </c>
      <c r="AE319" s="82" t="n"/>
      <c r="AF319" s="82" t="n"/>
      <c r="AG319" s="82">
        <f>IF(AN319="","",AD319+AE319+AF319)</f>
        <v/>
      </c>
      <c r="AH319" s="81">
        <f>IF(AN319="","",P319*(1-AG319))</f>
        <v/>
      </c>
      <c r="AI319" s="81">
        <f>IF(AN319="","",IF(Q319="Sin Factura",0,IFERROR(INDEX(Facturas_Odoo!$H:$H, MATCH(Q319, Facturas_Odoo!$B:$B, 0)), 0)*(1-AG319)))</f>
        <v/>
      </c>
      <c r="AJ319" s="81">
        <f>IF(AN319="","",_xlfn.LET(idVenta, AN319&amp;"",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19" s="81">
        <f>IF(AN319="","",AH319-AJ319)</f>
        <v/>
      </c>
      <c r="AL319" s="81">
        <f>IF(AN319="","",IF(Q319="Sin Factura","",AI319-AJ319))</f>
        <v/>
      </c>
      <c r="AM319" s="81">
        <f>IF(AN319="","",IF(Q319="Sin Factura",0,P319-IFERROR(INDEX(Facturas_Odoo!$H:$H, MATCH(Q319, Facturas_Odoo!$B:$B, 0)), 0)))</f>
        <v/>
      </c>
      <c r="AN319" s="79">
        <f>IF(AND(A319="", J319=""), "", IF(A319&lt;&gt;"", VALUE(MID(A319,2,LEN(A319))), AN318))</f>
        <v/>
      </c>
      <c r="AO319" s="79">
        <f>IF(AN319="","",IF(AD319=0,"OK",_xlfn.LET(monedaPago, IF(AA319="","USD",AA319), limitePermitido, IFERROR(VLOOKUP(monedaPago, Configuración!$A$2:$B$3, 2, FALSE), 0.15), IF(AD319&gt;limitePermitido, "ALERTA: EXCESO (" &amp; TEXT(limitePermitido, "0%") &amp; " máx)", "OK"))))</f>
        <v/>
      </c>
      <c r="AP319" s="79">
        <f>IF(AN319="","",IF(AE319=0,"OK",_xlfn.LET(fechaPago, Z319, fechaFactura, R319, diasCredito, IF(E319="Pago inmediato", 0, IFERROR(VALUE(MID(E319, 1, SEARCH(" ", E319)-1)),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19" s="79">
        <f>IF(AN319="","",IF(AND(N319&gt;0, AG319&gt;0), IF(Configuración!$K$2="NO", "ALERTA: DESCUENTO DOBLE NO PERMITIDO", "OK"), "OK"))</f>
        <v/>
      </c>
      <c r="AR319" s="79">
        <f>IF(AN319="","",IF(OR(AO319&lt;&gt;"OK", AP319&lt;&gt;"OK", AQ319&lt;&gt;"OK"), "⚠️ REVISAR", "OK"))</f>
        <v/>
      </c>
    </row>
    <row r="320">
      <c r="A320" s="79">
        <f>IF('Ordenes_Odoo'!A320="","",'Ordenes_Odoo'!A320)</f>
        <v/>
      </c>
      <c r="B320" s="80">
        <f>IF('Ordenes_Odoo'!B320="","",'Ordenes_Odoo'!B320)</f>
        <v/>
      </c>
      <c r="C320" s="79">
        <f>IF('Ordenes_Odoo'!C320="","",'Ordenes_Odoo'!C320)</f>
        <v/>
      </c>
      <c r="D320" s="79">
        <f>IF('Ordenes_Odoo'!D320="","",'Ordenes_Odoo'!D320)</f>
        <v/>
      </c>
      <c r="E320" s="79">
        <f>IF('Ordenes_Odoo'!E320="","",'Ordenes_Odoo'!E320)</f>
        <v/>
      </c>
      <c r="F320" s="79">
        <f>IF('Ordenes_Odoo'!F320="","",'Ordenes_Odoo'!F320)</f>
        <v/>
      </c>
      <c r="G320" s="79">
        <f>IF('Ordenes_Odoo'!G320="","",'Ordenes_Odoo'!G320)</f>
        <v/>
      </c>
      <c r="H320" s="79">
        <f>IF('Ordenes_Odoo'!H320="","",'Ordenes_Odoo'!H320)</f>
        <v/>
      </c>
      <c r="I320" s="79">
        <f>IF('Ordenes_Odoo'!I320="","",'Ordenes_Odoo'!I320)</f>
        <v/>
      </c>
      <c r="J320" s="79">
        <f>IF('Ordenes_Odoo'!J320="","",'Ordenes_Odoo'!J320)</f>
        <v/>
      </c>
      <c r="K320" s="81">
        <f>IF('Ordenes_Odoo'!K320="","",'Ordenes_Odoo'!K320)</f>
        <v/>
      </c>
      <c r="L320" s="81">
        <f>IF('Ordenes_Odoo'!L320="","",'Ordenes_Odoo'!L320)</f>
        <v/>
      </c>
      <c r="M320" s="79">
        <f>IF('Ordenes_Odoo'!M320="","",'Ordenes_Odoo'!M320)</f>
        <v/>
      </c>
      <c r="N320" s="79">
        <f>IF('Ordenes_Odoo'!N320="","",'Ordenes_Odoo'!N320)</f>
        <v/>
      </c>
      <c r="O320" s="81">
        <f>IF('Ordenes_Odoo'!O320="","",'Ordenes_Odoo'!O320)</f>
        <v/>
      </c>
      <c r="P320" s="81">
        <f>IF('Ordenes_Odoo'!P320="","",'Ordenes_Odoo'!P320)</f>
        <v/>
      </c>
      <c r="Q320" s="79">
        <f>IF(A320="","",IFERROR(INDEX(Facturas_Odoo!$B:$B, MATCH(A320, Facturas_Odoo!$D:$D, 0)), "Sin Factura"))</f>
        <v/>
      </c>
      <c r="R320" s="80">
        <f>IF(Q320="Sin Factura","",IFERROR(INDEX(Facturas_Odoo!$A:$A, MATCH(Q320, Facturas_Odoo!$B:$B, 0)), ""))</f>
        <v/>
      </c>
      <c r="S320" s="79">
        <f>IF(Q320="Sin Factura","",IFERROR(_xlfn.XLOOKUP(1, (Facturas_Odoo!$D:$D=A320) * (Facturas_Odoo!$K:$K=I320), Facturas_Odoo!$L:$L, ""), ""))</f>
        <v/>
      </c>
      <c r="T320" s="81">
        <f>IF(Q320="Sin Factura",0,IFERROR(_xlfn.XLOOKUP(1, (Facturas_Odoo!$D:$D=A320) * (Facturas_Odoo!$K:$K=I320), Facturas_Odoo!$M:$M, 0), 0))</f>
        <v/>
      </c>
      <c r="U320" s="79">
        <f>IF(Q320="Sin Factura",0,IFERROR(_xlfn.XLOOKUP(1, (Facturas_Odoo!$D:$D=A320) * (Facturas_Odoo!$K:$K=I320), Facturas_Odoo!$N:$N, 0), 0))</f>
        <v/>
      </c>
      <c r="V320" s="79">
        <f>IF(Q320="Sin Factura",0,IFERROR(_xlfn.XLOOKUP(1, (Facturas_Odoo!$D:$D=A320) * (Facturas_Odoo!$K:$K=I320), Facturas_Odoo!$O:$O, 0), 0))</f>
        <v/>
      </c>
      <c r="W320" s="81">
        <f>IF(Q320="Sin Factura",0,IFERROR(_xlfn.XLOOKUP(1, (Facturas_Odoo!$D:$D=A320) * (Facturas_Odoo!$K:$K=I320), Facturas_Odoo!$Q:$Q, 0), 0))</f>
        <v/>
      </c>
      <c r="X320" s="79">
        <f>IF(OR(Q320="Sin Factura",Q320=""),"",IFERROR(INDEX(Pagos_Odoo!$B:$B, MATCH(Q320, Pagos_Odoo!$I:$I, 0)), "Sin Pago"))</f>
        <v/>
      </c>
      <c r="Y320" s="79">
        <f>IF(X320="Sin Pago","",IFERROR(INDEX(Pagos_Odoo!$C:$C, MATCH(X320, Pagos_Odoo!$B:$B, 0)), ""))</f>
        <v/>
      </c>
      <c r="Z320" s="80">
        <f>IF(X320="Sin Pago","",IFERROR(INDEX(Pagos_Odoo!$A:$A, MATCH(X320, Pagos_Odoo!$B:$B, 0)), ""))</f>
        <v/>
      </c>
      <c r="AA320" s="79">
        <f>IF(X320="Sin Pago","",IFERROR(INDEX(Pagos_Odoo!$F:$F, MATCH(X320, Pagos_Odoo!$B:$B, 0)), ""))</f>
        <v/>
      </c>
      <c r="AB320" s="81">
        <f>IF(X320="Sin Pago",0,IFERROR(INDEX(Pagos_Odoo!$E:$E, MATCH(X320, Pagos_Odoo!$B:$B, 0)), 0))</f>
        <v/>
      </c>
      <c r="AC320" s="79">
        <f>IF(X320="Sin Pago","",IFERROR(INDEX(Pagos_Odoo!$G:$G, MATCH(X320, Pagos_Odoo!$B:$B, 0)), ""))</f>
        <v/>
      </c>
      <c r="AD320" s="82" t="n">
        <v>0</v>
      </c>
      <c r="AE320" s="82" t="n"/>
      <c r="AF320" s="82" t="n"/>
      <c r="AG320" s="82">
        <f>IF(AN320="","",AD320+AE320+AF320)</f>
        <v/>
      </c>
      <c r="AH320" s="81">
        <f>IF(AN320="","",P320*(1-AG320))</f>
        <v/>
      </c>
      <c r="AI320" s="81">
        <f>IF(AN320="","",IF(Q320="Sin Factura",0,IFERROR(INDEX(Facturas_Odoo!$H:$H, MATCH(Q320, Facturas_Odoo!$B:$B, 0)), 0)*(1-AG320)))</f>
        <v/>
      </c>
      <c r="AJ320" s="81">
        <f>IF(AN320="","",_xlfn.LET(idVenta, AN320&amp;"",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20" s="81">
        <f>IF(AN320="","",AH320-AJ320)</f>
        <v/>
      </c>
      <c r="AL320" s="81">
        <f>IF(AN320="","",IF(Q320="Sin Factura","",AI320-AJ320))</f>
        <v/>
      </c>
      <c r="AM320" s="81">
        <f>IF(AN320="","",IF(Q320="Sin Factura",0,P320-IFERROR(INDEX(Facturas_Odoo!$H:$H, MATCH(Q320, Facturas_Odoo!$B:$B, 0)), 0)))</f>
        <v/>
      </c>
      <c r="AN320" s="79">
        <f>IF(AND(A320="", J320=""), "", IF(A320&lt;&gt;"", VALUE(MID(A320,2,LEN(A320))), AN319))</f>
        <v/>
      </c>
      <c r="AO320" s="79">
        <f>IF(AN320="","",IF(AD320=0,"OK",_xlfn.LET(monedaPago, IF(AA320="","USD",AA320), limitePermitido, IFERROR(VLOOKUP(monedaPago, Configuración!$A$2:$B$3, 2, FALSE), 0.15), IF(AD320&gt;limitePermitido, "ALERTA: EXCESO (" &amp; TEXT(limitePermitido, "0%") &amp; " máx)", "OK"))))</f>
        <v/>
      </c>
      <c r="AP320" s="79">
        <f>IF(AN320="","",IF(AE320=0,"OK",_xlfn.LET(fechaPago, Z320, fechaFactura, R320, diasCredito, IF(E320="Pago inmediato", 0, IFERROR(VALUE(MID(E320, 1, SEARCH(" ", E320)-1)),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20" s="79">
        <f>IF(AN320="","",IF(AND(N320&gt;0, AG320&gt;0), IF(Configuración!$K$2="NO", "ALERTA: DESCUENTO DOBLE NO PERMITIDO", "OK"), "OK"))</f>
        <v/>
      </c>
      <c r="AR320" s="79">
        <f>IF(AN320="","",IF(OR(AO320&lt;&gt;"OK", AP320&lt;&gt;"OK", AQ320&lt;&gt;"OK"), "⚠️ REVISAR", "OK"))</f>
        <v/>
      </c>
    </row>
    <row r="321">
      <c r="A321" s="79">
        <f>IF('Ordenes_Odoo'!A321="","",'Ordenes_Odoo'!A321)</f>
        <v/>
      </c>
      <c r="B321" s="80">
        <f>IF('Ordenes_Odoo'!B321="","",'Ordenes_Odoo'!B321)</f>
        <v/>
      </c>
      <c r="C321" s="79">
        <f>IF('Ordenes_Odoo'!C321="","",'Ordenes_Odoo'!C321)</f>
        <v/>
      </c>
      <c r="D321" s="79">
        <f>IF('Ordenes_Odoo'!D321="","",'Ordenes_Odoo'!D321)</f>
        <v/>
      </c>
      <c r="E321" s="79">
        <f>IF('Ordenes_Odoo'!E321="","",'Ordenes_Odoo'!E321)</f>
        <v/>
      </c>
      <c r="F321" s="79">
        <f>IF('Ordenes_Odoo'!F321="","",'Ordenes_Odoo'!F321)</f>
        <v/>
      </c>
      <c r="G321" s="79">
        <f>IF('Ordenes_Odoo'!G321="","",'Ordenes_Odoo'!G321)</f>
        <v/>
      </c>
      <c r="H321" s="79">
        <f>IF('Ordenes_Odoo'!H321="","",'Ordenes_Odoo'!H321)</f>
        <v/>
      </c>
      <c r="I321" s="79">
        <f>IF('Ordenes_Odoo'!I321="","",'Ordenes_Odoo'!I321)</f>
        <v/>
      </c>
      <c r="J321" s="79">
        <f>IF('Ordenes_Odoo'!J321="","",'Ordenes_Odoo'!J321)</f>
        <v/>
      </c>
      <c r="K321" s="81">
        <f>IF('Ordenes_Odoo'!K321="","",'Ordenes_Odoo'!K321)</f>
        <v/>
      </c>
      <c r="L321" s="81">
        <f>IF('Ordenes_Odoo'!L321="","",'Ordenes_Odoo'!L321)</f>
        <v/>
      </c>
      <c r="M321" s="79">
        <f>IF('Ordenes_Odoo'!M321="","",'Ordenes_Odoo'!M321)</f>
        <v/>
      </c>
      <c r="N321" s="79">
        <f>IF('Ordenes_Odoo'!N321="","",'Ordenes_Odoo'!N321)</f>
        <v/>
      </c>
      <c r="O321" s="81">
        <f>IF('Ordenes_Odoo'!O321="","",'Ordenes_Odoo'!O321)</f>
        <v/>
      </c>
      <c r="P321" s="81">
        <f>IF('Ordenes_Odoo'!P321="","",'Ordenes_Odoo'!P321)</f>
        <v/>
      </c>
      <c r="Q321" s="79">
        <f>IF(A321="","",IFERROR(INDEX(Facturas_Odoo!$B:$B, MATCH(A321, Facturas_Odoo!$D:$D, 0)), "Sin Factura"))</f>
        <v/>
      </c>
      <c r="R321" s="80">
        <f>IF(Q321="Sin Factura","",IFERROR(INDEX(Facturas_Odoo!$A:$A, MATCH(Q321, Facturas_Odoo!$B:$B, 0)), ""))</f>
        <v/>
      </c>
      <c r="S321" s="79">
        <f>IF(Q321="Sin Factura","",IFERROR(_xlfn.XLOOKUP(1, (Facturas_Odoo!$D:$D=A321) * (Facturas_Odoo!$K:$K=I321), Facturas_Odoo!$L:$L, ""), ""))</f>
        <v/>
      </c>
      <c r="T321" s="81">
        <f>IF(Q321="Sin Factura",0,IFERROR(_xlfn.XLOOKUP(1, (Facturas_Odoo!$D:$D=A321) * (Facturas_Odoo!$K:$K=I321), Facturas_Odoo!$M:$M, 0), 0))</f>
        <v/>
      </c>
      <c r="U321" s="79">
        <f>IF(Q321="Sin Factura",0,IFERROR(_xlfn.XLOOKUP(1, (Facturas_Odoo!$D:$D=A321) * (Facturas_Odoo!$K:$K=I321), Facturas_Odoo!$N:$N, 0), 0))</f>
        <v/>
      </c>
      <c r="V321" s="79">
        <f>IF(Q321="Sin Factura",0,IFERROR(_xlfn.XLOOKUP(1, (Facturas_Odoo!$D:$D=A321) * (Facturas_Odoo!$K:$K=I321), Facturas_Odoo!$O:$O, 0), 0))</f>
        <v/>
      </c>
      <c r="W321" s="81">
        <f>IF(Q321="Sin Factura",0,IFERROR(_xlfn.XLOOKUP(1, (Facturas_Odoo!$D:$D=A321) * (Facturas_Odoo!$K:$K=I321), Facturas_Odoo!$Q:$Q, 0), 0))</f>
        <v/>
      </c>
      <c r="X321" s="79">
        <f>IF(OR(Q321="Sin Factura",Q321=""),"",IFERROR(INDEX(Pagos_Odoo!$B:$B, MATCH(Q321, Pagos_Odoo!$I:$I, 0)), "Sin Pago"))</f>
        <v/>
      </c>
      <c r="Y321" s="79">
        <f>IF(X321="Sin Pago","",IFERROR(INDEX(Pagos_Odoo!$C:$C, MATCH(X321, Pagos_Odoo!$B:$B, 0)), ""))</f>
        <v/>
      </c>
      <c r="Z321" s="80">
        <f>IF(X321="Sin Pago","",IFERROR(INDEX(Pagos_Odoo!$A:$A, MATCH(X321, Pagos_Odoo!$B:$B, 0)), ""))</f>
        <v/>
      </c>
      <c r="AA321" s="79">
        <f>IF(X321="Sin Pago","",IFERROR(INDEX(Pagos_Odoo!$F:$F, MATCH(X321, Pagos_Odoo!$B:$B, 0)), ""))</f>
        <v/>
      </c>
      <c r="AB321" s="81">
        <f>IF(X321="Sin Pago",0,IFERROR(INDEX(Pagos_Odoo!$E:$E, MATCH(X321, Pagos_Odoo!$B:$B, 0)), 0))</f>
        <v/>
      </c>
      <c r="AC321" s="79">
        <f>IF(X321="Sin Pago","",IFERROR(INDEX(Pagos_Odoo!$G:$G, MATCH(X321, Pagos_Odoo!$B:$B, 0)), ""))</f>
        <v/>
      </c>
      <c r="AD321" s="82" t="n">
        <v>0</v>
      </c>
      <c r="AE321" s="82" t="n"/>
      <c r="AF321" s="82" t="n"/>
      <c r="AG321" s="82">
        <f>IF(AN321="","",AD321+AE321+AF321)</f>
        <v/>
      </c>
      <c r="AH321" s="81">
        <f>IF(AN321="","",P321*(1-AG321))</f>
        <v/>
      </c>
      <c r="AI321" s="81">
        <f>IF(AN321="","",IF(Q321="Sin Factura",0,IFERROR(INDEX(Facturas_Odoo!$H:$H, MATCH(Q321, Facturas_Odoo!$B:$B, 0)), 0)*(1-AG321)))</f>
        <v/>
      </c>
      <c r="AJ321" s="81">
        <f>IF(AN321="","",_xlfn.LET(idVenta, AN321&amp;"",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21" s="81">
        <f>IF(AN321="","",AH321-AJ321)</f>
        <v/>
      </c>
      <c r="AL321" s="81">
        <f>IF(AN321="","",IF(Q321="Sin Factura","",AI321-AJ321))</f>
        <v/>
      </c>
      <c r="AM321" s="81">
        <f>IF(AN321="","",IF(Q321="Sin Factura",0,P321-IFERROR(INDEX(Facturas_Odoo!$H:$H, MATCH(Q321, Facturas_Odoo!$B:$B, 0)), 0)))</f>
        <v/>
      </c>
      <c r="AN321" s="79">
        <f>IF(AND(A321="", J321=""), "", IF(A321&lt;&gt;"", VALUE(MID(A321,2,LEN(A321))), AN320))</f>
        <v/>
      </c>
      <c r="AO321" s="79">
        <f>IF(AN321="","",IF(AD321=0,"OK",_xlfn.LET(monedaPago, IF(AA321="","USD",AA321), limitePermitido, IFERROR(VLOOKUP(monedaPago, Configuración!$A$2:$B$3, 2, FALSE), 0.15), IF(AD321&gt;limitePermitido, "ALERTA: EXCESO (" &amp; TEXT(limitePermitido, "0%") &amp; " máx)", "OK"))))</f>
        <v/>
      </c>
      <c r="AP321" s="79">
        <f>IF(AN321="","",IF(AE321=0,"OK",_xlfn.LET(fechaPago, Z321, fechaFactura, R321, diasCredito, IF(E321="Pago inmediato", 0, IFERROR(VALUE(MID(E321, 1, SEARCH(" ", E321)-1)),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21" s="79">
        <f>IF(AN321="","",IF(AND(N321&gt;0, AG321&gt;0), IF(Configuración!$K$2="NO", "ALERTA: DESCUENTO DOBLE NO PERMITIDO", "OK"), "OK"))</f>
        <v/>
      </c>
      <c r="AR321" s="79">
        <f>IF(AN321="","",IF(OR(AO321&lt;&gt;"OK", AP321&lt;&gt;"OK", AQ321&lt;&gt;"OK"), "⚠️ REVISAR", "OK"))</f>
        <v/>
      </c>
    </row>
    <row r="322">
      <c r="A322" s="79">
        <f>IF('Ordenes_Odoo'!A322="","",'Ordenes_Odoo'!A322)</f>
        <v/>
      </c>
      <c r="B322" s="80">
        <f>IF('Ordenes_Odoo'!B322="","",'Ordenes_Odoo'!B322)</f>
        <v/>
      </c>
      <c r="C322" s="79">
        <f>IF('Ordenes_Odoo'!C322="","",'Ordenes_Odoo'!C322)</f>
        <v/>
      </c>
      <c r="D322" s="79">
        <f>IF('Ordenes_Odoo'!D322="","",'Ordenes_Odoo'!D322)</f>
        <v/>
      </c>
      <c r="E322" s="79">
        <f>IF('Ordenes_Odoo'!E322="","",'Ordenes_Odoo'!E322)</f>
        <v/>
      </c>
      <c r="F322" s="79">
        <f>IF('Ordenes_Odoo'!F322="","",'Ordenes_Odoo'!F322)</f>
        <v/>
      </c>
      <c r="G322" s="79">
        <f>IF('Ordenes_Odoo'!G322="","",'Ordenes_Odoo'!G322)</f>
        <v/>
      </c>
      <c r="H322" s="79">
        <f>IF('Ordenes_Odoo'!H322="","",'Ordenes_Odoo'!H322)</f>
        <v/>
      </c>
      <c r="I322" s="79">
        <f>IF('Ordenes_Odoo'!I322="","",'Ordenes_Odoo'!I322)</f>
        <v/>
      </c>
      <c r="J322" s="79">
        <f>IF('Ordenes_Odoo'!J322="","",'Ordenes_Odoo'!J322)</f>
        <v/>
      </c>
      <c r="K322" s="81">
        <f>IF('Ordenes_Odoo'!K322="","",'Ordenes_Odoo'!K322)</f>
        <v/>
      </c>
      <c r="L322" s="81">
        <f>IF('Ordenes_Odoo'!L322="","",'Ordenes_Odoo'!L322)</f>
        <v/>
      </c>
      <c r="M322" s="79">
        <f>IF('Ordenes_Odoo'!M322="","",'Ordenes_Odoo'!M322)</f>
        <v/>
      </c>
      <c r="N322" s="79">
        <f>IF('Ordenes_Odoo'!N322="","",'Ordenes_Odoo'!N322)</f>
        <v/>
      </c>
      <c r="O322" s="81">
        <f>IF('Ordenes_Odoo'!O322="","",'Ordenes_Odoo'!O322)</f>
        <v/>
      </c>
      <c r="P322" s="81">
        <f>IF('Ordenes_Odoo'!P322="","",'Ordenes_Odoo'!P322)</f>
        <v/>
      </c>
      <c r="Q322" s="79">
        <f>IF(A322="","",IFERROR(INDEX(Facturas_Odoo!$B:$B, MATCH(A322, Facturas_Odoo!$D:$D, 0)), "Sin Factura"))</f>
        <v/>
      </c>
      <c r="R322" s="80">
        <f>IF(Q322="Sin Factura","",IFERROR(INDEX(Facturas_Odoo!$A:$A, MATCH(Q322, Facturas_Odoo!$B:$B, 0)), ""))</f>
        <v/>
      </c>
      <c r="S322" s="79">
        <f>IF(Q322="Sin Factura","",IFERROR(_xlfn.XLOOKUP(1, (Facturas_Odoo!$D:$D=A322) * (Facturas_Odoo!$K:$K=I322), Facturas_Odoo!$L:$L, ""), ""))</f>
        <v/>
      </c>
      <c r="T322" s="81">
        <f>IF(Q322="Sin Factura",0,IFERROR(_xlfn.XLOOKUP(1, (Facturas_Odoo!$D:$D=A322) * (Facturas_Odoo!$K:$K=I322), Facturas_Odoo!$M:$M, 0), 0))</f>
        <v/>
      </c>
      <c r="U322" s="79">
        <f>IF(Q322="Sin Factura",0,IFERROR(_xlfn.XLOOKUP(1, (Facturas_Odoo!$D:$D=A322) * (Facturas_Odoo!$K:$K=I322), Facturas_Odoo!$N:$N, 0), 0))</f>
        <v/>
      </c>
      <c r="V322" s="79">
        <f>IF(Q322="Sin Factura",0,IFERROR(_xlfn.XLOOKUP(1, (Facturas_Odoo!$D:$D=A322) * (Facturas_Odoo!$K:$K=I322), Facturas_Odoo!$O:$O, 0), 0))</f>
        <v/>
      </c>
      <c r="W322" s="81">
        <f>IF(Q322="Sin Factura",0,IFERROR(_xlfn.XLOOKUP(1, (Facturas_Odoo!$D:$D=A322) * (Facturas_Odoo!$K:$K=I322), Facturas_Odoo!$Q:$Q, 0), 0))</f>
        <v/>
      </c>
      <c r="X322" s="79">
        <f>IF(OR(Q322="Sin Factura",Q322=""),"",IFERROR(INDEX(Pagos_Odoo!$B:$B, MATCH(Q322, Pagos_Odoo!$I:$I, 0)), "Sin Pago"))</f>
        <v/>
      </c>
      <c r="Y322" s="79">
        <f>IF(X322="Sin Pago","",IFERROR(INDEX(Pagos_Odoo!$C:$C, MATCH(X322, Pagos_Odoo!$B:$B, 0)), ""))</f>
        <v/>
      </c>
      <c r="Z322" s="80">
        <f>IF(X322="Sin Pago","",IFERROR(INDEX(Pagos_Odoo!$A:$A, MATCH(X322, Pagos_Odoo!$B:$B, 0)), ""))</f>
        <v/>
      </c>
      <c r="AA322" s="79">
        <f>IF(X322="Sin Pago","",IFERROR(INDEX(Pagos_Odoo!$F:$F, MATCH(X322, Pagos_Odoo!$B:$B, 0)), ""))</f>
        <v/>
      </c>
      <c r="AB322" s="81">
        <f>IF(X322="Sin Pago",0,IFERROR(INDEX(Pagos_Odoo!$E:$E, MATCH(X322, Pagos_Odoo!$B:$B, 0)), 0))</f>
        <v/>
      </c>
      <c r="AC322" s="79">
        <f>IF(X322="Sin Pago","",IFERROR(INDEX(Pagos_Odoo!$G:$G, MATCH(X322, Pagos_Odoo!$B:$B, 0)), ""))</f>
        <v/>
      </c>
      <c r="AD322" s="82" t="n">
        <v>0</v>
      </c>
      <c r="AE322" s="82" t="n"/>
      <c r="AF322" s="82" t="n"/>
      <c r="AG322" s="82">
        <f>IF(AN322="","",AD322+AE322+AF322)</f>
        <v/>
      </c>
      <c r="AH322" s="81">
        <f>IF(AN322="","",P322*(1-AG322))</f>
        <v/>
      </c>
      <c r="AI322" s="81">
        <f>IF(AN322="","",IF(Q322="Sin Factura",0,IFERROR(INDEX(Facturas_Odoo!$H:$H, MATCH(Q322, Facturas_Odoo!$B:$B, 0)), 0)*(1-AG322)))</f>
        <v/>
      </c>
      <c r="AJ322" s="81">
        <f>IF(AN322="","",_xlfn.LET(idVenta, AN322&amp;"",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22" s="81">
        <f>IF(AN322="","",AH322-AJ322)</f>
        <v/>
      </c>
      <c r="AL322" s="81">
        <f>IF(AN322="","",IF(Q322="Sin Factura","",AI322-AJ322))</f>
        <v/>
      </c>
      <c r="AM322" s="81">
        <f>IF(AN322="","",IF(Q322="Sin Factura",0,P322-IFERROR(INDEX(Facturas_Odoo!$H:$H, MATCH(Q322, Facturas_Odoo!$B:$B, 0)), 0)))</f>
        <v/>
      </c>
      <c r="AN322" s="79">
        <f>IF(AND(A322="", J322=""), "", IF(A322&lt;&gt;"", VALUE(MID(A322,2,LEN(A322))), AN321))</f>
        <v/>
      </c>
      <c r="AO322" s="79">
        <f>IF(AN322="","",IF(AD322=0,"OK",_xlfn.LET(monedaPago, IF(AA322="","USD",AA322), limitePermitido, IFERROR(VLOOKUP(monedaPago, Configuración!$A$2:$B$3, 2, FALSE), 0.15), IF(AD322&gt;limitePermitido, "ALERTA: EXCESO (" &amp; TEXT(limitePermitido, "0%") &amp; " máx)", "OK"))))</f>
        <v/>
      </c>
      <c r="AP322" s="79">
        <f>IF(AN322="","",IF(AE322=0,"OK",_xlfn.LET(fechaPago, Z322, fechaFactura, R322, diasCredito, IF(E322="Pago inmediato", 0, IFERROR(VALUE(MID(E322, 1, SEARCH(" ", E322)-1)),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22" s="79">
        <f>IF(AN322="","",IF(AND(N322&gt;0, AG322&gt;0), IF(Configuración!$K$2="NO", "ALERTA: DESCUENTO DOBLE NO PERMITIDO", "OK"), "OK"))</f>
        <v/>
      </c>
      <c r="AR322" s="79">
        <f>IF(AN322="","",IF(OR(AO322&lt;&gt;"OK", AP322&lt;&gt;"OK", AQ322&lt;&gt;"OK"), "⚠️ REVISAR", "OK"))</f>
        <v/>
      </c>
    </row>
    <row r="323">
      <c r="A323" s="79">
        <f>IF('Ordenes_Odoo'!A323="","",'Ordenes_Odoo'!A323)</f>
        <v/>
      </c>
      <c r="B323" s="80">
        <f>IF('Ordenes_Odoo'!B323="","",'Ordenes_Odoo'!B323)</f>
        <v/>
      </c>
      <c r="C323" s="79">
        <f>IF('Ordenes_Odoo'!C323="","",'Ordenes_Odoo'!C323)</f>
        <v/>
      </c>
      <c r="D323" s="79">
        <f>IF('Ordenes_Odoo'!D323="","",'Ordenes_Odoo'!D323)</f>
        <v/>
      </c>
      <c r="E323" s="79">
        <f>IF('Ordenes_Odoo'!E323="","",'Ordenes_Odoo'!E323)</f>
        <v/>
      </c>
      <c r="F323" s="79">
        <f>IF('Ordenes_Odoo'!F323="","",'Ordenes_Odoo'!F323)</f>
        <v/>
      </c>
      <c r="G323" s="79">
        <f>IF('Ordenes_Odoo'!G323="","",'Ordenes_Odoo'!G323)</f>
        <v/>
      </c>
      <c r="H323" s="79">
        <f>IF('Ordenes_Odoo'!H323="","",'Ordenes_Odoo'!H323)</f>
        <v/>
      </c>
      <c r="I323" s="79">
        <f>IF('Ordenes_Odoo'!I323="","",'Ordenes_Odoo'!I323)</f>
        <v/>
      </c>
      <c r="J323" s="79">
        <f>IF('Ordenes_Odoo'!J323="","",'Ordenes_Odoo'!J323)</f>
        <v/>
      </c>
      <c r="K323" s="81">
        <f>IF('Ordenes_Odoo'!K323="","",'Ordenes_Odoo'!K323)</f>
        <v/>
      </c>
      <c r="L323" s="81">
        <f>IF('Ordenes_Odoo'!L323="","",'Ordenes_Odoo'!L323)</f>
        <v/>
      </c>
      <c r="M323" s="79">
        <f>IF('Ordenes_Odoo'!M323="","",'Ordenes_Odoo'!M323)</f>
        <v/>
      </c>
      <c r="N323" s="79">
        <f>IF('Ordenes_Odoo'!N323="","",'Ordenes_Odoo'!N323)</f>
        <v/>
      </c>
      <c r="O323" s="81">
        <f>IF('Ordenes_Odoo'!O323="","",'Ordenes_Odoo'!O323)</f>
        <v/>
      </c>
      <c r="P323" s="81">
        <f>IF('Ordenes_Odoo'!P323="","",'Ordenes_Odoo'!P323)</f>
        <v/>
      </c>
      <c r="Q323" s="79">
        <f>IF(A323="","",IFERROR(INDEX(Facturas_Odoo!$B:$B, MATCH(A323, Facturas_Odoo!$D:$D, 0)), "Sin Factura"))</f>
        <v/>
      </c>
      <c r="R323" s="80">
        <f>IF(Q323="Sin Factura","",IFERROR(INDEX(Facturas_Odoo!$A:$A, MATCH(Q323, Facturas_Odoo!$B:$B, 0)), ""))</f>
        <v/>
      </c>
      <c r="S323" s="79">
        <f>IF(Q323="Sin Factura","",IFERROR(_xlfn.XLOOKUP(1, (Facturas_Odoo!$D:$D=A323) * (Facturas_Odoo!$K:$K=I323), Facturas_Odoo!$L:$L, ""), ""))</f>
        <v/>
      </c>
      <c r="T323" s="81">
        <f>IF(Q323="Sin Factura",0,IFERROR(_xlfn.XLOOKUP(1, (Facturas_Odoo!$D:$D=A323) * (Facturas_Odoo!$K:$K=I323), Facturas_Odoo!$M:$M, 0), 0))</f>
        <v/>
      </c>
      <c r="U323" s="79">
        <f>IF(Q323="Sin Factura",0,IFERROR(_xlfn.XLOOKUP(1, (Facturas_Odoo!$D:$D=A323) * (Facturas_Odoo!$K:$K=I323), Facturas_Odoo!$N:$N, 0), 0))</f>
        <v/>
      </c>
      <c r="V323" s="79">
        <f>IF(Q323="Sin Factura",0,IFERROR(_xlfn.XLOOKUP(1, (Facturas_Odoo!$D:$D=A323) * (Facturas_Odoo!$K:$K=I323), Facturas_Odoo!$O:$O, 0), 0))</f>
        <v/>
      </c>
      <c r="W323" s="81">
        <f>IF(Q323="Sin Factura",0,IFERROR(_xlfn.XLOOKUP(1, (Facturas_Odoo!$D:$D=A323) * (Facturas_Odoo!$K:$K=I323), Facturas_Odoo!$Q:$Q, 0), 0))</f>
        <v/>
      </c>
      <c r="X323" s="79">
        <f>IF(OR(Q323="Sin Factura",Q323=""),"",IFERROR(INDEX(Pagos_Odoo!$B:$B, MATCH(Q323, Pagos_Odoo!$I:$I, 0)), "Sin Pago"))</f>
        <v/>
      </c>
      <c r="Y323" s="79">
        <f>IF(X323="Sin Pago","",IFERROR(INDEX(Pagos_Odoo!$C:$C, MATCH(X323, Pagos_Odoo!$B:$B, 0)), ""))</f>
        <v/>
      </c>
      <c r="Z323" s="80">
        <f>IF(X323="Sin Pago","",IFERROR(INDEX(Pagos_Odoo!$A:$A, MATCH(X323, Pagos_Odoo!$B:$B, 0)), ""))</f>
        <v/>
      </c>
      <c r="AA323" s="79">
        <f>IF(X323="Sin Pago","",IFERROR(INDEX(Pagos_Odoo!$F:$F, MATCH(X323, Pagos_Odoo!$B:$B, 0)), ""))</f>
        <v/>
      </c>
      <c r="AB323" s="81">
        <f>IF(X323="Sin Pago",0,IFERROR(INDEX(Pagos_Odoo!$E:$E, MATCH(X323, Pagos_Odoo!$B:$B, 0)), 0))</f>
        <v/>
      </c>
      <c r="AC323" s="79">
        <f>IF(X323="Sin Pago","",IFERROR(INDEX(Pagos_Odoo!$G:$G, MATCH(X323, Pagos_Odoo!$B:$B, 0)), ""))</f>
        <v/>
      </c>
      <c r="AD323" s="82" t="n">
        <v>0</v>
      </c>
      <c r="AE323" s="82" t="n"/>
      <c r="AF323" s="82" t="n"/>
      <c r="AG323" s="82">
        <f>IF(AN323="","",AD323+AE323+AF323)</f>
        <v/>
      </c>
      <c r="AH323" s="81">
        <f>IF(AN323="","",P323*(1-AG323))</f>
        <v/>
      </c>
      <c r="AI323" s="81">
        <f>IF(AN323="","",IF(Q323="Sin Factura",0,IFERROR(INDEX(Facturas_Odoo!$H:$H, MATCH(Q323, Facturas_Odoo!$B:$B, 0)), 0)*(1-AG323)))</f>
        <v/>
      </c>
      <c r="AJ323" s="81">
        <f>IF(AN323="","",_xlfn.LET(idVenta, AN323&amp;"",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23" s="81">
        <f>IF(AN323="","",AH323-AJ323)</f>
        <v/>
      </c>
      <c r="AL323" s="81">
        <f>IF(AN323="","",IF(Q323="Sin Factura","",AI323-AJ323))</f>
        <v/>
      </c>
      <c r="AM323" s="81">
        <f>IF(AN323="","",IF(Q323="Sin Factura",0,P323-IFERROR(INDEX(Facturas_Odoo!$H:$H, MATCH(Q323, Facturas_Odoo!$B:$B, 0)), 0)))</f>
        <v/>
      </c>
      <c r="AN323" s="79">
        <f>IF(AND(A323="", J323=""), "", IF(A323&lt;&gt;"", VALUE(MID(A323,2,LEN(A323))), AN322))</f>
        <v/>
      </c>
      <c r="AO323" s="79">
        <f>IF(AN323="","",IF(AD323=0,"OK",_xlfn.LET(monedaPago, IF(AA323="","USD",AA323), limitePermitido, IFERROR(VLOOKUP(monedaPago, Configuración!$A$2:$B$3, 2, FALSE), 0.15), IF(AD323&gt;limitePermitido, "ALERTA: EXCESO (" &amp; TEXT(limitePermitido, "0%") &amp; " máx)", "OK"))))</f>
        <v/>
      </c>
      <c r="AP323" s="79">
        <f>IF(AN323="","",IF(AE323=0,"OK",_xlfn.LET(fechaPago, Z323, fechaFactura, R323, diasCredito, IF(E323="Pago inmediato", 0, IFERROR(VALUE(MID(E323, 1, SEARCH(" ", E323)-1)),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23" s="79">
        <f>IF(AN323="","",IF(AND(N323&gt;0, AG323&gt;0), IF(Configuración!$K$2="NO", "ALERTA: DESCUENTO DOBLE NO PERMITIDO", "OK"), "OK"))</f>
        <v/>
      </c>
      <c r="AR323" s="79">
        <f>IF(AN323="","",IF(OR(AO323&lt;&gt;"OK", AP323&lt;&gt;"OK", AQ323&lt;&gt;"OK"), "⚠️ REVISAR", "OK"))</f>
        <v/>
      </c>
    </row>
    <row r="324">
      <c r="A324" s="79">
        <f>IF('Ordenes_Odoo'!A324="","",'Ordenes_Odoo'!A324)</f>
        <v/>
      </c>
      <c r="B324" s="80">
        <f>IF('Ordenes_Odoo'!B324="","",'Ordenes_Odoo'!B324)</f>
        <v/>
      </c>
      <c r="C324" s="79">
        <f>IF('Ordenes_Odoo'!C324="","",'Ordenes_Odoo'!C324)</f>
        <v/>
      </c>
      <c r="D324" s="79">
        <f>IF('Ordenes_Odoo'!D324="","",'Ordenes_Odoo'!D324)</f>
        <v/>
      </c>
      <c r="E324" s="79">
        <f>IF('Ordenes_Odoo'!E324="","",'Ordenes_Odoo'!E324)</f>
        <v/>
      </c>
      <c r="F324" s="79">
        <f>IF('Ordenes_Odoo'!F324="","",'Ordenes_Odoo'!F324)</f>
        <v/>
      </c>
      <c r="G324" s="79">
        <f>IF('Ordenes_Odoo'!G324="","",'Ordenes_Odoo'!G324)</f>
        <v/>
      </c>
      <c r="H324" s="79">
        <f>IF('Ordenes_Odoo'!H324="","",'Ordenes_Odoo'!H324)</f>
        <v/>
      </c>
      <c r="I324" s="79">
        <f>IF('Ordenes_Odoo'!I324="","",'Ordenes_Odoo'!I324)</f>
        <v/>
      </c>
      <c r="J324" s="79">
        <f>IF('Ordenes_Odoo'!J324="","",'Ordenes_Odoo'!J324)</f>
        <v/>
      </c>
      <c r="K324" s="81">
        <f>IF('Ordenes_Odoo'!K324="","",'Ordenes_Odoo'!K324)</f>
        <v/>
      </c>
      <c r="L324" s="81">
        <f>IF('Ordenes_Odoo'!L324="","",'Ordenes_Odoo'!L324)</f>
        <v/>
      </c>
      <c r="M324" s="79">
        <f>IF('Ordenes_Odoo'!M324="","",'Ordenes_Odoo'!M324)</f>
        <v/>
      </c>
      <c r="N324" s="79">
        <f>IF('Ordenes_Odoo'!N324="","",'Ordenes_Odoo'!N324)</f>
        <v/>
      </c>
      <c r="O324" s="81">
        <f>IF('Ordenes_Odoo'!O324="","",'Ordenes_Odoo'!O324)</f>
        <v/>
      </c>
      <c r="P324" s="81">
        <f>IF('Ordenes_Odoo'!P324="","",'Ordenes_Odoo'!P324)</f>
        <v/>
      </c>
      <c r="Q324" s="79">
        <f>IF(A324="","",IFERROR(INDEX(Facturas_Odoo!$B:$B, MATCH(A324, Facturas_Odoo!$D:$D, 0)), "Sin Factura"))</f>
        <v/>
      </c>
      <c r="R324" s="80">
        <f>IF(Q324="Sin Factura","",IFERROR(INDEX(Facturas_Odoo!$A:$A, MATCH(Q324, Facturas_Odoo!$B:$B, 0)), ""))</f>
        <v/>
      </c>
      <c r="S324" s="79">
        <f>IF(Q324="Sin Factura","",IFERROR(_xlfn.XLOOKUP(1, (Facturas_Odoo!$D:$D=A324) * (Facturas_Odoo!$K:$K=I324), Facturas_Odoo!$L:$L, ""), ""))</f>
        <v/>
      </c>
      <c r="T324" s="81">
        <f>IF(Q324="Sin Factura",0,IFERROR(_xlfn.XLOOKUP(1, (Facturas_Odoo!$D:$D=A324) * (Facturas_Odoo!$K:$K=I324), Facturas_Odoo!$M:$M, 0), 0))</f>
        <v/>
      </c>
      <c r="U324" s="79">
        <f>IF(Q324="Sin Factura",0,IFERROR(_xlfn.XLOOKUP(1, (Facturas_Odoo!$D:$D=A324) * (Facturas_Odoo!$K:$K=I324), Facturas_Odoo!$N:$N, 0), 0))</f>
        <v/>
      </c>
      <c r="V324" s="79">
        <f>IF(Q324="Sin Factura",0,IFERROR(_xlfn.XLOOKUP(1, (Facturas_Odoo!$D:$D=A324) * (Facturas_Odoo!$K:$K=I324), Facturas_Odoo!$O:$O, 0), 0))</f>
        <v/>
      </c>
      <c r="W324" s="81">
        <f>IF(Q324="Sin Factura",0,IFERROR(_xlfn.XLOOKUP(1, (Facturas_Odoo!$D:$D=A324) * (Facturas_Odoo!$K:$K=I324), Facturas_Odoo!$Q:$Q, 0), 0))</f>
        <v/>
      </c>
      <c r="X324" s="79">
        <f>IF(OR(Q324="Sin Factura",Q324=""),"",IFERROR(INDEX(Pagos_Odoo!$B:$B, MATCH(Q324, Pagos_Odoo!$I:$I, 0)), "Sin Pago"))</f>
        <v/>
      </c>
      <c r="Y324" s="79">
        <f>IF(X324="Sin Pago","",IFERROR(INDEX(Pagos_Odoo!$C:$C, MATCH(X324, Pagos_Odoo!$B:$B, 0)), ""))</f>
        <v/>
      </c>
      <c r="Z324" s="80">
        <f>IF(X324="Sin Pago","",IFERROR(INDEX(Pagos_Odoo!$A:$A, MATCH(X324, Pagos_Odoo!$B:$B, 0)), ""))</f>
        <v/>
      </c>
      <c r="AA324" s="79">
        <f>IF(X324="Sin Pago","",IFERROR(INDEX(Pagos_Odoo!$F:$F, MATCH(X324, Pagos_Odoo!$B:$B, 0)), ""))</f>
        <v/>
      </c>
      <c r="AB324" s="81">
        <f>IF(X324="Sin Pago",0,IFERROR(INDEX(Pagos_Odoo!$E:$E, MATCH(X324, Pagos_Odoo!$B:$B, 0)), 0))</f>
        <v/>
      </c>
      <c r="AC324" s="79">
        <f>IF(X324="Sin Pago","",IFERROR(INDEX(Pagos_Odoo!$G:$G, MATCH(X324, Pagos_Odoo!$B:$B, 0)), ""))</f>
        <v/>
      </c>
      <c r="AD324" s="82" t="n">
        <v>0</v>
      </c>
      <c r="AE324" s="82" t="n"/>
      <c r="AF324" s="82" t="n"/>
      <c r="AG324" s="82">
        <f>IF(AN324="","",AD324+AE324+AF324)</f>
        <v/>
      </c>
      <c r="AH324" s="81">
        <f>IF(AN324="","",P324*(1-AG324))</f>
        <v/>
      </c>
      <c r="AI324" s="81">
        <f>IF(AN324="","",IF(Q324="Sin Factura",0,IFERROR(INDEX(Facturas_Odoo!$H:$H, MATCH(Q324, Facturas_Odoo!$B:$B, 0)), 0)*(1-AG324)))</f>
        <v/>
      </c>
      <c r="AJ324" s="81">
        <f>IF(AN324="","",_xlfn.LET(idVenta, AN324&amp;"",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24" s="81">
        <f>IF(AN324="","",AH324-AJ324)</f>
        <v/>
      </c>
      <c r="AL324" s="81">
        <f>IF(AN324="","",IF(Q324="Sin Factura","",AI324-AJ324))</f>
        <v/>
      </c>
      <c r="AM324" s="81">
        <f>IF(AN324="","",IF(Q324="Sin Factura",0,P324-IFERROR(INDEX(Facturas_Odoo!$H:$H, MATCH(Q324, Facturas_Odoo!$B:$B, 0)), 0)))</f>
        <v/>
      </c>
      <c r="AN324" s="79">
        <f>IF(AND(A324="", J324=""), "", IF(A324&lt;&gt;"", VALUE(MID(A324,2,LEN(A324))), AN323))</f>
        <v/>
      </c>
      <c r="AO324" s="79">
        <f>IF(AN324="","",IF(AD324=0,"OK",_xlfn.LET(monedaPago, IF(AA324="","USD",AA324), limitePermitido, IFERROR(VLOOKUP(monedaPago, Configuración!$A$2:$B$3, 2, FALSE), 0.15), IF(AD324&gt;limitePermitido, "ALERTA: EXCESO (" &amp; TEXT(limitePermitido, "0%") &amp; " máx)", "OK"))))</f>
        <v/>
      </c>
      <c r="AP324" s="79">
        <f>IF(AN324="","",IF(AE324=0,"OK",_xlfn.LET(fechaPago, Z324, fechaFactura, R324, diasCredito, IF(E324="Pago inmediato", 0, IFERROR(VALUE(MID(E324, 1, SEARCH(" ", E324)-1)),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24" s="79">
        <f>IF(AN324="","",IF(AND(N324&gt;0, AG324&gt;0), IF(Configuración!$K$2="NO", "ALERTA: DESCUENTO DOBLE NO PERMITIDO", "OK"), "OK"))</f>
        <v/>
      </c>
      <c r="AR324" s="79">
        <f>IF(AN324="","",IF(OR(AO324&lt;&gt;"OK", AP324&lt;&gt;"OK", AQ324&lt;&gt;"OK"), "⚠️ REVISAR", "OK"))</f>
        <v/>
      </c>
    </row>
    <row r="325">
      <c r="A325" s="79">
        <f>IF('Ordenes_Odoo'!A325="","",'Ordenes_Odoo'!A325)</f>
        <v/>
      </c>
      <c r="B325" s="80">
        <f>IF('Ordenes_Odoo'!B325="","",'Ordenes_Odoo'!B325)</f>
        <v/>
      </c>
      <c r="C325" s="79">
        <f>IF('Ordenes_Odoo'!C325="","",'Ordenes_Odoo'!C325)</f>
        <v/>
      </c>
      <c r="D325" s="79">
        <f>IF('Ordenes_Odoo'!D325="","",'Ordenes_Odoo'!D325)</f>
        <v/>
      </c>
      <c r="E325" s="79">
        <f>IF('Ordenes_Odoo'!E325="","",'Ordenes_Odoo'!E325)</f>
        <v/>
      </c>
      <c r="F325" s="79">
        <f>IF('Ordenes_Odoo'!F325="","",'Ordenes_Odoo'!F325)</f>
        <v/>
      </c>
      <c r="G325" s="79">
        <f>IF('Ordenes_Odoo'!G325="","",'Ordenes_Odoo'!G325)</f>
        <v/>
      </c>
      <c r="H325" s="79">
        <f>IF('Ordenes_Odoo'!H325="","",'Ordenes_Odoo'!H325)</f>
        <v/>
      </c>
      <c r="I325" s="79">
        <f>IF('Ordenes_Odoo'!I325="","",'Ordenes_Odoo'!I325)</f>
        <v/>
      </c>
      <c r="J325" s="79">
        <f>IF('Ordenes_Odoo'!J325="","",'Ordenes_Odoo'!J325)</f>
        <v/>
      </c>
      <c r="K325" s="81">
        <f>IF('Ordenes_Odoo'!K325="","",'Ordenes_Odoo'!K325)</f>
        <v/>
      </c>
      <c r="L325" s="81">
        <f>IF('Ordenes_Odoo'!L325="","",'Ordenes_Odoo'!L325)</f>
        <v/>
      </c>
      <c r="M325" s="79">
        <f>IF('Ordenes_Odoo'!M325="","",'Ordenes_Odoo'!M325)</f>
        <v/>
      </c>
      <c r="N325" s="79">
        <f>IF('Ordenes_Odoo'!N325="","",'Ordenes_Odoo'!N325)</f>
        <v/>
      </c>
      <c r="O325" s="81">
        <f>IF('Ordenes_Odoo'!O325="","",'Ordenes_Odoo'!O325)</f>
        <v/>
      </c>
      <c r="P325" s="81">
        <f>IF('Ordenes_Odoo'!P325="","",'Ordenes_Odoo'!P325)</f>
        <v/>
      </c>
      <c r="Q325" s="79">
        <f>IF(A325="","",IFERROR(INDEX(Facturas_Odoo!$B:$B, MATCH(A325, Facturas_Odoo!$D:$D, 0)), "Sin Factura"))</f>
        <v/>
      </c>
      <c r="R325" s="80">
        <f>IF(Q325="Sin Factura","",IFERROR(INDEX(Facturas_Odoo!$A:$A, MATCH(Q325, Facturas_Odoo!$B:$B, 0)), ""))</f>
        <v/>
      </c>
      <c r="S325" s="79">
        <f>IF(Q325="Sin Factura","",IFERROR(_xlfn.XLOOKUP(1, (Facturas_Odoo!$D:$D=A325) * (Facturas_Odoo!$K:$K=I325), Facturas_Odoo!$L:$L, ""), ""))</f>
        <v/>
      </c>
      <c r="T325" s="81">
        <f>IF(Q325="Sin Factura",0,IFERROR(_xlfn.XLOOKUP(1, (Facturas_Odoo!$D:$D=A325) * (Facturas_Odoo!$K:$K=I325), Facturas_Odoo!$M:$M, 0), 0))</f>
        <v/>
      </c>
      <c r="U325" s="79">
        <f>IF(Q325="Sin Factura",0,IFERROR(_xlfn.XLOOKUP(1, (Facturas_Odoo!$D:$D=A325) * (Facturas_Odoo!$K:$K=I325), Facturas_Odoo!$N:$N, 0), 0))</f>
        <v/>
      </c>
      <c r="V325" s="79">
        <f>IF(Q325="Sin Factura",0,IFERROR(_xlfn.XLOOKUP(1, (Facturas_Odoo!$D:$D=A325) * (Facturas_Odoo!$K:$K=I325), Facturas_Odoo!$O:$O, 0), 0))</f>
        <v/>
      </c>
      <c r="W325" s="81">
        <f>IF(Q325="Sin Factura",0,IFERROR(_xlfn.XLOOKUP(1, (Facturas_Odoo!$D:$D=A325) * (Facturas_Odoo!$K:$K=I325), Facturas_Odoo!$Q:$Q, 0), 0))</f>
        <v/>
      </c>
      <c r="X325" s="79">
        <f>IF(OR(Q325="Sin Factura",Q325=""),"",IFERROR(INDEX(Pagos_Odoo!$B:$B, MATCH(Q325, Pagos_Odoo!$I:$I, 0)), "Sin Pago"))</f>
        <v/>
      </c>
      <c r="Y325" s="79">
        <f>IF(X325="Sin Pago","",IFERROR(INDEX(Pagos_Odoo!$C:$C, MATCH(X325, Pagos_Odoo!$B:$B, 0)), ""))</f>
        <v/>
      </c>
      <c r="Z325" s="80">
        <f>IF(X325="Sin Pago","",IFERROR(INDEX(Pagos_Odoo!$A:$A, MATCH(X325, Pagos_Odoo!$B:$B, 0)), ""))</f>
        <v/>
      </c>
      <c r="AA325" s="79">
        <f>IF(X325="Sin Pago","",IFERROR(INDEX(Pagos_Odoo!$F:$F, MATCH(X325, Pagos_Odoo!$B:$B, 0)), ""))</f>
        <v/>
      </c>
      <c r="AB325" s="81">
        <f>IF(X325="Sin Pago",0,IFERROR(INDEX(Pagos_Odoo!$E:$E, MATCH(X325, Pagos_Odoo!$B:$B, 0)), 0))</f>
        <v/>
      </c>
      <c r="AC325" s="79">
        <f>IF(X325="Sin Pago","",IFERROR(INDEX(Pagos_Odoo!$G:$G, MATCH(X325, Pagos_Odoo!$B:$B, 0)), ""))</f>
        <v/>
      </c>
      <c r="AD325" s="82" t="n">
        <v>0</v>
      </c>
      <c r="AE325" s="82" t="n"/>
      <c r="AF325" s="82" t="n"/>
      <c r="AG325" s="82">
        <f>IF(AN325="","",AD325+AE325+AF325)</f>
        <v/>
      </c>
      <c r="AH325" s="81">
        <f>IF(AN325="","",P325*(1-AG325))</f>
        <v/>
      </c>
      <c r="AI325" s="81">
        <f>IF(AN325="","",IF(Q325="Sin Factura",0,IFERROR(INDEX(Facturas_Odoo!$H:$H, MATCH(Q325, Facturas_Odoo!$B:$B, 0)), 0)*(1-AG325)))</f>
        <v/>
      </c>
      <c r="AJ325" s="81">
        <f>IF(AN325="","",_xlfn.LET(idVenta, AN325&amp;"",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25" s="81">
        <f>IF(AN325="","",AH325-AJ325)</f>
        <v/>
      </c>
      <c r="AL325" s="81">
        <f>IF(AN325="","",IF(Q325="Sin Factura","",AI325-AJ325))</f>
        <v/>
      </c>
      <c r="AM325" s="81">
        <f>IF(AN325="","",IF(Q325="Sin Factura",0,P325-IFERROR(INDEX(Facturas_Odoo!$H:$H, MATCH(Q325, Facturas_Odoo!$B:$B, 0)), 0)))</f>
        <v/>
      </c>
      <c r="AN325" s="79">
        <f>IF(AND(A325="", J325=""), "", IF(A325&lt;&gt;"", VALUE(MID(A325,2,LEN(A325))), AN324))</f>
        <v/>
      </c>
      <c r="AO325" s="79">
        <f>IF(AN325="","",IF(AD325=0,"OK",_xlfn.LET(monedaPago, IF(AA325="","USD",AA325), limitePermitido, IFERROR(VLOOKUP(monedaPago, Configuración!$A$2:$B$3, 2, FALSE), 0.15), IF(AD325&gt;limitePermitido, "ALERTA: EXCESO (" &amp; TEXT(limitePermitido, "0%") &amp; " máx)", "OK"))))</f>
        <v/>
      </c>
      <c r="AP325" s="79">
        <f>IF(AN325="","",IF(AE325=0,"OK",_xlfn.LET(fechaPago, Z325, fechaFactura, R325, diasCredito, IF(E325="Pago inmediato", 0, IFERROR(VALUE(MID(E325, 1, SEARCH(" ", E325)-1)),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25" s="79">
        <f>IF(AN325="","",IF(AND(N325&gt;0, AG325&gt;0), IF(Configuración!$K$2="NO", "ALERTA: DESCUENTO DOBLE NO PERMITIDO", "OK"), "OK"))</f>
        <v/>
      </c>
      <c r="AR325" s="79">
        <f>IF(AN325="","",IF(OR(AO325&lt;&gt;"OK", AP325&lt;&gt;"OK", AQ325&lt;&gt;"OK"), "⚠️ REVISAR", "OK"))</f>
        <v/>
      </c>
    </row>
    <row r="326">
      <c r="A326" s="79">
        <f>IF('Ordenes_Odoo'!A326="","",'Ordenes_Odoo'!A326)</f>
        <v/>
      </c>
      <c r="B326" s="80">
        <f>IF('Ordenes_Odoo'!B326="","",'Ordenes_Odoo'!B326)</f>
        <v/>
      </c>
      <c r="C326" s="79">
        <f>IF('Ordenes_Odoo'!C326="","",'Ordenes_Odoo'!C326)</f>
        <v/>
      </c>
      <c r="D326" s="79">
        <f>IF('Ordenes_Odoo'!D326="","",'Ordenes_Odoo'!D326)</f>
        <v/>
      </c>
      <c r="E326" s="79">
        <f>IF('Ordenes_Odoo'!E326="","",'Ordenes_Odoo'!E326)</f>
        <v/>
      </c>
      <c r="F326" s="79">
        <f>IF('Ordenes_Odoo'!F326="","",'Ordenes_Odoo'!F326)</f>
        <v/>
      </c>
      <c r="G326" s="79">
        <f>IF('Ordenes_Odoo'!G326="","",'Ordenes_Odoo'!G326)</f>
        <v/>
      </c>
      <c r="H326" s="79">
        <f>IF('Ordenes_Odoo'!H326="","",'Ordenes_Odoo'!H326)</f>
        <v/>
      </c>
      <c r="I326" s="79">
        <f>IF('Ordenes_Odoo'!I326="","",'Ordenes_Odoo'!I326)</f>
        <v/>
      </c>
      <c r="J326" s="79">
        <f>IF('Ordenes_Odoo'!J326="","",'Ordenes_Odoo'!J326)</f>
        <v/>
      </c>
      <c r="K326" s="81">
        <f>IF('Ordenes_Odoo'!K326="","",'Ordenes_Odoo'!K326)</f>
        <v/>
      </c>
      <c r="L326" s="81">
        <f>IF('Ordenes_Odoo'!L326="","",'Ordenes_Odoo'!L326)</f>
        <v/>
      </c>
      <c r="M326" s="79">
        <f>IF('Ordenes_Odoo'!M326="","",'Ordenes_Odoo'!M326)</f>
        <v/>
      </c>
      <c r="N326" s="79">
        <f>IF('Ordenes_Odoo'!N326="","",'Ordenes_Odoo'!N326)</f>
        <v/>
      </c>
      <c r="O326" s="81">
        <f>IF('Ordenes_Odoo'!O326="","",'Ordenes_Odoo'!O326)</f>
        <v/>
      </c>
      <c r="P326" s="81">
        <f>IF('Ordenes_Odoo'!P326="","",'Ordenes_Odoo'!P326)</f>
        <v/>
      </c>
      <c r="Q326" s="79">
        <f>IF(A326="","",IFERROR(INDEX(Facturas_Odoo!$B:$B, MATCH(A326, Facturas_Odoo!$D:$D, 0)), "Sin Factura"))</f>
        <v/>
      </c>
      <c r="R326" s="80">
        <f>IF(Q326="Sin Factura","",IFERROR(INDEX(Facturas_Odoo!$A:$A, MATCH(Q326, Facturas_Odoo!$B:$B, 0)), ""))</f>
        <v/>
      </c>
      <c r="S326" s="79">
        <f>IF(Q326="Sin Factura","",IFERROR(_xlfn.XLOOKUP(1, (Facturas_Odoo!$D:$D=A326) * (Facturas_Odoo!$K:$K=I326), Facturas_Odoo!$L:$L, ""), ""))</f>
        <v/>
      </c>
      <c r="T326" s="81">
        <f>IF(Q326="Sin Factura",0,IFERROR(_xlfn.XLOOKUP(1, (Facturas_Odoo!$D:$D=A326) * (Facturas_Odoo!$K:$K=I326), Facturas_Odoo!$M:$M, 0), 0))</f>
        <v/>
      </c>
      <c r="U326" s="79">
        <f>IF(Q326="Sin Factura",0,IFERROR(_xlfn.XLOOKUP(1, (Facturas_Odoo!$D:$D=A326) * (Facturas_Odoo!$K:$K=I326), Facturas_Odoo!$N:$N, 0), 0))</f>
        <v/>
      </c>
      <c r="V326" s="79">
        <f>IF(Q326="Sin Factura",0,IFERROR(_xlfn.XLOOKUP(1, (Facturas_Odoo!$D:$D=A326) * (Facturas_Odoo!$K:$K=I326), Facturas_Odoo!$O:$O, 0), 0))</f>
        <v/>
      </c>
      <c r="W326" s="81">
        <f>IF(Q326="Sin Factura",0,IFERROR(_xlfn.XLOOKUP(1, (Facturas_Odoo!$D:$D=A326) * (Facturas_Odoo!$K:$K=I326), Facturas_Odoo!$Q:$Q, 0), 0))</f>
        <v/>
      </c>
      <c r="X326" s="79">
        <f>IF(OR(Q326="Sin Factura",Q326=""),"",IFERROR(INDEX(Pagos_Odoo!$B:$B, MATCH(Q326, Pagos_Odoo!$I:$I, 0)), "Sin Pago"))</f>
        <v/>
      </c>
      <c r="Y326" s="79">
        <f>IF(X326="Sin Pago","",IFERROR(INDEX(Pagos_Odoo!$C:$C, MATCH(X326, Pagos_Odoo!$B:$B, 0)), ""))</f>
        <v/>
      </c>
      <c r="Z326" s="80">
        <f>IF(X326="Sin Pago","",IFERROR(INDEX(Pagos_Odoo!$A:$A, MATCH(X326, Pagos_Odoo!$B:$B, 0)), ""))</f>
        <v/>
      </c>
      <c r="AA326" s="79">
        <f>IF(X326="Sin Pago","",IFERROR(INDEX(Pagos_Odoo!$F:$F, MATCH(X326, Pagos_Odoo!$B:$B, 0)), ""))</f>
        <v/>
      </c>
      <c r="AB326" s="81">
        <f>IF(X326="Sin Pago",0,IFERROR(INDEX(Pagos_Odoo!$E:$E, MATCH(X326, Pagos_Odoo!$B:$B, 0)), 0))</f>
        <v/>
      </c>
      <c r="AC326" s="79">
        <f>IF(X326="Sin Pago","",IFERROR(INDEX(Pagos_Odoo!$G:$G, MATCH(X326, Pagos_Odoo!$B:$B, 0)), ""))</f>
        <v/>
      </c>
      <c r="AD326" s="82" t="n">
        <v>0</v>
      </c>
      <c r="AE326" s="82" t="n"/>
      <c r="AF326" s="82" t="n"/>
      <c r="AG326" s="82">
        <f>IF(AN326="","",AD326+AE326+AF326)</f>
        <v/>
      </c>
      <c r="AH326" s="81">
        <f>IF(AN326="","",P326*(1-AG326))</f>
        <v/>
      </c>
      <c r="AI326" s="81">
        <f>IF(AN326="","",IF(Q326="Sin Factura",0,IFERROR(INDEX(Facturas_Odoo!$H:$H, MATCH(Q326, Facturas_Odoo!$B:$B, 0)), 0)*(1-AG326)))</f>
        <v/>
      </c>
      <c r="AJ326" s="81">
        <f>IF(AN326="","",_xlfn.LET(idVenta, AN326&amp;"",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26" s="81">
        <f>IF(AN326="","",AH326-AJ326)</f>
        <v/>
      </c>
      <c r="AL326" s="81">
        <f>IF(AN326="","",IF(Q326="Sin Factura","",AI326-AJ326))</f>
        <v/>
      </c>
      <c r="AM326" s="81">
        <f>IF(AN326="","",IF(Q326="Sin Factura",0,P326-IFERROR(INDEX(Facturas_Odoo!$H:$H, MATCH(Q326, Facturas_Odoo!$B:$B, 0)), 0)))</f>
        <v/>
      </c>
      <c r="AN326" s="79">
        <f>IF(AND(A326="", J326=""), "", IF(A326&lt;&gt;"", VALUE(MID(A326,2,LEN(A326))), AN325))</f>
        <v/>
      </c>
      <c r="AO326" s="79">
        <f>IF(AN326="","",IF(AD326=0,"OK",_xlfn.LET(monedaPago, IF(AA326="","USD",AA326), limitePermitido, IFERROR(VLOOKUP(monedaPago, Configuración!$A$2:$B$3, 2, FALSE), 0.15), IF(AD326&gt;limitePermitido, "ALERTA: EXCESO (" &amp; TEXT(limitePermitido, "0%") &amp; " máx)", "OK"))))</f>
        <v/>
      </c>
      <c r="AP326" s="79">
        <f>IF(AN326="","",IF(AE326=0,"OK",_xlfn.LET(fechaPago, Z326, fechaFactura, R326, diasCredito, IF(E326="Pago inmediato", 0, IFERROR(VALUE(MID(E326, 1, SEARCH(" ", E326)-1)),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26" s="79">
        <f>IF(AN326="","",IF(AND(N326&gt;0, AG326&gt;0), IF(Configuración!$K$2="NO", "ALERTA: DESCUENTO DOBLE NO PERMITIDO", "OK"), "OK"))</f>
        <v/>
      </c>
      <c r="AR326" s="79">
        <f>IF(AN326="","",IF(OR(AO326&lt;&gt;"OK", AP326&lt;&gt;"OK", AQ326&lt;&gt;"OK"), "⚠️ REVISAR", "OK"))</f>
        <v/>
      </c>
    </row>
    <row r="327">
      <c r="A327" s="79">
        <f>IF('Ordenes_Odoo'!A327="","",'Ordenes_Odoo'!A327)</f>
        <v/>
      </c>
      <c r="B327" s="80">
        <f>IF('Ordenes_Odoo'!B327="","",'Ordenes_Odoo'!B327)</f>
        <v/>
      </c>
      <c r="C327" s="79">
        <f>IF('Ordenes_Odoo'!C327="","",'Ordenes_Odoo'!C327)</f>
        <v/>
      </c>
      <c r="D327" s="79">
        <f>IF('Ordenes_Odoo'!D327="","",'Ordenes_Odoo'!D327)</f>
        <v/>
      </c>
      <c r="E327" s="79">
        <f>IF('Ordenes_Odoo'!E327="","",'Ordenes_Odoo'!E327)</f>
        <v/>
      </c>
      <c r="F327" s="79">
        <f>IF('Ordenes_Odoo'!F327="","",'Ordenes_Odoo'!F327)</f>
        <v/>
      </c>
      <c r="G327" s="79">
        <f>IF('Ordenes_Odoo'!G327="","",'Ordenes_Odoo'!G327)</f>
        <v/>
      </c>
      <c r="H327" s="79">
        <f>IF('Ordenes_Odoo'!H327="","",'Ordenes_Odoo'!H327)</f>
        <v/>
      </c>
      <c r="I327" s="79">
        <f>IF('Ordenes_Odoo'!I327="","",'Ordenes_Odoo'!I327)</f>
        <v/>
      </c>
      <c r="J327" s="79">
        <f>IF('Ordenes_Odoo'!J327="","",'Ordenes_Odoo'!J327)</f>
        <v/>
      </c>
      <c r="K327" s="81">
        <f>IF('Ordenes_Odoo'!K327="","",'Ordenes_Odoo'!K327)</f>
        <v/>
      </c>
      <c r="L327" s="81">
        <f>IF('Ordenes_Odoo'!L327="","",'Ordenes_Odoo'!L327)</f>
        <v/>
      </c>
      <c r="M327" s="79">
        <f>IF('Ordenes_Odoo'!M327="","",'Ordenes_Odoo'!M327)</f>
        <v/>
      </c>
      <c r="N327" s="79">
        <f>IF('Ordenes_Odoo'!N327="","",'Ordenes_Odoo'!N327)</f>
        <v/>
      </c>
      <c r="O327" s="81">
        <f>IF('Ordenes_Odoo'!O327="","",'Ordenes_Odoo'!O327)</f>
        <v/>
      </c>
      <c r="P327" s="81">
        <f>IF('Ordenes_Odoo'!P327="","",'Ordenes_Odoo'!P327)</f>
        <v/>
      </c>
      <c r="Q327" s="79">
        <f>IF(A327="","",IFERROR(INDEX(Facturas_Odoo!$B:$B, MATCH(A327, Facturas_Odoo!$D:$D, 0)), "Sin Factura"))</f>
        <v/>
      </c>
      <c r="R327" s="80">
        <f>IF(Q327="Sin Factura","",IFERROR(INDEX(Facturas_Odoo!$A:$A, MATCH(Q327, Facturas_Odoo!$B:$B, 0)), ""))</f>
        <v/>
      </c>
      <c r="S327" s="79">
        <f>IF(Q327="Sin Factura","",IFERROR(_xlfn.XLOOKUP(1, (Facturas_Odoo!$D:$D=A327) * (Facturas_Odoo!$K:$K=I327), Facturas_Odoo!$L:$L, ""), ""))</f>
        <v/>
      </c>
      <c r="T327" s="81">
        <f>IF(Q327="Sin Factura",0,IFERROR(_xlfn.XLOOKUP(1, (Facturas_Odoo!$D:$D=A327) * (Facturas_Odoo!$K:$K=I327), Facturas_Odoo!$M:$M, 0), 0))</f>
        <v/>
      </c>
      <c r="U327" s="79">
        <f>IF(Q327="Sin Factura",0,IFERROR(_xlfn.XLOOKUP(1, (Facturas_Odoo!$D:$D=A327) * (Facturas_Odoo!$K:$K=I327), Facturas_Odoo!$N:$N, 0), 0))</f>
        <v/>
      </c>
      <c r="V327" s="79">
        <f>IF(Q327="Sin Factura",0,IFERROR(_xlfn.XLOOKUP(1, (Facturas_Odoo!$D:$D=A327) * (Facturas_Odoo!$K:$K=I327), Facturas_Odoo!$O:$O, 0), 0))</f>
        <v/>
      </c>
      <c r="W327" s="81">
        <f>IF(Q327="Sin Factura",0,IFERROR(_xlfn.XLOOKUP(1, (Facturas_Odoo!$D:$D=A327) * (Facturas_Odoo!$K:$K=I327), Facturas_Odoo!$Q:$Q, 0), 0))</f>
        <v/>
      </c>
      <c r="X327" s="79">
        <f>IF(OR(Q327="Sin Factura",Q327=""),"",IFERROR(INDEX(Pagos_Odoo!$B:$B, MATCH(Q327, Pagos_Odoo!$I:$I, 0)), "Sin Pago"))</f>
        <v/>
      </c>
      <c r="Y327" s="79">
        <f>IF(X327="Sin Pago","",IFERROR(INDEX(Pagos_Odoo!$C:$C, MATCH(X327, Pagos_Odoo!$B:$B, 0)), ""))</f>
        <v/>
      </c>
      <c r="Z327" s="80">
        <f>IF(X327="Sin Pago","",IFERROR(INDEX(Pagos_Odoo!$A:$A, MATCH(X327, Pagos_Odoo!$B:$B, 0)), ""))</f>
        <v/>
      </c>
      <c r="AA327" s="79">
        <f>IF(X327="Sin Pago","",IFERROR(INDEX(Pagos_Odoo!$F:$F, MATCH(X327, Pagos_Odoo!$B:$B, 0)), ""))</f>
        <v/>
      </c>
      <c r="AB327" s="81">
        <f>IF(X327="Sin Pago",0,IFERROR(INDEX(Pagos_Odoo!$E:$E, MATCH(X327, Pagos_Odoo!$B:$B, 0)), 0))</f>
        <v/>
      </c>
      <c r="AC327" s="79">
        <f>IF(X327="Sin Pago","",IFERROR(INDEX(Pagos_Odoo!$G:$G, MATCH(X327, Pagos_Odoo!$B:$B, 0)), ""))</f>
        <v/>
      </c>
      <c r="AD327" s="82" t="n">
        <v>0</v>
      </c>
      <c r="AE327" s="82" t="n"/>
      <c r="AF327" s="82" t="n"/>
      <c r="AG327" s="82">
        <f>IF(AN327="","",AD327+AE327+AF327)</f>
        <v/>
      </c>
      <c r="AH327" s="81">
        <f>IF(AN327="","",P327*(1-AG327))</f>
        <v/>
      </c>
      <c r="AI327" s="81">
        <f>IF(AN327="","",IF(Q327="Sin Factura",0,IFERROR(INDEX(Facturas_Odoo!$H:$H, MATCH(Q327, Facturas_Odoo!$B:$B, 0)), 0)*(1-AG327)))</f>
        <v/>
      </c>
      <c r="AJ327" s="81">
        <f>IF(AN327="","",_xlfn.LET(idVenta, AN327&amp;"",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27" s="81">
        <f>IF(AN327="","",AH327-AJ327)</f>
        <v/>
      </c>
      <c r="AL327" s="81">
        <f>IF(AN327="","",IF(Q327="Sin Factura","",AI327-AJ327))</f>
        <v/>
      </c>
      <c r="AM327" s="81">
        <f>IF(AN327="","",IF(Q327="Sin Factura",0,P327-IFERROR(INDEX(Facturas_Odoo!$H:$H, MATCH(Q327, Facturas_Odoo!$B:$B, 0)), 0)))</f>
        <v/>
      </c>
      <c r="AN327" s="79">
        <f>IF(AND(A327="", J327=""), "", IF(A327&lt;&gt;"", VALUE(MID(A327,2,LEN(A327))), AN326))</f>
        <v/>
      </c>
      <c r="AO327" s="79">
        <f>IF(AN327="","",IF(AD327=0,"OK",_xlfn.LET(monedaPago, IF(AA327="","USD",AA327), limitePermitido, IFERROR(VLOOKUP(monedaPago, Configuración!$A$2:$B$3, 2, FALSE), 0.15), IF(AD327&gt;limitePermitido, "ALERTA: EXCESO (" &amp; TEXT(limitePermitido, "0%") &amp; " máx)", "OK"))))</f>
        <v/>
      </c>
      <c r="AP327" s="79">
        <f>IF(AN327="","",IF(AE327=0,"OK",_xlfn.LET(fechaPago, Z327, fechaFactura, R327, diasCredito, IF(E327="Pago inmediato", 0, IFERROR(VALUE(MID(E327, 1, SEARCH(" ", E327)-1)),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27" s="79">
        <f>IF(AN327="","",IF(AND(N327&gt;0, AG327&gt;0), IF(Configuración!$K$2="NO", "ALERTA: DESCUENTO DOBLE NO PERMITIDO", "OK"), "OK"))</f>
        <v/>
      </c>
      <c r="AR327" s="79">
        <f>IF(AN327="","",IF(OR(AO327&lt;&gt;"OK", AP327&lt;&gt;"OK", AQ327&lt;&gt;"OK"), "⚠️ REVISAR", "OK"))</f>
        <v/>
      </c>
    </row>
    <row r="328">
      <c r="A328" s="79">
        <f>IF('Ordenes_Odoo'!A328="","",'Ordenes_Odoo'!A328)</f>
        <v/>
      </c>
      <c r="B328" s="80">
        <f>IF('Ordenes_Odoo'!B328="","",'Ordenes_Odoo'!B328)</f>
        <v/>
      </c>
      <c r="C328" s="79">
        <f>IF('Ordenes_Odoo'!C328="","",'Ordenes_Odoo'!C328)</f>
        <v/>
      </c>
      <c r="D328" s="79">
        <f>IF('Ordenes_Odoo'!D328="","",'Ordenes_Odoo'!D328)</f>
        <v/>
      </c>
      <c r="E328" s="79">
        <f>IF('Ordenes_Odoo'!E328="","",'Ordenes_Odoo'!E328)</f>
        <v/>
      </c>
      <c r="F328" s="79">
        <f>IF('Ordenes_Odoo'!F328="","",'Ordenes_Odoo'!F328)</f>
        <v/>
      </c>
      <c r="G328" s="79">
        <f>IF('Ordenes_Odoo'!G328="","",'Ordenes_Odoo'!G328)</f>
        <v/>
      </c>
      <c r="H328" s="79">
        <f>IF('Ordenes_Odoo'!H328="","",'Ordenes_Odoo'!H328)</f>
        <v/>
      </c>
      <c r="I328" s="79">
        <f>IF('Ordenes_Odoo'!I328="","",'Ordenes_Odoo'!I328)</f>
        <v/>
      </c>
      <c r="J328" s="79">
        <f>IF('Ordenes_Odoo'!J328="","",'Ordenes_Odoo'!J328)</f>
        <v/>
      </c>
      <c r="K328" s="81">
        <f>IF('Ordenes_Odoo'!K328="","",'Ordenes_Odoo'!K328)</f>
        <v/>
      </c>
      <c r="L328" s="81">
        <f>IF('Ordenes_Odoo'!L328="","",'Ordenes_Odoo'!L328)</f>
        <v/>
      </c>
      <c r="M328" s="79">
        <f>IF('Ordenes_Odoo'!M328="","",'Ordenes_Odoo'!M328)</f>
        <v/>
      </c>
      <c r="N328" s="79">
        <f>IF('Ordenes_Odoo'!N328="","",'Ordenes_Odoo'!N328)</f>
        <v/>
      </c>
      <c r="O328" s="81">
        <f>IF('Ordenes_Odoo'!O328="","",'Ordenes_Odoo'!O328)</f>
        <v/>
      </c>
      <c r="P328" s="81">
        <f>IF('Ordenes_Odoo'!P328="","",'Ordenes_Odoo'!P328)</f>
        <v/>
      </c>
      <c r="Q328" s="79">
        <f>IF(A328="","",IFERROR(INDEX(Facturas_Odoo!$B:$B, MATCH(A328, Facturas_Odoo!$D:$D, 0)), "Sin Factura"))</f>
        <v/>
      </c>
      <c r="R328" s="80">
        <f>IF(Q328="Sin Factura","",IFERROR(INDEX(Facturas_Odoo!$A:$A, MATCH(Q328, Facturas_Odoo!$B:$B, 0)), ""))</f>
        <v/>
      </c>
      <c r="S328" s="79">
        <f>IF(Q328="Sin Factura","",IFERROR(_xlfn.XLOOKUP(1, (Facturas_Odoo!$D:$D=A328) * (Facturas_Odoo!$K:$K=I328), Facturas_Odoo!$L:$L, ""), ""))</f>
        <v/>
      </c>
      <c r="T328" s="81">
        <f>IF(Q328="Sin Factura",0,IFERROR(_xlfn.XLOOKUP(1, (Facturas_Odoo!$D:$D=A328) * (Facturas_Odoo!$K:$K=I328), Facturas_Odoo!$M:$M, 0), 0))</f>
        <v/>
      </c>
      <c r="U328" s="79">
        <f>IF(Q328="Sin Factura",0,IFERROR(_xlfn.XLOOKUP(1, (Facturas_Odoo!$D:$D=A328) * (Facturas_Odoo!$K:$K=I328), Facturas_Odoo!$N:$N, 0), 0))</f>
        <v/>
      </c>
      <c r="V328" s="79">
        <f>IF(Q328="Sin Factura",0,IFERROR(_xlfn.XLOOKUP(1, (Facturas_Odoo!$D:$D=A328) * (Facturas_Odoo!$K:$K=I328), Facturas_Odoo!$O:$O, 0), 0))</f>
        <v/>
      </c>
      <c r="W328" s="81">
        <f>IF(Q328="Sin Factura",0,IFERROR(_xlfn.XLOOKUP(1, (Facturas_Odoo!$D:$D=A328) * (Facturas_Odoo!$K:$K=I328), Facturas_Odoo!$Q:$Q, 0), 0))</f>
        <v/>
      </c>
      <c r="X328" s="79">
        <f>IF(OR(Q328="Sin Factura",Q328=""),"",IFERROR(INDEX(Pagos_Odoo!$B:$B, MATCH(Q328, Pagos_Odoo!$I:$I, 0)), "Sin Pago"))</f>
        <v/>
      </c>
      <c r="Y328" s="79">
        <f>IF(X328="Sin Pago","",IFERROR(INDEX(Pagos_Odoo!$C:$C, MATCH(X328, Pagos_Odoo!$B:$B, 0)), ""))</f>
        <v/>
      </c>
      <c r="Z328" s="80">
        <f>IF(X328="Sin Pago","",IFERROR(INDEX(Pagos_Odoo!$A:$A, MATCH(X328, Pagos_Odoo!$B:$B, 0)), ""))</f>
        <v/>
      </c>
      <c r="AA328" s="79">
        <f>IF(X328="Sin Pago","",IFERROR(INDEX(Pagos_Odoo!$F:$F, MATCH(X328, Pagos_Odoo!$B:$B, 0)), ""))</f>
        <v/>
      </c>
      <c r="AB328" s="81">
        <f>IF(X328="Sin Pago",0,IFERROR(INDEX(Pagos_Odoo!$E:$E, MATCH(X328, Pagos_Odoo!$B:$B, 0)), 0))</f>
        <v/>
      </c>
      <c r="AC328" s="79">
        <f>IF(X328="Sin Pago","",IFERROR(INDEX(Pagos_Odoo!$G:$G, MATCH(X328, Pagos_Odoo!$B:$B, 0)), ""))</f>
        <v/>
      </c>
      <c r="AD328" s="82" t="n">
        <v>0</v>
      </c>
      <c r="AE328" s="82" t="n"/>
      <c r="AF328" s="82" t="n"/>
      <c r="AG328" s="82">
        <f>IF(AN328="","",AD328+AE328+AF328)</f>
        <v/>
      </c>
      <c r="AH328" s="81">
        <f>IF(AN328="","",P328*(1-AG328))</f>
        <v/>
      </c>
      <c r="AI328" s="81">
        <f>IF(AN328="","",IF(Q328="Sin Factura",0,IFERROR(INDEX(Facturas_Odoo!$H:$H, MATCH(Q328, Facturas_Odoo!$B:$B, 0)), 0)*(1-AG328)))</f>
        <v/>
      </c>
      <c r="AJ328" s="81">
        <f>IF(AN328="","",_xlfn.LET(idVenta, AN328&amp;"",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28" s="81">
        <f>IF(AN328="","",AH328-AJ328)</f>
        <v/>
      </c>
      <c r="AL328" s="81">
        <f>IF(AN328="","",IF(Q328="Sin Factura","",AI328-AJ328))</f>
        <v/>
      </c>
      <c r="AM328" s="81">
        <f>IF(AN328="","",IF(Q328="Sin Factura",0,P328-IFERROR(INDEX(Facturas_Odoo!$H:$H, MATCH(Q328, Facturas_Odoo!$B:$B, 0)), 0)))</f>
        <v/>
      </c>
      <c r="AN328" s="79">
        <f>IF(AND(A328="", J328=""), "", IF(A328&lt;&gt;"", VALUE(MID(A328,2,LEN(A328))), AN327))</f>
        <v/>
      </c>
      <c r="AO328" s="79">
        <f>IF(AN328="","",IF(AD328=0,"OK",_xlfn.LET(monedaPago, IF(AA328="","USD",AA328), limitePermitido, IFERROR(VLOOKUP(monedaPago, Configuración!$A$2:$B$3, 2, FALSE), 0.15), IF(AD328&gt;limitePermitido, "ALERTA: EXCESO (" &amp; TEXT(limitePermitido, "0%") &amp; " máx)", "OK"))))</f>
        <v/>
      </c>
      <c r="AP328" s="79">
        <f>IF(AN328="","",IF(AE328=0,"OK",_xlfn.LET(fechaPago, Z328, fechaFactura, R328, diasCredito, IF(E328="Pago inmediato", 0, IFERROR(VALUE(MID(E328, 1, SEARCH(" ", E328)-1)),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28" s="79">
        <f>IF(AN328="","",IF(AND(N328&gt;0, AG328&gt;0), IF(Configuración!$K$2="NO", "ALERTA: DESCUENTO DOBLE NO PERMITIDO", "OK"), "OK"))</f>
        <v/>
      </c>
      <c r="AR328" s="79">
        <f>IF(AN328="","",IF(OR(AO328&lt;&gt;"OK", AP328&lt;&gt;"OK", AQ328&lt;&gt;"OK"), "⚠️ REVISAR", "OK"))</f>
        <v/>
      </c>
    </row>
    <row r="329">
      <c r="A329" s="79">
        <f>IF('Ordenes_Odoo'!A329="","",'Ordenes_Odoo'!A329)</f>
        <v/>
      </c>
      <c r="B329" s="80">
        <f>IF('Ordenes_Odoo'!B329="","",'Ordenes_Odoo'!B329)</f>
        <v/>
      </c>
      <c r="C329" s="79">
        <f>IF('Ordenes_Odoo'!C329="","",'Ordenes_Odoo'!C329)</f>
        <v/>
      </c>
      <c r="D329" s="79">
        <f>IF('Ordenes_Odoo'!D329="","",'Ordenes_Odoo'!D329)</f>
        <v/>
      </c>
      <c r="E329" s="79">
        <f>IF('Ordenes_Odoo'!E329="","",'Ordenes_Odoo'!E329)</f>
        <v/>
      </c>
      <c r="F329" s="79">
        <f>IF('Ordenes_Odoo'!F329="","",'Ordenes_Odoo'!F329)</f>
        <v/>
      </c>
      <c r="G329" s="79">
        <f>IF('Ordenes_Odoo'!G329="","",'Ordenes_Odoo'!G329)</f>
        <v/>
      </c>
      <c r="H329" s="79">
        <f>IF('Ordenes_Odoo'!H329="","",'Ordenes_Odoo'!H329)</f>
        <v/>
      </c>
      <c r="I329" s="79">
        <f>IF('Ordenes_Odoo'!I329="","",'Ordenes_Odoo'!I329)</f>
        <v/>
      </c>
      <c r="J329" s="79">
        <f>IF('Ordenes_Odoo'!J329="","",'Ordenes_Odoo'!J329)</f>
        <v/>
      </c>
      <c r="K329" s="81">
        <f>IF('Ordenes_Odoo'!K329="","",'Ordenes_Odoo'!K329)</f>
        <v/>
      </c>
      <c r="L329" s="81">
        <f>IF('Ordenes_Odoo'!L329="","",'Ordenes_Odoo'!L329)</f>
        <v/>
      </c>
      <c r="M329" s="79">
        <f>IF('Ordenes_Odoo'!M329="","",'Ordenes_Odoo'!M329)</f>
        <v/>
      </c>
      <c r="N329" s="79">
        <f>IF('Ordenes_Odoo'!N329="","",'Ordenes_Odoo'!N329)</f>
        <v/>
      </c>
      <c r="O329" s="81">
        <f>IF('Ordenes_Odoo'!O329="","",'Ordenes_Odoo'!O329)</f>
        <v/>
      </c>
      <c r="P329" s="81">
        <f>IF('Ordenes_Odoo'!P329="","",'Ordenes_Odoo'!P329)</f>
        <v/>
      </c>
      <c r="Q329" s="79">
        <f>IF(A329="","",IFERROR(INDEX(Facturas_Odoo!$B:$B, MATCH(A329, Facturas_Odoo!$D:$D, 0)), "Sin Factura"))</f>
        <v/>
      </c>
      <c r="R329" s="80">
        <f>IF(Q329="Sin Factura","",IFERROR(INDEX(Facturas_Odoo!$A:$A, MATCH(Q329, Facturas_Odoo!$B:$B, 0)), ""))</f>
        <v/>
      </c>
      <c r="S329" s="79">
        <f>IF(Q329="Sin Factura","",IFERROR(_xlfn.XLOOKUP(1, (Facturas_Odoo!$D:$D=A329) * (Facturas_Odoo!$K:$K=I329), Facturas_Odoo!$L:$L, ""), ""))</f>
        <v/>
      </c>
      <c r="T329" s="81">
        <f>IF(Q329="Sin Factura",0,IFERROR(_xlfn.XLOOKUP(1, (Facturas_Odoo!$D:$D=A329) * (Facturas_Odoo!$K:$K=I329), Facturas_Odoo!$M:$M, 0), 0))</f>
        <v/>
      </c>
      <c r="U329" s="79">
        <f>IF(Q329="Sin Factura",0,IFERROR(_xlfn.XLOOKUP(1, (Facturas_Odoo!$D:$D=A329) * (Facturas_Odoo!$K:$K=I329), Facturas_Odoo!$N:$N, 0), 0))</f>
        <v/>
      </c>
      <c r="V329" s="79">
        <f>IF(Q329="Sin Factura",0,IFERROR(_xlfn.XLOOKUP(1, (Facturas_Odoo!$D:$D=A329) * (Facturas_Odoo!$K:$K=I329), Facturas_Odoo!$O:$O, 0), 0))</f>
        <v/>
      </c>
      <c r="W329" s="81">
        <f>IF(Q329="Sin Factura",0,IFERROR(_xlfn.XLOOKUP(1, (Facturas_Odoo!$D:$D=A329) * (Facturas_Odoo!$K:$K=I329), Facturas_Odoo!$Q:$Q, 0), 0))</f>
        <v/>
      </c>
      <c r="X329" s="79">
        <f>IF(OR(Q329="Sin Factura",Q329=""),"",IFERROR(INDEX(Pagos_Odoo!$B:$B, MATCH(Q329, Pagos_Odoo!$I:$I, 0)), "Sin Pago"))</f>
        <v/>
      </c>
      <c r="Y329" s="79">
        <f>IF(X329="Sin Pago","",IFERROR(INDEX(Pagos_Odoo!$C:$C, MATCH(X329, Pagos_Odoo!$B:$B, 0)), ""))</f>
        <v/>
      </c>
      <c r="Z329" s="80">
        <f>IF(X329="Sin Pago","",IFERROR(INDEX(Pagos_Odoo!$A:$A, MATCH(X329, Pagos_Odoo!$B:$B, 0)), ""))</f>
        <v/>
      </c>
      <c r="AA329" s="79">
        <f>IF(X329="Sin Pago","",IFERROR(INDEX(Pagos_Odoo!$F:$F, MATCH(X329, Pagos_Odoo!$B:$B, 0)), ""))</f>
        <v/>
      </c>
      <c r="AB329" s="81">
        <f>IF(X329="Sin Pago",0,IFERROR(INDEX(Pagos_Odoo!$E:$E, MATCH(X329, Pagos_Odoo!$B:$B, 0)), 0))</f>
        <v/>
      </c>
      <c r="AC329" s="79">
        <f>IF(X329="Sin Pago","",IFERROR(INDEX(Pagos_Odoo!$G:$G, MATCH(X329, Pagos_Odoo!$B:$B, 0)), ""))</f>
        <v/>
      </c>
      <c r="AD329" s="82" t="n">
        <v>0</v>
      </c>
      <c r="AE329" s="82" t="n"/>
      <c r="AF329" s="82" t="n"/>
      <c r="AG329" s="82">
        <f>IF(AN329="","",AD329+AE329+AF329)</f>
        <v/>
      </c>
      <c r="AH329" s="81">
        <f>IF(AN329="","",P329*(1-AG329))</f>
        <v/>
      </c>
      <c r="AI329" s="81">
        <f>IF(AN329="","",IF(Q329="Sin Factura",0,IFERROR(INDEX(Facturas_Odoo!$H:$H, MATCH(Q329, Facturas_Odoo!$B:$B, 0)), 0)*(1-AG329)))</f>
        <v/>
      </c>
      <c r="AJ329" s="81">
        <f>IF(AN329="","",_xlfn.LET(idVenta, AN329&amp;"",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29" s="81">
        <f>IF(AN329="","",AH329-AJ329)</f>
        <v/>
      </c>
      <c r="AL329" s="81">
        <f>IF(AN329="","",IF(Q329="Sin Factura","",AI329-AJ329))</f>
        <v/>
      </c>
      <c r="AM329" s="81">
        <f>IF(AN329="","",IF(Q329="Sin Factura",0,P329-IFERROR(INDEX(Facturas_Odoo!$H:$H, MATCH(Q329, Facturas_Odoo!$B:$B, 0)), 0)))</f>
        <v/>
      </c>
      <c r="AN329" s="79">
        <f>IF(AND(A329="", J329=""), "", IF(A329&lt;&gt;"", VALUE(MID(A329,2,LEN(A329))), AN328))</f>
        <v/>
      </c>
      <c r="AO329" s="79">
        <f>IF(AN329="","",IF(AD329=0,"OK",_xlfn.LET(monedaPago, IF(AA329="","USD",AA329), limitePermitido, IFERROR(VLOOKUP(monedaPago, Configuración!$A$2:$B$3, 2, FALSE), 0.15), IF(AD329&gt;limitePermitido, "ALERTA: EXCESO (" &amp; TEXT(limitePermitido, "0%") &amp; " máx)", "OK"))))</f>
        <v/>
      </c>
      <c r="AP329" s="79">
        <f>IF(AN329="","",IF(AE329=0,"OK",_xlfn.LET(fechaPago, Z329, fechaFactura, R329, diasCredito, IF(E329="Pago inmediato", 0, IFERROR(VALUE(MID(E329, 1, SEARCH(" ", E329)-1)),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29" s="79">
        <f>IF(AN329="","",IF(AND(N329&gt;0, AG329&gt;0), IF(Configuración!$K$2="NO", "ALERTA: DESCUENTO DOBLE NO PERMITIDO", "OK"), "OK"))</f>
        <v/>
      </c>
      <c r="AR329" s="79">
        <f>IF(AN329="","",IF(OR(AO329&lt;&gt;"OK", AP329&lt;&gt;"OK", AQ329&lt;&gt;"OK"), "⚠️ REVISAR", "OK"))</f>
        <v/>
      </c>
    </row>
    <row r="330">
      <c r="A330" s="79">
        <f>IF('Ordenes_Odoo'!A330="","",'Ordenes_Odoo'!A330)</f>
        <v/>
      </c>
      <c r="B330" s="80">
        <f>IF('Ordenes_Odoo'!B330="","",'Ordenes_Odoo'!B330)</f>
        <v/>
      </c>
      <c r="C330" s="79">
        <f>IF('Ordenes_Odoo'!C330="","",'Ordenes_Odoo'!C330)</f>
        <v/>
      </c>
      <c r="D330" s="79">
        <f>IF('Ordenes_Odoo'!D330="","",'Ordenes_Odoo'!D330)</f>
        <v/>
      </c>
      <c r="E330" s="79">
        <f>IF('Ordenes_Odoo'!E330="","",'Ordenes_Odoo'!E330)</f>
        <v/>
      </c>
      <c r="F330" s="79">
        <f>IF('Ordenes_Odoo'!F330="","",'Ordenes_Odoo'!F330)</f>
        <v/>
      </c>
      <c r="G330" s="79">
        <f>IF('Ordenes_Odoo'!G330="","",'Ordenes_Odoo'!G330)</f>
        <v/>
      </c>
      <c r="H330" s="79">
        <f>IF('Ordenes_Odoo'!H330="","",'Ordenes_Odoo'!H330)</f>
        <v/>
      </c>
      <c r="I330" s="79">
        <f>IF('Ordenes_Odoo'!I330="","",'Ordenes_Odoo'!I330)</f>
        <v/>
      </c>
      <c r="J330" s="79">
        <f>IF('Ordenes_Odoo'!J330="","",'Ordenes_Odoo'!J330)</f>
        <v/>
      </c>
      <c r="K330" s="81">
        <f>IF('Ordenes_Odoo'!K330="","",'Ordenes_Odoo'!K330)</f>
        <v/>
      </c>
      <c r="L330" s="81">
        <f>IF('Ordenes_Odoo'!L330="","",'Ordenes_Odoo'!L330)</f>
        <v/>
      </c>
      <c r="M330" s="79">
        <f>IF('Ordenes_Odoo'!M330="","",'Ordenes_Odoo'!M330)</f>
        <v/>
      </c>
      <c r="N330" s="79">
        <f>IF('Ordenes_Odoo'!N330="","",'Ordenes_Odoo'!N330)</f>
        <v/>
      </c>
      <c r="O330" s="81">
        <f>IF('Ordenes_Odoo'!O330="","",'Ordenes_Odoo'!O330)</f>
        <v/>
      </c>
      <c r="P330" s="81">
        <f>IF('Ordenes_Odoo'!P330="","",'Ordenes_Odoo'!P330)</f>
        <v/>
      </c>
      <c r="Q330" s="79">
        <f>IF(A330="","",IFERROR(INDEX(Facturas_Odoo!$B:$B, MATCH(A330, Facturas_Odoo!$D:$D, 0)), "Sin Factura"))</f>
        <v/>
      </c>
      <c r="R330" s="80">
        <f>IF(Q330="Sin Factura","",IFERROR(INDEX(Facturas_Odoo!$A:$A, MATCH(Q330, Facturas_Odoo!$B:$B, 0)), ""))</f>
        <v/>
      </c>
      <c r="S330" s="79">
        <f>IF(Q330="Sin Factura","",IFERROR(_xlfn.XLOOKUP(1, (Facturas_Odoo!$D:$D=A330) * (Facturas_Odoo!$K:$K=I330), Facturas_Odoo!$L:$L, ""), ""))</f>
        <v/>
      </c>
      <c r="T330" s="81">
        <f>IF(Q330="Sin Factura",0,IFERROR(_xlfn.XLOOKUP(1, (Facturas_Odoo!$D:$D=A330) * (Facturas_Odoo!$K:$K=I330), Facturas_Odoo!$M:$M, 0), 0))</f>
        <v/>
      </c>
      <c r="U330" s="79">
        <f>IF(Q330="Sin Factura",0,IFERROR(_xlfn.XLOOKUP(1, (Facturas_Odoo!$D:$D=A330) * (Facturas_Odoo!$K:$K=I330), Facturas_Odoo!$N:$N, 0), 0))</f>
        <v/>
      </c>
      <c r="V330" s="79">
        <f>IF(Q330="Sin Factura",0,IFERROR(_xlfn.XLOOKUP(1, (Facturas_Odoo!$D:$D=A330) * (Facturas_Odoo!$K:$K=I330), Facturas_Odoo!$O:$O, 0), 0))</f>
        <v/>
      </c>
      <c r="W330" s="81">
        <f>IF(Q330="Sin Factura",0,IFERROR(_xlfn.XLOOKUP(1, (Facturas_Odoo!$D:$D=A330) * (Facturas_Odoo!$K:$K=I330), Facturas_Odoo!$Q:$Q, 0), 0))</f>
        <v/>
      </c>
      <c r="X330" s="79">
        <f>IF(OR(Q330="Sin Factura",Q330=""),"",IFERROR(INDEX(Pagos_Odoo!$B:$B, MATCH(Q330, Pagos_Odoo!$I:$I, 0)), "Sin Pago"))</f>
        <v/>
      </c>
      <c r="Y330" s="79">
        <f>IF(X330="Sin Pago","",IFERROR(INDEX(Pagos_Odoo!$C:$C, MATCH(X330, Pagos_Odoo!$B:$B, 0)), ""))</f>
        <v/>
      </c>
      <c r="Z330" s="80">
        <f>IF(X330="Sin Pago","",IFERROR(INDEX(Pagos_Odoo!$A:$A, MATCH(X330, Pagos_Odoo!$B:$B, 0)), ""))</f>
        <v/>
      </c>
      <c r="AA330" s="79">
        <f>IF(X330="Sin Pago","",IFERROR(INDEX(Pagos_Odoo!$F:$F, MATCH(X330, Pagos_Odoo!$B:$B, 0)), ""))</f>
        <v/>
      </c>
      <c r="AB330" s="81">
        <f>IF(X330="Sin Pago",0,IFERROR(INDEX(Pagos_Odoo!$E:$E, MATCH(X330, Pagos_Odoo!$B:$B, 0)), 0))</f>
        <v/>
      </c>
      <c r="AC330" s="79">
        <f>IF(X330="Sin Pago","",IFERROR(INDEX(Pagos_Odoo!$G:$G, MATCH(X330, Pagos_Odoo!$B:$B, 0)), ""))</f>
        <v/>
      </c>
      <c r="AD330" s="82" t="n">
        <v>0</v>
      </c>
      <c r="AE330" s="82" t="n"/>
      <c r="AF330" s="82" t="n"/>
      <c r="AG330" s="82">
        <f>IF(AN330="","",AD330+AE330+AF330)</f>
        <v/>
      </c>
      <c r="AH330" s="81">
        <f>IF(AN330="","",P330*(1-AG330))</f>
        <v/>
      </c>
      <c r="AI330" s="81">
        <f>IF(AN330="","",IF(Q330="Sin Factura",0,IFERROR(INDEX(Facturas_Odoo!$H:$H, MATCH(Q330, Facturas_Odoo!$B:$B, 0)), 0)*(1-AG330)))</f>
        <v/>
      </c>
      <c r="AJ330" s="81">
        <f>IF(AN330="","",_xlfn.LET(idVenta, AN330&amp;"",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30" s="81">
        <f>IF(AN330="","",AH330-AJ330)</f>
        <v/>
      </c>
      <c r="AL330" s="81">
        <f>IF(AN330="","",IF(Q330="Sin Factura","",AI330-AJ330))</f>
        <v/>
      </c>
      <c r="AM330" s="81">
        <f>IF(AN330="","",IF(Q330="Sin Factura",0,P330-IFERROR(INDEX(Facturas_Odoo!$H:$H, MATCH(Q330, Facturas_Odoo!$B:$B, 0)), 0)))</f>
        <v/>
      </c>
      <c r="AN330" s="79">
        <f>IF(AND(A330="", J330=""), "", IF(A330&lt;&gt;"", VALUE(MID(A330,2,LEN(A330))), AN329))</f>
        <v/>
      </c>
      <c r="AO330" s="79">
        <f>IF(AN330="","",IF(AD330=0,"OK",_xlfn.LET(monedaPago, IF(AA330="","USD",AA330), limitePermitido, IFERROR(VLOOKUP(monedaPago, Configuración!$A$2:$B$3, 2, FALSE), 0.15), IF(AD330&gt;limitePermitido, "ALERTA: EXCESO (" &amp; TEXT(limitePermitido, "0%") &amp; " máx)", "OK"))))</f>
        <v/>
      </c>
      <c r="AP330" s="79">
        <f>IF(AN330="","",IF(AE330=0,"OK",_xlfn.LET(fechaPago, Z330, fechaFactura, R330, diasCredito, IF(E330="Pago inmediato", 0, IFERROR(VALUE(MID(E330, 1, SEARCH(" ", E330)-1)),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30" s="79">
        <f>IF(AN330="","",IF(AND(N330&gt;0, AG330&gt;0), IF(Configuración!$K$2="NO", "ALERTA: DESCUENTO DOBLE NO PERMITIDO", "OK"), "OK"))</f>
        <v/>
      </c>
      <c r="AR330" s="79">
        <f>IF(AN330="","",IF(OR(AO330&lt;&gt;"OK", AP330&lt;&gt;"OK", AQ330&lt;&gt;"OK"), "⚠️ REVISAR", "OK"))</f>
        <v/>
      </c>
    </row>
    <row r="331">
      <c r="A331" s="79">
        <f>IF('Ordenes_Odoo'!A331="","",'Ordenes_Odoo'!A331)</f>
        <v/>
      </c>
      <c r="B331" s="80">
        <f>IF('Ordenes_Odoo'!B331="","",'Ordenes_Odoo'!B331)</f>
        <v/>
      </c>
      <c r="C331" s="79">
        <f>IF('Ordenes_Odoo'!C331="","",'Ordenes_Odoo'!C331)</f>
        <v/>
      </c>
      <c r="D331" s="79">
        <f>IF('Ordenes_Odoo'!D331="","",'Ordenes_Odoo'!D331)</f>
        <v/>
      </c>
      <c r="E331" s="79">
        <f>IF('Ordenes_Odoo'!E331="","",'Ordenes_Odoo'!E331)</f>
        <v/>
      </c>
      <c r="F331" s="79">
        <f>IF('Ordenes_Odoo'!F331="","",'Ordenes_Odoo'!F331)</f>
        <v/>
      </c>
      <c r="G331" s="79">
        <f>IF('Ordenes_Odoo'!G331="","",'Ordenes_Odoo'!G331)</f>
        <v/>
      </c>
      <c r="H331" s="79">
        <f>IF('Ordenes_Odoo'!H331="","",'Ordenes_Odoo'!H331)</f>
        <v/>
      </c>
      <c r="I331" s="79">
        <f>IF('Ordenes_Odoo'!I331="","",'Ordenes_Odoo'!I331)</f>
        <v/>
      </c>
      <c r="J331" s="79">
        <f>IF('Ordenes_Odoo'!J331="","",'Ordenes_Odoo'!J331)</f>
        <v/>
      </c>
      <c r="K331" s="81">
        <f>IF('Ordenes_Odoo'!K331="","",'Ordenes_Odoo'!K331)</f>
        <v/>
      </c>
      <c r="L331" s="81">
        <f>IF('Ordenes_Odoo'!L331="","",'Ordenes_Odoo'!L331)</f>
        <v/>
      </c>
      <c r="M331" s="79">
        <f>IF('Ordenes_Odoo'!M331="","",'Ordenes_Odoo'!M331)</f>
        <v/>
      </c>
      <c r="N331" s="79">
        <f>IF('Ordenes_Odoo'!N331="","",'Ordenes_Odoo'!N331)</f>
        <v/>
      </c>
      <c r="O331" s="81">
        <f>IF('Ordenes_Odoo'!O331="","",'Ordenes_Odoo'!O331)</f>
        <v/>
      </c>
      <c r="P331" s="81">
        <f>IF('Ordenes_Odoo'!P331="","",'Ordenes_Odoo'!P331)</f>
        <v/>
      </c>
      <c r="Q331" s="79">
        <f>IF(A331="","",IFERROR(INDEX(Facturas_Odoo!$B:$B, MATCH(A331, Facturas_Odoo!$D:$D, 0)), "Sin Factura"))</f>
        <v/>
      </c>
      <c r="R331" s="80">
        <f>IF(Q331="Sin Factura","",IFERROR(INDEX(Facturas_Odoo!$A:$A, MATCH(Q331, Facturas_Odoo!$B:$B, 0)), ""))</f>
        <v/>
      </c>
      <c r="S331" s="79">
        <f>IF(Q331="Sin Factura","",IFERROR(_xlfn.XLOOKUP(1, (Facturas_Odoo!$D:$D=A331) * (Facturas_Odoo!$K:$K=I331), Facturas_Odoo!$L:$L, ""), ""))</f>
        <v/>
      </c>
      <c r="T331" s="81">
        <f>IF(Q331="Sin Factura",0,IFERROR(_xlfn.XLOOKUP(1, (Facturas_Odoo!$D:$D=A331) * (Facturas_Odoo!$K:$K=I331), Facturas_Odoo!$M:$M, 0), 0))</f>
        <v/>
      </c>
      <c r="U331" s="79">
        <f>IF(Q331="Sin Factura",0,IFERROR(_xlfn.XLOOKUP(1, (Facturas_Odoo!$D:$D=A331) * (Facturas_Odoo!$K:$K=I331), Facturas_Odoo!$N:$N, 0), 0))</f>
        <v/>
      </c>
      <c r="V331" s="79">
        <f>IF(Q331="Sin Factura",0,IFERROR(_xlfn.XLOOKUP(1, (Facturas_Odoo!$D:$D=A331) * (Facturas_Odoo!$K:$K=I331), Facturas_Odoo!$O:$O, 0), 0))</f>
        <v/>
      </c>
      <c r="W331" s="81">
        <f>IF(Q331="Sin Factura",0,IFERROR(_xlfn.XLOOKUP(1, (Facturas_Odoo!$D:$D=A331) * (Facturas_Odoo!$K:$K=I331), Facturas_Odoo!$Q:$Q, 0), 0))</f>
        <v/>
      </c>
      <c r="X331" s="79">
        <f>IF(OR(Q331="Sin Factura",Q331=""),"",IFERROR(INDEX(Pagos_Odoo!$B:$B, MATCH(Q331, Pagos_Odoo!$I:$I, 0)), "Sin Pago"))</f>
        <v/>
      </c>
      <c r="Y331" s="79">
        <f>IF(X331="Sin Pago","",IFERROR(INDEX(Pagos_Odoo!$C:$C, MATCH(X331, Pagos_Odoo!$B:$B, 0)), ""))</f>
        <v/>
      </c>
      <c r="Z331" s="80">
        <f>IF(X331="Sin Pago","",IFERROR(INDEX(Pagos_Odoo!$A:$A, MATCH(X331, Pagos_Odoo!$B:$B, 0)), ""))</f>
        <v/>
      </c>
      <c r="AA331" s="79">
        <f>IF(X331="Sin Pago","",IFERROR(INDEX(Pagos_Odoo!$F:$F, MATCH(X331, Pagos_Odoo!$B:$B, 0)), ""))</f>
        <v/>
      </c>
      <c r="AB331" s="81">
        <f>IF(X331="Sin Pago",0,IFERROR(INDEX(Pagos_Odoo!$E:$E, MATCH(X331, Pagos_Odoo!$B:$B, 0)), 0))</f>
        <v/>
      </c>
      <c r="AC331" s="79">
        <f>IF(X331="Sin Pago","",IFERROR(INDEX(Pagos_Odoo!$G:$G, MATCH(X331, Pagos_Odoo!$B:$B, 0)), ""))</f>
        <v/>
      </c>
      <c r="AD331" s="82" t="n">
        <v>0</v>
      </c>
      <c r="AE331" s="82" t="n"/>
      <c r="AF331" s="82" t="n"/>
      <c r="AG331" s="82">
        <f>IF(AN331="","",AD331+AE331+AF331)</f>
        <v/>
      </c>
      <c r="AH331" s="81">
        <f>IF(AN331="","",P331*(1-AG331))</f>
        <v/>
      </c>
      <c r="AI331" s="81">
        <f>IF(AN331="","",IF(Q331="Sin Factura",0,IFERROR(INDEX(Facturas_Odoo!$H:$H, MATCH(Q331, Facturas_Odoo!$B:$B, 0)), 0)*(1-AG331)))</f>
        <v/>
      </c>
      <c r="AJ331" s="81">
        <f>IF(AN331="","",_xlfn.LET(idVenta, AN331&amp;"",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31" s="81">
        <f>IF(AN331="","",AH331-AJ331)</f>
        <v/>
      </c>
      <c r="AL331" s="81">
        <f>IF(AN331="","",IF(Q331="Sin Factura","",AI331-AJ331))</f>
        <v/>
      </c>
      <c r="AM331" s="81">
        <f>IF(AN331="","",IF(Q331="Sin Factura",0,P331-IFERROR(INDEX(Facturas_Odoo!$H:$H, MATCH(Q331, Facturas_Odoo!$B:$B, 0)), 0)))</f>
        <v/>
      </c>
      <c r="AN331" s="79">
        <f>IF(AND(A331="", J331=""), "", IF(A331&lt;&gt;"", VALUE(MID(A331,2,LEN(A331))), AN330))</f>
        <v/>
      </c>
      <c r="AO331" s="79">
        <f>IF(AN331="","",IF(AD331=0,"OK",_xlfn.LET(monedaPago, IF(AA331="","USD",AA331), limitePermitido, IFERROR(VLOOKUP(monedaPago, Configuración!$A$2:$B$3, 2, FALSE), 0.15), IF(AD331&gt;limitePermitido, "ALERTA: EXCESO (" &amp; TEXT(limitePermitido, "0%") &amp; " máx)", "OK"))))</f>
        <v/>
      </c>
      <c r="AP331" s="79">
        <f>IF(AN331="","",IF(AE331=0,"OK",_xlfn.LET(fechaPago, Z331, fechaFactura, R331, diasCredito, IF(E331="Pago inmediato", 0, IFERROR(VALUE(MID(E331, 1, SEARCH(" ", E331)-1)),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31" s="79">
        <f>IF(AN331="","",IF(AND(N331&gt;0, AG331&gt;0), IF(Configuración!$K$2="NO", "ALERTA: DESCUENTO DOBLE NO PERMITIDO", "OK"), "OK"))</f>
        <v/>
      </c>
      <c r="AR331" s="79">
        <f>IF(AN331="","",IF(OR(AO331&lt;&gt;"OK", AP331&lt;&gt;"OK", AQ331&lt;&gt;"OK"), "⚠️ REVISAR", "OK"))</f>
        <v/>
      </c>
    </row>
    <row r="332">
      <c r="A332" s="79">
        <f>IF('Ordenes_Odoo'!A332="","",'Ordenes_Odoo'!A332)</f>
        <v/>
      </c>
      <c r="B332" s="80">
        <f>IF('Ordenes_Odoo'!B332="","",'Ordenes_Odoo'!B332)</f>
        <v/>
      </c>
      <c r="C332" s="79">
        <f>IF('Ordenes_Odoo'!C332="","",'Ordenes_Odoo'!C332)</f>
        <v/>
      </c>
      <c r="D332" s="79">
        <f>IF('Ordenes_Odoo'!D332="","",'Ordenes_Odoo'!D332)</f>
        <v/>
      </c>
      <c r="E332" s="79">
        <f>IF('Ordenes_Odoo'!E332="","",'Ordenes_Odoo'!E332)</f>
        <v/>
      </c>
      <c r="F332" s="79">
        <f>IF('Ordenes_Odoo'!F332="","",'Ordenes_Odoo'!F332)</f>
        <v/>
      </c>
      <c r="G332" s="79">
        <f>IF('Ordenes_Odoo'!G332="","",'Ordenes_Odoo'!G332)</f>
        <v/>
      </c>
      <c r="H332" s="79">
        <f>IF('Ordenes_Odoo'!H332="","",'Ordenes_Odoo'!H332)</f>
        <v/>
      </c>
      <c r="I332" s="79">
        <f>IF('Ordenes_Odoo'!I332="","",'Ordenes_Odoo'!I332)</f>
        <v/>
      </c>
      <c r="J332" s="79">
        <f>IF('Ordenes_Odoo'!J332="","",'Ordenes_Odoo'!J332)</f>
        <v/>
      </c>
      <c r="K332" s="81">
        <f>IF('Ordenes_Odoo'!K332="","",'Ordenes_Odoo'!K332)</f>
        <v/>
      </c>
      <c r="L332" s="81">
        <f>IF('Ordenes_Odoo'!L332="","",'Ordenes_Odoo'!L332)</f>
        <v/>
      </c>
      <c r="M332" s="79">
        <f>IF('Ordenes_Odoo'!M332="","",'Ordenes_Odoo'!M332)</f>
        <v/>
      </c>
      <c r="N332" s="79">
        <f>IF('Ordenes_Odoo'!N332="","",'Ordenes_Odoo'!N332)</f>
        <v/>
      </c>
      <c r="O332" s="81">
        <f>IF('Ordenes_Odoo'!O332="","",'Ordenes_Odoo'!O332)</f>
        <v/>
      </c>
      <c r="P332" s="81">
        <f>IF('Ordenes_Odoo'!P332="","",'Ordenes_Odoo'!P332)</f>
        <v/>
      </c>
      <c r="Q332" s="79">
        <f>IF(A332="","",IFERROR(INDEX(Facturas_Odoo!$B:$B, MATCH(A332, Facturas_Odoo!$D:$D, 0)), "Sin Factura"))</f>
        <v/>
      </c>
      <c r="R332" s="80">
        <f>IF(Q332="Sin Factura","",IFERROR(INDEX(Facturas_Odoo!$A:$A, MATCH(Q332, Facturas_Odoo!$B:$B, 0)), ""))</f>
        <v/>
      </c>
      <c r="S332" s="79">
        <f>IF(Q332="Sin Factura","",IFERROR(_xlfn.XLOOKUP(1, (Facturas_Odoo!$D:$D=A332) * (Facturas_Odoo!$K:$K=I332), Facturas_Odoo!$L:$L, ""), ""))</f>
        <v/>
      </c>
      <c r="T332" s="81">
        <f>IF(Q332="Sin Factura",0,IFERROR(_xlfn.XLOOKUP(1, (Facturas_Odoo!$D:$D=A332) * (Facturas_Odoo!$K:$K=I332), Facturas_Odoo!$M:$M, 0), 0))</f>
        <v/>
      </c>
      <c r="U332" s="79">
        <f>IF(Q332="Sin Factura",0,IFERROR(_xlfn.XLOOKUP(1, (Facturas_Odoo!$D:$D=A332) * (Facturas_Odoo!$K:$K=I332), Facturas_Odoo!$N:$N, 0), 0))</f>
        <v/>
      </c>
      <c r="V332" s="79">
        <f>IF(Q332="Sin Factura",0,IFERROR(_xlfn.XLOOKUP(1, (Facturas_Odoo!$D:$D=A332) * (Facturas_Odoo!$K:$K=I332), Facturas_Odoo!$O:$O, 0), 0))</f>
        <v/>
      </c>
      <c r="W332" s="81">
        <f>IF(Q332="Sin Factura",0,IFERROR(_xlfn.XLOOKUP(1, (Facturas_Odoo!$D:$D=A332) * (Facturas_Odoo!$K:$K=I332), Facturas_Odoo!$Q:$Q, 0), 0))</f>
        <v/>
      </c>
      <c r="X332" s="79">
        <f>IF(OR(Q332="Sin Factura",Q332=""),"",IFERROR(INDEX(Pagos_Odoo!$B:$B, MATCH(Q332, Pagos_Odoo!$I:$I, 0)), "Sin Pago"))</f>
        <v/>
      </c>
      <c r="Y332" s="79">
        <f>IF(X332="Sin Pago","",IFERROR(INDEX(Pagos_Odoo!$C:$C, MATCH(X332, Pagos_Odoo!$B:$B, 0)), ""))</f>
        <v/>
      </c>
      <c r="Z332" s="80">
        <f>IF(X332="Sin Pago","",IFERROR(INDEX(Pagos_Odoo!$A:$A, MATCH(X332, Pagos_Odoo!$B:$B, 0)), ""))</f>
        <v/>
      </c>
      <c r="AA332" s="79">
        <f>IF(X332="Sin Pago","",IFERROR(INDEX(Pagos_Odoo!$F:$F, MATCH(X332, Pagos_Odoo!$B:$B, 0)), ""))</f>
        <v/>
      </c>
      <c r="AB332" s="81">
        <f>IF(X332="Sin Pago",0,IFERROR(INDEX(Pagos_Odoo!$E:$E, MATCH(X332, Pagos_Odoo!$B:$B, 0)), 0))</f>
        <v/>
      </c>
      <c r="AC332" s="79">
        <f>IF(X332="Sin Pago","",IFERROR(INDEX(Pagos_Odoo!$G:$G, MATCH(X332, Pagos_Odoo!$B:$B, 0)), ""))</f>
        <v/>
      </c>
      <c r="AD332" s="82" t="n">
        <v>0</v>
      </c>
      <c r="AE332" s="82" t="n"/>
      <c r="AF332" s="82" t="n"/>
      <c r="AG332" s="82">
        <f>IF(AN332="","",AD332+AE332+AF332)</f>
        <v/>
      </c>
      <c r="AH332" s="81">
        <f>IF(AN332="","",P332*(1-AG332))</f>
        <v/>
      </c>
      <c r="AI332" s="81">
        <f>IF(AN332="","",IF(Q332="Sin Factura",0,IFERROR(INDEX(Facturas_Odoo!$H:$H, MATCH(Q332, Facturas_Odoo!$B:$B, 0)), 0)*(1-AG332)))</f>
        <v/>
      </c>
      <c r="AJ332" s="81">
        <f>IF(AN332="","",_xlfn.LET(idVenta, AN332&amp;"",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32" s="81">
        <f>IF(AN332="","",AH332-AJ332)</f>
        <v/>
      </c>
      <c r="AL332" s="81">
        <f>IF(AN332="","",IF(Q332="Sin Factura","",AI332-AJ332))</f>
        <v/>
      </c>
      <c r="AM332" s="81">
        <f>IF(AN332="","",IF(Q332="Sin Factura",0,P332-IFERROR(INDEX(Facturas_Odoo!$H:$H, MATCH(Q332, Facturas_Odoo!$B:$B, 0)), 0)))</f>
        <v/>
      </c>
      <c r="AN332" s="79">
        <f>IF(AND(A332="", J332=""), "", IF(A332&lt;&gt;"", VALUE(MID(A332,2,LEN(A332))), AN331))</f>
        <v/>
      </c>
      <c r="AO332" s="79">
        <f>IF(AN332="","",IF(AD332=0,"OK",_xlfn.LET(monedaPago, IF(AA332="","USD",AA332), limitePermitido, IFERROR(VLOOKUP(monedaPago, Configuración!$A$2:$B$3, 2, FALSE), 0.15), IF(AD332&gt;limitePermitido, "ALERTA: EXCESO (" &amp; TEXT(limitePermitido, "0%") &amp; " máx)", "OK"))))</f>
        <v/>
      </c>
      <c r="AP332" s="79">
        <f>IF(AN332="","",IF(AE332=0,"OK",_xlfn.LET(fechaPago, Z332, fechaFactura, R332, diasCredito, IF(E332="Pago inmediato", 0, IFERROR(VALUE(MID(E332, 1, SEARCH(" ", E332)-1)),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32" s="79">
        <f>IF(AN332="","",IF(AND(N332&gt;0, AG332&gt;0), IF(Configuración!$K$2="NO", "ALERTA: DESCUENTO DOBLE NO PERMITIDO", "OK"), "OK"))</f>
        <v/>
      </c>
      <c r="AR332" s="79">
        <f>IF(AN332="","",IF(OR(AO332&lt;&gt;"OK", AP332&lt;&gt;"OK", AQ332&lt;&gt;"OK"), "⚠️ REVISAR", "OK"))</f>
        <v/>
      </c>
    </row>
    <row r="333">
      <c r="A333" s="79">
        <f>IF('Ordenes_Odoo'!A333="","",'Ordenes_Odoo'!A333)</f>
        <v/>
      </c>
      <c r="B333" s="80">
        <f>IF('Ordenes_Odoo'!B333="","",'Ordenes_Odoo'!B333)</f>
        <v/>
      </c>
      <c r="C333" s="79">
        <f>IF('Ordenes_Odoo'!C333="","",'Ordenes_Odoo'!C333)</f>
        <v/>
      </c>
      <c r="D333" s="79">
        <f>IF('Ordenes_Odoo'!D333="","",'Ordenes_Odoo'!D333)</f>
        <v/>
      </c>
      <c r="E333" s="79">
        <f>IF('Ordenes_Odoo'!E333="","",'Ordenes_Odoo'!E333)</f>
        <v/>
      </c>
      <c r="F333" s="79">
        <f>IF('Ordenes_Odoo'!F333="","",'Ordenes_Odoo'!F333)</f>
        <v/>
      </c>
      <c r="G333" s="79">
        <f>IF('Ordenes_Odoo'!G333="","",'Ordenes_Odoo'!G333)</f>
        <v/>
      </c>
      <c r="H333" s="79">
        <f>IF('Ordenes_Odoo'!H333="","",'Ordenes_Odoo'!H333)</f>
        <v/>
      </c>
      <c r="I333" s="79">
        <f>IF('Ordenes_Odoo'!I333="","",'Ordenes_Odoo'!I333)</f>
        <v/>
      </c>
      <c r="J333" s="79">
        <f>IF('Ordenes_Odoo'!J333="","",'Ordenes_Odoo'!J333)</f>
        <v/>
      </c>
      <c r="K333" s="81">
        <f>IF('Ordenes_Odoo'!K333="","",'Ordenes_Odoo'!K333)</f>
        <v/>
      </c>
      <c r="L333" s="81">
        <f>IF('Ordenes_Odoo'!L333="","",'Ordenes_Odoo'!L333)</f>
        <v/>
      </c>
      <c r="M333" s="79">
        <f>IF('Ordenes_Odoo'!M333="","",'Ordenes_Odoo'!M333)</f>
        <v/>
      </c>
      <c r="N333" s="79">
        <f>IF('Ordenes_Odoo'!N333="","",'Ordenes_Odoo'!N333)</f>
        <v/>
      </c>
      <c r="O333" s="81">
        <f>IF('Ordenes_Odoo'!O333="","",'Ordenes_Odoo'!O333)</f>
        <v/>
      </c>
      <c r="P333" s="81">
        <f>IF('Ordenes_Odoo'!P333="","",'Ordenes_Odoo'!P333)</f>
        <v/>
      </c>
      <c r="Q333" s="79">
        <f>IF(A333="","",IFERROR(INDEX(Facturas_Odoo!$B:$B, MATCH(A333, Facturas_Odoo!$D:$D, 0)), "Sin Factura"))</f>
        <v/>
      </c>
      <c r="R333" s="80">
        <f>IF(Q333="Sin Factura","",IFERROR(INDEX(Facturas_Odoo!$A:$A, MATCH(Q333, Facturas_Odoo!$B:$B, 0)), ""))</f>
        <v/>
      </c>
      <c r="S333" s="79">
        <f>IF(Q333="Sin Factura","",IFERROR(_xlfn.XLOOKUP(1, (Facturas_Odoo!$D:$D=A333) * (Facturas_Odoo!$K:$K=I333), Facturas_Odoo!$L:$L, ""), ""))</f>
        <v/>
      </c>
      <c r="T333" s="81">
        <f>IF(Q333="Sin Factura",0,IFERROR(_xlfn.XLOOKUP(1, (Facturas_Odoo!$D:$D=A333) * (Facturas_Odoo!$K:$K=I333), Facturas_Odoo!$M:$M, 0), 0))</f>
        <v/>
      </c>
      <c r="U333" s="79">
        <f>IF(Q333="Sin Factura",0,IFERROR(_xlfn.XLOOKUP(1, (Facturas_Odoo!$D:$D=A333) * (Facturas_Odoo!$K:$K=I333), Facturas_Odoo!$N:$N, 0), 0))</f>
        <v/>
      </c>
      <c r="V333" s="79">
        <f>IF(Q333="Sin Factura",0,IFERROR(_xlfn.XLOOKUP(1, (Facturas_Odoo!$D:$D=A333) * (Facturas_Odoo!$K:$K=I333), Facturas_Odoo!$O:$O, 0), 0))</f>
        <v/>
      </c>
      <c r="W333" s="81">
        <f>IF(Q333="Sin Factura",0,IFERROR(_xlfn.XLOOKUP(1, (Facturas_Odoo!$D:$D=A333) * (Facturas_Odoo!$K:$K=I333), Facturas_Odoo!$Q:$Q, 0), 0))</f>
        <v/>
      </c>
      <c r="X333" s="79">
        <f>IF(OR(Q333="Sin Factura",Q333=""),"",IFERROR(INDEX(Pagos_Odoo!$B:$B, MATCH(Q333, Pagos_Odoo!$I:$I, 0)), "Sin Pago"))</f>
        <v/>
      </c>
      <c r="Y333" s="79">
        <f>IF(X333="Sin Pago","",IFERROR(INDEX(Pagos_Odoo!$C:$C, MATCH(X333, Pagos_Odoo!$B:$B, 0)), ""))</f>
        <v/>
      </c>
      <c r="Z333" s="80">
        <f>IF(X333="Sin Pago","",IFERROR(INDEX(Pagos_Odoo!$A:$A, MATCH(X333, Pagos_Odoo!$B:$B, 0)), ""))</f>
        <v/>
      </c>
      <c r="AA333" s="79">
        <f>IF(X333="Sin Pago","",IFERROR(INDEX(Pagos_Odoo!$F:$F, MATCH(X333, Pagos_Odoo!$B:$B, 0)), ""))</f>
        <v/>
      </c>
      <c r="AB333" s="81">
        <f>IF(X333="Sin Pago",0,IFERROR(INDEX(Pagos_Odoo!$E:$E, MATCH(X333, Pagos_Odoo!$B:$B, 0)), 0))</f>
        <v/>
      </c>
      <c r="AC333" s="79">
        <f>IF(X333="Sin Pago","",IFERROR(INDEX(Pagos_Odoo!$G:$G, MATCH(X333, Pagos_Odoo!$B:$B, 0)), ""))</f>
        <v/>
      </c>
      <c r="AD333" s="82" t="n">
        <v>0</v>
      </c>
      <c r="AE333" s="82" t="n"/>
      <c r="AF333" s="82" t="n"/>
      <c r="AG333" s="82">
        <f>IF(AN333="","",AD333+AE333+AF333)</f>
        <v/>
      </c>
      <c r="AH333" s="81">
        <f>IF(AN333="","",P333*(1-AG333))</f>
        <v/>
      </c>
      <c r="AI333" s="81">
        <f>IF(AN333="","",IF(Q333="Sin Factura",0,IFERROR(INDEX(Facturas_Odoo!$H:$H, MATCH(Q333, Facturas_Odoo!$B:$B, 0)), 0)*(1-AG333)))</f>
        <v/>
      </c>
      <c r="AJ333" s="81">
        <f>IF(AN333="","",_xlfn.LET(idVenta, AN333&amp;"",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33" s="81">
        <f>IF(AN333="","",AH333-AJ333)</f>
        <v/>
      </c>
      <c r="AL333" s="81">
        <f>IF(AN333="","",IF(Q333="Sin Factura","",AI333-AJ333))</f>
        <v/>
      </c>
      <c r="AM333" s="81">
        <f>IF(AN333="","",IF(Q333="Sin Factura",0,P333-IFERROR(INDEX(Facturas_Odoo!$H:$H, MATCH(Q333, Facturas_Odoo!$B:$B, 0)), 0)))</f>
        <v/>
      </c>
      <c r="AN333" s="79">
        <f>IF(AND(A333="", J333=""), "", IF(A333&lt;&gt;"", VALUE(MID(A333,2,LEN(A333))), AN332))</f>
        <v/>
      </c>
      <c r="AO333" s="79">
        <f>IF(AN333="","",IF(AD333=0,"OK",_xlfn.LET(monedaPago, IF(AA333="","USD",AA333), limitePermitido, IFERROR(VLOOKUP(monedaPago, Configuración!$A$2:$B$3, 2, FALSE), 0.15), IF(AD333&gt;limitePermitido, "ALERTA: EXCESO (" &amp; TEXT(limitePermitido, "0%") &amp; " máx)", "OK"))))</f>
        <v/>
      </c>
      <c r="AP333" s="79">
        <f>IF(AN333="","",IF(AE333=0,"OK",_xlfn.LET(fechaPago, Z333, fechaFactura, R333, diasCredito, IF(E333="Pago inmediato", 0, IFERROR(VALUE(MID(E333, 1, SEARCH(" ", E333)-1)),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33" s="79">
        <f>IF(AN333="","",IF(AND(N333&gt;0, AG333&gt;0), IF(Configuración!$K$2="NO", "ALERTA: DESCUENTO DOBLE NO PERMITIDO", "OK"), "OK"))</f>
        <v/>
      </c>
      <c r="AR333" s="79">
        <f>IF(AN333="","",IF(OR(AO333&lt;&gt;"OK", AP333&lt;&gt;"OK", AQ333&lt;&gt;"OK"), "⚠️ REVISAR", "OK"))</f>
        <v/>
      </c>
    </row>
    <row r="334">
      <c r="A334" s="79">
        <f>IF('Ordenes_Odoo'!A334="","",'Ordenes_Odoo'!A334)</f>
        <v/>
      </c>
      <c r="B334" s="80">
        <f>IF('Ordenes_Odoo'!B334="","",'Ordenes_Odoo'!B334)</f>
        <v/>
      </c>
      <c r="C334" s="79">
        <f>IF('Ordenes_Odoo'!C334="","",'Ordenes_Odoo'!C334)</f>
        <v/>
      </c>
      <c r="D334" s="79">
        <f>IF('Ordenes_Odoo'!D334="","",'Ordenes_Odoo'!D334)</f>
        <v/>
      </c>
      <c r="E334" s="79">
        <f>IF('Ordenes_Odoo'!E334="","",'Ordenes_Odoo'!E334)</f>
        <v/>
      </c>
      <c r="F334" s="79">
        <f>IF('Ordenes_Odoo'!F334="","",'Ordenes_Odoo'!F334)</f>
        <v/>
      </c>
      <c r="G334" s="79">
        <f>IF('Ordenes_Odoo'!G334="","",'Ordenes_Odoo'!G334)</f>
        <v/>
      </c>
      <c r="H334" s="79">
        <f>IF('Ordenes_Odoo'!H334="","",'Ordenes_Odoo'!H334)</f>
        <v/>
      </c>
      <c r="I334" s="79">
        <f>IF('Ordenes_Odoo'!I334="","",'Ordenes_Odoo'!I334)</f>
        <v/>
      </c>
      <c r="J334" s="79">
        <f>IF('Ordenes_Odoo'!J334="","",'Ordenes_Odoo'!J334)</f>
        <v/>
      </c>
      <c r="K334" s="81">
        <f>IF('Ordenes_Odoo'!K334="","",'Ordenes_Odoo'!K334)</f>
        <v/>
      </c>
      <c r="L334" s="81">
        <f>IF('Ordenes_Odoo'!L334="","",'Ordenes_Odoo'!L334)</f>
        <v/>
      </c>
      <c r="M334" s="79">
        <f>IF('Ordenes_Odoo'!M334="","",'Ordenes_Odoo'!M334)</f>
        <v/>
      </c>
      <c r="N334" s="79">
        <f>IF('Ordenes_Odoo'!N334="","",'Ordenes_Odoo'!N334)</f>
        <v/>
      </c>
      <c r="O334" s="81">
        <f>IF('Ordenes_Odoo'!O334="","",'Ordenes_Odoo'!O334)</f>
        <v/>
      </c>
      <c r="P334" s="81">
        <f>IF('Ordenes_Odoo'!P334="","",'Ordenes_Odoo'!P334)</f>
        <v/>
      </c>
      <c r="Q334" s="79">
        <f>IF(A334="","",IFERROR(INDEX(Facturas_Odoo!$B:$B, MATCH(A334, Facturas_Odoo!$D:$D, 0)), "Sin Factura"))</f>
        <v/>
      </c>
      <c r="R334" s="80">
        <f>IF(Q334="Sin Factura","",IFERROR(INDEX(Facturas_Odoo!$A:$A, MATCH(Q334, Facturas_Odoo!$B:$B, 0)), ""))</f>
        <v/>
      </c>
      <c r="S334" s="79">
        <f>IF(Q334="Sin Factura","",IFERROR(_xlfn.XLOOKUP(1, (Facturas_Odoo!$D:$D=A334) * (Facturas_Odoo!$K:$K=I334), Facturas_Odoo!$L:$L, ""), ""))</f>
        <v/>
      </c>
      <c r="T334" s="81">
        <f>IF(Q334="Sin Factura",0,IFERROR(_xlfn.XLOOKUP(1, (Facturas_Odoo!$D:$D=A334) * (Facturas_Odoo!$K:$K=I334), Facturas_Odoo!$M:$M, 0), 0))</f>
        <v/>
      </c>
      <c r="U334" s="79">
        <f>IF(Q334="Sin Factura",0,IFERROR(_xlfn.XLOOKUP(1, (Facturas_Odoo!$D:$D=A334) * (Facturas_Odoo!$K:$K=I334), Facturas_Odoo!$N:$N, 0), 0))</f>
        <v/>
      </c>
      <c r="V334" s="79">
        <f>IF(Q334="Sin Factura",0,IFERROR(_xlfn.XLOOKUP(1, (Facturas_Odoo!$D:$D=A334) * (Facturas_Odoo!$K:$K=I334), Facturas_Odoo!$O:$O, 0), 0))</f>
        <v/>
      </c>
      <c r="W334" s="81">
        <f>IF(Q334="Sin Factura",0,IFERROR(_xlfn.XLOOKUP(1, (Facturas_Odoo!$D:$D=A334) * (Facturas_Odoo!$K:$K=I334), Facturas_Odoo!$Q:$Q, 0), 0))</f>
        <v/>
      </c>
      <c r="X334" s="79">
        <f>IF(OR(Q334="Sin Factura",Q334=""),"",IFERROR(INDEX(Pagos_Odoo!$B:$B, MATCH(Q334, Pagos_Odoo!$I:$I, 0)), "Sin Pago"))</f>
        <v/>
      </c>
      <c r="Y334" s="79">
        <f>IF(X334="Sin Pago","",IFERROR(INDEX(Pagos_Odoo!$C:$C, MATCH(X334, Pagos_Odoo!$B:$B, 0)), ""))</f>
        <v/>
      </c>
      <c r="Z334" s="80">
        <f>IF(X334="Sin Pago","",IFERROR(INDEX(Pagos_Odoo!$A:$A, MATCH(X334, Pagos_Odoo!$B:$B, 0)), ""))</f>
        <v/>
      </c>
      <c r="AA334" s="79">
        <f>IF(X334="Sin Pago","",IFERROR(INDEX(Pagos_Odoo!$F:$F, MATCH(X334, Pagos_Odoo!$B:$B, 0)), ""))</f>
        <v/>
      </c>
      <c r="AB334" s="81">
        <f>IF(X334="Sin Pago",0,IFERROR(INDEX(Pagos_Odoo!$E:$E, MATCH(X334, Pagos_Odoo!$B:$B, 0)), 0))</f>
        <v/>
      </c>
      <c r="AC334" s="79">
        <f>IF(X334="Sin Pago","",IFERROR(INDEX(Pagos_Odoo!$G:$G, MATCH(X334, Pagos_Odoo!$B:$B, 0)), ""))</f>
        <v/>
      </c>
      <c r="AD334" s="82" t="n">
        <v>0</v>
      </c>
      <c r="AE334" s="82" t="n"/>
      <c r="AF334" s="82" t="n"/>
      <c r="AG334" s="82">
        <f>IF(AN334="","",AD334+AE334+AF334)</f>
        <v/>
      </c>
      <c r="AH334" s="81">
        <f>IF(AN334="","",P334*(1-AG334))</f>
        <v/>
      </c>
      <c r="AI334" s="81">
        <f>IF(AN334="","",IF(Q334="Sin Factura",0,IFERROR(INDEX(Facturas_Odoo!$H:$H, MATCH(Q334, Facturas_Odoo!$B:$B, 0)), 0)*(1-AG334)))</f>
        <v/>
      </c>
      <c r="AJ334" s="81">
        <f>IF(AN334="","",_xlfn.LET(idVenta, AN334&amp;"",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34" s="81">
        <f>IF(AN334="","",AH334-AJ334)</f>
        <v/>
      </c>
      <c r="AL334" s="81">
        <f>IF(AN334="","",IF(Q334="Sin Factura","",AI334-AJ334))</f>
        <v/>
      </c>
      <c r="AM334" s="81">
        <f>IF(AN334="","",IF(Q334="Sin Factura",0,P334-IFERROR(INDEX(Facturas_Odoo!$H:$H, MATCH(Q334, Facturas_Odoo!$B:$B, 0)), 0)))</f>
        <v/>
      </c>
      <c r="AN334" s="79">
        <f>IF(AND(A334="", J334=""), "", IF(A334&lt;&gt;"", VALUE(MID(A334,2,LEN(A334))), AN333))</f>
        <v/>
      </c>
      <c r="AO334" s="79">
        <f>IF(AN334="","",IF(AD334=0,"OK",_xlfn.LET(monedaPago, IF(AA334="","USD",AA334), limitePermitido, IFERROR(VLOOKUP(monedaPago, Configuración!$A$2:$B$3, 2, FALSE), 0.15), IF(AD334&gt;limitePermitido, "ALERTA: EXCESO (" &amp; TEXT(limitePermitido, "0%") &amp; " máx)", "OK"))))</f>
        <v/>
      </c>
      <c r="AP334" s="79">
        <f>IF(AN334="","",IF(AE334=0,"OK",_xlfn.LET(fechaPago, Z334, fechaFactura, R334, diasCredito, IF(E334="Pago inmediato", 0, IFERROR(VALUE(MID(E334, 1, SEARCH(" ", E334)-1)),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34" s="79">
        <f>IF(AN334="","",IF(AND(N334&gt;0, AG334&gt;0), IF(Configuración!$K$2="NO", "ALERTA: DESCUENTO DOBLE NO PERMITIDO", "OK"), "OK"))</f>
        <v/>
      </c>
      <c r="AR334" s="79">
        <f>IF(AN334="","",IF(OR(AO334&lt;&gt;"OK", AP334&lt;&gt;"OK", AQ334&lt;&gt;"OK"), "⚠️ REVISAR", "OK"))</f>
        <v/>
      </c>
    </row>
    <row r="335">
      <c r="A335" s="79">
        <f>IF('Ordenes_Odoo'!A335="","",'Ordenes_Odoo'!A335)</f>
        <v/>
      </c>
      <c r="B335" s="80">
        <f>IF('Ordenes_Odoo'!B335="","",'Ordenes_Odoo'!B335)</f>
        <v/>
      </c>
      <c r="C335" s="79">
        <f>IF('Ordenes_Odoo'!C335="","",'Ordenes_Odoo'!C335)</f>
        <v/>
      </c>
      <c r="D335" s="79">
        <f>IF('Ordenes_Odoo'!D335="","",'Ordenes_Odoo'!D335)</f>
        <v/>
      </c>
      <c r="E335" s="79">
        <f>IF('Ordenes_Odoo'!E335="","",'Ordenes_Odoo'!E335)</f>
        <v/>
      </c>
      <c r="F335" s="79">
        <f>IF('Ordenes_Odoo'!F335="","",'Ordenes_Odoo'!F335)</f>
        <v/>
      </c>
      <c r="G335" s="79">
        <f>IF('Ordenes_Odoo'!G335="","",'Ordenes_Odoo'!G335)</f>
        <v/>
      </c>
      <c r="H335" s="79">
        <f>IF('Ordenes_Odoo'!H335="","",'Ordenes_Odoo'!H335)</f>
        <v/>
      </c>
      <c r="I335" s="79">
        <f>IF('Ordenes_Odoo'!I335="","",'Ordenes_Odoo'!I335)</f>
        <v/>
      </c>
      <c r="J335" s="79">
        <f>IF('Ordenes_Odoo'!J335="","",'Ordenes_Odoo'!J335)</f>
        <v/>
      </c>
      <c r="K335" s="81">
        <f>IF('Ordenes_Odoo'!K335="","",'Ordenes_Odoo'!K335)</f>
        <v/>
      </c>
      <c r="L335" s="81">
        <f>IF('Ordenes_Odoo'!L335="","",'Ordenes_Odoo'!L335)</f>
        <v/>
      </c>
      <c r="M335" s="79">
        <f>IF('Ordenes_Odoo'!M335="","",'Ordenes_Odoo'!M335)</f>
        <v/>
      </c>
      <c r="N335" s="79">
        <f>IF('Ordenes_Odoo'!N335="","",'Ordenes_Odoo'!N335)</f>
        <v/>
      </c>
      <c r="O335" s="81">
        <f>IF('Ordenes_Odoo'!O335="","",'Ordenes_Odoo'!O335)</f>
        <v/>
      </c>
      <c r="P335" s="81">
        <f>IF('Ordenes_Odoo'!P335="","",'Ordenes_Odoo'!P335)</f>
        <v/>
      </c>
      <c r="Q335" s="79">
        <f>IF(A335="","",IFERROR(INDEX(Facturas_Odoo!$B:$B, MATCH(A335, Facturas_Odoo!$D:$D, 0)), "Sin Factura"))</f>
        <v/>
      </c>
      <c r="R335" s="80">
        <f>IF(Q335="Sin Factura","",IFERROR(INDEX(Facturas_Odoo!$A:$A, MATCH(Q335, Facturas_Odoo!$B:$B, 0)), ""))</f>
        <v/>
      </c>
      <c r="S335" s="79">
        <f>IF(Q335="Sin Factura","",IFERROR(_xlfn.XLOOKUP(1, (Facturas_Odoo!$D:$D=A335) * (Facturas_Odoo!$K:$K=I335), Facturas_Odoo!$L:$L, ""), ""))</f>
        <v/>
      </c>
      <c r="T335" s="81">
        <f>IF(Q335="Sin Factura",0,IFERROR(_xlfn.XLOOKUP(1, (Facturas_Odoo!$D:$D=A335) * (Facturas_Odoo!$K:$K=I335), Facturas_Odoo!$M:$M, 0), 0))</f>
        <v/>
      </c>
      <c r="U335" s="79">
        <f>IF(Q335="Sin Factura",0,IFERROR(_xlfn.XLOOKUP(1, (Facturas_Odoo!$D:$D=A335) * (Facturas_Odoo!$K:$K=I335), Facturas_Odoo!$N:$N, 0), 0))</f>
        <v/>
      </c>
      <c r="V335" s="79">
        <f>IF(Q335="Sin Factura",0,IFERROR(_xlfn.XLOOKUP(1, (Facturas_Odoo!$D:$D=A335) * (Facturas_Odoo!$K:$K=I335), Facturas_Odoo!$O:$O, 0), 0))</f>
        <v/>
      </c>
      <c r="W335" s="81">
        <f>IF(Q335="Sin Factura",0,IFERROR(_xlfn.XLOOKUP(1, (Facturas_Odoo!$D:$D=A335) * (Facturas_Odoo!$K:$K=I335), Facturas_Odoo!$Q:$Q, 0), 0))</f>
        <v/>
      </c>
      <c r="X335" s="79">
        <f>IF(OR(Q335="Sin Factura",Q335=""),"",IFERROR(INDEX(Pagos_Odoo!$B:$B, MATCH(Q335, Pagos_Odoo!$I:$I, 0)), "Sin Pago"))</f>
        <v/>
      </c>
      <c r="Y335" s="79">
        <f>IF(X335="Sin Pago","",IFERROR(INDEX(Pagos_Odoo!$C:$C, MATCH(X335, Pagos_Odoo!$B:$B, 0)), ""))</f>
        <v/>
      </c>
      <c r="Z335" s="80">
        <f>IF(X335="Sin Pago","",IFERROR(INDEX(Pagos_Odoo!$A:$A, MATCH(X335, Pagos_Odoo!$B:$B, 0)), ""))</f>
        <v/>
      </c>
      <c r="AA335" s="79">
        <f>IF(X335="Sin Pago","",IFERROR(INDEX(Pagos_Odoo!$F:$F, MATCH(X335, Pagos_Odoo!$B:$B, 0)), ""))</f>
        <v/>
      </c>
      <c r="AB335" s="81">
        <f>IF(X335="Sin Pago",0,IFERROR(INDEX(Pagos_Odoo!$E:$E, MATCH(X335, Pagos_Odoo!$B:$B, 0)), 0))</f>
        <v/>
      </c>
      <c r="AC335" s="79">
        <f>IF(X335="Sin Pago","",IFERROR(INDEX(Pagos_Odoo!$G:$G, MATCH(X335, Pagos_Odoo!$B:$B, 0)), ""))</f>
        <v/>
      </c>
      <c r="AD335" s="82" t="n">
        <v>0</v>
      </c>
      <c r="AE335" s="82" t="n"/>
      <c r="AF335" s="82" t="n"/>
      <c r="AG335" s="82">
        <f>IF(AN335="","",AD335+AE335+AF335)</f>
        <v/>
      </c>
      <c r="AH335" s="81">
        <f>IF(AN335="","",P335*(1-AG335))</f>
        <v/>
      </c>
      <c r="AI335" s="81">
        <f>IF(AN335="","",IF(Q335="Sin Factura",0,IFERROR(INDEX(Facturas_Odoo!$H:$H, MATCH(Q335, Facturas_Odoo!$B:$B, 0)), 0)*(1-AG335)))</f>
        <v/>
      </c>
      <c r="AJ335" s="81">
        <f>IF(AN335="","",_xlfn.LET(idVenta, AN335&amp;"",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35" s="81">
        <f>IF(AN335="","",AH335-AJ335)</f>
        <v/>
      </c>
      <c r="AL335" s="81">
        <f>IF(AN335="","",IF(Q335="Sin Factura","",AI335-AJ335))</f>
        <v/>
      </c>
      <c r="AM335" s="81">
        <f>IF(AN335="","",IF(Q335="Sin Factura",0,P335-IFERROR(INDEX(Facturas_Odoo!$H:$H, MATCH(Q335, Facturas_Odoo!$B:$B, 0)), 0)))</f>
        <v/>
      </c>
      <c r="AN335" s="79">
        <f>IF(AND(A335="", J335=""), "", IF(A335&lt;&gt;"", VALUE(MID(A335,2,LEN(A335))), AN334))</f>
        <v/>
      </c>
      <c r="AO335" s="79">
        <f>IF(AN335="","",IF(AD335=0,"OK",_xlfn.LET(monedaPago, IF(AA335="","USD",AA335), limitePermitido, IFERROR(VLOOKUP(monedaPago, Configuración!$A$2:$B$3, 2, FALSE), 0.15), IF(AD335&gt;limitePermitido, "ALERTA: EXCESO (" &amp; TEXT(limitePermitido, "0%") &amp; " máx)", "OK"))))</f>
        <v/>
      </c>
      <c r="AP335" s="79">
        <f>IF(AN335="","",IF(AE335=0,"OK",_xlfn.LET(fechaPago, Z335, fechaFactura, R335, diasCredito, IF(E335="Pago inmediato", 0, IFERROR(VALUE(MID(E335, 1, SEARCH(" ", E335)-1)),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35" s="79">
        <f>IF(AN335="","",IF(AND(N335&gt;0, AG335&gt;0), IF(Configuración!$K$2="NO", "ALERTA: DESCUENTO DOBLE NO PERMITIDO", "OK"), "OK"))</f>
        <v/>
      </c>
      <c r="AR335" s="79">
        <f>IF(AN335="","",IF(OR(AO335&lt;&gt;"OK", AP335&lt;&gt;"OK", AQ335&lt;&gt;"OK"), "⚠️ REVISAR", "OK"))</f>
        <v/>
      </c>
    </row>
    <row r="336">
      <c r="A336" s="79">
        <f>IF('Ordenes_Odoo'!A336="","",'Ordenes_Odoo'!A336)</f>
        <v/>
      </c>
      <c r="B336" s="80">
        <f>IF('Ordenes_Odoo'!B336="","",'Ordenes_Odoo'!B336)</f>
        <v/>
      </c>
      <c r="C336" s="79">
        <f>IF('Ordenes_Odoo'!C336="","",'Ordenes_Odoo'!C336)</f>
        <v/>
      </c>
      <c r="D336" s="79">
        <f>IF('Ordenes_Odoo'!D336="","",'Ordenes_Odoo'!D336)</f>
        <v/>
      </c>
      <c r="E336" s="79">
        <f>IF('Ordenes_Odoo'!E336="","",'Ordenes_Odoo'!E336)</f>
        <v/>
      </c>
      <c r="F336" s="79">
        <f>IF('Ordenes_Odoo'!F336="","",'Ordenes_Odoo'!F336)</f>
        <v/>
      </c>
      <c r="G336" s="79">
        <f>IF('Ordenes_Odoo'!G336="","",'Ordenes_Odoo'!G336)</f>
        <v/>
      </c>
      <c r="H336" s="79">
        <f>IF('Ordenes_Odoo'!H336="","",'Ordenes_Odoo'!H336)</f>
        <v/>
      </c>
      <c r="I336" s="79">
        <f>IF('Ordenes_Odoo'!I336="","",'Ordenes_Odoo'!I336)</f>
        <v/>
      </c>
      <c r="J336" s="79">
        <f>IF('Ordenes_Odoo'!J336="","",'Ordenes_Odoo'!J336)</f>
        <v/>
      </c>
      <c r="K336" s="81">
        <f>IF('Ordenes_Odoo'!K336="","",'Ordenes_Odoo'!K336)</f>
        <v/>
      </c>
      <c r="L336" s="81">
        <f>IF('Ordenes_Odoo'!L336="","",'Ordenes_Odoo'!L336)</f>
        <v/>
      </c>
      <c r="M336" s="79">
        <f>IF('Ordenes_Odoo'!M336="","",'Ordenes_Odoo'!M336)</f>
        <v/>
      </c>
      <c r="N336" s="79">
        <f>IF('Ordenes_Odoo'!N336="","",'Ordenes_Odoo'!N336)</f>
        <v/>
      </c>
      <c r="O336" s="81">
        <f>IF('Ordenes_Odoo'!O336="","",'Ordenes_Odoo'!O336)</f>
        <v/>
      </c>
      <c r="P336" s="81">
        <f>IF('Ordenes_Odoo'!P336="","",'Ordenes_Odoo'!P336)</f>
        <v/>
      </c>
      <c r="Q336" s="79">
        <f>IF(A336="","",IFERROR(INDEX(Facturas_Odoo!$B:$B, MATCH(A336, Facturas_Odoo!$D:$D, 0)), "Sin Factura"))</f>
        <v/>
      </c>
      <c r="R336" s="80">
        <f>IF(Q336="Sin Factura","",IFERROR(INDEX(Facturas_Odoo!$A:$A, MATCH(Q336, Facturas_Odoo!$B:$B, 0)), ""))</f>
        <v/>
      </c>
      <c r="S336" s="79">
        <f>IF(Q336="Sin Factura","",IFERROR(_xlfn.XLOOKUP(1, (Facturas_Odoo!$D:$D=A336) * (Facturas_Odoo!$K:$K=I336), Facturas_Odoo!$L:$L, ""), ""))</f>
        <v/>
      </c>
      <c r="T336" s="81">
        <f>IF(Q336="Sin Factura",0,IFERROR(_xlfn.XLOOKUP(1, (Facturas_Odoo!$D:$D=A336) * (Facturas_Odoo!$K:$K=I336), Facturas_Odoo!$M:$M, 0), 0))</f>
        <v/>
      </c>
      <c r="U336" s="79">
        <f>IF(Q336="Sin Factura",0,IFERROR(_xlfn.XLOOKUP(1, (Facturas_Odoo!$D:$D=A336) * (Facturas_Odoo!$K:$K=I336), Facturas_Odoo!$N:$N, 0), 0))</f>
        <v/>
      </c>
      <c r="V336" s="79">
        <f>IF(Q336="Sin Factura",0,IFERROR(_xlfn.XLOOKUP(1, (Facturas_Odoo!$D:$D=A336) * (Facturas_Odoo!$K:$K=I336), Facturas_Odoo!$O:$O, 0), 0))</f>
        <v/>
      </c>
      <c r="W336" s="81">
        <f>IF(Q336="Sin Factura",0,IFERROR(_xlfn.XLOOKUP(1, (Facturas_Odoo!$D:$D=A336) * (Facturas_Odoo!$K:$K=I336), Facturas_Odoo!$Q:$Q, 0), 0))</f>
        <v/>
      </c>
      <c r="X336" s="79">
        <f>IF(OR(Q336="Sin Factura",Q336=""),"",IFERROR(INDEX(Pagos_Odoo!$B:$B, MATCH(Q336, Pagos_Odoo!$I:$I, 0)), "Sin Pago"))</f>
        <v/>
      </c>
      <c r="Y336" s="79">
        <f>IF(X336="Sin Pago","",IFERROR(INDEX(Pagos_Odoo!$C:$C, MATCH(X336, Pagos_Odoo!$B:$B, 0)), ""))</f>
        <v/>
      </c>
      <c r="Z336" s="80">
        <f>IF(X336="Sin Pago","",IFERROR(INDEX(Pagos_Odoo!$A:$A, MATCH(X336, Pagos_Odoo!$B:$B, 0)), ""))</f>
        <v/>
      </c>
      <c r="AA336" s="79">
        <f>IF(X336="Sin Pago","",IFERROR(INDEX(Pagos_Odoo!$F:$F, MATCH(X336, Pagos_Odoo!$B:$B, 0)), ""))</f>
        <v/>
      </c>
      <c r="AB336" s="81">
        <f>IF(X336="Sin Pago",0,IFERROR(INDEX(Pagos_Odoo!$E:$E, MATCH(X336, Pagos_Odoo!$B:$B, 0)), 0))</f>
        <v/>
      </c>
      <c r="AC336" s="79">
        <f>IF(X336="Sin Pago","",IFERROR(INDEX(Pagos_Odoo!$G:$G, MATCH(X336, Pagos_Odoo!$B:$B, 0)), ""))</f>
        <v/>
      </c>
      <c r="AD336" s="82" t="n">
        <v>0</v>
      </c>
      <c r="AE336" s="82" t="n"/>
      <c r="AF336" s="82" t="n"/>
      <c r="AG336" s="82">
        <f>IF(AN336="","",AD336+AE336+AF336)</f>
        <v/>
      </c>
      <c r="AH336" s="81">
        <f>IF(AN336="","",P336*(1-AG336))</f>
        <v/>
      </c>
      <c r="AI336" s="81">
        <f>IF(AN336="","",IF(Q336="Sin Factura",0,IFERROR(INDEX(Facturas_Odoo!$H:$H, MATCH(Q336, Facturas_Odoo!$B:$B, 0)), 0)*(1-AG336)))</f>
        <v/>
      </c>
      <c r="AJ336" s="81">
        <f>IF(AN336="","",_xlfn.LET(idVenta, AN336&amp;"",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36" s="81">
        <f>IF(AN336="","",AH336-AJ336)</f>
        <v/>
      </c>
      <c r="AL336" s="81">
        <f>IF(AN336="","",IF(Q336="Sin Factura","",AI336-AJ336))</f>
        <v/>
      </c>
      <c r="AM336" s="81">
        <f>IF(AN336="","",IF(Q336="Sin Factura",0,P336-IFERROR(INDEX(Facturas_Odoo!$H:$H, MATCH(Q336, Facturas_Odoo!$B:$B, 0)), 0)))</f>
        <v/>
      </c>
      <c r="AN336" s="79">
        <f>IF(AND(A336="", J336=""), "", IF(A336&lt;&gt;"", VALUE(MID(A336,2,LEN(A336))), AN335))</f>
        <v/>
      </c>
      <c r="AO336" s="79">
        <f>IF(AN336="","",IF(AD336=0,"OK",_xlfn.LET(monedaPago, IF(AA336="","USD",AA336), limitePermitido, IFERROR(VLOOKUP(monedaPago, Configuración!$A$2:$B$3, 2, FALSE), 0.15), IF(AD336&gt;limitePermitido, "ALERTA: EXCESO (" &amp; TEXT(limitePermitido, "0%") &amp; " máx)", "OK"))))</f>
        <v/>
      </c>
      <c r="AP336" s="79">
        <f>IF(AN336="","",IF(AE336=0,"OK",_xlfn.LET(fechaPago, Z336, fechaFactura, R336, diasCredito, IF(E336="Pago inmediato", 0, IFERROR(VALUE(MID(E336, 1, SEARCH(" ", E336)-1)),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36" s="79">
        <f>IF(AN336="","",IF(AND(N336&gt;0, AG336&gt;0), IF(Configuración!$K$2="NO", "ALERTA: DESCUENTO DOBLE NO PERMITIDO", "OK"), "OK"))</f>
        <v/>
      </c>
      <c r="AR336" s="79">
        <f>IF(AN336="","",IF(OR(AO336&lt;&gt;"OK", AP336&lt;&gt;"OK", AQ336&lt;&gt;"OK"), "⚠️ REVISAR", "OK"))</f>
        <v/>
      </c>
    </row>
    <row r="337">
      <c r="A337" s="79">
        <f>IF('Ordenes_Odoo'!A337="","",'Ordenes_Odoo'!A337)</f>
        <v/>
      </c>
      <c r="B337" s="80">
        <f>IF('Ordenes_Odoo'!B337="","",'Ordenes_Odoo'!B337)</f>
        <v/>
      </c>
      <c r="C337" s="79">
        <f>IF('Ordenes_Odoo'!C337="","",'Ordenes_Odoo'!C337)</f>
        <v/>
      </c>
      <c r="D337" s="79">
        <f>IF('Ordenes_Odoo'!D337="","",'Ordenes_Odoo'!D337)</f>
        <v/>
      </c>
      <c r="E337" s="79">
        <f>IF('Ordenes_Odoo'!E337="","",'Ordenes_Odoo'!E337)</f>
        <v/>
      </c>
      <c r="F337" s="79">
        <f>IF('Ordenes_Odoo'!F337="","",'Ordenes_Odoo'!F337)</f>
        <v/>
      </c>
      <c r="G337" s="79">
        <f>IF('Ordenes_Odoo'!G337="","",'Ordenes_Odoo'!G337)</f>
        <v/>
      </c>
      <c r="H337" s="79">
        <f>IF('Ordenes_Odoo'!H337="","",'Ordenes_Odoo'!H337)</f>
        <v/>
      </c>
      <c r="I337" s="79">
        <f>IF('Ordenes_Odoo'!I337="","",'Ordenes_Odoo'!I337)</f>
        <v/>
      </c>
      <c r="J337" s="79">
        <f>IF('Ordenes_Odoo'!J337="","",'Ordenes_Odoo'!J337)</f>
        <v/>
      </c>
      <c r="K337" s="81">
        <f>IF('Ordenes_Odoo'!K337="","",'Ordenes_Odoo'!K337)</f>
        <v/>
      </c>
      <c r="L337" s="81">
        <f>IF('Ordenes_Odoo'!L337="","",'Ordenes_Odoo'!L337)</f>
        <v/>
      </c>
      <c r="M337" s="79">
        <f>IF('Ordenes_Odoo'!M337="","",'Ordenes_Odoo'!M337)</f>
        <v/>
      </c>
      <c r="N337" s="79">
        <f>IF('Ordenes_Odoo'!N337="","",'Ordenes_Odoo'!N337)</f>
        <v/>
      </c>
      <c r="O337" s="81">
        <f>IF('Ordenes_Odoo'!O337="","",'Ordenes_Odoo'!O337)</f>
        <v/>
      </c>
      <c r="P337" s="81">
        <f>IF('Ordenes_Odoo'!P337="","",'Ordenes_Odoo'!P337)</f>
        <v/>
      </c>
      <c r="Q337" s="79">
        <f>IF(A337="","",IFERROR(INDEX(Facturas_Odoo!$B:$B, MATCH(A337, Facturas_Odoo!$D:$D, 0)), "Sin Factura"))</f>
        <v/>
      </c>
      <c r="R337" s="80">
        <f>IF(Q337="Sin Factura","",IFERROR(INDEX(Facturas_Odoo!$A:$A, MATCH(Q337, Facturas_Odoo!$B:$B, 0)), ""))</f>
        <v/>
      </c>
      <c r="S337" s="79">
        <f>IF(Q337="Sin Factura","",IFERROR(_xlfn.XLOOKUP(1, (Facturas_Odoo!$D:$D=A337) * (Facturas_Odoo!$K:$K=I337), Facturas_Odoo!$L:$L, ""), ""))</f>
        <v/>
      </c>
      <c r="T337" s="81">
        <f>IF(Q337="Sin Factura",0,IFERROR(_xlfn.XLOOKUP(1, (Facturas_Odoo!$D:$D=A337) * (Facturas_Odoo!$K:$K=I337), Facturas_Odoo!$M:$M, 0), 0))</f>
        <v/>
      </c>
      <c r="U337" s="79">
        <f>IF(Q337="Sin Factura",0,IFERROR(_xlfn.XLOOKUP(1, (Facturas_Odoo!$D:$D=A337) * (Facturas_Odoo!$K:$K=I337), Facturas_Odoo!$N:$N, 0), 0))</f>
        <v/>
      </c>
      <c r="V337" s="79">
        <f>IF(Q337="Sin Factura",0,IFERROR(_xlfn.XLOOKUP(1, (Facturas_Odoo!$D:$D=A337) * (Facturas_Odoo!$K:$K=I337), Facturas_Odoo!$O:$O, 0), 0))</f>
        <v/>
      </c>
      <c r="W337" s="81">
        <f>IF(Q337="Sin Factura",0,IFERROR(_xlfn.XLOOKUP(1, (Facturas_Odoo!$D:$D=A337) * (Facturas_Odoo!$K:$K=I337), Facturas_Odoo!$Q:$Q, 0), 0))</f>
        <v/>
      </c>
      <c r="X337" s="79">
        <f>IF(OR(Q337="Sin Factura",Q337=""),"",IFERROR(INDEX(Pagos_Odoo!$B:$B, MATCH(Q337, Pagos_Odoo!$I:$I, 0)), "Sin Pago"))</f>
        <v/>
      </c>
      <c r="Y337" s="79">
        <f>IF(X337="Sin Pago","",IFERROR(INDEX(Pagos_Odoo!$C:$C, MATCH(X337, Pagos_Odoo!$B:$B, 0)), ""))</f>
        <v/>
      </c>
      <c r="Z337" s="80">
        <f>IF(X337="Sin Pago","",IFERROR(INDEX(Pagos_Odoo!$A:$A, MATCH(X337, Pagos_Odoo!$B:$B, 0)), ""))</f>
        <v/>
      </c>
      <c r="AA337" s="79">
        <f>IF(X337="Sin Pago","",IFERROR(INDEX(Pagos_Odoo!$F:$F, MATCH(X337, Pagos_Odoo!$B:$B, 0)), ""))</f>
        <v/>
      </c>
      <c r="AB337" s="81">
        <f>IF(X337="Sin Pago",0,IFERROR(INDEX(Pagos_Odoo!$E:$E, MATCH(X337, Pagos_Odoo!$B:$B, 0)), 0))</f>
        <v/>
      </c>
      <c r="AC337" s="79">
        <f>IF(X337="Sin Pago","",IFERROR(INDEX(Pagos_Odoo!$G:$G, MATCH(X337, Pagos_Odoo!$B:$B, 0)), ""))</f>
        <v/>
      </c>
      <c r="AD337" s="82" t="n">
        <v>0</v>
      </c>
      <c r="AE337" s="82" t="n"/>
      <c r="AF337" s="82" t="n"/>
      <c r="AG337" s="82">
        <f>IF(AN337="","",AD337+AE337+AF337)</f>
        <v/>
      </c>
      <c r="AH337" s="81">
        <f>IF(AN337="","",P337*(1-AG337))</f>
        <v/>
      </c>
      <c r="AI337" s="81">
        <f>IF(AN337="","",IF(Q337="Sin Factura",0,IFERROR(INDEX(Facturas_Odoo!$H:$H, MATCH(Q337, Facturas_Odoo!$B:$B, 0)), 0)*(1-AG337)))</f>
        <v/>
      </c>
      <c r="AJ337" s="81">
        <f>IF(AN337="","",_xlfn.LET(idVenta, AN337&amp;"",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37" s="81">
        <f>IF(AN337="","",AH337-AJ337)</f>
        <v/>
      </c>
      <c r="AL337" s="81">
        <f>IF(AN337="","",IF(Q337="Sin Factura","",AI337-AJ337))</f>
        <v/>
      </c>
      <c r="AM337" s="81">
        <f>IF(AN337="","",IF(Q337="Sin Factura",0,P337-IFERROR(INDEX(Facturas_Odoo!$H:$H, MATCH(Q337, Facturas_Odoo!$B:$B, 0)), 0)))</f>
        <v/>
      </c>
      <c r="AN337" s="79">
        <f>IF(AND(A337="", J337=""), "", IF(A337&lt;&gt;"", VALUE(MID(A337,2,LEN(A337))), AN336))</f>
        <v/>
      </c>
      <c r="AO337" s="79">
        <f>IF(AN337="","",IF(AD337=0,"OK",_xlfn.LET(monedaPago, IF(AA337="","USD",AA337), limitePermitido, IFERROR(VLOOKUP(monedaPago, Configuración!$A$2:$B$3, 2, FALSE), 0.15), IF(AD337&gt;limitePermitido, "ALERTA: EXCESO (" &amp; TEXT(limitePermitido, "0%") &amp; " máx)", "OK"))))</f>
        <v/>
      </c>
      <c r="AP337" s="79">
        <f>IF(AN337="","",IF(AE337=0,"OK",_xlfn.LET(fechaPago, Z337, fechaFactura, R337, diasCredito, IF(E337="Pago inmediato", 0, IFERROR(VALUE(MID(E337, 1, SEARCH(" ", E337)-1)),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37" s="79">
        <f>IF(AN337="","",IF(AND(N337&gt;0, AG337&gt;0), IF(Configuración!$K$2="NO", "ALERTA: DESCUENTO DOBLE NO PERMITIDO", "OK"), "OK"))</f>
        <v/>
      </c>
      <c r="AR337" s="79">
        <f>IF(AN337="","",IF(OR(AO337&lt;&gt;"OK", AP337&lt;&gt;"OK", AQ337&lt;&gt;"OK"), "⚠️ REVISAR", "OK"))</f>
        <v/>
      </c>
    </row>
    <row r="338">
      <c r="A338" s="79">
        <f>IF('Ordenes_Odoo'!A338="","",'Ordenes_Odoo'!A338)</f>
        <v/>
      </c>
      <c r="B338" s="80">
        <f>IF('Ordenes_Odoo'!B338="","",'Ordenes_Odoo'!B338)</f>
        <v/>
      </c>
      <c r="C338" s="79">
        <f>IF('Ordenes_Odoo'!C338="","",'Ordenes_Odoo'!C338)</f>
        <v/>
      </c>
      <c r="D338" s="79">
        <f>IF('Ordenes_Odoo'!D338="","",'Ordenes_Odoo'!D338)</f>
        <v/>
      </c>
      <c r="E338" s="79">
        <f>IF('Ordenes_Odoo'!E338="","",'Ordenes_Odoo'!E338)</f>
        <v/>
      </c>
      <c r="F338" s="79">
        <f>IF('Ordenes_Odoo'!F338="","",'Ordenes_Odoo'!F338)</f>
        <v/>
      </c>
      <c r="G338" s="79">
        <f>IF('Ordenes_Odoo'!G338="","",'Ordenes_Odoo'!G338)</f>
        <v/>
      </c>
      <c r="H338" s="79">
        <f>IF('Ordenes_Odoo'!H338="","",'Ordenes_Odoo'!H338)</f>
        <v/>
      </c>
      <c r="I338" s="79">
        <f>IF('Ordenes_Odoo'!I338="","",'Ordenes_Odoo'!I338)</f>
        <v/>
      </c>
      <c r="J338" s="79">
        <f>IF('Ordenes_Odoo'!J338="","",'Ordenes_Odoo'!J338)</f>
        <v/>
      </c>
      <c r="K338" s="81">
        <f>IF('Ordenes_Odoo'!K338="","",'Ordenes_Odoo'!K338)</f>
        <v/>
      </c>
      <c r="L338" s="81">
        <f>IF('Ordenes_Odoo'!L338="","",'Ordenes_Odoo'!L338)</f>
        <v/>
      </c>
      <c r="M338" s="79">
        <f>IF('Ordenes_Odoo'!M338="","",'Ordenes_Odoo'!M338)</f>
        <v/>
      </c>
      <c r="N338" s="79">
        <f>IF('Ordenes_Odoo'!N338="","",'Ordenes_Odoo'!N338)</f>
        <v/>
      </c>
      <c r="O338" s="81">
        <f>IF('Ordenes_Odoo'!O338="","",'Ordenes_Odoo'!O338)</f>
        <v/>
      </c>
      <c r="P338" s="81">
        <f>IF('Ordenes_Odoo'!P338="","",'Ordenes_Odoo'!P338)</f>
        <v/>
      </c>
      <c r="Q338" s="79">
        <f>IF(A338="","",IFERROR(INDEX(Facturas_Odoo!$B:$B, MATCH(A338, Facturas_Odoo!$D:$D, 0)), "Sin Factura"))</f>
        <v/>
      </c>
      <c r="R338" s="80">
        <f>IF(Q338="Sin Factura","",IFERROR(INDEX(Facturas_Odoo!$A:$A, MATCH(Q338, Facturas_Odoo!$B:$B, 0)), ""))</f>
        <v/>
      </c>
      <c r="S338" s="79">
        <f>IF(Q338="Sin Factura","",IFERROR(_xlfn.XLOOKUP(1, (Facturas_Odoo!$D:$D=A338) * (Facturas_Odoo!$K:$K=I338), Facturas_Odoo!$L:$L, ""), ""))</f>
        <v/>
      </c>
      <c r="T338" s="81">
        <f>IF(Q338="Sin Factura",0,IFERROR(_xlfn.XLOOKUP(1, (Facturas_Odoo!$D:$D=A338) * (Facturas_Odoo!$K:$K=I338), Facturas_Odoo!$M:$M, 0), 0))</f>
        <v/>
      </c>
      <c r="U338" s="79">
        <f>IF(Q338="Sin Factura",0,IFERROR(_xlfn.XLOOKUP(1, (Facturas_Odoo!$D:$D=A338) * (Facturas_Odoo!$K:$K=I338), Facturas_Odoo!$N:$N, 0), 0))</f>
        <v/>
      </c>
      <c r="V338" s="79">
        <f>IF(Q338="Sin Factura",0,IFERROR(_xlfn.XLOOKUP(1, (Facturas_Odoo!$D:$D=A338) * (Facturas_Odoo!$K:$K=I338), Facturas_Odoo!$O:$O, 0), 0))</f>
        <v/>
      </c>
      <c r="W338" s="81">
        <f>IF(Q338="Sin Factura",0,IFERROR(_xlfn.XLOOKUP(1, (Facturas_Odoo!$D:$D=A338) * (Facturas_Odoo!$K:$K=I338), Facturas_Odoo!$Q:$Q, 0), 0))</f>
        <v/>
      </c>
      <c r="X338" s="79">
        <f>IF(OR(Q338="Sin Factura",Q338=""),"",IFERROR(INDEX(Pagos_Odoo!$B:$B, MATCH(Q338, Pagos_Odoo!$I:$I, 0)), "Sin Pago"))</f>
        <v/>
      </c>
      <c r="Y338" s="79">
        <f>IF(X338="Sin Pago","",IFERROR(INDEX(Pagos_Odoo!$C:$C, MATCH(X338, Pagos_Odoo!$B:$B, 0)), ""))</f>
        <v/>
      </c>
      <c r="Z338" s="80">
        <f>IF(X338="Sin Pago","",IFERROR(INDEX(Pagos_Odoo!$A:$A, MATCH(X338, Pagos_Odoo!$B:$B, 0)), ""))</f>
        <v/>
      </c>
      <c r="AA338" s="79">
        <f>IF(X338="Sin Pago","",IFERROR(INDEX(Pagos_Odoo!$F:$F, MATCH(X338, Pagos_Odoo!$B:$B, 0)), ""))</f>
        <v/>
      </c>
      <c r="AB338" s="81">
        <f>IF(X338="Sin Pago",0,IFERROR(INDEX(Pagos_Odoo!$E:$E, MATCH(X338, Pagos_Odoo!$B:$B, 0)), 0))</f>
        <v/>
      </c>
      <c r="AC338" s="79">
        <f>IF(X338="Sin Pago","",IFERROR(INDEX(Pagos_Odoo!$G:$G, MATCH(X338, Pagos_Odoo!$B:$B, 0)), ""))</f>
        <v/>
      </c>
      <c r="AD338" s="82" t="n">
        <v>0</v>
      </c>
      <c r="AE338" s="82" t="n"/>
      <c r="AF338" s="82" t="n"/>
      <c r="AG338" s="82">
        <f>IF(AN338="","",AD338+AE338+AF338)</f>
        <v/>
      </c>
      <c r="AH338" s="81">
        <f>IF(AN338="","",P338*(1-AG338))</f>
        <v/>
      </c>
      <c r="AI338" s="81">
        <f>IF(AN338="","",IF(Q338="Sin Factura",0,IFERROR(INDEX(Facturas_Odoo!$H:$H, MATCH(Q338, Facturas_Odoo!$B:$B, 0)), 0)*(1-AG338)))</f>
        <v/>
      </c>
      <c r="AJ338" s="81">
        <f>IF(AN338="","",_xlfn.LET(idVenta, AN338&amp;"",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38" s="81">
        <f>IF(AN338="","",AH338-AJ338)</f>
        <v/>
      </c>
      <c r="AL338" s="81">
        <f>IF(AN338="","",IF(Q338="Sin Factura","",AI338-AJ338))</f>
        <v/>
      </c>
      <c r="AM338" s="81">
        <f>IF(AN338="","",IF(Q338="Sin Factura",0,P338-IFERROR(INDEX(Facturas_Odoo!$H:$H, MATCH(Q338, Facturas_Odoo!$B:$B, 0)), 0)))</f>
        <v/>
      </c>
      <c r="AN338" s="79">
        <f>IF(AND(A338="", J338=""), "", IF(A338&lt;&gt;"", VALUE(MID(A338,2,LEN(A338))), AN337))</f>
        <v/>
      </c>
      <c r="AO338" s="79">
        <f>IF(AN338="","",IF(AD338=0,"OK",_xlfn.LET(monedaPago, IF(AA338="","USD",AA338), limitePermitido, IFERROR(VLOOKUP(monedaPago, Configuración!$A$2:$B$3, 2, FALSE), 0.15), IF(AD338&gt;limitePermitido, "ALERTA: EXCESO (" &amp; TEXT(limitePermitido, "0%") &amp; " máx)", "OK"))))</f>
        <v/>
      </c>
      <c r="AP338" s="79">
        <f>IF(AN338="","",IF(AE338=0,"OK",_xlfn.LET(fechaPago, Z338, fechaFactura, R338, diasCredito, IF(E338="Pago inmediato", 0, IFERROR(VALUE(MID(E338, 1, SEARCH(" ", E338)-1)),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38" s="79">
        <f>IF(AN338="","",IF(AND(N338&gt;0, AG338&gt;0), IF(Configuración!$K$2="NO", "ALERTA: DESCUENTO DOBLE NO PERMITIDO", "OK"), "OK"))</f>
        <v/>
      </c>
      <c r="AR338" s="79">
        <f>IF(AN338="","",IF(OR(AO338&lt;&gt;"OK", AP338&lt;&gt;"OK", AQ338&lt;&gt;"OK"), "⚠️ REVISAR", "OK"))</f>
        <v/>
      </c>
    </row>
    <row r="339">
      <c r="A339" s="79">
        <f>IF('Ordenes_Odoo'!A339="","",'Ordenes_Odoo'!A339)</f>
        <v/>
      </c>
      <c r="B339" s="80">
        <f>IF('Ordenes_Odoo'!B339="","",'Ordenes_Odoo'!B339)</f>
        <v/>
      </c>
      <c r="C339" s="79">
        <f>IF('Ordenes_Odoo'!C339="","",'Ordenes_Odoo'!C339)</f>
        <v/>
      </c>
      <c r="D339" s="79">
        <f>IF('Ordenes_Odoo'!D339="","",'Ordenes_Odoo'!D339)</f>
        <v/>
      </c>
      <c r="E339" s="79">
        <f>IF('Ordenes_Odoo'!E339="","",'Ordenes_Odoo'!E339)</f>
        <v/>
      </c>
      <c r="F339" s="79">
        <f>IF('Ordenes_Odoo'!F339="","",'Ordenes_Odoo'!F339)</f>
        <v/>
      </c>
      <c r="G339" s="79">
        <f>IF('Ordenes_Odoo'!G339="","",'Ordenes_Odoo'!G339)</f>
        <v/>
      </c>
      <c r="H339" s="79">
        <f>IF('Ordenes_Odoo'!H339="","",'Ordenes_Odoo'!H339)</f>
        <v/>
      </c>
      <c r="I339" s="79">
        <f>IF('Ordenes_Odoo'!I339="","",'Ordenes_Odoo'!I339)</f>
        <v/>
      </c>
      <c r="J339" s="79">
        <f>IF('Ordenes_Odoo'!J339="","",'Ordenes_Odoo'!J339)</f>
        <v/>
      </c>
      <c r="K339" s="81">
        <f>IF('Ordenes_Odoo'!K339="","",'Ordenes_Odoo'!K339)</f>
        <v/>
      </c>
      <c r="L339" s="81">
        <f>IF('Ordenes_Odoo'!L339="","",'Ordenes_Odoo'!L339)</f>
        <v/>
      </c>
      <c r="M339" s="79">
        <f>IF('Ordenes_Odoo'!M339="","",'Ordenes_Odoo'!M339)</f>
        <v/>
      </c>
      <c r="N339" s="79">
        <f>IF('Ordenes_Odoo'!N339="","",'Ordenes_Odoo'!N339)</f>
        <v/>
      </c>
      <c r="O339" s="81">
        <f>IF('Ordenes_Odoo'!O339="","",'Ordenes_Odoo'!O339)</f>
        <v/>
      </c>
      <c r="P339" s="81">
        <f>IF('Ordenes_Odoo'!P339="","",'Ordenes_Odoo'!P339)</f>
        <v/>
      </c>
      <c r="Q339" s="79">
        <f>IF(A339="","",IFERROR(INDEX(Facturas_Odoo!$B:$B, MATCH(A339, Facturas_Odoo!$D:$D, 0)), "Sin Factura"))</f>
        <v/>
      </c>
      <c r="R339" s="80">
        <f>IF(Q339="Sin Factura","",IFERROR(INDEX(Facturas_Odoo!$A:$A, MATCH(Q339, Facturas_Odoo!$B:$B, 0)), ""))</f>
        <v/>
      </c>
      <c r="S339" s="79">
        <f>IF(Q339="Sin Factura","",IFERROR(_xlfn.XLOOKUP(1, (Facturas_Odoo!$D:$D=A339) * (Facturas_Odoo!$K:$K=I339), Facturas_Odoo!$L:$L, ""), ""))</f>
        <v/>
      </c>
      <c r="T339" s="81">
        <f>IF(Q339="Sin Factura",0,IFERROR(_xlfn.XLOOKUP(1, (Facturas_Odoo!$D:$D=A339) * (Facturas_Odoo!$K:$K=I339), Facturas_Odoo!$M:$M, 0), 0))</f>
        <v/>
      </c>
      <c r="U339" s="79">
        <f>IF(Q339="Sin Factura",0,IFERROR(_xlfn.XLOOKUP(1, (Facturas_Odoo!$D:$D=A339) * (Facturas_Odoo!$K:$K=I339), Facturas_Odoo!$N:$N, 0), 0))</f>
        <v/>
      </c>
      <c r="V339" s="79">
        <f>IF(Q339="Sin Factura",0,IFERROR(_xlfn.XLOOKUP(1, (Facturas_Odoo!$D:$D=A339) * (Facturas_Odoo!$K:$K=I339), Facturas_Odoo!$O:$O, 0), 0))</f>
        <v/>
      </c>
      <c r="W339" s="81">
        <f>IF(Q339="Sin Factura",0,IFERROR(_xlfn.XLOOKUP(1, (Facturas_Odoo!$D:$D=A339) * (Facturas_Odoo!$K:$K=I339), Facturas_Odoo!$Q:$Q, 0), 0))</f>
        <v/>
      </c>
      <c r="X339" s="79">
        <f>IF(OR(Q339="Sin Factura",Q339=""),"",IFERROR(INDEX(Pagos_Odoo!$B:$B, MATCH(Q339, Pagos_Odoo!$I:$I, 0)), "Sin Pago"))</f>
        <v/>
      </c>
      <c r="Y339" s="79">
        <f>IF(X339="Sin Pago","",IFERROR(INDEX(Pagos_Odoo!$C:$C, MATCH(X339, Pagos_Odoo!$B:$B, 0)), ""))</f>
        <v/>
      </c>
      <c r="Z339" s="80">
        <f>IF(X339="Sin Pago","",IFERROR(INDEX(Pagos_Odoo!$A:$A, MATCH(X339, Pagos_Odoo!$B:$B, 0)), ""))</f>
        <v/>
      </c>
      <c r="AA339" s="79">
        <f>IF(X339="Sin Pago","",IFERROR(INDEX(Pagos_Odoo!$F:$F, MATCH(X339, Pagos_Odoo!$B:$B, 0)), ""))</f>
        <v/>
      </c>
      <c r="AB339" s="81">
        <f>IF(X339="Sin Pago",0,IFERROR(INDEX(Pagos_Odoo!$E:$E, MATCH(X339, Pagos_Odoo!$B:$B, 0)), 0))</f>
        <v/>
      </c>
      <c r="AC339" s="79">
        <f>IF(X339="Sin Pago","",IFERROR(INDEX(Pagos_Odoo!$G:$G, MATCH(X339, Pagos_Odoo!$B:$B, 0)), ""))</f>
        <v/>
      </c>
      <c r="AD339" s="82" t="n">
        <v>0</v>
      </c>
      <c r="AE339" s="82" t="n"/>
      <c r="AF339" s="82" t="n"/>
      <c r="AG339" s="82">
        <f>IF(AN339="","",AD339+AE339+AF339)</f>
        <v/>
      </c>
      <c r="AH339" s="81">
        <f>IF(AN339="","",P339*(1-AG339))</f>
        <v/>
      </c>
      <c r="AI339" s="81">
        <f>IF(AN339="","",IF(Q339="Sin Factura",0,IFERROR(INDEX(Facturas_Odoo!$H:$H, MATCH(Q339, Facturas_Odoo!$B:$B, 0)), 0)*(1-AG339)))</f>
        <v/>
      </c>
      <c r="AJ339" s="81">
        <f>IF(AN339="","",_xlfn.LET(idVenta, AN339&amp;"",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39" s="81">
        <f>IF(AN339="","",AH339-AJ339)</f>
        <v/>
      </c>
      <c r="AL339" s="81">
        <f>IF(AN339="","",IF(Q339="Sin Factura","",AI339-AJ339))</f>
        <v/>
      </c>
      <c r="AM339" s="81">
        <f>IF(AN339="","",IF(Q339="Sin Factura",0,P339-IFERROR(INDEX(Facturas_Odoo!$H:$H, MATCH(Q339, Facturas_Odoo!$B:$B, 0)), 0)))</f>
        <v/>
      </c>
      <c r="AN339" s="79">
        <f>IF(AND(A339="", J339=""), "", IF(A339&lt;&gt;"", VALUE(MID(A339,2,LEN(A339))), AN338))</f>
        <v/>
      </c>
      <c r="AO339" s="79">
        <f>IF(AN339="","",IF(AD339=0,"OK",_xlfn.LET(monedaPago, IF(AA339="","USD",AA339), limitePermitido, IFERROR(VLOOKUP(monedaPago, Configuración!$A$2:$B$3, 2, FALSE), 0.15), IF(AD339&gt;limitePermitido, "ALERTA: EXCESO (" &amp; TEXT(limitePermitido, "0%") &amp; " máx)", "OK"))))</f>
        <v/>
      </c>
      <c r="AP339" s="79">
        <f>IF(AN339="","",IF(AE339=0,"OK",_xlfn.LET(fechaPago, Z339, fechaFactura, R339, diasCredito, IF(E339="Pago inmediato", 0, IFERROR(VALUE(MID(E339, 1, SEARCH(" ", E339)-1)),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39" s="79">
        <f>IF(AN339="","",IF(AND(N339&gt;0, AG339&gt;0), IF(Configuración!$K$2="NO", "ALERTA: DESCUENTO DOBLE NO PERMITIDO", "OK"), "OK"))</f>
        <v/>
      </c>
      <c r="AR339" s="79">
        <f>IF(AN339="","",IF(OR(AO339&lt;&gt;"OK", AP339&lt;&gt;"OK", AQ339&lt;&gt;"OK"), "⚠️ REVISAR", "OK"))</f>
        <v/>
      </c>
    </row>
    <row r="340">
      <c r="A340" s="79">
        <f>IF('Ordenes_Odoo'!A340="","",'Ordenes_Odoo'!A340)</f>
        <v/>
      </c>
      <c r="B340" s="80">
        <f>IF('Ordenes_Odoo'!B340="","",'Ordenes_Odoo'!B340)</f>
        <v/>
      </c>
      <c r="C340" s="79">
        <f>IF('Ordenes_Odoo'!C340="","",'Ordenes_Odoo'!C340)</f>
        <v/>
      </c>
      <c r="D340" s="79">
        <f>IF('Ordenes_Odoo'!D340="","",'Ordenes_Odoo'!D340)</f>
        <v/>
      </c>
      <c r="E340" s="79">
        <f>IF('Ordenes_Odoo'!E340="","",'Ordenes_Odoo'!E340)</f>
        <v/>
      </c>
      <c r="F340" s="79">
        <f>IF('Ordenes_Odoo'!F340="","",'Ordenes_Odoo'!F340)</f>
        <v/>
      </c>
      <c r="G340" s="79">
        <f>IF('Ordenes_Odoo'!G340="","",'Ordenes_Odoo'!G340)</f>
        <v/>
      </c>
      <c r="H340" s="79">
        <f>IF('Ordenes_Odoo'!H340="","",'Ordenes_Odoo'!H340)</f>
        <v/>
      </c>
      <c r="I340" s="79">
        <f>IF('Ordenes_Odoo'!I340="","",'Ordenes_Odoo'!I340)</f>
        <v/>
      </c>
      <c r="J340" s="79">
        <f>IF('Ordenes_Odoo'!J340="","",'Ordenes_Odoo'!J340)</f>
        <v/>
      </c>
      <c r="K340" s="81">
        <f>IF('Ordenes_Odoo'!K340="","",'Ordenes_Odoo'!K340)</f>
        <v/>
      </c>
      <c r="L340" s="81">
        <f>IF('Ordenes_Odoo'!L340="","",'Ordenes_Odoo'!L340)</f>
        <v/>
      </c>
      <c r="M340" s="79">
        <f>IF('Ordenes_Odoo'!M340="","",'Ordenes_Odoo'!M340)</f>
        <v/>
      </c>
      <c r="N340" s="79">
        <f>IF('Ordenes_Odoo'!N340="","",'Ordenes_Odoo'!N340)</f>
        <v/>
      </c>
      <c r="O340" s="81">
        <f>IF('Ordenes_Odoo'!O340="","",'Ordenes_Odoo'!O340)</f>
        <v/>
      </c>
      <c r="P340" s="81">
        <f>IF('Ordenes_Odoo'!P340="","",'Ordenes_Odoo'!P340)</f>
        <v/>
      </c>
      <c r="Q340" s="79">
        <f>IF(A340="","",IFERROR(INDEX(Facturas_Odoo!$B:$B, MATCH(A340, Facturas_Odoo!$D:$D, 0)), "Sin Factura"))</f>
        <v/>
      </c>
      <c r="R340" s="80">
        <f>IF(Q340="Sin Factura","",IFERROR(INDEX(Facturas_Odoo!$A:$A, MATCH(Q340, Facturas_Odoo!$B:$B, 0)), ""))</f>
        <v/>
      </c>
      <c r="S340" s="79">
        <f>IF(Q340="Sin Factura","",IFERROR(_xlfn.XLOOKUP(1, (Facturas_Odoo!$D:$D=A340) * (Facturas_Odoo!$K:$K=I340), Facturas_Odoo!$L:$L, ""), ""))</f>
        <v/>
      </c>
      <c r="T340" s="81">
        <f>IF(Q340="Sin Factura",0,IFERROR(_xlfn.XLOOKUP(1, (Facturas_Odoo!$D:$D=A340) * (Facturas_Odoo!$K:$K=I340), Facturas_Odoo!$M:$M, 0), 0))</f>
        <v/>
      </c>
      <c r="U340" s="79">
        <f>IF(Q340="Sin Factura",0,IFERROR(_xlfn.XLOOKUP(1, (Facturas_Odoo!$D:$D=A340) * (Facturas_Odoo!$K:$K=I340), Facturas_Odoo!$N:$N, 0), 0))</f>
        <v/>
      </c>
      <c r="V340" s="79">
        <f>IF(Q340="Sin Factura",0,IFERROR(_xlfn.XLOOKUP(1, (Facturas_Odoo!$D:$D=A340) * (Facturas_Odoo!$K:$K=I340), Facturas_Odoo!$O:$O, 0), 0))</f>
        <v/>
      </c>
      <c r="W340" s="81">
        <f>IF(Q340="Sin Factura",0,IFERROR(_xlfn.XLOOKUP(1, (Facturas_Odoo!$D:$D=A340) * (Facturas_Odoo!$K:$K=I340), Facturas_Odoo!$Q:$Q, 0), 0))</f>
        <v/>
      </c>
      <c r="X340" s="79">
        <f>IF(OR(Q340="Sin Factura",Q340=""),"",IFERROR(INDEX(Pagos_Odoo!$B:$B, MATCH(Q340, Pagos_Odoo!$I:$I, 0)), "Sin Pago"))</f>
        <v/>
      </c>
      <c r="Y340" s="79">
        <f>IF(X340="Sin Pago","",IFERROR(INDEX(Pagos_Odoo!$C:$C, MATCH(X340, Pagos_Odoo!$B:$B, 0)), ""))</f>
        <v/>
      </c>
      <c r="Z340" s="80">
        <f>IF(X340="Sin Pago","",IFERROR(INDEX(Pagos_Odoo!$A:$A, MATCH(X340, Pagos_Odoo!$B:$B, 0)), ""))</f>
        <v/>
      </c>
      <c r="AA340" s="79">
        <f>IF(X340="Sin Pago","",IFERROR(INDEX(Pagos_Odoo!$F:$F, MATCH(X340, Pagos_Odoo!$B:$B, 0)), ""))</f>
        <v/>
      </c>
      <c r="AB340" s="81">
        <f>IF(X340="Sin Pago",0,IFERROR(INDEX(Pagos_Odoo!$E:$E, MATCH(X340, Pagos_Odoo!$B:$B, 0)), 0))</f>
        <v/>
      </c>
      <c r="AC340" s="79">
        <f>IF(X340="Sin Pago","",IFERROR(INDEX(Pagos_Odoo!$G:$G, MATCH(X340, Pagos_Odoo!$B:$B, 0)), ""))</f>
        <v/>
      </c>
      <c r="AD340" s="82" t="n">
        <v>0</v>
      </c>
      <c r="AE340" s="82" t="n"/>
      <c r="AF340" s="82" t="n"/>
      <c r="AG340" s="82">
        <f>IF(AN340="","",AD340+AE340+AF340)</f>
        <v/>
      </c>
      <c r="AH340" s="81">
        <f>IF(AN340="","",P340*(1-AG340))</f>
        <v/>
      </c>
      <c r="AI340" s="81">
        <f>IF(AN340="","",IF(Q340="Sin Factura",0,IFERROR(INDEX(Facturas_Odoo!$H:$H, MATCH(Q340, Facturas_Odoo!$B:$B, 0)), 0)*(1-AG340)))</f>
        <v/>
      </c>
      <c r="AJ340" s="81">
        <f>IF(AN340="","",_xlfn.LET(idVenta, AN340&amp;"",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40" s="81">
        <f>IF(AN340="","",AH340-AJ340)</f>
        <v/>
      </c>
      <c r="AL340" s="81">
        <f>IF(AN340="","",IF(Q340="Sin Factura","",AI340-AJ340))</f>
        <v/>
      </c>
      <c r="AM340" s="81">
        <f>IF(AN340="","",IF(Q340="Sin Factura",0,P340-IFERROR(INDEX(Facturas_Odoo!$H:$H, MATCH(Q340, Facturas_Odoo!$B:$B, 0)), 0)))</f>
        <v/>
      </c>
      <c r="AN340" s="79">
        <f>IF(AND(A340="", J340=""), "", IF(A340&lt;&gt;"", VALUE(MID(A340,2,LEN(A340))), AN339))</f>
        <v/>
      </c>
      <c r="AO340" s="79">
        <f>IF(AN340="","",IF(AD340=0,"OK",_xlfn.LET(monedaPago, IF(AA340="","USD",AA340), limitePermitido, IFERROR(VLOOKUP(monedaPago, Configuración!$A$2:$B$3, 2, FALSE), 0.15), IF(AD340&gt;limitePermitido, "ALERTA: EXCESO (" &amp; TEXT(limitePermitido, "0%") &amp; " máx)", "OK"))))</f>
        <v/>
      </c>
      <c r="AP340" s="79">
        <f>IF(AN340="","",IF(AE340=0,"OK",_xlfn.LET(fechaPago, Z340, fechaFactura, R340, diasCredito, IF(E340="Pago inmediato", 0, IFERROR(VALUE(MID(E340, 1, SEARCH(" ", E340)-1)),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40" s="79">
        <f>IF(AN340="","",IF(AND(N340&gt;0, AG340&gt;0), IF(Configuración!$K$2="NO", "ALERTA: DESCUENTO DOBLE NO PERMITIDO", "OK"), "OK"))</f>
        <v/>
      </c>
      <c r="AR340" s="79">
        <f>IF(AN340="","",IF(OR(AO340&lt;&gt;"OK", AP340&lt;&gt;"OK", AQ340&lt;&gt;"OK"), "⚠️ REVISAR", "OK"))</f>
        <v/>
      </c>
    </row>
    <row r="341">
      <c r="A341" s="79">
        <f>IF('Ordenes_Odoo'!A341="","",'Ordenes_Odoo'!A341)</f>
        <v/>
      </c>
      <c r="B341" s="80">
        <f>IF('Ordenes_Odoo'!B341="","",'Ordenes_Odoo'!B341)</f>
        <v/>
      </c>
      <c r="C341" s="79">
        <f>IF('Ordenes_Odoo'!C341="","",'Ordenes_Odoo'!C341)</f>
        <v/>
      </c>
      <c r="D341" s="79">
        <f>IF('Ordenes_Odoo'!D341="","",'Ordenes_Odoo'!D341)</f>
        <v/>
      </c>
      <c r="E341" s="79">
        <f>IF('Ordenes_Odoo'!E341="","",'Ordenes_Odoo'!E341)</f>
        <v/>
      </c>
      <c r="F341" s="79">
        <f>IF('Ordenes_Odoo'!F341="","",'Ordenes_Odoo'!F341)</f>
        <v/>
      </c>
      <c r="G341" s="79">
        <f>IF('Ordenes_Odoo'!G341="","",'Ordenes_Odoo'!G341)</f>
        <v/>
      </c>
      <c r="H341" s="79">
        <f>IF('Ordenes_Odoo'!H341="","",'Ordenes_Odoo'!H341)</f>
        <v/>
      </c>
      <c r="I341" s="79">
        <f>IF('Ordenes_Odoo'!I341="","",'Ordenes_Odoo'!I341)</f>
        <v/>
      </c>
      <c r="J341" s="79">
        <f>IF('Ordenes_Odoo'!J341="","",'Ordenes_Odoo'!J341)</f>
        <v/>
      </c>
      <c r="K341" s="81">
        <f>IF('Ordenes_Odoo'!K341="","",'Ordenes_Odoo'!K341)</f>
        <v/>
      </c>
      <c r="L341" s="81">
        <f>IF('Ordenes_Odoo'!L341="","",'Ordenes_Odoo'!L341)</f>
        <v/>
      </c>
      <c r="M341" s="79">
        <f>IF('Ordenes_Odoo'!M341="","",'Ordenes_Odoo'!M341)</f>
        <v/>
      </c>
      <c r="N341" s="79">
        <f>IF('Ordenes_Odoo'!N341="","",'Ordenes_Odoo'!N341)</f>
        <v/>
      </c>
      <c r="O341" s="81">
        <f>IF('Ordenes_Odoo'!O341="","",'Ordenes_Odoo'!O341)</f>
        <v/>
      </c>
      <c r="P341" s="81">
        <f>IF('Ordenes_Odoo'!P341="","",'Ordenes_Odoo'!P341)</f>
        <v/>
      </c>
      <c r="Q341" s="79">
        <f>IF(A341="","",IFERROR(INDEX(Facturas_Odoo!$B:$B, MATCH(A341, Facturas_Odoo!$D:$D, 0)), "Sin Factura"))</f>
        <v/>
      </c>
      <c r="R341" s="80">
        <f>IF(Q341="Sin Factura","",IFERROR(INDEX(Facturas_Odoo!$A:$A, MATCH(Q341, Facturas_Odoo!$B:$B, 0)), ""))</f>
        <v/>
      </c>
      <c r="S341" s="79">
        <f>IF(Q341="Sin Factura","",IFERROR(_xlfn.XLOOKUP(1, (Facturas_Odoo!$D:$D=A341) * (Facturas_Odoo!$K:$K=I341), Facturas_Odoo!$L:$L, ""), ""))</f>
        <v/>
      </c>
      <c r="T341" s="81">
        <f>IF(Q341="Sin Factura",0,IFERROR(_xlfn.XLOOKUP(1, (Facturas_Odoo!$D:$D=A341) * (Facturas_Odoo!$K:$K=I341), Facturas_Odoo!$M:$M, 0), 0))</f>
        <v/>
      </c>
      <c r="U341" s="79">
        <f>IF(Q341="Sin Factura",0,IFERROR(_xlfn.XLOOKUP(1, (Facturas_Odoo!$D:$D=A341) * (Facturas_Odoo!$K:$K=I341), Facturas_Odoo!$N:$N, 0), 0))</f>
        <v/>
      </c>
      <c r="V341" s="79">
        <f>IF(Q341="Sin Factura",0,IFERROR(_xlfn.XLOOKUP(1, (Facturas_Odoo!$D:$D=A341) * (Facturas_Odoo!$K:$K=I341), Facturas_Odoo!$O:$O, 0), 0))</f>
        <v/>
      </c>
      <c r="W341" s="81">
        <f>IF(Q341="Sin Factura",0,IFERROR(_xlfn.XLOOKUP(1, (Facturas_Odoo!$D:$D=A341) * (Facturas_Odoo!$K:$K=I341), Facturas_Odoo!$Q:$Q, 0), 0))</f>
        <v/>
      </c>
      <c r="X341" s="79">
        <f>IF(OR(Q341="Sin Factura",Q341=""),"",IFERROR(INDEX(Pagos_Odoo!$B:$B, MATCH(Q341, Pagos_Odoo!$I:$I, 0)), "Sin Pago"))</f>
        <v/>
      </c>
      <c r="Y341" s="79">
        <f>IF(X341="Sin Pago","",IFERROR(INDEX(Pagos_Odoo!$C:$C, MATCH(X341, Pagos_Odoo!$B:$B, 0)), ""))</f>
        <v/>
      </c>
      <c r="Z341" s="80">
        <f>IF(X341="Sin Pago","",IFERROR(INDEX(Pagos_Odoo!$A:$A, MATCH(X341, Pagos_Odoo!$B:$B, 0)), ""))</f>
        <v/>
      </c>
      <c r="AA341" s="79">
        <f>IF(X341="Sin Pago","",IFERROR(INDEX(Pagos_Odoo!$F:$F, MATCH(X341, Pagos_Odoo!$B:$B, 0)), ""))</f>
        <v/>
      </c>
      <c r="AB341" s="81">
        <f>IF(X341="Sin Pago",0,IFERROR(INDEX(Pagos_Odoo!$E:$E, MATCH(X341, Pagos_Odoo!$B:$B, 0)), 0))</f>
        <v/>
      </c>
      <c r="AC341" s="79">
        <f>IF(X341="Sin Pago","",IFERROR(INDEX(Pagos_Odoo!$G:$G, MATCH(X341, Pagos_Odoo!$B:$B, 0)), ""))</f>
        <v/>
      </c>
      <c r="AD341" s="82" t="n">
        <v>0</v>
      </c>
      <c r="AE341" s="82" t="n"/>
      <c r="AF341" s="82" t="n"/>
      <c r="AG341" s="82">
        <f>IF(AN341="","",AD341+AE341+AF341)</f>
        <v/>
      </c>
      <c r="AH341" s="81">
        <f>IF(AN341="","",P341*(1-AG341))</f>
        <v/>
      </c>
      <c r="AI341" s="81">
        <f>IF(AN341="","",IF(Q341="Sin Factura",0,IFERROR(INDEX(Facturas_Odoo!$H:$H, MATCH(Q341, Facturas_Odoo!$B:$B, 0)), 0)*(1-AG341)))</f>
        <v/>
      </c>
      <c r="AJ341" s="81">
        <f>IF(AN341="","",_xlfn.LET(idVenta, AN341&amp;"",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41" s="81">
        <f>IF(AN341="","",AH341-AJ341)</f>
        <v/>
      </c>
      <c r="AL341" s="81">
        <f>IF(AN341="","",IF(Q341="Sin Factura","",AI341-AJ341))</f>
        <v/>
      </c>
      <c r="AM341" s="81">
        <f>IF(AN341="","",IF(Q341="Sin Factura",0,P341-IFERROR(INDEX(Facturas_Odoo!$H:$H, MATCH(Q341, Facturas_Odoo!$B:$B, 0)), 0)))</f>
        <v/>
      </c>
      <c r="AN341" s="79">
        <f>IF(AND(A341="", J341=""), "", IF(A341&lt;&gt;"", VALUE(MID(A341,2,LEN(A341))), AN340))</f>
        <v/>
      </c>
      <c r="AO341" s="79">
        <f>IF(AN341="","",IF(AD341=0,"OK",_xlfn.LET(monedaPago, IF(AA341="","USD",AA341), limitePermitido, IFERROR(VLOOKUP(monedaPago, Configuración!$A$2:$B$3, 2, FALSE), 0.15), IF(AD341&gt;limitePermitido, "ALERTA: EXCESO (" &amp; TEXT(limitePermitido, "0%") &amp; " máx)", "OK"))))</f>
        <v/>
      </c>
      <c r="AP341" s="79">
        <f>IF(AN341="","",IF(AE341=0,"OK",_xlfn.LET(fechaPago, Z341, fechaFactura, R341, diasCredito, IF(E341="Pago inmediato", 0, IFERROR(VALUE(MID(E341, 1, SEARCH(" ", E341)-1)),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41" s="79">
        <f>IF(AN341="","",IF(AND(N341&gt;0, AG341&gt;0), IF(Configuración!$K$2="NO", "ALERTA: DESCUENTO DOBLE NO PERMITIDO", "OK"), "OK"))</f>
        <v/>
      </c>
      <c r="AR341" s="79">
        <f>IF(AN341="","",IF(OR(AO341&lt;&gt;"OK", AP341&lt;&gt;"OK", AQ341&lt;&gt;"OK"), "⚠️ REVISAR", "OK"))</f>
        <v/>
      </c>
    </row>
    <row r="342">
      <c r="A342" s="79">
        <f>IF('Ordenes_Odoo'!A342="","",'Ordenes_Odoo'!A342)</f>
        <v/>
      </c>
      <c r="B342" s="80">
        <f>IF('Ordenes_Odoo'!B342="","",'Ordenes_Odoo'!B342)</f>
        <v/>
      </c>
      <c r="C342" s="79">
        <f>IF('Ordenes_Odoo'!C342="","",'Ordenes_Odoo'!C342)</f>
        <v/>
      </c>
      <c r="D342" s="79">
        <f>IF('Ordenes_Odoo'!D342="","",'Ordenes_Odoo'!D342)</f>
        <v/>
      </c>
      <c r="E342" s="79">
        <f>IF('Ordenes_Odoo'!E342="","",'Ordenes_Odoo'!E342)</f>
        <v/>
      </c>
      <c r="F342" s="79">
        <f>IF('Ordenes_Odoo'!F342="","",'Ordenes_Odoo'!F342)</f>
        <v/>
      </c>
      <c r="G342" s="79">
        <f>IF('Ordenes_Odoo'!G342="","",'Ordenes_Odoo'!G342)</f>
        <v/>
      </c>
      <c r="H342" s="79">
        <f>IF('Ordenes_Odoo'!H342="","",'Ordenes_Odoo'!H342)</f>
        <v/>
      </c>
      <c r="I342" s="79">
        <f>IF('Ordenes_Odoo'!I342="","",'Ordenes_Odoo'!I342)</f>
        <v/>
      </c>
      <c r="J342" s="79">
        <f>IF('Ordenes_Odoo'!J342="","",'Ordenes_Odoo'!J342)</f>
        <v/>
      </c>
      <c r="K342" s="81">
        <f>IF('Ordenes_Odoo'!K342="","",'Ordenes_Odoo'!K342)</f>
        <v/>
      </c>
      <c r="L342" s="81">
        <f>IF('Ordenes_Odoo'!L342="","",'Ordenes_Odoo'!L342)</f>
        <v/>
      </c>
      <c r="M342" s="79">
        <f>IF('Ordenes_Odoo'!M342="","",'Ordenes_Odoo'!M342)</f>
        <v/>
      </c>
      <c r="N342" s="79">
        <f>IF('Ordenes_Odoo'!N342="","",'Ordenes_Odoo'!N342)</f>
        <v/>
      </c>
      <c r="O342" s="81">
        <f>IF('Ordenes_Odoo'!O342="","",'Ordenes_Odoo'!O342)</f>
        <v/>
      </c>
      <c r="P342" s="81">
        <f>IF('Ordenes_Odoo'!P342="","",'Ordenes_Odoo'!P342)</f>
        <v/>
      </c>
      <c r="Q342" s="79">
        <f>IF(A342="","",IFERROR(INDEX(Facturas_Odoo!$B:$B, MATCH(A342, Facturas_Odoo!$D:$D, 0)), "Sin Factura"))</f>
        <v/>
      </c>
      <c r="R342" s="80">
        <f>IF(Q342="Sin Factura","",IFERROR(INDEX(Facturas_Odoo!$A:$A, MATCH(Q342, Facturas_Odoo!$B:$B, 0)), ""))</f>
        <v/>
      </c>
      <c r="S342" s="79">
        <f>IF(Q342="Sin Factura","",IFERROR(_xlfn.XLOOKUP(1, (Facturas_Odoo!$D:$D=A342) * (Facturas_Odoo!$K:$K=I342), Facturas_Odoo!$L:$L, ""), ""))</f>
        <v/>
      </c>
      <c r="T342" s="81">
        <f>IF(Q342="Sin Factura",0,IFERROR(_xlfn.XLOOKUP(1, (Facturas_Odoo!$D:$D=A342) * (Facturas_Odoo!$K:$K=I342), Facturas_Odoo!$M:$M, 0), 0))</f>
        <v/>
      </c>
      <c r="U342" s="79">
        <f>IF(Q342="Sin Factura",0,IFERROR(_xlfn.XLOOKUP(1, (Facturas_Odoo!$D:$D=A342) * (Facturas_Odoo!$K:$K=I342), Facturas_Odoo!$N:$N, 0), 0))</f>
        <v/>
      </c>
      <c r="V342" s="79">
        <f>IF(Q342="Sin Factura",0,IFERROR(_xlfn.XLOOKUP(1, (Facturas_Odoo!$D:$D=A342) * (Facturas_Odoo!$K:$K=I342), Facturas_Odoo!$O:$O, 0), 0))</f>
        <v/>
      </c>
      <c r="W342" s="81">
        <f>IF(Q342="Sin Factura",0,IFERROR(_xlfn.XLOOKUP(1, (Facturas_Odoo!$D:$D=A342) * (Facturas_Odoo!$K:$K=I342), Facturas_Odoo!$Q:$Q, 0), 0))</f>
        <v/>
      </c>
      <c r="X342" s="79">
        <f>IF(OR(Q342="Sin Factura",Q342=""),"",IFERROR(INDEX(Pagos_Odoo!$B:$B, MATCH(Q342, Pagos_Odoo!$I:$I, 0)), "Sin Pago"))</f>
        <v/>
      </c>
      <c r="Y342" s="79">
        <f>IF(X342="Sin Pago","",IFERROR(INDEX(Pagos_Odoo!$C:$C, MATCH(X342, Pagos_Odoo!$B:$B, 0)), ""))</f>
        <v/>
      </c>
      <c r="Z342" s="80">
        <f>IF(X342="Sin Pago","",IFERROR(INDEX(Pagos_Odoo!$A:$A, MATCH(X342, Pagos_Odoo!$B:$B, 0)), ""))</f>
        <v/>
      </c>
      <c r="AA342" s="79">
        <f>IF(X342="Sin Pago","",IFERROR(INDEX(Pagos_Odoo!$F:$F, MATCH(X342, Pagos_Odoo!$B:$B, 0)), ""))</f>
        <v/>
      </c>
      <c r="AB342" s="81">
        <f>IF(X342="Sin Pago",0,IFERROR(INDEX(Pagos_Odoo!$E:$E, MATCH(X342, Pagos_Odoo!$B:$B, 0)), 0))</f>
        <v/>
      </c>
      <c r="AC342" s="79">
        <f>IF(X342="Sin Pago","",IFERROR(INDEX(Pagos_Odoo!$G:$G, MATCH(X342, Pagos_Odoo!$B:$B, 0)), ""))</f>
        <v/>
      </c>
      <c r="AD342" s="82" t="n">
        <v>0</v>
      </c>
      <c r="AE342" s="82" t="n"/>
      <c r="AF342" s="82" t="n"/>
      <c r="AG342" s="82">
        <f>IF(AN342="","",AD342+AE342+AF342)</f>
        <v/>
      </c>
      <c r="AH342" s="81">
        <f>IF(AN342="","",P342*(1-AG342))</f>
        <v/>
      </c>
      <c r="AI342" s="81">
        <f>IF(AN342="","",IF(Q342="Sin Factura",0,IFERROR(INDEX(Facturas_Odoo!$H:$H, MATCH(Q342, Facturas_Odoo!$B:$B, 0)), 0)*(1-AG342)))</f>
        <v/>
      </c>
      <c r="AJ342" s="81">
        <f>IF(AN342="","",_xlfn.LET(idVenta, AN342&amp;"",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42" s="81">
        <f>IF(AN342="","",AH342-AJ342)</f>
        <v/>
      </c>
      <c r="AL342" s="81">
        <f>IF(AN342="","",IF(Q342="Sin Factura","",AI342-AJ342))</f>
        <v/>
      </c>
      <c r="AM342" s="81">
        <f>IF(AN342="","",IF(Q342="Sin Factura",0,P342-IFERROR(INDEX(Facturas_Odoo!$H:$H, MATCH(Q342, Facturas_Odoo!$B:$B, 0)), 0)))</f>
        <v/>
      </c>
      <c r="AN342" s="79">
        <f>IF(AND(A342="", J342=""), "", IF(A342&lt;&gt;"", VALUE(MID(A342,2,LEN(A342))), AN341))</f>
        <v/>
      </c>
      <c r="AO342" s="79">
        <f>IF(AN342="","",IF(AD342=0,"OK",_xlfn.LET(monedaPago, IF(AA342="","USD",AA342), limitePermitido, IFERROR(VLOOKUP(monedaPago, Configuración!$A$2:$B$3, 2, FALSE), 0.15), IF(AD342&gt;limitePermitido, "ALERTA: EXCESO (" &amp; TEXT(limitePermitido, "0%") &amp; " máx)", "OK"))))</f>
        <v/>
      </c>
      <c r="AP342" s="79">
        <f>IF(AN342="","",IF(AE342=0,"OK",_xlfn.LET(fechaPago, Z342, fechaFactura, R342, diasCredito, IF(E342="Pago inmediato", 0, IFERROR(VALUE(MID(E342, 1, SEARCH(" ", E342)-1)),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42" s="79">
        <f>IF(AN342="","",IF(AND(N342&gt;0, AG342&gt;0), IF(Configuración!$K$2="NO", "ALERTA: DESCUENTO DOBLE NO PERMITIDO", "OK"), "OK"))</f>
        <v/>
      </c>
      <c r="AR342" s="79">
        <f>IF(AN342="","",IF(OR(AO342&lt;&gt;"OK", AP342&lt;&gt;"OK", AQ342&lt;&gt;"OK"), "⚠️ REVISAR", "OK"))</f>
        <v/>
      </c>
    </row>
    <row r="343">
      <c r="A343" s="79">
        <f>IF('Ordenes_Odoo'!A343="","",'Ordenes_Odoo'!A343)</f>
        <v/>
      </c>
      <c r="B343" s="80">
        <f>IF('Ordenes_Odoo'!B343="","",'Ordenes_Odoo'!B343)</f>
        <v/>
      </c>
      <c r="C343" s="79">
        <f>IF('Ordenes_Odoo'!C343="","",'Ordenes_Odoo'!C343)</f>
        <v/>
      </c>
      <c r="D343" s="79">
        <f>IF('Ordenes_Odoo'!D343="","",'Ordenes_Odoo'!D343)</f>
        <v/>
      </c>
      <c r="E343" s="79">
        <f>IF('Ordenes_Odoo'!E343="","",'Ordenes_Odoo'!E343)</f>
        <v/>
      </c>
      <c r="F343" s="79">
        <f>IF('Ordenes_Odoo'!F343="","",'Ordenes_Odoo'!F343)</f>
        <v/>
      </c>
      <c r="G343" s="79">
        <f>IF('Ordenes_Odoo'!G343="","",'Ordenes_Odoo'!G343)</f>
        <v/>
      </c>
      <c r="H343" s="79">
        <f>IF('Ordenes_Odoo'!H343="","",'Ordenes_Odoo'!H343)</f>
        <v/>
      </c>
      <c r="I343" s="79">
        <f>IF('Ordenes_Odoo'!I343="","",'Ordenes_Odoo'!I343)</f>
        <v/>
      </c>
      <c r="J343" s="79">
        <f>IF('Ordenes_Odoo'!J343="","",'Ordenes_Odoo'!J343)</f>
        <v/>
      </c>
      <c r="K343" s="81">
        <f>IF('Ordenes_Odoo'!K343="","",'Ordenes_Odoo'!K343)</f>
        <v/>
      </c>
      <c r="L343" s="81">
        <f>IF('Ordenes_Odoo'!L343="","",'Ordenes_Odoo'!L343)</f>
        <v/>
      </c>
      <c r="M343" s="79">
        <f>IF('Ordenes_Odoo'!M343="","",'Ordenes_Odoo'!M343)</f>
        <v/>
      </c>
      <c r="N343" s="79">
        <f>IF('Ordenes_Odoo'!N343="","",'Ordenes_Odoo'!N343)</f>
        <v/>
      </c>
      <c r="O343" s="81">
        <f>IF('Ordenes_Odoo'!O343="","",'Ordenes_Odoo'!O343)</f>
        <v/>
      </c>
      <c r="P343" s="81">
        <f>IF('Ordenes_Odoo'!P343="","",'Ordenes_Odoo'!P343)</f>
        <v/>
      </c>
      <c r="Q343" s="79">
        <f>IF(A343="","",IFERROR(INDEX(Facturas_Odoo!$B:$B, MATCH(A343, Facturas_Odoo!$D:$D, 0)), "Sin Factura"))</f>
        <v/>
      </c>
      <c r="R343" s="80">
        <f>IF(Q343="Sin Factura","",IFERROR(INDEX(Facturas_Odoo!$A:$A, MATCH(Q343, Facturas_Odoo!$B:$B, 0)), ""))</f>
        <v/>
      </c>
      <c r="S343" s="79">
        <f>IF(Q343="Sin Factura","",IFERROR(_xlfn.XLOOKUP(1, (Facturas_Odoo!$D:$D=A343) * (Facturas_Odoo!$K:$K=I343), Facturas_Odoo!$L:$L, ""), ""))</f>
        <v/>
      </c>
      <c r="T343" s="81">
        <f>IF(Q343="Sin Factura",0,IFERROR(_xlfn.XLOOKUP(1, (Facturas_Odoo!$D:$D=A343) * (Facturas_Odoo!$K:$K=I343), Facturas_Odoo!$M:$M, 0), 0))</f>
        <v/>
      </c>
      <c r="U343" s="79">
        <f>IF(Q343="Sin Factura",0,IFERROR(_xlfn.XLOOKUP(1, (Facturas_Odoo!$D:$D=A343) * (Facturas_Odoo!$K:$K=I343), Facturas_Odoo!$N:$N, 0), 0))</f>
        <v/>
      </c>
      <c r="V343" s="79">
        <f>IF(Q343="Sin Factura",0,IFERROR(_xlfn.XLOOKUP(1, (Facturas_Odoo!$D:$D=A343) * (Facturas_Odoo!$K:$K=I343), Facturas_Odoo!$O:$O, 0), 0))</f>
        <v/>
      </c>
      <c r="W343" s="81">
        <f>IF(Q343="Sin Factura",0,IFERROR(_xlfn.XLOOKUP(1, (Facturas_Odoo!$D:$D=A343) * (Facturas_Odoo!$K:$K=I343), Facturas_Odoo!$Q:$Q, 0), 0))</f>
        <v/>
      </c>
      <c r="X343" s="79">
        <f>IF(OR(Q343="Sin Factura",Q343=""),"",IFERROR(INDEX(Pagos_Odoo!$B:$B, MATCH(Q343, Pagos_Odoo!$I:$I, 0)), "Sin Pago"))</f>
        <v/>
      </c>
      <c r="Y343" s="79">
        <f>IF(X343="Sin Pago","",IFERROR(INDEX(Pagos_Odoo!$C:$C, MATCH(X343, Pagos_Odoo!$B:$B, 0)), ""))</f>
        <v/>
      </c>
      <c r="Z343" s="80">
        <f>IF(X343="Sin Pago","",IFERROR(INDEX(Pagos_Odoo!$A:$A, MATCH(X343, Pagos_Odoo!$B:$B, 0)), ""))</f>
        <v/>
      </c>
      <c r="AA343" s="79">
        <f>IF(X343="Sin Pago","",IFERROR(INDEX(Pagos_Odoo!$F:$F, MATCH(X343, Pagos_Odoo!$B:$B, 0)), ""))</f>
        <v/>
      </c>
      <c r="AB343" s="81">
        <f>IF(X343="Sin Pago",0,IFERROR(INDEX(Pagos_Odoo!$E:$E, MATCH(X343, Pagos_Odoo!$B:$B, 0)), 0))</f>
        <v/>
      </c>
      <c r="AC343" s="79">
        <f>IF(X343="Sin Pago","",IFERROR(INDEX(Pagos_Odoo!$G:$G, MATCH(X343, Pagos_Odoo!$B:$B, 0)), ""))</f>
        <v/>
      </c>
      <c r="AD343" s="82" t="n">
        <v>0</v>
      </c>
      <c r="AE343" s="82" t="n"/>
      <c r="AF343" s="82" t="n"/>
      <c r="AG343" s="82">
        <f>IF(AN343="","",AD343+AE343+AF343)</f>
        <v/>
      </c>
      <c r="AH343" s="81">
        <f>IF(AN343="","",P343*(1-AG343))</f>
        <v/>
      </c>
      <c r="AI343" s="81">
        <f>IF(AN343="","",IF(Q343="Sin Factura",0,IFERROR(INDEX(Facturas_Odoo!$H:$H, MATCH(Q343, Facturas_Odoo!$B:$B, 0)), 0)*(1-AG343)))</f>
        <v/>
      </c>
      <c r="AJ343" s="81">
        <f>IF(AN343="","",_xlfn.LET(idVenta, AN343&amp;"",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43" s="81">
        <f>IF(AN343="","",AH343-AJ343)</f>
        <v/>
      </c>
      <c r="AL343" s="81">
        <f>IF(AN343="","",IF(Q343="Sin Factura","",AI343-AJ343))</f>
        <v/>
      </c>
      <c r="AM343" s="81">
        <f>IF(AN343="","",IF(Q343="Sin Factura",0,P343-IFERROR(INDEX(Facturas_Odoo!$H:$H, MATCH(Q343, Facturas_Odoo!$B:$B, 0)), 0)))</f>
        <v/>
      </c>
      <c r="AN343" s="79">
        <f>IF(AND(A343="", J343=""), "", IF(A343&lt;&gt;"", VALUE(MID(A343,2,LEN(A343))), AN342))</f>
        <v/>
      </c>
      <c r="AO343" s="79">
        <f>IF(AN343="","",IF(AD343=0,"OK",_xlfn.LET(monedaPago, IF(AA343="","USD",AA343), limitePermitido, IFERROR(VLOOKUP(monedaPago, Configuración!$A$2:$B$3, 2, FALSE), 0.15), IF(AD343&gt;limitePermitido, "ALERTA: EXCESO (" &amp; TEXT(limitePermitido, "0%") &amp; " máx)", "OK"))))</f>
        <v/>
      </c>
      <c r="AP343" s="79">
        <f>IF(AN343="","",IF(AE343=0,"OK",_xlfn.LET(fechaPago, Z343, fechaFactura, R343, diasCredito, IF(E343="Pago inmediato", 0, IFERROR(VALUE(MID(E343, 1, SEARCH(" ", E343)-1)),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43" s="79">
        <f>IF(AN343="","",IF(AND(N343&gt;0, AG343&gt;0), IF(Configuración!$K$2="NO", "ALERTA: DESCUENTO DOBLE NO PERMITIDO", "OK"), "OK"))</f>
        <v/>
      </c>
      <c r="AR343" s="79">
        <f>IF(AN343="","",IF(OR(AO343&lt;&gt;"OK", AP343&lt;&gt;"OK", AQ343&lt;&gt;"OK"), "⚠️ REVISAR", "OK"))</f>
        <v/>
      </c>
    </row>
    <row r="344">
      <c r="A344" s="79">
        <f>IF('Ordenes_Odoo'!A344="","",'Ordenes_Odoo'!A344)</f>
        <v/>
      </c>
      <c r="B344" s="80">
        <f>IF('Ordenes_Odoo'!B344="","",'Ordenes_Odoo'!B344)</f>
        <v/>
      </c>
      <c r="C344" s="79">
        <f>IF('Ordenes_Odoo'!C344="","",'Ordenes_Odoo'!C344)</f>
        <v/>
      </c>
      <c r="D344" s="79">
        <f>IF('Ordenes_Odoo'!D344="","",'Ordenes_Odoo'!D344)</f>
        <v/>
      </c>
      <c r="E344" s="79">
        <f>IF('Ordenes_Odoo'!E344="","",'Ordenes_Odoo'!E344)</f>
        <v/>
      </c>
      <c r="F344" s="79">
        <f>IF('Ordenes_Odoo'!F344="","",'Ordenes_Odoo'!F344)</f>
        <v/>
      </c>
      <c r="G344" s="79">
        <f>IF('Ordenes_Odoo'!G344="","",'Ordenes_Odoo'!G344)</f>
        <v/>
      </c>
      <c r="H344" s="79">
        <f>IF('Ordenes_Odoo'!H344="","",'Ordenes_Odoo'!H344)</f>
        <v/>
      </c>
      <c r="I344" s="79">
        <f>IF('Ordenes_Odoo'!I344="","",'Ordenes_Odoo'!I344)</f>
        <v/>
      </c>
      <c r="J344" s="79">
        <f>IF('Ordenes_Odoo'!J344="","",'Ordenes_Odoo'!J344)</f>
        <v/>
      </c>
      <c r="K344" s="81">
        <f>IF('Ordenes_Odoo'!K344="","",'Ordenes_Odoo'!K344)</f>
        <v/>
      </c>
      <c r="L344" s="81">
        <f>IF('Ordenes_Odoo'!L344="","",'Ordenes_Odoo'!L344)</f>
        <v/>
      </c>
      <c r="M344" s="79">
        <f>IF('Ordenes_Odoo'!M344="","",'Ordenes_Odoo'!M344)</f>
        <v/>
      </c>
      <c r="N344" s="79">
        <f>IF('Ordenes_Odoo'!N344="","",'Ordenes_Odoo'!N344)</f>
        <v/>
      </c>
      <c r="O344" s="81">
        <f>IF('Ordenes_Odoo'!O344="","",'Ordenes_Odoo'!O344)</f>
        <v/>
      </c>
      <c r="P344" s="81">
        <f>IF('Ordenes_Odoo'!P344="","",'Ordenes_Odoo'!P344)</f>
        <v/>
      </c>
      <c r="Q344" s="79">
        <f>IF(A344="","",IFERROR(INDEX(Facturas_Odoo!$B:$B, MATCH(A344, Facturas_Odoo!$D:$D, 0)), "Sin Factura"))</f>
        <v/>
      </c>
      <c r="R344" s="80">
        <f>IF(Q344="Sin Factura","",IFERROR(INDEX(Facturas_Odoo!$A:$A, MATCH(Q344, Facturas_Odoo!$B:$B, 0)), ""))</f>
        <v/>
      </c>
      <c r="S344" s="79">
        <f>IF(Q344="Sin Factura","",IFERROR(_xlfn.XLOOKUP(1, (Facturas_Odoo!$D:$D=A344) * (Facturas_Odoo!$K:$K=I344), Facturas_Odoo!$L:$L, ""), ""))</f>
        <v/>
      </c>
      <c r="T344" s="81">
        <f>IF(Q344="Sin Factura",0,IFERROR(_xlfn.XLOOKUP(1, (Facturas_Odoo!$D:$D=A344) * (Facturas_Odoo!$K:$K=I344), Facturas_Odoo!$M:$M, 0), 0))</f>
        <v/>
      </c>
      <c r="U344" s="79">
        <f>IF(Q344="Sin Factura",0,IFERROR(_xlfn.XLOOKUP(1, (Facturas_Odoo!$D:$D=A344) * (Facturas_Odoo!$K:$K=I344), Facturas_Odoo!$N:$N, 0), 0))</f>
        <v/>
      </c>
      <c r="V344" s="79">
        <f>IF(Q344="Sin Factura",0,IFERROR(_xlfn.XLOOKUP(1, (Facturas_Odoo!$D:$D=A344) * (Facturas_Odoo!$K:$K=I344), Facturas_Odoo!$O:$O, 0), 0))</f>
        <v/>
      </c>
      <c r="W344" s="81">
        <f>IF(Q344="Sin Factura",0,IFERROR(_xlfn.XLOOKUP(1, (Facturas_Odoo!$D:$D=A344) * (Facturas_Odoo!$K:$K=I344), Facturas_Odoo!$Q:$Q, 0), 0))</f>
        <v/>
      </c>
      <c r="X344" s="79">
        <f>IF(OR(Q344="Sin Factura",Q344=""),"",IFERROR(INDEX(Pagos_Odoo!$B:$B, MATCH(Q344, Pagos_Odoo!$I:$I, 0)), "Sin Pago"))</f>
        <v/>
      </c>
      <c r="Y344" s="79">
        <f>IF(X344="Sin Pago","",IFERROR(INDEX(Pagos_Odoo!$C:$C, MATCH(X344, Pagos_Odoo!$B:$B, 0)), ""))</f>
        <v/>
      </c>
      <c r="Z344" s="80">
        <f>IF(X344="Sin Pago","",IFERROR(INDEX(Pagos_Odoo!$A:$A, MATCH(X344, Pagos_Odoo!$B:$B, 0)), ""))</f>
        <v/>
      </c>
      <c r="AA344" s="79">
        <f>IF(X344="Sin Pago","",IFERROR(INDEX(Pagos_Odoo!$F:$F, MATCH(X344, Pagos_Odoo!$B:$B, 0)), ""))</f>
        <v/>
      </c>
      <c r="AB344" s="81">
        <f>IF(X344="Sin Pago",0,IFERROR(INDEX(Pagos_Odoo!$E:$E, MATCH(X344, Pagos_Odoo!$B:$B, 0)), 0))</f>
        <v/>
      </c>
      <c r="AC344" s="79">
        <f>IF(X344="Sin Pago","",IFERROR(INDEX(Pagos_Odoo!$G:$G, MATCH(X344, Pagos_Odoo!$B:$B, 0)), ""))</f>
        <v/>
      </c>
      <c r="AD344" s="82" t="n">
        <v>0</v>
      </c>
      <c r="AE344" s="82" t="n"/>
      <c r="AF344" s="82" t="n"/>
      <c r="AG344" s="82">
        <f>IF(AN344="","",AD344+AE344+AF344)</f>
        <v/>
      </c>
      <c r="AH344" s="81">
        <f>IF(AN344="","",P344*(1-AG344))</f>
        <v/>
      </c>
      <c r="AI344" s="81">
        <f>IF(AN344="","",IF(Q344="Sin Factura",0,IFERROR(INDEX(Facturas_Odoo!$H:$H, MATCH(Q344, Facturas_Odoo!$B:$B, 0)), 0)*(1-AG344)))</f>
        <v/>
      </c>
      <c r="AJ344" s="81">
        <f>IF(AN344="","",_xlfn.LET(idVenta, AN344&amp;"",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44" s="81">
        <f>IF(AN344="","",AH344-AJ344)</f>
        <v/>
      </c>
      <c r="AL344" s="81">
        <f>IF(AN344="","",IF(Q344="Sin Factura","",AI344-AJ344))</f>
        <v/>
      </c>
      <c r="AM344" s="81">
        <f>IF(AN344="","",IF(Q344="Sin Factura",0,P344-IFERROR(INDEX(Facturas_Odoo!$H:$H, MATCH(Q344, Facturas_Odoo!$B:$B, 0)), 0)))</f>
        <v/>
      </c>
      <c r="AN344" s="79">
        <f>IF(AND(A344="", J344=""), "", IF(A344&lt;&gt;"", VALUE(MID(A344,2,LEN(A344))), AN343))</f>
        <v/>
      </c>
      <c r="AO344" s="79">
        <f>IF(AN344="","",IF(AD344=0,"OK",_xlfn.LET(monedaPago, IF(AA344="","USD",AA344), limitePermitido, IFERROR(VLOOKUP(monedaPago, Configuración!$A$2:$B$3, 2, FALSE), 0.15), IF(AD344&gt;limitePermitido, "ALERTA: EXCESO (" &amp; TEXT(limitePermitido, "0%") &amp; " máx)", "OK"))))</f>
        <v/>
      </c>
      <c r="AP344" s="79">
        <f>IF(AN344="","",IF(AE344=0,"OK",_xlfn.LET(fechaPago, Z344, fechaFactura, R344, diasCredito, IF(E344="Pago inmediato", 0, IFERROR(VALUE(MID(E344, 1, SEARCH(" ", E344)-1)),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44" s="79">
        <f>IF(AN344="","",IF(AND(N344&gt;0, AG344&gt;0), IF(Configuración!$K$2="NO", "ALERTA: DESCUENTO DOBLE NO PERMITIDO", "OK"), "OK"))</f>
        <v/>
      </c>
      <c r="AR344" s="79">
        <f>IF(AN344="","",IF(OR(AO344&lt;&gt;"OK", AP344&lt;&gt;"OK", AQ344&lt;&gt;"OK"), "⚠️ REVISAR", "OK"))</f>
        <v/>
      </c>
    </row>
    <row r="345">
      <c r="A345" s="79">
        <f>IF('Ordenes_Odoo'!A345="","",'Ordenes_Odoo'!A345)</f>
        <v/>
      </c>
      <c r="B345" s="80">
        <f>IF('Ordenes_Odoo'!B345="","",'Ordenes_Odoo'!B345)</f>
        <v/>
      </c>
      <c r="C345" s="79">
        <f>IF('Ordenes_Odoo'!C345="","",'Ordenes_Odoo'!C345)</f>
        <v/>
      </c>
      <c r="D345" s="79">
        <f>IF('Ordenes_Odoo'!D345="","",'Ordenes_Odoo'!D345)</f>
        <v/>
      </c>
      <c r="E345" s="79">
        <f>IF('Ordenes_Odoo'!E345="","",'Ordenes_Odoo'!E345)</f>
        <v/>
      </c>
      <c r="F345" s="79">
        <f>IF('Ordenes_Odoo'!F345="","",'Ordenes_Odoo'!F345)</f>
        <v/>
      </c>
      <c r="G345" s="79">
        <f>IF('Ordenes_Odoo'!G345="","",'Ordenes_Odoo'!G345)</f>
        <v/>
      </c>
      <c r="H345" s="79">
        <f>IF('Ordenes_Odoo'!H345="","",'Ordenes_Odoo'!H345)</f>
        <v/>
      </c>
      <c r="I345" s="79">
        <f>IF('Ordenes_Odoo'!I345="","",'Ordenes_Odoo'!I345)</f>
        <v/>
      </c>
      <c r="J345" s="79">
        <f>IF('Ordenes_Odoo'!J345="","",'Ordenes_Odoo'!J345)</f>
        <v/>
      </c>
      <c r="K345" s="81">
        <f>IF('Ordenes_Odoo'!K345="","",'Ordenes_Odoo'!K345)</f>
        <v/>
      </c>
      <c r="L345" s="81">
        <f>IF('Ordenes_Odoo'!L345="","",'Ordenes_Odoo'!L345)</f>
        <v/>
      </c>
      <c r="M345" s="79">
        <f>IF('Ordenes_Odoo'!M345="","",'Ordenes_Odoo'!M345)</f>
        <v/>
      </c>
      <c r="N345" s="79">
        <f>IF('Ordenes_Odoo'!N345="","",'Ordenes_Odoo'!N345)</f>
        <v/>
      </c>
      <c r="O345" s="81">
        <f>IF('Ordenes_Odoo'!O345="","",'Ordenes_Odoo'!O345)</f>
        <v/>
      </c>
      <c r="P345" s="81">
        <f>IF('Ordenes_Odoo'!P345="","",'Ordenes_Odoo'!P345)</f>
        <v/>
      </c>
      <c r="Q345" s="79">
        <f>IF(A345="","",IFERROR(INDEX(Facturas_Odoo!$B:$B, MATCH(A345, Facturas_Odoo!$D:$D, 0)), "Sin Factura"))</f>
        <v/>
      </c>
      <c r="R345" s="80">
        <f>IF(Q345="Sin Factura","",IFERROR(INDEX(Facturas_Odoo!$A:$A, MATCH(Q345, Facturas_Odoo!$B:$B, 0)), ""))</f>
        <v/>
      </c>
      <c r="S345" s="79">
        <f>IF(Q345="Sin Factura","",IFERROR(_xlfn.XLOOKUP(1, (Facturas_Odoo!$D:$D=A345) * (Facturas_Odoo!$K:$K=I345), Facturas_Odoo!$L:$L, ""), ""))</f>
        <v/>
      </c>
      <c r="T345" s="81">
        <f>IF(Q345="Sin Factura",0,IFERROR(_xlfn.XLOOKUP(1, (Facturas_Odoo!$D:$D=A345) * (Facturas_Odoo!$K:$K=I345), Facturas_Odoo!$M:$M, 0), 0))</f>
        <v/>
      </c>
      <c r="U345" s="79">
        <f>IF(Q345="Sin Factura",0,IFERROR(_xlfn.XLOOKUP(1, (Facturas_Odoo!$D:$D=A345) * (Facturas_Odoo!$K:$K=I345), Facturas_Odoo!$N:$N, 0), 0))</f>
        <v/>
      </c>
      <c r="V345" s="79">
        <f>IF(Q345="Sin Factura",0,IFERROR(_xlfn.XLOOKUP(1, (Facturas_Odoo!$D:$D=A345) * (Facturas_Odoo!$K:$K=I345), Facturas_Odoo!$O:$O, 0), 0))</f>
        <v/>
      </c>
      <c r="W345" s="81">
        <f>IF(Q345="Sin Factura",0,IFERROR(_xlfn.XLOOKUP(1, (Facturas_Odoo!$D:$D=A345) * (Facturas_Odoo!$K:$K=I345), Facturas_Odoo!$Q:$Q, 0), 0))</f>
        <v/>
      </c>
      <c r="X345" s="79">
        <f>IF(OR(Q345="Sin Factura",Q345=""),"",IFERROR(INDEX(Pagos_Odoo!$B:$B, MATCH(Q345, Pagos_Odoo!$I:$I, 0)), "Sin Pago"))</f>
        <v/>
      </c>
      <c r="Y345" s="79">
        <f>IF(X345="Sin Pago","",IFERROR(INDEX(Pagos_Odoo!$C:$C, MATCH(X345, Pagos_Odoo!$B:$B, 0)), ""))</f>
        <v/>
      </c>
      <c r="Z345" s="80">
        <f>IF(X345="Sin Pago","",IFERROR(INDEX(Pagos_Odoo!$A:$A, MATCH(X345, Pagos_Odoo!$B:$B, 0)), ""))</f>
        <v/>
      </c>
      <c r="AA345" s="79">
        <f>IF(X345="Sin Pago","",IFERROR(INDEX(Pagos_Odoo!$F:$F, MATCH(X345, Pagos_Odoo!$B:$B, 0)), ""))</f>
        <v/>
      </c>
      <c r="AB345" s="81">
        <f>IF(X345="Sin Pago",0,IFERROR(INDEX(Pagos_Odoo!$E:$E, MATCH(X345, Pagos_Odoo!$B:$B, 0)), 0))</f>
        <v/>
      </c>
      <c r="AC345" s="79">
        <f>IF(X345="Sin Pago","",IFERROR(INDEX(Pagos_Odoo!$G:$G, MATCH(X345, Pagos_Odoo!$B:$B, 0)), ""))</f>
        <v/>
      </c>
      <c r="AD345" s="82" t="n">
        <v>0</v>
      </c>
      <c r="AE345" s="82" t="n"/>
      <c r="AF345" s="82" t="n"/>
      <c r="AG345" s="82">
        <f>IF(AN345="","",AD345+AE345+AF345)</f>
        <v/>
      </c>
      <c r="AH345" s="81">
        <f>IF(AN345="","",P345*(1-AG345))</f>
        <v/>
      </c>
      <c r="AI345" s="81">
        <f>IF(AN345="","",IF(Q345="Sin Factura",0,IFERROR(INDEX(Facturas_Odoo!$H:$H, MATCH(Q345, Facturas_Odoo!$B:$B, 0)), 0)*(1-AG345)))</f>
        <v/>
      </c>
      <c r="AJ345" s="81">
        <f>IF(AN345="","",_xlfn.LET(idVenta, AN345&amp;"",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45" s="81">
        <f>IF(AN345="","",AH345-AJ345)</f>
        <v/>
      </c>
      <c r="AL345" s="81">
        <f>IF(AN345="","",IF(Q345="Sin Factura","",AI345-AJ345))</f>
        <v/>
      </c>
      <c r="AM345" s="81">
        <f>IF(AN345="","",IF(Q345="Sin Factura",0,P345-IFERROR(INDEX(Facturas_Odoo!$H:$H, MATCH(Q345, Facturas_Odoo!$B:$B, 0)), 0)))</f>
        <v/>
      </c>
      <c r="AN345" s="79">
        <f>IF(AND(A345="", J345=""), "", IF(A345&lt;&gt;"", VALUE(MID(A345,2,LEN(A345))), AN344))</f>
        <v/>
      </c>
      <c r="AO345" s="79">
        <f>IF(AN345="","",IF(AD345=0,"OK",_xlfn.LET(monedaPago, IF(AA345="","USD",AA345), limitePermitido, IFERROR(VLOOKUP(monedaPago, Configuración!$A$2:$B$3, 2, FALSE), 0.15), IF(AD345&gt;limitePermitido, "ALERTA: EXCESO (" &amp; TEXT(limitePermitido, "0%") &amp; " máx)", "OK"))))</f>
        <v/>
      </c>
      <c r="AP345" s="79">
        <f>IF(AN345="","",IF(AE345=0,"OK",_xlfn.LET(fechaPago, Z345, fechaFactura, R345, diasCredito, IF(E345="Pago inmediato", 0, IFERROR(VALUE(MID(E345, 1, SEARCH(" ", E345)-1)),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45" s="79">
        <f>IF(AN345="","",IF(AND(N345&gt;0, AG345&gt;0), IF(Configuración!$K$2="NO", "ALERTA: DESCUENTO DOBLE NO PERMITIDO", "OK"), "OK"))</f>
        <v/>
      </c>
      <c r="AR345" s="79">
        <f>IF(AN345="","",IF(OR(AO345&lt;&gt;"OK", AP345&lt;&gt;"OK", AQ345&lt;&gt;"OK"), "⚠️ REVISAR", "OK"))</f>
        <v/>
      </c>
    </row>
    <row r="346">
      <c r="A346" s="79">
        <f>IF('Ordenes_Odoo'!A346="","",'Ordenes_Odoo'!A346)</f>
        <v/>
      </c>
      <c r="B346" s="80">
        <f>IF('Ordenes_Odoo'!B346="","",'Ordenes_Odoo'!B346)</f>
        <v/>
      </c>
      <c r="C346" s="79">
        <f>IF('Ordenes_Odoo'!C346="","",'Ordenes_Odoo'!C346)</f>
        <v/>
      </c>
      <c r="D346" s="79">
        <f>IF('Ordenes_Odoo'!D346="","",'Ordenes_Odoo'!D346)</f>
        <v/>
      </c>
      <c r="E346" s="79">
        <f>IF('Ordenes_Odoo'!E346="","",'Ordenes_Odoo'!E346)</f>
        <v/>
      </c>
      <c r="F346" s="79">
        <f>IF('Ordenes_Odoo'!F346="","",'Ordenes_Odoo'!F346)</f>
        <v/>
      </c>
      <c r="G346" s="79">
        <f>IF('Ordenes_Odoo'!G346="","",'Ordenes_Odoo'!G346)</f>
        <v/>
      </c>
      <c r="H346" s="79">
        <f>IF('Ordenes_Odoo'!H346="","",'Ordenes_Odoo'!H346)</f>
        <v/>
      </c>
      <c r="I346" s="79">
        <f>IF('Ordenes_Odoo'!I346="","",'Ordenes_Odoo'!I346)</f>
        <v/>
      </c>
      <c r="J346" s="79">
        <f>IF('Ordenes_Odoo'!J346="","",'Ordenes_Odoo'!J346)</f>
        <v/>
      </c>
      <c r="K346" s="81">
        <f>IF('Ordenes_Odoo'!K346="","",'Ordenes_Odoo'!K346)</f>
        <v/>
      </c>
      <c r="L346" s="81">
        <f>IF('Ordenes_Odoo'!L346="","",'Ordenes_Odoo'!L346)</f>
        <v/>
      </c>
      <c r="M346" s="79">
        <f>IF('Ordenes_Odoo'!M346="","",'Ordenes_Odoo'!M346)</f>
        <v/>
      </c>
      <c r="N346" s="79">
        <f>IF('Ordenes_Odoo'!N346="","",'Ordenes_Odoo'!N346)</f>
        <v/>
      </c>
      <c r="O346" s="81">
        <f>IF('Ordenes_Odoo'!O346="","",'Ordenes_Odoo'!O346)</f>
        <v/>
      </c>
      <c r="P346" s="81">
        <f>IF('Ordenes_Odoo'!P346="","",'Ordenes_Odoo'!P346)</f>
        <v/>
      </c>
      <c r="Q346" s="79">
        <f>IF(A346="","",IFERROR(INDEX(Facturas_Odoo!$B:$B, MATCH(A346, Facturas_Odoo!$D:$D, 0)), "Sin Factura"))</f>
        <v/>
      </c>
      <c r="R346" s="80">
        <f>IF(Q346="Sin Factura","",IFERROR(INDEX(Facturas_Odoo!$A:$A, MATCH(Q346, Facturas_Odoo!$B:$B, 0)), ""))</f>
        <v/>
      </c>
      <c r="S346" s="79">
        <f>IF(Q346="Sin Factura","",IFERROR(_xlfn.XLOOKUP(1, (Facturas_Odoo!$D:$D=A346) * (Facturas_Odoo!$K:$K=I346), Facturas_Odoo!$L:$L, ""), ""))</f>
        <v/>
      </c>
      <c r="T346" s="81">
        <f>IF(Q346="Sin Factura",0,IFERROR(_xlfn.XLOOKUP(1, (Facturas_Odoo!$D:$D=A346) * (Facturas_Odoo!$K:$K=I346), Facturas_Odoo!$M:$M, 0), 0))</f>
        <v/>
      </c>
      <c r="U346" s="79">
        <f>IF(Q346="Sin Factura",0,IFERROR(_xlfn.XLOOKUP(1, (Facturas_Odoo!$D:$D=A346) * (Facturas_Odoo!$K:$K=I346), Facturas_Odoo!$N:$N, 0), 0))</f>
        <v/>
      </c>
      <c r="V346" s="79">
        <f>IF(Q346="Sin Factura",0,IFERROR(_xlfn.XLOOKUP(1, (Facturas_Odoo!$D:$D=A346) * (Facturas_Odoo!$K:$K=I346), Facturas_Odoo!$O:$O, 0), 0))</f>
        <v/>
      </c>
      <c r="W346" s="81">
        <f>IF(Q346="Sin Factura",0,IFERROR(_xlfn.XLOOKUP(1, (Facturas_Odoo!$D:$D=A346) * (Facturas_Odoo!$K:$K=I346), Facturas_Odoo!$Q:$Q, 0), 0))</f>
        <v/>
      </c>
      <c r="X346" s="79">
        <f>IF(OR(Q346="Sin Factura",Q346=""),"",IFERROR(INDEX(Pagos_Odoo!$B:$B, MATCH(Q346, Pagos_Odoo!$I:$I, 0)), "Sin Pago"))</f>
        <v/>
      </c>
      <c r="Y346" s="79">
        <f>IF(X346="Sin Pago","",IFERROR(INDEX(Pagos_Odoo!$C:$C, MATCH(X346, Pagos_Odoo!$B:$B, 0)), ""))</f>
        <v/>
      </c>
      <c r="Z346" s="80">
        <f>IF(X346="Sin Pago","",IFERROR(INDEX(Pagos_Odoo!$A:$A, MATCH(X346, Pagos_Odoo!$B:$B, 0)), ""))</f>
        <v/>
      </c>
      <c r="AA346" s="79">
        <f>IF(X346="Sin Pago","",IFERROR(INDEX(Pagos_Odoo!$F:$F, MATCH(X346, Pagos_Odoo!$B:$B, 0)), ""))</f>
        <v/>
      </c>
      <c r="AB346" s="81">
        <f>IF(X346="Sin Pago",0,IFERROR(INDEX(Pagos_Odoo!$E:$E, MATCH(X346, Pagos_Odoo!$B:$B, 0)), 0))</f>
        <v/>
      </c>
      <c r="AC346" s="79">
        <f>IF(X346="Sin Pago","",IFERROR(INDEX(Pagos_Odoo!$G:$G, MATCH(X346, Pagos_Odoo!$B:$B, 0)), ""))</f>
        <v/>
      </c>
      <c r="AD346" s="82" t="n">
        <v>0</v>
      </c>
      <c r="AE346" s="82" t="n"/>
      <c r="AF346" s="82" t="n"/>
      <c r="AG346" s="82">
        <f>IF(AN346="","",AD346+AE346+AF346)</f>
        <v/>
      </c>
      <c r="AH346" s="81">
        <f>IF(AN346="","",P346*(1-AG346))</f>
        <v/>
      </c>
      <c r="AI346" s="81">
        <f>IF(AN346="","",IF(Q346="Sin Factura",0,IFERROR(INDEX(Facturas_Odoo!$H:$H, MATCH(Q346, Facturas_Odoo!$B:$B, 0)), 0)*(1-AG346)))</f>
        <v/>
      </c>
      <c r="AJ346" s="81">
        <f>IF(AN346="","",_xlfn.LET(idVenta, AN346&amp;"",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46" s="81">
        <f>IF(AN346="","",AH346-AJ346)</f>
        <v/>
      </c>
      <c r="AL346" s="81">
        <f>IF(AN346="","",IF(Q346="Sin Factura","",AI346-AJ346))</f>
        <v/>
      </c>
      <c r="AM346" s="81">
        <f>IF(AN346="","",IF(Q346="Sin Factura",0,P346-IFERROR(INDEX(Facturas_Odoo!$H:$H, MATCH(Q346, Facturas_Odoo!$B:$B, 0)), 0)))</f>
        <v/>
      </c>
      <c r="AN346" s="79">
        <f>IF(AND(A346="", J346=""), "", IF(A346&lt;&gt;"", VALUE(MID(A346,2,LEN(A346))), AN345))</f>
        <v/>
      </c>
      <c r="AO346" s="79">
        <f>IF(AN346="","",IF(AD346=0,"OK",_xlfn.LET(monedaPago, IF(AA346="","USD",AA346), limitePermitido, IFERROR(VLOOKUP(monedaPago, Configuración!$A$2:$B$3, 2, FALSE), 0.15), IF(AD346&gt;limitePermitido, "ALERTA: EXCESO (" &amp; TEXT(limitePermitido, "0%") &amp; " máx)", "OK"))))</f>
        <v/>
      </c>
      <c r="AP346" s="79">
        <f>IF(AN346="","",IF(AE346=0,"OK",_xlfn.LET(fechaPago, Z346, fechaFactura, R346, diasCredito, IF(E346="Pago inmediato", 0, IFERROR(VALUE(MID(E346, 1, SEARCH(" ", E346)-1)),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46" s="79">
        <f>IF(AN346="","",IF(AND(N346&gt;0, AG346&gt;0), IF(Configuración!$K$2="NO", "ALERTA: DESCUENTO DOBLE NO PERMITIDO", "OK"), "OK"))</f>
        <v/>
      </c>
      <c r="AR346" s="79">
        <f>IF(AN346="","",IF(OR(AO346&lt;&gt;"OK", AP346&lt;&gt;"OK", AQ346&lt;&gt;"OK"), "⚠️ REVISAR", "OK"))</f>
        <v/>
      </c>
    </row>
    <row r="347">
      <c r="A347" s="79">
        <f>IF('Ordenes_Odoo'!A347="","",'Ordenes_Odoo'!A347)</f>
        <v/>
      </c>
      <c r="B347" s="80">
        <f>IF('Ordenes_Odoo'!B347="","",'Ordenes_Odoo'!B347)</f>
        <v/>
      </c>
      <c r="C347" s="79">
        <f>IF('Ordenes_Odoo'!C347="","",'Ordenes_Odoo'!C347)</f>
        <v/>
      </c>
      <c r="D347" s="79">
        <f>IF('Ordenes_Odoo'!D347="","",'Ordenes_Odoo'!D347)</f>
        <v/>
      </c>
      <c r="E347" s="79">
        <f>IF('Ordenes_Odoo'!E347="","",'Ordenes_Odoo'!E347)</f>
        <v/>
      </c>
      <c r="F347" s="79">
        <f>IF('Ordenes_Odoo'!F347="","",'Ordenes_Odoo'!F347)</f>
        <v/>
      </c>
      <c r="G347" s="79">
        <f>IF('Ordenes_Odoo'!G347="","",'Ordenes_Odoo'!G347)</f>
        <v/>
      </c>
      <c r="H347" s="79">
        <f>IF('Ordenes_Odoo'!H347="","",'Ordenes_Odoo'!H347)</f>
        <v/>
      </c>
      <c r="I347" s="79">
        <f>IF('Ordenes_Odoo'!I347="","",'Ordenes_Odoo'!I347)</f>
        <v/>
      </c>
      <c r="J347" s="79">
        <f>IF('Ordenes_Odoo'!J347="","",'Ordenes_Odoo'!J347)</f>
        <v/>
      </c>
      <c r="K347" s="81">
        <f>IF('Ordenes_Odoo'!K347="","",'Ordenes_Odoo'!K347)</f>
        <v/>
      </c>
      <c r="L347" s="81">
        <f>IF('Ordenes_Odoo'!L347="","",'Ordenes_Odoo'!L347)</f>
        <v/>
      </c>
      <c r="M347" s="79">
        <f>IF('Ordenes_Odoo'!M347="","",'Ordenes_Odoo'!M347)</f>
        <v/>
      </c>
      <c r="N347" s="79">
        <f>IF('Ordenes_Odoo'!N347="","",'Ordenes_Odoo'!N347)</f>
        <v/>
      </c>
      <c r="O347" s="81">
        <f>IF('Ordenes_Odoo'!O347="","",'Ordenes_Odoo'!O347)</f>
        <v/>
      </c>
      <c r="P347" s="81">
        <f>IF('Ordenes_Odoo'!P347="","",'Ordenes_Odoo'!P347)</f>
        <v/>
      </c>
      <c r="Q347" s="79">
        <f>IF(A347="","",IFERROR(INDEX(Facturas_Odoo!$B:$B, MATCH(A347, Facturas_Odoo!$D:$D, 0)), "Sin Factura"))</f>
        <v/>
      </c>
      <c r="R347" s="80">
        <f>IF(Q347="Sin Factura","",IFERROR(INDEX(Facturas_Odoo!$A:$A, MATCH(Q347, Facturas_Odoo!$B:$B, 0)), ""))</f>
        <v/>
      </c>
      <c r="S347" s="79">
        <f>IF(Q347="Sin Factura","",IFERROR(_xlfn.XLOOKUP(1, (Facturas_Odoo!$D:$D=A347) * (Facturas_Odoo!$K:$K=I347), Facturas_Odoo!$L:$L, ""), ""))</f>
        <v/>
      </c>
      <c r="T347" s="81">
        <f>IF(Q347="Sin Factura",0,IFERROR(_xlfn.XLOOKUP(1, (Facturas_Odoo!$D:$D=A347) * (Facturas_Odoo!$K:$K=I347), Facturas_Odoo!$M:$M, 0), 0))</f>
        <v/>
      </c>
      <c r="U347" s="79">
        <f>IF(Q347="Sin Factura",0,IFERROR(_xlfn.XLOOKUP(1, (Facturas_Odoo!$D:$D=A347) * (Facturas_Odoo!$K:$K=I347), Facturas_Odoo!$N:$N, 0), 0))</f>
        <v/>
      </c>
      <c r="V347" s="79">
        <f>IF(Q347="Sin Factura",0,IFERROR(_xlfn.XLOOKUP(1, (Facturas_Odoo!$D:$D=A347) * (Facturas_Odoo!$K:$K=I347), Facturas_Odoo!$O:$O, 0), 0))</f>
        <v/>
      </c>
      <c r="W347" s="81">
        <f>IF(Q347="Sin Factura",0,IFERROR(_xlfn.XLOOKUP(1, (Facturas_Odoo!$D:$D=A347) * (Facturas_Odoo!$K:$K=I347), Facturas_Odoo!$Q:$Q, 0), 0))</f>
        <v/>
      </c>
      <c r="X347" s="79">
        <f>IF(OR(Q347="Sin Factura",Q347=""),"",IFERROR(INDEX(Pagos_Odoo!$B:$B, MATCH(Q347, Pagos_Odoo!$I:$I, 0)), "Sin Pago"))</f>
        <v/>
      </c>
      <c r="Y347" s="79">
        <f>IF(X347="Sin Pago","",IFERROR(INDEX(Pagos_Odoo!$C:$C, MATCH(X347, Pagos_Odoo!$B:$B, 0)), ""))</f>
        <v/>
      </c>
      <c r="Z347" s="80">
        <f>IF(X347="Sin Pago","",IFERROR(INDEX(Pagos_Odoo!$A:$A, MATCH(X347, Pagos_Odoo!$B:$B, 0)), ""))</f>
        <v/>
      </c>
      <c r="AA347" s="79">
        <f>IF(X347="Sin Pago","",IFERROR(INDEX(Pagos_Odoo!$F:$F, MATCH(X347, Pagos_Odoo!$B:$B, 0)), ""))</f>
        <v/>
      </c>
      <c r="AB347" s="81">
        <f>IF(X347="Sin Pago",0,IFERROR(INDEX(Pagos_Odoo!$E:$E, MATCH(X347, Pagos_Odoo!$B:$B, 0)), 0))</f>
        <v/>
      </c>
      <c r="AC347" s="79">
        <f>IF(X347="Sin Pago","",IFERROR(INDEX(Pagos_Odoo!$G:$G, MATCH(X347, Pagos_Odoo!$B:$B, 0)), ""))</f>
        <v/>
      </c>
      <c r="AD347" s="82" t="n">
        <v>0</v>
      </c>
      <c r="AE347" s="82" t="n"/>
      <c r="AF347" s="82" t="n"/>
      <c r="AG347" s="82">
        <f>IF(AN347="","",AD347+AE347+AF347)</f>
        <v/>
      </c>
      <c r="AH347" s="81">
        <f>IF(AN347="","",P347*(1-AG347))</f>
        <v/>
      </c>
      <c r="AI347" s="81">
        <f>IF(AN347="","",IF(Q347="Sin Factura",0,IFERROR(INDEX(Facturas_Odoo!$H:$H, MATCH(Q347, Facturas_Odoo!$B:$B, 0)), 0)*(1-AG347)))</f>
        <v/>
      </c>
      <c r="AJ347" s="81">
        <f>IF(AN347="","",_xlfn.LET(idVenta, AN347&amp;"",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47" s="81">
        <f>IF(AN347="","",AH347-AJ347)</f>
        <v/>
      </c>
      <c r="AL347" s="81">
        <f>IF(AN347="","",IF(Q347="Sin Factura","",AI347-AJ347))</f>
        <v/>
      </c>
      <c r="AM347" s="81">
        <f>IF(AN347="","",IF(Q347="Sin Factura",0,P347-IFERROR(INDEX(Facturas_Odoo!$H:$H, MATCH(Q347, Facturas_Odoo!$B:$B, 0)), 0)))</f>
        <v/>
      </c>
      <c r="AN347" s="79">
        <f>IF(AND(A347="", J347=""), "", IF(A347&lt;&gt;"", VALUE(MID(A347,2,LEN(A347))), AN346))</f>
        <v/>
      </c>
      <c r="AO347" s="79">
        <f>IF(AN347="","",IF(AD347=0,"OK",_xlfn.LET(monedaPago, IF(AA347="","USD",AA347), limitePermitido, IFERROR(VLOOKUP(monedaPago, Configuración!$A$2:$B$3, 2, FALSE), 0.15), IF(AD347&gt;limitePermitido, "ALERTA: EXCESO (" &amp; TEXT(limitePermitido, "0%") &amp; " máx)", "OK"))))</f>
        <v/>
      </c>
      <c r="AP347" s="79">
        <f>IF(AN347="","",IF(AE347=0,"OK",_xlfn.LET(fechaPago, Z347, fechaFactura, R347, diasCredito, IF(E347="Pago inmediato", 0, IFERROR(VALUE(MID(E347, 1, SEARCH(" ", E347)-1)),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47" s="79">
        <f>IF(AN347="","",IF(AND(N347&gt;0, AG347&gt;0), IF(Configuración!$K$2="NO", "ALERTA: DESCUENTO DOBLE NO PERMITIDO", "OK"), "OK"))</f>
        <v/>
      </c>
      <c r="AR347" s="79">
        <f>IF(AN347="","",IF(OR(AO347&lt;&gt;"OK", AP347&lt;&gt;"OK", AQ347&lt;&gt;"OK"), "⚠️ REVISAR", "OK"))</f>
        <v/>
      </c>
    </row>
    <row r="348">
      <c r="A348" s="79">
        <f>IF('Ordenes_Odoo'!A348="","",'Ordenes_Odoo'!A348)</f>
        <v/>
      </c>
      <c r="B348" s="80">
        <f>IF('Ordenes_Odoo'!B348="","",'Ordenes_Odoo'!B348)</f>
        <v/>
      </c>
      <c r="C348" s="79">
        <f>IF('Ordenes_Odoo'!C348="","",'Ordenes_Odoo'!C348)</f>
        <v/>
      </c>
      <c r="D348" s="79">
        <f>IF('Ordenes_Odoo'!D348="","",'Ordenes_Odoo'!D348)</f>
        <v/>
      </c>
      <c r="E348" s="79">
        <f>IF('Ordenes_Odoo'!E348="","",'Ordenes_Odoo'!E348)</f>
        <v/>
      </c>
      <c r="F348" s="79">
        <f>IF('Ordenes_Odoo'!F348="","",'Ordenes_Odoo'!F348)</f>
        <v/>
      </c>
      <c r="G348" s="79">
        <f>IF('Ordenes_Odoo'!G348="","",'Ordenes_Odoo'!G348)</f>
        <v/>
      </c>
      <c r="H348" s="79">
        <f>IF('Ordenes_Odoo'!H348="","",'Ordenes_Odoo'!H348)</f>
        <v/>
      </c>
      <c r="I348" s="79">
        <f>IF('Ordenes_Odoo'!I348="","",'Ordenes_Odoo'!I348)</f>
        <v/>
      </c>
      <c r="J348" s="79">
        <f>IF('Ordenes_Odoo'!J348="","",'Ordenes_Odoo'!J348)</f>
        <v/>
      </c>
      <c r="K348" s="81">
        <f>IF('Ordenes_Odoo'!K348="","",'Ordenes_Odoo'!K348)</f>
        <v/>
      </c>
      <c r="L348" s="81">
        <f>IF('Ordenes_Odoo'!L348="","",'Ordenes_Odoo'!L348)</f>
        <v/>
      </c>
      <c r="M348" s="79">
        <f>IF('Ordenes_Odoo'!M348="","",'Ordenes_Odoo'!M348)</f>
        <v/>
      </c>
      <c r="N348" s="79">
        <f>IF('Ordenes_Odoo'!N348="","",'Ordenes_Odoo'!N348)</f>
        <v/>
      </c>
      <c r="O348" s="81">
        <f>IF('Ordenes_Odoo'!O348="","",'Ordenes_Odoo'!O348)</f>
        <v/>
      </c>
      <c r="P348" s="81">
        <f>IF('Ordenes_Odoo'!P348="","",'Ordenes_Odoo'!P348)</f>
        <v/>
      </c>
      <c r="Q348" s="79">
        <f>IF(A348="","",IFERROR(INDEX(Facturas_Odoo!$B:$B, MATCH(A348, Facturas_Odoo!$D:$D, 0)), "Sin Factura"))</f>
        <v/>
      </c>
      <c r="R348" s="80">
        <f>IF(Q348="Sin Factura","",IFERROR(INDEX(Facturas_Odoo!$A:$A, MATCH(Q348, Facturas_Odoo!$B:$B, 0)), ""))</f>
        <v/>
      </c>
      <c r="S348" s="79">
        <f>IF(Q348="Sin Factura","",IFERROR(_xlfn.XLOOKUP(1, (Facturas_Odoo!$D:$D=A348) * (Facturas_Odoo!$K:$K=I348), Facturas_Odoo!$L:$L, ""), ""))</f>
        <v/>
      </c>
      <c r="T348" s="81">
        <f>IF(Q348="Sin Factura",0,IFERROR(_xlfn.XLOOKUP(1, (Facturas_Odoo!$D:$D=A348) * (Facturas_Odoo!$K:$K=I348), Facturas_Odoo!$M:$M, 0), 0))</f>
        <v/>
      </c>
      <c r="U348" s="79">
        <f>IF(Q348="Sin Factura",0,IFERROR(_xlfn.XLOOKUP(1, (Facturas_Odoo!$D:$D=A348) * (Facturas_Odoo!$K:$K=I348), Facturas_Odoo!$N:$N, 0), 0))</f>
        <v/>
      </c>
      <c r="V348" s="79">
        <f>IF(Q348="Sin Factura",0,IFERROR(_xlfn.XLOOKUP(1, (Facturas_Odoo!$D:$D=A348) * (Facturas_Odoo!$K:$K=I348), Facturas_Odoo!$O:$O, 0), 0))</f>
        <v/>
      </c>
      <c r="W348" s="81">
        <f>IF(Q348="Sin Factura",0,IFERROR(_xlfn.XLOOKUP(1, (Facturas_Odoo!$D:$D=A348) * (Facturas_Odoo!$K:$K=I348), Facturas_Odoo!$Q:$Q, 0), 0))</f>
        <v/>
      </c>
      <c r="X348" s="79">
        <f>IF(OR(Q348="Sin Factura",Q348=""),"",IFERROR(INDEX(Pagos_Odoo!$B:$B, MATCH(Q348, Pagos_Odoo!$I:$I, 0)), "Sin Pago"))</f>
        <v/>
      </c>
      <c r="Y348" s="79">
        <f>IF(X348="Sin Pago","",IFERROR(INDEX(Pagos_Odoo!$C:$C, MATCH(X348, Pagos_Odoo!$B:$B, 0)), ""))</f>
        <v/>
      </c>
      <c r="Z348" s="80">
        <f>IF(X348="Sin Pago","",IFERROR(INDEX(Pagos_Odoo!$A:$A, MATCH(X348, Pagos_Odoo!$B:$B, 0)), ""))</f>
        <v/>
      </c>
      <c r="AA348" s="79">
        <f>IF(X348="Sin Pago","",IFERROR(INDEX(Pagos_Odoo!$F:$F, MATCH(X348, Pagos_Odoo!$B:$B, 0)), ""))</f>
        <v/>
      </c>
      <c r="AB348" s="81">
        <f>IF(X348="Sin Pago",0,IFERROR(INDEX(Pagos_Odoo!$E:$E, MATCH(X348, Pagos_Odoo!$B:$B, 0)), 0))</f>
        <v/>
      </c>
      <c r="AC348" s="79">
        <f>IF(X348="Sin Pago","",IFERROR(INDEX(Pagos_Odoo!$G:$G, MATCH(X348, Pagos_Odoo!$B:$B, 0)), ""))</f>
        <v/>
      </c>
      <c r="AD348" s="82" t="n">
        <v>0</v>
      </c>
      <c r="AE348" s="82" t="n"/>
      <c r="AF348" s="82" t="n"/>
      <c r="AG348" s="82">
        <f>IF(AN348="","",AD348+AE348+AF348)</f>
        <v/>
      </c>
      <c r="AH348" s="81">
        <f>IF(AN348="","",P348*(1-AG348))</f>
        <v/>
      </c>
      <c r="AI348" s="81">
        <f>IF(AN348="","",IF(Q348="Sin Factura",0,IFERROR(INDEX(Facturas_Odoo!$H:$H, MATCH(Q348, Facturas_Odoo!$B:$B, 0)), 0)*(1-AG348)))</f>
        <v/>
      </c>
      <c r="AJ348" s="81">
        <f>IF(AN348="","",_xlfn.LET(idVenta, AN348&amp;"",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48" s="81">
        <f>IF(AN348="","",AH348-AJ348)</f>
        <v/>
      </c>
      <c r="AL348" s="81">
        <f>IF(AN348="","",IF(Q348="Sin Factura","",AI348-AJ348))</f>
        <v/>
      </c>
      <c r="AM348" s="81">
        <f>IF(AN348="","",IF(Q348="Sin Factura",0,P348-IFERROR(INDEX(Facturas_Odoo!$H:$H, MATCH(Q348, Facturas_Odoo!$B:$B, 0)), 0)))</f>
        <v/>
      </c>
      <c r="AN348" s="79">
        <f>IF(AND(A348="", J348=""), "", IF(A348&lt;&gt;"", VALUE(MID(A348,2,LEN(A348))), AN347))</f>
        <v/>
      </c>
      <c r="AO348" s="79">
        <f>IF(AN348="","",IF(AD348=0,"OK",_xlfn.LET(monedaPago, IF(AA348="","USD",AA348), limitePermitido, IFERROR(VLOOKUP(monedaPago, Configuración!$A$2:$B$3, 2, FALSE), 0.15), IF(AD348&gt;limitePermitido, "ALERTA: EXCESO (" &amp; TEXT(limitePermitido, "0%") &amp; " máx)", "OK"))))</f>
        <v/>
      </c>
      <c r="AP348" s="79">
        <f>IF(AN348="","",IF(AE348=0,"OK",_xlfn.LET(fechaPago, Z348, fechaFactura, R348, diasCredito, IF(E348="Pago inmediato", 0, IFERROR(VALUE(MID(E348, 1, SEARCH(" ", E348)-1)),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48" s="79">
        <f>IF(AN348="","",IF(AND(N348&gt;0, AG348&gt;0), IF(Configuración!$K$2="NO", "ALERTA: DESCUENTO DOBLE NO PERMITIDO", "OK"), "OK"))</f>
        <v/>
      </c>
      <c r="AR348" s="79">
        <f>IF(AN348="","",IF(OR(AO348&lt;&gt;"OK", AP348&lt;&gt;"OK", AQ348&lt;&gt;"OK"), "⚠️ REVISAR", "OK"))</f>
        <v/>
      </c>
    </row>
    <row r="349">
      <c r="A349" s="79">
        <f>IF('Ordenes_Odoo'!A349="","",'Ordenes_Odoo'!A349)</f>
        <v/>
      </c>
      <c r="B349" s="80">
        <f>IF('Ordenes_Odoo'!B349="","",'Ordenes_Odoo'!B349)</f>
        <v/>
      </c>
      <c r="C349" s="79">
        <f>IF('Ordenes_Odoo'!C349="","",'Ordenes_Odoo'!C349)</f>
        <v/>
      </c>
      <c r="D349" s="79">
        <f>IF('Ordenes_Odoo'!D349="","",'Ordenes_Odoo'!D349)</f>
        <v/>
      </c>
      <c r="E349" s="79">
        <f>IF('Ordenes_Odoo'!E349="","",'Ordenes_Odoo'!E349)</f>
        <v/>
      </c>
      <c r="F349" s="79">
        <f>IF('Ordenes_Odoo'!F349="","",'Ordenes_Odoo'!F349)</f>
        <v/>
      </c>
      <c r="G349" s="79">
        <f>IF('Ordenes_Odoo'!G349="","",'Ordenes_Odoo'!G349)</f>
        <v/>
      </c>
      <c r="H349" s="79">
        <f>IF('Ordenes_Odoo'!H349="","",'Ordenes_Odoo'!H349)</f>
        <v/>
      </c>
      <c r="I349" s="79">
        <f>IF('Ordenes_Odoo'!I349="","",'Ordenes_Odoo'!I349)</f>
        <v/>
      </c>
      <c r="J349" s="79">
        <f>IF('Ordenes_Odoo'!J349="","",'Ordenes_Odoo'!J349)</f>
        <v/>
      </c>
      <c r="K349" s="81">
        <f>IF('Ordenes_Odoo'!K349="","",'Ordenes_Odoo'!K349)</f>
        <v/>
      </c>
      <c r="L349" s="81">
        <f>IF('Ordenes_Odoo'!L349="","",'Ordenes_Odoo'!L349)</f>
        <v/>
      </c>
      <c r="M349" s="79">
        <f>IF('Ordenes_Odoo'!M349="","",'Ordenes_Odoo'!M349)</f>
        <v/>
      </c>
      <c r="N349" s="79">
        <f>IF('Ordenes_Odoo'!N349="","",'Ordenes_Odoo'!N349)</f>
        <v/>
      </c>
      <c r="O349" s="81">
        <f>IF('Ordenes_Odoo'!O349="","",'Ordenes_Odoo'!O349)</f>
        <v/>
      </c>
      <c r="P349" s="81">
        <f>IF('Ordenes_Odoo'!P349="","",'Ordenes_Odoo'!P349)</f>
        <v/>
      </c>
      <c r="Q349" s="79">
        <f>IF(A349="","",IFERROR(INDEX(Facturas_Odoo!$B:$B, MATCH(A349, Facturas_Odoo!$D:$D, 0)), "Sin Factura"))</f>
        <v/>
      </c>
      <c r="R349" s="80">
        <f>IF(Q349="Sin Factura","",IFERROR(INDEX(Facturas_Odoo!$A:$A, MATCH(Q349, Facturas_Odoo!$B:$B, 0)), ""))</f>
        <v/>
      </c>
      <c r="S349" s="79">
        <f>IF(Q349="Sin Factura","",IFERROR(_xlfn.XLOOKUP(1, (Facturas_Odoo!$D:$D=A349) * (Facturas_Odoo!$K:$K=I349), Facturas_Odoo!$L:$L, ""), ""))</f>
        <v/>
      </c>
      <c r="T349" s="81">
        <f>IF(Q349="Sin Factura",0,IFERROR(_xlfn.XLOOKUP(1, (Facturas_Odoo!$D:$D=A349) * (Facturas_Odoo!$K:$K=I349), Facturas_Odoo!$M:$M, 0), 0))</f>
        <v/>
      </c>
      <c r="U349" s="79">
        <f>IF(Q349="Sin Factura",0,IFERROR(_xlfn.XLOOKUP(1, (Facturas_Odoo!$D:$D=A349) * (Facturas_Odoo!$K:$K=I349), Facturas_Odoo!$N:$N, 0), 0))</f>
        <v/>
      </c>
      <c r="V349" s="79">
        <f>IF(Q349="Sin Factura",0,IFERROR(_xlfn.XLOOKUP(1, (Facturas_Odoo!$D:$D=A349) * (Facturas_Odoo!$K:$K=I349), Facturas_Odoo!$O:$O, 0), 0))</f>
        <v/>
      </c>
      <c r="W349" s="81">
        <f>IF(Q349="Sin Factura",0,IFERROR(_xlfn.XLOOKUP(1, (Facturas_Odoo!$D:$D=A349) * (Facturas_Odoo!$K:$K=I349), Facturas_Odoo!$Q:$Q, 0), 0))</f>
        <v/>
      </c>
      <c r="X349" s="79">
        <f>IF(OR(Q349="Sin Factura",Q349=""),"",IFERROR(INDEX(Pagos_Odoo!$B:$B, MATCH(Q349, Pagos_Odoo!$I:$I, 0)), "Sin Pago"))</f>
        <v/>
      </c>
      <c r="Y349" s="79">
        <f>IF(X349="Sin Pago","",IFERROR(INDEX(Pagos_Odoo!$C:$C, MATCH(X349, Pagos_Odoo!$B:$B, 0)), ""))</f>
        <v/>
      </c>
      <c r="Z349" s="80">
        <f>IF(X349="Sin Pago","",IFERROR(INDEX(Pagos_Odoo!$A:$A, MATCH(X349, Pagos_Odoo!$B:$B, 0)), ""))</f>
        <v/>
      </c>
      <c r="AA349" s="79">
        <f>IF(X349="Sin Pago","",IFERROR(INDEX(Pagos_Odoo!$F:$F, MATCH(X349, Pagos_Odoo!$B:$B, 0)), ""))</f>
        <v/>
      </c>
      <c r="AB349" s="81">
        <f>IF(X349="Sin Pago",0,IFERROR(INDEX(Pagos_Odoo!$E:$E, MATCH(X349, Pagos_Odoo!$B:$B, 0)), 0))</f>
        <v/>
      </c>
      <c r="AC349" s="79">
        <f>IF(X349="Sin Pago","",IFERROR(INDEX(Pagos_Odoo!$G:$G, MATCH(X349, Pagos_Odoo!$B:$B, 0)), ""))</f>
        <v/>
      </c>
      <c r="AD349" s="82" t="n">
        <v>0</v>
      </c>
      <c r="AE349" s="82" t="n"/>
      <c r="AF349" s="82" t="n"/>
      <c r="AG349" s="82">
        <f>IF(AN349="","",AD349+AE349+AF349)</f>
        <v/>
      </c>
      <c r="AH349" s="81">
        <f>IF(AN349="","",P349*(1-AG349))</f>
        <v/>
      </c>
      <c r="AI349" s="81">
        <f>IF(AN349="","",IF(Q349="Sin Factura",0,IFERROR(INDEX(Facturas_Odoo!$H:$H, MATCH(Q349, Facturas_Odoo!$B:$B, 0)), 0)*(1-AG349)))</f>
        <v/>
      </c>
      <c r="AJ349" s="81">
        <f>IF(AN349="","",_xlfn.LET(idVenta, AN349&amp;"",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49" s="81">
        <f>IF(AN349="","",AH349-AJ349)</f>
        <v/>
      </c>
      <c r="AL349" s="81">
        <f>IF(AN349="","",IF(Q349="Sin Factura","",AI349-AJ349))</f>
        <v/>
      </c>
      <c r="AM349" s="81">
        <f>IF(AN349="","",IF(Q349="Sin Factura",0,P349-IFERROR(INDEX(Facturas_Odoo!$H:$H, MATCH(Q349, Facturas_Odoo!$B:$B, 0)), 0)))</f>
        <v/>
      </c>
      <c r="AN349" s="79">
        <f>IF(AND(A349="", J349=""), "", IF(A349&lt;&gt;"", VALUE(MID(A349,2,LEN(A349))), AN348))</f>
        <v/>
      </c>
      <c r="AO349" s="79">
        <f>IF(AN349="","",IF(AD349=0,"OK",_xlfn.LET(monedaPago, IF(AA349="","USD",AA349), limitePermitido, IFERROR(VLOOKUP(monedaPago, Configuración!$A$2:$B$3, 2, FALSE), 0.15), IF(AD349&gt;limitePermitido, "ALERTA: EXCESO (" &amp; TEXT(limitePermitido, "0%") &amp; " máx)", "OK"))))</f>
        <v/>
      </c>
      <c r="AP349" s="79">
        <f>IF(AN349="","",IF(AE349=0,"OK",_xlfn.LET(fechaPago, Z349, fechaFactura, R349, diasCredito, IF(E349="Pago inmediato", 0, IFERROR(VALUE(MID(E349, 1, SEARCH(" ", E349)-1)),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49" s="79">
        <f>IF(AN349="","",IF(AND(N349&gt;0, AG349&gt;0), IF(Configuración!$K$2="NO", "ALERTA: DESCUENTO DOBLE NO PERMITIDO", "OK"), "OK"))</f>
        <v/>
      </c>
      <c r="AR349" s="79">
        <f>IF(AN349="","",IF(OR(AO349&lt;&gt;"OK", AP349&lt;&gt;"OK", AQ349&lt;&gt;"OK"), "⚠️ REVISAR", "OK"))</f>
        <v/>
      </c>
    </row>
    <row r="350">
      <c r="A350" s="79">
        <f>IF('Ordenes_Odoo'!A350="","",'Ordenes_Odoo'!A350)</f>
        <v/>
      </c>
      <c r="B350" s="80">
        <f>IF('Ordenes_Odoo'!B350="","",'Ordenes_Odoo'!B350)</f>
        <v/>
      </c>
      <c r="C350" s="79">
        <f>IF('Ordenes_Odoo'!C350="","",'Ordenes_Odoo'!C350)</f>
        <v/>
      </c>
      <c r="D350" s="79">
        <f>IF('Ordenes_Odoo'!D350="","",'Ordenes_Odoo'!D350)</f>
        <v/>
      </c>
      <c r="E350" s="79">
        <f>IF('Ordenes_Odoo'!E350="","",'Ordenes_Odoo'!E350)</f>
        <v/>
      </c>
      <c r="F350" s="79">
        <f>IF('Ordenes_Odoo'!F350="","",'Ordenes_Odoo'!F350)</f>
        <v/>
      </c>
      <c r="G350" s="79">
        <f>IF('Ordenes_Odoo'!G350="","",'Ordenes_Odoo'!G350)</f>
        <v/>
      </c>
      <c r="H350" s="79">
        <f>IF('Ordenes_Odoo'!H350="","",'Ordenes_Odoo'!H350)</f>
        <v/>
      </c>
      <c r="I350" s="79">
        <f>IF('Ordenes_Odoo'!I350="","",'Ordenes_Odoo'!I350)</f>
        <v/>
      </c>
      <c r="J350" s="79">
        <f>IF('Ordenes_Odoo'!J350="","",'Ordenes_Odoo'!J350)</f>
        <v/>
      </c>
      <c r="K350" s="81">
        <f>IF('Ordenes_Odoo'!K350="","",'Ordenes_Odoo'!K350)</f>
        <v/>
      </c>
      <c r="L350" s="81">
        <f>IF('Ordenes_Odoo'!L350="","",'Ordenes_Odoo'!L350)</f>
        <v/>
      </c>
      <c r="M350" s="79">
        <f>IF('Ordenes_Odoo'!M350="","",'Ordenes_Odoo'!M350)</f>
        <v/>
      </c>
      <c r="N350" s="79">
        <f>IF('Ordenes_Odoo'!N350="","",'Ordenes_Odoo'!N350)</f>
        <v/>
      </c>
      <c r="O350" s="81">
        <f>IF('Ordenes_Odoo'!O350="","",'Ordenes_Odoo'!O350)</f>
        <v/>
      </c>
      <c r="P350" s="81">
        <f>IF('Ordenes_Odoo'!P350="","",'Ordenes_Odoo'!P350)</f>
        <v/>
      </c>
      <c r="Q350" s="79">
        <f>IF(A350="","",IFERROR(INDEX(Facturas_Odoo!$B:$B, MATCH(A350, Facturas_Odoo!$D:$D, 0)), "Sin Factura"))</f>
        <v/>
      </c>
      <c r="R350" s="80">
        <f>IF(Q350="Sin Factura","",IFERROR(INDEX(Facturas_Odoo!$A:$A, MATCH(Q350, Facturas_Odoo!$B:$B, 0)), ""))</f>
        <v/>
      </c>
      <c r="S350" s="79">
        <f>IF(Q350="Sin Factura","",IFERROR(_xlfn.XLOOKUP(1, (Facturas_Odoo!$D:$D=A350) * (Facturas_Odoo!$K:$K=I350), Facturas_Odoo!$L:$L, ""), ""))</f>
        <v/>
      </c>
      <c r="T350" s="81">
        <f>IF(Q350="Sin Factura",0,IFERROR(_xlfn.XLOOKUP(1, (Facturas_Odoo!$D:$D=A350) * (Facturas_Odoo!$K:$K=I350), Facturas_Odoo!$M:$M, 0), 0))</f>
        <v/>
      </c>
      <c r="U350" s="79">
        <f>IF(Q350="Sin Factura",0,IFERROR(_xlfn.XLOOKUP(1, (Facturas_Odoo!$D:$D=A350) * (Facturas_Odoo!$K:$K=I350), Facturas_Odoo!$N:$N, 0), 0))</f>
        <v/>
      </c>
      <c r="V350" s="79">
        <f>IF(Q350="Sin Factura",0,IFERROR(_xlfn.XLOOKUP(1, (Facturas_Odoo!$D:$D=A350) * (Facturas_Odoo!$K:$K=I350), Facturas_Odoo!$O:$O, 0), 0))</f>
        <v/>
      </c>
      <c r="W350" s="81">
        <f>IF(Q350="Sin Factura",0,IFERROR(_xlfn.XLOOKUP(1, (Facturas_Odoo!$D:$D=A350) * (Facturas_Odoo!$K:$K=I350), Facturas_Odoo!$Q:$Q, 0), 0))</f>
        <v/>
      </c>
      <c r="X350" s="79">
        <f>IF(OR(Q350="Sin Factura",Q350=""),"",IFERROR(INDEX(Pagos_Odoo!$B:$B, MATCH(Q350, Pagos_Odoo!$I:$I, 0)), "Sin Pago"))</f>
        <v/>
      </c>
      <c r="Y350" s="79">
        <f>IF(X350="Sin Pago","",IFERROR(INDEX(Pagos_Odoo!$C:$C, MATCH(X350, Pagos_Odoo!$B:$B, 0)), ""))</f>
        <v/>
      </c>
      <c r="Z350" s="80">
        <f>IF(X350="Sin Pago","",IFERROR(INDEX(Pagos_Odoo!$A:$A, MATCH(X350, Pagos_Odoo!$B:$B, 0)), ""))</f>
        <v/>
      </c>
      <c r="AA350" s="79">
        <f>IF(X350="Sin Pago","",IFERROR(INDEX(Pagos_Odoo!$F:$F, MATCH(X350, Pagos_Odoo!$B:$B, 0)), ""))</f>
        <v/>
      </c>
      <c r="AB350" s="81">
        <f>IF(X350="Sin Pago",0,IFERROR(INDEX(Pagos_Odoo!$E:$E, MATCH(X350, Pagos_Odoo!$B:$B, 0)), 0))</f>
        <v/>
      </c>
      <c r="AC350" s="79">
        <f>IF(X350="Sin Pago","",IFERROR(INDEX(Pagos_Odoo!$G:$G, MATCH(X350, Pagos_Odoo!$B:$B, 0)), ""))</f>
        <v/>
      </c>
      <c r="AD350" s="82" t="n">
        <v>0</v>
      </c>
      <c r="AE350" s="82" t="n"/>
      <c r="AF350" s="82" t="n"/>
      <c r="AG350" s="82">
        <f>IF(AN350="","",AD350+AE350+AF350)</f>
        <v/>
      </c>
      <c r="AH350" s="81">
        <f>IF(AN350="","",P350*(1-AG350))</f>
        <v/>
      </c>
      <c r="AI350" s="81">
        <f>IF(AN350="","",IF(Q350="Sin Factura",0,IFERROR(INDEX(Facturas_Odoo!$H:$H, MATCH(Q350, Facturas_Odoo!$B:$B, 0)), 0)*(1-AG350)))</f>
        <v/>
      </c>
      <c r="AJ350" s="81">
        <f>IF(AN350="","",_xlfn.LET(idVenta, AN350&amp;"",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50" s="81">
        <f>IF(AN350="","",AH350-AJ350)</f>
        <v/>
      </c>
      <c r="AL350" s="81">
        <f>IF(AN350="","",IF(Q350="Sin Factura","",AI350-AJ350))</f>
        <v/>
      </c>
      <c r="AM350" s="81">
        <f>IF(AN350="","",IF(Q350="Sin Factura",0,P350-IFERROR(INDEX(Facturas_Odoo!$H:$H, MATCH(Q350, Facturas_Odoo!$B:$B, 0)), 0)))</f>
        <v/>
      </c>
      <c r="AN350" s="79">
        <f>IF(AND(A350="", J350=""), "", IF(A350&lt;&gt;"", VALUE(MID(A350,2,LEN(A350))), AN349))</f>
        <v/>
      </c>
      <c r="AO350" s="79">
        <f>IF(AN350="","",IF(AD350=0,"OK",_xlfn.LET(monedaPago, IF(AA350="","USD",AA350), limitePermitido, IFERROR(VLOOKUP(monedaPago, Configuración!$A$2:$B$3, 2, FALSE), 0.15), IF(AD350&gt;limitePermitido, "ALERTA: EXCESO (" &amp; TEXT(limitePermitido, "0%") &amp; " máx)", "OK"))))</f>
        <v/>
      </c>
      <c r="AP350" s="79">
        <f>IF(AN350="","",IF(AE350=0,"OK",_xlfn.LET(fechaPago, Z350, fechaFactura, R350, diasCredito, IF(E350="Pago inmediato", 0, IFERROR(VALUE(MID(E350, 1, SEARCH(" ", E350)-1)),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50" s="79">
        <f>IF(AN350="","",IF(AND(N350&gt;0, AG350&gt;0), IF(Configuración!$K$2="NO", "ALERTA: DESCUENTO DOBLE NO PERMITIDO", "OK"), "OK"))</f>
        <v/>
      </c>
      <c r="AR350" s="79">
        <f>IF(AN350="","",IF(OR(AO350&lt;&gt;"OK", AP350&lt;&gt;"OK", AQ350&lt;&gt;"OK"), "⚠️ REVISAR", "OK"))</f>
        <v/>
      </c>
    </row>
    <row r="351">
      <c r="A351" s="79">
        <f>IF('Ordenes_Odoo'!A351="","",'Ordenes_Odoo'!A351)</f>
        <v/>
      </c>
      <c r="B351" s="80">
        <f>IF('Ordenes_Odoo'!B351="","",'Ordenes_Odoo'!B351)</f>
        <v/>
      </c>
      <c r="C351" s="79">
        <f>IF('Ordenes_Odoo'!C351="","",'Ordenes_Odoo'!C351)</f>
        <v/>
      </c>
      <c r="D351" s="79">
        <f>IF('Ordenes_Odoo'!D351="","",'Ordenes_Odoo'!D351)</f>
        <v/>
      </c>
      <c r="E351" s="79">
        <f>IF('Ordenes_Odoo'!E351="","",'Ordenes_Odoo'!E351)</f>
        <v/>
      </c>
      <c r="F351" s="79">
        <f>IF('Ordenes_Odoo'!F351="","",'Ordenes_Odoo'!F351)</f>
        <v/>
      </c>
      <c r="G351" s="79">
        <f>IF('Ordenes_Odoo'!G351="","",'Ordenes_Odoo'!G351)</f>
        <v/>
      </c>
      <c r="H351" s="79">
        <f>IF('Ordenes_Odoo'!H351="","",'Ordenes_Odoo'!H351)</f>
        <v/>
      </c>
      <c r="I351" s="79">
        <f>IF('Ordenes_Odoo'!I351="","",'Ordenes_Odoo'!I351)</f>
        <v/>
      </c>
      <c r="J351" s="79">
        <f>IF('Ordenes_Odoo'!J351="","",'Ordenes_Odoo'!J351)</f>
        <v/>
      </c>
      <c r="K351" s="81">
        <f>IF('Ordenes_Odoo'!K351="","",'Ordenes_Odoo'!K351)</f>
        <v/>
      </c>
      <c r="L351" s="81">
        <f>IF('Ordenes_Odoo'!L351="","",'Ordenes_Odoo'!L351)</f>
        <v/>
      </c>
      <c r="M351" s="79">
        <f>IF('Ordenes_Odoo'!M351="","",'Ordenes_Odoo'!M351)</f>
        <v/>
      </c>
      <c r="N351" s="79">
        <f>IF('Ordenes_Odoo'!N351="","",'Ordenes_Odoo'!N351)</f>
        <v/>
      </c>
      <c r="O351" s="81">
        <f>IF('Ordenes_Odoo'!O351="","",'Ordenes_Odoo'!O351)</f>
        <v/>
      </c>
      <c r="P351" s="81">
        <f>IF('Ordenes_Odoo'!P351="","",'Ordenes_Odoo'!P351)</f>
        <v/>
      </c>
      <c r="Q351" s="79">
        <f>IF(A351="","",IFERROR(INDEX(Facturas_Odoo!$B:$B, MATCH(A351, Facturas_Odoo!$D:$D, 0)), "Sin Factura"))</f>
        <v/>
      </c>
      <c r="R351" s="80">
        <f>IF(Q351="Sin Factura","",IFERROR(INDEX(Facturas_Odoo!$A:$A, MATCH(Q351, Facturas_Odoo!$B:$B, 0)), ""))</f>
        <v/>
      </c>
      <c r="S351" s="79">
        <f>IF(Q351="Sin Factura","",IFERROR(_xlfn.XLOOKUP(1, (Facturas_Odoo!$D:$D=A351) * (Facturas_Odoo!$K:$K=I351), Facturas_Odoo!$L:$L, ""), ""))</f>
        <v/>
      </c>
      <c r="T351" s="81">
        <f>IF(Q351="Sin Factura",0,IFERROR(_xlfn.XLOOKUP(1, (Facturas_Odoo!$D:$D=A351) * (Facturas_Odoo!$K:$K=I351), Facturas_Odoo!$M:$M, 0), 0))</f>
        <v/>
      </c>
      <c r="U351" s="79">
        <f>IF(Q351="Sin Factura",0,IFERROR(_xlfn.XLOOKUP(1, (Facturas_Odoo!$D:$D=A351) * (Facturas_Odoo!$K:$K=I351), Facturas_Odoo!$N:$N, 0), 0))</f>
        <v/>
      </c>
      <c r="V351" s="79">
        <f>IF(Q351="Sin Factura",0,IFERROR(_xlfn.XLOOKUP(1, (Facturas_Odoo!$D:$D=A351) * (Facturas_Odoo!$K:$K=I351), Facturas_Odoo!$O:$O, 0), 0))</f>
        <v/>
      </c>
      <c r="W351" s="81">
        <f>IF(Q351="Sin Factura",0,IFERROR(_xlfn.XLOOKUP(1, (Facturas_Odoo!$D:$D=A351) * (Facturas_Odoo!$K:$K=I351), Facturas_Odoo!$Q:$Q, 0), 0))</f>
        <v/>
      </c>
      <c r="X351" s="79">
        <f>IF(OR(Q351="Sin Factura",Q351=""),"",IFERROR(INDEX(Pagos_Odoo!$B:$B, MATCH(Q351, Pagos_Odoo!$I:$I, 0)), "Sin Pago"))</f>
        <v/>
      </c>
      <c r="Y351" s="79">
        <f>IF(X351="Sin Pago","",IFERROR(INDEX(Pagos_Odoo!$C:$C, MATCH(X351, Pagos_Odoo!$B:$B, 0)), ""))</f>
        <v/>
      </c>
      <c r="Z351" s="80">
        <f>IF(X351="Sin Pago","",IFERROR(INDEX(Pagos_Odoo!$A:$A, MATCH(X351, Pagos_Odoo!$B:$B, 0)), ""))</f>
        <v/>
      </c>
      <c r="AA351" s="79">
        <f>IF(X351="Sin Pago","",IFERROR(INDEX(Pagos_Odoo!$F:$F, MATCH(X351, Pagos_Odoo!$B:$B, 0)), ""))</f>
        <v/>
      </c>
      <c r="AB351" s="81">
        <f>IF(X351="Sin Pago",0,IFERROR(INDEX(Pagos_Odoo!$E:$E, MATCH(X351, Pagos_Odoo!$B:$B, 0)), 0))</f>
        <v/>
      </c>
      <c r="AC351" s="79">
        <f>IF(X351="Sin Pago","",IFERROR(INDEX(Pagos_Odoo!$G:$G, MATCH(X351, Pagos_Odoo!$B:$B, 0)), ""))</f>
        <v/>
      </c>
      <c r="AD351" s="82" t="n">
        <v>0</v>
      </c>
      <c r="AE351" s="82" t="n"/>
      <c r="AF351" s="82" t="n"/>
      <c r="AG351" s="82">
        <f>IF(AN351="","",AD351+AE351+AF351)</f>
        <v/>
      </c>
      <c r="AH351" s="81">
        <f>IF(AN351="","",P351*(1-AG351))</f>
        <v/>
      </c>
      <c r="AI351" s="81">
        <f>IF(AN351="","",IF(Q351="Sin Factura",0,IFERROR(INDEX(Facturas_Odoo!$H:$H, MATCH(Q351, Facturas_Odoo!$B:$B, 0)), 0)*(1-AG351)))</f>
        <v/>
      </c>
      <c r="AJ351" s="81">
        <f>IF(AN351="","",_xlfn.LET(idVenta, AN351&amp;"",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51" s="81">
        <f>IF(AN351="","",AH351-AJ351)</f>
        <v/>
      </c>
      <c r="AL351" s="81">
        <f>IF(AN351="","",IF(Q351="Sin Factura","",AI351-AJ351))</f>
        <v/>
      </c>
      <c r="AM351" s="81">
        <f>IF(AN351="","",IF(Q351="Sin Factura",0,P351-IFERROR(INDEX(Facturas_Odoo!$H:$H, MATCH(Q351, Facturas_Odoo!$B:$B, 0)), 0)))</f>
        <v/>
      </c>
      <c r="AN351" s="79">
        <f>IF(AND(A351="", J351=""), "", IF(A351&lt;&gt;"", VALUE(MID(A351,2,LEN(A351))), AN350))</f>
        <v/>
      </c>
      <c r="AO351" s="79">
        <f>IF(AN351="","",IF(AD351=0,"OK",_xlfn.LET(monedaPago, IF(AA351="","USD",AA351), limitePermitido, IFERROR(VLOOKUP(monedaPago, Configuración!$A$2:$B$3, 2, FALSE), 0.15), IF(AD351&gt;limitePermitido, "ALERTA: EXCESO (" &amp; TEXT(limitePermitido, "0%") &amp; " máx)", "OK"))))</f>
        <v/>
      </c>
      <c r="AP351" s="79">
        <f>IF(AN351="","",IF(AE351=0,"OK",_xlfn.LET(fechaPago, Z351, fechaFactura, R351, diasCredito, IF(E351="Pago inmediato", 0, IFERROR(VALUE(MID(E351, 1, SEARCH(" ", E351)-1)),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51" s="79">
        <f>IF(AN351="","",IF(AND(N351&gt;0, AG351&gt;0), IF(Configuración!$K$2="NO", "ALERTA: DESCUENTO DOBLE NO PERMITIDO", "OK"), "OK"))</f>
        <v/>
      </c>
      <c r="AR351" s="79">
        <f>IF(AN351="","",IF(OR(AO351&lt;&gt;"OK", AP351&lt;&gt;"OK", AQ351&lt;&gt;"OK"), "⚠️ REVISAR", "OK"))</f>
        <v/>
      </c>
    </row>
    <row r="352">
      <c r="A352" s="79">
        <f>IF('Ordenes_Odoo'!A352="","",'Ordenes_Odoo'!A352)</f>
        <v/>
      </c>
      <c r="B352" s="80">
        <f>IF('Ordenes_Odoo'!B352="","",'Ordenes_Odoo'!B352)</f>
        <v/>
      </c>
      <c r="C352" s="79">
        <f>IF('Ordenes_Odoo'!C352="","",'Ordenes_Odoo'!C352)</f>
        <v/>
      </c>
      <c r="D352" s="79">
        <f>IF('Ordenes_Odoo'!D352="","",'Ordenes_Odoo'!D352)</f>
        <v/>
      </c>
      <c r="E352" s="79">
        <f>IF('Ordenes_Odoo'!E352="","",'Ordenes_Odoo'!E352)</f>
        <v/>
      </c>
      <c r="F352" s="79">
        <f>IF('Ordenes_Odoo'!F352="","",'Ordenes_Odoo'!F352)</f>
        <v/>
      </c>
      <c r="G352" s="79">
        <f>IF('Ordenes_Odoo'!G352="","",'Ordenes_Odoo'!G352)</f>
        <v/>
      </c>
      <c r="H352" s="79">
        <f>IF('Ordenes_Odoo'!H352="","",'Ordenes_Odoo'!H352)</f>
        <v/>
      </c>
      <c r="I352" s="79">
        <f>IF('Ordenes_Odoo'!I352="","",'Ordenes_Odoo'!I352)</f>
        <v/>
      </c>
      <c r="J352" s="79">
        <f>IF('Ordenes_Odoo'!J352="","",'Ordenes_Odoo'!J352)</f>
        <v/>
      </c>
      <c r="K352" s="81">
        <f>IF('Ordenes_Odoo'!K352="","",'Ordenes_Odoo'!K352)</f>
        <v/>
      </c>
      <c r="L352" s="81">
        <f>IF('Ordenes_Odoo'!L352="","",'Ordenes_Odoo'!L352)</f>
        <v/>
      </c>
      <c r="M352" s="79">
        <f>IF('Ordenes_Odoo'!M352="","",'Ordenes_Odoo'!M352)</f>
        <v/>
      </c>
      <c r="N352" s="79">
        <f>IF('Ordenes_Odoo'!N352="","",'Ordenes_Odoo'!N352)</f>
        <v/>
      </c>
      <c r="O352" s="81">
        <f>IF('Ordenes_Odoo'!O352="","",'Ordenes_Odoo'!O352)</f>
        <v/>
      </c>
      <c r="P352" s="81">
        <f>IF('Ordenes_Odoo'!P352="","",'Ordenes_Odoo'!P352)</f>
        <v/>
      </c>
      <c r="Q352" s="79">
        <f>IF(A352="","",IFERROR(INDEX(Facturas_Odoo!$B:$B, MATCH(A352, Facturas_Odoo!$D:$D, 0)), "Sin Factura"))</f>
        <v/>
      </c>
      <c r="R352" s="80">
        <f>IF(Q352="Sin Factura","",IFERROR(INDEX(Facturas_Odoo!$A:$A, MATCH(Q352, Facturas_Odoo!$B:$B, 0)), ""))</f>
        <v/>
      </c>
      <c r="S352" s="79">
        <f>IF(Q352="Sin Factura","",IFERROR(_xlfn.XLOOKUP(1, (Facturas_Odoo!$D:$D=A352) * (Facturas_Odoo!$K:$K=I352), Facturas_Odoo!$L:$L, ""), ""))</f>
        <v/>
      </c>
      <c r="T352" s="81">
        <f>IF(Q352="Sin Factura",0,IFERROR(_xlfn.XLOOKUP(1, (Facturas_Odoo!$D:$D=A352) * (Facturas_Odoo!$K:$K=I352), Facturas_Odoo!$M:$M, 0), 0))</f>
        <v/>
      </c>
      <c r="U352" s="79">
        <f>IF(Q352="Sin Factura",0,IFERROR(_xlfn.XLOOKUP(1, (Facturas_Odoo!$D:$D=A352) * (Facturas_Odoo!$K:$K=I352), Facturas_Odoo!$N:$N, 0), 0))</f>
        <v/>
      </c>
      <c r="V352" s="79">
        <f>IF(Q352="Sin Factura",0,IFERROR(_xlfn.XLOOKUP(1, (Facturas_Odoo!$D:$D=A352) * (Facturas_Odoo!$K:$K=I352), Facturas_Odoo!$O:$O, 0), 0))</f>
        <v/>
      </c>
      <c r="W352" s="81">
        <f>IF(Q352="Sin Factura",0,IFERROR(_xlfn.XLOOKUP(1, (Facturas_Odoo!$D:$D=A352) * (Facturas_Odoo!$K:$K=I352), Facturas_Odoo!$Q:$Q, 0), 0))</f>
        <v/>
      </c>
      <c r="X352" s="79">
        <f>IF(OR(Q352="Sin Factura",Q352=""),"",IFERROR(INDEX(Pagos_Odoo!$B:$B, MATCH(Q352, Pagos_Odoo!$I:$I, 0)), "Sin Pago"))</f>
        <v/>
      </c>
      <c r="Y352" s="79">
        <f>IF(X352="Sin Pago","",IFERROR(INDEX(Pagos_Odoo!$C:$C, MATCH(X352, Pagos_Odoo!$B:$B, 0)), ""))</f>
        <v/>
      </c>
      <c r="Z352" s="80">
        <f>IF(X352="Sin Pago","",IFERROR(INDEX(Pagos_Odoo!$A:$A, MATCH(X352, Pagos_Odoo!$B:$B, 0)), ""))</f>
        <v/>
      </c>
      <c r="AA352" s="79">
        <f>IF(X352="Sin Pago","",IFERROR(INDEX(Pagos_Odoo!$F:$F, MATCH(X352, Pagos_Odoo!$B:$B, 0)), ""))</f>
        <v/>
      </c>
      <c r="AB352" s="81">
        <f>IF(X352="Sin Pago",0,IFERROR(INDEX(Pagos_Odoo!$E:$E, MATCH(X352, Pagos_Odoo!$B:$B, 0)), 0))</f>
        <v/>
      </c>
      <c r="AC352" s="79">
        <f>IF(X352="Sin Pago","",IFERROR(INDEX(Pagos_Odoo!$G:$G, MATCH(X352, Pagos_Odoo!$B:$B, 0)), ""))</f>
        <v/>
      </c>
      <c r="AD352" s="82" t="n">
        <v>0</v>
      </c>
      <c r="AE352" s="82" t="n"/>
      <c r="AF352" s="82" t="n"/>
      <c r="AG352" s="82">
        <f>IF(AN352="","",AD352+AE352+AF352)</f>
        <v/>
      </c>
      <c r="AH352" s="81">
        <f>IF(AN352="","",P352*(1-AG352))</f>
        <v/>
      </c>
      <c r="AI352" s="81">
        <f>IF(AN352="","",IF(Q352="Sin Factura",0,IFERROR(INDEX(Facturas_Odoo!$H:$H, MATCH(Q352, Facturas_Odoo!$B:$B, 0)), 0)*(1-AG352)))</f>
        <v/>
      </c>
      <c r="AJ352" s="81">
        <f>IF(AN352="","",_xlfn.LET(idVenta, AN352&amp;"",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52" s="81">
        <f>IF(AN352="","",AH352-AJ352)</f>
        <v/>
      </c>
      <c r="AL352" s="81">
        <f>IF(AN352="","",IF(Q352="Sin Factura","",AI352-AJ352))</f>
        <v/>
      </c>
      <c r="AM352" s="81">
        <f>IF(AN352="","",IF(Q352="Sin Factura",0,P352-IFERROR(INDEX(Facturas_Odoo!$H:$H, MATCH(Q352, Facturas_Odoo!$B:$B, 0)), 0)))</f>
        <v/>
      </c>
      <c r="AN352" s="79">
        <f>IF(AND(A352="", J352=""), "", IF(A352&lt;&gt;"", VALUE(MID(A352,2,LEN(A352))), AN351))</f>
        <v/>
      </c>
      <c r="AO352" s="79">
        <f>IF(AN352="","",IF(AD352=0,"OK",_xlfn.LET(monedaPago, IF(AA352="","USD",AA352), limitePermitido, IFERROR(VLOOKUP(monedaPago, Configuración!$A$2:$B$3, 2, FALSE), 0.15), IF(AD352&gt;limitePermitido, "ALERTA: EXCESO (" &amp; TEXT(limitePermitido, "0%") &amp; " máx)", "OK"))))</f>
        <v/>
      </c>
      <c r="AP352" s="79">
        <f>IF(AN352="","",IF(AE352=0,"OK",_xlfn.LET(fechaPago, Z352, fechaFactura, R352, diasCredito, IF(E352="Pago inmediato", 0, IFERROR(VALUE(MID(E352, 1, SEARCH(" ", E352)-1)),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52" s="79">
        <f>IF(AN352="","",IF(AND(N352&gt;0, AG352&gt;0), IF(Configuración!$K$2="NO", "ALERTA: DESCUENTO DOBLE NO PERMITIDO", "OK"), "OK"))</f>
        <v/>
      </c>
      <c r="AR352" s="79">
        <f>IF(AN352="","",IF(OR(AO352&lt;&gt;"OK", AP352&lt;&gt;"OK", AQ352&lt;&gt;"OK"), "⚠️ REVISAR", "OK"))</f>
        <v/>
      </c>
    </row>
    <row r="353">
      <c r="A353" s="79">
        <f>IF('Ordenes_Odoo'!A353="","",'Ordenes_Odoo'!A353)</f>
        <v/>
      </c>
      <c r="B353" s="80">
        <f>IF('Ordenes_Odoo'!B353="","",'Ordenes_Odoo'!B353)</f>
        <v/>
      </c>
      <c r="C353" s="79">
        <f>IF('Ordenes_Odoo'!C353="","",'Ordenes_Odoo'!C353)</f>
        <v/>
      </c>
      <c r="D353" s="79">
        <f>IF('Ordenes_Odoo'!D353="","",'Ordenes_Odoo'!D353)</f>
        <v/>
      </c>
      <c r="E353" s="79">
        <f>IF('Ordenes_Odoo'!E353="","",'Ordenes_Odoo'!E353)</f>
        <v/>
      </c>
      <c r="F353" s="79">
        <f>IF('Ordenes_Odoo'!F353="","",'Ordenes_Odoo'!F353)</f>
        <v/>
      </c>
      <c r="G353" s="79">
        <f>IF('Ordenes_Odoo'!G353="","",'Ordenes_Odoo'!G353)</f>
        <v/>
      </c>
      <c r="H353" s="79">
        <f>IF('Ordenes_Odoo'!H353="","",'Ordenes_Odoo'!H353)</f>
        <v/>
      </c>
      <c r="I353" s="79">
        <f>IF('Ordenes_Odoo'!I353="","",'Ordenes_Odoo'!I353)</f>
        <v/>
      </c>
      <c r="J353" s="79">
        <f>IF('Ordenes_Odoo'!J353="","",'Ordenes_Odoo'!J353)</f>
        <v/>
      </c>
      <c r="K353" s="81">
        <f>IF('Ordenes_Odoo'!K353="","",'Ordenes_Odoo'!K353)</f>
        <v/>
      </c>
      <c r="L353" s="81">
        <f>IF('Ordenes_Odoo'!L353="","",'Ordenes_Odoo'!L353)</f>
        <v/>
      </c>
      <c r="M353" s="79">
        <f>IF('Ordenes_Odoo'!M353="","",'Ordenes_Odoo'!M353)</f>
        <v/>
      </c>
      <c r="N353" s="79">
        <f>IF('Ordenes_Odoo'!N353="","",'Ordenes_Odoo'!N353)</f>
        <v/>
      </c>
      <c r="O353" s="81">
        <f>IF('Ordenes_Odoo'!O353="","",'Ordenes_Odoo'!O353)</f>
        <v/>
      </c>
      <c r="P353" s="81">
        <f>IF('Ordenes_Odoo'!P353="","",'Ordenes_Odoo'!P353)</f>
        <v/>
      </c>
      <c r="Q353" s="79">
        <f>IF(A353="","",IFERROR(INDEX(Facturas_Odoo!$B:$B, MATCH(A353, Facturas_Odoo!$D:$D, 0)), "Sin Factura"))</f>
        <v/>
      </c>
      <c r="R353" s="80">
        <f>IF(Q353="Sin Factura","",IFERROR(INDEX(Facturas_Odoo!$A:$A, MATCH(Q353, Facturas_Odoo!$B:$B, 0)), ""))</f>
        <v/>
      </c>
      <c r="S353" s="79">
        <f>IF(Q353="Sin Factura","",IFERROR(_xlfn.XLOOKUP(1, (Facturas_Odoo!$D:$D=A353) * (Facturas_Odoo!$K:$K=I353), Facturas_Odoo!$L:$L, ""), ""))</f>
        <v/>
      </c>
      <c r="T353" s="81">
        <f>IF(Q353="Sin Factura",0,IFERROR(_xlfn.XLOOKUP(1, (Facturas_Odoo!$D:$D=A353) * (Facturas_Odoo!$K:$K=I353), Facturas_Odoo!$M:$M, 0), 0))</f>
        <v/>
      </c>
      <c r="U353" s="79">
        <f>IF(Q353="Sin Factura",0,IFERROR(_xlfn.XLOOKUP(1, (Facturas_Odoo!$D:$D=A353) * (Facturas_Odoo!$K:$K=I353), Facturas_Odoo!$N:$N, 0), 0))</f>
        <v/>
      </c>
      <c r="V353" s="79">
        <f>IF(Q353="Sin Factura",0,IFERROR(_xlfn.XLOOKUP(1, (Facturas_Odoo!$D:$D=A353) * (Facturas_Odoo!$K:$K=I353), Facturas_Odoo!$O:$O, 0), 0))</f>
        <v/>
      </c>
      <c r="W353" s="81">
        <f>IF(Q353="Sin Factura",0,IFERROR(_xlfn.XLOOKUP(1, (Facturas_Odoo!$D:$D=A353) * (Facturas_Odoo!$K:$K=I353), Facturas_Odoo!$Q:$Q, 0), 0))</f>
        <v/>
      </c>
      <c r="X353" s="79">
        <f>IF(OR(Q353="Sin Factura",Q353=""),"",IFERROR(INDEX(Pagos_Odoo!$B:$B, MATCH(Q353, Pagos_Odoo!$I:$I, 0)), "Sin Pago"))</f>
        <v/>
      </c>
      <c r="Y353" s="79">
        <f>IF(X353="Sin Pago","",IFERROR(INDEX(Pagos_Odoo!$C:$C, MATCH(X353, Pagos_Odoo!$B:$B, 0)), ""))</f>
        <v/>
      </c>
      <c r="Z353" s="80">
        <f>IF(X353="Sin Pago","",IFERROR(INDEX(Pagos_Odoo!$A:$A, MATCH(X353, Pagos_Odoo!$B:$B, 0)), ""))</f>
        <v/>
      </c>
      <c r="AA353" s="79">
        <f>IF(X353="Sin Pago","",IFERROR(INDEX(Pagos_Odoo!$F:$F, MATCH(X353, Pagos_Odoo!$B:$B, 0)), ""))</f>
        <v/>
      </c>
      <c r="AB353" s="81">
        <f>IF(X353="Sin Pago",0,IFERROR(INDEX(Pagos_Odoo!$E:$E, MATCH(X353, Pagos_Odoo!$B:$B, 0)), 0))</f>
        <v/>
      </c>
      <c r="AC353" s="79">
        <f>IF(X353="Sin Pago","",IFERROR(INDEX(Pagos_Odoo!$G:$G, MATCH(X353, Pagos_Odoo!$B:$B, 0)), ""))</f>
        <v/>
      </c>
      <c r="AD353" s="82" t="n">
        <v>0</v>
      </c>
      <c r="AE353" s="82" t="n"/>
      <c r="AF353" s="82" t="n"/>
      <c r="AG353" s="82">
        <f>IF(AN353="","",AD353+AE353+AF353)</f>
        <v/>
      </c>
      <c r="AH353" s="81">
        <f>IF(AN353="","",P353*(1-AG353))</f>
        <v/>
      </c>
      <c r="AI353" s="81">
        <f>IF(AN353="","",IF(Q353="Sin Factura",0,IFERROR(INDEX(Facturas_Odoo!$H:$H, MATCH(Q353, Facturas_Odoo!$B:$B, 0)), 0)*(1-AG353)))</f>
        <v/>
      </c>
      <c r="AJ353" s="81">
        <f>IF(AN353="","",_xlfn.LET(idVenta, AN353&amp;"",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53" s="81">
        <f>IF(AN353="","",AH353-AJ353)</f>
        <v/>
      </c>
      <c r="AL353" s="81">
        <f>IF(AN353="","",IF(Q353="Sin Factura","",AI353-AJ353))</f>
        <v/>
      </c>
      <c r="AM353" s="81">
        <f>IF(AN353="","",IF(Q353="Sin Factura",0,P353-IFERROR(INDEX(Facturas_Odoo!$H:$H, MATCH(Q353, Facturas_Odoo!$B:$B, 0)), 0)))</f>
        <v/>
      </c>
      <c r="AN353" s="79">
        <f>IF(AND(A353="", J353=""), "", IF(A353&lt;&gt;"", VALUE(MID(A353,2,LEN(A353))), AN352))</f>
        <v/>
      </c>
      <c r="AO353" s="79">
        <f>IF(AN353="","",IF(AD353=0,"OK",_xlfn.LET(monedaPago, IF(AA353="","USD",AA353), limitePermitido, IFERROR(VLOOKUP(monedaPago, Configuración!$A$2:$B$3, 2, FALSE), 0.15), IF(AD353&gt;limitePermitido, "ALERTA: EXCESO (" &amp; TEXT(limitePermitido, "0%") &amp; " máx)", "OK"))))</f>
        <v/>
      </c>
      <c r="AP353" s="79">
        <f>IF(AN353="","",IF(AE353=0,"OK",_xlfn.LET(fechaPago, Z353, fechaFactura, R353, diasCredito, IF(E353="Pago inmediato", 0, IFERROR(VALUE(MID(E353, 1, SEARCH(" ", E353)-1)),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53" s="79">
        <f>IF(AN353="","",IF(AND(N353&gt;0, AG353&gt;0), IF(Configuración!$K$2="NO", "ALERTA: DESCUENTO DOBLE NO PERMITIDO", "OK"), "OK"))</f>
        <v/>
      </c>
      <c r="AR353" s="79">
        <f>IF(AN353="","",IF(OR(AO353&lt;&gt;"OK", AP353&lt;&gt;"OK", AQ353&lt;&gt;"OK"), "⚠️ REVISAR", "OK"))</f>
        <v/>
      </c>
    </row>
    <row r="354">
      <c r="A354" s="79">
        <f>IF('Ordenes_Odoo'!A354="","",'Ordenes_Odoo'!A354)</f>
        <v/>
      </c>
      <c r="B354" s="80">
        <f>IF('Ordenes_Odoo'!B354="","",'Ordenes_Odoo'!B354)</f>
        <v/>
      </c>
      <c r="C354" s="79">
        <f>IF('Ordenes_Odoo'!C354="","",'Ordenes_Odoo'!C354)</f>
        <v/>
      </c>
      <c r="D354" s="79">
        <f>IF('Ordenes_Odoo'!D354="","",'Ordenes_Odoo'!D354)</f>
        <v/>
      </c>
      <c r="E354" s="79">
        <f>IF('Ordenes_Odoo'!E354="","",'Ordenes_Odoo'!E354)</f>
        <v/>
      </c>
      <c r="F354" s="79">
        <f>IF('Ordenes_Odoo'!F354="","",'Ordenes_Odoo'!F354)</f>
        <v/>
      </c>
      <c r="G354" s="79">
        <f>IF('Ordenes_Odoo'!G354="","",'Ordenes_Odoo'!G354)</f>
        <v/>
      </c>
      <c r="H354" s="79">
        <f>IF('Ordenes_Odoo'!H354="","",'Ordenes_Odoo'!H354)</f>
        <v/>
      </c>
      <c r="I354" s="79">
        <f>IF('Ordenes_Odoo'!I354="","",'Ordenes_Odoo'!I354)</f>
        <v/>
      </c>
      <c r="J354" s="79">
        <f>IF('Ordenes_Odoo'!J354="","",'Ordenes_Odoo'!J354)</f>
        <v/>
      </c>
      <c r="K354" s="81">
        <f>IF('Ordenes_Odoo'!K354="","",'Ordenes_Odoo'!K354)</f>
        <v/>
      </c>
      <c r="L354" s="81">
        <f>IF('Ordenes_Odoo'!L354="","",'Ordenes_Odoo'!L354)</f>
        <v/>
      </c>
      <c r="M354" s="79">
        <f>IF('Ordenes_Odoo'!M354="","",'Ordenes_Odoo'!M354)</f>
        <v/>
      </c>
      <c r="N354" s="79">
        <f>IF('Ordenes_Odoo'!N354="","",'Ordenes_Odoo'!N354)</f>
        <v/>
      </c>
      <c r="O354" s="81">
        <f>IF('Ordenes_Odoo'!O354="","",'Ordenes_Odoo'!O354)</f>
        <v/>
      </c>
      <c r="P354" s="81">
        <f>IF('Ordenes_Odoo'!P354="","",'Ordenes_Odoo'!P354)</f>
        <v/>
      </c>
      <c r="Q354" s="79">
        <f>IF(A354="","",IFERROR(INDEX(Facturas_Odoo!$B:$B, MATCH(A354, Facturas_Odoo!$D:$D, 0)), "Sin Factura"))</f>
        <v/>
      </c>
      <c r="R354" s="80">
        <f>IF(Q354="Sin Factura","",IFERROR(INDEX(Facturas_Odoo!$A:$A, MATCH(Q354, Facturas_Odoo!$B:$B, 0)), ""))</f>
        <v/>
      </c>
      <c r="S354" s="79">
        <f>IF(Q354="Sin Factura","",IFERROR(_xlfn.XLOOKUP(1, (Facturas_Odoo!$D:$D=A354) * (Facturas_Odoo!$K:$K=I354), Facturas_Odoo!$L:$L, ""), ""))</f>
        <v/>
      </c>
      <c r="T354" s="81">
        <f>IF(Q354="Sin Factura",0,IFERROR(_xlfn.XLOOKUP(1, (Facturas_Odoo!$D:$D=A354) * (Facturas_Odoo!$K:$K=I354), Facturas_Odoo!$M:$M, 0), 0))</f>
        <v/>
      </c>
      <c r="U354" s="79">
        <f>IF(Q354="Sin Factura",0,IFERROR(_xlfn.XLOOKUP(1, (Facturas_Odoo!$D:$D=A354) * (Facturas_Odoo!$K:$K=I354), Facturas_Odoo!$N:$N, 0), 0))</f>
        <v/>
      </c>
      <c r="V354" s="79">
        <f>IF(Q354="Sin Factura",0,IFERROR(_xlfn.XLOOKUP(1, (Facturas_Odoo!$D:$D=A354) * (Facturas_Odoo!$K:$K=I354), Facturas_Odoo!$O:$O, 0), 0))</f>
        <v/>
      </c>
      <c r="W354" s="81">
        <f>IF(Q354="Sin Factura",0,IFERROR(_xlfn.XLOOKUP(1, (Facturas_Odoo!$D:$D=A354) * (Facturas_Odoo!$K:$K=I354), Facturas_Odoo!$Q:$Q, 0), 0))</f>
        <v/>
      </c>
      <c r="X354" s="79">
        <f>IF(OR(Q354="Sin Factura",Q354=""),"",IFERROR(INDEX(Pagos_Odoo!$B:$B, MATCH(Q354, Pagos_Odoo!$I:$I, 0)), "Sin Pago"))</f>
        <v/>
      </c>
      <c r="Y354" s="79">
        <f>IF(X354="Sin Pago","",IFERROR(INDEX(Pagos_Odoo!$C:$C, MATCH(X354, Pagos_Odoo!$B:$B, 0)), ""))</f>
        <v/>
      </c>
      <c r="Z354" s="80">
        <f>IF(X354="Sin Pago","",IFERROR(INDEX(Pagos_Odoo!$A:$A, MATCH(X354, Pagos_Odoo!$B:$B, 0)), ""))</f>
        <v/>
      </c>
      <c r="AA354" s="79">
        <f>IF(X354="Sin Pago","",IFERROR(INDEX(Pagos_Odoo!$F:$F, MATCH(X354, Pagos_Odoo!$B:$B, 0)), ""))</f>
        <v/>
      </c>
      <c r="AB354" s="81">
        <f>IF(X354="Sin Pago",0,IFERROR(INDEX(Pagos_Odoo!$E:$E, MATCH(X354, Pagos_Odoo!$B:$B, 0)), 0))</f>
        <v/>
      </c>
      <c r="AC354" s="79">
        <f>IF(X354="Sin Pago","",IFERROR(INDEX(Pagos_Odoo!$G:$G, MATCH(X354, Pagos_Odoo!$B:$B, 0)), ""))</f>
        <v/>
      </c>
      <c r="AD354" s="82" t="n">
        <v>0</v>
      </c>
      <c r="AE354" s="82" t="n"/>
      <c r="AF354" s="82" t="n"/>
      <c r="AG354" s="82">
        <f>IF(AN354="","",AD354+AE354+AF354)</f>
        <v/>
      </c>
      <c r="AH354" s="81">
        <f>IF(AN354="","",P354*(1-AG354))</f>
        <v/>
      </c>
      <c r="AI354" s="81">
        <f>IF(AN354="","",IF(Q354="Sin Factura",0,IFERROR(INDEX(Facturas_Odoo!$H:$H, MATCH(Q354, Facturas_Odoo!$B:$B, 0)), 0)*(1-AG354)))</f>
        <v/>
      </c>
      <c r="AJ354" s="81">
        <f>IF(AN354="","",_xlfn.LET(idVenta, AN354&amp;"",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54" s="81">
        <f>IF(AN354="","",AH354-AJ354)</f>
        <v/>
      </c>
      <c r="AL354" s="81">
        <f>IF(AN354="","",IF(Q354="Sin Factura","",AI354-AJ354))</f>
        <v/>
      </c>
      <c r="AM354" s="81">
        <f>IF(AN354="","",IF(Q354="Sin Factura",0,P354-IFERROR(INDEX(Facturas_Odoo!$H:$H, MATCH(Q354, Facturas_Odoo!$B:$B, 0)), 0)))</f>
        <v/>
      </c>
      <c r="AN354" s="79">
        <f>IF(AND(A354="", J354=""), "", IF(A354&lt;&gt;"", VALUE(MID(A354,2,LEN(A354))), AN353))</f>
        <v/>
      </c>
      <c r="AO354" s="79">
        <f>IF(AN354="","",IF(AD354=0,"OK",_xlfn.LET(monedaPago, IF(AA354="","USD",AA354), limitePermitido, IFERROR(VLOOKUP(monedaPago, Configuración!$A$2:$B$3, 2, FALSE), 0.15), IF(AD354&gt;limitePermitido, "ALERTA: EXCESO (" &amp; TEXT(limitePermitido, "0%") &amp; " máx)", "OK"))))</f>
        <v/>
      </c>
      <c r="AP354" s="79">
        <f>IF(AN354="","",IF(AE354=0,"OK",_xlfn.LET(fechaPago, Z354, fechaFactura, R354, diasCredito, IF(E354="Pago inmediato", 0, IFERROR(VALUE(MID(E354, 1, SEARCH(" ", E354)-1)),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54" s="79">
        <f>IF(AN354="","",IF(AND(N354&gt;0, AG354&gt;0), IF(Configuración!$K$2="NO", "ALERTA: DESCUENTO DOBLE NO PERMITIDO", "OK"), "OK"))</f>
        <v/>
      </c>
      <c r="AR354" s="79">
        <f>IF(AN354="","",IF(OR(AO354&lt;&gt;"OK", AP354&lt;&gt;"OK", AQ354&lt;&gt;"OK"), "⚠️ REVISAR", "OK"))</f>
        <v/>
      </c>
    </row>
    <row r="355">
      <c r="A355" s="79">
        <f>IF('Ordenes_Odoo'!A355="","",'Ordenes_Odoo'!A355)</f>
        <v/>
      </c>
      <c r="B355" s="80">
        <f>IF('Ordenes_Odoo'!B355="","",'Ordenes_Odoo'!B355)</f>
        <v/>
      </c>
      <c r="C355" s="79">
        <f>IF('Ordenes_Odoo'!C355="","",'Ordenes_Odoo'!C355)</f>
        <v/>
      </c>
      <c r="D355" s="79">
        <f>IF('Ordenes_Odoo'!D355="","",'Ordenes_Odoo'!D355)</f>
        <v/>
      </c>
      <c r="E355" s="79">
        <f>IF('Ordenes_Odoo'!E355="","",'Ordenes_Odoo'!E355)</f>
        <v/>
      </c>
      <c r="F355" s="79">
        <f>IF('Ordenes_Odoo'!F355="","",'Ordenes_Odoo'!F355)</f>
        <v/>
      </c>
      <c r="G355" s="79">
        <f>IF('Ordenes_Odoo'!G355="","",'Ordenes_Odoo'!G355)</f>
        <v/>
      </c>
      <c r="H355" s="79">
        <f>IF('Ordenes_Odoo'!H355="","",'Ordenes_Odoo'!H355)</f>
        <v/>
      </c>
      <c r="I355" s="79">
        <f>IF('Ordenes_Odoo'!I355="","",'Ordenes_Odoo'!I355)</f>
        <v/>
      </c>
      <c r="J355" s="79">
        <f>IF('Ordenes_Odoo'!J355="","",'Ordenes_Odoo'!J355)</f>
        <v/>
      </c>
      <c r="K355" s="81">
        <f>IF('Ordenes_Odoo'!K355="","",'Ordenes_Odoo'!K355)</f>
        <v/>
      </c>
      <c r="L355" s="81">
        <f>IF('Ordenes_Odoo'!L355="","",'Ordenes_Odoo'!L355)</f>
        <v/>
      </c>
      <c r="M355" s="79">
        <f>IF('Ordenes_Odoo'!M355="","",'Ordenes_Odoo'!M355)</f>
        <v/>
      </c>
      <c r="N355" s="79">
        <f>IF('Ordenes_Odoo'!N355="","",'Ordenes_Odoo'!N355)</f>
        <v/>
      </c>
      <c r="O355" s="81">
        <f>IF('Ordenes_Odoo'!O355="","",'Ordenes_Odoo'!O355)</f>
        <v/>
      </c>
      <c r="P355" s="81">
        <f>IF('Ordenes_Odoo'!P355="","",'Ordenes_Odoo'!P355)</f>
        <v/>
      </c>
      <c r="Q355" s="79">
        <f>IF(A355="","",IFERROR(INDEX(Facturas_Odoo!$B:$B, MATCH(A355, Facturas_Odoo!$D:$D, 0)), "Sin Factura"))</f>
        <v/>
      </c>
      <c r="R355" s="80">
        <f>IF(Q355="Sin Factura","",IFERROR(INDEX(Facturas_Odoo!$A:$A, MATCH(Q355, Facturas_Odoo!$B:$B, 0)), ""))</f>
        <v/>
      </c>
      <c r="S355" s="79">
        <f>IF(Q355="Sin Factura","",IFERROR(_xlfn.XLOOKUP(1, (Facturas_Odoo!$D:$D=A355) * (Facturas_Odoo!$K:$K=I355), Facturas_Odoo!$L:$L, ""), ""))</f>
        <v/>
      </c>
      <c r="T355" s="81">
        <f>IF(Q355="Sin Factura",0,IFERROR(_xlfn.XLOOKUP(1, (Facturas_Odoo!$D:$D=A355) * (Facturas_Odoo!$K:$K=I355), Facturas_Odoo!$M:$M, 0), 0))</f>
        <v/>
      </c>
      <c r="U355" s="79">
        <f>IF(Q355="Sin Factura",0,IFERROR(_xlfn.XLOOKUP(1, (Facturas_Odoo!$D:$D=A355) * (Facturas_Odoo!$K:$K=I355), Facturas_Odoo!$N:$N, 0), 0))</f>
        <v/>
      </c>
      <c r="V355" s="79">
        <f>IF(Q355="Sin Factura",0,IFERROR(_xlfn.XLOOKUP(1, (Facturas_Odoo!$D:$D=A355) * (Facturas_Odoo!$K:$K=I355), Facturas_Odoo!$O:$O, 0), 0))</f>
        <v/>
      </c>
      <c r="W355" s="81">
        <f>IF(Q355="Sin Factura",0,IFERROR(_xlfn.XLOOKUP(1, (Facturas_Odoo!$D:$D=A355) * (Facturas_Odoo!$K:$K=I355), Facturas_Odoo!$Q:$Q, 0), 0))</f>
        <v/>
      </c>
      <c r="X355" s="79">
        <f>IF(OR(Q355="Sin Factura",Q355=""),"",IFERROR(INDEX(Pagos_Odoo!$B:$B, MATCH(Q355, Pagos_Odoo!$I:$I, 0)), "Sin Pago"))</f>
        <v/>
      </c>
      <c r="Y355" s="79">
        <f>IF(X355="Sin Pago","",IFERROR(INDEX(Pagos_Odoo!$C:$C, MATCH(X355, Pagos_Odoo!$B:$B, 0)), ""))</f>
        <v/>
      </c>
      <c r="Z355" s="80">
        <f>IF(X355="Sin Pago","",IFERROR(INDEX(Pagos_Odoo!$A:$A, MATCH(X355, Pagos_Odoo!$B:$B, 0)), ""))</f>
        <v/>
      </c>
      <c r="AA355" s="79">
        <f>IF(X355="Sin Pago","",IFERROR(INDEX(Pagos_Odoo!$F:$F, MATCH(X355, Pagos_Odoo!$B:$B, 0)), ""))</f>
        <v/>
      </c>
      <c r="AB355" s="81">
        <f>IF(X355="Sin Pago",0,IFERROR(INDEX(Pagos_Odoo!$E:$E, MATCH(X355, Pagos_Odoo!$B:$B, 0)), 0))</f>
        <v/>
      </c>
      <c r="AC355" s="79">
        <f>IF(X355="Sin Pago","",IFERROR(INDEX(Pagos_Odoo!$G:$G, MATCH(X355, Pagos_Odoo!$B:$B, 0)), ""))</f>
        <v/>
      </c>
      <c r="AD355" s="82" t="n">
        <v>0</v>
      </c>
      <c r="AE355" s="82" t="n"/>
      <c r="AF355" s="82" t="n"/>
      <c r="AG355" s="82">
        <f>IF(AN355="","",AD355+AE355+AF355)</f>
        <v/>
      </c>
      <c r="AH355" s="81">
        <f>IF(AN355="","",P355*(1-AG355))</f>
        <v/>
      </c>
      <c r="AI355" s="81">
        <f>IF(AN355="","",IF(Q355="Sin Factura",0,IFERROR(INDEX(Facturas_Odoo!$H:$H, MATCH(Q355, Facturas_Odoo!$B:$B, 0)), 0)*(1-AG355)))</f>
        <v/>
      </c>
      <c r="AJ355" s="81">
        <f>IF(AN355="","",_xlfn.LET(idVenta, AN355&amp;"",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55" s="81">
        <f>IF(AN355="","",AH355-AJ355)</f>
        <v/>
      </c>
      <c r="AL355" s="81">
        <f>IF(AN355="","",IF(Q355="Sin Factura","",AI355-AJ355))</f>
        <v/>
      </c>
      <c r="AM355" s="81">
        <f>IF(AN355="","",IF(Q355="Sin Factura",0,P355-IFERROR(INDEX(Facturas_Odoo!$H:$H, MATCH(Q355, Facturas_Odoo!$B:$B, 0)), 0)))</f>
        <v/>
      </c>
      <c r="AN355" s="79">
        <f>IF(AND(A355="", J355=""), "", IF(A355&lt;&gt;"", VALUE(MID(A355,2,LEN(A355))), AN354))</f>
        <v/>
      </c>
      <c r="AO355" s="79">
        <f>IF(AN355="","",IF(AD355=0,"OK",_xlfn.LET(monedaPago, IF(AA355="","USD",AA355), limitePermitido, IFERROR(VLOOKUP(monedaPago, Configuración!$A$2:$B$3, 2, FALSE), 0.15), IF(AD355&gt;limitePermitido, "ALERTA: EXCESO (" &amp; TEXT(limitePermitido, "0%") &amp; " máx)", "OK"))))</f>
        <v/>
      </c>
      <c r="AP355" s="79">
        <f>IF(AN355="","",IF(AE355=0,"OK",_xlfn.LET(fechaPago, Z355, fechaFactura, R355, diasCredito, IF(E355="Pago inmediato", 0, IFERROR(VALUE(MID(E355, 1, SEARCH(" ", E355)-1)),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55" s="79">
        <f>IF(AN355="","",IF(AND(N355&gt;0, AG355&gt;0), IF(Configuración!$K$2="NO", "ALERTA: DESCUENTO DOBLE NO PERMITIDO", "OK"), "OK"))</f>
        <v/>
      </c>
      <c r="AR355" s="79">
        <f>IF(AN355="","",IF(OR(AO355&lt;&gt;"OK", AP355&lt;&gt;"OK", AQ355&lt;&gt;"OK"), "⚠️ REVISAR", "OK"))</f>
        <v/>
      </c>
    </row>
    <row r="356">
      <c r="A356" s="79">
        <f>IF('Ordenes_Odoo'!A356="","",'Ordenes_Odoo'!A356)</f>
        <v/>
      </c>
      <c r="B356" s="80">
        <f>IF('Ordenes_Odoo'!B356="","",'Ordenes_Odoo'!B356)</f>
        <v/>
      </c>
      <c r="C356" s="79">
        <f>IF('Ordenes_Odoo'!C356="","",'Ordenes_Odoo'!C356)</f>
        <v/>
      </c>
      <c r="D356" s="79">
        <f>IF('Ordenes_Odoo'!D356="","",'Ordenes_Odoo'!D356)</f>
        <v/>
      </c>
      <c r="E356" s="79">
        <f>IF('Ordenes_Odoo'!E356="","",'Ordenes_Odoo'!E356)</f>
        <v/>
      </c>
      <c r="F356" s="79">
        <f>IF('Ordenes_Odoo'!F356="","",'Ordenes_Odoo'!F356)</f>
        <v/>
      </c>
      <c r="G356" s="79">
        <f>IF('Ordenes_Odoo'!G356="","",'Ordenes_Odoo'!G356)</f>
        <v/>
      </c>
      <c r="H356" s="79">
        <f>IF('Ordenes_Odoo'!H356="","",'Ordenes_Odoo'!H356)</f>
        <v/>
      </c>
      <c r="I356" s="79">
        <f>IF('Ordenes_Odoo'!I356="","",'Ordenes_Odoo'!I356)</f>
        <v/>
      </c>
      <c r="J356" s="79">
        <f>IF('Ordenes_Odoo'!J356="","",'Ordenes_Odoo'!J356)</f>
        <v/>
      </c>
      <c r="K356" s="81">
        <f>IF('Ordenes_Odoo'!K356="","",'Ordenes_Odoo'!K356)</f>
        <v/>
      </c>
      <c r="L356" s="81">
        <f>IF('Ordenes_Odoo'!L356="","",'Ordenes_Odoo'!L356)</f>
        <v/>
      </c>
      <c r="M356" s="79">
        <f>IF('Ordenes_Odoo'!M356="","",'Ordenes_Odoo'!M356)</f>
        <v/>
      </c>
      <c r="N356" s="79">
        <f>IF('Ordenes_Odoo'!N356="","",'Ordenes_Odoo'!N356)</f>
        <v/>
      </c>
      <c r="O356" s="81">
        <f>IF('Ordenes_Odoo'!O356="","",'Ordenes_Odoo'!O356)</f>
        <v/>
      </c>
      <c r="P356" s="81">
        <f>IF('Ordenes_Odoo'!P356="","",'Ordenes_Odoo'!P356)</f>
        <v/>
      </c>
      <c r="Q356" s="79">
        <f>IF(A356="","",IFERROR(INDEX(Facturas_Odoo!$B:$B, MATCH(A356, Facturas_Odoo!$D:$D, 0)), "Sin Factura"))</f>
        <v/>
      </c>
      <c r="R356" s="80">
        <f>IF(Q356="Sin Factura","",IFERROR(INDEX(Facturas_Odoo!$A:$A, MATCH(Q356, Facturas_Odoo!$B:$B, 0)), ""))</f>
        <v/>
      </c>
      <c r="S356" s="79">
        <f>IF(Q356="Sin Factura","",IFERROR(_xlfn.XLOOKUP(1, (Facturas_Odoo!$D:$D=A356) * (Facturas_Odoo!$K:$K=I356), Facturas_Odoo!$L:$L, ""), ""))</f>
        <v/>
      </c>
      <c r="T356" s="81">
        <f>IF(Q356="Sin Factura",0,IFERROR(_xlfn.XLOOKUP(1, (Facturas_Odoo!$D:$D=A356) * (Facturas_Odoo!$K:$K=I356), Facturas_Odoo!$M:$M, 0), 0))</f>
        <v/>
      </c>
      <c r="U356" s="79">
        <f>IF(Q356="Sin Factura",0,IFERROR(_xlfn.XLOOKUP(1, (Facturas_Odoo!$D:$D=A356) * (Facturas_Odoo!$K:$K=I356), Facturas_Odoo!$N:$N, 0), 0))</f>
        <v/>
      </c>
      <c r="V356" s="79">
        <f>IF(Q356="Sin Factura",0,IFERROR(_xlfn.XLOOKUP(1, (Facturas_Odoo!$D:$D=A356) * (Facturas_Odoo!$K:$K=I356), Facturas_Odoo!$O:$O, 0), 0))</f>
        <v/>
      </c>
      <c r="W356" s="81">
        <f>IF(Q356="Sin Factura",0,IFERROR(_xlfn.XLOOKUP(1, (Facturas_Odoo!$D:$D=A356) * (Facturas_Odoo!$K:$K=I356), Facturas_Odoo!$Q:$Q, 0), 0))</f>
        <v/>
      </c>
      <c r="X356" s="79">
        <f>IF(OR(Q356="Sin Factura",Q356=""),"",IFERROR(INDEX(Pagos_Odoo!$B:$B, MATCH(Q356, Pagos_Odoo!$I:$I, 0)), "Sin Pago"))</f>
        <v/>
      </c>
      <c r="Y356" s="79">
        <f>IF(X356="Sin Pago","",IFERROR(INDEX(Pagos_Odoo!$C:$C, MATCH(X356, Pagos_Odoo!$B:$B, 0)), ""))</f>
        <v/>
      </c>
      <c r="Z356" s="80">
        <f>IF(X356="Sin Pago","",IFERROR(INDEX(Pagos_Odoo!$A:$A, MATCH(X356, Pagos_Odoo!$B:$B, 0)), ""))</f>
        <v/>
      </c>
      <c r="AA356" s="79">
        <f>IF(X356="Sin Pago","",IFERROR(INDEX(Pagos_Odoo!$F:$F, MATCH(X356, Pagos_Odoo!$B:$B, 0)), ""))</f>
        <v/>
      </c>
      <c r="AB356" s="81">
        <f>IF(X356="Sin Pago",0,IFERROR(INDEX(Pagos_Odoo!$E:$E, MATCH(X356, Pagos_Odoo!$B:$B, 0)), 0))</f>
        <v/>
      </c>
      <c r="AC356" s="79">
        <f>IF(X356="Sin Pago","",IFERROR(INDEX(Pagos_Odoo!$G:$G, MATCH(X356, Pagos_Odoo!$B:$B, 0)), ""))</f>
        <v/>
      </c>
      <c r="AD356" s="82" t="n">
        <v>0</v>
      </c>
      <c r="AE356" s="82" t="n"/>
      <c r="AF356" s="82" t="n"/>
      <c r="AG356" s="82">
        <f>IF(AN356="","",AD356+AE356+AF356)</f>
        <v/>
      </c>
      <c r="AH356" s="81">
        <f>IF(AN356="","",P356*(1-AG356))</f>
        <v/>
      </c>
      <c r="AI356" s="81">
        <f>IF(AN356="","",IF(Q356="Sin Factura",0,IFERROR(INDEX(Facturas_Odoo!$H:$H, MATCH(Q356, Facturas_Odoo!$B:$B, 0)), 0)*(1-AG356)))</f>
        <v/>
      </c>
      <c r="AJ356" s="81">
        <f>IF(AN356="","",_xlfn.LET(idVenta, AN356&amp;"",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56" s="81">
        <f>IF(AN356="","",AH356-AJ356)</f>
        <v/>
      </c>
      <c r="AL356" s="81">
        <f>IF(AN356="","",IF(Q356="Sin Factura","",AI356-AJ356))</f>
        <v/>
      </c>
      <c r="AM356" s="81">
        <f>IF(AN356="","",IF(Q356="Sin Factura",0,P356-IFERROR(INDEX(Facturas_Odoo!$H:$H, MATCH(Q356, Facturas_Odoo!$B:$B, 0)), 0)))</f>
        <v/>
      </c>
      <c r="AN356" s="79">
        <f>IF(AND(A356="", J356=""), "", IF(A356&lt;&gt;"", VALUE(MID(A356,2,LEN(A356))), AN355))</f>
        <v/>
      </c>
      <c r="AO356" s="79">
        <f>IF(AN356="","",IF(AD356=0,"OK",_xlfn.LET(monedaPago, IF(AA356="","USD",AA356), limitePermitido, IFERROR(VLOOKUP(monedaPago, Configuración!$A$2:$B$3, 2, FALSE), 0.15), IF(AD356&gt;limitePermitido, "ALERTA: EXCESO (" &amp; TEXT(limitePermitido, "0%") &amp; " máx)", "OK"))))</f>
        <v/>
      </c>
      <c r="AP356" s="79">
        <f>IF(AN356="","",IF(AE356=0,"OK",_xlfn.LET(fechaPago, Z356, fechaFactura, R356, diasCredito, IF(E356="Pago inmediato", 0, IFERROR(VALUE(MID(E356, 1, SEARCH(" ", E356)-1)),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56" s="79">
        <f>IF(AN356="","",IF(AND(N356&gt;0, AG356&gt;0), IF(Configuración!$K$2="NO", "ALERTA: DESCUENTO DOBLE NO PERMITIDO", "OK"), "OK"))</f>
        <v/>
      </c>
      <c r="AR356" s="79">
        <f>IF(AN356="","",IF(OR(AO356&lt;&gt;"OK", AP356&lt;&gt;"OK", AQ356&lt;&gt;"OK"), "⚠️ REVISAR", "OK"))</f>
        <v/>
      </c>
    </row>
    <row r="357">
      <c r="A357" s="79">
        <f>IF('Ordenes_Odoo'!A357="","",'Ordenes_Odoo'!A357)</f>
        <v/>
      </c>
      <c r="B357" s="80">
        <f>IF('Ordenes_Odoo'!B357="","",'Ordenes_Odoo'!B357)</f>
        <v/>
      </c>
      <c r="C357" s="79">
        <f>IF('Ordenes_Odoo'!C357="","",'Ordenes_Odoo'!C357)</f>
        <v/>
      </c>
      <c r="D357" s="79">
        <f>IF('Ordenes_Odoo'!D357="","",'Ordenes_Odoo'!D357)</f>
        <v/>
      </c>
      <c r="E357" s="79">
        <f>IF('Ordenes_Odoo'!E357="","",'Ordenes_Odoo'!E357)</f>
        <v/>
      </c>
      <c r="F357" s="79">
        <f>IF('Ordenes_Odoo'!F357="","",'Ordenes_Odoo'!F357)</f>
        <v/>
      </c>
      <c r="G357" s="79">
        <f>IF('Ordenes_Odoo'!G357="","",'Ordenes_Odoo'!G357)</f>
        <v/>
      </c>
      <c r="H357" s="79">
        <f>IF('Ordenes_Odoo'!H357="","",'Ordenes_Odoo'!H357)</f>
        <v/>
      </c>
      <c r="I357" s="79">
        <f>IF('Ordenes_Odoo'!I357="","",'Ordenes_Odoo'!I357)</f>
        <v/>
      </c>
      <c r="J357" s="79">
        <f>IF('Ordenes_Odoo'!J357="","",'Ordenes_Odoo'!J357)</f>
        <v/>
      </c>
      <c r="K357" s="81">
        <f>IF('Ordenes_Odoo'!K357="","",'Ordenes_Odoo'!K357)</f>
        <v/>
      </c>
      <c r="L357" s="81">
        <f>IF('Ordenes_Odoo'!L357="","",'Ordenes_Odoo'!L357)</f>
        <v/>
      </c>
      <c r="M357" s="79">
        <f>IF('Ordenes_Odoo'!M357="","",'Ordenes_Odoo'!M357)</f>
        <v/>
      </c>
      <c r="N357" s="79">
        <f>IF('Ordenes_Odoo'!N357="","",'Ordenes_Odoo'!N357)</f>
        <v/>
      </c>
      <c r="O357" s="81">
        <f>IF('Ordenes_Odoo'!O357="","",'Ordenes_Odoo'!O357)</f>
        <v/>
      </c>
      <c r="P357" s="81">
        <f>IF('Ordenes_Odoo'!P357="","",'Ordenes_Odoo'!P357)</f>
        <v/>
      </c>
      <c r="Q357" s="79">
        <f>IF(A357="","",IFERROR(INDEX(Facturas_Odoo!$B:$B, MATCH(A357, Facturas_Odoo!$D:$D, 0)), "Sin Factura"))</f>
        <v/>
      </c>
      <c r="R357" s="80">
        <f>IF(Q357="Sin Factura","",IFERROR(INDEX(Facturas_Odoo!$A:$A, MATCH(Q357, Facturas_Odoo!$B:$B, 0)), ""))</f>
        <v/>
      </c>
      <c r="S357" s="79">
        <f>IF(Q357="Sin Factura","",IFERROR(_xlfn.XLOOKUP(1, (Facturas_Odoo!$D:$D=A357) * (Facturas_Odoo!$K:$K=I357), Facturas_Odoo!$L:$L, ""), ""))</f>
        <v/>
      </c>
      <c r="T357" s="81">
        <f>IF(Q357="Sin Factura",0,IFERROR(_xlfn.XLOOKUP(1, (Facturas_Odoo!$D:$D=A357) * (Facturas_Odoo!$K:$K=I357), Facturas_Odoo!$M:$M, 0), 0))</f>
        <v/>
      </c>
      <c r="U357" s="79">
        <f>IF(Q357="Sin Factura",0,IFERROR(_xlfn.XLOOKUP(1, (Facturas_Odoo!$D:$D=A357) * (Facturas_Odoo!$K:$K=I357), Facturas_Odoo!$N:$N, 0), 0))</f>
        <v/>
      </c>
      <c r="V357" s="79">
        <f>IF(Q357="Sin Factura",0,IFERROR(_xlfn.XLOOKUP(1, (Facturas_Odoo!$D:$D=A357) * (Facturas_Odoo!$K:$K=I357), Facturas_Odoo!$O:$O, 0), 0))</f>
        <v/>
      </c>
      <c r="W357" s="81">
        <f>IF(Q357="Sin Factura",0,IFERROR(_xlfn.XLOOKUP(1, (Facturas_Odoo!$D:$D=A357) * (Facturas_Odoo!$K:$K=I357), Facturas_Odoo!$Q:$Q, 0), 0))</f>
        <v/>
      </c>
      <c r="X357" s="79">
        <f>IF(OR(Q357="Sin Factura",Q357=""),"",IFERROR(INDEX(Pagos_Odoo!$B:$B, MATCH(Q357, Pagos_Odoo!$I:$I, 0)), "Sin Pago"))</f>
        <v/>
      </c>
      <c r="Y357" s="79">
        <f>IF(X357="Sin Pago","",IFERROR(INDEX(Pagos_Odoo!$C:$C, MATCH(X357, Pagos_Odoo!$B:$B, 0)), ""))</f>
        <v/>
      </c>
      <c r="Z357" s="80">
        <f>IF(X357="Sin Pago","",IFERROR(INDEX(Pagos_Odoo!$A:$A, MATCH(X357, Pagos_Odoo!$B:$B, 0)), ""))</f>
        <v/>
      </c>
      <c r="AA357" s="79">
        <f>IF(X357="Sin Pago","",IFERROR(INDEX(Pagos_Odoo!$F:$F, MATCH(X357, Pagos_Odoo!$B:$B, 0)), ""))</f>
        <v/>
      </c>
      <c r="AB357" s="81">
        <f>IF(X357="Sin Pago",0,IFERROR(INDEX(Pagos_Odoo!$E:$E, MATCH(X357, Pagos_Odoo!$B:$B, 0)), 0))</f>
        <v/>
      </c>
      <c r="AC357" s="79">
        <f>IF(X357="Sin Pago","",IFERROR(INDEX(Pagos_Odoo!$G:$G, MATCH(X357, Pagos_Odoo!$B:$B, 0)), ""))</f>
        <v/>
      </c>
      <c r="AD357" s="82" t="n">
        <v>0</v>
      </c>
      <c r="AE357" s="82" t="n"/>
      <c r="AF357" s="82" t="n"/>
      <c r="AG357" s="82">
        <f>IF(AN357="","",AD357+AE357+AF357)</f>
        <v/>
      </c>
      <c r="AH357" s="81">
        <f>IF(AN357="","",P357*(1-AG357))</f>
        <v/>
      </c>
      <c r="AI357" s="81">
        <f>IF(AN357="","",IF(Q357="Sin Factura",0,IFERROR(INDEX(Facturas_Odoo!$H:$H, MATCH(Q357, Facturas_Odoo!$B:$B, 0)), 0)*(1-AG357)))</f>
        <v/>
      </c>
      <c r="AJ357" s="81">
        <f>IF(AN357="","",_xlfn.LET(idVenta, AN357&amp;"",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57" s="81">
        <f>IF(AN357="","",AH357-AJ357)</f>
        <v/>
      </c>
      <c r="AL357" s="81">
        <f>IF(AN357="","",IF(Q357="Sin Factura","",AI357-AJ357))</f>
        <v/>
      </c>
      <c r="AM357" s="81">
        <f>IF(AN357="","",IF(Q357="Sin Factura",0,P357-IFERROR(INDEX(Facturas_Odoo!$H:$H, MATCH(Q357, Facturas_Odoo!$B:$B, 0)), 0)))</f>
        <v/>
      </c>
      <c r="AN357" s="79">
        <f>IF(AND(A357="", J357=""), "", IF(A357&lt;&gt;"", VALUE(MID(A357,2,LEN(A357))), AN356))</f>
        <v/>
      </c>
      <c r="AO357" s="79">
        <f>IF(AN357="","",IF(AD357=0,"OK",_xlfn.LET(monedaPago, IF(AA357="","USD",AA357), limitePermitido, IFERROR(VLOOKUP(monedaPago, Configuración!$A$2:$B$3, 2, FALSE), 0.15), IF(AD357&gt;limitePermitido, "ALERTA: EXCESO (" &amp; TEXT(limitePermitido, "0%") &amp; " máx)", "OK"))))</f>
        <v/>
      </c>
      <c r="AP357" s="79">
        <f>IF(AN357="","",IF(AE357=0,"OK",_xlfn.LET(fechaPago, Z357, fechaFactura, R357, diasCredito, IF(E357="Pago inmediato", 0, IFERROR(VALUE(MID(E357, 1, SEARCH(" ", E357)-1)),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57" s="79">
        <f>IF(AN357="","",IF(AND(N357&gt;0, AG357&gt;0), IF(Configuración!$K$2="NO", "ALERTA: DESCUENTO DOBLE NO PERMITIDO", "OK"), "OK"))</f>
        <v/>
      </c>
      <c r="AR357" s="79">
        <f>IF(AN357="","",IF(OR(AO357&lt;&gt;"OK", AP357&lt;&gt;"OK", AQ357&lt;&gt;"OK"), "⚠️ REVISAR", "OK"))</f>
        <v/>
      </c>
    </row>
    <row r="358">
      <c r="A358" s="79">
        <f>IF('Ordenes_Odoo'!A358="","",'Ordenes_Odoo'!A358)</f>
        <v/>
      </c>
      <c r="B358" s="80">
        <f>IF('Ordenes_Odoo'!B358="","",'Ordenes_Odoo'!B358)</f>
        <v/>
      </c>
      <c r="C358" s="79">
        <f>IF('Ordenes_Odoo'!C358="","",'Ordenes_Odoo'!C358)</f>
        <v/>
      </c>
      <c r="D358" s="79">
        <f>IF('Ordenes_Odoo'!D358="","",'Ordenes_Odoo'!D358)</f>
        <v/>
      </c>
      <c r="E358" s="79">
        <f>IF('Ordenes_Odoo'!E358="","",'Ordenes_Odoo'!E358)</f>
        <v/>
      </c>
      <c r="F358" s="79">
        <f>IF('Ordenes_Odoo'!F358="","",'Ordenes_Odoo'!F358)</f>
        <v/>
      </c>
      <c r="G358" s="79">
        <f>IF('Ordenes_Odoo'!G358="","",'Ordenes_Odoo'!G358)</f>
        <v/>
      </c>
      <c r="H358" s="79">
        <f>IF('Ordenes_Odoo'!H358="","",'Ordenes_Odoo'!H358)</f>
        <v/>
      </c>
      <c r="I358" s="79">
        <f>IF('Ordenes_Odoo'!I358="","",'Ordenes_Odoo'!I358)</f>
        <v/>
      </c>
      <c r="J358" s="79">
        <f>IF('Ordenes_Odoo'!J358="","",'Ordenes_Odoo'!J358)</f>
        <v/>
      </c>
      <c r="K358" s="81">
        <f>IF('Ordenes_Odoo'!K358="","",'Ordenes_Odoo'!K358)</f>
        <v/>
      </c>
      <c r="L358" s="81">
        <f>IF('Ordenes_Odoo'!L358="","",'Ordenes_Odoo'!L358)</f>
        <v/>
      </c>
      <c r="M358" s="79">
        <f>IF('Ordenes_Odoo'!M358="","",'Ordenes_Odoo'!M358)</f>
        <v/>
      </c>
      <c r="N358" s="79">
        <f>IF('Ordenes_Odoo'!N358="","",'Ordenes_Odoo'!N358)</f>
        <v/>
      </c>
      <c r="O358" s="81">
        <f>IF('Ordenes_Odoo'!O358="","",'Ordenes_Odoo'!O358)</f>
        <v/>
      </c>
      <c r="P358" s="81">
        <f>IF('Ordenes_Odoo'!P358="","",'Ordenes_Odoo'!P358)</f>
        <v/>
      </c>
      <c r="Q358" s="79">
        <f>IF(A358="","",IFERROR(INDEX(Facturas_Odoo!$B:$B, MATCH(A358, Facturas_Odoo!$D:$D, 0)), "Sin Factura"))</f>
        <v/>
      </c>
      <c r="R358" s="80">
        <f>IF(Q358="Sin Factura","",IFERROR(INDEX(Facturas_Odoo!$A:$A, MATCH(Q358, Facturas_Odoo!$B:$B, 0)), ""))</f>
        <v/>
      </c>
      <c r="S358" s="79">
        <f>IF(Q358="Sin Factura","",IFERROR(_xlfn.XLOOKUP(1, (Facturas_Odoo!$D:$D=A358) * (Facturas_Odoo!$K:$K=I358), Facturas_Odoo!$L:$L, ""), ""))</f>
        <v/>
      </c>
      <c r="T358" s="81">
        <f>IF(Q358="Sin Factura",0,IFERROR(_xlfn.XLOOKUP(1, (Facturas_Odoo!$D:$D=A358) * (Facturas_Odoo!$K:$K=I358), Facturas_Odoo!$M:$M, 0), 0))</f>
        <v/>
      </c>
      <c r="U358" s="79">
        <f>IF(Q358="Sin Factura",0,IFERROR(_xlfn.XLOOKUP(1, (Facturas_Odoo!$D:$D=A358) * (Facturas_Odoo!$K:$K=I358), Facturas_Odoo!$N:$N, 0), 0))</f>
        <v/>
      </c>
      <c r="V358" s="79">
        <f>IF(Q358="Sin Factura",0,IFERROR(_xlfn.XLOOKUP(1, (Facturas_Odoo!$D:$D=A358) * (Facturas_Odoo!$K:$K=I358), Facturas_Odoo!$O:$O, 0), 0))</f>
        <v/>
      </c>
      <c r="W358" s="81">
        <f>IF(Q358="Sin Factura",0,IFERROR(_xlfn.XLOOKUP(1, (Facturas_Odoo!$D:$D=A358) * (Facturas_Odoo!$K:$K=I358), Facturas_Odoo!$Q:$Q, 0), 0))</f>
        <v/>
      </c>
      <c r="X358" s="79">
        <f>IF(OR(Q358="Sin Factura",Q358=""),"",IFERROR(INDEX(Pagos_Odoo!$B:$B, MATCH(Q358, Pagos_Odoo!$I:$I, 0)), "Sin Pago"))</f>
        <v/>
      </c>
      <c r="Y358" s="79">
        <f>IF(X358="Sin Pago","",IFERROR(INDEX(Pagos_Odoo!$C:$C, MATCH(X358, Pagos_Odoo!$B:$B, 0)), ""))</f>
        <v/>
      </c>
      <c r="Z358" s="80">
        <f>IF(X358="Sin Pago","",IFERROR(INDEX(Pagos_Odoo!$A:$A, MATCH(X358, Pagos_Odoo!$B:$B, 0)), ""))</f>
        <v/>
      </c>
      <c r="AA358" s="79">
        <f>IF(X358="Sin Pago","",IFERROR(INDEX(Pagos_Odoo!$F:$F, MATCH(X358, Pagos_Odoo!$B:$B, 0)), ""))</f>
        <v/>
      </c>
      <c r="AB358" s="81">
        <f>IF(X358="Sin Pago",0,IFERROR(INDEX(Pagos_Odoo!$E:$E, MATCH(X358, Pagos_Odoo!$B:$B, 0)), 0))</f>
        <v/>
      </c>
      <c r="AC358" s="79">
        <f>IF(X358="Sin Pago","",IFERROR(INDEX(Pagos_Odoo!$G:$G, MATCH(X358, Pagos_Odoo!$B:$B, 0)), ""))</f>
        <v/>
      </c>
      <c r="AD358" s="82" t="n">
        <v>0</v>
      </c>
      <c r="AE358" s="82" t="n"/>
      <c r="AF358" s="82" t="n"/>
      <c r="AG358" s="82">
        <f>IF(AN358="","",AD358+AE358+AF358)</f>
        <v/>
      </c>
      <c r="AH358" s="81">
        <f>IF(AN358="","",P358*(1-AG358))</f>
        <v/>
      </c>
      <c r="AI358" s="81">
        <f>IF(AN358="","",IF(Q358="Sin Factura",0,IFERROR(INDEX(Facturas_Odoo!$H:$H, MATCH(Q358, Facturas_Odoo!$B:$B, 0)), 0)*(1-AG358)))</f>
        <v/>
      </c>
      <c r="AJ358" s="81">
        <f>IF(AN358="","",_xlfn.LET(idVenta, AN358&amp;"",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58" s="81">
        <f>IF(AN358="","",AH358-AJ358)</f>
        <v/>
      </c>
      <c r="AL358" s="81">
        <f>IF(AN358="","",IF(Q358="Sin Factura","",AI358-AJ358))</f>
        <v/>
      </c>
      <c r="AM358" s="81">
        <f>IF(AN358="","",IF(Q358="Sin Factura",0,P358-IFERROR(INDEX(Facturas_Odoo!$H:$H, MATCH(Q358, Facturas_Odoo!$B:$B, 0)), 0)))</f>
        <v/>
      </c>
      <c r="AN358" s="79">
        <f>IF(AND(A358="", J358=""), "", IF(A358&lt;&gt;"", VALUE(MID(A358,2,LEN(A358))), AN357))</f>
        <v/>
      </c>
      <c r="AO358" s="79">
        <f>IF(AN358="","",IF(AD358=0,"OK",_xlfn.LET(monedaPago, IF(AA358="","USD",AA358), limitePermitido, IFERROR(VLOOKUP(monedaPago, Configuración!$A$2:$B$3, 2, FALSE), 0.15), IF(AD358&gt;limitePermitido, "ALERTA: EXCESO (" &amp; TEXT(limitePermitido, "0%") &amp; " máx)", "OK"))))</f>
        <v/>
      </c>
      <c r="AP358" s="79">
        <f>IF(AN358="","",IF(AE358=0,"OK",_xlfn.LET(fechaPago, Z358, fechaFactura, R358, diasCredito, IF(E358="Pago inmediato", 0, IFERROR(VALUE(MID(E358, 1, SEARCH(" ", E358)-1)),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58" s="79">
        <f>IF(AN358="","",IF(AND(N358&gt;0, AG358&gt;0), IF(Configuración!$K$2="NO", "ALERTA: DESCUENTO DOBLE NO PERMITIDO", "OK"), "OK"))</f>
        <v/>
      </c>
      <c r="AR358" s="79">
        <f>IF(AN358="","",IF(OR(AO358&lt;&gt;"OK", AP358&lt;&gt;"OK", AQ358&lt;&gt;"OK"), "⚠️ REVISAR", "OK"))</f>
        <v/>
      </c>
    </row>
    <row r="359">
      <c r="A359" s="79">
        <f>IF('Ordenes_Odoo'!A359="","",'Ordenes_Odoo'!A359)</f>
        <v/>
      </c>
      <c r="B359" s="80">
        <f>IF('Ordenes_Odoo'!B359="","",'Ordenes_Odoo'!B359)</f>
        <v/>
      </c>
      <c r="C359" s="79">
        <f>IF('Ordenes_Odoo'!C359="","",'Ordenes_Odoo'!C359)</f>
        <v/>
      </c>
      <c r="D359" s="79">
        <f>IF('Ordenes_Odoo'!D359="","",'Ordenes_Odoo'!D359)</f>
        <v/>
      </c>
      <c r="E359" s="79">
        <f>IF('Ordenes_Odoo'!E359="","",'Ordenes_Odoo'!E359)</f>
        <v/>
      </c>
      <c r="F359" s="79">
        <f>IF('Ordenes_Odoo'!F359="","",'Ordenes_Odoo'!F359)</f>
        <v/>
      </c>
      <c r="G359" s="79">
        <f>IF('Ordenes_Odoo'!G359="","",'Ordenes_Odoo'!G359)</f>
        <v/>
      </c>
      <c r="H359" s="79">
        <f>IF('Ordenes_Odoo'!H359="","",'Ordenes_Odoo'!H359)</f>
        <v/>
      </c>
      <c r="I359" s="79">
        <f>IF('Ordenes_Odoo'!I359="","",'Ordenes_Odoo'!I359)</f>
        <v/>
      </c>
      <c r="J359" s="79">
        <f>IF('Ordenes_Odoo'!J359="","",'Ordenes_Odoo'!J359)</f>
        <v/>
      </c>
      <c r="K359" s="81">
        <f>IF('Ordenes_Odoo'!K359="","",'Ordenes_Odoo'!K359)</f>
        <v/>
      </c>
      <c r="L359" s="81">
        <f>IF('Ordenes_Odoo'!L359="","",'Ordenes_Odoo'!L359)</f>
        <v/>
      </c>
      <c r="M359" s="79">
        <f>IF('Ordenes_Odoo'!M359="","",'Ordenes_Odoo'!M359)</f>
        <v/>
      </c>
      <c r="N359" s="79">
        <f>IF('Ordenes_Odoo'!N359="","",'Ordenes_Odoo'!N359)</f>
        <v/>
      </c>
      <c r="O359" s="81">
        <f>IF('Ordenes_Odoo'!O359="","",'Ordenes_Odoo'!O359)</f>
        <v/>
      </c>
      <c r="P359" s="81">
        <f>IF('Ordenes_Odoo'!P359="","",'Ordenes_Odoo'!P359)</f>
        <v/>
      </c>
      <c r="Q359" s="79">
        <f>IF(A359="","",IFERROR(INDEX(Facturas_Odoo!$B:$B, MATCH(A359, Facturas_Odoo!$D:$D, 0)), "Sin Factura"))</f>
        <v/>
      </c>
      <c r="R359" s="80">
        <f>IF(Q359="Sin Factura","",IFERROR(INDEX(Facturas_Odoo!$A:$A, MATCH(Q359, Facturas_Odoo!$B:$B, 0)), ""))</f>
        <v/>
      </c>
      <c r="S359" s="79">
        <f>IF(Q359="Sin Factura","",IFERROR(_xlfn.XLOOKUP(1, (Facturas_Odoo!$D:$D=A359) * (Facturas_Odoo!$K:$K=I359), Facturas_Odoo!$L:$L, ""), ""))</f>
        <v/>
      </c>
      <c r="T359" s="81">
        <f>IF(Q359="Sin Factura",0,IFERROR(_xlfn.XLOOKUP(1, (Facturas_Odoo!$D:$D=A359) * (Facturas_Odoo!$K:$K=I359), Facturas_Odoo!$M:$M, 0), 0))</f>
        <v/>
      </c>
      <c r="U359" s="79">
        <f>IF(Q359="Sin Factura",0,IFERROR(_xlfn.XLOOKUP(1, (Facturas_Odoo!$D:$D=A359) * (Facturas_Odoo!$K:$K=I359), Facturas_Odoo!$N:$N, 0), 0))</f>
        <v/>
      </c>
      <c r="V359" s="79">
        <f>IF(Q359="Sin Factura",0,IFERROR(_xlfn.XLOOKUP(1, (Facturas_Odoo!$D:$D=A359) * (Facturas_Odoo!$K:$K=I359), Facturas_Odoo!$O:$O, 0), 0))</f>
        <v/>
      </c>
      <c r="W359" s="81">
        <f>IF(Q359="Sin Factura",0,IFERROR(_xlfn.XLOOKUP(1, (Facturas_Odoo!$D:$D=A359) * (Facturas_Odoo!$K:$K=I359), Facturas_Odoo!$Q:$Q, 0), 0))</f>
        <v/>
      </c>
      <c r="X359" s="79">
        <f>IF(OR(Q359="Sin Factura",Q359=""),"",IFERROR(INDEX(Pagos_Odoo!$B:$B, MATCH(Q359, Pagos_Odoo!$I:$I, 0)), "Sin Pago"))</f>
        <v/>
      </c>
      <c r="Y359" s="79">
        <f>IF(X359="Sin Pago","",IFERROR(INDEX(Pagos_Odoo!$C:$C, MATCH(X359, Pagos_Odoo!$B:$B, 0)), ""))</f>
        <v/>
      </c>
      <c r="Z359" s="80">
        <f>IF(X359="Sin Pago","",IFERROR(INDEX(Pagos_Odoo!$A:$A, MATCH(X359, Pagos_Odoo!$B:$B, 0)), ""))</f>
        <v/>
      </c>
      <c r="AA359" s="79">
        <f>IF(X359="Sin Pago","",IFERROR(INDEX(Pagos_Odoo!$F:$F, MATCH(X359, Pagos_Odoo!$B:$B, 0)), ""))</f>
        <v/>
      </c>
      <c r="AB359" s="81">
        <f>IF(X359="Sin Pago",0,IFERROR(INDEX(Pagos_Odoo!$E:$E, MATCH(X359, Pagos_Odoo!$B:$B, 0)), 0))</f>
        <v/>
      </c>
      <c r="AC359" s="79">
        <f>IF(X359="Sin Pago","",IFERROR(INDEX(Pagos_Odoo!$G:$G, MATCH(X359, Pagos_Odoo!$B:$B, 0)), ""))</f>
        <v/>
      </c>
      <c r="AD359" s="82" t="n">
        <v>0</v>
      </c>
      <c r="AE359" s="82" t="n"/>
      <c r="AF359" s="82" t="n"/>
      <c r="AG359" s="82">
        <f>IF(AN359="","",AD359+AE359+AF359)</f>
        <v/>
      </c>
      <c r="AH359" s="81">
        <f>IF(AN359="","",P359*(1-AG359))</f>
        <v/>
      </c>
      <c r="AI359" s="81">
        <f>IF(AN359="","",IF(Q359="Sin Factura",0,IFERROR(INDEX(Facturas_Odoo!$H:$H, MATCH(Q359, Facturas_Odoo!$B:$B, 0)), 0)*(1-AG359)))</f>
        <v/>
      </c>
      <c r="AJ359" s="81">
        <f>IF(AN359="","",_xlfn.LET(idVenta, AN359&amp;"",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59" s="81">
        <f>IF(AN359="","",AH359-AJ359)</f>
        <v/>
      </c>
      <c r="AL359" s="81">
        <f>IF(AN359="","",IF(Q359="Sin Factura","",AI359-AJ359))</f>
        <v/>
      </c>
      <c r="AM359" s="81">
        <f>IF(AN359="","",IF(Q359="Sin Factura",0,P359-IFERROR(INDEX(Facturas_Odoo!$H:$H, MATCH(Q359, Facturas_Odoo!$B:$B, 0)), 0)))</f>
        <v/>
      </c>
      <c r="AN359" s="79">
        <f>IF(AND(A359="", J359=""), "", IF(A359&lt;&gt;"", VALUE(MID(A359,2,LEN(A359))), AN358))</f>
        <v/>
      </c>
      <c r="AO359" s="79">
        <f>IF(AN359="","",IF(AD359=0,"OK",_xlfn.LET(monedaPago, IF(AA359="","USD",AA359), limitePermitido, IFERROR(VLOOKUP(monedaPago, Configuración!$A$2:$B$3, 2, FALSE), 0.15), IF(AD359&gt;limitePermitido, "ALERTA: EXCESO (" &amp; TEXT(limitePermitido, "0%") &amp; " máx)", "OK"))))</f>
        <v/>
      </c>
      <c r="AP359" s="79">
        <f>IF(AN359="","",IF(AE359=0,"OK",_xlfn.LET(fechaPago, Z359, fechaFactura, R359, diasCredito, IF(E359="Pago inmediato", 0, IFERROR(VALUE(MID(E359, 1, SEARCH(" ", E359)-1)),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59" s="79">
        <f>IF(AN359="","",IF(AND(N359&gt;0, AG359&gt;0), IF(Configuración!$K$2="NO", "ALERTA: DESCUENTO DOBLE NO PERMITIDO", "OK"), "OK"))</f>
        <v/>
      </c>
      <c r="AR359" s="79">
        <f>IF(AN359="","",IF(OR(AO359&lt;&gt;"OK", AP359&lt;&gt;"OK", AQ359&lt;&gt;"OK"), "⚠️ REVISAR", "OK"))</f>
        <v/>
      </c>
    </row>
    <row r="360">
      <c r="A360" s="79">
        <f>IF('Ordenes_Odoo'!A360="","",'Ordenes_Odoo'!A360)</f>
        <v/>
      </c>
      <c r="B360" s="80">
        <f>IF('Ordenes_Odoo'!B360="","",'Ordenes_Odoo'!B360)</f>
        <v/>
      </c>
      <c r="C360" s="79">
        <f>IF('Ordenes_Odoo'!C360="","",'Ordenes_Odoo'!C360)</f>
        <v/>
      </c>
      <c r="D360" s="79">
        <f>IF('Ordenes_Odoo'!D360="","",'Ordenes_Odoo'!D360)</f>
        <v/>
      </c>
      <c r="E360" s="79">
        <f>IF('Ordenes_Odoo'!E360="","",'Ordenes_Odoo'!E360)</f>
        <v/>
      </c>
      <c r="F360" s="79">
        <f>IF('Ordenes_Odoo'!F360="","",'Ordenes_Odoo'!F360)</f>
        <v/>
      </c>
      <c r="G360" s="79">
        <f>IF('Ordenes_Odoo'!G360="","",'Ordenes_Odoo'!G360)</f>
        <v/>
      </c>
      <c r="H360" s="79">
        <f>IF('Ordenes_Odoo'!H360="","",'Ordenes_Odoo'!H360)</f>
        <v/>
      </c>
      <c r="I360" s="79">
        <f>IF('Ordenes_Odoo'!I360="","",'Ordenes_Odoo'!I360)</f>
        <v/>
      </c>
      <c r="J360" s="79">
        <f>IF('Ordenes_Odoo'!J360="","",'Ordenes_Odoo'!J360)</f>
        <v/>
      </c>
      <c r="K360" s="81">
        <f>IF('Ordenes_Odoo'!K360="","",'Ordenes_Odoo'!K360)</f>
        <v/>
      </c>
      <c r="L360" s="81">
        <f>IF('Ordenes_Odoo'!L360="","",'Ordenes_Odoo'!L360)</f>
        <v/>
      </c>
      <c r="M360" s="79">
        <f>IF('Ordenes_Odoo'!M360="","",'Ordenes_Odoo'!M360)</f>
        <v/>
      </c>
      <c r="N360" s="79">
        <f>IF('Ordenes_Odoo'!N360="","",'Ordenes_Odoo'!N360)</f>
        <v/>
      </c>
      <c r="O360" s="81">
        <f>IF('Ordenes_Odoo'!O360="","",'Ordenes_Odoo'!O360)</f>
        <v/>
      </c>
      <c r="P360" s="81">
        <f>IF('Ordenes_Odoo'!P360="","",'Ordenes_Odoo'!P360)</f>
        <v/>
      </c>
      <c r="Q360" s="79">
        <f>IF(A360="","",IFERROR(INDEX(Facturas_Odoo!$B:$B, MATCH(A360, Facturas_Odoo!$D:$D, 0)), "Sin Factura"))</f>
        <v/>
      </c>
      <c r="R360" s="80">
        <f>IF(Q360="Sin Factura","",IFERROR(INDEX(Facturas_Odoo!$A:$A, MATCH(Q360, Facturas_Odoo!$B:$B, 0)), ""))</f>
        <v/>
      </c>
      <c r="S360" s="79">
        <f>IF(Q360="Sin Factura","",IFERROR(_xlfn.XLOOKUP(1, (Facturas_Odoo!$D:$D=A360) * (Facturas_Odoo!$K:$K=I360), Facturas_Odoo!$L:$L, ""), ""))</f>
        <v/>
      </c>
      <c r="T360" s="81">
        <f>IF(Q360="Sin Factura",0,IFERROR(_xlfn.XLOOKUP(1, (Facturas_Odoo!$D:$D=A360) * (Facturas_Odoo!$K:$K=I360), Facturas_Odoo!$M:$M, 0), 0))</f>
        <v/>
      </c>
      <c r="U360" s="79">
        <f>IF(Q360="Sin Factura",0,IFERROR(_xlfn.XLOOKUP(1, (Facturas_Odoo!$D:$D=A360) * (Facturas_Odoo!$K:$K=I360), Facturas_Odoo!$N:$N, 0), 0))</f>
        <v/>
      </c>
      <c r="V360" s="79">
        <f>IF(Q360="Sin Factura",0,IFERROR(_xlfn.XLOOKUP(1, (Facturas_Odoo!$D:$D=A360) * (Facturas_Odoo!$K:$K=I360), Facturas_Odoo!$O:$O, 0), 0))</f>
        <v/>
      </c>
      <c r="W360" s="81">
        <f>IF(Q360="Sin Factura",0,IFERROR(_xlfn.XLOOKUP(1, (Facturas_Odoo!$D:$D=A360) * (Facturas_Odoo!$K:$K=I360), Facturas_Odoo!$Q:$Q, 0), 0))</f>
        <v/>
      </c>
      <c r="X360" s="79">
        <f>IF(OR(Q360="Sin Factura",Q360=""),"",IFERROR(INDEX(Pagos_Odoo!$B:$B, MATCH(Q360, Pagos_Odoo!$I:$I, 0)), "Sin Pago"))</f>
        <v/>
      </c>
      <c r="Y360" s="79">
        <f>IF(X360="Sin Pago","",IFERROR(INDEX(Pagos_Odoo!$C:$C, MATCH(X360, Pagos_Odoo!$B:$B, 0)), ""))</f>
        <v/>
      </c>
      <c r="Z360" s="80">
        <f>IF(X360="Sin Pago","",IFERROR(INDEX(Pagos_Odoo!$A:$A, MATCH(X360, Pagos_Odoo!$B:$B, 0)), ""))</f>
        <v/>
      </c>
      <c r="AA360" s="79">
        <f>IF(X360="Sin Pago","",IFERROR(INDEX(Pagos_Odoo!$F:$F, MATCH(X360, Pagos_Odoo!$B:$B, 0)), ""))</f>
        <v/>
      </c>
      <c r="AB360" s="81">
        <f>IF(X360="Sin Pago",0,IFERROR(INDEX(Pagos_Odoo!$E:$E, MATCH(X360, Pagos_Odoo!$B:$B, 0)), 0))</f>
        <v/>
      </c>
      <c r="AC360" s="79">
        <f>IF(X360="Sin Pago","",IFERROR(INDEX(Pagos_Odoo!$G:$G, MATCH(X360, Pagos_Odoo!$B:$B, 0)), ""))</f>
        <v/>
      </c>
      <c r="AD360" s="82" t="n">
        <v>0</v>
      </c>
      <c r="AE360" s="82" t="n"/>
      <c r="AF360" s="82" t="n"/>
      <c r="AG360" s="82">
        <f>IF(AN360="","",AD360+AE360+AF360)</f>
        <v/>
      </c>
      <c r="AH360" s="81">
        <f>IF(AN360="","",P360*(1-AG360))</f>
        <v/>
      </c>
      <c r="AI360" s="81">
        <f>IF(AN360="","",IF(Q360="Sin Factura",0,IFERROR(INDEX(Facturas_Odoo!$H:$H, MATCH(Q360, Facturas_Odoo!$B:$B, 0)), 0)*(1-AG360)))</f>
        <v/>
      </c>
      <c r="AJ360" s="81">
        <f>IF(AN360="","",_xlfn.LET(idVenta, AN360&amp;"",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60" s="81">
        <f>IF(AN360="","",AH360-AJ360)</f>
        <v/>
      </c>
      <c r="AL360" s="81">
        <f>IF(AN360="","",IF(Q360="Sin Factura","",AI360-AJ360))</f>
        <v/>
      </c>
      <c r="AM360" s="81">
        <f>IF(AN360="","",IF(Q360="Sin Factura",0,P360-IFERROR(INDEX(Facturas_Odoo!$H:$H, MATCH(Q360, Facturas_Odoo!$B:$B, 0)), 0)))</f>
        <v/>
      </c>
      <c r="AN360" s="79">
        <f>IF(AND(A360="", J360=""), "", IF(A360&lt;&gt;"", VALUE(MID(A360,2,LEN(A360))), AN359))</f>
        <v/>
      </c>
      <c r="AO360" s="79">
        <f>IF(AN360="","",IF(AD360=0,"OK",_xlfn.LET(monedaPago, IF(AA360="","USD",AA360), limitePermitido, IFERROR(VLOOKUP(monedaPago, Configuración!$A$2:$B$3, 2, FALSE), 0.15), IF(AD360&gt;limitePermitido, "ALERTA: EXCESO (" &amp; TEXT(limitePermitido, "0%") &amp; " máx)", "OK"))))</f>
        <v/>
      </c>
      <c r="AP360" s="79">
        <f>IF(AN360="","",IF(AE360=0,"OK",_xlfn.LET(fechaPago, Z360, fechaFactura, R360, diasCredito, IF(E360="Pago inmediato", 0, IFERROR(VALUE(MID(E360, 1, SEARCH(" ", E360)-1)),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60" s="79">
        <f>IF(AN360="","",IF(AND(N360&gt;0, AG360&gt;0), IF(Configuración!$K$2="NO", "ALERTA: DESCUENTO DOBLE NO PERMITIDO", "OK"), "OK"))</f>
        <v/>
      </c>
      <c r="AR360" s="79">
        <f>IF(AN360="","",IF(OR(AO360&lt;&gt;"OK", AP360&lt;&gt;"OK", AQ360&lt;&gt;"OK"), "⚠️ REVISAR", "OK"))</f>
        <v/>
      </c>
    </row>
    <row r="361">
      <c r="A361" s="79">
        <f>IF('Ordenes_Odoo'!A361="","",'Ordenes_Odoo'!A361)</f>
        <v/>
      </c>
      <c r="B361" s="80">
        <f>IF('Ordenes_Odoo'!B361="","",'Ordenes_Odoo'!B361)</f>
        <v/>
      </c>
      <c r="C361" s="79">
        <f>IF('Ordenes_Odoo'!C361="","",'Ordenes_Odoo'!C361)</f>
        <v/>
      </c>
      <c r="D361" s="79">
        <f>IF('Ordenes_Odoo'!D361="","",'Ordenes_Odoo'!D361)</f>
        <v/>
      </c>
      <c r="E361" s="79">
        <f>IF('Ordenes_Odoo'!E361="","",'Ordenes_Odoo'!E361)</f>
        <v/>
      </c>
      <c r="F361" s="79">
        <f>IF('Ordenes_Odoo'!F361="","",'Ordenes_Odoo'!F361)</f>
        <v/>
      </c>
      <c r="G361" s="79">
        <f>IF('Ordenes_Odoo'!G361="","",'Ordenes_Odoo'!G361)</f>
        <v/>
      </c>
      <c r="H361" s="79">
        <f>IF('Ordenes_Odoo'!H361="","",'Ordenes_Odoo'!H361)</f>
        <v/>
      </c>
      <c r="I361" s="79">
        <f>IF('Ordenes_Odoo'!I361="","",'Ordenes_Odoo'!I361)</f>
        <v/>
      </c>
      <c r="J361" s="79">
        <f>IF('Ordenes_Odoo'!J361="","",'Ordenes_Odoo'!J361)</f>
        <v/>
      </c>
      <c r="K361" s="81">
        <f>IF('Ordenes_Odoo'!K361="","",'Ordenes_Odoo'!K361)</f>
        <v/>
      </c>
      <c r="L361" s="81">
        <f>IF('Ordenes_Odoo'!L361="","",'Ordenes_Odoo'!L361)</f>
        <v/>
      </c>
      <c r="M361" s="79">
        <f>IF('Ordenes_Odoo'!M361="","",'Ordenes_Odoo'!M361)</f>
        <v/>
      </c>
      <c r="N361" s="79">
        <f>IF('Ordenes_Odoo'!N361="","",'Ordenes_Odoo'!N361)</f>
        <v/>
      </c>
      <c r="O361" s="81">
        <f>IF('Ordenes_Odoo'!O361="","",'Ordenes_Odoo'!O361)</f>
        <v/>
      </c>
      <c r="P361" s="81">
        <f>IF('Ordenes_Odoo'!P361="","",'Ordenes_Odoo'!P361)</f>
        <v/>
      </c>
      <c r="Q361" s="79">
        <f>IF(A361="","",IFERROR(INDEX(Facturas_Odoo!$B:$B, MATCH(A361, Facturas_Odoo!$D:$D, 0)), "Sin Factura"))</f>
        <v/>
      </c>
      <c r="R361" s="80">
        <f>IF(Q361="Sin Factura","",IFERROR(INDEX(Facturas_Odoo!$A:$A, MATCH(Q361, Facturas_Odoo!$B:$B, 0)), ""))</f>
        <v/>
      </c>
      <c r="S361" s="79">
        <f>IF(Q361="Sin Factura","",IFERROR(_xlfn.XLOOKUP(1, (Facturas_Odoo!$D:$D=A361) * (Facturas_Odoo!$K:$K=I361), Facturas_Odoo!$L:$L, ""), ""))</f>
        <v/>
      </c>
      <c r="T361" s="81">
        <f>IF(Q361="Sin Factura",0,IFERROR(_xlfn.XLOOKUP(1, (Facturas_Odoo!$D:$D=A361) * (Facturas_Odoo!$K:$K=I361), Facturas_Odoo!$M:$M, 0), 0))</f>
        <v/>
      </c>
      <c r="U361" s="79">
        <f>IF(Q361="Sin Factura",0,IFERROR(_xlfn.XLOOKUP(1, (Facturas_Odoo!$D:$D=A361) * (Facturas_Odoo!$K:$K=I361), Facturas_Odoo!$N:$N, 0), 0))</f>
        <v/>
      </c>
      <c r="V361" s="79">
        <f>IF(Q361="Sin Factura",0,IFERROR(_xlfn.XLOOKUP(1, (Facturas_Odoo!$D:$D=A361) * (Facturas_Odoo!$K:$K=I361), Facturas_Odoo!$O:$O, 0), 0))</f>
        <v/>
      </c>
      <c r="W361" s="81">
        <f>IF(Q361="Sin Factura",0,IFERROR(_xlfn.XLOOKUP(1, (Facturas_Odoo!$D:$D=A361) * (Facturas_Odoo!$K:$K=I361), Facturas_Odoo!$Q:$Q, 0), 0))</f>
        <v/>
      </c>
      <c r="X361" s="79">
        <f>IF(OR(Q361="Sin Factura",Q361=""),"",IFERROR(INDEX(Pagos_Odoo!$B:$B, MATCH(Q361, Pagos_Odoo!$I:$I, 0)), "Sin Pago"))</f>
        <v/>
      </c>
      <c r="Y361" s="79">
        <f>IF(X361="Sin Pago","",IFERROR(INDEX(Pagos_Odoo!$C:$C, MATCH(X361, Pagos_Odoo!$B:$B, 0)), ""))</f>
        <v/>
      </c>
      <c r="Z361" s="80">
        <f>IF(X361="Sin Pago","",IFERROR(INDEX(Pagos_Odoo!$A:$A, MATCH(X361, Pagos_Odoo!$B:$B, 0)), ""))</f>
        <v/>
      </c>
      <c r="AA361" s="79">
        <f>IF(X361="Sin Pago","",IFERROR(INDEX(Pagos_Odoo!$F:$F, MATCH(X361, Pagos_Odoo!$B:$B, 0)), ""))</f>
        <v/>
      </c>
      <c r="AB361" s="81">
        <f>IF(X361="Sin Pago",0,IFERROR(INDEX(Pagos_Odoo!$E:$E, MATCH(X361, Pagos_Odoo!$B:$B, 0)), 0))</f>
        <v/>
      </c>
      <c r="AC361" s="79">
        <f>IF(X361="Sin Pago","",IFERROR(INDEX(Pagos_Odoo!$G:$G, MATCH(X361, Pagos_Odoo!$B:$B, 0)), ""))</f>
        <v/>
      </c>
      <c r="AD361" s="82" t="n">
        <v>0</v>
      </c>
      <c r="AE361" s="82" t="n"/>
      <c r="AF361" s="82" t="n"/>
      <c r="AG361" s="82">
        <f>IF(AN361="","",AD361+AE361+AF361)</f>
        <v/>
      </c>
      <c r="AH361" s="81">
        <f>IF(AN361="","",P361*(1-AG361))</f>
        <v/>
      </c>
      <c r="AI361" s="81">
        <f>IF(AN361="","",IF(Q361="Sin Factura",0,IFERROR(INDEX(Facturas_Odoo!$H:$H, MATCH(Q361, Facturas_Odoo!$B:$B, 0)), 0)*(1-AG361)))</f>
        <v/>
      </c>
      <c r="AJ361" s="81">
        <f>IF(AN361="","",_xlfn.LET(idVenta, AN361&amp;"",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61" s="81">
        <f>IF(AN361="","",AH361-AJ361)</f>
        <v/>
      </c>
      <c r="AL361" s="81">
        <f>IF(AN361="","",IF(Q361="Sin Factura","",AI361-AJ361))</f>
        <v/>
      </c>
      <c r="AM361" s="81">
        <f>IF(AN361="","",IF(Q361="Sin Factura",0,P361-IFERROR(INDEX(Facturas_Odoo!$H:$H, MATCH(Q361, Facturas_Odoo!$B:$B, 0)), 0)))</f>
        <v/>
      </c>
      <c r="AN361" s="79">
        <f>IF(AND(A361="", J361=""), "", IF(A361&lt;&gt;"", VALUE(MID(A361,2,LEN(A361))), AN360))</f>
        <v/>
      </c>
      <c r="AO361" s="79">
        <f>IF(AN361="","",IF(AD361=0,"OK",_xlfn.LET(monedaPago, IF(AA361="","USD",AA361), limitePermitido, IFERROR(VLOOKUP(monedaPago, Configuración!$A$2:$B$3, 2, FALSE), 0.15), IF(AD361&gt;limitePermitido, "ALERTA: EXCESO (" &amp; TEXT(limitePermitido, "0%") &amp; " máx)", "OK"))))</f>
        <v/>
      </c>
      <c r="AP361" s="79">
        <f>IF(AN361="","",IF(AE361=0,"OK",_xlfn.LET(fechaPago, Z361, fechaFactura, R361, diasCredito, IF(E361="Pago inmediato", 0, IFERROR(VALUE(MID(E361, 1, SEARCH(" ", E361)-1)),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61" s="79">
        <f>IF(AN361="","",IF(AND(N361&gt;0, AG361&gt;0), IF(Configuración!$K$2="NO", "ALERTA: DESCUENTO DOBLE NO PERMITIDO", "OK"), "OK"))</f>
        <v/>
      </c>
      <c r="AR361" s="79">
        <f>IF(AN361="","",IF(OR(AO361&lt;&gt;"OK", AP361&lt;&gt;"OK", AQ361&lt;&gt;"OK"), "⚠️ REVISAR", "OK"))</f>
        <v/>
      </c>
    </row>
    <row r="362">
      <c r="A362" s="79">
        <f>IF('Ordenes_Odoo'!A362="","",'Ordenes_Odoo'!A362)</f>
        <v/>
      </c>
      <c r="B362" s="80">
        <f>IF('Ordenes_Odoo'!B362="","",'Ordenes_Odoo'!B362)</f>
        <v/>
      </c>
      <c r="C362" s="79">
        <f>IF('Ordenes_Odoo'!C362="","",'Ordenes_Odoo'!C362)</f>
        <v/>
      </c>
      <c r="D362" s="79">
        <f>IF('Ordenes_Odoo'!D362="","",'Ordenes_Odoo'!D362)</f>
        <v/>
      </c>
      <c r="E362" s="79">
        <f>IF('Ordenes_Odoo'!E362="","",'Ordenes_Odoo'!E362)</f>
        <v/>
      </c>
      <c r="F362" s="79">
        <f>IF('Ordenes_Odoo'!F362="","",'Ordenes_Odoo'!F362)</f>
        <v/>
      </c>
      <c r="G362" s="79">
        <f>IF('Ordenes_Odoo'!G362="","",'Ordenes_Odoo'!G362)</f>
        <v/>
      </c>
      <c r="H362" s="79">
        <f>IF('Ordenes_Odoo'!H362="","",'Ordenes_Odoo'!H362)</f>
        <v/>
      </c>
      <c r="I362" s="79">
        <f>IF('Ordenes_Odoo'!I362="","",'Ordenes_Odoo'!I362)</f>
        <v/>
      </c>
      <c r="J362" s="79">
        <f>IF('Ordenes_Odoo'!J362="","",'Ordenes_Odoo'!J362)</f>
        <v/>
      </c>
      <c r="K362" s="81">
        <f>IF('Ordenes_Odoo'!K362="","",'Ordenes_Odoo'!K362)</f>
        <v/>
      </c>
      <c r="L362" s="81">
        <f>IF('Ordenes_Odoo'!L362="","",'Ordenes_Odoo'!L362)</f>
        <v/>
      </c>
      <c r="M362" s="79">
        <f>IF('Ordenes_Odoo'!M362="","",'Ordenes_Odoo'!M362)</f>
        <v/>
      </c>
      <c r="N362" s="79">
        <f>IF('Ordenes_Odoo'!N362="","",'Ordenes_Odoo'!N362)</f>
        <v/>
      </c>
      <c r="O362" s="81">
        <f>IF('Ordenes_Odoo'!O362="","",'Ordenes_Odoo'!O362)</f>
        <v/>
      </c>
      <c r="P362" s="81">
        <f>IF('Ordenes_Odoo'!P362="","",'Ordenes_Odoo'!P362)</f>
        <v/>
      </c>
      <c r="Q362" s="79">
        <f>IF(A362="","",IFERROR(INDEX(Facturas_Odoo!$B:$B, MATCH(A362, Facturas_Odoo!$D:$D, 0)), "Sin Factura"))</f>
        <v/>
      </c>
      <c r="R362" s="80">
        <f>IF(Q362="Sin Factura","",IFERROR(INDEX(Facturas_Odoo!$A:$A, MATCH(Q362, Facturas_Odoo!$B:$B, 0)), ""))</f>
        <v/>
      </c>
      <c r="S362" s="79">
        <f>IF(Q362="Sin Factura","",IFERROR(_xlfn.XLOOKUP(1, (Facturas_Odoo!$D:$D=A362) * (Facturas_Odoo!$K:$K=I362), Facturas_Odoo!$L:$L, ""), ""))</f>
        <v/>
      </c>
      <c r="T362" s="81">
        <f>IF(Q362="Sin Factura",0,IFERROR(_xlfn.XLOOKUP(1, (Facturas_Odoo!$D:$D=A362) * (Facturas_Odoo!$K:$K=I362), Facturas_Odoo!$M:$M, 0), 0))</f>
        <v/>
      </c>
      <c r="U362" s="79">
        <f>IF(Q362="Sin Factura",0,IFERROR(_xlfn.XLOOKUP(1, (Facturas_Odoo!$D:$D=A362) * (Facturas_Odoo!$K:$K=I362), Facturas_Odoo!$N:$N, 0), 0))</f>
        <v/>
      </c>
      <c r="V362" s="79">
        <f>IF(Q362="Sin Factura",0,IFERROR(_xlfn.XLOOKUP(1, (Facturas_Odoo!$D:$D=A362) * (Facturas_Odoo!$K:$K=I362), Facturas_Odoo!$O:$O, 0), 0))</f>
        <v/>
      </c>
      <c r="W362" s="81">
        <f>IF(Q362="Sin Factura",0,IFERROR(_xlfn.XLOOKUP(1, (Facturas_Odoo!$D:$D=A362) * (Facturas_Odoo!$K:$K=I362), Facturas_Odoo!$Q:$Q, 0), 0))</f>
        <v/>
      </c>
      <c r="X362" s="79">
        <f>IF(OR(Q362="Sin Factura",Q362=""),"",IFERROR(INDEX(Pagos_Odoo!$B:$B, MATCH(Q362, Pagos_Odoo!$I:$I, 0)), "Sin Pago"))</f>
        <v/>
      </c>
      <c r="Y362" s="79">
        <f>IF(X362="Sin Pago","",IFERROR(INDEX(Pagos_Odoo!$C:$C, MATCH(X362, Pagos_Odoo!$B:$B, 0)), ""))</f>
        <v/>
      </c>
      <c r="Z362" s="80">
        <f>IF(X362="Sin Pago","",IFERROR(INDEX(Pagos_Odoo!$A:$A, MATCH(X362, Pagos_Odoo!$B:$B, 0)), ""))</f>
        <v/>
      </c>
      <c r="AA362" s="79">
        <f>IF(X362="Sin Pago","",IFERROR(INDEX(Pagos_Odoo!$F:$F, MATCH(X362, Pagos_Odoo!$B:$B, 0)), ""))</f>
        <v/>
      </c>
      <c r="AB362" s="81">
        <f>IF(X362="Sin Pago",0,IFERROR(INDEX(Pagos_Odoo!$E:$E, MATCH(X362, Pagos_Odoo!$B:$B, 0)), 0))</f>
        <v/>
      </c>
      <c r="AC362" s="79">
        <f>IF(X362="Sin Pago","",IFERROR(INDEX(Pagos_Odoo!$G:$G, MATCH(X362, Pagos_Odoo!$B:$B, 0)), ""))</f>
        <v/>
      </c>
      <c r="AD362" s="82" t="n">
        <v>0</v>
      </c>
      <c r="AE362" s="82" t="n"/>
      <c r="AF362" s="82" t="n"/>
      <c r="AG362" s="82">
        <f>IF(AN362="","",AD362+AE362+AF362)</f>
        <v/>
      </c>
      <c r="AH362" s="81">
        <f>IF(AN362="","",P362*(1-AG362))</f>
        <v/>
      </c>
      <c r="AI362" s="81">
        <f>IF(AN362="","",IF(Q362="Sin Factura",0,IFERROR(INDEX(Facturas_Odoo!$H:$H, MATCH(Q362, Facturas_Odoo!$B:$B, 0)), 0)*(1-AG362)))</f>
        <v/>
      </c>
      <c r="AJ362" s="81">
        <f>IF(AN362="","",_xlfn.LET(idVenta, AN362&amp;"",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62" s="81">
        <f>IF(AN362="","",AH362-AJ362)</f>
        <v/>
      </c>
      <c r="AL362" s="81">
        <f>IF(AN362="","",IF(Q362="Sin Factura","",AI362-AJ362))</f>
        <v/>
      </c>
      <c r="AM362" s="81">
        <f>IF(AN362="","",IF(Q362="Sin Factura",0,P362-IFERROR(INDEX(Facturas_Odoo!$H:$H, MATCH(Q362, Facturas_Odoo!$B:$B, 0)), 0)))</f>
        <v/>
      </c>
      <c r="AN362" s="79">
        <f>IF(AND(A362="", J362=""), "", IF(A362&lt;&gt;"", VALUE(MID(A362,2,LEN(A362))), AN361))</f>
        <v/>
      </c>
      <c r="AO362" s="79">
        <f>IF(AN362="","",IF(AD362=0,"OK",_xlfn.LET(monedaPago, IF(AA362="","USD",AA362), limitePermitido, IFERROR(VLOOKUP(monedaPago, Configuración!$A$2:$B$3, 2, FALSE), 0.15), IF(AD362&gt;limitePermitido, "ALERTA: EXCESO (" &amp; TEXT(limitePermitido, "0%") &amp; " máx)", "OK"))))</f>
        <v/>
      </c>
      <c r="AP362" s="79">
        <f>IF(AN362="","",IF(AE362=0,"OK",_xlfn.LET(fechaPago, Z362, fechaFactura, R362, diasCredito, IF(E362="Pago inmediato", 0, IFERROR(VALUE(MID(E362, 1, SEARCH(" ", E362)-1)),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62" s="79">
        <f>IF(AN362="","",IF(AND(N362&gt;0, AG362&gt;0), IF(Configuración!$K$2="NO", "ALERTA: DESCUENTO DOBLE NO PERMITIDO", "OK"), "OK"))</f>
        <v/>
      </c>
      <c r="AR362" s="79">
        <f>IF(AN362="","",IF(OR(AO362&lt;&gt;"OK", AP362&lt;&gt;"OK", AQ362&lt;&gt;"OK"), "⚠️ REVISAR", "OK"))</f>
        <v/>
      </c>
    </row>
    <row r="363">
      <c r="A363" s="79">
        <f>IF('Ordenes_Odoo'!A363="","",'Ordenes_Odoo'!A363)</f>
        <v/>
      </c>
      <c r="B363" s="80">
        <f>IF('Ordenes_Odoo'!B363="","",'Ordenes_Odoo'!B363)</f>
        <v/>
      </c>
      <c r="C363" s="79">
        <f>IF('Ordenes_Odoo'!C363="","",'Ordenes_Odoo'!C363)</f>
        <v/>
      </c>
      <c r="D363" s="79">
        <f>IF('Ordenes_Odoo'!D363="","",'Ordenes_Odoo'!D363)</f>
        <v/>
      </c>
      <c r="E363" s="79">
        <f>IF('Ordenes_Odoo'!E363="","",'Ordenes_Odoo'!E363)</f>
        <v/>
      </c>
      <c r="F363" s="79">
        <f>IF('Ordenes_Odoo'!F363="","",'Ordenes_Odoo'!F363)</f>
        <v/>
      </c>
      <c r="G363" s="79">
        <f>IF('Ordenes_Odoo'!G363="","",'Ordenes_Odoo'!G363)</f>
        <v/>
      </c>
      <c r="H363" s="79">
        <f>IF('Ordenes_Odoo'!H363="","",'Ordenes_Odoo'!H363)</f>
        <v/>
      </c>
      <c r="I363" s="79">
        <f>IF('Ordenes_Odoo'!I363="","",'Ordenes_Odoo'!I363)</f>
        <v/>
      </c>
      <c r="J363" s="79">
        <f>IF('Ordenes_Odoo'!J363="","",'Ordenes_Odoo'!J363)</f>
        <v/>
      </c>
      <c r="K363" s="81">
        <f>IF('Ordenes_Odoo'!K363="","",'Ordenes_Odoo'!K363)</f>
        <v/>
      </c>
      <c r="L363" s="81">
        <f>IF('Ordenes_Odoo'!L363="","",'Ordenes_Odoo'!L363)</f>
        <v/>
      </c>
      <c r="M363" s="79">
        <f>IF('Ordenes_Odoo'!M363="","",'Ordenes_Odoo'!M363)</f>
        <v/>
      </c>
      <c r="N363" s="79">
        <f>IF('Ordenes_Odoo'!N363="","",'Ordenes_Odoo'!N363)</f>
        <v/>
      </c>
      <c r="O363" s="81">
        <f>IF('Ordenes_Odoo'!O363="","",'Ordenes_Odoo'!O363)</f>
        <v/>
      </c>
      <c r="P363" s="81">
        <f>IF('Ordenes_Odoo'!P363="","",'Ordenes_Odoo'!P363)</f>
        <v/>
      </c>
      <c r="Q363" s="79">
        <f>IF(A363="","",IFERROR(INDEX(Facturas_Odoo!$B:$B, MATCH(A363, Facturas_Odoo!$D:$D, 0)), "Sin Factura"))</f>
        <v/>
      </c>
      <c r="R363" s="80">
        <f>IF(Q363="Sin Factura","",IFERROR(INDEX(Facturas_Odoo!$A:$A, MATCH(Q363, Facturas_Odoo!$B:$B, 0)), ""))</f>
        <v/>
      </c>
      <c r="S363" s="79">
        <f>IF(Q363="Sin Factura","",IFERROR(_xlfn.XLOOKUP(1, (Facturas_Odoo!$D:$D=A363) * (Facturas_Odoo!$K:$K=I363), Facturas_Odoo!$L:$L, ""), ""))</f>
        <v/>
      </c>
      <c r="T363" s="81">
        <f>IF(Q363="Sin Factura",0,IFERROR(_xlfn.XLOOKUP(1, (Facturas_Odoo!$D:$D=A363) * (Facturas_Odoo!$K:$K=I363), Facturas_Odoo!$M:$M, 0), 0))</f>
        <v/>
      </c>
      <c r="U363" s="79">
        <f>IF(Q363="Sin Factura",0,IFERROR(_xlfn.XLOOKUP(1, (Facturas_Odoo!$D:$D=A363) * (Facturas_Odoo!$K:$K=I363), Facturas_Odoo!$N:$N, 0), 0))</f>
        <v/>
      </c>
      <c r="V363" s="79">
        <f>IF(Q363="Sin Factura",0,IFERROR(_xlfn.XLOOKUP(1, (Facturas_Odoo!$D:$D=A363) * (Facturas_Odoo!$K:$K=I363), Facturas_Odoo!$O:$O, 0), 0))</f>
        <v/>
      </c>
      <c r="W363" s="81">
        <f>IF(Q363="Sin Factura",0,IFERROR(_xlfn.XLOOKUP(1, (Facturas_Odoo!$D:$D=A363) * (Facturas_Odoo!$K:$K=I363), Facturas_Odoo!$Q:$Q, 0), 0))</f>
        <v/>
      </c>
      <c r="X363" s="79">
        <f>IF(OR(Q363="Sin Factura",Q363=""),"",IFERROR(INDEX(Pagos_Odoo!$B:$B, MATCH(Q363, Pagos_Odoo!$I:$I, 0)), "Sin Pago"))</f>
        <v/>
      </c>
      <c r="Y363" s="79">
        <f>IF(X363="Sin Pago","",IFERROR(INDEX(Pagos_Odoo!$C:$C, MATCH(X363, Pagos_Odoo!$B:$B, 0)), ""))</f>
        <v/>
      </c>
      <c r="Z363" s="80">
        <f>IF(X363="Sin Pago","",IFERROR(INDEX(Pagos_Odoo!$A:$A, MATCH(X363, Pagos_Odoo!$B:$B, 0)), ""))</f>
        <v/>
      </c>
      <c r="AA363" s="79">
        <f>IF(X363="Sin Pago","",IFERROR(INDEX(Pagos_Odoo!$F:$F, MATCH(X363, Pagos_Odoo!$B:$B, 0)), ""))</f>
        <v/>
      </c>
      <c r="AB363" s="81">
        <f>IF(X363="Sin Pago",0,IFERROR(INDEX(Pagos_Odoo!$E:$E, MATCH(X363, Pagos_Odoo!$B:$B, 0)), 0))</f>
        <v/>
      </c>
      <c r="AC363" s="79">
        <f>IF(X363="Sin Pago","",IFERROR(INDEX(Pagos_Odoo!$G:$G, MATCH(X363, Pagos_Odoo!$B:$B, 0)), ""))</f>
        <v/>
      </c>
      <c r="AD363" s="82" t="n">
        <v>0</v>
      </c>
      <c r="AE363" s="82" t="n"/>
      <c r="AF363" s="82" t="n"/>
      <c r="AG363" s="82">
        <f>IF(AN363="","",AD363+AE363+AF363)</f>
        <v/>
      </c>
      <c r="AH363" s="81">
        <f>IF(AN363="","",P363*(1-AG363))</f>
        <v/>
      </c>
      <c r="AI363" s="81">
        <f>IF(AN363="","",IF(Q363="Sin Factura",0,IFERROR(INDEX(Facturas_Odoo!$H:$H, MATCH(Q363, Facturas_Odoo!$B:$B, 0)), 0)*(1-AG363)))</f>
        <v/>
      </c>
      <c r="AJ363" s="81">
        <f>IF(AN363="","",_xlfn.LET(idVenta, AN363&amp;"",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63" s="81">
        <f>IF(AN363="","",AH363-AJ363)</f>
        <v/>
      </c>
      <c r="AL363" s="81">
        <f>IF(AN363="","",IF(Q363="Sin Factura","",AI363-AJ363))</f>
        <v/>
      </c>
      <c r="AM363" s="81">
        <f>IF(AN363="","",IF(Q363="Sin Factura",0,P363-IFERROR(INDEX(Facturas_Odoo!$H:$H, MATCH(Q363, Facturas_Odoo!$B:$B, 0)), 0)))</f>
        <v/>
      </c>
      <c r="AN363" s="79">
        <f>IF(AND(A363="", J363=""), "", IF(A363&lt;&gt;"", VALUE(MID(A363,2,LEN(A363))), AN362))</f>
        <v/>
      </c>
      <c r="AO363" s="79">
        <f>IF(AN363="","",IF(AD363=0,"OK",_xlfn.LET(monedaPago, IF(AA363="","USD",AA363), limitePermitido, IFERROR(VLOOKUP(monedaPago, Configuración!$A$2:$B$3, 2, FALSE), 0.15), IF(AD363&gt;limitePermitido, "ALERTA: EXCESO (" &amp; TEXT(limitePermitido, "0%") &amp; " máx)", "OK"))))</f>
        <v/>
      </c>
      <c r="AP363" s="79">
        <f>IF(AN363="","",IF(AE363=0,"OK",_xlfn.LET(fechaPago, Z363, fechaFactura, R363, diasCredito, IF(E363="Pago inmediato", 0, IFERROR(VALUE(MID(E363, 1, SEARCH(" ", E363)-1)),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63" s="79">
        <f>IF(AN363="","",IF(AND(N363&gt;0, AG363&gt;0), IF(Configuración!$K$2="NO", "ALERTA: DESCUENTO DOBLE NO PERMITIDO", "OK"), "OK"))</f>
        <v/>
      </c>
      <c r="AR363" s="79">
        <f>IF(AN363="","",IF(OR(AO363&lt;&gt;"OK", AP363&lt;&gt;"OK", AQ363&lt;&gt;"OK"), "⚠️ REVISAR", "OK"))</f>
        <v/>
      </c>
    </row>
    <row r="364">
      <c r="A364" s="79">
        <f>IF('Ordenes_Odoo'!A364="","",'Ordenes_Odoo'!A364)</f>
        <v/>
      </c>
      <c r="B364" s="80">
        <f>IF('Ordenes_Odoo'!B364="","",'Ordenes_Odoo'!B364)</f>
        <v/>
      </c>
      <c r="C364" s="79">
        <f>IF('Ordenes_Odoo'!C364="","",'Ordenes_Odoo'!C364)</f>
        <v/>
      </c>
      <c r="D364" s="79">
        <f>IF('Ordenes_Odoo'!D364="","",'Ordenes_Odoo'!D364)</f>
        <v/>
      </c>
      <c r="E364" s="79">
        <f>IF('Ordenes_Odoo'!E364="","",'Ordenes_Odoo'!E364)</f>
        <v/>
      </c>
      <c r="F364" s="79">
        <f>IF('Ordenes_Odoo'!F364="","",'Ordenes_Odoo'!F364)</f>
        <v/>
      </c>
      <c r="G364" s="79">
        <f>IF('Ordenes_Odoo'!G364="","",'Ordenes_Odoo'!G364)</f>
        <v/>
      </c>
      <c r="H364" s="79">
        <f>IF('Ordenes_Odoo'!H364="","",'Ordenes_Odoo'!H364)</f>
        <v/>
      </c>
      <c r="I364" s="79">
        <f>IF('Ordenes_Odoo'!I364="","",'Ordenes_Odoo'!I364)</f>
        <v/>
      </c>
      <c r="J364" s="79">
        <f>IF('Ordenes_Odoo'!J364="","",'Ordenes_Odoo'!J364)</f>
        <v/>
      </c>
      <c r="K364" s="81">
        <f>IF('Ordenes_Odoo'!K364="","",'Ordenes_Odoo'!K364)</f>
        <v/>
      </c>
      <c r="L364" s="81">
        <f>IF('Ordenes_Odoo'!L364="","",'Ordenes_Odoo'!L364)</f>
        <v/>
      </c>
      <c r="M364" s="79">
        <f>IF('Ordenes_Odoo'!M364="","",'Ordenes_Odoo'!M364)</f>
        <v/>
      </c>
      <c r="N364" s="79">
        <f>IF('Ordenes_Odoo'!N364="","",'Ordenes_Odoo'!N364)</f>
        <v/>
      </c>
      <c r="O364" s="81">
        <f>IF('Ordenes_Odoo'!O364="","",'Ordenes_Odoo'!O364)</f>
        <v/>
      </c>
      <c r="P364" s="81">
        <f>IF('Ordenes_Odoo'!P364="","",'Ordenes_Odoo'!P364)</f>
        <v/>
      </c>
      <c r="Q364" s="79">
        <f>IF(A364="","",IFERROR(INDEX(Facturas_Odoo!$B:$B, MATCH(A364, Facturas_Odoo!$D:$D, 0)), "Sin Factura"))</f>
        <v/>
      </c>
      <c r="R364" s="80">
        <f>IF(Q364="Sin Factura","",IFERROR(INDEX(Facturas_Odoo!$A:$A, MATCH(Q364, Facturas_Odoo!$B:$B, 0)), ""))</f>
        <v/>
      </c>
      <c r="S364" s="79">
        <f>IF(Q364="Sin Factura","",IFERROR(_xlfn.XLOOKUP(1, (Facturas_Odoo!$D:$D=A364) * (Facturas_Odoo!$K:$K=I364), Facturas_Odoo!$L:$L, ""), ""))</f>
        <v/>
      </c>
      <c r="T364" s="81">
        <f>IF(Q364="Sin Factura",0,IFERROR(_xlfn.XLOOKUP(1, (Facturas_Odoo!$D:$D=A364) * (Facturas_Odoo!$K:$K=I364), Facturas_Odoo!$M:$M, 0), 0))</f>
        <v/>
      </c>
      <c r="U364" s="79">
        <f>IF(Q364="Sin Factura",0,IFERROR(_xlfn.XLOOKUP(1, (Facturas_Odoo!$D:$D=A364) * (Facturas_Odoo!$K:$K=I364), Facturas_Odoo!$N:$N, 0), 0))</f>
        <v/>
      </c>
      <c r="V364" s="79">
        <f>IF(Q364="Sin Factura",0,IFERROR(_xlfn.XLOOKUP(1, (Facturas_Odoo!$D:$D=A364) * (Facturas_Odoo!$K:$K=I364), Facturas_Odoo!$O:$O, 0), 0))</f>
        <v/>
      </c>
      <c r="W364" s="81">
        <f>IF(Q364="Sin Factura",0,IFERROR(_xlfn.XLOOKUP(1, (Facturas_Odoo!$D:$D=A364) * (Facturas_Odoo!$K:$K=I364), Facturas_Odoo!$Q:$Q, 0), 0))</f>
        <v/>
      </c>
      <c r="X364" s="79">
        <f>IF(OR(Q364="Sin Factura",Q364=""),"",IFERROR(INDEX(Pagos_Odoo!$B:$B, MATCH(Q364, Pagos_Odoo!$I:$I, 0)), "Sin Pago"))</f>
        <v/>
      </c>
      <c r="Y364" s="79">
        <f>IF(X364="Sin Pago","",IFERROR(INDEX(Pagos_Odoo!$C:$C, MATCH(X364, Pagos_Odoo!$B:$B, 0)), ""))</f>
        <v/>
      </c>
      <c r="Z364" s="80">
        <f>IF(X364="Sin Pago","",IFERROR(INDEX(Pagos_Odoo!$A:$A, MATCH(X364, Pagos_Odoo!$B:$B, 0)), ""))</f>
        <v/>
      </c>
      <c r="AA364" s="79">
        <f>IF(X364="Sin Pago","",IFERROR(INDEX(Pagos_Odoo!$F:$F, MATCH(X364, Pagos_Odoo!$B:$B, 0)), ""))</f>
        <v/>
      </c>
      <c r="AB364" s="81">
        <f>IF(X364="Sin Pago",0,IFERROR(INDEX(Pagos_Odoo!$E:$E, MATCH(X364, Pagos_Odoo!$B:$B, 0)), 0))</f>
        <v/>
      </c>
      <c r="AC364" s="79">
        <f>IF(X364="Sin Pago","",IFERROR(INDEX(Pagos_Odoo!$G:$G, MATCH(X364, Pagos_Odoo!$B:$B, 0)), ""))</f>
        <v/>
      </c>
      <c r="AD364" s="82" t="n">
        <v>0</v>
      </c>
      <c r="AE364" s="82" t="n"/>
      <c r="AF364" s="82" t="n"/>
      <c r="AG364" s="82">
        <f>IF(AN364="","",AD364+AE364+AF364)</f>
        <v/>
      </c>
      <c r="AH364" s="81">
        <f>IF(AN364="","",P364*(1-AG364))</f>
        <v/>
      </c>
      <c r="AI364" s="81">
        <f>IF(AN364="","",IF(Q364="Sin Factura",0,IFERROR(INDEX(Facturas_Odoo!$H:$H, MATCH(Q364, Facturas_Odoo!$B:$B, 0)), 0)*(1-AG364)))</f>
        <v/>
      </c>
      <c r="AJ364" s="81">
        <f>IF(AN364="","",_xlfn.LET(idVenta, AN364&amp;"",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64" s="81">
        <f>IF(AN364="","",AH364-AJ364)</f>
        <v/>
      </c>
      <c r="AL364" s="81">
        <f>IF(AN364="","",IF(Q364="Sin Factura","",AI364-AJ364))</f>
        <v/>
      </c>
      <c r="AM364" s="81">
        <f>IF(AN364="","",IF(Q364="Sin Factura",0,P364-IFERROR(INDEX(Facturas_Odoo!$H:$H, MATCH(Q364, Facturas_Odoo!$B:$B, 0)), 0)))</f>
        <v/>
      </c>
      <c r="AN364" s="79">
        <f>IF(AND(A364="", J364=""), "", IF(A364&lt;&gt;"", VALUE(MID(A364,2,LEN(A364))), AN363))</f>
        <v/>
      </c>
      <c r="AO364" s="79">
        <f>IF(AN364="","",IF(AD364=0,"OK",_xlfn.LET(monedaPago, IF(AA364="","USD",AA364), limitePermitido, IFERROR(VLOOKUP(monedaPago, Configuración!$A$2:$B$3, 2, FALSE), 0.15), IF(AD364&gt;limitePermitido, "ALERTA: EXCESO (" &amp; TEXT(limitePermitido, "0%") &amp; " máx)", "OK"))))</f>
        <v/>
      </c>
      <c r="AP364" s="79">
        <f>IF(AN364="","",IF(AE364=0,"OK",_xlfn.LET(fechaPago, Z364, fechaFactura, R364, diasCredito, IF(E364="Pago inmediato", 0, IFERROR(VALUE(MID(E364, 1, SEARCH(" ", E364)-1)),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64" s="79">
        <f>IF(AN364="","",IF(AND(N364&gt;0, AG364&gt;0), IF(Configuración!$K$2="NO", "ALERTA: DESCUENTO DOBLE NO PERMITIDO", "OK"), "OK"))</f>
        <v/>
      </c>
      <c r="AR364" s="79">
        <f>IF(AN364="","",IF(OR(AO364&lt;&gt;"OK", AP364&lt;&gt;"OK", AQ364&lt;&gt;"OK"), "⚠️ REVISAR", "OK"))</f>
        <v/>
      </c>
    </row>
    <row r="365">
      <c r="A365" s="79">
        <f>IF('Ordenes_Odoo'!A365="","",'Ordenes_Odoo'!A365)</f>
        <v/>
      </c>
      <c r="B365" s="80">
        <f>IF('Ordenes_Odoo'!B365="","",'Ordenes_Odoo'!B365)</f>
        <v/>
      </c>
      <c r="C365" s="79">
        <f>IF('Ordenes_Odoo'!C365="","",'Ordenes_Odoo'!C365)</f>
        <v/>
      </c>
      <c r="D365" s="79">
        <f>IF('Ordenes_Odoo'!D365="","",'Ordenes_Odoo'!D365)</f>
        <v/>
      </c>
      <c r="E365" s="79">
        <f>IF('Ordenes_Odoo'!E365="","",'Ordenes_Odoo'!E365)</f>
        <v/>
      </c>
      <c r="F365" s="79">
        <f>IF('Ordenes_Odoo'!F365="","",'Ordenes_Odoo'!F365)</f>
        <v/>
      </c>
      <c r="G365" s="79">
        <f>IF('Ordenes_Odoo'!G365="","",'Ordenes_Odoo'!G365)</f>
        <v/>
      </c>
      <c r="H365" s="79">
        <f>IF('Ordenes_Odoo'!H365="","",'Ordenes_Odoo'!H365)</f>
        <v/>
      </c>
      <c r="I365" s="79">
        <f>IF('Ordenes_Odoo'!I365="","",'Ordenes_Odoo'!I365)</f>
        <v/>
      </c>
      <c r="J365" s="79">
        <f>IF('Ordenes_Odoo'!J365="","",'Ordenes_Odoo'!J365)</f>
        <v/>
      </c>
      <c r="K365" s="81">
        <f>IF('Ordenes_Odoo'!K365="","",'Ordenes_Odoo'!K365)</f>
        <v/>
      </c>
      <c r="L365" s="81">
        <f>IF('Ordenes_Odoo'!L365="","",'Ordenes_Odoo'!L365)</f>
        <v/>
      </c>
      <c r="M365" s="79">
        <f>IF('Ordenes_Odoo'!M365="","",'Ordenes_Odoo'!M365)</f>
        <v/>
      </c>
      <c r="N365" s="79">
        <f>IF('Ordenes_Odoo'!N365="","",'Ordenes_Odoo'!N365)</f>
        <v/>
      </c>
      <c r="O365" s="81">
        <f>IF('Ordenes_Odoo'!O365="","",'Ordenes_Odoo'!O365)</f>
        <v/>
      </c>
      <c r="P365" s="81">
        <f>IF('Ordenes_Odoo'!P365="","",'Ordenes_Odoo'!P365)</f>
        <v/>
      </c>
      <c r="Q365" s="79">
        <f>IF(A365="","",IFERROR(INDEX(Facturas_Odoo!$B:$B, MATCH(A365, Facturas_Odoo!$D:$D, 0)), "Sin Factura"))</f>
        <v/>
      </c>
      <c r="R365" s="80">
        <f>IF(Q365="Sin Factura","",IFERROR(INDEX(Facturas_Odoo!$A:$A, MATCH(Q365, Facturas_Odoo!$B:$B, 0)), ""))</f>
        <v/>
      </c>
      <c r="S365" s="79">
        <f>IF(Q365="Sin Factura","",IFERROR(_xlfn.XLOOKUP(1, (Facturas_Odoo!$D:$D=A365) * (Facturas_Odoo!$K:$K=I365), Facturas_Odoo!$L:$L, ""), ""))</f>
        <v/>
      </c>
      <c r="T365" s="81">
        <f>IF(Q365="Sin Factura",0,IFERROR(_xlfn.XLOOKUP(1, (Facturas_Odoo!$D:$D=A365) * (Facturas_Odoo!$K:$K=I365), Facturas_Odoo!$M:$M, 0), 0))</f>
        <v/>
      </c>
      <c r="U365" s="79">
        <f>IF(Q365="Sin Factura",0,IFERROR(_xlfn.XLOOKUP(1, (Facturas_Odoo!$D:$D=A365) * (Facturas_Odoo!$K:$K=I365), Facturas_Odoo!$N:$N, 0), 0))</f>
        <v/>
      </c>
      <c r="V365" s="79">
        <f>IF(Q365="Sin Factura",0,IFERROR(_xlfn.XLOOKUP(1, (Facturas_Odoo!$D:$D=A365) * (Facturas_Odoo!$K:$K=I365), Facturas_Odoo!$O:$O, 0), 0))</f>
        <v/>
      </c>
      <c r="W365" s="81">
        <f>IF(Q365="Sin Factura",0,IFERROR(_xlfn.XLOOKUP(1, (Facturas_Odoo!$D:$D=A365) * (Facturas_Odoo!$K:$K=I365), Facturas_Odoo!$Q:$Q, 0), 0))</f>
        <v/>
      </c>
      <c r="X365" s="79">
        <f>IF(OR(Q365="Sin Factura",Q365=""),"",IFERROR(INDEX(Pagos_Odoo!$B:$B, MATCH(Q365, Pagos_Odoo!$I:$I, 0)), "Sin Pago"))</f>
        <v/>
      </c>
      <c r="Y365" s="79">
        <f>IF(X365="Sin Pago","",IFERROR(INDEX(Pagos_Odoo!$C:$C, MATCH(X365, Pagos_Odoo!$B:$B, 0)), ""))</f>
        <v/>
      </c>
      <c r="Z365" s="80">
        <f>IF(X365="Sin Pago","",IFERROR(INDEX(Pagos_Odoo!$A:$A, MATCH(X365, Pagos_Odoo!$B:$B, 0)), ""))</f>
        <v/>
      </c>
      <c r="AA365" s="79">
        <f>IF(X365="Sin Pago","",IFERROR(INDEX(Pagos_Odoo!$F:$F, MATCH(X365, Pagos_Odoo!$B:$B, 0)), ""))</f>
        <v/>
      </c>
      <c r="AB365" s="81">
        <f>IF(X365="Sin Pago",0,IFERROR(INDEX(Pagos_Odoo!$E:$E, MATCH(X365, Pagos_Odoo!$B:$B, 0)), 0))</f>
        <v/>
      </c>
      <c r="AC365" s="79">
        <f>IF(X365="Sin Pago","",IFERROR(INDEX(Pagos_Odoo!$G:$G, MATCH(X365, Pagos_Odoo!$B:$B, 0)), ""))</f>
        <v/>
      </c>
      <c r="AD365" s="82" t="n">
        <v>0</v>
      </c>
      <c r="AE365" s="82" t="n"/>
      <c r="AF365" s="82" t="n"/>
      <c r="AG365" s="82">
        <f>IF(AN365="","",AD365+AE365+AF365)</f>
        <v/>
      </c>
      <c r="AH365" s="81">
        <f>IF(AN365="","",P365*(1-AG365))</f>
        <v/>
      </c>
      <c r="AI365" s="81">
        <f>IF(AN365="","",IF(Q365="Sin Factura",0,IFERROR(INDEX(Facturas_Odoo!$H:$H, MATCH(Q365, Facturas_Odoo!$B:$B, 0)), 0)*(1-AG365)))</f>
        <v/>
      </c>
      <c r="AJ365" s="81">
        <f>IF(AN365="","",_xlfn.LET(idVenta, AN365&amp;"",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65" s="81">
        <f>IF(AN365="","",AH365-AJ365)</f>
        <v/>
      </c>
      <c r="AL365" s="81">
        <f>IF(AN365="","",IF(Q365="Sin Factura","",AI365-AJ365))</f>
        <v/>
      </c>
      <c r="AM365" s="81">
        <f>IF(AN365="","",IF(Q365="Sin Factura",0,P365-IFERROR(INDEX(Facturas_Odoo!$H:$H, MATCH(Q365, Facturas_Odoo!$B:$B, 0)), 0)))</f>
        <v/>
      </c>
      <c r="AN365" s="79">
        <f>IF(AND(A365="", J365=""), "", IF(A365&lt;&gt;"", VALUE(MID(A365,2,LEN(A365))), AN364))</f>
        <v/>
      </c>
      <c r="AO365" s="79">
        <f>IF(AN365="","",IF(AD365=0,"OK",_xlfn.LET(monedaPago, IF(AA365="","USD",AA365), limitePermitido, IFERROR(VLOOKUP(monedaPago, Configuración!$A$2:$B$3, 2, FALSE), 0.15), IF(AD365&gt;limitePermitido, "ALERTA: EXCESO (" &amp; TEXT(limitePermitido, "0%") &amp; " máx)", "OK"))))</f>
        <v/>
      </c>
      <c r="AP365" s="79">
        <f>IF(AN365="","",IF(AE365=0,"OK",_xlfn.LET(fechaPago, Z365, fechaFactura, R365, diasCredito, IF(E365="Pago inmediato", 0, IFERROR(VALUE(MID(E365, 1, SEARCH(" ", E365)-1)),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65" s="79">
        <f>IF(AN365="","",IF(AND(N365&gt;0, AG365&gt;0), IF(Configuración!$K$2="NO", "ALERTA: DESCUENTO DOBLE NO PERMITIDO", "OK"), "OK"))</f>
        <v/>
      </c>
      <c r="AR365" s="79">
        <f>IF(AN365="","",IF(OR(AO365&lt;&gt;"OK", AP365&lt;&gt;"OK", AQ365&lt;&gt;"OK"), "⚠️ REVISAR", "OK"))</f>
        <v/>
      </c>
    </row>
    <row r="366">
      <c r="A366" s="79">
        <f>IF('Ordenes_Odoo'!A366="","",'Ordenes_Odoo'!A366)</f>
        <v/>
      </c>
      <c r="B366" s="80">
        <f>IF('Ordenes_Odoo'!B366="","",'Ordenes_Odoo'!B366)</f>
        <v/>
      </c>
      <c r="C366" s="79">
        <f>IF('Ordenes_Odoo'!C366="","",'Ordenes_Odoo'!C366)</f>
        <v/>
      </c>
      <c r="D366" s="79">
        <f>IF('Ordenes_Odoo'!D366="","",'Ordenes_Odoo'!D366)</f>
        <v/>
      </c>
      <c r="E366" s="79">
        <f>IF('Ordenes_Odoo'!E366="","",'Ordenes_Odoo'!E366)</f>
        <v/>
      </c>
      <c r="F366" s="79">
        <f>IF('Ordenes_Odoo'!F366="","",'Ordenes_Odoo'!F366)</f>
        <v/>
      </c>
      <c r="G366" s="79">
        <f>IF('Ordenes_Odoo'!G366="","",'Ordenes_Odoo'!G366)</f>
        <v/>
      </c>
      <c r="H366" s="79">
        <f>IF('Ordenes_Odoo'!H366="","",'Ordenes_Odoo'!H366)</f>
        <v/>
      </c>
      <c r="I366" s="79">
        <f>IF('Ordenes_Odoo'!I366="","",'Ordenes_Odoo'!I366)</f>
        <v/>
      </c>
      <c r="J366" s="79">
        <f>IF('Ordenes_Odoo'!J366="","",'Ordenes_Odoo'!J366)</f>
        <v/>
      </c>
      <c r="K366" s="81">
        <f>IF('Ordenes_Odoo'!K366="","",'Ordenes_Odoo'!K366)</f>
        <v/>
      </c>
      <c r="L366" s="81">
        <f>IF('Ordenes_Odoo'!L366="","",'Ordenes_Odoo'!L366)</f>
        <v/>
      </c>
      <c r="M366" s="79">
        <f>IF('Ordenes_Odoo'!M366="","",'Ordenes_Odoo'!M366)</f>
        <v/>
      </c>
      <c r="N366" s="79">
        <f>IF('Ordenes_Odoo'!N366="","",'Ordenes_Odoo'!N366)</f>
        <v/>
      </c>
      <c r="O366" s="81">
        <f>IF('Ordenes_Odoo'!O366="","",'Ordenes_Odoo'!O366)</f>
        <v/>
      </c>
      <c r="P366" s="81">
        <f>IF('Ordenes_Odoo'!P366="","",'Ordenes_Odoo'!P366)</f>
        <v/>
      </c>
      <c r="Q366" s="79">
        <f>IF(A366="","",IFERROR(INDEX(Facturas_Odoo!$B:$B, MATCH(A366, Facturas_Odoo!$D:$D, 0)), "Sin Factura"))</f>
        <v/>
      </c>
      <c r="R366" s="80">
        <f>IF(Q366="Sin Factura","",IFERROR(INDEX(Facturas_Odoo!$A:$A, MATCH(Q366, Facturas_Odoo!$B:$B, 0)), ""))</f>
        <v/>
      </c>
      <c r="S366" s="79">
        <f>IF(Q366="Sin Factura","",IFERROR(_xlfn.XLOOKUP(1, (Facturas_Odoo!$D:$D=A366) * (Facturas_Odoo!$K:$K=I366), Facturas_Odoo!$L:$L, ""), ""))</f>
        <v/>
      </c>
      <c r="T366" s="81">
        <f>IF(Q366="Sin Factura",0,IFERROR(_xlfn.XLOOKUP(1, (Facturas_Odoo!$D:$D=A366) * (Facturas_Odoo!$K:$K=I366), Facturas_Odoo!$M:$M, 0), 0))</f>
        <v/>
      </c>
      <c r="U366" s="79">
        <f>IF(Q366="Sin Factura",0,IFERROR(_xlfn.XLOOKUP(1, (Facturas_Odoo!$D:$D=A366) * (Facturas_Odoo!$K:$K=I366), Facturas_Odoo!$N:$N, 0), 0))</f>
        <v/>
      </c>
      <c r="V366" s="79">
        <f>IF(Q366="Sin Factura",0,IFERROR(_xlfn.XLOOKUP(1, (Facturas_Odoo!$D:$D=A366) * (Facturas_Odoo!$K:$K=I366), Facturas_Odoo!$O:$O, 0), 0))</f>
        <v/>
      </c>
      <c r="W366" s="81">
        <f>IF(Q366="Sin Factura",0,IFERROR(_xlfn.XLOOKUP(1, (Facturas_Odoo!$D:$D=A366) * (Facturas_Odoo!$K:$K=I366), Facturas_Odoo!$Q:$Q, 0), 0))</f>
        <v/>
      </c>
      <c r="X366" s="79">
        <f>IF(OR(Q366="Sin Factura",Q366=""),"",IFERROR(INDEX(Pagos_Odoo!$B:$B, MATCH(Q366, Pagos_Odoo!$I:$I, 0)), "Sin Pago"))</f>
        <v/>
      </c>
      <c r="Y366" s="79">
        <f>IF(X366="Sin Pago","",IFERROR(INDEX(Pagos_Odoo!$C:$C, MATCH(X366, Pagos_Odoo!$B:$B, 0)), ""))</f>
        <v/>
      </c>
      <c r="Z366" s="80">
        <f>IF(X366="Sin Pago","",IFERROR(INDEX(Pagos_Odoo!$A:$A, MATCH(X366, Pagos_Odoo!$B:$B, 0)), ""))</f>
        <v/>
      </c>
      <c r="AA366" s="79">
        <f>IF(X366="Sin Pago","",IFERROR(INDEX(Pagos_Odoo!$F:$F, MATCH(X366, Pagos_Odoo!$B:$B, 0)), ""))</f>
        <v/>
      </c>
      <c r="AB366" s="81">
        <f>IF(X366="Sin Pago",0,IFERROR(INDEX(Pagos_Odoo!$E:$E, MATCH(X366, Pagos_Odoo!$B:$B, 0)), 0))</f>
        <v/>
      </c>
      <c r="AC366" s="79">
        <f>IF(X366="Sin Pago","",IFERROR(INDEX(Pagos_Odoo!$G:$G, MATCH(X366, Pagos_Odoo!$B:$B, 0)), ""))</f>
        <v/>
      </c>
      <c r="AD366" s="82" t="n">
        <v>0</v>
      </c>
      <c r="AE366" s="82" t="n"/>
      <c r="AF366" s="82" t="n"/>
      <c r="AG366" s="82">
        <f>IF(AN366="","",AD366+AE366+AF366)</f>
        <v/>
      </c>
      <c r="AH366" s="81">
        <f>IF(AN366="","",P366*(1-AG366))</f>
        <v/>
      </c>
      <c r="AI366" s="81">
        <f>IF(AN366="","",IF(Q366="Sin Factura",0,IFERROR(INDEX(Facturas_Odoo!$H:$H, MATCH(Q366, Facturas_Odoo!$B:$B, 0)), 0)*(1-AG366)))</f>
        <v/>
      </c>
      <c r="AJ366" s="81">
        <f>IF(AN366="","",_xlfn.LET(idVenta, AN366&amp;"",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66" s="81">
        <f>IF(AN366="","",AH366-AJ366)</f>
        <v/>
      </c>
      <c r="AL366" s="81">
        <f>IF(AN366="","",IF(Q366="Sin Factura","",AI366-AJ366))</f>
        <v/>
      </c>
      <c r="AM366" s="81">
        <f>IF(AN366="","",IF(Q366="Sin Factura",0,P366-IFERROR(INDEX(Facturas_Odoo!$H:$H, MATCH(Q366, Facturas_Odoo!$B:$B, 0)), 0)))</f>
        <v/>
      </c>
      <c r="AN366" s="79">
        <f>IF(AND(A366="", J366=""), "", IF(A366&lt;&gt;"", VALUE(MID(A366,2,LEN(A366))), AN365))</f>
        <v/>
      </c>
      <c r="AO366" s="79">
        <f>IF(AN366="","",IF(AD366=0,"OK",_xlfn.LET(monedaPago, IF(AA366="","USD",AA366), limitePermitido, IFERROR(VLOOKUP(monedaPago, Configuración!$A$2:$B$3, 2, FALSE), 0.15), IF(AD366&gt;limitePermitido, "ALERTA: EXCESO (" &amp; TEXT(limitePermitido, "0%") &amp; " máx)", "OK"))))</f>
        <v/>
      </c>
      <c r="AP366" s="79">
        <f>IF(AN366="","",IF(AE366=0,"OK",_xlfn.LET(fechaPago, Z366, fechaFactura, R366, diasCredito, IF(E366="Pago inmediato", 0, IFERROR(VALUE(MID(E366, 1, SEARCH(" ", E366)-1)),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66" s="79">
        <f>IF(AN366="","",IF(AND(N366&gt;0, AG366&gt;0), IF(Configuración!$K$2="NO", "ALERTA: DESCUENTO DOBLE NO PERMITIDO", "OK"), "OK"))</f>
        <v/>
      </c>
      <c r="AR366" s="79">
        <f>IF(AN366="","",IF(OR(AO366&lt;&gt;"OK", AP366&lt;&gt;"OK", AQ366&lt;&gt;"OK"), "⚠️ REVISAR", "OK"))</f>
        <v/>
      </c>
    </row>
    <row r="367">
      <c r="A367" s="79">
        <f>IF('Ordenes_Odoo'!A367="","",'Ordenes_Odoo'!A367)</f>
        <v/>
      </c>
      <c r="B367" s="80">
        <f>IF('Ordenes_Odoo'!B367="","",'Ordenes_Odoo'!B367)</f>
        <v/>
      </c>
      <c r="C367" s="79">
        <f>IF('Ordenes_Odoo'!C367="","",'Ordenes_Odoo'!C367)</f>
        <v/>
      </c>
      <c r="D367" s="79">
        <f>IF('Ordenes_Odoo'!D367="","",'Ordenes_Odoo'!D367)</f>
        <v/>
      </c>
      <c r="E367" s="79">
        <f>IF('Ordenes_Odoo'!E367="","",'Ordenes_Odoo'!E367)</f>
        <v/>
      </c>
      <c r="F367" s="79">
        <f>IF('Ordenes_Odoo'!F367="","",'Ordenes_Odoo'!F367)</f>
        <v/>
      </c>
      <c r="G367" s="79">
        <f>IF('Ordenes_Odoo'!G367="","",'Ordenes_Odoo'!G367)</f>
        <v/>
      </c>
      <c r="H367" s="79">
        <f>IF('Ordenes_Odoo'!H367="","",'Ordenes_Odoo'!H367)</f>
        <v/>
      </c>
      <c r="I367" s="79">
        <f>IF('Ordenes_Odoo'!I367="","",'Ordenes_Odoo'!I367)</f>
        <v/>
      </c>
      <c r="J367" s="79">
        <f>IF('Ordenes_Odoo'!J367="","",'Ordenes_Odoo'!J367)</f>
        <v/>
      </c>
      <c r="K367" s="81">
        <f>IF('Ordenes_Odoo'!K367="","",'Ordenes_Odoo'!K367)</f>
        <v/>
      </c>
      <c r="L367" s="81">
        <f>IF('Ordenes_Odoo'!L367="","",'Ordenes_Odoo'!L367)</f>
        <v/>
      </c>
      <c r="M367" s="79">
        <f>IF('Ordenes_Odoo'!M367="","",'Ordenes_Odoo'!M367)</f>
        <v/>
      </c>
      <c r="N367" s="79">
        <f>IF('Ordenes_Odoo'!N367="","",'Ordenes_Odoo'!N367)</f>
        <v/>
      </c>
      <c r="O367" s="81">
        <f>IF('Ordenes_Odoo'!O367="","",'Ordenes_Odoo'!O367)</f>
        <v/>
      </c>
      <c r="P367" s="81">
        <f>IF('Ordenes_Odoo'!P367="","",'Ordenes_Odoo'!P367)</f>
        <v/>
      </c>
      <c r="Q367" s="79">
        <f>IF(A367="","",IFERROR(INDEX(Facturas_Odoo!$B:$B, MATCH(A367, Facturas_Odoo!$D:$D, 0)), "Sin Factura"))</f>
        <v/>
      </c>
      <c r="R367" s="80">
        <f>IF(Q367="Sin Factura","",IFERROR(INDEX(Facturas_Odoo!$A:$A, MATCH(Q367, Facturas_Odoo!$B:$B, 0)), ""))</f>
        <v/>
      </c>
      <c r="S367" s="79">
        <f>IF(Q367="Sin Factura","",IFERROR(_xlfn.XLOOKUP(1, (Facturas_Odoo!$D:$D=A367) * (Facturas_Odoo!$K:$K=I367), Facturas_Odoo!$L:$L, ""), ""))</f>
        <v/>
      </c>
      <c r="T367" s="81">
        <f>IF(Q367="Sin Factura",0,IFERROR(_xlfn.XLOOKUP(1, (Facturas_Odoo!$D:$D=A367) * (Facturas_Odoo!$K:$K=I367), Facturas_Odoo!$M:$M, 0), 0))</f>
        <v/>
      </c>
      <c r="U367" s="79">
        <f>IF(Q367="Sin Factura",0,IFERROR(_xlfn.XLOOKUP(1, (Facturas_Odoo!$D:$D=A367) * (Facturas_Odoo!$K:$K=I367), Facturas_Odoo!$N:$N, 0), 0))</f>
        <v/>
      </c>
      <c r="V367" s="79">
        <f>IF(Q367="Sin Factura",0,IFERROR(_xlfn.XLOOKUP(1, (Facturas_Odoo!$D:$D=A367) * (Facturas_Odoo!$K:$K=I367), Facturas_Odoo!$O:$O, 0), 0))</f>
        <v/>
      </c>
      <c r="W367" s="81">
        <f>IF(Q367="Sin Factura",0,IFERROR(_xlfn.XLOOKUP(1, (Facturas_Odoo!$D:$D=A367) * (Facturas_Odoo!$K:$K=I367), Facturas_Odoo!$Q:$Q, 0), 0))</f>
        <v/>
      </c>
      <c r="X367" s="79">
        <f>IF(OR(Q367="Sin Factura",Q367=""),"",IFERROR(INDEX(Pagos_Odoo!$B:$B, MATCH(Q367, Pagos_Odoo!$I:$I, 0)), "Sin Pago"))</f>
        <v/>
      </c>
      <c r="Y367" s="79">
        <f>IF(X367="Sin Pago","",IFERROR(INDEX(Pagos_Odoo!$C:$C, MATCH(X367, Pagos_Odoo!$B:$B, 0)), ""))</f>
        <v/>
      </c>
      <c r="Z367" s="80">
        <f>IF(X367="Sin Pago","",IFERROR(INDEX(Pagos_Odoo!$A:$A, MATCH(X367, Pagos_Odoo!$B:$B, 0)), ""))</f>
        <v/>
      </c>
      <c r="AA367" s="79">
        <f>IF(X367="Sin Pago","",IFERROR(INDEX(Pagos_Odoo!$F:$F, MATCH(X367, Pagos_Odoo!$B:$B, 0)), ""))</f>
        <v/>
      </c>
      <c r="AB367" s="81">
        <f>IF(X367="Sin Pago",0,IFERROR(INDEX(Pagos_Odoo!$E:$E, MATCH(X367, Pagos_Odoo!$B:$B, 0)), 0))</f>
        <v/>
      </c>
      <c r="AC367" s="79">
        <f>IF(X367="Sin Pago","",IFERROR(INDEX(Pagos_Odoo!$G:$G, MATCH(X367, Pagos_Odoo!$B:$B, 0)), ""))</f>
        <v/>
      </c>
      <c r="AD367" s="82" t="n">
        <v>0</v>
      </c>
      <c r="AE367" s="82" t="n"/>
      <c r="AF367" s="82" t="n"/>
      <c r="AG367" s="82">
        <f>IF(AN367="","",AD367+AE367+AF367)</f>
        <v/>
      </c>
      <c r="AH367" s="81">
        <f>IF(AN367="","",P367*(1-AG367))</f>
        <v/>
      </c>
      <c r="AI367" s="81">
        <f>IF(AN367="","",IF(Q367="Sin Factura",0,IFERROR(INDEX(Facturas_Odoo!$H:$H, MATCH(Q367, Facturas_Odoo!$B:$B, 0)), 0)*(1-AG367)))</f>
        <v/>
      </c>
      <c r="AJ367" s="81">
        <f>IF(AN367="","",_xlfn.LET(idVenta, AN367&amp;"",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67" s="81">
        <f>IF(AN367="","",AH367-AJ367)</f>
        <v/>
      </c>
      <c r="AL367" s="81">
        <f>IF(AN367="","",IF(Q367="Sin Factura","",AI367-AJ367))</f>
        <v/>
      </c>
      <c r="AM367" s="81">
        <f>IF(AN367="","",IF(Q367="Sin Factura",0,P367-IFERROR(INDEX(Facturas_Odoo!$H:$H, MATCH(Q367, Facturas_Odoo!$B:$B, 0)), 0)))</f>
        <v/>
      </c>
      <c r="AN367" s="79">
        <f>IF(AND(A367="", J367=""), "", IF(A367&lt;&gt;"", VALUE(MID(A367,2,LEN(A367))), AN366))</f>
        <v/>
      </c>
      <c r="AO367" s="79">
        <f>IF(AN367="","",IF(AD367=0,"OK",_xlfn.LET(monedaPago, IF(AA367="","USD",AA367), limitePermitido, IFERROR(VLOOKUP(monedaPago, Configuración!$A$2:$B$3, 2, FALSE), 0.15), IF(AD367&gt;limitePermitido, "ALERTA: EXCESO (" &amp; TEXT(limitePermitido, "0%") &amp; " máx)", "OK"))))</f>
        <v/>
      </c>
      <c r="AP367" s="79">
        <f>IF(AN367="","",IF(AE367=0,"OK",_xlfn.LET(fechaPago, Z367, fechaFactura, R367, diasCredito, IF(E367="Pago inmediato", 0, IFERROR(VALUE(MID(E367, 1, SEARCH(" ", E367)-1)),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67" s="79">
        <f>IF(AN367="","",IF(AND(N367&gt;0, AG367&gt;0), IF(Configuración!$K$2="NO", "ALERTA: DESCUENTO DOBLE NO PERMITIDO", "OK"), "OK"))</f>
        <v/>
      </c>
      <c r="AR367" s="79">
        <f>IF(AN367="","",IF(OR(AO367&lt;&gt;"OK", AP367&lt;&gt;"OK", AQ367&lt;&gt;"OK"), "⚠️ REVISAR", "OK"))</f>
        <v/>
      </c>
    </row>
    <row r="368">
      <c r="A368" s="79">
        <f>IF('Ordenes_Odoo'!A368="","",'Ordenes_Odoo'!A368)</f>
        <v/>
      </c>
      <c r="B368" s="80">
        <f>IF('Ordenes_Odoo'!B368="","",'Ordenes_Odoo'!B368)</f>
        <v/>
      </c>
      <c r="C368" s="79">
        <f>IF('Ordenes_Odoo'!C368="","",'Ordenes_Odoo'!C368)</f>
        <v/>
      </c>
      <c r="D368" s="79">
        <f>IF('Ordenes_Odoo'!D368="","",'Ordenes_Odoo'!D368)</f>
        <v/>
      </c>
      <c r="E368" s="79">
        <f>IF('Ordenes_Odoo'!E368="","",'Ordenes_Odoo'!E368)</f>
        <v/>
      </c>
      <c r="F368" s="79">
        <f>IF('Ordenes_Odoo'!F368="","",'Ordenes_Odoo'!F368)</f>
        <v/>
      </c>
      <c r="G368" s="79">
        <f>IF('Ordenes_Odoo'!G368="","",'Ordenes_Odoo'!G368)</f>
        <v/>
      </c>
      <c r="H368" s="79">
        <f>IF('Ordenes_Odoo'!H368="","",'Ordenes_Odoo'!H368)</f>
        <v/>
      </c>
      <c r="I368" s="79">
        <f>IF('Ordenes_Odoo'!I368="","",'Ordenes_Odoo'!I368)</f>
        <v/>
      </c>
      <c r="J368" s="79">
        <f>IF('Ordenes_Odoo'!J368="","",'Ordenes_Odoo'!J368)</f>
        <v/>
      </c>
      <c r="K368" s="81">
        <f>IF('Ordenes_Odoo'!K368="","",'Ordenes_Odoo'!K368)</f>
        <v/>
      </c>
      <c r="L368" s="81">
        <f>IF('Ordenes_Odoo'!L368="","",'Ordenes_Odoo'!L368)</f>
        <v/>
      </c>
      <c r="M368" s="79">
        <f>IF('Ordenes_Odoo'!M368="","",'Ordenes_Odoo'!M368)</f>
        <v/>
      </c>
      <c r="N368" s="79">
        <f>IF('Ordenes_Odoo'!N368="","",'Ordenes_Odoo'!N368)</f>
        <v/>
      </c>
      <c r="O368" s="81">
        <f>IF('Ordenes_Odoo'!O368="","",'Ordenes_Odoo'!O368)</f>
        <v/>
      </c>
      <c r="P368" s="81">
        <f>IF('Ordenes_Odoo'!P368="","",'Ordenes_Odoo'!P368)</f>
        <v/>
      </c>
      <c r="Q368" s="79">
        <f>IF(A368="","",IFERROR(INDEX(Facturas_Odoo!$B:$B, MATCH(A368, Facturas_Odoo!$D:$D, 0)), "Sin Factura"))</f>
        <v/>
      </c>
      <c r="R368" s="80">
        <f>IF(Q368="Sin Factura","",IFERROR(INDEX(Facturas_Odoo!$A:$A, MATCH(Q368, Facturas_Odoo!$B:$B, 0)), ""))</f>
        <v/>
      </c>
      <c r="S368" s="79">
        <f>IF(Q368="Sin Factura","",IFERROR(_xlfn.XLOOKUP(1, (Facturas_Odoo!$D:$D=A368) * (Facturas_Odoo!$K:$K=I368), Facturas_Odoo!$L:$L, ""), ""))</f>
        <v/>
      </c>
      <c r="T368" s="81">
        <f>IF(Q368="Sin Factura",0,IFERROR(_xlfn.XLOOKUP(1, (Facturas_Odoo!$D:$D=A368) * (Facturas_Odoo!$K:$K=I368), Facturas_Odoo!$M:$M, 0), 0))</f>
        <v/>
      </c>
      <c r="U368" s="79">
        <f>IF(Q368="Sin Factura",0,IFERROR(_xlfn.XLOOKUP(1, (Facturas_Odoo!$D:$D=A368) * (Facturas_Odoo!$K:$K=I368), Facturas_Odoo!$N:$N, 0), 0))</f>
        <v/>
      </c>
      <c r="V368" s="79">
        <f>IF(Q368="Sin Factura",0,IFERROR(_xlfn.XLOOKUP(1, (Facturas_Odoo!$D:$D=A368) * (Facturas_Odoo!$K:$K=I368), Facturas_Odoo!$O:$O, 0), 0))</f>
        <v/>
      </c>
      <c r="W368" s="81">
        <f>IF(Q368="Sin Factura",0,IFERROR(_xlfn.XLOOKUP(1, (Facturas_Odoo!$D:$D=A368) * (Facturas_Odoo!$K:$K=I368), Facturas_Odoo!$Q:$Q, 0), 0))</f>
        <v/>
      </c>
      <c r="X368" s="79">
        <f>IF(OR(Q368="Sin Factura",Q368=""),"",IFERROR(INDEX(Pagos_Odoo!$B:$B, MATCH(Q368, Pagos_Odoo!$I:$I, 0)), "Sin Pago"))</f>
        <v/>
      </c>
      <c r="Y368" s="79">
        <f>IF(X368="Sin Pago","",IFERROR(INDEX(Pagos_Odoo!$C:$C, MATCH(X368, Pagos_Odoo!$B:$B, 0)), ""))</f>
        <v/>
      </c>
      <c r="Z368" s="80">
        <f>IF(X368="Sin Pago","",IFERROR(INDEX(Pagos_Odoo!$A:$A, MATCH(X368, Pagos_Odoo!$B:$B, 0)), ""))</f>
        <v/>
      </c>
      <c r="AA368" s="79">
        <f>IF(X368="Sin Pago","",IFERROR(INDEX(Pagos_Odoo!$F:$F, MATCH(X368, Pagos_Odoo!$B:$B, 0)), ""))</f>
        <v/>
      </c>
      <c r="AB368" s="81">
        <f>IF(X368="Sin Pago",0,IFERROR(INDEX(Pagos_Odoo!$E:$E, MATCH(X368, Pagos_Odoo!$B:$B, 0)), 0))</f>
        <v/>
      </c>
      <c r="AC368" s="79">
        <f>IF(X368="Sin Pago","",IFERROR(INDEX(Pagos_Odoo!$G:$G, MATCH(X368, Pagos_Odoo!$B:$B, 0)), ""))</f>
        <v/>
      </c>
      <c r="AD368" s="82" t="n">
        <v>0</v>
      </c>
      <c r="AE368" s="82" t="n"/>
      <c r="AF368" s="82" t="n"/>
      <c r="AG368" s="82">
        <f>IF(AN368="","",AD368+AE368+AF368)</f>
        <v/>
      </c>
      <c r="AH368" s="81">
        <f>IF(AN368="","",P368*(1-AG368))</f>
        <v/>
      </c>
      <c r="AI368" s="81">
        <f>IF(AN368="","",IF(Q368="Sin Factura",0,IFERROR(INDEX(Facturas_Odoo!$H:$H, MATCH(Q368, Facturas_Odoo!$B:$B, 0)), 0)*(1-AG368)))</f>
        <v/>
      </c>
      <c r="AJ368" s="81">
        <f>IF(AN368="","",_xlfn.LET(idVenta, AN368&amp;"",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68" s="81">
        <f>IF(AN368="","",AH368-AJ368)</f>
        <v/>
      </c>
      <c r="AL368" s="81">
        <f>IF(AN368="","",IF(Q368="Sin Factura","",AI368-AJ368))</f>
        <v/>
      </c>
      <c r="AM368" s="81">
        <f>IF(AN368="","",IF(Q368="Sin Factura",0,P368-IFERROR(INDEX(Facturas_Odoo!$H:$H, MATCH(Q368, Facturas_Odoo!$B:$B, 0)), 0)))</f>
        <v/>
      </c>
      <c r="AN368" s="79">
        <f>IF(AND(A368="", J368=""), "", IF(A368&lt;&gt;"", VALUE(MID(A368,2,LEN(A368))), AN367))</f>
        <v/>
      </c>
      <c r="AO368" s="79">
        <f>IF(AN368="","",IF(AD368=0,"OK",_xlfn.LET(monedaPago, IF(AA368="","USD",AA368), limitePermitido, IFERROR(VLOOKUP(monedaPago, Configuración!$A$2:$B$3, 2, FALSE), 0.15), IF(AD368&gt;limitePermitido, "ALERTA: EXCESO (" &amp; TEXT(limitePermitido, "0%") &amp; " máx)", "OK"))))</f>
        <v/>
      </c>
      <c r="AP368" s="79">
        <f>IF(AN368="","",IF(AE368=0,"OK",_xlfn.LET(fechaPago, Z368, fechaFactura, R368, diasCredito, IF(E368="Pago inmediato", 0, IFERROR(VALUE(MID(E368, 1, SEARCH(" ", E368)-1)),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68" s="79">
        <f>IF(AN368="","",IF(AND(N368&gt;0, AG368&gt;0), IF(Configuración!$K$2="NO", "ALERTA: DESCUENTO DOBLE NO PERMITIDO", "OK"), "OK"))</f>
        <v/>
      </c>
      <c r="AR368" s="79">
        <f>IF(AN368="","",IF(OR(AO368&lt;&gt;"OK", AP368&lt;&gt;"OK", AQ368&lt;&gt;"OK"), "⚠️ REVISAR", "OK"))</f>
        <v/>
      </c>
    </row>
    <row r="369">
      <c r="A369" s="79">
        <f>IF('Ordenes_Odoo'!A369="","",'Ordenes_Odoo'!A369)</f>
        <v/>
      </c>
      <c r="B369" s="80">
        <f>IF('Ordenes_Odoo'!B369="","",'Ordenes_Odoo'!B369)</f>
        <v/>
      </c>
      <c r="C369" s="79">
        <f>IF('Ordenes_Odoo'!C369="","",'Ordenes_Odoo'!C369)</f>
        <v/>
      </c>
      <c r="D369" s="79">
        <f>IF('Ordenes_Odoo'!D369="","",'Ordenes_Odoo'!D369)</f>
        <v/>
      </c>
      <c r="E369" s="79">
        <f>IF('Ordenes_Odoo'!E369="","",'Ordenes_Odoo'!E369)</f>
        <v/>
      </c>
      <c r="F369" s="79">
        <f>IF('Ordenes_Odoo'!F369="","",'Ordenes_Odoo'!F369)</f>
        <v/>
      </c>
      <c r="G369" s="79">
        <f>IF('Ordenes_Odoo'!G369="","",'Ordenes_Odoo'!G369)</f>
        <v/>
      </c>
      <c r="H369" s="79">
        <f>IF('Ordenes_Odoo'!H369="","",'Ordenes_Odoo'!H369)</f>
        <v/>
      </c>
      <c r="I369" s="79">
        <f>IF('Ordenes_Odoo'!I369="","",'Ordenes_Odoo'!I369)</f>
        <v/>
      </c>
      <c r="J369" s="79">
        <f>IF('Ordenes_Odoo'!J369="","",'Ordenes_Odoo'!J369)</f>
        <v/>
      </c>
      <c r="K369" s="81">
        <f>IF('Ordenes_Odoo'!K369="","",'Ordenes_Odoo'!K369)</f>
        <v/>
      </c>
      <c r="L369" s="81">
        <f>IF('Ordenes_Odoo'!L369="","",'Ordenes_Odoo'!L369)</f>
        <v/>
      </c>
      <c r="M369" s="79">
        <f>IF('Ordenes_Odoo'!M369="","",'Ordenes_Odoo'!M369)</f>
        <v/>
      </c>
      <c r="N369" s="79">
        <f>IF('Ordenes_Odoo'!N369="","",'Ordenes_Odoo'!N369)</f>
        <v/>
      </c>
      <c r="O369" s="81">
        <f>IF('Ordenes_Odoo'!O369="","",'Ordenes_Odoo'!O369)</f>
        <v/>
      </c>
      <c r="P369" s="81">
        <f>IF('Ordenes_Odoo'!P369="","",'Ordenes_Odoo'!P369)</f>
        <v/>
      </c>
      <c r="Q369" s="79">
        <f>IF(A369="","",IFERROR(INDEX(Facturas_Odoo!$B:$B, MATCH(A369, Facturas_Odoo!$D:$D, 0)), "Sin Factura"))</f>
        <v/>
      </c>
      <c r="R369" s="80">
        <f>IF(Q369="Sin Factura","",IFERROR(INDEX(Facturas_Odoo!$A:$A, MATCH(Q369, Facturas_Odoo!$B:$B, 0)), ""))</f>
        <v/>
      </c>
      <c r="S369" s="79">
        <f>IF(Q369="Sin Factura","",IFERROR(_xlfn.XLOOKUP(1, (Facturas_Odoo!$D:$D=A369) * (Facturas_Odoo!$K:$K=I369), Facturas_Odoo!$L:$L, ""), ""))</f>
        <v/>
      </c>
      <c r="T369" s="81">
        <f>IF(Q369="Sin Factura",0,IFERROR(_xlfn.XLOOKUP(1, (Facturas_Odoo!$D:$D=A369) * (Facturas_Odoo!$K:$K=I369), Facturas_Odoo!$M:$M, 0), 0))</f>
        <v/>
      </c>
      <c r="U369" s="79">
        <f>IF(Q369="Sin Factura",0,IFERROR(_xlfn.XLOOKUP(1, (Facturas_Odoo!$D:$D=A369) * (Facturas_Odoo!$K:$K=I369), Facturas_Odoo!$N:$N, 0), 0))</f>
        <v/>
      </c>
      <c r="V369" s="79">
        <f>IF(Q369="Sin Factura",0,IFERROR(_xlfn.XLOOKUP(1, (Facturas_Odoo!$D:$D=A369) * (Facturas_Odoo!$K:$K=I369), Facturas_Odoo!$O:$O, 0), 0))</f>
        <v/>
      </c>
      <c r="W369" s="81">
        <f>IF(Q369="Sin Factura",0,IFERROR(_xlfn.XLOOKUP(1, (Facturas_Odoo!$D:$D=A369) * (Facturas_Odoo!$K:$K=I369), Facturas_Odoo!$Q:$Q, 0), 0))</f>
        <v/>
      </c>
      <c r="X369" s="79">
        <f>IF(OR(Q369="Sin Factura",Q369=""),"",IFERROR(INDEX(Pagos_Odoo!$B:$B, MATCH(Q369, Pagos_Odoo!$I:$I, 0)), "Sin Pago"))</f>
        <v/>
      </c>
      <c r="Y369" s="79">
        <f>IF(X369="Sin Pago","",IFERROR(INDEX(Pagos_Odoo!$C:$C, MATCH(X369, Pagos_Odoo!$B:$B, 0)), ""))</f>
        <v/>
      </c>
      <c r="Z369" s="80">
        <f>IF(X369="Sin Pago","",IFERROR(INDEX(Pagos_Odoo!$A:$A, MATCH(X369, Pagos_Odoo!$B:$B, 0)), ""))</f>
        <v/>
      </c>
      <c r="AA369" s="79">
        <f>IF(X369="Sin Pago","",IFERROR(INDEX(Pagos_Odoo!$F:$F, MATCH(X369, Pagos_Odoo!$B:$B, 0)), ""))</f>
        <v/>
      </c>
      <c r="AB369" s="81">
        <f>IF(X369="Sin Pago",0,IFERROR(INDEX(Pagos_Odoo!$E:$E, MATCH(X369, Pagos_Odoo!$B:$B, 0)), 0))</f>
        <v/>
      </c>
      <c r="AC369" s="79">
        <f>IF(X369="Sin Pago","",IFERROR(INDEX(Pagos_Odoo!$G:$G, MATCH(X369, Pagos_Odoo!$B:$B, 0)), ""))</f>
        <v/>
      </c>
      <c r="AD369" s="82" t="n">
        <v>0</v>
      </c>
      <c r="AE369" s="82" t="n"/>
      <c r="AF369" s="82" t="n"/>
      <c r="AG369" s="82">
        <f>IF(AN369="","",AD369+AE369+AF369)</f>
        <v/>
      </c>
      <c r="AH369" s="81">
        <f>IF(AN369="","",P369*(1-AG369))</f>
        <v/>
      </c>
      <c r="AI369" s="81">
        <f>IF(AN369="","",IF(Q369="Sin Factura",0,IFERROR(INDEX(Facturas_Odoo!$H:$H, MATCH(Q369, Facturas_Odoo!$B:$B, 0)), 0)*(1-AG369)))</f>
        <v/>
      </c>
      <c r="AJ369" s="81">
        <f>IF(AN369="","",_xlfn.LET(idVenta, AN369&amp;"",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69" s="81">
        <f>IF(AN369="","",AH369-AJ369)</f>
        <v/>
      </c>
      <c r="AL369" s="81">
        <f>IF(AN369="","",IF(Q369="Sin Factura","",AI369-AJ369))</f>
        <v/>
      </c>
      <c r="AM369" s="81">
        <f>IF(AN369="","",IF(Q369="Sin Factura",0,P369-IFERROR(INDEX(Facturas_Odoo!$H:$H, MATCH(Q369, Facturas_Odoo!$B:$B, 0)), 0)))</f>
        <v/>
      </c>
      <c r="AN369" s="79">
        <f>IF(AND(A369="", J369=""), "", IF(A369&lt;&gt;"", VALUE(MID(A369,2,LEN(A369))), AN368))</f>
        <v/>
      </c>
      <c r="AO369" s="79">
        <f>IF(AN369="","",IF(AD369=0,"OK",_xlfn.LET(monedaPago, IF(AA369="","USD",AA369), limitePermitido, IFERROR(VLOOKUP(monedaPago, Configuración!$A$2:$B$3, 2, FALSE), 0.15), IF(AD369&gt;limitePermitido, "ALERTA: EXCESO (" &amp; TEXT(limitePermitido, "0%") &amp; " máx)", "OK"))))</f>
        <v/>
      </c>
      <c r="AP369" s="79">
        <f>IF(AN369="","",IF(AE369=0,"OK",_xlfn.LET(fechaPago, Z369, fechaFactura, R369, diasCredito, IF(E369="Pago inmediato", 0, IFERROR(VALUE(MID(E369, 1, SEARCH(" ", E369)-1)),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69" s="79">
        <f>IF(AN369="","",IF(AND(N369&gt;0, AG369&gt;0), IF(Configuración!$K$2="NO", "ALERTA: DESCUENTO DOBLE NO PERMITIDO", "OK"), "OK"))</f>
        <v/>
      </c>
      <c r="AR369" s="79">
        <f>IF(AN369="","",IF(OR(AO369&lt;&gt;"OK", AP369&lt;&gt;"OK", AQ369&lt;&gt;"OK"), "⚠️ REVISAR", "OK"))</f>
        <v/>
      </c>
    </row>
    <row r="370">
      <c r="A370" s="79">
        <f>IF('Ordenes_Odoo'!A370="","",'Ordenes_Odoo'!A370)</f>
        <v/>
      </c>
      <c r="B370" s="80">
        <f>IF('Ordenes_Odoo'!B370="","",'Ordenes_Odoo'!B370)</f>
        <v/>
      </c>
      <c r="C370" s="79">
        <f>IF('Ordenes_Odoo'!C370="","",'Ordenes_Odoo'!C370)</f>
        <v/>
      </c>
      <c r="D370" s="79">
        <f>IF('Ordenes_Odoo'!D370="","",'Ordenes_Odoo'!D370)</f>
        <v/>
      </c>
      <c r="E370" s="79">
        <f>IF('Ordenes_Odoo'!E370="","",'Ordenes_Odoo'!E370)</f>
        <v/>
      </c>
      <c r="F370" s="79">
        <f>IF('Ordenes_Odoo'!F370="","",'Ordenes_Odoo'!F370)</f>
        <v/>
      </c>
      <c r="G370" s="79">
        <f>IF('Ordenes_Odoo'!G370="","",'Ordenes_Odoo'!G370)</f>
        <v/>
      </c>
      <c r="H370" s="79">
        <f>IF('Ordenes_Odoo'!H370="","",'Ordenes_Odoo'!H370)</f>
        <v/>
      </c>
      <c r="I370" s="79">
        <f>IF('Ordenes_Odoo'!I370="","",'Ordenes_Odoo'!I370)</f>
        <v/>
      </c>
      <c r="J370" s="79">
        <f>IF('Ordenes_Odoo'!J370="","",'Ordenes_Odoo'!J370)</f>
        <v/>
      </c>
      <c r="K370" s="81">
        <f>IF('Ordenes_Odoo'!K370="","",'Ordenes_Odoo'!K370)</f>
        <v/>
      </c>
      <c r="L370" s="81">
        <f>IF('Ordenes_Odoo'!L370="","",'Ordenes_Odoo'!L370)</f>
        <v/>
      </c>
      <c r="M370" s="79">
        <f>IF('Ordenes_Odoo'!M370="","",'Ordenes_Odoo'!M370)</f>
        <v/>
      </c>
      <c r="N370" s="79">
        <f>IF('Ordenes_Odoo'!N370="","",'Ordenes_Odoo'!N370)</f>
        <v/>
      </c>
      <c r="O370" s="81">
        <f>IF('Ordenes_Odoo'!O370="","",'Ordenes_Odoo'!O370)</f>
        <v/>
      </c>
      <c r="P370" s="81">
        <f>IF('Ordenes_Odoo'!P370="","",'Ordenes_Odoo'!P370)</f>
        <v/>
      </c>
      <c r="Q370" s="79">
        <f>IF(A370="","",IFERROR(INDEX(Facturas_Odoo!$B:$B, MATCH(A370, Facturas_Odoo!$D:$D, 0)), "Sin Factura"))</f>
        <v/>
      </c>
      <c r="R370" s="80">
        <f>IF(Q370="Sin Factura","",IFERROR(INDEX(Facturas_Odoo!$A:$A, MATCH(Q370, Facturas_Odoo!$B:$B, 0)), ""))</f>
        <v/>
      </c>
      <c r="S370" s="79">
        <f>IF(Q370="Sin Factura","",IFERROR(_xlfn.XLOOKUP(1, (Facturas_Odoo!$D:$D=A370) * (Facturas_Odoo!$K:$K=I370), Facturas_Odoo!$L:$L, ""), ""))</f>
        <v/>
      </c>
      <c r="T370" s="81">
        <f>IF(Q370="Sin Factura",0,IFERROR(_xlfn.XLOOKUP(1, (Facturas_Odoo!$D:$D=A370) * (Facturas_Odoo!$K:$K=I370), Facturas_Odoo!$M:$M, 0), 0))</f>
        <v/>
      </c>
      <c r="U370" s="79">
        <f>IF(Q370="Sin Factura",0,IFERROR(_xlfn.XLOOKUP(1, (Facturas_Odoo!$D:$D=A370) * (Facturas_Odoo!$K:$K=I370), Facturas_Odoo!$N:$N, 0), 0))</f>
        <v/>
      </c>
      <c r="V370" s="79">
        <f>IF(Q370="Sin Factura",0,IFERROR(_xlfn.XLOOKUP(1, (Facturas_Odoo!$D:$D=A370) * (Facturas_Odoo!$K:$K=I370), Facturas_Odoo!$O:$O, 0), 0))</f>
        <v/>
      </c>
      <c r="W370" s="81">
        <f>IF(Q370="Sin Factura",0,IFERROR(_xlfn.XLOOKUP(1, (Facturas_Odoo!$D:$D=A370) * (Facturas_Odoo!$K:$K=I370), Facturas_Odoo!$Q:$Q, 0), 0))</f>
        <v/>
      </c>
      <c r="X370" s="79">
        <f>IF(OR(Q370="Sin Factura",Q370=""),"",IFERROR(INDEX(Pagos_Odoo!$B:$B, MATCH(Q370, Pagos_Odoo!$I:$I, 0)), "Sin Pago"))</f>
        <v/>
      </c>
      <c r="Y370" s="79">
        <f>IF(X370="Sin Pago","",IFERROR(INDEX(Pagos_Odoo!$C:$C, MATCH(X370, Pagos_Odoo!$B:$B, 0)), ""))</f>
        <v/>
      </c>
      <c r="Z370" s="80">
        <f>IF(X370="Sin Pago","",IFERROR(INDEX(Pagos_Odoo!$A:$A, MATCH(X370, Pagos_Odoo!$B:$B, 0)), ""))</f>
        <v/>
      </c>
      <c r="AA370" s="79">
        <f>IF(X370="Sin Pago","",IFERROR(INDEX(Pagos_Odoo!$F:$F, MATCH(X370, Pagos_Odoo!$B:$B, 0)), ""))</f>
        <v/>
      </c>
      <c r="AB370" s="81">
        <f>IF(X370="Sin Pago",0,IFERROR(INDEX(Pagos_Odoo!$E:$E, MATCH(X370, Pagos_Odoo!$B:$B, 0)), 0))</f>
        <v/>
      </c>
      <c r="AC370" s="79">
        <f>IF(X370="Sin Pago","",IFERROR(INDEX(Pagos_Odoo!$G:$G, MATCH(X370, Pagos_Odoo!$B:$B, 0)), ""))</f>
        <v/>
      </c>
      <c r="AD370" s="82" t="n">
        <v>0</v>
      </c>
      <c r="AE370" s="82" t="n"/>
      <c r="AF370" s="82" t="n"/>
      <c r="AG370" s="82">
        <f>IF(AN370="","",AD370+AE370+AF370)</f>
        <v/>
      </c>
      <c r="AH370" s="81">
        <f>IF(AN370="","",P370*(1-AG370))</f>
        <v/>
      </c>
      <c r="AI370" s="81">
        <f>IF(AN370="","",IF(Q370="Sin Factura",0,IFERROR(INDEX(Facturas_Odoo!$H:$H, MATCH(Q370, Facturas_Odoo!$B:$B, 0)), 0)*(1-AG370)))</f>
        <v/>
      </c>
      <c r="AJ370" s="81">
        <f>IF(AN370="","",_xlfn.LET(idVenta, AN370&amp;"",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70" s="81">
        <f>IF(AN370="","",AH370-AJ370)</f>
        <v/>
      </c>
      <c r="AL370" s="81">
        <f>IF(AN370="","",IF(Q370="Sin Factura","",AI370-AJ370))</f>
        <v/>
      </c>
      <c r="AM370" s="81">
        <f>IF(AN370="","",IF(Q370="Sin Factura",0,P370-IFERROR(INDEX(Facturas_Odoo!$H:$H, MATCH(Q370, Facturas_Odoo!$B:$B, 0)), 0)))</f>
        <v/>
      </c>
      <c r="AN370" s="79">
        <f>IF(AND(A370="", J370=""), "", IF(A370&lt;&gt;"", VALUE(MID(A370,2,LEN(A370))), AN369))</f>
        <v/>
      </c>
      <c r="AO370" s="79">
        <f>IF(AN370="","",IF(AD370=0,"OK",_xlfn.LET(monedaPago, IF(AA370="","USD",AA370), limitePermitido, IFERROR(VLOOKUP(monedaPago, Configuración!$A$2:$B$3, 2, FALSE), 0.15), IF(AD370&gt;limitePermitido, "ALERTA: EXCESO (" &amp; TEXT(limitePermitido, "0%") &amp; " máx)", "OK"))))</f>
        <v/>
      </c>
      <c r="AP370" s="79">
        <f>IF(AN370="","",IF(AE370=0,"OK",_xlfn.LET(fechaPago, Z370, fechaFactura, R370, diasCredito, IF(E370="Pago inmediato", 0, IFERROR(VALUE(MID(E370, 1, SEARCH(" ", E370)-1)),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70" s="79">
        <f>IF(AN370="","",IF(AND(N370&gt;0, AG370&gt;0), IF(Configuración!$K$2="NO", "ALERTA: DESCUENTO DOBLE NO PERMITIDO", "OK"), "OK"))</f>
        <v/>
      </c>
      <c r="AR370" s="79">
        <f>IF(AN370="","",IF(OR(AO370&lt;&gt;"OK", AP370&lt;&gt;"OK", AQ370&lt;&gt;"OK"), "⚠️ REVISAR", "OK"))</f>
        <v/>
      </c>
    </row>
    <row r="371">
      <c r="A371" s="79">
        <f>IF('Ordenes_Odoo'!A371="","",'Ordenes_Odoo'!A371)</f>
        <v/>
      </c>
      <c r="B371" s="80">
        <f>IF('Ordenes_Odoo'!B371="","",'Ordenes_Odoo'!B371)</f>
        <v/>
      </c>
      <c r="C371" s="79">
        <f>IF('Ordenes_Odoo'!C371="","",'Ordenes_Odoo'!C371)</f>
        <v/>
      </c>
      <c r="D371" s="79">
        <f>IF('Ordenes_Odoo'!D371="","",'Ordenes_Odoo'!D371)</f>
        <v/>
      </c>
      <c r="E371" s="79">
        <f>IF('Ordenes_Odoo'!E371="","",'Ordenes_Odoo'!E371)</f>
        <v/>
      </c>
      <c r="F371" s="79">
        <f>IF('Ordenes_Odoo'!F371="","",'Ordenes_Odoo'!F371)</f>
        <v/>
      </c>
      <c r="G371" s="79">
        <f>IF('Ordenes_Odoo'!G371="","",'Ordenes_Odoo'!G371)</f>
        <v/>
      </c>
      <c r="H371" s="79">
        <f>IF('Ordenes_Odoo'!H371="","",'Ordenes_Odoo'!H371)</f>
        <v/>
      </c>
      <c r="I371" s="79">
        <f>IF('Ordenes_Odoo'!I371="","",'Ordenes_Odoo'!I371)</f>
        <v/>
      </c>
      <c r="J371" s="79">
        <f>IF('Ordenes_Odoo'!J371="","",'Ordenes_Odoo'!J371)</f>
        <v/>
      </c>
      <c r="K371" s="81">
        <f>IF('Ordenes_Odoo'!K371="","",'Ordenes_Odoo'!K371)</f>
        <v/>
      </c>
      <c r="L371" s="81">
        <f>IF('Ordenes_Odoo'!L371="","",'Ordenes_Odoo'!L371)</f>
        <v/>
      </c>
      <c r="M371" s="79">
        <f>IF('Ordenes_Odoo'!M371="","",'Ordenes_Odoo'!M371)</f>
        <v/>
      </c>
      <c r="N371" s="79">
        <f>IF('Ordenes_Odoo'!N371="","",'Ordenes_Odoo'!N371)</f>
        <v/>
      </c>
      <c r="O371" s="81">
        <f>IF('Ordenes_Odoo'!O371="","",'Ordenes_Odoo'!O371)</f>
        <v/>
      </c>
      <c r="P371" s="81">
        <f>IF('Ordenes_Odoo'!P371="","",'Ordenes_Odoo'!P371)</f>
        <v/>
      </c>
      <c r="Q371" s="79">
        <f>IF(A371="","",IFERROR(INDEX(Facturas_Odoo!$B:$B, MATCH(A371, Facturas_Odoo!$D:$D, 0)), "Sin Factura"))</f>
        <v/>
      </c>
      <c r="R371" s="80">
        <f>IF(Q371="Sin Factura","",IFERROR(INDEX(Facturas_Odoo!$A:$A, MATCH(Q371, Facturas_Odoo!$B:$B, 0)), ""))</f>
        <v/>
      </c>
      <c r="S371" s="79">
        <f>IF(Q371="Sin Factura","",IFERROR(_xlfn.XLOOKUP(1, (Facturas_Odoo!$D:$D=A371) * (Facturas_Odoo!$K:$K=I371), Facturas_Odoo!$L:$L, ""), ""))</f>
        <v/>
      </c>
      <c r="T371" s="81">
        <f>IF(Q371="Sin Factura",0,IFERROR(_xlfn.XLOOKUP(1, (Facturas_Odoo!$D:$D=A371) * (Facturas_Odoo!$K:$K=I371), Facturas_Odoo!$M:$M, 0), 0))</f>
        <v/>
      </c>
      <c r="U371" s="79">
        <f>IF(Q371="Sin Factura",0,IFERROR(_xlfn.XLOOKUP(1, (Facturas_Odoo!$D:$D=A371) * (Facturas_Odoo!$K:$K=I371), Facturas_Odoo!$N:$N, 0), 0))</f>
        <v/>
      </c>
      <c r="V371" s="79">
        <f>IF(Q371="Sin Factura",0,IFERROR(_xlfn.XLOOKUP(1, (Facturas_Odoo!$D:$D=A371) * (Facturas_Odoo!$K:$K=I371), Facturas_Odoo!$O:$O, 0), 0))</f>
        <v/>
      </c>
      <c r="W371" s="81">
        <f>IF(Q371="Sin Factura",0,IFERROR(_xlfn.XLOOKUP(1, (Facturas_Odoo!$D:$D=A371) * (Facturas_Odoo!$K:$K=I371), Facturas_Odoo!$Q:$Q, 0), 0))</f>
        <v/>
      </c>
      <c r="X371" s="79">
        <f>IF(OR(Q371="Sin Factura",Q371=""),"",IFERROR(INDEX(Pagos_Odoo!$B:$B, MATCH(Q371, Pagos_Odoo!$I:$I, 0)), "Sin Pago"))</f>
        <v/>
      </c>
      <c r="Y371" s="79">
        <f>IF(X371="Sin Pago","",IFERROR(INDEX(Pagos_Odoo!$C:$C, MATCH(X371, Pagos_Odoo!$B:$B, 0)), ""))</f>
        <v/>
      </c>
      <c r="Z371" s="80">
        <f>IF(X371="Sin Pago","",IFERROR(INDEX(Pagos_Odoo!$A:$A, MATCH(X371, Pagos_Odoo!$B:$B, 0)), ""))</f>
        <v/>
      </c>
      <c r="AA371" s="79">
        <f>IF(X371="Sin Pago","",IFERROR(INDEX(Pagos_Odoo!$F:$F, MATCH(X371, Pagos_Odoo!$B:$B, 0)), ""))</f>
        <v/>
      </c>
      <c r="AB371" s="81">
        <f>IF(X371="Sin Pago",0,IFERROR(INDEX(Pagos_Odoo!$E:$E, MATCH(X371, Pagos_Odoo!$B:$B, 0)), 0))</f>
        <v/>
      </c>
      <c r="AC371" s="79">
        <f>IF(X371="Sin Pago","",IFERROR(INDEX(Pagos_Odoo!$G:$G, MATCH(X371, Pagos_Odoo!$B:$B, 0)), ""))</f>
        <v/>
      </c>
      <c r="AD371" s="82" t="n">
        <v>0</v>
      </c>
      <c r="AE371" s="82" t="n"/>
      <c r="AF371" s="82" t="n"/>
      <c r="AG371" s="82">
        <f>IF(AN371="","",AD371+AE371+AF371)</f>
        <v/>
      </c>
      <c r="AH371" s="81">
        <f>IF(AN371="","",P371*(1-AG371))</f>
        <v/>
      </c>
      <c r="AI371" s="81">
        <f>IF(AN371="","",IF(Q371="Sin Factura",0,IFERROR(INDEX(Facturas_Odoo!$H:$H, MATCH(Q371, Facturas_Odoo!$B:$B, 0)), 0)*(1-AG371)))</f>
        <v/>
      </c>
      <c r="AJ371" s="81">
        <f>IF(AN371="","",_xlfn.LET(idVenta, AN371&amp;"",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71" s="81">
        <f>IF(AN371="","",AH371-AJ371)</f>
        <v/>
      </c>
      <c r="AL371" s="81">
        <f>IF(AN371="","",IF(Q371="Sin Factura","",AI371-AJ371))</f>
        <v/>
      </c>
      <c r="AM371" s="81">
        <f>IF(AN371="","",IF(Q371="Sin Factura",0,P371-IFERROR(INDEX(Facturas_Odoo!$H:$H, MATCH(Q371, Facturas_Odoo!$B:$B, 0)), 0)))</f>
        <v/>
      </c>
      <c r="AN371" s="79">
        <f>IF(AND(A371="", J371=""), "", IF(A371&lt;&gt;"", VALUE(MID(A371,2,LEN(A371))), AN370))</f>
        <v/>
      </c>
      <c r="AO371" s="79">
        <f>IF(AN371="","",IF(AD371=0,"OK",_xlfn.LET(monedaPago, IF(AA371="","USD",AA371), limitePermitido, IFERROR(VLOOKUP(monedaPago, Configuración!$A$2:$B$3, 2, FALSE), 0.15), IF(AD371&gt;limitePermitido, "ALERTA: EXCESO (" &amp; TEXT(limitePermitido, "0%") &amp; " máx)", "OK"))))</f>
        <v/>
      </c>
      <c r="AP371" s="79">
        <f>IF(AN371="","",IF(AE371=0,"OK",_xlfn.LET(fechaPago, Z371, fechaFactura, R371, diasCredito, IF(E371="Pago inmediato", 0, IFERROR(VALUE(MID(E371, 1, SEARCH(" ", E371)-1)),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71" s="79">
        <f>IF(AN371="","",IF(AND(N371&gt;0, AG371&gt;0), IF(Configuración!$K$2="NO", "ALERTA: DESCUENTO DOBLE NO PERMITIDO", "OK"), "OK"))</f>
        <v/>
      </c>
      <c r="AR371" s="79">
        <f>IF(AN371="","",IF(OR(AO371&lt;&gt;"OK", AP371&lt;&gt;"OK", AQ371&lt;&gt;"OK"), "⚠️ REVISAR", "OK"))</f>
        <v/>
      </c>
    </row>
    <row r="372">
      <c r="A372" s="79">
        <f>IF('Ordenes_Odoo'!A372="","",'Ordenes_Odoo'!A372)</f>
        <v/>
      </c>
      <c r="B372" s="80">
        <f>IF('Ordenes_Odoo'!B372="","",'Ordenes_Odoo'!B372)</f>
        <v/>
      </c>
      <c r="C372" s="79">
        <f>IF('Ordenes_Odoo'!C372="","",'Ordenes_Odoo'!C372)</f>
        <v/>
      </c>
      <c r="D372" s="79">
        <f>IF('Ordenes_Odoo'!D372="","",'Ordenes_Odoo'!D372)</f>
        <v/>
      </c>
      <c r="E372" s="79">
        <f>IF('Ordenes_Odoo'!E372="","",'Ordenes_Odoo'!E372)</f>
        <v/>
      </c>
      <c r="F372" s="79">
        <f>IF('Ordenes_Odoo'!F372="","",'Ordenes_Odoo'!F372)</f>
        <v/>
      </c>
      <c r="G372" s="79">
        <f>IF('Ordenes_Odoo'!G372="","",'Ordenes_Odoo'!G372)</f>
        <v/>
      </c>
      <c r="H372" s="79">
        <f>IF('Ordenes_Odoo'!H372="","",'Ordenes_Odoo'!H372)</f>
        <v/>
      </c>
      <c r="I372" s="79">
        <f>IF('Ordenes_Odoo'!I372="","",'Ordenes_Odoo'!I372)</f>
        <v/>
      </c>
      <c r="J372" s="79">
        <f>IF('Ordenes_Odoo'!J372="","",'Ordenes_Odoo'!J372)</f>
        <v/>
      </c>
      <c r="K372" s="81">
        <f>IF('Ordenes_Odoo'!K372="","",'Ordenes_Odoo'!K372)</f>
        <v/>
      </c>
      <c r="L372" s="81">
        <f>IF('Ordenes_Odoo'!L372="","",'Ordenes_Odoo'!L372)</f>
        <v/>
      </c>
      <c r="M372" s="79">
        <f>IF('Ordenes_Odoo'!M372="","",'Ordenes_Odoo'!M372)</f>
        <v/>
      </c>
      <c r="N372" s="79">
        <f>IF('Ordenes_Odoo'!N372="","",'Ordenes_Odoo'!N372)</f>
        <v/>
      </c>
      <c r="O372" s="81">
        <f>IF('Ordenes_Odoo'!O372="","",'Ordenes_Odoo'!O372)</f>
        <v/>
      </c>
      <c r="P372" s="81">
        <f>IF('Ordenes_Odoo'!P372="","",'Ordenes_Odoo'!P372)</f>
        <v/>
      </c>
      <c r="Q372" s="79">
        <f>IF(A372="","",IFERROR(INDEX(Facturas_Odoo!$B:$B, MATCH(A372, Facturas_Odoo!$D:$D, 0)), "Sin Factura"))</f>
        <v/>
      </c>
      <c r="R372" s="80">
        <f>IF(Q372="Sin Factura","",IFERROR(INDEX(Facturas_Odoo!$A:$A, MATCH(Q372, Facturas_Odoo!$B:$B, 0)), ""))</f>
        <v/>
      </c>
      <c r="S372" s="79">
        <f>IF(Q372="Sin Factura","",IFERROR(_xlfn.XLOOKUP(1, (Facturas_Odoo!$D:$D=A372) * (Facturas_Odoo!$K:$K=I372), Facturas_Odoo!$L:$L, ""), ""))</f>
        <v/>
      </c>
      <c r="T372" s="81">
        <f>IF(Q372="Sin Factura",0,IFERROR(_xlfn.XLOOKUP(1, (Facturas_Odoo!$D:$D=A372) * (Facturas_Odoo!$K:$K=I372), Facturas_Odoo!$M:$M, 0), 0))</f>
        <v/>
      </c>
      <c r="U372" s="79">
        <f>IF(Q372="Sin Factura",0,IFERROR(_xlfn.XLOOKUP(1, (Facturas_Odoo!$D:$D=A372) * (Facturas_Odoo!$K:$K=I372), Facturas_Odoo!$N:$N, 0), 0))</f>
        <v/>
      </c>
      <c r="V372" s="79">
        <f>IF(Q372="Sin Factura",0,IFERROR(_xlfn.XLOOKUP(1, (Facturas_Odoo!$D:$D=A372) * (Facturas_Odoo!$K:$K=I372), Facturas_Odoo!$O:$O, 0), 0))</f>
        <v/>
      </c>
      <c r="W372" s="81">
        <f>IF(Q372="Sin Factura",0,IFERROR(_xlfn.XLOOKUP(1, (Facturas_Odoo!$D:$D=A372) * (Facturas_Odoo!$K:$K=I372), Facturas_Odoo!$Q:$Q, 0), 0))</f>
        <v/>
      </c>
      <c r="X372" s="79">
        <f>IF(OR(Q372="Sin Factura",Q372=""),"",IFERROR(INDEX(Pagos_Odoo!$B:$B, MATCH(Q372, Pagos_Odoo!$I:$I, 0)), "Sin Pago"))</f>
        <v/>
      </c>
      <c r="Y372" s="79">
        <f>IF(X372="Sin Pago","",IFERROR(INDEX(Pagos_Odoo!$C:$C, MATCH(X372, Pagos_Odoo!$B:$B, 0)), ""))</f>
        <v/>
      </c>
      <c r="Z372" s="80">
        <f>IF(X372="Sin Pago","",IFERROR(INDEX(Pagos_Odoo!$A:$A, MATCH(X372, Pagos_Odoo!$B:$B, 0)), ""))</f>
        <v/>
      </c>
      <c r="AA372" s="79">
        <f>IF(X372="Sin Pago","",IFERROR(INDEX(Pagos_Odoo!$F:$F, MATCH(X372, Pagos_Odoo!$B:$B, 0)), ""))</f>
        <v/>
      </c>
      <c r="AB372" s="81">
        <f>IF(X372="Sin Pago",0,IFERROR(INDEX(Pagos_Odoo!$E:$E, MATCH(X372, Pagos_Odoo!$B:$B, 0)), 0))</f>
        <v/>
      </c>
      <c r="AC372" s="79">
        <f>IF(X372="Sin Pago","",IFERROR(INDEX(Pagos_Odoo!$G:$G, MATCH(X372, Pagos_Odoo!$B:$B, 0)), ""))</f>
        <v/>
      </c>
      <c r="AD372" s="82" t="n">
        <v>0</v>
      </c>
      <c r="AE372" s="82" t="n"/>
      <c r="AF372" s="82" t="n"/>
      <c r="AG372" s="82">
        <f>IF(AN372="","",AD372+AE372+AF372)</f>
        <v/>
      </c>
      <c r="AH372" s="81">
        <f>IF(AN372="","",P372*(1-AG372))</f>
        <v/>
      </c>
      <c r="AI372" s="81">
        <f>IF(AN372="","",IF(Q372="Sin Factura",0,IFERROR(INDEX(Facturas_Odoo!$H:$H, MATCH(Q372, Facturas_Odoo!$B:$B, 0)), 0)*(1-AG372)))</f>
        <v/>
      </c>
      <c r="AJ372" s="81">
        <f>IF(AN372="","",_xlfn.LET(idVenta, AN372&amp;"",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72" s="81">
        <f>IF(AN372="","",AH372-AJ372)</f>
        <v/>
      </c>
      <c r="AL372" s="81">
        <f>IF(AN372="","",IF(Q372="Sin Factura","",AI372-AJ372))</f>
        <v/>
      </c>
      <c r="AM372" s="81">
        <f>IF(AN372="","",IF(Q372="Sin Factura",0,P372-IFERROR(INDEX(Facturas_Odoo!$H:$H, MATCH(Q372, Facturas_Odoo!$B:$B, 0)), 0)))</f>
        <v/>
      </c>
      <c r="AN372" s="79">
        <f>IF(AND(A372="", J372=""), "", IF(A372&lt;&gt;"", VALUE(MID(A372,2,LEN(A372))), AN371))</f>
        <v/>
      </c>
      <c r="AO372" s="79">
        <f>IF(AN372="","",IF(AD372=0,"OK",_xlfn.LET(monedaPago, IF(AA372="","USD",AA372), limitePermitido, IFERROR(VLOOKUP(monedaPago, Configuración!$A$2:$B$3, 2, FALSE), 0.15), IF(AD372&gt;limitePermitido, "ALERTA: EXCESO (" &amp; TEXT(limitePermitido, "0%") &amp; " máx)", "OK"))))</f>
        <v/>
      </c>
      <c r="AP372" s="79">
        <f>IF(AN372="","",IF(AE372=0,"OK",_xlfn.LET(fechaPago, Z372, fechaFactura, R372, diasCredito, IF(E372="Pago inmediato", 0, IFERROR(VALUE(MID(E372, 1, SEARCH(" ", E372)-1)),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72" s="79">
        <f>IF(AN372="","",IF(AND(N372&gt;0, AG372&gt;0), IF(Configuración!$K$2="NO", "ALERTA: DESCUENTO DOBLE NO PERMITIDO", "OK"), "OK"))</f>
        <v/>
      </c>
      <c r="AR372" s="79">
        <f>IF(AN372="","",IF(OR(AO372&lt;&gt;"OK", AP372&lt;&gt;"OK", AQ372&lt;&gt;"OK"), "⚠️ REVISAR", "OK"))</f>
        <v/>
      </c>
    </row>
    <row r="373">
      <c r="A373" s="79">
        <f>IF('Ordenes_Odoo'!A373="","",'Ordenes_Odoo'!A373)</f>
        <v/>
      </c>
      <c r="B373" s="80">
        <f>IF('Ordenes_Odoo'!B373="","",'Ordenes_Odoo'!B373)</f>
        <v/>
      </c>
      <c r="C373" s="79">
        <f>IF('Ordenes_Odoo'!C373="","",'Ordenes_Odoo'!C373)</f>
        <v/>
      </c>
      <c r="D373" s="79">
        <f>IF('Ordenes_Odoo'!D373="","",'Ordenes_Odoo'!D373)</f>
        <v/>
      </c>
      <c r="E373" s="79">
        <f>IF('Ordenes_Odoo'!E373="","",'Ordenes_Odoo'!E373)</f>
        <v/>
      </c>
      <c r="F373" s="79">
        <f>IF('Ordenes_Odoo'!F373="","",'Ordenes_Odoo'!F373)</f>
        <v/>
      </c>
      <c r="G373" s="79">
        <f>IF('Ordenes_Odoo'!G373="","",'Ordenes_Odoo'!G373)</f>
        <v/>
      </c>
      <c r="H373" s="79">
        <f>IF('Ordenes_Odoo'!H373="","",'Ordenes_Odoo'!H373)</f>
        <v/>
      </c>
      <c r="I373" s="79">
        <f>IF('Ordenes_Odoo'!I373="","",'Ordenes_Odoo'!I373)</f>
        <v/>
      </c>
      <c r="J373" s="79">
        <f>IF('Ordenes_Odoo'!J373="","",'Ordenes_Odoo'!J373)</f>
        <v/>
      </c>
      <c r="K373" s="81">
        <f>IF('Ordenes_Odoo'!K373="","",'Ordenes_Odoo'!K373)</f>
        <v/>
      </c>
      <c r="L373" s="81">
        <f>IF('Ordenes_Odoo'!L373="","",'Ordenes_Odoo'!L373)</f>
        <v/>
      </c>
      <c r="M373" s="79">
        <f>IF('Ordenes_Odoo'!M373="","",'Ordenes_Odoo'!M373)</f>
        <v/>
      </c>
      <c r="N373" s="79">
        <f>IF('Ordenes_Odoo'!N373="","",'Ordenes_Odoo'!N373)</f>
        <v/>
      </c>
      <c r="O373" s="81">
        <f>IF('Ordenes_Odoo'!O373="","",'Ordenes_Odoo'!O373)</f>
        <v/>
      </c>
      <c r="P373" s="81">
        <f>IF('Ordenes_Odoo'!P373="","",'Ordenes_Odoo'!P373)</f>
        <v/>
      </c>
      <c r="Q373" s="79">
        <f>IF(A373="","",IFERROR(INDEX(Facturas_Odoo!$B:$B, MATCH(A373, Facturas_Odoo!$D:$D, 0)), "Sin Factura"))</f>
        <v/>
      </c>
      <c r="R373" s="80">
        <f>IF(Q373="Sin Factura","",IFERROR(INDEX(Facturas_Odoo!$A:$A, MATCH(Q373, Facturas_Odoo!$B:$B, 0)), ""))</f>
        <v/>
      </c>
      <c r="S373" s="79">
        <f>IF(Q373="Sin Factura","",IFERROR(_xlfn.XLOOKUP(1, (Facturas_Odoo!$D:$D=A373) * (Facturas_Odoo!$K:$K=I373), Facturas_Odoo!$L:$L, ""), ""))</f>
        <v/>
      </c>
      <c r="T373" s="81">
        <f>IF(Q373="Sin Factura",0,IFERROR(_xlfn.XLOOKUP(1, (Facturas_Odoo!$D:$D=A373) * (Facturas_Odoo!$K:$K=I373), Facturas_Odoo!$M:$M, 0), 0))</f>
        <v/>
      </c>
      <c r="U373" s="79">
        <f>IF(Q373="Sin Factura",0,IFERROR(_xlfn.XLOOKUP(1, (Facturas_Odoo!$D:$D=A373) * (Facturas_Odoo!$K:$K=I373), Facturas_Odoo!$N:$N, 0), 0))</f>
        <v/>
      </c>
      <c r="V373" s="79">
        <f>IF(Q373="Sin Factura",0,IFERROR(_xlfn.XLOOKUP(1, (Facturas_Odoo!$D:$D=A373) * (Facturas_Odoo!$K:$K=I373), Facturas_Odoo!$O:$O, 0), 0))</f>
        <v/>
      </c>
      <c r="W373" s="81">
        <f>IF(Q373="Sin Factura",0,IFERROR(_xlfn.XLOOKUP(1, (Facturas_Odoo!$D:$D=A373) * (Facturas_Odoo!$K:$K=I373), Facturas_Odoo!$Q:$Q, 0), 0))</f>
        <v/>
      </c>
      <c r="X373" s="79">
        <f>IF(OR(Q373="Sin Factura",Q373=""),"",IFERROR(INDEX(Pagos_Odoo!$B:$B, MATCH(Q373, Pagos_Odoo!$I:$I, 0)), "Sin Pago"))</f>
        <v/>
      </c>
      <c r="Y373" s="79">
        <f>IF(X373="Sin Pago","",IFERROR(INDEX(Pagos_Odoo!$C:$C, MATCH(X373, Pagos_Odoo!$B:$B, 0)), ""))</f>
        <v/>
      </c>
      <c r="Z373" s="80">
        <f>IF(X373="Sin Pago","",IFERROR(INDEX(Pagos_Odoo!$A:$A, MATCH(X373, Pagos_Odoo!$B:$B, 0)), ""))</f>
        <v/>
      </c>
      <c r="AA373" s="79">
        <f>IF(X373="Sin Pago","",IFERROR(INDEX(Pagos_Odoo!$F:$F, MATCH(X373, Pagos_Odoo!$B:$B, 0)), ""))</f>
        <v/>
      </c>
      <c r="AB373" s="81">
        <f>IF(X373="Sin Pago",0,IFERROR(INDEX(Pagos_Odoo!$E:$E, MATCH(X373, Pagos_Odoo!$B:$B, 0)), 0))</f>
        <v/>
      </c>
      <c r="AC373" s="79">
        <f>IF(X373="Sin Pago","",IFERROR(INDEX(Pagos_Odoo!$G:$G, MATCH(X373, Pagos_Odoo!$B:$B, 0)), ""))</f>
        <v/>
      </c>
      <c r="AD373" s="82" t="n">
        <v>0</v>
      </c>
      <c r="AE373" s="82" t="n"/>
      <c r="AF373" s="82" t="n"/>
      <c r="AG373" s="82">
        <f>IF(AN373="","",AD373+AE373+AF373)</f>
        <v/>
      </c>
      <c r="AH373" s="81">
        <f>IF(AN373="","",P373*(1-AG373))</f>
        <v/>
      </c>
      <c r="AI373" s="81">
        <f>IF(AN373="","",IF(Q373="Sin Factura",0,IFERROR(INDEX(Facturas_Odoo!$H:$H, MATCH(Q373, Facturas_Odoo!$B:$B, 0)), 0)*(1-AG373)))</f>
        <v/>
      </c>
      <c r="AJ373" s="81">
        <f>IF(AN373="","",_xlfn.LET(idVenta, AN373&amp;"",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73" s="81">
        <f>IF(AN373="","",AH373-AJ373)</f>
        <v/>
      </c>
      <c r="AL373" s="81">
        <f>IF(AN373="","",IF(Q373="Sin Factura","",AI373-AJ373))</f>
        <v/>
      </c>
      <c r="AM373" s="81">
        <f>IF(AN373="","",IF(Q373="Sin Factura",0,P373-IFERROR(INDEX(Facturas_Odoo!$H:$H, MATCH(Q373, Facturas_Odoo!$B:$B, 0)), 0)))</f>
        <v/>
      </c>
      <c r="AN373" s="79">
        <f>IF(AND(A373="", J373=""), "", IF(A373&lt;&gt;"", VALUE(MID(A373,2,LEN(A373))), AN372))</f>
        <v/>
      </c>
      <c r="AO373" s="79">
        <f>IF(AN373="","",IF(AD373=0,"OK",_xlfn.LET(monedaPago, IF(AA373="","USD",AA373), limitePermitido, IFERROR(VLOOKUP(monedaPago, Configuración!$A$2:$B$3, 2, FALSE), 0.15), IF(AD373&gt;limitePermitido, "ALERTA: EXCESO (" &amp; TEXT(limitePermitido, "0%") &amp; " máx)", "OK"))))</f>
        <v/>
      </c>
      <c r="AP373" s="79">
        <f>IF(AN373="","",IF(AE373=0,"OK",_xlfn.LET(fechaPago, Z373, fechaFactura, R373, diasCredito, IF(E373="Pago inmediato", 0, IFERROR(VALUE(MID(E373, 1, SEARCH(" ", E373)-1)),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73" s="79">
        <f>IF(AN373="","",IF(AND(N373&gt;0, AG373&gt;0), IF(Configuración!$K$2="NO", "ALERTA: DESCUENTO DOBLE NO PERMITIDO", "OK"), "OK"))</f>
        <v/>
      </c>
      <c r="AR373" s="79">
        <f>IF(AN373="","",IF(OR(AO373&lt;&gt;"OK", AP373&lt;&gt;"OK", AQ373&lt;&gt;"OK"), "⚠️ REVISAR", "OK"))</f>
        <v/>
      </c>
    </row>
    <row r="374">
      <c r="A374" s="79">
        <f>IF('Ordenes_Odoo'!A374="","",'Ordenes_Odoo'!A374)</f>
        <v/>
      </c>
      <c r="B374" s="80">
        <f>IF('Ordenes_Odoo'!B374="","",'Ordenes_Odoo'!B374)</f>
        <v/>
      </c>
      <c r="C374" s="79">
        <f>IF('Ordenes_Odoo'!C374="","",'Ordenes_Odoo'!C374)</f>
        <v/>
      </c>
      <c r="D374" s="79">
        <f>IF('Ordenes_Odoo'!D374="","",'Ordenes_Odoo'!D374)</f>
        <v/>
      </c>
      <c r="E374" s="79">
        <f>IF('Ordenes_Odoo'!E374="","",'Ordenes_Odoo'!E374)</f>
        <v/>
      </c>
      <c r="F374" s="79">
        <f>IF('Ordenes_Odoo'!F374="","",'Ordenes_Odoo'!F374)</f>
        <v/>
      </c>
      <c r="G374" s="79">
        <f>IF('Ordenes_Odoo'!G374="","",'Ordenes_Odoo'!G374)</f>
        <v/>
      </c>
      <c r="H374" s="79">
        <f>IF('Ordenes_Odoo'!H374="","",'Ordenes_Odoo'!H374)</f>
        <v/>
      </c>
      <c r="I374" s="79">
        <f>IF('Ordenes_Odoo'!I374="","",'Ordenes_Odoo'!I374)</f>
        <v/>
      </c>
      <c r="J374" s="79">
        <f>IF('Ordenes_Odoo'!J374="","",'Ordenes_Odoo'!J374)</f>
        <v/>
      </c>
      <c r="K374" s="81">
        <f>IF('Ordenes_Odoo'!K374="","",'Ordenes_Odoo'!K374)</f>
        <v/>
      </c>
      <c r="L374" s="81">
        <f>IF('Ordenes_Odoo'!L374="","",'Ordenes_Odoo'!L374)</f>
        <v/>
      </c>
      <c r="M374" s="79">
        <f>IF('Ordenes_Odoo'!M374="","",'Ordenes_Odoo'!M374)</f>
        <v/>
      </c>
      <c r="N374" s="79">
        <f>IF('Ordenes_Odoo'!N374="","",'Ordenes_Odoo'!N374)</f>
        <v/>
      </c>
      <c r="O374" s="81">
        <f>IF('Ordenes_Odoo'!O374="","",'Ordenes_Odoo'!O374)</f>
        <v/>
      </c>
      <c r="P374" s="81">
        <f>IF('Ordenes_Odoo'!P374="","",'Ordenes_Odoo'!P374)</f>
        <v/>
      </c>
      <c r="Q374" s="79">
        <f>IF(A374="","",IFERROR(INDEX(Facturas_Odoo!$B:$B, MATCH(A374, Facturas_Odoo!$D:$D, 0)), "Sin Factura"))</f>
        <v/>
      </c>
      <c r="R374" s="80">
        <f>IF(Q374="Sin Factura","",IFERROR(INDEX(Facturas_Odoo!$A:$A, MATCH(Q374, Facturas_Odoo!$B:$B, 0)), ""))</f>
        <v/>
      </c>
      <c r="S374" s="79">
        <f>IF(Q374="Sin Factura","",IFERROR(_xlfn.XLOOKUP(1, (Facturas_Odoo!$D:$D=A374) * (Facturas_Odoo!$K:$K=I374), Facturas_Odoo!$L:$L, ""), ""))</f>
        <v/>
      </c>
      <c r="T374" s="81">
        <f>IF(Q374="Sin Factura",0,IFERROR(_xlfn.XLOOKUP(1, (Facturas_Odoo!$D:$D=A374) * (Facturas_Odoo!$K:$K=I374), Facturas_Odoo!$M:$M, 0), 0))</f>
        <v/>
      </c>
      <c r="U374" s="79">
        <f>IF(Q374="Sin Factura",0,IFERROR(_xlfn.XLOOKUP(1, (Facturas_Odoo!$D:$D=A374) * (Facturas_Odoo!$K:$K=I374), Facturas_Odoo!$N:$N, 0), 0))</f>
        <v/>
      </c>
      <c r="V374" s="79">
        <f>IF(Q374="Sin Factura",0,IFERROR(_xlfn.XLOOKUP(1, (Facturas_Odoo!$D:$D=A374) * (Facturas_Odoo!$K:$K=I374), Facturas_Odoo!$O:$O, 0), 0))</f>
        <v/>
      </c>
      <c r="W374" s="81">
        <f>IF(Q374="Sin Factura",0,IFERROR(_xlfn.XLOOKUP(1, (Facturas_Odoo!$D:$D=A374) * (Facturas_Odoo!$K:$K=I374), Facturas_Odoo!$Q:$Q, 0), 0))</f>
        <v/>
      </c>
      <c r="X374" s="79">
        <f>IF(OR(Q374="Sin Factura",Q374=""),"",IFERROR(INDEX(Pagos_Odoo!$B:$B, MATCH(Q374, Pagos_Odoo!$I:$I, 0)), "Sin Pago"))</f>
        <v/>
      </c>
      <c r="Y374" s="79">
        <f>IF(X374="Sin Pago","",IFERROR(INDEX(Pagos_Odoo!$C:$C, MATCH(X374, Pagos_Odoo!$B:$B, 0)), ""))</f>
        <v/>
      </c>
      <c r="Z374" s="80">
        <f>IF(X374="Sin Pago","",IFERROR(INDEX(Pagos_Odoo!$A:$A, MATCH(X374, Pagos_Odoo!$B:$B, 0)), ""))</f>
        <v/>
      </c>
      <c r="AA374" s="79">
        <f>IF(X374="Sin Pago","",IFERROR(INDEX(Pagos_Odoo!$F:$F, MATCH(X374, Pagos_Odoo!$B:$B, 0)), ""))</f>
        <v/>
      </c>
      <c r="AB374" s="81">
        <f>IF(X374="Sin Pago",0,IFERROR(INDEX(Pagos_Odoo!$E:$E, MATCH(X374, Pagos_Odoo!$B:$B, 0)), 0))</f>
        <v/>
      </c>
      <c r="AC374" s="79">
        <f>IF(X374="Sin Pago","",IFERROR(INDEX(Pagos_Odoo!$G:$G, MATCH(X374, Pagos_Odoo!$B:$B, 0)), ""))</f>
        <v/>
      </c>
      <c r="AD374" s="82" t="n">
        <v>0</v>
      </c>
      <c r="AE374" s="82" t="n"/>
      <c r="AF374" s="82" t="n"/>
      <c r="AG374" s="82">
        <f>IF(AN374="","",AD374+AE374+AF374)</f>
        <v/>
      </c>
      <c r="AH374" s="81">
        <f>IF(AN374="","",P374*(1-AG374))</f>
        <v/>
      </c>
      <c r="AI374" s="81">
        <f>IF(AN374="","",IF(Q374="Sin Factura",0,IFERROR(INDEX(Facturas_Odoo!$H:$H, MATCH(Q374, Facturas_Odoo!$B:$B, 0)), 0)*(1-AG374)))</f>
        <v/>
      </c>
      <c r="AJ374" s="81">
        <f>IF(AN374="","",_xlfn.LET(idVenta, AN374&amp;"",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74" s="81">
        <f>IF(AN374="","",AH374-AJ374)</f>
        <v/>
      </c>
      <c r="AL374" s="81">
        <f>IF(AN374="","",IF(Q374="Sin Factura","",AI374-AJ374))</f>
        <v/>
      </c>
      <c r="AM374" s="81">
        <f>IF(AN374="","",IF(Q374="Sin Factura",0,P374-IFERROR(INDEX(Facturas_Odoo!$H:$H, MATCH(Q374, Facturas_Odoo!$B:$B, 0)), 0)))</f>
        <v/>
      </c>
      <c r="AN374" s="79">
        <f>IF(AND(A374="", J374=""), "", IF(A374&lt;&gt;"", VALUE(MID(A374,2,LEN(A374))), AN373))</f>
        <v/>
      </c>
      <c r="AO374" s="79">
        <f>IF(AN374="","",IF(AD374=0,"OK",_xlfn.LET(monedaPago, IF(AA374="","USD",AA374), limitePermitido, IFERROR(VLOOKUP(monedaPago, Configuración!$A$2:$B$3, 2, FALSE), 0.15), IF(AD374&gt;limitePermitido, "ALERTA: EXCESO (" &amp; TEXT(limitePermitido, "0%") &amp; " máx)", "OK"))))</f>
        <v/>
      </c>
      <c r="AP374" s="79">
        <f>IF(AN374="","",IF(AE374=0,"OK",_xlfn.LET(fechaPago, Z374, fechaFactura, R374, diasCredito, IF(E374="Pago inmediato", 0, IFERROR(VALUE(MID(E374, 1, SEARCH(" ", E374)-1)),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74" s="79">
        <f>IF(AN374="","",IF(AND(N374&gt;0, AG374&gt;0), IF(Configuración!$K$2="NO", "ALERTA: DESCUENTO DOBLE NO PERMITIDO", "OK"), "OK"))</f>
        <v/>
      </c>
      <c r="AR374" s="79">
        <f>IF(AN374="","",IF(OR(AO374&lt;&gt;"OK", AP374&lt;&gt;"OK", AQ374&lt;&gt;"OK"), "⚠️ REVISAR", "OK"))</f>
        <v/>
      </c>
    </row>
    <row r="375">
      <c r="A375" s="79">
        <f>IF('Ordenes_Odoo'!A375="","",'Ordenes_Odoo'!A375)</f>
        <v/>
      </c>
      <c r="B375" s="80">
        <f>IF('Ordenes_Odoo'!B375="","",'Ordenes_Odoo'!B375)</f>
        <v/>
      </c>
      <c r="C375" s="79">
        <f>IF('Ordenes_Odoo'!C375="","",'Ordenes_Odoo'!C375)</f>
        <v/>
      </c>
      <c r="D375" s="79">
        <f>IF('Ordenes_Odoo'!D375="","",'Ordenes_Odoo'!D375)</f>
        <v/>
      </c>
      <c r="E375" s="79">
        <f>IF('Ordenes_Odoo'!E375="","",'Ordenes_Odoo'!E375)</f>
        <v/>
      </c>
      <c r="F375" s="79">
        <f>IF('Ordenes_Odoo'!F375="","",'Ordenes_Odoo'!F375)</f>
        <v/>
      </c>
      <c r="G375" s="79">
        <f>IF('Ordenes_Odoo'!G375="","",'Ordenes_Odoo'!G375)</f>
        <v/>
      </c>
      <c r="H375" s="79">
        <f>IF('Ordenes_Odoo'!H375="","",'Ordenes_Odoo'!H375)</f>
        <v/>
      </c>
      <c r="I375" s="79">
        <f>IF('Ordenes_Odoo'!I375="","",'Ordenes_Odoo'!I375)</f>
        <v/>
      </c>
      <c r="J375" s="79">
        <f>IF('Ordenes_Odoo'!J375="","",'Ordenes_Odoo'!J375)</f>
        <v/>
      </c>
      <c r="K375" s="81">
        <f>IF('Ordenes_Odoo'!K375="","",'Ordenes_Odoo'!K375)</f>
        <v/>
      </c>
      <c r="L375" s="81">
        <f>IF('Ordenes_Odoo'!L375="","",'Ordenes_Odoo'!L375)</f>
        <v/>
      </c>
      <c r="M375" s="79">
        <f>IF('Ordenes_Odoo'!M375="","",'Ordenes_Odoo'!M375)</f>
        <v/>
      </c>
      <c r="N375" s="79">
        <f>IF('Ordenes_Odoo'!N375="","",'Ordenes_Odoo'!N375)</f>
        <v/>
      </c>
      <c r="O375" s="81">
        <f>IF('Ordenes_Odoo'!O375="","",'Ordenes_Odoo'!O375)</f>
        <v/>
      </c>
      <c r="P375" s="81">
        <f>IF('Ordenes_Odoo'!P375="","",'Ordenes_Odoo'!P375)</f>
        <v/>
      </c>
      <c r="Q375" s="79">
        <f>IF(A375="","",IFERROR(INDEX(Facturas_Odoo!$B:$B, MATCH(A375, Facturas_Odoo!$D:$D, 0)), "Sin Factura"))</f>
        <v/>
      </c>
      <c r="R375" s="80">
        <f>IF(Q375="Sin Factura","",IFERROR(INDEX(Facturas_Odoo!$A:$A, MATCH(Q375, Facturas_Odoo!$B:$B, 0)), ""))</f>
        <v/>
      </c>
      <c r="S375" s="79">
        <f>IF(Q375="Sin Factura","",IFERROR(_xlfn.XLOOKUP(1, (Facturas_Odoo!$D:$D=A375) * (Facturas_Odoo!$K:$K=I375), Facturas_Odoo!$L:$L, ""), ""))</f>
        <v/>
      </c>
      <c r="T375" s="81">
        <f>IF(Q375="Sin Factura",0,IFERROR(_xlfn.XLOOKUP(1, (Facturas_Odoo!$D:$D=A375) * (Facturas_Odoo!$K:$K=I375), Facturas_Odoo!$M:$M, 0), 0))</f>
        <v/>
      </c>
      <c r="U375" s="79">
        <f>IF(Q375="Sin Factura",0,IFERROR(_xlfn.XLOOKUP(1, (Facturas_Odoo!$D:$D=A375) * (Facturas_Odoo!$K:$K=I375), Facturas_Odoo!$N:$N, 0), 0))</f>
        <v/>
      </c>
      <c r="V375" s="79">
        <f>IF(Q375="Sin Factura",0,IFERROR(_xlfn.XLOOKUP(1, (Facturas_Odoo!$D:$D=A375) * (Facturas_Odoo!$K:$K=I375), Facturas_Odoo!$O:$O, 0), 0))</f>
        <v/>
      </c>
      <c r="W375" s="81">
        <f>IF(Q375="Sin Factura",0,IFERROR(_xlfn.XLOOKUP(1, (Facturas_Odoo!$D:$D=A375) * (Facturas_Odoo!$K:$K=I375), Facturas_Odoo!$Q:$Q, 0), 0))</f>
        <v/>
      </c>
      <c r="X375" s="79">
        <f>IF(OR(Q375="Sin Factura",Q375=""),"",IFERROR(INDEX(Pagos_Odoo!$B:$B, MATCH(Q375, Pagos_Odoo!$I:$I, 0)), "Sin Pago"))</f>
        <v/>
      </c>
      <c r="Y375" s="79">
        <f>IF(X375="Sin Pago","",IFERROR(INDEX(Pagos_Odoo!$C:$C, MATCH(X375, Pagos_Odoo!$B:$B, 0)), ""))</f>
        <v/>
      </c>
      <c r="Z375" s="80">
        <f>IF(X375="Sin Pago","",IFERROR(INDEX(Pagos_Odoo!$A:$A, MATCH(X375, Pagos_Odoo!$B:$B, 0)), ""))</f>
        <v/>
      </c>
      <c r="AA375" s="79">
        <f>IF(X375="Sin Pago","",IFERROR(INDEX(Pagos_Odoo!$F:$F, MATCH(X375, Pagos_Odoo!$B:$B, 0)), ""))</f>
        <v/>
      </c>
      <c r="AB375" s="81">
        <f>IF(X375="Sin Pago",0,IFERROR(INDEX(Pagos_Odoo!$E:$E, MATCH(X375, Pagos_Odoo!$B:$B, 0)), 0))</f>
        <v/>
      </c>
      <c r="AC375" s="79">
        <f>IF(X375="Sin Pago","",IFERROR(INDEX(Pagos_Odoo!$G:$G, MATCH(X375, Pagos_Odoo!$B:$B, 0)), ""))</f>
        <v/>
      </c>
      <c r="AD375" s="82" t="n">
        <v>0</v>
      </c>
      <c r="AE375" s="82" t="n"/>
      <c r="AF375" s="82" t="n"/>
      <c r="AG375" s="82">
        <f>IF(AN375="","",AD375+AE375+AF375)</f>
        <v/>
      </c>
      <c r="AH375" s="81">
        <f>IF(AN375="","",P375*(1-AG375))</f>
        <v/>
      </c>
      <c r="AI375" s="81">
        <f>IF(AN375="","",IF(Q375="Sin Factura",0,IFERROR(INDEX(Facturas_Odoo!$H:$H, MATCH(Q375, Facturas_Odoo!$B:$B, 0)), 0)*(1-AG375)))</f>
        <v/>
      </c>
      <c r="AJ375" s="81">
        <f>IF(AN375="","",_xlfn.LET(idVenta, AN375&amp;"",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75" s="81">
        <f>IF(AN375="","",AH375-AJ375)</f>
        <v/>
      </c>
      <c r="AL375" s="81">
        <f>IF(AN375="","",IF(Q375="Sin Factura","",AI375-AJ375))</f>
        <v/>
      </c>
      <c r="AM375" s="81">
        <f>IF(AN375="","",IF(Q375="Sin Factura",0,P375-IFERROR(INDEX(Facturas_Odoo!$H:$H, MATCH(Q375, Facturas_Odoo!$B:$B, 0)), 0)))</f>
        <v/>
      </c>
      <c r="AN375" s="79">
        <f>IF(AND(A375="", J375=""), "", IF(A375&lt;&gt;"", VALUE(MID(A375,2,LEN(A375))), AN374))</f>
        <v/>
      </c>
      <c r="AO375" s="79">
        <f>IF(AN375="","",IF(AD375=0,"OK",_xlfn.LET(monedaPago, IF(AA375="","USD",AA375), limitePermitido, IFERROR(VLOOKUP(monedaPago, Configuración!$A$2:$B$3, 2, FALSE), 0.15), IF(AD375&gt;limitePermitido, "ALERTA: EXCESO (" &amp; TEXT(limitePermitido, "0%") &amp; " máx)", "OK"))))</f>
        <v/>
      </c>
      <c r="AP375" s="79">
        <f>IF(AN375="","",IF(AE375=0,"OK",_xlfn.LET(fechaPago, Z375, fechaFactura, R375, diasCredito, IF(E375="Pago inmediato", 0, IFERROR(VALUE(MID(E375, 1, SEARCH(" ", E375)-1)),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75" s="79">
        <f>IF(AN375="","",IF(AND(N375&gt;0, AG375&gt;0), IF(Configuración!$K$2="NO", "ALERTA: DESCUENTO DOBLE NO PERMITIDO", "OK"), "OK"))</f>
        <v/>
      </c>
      <c r="AR375" s="79">
        <f>IF(AN375="","",IF(OR(AO375&lt;&gt;"OK", AP375&lt;&gt;"OK", AQ375&lt;&gt;"OK"), "⚠️ REVISAR", "OK"))</f>
        <v/>
      </c>
    </row>
    <row r="376">
      <c r="A376" s="79">
        <f>IF('Ordenes_Odoo'!A376="","",'Ordenes_Odoo'!A376)</f>
        <v/>
      </c>
      <c r="B376" s="80">
        <f>IF('Ordenes_Odoo'!B376="","",'Ordenes_Odoo'!B376)</f>
        <v/>
      </c>
      <c r="C376" s="79">
        <f>IF('Ordenes_Odoo'!C376="","",'Ordenes_Odoo'!C376)</f>
        <v/>
      </c>
      <c r="D376" s="79">
        <f>IF('Ordenes_Odoo'!D376="","",'Ordenes_Odoo'!D376)</f>
        <v/>
      </c>
      <c r="E376" s="79">
        <f>IF('Ordenes_Odoo'!E376="","",'Ordenes_Odoo'!E376)</f>
        <v/>
      </c>
      <c r="F376" s="79">
        <f>IF('Ordenes_Odoo'!F376="","",'Ordenes_Odoo'!F376)</f>
        <v/>
      </c>
      <c r="G376" s="79">
        <f>IF('Ordenes_Odoo'!G376="","",'Ordenes_Odoo'!G376)</f>
        <v/>
      </c>
      <c r="H376" s="79">
        <f>IF('Ordenes_Odoo'!H376="","",'Ordenes_Odoo'!H376)</f>
        <v/>
      </c>
      <c r="I376" s="79">
        <f>IF('Ordenes_Odoo'!I376="","",'Ordenes_Odoo'!I376)</f>
        <v/>
      </c>
      <c r="J376" s="79">
        <f>IF('Ordenes_Odoo'!J376="","",'Ordenes_Odoo'!J376)</f>
        <v/>
      </c>
      <c r="K376" s="81">
        <f>IF('Ordenes_Odoo'!K376="","",'Ordenes_Odoo'!K376)</f>
        <v/>
      </c>
      <c r="L376" s="81">
        <f>IF('Ordenes_Odoo'!L376="","",'Ordenes_Odoo'!L376)</f>
        <v/>
      </c>
      <c r="M376" s="79">
        <f>IF('Ordenes_Odoo'!M376="","",'Ordenes_Odoo'!M376)</f>
        <v/>
      </c>
      <c r="N376" s="79">
        <f>IF('Ordenes_Odoo'!N376="","",'Ordenes_Odoo'!N376)</f>
        <v/>
      </c>
      <c r="O376" s="81">
        <f>IF('Ordenes_Odoo'!O376="","",'Ordenes_Odoo'!O376)</f>
        <v/>
      </c>
      <c r="P376" s="81">
        <f>IF('Ordenes_Odoo'!P376="","",'Ordenes_Odoo'!P376)</f>
        <v/>
      </c>
      <c r="Q376" s="79">
        <f>IF(A376="","",IFERROR(INDEX(Facturas_Odoo!$B:$B, MATCH(A376, Facturas_Odoo!$D:$D, 0)), "Sin Factura"))</f>
        <v/>
      </c>
      <c r="R376" s="80">
        <f>IF(Q376="Sin Factura","",IFERROR(INDEX(Facturas_Odoo!$A:$A, MATCH(Q376, Facturas_Odoo!$B:$B, 0)), ""))</f>
        <v/>
      </c>
      <c r="S376" s="79">
        <f>IF(Q376="Sin Factura","",IFERROR(_xlfn.XLOOKUP(1, (Facturas_Odoo!$D:$D=A376) * (Facturas_Odoo!$K:$K=I376), Facturas_Odoo!$L:$L, ""), ""))</f>
        <v/>
      </c>
      <c r="T376" s="81">
        <f>IF(Q376="Sin Factura",0,IFERROR(_xlfn.XLOOKUP(1, (Facturas_Odoo!$D:$D=A376) * (Facturas_Odoo!$K:$K=I376), Facturas_Odoo!$M:$M, 0), 0))</f>
        <v/>
      </c>
      <c r="U376" s="79">
        <f>IF(Q376="Sin Factura",0,IFERROR(_xlfn.XLOOKUP(1, (Facturas_Odoo!$D:$D=A376) * (Facturas_Odoo!$K:$K=I376), Facturas_Odoo!$N:$N, 0), 0))</f>
        <v/>
      </c>
      <c r="V376" s="79">
        <f>IF(Q376="Sin Factura",0,IFERROR(_xlfn.XLOOKUP(1, (Facturas_Odoo!$D:$D=A376) * (Facturas_Odoo!$K:$K=I376), Facturas_Odoo!$O:$O, 0), 0))</f>
        <v/>
      </c>
      <c r="W376" s="81">
        <f>IF(Q376="Sin Factura",0,IFERROR(_xlfn.XLOOKUP(1, (Facturas_Odoo!$D:$D=A376) * (Facturas_Odoo!$K:$K=I376), Facturas_Odoo!$Q:$Q, 0), 0))</f>
        <v/>
      </c>
      <c r="X376" s="79">
        <f>IF(OR(Q376="Sin Factura",Q376=""),"",IFERROR(INDEX(Pagos_Odoo!$B:$B, MATCH(Q376, Pagos_Odoo!$I:$I, 0)), "Sin Pago"))</f>
        <v/>
      </c>
      <c r="Y376" s="79">
        <f>IF(X376="Sin Pago","",IFERROR(INDEX(Pagos_Odoo!$C:$C, MATCH(X376, Pagos_Odoo!$B:$B, 0)), ""))</f>
        <v/>
      </c>
      <c r="Z376" s="80">
        <f>IF(X376="Sin Pago","",IFERROR(INDEX(Pagos_Odoo!$A:$A, MATCH(X376, Pagos_Odoo!$B:$B, 0)), ""))</f>
        <v/>
      </c>
      <c r="AA376" s="79">
        <f>IF(X376="Sin Pago","",IFERROR(INDEX(Pagos_Odoo!$F:$F, MATCH(X376, Pagos_Odoo!$B:$B, 0)), ""))</f>
        <v/>
      </c>
      <c r="AB376" s="81">
        <f>IF(X376="Sin Pago",0,IFERROR(INDEX(Pagos_Odoo!$E:$E, MATCH(X376, Pagos_Odoo!$B:$B, 0)), 0))</f>
        <v/>
      </c>
      <c r="AC376" s="79">
        <f>IF(X376="Sin Pago","",IFERROR(INDEX(Pagos_Odoo!$G:$G, MATCH(X376, Pagos_Odoo!$B:$B, 0)), ""))</f>
        <v/>
      </c>
      <c r="AD376" s="82" t="n">
        <v>0</v>
      </c>
      <c r="AE376" s="82" t="n"/>
      <c r="AF376" s="82" t="n"/>
      <c r="AG376" s="82">
        <f>IF(AN376="","",AD376+AE376+AF376)</f>
        <v/>
      </c>
      <c r="AH376" s="81">
        <f>IF(AN376="","",P376*(1-AG376))</f>
        <v/>
      </c>
      <c r="AI376" s="81">
        <f>IF(AN376="","",IF(Q376="Sin Factura",0,IFERROR(INDEX(Facturas_Odoo!$H:$H, MATCH(Q376, Facturas_Odoo!$B:$B, 0)), 0)*(1-AG376)))</f>
        <v/>
      </c>
      <c r="AJ376" s="81">
        <f>IF(AN376="","",_xlfn.LET(idVenta, AN376&amp;"",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76" s="81">
        <f>IF(AN376="","",AH376-AJ376)</f>
        <v/>
      </c>
      <c r="AL376" s="81">
        <f>IF(AN376="","",IF(Q376="Sin Factura","",AI376-AJ376))</f>
        <v/>
      </c>
      <c r="AM376" s="81">
        <f>IF(AN376="","",IF(Q376="Sin Factura",0,P376-IFERROR(INDEX(Facturas_Odoo!$H:$H, MATCH(Q376, Facturas_Odoo!$B:$B, 0)), 0)))</f>
        <v/>
      </c>
      <c r="AN376" s="79">
        <f>IF(AND(A376="", J376=""), "", IF(A376&lt;&gt;"", VALUE(MID(A376,2,LEN(A376))), AN375))</f>
        <v/>
      </c>
      <c r="AO376" s="79">
        <f>IF(AN376="","",IF(AD376=0,"OK",_xlfn.LET(monedaPago, IF(AA376="","USD",AA376), limitePermitido, IFERROR(VLOOKUP(monedaPago, Configuración!$A$2:$B$3, 2, FALSE), 0.15), IF(AD376&gt;limitePermitido, "ALERTA: EXCESO (" &amp; TEXT(limitePermitido, "0%") &amp; " máx)", "OK"))))</f>
        <v/>
      </c>
      <c r="AP376" s="79">
        <f>IF(AN376="","",IF(AE376=0,"OK",_xlfn.LET(fechaPago, Z376, fechaFactura, R376, diasCredito, IF(E376="Pago inmediato", 0, IFERROR(VALUE(MID(E376, 1, SEARCH(" ", E376)-1)),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76" s="79">
        <f>IF(AN376="","",IF(AND(N376&gt;0, AG376&gt;0), IF(Configuración!$K$2="NO", "ALERTA: DESCUENTO DOBLE NO PERMITIDO", "OK"), "OK"))</f>
        <v/>
      </c>
      <c r="AR376" s="79">
        <f>IF(AN376="","",IF(OR(AO376&lt;&gt;"OK", AP376&lt;&gt;"OK", AQ376&lt;&gt;"OK"), "⚠️ REVISAR", "OK"))</f>
        <v/>
      </c>
    </row>
    <row r="377">
      <c r="A377" s="79">
        <f>IF('Ordenes_Odoo'!A377="","",'Ordenes_Odoo'!A377)</f>
        <v/>
      </c>
      <c r="B377" s="80">
        <f>IF('Ordenes_Odoo'!B377="","",'Ordenes_Odoo'!B377)</f>
        <v/>
      </c>
      <c r="C377" s="79">
        <f>IF('Ordenes_Odoo'!C377="","",'Ordenes_Odoo'!C377)</f>
        <v/>
      </c>
      <c r="D377" s="79">
        <f>IF('Ordenes_Odoo'!D377="","",'Ordenes_Odoo'!D377)</f>
        <v/>
      </c>
      <c r="E377" s="79">
        <f>IF('Ordenes_Odoo'!E377="","",'Ordenes_Odoo'!E377)</f>
        <v/>
      </c>
      <c r="F377" s="79">
        <f>IF('Ordenes_Odoo'!F377="","",'Ordenes_Odoo'!F377)</f>
        <v/>
      </c>
      <c r="G377" s="79">
        <f>IF('Ordenes_Odoo'!G377="","",'Ordenes_Odoo'!G377)</f>
        <v/>
      </c>
      <c r="H377" s="79">
        <f>IF('Ordenes_Odoo'!H377="","",'Ordenes_Odoo'!H377)</f>
        <v/>
      </c>
      <c r="I377" s="79">
        <f>IF('Ordenes_Odoo'!I377="","",'Ordenes_Odoo'!I377)</f>
        <v/>
      </c>
      <c r="J377" s="79">
        <f>IF('Ordenes_Odoo'!J377="","",'Ordenes_Odoo'!J377)</f>
        <v/>
      </c>
      <c r="K377" s="81">
        <f>IF('Ordenes_Odoo'!K377="","",'Ordenes_Odoo'!K377)</f>
        <v/>
      </c>
      <c r="L377" s="81">
        <f>IF('Ordenes_Odoo'!L377="","",'Ordenes_Odoo'!L377)</f>
        <v/>
      </c>
      <c r="M377" s="79">
        <f>IF('Ordenes_Odoo'!M377="","",'Ordenes_Odoo'!M377)</f>
        <v/>
      </c>
      <c r="N377" s="79">
        <f>IF('Ordenes_Odoo'!N377="","",'Ordenes_Odoo'!N377)</f>
        <v/>
      </c>
      <c r="O377" s="81">
        <f>IF('Ordenes_Odoo'!O377="","",'Ordenes_Odoo'!O377)</f>
        <v/>
      </c>
      <c r="P377" s="81">
        <f>IF('Ordenes_Odoo'!P377="","",'Ordenes_Odoo'!P377)</f>
        <v/>
      </c>
      <c r="Q377" s="79">
        <f>IF(A377="","",IFERROR(INDEX(Facturas_Odoo!$B:$B, MATCH(A377, Facturas_Odoo!$D:$D, 0)), "Sin Factura"))</f>
        <v/>
      </c>
      <c r="R377" s="80">
        <f>IF(Q377="Sin Factura","",IFERROR(INDEX(Facturas_Odoo!$A:$A, MATCH(Q377, Facturas_Odoo!$B:$B, 0)), ""))</f>
        <v/>
      </c>
      <c r="S377" s="79">
        <f>IF(Q377="Sin Factura","",IFERROR(_xlfn.XLOOKUP(1, (Facturas_Odoo!$D:$D=A377) * (Facturas_Odoo!$K:$K=I377), Facturas_Odoo!$L:$L, ""), ""))</f>
        <v/>
      </c>
      <c r="T377" s="81">
        <f>IF(Q377="Sin Factura",0,IFERROR(_xlfn.XLOOKUP(1, (Facturas_Odoo!$D:$D=A377) * (Facturas_Odoo!$K:$K=I377), Facturas_Odoo!$M:$M, 0), 0))</f>
        <v/>
      </c>
      <c r="U377" s="79">
        <f>IF(Q377="Sin Factura",0,IFERROR(_xlfn.XLOOKUP(1, (Facturas_Odoo!$D:$D=A377) * (Facturas_Odoo!$K:$K=I377), Facturas_Odoo!$N:$N, 0), 0))</f>
        <v/>
      </c>
      <c r="V377" s="79">
        <f>IF(Q377="Sin Factura",0,IFERROR(_xlfn.XLOOKUP(1, (Facturas_Odoo!$D:$D=A377) * (Facturas_Odoo!$K:$K=I377), Facturas_Odoo!$O:$O, 0), 0))</f>
        <v/>
      </c>
      <c r="W377" s="81">
        <f>IF(Q377="Sin Factura",0,IFERROR(_xlfn.XLOOKUP(1, (Facturas_Odoo!$D:$D=A377) * (Facturas_Odoo!$K:$K=I377), Facturas_Odoo!$Q:$Q, 0), 0))</f>
        <v/>
      </c>
      <c r="X377" s="79">
        <f>IF(OR(Q377="Sin Factura",Q377=""),"",IFERROR(INDEX(Pagos_Odoo!$B:$B, MATCH(Q377, Pagos_Odoo!$I:$I, 0)), "Sin Pago"))</f>
        <v/>
      </c>
      <c r="Y377" s="79">
        <f>IF(X377="Sin Pago","",IFERROR(INDEX(Pagos_Odoo!$C:$C, MATCH(X377, Pagos_Odoo!$B:$B, 0)), ""))</f>
        <v/>
      </c>
      <c r="Z377" s="80">
        <f>IF(X377="Sin Pago","",IFERROR(INDEX(Pagos_Odoo!$A:$A, MATCH(X377, Pagos_Odoo!$B:$B, 0)), ""))</f>
        <v/>
      </c>
      <c r="AA377" s="79">
        <f>IF(X377="Sin Pago","",IFERROR(INDEX(Pagos_Odoo!$F:$F, MATCH(X377, Pagos_Odoo!$B:$B, 0)), ""))</f>
        <v/>
      </c>
      <c r="AB377" s="81">
        <f>IF(X377="Sin Pago",0,IFERROR(INDEX(Pagos_Odoo!$E:$E, MATCH(X377, Pagos_Odoo!$B:$B, 0)), 0))</f>
        <v/>
      </c>
      <c r="AC377" s="79">
        <f>IF(X377="Sin Pago","",IFERROR(INDEX(Pagos_Odoo!$G:$G, MATCH(X377, Pagos_Odoo!$B:$B, 0)), ""))</f>
        <v/>
      </c>
      <c r="AD377" s="82" t="n">
        <v>0</v>
      </c>
      <c r="AE377" s="82" t="n"/>
      <c r="AF377" s="82" t="n"/>
      <c r="AG377" s="82">
        <f>IF(AN377="","",AD377+AE377+AF377)</f>
        <v/>
      </c>
      <c r="AH377" s="81">
        <f>IF(AN377="","",P377*(1-AG377))</f>
        <v/>
      </c>
      <c r="AI377" s="81">
        <f>IF(AN377="","",IF(Q377="Sin Factura",0,IFERROR(INDEX(Facturas_Odoo!$H:$H, MATCH(Q377, Facturas_Odoo!$B:$B, 0)), 0)*(1-AG377)))</f>
        <v/>
      </c>
      <c r="AJ377" s="81">
        <f>IF(AN377="","",_xlfn.LET(idVenta, AN377&amp;"",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77" s="81">
        <f>IF(AN377="","",AH377-AJ377)</f>
        <v/>
      </c>
      <c r="AL377" s="81">
        <f>IF(AN377="","",IF(Q377="Sin Factura","",AI377-AJ377))</f>
        <v/>
      </c>
      <c r="AM377" s="81">
        <f>IF(AN377="","",IF(Q377="Sin Factura",0,P377-IFERROR(INDEX(Facturas_Odoo!$H:$H, MATCH(Q377, Facturas_Odoo!$B:$B, 0)), 0)))</f>
        <v/>
      </c>
      <c r="AN377" s="79">
        <f>IF(AND(A377="", J377=""), "", IF(A377&lt;&gt;"", VALUE(MID(A377,2,LEN(A377))), AN376))</f>
        <v/>
      </c>
      <c r="AO377" s="79">
        <f>IF(AN377="","",IF(AD377=0,"OK",_xlfn.LET(monedaPago, IF(AA377="","USD",AA377), limitePermitido, IFERROR(VLOOKUP(monedaPago, Configuración!$A$2:$B$3, 2, FALSE), 0.15), IF(AD377&gt;limitePermitido, "ALERTA: EXCESO (" &amp; TEXT(limitePermitido, "0%") &amp; " máx)", "OK"))))</f>
        <v/>
      </c>
      <c r="AP377" s="79">
        <f>IF(AN377="","",IF(AE377=0,"OK",_xlfn.LET(fechaPago, Z377, fechaFactura, R377, diasCredito, IF(E377="Pago inmediato", 0, IFERROR(VALUE(MID(E377, 1, SEARCH(" ", E377)-1)),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77" s="79">
        <f>IF(AN377="","",IF(AND(N377&gt;0, AG377&gt;0), IF(Configuración!$K$2="NO", "ALERTA: DESCUENTO DOBLE NO PERMITIDO", "OK"), "OK"))</f>
        <v/>
      </c>
      <c r="AR377" s="79">
        <f>IF(AN377="","",IF(OR(AO377&lt;&gt;"OK", AP377&lt;&gt;"OK", AQ377&lt;&gt;"OK"), "⚠️ REVISAR", "OK"))</f>
        <v/>
      </c>
    </row>
    <row r="378">
      <c r="A378" s="79">
        <f>IF('Ordenes_Odoo'!A378="","",'Ordenes_Odoo'!A378)</f>
        <v/>
      </c>
      <c r="B378" s="80">
        <f>IF('Ordenes_Odoo'!B378="","",'Ordenes_Odoo'!B378)</f>
        <v/>
      </c>
      <c r="C378" s="79">
        <f>IF('Ordenes_Odoo'!C378="","",'Ordenes_Odoo'!C378)</f>
        <v/>
      </c>
      <c r="D378" s="79">
        <f>IF('Ordenes_Odoo'!D378="","",'Ordenes_Odoo'!D378)</f>
        <v/>
      </c>
      <c r="E378" s="79">
        <f>IF('Ordenes_Odoo'!E378="","",'Ordenes_Odoo'!E378)</f>
        <v/>
      </c>
      <c r="F378" s="79">
        <f>IF('Ordenes_Odoo'!F378="","",'Ordenes_Odoo'!F378)</f>
        <v/>
      </c>
      <c r="G378" s="79">
        <f>IF('Ordenes_Odoo'!G378="","",'Ordenes_Odoo'!G378)</f>
        <v/>
      </c>
      <c r="H378" s="79">
        <f>IF('Ordenes_Odoo'!H378="","",'Ordenes_Odoo'!H378)</f>
        <v/>
      </c>
      <c r="I378" s="79">
        <f>IF('Ordenes_Odoo'!I378="","",'Ordenes_Odoo'!I378)</f>
        <v/>
      </c>
      <c r="J378" s="79">
        <f>IF('Ordenes_Odoo'!J378="","",'Ordenes_Odoo'!J378)</f>
        <v/>
      </c>
      <c r="K378" s="81">
        <f>IF('Ordenes_Odoo'!K378="","",'Ordenes_Odoo'!K378)</f>
        <v/>
      </c>
      <c r="L378" s="81">
        <f>IF('Ordenes_Odoo'!L378="","",'Ordenes_Odoo'!L378)</f>
        <v/>
      </c>
      <c r="M378" s="79">
        <f>IF('Ordenes_Odoo'!M378="","",'Ordenes_Odoo'!M378)</f>
        <v/>
      </c>
      <c r="N378" s="79">
        <f>IF('Ordenes_Odoo'!N378="","",'Ordenes_Odoo'!N378)</f>
        <v/>
      </c>
      <c r="O378" s="81">
        <f>IF('Ordenes_Odoo'!O378="","",'Ordenes_Odoo'!O378)</f>
        <v/>
      </c>
      <c r="P378" s="81">
        <f>IF('Ordenes_Odoo'!P378="","",'Ordenes_Odoo'!P378)</f>
        <v/>
      </c>
      <c r="Q378" s="79">
        <f>IF(A378="","",IFERROR(INDEX(Facturas_Odoo!$B:$B, MATCH(A378, Facturas_Odoo!$D:$D, 0)), "Sin Factura"))</f>
        <v/>
      </c>
      <c r="R378" s="80">
        <f>IF(Q378="Sin Factura","",IFERROR(INDEX(Facturas_Odoo!$A:$A, MATCH(Q378, Facturas_Odoo!$B:$B, 0)), ""))</f>
        <v/>
      </c>
      <c r="S378" s="79">
        <f>IF(Q378="Sin Factura","",IFERROR(_xlfn.XLOOKUP(1, (Facturas_Odoo!$D:$D=A378) * (Facturas_Odoo!$K:$K=I378), Facturas_Odoo!$L:$L, ""), ""))</f>
        <v/>
      </c>
      <c r="T378" s="81">
        <f>IF(Q378="Sin Factura",0,IFERROR(_xlfn.XLOOKUP(1, (Facturas_Odoo!$D:$D=A378) * (Facturas_Odoo!$K:$K=I378), Facturas_Odoo!$M:$M, 0), 0))</f>
        <v/>
      </c>
      <c r="U378" s="79">
        <f>IF(Q378="Sin Factura",0,IFERROR(_xlfn.XLOOKUP(1, (Facturas_Odoo!$D:$D=A378) * (Facturas_Odoo!$K:$K=I378), Facturas_Odoo!$N:$N, 0), 0))</f>
        <v/>
      </c>
      <c r="V378" s="79">
        <f>IF(Q378="Sin Factura",0,IFERROR(_xlfn.XLOOKUP(1, (Facturas_Odoo!$D:$D=A378) * (Facturas_Odoo!$K:$K=I378), Facturas_Odoo!$O:$O, 0), 0))</f>
        <v/>
      </c>
      <c r="W378" s="81">
        <f>IF(Q378="Sin Factura",0,IFERROR(_xlfn.XLOOKUP(1, (Facturas_Odoo!$D:$D=A378) * (Facturas_Odoo!$K:$K=I378), Facturas_Odoo!$Q:$Q, 0), 0))</f>
        <v/>
      </c>
      <c r="X378" s="79">
        <f>IF(OR(Q378="Sin Factura",Q378=""),"",IFERROR(INDEX(Pagos_Odoo!$B:$B, MATCH(Q378, Pagos_Odoo!$I:$I, 0)), "Sin Pago"))</f>
        <v/>
      </c>
      <c r="Y378" s="79">
        <f>IF(X378="Sin Pago","",IFERROR(INDEX(Pagos_Odoo!$C:$C, MATCH(X378, Pagos_Odoo!$B:$B, 0)), ""))</f>
        <v/>
      </c>
      <c r="Z378" s="80">
        <f>IF(X378="Sin Pago","",IFERROR(INDEX(Pagos_Odoo!$A:$A, MATCH(X378, Pagos_Odoo!$B:$B, 0)), ""))</f>
        <v/>
      </c>
      <c r="AA378" s="79">
        <f>IF(X378="Sin Pago","",IFERROR(INDEX(Pagos_Odoo!$F:$F, MATCH(X378, Pagos_Odoo!$B:$B, 0)), ""))</f>
        <v/>
      </c>
      <c r="AB378" s="81">
        <f>IF(X378="Sin Pago",0,IFERROR(INDEX(Pagos_Odoo!$E:$E, MATCH(X378, Pagos_Odoo!$B:$B, 0)), 0))</f>
        <v/>
      </c>
      <c r="AC378" s="79">
        <f>IF(X378="Sin Pago","",IFERROR(INDEX(Pagos_Odoo!$G:$G, MATCH(X378, Pagos_Odoo!$B:$B, 0)), ""))</f>
        <v/>
      </c>
      <c r="AD378" s="82" t="n">
        <v>0</v>
      </c>
      <c r="AE378" s="82" t="n"/>
      <c r="AF378" s="82" t="n"/>
      <c r="AG378" s="82">
        <f>IF(AN378="","",AD378+AE378+AF378)</f>
        <v/>
      </c>
      <c r="AH378" s="81">
        <f>IF(AN378="","",P378*(1-AG378))</f>
        <v/>
      </c>
      <c r="AI378" s="81">
        <f>IF(AN378="","",IF(Q378="Sin Factura",0,IFERROR(INDEX(Facturas_Odoo!$H:$H, MATCH(Q378, Facturas_Odoo!$B:$B, 0)), 0)*(1-AG378)))</f>
        <v/>
      </c>
      <c r="AJ378" s="81">
        <f>IF(AN378="","",_xlfn.LET(idVenta, AN378&amp;"",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78" s="81">
        <f>IF(AN378="","",AH378-AJ378)</f>
        <v/>
      </c>
      <c r="AL378" s="81">
        <f>IF(AN378="","",IF(Q378="Sin Factura","",AI378-AJ378))</f>
        <v/>
      </c>
      <c r="AM378" s="81">
        <f>IF(AN378="","",IF(Q378="Sin Factura",0,P378-IFERROR(INDEX(Facturas_Odoo!$H:$H, MATCH(Q378, Facturas_Odoo!$B:$B, 0)), 0)))</f>
        <v/>
      </c>
      <c r="AN378" s="79">
        <f>IF(AND(A378="", J378=""), "", IF(A378&lt;&gt;"", VALUE(MID(A378,2,LEN(A378))), AN377))</f>
        <v/>
      </c>
      <c r="AO378" s="79">
        <f>IF(AN378="","",IF(AD378=0,"OK",_xlfn.LET(monedaPago, IF(AA378="","USD",AA378), limitePermitido, IFERROR(VLOOKUP(monedaPago, Configuración!$A$2:$B$3, 2, FALSE), 0.15), IF(AD378&gt;limitePermitido, "ALERTA: EXCESO (" &amp; TEXT(limitePermitido, "0%") &amp; " máx)", "OK"))))</f>
        <v/>
      </c>
      <c r="AP378" s="79">
        <f>IF(AN378="","",IF(AE378=0,"OK",_xlfn.LET(fechaPago, Z378, fechaFactura, R378, diasCredito, IF(E378="Pago inmediato", 0, IFERROR(VALUE(MID(E378, 1, SEARCH(" ", E378)-1)),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78" s="79">
        <f>IF(AN378="","",IF(AND(N378&gt;0, AG378&gt;0), IF(Configuración!$K$2="NO", "ALERTA: DESCUENTO DOBLE NO PERMITIDO", "OK"), "OK"))</f>
        <v/>
      </c>
      <c r="AR378" s="79">
        <f>IF(AN378="","",IF(OR(AO378&lt;&gt;"OK", AP378&lt;&gt;"OK", AQ378&lt;&gt;"OK"), "⚠️ REVISAR", "OK"))</f>
        <v/>
      </c>
    </row>
    <row r="379">
      <c r="A379" s="79">
        <f>IF('Ordenes_Odoo'!A379="","",'Ordenes_Odoo'!A379)</f>
        <v/>
      </c>
      <c r="B379" s="80">
        <f>IF('Ordenes_Odoo'!B379="","",'Ordenes_Odoo'!B379)</f>
        <v/>
      </c>
      <c r="C379" s="79">
        <f>IF('Ordenes_Odoo'!C379="","",'Ordenes_Odoo'!C379)</f>
        <v/>
      </c>
      <c r="D379" s="79">
        <f>IF('Ordenes_Odoo'!D379="","",'Ordenes_Odoo'!D379)</f>
        <v/>
      </c>
      <c r="E379" s="79">
        <f>IF('Ordenes_Odoo'!E379="","",'Ordenes_Odoo'!E379)</f>
        <v/>
      </c>
      <c r="F379" s="79">
        <f>IF('Ordenes_Odoo'!F379="","",'Ordenes_Odoo'!F379)</f>
        <v/>
      </c>
      <c r="G379" s="79">
        <f>IF('Ordenes_Odoo'!G379="","",'Ordenes_Odoo'!G379)</f>
        <v/>
      </c>
      <c r="H379" s="79">
        <f>IF('Ordenes_Odoo'!H379="","",'Ordenes_Odoo'!H379)</f>
        <v/>
      </c>
      <c r="I379" s="79">
        <f>IF('Ordenes_Odoo'!I379="","",'Ordenes_Odoo'!I379)</f>
        <v/>
      </c>
      <c r="J379" s="79">
        <f>IF('Ordenes_Odoo'!J379="","",'Ordenes_Odoo'!J379)</f>
        <v/>
      </c>
      <c r="K379" s="81">
        <f>IF('Ordenes_Odoo'!K379="","",'Ordenes_Odoo'!K379)</f>
        <v/>
      </c>
      <c r="L379" s="81">
        <f>IF('Ordenes_Odoo'!L379="","",'Ordenes_Odoo'!L379)</f>
        <v/>
      </c>
      <c r="M379" s="79">
        <f>IF('Ordenes_Odoo'!M379="","",'Ordenes_Odoo'!M379)</f>
        <v/>
      </c>
      <c r="N379" s="79">
        <f>IF('Ordenes_Odoo'!N379="","",'Ordenes_Odoo'!N379)</f>
        <v/>
      </c>
      <c r="O379" s="81">
        <f>IF('Ordenes_Odoo'!O379="","",'Ordenes_Odoo'!O379)</f>
        <v/>
      </c>
      <c r="P379" s="81">
        <f>IF('Ordenes_Odoo'!P379="","",'Ordenes_Odoo'!P379)</f>
        <v/>
      </c>
      <c r="Q379" s="79">
        <f>IF(A379="","",IFERROR(INDEX(Facturas_Odoo!$B:$B, MATCH(A379, Facturas_Odoo!$D:$D, 0)), "Sin Factura"))</f>
        <v/>
      </c>
      <c r="R379" s="80">
        <f>IF(Q379="Sin Factura","",IFERROR(INDEX(Facturas_Odoo!$A:$A, MATCH(Q379, Facturas_Odoo!$B:$B, 0)), ""))</f>
        <v/>
      </c>
      <c r="S379" s="79">
        <f>IF(Q379="Sin Factura","",IFERROR(_xlfn.XLOOKUP(1, (Facturas_Odoo!$D:$D=A379) * (Facturas_Odoo!$K:$K=I379), Facturas_Odoo!$L:$L, ""), ""))</f>
        <v/>
      </c>
      <c r="T379" s="81">
        <f>IF(Q379="Sin Factura",0,IFERROR(_xlfn.XLOOKUP(1, (Facturas_Odoo!$D:$D=A379) * (Facturas_Odoo!$K:$K=I379), Facturas_Odoo!$M:$M, 0), 0))</f>
        <v/>
      </c>
      <c r="U379" s="79">
        <f>IF(Q379="Sin Factura",0,IFERROR(_xlfn.XLOOKUP(1, (Facturas_Odoo!$D:$D=A379) * (Facturas_Odoo!$K:$K=I379), Facturas_Odoo!$N:$N, 0), 0))</f>
        <v/>
      </c>
      <c r="V379" s="79">
        <f>IF(Q379="Sin Factura",0,IFERROR(_xlfn.XLOOKUP(1, (Facturas_Odoo!$D:$D=A379) * (Facturas_Odoo!$K:$K=I379), Facturas_Odoo!$O:$O, 0), 0))</f>
        <v/>
      </c>
      <c r="W379" s="81">
        <f>IF(Q379="Sin Factura",0,IFERROR(_xlfn.XLOOKUP(1, (Facturas_Odoo!$D:$D=A379) * (Facturas_Odoo!$K:$K=I379), Facturas_Odoo!$Q:$Q, 0), 0))</f>
        <v/>
      </c>
      <c r="X379" s="79">
        <f>IF(OR(Q379="Sin Factura",Q379=""),"",IFERROR(INDEX(Pagos_Odoo!$B:$B, MATCH(Q379, Pagos_Odoo!$I:$I, 0)), "Sin Pago"))</f>
        <v/>
      </c>
      <c r="Y379" s="79">
        <f>IF(X379="Sin Pago","",IFERROR(INDEX(Pagos_Odoo!$C:$C, MATCH(X379, Pagos_Odoo!$B:$B, 0)), ""))</f>
        <v/>
      </c>
      <c r="Z379" s="80">
        <f>IF(X379="Sin Pago","",IFERROR(INDEX(Pagos_Odoo!$A:$A, MATCH(X379, Pagos_Odoo!$B:$B, 0)), ""))</f>
        <v/>
      </c>
      <c r="AA379" s="79">
        <f>IF(X379="Sin Pago","",IFERROR(INDEX(Pagos_Odoo!$F:$F, MATCH(X379, Pagos_Odoo!$B:$B, 0)), ""))</f>
        <v/>
      </c>
      <c r="AB379" s="81">
        <f>IF(X379="Sin Pago",0,IFERROR(INDEX(Pagos_Odoo!$E:$E, MATCH(X379, Pagos_Odoo!$B:$B, 0)), 0))</f>
        <v/>
      </c>
      <c r="AC379" s="79">
        <f>IF(X379="Sin Pago","",IFERROR(INDEX(Pagos_Odoo!$G:$G, MATCH(X379, Pagos_Odoo!$B:$B, 0)), ""))</f>
        <v/>
      </c>
      <c r="AD379" s="82" t="n">
        <v>0</v>
      </c>
      <c r="AE379" s="82" t="n"/>
      <c r="AF379" s="82" t="n"/>
      <c r="AG379" s="82">
        <f>IF(AN379="","",AD379+AE379+AF379)</f>
        <v/>
      </c>
      <c r="AH379" s="81">
        <f>IF(AN379="","",P379*(1-AG379))</f>
        <v/>
      </c>
      <c r="AI379" s="81">
        <f>IF(AN379="","",IF(Q379="Sin Factura",0,IFERROR(INDEX(Facturas_Odoo!$H:$H, MATCH(Q379, Facturas_Odoo!$B:$B, 0)), 0)*(1-AG379)))</f>
        <v/>
      </c>
      <c r="AJ379" s="81">
        <f>IF(AN379="","",_xlfn.LET(idVenta, AN379&amp;"",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79" s="81">
        <f>IF(AN379="","",AH379-AJ379)</f>
        <v/>
      </c>
      <c r="AL379" s="81">
        <f>IF(AN379="","",IF(Q379="Sin Factura","",AI379-AJ379))</f>
        <v/>
      </c>
      <c r="AM379" s="81">
        <f>IF(AN379="","",IF(Q379="Sin Factura",0,P379-IFERROR(INDEX(Facturas_Odoo!$H:$H, MATCH(Q379, Facturas_Odoo!$B:$B, 0)), 0)))</f>
        <v/>
      </c>
      <c r="AN379" s="79">
        <f>IF(AND(A379="", J379=""), "", IF(A379&lt;&gt;"", VALUE(MID(A379,2,LEN(A379))), AN378))</f>
        <v/>
      </c>
      <c r="AO379" s="79">
        <f>IF(AN379="","",IF(AD379=0,"OK",_xlfn.LET(monedaPago, IF(AA379="","USD",AA379), limitePermitido, IFERROR(VLOOKUP(monedaPago, Configuración!$A$2:$B$3, 2, FALSE), 0.15), IF(AD379&gt;limitePermitido, "ALERTA: EXCESO (" &amp; TEXT(limitePermitido, "0%") &amp; " máx)", "OK"))))</f>
        <v/>
      </c>
      <c r="AP379" s="79">
        <f>IF(AN379="","",IF(AE379=0,"OK",_xlfn.LET(fechaPago, Z379, fechaFactura, R379, diasCredito, IF(E379="Pago inmediato", 0, IFERROR(VALUE(MID(E379, 1, SEARCH(" ", E379)-1)),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79" s="79">
        <f>IF(AN379="","",IF(AND(N379&gt;0, AG379&gt;0), IF(Configuración!$K$2="NO", "ALERTA: DESCUENTO DOBLE NO PERMITIDO", "OK"), "OK"))</f>
        <v/>
      </c>
      <c r="AR379" s="79">
        <f>IF(AN379="","",IF(OR(AO379&lt;&gt;"OK", AP379&lt;&gt;"OK", AQ379&lt;&gt;"OK"), "⚠️ REVISAR", "OK"))</f>
        <v/>
      </c>
    </row>
    <row r="380">
      <c r="A380" s="79">
        <f>IF('Ordenes_Odoo'!A380="","",'Ordenes_Odoo'!A380)</f>
        <v/>
      </c>
      <c r="B380" s="80">
        <f>IF('Ordenes_Odoo'!B380="","",'Ordenes_Odoo'!B380)</f>
        <v/>
      </c>
      <c r="C380" s="79">
        <f>IF('Ordenes_Odoo'!C380="","",'Ordenes_Odoo'!C380)</f>
        <v/>
      </c>
      <c r="D380" s="79">
        <f>IF('Ordenes_Odoo'!D380="","",'Ordenes_Odoo'!D380)</f>
        <v/>
      </c>
      <c r="E380" s="79">
        <f>IF('Ordenes_Odoo'!E380="","",'Ordenes_Odoo'!E380)</f>
        <v/>
      </c>
      <c r="F380" s="79">
        <f>IF('Ordenes_Odoo'!F380="","",'Ordenes_Odoo'!F380)</f>
        <v/>
      </c>
      <c r="G380" s="79">
        <f>IF('Ordenes_Odoo'!G380="","",'Ordenes_Odoo'!G380)</f>
        <v/>
      </c>
      <c r="H380" s="79">
        <f>IF('Ordenes_Odoo'!H380="","",'Ordenes_Odoo'!H380)</f>
        <v/>
      </c>
      <c r="I380" s="79">
        <f>IF('Ordenes_Odoo'!I380="","",'Ordenes_Odoo'!I380)</f>
        <v/>
      </c>
      <c r="J380" s="79">
        <f>IF('Ordenes_Odoo'!J380="","",'Ordenes_Odoo'!J380)</f>
        <v/>
      </c>
      <c r="K380" s="81">
        <f>IF('Ordenes_Odoo'!K380="","",'Ordenes_Odoo'!K380)</f>
        <v/>
      </c>
      <c r="L380" s="81">
        <f>IF('Ordenes_Odoo'!L380="","",'Ordenes_Odoo'!L380)</f>
        <v/>
      </c>
      <c r="M380" s="79">
        <f>IF('Ordenes_Odoo'!M380="","",'Ordenes_Odoo'!M380)</f>
        <v/>
      </c>
      <c r="N380" s="79">
        <f>IF('Ordenes_Odoo'!N380="","",'Ordenes_Odoo'!N380)</f>
        <v/>
      </c>
      <c r="O380" s="81">
        <f>IF('Ordenes_Odoo'!O380="","",'Ordenes_Odoo'!O380)</f>
        <v/>
      </c>
      <c r="P380" s="81">
        <f>IF('Ordenes_Odoo'!P380="","",'Ordenes_Odoo'!P380)</f>
        <v/>
      </c>
      <c r="Q380" s="79">
        <f>IF(A380="","",IFERROR(INDEX(Facturas_Odoo!$B:$B, MATCH(A380, Facturas_Odoo!$D:$D, 0)), "Sin Factura"))</f>
        <v/>
      </c>
      <c r="R380" s="80">
        <f>IF(Q380="Sin Factura","",IFERROR(INDEX(Facturas_Odoo!$A:$A, MATCH(Q380, Facturas_Odoo!$B:$B, 0)), ""))</f>
        <v/>
      </c>
      <c r="S380" s="79">
        <f>IF(Q380="Sin Factura","",IFERROR(_xlfn.XLOOKUP(1, (Facturas_Odoo!$D:$D=A380) * (Facturas_Odoo!$K:$K=I380), Facturas_Odoo!$L:$L, ""), ""))</f>
        <v/>
      </c>
      <c r="T380" s="81">
        <f>IF(Q380="Sin Factura",0,IFERROR(_xlfn.XLOOKUP(1, (Facturas_Odoo!$D:$D=A380) * (Facturas_Odoo!$K:$K=I380), Facturas_Odoo!$M:$M, 0), 0))</f>
        <v/>
      </c>
      <c r="U380" s="79">
        <f>IF(Q380="Sin Factura",0,IFERROR(_xlfn.XLOOKUP(1, (Facturas_Odoo!$D:$D=A380) * (Facturas_Odoo!$K:$K=I380), Facturas_Odoo!$N:$N, 0), 0))</f>
        <v/>
      </c>
      <c r="V380" s="79">
        <f>IF(Q380="Sin Factura",0,IFERROR(_xlfn.XLOOKUP(1, (Facturas_Odoo!$D:$D=A380) * (Facturas_Odoo!$K:$K=I380), Facturas_Odoo!$O:$O, 0), 0))</f>
        <v/>
      </c>
      <c r="W380" s="81">
        <f>IF(Q380="Sin Factura",0,IFERROR(_xlfn.XLOOKUP(1, (Facturas_Odoo!$D:$D=A380) * (Facturas_Odoo!$K:$K=I380), Facturas_Odoo!$Q:$Q, 0), 0))</f>
        <v/>
      </c>
      <c r="X380" s="79">
        <f>IF(OR(Q380="Sin Factura",Q380=""),"",IFERROR(INDEX(Pagos_Odoo!$B:$B, MATCH(Q380, Pagos_Odoo!$I:$I, 0)), "Sin Pago"))</f>
        <v/>
      </c>
      <c r="Y380" s="79">
        <f>IF(X380="Sin Pago","",IFERROR(INDEX(Pagos_Odoo!$C:$C, MATCH(X380, Pagos_Odoo!$B:$B, 0)), ""))</f>
        <v/>
      </c>
      <c r="Z380" s="80">
        <f>IF(X380="Sin Pago","",IFERROR(INDEX(Pagos_Odoo!$A:$A, MATCH(X380, Pagos_Odoo!$B:$B, 0)), ""))</f>
        <v/>
      </c>
      <c r="AA380" s="79">
        <f>IF(X380="Sin Pago","",IFERROR(INDEX(Pagos_Odoo!$F:$F, MATCH(X380, Pagos_Odoo!$B:$B, 0)), ""))</f>
        <v/>
      </c>
      <c r="AB380" s="81">
        <f>IF(X380="Sin Pago",0,IFERROR(INDEX(Pagos_Odoo!$E:$E, MATCH(X380, Pagos_Odoo!$B:$B, 0)), 0))</f>
        <v/>
      </c>
      <c r="AC380" s="79">
        <f>IF(X380="Sin Pago","",IFERROR(INDEX(Pagos_Odoo!$G:$G, MATCH(X380, Pagos_Odoo!$B:$B, 0)), ""))</f>
        <v/>
      </c>
      <c r="AD380" s="82" t="n">
        <v>0</v>
      </c>
      <c r="AE380" s="82" t="n"/>
      <c r="AF380" s="82" t="n"/>
      <c r="AG380" s="82">
        <f>IF(AN380="","",AD380+AE380+AF380)</f>
        <v/>
      </c>
      <c r="AH380" s="81">
        <f>IF(AN380="","",P380*(1-AG380))</f>
        <v/>
      </c>
      <c r="AI380" s="81">
        <f>IF(AN380="","",IF(Q380="Sin Factura",0,IFERROR(INDEX(Facturas_Odoo!$H:$H, MATCH(Q380, Facturas_Odoo!$B:$B, 0)), 0)*(1-AG380)))</f>
        <v/>
      </c>
      <c r="AJ380" s="81">
        <f>IF(AN380="","",_xlfn.LET(idVenta, AN380&amp;"",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80" s="81">
        <f>IF(AN380="","",AH380-AJ380)</f>
        <v/>
      </c>
      <c r="AL380" s="81">
        <f>IF(AN380="","",IF(Q380="Sin Factura","",AI380-AJ380))</f>
        <v/>
      </c>
      <c r="AM380" s="81">
        <f>IF(AN380="","",IF(Q380="Sin Factura",0,P380-IFERROR(INDEX(Facturas_Odoo!$H:$H, MATCH(Q380, Facturas_Odoo!$B:$B, 0)), 0)))</f>
        <v/>
      </c>
      <c r="AN380" s="79">
        <f>IF(AND(A380="", J380=""), "", IF(A380&lt;&gt;"", VALUE(MID(A380,2,LEN(A380))), AN379))</f>
        <v/>
      </c>
      <c r="AO380" s="79">
        <f>IF(AN380="","",IF(AD380=0,"OK",_xlfn.LET(monedaPago, IF(AA380="","USD",AA380), limitePermitido, IFERROR(VLOOKUP(monedaPago, Configuración!$A$2:$B$3, 2, FALSE), 0.15), IF(AD380&gt;limitePermitido, "ALERTA: EXCESO (" &amp; TEXT(limitePermitido, "0%") &amp; " máx)", "OK"))))</f>
        <v/>
      </c>
      <c r="AP380" s="79">
        <f>IF(AN380="","",IF(AE380=0,"OK",_xlfn.LET(fechaPago, Z380, fechaFactura, R380, diasCredito, IF(E380="Pago inmediato", 0, IFERROR(VALUE(MID(E380, 1, SEARCH(" ", E380)-1)),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80" s="79">
        <f>IF(AN380="","",IF(AND(N380&gt;0, AG380&gt;0), IF(Configuración!$K$2="NO", "ALERTA: DESCUENTO DOBLE NO PERMITIDO", "OK"), "OK"))</f>
        <v/>
      </c>
      <c r="AR380" s="79">
        <f>IF(AN380="","",IF(OR(AO380&lt;&gt;"OK", AP380&lt;&gt;"OK", AQ380&lt;&gt;"OK"), "⚠️ REVISAR", "OK"))</f>
        <v/>
      </c>
    </row>
    <row r="381">
      <c r="A381" s="79">
        <f>IF('Ordenes_Odoo'!A381="","",'Ordenes_Odoo'!A381)</f>
        <v/>
      </c>
      <c r="B381" s="80">
        <f>IF('Ordenes_Odoo'!B381="","",'Ordenes_Odoo'!B381)</f>
        <v/>
      </c>
      <c r="C381" s="79">
        <f>IF('Ordenes_Odoo'!C381="","",'Ordenes_Odoo'!C381)</f>
        <v/>
      </c>
      <c r="D381" s="79">
        <f>IF('Ordenes_Odoo'!D381="","",'Ordenes_Odoo'!D381)</f>
        <v/>
      </c>
      <c r="E381" s="79">
        <f>IF('Ordenes_Odoo'!E381="","",'Ordenes_Odoo'!E381)</f>
        <v/>
      </c>
      <c r="F381" s="79">
        <f>IF('Ordenes_Odoo'!F381="","",'Ordenes_Odoo'!F381)</f>
        <v/>
      </c>
      <c r="G381" s="79">
        <f>IF('Ordenes_Odoo'!G381="","",'Ordenes_Odoo'!G381)</f>
        <v/>
      </c>
      <c r="H381" s="79">
        <f>IF('Ordenes_Odoo'!H381="","",'Ordenes_Odoo'!H381)</f>
        <v/>
      </c>
      <c r="I381" s="79">
        <f>IF('Ordenes_Odoo'!I381="","",'Ordenes_Odoo'!I381)</f>
        <v/>
      </c>
      <c r="J381" s="79">
        <f>IF('Ordenes_Odoo'!J381="","",'Ordenes_Odoo'!J381)</f>
        <v/>
      </c>
      <c r="K381" s="81">
        <f>IF('Ordenes_Odoo'!K381="","",'Ordenes_Odoo'!K381)</f>
        <v/>
      </c>
      <c r="L381" s="81">
        <f>IF('Ordenes_Odoo'!L381="","",'Ordenes_Odoo'!L381)</f>
        <v/>
      </c>
      <c r="M381" s="79">
        <f>IF('Ordenes_Odoo'!M381="","",'Ordenes_Odoo'!M381)</f>
        <v/>
      </c>
      <c r="N381" s="79">
        <f>IF('Ordenes_Odoo'!N381="","",'Ordenes_Odoo'!N381)</f>
        <v/>
      </c>
      <c r="O381" s="81">
        <f>IF('Ordenes_Odoo'!O381="","",'Ordenes_Odoo'!O381)</f>
        <v/>
      </c>
      <c r="P381" s="81">
        <f>IF('Ordenes_Odoo'!P381="","",'Ordenes_Odoo'!P381)</f>
        <v/>
      </c>
      <c r="Q381" s="79">
        <f>IF(A381="","",IFERROR(INDEX(Facturas_Odoo!$B:$B, MATCH(A381, Facturas_Odoo!$D:$D, 0)), "Sin Factura"))</f>
        <v/>
      </c>
      <c r="R381" s="80">
        <f>IF(Q381="Sin Factura","",IFERROR(INDEX(Facturas_Odoo!$A:$A, MATCH(Q381, Facturas_Odoo!$B:$B, 0)), ""))</f>
        <v/>
      </c>
      <c r="S381" s="79">
        <f>IF(Q381="Sin Factura","",IFERROR(_xlfn.XLOOKUP(1, (Facturas_Odoo!$D:$D=A381) * (Facturas_Odoo!$K:$K=I381), Facturas_Odoo!$L:$L, ""), ""))</f>
        <v/>
      </c>
      <c r="T381" s="81">
        <f>IF(Q381="Sin Factura",0,IFERROR(_xlfn.XLOOKUP(1, (Facturas_Odoo!$D:$D=A381) * (Facturas_Odoo!$K:$K=I381), Facturas_Odoo!$M:$M, 0), 0))</f>
        <v/>
      </c>
      <c r="U381" s="79">
        <f>IF(Q381="Sin Factura",0,IFERROR(_xlfn.XLOOKUP(1, (Facturas_Odoo!$D:$D=A381) * (Facturas_Odoo!$K:$K=I381), Facturas_Odoo!$N:$N, 0), 0))</f>
        <v/>
      </c>
      <c r="V381" s="79">
        <f>IF(Q381="Sin Factura",0,IFERROR(_xlfn.XLOOKUP(1, (Facturas_Odoo!$D:$D=A381) * (Facturas_Odoo!$K:$K=I381), Facturas_Odoo!$O:$O, 0), 0))</f>
        <v/>
      </c>
      <c r="W381" s="81">
        <f>IF(Q381="Sin Factura",0,IFERROR(_xlfn.XLOOKUP(1, (Facturas_Odoo!$D:$D=A381) * (Facturas_Odoo!$K:$K=I381), Facturas_Odoo!$Q:$Q, 0), 0))</f>
        <v/>
      </c>
      <c r="X381" s="79">
        <f>IF(OR(Q381="Sin Factura",Q381=""),"",IFERROR(INDEX(Pagos_Odoo!$B:$B, MATCH(Q381, Pagos_Odoo!$I:$I, 0)), "Sin Pago"))</f>
        <v/>
      </c>
      <c r="Y381" s="79">
        <f>IF(X381="Sin Pago","",IFERROR(INDEX(Pagos_Odoo!$C:$C, MATCH(X381, Pagos_Odoo!$B:$B, 0)), ""))</f>
        <v/>
      </c>
      <c r="Z381" s="80">
        <f>IF(X381="Sin Pago","",IFERROR(INDEX(Pagos_Odoo!$A:$A, MATCH(X381, Pagos_Odoo!$B:$B, 0)), ""))</f>
        <v/>
      </c>
      <c r="AA381" s="79">
        <f>IF(X381="Sin Pago","",IFERROR(INDEX(Pagos_Odoo!$F:$F, MATCH(X381, Pagos_Odoo!$B:$B, 0)), ""))</f>
        <v/>
      </c>
      <c r="AB381" s="81">
        <f>IF(X381="Sin Pago",0,IFERROR(INDEX(Pagos_Odoo!$E:$E, MATCH(X381, Pagos_Odoo!$B:$B, 0)), 0))</f>
        <v/>
      </c>
      <c r="AC381" s="79">
        <f>IF(X381="Sin Pago","",IFERROR(INDEX(Pagos_Odoo!$G:$G, MATCH(X381, Pagos_Odoo!$B:$B, 0)), ""))</f>
        <v/>
      </c>
      <c r="AD381" s="82" t="n">
        <v>0</v>
      </c>
      <c r="AE381" s="82" t="n"/>
      <c r="AF381" s="82" t="n"/>
      <c r="AG381" s="82">
        <f>IF(AN381="","",AD381+AE381+AF381)</f>
        <v/>
      </c>
      <c r="AH381" s="81">
        <f>IF(AN381="","",P381*(1-AG381))</f>
        <v/>
      </c>
      <c r="AI381" s="81">
        <f>IF(AN381="","",IF(Q381="Sin Factura",0,IFERROR(INDEX(Facturas_Odoo!$H:$H, MATCH(Q381, Facturas_Odoo!$B:$B, 0)), 0)*(1-AG381)))</f>
        <v/>
      </c>
      <c r="AJ381" s="81">
        <f>IF(AN381="","",_xlfn.LET(idVenta, AN381&amp;"",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81" s="81">
        <f>IF(AN381="","",AH381-AJ381)</f>
        <v/>
      </c>
      <c r="AL381" s="81">
        <f>IF(AN381="","",IF(Q381="Sin Factura","",AI381-AJ381))</f>
        <v/>
      </c>
      <c r="AM381" s="81">
        <f>IF(AN381="","",IF(Q381="Sin Factura",0,P381-IFERROR(INDEX(Facturas_Odoo!$H:$H, MATCH(Q381, Facturas_Odoo!$B:$B, 0)), 0)))</f>
        <v/>
      </c>
      <c r="AN381" s="79">
        <f>IF(AND(A381="", J381=""), "", IF(A381&lt;&gt;"", VALUE(MID(A381,2,LEN(A381))), AN380))</f>
        <v/>
      </c>
      <c r="AO381" s="79">
        <f>IF(AN381="","",IF(AD381=0,"OK",_xlfn.LET(monedaPago, IF(AA381="","USD",AA381), limitePermitido, IFERROR(VLOOKUP(monedaPago, Configuración!$A$2:$B$3, 2, FALSE), 0.15), IF(AD381&gt;limitePermitido, "ALERTA: EXCESO (" &amp; TEXT(limitePermitido, "0%") &amp; " máx)", "OK"))))</f>
        <v/>
      </c>
      <c r="AP381" s="79">
        <f>IF(AN381="","",IF(AE381=0,"OK",_xlfn.LET(fechaPago, Z381, fechaFactura, R381, diasCredito, IF(E381="Pago inmediato", 0, IFERROR(VALUE(MID(E381, 1, SEARCH(" ", E381)-1)),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81" s="79">
        <f>IF(AN381="","",IF(AND(N381&gt;0, AG381&gt;0), IF(Configuración!$K$2="NO", "ALERTA: DESCUENTO DOBLE NO PERMITIDO", "OK"), "OK"))</f>
        <v/>
      </c>
      <c r="AR381" s="79">
        <f>IF(AN381="","",IF(OR(AO381&lt;&gt;"OK", AP381&lt;&gt;"OK", AQ381&lt;&gt;"OK"), "⚠️ REVISAR", "OK"))</f>
        <v/>
      </c>
    </row>
    <row r="382">
      <c r="A382" s="79">
        <f>IF('Ordenes_Odoo'!A382="","",'Ordenes_Odoo'!A382)</f>
        <v/>
      </c>
      <c r="B382" s="80">
        <f>IF('Ordenes_Odoo'!B382="","",'Ordenes_Odoo'!B382)</f>
        <v/>
      </c>
      <c r="C382" s="79">
        <f>IF('Ordenes_Odoo'!C382="","",'Ordenes_Odoo'!C382)</f>
        <v/>
      </c>
      <c r="D382" s="79">
        <f>IF('Ordenes_Odoo'!D382="","",'Ordenes_Odoo'!D382)</f>
        <v/>
      </c>
      <c r="E382" s="79">
        <f>IF('Ordenes_Odoo'!E382="","",'Ordenes_Odoo'!E382)</f>
        <v/>
      </c>
      <c r="F382" s="79">
        <f>IF('Ordenes_Odoo'!F382="","",'Ordenes_Odoo'!F382)</f>
        <v/>
      </c>
      <c r="G382" s="79">
        <f>IF('Ordenes_Odoo'!G382="","",'Ordenes_Odoo'!G382)</f>
        <v/>
      </c>
      <c r="H382" s="79">
        <f>IF('Ordenes_Odoo'!H382="","",'Ordenes_Odoo'!H382)</f>
        <v/>
      </c>
      <c r="I382" s="79">
        <f>IF('Ordenes_Odoo'!I382="","",'Ordenes_Odoo'!I382)</f>
        <v/>
      </c>
      <c r="J382" s="79">
        <f>IF('Ordenes_Odoo'!J382="","",'Ordenes_Odoo'!J382)</f>
        <v/>
      </c>
      <c r="K382" s="81">
        <f>IF('Ordenes_Odoo'!K382="","",'Ordenes_Odoo'!K382)</f>
        <v/>
      </c>
      <c r="L382" s="81">
        <f>IF('Ordenes_Odoo'!L382="","",'Ordenes_Odoo'!L382)</f>
        <v/>
      </c>
      <c r="M382" s="79">
        <f>IF('Ordenes_Odoo'!M382="","",'Ordenes_Odoo'!M382)</f>
        <v/>
      </c>
      <c r="N382" s="79">
        <f>IF('Ordenes_Odoo'!N382="","",'Ordenes_Odoo'!N382)</f>
        <v/>
      </c>
      <c r="O382" s="81">
        <f>IF('Ordenes_Odoo'!O382="","",'Ordenes_Odoo'!O382)</f>
        <v/>
      </c>
      <c r="P382" s="81">
        <f>IF('Ordenes_Odoo'!P382="","",'Ordenes_Odoo'!P382)</f>
        <v/>
      </c>
      <c r="Q382" s="79">
        <f>IF(A382="","",IFERROR(INDEX(Facturas_Odoo!$B:$B, MATCH(A382, Facturas_Odoo!$D:$D, 0)), "Sin Factura"))</f>
        <v/>
      </c>
      <c r="R382" s="80">
        <f>IF(Q382="Sin Factura","",IFERROR(INDEX(Facturas_Odoo!$A:$A, MATCH(Q382, Facturas_Odoo!$B:$B, 0)), ""))</f>
        <v/>
      </c>
      <c r="S382" s="79">
        <f>IF(Q382="Sin Factura","",IFERROR(_xlfn.XLOOKUP(1, (Facturas_Odoo!$D:$D=A382) * (Facturas_Odoo!$K:$K=I382), Facturas_Odoo!$L:$L, ""), ""))</f>
        <v/>
      </c>
      <c r="T382" s="81">
        <f>IF(Q382="Sin Factura",0,IFERROR(_xlfn.XLOOKUP(1, (Facturas_Odoo!$D:$D=A382) * (Facturas_Odoo!$K:$K=I382), Facturas_Odoo!$M:$M, 0), 0))</f>
        <v/>
      </c>
      <c r="U382" s="79">
        <f>IF(Q382="Sin Factura",0,IFERROR(_xlfn.XLOOKUP(1, (Facturas_Odoo!$D:$D=A382) * (Facturas_Odoo!$K:$K=I382), Facturas_Odoo!$N:$N, 0), 0))</f>
        <v/>
      </c>
      <c r="V382" s="79">
        <f>IF(Q382="Sin Factura",0,IFERROR(_xlfn.XLOOKUP(1, (Facturas_Odoo!$D:$D=A382) * (Facturas_Odoo!$K:$K=I382), Facturas_Odoo!$O:$O, 0), 0))</f>
        <v/>
      </c>
      <c r="W382" s="81">
        <f>IF(Q382="Sin Factura",0,IFERROR(_xlfn.XLOOKUP(1, (Facturas_Odoo!$D:$D=A382) * (Facturas_Odoo!$K:$K=I382), Facturas_Odoo!$Q:$Q, 0), 0))</f>
        <v/>
      </c>
      <c r="X382" s="79">
        <f>IF(OR(Q382="Sin Factura",Q382=""),"",IFERROR(INDEX(Pagos_Odoo!$B:$B, MATCH(Q382, Pagos_Odoo!$I:$I, 0)), "Sin Pago"))</f>
        <v/>
      </c>
      <c r="Y382" s="79">
        <f>IF(X382="Sin Pago","",IFERROR(INDEX(Pagos_Odoo!$C:$C, MATCH(X382, Pagos_Odoo!$B:$B, 0)), ""))</f>
        <v/>
      </c>
      <c r="Z382" s="80">
        <f>IF(X382="Sin Pago","",IFERROR(INDEX(Pagos_Odoo!$A:$A, MATCH(X382, Pagos_Odoo!$B:$B, 0)), ""))</f>
        <v/>
      </c>
      <c r="AA382" s="79">
        <f>IF(X382="Sin Pago","",IFERROR(INDEX(Pagos_Odoo!$F:$F, MATCH(X382, Pagos_Odoo!$B:$B, 0)), ""))</f>
        <v/>
      </c>
      <c r="AB382" s="81">
        <f>IF(X382="Sin Pago",0,IFERROR(INDEX(Pagos_Odoo!$E:$E, MATCH(X382, Pagos_Odoo!$B:$B, 0)), 0))</f>
        <v/>
      </c>
      <c r="AC382" s="79">
        <f>IF(X382="Sin Pago","",IFERROR(INDEX(Pagos_Odoo!$G:$G, MATCH(X382, Pagos_Odoo!$B:$B, 0)), ""))</f>
        <v/>
      </c>
      <c r="AD382" s="82" t="n">
        <v>0</v>
      </c>
      <c r="AE382" s="82" t="n"/>
      <c r="AF382" s="82" t="n"/>
      <c r="AG382" s="82">
        <f>IF(AN382="","",AD382+AE382+AF382)</f>
        <v/>
      </c>
      <c r="AH382" s="81">
        <f>IF(AN382="","",P382*(1-AG382))</f>
        <v/>
      </c>
      <c r="AI382" s="81">
        <f>IF(AN382="","",IF(Q382="Sin Factura",0,IFERROR(INDEX(Facturas_Odoo!$H:$H, MATCH(Q382, Facturas_Odoo!$B:$B, 0)), 0)*(1-AG382)))</f>
        <v/>
      </c>
      <c r="AJ382" s="81">
        <f>IF(AN382="","",_xlfn.LET(idVenta, AN382&amp;"",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82" s="81">
        <f>IF(AN382="","",AH382-AJ382)</f>
        <v/>
      </c>
      <c r="AL382" s="81">
        <f>IF(AN382="","",IF(Q382="Sin Factura","",AI382-AJ382))</f>
        <v/>
      </c>
      <c r="AM382" s="81">
        <f>IF(AN382="","",IF(Q382="Sin Factura",0,P382-IFERROR(INDEX(Facturas_Odoo!$H:$H, MATCH(Q382, Facturas_Odoo!$B:$B, 0)), 0)))</f>
        <v/>
      </c>
      <c r="AN382" s="79">
        <f>IF(AND(A382="", J382=""), "", IF(A382&lt;&gt;"", VALUE(MID(A382,2,LEN(A382))), AN381))</f>
        <v/>
      </c>
      <c r="AO382" s="79">
        <f>IF(AN382="","",IF(AD382=0,"OK",_xlfn.LET(monedaPago, IF(AA382="","USD",AA382), limitePermitido, IFERROR(VLOOKUP(monedaPago, Configuración!$A$2:$B$3, 2, FALSE), 0.15), IF(AD382&gt;limitePermitido, "ALERTA: EXCESO (" &amp; TEXT(limitePermitido, "0%") &amp; " máx)", "OK"))))</f>
        <v/>
      </c>
      <c r="AP382" s="79">
        <f>IF(AN382="","",IF(AE382=0,"OK",_xlfn.LET(fechaPago, Z382, fechaFactura, R382, diasCredito, IF(E382="Pago inmediato", 0, IFERROR(VALUE(MID(E382, 1, SEARCH(" ", E382)-1)),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82" s="79">
        <f>IF(AN382="","",IF(AND(N382&gt;0, AG382&gt;0), IF(Configuración!$K$2="NO", "ALERTA: DESCUENTO DOBLE NO PERMITIDO", "OK"), "OK"))</f>
        <v/>
      </c>
      <c r="AR382" s="79">
        <f>IF(AN382="","",IF(OR(AO382&lt;&gt;"OK", AP382&lt;&gt;"OK", AQ382&lt;&gt;"OK"), "⚠️ REVISAR", "OK"))</f>
        <v/>
      </c>
    </row>
    <row r="383">
      <c r="A383" s="79">
        <f>IF('Ordenes_Odoo'!A383="","",'Ordenes_Odoo'!A383)</f>
        <v/>
      </c>
      <c r="B383" s="80">
        <f>IF('Ordenes_Odoo'!B383="","",'Ordenes_Odoo'!B383)</f>
        <v/>
      </c>
      <c r="C383" s="79">
        <f>IF('Ordenes_Odoo'!C383="","",'Ordenes_Odoo'!C383)</f>
        <v/>
      </c>
      <c r="D383" s="79">
        <f>IF('Ordenes_Odoo'!D383="","",'Ordenes_Odoo'!D383)</f>
        <v/>
      </c>
      <c r="E383" s="79">
        <f>IF('Ordenes_Odoo'!E383="","",'Ordenes_Odoo'!E383)</f>
        <v/>
      </c>
      <c r="F383" s="79">
        <f>IF('Ordenes_Odoo'!F383="","",'Ordenes_Odoo'!F383)</f>
        <v/>
      </c>
      <c r="G383" s="79">
        <f>IF('Ordenes_Odoo'!G383="","",'Ordenes_Odoo'!G383)</f>
        <v/>
      </c>
      <c r="H383" s="79">
        <f>IF('Ordenes_Odoo'!H383="","",'Ordenes_Odoo'!H383)</f>
        <v/>
      </c>
      <c r="I383" s="79">
        <f>IF('Ordenes_Odoo'!I383="","",'Ordenes_Odoo'!I383)</f>
        <v/>
      </c>
      <c r="J383" s="79">
        <f>IF('Ordenes_Odoo'!J383="","",'Ordenes_Odoo'!J383)</f>
        <v/>
      </c>
      <c r="K383" s="81">
        <f>IF('Ordenes_Odoo'!K383="","",'Ordenes_Odoo'!K383)</f>
        <v/>
      </c>
      <c r="L383" s="81">
        <f>IF('Ordenes_Odoo'!L383="","",'Ordenes_Odoo'!L383)</f>
        <v/>
      </c>
      <c r="M383" s="79">
        <f>IF('Ordenes_Odoo'!M383="","",'Ordenes_Odoo'!M383)</f>
        <v/>
      </c>
      <c r="N383" s="79">
        <f>IF('Ordenes_Odoo'!N383="","",'Ordenes_Odoo'!N383)</f>
        <v/>
      </c>
      <c r="O383" s="81">
        <f>IF('Ordenes_Odoo'!O383="","",'Ordenes_Odoo'!O383)</f>
        <v/>
      </c>
      <c r="P383" s="81">
        <f>IF('Ordenes_Odoo'!P383="","",'Ordenes_Odoo'!P383)</f>
        <v/>
      </c>
      <c r="Q383" s="79">
        <f>IF(A383="","",IFERROR(INDEX(Facturas_Odoo!$B:$B, MATCH(A383, Facturas_Odoo!$D:$D, 0)), "Sin Factura"))</f>
        <v/>
      </c>
      <c r="R383" s="80">
        <f>IF(Q383="Sin Factura","",IFERROR(INDEX(Facturas_Odoo!$A:$A, MATCH(Q383, Facturas_Odoo!$B:$B, 0)), ""))</f>
        <v/>
      </c>
      <c r="S383" s="79">
        <f>IF(Q383="Sin Factura","",IFERROR(_xlfn.XLOOKUP(1, (Facturas_Odoo!$D:$D=A383) * (Facturas_Odoo!$K:$K=I383), Facturas_Odoo!$L:$L, ""), ""))</f>
        <v/>
      </c>
      <c r="T383" s="81">
        <f>IF(Q383="Sin Factura",0,IFERROR(_xlfn.XLOOKUP(1, (Facturas_Odoo!$D:$D=A383) * (Facturas_Odoo!$K:$K=I383), Facturas_Odoo!$M:$M, 0), 0))</f>
        <v/>
      </c>
      <c r="U383" s="79">
        <f>IF(Q383="Sin Factura",0,IFERROR(_xlfn.XLOOKUP(1, (Facturas_Odoo!$D:$D=A383) * (Facturas_Odoo!$K:$K=I383), Facturas_Odoo!$N:$N, 0), 0))</f>
        <v/>
      </c>
      <c r="V383" s="79">
        <f>IF(Q383="Sin Factura",0,IFERROR(_xlfn.XLOOKUP(1, (Facturas_Odoo!$D:$D=A383) * (Facturas_Odoo!$K:$K=I383), Facturas_Odoo!$O:$O, 0), 0))</f>
        <v/>
      </c>
      <c r="W383" s="81">
        <f>IF(Q383="Sin Factura",0,IFERROR(_xlfn.XLOOKUP(1, (Facturas_Odoo!$D:$D=A383) * (Facturas_Odoo!$K:$K=I383), Facturas_Odoo!$Q:$Q, 0), 0))</f>
        <v/>
      </c>
      <c r="X383" s="79">
        <f>IF(OR(Q383="Sin Factura",Q383=""),"",IFERROR(INDEX(Pagos_Odoo!$B:$B, MATCH(Q383, Pagos_Odoo!$I:$I, 0)), "Sin Pago"))</f>
        <v/>
      </c>
      <c r="Y383" s="79">
        <f>IF(X383="Sin Pago","",IFERROR(INDEX(Pagos_Odoo!$C:$C, MATCH(X383, Pagos_Odoo!$B:$B, 0)), ""))</f>
        <v/>
      </c>
      <c r="Z383" s="80">
        <f>IF(X383="Sin Pago","",IFERROR(INDEX(Pagos_Odoo!$A:$A, MATCH(X383, Pagos_Odoo!$B:$B, 0)), ""))</f>
        <v/>
      </c>
      <c r="AA383" s="79">
        <f>IF(X383="Sin Pago","",IFERROR(INDEX(Pagos_Odoo!$F:$F, MATCH(X383, Pagos_Odoo!$B:$B, 0)), ""))</f>
        <v/>
      </c>
      <c r="AB383" s="81">
        <f>IF(X383="Sin Pago",0,IFERROR(INDEX(Pagos_Odoo!$E:$E, MATCH(X383, Pagos_Odoo!$B:$B, 0)), 0))</f>
        <v/>
      </c>
      <c r="AC383" s="79">
        <f>IF(X383="Sin Pago","",IFERROR(INDEX(Pagos_Odoo!$G:$G, MATCH(X383, Pagos_Odoo!$B:$B, 0)), ""))</f>
        <v/>
      </c>
      <c r="AD383" s="82" t="n">
        <v>0</v>
      </c>
      <c r="AE383" s="82" t="n"/>
      <c r="AF383" s="82" t="n"/>
      <c r="AG383" s="82">
        <f>IF(AN383="","",AD383+AE383+AF383)</f>
        <v/>
      </c>
      <c r="AH383" s="81">
        <f>IF(AN383="","",P383*(1-AG383))</f>
        <v/>
      </c>
      <c r="AI383" s="81">
        <f>IF(AN383="","",IF(Q383="Sin Factura",0,IFERROR(INDEX(Facturas_Odoo!$H:$H, MATCH(Q383, Facturas_Odoo!$B:$B, 0)), 0)*(1-AG383)))</f>
        <v/>
      </c>
      <c r="AJ383" s="81">
        <f>IF(AN383="","",_xlfn.LET(idVenta, AN383&amp;"",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83" s="81">
        <f>IF(AN383="","",AH383-AJ383)</f>
        <v/>
      </c>
      <c r="AL383" s="81">
        <f>IF(AN383="","",IF(Q383="Sin Factura","",AI383-AJ383))</f>
        <v/>
      </c>
      <c r="AM383" s="81">
        <f>IF(AN383="","",IF(Q383="Sin Factura",0,P383-IFERROR(INDEX(Facturas_Odoo!$H:$H, MATCH(Q383, Facturas_Odoo!$B:$B, 0)), 0)))</f>
        <v/>
      </c>
      <c r="AN383" s="79">
        <f>IF(AND(A383="", J383=""), "", IF(A383&lt;&gt;"", VALUE(MID(A383,2,LEN(A383))), AN382))</f>
        <v/>
      </c>
      <c r="AO383" s="79">
        <f>IF(AN383="","",IF(AD383=0,"OK",_xlfn.LET(monedaPago, IF(AA383="","USD",AA383), limitePermitido, IFERROR(VLOOKUP(monedaPago, Configuración!$A$2:$B$3, 2, FALSE), 0.15), IF(AD383&gt;limitePermitido, "ALERTA: EXCESO (" &amp; TEXT(limitePermitido, "0%") &amp; " máx)", "OK"))))</f>
        <v/>
      </c>
      <c r="AP383" s="79">
        <f>IF(AN383="","",IF(AE383=0,"OK",_xlfn.LET(fechaPago, Z383, fechaFactura, R383, diasCredito, IF(E383="Pago inmediato", 0, IFERROR(VALUE(MID(E383, 1, SEARCH(" ", E383)-1)),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83" s="79">
        <f>IF(AN383="","",IF(AND(N383&gt;0, AG383&gt;0), IF(Configuración!$K$2="NO", "ALERTA: DESCUENTO DOBLE NO PERMITIDO", "OK"), "OK"))</f>
        <v/>
      </c>
      <c r="AR383" s="79">
        <f>IF(AN383="","",IF(OR(AO383&lt;&gt;"OK", AP383&lt;&gt;"OK", AQ383&lt;&gt;"OK"), "⚠️ REVISAR", "OK"))</f>
        <v/>
      </c>
    </row>
    <row r="384">
      <c r="A384" s="79">
        <f>IF('Ordenes_Odoo'!A384="","",'Ordenes_Odoo'!A384)</f>
        <v/>
      </c>
      <c r="B384" s="80">
        <f>IF('Ordenes_Odoo'!B384="","",'Ordenes_Odoo'!B384)</f>
        <v/>
      </c>
      <c r="C384" s="79">
        <f>IF('Ordenes_Odoo'!C384="","",'Ordenes_Odoo'!C384)</f>
        <v/>
      </c>
      <c r="D384" s="79">
        <f>IF('Ordenes_Odoo'!D384="","",'Ordenes_Odoo'!D384)</f>
        <v/>
      </c>
      <c r="E384" s="79">
        <f>IF('Ordenes_Odoo'!E384="","",'Ordenes_Odoo'!E384)</f>
        <v/>
      </c>
      <c r="F384" s="79">
        <f>IF('Ordenes_Odoo'!F384="","",'Ordenes_Odoo'!F384)</f>
        <v/>
      </c>
      <c r="G384" s="79">
        <f>IF('Ordenes_Odoo'!G384="","",'Ordenes_Odoo'!G384)</f>
        <v/>
      </c>
      <c r="H384" s="79">
        <f>IF('Ordenes_Odoo'!H384="","",'Ordenes_Odoo'!H384)</f>
        <v/>
      </c>
      <c r="I384" s="79">
        <f>IF('Ordenes_Odoo'!I384="","",'Ordenes_Odoo'!I384)</f>
        <v/>
      </c>
      <c r="J384" s="79">
        <f>IF('Ordenes_Odoo'!J384="","",'Ordenes_Odoo'!J384)</f>
        <v/>
      </c>
      <c r="K384" s="81">
        <f>IF('Ordenes_Odoo'!K384="","",'Ordenes_Odoo'!K384)</f>
        <v/>
      </c>
      <c r="L384" s="81">
        <f>IF('Ordenes_Odoo'!L384="","",'Ordenes_Odoo'!L384)</f>
        <v/>
      </c>
      <c r="M384" s="79">
        <f>IF('Ordenes_Odoo'!M384="","",'Ordenes_Odoo'!M384)</f>
        <v/>
      </c>
      <c r="N384" s="79">
        <f>IF('Ordenes_Odoo'!N384="","",'Ordenes_Odoo'!N384)</f>
        <v/>
      </c>
      <c r="O384" s="81">
        <f>IF('Ordenes_Odoo'!O384="","",'Ordenes_Odoo'!O384)</f>
        <v/>
      </c>
      <c r="P384" s="81">
        <f>IF('Ordenes_Odoo'!P384="","",'Ordenes_Odoo'!P384)</f>
        <v/>
      </c>
      <c r="Q384" s="79">
        <f>IF(A384="","",IFERROR(INDEX(Facturas_Odoo!$B:$B, MATCH(A384, Facturas_Odoo!$D:$D, 0)), "Sin Factura"))</f>
        <v/>
      </c>
      <c r="R384" s="80">
        <f>IF(Q384="Sin Factura","",IFERROR(INDEX(Facturas_Odoo!$A:$A, MATCH(Q384, Facturas_Odoo!$B:$B, 0)), ""))</f>
        <v/>
      </c>
      <c r="S384" s="79">
        <f>IF(Q384="Sin Factura","",IFERROR(_xlfn.XLOOKUP(1, (Facturas_Odoo!$D:$D=A384) * (Facturas_Odoo!$K:$K=I384), Facturas_Odoo!$L:$L, ""), ""))</f>
        <v/>
      </c>
      <c r="T384" s="81">
        <f>IF(Q384="Sin Factura",0,IFERROR(_xlfn.XLOOKUP(1, (Facturas_Odoo!$D:$D=A384) * (Facturas_Odoo!$K:$K=I384), Facturas_Odoo!$M:$M, 0), 0))</f>
        <v/>
      </c>
      <c r="U384" s="79">
        <f>IF(Q384="Sin Factura",0,IFERROR(_xlfn.XLOOKUP(1, (Facturas_Odoo!$D:$D=A384) * (Facturas_Odoo!$K:$K=I384), Facturas_Odoo!$N:$N, 0), 0))</f>
        <v/>
      </c>
      <c r="V384" s="79">
        <f>IF(Q384="Sin Factura",0,IFERROR(_xlfn.XLOOKUP(1, (Facturas_Odoo!$D:$D=A384) * (Facturas_Odoo!$K:$K=I384), Facturas_Odoo!$O:$O, 0), 0))</f>
        <v/>
      </c>
      <c r="W384" s="81">
        <f>IF(Q384="Sin Factura",0,IFERROR(_xlfn.XLOOKUP(1, (Facturas_Odoo!$D:$D=A384) * (Facturas_Odoo!$K:$K=I384), Facturas_Odoo!$Q:$Q, 0), 0))</f>
        <v/>
      </c>
      <c r="X384" s="79">
        <f>IF(OR(Q384="Sin Factura",Q384=""),"",IFERROR(INDEX(Pagos_Odoo!$B:$B, MATCH(Q384, Pagos_Odoo!$I:$I, 0)), "Sin Pago"))</f>
        <v/>
      </c>
      <c r="Y384" s="79">
        <f>IF(X384="Sin Pago","",IFERROR(INDEX(Pagos_Odoo!$C:$C, MATCH(X384, Pagos_Odoo!$B:$B, 0)), ""))</f>
        <v/>
      </c>
      <c r="Z384" s="80">
        <f>IF(X384="Sin Pago","",IFERROR(INDEX(Pagos_Odoo!$A:$A, MATCH(X384, Pagos_Odoo!$B:$B, 0)), ""))</f>
        <v/>
      </c>
      <c r="AA384" s="79">
        <f>IF(X384="Sin Pago","",IFERROR(INDEX(Pagos_Odoo!$F:$F, MATCH(X384, Pagos_Odoo!$B:$B, 0)), ""))</f>
        <v/>
      </c>
      <c r="AB384" s="81">
        <f>IF(X384="Sin Pago",0,IFERROR(INDEX(Pagos_Odoo!$E:$E, MATCH(X384, Pagos_Odoo!$B:$B, 0)), 0))</f>
        <v/>
      </c>
      <c r="AC384" s="79">
        <f>IF(X384="Sin Pago","",IFERROR(INDEX(Pagos_Odoo!$G:$G, MATCH(X384, Pagos_Odoo!$B:$B, 0)), ""))</f>
        <v/>
      </c>
      <c r="AD384" s="82" t="n">
        <v>0</v>
      </c>
      <c r="AE384" s="82" t="n"/>
      <c r="AF384" s="82" t="n"/>
      <c r="AG384" s="82">
        <f>IF(AN384="","",AD384+AE384+AF384)</f>
        <v/>
      </c>
      <c r="AH384" s="81">
        <f>IF(AN384="","",P384*(1-AG384))</f>
        <v/>
      </c>
      <c r="AI384" s="81">
        <f>IF(AN384="","",IF(Q384="Sin Factura",0,IFERROR(INDEX(Facturas_Odoo!$H:$H, MATCH(Q384, Facturas_Odoo!$B:$B, 0)), 0)*(1-AG384)))</f>
        <v/>
      </c>
      <c r="AJ384" s="81">
        <f>IF(AN384="","",_xlfn.LET(idVenta, AN384&amp;"",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84" s="81">
        <f>IF(AN384="","",AH384-AJ384)</f>
        <v/>
      </c>
      <c r="AL384" s="81">
        <f>IF(AN384="","",IF(Q384="Sin Factura","",AI384-AJ384))</f>
        <v/>
      </c>
      <c r="AM384" s="81">
        <f>IF(AN384="","",IF(Q384="Sin Factura",0,P384-IFERROR(INDEX(Facturas_Odoo!$H:$H, MATCH(Q384, Facturas_Odoo!$B:$B, 0)), 0)))</f>
        <v/>
      </c>
      <c r="AN384" s="79">
        <f>IF(AND(A384="", J384=""), "", IF(A384&lt;&gt;"", VALUE(MID(A384,2,LEN(A384))), AN383))</f>
        <v/>
      </c>
      <c r="AO384" s="79">
        <f>IF(AN384="","",IF(AD384=0,"OK",_xlfn.LET(monedaPago, IF(AA384="","USD",AA384), limitePermitido, IFERROR(VLOOKUP(monedaPago, Configuración!$A$2:$B$3, 2, FALSE), 0.15), IF(AD384&gt;limitePermitido, "ALERTA: EXCESO (" &amp; TEXT(limitePermitido, "0%") &amp; " máx)", "OK"))))</f>
        <v/>
      </c>
      <c r="AP384" s="79">
        <f>IF(AN384="","",IF(AE384=0,"OK",_xlfn.LET(fechaPago, Z384, fechaFactura, R384, diasCredito, IF(E384="Pago inmediato", 0, IFERROR(VALUE(MID(E384, 1, SEARCH(" ", E384)-1)),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84" s="79">
        <f>IF(AN384="","",IF(AND(N384&gt;0, AG384&gt;0), IF(Configuración!$K$2="NO", "ALERTA: DESCUENTO DOBLE NO PERMITIDO", "OK"), "OK"))</f>
        <v/>
      </c>
      <c r="AR384" s="79">
        <f>IF(AN384="","",IF(OR(AO384&lt;&gt;"OK", AP384&lt;&gt;"OK", AQ384&lt;&gt;"OK"), "⚠️ REVISAR", "OK"))</f>
        <v/>
      </c>
    </row>
    <row r="385">
      <c r="A385" s="79">
        <f>IF('Ordenes_Odoo'!A385="","",'Ordenes_Odoo'!A385)</f>
        <v/>
      </c>
      <c r="B385" s="80">
        <f>IF('Ordenes_Odoo'!B385="","",'Ordenes_Odoo'!B385)</f>
        <v/>
      </c>
      <c r="C385" s="79">
        <f>IF('Ordenes_Odoo'!C385="","",'Ordenes_Odoo'!C385)</f>
        <v/>
      </c>
      <c r="D385" s="79">
        <f>IF('Ordenes_Odoo'!D385="","",'Ordenes_Odoo'!D385)</f>
        <v/>
      </c>
      <c r="E385" s="79">
        <f>IF('Ordenes_Odoo'!E385="","",'Ordenes_Odoo'!E385)</f>
        <v/>
      </c>
      <c r="F385" s="79">
        <f>IF('Ordenes_Odoo'!F385="","",'Ordenes_Odoo'!F385)</f>
        <v/>
      </c>
      <c r="G385" s="79">
        <f>IF('Ordenes_Odoo'!G385="","",'Ordenes_Odoo'!G385)</f>
        <v/>
      </c>
      <c r="H385" s="79">
        <f>IF('Ordenes_Odoo'!H385="","",'Ordenes_Odoo'!H385)</f>
        <v/>
      </c>
      <c r="I385" s="79">
        <f>IF('Ordenes_Odoo'!I385="","",'Ordenes_Odoo'!I385)</f>
        <v/>
      </c>
      <c r="J385" s="79">
        <f>IF('Ordenes_Odoo'!J385="","",'Ordenes_Odoo'!J385)</f>
        <v/>
      </c>
      <c r="K385" s="81">
        <f>IF('Ordenes_Odoo'!K385="","",'Ordenes_Odoo'!K385)</f>
        <v/>
      </c>
      <c r="L385" s="81">
        <f>IF('Ordenes_Odoo'!L385="","",'Ordenes_Odoo'!L385)</f>
        <v/>
      </c>
      <c r="M385" s="79">
        <f>IF('Ordenes_Odoo'!M385="","",'Ordenes_Odoo'!M385)</f>
        <v/>
      </c>
      <c r="N385" s="79">
        <f>IF('Ordenes_Odoo'!N385="","",'Ordenes_Odoo'!N385)</f>
        <v/>
      </c>
      <c r="O385" s="81">
        <f>IF('Ordenes_Odoo'!O385="","",'Ordenes_Odoo'!O385)</f>
        <v/>
      </c>
      <c r="P385" s="81">
        <f>IF('Ordenes_Odoo'!P385="","",'Ordenes_Odoo'!P385)</f>
        <v/>
      </c>
      <c r="Q385" s="79">
        <f>IF(A385="","",IFERROR(INDEX(Facturas_Odoo!$B:$B, MATCH(A385, Facturas_Odoo!$D:$D, 0)), "Sin Factura"))</f>
        <v/>
      </c>
      <c r="R385" s="80">
        <f>IF(Q385="Sin Factura","",IFERROR(INDEX(Facturas_Odoo!$A:$A, MATCH(Q385, Facturas_Odoo!$B:$B, 0)), ""))</f>
        <v/>
      </c>
      <c r="S385" s="79">
        <f>IF(Q385="Sin Factura","",IFERROR(_xlfn.XLOOKUP(1, (Facturas_Odoo!$D:$D=A385) * (Facturas_Odoo!$K:$K=I385), Facturas_Odoo!$L:$L, ""), ""))</f>
        <v/>
      </c>
      <c r="T385" s="81">
        <f>IF(Q385="Sin Factura",0,IFERROR(_xlfn.XLOOKUP(1, (Facturas_Odoo!$D:$D=A385) * (Facturas_Odoo!$K:$K=I385), Facturas_Odoo!$M:$M, 0), 0))</f>
        <v/>
      </c>
      <c r="U385" s="79">
        <f>IF(Q385="Sin Factura",0,IFERROR(_xlfn.XLOOKUP(1, (Facturas_Odoo!$D:$D=A385) * (Facturas_Odoo!$K:$K=I385), Facturas_Odoo!$N:$N, 0), 0))</f>
        <v/>
      </c>
      <c r="V385" s="79">
        <f>IF(Q385="Sin Factura",0,IFERROR(_xlfn.XLOOKUP(1, (Facturas_Odoo!$D:$D=A385) * (Facturas_Odoo!$K:$K=I385), Facturas_Odoo!$O:$O, 0), 0))</f>
        <v/>
      </c>
      <c r="W385" s="81">
        <f>IF(Q385="Sin Factura",0,IFERROR(_xlfn.XLOOKUP(1, (Facturas_Odoo!$D:$D=A385) * (Facturas_Odoo!$K:$K=I385), Facturas_Odoo!$Q:$Q, 0), 0))</f>
        <v/>
      </c>
      <c r="X385" s="79">
        <f>IF(OR(Q385="Sin Factura",Q385=""),"",IFERROR(INDEX(Pagos_Odoo!$B:$B, MATCH(Q385, Pagos_Odoo!$I:$I, 0)), "Sin Pago"))</f>
        <v/>
      </c>
      <c r="Y385" s="79">
        <f>IF(X385="Sin Pago","",IFERROR(INDEX(Pagos_Odoo!$C:$C, MATCH(X385, Pagos_Odoo!$B:$B, 0)), ""))</f>
        <v/>
      </c>
      <c r="Z385" s="80">
        <f>IF(X385="Sin Pago","",IFERROR(INDEX(Pagos_Odoo!$A:$A, MATCH(X385, Pagos_Odoo!$B:$B, 0)), ""))</f>
        <v/>
      </c>
      <c r="AA385" s="79">
        <f>IF(X385="Sin Pago","",IFERROR(INDEX(Pagos_Odoo!$F:$F, MATCH(X385, Pagos_Odoo!$B:$B, 0)), ""))</f>
        <v/>
      </c>
      <c r="AB385" s="81">
        <f>IF(X385="Sin Pago",0,IFERROR(INDEX(Pagos_Odoo!$E:$E, MATCH(X385, Pagos_Odoo!$B:$B, 0)), 0))</f>
        <v/>
      </c>
      <c r="AC385" s="79">
        <f>IF(X385="Sin Pago","",IFERROR(INDEX(Pagos_Odoo!$G:$G, MATCH(X385, Pagos_Odoo!$B:$B, 0)), ""))</f>
        <v/>
      </c>
      <c r="AD385" s="82" t="n">
        <v>0</v>
      </c>
      <c r="AE385" s="82" t="n"/>
      <c r="AF385" s="82" t="n"/>
      <c r="AG385" s="82">
        <f>IF(AN385="","",AD385+AE385+AF385)</f>
        <v/>
      </c>
      <c r="AH385" s="81">
        <f>IF(AN385="","",P385*(1-AG385))</f>
        <v/>
      </c>
      <c r="AI385" s="81">
        <f>IF(AN385="","",IF(Q385="Sin Factura",0,IFERROR(INDEX(Facturas_Odoo!$H:$H, MATCH(Q385, Facturas_Odoo!$B:$B, 0)), 0)*(1-AG385)))</f>
        <v/>
      </c>
      <c r="AJ385" s="81">
        <f>IF(AN385="","",_xlfn.LET(idVenta, AN385&amp;"",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85" s="81">
        <f>IF(AN385="","",AH385-AJ385)</f>
        <v/>
      </c>
      <c r="AL385" s="81">
        <f>IF(AN385="","",IF(Q385="Sin Factura","",AI385-AJ385))</f>
        <v/>
      </c>
      <c r="AM385" s="81">
        <f>IF(AN385="","",IF(Q385="Sin Factura",0,P385-IFERROR(INDEX(Facturas_Odoo!$H:$H, MATCH(Q385, Facturas_Odoo!$B:$B, 0)), 0)))</f>
        <v/>
      </c>
      <c r="AN385" s="79">
        <f>IF(AND(A385="", J385=""), "", IF(A385&lt;&gt;"", VALUE(MID(A385,2,LEN(A385))), AN384))</f>
        <v/>
      </c>
      <c r="AO385" s="79">
        <f>IF(AN385="","",IF(AD385=0,"OK",_xlfn.LET(monedaPago, IF(AA385="","USD",AA385), limitePermitido, IFERROR(VLOOKUP(monedaPago, Configuración!$A$2:$B$3, 2, FALSE), 0.15), IF(AD385&gt;limitePermitido, "ALERTA: EXCESO (" &amp; TEXT(limitePermitido, "0%") &amp; " máx)", "OK"))))</f>
        <v/>
      </c>
      <c r="AP385" s="79">
        <f>IF(AN385="","",IF(AE385=0,"OK",_xlfn.LET(fechaPago, Z385, fechaFactura, R385, diasCredito, IF(E385="Pago inmediato", 0, IFERROR(VALUE(MID(E385, 1, SEARCH(" ", E385)-1)),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85" s="79">
        <f>IF(AN385="","",IF(AND(N385&gt;0, AG385&gt;0), IF(Configuración!$K$2="NO", "ALERTA: DESCUENTO DOBLE NO PERMITIDO", "OK"), "OK"))</f>
        <v/>
      </c>
      <c r="AR385" s="79">
        <f>IF(AN385="","",IF(OR(AO385&lt;&gt;"OK", AP385&lt;&gt;"OK", AQ385&lt;&gt;"OK"), "⚠️ REVISAR", "OK"))</f>
        <v/>
      </c>
    </row>
    <row r="386">
      <c r="A386" s="79">
        <f>IF('Ordenes_Odoo'!A386="","",'Ordenes_Odoo'!A386)</f>
        <v/>
      </c>
      <c r="B386" s="80">
        <f>IF('Ordenes_Odoo'!B386="","",'Ordenes_Odoo'!B386)</f>
        <v/>
      </c>
      <c r="C386" s="79">
        <f>IF('Ordenes_Odoo'!C386="","",'Ordenes_Odoo'!C386)</f>
        <v/>
      </c>
      <c r="D386" s="79">
        <f>IF('Ordenes_Odoo'!D386="","",'Ordenes_Odoo'!D386)</f>
        <v/>
      </c>
      <c r="E386" s="79">
        <f>IF('Ordenes_Odoo'!E386="","",'Ordenes_Odoo'!E386)</f>
        <v/>
      </c>
      <c r="F386" s="79">
        <f>IF('Ordenes_Odoo'!F386="","",'Ordenes_Odoo'!F386)</f>
        <v/>
      </c>
      <c r="G386" s="79">
        <f>IF('Ordenes_Odoo'!G386="","",'Ordenes_Odoo'!G386)</f>
        <v/>
      </c>
      <c r="H386" s="79">
        <f>IF('Ordenes_Odoo'!H386="","",'Ordenes_Odoo'!H386)</f>
        <v/>
      </c>
      <c r="I386" s="79">
        <f>IF('Ordenes_Odoo'!I386="","",'Ordenes_Odoo'!I386)</f>
        <v/>
      </c>
      <c r="J386" s="79">
        <f>IF('Ordenes_Odoo'!J386="","",'Ordenes_Odoo'!J386)</f>
        <v/>
      </c>
      <c r="K386" s="81">
        <f>IF('Ordenes_Odoo'!K386="","",'Ordenes_Odoo'!K386)</f>
        <v/>
      </c>
      <c r="L386" s="81">
        <f>IF('Ordenes_Odoo'!L386="","",'Ordenes_Odoo'!L386)</f>
        <v/>
      </c>
      <c r="M386" s="79">
        <f>IF('Ordenes_Odoo'!M386="","",'Ordenes_Odoo'!M386)</f>
        <v/>
      </c>
      <c r="N386" s="79">
        <f>IF('Ordenes_Odoo'!N386="","",'Ordenes_Odoo'!N386)</f>
        <v/>
      </c>
      <c r="O386" s="81">
        <f>IF('Ordenes_Odoo'!O386="","",'Ordenes_Odoo'!O386)</f>
        <v/>
      </c>
      <c r="P386" s="81">
        <f>IF('Ordenes_Odoo'!P386="","",'Ordenes_Odoo'!P386)</f>
        <v/>
      </c>
      <c r="Q386" s="79">
        <f>IF(A386="","",IFERROR(INDEX(Facturas_Odoo!$B:$B, MATCH(A386, Facturas_Odoo!$D:$D, 0)), "Sin Factura"))</f>
        <v/>
      </c>
      <c r="R386" s="80">
        <f>IF(Q386="Sin Factura","",IFERROR(INDEX(Facturas_Odoo!$A:$A, MATCH(Q386, Facturas_Odoo!$B:$B, 0)), ""))</f>
        <v/>
      </c>
      <c r="S386" s="79">
        <f>IF(Q386="Sin Factura","",IFERROR(_xlfn.XLOOKUP(1, (Facturas_Odoo!$D:$D=A386) * (Facturas_Odoo!$K:$K=I386), Facturas_Odoo!$L:$L, ""), ""))</f>
        <v/>
      </c>
      <c r="T386" s="81">
        <f>IF(Q386="Sin Factura",0,IFERROR(_xlfn.XLOOKUP(1, (Facturas_Odoo!$D:$D=A386) * (Facturas_Odoo!$K:$K=I386), Facturas_Odoo!$M:$M, 0), 0))</f>
        <v/>
      </c>
      <c r="U386" s="79">
        <f>IF(Q386="Sin Factura",0,IFERROR(_xlfn.XLOOKUP(1, (Facturas_Odoo!$D:$D=A386) * (Facturas_Odoo!$K:$K=I386), Facturas_Odoo!$N:$N, 0), 0))</f>
        <v/>
      </c>
      <c r="V386" s="79">
        <f>IF(Q386="Sin Factura",0,IFERROR(_xlfn.XLOOKUP(1, (Facturas_Odoo!$D:$D=A386) * (Facturas_Odoo!$K:$K=I386), Facturas_Odoo!$O:$O, 0), 0))</f>
        <v/>
      </c>
      <c r="W386" s="81">
        <f>IF(Q386="Sin Factura",0,IFERROR(_xlfn.XLOOKUP(1, (Facturas_Odoo!$D:$D=A386) * (Facturas_Odoo!$K:$K=I386), Facturas_Odoo!$Q:$Q, 0), 0))</f>
        <v/>
      </c>
      <c r="X386" s="79">
        <f>IF(OR(Q386="Sin Factura",Q386=""),"",IFERROR(INDEX(Pagos_Odoo!$B:$B, MATCH(Q386, Pagos_Odoo!$I:$I, 0)), "Sin Pago"))</f>
        <v/>
      </c>
      <c r="Y386" s="79">
        <f>IF(X386="Sin Pago","",IFERROR(INDEX(Pagos_Odoo!$C:$C, MATCH(X386, Pagos_Odoo!$B:$B, 0)), ""))</f>
        <v/>
      </c>
      <c r="Z386" s="80">
        <f>IF(X386="Sin Pago","",IFERROR(INDEX(Pagos_Odoo!$A:$A, MATCH(X386, Pagos_Odoo!$B:$B, 0)), ""))</f>
        <v/>
      </c>
      <c r="AA386" s="79">
        <f>IF(X386="Sin Pago","",IFERROR(INDEX(Pagos_Odoo!$F:$F, MATCH(X386, Pagos_Odoo!$B:$B, 0)), ""))</f>
        <v/>
      </c>
      <c r="AB386" s="81">
        <f>IF(X386="Sin Pago",0,IFERROR(INDEX(Pagos_Odoo!$E:$E, MATCH(X386, Pagos_Odoo!$B:$B, 0)), 0))</f>
        <v/>
      </c>
      <c r="AC386" s="79">
        <f>IF(X386="Sin Pago","",IFERROR(INDEX(Pagos_Odoo!$G:$G, MATCH(X386, Pagos_Odoo!$B:$B, 0)), ""))</f>
        <v/>
      </c>
      <c r="AD386" s="82" t="n">
        <v>0</v>
      </c>
      <c r="AE386" s="82" t="n"/>
      <c r="AF386" s="82" t="n"/>
      <c r="AG386" s="82">
        <f>IF(AN386="","",AD386+AE386+AF386)</f>
        <v/>
      </c>
      <c r="AH386" s="81">
        <f>IF(AN386="","",P386*(1-AG386))</f>
        <v/>
      </c>
      <c r="AI386" s="81">
        <f>IF(AN386="","",IF(Q386="Sin Factura",0,IFERROR(INDEX(Facturas_Odoo!$H:$H, MATCH(Q386, Facturas_Odoo!$B:$B, 0)), 0)*(1-AG386)))</f>
        <v/>
      </c>
      <c r="AJ386" s="81">
        <f>IF(AN386="","",_xlfn.LET(idVenta, AN386&amp;"",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86" s="81">
        <f>IF(AN386="","",AH386-AJ386)</f>
        <v/>
      </c>
      <c r="AL386" s="81">
        <f>IF(AN386="","",IF(Q386="Sin Factura","",AI386-AJ386))</f>
        <v/>
      </c>
      <c r="AM386" s="81">
        <f>IF(AN386="","",IF(Q386="Sin Factura",0,P386-IFERROR(INDEX(Facturas_Odoo!$H:$H, MATCH(Q386, Facturas_Odoo!$B:$B, 0)), 0)))</f>
        <v/>
      </c>
      <c r="AN386" s="79">
        <f>IF(AND(A386="", J386=""), "", IF(A386&lt;&gt;"", VALUE(MID(A386,2,LEN(A386))), AN385))</f>
        <v/>
      </c>
      <c r="AO386" s="79">
        <f>IF(AN386="","",IF(AD386=0,"OK",_xlfn.LET(monedaPago, IF(AA386="","USD",AA386), limitePermitido, IFERROR(VLOOKUP(monedaPago, Configuración!$A$2:$B$3, 2, FALSE), 0.15), IF(AD386&gt;limitePermitido, "ALERTA: EXCESO (" &amp; TEXT(limitePermitido, "0%") &amp; " máx)", "OK"))))</f>
        <v/>
      </c>
      <c r="AP386" s="79">
        <f>IF(AN386="","",IF(AE386=0,"OK",_xlfn.LET(fechaPago, Z386, fechaFactura, R386, diasCredito, IF(E386="Pago inmediato", 0, IFERROR(VALUE(MID(E386, 1, SEARCH(" ", E386)-1)),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86" s="79">
        <f>IF(AN386="","",IF(AND(N386&gt;0, AG386&gt;0), IF(Configuración!$K$2="NO", "ALERTA: DESCUENTO DOBLE NO PERMITIDO", "OK"), "OK"))</f>
        <v/>
      </c>
      <c r="AR386" s="79">
        <f>IF(AN386="","",IF(OR(AO386&lt;&gt;"OK", AP386&lt;&gt;"OK", AQ386&lt;&gt;"OK"), "⚠️ REVISAR", "OK"))</f>
        <v/>
      </c>
    </row>
    <row r="387">
      <c r="A387" s="79">
        <f>IF('Ordenes_Odoo'!A387="","",'Ordenes_Odoo'!A387)</f>
        <v/>
      </c>
      <c r="B387" s="80">
        <f>IF('Ordenes_Odoo'!B387="","",'Ordenes_Odoo'!B387)</f>
        <v/>
      </c>
      <c r="C387" s="79">
        <f>IF('Ordenes_Odoo'!C387="","",'Ordenes_Odoo'!C387)</f>
        <v/>
      </c>
      <c r="D387" s="79">
        <f>IF('Ordenes_Odoo'!D387="","",'Ordenes_Odoo'!D387)</f>
        <v/>
      </c>
      <c r="E387" s="79">
        <f>IF('Ordenes_Odoo'!E387="","",'Ordenes_Odoo'!E387)</f>
        <v/>
      </c>
      <c r="F387" s="79">
        <f>IF('Ordenes_Odoo'!F387="","",'Ordenes_Odoo'!F387)</f>
        <v/>
      </c>
      <c r="G387" s="79">
        <f>IF('Ordenes_Odoo'!G387="","",'Ordenes_Odoo'!G387)</f>
        <v/>
      </c>
      <c r="H387" s="79">
        <f>IF('Ordenes_Odoo'!H387="","",'Ordenes_Odoo'!H387)</f>
        <v/>
      </c>
      <c r="I387" s="79">
        <f>IF('Ordenes_Odoo'!I387="","",'Ordenes_Odoo'!I387)</f>
        <v/>
      </c>
      <c r="J387" s="79">
        <f>IF('Ordenes_Odoo'!J387="","",'Ordenes_Odoo'!J387)</f>
        <v/>
      </c>
      <c r="K387" s="81">
        <f>IF('Ordenes_Odoo'!K387="","",'Ordenes_Odoo'!K387)</f>
        <v/>
      </c>
      <c r="L387" s="81">
        <f>IF('Ordenes_Odoo'!L387="","",'Ordenes_Odoo'!L387)</f>
        <v/>
      </c>
      <c r="M387" s="79">
        <f>IF('Ordenes_Odoo'!M387="","",'Ordenes_Odoo'!M387)</f>
        <v/>
      </c>
      <c r="N387" s="79">
        <f>IF('Ordenes_Odoo'!N387="","",'Ordenes_Odoo'!N387)</f>
        <v/>
      </c>
      <c r="O387" s="81">
        <f>IF('Ordenes_Odoo'!O387="","",'Ordenes_Odoo'!O387)</f>
        <v/>
      </c>
      <c r="P387" s="81">
        <f>IF('Ordenes_Odoo'!P387="","",'Ordenes_Odoo'!P387)</f>
        <v/>
      </c>
      <c r="Q387" s="79">
        <f>IF(A387="","",IFERROR(INDEX(Facturas_Odoo!$B:$B, MATCH(A387, Facturas_Odoo!$D:$D, 0)), "Sin Factura"))</f>
        <v/>
      </c>
      <c r="R387" s="80">
        <f>IF(Q387="Sin Factura","",IFERROR(INDEX(Facturas_Odoo!$A:$A, MATCH(Q387, Facturas_Odoo!$B:$B, 0)), ""))</f>
        <v/>
      </c>
      <c r="S387" s="79">
        <f>IF(Q387="Sin Factura","",IFERROR(_xlfn.XLOOKUP(1, (Facturas_Odoo!$D:$D=A387) * (Facturas_Odoo!$K:$K=I387), Facturas_Odoo!$L:$L, ""), ""))</f>
        <v/>
      </c>
      <c r="T387" s="81">
        <f>IF(Q387="Sin Factura",0,IFERROR(_xlfn.XLOOKUP(1, (Facturas_Odoo!$D:$D=A387) * (Facturas_Odoo!$K:$K=I387), Facturas_Odoo!$M:$M, 0), 0))</f>
        <v/>
      </c>
      <c r="U387" s="79">
        <f>IF(Q387="Sin Factura",0,IFERROR(_xlfn.XLOOKUP(1, (Facturas_Odoo!$D:$D=A387) * (Facturas_Odoo!$K:$K=I387), Facturas_Odoo!$N:$N, 0), 0))</f>
        <v/>
      </c>
      <c r="V387" s="79">
        <f>IF(Q387="Sin Factura",0,IFERROR(_xlfn.XLOOKUP(1, (Facturas_Odoo!$D:$D=A387) * (Facturas_Odoo!$K:$K=I387), Facturas_Odoo!$O:$O, 0), 0))</f>
        <v/>
      </c>
      <c r="W387" s="81">
        <f>IF(Q387="Sin Factura",0,IFERROR(_xlfn.XLOOKUP(1, (Facturas_Odoo!$D:$D=A387) * (Facturas_Odoo!$K:$K=I387), Facturas_Odoo!$Q:$Q, 0), 0))</f>
        <v/>
      </c>
      <c r="X387" s="79">
        <f>IF(OR(Q387="Sin Factura",Q387=""),"",IFERROR(INDEX(Pagos_Odoo!$B:$B, MATCH(Q387, Pagos_Odoo!$I:$I, 0)), "Sin Pago"))</f>
        <v/>
      </c>
      <c r="Y387" s="79">
        <f>IF(X387="Sin Pago","",IFERROR(INDEX(Pagos_Odoo!$C:$C, MATCH(X387, Pagos_Odoo!$B:$B, 0)), ""))</f>
        <v/>
      </c>
      <c r="Z387" s="80">
        <f>IF(X387="Sin Pago","",IFERROR(INDEX(Pagos_Odoo!$A:$A, MATCH(X387, Pagos_Odoo!$B:$B, 0)), ""))</f>
        <v/>
      </c>
      <c r="AA387" s="79">
        <f>IF(X387="Sin Pago","",IFERROR(INDEX(Pagos_Odoo!$F:$F, MATCH(X387, Pagos_Odoo!$B:$B, 0)), ""))</f>
        <v/>
      </c>
      <c r="AB387" s="81">
        <f>IF(X387="Sin Pago",0,IFERROR(INDEX(Pagos_Odoo!$E:$E, MATCH(X387, Pagos_Odoo!$B:$B, 0)), 0))</f>
        <v/>
      </c>
      <c r="AC387" s="79">
        <f>IF(X387="Sin Pago","",IFERROR(INDEX(Pagos_Odoo!$G:$G, MATCH(X387, Pagos_Odoo!$B:$B, 0)), ""))</f>
        <v/>
      </c>
      <c r="AD387" s="82" t="n">
        <v>0</v>
      </c>
      <c r="AE387" s="82" t="n"/>
      <c r="AF387" s="82" t="n"/>
      <c r="AG387" s="82">
        <f>IF(AN387="","",AD387+AE387+AF387)</f>
        <v/>
      </c>
      <c r="AH387" s="81">
        <f>IF(AN387="","",P387*(1-AG387))</f>
        <v/>
      </c>
      <c r="AI387" s="81">
        <f>IF(AN387="","",IF(Q387="Sin Factura",0,IFERROR(INDEX(Facturas_Odoo!$H:$H, MATCH(Q387, Facturas_Odoo!$B:$B, 0)), 0)*(1-AG387)))</f>
        <v/>
      </c>
      <c r="AJ387" s="81">
        <f>IF(AN387="","",_xlfn.LET(idVenta, AN387&amp;"",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87" s="81">
        <f>IF(AN387="","",AH387-AJ387)</f>
        <v/>
      </c>
      <c r="AL387" s="81">
        <f>IF(AN387="","",IF(Q387="Sin Factura","",AI387-AJ387))</f>
        <v/>
      </c>
      <c r="AM387" s="81">
        <f>IF(AN387="","",IF(Q387="Sin Factura",0,P387-IFERROR(INDEX(Facturas_Odoo!$H:$H, MATCH(Q387, Facturas_Odoo!$B:$B, 0)), 0)))</f>
        <v/>
      </c>
      <c r="AN387" s="79">
        <f>IF(AND(A387="", J387=""), "", IF(A387&lt;&gt;"", VALUE(MID(A387,2,LEN(A387))), AN386))</f>
        <v/>
      </c>
      <c r="AO387" s="79">
        <f>IF(AN387="","",IF(AD387=0,"OK",_xlfn.LET(monedaPago, IF(AA387="","USD",AA387), limitePermitido, IFERROR(VLOOKUP(monedaPago, Configuración!$A$2:$B$3, 2, FALSE), 0.15), IF(AD387&gt;limitePermitido, "ALERTA: EXCESO (" &amp; TEXT(limitePermitido, "0%") &amp; " máx)", "OK"))))</f>
        <v/>
      </c>
      <c r="AP387" s="79">
        <f>IF(AN387="","",IF(AE387=0,"OK",_xlfn.LET(fechaPago, Z387, fechaFactura, R387, diasCredito, IF(E387="Pago inmediato", 0, IFERROR(VALUE(MID(E387, 1, SEARCH(" ", E387)-1)),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87" s="79">
        <f>IF(AN387="","",IF(AND(N387&gt;0, AG387&gt;0), IF(Configuración!$K$2="NO", "ALERTA: DESCUENTO DOBLE NO PERMITIDO", "OK"), "OK"))</f>
        <v/>
      </c>
      <c r="AR387" s="79">
        <f>IF(AN387="","",IF(OR(AO387&lt;&gt;"OK", AP387&lt;&gt;"OK", AQ387&lt;&gt;"OK"), "⚠️ REVISAR", "OK"))</f>
        <v/>
      </c>
    </row>
    <row r="388">
      <c r="A388" s="79">
        <f>IF('Ordenes_Odoo'!A388="","",'Ordenes_Odoo'!A388)</f>
        <v/>
      </c>
      <c r="B388" s="80">
        <f>IF('Ordenes_Odoo'!B388="","",'Ordenes_Odoo'!B388)</f>
        <v/>
      </c>
      <c r="C388" s="79">
        <f>IF('Ordenes_Odoo'!C388="","",'Ordenes_Odoo'!C388)</f>
        <v/>
      </c>
      <c r="D388" s="79">
        <f>IF('Ordenes_Odoo'!D388="","",'Ordenes_Odoo'!D388)</f>
        <v/>
      </c>
      <c r="E388" s="79">
        <f>IF('Ordenes_Odoo'!E388="","",'Ordenes_Odoo'!E388)</f>
        <v/>
      </c>
      <c r="F388" s="79">
        <f>IF('Ordenes_Odoo'!F388="","",'Ordenes_Odoo'!F388)</f>
        <v/>
      </c>
      <c r="G388" s="79">
        <f>IF('Ordenes_Odoo'!G388="","",'Ordenes_Odoo'!G388)</f>
        <v/>
      </c>
      <c r="H388" s="79">
        <f>IF('Ordenes_Odoo'!H388="","",'Ordenes_Odoo'!H388)</f>
        <v/>
      </c>
      <c r="I388" s="79">
        <f>IF('Ordenes_Odoo'!I388="","",'Ordenes_Odoo'!I388)</f>
        <v/>
      </c>
      <c r="J388" s="79">
        <f>IF('Ordenes_Odoo'!J388="","",'Ordenes_Odoo'!J388)</f>
        <v/>
      </c>
      <c r="K388" s="81">
        <f>IF('Ordenes_Odoo'!K388="","",'Ordenes_Odoo'!K388)</f>
        <v/>
      </c>
      <c r="L388" s="81">
        <f>IF('Ordenes_Odoo'!L388="","",'Ordenes_Odoo'!L388)</f>
        <v/>
      </c>
      <c r="M388" s="79">
        <f>IF('Ordenes_Odoo'!M388="","",'Ordenes_Odoo'!M388)</f>
        <v/>
      </c>
      <c r="N388" s="79">
        <f>IF('Ordenes_Odoo'!N388="","",'Ordenes_Odoo'!N388)</f>
        <v/>
      </c>
      <c r="O388" s="81">
        <f>IF('Ordenes_Odoo'!O388="","",'Ordenes_Odoo'!O388)</f>
        <v/>
      </c>
      <c r="P388" s="81">
        <f>IF('Ordenes_Odoo'!P388="","",'Ordenes_Odoo'!P388)</f>
        <v/>
      </c>
      <c r="Q388" s="79">
        <f>IF(A388="","",IFERROR(INDEX(Facturas_Odoo!$B:$B, MATCH(A388, Facturas_Odoo!$D:$D, 0)), "Sin Factura"))</f>
        <v/>
      </c>
      <c r="R388" s="80">
        <f>IF(Q388="Sin Factura","",IFERROR(INDEX(Facturas_Odoo!$A:$A, MATCH(Q388, Facturas_Odoo!$B:$B, 0)), ""))</f>
        <v/>
      </c>
      <c r="S388" s="79">
        <f>IF(Q388="Sin Factura","",IFERROR(_xlfn.XLOOKUP(1, (Facturas_Odoo!$D:$D=A388) * (Facturas_Odoo!$K:$K=I388), Facturas_Odoo!$L:$L, ""), ""))</f>
        <v/>
      </c>
      <c r="T388" s="81">
        <f>IF(Q388="Sin Factura",0,IFERROR(_xlfn.XLOOKUP(1, (Facturas_Odoo!$D:$D=A388) * (Facturas_Odoo!$K:$K=I388), Facturas_Odoo!$M:$M, 0), 0))</f>
        <v/>
      </c>
      <c r="U388" s="79">
        <f>IF(Q388="Sin Factura",0,IFERROR(_xlfn.XLOOKUP(1, (Facturas_Odoo!$D:$D=A388) * (Facturas_Odoo!$K:$K=I388), Facturas_Odoo!$N:$N, 0), 0))</f>
        <v/>
      </c>
      <c r="V388" s="79">
        <f>IF(Q388="Sin Factura",0,IFERROR(_xlfn.XLOOKUP(1, (Facturas_Odoo!$D:$D=A388) * (Facturas_Odoo!$K:$K=I388), Facturas_Odoo!$O:$O, 0), 0))</f>
        <v/>
      </c>
      <c r="W388" s="81">
        <f>IF(Q388="Sin Factura",0,IFERROR(_xlfn.XLOOKUP(1, (Facturas_Odoo!$D:$D=A388) * (Facturas_Odoo!$K:$K=I388), Facturas_Odoo!$Q:$Q, 0), 0))</f>
        <v/>
      </c>
      <c r="X388" s="79">
        <f>IF(OR(Q388="Sin Factura",Q388=""),"",IFERROR(INDEX(Pagos_Odoo!$B:$B, MATCH(Q388, Pagos_Odoo!$I:$I, 0)), "Sin Pago"))</f>
        <v/>
      </c>
      <c r="Y388" s="79">
        <f>IF(X388="Sin Pago","",IFERROR(INDEX(Pagos_Odoo!$C:$C, MATCH(X388, Pagos_Odoo!$B:$B, 0)), ""))</f>
        <v/>
      </c>
      <c r="Z388" s="80">
        <f>IF(X388="Sin Pago","",IFERROR(INDEX(Pagos_Odoo!$A:$A, MATCH(X388, Pagos_Odoo!$B:$B, 0)), ""))</f>
        <v/>
      </c>
      <c r="AA388" s="79">
        <f>IF(X388="Sin Pago","",IFERROR(INDEX(Pagos_Odoo!$F:$F, MATCH(X388, Pagos_Odoo!$B:$B, 0)), ""))</f>
        <v/>
      </c>
      <c r="AB388" s="81">
        <f>IF(X388="Sin Pago",0,IFERROR(INDEX(Pagos_Odoo!$E:$E, MATCH(X388, Pagos_Odoo!$B:$B, 0)), 0))</f>
        <v/>
      </c>
      <c r="AC388" s="79">
        <f>IF(X388="Sin Pago","",IFERROR(INDEX(Pagos_Odoo!$G:$G, MATCH(X388, Pagos_Odoo!$B:$B, 0)), ""))</f>
        <v/>
      </c>
      <c r="AD388" s="82" t="n">
        <v>0</v>
      </c>
      <c r="AE388" s="82" t="n"/>
      <c r="AF388" s="82" t="n"/>
      <c r="AG388" s="82">
        <f>IF(AN388="","",AD388+AE388+AF388)</f>
        <v/>
      </c>
      <c r="AH388" s="81">
        <f>IF(AN388="","",P388*(1-AG388))</f>
        <v/>
      </c>
      <c r="AI388" s="81">
        <f>IF(AN388="","",IF(Q388="Sin Factura",0,IFERROR(INDEX(Facturas_Odoo!$H:$H, MATCH(Q388, Facturas_Odoo!$B:$B, 0)), 0)*(1-AG388)))</f>
        <v/>
      </c>
      <c r="AJ388" s="81">
        <f>IF(AN388="","",_xlfn.LET(idVenta, AN388&amp;"",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88" s="81">
        <f>IF(AN388="","",AH388-AJ388)</f>
        <v/>
      </c>
      <c r="AL388" s="81">
        <f>IF(AN388="","",IF(Q388="Sin Factura","",AI388-AJ388))</f>
        <v/>
      </c>
      <c r="AM388" s="81">
        <f>IF(AN388="","",IF(Q388="Sin Factura",0,P388-IFERROR(INDEX(Facturas_Odoo!$H:$H, MATCH(Q388, Facturas_Odoo!$B:$B, 0)), 0)))</f>
        <v/>
      </c>
      <c r="AN388" s="79">
        <f>IF(AND(A388="", J388=""), "", IF(A388&lt;&gt;"", VALUE(MID(A388,2,LEN(A388))), AN387))</f>
        <v/>
      </c>
      <c r="AO388" s="79">
        <f>IF(AN388="","",IF(AD388=0,"OK",_xlfn.LET(monedaPago, IF(AA388="","USD",AA388), limitePermitido, IFERROR(VLOOKUP(monedaPago, Configuración!$A$2:$B$3, 2, FALSE), 0.15), IF(AD388&gt;limitePermitido, "ALERTA: EXCESO (" &amp; TEXT(limitePermitido, "0%") &amp; " máx)", "OK"))))</f>
        <v/>
      </c>
      <c r="AP388" s="79">
        <f>IF(AN388="","",IF(AE388=0,"OK",_xlfn.LET(fechaPago, Z388, fechaFactura, R388, diasCredito, IF(E388="Pago inmediato", 0, IFERROR(VALUE(MID(E388, 1, SEARCH(" ", E388)-1)),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88" s="79">
        <f>IF(AN388="","",IF(AND(N388&gt;0, AG388&gt;0), IF(Configuración!$K$2="NO", "ALERTA: DESCUENTO DOBLE NO PERMITIDO", "OK"), "OK"))</f>
        <v/>
      </c>
      <c r="AR388" s="79">
        <f>IF(AN388="","",IF(OR(AO388&lt;&gt;"OK", AP388&lt;&gt;"OK", AQ388&lt;&gt;"OK"), "⚠️ REVISAR", "OK"))</f>
        <v/>
      </c>
    </row>
    <row r="389">
      <c r="A389" s="79">
        <f>IF('Ordenes_Odoo'!A389="","",'Ordenes_Odoo'!A389)</f>
        <v/>
      </c>
      <c r="B389" s="80">
        <f>IF('Ordenes_Odoo'!B389="","",'Ordenes_Odoo'!B389)</f>
        <v/>
      </c>
      <c r="C389" s="79">
        <f>IF('Ordenes_Odoo'!C389="","",'Ordenes_Odoo'!C389)</f>
        <v/>
      </c>
      <c r="D389" s="79">
        <f>IF('Ordenes_Odoo'!D389="","",'Ordenes_Odoo'!D389)</f>
        <v/>
      </c>
      <c r="E389" s="79">
        <f>IF('Ordenes_Odoo'!E389="","",'Ordenes_Odoo'!E389)</f>
        <v/>
      </c>
      <c r="F389" s="79">
        <f>IF('Ordenes_Odoo'!F389="","",'Ordenes_Odoo'!F389)</f>
        <v/>
      </c>
      <c r="G389" s="79">
        <f>IF('Ordenes_Odoo'!G389="","",'Ordenes_Odoo'!G389)</f>
        <v/>
      </c>
      <c r="H389" s="79">
        <f>IF('Ordenes_Odoo'!H389="","",'Ordenes_Odoo'!H389)</f>
        <v/>
      </c>
      <c r="I389" s="79">
        <f>IF('Ordenes_Odoo'!I389="","",'Ordenes_Odoo'!I389)</f>
        <v/>
      </c>
      <c r="J389" s="79">
        <f>IF('Ordenes_Odoo'!J389="","",'Ordenes_Odoo'!J389)</f>
        <v/>
      </c>
      <c r="K389" s="81">
        <f>IF('Ordenes_Odoo'!K389="","",'Ordenes_Odoo'!K389)</f>
        <v/>
      </c>
      <c r="L389" s="81">
        <f>IF('Ordenes_Odoo'!L389="","",'Ordenes_Odoo'!L389)</f>
        <v/>
      </c>
      <c r="M389" s="79">
        <f>IF('Ordenes_Odoo'!M389="","",'Ordenes_Odoo'!M389)</f>
        <v/>
      </c>
      <c r="N389" s="79">
        <f>IF('Ordenes_Odoo'!N389="","",'Ordenes_Odoo'!N389)</f>
        <v/>
      </c>
      <c r="O389" s="81">
        <f>IF('Ordenes_Odoo'!O389="","",'Ordenes_Odoo'!O389)</f>
        <v/>
      </c>
      <c r="P389" s="81">
        <f>IF('Ordenes_Odoo'!P389="","",'Ordenes_Odoo'!P389)</f>
        <v/>
      </c>
      <c r="Q389" s="79">
        <f>IF(A389="","",IFERROR(INDEX(Facturas_Odoo!$B:$B, MATCH(A389, Facturas_Odoo!$D:$D, 0)), "Sin Factura"))</f>
        <v/>
      </c>
      <c r="R389" s="80">
        <f>IF(Q389="Sin Factura","",IFERROR(INDEX(Facturas_Odoo!$A:$A, MATCH(Q389, Facturas_Odoo!$B:$B, 0)), ""))</f>
        <v/>
      </c>
      <c r="S389" s="79">
        <f>IF(Q389="Sin Factura","",IFERROR(_xlfn.XLOOKUP(1, (Facturas_Odoo!$D:$D=A389) * (Facturas_Odoo!$K:$K=I389), Facturas_Odoo!$L:$L, ""), ""))</f>
        <v/>
      </c>
      <c r="T389" s="81">
        <f>IF(Q389="Sin Factura",0,IFERROR(_xlfn.XLOOKUP(1, (Facturas_Odoo!$D:$D=A389) * (Facturas_Odoo!$K:$K=I389), Facturas_Odoo!$M:$M, 0), 0))</f>
        <v/>
      </c>
      <c r="U389" s="79">
        <f>IF(Q389="Sin Factura",0,IFERROR(_xlfn.XLOOKUP(1, (Facturas_Odoo!$D:$D=A389) * (Facturas_Odoo!$K:$K=I389), Facturas_Odoo!$N:$N, 0), 0))</f>
        <v/>
      </c>
      <c r="V389" s="79">
        <f>IF(Q389="Sin Factura",0,IFERROR(_xlfn.XLOOKUP(1, (Facturas_Odoo!$D:$D=A389) * (Facturas_Odoo!$K:$K=I389), Facturas_Odoo!$O:$O, 0), 0))</f>
        <v/>
      </c>
      <c r="W389" s="81">
        <f>IF(Q389="Sin Factura",0,IFERROR(_xlfn.XLOOKUP(1, (Facturas_Odoo!$D:$D=A389) * (Facturas_Odoo!$K:$K=I389), Facturas_Odoo!$Q:$Q, 0), 0))</f>
        <v/>
      </c>
      <c r="X389" s="79">
        <f>IF(OR(Q389="Sin Factura",Q389=""),"",IFERROR(INDEX(Pagos_Odoo!$B:$B, MATCH(Q389, Pagos_Odoo!$I:$I, 0)), "Sin Pago"))</f>
        <v/>
      </c>
      <c r="Y389" s="79">
        <f>IF(X389="Sin Pago","",IFERROR(INDEX(Pagos_Odoo!$C:$C, MATCH(X389, Pagos_Odoo!$B:$B, 0)), ""))</f>
        <v/>
      </c>
      <c r="Z389" s="80">
        <f>IF(X389="Sin Pago","",IFERROR(INDEX(Pagos_Odoo!$A:$A, MATCH(X389, Pagos_Odoo!$B:$B, 0)), ""))</f>
        <v/>
      </c>
      <c r="AA389" s="79">
        <f>IF(X389="Sin Pago","",IFERROR(INDEX(Pagos_Odoo!$F:$F, MATCH(X389, Pagos_Odoo!$B:$B, 0)), ""))</f>
        <v/>
      </c>
      <c r="AB389" s="81">
        <f>IF(X389="Sin Pago",0,IFERROR(INDEX(Pagos_Odoo!$E:$E, MATCH(X389, Pagos_Odoo!$B:$B, 0)), 0))</f>
        <v/>
      </c>
      <c r="AC389" s="79">
        <f>IF(X389="Sin Pago","",IFERROR(INDEX(Pagos_Odoo!$G:$G, MATCH(X389, Pagos_Odoo!$B:$B, 0)), ""))</f>
        <v/>
      </c>
      <c r="AD389" s="82" t="n">
        <v>0</v>
      </c>
      <c r="AE389" s="82" t="n"/>
      <c r="AF389" s="82" t="n"/>
      <c r="AG389" s="82">
        <f>IF(AN389="","",AD389+AE389+AF389)</f>
        <v/>
      </c>
      <c r="AH389" s="81">
        <f>IF(AN389="","",P389*(1-AG389))</f>
        <v/>
      </c>
      <c r="AI389" s="81">
        <f>IF(AN389="","",IF(Q389="Sin Factura",0,IFERROR(INDEX(Facturas_Odoo!$H:$H, MATCH(Q389, Facturas_Odoo!$B:$B, 0)), 0)*(1-AG389)))</f>
        <v/>
      </c>
      <c r="AJ389" s="81">
        <f>IF(AN389="","",_xlfn.LET(idVenta, AN389&amp;"",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89" s="81">
        <f>IF(AN389="","",AH389-AJ389)</f>
        <v/>
      </c>
      <c r="AL389" s="81">
        <f>IF(AN389="","",IF(Q389="Sin Factura","",AI389-AJ389))</f>
        <v/>
      </c>
      <c r="AM389" s="81">
        <f>IF(AN389="","",IF(Q389="Sin Factura",0,P389-IFERROR(INDEX(Facturas_Odoo!$H:$H, MATCH(Q389, Facturas_Odoo!$B:$B, 0)), 0)))</f>
        <v/>
      </c>
      <c r="AN389" s="79">
        <f>IF(AND(A389="", J389=""), "", IF(A389&lt;&gt;"", VALUE(MID(A389,2,LEN(A389))), AN388))</f>
        <v/>
      </c>
      <c r="AO389" s="79">
        <f>IF(AN389="","",IF(AD389=0,"OK",_xlfn.LET(monedaPago, IF(AA389="","USD",AA389), limitePermitido, IFERROR(VLOOKUP(monedaPago, Configuración!$A$2:$B$3, 2, FALSE), 0.15), IF(AD389&gt;limitePermitido, "ALERTA: EXCESO (" &amp; TEXT(limitePermitido, "0%") &amp; " máx)", "OK"))))</f>
        <v/>
      </c>
      <c r="AP389" s="79">
        <f>IF(AN389="","",IF(AE389=0,"OK",_xlfn.LET(fechaPago, Z389, fechaFactura, R389, diasCredito, IF(E389="Pago inmediato", 0, IFERROR(VALUE(MID(E389, 1, SEARCH(" ", E389)-1)),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89" s="79">
        <f>IF(AN389="","",IF(AND(N389&gt;0, AG389&gt;0), IF(Configuración!$K$2="NO", "ALERTA: DESCUENTO DOBLE NO PERMITIDO", "OK"), "OK"))</f>
        <v/>
      </c>
      <c r="AR389" s="79">
        <f>IF(AN389="","",IF(OR(AO389&lt;&gt;"OK", AP389&lt;&gt;"OK", AQ389&lt;&gt;"OK"), "⚠️ REVISAR", "OK"))</f>
        <v/>
      </c>
    </row>
    <row r="390">
      <c r="A390" s="79">
        <f>IF('Ordenes_Odoo'!A390="","",'Ordenes_Odoo'!A390)</f>
        <v/>
      </c>
      <c r="B390" s="80">
        <f>IF('Ordenes_Odoo'!B390="","",'Ordenes_Odoo'!B390)</f>
        <v/>
      </c>
      <c r="C390" s="79">
        <f>IF('Ordenes_Odoo'!C390="","",'Ordenes_Odoo'!C390)</f>
        <v/>
      </c>
      <c r="D390" s="79">
        <f>IF('Ordenes_Odoo'!D390="","",'Ordenes_Odoo'!D390)</f>
        <v/>
      </c>
      <c r="E390" s="79">
        <f>IF('Ordenes_Odoo'!E390="","",'Ordenes_Odoo'!E390)</f>
        <v/>
      </c>
      <c r="F390" s="79">
        <f>IF('Ordenes_Odoo'!F390="","",'Ordenes_Odoo'!F390)</f>
        <v/>
      </c>
      <c r="G390" s="79">
        <f>IF('Ordenes_Odoo'!G390="","",'Ordenes_Odoo'!G390)</f>
        <v/>
      </c>
      <c r="H390" s="79">
        <f>IF('Ordenes_Odoo'!H390="","",'Ordenes_Odoo'!H390)</f>
        <v/>
      </c>
      <c r="I390" s="79">
        <f>IF('Ordenes_Odoo'!I390="","",'Ordenes_Odoo'!I390)</f>
        <v/>
      </c>
      <c r="J390" s="79">
        <f>IF('Ordenes_Odoo'!J390="","",'Ordenes_Odoo'!J390)</f>
        <v/>
      </c>
      <c r="K390" s="81">
        <f>IF('Ordenes_Odoo'!K390="","",'Ordenes_Odoo'!K390)</f>
        <v/>
      </c>
      <c r="L390" s="81">
        <f>IF('Ordenes_Odoo'!L390="","",'Ordenes_Odoo'!L390)</f>
        <v/>
      </c>
      <c r="M390" s="79">
        <f>IF('Ordenes_Odoo'!M390="","",'Ordenes_Odoo'!M390)</f>
        <v/>
      </c>
      <c r="N390" s="79">
        <f>IF('Ordenes_Odoo'!N390="","",'Ordenes_Odoo'!N390)</f>
        <v/>
      </c>
      <c r="O390" s="81">
        <f>IF('Ordenes_Odoo'!O390="","",'Ordenes_Odoo'!O390)</f>
        <v/>
      </c>
      <c r="P390" s="81">
        <f>IF('Ordenes_Odoo'!P390="","",'Ordenes_Odoo'!P390)</f>
        <v/>
      </c>
      <c r="Q390" s="79">
        <f>IF(A390="","",IFERROR(INDEX(Facturas_Odoo!$B:$B, MATCH(A390, Facturas_Odoo!$D:$D, 0)), "Sin Factura"))</f>
        <v/>
      </c>
      <c r="R390" s="80">
        <f>IF(Q390="Sin Factura","",IFERROR(INDEX(Facturas_Odoo!$A:$A, MATCH(Q390, Facturas_Odoo!$B:$B, 0)), ""))</f>
        <v/>
      </c>
      <c r="S390" s="79">
        <f>IF(Q390="Sin Factura","",IFERROR(_xlfn.XLOOKUP(1, (Facturas_Odoo!$D:$D=A390) * (Facturas_Odoo!$K:$K=I390), Facturas_Odoo!$L:$L, ""), ""))</f>
        <v/>
      </c>
      <c r="T390" s="81">
        <f>IF(Q390="Sin Factura",0,IFERROR(_xlfn.XLOOKUP(1, (Facturas_Odoo!$D:$D=A390) * (Facturas_Odoo!$K:$K=I390), Facturas_Odoo!$M:$M, 0), 0))</f>
        <v/>
      </c>
      <c r="U390" s="79">
        <f>IF(Q390="Sin Factura",0,IFERROR(_xlfn.XLOOKUP(1, (Facturas_Odoo!$D:$D=A390) * (Facturas_Odoo!$K:$K=I390), Facturas_Odoo!$N:$N, 0), 0))</f>
        <v/>
      </c>
      <c r="V390" s="79">
        <f>IF(Q390="Sin Factura",0,IFERROR(_xlfn.XLOOKUP(1, (Facturas_Odoo!$D:$D=A390) * (Facturas_Odoo!$K:$K=I390), Facturas_Odoo!$O:$O, 0), 0))</f>
        <v/>
      </c>
      <c r="W390" s="81">
        <f>IF(Q390="Sin Factura",0,IFERROR(_xlfn.XLOOKUP(1, (Facturas_Odoo!$D:$D=A390) * (Facturas_Odoo!$K:$K=I390), Facturas_Odoo!$Q:$Q, 0), 0))</f>
        <v/>
      </c>
      <c r="X390" s="79">
        <f>IF(OR(Q390="Sin Factura",Q390=""),"",IFERROR(INDEX(Pagos_Odoo!$B:$B, MATCH(Q390, Pagos_Odoo!$I:$I, 0)), "Sin Pago"))</f>
        <v/>
      </c>
      <c r="Y390" s="79">
        <f>IF(X390="Sin Pago","",IFERROR(INDEX(Pagos_Odoo!$C:$C, MATCH(X390, Pagos_Odoo!$B:$B, 0)), ""))</f>
        <v/>
      </c>
      <c r="Z390" s="80">
        <f>IF(X390="Sin Pago","",IFERROR(INDEX(Pagos_Odoo!$A:$A, MATCH(X390, Pagos_Odoo!$B:$B, 0)), ""))</f>
        <v/>
      </c>
      <c r="AA390" s="79">
        <f>IF(X390="Sin Pago","",IFERROR(INDEX(Pagos_Odoo!$F:$F, MATCH(X390, Pagos_Odoo!$B:$B, 0)), ""))</f>
        <v/>
      </c>
      <c r="AB390" s="81">
        <f>IF(X390="Sin Pago",0,IFERROR(INDEX(Pagos_Odoo!$E:$E, MATCH(X390, Pagos_Odoo!$B:$B, 0)), 0))</f>
        <v/>
      </c>
      <c r="AC390" s="79">
        <f>IF(X390="Sin Pago","",IFERROR(INDEX(Pagos_Odoo!$G:$G, MATCH(X390, Pagos_Odoo!$B:$B, 0)), ""))</f>
        <v/>
      </c>
      <c r="AD390" s="82" t="n">
        <v>0</v>
      </c>
      <c r="AE390" s="82" t="n">
        <v>0.0509</v>
      </c>
      <c r="AF390" s="82" t="n"/>
      <c r="AG390" s="82">
        <f>IF(AN390="","",AD390+AE390+AF390)</f>
        <v/>
      </c>
      <c r="AH390" s="81">
        <f>IF(AN390="","",P390*(1-AG390))</f>
        <v/>
      </c>
      <c r="AI390" s="81">
        <f>IF(AN390="","",IF(Q390="Sin Factura",0,IFERROR(INDEX(Facturas_Odoo!$H:$H, MATCH(Q390, Facturas_Odoo!$B:$B, 0)), 0)*(1-AG390)))</f>
        <v/>
      </c>
      <c r="AJ390" s="81">
        <f>IF(AN390="","",_xlfn.LET(idVenta, AN390&amp;"",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90" s="81">
        <f>IF(AN390="","",AH390-AJ390)</f>
        <v/>
      </c>
      <c r="AL390" s="81">
        <f>IF(AN390="","",IF(Q390="Sin Factura","",AI390-AJ390))</f>
        <v/>
      </c>
      <c r="AM390" s="81">
        <f>IF(AN390="","",IF(Q390="Sin Factura",0,P390-IFERROR(INDEX(Facturas_Odoo!$H:$H, MATCH(Q390, Facturas_Odoo!$B:$B, 0)), 0)))</f>
        <v/>
      </c>
      <c r="AN390" s="79">
        <f>IF(AND(A390="", J390=""), "", IF(A390&lt;&gt;"", VALUE(MID(A390,2,LEN(A390))), AN389))</f>
        <v/>
      </c>
      <c r="AO390" s="79">
        <f>IF(AN390="","",IF(AD390=0,"OK",_xlfn.LET(monedaPago, IF(AA390="","USD",AA390), limitePermitido, IFERROR(VLOOKUP(monedaPago, Configuración!$A$2:$B$3, 2, FALSE), 0.15), IF(AD390&gt;limitePermitido, "ALERTA: EXCESO (" &amp; TEXT(limitePermitido, "0%") &amp; " máx)", "OK"))))</f>
        <v/>
      </c>
      <c r="AP390" s="79">
        <f>IF(AN390="","",IF(AE390=0,"OK",_xlfn.LET(fechaPago, Z390, fechaFactura, R390, diasCredito, IF(E390="Pago inmediato", 0, IFERROR(VALUE(MID(E390, 1, SEARCH(" ", E390)-1)),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90" s="79">
        <f>IF(AN390="","",IF(AND(N390&gt;0, AG390&gt;0), IF(Configuración!$K$2="NO", "ALERTA: DESCUENTO DOBLE NO PERMITIDO", "OK"), "OK"))</f>
        <v/>
      </c>
      <c r="AR390" s="79">
        <f>IF(AN390="","",IF(OR(AO390&lt;&gt;"OK", AP390&lt;&gt;"OK", AQ390&lt;&gt;"OK"), "⚠️ REVISAR", "OK"))</f>
        <v/>
      </c>
    </row>
    <row r="391">
      <c r="A391" s="79">
        <f>IF('Ordenes_Odoo'!A391="","",'Ordenes_Odoo'!A391)</f>
        <v/>
      </c>
      <c r="B391" s="80">
        <f>IF('Ordenes_Odoo'!B391="","",'Ordenes_Odoo'!B391)</f>
        <v/>
      </c>
      <c r="C391" s="79">
        <f>IF('Ordenes_Odoo'!C391="","",'Ordenes_Odoo'!C391)</f>
        <v/>
      </c>
      <c r="D391" s="79">
        <f>IF('Ordenes_Odoo'!D391="","",'Ordenes_Odoo'!D391)</f>
        <v/>
      </c>
      <c r="E391" s="79">
        <f>IF('Ordenes_Odoo'!E391="","",'Ordenes_Odoo'!E391)</f>
        <v/>
      </c>
      <c r="F391" s="79">
        <f>IF('Ordenes_Odoo'!F391="","",'Ordenes_Odoo'!F391)</f>
        <v/>
      </c>
      <c r="G391" s="79">
        <f>IF('Ordenes_Odoo'!G391="","",'Ordenes_Odoo'!G391)</f>
        <v/>
      </c>
      <c r="H391" s="79">
        <f>IF('Ordenes_Odoo'!H391="","",'Ordenes_Odoo'!H391)</f>
        <v/>
      </c>
      <c r="I391" s="79">
        <f>IF('Ordenes_Odoo'!I391="","",'Ordenes_Odoo'!I391)</f>
        <v/>
      </c>
      <c r="J391" s="79">
        <f>IF('Ordenes_Odoo'!J391="","",'Ordenes_Odoo'!J391)</f>
        <v/>
      </c>
      <c r="K391" s="81">
        <f>IF('Ordenes_Odoo'!K391="","",'Ordenes_Odoo'!K391)</f>
        <v/>
      </c>
      <c r="L391" s="81">
        <f>IF('Ordenes_Odoo'!L391="","",'Ordenes_Odoo'!L391)</f>
        <v/>
      </c>
      <c r="M391" s="79">
        <f>IF('Ordenes_Odoo'!M391="","",'Ordenes_Odoo'!M391)</f>
        <v/>
      </c>
      <c r="N391" s="79">
        <f>IF('Ordenes_Odoo'!N391="","",'Ordenes_Odoo'!N391)</f>
        <v/>
      </c>
      <c r="O391" s="81">
        <f>IF('Ordenes_Odoo'!O391="","",'Ordenes_Odoo'!O391)</f>
        <v/>
      </c>
      <c r="P391" s="81">
        <f>IF('Ordenes_Odoo'!P391="","",'Ordenes_Odoo'!P391)</f>
        <v/>
      </c>
      <c r="Q391" s="79">
        <f>IF(A391="","",IFERROR(INDEX(Facturas_Odoo!$B:$B, MATCH(A391, Facturas_Odoo!$D:$D, 0)), "Sin Factura"))</f>
        <v/>
      </c>
      <c r="R391" s="80">
        <f>IF(Q391="Sin Factura","",IFERROR(INDEX(Facturas_Odoo!$A:$A, MATCH(Q391, Facturas_Odoo!$B:$B, 0)), ""))</f>
        <v/>
      </c>
      <c r="S391" s="79">
        <f>IF(Q391="Sin Factura","",IFERROR(_xlfn.XLOOKUP(1, (Facturas_Odoo!$D:$D=A391) * (Facturas_Odoo!$K:$K=I391), Facturas_Odoo!$L:$L, ""), ""))</f>
        <v/>
      </c>
      <c r="T391" s="81">
        <f>IF(Q391="Sin Factura",0,IFERROR(_xlfn.XLOOKUP(1, (Facturas_Odoo!$D:$D=A391) * (Facturas_Odoo!$K:$K=I391), Facturas_Odoo!$M:$M, 0), 0))</f>
        <v/>
      </c>
      <c r="U391" s="79">
        <f>IF(Q391="Sin Factura",0,IFERROR(_xlfn.XLOOKUP(1, (Facturas_Odoo!$D:$D=A391) * (Facturas_Odoo!$K:$K=I391), Facturas_Odoo!$N:$N, 0), 0))</f>
        <v/>
      </c>
      <c r="V391" s="79">
        <f>IF(Q391="Sin Factura",0,IFERROR(_xlfn.XLOOKUP(1, (Facturas_Odoo!$D:$D=A391) * (Facturas_Odoo!$K:$K=I391), Facturas_Odoo!$O:$O, 0), 0))</f>
        <v/>
      </c>
      <c r="W391" s="81">
        <f>IF(Q391="Sin Factura",0,IFERROR(_xlfn.XLOOKUP(1, (Facturas_Odoo!$D:$D=A391) * (Facturas_Odoo!$K:$K=I391), Facturas_Odoo!$Q:$Q, 0), 0))</f>
        <v/>
      </c>
      <c r="X391" s="79">
        <f>IF(OR(Q391="Sin Factura",Q391=""),"",IFERROR(INDEX(Pagos_Odoo!$B:$B, MATCH(Q391, Pagos_Odoo!$I:$I, 0)), "Sin Pago"))</f>
        <v/>
      </c>
      <c r="Y391" s="79">
        <f>IF(X391="Sin Pago","",IFERROR(INDEX(Pagos_Odoo!$C:$C, MATCH(X391, Pagos_Odoo!$B:$B, 0)), ""))</f>
        <v/>
      </c>
      <c r="Z391" s="80">
        <f>IF(X391="Sin Pago","",IFERROR(INDEX(Pagos_Odoo!$A:$A, MATCH(X391, Pagos_Odoo!$B:$B, 0)), ""))</f>
        <v/>
      </c>
      <c r="AA391" s="79">
        <f>IF(X391="Sin Pago","",IFERROR(INDEX(Pagos_Odoo!$F:$F, MATCH(X391, Pagos_Odoo!$B:$B, 0)), ""))</f>
        <v/>
      </c>
      <c r="AB391" s="81">
        <f>IF(X391="Sin Pago",0,IFERROR(INDEX(Pagos_Odoo!$E:$E, MATCH(X391, Pagos_Odoo!$B:$B, 0)), 0))</f>
        <v/>
      </c>
      <c r="AC391" s="79">
        <f>IF(X391="Sin Pago","",IFERROR(INDEX(Pagos_Odoo!$G:$G, MATCH(X391, Pagos_Odoo!$B:$B, 0)), ""))</f>
        <v/>
      </c>
      <c r="AD391" s="82" t="n">
        <v>0</v>
      </c>
      <c r="AE391" s="82" t="n"/>
      <c r="AF391" s="82" t="n"/>
      <c r="AG391" s="82">
        <f>IF(AN391="","",AD391+AE391+AF391)</f>
        <v/>
      </c>
      <c r="AH391" s="81">
        <f>IF(AN391="","",P391*(1-AG391))</f>
        <v/>
      </c>
      <c r="AI391" s="81">
        <f>IF(AN391="","",IF(Q391="Sin Factura",0,IFERROR(INDEX(Facturas_Odoo!$H:$H, MATCH(Q391, Facturas_Odoo!$B:$B, 0)), 0)*(1-AG391)))</f>
        <v/>
      </c>
      <c r="AJ391" s="81">
        <f>IF(AN391="","",_xlfn.LET(idVenta, AN391&amp;"",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91" s="81">
        <f>IF(AN391="","",AH391-AJ391)</f>
        <v/>
      </c>
      <c r="AL391" s="81">
        <f>IF(AN391="","",IF(Q391="Sin Factura","",AI391-AJ391))</f>
        <v/>
      </c>
      <c r="AM391" s="81">
        <f>IF(AN391="","",IF(Q391="Sin Factura",0,P391-IFERROR(INDEX(Facturas_Odoo!$H:$H, MATCH(Q391, Facturas_Odoo!$B:$B, 0)), 0)))</f>
        <v/>
      </c>
      <c r="AN391" s="79">
        <f>IF(AND(A391="", J391=""), "", IF(A391&lt;&gt;"", VALUE(MID(A391,2,LEN(A391))), AN390))</f>
        <v/>
      </c>
      <c r="AO391" s="79">
        <f>IF(AN391="","",IF(AD391=0,"OK",_xlfn.LET(monedaPago, IF(AA391="","USD",AA391), limitePermitido, IFERROR(VLOOKUP(monedaPago, Configuración!$A$2:$B$3, 2, FALSE), 0.15), IF(AD391&gt;limitePermitido, "ALERTA: EXCESO (" &amp; TEXT(limitePermitido, "0%") &amp; " máx)", "OK"))))</f>
        <v/>
      </c>
      <c r="AP391" s="79">
        <f>IF(AN391="","",IF(AE391=0,"OK",_xlfn.LET(fechaPago, Z391, fechaFactura, R391, diasCredito, IF(E391="Pago inmediato", 0, IFERROR(VALUE(MID(E391, 1, SEARCH(" ", E391)-1)),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91" s="79">
        <f>IF(AN391="","",IF(AND(N391&gt;0, AG391&gt;0), IF(Configuración!$K$2="NO", "ALERTA: DESCUENTO DOBLE NO PERMITIDO", "OK"), "OK"))</f>
        <v/>
      </c>
      <c r="AR391" s="79">
        <f>IF(AN391="","",IF(OR(AO391&lt;&gt;"OK", AP391&lt;&gt;"OK", AQ391&lt;&gt;"OK"), "⚠️ REVISAR", "OK"))</f>
        <v/>
      </c>
    </row>
    <row r="392">
      <c r="A392" s="79">
        <f>IF('Ordenes_Odoo'!A392="","",'Ordenes_Odoo'!A392)</f>
        <v/>
      </c>
      <c r="B392" s="80">
        <f>IF('Ordenes_Odoo'!B392="","",'Ordenes_Odoo'!B392)</f>
        <v/>
      </c>
      <c r="C392" s="79">
        <f>IF('Ordenes_Odoo'!C392="","",'Ordenes_Odoo'!C392)</f>
        <v/>
      </c>
      <c r="D392" s="79">
        <f>IF('Ordenes_Odoo'!D392="","",'Ordenes_Odoo'!D392)</f>
        <v/>
      </c>
      <c r="E392" s="79">
        <f>IF('Ordenes_Odoo'!E392="","",'Ordenes_Odoo'!E392)</f>
        <v/>
      </c>
      <c r="F392" s="79">
        <f>IF('Ordenes_Odoo'!F392="","",'Ordenes_Odoo'!F392)</f>
        <v/>
      </c>
      <c r="G392" s="79">
        <f>IF('Ordenes_Odoo'!G392="","",'Ordenes_Odoo'!G392)</f>
        <v/>
      </c>
      <c r="H392" s="79">
        <f>IF('Ordenes_Odoo'!H392="","",'Ordenes_Odoo'!H392)</f>
        <v/>
      </c>
      <c r="I392" s="79">
        <f>IF('Ordenes_Odoo'!I392="","",'Ordenes_Odoo'!I392)</f>
        <v/>
      </c>
      <c r="J392" s="79">
        <f>IF('Ordenes_Odoo'!J392="","",'Ordenes_Odoo'!J392)</f>
        <v/>
      </c>
      <c r="K392" s="81">
        <f>IF('Ordenes_Odoo'!K392="","",'Ordenes_Odoo'!K392)</f>
        <v/>
      </c>
      <c r="L392" s="81">
        <f>IF('Ordenes_Odoo'!L392="","",'Ordenes_Odoo'!L392)</f>
        <v/>
      </c>
      <c r="M392" s="79">
        <f>IF('Ordenes_Odoo'!M392="","",'Ordenes_Odoo'!M392)</f>
        <v/>
      </c>
      <c r="N392" s="79">
        <f>IF('Ordenes_Odoo'!N392="","",'Ordenes_Odoo'!N392)</f>
        <v/>
      </c>
      <c r="O392" s="81">
        <f>IF('Ordenes_Odoo'!O392="","",'Ordenes_Odoo'!O392)</f>
        <v/>
      </c>
      <c r="P392" s="81">
        <f>IF('Ordenes_Odoo'!P392="","",'Ordenes_Odoo'!P392)</f>
        <v/>
      </c>
      <c r="Q392" s="79">
        <f>IF(A392="","",IFERROR(INDEX(Facturas_Odoo!$B:$B, MATCH(A392, Facturas_Odoo!$D:$D, 0)), "Sin Factura"))</f>
        <v/>
      </c>
      <c r="R392" s="80">
        <f>IF(Q392="Sin Factura","",IFERROR(INDEX(Facturas_Odoo!$A:$A, MATCH(Q392, Facturas_Odoo!$B:$B, 0)), ""))</f>
        <v/>
      </c>
      <c r="S392" s="79">
        <f>IF(Q392="Sin Factura","",IFERROR(_xlfn.XLOOKUP(1, (Facturas_Odoo!$D:$D=A392) * (Facturas_Odoo!$K:$K=I392), Facturas_Odoo!$L:$L, ""), ""))</f>
        <v/>
      </c>
      <c r="T392" s="81">
        <f>IF(Q392="Sin Factura",0,IFERROR(_xlfn.XLOOKUP(1, (Facturas_Odoo!$D:$D=A392) * (Facturas_Odoo!$K:$K=I392), Facturas_Odoo!$M:$M, 0), 0))</f>
        <v/>
      </c>
      <c r="U392" s="79">
        <f>IF(Q392="Sin Factura",0,IFERROR(_xlfn.XLOOKUP(1, (Facturas_Odoo!$D:$D=A392) * (Facturas_Odoo!$K:$K=I392), Facturas_Odoo!$N:$N, 0), 0))</f>
        <v/>
      </c>
      <c r="V392" s="79">
        <f>IF(Q392="Sin Factura",0,IFERROR(_xlfn.XLOOKUP(1, (Facturas_Odoo!$D:$D=A392) * (Facturas_Odoo!$K:$K=I392), Facturas_Odoo!$O:$O, 0), 0))</f>
        <v/>
      </c>
      <c r="W392" s="81">
        <f>IF(Q392="Sin Factura",0,IFERROR(_xlfn.XLOOKUP(1, (Facturas_Odoo!$D:$D=A392) * (Facturas_Odoo!$K:$K=I392), Facturas_Odoo!$Q:$Q, 0), 0))</f>
        <v/>
      </c>
      <c r="X392" s="79">
        <f>IF(OR(Q392="Sin Factura",Q392=""),"",IFERROR(INDEX(Pagos_Odoo!$B:$B, MATCH(Q392, Pagos_Odoo!$I:$I, 0)), "Sin Pago"))</f>
        <v/>
      </c>
      <c r="Y392" s="79">
        <f>IF(X392="Sin Pago","",IFERROR(INDEX(Pagos_Odoo!$C:$C, MATCH(X392, Pagos_Odoo!$B:$B, 0)), ""))</f>
        <v/>
      </c>
      <c r="Z392" s="80">
        <f>IF(X392="Sin Pago","",IFERROR(INDEX(Pagos_Odoo!$A:$A, MATCH(X392, Pagos_Odoo!$B:$B, 0)), ""))</f>
        <v/>
      </c>
      <c r="AA392" s="79">
        <f>IF(X392="Sin Pago","",IFERROR(INDEX(Pagos_Odoo!$F:$F, MATCH(X392, Pagos_Odoo!$B:$B, 0)), ""))</f>
        <v/>
      </c>
      <c r="AB392" s="81">
        <f>IF(X392="Sin Pago",0,IFERROR(INDEX(Pagos_Odoo!$E:$E, MATCH(X392, Pagos_Odoo!$B:$B, 0)), 0))</f>
        <v/>
      </c>
      <c r="AC392" s="79">
        <f>IF(X392="Sin Pago","",IFERROR(INDEX(Pagos_Odoo!$G:$G, MATCH(X392, Pagos_Odoo!$B:$B, 0)), ""))</f>
        <v/>
      </c>
      <c r="AD392" s="82" t="n">
        <v>0</v>
      </c>
      <c r="AE392" s="82" t="n"/>
      <c r="AF392" s="82" t="n"/>
      <c r="AG392" s="82">
        <f>IF(AN392="","",AD392+AE392+AF392)</f>
        <v/>
      </c>
      <c r="AH392" s="81">
        <f>IF(AN392="","",P392*(1-AG392))</f>
        <v/>
      </c>
      <c r="AI392" s="81">
        <f>IF(AN392="","",IF(Q392="Sin Factura",0,IFERROR(INDEX(Facturas_Odoo!$H:$H, MATCH(Q392, Facturas_Odoo!$B:$B, 0)), 0)*(1-AG392)))</f>
        <v/>
      </c>
      <c r="AJ392" s="81">
        <f>IF(AN392="","",_xlfn.LET(idVenta, AN392&amp;"",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92" s="81">
        <f>IF(AN392="","",AH392-AJ392)</f>
        <v/>
      </c>
      <c r="AL392" s="81">
        <f>IF(AN392="","",IF(Q392="Sin Factura","",AI392-AJ392))</f>
        <v/>
      </c>
      <c r="AM392" s="81">
        <f>IF(AN392="","",IF(Q392="Sin Factura",0,P392-IFERROR(INDEX(Facturas_Odoo!$H:$H, MATCH(Q392, Facturas_Odoo!$B:$B, 0)), 0)))</f>
        <v/>
      </c>
      <c r="AN392" s="79">
        <f>IF(AND(A392="", J392=""), "", IF(A392&lt;&gt;"", VALUE(MID(A392,2,LEN(A392))), AN391))</f>
        <v/>
      </c>
      <c r="AO392" s="79">
        <f>IF(AN392="","",IF(AD392=0,"OK",_xlfn.LET(monedaPago, IF(AA392="","USD",AA392), limitePermitido, IFERROR(VLOOKUP(monedaPago, Configuración!$A$2:$B$3, 2, FALSE), 0.15), IF(AD392&gt;limitePermitido, "ALERTA: EXCESO (" &amp; TEXT(limitePermitido, "0%") &amp; " máx)", "OK"))))</f>
        <v/>
      </c>
      <c r="AP392" s="79">
        <f>IF(AN392="","",IF(AE392=0,"OK",_xlfn.LET(fechaPago, Z392, fechaFactura, R392, diasCredito, IF(E392="Pago inmediato", 0, IFERROR(VALUE(MID(E392, 1, SEARCH(" ", E392)-1)),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92" s="79">
        <f>IF(AN392="","",IF(AND(N392&gt;0, AG392&gt;0), IF(Configuración!$K$2="NO", "ALERTA: DESCUENTO DOBLE NO PERMITIDO", "OK"), "OK"))</f>
        <v/>
      </c>
      <c r="AR392" s="79">
        <f>IF(AN392="","",IF(OR(AO392&lt;&gt;"OK", AP392&lt;&gt;"OK", AQ392&lt;&gt;"OK"), "⚠️ REVISAR", "OK"))</f>
        <v/>
      </c>
    </row>
    <row r="393">
      <c r="A393" s="79">
        <f>IF('Ordenes_Odoo'!A393="","",'Ordenes_Odoo'!A393)</f>
        <v/>
      </c>
      <c r="B393" s="80">
        <f>IF('Ordenes_Odoo'!B393="","",'Ordenes_Odoo'!B393)</f>
        <v/>
      </c>
      <c r="C393" s="79">
        <f>IF('Ordenes_Odoo'!C393="","",'Ordenes_Odoo'!C393)</f>
        <v/>
      </c>
      <c r="D393" s="79">
        <f>IF('Ordenes_Odoo'!D393="","",'Ordenes_Odoo'!D393)</f>
        <v/>
      </c>
      <c r="E393" s="79">
        <f>IF('Ordenes_Odoo'!E393="","",'Ordenes_Odoo'!E393)</f>
        <v/>
      </c>
      <c r="F393" s="79">
        <f>IF('Ordenes_Odoo'!F393="","",'Ordenes_Odoo'!F393)</f>
        <v/>
      </c>
      <c r="G393" s="79">
        <f>IF('Ordenes_Odoo'!G393="","",'Ordenes_Odoo'!G393)</f>
        <v/>
      </c>
      <c r="H393" s="79">
        <f>IF('Ordenes_Odoo'!H393="","",'Ordenes_Odoo'!H393)</f>
        <v/>
      </c>
      <c r="I393" s="79">
        <f>IF('Ordenes_Odoo'!I393="","",'Ordenes_Odoo'!I393)</f>
        <v/>
      </c>
      <c r="J393" s="79">
        <f>IF('Ordenes_Odoo'!J393="","",'Ordenes_Odoo'!J393)</f>
        <v/>
      </c>
      <c r="K393" s="81">
        <f>IF('Ordenes_Odoo'!K393="","",'Ordenes_Odoo'!K393)</f>
        <v/>
      </c>
      <c r="L393" s="81">
        <f>IF('Ordenes_Odoo'!L393="","",'Ordenes_Odoo'!L393)</f>
        <v/>
      </c>
      <c r="M393" s="79">
        <f>IF('Ordenes_Odoo'!M393="","",'Ordenes_Odoo'!M393)</f>
        <v/>
      </c>
      <c r="N393" s="79">
        <f>IF('Ordenes_Odoo'!N393="","",'Ordenes_Odoo'!N393)</f>
        <v/>
      </c>
      <c r="O393" s="81">
        <f>IF('Ordenes_Odoo'!O393="","",'Ordenes_Odoo'!O393)</f>
        <v/>
      </c>
      <c r="P393" s="81">
        <f>IF('Ordenes_Odoo'!P393="","",'Ordenes_Odoo'!P393)</f>
        <v/>
      </c>
      <c r="Q393" s="79">
        <f>IF(A393="","",IFERROR(INDEX(Facturas_Odoo!$B:$B, MATCH(A393, Facturas_Odoo!$D:$D, 0)), "Sin Factura"))</f>
        <v/>
      </c>
      <c r="R393" s="80">
        <f>IF(Q393="Sin Factura","",IFERROR(INDEX(Facturas_Odoo!$A:$A, MATCH(Q393, Facturas_Odoo!$B:$B, 0)), ""))</f>
        <v/>
      </c>
      <c r="S393" s="79">
        <f>IF(Q393="Sin Factura","",IFERROR(_xlfn.XLOOKUP(1, (Facturas_Odoo!$D:$D=A393) * (Facturas_Odoo!$K:$K=I393), Facturas_Odoo!$L:$L, ""), ""))</f>
        <v/>
      </c>
      <c r="T393" s="81">
        <f>IF(Q393="Sin Factura",0,IFERROR(_xlfn.XLOOKUP(1, (Facturas_Odoo!$D:$D=A393) * (Facturas_Odoo!$K:$K=I393), Facturas_Odoo!$M:$M, 0), 0))</f>
        <v/>
      </c>
      <c r="U393" s="79">
        <f>IF(Q393="Sin Factura",0,IFERROR(_xlfn.XLOOKUP(1, (Facturas_Odoo!$D:$D=A393) * (Facturas_Odoo!$K:$K=I393), Facturas_Odoo!$N:$N, 0), 0))</f>
        <v/>
      </c>
      <c r="V393" s="79">
        <f>IF(Q393="Sin Factura",0,IFERROR(_xlfn.XLOOKUP(1, (Facturas_Odoo!$D:$D=A393) * (Facturas_Odoo!$K:$K=I393), Facturas_Odoo!$O:$O, 0), 0))</f>
        <v/>
      </c>
      <c r="W393" s="81">
        <f>IF(Q393="Sin Factura",0,IFERROR(_xlfn.XLOOKUP(1, (Facturas_Odoo!$D:$D=A393) * (Facturas_Odoo!$K:$K=I393), Facturas_Odoo!$Q:$Q, 0), 0))</f>
        <v/>
      </c>
      <c r="X393" s="79">
        <f>IF(OR(Q393="Sin Factura",Q393=""),"",IFERROR(INDEX(Pagos_Odoo!$B:$B, MATCH(Q393, Pagos_Odoo!$I:$I, 0)), "Sin Pago"))</f>
        <v/>
      </c>
      <c r="Y393" s="79">
        <f>IF(X393="Sin Pago","",IFERROR(INDEX(Pagos_Odoo!$C:$C, MATCH(X393, Pagos_Odoo!$B:$B, 0)), ""))</f>
        <v/>
      </c>
      <c r="Z393" s="80">
        <f>IF(X393="Sin Pago","",IFERROR(INDEX(Pagos_Odoo!$A:$A, MATCH(X393, Pagos_Odoo!$B:$B, 0)), ""))</f>
        <v/>
      </c>
      <c r="AA393" s="79">
        <f>IF(X393="Sin Pago","",IFERROR(INDEX(Pagos_Odoo!$F:$F, MATCH(X393, Pagos_Odoo!$B:$B, 0)), ""))</f>
        <v/>
      </c>
      <c r="AB393" s="81">
        <f>IF(X393="Sin Pago",0,IFERROR(INDEX(Pagos_Odoo!$E:$E, MATCH(X393, Pagos_Odoo!$B:$B, 0)), 0))</f>
        <v/>
      </c>
      <c r="AC393" s="79">
        <f>IF(X393="Sin Pago","",IFERROR(INDEX(Pagos_Odoo!$G:$G, MATCH(X393, Pagos_Odoo!$B:$B, 0)), ""))</f>
        <v/>
      </c>
      <c r="AD393" s="82" t="n">
        <v>0</v>
      </c>
      <c r="AE393" s="82" t="n"/>
      <c r="AF393" s="82" t="n"/>
      <c r="AG393" s="82">
        <f>IF(AN393="","",AD393+AE393+AF393)</f>
        <v/>
      </c>
      <c r="AH393" s="81">
        <f>IF(AN393="","",P393*(1-AG393))</f>
        <v/>
      </c>
      <c r="AI393" s="81">
        <f>IF(AN393="","",IF(Q393="Sin Factura",0,IFERROR(INDEX(Facturas_Odoo!$H:$H, MATCH(Q393, Facturas_Odoo!$B:$B, 0)), 0)*(1-AG393)))</f>
        <v/>
      </c>
      <c r="AJ393" s="81">
        <f>IF(AN393="","",_xlfn.LET(idVenta, AN393&amp;"",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93" s="81">
        <f>IF(AN393="","",AH393-AJ393)</f>
        <v/>
      </c>
      <c r="AL393" s="81">
        <f>IF(AN393="","",IF(Q393="Sin Factura","",AI393-AJ393))</f>
        <v/>
      </c>
      <c r="AM393" s="81">
        <f>IF(AN393="","",IF(Q393="Sin Factura",0,P393-IFERROR(INDEX(Facturas_Odoo!$H:$H, MATCH(Q393, Facturas_Odoo!$B:$B, 0)), 0)))</f>
        <v/>
      </c>
      <c r="AN393" s="79">
        <f>IF(AND(A393="", J393=""), "", IF(A393&lt;&gt;"", VALUE(MID(A393,2,LEN(A393))), AN392))</f>
        <v/>
      </c>
      <c r="AO393" s="79">
        <f>IF(AN393="","",IF(AD393=0,"OK",_xlfn.LET(monedaPago, IF(AA393="","USD",AA393), limitePermitido, IFERROR(VLOOKUP(monedaPago, Configuración!$A$2:$B$3, 2, FALSE), 0.15), IF(AD393&gt;limitePermitido, "ALERTA: EXCESO (" &amp; TEXT(limitePermitido, "0%") &amp; " máx)", "OK"))))</f>
        <v/>
      </c>
      <c r="AP393" s="79">
        <f>IF(AN393="","",IF(AE393=0,"OK",_xlfn.LET(fechaPago, Z393, fechaFactura, R393, diasCredito, IF(E393="Pago inmediato", 0, IFERROR(VALUE(MID(E393, 1, SEARCH(" ", E393)-1)),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93" s="79">
        <f>IF(AN393="","",IF(AND(N393&gt;0, AG393&gt;0), IF(Configuración!$K$2="NO", "ALERTA: DESCUENTO DOBLE NO PERMITIDO", "OK"), "OK"))</f>
        <v/>
      </c>
      <c r="AR393" s="79">
        <f>IF(AN393="","",IF(OR(AO393&lt;&gt;"OK", AP393&lt;&gt;"OK", AQ393&lt;&gt;"OK"), "⚠️ REVISAR", "OK"))</f>
        <v/>
      </c>
    </row>
    <row r="394">
      <c r="A394" s="79">
        <f>IF('Ordenes_Odoo'!A394="","",'Ordenes_Odoo'!A394)</f>
        <v/>
      </c>
      <c r="B394" s="80">
        <f>IF('Ordenes_Odoo'!B394="","",'Ordenes_Odoo'!B394)</f>
        <v/>
      </c>
      <c r="C394" s="79">
        <f>IF('Ordenes_Odoo'!C394="","",'Ordenes_Odoo'!C394)</f>
        <v/>
      </c>
      <c r="D394" s="79">
        <f>IF('Ordenes_Odoo'!D394="","",'Ordenes_Odoo'!D394)</f>
        <v/>
      </c>
      <c r="E394" s="79">
        <f>IF('Ordenes_Odoo'!E394="","",'Ordenes_Odoo'!E394)</f>
        <v/>
      </c>
      <c r="F394" s="79">
        <f>IF('Ordenes_Odoo'!F394="","",'Ordenes_Odoo'!F394)</f>
        <v/>
      </c>
      <c r="G394" s="79">
        <f>IF('Ordenes_Odoo'!G394="","",'Ordenes_Odoo'!G394)</f>
        <v/>
      </c>
      <c r="H394" s="79">
        <f>IF('Ordenes_Odoo'!H394="","",'Ordenes_Odoo'!H394)</f>
        <v/>
      </c>
      <c r="I394" s="79">
        <f>IF('Ordenes_Odoo'!I394="","",'Ordenes_Odoo'!I394)</f>
        <v/>
      </c>
      <c r="J394" s="79">
        <f>IF('Ordenes_Odoo'!J394="","",'Ordenes_Odoo'!J394)</f>
        <v/>
      </c>
      <c r="K394" s="81">
        <f>IF('Ordenes_Odoo'!K394="","",'Ordenes_Odoo'!K394)</f>
        <v/>
      </c>
      <c r="L394" s="81">
        <f>IF('Ordenes_Odoo'!L394="","",'Ordenes_Odoo'!L394)</f>
        <v/>
      </c>
      <c r="M394" s="79">
        <f>IF('Ordenes_Odoo'!M394="","",'Ordenes_Odoo'!M394)</f>
        <v/>
      </c>
      <c r="N394" s="79">
        <f>IF('Ordenes_Odoo'!N394="","",'Ordenes_Odoo'!N394)</f>
        <v/>
      </c>
      <c r="O394" s="81">
        <f>IF('Ordenes_Odoo'!O394="","",'Ordenes_Odoo'!O394)</f>
        <v/>
      </c>
      <c r="P394" s="81">
        <f>IF('Ordenes_Odoo'!P394="","",'Ordenes_Odoo'!P394)</f>
        <v/>
      </c>
      <c r="Q394" s="79">
        <f>IF(A394="","",IFERROR(INDEX(Facturas_Odoo!$B:$B, MATCH(A394, Facturas_Odoo!$D:$D, 0)), "Sin Factura"))</f>
        <v/>
      </c>
      <c r="R394" s="80">
        <f>IF(Q394="Sin Factura","",IFERROR(INDEX(Facturas_Odoo!$A:$A, MATCH(Q394, Facturas_Odoo!$B:$B, 0)), ""))</f>
        <v/>
      </c>
      <c r="S394" s="79">
        <f>IF(Q394="Sin Factura","",IFERROR(_xlfn.XLOOKUP(1, (Facturas_Odoo!$D:$D=A394) * (Facturas_Odoo!$K:$K=I394), Facturas_Odoo!$L:$L, ""), ""))</f>
        <v/>
      </c>
      <c r="T394" s="81">
        <f>IF(Q394="Sin Factura",0,IFERROR(_xlfn.XLOOKUP(1, (Facturas_Odoo!$D:$D=A394) * (Facturas_Odoo!$K:$K=I394), Facturas_Odoo!$M:$M, 0), 0))</f>
        <v/>
      </c>
      <c r="U394" s="79">
        <f>IF(Q394="Sin Factura",0,IFERROR(_xlfn.XLOOKUP(1, (Facturas_Odoo!$D:$D=A394) * (Facturas_Odoo!$K:$K=I394), Facturas_Odoo!$N:$N, 0), 0))</f>
        <v/>
      </c>
      <c r="V394" s="79">
        <f>IF(Q394="Sin Factura",0,IFERROR(_xlfn.XLOOKUP(1, (Facturas_Odoo!$D:$D=A394) * (Facturas_Odoo!$K:$K=I394), Facturas_Odoo!$O:$O, 0), 0))</f>
        <v/>
      </c>
      <c r="W394" s="81">
        <f>IF(Q394="Sin Factura",0,IFERROR(_xlfn.XLOOKUP(1, (Facturas_Odoo!$D:$D=A394) * (Facturas_Odoo!$K:$K=I394), Facturas_Odoo!$Q:$Q, 0), 0))</f>
        <v/>
      </c>
      <c r="X394" s="79">
        <f>IF(OR(Q394="Sin Factura",Q394=""),"",IFERROR(INDEX(Pagos_Odoo!$B:$B, MATCH(Q394, Pagos_Odoo!$I:$I, 0)), "Sin Pago"))</f>
        <v/>
      </c>
      <c r="Y394" s="79">
        <f>IF(X394="Sin Pago","",IFERROR(INDEX(Pagos_Odoo!$C:$C, MATCH(X394, Pagos_Odoo!$B:$B, 0)), ""))</f>
        <v/>
      </c>
      <c r="Z394" s="80">
        <f>IF(X394="Sin Pago","",IFERROR(INDEX(Pagos_Odoo!$A:$A, MATCH(X394, Pagos_Odoo!$B:$B, 0)), ""))</f>
        <v/>
      </c>
      <c r="AA394" s="79">
        <f>IF(X394="Sin Pago","",IFERROR(INDEX(Pagos_Odoo!$F:$F, MATCH(X394, Pagos_Odoo!$B:$B, 0)), ""))</f>
        <v/>
      </c>
      <c r="AB394" s="81">
        <f>IF(X394="Sin Pago",0,IFERROR(INDEX(Pagos_Odoo!$E:$E, MATCH(X394, Pagos_Odoo!$B:$B, 0)), 0))</f>
        <v/>
      </c>
      <c r="AC394" s="79">
        <f>IF(X394="Sin Pago","",IFERROR(INDEX(Pagos_Odoo!$G:$G, MATCH(X394, Pagos_Odoo!$B:$B, 0)), ""))</f>
        <v/>
      </c>
      <c r="AD394" s="82" t="n">
        <v>0</v>
      </c>
      <c r="AE394" s="82" t="n"/>
      <c r="AF394" s="82" t="n"/>
      <c r="AG394" s="82">
        <f>IF(AN394="","",AD394+AE394+AF394)</f>
        <v/>
      </c>
      <c r="AH394" s="81">
        <f>IF(AN394="","",P394*(1-AG394))</f>
        <v/>
      </c>
      <c r="AI394" s="81">
        <f>IF(AN394="","",IF(Q394="Sin Factura",0,IFERROR(INDEX(Facturas_Odoo!$H:$H, MATCH(Q394, Facturas_Odoo!$B:$B, 0)), 0)*(1-AG394)))</f>
        <v/>
      </c>
      <c r="AJ394" s="81">
        <f>IF(AN394="","",_xlfn.LET(idVenta, AN394&amp;"",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94" s="81">
        <f>IF(AN394="","",AH394-AJ394)</f>
        <v/>
      </c>
      <c r="AL394" s="81">
        <f>IF(AN394="","",IF(Q394="Sin Factura","",AI394-AJ394))</f>
        <v/>
      </c>
      <c r="AM394" s="81">
        <f>IF(AN394="","",IF(Q394="Sin Factura",0,P394-IFERROR(INDEX(Facturas_Odoo!$H:$H, MATCH(Q394, Facturas_Odoo!$B:$B, 0)), 0)))</f>
        <v/>
      </c>
      <c r="AN394" s="79">
        <f>IF(AND(A394="", J394=""), "", IF(A394&lt;&gt;"", VALUE(MID(A394,2,LEN(A394))), AN393))</f>
        <v/>
      </c>
      <c r="AO394" s="79">
        <f>IF(AN394="","",IF(AD394=0,"OK",_xlfn.LET(monedaPago, IF(AA394="","USD",AA394), limitePermitido, IFERROR(VLOOKUP(monedaPago, Configuración!$A$2:$B$3, 2, FALSE), 0.15), IF(AD394&gt;limitePermitido, "ALERTA: EXCESO (" &amp; TEXT(limitePermitido, "0%") &amp; " máx)", "OK"))))</f>
        <v/>
      </c>
      <c r="AP394" s="79">
        <f>IF(AN394="","",IF(AE394=0,"OK",_xlfn.LET(fechaPago, Z394, fechaFactura, R394, diasCredito, IF(E394="Pago inmediato", 0, IFERROR(VALUE(MID(E394, 1, SEARCH(" ", E394)-1)),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94" s="79">
        <f>IF(AN394="","",IF(AND(N394&gt;0, AG394&gt;0), IF(Configuración!$K$2="NO", "ALERTA: DESCUENTO DOBLE NO PERMITIDO", "OK"), "OK"))</f>
        <v/>
      </c>
      <c r="AR394" s="79">
        <f>IF(AN394="","",IF(OR(AO394&lt;&gt;"OK", AP394&lt;&gt;"OK", AQ394&lt;&gt;"OK"), "⚠️ REVISAR", "OK"))</f>
        <v/>
      </c>
    </row>
    <row r="395">
      <c r="A395" s="79">
        <f>IF('Ordenes_Odoo'!A395="","",'Ordenes_Odoo'!A395)</f>
        <v/>
      </c>
      <c r="B395" s="80">
        <f>IF('Ordenes_Odoo'!B395="","",'Ordenes_Odoo'!B395)</f>
        <v/>
      </c>
      <c r="C395" s="79">
        <f>IF('Ordenes_Odoo'!C395="","",'Ordenes_Odoo'!C395)</f>
        <v/>
      </c>
      <c r="D395" s="79">
        <f>IF('Ordenes_Odoo'!D395="","",'Ordenes_Odoo'!D395)</f>
        <v/>
      </c>
      <c r="E395" s="79">
        <f>IF('Ordenes_Odoo'!E395="","",'Ordenes_Odoo'!E395)</f>
        <v/>
      </c>
      <c r="F395" s="79">
        <f>IF('Ordenes_Odoo'!F395="","",'Ordenes_Odoo'!F395)</f>
        <v/>
      </c>
      <c r="G395" s="79">
        <f>IF('Ordenes_Odoo'!G395="","",'Ordenes_Odoo'!G395)</f>
        <v/>
      </c>
      <c r="H395" s="79">
        <f>IF('Ordenes_Odoo'!H395="","",'Ordenes_Odoo'!H395)</f>
        <v/>
      </c>
      <c r="I395" s="79">
        <f>IF('Ordenes_Odoo'!I395="","",'Ordenes_Odoo'!I395)</f>
        <v/>
      </c>
      <c r="J395" s="79">
        <f>IF('Ordenes_Odoo'!J395="","",'Ordenes_Odoo'!J395)</f>
        <v/>
      </c>
      <c r="K395" s="81">
        <f>IF('Ordenes_Odoo'!K395="","",'Ordenes_Odoo'!K395)</f>
        <v/>
      </c>
      <c r="L395" s="81">
        <f>IF('Ordenes_Odoo'!L395="","",'Ordenes_Odoo'!L395)</f>
        <v/>
      </c>
      <c r="M395" s="79">
        <f>IF('Ordenes_Odoo'!M395="","",'Ordenes_Odoo'!M395)</f>
        <v/>
      </c>
      <c r="N395" s="79">
        <f>IF('Ordenes_Odoo'!N395="","",'Ordenes_Odoo'!N395)</f>
        <v/>
      </c>
      <c r="O395" s="81">
        <f>IF('Ordenes_Odoo'!O395="","",'Ordenes_Odoo'!O395)</f>
        <v/>
      </c>
      <c r="P395" s="81">
        <f>IF('Ordenes_Odoo'!P395="","",'Ordenes_Odoo'!P395)</f>
        <v/>
      </c>
      <c r="Q395" s="79">
        <f>IF(A395="","",IFERROR(INDEX(Facturas_Odoo!$B:$B, MATCH(A395, Facturas_Odoo!$D:$D, 0)), "Sin Factura"))</f>
        <v/>
      </c>
      <c r="R395" s="80">
        <f>IF(Q395="Sin Factura","",IFERROR(INDEX(Facturas_Odoo!$A:$A, MATCH(Q395, Facturas_Odoo!$B:$B, 0)), ""))</f>
        <v/>
      </c>
      <c r="S395" s="79">
        <f>IF(Q395="Sin Factura","",IFERROR(_xlfn.XLOOKUP(1, (Facturas_Odoo!$D:$D=A395) * (Facturas_Odoo!$K:$K=I395), Facturas_Odoo!$L:$L, ""), ""))</f>
        <v/>
      </c>
      <c r="T395" s="81">
        <f>IF(Q395="Sin Factura",0,IFERROR(_xlfn.XLOOKUP(1, (Facturas_Odoo!$D:$D=A395) * (Facturas_Odoo!$K:$K=I395), Facturas_Odoo!$M:$M, 0), 0))</f>
        <v/>
      </c>
      <c r="U395" s="79">
        <f>IF(Q395="Sin Factura",0,IFERROR(_xlfn.XLOOKUP(1, (Facturas_Odoo!$D:$D=A395) * (Facturas_Odoo!$K:$K=I395), Facturas_Odoo!$N:$N, 0), 0))</f>
        <v/>
      </c>
      <c r="V395" s="79">
        <f>IF(Q395="Sin Factura",0,IFERROR(_xlfn.XLOOKUP(1, (Facturas_Odoo!$D:$D=A395) * (Facturas_Odoo!$K:$K=I395), Facturas_Odoo!$O:$O, 0), 0))</f>
        <v/>
      </c>
      <c r="W395" s="81">
        <f>IF(Q395="Sin Factura",0,IFERROR(_xlfn.XLOOKUP(1, (Facturas_Odoo!$D:$D=A395) * (Facturas_Odoo!$K:$K=I395), Facturas_Odoo!$Q:$Q, 0), 0))</f>
        <v/>
      </c>
      <c r="X395" s="79">
        <f>IF(OR(Q395="Sin Factura",Q395=""),"",IFERROR(INDEX(Pagos_Odoo!$B:$B, MATCH(Q395, Pagos_Odoo!$I:$I, 0)), "Sin Pago"))</f>
        <v/>
      </c>
      <c r="Y395" s="79">
        <f>IF(X395="Sin Pago","",IFERROR(INDEX(Pagos_Odoo!$C:$C, MATCH(X395, Pagos_Odoo!$B:$B, 0)), ""))</f>
        <v/>
      </c>
      <c r="Z395" s="80">
        <f>IF(X395="Sin Pago","",IFERROR(INDEX(Pagos_Odoo!$A:$A, MATCH(X395, Pagos_Odoo!$B:$B, 0)), ""))</f>
        <v/>
      </c>
      <c r="AA395" s="79">
        <f>IF(X395="Sin Pago","",IFERROR(INDEX(Pagos_Odoo!$F:$F, MATCH(X395, Pagos_Odoo!$B:$B, 0)), ""))</f>
        <v/>
      </c>
      <c r="AB395" s="81">
        <f>IF(X395="Sin Pago",0,IFERROR(INDEX(Pagos_Odoo!$E:$E, MATCH(X395, Pagos_Odoo!$B:$B, 0)), 0))</f>
        <v/>
      </c>
      <c r="AC395" s="79">
        <f>IF(X395="Sin Pago","",IFERROR(INDEX(Pagos_Odoo!$G:$G, MATCH(X395, Pagos_Odoo!$B:$B, 0)), ""))</f>
        <v/>
      </c>
      <c r="AD395" s="82" t="n">
        <v>0</v>
      </c>
      <c r="AE395" s="82" t="n"/>
      <c r="AF395" s="82" t="n"/>
      <c r="AG395" s="82">
        <f>IF(AN395="","",AD395+AE395+AF395)</f>
        <v/>
      </c>
      <c r="AH395" s="81">
        <f>IF(AN395="","",P395*(1-AG395))</f>
        <v/>
      </c>
      <c r="AI395" s="81">
        <f>IF(AN395="","",IF(Q395="Sin Factura",0,IFERROR(INDEX(Facturas_Odoo!$H:$H, MATCH(Q395, Facturas_Odoo!$B:$B, 0)), 0)*(1-AG395)))</f>
        <v/>
      </c>
      <c r="AJ395" s="81">
        <f>IF(AN395="","",_xlfn.LET(idVenta, AN395&amp;"",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95" s="81">
        <f>IF(AN395="","",AH395-AJ395)</f>
        <v/>
      </c>
      <c r="AL395" s="81">
        <f>IF(AN395="","",IF(Q395="Sin Factura","",AI395-AJ395))</f>
        <v/>
      </c>
      <c r="AM395" s="81">
        <f>IF(AN395="","",IF(Q395="Sin Factura",0,P395-IFERROR(INDEX(Facturas_Odoo!$H:$H, MATCH(Q395, Facturas_Odoo!$B:$B, 0)), 0)))</f>
        <v/>
      </c>
      <c r="AN395" s="79">
        <f>IF(AND(A395="", J395=""), "", IF(A395&lt;&gt;"", VALUE(MID(A395,2,LEN(A395))), AN394))</f>
        <v/>
      </c>
      <c r="AO395" s="79">
        <f>IF(AN395="","",IF(AD395=0,"OK",_xlfn.LET(monedaPago, IF(AA395="","USD",AA395), limitePermitido, IFERROR(VLOOKUP(monedaPago, Configuración!$A$2:$B$3, 2, FALSE), 0.15), IF(AD395&gt;limitePermitido, "ALERTA: EXCESO (" &amp; TEXT(limitePermitido, "0%") &amp; " máx)", "OK"))))</f>
        <v/>
      </c>
      <c r="AP395" s="79">
        <f>IF(AN395="","",IF(AE395=0,"OK",_xlfn.LET(fechaPago, Z395, fechaFactura, R395, diasCredito, IF(E395="Pago inmediato", 0, IFERROR(VALUE(MID(E395, 1, SEARCH(" ", E395)-1)),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95" s="79">
        <f>IF(AN395="","",IF(AND(N395&gt;0, AG395&gt;0), IF(Configuración!$K$2="NO", "ALERTA: DESCUENTO DOBLE NO PERMITIDO", "OK"), "OK"))</f>
        <v/>
      </c>
      <c r="AR395" s="79">
        <f>IF(AN395="","",IF(OR(AO395&lt;&gt;"OK", AP395&lt;&gt;"OK", AQ395&lt;&gt;"OK"), "⚠️ REVISAR", "OK"))</f>
        <v/>
      </c>
    </row>
    <row r="396">
      <c r="A396" s="79">
        <f>IF('Ordenes_Odoo'!A396="","",'Ordenes_Odoo'!A396)</f>
        <v/>
      </c>
      <c r="B396" s="80">
        <f>IF('Ordenes_Odoo'!B396="","",'Ordenes_Odoo'!B396)</f>
        <v/>
      </c>
      <c r="C396" s="79">
        <f>IF('Ordenes_Odoo'!C396="","",'Ordenes_Odoo'!C396)</f>
        <v/>
      </c>
      <c r="D396" s="79">
        <f>IF('Ordenes_Odoo'!D396="","",'Ordenes_Odoo'!D396)</f>
        <v/>
      </c>
      <c r="E396" s="79">
        <f>IF('Ordenes_Odoo'!E396="","",'Ordenes_Odoo'!E396)</f>
        <v/>
      </c>
      <c r="F396" s="79">
        <f>IF('Ordenes_Odoo'!F396="","",'Ordenes_Odoo'!F396)</f>
        <v/>
      </c>
      <c r="G396" s="79">
        <f>IF('Ordenes_Odoo'!G396="","",'Ordenes_Odoo'!G396)</f>
        <v/>
      </c>
      <c r="H396" s="79">
        <f>IF('Ordenes_Odoo'!H396="","",'Ordenes_Odoo'!H396)</f>
        <v/>
      </c>
      <c r="I396" s="79">
        <f>IF('Ordenes_Odoo'!I396="","",'Ordenes_Odoo'!I396)</f>
        <v/>
      </c>
      <c r="J396" s="79">
        <f>IF('Ordenes_Odoo'!J396="","",'Ordenes_Odoo'!J396)</f>
        <v/>
      </c>
      <c r="K396" s="81">
        <f>IF('Ordenes_Odoo'!K396="","",'Ordenes_Odoo'!K396)</f>
        <v/>
      </c>
      <c r="L396" s="81">
        <f>IF('Ordenes_Odoo'!L396="","",'Ordenes_Odoo'!L396)</f>
        <v/>
      </c>
      <c r="M396" s="79">
        <f>IF('Ordenes_Odoo'!M396="","",'Ordenes_Odoo'!M396)</f>
        <v/>
      </c>
      <c r="N396" s="79">
        <f>IF('Ordenes_Odoo'!N396="","",'Ordenes_Odoo'!N396)</f>
        <v/>
      </c>
      <c r="O396" s="81">
        <f>IF('Ordenes_Odoo'!O396="","",'Ordenes_Odoo'!O396)</f>
        <v/>
      </c>
      <c r="P396" s="81">
        <f>IF('Ordenes_Odoo'!P396="","",'Ordenes_Odoo'!P396)</f>
        <v/>
      </c>
      <c r="Q396" s="79">
        <f>IF(A396="","",IFERROR(INDEX(Facturas_Odoo!$B:$B, MATCH(A396, Facturas_Odoo!$D:$D, 0)), "Sin Factura"))</f>
        <v/>
      </c>
      <c r="R396" s="80">
        <f>IF(Q396="Sin Factura","",IFERROR(INDEX(Facturas_Odoo!$A:$A, MATCH(Q396, Facturas_Odoo!$B:$B, 0)), ""))</f>
        <v/>
      </c>
      <c r="S396" s="79">
        <f>IF(Q396="Sin Factura","",IFERROR(_xlfn.XLOOKUP(1, (Facturas_Odoo!$D:$D=A396) * (Facturas_Odoo!$K:$K=I396), Facturas_Odoo!$L:$L, ""), ""))</f>
        <v/>
      </c>
      <c r="T396" s="81">
        <f>IF(Q396="Sin Factura",0,IFERROR(_xlfn.XLOOKUP(1, (Facturas_Odoo!$D:$D=A396) * (Facturas_Odoo!$K:$K=I396), Facturas_Odoo!$M:$M, 0), 0))</f>
        <v/>
      </c>
      <c r="U396" s="79">
        <f>IF(Q396="Sin Factura",0,IFERROR(_xlfn.XLOOKUP(1, (Facturas_Odoo!$D:$D=A396) * (Facturas_Odoo!$K:$K=I396), Facturas_Odoo!$N:$N, 0), 0))</f>
        <v/>
      </c>
      <c r="V396" s="79">
        <f>IF(Q396="Sin Factura",0,IFERROR(_xlfn.XLOOKUP(1, (Facturas_Odoo!$D:$D=A396) * (Facturas_Odoo!$K:$K=I396), Facturas_Odoo!$O:$O, 0), 0))</f>
        <v/>
      </c>
      <c r="W396" s="81">
        <f>IF(Q396="Sin Factura",0,IFERROR(_xlfn.XLOOKUP(1, (Facturas_Odoo!$D:$D=A396) * (Facturas_Odoo!$K:$K=I396), Facturas_Odoo!$Q:$Q, 0), 0))</f>
        <v/>
      </c>
      <c r="X396" s="79">
        <f>IF(OR(Q396="Sin Factura",Q396=""),"",IFERROR(INDEX(Pagos_Odoo!$B:$B, MATCH(Q396, Pagos_Odoo!$I:$I, 0)), "Sin Pago"))</f>
        <v/>
      </c>
      <c r="Y396" s="79">
        <f>IF(X396="Sin Pago","",IFERROR(INDEX(Pagos_Odoo!$C:$C, MATCH(X396, Pagos_Odoo!$B:$B, 0)), ""))</f>
        <v/>
      </c>
      <c r="Z396" s="80">
        <f>IF(X396="Sin Pago","",IFERROR(INDEX(Pagos_Odoo!$A:$A, MATCH(X396, Pagos_Odoo!$B:$B, 0)), ""))</f>
        <v/>
      </c>
      <c r="AA396" s="79">
        <f>IF(X396="Sin Pago","",IFERROR(INDEX(Pagos_Odoo!$F:$F, MATCH(X396, Pagos_Odoo!$B:$B, 0)), ""))</f>
        <v/>
      </c>
      <c r="AB396" s="81">
        <f>IF(X396="Sin Pago",0,IFERROR(INDEX(Pagos_Odoo!$E:$E, MATCH(X396, Pagos_Odoo!$B:$B, 0)), 0))</f>
        <v/>
      </c>
      <c r="AC396" s="79">
        <f>IF(X396="Sin Pago","",IFERROR(INDEX(Pagos_Odoo!$G:$G, MATCH(X396, Pagos_Odoo!$B:$B, 0)), ""))</f>
        <v/>
      </c>
      <c r="AD396" s="82" t="n">
        <v>0</v>
      </c>
      <c r="AE396" s="82" t="n"/>
      <c r="AF396" s="82" t="n"/>
      <c r="AG396" s="82">
        <f>IF(AN396="","",AD396+AE396+AF396)</f>
        <v/>
      </c>
      <c r="AH396" s="81">
        <f>IF(AN396="","",P396*(1-AG396))</f>
        <v/>
      </c>
      <c r="AI396" s="81">
        <f>IF(AN396="","",IF(Q396="Sin Factura",0,IFERROR(INDEX(Facturas_Odoo!$H:$H, MATCH(Q396, Facturas_Odoo!$B:$B, 0)), 0)*(1-AG396)))</f>
        <v/>
      </c>
      <c r="AJ396" s="81">
        <f>IF(AN396="","",_xlfn.LET(idVenta, AN396&amp;"",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96" s="81">
        <f>IF(AN396="","",AH396-AJ396)</f>
        <v/>
      </c>
      <c r="AL396" s="81">
        <f>IF(AN396="","",IF(Q396="Sin Factura","",AI396-AJ396))</f>
        <v/>
      </c>
      <c r="AM396" s="81">
        <f>IF(AN396="","",IF(Q396="Sin Factura",0,P396-IFERROR(INDEX(Facturas_Odoo!$H:$H, MATCH(Q396, Facturas_Odoo!$B:$B, 0)), 0)))</f>
        <v/>
      </c>
      <c r="AN396" s="79">
        <f>IF(AND(A396="", J396=""), "", IF(A396&lt;&gt;"", VALUE(MID(A396,2,LEN(A396))), AN395))</f>
        <v/>
      </c>
      <c r="AO396" s="79">
        <f>IF(AN396="","",IF(AD396=0,"OK",_xlfn.LET(monedaPago, IF(AA396="","USD",AA396), limitePermitido, IFERROR(VLOOKUP(monedaPago, Configuración!$A$2:$B$3, 2, FALSE), 0.15), IF(AD396&gt;limitePermitido, "ALERTA: EXCESO (" &amp; TEXT(limitePermitido, "0%") &amp; " máx)", "OK"))))</f>
        <v/>
      </c>
      <c r="AP396" s="79">
        <f>IF(AN396="","",IF(AE396=0,"OK",_xlfn.LET(fechaPago, Z396, fechaFactura, R396, diasCredito, IF(E396="Pago inmediato", 0, IFERROR(VALUE(MID(E396, 1, SEARCH(" ", E396)-1)),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96" s="79">
        <f>IF(AN396="","",IF(AND(N396&gt;0, AG396&gt;0), IF(Configuración!$K$2="NO", "ALERTA: DESCUENTO DOBLE NO PERMITIDO", "OK"), "OK"))</f>
        <v/>
      </c>
      <c r="AR396" s="79">
        <f>IF(AN396="","",IF(OR(AO396&lt;&gt;"OK", AP396&lt;&gt;"OK", AQ396&lt;&gt;"OK"), "⚠️ REVISAR", "OK"))</f>
        <v/>
      </c>
    </row>
    <row r="397">
      <c r="A397" s="79">
        <f>IF('Ordenes_Odoo'!A397="","",'Ordenes_Odoo'!A397)</f>
        <v/>
      </c>
      <c r="B397" s="80">
        <f>IF('Ordenes_Odoo'!B397="","",'Ordenes_Odoo'!B397)</f>
        <v/>
      </c>
      <c r="C397" s="79">
        <f>IF('Ordenes_Odoo'!C397="","",'Ordenes_Odoo'!C397)</f>
        <v/>
      </c>
      <c r="D397" s="79">
        <f>IF('Ordenes_Odoo'!D397="","",'Ordenes_Odoo'!D397)</f>
        <v/>
      </c>
      <c r="E397" s="79">
        <f>IF('Ordenes_Odoo'!E397="","",'Ordenes_Odoo'!E397)</f>
        <v/>
      </c>
      <c r="F397" s="79">
        <f>IF('Ordenes_Odoo'!F397="","",'Ordenes_Odoo'!F397)</f>
        <v/>
      </c>
      <c r="G397" s="79">
        <f>IF('Ordenes_Odoo'!G397="","",'Ordenes_Odoo'!G397)</f>
        <v/>
      </c>
      <c r="H397" s="79">
        <f>IF('Ordenes_Odoo'!H397="","",'Ordenes_Odoo'!H397)</f>
        <v/>
      </c>
      <c r="I397" s="79">
        <f>IF('Ordenes_Odoo'!I397="","",'Ordenes_Odoo'!I397)</f>
        <v/>
      </c>
      <c r="J397" s="79">
        <f>IF('Ordenes_Odoo'!J397="","",'Ordenes_Odoo'!J397)</f>
        <v/>
      </c>
      <c r="K397" s="81">
        <f>IF('Ordenes_Odoo'!K397="","",'Ordenes_Odoo'!K397)</f>
        <v/>
      </c>
      <c r="L397" s="81">
        <f>IF('Ordenes_Odoo'!L397="","",'Ordenes_Odoo'!L397)</f>
        <v/>
      </c>
      <c r="M397" s="79">
        <f>IF('Ordenes_Odoo'!M397="","",'Ordenes_Odoo'!M397)</f>
        <v/>
      </c>
      <c r="N397" s="79">
        <f>IF('Ordenes_Odoo'!N397="","",'Ordenes_Odoo'!N397)</f>
        <v/>
      </c>
      <c r="O397" s="81">
        <f>IF('Ordenes_Odoo'!O397="","",'Ordenes_Odoo'!O397)</f>
        <v/>
      </c>
      <c r="P397" s="81">
        <f>IF('Ordenes_Odoo'!P397="","",'Ordenes_Odoo'!P397)</f>
        <v/>
      </c>
      <c r="Q397" s="79">
        <f>IF(A397="","",IFERROR(INDEX(Facturas_Odoo!$B:$B, MATCH(A397, Facturas_Odoo!$D:$D, 0)), "Sin Factura"))</f>
        <v/>
      </c>
      <c r="R397" s="80">
        <f>IF(Q397="Sin Factura","",IFERROR(INDEX(Facturas_Odoo!$A:$A, MATCH(Q397, Facturas_Odoo!$B:$B, 0)), ""))</f>
        <v/>
      </c>
      <c r="S397" s="79">
        <f>IF(Q397="Sin Factura","",IFERROR(_xlfn.XLOOKUP(1, (Facturas_Odoo!$D:$D=A397) * (Facturas_Odoo!$K:$K=I397), Facturas_Odoo!$L:$L, ""), ""))</f>
        <v/>
      </c>
      <c r="T397" s="81">
        <f>IF(Q397="Sin Factura",0,IFERROR(_xlfn.XLOOKUP(1, (Facturas_Odoo!$D:$D=A397) * (Facturas_Odoo!$K:$K=I397), Facturas_Odoo!$M:$M, 0), 0))</f>
        <v/>
      </c>
      <c r="U397" s="79">
        <f>IF(Q397="Sin Factura",0,IFERROR(_xlfn.XLOOKUP(1, (Facturas_Odoo!$D:$D=A397) * (Facturas_Odoo!$K:$K=I397), Facturas_Odoo!$N:$N, 0), 0))</f>
        <v/>
      </c>
      <c r="V397" s="79">
        <f>IF(Q397="Sin Factura",0,IFERROR(_xlfn.XLOOKUP(1, (Facturas_Odoo!$D:$D=A397) * (Facturas_Odoo!$K:$K=I397), Facturas_Odoo!$O:$O, 0), 0))</f>
        <v/>
      </c>
      <c r="W397" s="81">
        <f>IF(Q397="Sin Factura",0,IFERROR(_xlfn.XLOOKUP(1, (Facturas_Odoo!$D:$D=A397) * (Facturas_Odoo!$K:$K=I397), Facturas_Odoo!$Q:$Q, 0), 0))</f>
        <v/>
      </c>
      <c r="X397" s="79">
        <f>IF(OR(Q397="Sin Factura",Q397=""),"",IFERROR(INDEX(Pagos_Odoo!$B:$B, MATCH(Q397, Pagos_Odoo!$I:$I, 0)), "Sin Pago"))</f>
        <v/>
      </c>
      <c r="Y397" s="79">
        <f>IF(X397="Sin Pago","",IFERROR(INDEX(Pagos_Odoo!$C:$C, MATCH(X397, Pagos_Odoo!$B:$B, 0)), ""))</f>
        <v/>
      </c>
      <c r="Z397" s="80">
        <f>IF(X397="Sin Pago","",IFERROR(INDEX(Pagos_Odoo!$A:$A, MATCH(X397, Pagos_Odoo!$B:$B, 0)), ""))</f>
        <v/>
      </c>
      <c r="AA397" s="79">
        <f>IF(X397="Sin Pago","",IFERROR(INDEX(Pagos_Odoo!$F:$F, MATCH(X397, Pagos_Odoo!$B:$B, 0)), ""))</f>
        <v/>
      </c>
      <c r="AB397" s="81">
        <f>IF(X397="Sin Pago",0,IFERROR(INDEX(Pagos_Odoo!$E:$E, MATCH(X397, Pagos_Odoo!$B:$B, 0)), 0))</f>
        <v/>
      </c>
      <c r="AC397" s="79">
        <f>IF(X397="Sin Pago","",IFERROR(INDEX(Pagos_Odoo!$G:$G, MATCH(X397, Pagos_Odoo!$B:$B, 0)), ""))</f>
        <v/>
      </c>
      <c r="AD397" s="82" t="n">
        <v>0</v>
      </c>
      <c r="AE397" s="82" t="n"/>
      <c r="AF397" s="82" t="n"/>
      <c r="AG397" s="82">
        <f>IF(AN397="","",AD397+AE397+AF397)</f>
        <v/>
      </c>
      <c r="AH397" s="81">
        <f>IF(AN397="","",P397*(1-AG397))</f>
        <v/>
      </c>
      <c r="AI397" s="81">
        <f>IF(AN397="","",IF(Q397="Sin Factura",0,IFERROR(INDEX(Facturas_Odoo!$H:$H, MATCH(Q397, Facturas_Odoo!$B:$B, 0)), 0)*(1-AG397)))</f>
        <v/>
      </c>
      <c r="AJ397" s="81">
        <f>IF(AN397="","",_xlfn.LET(idVenta, AN397&amp;"",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97" s="81">
        <f>IF(AN397="","",AH397-AJ397)</f>
        <v/>
      </c>
      <c r="AL397" s="81">
        <f>IF(AN397="","",IF(Q397="Sin Factura","",AI397-AJ397))</f>
        <v/>
      </c>
      <c r="AM397" s="81">
        <f>IF(AN397="","",IF(Q397="Sin Factura",0,P397-IFERROR(INDEX(Facturas_Odoo!$H:$H, MATCH(Q397, Facturas_Odoo!$B:$B, 0)), 0)))</f>
        <v/>
      </c>
      <c r="AN397" s="79">
        <f>IF(AND(A397="", J397=""), "", IF(A397&lt;&gt;"", VALUE(MID(A397,2,LEN(A397))), AN396))</f>
        <v/>
      </c>
      <c r="AO397" s="79">
        <f>IF(AN397="","",IF(AD397=0,"OK",_xlfn.LET(monedaPago, IF(AA397="","USD",AA397), limitePermitido, IFERROR(VLOOKUP(monedaPago, Configuración!$A$2:$B$3, 2, FALSE), 0.15), IF(AD397&gt;limitePermitido, "ALERTA: EXCESO (" &amp; TEXT(limitePermitido, "0%") &amp; " máx)", "OK"))))</f>
        <v/>
      </c>
      <c r="AP397" s="79">
        <f>IF(AN397="","",IF(AE397=0,"OK",_xlfn.LET(fechaPago, Z397, fechaFactura, R397, diasCredito, IF(E397="Pago inmediato", 0, IFERROR(VALUE(MID(E397, 1, SEARCH(" ", E397)-1)),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97" s="79">
        <f>IF(AN397="","",IF(AND(N397&gt;0, AG397&gt;0), IF(Configuración!$K$2="NO", "ALERTA: DESCUENTO DOBLE NO PERMITIDO", "OK"), "OK"))</f>
        <v/>
      </c>
      <c r="AR397" s="79">
        <f>IF(AN397="","",IF(OR(AO397&lt;&gt;"OK", AP397&lt;&gt;"OK", AQ397&lt;&gt;"OK"), "⚠️ REVISAR", "OK"))</f>
        <v/>
      </c>
    </row>
    <row r="398">
      <c r="A398" s="79">
        <f>IF('Ordenes_Odoo'!A398="","",'Ordenes_Odoo'!A398)</f>
        <v/>
      </c>
      <c r="B398" s="80">
        <f>IF('Ordenes_Odoo'!B398="","",'Ordenes_Odoo'!B398)</f>
        <v/>
      </c>
      <c r="C398" s="79">
        <f>IF('Ordenes_Odoo'!C398="","",'Ordenes_Odoo'!C398)</f>
        <v/>
      </c>
      <c r="D398" s="79">
        <f>IF('Ordenes_Odoo'!D398="","",'Ordenes_Odoo'!D398)</f>
        <v/>
      </c>
      <c r="E398" s="79">
        <f>IF('Ordenes_Odoo'!E398="","",'Ordenes_Odoo'!E398)</f>
        <v/>
      </c>
      <c r="F398" s="79">
        <f>IF('Ordenes_Odoo'!F398="","",'Ordenes_Odoo'!F398)</f>
        <v/>
      </c>
      <c r="G398" s="79">
        <f>IF('Ordenes_Odoo'!G398="","",'Ordenes_Odoo'!G398)</f>
        <v/>
      </c>
      <c r="H398" s="79">
        <f>IF('Ordenes_Odoo'!H398="","",'Ordenes_Odoo'!H398)</f>
        <v/>
      </c>
      <c r="I398" s="79">
        <f>IF('Ordenes_Odoo'!I398="","",'Ordenes_Odoo'!I398)</f>
        <v/>
      </c>
      <c r="J398" s="79">
        <f>IF('Ordenes_Odoo'!J398="","",'Ordenes_Odoo'!J398)</f>
        <v/>
      </c>
      <c r="K398" s="81">
        <f>IF('Ordenes_Odoo'!K398="","",'Ordenes_Odoo'!K398)</f>
        <v/>
      </c>
      <c r="L398" s="81">
        <f>IF('Ordenes_Odoo'!L398="","",'Ordenes_Odoo'!L398)</f>
        <v/>
      </c>
      <c r="M398" s="79">
        <f>IF('Ordenes_Odoo'!M398="","",'Ordenes_Odoo'!M398)</f>
        <v/>
      </c>
      <c r="N398" s="79">
        <f>IF('Ordenes_Odoo'!N398="","",'Ordenes_Odoo'!N398)</f>
        <v/>
      </c>
      <c r="O398" s="81">
        <f>IF('Ordenes_Odoo'!O398="","",'Ordenes_Odoo'!O398)</f>
        <v/>
      </c>
      <c r="P398" s="81">
        <f>IF('Ordenes_Odoo'!P398="","",'Ordenes_Odoo'!P398)</f>
        <v/>
      </c>
      <c r="Q398" s="79">
        <f>IF(A398="","",IFERROR(INDEX(Facturas_Odoo!$B:$B, MATCH(A398, Facturas_Odoo!$D:$D, 0)), "Sin Factura"))</f>
        <v/>
      </c>
      <c r="R398" s="80">
        <f>IF(Q398="Sin Factura","",IFERROR(INDEX(Facturas_Odoo!$A:$A, MATCH(Q398, Facturas_Odoo!$B:$B, 0)), ""))</f>
        <v/>
      </c>
      <c r="S398" s="79">
        <f>IF(Q398="Sin Factura","",IFERROR(_xlfn.XLOOKUP(1, (Facturas_Odoo!$D:$D=A398) * (Facturas_Odoo!$K:$K=I398), Facturas_Odoo!$L:$L, ""), ""))</f>
        <v/>
      </c>
      <c r="T398" s="81">
        <f>IF(Q398="Sin Factura",0,IFERROR(_xlfn.XLOOKUP(1, (Facturas_Odoo!$D:$D=A398) * (Facturas_Odoo!$K:$K=I398), Facturas_Odoo!$M:$M, 0), 0))</f>
        <v/>
      </c>
      <c r="U398" s="79">
        <f>IF(Q398="Sin Factura",0,IFERROR(_xlfn.XLOOKUP(1, (Facturas_Odoo!$D:$D=A398) * (Facturas_Odoo!$K:$K=I398), Facturas_Odoo!$N:$N, 0), 0))</f>
        <v/>
      </c>
      <c r="V398" s="79">
        <f>IF(Q398="Sin Factura",0,IFERROR(_xlfn.XLOOKUP(1, (Facturas_Odoo!$D:$D=A398) * (Facturas_Odoo!$K:$K=I398), Facturas_Odoo!$O:$O, 0), 0))</f>
        <v/>
      </c>
      <c r="W398" s="81">
        <f>IF(Q398="Sin Factura",0,IFERROR(_xlfn.XLOOKUP(1, (Facturas_Odoo!$D:$D=A398) * (Facturas_Odoo!$K:$K=I398), Facturas_Odoo!$Q:$Q, 0), 0))</f>
        <v/>
      </c>
      <c r="X398" s="79">
        <f>IF(OR(Q398="Sin Factura",Q398=""),"",IFERROR(INDEX(Pagos_Odoo!$B:$B, MATCH(Q398, Pagos_Odoo!$I:$I, 0)), "Sin Pago"))</f>
        <v/>
      </c>
      <c r="Y398" s="79">
        <f>IF(X398="Sin Pago","",IFERROR(INDEX(Pagos_Odoo!$C:$C, MATCH(X398, Pagos_Odoo!$B:$B, 0)), ""))</f>
        <v/>
      </c>
      <c r="Z398" s="80">
        <f>IF(X398="Sin Pago","",IFERROR(INDEX(Pagos_Odoo!$A:$A, MATCH(X398, Pagos_Odoo!$B:$B, 0)), ""))</f>
        <v/>
      </c>
      <c r="AA398" s="79">
        <f>IF(X398="Sin Pago","",IFERROR(INDEX(Pagos_Odoo!$F:$F, MATCH(X398, Pagos_Odoo!$B:$B, 0)), ""))</f>
        <v/>
      </c>
      <c r="AB398" s="81">
        <f>IF(X398="Sin Pago",0,IFERROR(INDEX(Pagos_Odoo!$E:$E, MATCH(X398, Pagos_Odoo!$B:$B, 0)), 0))</f>
        <v/>
      </c>
      <c r="AC398" s="79">
        <f>IF(X398="Sin Pago","",IFERROR(INDEX(Pagos_Odoo!$G:$G, MATCH(X398, Pagos_Odoo!$B:$B, 0)), ""))</f>
        <v/>
      </c>
      <c r="AD398" s="82" t="n">
        <v>0</v>
      </c>
      <c r="AE398" s="82" t="n"/>
      <c r="AF398" s="82" t="n"/>
      <c r="AG398" s="82">
        <f>IF(AN398="","",AD398+AE398+AF398)</f>
        <v/>
      </c>
      <c r="AH398" s="81">
        <f>IF(AN398="","",P398*(1-AG398))</f>
        <v/>
      </c>
      <c r="AI398" s="81">
        <f>IF(AN398="","",IF(Q398="Sin Factura",0,IFERROR(INDEX(Facturas_Odoo!$H:$H, MATCH(Q398, Facturas_Odoo!$B:$B, 0)), 0)*(1-AG398)))</f>
        <v/>
      </c>
      <c r="AJ398" s="81">
        <f>IF(AN398="","",_xlfn.LET(idVenta, AN398&amp;"",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98" s="81">
        <f>IF(AN398="","",AH398-AJ398)</f>
        <v/>
      </c>
      <c r="AL398" s="81">
        <f>IF(AN398="","",IF(Q398="Sin Factura","",AI398-AJ398))</f>
        <v/>
      </c>
      <c r="AM398" s="81">
        <f>IF(AN398="","",IF(Q398="Sin Factura",0,P398-IFERROR(INDEX(Facturas_Odoo!$H:$H, MATCH(Q398, Facturas_Odoo!$B:$B, 0)), 0)))</f>
        <v/>
      </c>
      <c r="AN398" s="79">
        <f>IF(AND(A398="", J398=""), "", IF(A398&lt;&gt;"", VALUE(MID(A398,2,LEN(A398))), AN397))</f>
        <v/>
      </c>
      <c r="AO398" s="79">
        <f>IF(AN398="","",IF(AD398=0,"OK",_xlfn.LET(monedaPago, IF(AA398="","USD",AA398), limitePermitido, IFERROR(VLOOKUP(monedaPago, Configuración!$A$2:$B$3, 2, FALSE), 0.15), IF(AD398&gt;limitePermitido, "ALERTA: EXCESO (" &amp; TEXT(limitePermitido, "0%") &amp; " máx)", "OK"))))</f>
        <v/>
      </c>
      <c r="AP398" s="79">
        <f>IF(AN398="","",IF(AE398=0,"OK",_xlfn.LET(fechaPago, Z398, fechaFactura, R398, diasCredito, IF(E398="Pago inmediato", 0, IFERROR(VALUE(MID(E398, 1, SEARCH(" ", E398)-1)),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98" s="79">
        <f>IF(AN398="","",IF(AND(N398&gt;0, AG398&gt;0), IF(Configuración!$K$2="NO", "ALERTA: DESCUENTO DOBLE NO PERMITIDO", "OK"), "OK"))</f>
        <v/>
      </c>
      <c r="AR398" s="79">
        <f>IF(AN398="","",IF(OR(AO398&lt;&gt;"OK", AP398&lt;&gt;"OK", AQ398&lt;&gt;"OK"), "⚠️ REVISAR", "OK"))</f>
        <v/>
      </c>
    </row>
    <row r="399">
      <c r="A399" s="79">
        <f>IF('Ordenes_Odoo'!A399="","",'Ordenes_Odoo'!A399)</f>
        <v/>
      </c>
      <c r="B399" s="80">
        <f>IF('Ordenes_Odoo'!B399="","",'Ordenes_Odoo'!B399)</f>
        <v/>
      </c>
      <c r="C399" s="79">
        <f>IF('Ordenes_Odoo'!C399="","",'Ordenes_Odoo'!C399)</f>
        <v/>
      </c>
      <c r="D399" s="79">
        <f>IF('Ordenes_Odoo'!D399="","",'Ordenes_Odoo'!D399)</f>
        <v/>
      </c>
      <c r="E399" s="79">
        <f>IF('Ordenes_Odoo'!E399="","",'Ordenes_Odoo'!E399)</f>
        <v/>
      </c>
      <c r="F399" s="79">
        <f>IF('Ordenes_Odoo'!F399="","",'Ordenes_Odoo'!F399)</f>
        <v/>
      </c>
      <c r="G399" s="79">
        <f>IF('Ordenes_Odoo'!G399="","",'Ordenes_Odoo'!G399)</f>
        <v/>
      </c>
      <c r="H399" s="79">
        <f>IF('Ordenes_Odoo'!H399="","",'Ordenes_Odoo'!H399)</f>
        <v/>
      </c>
      <c r="I399" s="79">
        <f>IF('Ordenes_Odoo'!I399="","",'Ordenes_Odoo'!I399)</f>
        <v/>
      </c>
      <c r="J399" s="79">
        <f>IF('Ordenes_Odoo'!J399="","",'Ordenes_Odoo'!J399)</f>
        <v/>
      </c>
      <c r="K399" s="81">
        <f>IF('Ordenes_Odoo'!K399="","",'Ordenes_Odoo'!K399)</f>
        <v/>
      </c>
      <c r="L399" s="81">
        <f>IF('Ordenes_Odoo'!L399="","",'Ordenes_Odoo'!L399)</f>
        <v/>
      </c>
      <c r="M399" s="79">
        <f>IF('Ordenes_Odoo'!M399="","",'Ordenes_Odoo'!M399)</f>
        <v/>
      </c>
      <c r="N399" s="79">
        <f>IF('Ordenes_Odoo'!N399="","",'Ordenes_Odoo'!N399)</f>
        <v/>
      </c>
      <c r="O399" s="81">
        <f>IF('Ordenes_Odoo'!O399="","",'Ordenes_Odoo'!O399)</f>
        <v/>
      </c>
      <c r="P399" s="81">
        <f>IF('Ordenes_Odoo'!P399="","",'Ordenes_Odoo'!P399)</f>
        <v/>
      </c>
      <c r="Q399" s="79">
        <f>IF(A399="","",IFERROR(INDEX(Facturas_Odoo!$B:$B, MATCH(A399, Facturas_Odoo!$D:$D, 0)), "Sin Factura"))</f>
        <v/>
      </c>
      <c r="R399" s="80">
        <f>IF(Q399="Sin Factura","",IFERROR(INDEX(Facturas_Odoo!$A:$A, MATCH(Q399, Facturas_Odoo!$B:$B, 0)), ""))</f>
        <v/>
      </c>
      <c r="S399" s="79">
        <f>IF(Q399="Sin Factura","",IFERROR(_xlfn.XLOOKUP(1, (Facturas_Odoo!$D:$D=A399) * (Facturas_Odoo!$K:$K=I399), Facturas_Odoo!$L:$L, ""), ""))</f>
        <v/>
      </c>
      <c r="T399" s="81">
        <f>IF(Q399="Sin Factura",0,IFERROR(_xlfn.XLOOKUP(1, (Facturas_Odoo!$D:$D=A399) * (Facturas_Odoo!$K:$K=I399), Facturas_Odoo!$M:$M, 0), 0))</f>
        <v/>
      </c>
      <c r="U399" s="79">
        <f>IF(Q399="Sin Factura",0,IFERROR(_xlfn.XLOOKUP(1, (Facturas_Odoo!$D:$D=A399) * (Facturas_Odoo!$K:$K=I399), Facturas_Odoo!$N:$N, 0), 0))</f>
        <v/>
      </c>
      <c r="V399" s="79">
        <f>IF(Q399="Sin Factura",0,IFERROR(_xlfn.XLOOKUP(1, (Facturas_Odoo!$D:$D=A399) * (Facturas_Odoo!$K:$K=I399), Facturas_Odoo!$O:$O, 0), 0))</f>
        <v/>
      </c>
      <c r="W399" s="81">
        <f>IF(Q399="Sin Factura",0,IFERROR(_xlfn.XLOOKUP(1, (Facturas_Odoo!$D:$D=A399) * (Facturas_Odoo!$K:$K=I399), Facturas_Odoo!$Q:$Q, 0), 0))</f>
        <v/>
      </c>
      <c r="X399" s="79">
        <f>IF(OR(Q399="Sin Factura",Q399=""),"",IFERROR(INDEX(Pagos_Odoo!$B:$B, MATCH(Q399, Pagos_Odoo!$I:$I, 0)), "Sin Pago"))</f>
        <v/>
      </c>
      <c r="Y399" s="79">
        <f>IF(X399="Sin Pago","",IFERROR(INDEX(Pagos_Odoo!$C:$C, MATCH(X399, Pagos_Odoo!$B:$B, 0)), ""))</f>
        <v/>
      </c>
      <c r="Z399" s="80">
        <f>IF(X399="Sin Pago","",IFERROR(INDEX(Pagos_Odoo!$A:$A, MATCH(X399, Pagos_Odoo!$B:$B, 0)), ""))</f>
        <v/>
      </c>
      <c r="AA399" s="79">
        <f>IF(X399="Sin Pago","",IFERROR(INDEX(Pagos_Odoo!$F:$F, MATCH(X399, Pagos_Odoo!$B:$B, 0)), ""))</f>
        <v/>
      </c>
      <c r="AB399" s="81">
        <f>IF(X399="Sin Pago",0,IFERROR(INDEX(Pagos_Odoo!$E:$E, MATCH(X399, Pagos_Odoo!$B:$B, 0)), 0))</f>
        <v/>
      </c>
      <c r="AC399" s="79">
        <f>IF(X399="Sin Pago","",IFERROR(INDEX(Pagos_Odoo!$G:$G, MATCH(X399, Pagos_Odoo!$B:$B, 0)), ""))</f>
        <v/>
      </c>
      <c r="AD399" s="82" t="n">
        <v>0</v>
      </c>
      <c r="AE399" s="82" t="n"/>
      <c r="AF399" s="82" t="n"/>
      <c r="AG399" s="82">
        <f>IF(AN399="","",AD399+AE399+AF399)</f>
        <v/>
      </c>
      <c r="AH399" s="81">
        <f>IF(AN399="","",P399*(1-AG399))</f>
        <v/>
      </c>
      <c r="AI399" s="81">
        <f>IF(AN399="","",IF(Q399="Sin Factura",0,IFERROR(INDEX(Facturas_Odoo!$H:$H, MATCH(Q399, Facturas_Odoo!$B:$B, 0)), 0)*(1-AG399)))</f>
        <v/>
      </c>
      <c r="AJ399" s="81">
        <f>IF(AN399="","",_xlfn.LET(idVenta, AN399&amp;"",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99" s="81">
        <f>IF(AN399="","",AH399-AJ399)</f>
        <v/>
      </c>
      <c r="AL399" s="81">
        <f>IF(AN399="","",IF(Q399="Sin Factura","",AI399-AJ399))</f>
        <v/>
      </c>
      <c r="AM399" s="81">
        <f>IF(AN399="","",IF(Q399="Sin Factura",0,P399-IFERROR(INDEX(Facturas_Odoo!$H:$H, MATCH(Q399, Facturas_Odoo!$B:$B, 0)), 0)))</f>
        <v/>
      </c>
      <c r="AN399" s="79">
        <f>IF(AND(A399="", J399=""), "", IF(A399&lt;&gt;"", VALUE(MID(A399,2,LEN(A399))), AN398))</f>
        <v/>
      </c>
      <c r="AO399" s="79">
        <f>IF(AN399="","",IF(AD399=0,"OK",_xlfn.LET(monedaPago, IF(AA399="","USD",AA399), limitePermitido, IFERROR(VLOOKUP(monedaPago, Configuración!$A$2:$B$3, 2, FALSE), 0.15), IF(AD399&gt;limitePermitido, "ALERTA: EXCESO (" &amp; TEXT(limitePermitido, "0%") &amp; " máx)", "OK"))))</f>
        <v/>
      </c>
      <c r="AP399" s="79">
        <f>IF(AN399="","",IF(AE399=0,"OK",_xlfn.LET(fechaPago, Z399, fechaFactura, R399, diasCredito, IF(E399="Pago inmediato", 0, IFERROR(VALUE(MID(E399, 1, SEARCH(" ", E399)-1)),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99" s="79">
        <f>IF(AN399="","",IF(AND(N399&gt;0, AG399&gt;0), IF(Configuración!$K$2="NO", "ALERTA: DESCUENTO DOBLE NO PERMITIDO", "OK"), "OK"))</f>
        <v/>
      </c>
      <c r="AR399" s="79">
        <f>IF(AN399="","",IF(OR(AO399&lt;&gt;"OK", AP399&lt;&gt;"OK", AQ399&lt;&gt;"OK"), "⚠️ REVISAR", "OK"))</f>
        <v/>
      </c>
    </row>
    <row r="400">
      <c r="A400" s="79">
        <f>IF('Ordenes_Odoo'!A400="","",'Ordenes_Odoo'!A400)</f>
        <v/>
      </c>
      <c r="B400" s="80">
        <f>IF('Ordenes_Odoo'!B400="","",'Ordenes_Odoo'!B400)</f>
        <v/>
      </c>
      <c r="C400" s="79">
        <f>IF('Ordenes_Odoo'!C400="","",'Ordenes_Odoo'!C400)</f>
        <v/>
      </c>
      <c r="D400" s="79">
        <f>IF('Ordenes_Odoo'!D400="","",'Ordenes_Odoo'!D400)</f>
        <v/>
      </c>
      <c r="E400" s="79">
        <f>IF('Ordenes_Odoo'!E400="","",'Ordenes_Odoo'!E400)</f>
        <v/>
      </c>
      <c r="F400" s="79">
        <f>IF('Ordenes_Odoo'!F400="","",'Ordenes_Odoo'!F400)</f>
        <v/>
      </c>
      <c r="G400" s="79">
        <f>IF('Ordenes_Odoo'!G400="","",'Ordenes_Odoo'!G400)</f>
        <v/>
      </c>
      <c r="H400" s="79">
        <f>IF('Ordenes_Odoo'!H400="","",'Ordenes_Odoo'!H400)</f>
        <v/>
      </c>
      <c r="I400" s="79">
        <f>IF('Ordenes_Odoo'!I400="","",'Ordenes_Odoo'!I400)</f>
        <v/>
      </c>
      <c r="J400" s="79">
        <f>IF('Ordenes_Odoo'!J400="","",'Ordenes_Odoo'!J400)</f>
        <v/>
      </c>
      <c r="K400" s="81">
        <f>IF('Ordenes_Odoo'!K400="","",'Ordenes_Odoo'!K400)</f>
        <v/>
      </c>
      <c r="L400" s="81">
        <f>IF('Ordenes_Odoo'!L400="","",'Ordenes_Odoo'!L400)</f>
        <v/>
      </c>
      <c r="M400" s="79">
        <f>IF('Ordenes_Odoo'!M400="","",'Ordenes_Odoo'!M400)</f>
        <v/>
      </c>
      <c r="N400" s="79">
        <f>IF('Ordenes_Odoo'!N400="","",'Ordenes_Odoo'!N400)</f>
        <v/>
      </c>
      <c r="O400" s="81">
        <f>IF('Ordenes_Odoo'!O400="","",'Ordenes_Odoo'!O400)</f>
        <v/>
      </c>
      <c r="P400" s="81">
        <f>IF('Ordenes_Odoo'!P400="","",'Ordenes_Odoo'!P400)</f>
        <v/>
      </c>
      <c r="Q400" s="79">
        <f>IF(A400="","",IFERROR(INDEX(Facturas_Odoo!$B:$B, MATCH(A400, Facturas_Odoo!$D:$D, 0)), "Sin Factura"))</f>
        <v/>
      </c>
      <c r="R400" s="80">
        <f>IF(Q400="Sin Factura","",IFERROR(INDEX(Facturas_Odoo!$A:$A, MATCH(Q400, Facturas_Odoo!$B:$B, 0)), ""))</f>
        <v/>
      </c>
      <c r="S400" s="79">
        <f>IF(Q400="Sin Factura","",IFERROR(_xlfn.XLOOKUP(1, (Facturas_Odoo!$D:$D=A400) * (Facturas_Odoo!$K:$K=I400), Facturas_Odoo!$L:$L, ""), ""))</f>
        <v/>
      </c>
      <c r="T400" s="81">
        <f>IF(Q400="Sin Factura",0,IFERROR(_xlfn.XLOOKUP(1, (Facturas_Odoo!$D:$D=A400) * (Facturas_Odoo!$K:$K=I400), Facturas_Odoo!$M:$M, 0), 0))</f>
        <v/>
      </c>
      <c r="U400" s="79">
        <f>IF(Q400="Sin Factura",0,IFERROR(_xlfn.XLOOKUP(1, (Facturas_Odoo!$D:$D=A400) * (Facturas_Odoo!$K:$K=I400), Facturas_Odoo!$N:$N, 0), 0))</f>
        <v/>
      </c>
      <c r="V400" s="79">
        <f>IF(Q400="Sin Factura",0,IFERROR(_xlfn.XLOOKUP(1, (Facturas_Odoo!$D:$D=A400) * (Facturas_Odoo!$K:$K=I400), Facturas_Odoo!$O:$O, 0), 0))</f>
        <v/>
      </c>
      <c r="W400" s="81">
        <f>IF(Q400="Sin Factura",0,IFERROR(_xlfn.XLOOKUP(1, (Facturas_Odoo!$D:$D=A400) * (Facturas_Odoo!$K:$K=I400), Facturas_Odoo!$Q:$Q, 0), 0))</f>
        <v/>
      </c>
      <c r="X400" s="79">
        <f>IF(OR(Q400="Sin Factura",Q400=""),"",IFERROR(INDEX(Pagos_Odoo!$B:$B, MATCH(Q400, Pagos_Odoo!$I:$I, 0)), "Sin Pago"))</f>
        <v/>
      </c>
      <c r="Y400" s="79">
        <f>IF(X400="Sin Pago","",IFERROR(INDEX(Pagos_Odoo!$C:$C, MATCH(X400, Pagos_Odoo!$B:$B, 0)), ""))</f>
        <v/>
      </c>
      <c r="Z400" s="80">
        <f>IF(X400="Sin Pago","",IFERROR(INDEX(Pagos_Odoo!$A:$A, MATCH(X400, Pagos_Odoo!$B:$B, 0)), ""))</f>
        <v/>
      </c>
      <c r="AA400" s="79">
        <f>IF(X400="Sin Pago","",IFERROR(INDEX(Pagos_Odoo!$F:$F, MATCH(X400, Pagos_Odoo!$B:$B, 0)), ""))</f>
        <v/>
      </c>
      <c r="AB400" s="81">
        <f>IF(X400="Sin Pago",0,IFERROR(INDEX(Pagos_Odoo!$E:$E, MATCH(X400, Pagos_Odoo!$B:$B, 0)), 0))</f>
        <v/>
      </c>
      <c r="AC400" s="79">
        <f>IF(X400="Sin Pago","",IFERROR(INDEX(Pagos_Odoo!$G:$G, MATCH(X400, Pagos_Odoo!$B:$B, 0)), ""))</f>
        <v/>
      </c>
      <c r="AD400" s="82" t="n">
        <v>0</v>
      </c>
      <c r="AE400" s="82" t="n"/>
      <c r="AF400" s="82" t="n"/>
      <c r="AG400" s="82">
        <f>IF(AN400="","",AD400+AE400+AF400)</f>
        <v/>
      </c>
      <c r="AH400" s="81">
        <f>IF(AN400="","",P400*(1-AG400))</f>
        <v/>
      </c>
      <c r="AI400" s="81">
        <f>IF(AN400="","",IF(Q400="Sin Factura",0,IFERROR(INDEX(Facturas_Odoo!$H:$H, MATCH(Q400, Facturas_Odoo!$B:$B, 0)), 0)*(1-AG400)))</f>
        <v/>
      </c>
      <c r="AJ400" s="81">
        <f>IF(AN400="","",_xlfn.LET(idVenta, AN400&amp;"",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00" s="81">
        <f>IF(AN400="","",AH400-AJ400)</f>
        <v/>
      </c>
      <c r="AL400" s="81">
        <f>IF(AN400="","",IF(Q400="Sin Factura","",AI400-AJ400))</f>
        <v/>
      </c>
      <c r="AM400" s="81">
        <f>IF(AN400="","",IF(Q400="Sin Factura",0,P400-IFERROR(INDEX(Facturas_Odoo!$H:$H, MATCH(Q400, Facturas_Odoo!$B:$B, 0)), 0)))</f>
        <v/>
      </c>
      <c r="AN400" s="79">
        <f>IF(AND(A400="", J400=""), "", IF(A400&lt;&gt;"", VALUE(MID(A400,2,LEN(A400))), AN399))</f>
        <v/>
      </c>
      <c r="AO400" s="79">
        <f>IF(AN400="","",IF(AD400=0,"OK",_xlfn.LET(monedaPago, IF(AA400="","USD",AA400), limitePermitido, IFERROR(VLOOKUP(monedaPago, Configuración!$A$2:$B$3, 2, FALSE), 0.15), IF(AD400&gt;limitePermitido, "ALERTA: EXCESO (" &amp; TEXT(limitePermitido, "0%") &amp; " máx)", "OK"))))</f>
        <v/>
      </c>
      <c r="AP400" s="79">
        <f>IF(AN400="","",IF(AE400=0,"OK",_xlfn.LET(fechaPago, Z400, fechaFactura, R400, diasCredito, IF(E400="Pago inmediato", 0, IFERROR(VALUE(MID(E400, 1, SEARCH(" ", E400)-1)),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00" s="79">
        <f>IF(AN400="","",IF(AND(N400&gt;0, AG400&gt;0), IF(Configuración!$K$2="NO", "ALERTA: DESCUENTO DOBLE NO PERMITIDO", "OK"), "OK"))</f>
        <v/>
      </c>
      <c r="AR400" s="79">
        <f>IF(AN400="","",IF(OR(AO400&lt;&gt;"OK", AP400&lt;&gt;"OK", AQ400&lt;&gt;"OK"), "⚠️ REVISAR", "OK"))</f>
        <v/>
      </c>
    </row>
    <row r="401">
      <c r="A401" s="79">
        <f>IF('Ordenes_Odoo'!A401="","",'Ordenes_Odoo'!A401)</f>
        <v/>
      </c>
      <c r="B401" s="80">
        <f>IF('Ordenes_Odoo'!B401="","",'Ordenes_Odoo'!B401)</f>
        <v/>
      </c>
      <c r="C401" s="79">
        <f>IF('Ordenes_Odoo'!C401="","",'Ordenes_Odoo'!C401)</f>
        <v/>
      </c>
      <c r="D401" s="79">
        <f>IF('Ordenes_Odoo'!D401="","",'Ordenes_Odoo'!D401)</f>
        <v/>
      </c>
      <c r="E401" s="79">
        <f>IF('Ordenes_Odoo'!E401="","",'Ordenes_Odoo'!E401)</f>
        <v/>
      </c>
      <c r="F401" s="79">
        <f>IF('Ordenes_Odoo'!F401="","",'Ordenes_Odoo'!F401)</f>
        <v/>
      </c>
      <c r="G401" s="79">
        <f>IF('Ordenes_Odoo'!G401="","",'Ordenes_Odoo'!G401)</f>
        <v/>
      </c>
      <c r="H401" s="79">
        <f>IF('Ordenes_Odoo'!H401="","",'Ordenes_Odoo'!H401)</f>
        <v/>
      </c>
      <c r="I401" s="79">
        <f>IF('Ordenes_Odoo'!I401="","",'Ordenes_Odoo'!I401)</f>
        <v/>
      </c>
      <c r="J401" s="79">
        <f>IF('Ordenes_Odoo'!J401="","",'Ordenes_Odoo'!J401)</f>
        <v/>
      </c>
      <c r="K401" s="81">
        <f>IF('Ordenes_Odoo'!K401="","",'Ordenes_Odoo'!K401)</f>
        <v/>
      </c>
      <c r="L401" s="81">
        <f>IF('Ordenes_Odoo'!L401="","",'Ordenes_Odoo'!L401)</f>
        <v/>
      </c>
      <c r="M401" s="79">
        <f>IF('Ordenes_Odoo'!M401="","",'Ordenes_Odoo'!M401)</f>
        <v/>
      </c>
      <c r="N401" s="79">
        <f>IF('Ordenes_Odoo'!N401="","",'Ordenes_Odoo'!N401)</f>
        <v/>
      </c>
      <c r="O401" s="81">
        <f>IF('Ordenes_Odoo'!O401="","",'Ordenes_Odoo'!O401)</f>
        <v/>
      </c>
      <c r="P401" s="81">
        <f>IF('Ordenes_Odoo'!P401="","",'Ordenes_Odoo'!P401)</f>
        <v/>
      </c>
      <c r="Q401" s="79">
        <f>IF(A401="","",IFERROR(INDEX(Facturas_Odoo!$B:$B, MATCH(A401, Facturas_Odoo!$D:$D, 0)), "Sin Factura"))</f>
        <v/>
      </c>
      <c r="R401" s="80">
        <f>IF(Q401="Sin Factura","",IFERROR(INDEX(Facturas_Odoo!$A:$A, MATCH(Q401, Facturas_Odoo!$B:$B, 0)), ""))</f>
        <v/>
      </c>
      <c r="S401" s="79">
        <f>IF(Q401="Sin Factura","",IFERROR(_xlfn.XLOOKUP(1, (Facturas_Odoo!$D:$D=A401) * (Facturas_Odoo!$K:$K=I401), Facturas_Odoo!$L:$L, ""), ""))</f>
        <v/>
      </c>
      <c r="T401" s="81">
        <f>IF(Q401="Sin Factura",0,IFERROR(_xlfn.XLOOKUP(1, (Facturas_Odoo!$D:$D=A401) * (Facturas_Odoo!$K:$K=I401), Facturas_Odoo!$M:$M, 0), 0))</f>
        <v/>
      </c>
      <c r="U401" s="79">
        <f>IF(Q401="Sin Factura",0,IFERROR(_xlfn.XLOOKUP(1, (Facturas_Odoo!$D:$D=A401) * (Facturas_Odoo!$K:$K=I401), Facturas_Odoo!$N:$N, 0), 0))</f>
        <v/>
      </c>
      <c r="V401" s="79">
        <f>IF(Q401="Sin Factura",0,IFERROR(_xlfn.XLOOKUP(1, (Facturas_Odoo!$D:$D=A401) * (Facturas_Odoo!$K:$K=I401), Facturas_Odoo!$O:$O, 0), 0))</f>
        <v/>
      </c>
      <c r="W401" s="81">
        <f>IF(Q401="Sin Factura",0,IFERROR(_xlfn.XLOOKUP(1, (Facturas_Odoo!$D:$D=A401) * (Facturas_Odoo!$K:$K=I401), Facturas_Odoo!$Q:$Q, 0), 0))</f>
        <v/>
      </c>
      <c r="X401" s="79">
        <f>IF(OR(Q401="Sin Factura",Q401=""),"",IFERROR(INDEX(Pagos_Odoo!$B:$B, MATCH(Q401, Pagos_Odoo!$I:$I, 0)), "Sin Pago"))</f>
        <v/>
      </c>
      <c r="Y401" s="79">
        <f>IF(X401="Sin Pago","",IFERROR(INDEX(Pagos_Odoo!$C:$C, MATCH(X401, Pagos_Odoo!$B:$B, 0)), ""))</f>
        <v/>
      </c>
      <c r="Z401" s="80">
        <f>IF(X401="Sin Pago","",IFERROR(INDEX(Pagos_Odoo!$A:$A, MATCH(X401, Pagos_Odoo!$B:$B, 0)), ""))</f>
        <v/>
      </c>
      <c r="AA401" s="79">
        <f>IF(X401="Sin Pago","",IFERROR(INDEX(Pagos_Odoo!$F:$F, MATCH(X401, Pagos_Odoo!$B:$B, 0)), ""))</f>
        <v/>
      </c>
      <c r="AB401" s="81">
        <f>IF(X401="Sin Pago",0,IFERROR(INDEX(Pagos_Odoo!$E:$E, MATCH(X401, Pagos_Odoo!$B:$B, 0)), 0))</f>
        <v/>
      </c>
      <c r="AC401" s="79">
        <f>IF(X401="Sin Pago","",IFERROR(INDEX(Pagos_Odoo!$G:$G, MATCH(X401, Pagos_Odoo!$B:$B, 0)), ""))</f>
        <v/>
      </c>
      <c r="AD401" s="82" t="n">
        <v>0</v>
      </c>
      <c r="AE401" s="82" t="n"/>
      <c r="AF401" s="82" t="n"/>
      <c r="AG401" s="82">
        <f>IF(AN401="","",AD401+AE401+AF401)</f>
        <v/>
      </c>
      <c r="AH401" s="81">
        <f>IF(AN401="","",P401*(1-AG401))</f>
        <v/>
      </c>
      <c r="AI401" s="81">
        <f>IF(AN401="","",IF(Q401="Sin Factura",0,IFERROR(INDEX(Facturas_Odoo!$H:$H, MATCH(Q401, Facturas_Odoo!$B:$B, 0)), 0)*(1-AG401)))</f>
        <v/>
      </c>
      <c r="AJ401" s="81">
        <f>IF(AN401="","",_xlfn.LET(idVenta, AN401&amp;"",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01" s="81">
        <f>IF(AN401="","",AH401-AJ401)</f>
        <v/>
      </c>
      <c r="AL401" s="81">
        <f>IF(AN401="","",IF(Q401="Sin Factura","",AI401-AJ401))</f>
        <v/>
      </c>
      <c r="AM401" s="81">
        <f>IF(AN401="","",IF(Q401="Sin Factura",0,P401-IFERROR(INDEX(Facturas_Odoo!$H:$H, MATCH(Q401, Facturas_Odoo!$B:$B, 0)), 0)))</f>
        <v/>
      </c>
      <c r="AN401" s="79">
        <f>IF(AND(A401="", J401=""), "", IF(A401&lt;&gt;"", VALUE(MID(A401,2,LEN(A401))), AN400))</f>
        <v/>
      </c>
      <c r="AO401" s="79">
        <f>IF(AN401="","",IF(AD401=0,"OK",_xlfn.LET(monedaPago, IF(AA401="","USD",AA401), limitePermitido, IFERROR(VLOOKUP(monedaPago, Configuración!$A$2:$B$3, 2, FALSE), 0.15), IF(AD401&gt;limitePermitido, "ALERTA: EXCESO (" &amp; TEXT(limitePermitido, "0%") &amp; " máx)", "OK"))))</f>
        <v/>
      </c>
      <c r="AP401" s="79">
        <f>IF(AN401="","",IF(AE401=0,"OK",_xlfn.LET(fechaPago, Z401, fechaFactura, R401, diasCredito, IF(E401="Pago inmediato", 0, IFERROR(VALUE(MID(E401, 1, SEARCH(" ", E401)-1)),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01" s="79">
        <f>IF(AN401="","",IF(AND(N401&gt;0, AG401&gt;0), IF(Configuración!$K$2="NO", "ALERTA: DESCUENTO DOBLE NO PERMITIDO", "OK"), "OK"))</f>
        <v/>
      </c>
      <c r="AR401" s="79">
        <f>IF(AN401="","",IF(OR(AO401&lt;&gt;"OK", AP401&lt;&gt;"OK", AQ401&lt;&gt;"OK"), "⚠️ REVISAR", "OK"))</f>
        <v/>
      </c>
    </row>
    <row r="402">
      <c r="A402" s="79">
        <f>IF('Ordenes_Odoo'!A402="","",'Ordenes_Odoo'!A402)</f>
        <v/>
      </c>
      <c r="B402" s="80">
        <f>IF('Ordenes_Odoo'!B402="","",'Ordenes_Odoo'!B402)</f>
        <v/>
      </c>
      <c r="C402" s="79">
        <f>IF('Ordenes_Odoo'!C402="","",'Ordenes_Odoo'!C402)</f>
        <v/>
      </c>
      <c r="D402" s="79">
        <f>IF('Ordenes_Odoo'!D402="","",'Ordenes_Odoo'!D402)</f>
        <v/>
      </c>
      <c r="E402" s="79">
        <f>IF('Ordenes_Odoo'!E402="","",'Ordenes_Odoo'!E402)</f>
        <v/>
      </c>
      <c r="F402" s="79">
        <f>IF('Ordenes_Odoo'!F402="","",'Ordenes_Odoo'!F402)</f>
        <v/>
      </c>
      <c r="G402" s="79">
        <f>IF('Ordenes_Odoo'!G402="","",'Ordenes_Odoo'!G402)</f>
        <v/>
      </c>
      <c r="H402" s="79">
        <f>IF('Ordenes_Odoo'!H402="","",'Ordenes_Odoo'!H402)</f>
        <v/>
      </c>
      <c r="I402" s="79">
        <f>IF('Ordenes_Odoo'!I402="","",'Ordenes_Odoo'!I402)</f>
        <v/>
      </c>
      <c r="J402" s="79">
        <f>IF('Ordenes_Odoo'!J402="","",'Ordenes_Odoo'!J402)</f>
        <v/>
      </c>
      <c r="K402" s="81">
        <f>IF('Ordenes_Odoo'!K402="","",'Ordenes_Odoo'!K402)</f>
        <v/>
      </c>
      <c r="L402" s="81">
        <f>IF('Ordenes_Odoo'!L402="","",'Ordenes_Odoo'!L402)</f>
        <v/>
      </c>
      <c r="M402" s="79">
        <f>IF('Ordenes_Odoo'!M402="","",'Ordenes_Odoo'!M402)</f>
        <v/>
      </c>
      <c r="N402" s="79">
        <f>IF('Ordenes_Odoo'!N402="","",'Ordenes_Odoo'!N402)</f>
        <v/>
      </c>
      <c r="O402" s="81">
        <f>IF('Ordenes_Odoo'!O402="","",'Ordenes_Odoo'!O402)</f>
        <v/>
      </c>
      <c r="P402" s="81">
        <f>IF('Ordenes_Odoo'!P402="","",'Ordenes_Odoo'!P402)</f>
        <v/>
      </c>
      <c r="Q402" s="79">
        <f>IF(A402="","",IFERROR(INDEX(Facturas_Odoo!$B:$B, MATCH(A402, Facturas_Odoo!$D:$D, 0)), "Sin Factura"))</f>
        <v/>
      </c>
      <c r="R402" s="80">
        <f>IF(Q402="Sin Factura","",IFERROR(INDEX(Facturas_Odoo!$A:$A, MATCH(Q402, Facturas_Odoo!$B:$B, 0)), ""))</f>
        <v/>
      </c>
      <c r="S402" s="79">
        <f>IF(Q402="Sin Factura","",IFERROR(_xlfn.XLOOKUP(1, (Facturas_Odoo!$D:$D=A402) * (Facturas_Odoo!$K:$K=I402), Facturas_Odoo!$L:$L, ""), ""))</f>
        <v/>
      </c>
      <c r="T402" s="81">
        <f>IF(Q402="Sin Factura",0,IFERROR(_xlfn.XLOOKUP(1, (Facturas_Odoo!$D:$D=A402) * (Facturas_Odoo!$K:$K=I402), Facturas_Odoo!$M:$M, 0), 0))</f>
        <v/>
      </c>
      <c r="U402" s="79">
        <f>IF(Q402="Sin Factura",0,IFERROR(_xlfn.XLOOKUP(1, (Facturas_Odoo!$D:$D=A402) * (Facturas_Odoo!$K:$K=I402), Facturas_Odoo!$N:$N, 0), 0))</f>
        <v/>
      </c>
      <c r="V402" s="79">
        <f>IF(Q402="Sin Factura",0,IFERROR(_xlfn.XLOOKUP(1, (Facturas_Odoo!$D:$D=A402) * (Facturas_Odoo!$K:$K=I402), Facturas_Odoo!$O:$O, 0), 0))</f>
        <v/>
      </c>
      <c r="W402" s="81">
        <f>IF(Q402="Sin Factura",0,IFERROR(_xlfn.XLOOKUP(1, (Facturas_Odoo!$D:$D=A402) * (Facturas_Odoo!$K:$K=I402), Facturas_Odoo!$Q:$Q, 0), 0))</f>
        <v/>
      </c>
      <c r="X402" s="79">
        <f>IF(OR(Q402="Sin Factura",Q402=""),"",IFERROR(INDEX(Pagos_Odoo!$B:$B, MATCH(Q402, Pagos_Odoo!$I:$I, 0)), "Sin Pago"))</f>
        <v/>
      </c>
      <c r="Y402" s="79">
        <f>IF(X402="Sin Pago","",IFERROR(INDEX(Pagos_Odoo!$C:$C, MATCH(X402, Pagos_Odoo!$B:$B, 0)), ""))</f>
        <v/>
      </c>
      <c r="Z402" s="80">
        <f>IF(X402="Sin Pago","",IFERROR(INDEX(Pagos_Odoo!$A:$A, MATCH(X402, Pagos_Odoo!$B:$B, 0)), ""))</f>
        <v/>
      </c>
      <c r="AA402" s="79">
        <f>IF(X402="Sin Pago","",IFERROR(INDEX(Pagos_Odoo!$F:$F, MATCH(X402, Pagos_Odoo!$B:$B, 0)), ""))</f>
        <v/>
      </c>
      <c r="AB402" s="81">
        <f>IF(X402="Sin Pago",0,IFERROR(INDEX(Pagos_Odoo!$E:$E, MATCH(X402, Pagos_Odoo!$B:$B, 0)), 0))</f>
        <v/>
      </c>
      <c r="AC402" s="79">
        <f>IF(X402="Sin Pago","",IFERROR(INDEX(Pagos_Odoo!$G:$G, MATCH(X402, Pagos_Odoo!$B:$B, 0)), ""))</f>
        <v/>
      </c>
      <c r="AD402" s="82" t="n">
        <v>0</v>
      </c>
      <c r="AE402" s="82" t="n"/>
      <c r="AF402" s="82" t="n"/>
      <c r="AG402" s="82">
        <f>IF(AN402="","",AD402+AE402+AF402)</f>
        <v/>
      </c>
      <c r="AH402" s="81">
        <f>IF(AN402="","",P402*(1-AG402))</f>
        <v/>
      </c>
      <c r="AI402" s="81">
        <f>IF(AN402="","",IF(Q402="Sin Factura",0,IFERROR(INDEX(Facturas_Odoo!$H:$H, MATCH(Q402, Facturas_Odoo!$B:$B, 0)), 0)*(1-AG402)))</f>
        <v/>
      </c>
      <c r="AJ402" s="81">
        <f>IF(AN402="","",_xlfn.LET(idVenta, AN402&amp;"",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02" s="81">
        <f>IF(AN402="","",AH402-AJ402)</f>
        <v/>
      </c>
      <c r="AL402" s="81">
        <f>IF(AN402="","",IF(Q402="Sin Factura","",AI402-AJ402))</f>
        <v/>
      </c>
      <c r="AM402" s="81">
        <f>IF(AN402="","",IF(Q402="Sin Factura",0,P402-IFERROR(INDEX(Facturas_Odoo!$H:$H, MATCH(Q402, Facturas_Odoo!$B:$B, 0)), 0)))</f>
        <v/>
      </c>
      <c r="AN402" s="79">
        <f>IF(AND(A402="", J402=""), "", IF(A402&lt;&gt;"", VALUE(MID(A402,2,LEN(A402))), AN401))</f>
        <v/>
      </c>
      <c r="AO402" s="79">
        <f>IF(AN402="","",IF(AD402=0,"OK",_xlfn.LET(monedaPago, IF(AA402="","USD",AA402), limitePermitido, IFERROR(VLOOKUP(monedaPago, Configuración!$A$2:$B$3, 2, FALSE), 0.15), IF(AD402&gt;limitePermitido, "ALERTA: EXCESO (" &amp; TEXT(limitePermitido, "0%") &amp; " máx)", "OK"))))</f>
        <v/>
      </c>
      <c r="AP402" s="79">
        <f>IF(AN402="","",IF(AE402=0,"OK",_xlfn.LET(fechaPago, Z402, fechaFactura, R402, diasCredito, IF(E402="Pago inmediato", 0, IFERROR(VALUE(MID(E402, 1, SEARCH(" ", E402)-1)),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02" s="79">
        <f>IF(AN402="","",IF(AND(N402&gt;0, AG402&gt;0), IF(Configuración!$K$2="NO", "ALERTA: DESCUENTO DOBLE NO PERMITIDO", "OK"), "OK"))</f>
        <v/>
      </c>
      <c r="AR402" s="79">
        <f>IF(AN402="","",IF(OR(AO402&lt;&gt;"OK", AP402&lt;&gt;"OK", AQ402&lt;&gt;"OK"), "⚠️ REVISAR", "OK"))</f>
        <v/>
      </c>
    </row>
    <row r="403">
      <c r="A403" s="79">
        <f>IF('Ordenes_Odoo'!A403="","",'Ordenes_Odoo'!A403)</f>
        <v/>
      </c>
      <c r="B403" s="80">
        <f>IF('Ordenes_Odoo'!B403="","",'Ordenes_Odoo'!B403)</f>
        <v/>
      </c>
      <c r="C403" s="79">
        <f>IF('Ordenes_Odoo'!C403="","",'Ordenes_Odoo'!C403)</f>
        <v/>
      </c>
      <c r="D403" s="79">
        <f>IF('Ordenes_Odoo'!D403="","",'Ordenes_Odoo'!D403)</f>
        <v/>
      </c>
      <c r="E403" s="79">
        <f>IF('Ordenes_Odoo'!E403="","",'Ordenes_Odoo'!E403)</f>
        <v/>
      </c>
      <c r="F403" s="79">
        <f>IF('Ordenes_Odoo'!F403="","",'Ordenes_Odoo'!F403)</f>
        <v/>
      </c>
      <c r="G403" s="79">
        <f>IF('Ordenes_Odoo'!G403="","",'Ordenes_Odoo'!G403)</f>
        <v/>
      </c>
      <c r="H403" s="79">
        <f>IF('Ordenes_Odoo'!H403="","",'Ordenes_Odoo'!H403)</f>
        <v/>
      </c>
      <c r="I403" s="79">
        <f>IF('Ordenes_Odoo'!I403="","",'Ordenes_Odoo'!I403)</f>
        <v/>
      </c>
      <c r="J403" s="79">
        <f>IF('Ordenes_Odoo'!J403="","",'Ordenes_Odoo'!J403)</f>
        <v/>
      </c>
      <c r="K403" s="81">
        <f>IF('Ordenes_Odoo'!K403="","",'Ordenes_Odoo'!K403)</f>
        <v/>
      </c>
      <c r="L403" s="81">
        <f>IF('Ordenes_Odoo'!L403="","",'Ordenes_Odoo'!L403)</f>
        <v/>
      </c>
      <c r="M403" s="79">
        <f>IF('Ordenes_Odoo'!M403="","",'Ordenes_Odoo'!M403)</f>
        <v/>
      </c>
      <c r="N403" s="79">
        <f>IF('Ordenes_Odoo'!N403="","",'Ordenes_Odoo'!N403)</f>
        <v/>
      </c>
      <c r="O403" s="81">
        <f>IF('Ordenes_Odoo'!O403="","",'Ordenes_Odoo'!O403)</f>
        <v/>
      </c>
      <c r="P403" s="81">
        <f>IF('Ordenes_Odoo'!P403="","",'Ordenes_Odoo'!P403)</f>
        <v/>
      </c>
      <c r="Q403" s="79">
        <f>IF(A403="","",IFERROR(INDEX(Facturas_Odoo!$B:$B, MATCH(A403, Facturas_Odoo!$D:$D, 0)), "Sin Factura"))</f>
        <v/>
      </c>
      <c r="R403" s="80">
        <f>IF(Q403="Sin Factura","",IFERROR(INDEX(Facturas_Odoo!$A:$A, MATCH(Q403, Facturas_Odoo!$B:$B, 0)), ""))</f>
        <v/>
      </c>
      <c r="S403" s="79">
        <f>IF(Q403="Sin Factura","",IFERROR(_xlfn.XLOOKUP(1, (Facturas_Odoo!$D:$D=A403) * (Facturas_Odoo!$K:$K=I403), Facturas_Odoo!$L:$L, ""), ""))</f>
        <v/>
      </c>
      <c r="T403" s="81">
        <f>IF(Q403="Sin Factura",0,IFERROR(_xlfn.XLOOKUP(1, (Facturas_Odoo!$D:$D=A403) * (Facturas_Odoo!$K:$K=I403), Facturas_Odoo!$M:$M, 0), 0))</f>
        <v/>
      </c>
      <c r="U403" s="79">
        <f>IF(Q403="Sin Factura",0,IFERROR(_xlfn.XLOOKUP(1, (Facturas_Odoo!$D:$D=A403) * (Facturas_Odoo!$K:$K=I403), Facturas_Odoo!$N:$N, 0), 0))</f>
        <v/>
      </c>
      <c r="V403" s="79">
        <f>IF(Q403="Sin Factura",0,IFERROR(_xlfn.XLOOKUP(1, (Facturas_Odoo!$D:$D=A403) * (Facturas_Odoo!$K:$K=I403), Facturas_Odoo!$O:$O, 0), 0))</f>
        <v/>
      </c>
      <c r="W403" s="81">
        <f>IF(Q403="Sin Factura",0,IFERROR(_xlfn.XLOOKUP(1, (Facturas_Odoo!$D:$D=A403) * (Facturas_Odoo!$K:$K=I403), Facturas_Odoo!$Q:$Q, 0), 0))</f>
        <v/>
      </c>
      <c r="X403" s="79">
        <f>IF(OR(Q403="Sin Factura",Q403=""),"",IFERROR(INDEX(Pagos_Odoo!$B:$B, MATCH(Q403, Pagos_Odoo!$I:$I, 0)), "Sin Pago"))</f>
        <v/>
      </c>
      <c r="Y403" s="79">
        <f>IF(X403="Sin Pago","",IFERROR(INDEX(Pagos_Odoo!$C:$C, MATCH(X403, Pagos_Odoo!$B:$B, 0)), ""))</f>
        <v/>
      </c>
      <c r="Z403" s="80">
        <f>IF(X403="Sin Pago","",IFERROR(INDEX(Pagos_Odoo!$A:$A, MATCH(X403, Pagos_Odoo!$B:$B, 0)), ""))</f>
        <v/>
      </c>
      <c r="AA403" s="79">
        <f>IF(X403="Sin Pago","",IFERROR(INDEX(Pagos_Odoo!$F:$F, MATCH(X403, Pagos_Odoo!$B:$B, 0)), ""))</f>
        <v/>
      </c>
      <c r="AB403" s="81">
        <f>IF(X403="Sin Pago",0,IFERROR(INDEX(Pagos_Odoo!$E:$E, MATCH(X403, Pagos_Odoo!$B:$B, 0)), 0))</f>
        <v/>
      </c>
      <c r="AC403" s="79">
        <f>IF(X403="Sin Pago","",IFERROR(INDEX(Pagos_Odoo!$G:$G, MATCH(X403, Pagos_Odoo!$B:$B, 0)), ""))</f>
        <v/>
      </c>
      <c r="AD403" s="82" t="n">
        <v>0</v>
      </c>
      <c r="AE403" s="82" t="n"/>
      <c r="AF403" s="82" t="n"/>
      <c r="AG403" s="82">
        <f>IF(AN403="","",AD403+AE403+AF403)</f>
        <v/>
      </c>
      <c r="AH403" s="81">
        <f>IF(AN403="","",P403*(1-AG403))</f>
        <v/>
      </c>
      <c r="AI403" s="81">
        <f>IF(AN403="","",IF(Q403="Sin Factura",0,IFERROR(INDEX(Facturas_Odoo!$H:$H, MATCH(Q403, Facturas_Odoo!$B:$B, 0)), 0)*(1-AG403)))</f>
        <v/>
      </c>
      <c r="AJ403" s="81">
        <f>IF(AN403="","",_xlfn.LET(idVenta, AN403&amp;"",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03" s="81">
        <f>IF(AN403="","",AH403-AJ403)</f>
        <v/>
      </c>
      <c r="AL403" s="81">
        <f>IF(AN403="","",IF(Q403="Sin Factura","",AI403-AJ403))</f>
        <v/>
      </c>
      <c r="AM403" s="81">
        <f>IF(AN403="","",IF(Q403="Sin Factura",0,P403-IFERROR(INDEX(Facturas_Odoo!$H:$H, MATCH(Q403, Facturas_Odoo!$B:$B, 0)), 0)))</f>
        <v/>
      </c>
      <c r="AN403" s="79">
        <f>IF(AND(A403="", J403=""), "", IF(A403&lt;&gt;"", VALUE(MID(A403,2,LEN(A403))), AN402))</f>
        <v/>
      </c>
      <c r="AO403" s="79">
        <f>IF(AN403="","",IF(AD403=0,"OK",_xlfn.LET(monedaPago, IF(AA403="","USD",AA403), limitePermitido, IFERROR(VLOOKUP(monedaPago, Configuración!$A$2:$B$3, 2, FALSE), 0.15), IF(AD403&gt;limitePermitido, "ALERTA: EXCESO (" &amp; TEXT(limitePermitido, "0%") &amp; " máx)", "OK"))))</f>
        <v/>
      </c>
      <c r="AP403" s="79">
        <f>IF(AN403="","",IF(AE403=0,"OK",_xlfn.LET(fechaPago, Z403, fechaFactura, R403, diasCredito, IF(E403="Pago inmediato", 0, IFERROR(VALUE(MID(E403, 1, SEARCH(" ", E403)-1)),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03" s="79">
        <f>IF(AN403="","",IF(AND(N403&gt;0, AG403&gt;0), IF(Configuración!$K$2="NO", "ALERTA: DESCUENTO DOBLE NO PERMITIDO", "OK"), "OK"))</f>
        <v/>
      </c>
      <c r="AR403" s="79">
        <f>IF(AN403="","",IF(OR(AO403&lt;&gt;"OK", AP403&lt;&gt;"OK", AQ403&lt;&gt;"OK"), "⚠️ REVISAR", "OK"))</f>
        <v/>
      </c>
    </row>
    <row r="404">
      <c r="A404" s="79">
        <f>IF('Ordenes_Odoo'!A404="","",'Ordenes_Odoo'!A404)</f>
        <v/>
      </c>
      <c r="B404" s="80">
        <f>IF('Ordenes_Odoo'!B404="","",'Ordenes_Odoo'!B404)</f>
        <v/>
      </c>
      <c r="C404" s="79">
        <f>IF('Ordenes_Odoo'!C404="","",'Ordenes_Odoo'!C404)</f>
        <v/>
      </c>
      <c r="D404" s="79">
        <f>IF('Ordenes_Odoo'!D404="","",'Ordenes_Odoo'!D404)</f>
        <v/>
      </c>
      <c r="E404" s="79">
        <f>IF('Ordenes_Odoo'!E404="","",'Ordenes_Odoo'!E404)</f>
        <v/>
      </c>
      <c r="F404" s="79">
        <f>IF('Ordenes_Odoo'!F404="","",'Ordenes_Odoo'!F404)</f>
        <v/>
      </c>
      <c r="G404" s="79">
        <f>IF('Ordenes_Odoo'!G404="","",'Ordenes_Odoo'!G404)</f>
        <v/>
      </c>
      <c r="H404" s="79">
        <f>IF('Ordenes_Odoo'!H404="","",'Ordenes_Odoo'!H404)</f>
        <v/>
      </c>
      <c r="I404" s="79">
        <f>IF('Ordenes_Odoo'!I404="","",'Ordenes_Odoo'!I404)</f>
        <v/>
      </c>
      <c r="J404" s="79">
        <f>IF('Ordenes_Odoo'!J404="","",'Ordenes_Odoo'!J404)</f>
        <v/>
      </c>
      <c r="K404" s="81">
        <f>IF('Ordenes_Odoo'!K404="","",'Ordenes_Odoo'!K404)</f>
        <v/>
      </c>
      <c r="L404" s="81">
        <f>IF('Ordenes_Odoo'!L404="","",'Ordenes_Odoo'!L404)</f>
        <v/>
      </c>
      <c r="M404" s="79">
        <f>IF('Ordenes_Odoo'!M404="","",'Ordenes_Odoo'!M404)</f>
        <v/>
      </c>
      <c r="N404" s="79">
        <f>IF('Ordenes_Odoo'!N404="","",'Ordenes_Odoo'!N404)</f>
        <v/>
      </c>
      <c r="O404" s="81">
        <f>IF('Ordenes_Odoo'!O404="","",'Ordenes_Odoo'!O404)</f>
        <v/>
      </c>
      <c r="P404" s="81">
        <f>IF('Ordenes_Odoo'!P404="","",'Ordenes_Odoo'!P404)</f>
        <v/>
      </c>
      <c r="Q404" s="79">
        <f>IF(A404="","",IFERROR(INDEX(Facturas_Odoo!$B:$B, MATCH(A404, Facturas_Odoo!$D:$D, 0)), "Sin Factura"))</f>
        <v/>
      </c>
      <c r="R404" s="80">
        <f>IF(Q404="Sin Factura","",IFERROR(INDEX(Facturas_Odoo!$A:$A, MATCH(Q404, Facturas_Odoo!$B:$B, 0)), ""))</f>
        <v/>
      </c>
      <c r="S404" s="79">
        <f>IF(Q404="Sin Factura","",IFERROR(_xlfn.XLOOKUP(1, (Facturas_Odoo!$D:$D=A404) * (Facturas_Odoo!$K:$K=I404), Facturas_Odoo!$L:$L, ""), ""))</f>
        <v/>
      </c>
      <c r="T404" s="81">
        <f>IF(Q404="Sin Factura",0,IFERROR(_xlfn.XLOOKUP(1, (Facturas_Odoo!$D:$D=A404) * (Facturas_Odoo!$K:$K=I404), Facturas_Odoo!$M:$M, 0), 0))</f>
        <v/>
      </c>
      <c r="U404" s="79">
        <f>IF(Q404="Sin Factura",0,IFERROR(_xlfn.XLOOKUP(1, (Facturas_Odoo!$D:$D=A404) * (Facturas_Odoo!$K:$K=I404), Facturas_Odoo!$N:$N, 0), 0))</f>
        <v/>
      </c>
      <c r="V404" s="79">
        <f>IF(Q404="Sin Factura",0,IFERROR(_xlfn.XLOOKUP(1, (Facturas_Odoo!$D:$D=A404) * (Facturas_Odoo!$K:$K=I404), Facturas_Odoo!$O:$O, 0), 0))</f>
        <v/>
      </c>
      <c r="W404" s="81">
        <f>IF(Q404="Sin Factura",0,IFERROR(_xlfn.XLOOKUP(1, (Facturas_Odoo!$D:$D=A404) * (Facturas_Odoo!$K:$K=I404), Facturas_Odoo!$Q:$Q, 0), 0))</f>
        <v/>
      </c>
      <c r="X404" s="79">
        <f>IF(OR(Q404="Sin Factura",Q404=""),"",IFERROR(INDEX(Pagos_Odoo!$B:$B, MATCH(Q404, Pagos_Odoo!$I:$I, 0)), "Sin Pago"))</f>
        <v/>
      </c>
      <c r="Y404" s="79">
        <f>IF(X404="Sin Pago","",IFERROR(INDEX(Pagos_Odoo!$C:$C, MATCH(X404, Pagos_Odoo!$B:$B, 0)), ""))</f>
        <v/>
      </c>
      <c r="Z404" s="80">
        <f>IF(X404="Sin Pago","",IFERROR(INDEX(Pagos_Odoo!$A:$A, MATCH(X404, Pagos_Odoo!$B:$B, 0)), ""))</f>
        <v/>
      </c>
      <c r="AA404" s="79">
        <f>IF(X404="Sin Pago","",IFERROR(INDEX(Pagos_Odoo!$F:$F, MATCH(X404, Pagos_Odoo!$B:$B, 0)), ""))</f>
        <v/>
      </c>
      <c r="AB404" s="81">
        <f>IF(X404="Sin Pago",0,IFERROR(INDEX(Pagos_Odoo!$E:$E, MATCH(X404, Pagos_Odoo!$B:$B, 0)), 0))</f>
        <v/>
      </c>
      <c r="AC404" s="79">
        <f>IF(X404="Sin Pago","",IFERROR(INDEX(Pagos_Odoo!$G:$G, MATCH(X404, Pagos_Odoo!$B:$B, 0)), ""))</f>
        <v/>
      </c>
      <c r="AD404" s="82" t="n">
        <v>0</v>
      </c>
      <c r="AE404" s="82" t="n"/>
      <c r="AF404" s="82" t="n"/>
      <c r="AG404" s="82">
        <f>IF(AN404="","",AD404+AE404+AF404)</f>
        <v/>
      </c>
      <c r="AH404" s="81">
        <f>IF(AN404="","",P404*(1-AG404))</f>
        <v/>
      </c>
      <c r="AI404" s="81">
        <f>IF(AN404="","",IF(Q404="Sin Factura",0,IFERROR(INDEX(Facturas_Odoo!$H:$H, MATCH(Q404, Facturas_Odoo!$B:$B, 0)), 0)*(1-AG404)))</f>
        <v/>
      </c>
      <c r="AJ404" s="81">
        <f>IF(AN404="","",_xlfn.LET(idVenta, AN404&amp;"",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04" s="81">
        <f>IF(AN404="","",AH404-AJ404)</f>
        <v/>
      </c>
      <c r="AL404" s="81">
        <f>IF(AN404="","",IF(Q404="Sin Factura","",AI404-AJ404))</f>
        <v/>
      </c>
      <c r="AM404" s="81">
        <f>IF(AN404="","",IF(Q404="Sin Factura",0,P404-IFERROR(INDEX(Facturas_Odoo!$H:$H, MATCH(Q404, Facturas_Odoo!$B:$B, 0)), 0)))</f>
        <v/>
      </c>
      <c r="AN404" s="79">
        <f>IF(AND(A404="", J404=""), "", IF(A404&lt;&gt;"", VALUE(MID(A404,2,LEN(A404))), AN403))</f>
        <v/>
      </c>
      <c r="AO404" s="79">
        <f>IF(AN404="","",IF(AD404=0,"OK",_xlfn.LET(monedaPago, IF(AA404="","USD",AA404), limitePermitido, IFERROR(VLOOKUP(monedaPago, Configuración!$A$2:$B$3, 2, FALSE), 0.15), IF(AD404&gt;limitePermitido, "ALERTA: EXCESO (" &amp; TEXT(limitePermitido, "0%") &amp; " máx)", "OK"))))</f>
        <v/>
      </c>
      <c r="AP404" s="79">
        <f>IF(AN404="","",IF(AE404=0,"OK",_xlfn.LET(fechaPago, Z404, fechaFactura, R404, diasCredito, IF(E404="Pago inmediato", 0, IFERROR(VALUE(MID(E404, 1, SEARCH(" ", E404)-1)),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04" s="79">
        <f>IF(AN404="","",IF(AND(N404&gt;0, AG404&gt;0), IF(Configuración!$K$2="NO", "ALERTA: DESCUENTO DOBLE NO PERMITIDO", "OK"), "OK"))</f>
        <v/>
      </c>
      <c r="AR404" s="79">
        <f>IF(AN404="","",IF(OR(AO404&lt;&gt;"OK", AP404&lt;&gt;"OK", AQ404&lt;&gt;"OK"), "⚠️ REVISAR", "OK"))</f>
        <v/>
      </c>
    </row>
    <row r="405">
      <c r="A405" s="79">
        <f>IF('Ordenes_Odoo'!A405="","",'Ordenes_Odoo'!A405)</f>
        <v/>
      </c>
      <c r="B405" s="80">
        <f>IF('Ordenes_Odoo'!B405="","",'Ordenes_Odoo'!B405)</f>
        <v/>
      </c>
      <c r="C405" s="79">
        <f>IF('Ordenes_Odoo'!C405="","",'Ordenes_Odoo'!C405)</f>
        <v/>
      </c>
      <c r="D405" s="79">
        <f>IF('Ordenes_Odoo'!D405="","",'Ordenes_Odoo'!D405)</f>
        <v/>
      </c>
      <c r="E405" s="79">
        <f>IF('Ordenes_Odoo'!E405="","",'Ordenes_Odoo'!E405)</f>
        <v/>
      </c>
      <c r="F405" s="79">
        <f>IF('Ordenes_Odoo'!F405="","",'Ordenes_Odoo'!F405)</f>
        <v/>
      </c>
      <c r="G405" s="79">
        <f>IF('Ordenes_Odoo'!G405="","",'Ordenes_Odoo'!G405)</f>
        <v/>
      </c>
      <c r="H405" s="79">
        <f>IF('Ordenes_Odoo'!H405="","",'Ordenes_Odoo'!H405)</f>
        <v/>
      </c>
      <c r="I405" s="79">
        <f>IF('Ordenes_Odoo'!I405="","",'Ordenes_Odoo'!I405)</f>
        <v/>
      </c>
      <c r="J405" s="79">
        <f>IF('Ordenes_Odoo'!J405="","",'Ordenes_Odoo'!J405)</f>
        <v/>
      </c>
      <c r="K405" s="81">
        <f>IF('Ordenes_Odoo'!K405="","",'Ordenes_Odoo'!K405)</f>
        <v/>
      </c>
      <c r="L405" s="81">
        <f>IF('Ordenes_Odoo'!L405="","",'Ordenes_Odoo'!L405)</f>
        <v/>
      </c>
      <c r="M405" s="79">
        <f>IF('Ordenes_Odoo'!M405="","",'Ordenes_Odoo'!M405)</f>
        <v/>
      </c>
      <c r="N405" s="79">
        <f>IF('Ordenes_Odoo'!N405="","",'Ordenes_Odoo'!N405)</f>
        <v/>
      </c>
      <c r="O405" s="81">
        <f>IF('Ordenes_Odoo'!O405="","",'Ordenes_Odoo'!O405)</f>
        <v/>
      </c>
      <c r="P405" s="81">
        <f>IF('Ordenes_Odoo'!P405="","",'Ordenes_Odoo'!P405)</f>
        <v/>
      </c>
      <c r="Q405" s="79">
        <f>IF(A405="","",IFERROR(INDEX(Facturas_Odoo!$B:$B, MATCH(A405, Facturas_Odoo!$D:$D, 0)), "Sin Factura"))</f>
        <v/>
      </c>
      <c r="R405" s="80">
        <f>IF(Q405="Sin Factura","",IFERROR(INDEX(Facturas_Odoo!$A:$A, MATCH(Q405, Facturas_Odoo!$B:$B, 0)), ""))</f>
        <v/>
      </c>
      <c r="S405" s="79">
        <f>IF(Q405="Sin Factura","",IFERROR(_xlfn.XLOOKUP(1, (Facturas_Odoo!$D:$D=A405) * (Facturas_Odoo!$K:$K=I405), Facturas_Odoo!$L:$L, ""), ""))</f>
        <v/>
      </c>
      <c r="T405" s="81">
        <f>IF(Q405="Sin Factura",0,IFERROR(_xlfn.XLOOKUP(1, (Facturas_Odoo!$D:$D=A405) * (Facturas_Odoo!$K:$K=I405), Facturas_Odoo!$M:$M, 0), 0))</f>
        <v/>
      </c>
      <c r="U405" s="79">
        <f>IF(Q405="Sin Factura",0,IFERROR(_xlfn.XLOOKUP(1, (Facturas_Odoo!$D:$D=A405) * (Facturas_Odoo!$K:$K=I405), Facturas_Odoo!$N:$N, 0), 0))</f>
        <v/>
      </c>
      <c r="V405" s="79">
        <f>IF(Q405="Sin Factura",0,IFERROR(_xlfn.XLOOKUP(1, (Facturas_Odoo!$D:$D=A405) * (Facturas_Odoo!$K:$K=I405), Facturas_Odoo!$O:$O, 0), 0))</f>
        <v/>
      </c>
      <c r="W405" s="81">
        <f>IF(Q405="Sin Factura",0,IFERROR(_xlfn.XLOOKUP(1, (Facturas_Odoo!$D:$D=A405) * (Facturas_Odoo!$K:$K=I405), Facturas_Odoo!$Q:$Q, 0), 0))</f>
        <v/>
      </c>
      <c r="X405" s="79">
        <f>IF(OR(Q405="Sin Factura",Q405=""),"",IFERROR(INDEX(Pagos_Odoo!$B:$B, MATCH(Q405, Pagos_Odoo!$I:$I, 0)), "Sin Pago"))</f>
        <v/>
      </c>
      <c r="Y405" s="79">
        <f>IF(X405="Sin Pago","",IFERROR(INDEX(Pagos_Odoo!$C:$C, MATCH(X405, Pagos_Odoo!$B:$B, 0)), ""))</f>
        <v/>
      </c>
      <c r="Z405" s="80">
        <f>IF(X405="Sin Pago","",IFERROR(INDEX(Pagos_Odoo!$A:$A, MATCH(X405, Pagos_Odoo!$B:$B, 0)), ""))</f>
        <v/>
      </c>
      <c r="AA405" s="79">
        <f>IF(X405="Sin Pago","",IFERROR(INDEX(Pagos_Odoo!$F:$F, MATCH(X405, Pagos_Odoo!$B:$B, 0)), ""))</f>
        <v/>
      </c>
      <c r="AB405" s="81">
        <f>IF(X405="Sin Pago",0,IFERROR(INDEX(Pagos_Odoo!$E:$E, MATCH(X405, Pagos_Odoo!$B:$B, 0)), 0))</f>
        <v/>
      </c>
      <c r="AC405" s="79">
        <f>IF(X405="Sin Pago","",IFERROR(INDEX(Pagos_Odoo!$G:$G, MATCH(X405, Pagos_Odoo!$B:$B, 0)), ""))</f>
        <v/>
      </c>
      <c r="AD405" s="82" t="n">
        <v>0</v>
      </c>
      <c r="AE405" s="82" t="n"/>
      <c r="AF405" s="82" t="n"/>
      <c r="AG405" s="82">
        <f>IF(AN405="","",AD405+AE405+AF405)</f>
        <v/>
      </c>
      <c r="AH405" s="81">
        <f>IF(AN405="","",P405*(1-AG405))</f>
        <v/>
      </c>
      <c r="AI405" s="81">
        <f>IF(AN405="","",IF(Q405="Sin Factura",0,IFERROR(INDEX(Facturas_Odoo!$H:$H, MATCH(Q405, Facturas_Odoo!$B:$B, 0)), 0)*(1-AG405)))</f>
        <v/>
      </c>
      <c r="AJ405" s="81">
        <f>IF(AN405="","",_xlfn.LET(idVenta, AN405&amp;"",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05" s="81">
        <f>IF(AN405="","",AH405-AJ405)</f>
        <v/>
      </c>
      <c r="AL405" s="81">
        <f>IF(AN405="","",IF(Q405="Sin Factura","",AI405-AJ405))</f>
        <v/>
      </c>
      <c r="AM405" s="81">
        <f>IF(AN405="","",IF(Q405="Sin Factura",0,P405-IFERROR(INDEX(Facturas_Odoo!$H:$H, MATCH(Q405, Facturas_Odoo!$B:$B, 0)), 0)))</f>
        <v/>
      </c>
      <c r="AN405" s="79">
        <f>IF(AND(A405="", J405=""), "", IF(A405&lt;&gt;"", VALUE(MID(A405,2,LEN(A405))), AN404))</f>
        <v/>
      </c>
      <c r="AO405" s="79">
        <f>IF(AN405="","",IF(AD405=0,"OK",_xlfn.LET(monedaPago, IF(AA405="","USD",AA405), limitePermitido, IFERROR(VLOOKUP(monedaPago, Configuración!$A$2:$B$3, 2, FALSE), 0.15), IF(AD405&gt;limitePermitido, "ALERTA: EXCESO (" &amp; TEXT(limitePermitido, "0%") &amp; " máx)", "OK"))))</f>
        <v/>
      </c>
      <c r="AP405" s="79">
        <f>IF(AN405="","",IF(AE405=0,"OK",_xlfn.LET(fechaPago, Z405, fechaFactura, R405, diasCredito, IF(E405="Pago inmediato", 0, IFERROR(VALUE(MID(E405, 1, SEARCH(" ", E405)-1)),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05" s="79">
        <f>IF(AN405="","",IF(AND(N405&gt;0, AG405&gt;0), IF(Configuración!$K$2="NO", "ALERTA: DESCUENTO DOBLE NO PERMITIDO", "OK"), "OK"))</f>
        <v/>
      </c>
      <c r="AR405" s="79">
        <f>IF(AN405="","",IF(OR(AO405&lt;&gt;"OK", AP405&lt;&gt;"OK", AQ405&lt;&gt;"OK"), "⚠️ REVISAR", "OK"))</f>
        <v/>
      </c>
    </row>
    <row r="406">
      <c r="A406" s="79">
        <f>IF('Ordenes_Odoo'!A406="","",'Ordenes_Odoo'!A406)</f>
        <v/>
      </c>
      <c r="B406" s="80">
        <f>IF('Ordenes_Odoo'!B406="","",'Ordenes_Odoo'!B406)</f>
        <v/>
      </c>
      <c r="C406" s="79">
        <f>IF('Ordenes_Odoo'!C406="","",'Ordenes_Odoo'!C406)</f>
        <v/>
      </c>
      <c r="D406" s="79">
        <f>IF('Ordenes_Odoo'!D406="","",'Ordenes_Odoo'!D406)</f>
        <v/>
      </c>
      <c r="E406" s="79">
        <f>IF('Ordenes_Odoo'!E406="","",'Ordenes_Odoo'!E406)</f>
        <v/>
      </c>
      <c r="F406" s="79">
        <f>IF('Ordenes_Odoo'!F406="","",'Ordenes_Odoo'!F406)</f>
        <v/>
      </c>
      <c r="G406" s="79">
        <f>IF('Ordenes_Odoo'!G406="","",'Ordenes_Odoo'!G406)</f>
        <v/>
      </c>
      <c r="H406" s="79">
        <f>IF('Ordenes_Odoo'!H406="","",'Ordenes_Odoo'!H406)</f>
        <v/>
      </c>
      <c r="I406" s="79">
        <f>IF('Ordenes_Odoo'!I406="","",'Ordenes_Odoo'!I406)</f>
        <v/>
      </c>
      <c r="J406" s="79">
        <f>IF('Ordenes_Odoo'!J406="","",'Ordenes_Odoo'!J406)</f>
        <v/>
      </c>
      <c r="K406" s="81">
        <f>IF('Ordenes_Odoo'!K406="","",'Ordenes_Odoo'!K406)</f>
        <v/>
      </c>
      <c r="L406" s="81">
        <f>IF('Ordenes_Odoo'!L406="","",'Ordenes_Odoo'!L406)</f>
        <v/>
      </c>
      <c r="M406" s="79">
        <f>IF('Ordenes_Odoo'!M406="","",'Ordenes_Odoo'!M406)</f>
        <v/>
      </c>
      <c r="N406" s="79">
        <f>IF('Ordenes_Odoo'!N406="","",'Ordenes_Odoo'!N406)</f>
        <v/>
      </c>
      <c r="O406" s="81">
        <f>IF('Ordenes_Odoo'!O406="","",'Ordenes_Odoo'!O406)</f>
        <v/>
      </c>
      <c r="P406" s="81">
        <f>IF('Ordenes_Odoo'!P406="","",'Ordenes_Odoo'!P406)</f>
        <v/>
      </c>
      <c r="Q406" s="79">
        <f>IF(A406="","",IFERROR(INDEX(Facturas_Odoo!$B:$B, MATCH(A406, Facturas_Odoo!$D:$D, 0)), "Sin Factura"))</f>
        <v/>
      </c>
      <c r="R406" s="80">
        <f>IF(Q406="Sin Factura","",IFERROR(INDEX(Facturas_Odoo!$A:$A, MATCH(Q406, Facturas_Odoo!$B:$B, 0)), ""))</f>
        <v/>
      </c>
      <c r="S406" s="79">
        <f>IF(Q406="Sin Factura","",IFERROR(_xlfn.XLOOKUP(1, (Facturas_Odoo!$D:$D=A406) * (Facturas_Odoo!$K:$K=I406), Facturas_Odoo!$L:$L, ""), ""))</f>
        <v/>
      </c>
      <c r="T406" s="81">
        <f>IF(Q406="Sin Factura",0,IFERROR(_xlfn.XLOOKUP(1, (Facturas_Odoo!$D:$D=A406) * (Facturas_Odoo!$K:$K=I406), Facturas_Odoo!$M:$M, 0), 0))</f>
        <v/>
      </c>
      <c r="U406" s="79">
        <f>IF(Q406="Sin Factura",0,IFERROR(_xlfn.XLOOKUP(1, (Facturas_Odoo!$D:$D=A406) * (Facturas_Odoo!$K:$K=I406), Facturas_Odoo!$N:$N, 0), 0))</f>
        <v/>
      </c>
      <c r="V406" s="79">
        <f>IF(Q406="Sin Factura",0,IFERROR(_xlfn.XLOOKUP(1, (Facturas_Odoo!$D:$D=A406) * (Facturas_Odoo!$K:$K=I406), Facturas_Odoo!$O:$O, 0), 0))</f>
        <v/>
      </c>
      <c r="W406" s="81">
        <f>IF(Q406="Sin Factura",0,IFERROR(_xlfn.XLOOKUP(1, (Facturas_Odoo!$D:$D=A406) * (Facturas_Odoo!$K:$K=I406), Facturas_Odoo!$Q:$Q, 0), 0))</f>
        <v/>
      </c>
      <c r="X406" s="79">
        <f>IF(OR(Q406="Sin Factura",Q406=""),"",IFERROR(INDEX(Pagos_Odoo!$B:$B, MATCH(Q406, Pagos_Odoo!$I:$I, 0)), "Sin Pago"))</f>
        <v/>
      </c>
      <c r="Y406" s="79">
        <f>IF(X406="Sin Pago","",IFERROR(INDEX(Pagos_Odoo!$C:$C, MATCH(X406, Pagos_Odoo!$B:$B, 0)), ""))</f>
        <v/>
      </c>
      <c r="Z406" s="80">
        <f>IF(X406="Sin Pago","",IFERROR(INDEX(Pagos_Odoo!$A:$A, MATCH(X406, Pagos_Odoo!$B:$B, 0)), ""))</f>
        <v/>
      </c>
      <c r="AA406" s="79">
        <f>IF(X406="Sin Pago","",IFERROR(INDEX(Pagos_Odoo!$F:$F, MATCH(X406, Pagos_Odoo!$B:$B, 0)), ""))</f>
        <v/>
      </c>
      <c r="AB406" s="81">
        <f>IF(X406="Sin Pago",0,IFERROR(INDEX(Pagos_Odoo!$E:$E, MATCH(X406, Pagos_Odoo!$B:$B, 0)), 0))</f>
        <v/>
      </c>
      <c r="AC406" s="79">
        <f>IF(X406="Sin Pago","",IFERROR(INDEX(Pagos_Odoo!$G:$G, MATCH(X406, Pagos_Odoo!$B:$B, 0)), ""))</f>
        <v/>
      </c>
      <c r="AD406" s="82" t="n">
        <v>0</v>
      </c>
      <c r="AE406" s="82" t="n"/>
      <c r="AF406" s="82" t="n"/>
      <c r="AG406" s="82">
        <f>IF(AN406="","",AD406+AE406+AF406)</f>
        <v/>
      </c>
      <c r="AH406" s="81">
        <f>IF(AN406="","",P406*(1-AG406))</f>
        <v/>
      </c>
      <c r="AI406" s="81">
        <f>IF(AN406="","",IF(Q406="Sin Factura",0,IFERROR(INDEX(Facturas_Odoo!$H:$H, MATCH(Q406, Facturas_Odoo!$B:$B, 0)), 0)*(1-AG406)))</f>
        <v/>
      </c>
      <c r="AJ406" s="81">
        <f>IF(AN406="","",_xlfn.LET(idVenta, AN406&amp;"",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06" s="81">
        <f>IF(AN406="","",AH406-AJ406)</f>
        <v/>
      </c>
      <c r="AL406" s="81">
        <f>IF(AN406="","",IF(Q406="Sin Factura","",AI406-AJ406))</f>
        <v/>
      </c>
      <c r="AM406" s="81">
        <f>IF(AN406="","",IF(Q406="Sin Factura",0,P406-IFERROR(INDEX(Facturas_Odoo!$H:$H, MATCH(Q406, Facturas_Odoo!$B:$B, 0)), 0)))</f>
        <v/>
      </c>
      <c r="AN406" s="79">
        <f>IF(AND(A406="", J406=""), "", IF(A406&lt;&gt;"", VALUE(MID(A406,2,LEN(A406))), AN405))</f>
        <v/>
      </c>
      <c r="AO406" s="79">
        <f>IF(AN406="","",IF(AD406=0,"OK",_xlfn.LET(monedaPago, IF(AA406="","USD",AA406), limitePermitido, IFERROR(VLOOKUP(monedaPago, Configuración!$A$2:$B$3, 2, FALSE), 0.15), IF(AD406&gt;limitePermitido, "ALERTA: EXCESO (" &amp; TEXT(limitePermitido, "0%") &amp; " máx)", "OK"))))</f>
        <v/>
      </c>
      <c r="AP406" s="79">
        <f>IF(AN406="","",IF(AE406=0,"OK",_xlfn.LET(fechaPago, Z406, fechaFactura, R406, diasCredito, IF(E406="Pago inmediato", 0, IFERROR(VALUE(MID(E406, 1, SEARCH(" ", E406)-1)),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06" s="79">
        <f>IF(AN406="","",IF(AND(N406&gt;0, AG406&gt;0), IF(Configuración!$K$2="NO", "ALERTA: DESCUENTO DOBLE NO PERMITIDO", "OK"), "OK"))</f>
        <v/>
      </c>
      <c r="AR406" s="79">
        <f>IF(AN406="","",IF(OR(AO406&lt;&gt;"OK", AP406&lt;&gt;"OK", AQ406&lt;&gt;"OK"), "⚠️ REVISAR", "OK"))</f>
        <v/>
      </c>
    </row>
    <row r="407">
      <c r="A407" s="79">
        <f>IF('Ordenes_Odoo'!A407="","",'Ordenes_Odoo'!A407)</f>
        <v/>
      </c>
      <c r="B407" s="80">
        <f>IF('Ordenes_Odoo'!B407="","",'Ordenes_Odoo'!B407)</f>
        <v/>
      </c>
      <c r="C407" s="79">
        <f>IF('Ordenes_Odoo'!C407="","",'Ordenes_Odoo'!C407)</f>
        <v/>
      </c>
      <c r="D407" s="79">
        <f>IF('Ordenes_Odoo'!D407="","",'Ordenes_Odoo'!D407)</f>
        <v/>
      </c>
      <c r="E407" s="79">
        <f>IF('Ordenes_Odoo'!E407="","",'Ordenes_Odoo'!E407)</f>
        <v/>
      </c>
      <c r="F407" s="79">
        <f>IF('Ordenes_Odoo'!F407="","",'Ordenes_Odoo'!F407)</f>
        <v/>
      </c>
      <c r="G407" s="79">
        <f>IF('Ordenes_Odoo'!G407="","",'Ordenes_Odoo'!G407)</f>
        <v/>
      </c>
      <c r="H407" s="79">
        <f>IF('Ordenes_Odoo'!H407="","",'Ordenes_Odoo'!H407)</f>
        <v/>
      </c>
      <c r="I407" s="79">
        <f>IF('Ordenes_Odoo'!I407="","",'Ordenes_Odoo'!I407)</f>
        <v/>
      </c>
      <c r="J407" s="79">
        <f>IF('Ordenes_Odoo'!J407="","",'Ordenes_Odoo'!J407)</f>
        <v/>
      </c>
      <c r="K407" s="81">
        <f>IF('Ordenes_Odoo'!K407="","",'Ordenes_Odoo'!K407)</f>
        <v/>
      </c>
      <c r="L407" s="81">
        <f>IF('Ordenes_Odoo'!L407="","",'Ordenes_Odoo'!L407)</f>
        <v/>
      </c>
      <c r="M407" s="79">
        <f>IF('Ordenes_Odoo'!M407="","",'Ordenes_Odoo'!M407)</f>
        <v/>
      </c>
      <c r="N407" s="79">
        <f>IF('Ordenes_Odoo'!N407="","",'Ordenes_Odoo'!N407)</f>
        <v/>
      </c>
      <c r="O407" s="81">
        <f>IF('Ordenes_Odoo'!O407="","",'Ordenes_Odoo'!O407)</f>
        <v/>
      </c>
      <c r="P407" s="81">
        <f>IF('Ordenes_Odoo'!P407="","",'Ordenes_Odoo'!P407)</f>
        <v/>
      </c>
      <c r="Q407" s="79">
        <f>IF(A407="","",IFERROR(INDEX(Facturas_Odoo!$B:$B, MATCH(A407, Facturas_Odoo!$D:$D, 0)), "Sin Factura"))</f>
        <v/>
      </c>
      <c r="R407" s="80">
        <f>IF(Q407="Sin Factura","",IFERROR(INDEX(Facturas_Odoo!$A:$A, MATCH(Q407, Facturas_Odoo!$B:$B, 0)), ""))</f>
        <v/>
      </c>
      <c r="S407" s="79">
        <f>IF(Q407="Sin Factura","",IFERROR(_xlfn.XLOOKUP(1, (Facturas_Odoo!$D:$D=A407) * (Facturas_Odoo!$K:$K=I407), Facturas_Odoo!$L:$L, ""), ""))</f>
        <v/>
      </c>
      <c r="T407" s="81">
        <f>IF(Q407="Sin Factura",0,IFERROR(_xlfn.XLOOKUP(1, (Facturas_Odoo!$D:$D=A407) * (Facturas_Odoo!$K:$K=I407), Facturas_Odoo!$M:$M, 0), 0))</f>
        <v/>
      </c>
      <c r="U407" s="79">
        <f>IF(Q407="Sin Factura",0,IFERROR(_xlfn.XLOOKUP(1, (Facturas_Odoo!$D:$D=A407) * (Facturas_Odoo!$K:$K=I407), Facturas_Odoo!$N:$N, 0), 0))</f>
        <v/>
      </c>
      <c r="V407" s="79">
        <f>IF(Q407="Sin Factura",0,IFERROR(_xlfn.XLOOKUP(1, (Facturas_Odoo!$D:$D=A407) * (Facturas_Odoo!$K:$K=I407), Facturas_Odoo!$O:$O, 0), 0))</f>
        <v/>
      </c>
      <c r="W407" s="81">
        <f>IF(Q407="Sin Factura",0,IFERROR(_xlfn.XLOOKUP(1, (Facturas_Odoo!$D:$D=A407) * (Facturas_Odoo!$K:$K=I407), Facturas_Odoo!$Q:$Q, 0), 0))</f>
        <v/>
      </c>
      <c r="X407" s="79">
        <f>IF(OR(Q407="Sin Factura",Q407=""),"",IFERROR(INDEX(Pagos_Odoo!$B:$B, MATCH(Q407, Pagos_Odoo!$I:$I, 0)), "Sin Pago"))</f>
        <v/>
      </c>
      <c r="Y407" s="79">
        <f>IF(X407="Sin Pago","",IFERROR(INDEX(Pagos_Odoo!$C:$C, MATCH(X407, Pagos_Odoo!$B:$B, 0)), ""))</f>
        <v/>
      </c>
      <c r="Z407" s="80">
        <f>IF(X407="Sin Pago","",IFERROR(INDEX(Pagos_Odoo!$A:$A, MATCH(X407, Pagos_Odoo!$B:$B, 0)), ""))</f>
        <v/>
      </c>
      <c r="AA407" s="79">
        <f>IF(X407="Sin Pago","",IFERROR(INDEX(Pagos_Odoo!$F:$F, MATCH(X407, Pagos_Odoo!$B:$B, 0)), ""))</f>
        <v/>
      </c>
      <c r="AB407" s="81">
        <f>IF(X407="Sin Pago",0,IFERROR(INDEX(Pagos_Odoo!$E:$E, MATCH(X407, Pagos_Odoo!$B:$B, 0)), 0))</f>
        <v/>
      </c>
      <c r="AC407" s="79">
        <f>IF(X407="Sin Pago","",IFERROR(INDEX(Pagos_Odoo!$G:$G, MATCH(X407, Pagos_Odoo!$B:$B, 0)), ""))</f>
        <v/>
      </c>
      <c r="AD407" s="82" t="n">
        <v>0</v>
      </c>
      <c r="AE407" s="82" t="n"/>
      <c r="AF407" s="82" t="n"/>
      <c r="AG407" s="82">
        <f>IF(AN407="","",AD407+AE407+AF407)</f>
        <v/>
      </c>
      <c r="AH407" s="81">
        <f>IF(AN407="","",P407*(1-AG407))</f>
        <v/>
      </c>
      <c r="AI407" s="81">
        <f>IF(AN407="","",IF(Q407="Sin Factura",0,IFERROR(INDEX(Facturas_Odoo!$H:$H, MATCH(Q407, Facturas_Odoo!$B:$B, 0)), 0)*(1-AG407)))</f>
        <v/>
      </c>
      <c r="AJ407" s="81">
        <f>IF(AN407="","",_xlfn.LET(idVenta, AN407&amp;"",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07" s="81">
        <f>IF(AN407="","",AH407-AJ407)</f>
        <v/>
      </c>
      <c r="AL407" s="81">
        <f>IF(AN407="","",IF(Q407="Sin Factura","",AI407-AJ407))</f>
        <v/>
      </c>
      <c r="AM407" s="81">
        <f>IF(AN407="","",IF(Q407="Sin Factura",0,P407-IFERROR(INDEX(Facturas_Odoo!$H:$H, MATCH(Q407, Facturas_Odoo!$B:$B, 0)), 0)))</f>
        <v/>
      </c>
      <c r="AN407" s="79">
        <f>IF(AND(A407="", J407=""), "", IF(A407&lt;&gt;"", VALUE(MID(A407,2,LEN(A407))), AN406))</f>
        <v/>
      </c>
      <c r="AO407" s="79">
        <f>IF(AN407="","",IF(AD407=0,"OK",_xlfn.LET(monedaPago, IF(AA407="","USD",AA407), limitePermitido, IFERROR(VLOOKUP(monedaPago, Configuración!$A$2:$B$3, 2, FALSE), 0.15), IF(AD407&gt;limitePermitido, "ALERTA: EXCESO (" &amp; TEXT(limitePermitido, "0%") &amp; " máx)", "OK"))))</f>
        <v/>
      </c>
      <c r="AP407" s="79">
        <f>IF(AN407="","",IF(AE407=0,"OK",_xlfn.LET(fechaPago, Z407, fechaFactura, R407, diasCredito, IF(E407="Pago inmediato", 0, IFERROR(VALUE(MID(E407, 1, SEARCH(" ", E407)-1)),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07" s="79">
        <f>IF(AN407="","",IF(AND(N407&gt;0, AG407&gt;0), IF(Configuración!$K$2="NO", "ALERTA: DESCUENTO DOBLE NO PERMITIDO", "OK"), "OK"))</f>
        <v/>
      </c>
      <c r="AR407" s="79">
        <f>IF(AN407="","",IF(OR(AO407&lt;&gt;"OK", AP407&lt;&gt;"OK", AQ407&lt;&gt;"OK"), "⚠️ REVISAR", "OK"))</f>
        <v/>
      </c>
    </row>
    <row r="408">
      <c r="A408" s="79">
        <f>IF('Ordenes_Odoo'!A408="","",'Ordenes_Odoo'!A408)</f>
        <v/>
      </c>
      <c r="B408" s="80">
        <f>IF('Ordenes_Odoo'!B408="","",'Ordenes_Odoo'!B408)</f>
        <v/>
      </c>
      <c r="C408" s="79">
        <f>IF('Ordenes_Odoo'!C408="","",'Ordenes_Odoo'!C408)</f>
        <v/>
      </c>
      <c r="D408" s="79">
        <f>IF('Ordenes_Odoo'!D408="","",'Ordenes_Odoo'!D408)</f>
        <v/>
      </c>
      <c r="E408" s="79">
        <f>IF('Ordenes_Odoo'!E408="","",'Ordenes_Odoo'!E408)</f>
        <v/>
      </c>
      <c r="F408" s="79">
        <f>IF('Ordenes_Odoo'!F408="","",'Ordenes_Odoo'!F408)</f>
        <v/>
      </c>
      <c r="G408" s="79">
        <f>IF('Ordenes_Odoo'!G408="","",'Ordenes_Odoo'!G408)</f>
        <v/>
      </c>
      <c r="H408" s="79">
        <f>IF('Ordenes_Odoo'!H408="","",'Ordenes_Odoo'!H408)</f>
        <v/>
      </c>
      <c r="I408" s="79">
        <f>IF('Ordenes_Odoo'!I408="","",'Ordenes_Odoo'!I408)</f>
        <v/>
      </c>
      <c r="J408" s="79">
        <f>IF('Ordenes_Odoo'!J408="","",'Ordenes_Odoo'!J408)</f>
        <v/>
      </c>
      <c r="K408" s="81">
        <f>IF('Ordenes_Odoo'!K408="","",'Ordenes_Odoo'!K408)</f>
        <v/>
      </c>
      <c r="L408" s="81">
        <f>IF('Ordenes_Odoo'!L408="","",'Ordenes_Odoo'!L408)</f>
        <v/>
      </c>
      <c r="M408" s="79">
        <f>IF('Ordenes_Odoo'!M408="","",'Ordenes_Odoo'!M408)</f>
        <v/>
      </c>
      <c r="N408" s="79">
        <f>IF('Ordenes_Odoo'!N408="","",'Ordenes_Odoo'!N408)</f>
        <v/>
      </c>
      <c r="O408" s="81">
        <f>IF('Ordenes_Odoo'!O408="","",'Ordenes_Odoo'!O408)</f>
        <v/>
      </c>
      <c r="P408" s="81">
        <f>IF('Ordenes_Odoo'!P408="","",'Ordenes_Odoo'!P408)</f>
        <v/>
      </c>
      <c r="Q408" s="79">
        <f>IF(A408="","",IFERROR(INDEX(Facturas_Odoo!$B:$B, MATCH(A408, Facturas_Odoo!$D:$D, 0)), "Sin Factura"))</f>
        <v/>
      </c>
      <c r="R408" s="80">
        <f>IF(Q408="Sin Factura","",IFERROR(INDEX(Facturas_Odoo!$A:$A, MATCH(Q408, Facturas_Odoo!$B:$B, 0)), ""))</f>
        <v/>
      </c>
      <c r="S408" s="79">
        <f>IF(Q408="Sin Factura","",IFERROR(_xlfn.XLOOKUP(1, (Facturas_Odoo!$D:$D=A408) * (Facturas_Odoo!$K:$K=I408), Facturas_Odoo!$L:$L, ""), ""))</f>
        <v/>
      </c>
      <c r="T408" s="81">
        <f>IF(Q408="Sin Factura",0,IFERROR(_xlfn.XLOOKUP(1, (Facturas_Odoo!$D:$D=A408) * (Facturas_Odoo!$K:$K=I408), Facturas_Odoo!$M:$M, 0), 0))</f>
        <v/>
      </c>
      <c r="U408" s="79">
        <f>IF(Q408="Sin Factura",0,IFERROR(_xlfn.XLOOKUP(1, (Facturas_Odoo!$D:$D=A408) * (Facturas_Odoo!$K:$K=I408), Facturas_Odoo!$N:$N, 0), 0))</f>
        <v/>
      </c>
      <c r="V408" s="79">
        <f>IF(Q408="Sin Factura",0,IFERROR(_xlfn.XLOOKUP(1, (Facturas_Odoo!$D:$D=A408) * (Facturas_Odoo!$K:$K=I408), Facturas_Odoo!$O:$O, 0), 0))</f>
        <v/>
      </c>
      <c r="W408" s="81">
        <f>IF(Q408="Sin Factura",0,IFERROR(_xlfn.XLOOKUP(1, (Facturas_Odoo!$D:$D=A408) * (Facturas_Odoo!$K:$K=I408), Facturas_Odoo!$Q:$Q, 0), 0))</f>
        <v/>
      </c>
      <c r="X408" s="79">
        <f>IF(OR(Q408="Sin Factura",Q408=""),"",IFERROR(INDEX(Pagos_Odoo!$B:$B, MATCH(Q408, Pagos_Odoo!$I:$I, 0)), "Sin Pago"))</f>
        <v/>
      </c>
      <c r="Y408" s="79">
        <f>IF(X408="Sin Pago","",IFERROR(INDEX(Pagos_Odoo!$C:$C, MATCH(X408, Pagos_Odoo!$B:$B, 0)), ""))</f>
        <v/>
      </c>
      <c r="Z408" s="80">
        <f>IF(X408="Sin Pago","",IFERROR(INDEX(Pagos_Odoo!$A:$A, MATCH(X408, Pagos_Odoo!$B:$B, 0)), ""))</f>
        <v/>
      </c>
      <c r="AA408" s="79">
        <f>IF(X408="Sin Pago","",IFERROR(INDEX(Pagos_Odoo!$F:$F, MATCH(X408, Pagos_Odoo!$B:$B, 0)), ""))</f>
        <v/>
      </c>
      <c r="AB408" s="81">
        <f>IF(X408="Sin Pago",0,IFERROR(INDEX(Pagos_Odoo!$E:$E, MATCH(X408, Pagos_Odoo!$B:$B, 0)), 0))</f>
        <v/>
      </c>
      <c r="AC408" s="79">
        <f>IF(X408="Sin Pago","",IFERROR(INDEX(Pagos_Odoo!$G:$G, MATCH(X408, Pagos_Odoo!$B:$B, 0)), ""))</f>
        <v/>
      </c>
      <c r="AD408" s="82" t="n">
        <v>0</v>
      </c>
      <c r="AE408" s="82" t="n"/>
      <c r="AF408" s="82" t="n"/>
      <c r="AG408" s="82">
        <f>IF(AN408="","",AD408+AE408+AF408)</f>
        <v/>
      </c>
      <c r="AH408" s="81">
        <f>IF(AN408="","",P408*(1-AG408))</f>
        <v/>
      </c>
      <c r="AI408" s="81">
        <f>IF(AN408="","",IF(Q408="Sin Factura",0,IFERROR(INDEX(Facturas_Odoo!$H:$H, MATCH(Q408, Facturas_Odoo!$B:$B, 0)), 0)*(1-AG408)))</f>
        <v/>
      </c>
      <c r="AJ408" s="81">
        <f>IF(AN408="","",_xlfn.LET(idVenta, AN408&amp;"",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08" s="81">
        <f>IF(AN408="","",AH408-AJ408)</f>
        <v/>
      </c>
      <c r="AL408" s="81">
        <f>IF(AN408="","",IF(Q408="Sin Factura","",AI408-AJ408))</f>
        <v/>
      </c>
      <c r="AM408" s="81">
        <f>IF(AN408="","",IF(Q408="Sin Factura",0,P408-IFERROR(INDEX(Facturas_Odoo!$H:$H, MATCH(Q408, Facturas_Odoo!$B:$B, 0)), 0)))</f>
        <v/>
      </c>
      <c r="AN408" s="79">
        <f>IF(AND(A408="", J408=""), "", IF(A408&lt;&gt;"", VALUE(MID(A408,2,LEN(A408))), AN407))</f>
        <v/>
      </c>
      <c r="AO408" s="79">
        <f>IF(AN408="","",IF(AD408=0,"OK",_xlfn.LET(monedaPago, IF(AA408="","USD",AA408), limitePermitido, IFERROR(VLOOKUP(monedaPago, Configuración!$A$2:$B$3, 2, FALSE), 0.15), IF(AD408&gt;limitePermitido, "ALERTA: EXCESO (" &amp; TEXT(limitePermitido, "0%") &amp; " máx)", "OK"))))</f>
        <v/>
      </c>
      <c r="AP408" s="79">
        <f>IF(AN408="","",IF(AE408=0,"OK",_xlfn.LET(fechaPago, Z408, fechaFactura, R408, diasCredito, IF(E408="Pago inmediato", 0, IFERROR(VALUE(MID(E408, 1, SEARCH(" ", E408)-1)),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08" s="79">
        <f>IF(AN408="","",IF(AND(N408&gt;0, AG408&gt;0), IF(Configuración!$K$2="NO", "ALERTA: DESCUENTO DOBLE NO PERMITIDO", "OK"), "OK"))</f>
        <v/>
      </c>
      <c r="AR408" s="79">
        <f>IF(AN408="","",IF(OR(AO408&lt;&gt;"OK", AP408&lt;&gt;"OK", AQ408&lt;&gt;"OK"), "⚠️ REVISAR", "OK"))</f>
        <v/>
      </c>
    </row>
    <row r="409">
      <c r="A409" s="79">
        <f>IF('Ordenes_Odoo'!A409="","",'Ordenes_Odoo'!A409)</f>
        <v/>
      </c>
      <c r="B409" s="80">
        <f>IF('Ordenes_Odoo'!B409="","",'Ordenes_Odoo'!B409)</f>
        <v/>
      </c>
      <c r="C409" s="79">
        <f>IF('Ordenes_Odoo'!C409="","",'Ordenes_Odoo'!C409)</f>
        <v/>
      </c>
      <c r="D409" s="79">
        <f>IF('Ordenes_Odoo'!D409="","",'Ordenes_Odoo'!D409)</f>
        <v/>
      </c>
      <c r="E409" s="79">
        <f>IF('Ordenes_Odoo'!E409="","",'Ordenes_Odoo'!E409)</f>
        <v/>
      </c>
      <c r="F409" s="79">
        <f>IF('Ordenes_Odoo'!F409="","",'Ordenes_Odoo'!F409)</f>
        <v/>
      </c>
      <c r="G409" s="79">
        <f>IF('Ordenes_Odoo'!G409="","",'Ordenes_Odoo'!G409)</f>
        <v/>
      </c>
      <c r="H409" s="79">
        <f>IF('Ordenes_Odoo'!H409="","",'Ordenes_Odoo'!H409)</f>
        <v/>
      </c>
      <c r="I409" s="79">
        <f>IF('Ordenes_Odoo'!I409="","",'Ordenes_Odoo'!I409)</f>
        <v/>
      </c>
      <c r="J409" s="79">
        <f>IF('Ordenes_Odoo'!J409="","",'Ordenes_Odoo'!J409)</f>
        <v/>
      </c>
      <c r="K409" s="81">
        <f>IF('Ordenes_Odoo'!K409="","",'Ordenes_Odoo'!K409)</f>
        <v/>
      </c>
      <c r="L409" s="81">
        <f>IF('Ordenes_Odoo'!L409="","",'Ordenes_Odoo'!L409)</f>
        <v/>
      </c>
      <c r="M409" s="79">
        <f>IF('Ordenes_Odoo'!M409="","",'Ordenes_Odoo'!M409)</f>
        <v/>
      </c>
      <c r="N409" s="79">
        <f>IF('Ordenes_Odoo'!N409="","",'Ordenes_Odoo'!N409)</f>
        <v/>
      </c>
      <c r="O409" s="81">
        <f>IF('Ordenes_Odoo'!O409="","",'Ordenes_Odoo'!O409)</f>
        <v/>
      </c>
      <c r="P409" s="81">
        <f>IF('Ordenes_Odoo'!P409="","",'Ordenes_Odoo'!P409)</f>
        <v/>
      </c>
      <c r="Q409" s="79">
        <f>IF(A409="","",IFERROR(INDEX(Facturas_Odoo!$B:$B, MATCH(A409, Facturas_Odoo!$D:$D, 0)), "Sin Factura"))</f>
        <v/>
      </c>
      <c r="R409" s="80">
        <f>IF(Q409="Sin Factura","",IFERROR(INDEX(Facturas_Odoo!$A:$A, MATCH(Q409, Facturas_Odoo!$B:$B, 0)), ""))</f>
        <v/>
      </c>
      <c r="S409" s="79">
        <f>IF(Q409="Sin Factura","",IFERROR(_xlfn.XLOOKUP(1, (Facturas_Odoo!$D:$D=A409) * (Facturas_Odoo!$K:$K=I409), Facturas_Odoo!$L:$L, ""), ""))</f>
        <v/>
      </c>
      <c r="T409" s="81">
        <f>IF(Q409="Sin Factura",0,IFERROR(_xlfn.XLOOKUP(1, (Facturas_Odoo!$D:$D=A409) * (Facturas_Odoo!$K:$K=I409), Facturas_Odoo!$M:$M, 0), 0))</f>
        <v/>
      </c>
      <c r="U409" s="79">
        <f>IF(Q409="Sin Factura",0,IFERROR(_xlfn.XLOOKUP(1, (Facturas_Odoo!$D:$D=A409) * (Facturas_Odoo!$K:$K=I409), Facturas_Odoo!$N:$N, 0), 0))</f>
        <v/>
      </c>
      <c r="V409" s="79">
        <f>IF(Q409="Sin Factura",0,IFERROR(_xlfn.XLOOKUP(1, (Facturas_Odoo!$D:$D=A409) * (Facturas_Odoo!$K:$K=I409), Facturas_Odoo!$O:$O, 0), 0))</f>
        <v/>
      </c>
      <c r="W409" s="81">
        <f>IF(Q409="Sin Factura",0,IFERROR(_xlfn.XLOOKUP(1, (Facturas_Odoo!$D:$D=A409) * (Facturas_Odoo!$K:$K=I409), Facturas_Odoo!$Q:$Q, 0), 0))</f>
        <v/>
      </c>
      <c r="X409" s="79">
        <f>IF(OR(Q409="Sin Factura",Q409=""),"",IFERROR(INDEX(Pagos_Odoo!$B:$B, MATCH(Q409, Pagos_Odoo!$I:$I, 0)), "Sin Pago"))</f>
        <v/>
      </c>
      <c r="Y409" s="79">
        <f>IF(X409="Sin Pago","",IFERROR(INDEX(Pagos_Odoo!$C:$C, MATCH(X409, Pagos_Odoo!$B:$B, 0)), ""))</f>
        <v/>
      </c>
      <c r="Z409" s="80">
        <f>IF(X409="Sin Pago","",IFERROR(INDEX(Pagos_Odoo!$A:$A, MATCH(X409, Pagos_Odoo!$B:$B, 0)), ""))</f>
        <v/>
      </c>
      <c r="AA409" s="79">
        <f>IF(X409="Sin Pago","",IFERROR(INDEX(Pagos_Odoo!$F:$F, MATCH(X409, Pagos_Odoo!$B:$B, 0)), ""))</f>
        <v/>
      </c>
      <c r="AB409" s="81">
        <f>IF(X409="Sin Pago",0,IFERROR(INDEX(Pagos_Odoo!$E:$E, MATCH(X409, Pagos_Odoo!$B:$B, 0)), 0))</f>
        <v/>
      </c>
      <c r="AC409" s="79">
        <f>IF(X409="Sin Pago","",IFERROR(INDEX(Pagos_Odoo!$G:$G, MATCH(X409, Pagos_Odoo!$B:$B, 0)), ""))</f>
        <v/>
      </c>
      <c r="AD409" s="82" t="n">
        <v>0</v>
      </c>
      <c r="AE409" s="82" t="n"/>
      <c r="AF409" s="82" t="n"/>
      <c r="AG409" s="82">
        <f>IF(AN409="","",AD409+AE409+AF409)</f>
        <v/>
      </c>
      <c r="AH409" s="81">
        <f>IF(AN409="","",P409*(1-AG409))</f>
        <v/>
      </c>
      <c r="AI409" s="81">
        <f>IF(AN409="","",IF(Q409="Sin Factura",0,IFERROR(INDEX(Facturas_Odoo!$H:$H, MATCH(Q409, Facturas_Odoo!$B:$B, 0)), 0)*(1-AG409)))</f>
        <v/>
      </c>
      <c r="AJ409" s="81">
        <f>IF(AN409="","",_xlfn.LET(idVenta, AN409&amp;"",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09" s="81">
        <f>IF(AN409="","",AH409-AJ409)</f>
        <v/>
      </c>
      <c r="AL409" s="81">
        <f>IF(AN409="","",IF(Q409="Sin Factura","",AI409-AJ409))</f>
        <v/>
      </c>
      <c r="AM409" s="81">
        <f>IF(AN409="","",IF(Q409="Sin Factura",0,P409-IFERROR(INDEX(Facturas_Odoo!$H:$H, MATCH(Q409, Facturas_Odoo!$B:$B, 0)), 0)))</f>
        <v/>
      </c>
      <c r="AN409" s="79">
        <f>IF(AND(A409="", J409=""), "", IF(A409&lt;&gt;"", VALUE(MID(A409,2,LEN(A409))), AN408))</f>
        <v/>
      </c>
      <c r="AO409" s="79">
        <f>IF(AN409="","",IF(AD409=0,"OK",_xlfn.LET(monedaPago, IF(AA409="","USD",AA409), limitePermitido, IFERROR(VLOOKUP(monedaPago, Configuración!$A$2:$B$3, 2, FALSE), 0.15), IF(AD409&gt;limitePermitido, "ALERTA: EXCESO (" &amp; TEXT(limitePermitido, "0%") &amp; " máx)", "OK"))))</f>
        <v/>
      </c>
      <c r="AP409" s="79">
        <f>IF(AN409="","",IF(AE409=0,"OK",_xlfn.LET(fechaPago, Z409, fechaFactura, R409, diasCredito, IF(E409="Pago inmediato", 0, IFERROR(VALUE(MID(E409, 1, SEARCH(" ", E409)-1)),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09" s="79">
        <f>IF(AN409="","",IF(AND(N409&gt;0, AG409&gt;0), IF(Configuración!$K$2="NO", "ALERTA: DESCUENTO DOBLE NO PERMITIDO", "OK"), "OK"))</f>
        <v/>
      </c>
      <c r="AR409" s="79">
        <f>IF(AN409="","",IF(OR(AO409&lt;&gt;"OK", AP409&lt;&gt;"OK", AQ409&lt;&gt;"OK"), "⚠️ REVISAR", "OK"))</f>
        <v/>
      </c>
    </row>
    <row r="410">
      <c r="A410" s="79">
        <f>IF('Ordenes_Odoo'!A410="","",'Ordenes_Odoo'!A410)</f>
        <v/>
      </c>
      <c r="B410" s="80">
        <f>IF('Ordenes_Odoo'!B410="","",'Ordenes_Odoo'!B410)</f>
        <v/>
      </c>
      <c r="C410" s="79">
        <f>IF('Ordenes_Odoo'!C410="","",'Ordenes_Odoo'!C410)</f>
        <v/>
      </c>
      <c r="D410" s="79">
        <f>IF('Ordenes_Odoo'!D410="","",'Ordenes_Odoo'!D410)</f>
        <v/>
      </c>
      <c r="E410" s="79">
        <f>IF('Ordenes_Odoo'!E410="","",'Ordenes_Odoo'!E410)</f>
        <v/>
      </c>
      <c r="F410" s="79">
        <f>IF('Ordenes_Odoo'!F410="","",'Ordenes_Odoo'!F410)</f>
        <v/>
      </c>
      <c r="G410" s="79">
        <f>IF('Ordenes_Odoo'!G410="","",'Ordenes_Odoo'!G410)</f>
        <v/>
      </c>
      <c r="H410" s="79">
        <f>IF('Ordenes_Odoo'!H410="","",'Ordenes_Odoo'!H410)</f>
        <v/>
      </c>
      <c r="I410" s="79">
        <f>IF('Ordenes_Odoo'!I410="","",'Ordenes_Odoo'!I410)</f>
        <v/>
      </c>
      <c r="J410" s="79">
        <f>IF('Ordenes_Odoo'!J410="","",'Ordenes_Odoo'!J410)</f>
        <v/>
      </c>
      <c r="K410" s="81">
        <f>IF('Ordenes_Odoo'!K410="","",'Ordenes_Odoo'!K410)</f>
        <v/>
      </c>
      <c r="L410" s="81">
        <f>IF('Ordenes_Odoo'!L410="","",'Ordenes_Odoo'!L410)</f>
        <v/>
      </c>
      <c r="M410" s="79">
        <f>IF('Ordenes_Odoo'!M410="","",'Ordenes_Odoo'!M410)</f>
        <v/>
      </c>
      <c r="N410" s="79">
        <f>IF('Ordenes_Odoo'!N410="","",'Ordenes_Odoo'!N410)</f>
        <v/>
      </c>
      <c r="O410" s="81">
        <f>IF('Ordenes_Odoo'!O410="","",'Ordenes_Odoo'!O410)</f>
        <v/>
      </c>
      <c r="P410" s="81">
        <f>IF('Ordenes_Odoo'!P410="","",'Ordenes_Odoo'!P410)</f>
        <v/>
      </c>
      <c r="Q410" s="79">
        <f>IF(A410="","",IFERROR(INDEX(Facturas_Odoo!$B:$B, MATCH(A410, Facturas_Odoo!$D:$D, 0)), "Sin Factura"))</f>
        <v/>
      </c>
      <c r="R410" s="80">
        <f>IF(Q410="Sin Factura","",IFERROR(INDEX(Facturas_Odoo!$A:$A, MATCH(Q410, Facturas_Odoo!$B:$B, 0)), ""))</f>
        <v/>
      </c>
      <c r="S410" s="79">
        <f>IF(Q410="Sin Factura","",IFERROR(_xlfn.XLOOKUP(1, (Facturas_Odoo!$D:$D=A410) * (Facturas_Odoo!$K:$K=I410), Facturas_Odoo!$L:$L, ""), ""))</f>
        <v/>
      </c>
      <c r="T410" s="81">
        <f>IF(Q410="Sin Factura",0,IFERROR(_xlfn.XLOOKUP(1, (Facturas_Odoo!$D:$D=A410) * (Facturas_Odoo!$K:$K=I410), Facturas_Odoo!$M:$M, 0), 0))</f>
        <v/>
      </c>
      <c r="U410" s="79">
        <f>IF(Q410="Sin Factura",0,IFERROR(_xlfn.XLOOKUP(1, (Facturas_Odoo!$D:$D=A410) * (Facturas_Odoo!$K:$K=I410), Facturas_Odoo!$N:$N, 0), 0))</f>
        <v/>
      </c>
      <c r="V410" s="79">
        <f>IF(Q410="Sin Factura",0,IFERROR(_xlfn.XLOOKUP(1, (Facturas_Odoo!$D:$D=A410) * (Facturas_Odoo!$K:$K=I410), Facturas_Odoo!$O:$O, 0), 0))</f>
        <v/>
      </c>
      <c r="W410" s="81">
        <f>IF(Q410="Sin Factura",0,IFERROR(_xlfn.XLOOKUP(1, (Facturas_Odoo!$D:$D=A410) * (Facturas_Odoo!$K:$K=I410), Facturas_Odoo!$Q:$Q, 0), 0))</f>
        <v/>
      </c>
      <c r="X410" s="79">
        <f>IF(OR(Q410="Sin Factura",Q410=""),"",IFERROR(INDEX(Pagos_Odoo!$B:$B, MATCH(Q410, Pagos_Odoo!$I:$I, 0)), "Sin Pago"))</f>
        <v/>
      </c>
      <c r="Y410" s="79">
        <f>IF(X410="Sin Pago","",IFERROR(INDEX(Pagos_Odoo!$C:$C, MATCH(X410, Pagos_Odoo!$B:$B, 0)), ""))</f>
        <v/>
      </c>
      <c r="Z410" s="80">
        <f>IF(X410="Sin Pago","",IFERROR(INDEX(Pagos_Odoo!$A:$A, MATCH(X410, Pagos_Odoo!$B:$B, 0)), ""))</f>
        <v/>
      </c>
      <c r="AA410" s="79">
        <f>IF(X410="Sin Pago","",IFERROR(INDEX(Pagos_Odoo!$F:$F, MATCH(X410, Pagos_Odoo!$B:$B, 0)), ""))</f>
        <v/>
      </c>
      <c r="AB410" s="81">
        <f>IF(X410="Sin Pago",0,IFERROR(INDEX(Pagos_Odoo!$E:$E, MATCH(X410, Pagos_Odoo!$B:$B, 0)), 0))</f>
        <v/>
      </c>
      <c r="AC410" s="79">
        <f>IF(X410="Sin Pago","",IFERROR(INDEX(Pagos_Odoo!$G:$G, MATCH(X410, Pagos_Odoo!$B:$B, 0)), ""))</f>
        <v/>
      </c>
      <c r="AD410" s="82" t="n">
        <v>0</v>
      </c>
      <c r="AE410" s="82" t="n"/>
      <c r="AF410" s="82" t="n"/>
      <c r="AG410" s="82">
        <f>IF(AN410="","",AD410+AE410+AF410)</f>
        <v/>
      </c>
      <c r="AH410" s="81">
        <f>IF(AN410="","",P410*(1-AG410))</f>
        <v/>
      </c>
      <c r="AI410" s="81">
        <f>IF(AN410="","",IF(Q410="Sin Factura",0,IFERROR(INDEX(Facturas_Odoo!$H:$H, MATCH(Q410, Facturas_Odoo!$B:$B, 0)), 0)*(1-AG410)))</f>
        <v/>
      </c>
      <c r="AJ410" s="81">
        <f>IF(AN410="","",_xlfn.LET(idVenta, AN410&amp;"",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10" s="81">
        <f>IF(AN410="","",AH410-AJ410)</f>
        <v/>
      </c>
      <c r="AL410" s="81">
        <f>IF(AN410="","",IF(Q410="Sin Factura","",AI410-AJ410))</f>
        <v/>
      </c>
      <c r="AM410" s="81">
        <f>IF(AN410="","",IF(Q410="Sin Factura",0,P410-IFERROR(INDEX(Facturas_Odoo!$H:$H, MATCH(Q410, Facturas_Odoo!$B:$B, 0)), 0)))</f>
        <v/>
      </c>
      <c r="AN410" s="79">
        <f>IF(AND(A410="", J410=""), "", IF(A410&lt;&gt;"", VALUE(MID(A410,2,LEN(A410))), AN409))</f>
        <v/>
      </c>
      <c r="AO410" s="79">
        <f>IF(AN410="","",IF(AD410=0,"OK",_xlfn.LET(monedaPago, IF(AA410="","USD",AA410), limitePermitido, IFERROR(VLOOKUP(monedaPago, Configuración!$A$2:$B$3, 2, FALSE), 0.15), IF(AD410&gt;limitePermitido, "ALERTA: EXCESO (" &amp; TEXT(limitePermitido, "0%") &amp; " máx)", "OK"))))</f>
        <v/>
      </c>
      <c r="AP410" s="79">
        <f>IF(AN410="","",IF(AE410=0,"OK",_xlfn.LET(fechaPago, Z410, fechaFactura, R410, diasCredito, IF(E410="Pago inmediato", 0, IFERROR(VALUE(MID(E410, 1, SEARCH(" ", E410)-1)),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10" s="79">
        <f>IF(AN410="","",IF(AND(N410&gt;0, AG410&gt;0), IF(Configuración!$K$2="NO", "ALERTA: DESCUENTO DOBLE NO PERMITIDO", "OK"), "OK"))</f>
        <v/>
      </c>
      <c r="AR410" s="79">
        <f>IF(AN410="","",IF(OR(AO410&lt;&gt;"OK", AP410&lt;&gt;"OK", AQ410&lt;&gt;"OK"), "⚠️ REVISAR", "OK"))</f>
        <v/>
      </c>
    </row>
    <row r="411">
      <c r="A411" s="79">
        <f>IF('Ordenes_Odoo'!A411="","",'Ordenes_Odoo'!A411)</f>
        <v/>
      </c>
      <c r="B411" s="80">
        <f>IF('Ordenes_Odoo'!B411="","",'Ordenes_Odoo'!B411)</f>
        <v/>
      </c>
      <c r="C411" s="79">
        <f>IF('Ordenes_Odoo'!C411="","",'Ordenes_Odoo'!C411)</f>
        <v/>
      </c>
      <c r="D411" s="79">
        <f>IF('Ordenes_Odoo'!D411="","",'Ordenes_Odoo'!D411)</f>
        <v/>
      </c>
      <c r="E411" s="79">
        <f>IF('Ordenes_Odoo'!E411="","",'Ordenes_Odoo'!E411)</f>
        <v/>
      </c>
      <c r="F411" s="79">
        <f>IF('Ordenes_Odoo'!F411="","",'Ordenes_Odoo'!F411)</f>
        <v/>
      </c>
      <c r="G411" s="79">
        <f>IF('Ordenes_Odoo'!G411="","",'Ordenes_Odoo'!G411)</f>
        <v/>
      </c>
      <c r="H411" s="79">
        <f>IF('Ordenes_Odoo'!H411="","",'Ordenes_Odoo'!H411)</f>
        <v/>
      </c>
      <c r="I411" s="79">
        <f>IF('Ordenes_Odoo'!I411="","",'Ordenes_Odoo'!I411)</f>
        <v/>
      </c>
      <c r="J411" s="79">
        <f>IF('Ordenes_Odoo'!J411="","",'Ordenes_Odoo'!J411)</f>
        <v/>
      </c>
      <c r="K411" s="81">
        <f>IF('Ordenes_Odoo'!K411="","",'Ordenes_Odoo'!K411)</f>
        <v/>
      </c>
      <c r="L411" s="81">
        <f>IF('Ordenes_Odoo'!L411="","",'Ordenes_Odoo'!L411)</f>
        <v/>
      </c>
      <c r="M411" s="79">
        <f>IF('Ordenes_Odoo'!M411="","",'Ordenes_Odoo'!M411)</f>
        <v/>
      </c>
      <c r="N411" s="79">
        <f>IF('Ordenes_Odoo'!N411="","",'Ordenes_Odoo'!N411)</f>
        <v/>
      </c>
      <c r="O411" s="81">
        <f>IF('Ordenes_Odoo'!O411="","",'Ordenes_Odoo'!O411)</f>
        <v/>
      </c>
      <c r="P411" s="81">
        <f>IF('Ordenes_Odoo'!P411="","",'Ordenes_Odoo'!P411)</f>
        <v/>
      </c>
      <c r="Q411" s="79">
        <f>IF(A411="","",IFERROR(INDEX(Facturas_Odoo!$B:$B, MATCH(A411, Facturas_Odoo!$D:$D, 0)), "Sin Factura"))</f>
        <v/>
      </c>
      <c r="R411" s="80">
        <f>IF(Q411="Sin Factura","",IFERROR(INDEX(Facturas_Odoo!$A:$A, MATCH(Q411, Facturas_Odoo!$B:$B, 0)), ""))</f>
        <v/>
      </c>
      <c r="S411" s="79">
        <f>IF(Q411="Sin Factura","",IFERROR(_xlfn.XLOOKUP(1, (Facturas_Odoo!$D:$D=A411) * (Facturas_Odoo!$K:$K=I411), Facturas_Odoo!$L:$L, ""), ""))</f>
        <v/>
      </c>
      <c r="T411" s="81">
        <f>IF(Q411="Sin Factura",0,IFERROR(_xlfn.XLOOKUP(1, (Facturas_Odoo!$D:$D=A411) * (Facturas_Odoo!$K:$K=I411), Facturas_Odoo!$M:$M, 0), 0))</f>
        <v/>
      </c>
      <c r="U411" s="79">
        <f>IF(Q411="Sin Factura",0,IFERROR(_xlfn.XLOOKUP(1, (Facturas_Odoo!$D:$D=A411) * (Facturas_Odoo!$K:$K=I411), Facturas_Odoo!$N:$N, 0), 0))</f>
        <v/>
      </c>
      <c r="V411" s="79">
        <f>IF(Q411="Sin Factura",0,IFERROR(_xlfn.XLOOKUP(1, (Facturas_Odoo!$D:$D=A411) * (Facturas_Odoo!$K:$K=I411), Facturas_Odoo!$O:$O, 0), 0))</f>
        <v/>
      </c>
      <c r="W411" s="81">
        <f>IF(Q411="Sin Factura",0,IFERROR(_xlfn.XLOOKUP(1, (Facturas_Odoo!$D:$D=A411) * (Facturas_Odoo!$K:$K=I411), Facturas_Odoo!$Q:$Q, 0), 0))</f>
        <v/>
      </c>
      <c r="X411" s="79">
        <f>IF(OR(Q411="Sin Factura",Q411=""),"",IFERROR(INDEX(Pagos_Odoo!$B:$B, MATCH(Q411, Pagos_Odoo!$I:$I, 0)), "Sin Pago"))</f>
        <v/>
      </c>
      <c r="Y411" s="79">
        <f>IF(X411="Sin Pago","",IFERROR(INDEX(Pagos_Odoo!$C:$C, MATCH(X411, Pagos_Odoo!$B:$B, 0)), ""))</f>
        <v/>
      </c>
      <c r="Z411" s="80">
        <f>IF(X411="Sin Pago","",IFERROR(INDEX(Pagos_Odoo!$A:$A, MATCH(X411, Pagos_Odoo!$B:$B, 0)), ""))</f>
        <v/>
      </c>
      <c r="AA411" s="79">
        <f>IF(X411="Sin Pago","",IFERROR(INDEX(Pagos_Odoo!$F:$F, MATCH(X411, Pagos_Odoo!$B:$B, 0)), ""))</f>
        <v/>
      </c>
      <c r="AB411" s="81">
        <f>IF(X411="Sin Pago",0,IFERROR(INDEX(Pagos_Odoo!$E:$E, MATCH(X411, Pagos_Odoo!$B:$B, 0)), 0))</f>
        <v/>
      </c>
      <c r="AC411" s="79">
        <f>IF(X411="Sin Pago","",IFERROR(INDEX(Pagos_Odoo!$G:$G, MATCH(X411, Pagos_Odoo!$B:$B, 0)), ""))</f>
        <v/>
      </c>
      <c r="AD411" s="82" t="n">
        <v>0</v>
      </c>
      <c r="AE411" s="82" t="n"/>
      <c r="AF411" s="82" t="n"/>
      <c r="AG411" s="82">
        <f>IF(AN411="","",AD411+AE411+AF411)</f>
        <v/>
      </c>
      <c r="AH411" s="81">
        <f>IF(AN411="","",P411*(1-AG411))</f>
        <v/>
      </c>
      <c r="AI411" s="81">
        <f>IF(AN411="","",IF(Q411="Sin Factura",0,IFERROR(INDEX(Facturas_Odoo!$H:$H, MATCH(Q411, Facturas_Odoo!$B:$B, 0)), 0)*(1-AG411)))</f>
        <v/>
      </c>
      <c r="AJ411" s="81">
        <f>IF(AN411="","",_xlfn.LET(idVenta, AN411&amp;"",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11" s="81">
        <f>IF(AN411="","",AH411-AJ411)</f>
        <v/>
      </c>
      <c r="AL411" s="81">
        <f>IF(AN411="","",IF(Q411="Sin Factura","",AI411-AJ411))</f>
        <v/>
      </c>
      <c r="AM411" s="81">
        <f>IF(AN411="","",IF(Q411="Sin Factura",0,P411-IFERROR(INDEX(Facturas_Odoo!$H:$H, MATCH(Q411, Facturas_Odoo!$B:$B, 0)), 0)))</f>
        <v/>
      </c>
      <c r="AN411" s="79">
        <f>IF(AND(A411="", J411=""), "", IF(A411&lt;&gt;"", VALUE(MID(A411,2,LEN(A411))), AN410))</f>
        <v/>
      </c>
      <c r="AO411" s="79">
        <f>IF(AN411="","",IF(AD411=0,"OK",_xlfn.LET(monedaPago, IF(AA411="","USD",AA411), limitePermitido, IFERROR(VLOOKUP(monedaPago, Configuración!$A$2:$B$3, 2, FALSE), 0.15), IF(AD411&gt;limitePermitido, "ALERTA: EXCESO (" &amp; TEXT(limitePermitido, "0%") &amp; " máx)", "OK"))))</f>
        <v/>
      </c>
      <c r="AP411" s="79">
        <f>IF(AN411="","",IF(AE411=0,"OK",_xlfn.LET(fechaPago, Z411, fechaFactura, R411, diasCredito, IF(E411="Pago inmediato", 0, IFERROR(VALUE(MID(E411, 1, SEARCH(" ", E411)-1)),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11" s="79">
        <f>IF(AN411="","",IF(AND(N411&gt;0, AG411&gt;0), IF(Configuración!$K$2="NO", "ALERTA: DESCUENTO DOBLE NO PERMITIDO", "OK"), "OK"))</f>
        <v/>
      </c>
      <c r="AR411" s="79">
        <f>IF(AN411="","",IF(OR(AO411&lt;&gt;"OK", AP411&lt;&gt;"OK", AQ411&lt;&gt;"OK"), "⚠️ REVISAR", "OK"))</f>
        <v/>
      </c>
    </row>
    <row r="412">
      <c r="A412" s="79">
        <f>IF('Ordenes_Odoo'!A412="","",'Ordenes_Odoo'!A412)</f>
        <v/>
      </c>
      <c r="B412" s="80">
        <f>IF('Ordenes_Odoo'!B412="","",'Ordenes_Odoo'!B412)</f>
        <v/>
      </c>
      <c r="C412" s="79">
        <f>IF('Ordenes_Odoo'!C412="","",'Ordenes_Odoo'!C412)</f>
        <v/>
      </c>
      <c r="D412" s="79">
        <f>IF('Ordenes_Odoo'!D412="","",'Ordenes_Odoo'!D412)</f>
        <v/>
      </c>
      <c r="E412" s="79">
        <f>IF('Ordenes_Odoo'!E412="","",'Ordenes_Odoo'!E412)</f>
        <v/>
      </c>
      <c r="F412" s="79">
        <f>IF('Ordenes_Odoo'!F412="","",'Ordenes_Odoo'!F412)</f>
        <v/>
      </c>
      <c r="G412" s="79">
        <f>IF('Ordenes_Odoo'!G412="","",'Ordenes_Odoo'!G412)</f>
        <v/>
      </c>
      <c r="H412" s="79">
        <f>IF('Ordenes_Odoo'!H412="","",'Ordenes_Odoo'!H412)</f>
        <v/>
      </c>
      <c r="I412" s="79">
        <f>IF('Ordenes_Odoo'!I412="","",'Ordenes_Odoo'!I412)</f>
        <v/>
      </c>
      <c r="J412" s="79">
        <f>IF('Ordenes_Odoo'!J412="","",'Ordenes_Odoo'!J412)</f>
        <v/>
      </c>
      <c r="K412" s="81">
        <f>IF('Ordenes_Odoo'!K412="","",'Ordenes_Odoo'!K412)</f>
        <v/>
      </c>
      <c r="L412" s="81">
        <f>IF('Ordenes_Odoo'!L412="","",'Ordenes_Odoo'!L412)</f>
        <v/>
      </c>
      <c r="M412" s="79">
        <f>IF('Ordenes_Odoo'!M412="","",'Ordenes_Odoo'!M412)</f>
        <v/>
      </c>
      <c r="N412" s="79">
        <f>IF('Ordenes_Odoo'!N412="","",'Ordenes_Odoo'!N412)</f>
        <v/>
      </c>
      <c r="O412" s="81">
        <f>IF('Ordenes_Odoo'!O412="","",'Ordenes_Odoo'!O412)</f>
        <v/>
      </c>
      <c r="P412" s="81">
        <f>IF('Ordenes_Odoo'!P412="","",'Ordenes_Odoo'!P412)</f>
        <v/>
      </c>
      <c r="Q412" s="79">
        <f>IF(A412="","",IFERROR(INDEX(Facturas_Odoo!$B:$B, MATCH(A412, Facturas_Odoo!$D:$D, 0)), "Sin Factura"))</f>
        <v/>
      </c>
      <c r="R412" s="80">
        <f>IF(Q412="Sin Factura","",IFERROR(INDEX(Facturas_Odoo!$A:$A, MATCH(Q412, Facturas_Odoo!$B:$B, 0)), ""))</f>
        <v/>
      </c>
      <c r="S412" s="79">
        <f>IF(Q412="Sin Factura","",IFERROR(_xlfn.XLOOKUP(1, (Facturas_Odoo!$D:$D=A412) * (Facturas_Odoo!$K:$K=I412), Facturas_Odoo!$L:$L, ""), ""))</f>
        <v/>
      </c>
      <c r="T412" s="81">
        <f>IF(Q412="Sin Factura",0,IFERROR(_xlfn.XLOOKUP(1, (Facturas_Odoo!$D:$D=A412) * (Facturas_Odoo!$K:$K=I412), Facturas_Odoo!$M:$M, 0), 0))</f>
        <v/>
      </c>
      <c r="U412" s="79">
        <f>IF(Q412="Sin Factura",0,IFERROR(_xlfn.XLOOKUP(1, (Facturas_Odoo!$D:$D=A412) * (Facturas_Odoo!$K:$K=I412), Facturas_Odoo!$N:$N, 0), 0))</f>
        <v/>
      </c>
      <c r="V412" s="79">
        <f>IF(Q412="Sin Factura",0,IFERROR(_xlfn.XLOOKUP(1, (Facturas_Odoo!$D:$D=A412) * (Facturas_Odoo!$K:$K=I412), Facturas_Odoo!$O:$O, 0), 0))</f>
        <v/>
      </c>
      <c r="W412" s="81">
        <f>IF(Q412="Sin Factura",0,IFERROR(_xlfn.XLOOKUP(1, (Facturas_Odoo!$D:$D=A412) * (Facturas_Odoo!$K:$K=I412), Facturas_Odoo!$Q:$Q, 0), 0))</f>
        <v/>
      </c>
      <c r="X412" s="79">
        <f>IF(OR(Q412="Sin Factura",Q412=""),"",IFERROR(INDEX(Pagos_Odoo!$B:$B, MATCH(Q412, Pagos_Odoo!$I:$I, 0)), "Sin Pago"))</f>
        <v/>
      </c>
      <c r="Y412" s="79">
        <f>IF(X412="Sin Pago","",IFERROR(INDEX(Pagos_Odoo!$C:$C, MATCH(X412, Pagos_Odoo!$B:$B, 0)), ""))</f>
        <v/>
      </c>
      <c r="Z412" s="80">
        <f>IF(X412="Sin Pago","",IFERROR(INDEX(Pagos_Odoo!$A:$A, MATCH(X412, Pagos_Odoo!$B:$B, 0)), ""))</f>
        <v/>
      </c>
      <c r="AA412" s="79">
        <f>IF(X412="Sin Pago","",IFERROR(INDEX(Pagos_Odoo!$F:$F, MATCH(X412, Pagos_Odoo!$B:$B, 0)), ""))</f>
        <v/>
      </c>
      <c r="AB412" s="81">
        <f>IF(X412="Sin Pago",0,IFERROR(INDEX(Pagos_Odoo!$E:$E, MATCH(X412, Pagos_Odoo!$B:$B, 0)), 0))</f>
        <v/>
      </c>
      <c r="AC412" s="79">
        <f>IF(X412="Sin Pago","",IFERROR(INDEX(Pagos_Odoo!$G:$G, MATCH(X412, Pagos_Odoo!$B:$B, 0)), ""))</f>
        <v/>
      </c>
      <c r="AD412" s="82" t="n">
        <v>0</v>
      </c>
      <c r="AE412" s="82" t="n"/>
      <c r="AF412" s="82" t="n"/>
      <c r="AG412" s="82">
        <f>IF(AN412="","",AD412+AE412+AF412)</f>
        <v/>
      </c>
      <c r="AH412" s="81">
        <f>IF(AN412="","",P412*(1-AG412))</f>
        <v/>
      </c>
      <c r="AI412" s="81">
        <f>IF(AN412="","",IF(Q412="Sin Factura",0,IFERROR(INDEX(Facturas_Odoo!$H:$H, MATCH(Q412, Facturas_Odoo!$B:$B, 0)), 0)*(1-AG412)))</f>
        <v/>
      </c>
      <c r="AJ412" s="81">
        <f>IF(AN412="","",_xlfn.LET(idVenta, AN412&amp;"",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12" s="81">
        <f>IF(AN412="","",AH412-AJ412)</f>
        <v/>
      </c>
      <c r="AL412" s="81">
        <f>IF(AN412="","",IF(Q412="Sin Factura","",AI412-AJ412))</f>
        <v/>
      </c>
      <c r="AM412" s="81">
        <f>IF(AN412="","",IF(Q412="Sin Factura",0,P412-IFERROR(INDEX(Facturas_Odoo!$H:$H, MATCH(Q412, Facturas_Odoo!$B:$B, 0)), 0)))</f>
        <v/>
      </c>
      <c r="AN412" s="79">
        <f>IF(AND(A412="", J412=""), "", IF(A412&lt;&gt;"", VALUE(MID(A412,2,LEN(A412))), AN411))</f>
        <v/>
      </c>
      <c r="AO412" s="79">
        <f>IF(AN412="","",IF(AD412=0,"OK",_xlfn.LET(monedaPago, IF(AA412="","USD",AA412), limitePermitido, IFERROR(VLOOKUP(monedaPago, Configuración!$A$2:$B$3, 2, FALSE), 0.15), IF(AD412&gt;limitePermitido, "ALERTA: EXCESO (" &amp; TEXT(limitePermitido, "0%") &amp; " máx)", "OK"))))</f>
        <v/>
      </c>
      <c r="AP412" s="79">
        <f>IF(AN412="","",IF(AE412=0,"OK",_xlfn.LET(fechaPago, Z412, fechaFactura, R412, diasCredito, IF(E412="Pago inmediato", 0, IFERROR(VALUE(MID(E412, 1, SEARCH(" ", E412)-1)),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12" s="79">
        <f>IF(AN412="","",IF(AND(N412&gt;0, AG412&gt;0), IF(Configuración!$K$2="NO", "ALERTA: DESCUENTO DOBLE NO PERMITIDO", "OK"), "OK"))</f>
        <v/>
      </c>
      <c r="AR412" s="79">
        <f>IF(AN412="","",IF(OR(AO412&lt;&gt;"OK", AP412&lt;&gt;"OK", AQ412&lt;&gt;"OK"), "⚠️ REVISAR", "OK"))</f>
        <v/>
      </c>
    </row>
    <row r="413">
      <c r="A413" s="79">
        <f>IF('Ordenes_Odoo'!A413="","",'Ordenes_Odoo'!A413)</f>
        <v/>
      </c>
      <c r="B413" s="80">
        <f>IF('Ordenes_Odoo'!B413="","",'Ordenes_Odoo'!B413)</f>
        <v/>
      </c>
      <c r="C413" s="79">
        <f>IF('Ordenes_Odoo'!C413="","",'Ordenes_Odoo'!C413)</f>
        <v/>
      </c>
      <c r="D413" s="79">
        <f>IF('Ordenes_Odoo'!D413="","",'Ordenes_Odoo'!D413)</f>
        <v/>
      </c>
      <c r="E413" s="79">
        <f>IF('Ordenes_Odoo'!E413="","",'Ordenes_Odoo'!E413)</f>
        <v/>
      </c>
      <c r="F413" s="79">
        <f>IF('Ordenes_Odoo'!F413="","",'Ordenes_Odoo'!F413)</f>
        <v/>
      </c>
      <c r="G413" s="79">
        <f>IF('Ordenes_Odoo'!G413="","",'Ordenes_Odoo'!G413)</f>
        <v/>
      </c>
      <c r="H413" s="79">
        <f>IF('Ordenes_Odoo'!H413="","",'Ordenes_Odoo'!H413)</f>
        <v/>
      </c>
      <c r="I413" s="79">
        <f>IF('Ordenes_Odoo'!I413="","",'Ordenes_Odoo'!I413)</f>
        <v/>
      </c>
      <c r="J413" s="79">
        <f>IF('Ordenes_Odoo'!J413="","",'Ordenes_Odoo'!J413)</f>
        <v/>
      </c>
      <c r="K413" s="81">
        <f>IF('Ordenes_Odoo'!K413="","",'Ordenes_Odoo'!K413)</f>
        <v/>
      </c>
      <c r="L413" s="81">
        <f>IF('Ordenes_Odoo'!L413="","",'Ordenes_Odoo'!L413)</f>
        <v/>
      </c>
      <c r="M413" s="79">
        <f>IF('Ordenes_Odoo'!M413="","",'Ordenes_Odoo'!M413)</f>
        <v/>
      </c>
      <c r="N413" s="79">
        <f>IF('Ordenes_Odoo'!N413="","",'Ordenes_Odoo'!N413)</f>
        <v/>
      </c>
      <c r="O413" s="81">
        <f>IF('Ordenes_Odoo'!O413="","",'Ordenes_Odoo'!O413)</f>
        <v/>
      </c>
      <c r="P413" s="81">
        <f>IF('Ordenes_Odoo'!P413="","",'Ordenes_Odoo'!P413)</f>
        <v/>
      </c>
      <c r="Q413" s="79">
        <f>IF(A413="","",IFERROR(INDEX(Facturas_Odoo!$B:$B, MATCH(A413, Facturas_Odoo!$D:$D, 0)), "Sin Factura"))</f>
        <v/>
      </c>
      <c r="R413" s="80">
        <f>IF(Q413="Sin Factura","",IFERROR(INDEX(Facturas_Odoo!$A:$A, MATCH(Q413, Facturas_Odoo!$B:$B, 0)), ""))</f>
        <v/>
      </c>
      <c r="S413" s="79">
        <f>IF(Q413="Sin Factura","",IFERROR(_xlfn.XLOOKUP(1, (Facturas_Odoo!$D:$D=A413) * (Facturas_Odoo!$K:$K=I413), Facturas_Odoo!$L:$L, ""), ""))</f>
        <v/>
      </c>
      <c r="T413" s="81">
        <f>IF(Q413="Sin Factura",0,IFERROR(_xlfn.XLOOKUP(1, (Facturas_Odoo!$D:$D=A413) * (Facturas_Odoo!$K:$K=I413), Facturas_Odoo!$M:$M, 0), 0))</f>
        <v/>
      </c>
      <c r="U413" s="79">
        <f>IF(Q413="Sin Factura",0,IFERROR(_xlfn.XLOOKUP(1, (Facturas_Odoo!$D:$D=A413) * (Facturas_Odoo!$K:$K=I413), Facturas_Odoo!$N:$N, 0), 0))</f>
        <v/>
      </c>
      <c r="V413" s="79">
        <f>IF(Q413="Sin Factura",0,IFERROR(_xlfn.XLOOKUP(1, (Facturas_Odoo!$D:$D=A413) * (Facturas_Odoo!$K:$K=I413), Facturas_Odoo!$O:$O, 0), 0))</f>
        <v/>
      </c>
      <c r="W413" s="81">
        <f>IF(Q413="Sin Factura",0,IFERROR(_xlfn.XLOOKUP(1, (Facturas_Odoo!$D:$D=A413) * (Facturas_Odoo!$K:$K=I413), Facturas_Odoo!$Q:$Q, 0), 0))</f>
        <v/>
      </c>
      <c r="X413" s="79">
        <f>IF(OR(Q413="Sin Factura",Q413=""),"",IFERROR(INDEX(Pagos_Odoo!$B:$B, MATCH(Q413, Pagos_Odoo!$I:$I, 0)), "Sin Pago"))</f>
        <v/>
      </c>
      <c r="Y413" s="79">
        <f>IF(X413="Sin Pago","",IFERROR(INDEX(Pagos_Odoo!$C:$C, MATCH(X413, Pagos_Odoo!$B:$B, 0)), ""))</f>
        <v/>
      </c>
      <c r="Z413" s="80">
        <f>IF(X413="Sin Pago","",IFERROR(INDEX(Pagos_Odoo!$A:$A, MATCH(X413, Pagos_Odoo!$B:$B, 0)), ""))</f>
        <v/>
      </c>
      <c r="AA413" s="79">
        <f>IF(X413="Sin Pago","",IFERROR(INDEX(Pagos_Odoo!$F:$F, MATCH(X413, Pagos_Odoo!$B:$B, 0)), ""))</f>
        <v/>
      </c>
      <c r="AB413" s="81">
        <f>IF(X413="Sin Pago",0,IFERROR(INDEX(Pagos_Odoo!$E:$E, MATCH(X413, Pagos_Odoo!$B:$B, 0)), 0))</f>
        <v/>
      </c>
      <c r="AC413" s="79">
        <f>IF(X413="Sin Pago","",IFERROR(INDEX(Pagos_Odoo!$G:$G, MATCH(X413, Pagos_Odoo!$B:$B, 0)), ""))</f>
        <v/>
      </c>
      <c r="AD413" s="82" t="n">
        <v>0</v>
      </c>
      <c r="AE413" s="82" t="n"/>
      <c r="AF413" s="82" t="n"/>
      <c r="AG413" s="82">
        <f>IF(AN413="","",AD413+AE413+AF413)</f>
        <v/>
      </c>
      <c r="AH413" s="81">
        <f>IF(AN413="","",P413*(1-AG413))</f>
        <v/>
      </c>
      <c r="AI413" s="81">
        <f>IF(AN413="","",IF(Q413="Sin Factura",0,IFERROR(INDEX(Facturas_Odoo!$H:$H, MATCH(Q413, Facturas_Odoo!$B:$B, 0)), 0)*(1-AG413)))</f>
        <v/>
      </c>
      <c r="AJ413" s="81">
        <f>IF(AN413="","",_xlfn.LET(idVenta, AN413&amp;"",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13" s="81">
        <f>IF(AN413="","",AH413-AJ413)</f>
        <v/>
      </c>
      <c r="AL413" s="81">
        <f>IF(AN413="","",IF(Q413="Sin Factura","",AI413-AJ413))</f>
        <v/>
      </c>
      <c r="AM413" s="81">
        <f>IF(AN413="","",IF(Q413="Sin Factura",0,P413-IFERROR(INDEX(Facturas_Odoo!$H:$H, MATCH(Q413, Facturas_Odoo!$B:$B, 0)), 0)))</f>
        <v/>
      </c>
      <c r="AN413" s="79">
        <f>IF(AND(A413="", J413=""), "", IF(A413&lt;&gt;"", VALUE(MID(A413,2,LEN(A413))), AN412))</f>
        <v/>
      </c>
      <c r="AO413" s="79">
        <f>IF(AN413="","",IF(AD413=0,"OK",_xlfn.LET(monedaPago, IF(AA413="","USD",AA413), limitePermitido, IFERROR(VLOOKUP(monedaPago, Configuración!$A$2:$B$3, 2, FALSE), 0.15), IF(AD413&gt;limitePermitido, "ALERTA: EXCESO (" &amp; TEXT(limitePermitido, "0%") &amp; " máx)", "OK"))))</f>
        <v/>
      </c>
      <c r="AP413" s="79">
        <f>IF(AN413="","",IF(AE413=0,"OK",_xlfn.LET(fechaPago, Z413, fechaFactura, R413, diasCredito, IF(E413="Pago inmediato", 0, IFERROR(VALUE(MID(E413, 1, SEARCH(" ", E413)-1)),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13" s="79">
        <f>IF(AN413="","",IF(AND(N413&gt;0, AG413&gt;0), IF(Configuración!$K$2="NO", "ALERTA: DESCUENTO DOBLE NO PERMITIDO", "OK"), "OK"))</f>
        <v/>
      </c>
      <c r="AR413" s="79">
        <f>IF(AN413="","",IF(OR(AO413&lt;&gt;"OK", AP413&lt;&gt;"OK", AQ413&lt;&gt;"OK"), "⚠️ REVISAR", "OK"))</f>
        <v/>
      </c>
    </row>
    <row r="414">
      <c r="A414" s="79">
        <f>IF('Ordenes_Odoo'!A414="","",'Ordenes_Odoo'!A414)</f>
        <v/>
      </c>
      <c r="B414" s="80">
        <f>IF('Ordenes_Odoo'!B414="","",'Ordenes_Odoo'!B414)</f>
        <v/>
      </c>
      <c r="C414" s="79">
        <f>IF('Ordenes_Odoo'!C414="","",'Ordenes_Odoo'!C414)</f>
        <v/>
      </c>
      <c r="D414" s="79">
        <f>IF('Ordenes_Odoo'!D414="","",'Ordenes_Odoo'!D414)</f>
        <v/>
      </c>
      <c r="E414" s="79">
        <f>IF('Ordenes_Odoo'!E414="","",'Ordenes_Odoo'!E414)</f>
        <v/>
      </c>
      <c r="F414" s="79">
        <f>IF('Ordenes_Odoo'!F414="","",'Ordenes_Odoo'!F414)</f>
        <v/>
      </c>
      <c r="G414" s="79">
        <f>IF('Ordenes_Odoo'!G414="","",'Ordenes_Odoo'!G414)</f>
        <v/>
      </c>
      <c r="H414" s="79">
        <f>IF('Ordenes_Odoo'!H414="","",'Ordenes_Odoo'!H414)</f>
        <v/>
      </c>
      <c r="I414" s="79">
        <f>IF('Ordenes_Odoo'!I414="","",'Ordenes_Odoo'!I414)</f>
        <v/>
      </c>
      <c r="J414" s="79">
        <f>IF('Ordenes_Odoo'!J414="","",'Ordenes_Odoo'!J414)</f>
        <v/>
      </c>
      <c r="K414" s="81">
        <f>IF('Ordenes_Odoo'!K414="","",'Ordenes_Odoo'!K414)</f>
        <v/>
      </c>
      <c r="L414" s="81">
        <f>IF('Ordenes_Odoo'!L414="","",'Ordenes_Odoo'!L414)</f>
        <v/>
      </c>
      <c r="M414" s="79">
        <f>IF('Ordenes_Odoo'!M414="","",'Ordenes_Odoo'!M414)</f>
        <v/>
      </c>
      <c r="N414" s="79">
        <f>IF('Ordenes_Odoo'!N414="","",'Ordenes_Odoo'!N414)</f>
        <v/>
      </c>
      <c r="O414" s="81">
        <f>IF('Ordenes_Odoo'!O414="","",'Ordenes_Odoo'!O414)</f>
        <v/>
      </c>
      <c r="P414" s="81">
        <f>IF('Ordenes_Odoo'!P414="","",'Ordenes_Odoo'!P414)</f>
        <v/>
      </c>
      <c r="Q414" s="79">
        <f>IF(A414="","",IFERROR(INDEX(Facturas_Odoo!$B:$B, MATCH(A414, Facturas_Odoo!$D:$D, 0)), "Sin Factura"))</f>
        <v/>
      </c>
      <c r="R414" s="80">
        <f>IF(Q414="Sin Factura","",IFERROR(INDEX(Facturas_Odoo!$A:$A, MATCH(Q414, Facturas_Odoo!$B:$B, 0)), ""))</f>
        <v/>
      </c>
      <c r="S414" s="79">
        <f>IF(Q414="Sin Factura","",IFERROR(_xlfn.XLOOKUP(1, (Facturas_Odoo!$D:$D=A414) * (Facturas_Odoo!$K:$K=I414), Facturas_Odoo!$L:$L, ""), ""))</f>
        <v/>
      </c>
      <c r="T414" s="81">
        <f>IF(Q414="Sin Factura",0,IFERROR(_xlfn.XLOOKUP(1, (Facturas_Odoo!$D:$D=A414) * (Facturas_Odoo!$K:$K=I414), Facturas_Odoo!$M:$M, 0), 0))</f>
        <v/>
      </c>
      <c r="U414" s="79">
        <f>IF(Q414="Sin Factura",0,IFERROR(_xlfn.XLOOKUP(1, (Facturas_Odoo!$D:$D=A414) * (Facturas_Odoo!$K:$K=I414), Facturas_Odoo!$N:$N, 0), 0))</f>
        <v/>
      </c>
      <c r="V414" s="79">
        <f>IF(Q414="Sin Factura",0,IFERROR(_xlfn.XLOOKUP(1, (Facturas_Odoo!$D:$D=A414) * (Facturas_Odoo!$K:$K=I414), Facturas_Odoo!$O:$O, 0), 0))</f>
        <v/>
      </c>
      <c r="W414" s="81">
        <f>IF(Q414="Sin Factura",0,IFERROR(_xlfn.XLOOKUP(1, (Facturas_Odoo!$D:$D=A414) * (Facturas_Odoo!$K:$K=I414), Facturas_Odoo!$Q:$Q, 0), 0))</f>
        <v/>
      </c>
      <c r="X414" s="79">
        <f>IF(OR(Q414="Sin Factura",Q414=""),"",IFERROR(INDEX(Pagos_Odoo!$B:$B, MATCH(Q414, Pagos_Odoo!$I:$I, 0)), "Sin Pago"))</f>
        <v/>
      </c>
      <c r="Y414" s="79">
        <f>IF(X414="Sin Pago","",IFERROR(INDEX(Pagos_Odoo!$C:$C, MATCH(X414, Pagos_Odoo!$B:$B, 0)), ""))</f>
        <v/>
      </c>
      <c r="Z414" s="80">
        <f>IF(X414="Sin Pago","",IFERROR(INDEX(Pagos_Odoo!$A:$A, MATCH(X414, Pagos_Odoo!$B:$B, 0)), ""))</f>
        <v/>
      </c>
      <c r="AA414" s="79">
        <f>IF(X414="Sin Pago","",IFERROR(INDEX(Pagos_Odoo!$F:$F, MATCH(X414, Pagos_Odoo!$B:$B, 0)), ""))</f>
        <v/>
      </c>
      <c r="AB414" s="81">
        <f>IF(X414="Sin Pago",0,IFERROR(INDEX(Pagos_Odoo!$E:$E, MATCH(X414, Pagos_Odoo!$B:$B, 0)), 0))</f>
        <v/>
      </c>
      <c r="AC414" s="79">
        <f>IF(X414="Sin Pago","",IFERROR(INDEX(Pagos_Odoo!$G:$G, MATCH(X414, Pagos_Odoo!$B:$B, 0)), ""))</f>
        <v/>
      </c>
      <c r="AD414" s="82" t="n">
        <v>0</v>
      </c>
      <c r="AE414" s="82" t="n"/>
      <c r="AF414" s="82" t="n"/>
      <c r="AG414" s="82">
        <f>IF(AN414="","",AD414+AE414+AF414)</f>
        <v/>
      </c>
      <c r="AH414" s="81">
        <f>IF(AN414="","",P414*(1-AG414))</f>
        <v/>
      </c>
      <c r="AI414" s="81">
        <f>IF(AN414="","",IF(Q414="Sin Factura",0,IFERROR(INDEX(Facturas_Odoo!$H:$H, MATCH(Q414, Facturas_Odoo!$B:$B, 0)), 0)*(1-AG414)))</f>
        <v/>
      </c>
      <c r="AJ414" s="81">
        <f>IF(AN414="","",_xlfn.LET(idVenta, AN414&amp;"",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14" s="81">
        <f>IF(AN414="","",AH414-AJ414)</f>
        <v/>
      </c>
      <c r="AL414" s="81">
        <f>IF(AN414="","",IF(Q414="Sin Factura","",AI414-AJ414))</f>
        <v/>
      </c>
      <c r="AM414" s="81">
        <f>IF(AN414="","",IF(Q414="Sin Factura",0,P414-IFERROR(INDEX(Facturas_Odoo!$H:$H, MATCH(Q414, Facturas_Odoo!$B:$B, 0)), 0)))</f>
        <v/>
      </c>
      <c r="AN414" s="79">
        <f>IF(AND(A414="", J414=""), "", IF(A414&lt;&gt;"", VALUE(MID(A414,2,LEN(A414))), AN413))</f>
        <v/>
      </c>
      <c r="AO414" s="79">
        <f>IF(AN414="","",IF(AD414=0,"OK",_xlfn.LET(monedaPago, IF(AA414="","USD",AA414), limitePermitido, IFERROR(VLOOKUP(monedaPago, Configuración!$A$2:$B$3, 2, FALSE), 0.15), IF(AD414&gt;limitePermitido, "ALERTA: EXCESO (" &amp; TEXT(limitePermitido, "0%") &amp; " máx)", "OK"))))</f>
        <v/>
      </c>
      <c r="AP414" s="79">
        <f>IF(AN414="","",IF(AE414=0,"OK",_xlfn.LET(fechaPago, Z414, fechaFactura, R414, diasCredito, IF(E414="Pago inmediato", 0, IFERROR(VALUE(MID(E414, 1, SEARCH(" ", E414)-1)),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14" s="79">
        <f>IF(AN414="","",IF(AND(N414&gt;0, AG414&gt;0), IF(Configuración!$K$2="NO", "ALERTA: DESCUENTO DOBLE NO PERMITIDO", "OK"), "OK"))</f>
        <v/>
      </c>
      <c r="AR414" s="79">
        <f>IF(AN414="","",IF(OR(AO414&lt;&gt;"OK", AP414&lt;&gt;"OK", AQ414&lt;&gt;"OK"), "⚠️ REVISAR", "OK"))</f>
        <v/>
      </c>
    </row>
    <row r="415">
      <c r="A415" s="79">
        <f>IF('Ordenes_Odoo'!A415="","",'Ordenes_Odoo'!A415)</f>
        <v/>
      </c>
      <c r="B415" s="80">
        <f>IF('Ordenes_Odoo'!B415="","",'Ordenes_Odoo'!B415)</f>
        <v/>
      </c>
      <c r="C415" s="79">
        <f>IF('Ordenes_Odoo'!C415="","",'Ordenes_Odoo'!C415)</f>
        <v/>
      </c>
      <c r="D415" s="79">
        <f>IF('Ordenes_Odoo'!D415="","",'Ordenes_Odoo'!D415)</f>
        <v/>
      </c>
      <c r="E415" s="79">
        <f>IF('Ordenes_Odoo'!E415="","",'Ordenes_Odoo'!E415)</f>
        <v/>
      </c>
      <c r="F415" s="79">
        <f>IF('Ordenes_Odoo'!F415="","",'Ordenes_Odoo'!F415)</f>
        <v/>
      </c>
      <c r="G415" s="79">
        <f>IF('Ordenes_Odoo'!G415="","",'Ordenes_Odoo'!G415)</f>
        <v/>
      </c>
      <c r="H415" s="79">
        <f>IF('Ordenes_Odoo'!H415="","",'Ordenes_Odoo'!H415)</f>
        <v/>
      </c>
      <c r="I415" s="79">
        <f>IF('Ordenes_Odoo'!I415="","",'Ordenes_Odoo'!I415)</f>
        <v/>
      </c>
      <c r="J415" s="79">
        <f>IF('Ordenes_Odoo'!J415="","",'Ordenes_Odoo'!J415)</f>
        <v/>
      </c>
      <c r="K415" s="81">
        <f>IF('Ordenes_Odoo'!K415="","",'Ordenes_Odoo'!K415)</f>
        <v/>
      </c>
      <c r="L415" s="81">
        <f>IF('Ordenes_Odoo'!L415="","",'Ordenes_Odoo'!L415)</f>
        <v/>
      </c>
      <c r="M415" s="79">
        <f>IF('Ordenes_Odoo'!M415="","",'Ordenes_Odoo'!M415)</f>
        <v/>
      </c>
      <c r="N415" s="79">
        <f>IF('Ordenes_Odoo'!N415="","",'Ordenes_Odoo'!N415)</f>
        <v/>
      </c>
      <c r="O415" s="81">
        <f>IF('Ordenes_Odoo'!O415="","",'Ordenes_Odoo'!O415)</f>
        <v/>
      </c>
      <c r="P415" s="81">
        <f>IF('Ordenes_Odoo'!P415="","",'Ordenes_Odoo'!P415)</f>
        <v/>
      </c>
      <c r="Q415" s="79">
        <f>IF(A415="","",IFERROR(INDEX(Facturas_Odoo!$B:$B, MATCH(A415, Facturas_Odoo!$D:$D, 0)), "Sin Factura"))</f>
        <v/>
      </c>
      <c r="R415" s="80">
        <f>IF(Q415="Sin Factura","",IFERROR(INDEX(Facturas_Odoo!$A:$A, MATCH(Q415, Facturas_Odoo!$B:$B, 0)), ""))</f>
        <v/>
      </c>
      <c r="S415" s="79">
        <f>IF(Q415="Sin Factura","",IFERROR(_xlfn.XLOOKUP(1, (Facturas_Odoo!$D:$D=A415) * (Facturas_Odoo!$K:$K=I415), Facturas_Odoo!$L:$L, ""), ""))</f>
        <v/>
      </c>
      <c r="T415" s="81">
        <f>IF(Q415="Sin Factura",0,IFERROR(_xlfn.XLOOKUP(1, (Facturas_Odoo!$D:$D=A415) * (Facturas_Odoo!$K:$K=I415), Facturas_Odoo!$M:$M, 0), 0))</f>
        <v/>
      </c>
      <c r="U415" s="79">
        <f>IF(Q415="Sin Factura",0,IFERROR(_xlfn.XLOOKUP(1, (Facturas_Odoo!$D:$D=A415) * (Facturas_Odoo!$K:$K=I415), Facturas_Odoo!$N:$N, 0), 0))</f>
        <v/>
      </c>
      <c r="V415" s="79">
        <f>IF(Q415="Sin Factura",0,IFERROR(_xlfn.XLOOKUP(1, (Facturas_Odoo!$D:$D=A415) * (Facturas_Odoo!$K:$K=I415), Facturas_Odoo!$O:$O, 0), 0))</f>
        <v/>
      </c>
      <c r="W415" s="81">
        <f>IF(Q415="Sin Factura",0,IFERROR(_xlfn.XLOOKUP(1, (Facturas_Odoo!$D:$D=A415) * (Facturas_Odoo!$K:$K=I415), Facturas_Odoo!$Q:$Q, 0), 0))</f>
        <v/>
      </c>
      <c r="X415" s="79">
        <f>IF(OR(Q415="Sin Factura",Q415=""),"",IFERROR(INDEX(Pagos_Odoo!$B:$B, MATCH(Q415, Pagos_Odoo!$I:$I, 0)), "Sin Pago"))</f>
        <v/>
      </c>
      <c r="Y415" s="79">
        <f>IF(X415="Sin Pago","",IFERROR(INDEX(Pagos_Odoo!$C:$C, MATCH(X415, Pagos_Odoo!$B:$B, 0)), ""))</f>
        <v/>
      </c>
      <c r="Z415" s="80">
        <f>IF(X415="Sin Pago","",IFERROR(INDEX(Pagos_Odoo!$A:$A, MATCH(X415, Pagos_Odoo!$B:$B, 0)), ""))</f>
        <v/>
      </c>
      <c r="AA415" s="79">
        <f>IF(X415="Sin Pago","",IFERROR(INDEX(Pagos_Odoo!$F:$F, MATCH(X415, Pagos_Odoo!$B:$B, 0)), ""))</f>
        <v/>
      </c>
      <c r="AB415" s="81">
        <f>IF(X415="Sin Pago",0,IFERROR(INDEX(Pagos_Odoo!$E:$E, MATCH(X415, Pagos_Odoo!$B:$B, 0)), 0))</f>
        <v/>
      </c>
      <c r="AC415" s="79">
        <f>IF(X415="Sin Pago","",IFERROR(INDEX(Pagos_Odoo!$G:$G, MATCH(X415, Pagos_Odoo!$B:$B, 0)), ""))</f>
        <v/>
      </c>
      <c r="AD415" s="82" t="n">
        <v>0</v>
      </c>
      <c r="AE415" s="82" t="n"/>
      <c r="AF415" s="82" t="n"/>
      <c r="AG415" s="82">
        <f>IF(AN415="","",AD415+AE415+AF415)</f>
        <v/>
      </c>
      <c r="AH415" s="81">
        <f>IF(AN415="","",P415*(1-AG415))</f>
        <v/>
      </c>
      <c r="AI415" s="81">
        <f>IF(AN415="","",IF(Q415="Sin Factura",0,IFERROR(INDEX(Facturas_Odoo!$H:$H, MATCH(Q415, Facturas_Odoo!$B:$B, 0)), 0)*(1-AG415)))</f>
        <v/>
      </c>
      <c r="AJ415" s="81">
        <f>IF(AN415="","",_xlfn.LET(idVenta, AN415&amp;"",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15" s="81">
        <f>IF(AN415="","",AH415-AJ415)</f>
        <v/>
      </c>
      <c r="AL415" s="81">
        <f>IF(AN415="","",IF(Q415="Sin Factura","",AI415-AJ415))</f>
        <v/>
      </c>
      <c r="AM415" s="81">
        <f>IF(AN415="","",IF(Q415="Sin Factura",0,P415-IFERROR(INDEX(Facturas_Odoo!$H:$H, MATCH(Q415, Facturas_Odoo!$B:$B, 0)), 0)))</f>
        <v/>
      </c>
      <c r="AN415" s="79">
        <f>IF(AND(A415="", J415=""), "", IF(A415&lt;&gt;"", VALUE(MID(A415,2,LEN(A415))), AN414))</f>
        <v/>
      </c>
      <c r="AO415" s="79">
        <f>IF(AN415="","",IF(AD415=0,"OK",_xlfn.LET(monedaPago, IF(AA415="","USD",AA415), limitePermitido, IFERROR(VLOOKUP(monedaPago, Configuración!$A$2:$B$3, 2, FALSE), 0.15), IF(AD415&gt;limitePermitido, "ALERTA: EXCESO (" &amp; TEXT(limitePermitido, "0%") &amp; " máx)", "OK"))))</f>
        <v/>
      </c>
      <c r="AP415" s="79">
        <f>IF(AN415="","",IF(AE415=0,"OK",_xlfn.LET(fechaPago, Z415, fechaFactura, R415, diasCredito, IF(E415="Pago inmediato", 0, IFERROR(VALUE(MID(E415, 1, SEARCH(" ", E415)-1)),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15" s="79">
        <f>IF(AN415="","",IF(AND(N415&gt;0, AG415&gt;0), IF(Configuración!$K$2="NO", "ALERTA: DESCUENTO DOBLE NO PERMITIDO", "OK"), "OK"))</f>
        <v/>
      </c>
      <c r="AR415" s="79">
        <f>IF(AN415="","",IF(OR(AO415&lt;&gt;"OK", AP415&lt;&gt;"OK", AQ415&lt;&gt;"OK"), "⚠️ REVISAR", "OK"))</f>
        <v/>
      </c>
    </row>
    <row r="416">
      <c r="A416" s="79">
        <f>IF('Ordenes_Odoo'!A416="","",'Ordenes_Odoo'!A416)</f>
        <v/>
      </c>
      <c r="B416" s="80">
        <f>IF('Ordenes_Odoo'!B416="","",'Ordenes_Odoo'!B416)</f>
        <v/>
      </c>
      <c r="C416" s="79">
        <f>IF('Ordenes_Odoo'!C416="","",'Ordenes_Odoo'!C416)</f>
        <v/>
      </c>
      <c r="D416" s="79">
        <f>IF('Ordenes_Odoo'!D416="","",'Ordenes_Odoo'!D416)</f>
        <v/>
      </c>
      <c r="E416" s="79">
        <f>IF('Ordenes_Odoo'!E416="","",'Ordenes_Odoo'!E416)</f>
        <v/>
      </c>
      <c r="F416" s="79">
        <f>IF('Ordenes_Odoo'!F416="","",'Ordenes_Odoo'!F416)</f>
        <v/>
      </c>
      <c r="G416" s="79">
        <f>IF('Ordenes_Odoo'!G416="","",'Ordenes_Odoo'!G416)</f>
        <v/>
      </c>
      <c r="H416" s="79">
        <f>IF('Ordenes_Odoo'!H416="","",'Ordenes_Odoo'!H416)</f>
        <v/>
      </c>
      <c r="I416" s="79">
        <f>IF('Ordenes_Odoo'!I416="","",'Ordenes_Odoo'!I416)</f>
        <v/>
      </c>
      <c r="J416" s="79">
        <f>IF('Ordenes_Odoo'!J416="","",'Ordenes_Odoo'!J416)</f>
        <v/>
      </c>
      <c r="K416" s="81">
        <f>IF('Ordenes_Odoo'!K416="","",'Ordenes_Odoo'!K416)</f>
        <v/>
      </c>
      <c r="L416" s="81">
        <f>IF('Ordenes_Odoo'!L416="","",'Ordenes_Odoo'!L416)</f>
        <v/>
      </c>
      <c r="M416" s="79">
        <f>IF('Ordenes_Odoo'!M416="","",'Ordenes_Odoo'!M416)</f>
        <v/>
      </c>
      <c r="N416" s="79">
        <f>IF('Ordenes_Odoo'!N416="","",'Ordenes_Odoo'!N416)</f>
        <v/>
      </c>
      <c r="O416" s="81">
        <f>IF('Ordenes_Odoo'!O416="","",'Ordenes_Odoo'!O416)</f>
        <v/>
      </c>
      <c r="P416" s="81">
        <f>IF('Ordenes_Odoo'!P416="","",'Ordenes_Odoo'!P416)</f>
        <v/>
      </c>
      <c r="Q416" s="79">
        <f>IF(A416="","",IFERROR(INDEX(Facturas_Odoo!$B:$B, MATCH(A416, Facturas_Odoo!$D:$D, 0)), "Sin Factura"))</f>
        <v/>
      </c>
      <c r="R416" s="80">
        <f>IF(Q416="Sin Factura","",IFERROR(INDEX(Facturas_Odoo!$A:$A, MATCH(Q416, Facturas_Odoo!$B:$B, 0)), ""))</f>
        <v/>
      </c>
      <c r="S416" s="79">
        <f>IF(Q416="Sin Factura","",IFERROR(_xlfn.XLOOKUP(1, (Facturas_Odoo!$D:$D=A416) * (Facturas_Odoo!$K:$K=I416), Facturas_Odoo!$L:$L, ""), ""))</f>
        <v/>
      </c>
      <c r="T416" s="81">
        <f>IF(Q416="Sin Factura",0,IFERROR(_xlfn.XLOOKUP(1, (Facturas_Odoo!$D:$D=A416) * (Facturas_Odoo!$K:$K=I416), Facturas_Odoo!$M:$M, 0), 0))</f>
        <v/>
      </c>
      <c r="U416" s="79">
        <f>IF(Q416="Sin Factura",0,IFERROR(_xlfn.XLOOKUP(1, (Facturas_Odoo!$D:$D=A416) * (Facturas_Odoo!$K:$K=I416), Facturas_Odoo!$N:$N, 0), 0))</f>
        <v/>
      </c>
      <c r="V416" s="79">
        <f>IF(Q416="Sin Factura",0,IFERROR(_xlfn.XLOOKUP(1, (Facturas_Odoo!$D:$D=A416) * (Facturas_Odoo!$K:$K=I416), Facturas_Odoo!$O:$O, 0), 0))</f>
        <v/>
      </c>
      <c r="W416" s="81">
        <f>IF(Q416="Sin Factura",0,IFERROR(_xlfn.XLOOKUP(1, (Facturas_Odoo!$D:$D=A416) * (Facturas_Odoo!$K:$K=I416), Facturas_Odoo!$Q:$Q, 0), 0))</f>
        <v/>
      </c>
      <c r="X416" s="79">
        <f>IF(OR(Q416="Sin Factura",Q416=""),"",IFERROR(INDEX(Pagos_Odoo!$B:$B, MATCH(Q416, Pagos_Odoo!$I:$I, 0)), "Sin Pago"))</f>
        <v/>
      </c>
      <c r="Y416" s="79">
        <f>IF(X416="Sin Pago","",IFERROR(INDEX(Pagos_Odoo!$C:$C, MATCH(X416, Pagos_Odoo!$B:$B, 0)), ""))</f>
        <v/>
      </c>
      <c r="Z416" s="80">
        <f>IF(X416="Sin Pago","",IFERROR(INDEX(Pagos_Odoo!$A:$A, MATCH(X416, Pagos_Odoo!$B:$B, 0)), ""))</f>
        <v/>
      </c>
      <c r="AA416" s="79">
        <f>IF(X416="Sin Pago","",IFERROR(INDEX(Pagos_Odoo!$F:$F, MATCH(X416, Pagos_Odoo!$B:$B, 0)), ""))</f>
        <v/>
      </c>
      <c r="AB416" s="81">
        <f>IF(X416="Sin Pago",0,IFERROR(INDEX(Pagos_Odoo!$E:$E, MATCH(X416, Pagos_Odoo!$B:$B, 0)), 0))</f>
        <v/>
      </c>
      <c r="AC416" s="79">
        <f>IF(X416="Sin Pago","",IFERROR(INDEX(Pagos_Odoo!$G:$G, MATCH(X416, Pagos_Odoo!$B:$B, 0)), ""))</f>
        <v/>
      </c>
      <c r="AD416" s="82" t="n">
        <v>0</v>
      </c>
      <c r="AE416" s="82" t="n"/>
      <c r="AF416" s="82" t="n"/>
      <c r="AG416" s="82">
        <f>IF(AN416="","",AD416+AE416+AF416)</f>
        <v/>
      </c>
      <c r="AH416" s="81">
        <f>IF(AN416="","",P416*(1-AG416))</f>
        <v/>
      </c>
      <c r="AI416" s="81">
        <f>IF(AN416="","",IF(Q416="Sin Factura",0,IFERROR(INDEX(Facturas_Odoo!$H:$H, MATCH(Q416, Facturas_Odoo!$B:$B, 0)), 0)*(1-AG416)))</f>
        <v/>
      </c>
      <c r="AJ416" s="81">
        <f>IF(AN416="","",_xlfn.LET(idVenta, AN416&amp;"",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16" s="81">
        <f>IF(AN416="","",AH416-AJ416)</f>
        <v/>
      </c>
      <c r="AL416" s="81">
        <f>IF(AN416="","",IF(Q416="Sin Factura","",AI416-AJ416))</f>
        <v/>
      </c>
      <c r="AM416" s="81">
        <f>IF(AN416="","",IF(Q416="Sin Factura",0,P416-IFERROR(INDEX(Facturas_Odoo!$H:$H, MATCH(Q416, Facturas_Odoo!$B:$B, 0)), 0)))</f>
        <v/>
      </c>
      <c r="AN416" s="79">
        <f>IF(AND(A416="", J416=""), "", IF(A416&lt;&gt;"", VALUE(MID(A416,2,LEN(A416))), AN415))</f>
        <v/>
      </c>
      <c r="AO416" s="79">
        <f>IF(AN416="","",IF(AD416=0,"OK",_xlfn.LET(monedaPago, IF(AA416="","USD",AA416), limitePermitido, IFERROR(VLOOKUP(monedaPago, Configuración!$A$2:$B$3, 2, FALSE), 0.15), IF(AD416&gt;limitePermitido, "ALERTA: EXCESO (" &amp; TEXT(limitePermitido, "0%") &amp; " máx)", "OK"))))</f>
        <v/>
      </c>
      <c r="AP416" s="79">
        <f>IF(AN416="","",IF(AE416=0,"OK",_xlfn.LET(fechaPago, Z416, fechaFactura, R416, diasCredito, IF(E416="Pago inmediato", 0, IFERROR(VALUE(MID(E416, 1, SEARCH(" ", E416)-1)),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16" s="79">
        <f>IF(AN416="","",IF(AND(N416&gt;0, AG416&gt;0), IF(Configuración!$K$2="NO", "ALERTA: DESCUENTO DOBLE NO PERMITIDO", "OK"), "OK"))</f>
        <v/>
      </c>
      <c r="AR416" s="79">
        <f>IF(AN416="","",IF(OR(AO416&lt;&gt;"OK", AP416&lt;&gt;"OK", AQ416&lt;&gt;"OK"), "⚠️ REVISAR", "OK"))</f>
        <v/>
      </c>
    </row>
    <row r="417">
      <c r="A417" s="79">
        <f>IF('Ordenes_Odoo'!A417="","",'Ordenes_Odoo'!A417)</f>
        <v/>
      </c>
      <c r="B417" s="80">
        <f>IF('Ordenes_Odoo'!B417="","",'Ordenes_Odoo'!B417)</f>
        <v/>
      </c>
      <c r="C417" s="79">
        <f>IF('Ordenes_Odoo'!C417="","",'Ordenes_Odoo'!C417)</f>
        <v/>
      </c>
      <c r="D417" s="79">
        <f>IF('Ordenes_Odoo'!D417="","",'Ordenes_Odoo'!D417)</f>
        <v/>
      </c>
      <c r="E417" s="79">
        <f>IF('Ordenes_Odoo'!E417="","",'Ordenes_Odoo'!E417)</f>
        <v/>
      </c>
      <c r="F417" s="79">
        <f>IF('Ordenes_Odoo'!F417="","",'Ordenes_Odoo'!F417)</f>
        <v/>
      </c>
      <c r="G417" s="79">
        <f>IF('Ordenes_Odoo'!G417="","",'Ordenes_Odoo'!G417)</f>
        <v/>
      </c>
      <c r="H417" s="79">
        <f>IF('Ordenes_Odoo'!H417="","",'Ordenes_Odoo'!H417)</f>
        <v/>
      </c>
      <c r="I417" s="79">
        <f>IF('Ordenes_Odoo'!I417="","",'Ordenes_Odoo'!I417)</f>
        <v/>
      </c>
      <c r="J417" s="79">
        <f>IF('Ordenes_Odoo'!J417="","",'Ordenes_Odoo'!J417)</f>
        <v/>
      </c>
      <c r="K417" s="81">
        <f>IF('Ordenes_Odoo'!K417="","",'Ordenes_Odoo'!K417)</f>
        <v/>
      </c>
      <c r="L417" s="81">
        <f>IF('Ordenes_Odoo'!L417="","",'Ordenes_Odoo'!L417)</f>
        <v/>
      </c>
      <c r="M417" s="79">
        <f>IF('Ordenes_Odoo'!M417="","",'Ordenes_Odoo'!M417)</f>
        <v/>
      </c>
      <c r="N417" s="79">
        <f>IF('Ordenes_Odoo'!N417="","",'Ordenes_Odoo'!N417)</f>
        <v/>
      </c>
      <c r="O417" s="81">
        <f>IF('Ordenes_Odoo'!O417="","",'Ordenes_Odoo'!O417)</f>
        <v/>
      </c>
      <c r="P417" s="81">
        <f>IF('Ordenes_Odoo'!P417="","",'Ordenes_Odoo'!P417)</f>
        <v/>
      </c>
      <c r="Q417" s="79">
        <f>IF(A417="","",IFERROR(INDEX(Facturas_Odoo!$B:$B, MATCH(A417, Facturas_Odoo!$D:$D, 0)), "Sin Factura"))</f>
        <v/>
      </c>
      <c r="R417" s="80">
        <f>IF(Q417="Sin Factura","",IFERROR(INDEX(Facturas_Odoo!$A:$A, MATCH(Q417, Facturas_Odoo!$B:$B, 0)), ""))</f>
        <v/>
      </c>
      <c r="S417" s="79">
        <f>IF(Q417="Sin Factura","",IFERROR(_xlfn.XLOOKUP(1, (Facturas_Odoo!$D:$D=A417) * (Facturas_Odoo!$K:$K=I417), Facturas_Odoo!$L:$L, ""), ""))</f>
        <v/>
      </c>
      <c r="T417" s="81">
        <f>IF(Q417="Sin Factura",0,IFERROR(_xlfn.XLOOKUP(1, (Facturas_Odoo!$D:$D=A417) * (Facturas_Odoo!$K:$K=I417), Facturas_Odoo!$M:$M, 0), 0))</f>
        <v/>
      </c>
      <c r="U417" s="79">
        <f>IF(Q417="Sin Factura",0,IFERROR(_xlfn.XLOOKUP(1, (Facturas_Odoo!$D:$D=A417) * (Facturas_Odoo!$K:$K=I417), Facturas_Odoo!$N:$N, 0), 0))</f>
        <v/>
      </c>
      <c r="V417" s="79">
        <f>IF(Q417="Sin Factura",0,IFERROR(_xlfn.XLOOKUP(1, (Facturas_Odoo!$D:$D=A417) * (Facturas_Odoo!$K:$K=I417), Facturas_Odoo!$O:$O, 0), 0))</f>
        <v/>
      </c>
      <c r="W417" s="81">
        <f>IF(Q417="Sin Factura",0,IFERROR(_xlfn.XLOOKUP(1, (Facturas_Odoo!$D:$D=A417) * (Facturas_Odoo!$K:$K=I417), Facturas_Odoo!$Q:$Q, 0), 0))</f>
        <v/>
      </c>
      <c r="X417" s="79">
        <f>IF(OR(Q417="Sin Factura",Q417=""),"",IFERROR(INDEX(Pagos_Odoo!$B:$B, MATCH(Q417, Pagos_Odoo!$I:$I, 0)), "Sin Pago"))</f>
        <v/>
      </c>
      <c r="Y417" s="79">
        <f>IF(X417="Sin Pago","",IFERROR(INDEX(Pagos_Odoo!$C:$C, MATCH(X417, Pagos_Odoo!$B:$B, 0)), ""))</f>
        <v/>
      </c>
      <c r="Z417" s="80">
        <f>IF(X417="Sin Pago","",IFERROR(INDEX(Pagos_Odoo!$A:$A, MATCH(X417, Pagos_Odoo!$B:$B, 0)), ""))</f>
        <v/>
      </c>
      <c r="AA417" s="79">
        <f>IF(X417="Sin Pago","",IFERROR(INDEX(Pagos_Odoo!$F:$F, MATCH(X417, Pagos_Odoo!$B:$B, 0)), ""))</f>
        <v/>
      </c>
      <c r="AB417" s="81">
        <f>IF(X417="Sin Pago",0,IFERROR(INDEX(Pagos_Odoo!$E:$E, MATCH(X417, Pagos_Odoo!$B:$B, 0)), 0))</f>
        <v/>
      </c>
      <c r="AC417" s="79">
        <f>IF(X417="Sin Pago","",IFERROR(INDEX(Pagos_Odoo!$G:$G, MATCH(X417, Pagos_Odoo!$B:$B, 0)), ""))</f>
        <v/>
      </c>
      <c r="AD417" s="82" t="n">
        <v>0</v>
      </c>
      <c r="AE417" s="82" t="n"/>
      <c r="AF417" s="82" t="n"/>
      <c r="AG417" s="82">
        <f>IF(AN417="","",AD417+AE417+AF417)</f>
        <v/>
      </c>
      <c r="AH417" s="81">
        <f>IF(AN417="","",P417*(1-AG417))</f>
        <v/>
      </c>
      <c r="AI417" s="81">
        <f>IF(AN417="","",IF(Q417="Sin Factura",0,IFERROR(INDEX(Facturas_Odoo!$H:$H, MATCH(Q417, Facturas_Odoo!$B:$B, 0)), 0)*(1-AG417)))</f>
        <v/>
      </c>
      <c r="AJ417" s="81">
        <f>IF(AN417="","",_xlfn.LET(idVenta, AN417&amp;"",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17" s="81">
        <f>IF(AN417="","",AH417-AJ417)</f>
        <v/>
      </c>
      <c r="AL417" s="81">
        <f>IF(AN417="","",IF(Q417="Sin Factura","",AI417-AJ417))</f>
        <v/>
      </c>
      <c r="AM417" s="81">
        <f>IF(AN417="","",IF(Q417="Sin Factura",0,P417-IFERROR(INDEX(Facturas_Odoo!$H:$H, MATCH(Q417, Facturas_Odoo!$B:$B, 0)), 0)))</f>
        <v/>
      </c>
      <c r="AN417" s="79">
        <f>IF(AND(A417="", J417=""), "", IF(A417&lt;&gt;"", VALUE(MID(A417,2,LEN(A417))), AN416))</f>
        <v/>
      </c>
      <c r="AO417" s="79">
        <f>IF(AN417="","",IF(AD417=0,"OK",_xlfn.LET(monedaPago, IF(AA417="","USD",AA417), limitePermitido, IFERROR(VLOOKUP(monedaPago, Configuración!$A$2:$B$3, 2, FALSE), 0.15), IF(AD417&gt;limitePermitido, "ALERTA: EXCESO (" &amp; TEXT(limitePermitido, "0%") &amp; " máx)", "OK"))))</f>
        <v/>
      </c>
      <c r="AP417" s="79">
        <f>IF(AN417="","",IF(AE417=0,"OK",_xlfn.LET(fechaPago, Z417, fechaFactura, R417, diasCredito, IF(E417="Pago inmediato", 0, IFERROR(VALUE(MID(E417, 1, SEARCH(" ", E417)-1)),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17" s="79">
        <f>IF(AN417="","",IF(AND(N417&gt;0, AG417&gt;0), IF(Configuración!$K$2="NO", "ALERTA: DESCUENTO DOBLE NO PERMITIDO", "OK"), "OK"))</f>
        <v/>
      </c>
      <c r="AR417" s="79">
        <f>IF(AN417="","",IF(OR(AO417&lt;&gt;"OK", AP417&lt;&gt;"OK", AQ417&lt;&gt;"OK"), "⚠️ REVISAR", "OK"))</f>
        <v/>
      </c>
    </row>
    <row r="418">
      <c r="A418" s="79">
        <f>IF('Ordenes_Odoo'!A418="","",'Ordenes_Odoo'!A418)</f>
        <v/>
      </c>
      <c r="B418" s="80">
        <f>IF('Ordenes_Odoo'!B418="","",'Ordenes_Odoo'!B418)</f>
        <v/>
      </c>
      <c r="C418" s="79">
        <f>IF('Ordenes_Odoo'!C418="","",'Ordenes_Odoo'!C418)</f>
        <v/>
      </c>
      <c r="D418" s="79">
        <f>IF('Ordenes_Odoo'!D418="","",'Ordenes_Odoo'!D418)</f>
        <v/>
      </c>
      <c r="E418" s="79">
        <f>IF('Ordenes_Odoo'!E418="","",'Ordenes_Odoo'!E418)</f>
        <v/>
      </c>
      <c r="F418" s="79">
        <f>IF('Ordenes_Odoo'!F418="","",'Ordenes_Odoo'!F418)</f>
        <v/>
      </c>
      <c r="G418" s="79">
        <f>IF('Ordenes_Odoo'!G418="","",'Ordenes_Odoo'!G418)</f>
        <v/>
      </c>
      <c r="H418" s="79">
        <f>IF('Ordenes_Odoo'!H418="","",'Ordenes_Odoo'!H418)</f>
        <v/>
      </c>
      <c r="I418" s="79">
        <f>IF('Ordenes_Odoo'!I418="","",'Ordenes_Odoo'!I418)</f>
        <v/>
      </c>
      <c r="J418" s="79">
        <f>IF('Ordenes_Odoo'!J418="","",'Ordenes_Odoo'!J418)</f>
        <v/>
      </c>
      <c r="K418" s="81">
        <f>IF('Ordenes_Odoo'!K418="","",'Ordenes_Odoo'!K418)</f>
        <v/>
      </c>
      <c r="L418" s="81">
        <f>IF('Ordenes_Odoo'!L418="","",'Ordenes_Odoo'!L418)</f>
        <v/>
      </c>
      <c r="M418" s="79">
        <f>IF('Ordenes_Odoo'!M418="","",'Ordenes_Odoo'!M418)</f>
        <v/>
      </c>
      <c r="N418" s="79">
        <f>IF('Ordenes_Odoo'!N418="","",'Ordenes_Odoo'!N418)</f>
        <v/>
      </c>
      <c r="O418" s="81">
        <f>IF('Ordenes_Odoo'!O418="","",'Ordenes_Odoo'!O418)</f>
        <v/>
      </c>
      <c r="P418" s="81">
        <f>IF('Ordenes_Odoo'!P418="","",'Ordenes_Odoo'!P418)</f>
        <v/>
      </c>
      <c r="Q418" s="79">
        <f>IF(A418="","",IFERROR(INDEX(Facturas_Odoo!$B:$B, MATCH(A418, Facturas_Odoo!$D:$D, 0)), "Sin Factura"))</f>
        <v/>
      </c>
      <c r="R418" s="80">
        <f>IF(Q418="Sin Factura","",IFERROR(INDEX(Facturas_Odoo!$A:$A, MATCH(Q418, Facturas_Odoo!$B:$B, 0)), ""))</f>
        <v/>
      </c>
      <c r="S418" s="79">
        <f>IF(Q418="Sin Factura","",IFERROR(_xlfn.XLOOKUP(1, (Facturas_Odoo!$D:$D=A418) * (Facturas_Odoo!$K:$K=I418), Facturas_Odoo!$L:$L, ""), ""))</f>
        <v/>
      </c>
      <c r="T418" s="81">
        <f>IF(Q418="Sin Factura",0,IFERROR(_xlfn.XLOOKUP(1, (Facturas_Odoo!$D:$D=A418) * (Facturas_Odoo!$K:$K=I418), Facturas_Odoo!$M:$M, 0), 0))</f>
        <v/>
      </c>
      <c r="U418" s="79">
        <f>IF(Q418="Sin Factura",0,IFERROR(_xlfn.XLOOKUP(1, (Facturas_Odoo!$D:$D=A418) * (Facturas_Odoo!$K:$K=I418), Facturas_Odoo!$N:$N, 0), 0))</f>
        <v/>
      </c>
      <c r="V418" s="79">
        <f>IF(Q418="Sin Factura",0,IFERROR(_xlfn.XLOOKUP(1, (Facturas_Odoo!$D:$D=A418) * (Facturas_Odoo!$K:$K=I418), Facturas_Odoo!$O:$O, 0), 0))</f>
        <v/>
      </c>
      <c r="W418" s="81">
        <f>IF(Q418="Sin Factura",0,IFERROR(_xlfn.XLOOKUP(1, (Facturas_Odoo!$D:$D=A418) * (Facturas_Odoo!$K:$K=I418), Facturas_Odoo!$Q:$Q, 0), 0))</f>
        <v/>
      </c>
      <c r="X418" s="79">
        <f>IF(OR(Q418="Sin Factura",Q418=""),"",IFERROR(INDEX(Pagos_Odoo!$B:$B, MATCH(Q418, Pagos_Odoo!$I:$I, 0)), "Sin Pago"))</f>
        <v/>
      </c>
      <c r="Y418" s="79">
        <f>IF(X418="Sin Pago","",IFERROR(INDEX(Pagos_Odoo!$C:$C, MATCH(X418, Pagos_Odoo!$B:$B, 0)), ""))</f>
        <v/>
      </c>
      <c r="Z418" s="80">
        <f>IF(X418="Sin Pago","",IFERROR(INDEX(Pagos_Odoo!$A:$A, MATCH(X418, Pagos_Odoo!$B:$B, 0)), ""))</f>
        <v/>
      </c>
      <c r="AA418" s="79">
        <f>IF(X418="Sin Pago","",IFERROR(INDEX(Pagos_Odoo!$F:$F, MATCH(X418, Pagos_Odoo!$B:$B, 0)), ""))</f>
        <v/>
      </c>
      <c r="AB418" s="81">
        <f>IF(X418="Sin Pago",0,IFERROR(INDEX(Pagos_Odoo!$E:$E, MATCH(X418, Pagos_Odoo!$B:$B, 0)), 0))</f>
        <v/>
      </c>
      <c r="AC418" s="79">
        <f>IF(X418="Sin Pago","",IFERROR(INDEX(Pagos_Odoo!$G:$G, MATCH(X418, Pagos_Odoo!$B:$B, 0)), ""))</f>
        <v/>
      </c>
      <c r="AD418" s="82" t="n">
        <v>0</v>
      </c>
      <c r="AE418" s="82" t="n"/>
      <c r="AF418" s="82" t="n"/>
      <c r="AG418" s="82">
        <f>IF(AN418="","",AD418+AE418+AF418)</f>
        <v/>
      </c>
      <c r="AH418" s="81">
        <f>IF(AN418="","",P418*(1-AG418))</f>
        <v/>
      </c>
      <c r="AI418" s="81">
        <f>IF(AN418="","",IF(Q418="Sin Factura",0,IFERROR(INDEX(Facturas_Odoo!$H:$H, MATCH(Q418, Facturas_Odoo!$B:$B, 0)), 0)*(1-AG418)))</f>
        <v/>
      </c>
      <c r="AJ418" s="81">
        <f>IF(AN418="","",_xlfn.LET(idVenta, AN418&amp;"",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18" s="81">
        <f>IF(AN418="","",AH418-AJ418)</f>
        <v/>
      </c>
      <c r="AL418" s="81">
        <f>IF(AN418="","",IF(Q418="Sin Factura","",AI418-AJ418))</f>
        <v/>
      </c>
      <c r="AM418" s="81">
        <f>IF(AN418="","",IF(Q418="Sin Factura",0,P418-IFERROR(INDEX(Facturas_Odoo!$H:$H, MATCH(Q418, Facturas_Odoo!$B:$B, 0)), 0)))</f>
        <v/>
      </c>
      <c r="AN418" s="79">
        <f>IF(AND(A418="", J418=""), "", IF(A418&lt;&gt;"", VALUE(MID(A418,2,LEN(A418))), AN417))</f>
        <v/>
      </c>
      <c r="AO418" s="79">
        <f>IF(AN418="","",IF(AD418=0,"OK",_xlfn.LET(monedaPago, IF(AA418="","USD",AA418), limitePermitido, IFERROR(VLOOKUP(monedaPago, Configuración!$A$2:$B$3, 2, FALSE), 0.15), IF(AD418&gt;limitePermitido, "ALERTA: EXCESO (" &amp; TEXT(limitePermitido, "0%") &amp; " máx)", "OK"))))</f>
        <v/>
      </c>
      <c r="AP418" s="79">
        <f>IF(AN418="","",IF(AE418=0,"OK",_xlfn.LET(fechaPago, Z418, fechaFactura, R418, diasCredito, IF(E418="Pago inmediato", 0, IFERROR(VALUE(MID(E418, 1, SEARCH(" ", E418)-1)),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18" s="79">
        <f>IF(AN418="","",IF(AND(N418&gt;0, AG418&gt;0), IF(Configuración!$K$2="NO", "ALERTA: DESCUENTO DOBLE NO PERMITIDO", "OK"), "OK"))</f>
        <v/>
      </c>
      <c r="AR418" s="79">
        <f>IF(AN418="","",IF(OR(AO418&lt;&gt;"OK", AP418&lt;&gt;"OK", AQ418&lt;&gt;"OK"), "⚠️ REVISAR", "OK"))</f>
        <v/>
      </c>
    </row>
    <row r="419">
      <c r="A419" s="79">
        <f>IF('Ordenes_Odoo'!A419="","",'Ordenes_Odoo'!A419)</f>
        <v/>
      </c>
      <c r="B419" s="80">
        <f>IF('Ordenes_Odoo'!B419="","",'Ordenes_Odoo'!B419)</f>
        <v/>
      </c>
      <c r="C419" s="79">
        <f>IF('Ordenes_Odoo'!C419="","",'Ordenes_Odoo'!C419)</f>
        <v/>
      </c>
      <c r="D419" s="79">
        <f>IF('Ordenes_Odoo'!D419="","",'Ordenes_Odoo'!D419)</f>
        <v/>
      </c>
      <c r="E419" s="79">
        <f>IF('Ordenes_Odoo'!E419="","",'Ordenes_Odoo'!E419)</f>
        <v/>
      </c>
      <c r="F419" s="79">
        <f>IF('Ordenes_Odoo'!F419="","",'Ordenes_Odoo'!F419)</f>
        <v/>
      </c>
      <c r="G419" s="79">
        <f>IF('Ordenes_Odoo'!G419="","",'Ordenes_Odoo'!G419)</f>
        <v/>
      </c>
      <c r="H419" s="79">
        <f>IF('Ordenes_Odoo'!H419="","",'Ordenes_Odoo'!H419)</f>
        <v/>
      </c>
      <c r="I419" s="79">
        <f>IF('Ordenes_Odoo'!I419="","",'Ordenes_Odoo'!I419)</f>
        <v/>
      </c>
      <c r="J419" s="79">
        <f>IF('Ordenes_Odoo'!J419="","",'Ordenes_Odoo'!J419)</f>
        <v/>
      </c>
      <c r="K419" s="81">
        <f>IF('Ordenes_Odoo'!K419="","",'Ordenes_Odoo'!K419)</f>
        <v/>
      </c>
      <c r="L419" s="81">
        <f>IF('Ordenes_Odoo'!L419="","",'Ordenes_Odoo'!L419)</f>
        <v/>
      </c>
      <c r="M419" s="79">
        <f>IF('Ordenes_Odoo'!M419="","",'Ordenes_Odoo'!M419)</f>
        <v/>
      </c>
      <c r="N419" s="79">
        <f>IF('Ordenes_Odoo'!N419="","",'Ordenes_Odoo'!N419)</f>
        <v/>
      </c>
      <c r="O419" s="81">
        <f>IF('Ordenes_Odoo'!O419="","",'Ordenes_Odoo'!O419)</f>
        <v/>
      </c>
      <c r="P419" s="81">
        <f>IF('Ordenes_Odoo'!P419="","",'Ordenes_Odoo'!P419)</f>
        <v/>
      </c>
      <c r="Q419" s="79">
        <f>IF(A419="","",IFERROR(INDEX(Facturas_Odoo!$B:$B, MATCH(A419, Facturas_Odoo!$D:$D, 0)), "Sin Factura"))</f>
        <v/>
      </c>
      <c r="R419" s="80">
        <f>IF(Q419="Sin Factura","",IFERROR(INDEX(Facturas_Odoo!$A:$A, MATCH(Q419, Facturas_Odoo!$B:$B, 0)), ""))</f>
        <v/>
      </c>
      <c r="S419" s="79">
        <f>IF(Q419="Sin Factura","",IFERROR(_xlfn.XLOOKUP(1, (Facturas_Odoo!$D:$D=A419) * (Facturas_Odoo!$K:$K=I419), Facturas_Odoo!$L:$L, ""), ""))</f>
        <v/>
      </c>
      <c r="T419" s="81">
        <f>IF(Q419="Sin Factura",0,IFERROR(_xlfn.XLOOKUP(1, (Facturas_Odoo!$D:$D=A419) * (Facturas_Odoo!$K:$K=I419), Facturas_Odoo!$M:$M, 0), 0))</f>
        <v/>
      </c>
      <c r="U419" s="79">
        <f>IF(Q419="Sin Factura",0,IFERROR(_xlfn.XLOOKUP(1, (Facturas_Odoo!$D:$D=A419) * (Facturas_Odoo!$K:$K=I419), Facturas_Odoo!$N:$N, 0), 0))</f>
        <v/>
      </c>
      <c r="V419" s="79">
        <f>IF(Q419="Sin Factura",0,IFERROR(_xlfn.XLOOKUP(1, (Facturas_Odoo!$D:$D=A419) * (Facturas_Odoo!$K:$K=I419), Facturas_Odoo!$O:$O, 0), 0))</f>
        <v/>
      </c>
      <c r="W419" s="81">
        <f>IF(Q419="Sin Factura",0,IFERROR(_xlfn.XLOOKUP(1, (Facturas_Odoo!$D:$D=A419) * (Facturas_Odoo!$K:$K=I419), Facturas_Odoo!$Q:$Q, 0), 0))</f>
        <v/>
      </c>
      <c r="X419" s="79">
        <f>IF(OR(Q419="Sin Factura",Q419=""),"",IFERROR(INDEX(Pagos_Odoo!$B:$B, MATCH(Q419, Pagos_Odoo!$I:$I, 0)), "Sin Pago"))</f>
        <v/>
      </c>
      <c r="Y419" s="79">
        <f>IF(X419="Sin Pago","",IFERROR(INDEX(Pagos_Odoo!$C:$C, MATCH(X419, Pagos_Odoo!$B:$B, 0)), ""))</f>
        <v/>
      </c>
      <c r="Z419" s="80">
        <f>IF(X419="Sin Pago","",IFERROR(INDEX(Pagos_Odoo!$A:$A, MATCH(X419, Pagos_Odoo!$B:$B, 0)), ""))</f>
        <v/>
      </c>
      <c r="AA419" s="79">
        <f>IF(X419="Sin Pago","",IFERROR(INDEX(Pagos_Odoo!$F:$F, MATCH(X419, Pagos_Odoo!$B:$B, 0)), ""))</f>
        <v/>
      </c>
      <c r="AB419" s="81">
        <f>IF(X419="Sin Pago",0,IFERROR(INDEX(Pagos_Odoo!$E:$E, MATCH(X419, Pagos_Odoo!$B:$B, 0)), 0))</f>
        <v/>
      </c>
      <c r="AC419" s="79">
        <f>IF(X419="Sin Pago","",IFERROR(INDEX(Pagos_Odoo!$G:$G, MATCH(X419, Pagos_Odoo!$B:$B, 0)), ""))</f>
        <v/>
      </c>
      <c r="AD419" s="82" t="n">
        <v>0</v>
      </c>
      <c r="AE419" s="82" t="n"/>
      <c r="AF419" s="82" t="n"/>
      <c r="AG419" s="82">
        <f>IF(AN419="","",AD419+AE419+AF419)</f>
        <v/>
      </c>
      <c r="AH419" s="81">
        <f>IF(AN419="","",P419*(1-AG419))</f>
        <v/>
      </c>
      <c r="AI419" s="81">
        <f>IF(AN419="","",IF(Q419="Sin Factura",0,IFERROR(INDEX(Facturas_Odoo!$H:$H, MATCH(Q419, Facturas_Odoo!$B:$B, 0)), 0)*(1-AG419)))</f>
        <v/>
      </c>
      <c r="AJ419" s="81">
        <f>IF(AN419="","",_xlfn.LET(idVenta, AN419&amp;"",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19" s="81">
        <f>IF(AN419="","",AH419-AJ419)</f>
        <v/>
      </c>
      <c r="AL419" s="81">
        <f>IF(AN419="","",IF(Q419="Sin Factura","",AI419-AJ419))</f>
        <v/>
      </c>
      <c r="AM419" s="81">
        <f>IF(AN419="","",IF(Q419="Sin Factura",0,P419-IFERROR(INDEX(Facturas_Odoo!$H:$H, MATCH(Q419, Facturas_Odoo!$B:$B, 0)), 0)))</f>
        <v/>
      </c>
      <c r="AN419" s="79">
        <f>IF(AND(A419="", J419=""), "", IF(A419&lt;&gt;"", VALUE(MID(A419,2,LEN(A419))), AN418))</f>
        <v/>
      </c>
      <c r="AO419" s="79">
        <f>IF(AN419="","",IF(AD419=0,"OK",_xlfn.LET(monedaPago, IF(AA419="","USD",AA419), limitePermitido, IFERROR(VLOOKUP(monedaPago, Configuración!$A$2:$B$3, 2, FALSE), 0.15), IF(AD419&gt;limitePermitido, "ALERTA: EXCESO (" &amp; TEXT(limitePermitido, "0%") &amp; " máx)", "OK"))))</f>
        <v/>
      </c>
      <c r="AP419" s="79">
        <f>IF(AN419="","",IF(AE419=0,"OK",_xlfn.LET(fechaPago, Z419, fechaFactura, R419, diasCredito, IF(E419="Pago inmediato", 0, IFERROR(VALUE(MID(E419, 1, SEARCH(" ", E419)-1)),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19" s="79">
        <f>IF(AN419="","",IF(AND(N419&gt;0, AG419&gt;0), IF(Configuración!$K$2="NO", "ALERTA: DESCUENTO DOBLE NO PERMITIDO", "OK"), "OK"))</f>
        <v/>
      </c>
      <c r="AR419" s="79">
        <f>IF(AN419="","",IF(OR(AO419&lt;&gt;"OK", AP419&lt;&gt;"OK", AQ419&lt;&gt;"OK"), "⚠️ REVISAR", "OK"))</f>
        <v/>
      </c>
    </row>
    <row r="420">
      <c r="A420" s="79">
        <f>IF('Ordenes_Odoo'!A420="","",'Ordenes_Odoo'!A420)</f>
        <v/>
      </c>
      <c r="B420" s="80">
        <f>IF('Ordenes_Odoo'!B420="","",'Ordenes_Odoo'!B420)</f>
        <v/>
      </c>
      <c r="C420" s="79">
        <f>IF('Ordenes_Odoo'!C420="","",'Ordenes_Odoo'!C420)</f>
        <v/>
      </c>
      <c r="D420" s="79">
        <f>IF('Ordenes_Odoo'!D420="","",'Ordenes_Odoo'!D420)</f>
        <v/>
      </c>
      <c r="E420" s="79">
        <f>IF('Ordenes_Odoo'!E420="","",'Ordenes_Odoo'!E420)</f>
        <v/>
      </c>
      <c r="F420" s="79">
        <f>IF('Ordenes_Odoo'!F420="","",'Ordenes_Odoo'!F420)</f>
        <v/>
      </c>
      <c r="G420" s="79">
        <f>IF('Ordenes_Odoo'!G420="","",'Ordenes_Odoo'!G420)</f>
        <v/>
      </c>
      <c r="H420" s="79">
        <f>IF('Ordenes_Odoo'!H420="","",'Ordenes_Odoo'!H420)</f>
        <v/>
      </c>
      <c r="I420" s="79">
        <f>IF('Ordenes_Odoo'!I420="","",'Ordenes_Odoo'!I420)</f>
        <v/>
      </c>
      <c r="J420" s="79">
        <f>IF('Ordenes_Odoo'!J420="","",'Ordenes_Odoo'!J420)</f>
        <v/>
      </c>
      <c r="K420" s="81">
        <f>IF('Ordenes_Odoo'!K420="","",'Ordenes_Odoo'!K420)</f>
        <v/>
      </c>
      <c r="L420" s="81">
        <f>IF('Ordenes_Odoo'!L420="","",'Ordenes_Odoo'!L420)</f>
        <v/>
      </c>
      <c r="M420" s="79">
        <f>IF('Ordenes_Odoo'!M420="","",'Ordenes_Odoo'!M420)</f>
        <v/>
      </c>
      <c r="N420" s="79">
        <f>IF('Ordenes_Odoo'!N420="","",'Ordenes_Odoo'!N420)</f>
        <v/>
      </c>
      <c r="O420" s="81">
        <f>IF('Ordenes_Odoo'!O420="","",'Ordenes_Odoo'!O420)</f>
        <v/>
      </c>
      <c r="P420" s="81">
        <f>IF('Ordenes_Odoo'!P420="","",'Ordenes_Odoo'!P420)</f>
        <v/>
      </c>
      <c r="Q420" s="79">
        <f>IF(A420="","",IFERROR(INDEX(Facturas_Odoo!$B:$B, MATCH(A420, Facturas_Odoo!$D:$D, 0)), "Sin Factura"))</f>
        <v/>
      </c>
      <c r="R420" s="80">
        <f>IF(Q420="Sin Factura","",IFERROR(INDEX(Facturas_Odoo!$A:$A, MATCH(Q420, Facturas_Odoo!$B:$B, 0)), ""))</f>
        <v/>
      </c>
      <c r="S420" s="79">
        <f>IF(Q420="Sin Factura","",IFERROR(_xlfn.XLOOKUP(1, (Facturas_Odoo!$D:$D=A420) * (Facturas_Odoo!$K:$K=I420), Facturas_Odoo!$L:$L, ""), ""))</f>
        <v/>
      </c>
      <c r="T420" s="81">
        <f>IF(Q420="Sin Factura",0,IFERROR(_xlfn.XLOOKUP(1, (Facturas_Odoo!$D:$D=A420) * (Facturas_Odoo!$K:$K=I420), Facturas_Odoo!$M:$M, 0), 0))</f>
        <v/>
      </c>
      <c r="U420" s="79">
        <f>IF(Q420="Sin Factura",0,IFERROR(_xlfn.XLOOKUP(1, (Facturas_Odoo!$D:$D=A420) * (Facturas_Odoo!$K:$K=I420), Facturas_Odoo!$N:$N, 0), 0))</f>
        <v/>
      </c>
      <c r="V420" s="79">
        <f>IF(Q420="Sin Factura",0,IFERROR(_xlfn.XLOOKUP(1, (Facturas_Odoo!$D:$D=A420) * (Facturas_Odoo!$K:$K=I420), Facturas_Odoo!$O:$O, 0), 0))</f>
        <v/>
      </c>
      <c r="W420" s="81">
        <f>IF(Q420="Sin Factura",0,IFERROR(_xlfn.XLOOKUP(1, (Facturas_Odoo!$D:$D=A420) * (Facturas_Odoo!$K:$K=I420), Facturas_Odoo!$Q:$Q, 0), 0))</f>
        <v/>
      </c>
      <c r="X420" s="79">
        <f>IF(OR(Q420="Sin Factura",Q420=""),"",IFERROR(INDEX(Pagos_Odoo!$B:$B, MATCH(Q420, Pagos_Odoo!$I:$I, 0)), "Sin Pago"))</f>
        <v/>
      </c>
      <c r="Y420" s="79">
        <f>IF(X420="Sin Pago","",IFERROR(INDEX(Pagos_Odoo!$C:$C, MATCH(X420, Pagos_Odoo!$B:$B, 0)), ""))</f>
        <v/>
      </c>
      <c r="Z420" s="80">
        <f>IF(X420="Sin Pago","",IFERROR(INDEX(Pagos_Odoo!$A:$A, MATCH(X420, Pagos_Odoo!$B:$B, 0)), ""))</f>
        <v/>
      </c>
      <c r="AA420" s="79">
        <f>IF(X420="Sin Pago","",IFERROR(INDEX(Pagos_Odoo!$F:$F, MATCH(X420, Pagos_Odoo!$B:$B, 0)), ""))</f>
        <v/>
      </c>
      <c r="AB420" s="81">
        <f>IF(X420="Sin Pago",0,IFERROR(INDEX(Pagos_Odoo!$E:$E, MATCH(X420, Pagos_Odoo!$B:$B, 0)), 0))</f>
        <v/>
      </c>
      <c r="AC420" s="79">
        <f>IF(X420="Sin Pago","",IFERROR(INDEX(Pagos_Odoo!$G:$G, MATCH(X420, Pagos_Odoo!$B:$B, 0)), ""))</f>
        <v/>
      </c>
      <c r="AD420" s="82" t="n">
        <v>0</v>
      </c>
      <c r="AE420" s="82" t="n"/>
      <c r="AF420" s="82" t="n"/>
      <c r="AG420" s="82">
        <f>IF(AN420="","",AD420+AE420+AF420)</f>
        <v/>
      </c>
      <c r="AH420" s="81">
        <f>IF(AN420="","",P420*(1-AG420))</f>
        <v/>
      </c>
      <c r="AI420" s="81">
        <f>IF(AN420="","",IF(Q420="Sin Factura",0,IFERROR(INDEX(Facturas_Odoo!$H:$H, MATCH(Q420, Facturas_Odoo!$B:$B, 0)), 0)*(1-AG420)))</f>
        <v/>
      </c>
      <c r="AJ420" s="81">
        <f>IF(AN420="","",_xlfn.LET(idVenta, AN420&amp;"",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20" s="81">
        <f>IF(AN420="","",AH420-AJ420)</f>
        <v/>
      </c>
      <c r="AL420" s="81">
        <f>IF(AN420="","",IF(Q420="Sin Factura","",AI420-AJ420))</f>
        <v/>
      </c>
      <c r="AM420" s="81">
        <f>IF(AN420="","",IF(Q420="Sin Factura",0,P420-IFERROR(INDEX(Facturas_Odoo!$H:$H, MATCH(Q420, Facturas_Odoo!$B:$B, 0)), 0)))</f>
        <v/>
      </c>
      <c r="AN420" s="79">
        <f>IF(AND(A420="", J420=""), "", IF(A420&lt;&gt;"", VALUE(MID(A420,2,LEN(A420))), AN419))</f>
        <v/>
      </c>
      <c r="AO420" s="79">
        <f>IF(AN420="","",IF(AD420=0,"OK",_xlfn.LET(monedaPago, IF(AA420="","USD",AA420), limitePermitido, IFERROR(VLOOKUP(monedaPago, Configuración!$A$2:$B$3, 2, FALSE), 0.15), IF(AD420&gt;limitePermitido, "ALERTA: EXCESO (" &amp; TEXT(limitePermitido, "0%") &amp; " máx)", "OK"))))</f>
        <v/>
      </c>
      <c r="AP420" s="79">
        <f>IF(AN420="","",IF(AE420=0,"OK",_xlfn.LET(fechaPago, Z420, fechaFactura, R420, diasCredito, IF(E420="Pago inmediato", 0, IFERROR(VALUE(MID(E420, 1, SEARCH(" ", E420)-1)),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20" s="79">
        <f>IF(AN420="","",IF(AND(N420&gt;0, AG420&gt;0), IF(Configuración!$K$2="NO", "ALERTA: DESCUENTO DOBLE NO PERMITIDO", "OK"), "OK"))</f>
        <v/>
      </c>
      <c r="AR420" s="79">
        <f>IF(AN420="","",IF(OR(AO420&lt;&gt;"OK", AP420&lt;&gt;"OK", AQ420&lt;&gt;"OK"), "⚠️ REVISAR", "OK"))</f>
        <v/>
      </c>
    </row>
    <row r="421">
      <c r="A421" s="79">
        <f>IF('Ordenes_Odoo'!A421="","",'Ordenes_Odoo'!A421)</f>
        <v/>
      </c>
      <c r="B421" s="80">
        <f>IF('Ordenes_Odoo'!B421="","",'Ordenes_Odoo'!B421)</f>
        <v/>
      </c>
      <c r="C421" s="79">
        <f>IF('Ordenes_Odoo'!C421="","",'Ordenes_Odoo'!C421)</f>
        <v/>
      </c>
      <c r="D421" s="79">
        <f>IF('Ordenes_Odoo'!D421="","",'Ordenes_Odoo'!D421)</f>
        <v/>
      </c>
      <c r="E421" s="79">
        <f>IF('Ordenes_Odoo'!E421="","",'Ordenes_Odoo'!E421)</f>
        <v/>
      </c>
      <c r="F421" s="79">
        <f>IF('Ordenes_Odoo'!F421="","",'Ordenes_Odoo'!F421)</f>
        <v/>
      </c>
      <c r="G421" s="79">
        <f>IF('Ordenes_Odoo'!G421="","",'Ordenes_Odoo'!G421)</f>
        <v/>
      </c>
      <c r="H421" s="79">
        <f>IF('Ordenes_Odoo'!H421="","",'Ordenes_Odoo'!H421)</f>
        <v/>
      </c>
      <c r="I421" s="79">
        <f>IF('Ordenes_Odoo'!I421="","",'Ordenes_Odoo'!I421)</f>
        <v/>
      </c>
      <c r="J421" s="79">
        <f>IF('Ordenes_Odoo'!J421="","",'Ordenes_Odoo'!J421)</f>
        <v/>
      </c>
      <c r="K421" s="81">
        <f>IF('Ordenes_Odoo'!K421="","",'Ordenes_Odoo'!K421)</f>
        <v/>
      </c>
      <c r="L421" s="81">
        <f>IF('Ordenes_Odoo'!L421="","",'Ordenes_Odoo'!L421)</f>
        <v/>
      </c>
      <c r="M421" s="79">
        <f>IF('Ordenes_Odoo'!M421="","",'Ordenes_Odoo'!M421)</f>
        <v/>
      </c>
      <c r="N421" s="79">
        <f>IF('Ordenes_Odoo'!N421="","",'Ordenes_Odoo'!N421)</f>
        <v/>
      </c>
      <c r="O421" s="81">
        <f>IF('Ordenes_Odoo'!O421="","",'Ordenes_Odoo'!O421)</f>
        <v/>
      </c>
      <c r="P421" s="81">
        <f>IF('Ordenes_Odoo'!P421="","",'Ordenes_Odoo'!P421)</f>
        <v/>
      </c>
      <c r="Q421" s="79">
        <f>IF(A421="","",IFERROR(INDEX(Facturas_Odoo!$B:$B, MATCH(A421, Facturas_Odoo!$D:$D, 0)), "Sin Factura"))</f>
        <v/>
      </c>
      <c r="R421" s="80">
        <f>IF(Q421="Sin Factura","",IFERROR(INDEX(Facturas_Odoo!$A:$A, MATCH(Q421, Facturas_Odoo!$B:$B, 0)), ""))</f>
        <v/>
      </c>
      <c r="S421" s="79">
        <f>IF(Q421="Sin Factura","",IFERROR(_xlfn.XLOOKUP(1, (Facturas_Odoo!$D:$D=A421) * (Facturas_Odoo!$K:$K=I421), Facturas_Odoo!$L:$L, ""), ""))</f>
        <v/>
      </c>
      <c r="T421" s="81">
        <f>IF(Q421="Sin Factura",0,IFERROR(_xlfn.XLOOKUP(1, (Facturas_Odoo!$D:$D=A421) * (Facturas_Odoo!$K:$K=I421), Facturas_Odoo!$M:$M, 0), 0))</f>
        <v/>
      </c>
      <c r="U421" s="79">
        <f>IF(Q421="Sin Factura",0,IFERROR(_xlfn.XLOOKUP(1, (Facturas_Odoo!$D:$D=A421) * (Facturas_Odoo!$K:$K=I421), Facturas_Odoo!$N:$N, 0), 0))</f>
        <v/>
      </c>
      <c r="V421" s="79">
        <f>IF(Q421="Sin Factura",0,IFERROR(_xlfn.XLOOKUP(1, (Facturas_Odoo!$D:$D=A421) * (Facturas_Odoo!$K:$K=I421), Facturas_Odoo!$O:$O, 0), 0))</f>
        <v/>
      </c>
      <c r="W421" s="81">
        <f>IF(Q421="Sin Factura",0,IFERROR(_xlfn.XLOOKUP(1, (Facturas_Odoo!$D:$D=A421) * (Facturas_Odoo!$K:$K=I421), Facturas_Odoo!$Q:$Q, 0), 0))</f>
        <v/>
      </c>
      <c r="X421" s="79">
        <f>IF(OR(Q421="Sin Factura",Q421=""),"",IFERROR(INDEX(Pagos_Odoo!$B:$B, MATCH(Q421, Pagos_Odoo!$I:$I, 0)), "Sin Pago"))</f>
        <v/>
      </c>
      <c r="Y421" s="79">
        <f>IF(X421="Sin Pago","",IFERROR(INDEX(Pagos_Odoo!$C:$C, MATCH(X421, Pagos_Odoo!$B:$B, 0)), ""))</f>
        <v/>
      </c>
      <c r="Z421" s="80">
        <f>IF(X421="Sin Pago","",IFERROR(INDEX(Pagos_Odoo!$A:$A, MATCH(X421, Pagos_Odoo!$B:$B, 0)), ""))</f>
        <v/>
      </c>
      <c r="AA421" s="79">
        <f>IF(X421="Sin Pago","",IFERROR(INDEX(Pagos_Odoo!$F:$F, MATCH(X421, Pagos_Odoo!$B:$B, 0)), ""))</f>
        <v/>
      </c>
      <c r="AB421" s="81">
        <f>IF(X421="Sin Pago",0,IFERROR(INDEX(Pagos_Odoo!$E:$E, MATCH(X421, Pagos_Odoo!$B:$B, 0)), 0))</f>
        <v/>
      </c>
      <c r="AC421" s="79">
        <f>IF(X421="Sin Pago","",IFERROR(INDEX(Pagos_Odoo!$G:$G, MATCH(X421, Pagos_Odoo!$B:$B, 0)), ""))</f>
        <v/>
      </c>
      <c r="AD421" s="82" t="n">
        <v>0</v>
      </c>
      <c r="AE421" s="82" t="n"/>
      <c r="AF421" s="82" t="n"/>
      <c r="AG421" s="82">
        <f>IF(AN421="","",AD421+AE421+AF421)</f>
        <v/>
      </c>
      <c r="AH421" s="81">
        <f>IF(AN421="","",P421*(1-AG421))</f>
        <v/>
      </c>
      <c r="AI421" s="81">
        <f>IF(AN421="","",IF(Q421="Sin Factura",0,IFERROR(INDEX(Facturas_Odoo!$H:$H, MATCH(Q421, Facturas_Odoo!$B:$B, 0)), 0)*(1-AG421)))</f>
        <v/>
      </c>
      <c r="AJ421" s="81">
        <f>IF(AN421="","",_xlfn.LET(idVenta, AN421&amp;"",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21" s="81">
        <f>IF(AN421="","",AH421-AJ421)</f>
        <v/>
      </c>
      <c r="AL421" s="81">
        <f>IF(AN421="","",IF(Q421="Sin Factura","",AI421-AJ421))</f>
        <v/>
      </c>
      <c r="AM421" s="81">
        <f>IF(AN421="","",IF(Q421="Sin Factura",0,P421-IFERROR(INDEX(Facturas_Odoo!$H:$H, MATCH(Q421, Facturas_Odoo!$B:$B, 0)), 0)))</f>
        <v/>
      </c>
      <c r="AN421" s="79">
        <f>IF(AND(A421="", J421=""), "", IF(A421&lt;&gt;"", VALUE(MID(A421,2,LEN(A421))), AN420))</f>
        <v/>
      </c>
      <c r="AO421" s="79">
        <f>IF(AN421="","",IF(AD421=0,"OK",_xlfn.LET(monedaPago, IF(AA421="","USD",AA421), limitePermitido, IFERROR(VLOOKUP(monedaPago, Configuración!$A$2:$B$3, 2, FALSE), 0.15), IF(AD421&gt;limitePermitido, "ALERTA: EXCESO (" &amp; TEXT(limitePermitido, "0%") &amp; " máx)", "OK"))))</f>
        <v/>
      </c>
      <c r="AP421" s="79">
        <f>IF(AN421="","",IF(AE421=0,"OK",_xlfn.LET(fechaPago, Z421, fechaFactura, R421, diasCredito, IF(E421="Pago inmediato", 0, IFERROR(VALUE(MID(E421, 1, SEARCH(" ", E421)-1)),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21" s="79">
        <f>IF(AN421="","",IF(AND(N421&gt;0, AG421&gt;0), IF(Configuración!$K$2="NO", "ALERTA: DESCUENTO DOBLE NO PERMITIDO", "OK"), "OK"))</f>
        <v/>
      </c>
      <c r="AR421" s="79">
        <f>IF(AN421="","",IF(OR(AO421&lt;&gt;"OK", AP421&lt;&gt;"OK", AQ421&lt;&gt;"OK"), "⚠️ REVISAR", "OK"))</f>
        <v/>
      </c>
    </row>
    <row r="422">
      <c r="A422" s="79">
        <f>IF('Ordenes_Odoo'!A422="","",'Ordenes_Odoo'!A422)</f>
        <v/>
      </c>
      <c r="B422" s="80">
        <f>IF('Ordenes_Odoo'!B422="","",'Ordenes_Odoo'!B422)</f>
        <v/>
      </c>
      <c r="C422" s="79">
        <f>IF('Ordenes_Odoo'!C422="","",'Ordenes_Odoo'!C422)</f>
        <v/>
      </c>
      <c r="D422" s="79">
        <f>IF('Ordenes_Odoo'!D422="","",'Ordenes_Odoo'!D422)</f>
        <v/>
      </c>
      <c r="E422" s="79">
        <f>IF('Ordenes_Odoo'!E422="","",'Ordenes_Odoo'!E422)</f>
        <v/>
      </c>
      <c r="F422" s="79">
        <f>IF('Ordenes_Odoo'!F422="","",'Ordenes_Odoo'!F422)</f>
        <v/>
      </c>
      <c r="G422" s="79">
        <f>IF('Ordenes_Odoo'!G422="","",'Ordenes_Odoo'!G422)</f>
        <v/>
      </c>
      <c r="H422" s="79">
        <f>IF('Ordenes_Odoo'!H422="","",'Ordenes_Odoo'!H422)</f>
        <v/>
      </c>
      <c r="I422" s="79">
        <f>IF('Ordenes_Odoo'!I422="","",'Ordenes_Odoo'!I422)</f>
        <v/>
      </c>
      <c r="J422" s="79">
        <f>IF('Ordenes_Odoo'!J422="","",'Ordenes_Odoo'!J422)</f>
        <v/>
      </c>
      <c r="K422" s="81">
        <f>IF('Ordenes_Odoo'!K422="","",'Ordenes_Odoo'!K422)</f>
        <v/>
      </c>
      <c r="L422" s="81">
        <f>IF('Ordenes_Odoo'!L422="","",'Ordenes_Odoo'!L422)</f>
        <v/>
      </c>
      <c r="M422" s="79">
        <f>IF('Ordenes_Odoo'!M422="","",'Ordenes_Odoo'!M422)</f>
        <v/>
      </c>
      <c r="N422" s="79">
        <f>IF('Ordenes_Odoo'!N422="","",'Ordenes_Odoo'!N422)</f>
        <v/>
      </c>
      <c r="O422" s="81">
        <f>IF('Ordenes_Odoo'!O422="","",'Ordenes_Odoo'!O422)</f>
        <v/>
      </c>
      <c r="P422" s="81">
        <f>IF('Ordenes_Odoo'!P422="","",'Ordenes_Odoo'!P422)</f>
        <v/>
      </c>
      <c r="Q422" s="79">
        <f>IF(A422="","",IFERROR(INDEX(Facturas_Odoo!$B:$B, MATCH(A422, Facturas_Odoo!$D:$D, 0)), "Sin Factura"))</f>
        <v/>
      </c>
      <c r="R422" s="80">
        <f>IF(Q422="Sin Factura","",IFERROR(INDEX(Facturas_Odoo!$A:$A, MATCH(Q422, Facturas_Odoo!$B:$B, 0)), ""))</f>
        <v/>
      </c>
      <c r="S422" s="79">
        <f>IF(Q422="Sin Factura","",IFERROR(_xlfn.XLOOKUP(1, (Facturas_Odoo!$D:$D=A422) * (Facturas_Odoo!$K:$K=I422), Facturas_Odoo!$L:$L, ""), ""))</f>
        <v/>
      </c>
      <c r="T422" s="81">
        <f>IF(Q422="Sin Factura",0,IFERROR(_xlfn.XLOOKUP(1, (Facturas_Odoo!$D:$D=A422) * (Facturas_Odoo!$K:$K=I422), Facturas_Odoo!$M:$M, 0), 0))</f>
        <v/>
      </c>
      <c r="U422" s="79">
        <f>IF(Q422="Sin Factura",0,IFERROR(_xlfn.XLOOKUP(1, (Facturas_Odoo!$D:$D=A422) * (Facturas_Odoo!$K:$K=I422), Facturas_Odoo!$N:$N, 0), 0))</f>
        <v/>
      </c>
      <c r="V422" s="79">
        <f>IF(Q422="Sin Factura",0,IFERROR(_xlfn.XLOOKUP(1, (Facturas_Odoo!$D:$D=A422) * (Facturas_Odoo!$K:$K=I422), Facturas_Odoo!$O:$O, 0), 0))</f>
        <v/>
      </c>
      <c r="W422" s="81">
        <f>IF(Q422="Sin Factura",0,IFERROR(_xlfn.XLOOKUP(1, (Facturas_Odoo!$D:$D=A422) * (Facturas_Odoo!$K:$K=I422), Facturas_Odoo!$Q:$Q, 0), 0))</f>
        <v/>
      </c>
      <c r="X422" s="79">
        <f>IF(OR(Q422="Sin Factura",Q422=""),"",IFERROR(INDEX(Pagos_Odoo!$B:$B, MATCH(Q422, Pagos_Odoo!$I:$I, 0)), "Sin Pago"))</f>
        <v/>
      </c>
      <c r="Y422" s="79">
        <f>IF(X422="Sin Pago","",IFERROR(INDEX(Pagos_Odoo!$C:$C, MATCH(X422, Pagos_Odoo!$B:$B, 0)), ""))</f>
        <v/>
      </c>
      <c r="Z422" s="80">
        <f>IF(X422="Sin Pago","",IFERROR(INDEX(Pagos_Odoo!$A:$A, MATCH(X422, Pagos_Odoo!$B:$B, 0)), ""))</f>
        <v/>
      </c>
      <c r="AA422" s="79">
        <f>IF(X422="Sin Pago","",IFERROR(INDEX(Pagos_Odoo!$F:$F, MATCH(X422, Pagos_Odoo!$B:$B, 0)), ""))</f>
        <v/>
      </c>
      <c r="AB422" s="81">
        <f>IF(X422="Sin Pago",0,IFERROR(INDEX(Pagos_Odoo!$E:$E, MATCH(X422, Pagos_Odoo!$B:$B, 0)), 0))</f>
        <v/>
      </c>
      <c r="AC422" s="79">
        <f>IF(X422="Sin Pago","",IFERROR(INDEX(Pagos_Odoo!$G:$G, MATCH(X422, Pagos_Odoo!$B:$B, 0)), ""))</f>
        <v/>
      </c>
      <c r="AD422" s="82" t="n">
        <v>0</v>
      </c>
      <c r="AE422" s="82" t="n"/>
      <c r="AF422" s="82" t="n"/>
      <c r="AG422" s="82">
        <f>IF(AN422="","",AD422+AE422+AF422)</f>
        <v/>
      </c>
      <c r="AH422" s="81">
        <f>IF(AN422="","",P422*(1-AG422))</f>
        <v/>
      </c>
      <c r="AI422" s="81">
        <f>IF(AN422="","",IF(Q422="Sin Factura",0,IFERROR(INDEX(Facturas_Odoo!$H:$H, MATCH(Q422, Facturas_Odoo!$B:$B, 0)), 0)*(1-AG422)))</f>
        <v/>
      </c>
      <c r="AJ422" s="81">
        <f>IF(AN422="","",_xlfn.LET(idVenta, AN422&amp;"",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22" s="81">
        <f>IF(AN422="","",AH422-AJ422)</f>
        <v/>
      </c>
      <c r="AL422" s="81">
        <f>IF(AN422="","",IF(Q422="Sin Factura","",AI422-AJ422))</f>
        <v/>
      </c>
      <c r="AM422" s="81">
        <f>IF(AN422="","",IF(Q422="Sin Factura",0,P422-IFERROR(INDEX(Facturas_Odoo!$H:$H, MATCH(Q422, Facturas_Odoo!$B:$B, 0)), 0)))</f>
        <v/>
      </c>
      <c r="AN422" s="79">
        <f>IF(AND(A422="", J422=""), "", IF(A422&lt;&gt;"", VALUE(MID(A422,2,LEN(A422))), AN421))</f>
        <v/>
      </c>
      <c r="AO422" s="79">
        <f>IF(AN422="","",IF(AD422=0,"OK",_xlfn.LET(monedaPago, IF(AA422="","USD",AA422), limitePermitido, IFERROR(VLOOKUP(monedaPago, Configuración!$A$2:$B$3, 2, FALSE), 0.15), IF(AD422&gt;limitePermitido, "ALERTA: EXCESO (" &amp; TEXT(limitePermitido, "0%") &amp; " máx)", "OK"))))</f>
        <v/>
      </c>
      <c r="AP422" s="79">
        <f>IF(AN422="","",IF(AE422=0,"OK",_xlfn.LET(fechaPago, Z422, fechaFactura, R422, diasCredito, IF(E422="Pago inmediato", 0, IFERROR(VALUE(MID(E422, 1, SEARCH(" ", E422)-1)),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22" s="79">
        <f>IF(AN422="","",IF(AND(N422&gt;0, AG422&gt;0), IF(Configuración!$K$2="NO", "ALERTA: DESCUENTO DOBLE NO PERMITIDO", "OK"), "OK"))</f>
        <v/>
      </c>
      <c r="AR422" s="79">
        <f>IF(AN422="","",IF(OR(AO422&lt;&gt;"OK", AP422&lt;&gt;"OK", AQ422&lt;&gt;"OK"), "⚠️ REVISAR", "OK"))</f>
        <v/>
      </c>
    </row>
    <row r="423">
      <c r="A423" s="79">
        <f>IF('Ordenes_Odoo'!A423="","",'Ordenes_Odoo'!A423)</f>
        <v/>
      </c>
      <c r="B423" s="80">
        <f>IF('Ordenes_Odoo'!B423="","",'Ordenes_Odoo'!B423)</f>
        <v/>
      </c>
      <c r="C423" s="79">
        <f>IF('Ordenes_Odoo'!C423="","",'Ordenes_Odoo'!C423)</f>
        <v/>
      </c>
      <c r="D423" s="79">
        <f>IF('Ordenes_Odoo'!D423="","",'Ordenes_Odoo'!D423)</f>
        <v/>
      </c>
      <c r="E423" s="79">
        <f>IF('Ordenes_Odoo'!E423="","",'Ordenes_Odoo'!E423)</f>
        <v/>
      </c>
      <c r="F423" s="79">
        <f>IF('Ordenes_Odoo'!F423="","",'Ordenes_Odoo'!F423)</f>
        <v/>
      </c>
      <c r="G423" s="79">
        <f>IF('Ordenes_Odoo'!G423="","",'Ordenes_Odoo'!G423)</f>
        <v/>
      </c>
      <c r="H423" s="79">
        <f>IF('Ordenes_Odoo'!H423="","",'Ordenes_Odoo'!H423)</f>
        <v/>
      </c>
      <c r="I423" s="79">
        <f>IF('Ordenes_Odoo'!I423="","",'Ordenes_Odoo'!I423)</f>
        <v/>
      </c>
      <c r="J423" s="79">
        <f>IF('Ordenes_Odoo'!J423="","",'Ordenes_Odoo'!J423)</f>
        <v/>
      </c>
      <c r="K423" s="81">
        <f>IF('Ordenes_Odoo'!K423="","",'Ordenes_Odoo'!K423)</f>
        <v/>
      </c>
      <c r="L423" s="81">
        <f>IF('Ordenes_Odoo'!L423="","",'Ordenes_Odoo'!L423)</f>
        <v/>
      </c>
      <c r="M423" s="79">
        <f>IF('Ordenes_Odoo'!M423="","",'Ordenes_Odoo'!M423)</f>
        <v/>
      </c>
      <c r="N423" s="79">
        <f>IF('Ordenes_Odoo'!N423="","",'Ordenes_Odoo'!N423)</f>
        <v/>
      </c>
      <c r="O423" s="81">
        <f>IF('Ordenes_Odoo'!O423="","",'Ordenes_Odoo'!O423)</f>
        <v/>
      </c>
      <c r="P423" s="81">
        <f>IF('Ordenes_Odoo'!P423="","",'Ordenes_Odoo'!P423)</f>
        <v/>
      </c>
      <c r="Q423" s="79">
        <f>IF(A423="","",IFERROR(INDEX(Facturas_Odoo!$B:$B, MATCH(A423, Facturas_Odoo!$D:$D, 0)), "Sin Factura"))</f>
        <v/>
      </c>
      <c r="R423" s="80">
        <f>IF(Q423="Sin Factura","",IFERROR(INDEX(Facturas_Odoo!$A:$A, MATCH(Q423, Facturas_Odoo!$B:$B, 0)), ""))</f>
        <v/>
      </c>
      <c r="S423" s="79">
        <f>IF(Q423="Sin Factura","",IFERROR(_xlfn.XLOOKUP(1, (Facturas_Odoo!$D:$D=A423) * (Facturas_Odoo!$K:$K=I423), Facturas_Odoo!$L:$L, ""), ""))</f>
        <v/>
      </c>
      <c r="T423" s="81">
        <f>IF(Q423="Sin Factura",0,IFERROR(_xlfn.XLOOKUP(1, (Facturas_Odoo!$D:$D=A423) * (Facturas_Odoo!$K:$K=I423), Facturas_Odoo!$M:$M, 0), 0))</f>
        <v/>
      </c>
      <c r="U423" s="79">
        <f>IF(Q423="Sin Factura",0,IFERROR(_xlfn.XLOOKUP(1, (Facturas_Odoo!$D:$D=A423) * (Facturas_Odoo!$K:$K=I423), Facturas_Odoo!$N:$N, 0), 0))</f>
        <v/>
      </c>
      <c r="V423" s="79">
        <f>IF(Q423="Sin Factura",0,IFERROR(_xlfn.XLOOKUP(1, (Facturas_Odoo!$D:$D=A423) * (Facturas_Odoo!$K:$K=I423), Facturas_Odoo!$O:$O, 0), 0))</f>
        <v/>
      </c>
      <c r="W423" s="81">
        <f>IF(Q423="Sin Factura",0,IFERROR(_xlfn.XLOOKUP(1, (Facturas_Odoo!$D:$D=A423) * (Facturas_Odoo!$K:$K=I423), Facturas_Odoo!$Q:$Q, 0), 0))</f>
        <v/>
      </c>
      <c r="X423" s="79">
        <f>IF(OR(Q423="Sin Factura",Q423=""),"",IFERROR(INDEX(Pagos_Odoo!$B:$B, MATCH(Q423, Pagos_Odoo!$I:$I, 0)), "Sin Pago"))</f>
        <v/>
      </c>
      <c r="Y423" s="79">
        <f>IF(X423="Sin Pago","",IFERROR(INDEX(Pagos_Odoo!$C:$C, MATCH(X423, Pagos_Odoo!$B:$B, 0)), ""))</f>
        <v/>
      </c>
      <c r="Z423" s="80">
        <f>IF(X423="Sin Pago","",IFERROR(INDEX(Pagos_Odoo!$A:$A, MATCH(X423, Pagos_Odoo!$B:$B, 0)), ""))</f>
        <v/>
      </c>
      <c r="AA423" s="79">
        <f>IF(X423="Sin Pago","",IFERROR(INDEX(Pagos_Odoo!$F:$F, MATCH(X423, Pagos_Odoo!$B:$B, 0)), ""))</f>
        <v/>
      </c>
      <c r="AB423" s="81">
        <f>IF(X423="Sin Pago",0,IFERROR(INDEX(Pagos_Odoo!$E:$E, MATCH(X423, Pagos_Odoo!$B:$B, 0)), 0))</f>
        <v/>
      </c>
      <c r="AC423" s="79">
        <f>IF(X423="Sin Pago","",IFERROR(INDEX(Pagos_Odoo!$G:$G, MATCH(X423, Pagos_Odoo!$B:$B, 0)), ""))</f>
        <v/>
      </c>
      <c r="AD423" s="82" t="n">
        <v>0</v>
      </c>
      <c r="AE423" s="82" t="n"/>
      <c r="AF423" s="82" t="n"/>
      <c r="AG423" s="82">
        <f>IF(AN423="","",AD423+AE423+AF423)</f>
        <v/>
      </c>
      <c r="AH423" s="81">
        <f>IF(AN423="","",P423*(1-AG423))</f>
        <v/>
      </c>
      <c r="AI423" s="81">
        <f>IF(AN423="","",IF(Q423="Sin Factura",0,IFERROR(INDEX(Facturas_Odoo!$H:$H, MATCH(Q423, Facturas_Odoo!$B:$B, 0)), 0)*(1-AG423)))</f>
        <v/>
      </c>
      <c r="AJ423" s="81">
        <f>IF(AN423="","",_xlfn.LET(idVenta, AN423&amp;"",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23" s="81">
        <f>IF(AN423="","",AH423-AJ423)</f>
        <v/>
      </c>
      <c r="AL423" s="81">
        <f>IF(AN423="","",IF(Q423="Sin Factura","",AI423-AJ423))</f>
        <v/>
      </c>
      <c r="AM423" s="81">
        <f>IF(AN423="","",IF(Q423="Sin Factura",0,P423-IFERROR(INDEX(Facturas_Odoo!$H:$H, MATCH(Q423, Facturas_Odoo!$B:$B, 0)), 0)))</f>
        <v/>
      </c>
      <c r="AN423" s="79">
        <f>IF(AND(A423="", J423=""), "", IF(A423&lt;&gt;"", VALUE(MID(A423,2,LEN(A423))), AN422))</f>
        <v/>
      </c>
      <c r="AO423" s="79">
        <f>IF(AN423="","",IF(AD423=0,"OK",_xlfn.LET(monedaPago, IF(AA423="","USD",AA423), limitePermitido, IFERROR(VLOOKUP(monedaPago, Configuración!$A$2:$B$3, 2, FALSE), 0.15), IF(AD423&gt;limitePermitido, "ALERTA: EXCESO (" &amp; TEXT(limitePermitido, "0%") &amp; " máx)", "OK"))))</f>
        <v/>
      </c>
      <c r="AP423" s="79">
        <f>IF(AN423="","",IF(AE423=0,"OK",_xlfn.LET(fechaPago, Z423, fechaFactura, R423, diasCredito, IF(E423="Pago inmediato", 0, IFERROR(VALUE(MID(E423, 1, SEARCH(" ", E423)-1)),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23" s="79">
        <f>IF(AN423="","",IF(AND(N423&gt;0, AG423&gt;0), IF(Configuración!$K$2="NO", "ALERTA: DESCUENTO DOBLE NO PERMITIDO", "OK"), "OK"))</f>
        <v/>
      </c>
      <c r="AR423" s="79">
        <f>IF(AN423="","",IF(OR(AO423&lt;&gt;"OK", AP423&lt;&gt;"OK", AQ423&lt;&gt;"OK"), "⚠️ REVISAR", "OK"))</f>
        <v/>
      </c>
    </row>
    <row r="424">
      <c r="A424" s="79">
        <f>IF('Ordenes_Odoo'!A424="","",'Ordenes_Odoo'!A424)</f>
        <v/>
      </c>
      <c r="B424" s="80">
        <f>IF('Ordenes_Odoo'!B424="","",'Ordenes_Odoo'!B424)</f>
        <v/>
      </c>
      <c r="C424" s="79">
        <f>IF('Ordenes_Odoo'!C424="","",'Ordenes_Odoo'!C424)</f>
        <v/>
      </c>
      <c r="D424" s="79">
        <f>IF('Ordenes_Odoo'!D424="","",'Ordenes_Odoo'!D424)</f>
        <v/>
      </c>
      <c r="E424" s="79">
        <f>IF('Ordenes_Odoo'!E424="","",'Ordenes_Odoo'!E424)</f>
        <v/>
      </c>
      <c r="F424" s="79">
        <f>IF('Ordenes_Odoo'!F424="","",'Ordenes_Odoo'!F424)</f>
        <v/>
      </c>
      <c r="G424" s="79">
        <f>IF('Ordenes_Odoo'!G424="","",'Ordenes_Odoo'!G424)</f>
        <v/>
      </c>
      <c r="H424" s="79">
        <f>IF('Ordenes_Odoo'!H424="","",'Ordenes_Odoo'!H424)</f>
        <v/>
      </c>
      <c r="I424" s="79">
        <f>IF('Ordenes_Odoo'!I424="","",'Ordenes_Odoo'!I424)</f>
        <v/>
      </c>
      <c r="J424" s="79">
        <f>IF('Ordenes_Odoo'!J424="","",'Ordenes_Odoo'!J424)</f>
        <v/>
      </c>
      <c r="K424" s="81">
        <f>IF('Ordenes_Odoo'!K424="","",'Ordenes_Odoo'!K424)</f>
        <v/>
      </c>
      <c r="L424" s="81">
        <f>IF('Ordenes_Odoo'!L424="","",'Ordenes_Odoo'!L424)</f>
        <v/>
      </c>
      <c r="M424" s="79">
        <f>IF('Ordenes_Odoo'!M424="","",'Ordenes_Odoo'!M424)</f>
        <v/>
      </c>
      <c r="N424" s="79">
        <f>IF('Ordenes_Odoo'!N424="","",'Ordenes_Odoo'!N424)</f>
        <v/>
      </c>
      <c r="O424" s="81">
        <f>IF('Ordenes_Odoo'!O424="","",'Ordenes_Odoo'!O424)</f>
        <v/>
      </c>
      <c r="P424" s="81">
        <f>IF('Ordenes_Odoo'!P424="","",'Ordenes_Odoo'!P424)</f>
        <v/>
      </c>
      <c r="Q424" s="79">
        <f>IF(A424="","",IFERROR(INDEX(Facturas_Odoo!$B:$B, MATCH(A424, Facturas_Odoo!$D:$D, 0)), "Sin Factura"))</f>
        <v/>
      </c>
      <c r="R424" s="80">
        <f>IF(Q424="Sin Factura","",IFERROR(INDEX(Facturas_Odoo!$A:$A, MATCH(Q424, Facturas_Odoo!$B:$B, 0)), ""))</f>
        <v/>
      </c>
      <c r="S424" s="79">
        <f>IF(Q424="Sin Factura","",IFERROR(_xlfn.XLOOKUP(1, (Facturas_Odoo!$D:$D=A424) * (Facturas_Odoo!$K:$K=I424), Facturas_Odoo!$L:$L, ""), ""))</f>
        <v/>
      </c>
      <c r="T424" s="81">
        <f>IF(Q424="Sin Factura",0,IFERROR(_xlfn.XLOOKUP(1, (Facturas_Odoo!$D:$D=A424) * (Facturas_Odoo!$K:$K=I424), Facturas_Odoo!$M:$M, 0), 0))</f>
        <v/>
      </c>
      <c r="U424" s="79">
        <f>IF(Q424="Sin Factura",0,IFERROR(_xlfn.XLOOKUP(1, (Facturas_Odoo!$D:$D=A424) * (Facturas_Odoo!$K:$K=I424), Facturas_Odoo!$N:$N, 0), 0))</f>
        <v/>
      </c>
      <c r="V424" s="79">
        <f>IF(Q424="Sin Factura",0,IFERROR(_xlfn.XLOOKUP(1, (Facturas_Odoo!$D:$D=A424) * (Facturas_Odoo!$K:$K=I424), Facturas_Odoo!$O:$O, 0), 0))</f>
        <v/>
      </c>
      <c r="W424" s="81">
        <f>IF(Q424="Sin Factura",0,IFERROR(_xlfn.XLOOKUP(1, (Facturas_Odoo!$D:$D=A424) * (Facturas_Odoo!$K:$K=I424), Facturas_Odoo!$Q:$Q, 0), 0))</f>
        <v/>
      </c>
      <c r="X424" s="79">
        <f>IF(OR(Q424="Sin Factura",Q424=""),"",IFERROR(INDEX(Pagos_Odoo!$B:$B, MATCH(Q424, Pagos_Odoo!$I:$I, 0)), "Sin Pago"))</f>
        <v/>
      </c>
      <c r="Y424" s="79">
        <f>IF(X424="Sin Pago","",IFERROR(INDEX(Pagos_Odoo!$C:$C, MATCH(X424, Pagos_Odoo!$B:$B, 0)), ""))</f>
        <v/>
      </c>
      <c r="Z424" s="80">
        <f>IF(X424="Sin Pago","",IFERROR(INDEX(Pagos_Odoo!$A:$A, MATCH(X424, Pagos_Odoo!$B:$B, 0)), ""))</f>
        <v/>
      </c>
      <c r="AA424" s="79">
        <f>IF(X424="Sin Pago","",IFERROR(INDEX(Pagos_Odoo!$F:$F, MATCH(X424, Pagos_Odoo!$B:$B, 0)), ""))</f>
        <v/>
      </c>
      <c r="AB424" s="81">
        <f>IF(X424="Sin Pago",0,IFERROR(INDEX(Pagos_Odoo!$E:$E, MATCH(X424, Pagos_Odoo!$B:$B, 0)), 0))</f>
        <v/>
      </c>
      <c r="AC424" s="79">
        <f>IF(X424="Sin Pago","",IFERROR(INDEX(Pagos_Odoo!$G:$G, MATCH(X424, Pagos_Odoo!$B:$B, 0)), ""))</f>
        <v/>
      </c>
      <c r="AD424" s="82" t="n">
        <v>0</v>
      </c>
      <c r="AE424" s="82" t="n"/>
      <c r="AF424" s="82" t="n"/>
      <c r="AG424" s="82">
        <f>IF(AN424="","",AD424+AE424+AF424)</f>
        <v/>
      </c>
      <c r="AH424" s="81">
        <f>IF(AN424="","",P424*(1-AG424))</f>
        <v/>
      </c>
      <c r="AI424" s="81">
        <f>IF(AN424="","",IF(Q424="Sin Factura",0,IFERROR(INDEX(Facturas_Odoo!$H:$H, MATCH(Q424, Facturas_Odoo!$B:$B, 0)), 0)*(1-AG424)))</f>
        <v/>
      </c>
      <c r="AJ424" s="81">
        <f>IF(AN424="","",_xlfn.LET(idVenta, AN424&amp;"",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24" s="81">
        <f>IF(AN424="","",AH424-AJ424)</f>
        <v/>
      </c>
      <c r="AL424" s="81">
        <f>IF(AN424="","",IF(Q424="Sin Factura","",AI424-AJ424))</f>
        <v/>
      </c>
      <c r="AM424" s="81">
        <f>IF(AN424="","",IF(Q424="Sin Factura",0,P424-IFERROR(INDEX(Facturas_Odoo!$H:$H, MATCH(Q424, Facturas_Odoo!$B:$B, 0)), 0)))</f>
        <v/>
      </c>
      <c r="AN424" s="79">
        <f>IF(AND(A424="", J424=""), "", IF(A424&lt;&gt;"", VALUE(MID(A424,2,LEN(A424))), AN423))</f>
        <v/>
      </c>
      <c r="AO424" s="79">
        <f>IF(AN424="","",IF(AD424=0,"OK",_xlfn.LET(monedaPago, IF(AA424="","USD",AA424), limitePermitido, IFERROR(VLOOKUP(monedaPago, Configuración!$A$2:$B$3, 2, FALSE), 0.15), IF(AD424&gt;limitePermitido, "ALERTA: EXCESO (" &amp; TEXT(limitePermitido, "0%") &amp; " máx)", "OK"))))</f>
        <v/>
      </c>
      <c r="AP424" s="79">
        <f>IF(AN424="","",IF(AE424=0,"OK",_xlfn.LET(fechaPago, Z424, fechaFactura, R424, diasCredito, IF(E424="Pago inmediato", 0, IFERROR(VALUE(MID(E424, 1, SEARCH(" ", E424)-1)),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24" s="79">
        <f>IF(AN424="","",IF(AND(N424&gt;0, AG424&gt;0), IF(Configuración!$K$2="NO", "ALERTA: DESCUENTO DOBLE NO PERMITIDO", "OK"), "OK"))</f>
        <v/>
      </c>
      <c r="AR424" s="79">
        <f>IF(AN424="","",IF(OR(AO424&lt;&gt;"OK", AP424&lt;&gt;"OK", AQ424&lt;&gt;"OK"), "⚠️ REVISAR", "OK"))</f>
        <v/>
      </c>
    </row>
    <row r="425">
      <c r="A425" s="79">
        <f>IF('Ordenes_Odoo'!A425="","",'Ordenes_Odoo'!A425)</f>
        <v/>
      </c>
      <c r="B425" s="80">
        <f>IF('Ordenes_Odoo'!B425="","",'Ordenes_Odoo'!B425)</f>
        <v/>
      </c>
      <c r="C425" s="79">
        <f>IF('Ordenes_Odoo'!C425="","",'Ordenes_Odoo'!C425)</f>
        <v/>
      </c>
      <c r="D425" s="79">
        <f>IF('Ordenes_Odoo'!D425="","",'Ordenes_Odoo'!D425)</f>
        <v/>
      </c>
      <c r="E425" s="79">
        <f>IF('Ordenes_Odoo'!E425="","",'Ordenes_Odoo'!E425)</f>
        <v/>
      </c>
      <c r="F425" s="79">
        <f>IF('Ordenes_Odoo'!F425="","",'Ordenes_Odoo'!F425)</f>
        <v/>
      </c>
      <c r="G425" s="79">
        <f>IF('Ordenes_Odoo'!G425="","",'Ordenes_Odoo'!G425)</f>
        <v/>
      </c>
      <c r="H425" s="79">
        <f>IF('Ordenes_Odoo'!H425="","",'Ordenes_Odoo'!H425)</f>
        <v/>
      </c>
      <c r="I425" s="79">
        <f>IF('Ordenes_Odoo'!I425="","",'Ordenes_Odoo'!I425)</f>
        <v/>
      </c>
      <c r="J425" s="79">
        <f>IF('Ordenes_Odoo'!J425="","",'Ordenes_Odoo'!J425)</f>
        <v/>
      </c>
      <c r="K425" s="81">
        <f>IF('Ordenes_Odoo'!K425="","",'Ordenes_Odoo'!K425)</f>
        <v/>
      </c>
      <c r="L425" s="81">
        <f>IF('Ordenes_Odoo'!L425="","",'Ordenes_Odoo'!L425)</f>
        <v/>
      </c>
      <c r="M425" s="79">
        <f>IF('Ordenes_Odoo'!M425="","",'Ordenes_Odoo'!M425)</f>
        <v/>
      </c>
      <c r="N425" s="79">
        <f>IF('Ordenes_Odoo'!N425="","",'Ordenes_Odoo'!N425)</f>
        <v/>
      </c>
      <c r="O425" s="81">
        <f>IF('Ordenes_Odoo'!O425="","",'Ordenes_Odoo'!O425)</f>
        <v/>
      </c>
      <c r="P425" s="81">
        <f>IF('Ordenes_Odoo'!P425="","",'Ordenes_Odoo'!P425)</f>
        <v/>
      </c>
      <c r="Q425" s="79">
        <f>IF(A425="","",IFERROR(INDEX(Facturas_Odoo!$B:$B, MATCH(A425, Facturas_Odoo!$D:$D, 0)), "Sin Factura"))</f>
        <v/>
      </c>
      <c r="R425" s="80">
        <f>IF(Q425="Sin Factura","",IFERROR(INDEX(Facturas_Odoo!$A:$A, MATCH(Q425, Facturas_Odoo!$B:$B, 0)), ""))</f>
        <v/>
      </c>
      <c r="S425" s="79">
        <f>IF(Q425="Sin Factura","",IFERROR(_xlfn.XLOOKUP(1, (Facturas_Odoo!$D:$D=A425) * (Facturas_Odoo!$K:$K=I425), Facturas_Odoo!$L:$L, ""), ""))</f>
        <v/>
      </c>
      <c r="T425" s="81">
        <f>IF(Q425="Sin Factura",0,IFERROR(_xlfn.XLOOKUP(1, (Facturas_Odoo!$D:$D=A425) * (Facturas_Odoo!$K:$K=I425), Facturas_Odoo!$M:$M, 0), 0))</f>
        <v/>
      </c>
      <c r="U425" s="79">
        <f>IF(Q425="Sin Factura",0,IFERROR(_xlfn.XLOOKUP(1, (Facturas_Odoo!$D:$D=A425) * (Facturas_Odoo!$K:$K=I425), Facturas_Odoo!$N:$N, 0), 0))</f>
        <v/>
      </c>
      <c r="V425" s="79">
        <f>IF(Q425="Sin Factura",0,IFERROR(_xlfn.XLOOKUP(1, (Facturas_Odoo!$D:$D=A425) * (Facturas_Odoo!$K:$K=I425), Facturas_Odoo!$O:$O, 0), 0))</f>
        <v/>
      </c>
      <c r="W425" s="81">
        <f>IF(Q425="Sin Factura",0,IFERROR(_xlfn.XLOOKUP(1, (Facturas_Odoo!$D:$D=A425) * (Facturas_Odoo!$K:$K=I425), Facturas_Odoo!$Q:$Q, 0), 0))</f>
        <v/>
      </c>
      <c r="X425" s="79">
        <f>IF(OR(Q425="Sin Factura",Q425=""),"",IFERROR(INDEX(Pagos_Odoo!$B:$B, MATCH(Q425, Pagos_Odoo!$I:$I, 0)), "Sin Pago"))</f>
        <v/>
      </c>
      <c r="Y425" s="79">
        <f>IF(X425="Sin Pago","",IFERROR(INDEX(Pagos_Odoo!$C:$C, MATCH(X425, Pagos_Odoo!$B:$B, 0)), ""))</f>
        <v/>
      </c>
      <c r="Z425" s="80">
        <f>IF(X425="Sin Pago","",IFERROR(INDEX(Pagos_Odoo!$A:$A, MATCH(X425, Pagos_Odoo!$B:$B, 0)), ""))</f>
        <v/>
      </c>
      <c r="AA425" s="79">
        <f>IF(X425="Sin Pago","",IFERROR(INDEX(Pagos_Odoo!$F:$F, MATCH(X425, Pagos_Odoo!$B:$B, 0)), ""))</f>
        <v/>
      </c>
      <c r="AB425" s="81">
        <f>IF(X425="Sin Pago",0,IFERROR(INDEX(Pagos_Odoo!$E:$E, MATCH(X425, Pagos_Odoo!$B:$B, 0)), 0))</f>
        <v/>
      </c>
      <c r="AC425" s="79">
        <f>IF(X425="Sin Pago","",IFERROR(INDEX(Pagos_Odoo!$G:$G, MATCH(X425, Pagos_Odoo!$B:$B, 0)), ""))</f>
        <v/>
      </c>
      <c r="AD425" s="82" t="n">
        <v>0</v>
      </c>
      <c r="AE425" s="82" t="n"/>
      <c r="AF425" s="82" t="n"/>
      <c r="AG425" s="82">
        <f>IF(AN425="","",AD425+AE425+AF425)</f>
        <v/>
      </c>
      <c r="AH425" s="81">
        <f>IF(AN425="","",P425*(1-AG425))</f>
        <v/>
      </c>
      <c r="AI425" s="81">
        <f>IF(AN425="","",IF(Q425="Sin Factura",0,IFERROR(INDEX(Facturas_Odoo!$H:$H, MATCH(Q425, Facturas_Odoo!$B:$B, 0)), 0)*(1-AG425)))</f>
        <v/>
      </c>
      <c r="AJ425" s="81">
        <f>IF(AN425="","",_xlfn.LET(idVenta, AN425&amp;"",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25" s="81">
        <f>IF(AN425="","",AH425-AJ425)</f>
        <v/>
      </c>
      <c r="AL425" s="81">
        <f>IF(AN425="","",IF(Q425="Sin Factura","",AI425-AJ425))</f>
        <v/>
      </c>
      <c r="AM425" s="81">
        <f>IF(AN425="","",IF(Q425="Sin Factura",0,P425-IFERROR(INDEX(Facturas_Odoo!$H:$H, MATCH(Q425, Facturas_Odoo!$B:$B, 0)), 0)))</f>
        <v/>
      </c>
      <c r="AN425" s="79">
        <f>IF(AND(A425="", J425=""), "", IF(A425&lt;&gt;"", VALUE(MID(A425,2,LEN(A425))), AN424))</f>
        <v/>
      </c>
      <c r="AO425" s="79">
        <f>IF(AN425="","",IF(AD425=0,"OK",_xlfn.LET(monedaPago, IF(AA425="","USD",AA425), limitePermitido, IFERROR(VLOOKUP(monedaPago, Configuración!$A$2:$B$3, 2, FALSE), 0.15), IF(AD425&gt;limitePermitido, "ALERTA: EXCESO (" &amp; TEXT(limitePermitido, "0%") &amp; " máx)", "OK"))))</f>
        <v/>
      </c>
      <c r="AP425" s="79">
        <f>IF(AN425="","",IF(AE425=0,"OK",_xlfn.LET(fechaPago, Z425, fechaFactura, R425, diasCredito, IF(E425="Pago inmediato", 0, IFERROR(VALUE(MID(E425, 1, SEARCH(" ", E425)-1)),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25" s="79">
        <f>IF(AN425="","",IF(AND(N425&gt;0, AG425&gt;0), IF(Configuración!$K$2="NO", "ALERTA: DESCUENTO DOBLE NO PERMITIDO", "OK"), "OK"))</f>
        <v/>
      </c>
      <c r="AR425" s="79">
        <f>IF(AN425="","",IF(OR(AO425&lt;&gt;"OK", AP425&lt;&gt;"OK", AQ425&lt;&gt;"OK"), "⚠️ REVISAR", "OK"))</f>
        <v/>
      </c>
    </row>
    <row r="426">
      <c r="A426" s="79">
        <f>IF('Ordenes_Odoo'!A426="","",'Ordenes_Odoo'!A426)</f>
        <v/>
      </c>
      <c r="B426" s="80">
        <f>IF('Ordenes_Odoo'!B426="","",'Ordenes_Odoo'!B426)</f>
        <v/>
      </c>
      <c r="C426" s="79">
        <f>IF('Ordenes_Odoo'!C426="","",'Ordenes_Odoo'!C426)</f>
        <v/>
      </c>
      <c r="D426" s="79">
        <f>IF('Ordenes_Odoo'!D426="","",'Ordenes_Odoo'!D426)</f>
        <v/>
      </c>
      <c r="E426" s="79">
        <f>IF('Ordenes_Odoo'!E426="","",'Ordenes_Odoo'!E426)</f>
        <v/>
      </c>
      <c r="F426" s="79">
        <f>IF('Ordenes_Odoo'!F426="","",'Ordenes_Odoo'!F426)</f>
        <v/>
      </c>
      <c r="G426" s="79">
        <f>IF('Ordenes_Odoo'!G426="","",'Ordenes_Odoo'!G426)</f>
        <v/>
      </c>
      <c r="H426" s="79">
        <f>IF('Ordenes_Odoo'!H426="","",'Ordenes_Odoo'!H426)</f>
        <v/>
      </c>
      <c r="I426" s="79">
        <f>IF('Ordenes_Odoo'!I426="","",'Ordenes_Odoo'!I426)</f>
        <v/>
      </c>
      <c r="J426" s="79">
        <f>IF('Ordenes_Odoo'!J426="","",'Ordenes_Odoo'!J426)</f>
        <v/>
      </c>
      <c r="K426" s="81">
        <f>IF('Ordenes_Odoo'!K426="","",'Ordenes_Odoo'!K426)</f>
        <v/>
      </c>
      <c r="L426" s="81">
        <f>IF('Ordenes_Odoo'!L426="","",'Ordenes_Odoo'!L426)</f>
        <v/>
      </c>
      <c r="M426" s="79">
        <f>IF('Ordenes_Odoo'!M426="","",'Ordenes_Odoo'!M426)</f>
        <v/>
      </c>
      <c r="N426" s="79">
        <f>IF('Ordenes_Odoo'!N426="","",'Ordenes_Odoo'!N426)</f>
        <v/>
      </c>
      <c r="O426" s="81">
        <f>IF('Ordenes_Odoo'!O426="","",'Ordenes_Odoo'!O426)</f>
        <v/>
      </c>
      <c r="P426" s="81">
        <f>IF('Ordenes_Odoo'!P426="","",'Ordenes_Odoo'!P426)</f>
        <v/>
      </c>
      <c r="Q426" s="79">
        <f>IF(A426="","",IFERROR(INDEX(Facturas_Odoo!$B:$B, MATCH(A426, Facturas_Odoo!$D:$D, 0)), "Sin Factura"))</f>
        <v/>
      </c>
      <c r="R426" s="80">
        <f>IF(Q426="Sin Factura","",IFERROR(INDEX(Facturas_Odoo!$A:$A, MATCH(Q426, Facturas_Odoo!$B:$B, 0)), ""))</f>
        <v/>
      </c>
      <c r="S426" s="79">
        <f>IF(Q426="Sin Factura","",IFERROR(_xlfn.XLOOKUP(1, (Facturas_Odoo!$D:$D=A426) * (Facturas_Odoo!$K:$K=I426), Facturas_Odoo!$L:$L, ""), ""))</f>
        <v/>
      </c>
      <c r="T426" s="81">
        <f>IF(Q426="Sin Factura",0,IFERROR(_xlfn.XLOOKUP(1, (Facturas_Odoo!$D:$D=A426) * (Facturas_Odoo!$K:$K=I426), Facturas_Odoo!$M:$M, 0), 0))</f>
        <v/>
      </c>
      <c r="U426" s="79">
        <f>IF(Q426="Sin Factura",0,IFERROR(_xlfn.XLOOKUP(1, (Facturas_Odoo!$D:$D=A426) * (Facturas_Odoo!$K:$K=I426), Facturas_Odoo!$N:$N, 0), 0))</f>
        <v/>
      </c>
      <c r="V426" s="79">
        <f>IF(Q426="Sin Factura",0,IFERROR(_xlfn.XLOOKUP(1, (Facturas_Odoo!$D:$D=A426) * (Facturas_Odoo!$K:$K=I426), Facturas_Odoo!$O:$O, 0), 0))</f>
        <v/>
      </c>
      <c r="W426" s="81">
        <f>IF(Q426="Sin Factura",0,IFERROR(_xlfn.XLOOKUP(1, (Facturas_Odoo!$D:$D=A426) * (Facturas_Odoo!$K:$K=I426), Facturas_Odoo!$Q:$Q, 0), 0))</f>
        <v/>
      </c>
      <c r="X426" s="79">
        <f>IF(OR(Q426="Sin Factura",Q426=""),"",IFERROR(INDEX(Pagos_Odoo!$B:$B, MATCH(Q426, Pagos_Odoo!$I:$I, 0)), "Sin Pago"))</f>
        <v/>
      </c>
      <c r="Y426" s="79">
        <f>IF(X426="Sin Pago","",IFERROR(INDEX(Pagos_Odoo!$C:$C, MATCH(X426, Pagos_Odoo!$B:$B, 0)), ""))</f>
        <v/>
      </c>
      <c r="Z426" s="80">
        <f>IF(X426="Sin Pago","",IFERROR(INDEX(Pagos_Odoo!$A:$A, MATCH(X426, Pagos_Odoo!$B:$B, 0)), ""))</f>
        <v/>
      </c>
      <c r="AA426" s="79">
        <f>IF(X426="Sin Pago","",IFERROR(INDEX(Pagos_Odoo!$F:$F, MATCH(X426, Pagos_Odoo!$B:$B, 0)), ""))</f>
        <v/>
      </c>
      <c r="AB426" s="81">
        <f>IF(X426="Sin Pago",0,IFERROR(INDEX(Pagos_Odoo!$E:$E, MATCH(X426, Pagos_Odoo!$B:$B, 0)), 0))</f>
        <v/>
      </c>
      <c r="AC426" s="79">
        <f>IF(X426="Sin Pago","",IFERROR(INDEX(Pagos_Odoo!$G:$G, MATCH(X426, Pagos_Odoo!$B:$B, 0)), ""))</f>
        <v/>
      </c>
      <c r="AD426" s="82" t="n">
        <v>0</v>
      </c>
      <c r="AE426" s="82" t="n"/>
      <c r="AF426" s="82" t="n"/>
      <c r="AG426" s="82">
        <f>IF(AN426="","",AD426+AE426+AF426)</f>
        <v/>
      </c>
      <c r="AH426" s="81">
        <f>IF(AN426="","",P426*(1-AG426))</f>
        <v/>
      </c>
      <c r="AI426" s="81">
        <f>IF(AN426="","",IF(Q426="Sin Factura",0,IFERROR(INDEX(Facturas_Odoo!$H:$H, MATCH(Q426, Facturas_Odoo!$B:$B, 0)), 0)*(1-AG426)))</f>
        <v/>
      </c>
      <c r="AJ426" s="81">
        <f>IF(AN426="","",_xlfn.LET(idVenta, AN426&amp;"",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26" s="81">
        <f>IF(AN426="","",AH426-AJ426)</f>
        <v/>
      </c>
      <c r="AL426" s="81">
        <f>IF(AN426="","",IF(Q426="Sin Factura","",AI426-AJ426))</f>
        <v/>
      </c>
      <c r="AM426" s="81">
        <f>IF(AN426="","",IF(Q426="Sin Factura",0,P426-IFERROR(INDEX(Facturas_Odoo!$H:$H, MATCH(Q426, Facturas_Odoo!$B:$B, 0)), 0)))</f>
        <v/>
      </c>
      <c r="AN426" s="79">
        <f>IF(AND(A426="", J426=""), "", IF(A426&lt;&gt;"", VALUE(MID(A426,2,LEN(A426))), AN425))</f>
        <v/>
      </c>
      <c r="AO426" s="79">
        <f>IF(AN426="","",IF(AD426=0,"OK",_xlfn.LET(monedaPago, IF(AA426="","USD",AA426), limitePermitido, IFERROR(VLOOKUP(monedaPago, Configuración!$A$2:$B$3, 2, FALSE), 0.15), IF(AD426&gt;limitePermitido, "ALERTA: EXCESO (" &amp; TEXT(limitePermitido, "0%") &amp; " máx)", "OK"))))</f>
        <v/>
      </c>
      <c r="AP426" s="79">
        <f>IF(AN426="","",IF(AE426=0,"OK",_xlfn.LET(fechaPago, Z426, fechaFactura, R426, diasCredito, IF(E426="Pago inmediato", 0, IFERROR(VALUE(MID(E426, 1, SEARCH(" ", E426)-1)),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26" s="79">
        <f>IF(AN426="","",IF(AND(N426&gt;0, AG426&gt;0), IF(Configuración!$K$2="NO", "ALERTA: DESCUENTO DOBLE NO PERMITIDO", "OK"), "OK"))</f>
        <v/>
      </c>
      <c r="AR426" s="79">
        <f>IF(AN426="","",IF(OR(AO426&lt;&gt;"OK", AP426&lt;&gt;"OK", AQ426&lt;&gt;"OK"), "⚠️ REVISAR", "OK"))</f>
        <v/>
      </c>
    </row>
    <row r="427">
      <c r="A427" s="79">
        <f>IF('Ordenes_Odoo'!A427="","",'Ordenes_Odoo'!A427)</f>
        <v/>
      </c>
      <c r="B427" s="80">
        <f>IF('Ordenes_Odoo'!B427="","",'Ordenes_Odoo'!B427)</f>
        <v/>
      </c>
      <c r="C427" s="79">
        <f>IF('Ordenes_Odoo'!C427="","",'Ordenes_Odoo'!C427)</f>
        <v/>
      </c>
      <c r="D427" s="79">
        <f>IF('Ordenes_Odoo'!D427="","",'Ordenes_Odoo'!D427)</f>
        <v/>
      </c>
      <c r="E427" s="79">
        <f>IF('Ordenes_Odoo'!E427="","",'Ordenes_Odoo'!E427)</f>
        <v/>
      </c>
      <c r="F427" s="79">
        <f>IF('Ordenes_Odoo'!F427="","",'Ordenes_Odoo'!F427)</f>
        <v/>
      </c>
      <c r="G427" s="79">
        <f>IF('Ordenes_Odoo'!G427="","",'Ordenes_Odoo'!G427)</f>
        <v/>
      </c>
      <c r="H427" s="79">
        <f>IF('Ordenes_Odoo'!H427="","",'Ordenes_Odoo'!H427)</f>
        <v/>
      </c>
      <c r="I427" s="79">
        <f>IF('Ordenes_Odoo'!I427="","",'Ordenes_Odoo'!I427)</f>
        <v/>
      </c>
      <c r="J427" s="79">
        <f>IF('Ordenes_Odoo'!J427="","",'Ordenes_Odoo'!J427)</f>
        <v/>
      </c>
      <c r="K427" s="81">
        <f>IF('Ordenes_Odoo'!K427="","",'Ordenes_Odoo'!K427)</f>
        <v/>
      </c>
      <c r="L427" s="81">
        <f>IF('Ordenes_Odoo'!L427="","",'Ordenes_Odoo'!L427)</f>
        <v/>
      </c>
      <c r="M427" s="79">
        <f>IF('Ordenes_Odoo'!M427="","",'Ordenes_Odoo'!M427)</f>
        <v/>
      </c>
      <c r="N427" s="79">
        <f>IF('Ordenes_Odoo'!N427="","",'Ordenes_Odoo'!N427)</f>
        <v/>
      </c>
      <c r="O427" s="81">
        <f>IF('Ordenes_Odoo'!O427="","",'Ordenes_Odoo'!O427)</f>
        <v/>
      </c>
      <c r="P427" s="81">
        <f>IF('Ordenes_Odoo'!P427="","",'Ordenes_Odoo'!P427)</f>
        <v/>
      </c>
      <c r="Q427" s="79">
        <f>IF(A427="","",IFERROR(INDEX(Facturas_Odoo!$B:$B, MATCH(A427, Facturas_Odoo!$D:$D, 0)), "Sin Factura"))</f>
        <v/>
      </c>
      <c r="R427" s="80">
        <f>IF(Q427="Sin Factura","",IFERROR(INDEX(Facturas_Odoo!$A:$A, MATCH(Q427, Facturas_Odoo!$B:$B, 0)), ""))</f>
        <v/>
      </c>
      <c r="S427" s="79">
        <f>IF(Q427="Sin Factura","",IFERROR(_xlfn.XLOOKUP(1, (Facturas_Odoo!$D:$D=A427) * (Facturas_Odoo!$K:$K=I427), Facturas_Odoo!$L:$L, ""), ""))</f>
        <v/>
      </c>
      <c r="T427" s="81">
        <f>IF(Q427="Sin Factura",0,IFERROR(_xlfn.XLOOKUP(1, (Facturas_Odoo!$D:$D=A427) * (Facturas_Odoo!$K:$K=I427), Facturas_Odoo!$M:$M, 0), 0))</f>
        <v/>
      </c>
      <c r="U427" s="79">
        <f>IF(Q427="Sin Factura",0,IFERROR(_xlfn.XLOOKUP(1, (Facturas_Odoo!$D:$D=A427) * (Facturas_Odoo!$K:$K=I427), Facturas_Odoo!$N:$N, 0), 0))</f>
        <v/>
      </c>
      <c r="V427" s="79">
        <f>IF(Q427="Sin Factura",0,IFERROR(_xlfn.XLOOKUP(1, (Facturas_Odoo!$D:$D=A427) * (Facturas_Odoo!$K:$K=I427), Facturas_Odoo!$O:$O, 0), 0))</f>
        <v/>
      </c>
      <c r="W427" s="81">
        <f>IF(Q427="Sin Factura",0,IFERROR(_xlfn.XLOOKUP(1, (Facturas_Odoo!$D:$D=A427) * (Facturas_Odoo!$K:$K=I427), Facturas_Odoo!$Q:$Q, 0), 0))</f>
        <v/>
      </c>
      <c r="X427" s="79">
        <f>IF(OR(Q427="Sin Factura",Q427=""),"",IFERROR(INDEX(Pagos_Odoo!$B:$B, MATCH(Q427, Pagos_Odoo!$I:$I, 0)), "Sin Pago"))</f>
        <v/>
      </c>
      <c r="Y427" s="79">
        <f>IF(X427="Sin Pago","",IFERROR(INDEX(Pagos_Odoo!$C:$C, MATCH(X427, Pagos_Odoo!$B:$B, 0)), ""))</f>
        <v/>
      </c>
      <c r="Z427" s="80">
        <f>IF(X427="Sin Pago","",IFERROR(INDEX(Pagos_Odoo!$A:$A, MATCH(X427, Pagos_Odoo!$B:$B, 0)), ""))</f>
        <v/>
      </c>
      <c r="AA427" s="79">
        <f>IF(X427="Sin Pago","",IFERROR(INDEX(Pagos_Odoo!$F:$F, MATCH(X427, Pagos_Odoo!$B:$B, 0)), ""))</f>
        <v/>
      </c>
      <c r="AB427" s="81">
        <f>IF(X427="Sin Pago",0,IFERROR(INDEX(Pagos_Odoo!$E:$E, MATCH(X427, Pagos_Odoo!$B:$B, 0)), 0))</f>
        <v/>
      </c>
      <c r="AC427" s="79">
        <f>IF(X427="Sin Pago","",IFERROR(INDEX(Pagos_Odoo!$G:$G, MATCH(X427, Pagos_Odoo!$B:$B, 0)), ""))</f>
        <v/>
      </c>
      <c r="AD427" s="82" t="n">
        <v>0</v>
      </c>
      <c r="AE427" s="82" t="n"/>
      <c r="AF427" s="82" t="n"/>
      <c r="AG427" s="82">
        <f>IF(AN427="","",AD427+AE427+AF427)</f>
        <v/>
      </c>
      <c r="AH427" s="81">
        <f>IF(AN427="","",P427*(1-AG427))</f>
        <v/>
      </c>
      <c r="AI427" s="81">
        <f>IF(AN427="","",IF(Q427="Sin Factura",0,IFERROR(INDEX(Facturas_Odoo!$H:$H, MATCH(Q427, Facturas_Odoo!$B:$B, 0)), 0)*(1-AG427)))</f>
        <v/>
      </c>
      <c r="AJ427" s="81">
        <f>IF(AN427="","",_xlfn.LET(idVenta, AN427&amp;"",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27" s="81">
        <f>IF(AN427="","",AH427-AJ427)</f>
        <v/>
      </c>
      <c r="AL427" s="81">
        <f>IF(AN427="","",IF(Q427="Sin Factura","",AI427-AJ427))</f>
        <v/>
      </c>
      <c r="AM427" s="81">
        <f>IF(AN427="","",IF(Q427="Sin Factura",0,P427-IFERROR(INDEX(Facturas_Odoo!$H:$H, MATCH(Q427, Facturas_Odoo!$B:$B, 0)), 0)))</f>
        <v/>
      </c>
      <c r="AN427" s="79">
        <f>IF(AND(A427="", J427=""), "", IF(A427&lt;&gt;"", VALUE(MID(A427,2,LEN(A427))), AN426))</f>
        <v/>
      </c>
      <c r="AO427" s="79">
        <f>IF(AN427="","",IF(AD427=0,"OK",_xlfn.LET(monedaPago, IF(AA427="","USD",AA427), limitePermitido, IFERROR(VLOOKUP(monedaPago, Configuración!$A$2:$B$3, 2, FALSE), 0.15), IF(AD427&gt;limitePermitido, "ALERTA: EXCESO (" &amp; TEXT(limitePermitido, "0%") &amp; " máx)", "OK"))))</f>
        <v/>
      </c>
      <c r="AP427" s="79">
        <f>IF(AN427="","",IF(AE427=0,"OK",_xlfn.LET(fechaPago, Z427, fechaFactura, R427, diasCredito, IF(E427="Pago inmediato", 0, IFERROR(VALUE(MID(E427, 1, SEARCH(" ", E427)-1)),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27" s="79">
        <f>IF(AN427="","",IF(AND(N427&gt;0, AG427&gt;0), IF(Configuración!$K$2="NO", "ALERTA: DESCUENTO DOBLE NO PERMITIDO", "OK"), "OK"))</f>
        <v/>
      </c>
      <c r="AR427" s="79">
        <f>IF(AN427="","",IF(OR(AO427&lt;&gt;"OK", AP427&lt;&gt;"OK", AQ427&lt;&gt;"OK"), "⚠️ REVISAR", "OK"))</f>
        <v/>
      </c>
    </row>
    <row r="428">
      <c r="A428" s="79">
        <f>IF('Ordenes_Odoo'!A428="","",'Ordenes_Odoo'!A428)</f>
        <v/>
      </c>
      <c r="B428" s="80">
        <f>IF('Ordenes_Odoo'!B428="","",'Ordenes_Odoo'!B428)</f>
        <v/>
      </c>
      <c r="C428" s="79">
        <f>IF('Ordenes_Odoo'!C428="","",'Ordenes_Odoo'!C428)</f>
        <v/>
      </c>
      <c r="D428" s="79">
        <f>IF('Ordenes_Odoo'!D428="","",'Ordenes_Odoo'!D428)</f>
        <v/>
      </c>
      <c r="E428" s="79">
        <f>IF('Ordenes_Odoo'!E428="","",'Ordenes_Odoo'!E428)</f>
        <v/>
      </c>
      <c r="F428" s="79">
        <f>IF('Ordenes_Odoo'!F428="","",'Ordenes_Odoo'!F428)</f>
        <v/>
      </c>
      <c r="G428" s="79">
        <f>IF('Ordenes_Odoo'!G428="","",'Ordenes_Odoo'!G428)</f>
        <v/>
      </c>
      <c r="H428" s="79">
        <f>IF('Ordenes_Odoo'!H428="","",'Ordenes_Odoo'!H428)</f>
        <v/>
      </c>
      <c r="I428" s="79">
        <f>IF('Ordenes_Odoo'!I428="","",'Ordenes_Odoo'!I428)</f>
        <v/>
      </c>
      <c r="J428" s="79">
        <f>IF('Ordenes_Odoo'!J428="","",'Ordenes_Odoo'!J428)</f>
        <v/>
      </c>
      <c r="K428" s="81">
        <f>IF('Ordenes_Odoo'!K428="","",'Ordenes_Odoo'!K428)</f>
        <v/>
      </c>
      <c r="L428" s="81">
        <f>IF('Ordenes_Odoo'!L428="","",'Ordenes_Odoo'!L428)</f>
        <v/>
      </c>
      <c r="M428" s="79">
        <f>IF('Ordenes_Odoo'!M428="","",'Ordenes_Odoo'!M428)</f>
        <v/>
      </c>
      <c r="N428" s="79">
        <f>IF('Ordenes_Odoo'!N428="","",'Ordenes_Odoo'!N428)</f>
        <v/>
      </c>
      <c r="O428" s="81">
        <f>IF('Ordenes_Odoo'!O428="","",'Ordenes_Odoo'!O428)</f>
        <v/>
      </c>
      <c r="P428" s="81">
        <f>IF('Ordenes_Odoo'!P428="","",'Ordenes_Odoo'!P428)</f>
        <v/>
      </c>
      <c r="Q428" s="79">
        <f>IF(A428="","",IFERROR(INDEX(Facturas_Odoo!$B:$B, MATCH(A428, Facturas_Odoo!$D:$D, 0)), "Sin Factura"))</f>
        <v/>
      </c>
      <c r="R428" s="80">
        <f>IF(Q428="Sin Factura","",IFERROR(INDEX(Facturas_Odoo!$A:$A, MATCH(Q428, Facturas_Odoo!$B:$B, 0)), ""))</f>
        <v/>
      </c>
      <c r="S428" s="79">
        <f>IF(Q428="Sin Factura","",IFERROR(_xlfn.XLOOKUP(1, (Facturas_Odoo!$D:$D=A428) * (Facturas_Odoo!$K:$K=I428), Facturas_Odoo!$L:$L, ""), ""))</f>
        <v/>
      </c>
      <c r="T428" s="81">
        <f>IF(Q428="Sin Factura",0,IFERROR(_xlfn.XLOOKUP(1, (Facturas_Odoo!$D:$D=A428) * (Facturas_Odoo!$K:$K=I428), Facturas_Odoo!$M:$M, 0), 0))</f>
        <v/>
      </c>
      <c r="U428" s="79">
        <f>IF(Q428="Sin Factura",0,IFERROR(_xlfn.XLOOKUP(1, (Facturas_Odoo!$D:$D=A428) * (Facturas_Odoo!$K:$K=I428), Facturas_Odoo!$N:$N, 0), 0))</f>
        <v/>
      </c>
      <c r="V428" s="79">
        <f>IF(Q428="Sin Factura",0,IFERROR(_xlfn.XLOOKUP(1, (Facturas_Odoo!$D:$D=A428) * (Facturas_Odoo!$K:$K=I428), Facturas_Odoo!$O:$O, 0), 0))</f>
        <v/>
      </c>
      <c r="W428" s="81">
        <f>IF(Q428="Sin Factura",0,IFERROR(_xlfn.XLOOKUP(1, (Facturas_Odoo!$D:$D=A428) * (Facturas_Odoo!$K:$K=I428), Facturas_Odoo!$Q:$Q, 0), 0))</f>
        <v/>
      </c>
      <c r="X428" s="79">
        <f>IF(OR(Q428="Sin Factura",Q428=""),"",IFERROR(INDEX(Pagos_Odoo!$B:$B, MATCH(Q428, Pagos_Odoo!$I:$I, 0)), "Sin Pago"))</f>
        <v/>
      </c>
      <c r="Y428" s="79">
        <f>IF(X428="Sin Pago","",IFERROR(INDEX(Pagos_Odoo!$C:$C, MATCH(X428, Pagos_Odoo!$B:$B, 0)), ""))</f>
        <v/>
      </c>
      <c r="Z428" s="80">
        <f>IF(X428="Sin Pago","",IFERROR(INDEX(Pagos_Odoo!$A:$A, MATCH(X428, Pagos_Odoo!$B:$B, 0)), ""))</f>
        <v/>
      </c>
      <c r="AA428" s="79">
        <f>IF(X428="Sin Pago","",IFERROR(INDEX(Pagos_Odoo!$F:$F, MATCH(X428, Pagos_Odoo!$B:$B, 0)), ""))</f>
        <v/>
      </c>
      <c r="AB428" s="81">
        <f>IF(X428="Sin Pago",0,IFERROR(INDEX(Pagos_Odoo!$E:$E, MATCH(X428, Pagos_Odoo!$B:$B, 0)), 0))</f>
        <v/>
      </c>
      <c r="AC428" s="79">
        <f>IF(X428="Sin Pago","",IFERROR(INDEX(Pagos_Odoo!$G:$G, MATCH(X428, Pagos_Odoo!$B:$B, 0)), ""))</f>
        <v/>
      </c>
      <c r="AD428" s="82" t="n">
        <v>0</v>
      </c>
      <c r="AE428" s="82" t="n"/>
      <c r="AF428" s="82" t="n"/>
      <c r="AG428" s="82">
        <f>IF(AN428="","",AD428+AE428+AF428)</f>
        <v/>
      </c>
      <c r="AH428" s="81">
        <f>IF(AN428="","",P428*(1-AG428))</f>
        <v/>
      </c>
      <c r="AI428" s="81">
        <f>IF(AN428="","",IF(Q428="Sin Factura",0,IFERROR(INDEX(Facturas_Odoo!$H:$H, MATCH(Q428, Facturas_Odoo!$B:$B, 0)), 0)*(1-AG428)))</f>
        <v/>
      </c>
      <c r="AJ428" s="81">
        <f>IF(AN428="","",_xlfn.LET(idVenta, AN428&amp;"",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28" s="81">
        <f>IF(AN428="","",AH428-AJ428)</f>
        <v/>
      </c>
      <c r="AL428" s="81">
        <f>IF(AN428="","",IF(Q428="Sin Factura","",AI428-AJ428))</f>
        <v/>
      </c>
      <c r="AM428" s="81">
        <f>IF(AN428="","",IF(Q428="Sin Factura",0,P428-IFERROR(INDEX(Facturas_Odoo!$H:$H, MATCH(Q428, Facturas_Odoo!$B:$B, 0)), 0)))</f>
        <v/>
      </c>
      <c r="AN428" s="79">
        <f>IF(AND(A428="", J428=""), "", IF(A428&lt;&gt;"", VALUE(MID(A428,2,LEN(A428))), AN427))</f>
        <v/>
      </c>
      <c r="AO428" s="79">
        <f>IF(AN428="","",IF(AD428=0,"OK",_xlfn.LET(monedaPago, IF(AA428="","USD",AA428), limitePermitido, IFERROR(VLOOKUP(monedaPago, Configuración!$A$2:$B$3, 2, FALSE), 0.15), IF(AD428&gt;limitePermitido, "ALERTA: EXCESO (" &amp; TEXT(limitePermitido, "0%") &amp; " máx)", "OK"))))</f>
        <v/>
      </c>
      <c r="AP428" s="79">
        <f>IF(AN428="","",IF(AE428=0,"OK",_xlfn.LET(fechaPago, Z428, fechaFactura, R428, diasCredito, IF(E428="Pago inmediato", 0, IFERROR(VALUE(MID(E428, 1, SEARCH(" ", E428)-1)),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28" s="79">
        <f>IF(AN428="","",IF(AND(N428&gt;0, AG428&gt;0), IF(Configuración!$K$2="NO", "ALERTA: DESCUENTO DOBLE NO PERMITIDO", "OK"), "OK"))</f>
        <v/>
      </c>
      <c r="AR428" s="79">
        <f>IF(AN428="","",IF(OR(AO428&lt;&gt;"OK", AP428&lt;&gt;"OK", AQ428&lt;&gt;"OK"), "⚠️ REVISAR", "OK"))</f>
        <v/>
      </c>
    </row>
    <row r="429">
      <c r="A429" s="79">
        <f>IF('Ordenes_Odoo'!A429="","",'Ordenes_Odoo'!A429)</f>
        <v/>
      </c>
      <c r="B429" s="80">
        <f>IF('Ordenes_Odoo'!B429="","",'Ordenes_Odoo'!B429)</f>
        <v/>
      </c>
      <c r="C429" s="79">
        <f>IF('Ordenes_Odoo'!C429="","",'Ordenes_Odoo'!C429)</f>
        <v/>
      </c>
      <c r="D429" s="79">
        <f>IF('Ordenes_Odoo'!D429="","",'Ordenes_Odoo'!D429)</f>
        <v/>
      </c>
      <c r="E429" s="79">
        <f>IF('Ordenes_Odoo'!E429="","",'Ordenes_Odoo'!E429)</f>
        <v/>
      </c>
      <c r="F429" s="79">
        <f>IF('Ordenes_Odoo'!F429="","",'Ordenes_Odoo'!F429)</f>
        <v/>
      </c>
      <c r="G429" s="79">
        <f>IF('Ordenes_Odoo'!G429="","",'Ordenes_Odoo'!G429)</f>
        <v/>
      </c>
      <c r="H429" s="79">
        <f>IF('Ordenes_Odoo'!H429="","",'Ordenes_Odoo'!H429)</f>
        <v/>
      </c>
      <c r="I429" s="79">
        <f>IF('Ordenes_Odoo'!I429="","",'Ordenes_Odoo'!I429)</f>
        <v/>
      </c>
      <c r="J429" s="79">
        <f>IF('Ordenes_Odoo'!J429="","",'Ordenes_Odoo'!J429)</f>
        <v/>
      </c>
      <c r="K429" s="81">
        <f>IF('Ordenes_Odoo'!K429="","",'Ordenes_Odoo'!K429)</f>
        <v/>
      </c>
      <c r="L429" s="81">
        <f>IF('Ordenes_Odoo'!L429="","",'Ordenes_Odoo'!L429)</f>
        <v/>
      </c>
      <c r="M429" s="79">
        <f>IF('Ordenes_Odoo'!M429="","",'Ordenes_Odoo'!M429)</f>
        <v/>
      </c>
      <c r="N429" s="79">
        <f>IF('Ordenes_Odoo'!N429="","",'Ordenes_Odoo'!N429)</f>
        <v/>
      </c>
      <c r="O429" s="81">
        <f>IF('Ordenes_Odoo'!O429="","",'Ordenes_Odoo'!O429)</f>
        <v/>
      </c>
      <c r="P429" s="81">
        <f>IF('Ordenes_Odoo'!P429="","",'Ordenes_Odoo'!P429)</f>
        <v/>
      </c>
      <c r="Q429" s="79">
        <f>IF(A429="","",IFERROR(INDEX(Facturas_Odoo!$B:$B, MATCH(A429, Facturas_Odoo!$D:$D, 0)), "Sin Factura"))</f>
        <v/>
      </c>
      <c r="R429" s="80">
        <f>IF(Q429="Sin Factura","",IFERROR(INDEX(Facturas_Odoo!$A:$A, MATCH(Q429, Facturas_Odoo!$B:$B, 0)), ""))</f>
        <v/>
      </c>
      <c r="S429" s="79">
        <f>IF(Q429="Sin Factura","",IFERROR(_xlfn.XLOOKUP(1, (Facturas_Odoo!$D:$D=A429) * (Facturas_Odoo!$K:$K=I429), Facturas_Odoo!$L:$L, ""), ""))</f>
        <v/>
      </c>
      <c r="T429" s="81">
        <f>IF(Q429="Sin Factura",0,IFERROR(_xlfn.XLOOKUP(1, (Facturas_Odoo!$D:$D=A429) * (Facturas_Odoo!$K:$K=I429), Facturas_Odoo!$M:$M, 0), 0))</f>
        <v/>
      </c>
      <c r="U429" s="79">
        <f>IF(Q429="Sin Factura",0,IFERROR(_xlfn.XLOOKUP(1, (Facturas_Odoo!$D:$D=A429) * (Facturas_Odoo!$K:$K=I429), Facturas_Odoo!$N:$N, 0), 0))</f>
        <v/>
      </c>
      <c r="V429" s="79">
        <f>IF(Q429="Sin Factura",0,IFERROR(_xlfn.XLOOKUP(1, (Facturas_Odoo!$D:$D=A429) * (Facturas_Odoo!$K:$K=I429), Facturas_Odoo!$O:$O, 0), 0))</f>
        <v/>
      </c>
      <c r="W429" s="81">
        <f>IF(Q429="Sin Factura",0,IFERROR(_xlfn.XLOOKUP(1, (Facturas_Odoo!$D:$D=A429) * (Facturas_Odoo!$K:$K=I429), Facturas_Odoo!$Q:$Q, 0), 0))</f>
        <v/>
      </c>
      <c r="X429" s="79">
        <f>IF(OR(Q429="Sin Factura",Q429=""),"",IFERROR(INDEX(Pagos_Odoo!$B:$B, MATCH(Q429, Pagos_Odoo!$I:$I, 0)), "Sin Pago"))</f>
        <v/>
      </c>
      <c r="Y429" s="79">
        <f>IF(X429="Sin Pago","",IFERROR(INDEX(Pagos_Odoo!$C:$C, MATCH(X429, Pagos_Odoo!$B:$B, 0)), ""))</f>
        <v/>
      </c>
      <c r="Z429" s="80">
        <f>IF(X429="Sin Pago","",IFERROR(INDEX(Pagos_Odoo!$A:$A, MATCH(X429, Pagos_Odoo!$B:$B, 0)), ""))</f>
        <v/>
      </c>
      <c r="AA429" s="79">
        <f>IF(X429="Sin Pago","",IFERROR(INDEX(Pagos_Odoo!$F:$F, MATCH(X429, Pagos_Odoo!$B:$B, 0)), ""))</f>
        <v/>
      </c>
      <c r="AB429" s="81">
        <f>IF(X429="Sin Pago",0,IFERROR(INDEX(Pagos_Odoo!$E:$E, MATCH(X429, Pagos_Odoo!$B:$B, 0)), 0))</f>
        <v/>
      </c>
      <c r="AC429" s="79">
        <f>IF(X429="Sin Pago","",IFERROR(INDEX(Pagos_Odoo!$G:$G, MATCH(X429, Pagos_Odoo!$B:$B, 0)), ""))</f>
        <v/>
      </c>
      <c r="AD429" s="82" t="n">
        <v>0</v>
      </c>
      <c r="AE429" s="82" t="n"/>
      <c r="AF429" s="82" t="n"/>
      <c r="AG429" s="82">
        <f>IF(AN429="","",AD429+AE429+AF429)</f>
        <v/>
      </c>
      <c r="AH429" s="81">
        <f>IF(AN429="","",P429*(1-AG429))</f>
        <v/>
      </c>
      <c r="AI429" s="81">
        <f>IF(AN429="","",IF(Q429="Sin Factura",0,IFERROR(INDEX(Facturas_Odoo!$H:$H, MATCH(Q429, Facturas_Odoo!$B:$B, 0)), 0)*(1-AG429)))</f>
        <v/>
      </c>
      <c r="AJ429" s="81">
        <f>IF(AN429="","",_xlfn.LET(idVenta, AN429&amp;"",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29" s="81">
        <f>IF(AN429="","",AH429-AJ429)</f>
        <v/>
      </c>
      <c r="AL429" s="81">
        <f>IF(AN429="","",IF(Q429="Sin Factura","",AI429-AJ429))</f>
        <v/>
      </c>
      <c r="AM429" s="81">
        <f>IF(AN429="","",IF(Q429="Sin Factura",0,P429-IFERROR(INDEX(Facturas_Odoo!$H:$H, MATCH(Q429, Facturas_Odoo!$B:$B, 0)), 0)))</f>
        <v/>
      </c>
      <c r="AN429" s="79">
        <f>IF(AND(A429="", J429=""), "", IF(A429&lt;&gt;"", VALUE(MID(A429,2,LEN(A429))), AN428))</f>
        <v/>
      </c>
      <c r="AO429" s="79">
        <f>IF(AN429="","",IF(AD429=0,"OK",_xlfn.LET(monedaPago, IF(AA429="","USD",AA429), limitePermitido, IFERROR(VLOOKUP(monedaPago, Configuración!$A$2:$B$3, 2, FALSE), 0.15), IF(AD429&gt;limitePermitido, "ALERTA: EXCESO (" &amp; TEXT(limitePermitido, "0%") &amp; " máx)", "OK"))))</f>
        <v/>
      </c>
      <c r="AP429" s="79">
        <f>IF(AN429="","",IF(AE429=0,"OK",_xlfn.LET(fechaPago, Z429, fechaFactura, R429, diasCredito, IF(E429="Pago inmediato", 0, IFERROR(VALUE(MID(E429, 1, SEARCH(" ", E429)-1)),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29" s="79">
        <f>IF(AN429="","",IF(AND(N429&gt;0, AG429&gt;0), IF(Configuración!$K$2="NO", "ALERTA: DESCUENTO DOBLE NO PERMITIDO", "OK"), "OK"))</f>
        <v/>
      </c>
      <c r="AR429" s="79">
        <f>IF(AN429="","",IF(OR(AO429&lt;&gt;"OK", AP429&lt;&gt;"OK", AQ429&lt;&gt;"OK"), "⚠️ REVISAR", "OK"))</f>
        <v/>
      </c>
    </row>
    <row r="430">
      <c r="A430" s="79">
        <f>IF('Ordenes_Odoo'!A430="","",'Ordenes_Odoo'!A430)</f>
        <v/>
      </c>
      <c r="B430" s="80">
        <f>IF('Ordenes_Odoo'!B430="","",'Ordenes_Odoo'!B430)</f>
        <v/>
      </c>
      <c r="C430" s="79">
        <f>IF('Ordenes_Odoo'!C430="","",'Ordenes_Odoo'!C430)</f>
        <v/>
      </c>
      <c r="D430" s="79">
        <f>IF('Ordenes_Odoo'!D430="","",'Ordenes_Odoo'!D430)</f>
        <v/>
      </c>
      <c r="E430" s="79">
        <f>IF('Ordenes_Odoo'!E430="","",'Ordenes_Odoo'!E430)</f>
        <v/>
      </c>
      <c r="F430" s="79">
        <f>IF('Ordenes_Odoo'!F430="","",'Ordenes_Odoo'!F430)</f>
        <v/>
      </c>
      <c r="G430" s="79">
        <f>IF('Ordenes_Odoo'!G430="","",'Ordenes_Odoo'!G430)</f>
        <v/>
      </c>
      <c r="H430" s="79">
        <f>IF('Ordenes_Odoo'!H430="","",'Ordenes_Odoo'!H430)</f>
        <v/>
      </c>
      <c r="I430" s="79">
        <f>IF('Ordenes_Odoo'!I430="","",'Ordenes_Odoo'!I430)</f>
        <v/>
      </c>
      <c r="J430" s="79">
        <f>IF('Ordenes_Odoo'!J430="","",'Ordenes_Odoo'!J430)</f>
        <v/>
      </c>
      <c r="K430" s="81">
        <f>IF('Ordenes_Odoo'!K430="","",'Ordenes_Odoo'!K430)</f>
        <v/>
      </c>
      <c r="L430" s="81">
        <f>IF('Ordenes_Odoo'!L430="","",'Ordenes_Odoo'!L430)</f>
        <v/>
      </c>
      <c r="M430" s="79">
        <f>IF('Ordenes_Odoo'!M430="","",'Ordenes_Odoo'!M430)</f>
        <v/>
      </c>
      <c r="N430" s="79">
        <f>IF('Ordenes_Odoo'!N430="","",'Ordenes_Odoo'!N430)</f>
        <v/>
      </c>
      <c r="O430" s="81">
        <f>IF('Ordenes_Odoo'!O430="","",'Ordenes_Odoo'!O430)</f>
        <v/>
      </c>
      <c r="P430" s="81">
        <f>IF('Ordenes_Odoo'!P430="","",'Ordenes_Odoo'!P430)</f>
        <v/>
      </c>
      <c r="Q430" s="79">
        <f>IF(A430="","",IFERROR(INDEX(Facturas_Odoo!$B:$B, MATCH(A430, Facturas_Odoo!$D:$D, 0)), "Sin Factura"))</f>
        <v/>
      </c>
      <c r="R430" s="80">
        <f>IF(Q430="Sin Factura","",IFERROR(INDEX(Facturas_Odoo!$A:$A, MATCH(Q430, Facturas_Odoo!$B:$B, 0)), ""))</f>
        <v/>
      </c>
      <c r="S430" s="79">
        <f>IF(Q430="Sin Factura","",IFERROR(_xlfn.XLOOKUP(1, (Facturas_Odoo!$D:$D=A430) * (Facturas_Odoo!$K:$K=I430), Facturas_Odoo!$L:$L, ""), ""))</f>
        <v/>
      </c>
      <c r="T430" s="81">
        <f>IF(Q430="Sin Factura",0,IFERROR(_xlfn.XLOOKUP(1, (Facturas_Odoo!$D:$D=A430) * (Facturas_Odoo!$K:$K=I430), Facturas_Odoo!$M:$M, 0), 0))</f>
        <v/>
      </c>
      <c r="U430" s="79">
        <f>IF(Q430="Sin Factura",0,IFERROR(_xlfn.XLOOKUP(1, (Facturas_Odoo!$D:$D=A430) * (Facturas_Odoo!$K:$K=I430), Facturas_Odoo!$N:$N, 0), 0))</f>
        <v/>
      </c>
      <c r="V430" s="79">
        <f>IF(Q430="Sin Factura",0,IFERROR(_xlfn.XLOOKUP(1, (Facturas_Odoo!$D:$D=A430) * (Facturas_Odoo!$K:$K=I430), Facturas_Odoo!$O:$O, 0), 0))</f>
        <v/>
      </c>
      <c r="W430" s="81">
        <f>IF(Q430="Sin Factura",0,IFERROR(_xlfn.XLOOKUP(1, (Facturas_Odoo!$D:$D=A430) * (Facturas_Odoo!$K:$K=I430), Facturas_Odoo!$Q:$Q, 0), 0))</f>
        <v/>
      </c>
      <c r="X430" s="79">
        <f>IF(OR(Q430="Sin Factura",Q430=""),"",IFERROR(INDEX(Pagos_Odoo!$B:$B, MATCH(Q430, Pagos_Odoo!$I:$I, 0)), "Sin Pago"))</f>
        <v/>
      </c>
      <c r="Y430" s="79">
        <f>IF(X430="Sin Pago","",IFERROR(INDEX(Pagos_Odoo!$C:$C, MATCH(X430, Pagos_Odoo!$B:$B, 0)), ""))</f>
        <v/>
      </c>
      <c r="Z430" s="80">
        <f>IF(X430="Sin Pago","",IFERROR(INDEX(Pagos_Odoo!$A:$A, MATCH(X430, Pagos_Odoo!$B:$B, 0)), ""))</f>
        <v/>
      </c>
      <c r="AA430" s="79">
        <f>IF(X430="Sin Pago","",IFERROR(INDEX(Pagos_Odoo!$F:$F, MATCH(X430, Pagos_Odoo!$B:$B, 0)), ""))</f>
        <v/>
      </c>
      <c r="AB430" s="81">
        <f>IF(X430="Sin Pago",0,IFERROR(INDEX(Pagos_Odoo!$E:$E, MATCH(X430, Pagos_Odoo!$B:$B, 0)), 0))</f>
        <v/>
      </c>
      <c r="AC430" s="79">
        <f>IF(X430="Sin Pago","",IFERROR(INDEX(Pagos_Odoo!$G:$G, MATCH(X430, Pagos_Odoo!$B:$B, 0)), ""))</f>
        <v/>
      </c>
      <c r="AD430" s="82" t="n">
        <v>0</v>
      </c>
      <c r="AE430" s="82" t="n"/>
      <c r="AF430" s="82" t="n"/>
      <c r="AG430" s="82">
        <f>IF(AN430="","",AD430+AE430+AF430)</f>
        <v/>
      </c>
      <c r="AH430" s="81">
        <f>IF(AN430="","",P430*(1-AG430))</f>
        <v/>
      </c>
      <c r="AI430" s="81">
        <f>IF(AN430="","",IF(Q430="Sin Factura",0,IFERROR(INDEX(Facturas_Odoo!$H:$H, MATCH(Q430, Facturas_Odoo!$B:$B, 0)), 0)*(1-AG430)))</f>
        <v/>
      </c>
      <c r="AJ430" s="81">
        <f>IF(AN430="","",_xlfn.LET(idVenta, AN430&amp;"",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30" s="81">
        <f>IF(AN430="","",AH430-AJ430)</f>
        <v/>
      </c>
      <c r="AL430" s="81">
        <f>IF(AN430="","",IF(Q430="Sin Factura","",AI430-AJ430))</f>
        <v/>
      </c>
      <c r="AM430" s="81">
        <f>IF(AN430="","",IF(Q430="Sin Factura",0,P430-IFERROR(INDEX(Facturas_Odoo!$H:$H, MATCH(Q430, Facturas_Odoo!$B:$B, 0)), 0)))</f>
        <v/>
      </c>
      <c r="AN430" s="79">
        <f>IF(AND(A430="", J430=""), "", IF(A430&lt;&gt;"", VALUE(MID(A430,2,LEN(A430))), AN429))</f>
        <v/>
      </c>
      <c r="AO430" s="79">
        <f>IF(AN430="","",IF(AD430=0,"OK",_xlfn.LET(monedaPago, IF(AA430="","USD",AA430), limitePermitido, IFERROR(VLOOKUP(monedaPago, Configuración!$A$2:$B$3, 2, FALSE), 0.15), IF(AD430&gt;limitePermitido, "ALERTA: EXCESO (" &amp; TEXT(limitePermitido, "0%") &amp; " máx)", "OK"))))</f>
        <v/>
      </c>
      <c r="AP430" s="79">
        <f>IF(AN430="","",IF(AE430=0,"OK",_xlfn.LET(fechaPago, Z430, fechaFactura, R430, diasCredito, IF(E430="Pago inmediato", 0, IFERROR(VALUE(MID(E430, 1, SEARCH(" ", E430)-1)),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30" s="79">
        <f>IF(AN430="","",IF(AND(N430&gt;0, AG430&gt;0), IF(Configuración!$K$2="NO", "ALERTA: DESCUENTO DOBLE NO PERMITIDO", "OK"), "OK"))</f>
        <v/>
      </c>
      <c r="AR430" s="79">
        <f>IF(AN430="","",IF(OR(AO430&lt;&gt;"OK", AP430&lt;&gt;"OK", AQ430&lt;&gt;"OK"), "⚠️ REVISAR", "OK"))</f>
        <v/>
      </c>
    </row>
    <row r="431">
      <c r="A431" s="79">
        <f>IF('Ordenes_Odoo'!A431="","",'Ordenes_Odoo'!A431)</f>
        <v/>
      </c>
      <c r="B431" s="80">
        <f>IF('Ordenes_Odoo'!B431="","",'Ordenes_Odoo'!B431)</f>
        <v/>
      </c>
      <c r="C431" s="79">
        <f>IF('Ordenes_Odoo'!C431="","",'Ordenes_Odoo'!C431)</f>
        <v/>
      </c>
      <c r="D431" s="79">
        <f>IF('Ordenes_Odoo'!D431="","",'Ordenes_Odoo'!D431)</f>
        <v/>
      </c>
      <c r="E431" s="79">
        <f>IF('Ordenes_Odoo'!E431="","",'Ordenes_Odoo'!E431)</f>
        <v/>
      </c>
      <c r="F431" s="79">
        <f>IF('Ordenes_Odoo'!F431="","",'Ordenes_Odoo'!F431)</f>
        <v/>
      </c>
      <c r="G431" s="79">
        <f>IF('Ordenes_Odoo'!G431="","",'Ordenes_Odoo'!G431)</f>
        <v/>
      </c>
      <c r="H431" s="79">
        <f>IF('Ordenes_Odoo'!H431="","",'Ordenes_Odoo'!H431)</f>
        <v/>
      </c>
      <c r="I431" s="79">
        <f>IF('Ordenes_Odoo'!I431="","",'Ordenes_Odoo'!I431)</f>
        <v/>
      </c>
      <c r="J431" s="79">
        <f>IF('Ordenes_Odoo'!J431="","",'Ordenes_Odoo'!J431)</f>
        <v/>
      </c>
      <c r="K431" s="81">
        <f>IF('Ordenes_Odoo'!K431="","",'Ordenes_Odoo'!K431)</f>
        <v/>
      </c>
      <c r="L431" s="81">
        <f>IF('Ordenes_Odoo'!L431="","",'Ordenes_Odoo'!L431)</f>
        <v/>
      </c>
      <c r="M431" s="79">
        <f>IF('Ordenes_Odoo'!M431="","",'Ordenes_Odoo'!M431)</f>
        <v/>
      </c>
      <c r="N431" s="79">
        <f>IF('Ordenes_Odoo'!N431="","",'Ordenes_Odoo'!N431)</f>
        <v/>
      </c>
      <c r="O431" s="81">
        <f>IF('Ordenes_Odoo'!O431="","",'Ordenes_Odoo'!O431)</f>
        <v/>
      </c>
      <c r="P431" s="81">
        <f>IF('Ordenes_Odoo'!P431="","",'Ordenes_Odoo'!P431)</f>
        <v/>
      </c>
      <c r="Q431" s="79">
        <f>IF(A431="","",IFERROR(INDEX(Facturas_Odoo!$B:$B, MATCH(A431, Facturas_Odoo!$D:$D, 0)), "Sin Factura"))</f>
        <v/>
      </c>
      <c r="R431" s="80">
        <f>IF(Q431="Sin Factura","",IFERROR(INDEX(Facturas_Odoo!$A:$A, MATCH(Q431, Facturas_Odoo!$B:$B, 0)), ""))</f>
        <v/>
      </c>
      <c r="S431" s="79">
        <f>IF(Q431="Sin Factura","",IFERROR(_xlfn.XLOOKUP(1, (Facturas_Odoo!$D:$D=A431) * (Facturas_Odoo!$K:$K=I431), Facturas_Odoo!$L:$L, ""), ""))</f>
        <v/>
      </c>
      <c r="T431" s="81">
        <f>IF(Q431="Sin Factura",0,IFERROR(_xlfn.XLOOKUP(1, (Facturas_Odoo!$D:$D=A431) * (Facturas_Odoo!$K:$K=I431), Facturas_Odoo!$M:$M, 0), 0))</f>
        <v/>
      </c>
      <c r="U431" s="79">
        <f>IF(Q431="Sin Factura",0,IFERROR(_xlfn.XLOOKUP(1, (Facturas_Odoo!$D:$D=A431) * (Facturas_Odoo!$K:$K=I431), Facturas_Odoo!$N:$N, 0), 0))</f>
        <v/>
      </c>
      <c r="V431" s="79">
        <f>IF(Q431="Sin Factura",0,IFERROR(_xlfn.XLOOKUP(1, (Facturas_Odoo!$D:$D=A431) * (Facturas_Odoo!$K:$K=I431), Facturas_Odoo!$O:$O, 0), 0))</f>
        <v/>
      </c>
      <c r="W431" s="81">
        <f>IF(Q431="Sin Factura",0,IFERROR(_xlfn.XLOOKUP(1, (Facturas_Odoo!$D:$D=A431) * (Facturas_Odoo!$K:$K=I431), Facturas_Odoo!$Q:$Q, 0), 0))</f>
        <v/>
      </c>
      <c r="X431" s="79">
        <f>IF(OR(Q431="Sin Factura",Q431=""),"",IFERROR(INDEX(Pagos_Odoo!$B:$B, MATCH(Q431, Pagos_Odoo!$I:$I, 0)), "Sin Pago"))</f>
        <v/>
      </c>
      <c r="Y431" s="79">
        <f>IF(X431="Sin Pago","",IFERROR(INDEX(Pagos_Odoo!$C:$C, MATCH(X431, Pagos_Odoo!$B:$B, 0)), ""))</f>
        <v/>
      </c>
      <c r="Z431" s="80">
        <f>IF(X431="Sin Pago","",IFERROR(INDEX(Pagos_Odoo!$A:$A, MATCH(X431, Pagos_Odoo!$B:$B, 0)), ""))</f>
        <v/>
      </c>
      <c r="AA431" s="79">
        <f>IF(X431="Sin Pago","",IFERROR(INDEX(Pagos_Odoo!$F:$F, MATCH(X431, Pagos_Odoo!$B:$B, 0)), ""))</f>
        <v/>
      </c>
      <c r="AB431" s="81">
        <f>IF(X431="Sin Pago",0,IFERROR(INDEX(Pagos_Odoo!$E:$E, MATCH(X431, Pagos_Odoo!$B:$B, 0)), 0))</f>
        <v/>
      </c>
      <c r="AC431" s="79">
        <f>IF(X431="Sin Pago","",IFERROR(INDEX(Pagos_Odoo!$G:$G, MATCH(X431, Pagos_Odoo!$B:$B, 0)), ""))</f>
        <v/>
      </c>
      <c r="AD431" s="82" t="n">
        <v>0</v>
      </c>
      <c r="AE431" s="82" t="n"/>
      <c r="AF431" s="82" t="n"/>
      <c r="AG431" s="82">
        <f>IF(AN431="","",AD431+AE431+AF431)</f>
        <v/>
      </c>
      <c r="AH431" s="81">
        <f>IF(AN431="","",P431*(1-AG431))</f>
        <v/>
      </c>
      <c r="AI431" s="81">
        <f>IF(AN431="","",IF(Q431="Sin Factura",0,IFERROR(INDEX(Facturas_Odoo!$H:$H, MATCH(Q431, Facturas_Odoo!$B:$B, 0)), 0)*(1-AG431)))</f>
        <v/>
      </c>
      <c r="AJ431" s="81">
        <f>IF(AN431="","",_xlfn.LET(idVenta, AN431&amp;"",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31" s="81">
        <f>IF(AN431="","",AH431-AJ431)</f>
        <v/>
      </c>
      <c r="AL431" s="81">
        <f>IF(AN431="","",IF(Q431="Sin Factura","",AI431-AJ431))</f>
        <v/>
      </c>
      <c r="AM431" s="81">
        <f>IF(AN431="","",IF(Q431="Sin Factura",0,P431-IFERROR(INDEX(Facturas_Odoo!$H:$H, MATCH(Q431, Facturas_Odoo!$B:$B, 0)), 0)))</f>
        <v/>
      </c>
      <c r="AN431" s="79">
        <f>IF(AND(A431="", J431=""), "", IF(A431&lt;&gt;"", VALUE(MID(A431,2,LEN(A431))), AN430))</f>
        <v/>
      </c>
      <c r="AO431" s="79">
        <f>IF(AN431="","",IF(AD431=0,"OK",_xlfn.LET(monedaPago, IF(AA431="","USD",AA431), limitePermitido, IFERROR(VLOOKUP(monedaPago, Configuración!$A$2:$B$3, 2, FALSE), 0.15), IF(AD431&gt;limitePermitido, "ALERTA: EXCESO (" &amp; TEXT(limitePermitido, "0%") &amp; " máx)", "OK"))))</f>
        <v/>
      </c>
      <c r="AP431" s="79">
        <f>IF(AN431="","",IF(AE431=0,"OK",_xlfn.LET(fechaPago, Z431, fechaFactura, R431, diasCredito, IF(E431="Pago inmediato", 0, IFERROR(VALUE(MID(E431, 1, SEARCH(" ", E431)-1)),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31" s="79">
        <f>IF(AN431="","",IF(AND(N431&gt;0, AG431&gt;0), IF(Configuración!$K$2="NO", "ALERTA: DESCUENTO DOBLE NO PERMITIDO", "OK"), "OK"))</f>
        <v/>
      </c>
      <c r="AR431" s="79">
        <f>IF(AN431="","",IF(OR(AO431&lt;&gt;"OK", AP431&lt;&gt;"OK", AQ431&lt;&gt;"OK"), "⚠️ REVISAR", "OK"))</f>
        <v/>
      </c>
    </row>
    <row r="432">
      <c r="A432" s="79">
        <f>IF('Ordenes_Odoo'!A432="","",'Ordenes_Odoo'!A432)</f>
        <v/>
      </c>
      <c r="B432" s="80">
        <f>IF('Ordenes_Odoo'!B432="","",'Ordenes_Odoo'!B432)</f>
        <v/>
      </c>
      <c r="C432" s="79">
        <f>IF('Ordenes_Odoo'!C432="","",'Ordenes_Odoo'!C432)</f>
        <v/>
      </c>
      <c r="D432" s="79">
        <f>IF('Ordenes_Odoo'!D432="","",'Ordenes_Odoo'!D432)</f>
        <v/>
      </c>
      <c r="E432" s="79">
        <f>IF('Ordenes_Odoo'!E432="","",'Ordenes_Odoo'!E432)</f>
        <v/>
      </c>
      <c r="F432" s="79">
        <f>IF('Ordenes_Odoo'!F432="","",'Ordenes_Odoo'!F432)</f>
        <v/>
      </c>
      <c r="G432" s="79">
        <f>IF('Ordenes_Odoo'!G432="","",'Ordenes_Odoo'!G432)</f>
        <v/>
      </c>
      <c r="H432" s="79">
        <f>IF('Ordenes_Odoo'!H432="","",'Ordenes_Odoo'!H432)</f>
        <v/>
      </c>
      <c r="I432" s="79">
        <f>IF('Ordenes_Odoo'!I432="","",'Ordenes_Odoo'!I432)</f>
        <v/>
      </c>
      <c r="J432" s="79">
        <f>IF('Ordenes_Odoo'!J432="","",'Ordenes_Odoo'!J432)</f>
        <v/>
      </c>
      <c r="K432" s="81">
        <f>IF('Ordenes_Odoo'!K432="","",'Ordenes_Odoo'!K432)</f>
        <v/>
      </c>
      <c r="L432" s="81">
        <f>IF('Ordenes_Odoo'!L432="","",'Ordenes_Odoo'!L432)</f>
        <v/>
      </c>
      <c r="M432" s="79">
        <f>IF('Ordenes_Odoo'!M432="","",'Ordenes_Odoo'!M432)</f>
        <v/>
      </c>
      <c r="N432" s="79">
        <f>IF('Ordenes_Odoo'!N432="","",'Ordenes_Odoo'!N432)</f>
        <v/>
      </c>
      <c r="O432" s="81">
        <f>IF('Ordenes_Odoo'!O432="","",'Ordenes_Odoo'!O432)</f>
        <v/>
      </c>
      <c r="P432" s="81">
        <f>IF('Ordenes_Odoo'!P432="","",'Ordenes_Odoo'!P432)</f>
        <v/>
      </c>
      <c r="Q432" s="79">
        <f>IF(A432="","",IFERROR(INDEX(Facturas_Odoo!$B:$B, MATCH(A432, Facturas_Odoo!$D:$D, 0)), "Sin Factura"))</f>
        <v/>
      </c>
      <c r="R432" s="80">
        <f>IF(Q432="Sin Factura","",IFERROR(INDEX(Facturas_Odoo!$A:$A, MATCH(Q432, Facturas_Odoo!$B:$B, 0)), ""))</f>
        <v/>
      </c>
      <c r="S432" s="79">
        <f>IF(Q432="Sin Factura","",IFERROR(_xlfn.XLOOKUP(1, (Facturas_Odoo!$D:$D=A432) * (Facturas_Odoo!$K:$K=I432), Facturas_Odoo!$L:$L, ""), ""))</f>
        <v/>
      </c>
      <c r="T432" s="81">
        <f>IF(Q432="Sin Factura",0,IFERROR(_xlfn.XLOOKUP(1, (Facturas_Odoo!$D:$D=A432) * (Facturas_Odoo!$K:$K=I432), Facturas_Odoo!$M:$M, 0), 0))</f>
        <v/>
      </c>
      <c r="U432" s="79">
        <f>IF(Q432="Sin Factura",0,IFERROR(_xlfn.XLOOKUP(1, (Facturas_Odoo!$D:$D=A432) * (Facturas_Odoo!$K:$K=I432), Facturas_Odoo!$N:$N, 0), 0))</f>
        <v/>
      </c>
      <c r="V432" s="79">
        <f>IF(Q432="Sin Factura",0,IFERROR(_xlfn.XLOOKUP(1, (Facturas_Odoo!$D:$D=A432) * (Facturas_Odoo!$K:$K=I432), Facturas_Odoo!$O:$O, 0), 0))</f>
        <v/>
      </c>
      <c r="W432" s="81">
        <f>IF(Q432="Sin Factura",0,IFERROR(_xlfn.XLOOKUP(1, (Facturas_Odoo!$D:$D=A432) * (Facturas_Odoo!$K:$K=I432), Facturas_Odoo!$Q:$Q, 0), 0))</f>
        <v/>
      </c>
      <c r="X432" s="79">
        <f>IF(OR(Q432="Sin Factura",Q432=""),"",IFERROR(INDEX(Pagos_Odoo!$B:$B, MATCH(Q432, Pagos_Odoo!$I:$I, 0)), "Sin Pago"))</f>
        <v/>
      </c>
      <c r="Y432" s="79">
        <f>IF(X432="Sin Pago","",IFERROR(INDEX(Pagos_Odoo!$C:$C, MATCH(X432, Pagos_Odoo!$B:$B, 0)), ""))</f>
        <v/>
      </c>
      <c r="Z432" s="80">
        <f>IF(X432="Sin Pago","",IFERROR(INDEX(Pagos_Odoo!$A:$A, MATCH(X432, Pagos_Odoo!$B:$B, 0)), ""))</f>
        <v/>
      </c>
      <c r="AA432" s="79">
        <f>IF(X432="Sin Pago","",IFERROR(INDEX(Pagos_Odoo!$F:$F, MATCH(X432, Pagos_Odoo!$B:$B, 0)), ""))</f>
        <v/>
      </c>
      <c r="AB432" s="81">
        <f>IF(X432="Sin Pago",0,IFERROR(INDEX(Pagos_Odoo!$E:$E, MATCH(X432, Pagos_Odoo!$B:$B, 0)), 0))</f>
        <v/>
      </c>
      <c r="AC432" s="79">
        <f>IF(X432="Sin Pago","",IFERROR(INDEX(Pagos_Odoo!$G:$G, MATCH(X432, Pagos_Odoo!$B:$B, 0)), ""))</f>
        <v/>
      </c>
      <c r="AD432" s="82" t="n">
        <v>0</v>
      </c>
      <c r="AE432" s="82" t="n"/>
      <c r="AF432" s="82" t="n"/>
      <c r="AG432" s="82">
        <f>IF(AN432="","",AD432+AE432+AF432)</f>
        <v/>
      </c>
      <c r="AH432" s="81">
        <f>IF(AN432="","",P432*(1-AG432))</f>
        <v/>
      </c>
      <c r="AI432" s="81">
        <f>IF(AN432="","",IF(Q432="Sin Factura",0,IFERROR(INDEX(Facturas_Odoo!$H:$H, MATCH(Q432, Facturas_Odoo!$B:$B, 0)), 0)*(1-AG432)))</f>
        <v/>
      </c>
      <c r="AJ432" s="81">
        <f>IF(AN432="","",_xlfn.LET(idVenta, AN432&amp;"",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32" s="81">
        <f>IF(AN432="","",AH432-AJ432)</f>
        <v/>
      </c>
      <c r="AL432" s="81">
        <f>IF(AN432="","",IF(Q432="Sin Factura","",AI432-AJ432))</f>
        <v/>
      </c>
      <c r="AM432" s="81">
        <f>IF(AN432="","",IF(Q432="Sin Factura",0,P432-IFERROR(INDEX(Facturas_Odoo!$H:$H, MATCH(Q432, Facturas_Odoo!$B:$B, 0)), 0)))</f>
        <v/>
      </c>
      <c r="AN432" s="79">
        <f>IF(AND(A432="", J432=""), "", IF(A432&lt;&gt;"", VALUE(MID(A432,2,LEN(A432))), AN431))</f>
        <v/>
      </c>
      <c r="AO432" s="79">
        <f>IF(AN432="","",IF(AD432=0,"OK",_xlfn.LET(monedaPago, IF(AA432="","USD",AA432), limitePermitido, IFERROR(VLOOKUP(monedaPago, Configuración!$A$2:$B$3, 2, FALSE), 0.15), IF(AD432&gt;limitePermitido, "ALERTA: EXCESO (" &amp; TEXT(limitePermitido, "0%") &amp; " máx)", "OK"))))</f>
        <v/>
      </c>
      <c r="AP432" s="79">
        <f>IF(AN432="","",IF(AE432=0,"OK",_xlfn.LET(fechaPago, Z432, fechaFactura, R432, diasCredito, IF(E432="Pago inmediato", 0, IFERROR(VALUE(MID(E432, 1, SEARCH(" ", E432)-1)),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32" s="79">
        <f>IF(AN432="","",IF(AND(N432&gt;0, AG432&gt;0), IF(Configuración!$K$2="NO", "ALERTA: DESCUENTO DOBLE NO PERMITIDO", "OK"), "OK"))</f>
        <v/>
      </c>
      <c r="AR432" s="79">
        <f>IF(AN432="","",IF(OR(AO432&lt;&gt;"OK", AP432&lt;&gt;"OK", AQ432&lt;&gt;"OK"), "⚠️ REVISAR", "OK"))</f>
        <v/>
      </c>
    </row>
    <row r="433">
      <c r="A433" s="79">
        <f>IF('Ordenes_Odoo'!A433="","",'Ordenes_Odoo'!A433)</f>
        <v/>
      </c>
      <c r="B433" s="80">
        <f>IF('Ordenes_Odoo'!B433="","",'Ordenes_Odoo'!B433)</f>
        <v/>
      </c>
      <c r="C433" s="79">
        <f>IF('Ordenes_Odoo'!C433="","",'Ordenes_Odoo'!C433)</f>
        <v/>
      </c>
      <c r="D433" s="79">
        <f>IF('Ordenes_Odoo'!D433="","",'Ordenes_Odoo'!D433)</f>
        <v/>
      </c>
      <c r="E433" s="79">
        <f>IF('Ordenes_Odoo'!E433="","",'Ordenes_Odoo'!E433)</f>
        <v/>
      </c>
      <c r="F433" s="79">
        <f>IF('Ordenes_Odoo'!F433="","",'Ordenes_Odoo'!F433)</f>
        <v/>
      </c>
      <c r="G433" s="79">
        <f>IF('Ordenes_Odoo'!G433="","",'Ordenes_Odoo'!G433)</f>
        <v/>
      </c>
      <c r="H433" s="79">
        <f>IF('Ordenes_Odoo'!H433="","",'Ordenes_Odoo'!H433)</f>
        <v/>
      </c>
      <c r="I433" s="79">
        <f>IF('Ordenes_Odoo'!I433="","",'Ordenes_Odoo'!I433)</f>
        <v/>
      </c>
      <c r="J433" s="79">
        <f>IF('Ordenes_Odoo'!J433="","",'Ordenes_Odoo'!J433)</f>
        <v/>
      </c>
      <c r="K433" s="81">
        <f>IF('Ordenes_Odoo'!K433="","",'Ordenes_Odoo'!K433)</f>
        <v/>
      </c>
      <c r="L433" s="81">
        <f>IF('Ordenes_Odoo'!L433="","",'Ordenes_Odoo'!L433)</f>
        <v/>
      </c>
      <c r="M433" s="79">
        <f>IF('Ordenes_Odoo'!M433="","",'Ordenes_Odoo'!M433)</f>
        <v/>
      </c>
      <c r="N433" s="79">
        <f>IF('Ordenes_Odoo'!N433="","",'Ordenes_Odoo'!N433)</f>
        <v/>
      </c>
      <c r="O433" s="81">
        <f>IF('Ordenes_Odoo'!O433="","",'Ordenes_Odoo'!O433)</f>
        <v/>
      </c>
      <c r="P433" s="81">
        <f>IF('Ordenes_Odoo'!P433="","",'Ordenes_Odoo'!P433)</f>
        <v/>
      </c>
      <c r="Q433" s="79">
        <f>IF(A433="","",IFERROR(INDEX(Facturas_Odoo!$B:$B, MATCH(A433, Facturas_Odoo!$D:$D, 0)), "Sin Factura"))</f>
        <v/>
      </c>
      <c r="R433" s="80">
        <f>IF(Q433="Sin Factura","",IFERROR(INDEX(Facturas_Odoo!$A:$A, MATCH(Q433, Facturas_Odoo!$B:$B, 0)), ""))</f>
        <v/>
      </c>
      <c r="S433" s="79">
        <f>IF(Q433="Sin Factura","",IFERROR(_xlfn.XLOOKUP(1, (Facturas_Odoo!$D:$D=A433) * (Facturas_Odoo!$K:$K=I433), Facturas_Odoo!$L:$L, ""), ""))</f>
        <v/>
      </c>
      <c r="T433" s="81">
        <f>IF(Q433="Sin Factura",0,IFERROR(_xlfn.XLOOKUP(1, (Facturas_Odoo!$D:$D=A433) * (Facturas_Odoo!$K:$K=I433), Facturas_Odoo!$M:$M, 0), 0))</f>
        <v/>
      </c>
      <c r="U433" s="79">
        <f>IF(Q433="Sin Factura",0,IFERROR(_xlfn.XLOOKUP(1, (Facturas_Odoo!$D:$D=A433) * (Facturas_Odoo!$K:$K=I433), Facturas_Odoo!$N:$N, 0), 0))</f>
        <v/>
      </c>
      <c r="V433" s="79">
        <f>IF(Q433="Sin Factura",0,IFERROR(_xlfn.XLOOKUP(1, (Facturas_Odoo!$D:$D=A433) * (Facturas_Odoo!$K:$K=I433), Facturas_Odoo!$O:$O, 0), 0))</f>
        <v/>
      </c>
      <c r="W433" s="81">
        <f>IF(Q433="Sin Factura",0,IFERROR(_xlfn.XLOOKUP(1, (Facturas_Odoo!$D:$D=A433) * (Facturas_Odoo!$K:$K=I433), Facturas_Odoo!$Q:$Q, 0), 0))</f>
        <v/>
      </c>
      <c r="X433" s="79">
        <f>IF(OR(Q433="Sin Factura",Q433=""),"",IFERROR(INDEX(Pagos_Odoo!$B:$B, MATCH(Q433, Pagos_Odoo!$I:$I, 0)), "Sin Pago"))</f>
        <v/>
      </c>
      <c r="Y433" s="79">
        <f>IF(X433="Sin Pago","",IFERROR(INDEX(Pagos_Odoo!$C:$C, MATCH(X433, Pagos_Odoo!$B:$B, 0)), ""))</f>
        <v/>
      </c>
      <c r="Z433" s="80">
        <f>IF(X433="Sin Pago","",IFERROR(INDEX(Pagos_Odoo!$A:$A, MATCH(X433, Pagos_Odoo!$B:$B, 0)), ""))</f>
        <v/>
      </c>
      <c r="AA433" s="79">
        <f>IF(X433="Sin Pago","",IFERROR(INDEX(Pagos_Odoo!$F:$F, MATCH(X433, Pagos_Odoo!$B:$B, 0)), ""))</f>
        <v/>
      </c>
      <c r="AB433" s="81">
        <f>IF(X433="Sin Pago",0,IFERROR(INDEX(Pagos_Odoo!$E:$E, MATCH(X433, Pagos_Odoo!$B:$B, 0)), 0))</f>
        <v/>
      </c>
      <c r="AC433" s="79">
        <f>IF(X433="Sin Pago","",IFERROR(INDEX(Pagos_Odoo!$G:$G, MATCH(X433, Pagos_Odoo!$B:$B, 0)), ""))</f>
        <v/>
      </c>
      <c r="AD433" s="82" t="n">
        <v>0</v>
      </c>
      <c r="AE433" s="82" t="n"/>
      <c r="AF433" s="82" t="n"/>
      <c r="AG433" s="82">
        <f>IF(AN433="","",AD433+AE433+AF433)</f>
        <v/>
      </c>
      <c r="AH433" s="81">
        <f>IF(AN433="","",P433*(1-AG433))</f>
        <v/>
      </c>
      <c r="AI433" s="81">
        <f>IF(AN433="","",IF(Q433="Sin Factura",0,IFERROR(INDEX(Facturas_Odoo!$H:$H, MATCH(Q433, Facturas_Odoo!$B:$B, 0)), 0)*(1-AG433)))</f>
        <v/>
      </c>
      <c r="AJ433" s="81">
        <f>IF(AN433="","",_xlfn.LET(idVenta, AN433&amp;"",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33" s="81">
        <f>IF(AN433="","",AH433-AJ433)</f>
        <v/>
      </c>
      <c r="AL433" s="81">
        <f>IF(AN433="","",IF(Q433="Sin Factura","",AI433-AJ433))</f>
        <v/>
      </c>
      <c r="AM433" s="81">
        <f>IF(AN433="","",IF(Q433="Sin Factura",0,P433-IFERROR(INDEX(Facturas_Odoo!$H:$H, MATCH(Q433, Facturas_Odoo!$B:$B, 0)), 0)))</f>
        <v/>
      </c>
      <c r="AN433" s="79">
        <f>IF(AND(A433="", J433=""), "", IF(A433&lt;&gt;"", VALUE(MID(A433,2,LEN(A433))), AN432))</f>
        <v/>
      </c>
      <c r="AO433" s="79">
        <f>IF(AN433="","",IF(AD433=0,"OK",_xlfn.LET(monedaPago, IF(AA433="","USD",AA433), limitePermitido, IFERROR(VLOOKUP(monedaPago, Configuración!$A$2:$B$3, 2, FALSE), 0.15), IF(AD433&gt;limitePermitido, "ALERTA: EXCESO (" &amp; TEXT(limitePermitido, "0%") &amp; " máx)", "OK"))))</f>
        <v/>
      </c>
      <c r="AP433" s="79">
        <f>IF(AN433="","",IF(AE433=0,"OK",_xlfn.LET(fechaPago, Z433, fechaFactura, R433, diasCredito, IF(E433="Pago inmediato", 0, IFERROR(VALUE(MID(E433, 1, SEARCH(" ", E433)-1)),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33" s="79">
        <f>IF(AN433="","",IF(AND(N433&gt;0, AG433&gt;0), IF(Configuración!$K$2="NO", "ALERTA: DESCUENTO DOBLE NO PERMITIDO", "OK"), "OK"))</f>
        <v/>
      </c>
      <c r="AR433" s="79">
        <f>IF(AN433="","",IF(OR(AO433&lt;&gt;"OK", AP433&lt;&gt;"OK", AQ433&lt;&gt;"OK"), "⚠️ REVISAR", "OK"))</f>
        <v/>
      </c>
    </row>
    <row r="434">
      <c r="A434" s="79">
        <f>IF('Ordenes_Odoo'!A434="","",'Ordenes_Odoo'!A434)</f>
        <v/>
      </c>
      <c r="B434" s="80">
        <f>IF('Ordenes_Odoo'!B434="","",'Ordenes_Odoo'!B434)</f>
        <v/>
      </c>
      <c r="C434" s="79">
        <f>IF('Ordenes_Odoo'!C434="","",'Ordenes_Odoo'!C434)</f>
        <v/>
      </c>
      <c r="D434" s="79">
        <f>IF('Ordenes_Odoo'!D434="","",'Ordenes_Odoo'!D434)</f>
        <v/>
      </c>
      <c r="E434" s="79">
        <f>IF('Ordenes_Odoo'!E434="","",'Ordenes_Odoo'!E434)</f>
        <v/>
      </c>
      <c r="F434" s="79">
        <f>IF('Ordenes_Odoo'!F434="","",'Ordenes_Odoo'!F434)</f>
        <v/>
      </c>
      <c r="G434" s="79">
        <f>IF('Ordenes_Odoo'!G434="","",'Ordenes_Odoo'!G434)</f>
        <v/>
      </c>
      <c r="H434" s="79">
        <f>IF('Ordenes_Odoo'!H434="","",'Ordenes_Odoo'!H434)</f>
        <v/>
      </c>
      <c r="I434" s="79">
        <f>IF('Ordenes_Odoo'!I434="","",'Ordenes_Odoo'!I434)</f>
        <v/>
      </c>
      <c r="J434" s="79">
        <f>IF('Ordenes_Odoo'!J434="","",'Ordenes_Odoo'!J434)</f>
        <v/>
      </c>
      <c r="K434" s="81">
        <f>IF('Ordenes_Odoo'!K434="","",'Ordenes_Odoo'!K434)</f>
        <v/>
      </c>
      <c r="L434" s="81">
        <f>IF('Ordenes_Odoo'!L434="","",'Ordenes_Odoo'!L434)</f>
        <v/>
      </c>
      <c r="M434" s="79">
        <f>IF('Ordenes_Odoo'!M434="","",'Ordenes_Odoo'!M434)</f>
        <v/>
      </c>
      <c r="N434" s="79">
        <f>IF('Ordenes_Odoo'!N434="","",'Ordenes_Odoo'!N434)</f>
        <v/>
      </c>
      <c r="O434" s="81">
        <f>IF('Ordenes_Odoo'!O434="","",'Ordenes_Odoo'!O434)</f>
        <v/>
      </c>
      <c r="P434" s="81">
        <f>IF('Ordenes_Odoo'!P434="","",'Ordenes_Odoo'!P434)</f>
        <v/>
      </c>
      <c r="Q434" s="79">
        <f>IF(A434="","",IFERROR(INDEX(Facturas_Odoo!$B:$B, MATCH(A434, Facturas_Odoo!$D:$D, 0)), "Sin Factura"))</f>
        <v/>
      </c>
      <c r="R434" s="80">
        <f>IF(Q434="Sin Factura","",IFERROR(INDEX(Facturas_Odoo!$A:$A, MATCH(Q434, Facturas_Odoo!$B:$B, 0)), ""))</f>
        <v/>
      </c>
      <c r="S434" s="79">
        <f>IF(Q434="Sin Factura","",IFERROR(_xlfn.XLOOKUP(1, (Facturas_Odoo!$D:$D=A434) * (Facturas_Odoo!$K:$K=I434), Facturas_Odoo!$L:$L, ""), ""))</f>
        <v/>
      </c>
      <c r="T434" s="81">
        <f>IF(Q434="Sin Factura",0,IFERROR(_xlfn.XLOOKUP(1, (Facturas_Odoo!$D:$D=A434) * (Facturas_Odoo!$K:$K=I434), Facturas_Odoo!$M:$M, 0), 0))</f>
        <v/>
      </c>
      <c r="U434" s="79">
        <f>IF(Q434="Sin Factura",0,IFERROR(_xlfn.XLOOKUP(1, (Facturas_Odoo!$D:$D=A434) * (Facturas_Odoo!$K:$K=I434), Facturas_Odoo!$N:$N, 0), 0))</f>
        <v/>
      </c>
      <c r="V434" s="79">
        <f>IF(Q434="Sin Factura",0,IFERROR(_xlfn.XLOOKUP(1, (Facturas_Odoo!$D:$D=A434) * (Facturas_Odoo!$K:$K=I434), Facturas_Odoo!$O:$O, 0), 0))</f>
        <v/>
      </c>
      <c r="W434" s="81">
        <f>IF(Q434="Sin Factura",0,IFERROR(_xlfn.XLOOKUP(1, (Facturas_Odoo!$D:$D=A434) * (Facturas_Odoo!$K:$K=I434), Facturas_Odoo!$Q:$Q, 0), 0))</f>
        <v/>
      </c>
      <c r="X434" s="79">
        <f>IF(OR(Q434="Sin Factura",Q434=""),"",IFERROR(INDEX(Pagos_Odoo!$B:$B, MATCH(Q434, Pagos_Odoo!$I:$I, 0)), "Sin Pago"))</f>
        <v/>
      </c>
      <c r="Y434" s="79">
        <f>IF(X434="Sin Pago","",IFERROR(INDEX(Pagos_Odoo!$C:$C, MATCH(X434, Pagos_Odoo!$B:$B, 0)), ""))</f>
        <v/>
      </c>
      <c r="Z434" s="80">
        <f>IF(X434="Sin Pago","",IFERROR(INDEX(Pagos_Odoo!$A:$A, MATCH(X434, Pagos_Odoo!$B:$B, 0)), ""))</f>
        <v/>
      </c>
      <c r="AA434" s="79">
        <f>IF(X434="Sin Pago","",IFERROR(INDEX(Pagos_Odoo!$F:$F, MATCH(X434, Pagos_Odoo!$B:$B, 0)), ""))</f>
        <v/>
      </c>
      <c r="AB434" s="81">
        <f>IF(X434="Sin Pago",0,IFERROR(INDEX(Pagos_Odoo!$E:$E, MATCH(X434, Pagos_Odoo!$B:$B, 0)), 0))</f>
        <v/>
      </c>
      <c r="AC434" s="79">
        <f>IF(X434="Sin Pago","",IFERROR(INDEX(Pagos_Odoo!$G:$G, MATCH(X434, Pagos_Odoo!$B:$B, 0)), ""))</f>
        <v/>
      </c>
      <c r="AD434" s="82" t="n">
        <v>0</v>
      </c>
      <c r="AE434" s="82" t="n"/>
      <c r="AF434" s="82" t="n"/>
      <c r="AG434" s="82">
        <f>IF(AN434="","",AD434+AE434+AF434)</f>
        <v/>
      </c>
      <c r="AH434" s="81">
        <f>IF(AN434="","",P434*(1-AG434))</f>
        <v/>
      </c>
      <c r="AI434" s="81">
        <f>IF(AN434="","",IF(Q434="Sin Factura",0,IFERROR(INDEX(Facturas_Odoo!$H:$H, MATCH(Q434, Facturas_Odoo!$B:$B, 0)), 0)*(1-AG434)))</f>
        <v/>
      </c>
      <c r="AJ434" s="81">
        <f>IF(AN434="","",_xlfn.LET(idVenta, AN434&amp;"",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34" s="81">
        <f>IF(AN434="","",AH434-AJ434)</f>
        <v/>
      </c>
      <c r="AL434" s="81">
        <f>IF(AN434="","",IF(Q434="Sin Factura","",AI434-AJ434))</f>
        <v/>
      </c>
      <c r="AM434" s="81">
        <f>IF(AN434="","",IF(Q434="Sin Factura",0,P434-IFERROR(INDEX(Facturas_Odoo!$H:$H, MATCH(Q434, Facturas_Odoo!$B:$B, 0)), 0)))</f>
        <v/>
      </c>
      <c r="AN434" s="79">
        <f>IF(AND(A434="", J434=""), "", IF(A434&lt;&gt;"", VALUE(MID(A434,2,LEN(A434))), AN433))</f>
        <v/>
      </c>
      <c r="AO434" s="79">
        <f>IF(AN434="","",IF(AD434=0,"OK",_xlfn.LET(monedaPago, IF(AA434="","USD",AA434), limitePermitido, IFERROR(VLOOKUP(monedaPago, Configuración!$A$2:$B$3, 2, FALSE), 0.15), IF(AD434&gt;limitePermitido, "ALERTA: EXCESO (" &amp; TEXT(limitePermitido, "0%") &amp; " máx)", "OK"))))</f>
        <v/>
      </c>
      <c r="AP434" s="79">
        <f>IF(AN434="","",IF(AE434=0,"OK",_xlfn.LET(fechaPago, Z434, fechaFactura, R434, diasCredito, IF(E434="Pago inmediato", 0, IFERROR(VALUE(MID(E434, 1, SEARCH(" ", E434)-1)),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34" s="79">
        <f>IF(AN434="","",IF(AND(N434&gt;0, AG434&gt;0), IF(Configuración!$K$2="NO", "ALERTA: DESCUENTO DOBLE NO PERMITIDO", "OK"), "OK"))</f>
        <v/>
      </c>
      <c r="AR434" s="79">
        <f>IF(AN434="","",IF(OR(AO434&lt;&gt;"OK", AP434&lt;&gt;"OK", AQ434&lt;&gt;"OK"), "⚠️ REVISAR", "OK"))</f>
        <v/>
      </c>
    </row>
    <row r="435">
      <c r="A435" s="79">
        <f>IF('Ordenes_Odoo'!A435="","",'Ordenes_Odoo'!A435)</f>
        <v/>
      </c>
      <c r="B435" s="80">
        <f>IF('Ordenes_Odoo'!B435="","",'Ordenes_Odoo'!B435)</f>
        <v/>
      </c>
      <c r="C435" s="79">
        <f>IF('Ordenes_Odoo'!C435="","",'Ordenes_Odoo'!C435)</f>
        <v/>
      </c>
      <c r="D435" s="79">
        <f>IF('Ordenes_Odoo'!D435="","",'Ordenes_Odoo'!D435)</f>
        <v/>
      </c>
      <c r="E435" s="79">
        <f>IF('Ordenes_Odoo'!E435="","",'Ordenes_Odoo'!E435)</f>
        <v/>
      </c>
      <c r="F435" s="79">
        <f>IF('Ordenes_Odoo'!F435="","",'Ordenes_Odoo'!F435)</f>
        <v/>
      </c>
      <c r="G435" s="79">
        <f>IF('Ordenes_Odoo'!G435="","",'Ordenes_Odoo'!G435)</f>
        <v/>
      </c>
      <c r="H435" s="79">
        <f>IF('Ordenes_Odoo'!H435="","",'Ordenes_Odoo'!H435)</f>
        <v/>
      </c>
      <c r="I435" s="79">
        <f>IF('Ordenes_Odoo'!I435="","",'Ordenes_Odoo'!I435)</f>
        <v/>
      </c>
      <c r="J435" s="79">
        <f>IF('Ordenes_Odoo'!J435="","",'Ordenes_Odoo'!J435)</f>
        <v/>
      </c>
      <c r="K435" s="81">
        <f>IF('Ordenes_Odoo'!K435="","",'Ordenes_Odoo'!K435)</f>
        <v/>
      </c>
      <c r="L435" s="81">
        <f>IF('Ordenes_Odoo'!L435="","",'Ordenes_Odoo'!L435)</f>
        <v/>
      </c>
      <c r="M435" s="79">
        <f>IF('Ordenes_Odoo'!M435="","",'Ordenes_Odoo'!M435)</f>
        <v/>
      </c>
      <c r="N435" s="79">
        <f>IF('Ordenes_Odoo'!N435="","",'Ordenes_Odoo'!N435)</f>
        <v/>
      </c>
      <c r="O435" s="81">
        <f>IF('Ordenes_Odoo'!O435="","",'Ordenes_Odoo'!O435)</f>
        <v/>
      </c>
      <c r="P435" s="81">
        <f>IF('Ordenes_Odoo'!P435="","",'Ordenes_Odoo'!P435)</f>
        <v/>
      </c>
      <c r="Q435" s="79">
        <f>IF(A435="","",IFERROR(INDEX(Facturas_Odoo!$B:$B, MATCH(A435, Facturas_Odoo!$D:$D, 0)), "Sin Factura"))</f>
        <v/>
      </c>
      <c r="R435" s="80">
        <f>IF(Q435="Sin Factura","",IFERROR(INDEX(Facturas_Odoo!$A:$A, MATCH(Q435, Facturas_Odoo!$B:$B, 0)), ""))</f>
        <v/>
      </c>
      <c r="S435" s="79">
        <f>IF(Q435="Sin Factura","",IFERROR(_xlfn.XLOOKUP(1, (Facturas_Odoo!$D:$D=A435) * (Facturas_Odoo!$K:$K=I435), Facturas_Odoo!$L:$L, ""), ""))</f>
        <v/>
      </c>
      <c r="T435" s="81">
        <f>IF(Q435="Sin Factura",0,IFERROR(_xlfn.XLOOKUP(1, (Facturas_Odoo!$D:$D=A435) * (Facturas_Odoo!$K:$K=I435), Facturas_Odoo!$M:$M, 0), 0))</f>
        <v/>
      </c>
      <c r="U435" s="79">
        <f>IF(Q435="Sin Factura",0,IFERROR(_xlfn.XLOOKUP(1, (Facturas_Odoo!$D:$D=A435) * (Facturas_Odoo!$K:$K=I435), Facturas_Odoo!$N:$N, 0), 0))</f>
        <v/>
      </c>
      <c r="V435" s="79">
        <f>IF(Q435="Sin Factura",0,IFERROR(_xlfn.XLOOKUP(1, (Facturas_Odoo!$D:$D=A435) * (Facturas_Odoo!$K:$K=I435), Facturas_Odoo!$O:$O, 0), 0))</f>
        <v/>
      </c>
      <c r="W435" s="81">
        <f>IF(Q435="Sin Factura",0,IFERROR(_xlfn.XLOOKUP(1, (Facturas_Odoo!$D:$D=A435) * (Facturas_Odoo!$K:$K=I435), Facturas_Odoo!$Q:$Q, 0), 0))</f>
        <v/>
      </c>
      <c r="X435" s="79">
        <f>IF(OR(Q435="Sin Factura",Q435=""),"",IFERROR(INDEX(Pagos_Odoo!$B:$B, MATCH(Q435, Pagos_Odoo!$I:$I, 0)), "Sin Pago"))</f>
        <v/>
      </c>
      <c r="Y435" s="79">
        <f>IF(X435="Sin Pago","",IFERROR(INDEX(Pagos_Odoo!$C:$C, MATCH(X435, Pagos_Odoo!$B:$B, 0)), ""))</f>
        <v/>
      </c>
      <c r="Z435" s="80">
        <f>IF(X435="Sin Pago","",IFERROR(INDEX(Pagos_Odoo!$A:$A, MATCH(X435, Pagos_Odoo!$B:$B, 0)), ""))</f>
        <v/>
      </c>
      <c r="AA435" s="79">
        <f>IF(X435="Sin Pago","",IFERROR(INDEX(Pagos_Odoo!$F:$F, MATCH(X435, Pagos_Odoo!$B:$B, 0)), ""))</f>
        <v/>
      </c>
      <c r="AB435" s="81">
        <f>IF(X435="Sin Pago",0,IFERROR(INDEX(Pagos_Odoo!$E:$E, MATCH(X435, Pagos_Odoo!$B:$B, 0)), 0))</f>
        <v/>
      </c>
      <c r="AC435" s="79">
        <f>IF(X435="Sin Pago","",IFERROR(INDEX(Pagos_Odoo!$G:$G, MATCH(X435, Pagos_Odoo!$B:$B, 0)), ""))</f>
        <v/>
      </c>
      <c r="AD435" s="82" t="n">
        <v>0</v>
      </c>
      <c r="AE435" s="82" t="n"/>
      <c r="AF435" s="82" t="n"/>
      <c r="AG435" s="82">
        <f>IF(AN435="","",AD435+AE435+AF435)</f>
        <v/>
      </c>
      <c r="AH435" s="81">
        <f>IF(AN435="","",P435*(1-AG435))</f>
        <v/>
      </c>
      <c r="AI435" s="81">
        <f>IF(AN435="","",IF(Q435="Sin Factura",0,IFERROR(INDEX(Facturas_Odoo!$H:$H, MATCH(Q435, Facturas_Odoo!$B:$B, 0)), 0)*(1-AG435)))</f>
        <v/>
      </c>
      <c r="AJ435" s="81">
        <f>IF(AN435="","",_xlfn.LET(idVenta, AN435&amp;"",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35" s="81">
        <f>IF(AN435="","",AH435-AJ435)</f>
        <v/>
      </c>
      <c r="AL435" s="81">
        <f>IF(AN435="","",IF(Q435="Sin Factura","",AI435-AJ435))</f>
        <v/>
      </c>
      <c r="AM435" s="81">
        <f>IF(AN435="","",IF(Q435="Sin Factura",0,P435-IFERROR(INDEX(Facturas_Odoo!$H:$H, MATCH(Q435, Facturas_Odoo!$B:$B, 0)), 0)))</f>
        <v/>
      </c>
      <c r="AN435" s="79">
        <f>IF(AND(A435="", J435=""), "", IF(A435&lt;&gt;"", VALUE(MID(A435,2,LEN(A435))), AN434))</f>
        <v/>
      </c>
      <c r="AO435" s="79">
        <f>IF(AN435="","",IF(AD435=0,"OK",_xlfn.LET(monedaPago, IF(AA435="","USD",AA435), limitePermitido, IFERROR(VLOOKUP(monedaPago, Configuración!$A$2:$B$3, 2, FALSE), 0.15), IF(AD435&gt;limitePermitido, "ALERTA: EXCESO (" &amp; TEXT(limitePermitido, "0%") &amp; " máx)", "OK"))))</f>
        <v/>
      </c>
      <c r="AP435" s="79">
        <f>IF(AN435="","",IF(AE435=0,"OK",_xlfn.LET(fechaPago, Z435, fechaFactura, R435, diasCredito, IF(E435="Pago inmediato", 0, IFERROR(VALUE(MID(E435, 1, SEARCH(" ", E435)-1)),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35" s="79">
        <f>IF(AN435="","",IF(AND(N435&gt;0, AG435&gt;0), IF(Configuración!$K$2="NO", "ALERTA: DESCUENTO DOBLE NO PERMITIDO", "OK"), "OK"))</f>
        <v/>
      </c>
      <c r="AR435" s="79">
        <f>IF(AN435="","",IF(OR(AO435&lt;&gt;"OK", AP435&lt;&gt;"OK", AQ435&lt;&gt;"OK"), "⚠️ REVISAR", "OK"))</f>
        <v/>
      </c>
    </row>
    <row r="436">
      <c r="A436" s="79">
        <f>IF('Ordenes_Odoo'!A436="","",'Ordenes_Odoo'!A436)</f>
        <v/>
      </c>
      <c r="B436" s="80">
        <f>IF('Ordenes_Odoo'!B436="","",'Ordenes_Odoo'!B436)</f>
        <v/>
      </c>
      <c r="C436" s="79">
        <f>IF('Ordenes_Odoo'!C436="","",'Ordenes_Odoo'!C436)</f>
        <v/>
      </c>
      <c r="D436" s="79">
        <f>IF('Ordenes_Odoo'!D436="","",'Ordenes_Odoo'!D436)</f>
        <v/>
      </c>
      <c r="E436" s="79">
        <f>IF('Ordenes_Odoo'!E436="","",'Ordenes_Odoo'!E436)</f>
        <v/>
      </c>
      <c r="F436" s="79">
        <f>IF('Ordenes_Odoo'!F436="","",'Ordenes_Odoo'!F436)</f>
        <v/>
      </c>
      <c r="G436" s="79">
        <f>IF('Ordenes_Odoo'!G436="","",'Ordenes_Odoo'!G436)</f>
        <v/>
      </c>
      <c r="H436" s="79">
        <f>IF('Ordenes_Odoo'!H436="","",'Ordenes_Odoo'!H436)</f>
        <v/>
      </c>
      <c r="I436" s="79">
        <f>IF('Ordenes_Odoo'!I436="","",'Ordenes_Odoo'!I436)</f>
        <v/>
      </c>
      <c r="J436" s="79">
        <f>IF('Ordenes_Odoo'!J436="","",'Ordenes_Odoo'!J436)</f>
        <v/>
      </c>
      <c r="K436" s="81">
        <f>IF('Ordenes_Odoo'!K436="","",'Ordenes_Odoo'!K436)</f>
        <v/>
      </c>
      <c r="L436" s="81">
        <f>IF('Ordenes_Odoo'!L436="","",'Ordenes_Odoo'!L436)</f>
        <v/>
      </c>
      <c r="M436" s="79">
        <f>IF('Ordenes_Odoo'!M436="","",'Ordenes_Odoo'!M436)</f>
        <v/>
      </c>
      <c r="N436" s="79">
        <f>IF('Ordenes_Odoo'!N436="","",'Ordenes_Odoo'!N436)</f>
        <v/>
      </c>
      <c r="O436" s="81">
        <f>IF('Ordenes_Odoo'!O436="","",'Ordenes_Odoo'!O436)</f>
        <v/>
      </c>
      <c r="P436" s="81">
        <f>IF('Ordenes_Odoo'!P436="","",'Ordenes_Odoo'!P436)</f>
        <v/>
      </c>
      <c r="Q436" s="79">
        <f>IF(A436="","",IFERROR(INDEX(Facturas_Odoo!$B:$B, MATCH(A436, Facturas_Odoo!$D:$D, 0)), "Sin Factura"))</f>
        <v/>
      </c>
      <c r="R436" s="80">
        <f>IF(Q436="Sin Factura","",IFERROR(INDEX(Facturas_Odoo!$A:$A, MATCH(Q436, Facturas_Odoo!$B:$B, 0)), ""))</f>
        <v/>
      </c>
      <c r="S436" s="79">
        <f>IF(Q436="Sin Factura","",IFERROR(_xlfn.XLOOKUP(1, (Facturas_Odoo!$D:$D=A436) * (Facturas_Odoo!$K:$K=I436), Facturas_Odoo!$L:$L, ""), ""))</f>
        <v/>
      </c>
      <c r="T436" s="81">
        <f>IF(Q436="Sin Factura",0,IFERROR(_xlfn.XLOOKUP(1, (Facturas_Odoo!$D:$D=A436) * (Facturas_Odoo!$K:$K=I436), Facturas_Odoo!$M:$M, 0), 0))</f>
        <v/>
      </c>
      <c r="U436" s="79">
        <f>IF(Q436="Sin Factura",0,IFERROR(_xlfn.XLOOKUP(1, (Facturas_Odoo!$D:$D=A436) * (Facturas_Odoo!$K:$K=I436), Facturas_Odoo!$N:$N, 0), 0))</f>
        <v/>
      </c>
      <c r="V436" s="79">
        <f>IF(Q436="Sin Factura",0,IFERROR(_xlfn.XLOOKUP(1, (Facturas_Odoo!$D:$D=A436) * (Facturas_Odoo!$K:$K=I436), Facturas_Odoo!$O:$O, 0), 0))</f>
        <v/>
      </c>
      <c r="W436" s="81">
        <f>IF(Q436="Sin Factura",0,IFERROR(_xlfn.XLOOKUP(1, (Facturas_Odoo!$D:$D=A436) * (Facturas_Odoo!$K:$K=I436), Facturas_Odoo!$Q:$Q, 0), 0))</f>
        <v/>
      </c>
      <c r="X436" s="79">
        <f>IF(OR(Q436="Sin Factura",Q436=""),"",IFERROR(INDEX(Pagos_Odoo!$B:$B, MATCH(Q436, Pagos_Odoo!$I:$I, 0)), "Sin Pago"))</f>
        <v/>
      </c>
      <c r="Y436" s="79">
        <f>IF(X436="Sin Pago","",IFERROR(INDEX(Pagos_Odoo!$C:$C, MATCH(X436, Pagos_Odoo!$B:$B, 0)), ""))</f>
        <v/>
      </c>
      <c r="Z436" s="80">
        <f>IF(X436="Sin Pago","",IFERROR(INDEX(Pagos_Odoo!$A:$A, MATCH(X436, Pagos_Odoo!$B:$B, 0)), ""))</f>
        <v/>
      </c>
      <c r="AA436" s="79">
        <f>IF(X436="Sin Pago","",IFERROR(INDEX(Pagos_Odoo!$F:$F, MATCH(X436, Pagos_Odoo!$B:$B, 0)), ""))</f>
        <v/>
      </c>
      <c r="AB436" s="81">
        <f>IF(X436="Sin Pago",0,IFERROR(INDEX(Pagos_Odoo!$E:$E, MATCH(X436, Pagos_Odoo!$B:$B, 0)), 0))</f>
        <v/>
      </c>
      <c r="AC436" s="79">
        <f>IF(X436="Sin Pago","",IFERROR(INDEX(Pagos_Odoo!$G:$G, MATCH(X436, Pagos_Odoo!$B:$B, 0)), ""))</f>
        <v/>
      </c>
      <c r="AD436" s="82" t="n">
        <v>0</v>
      </c>
      <c r="AE436" s="82" t="n"/>
      <c r="AF436" s="82" t="n"/>
      <c r="AG436" s="82">
        <f>IF(AN436="","",AD436+AE436+AF436)</f>
        <v/>
      </c>
      <c r="AH436" s="81">
        <f>IF(AN436="","",P436*(1-AG436))</f>
        <v/>
      </c>
      <c r="AI436" s="81">
        <f>IF(AN436="","",IF(Q436="Sin Factura",0,IFERROR(INDEX(Facturas_Odoo!$H:$H, MATCH(Q436, Facturas_Odoo!$B:$B, 0)), 0)*(1-AG436)))</f>
        <v/>
      </c>
      <c r="AJ436" s="81">
        <f>IF(AN436="","",_xlfn.LET(idVenta, AN436&amp;"",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36" s="81">
        <f>IF(AN436="","",AH436-AJ436)</f>
        <v/>
      </c>
      <c r="AL436" s="81">
        <f>IF(AN436="","",IF(Q436="Sin Factura","",AI436-AJ436))</f>
        <v/>
      </c>
      <c r="AM436" s="81">
        <f>IF(AN436="","",IF(Q436="Sin Factura",0,P436-IFERROR(INDEX(Facturas_Odoo!$H:$H, MATCH(Q436, Facturas_Odoo!$B:$B, 0)), 0)))</f>
        <v/>
      </c>
      <c r="AN436" s="79">
        <f>IF(AND(A436="", J436=""), "", IF(A436&lt;&gt;"", VALUE(MID(A436,2,LEN(A436))), AN435))</f>
        <v/>
      </c>
      <c r="AO436" s="79">
        <f>IF(AN436="","",IF(AD436=0,"OK",_xlfn.LET(monedaPago, IF(AA436="","USD",AA436), limitePermitido, IFERROR(VLOOKUP(monedaPago, Configuración!$A$2:$B$3, 2, FALSE), 0.15), IF(AD436&gt;limitePermitido, "ALERTA: EXCESO (" &amp; TEXT(limitePermitido, "0%") &amp; " máx)", "OK"))))</f>
        <v/>
      </c>
      <c r="AP436" s="79">
        <f>IF(AN436="","",IF(AE436=0,"OK",_xlfn.LET(fechaPago, Z436, fechaFactura, R436, diasCredito, IF(E436="Pago inmediato", 0, IFERROR(VALUE(MID(E436, 1, SEARCH(" ", E436)-1)),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36" s="79">
        <f>IF(AN436="","",IF(AND(N436&gt;0, AG436&gt;0), IF(Configuración!$K$2="NO", "ALERTA: DESCUENTO DOBLE NO PERMITIDO", "OK"), "OK"))</f>
        <v/>
      </c>
      <c r="AR436" s="79">
        <f>IF(AN436="","",IF(OR(AO436&lt;&gt;"OK", AP436&lt;&gt;"OK", AQ436&lt;&gt;"OK"), "⚠️ REVISAR", "OK"))</f>
        <v/>
      </c>
    </row>
    <row r="437">
      <c r="A437" s="79">
        <f>IF('Ordenes_Odoo'!A437="","",'Ordenes_Odoo'!A437)</f>
        <v/>
      </c>
      <c r="B437" s="80">
        <f>IF('Ordenes_Odoo'!B437="","",'Ordenes_Odoo'!B437)</f>
        <v/>
      </c>
      <c r="C437" s="79">
        <f>IF('Ordenes_Odoo'!C437="","",'Ordenes_Odoo'!C437)</f>
        <v/>
      </c>
      <c r="D437" s="79">
        <f>IF('Ordenes_Odoo'!D437="","",'Ordenes_Odoo'!D437)</f>
        <v/>
      </c>
      <c r="E437" s="79">
        <f>IF('Ordenes_Odoo'!E437="","",'Ordenes_Odoo'!E437)</f>
        <v/>
      </c>
      <c r="F437" s="79">
        <f>IF('Ordenes_Odoo'!F437="","",'Ordenes_Odoo'!F437)</f>
        <v/>
      </c>
      <c r="G437" s="79">
        <f>IF('Ordenes_Odoo'!G437="","",'Ordenes_Odoo'!G437)</f>
        <v/>
      </c>
      <c r="H437" s="79">
        <f>IF('Ordenes_Odoo'!H437="","",'Ordenes_Odoo'!H437)</f>
        <v/>
      </c>
      <c r="I437" s="79">
        <f>IF('Ordenes_Odoo'!I437="","",'Ordenes_Odoo'!I437)</f>
        <v/>
      </c>
      <c r="J437" s="79">
        <f>IF('Ordenes_Odoo'!J437="","",'Ordenes_Odoo'!J437)</f>
        <v/>
      </c>
      <c r="K437" s="81">
        <f>IF('Ordenes_Odoo'!K437="","",'Ordenes_Odoo'!K437)</f>
        <v/>
      </c>
      <c r="L437" s="81">
        <f>IF('Ordenes_Odoo'!L437="","",'Ordenes_Odoo'!L437)</f>
        <v/>
      </c>
      <c r="M437" s="79">
        <f>IF('Ordenes_Odoo'!M437="","",'Ordenes_Odoo'!M437)</f>
        <v/>
      </c>
      <c r="N437" s="79">
        <f>IF('Ordenes_Odoo'!N437="","",'Ordenes_Odoo'!N437)</f>
        <v/>
      </c>
      <c r="O437" s="81">
        <f>IF('Ordenes_Odoo'!O437="","",'Ordenes_Odoo'!O437)</f>
        <v/>
      </c>
      <c r="P437" s="81">
        <f>IF('Ordenes_Odoo'!P437="","",'Ordenes_Odoo'!P437)</f>
        <v/>
      </c>
      <c r="Q437" s="79">
        <f>IF(A437="","",IFERROR(INDEX(Facturas_Odoo!$B:$B, MATCH(A437, Facturas_Odoo!$D:$D, 0)), "Sin Factura"))</f>
        <v/>
      </c>
      <c r="R437" s="80">
        <f>IF(Q437="Sin Factura","",IFERROR(INDEX(Facturas_Odoo!$A:$A, MATCH(Q437, Facturas_Odoo!$B:$B, 0)), ""))</f>
        <v/>
      </c>
      <c r="S437" s="79">
        <f>IF(Q437="Sin Factura","",IFERROR(_xlfn.XLOOKUP(1, (Facturas_Odoo!$D:$D=A437) * (Facturas_Odoo!$K:$K=I437), Facturas_Odoo!$L:$L, ""), ""))</f>
        <v/>
      </c>
      <c r="T437" s="81">
        <f>IF(Q437="Sin Factura",0,IFERROR(_xlfn.XLOOKUP(1, (Facturas_Odoo!$D:$D=A437) * (Facturas_Odoo!$K:$K=I437), Facturas_Odoo!$M:$M, 0), 0))</f>
        <v/>
      </c>
      <c r="U437" s="79">
        <f>IF(Q437="Sin Factura",0,IFERROR(_xlfn.XLOOKUP(1, (Facturas_Odoo!$D:$D=A437) * (Facturas_Odoo!$K:$K=I437), Facturas_Odoo!$N:$N, 0), 0))</f>
        <v/>
      </c>
      <c r="V437" s="79">
        <f>IF(Q437="Sin Factura",0,IFERROR(_xlfn.XLOOKUP(1, (Facturas_Odoo!$D:$D=A437) * (Facturas_Odoo!$K:$K=I437), Facturas_Odoo!$O:$O, 0), 0))</f>
        <v/>
      </c>
      <c r="W437" s="81">
        <f>IF(Q437="Sin Factura",0,IFERROR(_xlfn.XLOOKUP(1, (Facturas_Odoo!$D:$D=A437) * (Facturas_Odoo!$K:$K=I437), Facturas_Odoo!$Q:$Q, 0), 0))</f>
        <v/>
      </c>
      <c r="X437" s="79">
        <f>IF(OR(Q437="Sin Factura",Q437=""),"",IFERROR(INDEX(Pagos_Odoo!$B:$B, MATCH(Q437, Pagos_Odoo!$I:$I, 0)), "Sin Pago"))</f>
        <v/>
      </c>
      <c r="Y437" s="79">
        <f>IF(X437="Sin Pago","",IFERROR(INDEX(Pagos_Odoo!$C:$C, MATCH(X437, Pagos_Odoo!$B:$B, 0)), ""))</f>
        <v/>
      </c>
      <c r="Z437" s="80">
        <f>IF(X437="Sin Pago","",IFERROR(INDEX(Pagos_Odoo!$A:$A, MATCH(X437, Pagos_Odoo!$B:$B, 0)), ""))</f>
        <v/>
      </c>
      <c r="AA437" s="79">
        <f>IF(X437="Sin Pago","",IFERROR(INDEX(Pagos_Odoo!$F:$F, MATCH(X437, Pagos_Odoo!$B:$B, 0)), ""))</f>
        <v/>
      </c>
      <c r="AB437" s="81">
        <f>IF(X437="Sin Pago",0,IFERROR(INDEX(Pagos_Odoo!$E:$E, MATCH(X437, Pagos_Odoo!$B:$B, 0)), 0))</f>
        <v/>
      </c>
      <c r="AC437" s="79">
        <f>IF(X437="Sin Pago","",IFERROR(INDEX(Pagos_Odoo!$G:$G, MATCH(X437, Pagos_Odoo!$B:$B, 0)), ""))</f>
        <v/>
      </c>
      <c r="AD437" s="82" t="n">
        <v>0</v>
      </c>
      <c r="AE437" s="82" t="n"/>
      <c r="AF437" s="82" t="n"/>
      <c r="AG437" s="82">
        <f>IF(AN437="","",AD437+AE437+AF437)</f>
        <v/>
      </c>
      <c r="AH437" s="81">
        <f>IF(AN437="","",P437*(1-AG437))</f>
        <v/>
      </c>
      <c r="AI437" s="81">
        <f>IF(AN437="","",IF(Q437="Sin Factura",0,IFERROR(INDEX(Facturas_Odoo!$H:$H, MATCH(Q437, Facturas_Odoo!$B:$B, 0)), 0)*(1-AG437)))</f>
        <v/>
      </c>
      <c r="AJ437" s="81">
        <f>IF(AN437="","",_xlfn.LET(idVenta, AN437&amp;"",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37" s="81">
        <f>IF(AN437="","",AH437-AJ437)</f>
        <v/>
      </c>
      <c r="AL437" s="81">
        <f>IF(AN437="","",IF(Q437="Sin Factura","",AI437-AJ437))</f>
        <v/>
      </c>
      <c r="AM437" s="81">
        <f>IF(AN437="","",IF(Q437="Sin Factura",0,P437-IFERROR(INDEX(Facturas_Odoo!$H:$H, MATCH(Q437, Facturas_Odoo!$B:$B, 0)), 0)))</f>
        <v/>
      </c>
      <c r="AN437" s="79">
        <f>IF(AND(A437="", J437=""), "", IF(A437&lt;&gt;"", VALUE(MID(A437,2,LEN(A437))), AN436))</f>
        <v/>
      </c>
      <c r="AO437" s="79">
        <f>IF(AN437="","",IF(AD437=0,"OK",_xlfn.LET(monedaPago, IF(AA437="","USD",AA437), limitePermitido, IFERROR(VLOOKUP(monedaPago, Configuración!$A$2:$B$3, 2, FALSE), 0.15), IF(AD437&gt;limitePermitido, "ALERTA: EXCESO (" &amp; TEXT(limitePermitido, "0%") &amp; " máx)", "OK"))))</f>
        <v/>
      </c>
      <c r="AP437" s="79">
        <f>IF(AN437="","",IF(AE437=0,"OK",_xlfn.LET(fechaPago, Z437, fechaFactura, R437, diasCredito, IF(E437="Pago inmediato", 0, IFERROR(VALUE(MID(E437, 1, SEARCH(" ", E437)-1)),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37" s="79">
        <f>IF(AN437="","",IF(AND(N437&gt;0, AG437&gt;0), IF(Configuración!$K$2="NO", "ALERTA: DESCUENTO DOBLE NO PERMITIDO", "OK"), "OK"))</f>
        <v/>
      </c>
      <c r="AR437" s="79">
        <f>IF(AN437="","",IF(OR(AO437&lt;&gt;"OK", AP437&lt;&gt;"OK", AQ437&lt;&gt;"OK"), "⚠️ REVISAR", "OK"))</f>
        <v/>
      </c>
    </row>
    <row r="438">
      <c r="A438" s="79">
        <f>IF('Ordenes_Odoo'!A438="","",'Ordenes_Odoo'!A438)</f>
        <v/>
      </c>
      <c r="B438" s="80">
        <f>IF('Ordenes_Odoo'!B438="","",'Ordenes_Odoo'!B438)</f>
        <v/>
      </c>
      <c r="C438" s="79">
        <f>IF('Ordenes_Odoo'!C438="","",'Ordenes_Odoo'!C438)</f>
        <v/>
      </c>
      <c r="D438" s="79">
        <f>IF('Ordenes_Odoo'!D438="","",'Ordenes_Odoo'!D438)</f>
        <v/>
      </c>
      <c r="E438" s="79">
        <f>IF('Ordenes_Odoo'!E438="","",'Ordenes_Odoo'!E438)</f>
        <v/>
      </c>
      <c r="F438" s="79">
        <f>IF('Ordenes_Odoo'!F438="","",'Ordenes_Odoo'!F438)</f>
        <v/>
      </c>
      <c r="G438" s="79">
        <f>IF('Ordenes_Odoo'!G438="","",'Ordenes_Odoo'!G438)</f>
        <v/>
      </c>
      <c r="H438" s="79">
        <f>IF('Ordenes_Odoo'!H438="","",'Ordenes_Odoo'!H438)</f>
        <v/>
      </c>
      <c r="I438" s="79">
        <f>IF('Ordenes_Odoo'!I438="","",'Ordenes_Odoo'!I438)</f>
        <v/>
      </c>
      <c r="J438" s="79">
        <f>IF('Ordenes_Odoo'!J438="","",'Ordenes_Odoo'!J438)</f>
        <v/>
      </c>
      <c r="K438" s="81">
        <f>IF('Ordenes_Odoo'!K438="","",'Ordenes_Odoo'!K438)</f>
        <v/>
      </c>
      <c r="L438" s="81">
        <f>IF('Ordenes_Odoo'!L438="","",'Ordenes_Odoo'!L438)</f>
        <v/>
      </c>
      <c r="M438" s="79">
        <f>IF('Ordenes_Odoo'!M438="","",'Ordenes_Odoo'!M438)</f>
        <v/>
      </c>
      <c r="N438" s="79">
        <f>IF('Ordenes_Odoo'!N438="","",'Ordenes_Odoo'!N438)</f>
        <v/>
      </c>
      <c r="O438" s="81">
        <f>IF('Ordenes_Odoo'!O438="","",'Ordenes_Odoo'!O438)</f>
        <v/>
      </c>
      <c r="P438" s="81">
        <f>IF('Ordenes_Odoo'!P438="","",'Ordenes_Odoo'!P438)</f>
        <v/>
      </c>
      <c r="Q438" s="79">
        <f>IF(A438="","",IFERROR(INDEX(Facturas_Odoo!$B:$B, MATCH(A438, Facturas_Odoo!$D:$D, 0)), "Sin Factura"))</f>
        <v/>
      </c>
      <c r="R438" s="80">
        <f>IF(Q438="Sin Factura","",IFERROR(INDEX(Facturas_Odoo!$A:$A, MATCH(Q438, Facturas_Odoo!$B:$B, 0)), ""))</f>
        <v/>
      </c>
      <c r="S438" s="79">
        <f>IF(Q438="Sin Factura","",IFERROR(_xlfn.XLOOKUP(1, (Facturas_Odoo!$D:$D=A438) * (Facturas_Odoo!$K:$K=I438), Facturas_Odoo!$L:$L, ""), ""))</f>
        <v/>
      </c>
      <c r="T438" s="81">
        <f>IF(Q438="Sin Factura",0,IFERROR(_xlfn.XLOOKUP(1, (Facturas_Odoo!$D:$D=A438) * (Facturas_Odoo!$K:$K=I438), Facturas_Odoo!$M:$M, 0), 0))</f>
        <v/>
      </c>
      <c r="U438" s="79">
        <f>IF(Q438="Sin Factura",0,IFERROR(_xlfn.XLOOKUP(1, (Facturas_Odoo!$D:$D=A438) * (Facturas_Odoo!$K:$K=I438), Facturas_Odoo!$N:$N, 0), 0))</f>
        <v/>
      </c>
      <c r="V438" s="79">
        <f>IF(Q438="Sin Factura",0,IFERROR(_xlfn.XLOOKUP(1, (Facturas_Odoo!$D:$D=A438) * (Facturas_Odoo!$K:$K=I438), Facturas_Odoo!$O:$O, 0), 0))</f>
        <v/>
      </c>
      <c r="W438" s="81">
        <f>IF(Q438="Sin Factura",0,IFERROR(_xlfn.XLOOKUP(1, (Facturas_Odoo!$D:$D=A438) * (Facturas_Odoo!$K:$K=I438), Facturas_Odoo!$Q:$Q, 0), 0))</f>
        <v/>
      </c>
      <c r="X438" s="79">
        <f>IF(OR(Q438="Sin Factura",Q438=""),"",IFERROR(INDEX(Pagos_Odoo!$B:$B, MATCH(Q438, Pagos_Odoo!$I:$I, 0)), "Sin Pago"))</f>
        <v/>
      </c>
      <c r="Y438" s="79">
        <f>IF(X438="Sin Pago","",IFERROR(INDEX(Pagos_Odoo!$C:$C, MATCH(X438, Pagos_Odoo!$B:$B, 0)), ""))</f>
        <v/>
      </c>
      <c r="Z438" s="80">
        <f>IF(X438="Sin Pago","",IFERROR(INDEX(Pagos_Odoo!$A:$A, MATCH(X438, Pagos_Odoo!$B:$B, 0)), ""))</f>
        <v/>
      </c>
      <c r="AA438" s="79">
        <f>IF(X438="Sin Pago","",IFERROR(INDEX(Pagos_Odoo!$F:$F, MATCH(X438, Pagos_Odoo!$B:$B, 0)), ""))</f>
        <v/>
      </c>
      <c r="AB438" s="81">
        <f>IF(X438="Sin Pago",0,IFERROR(INDEX(Pagos_Odoo!$E:$E, MATCH(X438, Pagos_Odoo!$B:$B, 0)), 0))</f>
        <v/>
      </c>
      <c r="AC438" s="79">
        <f>IF(X438="Sin Pago","",IFERROR(INDEX(Pagos_Odoo!$G:$G, MATCH(X438, Pagos_Odoo!$B:$B, 0)), ""))</f>
        <v/>
      </c>
      <c r="AD438" s="82" t="n">
        <v>0</v>
      </c>
      <c r="AE438" s="82" t="n"/>
      <c r="AF438" s="82" t="n"/>
      <c r="AG438" s="82">
        <f>IF(AN438="","",AD438+AE438+AF438)</f>
        <v/>
      </c>
      <c r="AH438" s="81">
        <f>IF(AN438="","",P438*(1-AG438))</f>
        <v/>
      </c>
      <c r="AI438" s="81">
        <f>IF(AN438="","",IF(Q438="Sin Factura",0,IFERROR(INDEX(Facturas_Odoo!$H:$H, MATCH(Q438, Facturas_Odoo!$B:$B, 0)), 0)*(1-AG438)))</f>
        <v/>
      </c>
      <c r="AJ438" s="81">
        <f>IF(AN438="","",_xlfn.LET(idVenta, AN438&amp;"",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38" s="81">
        <f>IF(AN438="","",AH438-AJ438)</f>
        <v/>
      </c>
      <c r="AL438" s="81">
        <f>IF(AN438="","",IF(Q438="Sin Factura","",AI438-AJ438))</f>
        <v/>
      </c>
      <c r="AM438" s="81">
        <f>IF(AN438="","",IF(Q438="Sin Factura",0,P438-IFERROR(INDEX(Facturas_Odoo!$H:$H, MATCH(Q438, Facturas_Odoo!$B:$B, 0)), 0)))</f>
        <v/>
      </c>
      <c r="AN438" s="79">
        <f>IF(AND(A438="", J438=""), "", IF(A438&lt;&gt;"", VALUE(MID(A438,2,LEN(A438))), AN437))</f>
        <v/>
      </c>
      <c r="AO438" s="79">
        <f>IF(AN438="","",IF(AD438=0,"OK",_xlfn.LET(monedaPago, IF(AA438="","USD",AA438), limitePermitido, IFERROR(VLOOKUP(monedaPago, Configuración!$A$2:$B$3, 2, FALSE), 0.15), IF(AD438&gt;limitePermitido, "ALERTA: EXCESO (" &amp; TEXT(limitePermitido, "0%") &amp; " máx)", "OK"))))</f>
        <v/>
      </c>
      <c r="AP438" s="79">
        <f>IF(AN438="","",IF(AE438=0,"OK",_xlfn.LET(fechaPago, Z438, fechaFactura, R438, diasCredito, IF(E438="Pago inmediato", 0, IFERROR(VALUE(MID(E438, 1, SEARCH(" ", E438)-1)),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38" s="79">
        <f>IF(AN438="","",IF(AND(N438&gt;0, AG438&gt;0), IF(Configuración!$K$2="NO", "ALERTA: DESCUENTO DOBLE NO PERMITIDO", "OK"), "OK"))</f>
        <v/>
      </c>
      <c r="AR438" s="79">
        <f>IF(AN438="","",IF(OR(AO438&lt;&gt;"OK", AP438&lt;&gt;"OK", AQ438&lt;&gt;"OK"), "⚠️ REVISAR", "OK"))</f>
        <v/>
      </c>
    </row>
    <row r="439">
      <c r="A439" s="79">
        <f>IF('Ordenes_Odoo'!A439="","",'Ordenes_Odoo'!A439)</f>
        <v/>
      </c>
      <c r="B439" s="80">
        <f>IF('Ordenes_Odoo'!B439="","",'Ordenes_Odoo'!B439)</f>
        <v/>
      </c>
      <c r="C439" s="79">
        <f>IF('Ordenes_Odoo'!C439="","",'Ordenes_Odoo'!C439)</f>
        <v/>
      </c>
      <c r="D439" s="79">
        <f>IF('Ordenes_Odoo'!D439="","",'Ordenes_Odoo'!D439)</f>
        <v/>
      </c>
      <c r="E439" s="79">
        <f>IF('Ordenes_Odoo'!E439="","",'Ordenes_Odoo'!E439)</f>
        <v/>
      </c>
      <c r="F439" s="79">
        <f>IF('Ordenes_Odoo'!F439="","",'Ordenes_Odoo'!F439)</f>
        <v/>
      </c>
      <c r="G439" s="79">
        <f>IF('Ordenes_Odoo'!G439="","",'Ordenes_Odoo'!G439)</f>
        <v/>
      </c>
      <c r="H439" s="79">
        <f>IF('Ordenes_Odoo'!H439="","",'Ordenes_Odoo'!H439)</f>
        <v/>
      </c>
      <c r="I439" s="79">
        <f>IF('Ordenes_Odoo'!I439="","",'Ordenes_Odoo'!I439)</f>
        <v/>
      </c>
      <c r="J439" s="79">
        <f>IF('Ordenes_Odoo'!J439="","",'Ordenes_Odoo'!J439)</f>
        <v/>
      </c>
      <c r="K439" s="81">
        <f>IF('Ordenes_Odoo'!K439="","",'Ordenes_Odoo'!K439)</f>
        <v/>
      </c>
      <c r="L439" s="81">
        <f>IF('Ordenes_Odoo'!L439="","",'Ordenes_Odoo'!L439)</f>
        <v/>
      </c>
      <c r="M439" s="79">
        <f>IF('Ordenes_Odoo'!M439="","",'Ordenes_Odoo'!M439)</f>
        <v/>
      </c>
      <c r="N439" s="79">
        <f>IF('Ordenes_Odoo'!N439="","",'Ordenes_Odoo'!N439)</f>
        <v/>
      </c>
      <c r="O439" s="81">
        <f>IF('Ordenes_Odoo'!O439="","",'Ordenes_Odoo'!O439)</f>
        <v/>
      </c>
      <c r="P439" s="81">
        <f>IF('Ordenes_Odoo'!P439="","",'Ordenes_Odoo'!P439)</f>
        <v/>
      </c>
      <c r="Q439" s="79">
        <f>IF(A439="","",IFERROR(INDEX(Facturas_Odoo!$B:$B, MATCH(A439, Facturas_Odoo!$D:$D, 0)), "Sin Factura"))</f>
        <v/>
      </c>
      <c r="R439" s="80">
        <f>IF(Q439="Sin Factura","",IFERROR(INDEX(Facturas_Odoo!$A:$A, MATCH(Q439, Facturas_Odoo!$B:$B, 0)), ""))</f>
        <v/>
      </c>
      <c r="S439" s="79">
        <f>IF(Q439="Sin Factura","",IFERROR(_xlfn.XLOOKUP(1, (Facturas_Odoo!$D:$D=A439) * (Facturas_Odoo!$K:$K=I439), Facturas_Odoo!$L:$L, ""), ""))</f>
        <v/>
      </c>
      <c r="T439" s="81">
        <f>IF(Q439="Sin Factura",0,IFERROR(_xlfn.XLOOKUP(1, (Facturas_Odoo!$D:$D=A439) * (Facturas_Odoo!$K:$K=I439), Facturas_Odoo!$M:$M, 0), 0))</f>
        <v/>
      </c>
      <c r="U439" s="79">
        <f>IF(Q439="Sin Factura",0,IFERROR(_xlfn.XLOOKUP(1, (Facturas_Odoo!$D:$D=A439) * (Facturas_Odoo!$K:$K=I439), Facturas_Odoo!$N:$N, 0), 0))</f>
        <v/>
      </c>
      <c r="V439" s="79">
        <f>IF(Q439="Sin Factura",0,IFERROR(_xlfn.XLOOKUP(1, (Facturas_Odoo!$D:$D=A439) * (Facturas_Odoo!$K:$K=I439), Facturas_Odoo!$O:$O, 0), 0))</f>
        <v/>
      </c>
      <c r="W439" s="81">
        <f>IF(Q439="Sin Factura",0,IFERROR(_xlfn.XLOOKUP(1, (Facturas_Odoo!$D:$D=A439) * (Facturas_Odoo!$K:$K=I439), Facturas_Odoo!$Q:$Q, 0), 0))</f>
        <v/>
      </c>
      <c r="X439" s="79">
        <f>IF(OR(Q439="Sin Factura",Q439=""),"",IFERROR(INDEX(Pagos_Odoo!$B:$B, MATCH(Q439, Pagos_Odoo!$I:$I, 0)), "Sin Pago"))</f>
        <v/>
      </c>
      <c r="Y439" s="79">
        <f>IF(X439="Sin Pago","",IFERROR(INDEX(Pagos_Odoo!$C:$C, MATCH(X439, Pagos_Odoo!$B:$B, 0)), ""))</f>
        <v/>
      </c>
      <c r="Z439" s="80">
        <f>IF(X439="Sin Pago","",IFERROR(INDEX(Pagos_Odoo!$A:$A, MATCH(X439, Pagos_Odoo!$B:$B, 0)), ""))</f>
        <v/>
      </c>
      <c r="AA439" s="79">
        <f>IF(X439="Sin Pago","",IFERROR(INDEX(Pagos_Odoo!$F:$F, MATCH(X439, Pagos_Odoo!$B:$B, 0)), ""))</f>
        <v/>
      </c>
      <c r="AB439" s="81">
        <f>IF(X439="Sin Pago",0,IFERROR(INDEX(Pagos_Odoo!$E:$E, MATCH(X439, Pagos_Odoo!$B:$B, 0)), 0))</f>
        <v/>
      </c>
      <c r="AC439" s="79">
        <f>IF(X439="Sin Pago","",IFERROR(INDEX(Pagos_Odoo!$G:$G, MATCH(X439, Pagos_Odoo!$B:$B, 0)), ""))</f>
        <v/>
      </c>
      <c r="AD439" s="82" t="n">
        <v>0</v>
      </c>
      <c r="AE439" s="82" t="n"/>
      <c r="AF439" s="82" t="n"/>
      <c r="AG439" s="82">
        <f>IF(AN439="","",AD439+AE439+AF439)</f>
        <v/>
      </c>
      <c r="AH439" s="81">
        <f>IF(AN439="","",P439*(1-AG439))</f>
        <v/>
      </c>
      <c r="AI439" s="81">
        <f>IF(AN439="","",IF(Q439="Sin Factura",0,IFERROR(INDEX(Facturas_Odoo!$H:$H, MATCH(Q439, Facturas_Odoo!$B:$B, 0)), 0)*(1-AG439)))</f>
        <v/>
      </c>
      <c r="AJ439" s="81">
        <f>IF(AN439="","",_xlfn.LET(idVenta, AN439&amp;"",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39" s="81">
        <f>IF(AN439="","",AH439-AJ439)</f>
        <v/>
      </c>
      <c r="AL439" s="81">
        <f>IF(AN439="","",IF(Q439="Sin Factura","",AI439-AJ439))</f>
        <v/>
      </c>
      <c r="AM439" s="81">
        <f>IF(AN439="","",IF(Q439="Sin Factura",0,P439-IFERROR(INDEX(Facturas_Odoo!$H:$H, MATCH(Q439, Facturas_Odoo!$B:$B, 0)), 0)))</f>
        <v/>
      </c>
      <c r="AN439" s="79">
        <f>IF(AND(A439="", J439=""), "", IF(A439&lt;&gt;"", VALUE(MID(A439,2,LEN(A439))), AN438))</f>
        <v/>
      </c>
      <c r="AO439" s="79">
        <f>IF(AN439="","",IF(AD439=0,"OK",_xlfn.LET(monedaPago, IF(AA439="","USD",AA439), limitePermitido, IFERROR(VLOOKUP(monedaPago, Configuración!$A$2:$B$3, 2, FALSE), 0.15), IF(AD439&gt;limitePermitido, "ALERTA: EXCESO (" &amp; TEXT(limitePermitido, "0%") &amp; " máx)", "OK"))))</f>
        <v/>
      </c>
      <c r="AP439" s="79">
        <f>IF(AN439="","",IF(AE439=0,"OK",_xlfn.LET(fechaPago, Z439, fechaFactura, R439, diasCredito, IF(E439="Pago inmediato", 0, IFERROR(VALUE(MID(E439, 1, SEARCH(" ", E439)-1)),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39" s="79">
        <f>IF(AN439="","",IF(AND(N439&gt;0, AG439&gt;0), IF(Configuración!$K$2="NO", "ALERTA: DESCUENTO DOBLE NO PERMITIDO", "OK"), "OK"))</f>
        <v/>
      </c>
      <c r="AR439" s="79">
        <f>IF(AN439="","",IF(OR(AO439&lt;&gt;"OK", AP439&lt;&gt;"OK", AQ439&lt;&gt;"OK"), "⚠️ REVISAR", "OK"))</f>
        <v/>
      </c>
    </row>
    <row r="440">
      <c r="A440" s="79">
        <f>IF('Ordenes_Odoo'!A440="","",'Ordenes_Odoo'!A440)</f>
        <v/>
      </c>
      <c r="B440" s="80">
        <f>IF('Ordenes_Odoo'!B440="","",'Ordenes_Odoo'!B440)</f>
        <v/>
      </c>
      <c r="C440" s="79">
        <f>IF('Ordenes_Odoo'!C440="","",'Ordenes_Odoo'!C440)</f>
        <v/>
      </c>
      <c r="D440" s="79">
        <f>IF('Ordenes_Odoo'!D440="","",'Ordenes_Odoo'!D440)</f>
        <v/>
      </c>
      <c r="E440" s="79">
        <f>IF('Ordenes_Odoo'!E440="","",'Ordenes_Odoo'!E440)</f>
        <v/>
      </c>
      <c r="F440" s="79">
        <f>IF('Ordenes_Odoo'!F440="","",'Ordenes_Odoo'!F440)</f>
        <v/>
      </c>
      <c r="G440" s="79">
        <f>IF('Ordenes_Odoo'!G440="","",'Ordenes_Odoo'!G440)</f>
        <v/>
      </c>
      <c r="H440" s="79">
        <f>IF('Ordenes_Odoo'!H440="","",'Ordenes_Odoo'!H440)</f>
        <v/>
      </c>
      <c r="I440" s="79">
        <f>IF('Ordenes_Odoo'!I440="","",'Ordenes_Odoo'!I440)</f>
        <v/>
      </c>
      <c r="J440" s="79">
        <f>IF('Ordenes_Odoo'!J440="","",'Ordenes_Odoo'!J440)</f>
        <v/>
      </c>
      <c r="K440" s="81">
        <f>IF('Ordenes_Odoo'!K440="","",'Ordenes_Odoo'!K440)</f>
        <v/>
      </c>
      <c r="L440" s="81">
        <f>IF('Ordenes_Odoo'!L440="","",'Ordenes_Odoo'!L440)</f>
        <v/>
      </c>
      <c r="M440" s="79">
        <f>IF('Ordenes_Odoo'!M440="","",'Ordenes_Odoo'!M440)</f>
        <v/>
      </c>
      <c r="N440" s="79">
        <f>IF('Ordenes_Odoo'!N440="","",'Ordenes_Odoo'!N440)</f>
        <v/>
      </c>
      <c r="O440" s="81">
        <f>IF('Ordenes_Odoo'!O440="","",'Ordenes_Odoo'!O440)</f>
        <v/>
      </c>
      <c r="P440" s="81">
        <f>IF('Ordenes_Odoo'!P440="","",'Ordenes_Odoo'!P440)</f>
        <v/>
      </c>
      <c r="Q440" s="79">
        <f>IF(A440="","",IFERROR(INDEX(Facturas_Odoo!$B:$B, MATCH(A440, Facturas_Odoo!$D:$D, 0)), "Sin Factura"))</f>
        <v/>
      </c>
      <c r="R440" s="80">
        <f>IF(Q440="Sin Factura","",IFERROR(INDEX(Facturas_Odoo!$A:$A, MATCH(Q440, Facturas_Odoo!$B:$B, 0)), ""))</f>
        <v/>
      </c>
      <c r="S440" s="79">
        <f>IF(Q440="Sin Factura","",IFERROR(_xlfn.XLOOKUP(1, (Facturas_Odoo!$D:$D=A440) * (Facturas_Odoo!$K:$K=I440), Facturas_Odoo!$L:$L, ""), ""))</f>
        <v/>
      </c>
      <c r="T440" s="81">
        <f>IF(Q440="Sin Factura",0,IFERROR(_xlfn.XLOOKUP(1, (Facturas_Odoo!$D:$D=A440) * (Facturas_Odoo!$K:$K=I440), Facturas_Odoo!$M:$M, 0), 0))</f>
        <v/>
      </c>
      <c r="U440" s="79">
        <f>IF(Q440="Sin Factura",0,IFERROR(_xlfn.XLOOKUP(1, (Facturas_Odoo!$D:$D=A440) * (Facturas_Odoo!$K:$K=I440), Facturas_Odoo!$N:$N, 0), 0))</f>
        <v/>
      </c>
      <c r="V440" s="79">
        <f>IF(Q440="Sin Factura",0,IFERROR(_xlfn.XLOOKUP(1, (Facturas_Odoo!$D:$D=A440) * (Facturas_Odoo!$K:$K=I440), Facturas_Odoo!$O:$O, 0), 0))</f>
        <v/>
      </c>
      <c r="W440" s="81">
        <f>IF(Q440="Sin Factura",0,IFERROR(_xlfn.XLOOKUP(1, (Facturas_Odoo!$D:$D=A440) * (Facturas_Odoo!$K:$K=I440), Facturas_Odoo!$Q:$Q, 0), 0))</f>
        <v/>
      </c>
      <c r="X440" s="79">
        <f>IF(OR(Q440="Sin Factura",Q440=""),"",IFERROR(INDEX(Pagos_Odoo!$B:$B, MATCH(Q440, Pagos_Odoo!$I:$I, 0)), "Sin Pago"))</f>
        <v/>
      </c>
      <c r="Y440" s="79">
        <f>IF(X440="Sin Pago","",IFERROR(INDEX(Pagos_Odoo!$C:$C, MATCH(X440, Pagos_Odoo!$B:$B, 0)), ""))</f>
        <v/>
      </c>
      <c r="Z440" s="80">
        <f>IF(X440="Sin Pago","",IFERROR(INDEX(Pagos_Odoo!$A:$A, MATCH(X440, Pagos_Odoo!$B:$B, 0)), ""))</f>
        <v/>
      </c>
      <c r="AA440" s="79">
        <f>IF(X440="Sin Pago","",IFERROR(INDEX(Pagos_Odoo!$F:$F, MATCH(X440, Pagos_Odoo!$B:$B, 0)), ""))</f>
        <v/>
      </c>
      <c r="AB440" s="81">
        <f>IF(X440="Sin Pago",0,IFERROR(INDEX(Pagos_Odoo!$E:$E, MATCH(X440, Pagos_Odoo!$B:$B, 0)), 0))</f>
        <v/>
      </c>
      <c r="AC440" s="79">
        <f>IF(X440="Sin Pago","",IFERROR(INDEX(Pagos_Odoo!$G:$G, MATCH(X440, Pagos_Odoo!$B:$B, 0)), ""))</f>
        <v/>
      </c>
      <c r="AD440" s="82" t="n">
        <v>0</v>
      </c>
      <c r="AE440" s="82" t="n"/>
      <c r="AF440" s="82" t="n"/>
      <c r="AG440" s="82">
        <f>IF(AN440="","",AD440+AE440+AF440)</f>
        <v/>
      </c>
      <c r="AH440" s="81">
        <f>IF(AN440="","",P440*(1-AG440))</f>
        <v/>
      </c>
      <c r="AI440" s="81">
        <f>IF(AN440="","",IF(Q440="Sin Factura",0,IFERROR(INDEX(Facturas_Odoo!$H:$H, MATCH(Q440, Facturas_Odoo!$B:$B, 0)), 0)*(1-AG440)))</f>
        <v/>
      </c>
      <c r="AJ440" s="81">
        <f>IF(AN440="","",_xlfn.LET(idVenta, AN440&amp;"",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40" s="81">
        <f>IF(AN440="","",AH440-AJ440)</f>
        <v/>
      </c>
      <c r="AL440" s="81">
        <f>IF(AN440="","",IF(Q440="Sin Factura","",AI440-AJ440))</f>
        <v/>
      </c>
      <c r="AM440" s="81">
        <f>IF(AN440="","",IF(Q440="Sin Factura",0,P440-IFERROR(INDEX(Facturas_Odoo!$H:$H, MATCH(Q440, Facturas_Odoo!$B:$B, 0)), 0)))</f>
        <v/>
      </c>
      <c r="AN440" s="79">
        <f>IF(AND(A440="", J440=""), "", IF(A440&lt;&gt;"", VALUE(MID(A440,2,LEN(A440))), AN439))</f>
        <v/>
      </c>
      <c r="AO440" s="79">
        <f>IF(AN440="","",IF(AD440=0,"OK",_xlfn.LET(monedaPago, IF(AA440="","USD",AA440), limitePermitido, IFERROR(VLOOKUP(monedaPago, Configuración!$A$2:$B$3, 2, FALSE), 0.15), IF(AD440&gt;limitePermitido, "ALERTA: EXCESO (" &amp; TEXT(limitePermitido, "0%") &amp; " máx)", "OK"))))</f>
        <v/>
      </c>
      <c r="AP440" s="79">
        <f>IF(AN440="","",IF(AE440=0,"OK",_xlfn.LET(fechaPago, Z440, fechaFactura, R440, diasCredito, IF(E440="Pago inmediato", 0, IFERROR(VALUE(MID(E440, 1, SEARCH(" ", E440)-1)),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40" s="79">
        <f>IF(AN440="","",IF(AND(N440&gt;0, AG440&gt;0), IF(Configuración!$K$2="NO", "ALERTA: DESCUENTO DOBLE NO PERMITIDO", "OK"), "OK"))</f>
        <v/>
      </c>
      <c r="AR440" s="79">
        <f>IF(AN440="","",IF(OR(AO440&lt;&gt;"OK", AP440&lt;&gt;"OK", AQ440&lt;&gt;"OK"), "⚠️ REVISAR", "OK"))</f>
        <v/>
      </c>
    </row>
    <row r="441">
      <c r="A441" s="79">
        <f>IF('Ordenes_Odoo'!A441="","",'Ordenes_Odoo'!A441)</f>
        <v/>
      </c>
      <c r="B441" s="80">
        <f>IF('Ordenes_Odoo'!B441="","",'Ordenes_Odoo'!B441)</f>
        <v/>
      </c>
      <c r="C441" s="79">
        <f>IF('Ordenes_Odoo'!C441="","",'Ordenes_Odoo'!C441)</f>
        <v/>
      </c>
      <c r="D441" s="79">
        <f>IF('Ordenes_Odoo'!D441="","",'Ordenes_Odoo'!D441)</f>
        <v/>
      </c>
      <c r="E441" s="79">
        <f>IF('Ordenes_Odoo'!E441="","",'Ordenes_Odoo'!E441)</f>
        <v/>
      </c>
      <c r="F441" s="79">
        <f>IF('Ordenes_Odoo'!F441="","",'Ordenes_Odoo'!F441)</f>
        <v/>
      </c>
      <c r="G441" s="79">
        <f>IF('Ordenes_Odoo'!G441="","",'Ordenes_Odoo'!G441)</f>
        <v/>
      </c>
      <c r="H441" s="79">
        <f>IF('Ordenes_Odoo'!H441="","",'Ordenes_Odoo'!H441)</f>
        <v/>
      </c>
      <c r="I441" s="79">
        <f>IF('Ordenes_Odoo'!I441="","",'Ordenes_Odoo'!I441)</f>
        <v/>
      </c>
      <c r="J441" s="79">
        <f>IF('Ordenes_Odoo'!J441="","",'Ordenes_Odoo'!J441)</f>
        <v/>
      </c>
      <c r="K441" s="81">
        <f>IF('Ordenes_Odoo'!K441="","",'Ordenes_Odoo'!K441)</f>
        <v/>
      </c>
      <c r="L441" s="81">
        <f>IF('Ordenes_Odoo'!L441="","",'Ordenes_Odoo'!L441)</f>
        <v/>
      </c>
      <c r="M441" s="79">
        <f>IF('Ordenes_Odoo'!M441="","",'Ordenes_Odoo'!M441)</f>
        <v/>
      </c>
      <c r="N441" s="79">
        <f>IF('Ordenes_Odoo'!N441="","",'Ordenes_Odoo'!N441)</f>
        <v/>
      </c>
      <c r="O441" s="81">
        <f>IF('Ordenes_Odoo'!O441="","",'Ordenes_Odoo'!O441)</f>
        <v/>
      </c>
      <c r="P441" s="81">
        <f>IF('Ordenes_Odoo'!P441="","",'Ordenes_Odoo'!P441)</f>
        <v/>
      </c>
      <c r="Q441" s="79">
        <f>IF(A441="","",IFERROR(INDEX(Facturas_Odoo!$B:$B, MATCH(A441, Facturas_Odoo!$D:$D, 0)), "Sin Factura"))</f>
        <v/>
      </c>
      <c r="R441" s="80">
        <f>IF(Q441="Sin Factura","",IFERROR(INDEX(Facturas_Odoo!$A:$A, MATCH(Q441, Facturas_Odoo!$B:$B, 0)), ""))</f>
        <v/>
      </c>
      <c r="S441" s="79">
        <f>IF(Q441="Sin Factura","",IFERROR(_xlfn.XLOOKUP(1, (Facturas_Odoo!$D:$D=A441) * (Facturas_Odoo!$K:$K=I441), Facturas_Odoo!$L:$L, ""), ""))</f>
        <v/>
      </c>
      <c r="T441" s="81">
        <f>IF(Q441="Sin Factura",0,IFERROR(_xlfn.XLOOKUP(1, (Facturas_Odoo!$D:$D=A441) * (Facturas_Odoo!$K:$K=I441), Facturas_Odoo!$M:$M, 0), 0))</f>
        <v/>
      </c>
      <c r="U441" s="79">
        <f>IF(Q441="Sin Factura",0,IFERROR(_xlfn.XLOOKUP(1, (Facturas_Odoo!$D:$D=A441) * (Facturas_Odoo!$K:$K=I441), Facturas_Odoo!$N:$N, 0), 0))</f>
        <v/>
      </c>
      <c r="V441" s="79">
        <f>IF(Q441="Sin Factura",0,IFERROR(_xlfn.XLOOKUP(1, (Facturas_Odoo!$D:$D=A441) * (Facturas_Odoo!$K:$K=I441), Facturas_Odoo!$O:$O, 0), 0))</f>
        <v/>
      </c>
      <c r="W441" s="81">
        <f>IF(Q441="Sin Factura",0,IFERROR(_xlfn.XLOOKUP(1, (Facturas_Odoo!$D:$D=A441) * (Facturas_Odoo!$K:$K=I441), Facturas_Odoo!$Q:$Q, 0), 0))</f>
        <v/>
      </c>
      <c r="X441" s="79">
        <f>IF(OR(Q441="Sin Factura",Q441=""),"",IFERROR(INDEX(Pagos_Odoo!$B:$B, MATCH(Q441, Pagos_Odoo!$I:$I, 0)), "Sin Pago"))</f>
        <v/>
      </c>
      <c r="Y441" s="79">
        <f>IF(X441="Sin Pago","",IFERROR(INDEX(Pagos_Odoo!$C:$C, MATCH(X441, Pagos_Odoo!$B:$B, 0)), ""))</f>
        <v/>
      </c>
      <c r="Z441" s="80">
        <f>IF(X441="Sin Pago","",IFERROR(INDEX(Pagos_Odoo!$A:$A, MATCH(X441, Pagos_Odoo!$B:$B, 0)), ""))</f>
        <v/>
      </c>
      <c r="AA441" s="79">
        <f>IF(X441="Sin Pago","",IFERROR(INDEX(Pagos_Odoo!$F:$F, MATCH(X441, Pagos_Odoo!$B:$B, 0)), ""))</f>
        <v/>
      </c>
      <c r="AB441" s="81">
        <f>IF(X441="Sin Pago",0,IFERROR(INDEX(Pagos_Odoo!$E:$E, MATCH(X441, Pagos_Odoo!$B:$B, 0)), 0))</f>
        <v/>
      </c>
      <c r="AC441" s="79">
        <f>IF(X441="Sin Pago","",IFERROR(INDEX(Pagos_Odoo!$G:$G, MATCH(X441, Pagos_Odoo!$B:$B, 0)), ""))</f>
        <v/>
      </c>
      <c r="AD441" s="82" t="n">
        <v>0</v>
      </c>
      <c r="AE441" s="82" t="n"/>
      <c r="AF441" s="82" t="n"/>
      <c r="AG441" s="82">
        <f>IF(AN441="","",AD441+AE441+AF441)</f>
        <v/>
      </c>
      <c r="AH441" s="81">
        <f>IF(AN441="","",P441*(1-AG441))</f>
        <v/>
      </c>
      <c r="AI441" s="81">
        <f>IF(AN441="","",IF(Q441="Sin Factura",0,IFERROR(INDEX(Facturas_Odoo!$H:$H, MATCH(Q441, Facturas_Odoo!$B:$B, 0)), 0)*(1-AG441)))</f>
        <v/>
      </c>
      <c r="AJ441" s="81">
        <f>IF(AN441="","",_xlfn.LET(idVenta, AN441&amp;"",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41" s="81">
        <f>IF(AN441="","",AH441-AJ441)</f>
        <v/>
      </c>
      <c r="AL441" s="81">
        <f>IF(AN441="","",IF(Q441="Sin Factura","",AI441-AJ441))</f>
        <v/>
      </c>
      <c r="AM441" s="81">
        <f>IF(AN441="","",IF(Q441="Sin Factura",0,P441-IFERROR(INDEX(Facturas_Odoo!$H:$H, MATCH(Q441, Facturas_Odoo!$B:$B, 0)), 0)))</f>
        <v/>
      </c>
      <c r="AN441" s="79">
        <f>IF(AND(A441="", J441=""), "", IF(A441&lt;&gt;"", VALUE(MID(A441,2,LEN(A441))), AN440))</f>
        <v/>
      </c>
      <c r="AO441" s="79">
        <f>IF(AN441="","",IF(AD441=0,"OK",_xlfn.LET(monedaPago, IF(AA441="","USD",AA441), limitePermitido, IFERROR(VLOOKUP(monedaPago, Configuración!$A$2:$B$3, 2, FALSE), 0.15), IF(AD441&gt;limitePermitido, "ALERTA: EXCESO (" &amp; TEXT(limitePermitido, "0%") &amp; " máx)", "OK"))))</f>
        <v/>
      </c>
      <c r="AP441" s="79">
        <f>IF(AN441="","",IF(AE441=0,"OK",_xlfn.LET(fechaPago, Z441, fechaFactura, R441, diasCredito, IF(E441="Pago inmediato", 0, IFERROR(VALUE(MID(E441, 1, SEARCH(" ", E441)-1)),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41" s="79">
        <f>IF(AN441="","",IF(AND(N441&gt;0, AG441&gt;0), IF(Configuración!$K$2="NO", "ALERTA: DESCUENTO DOBLE NO PERMITIDO", "OK"), "OK"))</f>
        <v/>
      </c>
      <c r="AR441" s="79">
        <f>IF(AN441="","",IF(OR(AO441&lt;&gt;"OK", AP441&lt;&gt;"OK", AQ441&lt;&gt;"OK"), "⚠️ REVISAR", "OK"))</f>
        <v/>
      </c>
    </row>
    <row r="442">
      <c r="A442" s="79">
        <f>IF('Ordenes_Odoo'!A442="","",'Ordenes_Odoo'!A442)</f>
        <v/>
      </c>
      <c r="B442" s="80">
        <f>IF('Ordenes_Odoo'!B442="","",'Ordenes_Odoo'!B442)</f>
        <v/>
      </c>
      <c r="C442" s="79">
        <f>IF('Ordenes_Odoo'!C442="","",'Ordenes_Odoo'!C442)</f>
        <v/>
      </c>
      <c r="D442" s="79">
        <f>IF('Ordenes_Odoo'!D442="","",'Ordenes_Odoo'!D442)</f>
        <v/>
      </c>
      <c r="E442" s="79">
        <f>IF('Ordenes_Odoo'!E442="","",'Ordenes_Odoo'!E442)</f>
        <v/>
      </c>
      <c r="F442" s="79">
        <f>IF('Ordenes_Odoo'!F442="","",'Ordenes_Odoo'!F442)</f>
        <v/>
      </c>
      <c r="G442" s="79">
        <f>IF('Ordenes_Odoo'!G442="","",'Ordenes_Odoo'!G442)</f>
        <v/>
      </c>
      <c r="H442" s="79">
        <f>IF('Ordenes_Odoo'!H442="","",'Ordenes_Odoo'!H442)</f>
        <v/>
      </c>
      <c r="I442" s="79">
        <f>IF('Ordenes_Odoo'!I442="","",'Ordenes_Odoo'!I442)</f>
        <v/>
      </c>
      <c r="J442" s="79">
        <f>IF('Ordenes_Odoo'!J442="","",'Ordenes_Odoo'!J442)</f>
        <v/>
      </c>
      <c r="K442" s="81">
        <f>IF('Ordenes_Odoo'!K442="","",'Ordenes_Odoo'!K442)</f>
        <v/>
      </c>
      <c r="L442" s="81">
        <f>IF('Ordenes_Odoo'!L442="","",'Ordenes_Odoo'!L442)</f>
        <v/>
      </c>
      <c r="M442" s="79">
        <f>IF('Ordenes_Odoo'!M442="","",'Ordenes_Odoo'!M442)</f>
        <v/>
      </c>
      <c r="N442" s="79">
        <f>IF('Ordenes_Odoo'!N442="","",'Ordenes_Odoo'!N442)</f>
        <v/>
      </c>
      <c r="O442" s="81">
        <f>IF('Ordenes_Odoo'!O442="","",'Ordenes_Odoo'!O442)</f>
        <v/>
      </c>
      <c r="P442" s="81">
        <f>IF('Ordenes_Odoo'!P442="","",'Ordenes_Odoo'!P442)</f>
        <v/>
      </c>
      <c r="Q442" s="79">
        <f>IF(A442="","",IFERROR(INDEX(Facturas_Odoo!$B:$B, MATCH(A442, Facturas_Odoo!$D:$D, 0)), "Sin Factura"))</f>
        <v/>
      </c>
      <c r="R442" s="80">
        <f>IF(Q442="Sin Factura","",IFERROR(INDEX(Facturas_Odoo!$A:$A, MATCH(Q442, Facturas_Odoo!$B:$B, 0)), ""))</f>
        <v/>
      </c>
      <c r="S442" s="79">
        <f>IF(Q442="Sin Factura","",IFERROR(_xlfn.XLOOKUP(1, (Facturas_Odoo!$D:$D=A442) * (Facturas_Odoo!$K:$K=I442), Facturas_Odoo!$L:$L, ""), ""))</f>
        <v/>
      </c>
      <c r="T442" s="81">
        <f>IF(Q442="Sin Factura",0,IFERROR(_xlfn.XLOOKUP(1, (Facturas_Odoo!$D:$D=A442) * (Facturas_Odoo!$K:$K=I442), Facturas_Odoo!$M:$M, 0), 0))</f>
        <v/>
      </c>
      <c r="U442" s="79">
        <f>IF(Q442="Sin Factura",0,IFERROR(_xlfn.XLOOKUP(1, (Facturas_Odoo!$D:$D=A442) * (Facturas_Odoo!$K:$K=I442), Facturas_Odoo!$N:$N, 0), 0))</f>
        <v/>
      </c>
      <c r="V442" s="79">
        <f>IF(Q442="Sin Factura",0,IFERROR(_xlfn.XLOOKUP(1, (Facturas_Odoo!$D:$D=A442) * (Facturas_Odoo!$K:$K=I442), Facturas_Odoo!$O:$O, 0), 0))</f>
        <v/>
      </c>
      <c r="W442" s="81">
        <f>IF(Q442="Sin Factura",0,IFERROR(_xlfn.XLOOKUP(1, (Facturas_Odoo!$D:$D=A442) * (Facturas_Odoo!$K:$K=I442), Facturas_Odoo!$Q:$Q, 0), 0))</f>
        <v/>
      </c>
      <c r="X442" s="79">
        <f>IF(OR(Q442="Sin Factura",Q442=""),"",IFERROR(INDEX(Pagos_Odoo!$B:$B, MATCH(Q442, Pagos_Odoo!$I:$I, 0)), "Sin Pago"))</f>
        <v/>
      </c>
      <c r="Y442" s="79">
        <f>IF(X442="Sin Pago","",IFERROR(INDEX(Pagos_Odoo!$C:$C, MATCH(X442, Pagos_Odoo!$B:$B, 0)), ""))</f>
        <v/>
      </c>
      <c r="Z442" s="80">
        <f>IF(X442="Sin Pago","",IFERROR(INDEX(Pagos_Odoo!$A:$A, MATCH(X442, Pagos_Odoo!$B:$B, 0)), ""))</f>
        <v/>
      </c>
      <c r="AA442" s="79">
        <f>IF(X442="Sin Pago","",IFERROR(INDEX(Pagos_Odoo!$F:$F, MATCH(X442, Pagos_Odoo!$B:$B, 0)), ""))</f>
        <v/>
      </c>
      <c r="AB442" s="81">
        <f>IF(X442="Sin Pago",0,IFERROR(INDEX(Pagos_Odoo!$E:$E, MATCH(X442, Pagos_Odoo!$B:$B, 0)), 0))</f>
        <v/>
      </c>
      <c r="AC442" s="79">
        <f>IF(X442="Sin Pago","",IFERROR(INDEX(Pagos_Odoo!$G:$G, MATCH(X442, Pagos_Odoo!$B:$B, 0)), ""))</f>
        <v/>
      </c>
      <c r="AD442" s="82" t="n">
        <v>0</v>
      </c>
      <c r="AE442" s="82" t="n"/>
      <c r="AF442" s="82" t="n"/>
      <c r="AG442" s="82">
        <f>IF(AN442="","",AD442+AE442+AF442)</f>
        <v/>
      </c>
      <c r="AH442" s="81">
        <f>IF(AN442="","",P442*(1-AG442))</f>
        <v/>
      </c>
      <c r="AI442" s="81">
        <f>IF(AN442="","",IF(Q442="Sin Factura",0,IFERROR(INDEX(Facturas_Odoo!$H:$H, MATCH(Q442, Facturas_Odoo!$B:$B, 0)), 0)*(1-AG442)))</f>
        <v/>
      </c>
      <c r="AJ442" s="81">
        <f>IF(AN442="","",_xlfn.LET(idVenta, AN442&amp;"",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42" s="81">
        <f>IF(AN442="","",AH442-AJ442)</f>
        <v/>
      </c>
      <c r="AL442" s="81">
        <f>IF(AN442="","",IF(Q442="Sin Factura","",AI442-AJ442))</f>
        <v/>
      </c>
      <c r="AM442" s="81">
        <f>IF(AN442="","",IF(Q442="Sin Factura",0,P442-IFERROR(INDEX(Facturas_Odoo!$H:$H, MATCH(Q442, Facturas_Odoo!$B:$B, 0)), 0)))</f>
        <v/>
      </c>
      <c r="AN442" s="79">
        <f>IF(AND(A442="", J442=""), "", IF(A442&lt;&gt;"", VALUE(MID(A442,2,LEN(A442))), AN441))</f>
        <v/>
      </c>
      <c r="AO442" s="79">
        <f>IF(AN442="","",IF(AD442=0,"OK",_xlfn.LET(monedaPago, IF(AA442="","USD",AA442), limitePermitido, IFERROR(VLOOKUP(monedaPago, Configuración!$A$2:$B$3, 2, FALSE), 0.15), IF(AD442&gt;limitePermitido, "ALERTA: EXCESO (" &amp; TEXT(limitePermitido, "0%") &amp; " máx)", "OK"))))</f>
        <v/>
      </c>
      <c r="AP442" s="79">
        <f>IF(AN442="","",IF(AE442=0,"OK",_xlfn.LET(fechaPago, Z442, fechaFactura, R442, diasCredito, IF(E442="Pago inmediato", 0, IFERROR(VALUE(MID(E442, 1, SEARCH(" ", E442)-1)),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42" s="79">
        <f>IF(AN442="","",IF(AND(N442&gt;0, AG442&gt;0), IF(Configuración!$K$2="NO", "ALERTA: DESCUENTO DOBLE NO PERMITIDO", "OK"), "OK"))</f>
        <v/>
      </c>
      <c r="AR442" s="79">
        <f>IF(AN442="","",IF(OR(AO442&lt;&gt;"OK", AP442&lt;&gt;"OK", AQ442&lt;&gt;"OK"), "⚠️ REVISAR", "OK"))</f>
        <v/>
      </c>
    </row>
    <row r="443">
      <c r="A443" s="79">
        <f>IF('Ordenes_Odoo'!A443="","",'Ordenes_Odoo'!A443)</f>
        <v/>
      </c>
      <c r="B443" s="80">
        <f>IF('Ordenes_Odoo'!B443="","",'Ordenes_Odoo'!B443)</f>
        <v/>
      </c>
      <c r="C443" s="79">
        <f>IF('Ordenes_Odoo'!C443="","",'Ordenes_Odoo'!C443)</f>
        <v/>
      </c>
      <c r="D443" s="79">
        <f>IF('Ordenes_Odoo'!D443="","",'Ordenes_Odoo'!D443)</f>
        <v/>
      </c>
      <c r="E443" s="79">
        <f>IF('Ordenes_Odoo'!E443="","",'Ordenes_Odoo'!E443)</f>
        <v/>
      </c>
      <c r="F443" s="79">
        <f>IF('Ordenes_Odoo'!F443="","",'Ordenes_Odoo'!F443)</f>
        <v/>
      </c>
      <c r="G443" s="79">
        <f>IF('Ordenes_Odoo'!G443="","",'Ordenes_Odoo'!G443)</f>
        <v/>
      </c>
      <c r="H443" s="79">
        <f>IF('Ordenes_Odoo'!H443="","",'Ordenes_Odoo'!H443)</f>
        <v/>
      </c>
      <c r="I443" s="79">
        <f>IF('Ordenes_Odoo'!I443="","",'Ordenes_Odoo'!I443)</f>
        <v/>
      </c>
      <c r="J443" s="79">
        <f>IF('Ordenes_Odoo'!J443="","",'Ordenes_Odoo'!J443)</f>
        <v/>
      </c>
      <c r="K443" s="81">
        <f>IF('Ordenes_Odoo'!K443="","",'Ordenes_Odoo'!K443)</f>
        <v/>
      </c>
      <c r="L443" s="81">
        <f>IF('Ordenes_Odoo'!L443="","",'Ordenes_Odoo'!L443)</f>
        <v/>
      </c>
      <c r="M443" s="79">
        <f>IF('Ordenes_Odoo'!M443="","",'Ordenes_Odoo'!M443)</f>
        <v/>
      </c>
      <c r="N443" s="79">
        <f>IF('Ordenes_Odoo'!N443="","",'Ordenes_Odoo'!N443)</f>
        <v/>
      </c>
      <c r="O443" s="81">
        <f>IF('Ordenes_Odoo'!O443="","",'Ordenes_Odoo'!O443)</f>
        <v/>
      </c>
      <c r="P443" s="81">
        <f>IF('Ordenes_Odoo'!P443="","",'Ordenes_Odoo'!P443)</f>
        <v/>
      </c>
      <c r="Q443" s="79">
        <f>IF(A443="","",IFERROR(INDEX(Facturas_Odoo!$B:$B, MATCH(A443, Facturas_Odoo!$D:$D, 0)), "Sin Factura"))</f>
        <v/>
      </c>
      <c r="R443" s="80">
        <f>IF(Q443="Sin Factura","",IFERROR(INDEX(Facturas_Odoo!$A:$A, MATCH(Q443, Facturas_Odoo!$B:$B, 0)), ""))</f>
        <v/>
      </c>
      <c r="S443" s="79">
        <f>IF(Q443="Sin Factura","",IFERROR(_xlfn.XLOOKUP(1, (Facturas_Odoo!$D:$D=A443) * (Facturas_Odoo!$K:$K=I443), Facturas_Odoo!$L:$L, ""), ""))</f>
        <v/>
      </c>
      <c r="T443" s="81">
        <f>IF(Q443="Sin Factura",0,IFERROR(_xlfn.XLOOKUP(1, (Facturas_Odoo!$D:$D=A443) * (Facturas_Odoo!$K:$K=I443), Facturas_Odoo!$M:$M, 0), 0))</f>
        <v/>
      </c>
      <c r="U443" s="79">
        <f>IF(Q443="Sin Factura",0,IFERROR(_xlfn.XLOOKUP(1, (Facturas_Odoo!$D:$D=A443) * (Facturas_Odoo!$K:$K=I443), Facturas_Odoo!$N:$N, 0), 0))</f>
        <v/>
      </c>
      <c r="V443" s="79">
        <f>IF(Q443="Sin Factura",0,IFERROR(_xlfn.XLOOKUP(1, (Facturas_Odoo!$D:$D=A443) * (Facturas_Odoo!$K:$K=I443), Facturas_Odoo!$O:$O, 0), 0))</f>
        <v/>
      </c>
      <c r="W443" s="81">
        <f>IF(Q443="Sin Factura",0,IFERROR(_xlfn.XLOOKUP(1, (Facturas_Odoo!$D:$D=A443) * (Facturas_Odoo!$K:$K=I443), Facturas_Odoo!$Q:$Q, 0), 0))</f>
        <v/>
      </c>
      <c r="X443" s="79">
        <f>IF(OR(Q443="Sin Factura",Q443=""),"",IFERROR(INDEX(Pagos_Odoo!$B:$B, MATCH(Q443, Pagos_Odoo!$I:$I, 0)), "Sin Pago"))</f>
        <v/>
      </c>
      <c r="Y443" s="79">
        <f>IF(X443="Sin Pago","",IFERROR(INDEX(Pagos_Odoo!$C:$C, MATCH(X443, Pagos_Odoo!$B:$B, 0)), ""))</f>
        <v/>
      </c>
      <c r="Z443" s="80">
        <f>IF(X443="Sin Pago","",IFERROR(INDEX(Pagos_Odoo!$A:$A, MATCH(X443, Pagos_Odoo!$B:$B, 0)), ""))</f>
        <v/>
      </c>
      <c r="AA443" s="79">
        <f>IF(X443="Sin Pago","",IFERROR(INDEX(Pagos_Odoo!$F:$F, MATCH(X443, Pagos_Odoo!$B:$B, 0)), ""))</f>
        <v/>
      </c>
      <c r="AB443" s="81">
        <f>IF(X443="Sin Pago",0,IFERROR(INDEX(Pagos_Odoo!$E:$E, MATCH(X443, Pagos_Odoo!$B:$B, 0)), 0))</f>
        <v/>
      </c>
      <c r="AC443" s="79">
        <f>IF(X443="Sin Pago","",IFERROR(INDEX(Pagos_Odoo!$G:$G, MATCH(X443, Pagos_Odoo!$B:$B, 0)), ""))</f>
        <v/>
      </c>
      <c r="AD443" s="82" t="n">
        <v>0</v>
      </c>
      <c r="AE443" s="82" t="n"/>
      <c r="AF443" s="82" t="n"/>
      <c r="AG443" s="82">
        <f>IF(AN443="","",AD443+AE443+AF443)</f>
        <v/>
      </c>
      <c r="AH443" s="81">
        <f>IF(AN443="","",P443*(1-AG443))</f>
        <v/>
      </c>
      <c r="AI443" s="81">
        <f>IF(AN443="","",IF(Q443="Sin Factura",0,IFERROR(INDEX(Facturas_Odoo!$H:$H, MATCH(Q443, Facturas_Odoo!$B:$B, 0)), 0)*(1-AG443)))</f>
        <v/>
      </c>
      <c r="AJ443" s="81">
        <f>IF(AN443="","",_xlfn.LET(idVenta, AN443&amp;"",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43" s="81">
        <f>IF(AN443="","",AH443-AJ443)</f>
        <v/>
      </c>
      <c r="AL443" s="81">
        <f>IF(AN443="","",IF(Q443="Sin Factura","",AI443-AJ443))</f>
        <v/>
      </c>
      <c r="AM443" s="81">
        <f>IF(AN443="","",IF(Q443="Sin Factura",0,P443-IFERROR(INDEX(Facturas_Odoo!$H:$H, MATCH(Q443, Facturas_Odoo!$B:$B, 0)), 0)))</f>
        <v/>
      </c>
      <c r="AN443" s="79">
        <f>IF(AND(A443="", J443=""), "", IF(A443&lt;&gt;"", VALUE(MID(A443,2,LEN(A443))), AN442))</f>
        <v/>
      </c>
      <c r="AO443" s="79">
        <f>IF(AN443="","",IF(AD443=0,"OK",_xlfn.LET(monedaPago, IF(AA443="","USD",AA443), limitePermitido, IFERROR(VLOOKUP(monedaPago, Configuración!$A$2:$B$3, 2, FALSE), 0.15), IF(AD443&gt;limitePermitido, "ALERTA: EXCESO (" &amp; TEXT(limitePermitido, "0%") &amp; " máx)", "OK"))))</f>
        <v/>
      </c>
      <c r="AP443" s="79">
        <f>IF(AN443="","",IF(AE443=0,"OK",_xlfn.LET(fechaPago, Z443, fechaFactura, R443, diasCredito, IF(E443="Pago inmediato", 0, IFERROR(VALUE(MID(E443, 1, SEARCH(" ", E443)-1)),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43" s="79">
        <f>IF(AN443="","",IF(AND(N443&gt;0, AG443&gt;0), IF(Configuración!$K$2="NO", "ALERTA: DESCUENTO DOBLE NO PERMITIDO", "OK"), "OK"))</f>
        <v/>
      </c>
      <c r="AR443" s="79">
        <f>IF(AN443="","",IF(OR(AO443&lt;&gt;"OK", AP443&lt;&gt;"OK", AQ443&lt;&gt;"OK"), "⚠️ REVISAR", "OK"))</f>
        <v/>
      </c>
    </row>
    <row r="444">
      <c r="A444" s="79">
        <f>IF('Ordenes_Odoo'!A444="","",'Ordenes_Odoo'!A444)</f>
        <v/>
      </c>
      <c r="B444" s="80">
        <f>IF('Ordenes_Odoo'!B444="","",'Ordenes_Odoo'!B444)</f>
        <v/>
      </c>
      <c r="C444" s="79">
        <f>IF('Ordenes_Odoo'!C444="","",'Ordenes_Odoo'!C444)</f>
        <v/>
      </c>
      <c r="D444" s="79">
        <f>IF('Ordenes_Odoo'!D444="","",'Ordenes_Odoo'!D444)</f>
        <v/>
      </c>
      <c r="E444" s="79">
        <f>IF('Ordenes_Odoo'!E444="","",'Ordenes_Odoo'!E444)</f>
        <v/>
      </c>
      <c r="F444" s="79">
        <f>IF('Ordenes_Odoo'!F444="","",'Ordenes_Odoo'!F444)</f>
        <v/>
      </c>
      <c r="G444" s="79">
        <f>IF('Ordenes_Odoo'!G444="","",'Ordenes_Odoo'!G444)</f>
        <v/>
      </c>
      <c r="H444" s="79">
        <f>IF('Ordenes_Odoo'!H444="","",'Ordenes_Odoo'!H444)</f>
        <v/>
      </c>
      <c r="I444" s="79">
        <f>IF('Ordenes_Odoo'!I444="","",'Ordenes_Odoo'!I444)</f>
        <v/>
      </c>
      <c r="J444" s="79">
        <f>IF('Ordenes_Odoo'!J444="","",'Ordenes_Odoo'!J444)</f>
        <v/>
      </c>
      <c r="K444" s="81">
        <f>IF('Ordenes_Odoo'!K444="","",'Ordenes_Odoo'!K444)</f>
        <v/>
      </c>
      <c r="L444" s="81">
        <f>IF('Ordenes_Odoo'!L444="","",'Ordenes_Odoo'!L444)</f>
        <v/>
      </c>
      <c r="M444" s="79">
        <f>IF('Ordenes_Odoo'!M444="","",'Ordenes_Odoo'!M444)</f>
        <v/>
      </c>
      <c r="N444" s="79">
        <f>IF('Ordenes_Odoo'!N444="","",'Ordenes_Odoo'!N444)</f>
        <v/>
      </c>
      <c r="O444" s="81">
        <f>IF('Ordenes_Odoo'!O444="","",'Ordenes_Odoo'!O444)</f>
        <v/>
      </c>
      <c r="P444" s="81">
        <f>IF('Ordenes_Odoo'!P444="","",'Ordenes_Odoo'!P444)</f>
        <v/>
      </c>
      <c r="Q444" s="79">
        <f>IF(A444="","",IFERROR(INDEX(Facturas_Odoo!$B:$B, MATCH(A444, Facturas_Odoo!$D:$D, 0)), "Sin Factura"))</f>
        <v/>
      </c>
      <c r="R444" s="80">
        <f>IF(Q444="Sin Factura","",IFERROR(INDEX(Facturas_Odoo!$A:$A, MATCH(Q444, Facturas_Odoo!$B:$B, 0)), ""))</f>
        <v/>
      </c>
      <c r="S444" s="79">
        <f>IF(Q444="Sin Factura","",IFERROR(_xlfn.XLOOKUP(1, (Facturas_Odoo!$D:$D=A444) * (Facturas_Odoo!$K:$K=I444), Facturas_Odoo!$L:$L, ""), ""))</f>
        <v/>
      </c>
      <c r="T444" s="81">
        <f>IF(Q444="Sin Factura",0,IFERROR(_xlfn.XLOOKUP(1, (Facturas_Odoo!$D:$D=A444) * (Facturas_Odoo!$K:$K=I444), Facturas_Odoo!$M:$M, 0), 0))</f>
        <v/>
      </c>
      <c r="U444" s="79">
        <f>IF(Q444="Sin Factura",0,IFERROR(_xlfn.XLOOKUP(1, (Facturas_Odoo!$D:$D=A444) * (Facturas_Odoo!$K:$K=I444), Facturas_Odoo!$N:$N, 0), 0))</f>
        <v/>
      </c>
      <c r="V444" s="79">
        <f>IF(Q444="Sin Factura",0,IFERROR(_xlfn.XLOOKUP(1, (Facturas_Odoo!$D:$D=A444) * (Facturas_Odoo!$K:$K=I444), Facturas_Odoo!$O:$O, 0), 0))</f>
        <v/>
      </c>
      <c r="W444" s="81">
        <f>IF(Q444="Sin Factura",0,IFERROR(_xlfn.XLOOKUP(1, (Facturas_Odoo!$D:$D=A444) * (Facturas_Odoo!$K:$K=I444), Facturas_Odoo!$Q:$Q, 0), 0))</f>
        <v/>
      </c>
      <c r="X444" s="79">
        <f>IF(OR(Q444="Sin Factura",Q444=""),"",IFERROR(INDEX(Pagos_Odoo!$B:$B, MATCH(Q444, Pagos_Odoo!$I:$I, 0)), "Sin Pago"))</f>
        <v/>
      </c>
      <c r="Y444" s="79">
        <f>IF(X444="Sin Pago","",IFERROR(INDEX(Pagos_Odoo!$C:$C, MATCH(X444, Pagos_Odoo!$B:$B, 0)), ""))</f>
        <v/>
      </c>
      <c r="Z444" s="80">
        <f>IF(X444="Sin Pago","",IFERROR(INDEX(Pagos_Odoo!$A:$A, MATCH(X444, Pagos_Odoo!$B:$B, 0)), ""))</f>
        <v/>
      </c>
      <c r="AA444" s="79">
        <f>IF(X444="Sin Pago","",IFERROR(INDEX(Pagos_Odoo!$F:$F, MATCH(X444, Pagos_Odoo!$B:$B, 0)), ""))</f>
        <v/>
      </c>
      <c r="AB444" s="81">
        <f>IF(X444="Sin Pago",0,IFERROR(INDEX(Pagos_Odoo!$E:$E, MATCH(X444, Pagos_Odoo!$B:$B, 0)), 0))</f>
        <v/>
      </c>
      <c r="AC444" s="79">
        <f>IF(X444="Sin Pago","",IFERROR(INDEX(Pagos_Odoo!$G:$G, MATCH(X444, Pagos_Odoo!$B:$B, 0)), ""))</f>
        <v/>
      </c>
      <c r="AD444" s="82" t="n">
        <v>0</v>
      </c>
      <c r="AE444" s="82" t="n"/>
      <c r="AF444" s="82" t="n"/>
      <c r="AG444" s="82">
        <f>IF(AN444="","",AD444+AE444+AF444)</f>
        <v/>
      </c>
      <c r="AH444" s="81">
        <f>IF(AN444="","",P444*(1-AG444))</f>
        <v/>
      </c>
      <c r="AI444" s="81">
        <f>IF(AN444="","",IF(Q444="Sin Factura",0,IFERROR(INDEX(Facturas_Odoo!$H:$H, MATCH(Q444, Facturas_Odoo!$B:$B, 0)), 0)*(1-AG444)))</f>
        <v/>
      </c>
      <c r="AJ444" s="81">
        <f>IF(AN444="","",_xlfn.LET(idVenta, AN444&amp;"",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44" s="81">
        <f>IF(AN444="","",AH444-AJ444)</f>
        <v/>
      </c>
      <c r="AL444" s="81">
        <f>IF(AN444="","",IF(Q444="Sin Factura","",AI444-AJ444))</f>
        <v/>
      </c>
      <c r="AM444" s="81">
        <f>IF(AN444="","",IF(Q444="Sin Factura",0,P444-IFERROR(INDEX(Facturas_Odoo!$H:$H, MATCH(Q444, Facturas_Odoo!$B:$B, 0)), 0)))</f>
        <v/>
      </c>
      <c r="AN444" s="79">
        <f>IF(AND(A444="", J444=""), "", IF(A444&lt;&gt;"", VALUE(MID(A444,2,LEN(A444))), AN443))</f>
        <v/>
      </c>
      <c r="AO444" s="79">
        <f>IF(AN444="","",IF(AD444=0,"OK",_xlfn.LET(monedaPago, IF(AA444="","USD",AA444), limitePermitido, IFERROR(VLOOKUP(monedaPago, Configuración!$A$2:$B$3, 2, FALSE), 0.15), IF(AD444&gt;limitePermitido, "ALERTA: EXCESO (" &amp; TEXT(limitePermitido, "0%") &amp; " máx)", "OK"))))</f>
        <v/>
      </c>
      <c r="AP444" s="79">
        <f>IF(AN444="","",IF(AE444=0,"OK",_xlfn.LET(fechaPago, Z444, fechaFactura, R444, diasCredito, IF(E444="Pago inmediato", 0, IFERROR(VALUE(MID(E444, 1, SEARCH(" ", E444)-1)),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44" s="79">
        <f>IF(AN444="","",IF(AND(N444&gt;0, AG444&gt;0), IF(Configuración!$K$2="NO", "ALERTA: DESCUENTO DOBLE NO PERMITIDO", "OK"), "OK"))</f>
        <v/>
      </c>
      <c r="AR444" s="79">
        <f>IF(AN444="","",IF(OR(AO444&lt;&gt;"OK", AP444&lt;&gt;"OK", AQ444&lt;&gt;"OK"), "⚠️ REVISAR", "OK"))</f>
        <v/>
      </c>
    </row>
    <row r="445">
      <c r="A445" s="79">
        <f>IF('Ordenes_Odoo'!A445="","",'Ordenes_Odoo'!A445)</f>
        <v/>
      </c>
      <c r="B445" s="80">
        <f>IF('Ordenes_Odoo'!B445="","",'Ordenes_Odoo'!B445)</f>
        <v/>
      </c>
      <c r="C445" s="79">
        <f>IF('Ordenes_Odoo'!C445="","",'Ordenes_Odoo'!C445)</f>
        <v/>
      </c>
      <c r="D445" s="79">
        <f>IF('Ordenes_Odoo'!D445="","",'Ordenes_Odoo'!D445)</f>
        <v/>
      </c>
      <c r="E445" s="79">
        <f>IF('Ordenes_Odoo'!E445="","",'Ordenes_Odoo'!E445)</f>
        <v/>
      </c>
      <c r="F445" s="79">
        <f>IF('Ordenes_Odoo'!F445="","",'Ordenes_Odoo'!F445)</f>
        <v/>
      </c>
      <c r="G445" s="79">
        <f>IF('Ordenes_Odoo'!G445="","",'Ordenes_Odoo'!G445)</f>
        <v/>
      </c>
      <c r="H445" s="79">
        <f>IF('Ordenes_Odoo'!H445="","",'Ordenes_Odoo'!H445)</f>
        <v/>
      </c>
      <c r="I445" s="79">
        <f>IF('Ordenes_Odoo'!I445="","",'Ordenes_Odoo'!I445)</f>
        <v/>
      </c>
      <c r="J445" s="79">
        <f>IF('Ordenes_Odoo'!J445="","",'Ordenes_Odoo'!J445)</f>
        <v/>
      </c>
      <c r="K445" s="81">
        <f>IF('Ordenes_Odoo'!K445="","",'Ordenes_Odoo'!K445)</f>
        <v/>
      </c>
      <c r="L445" s="81">
        <f>IF('Ordenes_Odoo'!L445="","",'Ordenes_Odoo'!L445)</f>
        <v/>
      </c>
      <c r="M445" s="79">
        <f>IF('Ordenes_Odoo'!M445="","",'Ordenes_Odoo'!M445)</f>
        <v/>
      </c>
      <c r="N445" s="79">
        <f>IF('Ordenes_Odoo'!N445="","",'Ordenes_Odoo'!N445)</f>
        <v/>
      </c>
      <c r="O445" s="81">
        <f>IF('Ordenes_Odoo'!O445="","",'Ordenes_Odoo'!O445)</f>
        <v/>
      </c>
      <c r="P445" s="81">
        <f>IF('Ordenes_Odoo'!P445="","",'Ordenes_Odoo'!P445)</f>
        <v/>
      </c>
      <c r="Q445" s="79">
        <f>IF(A445="","",IFERROR(INDEX(Facturas_Odoo!$B:$B, MATCH(A445, Facturas_Odoo!$D:$D, 0)), "Sin Factura"))</f>
        <v/>
      </c>
      <c r="R445" s="80">
        <f>IF(Q445="Sin Factura","",IFERROR(INDEX(Facturas_Odoo!$A:$A, MATCH(Q445, Facturas_Odoo!$B:$B, 0)), ""))</f>
        <v/>
      </c>
      <c r="S445" s="79">
        <f>IF(Q445="Sin Factura","",IFERROR(_xlfn.XLOOKUP(1, (Facturas_Odoo!$D:$D=A445) * (Facturas_Odoo!$K:$K=I445), Facturas_Odoo!$L:$L, ""), ""))</f>
        <v/>
      </c>
      <c r="T445" s="81">
        <f>IF(Q445="Sin Factura",0,IFERROR(_xlfn.XLOOKUP(1, (Facturas_Odoo!$D:$D=A445) * (Facturas_Odoo!$K:$K=I445), Facturas_Odoo!$M:$M, 0), 0))</f>
        <v/>
      </c>
      <c r="U445" s="79">
        <f>IF(Q445="Sin Factura",0,IFERROR(_xlfn.XLOOKUP(1, (Facturas_Odoo!$D:$D=A445) * (Facturas_Odoo!$K:$K=I445), Facturas_Odoo!$N:$N, 0), 0))</f>
        <v/>
      </c>
      <c r="V445" s="79">
        <f>IF(Q445="Sin Factura",0,IFERROR(_xlfn.XLOOKUP(1, (Facturas_Odoo!$D:$D=A445) * (Facturas_Odoo!$K:$K=I445), Facturas_Odoo!$O:$O, 0), 0))</f>
        <v/>
      </c>
      <c r="W445" s="81">
        <f>IF(Q445="Sin Factura",0,IFERROR(_xlfn.XLOOKUP(1, (Facturas_Odoo!$D:$D=A445) * (Facturas_Odoo!$K:$K=I445), Facturas_Odoo!$Q:$Q, 0), 0))</f>
        <v/>
      </c>
      <c r="X445" s="79">
        <f>IF(OR(Q445="Sin Factura",Q445=""),"",IFERROR(INDEX(Pagos_Odoo!$B:$B, MATCH(Q445, Pagos_Odoo!$I:$I, 0)), "Sin Pago"))</f>
        <v/>
      </c>
      <c r="Y445" s="79">
        <f>IF(X445="Sin Pago","",IFERROR(INDEX(Pagos_Odoo!$C:$C, MATCH(X445, Pagos_Odoo!$B:$B, 0)), ""))</f>
        <v/>
      </c>
      <c r="Z445" s="80">
        <f>IF(X445="Sin Pago","",IFERROR(INDEX(Pagos_Odoo!$A:$A, MATCH(X445, Pagos_Odoo!$B:$B, 0)), ""))</f>
        <v/>
      </c>
      <c r="AA445" s="79">
        <f>IF(X445="Sin Pago","",IFERROR(INDEX(Pagos_Odoo!$F:$F, MATCH(X445, Pagos_Odoo!$B:$B, 0)), ""))</f>
        <v/>
      </c>
      <c r="AB445" s="81">
        <f>IF(X445="Sin Pago",0,IFERROR(INDEX(Pagos_Odoo!$E:$E, MATCH(X445, Pagos_Odoo!$B:$B, 0)), 0))</f>
        <v/>
      </c>
      <c r="AC445" s="79">
        <f>IF(X445="Sin Pago","",IFERROR(INDEX(Pagos_Odoo!$G:$G, MATCH(X445, Pagos_Odoo!$B:$B, 0)), ""))</f>
        <v/>
      </c>
      <c r="AD445" s="82" t="n">
        <v>0</v>
      </c>
      <c r="AE445" s="82" t="n"/>
      <c r="AF445" s="82" t="n"/>
      <c r="AG445" s="82">
        <f>IF(AN445="","",AD445+AE445+AF445)</f>
        <v/>
      </c>
      <c r="AH445" s="81">
        <f>IF(AN445="","",P445*(1-AG445))</f>
        <v/>
      </c>
      <c r="AI445" s="81">
        <f>IF(AN445="","",IF(Q445="Sin Factura",0,IFERROR(INDEX(Facturas_Odoo!$H:$H, MATCH(Q445, Facturas_Odoo!$B:$B, 0)), 0)*(1-AG445)))</f>
        <v/>
      </c>
      <c r="AJ445" s="81">
        <f>IF(AN445="","",_xlfn.LET(idVenta, AN445&amp;"",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45" s="81">
        <f>IF(AN445="","",AH445-AJ445)</f>
        <v/>
      </c>
      <c r="AL445" s="81">
        <f>IF(AN445="","",IF(Q445="Sin Factura","",AI445-AJ445))</f>
        <v/>
      </c>
      <c r="AM445" s="81">
        <f>IF(AN445="","",IF(Q445="Sin Factura",0,P445-IFERROR(INDEX(Facturas_Odoo!$H:$H, MATCH(Q445, Facturas_Odoo!$B:$B, 0)), 0)))</f>
        <v/>
      </c>
      <c r="AN445" s="79">
        <f>IF(AND(A445="", J445=""), "", IF(A445&lt;&gt;"", VALUE(MID(A445,2,LEN(A445))), AN444))</f>
        <v/>
      </c>
      <c r="AO445" s="79">
        <f>IF(AN445="","",IF(AD445=0,"OK",_xlfn.LET(monedaPago, IF(AA445="","USD",AA445), limitePermitido, IFERROR(VLOOKUP(monedaPago, Configuración!$A$2:$B$3, 2, FALSE), 0.15), IF(AD445&gt;limitePermitido, "ALERTA: EXCESO (" &amp; TEXT(limitePermitido, "0%") &amp; " máx)", "OK"))))</f>
        <v/>
      </c>
      <c r="AP445" s="79">
        <f>IF(AN445="","",IF(AE445=0,"OK",_xlfn.LET(fechaPago, Z445, fechaFactura, R445, diasCredito, IF(E445="Pago inmediato", 0, IFERROR(VALUE(MID(E445, 1, SEARCH(" ", E445)-1)),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45" s="79">
        <f>IF(AN445="","",IF(AND(N445&gt;0, AG445&gt;0), IF(Configuración!$K$2="NO", "ALERTA: DESCUENTO DOBLE NO PERMITIDO", "OK"), "OK"))</f>
        <v/>
      </c>
      <c r="AR445" s="79">
        <f>IF(AN445="","",IF(OR(AO445&lt;&gt;"OK", AP445&lt;&gt;"OK", AQ445&lt;&gt;"OK"), "⚠️ REVISAR", "OK"))</f>
        <v/>
      </c>
    </row>
    <row r="446">
      <c r="A446" s="79">
        <f>IF('Ordenes_Odoo'!A446="","",'Ordenes_Odoo'!A446)</f>
        <v/>
      </c>
      <c r="B446" s="80">
        <f>IF('Ordenes_Odoo'!B446="","",'Ordenes_Odoo'!B446)</f>
        <v/>
      </c>
      <c r="C446" s="79">
        <f>IF('Ordenes_Odoo'!C446="","",'Ordenes_Odoo'!C446)</f>
        <v/>
      </c>
      <c r="D446" s="79">
        <f>IF('Ordenes_Odoo'!D446="","",'Ordenes_Odoo'!D446)</f>
        <v/>
      </c>
      <c r="E446" s="79">
        <f>IF('Ordenes_Odoo'!E446="","",'Ordenes_Odoo'!E446)</f>
        <v/>
      </c>
      <c r="F446" s="79">
        <f>IF('Ordenes_Odoo'!F446="","",'Ordenes_Odoo'!F446)</f>
        <v/>
      </c>
      <c r="G446" s="79">
        <f>IF('Ordenes_Odoo'!G446="","",'Ordenes_Odoo'!G446)</f>
        <v/>
      </c>
      <c r="H446" s="79">
        <f>IF('Ordenes_Odoo'!H446="","",'Ordenes_Odoo'!H446)</f>
        <v/>
      </c>
      <c r="I446" s="79">
        <f>IF('Ordenes_Odoo'!I446="","",'Ordenes_Odoo'!I446)</f>
        <v/>
      </c>
      <c r="J446" s="79">
        <f>IF('Ordenes_Odoo'!J446="","",'Ordenes_Odoo'!J446)</f>
        <v/>
      </c>
      <c r="K446" s="81">
        <f>IF('Ordenes_Odoo'!K446="","",'Ordenes_Odoo'!K446)</f>
        <v/>
      </c>
      <c r="L446" s="81">
        <f>IF('Ordenes_Odoo'!L446="","",'Ordenes_Odoo'!L446)</f>
        <v/>
      </c>
      <c r="M446" s="79">
        <f>IF('Ordenes_Odoo'!M446="","",'Ordenes_Odoo'!M446)</f>
        <v/>
      </c>
      <c r="N446" s="79">
        <f>IF('Ordenes_Odoo'!N446="","",'Ordenes_Odoo'!N446)</f>
        <v/>
      </c>
      <c r="O446" s="81">
        <f>IF('Ordenes_Odoo'!O446="","",'Ordenes_Odoo'!O446)</f>
        <v/>
      </c>
      <c r="P446" s="81">
        <f>IF('Ordenes_Odoo'!P446="","",'Ordenes_Odoo'!P446)</f>
        <v/>
      </c>
      <c r="Q446" s="79">
        <f>IF(A446="","",IFERROR(INDEX(Facturas_Odoo!$B:$B, MATCH(A446, Facturas_Odoo!$D:$D, 0)), "Sin Factura"))</f>
        <v/>
      </c>
      <c r="R446" s="80">
        <f>IF(Q446="Sin Factura","",IFERROR(INDEX(Facturas_Odoo!$A:$A, MATCH(Q446, Facturas_Odoo!$B:$B, 0)), ""))</f>
        <v/>
      </c>
      <c r="S446" s="79">
        <f>IF(Q446="Sin Factura","",IFERROR(_xlfn.XLOOKUP(1, (Facturas_Odoo!$D:$D=A446) * (Facturas_Odoo!$K:$K=I446), Facturas_Odoo!$L:$L, ""), ""))</f>
        <v/>
      </c>
      <c r="T446" s="81">
        <f>IF(Q446="Sin Factura",0,IFERROR(_xlfn.XLOOKUP(1, (Facturas_Odoo!$D:$D=A446) * (Facturas_Odoo!$K:$K=I446), Facturas_Odoo!$M:$M, 0), 0))</f>
        <v/>
      </c>
      <c r="U446" s="79">
        <f>IF(Q446="Sin Factura",0,IFERROR(_xlfn.XLOOKUP(1, (Facturas_Odoo!$D:$D=A446) * (Facturas_Odoo!$K:$K=I446), Facturas_Odoo!$N:$N, 0), 0))</f>
        <v/>
      </c>
      <c r="V446" s="79">
        <f>IF(Q446="Sin Factura",0,IFERROR(_xlfn.XLOOKUP(1, (Facturas_Odoo!$D:$D=A446) * (Facturas_Odoo!$K:$K=I446), Facturas_Odoo!$O:$O, 0), 0))</f>
        <v/>
      </c>
      <c r="W446" s="81">
        <f>IF(Q446="Sin Factura",0,IFERROR(_xlfn.XLOOKUP(1, (Facturas_Odoo!$D:$D=A446) * (Facturas_Odoo!$K:$K=I446), Facturas_Odoo!$Q:$Q, 0), 0))</f>
        <v/>
      </c>
      <c r="X446" s="79">
        <f>IF(OR(Q446="Sin Factura",Q446=""),"",IFERROR(INDEX(Pagos_Odoo!$B:$B, MATCH(Q446, Pagos_Odoo!$I:$I, 0)), "Sin Pago"))</f>
        <v/>
      </c>
      <c r="Y446" s="79">
        <f>IF(X446="Sin Pago","",IFERROR(INDEX(Pagos_Odoo!$C:$C, MATCH(X446, Pagos_Odoo!$B:$B, 0)), ""))</f>
        <v/>
      </c>
      <c r="Z446" s="80">
        <f>IF(X446="Sin Pago","",IFERROR(INDEX(Pagos_Odoo!$A:$A, MATCH(X446, Pagos_Odoo!$B:$B, 0)), ""))</f>
        <v/>
      </c>
      <c r="AA446" s="79">
        <f>IF(X446="Sin Pago","",IFERROR(INDEX(Pagos_Odoo!$F:$F, MATCH(X446, Pagos_Odoo!$B:$B, 0)), ""))</f>
        <v/>
      </c>
      <c r="AB446" s="81">
        <f>IF(X446="Sin Pago",0,IFERROR(INDEX(Pagos_Odoo!$E:$E, MATCH(X446, Pagos_Odoo!$B:$B, 0)), 0))</f>
        <v/>
      </c>
      <c r="AC446" s="79">
        <f>IF(X446="Sin Pago","",IFERROR(INDEX(Pagos_Odoo!$G:$G, MATCH(X446, Pagos_Odoo!$B:$B, 0)), ""))</f>
        <v/>
      </c>
      <c r="AD446" s="82" t="n">
        <v>0</v>
      </c>
      <c r="AE446" s="82" t="n"/>
      <c r="AF446" s="82" t="n"/>
      <c r="AG446" s="82">
        <f>IF(AN446="","",AD446+AE446+AF446)</f>
        <v/>
      </c>
      <c r="AH446" s="81">
        <f>IF(AN446="","",P446*(1-AG446))</f>
        <v/>
      </c>
      <c r="AI446" s="81">
        <f>IF(AN446="","",IF(Q446="Sin Factura",0,IFERROR(INDEX(Facturas_Odoo!$H:$H, MATCH(Q446, Facturas_Odoo!$B:$B, 0)), 0)*(1-AG446)))</f>
        <v/>
      </c>
      <c r="AJ446" s="81">
        <f>IF(AN446="","",_xlfn.LET(idVenta, AN446&amp;"",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46" s="81">
        <f>IF(AN446="","",AH446-AJ446)</f>
        <v/>
      </c>
      <c r="AL446" s="81">
        <f>IF(AN446="","",IF(Q446="Sin Factura","",AI446-AJ446))</f>
        <v/>
      </c>
      <c r="AM446" s="81">
        <f>IF(AN446="","",IF(Q446="Sin Factura",0,P446-IFERROR(INDEX(Facturas_Odoo!$H:$H, MATCH(Q446, Facturas_Odoo!$B:$B, 0)), 0)))</f>
        <v/>
      </c>
      <c r="AN446" s="79">
        <f>IF(AND(A446="", J446=""), "", IF(A446&lt;&gt;"", VALUE(MID(A446,2,LEN(A446))), AN445))</f>
        <v/>
      </c>
      <c r="AO446" s="79">
        <f>IF(AN446="","",IF(AD446=0,"OK",_xlfn.LET(monedaPago, IF(AA446="","USD",AA446), limitePermitido, IFERROR(VLOOKUP(monedaPago, Configuración!$A$2:$B$3, 2, FALSE), 0.15), IF(AD446&gt;limitePermitido, "ALERTA: EXCESO (" &amp; TEXT(limitePermitido, "0%") &amp; " máx)", "OK"))))</f>
        <v/>
      </c>
      <c r="AP446" s="79">
        <f>IF(AN446="","",IF(AE446=0,"OK",_xlfn.LET(fechaPago, Z446, fechaFactura, R446, diasCredito, IF(E446="Pago inmediato", 0, IFERROR(VALUE(MID(E446, 1, SEARCH(" ", E446)-1)),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46" s="79">
        <f>IF(AN446="","",IF(AND(N446&gt;0, AG446&gt;0), IF(Configuración!$K$2="NO", "ALERTA: DESCUENTO DOBLE NO PERMITIDO", "OK"), "OK"))</f>
        <v/>
      </c>
      <c r="AR446" s="79">
        <f>IF(AN446="","",IF(OR(AO446&lt;&gt;"OK", AP446&lt;&gt;"OK", AQ446&lt;&gt;"OK"), "⚠️ REVISAR", "OK"))</f>
        <v/>
      </c>
    </row>
    <row r="447">
      <c r="A447" s="79">
        <f>IF('Ordenes_Odoo'!A447="","",'Ordenes_Odoo'!A447)</f>
        <v/>
      </c>
      <c r="B447" s="80">
        <f>IF('Ordenes_Odoo'!B447="","",'Ordenes_Odoo'!B447)</f>
        <v/>
      </c>
      <c r="C447" s="79">
        <f>IF('Ordenes_Odoo'!C447="","",'Ordenes_Odoo'!C447)</f>
        <v/>
      </c>
      <c r="D447" s="79">
        <f>IF('Ordenes_Odoo'!D447="","",'Ordenes_Odoo'!D447)</f>
        <v/>
      </c>
      <c r="E447" s="79">
        <f>IF('Ordenes_Odoo'!E447="","",'Ordenes_Odoo'!E447)</f>
        <v/>
      </c>
      <c r="F447" s="79">
        <f>IF('Ordenes_Odoo'!F447="","",'Ordenes_Odoo'!F447)</f>
        <v/>
      </c>
      <c r="G447" s="79">
        <f>IF('Ordenes_Odoo'!G447="","",'Ordenes_Odoo'!G447)</f>
        <v/>
      </c>
      <c r="H447" s="79">
        <f>IF('Ordenes_Odoo'!H447="","",'Ordenes_Odoo'!H447)</f>
        <v/>
      </c>
      <c r="I447" s="79">
        <f>IF('Ordenes_Odoo'!I447="","",'Ordenes_Odoo'!I447)</f>
        <v/>
      </c>
      <c r="J447" s="79">
        <f>IF('Ordenes_Odoo'!J447="","",'Ordenes_Odoo'!J447)</f>
        <v/>
      </c>
      <c r="K447" s="81">
        <f>IF('Ordenes_Odoo'!K447="","",'Ordenes_Odoo'!K447)</f>
        <v/>
      </c>
      <c r="L447" s="81">
        <f>IF('Ordenes_Odoo'!L447="","",'Ordenes_Odoo'!L447)</f>
        <v/>
      </c>
      <c r="M447" s="79">
        <f>IF('Ordenes_Odoo'!M447="","",'Ordenes_Odoo'!M447)</f>
        <v/>
      </c>
      <c r="N447" s="79">
        <f>IF('Ordenes_Odoo'!N447="","",'Ordenes_Odoo'!N447)</f>
        <v/>
      </c>
      <c r="O447" s="81">
        <f>IF('Ordenes_Odoo'!O447="","",'Ordenes_Odoo'!O447)</f>
        <v/>
      </c>
      <c r="P447" s="81">
        <f>IF('Ordenes_Odoo'!P447="","",'Ordenes_Odoo'!P447)</f>
        <v/>
      </c>
      <c r="Q447" s="79">
        <f>IF(A447="","",IFERROR(INDEX(Facturas_Odoo!$B:$B, MATCH(A447, Facturas_Odoo!$D:$D, 0)), "Sin Factura"))</f>
        <v/>
      </c>
      <c r="R447" s="80">
        <f>IF(Q447="Sin Factura","",IFERROR(INDEX(Facturas_Odoo!$A:$A, MATCH(Q447, Facturas_Odoo!$B:$B, 0)), ""))</f>
        <v/>
      </c>
      <c r="S447" s="79">
        <f>IF(Q447="Sin Factura","",IFERROR(_xlfn.XLOOKUP(1, (Facturas_Odoo!$D:$D=A447) * (Facturas_Odoo!$K:$K=I447), Facturas_Odoo!$L:$L, ""), ""))</f>
        <v/>
      </c>
      <c r="T447" s="81">
        <f>IF(Q447="Sin Factura",0,IFERROR(_xlfn.XLOOKUP(1, (Facturas_Odoo!$D:$D=A447) * (Facturas_Odoo!$K:$K=I447), Facturas_Odoo!$M:$M, 0), 0))</f>
        <v/>
      </c>
      <c r="U447" s="79">
        <f>IF(Q447="Sin Factura",0,IFERROR(_xlfn.XLOOKUP(1, (Facturas_Odoo!$D:$D=A447) * (Facturas_Odoo!$K:$K=I447), Facturas_Odoo!$N:$N, 0), 0))</f>
        <v/>
      </c>
      <c r="V447" s="79">
        <f>IF(Q447="Sin Factura",0,IFERROR(_xlfn.XLOOKUP(1, (Facturas_Odoo!$D:$D=A447) * (Facturas_Odoo!$K:$K=I447), Facturas_Odoo!$O:$O, 0), 0))</f>
        <v/>
      </c>
      <c r="W447" s="81">
        <f>IF(Q447="Sin Factura",0,IFERROR(_xlfn.XLOOKUP(1, (Facturas_Odoo!$D:$D=A447) * (Facturas_Odoo!$K:$K=I447), Facturas_Odoo!$Q:$Q, 0), 0))</f>
        <v/>
      </c>
      <c r="X447" s="79">
        <f>IF(OR(Q447="Sin Factura",Q447=""),"",IFERROR(INDEX(Pagos_Odoo!$B:$B, MATCH(Q447, Pagos_Odoo!$I:$I, 0)), "Sin Pago"))</f>
        <v/>
      </c>
      <c r="Y447" s="79">
        <f>IF(X447="Sin Pago","",IFERROR(INDEX(Pagos_Odoo!$C:$C, MATCH(X447, Pagos_Odoo!$B:$B, 0)), ""))</f>
        <v/>
      </c>
      <c r="Z447" s="80">
        <f>IF(X447="Sin Pago","",IFERROR(INDEX(Pagos_Odoo!$A:$A, MATCH(X447, Pagos_Odoo!$B:$B, 0)), ""))</f>
        <v/>
      </c>
      <c r="AA447" s="79">
        <f>IF(X447="Sin Pago","",IFERROR(INDEX(Pagos_Odoo!$F:$F, MATCH(X447, Pagos_Odoo!$B:$B, 0)), ""))</f>
        <v/>
      </c>
      <c r="AB447" s="81">
        <f>IF(X447="Sin Pago",0,IFERROR(INDEX(Pagos_Odoo!$E:$E, MATCH(X447, Pagos_Odoo!$B:$B, 0)), 0))</f>
        <v/>
      </c>
      <c r="AC447" s="79">
        <f>IF(X447="Sin Pago","",IFERROR(INDEX(Pagos_Odoo!$G:$G, MATCH(X447, Pagos_Odoo!$B:$B, 0)), ""))</f>
        <v/>
      </c>
      <c r="AD447" s="82" t="n">
        <v>0</v>
      </c>
      <c r="AE447" s="82" t="n"/>
      <c r="AF447" s="82" t="n"/>
      <c r="AG447" s="82">
        <f>IF(AN447="","",AD447+AE447+AF447)</f>
        <v/>
      </c>
      <c r="AH447" s="81">
        <f>IF(AN447="","",P447*(1-AG447))</f>
        <v/>
      </c>
      <c r="AI447" s="81">
        <f>IF(AN447="","",IF(Q447="Sin Factura",0,IFERROR(INDEX(Facturas_Odoo!$H:$H, MATCH(Q447, Facturas_Odoo!$B:$B, 0)), 0)*(1-AG447)))</f>
        <v/>
      </c>
      <c r="AJ447" s="81">
        <f>IF(AN447="","",_xlfn.LET(idVenta, AN447&amp;"",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47" s="81">
        <f>IF(AN447="","",AH447-AJ447)</f>
        <v/>
      </c>
      <c r="AL447" s="81">
        <f>IF(AN447="","",IF(Q447="Sin Factura","",AI447-AJ447))</f>
        <v/>
      </c>
      <c r="AM447" s="81">
        <f>IF(AN447="","",IF(Q447="Sin Factura",0,P447-IFERROR(INDEX(Facturas_Odoo!$H:$H, MATCH(Q447, Facturas_Odoo!$B:$B, 0)), 0)))</f>
        <v/>
      </c>
      <c r="AN447" s="79">
        <f>IF(AND(A447="", J447=""), "", IF(A447&lt;&gt;"", VALUE(MID(A447,2,LEN(A447))), AN446))</f>
        <v/>
      </c>
      <c r="AO447" s="79">
        <f>IF(AN447="","",IF(AD447=0,"OK",_xlfn.LET(monedaPago, IF(AA447="","USD",AA447), limitePermitido, IFERROR(VLOOKUP(monedaPago, Configuración!$A$2:$B$3, 2, FALSE), 0.15), IF(AD447&gt;limitePermitido, "ALERTA: EXCESO (" &amp; TEXT(limitePermitido, "0%") &amp; " máx)", "OK"))))</f>
        <v/>
      </c>
      <c r="AP447" s="79">
        <f>IF(AN447="","",IF(AE447=0,"OK",_xlfn.LET(fechaPago, Z447, fechaFactura, R447, diasCredito, IF(E447="Pago inmediato", 0, IFERROR(VALUE(MID(E447, 1, SEARCH(" ", E447)-1)),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47" s="79">
        <f>IF(AN447="","",IF(AND(N447&gt;0, AG447&gt;0), IF(Configuración!$K$2="NO", "ALERTA: DESCUENTO DOBLE NO PERMITIDO", "OK"), "OK"))</f>
        <v/>
      </c>
      <c r="AR447" s="79">
        <f>IF(AN447="","",IF(OR(AO447&lt;&gt;"OK", AP447&lt;&gt;"OK", AQ447&lt;&gt;"OK"), "⚠️ REVISAR", "OK"))</f>
        <v/>
      </c>
    </row>
    <row r="448">
      <c r="A448" s="79">
        <f>IF('Ordenes_Odoo'!A448="","",'Ordenes_Odoo'!A448)</f>
        <v/>
      </c>
      <c r="B448" s="80">
        <f>IF('Ordenes_Odoo'!B448="","",'Ordenes_Odoo'!B448)</f>
        <v/>
      </c>
      <c r="C448" s="79">
        <f>IF('Ordenes_Odoo'!C448="","",'Ordenes_Odoo'!C448)</f>
        <v/>
      </c>
      <c r="D448" s="79">
        <f>IF('Ordenes_Odoo'!D448="","",'Ordenes_Odoo'!D448)</f>
        <v/>
      </c>
      <c r="E448" s="79">
        <f>IF('Ordenes_Odoo'!E448="","",'Ordenes_Odoo'!E448)</f>
        <v/>
      </c>
      <c r="F448" s="79">
        <f>IF('Ordenes_Odoo'!F448="","",'Ordenes_Odoo'!F448)</f>
        <v/>
      </c>
      <c r="G448" s="79">
        <f>IF('Ordenes_Odoo'!G448="","",'Ordenes_Odoo'!G448)</f>
        <v/>
      </c>
      <c r="H448" s="79">
        <f>IF('Ordenes_Odoo'!H448="","",'Ordenes_Odoo'!H448)</f>
        <v/>
      </c>
      <c r="I448" s="79">
        <f>IF('Ordenes_Odoo'!I448="","",'Ordenes_Odoo'!I448)</f>
        <v/>
      </c>
      <c r="J448" s="79">
        <f>IF('Ordenes_Odoo'!J448="","",'Ordenes_Odoo'!J448)</f>
        <v/>
      </c>
      <c r="K448" s="81">
        <f>IF('Ordenes_Odoo'!K448="","",'Ordenes_Odoo'!K448)</f>
        <v/>
      </c>
      <c r="L448" s="81">
        <f>IF('Ordenes_Odoo'!L448="","",'Ordenes_Odoo'!L448)</f>
        <v/>
      </c>
      <c r="M448" s="79">
        <f>IF('Ordenes_Odoo'!M448="","",'Ordenes_Odoo'!M448)</f>
        <v/>
      </c>
      <c r="N448" s="79">
        <f>IF('Ordenes_Odoo'!N448="","",'Ordenes_Odoo'!N448)</f>
        <v/>
      </c>
      <c r="O448" s="81">
        <f>IF('Ordenes_Odoo'!O448="","",'Ordenes_Odoo'!O448)</f>
        <v/>
      </c>
      <c r="P448" s="81">
        <f>IF('Ordenes_Odoo'!P448="","",'Ordenes_Odoo'!P448)</f>
        <v/>
      </c>
      <c r="Q448" s="79">
        <f>IF(A448="","",IFERROR(INDEX(Facturas_Odoo!$B:$B, MATCH(A448, Facturas_Odoo!$D:$D, 0)), "Sin Factura"))</f>
        <v/>
      </c>
      <c r="R448" s="80">
        <f>IF(Q448="Sin Factura","",IFERROR(INDEX(Facturas_Odoo!$A:$A, MATCH(Q448, Facturas_Odoo!$B:$B, 0)), ""))</f>
        <v/>
      </c>
      <c r="S448" s="79">
        <f>IF(Q448="Sin Factura","",IFERROR(_xlfn.XLOOKUP(1, (Facturas_Odoo!$D:$D=A448) * (Facturas_Odoo!$K:$K=I448), Facturas_Odoo!$L:$L, ""), ""))</f>
        <v/>
      </c>
      <c r="T448" s="81">
        <f>IF(Q448="Sin Factura",0,IFERROR(_xlfn.XLOOKUP(1, (Facturas_Odoo!$D:$D=A448) * (Facturas_Odoo!$K:$K=I448), Facturas_Odoo!$M:$M, 0), 0))</f>
        <v/>
      </c>
      <c r="U448" s="79">
        <f>IF(Q448="Sin Factura",0,IFERROR(_xlfn.XLOOKUP(1, (Facturas_Odoo!$D:$D=A448) * (Facturas_Odoo!$K:$K=I448), Facturas_Odoo!$N:$N, 0), 0))</f>
        <v/>
      </c>
      <c r="V448" s="79">
        <f>IF(Q448="Sin Factura",0,IFERROR(_xlfn.XLOOKUP(1, (Facturas_Odoo!$D:$D=A448) * (Facturas_Odoo!$K:$K=I448), Facturas_Odoo!$O:$O, 0), 0))</f>
        <v/>
      </c>
      <c r="W448" s="81">
        <f>IF(Q448="Sin Factura",0,IFERROR(_xlfn.XLOOKUP(1, (Facturas_Odoo!$D:$D=A448) * (Facturas_Odoo!$K:$K=I448), Facturas_Odoo!$Q:$Q, 0), 0))</f>
        <v/>
      </c>
      <c r="X448" s="79">
        <f>IF(OR(Q448="Sin Factura",Q448=""),"",IFERROR(INDEX(Pagos_Odoo!$B:$B, MATCH(Q448, Pagos_Odoo!$I:$I, 0)), "Sin Pago"))</f>
        <v/>
      </c>
      <c r="Y448" s="79">
        <f>IF(X448="Sin Pago","",IFERROR(INDEX(Pagos_Odoo!$C:$C, MATCH(X448, Pagos_Odoo!$B:$B, 0)), ""))</f>
        <v/>
      </c>
      <c r="Z448" s="80">
        <f>IF(X448="Sin Pago","",IFERROR(INDEX(Pagos_Odoo!$A:$A, MATCH(X448, Pagos_Odoo!$B:$B, 0)), ""))</f>
        <v/>
      </c>
      <c r="AA448" s="79">
        <f>IF(X448="Sin Pago","",IFERROR(INDEX(Pagos_Odoo!$F:$F, MATCH(X448, Pagos_Odoo!$B:$B, 0)), ""))</f>
        <v/>
      </c>
      <c r="AB448" s="81">
        <f>IF(X448="Sin Pago",0,IFERROR(INDEX(Pagos_Odoo!$E:$E, MATCH(X448, Pagos_Odoo!$B:$B, 0)), 0))</f>
        <v/>
      </c>
      <c r="AC448" s="79">
        <f>IF(X448="Sin Pago","",IFERROR(INDEX(Pagos_Odoo!$G:$G, MATCH(X448, Pagos_Odoo!$B:$B, 0)), ""))</f>
        <v/>
      </c>
      <c r="AD448" s="82" t="n">
        <v>0</v>
      </c>
      <c r="AE448" s="82" t="n"/>
      <c r="AF448" s="82" t="n"/>
      <c r="AG448" s="82">
        <f>IF(AN448="","",AD448+AE448+AF448)</f>
        <v/>
      </c>
      <c r="AH448" s="81">
        <f>IF(AN448="","",P448*(1-AG448))</f>
        <v/>
      </c>
      <c r="AI448" s="81">
        <f>IF(AN448="","",IF(Q448="Sin Factura",0,IFERROR(INDEX(Facturas_Odoo!$H:$H, MATCH(Q448, Facturas_Odoo!$B:$B, 0)), 0)*(1-AG448)))</f>
        <v/>
      </c>
      <c r="AJ448" s="81">
        <f>IF(AN448="","",_xlfn.LET(idVenta, AN448&amp;"",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48" s="81">
        <f>IF(AN448="","",AH448-AJ448)</f>
        <v/>
      </c>
      <c r="AL448" s="81">
        <f>IF(AN448="","",IF(Q448="Sin Factura","",AI448-AJ448))</f>
        <v/>
      </c>
      <c r="AM448" s="81">
        <f>IF(AN448="","",IF(Q448="Sin Factura",0,P448-IFERROR(INDEX(Facturas_Odoo!$H:$H, MATCH(Q448, Facturas_Odoo!$B:$B, 0)), 0)))</f>
        <v/>
      </c>
      <c r="AN448" s="79">
        <f>IF(AND(A448="", J448=""), "", IF(A448&lt;&gt;"", VALUE(MID(A448,2,LEN(A448))), AN447))</f>
        <v/>
      </c>
      <c r="AO448" s="79">
        <f>IF(AN448="","",IF(AD448=0,"OK",_xlfn.LET(monedaPago, IF(AA448="","USD",AA448), limitePermitido, IFERROR(VLOOKUP(monedaPago, Configuración!$A$2:$B$3, 2, FALSE), 0.15), IF(AD448&gt;limitePermitido, "ALERTA: EXCESO (" &amp; TEXT(limitePermitido, "0%") &amp; " máx)", "OK"))))</f>
        <v/>
      </c>
      <c r="AP448" s="79">
        <f>IF(AN448="","",IF(AE448=0,"OK",_xlfn.LET(fechaPago, Z448, fechaFactura, R448, diasCredito, IF(E448="Pago inmediato", 0, IFERROR(VALUE(MID(E448, 1, SEARCH(" ", E448)-1)),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48" s="79">
        <f>IF(AN448="","",IF(AND(N448&gt;0, AG448&gt;0), IF(Configuración!$K$2="NO", "ALERTA: DESCUENTO DOBLE NO PERMITIDO", "OK"), "OK"))</f>
        <v/>
      </c>
      <c r="AR448" s="79">
        <f>IF(AN448="","",IF(OR(AO448&lt;&gt;"OK", AP448&lt;&gt;"OK", AQ448&lt;&gt;"OK"), "⚠️ REVISAR", "OK"))</f>
        <v/>
      </c>
    </row>
    <row r="449">
      <c r="A449" s="79">
        <f>IF('Ordenes_Odoo'!A449="","",'Ordenes_Odoo'!A449)</f>
        <v/>
      </c>
      <c r="B449" s="80">
        <f>IF('Ordenes_Odoo'!B449="","",'Ordenes_Odoo'!B449)</f>
        <v/>
      </c>
      <c r="C449" s="79">
        <f>IF('Ordenes_Odoo'!C449="","",'Ordenes_Odoo'!C449)</f>
        <v/>
      </c>
      <c r="D449" s="79">
        <f>IF('Ordenes_Odoo'!D449="","",'Ordenes_Odoo'!D449)</f>
        <v/>
      </c>
      <c r="E449" s="79">
        <f>IF('Ordenes_Odoo'!E449="","",'Ordenes_Odoo'!E449)</f>
        <v/>
      </c>
      <c r="F449" s="79">
        <f>IF('Ordenes_Odoo'!F449="","",'Ordenes_Odoo'!F449)</f>
        <v/>
      </c>
      <c r="G449" s="79">
        <f>IF('Ordenes_Odoo'!G449="","",'Ordenes_Odoo'!G449)</f>
        <v/>
      </c>
      <c r="H449" s="79">
        <f>IF('Ordenes_Odoo'!H449="","",'Ordenes_Odoo'!H449)</f>
        <v/>
      </c>
      <c r="I449" s="79">
        <f>IF('Ordenes_Odoo'!I449="","",'Ordenes_Odoo'!I449)</f>
        <v/>
      </c>
      <c r="J449" s="79">
        <f>IF('Ordenes_Odoo'!J449="","",'Ordenes_Odoo'!J449)</f>
        <v/>
      </c>
      <c r="K449" s="81">
        <f>IF('Ordenes_Odoo'!K449="","",'Ordenes_Odoo'!K449)</f>
        <v/>
      </c>
      <c r="L449" s="81">
        <f>IF('Ordenes_Odoo'!L449="","",'Ordenes_Odoo'!L449)</f>
        <v/>
      </c>
      <c r="M449" s="79">
        <f>IF('Ordenes_Odoo'!M449="","",'Ordenes_Odoo'!M449)</f>
        <v/>
      </c>
      <c r="N449" s="79">
        <f>IF('Ordenes_Odoo'!N449="","",'Ordenes_Odoo'!N449)</f>
        <v/>
      </c>
      <c r="O449" s="81">
        <f>IF('Ordenes_Odoo'!O449="","",'Ordenes_Odoo'!O449)</f>
        <v/>
      </c>
      <c r="P449" s="81">
        <f>IF('Ordenes_Odoo'!P449="","",'Ordenes_Odoo'!P449)</f>
        <v/>
      </c>
      <c r="Q449" s="79">
        <f>IF(A449="","",IFERROR(INDEX(Facturas_Odoo!$B:$B, MATCH(A449, Facturas_Odoo!$D:$D, 0)), "Sin Factura"))</f>
        <v/>
      </c>
      <c r="R449" s="80">
        <f>IF(Q449="Sin Factura","",IFERROR(INDEX(Facturas_Odoo!$A:$A, MATCH(Q449, Facturas_Odoo!$B:$B, 0)), ""))</f>
        <v/>
      </c>
      <c r="S449" s="79">
        <f>IF(Q449="Sin Factura","",IFERROR(_xlfn.XLOOKUP(1, (Facturas_Odoo!$D:$D=A449) * (Facturas_Odoo!$K:$K=I449), Facturas_Odoo!$L:$L, ""), ""))</f>
        <v/>
      </c>
      <c r="T449" s="81">
        <f>IF(Q449="Sin Factura",0,IFERROR(_xlfn.XLOOKUP(1, (Facturas_Odoo!$D:$D=A449) * (Facturas_Odoo!$K:$K=I449), Facturas_Odoo!$M:$M, 0), 0))</f>
        <v/>
      </c>
      <c r="U449" s="79">
        <f>IF(Q449="Sin Factura",0,IFERROR(_xlfn.XLOOKUP(1, (Facturas_Odoo!$D:$D=A449) * (Facturas_Odoo!$K:$K=I449), Facturas_Odoo!$N:$N, 0), 0))</f>
        <v/>
      </c>
      <c r="V449" s="79">
        <f>IF(Q449="Sin Factura",0,IFERROR(_xlfn.XLOOKUP(1, (Facturas_Odoo!$D:$D=A449) * (Facturas_Odoo!$K:$K=I449), Facturas_Odoo!$O:$O, 0), 0))</f>
        <v/>
      </c>
      <c r="W449" s="81">
        <f>IF(Q449="Sin Factura",0,IFERROR(_xlfn.XLOOKUP(1, (Facturas_Odoo!$D:$D=A449) * (Facturas_Odoo!$K:$K=I449), Facturas_Odoo!$Q:$Q, 0), 0))</f>
        <v/>
      </c>
      <c r="X449" s="79">
        <f>IF(OR(Q449="Sin Factura",Q449=""),"",IFERROR(INDEX(Pagos_Odoo!$B:$B, MATCH(Q449, Pagos_Odoo!$I:$I, 0)), "Sin Pago"))</f>
        <v/>
      </c>
      <c r="Y449" s="79">
        <f>IF(X449="Sin Pago","",IFERROR(INDEX(Pagos_Odoo!$C:$C, MATCH(X449, Pagos_Odoo!$B:$B, 0)), ""))</f>
        <v/>
      </c>
      <c r="Z449" s="80">
        <f>IF(X449="Sin Pago","",IFERROR(INDEX(Pagos_Odoo!$A:$A, MATCH(X449, Pagos_Odoo!$B:$B, 0)), ""))</f>
        <v/>
      </c>
      <c r="AA449" s="79">
        <f>IF(X449="Sin Pago","",IFERROR(INDEX(Pagos_Odoo!$F:$F, MATCH(X449, Pagos_Odoo!$B:$B, 0)), ""))</f>
        <v/>
      </c>
      <c r="AB449" s="81">
        <f>IF(X449="Sin Pago",0,IFERROR(INDEX(Pagos_Odoo!$E:$E, MATCH(X449, Pagos_Odoo!$B:$B, 0)), 0))</f>
        <v/>
      </c>
      <c r="AC449" s="79">
        <f>IF(X449="Sin Pago","",IFERROR(INDEX(Pagos_Odoo!$G:$G, MATCH(X449, Pagos_Odoo!$B:$B, 0)), ""))</f>
        <v/>
      </c>
      <c r="AD449" s="82" t="n">
        <v>0</v>
      </c>
      <c r="AE449" s="82" t="n"/>
      <c r="AF449" s="82" t="n"/>
      <c r="AG449" s="82">
        <f>IF(AN449="","",AD449+AE449+AF449)</f>
        <v/>
      </c>
      <c r="AH449" s="81">
        <f>IF(AN449="","",P449*(1-AG449))</f>
        <v/>
      </c>
      <c r="AI449" s="81">
        <f>IF(AN449="","",IF(Q449="Sin Factura",0,IFERROR(INDEX(Facturas_Odoo!$H:$H, MATCH(Q449, Facturas_Odoo!$B:$B, 0)), 0)*(1-AG449)))</f>
        <v/>
      </c>
      <c r="AJ449" s="81">
        <f>IF(AN449="","",_xlfn.LET(idVenta, AN449&amp;"",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49" s="81">
        <f>IF(AN449="","",AH449-AJ449)</f>
        <v/>
      </c>
      <c r="AL449" s="81">
        <f>IF(AN449="","",IF(Q449="Sin Factura","",AI449-AJ449))</f>
        <v/>
      </c>
      <c r="AM449" s="81">
        <f>IF(AN449="","",IF(Q449="Sin Factura",0,P449-IFERROR(INDEX(Facturas_Odoo!$H:$H, MATCH(Q449, Facturas_Odoo!$B:$B, 0)), 0)))</f>
        <v/>
      </c>
      <c r="AN449" s="79">
        <f>IF(AND(A449="", J449=""), "", IF(A449&lt;&gt;"", VALUE(MID(A449,2,LEN(A449))), AN448))</f>
        <v/>
      </c>
      <c r="AO449" s="79">
        <f>IF(AN449="","",IF(AD449=0,"OK",_xlfn.LET(monedaPago, IF(AA449="","USD",AA449), limitePermitido, IFERROR(VLOOKUP(monedaPago, Configuración!$A$2:$B$3, 2, FALSE), 0.15), IF(AD449&gt;limitePermitido, "ALERTA: EXCESO (" &amp; TEXT(limitePermitido, "0%") &amp; " máx)", "OK"))))</f>
        <v/>
      </c>
      <c r="AP449" s="79">
        <f>IF(AN449="","",IF(AE449=0,"OK",_xlfn.LET(fechaPago, Z449, fechaFactura, R449, diasCredito, IF(E449="Pago inmediato", 0, IFERROR(VALUE(MID(E449, 1, SEARCH(" ", E449)-1)),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49" s="79">
        <f>IF(AN449="","",IF(AND(N449&gt;0, AG449&gt;0), IF(Configuración!$K$2="NO", "ALERTA: DESCUENTO DOBLE NO PERMITIDO", "OK"), "OK"))</f>
        <v/>
      </c>
      <c r="AR449" s="79">
        <f>IF(AN449="","",IF(OR(AO449&lt;&gt;"OK", AP449&lt;&gt;"OK", AQ449&lt;&gt;"OK"), "⚠️ REVISAR", "OK"))</f>
        <v/>
      </c>
    </row>
    <row r="450">
      <c r="A450" s="79">
        <f>IF('Ordenes_Odoo'!A450="","",'Ordenes_Odoo'!A450)</f>
        <v/>
      </c>
      <c r="B450" s="80">
        <f>IF('Ordenes_Odoo'!B450="","",'Ordenes_Odoo'!B450)</f>
        <v/>
      </c>
      <c r="C450" s="79">
        <f>IF('Ordenes_Odoo'!C450="","",'Ordenes_Odoo'!C450)</f>
        <v/>
      </c>
      <c r="D450" s="79">
        <f>IF('Ordenes_Odoo'!D450="","",'Ordenes_Odoo'!D450)</f>
        <v/>
      </c>
      <c r="E450" s="79">
        <f>IF('Ordenes_Odoo'!E450="","",'Ordenes_Odoo'!E450)</f>
        <v/>
      </c>
      <c r="F450" s="79">
        <f>IF('Ordenes_Odoo'!F450="","",'Ordenes_Odoo'!F450)</f>
        <v/>
      </c>
      <c r="G450" s="79">
        <f>IF('Ordenes_Odoo'!G450="","",'Ordenes_Odoo'!G450)</f>
        <v/>
      </c>
      <c r="H450" s="79">
        <f>IF('Ordenes_Odoo'!H450="","",'Ordenes_Odoo'!H450)</f>
        <v/>
      </c>
      <c r="I450" s="79">
        <f>IF('Ordenes_Odoo'!I450="","",'Ordenes_Odoo'!I450)</f>
        <v/>
      </c>
      <c r="J450" s="79">
        <f>IF('Ordenes_Odoo'!J450="","",'Ordenes_Odoo'!J450)</f>
        <v/>
      </c>
      <c r="K450" s="81">
        <f>IF('Ordenes_Odoo'!K450="","",'Ordenes_Odoo'!K450)</f>
        <v/>
      </c>
      <c r="L450" s="81">
        <f>IF('Ordenes_Odoo'!L450="","",'Ordenes_Odoo'!L450)</f>
        <v/>
      </c>
      <c r="M450" s="79">
        <f>IF('Ordenes_Odoo'!M450="","",'Ordenes_Odoo'!M450)</f>
        <v/>
      </c>
      <c r="N450" s="79">
        <f>IF('Ordenes_Odoo'!N450="","",'Ordenes_Odoo'!N450)</f>
        <v/>
      </c>
      <c r="O450" s="81">
        <f>IF('Ordenes_Odoo'!O450="","",'Ordenes_Odoo'!O450)</f>
        <v/>
      </c>
      <c r="P450" s="81">
        <f>IF('Ordenes_Odoo'!P450="","",'Ordenes_Odoo'!P450)</f>
        <v/>
      </c>
      <c r="Q450" s="79">
        <f>IF(A450="","",IFERROR(INDEX(Facturas_Odoo!$B:$B, MATCH(A450, Facturas_Odoo!$D:$D, 0)), "Sin Factura"))</f>
        <v/>
      </c>
      <c r="R450" s="80">
        <f>IF(Q450="Sin Factura","",IFERROR(INDEX(Facturas_Odoo!$A:$A, MATCH(Q450, Facturas_Odoo!$B:$B, 0)), ""))</f>
        <v/>
      </c>
      <c r="S450" s="79">
        <f>IF(Q450="Sin Factura","",IFERROR(_xlfn.XLOOKUP(1, (Facturas_Odoo!$D:$D=A450) * (Facturas_Odoo!$K:$K=I450), Facturas_Odoo!$L:$L, ""), ""))</f>
        <v/>
      </c>
      <c r="T450" s="81">
        <f>IF(Q450="Sin Factura",0,IFERROR(_xlfn.XLOOKUP(1, (Facturas_Odoo!$D:$D=A450) * (Facturas_Odoo!$K:$K=I450), Facturas_Odoo!$M:$M, 0), 0))</f>
        <v/>
      </c>
      <c r="U450" s="79">
        <f>IF(Q450="Sin Factura",0,IFERROR(_xlfn.XLOOKUP(1, (Facturas_Odoo!$D:$D=A450) * (Facturas_Odoo!$K:$K=I450), Facturas_Odoo!$N:$N, 0), 0))</f>
        <v/>
      </c>
      <c r="V450" s="79">
        <f>IF(Q450="Sin Factura",0,IFERROR(_xlfn.XLOOKUP(1, (Facturas_Odoo!$D:$D=A450) * (Facturas_Odoo!$K:$K=I450), Facturas_Odoo!$O:$O, 0), 0))</f>
        <v/>
      </c>
      <c r="W450" s="81">
        <f>IF(Q450="Sin Factura",0,IFERROR(_xlfn.XLOOKUP(1, (Facturas_Odoo!$D:$D=A450) * (Facturas_Odoo!$K:$K=I450), Facturas_Odoo!$Q:$Q, 0), 0))</f>
        <v/>
      </c>
      <c r="X450" s="79">
        <f>IF(OR(Q450="Sin Factura",Q450=""),"",IFERROR(INDEX(Pagos_Odoo!$B:$B, MATCH(Q450, Pagos_Odoo!$I:$I, 0)), "Sin Pago"))</f>
        <v/>
      </c>
      <c r="Y450" s="79">
        <f>IF(X450="Sin Pago","",IFERROR(INDEX(Pagos_Odoo!$C:$C, MATCH(X450, Pagos_Odoo!$B:$B, 0)), ""))</f>
        <v/>
      </c>
      <c r="Z450" s="80">
        <f>IF(X450="Sin Pago","",IFERROR(INDEX(Pagos_Odoo!$A:$A, MATCH(X450, Pagos_Odoo!$B:$B, 0)), ""))</f>
        <v/>
      </c>
      <c r="AA450" s="79">
        <f>IF(X450="Sin Pago","",IFERROR(INDEX(Pagos_Odoo!$F:$F, MATCH(X450, Pagos_Odoo!$B:$B, 0)), ""))</f>
        <v/>
      </c>
      <c r="AB450" s="81">
        <f>IF(X450="Sin Pago",0,IFERROR(INDEX(Pagos_Odoo!$E:$E, MATCH(X450, Pagos_Odoo!$B:$B, 0)), 0))</f>
        <v/>
      </c>
      <c r="AC450" s="79">
        <f>IF(X450="Sin Pago","",IFERROR(INDEX(Pagos_Odoo!$G:$G, MATCH(X450, Pagos_Odoo!$B:$B, 0)), ""))</f>
        <v/>
      </c>
      <c r="AD450" s="82" t="n">
        <v>0</v>
      </c>
      <c r="AE450" s="82" t="n"/>
      <c r="AF450" s="82" t="n"/>
      <c r="AG450" s="82">
        <f>IF(AN450="","",AD450+AE450+AF450)</f>
        <v/>
      </c>
      <c r="AH450" s="81">
        <f>IF(AN450="","",P450*(1-AG450))</f>
        <v/>
      </c>
      <c r="AI450" s="81">
        <f>IF(AN450="","",IF(Q450="Sin Factura",0,IFERROR(INDEX(Facturas_Odoo!$H:$H, MATCH(Q450, Facturas_Odoo!$B:$B, 0)), 0)*(1-AG450)))</f>
        <v/>
      </c>
      <c r="AJ450" s="81">
        <f>IF(AN450="","",_xlfn.LET(idVenta, AN450&amp;"",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50" s="81">
        <f>IF(AN450="","",AH450-AJ450)</f>
        <v/>
      </c>
      <c r="AL450" s="81">
        <f>IF(AN450="","",IF(Q450="Sin Factura","",AI450-AJ450))</f>
        <v/>
      </c>
      <c r="AM450" s="81">
        <f>IF(AN450="","",IF(Q450="Sin Factura",0,P450-IFERROR(INDEX(Facturas_Odoo!$H:$H, MATCH(Q450, Facturas_Odoo!$B:$B, 0)), 0)))</f>
        <v/>
      </c>
      <c r="AN450" s="79">
        <f>IF(AND(A450="", J450=""), "", IF(A450&lt;&gt;"", VALUE(MID(A450,2,LEN(A450))), AN449))</f>
        <v/>
      </c>
      <c r="AO450" s="79">
        <f>IF(AN450="","",IF(AD450=0,"OK",_xlfn.LET(monedaPago, IF(AA450="","USD",AA450), limitePermitido, IFERROR(VLOOKUP(monedaPago, Configuración!$A$2:$B$3, 2, FALSE), 0.15), IF(AD450&gt;limitePermitido, "ALERTA: EXCESO (" &amp; TEXT(limitePermitido, "0%") &amp; " máx)", "OK"))))</f>
        <v/>
      </c>
      <c r="AP450" s="79">
        <f>IF(AN450="","",IF(AE450=0,"OK",_xlfn.LET(fechaPago, Z450, fechaFactura, R450, diasCredito, IF(E450="Pago inmediato", 0, IFERROR(VALUE(MID(E450, 1, SEARCH(" ", E450)-1)),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50" s="79">
        <f>IF(AN450="","",IF(AND(N450&gt;0, AG450&gt;0), IF(Configuración!$K$2="NO", "ALERTA: DESCUENTO DOBLE NO PERMITIDO", "OK"), "OK"))</f>
        <v/>
      </c>
      <c r="AR450" s="79">
        <f>IF(AN450="","",IF(OR(AO450&lt;&gt;"OK", AP450&lt;&gt;"OK", AQ450&lt;&gt;"OK"), "⚠️ REVISAR", "OK"))</f>
        <v/>
      </c>
    </row>
    <row r="451">
      <c r="A451" s="79">
        <f>IF('Ordenes_Odoo'!A451="","",'Ordenes_Odoo'!A451)</f>
        <v/>
      </c>
      <c r="B451" s="80">
        <f>IF('Ordenes_Odoo'!B451="","",'Ordenes_Odoo'!B451)</f>
        <v/>
      </c>
      <c r="C451" s="79">
        <f>IF('Ordenes_Odoo'!C451="","",'Ordenes_Odoo'!C451)</f>
        <v/>
      </c>
      <c r="D451" s="79">
        <f>IF('Ordenes_Odoo'!D451="","",'Ordenes_Odoo'!D451)</f>
        <v/>
      </c>
      <c r="E451" s="79">
        <f>IF('Ordenes_Odoo'!E451="","",'Ordenes_Odoo'!E451)</f>
        <v/>
      </c>
      <c r="F451" s="79">
        <f>IF('Ordenes_Odoo'!F451="","",'Ordenes_Odoo'!F451)</f>
        <v/>
      </c>
      <c r="G451" s="79">
        <f>IF('Ordenes_Odoo'!G451="","",'Ordenes_Odoo'!G451)</f>
        <v/>
      </c>
      <c r="H451" s="79">
        <f>IF('Ordenes_Odoo'!H451="","",'Ordenes_Odoo'!H451)</f>
        <v/>
      </c>
      <c r="I451" s="79">
        <f>IF('Ordenes_Odoo'!I451="","",'Ordenes_Odoo'!I451)</f>
        <v/>
      </c>
      <c r="J451" s="79">
        <f>IF('Ordenes_Odoo'!J451="","",'Ordenes_Odoo'!J451)</f>
        <v/>
      </c>
      <c r="K451" s="81">
        <f>IF('Ordenes_Odoo'!K451="","",'Ordenes_Odoo'!K451)</f>
        <v/>
      </c>
      <c r="L451" s="81">
        <f>IF('Ordenes_Odoo'!L451="","",'Ordenes_Odoo'!L451)</f>
        <v/>
      </c>
      <c r="M451" s="79">
        <f>IF('Ordenes_Odoo'!M451="","",'Ordenes_Odoo'!M451)</f>
        <v/>
      </c>
      <c r="N451" s="79">
        <f>IF('Ordenes_Odoo'!N451="","",'Ordenes_Odoo'!N451)</f>
        <v/>
      </c>
      <c r="O451" s="81">
        <f>IF('Ordenes_Odoo'!O451="","",'Ordenes_Odoo'!O451)</f>
        <v/>
      </c>
      <c r="P451" s="81">
        <f>IF('Ordenes_Odoo'!P451="","",'Ordenes_Odoo'!P451)</f>
        <v/>
      </c>
      <c r="Q451" s="79">
        <f>IF(A451="","",IFERROR(INDEX(Facturas_Odoo!$B:$B, MATCH(A451, Facturas_Odoo!$D:$D, 0)), "Sin Factura"))</f>
        <v/>
      </c>
      <c r="R451" s="80">
        <f>IF(Q451="Sin Factura","",IFERROR(INDEX(Facturas_Odoo!$A:$A, MATCH(Q451, Facturas_Odoo!$B:$B, 0)), ""))</f>
        <v/>
      </c>
      <c r="S451" s="79">
        <f>IF(Q451="Sin Factura","",IFERROR(_xlfn.XLOOKUP(1, (Facturas_Odoo!$D:$D=A451) * (Facturas_Odoo!$K:$K=I451), Facturas_Odoo!$L:$L, ""), ""))</f>
        <v/>
      </c>
      <c r="T451" s="81">
        <f>IF(Q451="Sin Factura",0,IFERROR(_xlfn.XLOOKUP(1, (Facturas_Odoo!$D:$D=A451) * (Facturas_Odoo!$K:$K=I451), Facturas_Odoo!$M:$M, 0), 0))</f>
        <v/>
      </c>
      <c r="U451" s="79">
        <f>IF(Q451="Sin Factura",0,IFERROR(_xlfn.XLOOKUP(1, (Facturas_Odoo!$D:$D=A451) * (Facturas_Odoo!$K:$K=I451), Facturas_Odoo!$N:$N, 0), 0))</f>
        <v/>
      </c>
      <c r="V451" s="79">
        <f>IF(Q451="Sin Factura",0,IFERROR(_xlfn.XLOOKUP(1, (Facturas_Odoo!$D:$D=A451) * (Facturas_Odoo!$K:$K=I451), Facturas_Odoo!$O:$O, 0), 0))</f>
        <v/>
      </c>
      <c r="W451" s="81">
        <f>IF(Q451="Sin Factura",0,IFERROR(_xlfn.XLOOKUP(1, (Facturas_Odoo!$D:$D=A451) * (Facturas_Odoo!$K:$K=I451), Facturas_Odoo!$Q:$Q, 0), 0))</f>
        <v/>
      </c>
      <c r="X451" s="79">
        <f>IF(OR(Q451="Sin Factura",Q451=""),"",IFERROR(INDEX(Pagos_Odoo!$B:$B, MATCH(Q451, Pagos_Odoo!$I:$I, 0)), "Sin Pago"))</f>
        <v/>
      </c>
      <c r="Y451" s="79">
        <f>IF(X451="Sin Pago","",IFERROR(INDEX(Pagos_Odoo!$C:$C, MATCH(X451, Pagos_Odoo!$B:$B, 0)), ""))</f>
        <v/>
      </c>
      <c r="Z451" s="80">
        <f>IF(X451="Sin Pago","",IFERROR(INDEX(Pagos_Odoo!$A:$A, MATCH(X451, Pagos_Odoo!$B:$B, 0)), ""))</f>
        <v/>
      </c>
      <c r="AA451" s="79">
        <f>IF(X451="Sin Pago","",IFERROR(INDEX(Pagos_Odoo!$F:$F, MATCH(X451, Pagos_Odoo!$B:$B, 0)), ""))</f>
        <v/>
      </c>
      <c r="AB451" s="81">
        <f>IF(X451="Sin Pago",0,IFERROR(INDEX(Pagos_Odoo!$E:$E, MATCH(X451, Pagos_Odoo!$B:$B, 0)), 0))</f>
        <v/>
      </c>
      <c r="AC451" s="79">
        <f>IF(X451="Sin Pago","",IFERROR(INDEX(Pagos_Odoo!$G:$G, MATCH(X451, Pagos_Odoo!$B:$B, 0)), ""))</f>
        <v/>
      </c>
      <c r="AD451" s="82" t="n">
        <v>0</v>
      </c>
      <c r="AE451" s="82" t="n"/>
      <c r="AF451" s="82" t="n"/>
      <c r="AG451" s="82">
        <f>IF(AN451="","",AD451+AE451+AF451)</f>
        <v/>
      </c>
      <c r="AH451" s="81">
        <f>IF(AN451="","",P451*(1-AG451))</f>
        <v/>
      </c>
      <c r="AI451" s="81">
        <f>IF(AN451="","",IF(Q451="Sin Factura",0,IFERROR(INDEX(Facturas_Odoo!$H:$H, MATCH(Q451, Facturas_Odoo!$B:$B, 0)), 0)*(1-AG451)))</f>
        <v/>
      </c>
      <c r="AJ451" s="81">
        <f>IF(AN451="","",_xlfn.LET(idVenta, AN451&amp;"",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51" s="81">
        <f>IF(AN451="","",AH451-AJ451)</f>
        <v/>
      </c>
      <c r="AL451" s="81">
        <f>IF(AN451="","",IF(Q451="Sin Factura","",AI451-AJ451))</f>
        <v/>
      </c>
      <c r="AM451" s="81">
        <f>IF(AN451="","",IF(Q451="Sin Factura",0,P451-IFERROR(INDEX(Facturas_Odoo!$H:$H, MATCH(Q451, Facturas_Odoo!$B:$B, 0)), 0)))</f>
        <v/>
      </c>
      <c r="AN451" s="79">
        <f>IF(AND(A451="", J451=""), "", IF(A451&lt;&gt;"", VALUE(MID(A451,2,LEN(A451))), AN450))</f>
        <v/>
      </c>
      <c r="AO451" s="79">
        <f>IF(AN451="","",IF(AD451=0,"OK",_xlfn.LET(monedaPago, IF(AA451="","USD",AA451), limitePermitido, IFERROR(VLOOKUP(monedaPago, Configuración!$A$2:$B$3, 2, FALSE), 0.15), IF(AD451&gt;limitePermitido, "ALERTA: EXCESO (" &amp; TEXT(limitePermitido, "0%") &amp; " máx)", "OK"))))</f>
        <v/>
      </c>
      <c r="AP451" s="79">
        <f>IF(AN451="","",IF(AE451=0,"OK",_xlfn.LET(fechaPago, Z451, fechaFactura, R451, diasCredito, IF(E451="Pago inmediato", 0, IFERROR(VALUE(MID(E451, 1, SEARCH(" ", E451)-1)),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51" s="79">
        <f>IF(AN451="","",IF(AND(N451&gt;0, AG451&gt;0), IF(Configuración!$K$2="NO", "ALERTA: DESCUENTO DOBLE NO PERMITIDO", "OK"), "OK"))</f>
        <v/>
      </c>
      <c r="AR451" s="79">
        <f>IF(AN451="","",IF(OR(AO451&lt;&gt;"OK", AP451&lt;&gt;"OK", AQ451&lt;&gt;"OK"), "⚠️ REVISAR", "OK"))</f>
        <v/>
      </c>
    </row>
    <row r="452">
      <c r="A452" s="79">
        <f>IF('Ordenes_Odoo'!A452="","",'Ordenes_Odoo'!A452)</f>
        <v/>
      </c>
      <c r="B452" s="80">
        <f>IF('Ordenes_Odoo'!B452="","",'Ordenes_Odoo'!B452)</f>
        <v/>
      </c>
      <c r="C452" s="79">
        <f>IF('Ordenes_Odoo'!C452="","",'Ordenes_Odoo'!C452)</f>
        <v/>
      </c>
      <c r="D452" s="79">
        <f>IF('Ordenes_Odoo'!D452="","",'Ordenes_Odoo'!D452)</f>
        <v/>
      </c>
      <c r="E452" s="79">
        <f>IF('Ordenes_Odoo'!E452="","",'Ordenes_Odoo'!E452)</f>
        <v/>
      </c>
      <c r="F452" s="79">
        <f>IF('Ordenes_Odoo'!F452="","",'Ordenes_Odoo'!F452)</f>
        <v/>
      </c>
      <c r="G452" s="79">
        <f>IF('Ordenes_Odoo'!G452="","",'Ordenes_Odoo'!G452)</f>
        <v/>
      </c>
      <c r="H452" s="79">
        <f>IF('Ordenes_Odoo'!H452="","",'Ordenes_Odoo'!H452)</f>
        <v/>
      </c>
      <c r="I452" s="79">
        <f>IF('Ordenes_Odoo'!I452="","",'Ordenes_Odoo'!I452)</f>
        <v/>
      </c>
      <c r="J452" s="79">
        <f>IF('Ordenes_Odoo'!J452="","",'Ordenes_Odoo'!J452)</f>
        <v/>
      </c>
      <c r="K452" s="81">
        <f>IF('Ordenes_Odoo'!K452="","",'Ordenes_Odoo'!K452)</f>
        <v/>
      </c>
      <c r="L452" s="81">
        <f>IF('Ordenes_Odoo'!L452="","",'Ordenes_Odoo'!L452)</f>
        <v/>
      </c>
      <c r="M452" s="79">
        <f>IF('Ordenes_Odoo'!M452="","",'Ordenes_Odoo'!M452)</f>
        <v/>
      </c>
      <c r="N452" s="79">
        <f>IF('Ordenes_Odoo'!N452="","",'Ordenes_Odoo'!N452)</f>
        <v/>
      </c>
      <c r="O452" s="81">
        <f>IF('Ordenes_Odoo'!O452="","",'Ordenes_Odoo'!O452)</f>
        <v/>
      </c>
      <c r="P452" s="81">
        <f>IF('Ordenes_Odoo'!P452="","",'Ordenes_Odoo'!P452)</f>
        <v/>
      </c>
      <c r="Q452" s="79">
        <f>IF(A452="","",IFERROR(INDEX(Facturas_Odoo!$B:$B, MATCH(A452, Facturas_Odoo!$D:$D, 0)), "Sin Factura"))</f>
        <v/>
      </c>
      <c r="R452" s="80">
        <f>IF(Q452="Sin Factura","",IFERROR(INDEX(Facturas_Odoo!$A:$A, MATCH(Q452, Facturas_Odoo!$B:$B, 0)), ""))</f>
        <v/>
      </c>
      <c r="S452" s="79">
        <f>IF(Q452="Sin Factura","",IFERROR(_xlfn.XLOOKUP(1, (Facturas_Odoo!$D:$D=A452) * (Facturas_Odoo!$K:$K=I452), Facturas_Odoo!$L:$L, ""), ""))</f>
        <v/>
      </c>
      <c r="T452" s="81">
        <f>IF(Q452="Sin Factura",0,IFERROR(_xlfn.XLOOKUP(1, (Facturas_Odoo!$D:$D=A452) * (Facturas_Odoo!$K:$K=I452), Facturas_Odoo!$M:$M, 0), 0))</f>
        <v/>
      </c>
      <c r="U452" s="79">
        <f>IF(Q452="Sin Factura",0,IFERROR(_xlfn.XLOOKUP(1, (Facturas_Odoo!$D:$D=A452) * (Facturas_Odoo!$K:$K=I452), Facturas_Odoo!$N:$N, 0), 0))</f>
        <v/>
      </c>
      <c r="V452" s="79">
        <f>IF(Q452="Sin Factura",0,IFERROR(_xlfn.XLOOKUP(1, (Facturas_Odoo!$D:$D=A452) * (Facturas_Odoo!$K:$K=I452), Facturas_Odoo!$O:$O, 0), 0))</f>
        <v/>
      </c>
      <c r="W452" s="81">
        <f>IF(Q452="Sin Factura",0,IFERROR(_xlfn.XLOOKUP(1, (Facturas_Odoo!$D:$D=A452) * (Facturas_Odoo!$K:$K=I452), Facturas_Odoo!$Q:$Q, 0), 0))</f>
        <v/>
      </c>
      <c r="X452" s="79">
        <f>IF(OR(Q452="Sin Factura",Q452=""),"",IFERROR(INDEX(Pagos_Odoo!$B:$B, MATCH(Q452, Pagos_Odoo!$I:$I, 0)), "Sin Pago"))</f>
        <v/>
      </c>
      <c r="Y452" s="79">
        <f>IF(X452="Sin Pago","",IFERROR(INDEX(Pagos_Odoo!$C:$C, MATCH(X452, Pagos_Odoo!$B:$B, 0)), ""))</f>
        <v/>
      </c>
      <c r="Z452" s="80">
        <f>IF(X452="Sin Pago","",IFERROR(INDEX(Pagos_Odoo!$A:$A, MATCH(X452, Pagos_Odoo!$B:$B, 0)), ""))</f>
        <v/>
      </c>
      <c r="AA452" s="79">
        <f>IF(X452="Sin Pago","",IFERROR(INDEX(Pagos_Odoo!$F:$F, MATCH(X452, Pagos_Odoo!$B:$B, 0)), ""))</f>
        <v/>
      </c>
      <c r="AB452" s="81">
        <f>IF(X452="Sin Pago",0,IFERROR(INDEX(Pagos_Odoo!$E:$E, MATCH(X452, Pagos_Odoo!$B:$B, 0)), 0))</f>
        <v/>
      </c>
      <c r="AC452" s="79">
        <f>IF(X452="Sin Pago","",IFERROR(INDEX(Pagos_Odoo!$G:$G, MATCH(X452, Pagos_Odoo!$B:$B, 0)), ""))</f>
        <v/>
      </c>
      <c r="AD452" s="82" t="n">
        <v>0</v>
      </c>
      <c r="AE452" s="82" t="n"/>
      <c r="AF452" s="82" t="n"/>
      <c r="AG452" s="82">
        <f>IF(AN452="","",AD452+AE452+AF452)</f>
        <v/>
      </c>
      <c r="AH452" s="81">
        <f>IF(AN452="","",P452*(1-AG452))</f>
        <v/>
      </c>
      <c r="AI452" s="81">
        <f>IF(AN452="","",IF(Q452="Sin Factura",0,IFERROR(INDEX(Facturas_Odoo!$H:$H, MATCH(Q452, Facturas_Odoo!$B:$B, 0)), 0)*(1-AG452)))</f>
        <v/>
      </c>
      <c r="AJ452" s="81">
        <f>IF(AN452="","",_xlfn.LET(idVenta, AN452&amp;"",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52" s="81">
        <f>IF(AN452="","",AH452-AJ452)</f>
        <v/>
      </c>
      <c r="AL452" s="81">
        <f>IF(AN452="","",IF(Q452="Sin Factura","",AI452-AJ452))</f>
        <v/>
      </c>
      <c r="AM452" s="81">
        <f>IF(AN452="","",IF(Q452="Sin Factura",0,P452-IFERROR(INDEX(Facturas_Odoo!$H:$H, MATCH(Q452, Facturas_Odoo!$B:$B, 0)), 0)))</f>
        <v/>
      </c>
      <c r="AN452" s="79">
        <f>IF(AND(A452="", J452=""), "", IF(A452&lt;&gt;"", VALUE(MID(A452,2,LEN(A452))), AN451))</f>
        <v/>
      </c>
      <c r="AO452" s="79">
        <f>IF(AN452="","",IF(AD452=0,"OK",_xlfn.LET(monedaPago, IF(AA452="","USD",AA452), limitePermitido, IFERROR(VLOOKUP(monedaPago, Configuración!$A$2:$B$3, 2, FALSE), 0.15), IF(AD452&gt;limitePermitido, "ALERTA: EXCESO (" &amp; TEXT(limitePermitido, "0%") &amp; " máx)", "OK"))))</f>
        <v/>
      </c>
      <c r="AP452" s="79">
        <f>IF(AN452="","",IF(AE452=0,"OK",_xlfn.LET(fechaPago, Z452, fechaFactura, R452, diasCredito, IF(E452="Pago inmediato", 0, IFERROR(VALUE(MID(E452, 1, SEARCH(" ", E452)-1)),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52" s="79">
        <f>IF(AN452="","",IF(AND(N452&gt;0, AG452&gt;0), IF(Configuración!$K$2="NO", "ALERTA: DESCUENTO DOBLE NO PERMITIDO", "OK"), "OK"))</f>
        <v/>
      </c>
      <c r="AR452" s="79">
        <f>IF(AN452="","",IF(OR(AO452&lt;&gt;"OK", AP452&lt;&gt;"OK", AQ452&lt;&gt;"OK"), "⚠️ REVISAR", "OK"))</f>
        <v/>
      </c>
    </row>
    <row r="453">
      <c r="A453" s="79">
        <f>IF('Ordenes_Odoo'!A453="","",'Ordenes_Odoo'!A453)</f>
        <v/>
      </c>
      <c r="B453" s="80">
        <f>IF('Ordenes_Odoo'!B453="","",'Ordenes_Odoo'!B453)</f>
        <v/>
      </c>
      <c r="C453" s="79">
        <f>IF('Ordenes_Odoo'!C453="","",'Ordenes_Odoo'!C453)</f>
        <v/>
      </c>
      <c r="D453" s="79">
        <f>IF('Ordenes_Odoo'!D453="","",'Ordenes_Odoo'!D453)</f>
        <v/>
      </c>
      <c r="E453" s="79">
        <f>IF('Ordenes_Odoo'!E453="","",'Ordenes_Odoo'!E453)</f>
        <v/>
      </c>
      <c r="F453" s="79">
        <f>IF('Ordenes_Odoo'!F453="","",'Ordenes_Odoo'!F453)</f>
        <v/>
      </c>
      <c r="G453" s="79">
        <f>IF('Ordenes_Odoo'!G453="","",'Ordenes_Odoo'!G453)</f>
        <v/>
      </c>
      <c r="H453" s="79">
        <f>IF('Ordenes_Odoo'!H453="","",'Ordenes_Odoo'!H453)</f>
        <v/>
      </c>
      <c r="I453" s="79">
        <f>IF('Ordenes_Odoo'!I453="","",'Ordenes_Odoo'!I453)</f>
        <v/>
      </c>
      <c r="J453" s="79">
        <f>IF('Ordenes_Odoo'!J453="","",'Ordenes_Odoo'!J453)</f>
        <v/>
      </c>
      <c r="K453" s="81">
        <f>IF('Ordenes_Odoo'!K453="","",'Ordenes_Odoo'!K453)</f>
        <v/>
      </c>
      <c r="L453" s="81">
        <f>IF('Ordenes_Odoo'!L453="","",'Ordenes_Odoo'!L453)</f>
        <v/>
      </c>
      <c r="M453" s="79">
        <f>IF('Ordenes_Odoo'!M453="","",'Ordenes_Odoo'!M453)</f>
        <v/>
      </c>
      <c r="N453" s="79">
        <f>IF('Ordenes_Odoo'!N453="","",'Ordenes_Odoo'!N453)</f>
        <v/>
      </c>
      <c r="O453" s="81">
        <f>IF('Ordenes_Odoo'!O453="","",'Ordenes_Odoo'!O453)</f>
        <v/>
      </c>
      <c r="P453" s="81">
        <f>IF('Ordenes_Odoo'!P453="","",'Ordenes_Odoo'!P453)</f>
        <v/>
      </c>
      <c r="Q453" s="79">
        <f>IF(A453="","",IFERROR(INDEX(Facturas_Odoo!$B:$B, MATCH(A453, Facturas_Odoo!$D:$D, 0)), "Sin Factura"))</f>
        <v/>
      </c>
      <c r="R453" s="80">
        <f>IF(Q453="Sin Factura","",IFERROR(INDEX(Facturas_Odoo!$A:$A, MATCH(Q453, Facturas_Odoo!$B:$B, 0)), ""))</f>
        <v/>
      </c>
      <c r="S453" s="79">
        <f>IF(Q453="Sin Factura","",IFERROR(_xlfn.XLOOKUP(1, (Facturas_Odoo!$D:$D=A453) * (Facturas_Odoo!$K:$K=I453), Facturas_Odoo!$L:$L, ""), ""))</f>
        <v/>
      </c>
      <c r="T453" s="81">
        <f>IF(Q453="Sin Factura",0,IFERROR(_xlfn.XLOOKUP(1, (Facturas_Odoo!$D:$D=A453) * (Facturas_Odoo!$K:$K=I453), Facturas_Odoo!$M:$M, 0), 0))</f>
        <v/>
      </c>
      <c r="U453" s="79">
        <f>IF(Q453="Sin Factura",0,IFERROR(_xlfn.XLOOKUP(1, (Facturas_Odoo!$D:$D=A453) * (Facturas_Odoo!$K:$K=I453), Facturas_Odoo!$N:$N, 0), 0))</f>
        <v/>
      </c>
      <c r="V453" s="79">
        <f>IF(Q453="Sin Factura",0,IFERROR(_xlfn.XLOOKUP(1, (Facturas_Odoo!$D:$D=A453) * (Facturas_Odoo!$K:$K=I453), Facturas_Odoo!$O:$O, 0), 0))</f>
        <v/>
      </c>
      <c r="W453" s="81">
        <f>IF(Q453="Sin Factura",0,IFERROR(_xlfn.XLOOKUP(1, (Facturas_Odoo!$D:$D=A453) * (Facturas_Odoo!$K:$K=I453), Facturas_Odoo!$Q:$Q, 0), 0))</f>
        <v/>
      </c>
      <c r="X453" s="79">
        <f>IF(OR(Q453="Sin Factura",Q453=""),"",IFERROR(INDEX(Pagos_Odoo!$B:$B, MATCH(Q453, Pagos_Odoo!$I:$I, 0)), "Sin Pago"))</f>
        <v/>
      </c>
      <c r="Y453" s="79">
        <f>IF(X453="Sin Pago","",IFERROR(INDEX(Pagos_Odoo!$C:$C, MATCH(X453, Pagos_Odoo!$B:$B, 0)), ""))</f>
        <v/>
      </c>
      <c r="Z453" s="80">
        <f>IF(X453="Sin Pago","",IFERROR(INDEX(Pagos_Odoo!$A:$A, MATCH(X453, Pagos_Odoo!$B:$B, 0)), ""))</f>
        <v/>
      </c>
      <c r="AA453" s="79">
        <f>IF(X453="Sin Pago","",IFERROR(INDEX(Pagos_Odoo!$F:$F, MATCH(X453, Pagos_Odoo!$B:$B, 0)), ""))</f>
        <v/>
      </c>
      <c r="AB453" s="81">
        <f>IF(X453="Sin Pago",0,IFERROR(INDEX(Pagos_Odoo!$E:$E, MATCH(X453, Pagos_Odoo!$B:$B, 0)), 0))</f>
        <v/>
      </c>
      <c r="AC453" s="79">
        <f>IF(X453="Sin Pago","",IFERROR(INDEX(Pagos_Odoo!$G:$G, MATCH(X453, Pagos_Odoo!$B:$B, 0)), ""))</f>
        <v/>
      </c>
      <c r="AD453" s="82" t="n">
        <v>0</v>
      </c>
      <c r="AE453" s="82" t="n"/>
      <c r="AF453" s="82" t="n"/>
      <c r="AG453" s="82">
        <f>IF(AN453="","",AD453+AE453+AF453)</f>
        <v/>
      </c>
      <c r="AH453" s="81">
        <f>IF(AN453="","",P453*(1-AG453))</f>
        <v/>
      </c>
      <c r="AI453" s="81">
        <f>IF(AN453="","",IF(Q453="Sin Factura",0,IFERROR(INDEX(Facturas_Odoo!$H:$H, MATCH(Q453, Facturas_Odoo!$B:$B, 0)), 0)*(1-AG453)))</f>
        <v/>
      </c>
      <c r="AJ453" s="81">
        <f>IF(AN453="","",_xlfn.LET(idVenta, AN453&amp;"",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53" s="81">
        <f>IF(AN453="","",AH453-AJ453)</f>
        <v/>
      </c>
      <c r="AL453" s="81">
        <f>IF(AN453="","",IF(Q453="Sin Factura","",AI453-AJ453))</f>
        <v/>
      </c>
      <c r="AM453" s="81">
        <f>IF(AN453="","",IF(Q453="Sin Factura",0,P453-IFERROR(INDEX(Facturas_Odoo!$H:$H, MATCH(Q453, Facturas_Odoo!$B:$B, 0)), 0)))</f>
        <v/>
      </c>
      <c r="AN453" s="79">
        <f>IF(AND(A453="", J453=""), "", IF(A453&lt;&gt;"", VALUE(MID(A453,2,LEN(A453))), AN452))</f>
        <v/>
      </c>
      <c r="AO453" s="79">
        <f>IF(AN453="","",IF(AD453=0,"OK",_xlfn.LET(monedaPago, IF(AA453="","USD",AA453), limitePermitido, IFERROR(VLOOKUP(monedaPago, Configuración!$A$2:$B$3, 2, FALSE), 0.15), IF(AD453&gt;limitePermitido, "ALERTA: EXCESO (" &amp; TEXT(limitePermitido, "0%") &amp; " máx)", "OK"))))</f>
        <v/>
      </c>
      <c r="AP453" s="79">
        <f>IF(AN453="","",IF(AE453=0,"OK",_xlfn.LET(fechaPago, Z453, fechaFactura, R453, diasCredito, IF(E453="Pago inmediato", 0, IFERROR(VALUE(MID(E453, 1, SEARCH(" ", E453)-1)),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53" s="79">
        <f>IF(AN453="","",IF(AND(N453&gt;0, AG453&gt;0), IF(Configuración!$K$2="NO", "ALERTA: DESCUENTO DOBLE NO PERMITIDO", "OK"), "OK"))</f>
        <v/>
      </c>
      <c r="AR453" s="79">
        <f>IF(AN453="","",IF(OR(AO453&lt;&gt;"OK", AP453&lt;&gt;"OK", AQ453&lt;&gt;"OK"), "⚠️ REVISAR", "OK"))</f>
        <v/>
      </c>
    </row>
    <row r="454">
      <c r="A454" s="79">
        <f>IF('Ordenes_Odoo'!A454="","",'Ordenes_Odoo'!A454)</f>
        <v/>
      </c>
      <c r="B454" s="80">
        <f>IF('Ordenes_Odoo'!B454="","",'Ordenes_Odoo'!B454)</f>
        <v/>
      </c>
      <c r="C454" s="79">
        <f>IF('Ordenes_Odoo'!C454="","",'Ordenes_Odoo'!C454)</f>
        <v/>
      </c>
      <c r="D454" s="79">
        <f>IF('Ordenes_Odoo'!D454="","",'Ordenes_Odoo'!D454)</f>
        <v/>
      </c>
      <c r="E454" s="79">
        <f>IF('Ordenes_Odoo'!E454="","",'Ordenes_Odoo'!E454)</f>
        <v/>
      </c>
      <c r="F454" s="79">
        <f>IF('Ordenes_Odoo'!F454="","",'Ordenes_Odoo'!F454)</f>
        <v/>
      </c>
      <c r="G454" s="79">
        <f>IF('Ordenes_Odoo'!G454="","",'Ordenes_Odoo'!G454)</f>
        <v/>
      </c>
      <c r="H454" s="79">
        <f>IF('Ordenes_Odoo'!H454="","",'Ordenes_Odoo'!H454)</f>
        <v/>
      </c>
      <c r="I454" s="79">
        <f>IF('Ordenes_Odoo'!I454="","",'Ordenes_Odoo'!I454)</f>
        <v/>
      </c>
      <c r="J454" s="79">
        <f>IF('Ordenes_Odoo'!J454="","",'Ordenes_Odoo'!J454)</f>
        <v/>
      </c>
      <c r="K454" s="81">
        <f>IF('Ordenes_Odoo'!K454="","",'Ordenes_Odoo'!K454)</f>
        <v/>
      </c>
      <c r="L454" s="81">
        <f>IF('Ordenes_Odoo'!L454="","",'Ordenes_Odoo'!L454)</f>
        <v/>
      </c>
      <c r="M454" s="79">
        <f>IF('Ordenes_Odoo'!M454="","",'Ordenes_Odoo'!M454)</f>
        <v/>
      </c>
      <c r="N454" s="79">
        <f>IF('Ordenes_Odoo'!N454="","",'Ordenes_Odoo'!N454)</f>
        <v/>
      </c>
      <c r="O454" s="81">
        <f>IF('Ordenes_Odoo'!O454="","",'Ordenes_Odoo'!O454)</f>
        <v/>
      </c>
      <c r="P454" s="81">
        <f>IF('Ordenes_Odoo'!P454="","",'Ordenes_Odoo'!P454)</f>
        <v/>
      </c>
      <c r="Q454" s="79">
        <f>IF(A454="","",IFERROR(INDEX(Facturas_Odoo!$B:$B, MATCH(A454, Facturas_Odoo!$D:$D, 0)), "Sin Factura"))</f>
        <v/>
      </c>
      <c r="R454" s="80">
        <f>IF(Q454="Sin Factura","",IFERROR(INDEX(Facturas_Odoo!$A:$A, MATCH(Q454, Facturas_Odoo!$B:$B, 0)), ""))</f>
        <v/>
      </c>
      <c r="S454" s="79">
        <f>IF(Q454="Sin Factura","",IFERROR(_xlfn.XLOOKUP(1, (Facturas_Odoo!$D:$D=A454) * (Facturas_Odoo!$K:$K=I454), Facturas_Odoo!$L:$L, ""), ""))</f>
        <v/>
      </c>
      <c r="T454" s="81">
        <f>IF(Q454="Sin Factura",0,IFERROR(_xlfn.XLOOKUP(1, (Facturas_Odoo!$D:$D=A454) * (Facturas_Odoo!$K:$K=I454), Facturas_Odoo!$M:$M, 0), 0))</f>
        <v/>
      </c>
      <c r="U454" s="79">
        <f>IF(Q454="Sin Factura",0,IFERROR(_xlfn.XLOOKUP(1, (Facturas_Odoo!$D:$D=A454) * (Facturas_Odoo!$K:$K=I454), Facturas_Odoo!$N:$N, 0), 0))</f>
        <v/>
      </c>
      <c r="V454" s="79">
        <f>IF(Q454="Sin Factura",0,IFERROR(_xlfn.XLOOKUP(1, (Facturas_Odoo!$D:$D=A454) * (Facturas_Odoo!$K:$K=I454), Facturas_Odoo!$O:$O, 0), 0))</f>
        <v/>
      </c>
      <c r="W454" s="81">
        <f>IF(Q454="Sin Factura",0,IFERROR(_xlfn.XLOOKUP(1, (Facturas_Odoo!$D:$D=A454) * (Facturas_Odoo!$K:$K=I454), Facturas_Odoo!$Q:$Q, 0), 0))</f>
        <v/>
      </c>
      <c r="X454" s="79">
        <f>IF(OR(Q454="Sin Factura",Q454=""),"",IFERROR(INDEX(Pagos_Odoo!$B:$B, MATCH(Q454, Pagos_Odoo!$I:$I, 0)), "Sin Pago"))</f>
        <v/>
      </c>
      <c r="Y454" s="79">
        <f>IF(X454="Sin Pago","",IFERROR(INDEX(Pagos_Odoo!$C:$C, MATCH(X454, Pagos_Odoo!$B:$B, 0)), ""))</f>
        <v/>
      </c>
      <c r="Z454" s="80">
        <f>IF(X454="Sin Pago","",IFERROR(INDEX(Pagos_Odoo!$A:$A, MATCH(X454, Pagos_Odoo!$B:$B, 0)), ""))</f>
        <v/>
      </c>
      <c r="AA454" s="79">
        <f>IF(X454="Sin Pago","",IFERROR(INDEX(Pagos_Odoo!$F:$F, MATCH(X454, Pagos_Odoo!$B:$B, 0)), ""))</f>
        <v/>
      </c>
      <c r="AB454" s="81">
        <f>IF(X454="Sin Pago",0,IFERROR(INDEX(Pagos_Odoo!$E:$E, MATCH(X454, Pagos_Odoo!$B:$B, 0)), 0))</f>
        <v/>
      </c>
      <c r="AC454" s="79">
        <f>IF(X454="Sin Pago","",IFERROR(INDEX(Pagos_Odoo!$G:$G, MATCH(X454, Pagos_Odoo!$B:$B, 0)), ""))</f>
        <v/>
      </c>
      <c r="AD454" s="82" t="n">
        <v>0</v>
      </c>
      <c r="AE454" s="82" t="n"/>
      <c r="AF454" s="82" t="n"/>
      <c r="AG454" s="82">
        <f>IF(AN454="","",AD454+AE454+AF454)</f>
        <v/>
      </c>
      <c r="AH454" s="81">
        <f>IF(AN454="","",P454*(1-AG454))</f>
        <v/>
      </c>
      <c r="AI454" s="81">
        <f>IF(AN454="","",IF(Q454="Sin Factura",0,IFERROR(INDEX(Facturas_Odoo!$H:$H, MATCH(Q454, Facturas_Odoo!$B:$B, 0)), 0)*(1-AG454)))</f>
        <v/>
      </c>
      <c r="AJ454" s="81">
        <f>IF(AN454="","",_xlfn.LET(idVenta, AN454&amp;"",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54" s="81">
        <f>IF(AN454="","",AH454-AJ454)</f>
        <v/>
      </c>
      <c r="AL454" s="81">
        <f>IF(AN454="","",IF(Q454="Sin Factura","",AI454-AJ454))</f>
        <v/>
      </c>
      <c r="AM454" s="81">
        <f>IF(AN454="","",IF(Q454="Sin Factura",0,P454-IFERROR(INDEX(Facturas_Odoo!$H:$H, MATCH(Q454, Facturas_Odoo!$B:$B, 0)), 0)))</f>
        <v/>
      </c>
      <c r="AN454" s="79">
        <f>IF(AND(A454="", J454=""), "", IF(A454&lt;&gt;"", VALUE(MID(A454,2,LEN(A454))), AN453))</f>
        <v/>
      </c>
      <c r="AO454" s="79">
        <f>IF(AN454="","",IF(AD454=0,"OK",_xlfn.LET(monedaPago, IF(AA454="","USD",AA454), limitePermitido, IFERROR(VLOOKUP(monedaPago, Configuración!$A$2:$B$3, 2, FALSE), 0.15), IF(AD454&gt;limitePermitido, "ALERTA: EXCESO (" &amp; TEXT(limitePermitido, "0%") &amp; " máx)", "OK"))))</f>
        <v/>
      </c>
      <c r="AP454" s="79">
        <f>IF(AN454="","",IF(AE454=0,"OK",_xlfn.LET(fechaPago, Z454, fechaFactura, R454, diasCredito, IF(E454="Pago inmediato", 0, IFERROR(VALUE(MID(E454, 1, SEARCH(" ", E454)-1)),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54" s="79">
        <f>IF(AN454="","",IF(AND(N454&gt;0, AG454&gt;0), IF(Configuración!$K$2="NO", "ALERTA: DESCUENTO DOBLE NO PERMITIDO", "OK"), "OK"))</f>
        <v/>
      </c>
      <c r="AR454" s="79">
        <f>IF(AN454="","",IF(OR(AO454&lt;&gt;"OK", AP454&lt;&gt;"OK", AQ454&lt;&gt;"OK"), "⚠️ REVISAR", "OK"))</f>
        <v/>
      </c>
    </row>
    <row r="455">
      <c r="A455" s="79">
        <f>IF('Ordenes_Odoo'!A455="","",'Ordenes_Odoo'!A455)</f>
        <v/>
      </c>
      <c r="B455" s="80">
        <f>IF('Ordenes_Odoo'!B455="","",'Ordenes_Odoo'!B455)</f>
        <v/>
      </c>
      <c r="C455" s="79">
        <f>IF('Ordenes_Odoo'!C455="","",'Ordenes_Odoo'!C455)</f>
        <v/>
      </c>
      <c r="D455" s="79">
        <f>IF('Ordenes_Odoo'!D455="","",'Ordenes_Odoo'!D455)</f>
        <v/>
      </c>
      <c r="E455" s="79">
        <f>IF('Ordenes_Odoo'!E455="","",'Ordenes_Odoo'!E455)</f>
        <v/>
      </c>
      <c r="F455" s="79">
        <f>IF('Ordenes_Odoo'!F455="","",'Ordenes_Odoo'!F455)</f>
        <v/>
      </c>
      <c r="G455" s="79">
        <f>IF('Ordenes_Odoo'!G455="","",'Ordenes_Odoo'!G455)</f>
        <v/>
      </c>
      <c r="H455" s="79">
        <f>IF('Ordenes_Odoo'!H455="","",'Ordenes_Odoo'!H455)</f>
        <v/>
      </c>
      <c r="I455" s="79">
        <f>IF('Ordenes_Odoo'!I455="","",'Ordenes_Odoo'!I455)</f>
        <v/>
      </c>
      <c r="J455" s="79">
        <f>IF('Ordenes_Odoo'!J455="","",'Ordenes_Odoo'!J455)</f>
        <v/>
      </c>
      <c r="K455" s="81">
        <f>IF('Ordenes_Odoo'!K455="","",'Ordenes_Odoo'!K455)</f>
        <v/>
      </c>
      <c r="L455" s="81">
        <f>IF('Ordenes_Odoo'!L455="","",'Ordenes_Odoo'!L455)</f>
        <v/>
      </c>
      <c r="M455" s="79">
        <f>IF('Ordenes_Odoo'!M455="","",'Ordenes_Odoo'!M455)</f>
        <v/>
      </c>
      <c r="N455" s="79">
        <f>IF('Ordenes_Odoo'!N455="","",'Ordenes_Odoo'!N455)</f>
        <v/>
      </c>
      <c r="O455" s="81">
        <f>IF('Ordenes_Odoo'!O455="","",'Ordenes_Odoo'!O455)</f>
        <v/>
      </c>
      <c r="P455" s="81">
        <f>IF('Ordenes_Odoo'!P455="","",'Ordenes_Odoo'!P455)</f>
        <v/>
      </c>
      <c r="Q455" s="79">
        <f>IF(A455="","",IFERROR(INDEX(Facturas_Odoo!$B:$B, MATCH(A455, Facturas_Odoo!$D:$D, 0)), "Sin Factura"))</f>
        <v/>
      </c>
      <c r="R455" s="80">
        <f>IF(Q455="Sin Factura","",IFERROR(INDEX(Facturas_Odoo!$A:$A, MATCH(Q455, Facturas_Odoo!$B:$B, 0)), ""))</f>
        <v/>
      </c>
      <c r="S455" s="79">
        <f>IF(Q455="Sin Factura","",IFERROR(_xlfn.XLOOKUP(1, (Facturas_Odoo!$D:$D=A455) * (Facturas_Odoo!$K:$K=I455), Facturas_Odoo!$L:$L, ""), ""))</f>
        <v/>
      </c>
      <c r="T455" s="81">
        <f>IF(Q455="Sin Factura",0,IFERROR(_xlfn.XLOOKUP(1, (Facturas_Odoo!$D:$D=A455) * (Facturas_Odoo!$K:$K=I455), Facturas_Odoo!$M:$M, 0), 0))</f>
        <v/>
      </c>
      <c r="U455" s="79">
        <f>IF(Q455="Sin Factura",0,IFERROR(_xlfn.XLOOKUP(1, (Facturas_Odoo!$D:$D=A455) * (Facturas_Odoo!$K:$K=I455), Facturas_Odoo!$N:$N, 0), 0))</f>
        <v/>
      </c>
      <c r="V455" s="79">
        <f>IF(Q455="Sin Factura",0,IFERROR(_xlfn.XLOOKUP(1, (Facturas_Odoo!$D:$D=A455) * (Facturas_Odoo!$K:$K=I455), Facturas_Odoo!$O:$O, 0), 0))</f>
        <v/>
      </c>
      <c r="W455" s="81">
        <f>IF(Q455="Sin Factura",0,IFERROR(_xlfn.XLOOKUP(1, (Facturas_Odoo!$D:$D=A455) * (Facturas_Odoo!$K:$K=I455), Facturas_Odoo!$Q:$Q, 0), 0))</f>
        <v/>
      </c>
      <c r="X455" s="79">
        <f>IF(OR(Q455="Sin Factura",Q455=""),"",IFERROR(INDEX(Pagos_Odoo!$B:$B, MATCH(Q455, Pagos_Odoo!$I:$I, 0)), "Sin Pago"))</f>
        <v/>
      </c>
      <c r="Y455" s="79">
        <f>IF(X455="Sin Pago","",IFERROR(INDEX(Pagos_Odoo!$C:$C, MATCH(X455, Pagos_Odoo!$B:$B, 0)), ""))</f>
        <v/>
      </c>
      <c r="Z455" s="80">
        <f>IF(X455="Sin Pago","",IFERROR(INDEX(Pagos_Odoo!$A:$A, MATCH(X455, Pagos_Odoo!$B:$B, 0)), ""))</f>
        <v/>
      </c>
      <c r="AA455" s="79">
        <f>IF(X455="Sin Pago","",IFERROR(INDEX(Pagos_Odoo!$F:$F, MATCH(X455, Pagos_Odoo!$B:$B, 0)), ""))</f>
        <v/>
      </c>
      <c r="AB455" s="81">
        <f>IF(X455="Sin Pago",0,IFERROR(INDEX(Pagos_Odoo!$E:$E, MATCH(X455, Pagos_Odoo!$B:$B, 0)), 0))</f>
        <v/>
      </c>
      <c r="AC455" s="79">
        <f>IF(X455="Sin Pago","",IFERROR(INDEX(Pagos_Odoo!$G:$G, MATCH(X455, Pagos_Odoo!$B:$B, 0)), ""))</f>
        <v/>
      </c>
      <c r="AD455" s="82" t="n">
        <v>0</v>
      </c>
      <c r="AE455" s="82" t="n"/>
      <c r="AF455" s="82" t="n"/>
      <c r="AG455" s="82">
        <f>IF(AN455="","",AD455+AE455+AF455)</f>
        <v/>
      </c>
      <c r="AH455" s="81">
        <f>IF(AN455="","",P455*(1-AG455))</f>
        <v/>
      </c>
      <c r="AI455" s="81">
        <f>IF(AN455="","",IF(Q455="Sin Factura",0,IFERROR(INDEX(Facturas_Odoo!$H:$H, MATCH(Q455, Facturas_Odoo!$B:$B, 0)), 0)*(1-AG455)))</f>
        <v/>
      </c>
      <c r="AJ455" s="81">
        <f>IF(AN455="","",_xlfn.LET(idVenta, AN455&amp;"",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55" s="81">
        <f>IF(AN455="","",AH455-AJ455)</f>
        <v/>
      </c>
      <c r="AL455" s="81">
        <f>IF(AN455="","",IF(Q455="Sin Factura","",AI455-AJ455))</f>
        <v/>
      </c>
      <c r="AM455" s="81">
        <f>IF(AN455="","",IF(Q455="Sin Factura",0,P455-IFERROR(INDEX(Facturas_Odoo!$H:$H, MATCH(Q455, Facturas_Odoo!$B:$B, 0)), 0)))</f>
        <v/>
      </c>
      <c r="AN455" s="79">
        <f>IF(AND(A455="", J455=""), "", IF(A455&lt;&gt;"", VALUE(MID(A455,2,LEN(A455))), AN454))</f>
        <v/>
      </c>
      <c r="AO455" s="79">
        <f>IF(AN455="","",IF(AD455=0,"OK",_xlfn.LET(monedaPago, IF(AA455="","USD",AA455), limitePermitido, IFERROR(VLOOKUP(monedaPago, Configuración!$A$2:$B$3, 2, FALSE), 0.15), IF(AD455&gt;limitePermitido, "ALERTA: EXCESO (" &amp; TEXT(limitePermitido, "0%") &amp; " máx)", "OK"))))</f>
        <v/>
      </c>
      <c r="AP455" s="79">
        <f>IF(AN455="","",IF(AE455=0,"OK",_xlfn.LET(fechaPago, Z455, fechaFactura, R455, diasCredito, IF(E455="Pago inmediato", 0, IFERROR(VALUE(MID(E455, 1, SEARCH(" ", E455)-1)),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55" s="79">
        <f>IF(AN455="","",IF(AND(N455&gt;0, AG455&gt;0), IF(Configuración!$K$2="NO", "ALERTA: DESCUENTO DOBLE NO PERMITIDO", "OK"), "OK"))</f>
        <v/>
      </c>
      <c r="AR455" s="79">
        <f>IF(AN455="","",IF(OR(AO455&lt;&gt;"OK", AP455&lt;&gt;"OK", AQ455&lt;&gt;"OK"), "⚠️ REVISAR", "OK"))</f>
        <v/>
      </c>
    </row>
    <row r="456">
      <c r="A456" s="79">
        <f>IF('Ordenes_Odoo'!A456="","",'Ordenes_Odoo'!A456)</f>
        <v/>
      </c>
      <c r="B456" s="80">
        <f>IF('Ordenes_Odoo'!B456="","",'Ordenes_Odoo'!B456)</f>
        <v/>
      </c>
      <c r="C456" s="79">
        <f>IF('Ordenes_Odoo'!C456="","",'Ordenes_Odoo'!C456)</f>
        <v/>
      </c>
      <c r="D456" s="79">
        <f>IF('Ordenes_Odoo'!D456="","",'Ordenes_Odoo'!D456)</f>
        <v/>
      </c>
      <c r="E456" s="79">
        <f>IF('Ordenes_Odoo'!E456="","",'Ordenes_Odoo'!E456)</f>
        <v/>
      </c>
      <c r="F456" s="79">
        <f>IF('Ordenes_Odoo'!F456="","",'Ordenes_Odoo'!F456)</f>
        <v/>
      </c>
      <c r="G456" s="79">
        <f>IF('Ordenes_Odoo'!G456="","",'Ordenes_Odoo'!G456)</f>
        <v/>
      </c>
      <c r="H456" s="79">
        <f>IF('Ordenes_Odoo'!H456="","",'Ordenes_Odoo'!H456)</f>
        <v/>
      </c>
      <c r="I456" s="79">
        <f>IF('Ordenes_Odoo'!I456="","",'Ordenes_Odoo'!I456)</f>
        <v/>
      </c>
      <c r="J456" s="79">
        <f>IF('Ordenes_Odoo'!J456="","",'Ordenes_Odoo'!J456)</f>
        <v/>
      </c>
      <c r="K456" s="81">
        <f>IF('Ordenes_Odoo'!K456="","",'Ordenes_Odoo'!K456)</f>
        <v/>
      </c>
      <c r="L456" s="81">
        <f>IF('Ordenes_Odoo'!L456="","",'Ordenes_Odoo'!L456)</f>
        <v/>
      </c>
      <c r="M456" s="79">
        <f>IF('Ordenes_Odoo'!M456="","",'Ordenes_Odoo'!M456)</f>
        <v/>
      </c>
      <c r="N456" s="79">
        <f>IF('Ordenes_Odoo'!N456="","",'Ordenes_Odoo'!N456)</f>
        <v/>
      </c>
      <c r="O456" s="81">
        <f>IF('Ordenes_Odoo'!O456="","",'Ordenes_Odoo'!O456)</f>
        <v/>
      </c>
      <c r="P456" s="81">
        <f>IF('Ordenes_Odoo'!P456="","",'Ordenes_Odoo'!P456)</f>
        <v/>
      </c>
      <c r="Q456" s="79">
        <f>IF(A456="","",IFERROR(INDEX(Facturas_Odoo!$B:$B, MATCH(A456, Facturas_Odoo!$D:$D, 0)), "Sin Factura"))</f>
        <v/>
      </c>
      <c r="R456" s="80">
        <f>IF(Q456="Sin Factura","",IFERROR(INDEX(Facturas_Odoo!$A:$A, MATCH(Q456, Facturas_Odoo!$B:$B, 0)), ""))</f>
        <v/>
      </c>
      <c r="S456" s="79">
        <f>IF(Q456="Sin Factura","",IFERROR(_xlfn.XLOOKUP(1, (Facturas_Odoo!$D:$D=A456) * (Facturas_Odoo!$K:$K=I456), Facturas_Odoo!$L:$L, ""), ""))</f>
        <v/>
      </c>
      <c r="T456" s="81">
        <f>IF(Q456="Sin Factura",0,IFERROR(_xlfn.XLOOKUP(1, (Facturas_Odoo!$D:$D=A456) * (Facturas_Odoo!$K:$K=I456), Facturas_Odoo!$M:$M, 0), 0))</f>
        <v/>
      </c>
      <c r="U456" s="79">
        <f>IF(Q456="Sin Factura",0,IFERROR(_xlfn.XLOOKUP(1, (Facturas_Odoo!$D:$D=A456) * (Facturas_Odoo!$K:$K=I456), Facturas_Odoo!$N:$N, 0), 0))</f>
        <v/>
      </c>
      <c r="V456" s="79">
        <f>IF(Q456="Sin Factura",0,IFERROR(_xlfn.XLOOKUP(1, (Facturas_Odoo!$D:$D=A456) * (Facturas_Odoo!$K:$K=I456), Facturas_Odoo!$O:$O, 0), 0))</f>
        <v/>
      </c>
      <c r="W456" s="81">
        <f>IF(Q456="Sin Factura",0,IFERROR(_xlfn.XLOOKUP(1, (Facturas_Odoo!$D:$D=A456) * (Facturas_Odoo!$K:$K=I456), Facturas_Odoo!$Q:$Q, 0), 0))</f>
        <v/>
      </c>
      <c r="X456" s="79">
        <f>IF(OR(Q456="Sin Factura",Q456=""),"",IFERROR(INDEX(Pagos_Odoo!$B:$B, MATCH(Q456, Pagos_Odoo!$I:$I, 0)), "Sin Pago"))</f>
        <v/>
      </c>
      <c r="Y456" s="79">
        <f>IF(X456="Sin Pago","",IFERROR(INDEX(Pagos_Odoo!$C:$C, MATCH(X456, Pagos_Odoo!$B:$B, 0)), ""))</f>
        <v/>
      </c>
      <c r="Z456" s="80">
        <f>IF(X456="Sin Pago","",IFERROR(INDEX(Pagos_Odoo!$A:$A, MATCH(X456, Pagos_Odoo!$B:$B, 0)), ""))</f>
        <v/>
      </c>
      <c r="AA456" s="79">
        <f>IF(X456="Sin Pago","",IFERROR(INDEX(Pagos_Odoo!$F:$F, MATCH(X456, Pagos_Odoo!$B:$B, 0)), ""))</f>
        <v/>
      </c>
      <c r="AB456" s="81">
        <f>IF(X456="Sin Pago",0,IFERROR(INDEX(Pagos_Odoo!$E:$E, MATCH(X456, Pagos_Odoo!$B:$B, 0)), 0))</f>
        <v/>
      </c>
      <c r="AC456" s="79">
        <f>IF(X456="Sin Pago","",IFERROR(INDEX(Pagos_Odoo!$G:$G, MATCH(X456, Pagos_Odoo!$B:$B, 0)), ""))</f>
        <v/>
      </c>
      <c r="AD456" s="82" t="n">
        <v>0</v>
      </c>
      <c r="AE456" s="82" t="n"/>
      <c r="AF456" s="82" t="n"/>
      <c r="AG456" s="82">
        <f>IF(AN456="","",AD456+AE456+AF456)</f>
        <v/>
      </c>
      <c r="AH456" s="81">
        <f>IF(AN456="","",P456*(1-AG456))</f>
        <v/>
      </c>
      <c r="AI456" s="81">
        <f>IF(AN456="","",IF(Q456="Sin Factura",0,IFERROR(INDEX(Facturas_Odoo!$H:$H, MATCH(Q456, Facturas_Odoo!$B:$B, 0)), 0)*(1-AG456)))</f>
        <v/>
      </c>
      <c r="AJ456" s="81">
        <f>IF(AN456="","",_xlfn.LET(idVenta, AN456&amp;"",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56" s="81">
        <f>IF(AN456="","",AH456-AJ456)</f>
        <v/>
      </c>
      <c r="AL456" s="81">
        <f>IF(AN456="","",IF(Q456="Sin Factura","",AI456-AJ456))</f>
        <v/>
      </c>
      <c r="AM456" s="81">
        <f>IF(AN456="","",IF(Q456="Sin Factura",0,P456-IFERROR(INDEX(Facturas_Odoo!$H:$H, MATCH(Q456, Facturas_Odoo!$B:$B, 0)), 0)))</f>
        <v/>
      </c>
      <c r="AN456" s="79">
        <f>IF(AND(A456="", J456=""), "", IF(A456&lt;&gt;"", VALUE(MID(A456,2,LEN(A456))), AN455))</f>
        <v/>
      </c>
      <c r="AO456" s="79">
        <f>IF(AN456="","",IF(AD456=0,"OK",_xlfn.LET(monedaPago, IF(AA456="","USD",AA456), limitePermitido, IFERROR(VLOOKUP(monedaPago, Configuración!$A$2:$B$3, 2, FALSE), 0.15), IF(AD456&gt;limitePermitido, "ALERTA: EXCESO (" &amp; TEXT(limitePermitido, "0%") &amp; " máx)", "OK"))))</f>
        <v/>
      </c>
      <c r="AP456" s="79">
        <f>IF(AN456="","",IF(AE456=0,"OK",_xlfn.LET(fechaPago, Z456, fechaFactura, R456, diasCredito, IF(E456="Pago inmediato", 0, IFERROR(VALUE(MID(E456, 1, SEARCH(" ", E456)-1)),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56" s="79">
        <f>IF(AN456="","",IF(AND(N456&gt;0, AG456&gt;0), IF(Configuración!$K$2="NO", "ALERTA: DESCUENTO DOBLE NO PERMITIDO", "OK"), "OK"))</f>
        <v/>
      </c>
      <c r="AR456" s="79">
        <f>IF(AN456="","",IF(OR(AO456&lt;&gt;"OK", AP456&lt;&gt;"OK", AQ456&lt;&gt;"OK"), "⚠️ REVISAR", "OK"))</f>
        <v/>
      </c>
    </row>
    <row r="457">
      <c r="A457" s="79">
        <f>IF('Ordenes_Odoo'!A457="","",'Ordenes_Odoo'!A457)</f>
        <v/>
      </c>
      <c r="B457" s="80">
        <f>IF('Ordenes_Odoo'!B457="","",'Ordenes_Odoo'!B457)</f>
        <v/>
      </c>
      <c r="C457" s="79">
        <f>IF('Ordenes_Odoo'!C457="","",'Ordenes_Odoo'!C457)</f>
        <v/>
      </c>
      <c r="D457" s="79">
        <f>IF('Ordenes_Odoo'!D457="","",'Ordenes_Odoo'!D457)</f>
        <v/>
      </c>
      <c r="E457" s="79">
        <f>IF('Ordenes_Odoo'!E457="","",'Ordenes_Odoo'!E457)</f>
        <v/>
      </c>
      <c r="F457" s="79">
        <f>IF('Ordenes_Odoo'!F457="","",'Ordenes_Odoo'!F457)</f>
        <v/>
      </c>
      <c r="G457" s="79">
        <f>IF('Ordenes_Odoo'!G457="","",'Ordenes_Odoo'!G457)</f>
        <v/>
      </c>
      <c r="H457" s="79">
        <f>IF('Ordenes_Odoo'!H457="","",'Ordenes_Odoo'!H457)</f>
        <v/>
      </c>
      <c r="I457" s="79">
        <f>IF('Ordenes_Odoo'!I457="","",'Ordenes_Odoo'!I457)</f>
        <v/>
      </c>
      <c r="J457" s="79">
        <f>IF('Ordenes_Odoo'!J457="","",'Ordenes_Odoo'!J457)</f>
        <v/>
      </c>
      <c r="K457" s="81">
        <f>IF('Ordenes_Odoo'!K457="","",'Ordenes_Odoo'!K457)</f>
        <v/>
      </c>
      <c r="L457" s="81">
        <f>IF('Ordenes_Odoo'!L457="","",'Ordenes_Odoo'!L457)</f>
        <v/>
      </c>
      <c r="M457" s="79">
        <f>IF('Ordenes_Odoo'!M457="","",'Ordenes_Odoo'!M457)</f>
        <v/>
      </c>
      <c r="N457" s="79">
        <f>IF('Ordenes_Odoo'!N457="","",'Ordenes_Odoo'!N457)</f>
        <v/>
      </c>
      <c r="O457" s="81">
        <f>IF('Ordenes_Odoo'!O457="","",'Ordenes_Odoo'!O457)</f>
        <v/>
      </c>
      <c r="P457" s="81">
        <f>IF('Ordenes_Odoo'!P457="","",'Ordenes_Odoo'!P457)</f>
        <v/>
      </c>
      <c r="Q457" s="79">
        <f>IF(A457="","",IFERROR(INDEX(Facturas_Odoo!$B:$B, MATCH(A457, Facturas_Odoo!$D:$D, 0)), "Sin Factura"))</f>
        <v/>
      </c>
      <c r="R457" s="80">
        <f>IF(Q457="Sin Factura","",IFERROR(INDEX(Facturas_Odoo!$A:$A, MATCH(Q457, Facturas_Odoo!$B:$B, 0)), ""))</f>
        <v/>
      </c>
      <c r="S457" s="79">
        <f>IF(Q457="Sin Factura","",IFERROR(_xlfn.XLOOKUP(1, (Facturas_Odoo!$D:$D=A457) * (Facturas_Odoo!$K:$K=I457), Facturas_Odoo!$L:$L, ""), ""))</f>
        <v/>
      </c>
      <c r="T457" s="81">
        <f>IF(Q457="Sin Factura",0,IFERROR(_xlfn.XLOOKUP(1, (Facturas_Odoo!$D:$D=A457) * (Facturas_Odoo!$K:$K=I457), Facturas_Odoo!$M:$M, 0), 0))</f>
        <v/>
      </c>
      <c r="U457" s="79">
        <f>IF(Q457="Sin Factura",0,IFERROR(_xlfn.XLOOKUP(1, (Facturas_Odoo!$D:$D=A457) * (Facturas_Odoo!$K:$K=I457), Facturas_Odoo!$N:$N, 0), 0))</f>
        <v/>
      </c>
      <c r="V457" s="79">
        <f>IF(Q457="Sin Factura",0,IFERROR(_xlfn.XLOOKUP(1, (Facturas_Odoo!$D:$D=A457) * (Facturas_Odoo!$K:$K=I457), Facturas_Odoo!$O:$O, 0), 0))</f>
        <v/>
      </c>
      <c r="W457" s="81">
        <f>IF(Q457="Sin Factura",0,IFERROR(_xlfn.XLOOKUP(1, (Facturas_Odoo!$D:$D=A457) * (Facturas_Odoo!$K:$K=I457), Facturas_Odoo!$Q:$Q, 0), 0))</f>
        <v/>
      </c>
      <c r="X457" s="79">
        <f>IF(OR(Q457="Sin Factura",Q457=""),"",IFERROR(INDEX(Pagos_Odoo!$B:$B, MATCH(Q457, Pagos_Odoo!$I:$I, 0)), "Sin Pago"))</f>
        <v/>
      </c>
      <c r="Y457" s="79">
        <f>IF(X457="Sin Pago","",IFERROR(INDEX(Pagos_Odoo!$C:$C, MATCH(X457, Pagos_Odoo!$B:$B, 0)), ""))</f>
        <v/>
      </c>
      <c r="Z457" s="80">
        <f>IF(X457="Sin Pago","",IFERROR(INDEX(Pagos_Odoo!$A:$A, MATCH(X457, Pagos_Odoo!$B:$B, 0)), ""))</f>
        <v/>
      </c>
      <c r="AA457" s="79">
        <f>IF(X457="Sin Pago","",IFERROR(INDEX(Pagos_Odoo!$F:$F, MATCH(X457, Pagos_Odoo!$B:$B, 0)), ""))</f>
        <v/>
      </c>
      <c r="AB457" s="81">
        <f>IF(X457="Sin Pago",0,IFERROR(INDEX(Pagos_Odoo!$E:$E, MATCH(X457, Pagos_Odoo!$B:$B, 0)), 0))</f>
        <v/>
      </c>
      <c r="AC457" s="79">
        <f>IF(X457="Sin Pago","",IFERROR(INDEX(Pagos_Odoo!$G:$G, MATCH(X457, Pagos_Odoo!$B:$B, 0)), ""))</f>
        <v/>
      </c>
      <c r="AD457" s="82" t="n">
        <v>0</v>
      </c>
      <c r="AE457" s="82" t="n"/>
      <c r="AF457" s="82" t="n"/>
      <c r="AG457" s="82">
        <f>IF(AN457="","",AD457+AE457+AF457)</f>
        <v/>
      </c>
      <c r="AH457" s="81">
        <f>IF(AN457="","",P457*(1-AG457))</f>
        <v/>
      </c>
      <c r="AI457" s="81">
        <f>IF(AN457="","",IF(Q457="Sin Factura",0,IFERROR(INDEX(Facturas_Odoo!$H:$H, MATCH(Q457, Facturas_Odoo!$B:$B, 0)), 0)*(1-AG457)))</f>
        <v/>
      </c>
      <c r="AJ457" s="81">
        <f>IF(AN457="","",_xlfn.LET(idVenta, AN457&amp;"",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57" s="81">
        <f>IF(AN457="","",AH457-AJ457)</f>
        <v/>
      </c>
      <c r="AL457" s="81">
        <f>IF(AN457="","",IF(Q457="Sin Factura","",AI457-AJ457))</f>
        <v/>
      </c>
      <c r="AM457" s="81">
        <f>IF(AN457="","",IF(Q457="Sin Factura",0,P457-IFERROR(INDEX(Facturas_Odoo!$H:$H, MATCH(Q457, Facturas_Odoo!$B:$B, 0)), 0)))</f>
        <v/>
      </c>
      <c r="AN457" s="79">
        <f>IF(AND(A457="", J457=""), "", IF(A457&lt;&gt;"", VALUE(MID(A457,2,LEN(A457))), AN456))</f>
        <v/>
      </c>
      <c r="AO457" s="79">
        <f>IF(AN457="","",IF(AD457=0,"OK",_xlfn.LET(monedaPago, IF(AA457="","USD",AA457), limitePermitido, IFERROR(VLOOKUP(monedaPago, Configuración!$A$2:$B$3, 2, FALSE), 0.15), IF(AD457&gt;limitePermitido, "ALERTA: EXCESO (" &amp; TEXT(limitePermitido, "0%") &amp; " máx)", "OK"))))</f>
        <v/>
      </c>
      <c r="AP457" s="79">
        <f>IF(AN457="","",IF(AE457=0,"OK",_xlfn.LET(fechaPago, Z457, fechaFactura, R457, diasCredito, IF(E457="Pago inmediato", 0, IFERROR(VALUE(MID(E457, 1, SEARCH(" ", E457)-1)),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57" s="79">
        <f>IF(AN457="","",IF(AND(N457&gt;0, AG457&gt;0), IF(Configuración!$K$2="NO", "ALERTA: DESCUENTO DOBLE NO PERMITIDO", "OK"), "OK"))</f>
        <v/>
      </c>
      <c r="AR457" s="79">
        <f>IF(AN457="","",IF(OR(AO457&lt;&gt;"OK", AP457&lt;&gt;"OK", AQ457&lt;&gt;"OK"), "⚠️ REVISAR", "OK"))</f>
        <v/>
      </c>
    </row>
    <row r="458">
      <c r="A458" s="79">
        <f>IF('Ordenes_Odoo'!A458="","",'Ordenes_Odoo'!A458)</f>
        <v/>
      </c>
      <c r="B458" s="80">
        <f>IF('Ordenes_Odoo'!B458="","",'Ordenes_Odoo'!B458)</f>
        <v/>
      </c>
      <c r="C458" s="79">
        <f>IF('Ordenes_Odoo'!C458="","",'Ordenes_Odoo'!C458)</f>
        <v/>
      </c>
      <c r="D458" s="79">
        <f>IF('Ordenes_Odoo'!D458="","",'Ordenes_Odoo'!D458)</f>
        <v/>
      </c>
      <c r="E458" s="79">
        <f>IF('Ordenes_Odoo'!E458="","",'Ordenes_Odoo'!E458)</f>
        <v/>
      </c>
      <c r="F458" s="79">
        <f>IF('Ordenes_Odoo'!F458="","",'Ordenes_Odoo'!F458)</f>
        <v/>
      </c>
      <c r="G458" s="79">
        <f>IF('Ordenes_Odoo'!G458="","",'Ordenes_Odoo'!G458)</f>
        <v/>
      </c>
      <c r="H458" s="79">
        <f>IF('Ordenes_Odoo'!H458="","",'Ordenes_Odoo'!H458)</f>
        <v/>
      </c>
      <c r="I458" s="79">
        <f>IF('Ordenes_Odoo'!I458="","",'Ordenes_Odoo'!I458)</f>
        <v/>
      </c>
      <c r="J458" s="79">
        <f>IF('Ordenes_Odoo'!J458="","",'Ordenes_Odoo'!J458)</f>
        <v/>
      </c>
      <c r="K458" s="81">
        <f>IF('Ordenes_Odoo'!K458="","",'Ordenes_Odoo'!K458)</f>
        <v/>
      </c>
      <c r="L458" s="81">
        <f>IF('Ordenes_Odoo'!L458="","",'Ordenes_Odoo'!L458)</f>
        <v/>
      </c>
      <c r="M458" s="79">
        <f>IF('Ordenes_Odoo'!M458="","",'Ordenes_Odoo'!M458)</f>
        <v/>
      </c>
      <c r="N458" s="79">
        <f>IF('Ordenes_Odoo'!N458="","",'Ordenes_Odoo'!N458)</f>
        <v/>
      </c>
      <c r="O458" s="81">
        <f>IF('Ordenes_Odoo'!O458="","",'Ordenes_Odoo'!O458)</f>
        <v/>
      </c>
      <c r="P458" s="81">
        <f>IF('Ordenes_Odoo'!P458="","",'Ordenes_Odoo'!P458)</f>
        <v/>
      </c>
      <c r="Q458" s="79">
        <f>IF(A458="","",IFERROR(INDEX(Facturas_Odoo!$B:$B, MATCH(A458, Facturas_Odoo!$D:$D, 0)), "Sin Factura"))</f>
        <v/>
      </c>
      <c r="R458" s="80">
        <f>IF(Q458="Sin Factura","",IFERROR(INDEX(Facturas_Odoo!$A:$A, MATCH(Q458, Facturas_Odoo!$B:$B, 0)), ""))</f>
        <v/>
      </c>
      <c r="S458" s="79">
        <f>IF(Q458="Sin Factura","",IFERROR(_xlfn.XLOOKUP(1, (Facturas_Odoo!$D:$D=A458) * (Facturas_Odoo!$K:$K=I458), Facturas_Odoo!$L:$L, ""), ""))</f>
        <v/>
      </c>
      <c r="T458" s="81">
        <f>IF(Q458="Sin Factura",0,IFERROR(_xlfn.XLOOKUP(1, (Facturas_Odoo!$D:$D=A458) * (Facturas_Odoo!$K:$K=I458), Facturas_Odoo!$M:$M, 0), 0))</f>
        <v/>
      </c>
      <c r="U458" s="79">
        <f>IF(Q458="Sin Factura",0,IFERROR(_xlfn.XLOOKUP(1, (Facturas_Odoo!$D:$D=A458) * (Facturas_Odoo!$K:$K=I458), Facturas_Odoo!$N:$N, 0), 0))</f>
        <v/>
      </c>
      <c r="V458" s="79">
        <f>IF(Q458="Sin Factura",0,IFERROR(_xlfn.XLOOKUP(1, (Facturas_Odoo!$D:$D=A458) * (Facturas_Odoo!$K:$K=I458), Facturas_Odoo!$O:$O, 0), 0))</f>
        <v/>
      </c>
      <c r="W458" s="81">
        <f>IF(Q458="Sin Factura",0,IFERROR(_xlfn.XLOOKUP(1, (Facturas_Odoo!$D:$D=A458) * (Facturas_Odoo!$K:$K=I458), Facturas_Odoo!$Q:$Q, 0), 0))</f>
        <v/>
      </c>
      <c r="X458" s="79">
        <f>IF(OR(Q458="Sin Factura",Q458=""),"",IFERROR(INDEX(Pagos_Odoo!$B:$B, MATCH(Q458, Pagos_Odoo!$I:$I, 0)), "Sin Pago"))</f>
        <v/>
      </c>
      <c r="Y458" s="79">
        <f>IF(X458="Sin Pago","",IFERROR(INDEX(Pagos_Odoo!$C:$C, MATCH(X458, Pagos_Odoo!$B:$B, 0)), ""))</f>
        <v/>
      </c>
      <c r="Z458" s="80">
        <f>IF(X458="Sin Pago","",IFERROR(INDEX(Pagos_Odoo!$A:$A, MATCH(X458, Pagos_Odoo!$B:$B, 0)), ""))</f>
        <v/>
      </c>
      <c r="AA458" s="79">
        <f>IF(X458="Sin Pago","",IFERROR(INDEX(Pagos_Odoo!$F:$F, MATCH(X458, Pagos_Odoo!$B:$B, 0)), ""))</f>
        <v/>
      </c>
      <c r="AB458" s="81">
        <f>IF(X458="Sin Pago",0,IFERROR(INDEX(Pagos_Odoo!$E:$E, MATCH(X458, Pagos_Odoo!$B:$B, 0)), 0))</f>
        <v/>
      </c>
      <c r="AC458" s="79">
        <f>IF(X458="Sin Pago","",IFERROR(INDEX(Pagos_Odoo!$G:$G, MATCH(X458, Pagos_Odoo!$B:$B, 0)), ""))</f>
        <v/>
      </c>
      <c r="AD458" s="82" t="n">
        <v>0</v>
      </c>
      <c r="AE458" s="82" t="n"/>
      <c r="AF458" s="82" t="n"/>
      <c r="AG458" s="82">
        <f>IF(AN458="","",AD458+AE458+AF458)</f>
        <v/>
      </c>
      <c r="AH458" s="81">
        <f>IF(AN458="","",P458*(1-AG458))</f>
        <v/>
      </c>
      <c r="AI458" s="81">
        <f>IF(AN458="","",IF(Q458="Sin Factura",0,IFERROR(INDEX(Facturas_Odoo!$H:$H, MATCH(Q458, Facturas_Odoo!$B:$B, 0)), 0)*(1-AG458)))</f>
        <v/>
      </c>
      <c r="AJ458" s="81">
        <f>IF(AN458="","",_xlfn.LET(idVenta, AN458&amp;"",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58" s="81">
        <f>IF(AN458="","",AH458-AJ458)</f>
        <v/>
      </c>
      <c r="AL458" s="81">
        <f>IF(AN458="","",IF(Q458="Sin Factura","",AI458-AJ458))</f>
        <v/>
      </c>
      <c r="AM458" s="81">
        <f>IF(AN458="","",IF(Q458="Sin Factura",0,P458-IFERROR(INDEX(Facturas_Odoo!$H:$H, MATCH(Q458, Facturas_Odoo!$B:$B, 0)), 0)))</f>
        <v/>
      </c>
      <c r="AN458" s="79">
        <f>IF(AND(A458="", J458=""), "", IF(A458&lt;&gt;"", VALUE(MID(A458,2,LEN(A458))), AN457))</f>
        <v/>
      </c>
      <c r="AO458" s="79">
        <f>IF(AN458="","",IF(AD458=0,"OK",_xlfn.LET(monedaPago, IF(AA458="","USD",AA458), limitePermitido, IFERROR(VLOOKUP(monedaPago, Configuración!$A$2:$B$3, 2, FALSE), 0.15), IF(AD458&gt;limitePermitido, "ALERTA: EXCESO (" &amp; TEXT(limitePermitido, "0%") &amp; " máx)", "OK"))))</f>
        <v/>
      </c>
      <c r="AP458" s="79">
        <f>IF(AN458="","",IF(AE458=0,"OK",_xlfn.LET(fechaPago, Z458, fechaFactura, R458, diasCredito, IF(E458="Pago inmediato", 0, IFERROR(VALUE(MID(E458, 1, SEARCH(" ", E458)-1)),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58" s="79">
        <f>IF(AN458="","",IF(AND(N458&gt;0, AG458&gt;0), IF(Configuración!$K$2="NO", "ALERTA: DESCUENTO DOBLE NO PERMITIDO", "OK"), "OK"))</f>
        <v/>
      </c>
      <c r="AR458" s="79">
        <f>IF(AN458="","",IF(OR(AO458&lt;&gt;"OK", AP458&lt;&gt;"OK", AQ458&lt;&gt;"OK"), "⚠️ REVISAR", "OK"))</f>
        <v/>
      </c>
    </row>
    <row r="459">
      <c r="A459" s="79">
        <f>IF('Ordenes_Odoo'!A459="","",'Ordenes_Odoo'!A459)</f>
        <v/>
      </c>
      <c r="B459" s="80">
        <f>IF('Ordenes_Odoo'!B459="","",'Ordenes_Odoo'!B459)</f>
        <v/>
      </c>
      <c r="C459" s="79">
        <f>IF('Ordenes_Odoo'!C459="","",'Ordenes_Odoo'!C459)</f>
        <v/>
      </c>
      <c r="D459" s="79">
        <f>IF('Ordenes_Odoo'!D459="","",'Ordenes_Odoo'!D459)</f>
        <v/>
      </c>
      <c r="E459" s="79">
        <f>IF('Ordenes_Odoo'!E459="","",'Ordenes_Odoo'!E459)</f>
        <v/>
      </c>
      <c r="F459" s="79">
        <f>IF('Ordenes_Odoo'!F459="","",'Ordenes_Odoo'!F459)</f>
        <v/>
      </c>
      <c r="G459" s="79">
        <f>IF('Ordenes_Odoo'!G459="","",'Ordenes_Odoo'!G459)</f>
        <v/>
      </c>
      <c r="H459" s="79">
        <f>IF('Ordenes_Odoo'!H459="","",'Ordenes_Odoo'!H459)</f>
        <v/>
      </c>
      <c r="I459" s="79">
        <f>IF('Ordenes_Odoo'!I459="","",'Ordenes_Odoo'!I459)</f>
        <v/>
      </c>
      <c r="J459" s="79">
        <f>IF('Ordenes_Odoo'!J459="","",'Ordenes_Odoo'!J459)</f>
        <v/>
      </c>
      <c r="K459" s="81">
        <f>IF('Ordenes_Odoo'!K459="","",'Ordenes_Odoo'!K459)</f>
        <v/>
      </c>
      <c r="L459" s="81">
        <f>IF('Ordenes_Odoo'!L459="","",'Ordenes_Odoo'!L459)</f>
        <v/>
      </c>
      <c r="M459" s="79">
        <f>IF('Ordenes_Odoo'!M459="","",'Ordenes_Odoo'!M459)</f>
        <v/>
      </c>
      <c r="N459" s="79">
        <f>IF('Ordenes_Odoo'!N459="","",'Ordenes_Odoo'!N459)</f>
        <v/>
      </c>
      <c r="O459" s="81">
        <f>IF('Ordenes_Odoo'!O459="","",'Ordenes_Odoo'!O459)</f>
        <v/>
      </c>
      <c r="P459" s="81">
        <f>IF('Ordenes_Odoo'!P459="","",'Ordenes_Odoo'!P459)</f>
        <v/>
      </c>
      <c r="Q459" s="79">
        <f>IF(A459="","",IFERROR(INDEX(Facturas_Odoo!$B:$B, MATCH(A459, Facturas_Odoo!$D:$D, 0)), "Sin Factura"))</f>
        <v/>
      </c>
      <c r="R459" s="80">
        <f>IF(Q459="Sin Factura","",IFERROR(INDEX(Facturas_Odoo!$A:$A, MATCH(Q459, Facturas_Odoo!$B:$B, 0)), ""))</f>
        <v/>
      </c>
      <c r="S459" s="79">
        <f>IF(Q459="Sin Factura","",IFERROR(_xlfn.XLOOKUP(1, (Facturas_Odoo!$D:$D=A459) * (Facturas_Odoo!$K:$K=I459), Facturas_Odoo!$L:$L, ""), ""))</f>
        <v/>
      </c>
      <c r="T459" s="81">
        <f>IF(Q459="Sin Factura",0,IFERROR(_xlfn.XLOOKUP(1, (Facturas_Odoo!$D:$D=A459) * (Facturas_Odoo!$K:$K=I459), Facturas_Odoo!$M:$M, 0), 0))</f>
        <v/>
      </c>
      <c r="U459" s="79">
        <f>IF(Q459="Sin Factura",0,IFERROR(_xlfn.XLOOKUP(1, (Facturas_Odoo!$D:$D=A459) * (Facturas_Odoo!$K:$K=I459), Facturas_Odoo!$N:$N, 0), 0))</f>
        <v/>
      </c>
      <c r="V459" s="79">
        <f>IF(Q459="Sin Factura",0,IFERROR(_xlfn.XLOOKUP(1, (Facturas_Odoo!$D:$D=A459) * (Facturas_Odoo!$K:$K=I459), Facturas_Odoo!$O:$O, 0), 0))</f>
        <v/>
      </c>
      <c r="W459" s="81">
        <f>IF(Q459="Sin Factura",0,IFERROR(_xlfn.XLOOKUP(1, (Facturas_Odoo!$D:$D=A459) * (Facturas_Odoo!$K:$K=I459), Facturas_Odoo!$Q:$Q, 0), 0))</f>
        <v/>
      </c>
      <c r="X459" s="79">
        <f>IF(OR(Q459="Sin Factura",Q459=""),"",IFERROR(INDEX(Pagos_Odoo!$B:$B, MATCH(Q459, Pagos_Odoo!$I:$I, 0)), "Sin Pago"))</f>
        <v/>
      </c>
      <c r="Y459" s="79">
        <f>IF(X459="Sin Pago","",IFERROR(INDEX(Pagos_Odoo!$C:$C, MATCH(X459, Pagos_Odoo!$B:$B, 0)), ""))</f>
        <v/>
      </c>
      <c r="Z459" s="80">
        <f>IF(X459="Sin Pago","",IFERROR(INDEX(Pagos_Odoo!$A:$A, MATCH(X459, Pagos_Odoo!$B:$B, 0)), ""))</f>
        <v/>
      </c>
      <c r="AA459" s="79">
        <f>IF(X459="Sin Pago","",IFERROR(INDEX(Pagos_Odoo!$F:$F, MATCH(X459, Pagos_Odoo!$B:$B, 0)), ""))</f>
        <v/>
      </c>
      <c r="AB459" s="81">
        <f>IF(X459="Sin Pago",0,IFERROR(INDEX(Pagos_Odoo!$E:$E, MATCH(X459, Pagos_Odoo!$B:$B, 0)), 0))</f>
        <v/>
      </c>
      <c r="AC459" s="79">
        <f>IF(X459="Sin Pago","",IFERROR(INDEX(Pagos_Odoo!$G:$G, MATCH(X459, Pagos_Odoo!$B:$B, 0)), ""))</f>
        <v/>
      </c>
      <c r="AD459" s="82" t="n">
        <v>0</v>
      </c>
      <c r="AE459" s="82" t="n"/>
      <c r="AF459" s="82" t="n"/>
      <c r="AG459" s="82">
        <f>IF(AN459="","",AD459+AE459+AF459)</f>
        <v/>
      </c>
      <c r="AH459" s="81">
        <f>IF(AN459="","",P459*(1-AG459))</f>
        <v/>
      </c>
      <c r="AI459" s="81">
        <f>IF(AN459="","",IF(Q459="Sin Factura",0,IFERROR(INDEX(Facturas_Odoo!$H:$H, MATCH(Q459, Facturas_Odoo!$B:$B, 0)), 0)*(1-AG459)))</f>
        <v/>
      </c>
      <c r="AJ459" s="81">
        <f>IF(AN459="","",_xlfn.LET(idVenta, AN459&amp;"",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59" s="81">
        <f>IF(AN459="","",AH459-AJ459)</f>
        <v/>
      </c>
      <c r="AL459" s="81">
        <f>IF(AN459="","",IF(Q459="Sin Factura","",AI459-AJ459))</f>
        <v/>
      </c>
      <c r="AM459" s="81">
        <f>IF(AN459="","",IF(Q459="Sin Factura",0,P459-IFERROR(INDEX(Facturas_Odoo!$H:$H, MATCH(Q459, Facturas_Odoo!$B:$B, 0)), 0)))</f>
        <v/>
      </c>
      <c r="AN459" s="79">
        <f>IF(AND(A459="", J459=""), "", IF(A459&lt;&gt;"", VALUE(MID(A459,2,LEN(A459))), AN458))</f>
        <v/>
      </c>
      <c r="AO459" s="79">
        <f>IF(AN459="","",IF(AD459=0,"OK",_xlfn.LET(monedaPago, IF(AA459="","USD",AA459), limitePermitido, IFERROR(VLOOKUP(monedaPago, Configuración!$A$2:$B$3, 2, FALSE), 0.15), IF(AD459&gt;limitePermitido, "ALERTA: EXCESO (" &amp; TEXT(limitePermitido, "0%") &amp; " máx)", "OK"))))</f>
        <v/>
      </c>
      <c r="AP459" s="79">
        <f>IF(AN459="","",IF(AE459=0,"OK",_xlfn.LET(fechaPago, Z459, fechaFactura, R459, diasCredito, IF(E459="Pago inmediato", 0, IFERROR(VALUE(MID(E459, 1, SEARCH(" ", E459)-1)),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59" s="79">
        <f>IF(AN459="","",IF(AND(N459&gt;0, AG459&gt;0), IF(Configuración!$K$2="NO", "ALERTA: DESCUENTO DOBLE NO PERMITIDO", "OK"), "OK"))</f>
        <v/>
      </c>
      <c r="AR459" s="79">
        <f>IF(AN459="","",IF(OR(AO459&lt;&gt;"OK", AP459&lt;&gt;"OK", AQ459&lt;&gt;"OK"), "⚠️ REVISAR", "OK"))</f>
        <v/>
      </c>
    </row>
    <row r="460">
      <c r="A460" s="79">
        <f>IF('Ordenes_Odoo'!A460="","",'Ordenes_Odoo'!A460)</f>
        <v/>
      </c>
      <c r="B460" s="80">
        <f>IF('Ordenes_Odoo'!B460="","",'Ordenes_Odoo'!B460)</f>
        <v/>
      </c>
      <c r="C460" s="79">
        <f>IF('Ordenes_Odoo'!C460="","",'Ordenes_Odoo'!C460)</f>
        <v/>
      </c>
      <c r="D460" s="79">
        <f>IF('Ordenes_Odoo'!D460="","",'Ordenes_Odoo'!D460)</f>
        <v/>
      </c>
      <c r="E460" s="79">
        <f>IF('Ordenes_Odoo'!E460="","",'Ordenes_Odoo'!E460)</f>
        <v/>
      </c>
      <c r="F460" s="79">
        <f>IF('Ordenes_Odoo'!F460="","",'Ordenes_Odoo'!F460)</f>
        <v/>
      </c>
      <c r="G460" s="79">
        <f>IF('Ordenes_Odoo'!G460="","",'Ordenes_Odoo'!G460)</f>
        <v/>
      </c>
      <c r="H460" s="79">
        <f>IF('Ordenes_Odoo'!H460="","",'Ordenes_Odoo'!H460)</f>
        <v/>
      </c>
      <c r="I460" s="79">
        <f>IF('Ordenes_Odoo'!I460="","",'Ordenes_Odoo'!I460)</f>
        <v/>
      </c>
      <c r="J460" s="79">
        <f>IF('Ordenes_Odoo'!J460="","",'Ordenes_Odoo'!J460)</f>
        <v/>
      </c>
      <c r="K460" s="81">
        <f>IF('Ordenes_Odoo'!K460="","",'Ordenes_Odoo'!K460)</f>
        <v/>
      </c>
      <c r="L460" s="81">
        <f>IF('Ordenes_Odoo'!L460="","",'Ordenes_Odoo'!L460)</f>
        <v/>
      </c>
      <c r="M460" s="79">
        <f>IF('Ordenes_Odoo'!M460="","",'Ordenes_Odoo'!M460)</f>
        <v/>
      </c>
      <c r="N460" s="79">
        <f>IF('Ordenes_Odoo'!N460="","",'Ordenes_Odoo'!N460)</f>
        <v/>
      </c>
      <c r="O460" s="81">
        <f>IF('Ordenes_Odoo'!O460="","",'Ordenes_Odoo'!O460)</f>
        <v/>
      </c>
      <c r="P460" s="81">
        <f>IF('Ordenes_Odoo'!P460="","",'Ordenes_Odoo'!P460)</f>
        <v/>
      </c>
      <c r="Q460" s="79">
        <f>IF(A460="","",IFERROR(INDEX(Facturas_Odoo!$B:$B, MATCH(A460, Facturas_Odoo!$D:$D, 0)), "Sin Factura"))</f>
        <v/>
      </c>
      <c r="R460" s="80">
        <f>IF(Q460="Sin Factura","",IFERROR(INDEX(Facturas_Odoo!$A:$A, MATCH(Q460, Facturas_Odoo!$B:$B, 0)), ""))</f>
        <v/>
      </c>
      <c r="S460" s="79">
        <f>IF(Q460="Sin Factura","",IFERROR(_xlfn.XLOOKUP(1, (Facturas_Odoo!$D:$D=A460) * (Facturas_Odoo!$K:$K=I460), Facturas_Odoo!$L:$L, ""), ""))</f>
        <v/>
      </c>
      <c r="T460" s="81">
        <f>IF(Q460="Sin Factura",0,IFERROR(_xlfn.XLOOKUP(1, (Facturas_Odoo!$D:$D=A460) * (Facturas_Odoo!$K:$K=I460), Facturas_Odoo!$M:$M, 0), 0))</f>
        <v/>
      </c>
      <c r="U460" s="79">
        <f>IF(Q460="Sin Factura",0,IFERROR(_xlfn.XLOOKUP(1, (Facturas_Odoo!$D:$D=A460) * (Facturas_Odoo!$K:$K=I460), Facturas_Odoo!$N:$N, 0), 0))</f>
        <v/>
      </c>
      <c r="V460" s="79">
        <f>IF(Q460="Sin Factura",0,IFERROR(_xlfn.XLOOKUP(1, (Facturas_Odoo!$D:$D=A460) * (Facturas_Odoo!$K:$K=I460), Facturas_Odoo!$O:$O, 0), 0))</f>
        <v/>
      </c>
      <c r="W460" s="81">
        <f>IF(Q460="Sin Factura",0,IFERROR(_xlfn.XLOOKUP(1, (Facturas_Odoo!$D:$D=A460) * (Facturas_Odoo!$K:$K=I460), Facturas_Odoo!$Q:$Q, 0), 0))</f>
        <v/>
      </c>
      <c r="X460" s="79">
        <f>IF(OR(Q460="Sin Factura",Q460=""),"",IFERROR(INDEX(Pagos_Odoo!$B:$B, MATCH(Q460, Pagos_Odoo!$I:$I, 0)), "Sin Pago"))</f>
        <v/>
      </c>
      <c r="Y460" s="79">
        <f>IF(X460="Sin Pago","",IFERROR(INDEX(Pagos_Odoo!$C:$C, MATCH(X460, Pagos_Odoo!$B:$B, 0)), ""))</f>
        <v/>
      </c>
      <c r="Z460" s="80">
        <f>IF(X460="Sin Pago","",IFERROR(INDEX(Pagos_Odoo!$A:$A, MATCH(X460, Pagos_Odoo!$B:$B, 0)), ""))</f>
        <v/>
      </c>
      <c r="AA460" s="79">
        <f>IF(X460="Sin Pago","",IFERROR(INDEX(Pagos_Odoo!$F:$F, MATCH(X460, Pagos_Odoo!$B:$B, 0)), ""))</f>
        <v/>
      </c>
      <c r="AB460" s="81">
        <f>IF(X460="Sin Pago",0,IFERROR(INDEX(Pagos_Odoo!$E:$E, MATCH(X460, Pagos_Odoo!$B:$B, 0)), 0))</f>
        <v/>
      </c>
      <c r="AC460" s="79">
        <f>IF(X460="Sin Pago","",IFERROR(INDEX(Pagos_Odoo!$G:$G, MATCH(X460, Pagos_Odoo!$B:$B, 0)), ""))</f>
        <v/>
      </c>
      <c r="AD460" s="82" t="n">
        <v>0</v>
      </c>
      <c r="AE460" s="82" t="n"/>
      <c r="AF460" s="82" t="n"/>
      <c r="AG460" s="82">
        <f>IF(AN460="","",AD460+AE460+AF460)</f>
        <v/>
      </c>
      <c r="AH460" s="81">
        <f>IF(AN460="","",P460*(1-AG460))</f>
        <v/>
      </c>
      <c r="AI460" s="81">
        <f>IF(AN460="","",IF(Q460="Sin Factura",0,IFERROR(INDEX(Facturas_Odoo!$H:$H, MATCH(Q460, Facturas_Odoo!$B:$B, 0)), 0)*(1-AG460)))</f>
        <v/>
      </c>
      <c r="AJ460" s="81">
        <f>IF(AN460="","",_xlfn.LET(idVenta, AN460&amp;"",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60" s="81">
        <f>IF(AN460="","",AH460-AJ460)</f>
        <v/>
      </c>
      <c r="AL460" s="81">
        <f>IF(AN460="","",IF(Q460="Sin Factura","",AI460-AJ460))</f>
        <v/>
      </c>
      <c r="AM460" s="81">
        <f>IF(AN460="","",IF(Q460="Sin Factura",0,P460-IFERROR(INDEX(Facturas_Odoo!$H:$H, MATCH(Q460, Facturas_Odoo!$B:$B, 0)), 0)))</f>
        <v/>
      </c>
      <c r="AN460" s="79">
        <f>IF(AND(A460="", J460=""), "", IF(A460&lt;&gt;"", VALUE(MID(A460,2,LEN(A460))), AN459))</f>
        <v/>
      </c>
      <c r="AO460" s="79">
        <f>IF(AN460="","",IF(AD460=0,"OK",_xlfn.LET(monedaPago, IF(AA460="","USD",AA460), limitePermitido, IFERROR(VLOOKUP(monedaPago, Configuración!$A$2:$B$3, 2, FALSE), 0.15), IF(AD460&gt;limitePermitido, "ALERTA: EXCESO (" &amp; TEXT(limitePermitido, "0%") &amp; " máx)", "OK"))))</f>
        <v/>
      </c>
      <c r="AP460" s="79">
        <f>IF(AN460="","",IF(AE460=0,"OK",_xlfn.LET(fechaPago, Z460, fechaFactura, R460, diasCredito, IF(E460="Pago inmediato", 0, IFERROR(VALUE(MID(E460, 1, SEARCH(" ", E460)-1)),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60" s="79">
        <f>IF(AN460="","",IF(AND(N460&gt;0, AG460&gt;0), IF(Configuración!$K$2="NO", "ALERTA: DESCUENTO DOBLE NO PERMITIDO", "OK"), "OK"))</f>
        <v/>
      </c>
      <c r="AR460" s="79">
        <f>IF(AN460="","",IF(OR(AO460&lt;&gt;"OK", AP460&lt;&gt;"OK", AQ460&lt;&gt;"OK"), "⚠️ REVISAR", "OK"))</f>
        <v/>
      </c>
    </row>
    <row r="461">
      <c r="A461" s="79">
        <f>IF('Ordenes_Odoo'!A461="","",'Ordenes_Odoo'!A461)</f>
        <v/>
      </c>
      <c r="B461" s="80">
        <f>IF('Ordenes_Odoo'!B461="","",'Ordenes_Odoo'!B461)</f>
        <v/>
      </c>
      <c r="C461" s="79">
        <f>IF('Ordenes_Odoo'!C461="","",'Ordenes_Odoo'!C461)</f>
        <v/>
      </c>
      <c r="D461" s="79">
        <f>IF('Ordenes_Odoo'!D461="","",'Ordenes_Odoo'!D461)</f>
        <v/>
      </c>
      <c r="E461" s="79">
        <f>IF('Ordenes_Odoo'!E461="","",'Ordenes_Odoo'!E461)</f>
        <v/>
      </c>
      <c r="F461" s="79">
        <f>IF('Ordenes_Odoo'!F461="","",'Ordenes_Odoo'!F461)</f>
        <v/>
      </c>
      <c r="G461" s="79">
        <f>IF('Ordenes_Odoo'!G461="","",'Ordenes_Odoo'!G461)</f>
        <v/>
      </c>
      <c r="H461" s="79">
        <f>IF('Ordenes_Odoo'!H461="","",'Ordenes_Odoo'!H461)</f>
        <v/>
      </c>
      <c r="I461" s="79">
        <f>IF('Ordenes_Odoo'!I461="","",'Ordenes_Odoo'!I461)</f>
        <v/>
      </c>
      <c r="J461" s="79">
        <f>IF('Ordenes_Odoo'!J461="","",'Ordenes_Odoo'!J461)</f>
        <v/>
      </c>
      <c r="K461" s="81">
        <f>IF('Ordenes_Odoo'!K461="","",'Ordenes_Odoo'!K461)</f>
        <v/>
      </c>
      <c r="L461" s="81">
        <f>IF('Ordenes_Odoo'!L461="","",'Ordenes_Odoo'!L461)</f>
        <v/>
      </c>
      <c r="M461" s="79">
        <f>IF('Ordenes_Odoo'!M461="","",'Ordenes_Odoo'!M461)</f>
        <v/>
      </c>
      <c r="N461" s="79">
        <f>IF('Ordenes_Odoo'!N461="","",'Ordenes_Odoo'!N461)</f>
        <v/>
      </c>
      <c r="O461" s="81">
        <f>IF('Ordenes_Odoo'!O461="","",'Ordenes_Odoo'!O461)</f>
        <v/>
      </c>
      <c r="P461" s="81">
        <f>IF('Ordenes_Odoo'!P461="","",'Ordenes_Odoo'!P461)</f>
        <v/>
      </c>
      <c r="Q461" s="79">
        <f>IF(A461="","",IFERROR(INDEX(Facturas_Odoo!$B:$B, MATCH(A461, Facturas_Odoo!$D:$D, 0)), "Sin Factura"))</f>
        <v/>
      </c>
      <c r="R461" s="80">
        <f>IF(Q461="Sin Factura","",IFERROR(INDEX(Facturas_Odoo!$A:$A, MATCH(Q461, Facturas_Odoo!$B:$B, 0)), ""))</f>
        <v/>
      </c>
      <c r="S461" s="79">
        <f>IF(Q461="Sin Factura","",IFERROR(_xlfn.XLOOKUP(1, (Facturas_Odoo!$D:$D=A461) * (Facturas_Odoo!$K:$K=I461), Facturas_Odoo!$L:$L, ""), ""))</f>
        <v/>
      </c>
      <c r="T461" s="81">
        <f>IF(Q461="Sin Factura",0,IFERROR(_xlfn.XLOOKUP(1, (Facturas_Odoo!$D:$D=A461) * (Facturas_Odoo!$K:$K=I461), Facturas_Odoo!$M:$M, 0), 0))</f>
        <v/>
      </c>
      <c r="U461" s="79">
        <f>IF(Q461="Sin Factura",0,IFERROR(_xlfn.XLOOKUP(1, (Facturas_Odoo!$D:$D=A461) * (Facturas_Odoo!$K:$K=I461), Facturas_Odoo!$N:$N, 0), 0))</f>
        <v/>
      </c>
      <c r="V461" s="79">
        <f>IF(Q461="Sin Factura",0,IFERROR(_xlfn.XLOOKUP(1, (Facturas_Odoo!$D:$D=A461) * (Facturas_Odoo!$K:$K=I461), Facturas_Odoo!$O:$O, 0), 0))</f>
        <v/>
      </c>
      <c r="W461" s="81">
        <f>IF(Q461="Sin Factura",0,IFERROR(_xlfn.XLOOKUP(1, (Facturas_Odoo!$D:$D=A461) * (Facturas_Odoo!$K:$K=I461), Facturas_Odoo!$Q:$Q, 0), 0))</f>
        <v/>
      </c>
      <c r="X461" s="79">
        <f>IF(OR(Q461="Sin Factura",Q461=""),"",IFERROR(INDEX(Pagos_Odoo!$B:$B, MATCH(Q461, Pagos_Odoo!$I:$I, 0)), "Sin Pago"))</f>
        <v/>
      </c>
      <c r="Y461" s="79">
        <f>IF(X461="Sin Pago","",IFERROR(INDEX(Pagos_Odoo!$C:$C, MATCH(X461, Pagos_Odoo!$B:$B, 0)), ""))</f>
        <v/>
      </c>
      <c r="Z461" s="80">
        <f>IF(X461="Sin Pago","",IFERROR(INDEX(Pagos_Odoo!$A:$A, MATCH(X461, Pagos_Odoo!$B:$B, 0)), ""))</f>
        <v/>
      </c>
      <c r="AA461" s="79">
        <f>IF(X461="Sin Pago","",IFERROR(INDEX(Pagos_Odoo!$F:$F, MATCH(X461, Pagos_Odoo!$B:$B, 0)), ""))</f>
        <v/>
      </c>
      <c r="AB461" s="81">
        <f>IF(X461="Sin Pago",0,IFERROR(INDEX(Pagos_Odoo!$E:$E, MATCH(X461, Pagos_Odoo!$B:$B, 0)), 0))</f>
        <v/>
      </c>
      <c r="AC461" s="79">
        <f>IF(X461="Sin Pago","",IFERROR(INDEX(Pagos_Odoo!$G:$G, MATCH(X461, Pagos_Odoo!$B:$B, 0)), ""))</f>
        <v/>
      </c>
      <c r="AD461" s="82" t="n">
        <v>0</v>
      </c>
      <c r="AE461" s="82" t="n"/>
      <c r="AF461" s="82" t="n"/>
      <c r="AG461" s="82">
        <f>IF(AN461="","",AD461+AE461+AF461)</f>
        <v/>
      </c>
      <c r="AH461" s="81">
        <f>IF(AN461="","",P461*(1-AG461))</f>
        <v/>
      </c>
      <c r="AI461" s="81">
        <f>IF(AN461="","",IF(Q461="Sin Factura",0,IFERROR(INDEX(Facturas_Odoo!$H:$H, MATCH(Q461, Facturas_Odoo!$B:$B, 0)), 0)*(1-AG461)))</f>
        <v/>
      </c>
      <c r="AJ461" s="81">
        <f>IF(AN461="","",_xlfn.LET(idVenta, AN461&amp;"",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61" s="81">
        <f>IF(AN461="","",AH461-AJ461)</f>
        <v/>
      </c>
      <c r="AL461" s="81">
        <f>IF(AN461="","",IF(Q461="Sin Factura","",AI461-AJ461))</f>
        <v/>
      </c>
      <c r="AM461" s="81">
        <f>IF(AN461="","",IF(Q461="Sin Factura",0,P461-IFERROR(INDEX(Facturas_Odoo!$H:$H, MATCH(Q461, Facturas_Odoo!$B:$B, 0)), 0)))</f>
        <v/>
      </c>
      <c r="AN461" s="79">
        <f>IF(AND(A461="", J461=""), "", IF(A461&lt;&gt;"", VALUE(MID(A461,2,LEN(A461))), AN460))</f>
        <v/>
      </c>
      <c r="AO461" s="79">
        <f>IF(AN461="","",IF(AD461=0,"OK",_xlfn.LET(monedaPago, IF(AA461="","USD",AA461), limitePermitido, IFERROR(VLOOKUP(monedaPago, Configuración!$A$2:$B$3, 2, FALSE), 0.15), IF(AD461&gt;limitePermitido, "ALERTA: EXCESO (" &amp; TEXT(limitePermitido, "0%") &amp; " máx)", "OK"))))</f>
        <v/>
      </c>
      <c r="AP461" s="79">
        <f>IF(AN461="","",IF(AE461=0,"OK",_xlfn.LET(fechaPago, Z461, fechaFactura, R461, diasCredito, IF(E461="Pago inmediato", 0, IFERROR(VALUE(MID(E461, 1, SEARCH(" ", E461)-1)),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61" s="79">
        <f>IF(AN461="","",IF(AND(N461&gt;0, AG461&gt;0), IF(Configuración!$K$2="NO", "ALERTA: DESCUENTO DOBLE NO PERMITIDO", "OK"), "OK"))</f>
        <v/>
      </c>
      <c r="AR461" s="79">
        <f>IF(AN461="","",IF(OR(AO461&lt;&gt;"OK", AP461&lt;&gt;"OK", AQ461&lt;&gt;"OK"), "⚠️ REVISAR", "OK"))</f>
        <v/>
      </c>
    </row>
    <row r="462">
      <c r="A462" s="79">
        <f>IF('Ordenes_Odoo'!A462="","",'Ordenes_Odoo'!A462)</f>
        <v/>
      </c>
      <c r="B462" s="80">
        <f>IF('Ordenes_Odoo'!B462="","",'Ordenes_Odoo'!B462)</f>
        <v/>
      </c>
      <c r="C462" s="79">
        <f>IF('Ordenes_Odoo'!C462="","",'Ordenes_Odoo'!C462)</f>
        <v/>
      </c>
      <c r="D462" s="79">
        <f>IF('Ordenes_Odoo'!D462="","",'Ordenes_Odoo'!D462)</f>
        <v/>
      </c>
      <c r="E462" s="79">
        <f>IF('Ordenes_Odoo'!E462="","",'Ordenes_Odoo'!E462)</f>
        <v/>
      </c>
      <c r="F462" s="79">
        <f>IF('Ordenes_Odoo'!F462="","",'Ordenes_Odoo'!F462)</f>
        <v/>
      </c>
      <c r="G462" s="79">
        <f>IF('Ordenes_Odoo'!G462="","",'Ordenes_Odoo'!G462)</f>
        <v/>
      </c>
      <c r="H462" s="79">
        <f>IF('Ordenes_Odoo'!H462="","",'Ordenes_Odoo'!H462)</f>
        <v/>
      </c>
      <c r="I462" s="79">
        <f>IF('Ordenes_Odoo'!I462="","",'Ordenes_Odoo'!I462)</f>
        <v/>
      </c>
      <c r="J462" s="79">
        <f>IF('Ordenes_Odoo'!J462="","",'Ordenes_Odoo'!J462)</f>
        <v/>
      </c>
      <c r="K462" s="81">
        <f>IF('Ordenes_Odoo'!K462="","",'Ordenes_Odoo'!K462)</f>
        <v/>
      </c>
      <c r="L462" s="81">
        <f>IF('Ordenes_Odoo'!L462="","",'Ordenes_Odoo'!L462)</f>
        <v/>
      </c>
      <c r="M462" s="79">
        <f>IF('Ordenes_Odoo'!M462="","",'Ordenes_Odoo'!M462)</f>
        <v/>
      </c>
      <c r="N462" s="79">
        <f>IF('Ordenes_Odoo'!N462="","",'Ordenes_Odoo'!N462)</f>
        <v/>
      </c>
      <c r="O462" s="81">
        <f>IF('Ordenes_Odoo'!O462="","",'Ordenes_Odoo'!O462)</f>
        <v/>
      </c>
      <c r="P462" s="81">
        <f>IF('Ordenes_Odoo'!P462="","",'Ordenes_Odoo'!P462)</f>
        <v/>
      </c>
      <c r="Q462" s="79">
        <f>IF(A462="","",IFERROR(INDEX(Facturas_Odoo!$B:$B, MATCH(A462, Facturas_Odoo!$D:$D, 0)), "Sin Factura"))</f>
        <v/>
      </c>
      <c r="R462" s="80">
        <f>IF(Q462="Sin Factura","",IFERROR(INDEX(Facturas_Odoo!$A:$A, MATCH(Q462, Facturas_Odoo!$B:$B, 0)), ""))</f>
        <v/>
      </c>
      <c r="S462" s="79">
        <f>IF(Q462="Sin Factura","",IFERROR(_xlfn.XLOOKUP(1, (Facturas_Odoo!$D:$D=A462) * (Facturas_Odoo!$K:$K=I462), Facturas_Odoo!$L:$L, ""), ""))</f>
        <v/>
      </c>
      <c r="T462" s="81">
        <f>IF(Q462="Sin Factura",0,IFERROR(_xlfn.XLOOKUP(1, (Facturas_Odoo!$D:$D=A462) * (Facturas_Odoo!$K:$K=I462), Facturas_Odoo!$M:$M, 0), 0))</f>
        <v/>
      </c>
      <c r="U462" s="79">
        <f>IF(Q462="Sin Factura",0,IFERROR(_xlfn.XLOOKUP(1, (Facturas_Odoo!$D:$D=A462) * (Facturas_Odoo!$K:$K=I462), Facturas_Odoo!$N:$N, 0), 0))</f>
        <v/>
      </c>
      <c r="V462" s="79">
        <f>IF(Q462="Sin Factura",0,IFERROR(_xlfn.XLOOKUP(1, (Facturas_Odoo!$D:$D=A462) * (Facturas_Odoo!$K:$K=I462), Facturas_Odoo!$O:$O, 0), 0))</f>
        <v/>
      </c>
      <c r="W462" s="81">
        <f>IF(Q462="Sin Factura",0,IFERROR(_xlfn.XLOOKUP(1, (Facturas_Odoo!$D:$D=A462) * (Facturas_Odoo!$K:$K=I462), Facturas_Odoo!$Q:$Q, 0), 0))</f>
        <v/>
      </c>
      <c r="X462" s="79">
        <f>IF(OR(Q462="Sin Factura",Q462=""),"",IFERROR(INDEX(Pagos_Odoo!$B:$B, MATCH(Q462, Pagos_Odoo!$I:$I, 0)), "Sin Pago"))</f>
        <v/>
      </c>
      <c r="Y462" s="79">
        <f>IF(X462="Sin Pago","",IFERROR(INDEX(Pagos_Odoo!$C:$C, MATCH(X462, Pagos_Odoo!$B:$B, 0)), ""))</f>
        <v/>
      </c>
      <c r="Z462" s="80">
        <f>IF(X462="Sin Pago","",IFERROR(INDEX(Pagos_Odoo!$A:$A, MATCH(X462, Pagos_Odoo!$B:$B, 0)), ""))</f>
        <v/>
      </c>
      <c r="AA462" s="79">
        <f>IF(X462="Sin Pago","",IFERROR(INDEX(Pagos_Odoo!$F:$F, MATCH(X462, Pagos_Odoo!$B:$B, 0)), ""))</f>
        <v/>
      </c>
      <c r="AB462" s="81">
        <f>IF(X462="Sin Pago",0,IFERROR(INDEX(Pagos_Odoo!$E:$E, MATCH(X462, Pagos_Odoo!$B:$B, 0)), 0))</f>
        <v/>
      </c>
      <c r="AC462" s="79">
        <f>IF(X462="Sin Pago","",IFERROR(INDEX(Pagos_Odoo!$G:$G, MATCH(X462, Pagos_Odoo!$B:$B, 0)), ""))</f>
        <v/>
      </c>
      <c r="AD462" s="82" t="n">
        <v>0</v>
      </c>
      <c r="AE462" s="82" t="n"/>
      <c r="AF462" s="82" t="n"/>
      <c r="AG462" s="82">
        <f>IF(AN462="","",AD462+AE462+AF462)</f>
        <v/>
      </c>
      <c r="AH462" s="81">
        <f>IF(AN462="","",P462*(1-AG462))</f>
        <v/>
      </c>
      <c r="AI462" s="81">
        <f>IF(AN462="","",IF(Q462="Sin Factura",0,IFERROR(INDEX(Facturas_Odoo!$H:$H, MATCH(Q462, Facturas_Odoo!$B:$B, 0)), 0)*(1-AG462)))</f>
        <v/>
      </c>
      <c r="AJ462" s="81">
        <f>IF(AN462="","",_xlfn.LET(idVenta, AN462&amp;"",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62" s="81">
        <f>IF(AN462="","",AH462-AJ462)</f>
        <v/>
      </c>
      <c r="AL462" s="81">
        <f>IF(AN462="","",IF(Q462="Sin Factura","",AI462-AJ462))</f>
        <v/>
      </c>
      <c r="AM462" s="81">
        <f>IF(AN462="","",IF(Q462="Sin Factura",0,P462-IFERROR(INDEX(Facturas_Odoo!$H:$H, MATCH(Q462, Facturas_Odoo!$B:$B, 0)), 0)))</f>
        <v/>
      </c>
      <c r="AN462" s="79">
        <f>IF(AND(A462="", J462=""), "", IF(A462&lt;&gt;"", VALUE(MID(A462,2,LEN(A462))), AN461))</f>
        <v/>
      </c>
      <c r="AO462" s="79">
        <f>IF(AN462="","",IF(AD462=0,"OK",_xlfn.LET(monedaPago, IF(AA462="","USD",AA462), limitePermitido, IFERROR(VLOOKUP(monedaPago, Configuración!$A$2:$B$3, 2, FALSE), 0.15), IF(AD462&gt;limitePermitido, "ALERTA: EXCESO (" &amp; TEXT(limitePermitido, "0%") &amp; " máx)", "OK"))))</f>
        <v/>
      </c>
      <c r="AP462" s="79">
        <f>IF(AN462="","",IF(AE462=0,"OK",_xlfn.LET(fechaPago, Z462, fechaFactura, R462, diasCredito, IF(E462="Pago inmediato", 0, IFERROR(VALUE(MID(E462, 1, SEARCH(" ", E462)-1)),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62" s="79">
        <f>IF(AN462="","",IF(AND(N462&gt;0, AG462&gt;0), IF(Configuración!$K$2="NO", "ALERTA: DESCUENTO DOBLE NO PERMITIDO", "OK"), "OK"))</f>
        <v/>
      </c>
      <c r="AR462" s="79">
        <f>IF(AN462="","",IF(OR(AO462&lt;&gt;"OK", AP462&lt;&gt;"OK", AQ462&lt;&gt;"OK"), "⚠️ REVISAR", "OK"))</f>
        <v/>
      </c>
    </row>
    <row r="463">
      <c r="A463" s="79">
        <f>IF('Ordenes_Odoo'!A463="","",'Ordenes_Odoo'!A463)</f>
        <v/>
      </c>
      <c r="B463" s="80">
        <f>IF('Ordenes_Odoo'!B463="","",'Ordenes_Odoo'!B463)</f>
        <v/>
      </c>
      <c r="C463" s="79">
        <f>IF('Ordenes_Odoo'!C463="","",'Ordenes_Odoo'!C463)</f>
        <v/>
      </c>
      <c r="D463" s="79">
        <f>IF('Ordenes_Odoo'!D463="","",'Ordenes_Odoo'!D463)</f>
        <v/>
      </c>
      <c r="E463" s="79">
        <f>IF('Ordenes_Odoo'!E463="","",'Ordenes_Odoo'!E463)</f>
        <v/>
      </c>
      <c r="F463" s="79">
        <f>IF('Ordenes_Odoo'!F463="","",'Ordenes_Odoo'!F463)</f>
        <v/>
      </c>
      <c r="G463" s="79">
        <f>IF('Ordenes_Odoo'!G463="","",'Ordenes_Odoo'!G463)</f>
        <v/>
      </c>
      <c r="H463" s="79">
        <f>IF('Ordenes_Odoo'!H463="","",'Ordenes_Odoo'!H463)</f>
        <v/>
      </c>
      <c r="I463" s="79">
        <f>IF('Ordenes_Odoo'!I463="","",'Ordenes_Odoo'!I463)</f>
        <v/>
      </c>
      <c r="J463" s="79">
        <f>IF('Ordenes_Odoo'!J463="","",'Ordenes_Odoo'!J463)</f>
        <v/>
      </c>
      <c r="K463" s="81">
        <f>IF('Ordenes_Odoo'!K463="","",'Ordenes_Odoo'!K463)</f>
        <v/>
      </c>
      <c r="L463" s="81">
        <f>IF('Ordenes_Odoo'!L463="","",'Ordenes_Odoo'!L463)</f>
        <v/>
      </c>
      <c r="M463" s="79">
        <f>IF('Ordenes_Odoo'!M463="","",'Ordenes_Odoo'!M463)</f>
        <v/>
      </c>
      <c r="N463" s="79">
        <f>IF('Ordenes_Odoo'!N463="","",'Ordenes_Odoo'!N463)</f>
        <v/>
      </c>
      <c r="O463" s="81">
        <f>IF('Ordenes_Odoo'!O463="","",'Ordenes_Odoo'!O463)</f>
        <v/>
      </c>
      <c r="P463" s="81">
        <f>IF('Ordenes_Odoo'!P463="","",'Ordenes_Odoo'!P463)</f>
        <v/>
      </c>
      <c r="Q463" s="79">
        <f>IF(A463="","",IFERROR(INDEX(Facturas_Odoo!$B:$B, MATCH(A463, Facturas_Odoo!$D:$D, 0)), "Sin Factura"))</f>
        <v/>
      </c>
      <c r="R463" s="80">
        <f>IF(Q463="Sin Factura","",IFERROR(INDEX(Facturas_Odoo!$A:$A, MATCH(Q463, Facturas_Odoo!$B:$B, 0)), ""))</f>
        <v/>
      </c>
      <c r="S463" s="79">
        <f>IF(Q463="Sin Factura","",IFERROR(_xlfn.XLOOKUP(1, (Facturas_Odoo!$D:$D=A463) * (Facturas_Odoo!$K:$K=I463), Facturas_Odoo!$L:$L, ""), ""))</f>
        <v/>
      </c>
      <c r="T463" s="81">
        <f>IF(Q463="Sin Factura",0,IFERROR(_xlfn.XLOOKUP(1, (Facturas_Odoo!$D:$D=A463) * (Facturas_Odoo!$K:$K=I463), Facturas_Odoo!$M:$M, 0), 0))</f>
        <v/>
      </c>
      <c r="U463" s="79">
        <f>IF(Q463="Sin Factura",0,IFERROR(_xlfn.XLOOKUP(1, (Facturas_Odoo!$D:$D=A463) * (Facturas_Odoo!$K:$K=I463), Facturas_Odoo!$N:$N, 0), 0))</f>
        <v/>
      </c>
      <c r="V463" s="79">
        <f>IF(Q463="Sin Factura",0,IFERROR(_xlfn.XLOOKUP(1, (Facturas_Odoo!$D:$D=A463) * (Facturas_Odoo!$K:$K=I463), Facturas_Odoo!$O:$O, 0), 0))</f>
        <v/>
      </c>
      <c r="W463" s="81">
        <f>IF(Q463="Sin Factura",0,IFERROR(_xlfn.XLOOKUP(1, (Facturas_Odoo!$D:$D=A463) * (Facturas_Odoo!$K:$K=I463), Facturas_Odoo!$Q:$Q, 0), 0))</f>
        <v/>
      </c>
      <c r="X463" s="79">
        <f>IF(OR(Q463="Sin Factura",Q463=""),"",IFERROR(INDEX(Pagos_Odoo!$B:$B, MATCH(Q463, Pagos_Odoo!$I:$I, 0)), "Sin Pago"))</f>
        <v/>
      </c>
      <c r="Y463" s="79">
        <f>IF(X463="Sin Pago","",IFERROR(INDEX(Pagos_Odoo!$C:$C, MATCH(X463, Pagos_Odoo!$B:$B, 0)), ""))</f>
        <v/>
      </c>
      <c r="Z463" s="80">
        <f>IF(X463="Sin Pago","",IFERROR(INDEX(Pagos_Odoo!$A:$A, MATCH(X463, Pagos_Odoo!$B:$B, 0)), ""))</f>
        <v/>
      </c>
      <c r="AA463" s="79">
        <f>IF(X463="Sin Pago","",IFERROR(INDEX(Pagos_Odoo!$F:$F, MATCH(X463, Pagos_Odoo!$B:$B, 0)), ""))</f>
        <v/>
      </c>
      <c r="AB463" s="81">
        <f>IF(X463="Sin Pago",0,IFERROR(INDEX(Pagos_Odoo!$E:$E, MATCH(X463, Pagos_Odoo!$B:$B, 0)), 0))</f>
        <v/>
      </c>
      <c r="AC463" s="79">
        <f>IF(X463="Sin Pago","",IFERROR(INDEX(Pagos_Odoo!$G:$G, MATCH(X463, Pagos_Odoo!$B:$B, 0)), ""))</f>
        <v/>
      </c>
      <c r="AD463" s="82" t="n">
        <v>0</v>
      </c>
      <c r="AE463" s="82" t="n"/>
      <c r="AF463" s="82" t="n"/>
      <c r="AG463" s="82">
        <f>IF(AN463="","",AD463+AE463+AF463)</f>
        <v/>
      </c>
      <c r="AH463" s="81">
        <f>IF(AN463="","",P463*(1-AG463))</f>
        <v/>
      </c>
      <c r="AI463" s="81">
        <f>IF(AN463="","",IF(Q463="Sin Factura",0,IFERROR(INDEX(Facturas_Odoo!$H:$H, MATCH(Q463, Facturas_Odoo!$B:$B, 0)), 0)*(1-AG463)))</f>
        <v/>
      </c>
      <c r="AJ463" s="81">
        <f>IF(AN463="","",_xlfn.LET(idVenta, AN463&amp;"",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63" s="81">
        <f>IF(AN463="","",AH463-AJ463)</f>
        <v/>
      </c>
      <c r="AL463" s="81">
        <f>IF(AN463="","",IF(Q463="Sin Factura","",AI463-AJ463))</f>
        <v/>
      </c>
      <c r="AM463" s="81">
        <f>IF(AN463="","",IF(Q463="Sin Factura",0,P463-IFERROR(INDEX(Facturas_Odoo!$H:$H, MATCH(Q463, Facturas_Odoo!$B:$B, 0)), 0)))</f>
        <v/>
      </c>
      <c r="AN463" s="79">
        <f>IF(AND(A463="", J463=""), "", IF(A463&lt;&gt;"", VALUE(MID(A463,2,LEN(A463))), AN462))</f>
        <v/>
      </c>
      <c r="AO463" s="79">
        <f>IF(AN463="","",IF(AD463=0,"OK",_xlfn.LET(monedaPago, IF(AA463="","USD",AA463), limitePermitido, IFERROR(VLOOKUP(monedaPago, Configuración!$A$2:$B$3, 2, FALSE), 0.15), IF(AD463&gt;limitePermitido, "ALERTA: EXCESO (" &amp; TEXT(limitePermitido, "0%") &amp; " máx)", "OK"))))</f>
        <v/>
      </c>
      <c r="AP463" s="79">
        <f>IF(AN463="","",IF(AE463=0,"OK",_xlfn.LET(fechaPago, Z463, fechaFactura, R463, diasCredito, IF(E463="Pago inmediato", 0, IFERROR(VALUE(MID(E463, 1, SEARCH(" ", E463)-1)),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63" s="79">
        <f>IF(AN463="","",IF(AND(N463&gt;0, AG463&gt;0), IF(Configuración!$K$2="NO", "ALERTA: DESCUENTO DOBLE NO PERMITIDO", "OK"), "OK"))</f>
        <v/>
      </c>
      <c r="AR463" s="79">
        <f>IF(AN463="","",IF(OR(AO463&lt;&gt;"OK", AP463&lt;&gt;"OK", AQ463&lt;&gt;"OK"), "⚠️ REVISAR", "OK"))</f>
        <v/>
      </c>
    </row>
    <row r="464">
      <c r="A464" s="79">
        <f>IF('Ordenes_Odoo'!A464="","",'Ordenes_Odoo'!A464)</f>
        <v/>
      </c>
      <c r="B464" s="80">
        <f>IF('Ordenes_Odoo'!B464="","",'Ordenes_Odoo'!B464)</f>
        <v/>
      </c>
      <c r="C464" s="79">
        <f>IF('Ordenes_Odoo'!C464="","",'Ordenes_Odoo'!C464)</f>
        <v/>
      </c>
      <c r="D464" s="79">
        <f>IF('Ordenes_Odoo'!D464="","",'Ordenes_Odoo'!D464)</f>
        <v/>
      </c>
      <c r="E464" s="79">
        <f>IF('Ordenes_Odoo'!E464="","",'Ordenes_Odoo'!E464)</f>
        <v/>
      </c>
      <c r="F464" s="79">
        <f>IF('Ordenes_Odoo'!F464="","",'Ordenes_Odoo'!F464)</f>
        <v/>
      </c>
      <c r="G464" s="79">
        <f>IF('Ordenes_Odoo'!G464="","",'Ordenes_Odoo'!G464)</f>
        <v/>
      </c>
      <c r="H464" s="79">
        <f>IF('Ordenes_Odoo'!H464="","",'Ordenes_Odoo'!H464)</f>
        <v/>
      </c>
      <c r="I464" s="79">
        <f>IF('Ordenes_Odoo'!I464="","",'Ordenes_Odoo'!I464)</f>
        <v/>
      </c>
      <c r="J464" s="79">
        <f>IF('Ordenes_Odoo'!J464="","",'Ordenes_Odoo'!J464)</f>
        <v/>
      </c>
      <c r="K464" s="81">
        <f>IF('Ordenes_Odoo'!K464="","",'Ordenes_Odoo'!K464)</f>
        <v/>
      </c>
      <c r="L464" s="81">
        <f>IF('Ordenes_Odoo'!L464="","",'Ordenes_Odoo'!L464)</f>
        <v/>
      </c>
      <c r="M464" s="79">
        <f>IF('Ordenes_Odoo'!M464="","",'Ordenes_Odoo'!M464)</f>
        <v/>
      </c>
      <c r="N464" s="79">
        <f>IF('Ordenes_Odoo'!N464="","",'Ordenes_Odoo'!N464)</f>
        <v/>
      </c>
      <c r="O464" s="81">
        <f>IF('Ordenes_Odoo'!O464="","",'Ordenes_Odoo'!O464)</f>
        <v/>
      </c>
      <c r="P464" s="81">
        <f>IF('Ordenes_Odoo'!P464="","",'Ordenes_Odoo'!P464)</f>
        <v/>
      </c>
      <c r="Q464" s="79">
        <f>IF(A464="","",IFERROR(INDEX(Facturas_Odoo!$B:$B, MATCH(A464, Facturas_Odoo!$D:$D, 0)), "Sin Factura"))</f>
        <v/>
      </c>
      <c r="R464" s="80">
        <f>IF(Q464="Sin Factura","",IFERROR(INDEX(Facturas_Odoo!$A:$A, MATCH(Q464, Facturas_Odoo!$B:$B, 0)), ""))</f>
        <v/>
      </c>
      <c r="S464" s="79">
        <f>IF(Q464="Sin Factura","",IFERROR(_xlfn.XLOOKUP(1, (Facturas_Odoo!$D:$D=A464) * (Facturas_Odoo!$K:$K=I464), Facturas_Odoo!$L:$L, ""), ""))</f>
        <v/>
      </c>
      <c r="T464" s="81">
        <f>IF(Q464="Sin Factura",0,IFERROR(_xlfn.XLOOKUP(1, (Facturas_Odoo!$D:$D=A464) * (Facturas_Odoo!$K:$K=I464), Facturas_Odoo!$M:$M, 0), 0))</f>
        <v/>
      </c>
      <c r="U464" s="79">
        <f>IF(Q464="Sin Factura",0,IFERROR(_xlfn.XLOOKUP(1, (Facturas_Odoo!$D:$D=A464) * (Facturas_Odoo!$K:$K=I464), Facturas_Odoo!$N:$N, 0), 0))</f>
        <v/>
      </c>
      <c r="V464" s="79">
        <f>IF(Q464="Sin Factura",0,IFERROR(_xlfn.XLOOKUP(1, (Facturas_Odoo!$D:$D=A464) * (Facturas_Odoo!$K:$K=I464), Facturas_Odoo!$O:$O, 0), 0))</f>
        <v/>
      </c>
      <c r="W464" s="81">
        <f>IF(Q464="Sin Factura",0,IFERROR(_xlfn.XLOOKUP(1, (Facturas_Odoo!$D:$D=A464) * (Facturas_Odoo!$K:$K=I464), Facturas_Odoo!$Q:$Q, 0), 0))</f>
        <v/>
      </c>
      <c r="X464" s="79">
        <f>IF(OR(Q464="Sin Factura",Q464=""),"",IFERROR(INDEX(Pagos_Odoo!$B:$B, MATCH(Q464, Pagos_Odoo!$I:$I, 0)), "Sin Pago"))</f>
        <v/>
      </c>
      <c r="Y464" s="79">
        <f>IF(X464="Sin Pago","",IFERROR(INDEX(Pagos_Odoo!$C:$C, MATCH(X464, Pagos_Odoo!$B:$B, 0)), ""))</f>
        <v/>
      </c>
      <c r="Z464" s="80">
        <f>IF(X464="Sin Pago","",IFERROR(INDEX(Pagos_Odoo!$A:$A, MATCH(X464, Pagos_Odoo!$B:$B, 0)), ""))</f>
        <v/>
      </c>
      <c r="AA464" s="79">
        <f>IF(X464="Sin Pago","",IFERROR(INDEX(Pagos_Odoo!$F:$F, MATCH(X464, Pagos_Odoo!$B:$B, 0)), ""))</f>
        <v/>
      </c>
      <c r="AB464" s="81">
        <f>IF(X464="Sin Pago",0,IFERROR(INDEX(Pagos_Odoo!$E:$E, MATCH(X464, Pagos_Odoo!$B:$B, 0)), 0))</f>
        <v/>
      </c>
      <c r="AC464" s="79">
        <f>IF(X464="Sin Pago","",IFERROR(INDEX(Pagos_Odoo!$G:$G, MATCH(X464, Pagos_Odoo!$B:$B, 0)), ""))</f>
        <v/>
      </c>
      <c r="AD464" s="82" t="n">
        <v>0</v>
      </c>
      <c r="AE464" s="82" t="n"/>
      <c r="AF464" s="82" t="n"/>
      <c r="AG464" s="82">
        <f>IF(AN464="","",AD464+AE464+AF464)</f>
        <v/>
      </c>
      <c r="AH464" s="81">
        <f>IF(AN464="","",P464*(1-AG464))</f>
        <v/>
      </c>
      <c r="AI464" s="81">
        <f>IF(AN464="","",IF(Q464="Sin Factura",0,IFERROR(INDEX(Facturas_Odoo!$H:$H, MATCH(Q464, Facturas_Odoo!$B:$B, 0)), 0)*(1-AG464)))</f>
        <v/>
      </c>
      <c r="AJ464" s="81">
        <f>IF(AN464="","",_xlfn.LET(idVenta, AN464&amp;"",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64" s="81">
        <f>IF(AN464="","",AH464-AJ464)</f>
        <v/>
      </c>
      <c r="AL464" s="81">
        <f>IF(AN464="","",IF(Q464="Sin Factura","",AI464-AJ464))</f>
        <v/>
      </c>
      <c r="AM464" s="81">
        <f>IF(AN464="","",IF(Q464="Sin Factura",0,P464-IFERROR(INDEX(Facturas_Odoo!$H:$H, MATCH(Q464, Facturas_Odoo!$B:$B, 0)), 0)))</f>
        <v/>
      </c>
      <c r="AN464" s="79">
        <f>IF(AND(A464="", J464=""), "", IF(A464&lt;&gt;"", VALUE(MID(A464,2,LEN(A464))), AN463))</f>
        <v/>
      </c>
      <c r="AO464" s="79">
        <f>IF(AN464="","",IF(AD464=0,"OK",_xlfn.LET(monedaPago, IF(AA464="","USD",AA464), limitePermitido, IFERROR(VLOOKUP(monedaPago, Configuración!$A$2:$B$3, 2, FALSE), 0.15), IF(AD464&gt;limitePermitido, "ALERTA: EXCESO (" &amp; TEXT(limitePermitido, "0%") &amp; " máx)", "OK"))))</f>
        <v/>
      </c>
      <c r="AP464" s="79">
        <f>IF(AN464="","",IF(AE464=0,"OK",_xlfn.LET(fechaPago, Z464, fechaFactura, R464, diasCredito, IF(E464="Pago inmediato", 0, IFERROR(VALUE(MID(E464, 1, SEARCH(" ", E464)-1)),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64" s="79">
        <f>IF(AN464="","",IF(AND(N464&gt;0, AG464&gt;0), IF(Configuración!$K$2="NO", "ALERTA: DESCUENTO DOBLE NO PERMITIDO", "OK"), "OK"))</f>
        <v/>
      </c>
      <c r="AR464" s="79">
        <f>IF(AN464="","",IF(OR(AO464&lt;&gt;"OK", AP464&lt;&gt;"OK", AQ464&lt;&gt;"OK"), "⚠️ REVISAR", "OK"))</f>
        <v/>
      </c>
    </row>
    <row r="465">
      <c r="A465" s="79">
        <f>IF('Ordenes_Odoo'!A465="","",'Ordenes_Odoo'!A465)</f>
        <v/>
      </c>
      <c r="B465" s="80">
        <f>IF('Ordenes_Odoo'!B465="","",'Ordenes_Odoo'!B465)</f>
        <v/>
      </c>
      <c r="C465" s="79">
        <f>IF('Ordenes_Odoo'!C465="","",'Ordenes_Odoo'!C465)</f>
        <v/>
      </c>
      <c r="D465" s="79">
        <f>IF('Ordenes_Odoo'!D465="","",'Ordenes_Odoo'!D465)</f>
        <v/>
      </c>
      <c r="E465" s="79">
        <f>IF('Ordenes_Odoo'!E465="","",'Ordenes_Odoo'!E465)</f>
        <v/>
      </c>
      <c r="F465" s="79">
        <f>IF('Ordenes_Odoo'!F465="","",'Ordenes_Odoo'!F465)</f>
        <v/>
      </c>
      <c r="G465" s="79">
        <f>IF('Ordenes_Odoo'!G465="","",'Ordenes_Odoo'!G465)</f>
        <v/>
      </c>
      <c r="H465" s="79">
        <f>IF('Ordenes_Odoo'!H465="","",'Ordenes_Odoo'!H465)</f>
        <v/>
      </c>
      <c r="I465" s="79">
        <f>IF('Ordenes_Odoo'!I465="","",'Ordenes_Odoo'!I465)</f>
        <v/>
      </c>
      <c r="J465" s="79">
        <f>IF('Ordenes_Odoo'!J465="","",'Ordenes_Odoo'!J465)</f>
        <v/>
      </c>
      <c r="K465" s="81">
        <f>IF('Ordenes_Odoo'!K465="","",'Ordenes_Odoo'!K465)</f>
        <v/>
      </c>
      <c r="L465" s="81">
        <f>IF('Ordenes_Odoo'!L465="","",'Ordenes_Odoo'!L465)</f>
        <v/>
      </c>
      <c r="M465" s="79">
        <f>IF('Ordenes_Odoo'!M465="","",'Ordenes_Odoo'!M465)</f>
        <v/>
      </c>
      <c r="N465" s="79">
        <f>IF('Ordenes_Odoo'!N465="","",'Ordenes_Odoo'!N465)</f>
        <v/>
      </c>
      <c r="O465" s="81">
        <f>IF('Ordenes_Odoo'!O465="","",'Ordenes_Odoo'!O465)</f>
        <v/>
      </c>
      <c r="P465" s="81">
        <f>IF('Ordenes_Odoo'!P465="","",'Ordenes_Odoo'!P465)</f>
        <v/>
      </c>
      <c r="Q465" s="79">
        <f>IF(A465="","",IFERROR(INDEX(Facturas_Odoo!$B:$B, MATCH(A465, Facturas_Odoo!$D:$D, 0)), "Sin Factura"))</f>
        <v/>
      </c>
      <c r="R465" s="80">
        <f>IF(Q465="Sin Factura","",IFERROR(INDEX(Facturas_Odoo!$A:$A, MATCH(Q465, Facturas_Odoo!$B:$B, 0)), ""))</f>
        <v/>
      </c>
      <c r="S465" s="79">
        <f>IF(Q465="Sin Factura","",IFERROR(_xlfn.XLOOKUP(1, (Facturas_Odoo!$D:$D=A465) * (Facturas_Odoo!$K:$K=I465), Facturas_Odoo!$L:$L, ""), ""))</f>
        <v/>
      </c>
      <c r="T465" s="81">
        <f>IF(Q465="Sin Factura",0,IFERROR(_xlfn.XLOOKUP(1, (Facturas_Odoo!$D:$D=A465) * (Facturas_Odoo!$K:$K=I465), Facturas_Odoo!$M:$M, 0), 0))</f>
        <v/>
      </c>
      <c r="U465" s="79">
        <f>IF(Q465="Sin Factura",0,IFERROR(_xlfn.XLOOKUP(1, (Facturas_Odoo!$D:$D=A465) * (Facturas_Odoo!$K:$K=I465), Facturas_Odoo!$N:$N, 0), 0))</f>
        <v/>
      </c>
      <c r="V465" s="79">
        <f>IF(Q465="Sin Factura",0,IFERROR(_xlfn.XLOOKUP(1, (Facturas_Odoo!$D:$D=A465) * (Facturas_Odoo!$K:$K=I465), Facturas_Odoo!$O:$O, 0), 0))</f>
        <v/>
      </c>
      <c r="W465" s="81">
        <f>IF(Q465="Sin Factura",0,IFERROR(_xlfn.XLOOKUP(1, (Facturas_Odoo!$D:$D=A465) * (Facturas_Odoo!$K:$K=I465), Facturas_Odoo!$Q:$Q, 0), 0))</f>
        <v/>
      </c>
      <c r="X465" s="79">
        <f>IF(OR(Q465="Sin Factura",Q465=""),"",IFERROR(INDEX(Pagos_Odoo!$B:$B, MATCH(Q465, Pagos_Odoo!$I:$I, 0)), "Sin Pago"))</f>
        <v/>
      </c>
      <c r="Y465" s="79">
        <f>IF(X465="Sin Pago","",IFERROR(INDEX(Pagos_Odoo!$C:$C, MATCH(X465, Pagos_Odoo!$B:$B, 0)), ""))</f>
        <v/>
      </c>
      <c r="Z465" s="80">
        <f>IF(X465="Sin Pago","",IFERROR(INDEX(Pagos_Odoo!$A:$A, MATCH(X465, Pagos_Odoo!$B:$B, 0)), ""))</f>
        <v/>
      </c>
      <c r="AA465" s="79">
        <f>IF(X465="Sin Pago","",IFERROR(INDEX(Pagos_Odoo!$F:$F, MATCH(X465, Pagos_Odoo!$B:$B, 0)), ""))</f>
        <v/>
      </c>
      <c r="AB465" s="81">
        <f>IF(X465="Sin Pago",0,IFERROR(INDEX(Pagos_Odoo!$E:$E, MATCH(X465, Pagos_Odoo!$B:$B, 0)), 0))</f>
        <v/>
      </c>
      <c r="AC465" s="79">
        <f>IF(X465="Sin Pago","",IFERROR(INDEX(Pagos_Odoo!$G:$G, MATCH(X465, Pagos_Odoo!$B:$B, 0)), ""))</f>
        <v/>
      </c>
      <c r="AD465" s="82" t="n">
        <v>0</v>
      </c>
      <c r="AE465" s="82" t="n"/>
      <c r="AF465" s="82" t="n"/>
      <c r="AG465" s="82">
        <f>IF(AN465="","",AD465+AE465+AF465)</f>
        <v/>
      </c>
      <c r="AH465" s="81">
        <f>IF(AN465="","",P465*(1-AG465))</f>
        <v/>
      </c>
      <c r="AI465" s="81">
        <f>IF(AN465="","",IF(Q465="Sin Factura",0,IFERROR(INDEX(Facturas_Odoo!$H:$H, MATCH(Q465, Facturas_Odoo!$B:$B, 0)), 0)*(1-AG465)))</f>
        <v/>
      </c>
      <c r="AJ465" s="81">
        <f>IF(AN465="","",_xlfn.LET(idVenta, AN465&amp;"",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65" s="81">
        <f>IF(AN465="","",AH465-AJ465)</f>
        <v/>
      </c>
      <c r="AL465" s="81">
        <f>IF(AN465="","",IF(Q465="Sin Factura","",AI465-AJ465))</f>
        <v/>
      </c>
      <c r="AM465" s="81">
        <f>IF(AN465="","",IF(Q465="Sin Factura",0,P465-IFERROR(INDEX(Facturas_Odoo!$H:$H, MATCH(Q465, Facturas_Odoo!$B:$B, 0)), 0)))</f>
        <v/>
      </c>
      <c r="AN465" s="79">
        <f>IF(AND(A465="", J465=""), "", IF(A465&lt;&gt;"", VALUE(MID(A465,2,LEN(A465))), AN464))</f>
        <v/>
      </c>
      <c r="AO465" s="79">
        <f>IF(AN465="","",IF(AD465=0,"OK",_xlfn.LET(monedaPago, IF(AA465="","USD",AA465), limitePermitido, IFERROR(VLOOKUP(monedaPago, Configuración!$A$2:$B$3, 2, FALSE), 0.15), IF(AD465&gt;limitePermitido, "ALERTA: EXCESO (" &amp; TEXT(limitePermitido, "0%") &amp; " máx)", "OK"))))</f>
        <v/>
      </c>
      <c r="AP465" s="79">
        <f>IF(AN465="","",IF(AE465=0,"OK",_xlfn.LET(fechaPago, Z465, fechaFactura, R465, diasCredito, IF(E465="Pago inmediato", 0, IFERROR(VALUE(MID(E465, 1, SEARCH(" ", E465)-1)),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65" s="79">
        <f>IF(AN465="","",IF(AND(N465&gt;0, AG465&gt;0), IF(Configuración!$K$2="NO", "ALERTA: DESCUENTO DOBLE NO PERMITIDO", "OK"), "OK"))</f>
        <v/>
      </c>
      <c r="AR465" s="79">
        <f>IF(AN465="","",IF(OR(AO465&lt;&gt;"OK", AP465&lt;&gt;"OK", AQ465&lt;&gt;"OK"), "⚠️ REVISAR", "OK"))</f>
        <v/>
      </c>
    </row>
    <row r="466">
      <c r="A466" s="79">
        <f>IF('Ordenes_Odoo'!A466="","",'Ordenes_Odoo'!A466)</f>
        <v/>
      </c>
      <c r="B466" s="80">
        <f>IF('Ordenes_Odoo'!B466="","",'Ordenes_Odoo'!B466)</f>
        <v/>
      </c>
      <c r="C466" s="79">
        <f>IF('Ordenes_Odoo'!C466="","",'Ordenes_Odoo'!C466)</f>
        <v/>
      </c>
      <c r="D466" s="79">
        <f>IF('Ordenes_Odoo'!D466="","",'Ordenes_Odoo'!D466)</f>
        <v/>
      </c>
      <c r="E466" s="79">
        <f>IF('Ordenes_Odoo'!E466="","",'Ordenes_Odoo'!E466)</f>
        <v/>
      </c>
      <c r="F466" s="79">
        <f>IF('Ordenes_Odoo'!F466="","",'Ordenes_Odoo'!F466)</f>
        <v/>
      </c>
      <c r="G466" s="79">
        <f>IF('Ordenes_Odoo'!G466="","",'Ordenes_Odoo'!G466)</f>
        <v/>
      </c>
      <c r="H466" s="79">
        <f>IF('Ordenes_Odoo'!H466="","",'Ordenes_Odoo'!H466)</f>
        <v/>
      </c>
      <c r="I466" s="79">
        <f>IF('Ordenes_Odoo'!I466="","",'Ordenes_Odoo'!I466)</f>
        <v/>
      </c>
      <c r="J466" s="79">
        <f>IF('Ordenes_Odoo'!J466="","",'Ordenes_Odoo'!J466)</f>
        <v/>
      </c>
      <c r="K466" s="81">
        <f>IF('Ordenes_Odoo'!K466="","",'Ordenes_Odoo'!K466)</f>
        <v/>
      </c>
      <c r="L466" s="81">
        <f>IF('Ordenes_Odoo'!L466="","",'Ordenes_Odoo'!L466)</f>
        <v/>
      </c>
      <c r="M466" s="79">
        <f>IF('Ordenes_Odoo'!M466="","",'Ordenes_Odoo'!M466)</f>
        <v/>
      </c>
      <c r="N466" s="79">
        <f>IF('Ordenes_Odoo'!N466="","",'Ordenes_Odoo'!N466)</f>
        <v/>
      </c>
      <c r="O466" s="81">
        <f>IF('Ordenes_Odoo'!O466="","",'Ordenes_Odoo'!O466)</f>
        <v/>
      </c>
      <c r="P466" s="81">
        <f>IF('Ordenes_Odoo'!P466="","",'Ordenes_Odoo'!P466)</f>
        <v/>
      </c>
      <c r="Q466" s="79">
        <f>IF(A466="","",IFERROR(INDEX(Facturas_Odoo!$B:$B, MATCH(A466, Facturas_Odoo!$D:$D, 0)), "Sin Factura"))</f>
        <v/>
      </c>
      <c r="R466" s="80">
        <f>IF(Q466="Sin Factura","",IFERROR(INDEX(Facturas_Odoo!$A:$A, MATCH(Q466, Facturas_Odoo!$B:$B, 0)), ""))</f>
        <v/>
      </c>
      <c r="S466" s="79">
        <f>IF(Q466="Sin Factura","",IFERROR(_xlfn.XLOOKUP(1, (Facturas_Odoo!$D:$D=A466) * (Facturas_Odoo!$K:$K=I466), Facturas_Odoo!$L:$L, ""), ""))</f>
        <v/>
      </c>
      <c r="T466" s="81">
        <f>IF(Q466="Sin Factura",0,IFERROR(_xlfn.XLOOKUP(1, (Facturas_Odoo!$D:$D=A466) * (Facturas_Odoo!$K:$K=I466), Facturas_Odoo!$M:$M, 0), 0))</f>
        <v/>
      </c>
      <c r="U466" s="79">
        <f>IF(Q466="Sin Factura",0,IFERROR(_xlfn.XLOOKUP(1, (Facturas_Odoo!$D:$D=A466) * (Facturas_Odoo!$K:$K=I466), Facturas_Odoo!$N:$N, 0), 0))</f>
        <v/>
      </c>
      <c r="V466" s="79">
        <f>IF(Q466="Sin Factura",0,IFERROR(_xlfn.XLOOKUP(1, (Facturas_Odoo!$D:$D=A466) * (Facturas_Odoo!$K:$K=I466), Facturas_Odoo!$O:$O, 0), 0))</f>
        <v/>
      </c>
      <c r="W466" s="81">
        <f>IF(Q466="Sin Factura",0,IFERROR(_xlfn.XLOOKUP(1, (Facturas_Odoo!$D:$D=A466) * (Facturas_Odoo!$K:$K=I466), Facturas_Odoo!$Q:$Q, 0), 0))</f>
        <v/>
      </c>
      <c r="X466" s="79">
        <f>IF(OR(Q466="Sin Factura",Q466=""),"",IFERROR(INDEX(Pagos_Odoo!$B:$B, MATCH(Q466, Pagos_Odoo!$I:$I, 0)), "Sin Pago"))</f>
        <v/>
      </c>
      <c r="Y466" s="79">
        <f>IF(X466="Sin Pago","",IFERROR(INDEX(Pagos_Odoo!$C:$C, MATCH(X466, Pagos_Odoo!$B:$B, 0)), ""))</f>
        <v/>
      </c>
      <c r="Z466" s="80">
        <f>IF(X466="Sin Pago","",IFERROR(INDEX(Pagos_Odoo!$A:$A, MATCH(X466, Pagos_Odoo!$B:$B, 0)), ""))</f>
        <v/>
      </c>
      <c r="AA466" s="79">
        <f>IF(X466="Sin Pago","",IFERROR(INDEX(Pagos_Odoo!$F:$F, MATCH(X466, Pagos_Odoo!$B:$B, 0)), ""))</f>
        <v/>
      </c>
      <c r="AB466" s="81">
        <f>IF(X466="Sin Pago",0,IFERROR(INDEX(Pagos_Odoo!$E:$E, MATCH(X466, Pagos_Odoo!$B:$B, 0)), 0))</f>
        <v/>
      </c>
      <c r="AC466" s="79">
        <f>IF(X466="Sin Pago","",IFERROR(INDEX(Pagos_Odoo!$G:$G, MATCH(X466, Pagos_Odoo!$B:$B, 0)), ""))</f>
        <v/>
      </c>
      <c r="AD466" s="82" t="n">
        <v>0</v>
      </c>
      <c r="AE466" s="82" t="n"/>
      <c r="AF466" s="82" t="n"/>
      <c r="AG466" s="82">
        <f>IF(AN466="","",AD466+AE466+AF466)</f>
        <v/>
      </c>
      <c r="AH466" s="81">
        <f>IF(AN466="","",P466*(1-AG466))</f>
        <v/>
      </c>
      <c r="AI466" s="81">
        <f>IF(AN466="","",IF(Q466="Sin Factura",0,IFERROR(INDEX(Facturas_Odoo!$H:$H, MATCH(Q466, Facturas_Odoo!$B:$B, 0)), 0)*(1-AG466)))</f>
        <v/>
      </c>
      <c r="AJ466" s="81">
        <f>IF(AN466="","",_xlfn.LET(idVenta, AN466&amp;"",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66" s="81">
        <f>IF(AN466="","",AH466-AJ466)</f>
        <v/>
      </c>
      <c r="AL466" s="81">
        <f>IF(AN466="","",IF(Q466="Sin Factura","",AI466-AJ466))</f>
        <v/>
      </c>
      <c r="AM466" s="81">
        <f>IF(AN466="","",IF(Q466="Sin Factura",0,P466-IFERROR(INDEX(Facturas_Odoo!$H:$H, MATCH(Q466, Facturas_Odoo!$B:$B, 0)), 0)))</f>
        <v/>
      </c>
      <c r="AN466" s="79">
        <f>IF(AND(A466="", J466=""), "", IF(A466&lt;&gt;"", VALUE(MID(A466,2,LEN(A466))), AN465))</f>
        <v/>
      </c>
      <c r="AO466" s="79">
        <f>IF(AN466="","",IF(AD466=0,"OK",_xlfn.LET(monedaPago, IF(AA466="","USD",AA466), limitePermitido, IFERROR(VLOOKUP(monedaPago, Configuración!$A$2:$B$3, 2, FALSE), 0.15), IF(AD466&gt;limitePermitido, "ALERTA: EXCESO (" &amp; TEXT(limitePermitido, "0%") &amp; " máx)", "OK"))))</f>
        <v/>
      </c>
      <c r="AP466" s="79">
        <f>IF(AN466="","",IF(AE466=0,"OK",_xlfn.LET(fechaPago, Z466, fechaFactura, R466, diasCredito, IF(E466="Pago inmediato", 0, IFERROR(VALUE(MID(E466, 1, SEARCH(" ", E466)-1)),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66" s="79">
        <f>IF(AN466="","",IF(AND(N466&gt;0, AG466&gt;0), IF(Configuración!$K$2="NO", "ALERTA: DESCUENTO DOBLE NO PERMITIDO", "OK"), "OK"))</f>
        <v/>
      </c>
      <c r="AR466" s="79">
        <f>IF(AN466="","",IF(OR(AO466&lt;&gt;"OK", AP466&lt;&gt;"OK", AQ466&lt;&gt;"OK"), "⚠️ REVISAR", "OK"))</f>
        <v/>
      </c>
    </row>
    <row r="467">
      <c r="A467" s="79">
        <f>IF('Ordenes_Odoo'!A467="","",'Ordenes_Odoo'!A467)</f>
        <v/>
      </c>
      <c r="B467" s="80">
        <f>IF('Ordenes_Odoo'!B467="","",'Ordenes_Odoo'!B467)</f>
        <v/>
      </c>
      <c r="C467" s="79">
        <f>IF('Ordenes_Odoo'!C467="","",'Ordenes_Odoo'!C467)</f>
        <v/>
      </c>
      <c r="D467" s="79">
        <f>IF('Ordenes_Odoo'!D467="","",'Ordenes_Odoo'!D467)</f>
        <v/>
      </c>
      <c r="E467" s="79">
        <f>IF('Ordenes_Odoo'!E467="","",'Ordenes_Odoo'!E467)</f>
        <v/>
      </c>
      <c r="F467" s="79">
        <f>IF('Ordenes_Odoo'!F467="","",'Ordenes_Odoo'!F467)</f>
        <v/>
      </c>
      <c r="G467" s="79">
        <f>IF('Ordenes_Odoo'!G467="","",'Ordenes_Odoo'!G467)</f>
        <v/>
      </c>
      <c r="H467" s="79">
        <f>IF('Ordenes_Odoo'!H467="","",'Ordenes_Odoo'!H467)</f>
        <v/>
      </c>
      <c r="I467" s="79">
        <f>IF('Ordenes_Odoo'!I467="","",'Ordenes_Odoo'!I467)</f>
        <v/>
      </c>
      <c r="J467" s="79">
        <f>IF('Ordenes_Odoo'!J467="","",'Ordenes_Odoo'!J467)</f>
        <v/>
      </c>
      <c r="K467" s="81">
        <f>IF('Ordenes_Odoo'!K467="","",'Ordenes_Odoo'!K467)</f>
        <v/>
      </c>
      <c r="L467" s="81">
        <f>IF('Ordenes_Odoo'!L467="","",'Ordenes_Odoo'!L467)</f>
        <v/>
      </c>
      <c r="M467" s="79">
        <f>IF('Ordenes_Odoo'!M467="","",'Ordenes_Odoo'!M467)</f>
        <v/>
      </c>
      <c r="N467" s="79">
        <f>IF('Ordenes_Odoo'!N467="","",'Ordenes_Odoo'!N467)</f>
        <v/>
      </c>
      <c r="O467" s="81">
        <f>IF('Ordenes_Odoo'!O467="","",'Ordenes_Odoo'!O467)</f>
        <v/>
      </c>
      <c r="P467" s="81">
        <f>IF('Ordenes_Odoo'!P467="","",'Ordenes_Odoo'!P467)</f>
        <v/>
      </c>
      <c r="Q467" s="79">
        <f>IF(A467="","",IFERROR(INDEX(Facturas_Odoo!$B:$B, MATCH(A467, Facturas_Odoo!$D:$D, 0)), "Sin Factura"))</f>
        <v/>
      </c>
      <c r="R467" s="80">
        <f>IF(Q467="Sin Factura","",IFERROR(INDEX(Facturas_Odoo!$A:$A, MATCH(Q467, Facturas_Odoo!$B:$B, 0)), ""))</f>
        <v/>
      </c>
      <c r="S467" s="79">
        <f>IF(Q467="Sin Factura","",IFERROR(_xlfn.XLOOKUP(1, (Facturas_Odoo!$D:$D=A467) * (Facturas_Odoo!$K:$K=I467), Facturas_Odoo!$L:$L, ""), ""))</f>
        <v/>
      </c>
      <c r="T467" s="81">
        <f>IF(Q467="Sin Factura",0,IFERROR(_xlfn.XLOOKUP(1, (Facturas_Odoo!$D:$D=A467) * (Facturas_Odoo!$K:$K=I467), Facturas_Odoo!$M:$M, 0), 0))</f>
        <v/>
      </c>
      <c r="U467" s="79">
        <f>IF(Q467="Sin Factura",0,IFERROR(_xlfn.XLOOKUP(1, (Facturas_Odoo!$D:$D=A467) * (Facturas_Odoo!$K:$K=I467), Facturas_Odoo!$N:$N, 0), 0))</f>
        <v/>
      </c>
      <c r="V467" s="79">
        <f>IF(Q467="Sin Factura",0,IFERROR(_xlfn.XLOOKUP(1, (Facturas_Odoo!$D:$D=A467) * (Facturas_Odoo!$K:$K=I467), Facturas_Odoo!$O:$O, 0), 0))</f>
        <v/>
      </c>
      <c r="W467" s="81">
        <f>IF(Q467="Sin Factura",0,IFERROR(_xlfn.XLOOKUP(1, (Facturas_Odoo!$D:$D=A467) * (Facturas_Odoo!$K:$K=I467), Facturas_Odoo!$Q:$Q, 0), 0))</f>
        <v/>
      </c>
      <c r="X467" s="79">
        <f>IF(OR(Q467="Sin Factura",Q467=""),"",IFERROR(INDEX(Pagos_Odoo!$B:$B, MATCH(Q467, Pagos_Odoo!$I:$I, 0)), "Sin Pago"))</f>
        <v/>
      </c>
      <c r="Y467" s="79">
        <f>IF(X467="Sin Pago","",IFERROR(INDEX(Pagos_Odoo!$C:$C, MATCH(X467, Pagos_Odoo!$B:$B, 0)), ""))</f>
        <v/>
      </c>
      <c r="Z467" s="80">
        <f>IF(X467="Sin Pago","",IFERROR(INDEX(Pagos_Odoo!$A:$A, MATCH(X467, Pagos_Odoo!$B:$B, 0)), ""))</f>
        <v/>
      </c>
      <c r="AA467" s="79">
        <f>IF(X467="Sin Pago","",IFERROR(INDEX(Pagos_Odoo!$F:$F, MATCH(X467, Pagos_Odoo!$B:$B, 0)), ""))</f>
        <v/>
      </c>
      <c r="AB467" s="81">
        <f>IF(X467="Sin Pago",0,IFERROR(INDEX(Pagos_Odoo!$E:$E, MATCH(X467, Pagos_Odoo!$B:$B, 0)), 0))</f>
        <v/>
      </c>
      <c r="AC467" s="79">
        <f>IF(X467="Sin Pago","",IFERROR(INDEX(Pagos_Odoo!$G:$G, MATCH(X467, Pagos_Odoo!$B:$B, 0)), ""))</f>
        <v/>
      </c>
      <c r="AD467" s="82" t="n">
        <v>0</v>
      </c>
      <c r="AE467" s="82" t="n"/>
      <c r="AF467" s="82" t="n"/>
      <c r="AG467" s="82">
        <f>IF(AN467="","",AD467+AE467+AF467)</f>
        <v/>
      </c>
      <c r="AH467" s="81">
        <f>IF(AN467="","",P467*(1-AG467))</f>
        <v/>
      </c>
      <c r="AI467" s="81">
        <f>IF(AN467="","",IF(Q467="Sin Factura",0,IFERROR(INDEX(Facturas_Odoo!$H:$H, MATCH(Q467, Facturas_Odoo!$B:$B, 0)), 0)*(1-AG467)))</f>
        <v/>
      </c>
      <c r="AJ467" s="81">
        <f>IF(AN467="","",_xlfn.LET(idVenta, AN467&amp;"",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67" s="81">
        <f>IF(AN467="","",AH467-AJ467)</f>
        <v/>
      </c>
      <c r="AL467" s="81">
        <f>IF(AN467="","",IF(Q467="Sin Factura","",AI467-AJ467))</f>
        <v/>
      </c>
      <c r="AM467" s="81">
        <f>IF(AN467="","",IF(Q467="Sin Factura",0,P467-IFERROR(INDEX(Facturas_Odoo!$H:$H, MATCH(Q467, Facturas_Odoo!$B:$B, 0)), 0)))</f>
        <v/>
      </c>
      <c r="AN467" s="79">
        <f>IF(AND(A467="", J467=""), "", IF(A467&lt;&gt;"", VALUE(MID(A467,2,LEN(A467))), AN466))</f>
        <v/>
      </c>
      <c r="AO467" s="79">
        <f>IF(AN467="","",IF(AD467=0,"OK",_xlfn.LET(monedaPago, IF(AA467="","USD",AA467), limitePermitido, IFERROR(VLOOKUP(monedaPago, Configuración!$A$2:$B$3, 2, FALSE), 0.15), IF(AD467&gt;limitePermitido, "ALERTA: EXCESO (" &amp; TEXT(limitePermitido, "0%") &amp; " máx)", "OK"))))</f>
        <v/>
      </c>
      <c r="AP467" s="79">
        <f>IF(AN467="","",IF(AE467=0,"OK",_xlfn.LET(fechaPago, Z467, fechaFactura, R467, diasCredito, IF(E467="Pago inmediato", 0, IFERROR(VALUE(MID(E467, 1, SEARCH(" ", E467)-1)),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67" s="79">
        <f>IF(AN467="","",IF(AND(N467&gt;0, AG467&gt;0), IF(Configuración!$K$2="NO", "ALERTA: DESCUENTO DOBLE NO PERMITIDO", "OK"), "OK"))</f>
        <v/>
      </c>
      <c r="AR467" s="79">
        <f>IF(AN467="","",IF(OR(AO467&lt;&gt;"OK", AP467&lt;&gt;"OK", AQ467&lt;&gt;"OK"), "⚠️ REVISAR", "OK"))</f>
        <v/>
      </c>
    </row>
    <row r="468">
      <c r="A468" s="79">
        <f>IF('Ordenes_Odoo'!A468="","",'Ordenes_Odoo'!A468)</f>
        <v/>
      </c>
      <c r="B468" s="80">
        <f>IF('Ordenes_Odoo'!B468="","",'Ordenes_Odoo'!B468)</f>
        <v/>
      </c>
      <c r="C468" s="79">
        <f>IF('Ordenes_Odoo'!C468="","",'Ordenes_Odoo'!C468)</f>
        <v/>
      </c>
      <c r="D468" s="79">
        <f>IF('Ordenes_Odoo'!D468="","",'Ordenes_Odoo'!D468)</f>
        <v/>
      </c>
      <c r="E468" s="79">
        <f>IF('Ordenes_Odoo'!E468="","",'Ordenes_Odoo'!E468)</f>
        <v/>
      </c>
      <c r="F468" s="79">
        <f>IF('Ordenes_Odoo'!F468="","",'Ordenes_Odoo'!F468)</f>
        <v/>
      </c>
      <c r="G468" s="79">
        <f>IF('Ordenes_Odoo'!G468="","",'Ordenes_Odoo'!G468)</f>
        <v/>
      </c>
      <c r="H468" s="79">
        <f>IF('Ordenes_Odoo'!H468="","",'Ordenes_Odoo'!H468)</f>
        <v/>
      </c>
      <c r="I468" s="79">
        <f>IF('Ordenes_Odoo'!I468="","",'Ordenes_Odoo'!I468)</f>
        <v/>
      </c>
      <c r="J468" s="79">
        <f>IF('Ordenes_Odoo'!J468="","",'Ordenes_Odoo'!J468)</f>
        <v/>
      </c>
      <c r="K468" s="81">
        <f>IF('Ordenes_Odoo'!K468="","",'Ordenes_Odoo'!K468)</f>
        <v/>
      </c>
      <c r="L468" s="81">
        <f>IF('Ordenes_Odoo'!L468="","",'Ordenes_Odoo'!L468)</f>
        <v/>
      </c>
      <c r="M468" s="79">
        <f>IF('Ordenes_Odoo'!M468="","",'Ordenes_Odoo'!M468)</f>
        <v/>
      </c>
      <c r="N468" s="79">
        <f>IF('Ordenes_Odoo'!N468="","",'Ordenes_Odoo'!N468)</f>
        <v/>
      </c>
      <c r="O468" s="81">
        <f>IF('Ordenes_Odoo'!O468="","",'Ordenes_Odoo'!O468)</f>
        <v/>
      </c>
      <c r="P468" s="81">
        <f>IF('Ordenes_Odoo'!P468="","",'Ordenes_Odoo'!P468)</f>
        <v/>
      </c>
      <c r="Q468" s="79">
        <f>IF(A468="","",IFERROR(INDEX(Facturas_Odoo!$B:$B, MATCH(A468, Facturas_Odoo!$D:$D, 0)), "Sin Factura"))</f>
        <v/>
      </c>
      <c r="R468" s="80">
        <f>IF(Q468="Sin Factura","",IFERROR(INDEX(Facturas_Odoo!$A:$A, MATCH(Q468, Facturas_Odoo!$B:$B, 0)), ""))</f>
        <v/>
      </c>
      <c r="S468" s="79">
        <f>IF(Q468="Sin Factura","",IFERROR(_xlfn.XLOOKUP(1, (Facturas_Odoo!$D:$D=A468) * (Facturas_Odoo!$K:$K=I468), Facturas_Odoo!$L:$L, ""), ""))</f>
        <v/>
      </c>
      <c r="T468" s="81">
        <f>IF(Q468="Sin Factura",0,IFERROR(_xlfn.XLOOKUP(1, (Facturas_Odoo!$D:$D=A468) * (Facturas_Odoo!$K:$K=I468), Facturas_Odoo!$M:$M, 0), 0))</f>
        <v/>
      </c>
      <c r="U468" s="79">
        <f>IF(Q468="Sin Factura",0,IFERROR(_xlfn.XLOOKUP(1, (Facturas_Odoo!$D:$D=A468) * (Facturas_Odoo!$K:$K=I468), Facturas_Odoo!$N:$N, 0), 0))</f>
        <v/>
      </c>
      <c r="V468" s="79">
        <f>IF(Q468="Sin Factura",0,IFERROR(_xlfn.XLOOKUP(1, (Facturas_Odoo!$D:$D=A468) * (Facturas_Odoo!$K:$K=I468), Facturas_Odoo!$O:$O, 0), 0))</f>
        <v/>
      </c>
      <c r="W468" s="81">
        <f>IF(Q468="Sin Factura",0,IFERROR(_xlfn.XLOOKUP(1, (Facturas_Odoo!$D:$D=A468) * (Facturas_Odoo!$K:$K=I468), Facturas_Odoo!$Q:$Q, 0), 0))</f>
        <v/>
      </c>
      <c r="X468" s="79">
        <f>IF(OR(Q468="Sin Factura",Q468=""),"",IFERROR(INDEX(Pagos_Odoo!$B:$B, MATCH(Q468, Pagos_Odoo!$I:$I, 0)), "Sin Pago"))</f>
        <v/>
      </c>
      <c r="Y468" s="79">
        <f>IF(X468="Sin Pago","",IFERROR(INDEX(Pagos_Odoo!$C:$C, MATCH(X468, Pagos_Odoo!$B:$B, 0)), ""))</f>
        <v/>
      </c>
      <c r="Z468" s="80">
        <f>IF(X468="Sin Pago","",IFERROR(INDEX(Pagos_Odoo!$A:$A, MATCH(X468, Pagos_Odoo!$B:$B, 0)), ""))</f>
        <v/>
      </c>
      <c r="AA468" s="79">
        <f>IF(X468="Sin Pago","",IFERROR(INDEX(Pagos_Odoo!$F:$F, MATCH(X468, Pagos_Odoo!$B:$B, 0)), ""))</f>
        <v/>
      </c>
      <c r="AB468" s="81">
        <f>IF(X468="Sin Pago",0,IFERROR(INDEX(Pagos_Odoo!$E:$E, MATCH(X468, Pagos_Odoo!$B:$B, 0)), 0))</f>
        <v/>
      </c>
      <c r="AC468" s="79">
        <f>IF(X468="Sin Pago","",IFERROR(INDEX(Pagos_Odoo!$G:$G, MATCH(X468, Pagos_Odoo!$B:$B, 0)), ""))</f>
        <v/>
      </c>
      <c r="AD468" s="82" t="n">
        <v>0</v>
      </c>
      <c r="AE468" s="82" t="n"/>
      <c r="AF468" s="82" t="n"/>
      <c r="AG468" s="82">
        <f>IF(AN468="","",AD468+AE468+AF468)</f>
        <v/>
      </c>
      <c r="AH468" s="81">
        <f>IF(AN468="","",P468*(1-AG468))</f>
        <v/>
      </c>
      <c r="AI468" s="81">
        <f>IF(AN468="","",IF(Q468="Sin Factura",0,IFERROR(INDEX(Facturas_Odoo!$H:$H, MATCH(Q468, Facturas_Odoo!$B:$B, 0)), 0)*(1-AG468)))</f>
        <v/>
      </c>
      <c r="AJ468" s="81">
        <f>IF(AN468="","",_xlfn.LET(idVenta, AN468&amp;"",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68" s="81">
        <f>IF(AN468="","",AH468-AJ468)</f>
        <v/>
      </c>
      <c r="AL468" s="81">
        <f>IF(AN468="","",IF(Q468="Sin Factura","",AI468-AJ468))</f>
        <v/>
      </c>
      <c r="AM468" s="81">
        <f>IF(AN468="","",IF(Q468="Sin Factura",0,P468-IFERROR(INDEX(Facturas_Odoo!$H:$H, MATCH(Q468, Facturas_Odoo!$B:$B, 0)), 0)))</f>
        <v/>
      </c>
      <c r="AN468" s="79">
        <f>IF(AND(A468="", J468=""), "", IF(A468&lt;&gt;"", VALUE(MID(A468,2,LEN(A468))), AN467))</f>
        <v/>
      </c>
      <c r="AO468" s="79">
        <f>IF(AN468="","",IF(AD468=0,"OK",_xlfn.LET(monedaPago, IF(AA468="","USD",AA468), limitePermitido, IFERROR(VLOOKUP(monedaPago, Configuración!$A$2:$B$3, 2, FALSE), 0.15), IF(AD468&gt;limitePermitido, "ALERTA: EXCESO (" &amp; TEXT(limitePermitido, "0%") &amp; " máx)", "OK"))))</f>
        <v/>
      </c>
      <c r="AP468" s="79">
        <f>IF(AN468="","",IF(AE468=0,"OK",_xlfn.LET(fechaPago, Z468, fechaFactura, R468, diasCredito, IF(E468="Pago inmediato", 0, IFERROR(VALUE(MID(E468, 1, SEARCH(" ", E468)-1)),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68" s="79">
        <f>IF(AN468="","",IF(AND(N468&gt;0, AG468&gt;0), IF(Configuración!$K$2="NO", "ALERTA: DESCUENTO DOBLE NO PERMITIDO", "OK"), "OK"))</f>
        <v/>
      </c>
      <c r="AR468" s="79">
        <f>IF(AN468="","",IF(OR(AO468&lt;&gt;"OK", AP468&lt;&gt;"OK", AQ468&lt;&gt;"OK"), "⚠️ REVISAR", "OK"))</f>
        <v/>
      </c>
    </row>
    <row r="469">
      <c r="A469" s="79">
        <f>IF('Ordenes_Odoo'!A469="","",'Ordenes_Odoo'!A469)</f>
        <v/>
      </c>
      <c r="B469" s="80">
        <f>IF('Ordenes_Odoo'!B469="","",'Ordenes_Odoo'!B469)</f>
        <v/>
      </c>
      <c r="C469" s="79">
        <f>IF('Ordenes_Odoo'!C469="","",'Ordenes_Odoo'!C469)</f>
        <v/>
      </c>
      <c r="D469" s="79">
        <f>IF('Ordenes_Odoo'!D469="","",'Ordenes_Odoo'!D469)</f>
        <v/>
      </c>
      <c r="E469" s="79">
        <f>IF('Ordenes_Odoo'!E469="","",'Ordenes_Odoo'!E469)</f>
        <v/>
      </c>
      <c r="F469" s="79">
        <f>IF('Ordenes_Odoo'!F469="","",'Ordenes_Odoo'!F469)</f>
        <v/>
      </c>
      <c r="G469" s="79">
        <f>IF('Ordenes_Odoo'!G469="","",'Ordenes_Odoo'!G469)</f>
        <v/>
      </c>
      <c r="H469" s="79">
        <f>IF('Ordenes_Odoo'!H469="","",'Ordenes_Odoo'!H469)</f>
        <v/>
      </c>
      <c r="I469" s="79">
        <f>IF('Ordenes_Odoo'!I469="","",'Ordenes_Odoo'!I469)</f>
        <v/>
      </c>
      <c r="J469" s="79">
        <f>IF('Ordenes_Odoo'!J469="","",'Ordenes_Odoo'!J469)</f>
        <v/>
      </c>
      <c r="K469" s="81">
        <f>IF('Ordenes_Odoo'!K469="","",'Ordenes_Odoo'!K469)</f>
        <v/>
      </c>
      <c r="L469" s="81">
        <f>IF('Ordenes_Odoo'!L469="","",'Ordenes_Odoo'!L469)</f>
        <v/>
      </c>
      <c r="M469" s="79">
        <f>IF('Ordenes_Odoo'!M469="","",'Ordenes_Odoo'!M469)</f>
        <v/>
      </c>
      <c r="N469" s="79">
        <f>IF('Ordenes_Odoo'!N469="","",'Ordenes_Odoo'!N469)</f>
        <v/>
      </c>
      <c r="O469" s="81">
        <f>IF('Ordenes_Odoo'!O469="","",'Ordenes_Odoo'!O469)</f>
        <v/>
      </c>
      <c r="P469" s="81">
        <f>IF('Ordenes_Odoo'!P469="","",'Ordenes_Odoo'!P469)</f>
        <v/>
      </c>
      <c r="Q469" s="79">
        <f>IF(A469="","",IFERROR(INDEX(Facturas_Odoo!$B:$B, MATCH(A469, Facturas_Odoo!$D:$D, 0)), "Sin Factura"))</f>
        <v/>
      </c>
      <c r="R469" s="80">
        <f>IF(Q469="Sin Factura","",IFERROR(INDEX(Facturas_Odoo!$A:$A, MATCH(Q469, Facturas_Odoo!$B:$B, 0)), ""))</f>
        <v/>
      </c>
      <c r="S469" s="79">
        <f>IF(Q469="Sin Factura","",IFERROR(_xlfn.XLOOKUP(1, (Facturas_Odoo!$D:$D=A469) * (Facturas_Odoo!$K:$K=I469), Facturas_Odoo!$L:$L, ""), ""))</f>
        <v/>
      </c>
      <c r="T469" s="81">
        <f>IF(Q469="Sin Factura",0,IFERROR(_xlfn.XLOOKUP(1, (Facturas_Odoo!$D:$D=A469) * (Facturas_Odoo!$K:$K=I469), Facturas_Odoo!$M:$M, 0), 0))</f>
        <v/>
      </c>
      <c r="U469" s="79">
        <f>IF(Q469="Sin Factura",0,IFERROR(_xlfn.XLOOKUP(1, (Facturas_Odoo!$D:$D=A469) * (Facturas_Odoo!$K:$K=I469), Facturas_Odoo!$N:$N, 0), 0))</f>
        <v/>
      </c>
      <c r="V469" s="79">
        <f>IF(Q469="Sin Factura",0,IFERROR(_xlfn.XLOOKUP(1, (Facturas_Odoo!$D:$D=A469) * (Facturas_Odoo!$K:$K=I469), Facturas_Odoo!$O:$O, 0), 0))</f>
        <v/>
      </c>
      <c r="W469" s="81">
        <f>IF(Q469="Sin Factura",0,IFERROR(_xlfn.XLOOKUP(1, (Facturas_Odoo!$D:$D=A469) * (Facturas_Odoo!$K:$K=I469), Facturas_Odoo!$Q:$Q, 0), 0))</f>
        <v/>
      </c>
      <c r="X469" s="79">
        <f>IF(OR(Q469="Sin Factura",Q469=""),"",IFERROR(INDEX(Pagos_Odoo!$B:$B, MATCH(Q469, Pagos_Odoo!$I:$I, 0)), "Sin Pago"))</f>
        <v/>
      </c>
      <c r="Y469" s="79">
        <f>IF(X469="Sin Pago","",IFERROR(INDEX(Pagos_Odoo!$C:$C, MATCH(X469, Pagos_Odoo!$B:$B, 0)), ""))</f>
        <v/>
      </c>
      <c r="Z469" s="80">
        <f>IF(X469="Sin Pago","",IFERROR(INDEX(Pagos_Odoo!$A:$A, MATCH(X469, Pagos_Odoo!$B:$B, 0)), ""))</f>
        <v/>
      </c>
      <c r="AA469" s="79">
        <f>IF(X469="Sin Pago","",IFERROR(INDEX(Pagos_Odoo!$F:$F, MATCH(X469, Pagos_Odoo!$B:$B, 0)), ""))</f>
        <v/>
      </c>
      <c r="AB469" s="81">
        <f>IF(X469="Sin Pago",0,IFERROR(INDEX(Pagos_Odoo!$E:$E, MATCH(X469, Pagos_Odoo!$B:$B, 0)), 0))</f>
        <v/>
      </c>
      <c r="AC469" s="79">
        <f>IF(X469="Sin Pago","",IFERROR(INDEX(Pagos_Odoo!$G:$G, MATCH(X469, Pagos_Odoo!$B:$B, 0)), ""))</f>
        <v/>
      </c>
      <c r="AD469" s="82" t="n">
        <v>0</v>
      </c>
      <c r="AE469" s="82" t="n"/>
      <c r="AF469" s="82" t="n"/>
      <c r="AG469" s="82">
        <f>IF(AN469="","",AD469+AE469+AF469)</f>
        <v/>
      </c>
      <c r="AH469" s="81">
        <f>IF(AN469="","",P469*(1-AG469))</f>
        <v/>
      </c>
      <c r="AI469" s="81">
        <f>IF(AN469="","",IF(Q469="Sin Factura",0,IFERROR(INDEX(Facturas_Odoo!$H:$H, MATCH(Q469, Facturas_Odoo!$B:$B, 0)), 0)*(1-AG469)))</f>
        <v/>
      </c>
      <c r="AJ469" s="81">
        <f>IF(AN469="","",_xlfn.LET(idVenta, AN469&amp;"",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69" s="81">
        <f>IF(AN469="","",AH469-AJ469)</f>
        <v/>
      </c>
      <c r="AL469" s="81">
        <f>IF(AN469="","",IF(Q469="Sin Factura","",AI469-AJ469))</f>
        <v/>
      </c>
      <c r="AM469" s="81">
        <f>IF(AN469="","",IF(Q469="Sin Factura",0,P469-IFERROR(INDEX(Facturas_Odoo!$H:$H, MATCH(Q469, Facturas_Odoo!$B:$B, 0)), 0)))</f>
        <v/>
      </c>
      <c r="AN469" s="79">
        <f>IF(AND(A469="", J469=""), "", IF(A469&lt;&gt;"", VALUE(MID(A469,2,LEN(A469))), AN468))</f>
        <v/>
      </c>
      <c r="AO469" s="79">
        <f>IF(AN469="","",IF(AD469=0,"OK",_xlfn.LET(monedaPago, IF(AA469="","USD",AA469), limitePermitido, IFERROR(VLOOKUP(monedaPago, Configuración!$A$2:$B$3, 2, FALSE), 0.15), IF(AD469&gt;limitePermitido, "ALERTA: EXCESO (" &amp; TEXT(limitePermitido, "0%") &amp; " máx)", "OK"))))</f>
        <v/>
      </c>
      <c r="AP469" s="79">
        <f>IF(AN469="","",IF(AE469=0,"OK",_xlfn.LET(fechaPago, Z469, fechaFactura, R469, diasCredito, IF(E469="Pago inmediato", 0, IFERROR(VALUE(MID(E469, 1, SEARCH(" ", E469)-1)),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69" s="79">
        <f>IF(AN469="","",IF(AND(N469&gt;0, AG469&gt;0), IF(Configuración!$K$2="NO", "ALERTA: DESCUENTO DOBLE NO PERMITIDO", "OK"), "OK"))</f>
        <v/>
      </c>
      <c r="AR469" s="79">
        <f>IF(AN469="","",IF(OR(AO469&lt;&gt;"OK", AP469&lt;&gt;"OK", AQ469&lt;&gt;"OK"), "⚠️ REVISAR", "OK"))</f>
        <v/>
      </c>
    </row>
    <row r="470">
      <c r="A470" s="79">
        <f>IF('Ordenes_Odoo'!A470="","",'Ordenes_Odoo'!A470)</f>
        <v/>
      </c>
      <c r="B470" s="80">
        <f>IF('Ordenes_Odoo'!B470="","",'Ordenes_Odoo'!B470)</f>
        <v/>
      </c>
      <c r="C470" s="79">
        <f>IF('Ordenes_Odoo'!C470="","",'Ordenes_Odoo'!C470)</f>
        <v/>
      </c>
      <c r="D470" s="79">
        <f>IF('Ordenes_Odoo'!D470="","",'Ordenes_Odoo'!D470)</f>
        <v/>
      </c>
      <c r="E470" s="79">
        <f>IF('Ordenes_Odoo'!E470="","",'Ordenes_Odoo'!E470)</f>
        <v/>
      </c>
      <c r="F470" s="79">
        <f>IF('Ordenes_Odoo'!F470="","",'Ordenes_Odoo'!F470)</f>
        <v/>
      </c>
      <c r="G470" s="79">
        <f>IF('Ordenes_Odoo'!G470="","",'Ordenes_Odoo'!G470)</f>
        <v/>
      </c>
      <c r="H470" s="79">
        <f>IF('Ordenes_Odoo'!H470="","",'Ordenes_Odoo'!H470)</f>
        <v/>
      </c>
      <c r="I470" s="79">
        <f>IF('Ordenes_Odoo'!I470="","",'Ordenes_Odoo'!I470)</f>
        <v/>
      </c>
      <c r="J470" s="79">
        <f>IF('Ordenes_Odoo'!J470="","",'Ordenes_Odoo'!J470)</f>
        <v/>
      </c>
      <c r="K470" s="81">
        <f>IF('Ordenes_Odoo'!K470="","",'Ordenes_Odoo'!K470)</f>
        <v/>
      </c>
      <c r="L470" s="81">
        <f>IF('Ordenes_Odoo'!L470="","",'Ordenes_Odoo'!L470)</f>
        <v/>
      </c>
      <c r="M470" s="79">
        <f>IF('Ordenes_Odoo'!M470="","",'Ordenes_Odoo'!M470)</f>
        <v/>
      </c>
      <c r="N470" s="79">
        <f>IF('Ordenes_Odoo'!N470="","",'Ordenes_Odoo'!N470)</f>
        <v/>
      </c>
      <c r="O470" s="81">
        <f>IF('Ordenes_Odoo'!O470="","",'Ordenes_Odoo'!O470)</f>
        <v/>
      </c>
      <c r="P470" s="81">
        <f>IF('Ordenes_Odoo'!P470="","",'Ordenes_Odoo'!P470)</f>
        <v/>
      </c>
      <c r="Q470" s="79">
        <f>IF(A470="","",IFERROR(INDEX(Facturas_Odoo!$B:$B, MATCH(A470, Facturas_Odoo!$D:$D, 0)), "Sin Factura"))</f>
        <v/>
      </c>
      <c r="R470" s="80">
        <f>IF(Q470="Sin Factura","",IFERROR(INDEX(Facturas_Odoo!$A:$A, MATCH(Q470, Facturas_Odoo!$B:$B, 0)), ""))</f>
        <v/>
      </c>
      <c r="S470" s="79">
        <f>IF(Q470="Sin Factura","",IFERROR(_xlfn.XLOOKUP(1, (Facturas_Odoo!$D:$D=A470) * (Facturas_Odoo!$K:$K=I470), Facturas_Odoo!$L:$L, ""), ""))</f>
        <v/>
      </c>
      <c r="T470" s="81">
        <f>IF(Q470="Sin Factura",0,IFERROR(_xlfn.XLOOKUP(1, (Facturas_Odoo!$D:$D=A470) * (Facturas_Odoo!$K:$K=I470), Facturas_Odoo!$M:$M, 0), 0))</f>
        <v/>
      </c>
      <c r="U470" s="79">
        <f>IF(Q470="Sin Factura",0,IFERROR(_xlfn.XLOOKUP(1, (Facturas_Odoo!$D:$D=A470) * (Facturas_Odoo!$K:$K=I470), Facturas_Odoo!$N:$N, 0), 0))</f>
        <v/>
      </c>
      <c r="V470" s="79">
        <f>IF(Q470="Sin Factura",0,IFERROR(_xlfn.XLOOKUP(1, (Facturas_Odoo!$D:$D=A470) * (Facturas_Odoo!$K:$K=I470), Facturas_Odoo!$O:$O, 0), 0))</f>
        <v/>
      </c>
      <c r="W470" s="81">
        <f>IF(Q470="Sin Factura",0,IFERROR(_xlfn.XLOOKUP(1, (Facturas_Odoo!$D:$D=A470) * (Facturas_Odoo!$K:$K=I470), Facturas_Odoo!$Q:$Q, 0), 0))</f>
        <v/>
      </c>
      <c r="X470" s="79">
        <f>IF(OR(Q470="Sin Factura",Q470=""),"",IFERROR(INDEX(Pagos_Odoo!$B:$B, MATCH(Q470, Pagos_Odoo!$I:$I, 0)), "Sin Pago"))</f>
        <v/>
      </c>
      <c r="Y470" s="79">
        <f>IF(X470="Sin Pago","",IFERROR(INDEX(Pagos_Odoo!$C:$C, MATCH(X470, Pagos_Odoo!$B:$B, 0)), ""))</f>
        <v/>
      </c>
      <c r="Z470" s="80">
        <f>IF(X470="Sin Pago","",IFERROR(INDEX(Pagos_Odoo!$A:$A, MATCH(X470, Pagos_Odoo!$B:$B, 0)), ""))</f>
        <v/>
      </c>
      <c r="AA470" s="79">
        <f>IF(X470="Sin Pago","",IFERROR(INDEX(Pagos_Odoo!$F:$F, MATCH(X470, Pagos_Odoo!$B:$B, 0)), ""))</f>
        <v/>
      </c>
      <c r="AB470" s="81">
        <f>IF(X470="Sin Pago",0,IFERROR(INDEX(Pagos_Odoo!$E:$E, MATCH(X470, Pagos_Odoo!$B:$B, 0)), 0))</f>
        <v/>
      </c>
      <c r="AC470" s="79">
        <f>IF(X470="Sin Pago","",IFERROR(INDEX(Pagos_Odoo!$G:$G, MATCH(X470, Pagos_Odoo!$B:$B, 0)), ""))</f>
        <v/>
      </c>
      <c r="AD470" s="82" t="n">
        <v>0</v>
      </c>
      <c r="AE470" s="82" t="n"/>
      <c r="AF470" s="82" t="n"/>
      <c r="AG470" s="82">
        <f>IF(AN470="","",AD470+AE470+AF470)</f>
        <v/>
      </c>
      <c r="AH470" s="81">
        <f>IF(AN470="","",P470*(1-AG470))</f>
        <v/>
      </c>
      <c r="AI470" s="81">
        <f>IF(AN470="","",IF(Q470="Sin Factura",0,IFERROR(INDEX(Facturas_Odoo!$H:$H, MATCH(Q470, Facturas_Odoo!$B:$B, 0)), 0)*(1-AG470)))</f>
        <v/>
      </c>
      <c r="AJ470" s="81">
        <f>IF(AN470="","",_xlfn.LET(idVenta, AN470&amp;"",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70" s="81">
        <f>IF(AN470="","",AH470-AJ470)</f>
        <v/>
      </c>
      <c r="AL470" s="81">
        <f>IF(AN470="","",IF(Q470="Sin Factura","",AI470-AJ470))</f>
        <v/>
      </c>
      <c r="AM470" s="81">
        <f>IF(AN470="","",IF(Q470="Sin Factura",0,P470-IFERROR(INDEX(Facturas_Odoo!$H:$H, MATCH(Q470, Facturas_Odoo!$B:$B, 0)), 0)))</f>
        <v/>
      </c>
      <c r="AN470" s="79">
        <f>IF(AND(A470="", J470=""), "", IF(A470&lt;&gt;"", VALUE(MID(A470,2,LEN(A470))), AN469))</f>
        <v/>
      </c>
      <c r="AO470" s="79">
        <f>IF(AN470="","",IF(AD470=0,"OK",_xlfn.LET(monedaPago, IF(AA470="","USD",AA470), limitePermitido, IFERROR(VLOOKUP(monedaPago, Configuración!$A$2:$B$3, 2, FALSE), 0.15), IF(AD470&gt;limitePermitido, "ALERTA: EXCESO (" &amp; TEXT(limitePermitido, "0%") &amp; " máx)", "OK"))))</f>
        <v/>
      </c>
      <c r="AP470" s="79">
        <f>IF(AN470="","",IF(AE470=0,"OK",_xlfn.LET(fechaPago, Z470, fechaFactura, R470, diasCredito, IF(E470="Pago inmediato", 0, IFERROR(VALUE(MID(E470, 1, SEARCH(" ", E470)-1)),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70" s="79">
        <f>IF(AN470="","",IF(AND(N470&gt;0, AG470&gt;0), IF(Configuración!$K$2="NO", "ALERTA: DESCUENTO DOBLE NO PERMITIDO", "OK"), "OK"))</f>
        <v/>
      </c>
      <c r="AR470" s="79">
        <f>IF(AN470="","",IF(OR(AO470&lt;&gt;"OK", AP470&lt;&gt;"OK", AQ470&lt;&gt;"OK"), "⚠️ REVISAR", "OK"))</f>
        <v/>
      </c>
    </row>
    <row r="471">
      <c r="A471" s="79">
        <f>IF('Ordenes_Odoo'!A471="","",'Ordenes_Odoo'!A471)</f>
        <v/>
      </c>
      <c r="B471" s="80">
        <f>IF('Ordenes_Odoo'!B471="","",'Ordenes_Odoo'!B471)</f>
        <v/>
      </c>
      <c r="C471" s="79">
        <f>IF('Ordenes_Odoo'!C471="","",'Ordenes_Odoo'!C471)</f>
        <v/>
      </c>
      <c r="D471" s="79">
        <f>IF('Ordenes_Odoo'!D471="","",'Ordenes_Odoo'!D471)</f>
        <v/>
      </c>
      <c r="E471" s="79">
        <f>IF('Ordenes_Odoo'!E471="","",'Ordenes_Odoo'!E471)</f>
        <v/>
      </c>
      <c r="F471" s="79">
        <f>IF('Ordenes_Odoo'!F471="","",'Ordenes_Odoo'!F471)</f>
        <v/>
      </c>
      <c r="G471" s="79">
        <f>IF('Ordenes_Odoo'!G471="","",'Ordenes_Odoo'!G471)</f>
        <v/>
      </c>
      <c r="H471" s="79">
        <f>IF('Ordenes_Odoo'!H471="","",'Ordenes_Odoo'!H471)</f>
        <v/>
      </c>
      <c r="I471" s="79">
        <f>IF('Ordenes_Odoo'!I471="","",'Ordenes_Odoo'!I471)</f>
        <v/>
      </c>
      <c r="J471" s="79">
        <f>IF('Ordenes_Odoo'!J471="","",'Ordenes_Odoo'!J471)</f>
        <v/>
      </c>
      <c r="K471" s="81">
        <f>IF('Ordenes_Odoo'!K471="","",'Ordenes_Odoo'!K471)</f>
        <v/>
      </c>
      <c r="L471" s="81">
        <f>IF('Ordenes_Odoo'!L471="","",'Ordenes_Odoo'!L471)</f>
        <v/>
      </c>
      <c r="M471" s="79">
        <f>IF('Ordenes_Odoo'!M471="","",'Ordenes_Odoo'!M471)</f>
        <v/>
      </c>
      <c r="N471" s="79">
        <f>IF('Ordenes_Odoo'!N471="","",'Ordenes_Odoo'!N471)</f>
        <v/>
      </c>
      <c r="O471" s="81">
        <f>IF('Ordenes_Odoo'!O471="","",'Ordenes_Odoo'!O471)</f>
        <v/>
      </c>
      <c r="P471" s="81">
        <f>IF('Ordenes_Odoo'!P471="","",'Ordenes_Odoo'!P471)</f>
        <v/>
      </c>
      <c r="Q471" s="79">
        <f>IF(A471="","",IFERROR(INDEX(Facturas_Odoo!$B:$B, MATCH(A471, Facturas_Odoo!$D:$D, 0)), "Sin Factura"))</f>
        <v/>
      </c>
      <c r="R471" s="80">
        <f>IF(Q471="Sin Factura","",IFERROR(INDEX(Facturas_Odoo!$A:$A, MATCH(Q471, Facturas_Odoo!$B:$B, 0)), ""))</f>
        <v/>
      </c>
      <c r="S471" s="79">
        <f>IF(Q471="Sin Factura","",IFERROR(_xlfn.XLOOKUP(1, (Facturas_Odoo!$D:$D=A471) * (Facturas_Odoo!$K:$K=I471), Facturas_Odoo!$L:$L, ""), ""))</f>
        <v/>
      </c>
      <c r="T471" s="81">
        <f>IF(Q471="Sin Factura",0,IFERROR(_xlfn.XLOOKUP(1, (Facturas_Odoo!$D:$D=A471) * (Facturas_Odoo!$K:$K=I471), Facturas_Odoo!$M:$M, 0), 0))</f>
        <v/>
      </c>
      <c r="U471" s="79">
        <f>IF(Q471="Sin Factura",0,IFERROR(_xlfn.XLOOKUP(1, (Facturas_Odoo!$D:$D=A471) * (Facturas_Odoo!$K:$K=I471), Facturas_Odoo!$N:$N, 0), 0))</f>
        <v/>
      </c>
      <c r="V471" s="79">
        <f>IF(Q471="Sin Factura",0,IFERROR(_xlfn.XLOOKUP(1, (Facturas_Odoo!$D:$D=A471) * (Facturas_Odoo!$K:$K=I471), Facturas_Odoo!$O:$O, 0), 0))</f>
        <v/>
      </c>
      <c r="W471" s="81">
        <f>IF(Q471="Sin Factura",0,IFERROR(_xlfn.XLOOKUP(1, (Facturas_Odoo!$D:$D=A471) * (Facturas_Odoo!$K:$K=I471), Facturas_Odoo!$Q:$Q, 0), 0))</f>
        <v/>
      </c>
      <c r="X471" s="79">
        <f>IF(OR(Q471="Sin Factura",Q471=""),"",IFERROR(INDEX(Pagos_Odoo!$B:$B, MATCH(Q471, Pagos_Odoo!$I:$I, 0)), "Sin Pago"))</f>
        <v/>
      </c>
      <c r="Y471" s="79">
        <f>IF(X471="Sin Pago","",IFERROR(INDEX(Pagos_Odoo!$C:$C, MATCH(X471, Pagos_Odoo!$B:$B, 0)), ""))</f>
        <v/>
      </c>
      <c r="Z471" s="80">
        <f>IF(X471="Sin Pago","",IFERROR(INDEX(Pagos_Odoo!$A:$A, MATCH(X471, Pagos_Odoo!$B:$B, 0)), ""))</f>
        <v/>
      </c>
      <c r="AA471" s="79">
        <f>IF(X471="Sin Pago","",IFERROR(INDEX(Pagos_Odoo!$F:$F, MATCH(X471, Pagos_Odoo!$B:$B, 0)), ""))</f>
        <v/>
      </c>
      <c r="AB471" s="81">
        <f>IF(X471="Sin Pago",0,IFERROR(INDEX(Pagos_Odoo!$E:$E, MATCH(X471, Pagos_Odoo!$B:$B, 0)), 0))</f>
        <v/>
      </c>
      <c r="AC471" s="79">
        <f>IF(X471="Sin Pago","",IFERROR(INDEX(Pagos_Odoo!$G:$G, MATCH(X471, Pagos_Odoo!$B:$B, 0)), ""))</f>
        <v/>
      </c>
      <c r="AD471" s="82" t="n">
        <v>0</v>
      </c>
      <c r="AE471" s="82" t="n"/>
      <c r="AF471" s="82" t="n"/>
      <c r="AG471" s="82">
        <f>IF(AN471="","",AD471+AE471+AF471)</f>
        <v/>
      </c>
      <c r="AH471" s="81">
        <f>IF(AN471="","",P471*(1-AG471))</f>
        <v/>
      </c>
      <c r="AI471" s="81">
        <f>IF(AN471="","",IF(Q471="Sin Factura",0,IFERROR(INDEX(Facturas_Odoo!$H:$H, MATCH(Q471, Facturas_Odoo!$B:$B, 0)), 0)*(1-AG471)))</f>
        <v/>
      </c>
      <c r="AJ471" s="81">
        <f>IF(AN471="","",_xlfn.LET(idVenta, AN471&amp;"",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71" s="81">
        <f>IF(AN471="","",AH471-AJ471)</f>
        <v/>
      </c>
      <c r="AL471" s="81">
        <f>IF(AN471="","",IF(Q471="Sin Factura","",AI471-AJ471))</f>
        <v/>
      </c>
      <c r="AM471" s="81">
        <f>IF(AN471="","",IF(Q471="Sin Factura",0,P471-IFERROR(INDEX(Facturas_Odoo!$H:$H, MATCH(Q471, Facturas_Odoo!$B:$B, 0)), 0)))</f>
        <v/>
      </c>
      <c r="AN471" s="79">
        <f>IF(AND(A471="", J471=""), "", IF(A471&lt;&gt;"", VALUE(MID(A471,2,LEN(A471))), AN470))</f>
        <v/>
      </c>
      <c r="AO471" s="79">
        <f>IF(AN471="","",IF(AD471=0,"OK",_xlfn.LET(monedaPago, IF(AA471="","USD",AA471), limitePermitido, IFERROR(VLOOKUP(monedaPago, Configuración!$A$2:$B$3, 2, FALSE), 0.15), IF(AD471&gt;limitePermitido, "ALERTA: EXCESO (" &amp; TEXT(limitePermitido, "0%") &amp; " máx)", "OK"))))</f>
        <v/>
      </c>
      <c r="AP471" s="79">
        <f>IF(AN471="","",IF(AE471=0,"OK",_xlfn.LET(fechaPago, Z471, fechaFactura, R471, diasCredito, IF(E471="Pago inmediato", 0, IFERROR(VALUE(MID(E471, 1, SEARCH(" ", E471)-1)),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71" s="79">
        <f>IF(AN471="","",IF(AND(N471&gt;0, AG471&gt;0), IF(Configuración!$K$2="NO", "ALERTA: DESCUENTO DOBLE NO PERMITIDO", "OK"), "OK"))</f>
        <v/>
      </c>
      <c r="AR471" s="79">
        <f>IF(AN471="","",IF(OR(AO471&lt;&gt;"OK", AP471&lt;&gt;"OK", AQ471&lt;&gt;"OK"), "⚠️ REVISAR", "OK"))</f>
        <v/>
      </c>
    </row>
    <row r="472">
      <c r="A472" s="79">
        <f>IF('Ordenes_Odoo'!A472="","",'Ordenes_Odoo'!A472)</f>
        <v/>
      </c>
      <c r="B472" s="80">
        <f>IF('Ordenes_Odoo'!B472="","",'Ordenes_Odoo'!B472)</f>
        <v/>
      </c>
      <c r="C472" s="79">
        <f>IF('Ordenes_Odoo'!C472="","",'Ordenes_Odoo'!C472)</f>
        <v/>
      </c>
      <c r="D472" s="79">
        <f>IF('Ordenes_Odoo'!D472="","",'Ordenes_Odoo'!D472)</f>
        <v/>
      </c>
      <c r="E472" s="79">
        <f>IF('Ordenes_Odoo'!E472="","",'Ordenes_Odoo'!E472)</f>
        <v/>
      </c>
      <c r="F472" s="79">
        <f>IF('Ordenes_Odoo'!F472="","",'Ordenes_Odoo'!F472)</f>
        <v/>
      </c>
      <c r="G472" s="79">
        <f>IF('Ordenes_Odoo'!G472="","",'Ordenes_Odoo'!G472)</f>
        <v/>
      </c>
      <c r="H472" s="79">
        <f>IF('Ordenes_Odoo'!H472="","",'Ordenes_Odoo'!H472)</f>
        <v/>
      </c>
      <c r="I472" s="79">
        <f>IF('Ordenes_Odoo'!I472="","",'Ordenes_Odoo'!I472)</f>
        <v/>
      </c>
      <c r="J472" s="79">
        <f>IF('Ordenes_Odoo'!J472="","",'Ordenes_Odoo'!J472)</f>
        <v/>
      </c>
      <c r="K472" s="81">
        <f>IF('Ordenes_Odoo'!K472="","",'Ordenes_Odoo'!K472)</f>
        <v/>
      </c>
      <c r="L472" s="81">
        <f>IF('Ordenes_Odoo'!L472="","",'Ordenes_Odoo'!L472)</f>
        <v/>
      </c>
      <c r="M472" s="79">
        <f>IF('Ordenes_Odoo'!M472="","",'Ordenes_Odoo'!M472)</f>
        <v/>
      </c>
      <c r="N472" s="79">
        <f>IF('Ordenes_Odoo'!N472="","",'Ordenes_Odoo'!N472)</f>
        <v/>
      </c>
      <c r="O472" s="81">
        <f>IF('Ordenes_Odoo'!O472="","",'Ordenes_Odoo'!O472)</f>
        <v/>
      </c>
      <c r="P472" s="81">
        <f>IF('Ordenes_Odoo'!P472="","",'Ordenes_Odoo'!P472)</f>
        <v/>
      </c>
      <c r="Q472" s="79">
        <f>IF(A472="","",IFERROR(INDEX(Facturas_Odoo!$B:$B, MATCH(A472, Facturas_Odoo!$D:$D, 0)), "Sin Factura"))</f>
        <v/>
      </c>
      <c r="R472" s="80">
        <f>IF(Q472="Sin Factura","",IFERROR(INDEX(Facturas_Odoo!$A:$A, MATCH(Q472, Facturas_Odoo!$B:$B, 0)), ""))</f>
        <v/>
      </c>
      <c r="S472" s="79">
        <f>IF(Q472="Sin Factura","",IFERROR(_xlfn.XLOOKUP(1, (Facturas_Odoo!$D:$D=A472) * (Facturas_Odoo!$K:$K=I472), Facturas_Odoo!$L:$L, ""), ""))</f>
        <v/>
      </c>
      <c r="T472" s="81">
        <f>IF(Q472="Sin Factura",0,IFERROR(_xlfn.XLOOKUP(1, (Facturas_Odoo!$D:$D=A472) * (Facturas_Odoo!$K:$K=I472), Facturas_Odoo!$M:$M, 0), 0))</f>
        <v/>
      </c>
      <c r="U472" s="79">
        <f>IF(Q472="Sin Factura",0,IFERROR(_xlfn.XLOOKUP(1, (Facturas_Odoo!$D:$D=A472) * (Facturas_Odoo!$K:$K=I472), Facturas_Odoo!$N:$N, 0), 0))</f>
        <v/>
      </c>
      <c r="V472" s="79">
        <f>IF(Q472="Sin Factura",0,IFERROR(_xlfn.XLOOKUP(1, (Facturas_Odoo!$D:$D=A472) * (Facturas_Odoo!$K:$K=I472), Facturas_Odoo!$O:$O, 0), 0))</f>
        <v/>
      </c>
      <c r="W472" s="81">
        <f>IF(Q472="Sin Factura",0,IFERROR(_xlfn.XLOOKUP(1, (Facturas_Odoo!$D:$D=A472) * (Facturas_Odoo!$K:$K=I472), Facturas_Odoo!$Q:$Q, 0), 0))</f>
        <v/>
      </c>
      <c r="X472" s="79">
        <f>IF(OR(Q472="Sin Factura",Q472=""),"",IFERROR(INDEX(Pagos_Odoo!$B:$B, MATCH(Q472, Pagos_Odoo!$I:$I, 0)), "Sin Pago"))</f>
        <v/>
      </c>
      <c r="Y472" s="79">
        <f>IF(X472="Sin Pago","",IFERROR(INDEX(Pagos_Odoo!$C:$C, MATCH(X472, Pagos_Odoo!$B:$B, 0)), ""))</f>
        <v/>
      </c>
      <c r="Z472" s="80">
        <f>IF(X472="Sin Pago","",IFERROR(INDEX(Pagos_Odoo!$A:$A, MATCH(X472, Pagos_Odoo!$B:$B, 0)), ""))</f>
        <v/>
      </c>
      <c r="AA472" s="79">
        <f>IF(X472="Sin Pago","",IFERROR(INDEX(Pagos_Odoo!$F:$F, MATCH(X472, Pagos_Odoo!$B:$B, 0)), ""))</f>
        <v/>
      </c>
      <c r="AB472" s="81">
        <f>IF(X472="Sin Pago",0,IFERROR(INDEX(Pagos_Odoo!$E:$E, MATCH(X472, Pagos_Odoo!$B:$B, 0)), 0))</f>
        <v/>
      </c>
      <c r="AC472" s="79">
        <f>IF(X472="Sin Pago","",IFERROR(INDEX(Pagos_Odoo!$G:$G, MATCH(X472, Pagos_Odoo!$B:$B, 0)), ""))</f>
        <v/>
      </c>
      <c r="AD472" s="82" t="n">
        <v>0</v>
      </c>
      <c r="AE472" s="82" t="n"/>
      <c r="AF472" s="82" t="n"/>
      <c r="AG472" s="82">
        <f>IF(AN472="","",AD472+AE472+AF472)</f>
        <v/>
      </c>
      <c r="AH472" s="81">
        <f>IF(AN472="","",P472*(1-AG472))</f>
        <v/>
      </c>
      <c r="AI472" s="81">
        <f>IF(AN472="","",IF(Q472="Sin Factura",0,IFERROR(INDEX(Facturas_Odoo!$H:$H, MATCH(Q472, Facturas_Odoo!$B:$B, 0)), 0)*(1-AG472)))</f>
        <v/>
      </c>
      <c r="AJ472" s="81">
        <f>IF(AN472="","",_xlfn.LET(idVenta, AN472&amp;"",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72" s="81">
        <f>IF(AN472="","",AH472-AJ472)</f>
        <v/>
      </c>
      <c r="AL472" s="81">
        <f>IF(AN472="","",IF(Q472="Sin Factura","",AI472-AJ472))</f>
        <v/>
      </c>
      <c r="AM472" s="81">
        <f>IF(AN472="","",IF(Q472="Sin Factura",0,P472-IFERROR(INDEX(Facturas_Odoo!$H:$H, MATCH(Q472, Facturas_Odoo!$B:$B, 0)), 0)))</f>
        <v/>
      </c>
      <c r="AN472" s="79">
        <f>IF(AND(A472="", J472=""), "", IF(A472&lt;&gt;"", VALUE(MID(A472,2,LEN(A472))), AN471))</f>
        <v/>
      </c>
      <c r="AO472" s="79">
        <f>IF(AN472="","",IF(AD472=0,"OK",_xlfn.LET(monedaPago, IF(AA472="","USD",AA472), limitePermitido, IFERROR(VLOOKUP(monedaPago, Configuración!$A$2:$B$3, 2, FALSE), 0.15), IF(AD472&gt;limitePermitido, "ALERTA: EXCESO (" &amp; TEXT(limitePermitido, "0%") &amp; " máx)", "OK"))))</f>
        <v/>
      </c>
      <c r="AP472" s="79">
        <f>IF(AN472="","",IF(AE472=0,"OK",_xlfn.LET(fechaPago, Z472, fechaFactura, R472, diasCredito, IF(E472="Pago inmediato", 0, IFERROR(VALUE(MID(E472, 1, SEARCH(" ", E472)-1)),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72" s="79">
        <f>IF(AN472="","",IF(AND(N472&gt;0, AG472&gt;0), IF(Configuración!$K$2="NO", "ALERTA: DESCUENTO DOBLE NO PERMITIDO", "OK"), "OK"))</f>
        <v/>
      </c>
      <c r="AR472" s="79">
        <f>IF(AN472="","",IF(OR(AO472&lt;&gt;"OK", AP472&lt;&gt;"OK", AQ472&lt;&gt;"OK"), "⚠️ REVISAR", "OK"))</f>
        <v/>
      </c>
    </row>
    <row r="473">
      <c r="A473" s="79">
        <f>IF('Ordenes_Odoo'!A473="","",'Ordenes_Odoo'!A473)</f>
        <v/>
      </c>
      <c r="B473" s="80">
        <f>IF('Ordenes_Odoo'!B473="","",'Ordenes_Odoo'!B473)</f>
        <v/>
      </c>
      <c r="C473" s="79">
        <f>IF('Ordenes_Odoo'!C473="","",'Ordenes_Odoo'!C473)</f>
        <v/>
      </c>
      <c r="D473" s="79">
        <f>IF('Ordenes_Odoo'!D473="","",'Ordenes_Odoo'!D473)</f>
        <v/>
      </c>
      <c r="E473" s="79">
        <f>IF('Ordenes_Odoo'!E473="","",'Ordenes_Odoo'!E473)</f>
        <v/>
      </c>
      <c r="F473" s="79">
        <f>IF('Ordenes_Odoo'!F473="","",'Ordenes_Odoo'!F473)</f>
        <v/>
      </c>
      <c r="G473" s="79">
        <f>IF('Ordenes_Odoo'!G473="","",'Ordenes_Odoo'!G473)</f>
        <v/>
      </c>
      <c r="H473" s="79">
        <f>IF('Ordenes_Odoo'!H473="","",'Ordenes_Odoo'!H473)</f>
        <v/>
      </c>
      <c r="I473" s="79">
        <f>IF('Ordenes_Odoo'!I473="","",'Ordenes_Odoo'!I473)</f>
        <v/>
      </c>
      <c r="J473" s="79">
        <f>IF('Ordenes_Odoo'!J473="","",'Ordenes_Odoo'!J473)</f>
        <v/>
      </c>
      <c r="K473" s="81">
        <f>IF('Ordenes_Odoo'!K473="","",'Ordenes_Odoo'!K473)</f>
        <v/>
      </c>
      <c r="L473" s="81">
        <f>IF('Ordenes_Odoo'!L473="","",'Ordenes_Odoo'!L473)</f>
        <v/>
      </c>
      <c r="M473" s="79">
        <f>IF('Ordenes_Odoo'!M473="","",'Ordenes_Odoo'!M473)</f>
        <v/>
      </c>
      <c r="N473" s="79">
        <f>IF('Ordenes_Odoo'!N473="","",'Ordenes_Odoo'!N473)</f>
        <v/>
      </c>
      <c r="O473" s="81">
        <f>IF('Ordenes_Odoo'!O473="","",'Ordenes_Odoo'!O473)</f>
        <v/>
      </c>
      <c r="P473" s="81">
        <f>IF('Ordenes_Odoo'!P473="","",'Ordenes_Odoo'!P473)</f>
        <v/>
      </c>
      <c r="Q473" s="79">
        <f>IF(A473="","",IFERROR(INDEX(Facturas_Odoo!$B:$B, MATCH(A473, Facturas_Odoo!$D:$D, 0)), "Sin Factura"))</f>
        <v/>
      </c>
      <c r="R473" s="80">
        <f>IF(Q473="Sin Factura","",IFERROR(INDEX(Facturas_Odoo!$A:$A, MATCH(Q473, Facturas_Odoo!$B:$B, 0)), ""))</f>
        <v/>
      </c>
      <c r="S473" s="79">
        <f>IF(Q473="Sin Factura","",IFERROR(_xlfn.XLOOKUP(1, (Facturas_Odoo!$D:$D=A473) * (Facturas_Odoo!$K:$K=I473), Facturas_Odoo!$L:$L, ""), ""))</f>
        <v/>
      </c>
      <c r="T473" s="81">
        <f>IF(Q473="Sin Factura",0,IFERROR(_xlfn.XLOOKUP(1, (Facturas_Odoo!$D:$D=A473) * (Facturas_Odoo!$K:$K=I473), Facturas_Odoo!$M:$M, 0), 0))</f>
        <v/>
      </c>
      <c r="U473" s="79">
        <f>IF(Q473="Sin Factura",0,IFERROR(_xlfn.XLOOKUP(1, (Facturas_Odoo!$D:$D=A473) * (Facturas_Odoo!$K:$K=I473), Facturas_Odoo!$N:$N, 0), 0))</f>
        <v/>
      </c>
      <c r="V473" s="79">
        <f>IF(Q473="Sin Factura",0,IFERROR(_xlfn.XLOOKUP(1, (Facturas_Odoo!$D:$D=A473) * (Facturas_Odoo!$K:$K=I473), Facturas_Odoo!$O:$O, 0), 0))</f>
        <v/>
      </c>
      <c r="W473" s="81">
        <f>IF(Q473="Sin Factura",0,IFERROR(_xlfn.XLOOKUP(1, (Facturas_Odoo!$D:$D=A473) * (Facturas_Odoo!$K:$K=I473), Facturas_Odoo!$Q:$Q, 0), 0))</f>
        <v/>
      </c>
      <c r="X473" s="79">
        <f>IF(OR(Q473="Sin Factura",Q473=""),"",IFERROR(INDEX(Pagos_Odoo!$B:$B, MATCH(Q473, Pagos_Odoo!$I:$I, 0)), "Sin Pago"))</f>
        <v/>
      </c>
      <c r="Y473" s="79">
        <f>IF(X473="Sin Pago","",IFERROR(INDEX(Pagos_Odoo!$C:$C, MATCH(X473, Pagos_Odoo!$B:$B, 0)), ""))</f>
        <v/>
      </c>
      <c r="Z473" s="80">
        <f>IF(X473="Sin Pago","",IFERROR(INDEX(Pagos_Odoo!$A:$A, MATCH(X473, Pagos_Odoo!$B:$B, 0)), ""))</f>
        <v/>
      </c>
      <c r="AA473" s="79">
        <f>IF(X473="Sin Pago","",IFERROR(INDEX(Pagos_Odoo!$F:$F, MATCH(X473, Pagos_Odoo!$B:$B, 0)), ""))</f>
        <v/>
      </c>
      <c r="AB473" s="81">
        <f>IF(X473="Sin Pago",0,IFERROR(INDEX(Pagos_Odoo!$E:$E, MATCH(X473, Pagos_Odoo!$B:$B, 0)), 0))</f>
        <v/>
      </c>
      <c r="AC473" s="79">
        <f>IF(X473="Sin Pago","",IFERROR(INDEX(Pagos_Odoo!$G:$G, MATCH(X473, Pagos_Odoo!$B:$B, 0)), ""))</f>
        <v/>
      </c>
      <c r="AD473" s="82" t="n">
        <v>0</v>
      </c>
      <c r="AE473" s="82" t="n"/>
      <c r="AF473" s="82" t="n"/>
      <c r="AG473" s="82">
        <f>IF(AN473="","",AD473+AE473+AF473)</f>
        <v/>
      </c>
      <c r="AH473" s="81">
        <f>IF(AN473="","",P473*(1-AG473))</f>
        <v/>
      </c>
      <c r="AI473" s="81">
        <f>IF(AN473="","",IF(Q473="Sin Factura",0,IFERROR(INDEX(Facturas_Odoo!$H:$H, MATCH(Q473, Facturas_Odoo!$B:$B, 0)), 0)*(1-AG473)))</f>
        <v/>
      </c>
      <c r="AJ473" s="81">
        <f>IF(AN473="","",_xlfn.LET(idVenta, AN473&amp;"",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73" s="81">
        <f>IF(AN473="","",AH473-AJ473)</f>
        <v/>
      </c>
      <c r="AL473" s="81">
        <f>IF(AN473="","",IF(Q473="Sin Factura","",AI473-AJ473))</f>
        <v/>
      </c>
      <c r="AM473" s="81">
        <f>IF(AN473="","",IF(Q473="Sin Factura",0,P473-IFERROR(INDEX(Facturas_Odoo!$H:$H, MATCH(Q473, Facturas_Odoo!$B:$B, 0)), 0)))</f>
        <v/>
      </c>
      <c r="AN473" s="79">
        <f>IF(AND(A473="", J473=""), "", IF(A473&lt;&gt;"", VALUE(MID(A473,2,LEN(A473))), AN472))</f>
        <v/>
      </c>
      <c r="AO473" s="79">
        <f>IF(AN473="","",IF(AD473=0,"OK",_xlfn.LET(monedaPago, IF(AA473="","USD",AA473), limitePermitido, IFERROR(VLOOKUP(monedaPago, Configuración!$A$2:$B$3, 2, FALSE), 0.15), IF(AD473&gt;limitePermitido, "ALERTA: EXCESO (" &amp; TEXT(limitePermitido, "0%") &amp; " máx)", "OK"))))</f>
        <v/>
      </c>
      <c r="AP473" s="79">
        <f>IF(AN473="","",IF(AE473=0,"OK",_xlfn.LET(fechaPago, Z473, fechaFactura, R473, diasCredito, IF(E473="Pago inmediato", 0, IFERROR(VALUE(MID(E473, 1, SEARCH(" ", E473)-1)),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73" s="79">
        <f>IF(AN473="","",IF(AND(N473&gt;0, AG473&gt;0), IF(Configuración!$K$2="NO", "ALERTA: DESCUENTO DOBLE NO PERMITIDO", "OK"), "OK"))</f>
        <v/>
      </c>
      <c r="AR473" s="79">
        <f>IF(AN473="","",IF(OR(AO473&lt;&gt;"OK", AP473&lt;&gt;"OK", AQ473&lt;&gt;"OK"), "⚠️ REVISAR", "OK"))</f>
        <v/>
      </c>
    </row>
    <row r="474">
      <c r="A474" s="79">
        <f>IF('Ordenes_Odoo'!A474="","",'Ordenes_Odoo'!A474)</f>
        <v/>
      </c>
      <c r="B474" s="80">
        <f>IF('Ordenes_Odoo'!B474="","",'Ordenes_Odoo'!B474)</f>
        <v/>
      </c>
      <c r="C474" s="79">
        <f>IF('Ordenes_Odoo'!C474="","",'Ordenes_Odoo'!C474)</f>
        <v/>
      </c>
      <c r="D474" s="79">
        <f>IF('Ordenes_Odoo'!D474="","",'Ordenes_Odoo'!D474)</f>
        <v/>
      </c>
      <c r="E474" s="79">
        <f>IF('Ordenes_Odoo'!E474="","",'Ordenes_Odoo'!E474)</f>
        <v/>
      </c>
      <c r="F474" s="79">
        <f>IF('Ordenes_Odoo'!F474="","",'Ordenes_Odoo'!F474)</f>
        <v/>
      </c>
      <c r="G474" s="79">
        <f>IF('Ordenes_Odoo'!G474="","",'Ordenes_Odoo'!G474)</f>
        <v/>
      </c>
      <c r="H474" s="79">
        <f>IF('Ordenes_Odoo'!H474="","",'Ordenes_Odoo'!H474)</f>
        <v/>
      </c>
      <c r="I474" s="79">
        <f>IF('Ordenes_Odoo'!I474="","",'Ordenes_Odoo'!I474)</f>
        <v/>
      </c>
      <c r="J474" s="79">
        <f>IF('Ordenes_Odoo'!J474="","",'Ordenes_Odoo'!J474)</f>
        <v/>
      </c>
      <c r="K474" s="81">
        <f>IF('Ordenes_Odoo'!K474="","",'Ordenes_Odoo'!K474)</f>
        <v/>
      </c>
      <c r="L474" s="81">
        <f>IF('Ordenes_Odoo'!L474="","",'Ordenes_Odoo'!L474)</f>
        <v/>
      </c>
      <c r="M474" s="79">
        <f>IF('Ordenes_Odoo'!M474="","",'Ordenes_Odoo'!M474)</f>
        <v/>
      </c>
      <c r="N474" s="79">
        <f>IF('Ordenes_Odoo'!N474="","",'Ordenes_Odoo'!N474)</f>
        <v/>
      </c>
      <c r="O474" s="81">
        <f>IF('Ordenes_Odoo'!O474="","",'Ordenes_Odoo'!O474)</f>
        <v/>
      </c>
      <c r="P474" s="81">
        <f>IF('Ordenes_Odoo'!P474="","",'Ordenes_Odoo'!P474)</f>
        <v/>
      </c>
      <c r="Q474" s="79">
        <f>IF(A474="","",IFERROR(INDEX(Facturas_Odoo!$B:$B, MATCH(A474, Facturas_Odoo!$D:$D, 0)), "Sin Factura"))</f>
        <v/>
      </c>
      <c r="R474" s="80">
        <f>IF(Q474="Sin Factura","",IFERROR(INDEX(Facturas_Odoo!$A:$A, MATCH(Q474, Facturas_Odoo!$B:$B, 0)), ""))</f>
        <v/>
      </c>
      <c r="S474" s="79">
        <f>IF(Q474="Sin Factura","",IFERROR(_xlfn.XLOOKUP(1, (Facturas_Odoo!$D:$D=A474) * (Facturas_Odoo!$K:$K=I474), Facturas_Odoo!$L:$L, ""), ""))</f>
        <v/>
      </c>
      <c r="T474" s="81">
        <f>IF(Q474="Sin Factura",0,IFERROR(_xlfn.XLOOKUP(1, (Facturas_Odoo!$D:$D=A474) * (Facturas_Odoo!$K:$K=I474), Facturas_Odoo!$M:$M, 0), 0))</f>
        <v/>
      </c>
      <c r="U474" s="79">
        <f>IF(Q474="Sin Factura",0,IFERROR(_xlfn.XLOOKUP(1, (Facturas_Odoo!$D:$D=A474) * (Facturas_Odoo!$K:$K=I474), Facturas_Odoo!$N:$N, 0), 0))</f>
        <v/>
      </c>
      <c r="V474" s="79">
        <f>IF(Q474="Sin Factura",0,IFERROR(_xlfn.XLOOKUP(1, (Facturas_Odoo!$D:$D=A474) * (Facturas_Odoo!$K:$K=I474), Facturas_Odoo!$O:$O, 0), 0))</f>
        <v/>
      </c>
      <c r="W474" s="81">
        <f>IF(Q474="Sin Factura",0,IFERROR(_xlfn.XLOOKUP(1, (Facturas_Odoo!$D:$D=A474) * (Facturas_Odoo!$K:$K=I474), Facturas_Odoo!$Q:$Q, 0), 0))</f>
        <v/>
      </c>
      <c r="X474" s="79">
        <f>IF(OR(Q474="Sin Factura",Q474=""),"",IFERROR(INDEX(Pagos_Odoo!$B:$B, MATCH(Q474, Pagos_Odoo!$I:$I, 0)), "Sin Pago"))</f>
        <v/>
      </c>
      <c r="Y474" s="79">
        <f>IF(X474="Sin Pago","",IFERROR(INDEX(Pagos_Odoo!$C:$C, MATCH(X474, Pagos_Odoo!$B:$B, 0)), ""))</f>
        <v/>
      </c>
      <c r="Z474" s="80">
        <f>IF(X474="Sin Pago","",IFERROR(INDEX(Pagos_Odoo!$A:$A, MATCH(X474, Pagos_Odoo!$B:$B, 0)), ""))</f>
        <v/>
      </c>
      <c r="AA474" s="79">
        <f>IF(X474="Sin Pago","",IFERROR(INDEX(Pagos_Odoo!$F:$F, MATCH(X474, Pagos_Odoo!$B:$B, 0)), ""))</f>
        <v/>
      </c>
      <c r="AB474" s="81">
        <f>IF(X474="Sin Pago",0,IFERROR(INDEX(Pagos_Odoo!$E:$E, MATCH(X474, Pagos_Odoo!$B:$B, 0)), 0))</f>
        <v/>
      </c>
      <c r="AC474" s="79">
        <f>IF(X474="Sin Pago","",IFERROR(INDEX(Pagos_Odoo!$G:$G, MATCH(X474, Pagos_Odoo!$B:$B, 0)), ""))</f>
        <v/>
      </c>
      <c r="AD474" s="82" t="n">
        <v>0</v>
      </c>
      <c r="AE474" s="82" t="n"/>
      <c r="AF474" s="82" t="n"/>
      <c r="AG474" s="82">
        <f>IF(AN474="","",AD474+AE474+AF474)</f>
        <v/>
      </c>
      <c r="AH474" s="81">
        <f>IF(AN474="","",P474*(1-AG474))</f>
        <v/>
      </c>
      <c r="AI474" s="81">
        <f>IF(AN474="","",IF(Q474="Sin Factura",0,IFERROR(INDEX(Facturas_Odoo!$H:$H, MATCH(Q474, Facturas_Odoo!$B:$B, 0)), 0)*(1-AG474)))</f>
        <v/>
      </c>
      <c r="AJ474" s="81">
        <f>IF(AN474="","",_xlfn.LET(idVenta, AN474&amp;"",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74" s="81">
        <f>IF(AN474="","",AH474-AJ474)</f>
        <v/>
      </c>
      <c r="AL474" s="81">
        <f>IF(AN474="","",IF(Q474="Sin Factura","",AI474-AJ474))</f>
        <v/>
      </c>
      <c r="AM474" s="81">
        <f>IF(AN474="","",IF(Q474="Sin Factura",0,P474-IFERROR(INDEX(Facturas_Odoo!$H:$H, MATCH(Q474, Facturas_Odoo!$B:$B, 0)), 0)))</f>
        <v/>
      </c>
      <c r="AN474" s="79">
        <f>IF(AND(A474="", J474=""), "", IF(A474&lt;&gt;"", VALUE(MID(A474,2,LEN(A474))), AN473))</f>
        <v/>
      </c>
      <c r="AO474" s="79">
        <f>IF(AN474="","",IF(AD474=0,"OK",_xlfn.LET(monedaPago, IF(AA474="","USD",AA474), limitePermitido, IFERROR(VLOOKUP(monedaPago, Configuración!$A$2:$B$3, 2, FALSE), 0.15), IF(AD474&gt;limitePermitido, "ALERTA: EXCESO (" &amp; TEXT(limitePermitido, "0%") &amp; " máx)", "OK"))))</f>
        <v/>
      </c>
      <c r="AP474" s="79">
        <f>IF(AN474="","",IF(AE474=0,"OK",_xlfn.LET(fechaPago, Z474, fechaFactura, R474, diasCredito, IF(E474="Pago inmediato", 0, IFERROR(VALUE(MID(E474, 1, SEARCH(" ", E474)-1)),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74" s="79">
        <f>IF(AN474="","",IF(AND(N474&gt;0, AG474&gt;0), IF(Configuración!$K$2="NO", "ALERTA: DESCUENTO DOBLE NO PERMITIDO", "OK"), "OK"))</f>
        <v/>
      </c>
      <c r="AR474" s="79">
        <f>IF(AN474="","",IF(OR(AO474&lt;&gt;"OK", AP474&lt;&gt;"OK", AQ474&lt;&gt;"OK"), "⚠️ REVISAR", "OK"))</f>
        <v/>
      </c>
    </row>
    <row r="475">
      <c r="A475" s="79">
        <f>IF('Ordenes_Odoo'!A475="","",'Ordenes_Odoo'!A475)</f>
        <v/>
      </c>
      <c r="B475" s="80">
        <f>IF('Ordenes_Odoo'!B475="","",'Ordenes_Odoo'!B475)</f>
        <v/>
      </c>
      <c r="C475" s="79">
        <f>IF('Ordenes_Odoo'!C475="","",'Ordenes_Odoo'!C475)</f>
        <v/>
      </c>
      <c r="D475" s="79">
        <f>IF('Ordenes_Odoo'!D475="","",'Ordenes_Odoo'!D475)</f>
        <v/>
      </c>
      <c r="E475" s="79">
        <f>IF('Ordenes_Odoo'!E475="","",'Ordenes_Odoo'!E475)</f>
        <v/>
      </c>
      <c r="F475" s="79">
        <f>IF('Ordenes_Odoo'!F475="","",'Ordenes_Odoo'!F475)</f>
        <v/>
      </c>
      <c r="G475" s="79">
        <f>IF('Ordenes_Odoo'!G475="","",'Ordenes_Odoo'!G475)</f>
        <v/>
      </c>
      <c r="H475" s="79">
        <f>IF('Ordenes_Odoo'!H475="","",'Ordenes_Odoo'!H475)</f>
        <v/>
      </c>
      <c r="I475" s="79">
        <f>IF('Ordenes_Odoo'!I475="","",'Ordenes_Odoo'!I475)</f>
        <v/>
      </c>
      <c r="J475" s="79">
        <f>IF('Ordenes_Odoo'!J475="","",'Ordenes_Odoo'!J475)</f>
        <v/>
      </c>
      <c r="K475" s="81">
        <f>IF('Ordenes_Odoo'!K475="","",'Ordenes_Odoo'!K475)</f>
        <v/>
      </c>
      <c r="L475" s="81">
        <f>IF('Ordenes_Odoo'!L475="","",'Ordenes_Odoo'!L475)</f>
        <v/>
      </c>
      <c r="M475" s="79">
        <f>IF('Ordenes_Odoo'!M475="","",'Ordenes_Odoo'!M475)</f>
        <v/>
      </c>
      <c r="N475" s="79">
        <f>IF('Ordenes_Odoo'!N475="","",'Ordenes_Odoo'!N475)</f>
        <v/>
      </c>
      <c r="O475" s="81">
        <f>IF('Ordenes_Odoo'!O475="","",'Ordenes_Odoo'!O475)</f>
        <v/>
      </c>
      <c r="P475" s="81">
        <f>IF('Ordenes_Odoo'!P475="","",'Ordenes_Odoo'!P475)</f>
        <v/>
      </c>
      <c r="Q475" s="79">
        <f>IF(A475="","",IFERROR(INDEX(Facturas_Odoo!$B:$B, MATCH(A475, Facturas_Odoo!$D:$D, 0)), "Sin Factura"))</f>
        <v/>
      </c>
      <c r="R475" s="80">
        <f>IF(Q475="Sin Factura","",IFERROR(INDEX(Facturas_Odoo!$A:$A, MATCH(Q475, Facturas_Odoo!$B:$B, 0)), ""))</f>
        <v/>
      </c>
      <c r="S475" s="79">
        <f>IF(Q475="Sin Factura","",IFERROR(_xlfn.XLOOKUP(1, (Facturas_Odoo!$D:$D=A475) * (Facturas_Odoo!$K:$K=I475), Facturas_Odoo!$L:$L, ""), ""))</f>
        <v/>
      </c>
      <c r="T475" s="81">
        <f>IF(Q475="Sin Factura",0,IFERROR(_xlfn.XLOOKUP(1, (Facturas_Odoo!$D:$D=A475) * (Facturas_Odoo!$K:$K=I475), Facturas_Odoo!$M:$M, 0), 0))</f>
        <v/>
      </c>
      <c r="U475" s="79">
        <f>IF(Q475="Sin Factura",0,IFERROR(_xlfn.XLOOKUP(1, (Facturas_Odoo!$D:$D=A475) * (Facturas_Odoo!$K:$K=I475), Facturas_Odoo!$N:$N, 0), 0))</f>
        <v/>
      </c>
      <c r="V475" s="79">
        <f>IF(Q475="Sin Factura",0,IFERROR(_xlfn.XLOOKUP(1, (Facturas_Odoo!$D:$D=A475) * (Facturas_Odoo!$K:$K=I475), Facturas_Odoo!$O:$O, 0), 0))</f>
        <v/>
      </c>
      <c r="W475" s="81">
        <f>IF(Q475="Sin Factura",0,IFERROR(_xlfn.XLOOKUP(1, (Facturas_Odoo!$D:$D=A475) * (Facturas_Odoo!$K:$K=I475), Facturas_Odoo!$Q:$Q, 0), 0))</f>
        <v/>
      </c>
      <c r="X475" s="79">
        <f>IF(OR(Q475="Sin Factura",Q475=""),"",IFERROR(INDEX(Pagos_Odoo!$B:$B, MATCH(Q475, Pagos_Odoo!$I:$I, 0)), "Sin Pago"))</f>
        <v/>
      </c>
      <c r="Y475" s="79">
        <f>IF(X475="Sin Pago","",IFERROR(INDEX(Pagos_Odoo!$C:$C, MATCH(X475, Pagos_Odoo!$B:$B, 0)), ""))</f>
        <v/>
      </c>
      <c r="Z475" s="80">
        <f>IF(X475="Sin Pago","",IFERROR(INDEX(Pagos_Odoo!$A:$A, MATCH(X475, Pagos_Odoo!$B:$B, 0)), ""))</f>
        <v/>
      </c>
      <c r="AA475" s="79">
        <f>IF(X475="Sin Pago","",IFERROR(INDEX(Pagos_Odoo!$F:$F, MATCH(X475, Pagos_Odoo!$B:$B, 0)), ""))</f>
        <v/>
      </c>
      <c r="AB475" s="81">
        <f>IF(X475="Sin Pago",0,IFERROR(INDEX(Pagos_Odoo!$E:$E, MATCH(X475, Pagos_Odoo!$B:$B, 0)), 0))</f>
        <v/>
      </c>
      <c r="AC475" s="79">
        <f>IF(X475="Sin Pago","",IFERROR(INDEX(Pagos_Odoo!$G:$G, MATCH(X475, Pagos_Odoo!$B:$B, 0)), ""))</f>
        <v/>
      </c>
      <c r="AD475" s="82" t="n">
        <v>0</v>
      </c>
      <c r="AE475" s="82" t="n"/>
      <c r="AF475" s="82" t="n"/>
      <c r="AG475" s="82">
        <f>IF(AN475="","",AD475+AE475+AF475)</f>
        <v/>
      </c>
      <c r="AH475" s="81">
        <f>IF(AN475="","",P475*(1-AG475))</f>
        <v/>
      </c>
      <c r="AI475" s="81">
        <f>IF(AN475="","",IF(Q475="Sin Factura",0,IFERROR(INDEX(Facturas_Odoo!$H:$H, MATCH(Q475, Facturas_Odoo!$B:$B, 0)), 0)*(1-AG475)))</f>
        <v/>
      </c>
      <c r="AJ475" s="81">
        <f>IF(AN475="","",_xlfn.LET(idVenta, AN475&amp;"",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75" s="81">
        <f>IF(AN475="","",AH475-AJ475)</f>
        <v/>
      </c>
      <c r="AL475" s="81">
        <f>IF(AN475="","",IF(Q475="Sin Factura","",AI475-AJ475))</f>
        <v/>
      </c>
      <c r="AM475" s="81">
        <f>IF(AN475="","",IF(Q475="Sin Factura",0,P475-IFERROR(INDEX(Facturas_Odoo!$H:$H, MATCH(Q475, Facturas_Odoo!$B:$B, 0)), 0)))</f>
        <v/>
      </c>
      <c r="AN475" s="79">
        <f>IF(AND(A475="", J475=""), "", IF(A475&lt;&gt;"", VALUE(MID(A475,2,LEN(A475))), AN474))</f>
        <v/>
      </c>
      <c r="AO475" s="79">
        <f>IF(AN475="","",IF(AD475=0,"OK",_xlfn.LET(monedaPago, IF(AA475="","USD",AA475), limitePermitido, IFERROR(VLOOKUP(monedaPago, Configuración!$A$2:$B$3, 2, FALSE), 0.15), IF(AD475&gt;limitePermitido, "ALERTA: EXCESO (" &amp; TEXT(limitePermitido, "0%") &amp; " máx)", "OK"))))</f>
        <v/>
      </c>
      <c r="AP475" s="79">
        <f>IF(AN475="","",IF(AE475=0,"OK",_xlfn.LET(fechaPago, Z475, fechaFactura, R475, diasCredito, IF(E475="Pago inmediato", 0, IFERROR(VALUE(MID(E475, 1, SEARCH(" ", E475)-1)),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75" s="79">
        <f>IF(AN475="","",IF(AND(N475&gt;0, AG475&gt;0), IF(Configuración!$K$2="NO", "ALERTA: DESCUENTO DOBLE NO PERMITIDO", "OK"), "OK"))</f>
        <v/>
      </c>
      <c r="AR475" s="79">
        <f>IF(AN475="","",IF(OR(AO475&lt;&gt;"OK", AP475&lt;&gt;"OK", AQ475&lt;&gt;"OK"), "⚠️ REVISAR", "OK"))</f>
        <v/>
      </c>
    </row>
    <row r="476">
      <c r="A476" s="79">
        <f>IF('Ordenes_Odoo'!A476="","",'Ordenes_Odoo'!A476)</f>
        <v/>
      </c>
      <c r="B476" s="80">
        <f>IF('Ordenes_Odoo'!B476="","",'Ordenes_Odoo'!B476)</f>
        <v/>
      </c>
      <c r="C476" s="79">
        <f>IF('Ordenes_Odoo'!C476="","",'Ordenes_Odoo'!C476)</f>
        <v/>
      </c>
      <c r="D476" s="79">
        <f>IF('Ordenes_Odoo'!D476="","",'Ordenes_Odoo'!D476)</f>
        <v/>
      </c>
      <c r="E476" s="79">
        <f>IF('Ordenes_Odoo'!E476="","",'Ordenes_Odoo'!E476)</f>
        <v/>
      </c>
      <c r="F476" s="79">
        <f>IF('Ordenes_Odoo'!F476="","",'Ordenes_Odoo'!F476)</f>
        <v/>
      </c>
      <c r="G476" s="79">
        <f>IF('Ordenes_Odoo'!G476="","",'Ordenes_Odoo'!G476)</f>
        <v/>
      </c>
      <c r="H476" s="79">
        <f>IF('Ordenes_Odoo'!H476="","",'Ordenes_Odoo'!H476)</f>
        <v/>
      </c>
      <c r="I476" s="79">
        <f>IF('Ordenes_Odoo'!I476="","",'Ordenes_Odoo'!I476)</f>
        <v/>
      </c>
      <c r="J476" s="79">
        <f>IF('Ordenes_Odoo'!J476="","",'Ordenes_Odoo'!J476)</f>
        <v/>
      </c>
      <c r="K476" s="81">
        <f>IF('Ordenes_Odoo'!K476="","",'Ordenes_Odoo'!K476)</f>
        <v/>
      </c>
      <c r="L476" s="81">
        <f>IF('Ordenes_Odoo'!L476="","",'Ordenes_Odoo'!L476)</f>
        <v/>
      </c>
      <c r="M476" s="79">
        <f>IF('Ordenes_Odoo'!M476="","",'Ordenes_Odoo'!M476)</f>
        <v/>
      </c>
      <c r="N476" s="79">
        <f>IF('Ordenes_Odoo'!N476="","",'Ordenes_Odoo'!N476)</f>
        <v/>
      </c>
      <c r="O476" s="81">
        <f>IF('Ordenes_Odoo'!O476="","",'Ordenes_Odoo'!O476)</f>
        <v/>
      </c>
      <c r="P476" s="81">
        <f>IF('Ordenes_Odoo'!P476="","",'Ordenes_Odoo'!P476)</f>
        <v/>
      </c>
      <c r="Q476" s="79">
        <f>IF(A476="","",IFERROR(INDEX(Facturas_Odoo!$B:$B, MATCH(A476, Facturas_Odoo!$D:$D, 0)), "Sin Factura"))</f>
        <v/>
      </c>
      <c r="R476" s="80">
        <f>IF(Q476="Sin Factura","",IFERROR(INDEX(Facturas_Odoo!$A:$A, MATCH(Q476, Facturas_Odoo!$B:$B, 0)), ""))</f>
        <v/>
      </c>
      <c r="S476" s="79">
        <f>IF(Q476="Sin Factura","",IFERROR(_xlfn.XLOOKUP(1, (Facturas_Odoo!$D:$D=A476) * (Facturas_Odoo!$K:$K=I476), Facturas_Odoo!$L:$L, ""), ""))</f>
        <v/>
      </c>
      <c r="T476" s="81">
        <f>IF(Q476="Sin Factura",0,IFERROR(_xlfn.XLOOKUP(1, (Facturas_Odoo!$D:$D=A476) * (Facturas_Odoo!$K:$K=I476), Facturas_Odoo!$M:$M, 0), 0))</f>
        <v/>
      </c>
      <c r="U476" s="79">
        <f>IF(Q476="Sin Factura",0,IFERROR(_xlfn.XLOOKUP(1, (Facturas_Odoo!$D:$D=A476) * (Facturas_Odoo!$K:$K=I476), Facturas_Odoo!$N:$N, 0), 0))</f>
        <v/>
      </c>
      <c r="V476" s="79">
        <f>IF(Q476="Sin Factura",0,IFERROR(_xlfn.XLOOKUP(1, (Facturas_Odoo!$D:$D=A476) * (Facturas_Odoo!$K:$K=I476), Facturas_Odoo!$O:$O, 0), 0))</f>
        <v/>
      </c>
      <c r="W476" s="81">
        <f>IF(Q476="Sin Factura",0,IFERROR(_xlfn.XLOOKUP(1, (Facturas_Odoo!$D:$D=A476) * (Facturas_Odoo!$K:$K=I476), Facturas_Odoo!$Q:$Q, 0), 0))</f>
        <v/>
      </c>
      <c r="X476" s="79">
        <f>IF(OR(Q476="Sin Factura",Q476=""),"",IFERROR(INDEX(Pagos_Odoo!$B:$B, MATCH(Q476, Pagos_Odoo!$I:$I, 0)), "Sin Pago"))</f>
        <v/>
      </c>
      <c r="Y476" s="79">
        <f>IF(X476="Sin Pago","",IFERROR(INDEX(Pagos_Odoo!$C:$C, MATCH(X476, Pagos_Odoo!$B:$B, 0)), ""))</f>
        <v/>
      </c>
      <c r="Z476" s="80">
        <f>IF(X476="Sin Pago","",IFERROR(INDEX(Pagos_Odoo!$A:$A, MATCH(X476, Pagos_Odoo!$B:$B, 0)), ""))</f>
        <v/>
      </c>
      <c r="AA476" s="79">
        <f>IF(X476="Sin Pago","",IFERROR(INDEX(Pagos_Odoo!$F:$F, MATCH(X476, Pagos_Odoo!$B:$B, 0)), ""))</f>
        <v/>
      </c>
      <c r="AB476" s="81">
        <f>IF(X476="Sin Pago",0,IFERROR(INDEX(Pagos_Odoo!$E:$E, MATCH(X476, Pagos_Odoo!$B:$B, 0)), 0))</f>
        <v/>
      </c>
      <c r="AC476" s="79">
        <f>IF(X476="Sin Pago","",IFERROR(INDEX(Pagos_Odoo!$G:$G, MATCH(X476, Pagos_Odoo!$B:$B, 0)), ""))</f>
        <v/>
      </c>
      <c r="AD476" s="82" t="n">
        <v>0</v>
      </c>
      <c r="AE476" s="82" t="n"/>
      <c r="AF476" s="82" t="n"/>
      <c r="AG476" s="82">
        <f>IF(AN476="","",AD476+AE476+AF476)</f>
        <v/>
      </c>
      <c r="AH476" s="81">
        <f>IF(AN476="","",P476*(1-AG476))</f>
        <v/>
      </c>
      <c r="AI476" s="81">
        <f>IF(AN476="","",IF(Q476="Sin Factura",0,IFERROR(INDEX(Facturas_Odoo!$H:$H, MATCH(Q476, Facturas_Odoo!$B:$B, 0)), 0)*(1-AG476)))</f>
        <v/>
      </c>
      <c r="AJ476" s="81">
        <f>IF(AN476="","",_xlfn.LET(idVenta, AN476&amp;"",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76" s="81">
        <f>IF(AN476="","",AH476-AJ476)</f>
        <v/>
      </c>
      <c r="AL476" s="81">
        <f>IF(AN476="","",IF(Q476="Sin Factura","",AI476-AJ476))</f>
        <v/>
      </c>
      <c r="AM476" s="81">
        <f>IF(AN476="","",IF(Q476="Sin Factura",0,P476-IFERROR(INDEX(Facturas_Odoo!$H:$H, MATCH(Q476, Facturas_Odoo!$B:$B, 0)), 0)))</f>
        <v/>
      </c>
      <c r="AN476" s="79">
        <f>IF(AND(A476="", J476=""), "", IF(A476&lt;&gt;"", VALUE(MID(A476,2,LEN(A476))), AN475))</f>
        <v/>
      </c>
      <c r="AO476" s="79">
        <f>IF(AN476="","",IF(AD476=0,"OK",_xlfn.LET(monedaPago, IF(AA476="","USD",AA476), limitePermitido, IFERROR(VLOOKUP(monedaPago, Configuración!$A$2:$B$3, 2, FALSE), 0.15), IF(AD476&gt;limitePermitido, "ALERTA: EXCESO (" &amp; TEXT(limitePermitido, "0%") &amp; " máx)", "OK"))))</f>
        <v/>
      </c>
      <c r="AP476" s="79">
        <f>IF(AN476="","",IF(AE476=0,"OK",_xlfn.LET(fechaPago, Z476, fechaFactura, R476, diasCredito, IF(E476="Pago inmediato", 0, IFERROR(VALUE(MID(E476, 1, SEARCH(" ", E476)-1)),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76" s="79">
        <f>IF(AN476="","",IF(AND(N476&gt;0, AG476&gt;0), IF(Configuración!$K$2="NO", "ALERTA: DESCUENTO DOBLE NO PERMITIDO", "OK"), "OK"))</f>
        <v/>
      </c>
      <c r="AR476" s="79">
        <f>IF(AN476="","",IF(OR(AO476&lt;&gt;"OK", AP476&lt;&gt;"OK", AQ476&lt;&gt;"OK"), "⚠️ REVISAR", "OK"))</f>
        <v/>
      </c>
    </row>
    <row r="477">
      <c r="A477" s="79">
        <f>IF('Ordenes_Odoo'!A477="","",'Ordenes_Odoo'!A477)</f>
        <v/>
      </c>
      <c r="B477" s="80">
        <f>IF('Ordenes_Odoo'!B477="","",'Ordenes_Odoo'!B477)</f>
        <v/>
      </c>
      <c r="C477" s="79">
        <f>IF('Ordenes_Odoo'!C477="","",'Ordenes_Odoo'!C477)</f>
        <v/>
      </c>
      <c r="D477" s="79">
        <f>IF('Ordenes_Odoo'!D477="","",'Ordenes_Odoo'!D477)</f>
        <v/>
      </c>
      <c r="E477" s="79">
        <f>IF('Ordenes_Odoo'!E477="","",'Ordenes_Odoo'!E477)</f>
        <v/>
      </c>
      <c r="F477" s="79">
        <f>IF('Ordenes_Odoo'!F477="","",'Ordenes_Odoo'!F477)</f>
        <v/>
      </c>
      <c r="G477" s="79">
        <f>IF('Ordenes_Odoo'!G477="","",'Ordenes_Odoo'!G477)</f>
        <v/>
      </c>
      <c r="H477" s="79">
        <f>IF('Ordenes_Odoo'!H477="","",'Ordenes_Odoo'!H477)</f>
        <v/>
      </c>
      <c r="I477" s="79">
        <f>IF('Ordenes_Odoo'!I477="","",'Ordenes_Odoo'!I477)</f>
        <v/>
      </c>
      <c r="J477" s="79">
        <f>IF('Ordenes_Odoo'!J477="","",'Ordenes_Odoo'!J477)</f>
        <v/>
      </c>
      <c r="K477" s="81">
        <f>IF('Ordenes_Odoo'!K477="","",'Ordenes_Odoo'!K477)</f>
        <v/>
      </c>
      <c r="L477" s="81">
        <f>IF('Ordenes_Odoo'!L477="","",'Ordenes_Odoo'!L477)</f>
        <v/>
      </c>
      <c r="M477" s="79">
        <f>IF('Ordenes_Odoo'!M477="","",'Ordenes_Odoo'!M477)</f>
        <v/>
      </c>
      <c r="N477" s="79">
        <f>IF('Ordenes_Odoo'!N477="","",'Ordenes_Odoo'!N477)</f>
        <v/>
      </c>
      <c r="O477" s="81">
        <f>IF('Ordenes_Odoo'!O477="","",'Ordenes_Odoo'!O477)</f>
        <v/>
      </c>
      <c r="P477" s="81">
        <f>IF('Ordenes_Odoo'!P477="","",'Ordenes_Odoo'!P477)</f>
        <v/>
      </c>
      <c r="Q477" s="79">
        <f>IF(A477="","",IFERROR(INDEX(Facturas_Odoo!$B:$B, MATCH(A477, Facturas_Odoo!$D:$D, 0)), "Sin Factura"))</f>
        <v/>
      </c>
      <c r="R477" s="80">
        <f>IF(Q477="Sin Factura","",IFERROR(INDEX(Facturas_Odoo!$A:$A, MATCH(Q477, Facturas_Odoo!$B:$B, 0)), ""))</f>
        <v/>
      </c>
      <c r="S477" s="79">
        <f>IF(Q477="Sin Factura","",IFERROR(_xlfn.XLOOKUP(1, (Facturas_Odoo!$D:$D=A477) * (Facturas_Odoo!$K:$K=I477), Facturas_Odoo!$L:$L, ""), ""))</f>
        <v/>
      </c>
      <c r="T477" s="81">
        <f>IF(Q477="Sin Factura",0,IFERROR(_xlfn.XLOOKUP(1, (Facturas_Odoo!$D:$D=A477) * (Facturas_Odoo!$K:$K=I477), Facturas_Odoo!$M:$M, 0), 0))</f>
        <v/>
      </c>
      <c r="U477" s="79">
        <f>IF(Q477="Sin Factura",0,IFERROR(_xlfn.XLOOKUP(1, (Facturas_Odoo!$D:$D=A477) * (Facturas_Odoo!$K:$K=I477), Facturas_Odoo!$N:$N, 0), 0))</f>
        <v/>
      </c>
      <c r="V477" s="79">
        <f>IF(Q477="Sin Factura",0,IFERROR(_xlfn.XLOOKUP(1, (Facturas_Odoo!$D:$D=A477) * (Facturas_Odoo!$K:$K=I477), Facturas_Odoo!$O:$O, 0), 0))</f>
        <v/>
      </c>
      <c r="W477" s="81">
        <f>IF(Q477="Sin Factura",0,IFERROR(_xlfn.XLOOKUP(1, (Facturas_Odoo!$D:$D=A477) * (Facturas_Odoo!$K:$K=I477), Facturas_Odoo!$Q:$Q, 0), 0))</f>
        <v/>
      </c>
      <c r="X477" s="79">
        <f>IF(OR(Q477="Sin Factura",Q477=""),"",IFERROR(INDEX(Pagos_Odoo!$B:$B, MATCH(Q477, Pagos_Odoo!$I:$I, 0)), "Sin Pago"))</f>
        <v/>
      </c>
      <c r="Y477" s="79">
        <f>IF(X477="Sin Pago","",IFERROR(INDEX(Pagos_Odoo!$C:$C, MATCH(X477, Pagos_Odoo!$B:$B, 0)), ""))</f>
        <v/>
      </c>
      <c r="Z477" s="80">
        <f>IF(X477="Sin Pago","",IFERROR(INDEX(Pagos_Odoo!$A:$A, MATCH(X477, Pagos_Odoo!$B:$B, 0)), ""))</f>
        <v/>
      </c>
      <c r="AA477" s="79">
        <f>IF(X477="Sin Pago","",IFERROR(INDEX(Pagos_Odoo!$F:$F, MATCH(X477, Pagos_Odoo!$B:$B, 0)), ""))</f>
        <v/>
      </c>
      <c r="AB477" s="81">
        <f>IF(X477="Sin Pago",0,IFERROR(INDEX(Pagos_Odoo!$E:$E, MATCH(X477, Pagos_Odoo!$B:$B, 0)), 0))</f>
        <v/>
      </c>
      <c r="AC477" s="79">
        <f>IF(X477="Sin Pago","",IFERROR(INDEX(Pagos_Odoo!$G:$G, MATCH(X477, Pagos_Odoo!$B:$B, 0)), ""))</f>
        <v/>
      </c>
      <c r="AD477" s="82" t="n">
        <v>0</v>
      </c>
      <c r="AE477" s="82" t="n"/>
      <c r="AF477" s="82" t="n"/>
      <c r="AG477" s="82">
        <f>IF(AN477="","",AD477+AE477+AF477)</f>
        <v/>
      </c>
      <c r="AH477" s="81">
        <f>IF(AN477="","",P477*(1-AG477))</f>
        <v/>
      </c>
      <c r="AI477" s="81">
        <f>IF(AN477="","",IF(Q477="Sin Factura",0,IFERROR(INDEX(Facturas_Odoo!$H:$H, MATCH(Q477, Facturas_Odoo!$B:$B, 0)), 0)*(1-AG477)))</f>
        <v/>
      </c>
      <c r="AJ477" s="81">
        <f>IF(AN477="","",_xlfn.LET(idVenta, AN477&amp;"",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77" s="81">
        <f>IF(AN477="","",AH477-AJ477)</f>
        <v/>
      </c>
      <c r="AL477" s="81">
        <f>IF(AN477="","",IF(Q477="Sin Factura","",AI477-AJ477))</f>
        <v/>
      </c>
      <c r="AM477" s="81">
        <f>IF(AN477="","",IF(Q477="Sin Factura",0,P477-IFERROR(INDEX(Facturas_Odoo!$H:$H, MATCH(Q477, Facturas_Odoo!$B:$B, 0)), 0)))</f>
        <v/>
      </c>
      <c r="AN477" s="79">
        <f>IF(AND(A477="", J477=""), "", IF(A477&lt;&gt;"", VALUE(MID(A477,2,LEN(A477))), AN476))</f>
        <v/>
      </c>
      <c r="AO477" s="79">
        <f>IF(AN477="","",IF(AD477=0,"OK",_xlfn.LET(monedaPago, IF(AA477="","USD",AA477), limitePermitido, IFERROR(VLOOKUP(monedaPago, Configuración!$A$2:$B$3, 2, FALSE), 0.15), IF(AD477&gt;limitePermitido, "ALERTA: EXCESO (" &amp; TEXT(limitePermitido, "0%") &amp; " máx)", "OK"))))</f>
        <v/>
      </c>
      <c r="AP477" s="79">
        <f>IF(AN477="","",IF(AE477=0,"OK",_xlfn.LET(fechaPago, Z477, fechaFactura, R477, diasCredito, IF(E477="Pago inmediato", 0, IFERROR(VALUE(MID(E477, 1, SEARCH(" ", E477)-1)),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77" s="79">
        <f>IF(AN477="","",IF(AND(N477&gt;0, AG477&gt;0), IF(Configuración!$K$2="NO", "ALERTA: DESCUENTO DOBLE NO PERMITIDO", "OK"), "OK"))</f>
        <v/>
      </c>
      <c r="AR477" s="79">
        <f>IF(AN477="","",IF(OR(AO477&lt;&gt;"OK", AP477&lt;&gt;"OK", AQ477&lt;&gt;"OK"), "⚠️ REVISAR", "OK"))</f>
        <v/>
      </c>
    </row>
    <row r="478">
      <c r="A478" s="79">
        <f>IF('Ordenes_Odoo'!A478="","",'Ordenes_Odoo'!A478)</f>
        <v/>
      </c>
      <c r="B478" s="80">
        <f>IF('Ordenes_Odoo'!B478="","",'Ordenes_Odoo'!B478)</f>
        <v/>
      </c>
      <c r="C478" s="79">
        <f>IF('Ordenes_Odoo'!C478="","",'Ordenes_Odoo'!C478)</f>
        <v/>
      </c>
      <c r="D478" s="79">
        <f>IF('Ordenes_Odoo'!D478="","",'Ordenes_Odoo'!D478)</f>
        <v/>
      </c>
      <c r="E478" s="79">
        <f>IF('Ordenes_Odoo'!E478="","",'Ordenes_Odoo'!E478)</f>
        <v/>
      </c>
      <c r="F478" s="79">
        <f>IF('Ordenes_Odoo'!F478="","",'Ordenes_Odoo'!F478)</f>
        <v/>
      </c>
      <c r="G478" s="79">
        <f>IF('Ordenes_Odoo'!G478="","",'Ordenes_Odoo'!G478)</f>
        <v/>
      </c>
      <c r="H478" s="79">
        <f>IF('Ordenes_Odoo'!H478="","",'Ordenes_Odoo'!H478)</f>
        <v/>
      </c>
      <c r="I478" s="79">
        <f>IF('Ordenes_Odoo'!I478="","",'Ordenes_Odoo'!I478)</f>
        <v/>
      </c>
      <c r="J478" s="79">
        <f>IF('Ordenes_Odoo'!J478="","",'Ordenes_Odoo'!J478)</f>
        <v/>
      </c>
      <c r="K478" s="81">
        <f>IF('Ordenes_Odoo'!K478="","",'Ordenes_Odoo'!K478)</f>
        <v/>
      </c>
      <c r="L478" s="81">
        <f>IF('Ordenes_Odoo'!L478="","",'Ordenes_Odoo'!L478)</f>
        <v/>
      </c>
      <c r="M478" s="79">
        <f>IF('Ordenes_Odoo'!M478="","",'Ordenes_Odoo'!M478)</f>
        <v/>
      </c>
      <c r="N478" s="79">
        <f>IF('Ordenes_Odoo'!N478="","",'Ordenes_Odoo'!N478)</f>
        <v/>
      </c>
      <c r="O478" s="81">
        <f>IF('Ordenes_Odoo'!O478="","",'Ordenes_Odoo'!O478)</f>
        <v/>
      </c>
      <c r="P478" s="81">
        <f>IF('Ordenes_Odoo'!P478="","",'Ordenes_Odoo'!P478)</f>
        <v/>
      </c>
      <c r="Q478" s="79">
        <f>IF(A478="","",IFERROR(INDEX(Facturas_Odoo!$B:$B, MATCH(A478, Facturas_Odoo!$D:$D, 0)), "Sin Factura"))</f>
        <v/>
      </c>
      <c r="R478" s="80">
        <f>IF(Q478="Sin Factura","",IFERROR(INDEX(Facturas_Odoo!$A:$A, MATCH(Q478, Facturas_Odoo!$B:$B, 0)), ""))</f>
        <v/>
      </c>
      <c r="S478" s="79">
        <f>IF(Q478="Sin Factura","",IFERROR(_xlfn.XLOOKUP(1, (Facturas_Odoo!$D:$D=A478) * (Facturas_Odoo!$K:$K=I478), Facturas_Odoo!$L:$L, ""), ""))</f>
        <v/>
      </c>
      <c r="T478" s="81">
        <f>IF(Q478="Sin Factura",0,IFERROR(_xlfn.XLOOKUP(1, (Facturas_Odoo!$D:$D=A478) * (Facturas_Odoo!$K:$K=I478), Facturas_Odoo!$M:$M, 0), 0))</f>
        <v/>
      </c>
      <c r="U478" s="79">
        <f>IF(Q478="Sin Factura",0,IFERROR(_xlfn.XLOOKUP(1, (Facturas_Odoo!$D:$D=A478) * (Facturas_Odoo!$K:$K=I478), Facturas_Odoo!$N:$N, 0), 0))</f>
        <v/>
      </c>
      <c r="V478" s="79">
        <f>IF(Q478="Sin Factura",0,IFERROR(_xlfn.XLOOKUP(1, (Facturas_Odoo!$D:$D=A478) * (Facturas_Odoo!$K:$K=I478), Facturas_Odoo!$O:$O, 0), 0))</f>
        <v/>
      </c>
      <c r="W478" s="81">
        <f>IF(Q478="Sin Factura",0,IFERROR(_xlfn.XLOOKUP(1, (Facturas_Odoo!$D:$D=A478) * (Facturas_Odoo!$K:$K=I478), Facturas_Odoo!$Q:$Q, 0), 0))</f>
        <v/>
      </c>
      <c r="X478" s="79">
        <f>IF(OR(Q478="Sin Factura",Q478=""),"",IFERROR(INDEX(Pagos_Odoo!$B:$B, MATCH(Q478, Pagos_Odoo!$I:$I, 0)), "Sin Pago"))</f>
        <v/>
      </c>
      <c r="Y478" s="79">
        <f>IF(X478="Sin Pago","",IFERROR(INDEX(Pagos_Odoo!$C:$C, MATCH(X478, Pagos_Odoo!$B:$B, 0)), ""))</f>
        <v/>
      </c>
      <c r="Z478" s="80">
        <f>IF(X478="Sin Pago","",IFERROR(INDEX(Pagos_Odoo!$A:$A, MATCH(X478, Pagos_Odoo!$B:$B, 0)), ""))</f>
        <v/>
      </c>
      <c r="AA478" s="79">
        <f>IF(X478="Sin Pago","",IFERROR(INDEX(Pagos_Odoo!$F:$F, MATCH(X478, Pagos_Odoo!$B:$B, 0)), ""))</f>
        <v/>
      </c>
      <c r="AB478" s="81">
        <f>IF(X478="Sin Pago",0,IFERROR(INDEX(Pagos_Odoo!$E:$E, MATCH(X478, Pagos_Odoo!$B:$B, 0)), 0))</f>
        <v/>
      </c>
      <c r="AC478" s="79">
        <f>IF(X478="Sin Pago","",IFERROR(INDEX(Pagos_Odoo!$G:$G, MATCH(X478, Pagos_Odoo!$B:$B, 0)), ""))</f>
        <v/>
      </c>
      <c r="AD478" s="82" t="n">
        <v>0</v>
      </c>
      <c r="AE478" s="82" t="n"/>
      <c r="AF478" s="82" t="n"/>
      <c r="AG478" s="82">
        <f>IF(AN478="","",AD478+AE478+AF478)</f>
        <v/>
      </c>
      <c r="AH478" s="81">
        <f>IF(AN478="","",P478*(1-AG478))</f>
        <v/>
      </c>
      <c r="AI478" s="81">
        <f>IF(AN478="","",IF(Q478="Sin Factura",0,IFERROR(INDEX(Facturas_Odoo!$H:$H, MATCH(Q478, Facturas_Odoo!$B:$B, 0)), 0)*(1-AG478)))</f>
        <v/>
      </c>
      <c r="AJ478" s="81">
        <f>IF(AN478="","",_xlfn.LET(idVenta, AN478&amp;"",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78" s="81">
        <f>IF(AN478="","",AH478-AJ478)</f>
        <v/>
      </c>
      <c r="AL478" s="81">
        <f>IF(AN478="","",IF(Q478="Sin Factura","",AI478-AJ478))</f>
        <v/>
      </c>
      <c r="AM478" s="81">
        <f>IF(AN478="","",IF(Q478="Sin Factura",0,P478-IFERROR(INDEX(Facturas_Odoo!$H:$H, MATCH(Q478, Facturas_Odoo!$B:$B, 0)), 0)))</f>
        <v/>
      </c>
      <c r="AN478" s="79">
        <f>IF(AND(A478="", J478=""), "", IF(A478&lt;&gt;"", VALUE(MID(A478,2,LEN(A478))), AN477))</f>
        <v/>
      </c>
      <c r="AO478" s="79">
        <f>IF(AN478="","",IF(AD478=0,"OK",_xlfn.LET(monedaPago, IF(AA478="","USD",AA478), limitePermitido, IFERROR(VLOOKUP(monedaPago, Configuración!$A$2:$B$3, 2, FALSE), 0.15), IF(AD478&gt;limitePermitido, "ALERTA: EXCESO (" &amp; TEXT(limitePermitido, "0%") &amp; " máx)", "OK"))))</f>
        <v/>
      </c>
      <c r="AP478" s="79">
        <f>IF(AN478="","",IF(AE478=0,"OK",_xlfn.LET(fechaPago, Z478, fechaFactura, R478, diasCredito, IF(E478="Pago inmediato", 0, IFERROR(VALUE(MID(E478, 1, SEARCH(" ", E478)-1)),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78" s="79">
        <f>IF(AN478="","",IF(AND(N478&gt;0, AG478&gt;0), IF(Configuración!$K$2="NO", "ALERTA: DESCUENTO DOBLE NO PERMITIDO", "OK"), "OK"))</f>
        <v/>
      </c>
      <c r="AR478" s="79">
        <f>IF(AN478="","",IF(OR(AO478&lt;&gt;"OK", AP478&lt;&gt;"OK", AQ478&lt;&gt;"OK"), "⚠️ REVISAR", "OK"))</f>
        <v/>
      </c>
    </row>
    <row r="479">
      <c r="A479" s="79">
        <f>IF('Ordenes_Odoo'!A479="","",'Ordenes_Odoo'!A479)</f>
        <v/>
      </c>
      <c r="B479" s="80">
        <f>IF('Ordenes_Odoo'!B479="","",'Ordenes_Odoo'!B479)</f>
        <v/>
      </c>
      <c r="C479" s="79">
        <f>IF('Ordenes_Odoo'!C479="","",'Ordenes_Odoo'!C479)</f>
        <v/>
      </c>
      <c r="D479" s="79">
        <f>IF('Ordenes_Odoo'!D479="","",'Ordenes_Odoo'!D479)</f>
        <v/>
      </c>
      <c r="E479" s="79">
        <f>IF('Ordenes_Odoo'!E479="","",'Ordenes_Odoo'!E479)</f>
        <v/>
      </c>
      <c r="F479" s="79">
        <f>IF('Ordenes_Odoo'!F479="","",'Ordenes_Odoo'!F479)</f>
        <v/>
      </c>
      <c r="G479" s="79">
        <f>IF('Ordenes_Odoo'!G479="","",'Ordenes_Odoo'!G479)</f>
        <v/>
      </c>
      <c r="H479" s="79">
        <f>IF('Ordenes_Odoo'!H479="","",'Ordenes_Odoo'!H479)</f>
        <v/>
      </c>
      <c r="I479" s="79">
        <f>IF('Ordenes_Odoo'!I479="","",'Ordenes_Odoo'!I479)</f>
        <v/>
      </c>
      <c r="J479" s="79">
        <f>IF('Ordenes_Odoo'!J479="","",'Ordenes_Odoo'!J479)</f>
        <v/>
      </c>
      <c r="K479" s="81">
        <f>IF('Ordenes_Odoo'!K479="","",'Ordenes_Odoo'!K479)</f>
        <v/>
      </c>
      <c r="L479" s="81">
        <f>IF('Ordenes_Odoo'!L479="","",'Ordenes_Odoo'!L479)</f>
        <v/>
      </c>
      <c r="M479" s="79">
        <f>IF('Ordenes_Odoo'!M479="","",'Ordenes_Odoo'!M479)</f>
        <v/>
      </c>
      <c r="N479" s="79">
        <f>IF('Ordenes_Odoo'!N479="","",'Ordenes_Odoo'!N479)</f>
        <v/>
      </c>
      <c r="O479" s="81">
        <f>IF('Ordenes_Odoo'!O479="","",'Ordenes_Odoo'!O479)</f>
        <v/>
      </c>
      <c r="P479" s="81">
        <f>IF('Ordenes_Odoo'!P479="","",'Ordenes_Odoo'!P479)</f>
        <v/>
      </c>
      <c r="Q479" s="79">
        <f>IF(A479="","",IFERROR(INDEX(Facturas_Odoo!$B:$B, MATCH(A479, Facturas_Odoo!$D:$D, 0)), "Sin Factura"))</f>
        <v/>
      </c>
      <c r="R479" s="80">
        <f>IF(Q479="Sin Factura","",IFERROR(INDEX(Facturas_Odoo!$A:$A, MATCH(Q479, Facturas_Odoo!$B:$B, 0)), ""))</f>
        <v/>
      </c>
      <c r="S479" s="79">
        <f>IF(Q479="Sin Factura","",IFERROR(_xlfn.XLOOKUP(1, (Facturas_Odoo!$D:$D=A479) * (Facturas_Odoo!$K:$K=I479), Facturas_Odoo!$L:$L, ""), ""))</f>
        <v/>
      </c>
      <c r="T479" s="81">
        <f>IF(Q479="Sin Factura",0,IFERROR(_xlfn.XLOOKUP(1, (Facturas_Odoo!$D:$D=A479) * (Facturas_Odoo!$K:$K=I479), Facturas_Odoo!$M:$M, 0), 0))</f>
        <v/>
      </c>
      <c r="U479" s="79">
        <f>IF(Q479="Sin Factura",0,IFERROR(_xlfn.XLOOKUP(1, (Facturas_Odoo!$D:$D=A479) * (Facturas_Odoo!$K:$K=I479), Facturas_Odoo!$N:$N, 0), 0))</f>
        <v/>
      </c>
      <c r="V479" s="79">
        <f>IF(Q479="Sin Factura",0,IFERROR(_xlfn.XLOOKUP(1, (Facturas_Odoo!$D:$D=A479) * (Facturas_Odoo!$K:$K=I479), Facturas_Odoo!$O:$O, 0), 0))</f>
        <v/>
      </c>
      <c r="W479" s="81">
        <f>IF(Q479="Sin Factura",0,IFERROR(_xlfn.XLOOKUP(1, (Facturas_Odoo!$D:$D=A479) * (Facturas_Odoo!$K:$K=I479), Facturas_Odoo!$Q:$Q, 0), 0))</f>
        <v/>
      </c>
      <c r="X479" s="79">
        <f>IF(OR(Q479="Sin Factura",Q479=""),"",IFERROR(INDEX(Pagos_Odoo!$B:$B, MATCH(Q479, Pagos_Odoo!$I:$I, 0)), "Sin Pago"))</f>
        <v/>
      </c>
      <c r="Y479" s="79">
        <f>IF(X479="Sin Pago","",IFERROR(INDEX(Pagos_Odoo!$C:$C, MATCH(X479, Pagos_Odoo!$B:$B, 0)), ""))</f>
        <v/>
      </c>
      <c r="Z479" s="80">
        <f>IF(X479="Sin Pago","",IFERROR(INDEX(Pagos_Odoo!$A:$A, MATCH(X479, Pagos_Odoo!$B:$B, 0)), ""))</f>
        <v/>
      </c>
      <c r="AA479" s="79">
        <f>IF(X479="Sin Pago","",IFERROR(INDEX(Pagos_Odoo!$F:$F, MATCH(X479, Pagos_Odoo!$B:$B, 0)), ""))</f>
        <v/>
      </c>
      <c r="AB479" s="81">
        <f>IF(X479="Sin Pago",0,IFERROR(INDEX(Pagos_Odoo!$E:$E, MATCH(X479, Pagos_Odoo!$B:$B, 0)), 0))</f>
        <v/>
      </c>
      <c r="AC479" s="79">
        <f>IF(X479="Sin Pago","",IFERROR(INDEX(Pagos_Odoo!$G:$G, MATCH(X479, Pagos_Odoo!$B:$B, 0)), ""))</f>
        <v/>
      </c>
      <c r="AD479" s="82" t="n">
        <v>0</v>
      </c>
      <c r="AE479" s="82" t="n"/>
      <c r="AF479" s="82" t="n"/>
      <c r="AG479" s="82">
        <f>IF(AN479="","",AD479+AE479+AF479)</f>
        <v/>
      </c>
      <c r="AH479" s="81">
        <f>IF(AN479="","",P479*(1-AG479))</f>
        <v/>
      </c>
      <c r="AI479" s="81">
        <f>IF(AN479="","",IF(Q479="Sin Factura",0,IFERROR(INDEX(Facturas_Odoo!$H:$H, MATCH(Q479, Facturas_Odoo!$B:$B, 0)), 0)*(1-AG479)))</f>
        <v/>
      </c>
      <c r="AJ479" s="81">
        <f>IF(AN479="","",_xlfn.LET(idVenta, AN479&amp;"",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79" s="81">
        <f>IF(AN479="","",AH479-AJ479)</f>
        <v/>
      </c>
      <c r="AL479" s="81">
        <f>IF(AN479="","",IF(Q479="Sin Factura","",AI479-AJ479))</f>
        <v/>
      </c>
      <c r="AM479" s="81">
        <f>IF(AN479="","",IF(Q479="Sin Factura",0,P479-IFERROR(INDEX(Facturas_Odoo!$H:$H, MATCH(Q479, Facturas_Odoo!$B:$B, 0)), 0)))</f>
        <v/>
      </c>
      <c r="AN479" s="79">
        <f>IF(AND(A479="", J479=""), "", IF(A479&lt;&gt;"", VALUE(MID(A479,2,LEN(A479))), AN478))</f>
        <v/>
      </c>
      <c r="AO479" s="79">
        <f>IF(AN479="","",IF(AD479=0,"OK",_xlfn.LET(monedaPago, IF(AA479="","USD",AA479), limitePermitido, IFERROR(VLOOKUP(monedaPago, Configuración!$A$2:$B$3, 2, FALSE), 0.15), IF(AD479&gt;limitePermitido, "ALERTA: EXCESO (" &amp; TEXT(limitePermitido, "0%") &amp; " máx)", "OK"))))</f>
        <v/>
      </c>
      <c r="AP479" s="79">
        <f>IF(AN479="","",IF(AE479=0,"OK",_xlfn.LET(fechaPago, Z479, fechaFactura, R479, diasCredito, IF(E479="Pago inmediato", 0, IFERROR(VALUE(MID(E479, 1, SEARCH(" ", E479)-1)),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79" s="79">
        <f>IF(AN479="","",IF(AND(N479&gt;0, AG479&gt;0), IF(Configuración!$K$2="NO", "ALERTA: DESCUENTO DOBLE NO PERMITIDO", "OK"), "OK"))</f>
        <v/>
      </c>
      <c r="AR479" s="79">
        <f>IF(AN479="","",IF(OR(AO479&lt;&gt;"OK", AP479&lt;&gt;"OK", AQ479&lt;&gt;"OK"), "⚠️ REVISAR", "OK"))</f>
        <v/>
      </c>
    </row>
    <row r="480">
      <c r="A480" s="79">
        <f>IF('Ordenes_Odoo'!A480="","",'Ordenes_Odoo'!A480)</f>
        <v/>
      </c>
      <c r="B480" s="80">
        <f>IF('Ordenes_Odoo'!B480="","",'Ordenes_Odoo'!B480)</f>
        <v/>
      </c>
      <c r="C480" s="79">
        <f>IF('Ordenes_Odoo'!C480="","",'Ordenes_Odoo'!C480)</f>
        <v/>
      </c>
      <c r="D480" s="79">
        <f>IF('Ordenes_Odoo'!D480="","",'Ordenes_Odoo'!D480)</f>
        <v/>
      </c>
      <c r="E480" s="79">
        <f>IF('Ordenes_Odoo'!E480="","",'Ordenes_Odoo'!E480)</f>
        <v/>
      </c>
      <c r="F480" s="79">
        <f>IF('Ordenes_Odoo'!F480="","",'Ordenes_Odoo'!F480)</f>
        <v/>
      </c>
      <c r="G480" s="79">
        <f>IF('Ordenes_Odoo'!G480="","",'Ordenes_Odoo'!G480)</f>
        <v/>
      </c>
      <c r="H480" s="79">
        <f>IF('Ordenes_Odoo'!H480="","",'Ordenes_Odoo'!H480)</f>
        <v/>
      </c>
      <c r="I480" s="79">
        <f>IF('Ordenes_Odoo'!I480="","",'Ordenes_Odoo'!I480)</f>
        <v/>
      </c>
      <c r="J480" s="79">
        <f>IF('Ordenes_Odoo'!J480="","",'Ordenes_Odoo'!J480)</f>
        <v/>
      </c>
      <c r="K480" s="81">
        <f>IF('Ordenes_Odoo'!K480="","",'Ordenes_Odoo'!K480)</f>
        <v/>
      </c>
      <c r="L480" s="81">
        <f>IF('Ordenes_Odoo'!L480="","",'Ordenes_Odoo'!L480)</f>
        <v/>
      </c>
      <c r="M480" s="79">
        <f>IF('Ordenes_Odoo'!M480="","",'Ordenes_Odoo'!M480)</f>
        <v/>
      </c>
      <c r="N480" s="79">
        <f>IF('Ordenes_Odoo'!N480="","",'Ordenes_Odoo'!N480)</f>
        <v/>
      </c>
      <c r="O480" s="81">
        <f>IF('Ordenes_Odoo'!O480="","",'Ordenes_Odoo'!O480)</f>
        <v/>
      </c>
      <c r="P480" s="81">
        <f>IF('Ordenes_Odoo'!P480="","",'Ordenes_Odoo'!P480)</f>
        <v/>
      </c>
      <c r="Q480" s="79">
        <f>IF(A480="","",IFERROR(INDEX(Facturas_Odoo!$B:$B, MATCH(A480, Facturas_Odoo!$D:$D, 0)), "Sin Factura"))</f>
        <v/>
      </c>
      <c r="R480" s="80">
        <f>IF(Q480="Sin Factura","",IFERROR(INDEX(Facturas_Odoo!$A:$A, MATCH(Q480, Facturas_Odoo!$B:$B, 0)), ""))</f>
        <v/>
      </c>
      <c r="S480" s="79">
        <f>IF(Q480="Sin Factura","",IFERROR(_xlfn.XLOOKUP(1, (Facturas_Odoo!$D:$D=A480) * (Facturas_Odoo!$K:$K=I480), Facturas_Odoo!$L:$L, ""), ""))</f>
        <v/>
      </c>
      <c r="T480" s="81">
        <f>IF(Q480="Sin Factura",0,IFERROR(_xlfn.XLOOKUP(1, (Facturas_Odoo!$D:$D=A480) * (Facturas_Odoo!$K:$K=I480), Facturas_Odoo!$M:$M, 0), 0))</f>
        <v/>
      </c>
      <c r="U480" s="79">
        <f>IF(Q480="Sin Factura",0,IFERROR(_xlfn.XLOOKUP(1, (Facturas_Odoo!$D:$D=A480) * (Facturas_Odoo!$K:$K=I480), Facturas_Odoo!$N:$N, 0), 0))</f>
        <v/>
      </c>
      <c r="V480" s="79">
        <f>IF(Q480="Sin Factura",0,IFERROR(_xlfn.XLOOKUP(1, (Facturas_Odoo!$D:$D=A480) * (Facturas_Odoo!$K:$K=I480), Facturas_Odoo!$O:$O, 0), 0))</f>
        <v/>
      </c>
      <c r="W480" s="81">
        <f>IF(Q480="Sin Factura",0,IFERROR(_xlfn.XLOOKUP(1, (Facturas_Odoo!$D:$D=A480) * (Facturas_Odoo!$K:$K=I480), Facturas_Odoo!$Q:$Q, 0), 0))</f>
        <v/>
      </c>
      <c r="X480" s="79">
        <f>IF(OR(Q480="Sin Factura",Q480=""),"",IFERROR(INDEX(Pagos_Odoo!$B:$B, MATCH(Q480, Pagos_Odoo!$I:$I, 0)), "Sin Pago"))</f>
        <v/>
      </c>
      <c r="Y480" s="79">
        <f>IF(X480="Sin Pago","",IFERROR(INDEX(Pagos_Odoo!$C:$C, MATCH(X480, Pagos_Odoo!$B:$B, 0)), ""))</f>
        <v/>
      </c>
      <c r="Z480" s="80">
        <f>IF(X480="Sin Pago","",IFERROR(INDEX(Pagos_Odoo!$A:$A, MATCH(X480, Pagos_Odoo!$B:$B, 0)), ""))</f>
        <v/>
      </c>
      <c r="AA480" s="79">
        <f>IF(X480="Sin Pago","",IFERROR(INDEX(Pagos_Odoo!$F:$F, MATCH(X480, Pagos_Odoo!$B:$B, 0)), ""))</f>
        <v/>
      </c>
      <c r="AB480" s="81">
        <f>IF(X480="Sin Pago",0,IFERROR(INDEX(Pagos_Odoo!$E:$E, MATCH(X480, Pagos_Odoo!$B:$B, 0)), 0))</f>
        <v/>
      </c>
      <c r="AC480" s="79">
        <f>IF(X480="Sin Pago","",IFERROR(INDEX(Pagos_Odoo!$G:$G, MATCH(X480, Pagos_Odoo!$B:$B, 0)), ""))</f>
        <v/>
      </c>
      <c r="AD480" s="82" t="n">
        <v>0</v>
      </c>
      <c r="AE480" s="82" t="n"/>
      <c r="AF480" s="82" t="n"/>
      <c r="AG480" s="82">
        <f>IF(AN480="","",AD480+AE480+AF480)</f>
        <v/>
      </c>
      <c r="AH480" s="81">
        <f>IF(AN480="","",P480*(1-AG480))</f>
        <v/>
      </c>
      <c r="AI480" s="81">
        <f>IF(AN480="","",IF(Q480="Sin Factura",0,IFERROR(INDEX(Facturas_Odoo!$H:$H, MATCH(Q480, Facturas_Odoo!$B:$B, 0)), 0)*(1-AG480)))</f>
        <v/>
      </c>
      <c r="AJ480" s="81">
        <f>IF(AN480="","",_xlfn.LET(idVenta, AN480&amp;"",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80" s="81">
        <f>IF(AN480="","",AH480-AJ480)</f>
        <v/>
      </c>
      <c r="AL480" s="81">
        <f>IF(AN480="","",IF(Q480="Sin Factura","",AI480-AJ480))</f>
        <v/>
      </c>
      <c r="AM480" s="81">
        <f>IF(AN480="","",IF(Q480="Sin Factura",0,P480-IFERROR(INDEX(Facturas_Odoo!$H:$H, MATCH(Q480, Facturas_Odoo!$B:$B, 0)), 0)))</f>
        <v/>
      </c>
      <c r="AN480" s="79">
        <f>IF(AND(A480="", J480=""), "", IF(A480&lt;&gt;"", VALUE(MID(A480,2,LEN(A480))), AN479))</f>
        <v/>
      </c>
      <c r="AO480" s="79">
        <f>IF(AN480="","",IF(AD480=0,"OK",_xlfn.LET(monedaPago, IF(AA480="","USD",AA480), limitePermitido, IFERROR(VLOOKUP(monedaPago, Configuración!$A$2:$B$3, 2, FALSE), 0.15), IF(AD480&gt;limitePermitido, "ALERTA: EXCESO (" &amp; TEXT(limitePermitido, "0%") &amp; " máx)", "OK"))))</f>
        <v/>
      </c>
      <c r="AP480" s="79">
        <f>IF(AN480="","",IF(AE480=0,"OK",_xlfn.LET(fechaPago, Z480, fechaFactura, R480, diasCredito, IF(E480="Pago inmediato", 0, IFERROR(VALUE(MID(E480, 1, SEARCH(" ", E480)-1)),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80" s="79">
        <f>IF(AN480="","",IF(AND(N480&gt;0, AG480&gt;0), IF(Configuración!$K$2="NO", "ALERTA: DESCUENTO DOBLE NO PERMITIDO", "OK"), "OK"))</f>
        <v/>
      </c>
      <c r="AR480" s="79">
        <f>IF(AN480="","",IF(OR(AO480&lt;&gt;"OK", AP480&lt;&gt;"OK", AQ480&lt;&gt;"OK"), "⚠️ REVISAR", "OK"))</f>
        <v/>
      </c>
    </row>
    <row r="481">
      <c r="A481" s="79">
        <f>IF('Ordenes_Odoo'!A481="","",'Ordenes_Odoo'!A481)</f>
        <v/>
      </c>
      <c r="B481" s="80">
        <f>IF('Ordenes_Odoo'!B481="","",'Ordenes_Odoo'!B481)</f>
        <v/>
      </c>
      <c r="C481" s="79">
        <f>IF('Ordenes_Odoo'!C481="","",'Ordenes_Odoo'!C481)</f>
        <v/>
      </c>
      <c r="D481" s="79">
        <f>IF('Ordenes_Odoo'!D481="","",'Ordenes_Odoo'!D481)</f>
        <v/>
      </c>
      <c r="E481" s="79">
        <f>IF('Ordenes_Odoo'!E481="","",'Ordenes_Odoo'!E481)</f>
        <v/>
      </c>
      <c r="F481" s="79">
        <f>IF('Ordenes_Odoo'!F481="","",'Ordenes_Odoo'!F481)</f>
        <v/>
      </c>
      <c r="G481" s="79">
        <f>IF('Ordenes_Odoo'!G481="","",'Ordenes_Odoo'!G481)</f>
        <v/>
      </c>
      <c r="H481" s="79">
        <f>IF('Ordenes_Odoo'!H481="","",'Ordenes_Odoo'!H481)</f>
        <v/>
      </c>
      <c r="I481" s="79">
        <f>IF('Ordenes_Odoo'!I481="","",'Ordenes_Odoo'!I481)</f>
        <v/>
      </c>
      <c r="J481" s="79">
        <f>IF('Ordenes_Odoo'!J481="","",'Ordenes_Odoo'!J481)</f>
        <v/>
      </c>
      <c r="K481" s="81">
        <f>IF('Ordenes_Odoo'!K481="","",'Ordenes_Odoo'!K481)</f>
        <v/>
      </c>
      <c r="L481" s="81">
        <f>IF('Ordenes_Odoo'!L481="","",'Ordenes_Odoo'!L481)</f>
        <v/>
      </c>
      <c r="M481" s="79">
        <f>IF('Ordenes_Odoo'!M481="","",'Ordenes_Odoo'!M481)</f>
        <v/>
      </c>
      <c r="N481" s="79">
        <f>IF('Ordenes_Odoo'!N481="","",'Ordenes_Odoo'!N481)</f>
        <v/>
      </c>
      <c r="O481" s="81">
        <f>IF('Ordenes_Odoo'!O481="","",'Ordenes_Odoo'!O481)</f>
        <v/>
      </c>
      <c r="P481" s="81">
        <f>IF('Ordenes_Odoo'!P481="","",'Ordenes_Odoo'!P481)</f>
        <v/>
      </c>
      <c r="Q481" s="79">
        <f>IF(A481="","",IFERROR(INDEX(Facturas_Odoo!$B:$B, MATCH(A481, Facturas_Odoo!$D:$D, 0)), "Sin Factura"))</f>
        <v/>
      </c>
      <c r="R481" s="80">
        <f>IF(Q481="Sin Factura","",IFERROR(INDEX(Facturas_Odoo!$A:$A, MATCH(Q481, Facturas_Odoo!$B:$B, 0)), ""))</f>
        <v/>
      </c>
      <c r="S481" s="79">
        <f>IF(Q481="Sin Factura","",IFERROR(_xlfn.XLOOKUP(1, (Facturas_Odoo!$D:$D=A481) * (Facturas_Odoo!$K:$K=I481), Facturas_Odoo!$L:$L, ""), ""))</f>
        <v/>
      </c>
      <c r="T481" s="81">
        <f>IF(Q481="Sin Factura",0,IFERROR(_xlfn.XLOOKUP(1, (Facturas_Odoo!$D:$D=A481) * (Facturas_Odoo!$K:$K=I481), Facturas_Odoo!$M:$M, 0), 0))</f>
        <v/>
      </c>
      <c r="U481" s="79">
        <f>IF(Q481="Sin Factura",0,IFERROR(_xlfn.XLOOKUP(1, (Facturas_Odoo!$D:$D=A481) * (Facturas_Odoo!$K:$K=I481), Facturas_Odoo!$N:$N, 0), 0))</f>
        <v/>
      </c>
      <c r="V481" s="79">
        <f>IF(Q481="Sin Factura",0,IFERROR(_xlfn.XLOOKUP(1, (Facturas_Odoo!$D:$D=A481) * (Facturas_Odoo!$K:$K=I481), Facturas_Odoo!$O:$O, 0), 0))</f>
        <v/>
      </c>
      <c r="W481" s="81">
        <f>IF(Q481="Sin Factura",0,IFERROR(_xlfn.XLOOKUP(1, (Facturas_Odoo!$D:$D=A481) * (Facturas_Odoo!$K:$K=I481), Facturas_Odoo!$Q:$Q, 0), 0))</f>
        <v/>
      </c>
      <c r="X481" s="79">
        <f>IF(OR(Q481="Sin Factura",Q481=""),"",IFERROR(INDEX(Pagos_Odoo!$B:$B, MATCH(Q481, Pagos_Odoo!$I:$I, 0)), "Sin Pago"))</f>
        <v/>
      </c>
      <c r="Y481" s="79">
        <f>IF(X481="Sin Pago","",IFERROR(INDEX(Pagos_Odoo!$C:$C, MATCH(X481, Pagos_Odoo!$B:$B, 0)), ""))</f>
        <v/>
      </c>
      <c r="Z481" s="80">
        <f>IF(X481="Sin Pago","",IFERROR(INDEX(Pagos_Odoo!$A:$A, MATCH(X481, Pagos_Odoo!$B:$B, 0)), ""))</f>
        <v/>
      </c>
      <c r="AA481" s="79">
        <f>IF(X481="Sin Pago","",IFERROR(INDEX(Pagos_Odoo!$F:$F, MATCH(X481, Pagos_Odoo!$B:$B, 0)), ""))</f>
        <v/>
      </c>
      <c r="AB481" s="81">
        <f>IF(X481="Sin Pago",0,IFERROR(INDEX(Pagos_Odoo!$E:$E, MATCH(X481, Pagos_Odoo!$B:$B, 0)), 0))</f>
        <v/>
      </c>
      <c r="AC481" s="79">
        <f>IF(X481="Sin Pago","",IFERROR(INDEX(Pagos_Odoo!$G:$G, MATCH(X481, Pagos_Odoo!$B:$B, 0)), ""))</f>
        <v/>
      </c>
      <c r="AD481" s="82" t="n">
        <v>0</v>
      </c>
      <c r="AE481" s="82" t="n"/>
      <c r="AF481" s="82" t="n"/>
      <c r="AG481" s="82">
        <f>IF(AN481="","",AD481+AE481+AF481)</f>
        <v/>
      </c>
      <c r="AH481" s="81">
        <f>IF(AN481="","",P481*(1-AG481))</f>
        <v/>
      </c>
      <c r="AI481" s="81">
        <f>IF(AN481="","",IF(Q481="Sin Factura",0,IFERROR(INDEX(Facturas_Odoo!$H:$H, MATCH(Q481, Facturas_Odoo!$B:$B, 0)), 0)*(1-AG481)))</f>
        <v/>
      </c>
      <c r="AJ481" s="81">
        <f>IF(AN481="","",_xlfn.LET(idVenta, AN481&amp;"",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81" s="81">
        <f>IF(AN481="","",AH481-AJ481)</f>
        <v/>
      </c>
      <c r="AL481" s="81">
        <f>IF(AN481="","",IF(Q481="Sin Factura","",AI481-AJ481))</f>
        <v/>
      </c>
      <c r="AM481" s="81">
        <f>IF(AN481="","",IF(Q481="Sin Factura",0,P481-IFERROR(INDEX(Facturas_Odoo!$H:$H, MATCH(Q481, Facturas_Odoo!$B:$B, 0)), 0)))</f>
        <v/>
      </c>
      <c r="AN481" s="79">
        <f>IF(AND(A481="", J481=""), "", IF(A481&lt;&gt;"", VALUE(MID(A481,2,LEN(A481))), AN480))</f>
        <v/>
      </c>
      <c r="AO481" s="79">
        <f>IF(AN481="","",IF(AD481=0,"OK",_xlfn.LET(monedaPago, IF(AA481="","USD",AA481), limitePermitido, IFERROR(VLOOKUP(monedaPago, Configuración!$A$2:$B$3, 2, FALSE), 0.15), IF(AD481&gt;limitePermitido, "ALERTA: EXCESO (" &amp; TEXT(limitePermitido, "0%") &amp; " máx)", "OK"))))</f>
        <v/>
      </c>
      <c r="AP481" s="79">
        <f>IF(AN481="","",IF(AE481=0,"OK",_xlfn.LET(fechaPago, Z481, fechaFactura, R481, diasCredito, IF(E481="Pago inmediato", 0, IFERROR(VALUE(MID(E481, 1, SEARCH(" ", E481)-1)),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81" s="79">
        <f>IF(AN481="","",IF(AND(N481&gt;0, AG481&gt;0), IF(Configuración!$K$2="NO", "ALERTA: DESCUENTO DOBLE NO PERMITIDO", "OK"), "OK"))</f>
        <v/>
      </c>
      <c r="AR481" s="79">
        <f>IF(AN481="","",IF(OR(AO481&lt;&gt;"OK", AP481&lt;&gt;"OK", AQ481&lt;&gt;"OK"), "⚠️ REVISAR", "OK"))</f>
        <v/>
      </c>
    </row>
    <row r="482">
      <c r="A482" s="79">
        <f>IF('Ordenes_Odoo'!A482="","",'Ordenes_Odoo'!A482)</f>
        <v/>
      </c>
      <c r="B482" s="80">
        <f>IF('Ordenes_Odoo'!B482="","",'Ordenes_Odoo'!B482)</f>
        <v/>
      </c>
      <c r="C482" s="79">
        <f>IF('Ordenes_Odoo'!C482="","",'Ordenes_Odoo'!C482)</f>
        <v/>
      </c>
      <c r="D482" s="79">
        <f>IF('Ordenes_Odoo'!D482="","",'Ordenes_Odoo'!D482)</f>
        <v/>
      </c>
      <c r="E482" s="79">
        <f>IF('Ordenes_Odoo'!E482="","",'Ordenes_Odoo'!E482)</f>
        <v/>
      </c>
      <c r="F482" s="79">
        <f>IF('Ordenes_Odoo'!F482="","",'Ordenes_Odoo'!F482)</f>
        <v/>
      </c>
      <c r="G482" s="79">
        <f>IF('Ordenes_Odoo'!G482="","",'Ordenes_Odoo'!G482)</f>
        <v/>
      </c>
      <c r="H482" s="79">
        <f>IF('Ordenes_Odoo'!H482="","",'Ordenes_Odoo'!H482)</f>
        <v/>
      </c>
      <c r="I482" s="79">
        <f>IF('Ordenes_Odoo'!I482="","",'Ordenes_Odoo'!I482)</f>
        <v/>
      </c>
      <c r="J482" s="79">
        <f>IF('Ordenes_Odoo'!J482="","",'Ordenes_Odoo'!J482)</f>
        <v/>
      </c>
      <c r="K482" s="81">
        <f>IF('Ordenes_Odoo'!K482="","",'Ordenes_Odoo'!K482)</f>
        <v/>
      </c>
      <c r="L482" s="81">
        <f>IF('Ordenes_Odoo'!L482="","",'Ordenes_Odoo'!L482)</f>
        <v/>
      </c>
      <c r="M482" s="79">
        <f>IF('Ordenes_Odoo'!M482="","",'Ordenes_Odoo'!M482)</f>
        <v/>
      </c>
      <c r="N482" s="79">
        <f>IF('Ordenes_Odoo'!N482="","",'Ordenes_Odoo'!N482)</f>
        <v/>
      </c>
      <c r="O482" s="81">
        <f>IF('Ordenes_Odoo'!O482="","",'Ordenes_Odoo'!O482)</f>
        <v/>
      </c>
      <c r="P482" s="81">
        <f>IF('Ordenes_Odoo'!P482="","",'Ordenes_Odoo'!P482)</f>
        <v/>
      </c>
      <c r="Q482" s="79">
        <f>IF(A482="","",IFERROR(INDEX(Facturas_Odoo!$B:$B, MATCH(A482, Facturas_Odoo!$D:$D, 0)), "Sin Factura"))</f>
        <v/>
      </c>
      <c r="R482" s="80">
        <f>IF(Q482="Sin Factura","",IFERROR(INDEX(Facturas_Odoo!$A:$A, MATCH(Q482, Facturas_Odoo!$B:$B, 0)), ""))</f>
        <v/>
      </c>
      <c r="S482" s="79">
        <f>IF(Q482="Sin Factura","",IFERROR(_xlfn.XLOOKUP(1, (Facturas_Odoo!$D:$D=A482) * (Facturas_Odoo!$K:$K=I482), Facturas_Odoo!$L:$L, ""), ""))</f>
        <v/>
      </c>
      <c r="T482" s="81">
        <f>IF(Q482="Sin Factura",0,IFERROR(_xlfn.XLOOKUP(1, (Facturas_Odoo!$D:$D=A482) * (Facturas_Odoo!$K:$K=I482), Facturas_Odoo!$M:$M, 0), 0))</f>
        <v/>
      </c>
      <c r="U482" s="79">
        <f>IF(Q482="Sin Factura",0,IFERROR(_xlfn.XLOOKUP(1, (Facturas_Odoo!$D:$D=A482) * (Facturas_Odoo!$K:$K=I482), Facturas_Odoo!$N:$N, 0), 0))</f>
        <v/>
      </c>
      <c r="V482" s="79">
        <f>IF(Q482="Sin Factura",0,IFERROR(_xlfn.XLOOKUP(1, (Facturas_Odoo!$D:$D=A482) * (Facturas_Odoo!$K:$K=I482), Facturas_Odoo!$O:$O, 0), 0))</f>
        <v/>
      </c>
      <c r="W482" s="81">
        <f>IF(Q482="Sin Factura",0,IFERROR(_xlfn.XLOOKUP(1, (Facturas_Odoo!$D:$D=A482) * (Facturas_Odoo!$K:$K=I482), Facturas_Odoo!$Q:$Q, 0), 0))</f>
        <v/>
      </c>
      <c r="X482" s="79">
        <f>IF(OR(Q482="Sin Factura",Q482=""),"",IFERROR(INDEX(Pagos_Odoo!$B:$B, MATCH(Q482, Pagos_Odoo!$I:$I, 0)), "Sin Pago"))</f>
        <v/>
      </c>
      <c r="Y482" s="79">
        <f>IF(X482="Sin Pago","",IFERROR(INDEX(Pagos_Odoo!$C:$C, MATCH(X482, Pagos_Odoo!$B:$B, 0)), ""))</f>
        <v/>
      </c>
      <c r="Z482" s="80">
        <f>IF(X482="Sin Pago","",IFERROR(INDEX(Pagos_Odoo!$A:$A, MATCH(X482, Pagos_Odoo!$B:$B, 0)), ""))</f>
        <v/>
      </c>
      <c r="AA482" s="79">
        <f>IF(X482="Sin Pago","",IFERROR(INDEX(Pagos_Odoo!$F:$F, MATCH(X482, Pagos_Odoo!$B:$B, 0)), ""))</f>
        <v/>
      </c>
      <c r="AB482" s="81">
        <f>IF(X482="Sin Pago",0,IFERROR(INDEX(Pagos_Odoo!$E:$E, MATCH(X482, Pagos_Odoo!$B:$B, 0)), 0))</f>
        <v/>
      </c>
      <c r="AC482" s="79">
        <f>IF(X482="Sin Pago","",IFERROR(INDEX(Pagos_Odoo!$G:$G, MATCH(X482, Pagos_Odoo!$B:$B, 0)), ""))</f>
        <v/>
      </c>
      <c r="AD482" s="82" t="n">
        <v>0</v>
      </c>
      <c r="AE482" s="82" t="n"/>
      <c r="AF482" s="82" t="n"/>
      <c r="AG482" s="82">
        <f>IF(AN482="","",AD482+AE482+AF482)</f>
        <v/>
      </c>
      <c r="AH482" s="81">
        <f>IF(AN482="","",P482*(1-AG482))</f>
        <v/>
      </c>
      <c r="AI482" s="81">
        <f>IF(AN482="","",IF(Q482="Sin Factura",0,IFERROR(INDEX(Facturas_Odoo!$H:$H, MATCH(Q482, Facturas_Odoo!$B:$B, 0)), 0)*(1-AG482)))</f>
        <v/>
      </c>
      <c r="AJ482" s="81">
        <f>IF(AN482="","",_xlfn.LET(idVenta, AN482&amp;"",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82" s="81">
        <f>IF(AN482="","",AH482-AJ482)</f>
        <v/>
      </c>
      <c r="AL482" s="81">
        <f>IF(AN482="","",IF(Q482="Sin Factura","",AI482-AJ482))</f>
        <v/>
      </c>
      <c r="AM482" s="81">
        <f>IF(AN482="","",IF(Q482="Sin Factura",0,P482-IFERROR(INDEX(Facturas_Odoo!$H:$H, MATCH(Q482, Facturas_Odoo!$B:$B, 0)), 0)))</f>
        <v/>
      </c>
      <c r="AN482" s="79">
        <f>IF(AND(A482="", J482=""), "", IF(A482&lt;&gt;"", VALUE(MID(A482,2,LEN(A482))), AN481))</f>
        <v/>
      </c>
      <c r="AO482" s="79">
        <f>IF(AN482="","",IF(AD482=0,"OK",_xlfn.LET(monedaPago, IF(AA482="","USD",AA482), limitePermitido, IFERROR(VLOOKUP(monedaPago, Configuración!$A$2:$B$3, 2, FALSE), 0.15), IF(AD482&gt;limitePermitido, "ALERTA: EXCESO (" &amp; TEXT(limitePermitido, "0%") &amp; " máx)", "OK"))))</f>
        <v/>
      </c>
      <c r="AP482" s="79">
        <f>IF(AN482="","",IF(AE482=0,"OK",_xlfn.LET(fechaPago, Z482, fechaFactura, R482, diasCredito, IF(E482="Pago inmediato", 0, IFERROR(VALUE(MID(E482, 1, SEARCH(" ", E482)-1)),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82" s="79">
        <f>IF(AN482="","",IF(AND(N482&gt;0, AG482&gt;0), IF(Configuración!$K$2="NO", "ALERTA: DESCUENTO DOBLE NO PERMITIDO", "OK"), "OK"))</f>
        <v/>
      </c>
      <c r="AR482" s="79">
        <f>IF(AN482="","",IF(OR(AO482&lt;&gt;"OK", AP482&lt;&gt;"OK", AQ482&lt;&gt;"OK"), "⚠️ REVISAR", "OK"))</f>
        <v/>
      </c>
    </row>
    <row r="483">
      <c r="A483" s="79">
        <f>IF('Ordenes_Odoo'!A483="","",'Ordenes_Odoo'!A483)</f>
        <v/>
      </c>
      <c r="B483" s="80">
        <f>IF('Ordenes_Odoo'!B483="","",'Ordenes_Odoo'!B483)</f>
        <v/>
      </c>
      <c r="C483" s="79">
        <f>IF('Ordenes_Odoo'!C483="","",'Ordenes_Odoo'!C483)</f>
        <v/>
      </c>
      <c r="D483" s="79">
        <f>IF('Ordenes_Odoo'!D483="","",'Ordenes_Odoo'!D483)</f>
        <v/>
      </c>
      <c r="E483" s="79">
        <f>IF('Ordenes_Odoo'!E483="","",'Ordenes_Odoo'!E483)</f>
        <v/>
      </c>
      <c r="F483" s="79">
        <f>IF('Ordenes_Odoo'!F483="","",'Ordenes_Odoo'!F483)</f>
        <v/>
      </c>
      <c r="G483" s="79">
        <f>IF('Ordenes_Odoo'!G483="","",'Ordenes_Odoo'!G483)</f>
        <v/>
      </c>
      <c r="H483" s="79">
        <f>IF('Ordenes_Odoo'!H483="","",'Ordenes_Odoo'!H483)</f>
        <v/>
      </c>
      <c r="I483" s="79">
        <f>IF('Ordenes_Odoo'!I483="","",'Ordenes_Odoo'!I483)</f>
        <v/>
      </c>
      <c r="J483" s="79">
        <f>IF('Ordenes_Odoo'!J483="","",'Ordenes_Odoo'!J483)</f>
        <v/>
      </c>
      <c r="K483" s="81">
        <f>IF('Ordenes_Odoo'!K483="","",'Ordenes_Odoo'!K483)</f>
        <v/>
      </c>
      <c r="L483" s="81">
        <f>IF('Ordenes_Odoo'!L483="","",'Ordenes_Odoo'!L483)</f>
        <v/>
      </c>
      <c r="M483" s="79">
        <f>IF('Ordenes_Odoo'!M483="","",'Ordenes_Odoo'!M483)</f>
        <v/>
      </c>
      <c r="N483" s="79">
        <f>IF('Ordenes_Odoo'!N483="","",'Ordenes_Odoo'!N483)</f>
        <v/>
      </c>
      <c r="O483" s="81">
        <f>IF('Ordenes_Odoo'!O483="","",'Ordenes_Odoo'!O483)</f>
        <v/>
      </c>
      <c r="P483" s="81">
        <f>IF('Ordenes_Odoo'!P483="","",'Ordenes_Odoo'!P483)</f>
        <v/>
      </c>
      <c r="Q483" s="79">
        <f>IF(A483="","",IFERROR(INDEX(Facturas_Odoo!$B:$B, MATCH(A483, Facturas_Odoo!$D:$D, 0)), "Sin Factura"))</f>
        <v/>
      </c>
      <c r="R483" s="80">
        <f>IF(Q483="Sin Factura","",IFERROR(INDEX(Facturas_Odoo!$A:$A, MATCH(Q483, Facturas_Odoo!$B:$B, 0)), ""))</f>
        <v/>
      </c>
      <c r="S483" s="79">
        <f>IF(Q483="Sin Factura","",IFERROR(_xlfn.XLOOKUP(1, (Facturas_Odoo!$D:$D=A483) * (Facturas_Odoo!$K:$K=I483), Facturas_Odoo!$L:$L, ""), ""))</f>
        <v/>
      </c>
      <c r="T483" s="81">
        <f>IF(Q483="Sin Factura",0,IFERROR(_xlfn.XLOOKUP(1, (Facturas_Odoo!$D:$D=A483) * (Facturas_Odoo!$K:$K=I483), Facturas_Odoo!$M:$M, 0), 0))</f>
        <v/>
      </c>
      <c r="U483" s="79">
        <f>IF(Q483="Sin Factura",0,IFERROR(_xlfn.XLOOKUP(1, (Facturas_Odoo!$D:$D=A483) * (Facturas_Odoo!$K:$K=I483), Facturas_Odoo!$N:$N, 0), 0))</f>
        <v/>
      </c>
      <c r="V483" s="79">
        <f>IF(Q483="Sin Factura",0,IFERROR(_xlfn.XLOOKUP(1, (Facturas_Odoo!$D:$D=A483) * (Facturas_Odoo!$K:$K=I483), Facturas_Odoo!$O:$O, 0), 0))</f>
        <v/>
      </c>
      <c r="W483" s="81">
        <f>IF(Q483="Sin Factura",0,IFERROR(_xlfn.XLOOKUP(1, (Facturas_Odoo!$D:$D=A483) * (Facturas_Odoo!$K:$K=I483), Facturas_Odoo!$Q:$Q, 0), 0))</f>
        <v/>
      </c>
      <c r="X483" s="79">
        <f>IF(OR(Q483="Sin Factura",Q483=""),"",IFERROR(INDEX(Pagos_Odoo!$B:$B, MATCH(Q483, Pagos_Odoo!$I:$I, 0)), "Sin Pago"))</f>
        <v/>
      </c>
      <c r="Y483" s="79">
        <f>IF(X483="Sin Pago","",IFERROR(INDEX(Pagos_Odoo!$C:$C, MATCH(X483, Pagos_Odoo!$B:$B, 0)), ""))</f>
        <v/>
      </c>
      <c r="Z483" s="80">
        <f>IF(X483="Sin Pago","",IFERROR(INDEX(Pagos_Odoo!$A:$A, MATCH(X483, Pagos_Odoo!$B:$B, 0)), ""))</f>
        <v/>
      </c>
      <c r="AA483" s="79">
        <f>IF(X483="Sin Pago","",IFERROR(INDEX(Pagos_Odoo!$F:$F, MATCH(X483, Pagos_Odoo!$B:$B, 0)), ""))</f>
        <v/>
      </c>
      <c r="AB483" s="81">
        <f>IF(X483="Sin Pago",0,IFERROR(INDEX(Pagos_Odoo!$E:$E, MATCH(X483, Pagos_Odoo!$B:$B, 0)), 0))</f>
        <v/>
      </c>
      <c r="AC483" s="79">
        <f>IF(X483="Sin Pago","",IFERROR(INDEX(Pagos_Odoo!$G:$G, MATCH(X483, Pagos_Odoo!$B:$B, 0)), ""))</f>
        <v/>
      </c>
      <c r="AD483" s="82" t="n">
        <v>0</v>
      </c>
      <c r="AE483" s="82" t="n"/>
      <c r="AF483" s="82" t="n"/>
      <c r="AG483" s="82">
        <f>IF(AN483="","",AD483+AE483+AF483)</f>
        <v/>
      </c>
      <c r="AH483" s="81">
        <f>IF(AN483="","",P483*(1-AG483))</f>
        <v/>
      </c>
      <c r="AI483" s="81">
        <f>IF(AN483="","",IF(Q483="Sin Factura",0,IFERROR(INDEX(Facturas_Odoo!$H:$H, MATCH(Q483, Facturas_Odoo!$B:$B, 0)), 0)*(1-AG483)))</f>
        <v/>
      </c>
      <c r="AJ483" s="81">
        <f>IF(AN483="","",_xlfn.LET(idVenta, AN483&amp;"",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83" s="81">
        <f>IF(AN483="","",AH483-AJ483)</f>
        <v/>
      </c>
      <c r="AL483" s="81">
        <f>IF(AN483="","",IF(Q483="Sin Factura","",AI483-AJ483))</f>
        <v/>
      </c>
      <c r="AM483" s="81">
        <f>IF(AN483="","",IF(Q483="Sin Factura",0,P483-IFERROR(INDEX(Facturas_Odoo!$H:$H, MATCH(Q483, Facturas_Odoo!$B:$B, 0)), 0)))</f>
        <v/>
      </c>
      <c r="AN483" s="79">
        <f>IF(AND(A483="", J483=""), "", IF(A483&lt;&gt;"", VALUE(MID(A483,2,LEN(A483))), AN482))</f>
        <v/>
      </c>
      <c r="AO483" s="79">
        <f>IF(AN483="","",IF(AD483=0,"OK",_xlfn.LET(monedaPago, IF(AA483="","USD",AA483), limitePermitido, IFERROR(VLOOKUP(monedaPago, Configuración!$A$2:$B$3, 2, FALSE), 0.15), IF(AD483&gt;limitePermitido, "ALERTA: EXCESO (" &amp; TEXT(limitePermitido, "0%") &amp; " máx)", "OK"))))</f>
        <v/>
      </c>
      <c r="AP483" s="79">
        <f>IF(AN483="","",IF(AE483=0,"OK",_xlfn.LET(fechaPago, Z483, fechaFactura, R483, diasCredito, IF(E483="Pago inmediato", 0, IFERROR(VALUE(MID(E483, 1, SEARCH(" ", E483)-1)),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83" s="79">
        <f>IF(AN483="","",IF(AND(N483&gt;0, AG483&gt;0), IF(Configuración!$K$2="NO", "ALERTA: DESCUENTO DOBLE NO PERMITIDO", "OK"), "OK"))</f>
        <v/>
      </c>
      <c r="AR483" s="79">
        <f>IF(AN483="","",IF(OR(AO483&lt;&gt;"OK", AP483&lt;&gt;"OK", AQ483&lt;&gt;"OK"), "⚠️ REVISAR", "OK"))</f>
        <v/>
      </c>
    </row>
    <row r="484">
      <c r="A484" s="79">
        <f>IF('Ordenes_Odoo'!A484="","",'Ordenes_Odoo'!A484)</f>
        <v/>
      </c>
      <c r="B484" s="80">
        <f>IF('Ordenes_Odoo'!B484="","",'Ordenes_Odoo'!B484)</f>
        <v/>
      </c>
      <c r="C484" s="79">
        <f>IF('Ordenes_Odoo'!C484="","",'Ordenes_Odoo'!C484)</f>
        <v/>
      </c>
      <c r="D484" s="79">
        <f>IF('Ordenes_Odoo'!D484="","",'Ordenes_Odoo'!D484)</f>
        <v/>
      </c>
      <c r="E484" s="79">
        <f>IF('Ordenes_Odoo'!E484="","",'Ordenes_Odoo'!E484)</f>
        <v/>
      </c>
      <c r="F484" s="79">
        <f>IF('Ordenes_Odoo'!F484="","",'Ordenes_Odoo'!F484)</f>
        <v/>
      </c>
      <c r="G484" s="79">
        <f>IF('Ordenes_Odoo'!G484="","",'Ordenes_Odoo'!G484)</f>
        <v/>
      </c>
      <c r="H484" s="79">
        <f>IF('Ordenes_Odoo'!H484="","",'Ordenes_Odoo'!H484)</f>
        <v/>
      </c>
      <c r="I484" s="79">
        <f>IF('Ordenes_Odoo'!I484="","",'Ordenes_Odoo'!I484)</f>
        <v/>
      </c>
      <c r="J484" s="79">
        <f>IF('Ordenes_Odoo'!J484="","",'Ordenes_Odoo'!J484)</f>
        <v/>
      </c>
      <c r="K484" s="81">
        <f>IF('Ordenes_Odoo'!K484="","",'Ordenes_Odoo'!K484)</f>
        <v/>
      </c>
      <c r="L484" s="81">
        <f>IF('Ordenes_Odoo'!L484="","",'Ordenes_Odoo'!L484)</f>
        <v/>
      </c>
      <c r="M484" s="79">
        <f>IF('Ordenes_Odoo'!M484="","",'Ordenes_Odoo'!M484)</f>
        <v/>
      </c>
      <c r="N484" s="79">
        <f>IF('Ordenes_Odoo'!N484="","",'Ordenes_Odoo'!N484)</f>
        <v/>
      </c>
      <c r="O484" s="81">
        <f>IF('Ordenes_Odoo'!O484="","",'Ordenes_Odoo'!O484)</f>
        <v/>
      </c>
      <c r="P484" s="81">
        <f>IF('Ordenes_Odoo'!P484="","",'Ordenes_Odoo'!P484)</f>
        <v/>
      </c>
      <c r="Q484" s="79">
        <f>IF(A484="","",IFERROR(INDEX(Facturas_Odoo!$B:$B, MATCH(A484, Facturas_Odoo!$D:$D, 0)), "Sin Factura"))</f>
        <v/>
      </c>
      <c r="R484" s="80">
        <f>IF(Q484="Sin Factura","",IFERROR(INDEX(Facturas_Odoo!$A:$A, MATCH(Q484, Facturas_Odoo!$B:$B, 0)), ""))</f>
        <v/>
      </c>
      <c r="S484" s="79">
        <f>IF(Q484="Sin Factura","",IFERROR(_xlfn.XLOOKUP(1, (Facturas_Odoo!$D:$D=A484) * (Facturas_Odoo!$K:$K=I484), Facturas_Odoo!$L:$L, ""), ""))</f>
        <v/>
      </c>
      <c r="T484" s="81">
        <f>IF(Q484="Sin Factura",0,IFERROR(_xlfn.XLOOKUP(1, (Facturas_Odoo!$D:$D=A484) * (Facturas_Odoo!$K:$K=I484), Facturas_Odoo!$M:$M, 0), 0))</f>
        <v/>
      </c>
      <c r="U484" s="79">
        <f>IF(Q484="Sin Factura",0,IFERROR(_xlfn.XLOOKUP(1, (Facturas_Odoo!$D:$D=A484) * (Facturas_Odoo!$K:$K=I484), Facturas_Odoo!$N:$N, 0), 0))</f>
        <v/>
      </c>
      <c r="V484" s="79">
        <f>IF(Q484="Sin Factura",0,IFERROR(_xlfn.XLOOKUP(1, (Facturas_Odoo!$D:$D=A484) * (Facturas_Odoo!$K:$K=I484), Facturas_Odoo!$O:$O, 0), 0))</f>
        <v/>
      </c>
      <c r="W484" s="81">
        <f>IF(Q484="Sin Factura",0,IFERROR(_xlfn.XLOOKUP(1, (Facturas_Odoo!$D:$D=A484) * (Facturas_Odoo!$K:$K=I484), Facturas_Odoo!$Q:$Q, 0), 0))</f>
        <v/>
      </c>
      <c r="X484" s="79">
        <f>IF(OR(Q484="Sin Factura",Q484=""),"",IFERROR(INDEX(Pagos_Odoo!$B:$B, MATCH(Q484, Pagos_Odoo!$I:$I, 0)), "Sin Pago"))</f>
        <v/>
      </c>
      <c r="Y484" s="79">
        <f>IF(X484="Sin Pago","",IFERROR(INDEX(Pagos_Odoo!$C:$C, MATCH(X484, Pagos_Odoo!$B:$B, 0)), ""))</f>
        <v/>
      </c>
      <c r="Z484" s="80">
        <f>IF(X484="Sin Pago","",IFERROR(INDEX(Pagos_Odoo!$A:$A, MATCH(X484, Pagos_Odoo!$B:$B, 0)), ""))</f>
        <v/>
      </c>
      <c r="AA484" s="79">
        <f>IF(X484="Sin Pago","",IFERROR(INDEX(Pagos_Odoo!$F:$F, MATCH(X484, Pagos_Odoo!$B:$B, 0)), ""))</f>
        <v/>
      </c>
      <c r="AB484" s="81">
        <f>IF(X484="Sin Pago",0,IFERROR(INDEX(Pagos_Odoo!$E:$E, MATCH(X484, Pagos_Odoo!$B:$B, 0)), 0))</f>
        <v/>
      </c>
      <c r="AC484" s="79">
        <f>IF(X484="Sin Pago","",IFERROR(INDEX(Pagos_Odoo!$G:$G, MATCH(X484, Pagos_Odoo!$B:$B, 0)), ""))</f>
        <v/>
      </c>
      <c r="AD484" s="82" t="n">
        <v>0</v>
      </c>
      <c r="AE484" s="82" t="n"/>
      <c r="AF484" s="82" t="n"/>
      <c r="AG484" s="82">
        <f>IF(AN484="","",AD484+AE484+AF484)</f>
        <v/>
      </c>
      <c r="AH484" s="81">
        <f>IF(AN484="","",P484*(1-AG484))</f>
        <v/>
      </c>
      <c r="AI484" s="81">
        <f>IF(AN484="","",IF(Q484="Sin Factura",0,IFERROR(INDEX(Facturas_Odoo!$H:$H, MATCH(Q484, Facturas_Odoo!$B:$B, 0)), 0)*(1-AG484)))</f>
        <v/>
      </c>
      <c r="AJ484" s="81">
        <f>IF(AN484="","",_xlfn.LET(idVenta, AN484&amp;"",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84" s="81">
        <f>IF(AN484="","",AH484-AJ484)</f>
        <v/>
      </c>
      <c r="AL484" s="81">
        <f>IF(AN484="","",IF(Q484="Sin Factura","",AI484-AJ484))</f>
        <v/>
      </c>
      <c r="AM484" s="81">
        <f>IF(AN484="","",IF(Q484="Sin Factura",0,P484-IFERROR(INDEX(Facturas_Odoo!$H:$H, MATCH(Q484, Facturas_Odoo!$B:$B, 0)), 0)))</f>
        <v/>
      </c>
      <c r="AN484" s="79">
        <f>IF(AND(A484="", J484=""), "", IF(A484&lt;&gt;"", VALUE(MID(A484,2,LEN(A484))), AN483))</f>
        <v/>
      </c>
      <c r="AO484" s="79">
        <f>IF(AN484="","",IF(AD484=0,"OK",_xlfn.LET(monedaPago, IF(AA484="","USD",AA484), limitePermitido, IFERROR(VLOOKUP(monedaPago, Configuración!$A$2:$B$3, 2, FALSE), 0.15), IF(AD484&gt;limitePermitido, "ALERTA: EXCESO (" &amp; TEXT(limitePermitido, "0%") &amp; " máx)", "OK"))))</f>
        <v/>
      </c>
      <c r="AP484" s="79">
        <f>IF(AN484="","",IF(AE484=0,"OK",_xlfn.LET(fechaPago, Z484, fechaFactura, R484, diasCredito, IF(E484="Pago inmediato", 0, IFERROR(VALUE(MID(E484, 1, SEARCH(" ", E484)-1)),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84" s="79">
        <f>IF(AN484="","",IF(AND(N484&gt;0, AG484&gt;0), IF(Configuración!$K$2="NO", "ALERTA: DESCUENTO DOBLE NO PERMITIDO", "OK"), "OK"))</f>
        <v/>
      </c>
      <c r="AR484" s="79">
        <f>IF(AN484="","",IF(OR(AO484&lt;&gt;"OK", AP484&lt;&gt;"OK", AQ484&lt;&gt;"OK"), "⚠️ REVISAR", "OK"))</f>
        <v/>
      </c>
    </row>
    <row r="485">
      <c r="A485" s="79">
        <f>IF('Ordenes_Odoo'!A485="","",'Ordenes_Odoo'!A485)</f>
        <v/>
      </c>
      <c r="B485" s="80">
        <f>IF('Ordenes_Odoo'!B485="","",'Ordenes_Odoo'!B485)</f>
        <v/>
      </c>
      <c r="C485" s="79">
        <f>IF('Ordenes_Odoo'!C485="","",'Ordenes_Odoo'!C485)</f>
        <v/>
      </c>
      <c r="D485" s="79">
        <f>IF('Ordenes_Odoo'!D485="","",'Ordenes_Odoo'!D485)</f>
        <v/>
      </c>
      <c r="E485" s="79">
        <f>IF('Ordenes_Odoo'!E485="","",'Ordenes_Odoo'!E485)</f>
        <v/>
      </c>
      <c r="F485" s="79">
        <f>IF('Ordenes_Odoo'!F485="","",'Ordenes_Odoo'!F485)</f>
        <v/>
      </c>
      <c r="G485" s="79">
        <f>IF('Ordenes_Odoo'!G485="","",'Ordenes_Odoo'!G485)</f>
        <v/>
      </c>
      <c r="H485" s="79">
        <f>IF('Ordenes_Odoo'!H485="","",'Ordenes_Odoo'!H485)</f>
        <v/>
      </c>
      <c r="I485" s="79">
        <f>IF('Ordenes_Odoo'!I485="","",'Ordenes_Odoo'!I485)</f>
        <v/>
      </c>
      <c r="J485" s="79">
        <f>IF('Ordenes_Odoo'!J485="","",'Ordenes_Odoo'!J485)</f>
        <v/>
      </c>
      <c r="K485" s="81">
        <f>IF('Ordenes_Odoo'!K485="","",'Ordenes_Odoo'!K485)</f>
        <v/>
      </c>
      <c r="L485" s="81">
        <f>IF('Ordenes_Odoo'!L485="","",'Ordenes_Odoo'!L485)</f>
        <v/>
      </c>
      <c r="M485" s="79">
        <f>IF('Ordenes_Odoo'!M485="","",'Ordenes_Odoo'!M485)</f>
        <v/>
      </c>
      <c r="N485" s="79">
        <f>IF('Ordenes_Odoo'!N485="","",'Ordenes_Odoo'!N485)</f>
        <v/>
      </c>
      <c r="O485" s="81">
        <f>IF('Ordenes_Odoo'!O485="","",'Ordenes_Odoo'!O485)</f>
        <v/>
      </c>
      <c r="P485" s="81">
        <f>IF('Ordenes_Odoo'!P485="","",'Ordenes_Odoo'!P485)</f>
        <v/>
      </c>
      <c r="Q485" s="79">
        <f>IF(A485="","",IFERROR(INDEX(Facturas_Odoo!$B:$B, MATCH(A485, Facturas_Odoo!$D:$D, 0)), "Sin Factura"))</f>
        <v/>
      </c>
      <c r="R485" s="80">
        <f>IF(Q485="Sin Factura","",IFERROR(INDEX(Facturas_Odoo!$A:$A, MATCH(Q485, Facturas_Odoo!$B:$B, 0)), ""))</f>
        <v/>
      </c>
      <c r="S485" s="79">
        <f>IF(Q485="Sin Factura","",IFERROR(_xlfn.XLOOKUP(1, (Facturas_Odoo!$D:$D=A485) * (Facturas_Odoo!$K:$K=I485), Facturas_Odoo!$L:$L, ""), ""))</f>
        <v/>
      </c>
      <c r="T485" s="81">
        <f>IF(Q485="Sin Factura",0,IFERROR(_xlfn.XLOOKUP(1, (Facturas_Odoo!$D:$D=A485) * (Facturas_Odoo!$K:$K=I485), Facturas_Odoo!$M:$M, 0), 0))</f>
        <v/>
      </c>
      <c r="U485" s="79">
        <f>IF(Q485="Sin Factura",0,IFERROR(_xlfn.XLOOKUP(1, (Facturas_Odoo!$D:$D=A485) * (Facturas_Odoo!$K:$K=I485), Facturas_Odoo!$N:$N, 0), 0))</f>
        <v/>
      </c>
      <c r="V485" s="79">
        <f>IF(Q485="Sin Factura",0,IFERROR(_xlfn.XLOOKUP(1, (Facturas_Odoo!$D:$D=A485) * (Facturas_Odoo!$K:$K=I485), Facturas_Odoo!$O:$O, 0), 0))</f>
        <v/>
      </c>
      <c r="W485" s="81">
        <f>IF(Q485="Sin Factura",0,IFERROR(_xlfn.XLOOKUP(1, (Facturas_Odoo!$D:$D=A485) * (Facturas_Odoo!$K:$K=I485), Facturas_Odoo!$Q:$Q, 0), 0))</f>
        <v/>
      </c>
      <c r="X485" s="79">
        <f>IF(OR(Q485="Sin Factura",Q485=""),"",IFERROR(INDEX(Pagos_Odoo!$B:$B, MATCH(Q485, Pagos_Odoo!$I:$I, 0)), "Sin Pago"))</f>
        <v/>
      </c>
      <c r="Y485" s="79">
        <f>IF(X485="Sin Pago","",IFERROR(INDEX(Pagos_Odoo!$C:$C, MATCH(X485, Pagos_Odoo!$B:$B, 0)), ""))</f>
        <v/>
      </c>
      <c r="Z485" s="80">
        <f>IF(X485="Sin Pago","",IFERROR(INDEX(Pagos_Odoo!$A:$A, MATCH(X485, Pagos_Odoo!$B:$B, 0)), ""))</f>
        <v/>
      </c>
      <c r="AA485" s="79">
        <f>IF(X485="Sin Pago","",IFERROR(INDEX(Pagos_Odoo!$F:$F, MATCH(X485, Pagos_Odoo!$B:$B, 0)), ""))</f>
        <v/>
      </c>
      <c r="AB485" s="81">
        <f>IF(X485="Sin Pago",0,IFERROR(INDEX(Pagos_Odoo!$E:$E, MATCH(X485, Pagos_Odoo!$B:$B, 0)), 0))</f>
        <v/>
      </c>
      <c r="AC485" s="79">
        <f>IF(X485="Sin Pago","",IFERROR(INDEX(Pagos_Odoo!$G:$G, MATCH(X485, Pagos_Odoo!$B:$B, 0)), ""))</f>
        <v/>
      </c>
      <c r="AD485" s="82" t="n">
        <v>0</v>
      </c>
      <c r="AE485" s="82" t="n"/>
      <c r="AF485" s="82" t="n"/>
      <c r="AG485" s="82">
        <f>IF(AN485="","",AD485+AE485+AF485)</f>
        <v/>
      </c>
      <c r="AH485" s="81">
        <f>IF(AN485="","",P485*(1-AG485))</f>
        <v/>
      </c>
      <c r="AI485" s="81">
        <f>IF(AN485="","",IF(Q485="Sin Factura",0,IFERROR(INDEX(Facturas_Odoo!$H:$H, MATCH(Q485, Facturas_Odoo!$B:$B, 0)), 0)*(1-AG485)))</f>
        <v/>
      </c>
      <c r="AJ485" s="81">
        <f>IF(AN485="","",_xlfn.LET(idVenta, AN485&amp;"",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85" s="81">
        <f>IF(AN485="","",AH485-AJ485)</f>
        <v/>
      </c>
      <c r="AL485" s="81">
        <f>IF(AN485="","",IF(Q485="Sin Factura","",AI485-AJ485))</f>
        <v/>
      </c>
      <c r="AM485" s="81">
        <f>IF(AN485="","",IF(Q485="Sin Factura",0,P485-IFERROR(INDEX(Facturas_Odoo!$H:$H, MATCH(Q485, Facturas_Odoo!$B:$B, 0)), 0)))</f>
        <v/>
      </c>
      <c r="AN485" s="79">
        <f>IF(AND(A485="", J485=""), "", IF(A485&lt;&gt;"", VALUE(MID(A485,2,LEN(A485))), AN484))</f>
        <v/>
      </c>
      <c r="AO485" s="79">
        <f>IF(AN485="","",IF(AD485=0,"OK",_xlfn.LET(monedaPago, IF(AA485="","USD",AA485), limitePermitido, IFERROR(VLOOKUP(monedaPago, Configuración!$A$2:$B$3, 2, FALSE), 0.15), IF(AD485&gt;limitePermitido, "ALERTA: EXCESO (" &amp; TEXT(limitePermitido, "0%") &amp; " máx)", "OK"))))</f>
        <v/>
      </c>
      <c r="AP485" s="79">
        <f>IF(AN485="","",IF(AE485=0,"OK",_xlfn.LET(fechaPago, Z485, fechaFactura, R485, diasCredito, IF(E485="Pago inmediato", 0, IFERROR(VALUE(MID(E485, 1, SEARCH(" ", E485)-1)),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85" s="79">
        <f>IF(AN485="","",IF(AND(N485&gt;0, AG485&gt;0), IF(Configuración!$K$2="NO", "ALERTA: DESCUENTO DOBLE NO PERMITIDO", "OK"), "OK"))</f>
        <v/>
      </c>
      <c r="AR485" s="79">
        <f>IF(AN485="","",IF(OR(AO485&lt;&gt;"OK", AP485&lt;&gt;"OK", AQ485&lt;&gt;"OK"), "⚠️ REVISAR", "OK"))</f>
        <v/>
      </c>
    </row>
    <row r="486">
      <c r="A486" s="79">
        <f>IF('Ordenes_Odoo'!A486="","",'Ordenes_Odoo'!A486)</f>
        <v/>
      </c>
      <c r="B486" s="80">
        <f>IF('Ordenes_Odoo'!B486="","",'Ordenes_Odoo'!B486)</f>
        <v/>
      </c>
      <c r="C486" s="79">
        <f>IF('Ordenes_Odoo'!C486="","",'Ordenes_Odoo'!C486)</f>
        <v/>
      </c>
      <c r="D486" s="79">
        <f>IF('Ordenes_Odoo'!D486="","",'Ordenes_Odoo'!D486)</f>
        <v/>
      </c>
      <c r="E486" s="79">
        <f>IF('Ordenes_Odoo'!E486="","",'Ordenes_Odoo'!E486)</f>
        <v/>
      </c>
      <c r="F486" s="79">
        <f>IF('Ordenes_Odoo'!F486="","",'Ordenes_Odoo'!F486)</f>
        <v/>
      </c>
      <c r="G486" s="79">
        <f>IF('Ordenes_Odoo'!G486="","",'Ordenes_Odoo'!G486)</f>
        <v/>
      </c>
      <c r="H486" s="79">
        <f>IF('Ordenes_Odoo'!H486="","",'Ordenes_Odoo'!H486)</f>
        <v/>
      </c>
      <c r="I486" s="79">
        <f>IF('Ordenes_Odoo'!I486="","",'Ordenes_Odoo'!I486)</f>
        <v/>
      </c>
      <c r="J486" s="79">
        <f>IF('Ordenes_Odoo'!J486="","",'Ordenes_Odoo'!J486)</f>
        <v/>
      </c>
      <c r="K486" s="81">
        <f>IF('Ordenes_Odoo'!K486="","",'Ordenes_Odoo'!K486)</f>
        <v/>
      </c>
      <c r="L486" s="81">
        <f>IF('Ordenes_Odoo'!L486="","",'Ordenes_Odoo'!L486)</f>
        <v/>
      </c>
      <c r="M486" s="79">
        <f>IF('Ordenes_Odoo'!M486="","",'Ordenes_Odoo'!M486)</f>
        <v/>
      </c>
      <c r="N486" s="79">
        <f>IF('Ordenes_Odoo'!N486="","",'Ordenes_Odoo'!N486)</f>
        <v/>
      </c>
      <c r="O486" s="81">
        <f>IF('Ordenes_Odoo'!O486="","",'Ordenes_Odoo'!O486)</f>
        <v/>
      </c>
      <c r="P486" s="81">
        <f>IF('Ordenes_Odoo'!P486="","",'Ordenes_Odoo'!P486)</f>
        <v/>
      </c>
      <c r="Q486" s="79">
        <f>IF(A486="","",IFERROR(INDEX(Facturas_Odoo!$B:$B, MATCH(A486, Facturas_Odoo!$D:$D, 0)), "Sin Factura"))</f>
        <v/>
      </c>
      <c r="R486" s="80">
        <f>IF(Q486="Sin Factura","",IFERROR(INDEX(Facturas_Odoo!$A:$A, MATCH(Q486, Facturas_Odoo!$B:$B, 0)), ""))</f>
        <v/>
      </c>
      <c r="S486" s="79">
        <f>IF(Q486="Sin Factura","",IFERROR(_xlfn.XLOOKUP(1, (Facturas_Odoo!$D:$D=A486) * (Facturas_Odoo!$K:$K=I486), Facturas_Odoo!$L:$L, ""), ""))</f>
        <v/>
      </c>
      <c r="T486" s="81">
        <f>IF(Q486="Sin Factura",0,IFERROR(_xlfn.XLOOKUP(1, (Facturas_Odoo!$D:$D=A486) * (Facturas_Odoo!$K:$K=I486), Facturas_Odoo!$M:$M, 0), 0))</f>
        <v/>
      </c>
      <c r="U486" s="79">
        <f>IF(Q486="Sin Factura",0,IFERROR(_xlfn.XLOOKUP(1, (Facturas_Odoo!$D:$D=A486) * (Facturas_Odoo!$K:$K=I486), Facturas_Odoo!$N:$N, 0), 0))</f>
        <v/>
      </c>
      <c r="V486" s="79">
        <f>IF(Q486="Sin Factura",0,IFERROR(_xlfn.XLOOKUP(1, (Facturas_Odoo!$D:$D=A486) * (Facturas_Odoo!$K:$K=I486), Facturas_Odoo!$O:$O, 0), 0))</f>
        <v/>
      </c>
      <c r="W486" s="81">
        <f>IF(Q486="Sin Factura",0,IFERROR(_xlfn.XLOOKUP(1, (Facturas_Odoo!$D:$D=A486) * (Facturas_Odoo!$K:$K=I486), Facturas_Odoo!$Q:$Q, 0), 0))</f>
        <v/>
      </c>
      <c r="X486" s="79">
        <f>IF(OR(Q486="Sin Factura",Q486=""),"",IFERROR(INDEX(Pagos_Odoo!$B:$B, MATCH(Q486, Pagos_Odoo!$I:$I, 0)), "Sin Pago"))</f>
        <v/>
      </c>
      <c r="Y486" s="79">
        <f>IF(X486="Sin Pago","",IFERROR(INDEX(Pagos_Odoo!$C:$C, MATCH(X486, Pagos_Odoo!$B:$B, 0)), ""))</f>
        <v/>
      </c>
      <c r="Z486" s="80">
        <f>IF(X486="Sin Pago","",IFERROR(INDEX(Pagos_Odoo!$A:$A, MATCH(X486, Pagos_Odoo!$B:$B, 0)), ""))</f>
        <v/>
      </c>
      <c r="AA486" s="79">
        <f>IF(X486="Sin Pago","",IFERROR(INDEX(Pagos_Odoo!$F:$F, MATCH(X486, Pagos_Odoo!$B:$B, 0)), ""))</f>
        <v/>
      </c>
      <c r="AB486" s="81">
        <f>IF(X486="Sin Pago",0,IFERROR(INDEX(Pagos_Odoo!$E:$E, MATCH(X486, Pagos_Odoo!$B:$B, 0)), 0))</f>
        <v/>
      </c>
      <c r="AC486" s="79">
        <f>IF(X486="Sin Pago","",IFERROR(INDEX(Pagos_Odoo!$G:$G, MATCH(X486, Pagos_Odoo!$B:$B, 0)), ""))</f>
        <v/>
      </c>
      <c r="AD486" s="82" t="n">
        <v>0</v>
      </c>
      <c r="AE486" s="82" t="n"/>
      <c r="AF486" s="82" t="n"/>
      <c r="AG486" s="82">
        <f>IF(AN486="","",AD486+AE486+AF486)</f>
        <v/>
      </c>
      <c r="AH486" s="81">
        <f>IF(AN486="","",P486*(1-AG486))</f>
        <v/>
      </c>
      <c r="AI486" s="81">
        <f>IF(AN486="","",IF(Q486="Sin Factura",0,IFERROR(INDEX(Facturas_Odoo!$H:$H, MATCH(Q486, Facturas_Odoo!$B:$B, 0)), 0)*(1-AG486)))</f>
        <v/>
      </c>
      <c r="AJ486" s="81">
        <f>IF(AN486="","",_xlfn.LET(idVenta, AN486&amp;"",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86" s="81">
        <f>IF(AN486="","",AH486-AJ486)</f>
        <v/>
      </c>
      <c r="AL486" s="81">
        <f>IF(AN486="","",IF(Q486="Sin Factura","",AI486-AJ486))</f>
        <v/>
      </c>
      <c r="AM486" s="81">
        <f>IF(AN486="","",IF(Q486="Sin Factura",0,P486-IFERROR(INDEX(Facturas_Odoo!$H:$H, MATCH(Q486, Facturas_Odoo!$B:$B, 0)), 0)))</f>
        <v/>
      </c>
      <c r="AN486" s="79">
        <f>IF(AND(A486="", J486=""), "", IF(A486&lt;&gt;"", VALUE(MID(A486,2,LEN(A486))), AN485))</f>
        <v/>
      </c>
      <c r="AO486" s="79">
        <f>IF(AN486="","",IF(AD486=0,"OK",_xlfn.LET(monedaPago, IF(AA486="","USD",AA486), limitePermitido, IFERROR(VLOOKUP(monedaPago, Configuración!$A$2:$B$3, 2, FALSE), 0.15), IF(AD486&gt;limitePermitido, "ALERTA: EXCESO (" &amp; TEXT(limitePermitido, "0%") &amp; " máx)", "OK"))))</f>
        <v/>
      </c>
      <c r="AP486" s="79">
        <f>IF(AN486="","",IF(AE486=0,"OK",_xlfn.LET(fechaPago, Z486, fechaFactura, R486, diasCredito, IF(E486="Pago inmediato", 0, IFERROR(VALUE(MID(E486, 1, SEARCH(" ", E486)-1)),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86" s="79">
        <f>IF(AN486="","",IF(AND(N486&gt;0, AG486&gt;0), IF(Configuración!$K$2="NO", "ALERTA: DESCUENTO DOBLE NO PERMITIDO", "OK"), "OK"))</f>
        <v/>
      </c>
      <c r="AR486" s="79">
        <f>IF(AN486="","",IF(OR(AO486&lt;&gt;"OK", AP486&lt;&gt;"OK", AQ486&lt;&gt;"OK"), "⚠️ REVISAR", "OK"))</f>
        <v/>
      </c>
    </row>
    <row r="487">
      <c r="A487" s="79">
        <f>IF('Ordenes_Odoo'!A487="","",'Ordenes_Odoo'!A487)</f>
        <v/>
      </c>
      <c r="B487" s="80">
        <f>IF('Ordenes_Odoo'!B487="","",'Ordenes_Odoo'!B487)</f>
        <v/>
      </c>
      <c r="C487" s="79">
        <f>IF('Ordenes_Odoo'!C487="","",'Ordenes_Odoo'!C487)</f>
        <v/>
      </c>
      <c r="D487" s="79">
        <f>IF('Ordenes_Odoo'!D487="","",'Ordenes_Odoo'!D487)</f>
        <v/>
      </c>
      <c r="E487" s="79">
        <f>IF('Ordenes_Odoo'!E487="","",'Ordenes_Odoo'!E487)</f>
        <v/>
      </c>
      <c r="F487" s="79">
        <f>IF('Ordenes_Odoo'!F487="","",'Ordenes_Odoo'!F487)</f>
        <v/>
      </c>
      <c r="G487" s="79">
        <f>IF('Ordenes_Odoo'!G487="","",'Ordenes_Odoo'!G487)</f>
        <v/>
      </c>
      <c r="H487" s="79">
        <f>IF('Ordenes_Odoo'!H487="","",'Ordenes_Odoo'!H487)</f>
        <v/>
      </c>
      <c r="I487" s="79">
        <f>IF('Ordenes_Odoo'!I487="","",'Ordenes_Odoo'!I487)</f>
        <v/>
      </c>
      <c r="J487" s="79">
        <f>IF('Ordenes_Odoo'!J487="","",'Ordenes_Odoo'!J487)</f>
        <v/>
      </c>
      <c r="K487" s="81">
        <f>IF('Ordenes_Odoo'!K487="","",'Ordenes_Odoo'!K487)</f>
        <v/>
      </c>
      <c r="L487" s="81">
        <f>IF('Ordenes_Odoo'!L487="","",'Ordenes_Odoo'!L487)</f>
        <v/>
      </c>
      <c r="M487" s="79">
        <f>IF('Ordenes_Odoo'!M487="","",'Ordenes_Odoo'!M487)</f>
        <v/>
      </c>
      <c r="N487" s="79">
        <f>IF('Ordenes_Odoo'!N487="","",'Ordenes_Odoo'!N487)</f>
        <v/>
      </c>
      <c r="O487" s="81">
        <f>IF('Ordenes_Odoo'!O487="","",'Ordenes_Odoo'!O487)</f>
        <v/>
      </c>
      <c r="P487" s="81">
        <f>IF('Ordenes_Odoo'!P487="","",'Ordenes_Odoo'!P487)</f>
        <v/>
      </c>
      <c r="Q487" s="79">
        <f>IF(A487="","",IFERROR(INDEX(Facturas_Odoo!$B:$B, MATCH(A487, Facturas_Odoo!$D:$D, 0)), "Sin Factura"))</f>
        <v/>
      </c>
      <c r="R487" s="80">
        <f>IF(Q487="Sin Factura","",IFERROR(INDEX(Facturas_Odoo!$A:$A, MATCH(Q487, Facturas_Odoo!$B:$B, 0)), ""))</f>
        <v/>
      </c>
      <c r="S487" s="79">
        <f>IF(Q487="Sin Factura","",IFERROR(_xlfn.XLOOKUP(1, (Facturas_Odoo!$D:$D=A487) * (Facturas_Odoo!$K:$K=I487), Facturas_Odoo!$L:$L, ""), ""))</f>
        <v/>
      </c>
      <c r="T487" s="81">
        <f>IF(Q487="Sin Factura",0,IFERROR(_xlfn.XLOOKUP(1, (Facturas_Odoo!$D:$D=A487) * (Facturas_Odoo!$K:$K=I487), Facturas_Odoo!$M:$M, 0), 0))</f>
        <v/>
      </c>
      <c r="U487" s="79">
        <f>IF(Q487="Sin Factura",0,IFERROR(_xlfn.XLOOKUP(1, (Facturas_Odoo!$D:$D=A487) * (Facturas_Odoo!$K:$K=I487), Facturas_Odoo!$N:$N, 0), 0))</f>
        <v/>
      </c>
      <c r="V487" s="79">
        <f>IF(Q487="Sin Factura",0,IFERROR(_xlfn.XLOOKUP(1, (Facturas_Odoo!$D:$D=A487) * (Facturas_Odoo!$K:$K=I487), Facturas_Odoo!$O:$O, 0), 0))</f>
        <v/>
      </c>
      <c r="W487" s="81">
        <f>IF(Q487="Sin Factura",0,IFERROR(_xlfn.XLOOKUP(1, (Facturas_Odoo!$D:$D=A487) * (Facturas_Odoo!$K:$K=I487), Facturas_Odoo!$Q:$Q, 0), 0))</f>
        <v/>
      </c>
      <c r="X487" s="79">
        <f>IF(OR(Q487="Sin Factura",Q487=""),"",IFERROR(INDEX(Pagos_Odoo!$B:$B, MATCH(Q487, Pagos_Odoo!$I:$I, 0)), "Sin Pago"))</f>
        <v/>
      </c>
      <c r="Y487" s="79">
        <f>IF(X487="Sin Pago","",IFERROR(INDEX(Pagos_Odoo!$C:$C, MATCH(X487, Pagos_Odoo!$B:$B, 0)), ""))</f>
        <v/>
      </c>
      <c r="Z487" s="80">
        <f>IF(X487="Sin Pago","",IFERROR(INDEX(Pagos_Odoo!$A:$A, MATCH(X487, Pagos_Odoo!$B:$B, 0)), ""))</f>
        <v/>
      </c>
      <c r="AA487" s="79">
        <f>IF(X487="Sin Pago","",IFERROR(INDEX(Pagos_Odoo!$F:$F, MATCH(X487, Pagos_Odoo!$B:$B, 0)), ""))</f>
        <v/>
      </c>
      <c r="AB487" s="81">
        <f>IF(X487="Sin Pago",0,IFERROR(INDEX(Pagos_Odoo!$E:$E, MATCH(X487, Pagos_Odoo!$B:$B, 0)), 0))</f>
        <v/>
      </c>
      <c r="AC487" s="79">
        <f>IF(X487="Sin Pago","",IFERROR(INDEX(Pagos_Odoo!$G:$G, MATCH(X487, Pagos_Odoo!$B:$B, 0)), ""))</f>
        <v/>
      </c>
      <c r="AD487" s="82" t="n">
        <v>0</v>
      </c>
      <c r="AE487" s="82" t="n"/>
      <c r="AF487" s="82" t="n"/>
      <c r="AG487" s="82">
        <f>IF(AN487="","",AD487+AE487+AF487)</f>
        <v/>
      </c>
      <c r="AH487" s="81">
        <f>IF(AN487="","",P487*(1-AG487))</f>
        <v/>
      </c>
      <c r="AI487" s="81">
        <f>IF(AN487="","",IF(Q487="Sin Factura",0,IFERROR(INDEX(Facturas_Odoo!$H:$H, MATCH(Q487, Facturas_Odoo!$B:$B, 0)), 0)*(1-AG487)))</f>
        <v/>
      </c>
      <c r="AJ487" s="81">
        <f>IF(AN487="","",_xlfn.LET(idVenta, AN487&amp;"",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87" s="81">
        <f>IF(AN487="","",AH487-AJ487)</f>
        <v/>
      </c>
      <c r="AL487" s="81">
        <f>IF(AN487="","",IF(Q487="Sin Factura","",AI487-AJ487))</f>
        <v/>
      </c>
      <c r="AM487" s="81">
        <f>IF(AN487="","",IF(Q487="Sin Factura",0,P487-IFERROR(INDEX(Facturas_Odoo!$H:$H, MATCH(Q487, Facturas_Odoo!$B:$B, 0)), 0)))</f>
        <v/>
      </c>
      <c r="AN487" s="79">
        <f>IF(AND(A487="", J487=""), "", IF(A487&lt;&gt;"", VALUE(MID(A487,2,LEN(A487))), AN486))</f>
        <v/>
      </c>
      <c r="AO487" s="79">
        <f>IF(AN487="","",IF(AD487=0,"OK",_xlfn.LET(monedaPago, IF(AA487="","USD",AA487), limitePermitido, IFERROR(VLOOKUP(monedaPago, Configuración!$A$2:$B$3, 2, FALSE), 0.15), IF(AD487&gt;limitePermitido, "ALERTA: EXCESO (" &amp; TEXT(limitePermitido, "0%") &amp; " máx)", "OK"))))</f>
        <v/>
      </c>
      <c r="AP487" s="79">
        <f>IF(AN487="","",IF(AE487=0,"OK",_xlfn.LET(fechaPago, Z487, fechaFactura, R487, diasCredito, IF(E487="Pago inmediato", 0, IFERROR(VALUE(MID(E487, 1, SEARCH(" ", E487)-1)),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87" s="79">
        <f>IF(AN487="","",IF(AND(N487&gt;0, AG487&gt;0), IF(Configuración!$K$2="NO", "ALERTA: DESCUENTO DOBLE NO PERMITIDO", "OK"), "OK"))</f>
        <v/>
      </c>
      <c r="AR487" s="79">
        <f>IF(AN487="","",IF(OR(AO487&lt;&gt;"OK", AP487&lt;&gt;"OK", AQ487&lt;&gt;"OK"), "⚠️ REVISAR", "OK"))</f>
        <v/>
      </c>
    </row>
    <row r="488">
      <c r="A488" s="79">
        <f>IF('Ordenes_Odoo'!A488="","",'Ordenes_Odoo'!A488)</f>
        <v/>
      </c>
      <c r="B488" s="80">
        <f>IF('Ordenes_Odoo'!B488="","",'Ordenes_Odoo'!B488)</f>
        <v/>
      </c>
      <c r="C488" s="79">
        <f>IF('Ordenes_Odoo'!C488="","",'Ordenes_Odoo'!C488)</f>
        <v/>
      </c>
      <c r="D488" s="79">
        <f>IF('Ordenes_Odoo'!D488="","",'Ordenes_Odoo'!D488)</f>
        <v/>
      </c>
      <c r="E488" s="79">
        <f>IF('Ordenes_Odoo'!E488="","",'Ordenes_Odoo'!E488)</f>
        <v/>
      </c>
      <c r="F488" s="79">
        <f>IF('Ordenes_Odoo'!F488="","",'Ordenes_Odoo'!F488)</f>
        <v/>
      </c>
      <c r="G488" s="79">
        <f>IF('Ordenes_Odoo'!G488="","",'Ordenes_Odoo'!G488)</f>
        <v/>
      </c>
      <c r="H488" s="79">
        <f>IF('Ordenes_Odoo'!H488="","",'Ordenes_Odoo'!H488)</f>
        <v/>
      </c>
      <c r="I488" s="79">
        <f>IF('Ordenes_Odoo'!I488="","",'Ordenes_Odoo'!I488)</f>
        <v/>
      </c>
      <c r="J488" s="79">
        <f>IF('Ordenes_Odoo'!J488="","",'Ordenes_Odoo'!J488)</f>
        <v/>
      </c>
      <c r="K488" s="81">
        <f>IF('Ordenes_Odoo'!K488="","",'Ordenes_Odoo'!K488)</f>
        <v/>
      </c>
      <c r="L488" s="81">
        <f>IF('Ordenes_Odoo'!L488="","",'Ordenes_Odoo'!L488)</f>
        <v/>
      </c>
      <c r="M488" s="79">
        <f>IF('Ordenes_Odoo'!M488="","",'Ordenes_Odoo'!M488)</f>
        <v/>
      </c>
      <c r="N488" s="79">
        <f>IF('Ordenes_Odoo'!N488="","",'Ordenes_Odoo'!N488)</f>
        <v/>
      </c>
      <c r="O488" s="81">
        <f>IF('Ordenes_Odoo'!O488="","",'Ordenes_Odoo'!O488)</f>
        <v/>
      </c>
      <c r="P488" s="81">
        <f>IF('Ordenes_Odoo'!P488="","",'Ordenes_Odoo'!P488)</f>
        <v/>
      </c>
      <c r="Q488" s="79">
        <f>IF(A488="","",IFERROR(INDEX(Facturas_Odoo!$B:$B, MATCH(A488, Facturas_Odoo!$D:$D, 0)), "Sin Factura"))</f>
        <v/>
      </c>
      <c r="R488" s="80">
        <f>IF(Q488="Sin Factura","",IFERROR(INDEX(Facturas_Odoo!$A:$A, MATCH(Q488, Facturas_Odoo!$B:$B, 0)), ""))</f>
        <v/>
      </c>
      <c r="S488" s="79">
        <f>IF(Q488="Sin Factura","",IFERROR(_xlfn.XLOOKUP(1, (Facturas_Odoo!$D:$D=A488) * (Facturas_Odoo!$K:$K=I488), Facturas_Odoo!$L:$L, ""), ""))</f>
        <v/>
      </c>
      <c r="T488" s="81">
        <f>IF(Q488="Sin Factura",0,IFERROR(_xlfn.XLOOKUP(1, (Facturas_Odoo!$D:$D=A488) * (Facturas_Odoo!$K:$K=I488), Facturas_Odoo!$M:$M, 0), 0))</f>
        <v/>
      </c>
      <c r="U488" s="79">
        <f>IF(Q488="Sin Factura",0,IFERROR(_xlfn.XLOOKUP(1, (Facturas_Odoo!$D:$D=A488) * (Facturas_Odoo!$K:$K=I488), Facturas_Odoo!$N:$N, 0), 0))</f>
        <v/>
      </c>
      <c r="V488" s="79">
        <f>IF(Q488="Sin Factura",0,IFERROR(_xlfn.XLOOKUP(1, (Facturas_Odoo!$D:$D=A488) * (Facturas_Odoo!$K:$K=I488), Facturas_Odoo!$O:$O, 0), 0))</f>
        <v/>
      </c>
      <c r="W488" s="81">
        <f>IF(Q488="Sin Factura",0,IFERROR(_xlfn.XLOOKUP(1, (Facturas_Odoo!$D:$D=A488) * (Facturas_Odoo!$K:$K=I488), Facturas_Odoo!$Q:$Q, 0), 0))</f>
        <v/>
      </c>
      <c r="X488" s="79">
        <f>IF(OR(Q488="Sin Factura",Q488=""),"",IFERROR(INDEX(Pagos_Odoo!$B:$B, MATCH(Q488, Pagos_Odoo!$I:$I, 0)), "Sin Pago"))</f>
        <v/>
      </c>
      <c r="Y488" s="79">
        <f>IF(X488="Sin Pago","",IFERROR(INDEX(Pagos_Odoo!$C:$C, MATCH(X488, Pagos_Odoo!$B:$B, 0)), ""))</f>
        <v/>
      </c>
      <c r="Z488" s="80">
        <f>IF(X488="Sin Pago","",IFERROR(INDEX(Pagos_Odoo!$A:$A, MATCH(X488, Pagos_Odoo!$B:$B, 0)), ""))</f>
        <v/>
      </c>
      <c r="AA488" s="79">
        <f>IF(X488="Sin Pago","",IFERROR(INDEX(Pagos_Odoo!$F:$F, MATCH(X488, Pagos_Odoo!$B:$B, 0)), ""))</f>
        <v/>
      </c>
      <c r="AB488" s="81">
        <f>IF(X488="Sin Pago",0,IFERROR(INDEX(Pagos_Odoo!$E:$E, MATCH(X488, Pagos_Odoo!$B:$B, 0)), 0))</f>
        <v/>
      </c>
      <c r="AC488" s="79">
        <f>IF(X488="Sin Pago","",IFERROR(INDEX(Pagos_Odoo!$G:$G, MATCH(X488, Pagos_Odoo!$B:$B, 0)), ""))</f>
        <v/>
      </c>
      <c r="AD488" s="82" t="n">
        <v>0</v>
      </c>
      <c r="AE488" s="82" t="n"/>
      <c r="AF488" s="82" t="n"/>
      <c r="AG488" s="82">
        <f>IF(AN488="","",AD488+AE488+AF488)</f>
        <v/>
      </c>
      <c r="AH488" s="81">
        <f>IF(AN488="","",P488*(1-AG488))</f>
        <v/>
      </c>
      <c r="AI488" s="81">
        <f>IF(AN488="","",IF(Q488="Sin Factura",0,IFERROR(INDEX(Facturas_Odoo!$H:$H, MATCH(Q488, Facturas_Odoo!$B:$B, 0)), 0)*(1-AG488)))</f>
        <v/>
      </c>
      <c r="AJ488" s="81">
        <f>IF(AN488="","",_xlfn.LET(idVenta, AN488&amp;"",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88" s="81">
        <f>IF(AN488="","",AH488-AJ488)</f>
        <v/>
      </c>
      <c r="AL488" s="81">
        <f>IF(AN488="","",IF(Q488="Sin Factura","",AI488-AJ488))</f>
        <v/>
      </c>
      <c r="AM488" s="81">
        <f>IF(AN488="","",IF(Q488="Sin Factura",0,P488-IFERROR(INDEX(Facturas_Odoo!$H:$H, MATCH(Q488, Facturas_Odoo!$B:$B, 0)), 0)))</f>
        <v/>
      </c>
      <c r="AN488" s="79">
        <f>IF(AND(A488="", J488=""), "", IF(A488&lt;&gt;"", VALUE(MID(A488,2,LEN(A488))), AN487))</f>
        <v/>
      </c>
      <c r="AO488" s="79">
        <f>IF(AN488="","",IF(AD488=0,"OK",_xlfn.LET(monedaPago, IF(AA488="","USD",AA488), limitePermitido, IFERROR(VLOOKUP(monedaPago, Configuración!$A$2:$B$3, 2, FALSE), 0.15), IF(AD488&gt;limitePermitido, "ALERTA: EXCESO (" &amp; TEXT(limitePermitido, "0%") &amp; " máx)", "OK"))))</f>
        <v/>
      </c>
      <c r="AP488" s="79">
        <f>IF(AN488="","",IF(AE488=0,"OK",_xlfn.LET(fechaPago, Z488, fechaFactura, R488, diasCredito, IF(E488="Pago inmediato", 0, IFERROR(VALUE(MID(E488, 1, SEARCH(" ", E488)-1)),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88" s="79">
        <f>IF(AN488="","",IF(AND(N488&gt;0, AG488&gt;0), IF(Configuración!$K$2="NO", "ALERTA: DESCUENTO DOBLE NO PERMITIDO", "OK"), "OK"))</f>
        <v/>
      </c>
      <c r="AR488" s="79">
        <f>IF(AN488="","",IF(OR(AO488&lt;&gt;"OK", AP488&lt;&gt;"OK", AQ488&lt;&gt;"OK"), "⚠️ REVISAR", "OK"))</f>
        <v/>
      </c>
    </row>
    <row r="489">
      <c r="A489" s="79">
        <f>IF('Ordenes_Odoo'!A489="","",'Ordenes_Odoo'!A489)</f>
        <v/>
      </c>
      <c r="B489" s="80">
        <f>IF('Ordenes_Odoo'!B489="","",'Ordenes_Odoo'!B489)</f>
        <v/>
      </c>
      <c r="C489" s="79">
        <f>IF('Ordenes_Odoo'!C489="","",'Ordenes_Odoo'!C489)</f>
        <v/>
      </c>
      <c r="D489" s="79">
        <f>IF('Ordenes_Odoo'!D489="","",'Ordenes_Odoo'!D489)</f>
        <v/>
      </c>
      <c r="E489" s="79">
        <f>IF('Ordenes_Odoo'!E489="","",'Ordenes_Odoo'!E489)</f>
        <v/>
      </c>
      <c r="F489" s="79">
        <f>IF('Ordenes_Odoo'!F489="","",'Ordenes_Odoo'!F489)</f>
        <v/>
      </c>
      <c r="G489" s="79">
        <f>IF('Ordenes_Odoo'!G489="","",'Ordenes_Odoo'!G489)</f>
        <v/>
      </c>
      <c r="H489" s="79">
        <f>IF('Ordenes_Odoo'!H489="","",'Ordenes_Odoo'!H489)</f>
        <v/>
      </c>
      <c r="I489" s="79">
        <f>IF('Ordenes_Odoo'!I489="","",'Ordenes_Odoo'!I489)</f>
        <v/>
      </c>
      <c r="J489" s="79">
        <f>IF('Ordenes_Odoo'!J489="","",'Ordenes_Odoo'!J489)</f>
        <v/>
      </c>
      <c r="K489" s="81">
        <f>IF('Ordenes_Odoo'!K489="","",'Ordenes_Odoo'!K489)</f>
        <v/>
      </c>
      <c r="L489" s="81">
        <f>IF('Ordenes_Odoo'!L489="","",'Ordenes_Odoo'!L489)</f>
        <v/>
      </c>
      <c r="M489" s="79">
        <f>IF('Ordenes_Odoo'!M489="","",'Ordenes_Odoo'!M489)</f>
        <v/>
      </c>
      <c r="N489" s="79">
        <f>IF('Ordenes_Odoo'!N489="","",'Ordenes_Odoo'!N489)</f>
        <v/>
      </c>
      <c r="O489" s="81">
        <f>IF('Ordenes_Odoo'!O489="","",'Ordenes_Odoo'!O489)</f>
        <v/>
      </c>
      <c r="P489" s="81">
        <f>IF('Ordenes_Odoo'!P489="","",'Ordenes_Odoo'!P489)</f>
        <v/>
      </c>
      <c r="Q489" s="79">
        <f>IF(A489="","",IFERROR(INDEX(Facturas_Odoo!$B:$B, MATCH(A489, Facturas_Odoo!$D:$D, 0)), "Sin Factura"))</f>
        <v/>
      </c>
      <c r="R489" s="80">
        <f>IF(Q489="Sin Factura","",IFERROR(INDEX(Facturas_Odoo!$A:$A, MATCH(Q489, Facturas_Odoo!$B:$B, 0)), ""))</f>
        <v/>
      </c>
      <c r="S489" s="79">
        <f>IF(Q489="Sin Factura","",IFERROR(_xlfn.XLOOKUP(1, (Facturas_Odoo!$D:$D=A489) * (Facturas_Odoo!$K:$K=I489), Facturas_Odoo!$L:$L, ""), ""))</f>
        <v/>
      </c>
      <c r="T489" s="81">
        <f>IF(Q489="Sin Factura",0,IFERROR(_xlfn.XLOOKUP(1, (Facturas_Odoo!$D:$D=A489) * (Facturas_Odoo!$K:$K=I489), Facturas_Odoo!$M:$M, 0), 0))</f>
        <v/>
      </c>
      <c r="U489" s="79">
        <f>IF(Q489="Sin Factura",0,IFERROR(_xlfn.XLOOKUP(1, (Facturas_Odoo!$D:$D=A489) * (Facturas_Odoo!$K:$K=I489), Facturas_Odoo!$N:$N, 0), 0))</f>
        <v/>
      </c>
      <c r="V489" s="79">
        <f>IF(Q489="Sin Factura",0,IFERROR(_xlfn.XLOOKUP(1, (Facturas_Odoo!$D:$D=A489) * (Facturas_Odoo!$K:$K=I489), Facturas_Odoo!$O:$O, 0), 0))</f>
        <v/>
      </c>
      <c r="W489" s="81">
        <f>IF(Q489="Sin Factura",0,IFERROR(_xlfn.XLOOKUP(1, (Facturas_Odoo!$D:$D=A489) * (Facturas_Odoo!$K:$K=I489), Facturas_Odoo!$Q:$Q, 0), 0))</f>
        <v/>
      </c>
      <c r="X489" s="79">
        <f>IF(OR(Q489="Sin Factura",Q489=""),"",IFERROR(INDEX(Pagos_Odoo!$B:$B, MATCH(Q489, Pagos_Odoo!$I:$I, 0)), "Sin Pago"))</f>
        <v/>
      </c>
      <c r="Y489" s="79">
        <f>IF(X489="Sin Pago","",IFERROR(INDEX(Pagos_Odoo!$C:$C, MATCH(X489, Pagos_Odoo!$B:$B, 0)), ""))</f>
        <v/>
      </c>
      <c r="Z489" s="80">
        <f>IF(X489="Sin Pago","",IFERROR(INDEX(Pagos_Odoo!$A:$A, MATCH(X489, Pagos_Odoo!$B:$B, 0)), ""))</f>
        <v/>
      </c>
      <c r="AA489" s="79">
        <f>IF(X489="Sin Pago","",IFERROR(INDEX(Pagos_Odoo!$F:$F, MATCH(X489, Pagos_Odoo!$B:$B, 0)), ""))</f>
        <v/>
      </c>
      <c r="AB489" s="81">
        <f>IF(X489="Sin Pago",0,IFERROR(INDEX(Pagos_Odoo!$E:$E, MATCH(X489, Pagos_Odoo!$B:$B, 0)), 0))</f>
        <v/>
      </c>
      <c r="AC489" s="79">
        <f>IF(X489="Sin Pago","",IFERROR(INDEX(Pagos_Odoo!$G:$G, MATCH(X489, Pagos_Odoo!$B:$B, 0)), ""))</f>
        <v/>
      </c>
      <c r="AD489" s="82" t="n">
        <v>0</v>
      </c>
      <c r="AE489" s="82" t="n"/>
      <c r="AF489" s="82" t="n"/>
      <c r="AG489" s="82">
        <f>IF(AN489="","",AD489+AE489+AF489)</f>
        <v/>
      </c>
      <c r="AH489" s="81">
        <f>IF(AN489="","",P489*(1-AG489))</f>
        <v/>
      </c>
      <c r="AI489" s="81">
        <f>IF(AN489="","",IF(Q489="Sin Factura",0,IFERROR(INDEX(Facturas_Odoo!$H:$H, MATCH(Q489, Facturas_Odoo!$B:$B, 0)), 0)*(1-AG489)))</f>
        <v/>
      </c>
      <c r="AJ489" s="81">
        <f>IF(AN489="","",_xlfn.LET(idVenta, AN489&amp;"",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89" s="81">
        <f>IF(AN489="","",AH489-AJ489)</f>
        <v/>
      </c>
      <c r="AL489" s="81">
        <f>IF(AN489="","",IF(Q489="Sin Factura","",AI489-AJ489))</f>
        <v/>
      </c>
      <c r="AM489" s="81">
        <f>IF(AN489="","",IF(Q489="Sin Factura",0,P489-IFERROR(INDEX(Facturas_Odoo!$H:$H, MATCH(Q489, Facturas_Odoo!$B:$B, 0)), 0)))</f>
        <v/>
      </c>
      <c r="AN489" s="79">
        <f>IF(AND(A489="", J489=""), "", IF(A489&lt;&gt;"", VALUE(MID(A489,2,LEN(A489))), AN488))</f>
        <v/>
      </c>
      <c r="AO489" s="79">
        <f>IF(AN489="","",IF(AD489=0,"OK",_xlfn.LET(monedaPago, IF(AA489="","USD",AA489), limitePermitido, IFERROR(VLOOKUP(monedaPago, Configuración!$A$2:$B$3, 2, FALSE), 0.15), IF(AD489&gt;limitePermitido, "ALERTA: EXCESO (" &amp; TEXT(limitePermitido, "0%") &amp; " máx)", "OK"))))</f>
        <v/>
      </c>
      <c r="AP489" s="79">
        <f>IF(AN489="","",IF(AE489=0,"OK",_xlfn.LET(fechaPago, Z489, fechaFactura, R489, diasCredito, IF(E489="Pago inmediato", 0, IFERROR(VALUE(MID(E489, 1, SEARCH(" ", E489)-1)),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89" s="79">
        <f>IF(AN489="","",IF(AND(N489&gt;0, AG489&gt;0), IF(Configuración!$K$2="NO", "ALERTA: DESCUENTO DOBLE NO PERMITIDO", "OK"), "OK"))</f>
        <v/>
      </c>
      <c r="AR489" s="79">
        <f>IF(AN489="","",IF(OR(AO489&lt;&gt;"OK", AP489&lt;&gt;"OK", AQ489&lt;&gt;"OK"), "⚠️ REVISAR", "OK"))</f>
        <v/>
      </c>
    </row>
    <row r="490">
      <c r="A490" s="79">
        <f>IF('Ordenes_Odoo'!A490="","",'Ordenes_Odoo'!A490)</f>
        <v/>
      </c>
      <c r="B490" s="80">
        <f>IF('Ordenes_Odoo'!B490="","",'Ordenes_Odoo'!B490)</f>
        <v/>
      </c>
      <c r="C490" s="79">
        <f>IF('Ordenes_Odoo'!C490="","",'Ordenes_Odoo'!C490)</f>
        <v/>
      </c>
      <c r="D490" s="79">
        <f>IF('Ordenes_Odoo'!D490="","",'Ordenes_Odoo'!D490)</f>
        <v/>
      </c>
      <c r="E490" s="79">
        <f>IF('Ordenes_Odoo'!E490="","",'Ordenes_Odoo'!E490)</f>
        <v/>
      </c>
      <c r="F490" s="79">
        <f>IF('Ordenes_Odoo'!F490="","",'Ordenes_Odoo'!F490)</f>
        <v/>
      </c>
      <c r="G490" s="79">
        <f>IF('Ordenes_Odoo'!G490="","",'Ordenes_Odoo'!G490)</f>
        <v/>
      </c>
      <c r="H490" s="79">
        <f>IF('Ordenes_Odoo'!H490="","",'Ordenes_Odoo'!H490)</f>
        <v/>
      </c>
      <c r="I490" s="79">
        <f>IF('Ordenes_Odoo'!I490="","",'Ordenes_Odoo'!I490)</f>
        <v/>
      </c>
      <c r="J490" s="79">
        <f>IF('Ordenes_Odoo'!J490="","",'Ordenes_Odoo'!J490)</f>
        <v/>
      </c>
      <c r="K490" s="81">
        <f>IF('Ordenes_Odoo'!K490="","",'Ordenes_Odoo'!K490)</f>
        <v/>
      </c>
      <c r="L490" s="81">
        <f>IF('Ordenes_Odoo'!L490="","",'Ordenes_Odoo'!L490)</f>
        <v/>
      </c>
      <c r="M490" s="79">
        <f>IF('Ordenes_Odoo'!M490="","",'Ordenes_Odoo'!M490)</f>
        <v/>
      </c>
      <c r="N490" s="79">
        <f>IF('Ordenes_Odoo'!N490="","",'Ordenes_Odoo'!N490)</f>
        <v/>
      </c>
      <c r="O490" s="81">
        <f>IF('Ordenes_Odoo'!O490="","",'Ordenes_Odoo'!O490)</f>
        <v/>
      </c>
      <c r="P490" s="81">
        <f>IF('Ordenes_Odoo'!P490="","",'Ordenes_Odoo'!P490)</f>
        <v/>
      </c>
      <c r="Q490" s="79">
        <f>IF(A490="","",IFERROR(INDEX(Facturas_Odoo!$B:$B, MATCH(A490, Facturas_Odoo!$D:$D, 0)), "Sin Factura"))</f>
        <v/>
      </c>
      <c r="R490" s="80">
        <f>IF(Q490="Sin Factura","",IFERROR(INDEX(Facturas_Odoo!$A:$A, MATCH(Q490, Facturas_Odoo!$B:$B, 0)), ""))</f>
        <v/>
      </c>
      <c r="S490" s="79">
        <f>IF(Q490="Sin Factura","",IFERROR(_xlfn.XLOOKUP(1, (Facturas_Odoo!$D:$D=A490) * (Facturas_Odoo!$K:$K=I490), Facturas_Odoo!$L:$L, ""), ""))</f>
        <v/>
      </c>
      <c r="T490" s="81">
        <f>IF(Q490="Sin Factura",0,IFERROR(_xlfn.XLOOKUP(1, (Facturas_Odoo!$D:$D=A490) * (Facturas_Odoo!$K:$K=I490), Facturas_Odoo!$M:$M, 0), 0))</f>
        <v/>
      </c>
      <c r="U490" s="79">
        <f>IF(Q490="Sin Factura",0,IFERROR(_xlfn.XLOOKUP(1, (Facturas_Odoo!$D:$D=A490) * (Facturas_Odoo!$K:$K=I490), Facturas_Odoo!$N:$N, 0), 0))</f>
        <v/>
      </c>
      <c r="V490" s="79">
        <f>IF(Q490="Sin Factura",0,IFERROR(_xlfn.XLOOKUP(1, (Facturas_Odoo!$D:$D=A490) * (Facturas_Odoo!$K:$K=I490), Facturas_Odoo!$O:$O, 0), 0))</f>
        <v/>
      </c>
      <c r="W490" s="81">
        <f>IF(Q490="Sin Factura",0,IFERROR(_xlfn.XLOOKUP(1, (Facturas_Odoo!$D:$D=A490) * (Facturas_Odoo!$K:$K=I490), Facturas_Odoo!$Q:$Q, 0), 0))</f>
        <v/>
      </c>
      <c r="X490" s="79">
        <f>IF(OR(Q490="Sin Factura",Q490=""),"",IFERROR(INDEX(Pagos_Odoo!$B:$B, MATCH(Q490, Pagos_Odoo!$I:$I, 0)), "Sin Pago"))</f>
        <v/>
      </c>
      <c r="Y490" s="79">
        <f>IF(X490="Sin Pago","",IFERROR(INDEX(Pagos_Odoo!$C:$C, MATCH(X490, Pagos_Odoo!$B:$B, 0)), ""))</f>
        <v/>
      </c>
      <c r="Z490" s="80">
        <f>IF(X490="Sin Pago","",IFERROR(INDEX(Pagos_Odoo!$A:$A, MATCH(X490, Pagos_Odoo!$B:$B, 0)), ""))</f>
        <v/>
      </c>
      <c r="AA490" s="79">
        <f>IF(X490="Sin Pago","",IFERROR(INDEX(Pagos_Odoo!$F:$F, MATCH(X490, Pagos_Odoo!$B:$B, 0)), ""))</f>
        <v/>
      </c>
      <c r="AB490" s="81">
        <f>IF(X490="Sin Pago",0,IFERROR(INDEX(Pagos_Odoo!$E:$E, MATCH(X490, Pagos_Odoo!$B:$B, 0)), 0))</f>
        <v/>
      </c>
      <c r="AC490" s="79">
        <f>IF(X490="Sin Pago","",IFERROR(INDEX(Pagos_Odoo!$G:$G, MATCH(X490, Pagos_Odoo!$B:$B, 0)), ""))</f>
        <v/>
      </c>
      <c r="AD490" s="82" t="n">
        <v>0</v>
      </c>
      <c r="AE490" s="82" t="n"/>
      <c r="AF490" s="82" t="n"/>
      <c r="AG490" s="82">
        <f>IF(AN490="","",AD490+AE490+AF490)</f>
        <v/>
      </c>
      <c r="AH490" s="81">
        <f>IF(AN490="","",P490*(1-AG490))</f>
        <v/>
      </c>
      <c r="AI490" s="81">
        <f>IF(AN490="","",IF(Q490="Sin Factura",0,IFERROR(INDEX(Facturas_Odoo!$H:$H, MATCH(Q490, Facturas_Odoo!$B:$B, 0)), 0)*(1-AG490)))</f>
        <v/>
      </c>
      <c r="AJ490" s="81">
        <f>IF(AN490="","",_xlfn.LET(idVenta, AN490&amp;"",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90" s="81">
        <f>IF(AN490="","",AH490-AJ490)</f>
        <v/>
      </c>
      <c r="AL490" s="81">
        <f>IF(AN490="","",IF(Q490="Sin Factura","",AI490-AJ490))</f>
        <v/>
      </c>
      <c r="AM490" s="81">
        <f>IF(AN490="","",IF(Q490="Sin Factura",0,P490-IFERROR(INDEX(Facturas_Odoo!$H:$H, MATCH(Q490, Facturas_Odoo!$B:$B, 0)), 0)))</f>
        <v/>
      </c>
      <c r="AN490" s="79">
        <f>IF(AND(A490="", J490=""), "", IF(A490&lt;&gt;"", VALUE(MID(A490,2,LEN(A490))), AN489))</f>
        <v/>
      </c>
      <c r="AO490" s="79">
        <f>IF(AN490="","",IF(AD490=0,"OK",_xlfn.LET(monedaPago, IF(AA490="","USD",AA490), limitePermitido, IFERROR(VLOOKUP(monedaPago, Configuración!$A$2:$B$3, 2, FALSE), 0.15), IF(AD490&gt;limitePermitido, "ALERTA: EXCESO (" &amp; TEXT(limitePermitido, "0%") &amp; " máx)", "OK"))))</f>
        <v/>
      </c>
      <c r="AP490" s="79">
        <f>IF(AN490="","",IF(AE490=0,"OK",_xlfn.LET(fechaPago, Z490, fechaFactura, R490, diasCredito, IF(E490="Pago inmediato", 0, IFERROR(VALUE(MID(E490, 1, SEARCH(" ", E490)-1)),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90" s="79">
        <f>IF(AN490="","",IF(AND(N490&gt;0, AG490&gt;0), IF(Configuración!$K$2="NO", "ALERTA: DESCUENTO DOBLE NO PERMITIDO", "OK"), "OK"))</f>
        <v/>
      </c>
      <c r="AR490" s="79">
        <f>IF(AN490="","",IF(OR(AO490&lt;&gt;"OK", AP490&lt;&gt;"OK", AQ490&lt;&gt;"OK"), "⚠️ REVISAR", "OK"))</f>
        <v/>
      </c>
    </row>
    <row r="491">
      <c r="A491" s="79">
        <f>IF('Ordenes_Odoo'!A491="","",'Ordenes_Odoo'!A491)</f>
        <v/>
      </c>
      <c r="B491" s="80">
        <f>IF('Ordenes_Odoo'!B491="","",'Ordenes_Odoo'!B491)</f>
        <v/>
      </c>
      <c r="C491" s="79">
        <f>IF('Ordenes_Odoo'!C491="","",'Ordenes_Odoo'!C491)</f>
        <v/>
      </c>
      <c r="D491" s="79">
        <f>IF('Ordenes_Odoo'!D491="","",'Ordenes_Odoo'!D491)</f>
        <v/>
      </c>
      <c r="E491" s="79">
        <f>IF('Ordenes_Odoo'!E491="","",'Ordenes_Odoo'!E491)</f>
        <v/>
      </c>
      <c r="F491" s="79">
        <f>IF('Ordenes_Odoo'!F491="","",'Ordenes_Odoo'!F491)</f>
        <v/>
      </c>
      <c r="G491" s="79">
        <f>IF('Ordenes_Odoo'!G491="","",'Ordenes_Odoo'!G491)</f>
        <v/>
      </c>
      <c r="H491" s="79">
        <f>IF('Ordenes_Odoo'!H491="","",'Ordenes_Odoo'!H491)</f>
        <v/>
      </c>
      <c r="I491" s="79">
        <f>IF('Ordenes_Odoo'!I491="","",'Ordenes_Odoo'!I491)</f>
        <v/>
      </c>
      <c r="J491" s="79">
        <f>IF('Ordenes_Odoo'!J491="","",'Ordenes_Odoo'!J491)</f>
        <v/>
      </c>
      <c r="K491" s="81">
        <f>IF('Ordenes_Odoo'!K491="","",'Ordenes_Odoo'!K491)</f>
        <v/>
      </c>
      <c r="L491" s="81">
        <f>IF('Ordenes_Odoo'!L491="","",'Ordenes_Odoo'!L491)</f>
        <v/>
      </c>
      <c r="M491" s="79">
        <f>IF('Ordenes_Odoo'!M491="","",'Ordenes_Odoo'!M491)</f>
        <v/>
      </c>
      <c r="N491" s="79">
        <f>IF('Ordenes_Odoo'!N491="","",'Ordenes_Odoo'!N491)</f>
        <v/>
      </c>
      <c r="O491" s="81">
        <f>IF('Ordenes_Odoo'!O491="","",'Ordenes_Odoo'!O491)</f>
        <v/>
      </c>
      <c r="P491" s="81">
        <f>IF('Ordenes_Odoo'!P491="","",'Ordenes_Odoo'!P491)</f>
        <v/>
      </c>
      <c r="Q491" s="79">
        <f>IF(A491="","",IFERROR(INDEX(Facturas_Odoo!$B:$B, MATCH(A491, Facturas_Odoo!$D:$D, 0)), "Sin Factura"))</f>
        <v/>
      </c>
      <c r="R491" s="80">
        <f>IF(Q491="Sin Factura","",IFERROR(INDEX(Facturas_Odoo!$A:$A, MATCH(Q491, Facturas_Odoo!$B:$B, 0)), ""))</f>
        <v/>
      </c>
      <c r="S491" s="79">
        <f>IF(Q491="Sin Factura","",IFERROR(_xlfn.XLOOKUP(1, (Facturas_Odoo!$D:$D=A491) * (Facturas_Odoo!$K:$K=I491), Facturas_Odoo!$L:$L, ""), ""))</f>
        <v/>
      </c>
      <c r="T491" s="81">
        <f>IF(Q491="Sin Factura",0,IFERROR(_xlfn.XLOOKUP(1, (Facturas_Odoo!$D:$D=A491) * (Facturas_Odoo!$K:$K=I491), Facturas_Odoo!$M:$M, 0), 0))</f>
        <v/>
      </c>
      <c r="U491" s="79">
        <f>IF(Q491="Sin Factura",0,IFERROR(_xlfn.XLOOKUP(1, (Facturas_Odoo!$D:$D=A491) * (Facturas_Odoo!$K:$K=I491), Facturas_Odoo!$N:$N, 0), 0))</f>
        <v/>
      </c>
      <c r="V491" s="79">
        <f>IF(Q491="Sin Factura",0,IFERROR(_xlfn.XLOOKUP(1, (Facturas_Odoo!$D:$D=A491) * (Facturas_Odoo!$K:$K=I491), Facturas_Odoo!$O:$O, 0), 0))</f>
        <v/>
      </c>
      <c r="W491" s="81">
        <f>IF(Q491="Sin Factura",0,IFERROR(_xlfn.XLOOKUP(1, (Facturas_Odoo!$D:$D=A491) * (Facturas_Odoo!$K:$K=I491), Facturas_Odoo!$Q:$Q, 0), 0))</f>
        <v/>
      </c>
      <c r="X491" s="79">
        <f>IF(OR(Q491="Sin Factura",Q491=""),"",IFERROR(INDEX(Pagos_Odoo!$B:$B, MATCH(Q491, Pagos_Odoo!$I:$I, 0)), "Sin Pago"))</f>
        <v/>
      </c>
      <c r="Y491" s="79">
        <f>IF(X491="Sin Pago","",IFERROR(INDEX(Pagos_Odoo!$C:$C, MATCH(X491, Pagos_Odoo!$B:$B, 0)), ""))</f>
        <v/>
      </c>
      <c r="Z491" s="80">
        <f>IF(X491="Sin Pago","",IFERROR(INDEX(Pagos_Odoo!$A:$A, MATCH(X491, Pagos_Odoo!$B:$B, 0)), ""))</f>
        <v/>
      </c>
      <c r="AA491" s="79">
        <f>IF(X491="Sin Pago","",IFERROR(INDEX(Pagos_Odoo!$F:$F, MATCH(X491, Pagos_Odoo!$B:$B, 0)), ""))</f>
        <v/>
      </c>
      <c r="AB491" s="81">
        <f>IF(X491="Sin Pago",0,IFERROR(INDEX(Pagos_Odoo!$E:$E, MATCH(X491, Pagos_Odoo!$B:$B, 0)), 0))</f>
        <v/>
      </c>
      <c r="AC491" s="79">
        <f>IF(X491="Sin Pago","",IFERROR(INDEX(Pagos_Odoo!$G:$G, MATCH(X491, Pagos_Odoo!$B:$B, 0)), ""))</f>
        <v/>
      </c>
      <c r="AD491" s="82" t="n">
        <v>0</v>
      </c>
      <c r="AE491" s="82" t="n"/>
      <c r="AF491" s="82" t="n"/>
      <c r="AG491" s="82">
        <f>IF(AN491="","",AD491+AE491+AF491)</f>
        <v/>
      </c>
      <c r="AH491" s="81">
        <f>IF(AN491="","",P491*(1-AG491))</f>
        <v/>
      </c>
      <c r="AI491" s="81">
        <f>IF(AN491="","",IF(Q491="Sin Factura",0,IFERROR(INDEX(Facturas_Odoo!$H:$H, MATCH(Q491, Facturas_Odoo!$B:$B, 0)), 0)*(1-AG491)))</f>
        <v/>
      </c>
      <c r="AJ491" s="81">
        <f>IF(AN491="","",_xlfn.LET(idVenta, AN491&amp;"",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91" s="81">
        <f>IF(AN491="","",AH491-AJ491)</f>
        <v/>
      </c>
      <c r="AL491" s="81">
        <f>IF(AN491="","",IF(Q491="Sin Factura","",AI491-AJ491))</f>
        <v/>
      </c>
      <c r="AM491" s="81">
        <f>IF(AN491="","",IF(Q491="Sin Factura",0,P491-IFERROR(INDEX(Facturas_Odoo!$H:$H, MATCH(Q491, Facturas_Odoo!$B:$B, 0)), 0)))</f>
        <v/>
      </c>
      <c r="AN491" s="79">
        <f>IF(AND(A491="", J491=""), "", IF(A491&lt;&gt;"", VALUE(MID(A491,2,LEN(A491))), AN490))</f>
        <v/>
      </c>
      <c r="AO491" s="79">
        <f>IF(AN491="","",IF(AD491=0,"OK",_xlfn.LET(monedaPago, IF(AA491="","USD",AA491), limitePermitido, IFERROR(VLOOKUP(monedaPago, Configuración!$A$2:$B$3, 2, FALSE), 0.15), IF(AD491&gt;limitePermitido, "ALERTA: EXCESO (" &amp; TEXT(limitePermitido, "0%") &amp; " máx)", "OK"))))</f>
        <v/>
      </c>
      <c r="AP491" s="79">
        <f>IF(AN491="","",IF(AE491=0,"OK",_xlfn.LET(fechaPago, Z491, fechaFactura, R491, diasCredito, IF(E491="Pago inmediato", 0, IFERROR(VALUE(MID(E491, 1, SEARCH(" ", E491)-1)),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91" s="79">
        <f>IF(AN491="","",IF(AND(N491&gt;0, AG491&gt;0), IF(Configuración!$K$2="NO", "ALERTA: DESCUENTO DOBLE NO PERMITIDO", "OK"), "OK"))</f>
        <v/>
      </c>
      <c r="AR491" s="79">
        <f>IF(AN491="","",IF(OR(AO491&lt;&gt;"OK", AP491&lt;&gt;"OK", AQ491&lt;&gt;"OK"), "⚠️ REVISAR", "OK"))</f>
        <v/>
      </c>
    </row>
    <row r="492">
      <c r="A492" s="79">
        <f>IF('Ordenes_Odoo'!A492="","",'Ordenes_Odoo'!A492)</f>
        <v/>
      </c>
      <c r="B492" s="80">
        <f>IF('Ordenes_Odoo'!B492="","",'Ordenes_Odoo'!B492)</f>
        <v/>
      </c>
      <c r="C492" s="79">
        <f>IF('Ordenes_Odoo'!C492="","",'Ordenes_Odoo'!C492)</f>
        <v/>
      </c>
      <c r="D492" s="79">
        <f>IF('Ordenes_Odoo'!D492="","",'Ordenes_Odoo'!D492)</f>
        <v/>
      </c>
      <c r="E492" s="79">
        <f>IF('Ordenes_Odoo'!E492="","",'Ordenes_Odoo'!E492)</f>
        <v/>
      </c>
      <c r="F492" s="79">
        <f>IF('Ordenes_Odoo'!F492="","",'Ordenes_Odoo'!F492)</f>
        <v/>
      </c>
      <c r="G492" s="79">
        <f>IF('Ordenes_Odoo'!G492="","",'Ordenes_Odoo'!G492)</f>
        <v/>
      </c>
      <c r="H492" s="79">
        <f>IF('Ordenes_Odoo'!H492="","",'Ordenes_Odoo'!H492)</f>
        <v/>
      </c>
      <c r="I492" s="79">
        <f>IF('Ordenes_Odoo'!I492="","",'Ordenes_Odoo'!I492)</f>
        <v/>
      </c>
      <c r="J492" s="79">
        <f>IF('Ordenes_Odoo'!J492="","",'Ordenes_Odoo'!J492)</f>
        <v/>
      </c>
      <c r="K492" s="81">
        <f>IF('Ordenes_Odoo'!K492="","",'Ordenes_Odoo'!K492)</f>
        <v/>
      </c>
      <c r="L492" s="81">
        <f>IF('Ordenes_Odoo'!L492="","",'Ordenes_Odoo'!L492)</f>
        <v/>
      </c>
      <c r="M492" s="79">
        <f>IF('Ordenes_Odoo'!M492="","",'Ordenes_Odoo'!M492)</f>
        <v/>
      </c>
      <c r="N492" s="79">
        <f>IF('Ordenes_Odoo'!N492="","",'Ordenes_Odoo'!N492)</f>
        <v/>
      </c>
      <c r="O492" s="81">
        <f>IF('Ordenes_Odoo'!O492="","",'Ordenes_Odoo'!O492)</f>
        <v/>
      </c>
      <c r="P492" s="81">
        <f>IF('Ordenes_Odoo'!P492="","",'Ordenes_Odoo'!P492)</f>
        <v/>
      </c>
      <c r="Q492" s="79">
        <f>IF(A492="","",IFERROR(INDEX(Facturas_Odoo!$B:$B, MATCH(A492, Facturas_Odoo!$D:$D, 0)), "Sin Factura"))</f>
        <v/>
      </c>
      <c r="R492" s="80">
        <f>IF(Q492="Sin Factura","",IFERROR(INDEX(Facturas_Odoo!$A:$A, MATCH(Q492, Facturas_Odoo!$B:$B, 0)), ""))</f>
        <v/>
      </c>
      <c r="S492" s="79">
        <f>IF(Q492="Sin Factura","",IFERROR(_xlfn.XLOOKUP(1, (Facturas_Odoo!$D:$D=A492) * (Facturas_Odoo!$K:$K=I492), Facturas_Odoo!$L:$L, ""), ""))</f>
        <v/>
      </c>
      <c r="T492" s="81">
        <f>IF(Q492="Sin Factura",0,IFERROR(_xlfn.XLOOKUP(1, (Facturas_Odoo!$D:$D=A492) * (Facturas_Odoo!$K:$K=I492), Facturas_Odoo!$M:$M, 0), 0))</f>
        <v/>
      </c>
      <c r="U492" s="79">
        <f>IF(Q492="Sin Factura",0,IFERROR(_xlfn.XLOOKUP(1, (Facturas_Odoo!$D:$D=A492) * (Facturas_Odoo!$K:$K=I492), Facturas_Odoo!$N:$N, 0), 0))</f>
        <v/>
      </c>
      <c r="V492" s="79">
        <f>IF(Q492="Sin Factura",0,IFERROR(_xlfn.XLOOKUP(1, (Facturas_Odoo!$D:$D=A492) * (Facturas_Odoo!$K:$K=I492), Facturas_Odoo!$O:$O, 0), 0))</f>
        <v/>
      </c>
      <c r="W492" s="81">
        <f>IF(Q492="Sin Factura",0,IFERROR(_xlfn.XLOOKUP(1, (Facturas_Odoo!$D:$D=A492) * (Facturas_Odoo!$K:$K=I492), Facturas_Odoo!$Q:$Q, 0), 0))</f>
        <v/>
      </c>
      <c r="X492" s="79">
        <f>IF(OR(Q492="Sin Factura",Q492=""),"",IFERROR(INDEX(Pagos_Odoo!$B:$B, MATCH(Q492, Pagos_Odoo!$I:$I, 0)), "Sin Pago"))</f>
        <v/>
      </c>
      <c r="Y492" s="79">
        <f>IF(X492="Sin Pago","",IFERROR(INDEX(Pagos_Odoo!$C:$C, MATCH(X492, Pagos_Odoo!$B:$B, 0)), ""))</f>
        <v/>
      </c>
      <c r="Z492" s="80">
        <f>IF(X492="Sin Pago","",IFERROR(INDEX(Pagos_Odoo!$A:$A, MATCH(X492, Pagos_Odoo!$B:$B, 0)), ""))</f>
        <v/>
      </c>
      <c r="AA492" s="79">
        <f>IF(X492="Sin Pago","",IFERROR(INDEX(Pagos_Odoo!$F:$F, MATCH(X492, Pagos_Odoo!$B:$B, 0)), ""))</f>
        <v/>
      </c>
      <c r="AB492" s="81">
        <f>IF(X492="Sin Pago",0,IFERROR(INDEX(Pagos_Odoo!$E:$E, MATCH(X492, Pagos_Odoo!$B:$B, 0)), 0))</f>
        <v/>
      </c>
      <c r="AC492" s="79">
        <f>IF(X492="Sin Pago","",IFERROR(INDEX(Pagos_Odoo!$G:$G, MATCH(X492, Pagos_Odoo!$B:$B, 0)), ""))</f>
        <v/>
      </c>
      <c r="AD492" s="82" t="n">
        <v>0</v>
      </c>
      <c r="AE492" s="82" t="n"/>
      <c r="AF492" s="82" t="n"/>
      <c r="AG492" s="82">
        <f>IF(AN492="","",AD492+AE492+AF492)</f>
        <v/>
      </c>
      <c r="AH492" s="81">
        <f>IF(AN492="","",P492*(1-AG492))</f>
        <v/>
      </c>
      <c r="AI492" s="81">
        <f>IF(AN492="","",IF(Q492="Sin Factura",0,IFERROR(INDEX(Facturas_Odoo!$H:$H, MATCH(Q492, Facturas_Odoo!$B:$B, 0)), 0)*(1-AG492)))</f>
        <v/>
      </c>
      <c r="AJ492" s="81">
        <f>IF(AN492="","",_xlfn.LET(idVenta, AN492&amp;"",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92" s="81">
        <f>IF(AN492="","",AH492-AJ492)</f>
        <v/>
      </c>
      <c r="AL492" s="81">
        <f>IF(AN492="","",IF(Q492="Sin Factura","",AI492-AJ492))</f>
        <v/>
      </c>
      <c r="AM492" s="81">
        <f>IF(AN492="","",IF(Q492="Sin Factura",0,P492-IFERROR(INDEX(Facturas_Odoo!$H:$H, MATCH(Q492, Facturas_Odoo!$B:$B, 0)), 0)))</f>
        <v/>
      </c>
      <c r="AN492" s="79">
        <f>IF(AND(A492="", J492=""), "", IF(A492&lt;&gt;"", VALUE(MID(A492,2,LEN(A492))), AN491))</f>
        <v/>
      </c>
      <c r="AO492" s="79">
        <f>IF(AN492="","",IF(AD492=0,"OK",_xlfn.LET(monedaPago, IF(AA492="","USD",AA492), limitePermitido, IFERROR(VLOOKUP(monedaPago, Configuración!$A$2:$B$3, 2, FALSE), 0.15), IF(AD492&gt;limitePermitido, "ALERTA: EXCESO (" &amp; TEXT(limitePermitido, "0%") &amp; " máx)", "OK"))))</f>
        <v/>
      </c>
      <c r="AP492" s="79">
        <f>IF(AN492="","",IF(AE492=0,"OK",_xlfn.LET(fechaPago, Z492, fechaFactura, R492, diasCredito, IF(E492="Pago inmediato", 0, IFERROR(VALUE(MID(E492, 1, SEARCH(" ", E492)-1)),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92" s="79">
        <f>IF(AN492="","",IF(AND(N492&gt;0, AG492&gt;0), IF(Configuración!$K$2="NO", "ALERTA: DESCUENTO DOBLE NO PERMITIDO", "OK"), "OK"))</f>
        <v/>
      </c>
      <c r="AR492" s="79">
        <f>IF(AN492="","",IF(OR(AO492&lt;&gt;"OK", AP492&lt;&gt;"OK", AQ492&lt;&gt;"OK"), "⚠️ REVISAR", "OK"))</f>
        <v/>
      </c>
    </row>
    <row r="493">
      <c r="A493" s="79">
        <f>IF('Ordenes_Odoo'!A493="","",'Ordenes_Odoo'!A493)</f>
        <v/>
      </c>
      <c r="B493" s="80">
        <f>IF('Ordenes_Odoo'!B493="","",'Ordenes_Odoo'!B493)</f>
        <v/>
      </c>
      <c r="C493" s="79">
        <f>IF('Ordenes_Odoo'!C493="","",'Ordenes_Odoo'!C493)</f>
        <v/>
      </c>
      <c r="D493" s="79">
        <f>IF('Ordenes_Odoo'!D493="","",'Ordenes_Odoo'!D493)</f>
        <v/>
      </c>
      <c r="E493" s="79">
        <f>IF('Ordenes_Odoo'!E493="","",'Ordenes_Odoo'!E493)</f>
        <v/>
      </c>
      <c r="F493" s="79">
        <f>IF('Ordenes_Odoo'!F493="","",'Ordenes_Odoo'!F493)</f>
        <v/>
      </c>
      <c r="G493" s="79">
        <f>IF('Ordenes_Odoo'!G493="","",'Ordenes_Odoo'!G493)</f>
        <v/>
      </c>
      <c r="H493" s="79">
        <f>IF('Ordenes_Odoo'!H493="","",'Ordenes_Odoo'!H493)</f>
        <v/>
      </c>
      <c r="I493" s="79">
        <f>IF('Ordenes_Odoo'!I493="","",'Ordenes_Odoo'!I493)</f>
        <v/>
      </c>
      <c r="J493" s="79">
        <f>IF('Ordenes_Odoo'!J493="","",'Ordenes_Odoo'!J493)</f>
        <v/>
      </c>
      <c r="K493" s="81">
        <f>IF('Ordenes_Odoo'!K493="","",'Ordenes_Odoo'!K493)</f>
        <v/>
      </c>
      <c r="L493" s="81">
        <f>IF('Ordenes_Odoo'!L493="","",'Ordenes_Odoo'!L493)</f>
        <v/>
      </c>
      <c r="M493" s="79">
        <f>IF('Ordenes_Odoo'!M493="","",'Ordenes_Odoo'!M493)</f>
        <v/>
      </c>
      <c r="N493" s="79">
        <f>IF('Ordenes_Odoo'!N493="","",'Ordenes_Odoo'!N493)</f>
        <v/>
      </c>
      <c r="O493" s="81">
        <f>IF('Ordenes_Odoo'!O493="","",'Ordenes_Odoo'!O493)</f>
        <v/>
      </c>
      <c r="P493" s="81">
        <f>IF('Ordenes_Odoo'!P493="","",'Ordenes_Odoo'!P493)</f>
        <v/>
      </c>
      <c r="Q493" s="79">
        <f>IF(A493="","",IFERROR(INDEX(Facturas_Odoo!$B:$B, MATCH(A493, Facturas_Odoo!$D:$D, 0)), "Sin Factura"))</f>
        <v/>
      </c>
      <c r="R493" s="80">
        <f>IF(Q493="Sin Factura","",IFERROR(INDEX(Facturas_Odoo!$A:$A, MATCH(Q493, Facturas_Odoo!$B:$B, 0)), ""))</f>
        <v/>
      </c>
      <c r="S493" s="79">
        <f>IF(Q493="Sin Factura","",IFERROR(_xlfn.XLOOKUP(1, (Facturas_Odoo!$D:$D=A493) * (Facturas_Odoo!$K:$K=I493), Facturas_Odoo!$L:$L, ""), ""))</f>
        <v/>
      </c>
      <c r="T493" s="81">
        <f>IF(Q493="Sin Factura",0,IFERROR(_xlfn.XLOOKUP(1, (Facturas_Odoo!$D:$D=A493) * (Facturas_Odoo!$K:$K=I493), Facturas_Odoo!$M:$M, 0), 0))</f>
        <v/>
      </c>
      <c r="U493" s="79">
        <f>IF(Q493="Sin Factura",0,IFERROR(_xlfn.XLOOKUP(1, (Facturas_Odoo!$D:$D=A493) * (Facturas_Odoo!$K:$K=I493), Facturas_Odoo!$N:$N, 0), 0))</f>
        <v/>
      </c>
      <c r="V493" s="79">
        <f>IF(Q493="Sin Factura",0,IFERROR(_xlfn.XLOOKUP(1, (Facturas_Odoo!$D:$D=A493) * (Facturas_Odoo!$K:$K=I493), Facturas_Odoo!$O:$O, 0), 0))</f>
        <v/>
      </c>
      <c r="W493" s="81">
        <f>IF(Q493="Sin Factura",0,IFERROR(_xlfn.XLOOKUP(1, (Facturas_Odoo!$D:$D=A493) * (Facturas_Odoo!$K:$K=I493), Facturas_Odoo!$Q:$Q, 0), 0))</f>
        <v/>
      </c>
      <c r="X493" s="79">
        <f>IF(OR(Q493="Sin Factura",Q493=""),"",IFERROR(INDEX(Pagos_Odoo!$B:$B, MATCH(Q493, Pagos_Odoo!$I:$I, 0)), "Sin Pago"))</f>
        <v/>
      </c>
      <c r="Y493" s="79">
        <f>IF(X493="Sin Pago","",IFERROR(INDEX(Pagos_Odoo!$C:$C, MATCH(X493, Pagos_Odoo!$B:$B, 0)), ""))</f>
        <v/>
      </c>
      <c r="Z493" s="80">
        <f>IF(X493="Sin Pago","",IFERROR(INDEX(Pagos_Odoo!$A:$A, MATCH(X493, Pagos_Odoo!$B:$B, 0)), ""))</f>
        <v/>
      </c>
      <c r="AA493" s="79">
        <f>IF(X493="Sin Pago","",IFERROR(INDEX(Pagos_Odoo!$F:$F, MATCH(X493, Pagos_Odoo!$B:$B, 0)), ""))</f>
        <v/>
      </c>
      <c r="AB493" s="81">
        <f>IF(X493="Sin Pago",0,IFERROR(INDEX(Pagos_Odoo!$E:$E, MATCH(X493, Pagos_Odoo!$B:$B, 0)), 0))</f>
        <v/>
      </c>
      <c r="AC493" s="79">
        <f>IF(X493="Sin Pago","",IFERROR(INDEX(Pagos_Odoo!$G:$G, MATCH(X493, Pagos_Odoo!$B:$B, 0)), ""))</f>
        <v/>
      </c>
      <c r="AD493" s="82" t="n">
        <v>0</v>
      </c>
      <c r="AE493" s="82" t="n"/>
      <c r="AF493" s="82" t="n"/>
      <c r="AG493" s="82">
        <f>IF(AN493="","",AD493+AE493+AF493)</f>
        <v/>
      </c>
      <c r="AH493" s="81">
        <f>IF(AN493="","",P493*(1-AG493))</f>
        <v/>
      </c>
      <c r="AI493" s="81">
        <f>IF(AN493="","",IF(Q493="Sin Factura",0,IFERROR(INDEX(Facturas_Odoo!$H:$H, MATCH(Q493, Facturas_Odoo!$B:$B, 0)), 0)*(1-AG493)))</f>
        <v/>
      </c>
      <c r="AJ493" s="81">
        <f>IF(AN493="","",_xlfn.LET(idVenta, AN493&amp;"",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93" s="81">
        <f>IF(AN493="","",AH493-AJ493)</f>
        <v/>
      </c>
      <c r="AL493" s="81">
        <f>IF(AN493="","",IF(Q493="Sin Factura","",AI493-AJ493))</f>
        <v/>
      </c>
      <c r="AM493" s="81">
        <f>IF(AN493="","",IF(Q493="Sin Factura",0,P493-IFERROR(INDEX(Facturas_Odoo!$H:$H, MATCH(Q493, Facturas_Odoo!$B:$B, 0)), 0)))</f>
        <v/>
      </c>
      <c r="AN493" s="79">
        <f>IF(AND(A493="", J493=""), "", IF(A493&lt;&gt;"", VALUE(MID(A493,2,LEN(A493))), AN492))</f>
        <v/>
      </c>
      <c r="AO493" s="79">
        <f>IF(AN493="","",IF(AD493=0,"OK",_xlfn.LET(monedaPago, IF(AA493="","USD",AA493), limitePermitido, IFERROR(VLOOKUP(monedaPago, Configuración!$A$2:$B$3, 2, FALSE), 0.15), IF(AD493&gt;limitePermitido, "ALERTA: EXCESO (" &amp; TEXT(limitePermitido, "0%") &amp; " máx)", "OK"))))</f>
        <v/>
      </c>
      <c r="AP493" s="79">
        <f>IF(AN493="","",IF(AE493=0,"OK",_xlfn.LET(fechaPago, Z493, fechaFactura, R493, diasCredito, IF(E493="Pago inmediato", 0, IFERROR(VALUE(MID(E493, 1, SEARCH(" ", E493)-1)),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93" s="79">
        <f>IF(AN493="","",IF(AND(N493&gt;0, AG493&gt;0), IF(Configuración!$K$2="NO", "ALERTA: DESCUENTO DOBLE NO PERMITIDO", "OK"), "OK"))</f>
        <v/>
      </c>
      <c r="AR493" s="79">
        <f>IF(AN493="","",IF(OR(AO493&lt;&gt;"OK", AP493&lt;&gt;"OK", AQ493&lt;&gt;"OK"), "⚠️ REVISAR", "OK"))</f>
        <v/>
      </c>
    </row>
    <row r="494">
      <c r="A494" s="79">
        <f>IF('Ordenes_Odoo'!A494="","",'Ordenes_Odoo'!A494)</f>
        <v/>
      </c>
      <c r="B494" s="80">
        <f>IF('Ordenes_Odoo'!B494="","",'Ordenes_Odoo'!B494)</f>
        <v/>
      </c>
      <c r="C494" s="79">
        <f>IF('Ordenes_Odoo'!C494="","",'Ordenes_Odoo'!C494)</f>
        <v/>
      </c>
      <c r="D494" s="79">
        <f>IF('Ordenes_Odoo'!D494="","",'Ordenes_Odoo'!D494)</f>
        <v/>
      </c>
      <c r="E494" s="79">
        <f>IF('Ordenes_Odoo'!E494="","",'Ordenes_Odoo'!E494)</f>
        <v/>
      </c>
      <c r="F494" s="79">
        <f>IF('Ordenes_Odoo'!F494="","",'Ordenes_Odoo'!F494)</f>
        <v/>
      </c>
      <c r="G494" s="79">
        <f>IF('Ordenes_Odoo'!G494="","",'Ordenes_Odoo'!G494)</f>
        <v/>
      </c>
      <c r="H494" s="79">
        <f>IF('Ordenes_Odoo'!H494="","",'Ordenes_Odoo'!H494)</f>
        <v/>
      </c>
      <c r="I494" s="79">
        <f>IF('Ordenes_Odoo'!I494="","",'Ordenes_Odoo'!I494)</f>
        <v/>
      </c>
      <c r="J494" s="79">
        <f>IF('Ordenes_Odoo'!J494="","",'Ordenes_Odoo'!J494)</f>
        <v/>
      </c>
      <c r="K494" s="81">
        <f>IF('Ordenes_Odoo'!K494="","",'Ordenes_Odoo'!K494)</f>
        <v/>
      </c>
      <c r="L494" s="81">
        <f>IF('Ordenes_Odoo'!L494="","",'Ordenes_Odoo'!L494)</f>
        <v/>
      </c>
      <c r="M494" s="79">
        <f>IF('Ordenes_Odoo'!M494="","",'Ordenes_Odoo'!M494)</f>
        <v/>
      </c>
      <c r="N494" s="79">
        <f>IF('Ordenes_Odoo'!N494="","",'Ordenes_Odoo'!N494)</f>
        <v/>
      </c>
      <c r="O494" s="81">
        <f>IF('Ordenes_Odoo'!O494="","",'Ordenes_Odoo'!O494)</f>
        <v/>
      </c>
      <c r="P494" s="81">
        <f>IF('Ordenes_Odoo'!P494="","",'Ordenes_Odoo'!P494)</f>
        <v/>
      </c>
      <c r="Q494" s="79">
        <f>IF(A494="","",IFERROR(INDEX(Facturas_Odoo!$B:$B, MATCH(A494, Facturas_Odoo!$D:$D, 0)), "Sin Factura"))</f>
        <v/>
      </c>
      <c r="R494" s="80">
        <f>IF(Q494="Sin Factura","",IFERROR(INDEX(Facturas_Odoo!$A:$A, MATCH(Q494, Facturas_Odoo!$B:$B, 0)), ""))</f>
        <v/>
      </c>
      <c r="S494" s="79">
        <f>IF(Q494="Sin Factura","",IFERROR(_xlfn.XLOOKUP(1, (Facturas_Odoo!$D:$D=A494) * (Facturas_Odoo!$K:$K=I494), Facturas_Odoo!$L:$L, ""), ""))</f>
        <v/>
      </c>
      <c r="T494" s="81">
        <f>IF(Q494="Sin Factura",0,IFERROR(_xlfn.XLOOKUP(1, (Facturas_Odoo!$D:$D=A494) * (Facturas_Odoo!$K:$K=I494), Facturas_Odoo!$M:$M, 0), 0))</f>
        <v/>
      </c>
      <c r="U494" s="79">
        <f>IF(Q494="Sin Factura",0,IFERROR(_xlfn.XLOOKUP(1, (Facturas_Odoo!$D:$D=A494) * (Facturas_Odoo!$K:$K=I494), Facturas_Odoo!$N:$N, 0), 0))</f>
        <v/>
      </c>
      <c r="V494" s="79">
        <f>IF(Q494="Sin Factura",0,IFERROR(_xlfn.XLOOKUP(1, (Facturas_Odoo!$D:$D=A494) * (Facturas_Odoo!$K:$K=I494), Facturas_Odoo!$O:$O, 0), 0))</f>
        <v/>
      </c>
      <c r="W494" s="81">
        <f>IF(Q494="Sin Factura",0,IFERROR(_xlfn.XLOOKUP(1, (Facturas_Odoo!$D:$D=A494) * (Facturas_Odoo!$K:$K=I494), Facturas_Odoo!$Q:$Q, 0), 0))</f>
        <v/>
      </c>
      <c r="X494" s="79">
        <f>IF(OR(Q494="Sin Factura",Q494=""),"",IFERROR(INDEX(Pagos_Odoo!$B:$B, MATCH(Q494, Pagos_Odoo!$I:$I, 0)), "Sin Pago"))</f>
        <v/>
      </c>
      <c r="Y494" s="79">
        <f>IF(X494="Sin Pago","",IFERROR(INDEX(Pagos_Odoo!$C:$C, MATCH(X494, Pagos_Odoo!$B:$B, 0)), ""))</f>
        <v/>
      </c>
      <c r="Z494" s="80">
        <f>IF(X494="Sin Pago","",IFERROR(INDEX(Pagos_Odoo!$A:$A, MATCH(X494, Pagos_Odoo!$B:$B, 0)), ""))</f>
        <v/>
      </c>
      <c r="AA494" s="79">
        <f>IF(X494="Sin Pago","",IFERROR(INDEX(Pagos_Odoo!$F:$F, MATCH(X494, Pagos_Odoo!$B:$B, 0)), ""))</f>
        <v/>
      </c>
      <c r="AB494" s="81">
        <f>IF(X494="Sin Pago",0,IFERROR(INDEX(Pagos_Odoo!$E:$E, MATCH(X494, Pagos_Odoo!$B:$B, 0)), 0))</f>
        <v/>
      </c>
      <c r="AC494" s="79">
        <f>IF(X494="Sin Pago","",IFERROR(INDEX(Pagos_Odoo!$G:$G, MATCH(X494, Pagos_Odoo!$B:$B, 0)), ""))</f>
        <v/>
      </c>
      <c r="AD494" s="82" t="n">
        <v>0</v>
      </c>
      <c r="AE494" s="82" t="n"/>
      <c r="AF494" s="82" t="n"/>
      <c r="AG494" s="82">
        <f>IF(AN494="","",AD494+AE494+AF494)</f>
        <v/>
      </c>
      <c r="AH494" s="81">
        <f>IF(AN494="","",P494*(1-AG494))</f>
        <v/>
      </c>
      <c r="AI494" s="81">
        <f>IF(AN494="","",IF(Q494="Sin Factura",0,IFERROR(INDEX(Facturas_Odoo!$H:$H, MATCH(Q494, Facturas_Odoo!$B:$B, 0)), 0)*(1-AG494)))</f>
        <v/>
      </c>
      <c r="AJ494" s="81">
        <f>IF(AN494="","",_xlfn.LET(idVenta, AN494&amp;"",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94" s="81">
        <f>IF(AN494="","",AH494-AJ494)</f>
        <v/>
      </c>
      <c r="AL494" s="81">
        <f>IF(AN494="","",IF(Q494="Sin Factura","",AI494-AJ494))</f>
        <v/>
      </c>
      <c r="AM494" s="81">
        <f>IF(AN494="","",IF(Q494="Sin Factura",0,P494-IFERROR(INDEX(Facturas_Odoo!$H:$H, MATCH(Q494, Facturas_Odoo!$B:$B, 0)), 0)))</f>
        <v/>
      </c>
      <c r="AN494" s="79">
        <f>IF(AND(A494="", J494=""), "", IF(A494&lt;&gt;"", VALUE(MID(A494,2,LEN(A494))), AN493))</f>
        <v/>
      </c>
      <c r="AO494" s="79">
        <f>IF(AN494="","",IF(AD494=0,"OK",_xlfn.LET(monedaPago, IF(AA494="","USD",AA494), limitePermitido, IFERROR(VLOOKUP(monedaPago, Configuración!$A$2:$B$3, 2, FALSE), 0.15), IF(AD494&gt;limitePermitido, "ALERTA: EXCESO (" &amp; TEXT(limitePermitido, "0%") &amp; " máx)", "OK"))))</f>
        <v/>
      </c>
      <c r="AP494" s="79">
        <f>IF(AN494="","",IF(AE494=0,"OK",_xlfn.LET(fechaPago, Z494, fechaFactura, R494, diasCredito, IF(E494="Pago inmediato", 0, IFERROR(VALUE(MID(E494, 1, SEARCH(" ", E494)-1)),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94" s="79">
        <f>IF(AN494="","",IF(AND(N494&gt;0, AG494&gt;0), IF(Configuración!$K$2="NO", "ALERTA: DESCUENTO DOBLE NO PERMITIDO", "OK"), "OK"))</f>
        <v/>
      </c>
      <c r="AR494" s="79">
        <f>IF(AN494="","",IF(OR(AO494&lt;&gt;"OK", AP494&lt;&gt;"OK", AQ494&lt;&gt;"OK"), "⚠️ REVISAR", "OK"))</f>
        <v/>
      </c>
    </row>
    <row r="495">
      <c r="A495" s="79">
        <f>IF('Ordenes_Odoo'!A495="","",'Ordenes_Odoo'!A495)</f>
        <v/>
      </c>
      <c r="B495" s="80">
        <f>IF('Ordenes_Odoo'!B495="","",'Ordenes_Odoo'!B495)</f>
        <v/>
      </c>
      <c r="C495" s="79">
        <f>IF('Ordenes_Odoo'!C495="","",'Ordenes_Odoo'!C495)</f>
        <v/>
      </c>
      <c r="D495" s="79">
        <f>IF('Ordenes_Odoo'!D495="","",'Ordenes_Odoo'!D495)</f>
        <v/>
      </c>
      <c r="E495" s="79">
        <f>IF('Ordenes_Odoo'!E495="","",'Ordenes_Odoo'!E495)</f>
        <v/>
      </c>
      <c r="F495" s="79">
        <f>IF('Ordenes_Odoo'!F495="","",'Ordenes_Odoo'!F495)</f>
        <v/>
      </c>
      <c r="G495" s="79">
        <f>IF('Ordenes_Odoo'!G495="","",'Ordenes_Odoo'!G495)</f>
        <v/>
      </c>
      <c r="H495" s="79">
        <f>IF('Ordenes_Odoo'!H495="","",'Ordenes_Odoo'!H495)</f>
        <v/>
      </c>
      <c r="I495" s="79">
        <f>IF('Ordenes_Odoo'!I495="","",'Ordenes_Odoo'!I495)</f>
        <v/>
      </c>
      <c r="J495" s="79">
        <f>IF('Ordenes_Odoo'!J495="","",'Ordenes_Odoo'!J495)</f>
        <v/>
      </c>
      <c r="K495" s="81">
        <f>IF('Ordenes_Odoo'!K495="","",'Ordenes_Odoo'!K495)</f>
        <v/>
      </c>
      <c r="L495" s="81">
        <f>IF('Ordenes_Odoo'!L495="","",'Ordenes_Odoo'!L495)</f>
        <v/>
      </c>
      <c r="M495" s="79">
        <f>IF('Ordenes_Odoo'!M495="","",'Ordenes_Odoo'!M495)</f>
        <v/>
      </c>
      <c r="N495" s="79">
        <f>IF('Ordenes_Odoo'!N495="","",'Ordenes_Odoo'!N495)</f>
        <v/>
      </c>
      <c r="O495" s="81">
        <f>IF('Ordenes_Odoo'!O495="","",'Ordenes_Odoo'!O495)</f>
        <v/>
      </c>
      <c r="P495" s="81">
        <f>IF('Ordenes_Odoo'!P495="","",'Ordenes_Odoo'!P495)</f>
        <v/>
      </c>
      <c r="Q495" s="79">
        <f>IF(A495="","",IFERROR(INDEX(Facturas_Odoo!$B:$B, MATCH(A495, Facturas_Odoo!$D:$D, 0)), "Sin Factura"))</f>
        <v/>
      </c>
      <c r="R495" s="80">
        <f>IF(Q495="Sin Factura","",IFERROR(INDEX(Facturas_Odoo!$A:$A, MATCH(Q495, Facturas_Odoo!$B:$B, 0)), ""))</f>
        <v/>
      </c>
      <c r="S495" s="79">
        <f>IF(Q495="Sin Factura","",IFERROR(_xlfn.XLOOKUP(1, (Facturas_Odoo!$D:$D=A495) * (Facturas_Odoo!$K:$K=I495), Facturas_Odoo!$L:$L, ""), ""))</f>
        <v/>
      </c>
      <c r="T495" s="81">
        <f>IF(Q495="Sin Factura",0,IFERROR(_xlfn.XLOOKUP(1, (Facturas_Odoo!$D:$D=A495) * (Facturas_Odoo!$K:$K=I495), Facturas_Odoo!$M:$M, 0), 0))</f>
        <v/>
      </c>
      <c r="U495" s="79">
        <f>IF(Q495="Sin Factura",0,IFERROR(_xlfn.XLOOKUP(1, (Facturas_Odoo!$D:$D=A495) * (Facturas_Odoo!$K:$K=I495), Facturas_Odoo!$N:$N, 0), 0))</f>
        <v/>
      </c>
      <c r="V495" s="79">
        <f>IF(Q495="Sin Factura",0,IFERROR(_xlfn.XLOOKUP(1, (Facturas_Odoo!$D:$D=A495) * (Facturas_Odoo!$K:$K=I495), Facturas_Odoo!$O:$O, 0), 0))</f>
        <v/>
      </c>
      <c r="W495" s="81">
        <f>IF(Q495="Sin Factura",0,IFERROR(_xlfn.XLOOKUP(1, (Facturas_Odoo!$D:$D=A495) * (Facturas_Odoo!$K:$K=I495), Facturas_Odoo!$Q:$Q, 0), 0))</f>
        <v/>
      </c>
      <c r="X495" s="79">
        <f>IF(OR(Q495="Sin Factura",Q495=""),"",IFERROR(INDEX(Pagos_Odoo!$B:$B, MATCH(Q495, Pagos_Odoo!$I:$I, 0)), "Sin Pago"))</f>
        <v/>
      </c>
      <c r="Y495" s="79">
        <f>IF(X495="Sin Pago","",IFERROR(INDEX(Pagos_Odoo!$C:$C, MATCH(X495, Pagos_Odoo!$B:$B, 0)), ""))</f>
        <v/>
      </c>
      <c r="Z495" s="80">
        <f>IF(X495="Sin Pago","",IFERROR(INDEX(Pagos_Odoo!$A:$A, MATCH(X495, Pagos_Odoo!$B:$B, 0)), ""))</f>
        <v/>
      </c>
      <c r="AA495" s="79">
        <f>IF(X495="Sin Pago","",IFERROR(INDEX(Pagos_Odoo!$F:$F, MATCH(X495, Pagos_Odoo!$B:$B, 0)), ""))</f>
        <v/>
      </c>
      <c r="AB495" s="81">
        <f>IF(X495="Sin Pago",0,IFERROR(INDEX(Pagos_Odoo!$E:$E, MATCH(X495, Pagos_Odoo!$B:$B, 0)), 0))</f>
        <v/>
      </c>
      <c r="AC495" s="79">
        <f>IF(X495="Sin Pago","",IFERROR(INDEX(Pagos_Odoo!$G:$G, MATCH(X495, Pagos_Odoo!$B:$B, 0)), ""))</f>
        <v/>
      </c>
      <c r="AD495" s="82" t="n">
        <v>0</v>
      </c>
      <c r="AE495" s="82" t="n"/>
      <c r="AF495" s="82" t="n"/>
      <c r="AG495" s="82">
        <f>IF(AN495="","",AD495+AE495+AF495)</f>
        <v/>
      </c>
      <c r="AH495" s="81">
        <f>IF(AN495="","",P495*(1-AG495))</f>
        <v/>
      </c>
      <c r="AI495" s="81">
        <f>IF(AN495="","",IF(Q495="Sin Factura",0,IFERROR(INDEX(Facturas_Odoo!$H:$H, MATCH(Q495, Facturas_Odoo!$B:$B, 0)), 0)*(1-AG495)))</f>
        <v/>
      </c>
      <c r="AJ495" s="81">
        <f>IF(AN495="","",_xlfn.LET(idVenta, AN495&amp;"",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95" s="81">
        <f>IF(AN495="","",AH495-AJ495)</f>
        <v/>
      </c>
      <c r="AL495" s="81">
        <f>IF(AN495="","",IF(Q495="Sin Factura","",AI495-AJ495))</f>
        <v/>
      </c>
      <c r="AM495" s="81">
        <f>IF(AN495="","",IF(Q495="Sin Factura",0,P495-IFERROR(INDEX(Facturas_Odoo!$H:$H, MATCH(Q495, Facturas_Odoo!$B:$B, 0)), 0)))</f>
        <v/>
      </c>
      <c r="AN495" s="79">
        <f>IF(AND(A495="", J495=""), "", IF(A495&lt;&gt;"", VALUE(MID(A495,2,LEN(A495))), AN494))</f>
        <v/>
      </c>
      <c r="AO495" s="79">
        <f>IF(AN495="","",IF(AD495=0,"OK",_xlfn.LET(monedaPago, IF(AA495="","USD",AA495), limitePermitido, IFERROR(VLOOKUP(monedaPago, Configuración!$A$2:$B$3, 2, FALSE), 0.15), IF(AD495&gt;limitePermitido, "ALERTA: EXCESO (" &amp; TEXT(limitePermitido, "0%") &amp; " máx)", "OK"))))</f>
        <v/>
      </c>
      <c r="AP495" s="79">
        <f>IF(AN495="","",IF(AE495=0,"OK",_xlfn.LET(fechaPago, Z495, fechaFactura, R495, diasCredito, IF(E495="Pago inmediato", 0, IFERROR(VALUE(MID(E495, 1, SEARCH(" ", E495)-1)),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95" s="79">
        <f>IF(AN495="","",IF(AND(N495&gt;0, AG495&gt;0), IF(Configuración!$K$2="NO", "ALERTA: DESCUENTO DOBLE NO PERMITIDO", "OK"), "OK"))</f>
        <v/>
      </c>
      <c r="AR495" s="79">
        <f>IF(AN495="","",IF(OR(AO495&lt;&gt;"OK", AP495&lt;&gt;"OK", AQ495&lt;&gt;"OK"), "⚠️ REVISAR", "OK"))</f>
        <v/>
      </c>
    </row>
    <row r="496">
      <c r="A496" s="79">
        <f>IF('Ordenes_Odoo'!A496="","",'Ordenes_Odoo'!A496)</f>
        <v/>
      </c>
      <c r="B496" s="80">
        <f>IF('Ordenes_Odoo'!B496="","",'Ordenes_Odoo'!B496)</f>
        <v/>
      </c>
      <c r="C496" s="79">
        <f>IF('Ordenes_Odoo'!C496="","",'Ordenes_Odoo'!C496)</f>
        <v/>
      </c>
      <c r="D496" s="79">
        <f>IF('Ordenes_Odoo'!D496="","",'Ordenes_Odoo'!D496)</f>
        <v/>
      </c>
      <c r="E496" s="79">
        <f>IF('Ordenes_Odoo'!E496="","",'Ordenes_Odoo'!E496)</f>
        <v/>
      </c>
      <c r="F496" s="79">
        <f>IF('Ordenes_Odoo'!F496="","",'Ordenes_Odoo'!F496)</f>
        <v/>
      </c>
      <c r="G496" s="79">
        <f>IF('Ordenes_Odoo'!G496="","",'Ordenes_Odoo'!G496)</f>
        <v/>
      </c>
      <c r="H496" s="79">
        <f>IF('Ordenes_Odoo'!H496="","",'Ordenes_Odoo'!H496)</f>
        <v/>
      </c>
      <c r="I496" s="79">
        <f>IF('Ordenes_Odoo'!I496="","",'Ordenes_Odoo'!I496)</f>
        <v/>
      </c>
      <c r="J496" s="79">
        <f>IF('Ordenes_Odoo'!J496="","",'Ordenes_Odoo'!J496)</f>
        <v/>
      </c>
      <c r="K496" s="81">
        <f>IF('Ordenes_Odoo'!K496="","",'Ordenes_Odoo'!K496)</f>
        <v/>
      </c>
      <c r="L496" s="81">
        <f>IF('Ordenes_Odoo'!L496="","",'Ordenes_Odoo'!L496)</f>
        <v/>
      </c>
      <c r="M496" s="79">
        <f>IF('Ordenes_Odoo'!M496="","",'Ordenes_Odoo'!M496)</f>
        <v/>
      </c>
      <c r="N496" s="79">
        <f>IF('Ordenes_Odoo'!N496="","",'Ordenes_Odoo'!N496)</f>
        <v/>
      </c>
      <c r="O496" s="81">
        <f>IF('Ordenes_Odoo'!O496="","",'Ordenes_Odoo'!O496)</f>
        <v/>
      </c>
      <c r="P496" s="81">
        <f>IF('Ordenes_Odoo'!P496="","",'Ordenes_Odoo'!P496)</f>
        <v/>
      </c>
      <c r="Q496" s="79">
        <f>IF(A496="","",IFERROR(INDEX(Facturas_Odoo!$B:$B, MATCH(A496, Facturas_Odoo!$D:$D, 0)), "Sin Factura"))</f>
        <v/>
      </c>
      <c r="R496" s="80">
        <f>IF(Q496="Sin Factura","",IFERROR(INDEX(Facturas_Odoo!$A:$A, MATCH(Q496, Facturas_Odoo!$B:$B, 0)), ""))</f>
        <v/>
      </c>
      <c r="S496" s="79">
        <f>IF(Q496="Sin Factura","",IFERROR(_xlfn.XLOOKUP(1, (Facturas_Odoo!$D:$D=A496) * (Facturas_Odoo!$K:$K=I496), Facturas_Odoo!$L:$L, ""), ""))</f>
        <v/>
      </c>
      <c r="T496" s="81">
        <f>IF(Q496="Sin Factura",0,IFERROR(_xlfn.XLOOKUP(1, (Facturas_Odoo!$D:$D=A496) * (Facturas_Odoo!$K:$K=I496), Facturas_Odoo!$M:$M, 0), 0))</f>
        <v/>
      </c>
      <c r="U496" s="79">
        <f>IF(Q496="Sin Factura",0,IFERROR(_xlfn.XLOOKUP(1, (Facturas_Odoo!$D:$D=A496) * (Facturas_Odoo!$K:$K=I496), Facturas_Odoo!$N:$N, 0), 0))</f>
        <v/>
      </c>
      <c r="V496" s="79">
        <f>IF(Q496="Sin Factura",0,IFERROR(_xlfn.XLOOKUP(1, (Facturas_Odoo!$D:$D=A496) * (Facturas_Odoo!$K:$K=I496), Facturas_Odoo!$O:$O, 0), 0))</f>
        <v/>
      </c>
      <c r="W496" s="81">
        <f>IF(Q496="Sin Factura",0,IFERROR(_xlfn.XLOOKUP(1, (Facturas_Odoo!$D:$D=A496) * (Facturas_Odoo!$K:$K=I496), Facturas_Odoo!$Q:$Q, 0), 0))</f>
        <v/>
      </c>
      <c r="X496" s="79">
        <f>IF(OR(Q496="Sin Factura",Q496=""),"",IFERROR(INDEX(Pagos_Odoo!$B:$B, MATCH(Q496, Pagos_Odoo!$I:$I, 0)), "Sin Pago"))</f>
        <v/>
      </c>
      <c r="Y496" s="79">
        <f>IF(X496="Sin Pago","",IFERROR(INDEX(Pagos_Odoo!$C:$C, MATCH(X496, Pagos_Odoo!$B:$B, 0)), ""))</f>
        <v/>
      </c>
      <c r="Z496" s="80">
        <f>IF(X496="Sin Pago","",IFERROR(INDEX(Pagos_Odoo!$A:$A, MATCH(X496, Pagos_Odoo!$B:$B, 0)), ""))</f>
        <v/>
      </c>
      <c r="AA496" s="79">
        <f>IF(X496="Sin Pago","",IFERROR(INDEX(Pagos_Odoo!$F:$F, MATCH(X496, Pagos_Odoo!$B:$B, 0)), ""))</f>
        <v/>
      </c>
      <c r="AB496" s="81">
        <f>IF(X496="Sin Pago",0,IFERROR(INDEX(Pagos_Odoo!$E:$E, MATCH(X496, Pagos_Odoo!$B:$B, 0)), 0))</f>
        <v/>
      </c>
      <c r="AC496" s="79">
        <f>IF(X496="Sin Pago","",IFERROR(INDEX(Pagos_Odoo!$G:$G, MATCH(X496, Pagos_Odoo!$B:$B, 0)), ""))</f>
        <v/>
      </c>
      <c r="AD496" s="82" t="n">
        <v>0</v>
      </c>
      <c r="AE496" s="82" t="n"/>
      <c r="AF496" s="82" t="n"/>
      <c r="AG496" s="82">
        <f>IF(AN496="","",AD496+AE496+AF496)</f>
        <v/>
      </c>
      <c r="AH496" s="81">
        <f>IF(AN496="","",P496*(1-AG496))</f>
        <v/>
      </c>
      <c r="AI496" s="81">
        <f>IF(AN496="","",IF(Q496="Sin Factura",0,IFERROR(INDEX(Facturas_Odoo!$H:$H, MATCH(Q496, Facturas_Odoo!$B:$B, 0)), 0)*(1-AG496)))</f>
        <v/>
      </c>
      <c r="AJ496" s="81">
        <f>IF(AN496="","",_xlfn.LET(idVenta, AN496&amp;"",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96" s="81">
        <f>IF(AN496="","",AH496-AJ496)</f>
        <v/>
      </c>
      <c r="AL496" s="81">
        <f>IF(AN496="","",IF(Q496="Sin Factura","",AI496-AJ496))</f>
        <v/>
      </c>
      <c r="AM496" s="81">
        <f>IF(AN496="","",IF(Q496="Sin Factura",0,P496-IFERROR(INDEX(Facturas_Odoo!$H:$H, MATCH(Q496, Facturas_Odoo!$B:$B, 0)), 0)))</f>
        <v/>
      </c>
      <c r="AN496" s="79">
        <f>IF(AND(A496="", J496=""), "", IF(A496&lt;&gt;"", VALUE(MID(A496,2,LEN(A496))), AN495))</f>
        <v/>
      </c>
      <c r="AO496" s="79">
        <f>IF(AN496="","",IF(AD496=0,"OK",_xlfn.LET(monedaPago, IF(AA496="","USD",AA496), limitePermitido, IFERROR(VLOOKUP(monedaPago, Configuración!$A$2:$B$3, 2, FALSE), 0.15), IF(AD496&gt;limitePermitido, "ALERTA: EXCESO (" &amp; TEXT(limitePermitido, "0%") &amp; " máx)", "OK"))))</f>
        <v/>
      </c>
      <c r="AP496" s="79">
        <f>IF(AN496="","",IF(AE496=0,"OK",_xlfn.LET(fechaPago, Z496, fechaFactura, R496, diasCredito, IF(E496="Pago inmediato", 0, IFERROR(VALUE(MID(E496, 1, SEARCH(" ", E496)-1)),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96" s="79">
        <f>IF(AN496="","",IF(AND(N496&gt;0, AG496&gt;0), IF(Configuración!$K$2="NO", "ALERTA: DESCUENTO DOBLE NO PERMITIDO", "OK"), "OK"))</f>
        <v/>
      </c>
      <c r="AR496" s="79">
        <f>IF(AN496="","",IF(OR(AO496&lt;&gt;"OK", AP496&lt;&gt;"OK", AQ496&lt;&gt;"OK"), "⚠️ REVISAR", "OK"))</f>
        <v/>
      </c>
    </row>
    <row r="497">
      <c r="A497" s="79">
        <f>IF('Ordenes_Odoo'!A497="","",'Ordenes_Odoo'!A497)</f>
        <v/>
      </c>
      <c r="B497" s="80">
        <f>IF('Ordenes_Odoo'!B497="","",'Ordenes_Odoo'!B497)</f>
        <v/>
      </c>
      <c r="C497" s="79">
        <f>IF('Ordenes_Odoo'!C497="","",'Ordenes_Odoo'!C497)</f>
        <v/>
      </c>
      <c r="D497" s="79">
        <f>IF('Ordenes_Odoo'!D497="","",'Ordenes_Odoo'!D497)</f>
        <v/>
      </c>
      <c r="E497" s="79">
        <f>IF('Ordenes_Odoo'!E497="","",'Ordenes_Odoo'!E497)</f>
        <v/>
      </c>
      <c r="F497" s="79">
        <f>IF('Ordenes_Odoo'!F497="","",'Ordenes_Odoo'!F497)</f>
        <v/>
      </c>
      <c r="G497" s="79">
        <f>IF('Ordenes_Odoo'!G497="","",'Ordenes_Odoo'!G497)</f>
        <v/>
      </c>
      <c r="H497" s="79">
        <f>IF('Ordenes_Odoo'!H497="","",'Ordenes_Odoo'!H497)</f>
        <v/>
      </c>
      <c r="I497" s="79">
        <f>IF('Ordenes_Odoo'!I497="","",'Ordenes_Odoo'!I497)</f>
        <v/>
      </c>
      <c r="J497" s="79">
        <f>IF('Ordenes_Odoo'!J497="","",'Ordenes_Odoo'!J497)</f>
        <v/>
      </c>
      <c r="K497" s="81">
        <f>IF('Ordenes_Odoo'!K497="","",'Ordenes_Odoo'!K497)</f>
        <v/>
      </c>
      <c r="L497" s="81">
        <f>IF('Ordenes_Odoo'!L497="","",'Ordenes_Odoo'!L497)</f>
        <v/>
      </c>
      <c r="M497" s="79">
        <f>IF('Ordenes_Odoo'!M497="","",'Ordenes_Odoo'!M497)</f>
        <v/>
      </c>
      <c r="N497" s="79">
        <f>IF('Ordenes_Odoo'!N497="","",'Ordenes_Odoo'!N497)</f>
        <v/>
      </c>
      <c r="O497" s="81">
        <f>IF('Ordenes_Odoo'!O497="","",'Ordenes_Odoo'!O497)</f>
        <v/>
      </c>
      <c r="P497" s="81">
        <f>IF('Ordenes_Odoo'!P497="","",'Ordenes_Odoo'!P497)</f>
        <v/>
      </c>
      <c r="Q497" s="79">
        <f>IF(A497="","",IFERROR(INDEX(Facturas_Odoo!$B:$B, MATCH(A497, Facturas_Odoo!$D:$D, 0)), "Sin Factura"))</f>
        <v/>
      </c>
      <c r="R497" s="80">
        <f>IF(Q497="Sin Factura","",IFERROR(INDEX(Facturas_Odoo!$A:$A, MATCH(Q497, Facturas_Odoo!$B:$B, 0)), ""))</f>
        <v/>
      </c>
      <c r="S497" s="79">
        <f>IF(Q497="Sin Factura","",IFERROR(_xlfn.XLOOKUP(1, (Facturas_Odoo!$D:$D=A497) * (Facturas_Odoo!$K:$K=I497), Facturas_Odoo!$L:$L, ""), ""))</f>
        <v/>
      </c>
      <c r="T497" s="81">
        <f>IF(Q497="Sin Factura",0,IFERROR(_xlfn.XLOOKUP(1, (Facturas_Odoo!$D:$D=A497) * (Facturas_Odoo!$K:$K=I497), Facturas_Odoo!$M:$M, 0), 0))</f>
        <v/>
      </c>
      <c r="U497" s="79">
        <f>IF(Q497="Sin Factura",0,IFERROR(_xlfn.XLOOKUP(1, (Facturas_Odoo!$D:$D=A497) * (Facturas_Odoo!$K:$K=I497), Facturas_Odoo!$N:$N, 0), 0))</f>
        <v/>
      </c>
      <c r="V497" s="79">
        <f>IF(Q497="Sin Factura",0,IFERROR(_xlfn.XLOOKUP(1, (Facturas_Odoo!$D:$D=A497) * (Facturas_Odoo!$K:$K=I497), Facturas_Odoo!$O:$O, 0), 0))</f>
        <v/>
      </c>
      <c r="W497" s="81">
        <f>IF(Q497="Sin Factura",0,IFERROR(_xlfn.XLOOKUP(1, (Facturas_Odoo!$D:$D=A497) * (Facturas_Odoo!$K:$K=I497), Facturas_Odoo!$Q:$Q, 0), 0))</f>
        <v/>
      </c>
      <c r="X497" s="79">
        <f>IF(OR(Q497="Sin Factura",Q497=""),"",IFERROR(INDEX(Pagos_Odoo!$B:$B, MATCH(Q497, Pagos_Odoo!$I:$I, 0)), "Sin Pago"))</f>
        <v/>
      </c>
      <c r="Y497" s="79">
        <f>IF(X497="Sin Pago","",IFERROR(INDEX(Pagos_Odoo!$C:$C, MATCH(X497, Pagos_Odoo!$B:$B, 0)), ""))</f>
        <v/>
      </c>
      <c r="Z497" s="80">
        <f>IF(X497="Sin Pago","",IFERROR(INDEX(Pagos_Odoo!$A:$A, MATCH(X497, Pagos_Odoo!$B:$B, 0)), ""))</f>
        <v/>
      </c>
      <c r="AA497" s="79">
        <f>IF(X497="Sin Pago","",IFERROR(INDEX(Pagos_Odoo!$F:$F, MATCH(X497, Pagos_Odoo!$B:$B, 0)), ""))</f>
        <v/>
      </c>
      <c r="AB497" s="81">
        <f>IF(X497="Sin Pago",0,IFERROR(INDEX(Pagos_Odoo!$E:$E, MATCH(X497, Pagos_Odoo!$B:$B, 0)), 0))</f>
        <v/>
      </c>
      <c r="AC497" s="79">
        <f>IF(X497="Sin Pago","",IFERROR(INDEX(Pagos_Odoo!$G:$G, MATCH(X497, Pagos_Odoo!$B:$B, 0)), ""))</f>
        <v/>
      </c>
      <c r="AD497" s="82" t="n">
        <v>0</v>
      </c>
      <c r="AE497" s="82" t="n"/>
      <c r="AF497" s="82" t="n"/>
      <c r="AG497" s="82">
        <f>IF(AN497="","",AD497+AE497+AF497)</f>
        <v/>
      </c>
      <c r="AH497" s="81">
        <f>IF(AN497="","",P497*(1-AG497))</f>
        <v/>
      </c>
      <c r="AI497" s="81">
        <f>IF(AN497="","",IF(Q497="Sin Factura",0,IFERROR(INDEX(Facturas_Odoo!$H:$H, MATCH(Q497, Facturas_Odoo!$B:$B, 0)), 0)*(1-AG497)))</f>
        <v/>
      </c>
      <c r="AJ497" s="81">
        <f>IF(AN497="","",_xlfn.LET(idVenta, AN497&amp;"",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97" s="81">
        <f>IF(AN497="","",AH497-AJ497)</f>
        <v/>
      </c>
      <c r="AL497" s="81">
        <f>IF(AN497="","",IF(Q497="Sin Factura","",AI497-AJ497))</f>
        <v/>
      </c>
      <c r="AM497" s="81">
        <f>IF(AN497="","",IF(Q497="Sin Factura",0,P497-IFERROR(INDEX(Facturas_Odoo!$H:$H, MATCH(Q497, Facturas_Odoo!$B:$B, 0)), 0)))</f>
        <v/>
      </c>
      <c r="AN497" s="79">
        <f>IF(AND(A497="", J497=""), "", IF(A497&lt;&gt;"", VALUE(MID(A497,2,LEN(A497))), AN496))</f>
        <v/>
      </c>
      <c r="AO497" s="79">
        <f>IF(AN497="","",IF(AD497=0,"OK",_xlfn.LET(monedaPago, IF(AA497="","USD",AA497), limitePermitido, IFERROR(VLOOKUP(monedaPago, Configuración!$A$2:$B$3, 2, FALSE), 0.15), IF(AD497&gt;limitePermitido, "ALERTA: EXCESO (" &amp; TEXT(limitePermitido, "0%") &amp; " máx)", "OK"))))</f>
        <v/>
      </c>
      <c r="AP497" s="79">
        <f>IF(AN497="","",IF(AE497=0,"OK",_xlfn.LET(fechaPago, Z497, fechaFactura, R497, diasCredito, IF(E497="Pago inmediato", 0, IFERROR(VALUE(MID(E497, 1, SEARCH(" ", E497)-1)),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97" s="79">
        <f>IF(AN497="","",IF(AND(N497&gt;0, AG497&gt;0), IF(Configuración!$K$2="NO", "ALERTA: DESCUENTO DOBLE NO PERMITIDO", "OK"), "OK"))</f>
        <v/>
      </c>
      <c r="AR497" s="79">
        <f>IF(AN497="","",IF(OR(AO497&lt;&gt;"OK", AP497&lt;&gt;"OK", AQ497&lt;&gt;"OK"), "⚠️ REVISAR", "OK"))</f>
        <v/>
      </c>
    </row>
    <row r="498">
      <c r="A498" s="79">
        <f>IF('Ordenes_Odoo'!A498="","",'Ordenes_Odoo'!A498)</f>
        <v/>
      </c>
      <c r="B498" s="80">
        <f>IF('Ordenes_Odoo'!B498="","",'Ordenes_Odoo'!B498)</f>
        <v/>
      </c>
      <c r="C498" s="79">
        <f>IF('Ordenes_Odoo'!C498="","",'Ordenes_Odoo'!C498)</f>
        <v/>
      </c>
      <c r="D498" s="79">
        <f>IF('Ordenes_Odoo'!D498="","",'Ordenes_Odoo'!D498)</f>
        <v/>
      </c>
      <c r="E498" s="79">
        <f>IF('Ordenes_Odoo'!E498="","",'Ordenes_Odoo'!E498)</f>
        <v/>
      </c>
      <c r="F498" s="79">
        <f>IF('Ordenes_Odoo'!F498="","",'Ordenes_Odoo'!F498)</f>
        <v/>
      </c>
      <c r="G498" s="79">
        <f>IF('Ordenes_Odoo'!G498="","",'Ordenes_Odoo'!G498)</f>
        <v/>
      </c>
      <c r="H498" s="79">
        <f>IF('Ordenes_Odoo'!H498="","",'Ordenes_Odoo'!H498)</f>
        <v/>
      </c>
      <c r="I498" s="79">
        <f>IF('Ordenes_Odoo'!I498="","",'Ordenes_Odoo'!I498)</f>
        <v/>
      </c>
      <c r="J498" s="79">
        <f>IF('Ordenes_Odoo'!J498="","",'Ordenes_Odoo'!J498)</f>
        <v/>
      </c>
      <c r="K498" s="81">
        <f>IF('Ordenes_Odoo'!K498="","",'Ordenes_Odoo'!K498)</f>
        <v/>
      </c>
      <c r="L498" s="81">
        <f>IF('Ordenes_Odoo'!L498="","",'Ordenes_Odoo'!L498)</f>
        <v/>
      </c>
      <c r="M498" s="79">
        <f>IF('Ordenes_Odoo'!M498="","",'Ordenes_Odoo'!M498)</f>
        <v/>
      </c>
      <c r="N498" s="79">
        <f>IF('Ordenes_Odoo'!N498="","",'Ordenes_Odoo'!N498)</f>
        <v/>
      </c>
      <c r="O498" s="81">
        <f>IF('Ordenes_Odoo'!O498="","",'Ordenes_Odoo'!O498)</f>
        <v/>
      </c>
      <c r="P498" s="81">
        <f>IF('Ordenes_Odoo'!P498="","",'Ordenes_Odoo'!P498)</f>
        <v/>
      </c>
      <c r="Q498" s="79">
        <f>IF(A498="","",IFERROR(INDEX(Facturas_Odoo!$B:$B, MATCH(A498, Facturas_Odoo!$D:$D, 0)), "Sin Factura"))</f>
        <v/>
      </c>
      <c r="R498" s="80">
        <f>IF(Q498="Sin Factura","",IFERROR(INDEX(Facturas_Odoo!$A:$A, MATCH(Q498, Facturas_Odoo!$B:$B, 0)), ""))</f>
        <v/>
      </c>
      <c r="S498" s="79">
        <f>IF(Q498="Sin Factura","",IFERROR(_xlfn.XLOOKUP(1, (Facturas_Odoo!$D:$D=A498) * (Facturas_Odoo!$K:$K=I498), Facturas_Odoo!$L:$L, ""), ""))</f>
        <v/>
      </c>
      <c r="T498" s="81">
        <f>IF(Q498="Sin Factura",0,IFERROR(_xlfn.XLOOKUP(1, (Facturas_Odoo!$D:$D=A498) * (Facturas_Odoo!$K:$K=I498), Facturas_Odoo!$M:$M, 0), 0))</f>
        <v/>
      </c>
      <c r="U498" s="79">
        <f>IF(Q498="Sin Factura",0,IFERROR(_xlfn.XLOOKUP(1, (Facturas_Odoo!$D:$D=A498) * (Facturas_Odoo!$K:$K=I498), Facturas_Odoo!$N:$N, 0), 0))</f>
        <v/>
      </c>
      <c r="V498" s="79">
        <f>IF(Q498="Sin Factura",0,IFERROR(_xlfn.XLOOKUP(1, (Facturas_Odoo!$D:$D=A498) * (Facturas_Odoo!$K:$K=I498), Facturas_Odoo!$O:$O, 0), 0))</f>
        <v/>
      </c>
      <c r="W498" s="81">
        <f>IF(Q498="Sin Factura",0,IFERROR(_xlfn.XLOOKUP(1, (Facturas_Odoo!$D:$D=A498) * (Facturas_Odoo!$K:$K=I498), Facturas_Odoo!$Q:$Q, 0), 0))</f>
        <v/>
      </c>
      <c r="X498" s="79">
        <f>IF(OR(Q498="Sin Factura",Q498=""),"",IFERROR(INDEX(Pagos_Odoo!$B:$B, MATCH(Q498, Pagos_Odoo!$I:$I, 0)), "Sin Pago"))</f>
        <v/>
      </c>
      <c r="Y498" s="79">
        <f>IF(X498="Sin Pago","",IFERROR(INDEX(Pagos_Odoo!$C:$C, MATCH(X498, Pagos_Odoo!$B:$B, 0)), ""))</f>
        <v/>
      </c>
      <c r="Z498" s="80">
        <f>IF(X498="Sin Pago","",IFERROR(INDEX(Pagos_Odoo!$A:$A, MATCH(X498, Pagos_Odoo!$B:$B, 0)), ""))</f>
        <v/>
      </c>
      <c r="AA498" s="79">
        <f>IF(X498="Sin Pago","",IFERROR(INDEX(Pagos_Odoo!$F:$F, MATCH(X498, Pagos_Odoo!$B:$B, 0)), ""))</f>
        <v/>
      </c>
      <c r="AB498" s="81">
        <f>IF(X498="Sin Pago",0,IFERROR(INDEX(Pagos_Odoo!$E:$E, MATCH(X498, Pagos_Odoo!$B:$B, 0)), 0))</f>
        <v/>
      </c>
      <c r="AC498" s="79">
        <f>IF(X498="Sin Pago","",IFERROR(INDEX(Pagos_Odoo!$G:$G, MATCH(X498, Pagos_Odoo!$B:$B, 0)), ""))</f>
        <v/>
      </c>
      <c r="AD498" s="82" t="n">
        <v>0</v>
      </c>
      <c r="AE498" s="82" t="n"/>
      <c r="AF498" s="82" t="n"/>
      <c r="AG498" s="82">
        <f>IF(AN498="","",AD498+AE498+AF498)</f>
        <v/>
      </c>
      <c r="AH498" s="81">
        <f>IF(AN498="","",P498*(1-AG498))</f>
        <v/>
      </c>
      <c r="AI498" s="81">
        <f>IF(AN498="","",IF(Q498="Sin Factura",0,IFERROR(INDEX(Facturas_Odoo!$H:$H, MATCH(Q498, Facturas_Odoo!$B:$B, 0)), 0)*(1-AG498)))</f>
        <v/>
      </c>
      <c r="AJ498" s="81">
        <f>IF(AN498="","",_xlfn.LET(idVenta, AN498&amp;"",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98" s="81">
        <f>IF(AN498="","",AH498-AJ498)</f>
        <v/>
      </c>
      <c r="AL498" s="81">
        <f>IF(AN498="","",IF(Q498="Sin Factura","",AI498-AJ498))</f>
        <v/>
      </c>
      <c r="AM498" s="81">
        <f>IF(AN498="","",IF(Q498="Sin Factura",0,P498-IFERROR(INDEX(Facturas_Odoo!$H:$H, MATCH(Q498, Facturas_Odoo!$B:$B, 0)), 0)))</f>
        <v/>
      </c>
      <c r="AN498" s="79">
        <f>IF(AND(A498="", J498=""), "", IF(A498&lt;&gt;"", VALUE(MID(A498,2,LEN(A498))), AN497))</f>
        <v/>
      </c>
      <c r="AO498" s="79">
        <f>IF(AN498="","",IF(AD498=0,"OK",_xlfn.LET(monedaPago, IF(AA498="","USD",AA498), limitePermitido, IFERROR(VLOOKUP(monedaPago, Configuración!$A$2:$B$3, 2, FALSE), 0.15), IF(AD498&gt;limitePermitido, "ALERTA: EXCESO (" &amp; TEXT(limitePermitido, "0%") &amp; " máx)", "OK"))))</f>
        <v/>
      </c>
      <c r="AP498" s="79">
        <f>IF(AN498="","",IF(AE498=0,"OK",_xlfn.LET(fechaPago, Z498, fechaFactura, R498, diasCredito, IF(E498="Pago inmediato", 0, IFERROR(VALUE(MID(E498, 1, SEARCH(" ", E498)-1)),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98" s="79">
        <f>IF(AN498="","",IF(AND(N498&gt;0, AG498&gt;0), IF(Configuración!$K$2="NO", "ALERTA: DESCUENTO DOBLE NO PERMITIDO", "OK"), "OK"))</f>
        <v/>
      </c>
      <c r="AR498" s="79">
        <f>IF(AN498="","",IF(OR(AO498&lt;&gt;"OK", AP498&lt;&gt;"OK", AQ498&lt;&gt;"OK"), "⚠️ REVISAR", "OK"))</f>
        <v/>
      </c>
    </row>
    <row r="499">
      <c r="A499" s="79">
        <f>IF('Ordenes_Odoo'!A499="","",'Ordenes_Odoo'!A499)</f>
        <v/>
      </c>
      <c r="B499" s="80">
        <f>IF('Ordenes_Odoo'!B499="","",'Ordenes_Odoo'!B499)</f>
        <v/>
      </c>
      <c r="C499" s="79">
        <f>IF('Ordenes_Odoo'!C499="","",'Ordenes_Odoo'!C499)</f>
        <v/>
      </c>
      <c r="D499" s="79">
        <f>IF('Ordenes_Odoo'!D499="","",'Ordenes_Odoo'!D499)</f>
        <v/>
      </c>
      <c r="E499" s="79">
        <f>IF('Ordenes_Odoo'!E499="","",'Ordenes_Odoo'!E499)</f>
        <v/>
      </c>
      <c r="F499" s="79">
        <f>IF('Ordenes_Odoo'!F499="","",'Ordenes_Odoo'!F499)</f>
        <v/>
      </c>
      <c r="G499" s="79">
        <f>IF('Ordenes_Odoo'!G499="","",'Ordenes_Odoo'!G499)</f>
        <v/>
      </c>
      <c r="H499" s="79">
        <f>IF('Ordenes_Odoo'!H499="","",'Ordenes_Odoo'!H499)</f>
        <v/>
      </c>
      <c r="I499" s="79">
        <f>IF('Ordenes_Odoo'!I499="","",'Ordenes_Odoo'!I499)</f>
        <v/>
      </c>
      <c r="J499" s="79">
        <f>IF('Ordenes_Odoo'!J499="","",'Ordenes_Odoo'!J499)</f>
        <v/>
      </c>
      <c r="K499" s="81">
        <f>IF('Ordenes_Odoo'!K499="","",'Ordenes_Odoo'!K499)</f>
        <v/>
      </c>
      <c r="L499" s="81">
        <f>IF('Ordenes_Odoo'!L499="","",'Ordenes_Odoo'!L499)</f>
        <v/>
      </c>
      <c r="M499" s="79">
        <f>IF('Ordenes_Odoo'!M499="","",'Ordenes_Odoo'!M499)</f>
        <v/>
      </c>
      <c r="N499" s="79">
        <f>IF('Ordenes_Odoo'!N499="","",'Ordenes_Odoo'!N499)</f>
        <v/>
      </c>
      <c r="O499" s="81">
        <f>IF('Ordenes_Odoo'!O499="","",'Ordenes_Odoo'!O499)</f>
        <v/>
      </c>
      <c r="P499" s="81">
        <f>IF('Ordenes_Odoo'!P499="","",'Ordenes_Odoo'!P499)</f>
        <v/>
      </c>
      <c r="Q499" s="79">
        <f>IF(A499="","",IFERROR(INDEX(Facturas_Odoo!$B:$B, MATCH(A499, Facturas_Odoo!$D:$D, 0)), "Sin Factura"))</f>
        <v/>
      </c>
      <c r="R499" s="80">
        <f>IF(Q499="Sin Factura","",IFERROR(INDEX(Facturas_Odoo!$A:$A, MATCH(Q499, Facturas_Odoo!$B:$B, 0)), ""))</f>
        <v/>
      </c>
      <c r="S499" s="79">
        <f>IF(Q499="Sin Factura","",IFERROR(_xlfn.XLOOKUP(1, (Facturas_Odoo!$D:$D=A499) * (Facturas_Odoo!$K:$K=I499), Facturas_Odoo!$L:$L, ""), ""))</f>
        <v/>
      </c>
      <c r="T499" s="81">
        <f>IF(Q499="Sin Factura",0,IFERROR(_xlfn.XLOOKUP(1, (Facturas_Odoo!$D:$D=A499) * (Facturas_Odoo!$K:$K=I499), Facturas_Odoo!$M:$M, 0), 0))</f>
        <v/>
      </c>
      <c r="U499" s="79">
        <f>IF(Q499="Sin Factura",0,IFERROR(_xlfn.XLOOKUP(1, (Facturas_Odoo!$D:$D=A499) * (Facturas_Odoo!$K:$K=I499), Facturas_Odoo!$N:$N, 0), 0))</f>
        <v/>
      </c>
      <c r="V499" s="79">
        <f>IF(Q499="Sin Factura",0,IFERROR(_xlfn.XLOOKUP(1, (Facturas_Odoo!$D:$D=A499) * (Facturas_Odoo!$K:$K=I499), Facturas_Odoo!$O:$O, 0), 0))</f>
        <v/>
      </c>
      <c r="W499" s="81">
        <f>IF(Q499="Sin Factura",0,IFERROR(_xlfn.XLOOKUP(1, (Facturas_Odoo!$D:$D=A499) * (Facturas_Odoo!$K:$K=I499), Facturas_Odoo!$Q:$Q, 0), 0))</f>
        <v/>
      </c>
      <c r="X499" s="79">
        <f>IF(OR(Q499="Sin Factura",Q499=""),"",IFERROR(INDEX(Pagos_Odoo!$B:$B, MATCH(Q499, Pagos_Odoo!$I:$I, 0)), "Sin Pago"))</f>
        <v/>
      </c>
      <c r="Y499" s="79">
        <f>IF(X499="Sin Pago","",IFERROR(INDEX(Pagos_Odoo!$C:$C, MATCH(X499, Pagos_Odoo!$B:$B, 0)), ""))</f>
        <v/>
      </c>
      <c r="Z499" s="80">
        <f>IF(X499="Sin Pago","",IFERROR(INDEX(Pagos_Odoo!$A:$A, MATCH(X499, Pagos_Odoo!$B:$B, 0)), ""))</f>
        <v/>
      </c>
      <c r="AA499" s="79">
        <f>IF(X499="Sin Pago","",IFERROR(INDEX(Pagos_Odoo!$F:$F, MATCH(X499, Pagos_Odoo!$B:$B, 0)), ""))</f>
        <v/>
      </c>
      <c r="AB499" s="81">
        <f>IF(X499="Sin Pago",0,IFERROR(INDEX(Pagos_Odoo!$E:$E, MATCH(X499, Pagos_Odoo!$B:$B, 0)), 0))</f>
        <v/>
      </c>
      <c r="AC499" s="79">
        <f>IF(X499="Sin Pago","",IFERROR(INDEX(Pagos_Odoo!$G:$G, MATCH(X499, Pagos_Odoo!$B:$B, 0)), ""))</f>
        <v/>
      </c>
      <c r="AD499" s="82" t="n">
        <v>0</v>
      </c>
      <c r="AE499" s="82" t="n"/>
      <c r="AF499" s="82" t="n"/>
      <c r="AG499" s="82">
        <f>IF(AN499="","",AD499+AE499+AF499)</f>
        <v/>
      </c>
      <c r="AH499" s="81">
        <f>IF(AN499="","",P499*(1-AG499))</f>
        <v/>
      </c>
      <c r="AI499" s="81">
        <f>IF(AN499="","",IF(Q499="Sin Factura",0,IFERROR(INDEX(Facturas_Odoo!$H:$H, MATCH(Q499, Facturas_Odoo!$B:$B, 0)), 0)*(1-AG499)))</f>
        <v/>
      </c>
      <c r="AJ499" s="81">
        <f>IF(AN499="","",_xlfn.LET(idVenta, AN499&amp;"",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499" s="81">
        <f>IF(AN499="","",AH499-AJ499)</f>
        <v/>
      </c>
      <c r="AL499" s="81">
        <f>IF(AN499="","",IF(Q499="Sin Factura","",AI499-AJ499))</f>
        <v/>
      </c>
      <c r="AM499" s="81">
        <f>IF(AN499="","",IF(Q499="Sin Factura",0,P499-IFERROR(INDEX(Facturas_Odoo!$H:$H, MATCH(Q499, Facturas_Odoo!$B:$B, 0)), 0)))</f>
        <v/>
      </c>
      <c r="AN499" s="79">
        <f>IF(AND(A499="", J499=""), "", IF(A499&lt;&gt;"", VALUE(MID(A499,2,LEN(A499))), AN498))</f>
        <v/>
      </c>
      <c r="AO499" s="79">
        <f>IF(AN499="","",IF(AD499=0,"OK",_xlfn.LET(monedaPago, IF(AA499="","USD",AA499), limitePermitido, IFERROR(VLOOKUP(monedaPago, Configuración!$A$2:$B$3, 2, FALSE), 0.15), IF(AD499&gt;limitePermitido, "ALERTA: EXCESO (" &amp; TEXT(limitePermitido, "0%") &amp; " máx)", "OK"))))</f>
        <v/>
      </c>
      <c r="AP499" s="79">
        <f>IF(AN499="","",IF(AE499=0,"OK",_xlfn.LET(fechaPago, Z499, fechaFactura, R499, diasCredito, IF(E499="Pago inmediato", 0, IFERROR(VALUE(MID(E499, 1, SEARCH(" ", E499)-1)),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499" s="79">
        <f>IF(AN499="","",IF(AND(N499&gt;0, AG499&gt;0), IF(Configuración!$K$2="NO", "ALERTA: DESCUENTO DOBLE NO PERMITIDO", "OK"), "OK"))</f>
        <v/>
      </c>
      <c r="AR499" s="79">
        <f>IF(AN499="","",IF(OR(AO499&lt;&gt;"OK", AP499&lt;&gt;"OK", AQ499&lt;&gt;"OK"), "⚠️ REVISAR", "OK"))</f>
        <v/>
      </c>
    </row>
    <row r="500">
      <c r="A500" s="79">
        <f>IF('Ordenes_Odoo'!A500="","",'Ordenes_Odoo'!A500)</f>
        <v/>
      </c>
      <c r="B500" s="80">
        <f>IF('Ordenes_Odoo'!B500="","",'Ordenes_Odoo'!B500)</f>
        <v/>
      </c>
      <c r="C500" s="79">
        <f>IF('Ordenes_Odoo'!C500="","",'Ordenes_Odoo'!C500)</f>
        <v/>
      </c>
      <c r="D500" s="79">
        <f>IF('Ordenes_Odoo'!D500="","",'Ordenes_Odoo'!D500)</f>
        <v/>
      </c>
      <c r="E500" s="79">
        <f>IF('Ordenes_Odoo'!E500="","",'Ordenes_Odoo'!E500)</f>
        <v/>
      </c>
      <c r="F500" s="79">
        <f>IF('Ordenes_Odoo'!F500="","",'Ordenes_Odoo'!F500)</f>
        <v/>
      </c>
      <c r="G500" s="79">
        <f>IF('Ordenes_Odoo'!G500="","",'Ordenes_Odoo'!G500)</f>
        <v/>
      </c>
      <c r="H500" s="79">
        <f>IF('Ordenes_Odoo'!H500="","",'Ordenes_Odoo'!H500)</f>
        <v/>
      </c>
      <c r="I500" s="79">
        <f>IF('Ordenes_Odoo'!I500="","",'Ordenes_Odoo'!I500)</f>
        <v/>
      </c>
      <c r="J500" s="79">
        <f>IF('Ordenes_Odoo'!J500="","",'Ordenes_Odoo'!J500)</f>
        <v/>
      </c>
      <c r="K500" s="81">
        <f>IF('Ordenes_Odoo'!K500="","",'Ordenes_Odoo'!K500)</f>
        <v/>
      </c>
      <c r="L500" s="81">
        <f>IF('Ordenes_Odoo'!L500="","",'Ordenes_Odoo'!L500)</f>
        <v/>
      </c>
      <c r="M500" s="79">
        <f>IF('Ordenes_Odoo'!M500="","",'Ordenes_Odoo'!M500)</f>
        <v/>
      </c>
      <c r="N500" s="79">
        <f>IF('Ordenes_Odoo'!N500="","",'Ordenes_Odoo'!N500)</f>
        <v/>
      </c>
      <c r="O500" s="81">
        <f>IF('Ordenes_Odoo'!O500="","",'Ordenes_Odoo'!O500)</f>
        <v/>
      </c>
      <c r="P500" s="81">
        <f>IF('Ordenes_Odoo'!P500="","",'Ordenes_Odoo'!P500)</f>
        <v/>
      </c>
      <c r="Q500" s="79">
        <f>IF(A500="","",IFERROR(INDEX(Facturas_Odoo!$B:$B, MATCH(A500, Facturas_Odoo!$D:$D, 0)), "Sin Factura"))</f>
        <v/>
      </c>
      <c r="R500" s="80">
        <f>IF(Q500="Sin Factura","",IFERROR(INDEX(Facturas_Odoo!$A:$A, MATCH(Q500, Facturas_Odoo!$B:$B, 0)), ""))</f>
        <v/>
      </c>
      <c r="S500" s="79">
        <f>IF(Q500="Sin Factura","",IFERROR(_xlfn.XLOOKUP(1, (Facturas_Odoo!$D:$D=A500) * (Facturas_Odoo!$K:$K=I500), Facturas_Odoo!$L:$L, ""), ""))</f>
        <v/>
      </c>
      <c r="T500" s="81">
        <f>IF(Q500="Sin Factura",0,IFERROR(_xlfn.XLOOKUP(1, (Facturas_Odoo!$D:$D=A500) * (Facturas_Odoo!$K:$K=I500), Facturas_Odoo!$M:$M, 0), 0))</f>
        <v/>
      </c>
      <c r="U500" s="79">
        <f>IF(Q500="Sin Factura",0,IFERROR(_xlfn.XLOOKUP(1, (Facturas_Odoo!$D:$D=A500) * (Facturas_Odoo!$K:$K=I500), Facturas_Odoo!$N:$N, 0), 0))</f>
        <v/>
      </c>
      <c r="V500" s="79">
        <f>IF(Q500="Sin Factura",0,IFERROR(_xlfn.XLOOKUP(1, (Facturas_Odoo!$D:$D=A500) * (Facturas_Odoo!$K:$K=I500), Facturas_Odoo!$O:$O, 0), 0))</f>
        <v/>
      </c>
      <c r="W500" s="81">
        <f>IF(Q500="Sin Factura",0,IFERROR(_xlfn.XLOOKUP(1, (Facturas_Odoo!$D:$D=A500) * (Facturas_Odoo!$K:$K=I500), Facturas_Odoo!$Q:$Q, 0), 0))</f>
        <v/>
      </c>
      <c r="X500" s="79">
        <f>IF(OR(Q500="Sin Factura",Q500=""),"",IFERROR(INDEX(Pagos_Odoo!$B:$B, MATCH(Q500, Pagos_Odoo!$I:$I, 0)), "Sin Pago"))</f>
        <v/>
      </c>
      <c r="Y500" s="79">
        <f>IF(X500="Sin Pago","",IFERROR(INDEX(Pagos_Odoo!$C:$C, MATCH(X500, Pagos_Odoo!$B:$B, 0)), ""))</f>
        <v/>
      </c>
      <c r="Z500" s="80">
        <f>IF(X500="Sin Pago","",IFERROR(INDEX(Pagos_Odoo!$A:$A, MATCH(X500, Pagos_Odoo!$B:$B, 0)), ""))</f>
        <v/>
      </c>
      <c r="AA500" s="79">
        <f>IF(X500="Sin Pago","",IFERROR(INDEX(Pagos_Odoo!$F:$F, MATCH(X500, Pagos_Odoo!$B:$B, 0)), ""))</f>
        <v/>
      </c>
      <c r="AB500" s="81">
        <f>IF(X500="Sin Pago",0,IFERROR(INDEX(Pagos_Odoo!$E:$E, MATCH(X500, Pagos_Odoo!$B:$B, 0)), 0))</f>
        <v/>
      </c>
      <c r="AC500" s="79">
        <f>IF(X500="Sin Pago","",IFERROR(INDEX(Pagos_Odoo!$G:$G, MATCH(X500, Pagos_Odoo!$B:$B, 0)), ""))</f>
        <v/>
      </c>
      <c r="AD500" s="82" t="n">
        <v>0</v>
      </c>
      <c r="AE500" s="82" t="n"/>
      <c r="AF500" s="82" t="n"/>
      <c r="AG500" s="82">
        <f>IF(AN500="","",AD500+AE500+AF500)</f>
        <v/>
      </c>
      <c r="AH500" s="81">
        <f>IF(AN500="","",P500*(1-AG500))</f>
        <v/>
      </c>
      <c r="AI500" s="81">
        <f>IF(AN500="","",IF(Q500="Sin Factura",0,IFERROR(INDEX(Facturas_Odoo!$H:$H, MATCH(Q500, Facturas_Odoo!$B:$B, 0)), 0)*(1-AG500)))</f>
        <v/>
      </c>
      <c r="AJ500" s="81">
        <f>IF(AN500="","",_xlfn.LET(idVenta, AN500&amp;"",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00" s="81">
        <f>IF(AN500="","",AH500-AJ500)</f>
        <v/>
      </c>
      <c r="AL500" s="81">
        <f>IF(AN500="","",IF(Q500="Sin Factura","",AI500-AJ500))</f>
        <v/>
      </c>
      <c r="AM500" s="81">
        <f>IF(AN500="","",IF(Q500="Sin Factura",0,P500-IFERROR(INDEX(Facturas_Odoo!$H:$H, MATCH(Q500, Facturas_Odoo!$B:$B, 0)), 0)))</f>
        <v/>
      </c>
      <c r="AN500" s="79">
        <f>IF(AND(A500="", J500=""), "", IF(A500&lt;&gt;"", VALUE(MID(A500,2,LEN(A500))), AN499))</f>
        <v/>
      </c>
      <c r="AO500" s="79">
        <f>IF(AN500="","",IF(AD500=0,"OK",_xlfn.LET(monedaPago, IF(AA500="","USD",AA500), limitePermitido, IFERROR(VLOOKUP(monedaPago, Configuración!$A$2:$B$3, 2, FALSE), 0.15), IF(AD500&gt;limitePermitido, "ALERTA: EXCESO (" &amp; TEXT(limitePermitido, "0%") &amp; " máx)", "OK"))))</f>
        <v/>
      </c>
      <c r="AP500" s="79">
        <f>IF(AN500="","",IF(AE500=0,"OK",_xlfn.LET(fechaPago, Z500, fechaFactura, R500, diasCredito, IF(E500="Pago inmediato", 0, IFERROR(VALUE(MID(E500, 1, SEARCH(" ", E500)-1)),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00" s="79">
        <f>IF(AN500="","",IF(AND(N500&gt;0, AG500&gt;0), IF(Configuración!$K$2="NO", "ALERTA: DESCUENTO DOBLE NO PERMITIDO", "OK"), "OK"))</f>
        <v/>
      </c>
      <c r="AR500" s="79">
        <f>IF(AN500="","",IF(OR(AO500&lt;&gt;"OK", AP500&lt;&gt;"OK", AQ500&lt;&gt;"OK"), "⚠️ REVISAR", "OK"))</f>
        <v/>
      </c>
    </row>
    <row r="501">
      <c r="A501" s="79">
        <f>IF('Ordenes_Odoo'!A501="","",'Ordenes_Odoo'!A501)</f>
        <v/>
      </c>
      <c r="B501" s="80">
        <f>IF('Ordenes_Odoo'!B501="","",'Ordenes_Odoo'!B501)</f>
        <v/>
      </c>
      <c r="C501" s="79">
        <f>IF('Ordenes_Odoo'!C501="","",'Ordenes_Odoo'!C501)</f>
        <v/>
      </c>
      <c r="D501" s="79">
        <f>IF('Ordenes_Odoo'!D501="","",'Ordenes_Odoo'!D501)</f>
        <v/>
      </c>
      <c r="E501" s="79">
        <f>IF('Ordenes_Odoo'!E501="","",'Ordenes_Odoo'!E501)</f>
        <v/>
      </c>
      <c r="F501" s="79">
        <f>IF('Ordenes_Odoo'!F501="","",'Ordenes_Odoo'!F501)</f>
        <v/>
      </c>
      <c r="G501" s="79">
        <f>IF('Ordenes_Odoo'!G501="","",'Ordenes_Odoo'!G501)</f>
        <v/>
      </c>
      <c r="H501" s="79">
        <f>IF('Ordenes_Odoo'!H501="","",'Ordenes_Odoo'!H501)</f>
        <v/>
      </c>
      <c r="I501" s="79">
        <f>IF('Ordenes_Odoo'!I501="","",'Ordenes_Odoo'!I501)</f>
        <v/>
      </c>
      <c r="J501" s="79">
        <f>IF('Ordenes_Odoo'!J501="","",'Ordenes_Odoo'!J501)</f>
        <v/>
      </c>
      <c r="K501" s="81">
        <f>IF('Ordenes_Odoo'!K501="","",'Ordenes_Odoo'!K501)</f>
        <v/>
      </c>
      <c r="L501" s="81">
        <f>IF('Ordenes_Odoo'!L501="","",'Ordenes_Odoo'!L501)</f>
        <v/>
      </c>
      <c r="M501" s="79">
        <f>IF('Ordenes_Odoo'!M501="","",'Ordenes_Odoo'!M501)</f>
        <v/>
      </c>
      <c r="N501" s="79">
        <f>IF('Ordenes_Odoo'!N501="","",'Ordenes_Odoo'!N501)</f>
        <v/>
      </c>
      <c r="O501" s="81">
        <f>IF('Ordenes_Odoo'!O501="","",'Ordenes_Odoo'!O501)</f>
        <v/>
      </c>
      <c r="P501" s="81">
        <f>IF('Ordenes_Odoo'!P501="","",'Ordenes_Odoo'!P501)</f>
        <v/>
      </c>
      <c r="Q501" s="79">
        <f>IF(A501="","",IFERROR(INDEX(Facturas_Odoo!$B:$B, MATCH(A501, Facturas_Odoo!$D:$D, 0)), "Sin Factura"))</f>
        <v/>
      </c>
      <c r="R501" s="80">
        <f>IF(Q501="Sin Factura","",IFERROR(INDEX(Facturas_Odoo!$A:$A, MATCH(Q501, Facturas_Odoo!$B:$B, 0)), ""))</f>
        <v/>
      </c>
      <c r="S501" s="79">
        <f>IF(Q501="Sin Factura","",IFERROR(_xlfn.XLOOKUP(1, (Facturas_Odoo!$D:$D=A501) * (Facturas_Odoo!$K:$K=I501), Facturas_Odoo!$L:$L, ""), ""))</f>
        <v/>
      </c>
      <c r="T501" s="81">
        <f>IF(Q501="Sin Factura",0,IFERROR(_xlfn.XLOOKUP(1, (Facturas_Odoo!$D:$D=A501) * (Facturas_Odoo!$K:$K=I501), Facturas_Odoo!$M:$M, 0), 0))</f>
        <v/>
      </c>
      <c r="U501" s="79">
        <f>IF(Q501="Sin Factura",0,IFERROR(_xlfn.XLOOKUP(1, (Facturas_Odoo!$D:$D=A501) * (Facturas_Odoo!$K:$K=I501), Facturas_Odoo!$N:$N, 0), 0))</f>
        <v/>
      </c>
      <c r="V501" s="79">
        <f>IF(Q501="Sin Factura",0,IFERROR(_xlfn.XLOOKUP(1, (Facturas_Odoo!$D:$D=A501) * (Facturas_Odoo!$K:$K=I501), Facturas_Odoo!$O:$O, 0), 0))</f>
        <v/>
      </c>
      <c r="W501" s="81">
        <f>IF(Q501="Sin Factura",0,IFERROR(_xlfn.XLOOKUP(1, (Facturas_Odoo!$D:$D=A501) * (Facturas_Odoo!$K:$K=I501), Facturas_Odoo!$Q:$Q, 0), 0))</f>
        <v/>
      </c>
      <c r="X501" s="79">
        <f>IF(OR(Q501="Sin Factura",Q501=""),"",IFERROR(INDEX(Pagos_Odoo!$B:$B, MATCH(Q501, Pagos_Odoo!$I:$I, 0)), "Sin Pago"))</f>
        <v/>
      </c>
      <c r="Y501" s="79">
        <f>IF(X501="Sin Pago","",IFERROR(INDEX(Pagos_Odoo!$C:$C, MATCH(X501, Pagos_Odoo!$B:$B, 0)), ""))</f>
        <v/>
      </c>
      <c r="Z501" s="80">
        <f>IF(X501="Sin Pago","",IFERROR(INDEX(Pagos_Odoo!$A:$A, MATCH(X501, Pagos_Odoo!$B:$B, 0)), ""))</f>
        <v/>
      </c>
      <c r="AA501" s="79">
        <f>IF(X501="Sin Pago","",IFERROR(INDEX(Pagos_Odoo!$F:$F, MATCH(X501, Pagos_Odoo!$B:$B, 0)), ""))</f>
        <v/>
      </c>
      <c r="AB501" s="81">
        <f>IF(X501="Sin Pago",0,IFERROR(INDEX(Pagos_Odoo!$E:$E, MATCH(X501, Pagos_Odoo!$B:$B, 0)), 0))</f>
        <v/>
      </c>
      <c r="AC501" s="79">
        <f>IF(X501="Sin Pago","",IFERROR(INDEX(Pagos_Odoo!$G:$G, MATCH(X501, Pagos_Odoo!$B:$B, 0)), ""))</f>
        <v/>
      </c>
      <c r="AD501" s="82" t="n">
        <v>0</v>
      </c>
      <c r="AE501" s="82" t="n"/>
      <c r="AF501" s="82" t="n"/>
      <c r="AG501" s="82">
        <f>IF(AN501="","",AD501+AE501+AF501)</f>
        <v/>
      </c>
      <c r="AH501" s="81">
        <f>IF(AN501="","",P501*(1-AG501))</f>
        <v/>
      </c>
      <c r="AI501" s="81">
        <f>IF(AN501="","",IF(Q501="Sin Factura",0,IFERROR(INDEX(Facturas_Odoo!$H:$H, MATCH(Q501, Facturas_Odoo!$B:$B, 0)), 0)*(1-AG501)))</f>
        <v/>
      </c>
      <c r="AJ501" s="81">
        <f>IF(AN501="","",_xlfn.LET(idVenta, AN501&amp;"",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01" s="81">
        <f>IF(AN501="","",AH501-AJ501)</f>
        <v/>
      </c>
      <c r="AL501" s="81">
        <f>IF(AN501="","",IF(Q501="Sin Factura","",AI501-AJ501))</f>
        <v/>
      </c>
      <c r="AM501" s="81">
        <f>IF(AN501="","",IF(Q501="Sin Factura",0,P501-IFERROR(INDEX(Facturas_Odoo!$H:$H, MATCH(Q501, Facturas_Odoo!$B:$B, 0)), 0)))</f>
        <v/>
      </c>
      <c r="AN501" s="79">
        <f>IF(AND(A501="", J501=""), "", IF(A501&lt;&gt;"", VALUE(MID(A501,2,LEN(A501))), AN500))</f>
        <v/>
      </c>
      <c r="AO501" s="79">
        <f>IF(AN501="","",IF(AD501=0,"OK",_xlfn.LET(monedaPago, IF(AA501="","USD",AA501), limitePermitido, IFERROR(VLOOKUP(monedaPago, Configuración!$A$2:$B$3, 2, FALSE), 0.15), IF(AD501&gt;limitePermitido, "ALERTA: EXCESO (" &amp; TEXT(limitePermitido, "0%") &amp; " máx)", "OK"))))</f>
        <v/>
      </c>
      <c r="AP501" s="79">
        <f>IF(AN501="","",IF(AE501=0,"OK",_xlfn.LET(fechaPago, Z501, fechaFactura, R501, diasCredito, IF(E501="Pago inmediato", 0, IFERROR(VALUE(MID(E501, 1, SEARCH(" ", E501)-1)),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01" s="79">
        <f>IF(AN501="","",IF(AND(N501&gt;0, AG501&gt;0), IF(Configuración!$K$2="NO", "ALERTA: DESCUENTO DOBLE NO PERMITIDO", "OK"), "OK"))</f>
        <v/>
      </c>
      <c r="AR501" s="79">
        <f>IF(AN501="","",IF(OR(AO501&lt;&gt;"OK", AP501&lt;&gt;"OK", AQ501&lt;&gt;"OK"), "⚠️ REVISAR", "OK"))</f>
        <v/>
      </c>
    </row>
    <row r="502">
      <c r="A502" s="79">
        <f>IF('Ordenes_Odoo'!A502="","",'Ordenes_Odoo'!A502)</f>
        <v/>
      </c>
      <c r="B502" s="80">
        <f>IF('Ordenes_Odoo'!B502="","",'Ordenes_Odoo'!B502)</f>
        <v/>
      </c>
      <c r="C502" s="79">
        <f>IF('Ordenes_Odoo'!C502="","",'Ordenes_Odoo'!C502)</f>
        <v/>
      </c>
      <c r="D502" s="79">
        <f>IF('Ordenes_Odoo'!D502="","",'Ordenes_Odoo'!D502)</f>
        <v/>
      </c>
      <c r="E502" s="79">
        <f>IF('Ordenes_Odoo'!E502="","",'Ordenes_Odoo'!E502)</f>
        <v/>
      </c>
      <c r="F502" s="79">
        <f>IF('Ordenes_Odoo'!F502="","",'Ordenes_Odoo'!F502)</f>
        <v/>
      </c>
      <c r="G502" s="79">
        <f>IF('Ordenes_Odoo'!G502="","",'Ordenes_Odoo'!G502)</f>
        <v/>
      </c>
      <c r="H502" s="79">
        <f>IF('Ordenes_Odoo'!H502="","",'Ordenes_Odoo'!H502)</f>
        <v/>
      </c>
      <c r="I502" s="79">
        <f>IF('Ordenes_Odoo'!I502="","",'Ordenes_Odoo'!I502)</f>
        <v/>
      </c>
      <c r="J502" s="79">
        <f>IF('Ordenes_Odoo'!J502="","",'Ordenes_Odoo'!J502)</f>
        <v/>
      </c>
      <c r="K502" s="81">
        <f>IF('Ordenes_Odoo'!K502="","",'Ordenes_Odoo'!K502)</f>
        <v/>
      </c>
      <c r="L502" s="81">
        <f>IF('Ordenes_Odoo'!L502="","",'Ordenes_Odoo'!L502)</f>
        <v/>
      </c>
      <c r="M502" s="79">
        <f>IF('Ordenes_Odoo'!M502="","",'Ordenes_Odoo'!M502)</f>
        <v/>
      </c>
      <c r="N502" s="79">
        <f>IF('Ordenes_Odoo'!N502="","",'Ordenes_Odoo'!N502)</f>
        <v/>
      </c>
      <c r="O502" s="81">
        <f>IF('Ordenes_Odoo'!O502="","",'Ordenes_Odoo'!O502)</f>
        <v/>
      </c>
      <c r="P502" s="81">
        <f>IF('Ordenes_Odoo'!P502="","",'Ordenes_Odoo'!P502)</f>
        <v/>
      </c>
      <c r="Q502" s="79">
        <f>IF(A502="","",IFERROR(INDEX(Facturas_Odoo!$B:$B, MATCH(A502, Facturas_Odoo!$D:$D, 0)), "Sin Factura"))</f>
        <v/>
      </c>
      <c r="R502" s="80">
        <f>IF(Q502="Sin Factura","",IFERROR(INDEX(Facturas_Odoo!$A:$A, MATCH(Q502, Facturas_Odoo!$B:$B, 0)), ""))</f>
        <v/>
      </c>
      <c r="S502" s="79">
        <f>IF(Q502="Sin Factura","",IFERROR(_xlfn.XLOOKUP(1, (Facturas_Odoo!$D:$D=A502) * (Facturas_Odoo!$K:$K=I502), Facturas_Odoo!$L:$L, ""), ""))</f>
        <v/>
      </c>
      <c r="T502" s="81">
        <f>IF(Q502="Sin Factura",0,IFERROR(_xlfn.XLOOKUP(1, (Facturas_Odoo!$D:$D=A502) * (Facturas_Odoo!$K:$K=I502), Facturas_Odoo!$M:$M, 0), 0))</f>
        <v/>
      </c>
      <c r="U502" s="79">
        <f>IF(Q502="Sin Factura",0,IFERROR(_xlfn.XLOOKUP(1, (Facturas_Odoo!$D:$D=A502) * (Facturas_Odoo!$K:$K=I502), Facturas_Odoo!$N:$N, 0), 0))</f>
        <v/>
      </c>
      <c r="V502" s="79">
        <f>IF(Q502="Sin Factura",0,IFERROR(_xlfn.XLOOKUP(1, (Facturas_Odoo!$D:$D=A502) * (Facturas_Odoo!$K:$K=I502), Facturas_Odoo!$O:$O, 0), 0))</f>
        <v/>
      </c>
      <c r="W502" s="81">
        <f>IF(Q502="Sin Factura",0,IFERROR(_xlfn.XLOOKUP(1, (Facturas_Odoo!$D:$D=A502) * (Facturas_Odoo!$K:$K=I502), Facturas_Odoo!$Q:$Q, 0), 0))</f>
        <v/>
      </c>
      <c r="X502" s="79">
        <f>IF(OR(Q502="Sin Factura",Q502=""),"",IFERROR(INDEX(Pagos_Odoo!$B:$B, MATCH(Q502, Pagos_Odoo!$I:$I, 0)), "Sin Pago"))</f>
        <v/>
      </c>
      <c r="Y502" s="79">
        <f>IF(X502="Sin Pago","",IFERROR(INDEX(Pagos_Odoo!$C:$C, MATCH(X502, Pagos_Odoo!$B:$B, 0)), ""))</f>
        <v/>
      </c>
      <c r="Z502" s="80">
        <f>IF(X502="Sin Pago","",IFERROR(INDEX(Pagos_Odoo!$A:$A, MATCH(X502, Pagos_Odoo!$B:$B, 0)), ""))</f>
        <v/>
      </c>
      <c r="AA502" s="79">
        <f>IF(X502="Sin Pago","",IFERROR(INDEX(Pagos_Odoo!$F:$F, MATCH(X502, Pagos_Odoo!$B:$B, 0)), ""))</f>
        <v/>
      </c>
      <c r="AB502" s="81">
        <f>IF(X502="Sin Pago",0,IFERROR(INDEX(Pagos_Odoo!$E:$E, MATCH(X502, Pagos_Odoo!$B:$B, 0)), 0))</f>
        <v/>
      </c>
      <c r="AC502" s="79">
        <f>IF(X502="Sin Pago","",IFERROR(INDEX(Pagos_Odoo!$G:$G, MATCH(X502, Pagos_Odoo!$B:$B, 0)), ""))</f>
        <v/>
      </c>
      <c r="AD502" s="82" t="n">
        <v>0</v>
      </c>
      <c r="AE502" s="82" t="n"/>
      <c r="AF502" s="82" t="n"/>
      <c r="AG502" s="82">
        <f>IF(AN502="","",AD502+AE502+AF502)</f>
        <v/>
      </c>
      <c r="AH502" s="81">
        <f>IF(AN502="","",P502*(1-AG502))</f>
        <v/>
      </c>
      <c r="AI502" s="81">
        <f>IF(AN502="","",IF(Q502="Sin Factura",0,IFERROR(INDEX(Facturas_Odoo!$H:$H, MATCH(Q502, Facturas_Odoo!$B:$B, 0)), 0)*(1-AG502)))</f>
        <v/>
      </c>
      <c r="AJ502" s="81">
        <f>IF(AN502="","",_xlfn.LET(idVenta, AN502&amp;"",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02" s="81">
        <f>IF(AN502="","",AH502-AJ502)</f>
        <v/>
      </c>
      <c r="AL502" s="81">
        <f>IF(AN502="","",IF(Q502="Sin Factura","",AI502-AJ502))</f>
        <v/>
      </c>
      <c r="AM502" s="81">
        <f>IF(AN502="","",IF(Q502="Sin Factura",0,P502-IFERROR(INDEX(Facturas_Odoo!$H:$H, MATCH(Q502, Facturas_Odoo!$B:$B, 0)), 0)))</f>
        <v/>
      </c>
      <c r="AN502" s="79">
        <f>IF(AND(A502="", J502=""), "", IF(A502&lt;&gt;"", VALUE(MID(A502,2,LEN(A502))), AN501))</f>
        <v/>
      </c>
      <c r="AO502" s="79">
        <f>IF(AN502="","",IF(AD502=0,"OK",_xlfn.LET(monedaPago, IF(AA502="","USD",AA502), limitePermitido, IFERROR(VLOOKUP(monedaPago, Configuración!$A$2:$B$3, 2, FALSE), 0.15), IF(AD502&gt;limitePermitido, "ALERTA: EXCESO (" &amp; TEXT(limitePermitido, "0%") &amp; " máx)", "OK"))))</f>
        <v/>
      </c>
      <c r="AP502" s="79">
        <f>IF(AN502="","",IF(AE502=0,"OK",_xlfn.LET(fechaPago, Z502, fechaFactura, R502, diasCredito, IF(E502="Pago inmediato", 0, IFERROR(VALUE(MID(E502, 1, SEARCH(" ", E502)-1)),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02" s="79">
        <f>IF(AN502="","",IF(AND(N502&gt;0, AG502&gt;0), IF(Configuración!$K$2="NO", "ALERTA: DESCUENTO DOBLE NO PERMITIDO", "OK"), "OK"))</f>
        <v/>
      </c>
      <c r="AR502" s="79">
        <f>IF(AN502="","",IF(OR(AO502&lt;&gt;"OK", AP502&lt;&gt;"OK", AQ502&lt;&gt;"OK"), "⚠️ REVISAR", "OK"))</f>
        <v/>
      </c>
    </row>
    <row r="503">
      <c r="A503" s="79">
        <f>IF('Ordenes_Odoo'!A503="","",'Ordenes_Odoo'!A503)</f>
        <v/>
      </c>
      <c r="B503" s="80">
        <f>IF('Ordenes_Odoo'!B503="","",'Ordenes_Odoo'!B503)</f>
        <v/>
      </c>
      <c r="C503" s="79">
        <f>IF('Ordenes_Odoo'!C503="","",'Ordenes_Odoo'!C503)</f>
        <v/>
      </c>
      <c r="D503" s="79">
        <f>IF('Ordenes_Odoo'!D503="","",'Ordenes_Odoo'!D503)</f>
        <v/>
      </c>
      <c r="E503" s="79">
        <f>IF('Ordenes_Odoo'!E503="","",'Ordenes_Odoo'!E503)</f>
        <v/>
      </c>
      <c r="F503" s="79">
        <f>IF('Ordenes_Odoo'!F503="","",'Ordenes_Odoo'!F503)</f>
        <v/>
      </c>
      <c r="G503" s="79">
        <f>IF('Ordenes_Odoo'!G503="","",'Ordenes_Odoo'!G503)</f>
        <v/>
      </c>
      <c r="H503" s="79">
        <f>IF('Ordenes_Odoo'!H503="","",'Ordenes_Odoo'!H503)</f>
        <v/>
      </c>
      <c r="I503" s="79">
        <f>IF('Ordenes_Odoo'!I503="","",'Ordenes_Odoo'!I503)</f>
        <v/>
      </c>
      <c r="J503" s="79">
        <f>IF('Ordenes_Odoo'!J503="","",'Ordenes_Odoo'!J503)</f>
        <v/>
      </c>
      <c r="K503" s="81">
        <f>IF('Ordenes_Odoo'!K503="","",'Ordenes_Odoo'!K503)</f>
        <v/>
      </c>
      <c r="L503" s="81">
        <f>IF('Ordenes_Odoo'!L503="","",'Ordenes_Odoo'!L503)</f>
        <v/>
      </c>
      <c r="M503" s="79">
        <f>IF('Ordenes_Odoo'!M503="","",'Ordenes_Odoo'!M503)</f>
        <v/>
      </c>
      <c r="N503" s="79">
        <f>IF('Ordenes_Odoo'!N503="","",'Ordenes_Odoo'!N503)</f>
        <v/>
      </c>
      <c r="O503" s="81">
        <f>IF('Ordenes_Odoo'!O503="","",'Ordenes_Odoo'!O503)</f>
        <v/>
      </c>
      <c r="P503" s="81">
        <f>IF('Ordenes_Odoo'!P503="","",'Ordenes_Odoo'!P503)</f>
        <v/>
      </c>
      <c r="Q503" s="79">
        <f>IF(A503="","",IFERROR(INDEX(Facturas_Odoo!$B:$B, MATCH(A503, Facturas_Odoo!$D:$D, 0)), "Sin Factura"))</f>
        <v/>
      </c>
      <c r="R503" s="80">
        <f>IF(Q503="Sin Factura","",IFERROR(INDEX(Facturas_Odoo!$A:$A, MATCH(Q503, Facturas_Odoo!$B:$B, 0)), ""))</f>
        <v/>
      </c>
      <c r="S503" s="79">
        <f>IF(Q503="Sin Factura","",IFERROR(_xlfn.XLOOKUP(1, (Facturas_Odoo!$D:$D=A503) * (Facturas_Odoo!$K:$K=I503), Facturas_Odoo!$L:$L, ""), ""))</f>
        <v/>
      </c>
      <c r="T503" s="81">
        <f>IF(Q503="Sin Factura",0,IFERROR(_xlfn.XLOOKUP(1, (Facturas_Odoo!$D:$D=A503) * (Facturas_Odoo!$K:$K=I503), Facturas_Odoo!$M:$M, 0), 0))</f>
        <v/>
      </c>
      <c r="U503" s="79">
        <f>IF(Q503="Sin Factura",0,IFERROR(_xlfn.XLOOKUP(1, (Facturas_Odoo!$D:$D=A503) * (Facturas_Odoo!$K:$K=I503), Facturas_Odoo!$N:$N, 0), 0))</f>
        <v/>
      </c>
      <c r="V503" s="79">
        <f>IF(Q503="Sin Factura",0,IFERROR(_xlfn.XLOOKUP(1, (Facturas_Odoo!$D:$D=A503) * (Facturas_Odoo!$K:$K=I503), Facturas_Odoo!$O:$O, 0), 0))</f>
        <v/>
      </c>
      <c r="W503" s="81">
        <f>IF(Q503="Sin Factura",0,IFERROR(_xlfn.XLOOKUP(1, (Facturas_Odoo!$D:$D=A503) * (Facturas_Odoo!$K:$K=I503), Facturas_Odoo!$Q:$Q, 0), 0))</f>
        <v/>
      </c>
      <c r="X503" s="79">
        <f>IF(OR(Q503="Sin Factura",Q503=""),"",IFERROR(INDEX(Pagos_Odoo!$B:$B, MATCH(Q503, Pagos_Odoo!$I:$I, 0)), "Sin Pago"))</f>
        <v/>
      </c>
      <c r="Y503" s="79">
        <f>IF(X503="Sin Pago","",IFERROR(INDEX(Pagos_Odoo!$C:$C, MATCH(X503, Pagos_Odoo!$B:$B, 0)), ""))</f>
        <v/>
      </c>
      <c r="Z503" s="80">
        <f>IF(X503="Sin Pago","",IFERROR(INDEX(Pagos_Odoo!$A:$A, MATCH(X503, Pagos_Odoo!$B:$B, 0)), ""))</f>
        <v/>
      </c>
      <c r="AA503" s="79">
        <f>IF(X503="Sin Pago","",IFERROR(INDEX(Pagos_Odoo!$F:$F, MATCH(X503, Pagos_Odoo!$B:$B, 0)), ""))</f>
        <v/>
      </c>
      <c r="AB503" s="81">
        <f>IF(X503="Sin Pago",0,IFERROR(INDEX(Pagos_Odoo!$E:$E, MATCH(X503, Pagos_Odoo!$B:$B, 0)), 0))</f>
        <v/>
      </c>
      <c r="AC503" s="79">
        <f>IF(X503="Sin Pago","",IFERROR(INDEX(Pagos_Odoo!$G:$G, MATCH(X503, Pagos_Odoo!$B:$B, 0)), ""))</f>
        <v/>
      </c>
      <c r="AD503" s="82" t="n">
        <v>0</v>
      </c>
      <c r="AE503" s="82" t="n"/>
      <c r="AF503" s="82" t="n"/>
      <c r="AG503" s="82">
        <f>IF(AN503="","",AD503+AE503+AF503)</f>
        <v/>
      </c>
      <c r="AH503" s="81">
        <f>IF(AN503="","",P503*(1-AG503))</f>
        <v/>
      </c>
      <c r="AI503" s="81">
        <f>IF(AN503="","",IF(Q503="Sin Factura",0,IFERROR(INDEX(Facturas_Odoo!$H:$H, MATCH(Q503, Facturas_Odoo!$B:$B, 0)), 0)*(1-AG503)))</f>
        <v/>
      </c>
      <c r="AJ503" s="81">
        <f>IF(AN503="","",_xlfn.LET(idVenta, AN503&amp;"",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03" s="81">
        <f>IF(AN503="","",AH503-AJ503)</f>
        <v/>
      </c>
      <c r="AL503" s="81">
        <f>IF(AN503="","",IF(Q503="Sin Factura","",AI503-AJ503))</f>
        <v/>
      </c>
      <c r="AM503" s="81">
        <f>IF(AN503="","",IF(Q503="Sin Factura",0,P503-IFERROR(INDEX(Facturas_Odoo!$H:$H, MATCH(Q503, Facturas_Odoo!$B:$B, 0)), 0)))</f>
        <v/>
      </c>
      <c r="AN503" s="79">
        <f>IF(AND(A503="", J503=""), "", IF(A503&lt;&gt;"", VALUE(MID(A503,2,LEN(A503))), AN502))</f>
        <v/>
      </c>
      <c r="AO503" s="79">
        <f>IF(AN503="","",IF(AD503=0,"OK",_xlfn.LET(monedaPago, IF(AA503="","USD",AA503), limitePermitido, IFERROR(VLOOKUP(monedaPago, Configuración!$A$2:$B$3, 2, FALSE), 0.15), IF(AD503&gt;limitePermitido, "ALERTA: EXCESO (" &amp; TEXT(limitePermitido, "0%") &amp; " máx)", "OK"))))</f>
        <v/>
      </c>
      <c r="AP503" s="79">
        <f>IF(AN503="","",IF(AE503=0,"OK",_xlfn.LET(fechaPago, Z503, fechaFactura, R503, diasCredito, IF(E503="Pago inmediato", 0, IFERROR(VALUE(MID(E503, 1, SEARCH(" ", E503)-1)),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03" s="79">
        <f>IF(AN503="","",IF(AND(N503&gt;0, AG503&gt;0), IF(Configuración!$K$2="NO", "ALERTA: DESCUENTO DOBLE NO PERMITIDO", "OK"), "OK"))</f>
        <v/>
      </c>
      <c r="AR503" s="79">
        <f>IF(AN503="","",IF(OR(AO503&lt;&gt;"OK", AP503&lt;&gt;"OK", AQ503&lt;&gt;"OK"), "⚠️ REVISAR", "OK"))</f>
        <v/>
      </c>
    </row>
    <row r="504">
      <c r="A504" s="79">
        <f>IF('Ordenes_Odoo'!A504="","",'Ordenes_Odoo'!A504)</f>
        <v/>
      </c>
      <c r="B504" s="80">
        <f>IF('Ordenes_Odoo'!B504="","",'Ordenes_Odoo'!B504)</f>
        <v/>
      </c>
      <c r="C504" s="79">
        <f>IF('Ordenes_Odoo'!C504="","",'Ordenes_Odoo'!C504)</f>
        <v/>
      </c>
      <c r="D504" s="79">
        <f>IF('Ordenes_Odoo'!D504="","",'Ordenes_Odoo'!D504)</f>
        <v/>
      </c>
      <c r="E504" s="79">
        <f>IF('Ordenes_Odoo'!E504="","",'Ordenes_Odoo'!E504)</f>
        <v/>
      </c>
      <c r="F504" s="79">
        <f>IF('Ordenes_Odoo'!F504="","",'Ordenes_Odoo'!F504)</f>
        <v/>
      </c>
      <c r="G504" s="79">
        <f>IF('Ordenes_Odoo'!G504="","",'Ordenes_Odoo'!G504)</f>
        <v/>
      </c>
      <c r="H504" s="79">
        <f>IF('Ordenes_Odoo'!H504="","",'Ordenes_Odoo'!H504)</f>
        <v/>
      </c>
      <c r="I504" s="79">
        <f>IF('Ordenes_Odoo'!I504="","",'Ordenes_Odoo'!I504)</f>
        <v/>
      </c>
      <c r="J504" s="79">
        <f>IF('Ordenes_Odoo'!J504="","",'Ordenes_Odoo'!J504)</f>
        <v/>
      </c>
      <c r="K504" s="81">
        <f>IF('Ordenes_Odoo'!K504="","",'Ordenes_Odoo'!K504)</f>
        <v/>
      </c>
      <c r="L504" s="81">
        <f>IF('Ordenes_Odoo'!L504="","",'Ordenes_Odoo'!L504)</f>
        <v/>
      </c>
      <c r="M504" s="79">
        <f>IF('Ordenes_Odoo'!M504="","",'Ordenes_Odoo'!M504)</f>
        <v/>
      </c>
      <c r="N504" s="79">
        <f>IF('Ordenes_Odoo'!N504="","",'Ordenes_Odoo'!N504)</f>
        <v/>
      </c>
      <c r="O504" s="81">
        <f>IF('Ordenes_Odoo'!O504="","",'Ordenes_Odoo'!O504)</f>
        <v/>
      </c>
      <c r="P504" s="81">
        <f>IF('Ordenes_Odoo'!P504="","",'Ordenes_Odoo'!P504)</f>
        <v/>
      </c>
      <c r="Q504" s="79">
        <f>IF(A504="","",IFERROR(INDEX(Facturas_Odoo!$B:$B, MATCH(A504, Facturas_Odoo!$D:$D, 0)), "Sin Factura"))</f>
        <v/>
      </c>
      <c r="R504" s="80">
        <f>IF(Q504="Sin Factura","",IFERROR(INDEX(Facturas_Odoo!$A:$A, MATCH(Q504, Facturas_Odoo!$B:$B, 0)), ""))</f>
        <v/>
      </c>
      <c r="S504" s="79">
        <f>IF(Q504="Sin Factura","",IFERROR(_xlfn.XLOOKUP(1, (Facturas_Odoo!$D:$D=A504) * (Facturas_Odoo!$K:$K=I504), Facturas_Odoo!$L:$L, ""), ""))</f>
        <v/>
      </c>
      <c r="T504" s="81">
        <f>IF(Q504="Sin Factura",0,IFERROR(_xlfn.XLOOKUP(1, (Facturas_Odoo!$D:$D=A504) * (Facturas_Odoo!$K:$K=I504), Facturas_Odoo!$M:$M, 0), 0))</f>
        <v/>
      </c>
      <c r="U504" s="79">
        <f>IF(Q504="Sin Factura",0,IFERROR(_xlfn.XLOOKUP(1, (Facturas_Odoo!$D:$D=A504) * (Facturas_Odoo!$K:$K=I504), Facturas_Odoo!$N:$N, 0), 0))</f>
        <v/>
      </c>
      <c r="V504" s="79">
        <f>IF(Q504="Sin Factura",0,IFERROR(_xlfn.XLOOKUP(1, (Facturas_Odoo!$D:$D=A504) * (Facturas_Odoo!$K:$K=I504), Facturas_Odoo!$O:$O, 0), 0))</f>
        <v/>
      </c>
      <c r="W504" s="81">
        <f>IF(Q504="Sin Factura",0,IFERROR(_xlfn.XLOOKUP(1, (Facturas_Odoo!$D:$D=A504) * (Facturas_Odoo!$K:$K=I504), Facturas_Odoo!$Q:$Q, 0), 0))</f>
        <v/>
      </c>
      <c r="X504" s="79">
        <f>IF(OR(Q504="Sin Factura",Q504=""),"",IFERROR(INDEX(Pagos_Odoo!$B:$B, MATCH(Q504, Pagos_Odoo!$I:$I, 0)), "Sin Pago"))</f>
        <v/>
      </c>
      <c r="Y504" s="79">
        <f>IF(X504="Sin Pago","",IFERROR(INDEX(Pagos_Odoo!$C:$C, MATCH(X504, Pagos_Odoo!$B:$B, 0)), ""))</f>
        <v/>
      </c>
      <c r="Z504" s="80">
        <f>IF(X504="Sin Pago","",IFERROR(INDEX(Pagos_Odoo!$A:$A, MATCH(X504, Pagos_Odoo!$B:$B, 0)), ""))</f>
        <v/>
      </c>
      <c r="AA504" s="79">
        <f>IF(X504="Sin Pago","",IFERROR(INDEX(Pagos_Odoo!$F:$F, MATCH(X504, Pagos_Odoo!$B:$B, 0)), ""))</f>
        <v/>
      </c>
      <c r="AB504" s="81">
        <f>IF(X504="Sin Pago",0,IFERROR(INDEX(Pagos_Odoo!$E:$E, MATCH(X504, Pagos_Odoo!$B:$B, 0)), 0))</f>
        <v/>
      </c>
      <c r="AC504" s="79">
        <f>IF(X504="Sin Pago","",IFERROR(INDEX(Pagos_Odoo!$G:$G, MATCH(X504, Pagos_Odoo!$B:$B, 0)), ""))</f>
        <v/>
      </c>
      <c r="AD504" s="82" t="n">
        <v>0</v>
      </c>
      <c r="AE504" s="82" t="n"/>
      <c r="AF504" s="82" t="n"/>
      <c r="AG504" s="82">
        <f>IF(AN504="","",AD504+AE504+AF504)</f>
        <v/>
      </c>
      <c r="AH504" s="81">
        <f>IF(AN504="","",P504*(1-AG504))</f>
        <v/>
      </c>
      <c r="AI504" s="81">
        <f>IF(AN504="","",IF(Q504="Sin Factura",0,IFERROR(INDEX(Facturas_Odoo!$H:$H, MATCH(Q504, Facturas_Odoo!$B:$B, 0)), 0)*(1-AG504)))</f>
        <v/>
      </c>
      <c r="AJ504" s="81">
        <f>IF(AN504="","",_xlfn.LET(idVenta, AN504&amp;"",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04" s="81">
        <f>IF(AN504="","",AH504-AJ504)</f>
        <v/>
      </c>
      <c r="AL504" s="81">
        <f>IF(AN504="","",IF(Q504="Sin Factura","",AI504-AJ504))</f>
        <v/>
      </c>
      <c r="AM504" s="81">
        <f>IF(AN504="","",IF(Q504="Sin Factura",0,P504-IFERROR(INDEX(Facturas_Odoo!$H:$H, MATCH(Q504, Facturas_Odoo!$B:$B, 0)), 0)))</f>
        <v/>
      </c>
      <c r="AN504" s="79">
        <f>IF(AND(A504="", J504=""), "", IF(A504&lt;&gt;"", VALUE(MID(A504,2,LEN(A504))), AN503))</f>
        <v/>
      </c>
      <c r="AO504" s="79">
        <f>IF(AN504="","",IF(AD504=0,"OK",_xlfn.LET(monedaPago, IF(AA504="","USD",AA504), limitePermitido, IFERROR(VLOOKUP(monedaPago, Configuración!$A$2:$B$3, 2, FALSE), 0.15), IF(AD504&gt;limitePermitido, "ALERTA: EXCESO (" &amp; TEXT(limitePermitido, "0%") &amp; " máx)", "OK"))))</f>
        <v/>
      </c>
      <c r="AP504" s="79">
        <f>IF(AN504="","",IF(AE504=0,"OK",_xlfn.LET(fechaPago, Z504, fechaFactura, R504, diasCredito, IF(E504="Pago inmediato", 0, IFERROR(VALUE(MID(E504, 1, SEARCH(" ", E504)-1)),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04" s="79">
        <f>IF(AN504="","",IF(AND(N504&gt;0, AG504&gt;0), IF(Configuración!$K$2="NO", "ALERTA: DESCUENTO DOBLE NO PERMITIDO", "OK"), "OK"))</f>
        <v/>
      </c>
      <c r="AR504" s="79">
        <f>IF(AN504="","",IF(OR(AO504&lt;&gt;"OK", AP504&lt;&gt;"OK", AQ504&lt;&gt;"OK"), "⚠️ REVISAR", "OK"))</f>
        <v/>
      </c>
    </row>
    <row r="505">
      <c r="A505" s="79">
        <f>IF('Ordenes_Odoo'!A505="","",'Ordenes_Odoo'!A505)</f>
        <v/>
      </c>
      <c r="B505" s="80">
        <f>IF('Ordenes_Odoo'!B505="","",'Ordenes_Odoo'!B505)</f>
        <v/>
      </c>
      <c r="C505" s="79">
        <f>IF('Ordenes_Odoo'!C505="","",'Ordenes_Odoo'!C505)</f>
        <v/>
      </c>
      <c r="D505" s="79">
        <f>IF('Ordenes_Odoo'!D505="","",'Ordenes_Odoo'!D505)</f>
        <v/>
      </c>
      <c r="E505" s="79">
        <f>IF('Ordenes_Odoo'!E505="","",'Ordenes_Odoo'!E505)</f>
        <v/>
      </c>
      <c r="F505" s="79">
        <f>IF('Ordenes_Odoo'!F505="","",'Ordenes_Odoo'!F505)</f>
        <v/>
      </c>
      <c r="G505" s="79">
        <f>IF('Ordenes_Odoo'!G505="","",'Ordenes_Odoo'!G505)</f>
        <v/>
      </c>
      <c r="H505" s="79">
        <f>IF('Ordenes_Odoo'!H505="","",'Ordenes_Odoo'!H505)</f>
        <v/>
      </c>
      <c r="I505" s="79">
        <f>IF('Ordenes_Odoo'!I505="","",'Ordenes_Odoo'!I505)</f>
        <v/>
      </c>
      <c r="J505" s="79">
        <f>IF('Ordenes_Odoo'!J505="","",'Ordenes_Odoo'!J505)</f>
        <v/>
      </c>
      <c r="K505" s="81">
        <f>IF('Ordenes_Odoo'!K505="","",'Ordenes_Odoo'!K505)</f>
        <v/>
      </c>
      <c r="L505" s="81">
        <f>IF('Ordenes_Odoo'!L505="","",'Ordenes_Odoo'!L505)</f>
        <v/>
      </c>
      <c r="M505" s="79">
        <f>IF('Ordenes_Odoo'!M505="","",'Ordenes_Odoo'!M505)</f>
        <v/>
      </c>
      <c r="N505" s="79">
        <f>IF('Ordenes_Odoo'!N505="","",'Ordenes_Odoo'!N505)</f>
        <v/>
      </c>
      <c r="O505" s="81">
        <f>IF('Ordenes_Odoo'!O505="","",'Ordenes_Odoo'!O505)</f>
        <v/>
      </c>
      <c r="P505" s="81">
        <f>IF('Ordenes_Odoo'!P505="","",'Ordenes_Odoo'!P505)</f>
        <v/>
      </c>
      <c r="Q505" s="79">
        <f>IF(A505="","",IFERROR(INDEX(Facturas_Odoo!$B:$B, MATCH(A505, Facturas_Odoo!$D:$D, 0)), "Sin Factura"))</f>
        <v/>
      </c>
      <c r="R505" s="80">
        <f>IF(Q505="Sin Factura","",IFERROR(INDEX(Facturas_Odoo!$A:$A, MATCH(Q505, Facturas_Odoo!$B:$B, 0)), ""))</f>
        <v/>
      </c>
      <c r="S505" s="79">
        <f>IF(Q505="Sin Factura","",IFERROR(_xlfn.XLOOKUP(1, (Facturas_Odoo!$D:$D=A505) * (Facturas_Odoo!$K:$K=I505), Facturas_Odoo!$L:$L, ""), ""))</f>
        <v/>
      </c>
      <c r="T505" s="81">
        <f>IF(Q505="Sin Factura",0,IFERROR(_xlfn.XLOOKUP(1, (Facturas_Odoo!$D:$D=A505) * (Facturas_Odoo!$K:$K=I505), Facturas_Odoo!$M:$M, 0), 0))</f>
        <v/>
      </c>
      <c r="U505" s="79">
        <f>IF(Q505="Sin Factura",0,IFERROR(_xlfn.XLOOKUP(1, (Facturas_Odoo!$D:$D=A505) * (Facturas_Odoo!$K:$K=I505), Facturas_Odoo!$N:$N, 0), 0))</f>
        <v/>
      </c>
      <c r="V505" s="79">
        <f>IF(Q505="Sin Factura",0,IFERROR(_xlfn.XLOOKUP(1, (Facturas_Odoo!$D:$D=A505) * (Facturas_Odoo!$K:$K=I505), Facturas_Odoo!$O:$O, 0), 0))</f>
        <v/>
      </c>
      <c r="W505" s="81">
        <f>IF(Q505="Sin Factura",0,IFERROR(_xlfn.XLOOKUP(1, (Facturas_Odoo!$D:$D=A505) * (Facturas_Odoo!$K:$K=I505), Facturas_Odoo!$Q:$Q, 0), 0))</f>
        <v/>
      </c>
      <c r="X505" s="79">
        <f>IF(OR(Q505="Sin Factura",Q505=""),"",IFERROR(INDEX(Pagos_Odoo!$B:$B, MATCH(Q505, Pagos_Odoo!$I:$I, 0)), "Sin Pago"))</f>
        <v/>
      </c>
      <c r="Y505" s="79">
        <f>IF(X505="Sin Pago","",IFERROR(INDEX(Pagos_Odoo!$C:$C, MATCH(X505, Pagos_Odoo!$B:$B, 0)), ""))</f>
        <v/>
      </c>
      <c r="Z505" s="80">
        <f>IF(X505="Sin Pago","",IFERROR(INDEX(Pagos_Odoo!$A:$A, MATCH(X505, Pagos_Odoo!$B:$B, 0)), ""))</f>
        <v/>
      </c>
      <c r="AA505" s="79">
        <f>IF(X505="Sin Pago","",IFERROR(INDEX(Pagos_Odoo!$F:$F, MATCH(X505, Pagos_Odoo!$B:$B, 0)), ""))</f>
        <v/>
      </c>
      <c r="AB505" s="81">
        <f>IF(X505="Sin Pago",0,IFERROR(INDEX(Pagos_Odoo!$E:$E, MATCH(X505, Pagos_Odoo!$B:$B, 0)), 0))</f>
        <v/>
      </c>
      <c r="AC505" s="79">
        <f>IF(X505="Sin Pago","",IFERROR(INDEX(Pagos_Odoo!$G:$G, MATCH(X505, Pagos_Odoo!$B:$B, 0)), ""))</f>
        <v/>
      </c>
      <c r="AD505" s="82" t="n">
        <v>0</v>
      </c>
      <c r="AE505" s="82" t="n"/>
      <c r="AF505" s="82" t="n"/>
      <c r="AG505" s="82">
        <f>IF(AN505="","",AD505+AE505+AF505)</f>
        <v/>
      </c>
      <c r="AH505" s="81">
        <f>IF(AN505="","",P505*(1-AG505))</f>
        <v/>
      </c>
      <c r="AI505" s="81">
        <f>IF(AN505="","",IF(Q505="Sin Factura",0,IFERROR(INDEX(Facturas_Odoo!$H:$H, MATCH(Q505, Facturas_Odoo!$B:$B, 0)), 0)*(1-AG505)))</f>
        <v/>
      </c>
      <c r="AJ505" s="81">
        <f>IF(AN505="","",_xlfn.LET(idVenta, AN505&amp;"",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05" s="81">
        <f>IF(AN505="","",AH505-AJ505)</f>
        <v/>
      </c>
      <c r="AL505" s="81">
        <f>IF(AN505="","",IF(Q505="Sin Factura","",AI505-AJ505))</f>
        <v/>
      </c>
      <c r="AM505" s="81">
        <f>IF(AN505="","",IF(Q505="Sin Factura",0,P505-IFERROR(INDEX(Facturas_Odoo!$H:$H, MATCH(Q505, Facturas_Odoo!$B:$B, 0)), 0)))</f>
        <v/>
      </c>
      <c r="AN505" s="79">
        <f>IF(AND(A505="", J505=""), "", IF(A505&lt;&gt;"", VALUE(MID(A505,2,LEN(A505))), AN504))</f>
        <v/>
      </c>
      <c r="AO505" s="79">
        <f>IF(AN505="","",IF(AD505=0,"OK",_xlfn.LET(monedaPago, IF(AA505="","USD",AA505), limitePermitido, IFERROR(VLOOKUP(monedaPago, Configuración!$A$2:$B$3, 2, FALSE), 0.15), IF(AD505&gt;limitePermitido, "ALERTA: EXCESO (" &amp; TEXT(limitePermitido, "0%") &amp; " máx)", "OK"))))</f>
        <v/>
      </c>
      <c r="AP505" s="79">
        <f>IF(AN505="","",IF(AE505=0,"OK",_xlfn.LET(fechaPago, Z505, fechaFactura, R505, diasCredito, IF(E505="Pago inmediato", 0, IFERROR(VALUE(MID(E505, 1, SEARCH(" ", E505)-1)),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05" s="79">
        <f>IF(AN505="","",IF(AND(N505&gt;0, AG505&gt;0), IF(Configuración!$K$2="NO", "ALERTA: DESCUENTO DOBLE NO PERMITIDO", "OK"), "OK"))</f>
        <v/>
      </c>
      <c r="AR505" s="79">
        <f>IF(AN505="","",IF(OR(AO505&lt;&gt;"OK", AP505&lt;&gt;"OK", AQ505&lt;&gt;"OK"), "⚠️ REVISAR", "OK"))</f>
        <v/>
      </c>
    </row>
    <row r="506">
      <c r="A506" s="79">
        <f>IF('Ordenes_Odoo'!A506="","",'Ordenes_Odoo'!A506)</f>
        <v/>
      </c>
      <c r="B506" s="80">
        <f>IF('Ordenes_Odoo'!B506="","",'Ordenes_Odoo'!B506)</f>
        <v/>
      </c>
      <c r="C506" s="79">
        <f>IF('Ordenes_Odoo'!C506="","",'Ordenes_Odoo'!C506)</f>
        <v/>
      </c>
      <c r="D506" s="79">
        <f>IF('Ordenes_Odoo'!D506="","",'Ordenes_Odoo'!D506)</f>
        <v/>
      </c>
      <c r="E506" s="79">
        <f>IF('Ordenes_Odoo'!E506="","",'Ordenes_Odoo'!E506)</f>
        <v/>
      </c>
      <c r="F506" s="79">
        <f>IF('Ordenes_Odoo'!F506="","",'Ordenes_Odoo'!F506)</f>
        <v/>
      </c>
      <c r="G506" s="79">
        <f>IF('Ordenes_Odoo'!G506="","",'Ordenes_Odoo'!G506)</f>
        <v/>
      </c>
      <c r="H506" s="79">
        <f>IF('Ordenes_Odoo'!H506="","",'Ordenes_Odoo'!H506)</f>
        <v/>
      </c>
      <c r="I506" s="79">
        <f>IF('Ordenes_Odoo'!I506="","",'Ordenes_Odoo'!I506)</f>
        <v/>
      </c>
      <c r="J506" s="79">
        <f>IF('Ordenes_Odoo'!J506="","",'Ordenes_Odoo'!J506)</f>
        <v/>
      </c>
      <c r="K506" s="81">
        <f>IF('Ordenes_Odoo'!K506="","",'Ordenes_Odoo'!K506)</f>
        <v/>
      </c>
      <c r="L506" s="81">
        <f>IF('Ordenes_Odoo'!L506="","",'Ordenes_Odoo'!L506)</f>
        <v/>
      </c>
      <c r="M506" s="79">
        <f>IF('Ordenes_Odoo'!M506="","",'Ordenes_Odoo'!M506)</f>
        <v/>
      </c>
      <c r="N506" s="79">
        <f>IF('Ordenes_Odoo'!N506="","",'Ordenes_Odoo'!N506)</f>
        <v/>
      </c>
      <c r="O506" s="81">
        <f>IF('Ordenes_Odoo'!O506="","",'Ordenes_Odoo'!O506)</f>
        <v/>
      </c>
      <c r="P506" s="81">
        <f>IF('Ordenes_Odoo'!P506="","",'Ordenes_Odoo'!P506)</f>
        <v/>
      </c>
      <c r="Q506" s="79">
        <f>IF(A506="","",IFERROR(INDEX(Facturas_Odoo!$B:$B, MATCH(A506, Facturas_Odoo!$D:$D, 0)), "Sin Factura"))</f>
        <v/>
      </c>
      <c r="R506" s="80">
        <f>IF(Q506="Sin Factura","",IFERROR(INDEX(Facturas_Odoo!$A:$A, MATCH(Q506, Facturas_Odoo!$B:$B, 0)), ""))</f>
        <v/>
      </c>
      <c r="S506" s="79">
        <f>IF(Q506="Sin Factura","",IFERROR(_xlfn.XLOOKUP(1, (Facturas_Odoo!$D:$D=A506) * (Facturas_Odoo!$K:$K=I506), Facturas_Odoo!$L:$L, ""), ""))</f>
        <v/>
      </c>
      <c r="T506" s="81">
        <f>IF(Q506="Sin Factura",0,IFERROR(_xlfn.XLOOKUP(1, (Facturas_Odoo!$D:$D=A506) * (Facturas_Odoo!$K:$K=I506), Facturas_Odoo!$M:$M, 0), 0))</f>
        <v/>
      </c>
      <c r="U506" s="79">
        <f>IF(Q506="Sin Factura",0,IFERROR(_xlfn.XLOOKUP(1, (Facturas_Odoo!$D:$D=A506) * (Facturas_Odoo!$K:$K=I506), Facturas_Odoo!$N:$N, 0), 0))</f>
        <v/>
      </c>
      <c r="V506" s="79">
        <f>IF(Q506="Sin Factura",0,IFERROR(_xlfn.XLOOKUP(1, (Facturas_Odoo!$D:$D=A506) * (Facturas_Odoo!$K:$K=I506), Facturas_Odoo!$O:$O, 0), 0))</f>
        <v/>
      </c>
      <c r="W506" s="81">
        <f>IF(Q506="Sin Factura",0,IFERROR(_xlfn.XLOOKUP(1, (Facturas_Odoo!$D:$D=A506) * (Facturas_Odoo!$K:$K=I506), Facturas_Odoo!$Q:$Q, 0), 0))</f>
        <v/>
      </c>
      <c r="X506" s="79">
        <f>IF(OR(Q506="Sin Factura",Q506=""),"",IFERROR(INDEX(Pagos_Odoo!$B:$B, MATCH(Q506, Pagos_Odoo!$I:$I, 0)), "Sin Pago"))</f>
        <v/>
      </c>
      <c r="Y506" s="79">
        <f>IF(X506="Sin Pago","",IFERROR(INDEX(Pagos_Odoo!$C:$C, MATCH(X506, Pagos_Odoo!$B:$B, 0)), ""))</f>
        <v/>
      </c>
      <c r="Z506" s="80">
        <f>IF(X506="Sin Pago","",IFERROR(INDEX(Pagos_Odoo!$A:$A, MATCH(X506, Pagos_Odoo!$B:$B, 0)), ""))</f>
        <v/>
      </c>
      <c r="AA506" s="79">
        <f>IF(X506="Sin Pago","",IFERROR(INDEX(Pagos_Odoo!$F:$F, MATCH(X506, Pagos_Odoo!$B:$B, 0)), ""))</f>
        <v/>
      </c>
      <c r="AB506" s="81">
        <f>IF(X506="Sin Pago",0,IFERROR(INDEX(Pagos_Odoo!$E:$E, MATCH(X506, Pagos_Odoo!$B:$B, 0)), 0))</f>
        <v/>
      </c>
      <c r="AC506" s="79">
        <f>IF(X506="Sin Pago","",IFERROR(INDEX(Pagos_Odoo!$G:$G, MATCH(X506, Pagos_Odoo!$B:$B, 0)), ""))</f>
        <v/>
      </c>
      <c r="AD506" s="82" t="n">
        <v>0</v>
      </c>
      <c r="AE506" s="82" t="n"/>
      <c r="AF506" s="82" t="n"/>
      <c r="AG506" s="82">
        <f>IF(AN506="","",AD506+AE506+AF506)</f>
        <v/>
      </c>
      <c r="AH506" s="81">
        <f>IF(AN506="","",P506*(1-AG506))</f>
        <v/>
      </c>
      <c r="AI506" s="81">
        <f>IF(AN506="","",IF(Q506="Sin Factura",0,IFERROR(INDEX(Facturas_Odoo!$H:$H, MATCH(Q506, Facturas_Odoo!$B:$B, 0)), 0)*(1-AG506)))</f>
        <v/>
      </c>
      <c r="AJ506" s="81">
        <f>IF(AN506="","",_xlfn.LET(idVenta, AN506&amp;"",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06" s="81">
        <f>IF(AN506="","",AH506-AJ506)</f>
        <v/>
      </c>
      <c r="AL506" s="81">
        <f>IF(AN506="","",IF(Q506="Sin Factura","",AI506-AJ506))</f>
        <v/>
      </c>
      <c r="AM506" s="81">
        <f>IF(AN506="","",IF(Q506="Sin Factura",0,P506-IFERROR(INDEX(Facturas_Odoo!$H:$H, MATCH(Q506, Facturas_Odoo!$B:$B, 0)), 0)))</f>
        <v/>
      </c>
      <c r="AN506" s="79">
        <f>IF(AND(A506="", J506=""), "", IF(A506&lt;&gt;"", VALUE(MID(A506,2,LEN(A506))), AN505))</f>
        <v/>
      </c>
      <c r="AO506" s="79">
        <f>IF(AN506="","",IF(AD506=0,"OK",_xlfn.LET(monedaPago, IF(AA506="","USD",AA506), limitePermitido, IFERROR(VLOOKUP(monedaPago, Configuración!$A$2:$B$3, 2, FALSE), 0.15), IF(AD506&gt;limitePermitido, "ALERTA: EXCESO (" &amp; TEXT(limitePermitido, "0%") &amp; " máx)", "OK"))))</f>
        <v/>
      </c>
      <c r="AP506" s="79">
        <f>IF(AN506="","",IF(AE506=0,"OK",_xlfn.LET(fechaPago, Z506, fechaFactura, R506, diasCredito, IF(E506="Pago inmediato", 0, IFERROR(VALUE(MID(E506, 1, SEARCH(" ", E506)-1)),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06" s="79">
        <f>IF(AN506="","",IF(AND(N506&gt;0, AG506&gt;0), IF(Configuración!$K$2="NO", "ALERTA: DESCUENTO DOBLE NO PERMITIDO", "OK"), "OK"))</f>
        <v/>
      </c>
      <c r="AR506" s="79">
        <f>IF(AN506="","",IF(OR(AO506&lt;&gt;"OK", AP506&lt;&gt;"OK", AQ506&lt;&gt;"OK"), "⚠️ REVISAR", "OK"))</f>
        <v/>
      </c>
    </row>
    <row r="507">
      <c r="A507" s="79">
        <f>IF('Ordenes_Odoo'!A507="","",'Ordenes_Odoo'!A507)</f>
        <v/>
      </c>
      <c r="B507" s="80">
        <f>IF('Ordenes_Odoo'!B507="","",'Ordenes_Odoo'!B507)</f>
        <v/>
      </c>
      <c r="C507" s="79">
        <f>IF('Ordenes_Odoo'!C507="","",'Ordenes_Odoo'!C507)</f>
        <v/>
      </c>
      <c r="D507" s="79">
        <f>IF('Ordenes_Odoo'!D507="","",'Ordenes_Odoo'!D507)</f>
        <v/>
      </c>
      <c r="E507" s="79">
        <f>IF('Ordenes_Odoo'!E507="","",'Ordenes_Odoo'!E507)</f>
        <v/>
      </c>
      <c r="F507" s="79">
        <f>IF('Ordenes_Odoo'!F507="","",'Ordenes_Odoo'!F507)</f>
        <v/>
      </c>
      <c r="G507" s="79">
        <f>IF('Ordenes_Odoo'!G507="","",'Ordenes_Odoo'!G507)</f>
        <v/>
      </c>
      <c r="H507" s="79">
        <f>IF('Ordenes_Odoo'!H507="","",'Ordenes_Odoo'!H507)</f>
        <v/>
      </c>
      <c r="I507" s="79">
        <f>IF('Ordenes_Odoo'!I507="","",'Ordenes_Odoo'!I507)</f>
        <v/>
      </c>
      <c r="J507" s="79">
        <f>IF('Ordenes_Odoo'!J507="","",'Ordenes_Odoo'!J507)</f>
        <v/>
      </c>
      <c r="K507" s="81">
        <f>IF('Ordenes_Odoo'!K507="","",'Ordenes_Odoo'!K507)</f>
        <v/>
      </c>
      <c r="L507" s="81">
        <f>IF('Ordenes_Odoo'!L507="","",'Ordenes_Odoo'!L507)</f>
        <v/>
      </c>
      <c r="M507" s="79">
        <f>IF('Ordenes_Odoo'!M507="","",'Ordenes_Odoo'!M507)</f>
        <v/>
      </c>
      <c r="N507" s="79">
        <f>IF('Ordenes_Odoo'!N507="","",'Ordenes_Odoo'!N507)</f>
        <v/>
      </c>
      <c r="O507" s="81">
        <f>IF('Ordenes_Odoo'!O507="","",'Ordenes_Odoo'!O507)</f>
        <v/>
      </c>
      <c r="P507" s="81">
        <f>IF('Ordenes_Odoo'!P507="","",'Ordenes_Odoo'!P507)</f>
        <v/>
      </c>
      <c r="Q507" s="79">
        <f>IF(A507="","",IFERROR(INDEX(Facturas_Odoo!$B:$B, MATCH(A507, Facturas_Odoo!$D:$D, 0)), "Sin Factura"))</f>
        <v/>
      </c>
      <c r="R507" s="80">
        <f>IF(Q507="Sin Factura","",IFERROR(INDEX(Facturas_Odoo!$A:$A, MATCH(Q507, Facturas_Odoo!$B:$B, 0)), ""))</f>
        <v/>
      </c>
      <c r="S507" s="79">
        <f>IF(Q507="Sin Factura","",IFERROR(_xlfn.XLOOKUP(1, (Facturas_Odoo!$D:$D=A507) * (Facturas_Odoo!$K:$K=I507), Facturas_Odoo!$L:$L, ""), ""))</f>
        <v/>
      </c>
      <c r="T507" s="81">
        <f>IF(Q507="Sin Factura",0,IFERROR(_xlfn.XLOOKUP(1, (Facturas_Odoo!$D:$D=A507) * (Facturas_Odoo!$K:$K=I507), Facturas_Odoo!$M:$M, 0), 0))</f>
        <v/>
      </c>
      <c r="U507" s="79">
        <f>IF(Q507="Sin Factura",0,IFERROR(_xlfn.XLOOKUP(1, (Facturas_Odoo!$D:$D=A507) * (Facturas_Odoo!$K:$K=I507), Facturas_Odoo!$N:$N, 0), 0))</f>
        <v/>
      </c>
      <c r="V507" s="79">
        <f>IF(Q507="Sin Factura",0,IFERROR(_xlfn.XLOOKUP(1, (Facturas_Odoo!$D:$D=A507) * (Facturas_Odoo!$K:$K=I507), Facturas_Odoo!$O:$O, 0), 0))</f>
        <v/>
      </c>
      <c r="W507" s="81">
        <f>IF(Q507="Sin Factura",0,IFERROR(_xlfn.XLOOKUP(1, (Facturas_Odoo!$D:$D=A507) * (Facturas_Odoo!$K:$K=I507), Facturas_Odoo!$Q:$Q, 0), 0))</f>
        <v/>
      </c>
      <c r="X507" s="79">
        <f>IF(OR(Q507="Sin Factura",Q507=""),"",IFERROR(INDEX(Pagos_Odoo!$B:$B, MATCH(Q507, Pagos_Odoo!$I:$I, 0)), "Sin Pago"))</f>
        <v/>
      </c>
      <c r="Y507" s="79">
        <f>IF(X507="Sin Pago","",IFERROR(INDEX(Pagos_Odoo!$C:$C, MATCH(X507, Pagos_Odoo!$B:$B, 0)), ""))</f>
        <v/>
      </c>
      <c r="Z507" s="80">
        <f>IF(X507="Sin Pago","",IFERROR(INDEX(Pagos_Odoo!$A:$A, MATCH(X507, Pagos_Odoo!$B:$B, 0)), ""))</f>
        <v/>
      </c>
      <c r="AA507" s="79">
        <f>IF(X507="Sin Pago","",IFERROR(INDEX(Pagos_Odoo!$F:$F, MATCH(X507, Pagos_Odoo!$B:$B, 0)), ""))</f>
        <v/>
      </c>
      <c r="AB507" s="81">
        <f>IF(X507="Sin Pago",0,IFERROR(INDEX(Pagos_Odoo!$E:$E, MATCH(X507, Pagos_Odoo!$B:$B, 0)), 0))</f>
        <v/>
      </c>
      <c r="AC507" s="79">
        <f>IF(X507="Sin Pago","",IFERROR(INDEX(Pagos_Odoo!$G:$G, MATCH(X507, Pagos_Odoo!$B:$B, 0)), ""))</f>
        <v/>
      </c>
      <c r="AD507" s="82" t="n">
        <v>0</v>
      </c>
      <c r="AE507" s="82" t="n"/>
      <c r="AF507" s="82" t="n"/>
      <c r="AG507" s="82">
        <f>IF(AN507="","",AD507+AE507+AF507)</f>
        <v/>
      </c>
      <c r="AH507" s="81">
        <f>IF(AN507="","",P507*(1-AG507))</f>
        <v/>
      </c>
      <c r="AI507" s="81">
        <f>IF(AN507="","",IF(Q507="Sin Factura",0,IFERROR(INDEX(Facturas_Odoo!$H:$H, MATCH(Q507, Facturas_Odoo!$B:$B, 0)), 0)*(1-AG507)))</f>
        <v/>
      </c>
      <c r="AJ507" s="81">
        <f>IF(AN507="","",_xlfn.LET(idVenta, AN507&amp;"",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07" s="81">
        <f>IF(AN507="","",AH507-AJ507)</f>
        <v/>
      </c>
      <c r="AL507" s="81">
        <f>IF(AN507="","",IF(Q507="Sin Factura","",AI507-AJ507))</f>
        <v/>
      </c>
      <c r="AM507" s="81">
        <f>IF(AN507="","",IF(Q507="Sin Factura",0,P507-IFERROR(INDEX(Facturas_Odoo!$H:$H, MATCH(Q507, Facturas_Odoo!$B:$B, 0)), 0)))</f>
        <v/>
      </c>
      <c r="AN507" s="79">
        <f>IF(AND(A507="", J507=""), "", IF(A507&lt;&gt;"", VALUE(MID(A507,2,LEN(A507))), AN506))</f>
        <v/>
      </c>
      <c r="AO507" s="79">
        <f>IF(AN507="","",IF(AD507=0,"OK",_xlfn.LET(monedaPago, IF(AA507="","USD",AA507), limitePermitido, IFERROR(VLOOKUP(monedaPago, Configuración!$A$2:$B$3, 2, FALSE), 0.15), IF(AD507&gt;limitePermitido, "ALERTA: EXCESO (" &amp; TEXT(limitePermitido, "0%") &amp; " máx)", "OK"))))</f>
        <v/>
      </c>
      <c r="AP507" s="79">
        <f>IF(AN507="","",IF(AE507=0,"OK",_xlfn.LET(fechaPago, Z507, fechaFactura, R507, diasCredito, IF(E507="Pago inmediato", 0, IFERROR(VALUE(MID(E507, 1, SEARCH(" ", E507)-1)),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07" s="79">
        <f>IF(AN507="","",IF(AND(N507&gt;0, AG507&gt;0), IF(Configuración!$K$2="NO", "ALERTA: DESCUENTO DOBLE NO PERMITIDO", "OK"), "OK"))</f>
        <v/>
      </c>
      <c r="AR507" s="79">
        <f>IF(AN507="","",IF(OR(AO507&lt;&gt;"OK", AP507&lt;&gt;"OK", AQ507&lt;&gt;"OK"), "⚠️ REVISAR", "OK"))</f>
        <v/>
      </c>
    </row>
    <row r="508">
      <c r="A508" s="79">
        <f>IF('Ordenes_Odoo'!A508="","",'Ordenes_Odoo'!A508)</f>
        <v/>
      </c>
      <c r="B508" s="80">
        <f>IF('Ordenes_Odoo'!B508="","",'Ordenes_Odoo'!B508)</f>
        <v/>
      </c>
      <c r="C508" s="79">
        <f>IF('Ordenes_Odoo'!C508="","",'Ordenes_Odoo'!C508)</f>
        <v/>
      </c>
      <c r="D508" s="79">
        <f>IF('Ordenes_Odoo'!D508="","",'Ordenes_Odoo'!D508)</f>
        <v/>
      </c>
      <c r="E508" s="79">
        <f>IF('Ordenes_Odoo'!E508="","",'Ordenes_Odoo'!E508)</f>
        <v/>
      </c>
      <c r="F508" s="79">
        <f>IF('Ordenes_Odoo'!F508="","",'Ordenes_Odoo'!F508)</f>
        <v/>
      </c>
      <c r="G508" s="79">
        <f>IF('Ordenes_Odoo'!G508="","",'Ordenes_Odoo'!G508)</f>
        <v/>
      </c>
      <c r="H508" s="79">
        <f>IF('Ordenes_Odoo'!H508="","",'Ordenes_Odoo'!H508)</f>
        <v/>
      </c>
      <c r="I508" s="79">
        <f>IF('Ordenes_Odoo'!I508="","",'Ordenes_Odoo'!I508)</f>
        <v/>
      </c>
      <c r="J508" s="79">
        <f>IF('Ordenes_Odoo'!J508="","",'Ordenes_Odoo'!J508)</f>
        <v/>
      </c>
      <c r="K508" s="81">
        <f>IF('Ordenes_Odoo'!K508="","",'Ordenes_Odoo'!K508)</f>
        <v/>
      </c>
      <c r="L508" s="81">
        <f>IF('Ordenes_Odoo'!L508="","",'Ordenes_Odoo'!L508)</f>
        <v/>
      </c>
      <c r="M508" s="79">
        <f>IF('Ordenes_Odoo'!M508="","",'Ordenes_Odoo'!M508)</f>
        <v/>
      </c>
      <c r="N508" s="79">
        <f>IF('Ordenes_Odoo'!N508="","",'Ordenes_Odoo'!N508)</f>
        <v/>
      </c>
      <c r="O508" s="81">
        <f>IF('Ordenes_Odoo'!O508="","",'Ordenes_Odoo'!O508)</f>
        <v/>
      </c>
      <c r="P508" s="81">
        <f>IF('Ordenes_Odoo'!P508="","",'Ordenes_Odoo'!P508)</f>
        <v/>
      </c>
      <c r="Q508" s="79">
        <f>IF(A508="","",IFERROR(INDEX(Facturas_Odoo!$B:$B, MATCH(A508, Facturas_Odoo!$D:$D, 0)), "Sin Factura"))</f>
        <v/>
      </c>
      <c r="R508" s="80">
        <f>IF(Q508="Sin Factura","",IFERROR(INDEX(Facturas_Odoo!$A:$A, MATCH(Q508, Facturas_Odoo!$B:$B, 0)), ""))</f>
        <v/>
      </c>
      <c r="S508" s="79">
        <f>IF(Q508="Sin Factura","",IFERROR(_xlfn.XLOOKUP(1, (Facturas_Odoo!$D:$D=A508) * (Facturas_Odoo!$K:$K=I508), Facturas_Odoo!$L:$L, ""), ""))</f>
        <v/>
      </c>
      <c r="T508" s="81">
        <f>IF(Q508="Sin Factura",0,IFERROR(_xlfn.XLOOKUP(1, (Facturas_Odoo!$D:$D=A508) * (Facturas_Odoo!$K:$K=I508), Facturas_Odoo!$M:$M, 0), 0))</f>
        <v/>
      </c>
      <c r="U508" s="79">
        <f>IF(Q508="Sin Factura",0,IFERROR(_xlfn.XLOOKUP(1, (Facturas_Odoo!$D:$D=A508) * (Facturas_Odoo!$K:$K=I508), Facturas_Odoo!$N:$N, 0), 0))</f>
        <v/>
      </c>
      <c r="V508" s="79">
        <f>IF(Q508="Sin Factura",0,IFERROR(_xlfn.XLOOKUP(1, (Facturas_Odoo!$D:$D=A508) * (Facturas_Odoo!$K:$K=I508), Facturas_Odoo!$O:$O, 0), 0))</f>
        <v/>
      </c>
      <c r="W508" s="81">
        <f>IF(Q508="Sin Factura",0,IFERROR(_xlfn.XLOOKUP(1, (Facturas_Odoo!$D:$D=A508) * (Facturas_Odoo!$K:$K=I508), Facturas_Odoo!$Q:$Q, 0), 0))</f>
        <v/>
      </c>
      <c r="X508" s="79">
        <f>IF(OR(Q508="Sin Factura",Q508=""),"",IFERROR(INDEX(Pagos_Odoo!$B:$B, MATCH(Q508, Pagos_Odoo!$I:$I, 0)), "Sin Pago"))</f>
        <v/>
      </c>
      <c r="Y508" s="79">
        <f>IF(X508="Sin Pago","",IFERROR(INDEX(Pagos_Odoo!$C:$C, MATCH(X508, Pagos_Odoo!$B:$B, 0)), ""))</f>
        <v/>
      </c>
      <c r="Z508" s="80">
        <f>IF(X508="Sin Pago","",IFERROR(INDEX(Pagos_Odoo!$A:$A, MATCH(X508, Pagos_Odoo!$B:$B, 0)), ""))</f>
        <v/>
      </c>
      <c r="AA508" s="79">
        <f>IF(X508="Sin Pago","",IFERROR(INDEX(Pagos_Odoo!$F:$F, MATCH(X508, Pagos_Odoo!$B:$B, 0)), ""))</f>
        <v/>
      </c>
      <c r="AB508" s="81">
        <f>IF(X508="Sin Pago",0,IFERROR(INDEX(Pagos_Odoo!$E:$E, MATCH(X508, Pagos_Odoo!$B:$B, 0)), 0))</f>
        <v/>
      </c>
      <c r="AC508" s="79">
        <f>IF(X508="Sin Pago","",IFERROR(INDEX(Pagos_Odoo!$G:$G, MATCH(X508, Pagos_Odoo!$B:$B, 0)), ""))</f>
        <v/>
      </c>
      <c r="AD508" s="82" t="n">
        <v>0</v>
      </c>
      <c r="AE508" s="82" t="n"/>
      <c r="AF508" s="82" t="n"/>
      <c r="AG508" s="82">
        <f>IF(AN508="","",AD508+AE508+AF508)</f>
        <v/>
      </c>
      <c r="AH508" s="81">
        <f>IF(AN508="","",P508*(1-AG508))</f>
        <v/>
      </c>
      <c r="AI508" s="81">
        <f>IF(AN508="","",IF(Q508="Sin Factura",0,IFERROR(INDEX(Facturas_Odoo!$H:$H, MATCH(Q508, Facturas_Odoo!$B:$B, 0)), 0)*(1-AG508)))</f>
        <v/>
      </c>
      <c r="AJ508" s="81">
        <f>IF(AN508="","",_xlfn.LET(idVenta, AN508&amp;"",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08" s="81">
        <f>IF(AN508="","",AH508-AJ508)</f>
        <v/>
      </c>
      <c r="AL508" s="81">
        <f>IF(AN508="","",IF(Q508="Sin Factura","",AI508-AJ508))</f>
        <v/>
      </c>
      <c r="AM508" s="81">
        <f>IF(AN508="","",IF(Q508="Sin Factura",0,P508-IFERROR(INDEX(Facturas_Odoo!$H:$H, MATCH(Q508, Facturas_Odoo!$B:$B, 0)), 0)))</f>
        <v/>
      </c>
      <c r="AN508" s="79">
        <f>IF(AND(A508="", J508=""), "", IF(A508&lt;&gt;"", VALUE(MID(A508,2,LEN(A508))), AN507))</f>
        <v/>
      </c>
      <c r="AO508" s="79">
        <f>IF(AN508="","",IF(AD508=0,"OK",_xlfn.LET(monedaPago, IF(AA508="","USD",AA508), limitePermitido, IFERROR(VLOOKUP(monedaPago, Configuración!$A$2:$B$3, 2, FALSE), 0.15), IF(AD508&gt;limitePermitido, "ALERTA: EXCESO (" &amp; TEXT(limitePermitido, "0%") &amp; " máx)", "OK"))))</f>
        <v/>
      </c>
      <c r="AP508" s="79">
        <f>IF(AN508="","",IF(AE508=0,"OK",_xlfn.LET(fechaPago, Z508, fechaFactura, R508, diasCredito, IF(E508="Pago inmediato", 0, IFERROR(VALUE(MID(E508, 1, SEARCH(" ", E508)-1)),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08" s="79">
        <f>IF(AN508="","",IF(AND(N508&gt;0, AG508&gt;0), IF(Configuración!$K$2="NO", "ALERTA: DESCUENTO DOBLE NO PERMITIDO", "OK"), "OK"))</f>
        <v/>
      </c>
      <c r="AR508" s="79">
        <f>IF(AN508="","",IF(OR(AO508&lt;&gt;"OK", AP508&lt;&gt;"OK", AQ508&lt;&gt;"OK"), "⚠️ REVISAR", "OK"))</f>
        <v/>
      </c>
    </row>
    <row r="509">
      <c r="A509" s="79">
        <f>IF('Ordenes_Odoo'!A509="","",'Ordenes_Odoo'!A509)</f>
        <v/>
      </c>
      <c r="B509" s="80">
        <f>IF('Ordenes_Odoo'!B509="","",'Ordenes_Odoo'!B509)</f>
        <v/>
      </c>
      <c r="C509" s="79">
        <f>IF('Ordenes_Odoo'!C509="","",'Ordenes_Odoo'!C509)</f>
        <v/>
      </c>
      <c r="D509" s="79">
        <f>IF('Ordenes_Odoo'!D509="","",'Ordenes_Odoo'!D509)</f>
        <v/>
      </c>
      <c r="E509" s="79">
        <f>IF('Ordenes_Odoo'!E509="","",'Ordenes_Odoo'!E509)</f>
        <v/>
      </c>
      <c r="F509" s="79">
        <f>IF('Ordenes_Odoo'!F509="","",'Ordenes_Odoo'!F509)</f>
        <v/>
      </c>
      <c r="G509" s="79">
        <f>IF('Ordenes_Odoo'!G509="","",'Ordenes_Odoo'!G509)</f>
        <v/>
      </c>
      <c r="H509" s="79">
        <f>IF('Ordenes_Odoo'!H509="","",'Ordenes_Odoo'!H509)</f>
        <v/>
      </c>
      <c r="I509" s="79">
        <f>IF('Ordenes_Odoo'!I509="","",'Ordenes_Odoo'!I509)</f>
        <v/>
      </c>
      <c r="J509" s="79">
        <f>IF('Ordenes_Odoo'!J509="","",'Ordenes_Odoo'!J509)</f>
        <v/>
      </c>
      <c r="K509" s="81">
        <f>IF('Ordenes_Odoo'!K509="","",'Ordenes_Odoo'!K509)</f>
        <v/>
      </c>
      <c r="L509" s="81">
        <f>IF('Ordenes_Odoo'!L509="","",'Ordenes_Odoo'!L509)</f>
        <v/>
      </c>
      <c r="M509" s="79">
        <f>IF('Ordenes_Odoo'!M509="","",'Ordenes_Odoo'!M509)</f>
        <v/>
      </c>
      <c r="N509" s="79">
        <f>IF('Ordenes_Odoo'!N509="","",'Ordenes_Odoo'!N509)</f>
        <v/>
      </c>
      <c r="O509" s="81">
        <f>IF('Ordenes_Odoo'!O509="","",'Ordenes_Odoo'!O509)</f>
        <v/>
      </c>
      <c r="P509" s="81">
        <f>IF('Ordenes_Odoo'!P509="","",'Ordenes_Odoo'!P509)</f>
        <v/>
      </c>
      <c r="Q509" s="79">
        <f>IF(A509="","",IFERROR(INDEX(Facturas_Odoo!$B:$B, MATCH(A509, Facturas_Odoo!$D:$D, 0)), "Sin Factura"))</f>
        <v/>
      </c>
      <c r="R509" s="80">
        <f>IF(Q509="Sin Factura","",IFERROR(INDEX(Facturas_Odoo!$A:$A, MATCH(Q509, Facturas_Odoo!$B:$B, 0)), ""))</f>
        <v/>
      </c>
      <c r="S509" s="79">
        <f>IF(Q509="Sin Factura","",IFERROR(_xlfn.XLOOKUP(1, (Facturas_Odoo!$D:$D=A509) * (Facturas_Odoo!$K:$K=I509), Facturas_Odoo!$L:$L, ""), ""))</f>
        <v/>
      </c>
      <c r="T509" s="81">
        <f>IF(Q509="Sin Factura",0,IFERROR(_xlfn.XLOOKUP(1, (Facturas_Odoo!$D:$D=A509) * (Facturas_Odoo!$K:$K=I509), Facturas_Odoo!$M:$M, 0), 0))</f>
        <v/>
      </c>
      <c r="U509" s="79">
        <f>IF(Q509="Sin Factura",0,IFERROR(_xlfn.XLOOKUP(1, (Facturas_Odoo!$D:$D=A509) * (Facturas_Odoo!$K:$K=I509), Facturas_Odoo!$N:$N, 0), 0))</f>
        <v/>
      </c>
      <c r="V509" s="79">
        <f>IF(Q509="Sin Factura",0,IFERROR(_xlfn.XLOOKUP(1, (Facturas_Odoo!$D:$D=A509) * (Facturas_Odoo!$K:$K=I509), Facturas_Odoo!$O:$O, 0), 0))</f>
        <v/>
      </c>
      <c r="W509" s="81">
        <f>IF(Q509="Sin Factura",0,IFERROR(_xlfn.XLOOKUP(1, (Facturas_Odoo!$D:$D=A509) * (Facturas_Odoo!$K:$K=I509), Facturas_Odoo!$Q:$Q, 0), 0))</f>
        <v/>
      </c>
      <c r="X509" s="79">
        <f>IF(OR(Q509="Sin Factura",Q509=""),"",IFERROR(INDEX(Pagos_Odoo!$B:$B, MATCH(Q509, Pagos_Odoo!$I:$I, 0)), "Sin Pago"))</f>
        <v/>
      </c>
      <c r="Y509" s="79">
        <f>IF(X509="Sin Pago","",IFERROR(INDEX(Pagos_Odoo!$C:$C, MATCH(X509, Pagos_Odoo!$B:$B, 0)), ""))</f>
        <v/>
      </c>
      <c r="Z509" s="80">
        <f>IF(X509="Sin Pago","",IFERROR(INDEX(Pagos_Odoo!$A:$A, MATCH(X509, Pagos_Odoo!$B:$B, 0)), ""))</f>
        <v/>
      </c>
      <c r="AA509" s="79">
        <f>IF(X509="Sin Pago","",IFERROR(INDEX(Pagos_Odoo!$F:$F, MATCH(X509, Pagos_Odoo!$B:$B, 0)), ""))</f>
        <v/>
      </c>
      <c r="AB509" s="81">
        <f>IF(X509="Sin Pago",0,IFERROR(INDEX(Pagos_Odoo!$E:$E, MATCH(X509, Pagos_Odoo!$B:$B, 0)), 0))</f>
        <v/>
      </c>
      <c r="AC509" s="79">
        <f>IF(X509="Sin Pago","",IFERROR(INDEX(Pagos_Odoo!$G:$G, MATCH(X509, Pagos_Odoo!$B:$B, 0)), ""))</f>
        <v/>
      </c>
      <c r="AD509" s="82" t="n">
        <v>0</v>
      </c>
      <c r="AE509" s="82" t="n"/>
      <c r="AF509" s="82" t="n"/>
      <c r="AG509" s="82">
        <f>IF(AN509="","",AD509+AE509+AF509)</f>
        <v/>
      </c>
      <c r="AH509" s="81">
        <f>IF(AN509="","",P509*(1-AG509))</f>
        <v/>
      </c>
      <c r="AI509" s="81">
        <f>IF(AN509="","",IF(Q509="Sin Factura",0,IFERROR(INDEX(Facturas_Odoo!$H:$H, MATCH(Q509, Facturas_Odoo!$B:$B, 0)), 0)*(1-AG509)))</f>
        <v/>
      </c>
      <c r="AJ509" s="81">
        <f>IF(AN509="","",_xlfn.LET(idVenta, AN509&amp;"",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09" s="81">
        <f>IF(AN509="","",AH509-AJ509)</f>
        <v/>
      </c>
      <c r="AL509" s="81">
        <f>IF(AN509="","",IF(Q509="Sin Factura","",AI509-AJ509))</f>
        <v/>
      </c>
      <c r="AM509" s="81">
        <f>IF(AN509="","",IF(Q509="Sin Factura",0,P509-IFERROR(INDEX(Facturas_Odoo!$H:$H, MATCH(Q509, Facturas_Odoo!$B:$B, 0)), 0)))</f>
        <v/>
      </c>
      <c r="AN509" s="79">
        <f>IF(AND(A509="", J509=""), "", IF(A509&lt;&gt;"", VALUE(MID(A509,2,LEN(A509))), AN508))</f>
        <v/>
      </c>
      <c r="AO509" s="79">
        <f>IF(AN509="","",IF(AD509=0,"OK",_xlfn.LET(monedaPago, IF(AA509="","USD",AA509), limitePermitido, IFERROR(VLOOKUP(monedaPago, Configuración!$A$2:$B$3, 2, FALSE), 0.15), IF(AD509&gt;limitePermitido, "ALERTA: EXCESO (" &amp; TEXT(limitePermitido, "0%") &amp; " máx)", "OK"))))</f>
        <v/>
      </c>
      <c r="AP509" s="79">
        <f>IF(AN509="","",IF(AE509=0,"OK",_xlfn.LET(fechaPago, Z509, fechaFactura, R509, diasCredito, IF(E509="Pago inmediato", 0, IFERROR(VALUE(MID(E509, 1, SEARCH(" ", E509)-1)),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09" s="79">
        <f>IF(AN509="","",IF(AND(N509&gt;0, AG509&gt;0), IF(Configuración!$K$2="NO", "ALERTA: DESCUENTO DOBLE NO PERMITIDO", "OK"), "OK"))</f>
        <v/>
      </c>
      <c r="AR509" s="79">
        <f>IF(AN509="","",IF(OR(AO509&lt;&gt;"OK", AP509&lt;&gt;"OK", AQ509&lt;&gt;"OK"), "⚠️ REVISAR", "OK"))</f>
        <v/>
      </c>
    </row>
    <row r="510">
      <c r="A510" s="79">
        <f>IF('Ordenes_Odoo'!A510="","",'Ordenes_Odoo'!A510)</f>
        <v/>
      </c>
      <c r="B510" s="80">
        <f>IF('Ordenes_Odoo'!B510="","",'Ordenes_Odoo'!B510)</f>
        <v/>
      </c>
      <c r="C510" s="79">
        <f>IF('Ordenes_Odoo'!C510="","",'Ordenes_Odoo'!C510)</f>
        <v/>
      </c>
      <c r="D510" s="79">
        <f>IF('Ordenes_Odoo'!D510="","",'Ordenes_Odoo'!D510)</f>
        <v/>
      </c>
      <c r="E510" s="79">
        <f>IF('Ordenes_Odoo'!E510="","",'Ordenes_Odoo'!E510)</f>
        <v/>
      </c>
      <c r="F510" s="79">
        <f>IF('Ordenes_Odoo'!F510="","",'Ordenes_Odoo'!F510)</f>
        <v/>
      </c>
      <c r="G510" s="79">
        <f>IF('Ordenes_Odoo'!G510="","",'Ordenes_Odoo'!G510)</f>
        <v/>
      </c>
      <c r="H510" s="79">
        <f>IF('Ordenes_Odoo'!H510="","",'Ordenes_Odoo'!H510)</f>
        <v/>
      </c>
      <c r="I510" s="79">
        <f>IF('Ordenes_Odoo'!I510="","",'Ordenes_Odoo'!I510)</f>
        <v/>
      </c>
      <c r="J510" s="79">
        <f>IF('Ordenes_Odoo'!J510="","",'Ordenes_Odoo'!J510)</f>
        <v/>
      </c>
      <c r="K510" s="81">
        <f>IF('Ordenes_Odoo'!K510="","",'Ordenes_Odoo'!K510)</f>
        <v/>
      </c>
      <c r="L510" s="81">
        <f>IF('Ordenes_Odoo'!L510="","",'Ordenes_Odoo'!L510)</f>
        <v/>
      </c>
      <c r="M510" s="79">
        <f>IF('Ordenes_Odoo'!M510="","",'Ordenes_Odoo'!M510)</f>
        <v/>
      </c>
      <c r="N510" s="79">
        <f>IF('Ordenes_Odoo'!N510="","",'Ordenes_Odoo'!N510)</f>
        <v/>
      </c>
      <c r="O510" s="81">
        <f>IF('Ordenes_Odoo'!O510="","",'Ordenes_Odoo'!O510)</f>
        <v/>
      </c>
      <c r="P510" s="81">
        <f>IF('Ordenes_Odoo'!P510="","",'Ordenes_Odoo'!P510)</f>
        <v/>
      </c>
      <c r="Q510" s="79">
        <f>IF(A510="","",IFERROR(INDEX(Facturas_Odoo!$B:$B, MATCH(A510, Facturas_Odoo!$D:$D, 0)), "Sin Factura"))</f>
        <v/>
      </c>
      <c r="R510" s="80">
        <f>IF(Q510="Sin Factura","",IFERROR(INDEX(Facturas_Odoo!$A:$A, MATCH(Q510, Facturas_Odoo!$B:$B, 0)), ""))</f>
        <v/>
      </c>
      <c r="S510" s="79">
        <f>IF(Q510="Sin Factura","",IFERROR(_xlfn.XLOOKUP(1, (Facturas_Odoo!$D:$D=A510) * (Facturas_Odoo!$K:$K=I510), Facturas_Odoo!$L:$L, ""), ""))</f>
        <v/>
      </c>
      <c r="T510" s="81">
        <f>IF(Q510="Sin Factura",0,IFERROR(_xlfn.XLOOKUP(1, (Facturas_Odoo!$D:$D=A510) * (Facturas_Odoo!$K:$K=I510), Facturas_Odoo!$M:$M, 0), 0))</f>
        <v/>
      </c>
      <c r="U510" s="79">
        <f>IF(Q510="Sin Factura",0,IFERROR(_xlfn.XLOOKUP(1, (Facturas_Odoo!$D:$D=A510) * (Facturas_Odoo!$K:$K=I510), Facturas_Odoo!$N:$N, 0), 0))</f>
        <v/>
      </c>
      <c r="V510" s="79">
        <f>IF(Q510="Sin Factura",0,IFERROR(_xlfn.XLOOKUP(1, (Facturas_Odoo!$D:$D=A510) * (Facturas_Odoo!$K:$K=I510), Facturas_Odoo!$O:$O, 0), 0))</f>
        <v/>
      </c>
      <c r="W510" s="81">
        <f>IF(Q510="Sin Factura",0,IFERROR(_xlfn.XLOOKUP(1, (Facturas_Odoo!$D:$D=A510) * (Facturas_Odoo!$K:$K=I510), Facturas_Odoo!$Q:$Q, 0), 0))</f>
        <v/>
      </c>
      <c r="X510" s="79">
        <f>IF(OR(Q510="Sin Factura",Q510=""),"",IFERROR(INDEX(Pagos_Odoo!$B:$B, MATCH(Q510, Pagos_Odoo!$I:$I, 0)), "Sin Pago"))</f>
        <v/>
      </c>
      <c r="Y510" s="79">
        <f>IF(X510="Sin Pago","",IFERROR(INDEX(Pagos_Odoo!$C:$C, MATCH(X510, Pagos_Odoo!$B:$B, 0)), ""))</f>
        <v/>
      </c>
      <c r="Z510" s="80">
        <f>IF(X510="Sin Pago","",IFERROR(INDEX(Pagos_Odoo!$A:$A, MATCH(X510, Pagos_Odoo!$B:$B, 0)), ""))</f>
        <v/>
      </c>
      <c r="AA510" s="79">
        <f>IF(X510="Sin Pago","",IFERROR(INDEX(Pagos_Odoo!$F:$F, MATCH(X510, Pagos_Odoo!$B:$B, 0)), ""))</f>
        <v/>
      </c>
      <c r="AB510" s="81">
        <f>IF(X510="Sin Pago",0,IFERROR(INDEX(Pagos_Odoo!$E:$E, MATCH(X510, Pagos_Odoo!$B:$B, 0)), 0))</f>
        <v/>
      </c>
      <c r="AC510" s="79">
        <f>IF(X510="Sin Pago","",IFERROR(INDEX(Pagos_Odoo!$G:$G, MATCH(X510, Pagos_Odoo!$B:$B, 0)), ""))</f>
        <v/>
      </c>
      <c r="AD510" s="82" t="n">
        <v>0</v>
      </c>
      <c r="AE510" s="82" t="n"/>
      <c r="AF510" s="82" t="n"/>
      <c r="AG510" s="82">
        <f>IF(AN510="","",AD510+AE510+AF510)</f>
        <v/>
      </c>
      <c r="AH510" s="81">
        <f>IF(AN510="","",P510*(1-AG510))</f>
        <v/>
      </c>
      <c r="AI510" s="81">
        <f>IF(AN510="","",IF(Q510="Sin Factura",0,IFERROR(INDEX(Facturas_Odoo!$H:$H, MATCH(Q510, Facturas_Odoo!$B:$B, 0)), 0)*(1-AG510)))</f>
        <v/>
      </c>
      <c r="AJ510" s="81">
        <f>IF(AN510="","",_xlfn.LET(idVenta, AN510&amp;"",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10" s="81">
        <f>IF(AN510="","",AH510-AJ510)</f>
        <v/>
      </c>
      <c r="AL510" s="81">
        <f>IF(AN510="","",IF(Q510="Sin Factura","",AI510-AJ510))</f>
        <v/>
      </c>
      <c r="AM510" s="81">
        <f>IF(AN510="","",IF(Q510="Sin Factura",0,P510-IFERROR(INDEX(Facturas_Odoo!$H:$H, MATCH(Q510, Facturas_Odoo!$B:$B, 0)), 0)))</f>
        <v/>
      </c>
      <c r="AN510" s="79">
        <f>IF(AND(A510="", J510=""), "", IF(A510&lt;&gt;"", VALUE(MID(A510,2,LEN(A510))), AN509))</f>
        <v/>
      </c>
      <c r="AO510" s="79">
        <f>IF(AN510="","",IF(AD510=0,"OK",_xlfn.LET(monedaPago, IF(AA510="","USD",AA510), limitePermitido, IFERROR(VLOOKUP(monedaPago, Configuración!$A$2:$B$3, 2, FALSE), 0.15), IF(AD510&gt;limitePermitido, "ALERTA: EXCESO (" &amp; TEXT(limitePermitido, "0%") &amp; " máx)", "OK"))))</f>
        <v/>
      </c>
      <c r="AP510" s="79">
        <f>IF(AN510="","",IF(AE510=0,"OK",_xlfn.LET(fechaPago, Z510, fechaFactura, R510, diasCredito, IF(E510="Pago inmediato", 0, IFERROR(VALUE(MID(E510, 1, SEARCH(" ", E510)-1)),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10" s="79">
        <f>IF(AN510="","",IF(AND(N510&gt;0, AG510&gt;0), IF(Configuración!$K$2="NO", "ALERTA: DESCUENTO DOBLE NO PERMITIDO", "OK"), "OK"))</f>
        <v/>
      </c>
      <c r="AR510" s="79">
        <f>IF(AN510="","",IF(OR(AO510&lt;&gt;"OK", AP510&lt;&gt;"OK", AQ510&lt;&gt;"OK"), "⚠️ REVISAR", "OK"))</f>
        <v/>
      </c>
    </row>
    <row r="511">
      <c r="A511" s="79">
        <f>IF('Ordenes_Odoo'!A511="","",'Ordenes_Odoo'!A511)</f>
        <v/>
      </c>
      <c r="B511" s="80">
        <f>IF('Ordenes_Odoo'!B511="","",'Ordenes_Odoo'!B511)</f>
        <v/>
      </c>
      <c r="C511" s="79">
        <f>IF('Ordenes_Odoo'!C511="","",'Ordenes_Odoo'!C511)</f>
        <v/>
      </c>
      <c r="D511" s="79">
        <f>IF('Ordenes_Odoo'!D511="","",'Ordenes_Odoo'!D511)</f>
        <v/>
      </c>
      <c r="E511" s="79">
        <f>IF('Ordenes_Odoo'!E511="","",'Ordenes_Odoo'!E511)</f>
        <v/>
      </c>
      <c r="F511" s="79">
        <f>IF('Ordenes_Odoo'!F511="","",'Ordenes_Odoo'!F511)</f>
        <v/>
      </c>
      <c r="G511" s="79">
        <f>IF('Ordenes_Odoo'!G511="","",'Ordenes_Odoo'!G511)</f>
        <v/>
      </c>
      <c r="H511" s="79">
        <f>IF('Ordenes_Odoo'!H511="","",'Ordenes_Odoo'!H511)</f>
        <v/>
      </c>
      <c r="I511" s="79">
        <f>IF('Ordenes_Odoo'!I511="","",'Ordenes_Odoo'!I511)</f>
        <v/>
      </c>
      <c r="J511" s="79">
        <f>IF('Ordenes_Odoo'!J511="","",'Ordenes_Odoo'!J511)</f>
        <v/>
      </c>
      <c r="K511" s="81">
        <f>IF('Ordenes_Odoo'!K511="","",'Ordenes_Odoo'!K511)</f>
        <v/>
      </c>
      <c r="L511" s="81">
        <f>IF('Ordenes_Odoo'!L511="","",'Ordenes_Odoo'!L511)</f>
        <v/>
      </c>
      <c r="M511" s="79">
        <f>IF('Ordenes_Odoo'!M511="","",'Ordenes_Odoo'!M511)</f>
        <v/>
      </c>
      <c r="N511" s="79">
        <f>IF('Ordenes_Odoo'!N511="","",'Ordenes_Odoo'!N511)</f>
        <v/>
      </c>
      <c r="O511" s="81">
        <f>IF('Ordenes_Odoo'!O511="","",'Ordenes_Odoo'!O511)</f>
        <v/>
      </c>
      <c r="P511" s="81">
        <f>IF('Ordenes_Odoo'!P511="","",'Ordenes_Odoo'!P511)</f>
        <v/>
      </c>
      <c r="Q511" s="79">
        <f>IF(A511="","",IFERROR(INDEX(Facturas_Odoo!$B:$B, MATCH(A511, Facturas_Odoo!$D:$D, 0)), "Sin Factura"))</f>
        <v/>
      </c>
      <c r="R511" s="80">
        <f>IF(Q511="Sin Factura","",IFERROR(INDEX(Facturas_Odoo!$A:$A, MATCH(Q511, Facturas_Odoo!$B:$B, 0)), ""))</f>
        <v/>
      </c>
      <c r="S511" s="79">
        <f>IF(Q511="Sin Factura","",IFERROR(_xlfn.XLOOKUP(1, (Facturas_Odoo!$D:$D=A511) * (Facturas_Odoo!$K:$K=I511), Facturas_Odoo!$L:$L, ""), ""))</f>
        <v/>
      </c>
      <c r="T511" s="81">
        <f>IF(Q511="Sin Factura",0,IFERROR(_xlfn.XLOOKUP(1, (Facturas_Odoo!$D:$D=A511) * (Facturas_Odoo!$K:$K=I511), Facturas_Odoo!$M:$M, 0), 0))</f>
        <v/>
      </c>
      <c r="U511" s="79">
        <f>IF(Q511="Sin Factura",0,IFERROR(_xlfn.XLOOKUP(1, (Facturas_Odoo!$D:$D=A511) * (Facturas_Odoo!$K:$K=I511), Facturas_Odoo!$N:$N, 0), 0))</f>
        <v/>
      </c>
      <c r="V511" s="79">
        <f>IF(Q511="Sin Factura",0,IFERROR(_xlfn.XLOOKUP(1, (Facturas_Odoo!$D:$D=A511) * (Facturas_Odoo!$K:$K=I511), Facturas_Odoo!$O:$O, 0), 0))</f>
        <v/>
      </c>
      <c r="W511" s="81">
        <f>IF(Q511="Sin Factura",0,IFERROR(_xlfn.XLOOKUP(1, (Facturas_Odoo!$D:$D=A511) * (Facturas_Odoo!$K:$K=I511), Facturas_Odoo!$Q:$Q, 0), 0))</f>
        <v/>
      </c>
      <c r="X511" s="79">
        <f>IF(OR(Q511="Sin Factura",Q511=""),"",IFERROR(INDEX(Pagos_Odoo!$B:$B, MATCH(Q511, Pagos_Odoo!$I:$I, 0)), "Sin Pago"))</f>
        <v/>
      </c>
      <c r="Y511" s="79">
        <f>IF(X511="Sin Pago","",IFERROR(INDEX(Pagos_Odoo!$C:$C, MATCH(X511, Pagos_Odoo!$B:$B, 0)), ""))</f>
        <v/>
      </c>
      <c r="Z511" s="80">
        <f>IF(X511="Sin Pago","",IFERROR(INDEX(Pagos_Odoo!$A:$A, MATCH(X511, Pagos_Odoo!$B:$B, 0)), ""))</f>
        <v/>
      </c>
      <c r="AA511" s="79">
        <f>IF(X511="Sin Pago","",IFERROR(INDEX(Pagos_Odoo!$F:$F, MATCH(X511, Pagos_Odoo!$B:$B, 0)), ""))</f>
        <v/>
      </c>
      <c r="AB511" s="81">
        <f>IF(X511="Sin Pago",0,IFERROR(INDEX(Pagos_Odoo!$E:$E, MATCH(X511, Pagos_Odoo!$B:$B, 0)), 0))</f>
        <v/>
      </c>
      <c r="AC511" s="79">
        <f>IF(X511="Sin Pago","",IFERROR(INDEX(Pagos_Odoo!$G:$G, MATCH(X511, Pagos_Odoo!$B:$B, 0)), ""))</f>
        <v/>
      </c>
      <c r="AD511" s="82" t="n">
        <v>0</v>
      </c>
      <c r="AE511" s="82" t="n"/>
      <c r="AF511" s="82" t="n"/>
      <c r="AG511" s="82">
        <f>IF(AN511="","",AD511+AE511+AF511)</f>
        <v/>
      </c>
      <c r="AH511" s="81">
        <f>IF(AN511="","",P511*(1-AG511))</f>
        <v/>
      </c>
      <c r="AI511" s="81">
        <f>IF(AN511="","",IF(Q511="Sin Factura",0,IFERROR(INDEX(Facturas_Odoo!$H:$H, MATCH(Q511, Facturas_Odoo!$B:$B, 0)), 0)*(1-AG511)))</f>
        <v/>
      </c>
      <c r="AJ511" s="81">
        <f>IF(AN511="","",_xlfn.LET(idVenta, AN511&amp;"",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11" s="81">
        <f>IF(AN511="","",AH511-AJ511)</f>
        <v/>
      </c>
      <c r="AL511" s="81">
        <f>IF(AN511="","",IF(Q511="Sin Factura","",AI511-AJ511))</f>
        <v/>
      </c>
      <c r="AM511" s="81">
        <f>IF(AN511="","",IF(Q511="Sin Factura",0,P511-IFERROR(INDEX(Facturas_Odoo!$H:$H, MATCH(Q511, Facturas_Odoo!$B:$B, 0)), 0)))</f>
        <v/>
      </c>
      <c r="AN511" s="79">
        <f>IF(AND(A511="", J511=""), "", IF(A511&lt;&gt;"", VALUE(MID(A511,2,LEN(A511))), AN510))</f>
        <v/>
      </c>
      <c r="AO511" s="79">
        <f>IF(AN511="","",IF(AD511=0,"OK",_xlfn.LET(monedaPago, IF(AA511="","USD",AA511), limitePermitido, IFERROR(VLOOKUP(monedaPago, Configuración!$A$2:$B$3, 2, FALSE), 0.15), IF(AD511&gt;limitePermitido, "ALERTA: EXCESO (" &amp; TEXT(limitePermitido, "0%") &amp; " máx)", "OK"))))</f>
        <v/>
      </c>
      <c r="AP511" s="79">
        <f>IF(AN511="","",IF(AE511=0,"OK",_xlfn.LET(fechaPago, Z511, fechaFactura, R511, diasCredito, IF(E511="Pago inmediato", 0, IFERROR(VALUE(MID(E511, 1, SEARCH(" ", E511)-1)),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11" s="79">
        <f>IF(AN511="","",IF(AND(N511&gt;0, AG511&gt;0), IF(Configuración!$K$2="NO", "ALERTA: DESCUENTO DOBLE NO PERMITIDO", "OK"), "OK"))</f>
        <v/>
      </c>
      <c r="AR511" s="79">
        <f>IF(AN511="","",IF(OR(AO511&lt;&gt;"OK", AP511&lt;&gt;"OK", AQ511&lt;&gt;"OK"), "⚠️ REVISAR", "OK"))</f>
        <v/>
      </c>
    </row>
    <row r="512">
      <c r="A512" s="79">
        <f>IF('Ordenes_Odoo'!A512="","",'Ordenes_Odoo'!A512)</f>
        <v/>
      </c>
      <c r="B512" s="80">
        <f>IF('Ordenes_Odoo'!B512="","",'Ordenes_Odoo'!B512)</f>
        <v/>
      </c>
      <c r="C512" s="79">
        <f>IF('Ordenes_Odoo'!C512="","",'Ordenes_Odoo'!C512)</f>
        <v/>
      </c>
      <c r="D512" s="79">
        <f>IF('Ordenes_Odoo'!D512="","",'Ordenes_Odoo'!D512)</f>
        <v/>
      </c>
      <c r="E512" s="79">
        <f>IF('Ordenes_Odoo'!E512="","",'Ordenes_Odoo'!E512)</f>
        <v/>
      </c>
      <c r="F512" s="79">
        <f>IF('Ordenes_Odoo'!F512="","",'Ordenes_Odoo'!F512)</f>
        <v/>
      </c>
      <c r="G512" s="79">
        <f>IF('Ordenes_Odoo'!G512="","",'Ordenes_Odoo'!G512)</f>
        <v/>
      </c>
      <c r="H512" s="79">
        <f>IF('Ordenes_Odoo'!H512="","",'Ordenes_Odoo'!H512)</f>
        <v/>
      </c>
      <c r="I512" s="79">
        <f>IF('Ordenes_Odoo'!I512="","",'Ordenes_Odoo'!I512)</f>
        <v/>
      </c>
      <c r="J512" s="79">
        <f>IF('Ordenes_Odoo'!J512="","",'Ordenes_Odoo'!J512)</f>
        <v/>
      </c>
      <c r="K512" s="81">
        <f>IF('Ordenes_Odoo'!K512="","",'Ordenes_Odoo'!K512)</f>
        <v/>
      </c>
      <c r="L512" s="81">
        <f>IF('Ordenes_Odoo'!L512="","",'Ordenes_Odoo'!L512)</f>
        <v/>
      </c>
      <c r="M512" s="79">
        <f>IF('Ordenes_Odoo'!M512="","",'Ordenes_Odoo'!M512)</f>
        <v/>
      </c>
      <c r="N512" s="79">
        <f>IF('Ordenes_Odoo'!N512="","",'Ordenes_Odoo'!N512)</f>
        <v/>
      </c>
      <c r="O512" s="81">
        <f>IF('Ordenes_Odoo'!O512="","",'Ordenes_Odoo'!O512)</f>
        <v/>
      </c>
      <c r="P512" s="81">
        <f>IF('Ordenes_Odoo'!P512="","",'Ordenes_Odoo'!P512)</f>
        <v/>
      </c>
      <c r="Q512" s="79">
        <f>IF(A512="","",IFERROR(INDEX(Facturas_Odoo!$B:$B, MATCH(A512, Facturas_Odoo!$D:$D, 0)), "Sin Factura"))</f>
        <v/>
      </c>
      <c r="R512" s="80">
        <f>IF(Q512="Sin Factura","",IFERROR(INDEX(Facturas_Odoo!$A:$A, MATCH(Q512, Facturas_Odoo!$B:$B, 0)), ""))</f>
        <v/>
      </c>
      <c r="S512" s="79">
        <f>IF(Q512="Sin Factura","",IFERROR(_xlfn.XLOOKUP(1, (Facturas_Odoo!$D:$D=A512) * (Facturas_Odoo!$K:$K=I512), Facturas_Odoo!$L:$L, ""), ""))</f>
        <v/>
      </c>
      <c r="T512" s="81">
        <f>IF(Q512="Sin Factura",0,IFERROR(_xlfn.XLOOKUP(1, (Facturas_Odoo!$D:$D=A512) * (Facturas_Odoo!$K:$K=I512), Facturas_Odoo!$M:$M, 0), 0))</f>
        <v/>
      </c>
      <c r="U512" s="79">
        <f>IF(Q512="Sin Factura",0,IFERROR(_xlfn.XLOOKUP(1, (Facturas_Odoo!$D:$D=A512) * (Facturas_Odoo!$K:$K=I512), Facturas_Odoo!$N:$N, 0), 0))</f>
        <v/>
      </c>
      <c r="V512" s="79">
        <f>IF(Q512="Sin Factura",0,IFERROR(_xlfn.XLOOKUP(1, (Facturas_Odoo!$D:$D=A512) * (Facturas_Odoo!$K:$K=I512), Facturas_Odoo!$O:$O, 0), 0))</f>
        <v/>
      </c>
      <c r="W512" s="81">
        <f>IF(Q512="Sin Factura",0,IFERROR(_xlfn.XLOOKUP(1, (Facturas_Odoo!$D:$D=A512) * (Facturas_Odoo!$K:$K=I512), Facturas_Odoo!$Q:$Q, 0), 0))</f>
        <v/>
      </c>
      <c r="X512" s="79">
        <f>IF(OR(Q512="Sin Factura",Q512=""),"",IFERROR(INDEX(Pagos_Odoo!$B:$B, MATCH(Q512, Pagos_Odoo!$I:$I, 0)), "Sin Pago"))</f>
        <v/>
      </c>
      <c r="Y512" s="79">
        <f>IF(X512="Sin Pago","",IFERROR(INDEX(Pagos_Odoo!$C:$C, MATCH(X512, Pagos_Odoo!$B:$B, 0)), ""))</f>
        <v/>
      </c>
      <c r="Z512" s="80">
        <f>IF(X512="Sin Pago","",IFERROR(INDEX(Pagos_Odoo!$A:$A, MATCH(X512, Pagos_Odoo!$B:$B, 0)), ""))</f>
        <v/>
      </c>
      <c r="AA512" s="79">
        <f>IF(X512="Sin Pago","",IFERROR(INDEX(Pagos_Odoo!$F:$F, MATCH(X512, Pagos_Odoo!$B:$B, 0)), ""))</f>
        <v/>
      </c>
      <c r="AB512" s="81">
        <f>IF(X512="Sin Pago",0,IFERROR(INDEX(Pagos_Odoo!$E:$E, MATCH(X512, Pagos_Odoo!$B:$B, 0)), 0))</f>
        <v/>
      </c>
      <c r="AC512" s="79">
        <f>IF(X512="Sin Pago","",IFERROR(INDEX(Pagos_Odoo!$G:$G, MATCH(X512, Pagos_Odoo!$B:$B, 0)), ""))</f>
        <v/>
      </c>
      <c r="AD512" s="82" t="n">
        <v>0</v>
      </c>
      <c r="AE512" s="82" t="n"/>
      <c r="AF512" s="82" t="n"/>
      <c r="AG512" s="82">
        <f>IF(AN512="","",AD512+AE512+AF512)</f>
        <v/>
      </c>
      <c r="AH512" s="81">
        <f>IF(AN512="","",P512*(1-AG512))</f>
        <v/>
      </c>
      <c r="AI512" s="81">
        <f>IF(AN512="","",IF(Q512="Sin Factura",0,IFERROR(INDEX(Facturas_Odoo!$H:$H, MATCH(Q512, Facturas_Odoo!$B:$B, 0)), 0)*(1-AG512)))</f>
        <v/>
      </c>
      <c r="AJ512" s="81">
        <f>IF(AN512="","",_xlfn.LET(idVenta, AN512&amp;"",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12" s="81">
        <f>IF(AN512="","",AH512-AJ512)</f>
        <v/>
      </c>
      <c r="AL512" s="81">
        <f>IF(AN512="","",IF(Q512="Sin Factura","",AI512-AJ512))</f>
        <v/>
      </c>
      <c r="AM512" s="81">
        <f>IF(AN512="","",IF(Q512="Sin Factura",0,P512-IFERROR(INDEX(Facturas_Odoo!$H:$H, MATCH(Q512, Facturas_Odoo!$B:$B, 0)), 0)))</f>
        <v/>
      </c>
      <c r="AN512" s="79">
        <f>IF(AND(A512="", J512=""), "", IF(A512&lt;&gt;"", VALUE(MID(A512,2,LEN(A512))), AN511))</f>
        <v/>
      </c>
      <c r="AO512" s="79">
        <f>IF(AN512="","",IF(AD512=0,"OK",_xlfn.LET(monedaPago, IF(AA512="","USD",AA512), limitePermitido, IFERROR(VLOOKUP(monedaPago, Configuración!$A$2:$B$3, 2, FALSE), 0.15), IF(AD512&gt;limitePermitido, "ALERTA: EXCESO (" &amp; TEXT(limitePermitido, "0%") &amp; " máx)", "OK"))))</f>
        <v/>
      </c>
      <c r="AP512" s="79">
        <f>IF(AN512="","",IF(AE512=0,"OK",_xlfn.LET(fechaPago, Z512, fechaFactura, R512, diasCredito, IF(E512="Pago inmediato", 0, IFERROR(VALUE(MID(E512, 1, SEARCH(" ", E512)-1)),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12" s="79">
        <f>IF(AN512="","",IF(AND(N512&gt;0, AG512&gt;0), IF(Configuración!$K$2="NO", "ALERTA: DESCUENTO DOBLE NO PERMITIDO", "OK"), "OK"))</f>
        <v/>
      </c>
      <c r="AR512" s="79">
        <f>IF(AN512="","",IF(OR(AO512&lt;&gt;"OK", AP512&lt;&gt;"OK", AQ512&lt;&gt;"OK"), "⚠️ REVISAR", "OK"))</f>
        <v/>
      </c>
    </row>
    <row r="513">
      <c r="A513" s="79">
        <f>IF('Ordenes_Odoo'!A513="","",'Ordenes_Odoo'!A513)</f>
        <v/>
      </c>
      <c r="B513" s="80">
        <f>IF('Ordenes_Odoo'!B513="","",'Ordenes_Odoo'!B513)</f>
        <v/>
      </c>
      <c r="C513" s="79">
        <f>IF('Ordenes_Odoo'!C513="","",'Ordenes_Odoo'!C513)</f>
        <v/>
      </c>
      <c r="D513" s="79">
        <f>IF('Ordenes_Odoo'!D513="","",'Ordenes_Odoo'!D513)</f>
        <v/>
      </c>
      <c r="E513" s="79">
        <f>IF('Ordenes_Odoo'!E513="","",'Ordenes_Odoo'!E513)</f>
        <v/>
      </c>
      <c r="F513" s="79">
        <f>IF('Ordenes_Odoo'!F513="","",'Ordenes_Odoo'!F513)</f>
        <v/>
      </c>
      <c r="G513" s="79">
        <f>IF('Ordenes_Odoo'!G513="","",'Ordenes_Odoo'!G513)</f>
        <v/>
      </c>
      <c r="H513" s="79">
        <f>IF('Ordenes_Odoo'!H513="","",'Ordenes_Odoo'!H513)</f>
        <v/>
      </c>
      <c r="I513" s="79">
        <f>IF('Ordenes_Odoo'!I513="","",'Ordenes_Odoo'!I513)</f>
        <v/>
      </c>
      <c r="J513" s="79">
        <f>IF('Ordenes_Odoo'!J513="","",'Ordenes_Odoo'!J513)</f>
        <v/>
      </c>
      <c r="K513" s="81">
        <f>IF('Ordenes_Odoo'!K513="","",'Ordenes_Odoo'!K513)</f>
        <v/>
      </c>
      <c r="L513" s="81">
        <f>IF('Ordenes_Odoo'!L513="","",'Ordenes_Odoo'!L513)</f>
        <v/>
      </c>
      <c r="M513" s="79">
        <f>IF('Ordenes_Odoo'!M513="","",'Ordenes_Odoo'!M513)</f>
        <v/>
      </c>
      <c r="N513" s="79">
        <f>IF('Ordenes_Odoo'!N513="","",'Ordenes_Odoo'!N513)</f>
        <v/>
      </c>
      <c r="O513" s="81">
        <f>IF('Ordenes_Odoo'!O513="","",'Ordenes_Odoo'!O513)</f>
        <v/>
      </c>
      <c r="P513" s="81">
        <f>IF('Ordenes_Odoo'!P513="","",'Ordenes_Odoo'!P513)</f>
        <v/>
      </c>
      <c r="Q513" s="79">
        <f>IF(A513="","",IFERROR(INDEX(Facturas_Odoo!$B:$B, MATCH(A513, Facturas_Odoo!$D:$D, 0)), "Sin Factura"))</f>
        <v/>
      </c>
      <c r="R513" s="80">
        <f>IF(Q513="Sin Factura","",IFERROR(INDEX(Facturas_Odoo!$A:$A, MATCH(Q513, Facturas_Odoo!$B:$B, 0)), ""))</f>
        <v/>
      </c>
      <c r="S513" s="79">
        <f>IF(Q513="Sin Factura","",IFERROR(_xlfn.XLOOKUP(1, (Facturas_Odoo!$D:$D=A513) * (Facturas_Odoo!$K:$K=I513), Facturas_Odoo!$L:$L, ""), ""))</f>
        <v/>
      </c>
      <c r="T513" s="81">
        <f>IF(Q513="Sin Factura",0,IFERROR(_xlfn.XLOOKUP(1, (Facturas_Odoo!$D:$D=A513) * (Facturas_Odoo!$K:$K=I513), Facturas_Odoo!$M:$M, 0), 0))</f>
        <v/>
      </c>
      <c r="U513" s="79">
        <f>IF(Q513="Sin Factura",0,IFERROR(_xlfn.XLOOKUP(1, (Facturas_Odoo!$D:$D=A513) * (Facturas_Odoo!$K:$K=I513), Facturas_Odoo!$N:$N, 0), 0))</f>
        <v/>
      </c>
      <c r="V513" s="79">
        <f>IF(Q513="Sin Factura",0,IFERROR(_xlfn.XLOOKUP(1, (Facturas_Odoo!$D:$D=A513) * (Facturas_Odoo!$K:$K=I513), Facturas_Odoo!$O:$O, 0), 0))</f>
        <v/>
      </c>
      <c r="W513" s="81">
        <f>IF(Q513="Sin Factura",0,IFERROR(_xlfn.XLOOKUP(1, (Facturas_Odoo!$D:$D=A513) * (Facturas_Odoo!$K:$K=I513), Facturas_Odoo!$Q:$Q, 0), 0))</f>
        <v/>
      </c>
      <c r="X513" s="79">
        <f>IF(OR(Q513="Sin Factura",Q513=""),"",IFERROR(INDEX(Pagos_Odoo!$B:$B, MATCH(Q513, Pagos_Odoo!$I:$I, 0)), "Sin Pago"))</f>
        <v/>
      </c>
      <c r="Y513" s="79">
        <f>IF(X513="Sin Pago","",IFERROR(INDEX(Pagos_Odoo!$C:$C, MATCH(X513, Pagos_Odoo!$B:$B, 0)), ""))</f>
        <v/>
      </c>
      <c r="Z513" s="80">
        <f>IF(X513="Sin Pago","",IFERROR(INDEX(Pagos_Odoo!$A:$A, MATCH(X513, Pagos_Odoo!$B:$B, 0)), ""))</f>
        <v/>
      </c>
      <c r="AA513" s="79">
        <f>IF(X513="Sin Pago","",IFERROR(INDEX(Pagos_Odoo!$F:$F, MATCH(X513, Pagos_Odoo!$B:$B, 0)), ""))</f>
        <v/>
      </c>
      <c r="AB513" s="81">
        <f>IF(X513="Sin Pago",0,IFERROR(INDEX(Pagos_Odoo!$E:$E, MATCH(X513, Pagos_Odoo!$B:$B, 0)), 0))</f>
        <v/>
      </c>
      <c r="AC513" s="79">
        <f>IF(X513="Sin Pago","",IFERROR(INDEX(Pagos_Odoo!$G:$G, MATCH(X513, Pagos_Odoo!$B:$B, 0)), ""))</f>
        <v/>
      </c>
      <c r="AD513" s="82" t="n">
        <v>0</v>
      </c>
      <c r="AE513" s="82" t="n"/>
      <c r="AF513" s="82" t="n"/>
      <c r="AG513" s="82">
        <f>IF(AN513="","",AD513+AE513+AF513)</f>
        <v/>
      </c>
      <c r="AH513" s="81">
        <f>IF(AN513="","",P513*(1-AG513))</f>
        <v/>
      </c>
      <c r="AI513" s="81">
        <f>IF(AN513="","",IF(Q513="Sin Factura",0,IFERROR(INDEX(Facturas_Odoo!$H:$H, MATCH(Q513, Facturas_Odoo!$B:$B, 0)), 0)*(1-AG513)))</f>
        <v/>
      </c>
      <c r="AJ513" s="81">
        <f>IF(AN513="","",_xlfn.LET(idVenta, AN513&amp;"",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13" s="81">
        <f>IF(AN513="","",AH513-AJ513)</f>
        <v/>
      </c>
      <c r="AL513" s="81">
        <f>IF(AN513="","",IF(Q513="Sin Factura","",AI513-AJ513))</f>
        <v/>
      </c>
      <c r="AM513" s="81">
        <f>IF(AN513="","",IF(Q513="Sin Factura",0,P513-IFERROR(INDEX(Facturas_Odoo!$H:$H, MATCH(Q513, Facturas_Odoo!$B:$B, 0)), 0)))</f>
        <v/>
      </c>
      <c r="AN513" s="79">
        <f>IF(AND(A513="", J513=""), "", IF(A513&lt;&gt;"", VALUE(MID(A513,2,LEN(A513))), AN512))</f>
        <v/>
      </c>
      <c r="AO513" s="79">
        <f>IF(AN513="","",IF(AD513=0,"OK",_xlfn.LET(monedaPago, IF(AA513="","USD",AA513), limitePermitido, IFERROR(VLOOKUP(monedaPago, Configuración!$A$2:$B$3, 2, FALSE), 0.15), IF(AD513&gt;limitePermitido, "ALERTA: EXCESO (" &amp; TEXT(limitePermitido, "0%") &amp; " máx)", "OK"))))</f>
        <v/>
      </c>
      <c r="AP513" s="79">
        <f>IF(AN513="","",IF(AE513=0,"OK",_xlfn.LET(fechaPago, Z513, fechaFactura, R513, diasCredito, IF(E513="Pago inmediato", 0, IFERROR(VALUE(MID(E513, 1, SEARCH(" ", E513)-1)),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13" s="79">
        <f>IF(AN513="","",IF(AND(N513&gt;0, AG513&gt;0), IF(Configuración!$K$2="NO", "ALERTA: DESCUENTO DOBLE NO PERMITIDO", "OK"), "OK"))</f>
        <v/>
      </c>
      <c r="AR513" s="79">
        <f>IF(AN513="","",IF(OR(AO513&lt;&gt;"OK", AP513&lt;&gt;"OK", AQ513&lt;&gt;"OK"), "⚠️ REVISAR", "OK"))</f>
        <v/>
      </c>
    </row>
    <row r="514">
      <c r="A514" s="79">
        <f>IF('Ordenes_Odoo'!A514="","",'Ordenes_Odoo'!A514)</f>
        <v/>
      </c>
      <c r="B514" s="80">
        <f>IF('Ordenes_Odoo'!B514="","",'Ordenes_Odoo'!B514)</f>
        <v/>
      </c>
      <c r="C514" s="79">
        <f>IF('Ordenes_Odoo'!C514="","",'Ordenes_Odoo'!C514)</f>
        <v/>
      </c>
      <c r="D514" s="79">
        <f>IF('Ordenes_Odoo'!D514="","",'Ordenes_Odoo'!D514)</f>
        <v/>
      </c>
      <c r="E514" s="79">
        <f>IF('Ordenes_Odoo'!E514="","",'Ordenes_Odoo'!E514)</f>
        <v/>
      </c>
      <c r="F514" s="79">
        <f>IF('Ordenes_Odoo'!F514="","",'Ordenes_Odoo'!F514)</f>
        <v/>
      </c>
      <c r="G514" s="79">
        <f>IF('Ordenes_Odoo'!G514="","",'Ordenes_Odoo'!G514)</f>
        <v/>
      </c>
      <c r="H514" s="79">
        <f>IF('Ordenes_Odoo'!H514="","",'Ordenes_Odoo'!H514)</f>
        <v/>
      </c>
      <c r="I514" s="79">
        <f>IF('Ordenes_Odoo'!I514="","",'Ordenes_Odoo'!I514)</f>
        <v/>
      </c>
      <c r="J514" s="79">
        <f>IF('Ordenes_Odoo'!J514="","",'Ordenes_Odoo'!J514)</f>
        <v/>
      </c>
      <c r="K514" s="81">
        <f>IF('Ordenes_Odoo'!K514="","",'Ordenes_Odoo'!K514)</f>
        <v/>
      </c>
      <c r="L514" s="81">
        <f>IF('Ordenes_Odoo'!L514="","",'Ordenes_Odoo'!L514)</f>
        <v/>
      </c>
      <c r="M514" s="79">
        <f>IF('Ordenes_Odoo'!M514="","",'Ordenes_Odoo'!M514)</f>
        <v/>
      </c>
      <c r="N514" s="79">
        <f>IF('Ordenes_Odoo'!N514="","",'Ordenes_Odoo'!N514)</f>
        <v/>
      </c>
      <c r="O514" s="81">
        <f>IF('Ordenes_Odoo'!O514="","",'Ordenes_Odoo'!O514)</f>
        <v/>
      </c>
      <c r="P514" s="81">
        <f>IF('Ordenes_Odoo'!P514="","",'Ordenes_Odoo'!P514)</f>
        <v/>
      </c>
      <c r="Q514" s="79">
        <f>IF(A514="","",IFERROR(INDEX(Facturas_Odoo!$B:$B, MATCH(A514, Facturas_Odoo!$D:$D, 0)), "Sin Factura"))</f>
        <v/>
      </c>
      <c r="R514" s="80">
        <f>IF(Q514="Sin Factura","",IFERROR(INDEX(Facturas_Odoo!$A:$A, MATCH(Q514, Facturas_Odoo!$B:$B, 0)), ""))</f>
        <v/>
      </c>
      <c r="S514" s="79">
        <f>IF(Q514="Sin Factura","",IFERROR(_xlfn.XLOOKUP(1, (Facturas_Odoo!$D:$D=A514) * (Facturas_Odoo!$K:$K=I514), Facturas_Odoo!$L:$L, ""), ""))</f>
        <v/>
      </c>
      <c r="T514" s="81">
        <f>IF(Q514="Sin Factura",0,IFERROR(_xlfn.XLOOKUP(1, (Facturas_Odoo!$D:$D=A514) * (Facturas_Odoo!$K:$K=I514), Facturas_Odoo!$M:$M, 0), 0))</f>
        <v/>
      </c>
      <c r="U514" s="79">
        <f>IF(Q514="Sin Factura",0,IFERROR(_xlfn.XLOOKUP(1, (Facturas_Odoo!$D:$D=A514) * (Facturas_Odoo!$K:$K=I514), Facturas_Odoo!$N:$N, 0), 0))</f>
        <v/>
      </c>
      <c r="V514" s="79">
        <f>IF(Q514="Sin Factura",0,IFERROR(_xlfn.XLOOKUP(1, (Facturas_Odoo!$D:$D=A514) * (Facturas_Odoo!$K:$K=I514), Facturas_Odoo!$O:$O, 0), 0))</f>
        <v/>
      </c>
      <c r="W514" s="81">
        <f>IF(Q514="Sin Factura",0,IFERROR(_xlfn.XLOOKUP(1, (Facturas_Odoo!$D:$D=A514) * (Facturas_Odoo!$K:$K=I514), Facturas_Odoo!$Q:$Q, 0), 0))</f>
        <v/>
      </c>
      <c r="X514" s="79">
        <f>IF(OR(Q514="Sin Factura",Q514=""),"",IFERROR(INDEX(Pagos_Odoo!$B:$B, MATCH(Q514, Pagos_Odoo!$I:$I, 0)), "Sin Pago"))</f>
        <v/>
      </c>
      <c r="Y514" s="79">
        <f>IF(X514="Sin Pago","",IFERROR(INDEX(Pagos_Odoo!$C:$C, MATCH(X514, Pagos_Odoo!$B:$B, 0)), ""))</f>
        <v/>
      </c>
      <c r="Z514" s="80">
        <f>IF(X514="Sin Pago","",IFERROR(INDEX(Pagos_Odoo!$A:$A, MATCH(X514, Pagos_Odoo!$B:$B, 0)), ""))</f>
        <v/>
      </c>
      <c r="AA514" s="79">
        <f>IF(X514="Sin Pago","",IFERROR(INDEX(Pagos_Odoo!$F:$F, MATCH(X514, Pagos_Odoo!$B:$B, 0)), ""))</f>
        <v/>
      </c>
      <c r="AB514" s="81">
        <f>IF(X514="Sin Pago",0,IFERROR(INDEX(Pagos_Odoo!$E:$E, MATCH(X514, Pagos_Odoo!$B:$B, 0)), 0))</f>
        <v/>
      </c>
      <c r="AC514" s="79">
        <f>IF(X514="Sin Pago","",IFERROR(INDEX(Pagos_Odoo!$G:$G, MATCH(X514, Pagos_Odoo!$B:$B, 0)), ""))</f>
        <v/>
      </c>
      <c r="AD514" s="82" t="n">
        <v>0</v>
      </c>
      <c r="AE514" s="82" t="n"/>
      <c r="AF514" s="82" t="n"/>
      <c r="AG514" s="82">
        <f>IF(AN514="","",AD514+AE514+AF514)</f>
        <v/>
      </c>
      <c r="AH514" s="81">
        <f>IF(AN514="","",P514*(1-AG514))</f>
        <v/>
      </c>
      <c r="AI514" s="81">
        <f>IF(AN514="","",IF(Q514="Sin Factura",0,IFERROR(INDEX(Facturas_Odoo!$H:$H, MATCH(Q514, Facturas_Odoo!$B:$B, 0)), 0)*(1-AG514)))</f>
        <v/>
      </c>
      <c r="AJ514" s="81">
        <f>IF(AN514="","",_xlfn.LET(idVenta, AN514&amp;"",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14" s="81">
        <f>IF(AN514="","",AH514-AJ514)</f>
        <v/>
      </c>
      <c r="AL514" s="81">
        <f>IF(AN514="","",IF(Q514="Sin Factura","",AI514-AJ514))</f>
        <v/>
      </c>
      <c r="AM514" s="81">
        <f>IF(AN514="","",IF(Q514="Sin Factura",0,P514-IFERROR(INDEX(Facturas_Odoo!$H:$H, MATCH(Q514, Facturas_Odoo!$B:$B, 0)), 0)))</f>
        <v/>
      </c>
      <c r="AN514" s="79">
        <f>IF(AND(A514="", J514=""), "", IF(A514&lt;&gt;"", VALUE(MID(A514,2,LEN(A514))), AN513))</f>
        <v/>
      </c>
      <c r="AO514" s="79">
        <f>IF(AN514="","",IF(AD514=0,"OK",_xlfn.LET(monedaPago, IF(AA514="","USD",AA514), limitePermitido, IFERROR(VLOOKUP(monedaPago, Configuración!$A$2:$B$3, 2, FALSE), 0.15), IF(AD514&gt;limitePermitido, "ALERTA: EXCESO (" &amp; TEXT(limitePermitido, "0%") &amp; " máx)", "OK"))))</f>
        <v/>
      </c>
      <c r="AP514" s="79">
        <f>IF(AN514="","",IF(AE514=0,"OK",_xlfn.LET(fechaPago, Z514, fechaFactura, R514, diasCredito, IF(E514="Pago inmediato", 0, IFERROR(VALUE(MID(E514, 1, SEARCH(" ", E514)-1)),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14" s="79">
        <f>IF(AN514="","",IF(AND(N514&gt;0, AG514&gt;0), IF(Configuración!$K$2="NO", "ALERTA: DESCUENTO DOBLE NO PERMITIDO", "OK"), "OK"))</f>
        <v/>
      </c>
      <c r="AR514" s="79">
        <f>IF(AN514="","",IF(OR(AO514&lt;&gt;"OK", AP514&lt;&gt;"OK", AQ514&lt;&gt;"OK"), "⚠️ REVISAR", "OK"))</f>
        <v/>
      </c>
    </row>
    <row r="515">
      <c r="A515" s="79">
        <f>IF('Ordenes_Odoo'!A515="","",'Ordenes_Odoo'!A515)</f>
        <v/>
      </c>
      <c r="B515" s="80">
        <f>IF('Ordenes_Odoo'!B515="","",'Ordenes_Odoo'!B515)</f>
        <v/>
      </c>
      <c r="C515" s="79">
        <f>IF('Ordenes_Odoo'!C515="","",'Ordenes_Odoo'!C515)</f>
        <v/>
      </c>
      <c r="D515" s="79">
        <f>IF('Ordenes_Odoo'!D515="","",'Ordenes_Odoo'!D515)</f>
        <v/>
      </c>
      <c r="E515" s="79">
        <f>IF('Ordenes_Odoo'!E515="","",'Ordenes_Odoo'!E515)</f>
        <v/>
      </c>
      <c r="F515" s="79">
        <f>IF('Ordenes_Odoo'!F515="","",'Ordenes_Odoo'!F515)</f>
        <v/>
      </c>
      <c r="G515" s="79">
        <f>IF('Ordenes_Odoo'!G515="","",'Ordenes_Odoo'!G515)</f>
        <v/>
      </c>
      <c r="H515" s="79">
        <f>IF('Ordenes_Odoo'!H515="","",'Ordenes_Odoo'!H515)</f>
        <v/>
      </c>
      <c r="I515" s="79">
        <f>IF('Ordenes_Odoo'!I515="","",'Ordenes_Odoo'!I515)</f>
        <v/>
      </c>
      <c r="J515" s="79">
        <f>IF('Ordenes_Odoo'!J515="","",'Ordenes_Odoo'!J515)</f>
        <v/>
      </c>
      <c r="K515" s="81">
        <f>IF('Ordenes_Odoo'!K515="","",'Ordenes_Odoo'!K515)</f>
        <v/>
      </c>
      <c r="L515" s="81">
        <f>IF('Ordenes_Odoo'!L515="","",'Ordenes_Odoo'!L515)</f>
        <v/>
      </c>
      <c r="M515" s="79">
        <f>IF('Ordenes_Odoo'!M515="","",'Ordenes_Odoo'!M515)</f>
        <v/>
      </c>
      <c r="N515" s="79">
        <f>IF('Ordenes_Odoo'!N515="","",'Ordenes_Odoo'!N515)</f>
        <v/>
      </c>
      <c r="O515" s="81">
        <f>IF('Ordenes_Odoo'!O515="","",'Ordenes_Odoo'!O515)</f>
        <v/>
      </c>
      <c r="P515" s="81">
        <f>IF('Ordenes_Odoo'!P515="","",'Ordenes_Odoo'!P515)</f>
        <v/>
      </c>
      <c r="Q515" s="79">
        <f>IF(A515="","",IFERROR(INDEX(Facturas_Odoo!$B:$B, MATCH(A515, Facturas_Odoo!$D:$D, 0)), "Sin Factura"))</f>
        <v/>
      </c>
      <c r="R515" s="80">
        <f>IF(Q515="Sin Factura","",IFERROR(INDEX(Facturas_Odoo!$A:$A, MATCH(Q515, Facturas_Odoo!$B:$B, 0)), ""))</f>
        <v/>
      </c>
      <c r="S515" s="79">
        <f>IF(Q515="Sin Factura","",IFERROR(_xlfn.XLOOKUP(1, (Facturas_Odoo!$D:$D=A515) * (Facturas_Odoo!$K:$K=I515), Facturas_Odoo!$L:$L, ""), ""))</f>
        <v/>
      </c>
      <c r="T515" s="81">
        <f>IF(Q515="Sin Factura",0,IFERROR(_xlfn.XLOOKUP(1, (Facturas_Odoo!$D:$D=A515) * (Facturas_Odoo!$K:$K=I515), Facturas_Odoo!$M:$M, 0), 0))</f>
        <v/>
      </c>
      <c r="U515" s="79">
        <f>IF(Q515="Sin Factura",0,IFERROR(_xlfn.XLOOKUP(1, (Facturas_Odoo!$D:$D=A515) * (Facturas_Odoo!$K:$K=I515), Facturas_Odoo!$N:$N, 0), 0))</f>
        <v/>
      </c>
      <c r="V515" s="79">
        <f>IF(Q515="Sin Factura",0,IFERROR(_xlfn.XLOOKUP(1, (Facturas_Odoo!$D:$D=A515) * (Facturas_Odoo!$K:$K=I515), Facturas_Odoo!$O:$O, 0), 0))</f>
        <v/>
      </c>
      <c r="W515" s="81">
        <f>IF(Q515="Sin Factura",0,IFERROR(_xlfn.XLOOKUP(1, (Facturas_Odoo!$D:$D=A515) * (Facturas_Odoo!$K:$K=I515), Facturas_Odoo!$Q:$Q, 0), 0))</f>
        <v/>
      </c>
      <c r="X515" s="79">
        <f>IF(OR(Q515="Sin Factura",Q515=""),"",IFERROR(INDEX(Pagos_Odoo!$B:$B, MATCH(Q515, Pagos_Odoo!$I:$I, 0)), "Sin Pago"))</f>
        <v/>
      </c>
      <c r="Y515" s="79">
        <f>IF(X515="Sin Pago","",IFERROR(INDEX(Pagos_Odoo!$C:$C, MATCH(X515, Pagos_Odoo!$B:$B, 0)), ""))</f>
        <v/>
      </c>
      <c r="Z515" s="80">
        <f>IF(X515="Sin Pago","",IFERROR(INDEX(Pagos_Odoo!$A:$A, MATCH(X515, Pagos_Odoo!$B:$B, 0)), ""))</f>
        <v/>
      </c>
      <c r="AA515" s="79">
        <f>IF(X515="Sin Pago","",IFERROR(INDEX(Pagos_Odoo!$F:$F, MATCH(X515, Pagos_Odoo!$B:$B, 0)), ""))</f>
        <v/>
      </c>
      <c r="AB515" s="81">
        <f>IF(X515="Sin Pago",0,IFERROR(INDEX(Pagos_Odoo!$E:$E, MATCH(X515, Pagos_Odoo!$B:$B, 0)), 0))</f>
        <v/>
      </c>
      <c r="AC515" s="79">
        <f>IF(X515="Sin Pago","",IFERROR(INDEX(Pagos_Odoo!$G:$G, MATCH(X515, Pagos_Odoo!$B:$B, 0)), ""))</f>
        <v/>
      </c>
      <c r="AD515" s="82" t="n">
        <v>0</v>
      </c>
      <c r="AE515" s="82" t="n"/>
      <c r="AF515" s="82" t="n"/>
      <c r="AG515" s="82">
        <f>IF(AN515="","",AD515+AE515+AF515)</f>
        <v/>
      </c>
      <c r="AH515" s="81">
        <f>IF(AN515="","",P515*(1-AG515))</f>
        <v/>
      </c>
      <c r="AI515" s="81">
        <f>IF(AN515="","",IF(Q515="Sin Factura",0,IFERROR(INDEX(Facturas_Odoo!$H:$H, MATCH(Q515, Facturas_Odoo!$B:$B, 0)), 0)*(1-AG515)))</f>
        <v/>
      </c>
      <c r="AJ515" s="81">
        <f>IF(AN515="","",_xlfn.LET(idVenta, AN515&amp;"",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15" s="81">
        <f>IF(AN515="","",AH515-AJ515)</f>
        <v/>
      </c>
      <c r="AL515" s="81">
        <f>IF(AN515="","",IF(Q515="Sin Factura","",AI515-AJ515))</f>
        <v/>
      </c>
      <c r="AM515" s="81">
        <f>IF(AN515="","",IF(Q515="Sin Factura",0,P515-IFERROR(INDEX(Facturas_Odoo!$H:$H, MATCH(Q515, Facturas_Odoo!$B:$B, 0)), 0)))</f>
        <v/>
      </c>
      <c r="AN515" s="79">
        <f>IF(AND(A515="", J515=""), "", IF(A515&lt;&gt;"", VALUE(MID(A515,2,LEN(A515))), AN514))</f>
        <v/>
      </c>
      <c r="AO515" s="79">
        <f>IF(AN515="","",IF(AD515=0,"OK",_xlfn.LET(monedaPago, IF(AA515="","USD",AA515), limitePermitido, IFERROR(VLOOKUP(monedaPago, Configuración!$A$2:$B$3, 2, FALSE), 0.15), IF(AD515&gt;limitePermitido, "ALERTA: EXCESO (" &amp; TEXT(limitePermitido, "0%") &amp; " máx)", "OK"))))</f>
        <v/>
      </c>
      <c r="AP515" s="79">
        <f>IF(AN515="","",IF(AE515=0,"OK",_xlfn.LET(fechaPago, Z515, fechaFactura, R515, diasCredito, IF(E515="Pago inmediato", 0, IFERROR(VALUE(MID(E515, 1, SEARCH(" ", E515)-1)),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15" s="79">
        <f>IF(AN515="","",IF(AND(N515&gt;0, AG515&gt;0), IF(Configuración!$K$2="NO", "ALERTA: DESCUENTO DOBLE NO PERMITIDO", "OK"), "OK"))</f>
        <v/>
      </c>
      <c r="AR515" s="79">
        <f>IF(AN515="","",IF(OR(AO515&lt;&gt;"OK", AP515&lt;&gt;"OK", AQ515&lt;&gt;"OK"), "⚠️ REVISAR", "OK"))</f>
        <v/>
      </c>
    </row>
    <row r="516">
      <c r="A516" s="79">
        <f>IF('Ordenes_Odoo'!A516="","",'Ordenes_Odoo'!A516)</f>
        <v/>
      </c>
      <c r="B516" s="80">
        <f>IF('Ordenes_Odoo'!B516="","",'Ordenes_Odoo'!B516)</f>
        <v/>
      </c>
      <c r="C516" s="79">
        <f>IF('Ordenes_Odoo'!C516="","",'Ordenes_Odoo'!C516)</f>
        <v/>
      </c>
      <c r="D516" s="79">
        <f>IF('Ordenes_Odoo'!D516="","",'Ordenes_Odoo'!D516)</f>
        <v/>
      </c>
      <c r="E516" s="79">
        <f>IF('Ordenes_Odoo'!E516="","",'Ordenes_Odoo'!E516)</f>
        <v/>
      </c>
      <c r="F516" s="79">
        <f>IF('Ordenes_Odoo'!F516="","",'Ordenes_Odoo'!F516)</f>
        <v/>
      </c>
      <c r="G516" s="79">
        <f>IF('Ordenes_Odoo'!G516="","",'Ordenes_Odoo'!G516)</f>
        <v/>
      </c>
      <c r="H516" s="79">
        <f>IF('Ordenes_Odoo'!H516="","",'Ordenes_Odoo'!H516)</f>
        <v/>
      </c>
      <c r="I516" s="79">
        <f>IF('Ordenes_Odoo'!I516="","",'Ordenes_Odoo'!I516)</f>
        <v/>
      </c>
      <c r="J516" s="79">
        <f>IF('Ordenes_Odoo'!J516="","",'Ordenes_Odoo'!J516)</f>
        <v/>
      </c>
      <c r="K516" s="81">
        <f>IF('Ordenes_Odoo'!K516="","",'Ordenes_Odoo'!K516)</f>
        <v/>
      </c>
      <c r="L516" s="81">
        <f>IF('Ordenes_Odoo'!L516="","",'Ordenes_Odoo'!L516)</f>
        <v/>
      </c>
      <c r="M516" s="79">
        <f>IF('Ordenes_Odoo'!M516="","",'Ordenes_Odoo'!M516)</f>
        <v/>
      </c>
      <c r="N516" s="79">
        <f>IF('Ordenes_Odoo'!N516="","",'Ordenes_Odoo'!N516)</f>
        <v/>
      </c>
      <c r="O516" s="81">
        <f>IF('Ordenes_Odoo'!O516="","",'Ordenes_Odoo'!O516)</f>
        <v/>
      </c>
      <c r="P516" s="81">
        <f>IF('Ordenes_Odoo'!P516="","",'Ordenes_Odoo'!P516)</f>
        <v/>
      </c>
      <c r="Q516" s="79">
        <f>IF(A516="","",IFERROR(INDEX(Facturas_Odoo!$B:$B, MATCH(A516, Facturas_Odoo!$D:$D, 0)), "Sin Factura"))</f>
        <v/>
      </c>
      <c r="R516" s="80">
        <f>IF(Q516="Sin Factura","",IFERROR(INDEX(Facturas_Odoo!$A:$A, MATCH(Q516, Facturas_Odoo!$B:$B, 0)), ""))</f>
        <v/>
      </c>
      <c r="S516" s="79">
        <f>IF(Q516="Sin Factura","",IFERROR(_xlfn.XLOOKUP(1, (Facturas_Odoo!$D:$D=A516) * (Facturas_Odoo!$K:$K=I516), Facturas_Odoo!$L:$L, ""), ""))</f>
        <v/>
      </c>
      <c r="T516" s="81">
        <f>IF(Q516="Sin Factura",0,IFERROR(_xlfn.XLOOKUP(1, (Facturas_Odoo!$D:$D=A516) * (Facturas_Odoo!$K:$K=I516), Facturas_Odoo!$M:$M, 0), 0))</f>
        <v/>
      </c>
      <c r="U516" s="79">
        <f>IF(Q516="Sin Factura",0,IFERROR(_xlfn.XLOOKUP(1, (Facturas_Odoo!$D:$D=A516) * (Facturas_Odoo!$K:$K=I516), Facturas_Odoo!$N:$N, 0), 0))</f>
        <v/>
      </c>
      <c r="V516" s="79">
        <f>IF(Q516="Sin Factura",0,IFERROR(_xlfn.XLOOKUP(1, (Facturas_Odoo!$D:$D=A516) * (Facturas_Odoo!$K:$K=I516), Facturas_Odoo!$O:$O, 0), 0))</f>
        <v/>
      </c>
      <c r="W516" s="81">
        <f>IF(Q516="Sin Factura",0,IFERROR(_xlfn.XLOOKUP(1, (Facturas_Odoo!$D:$D=A516) * (Facturas_Odoo!$K:$K=I516), Facturas_Odoo!$Q:$Q, 0), 0))</f>
        <v/>
      </c>
      <c r="X516" s="79">
        <f>IF(OR(Q516="Sin Factura",Q516=""),"",IFERROR(INDEX(Pagos_Odoo!$B:$B, MATCH(Q516, Pagos_Odoo!$I:$I, 0)), "Sin Pago"))</f>
        <v/>
      </c>
      <c r="Y516" s="79">
        <f>IF(X516="Sin Pago","",IFERROR(INDEX(Pagos_Odoo!$C:$C, MATCH(X516, Pagos_Odoo!$B:$B, 0)), ""))</f>
        <v/>
      </c>
      <c r="Z516" s="80">
        <f>IF(X516="Sin Pago","",IFERROR(INDEX(Pagos_Odoo!$A:$A, MATCH(X516, Pagos_Odoo!$B:$B, 0)), ""))</f>
        <v/>
      </c>
      <c r="AA516" s="79">
        <f>IF(X516="Sin Pago","",IFERROR(INDEX(Pagos_Odoo!$F:$F, MATCH(X516, Pagos_Odoo!$B:$B, 0)), ""))</f>
        <v/>
      </c>
      <c r="AB516" s="81">
        <f>IF(X516="Sin Pago",0,IFERROR(INDEX(Pagos_Odoo!$E:$E, MATCH(X516, Pagos_Odoo!$B:$B, 0)), 0))</f>
        <v/>
      </c>
      <c r="AC516" s="79">
        <f>IF(X516="Sin Pago","",IFERROR(INDEX(Pagos_Odoo!$G:$G, MATCH(X516, Pagos_Odoo!$B:$B, 0)), ""))</f>
        <v/>
      </c>
      <c r="AD516" s="82" t="n">
        <v>0</v>
      </c>
      <c r="AE516" s="82" t="n"/>
      <c r="AF516" s="82" t="n"/>
      <c r="AG516" s="82">
        <f>IF(AN516="","",AD516+AE516+AF516)</f>
        <v/>
      </c>
      <c r="AH516" s="81">
        <f>IF(AN516="","",P516*(1-AG516))</f>
        <v/>
      </c>
      <c r="AI516" s="81">
        <f>IF(AN516="","",IF(Q516="Sin Factura",0,IFERROR(INDEX(Facturas_Odoo!$H:$H, MATCH(Q516, Facturas_Odoo!$B:$B, 0)), 0)*(1-AG516)))</f>
        <v/>
      </c>
      <c r="AJ516" s="81">
        <f>IF(AN516="","",_xlfn.LET(idVenta, AN516&amp;"",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16" s="81">
        <f>IF(AN516="","",AH516-AJ516)</f>
        <v/>
      </c>
      <c r="AL516" s="81">
        <f>IF(AN516="","",IF(Q516="Sin Factura","",AI516-AJ516))</f>
        <v/>
      </c>
      <c r="AM516" s="81">
        <f>IF(AN516="","",IF(Q516="Sin Factura",0,P516-IFERROR(INDEX(Facturas_Odoo!$H:$H, MATCH(Q516, Facturas_Odoo!$B:$B, 0)), 0)))</f>
        <v/>
      </c>
      <c r="AN516" s="79">
        <f>IF(AND(A516="", J516=""), "", IF(A516&lt;&gt;"", VALUE(MID(A516,2,LEN(A516))), AN515))</f>
        <v/>
      </c>
      <c r="AO516" s="79">
        <f>IF(AN516="","",IF(AD516=0,"OK",_xlfn.LET(monedaPago, IF(AA516="","USD",AA516), limitePermitido, IFERROR(VLOOKUP(monedaPago, Configuración!$A$2:$B$3, 2, FALSE), 0.15), IF(AD516&gt;limitePermitido, "ALERTA: EXCESO (" &amp; TEXT(limitePermitido, "0%") &amp; " máx)", "OK"))))</f>
        <v/>
      </c>
      <c r="AP516" s="79">
        <f>IF(AN516="","",IF(AE516=0,"OK",_xlfn.LET(fechaPago, Z516, fechaFactura, R516, diasCredito, IF(E516="Pago inmediato", 0, IFERROR(VALUE(MID(E516, 1, SEARCH(" ", E516)-1)),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16" s="79">
        <f>IF(AN516="","",IF(AND(N516&gt;0, AG516&gt;0), IF(Configuración!$K$2="NO", "ALERTA: DESCUENTO DOBLE NO PERMITIDO", "OK"), "OK"))</f>
        <v/>
      </c>
      <c r="AR516" s="79">
        <f>IF(AN516="","",IF(OR(AO516&lt;&gt;"OK", AP516&lt;&gt;"OK", AQ516&lt;&gt;"OK"), "⚠️ REVISAR", "OK"))</f>
        <v/>
      </c>
    </row>
    <row r="517">
      <c r="A517" s="79">
        <f>IF('Ordenes_Odoo'!A517="","",'Ordenes_Odoo'!A517)</f>
        <v/>
      </c>
      <c r="B517" s="80">
        <f>IF('Ordenes_Odoo'!B517="","",'Ordenes_Odoo'!B517)</f>
        <v/>
      </c>
      <c r="C517" s="79">
        <f>IF('Ordenes_Odoo'!C517="","",'Ordenes_Odoo'!C517)</f>
        <v/>
      </c>
      <c r="D517" s="79">
        <f>IF('Ordenes_Odoo'!D517="","",'Ordenes_Odoo'!D517)</f>
        <v/>
      </c>
      <c r="E517" s="79">
        <f>IF('Ordenes_Odoo'!E517="","",'Ordenes_Odoo'!E517)</f>
        <v/>
      </c>
      <c r="F517" s="79">
        <f>IF('Ordenes_Odoo'!F517="","",'Ordenes_Odoo'!F517)</f>
        <v/>
      </c>
      <c r="G517" s="79">
        <f>IF('Ordenes_Odoo'!G517="","",'Ordenes_Odoo'!G517)</f>
        <v/>
      </c>
      <c r="H517" s="79">
        <f>IF('Ordenes_Odoo'!H517="","",'Ordenes_Odoo'!H517)</f>
        <v/>
      </c>
      <c r="I517" s="79">
        <f>IF('Ordenes_Odoo'!I517="","",'Ordenes_Odoo'!I517)</f>
        <v/>
      </c>
      <c r="J517" s="79">
        <f>IF('Ordenes_Odoo'!J517="","",'Ordenes_Odoo'!J517)</f>
        <v/>
      </c>
      <c r="K517" s="81">
        <f>IF('Ordenes_Odoo'!K517="","",'Ordenes_Odoo'!K517)</f>
        <v/>
      </c>
      <c r="L517" s="81">
        <f>IF('Ordenes_Odoo'!L517="","",'Ordenes_Odoo'!L517)</f>
        <v/>
      </c>
      <c r="M517" s="79">
        <f>IF('Ordenes_Odoo'!M517="","",'Ordenes_Odoo'!M517)</f>
        <v/>
      </c>
      <c r="N517" s="79">
        <f>IF('Ordenes_Odoo'!N517="","",'Ordenes_Odoo'!N517)</f>
        <v/>
      </c>
      <c r="O517" s="81">
        <f>IF('Ordenes_Odoo'!O517="","",'Ordenes_Odoo'!O517)</f>
        <v/>
      </c>
      <c r="P517" s="81">
        <f>IF('Ordenes_Odoo'!P517="","",'Ordenes_Odoo'!P517)</f>
        <v/>
      </c>
      <c r="Q517" s="79">
        <f>IF(A517="","",IFERROR(INDEX(Facturas_Odoo!$B:$B, MATCH(A517, Facturas_Odoo!$D:$D, 0)), "Sin Factura"))</f>
        <v/>
      </c>
      <c r="R517" s="80">
        <f>IF(Q517="Sin Factura","",IFERROR(INDEX(Facturas_Odoo!$A:$A, MATCH(Q517, Facturas_Odoo!$B:$B, 0)), ""))</f>
        <v/>
      </c>
      <c r="S517" s="79">
        <f>IF(Q517="Sin Factura","",IFERROR(_xlfn.XLOOKUP(1, (Facturas_Odoo!$D:$D=A517) * (Facturas_Odoo!$K:$K=I517), Facturas_Odoo!$L:$L, ""), ""))</f>
        <v/>
      </c>
      <c r="T517" s="81">
        <f>IF(Q517="Sin Factura",0,IFERROR(_xlfn.XLOOKUP(1, (Facturas_Odoo!$D:$D=A517) * (Facturas_Odoo!$K:$K=I517), Facturas_Odoo!$M:$M, 0), 0))</f>
        <v/>
      </c>
      <c r="U517" s="79">
        <f>IF(Q517="Sin Factura",0,IFERROR(_xlfn.XLOOKUP(1, (Facturas_Odoo!$D:$D=A517) * (Facturas_Odoo!$K:$K=I517), Facturas_Odoo!$N:$N, 0), 0))</f>
        <v/>
      </c>
      <c r="V517" s="79">
        <f>IF(Q517="Sin Factura",0,IFERROR(_xlfn.XLOOKUP(1, (Facturas_Odoo!$D:$D=A517) * (Facturas_Odoo!$K:$K=I517), Facturas_Odoo!$O:$O, 0), 0))</f>
        <v/>
      </c>
      <c r="W517" s="81">
        <f>IF(Q517="Sin Factura",0,IFERROR(_xlfn.XLOOKUP(1, (Facturas_Odoo!$D:$D=A517) * (Facturas_Odoo!$K:$K=I517), Facturas_Odoo!$Q:$Q, 0), 0))</f>
        <v/>
      </c>
      <c r="X517" s="79">
        <f>IF(OR(Q517="Sin Factura",Q517=""),"",IFERROR(INDEX(Pagos_Odoo!$B:$B, MATCH(Q517, Pagos_Odoo!$I:$I, 0)), "Sin Pago"))</f>
        <v/>
      </c>
      <c r="Y517" s="79">
        <f>IF(X517="Sin Pago","",IFERROR(INDEX(Pagos_Odoo!$C:$C, MATCH(X517, Pagos_Odoo!$B:$B, 0)), ""))</f>
        <v/>
      </c>
      <c r="Z517" s="80">
        <f>IF(X517="Sin Pago","",IFERROR(INDEX(Pagos_Odoo!$A:$A, MATCH(X517, Pagos_Odoo!$B:$B, 0)), ""))</f>
        <v/>
      </c>
      <c r="AA517" s="79">
        <f>IF(X517="Sin Pago","",IFERROR(INDEX(Pagos_Odoo!$F:$F, MATCH(X517, Pagos_Odoo!$B:$B, 0)), ""))</f>
        <v/>
      </c>
      <c r="AB517" s="81">
        <f>IF(X517="Sin Pago",0,IFERROR(INDEX(Pagos_Odoo!$E:$E, MATCH(X517, Pagos_Odoo!$B:$B, 0)), 0))</f>
        <v/>
      </c>
      <c r="AC517" s="79">
        <f>IF(X517="Sin Pago","",IFERROR(INDEX(Pagos_Odoo!$G:$G, MATCH(X517, Pagos_Odoo!$B:$B, 0)), ""))</f>
        <v/>
      </c>
      <c r="AD517" s="82" t="n">
        <v>0</v>
      </c>
      <c r="AE517" s="82" t="n"/>
      <c r="AF517" s="82" t="n"/>
      <c r="AG517" s="82">
        <f>IF(AN517="","",AD517+AE517+AF517)</f>
        <v/>
      </c>
      <c r="AH517" s="81">
        <f>IF(AN517="","",P517*(1-AG517))</f>
        <v/>
      </c>
      <c r="AI517" s="81">
        <f>IF(AN517="","",IF(Q517="Sin Factura",0,IFERROR(INDEX(Facturas_Odoo!$H:$H, MATCH(Q517, Facturas_Odoo!$B:$B, 0)), 0)*(1-AG517)))</f>
        <v/>
      </c>
      <c r="AJ517" s="81">
        <f>IF(AN517="","",_xlfn.LET(idVenta, AN517&amp;"",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17" s="81">
        <f>IF(AN517="","",AH517-AJ517)</f>
        <v/>
      </c>
      <c r="AL517" s="81">
        <f>IF(AN517="","",IF(Q517="Sin Factura","",AI517-AJ517))</f>
        <v/>
      </c>
      <c r="AM517" s="81">
        <f>IF(AN517="","",IF(Q517="Sin Factura",0,P517-IFERROR(INDEX(Facturas_Odoo!$H:$H, MATCH(Q517, Facturas_Odoo!$B:$B, 0)), 0)))</f>
        <v/>
      </c>
      <c r="AN517" s="79">
        <f>IF(AND(A517="", J517=""), "", IF(A517&lt;&gt;"", VALUE(MID(A517,2,LEN(A517))), AN516))</f>
        <v/>
      </c>
      <c r="AO517" s="79">
        <f>IF(AN517="","",IF(AD517=0,"OK",_xlfn.LET(monedaPago, IF(AA517="","USD",AA517), limitePermitido, IFERROR(VLOOKUP(monedaPago, Configuración!$A$2:$B$3, 2, FALSE), 0.15), IF(AD517&gt;limitePermitido, "ALERTA: EXCESO (" &amp; TEXT(limitePermitido, "0%") &amp; " máx)", "OK"))))</f>
        <v/>
      </c>
      <c r="AP517" s="79">
        <f>IF(AN517="","",IF(AE517=0,"OK",_xlfn.LET(fechaPago, Z517, fechaFactura, R517, diasCredito, IF(E517="Pago inmediato", 0, IFERROR(VALUE(MID(E517, 1, SEARCH(" ", E517)-1)),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17" s="79">
        <f>IF(AN517="","",IF(AND(N517&gt;0, AG517&gt;0), IF(Configuración!$K$2="NO", "ALERTA: DESCUENTO DOBLE NO PERMITIDO", "OK"), "OK"))</f>
        <v/>
      </c>
      <c r="AR517" s="79">
        <f>IF(AN517="","",IF(OR(AO517&lt;&gt;"OK", AP517&lt;&gt;"OK", AQ517&lt;&gt;"OK"), "⚠️ REVISAR", "OK"))</f>
        <v/>
      </c>
    </row>
    <row r="518">
      <c r="A518" s="79">
        <f>IF('Ordenes_Odoo'!A518="","",'Ordenes_Odoo'!A518)</f>
        <v/>
      </c>
      <c r="B518" s="80">
        <f>IF('Ordenes_Odoo'!B518="","",'Ordenes_Odoo'!B518)</f>
        <v/>
      </c>
      <c r="C518" s="79">
        <f>IF('Ordenes_Odoo'!C518="","",'Ordenes_Odoo'!C518)</f>
        <v/>
      </c>
      <c r="D518" s="79">
        <f>IF('Ordenes_Odoo'!D518="","",'Ordenes_Odoo'!D518)</f>
        <v/>
      </c>
      <c r="E518" s="79">
        <f>IF('Ordenes_Odoo'!E518="","",'Ordenes_Odoo'!E518)</f>
        <v/>
      </c>
      <c r="F518" s="79">
        <f>IF('Ordenes_Odoo'!F518="","",'Ordenes_Odoo'!F518)</f>
        <v/>
      </c>
      <c r="G518" s="79">
        <f>IF('Ordenes_Odoo'!G518="","",'Ordenes_Odoo'!G518)</f>
        <v/>
      </c>
      <c r="H518" s="79">
        <f>IF('Ordenes_Odoo'!H518="","",'Ordenes_Odoo'!H518)</f>
        <v/>
      </c>
      <c r="I518" s="79">
        <f>IF('Ordenes_Odoo'!I518="","",'Ordenes_Odoo'!I518)</f>
        <v/>
      </c>
      <c r="J518" s="79">
        <f>IF('Ordenes_Odoo'!J518="","",'Ordenes_Odoo'!J518)</f>
        <v/>
      </c>
      <c r="K518" s="81">
        <f>IF('Ordenes_Odoo'!K518="","",'Ordenes_Odoo'!K518)</f>
        <v/>
      </c>
      <c r="L518" s="81">
        <f>IF('Ordenes_Odoo'!L518="","",'Ordenes_Odoo'!L518)</f>
        <v/>
      </c>
      <c r="M518" s="79">
        <f>IF('Ordenes_Odoo'!M518="","",'Ordenes_Odoo'!M518)</f>
        <v/>
      </c>
      <c r="N518" s="79">
        <f>IF('Ordenes_Odoo'!N518="","",'Ordenes_Odoo'!N518)</f>
        <v/>
      </c>
      <c r="O518" s="81">
        <f>IF('Ordenes_Odoo'!O518="","",'Ordenes_Odoo'!O518)</f>
        <v/>
      </c>
      <c r="P518" s="81">
        <f>IF('Ordenes_Odoo'!P518="","",'Ordenes_Odoo'!P518)</f>
        <v/>
      </c>
      <c r="Q518" s="79">
        <f>IF(A518="","",IFERROR(INDEX(Facturas_Odoo!$B:$B, MATCH(A518, Facturas_Odoo!$D:$D, 0)), "Sin Factura"))</f>
        <v/>
      </c>
      <c r="R518" s="80">
        <f>IF(Q518="Sin Factura","",IFERROR(INDEX(Facturas_Odoo!$A:$A, MATCH(Q518, Facturas_Odoo!$B:$B, 0)), ""))</f>
        <v/>
      </c>
      <c r="S518" s="79">
        <f>IF(Q518="Sin Factura","",IFERROR(_xlfn.XLOOKUP(1, (Facturas_Odoo!$D:$D=A518) * (Facturas_Odoo!$K:$K=I518), Facturas_Odoo!$L:$L, ""), ""))</f>
        <v/>
      </c>
      <c r="T518" s="81">
        <f>IF(Q518="Sin Factura",0,IFERROR(_xlfn.XLOOKUP(1, (Facturas_Odoo!$D:$D=A518) * (Facturas_Odoo!$K:$K=I518), Facturas_Odoo!$M:$M, 0), 0))</f>
        <v/>
      </c>
      <c r="U518" s="79">
        <f>IF(Q518="Sin Factura",0,IFERROR(_xlfn.XLOOKUP(1, (Facturas_Odoo!$D:$D=A518) * (Facturas_Odoo!$K:$K=I518), Facturas_Odoo!$N:$N, 0), 0))</f>
        <v/>
      </c>
      <c r="V518" s="79">
        <f>IF(Q518="Sin Factura",0,IFERROR(_xlfn.XLOOKUP(1, (Facturas_Odoo!$D:$D=A518) * (Facturas_Odoo!$K:$K=I518), Facturas_Odoo!$O:$O, 0), 0))</f>
        <v/>
      </c>
      <c r="W518" s="81">
        <f>IF(Q518="Sin Factura",0,IFERROR(_xlfn.XLOOKUP(1, (Facturas_Odoo!$D:$D=A518) * (Facturas_Odoo!$K:$K=I518), Facturas_Odoo!$Q:$Q, 0), 0))</f>
        <v/>
      </c>
      <c r="X518" s="79">
        <f>IF(OR(Q518="Sin Factura",Q518=""),"",IFERROR(INDEX(Pagos_Odoo!$B:$B, MATCH(Q518, Pagos_Odoo!$I:$I, 0)), "Sin Pago"))</f>
        <v/>
      </c>
      <c r="Y518" s="79">
        <f>IF(X518="Sin Pago","",IFERROR(INDEX(Pagos_Odoo!$C:$C, MATCH(X518, Pagos_Odoo!$B:$B, 0)), ""))</f>
        <v/>
      </c>
      <c r="Z518" s="80">
        <f>IF(X518="Sin Pago","",IFERROR(INDEX(Pagos_Odoo!$A:$A, MATCH(X518, Pagos_Odoo!$B:$B, 0)), ""))</f>
        <v/>
      </c>
      <c r="AA518" s="79">
        <f>IF(X518="Sin Pago","",IFERROR(INDEX(Pagos_Odoo!$F:$F, MATCH(X518, Pagos_Odoo!$B:$B, 0)), ""))</f>
        <v/>
      </c>
      <c r="AB518" s="81">
        <f>IF(X518="Sin Pago",0,IFERROR(INDEX(Pagos_Odoo!$E:$E, MATCH(X518, Pagos_Odoo!$B:$B, 0)), 0))</f>
        <v/>
      </c>
      <c r="AC518" s="79">
        <f>IF(X518="Sin Pago","",IFERROR(INDEX(Pagos_Odoo!$G:$G, MATCH(X518, Pagos_Odoo!$B:$B, 0)), ""))</f>
        <v/>
      </c>
      <c r="AD518" s="82" t="n">
        <v>0</v>
      </c>
      <c r="AE518" s="82" t="n"/>
      <c r="AF518" s="82" t="n"/>
      <c r="AG518" s="82">
        <f>IF(AN518="","",AD518+AE518+AF518)</f>
        <v/>
      </c>
      <c r="AH518" s="81">
        <f>IF(AN518="","",P518*(1-AG518))</f>
        <v/>
      </c>
      <c r="AI518" s="81">
        <f>IF(AN518="","",IF(Q518="Sin Factura",0,IFERROR(INDEX(Facturas_Odoo!$H:$H, MATCH(Q518, Facturas_Odoo!$B:$B, 0)), 0)*(1-AG518)))</f>
        <v/>
      </c>
      <c r="AJ518" s="81">
        <f>IF(AN518="","",_xlfn.LET(idVenta, AN518&amp;"",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18" s="81">
        <f>IF(AN518="","",AH518-AJ518)</f>
        <v/>
      </c>
      <c r="AL518" s="81">
        <f>IF(AN518="","",IF(Q518="Sin Factura","",AI518-AJ518))</f>
        <v/>
      </c>
      <c r="AM518" s="81">
        <f>IF(AN518="","",IF(Q518="Sin Factura",0,P518-IFERROR(INDEX(Facturas_Odoo!$H:$H, MATCH(Q518, Facturas_Odoo!$B:$B, 0)), 0)))</f>
        <v/>
      </c>
      <c r="AN518" s="79">
        <f>IF(AND(A518="", J518=""), "", IF(A518&lt;&gt;"", VALUE(MID(A518,2,LEN(A518))), AN517))</f>
        <v/>
      </c>
      <c r="AO518" s="79">
        <f>IF(AN518="","",IF(AD518=0,"OK",_xlfn.LET(monedaPago, IF(AA518="","USD",AA518), limitePermitido, IFERROR(VLOOKUP(monedaPago, Configuración!$A$2:$B$3, 2, FALSE), 0.15), IF(AD518&gt;limitePermitido, "ALERTA: EXCESO (" &amp; TEXT(limitePermitido, "0%") &amp; " máx)", "OK"))))</f>
        <v/>
      </c>
      <c r="AP518" s="79">
        <f>IF(AN518="","",IF(AE518=0,"OK",_xlfn.LET(fechaPago, Z518, fechaFactura, R518, diasCredito, IF(E518="Pago inmediato", 0, IFERROR(VALUE(MID(E518, 1, SEARCH(" ", E518)-1)),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18" s="79">
        <f>IF(AN518="","",IF(AND(N518&gt;0, AG518&gt;0), IF(Configuración!$K$2="NO", "ALERTA: DESCUENTO DOBLE NO PERMITIDO", "OK"), "OK"))</f>
        <v/>
      </c>
      <c r="AR518" s="79">
        <f>IF(AN518="","",IF(OR(AO518&lt;&gt;"OK", AP518&lt;&gt;"OK", AQ518&lt;&gt;"OK"), "⚠️ REVISAR", "OK"))</f>
        <v/>
      </c>
    </row>
    <row r="519">
      <c r="A519" s="79">
        <f>IF('Ordenes_Odoo'!A519="","",'Ordenes_Odoo'!A519)</f>
        <v/>
      </c>
      <c r="B519" s="80">
        <f>IF('Ordenes_Odoo'!B519="","",'Ordenes_Odoo'!B519)</f>
        <v/>
      </c>
      <c r="C519" s="79">
        <f>IF('Ordenes_Odoo'!C519="","",'Ordenes_Odoo'!C519)</f>
        <v/>
      </c>
      <c r="D519" s="79">
        <f>IF('Ordenes_Odoo'!D519="","",'Ordenes_Odoo'!D519)</f>
        <v/>
      </c>
      <c r="E519" s="79">
        <f>IF('Ordenes_Odoo'!E519="","",'Ordenes_Odoo'!E519)</f>
        <v/>
      </c>
      <c r="F519" s="79">
        <f>IF('Ordenes_Odoo'!F519="","",'Ordenes_Odoo'!F519)</f>
        <v/>
      </c>
      <c r="G519" s="79">
        <f>IF('Ordenes_Odoo'!G519="","",'Ordenes_Odoo'!G519)</f>
        <v/>
      </c>
      <c r="H519" s="79">
        <f>IF('Ordenes_Odoo'!H519="","",'Ordenes_Odoo'!H519)</f>
        <v/>
      </c>
      <c r="I519" s="79">
        <f>IF('Ordenes_Odoo'!I519="","",'Ordenes_Odoo'!I519)</f>
        <v/>
      </c>
      <c r="J519" s="79">
        <f>IF('Ordenes_Odoo'!J519="","",'Ordenes_Odoo'!J519)</f>
        <v/>
      </c>
      <c r="K519" s="81">
        <f>IF('Ordenes_Odoo'!K519="","",'Ordenes_Odoo'!K519)</f>
        <v/>
      </c>
      <c r="L519" s="81">
        <f>IF('Ordenes_Odoo'!L519="","",'Ordenes_Odoo'!L519)</f>
        <v/>
      </c>
      <c r="M519" s="79">
        <f>IF('Ordenes_Odoo'!M519="","",'Ordenes_Odoo'!M519)</f>
        <v/>
      </c>
      <c r="N519" s="79">
        <f>IF('Ordenes_Odoo'!N519="","",'Ordenes_Odoo'!N519)</f>
        <v/>
      </c>
      <c r="O519" s="81">
        <f>IF('Ordenes_Odoo'!O519="","",'Ordenes_Odoo'!O519)</f>
        <v/>
      </c>
      <c r="P519" s="81">
        <f>IF('Ordenes_Odoo'!P519="","",'Ordenes_Odoo'!P519)</f>
        <v/>
      </c>
      <c r="Q519" s="79">
        <f>IF(A519="","",IFERROR(INDEX(Facturas_Odoo!$B:$B, MATCH(A519, Facturas_Odoo!$D:$D, 0)), "Sin Factura"))</f>
        <v/>
      </c>
      <c r="R519" s="80">
        <f>IF(Q519="Sin Factura","",IFERROR(INDEX(Facturas_Odoo!$A:$A, MATCH(Q519, Facturas_Odoo!$B:$B, 0)), ""))</f>
        <v/>
      </c>
      <c r="S519" s="79">
        <f>IF(Q519="Sin Factura","",IFERROR(_xlfn.XLOOKUP(1, (Facturas_Odoo!$D:$D=A519) * (Facturas_Odoo!$K:$K=I519), Facturas_Odoo!$L:$L, ""), ""))</f>
        <v/>
      </c>
      <c r="T519" s="81">
        <f>IF(Q519="Sin Factura",0,IFERROR(_xlfn.XLOOKUP(1, (Facturas_Odoo!$D:$D=A519) * (Facturas_Odoo!$K:$K=I519), Facturas_Odoo!$M:$M, 0), 0))</f>
        <v/>
      </c>
      <c r="U519" s="79">
        <f>IF(Q519="Sin Factura",0,IFERROR(_xlfn.XLOOKUP(1, (Facturas_Odoo!$D:$D=A519) * (Facturas_Odoo!$K:$K=I519), Facturas_Odoo!$N:$N, 0), 0))</f>
        <v/>
      </c>
      <c r="V519" s="79">
        <f>IF(Q519="Sin Factura",0,IFERROR(_xlfn.XLOOKUP(1, (Facturas_Odoo!$D:$D=A519) * (Facturas_Odoo!$K:$K=I519), Facturas_Odoo!$O:$O, 0), 0))</f>
        <v/>
      </c>
      <c r="W519" s="81">
        <f>IF(Q519="Sin Factura",0,IFERROR(_xlfn.XLOOKUP(1, (Facturas_Odoo!$D:$D=A519) * (Facturas_Odoo!$K:$K=I519), Facturas_Odoo!$Q:$Q, 0), 0))</f>
        <v/>
      </c>
      <c r="X519" s="79">
        <f>IF(OR(Q519="Sin Factura",Q519=""),"",IFERROR(INDEX(Pagos_Odoo!$B:$B, MATCH(Q519, Pagos_Odoo!$I:$I, 0)), "Sin Pago"))</f>
        <v/>
      </c>
      <c r="Y519" s="79">
        <f>IF(X519="Sin Pago","",IFERROR(INDEX(Pagos_Odoo!$C:$C, MATCH(X519, Pagos_Odoo!$B:$B, 0)), ""))</f>
        <v/>
      </c>
      <c r="Z519" s="80">
        <f>IF(X519="Sin Pago","",IFERROR(INDEX(Pagos_Odoo!$A:$A, MATCH(X519, Pagos_Odoo!$B:$B, 0)), ""))</f>
        <v/>
      </c>
      <c r="AA519" s="79">
        <f>IF(X519="Sin Pago","",IFERROR(INDEX(Pagos_Odoo!$F:$F, MATCH(X519, Pagos_Odoo!$B:$B, 0)), ""))</f>
        <v/>
      </c>
      <c r="AB519" s="81">
        <f>IF(X519="Sin Pago",0,IFERROR(INDEX(Pagos_Odoo!$E:$E, MATCH(X519, Pagos_Odoo!$B:$B, 0)), 0))</f>
        <v/>
      </c>
      <c r="AC519" s="79">
        <f>IF(X519="Sin Pago","",IFERROR(INDEX(Pagos_Odoo!$G:$G, MATCH(X519, Pagos_Odoo!$B:$B, 0)), ""))</f>
        <v/>
      </c>
      <c r="AD519" s="82" t="n">
        <v>0</v>
      </c>
      <c r="AE519" s="82" t="n"/>
      <c r="AF519" s="82" t="n"/>
      <c r="AG519" s="82">
        <f>IF(AN519="","",AD519+AE519+AF519)</f>
        <v/>
      </c>
      <c r="AH519" s="81">
        <f>IF(AN519="","",P519*(1-AG519))</f>
        <v/>
      </c>
      <c r="AI519" s="81">
        <f>IF(AN519="","",IF(Q519="Sin Factura",0,IFERROR(INDEX(Facturas_Odoo!$H:$H, MATCH(Q519, Facturas_Odoo!$B:$B, 0)), 0)*(1-AG519)))</f>
        <v/>
      </c>
      <c r="AJ519" s="81">
        <f>IF(AN519="","",_xlfn.LET(idVenta, AN519&amp;"",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19" s="81">
        <f>IF(AN519="","",AH519-AJ519)</f>
        <v/>
      </c>
      <c r="AL519" s="81">
        <f>IF(AN519="","",IF(Q519="Sin Factura","",AI519-AJ519))</f>
        <v/>
      </c>
      <c r="AM519" s="81">
        <f>IF(AN519="","",IF(Q519="Sin Factura",0,P519-IFERROR(INDEX(Facturas_Odoo!$H:$H, MATCH(Q519, Facturas_Odoo!$B:$B, 0)), 0)))</f>
        <v/>
      </c>
      <c r="AN519" s="79">
        <f>IF(AND(A519="", J519=""), "", IF(A519&lt;&gt;"", VALUE(MID(A519,2,LEN(A519))), AN518))</f>
        <v/>
      </c>
      <c r="AO519" s="79">
        <f>IF(AN519="","",IF(AD519=0,"OK",_xlfn.LET(monedaPago, IF(AA519="","USD",AA519), limitePermitido, IFERROR(VLOOKUP(monedaPago, Configuración!$A$2:$B$3, 2, FALSE), 0.15), IF(AD519&gt;limitePermitido, "ALERTA: EXCESO (" &amp; TEXT(limitePermitido, "0%") &amp; " máx)", "OK"))))</f>
        <v/>
      </c>
      <c r="AP519" s="79">
        <f>IF(AN519="","",IF(AE519=0,"OK",_xlfn.LET(fechaPago, Z519, fechaFactura, R519, diasCredito, IF(E519="Pago inmediato", 0, IFERROR(VALUE(MID(E519, 1, SEARCH(" ", E519)-1)),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19" s="79">
        <f>IF(AN519="","",IF(AND(N519&gt;0, AG519&gt;0), IF(Configuración!$K$2="NO", "ALERTA: DESCUENTO DOBLE NO PERMITIDO", "OK"), "OK"))</f>
        <v/>
      </c>
      <c r="AR519" s="79">
        <f>IF(AN519="","",IF(OR(AO519&lt;&gt;"OK", AP519&lt;&gt;"OK", AQ519&lt;&gt;"OK"), "⚠️ REVISAR", "OK"))</f>
        <v/>
      </c>
    </row>
    <row r="520">
      <c r="A520" s="79">
        <f>IF('Ordenes_Odoo'!A520="","",'Ordenes_Odoo'!A520)</f>
        <v/>
      </c>
      <c r="B520" s="80">
        <f>IF('Ordenes_Odoo'!B520="","",'Ordenes_Odoo'!B520)</f>
        <v/>
      </c>
      <c r="C520" s="79">
        <f>IF('Ordenes_Odoo'!C520="","",'Ordenes_Odoo'!C520)</f>
        <v/>
      </c>
      <c r="D520" s="79">
        <f>IF('Ordenes_Odoo'!D520="","",'Ordenes_Odoo'!D520)</f>
        <v/>
      </c>
      <c r="E520" s="79">
        <f>IF('Ordenes_Odoo'!E520="","",'Ordenes_Odoo'!E520)</f>
        <v/>
      </c>
      <c r="F520" s="79">
        <f>IF('Ordenes_Odoo'!F520="","",'Ordenes_Odoo'!F520)</f>
        <v/>
      </c>
      <c r="G520" s="79">
        <f>IF('Ordenes_Odoo'!G520="","",'Ordenes_Odoo'!G520)</f>
        <v/>
      </c>
      <c r="H520" s="79">
        <f>IF('Ordenes_Odoo'!H520="","",'Ordenes_Odoo'!H520)</f>
        <v/>
      </c>
      <c r="I520" s="79">
        <f>IF('Ordenes_Odoo'!I520="","",'Ordenes_Odoo'!I520)</f>
        <v/>
      </c>
      <c r="J520" s="79">
        <f>IF('Ordenes_Odoo'!J520="","",'Ordenes_Odoo'!J520)</f>
        <v/>
      </c>
      <c r="K520" s="81">
        <f>IF('Ordenes_Odoo'!K520="","",'Ordenes_Odoo'!K520)</f>
        <v/>
      </c>
      <c r="L520" s="81">
        <f>IF('Ordenes_Odoo'!L520="","",'Ordenes_Odoo'!L520)</f>
        <v/>
      </c>
      <c r="M520" s="79">
        <f>IF('Ordenes_Odoo'!M520="","",'Ordenes_Odoo'!M520)</f>
        <v/>
      </c>
      <c r="N520" s="79">
        <f>IF('Ordenes_Odoo'!N520="","",'Ordenes_Odoo'!N520)</f>
        <v/>
      </c>
      <c r="O520" s="81">
        <f>IF('Ordenes_Odoo'!O520="","",'Ordenes_Odoo'!O520)</f>
        <v/>
      </c>
      <c r="P520" s="81">
        <f>IF('Ordenes_Odoo'!P520="","",'Ordenes_Odoo'!P520)</f>
        <v/>
      </c>
      <c r="Q520" s="79">
        <f>IF(A520="","",IFERROR(INDEX(Facturas_Odoo!$B:$B, MATCH(A520, Facturas_Odoo!$D:$D, 0)), "Sin Factura"))</f>
        <v/>
      </c>
      <c r="R520" s="80">
        <f>IF(Q520="Sin Factura","",IFERROR(INDEX(Facturas_Odoo!$A:$A, MATCH(Q520, Facturas_Odoo!$B:$B, 0)), ""))</f>
        <v/>
      </c>
      <c r="S520" s="79">
        <f>IF(Q520="Sin Factura","",IFERROR(_xlfn.XLOOKUP(1, (Facturas_Odoo!$D:$D=A520) * (Facturas_Odoo!$K:$K=I520), Facturas_Odoo!$L:$L, ""), ""))</f>
        <v/>
      </c>
      <c r="T520" s="81">
        <f>IF(Q520="Sin Factura",0,IFERROR(_xlfn.XLOOKUP(1, (Facturas_Odoo!$D:$D=A520) * (Facturas_Odoo!$K:$K=I520), Facturas_Odoo!$M:$M, 0), 0))</f>
        <v/>
      </c>
      <c r="U520" s="79">
        <f>IF(Q520="Sin Factura",0,IFERROR(_xlfn.XLOOKUP(1, (Facturas_Odoo!$D:$D=A520) * (Facturas_Odoo!$K:$K=I520), Facturas_Odoo!$N:$N, 0), 0))</f>
        <v/>
      </c>
      <c r="V520" s="79">
        <f>IF(Q520="Sin Factura",0,IFERROR(_xlfn.XLOOKUP(1, (Facturas_Odoo!$D:$D=A520) * (Facturas_Odoo!$K:$K=I520), Facturas_Odoo!$O:$O, 0), 0))</f>
        <v/>
      </c>
      <c r="W520" s="81">
        <f>IF(Q520="Sin Factura",0,IFERROR(_xlfn.XLOOKUP(1, (Facturas_Odoo!$D:$D=A520) * (Facturas_Odoo!$K:$K=I520), Facturas_Odoo!$Q:$Q, 0), 0))</f>
        <v/>
      </c>
      <c r="X520" s="79">
        <f>IF(OR(Q520="Sin Factura",Q520=""),"",IFERROR(INDEX(Pagos_Odoo!$B:$B, MATCH(Q520, Pagos_Odoo!$I:$I, 0)), "Sin Pago"))</f>
        <v/>
      </c>
      <c r="Y520" s="79">
        <f>IF(X520="Sin Pago","",IFERROR(INDEX(Pagos_Odoo!$C:$C, MATCH(X520, Pagos_Odoo!$B:$B, 0)), ""))</f>
        <v/>
      </c>
      <c r="Z520" s="80">
        <f>IF(X520="Sin Pago","",IFERROR(INDEX(Pagos_Odoo!$A:$A, MATCH(X520, Pagos_Odoo!$B:$B, 0)), ""))</f>
        <v/>
      </c>
      <c r="AA520" s="79">
        <f>IF(X520="Sin Pago","",IFERROR(INDEX(Pagos_Odoo!$F:$F, MATCH(X520, Pagos_Odoo!$B:$B, 0)), ""))</f>
        <v/>
      </c>
      <c r="AB520" s="81">
        <f>IF(X520="Sin Pago",0,IFERROR(INDEX(Pagos_Odoo!$E:$E, MATCH(X520, Pagos_Odoo!$B:$B, 0)), 0))</f>
        <v/>
      </c>
      <c r="AC520" s="79">
        <f>IF(X520="Sin Pago","",IFERROR(INDEX(Pagos_Odoo!$G:$G, MATCH(X520, Pagos_Odoo!$B:$B, 0)), ""))</f>
        <v/>
      </c>
      <c r="AD520" s="82" t="n">
        <v>0</v>
      </c>
      <c r="AE520" s="82" t="n"/>
      <c r="AF520" s="82" t="n"/>
      <c r="AG520" s="82">
        <f>IF(AN520="","",AD520+AE520+AF520)</f>
        <v/>
      </c>
      <c r="AH520" s="81">
        <f>IF(AN520="","",P520*(1-AG520))</f>
        <v/>
      </c>
      <c r="AI520" s="81">
        <f>IF(AN520="","",IF(Q520="Sin Factura",0,IFERROR(INDEX(Facturas_Odoo!$H:$H, MATCH(Q520, Facturas_Odoo!$B:$B, 0)), 0)*(1-AG520)))</f>
        <v/>
      </c>
      <c r="AJ520" s="81">
        <f>IF(AN520="","",_xlfn.LET(idVenta, AN520&amp;"",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20" s="81">
        <f>IF(AN520="","",AH520-AJ520)</f>
        <v/>
      </c>
      <c r="AL520" s="81">
        <f>IF(AN520="","",IF(Q520="Sin Factura","",AI520-AJ520))</f>
        <v/>
      </c>
      <c r="AM520" s="81">
        <f>IF(AN520="","",IF(Q520="Sin Factura",0,P520-IFERROR(INDEX(Facturas_Odoo!$H:$H, MATCH(Q520, Facturas_Odoo!$B:$B, 0)), 0)))</f>
        <v/>
      </c>
      <c r="AN520" s="79">
        <f>IF(AND(A520="", J520=""), "", IF(A520&lt;&gt;"", VALUE(MID(A520,2,LEN(A520))), AN519))</f>
        <v/>
      </c>
      <c r="AO520" s="79">
        <f>IF(AN520="","",IF(AD520=0,"OK",_xlfn.LET(monedaPago, IF(AA520="","USD",AA520), limitePermitido, IFERROR(VLOOKUP(monedaPago, Configuración!$A$2:$B$3, 2, FALSE), 0.15), IF(AD520&gt;limitePermitido, "ALERTA: EXCESO (" &amp; TEXT(limitePermitido, "0%") &amp; " máx)", "OK"))))</f>
        <v/>
      </c>
      <c r="AP520" s="79">
        <f>IF(AN520="","",IF(AE520=0,"OK",_xlfn.LET(fechaPago, Z520, fechaFactura, R520, diasCredito, IF(E520="Pago inmediato", 0, IFERROR(VALUE(MID(E520, 1, SEARCH(" ", E520)-1)),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20" s="79">
        <f>IF(AN520="","",IF(AND(N520&gt;0, AG520&gt;0), IF(Configuración!$K$2="NO", "ALERTA: DESCUENTO DOBLE NO PERMITIDO", "OK"), "OK"))</f>
        <v/>
      </c>
      <c r="AR520" s="79">
        <f>IF(AN520="","",IF(OR(AO520&lt;&gt;"OK", AP520&lt;&gt;"OK", AQ520&lt;&gt;"OK"), "⚠️ REVISAR", "OK"))</f>
        <v/>
      </c>
    </row>
    <row r="521">
      <c r="A521" s="79">
        <f>IF('Ordenes_Odoo'!A521="","",'Ordenes_Odoo'!A521)</f>
        <v/>
      </c>
      <c r="B521" s="80">
        <f>IF('Ordenes_Odoo'!B521="","",'Ordenes_Odoo'!B521)</f>
        <v/>
      </c>
      <c r="C521" s="79">
        <f>IF('Ordenes_Odoo'!C521="","",'Ordenes_Odoo'!C521)</f>
        <v/>
      </c>
      <c r="D521" s="79">
        <f>IF('Ordenes_Odoo'!D521="","",'Ordenes_Odoo'!D521)</f>
        <v/>
      </c>
      <c r="E521" s="79">
        <f>IF('Ordenes_Odoo'!E521="","",'Ordenes_Odoo'!E521)</f>
        <v/>
      </c>
      <c r="F521" s="79">
        <f>IF('Ordenes_Odoo'!F521="","",'Ordenes_Odoo'!F521)</f>
        <v/>
      </c>
      <c r="G521" s="79">
        <f>IF('Ordenes_Odoo'!G521="","",'Ordenes_Odoo'!G521)</f>
        <v/>
      </c>
      <c r="H521" s="79">
        <f>IF('Ordenes_Odoo'!H521="","",'Ordenes_Odoo'!H521)</f>
        <v/>
      </c>
      <c r="I521" s="79">
        <f>IF('Ordenes_Odoo'!I521="","",'Ordenes_Odoo'!I521)</f>
        <v/>
      </c>
      <c r="J521" s="79">
        <f>IF('Ordenes_Odoo'!J521="","",'Ordenes_Odoo'!J521)</f>
        <v/>
      </c>
      <c r="K521" s="81">
        <f>IF('Ordenes_Odoo'!K521="","",'Ordenes_Odoo'!K521)</f>
        <v/>
      </c>
      <c r="L521" s="81">
        <f>IF('Ordenes_Odoo'!L521="","",'Ordenes_Odoo'!L521)</f>
        <v/>
      </c>
      <c r="M521" s="79">
        <f>IF('Ordenes_Odoo'!M521="","",'Ordenes_Odoo'!M521)</f>
        <v/>
      </c>
      <c r="N521" s="79">
        <f>IF('Ordenes_Odoo'!N521="","",'Ordenes_Odoo'!N521)</f>
        <v/>
      </c>
      <c r="O521" s="81">
        <f>IF('Ordenes_Odoo'!O521="","",'Ordenes_Odoo'!O521)</f>
        <v/>
      </c>
      <c r="P521" s="81">
        <f>IF('Ordenes_Odoo'!P521="","",'Ordenes_Odoo'!P521)</f>
        <v/>
      </c>
      <c r="Q521" s="79">
        <f>IF(A521="","",IFERROR(INDEX(Facturas_Odoo!$B:$B, MATCH(A521, Facturas_Odoo!$D:$D, 0)), "Sin Factura"))</f>
        <v/>
      </c>
      <c r="R521" s="80">
        <f>IF(Q521="Sin Factura","",IFERROR(INDEX(Facturas_Odoo!$A:$A, MATCH(Q521, Facturas_Odoo!$B:$B, 0)), ""))</f>
        <v/>
      </c>
      <c r="S521" s="79">
        <f>IF(Q521="Sin Factura","",IFERROR(_xlfn.XLOOKUP(1, (Facturas_Odoo!$D:$D=A521) * (Facturas_Odoo!$K:$K=I521), Facturas_Odoo!$L:$L, ""), ""))</f>
        <v/>
      </c>
      <c r="T521" s="81">
        <f>IF(Q521="Sin Factura",0,IFERROR(_xlfn.XLOOKUP(1, (Facturas_Odoo!$D:$D=A521) * (Facturas_Odoo!$K:$K=I521), Facturas_Odoo!$M:$M, 0), 0))</f>
        <v/>
      </c>
      <c r="U521" s="79">
        <f>IF(Q521="Sin Factura",0,IFERROR(_xlfn.XLOOKUP(1, (Facturas_Odoo!$D:$D=A521) * (Facturas_Odoo!$K:$K=I521), Facturas_Odoo!$N:$N, 0), 0))</f>
        <v/>
      </c>
      <c r="V521" s="79">
        <f>IF(Q521="Sin Factura",0,IFERROR(_xlfn.XLOOKUP(1, (Facturas_Odoo!$D:$D=A521) * (Facturas_Odoo!$K:$K=I521), Facturas_Odoo!$O:$O, 0), 0))</f>
        <v/>
      </c>
      <c r="W521" s="81">
        <f>IF(Q521="Sin Factura",0,IFERROR(_xlfn.XLOOKUP(1, (Facturas_Odoo!$D:$D=A521) * (Facturas_Odoo!$K:$K=I521), Facturas_Odoo!$Q:$Q, 0), 0))</f>
        <v/>
      </c>
      <c r="X521" s="79">
        <f>IF(OR(Q521="Sin Factura",Q521=""),"",IFERROR(INDEX(Pagos_Odoo!$B:$B, MATCH(Q521, Pagos_Odoo!$I:$I, 0)), "Sin Pago"))</f>
        <v/>
      </c>
      <c r="Y521" s="79">
        <f>IF(X521="Sin Pago","",IFERROR(INDEX(Pagos_Odoo!$C:$C, MATCH(X521, Pagos_Odoo!$B:$B, 0)), ""))</f>
        <v/>
      </c>
      <c r="Z521" s="80">
        <f>IF(X521="Sin Pago","",IFERROR(INDEX(Pagos_Odoo!$A:$A, MATCH(X521, Pagos_Odoo!$B:$B, 0)), ""))</f>
        <v/>
      </c>
      <c r="AA521" s="79">
        <f>IF(X521="Sin Pago","",IFERROR(INDEX(Pagos_Odoo!$F:$F, MATCH(X521, Pagos_Odoo!$B:$B, 0)), ""))</f>
        <v/>
      </c>
      <c r="AB521" s="81">
        <f>IF(X521="Sin Pago",0,IFERROR(INDEX(Pagos_Odoo!$E:$E, MATCH(X521, Pagos_Odoo!$B:$B, 0)), 0))</f>
        <v/>
      </c>
      <c r="AC521" s="79">
        <f>IF(X521="Sin Pago","",IFERROR(INDEX(Pagos_Odoo!$G:$G, MATCH(X521, Pagos_Odoo!$B:$B, 0)), ""))</f>
        <v/>
      </c>
      <c r="AD521" s="82" t="n">
        <v>0</v>
      </c>
      <c r="AE521" s="82" t="n"/>
      <c r="AF521" s="82" t="n"/>
      <c r="AG521" s="82">
        <f>IF(AN521="","",AD521+AE521+AF521)</f>
        <v/>
      </c>
      <c r="AH521" s="81">
        <f>IF(AN521="","",P521*(1-AG521))</f>
        <v/>
      </c>
      <c r="AI521" s="81">
        <f>IF(AN521="","",IF(Q521="Sin Factura",0,IFERROR(INDEX(Facturas_Odoo!$H:$H, MATCH(Q521, Facturas_Odoo!$B:$B, 0)), 0)*(1-AG521)))</f>
        <v/>
      </c>
      <c r="AJ521" s="81">
        <f>IF(AN521="","",_xlfn.LET(idVenta, AN521&amp;"",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21" s="81">
        <f>IF(AN521="","",AH521-AJ521)</f>
        <v/>
      </c>
      <c r="AL521" s="81">
        <f>IF(AN521="","",IF(Q521="Sin Factura","",AI521-AJ521))</f>
        <v/>
      </c>
      <c r="AM521" s="81">
        <f>IF(AN521="","",IF(Q521="Sin Factura",0,P521-IFERROR(INDEX(Facturas_Odoo!$H:$H, MATCH(Q521, Facturas_Odoo!$B:$B, 0)), 0)))</f>
        <v/>
      </c>
      <c r="AN521" s="79">
        <f>IF(AND(A521="", J521=""), "", IF(A521&lt;&gt;"", VALUE(MID(A521,2,LEN(A521))), AN520))</f>
        <v/>
      </c>
      <c r="AO521" s="79">
        <f>IF(AN521="","",IF(AD521=0,"OK",_xlfn.LET(monedaPago, IF(AA521="","USD",AA521), limitePermitido, IFERROR(VLOOKUP(monedaPago, Configuración!$A$2:$B$3, 2, FALSE), 0.15), IF(AD521&gt;limitePermitido, "ALERTA: EXCESO (" &amp; TEXT(limitePermitido, "0%") &amp; " máx)", "OK"))))</f>
        <v/>
      </c>
      <c r="AP521" s="79">
        <f>IF(AN521="","",IF(AE521=0,"OK",_xlfn.LET(fechaPago, Z521, fechaFactura, R521, diasCredito, IF(E521="Pago inmediato", 0, IFERROR(VALUE(MID(E521, 1, SEARCH(" ", E521)-1)),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21" s="79">
        <f>IF(AN521="","",IF(AND(N521&gt;0, AG521&gt;0), IF(Configuración!$K$2="NO", "ALERTA: DESCUENTO DOBLE NO PERMITIDO", "OK"), "OK"))</f>
        <v/>
      </c>
      <c r="AR521" s="79">
        <f>IF(AN521="","",IF(OR(AO521&lt;&gt;"OK", AP521&lt;&gt;"OK", AQ521&lt;&gt;"OK"), "⚠️ REVISAR", "OK"))</f>
        <v/>
      </c>
    </row>
    <row r="522">
      <c r="A522" s="79">
        <f>IF('Ordenes_Odoo'!A522="","",'Ordenes_Odoo'!A522)</f>
        <v/>
      </c>
      <c r="B522" s="80">
        <f>IF('Ordenes_Odoo'!B522="","",'Ordenes_Odoo'!B522)</f>
        <v/>
      </c>
      <c r="C522" s="79">
        <f>IF('Ordenes_Odoo'!C522="","",'Ordenes_Odoo'!C522)</f>
        <v/>
      </c>
      <c r="D522" s="79">
        <f>IF('Ordenes_Odoo'!D522="","",'Ordenes_Odoo'!D522)</f>
        <v/>
      </c>
      <c r="E522" s="79">
        <f>IF('Ordenes_Odoo'!E522="","",'Ordenes_Odoo'!E522)</f>
        <v/>
      </c>
      <c r="F522" s="79">
        <f>IF('Ordenes_Odoo'!F522="","",'Ordenes_Odoo'!F522)</f>
        <v/>
      </c>
      <c r="G522" s="79">
        <f>IF('Ordenes_Odoo'!G522="","",'Ordenes_Odoo'!G522)</f>
        <v/>
      </c>
      <c r="H522" s="79">
        <f>IF('Ordenes_Odoo'!H522="","",'Ordenes_Odoo'!H522)</f>
        <v/>
      </c>
      <c r="I522" s="79">
        <f>IF('Ordenes_Odoo'!I522="","",'Ordenes_Odoo'!I522)</f>
        <v/>
      </c>
      <c r="J522" s="79">
        <f>IF('Ordenes_Odoo'!J522="","",'Ordenes_Odoo'!J522)</f>
        <v/>
      </c>
      <c r="K522" s="81">
        <f>IF('Ordenes_Odoo'!K522="","",'Ordenes_Odoo'!K522)</f>
        <v/>
      </c>
      <c r="L522" s="81">
        <f>IF('Ordenes_Odoo'!L522="","",'Ordenes_Odoo'!L522)</f>
        <v/>
      </c>
      <c r="M522" s="79">
        <f>IF('Ordenes_Odoo'!M522="","",'Ordenes_Odoo'!M522)</f>
        <v/>
      </c>
      <c r="N522" s="79">
        <f>IF('Ordenes_Odoo'!N522="","",'Ordenes_Odoo'!N522)</f>
        <v/>
      </c>
      <c r="O522" s="81">
        <f>IF('Ordenes_Odoo'!O522="","",'Ordenes_Odoo'!O522)</f>
        <v/>
      </c>
      <c r="P522" s="81">
        <f>IF('Ordenes_Odoo'!P522="","",'Ordenes_Odoo'!P522)</f>
        <v/>
      </c>
      <c r="Q522" s="79">
        <f>IF(A522="","",IFERROR(INDEX(Facturas_Odoo!$B:$B, MATCH(A522, Facturas_Odoo!$D:$D, 0)), "Sin Factura"))</f>
        <v/>
      </c>
      <c r="R522" s="80">
        <f>IF(Q522="Sin Factura","",IFERROR(INDEX(Facturas_Odoo!$A:$A, MATCH(Q522, Facturas_Odoo!$B:$B, 0)), ""))</f>
        <v/>
      </c>
      <c r="S522" s="79">
        <f>IF(Q522="Sin Factura","",IFERROR(_xlfn.XLOOKUP(1, (Facturas_Odoo!$D:$D=A522) * (Facturas_Odoo!$K:$K=I522), Facturas_Odoo!$L:$L, ""), ""))</f>
        <v/>
      </c>
      <c r="T522" s="81">
        <f>IF(Q522="Sin Factura",0,IFERROR(_xlfn.XLOOKUP(1, (Facturas_Odoo!$D:$D=A522) * (Facturas_Odoo!$K:$K=I522), Facturas_Odoo!$M:$M, 0), 0))</f>
        <v/>
      </c>
      <c r="U522" s="79">
        <f>IF(Q522="Sin Factura",0,IFERROR(_xlfn.XLOOKUP(1, (Facturas_Odoo!$D:$D=A522) * (Facturas_Odoo!$K:$K=I522), Facturas_Odoo!$N:$N, 0), 0))</f>
        <v/>
      </c>
      <c r="V522" s="79">
        <f>IF(Q522="Sin Factura",0,IFERROR(_xlfn.XLOOKUP(1, (Facturas_Odoo!$D:$D=A522) * (Facturas_Odoo!$K:$K=I522), Facturas_Odoo!$O:$O, 0), 0))</f>
        <v/>
      </c>
      <c r="W522" s="81">
        <f>IF(Q522="Sin Factura",0,IFERROR(_xlfn.XLOOKUP(1, (Facturas_Odoo!$D:$D=A522) * (Facturas_Odoo!$K:$K=I522), Facturas_Odoo!$Q:$Q, 0), 0))</f>
        <v/>
      </c>
      <c r="X522" s="79">
        <f>IF(OR(Q522="Sin Factura",Q522=""),"",IFERROR(INDEX(Pagos_Odoo!$B:$B, MATCH(Q522, Pagos_Odoo!$I:$I, 0)), "Sin Pago"))</f>
        <v/>
      </c>
      <c r="Y522" s="79">
        <f>IF(X522="Sin Pago","",IFERROR(INDEX(Pagos_Odoo!$C:$C, MATCH(X522, Pagos_Odoo!$B:$B, 0)), ""))</f>
        <v/>
      </c>
      <c r="Z522" s="80">
        <f>IF(X522="Sin Pago","",IFERROR(INDEX(Pagos_Odoo!$A:$A, MATCH(X522, Pagos_Odoo!$B:$B, 0)), ""))</f>
        <v/>
      </c>
      <c r="AA522" s="79">
        <f>IF(X522="Sin Pago","",IFERROR(INDEX(Pagos_Odoo!$F:$F, MATCH(X522, Pagos_Odoo!$B:$B, 0)), ""))</f>
        <v/>
      </c>
      <c r="AB522" s="81">
        <f>IF(X522="Sin Pago",0,IFERROR(INDEX(Pagos_Odoo!$E:$E, MATCH(X522, Pagos_Odoo!$B:$B, 0)), 0))</f>
        <v/>
      </c>
      <c r="AC522" s="79">
        <f>IF(X522="Sin Pago","",IFERROR(INDEX(Pagos_Odoo!$G:$G, MATCH(X522, Pagos_Odoo!$B:$B, 0)), ""))</f>
        <v/>
      </c>
      <c r="AD522" s="82" t="n">
        <v>0</v>
      </c>
      <c r="AE522" s="82" t="n"/>
      <c r="AF522" s="82" t="n"/>
      <c r="AG522" s="82">
        <f>IF(AN522="","",AD522+AE522+AF522)</f>
        <v/>
      </c>
      <c r="AH522" s="81">
        <f>IF(AN522="","",P522*(1-AG522))</f>
        <v/>
      </c>
      <c r="AI522" s="81">
        <f>IF(AN522="","",IF(Q522="Sin Factura",0,IFERROR(INDEX(Facturas_Odoo!$H:$H, MATCH(Q522, Facturas_Odoo!$B:$B, 0)), 0)*(1-AG522)))</f>
        <v/>
      </c>
      <c r="AJ522" s="81">
        <f>IF(AN522="","",_xlfn.LET(idVenta, AN522&amp;"",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22" s="81">
        <f>IF(AN522="","",AH522-AJ522)</f>
        <v/>
      </c>
      <c r="AL522" s="81">
        <f>IF(AN522="","",IF(Q522="Sin Factura","",AI522-AJ522))</f>
        <v/>
      </c>
      <c r="AM522" s="81">
        <f>IF(AN522="","",IF(Q522="Sin Factura",0,P522-IFERROR(INDEX(Facturas_Odoo!$H:$H, MATCH(Q522, Facturas_Odoo!$B:$B, 0)), 0)))</f>
        <v/>
      </c>
      <c r="AN522" s="79">
        <f>IF(AND(A522="", J522=""), "", IF(A522&lt;&gt;"", VALUE(MID(A522,2,LEN(A522))), AN521))</f>
        <v/>
      </c>
      <c r="AO522" s="79">
        <f>IF(AN522="","",IF(AD522=0,"OK",_xlfn.LET(monedaPago, IF(AA522="","USD",AA522), limitePermitido, IFERROR(VLOOKUP(monedaPago, Configuración!$A$2:$B$3, 2, FALSE), 0.15), IF(AD522&gt;limitePermitido, "ALERTA: EXCESO (" &amp; TEXT(limitePermitido, "0%") &amp; " máx)", "OK"))))</f>
        <v/>
      </c>
      <c r="AP522" s="79">
        <f>IF(AN522="","",IF(AE522=0,"OK",_xlfn.LET(fechaPago, Z522, fechaFactura, R522, diasCredito, IF(E522="Pago inmediato", 0, IFERROR(VALUE(MID(E522, 1, SEARCH(" ", E522)-1)),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22" s="79">
        <f>IF(AN522="","",IF(AND(N522&gt;0, AG522&gt;0), IF(Configuración!$K$2="NO", "ALERTA: DESCUENTO DOBLE NO PERMITIDO", "OK"), "OK"))</f>
        <v/>
      </c>
      <c r="AR522" s="79">
        <f>IF(AN522="","",IF(OR(AO522&lt;&gt;"OK", AP522&lt;&gt;"OK", AQ522&lt;&gt;"OK"), "⚠️ REVISAR", "OK"))</f>
        <v/>
      </c>
    </row>
    <row r="523">
      <c r="A523" s="79">
        <f>IF('Ordenes_Odoo'!A523="","",'Ordenes_Odoo'!A523)</f>
        <v/>
      </c>
      <c r="B523" s="80">
        <f>IF('Ordenes_Odoo'!B523="","",'Ordenes_Odoo'!B523)</f>
        <v/>
      </c>
      <c r="C523" s="79">
        <f>IF('Ordenes_Odoo'!C523="","",'Ordenes_Odoo'!C523)</f>
        <v/>
      </c>
      <c r="D523" s="79">
        <f>IF('Ordenes_Odoo'!D523="","",'Ordenes_Odoo'!D523)</f>
        <v/>
      </c>
      <c r="E523" s="79">
        <f>IF('Ordenes_Odoo'!E523="","",'Ordenes_Odoo'!E523)</f>
        <v/>
      </c>
      <c r="F523" s="79">
        <f>IF('Ordenes_Odoo'!F523="","",'Ordenes_Odoo'!F523)</f>
        <v/>
      </c>
      <c r="G523" s="79">
        <f>IF('Ordenes_Odoo'!G523="","",'Ordenes_Odoo'!G523)</f>
        <v/>
      </c>
      <c r="H523" s="79">
        <f>IF('Ordenes_Odoo'!H523="","",'Ordenes_Odoo'!H523)</f>
        <v/>
      </c>
      <c r="I523" s="79">
        <f>IF('Ordenes_Odoo'!I523="","",'Ordenes_Odoo'!I523)</f>
        <v/>
      </c>
      <c r="J523" s="79">
        <f>IF('Ordenes_Odoo'!J523="","",'Ordenes_Odoo'!J523)</f>
        <v/>
      </c>
      <c r="K523" s="81">
        <f>IF('Ordenes_Odoo'!K523="","",'Ordenes_Odoo'!K523)</f>
        <v/>
      </c>
      <c r="L523" s="81">
        <f>IF('Ordenes_Odoo'!L523="","",'Ordenes_Odoo'!L523)</f>
        <v/>
      </c>
      <c r="M523" s="79">
        <f>IF('Ordenes_Odoo'!M523="","",'Ordenes_Odoo'!M523)</f>
        <v/>
      </c>
      <c r="N523" s="79">
        <f>IF('Ordenes_Odoo'!N523="","",'Ordenes_Odoo'!N523)</f>
        <v/>
      </c>
      <c r="O523" s="81">
        <f>IF('Ordenes_Odoo'!O523="","",'Ordenes_Odoo'!O523)</f>
        <v/>
      </c>
      <c r="P523" s="81">
        <f>IF('Ordenes_Odoo'!P523="","",'Ordenes_Odoo'!P523)</f>
        <v/>
      </c>
      <c r="Q523" s="79">
        <f>IF(A523="","",IFERROR(INDEX(Facturas_Odoo!$B:$B, MATCH(A523, Facturas_Odoo!$D:$D, 0)), "Sin Factura"))</f>
        <v/>
      </c>
      <c r="R523" s="80">
        <f>IF(Q523="Sin Factura","",IFERROR(INDEX(Facturas_Odoo!$A:$A, MATCH(Q523, Facturas_Odoo!$B:$B, 0)), ""))</f>
        <v/>
      </c>
      <c r="S523" s="79">
        <f>IF(Q523="Sin Factura","",IFERROR(_xlfn.XLOOKUP(1, (Facturas_Odoo!$D:$D=A523) * (Facturas_Odoo!$K:$K=I523), Facturas_Odoo!$L:$L, ""), ""))</f>
        <v/>
      </c>
      <c r="T523" s="81">
        <f>IF(Q523="Sin Factura",0,IFERROR(_xlfn.XLOOKUP(1, (Facturas_Odoo!$D:$D=A523) * (Facturas_Odoo!$K:$K=I523), Facturas_Odoo!$M:$M, 0), 0))</f>
        <v/>
      </c>
      <c r="U523" s="79">
        <f>IF(Q523="Sin Factura",0,IFERROR(_xlfn.XLOOKUP(1, (Facturas_Odoo!$D:$D=A523) * (Facturas_Odoo!$K:$K=I523), Facturas_Odoo!$N:$N, 0), 0))</f>
        <v/>
      </c>
      <c r="V523" s="79">
        <f>IF(Q523="Sin Factura",0,IFERROR(_xlfn.XLOOKUP(1, (Facturas_Odoo!$D:$D=A523) * (Facturas_Odoo!$K:$K=I523), Facturas_Odoo!$O:$O, 0), 0))</f>
        <v/>
      </c>
      <c r="W523" s="81">
        <f>IF(Q523="Sin Factura",0,IFERROR(_xlfn.XLOOKUP(1, (Facturas_Odoo!$D:$D=A523) * (Facturas_Odoo!$K:$K=I523), Facturas_Odoo!$Q:$Q, 0), 0))</f>
        <v/>
      </c>
      <c r="X523" s="79">
        <f>IF(OR(Q523="Sin Factura",Q523=""),"",IFERROR(INDEX(Pagos_Odoo!$B:$B, MATCH(Q523, Pagos_Odoo!$I:$I, 0)), "Sin Pago"))</f>
        <v/>
      </c>
      <c r="Y523" s="79">
        <f>IF(X523="Sin Pago","",IFERROR(INDEX(Pagos_Odoo!$C:$C, MATCH(X523, Pagos_Odoo!$B:$B, 0)), ""))</f>
        <v/>
      </c>
      <c r="Z523" s="80">
        <f>IF(X523="Sin Pago","",IFERROR(INDEX(Pagos_Odoo!$A:$A, MATCH(X523, Pagos_Odoo!$B:$B, 0)), ""))</f>
        <v/>
      </c>
      <c r="AA523" s="79">
        <f>IF(X523="Sin Pago","",IFERROR(INDEX(Pagos_Odoo!$F:$F, MATCH(X523, Pagos_Odoo!$B:$B, 0)), ""))</f>
        <v/>
      </c>
      <c r="AB523" s="81">
        <f>IF(X523="Sin Pago",0,IFERROR(INDEX(Pagos_Odoo!$E:$E, MATCH(X523, Pagos_Odoo!$B:$B, 0)), 0))</f>
        <v/>
      </c>
      <c r="AC523" s="79">
        <f>IF(X523="Sin Pago","",IFERROR(INDEX(Pagos_Odoo!$G:$G, MATCH(X523, Pagos_Odoo!$B:$B, 0)), ""))</f>
        <v/>
      </c>
      <c r="AD523" s="82" t="n">
        <v>0</v>
      </c>
      <c r="AE523" s="82" t="n"/>
      <c r="AF523" s="82" t="n"/>
      <c r="AG523" s="82">
        <f>IF(AN523="","",AD523+AE523+AF523)</f>
        <v/>
      </c>
      <c r="AH523" s="81">
        <f>IF(AN523="","",P523*(1-AG523))</f>
        <v/>
      </c>
      <c r="AI523" s="81">
        <f>IF(AN523="","",IF(Q523="Sin Factura",0,IFERROR(INDEX(Facturas_Odoo!$H:$H, MATCH(Q523, Facturas_Odoo!$B:$B, 0)), 0)*(1-AG523)))</f>
        <v/>
      </c>
      <c r="AJ523" s="81">
        <f>IF(AN523="","",_xlfn.LET(idVenta, AN523&amp;"",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23" s="81">
        <f>IF(AN523="","",AH523-AJ523)</f>
        <v/>
      </c>
      <c r="AL523" s="81">
        <f>IF(AN523="","",IF(Q523="Sin Factura","",AI523-AJ523))</f>
        <v/>
      </c>
      <c r="AM523" s="81">
        <f>IF(AN523="","",IF(Q523="Sin Factura",0,P523-IFERROR(INDEX(Facturas_Odoo!$H:$H, MATCH(Q523, Facturas_Odoo!$B:$B, 0)), 0)))</f>
        <v/>
      </c>
      <c r="AN523" s="79">
        <f>IF(AND(A523="", J523=""), "", IF(A523&lt;&gt;"", VALUE(MID(A523,2,LEN(A523))), AN522))</f>
        <v/>
      </c>
      <c r="AO523" s="79">
        <f>IF(AN523="","",IF(AD523=0,"OK",_xlfn.LET(monedaPago, IF(AA523="","USD",AA523), limitePermitido, IFERROR(VLOOKUP(monedaPago, Configuración!$A$2:$B$3, 2, FALSE), 0.15), IF(AD523&gt;limitePermitido, "ALERTA: EXCESO (" &amp; TEXT(limitePermitido, "0%") &amp; " máx)", "OK"))))</f>
        <v/>
      </c>
      <c r="AP523" s="79">
        <f>IF(AN523="","",IF(AE523=0,"OK",_xlfn.LET(fechaPago, Z523, fechaFactura, R523, diasCredito, IF(E523="Pago inmediato", 0, IFERROR(VALUE(MID(E523, 1, SEARCH(" ", E523)-1)),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23" s="79">
        <f>IF(AN523="","",IF(AND(N523&gt;0, AG523&gt;0), IF(Configuración!$K$2="NO", "ALERTA: DESCUENTO DOBLE NO PERMITIDO", "OK"), "OK"))</f>
        <v/>
      </c>
      <c r="AR523" s="79">
        <f>IF(AN523="","",IF(OR(AO523&lt;&gt;"OK", AP523&lt;&gt;"OK", AQ523&lt;&gt;"OK"), "⚠️ REVISAR", "OK"))</f>
        <v/>
      </c>
    </row>
    <row r="524">
      <c r="A524" s="79">
        <f>IF('Ordenes_Odoo'!A524="","",'Ordenes_Odoo'!A524)</f>
        <v/>
      </c>
      <c r="B524" s="80">
        <f>IF('Ordenes_Odoo'!B524="","",'Ordenes_Odoo'!B524)</f>
        <v/>
      </c>
      <c r="C524" s="79">
        <f>IF('Ordenes_Odoo'!C524="","",'Ordenes_Odoo'!C524)</f>
        <v/>
      </c>
      <c r="D524" s="79">
        <f>IF('Ordenes_Odoo'!D524="","",'Ordenes_Odoo'!D524)</f>
        <v/>
      </c>
      <c r="E524" s="79">
        <f>IF('Ordenes_Odoo'!E524="","",'Ordenes_Odoo'!E524)</f>
        <v/>
      </c>
      <c r="F524" s="79">
        <f>IF('Ordenes_Odoo'!F524="","",'Ordenes_Odoo'!F524)</f>
        <v/>
      </c>
      <c r="G524" s="79">
        <f>IF('Ordenes_Odoo'!G524="","",'Ordenes_Odoo'!G524)</f>
        <v/>
      </c>
      <c r="H524" s="79">
        <f>IF('Ordenes_Odoo'!H524="","",'Ordenes_Odoo'!H524)</f>
        <v/>
      </c>
      <c r="I524" s="79">
        <f>IF('Ordenes_Odoo'!I524="","",'Ordenes_Odoo'!I524)</f>
        <v/>
      </c>
      <c r="J524" s="79">
        <f>IF('Ordenes_Odoo'!J524="","",'Ordenes_Odoo'!J524)</f>
        <v/>
      </c>
      <c r="K524" s="81">
        <f>IF('Ordenes_Odoo'!K524="","",'Ordenes_Odoo'!K524)</f>
        <v/>
      </c>
      <c r="L524" s="81">
        <f>IF('Ordenes_Odoo'!L524="","",'Ordenes_Odoo'!L524)</f>
        <v/>
      </c>
      <c r="M524" s="79">
        <f>IF('Ordenes_Odoo'!M524="","",'Ordenes_Odoo'!M524)</f>
        <v/>
      </c>
      <c r="N524" s="79">
        <f>IF('Ordenes_Odoo'!N524="","",'Ordenes_Odoo'!N524)</f>
        <v/>
      </c>
      <c r="O524" s="81">
        <f>IF('Ordenes_Odoo'!O524="","",'Ordenes_Odoo'!O524)</f>
        <v/>
      </c>
      <c r="P524" s="81">
        <f>IF('Ordenes_Odoo'!P524="","",'Ordenes_Odoo'!P524)</f>
        <v/>
      </c>
      <c r="Q524" s="79">
        <f>IF(A524="","",IFERROR(INDEX(Facturas_Odoo!$B:$B, MATCH(A524, Facturas_Odoo!$D:$D, 0)), "Sin Factura"))</f>
        <v/>
      </c>
      <c r="R524" s="80">
        <f>IF(Q524="Sin Factura","",IFERROR(INDEX(Facturas_Odoo!$A:$A, MATCH(Q524, Facturas_Odoo!$B:$B, 0)), ""))</f>
        <v/>
      </c>
      <c r="S524" s="79">
        <f>IF(Q524="Sin Factura","",IFERROR(_xlfn.XLOOKUP(1, (Facturas_Odoo!$D:$D=A524) * (Facturas_Odoo!$K:$K=I524), Facturas_Odoo!$L:$L, ""), ""))</f>
        <v/>
      </c>
      <c r="T524" s="81">
        <f>IF(Q524="Sin Factura",0,IFERROR(_xlfn.XLOOKUP(1, (Facturas_Odoo!$D:$D=A524) * (Facturas_Odoo!$K:$K=I524), Facturas_Odoo!$M:$M, 0), 0))</f>
        <v/>
      </c>
      <c r="U524" s="79">
        <f>IF(Q524="Sin Factura",0,IFERROR(_xlfn.XLOOKUP(1, (Facturas_Odoo!$D:$D=A524) * (Facturas_Odoo!$K:$K=I524), Facturas_Odoo!$N:$N, 0), 0))</f>
        <v/>
      </c>
      <c r="V524" s="79">
        <f>IF(Q524="Sin Factura",0,IFERROR(_xlfn.XLOOKUP(1, (Facturas_Odoo!$D:$D=A524) * (Facturas_Odoo!$K:$K=I524), Facturas_Odoo!$O:$O, 0), 0))</f>
        <v/>
      </c>
      <c r="W524" s="81">
        <f>IF(Q524="Sin Factura",0,IFERROR(_xlfn.XLOOKUP(1, (Facturas_Odoo!$D:$D=A524) * (Facturas_Odoo!$K:$K=I524), Facturas_Odoo!$Q:$Q, 0), 0))</f>
        <v/>
      </c>
      <c r="X524" s="79">
        <f>IF(OR(Q524="Sin Factura",Q524=""),"",IFERROR(INDEX(Pagos_Odoo!$B:$B, MATCH(Q524, Pagos_Odoo!$I:$I, 0)), "Sin Pago"))</f>
        <v/>
      </c>
      <c r="Y524" s="79">
        <f>IF(X524="Sin Pago","",IFERROR(INDEX(Pagos_Odoo!$C:$C, MATCH(X524, Pagos_Odoo!$B:$B, 0)), ""))</f>
        <v/>
      </c>
      <c r="Z524" s="80">
        <f>IF(X524="Sin Pago","",IFERROR(INDEX(Pagos_Odoo!$A:$A, MATCH(X524, Pagos_Odoo!$B:$B, 0)), ""))</f>
        <v/>
      </c>
      <c r="AA524" s="79">
        <f>IF(X524="Sin Pago","",IFERROR(INDEX(Pagos_Odoo!$F:$F, MATCH(X524, Pagos_Odoo!$B:$B, 0)), ""))</f>
        <v/>
      </c>
      <c r="AB524" s="81">
        <f>IF(X524="Sin Pago",0,IFERROR(INDEX(Pagos_Odoo!$E:$E, MATCH(X524, Pagos_Odoo!$B:$B, 0)), 0))</f>
        <v/>
      </c>
      <c r="AC524" s="79">
        <f>IF(X524="Sin Pago","",IFERROR(INDEX(Pagos_Odoo!$G:$G, MATCH(X524, Pagos_Odoo!$B:$B, 0)), ""))</f>
        <v/>
      </c>
      <c r="AD524" s="82" t="n">
        <v>0</v>
      </c>
      <c r="AE524" s="82" t="n"/>
      <c r="AF524" s="82" t="n"/>
      <c r="AG524" s="82">
        <f>IF(AN524="","",AD524+AE524+AF524)</f>
        <v/>
      </c>
      <c r="AH524" s="81">
        <f>IF(AN524="","",P524*(1-AG524))</f>
        <v/>
      </c>
      <c r="AI524" s="81">
        <f>IF(AN524="","",IF(Q524="Sin Factura",0,IFERROR(INDEX(Facturas_Odoo!$H:$H, MATCH(Q524, Facturas_Odoo!$B:$B, 0)), 0)*(1-AG524)))</f>
        <v/>
      </c>
      <c r="AJ524" s="81">
        <f>IF(AN524="","",_xlfn.LET(idVenta, AN524&amp;"",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24" s="81">
        <f>IF(AN524="","",AH524-AJ524)</f>
        <v/>
      </c>
      <c r="AL524" s="81">
        <f>IF(AN524="","",IF(Q524="Sin Factura","",AI524-AJ524))</f>
        <v/>
      </c>
      <c r="AM524" s="81">
        <f>IF(AN524="","",IF(Q524="Sin Factura",0,P524-IFERROR(INDEX(Facturas_Odoo!$H:$H, MATCH(Q524, Facturas_Odoo!$B:$B, 0)), 0)))</f>
        <v/>
      </c>
      <c r="AN524" s="79">
        <f>IF(AND(A524="", J524=""), "", IF(A524&lt;&gt;"", VALUE(MID(A524,2,LEN(A524))), AN523))</f>
        <v/>
      </c>
      <c r="AO524" s="79">
        <f>IF(AN524="","",IF(AD524=0,"OK",_xlfn.LET(monedaPago, IF(AA524="","USD",AA524), limitePermitido, IFERROR(VLOOKUP(monedaPago, Configuración!$A$2:$B$3, 2, FALSE), 0.15), IF(AD524&gt;limitePermitido, "ALERTA: EXCESO (" &amp; TEXT(limitePermitido, "0%") &amp; " máx)", "OK"))))</f>
        <v/>
      </c>
      <c r="AP524" s="79">
        <f>IF(AN524="","",IF(AE524=0,"OK",_xlfn.LET(fechaPago, Z524, fechaFactura, R524, diasCredito, IF(E524="Pago inmediato", 0, IFERROR(VALUE(MID(E524, 1, SEARCH(" ", E524)-1)),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24" s="79">
        <f>IF(AN524="","",IF(AND(N524&gt;0, AG524&gt;0), IF(Configuración!$K$2="NO", "ALERTA: DESCUENTO DOBLE NO PERMITIDO", "OK"), "OK"))</f>
        <v/>
      </c>
      <c r="AR524" s="79">
        <f>IF(AN524="","",IF(OR(AO524&lt;&gt;"OK", AP524&lt;&gt;"OK", AQ524&lt;&gt;"OK"), "⚠️ REVISAR", "OK"))</f>
        <v/>
      </c>
    </row>
    <row r="525">
      <c r="A525" s="79">
        <f>IF('Ordenes_Odoo'!A525="","",'Ordenes_Odoo'!A525)</f>
        <v/>
      </c>
      <c r="B525" s="80">
        <f>IF('Ordenes_Odoo'!B525="","",'Ordenes_Odoo'!B525)</f>
        <v/>
      </c>
      <c r="C525" s="79">
        <f>IF('Ordenes_Odoo'!C525="","",'Ordenes_Odoo'!C525)</f>
        <v/>
      </c>
      <c r="D525" s="79">
        <f>IF('Ordenes_Odoo'!D525="","",'Ordenes_Odoo'!D525)</f>
        <v/>
      </c>
      <c r="E525" s="79">
        <f>IF('Ordenes_Odoo'!E525="","",'Ordenes_Odoo'!E525)</f>
        <v/>
      </c>
      <c r="F525" s="79">
        <f>IF('Ordenes_Odoo'!F525="","",'Ordenes_Odoo'!F525)</f>
        <v/>
      </c>
      <c r="G525" s="79">
        <f>IF('Ordenes_Odoo'!G525="","",'Ordenes_Odoo'!G525)</f>
        <v/>
      </c>
      <c r="H525" s="79">
        <f>IF('Ordenes_Odoo'!H525="","",'Ordenes_Odoo'!H525)</f>
        <v/>
      </c>
      <c r="I525" s="79">
        <f>IF('Ordenes_Odoo'!I525="","",'Ordenes_Odoo'!I525)</f>
        <v/>
      </c>
      <c r="J525" s="79">
        <f>IF('Ordenes_Odoo'!J525="","",'Ordenes_Odoo'!J525)</f>
        <v/>
      </c>
      <c r="K525" s="81">
        <f>IF('Ordenes_Odoo'!K525="","",'Ordenes_Odoo'!K525)</f>
        <v/>
      </c>
      <c r="L525" s="81">
        <f>IF('Ordenes_Odoo'!L525="","",'Ordenes_Odoo'!L525)</f>
        <v/>
      </c>
      <c r="M525" s="79">
        <f>IF('Ordenes_Odoo'!M525="","",'Ordenes_Odoo'!M525)</f>
        <v/>
      </c>
      <c r="N525" s="79">
        <f>IF('Ordenes_Odoo'!N525="","",'Ordenes_Odoo'!N525)</f>
        <v/>
      </c>
      <c r="O525" s="81">
        <f>IF('Ordenes_Odoo'!O525="","",'Ordenes_Odoo'!O525)</f>
        <v/>
      </c>
      <c r="P525" s="81">
        <f>IF('Ordenes_Odoo'!P525="","",'Ordenes_Odoo'!P525)</f>
        <v/>
      </c>
      <c r="Q525" s="79">
        <f>IF(A525="","",IFERROR(INDEX(Facturas_Odoo!$B:$B, MATCH(A525, Facturas_Odoo!$D:$D, 0)), "Sin Factura"))</f>
        <v/>
      </c>
      <c r="R525" s="80">
        <f>IF(Q525="Sin Factura","",IFERROR(INDEX(Facturas_Odoo!$A:$A, MATCH(Q525, Facturas_Odoo!$B:$B, 0)), ""))</f>
        <v/>
      </c>
      <c r="S525" s="79">
        <f>IF(Q525="Sin Factura","",IFERROR(_xlfn.XLOOKUP(1, (Facturas_Odoo!$D:$D=A525) * (Facturas_Odoo!$K:$K=I525), Facturas_Odoo!$L:$L, ""), ""))</f>
        <v/>
      </c>
      <c r="T525" s="81">
        <f>IF(Q525="Sin Factura",0,IFERROR(_xlfn.XLOOKUP(1, (Facturas_Odoo!$D:$D=A525) * (Facturas_Odoo!$K:$K=I525), Facturas_Odoo!$M:$M, 0), 0))</f>
        <v/>
      </c>
      <c r="U525" s="79">
        <f>IF(Q525="Sin Factura",0,IFERROR(_xlfn.XLOOKUP(1, (Facturas_Odoo!$D:$D=A525) * (Facturas_Odoo!$K:$K=I525), Facturas_Odoo!$N:$N, 0), 0))</f>
        <v/>
      </c>
      <c r="V525" s="79">
        <f>IF(Q525="Sin Factura",0,IFERROR(_xlfn.XLOOKUP(1, (Facturas_Odoo!$D:$D=A525) * (Facturas_Odoo!$K:$K=I525), Facturas_Odoo!$O:$O, 0), 0))</f>
        <v/>
      </c>
      <c r="W525" s="81">
        <f>IF(Q525="Sin Factura",0,IFERROR(_xlfn.XLOOKUP(1, (Facturas_Odoo!$D:$D=A525) * (Facturas_Odoo!$K:$K=I525), Facturas_Odoo!$Q:$Q, 0), 0))</f>
        <v/>
      </c>
      <c r="X525" s="79">
        <f>IF(OR(Q525="Sin Factura",Q525=""),"",IFERROR(INDEX(Pagos_Odoo!$B:$B, MATCH(Q525, Pagos_Odoo!$I:$I, 0)), "Sin Pago"))</f>
        <v/>
      </c>
      <c r="Y525" s="79">
        <f>IF(X525="Sin Pago","",IFERROR(INDEX(Pagos_Odoo!$C:$C, MATCH(X525, Pagos_Odoo!$B:$B, 0)), ""))</f>
        <v/>
      </c>
      <c r="Z525" s="80">
        <f>IF(X525="Sin Pago","",IFERROR(INDEX(Pagos_Odoo!$A:$A, MATCH(X525, Pagos_Odoo!$B:$B, 0)), ""))</f>
        <v/>
      </c>
      <c r="AA525" s="79">
        <f>IF(X525="Sin Pago","",IFERROR(INDEX(Pagos_Odoo!$F:$F, MATCH(X525, Pagos_Odoo!$B:$B, 0)), ""))</f>
        <v/>
      </c>
      <c r="AB525" s="81">
        <f>IF(X525="Sin Pago",0,IFERROR(INDEX(Pagos_Odoo!$E:$E, MATCH(X525, Pagos_Odoo!$B:$B, 0)), 0))</f>
        <v/>
      </c>
      <c r="AC525" s="79">
        <f>IF(X525="Sin Pago","",IFERROR(INDEX(Pagos_Odoo!$G:$G, MATCH(X525, Pagos_Odoo!$B:$B, 0)), ""))</f>
        <v/>
      </c>
      <c r="AD525" s="82" t="n">
        <v>0</v>
      </c>
      <c r="AE525" s="82" t="n"/>
      <c r="AF525" s="82" t="n"/>
      <c r="AG525" s="82">
        <f>IF(AN525="","",AD525+AE525+AF525)</f>
        <v/>
      </c>
      <c r="AH525" s="81">
        <f>IF(AN525="","",P525*(1-AG525))</f>
        <v/>
      </c>
      <c r="AI525" s="81">
        <f>IF(AN525="","",IF(Q525="Sin Factura",0,IFERROR(INDEX(Facturas_Odoo!$H:$H, MATCH(Q525, Facturas_Odoo!$B:$B, 0)), 0)*(1-AG525)))</f>
        <v/>
      </c>
      <c r="AJ525" s="81">
        <f>IF(AN525="","",_xlfn.LET(idVenta, AN525&amp;"",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25" s="81">
        <f>IF(AN525="","",AH525-AJ525)</f>
        <v/>
      </c>
      <c r="AL525" s="81">
        <f>IF(AN525="","",IF(Q525="Sin Factura","",AI525-AJ525))</f>
        <v/>
      </c>
      <c r="AM525" s="81">
        <f>IF(AN525="","",IF(Q525="Sin Factura",0,P525-IFERROR(INDEX(Facturas_Odoo!$H:$H, MATCH(Q525, Facturas_Odoo!$B:$B, 0)), 0)))</f>
        <v/>
      </c>
      <c r="AN525" s="79">
        <f>IF(AND(A525="", J525=""), "", IF(A525&lt;&gt;"", VALUE(MID(A525,2,LEN(A525))), AN524))</f>
        <v/>
      </c>
      <c r="AO525" s="79">
        <f>IF(AN525="","",IF(AD525=0,"OK",_xlfn.LET(monedaPago, IF(AA525="","USD",AA525), limitePermitido, IFERROR(VLOOKUP(monedaPago, Configuración!$A$2:$B$3, 2, FALSE), 0.15), IF(AD525&gt;limitePermitido, "ALERTA: EXCESO (" &amp; TEXT(limitePermitido, "0%") &amp; " máx)", "OK"))))</f>
        <v/>
      </c>
      <c r="AP525" s="79">
        <f>IF(AN525="","",IF(AE525=0,"OK",_xlfn.LET(fechaPago, Z525, fechaFactura, R525, diasCredito, IF(E525="Pago inmediato", 0, IFERROR(VALUE(MID(E525, 1, SEARCH(" ", E525)-1)),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25" s="79">
        <f>IF(AN525="","",IF(AND(N525&gt;0, AG525&gt;0), IF(Configuración!$K$2="NO", "ALERTA: DESCUENTO DOBLE NO PERMITIDO", "OK"), "OK"))</f>
        <v/>
      </c>
      <c r="AR525" s="79">
        <f>IF(AN525="","",IF(OR(AO525&lt;&gt;"OK", AP525&lt;&gt;"OK", AQ525&lt;&gt;"OK"), "⚠️ REVISAR", "OK"))</f>
        <v/>
      </c>
    </row>
    <row r="526">
      <c r="A526" s="79">
        <f>IF('Ordenes_Odoo'!A526="","",'Ordenes_Odoo'!A526)</f>
        <v/>
      </c>
      <c r="B526" s="80">
        <f>IF('Ordenes_Odoo'!B526="","",'Ordenes_Odoo'!B526)</f>
        <v/>
      </c>
      <c r="C526" s="79">
        <f>IF('Ordenes_Odoo'!C526="","",'Ordenes_Odoo'!C526)</f>
        <v/>
      </c>
      <c r="D526" s="79">
        <f>IF('Ordenes_Odoo'!D526="","",'Ordenes_Odoo'!D526)</f>
        <v/>
      </c>
      <c r="E526" s="79">
        <f>IF('Ordenes_Odoo'!E526="","",'Ordenes_Odoo'!E526)</f>
        <v/>
      </c>
      <c r="F526" s="79">
        <f>IF('Ordenes_Odoo'!F526="","",'Ordenes_Odoo'!F526)</f>
        <v/>
      </c>
      <c r="G526" s="79">
        <f>IF('Ordenes_Odoo'!G526="","",'Ordenes_Odoo'!G526)</f>
        <v/>
      </c>
      <c r="H526" s="79">
        <f>IF('Ordenes_Odoo'!H526="","",'Ordenes_Odoo'!H526)</f>
        <v/>
      </c>
      <c r="I526" s="79">
        <f>IF('Ordenes_Odoo'!I526="","",'Ordenes_Odoo'!I526)</f>
        <v/>
      </c>
      <c r="J526" s="79">
        <f>IF('Ordenes_Odoo'!J526="","",'Ordenes_Odoo'!J526)</f>
        <v/>
      </c>
      <c r="K526" s="81">
        <f>IF('Ordenes_Odoo'!K526="","",'Ordenes_Odoo'!K526)</f>
        <v/>
      </c>
      <c r="L526" s="81">
        <f>IF('Ordenes_Odoo'!L526="","",'Ordenes_Odoo'!L526)</f>
        <v/>
      </c>
      <c r="M526" s="79">
        <f>IF('Ordenes_Odoo'!M526="","",'Ordenes_Odoo'!M526)</f>
        <v/>
      </c>
      <c r="N526" s="79">
        <f>IF('Ordenes_Odoo'!N526="","",'Ordenes_Odoo'!N526)</f>
        <v/>
      </c>
      <c r="O526" s="81">
        <f>IF('Ordenes_Odoo'!O526="","",'Ordenes_Odoo'!O526)</f>
        <v/>
      </c>
      <c r="P526" s="81">
        <f>IF('Ordenes_Odoo'!P526="","",'Ordenes_Odoo'!P526)</f>
        <v/>
      </c>
      <c r="Q526" s="79">
        <f>IF(A526="","",IFERROR(INDEX(Facturas_Odoo!$B:$B, MATCH(A526, Facturas_Odoo!$D:$D, 0)), "Sin Factura"))</f>
        <v/>
      </c>
      <c r="R526" s="80">
        <f>IF(Q526="Sin Factura","",IFERROR(INDEX(Facturas_Odoo!$A:$A, MATCH(Q526, Facturas_Odoo!$B:$B, 0)), ""))</f>
        <v/>
      </c>
      <c r="S526" s="79">
        <f>IF(Q526="Sin Factura","",IFERROR(_xlfn.XLOOKUP(1, (Facturas_Odoo!$D:$D=A526) * (Facturas_Odoo!$K:$K=I526), Facturas_Odoo!$L:$L, ""), ""))</f>
        <v/>
      </c>
      <c r="T526" s="81">
        <f>IF(Q526="Sin Factura",0,IFERROR(_xlfn.XLOOKUP(1, (Facturas_Odoo!$D:$D=A526) * (Facturas_Odoo!$K:$K=I526), Facturas_Odoo!$M:$M, 0), 0))</f>
        <v/>
      </c>
      <c r="U526" s="79">
        <f>IF(Q526="Sin Factura",0,IFERROR(_xlfn.XLOOKUP(1, (Facturas_Odoo!$D:$D=A526) * (Facturas_Odoo!$K:$K=I526), Facturas_Odoo!$N:$N, 0), 0))</f>
        <v/>
      </c>
      <c r="V526" s="79">
        <f>IF(Q526="Sin Factura",0,IFERROR(_xlfn.XLOOKUP(1, (Facturas_Odoo!$D:$D=A526) * (Facturas_Odoo!$K:$K=I526), Facturas_Odoo!$O:$O, 0), 0))</f>
        <v/>
      </c>
      <c r="W526" s="81">
        <f>IF(Q526="Sin Factura",0,IFERROR(_xlfn.XLOOKUP(1, (Facturas_Odoo!$D:$D=A526) * (Facturas_Odoo!$K:$K=I526), Facturas_Odoo!$Q:$Q, 0), 0))</f>
        <v/>
      </c>
      <c r="X526" s="79">
        <f>IF(OR(Q526="Sin Factura",Q526=""),"",IFERROR(INDEX(Pagos_Odoo!$B:$B, MATCH(Q526, Pagos_Odoo!$I:$I, 0)), "Sin Pago"))</f>
        <v/>
      </c>
      <c r="Y526" s="79">
        <f>IF(X526="Sin Pago","",IFERROR(INDEX(Pagos_Odoo!$C:$C, MATCH(X526, Pagos_Odoo!$B:$B, 0)), ""))</f>
        <v/>
      </c>
      <c r="Z526" s="80">
        <f>IF(X526="Sin Pago","",IFERROR(INDEX(Pagos_Odoo!$A:$A, MATCH(X526, Pagos_Odoo!$B:$B, 0)), ""))</f>
        <v/>
      </c>
      <c r="AA526" s="79">
        <f>IF(X526="Sin Pago","",IFERROR(INDEX(Pagos_Odoo!$F:$F, MATCH(X526, Pagos_Odoo!$B:$B, 0)), ""))</f>
        <v/>
      </c>
      <c r="AB526" s="81">
        <f>IF(X526="Sin Pago",0,IFERROR(INDEX(Pagos_Odoo!$E:$E, MATCH(X526, Pagos_Odoo!$B:$B, 0)), 0))</f>
        <v/>
      </c>
      <c r="AC526" s="79">
        <f>IF(X526="Sin Pago","",IFERROR(INDEX(Pagos_Odoo!$G:$G, MATCH(X526, Pagos_Odoo!$B:$B, 0)), ""))</f>
        <v/>
      </c>
      <c r="AD526" s="82" t="n">
        <v>0</v>
      </c>
      <c r="AE526" s="82" t="n"/>
      <c r="AF526" s="82" t="n"/>
      <c r="AG526" s="82">
        <f>IF(AN526="","",AD526+AE526+AF526)</f>
        <v/>
      </c>
      <c r="AH526" s="81">
        <f>IF(AN526="","",P526*(1-AG526))</f>
        <v/>
      </c>
      <c r="AI526" s="81">
        <f>IF(AN526="","",IF(Q526="Sin Factura",0,IFERROR(INDEX(Facturas_Odoo!$H:$H, MATCH(Q526, Facturas_Odoo!$B:$B, 0)), 0)*(1-AG526)))</f>
        <v/>
      </c>
      <c r="AJ526" s="81">
        <f>IF(AN526="","",_xlfn.LET(idVenta, AN526&amp;"",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26" s="81">
        <f>IF(AN526="","",AH526-AJ526)</f>
        <v/>
      </c>
      <c r="AL526" s="81">
        <f>IF(AN526="","",IF(Q526="Sin Factura","",AI526-AJ526))</f>
        <v/>
      </c>
      <c r="AM526" s="81">
        <f>IF(AN526="","",IF(Q526="Sin Factura",0,P526-IFERROR(INDEX(Facturas_Odoo!$H:$H, MATCH(Q526, Facturas_Odoo!$B:$B, 0)), 0)))</f>
        <v/>
      </c>
      <c r="AN526" s="79">
        <f>IF(AND(A526="", J526=""), "", IF(A526&lt;&gt;"", VALUE(MID(A526,2,LEN(A526))), AN525))</f>
        <v/>
      </c>
      <c r="AO526" s="79">
        <f>IF(AN526="","",IF(AD526=0,"OK",_xlfn.LET(monedaPago, IF(AA526="","USD",AA526), limitePermitido, IFERROR(VLOOKUP(monedaPago, Configuración!$A$2:$B$3, 2, FALSE), 0.15), IF(AD526&gt;limitePermitido, "ALERTA: EXCESO (" &amp; TEXT(limitePermitido, "0%") &amp; " máx)", "OK"))))</f>
        <v/>
      </c>
      <c r="AP526" s="79">
        <f>IF(AN526="","",IF(AE526=0,"OK",_xlfn.LET(fechaPago, Z526, fechaFactura, R526, diasCredito, IF(E526="Pago inmediato", 0, IFERROR(VALUE(MID(E526, 1, SEARCH(" ", E526)-1)),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26" s="79">
        <f>IF(AN526="","",IF(AND(N526&gt;0, AG526&gt;0), IF(Configuración!$K$2="NO", "ALERTA: DESCUENTO DOBLE NO PERMITIDO", "OK"), "OK"))</f>
        <v/>
      </c>
      <c r="AR526" s="79">
        <f>IF(AN526="","",IF(OR(AO526&lt;&gt;"OK", AP526&lt;&gt;"OK", AQ526&lt;&gt;"OK"), "⚠️ REVISAR", "OK"))</f>
        <v/>
      </c>
    </row>
    <row r="527">
      <c r="A527" s="79">
        <f>IF('Ordenes_Odoo'!A527="","",'Ordenes_Odoo'!A527)</f>
        <v/>
      </c>
      <c r="B527" s="80">
        <f>IF('Ordenes_Odoo'!B527="","",'Ordenes_Odoo'!B527)</f>
        <v/>
      </c>
      <c r="C527" s="79">
        <f>IF('Ordenes_Odoo'!C527="","",'Ordenes_Odoo'!C527)</f>
        <v/>
      </c>
      <c r="D527" s="79">
        <f>IF('Ordenes_Odoo'!D527="","",'Ordenes_Odoo'!D527)</f>
        <v/>
      </c>
      <c r="E527" s="79">
        <f>IF('Ordenes_Odoo'!E527="","",'Ordenes_Odoo'!E527)</f>
        <v/>
      </c>
      <c r="F527" s="79">
        <f>IF('Ordenes_Odoo'!F527="","",'Ordenes_Odoo'!F527)</f>
        <v/>
      </c>
      <c r="G527" s="79">
        <f>IF('Ordenes_Odoo'!G527="","",'Ordenes_Odoo'!G527)</f>
        <v/>
      </c>
      <c r="H527" s="79">
        <f>IF('Ordenes_Odoo'!H527="","",'Ordenes_Odoo'!H527)</f>
        <v/>
      </c>
      <c r="I527" s="79">
        <f>IF('Ordenes_Odoo'!I527="","",'Ordenes_Odoo'!I527)</f>
        <v/>
      </c>
      <c r="J527" s="79">
        <f>IF('Ordenes_Odoo'!J527="","",'Ordenes_Odoo'!J527)</f>
        <v/>
      </c>
      <c r="K527" s="81">
        <f>IF('Ordenes_Odoo'!K527="","",'Ordenes_Odoo'!K527)</f>
        <v/>
      </c>
      <c r="L527" s="81">
        <f>IF('Ordenes_Odoo'!L527="","",'Ordenes_Odoo'!L527)</f>
        <v/>
      </c>
      <c r="M527" s="79">
        <f>IF('Ordenes_Odoo'!M527="","",'Ordenes_Odoo'!M527)</f>
        <v/>
      </c>
      <c r="N527" s="79">
        <f>IF('Ordenes_Odoo'!N527="","",'Ordenes_Odoo'!N527)</f>
        <v/>
      </c>
      <c r="O527" s="81">
        <f>IF('Ordenes_Odoo'!O527="","",'Ordenes_Odoo'!O527)</f>
        <v/>
      </c>
      <c r="P527" s="81">
        <f>IF('Ordenes_Odoo'!P527="","",'Ordenes_Odoo'!P527)</f>
        <v/>
      </c>
      <c r="Q527" s="79">
        <f>IF(A527="","",IFERROR(INDEX(Facturas_Odoo!$B:$B, MATCH(A527, Facturas_Odoo!$D:$D, 0)), "Sin Factura"))</f>
        <v/>
      </c>
      <c r="R527" s="80">
        <f>IF(Q527="Sin Factura","",IFERROR(INDEX(Facturas_Odoo!$A:$A, MATCH(Q527, Facturas_Odoo!$B:$B, 0)), ""))</f>
        <v/>
      </c>
      <c r="S527" s="79">
        <f>IF(Q527="Sin Factura","",IFERROR(_xlfn.XLOOKUP(1, (Facturas_Odoo!$D:$D=A527) * (Facturas_Odoo!$K:$K=I527), Facturas_Odoo!$L:$L, ""), ""))</f>
        <v/>
      </c>
      <c r="T527" s="81">
        <f>IF(Q527="Sin Factura",0,IFERROR(_xlfn.XLOOKUP(1, (Facturas_Odoo!$D:$D=A527) * (Facturas_Odoo!$K:$K=I527), Facturas_Odoo!$M:$M, 0), 0))</f>
        <v/>
      </c>
      <c r="U527" s="79">
        <f>IF(Q527="Sin Factura",0,IFERROR(_xlfn.XLOOKUP(1, (Facturas_Odoo!$D:$D=A527) * (Facturas_Odoo!$K:$K=I527), Facturas_Odoo!$N:$N, 0), 0))</f>
        <v/>
      </c>
      <c r="V527" s="79">
        <f>IF(Q527="Sin Factura",0,IFERROR(_xlfn.XLOOKUP(1, (Facturas_Odoo!$D:$D=A527) * (Facturas_Odoo!$K:$K=I527), Facturas_Odoo!$O:$O, 0), 0))</f>
        <v/>
      </c>
      <c r="W527" s="81">
        <f>IF(Q527="Sin Factura",0,IFERROR(_xlfn.XLOOKUP(1, (Facturas_Odoo!$D:$D=A527) * (Facturas_Odoo!$K:$K=I527), Facturas_Odoo!$Q:$Q, 0), 0))</f>
        <v/>
      </c>
      <c r="X527" s="79">
        <f>IF(OR(Q527="Sin Factura",Q527=""),"",IFERROR(INDEX(Pagos_Odoo!$B:$B, MATCH(Q527, Pagos_Odoo!$I:$I, 0)), "Sin Pago"))</f>
        <v/>
      </c>
      <c r="Y527" s="79">
        <f>IF(X527="Sin Pago","",IFERROR(INDEX(Pagos_Odoo!$C:$C, MATCH(X527, Pagos_Odoo!$B:$B, 0)), ""))</f>
        <v/>
      </c>
      <c r="Z527" s="80">
        <f>IF(X527="Sin Pago","",IFERROR(INDEX(Pagos_Odoo!$A:$A, MATCH(X527, Pagos_Odoo!$B:$B, 0)), ""))</f>
        <v/>
      </c>
      <c r="AA527" s="79">
        <f>IF(X527="Sin Pago","",IFERROR(INDEX(Pagos_Odoo!$F:$F, MATCH(X527, Pagos_Odoo!$B:$B, 0)), ""))</f>
        <v/>
      </c>
      <c r="AB527" s="81">
        <f>IF(X527="Sin Pago",0,IFERROR(INDEX(Pagos_Odoo!$E:$E, MATCH(X527, Pagos_Odoo!$B:$B, 0)), 0))</f>
        <v/>
      </c>
      <c r="AC527" s="79">
        <f>IF(X527="Sin Pago","",IFERROR(INDEX(Pagos_Odoo!$G:$G, MATCH(X527, Pagos_Odoo!$B:$B, 0)), ""))</f>
        <v/>
      </c>
      <c r="AD527" s="82" t="n">
        <v>0</v>
      </c>
      <c r="AE527" s="82" t="n"/>
      <c r="AF527" s="82" t="n"/>
      <c r="AG527" s="82">
        <f>IF(AN527="","",AD527+AE527+AF527)</f>
        <v/>
      </c>
      <c r="AH527" s="81">
        <f>IF(AN527="","",P527*(1-AG527))</f>
        <v/>
      </c>
      <c r="AI527" s="81">
        <f>IF(AN527="","",IF(Q527="Sin Factura",0,IFERROR(INDEX(Facturas_Odoo!$H:$H, MATCH(Q527, Facturas_Odoo!$B:$B, 0)), 0)*(1-AG527)))</f>
        <v/>
      </c>
      <c r="AJ527" s="81">
        <f>IF(AN527="","",_xlfn.LET(idVenta, AN527&amp;"",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27" s="81">
        <f>IF(AN527="","",AH527-AJ527)</f>
        <v/>
      </c>
      <c r="AL527" s="81">
        <f>IF(AN527="","",IF(Q527="Sin Factura","",AI527-AJ527))</f>
        <v/>
      </c>
      <c r="AM527" s="81">
        <f>IF(AN527="","",IF(Q527="Sin Factura",0,P527-IFERROR(INDEX(Facturas_Odoo!$H:$H, MATCH(Q527, Facturas_Odoo!$B:$B, 0)), 0)))</f>
        <v/>
      </c>
      <c r="AN527" s="79">
        <f>IF(AND(A527="", J527=""), "", IF(A527&lt;&gt;"", VALUE(MID(A527,2,LEN(A527))), AN526))</f>
        <v/>
      </c>
      <c r="AO527" s="79">
        <f>IF(AN527="","",IF(AD527=0,"OK",_xlfn.LET(monedaPago, IF(AA527="","USD",AA527), limitePermitido, IFERROR(VLOOKUP(monedaPago, Configuración!$A$2:$B$3, 2, FALSE), 0.15), IF(AD527&gt;limitePermitido, "ALERTA: EXCESO (" &amp; TEXT(limitePermitido, "0%") &amp; " máx)", "OK"))))</f>
        <v/>
      </c>
      <c r="AP527" s="79">
        <f>IF(AN527="","",IF(AE527=0,"OK",_xlfn.LET(fechaPago, Z527, fechaFactura, R527, diasCredito, IF(E527="Pago inmediato", 0, IFERROR(VALUE(MID(E527, 1, SEARCH(" ", E527)-1)),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27" s="79">
        <f>IF(AN527="","",IF(AND(N527&gt;0, AG527&gt;0), IF(Configuración!$K$2="NO", "ALERTA: DESCUENTO DOBLE NO PERMITIDO", "OK"), "OK"))</f>
        <v/>
      </c>
      <c r="AR527" s="79">
        <f>IF(AN527="","",IF(OR(AO527&lt;&gt;"OK", AP527&lt;&gt;"OK", AQ527&lt;&gt;"OK"), "⚠️ REVISAR", "OK"))</f>
        <v/>
      </c>
    </row>
    <row r="528">
      <c r="A528" s="79">
        <f>IF('Ordenes_Odoo'!A528="","",'Ordenes_Odoo'!A528)</f>
        <v/>
      </c>
      <c r="B528" s="80">
        <f>IF('Ordenes_Odoo'!B528="","",'Ordenes_Odoo'!B528)</f>
        <v/>
      </c>
      <c r="C528" s="79">
        <f>IF('Ordenes_Odoo'!C528="","",'Ordenes_Odoo'!C528)</f>
        <v/>
      </c>
      <c r="D528" s="79">
        <f>IF('Ordenes_Odoo'!D528="","",'Ordenes_Odoo'!D528)</f>
        <v/>
      </c>
      <c r="E528" s="79">
        <f>IF('Ordenes_Odoo'!E528="","",'Ordenes_Odoo'!E528)</f>
        <v/>
      </c>
      <c r="F528" s="79">
        <f>IF('Ordenes_Odoo'!F528="","",'Ordenes_Odoo'!F528)</f>
        <v/>
      </c>
      <c r="G528" s="79">
        <f>IF('Ordenes_Odoo'!G528="","",'Ordenes_Odoo'!G528)</f>
        <v/>
      </c>
      <c r="H528" s="79">
        <f>IF('Ordenes_Odoo'!H528="","",'Ordenes_Odoo'!H528)</f>
        <v/>
      </c>
      <c r="I528" s="79">
        <f>IF('Ordenes_Odoo'!I528="","",'Ordenes_Odoo'!I528)</f>
        <v/>
      </c>
      <c r="J528" s="79">
        <f>IF('Ordenes_Odoo'!J528="","",'Ordenes_Odoo'!J528)</f>
        <v/>
      </c>
      <c r="K528" s="81">
        <f>IF('Ordenes_Odoo'!K528="","",'Ordenes_Odoo'!K528)</f>
        <v/>
      </c>
      <c r="L528" s="81">
        <f>IF('Ordenes_Odoo'!L528="","",'Ordenes_Odoo'!L528)</f>
        <v/>
      </c>
      <c r="M528" s="79">
        <f>IF('Ordenes_Odoo'!M528="","",'Ordenes_Odoo'!M528)</f>
        <v/>
      </c>
      <c r="N528" s="79">
        <f>IF('Ordenes_Odoo'!N528="","",'Ordenes_Odoo'!N528)</f>
        <v/>
      </c>
      <c r="O528" s="81">
        <f>IF('Ordenes_Odoo'!O528="","",'Ordenes_Odoo'!O528)</f>
        <v/>
      </c>
      <c r="P528" s="81">
        <f>IF('Ordenes_Odoo'!P528="","",'Ordenes_Odoo'!P528)</f>
        <v/>
      </c>
      <c r="Q528" s="79">
        <f>IF(A528="","",IFERROR(INDEX(Facturas_Odoo!$B:$B, MATCH(A528, Facturas_Odoo!$D:$D, 0)), "Sin Factura"))</f>
        <v/>
      </c>
      <c r="R528" s="80">
        <f>IF(Q528="Sin Factura","",IFERROR(INDEX(Facturas_Odoo!$A:$A, MATCH(Q528, Facturas_Odoo!$B:$B, 0)), ""))</f>
        <v/>
      </c>
      <c r="S528" s="79">
        <f>IF(Q528="Sin Factura","",IFERROR(_xlfn.XLOOKUP(1, (Facturas_Odoo!$D:$D=A528) * (Facturas_Odoo!$K:$K=I528), Facturas_Odoo!$L:$L, ""), ""))</f>
        <v/>
      </c>
      <c r="T528" s="81">
        <f>IF(Q528="Sin Factura",0,IFERROR(_xlfn.XLOOKUP(1, (Facturas_Odoo!$D:$D=A528) * (Facturas_Odoo!$K:$K=I528), Facturas_Odoo!$M:$M, 0), 0))</f>
        <v/>
      </c>
      <c r="U528" s="79">
        <f>IF(Q528="Sin Factura",0,IFERROR(_xlfn.XLOOKUP(1, (Facturas_Odoo!$D:$D=A528) * (Facturas_Odoo!$K:$K=I528), Facturas_Odoo!$N:$N, 0), 0))</f>
        <v/>
      </c>
      <c r="V528" s="79">
        <f>IF(Q528="Sin Factura",0,IFERROR(_xlfn.XLOOKUP(1, (Facturas_Odoo!$D:$D=A528) * (Facturas_Odoo!$K:$K=I528), Facturas_Odoo!$O:$O, 0), 0))</f>
        <v/>
      </c>
      <c r="W528" s="81">
        <f>IF(Q528="Sin Factura",0,IFERROR(_xlfn.XLOOKUP(1, (Facturas_Odoo!$D:$D=A528) * (Facturas_Odoo!$K:$K=I528), Facturas_Odoo!$Q:$Q, 0), 0))</f>
        <v/>
      </c>
      <c r="X528" s="79">
        <f>IF(OR(Q528="Sin Factura",Q528=""),"",IFERROR(INDEX(Pagos_Odoo!$B:$B, MATCH(Q528, Pagos_Odoo!$I:$I, 0)), "Sin Pago"))</f>
        <v/>
      </c>
      <c r="Y528" s="79">
        <f>IF(X528="Sin Pago","",IFERROR(INDEX(Pagos_Odoo!$C:$C, MATCH(X528, Pagos_Odoo!$B:$B, 0)), ""))</f>
        <v/>
      </c>
      <c r="Z528" s="80">
        <f>IF(X528="Sin Pago","",IFERROR(INDEX(Pagos_Odoo!$A:$A, MATCH(X528, Pagos_Odoo!$B:$B, 0)), ""))</f>
        <v/>
      </c>
      <c r="AA528" s="79">
        <f>IF(X528="Sin Pago","",IFERROR(INDEX(Pagos_Odoo!$F:$F, MATCH(X528, Pagos_Odoo!$B:$B, 0)), ""))</f>
        <v/>
      </c>
      <c r="AB528" s="81">
        <f>IF(X528="Sin Pago",0,IFERROR(INDEX(Pagos_Odoo!$E:$E, MATCH(X528, Pagos_Odoo!$B:$B, 0)), 0))</f>
        <v/>
      </c>
      <c r="AC528" s="79">
        <f>IF(X528="Sin Pago","",IFERROR(INDEX(Pagos_Odoo!$G:$G, MATCH(X528, Pagos_Odoo!$B:$B, 0)), ""))</f>
        <v/>
      </c>
      <c r="AD528" s="82" t="n">
        <v>0</v>
      </c>
      <c r="AE528" s="82" t="n"/>
      <c r="AF528" s="82" t="n"/>
      <c r="AG528" s="82">
        <f>IF(AN528="","",AD528+AE528+AF528)</f>
        <v/>
      </c>
      <c r="AH528" s="81">
        <f>IF(AN528="","",P528*(1-AG528))</f>
        <v/>
      </c>
      <c r="AI528" s="81">
        <f>IF(AN528="","",IF(Q528="Sin Factura",0,IFERROR(INDEX(Facturas_Odoo!$H:$H, MATCH(Q528, Facturas_Odoo!$B:$B, 0)), 0)*(1-AG528)))</f>
        <v/>
      </c>
      <c r="AJ528" s="81">
        <f>IF(AN528="","",_xlfn.LET(idVenta, AN528&amp;"",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28" s="81">
        <f>IF(AN528="","",AH528-AJ528)</f>
        <v/>
      </c>
      <c r="AL528" s="81">
        <f>IF(AN528="","",IF(Q528="Sin Factura","",AI528-AJ528))</f>
        <v/>
      </c>
      <c r="AM528" s="81">
        <f>IF(AN528="","",IF(Q528="Sin Factura",0,P528-IFERROR(INDEX(Facturas_Odoo!$H:$H, MATCH(Q528, Facturas_Odoo!$B:$B, 0)), 0)))</f>
        <v/>
      </c>
      <c r="AN528" s="79">
        <f>IF(AND(A528="", J528=""), "", IF(A528&lt;&gt;"", VALUE(MID(A528,2,LEN(A528))), AN527))</f>
        <v/>
      </c>
      <c r="AO528" s="79">
        <f>IF(AN528="","",IF(AD528=0,"OK",_xlfn.LET(monedaPago, IF(AA528="","USD",AA528), limitePermitido, IFERROR(VLOOKUP(monedaPago, Configuración!$A$2:$B$3, 2, FALSE), 0.15), IF(AD528&gt;limitePermitido, "ALERTA: EXCESO (" &amp; TEXT(limitePermitido, "0%") &amp; " máx)", "OK"))))</f>
        <v/>
      </c>
      <c r="AP528" s="79">
        <f>IF(AN528="","",IF(AE528=0,"OK",_xlfn.LET(fechaPago, Z528, fechaFactura, R528, diasCredito, IF(E528="Pago inmediato", 0, IFERROR(VALUE(MID(E528, 1, SEARCH(" ", E528)-1)),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28" s="79">
        <f>IF(AN528="","",IF(AND(N528&gt;0, AG528&gt;0), IF(Configuración!$K$2="NO", "ALERTA: DESCUENTO DOBLE NO PERMITIDO", "OK"), "OK"))</f>
        <v/>
      </c>
      <c r="AR528" s="79">
        <f>IF(AN528="","",IF(OR(AO528&lt;&gt;"OK", AP528&lt;&gt;"OK", AQ528&lt;&gt;"OK"), "⚠️ REVISAR", "OK"))</f>
        <v/>
      </c>
    </row>
    <row r="529">
      <c r="A529" s="79">
        <f>IF('Ordenes_Odoo'!A529="","",'Ordenes_Odoo'!A529)</f>
        <v/>
      </c>
      <c r="B529" s="80">
        <f>IF('Ordenes_Odoo'!B529="","",'Ordenes_Odoo'!B529)</f>
        <v/>
      </c>
      <c r="C529" s="79">
        <f>IF('Ordenes_Odoo'!C529="","",'Ordenes_Odoo'!C529)</f>
        <v/>
      </c>
      <c r="D529" s="79">
        <f>IF('Ordenes_Odoo'!D529="","",'Ordenes_Odoo'!D529)</f>
        <v/>
      </c>
      <c r="E529" s="79">
        <f>IF('Ordenes_Odoo'!E529="","",'Ordenes_Odoo'!E529)</f>
        <v/>
      </c>
      <c r="F529" s="79">
        <f>IF('Ordenes_Odoo'!F529="","",'Ordenes_Odoo'!F529)</f>
        <v/>
      </c>
      <c r="G529" s="79">
        <f>IF('Ordenes_Odoo'!G529="","",'Ordenes_Odoo'!G529)</f>
        <v/>
      </c>
      <c r="H529" s="79">
        <f>IF('Ordenes_Odoo'!H529="","",'Ordenes_Odoo'!H529)</f>
        <v/>
      </c>
      <c r="I529" s="79">
        <f>IF('Ordenes_Odoo'!I529="","",'Ordenes_Odoo'!I529)</f>
        <v/>
      </c>
      <c r="J529" s="79">
        <f>IF('Ordenes_Odoo'!J529="","",'Ordenes_Odoo'!J529)</f>
        <v/>
      </c>
      <c r="K529" s="81">
        <f>IF('Ordenes_Odoo'!K529="","",'Ordenes_Odoo'!K529)</f>
        <v/>
      </c>
      <c r="L529" s="81">
        <f>IF('Ordenes_Odoo'!L529="","",'Ordenes_Odoo'!L529)</f>
        <v/>
      </c>
      <c r="M529" s="79">
        <f>IF('Ordenes_Odoo'!M529="","",'Ordenes_Odoo'!M529)</f>
        <v/>
      </c>
      <c r="N529" s="79">
        <f>IF('Ordenes_Odoo'!N529="","",'Ordenes_Odoo'!N529)</f>
        <v/>
      </c>
      <c r="O529" s="81">
        <f>IF('Ordenes_Odoo'!O529="","",'Ordenes_Odoo'!O529)</f>
        <v/>
      </c>
      <c r="P529" s="81">
        <f>IF('Ordenes_Odoo'!P529="","",'Ordenes_Odoo'!P529)</f>
        <v/>
      </c>
      <c r="Q529" s="79">
        <f>IF(A529="","",IFERROR(INDEX(Facturas_Odoo!$B:$B, MATCH(A529, Facturas_Odoo!$D:$D, 0)), "Sin Factura"))</f>
        <v/>
      </c>
      <c r="R529" s="80">
        <f>IF(Q529="Sin Factura","",IFERROR(INDEX(Facturas_Odoo!$A:$A, MATCH(Q529, Facturas_Odoo!$B:$B, 0)), ""))</f>
        <v/>
      </c>
      <c r="S529" s="79">
        <f>IF(Q529="Sin Factura","",IFERROR(_xlfn.XLOOKUP(1, (Facturas_Odoo!$D:$D=A529) * (Facturas_Odoo!$K:$K=I529), Facturas_Odoo!$L:$L, ""), ""))</f>
        <v/>
      </c>
      <c r="T529" s="81">
        <f>IF(Q529="Sin Factura",0,IFERROR(_xlfn.XLOOKUP(1, (Facturas_Odoo!$D:$D=A529) * (Facturas_Odoo!$K:$K=I529), Facturas_Odoo!$M:$M, 0), 0))</f>
        <v/>
      </c>
      <c r="U529" s="79">
        <f>IF(Q529="Sin Factura",0,IFERROR(_xlfn.XLOOKUP(1, (Facturas_Odoo!$D:$D=A529) * (Facturas_Odoo!$K:$K=I529), Facturas_Odoo!$N:$N, 0), 0))</f>
        <v/>
      </c>
      <c r="V529" s="79">
        <f>IF(Q529="Sin Factura",0,IFERROR(_xlfn.XLOOKUP(1, (Facturas_Odoo!$D:$D=A529) * (Facturas_Odoo!$K:$K=I529), Facturas_Odoo!$O:$O, 0), 0))</f>
        <v/>
      </c>
      <c r="W529" s="81">
        <f>IF(Q529="Sin Factura",0,IFERROR(_xlfn.XLOOKUP(1, (Facturas_Odoo!$D:$D=A529) * (Facturas_Odoo!$K:$K=I529), Facturas_Odoo!$Q:$Q, 0), 0))</f>
        <v/>
      </c>
      <c r="X529" s="79">
        <f>IF(OR(Q529="Sin Factura",Q529=""),"",IFERROR(INDEX(Pagos_Odoo!$B:$B, MATCH(Q529, Pagos_Odoo!$I:$I, 0)), "Sin Pago"))</f>
        <v/>
      </c>
      <c r="Y529" s="79">
        <f>IF(X529="Sin Pago","",IFERROR(INDEX(Pagos_Odoo!$C:$C, MATCH(X529, Pagos_Odoo!$B:$B, 0)), ""))</f>
        <v/>
      </c>
      <c r="Z529" s="80">
        <f>IF(X529="Sin Pago","",IFERROR(INDEX(Pagos_Odoo!$A:$A, MATCH(X529, Pagos_Odoo!$B:$B, 0)), ""))</f>
        <v/>
      </c>
      <c r="AA529" s="79">
        <f>IF(X529="Sin Pago","",IFERROR(INDEX(Pagos_Odoo!$F:$F, MATCH(X529, Pagos_Odoo!$B:$B, 0)), ""))</f>
        <v/>
      </c>
      <c r="AB529" s="81">
        <f>IF(X529="Sin Pago",0,IFERROR(INDEX(Pagos_Odoo!$E:$E, MATCH(X529, Pagos_Odoo!$B:$B, 0)), 0))</f>
        <v/>
      </c>
      <c r="AC529" s="79">
        <f>IF(X529="Sin Pago","",IFERROR(INDEX(Pagos_Odoo!$G:$G, MATCH(X529, Pagos_Odoo!$B:$B, 0)), ""))</f>
        <v/>
      </c>
      <c r="AD529" s="82" t="n">
        <v>0</v>
      </c>
      <c r="AE529" s="82" t="n"/>
      <c r="AF529" s="82" t="n"/>
      <c r="AG529" s="82">
        <f>IF(AN529="","",AD529+AE529+AF529)</f>
        <v/>
      </c>
      <c r="AH529" s="81">
        <f>IF(AN529="","",P529*(1-AG529))</f>
        <v/>
      </c>
      <c r="AI529" s="81">
        <f>IF(AN529="","",IF(Q529="Sin Factura",0,IFERROR(INDEX(Facturas_Odoo!$H:$H, MATCH(Q529, Facturas_Odoo!$B:$B, 0)), 0)*(1-AG529)))</f>
        <v/>
      </c>
      <c r="AJ529" s="81">
        <f>IF(AN529="","",_xlfn.LET(idVenta, AN529&amp;"",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29" s="81">
        <f>IF(AN529="","",AH529-AJ529)</f>
        <v/>
      </c>
      <c r="AL529" s="81">
        <f>IF(AN529="","",IF(Q529="Sin Factura","",AI529-AJ529))</f>
        <v/>
      </c>
      <c r="AM529" s="81">
        <f>IF(AN529="","",IF(Q529="Sin Factura",0,P529-IFERROR(INDEX(Facturas_Odoo!$H:$H, MATCH(Q529, Facturas_Odoo!$B:$B, 0)), 0)))</f>
        <v/>
      </c>
      <c r="AN529" s="79">
        <f>IF(AND(A529="", J529=""), "", IF(A529&lt;&gt;"", VALUE(MID(A529,2,LEN(A529))), AN528))</f>
        <v/>
      </c>
      <c r="AO529" s="79">
        <f>IF(AN529="","",IF(AD529=0,"OK",_xlfn.LET(monedaPago, IF(AA529="","USD",AA529), limitePermitido, IFERROR(VLOOKUP(monedaPago, Configuración!$A$2:$B$3, 2, FALSE), 0.15), IF(AD529&gt;limitePermitido, "ALERTA: EXCESO (" &amp; TEXT(limitePermitido, "0%") &amp; " máx)", "OK"))))</f>
        <v/>
      </c>
      <c r="AP529" s="79">
        <f>IF(AN529="","",IF(AE529=0,"OK",_xlfn.LET(fechaPago, Z529, fechaFactura, R529, diasCredito, IF(E529="Pago inmediato", 0, IFERROR(VALUE(MID(E529, 1, SEARCH(" ", E529)-1)),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29" s="79">
        <f>IF(AN529="","",IF(AND(N529&gt;0, AG529&gt;0), IF(Configuración!$K$2="NO", "ALERTA: DESCUENTO DOBLE NO PERMITIDO", "OK"), "OK"))</f>
        <v/>
      </c>
      <c r="AR529" s="79">
        <f>IF(AN529="","",IF(OR(AO529&lt;&gt;"OK", AP529&lt;&gt;"OK", AQ529&lt;&gt;"OK"), "⚠️ REVISAR", "OK"))</f>
        <v/>
      </c>
    </row>
    <row r="530">
      <c r="A530" s="79">
        <f>IF('Ordenes_Odoo'!A530="","",'Ordenes_Odoo'!A530)</f>
        <v/>
      </c>
      <c r="B530" s="80">
        <f>IF('Ordenes_Odoo'!B530="","",'Ordenes_Odoo'!B530)</f>
        <v/>
      </c>
      <c r="C530" s="79">
        <f>IF('Ordenes_Odoo'!C530="","",'Ordenes_Odoo'!C530)</f>
        <v/>
      </c>
      <c r="D530" s="79">
        <f>IF('Ordenes_Odoo'!D530="","",'Ordenes_Odoo'!D530)</f>
        <v/>
      </c>
      <c r="E530" s="79">
        <f>IF('Ordenes_Odoo'!E530="","",'Ordenes_Odoo'!E530)</f>
        <v/>
      </c>
      <c r="F530" s="79">
        <f>IF('Ordenes_Odoo'!F530="","",'Ordenes_Odoo'!F530)</f>
        <v/>
      </c>
      <c r="G530" s="79">
        <f>IF('Ordenes_Odoo'!G530="","",'Ordenes_Odoo'!G530)</f>
        <v/>
      </c>
      <c r="H530" s="79">
        <f>IF('Ordenes_Odoo'!H530="","",'Ordenes_Odoo'!H530)</f>
        <v/>
      </c>
      <c r="I530" s="79">
        <f>IF('Ordenes_Odoo'!I530="","",'Ordenes_Odoo'!I530)</f>
        <v/>
      </c>
      <c r="J530" s="79">
        <f>IF('Ordenes_Odoo'!J530="","",'Ordenes_Odoo'!J530)</f>
        <v/>
      </c>
      <c r="K530" s="81">
        <f>IF('Ordenes_Odoo'!K530="","",'Ordenes_Odoo'!K530)</f>
        <v/>
      </c>
      <c r="L530" s="81">
        <f>IF('Ordenes_Odoo'!L530="","",'Ordenes_Odoo'!L530)</f>
        <v/>
      </c>
      <c r="M530" s="79">
        <f>IF('Ordenes_Odoo'!M530="","",'Ordenes_Odoo'!M530)</f>
        <v/>
      </c>
      <c r="N530" s="79">
        <f>IF('Ordenes_Odoo'!N530="","",'Ordenes_Odoo'!N530)</f>
        <v/>
      </c>
      <c r="O530" s="81">
        <f>IF('Ordenes_Odoo'!O530="","",'Ordenes_Odoo'!O530)</f>
        <v/>
      </c>
      <c r="P530" s="81">
        <f>IF('Ordenes_Odoo'!P530="","",'Ordenes_Odoo'!P530)</f>
        <v/>
      </c>
      <c r="Q530" s="79">
        <f>IF(A530="","",IFERROR(INDEX(Facturas_Odoo!$B:$B, MATCH(A530, Facturas_Odoo!$D:$D, 0)), "Sin Factura"))</f>
        <v/>
      </c>
      <c r="R530" s="80">
        <f>IF(Q530="Sin Factura","",IFERROR(INDEX(Facturas_Odoo!$A:$A, MATCH(Q530, Facturas_Odoo!$B:$B, 0)), ""))</f>
        <v/>
      </c>
      <c r="S530" s="79">
        <f>IF(Q530="Sin Factura","",IFERROR(_xlfn.XLOOKUP(1, (Facturas_Odoo!$D:$D=A530) * (Facturas_Odoo!$K:$K=I530), Facturas_Odoo!$L:$L, ""), ""))</f>
        <v/>
      </c>
      <c r="T530" s="81">
        <f>IF(Q530="Sin Factura",0,IFERROR(_xlfn.XLOOKUP(1, (Facturas_Odoo!$D:$D=A530) * (Facturas_Odoo!$K:$K=I530), Facturas_Odoo!$M:$M, 0), 0))</f>
        <v/>
      </c>
      <c r="U530" s="79">
        <f>IF(Q530="Sin Factura",0,IFERROR(_xlfn.XLOOKUP(1, (Facturas_Odoo!$D:$D=A530) * (Facturas_Odoo!$K:$K=I530), Facturas_Odoo!$N:$N, 0), 0))</f>
        <v/>
      </c>
      <c r="V530" s="79">
        <f>IF(Q530="Sin Factura",0,IFERROR(_xlfn.XLOOKUP(1, (Facturas_Odoo!$D:$D=A530) * (Facturas_Odoo!$K:$K=I530), Facturas_Odoo!$O:$O, 0), 0))</f>
        <v/>
      </c>
      <c r="W530" s="81">
        <f>IF(Q530="Sin Factura",0,IFERROR(_xlfn.XLOOKUP(1, (Facturas_Odoo!$D:$D=A530) * (Facturas_Odoo!$K:$K=I530), Facturas_Odoo!$Q:$Q, 0), 0))</f>
        <v/>
      </c>
      <c r="X530" s="79">
        <f>IF(OR(Q530="Sin Factura",Q530=""),"",IFERROR(INDEX(Pagos_Odoo!$B:$B, MATCH(Q530, Pagos_Odoo!$I:$I, 0)), "Sin Pago"))</f>
        <v/>
      </c>
      <c r="Y530" s="79">
        <f>IF(X530="Sin Pago","",IFERROR(INDEX(Pagos_Odoo!$C:$C, MATCH(X530, Pagos_Odoo!$B:$B, 0)), ""))</f>
        <v/>
      </c>
      <c r="Z530" s="80">
        <f>IF(X530="Sin Pago","",IFERROR(INDEX(Pagos_Odoo!$A:$A, MATCH(X530, Pagos_Odoo!$B:$B, 0)), ""))</f>
        <v/>
      </c>
      <c r="AA530" s="79">
        <f>IF(X530="Sin Pago","",IFERROR(INDEX(Pagos_Odoo!$F:$F, MATCH(X530, Pagos_Odoo!$B:$B, 0)), ""))</f>
        <v/>
      </c>
      <c r="AB530" s="81">
        <f>IF(X530="Sin Pago",0,IFERROR(INDEX(Pagos_Odoo!$E:$E, MATCH(X530, Pagos_Odoo!$B:$B, 0)), 0))</f>
        <v/>
      </c>
      <c r="AC530" s="79">
        <f>IF(X530="Sin Pago","",IFERROR(INDEX(Pagos_Odoo!$G:$G, MATCH(X530, Pagos_Odoo!$B:$B, 0)), ""))</f>
        <v/>
      </c>
      <c r="AD530" s="82" t="n">
        <v>0</v>
      </c>
      <c r="AE530" s="82" t="n"/>
      <c r="AF530" s="82" t="n"/>
      <c r="AG530" s="82">
        <f>IF(AN530="","",AD530+AE530+AF530)</f>
        <v/>
      </c>
      <c r="AH530" s="81">
        <f>IF(AN530="","",P530*(1-AG530))</f>
        <v/>
      </c>
      <c r="AI530" s="81">
        <f>IF(AN530="","",IF(Q530="Sin Factura",0,IFERROR(INDEX(Facturas_Odoo!$H:$H, MATCH(Q530, Facturas_Odoo!$B:$B, 0)), 0)*(1-AG530)))</f>
        <v/>
      </c>
      <c r="AJ530" s="81">
        <f>IF(AN530="","",_xlfn.LET(idVenta, AN530&amp;"",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30" s="81">
        <f>IF(AN530="","",AH530-AJ530)</f>
        <v/>
      </c>
      <c r="AL530" s="81">
        <f>IF(AN530="","",IF(Q530="Sin Factura","",AI530-AJ530))</f>
        <v/>
      </c>
      <c r="AM530" s="81">
        <f>IF(AN530="","",IF(Q530="Sin Factura",0,P530-IFERROR(INDEX(Facturas_Odoo!$H:$H, MATCH(Q530, Facturas_Odoo!$B:$B, 0)), 0)))</f>
        <v/>
      </c>
      <c r="AN530" s="79">
        <f>IF(AND(A530="", J530=""), "", IF(A530&lt;&gt;"", VALUE(MID(A530,2,LEN(A530))), AN529))</f>
        <v/>
      </c>
      <c r="AO530" s="79">
        <f>IF(AN530="","",IF(AD530=0,"OK",_xlfn.LET(monedaPago, IF(AA530="","USD",AA530), limitePermitido, IFERROR(VLOOKUP(monedaPago, Configuración!$A$2:$B$3, 2, FALSE), 0.15), IF(AD530&gt;limitePermitido, "ALERTA: EXCESO (" &amp; TEXT(limitePermitido, "0%") &amp; " máx)", "OK"))))</f>
        <v/>
      </c>
      <c r="AP530" s="79">
        <f>IF(AN530="","",IF(AE530=0,"OK",_xlfn.LET(fechaPago, Z530, fechaFactura, R530, diasCredito, IF(E530="Pago inmediato", 0, IFERROR(VALUE(MID(E530, 1, SEARCH(" ", E530)-1)),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30" s="79">
        <f>IF(AN530="","",IF(AND(N530&gt;0, AG530&gt;0), IF(Configuración!$K$2="NO", "ALERTA: DESCUENTO DOBLE NO PERMITIDO", "OK"), "OK"))</f>
        <v/>
      </c>
      <c r="AR530" s="79">
        <f>IF(AN530="","",IF(OR(AO530&lt;&gt;"OK", AP530&lt;&gt;"OK", AQ530&lt;&gt;"OK"), "⚠️ REVISAR", "OK"))</f>
        <v/>
      </c>
    </row>
    <row r="531">
      <c r="A531" s="79">
        <f>IF('Ordenes_Odoo'!A531="","",'Ordenes_Odoo'!A531)</f>
        <v/>
      </c>
      <c r="B531" s="80">
        <f>IF('Ordenes_Odoo'!B531="","",'Ordenes_Odoo'!B531)</f>
        <v/>
      </c>
      <c r="C531" s="79">
        <f>IF('Ordenes_Odoo'!C531="","",'Ordenes_Odoo'!C531)</f>
        <v/>
      </c>
      <c r="D531" s="79">
        <f>IF('Ordenes_Odoo'!D531="","",'Ordenes_Odoo'!D531)</f>
        <v/>
      </c>
      <c r="E531" s="79">
        <f>IF('Ordenes_Odoo'!E531="","",'Ordenes_Odoo'!E531)</f>
        <v/>
      </c>
      <c r="F531" s="79">
        <f>IF('Ordenes_Odoo'!F531="","",'Ordenes_Odoo'!F531)</f>
        <v/>
      </c>
      <c r="G531" s="79">
        <f>IF('Ordenes_Odoo'!G531="","",'Ordenes_Odoo'!G531)</f>
        <v/>
      </c>
      <c r="H531" s="79">
        <f>IF('Ordenes_Odoo'!H531="","",'Ordenes_Odoo'!H531)</f>
        <v/>
      </c>
      <c r="I531" s="79">
        <f>IF('Ordenes_Odoo'!I531="","",'Ordenes_Odoo'!I531)</f>
        <v/>
      </c>
      <c r="J531" s="79">
        <f>IF('Ordenes_Odoo'!J531="","",'Ordenes_Odoo'!J531)</f>
        <v/>
      </c>
      <c r="K531" s="81">
        <f>IF('Ordenes_Odoo'!K531="","",'Ordenes_Odoo'!K531)</f>
        <v/>
      </c>
      <c r="L531" s="81">
        <f>IF('Ordenes_Odoo'!L531="","",'Ordenes_Odoo'!L531)</f>
        <v/>
      </c>
      <c r="M531" s="79">
        <f>IF('Ordenes_Odoo'!M531="","",'Ordenes_Odoo'!M531)</f>
        <v/>
      </c>
      <c r="N531" s="79">
        <f>IF('Ordenes_Odoo'!N531="","",'Ordenes_Odoo'!N531)</f>
        <v/>
      </c>
      <c r="O531" s="81">
        <f>IF('Ordenes_Odoo'!O531="","",'Ordenes_Odoo'!O531)</f>
        <v/>
      </c>
      <c r="P531" s="81">
        <f>IF('Ordenes_Odoo'!P531="","",'Ordenes_Odoo'!P531)</f>
        <v/>
      </c>
      <c r="Q531" s="79">
        <f>IF(A531="","",IFERROR(INDEX(Facturas_Odoo!$B:$B, MATCH(A531, Facturas_Odoo!$D:$D, 0)), "Sin Factura"))</f>
        <v/>
      </c>
      <c r="R531" s="80">
        <f>IF(Q531="Sin Factura","",IFERROR(INDEX(Facturas_Odoo!$A:$A, MATCH(Q531, Facturas_Odoo!$B:$B, 0)), ""))</f>
        <v/>
      </c>
      <c r="S531" s="79">
        <f>IF(Q531="Sin Factura","",IFERROR(_xlfn.XLOOKUP(1, (Facturas_Odoo!$D:$D=A531) * (Facturas_Odoo!$K:$K=I531), Facturas_Odoo!$L:$L, ""), ""))</f>
        <v/>
      </c>
      <c r="T531" s="81">
        <f>IF(Q531="Sin Factura",0,IFERROR(_xlfn.XLOOKUP(1, (Facturas_Odoo!$D:$D=A531) * (Facturas_Odoo!$K:$K=I531), Facturas_Odoo!$M:$M, 0), 0))</f>
        <v/>
      </c>
      <c r="U531" s="79">
        <f>IF(Q531="Sin Factura",0,IFERROR(_xlfn.XLOOKUP(1, (Facturas_Odoo!$D:$D=A531) * (Facturas_Odoo!$K:$K=I531), Facturas_Odoo!$N:$N, 0), 0))</f>
        <v/>
      </c>
      <c r="V531" s="79">
        <f>IF(Q531="Sin Factura",0,IFERROR(_xlfn.XLOOKUP(1, (Facturas_Odoo!$D:$D=A531) * (Facturas_Odoo!$K:$K=I531), Facturas_Odoo!$O:$O, 0), 0))</f>
        <v/>
      </c>
      <c r="W531" s="81">
        <f>IF(Q531="Sin Factura",0,IFERROR(_xlfn.XLOOKUP(1, (Facturas_Odoo!$D:$D=A531) * (Facturas_Odoo!$K:$K=I531), Facturas_Odoo!$Q:$Q, 0), 0))</f>
        <v/>
      </c>
      <c r="X531" s="79">
        <f>IF(OR(Q531="Sin Factura",Q531=""),"",IFERROR(INDEX(Pagos_Odoo!$B:$B, MATCH(Q531, Pagos_Odoo!$I:$I, 0)), "Sin Pago"))</f>
        <v/>
      </c>
      <c r="Y531" s="79">
        <f>IF(X531="Sin Pago","",IFERROR(INDEX(Pagos_Odoo!$C:$C, MATCH(X531, Pagos_Odoo!$B:$B, 0)), ""))</f>
        <v/>
      </c>
      <c r="Z531" s="80">
        <f>IF(X531="Sin Pago","",IFERROR(INDEX(Pagos_Odoo!$A:$A, MATCH(X531, Pagos_Odoo!$B:$B, 0)), ""))</f>
        <v/>
      </c>
      <c r="AA531" s="79">
        <f>IF(X531="Sin Pago","",IFERROR(INDEX(Pagos_Odoo!$F:$F, MATCH(X531, Pagos_Odoo!$B:$B, 0)), ""))</f>
        <v/>
      </c>
      <c r="AB531" s="81">
        <f>IF(X531="Sin Pago",0,IFERROR(INDEX(Pagos_Odoo!$E:$E, MATCH(X531, Pagos_Odoo!$B:$B, 0)), 0))</f>
        <v/>
      </c>
      <c r="AC531" s="79">
        <f>IF(X531="Sin Pago","",IFERROR(INDEX(Pagos_Odoo!$G:$G, MATCH(X531, Pagos_Odoo!$B:$B, 0)), ""))</f>
        <v/>
      </c>
      <c r="AD531" s="82" t="n">
        <v>0</v>
      </c>
      <c r="AE531" s="82" t="n"/>
      <c r="AF531" s="82" t="n"/>
      <c r="AG531" s="82">
        <f>IF(AN531="","",AD531+AE531+AF531)</f>
        <v/>
      </c>
      <c r="AH531" s="81">
        <f>IF(AN531="","",P531*(1-AG531))</f>
        <v/>
      </c>
      <c r="AI531" s="81">
        <f>IF(AN531="","",IF(Q531="Sin Factura",0,IFERROR(INDEX(Facturas_Odoo!$H:$H, MATCH(Q531, Facturas_Odoo!$B:$B, 0)), 0)*(1-AG531)))</f>
        <v/>
      </c>
      <c r="AJ531" s="81">
        <f>IF(AN531="","",_xlfn.LET(idVenta, AN531&amp;"",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31" s="81">
        <f>IF(AN531="","",AH531-AJ531)</f>
        <v/>
      </c>
      <c r="AL531" s="81">
        <f>IF(AN531="","",IF(Q531="Sin Factura","",AI531-AJ531))</f>
        <v/>
      </c>
      <c r="AM531" s="81">
        <f>IF(AN531="","",IF(Q531="Sin Factura",0,P531-IFERROR(INDEX(Facturas_Odoo!$H:$H, MATCH(Q531, Facturas_Odoo!$B:$B, 0)), 0)))</f>
        <v/>
      </c>
      <c r="AN531" s="79">
        <f>IF(AND(A531="", J531=""), "", IF(A531&lt;&gt;"", VALUE(MID(A531,2,LEN(A531))), AN530))</f>
        <v/>
      </c>
      <c r="AO531" s="79">
        <f>IF(AN531="","",IF(AD531=0,"OK",_xlfn.LET(monedaPago, IF(AA531="","USD",AA531), limitePermitido, IFERROR(VLOOKUP(monedaPago, Configuración!$A$2:$B$3, 2, FALSE), 0.15), IF(AD531&gt;limitePermitido, "ALERTA: EXCESO (" &amp; TEXT(limitePermitido, "0%") &amp; " máx)", "OK"))))</f>
        <v/>
      </c>
      <c r="AP531" s="79">
        <f>IF(AN531="","",IF(AE531=0,"OK",_xlfn.LET(fechaPago, Z531, fechaFactura, R531, diasCredito, IF(E531="Pago inmediato", 0, IFERROR(VALUE(MID(E531, 1, SEARCH(" ", E531)-1)),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31" s="79">
        <f>IF(AN531="","",IF(AND(N531&gt;0, AG531&gt;0), IF(Configuración!$K$2="NO", "ALERTA: DESCUENTO DOBLE NO PERMITIDO", "OK"), "OK"))</f>
        <v/>
      </c>
      <c r="AR531" s="79">
        <f>IF(AN531="","",IF(OR(AO531&lt;&gt;"OK", AP531&lt;&gt;"OK", AQ531&lt;&gt;"OK"), "⚠️ REVISAR", "OK"))</f>
        <v/>
      </c>
    </row>
    <row r="532">
      <c r="A532" s="79">
        <f>IF('Ordenes_Odoo'!A532="","",'Ordenes_Odoo'!A532)</f>
        <v/>
      </c>
      <c r="B532" s="80">
        <f>IF('Ordenes_Odoo'!B532="","",'Ordenes_Odoo'!B532)</f>
        <v/>
      </c>
      <c r="C532" s="79">
        <f>IF('Ordenes_Odoo'!C532="","",'Ordenes_Odoo'!C532)</f>
        <v/>
      </c>
      <c r="D532" s="79">
        <f>IF('Ordenes_Odoo'!D532="","",'Ordenes_Odoo'!D532)</f>
        <v/>
      </c>
      <c r="E532" s="79">
        <f>IF('Ordenes_Odoo'!E532="","",'Ordenes_Odoo'!E532)</f>
        <v/>
      </c>
      <c r="F532" s="79">
        <f>IF('Ordenes_Odoo'!F532="","",'Ordenes_Odoo'!F532)</f>
        <v/>
      </c>
      <c r="G532" s="79">
        <f>IF('Ordenes_Odoo'!G532="","",'Ordenes_Odoo'!G532)</f>
        <v/>
      </c>
      <c r="H532" s="79">
        <f>IF('Ordenes_Odoo'!H532="","",'Ordenes_Odoo'!H532)</f>
        <v/>
      </c>
      <c r="I532" s="79">
        <f>IF('Ordenes_Odoo'!I532="","",'Ordenes_Odoo'!I532)</f>
        <v/>
      </c>
      <c r="J532" s="79">
        <f>IF('Ordenes_Odoo'!J532="","",'Ordenes_Odoo'!J532)</f>
        <v/>
      </c>
      <c r="K532" s="81">
        <f>IF('Ordenes_Odoo'!K532="","",'Ordenes_Odoo'!K532)</f>
        <v/>
      </c>
      <c r="L532" s="81">
        <f>IF('Ordenes_Odoo'!L532="","",'Ordenes_Odoo'!L532)</f>
        <v/>
      </c>
      <c r="M532" s="79">
        <f>IF('Ordenes_Odoo'!M532="","",'Ordenes_Odoo'!M532)</f>
        <v/>
      </c>
      <c r="N532" s="79">
        <f>IF('Ordenes_Odoo'!N532="","",'Ordenes_Odoo'!N532)</f>
        <v/>
      </c>
      <c r="O532" s="81">
        <f>IF('Ordenes_Odoo'!O532="","",'Ordenes_Odoo'!O532)</f>
        <v/>
      </c>
      <c r="P532" s="81">
        <f>IF('Ordenes_Odoo'!P532="","",'Ordenes_Odoo'!P532)</f>
        <v/>
      </c>
      <c r="Q532" s="79">
        <f>IF(A532="","",IFERROR(INDEX(Facturas_Odoo!$B:$B, MATCH(A532, Facturas_Odoo!$D:$D, 0)), "Sin Factura"))</f>
        <v/>
      </c>
      <c r="R532" s="80">
        <f>IF(Q532="Sin Factura","",IFERROR(INDEX(Facturas_Odoo!$A:$A, MATCH(Q532, Facturas_Odoo!$B:$B, 0)), ""))</f>
        <v/>
      </c>
      <c r="S532" s="79">
        <f>IF(Q532="Sin Factura","",IFERROR(_xlfn.XLOOKUP(1, (Facturas_Odoo!$D:$D=A532) * (Facturas_Odoo!$K:$K=I532), Facturas_Odoo!$L:$L, ""), ""))</f>
        <v/>
      </c>
      <c r="T532" s="81">
        <f>IF(Q532="Sin Factura",0,IFERROR(_xlfn.XLOOKUP(1, (Facturas_Odoo!$D:$D=A532) * (Facturas_Odoo!$K:$K=I532), Facturas_Odoo!$M:$M, 0), 0))</f>
        <v/>
      </c>
      <c r="U532" s="79">
        <f>IF(Q532="Sin Factura",0,IFERROR(_xlfn.XLOOKUP(1, (Facturas_Odoo!$D:$D=A532) * (Facturas_Odoo!$K:$K=I532), Facturas_Odoo!$N:$N, 0), 0))</f>
        <v/>
      </c>
      <c r="V532" s="79">
        <f>IF(Q532="Sin Factura",0,IFERROR(_xlfn.XLOOKUP(1, (Facturas_Odoo!$D:$D=A532) * (Facturas_Odoo!$K:$K=I532), Facturas_Odoo!$O:$O, 0), 0))</f>
        <v/>
      </c>
      <c r="W532" s="81">
        <f>IF(Q532="Sin Factura",0,IFERROR(_xlfn.XLOOKUP(1, (Facturas_Odoo!$D:$D=A532) * (Facturas_Odoo!$K:$K=I532), Facturas_Odoo!$Q:$Q, 0), 0))</f>
        <v/>
      </c>
      <c r="X532" s="79">
        <f>IF(OR(Q532="Sin Factura",Q532=""),"",IFERROR(INDEX(Pagos_Odoo!$B:$B, MATCH(Q532, Pagos_Odoo!$I:$I, 0)), "Sin Pago"))</f>
        <v/>
      </c>
      <c r="Y532" s="79">
        <f>IF(X532="Sin Pago","",IFERROR(INDEX(Pagos_Odoo!$C:$C, MATCH(X532, Pagos_Odoo!$B:$B, 0)), ""))</f>
        <v/>
      </c>
      <c r="Z532" s="80">
        <f>IF(X532="Sin Pago","",IFERROR(INDEX(Pagos_Odoo!$A:$A, MATCH(X532, Pagos_Odoo!$B:$B, 0)), ""))</f>
        <v/>
      </c>
      <c r="AA532" s="79">
        <f>IF(X532="Sin Pago","",IFERROR(INDEX(Pagos_Odoo!$F:$F, MATCH(X532, Pagos_Odoo!$B:$B, 0)), ""))</f>
        <v/>
      </c>
      <c r="AB532" s="81">
        <f>IF(X532="Sin Pago",0,IFERROR(INDEX(Pagos_Odoo!$E:$E, MATCH(X532, Pagos_Odoo!$B:$B, 0)), 0))</f>
        <v/>
      </c>
      <c r="AC532" s="79">
        <f>IF(X532="Sin Pago","",IFERROR(INDEX(Pagos_Odoo!$G:$G, MATCH(X532, Pagos_Odoo!$B:$B, 0)), ""))</f>
        <v/>
      </c>
      <c r="AD532" s="82" t="n">
        <v>0</v>
      </c>
      <c r="AE532" s="82" t="n"/>
      <c r="AF532" s="82" t="n"/>
      <c r="AG532" s="82">
        <f>IF(AN532="","",AD532+AE532+AF532)</f>
        <v/>
      </c>
      <c r="AH532" s="81">
        <f>IF(AN532="","",P532*(1-AG532))</f>
        <v/>
      </c>
      <c r="AI532" s="81">
        <f>IF(AN532="","",IF(Q532="Sin Factura",0,IFERROR(INDEX(Facturas_Odoo!$H:$H, MATCH(Q532, Facturas_Odoo!$B:$B, 0)), 0)*(1-AG532)))</f>
        <v/>
      </c>
      <c r="AJ532" s="81">
        <f>IF(AN532="","",_xlfn.LET(idVenta, AN532&amp;"",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32" s="81">
        <f>IF(AN532="","",AH532-AJ532)</f>
        <v/>
      </c>
      <c r="AL532" s="81">
        <f>IF(AN532="","",IF(Q532="Sin Factura","",AI532-AJ532))</f>
        <v/>
      </c>
      <c r="AM532" s="81">
        <f>IF(AN532="","",IF(Q532="Sin Factura",0,P532-IFERROR(INDEX(Facturas_Odoo!$H:$H, MATCH(Q532, Facturas_Odoo!$B:$B, 0)), 0)))</f>
        <v/>
      </c>
      <c r="AN532" s="79">
        <f>IF(AND(A532="", J532=""), "", IF(A532&lt;&gt;"", VALUE(MID(A532,2,LEN(A532))), AN531))</f>
        <v/>
      </c>
      <c r="AO532" s="79">
        <f>IF(AN532="","",IF(AD532=0,"OK",_xlfn.LET(monedaPago, IF(AA532="","USD",AA532), limitePermitido, IFERROR(VLOOKUP(monedaPago, Configuración!$A$2:$B$3, 2, FALSE), 0.15), IF(AD532&gt;limitePermitido, "ALERTA: EXCESO (" &amp; TEXT(limitePermitido, "0%") &amp; " máx)", "OK"))))</f>
        <v/>
      </c>
      <c r="AP532" s="79">
        <f>IF(AN532="","",IF(AE532=0,"OK",_xlfn.LET(fechaPago, Z532, fechaFactura, R532, diasCredito, IF(E532="Pago inmediato", 0, IFERROR(VALUE(MID(E532, 1, SEARCH(" ", E532)-1)),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32" s="79">
        <f>IF(AN532="","",IF(AND(N532&gt;0, AG532&gt;0), IF(Configuración!$K$2="NO", "ALERTA: DESCUENTO DOBLE NO PERMITIDO", "OK"), "OK"))</f>
        <v/>
      </c>
      <c r="AR532" s="79">
        <f>IF(AN532="","",IF(OR(AO532&lt;&gt;"OK", AP532&lt;&gt;"OK", AQ532&lt;&gt;"OK"), "⚠️ REVISAR", "OK"))</f>
        <v/>
      </c>
    </row>
    <row r="533">
      <c r="A533" s="79">
        <f>IF('Ordenes_Odoo'!A533="","",'Ordenes_Odoo'!A533)</f>
        <v/>
      </c>
      <c r="B533" s="80">
        <f>IF('Ordenes_Odoo'!B533="","",'Ordenes_Odoo'!B533)</f>
        <v/>
      </c>
      <c r="C533" s="79">
        <f>IF('Ordenes_Odoo'!C533="","",'Ordenes_Odoo'!C533)</f>
        <v/>
      </c>
      <c r="D533" s="79">
        <f>IF('Ordenes_Odoo'!D533="","",'Ordenes_Odoo'!D533)</f>
        <v/>
      </c>
      <c r="E533" s="79">
        <f>IF('Ordenes_Odoo'!E533="","",'Ordenes_Odoo'!E533)</f>
        <v/>
      </c>
      <c r="F533" s="79">
        <f>IF('Ordenes_Odoo'!F533="","",'Ordenes_Odoo'!F533)</f>
        <v/>
      </c>
      <c r="G533" s="79">
        <f>IF('Ordenes_Odoo'!G533="","",'Ordenes_Odoo'!G533)</f>
        <v/>
      </c>
      <c r="H533" s="79">
        <f>IF('Ordenes_Odoo'!H533="","",'Ordenes_Odoo'!H533)</f>
        <v/>
      </c>
      <c r="I533" s="79">
        <f>IF('Ordenes_Odoo'!I533="","",'Ordenes_Odoo'!I533)</f>
        <v/>
      </c>
      <c r="J533" s="79">
        <f>IF('Ordenes_Odoo'!J533="","",'Ordenes_Odoo'!J533)</f>
        <v/>
      </c>
      <c r="K533" s="81">
        <f>IF('Ordenes_Odoo'!K533="","",'Ordenes_Odoo'!K533)</f>
        <v/>
      </c>
      <c r="L533" s="81">
        <f>IF('Ordenes_Odoo'!L533="","",'Ordenes_Odoo'!L533)</f>
        <v/>
      </c>
      <c r="M533" s="79">
        <f>IF('Ordenes_Odoo'!M533="","",'Ordenes_Odoo'!M533)</f>
        <v/>
      </c>
      <c r="N533" s="79">
        <f>IF('Ordenes_Odoo'!N533="","",'Ordenes_Odoo'!N533)</f>
        <v/>
      </c>
      <c r="O533" s="81">
        <f>IF('Ordenes_Odoo'!O533="","",'Ordenes_Odoo'!O533)</f>
        <v/>
      </c>
      <c r="P533" s="81">
        <f>IF('Ordenes_Odoo'!P533="","",'Ordenes_Odoo'!P533)</f>
        <v/>
      </c>
      <c r="Q533" s="79">
        <f>IF(A533="","",IFERROR(INDEX(Facturas_Odoo!$B:$B, MATCH(A533, Facturas_Odoo!$D:$D, 0)), "Sin Factura"))</f>
        <v/>
      </c>
      <c r="R533" s="80">
        <f>IF(Q533="Sin Factura","",IFERROR(INDEX(Facturas_Odoo!$A:$A, MATCH(Q533, Facturas_Odoo!$B:$B, 0)), ""))</f>
        <v/>
      </c>
      <c r="S533" s="79">
        <f>IF(Q533="Sin Factura","",IFERROR(_xlfn.XLOOKUP(1, (Facturas_Odoo!$D:$D=A533) * (Facturas_Odoo!$K:$K=I533), Facturas_Odoo!$L:$L, ""), ""))</f>
        <v/>
      </c>
      <c r="T533" s="81">
        <f>IF(Q533="Sin Factura",0,IFERROR(_xlfn.XLOOKUP(1, (Facturas_Odoo!$D:$D=A533) * (Facturas_Odoo!$K:$K=I533), Facturas_Odoo!$M:$M, 0), 0))</f>
        <v/>
      </c>
      <c r="U533" s="79">
        <f>IF(Q533="Sin Factura",0,IFERROR(_xlfn.XLOOKUP(1, (Facturas_Odoo!$D:$D=A533) * (Facturas_Odoo!$K:$K=I533), Facturas_Odoo!$N:$N, 0), 0))</f>
        <v/>
      </c>
      <c r="V533" s="79">
        <f>IF(Q533="Sin Factura",0,IFERROR(_xlfn.XLOOKUP(1, (Facturas_Odoo!$D:$D=A533) * (Facturas_Odoo!$K:$K=I533), Facturas_Odoo!$O:$O, 0), 0))</f>
        <v/>
      </c>
      <c r="W533" s="81">
        <f>IF(Q533="Sin Factura",0,IFERROR(_xlfn.XLOOKUP(1, (Facturas_Odoo!$D:$D=A533) * (Facturas_Odoo!$K:$K=I533), Facturas_Odoo!$Q:$Q, 0), 0))</f>
        <v/>
      </c>
      <c r="X533" s="79">
        <f>IF(OR(Q533="Sin Factura",Q533=""),"",IFERROR(INDEX(Pagos_Odoo!$B:$B, MATCH(Q533, Pagos_Odoo!$I:$I, 0)), "Sin Pago"))</f>
        <v/>
      </c>
      <c r="Y533" s="79">
        <f>IF(X533="Sin Pago","",IFERROR(INDEX(Pagos_Odoo!$C:$C, MATCH(X533, Pagos_Odoo!$B:$B, 0)), ""))</f>
        <v/>
      </c>
      <c r="Z533" s="80">
        <f>IF(X533="Sin Pago","",IFERROR(INDEX(Pagos_Odoo!$A:$A, MATCH(X533, Pagos_Odoo!$B:$B, 0)), ""))</f>
        <v/>
      </c>
      <c r="AA533" s="79">
        <f>IF(X533="Sin Pago","",IFERROR(INDEX(Pagos_Odoo!$F:$F, MATCH(X533, Pagos_Odoo!$B:$B, 0)), ""))</f>
        <v/>
      </c>
      <c r="AB533" s="81">
        <f>IF(X533="Sin Pago",0,IFERROR(INDEX(Pagos_Odoo!$E:$E, MATCH(X533, Pagos_Odoo!$B:$B, 0)), 0))</f>
        <v/>
      </c>
      <c r="AC533" s="79">
        <f>IF(X533="Sin Pago","",IFERROR(INDEX(Pagos_Odoo!$G:$G, MATCH(X533, Pagos_Odoo!$B:$B, 0)), ""))</f>
        <v/>
      </c>
      <c r="AD533" s="82" t="n">
        <v>0</v>
      </c>
      <c r="AE533" s="82" t="n"/>
      <c r="AF533" s="82" t="n"/>
      <c r="AG533" s="82">
        <f>IF(AN533="","",AD533+AE533+AF533)</f>
        <v/>
      </c>
      <c r="AH533" s="81">
        <f>IF(AN533="","",P533*(1-AG533))</f>
        <v/>
      </c>
      <c r="AI533" s="81">
        <f>IF(AN533="","",IF(Q533="Sin Factura",0,IFERROR(INDEX(Facturas_Odoo!$H:$H, MATCH(Q533, Facturas_Odoo!$B:$B, 0)), 0)*(1-AG533)))</f>
        <v/>
      </c>
      <c r="AJ533" s="81">
        <f>IF(AN533="","",_xlfn.LET(idVenta, AN533&amp;"",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33" s="81">
        <f>IF(AN533="","",AH533-AJ533)</f>
        <v/>
      </c>
      <c r="AL533" s="81">
        <f>IF(AN533="","",IF(Q533="Sin Factura","",AI533-AJ533))</f>
        <v/>
      </c>
      <c r="AM533" s="81">
        <f>IF(AN533="","",IF(Q533="Sin Factura",0,P533-IFERROR(INDEX(Facturas_Odoo!$H:$H, MATCH(Q533, Facturas_Odoo!$B:$B, 0)), 0)))</f>
        <v/>
      </c>
      <c r="AN533" s="79">
        <f>IF(AND(A533="", J533=""), "", IF(A533&lt;&gt;"", VALUE(MID(A533,2,LEN(A533))), AN532))</f>
        <v/>
      </c>
      <c r="AO533" s="79">
        <f>IF(AN533="","",IF(AD533=0,"OK",_xlfn.LET(monedaPago, IF(AA533="","USD",AA533), limitePermitido, IFERROR(VLOOKUP(monedaPago, Configuración!$A$2:$B$3, 2, FALSE), 0.15), IF(AD533&gt;limitePermitido, "ALERTA: EXCESO (" &amp; TEXT(limitePermitido, "0%") &amp; " máx)", "OK"))))</f>
        <v/>
      </c>
      <c r="AP533" s="79">
        <f>IF(AN533="","",IF(AE533=0,"OK",_xlfn.LET(fechaPago, Z533, fechaFactura, R533, diasCredito, IF(E533="Pago inmediato", 0, IFERROR(VALUE(MID(E533, 1, SEARCH(" ", E533)-1)),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33" s="79">
        <f>IF(AN533="","",IF(AND(N533&gt;0, AG533&gt;0), IF(Configuración!$K$2="NO", "ALERTA: DESCUENTO DOBLE NO PERMITIDO", "OK"), "OK"))</f>
        <v/>
      </c>
      <c r="AR533" s="79">
        <f>IF(AN533="","",IF(OR(AO533&lt;&gt;"OK", AP533&lt;&gt;"OK", AQ533&lt;&gt;"OK"), "⚠️ REVISAR", "OK"))</f>
        <v/>
      </c>
    </row>
    <row r="534">
      <c r="A534" s="79">
        <f>IF('Ordenes_Odoo'!A534="","",'Ordenes_Odoo'!A534)</f>
        <v/>
      </c>
      <c r="B534" s="80">
        <f>IF('Ordenes_Odoo'!B534="","",'Ordenes_Odoo'!B534)</f>
        <v/>
      </c>
      <c r="C534" s="79">
        <f>IF('Ordenes_Odoo'!C534="","",'Ordenes_Odoo'!C534)</f>
        <v/>
      </c>
      <c r="D534" s="79">
        <f>IF('Ordenes_Odoo'!D534="","",'Ordenes_Odoo'!D534)</f>
        <v/>
      </c>
      <c r="E534" s="79">
        <f>IF('Ordenes_Odoo'!E534="","",'Ordenes_Odoo'!E534)</f>
        <v/>
      </c>
      <c r="F534" s="79">
        <f>IF('Ordenes_Odoo'!F534="","",'Ordenes_Odoo'!F534)</f>
        <v/>
      </c>
      <c r="G534" s="79">
        <f>IF('Ordenes_Odoo'!G534="","",'Ordenes_Odoo'!G534)</f>
        <v/>
      </c>
      <c r="H534" s="79">
        <f>IF('Ordenes_Odoo'!H534="","",'Ordenes_Odoo'!H534)</f>
        <v/>
      </c>
      <c r="I534" s="79">
        <f>IF('Ordenes_Odoo'!I534="","",'Ordenes_Odoo'!I534)</f>
        <v/>
      </c>
      <c r="J534" s="79">
        <f>IF('Ordenes_Odoo'!J534="","",'Ordenes_Odoo'!J534)</f>
        <v/>
      </c>
      <c r="K534" s="81">
        <f>IF('Ordenes_Odoo'!K534="","",'Ordenes_Odoo'!K534)</f>
        <v/>
      </c>
      <c r="L534" s="81">
        <f>IF('Ordenes_Odoo'!L534="","",'Ordenes_Odoo'!L534)</f>
        <v/>
      </c>
      <c r="M534" s="79">
        <f>IF('Ordenes_Odoo'!M534="","",'Ordenes_Odoo'!M534)</f>
        <v/>
      </c>
      <c r="N534" s="79">
        <f>IF('Ordenes_Odoo'!N534="","",'Ordenes_Odoo'!N534)</f>
        <v/>
      </c>
      <c r="O534" s="81">
        <f>IF('Ordenes_Odoo'!O534="","",'Ordenes_Odoo'!O534)</f>
        <v/>
      </c>
      <c r="P534" s="81">
        <f>IF('Ordenes_Odoo'!P534="","",'Ordenes_Odoo'!P534)</f>
        <v/>
      </c>
      <c r="Q534" s="79">
        <f>IF(A534="","",IFERROR(INDEX(Facturas_Odoo!$B:$B, MATCH(A534, Facturas_Odoo!$D:$D, 0)), "Sin Factura"))</f>
        <v/>
      </c>
      <c r="R534" s="80">
        <f>IF(Q534="Sin Factura","",IFERROR(INDEX(Facturas_Odoo!$A:$A, MATCH(Q534, Facturas_Odoo!$B:$B, 0)), ""))</f>
        <v/>
      </c>
      <c r="S534" s="79">
        <f>IF(Q534="Sin Factura","",IFERROR(_xlfn.XLOOKUP(1, (Facturas_Odoo!$D:$D=A534) * (Facturas_Odoo!$K:$K=I534), Facturas_Odoo!$L:$L, ""), ""))</f>
        <v/>
      </c>
      <c r="T534" s="81">
        <f>IF(Q534="Sin Factura",0,IFERROR(_xlfn.XLOOKUP(1, (Facturas_Odoo!$D:$D=A534) * (Facturas_Odoo!$K:$K=I534), Facturas_Odoo!$M:$M, 0), 0))</f>
        <v/>
      </c>
      <c r="U534" s="79">
        <f>IF(Q534="Sin Factura",0,IFERROR(_xlfn.XLOOKUP(1, (Facturas_Odoo!$D:$D=A534) * (Facturas_Odoo!$K:$K=I534), Facturas_Odoo!$N:$N, 0), 0))</f>
        <v/>
      </c>
      <c r="V534" s="79">
        <f>IF(Q534="Sin Factura",0,IFERROR(_xlfn.XLOOKUP(1, (Facturas_Odoo!$D:$D=A534) * (Facturas_Odoo!$K:$K=I534), Facturas_Odoo!$O:$O, 0), 0))</f>
        <v/>
      </c>
      <c r="W534" s="81">
        <f>IF(Q534="Sin Factura",0,IFERROR(_xlfn.XLOOKUP(1, (Facturas_Odoo!$D:$D=A534) * (Facturas_Odoo!$K:$K=I534), Facturas_Odoo!$Q:$Q, 0), 0))</f>
        <v/>
      </c>
      <c r="X534" s="79">
        <f>IF(OR(Q534="Sin Factura",Q534=""),"",IFERROR(INDEX(Pagos_Odoo!$B:$B, MATCH(Q534, Pagos_Odoo!$I:$I, 0)), "Sin Pago"))</f>
        <v/>
      </c>
      <c r="Y534" s="79">
        <f>IF(X534="Sin Pago","",IFERROR(INDEX(Pagos_Odoo!$C:$C, MATCH(X534, Pagos_Odoo!$B:$B, 0)), ""))</f>
        <v/>
      </c>
      <c r="Z534" s="80">
        <f>IF(X534="Sin Pago","",IFERROR(INDEX(Pagos_Odoo!$A:$A, MATCH(X534, Pagos_Odoo!$B:$B, 0)), ""))</f>
        <v/>
      </c>
      <c r="AA534" s="79">
        <f>IF(X534="Sin Pago","",IFERROR(INDEX(Pagos_Odoo!$F:$F, MATCH(X534, Pagos_Odoo!$B:$B, 0)), ""))</f>
        <v/>
      </c>
      <c r="AB534" s="81">
        <f>IF(X534="Sin Pago",0,IFERROR(INDEX(Pagos_Odoo!$E:$E, MATCH(X534, Pagos_Odoo!$B:$B, 0)), 0))</f>
        <v/>
      </c>
      <c r="AC534" s="79">
        <f>IF(X534="Sin Pago","",IFERROR(INDEX(Pagos_Odoo!$G:$G, MATCH(X534, Pagos_Odoo!$B:$B, 0)), ""))</f>
        <v/>
      </c>
      <c r="AD534" s="82" t="n">
        <v>0</v>
      </c>
      <c r="AE534" s="82" t="n"/>
      <c r="AF534" s="82" t="n"/>
      <c r="AG534" s="82">
        <f>IF(AN534="","",AD534+AE534+AF534)</f>
        <v/>
      </c>
      <c r="AH534" s="81">
        <f>IF(AN534="","",P534*(1-AG534))</f>
        <v/>
      </c>
      <c r="AI534" s="81">
        <f>IF(AN534="","",IF(Q534="Sin Factura",0,IFERROR(INDEX(Facturas_Odoo!$H:$H, MATCH(Q534, Facturas_Odoo!$B:$B, 0)), 0)*(1-AG534)))</f>
        <v/>
      </c>
      <c r="AJ534" s="81">
        <f>IF(AN534="","",_xlfn.LET(idVenta, AN534&amp;"",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34" s="81">
        <f>IF(AN534="","",AH534-AJ534)</f>
        <v/>
      </c>
      <c r="AL534" s="81">
        <f>IF(AN534="","",IF(Q534="Sin Factura","",AI534-AJ534))</f>
        <v/>
      </c>
      <c r="AM534" s="81">
        <f>IF(AN534="","",IF(Q534="Sin Factura",0,P534-IFERROR(INDEX(Facturas_Odoo!$H:$H, MATCH(Q534, Facturas_Odoo!$B:$B, 0)), 0)))</f>
        <v/>
      </c>
      <c r="AN534" s="79">
        <f>IF(AND(A534="", J534=""), "", IF(A534&lt;&gt;"", VALUE(MID(A534,2,LEN(A534))), AN533))</f>
        <v/>
      </c>
      <c r="AO534" s="79">
        <f>IF(AN534="","",IF(AD534=0,"OK",_xlfn.LET(monedaPago, IF(AA534="","USD",AA534), limitePermitido, IFERROR(VLOOKUP(monedaPago, Configuración!$A$2:$B$3, 2, FALSE), 0.15), IF(AD534&gt;limitePermitido, "ALERTA: EXCESO (" &amp; TEXT(limitePermitido, "0%") &amp; " máx)", "OK"))))</f>
        <v/>
      </c>
      <c r="AP534" s="79">
        <f>IF(AN534="","",IF(AE534=0,"OK",_xlfn.LET(fechaPago, Z534, fechaFactura, R534, diasCredito, IF(E534="Pago inmediato", 0, IFERROR(VALUE(MID(E534, 1, SEARCH(" ", E534)-1)),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34" s="79">
        <f>IF(AN534="","",IF(AND(N534&gt;0, AG534&gt;0), IF(Configuración!$K$2="NO", "ALERTA: DESCUENTO DOBLE NO PERMITIDO", "OK"), "OK"))</f>
        <v/>
      </c>
      <c r="AR534" s="79">
        <f>IF(AN534="","",IF(OR(AO534&lt;&gt;"OK", AP534&lt;&gt;"OK", AQ534&lt;&gt;"OK"), "⚠️ REVISAR", "OK"))</f>
        <v/>
      </c>
    </row>
    <row r="535">
      <c r="A535" s="79">
        <f>IF('Ordenes_Odoo'!A535="","",'Ordenes_Odoo'!A535)</f>
        <v/>
      </c>
      <c r="B535" s="80">
        <f>IF('Ordenes_Odoo'!B535="","",'Ordenes_Odoo'!B535)</f>
        <v/>
      </c>
      <c r="C535" s="79">
        <f>IF('Ordenes_Odoo'!C535="","",'Ordenes_Odoo'!C535)</f>
        <v/>
      </c>
      <c r="D535" s="79">
        <f>IF('Ordenes_Odoo'!D535="","",'Ordenes_Odoo'!D535)</f>
        <v/>
      </c>
      <c r="E535" s="79">
        <f>IF('Ordenes_Odoo'!E535="","",'Ordenes_Odoo'!E535)</f>
        <v/>
      </c>
      <c r="F535" s="79">
        <f>IF('Ordenes_Odoo'!F535="","",'Ordenes_Odoo'!F535)</f>
        <v/>
      </c>
      <c r="G535" s="79">
        <f>IF('Ordenes_Odoo'!G535="","",'Ordenes_Odoo'!G535)</f>
        <v/>
      </c>
      <c r="H535" s="79">
        <f>IF('Ordenes_Odoo'!H535="","",'Ordenes_Odoo'!H535)</f>
        <v/>
      </c>
      <c r="I535" s="79">
        <f>IF('Ordenes_Odoo'!I535="","",'Ordenes_Odoo'!I535)</f>
        <v/>
      </c>
      <c r="J535" s="79">
        <f>IF('Ordenes_Odoo'!J535="","",'Ordenes_Odoo'!J535)</f>
        <v/>
      </c>
      <c r="K535" s="81">
        <f>IF('Ordenes_Odoo'!K535="","",'Ordenes_Odoo'!K535)</f>
        <v/>
      </c>
      <c r="L535" s="81">
        <f>IF('Ordenes_Odoo'!L535="","",'Ordenes_Odoo'!L535)</f>
        <v/>
      </c>
      <c r="M535" s="79">
        <f>IF('Ordenes_Odoo'!M535="","",'Ordenes_Odoo'!M535)</f>
        <v/>
      </c>
      <c r="N535" s="79">
        <f>IF('Ordenes_Odoo'!N535="","",'Ordenes_Odoo'!N535)</f>
        <v/>
      </c>
      <c r="O535" s="81">
        <f>IF('Ordenes_Odoo'!O535="","",'Ordenes_Odoo'!O535)</f>
        <v/>
      </c>
      <c r="P535" s="81">
        <f>IF('Ordenes_Odoo'!P535="","",'Ordenes_Odoo'!P535)</f>
        <v/>
      </c>
      <c r="Q535" s="79">
        <f>IF(A535="","",IFERROR(INDEX(Facturas_Odoo!$B:$B, MATCH(A535, Facturas_Odoo!$D:$D, 0)), "Sin Factura"))</f>
        <v/>
      </c>
      <c r="R535" s="80">
        <f>IF(Q535="Sin Factura","",IFERROR(INDEX(Facturas_Odoo!$A:$A, MATCH(Q535, Facturas_Odoo!$B:$B, 0)), ""))</f>
        <v/>
      </c>
      <c r="S535" s="79">
        <f>IF(Q535="Sin Factura","",IFERROR(_xlfn.XLOOKUP(1, (Facturas_Odoo!$D:$D=A535) * (Facturas_Odoo!$K:$K=I535), Facturas_Odoo!$L:$L, ""), ""))</f>
        <v/>
      </c>
      <c r="T535" s="81">
        <f>IF(Q535="Sin Factura",0,IFERROR(_xlfn.XLOOKUP(1, (Facturas_Odoo!$D:$D=A535) * (Facturas_Odoo!$K:$K=I535), Facturas_Odoo!$M:$M, 0), 0))</f>
        <v/>
      </c>
      <c r="U535" s="79">
        <f>IF(Q535="Sin Factura",0,IFERROR(_xlfn.XLOOKUP(1, (Facturas_Odoo!$D:$D=A535) * (Facturas_Odoo!$K:$K=I535), Facturas_Odoo!$N:$N, 0), 0))</f>
        <v/>
      </c>
      <c r="V535" s="79">
        <f>IF(Q535="Sin Factura",0,IFERROR(_xlfn.XLOOKUP(1, (Facturas_Odoo!$D:$D=A535) * (Facturas_Odoo!$K:$K=I535), Facturas_Odoo!$O:$O, 0), 0))</f>
        <v/>
      </c>
      <c r="W535" s="81">
        <f>IF(Q535="Sin Factura",0,IFERROR(_xlfn.XLOOKUP(1, (Facturas_Odoo!$D:$D=A535) * (Facturas_Odoo!$K:$K=I535), Facturas_Odoo!$Q:$Q, 0), 0))</f>
        <v/>
      </c>
      <c r="X535" s="79">
        <f>IF(OR(Q535="Sin Factura",Q535=""),"",IFERROR(INDEX(Pagos_Odoo!$B:$B, MATCH(Q535, Pagos_Odoo!$I:$I, 0)), "Sin Pago"))</f>
        <v/>
      </c>
      <c r="Y535" s="79">
        <f>IF(X535="Sin Pago","",IFERROR(INDEX(Pagos_Odoo!$C:$C, MATCH(X535, Pagos_Odoo!$B:$B, 0)), ""))</f>
        <v/>
      </c>
      <c r="Z535" s="80">
        <f>IF(X535="Sin Pago","",IFERROR(INDEX(Pagos_Odoo!$A:$A, MATCH(X535, Pagos_Odoo!$B:$B, 0)), ""))</f>
        <v/>
      </c>
      <c r="AA535" s="79">
        <f>IF(X535="Sin Pago","",IFERROR(INDEX(Pagos_Odoo!$F:$F, MATCH(X535, Pagos_Odoo!$B:$B, 0)), ""))</f>
        <v/>
      </c>
      <c r="AB535" s="81">
        <f>IF(X535="Sin Pago",0,IFERROR(INDEX(Pagos_Odoo!$E:$E, MATCH(X535, Pagos_Odoo!$B:$B, 0)), 0))</f>
        <v/>
      </c>
      <c r="AC535" s="79">
        <f>IF(X535="Sin Pago","",IFERROR(INDEX(Pagos_Odoo!$G:$G, MATCH(X535, Pagos_Odoo!$B:$B, 0)), ""))</f>
        <v/>
      </c>
      <c r="AD535" s="82" t="n">
        <v>0</v>
      </c>
      <c r="AE535" s="82" t="n"/>
      <c r="AF535" s="82" t="n"/>
      <c r="AG535" s="82">
        <f>IF(AN535="","",AD535+AE535+AF535)</f>
        <v/>
      </c>
      <c r="AH535" s="81">
        <f>IF(AN535="","",P535*(1-AG535))</f>
        <v/>
      </c>
      <c r="AI535" s="81">
        <f>IF(AN535="","",IF(Q535="Sin Factura",0,IFERROR(INDEX(Facturas_Odoo!$H:$H, MATCH(Q535, Facturas_Odoo!$B:$B, 0)), 0)*(1-AG535)))</f>
        <v/>
      </c>
      <c r="AJ535" s="81">
        <f>IF(AN535="","",_xlfn.LET(idVenta, AN535&amp;"",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35" s="81">
        <f>IF(AN535="","",AH535-AJ535)</f>
        <v/>
      </c>
      <c r="AL535" s="81">
        <f>IF(AN535="","",IF(Q535="Sin Factura","",AI535-AJ535))</f>
        <v/>
      </c>
      <c r="AM535" s="81">
        <f>IF(AN535="","",IF(Q535="Sin Factura",0,P535-IFERROR(INDEX(Facturas_Odoo!$H:$H, MATCH(Q535, Facturas_Odoo!$B:$B, 0)), 0)))</f>
        <v/>
      </c>
      <c r="AN535" s="79">
        <f>IF(AND(A535="", J535=""), "", IF(A535&lt;&gt;"", VALUE(MID(A535,2,LEN(A535))), AN534))</f>
        <v/>
      </c>
      <c r="AO535" s="79">
        <f>IF(AN535="","",IF(AD535=0,"OK",_xlfn.LET(monedaPago, IF(AA535="","USD",AA535), limitePermitido, IFERROR(VLOOKUP(monedaPago, Configuración!$A$2:$B$3, 2, FALSE), 0.15), IF(AD535&gt;limitePermitido, "ALERTA: EXCESO (" &amp; TEXT(limitePermitido, "0%") &amp; " máx)", "OK"))))</f>
        <v/>
      </c>
      <c r="AP535" s="79">
        <f>IF(AN535="","",IF(AE535=0,"OK",_xlfn.LET(fechaPago, Z535, fechaFactura, R535, diasCredito, IF(E535="Pago inmediato", 0, IFERROR(VALUE(MID(E535, 1, SEARCH(" ", E535)-1)),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35" s="79">
        <f>IF(AN535="","",IF(AND(N535&gt;0, AG535&gt;0), IF(Configuración!$K$2="NO", "ALERTA: DESCUENTO DOBLE NO PERMITIDO", "OK"), "OK"))</f>
        <v/>
      </c>
      <c r="AR535" s="79">
        <f>IF(AN535="","",IF(OR(AO535&lt;&gt;"OK", AP535&lt;&gt;"OK", AQ535&lt;&gt;"OK"), "⚠️ REVISAR", "OK"))</f>
        <v/>
      </c>
    </row>
    <row r="536">
      <c r="A536" s="79">
        <f>IF('Ordenes_Odoo'!A536="","",'Ordenes_Odoo'!A536)</f>
        <v/>
      </c>
      <c r="B536" s="80">
        <f>IF('Ordenes_Odoo'!B536="","",'Ordenes_Odoo'!B536)</f>
        <v/>
      </c>
      <c r="C536" s="79">
        <f>IF('Ordenes_Odoo'!C536="","",'Ordenes_Odoo'!C536)</f>
        <v/>
      </c>
      <c r="D536" s="79">
        <f>IF('Ordenes_Odoo'!D536="","",'Ordenes_Odoo'!D536)</f>
        <v/>
      </c>
      <c r="E536" s="79">
        <f>IF('Ordenes_Odoo'!E536="","",'Ordenes_Odoo'!E536)</f>
        <v/>
      </c>
      <c r="F536" s="79">
        <f>IF('Ordenes_Odoo'!F536="","",'Ordenes_Odoo'!F536)</f>
        <v/>
      </c>
      <c r="G536" s="79">
        <f>IF('Ordenes_Odoo'!G536="","",'Ordenes_Odoo'!G536)</f>
        <v/>
      </c>
      <c r="H536" s="79">
        <f>IF('Ordenes_Odoo'!H536="","",'Ordenes_Odoo'!H536)</f>
        <v/>
      </c>
      <c r="I536" s="79">
        <f>IF('Ordenes_Odoo'!I536="","",'Ordenes_Odoo'!I536)</f>
        <v/>
      </c>
      <c r="J536" s="79">
        <f>IF('Ordenes_Odoo'!J536="","",'Ordenes_Odoo'!J536)</f>
        <v/>
      </c>
      <c r="K536" s="81">
        <f>IF('Ordenes_Odoo'!K536="","",'Ordenes_Odoo'!K536)</f>
        <v/>
      </c>
      <c r="L536" s="81">
        <f>IF('Ordenes_Odoo'!L536="","",'Ordenes_Odoo'!L536)</f>
        <v/>
      </c>
      <c r="M536" s="79">
        <f>IF('Ordenes_Odoo'!M536="","",'Ordenes_Odoo'!M536)</f>
        <v/>
      </c>
      <c r="N536" s="79">
        <f>IF('Ordenes_Odoo'!N536="","",'Ordenes_Odoo'!N536)</f>
        <v/>
      </c>
      <c r="O536" s="81">
        <f>IF('Ordenes_Odoo'!O536="","",'Ordenes_Odoo'!O536)</f>
        <v/>
      </c>
      <c r="P536" s="81">
        <f>IF('Ordenes_Odoo'!P536="","",'Ordenes_Odoo'!P536)</f>
        <v/>
      </c>
      <c r="Q536" s="79">
        <f>IF(A536="","",IFERROR(INDEX(Facturas_Odoo!$B:$B, MATCH(A536, Facturas_Odoo!$D:$D, 0)), "Sin Factura"))</f>
        <v/>
      </c>
      <c r="R536" s="80">
        <f>IF(Q536="Sin Factura","",IFERROR(INDEX(Facturas_Odoo!$A:$A, MATCH(Q536, Facturas_Odoo!$B:$B, 0)), ""))</f>
        <v/>
      </c>
      <c r="S536" s="79">
        <f>IF(Q536="Sin Factura","",IFERROR(_xlfn.XLOOKUP(1, (Facturas_Odoo!$D:$D=A536) * (Facturas_Odoo!$K:$K=I536), Facturas_Odoo!$L:$L, ""), ""))</f>
        <v/>
      </c>
      <c r="T536" s="81">
        <f>IF(Q536="Sin Factura",0,IFERROR(_xlfn.XLOOKUP(1, (Facturas_Odoo!$D:$D=A536) * (Facturas_Odoo!$K:$K=I536), Facturas_Odoo!$M:$M, 0), 0))</f>
        <v/>
      </c>
      <c r="U536" s="79">
        <f>IF(Q536="Sin Factura",0,IFERROR(_xlfn.XLOOKUP(1, (Facturas_Odoo!$D:$D=A536) * (Facturas_Odoo!$K:$K=I536), Facturas_Odoo!$N:$N, 0), 0))</f>
        <v/>
      </c>
      <c r="V536" s="79">
        <f>IF(Q536="Sin Factura",0,IFERROR(_xlfn.XLOOKUP(1, (Facturas_Odoo!$D:$D=A536) * (Facturas_Odoo!$K:$K=I536), Facturas_Odoo!$O:$O, 0), 0))</f>
        <v/>
      </c>
      <c r="W536" s="81">
        <f>IF(Q536="Sin Factura",0,IFERROR(_xlfn.XLOOKUP(1, (Facturas_Odoo!$D:$D=A536) * (Facturas_Odoo!$K:$K=I536), Facturas_Odoo!$Q:$Q, 0), 0))</f>
        <v/>
      </c>
      <c r="X536" s="79">
        <f>IF(OR(Q536="Sin Factura",Q536=""),"",IFERROR(INDEX(Pagos_Odoo!$B:$B, MATCH(Q536, Pagos_Odoo!$I:$I, 0)), "Sin Pago"))</f>
        <v/>
      </c>
      <c r="Y536" s="79">
        <f>IF(X536="Sin Pago","",IFERROR(INDEX(Pagos_Odoo!$C:$C, MATCH(X536, Pagos_Odoo!$B:$B, 0)), ""))</f>
        <v/>
      </c>
      <c r="Z536" s="80">
        <f>IF(X536="Sin Pago","",IFERROR(INDEX(Pagos_Odoo!$A:$A, MATCH(X536, Pagos_Odoo!$B:$B, 0)), ""))</f>
        <v/>
      </c>
      <c r="AA536" s="79">
        <f>IF(X536="Sin Pago","",IFERROR(INDEX(Pagos_Odoo!$F:$F, MATCH(X536, Pagos_Odoo!$B:$B, 0)), ""))</f>
        <v/>
      </c>
      <c r="AB536" s="81">
        <f>IF(X536="Sin Pago",0,IFERROR(INDEX(Pagos_Odoo!$E:$E, MATCH(X536, Pagos_Odoo!$B:$B, 0)), 0))</f>
        <v/>
      </c>
      <c r="AC536" s="79">
        <f>IF(X536="Sin Pago","",IFERROR(INDEX(Pagos_Odoo!$G:$G, MATCH(X536, Pagos_Odoo!$B:$B, 0)), ""))</f>
        <v/>
      </c>
      <c r="AD536" s="82" t="n">
        <v>0</v>
      </c>
      <c r="AE536" s="82" t="n"/>
      <c r="AF536" s="82" t="n"/>
      <c r="AG536" s="82">
        <f>IF(AN536="","",AD536+AE536+AF536)</f>
        <v/>
      </c>
      <c r="AH536" s="81">
        <f>IF(AN536="","",P536*(1-AG536))</f>
        <v/>
      </c>
      <c r="AI536" s="81">
        <f>IF(AN536="","",IF(Q536="Sin Factura",0,IFERROR(INDEX(Facturas_Odoo!$H:$H, MATCH(Q536, Facturas_Odoo!$B:$B, 0)), 0)*(1-AG536)))</f>
        <v/>
      </c>
      <c r="AJ536" s="81">
        <f>IF(AN536="","",_xlfn.LET(idVenta, AN536&amp;"",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36" s="81">
        <f>IF(AN536="","",AH536-AJ536)</f>
        <v/>
      </c>
      <c r="AL536" s="81">
        <f>IF(AN536="","",IF(Q536="Sin Factura","",AI536-AJ536))</f>
        <v/>
      </c>
      <c r="AM536" s="81">
        <f>IF(AN536="","",IF(Q536="Sin Factura",0,P536-IFERROR(INDEX(Facturas_Odoo!$H:$H, MATCH(Q536, Facturas_Odoo!$B:$B, 0)), 0)))</f>
        <v/>
      </c>
      <c r="AN536" s="79">
        <f>IF(AND(A536="", J536=""), "", IF(A536&lt;&gt;"", VALUE(MID(A536,2,LEN(A536))), AN535))</f>
        <v/>
      </c>
      <c r="AO536" s="79">
        <f>IF(AN536="","",IF(AD536=0,"OK",_xlfn.LET(monedaPago, IF(AA536="","USD",AA536), limitePermitido, IFERROR(VLOOKUP(monedaPago, Configuración!$A$2:$B$3, 2, FALSE), 0.15), IF(AD536&gt;limitePermitido, "ALERTA: EXCESO (" &amp; TEXT(limitePermitido, "0%") &amp; " máx)", "OK"))))</f>
        <v/>
      </c>
      <c r="AP536" s="79">
        <f>IF(AN536="","",IF(AE536=0,"OK",_xlfn.LET(fechaPago, Z536, fechaFactura, R536, diasCredito, IF(E536="Pago inmediato", 0, IFERROR(VALUE(MID(E536, 1, SEARCH(" ", E536)-1)),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36" s="79">
        <f>IF(AN536="","",IF(AND(N536&gt;0, AG536&gt;0), IF(Configuración!$K$2="NO", "ALERTA: DESCUENTO DOBLE NO PERMITIDO", "OK"), "OK"))</f>
        <v/>
      </c>
      <c r="AR536" s="79">
        <f>IF(AN536="","",IF(OR(AO536&lt;&gt;"OK", AP536&lt;&gt;"OK", AQ536&lt;&gt;"OK"), "⚠️ REVISAR", "OK"))</f>
        <v/>
      </c>
    </row>
    <row r="537">
      <c r="A537" s="79">
        <f>IF('Ordenes_Odoo'!A537="","",'Ordenes_Odoo'!A537)</f>
        <v/>
      </c>
      <c r="B537" s="80">
        <f>IF('Ordenes_Odoo'!B537="","",'Ordenes_Odoo'!B537)</f>
        <v/>
      </c>
      <c r="C537" s="79">
        <f>IF('Ordenes_Odoo'!C537="","",'Ordenes_Odoo'!C537)</f>
        <v/>
      </c>
      <c r="D537" s="79">
        <f>IF('Ordenes_Odoo'!D537="","",'Ordenes_Odoo'!D537)</f>
        <v/>
      </c>
      <c r="E537" s="79">
        <f>IF('Ordenes_Odoo'!E537="","",'Ordenes_Odoo'!E537)</f>
        <v/>
      </c>
      <c r="F537" s="79">
        <f>IF('Ordenes_Odoo'!F537="","",'Ordenes_Odoo'!F537)</f>
        <v/>
      </c>
      <c r="G537" s="79">
        <f>IF('Ordenes_Odoo'!G537="","",'Ordenes_Odoo'!G537)</f>
        <v/>
      </c>
      <c r="H537" s="79">
        <f>IF('Ordenes_Odoo'!H537="","",'Ordenes_Odoo'!H537)</f>
        <v/>
      </c>
      <c r="I537" s="79">
        <f>IF('Ordenes_Odoo'!I537="","",'Ordenes_Odoo'!I537)</f>
        <v/>
      </c>
      <c r="J537" s="79">
        <f>IF('Ordenes_Odoo'!J537="","",'Ordenes_Odoo'!J537)</f>
        <v/>
      </c>
      <c r="K537" s="81">
        <f>IF('Ordenes_Odoo'!K537="","",'Ordenes_Odoo'!K537)</f>
        <v/>
      </c>
      <c r="L537" s="81">
        <f>IF('Ordenes_Odoo'!L537="","",'Ordenes_Odoo'!L537)</f>
        <v/>
      </c>
      <c r="M537" s="79">
        <f>IF('Ordenes_Odoo'!M537="","",'Ordenes_Odoo'!M537)</f>
        <v/>
      </c>
      <c r="N537" s="79">
        <f>IF('Ordenes_Odoo'!N537="","",'Ordenes_Odoo'!N537)</f>
        <v/>
      </c>
      <c r="O537" s="81">
        <f>IF('Ordenes_Odoo'!O537="","",'Ordenes_Odoo'!O537)</f>
        <v/>
      </c>
      <c r="P537" s="81">
        <f>IF('Ordenes_Odoo'!P537="","",'Ordenes_Odoo'!P537)</f>
        <v/>
      </c>
      <c r="Q537" s="79">
        <f>IF(A537="","",IFERROR(INDEX(Facturas_Odoo!$B:$B, MATCH(A537, Facturas_Odoo!$D:$D, 0)), "Sin Factura"))</f>
        <v/>
      </c>
      <c r="R537" s="80">
        <f>IF(Q537="Sin Factura","",IFERROR(INDEX(Facturas_Odoo!$A:$A, MATCH(Q537, Facturas_Odoo!$B:$B, 0)), ""))</f>
        <v/>
      </c>
      <c r="S537" s="79">
        <f>IF(Q537="Sin Factura","",IFERROR(_xlfn.XLOOKUP(1, (Facturas_Odoo!$D:$D=A537) * (Facturas_Odoo!$K:$K=I537), Facturas_Odoo!$L:$L, ""), ""))</f>
        <v/>
      </c>
      <c r="T537" s="81">
        <f>IF(Q537="Sin Factura",0,IFERROR(_xlfn.XLOOKUP(1, (Facturas_Odoo!$D:$D=A537) * (Facturas_Odoo!$K:$K=I537), Facturas_Odoo!$M:$M, 0), 0))</f>
        <v/>
      </c>
      <c r="U537" s="79">
        <f>IF(Q537="Sin Factura",0,IFERROR(_xlfn.XLOOKUP(1, (Facturas_Odoo!$D:$D=A537) * (Facturas_Odoo!$K:$K=I537), Facturas_Odoo!$N:$N, 0), 0))</f>
        <v/>
      </c>
      <c r="V537" s="79">
        <f>IF(Q537="Sin Factura",0,IFERROR(_xlfn.XLOOKUP(1, (Facturas_Odoo!$D:$D=A537) * (Facturas_Odoo!$K:$K=I537), Facturas_Odoo!$O:$O, 0), 0))</f>
        <v/>
      </c>
      <c r="W537" s="81">
        <f>IF(Q537="Sin Factura",0,IFERROR(_xlfn.XLOOKUP(1, (Facturas_Odoo!$D:$D=A537) * (Facturas_Odoo!$K:$K=I537), Facturas_Odoo!$Q:$Q, 0), 0))</f>
        <v/>
      </c>
      <c r="X537" s="79">
        <f>IF(OR(Q537="Sin Factura",Q537=""),"",IFERROR(INDEX(Pagos_Odoo!$B:$B, MATCH(Q537, Pagos_Odoo!$I:$I, 0)), "Sin Pago"))</f>
        <v/>
      </c>
      <c r="Y537" s="79">
        <f>IF(X537="Sin Pago","",IFERROR(INDEX(Pagos_Odoo!$C:$C, MATCH(X537, Pagos_Odoo!$B:$B, 0)), ""))</f>
        <v/>
      </c>
      <c r="Z537" s="80">
        <f>IF(X537="Sin Pago","",IFERROR(INDEX(Pagos_Odoo!$A:$A, MATCH(X537, Pagos_Odoo!$B:$B, 0)), ""))</f>
        <v/>
      </c>
      <c r="AA537" s="79">
        <f>IF(X537="Sin Pago","",IFERROR(INDEX(Pagos_Odoo!$F:$F, MATCH(X537, Pagos_Odoo!$B:$B, 0)), ""))</f>
        <v/>
      </c>
      <c r="AB537" s="81">
        <f>IF(X537="Sin Pago",0,IFERROR(INDEX(Pagos_Odoo!$E:$E, MATCH(X537, Pagos_Odoo!$B:$B, 0)), 0))</f>
        <v/>
      </c>
      <c r="AC537" s="79">
        <f>IF(X537="Sin Pago","",IFERROR(INDEX(Pagos_Odoo!$G:$G, MATCH(X537, Pagos_Odoo!$B:$B, 0)), ""))</f>
        <v/>
      </c>
      <c r="AD537" s="82" t="n">
        <v>0</v>
      </c>
      <c r="AE537" s="82" t="n"/>
      <c r="AF537" s="82" t="n"/>
      <c r="AG537" s="82">
        <f>IF(AN537="","",AD537+AE537+AF537)</f>
        <v/>
      </c>
      <c r="AH537" s="81">
        <f>IF(AN537="","",P537*(1-AG537))</f>
        <v/>
      </c>
      <c r="AI537" s="81">
        <f>IF(AN537="","",IF(Q537="Sin Factura",0,IFERROR(INDEX(Facturas_Odoo!$H:$H, MATCH(Q537, Facturas_Odoo!$B:$B, 0)), 0)*(1-AG537)))</f>
        <v/>
      </c>
      <c r="AJ537" s="81">
        <f>IF(AN537="","",_xlfn.LET(idVenta, AN537&amp;"",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37" s="81">
        <f>IF(AN537="","",AH537-AJ537)</f>
        <v/>
      </c>
      <c r="AL537" s="81">
        <f>IF(AN537="","",IF(Q537="Sin Factura","",AI537-AJ537))</f>
        <v/>
      </c>
      <c r="AM537" s="81">
        <f>IF(AN537="","",IF(Q537="Sin Factura",0,P537-IFERROR(INDEX(Facturas_Odoo!$H:$H, MATCH(Q537, Facturas_Odoo!$B:$B, 0)), 0)))</f>
        <v/>
      </c>
      <c r="AN537" s="79">
        <f>IF(AND(A537="", J537=""), "", IF(A537&lt;&gt;"", VALUE(MID(A537,2,LEN(A537))), AN536))</f>
        <v/>
      </c>
      <c r="AO537" s="79">
        <f>IF(AN537="","",IF(AD537=0,"OK",_xlfn.LET(monedaPago, IF(AA537="","USD",AA537), limitePermitido, IFERROR(VLOOKUP(monedaPago, Configuración!$A$2:$B$3, 2, FALSE), 0.15), IF(AD537&gt;limitePermitido, "ALERTA: EXCESO (" &amp; TEXT(limitePermitido, "0%") &amp; " máx)", "OK"))))</f>
        <v/>
      </c>
      <c r="AP537" s="79">
        <f>IF(AN537="","",IF(AE537=0,"OK",_xlfn.LET(fechaPago, Z537, fechaFactura, R537, diasCredito, IF(E537="Pago inmediato", 0, IFERROR(VALUE(MID(E537, 1, SEARCH(" ", E537)-1)),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37" s="79">
        <f>IF(AN537="","",IF(AND(N537&gt;0, AG537&gt;0), IF(Configuración!$K$2="NO", "ALERTA: DESCUENTO DOBLE NO PERMITIDO", "OK"), "OK"))</f>
        <v/>
      </c>
      <c r="AR537" s="79">
        <f>IF(AN537="","",IF(OR(AO537&lt;&gt;"OK", AP537&lt;&gt;"OK", AQ537&lt;&gt;"OK"), "⚠️ REVISAR", "OK"))</f>
        <v/>
      </c>
    </row>
    <row r="538">
      <c r="A538" s="79">
        <f>IF('Ordenes_Odoo'!A538="","",'Ordenes_Odoo'!A538)</f>
        <v/>
      </c>
      <c r="B538" s="80">
        <f>IF('Ordenes_Odoo'!B538="","",'Ordenes_Odoo'!B538)</f>
        <v/>
      </c>
      <c r="C538" s="79">
        <f>IF('Ordenes_Odoo'!C538="","",'Ordenes_Odoo'!C538)</f>
        <v/>
      </c>
      <c r="D538" s="79">
        <f>IF('Ordenes_Odoo'!D538="","",'Ordenes_Odoo'!D538)</f>
        <v/>
      </c>
      <c r="E538" s="79">
        <f>IF('Ordenes_Odoo'!E538="","",'Ordenes_Odoo'!E538)</f>
        <v/>
      </c>
      <c r="F538" s="79">
        <f>IF('Ordenes_Odoo'!F538="","",'Ordenes_Odoo'!F538)</f>
        <v/>
      </c>
      <c r="G538" s="79">
        <f>IF('Ordenes_Odoo'!G538="","",'Ordenes_Odoo'!G538)</f>
        <v/>
      </c>
      <c r="H538" s="79">
        <f>IF('Ordenes_Odoo'!H538="","",'Ordenes_Odoo'!H538)</f>
        <v/>
      </c>
      <c r="I538" s="79">
        <f>IF('Ordenes_Odoo'!I538="","",'Ordenes_Odoo'!I538)</f>
        <v/>
      </c>
      <c r="J538" s="79">
        <f>IF('Ordenes_Odoo'!J538="","",'Ordenes_Odoo'!J538)</f>
        <v/>
      </c>
      <c r="K538" s="81">
        <f>IF('Ordenes_Odoo'!K538="","",'Ordenes_Odoo'!K538)</f>
        <v/>
      </c>
      <c r="L538" s="81">
        <f>IF('Ordenes_Odoo'!L538="","",'Ordenes_Odoo'!L538)</f>
        <v/>
      </c>
      <c r="M538" s="79">
        <f>IF('Ordenes_Odoo'!M538="","",'Ordenes_Odoo'!M538)</f>
        <v/>
      </c>
      <c r="N538" s="79">
        <f>IF('Ordenes_Odoo'!N538="","",'Ordenes_Odoo'!N538)</f>
        <v/>
      </c>
      <c r="O538" s="81">
        <f>IF('Ordenes_Odoo'!O538="","",'Ordenes_Odoo'!O538)</f>
        <v/>
      </c>
      <c r="P538" s="81">
        <f>IF('Ordenes_Odoo'!P538="","",'Ordenes_Odoo'!P538)</f>
        <v/>
      </c>
      <c r="Q538" s="79">
        <f>IF(A538="","",IFERROR(INDEX(Facturas_Odoo!$B:$B, MATCH(A538, Facturas_Odoo!$D:$D, 0)), "Sin Factura"))</f>
        <v/>
      </c>
      <c r="R538" s="80">
        <f>IF(Q538="Sin Factura","",IFERROR(INDEX(Facturas_Odoo!$A:$A, MATCH(Q538, Facturas_Odoo!$B:$B, 0)), ""))</f>
        <v/>
      </c>
      <c r="S538" s="79">
        <f>IF(Q538="Sin Factura","",IFERROR(_xlfn.XLOOKUP(1, (Facturas_Odoo!$D:$D=A538) * (Facturas_Odoo!$K:$K=I538), Facturas_Odoo!$L:$L, ""), ""))</f>
        <v/>
      </c>
      <c r="T538" s="81">
        <f>IF(Q538="Sin Factura",0,IFERROR(_xlfn.XLOOKUP(1, (Facturas_Odoo!$D:$D=A538) * (Facturas_Odoo!$K:$K=I538), Facturas_Odoo!$M:$M, 0), 0))</f>
        <v/>
      </c>
      <c r="U538" s="79">
        <f>IF(Q538="Sin Factura",0,IFERROR(_xlfn.XLOOKUP(1, (Facturas_Odoo!$D:$D=A538) * (Facturas_Odoo!$K:$K=I538), Facturas_Odoo!$N:$N, 0), 0))</f>
        <v/>
      </c>
      <c r="V538" s="79">
        <f>IF(Q538="Sin Factura",0,IFERROR(_xlfn.XLOOKUP(1, (Facturas_Odoo!$D:$D=A538) * (Facturas_Odoo!$K:$K=I538), Facturas_Odoo!$O:$O, 0), 0))</f>
        <v/>
      </c>
      <c r="W538" s="81">
        <f>IF(Q538="Sin Factura",0,IFERROR(_xlfn.XLOOKUP(1, (Facturas_Odoo!$D:$D=A538) * (Facturas_Odoo!$K:$K=I538), Facturas_Odoo!$Q:$Q, 0), 0))</f>
        <v/>
      </c>
      <c r="X538" s="79">
        <f>IF(OR(Q538="Sin Factura",Q538=""),"",IFERROR(INDEX(Pagos_Odoo!$B:$B, MATCH(Q538, Pagos_Odoo!$I:$I, 0)), "Sin Pago"))</f>
        <v/>
      </c>
      <c r="Y538" s="79">
        <f>IF(X538="Sin Pago","",IFERROR(INDEX(Pagos_Odoo!$C:$C, MATCH(X538, Pagos_Odoo!$B:$B, 0)), ""))</f>
        <v/>
      </c>
      <c r="Z538" s="80">
        <f>IF(X538="Sin Pago","",IFERROR(INDEX(Pagos_Odoo!$A:$A, MATCH(X538, Pagos_Odoo!$B:$B, 0)), ""))</f>
        <v/>
      </c>
      <c r="AA538" s="79">
        <f>IF(X538="Sin Pago","",IFERROR(INDEX(Pagos_Odoo!$F:$F, MATCH(X538, Pagos_Odoo!$B:$B, 0)), ""))</f>
        <v/>
      </c>
      <c r="AB538" s="81">
        <f>IF(X538="Sin Pago",0,IFERROR(INDEX(Pagos_Odoo!$E:$E, MATCH(X538, Pagos_Odoo!$B:$B, 0)), 0))</f>
        <v/>
      </c>
      <c r="AC538" s="79">
        <f>IF(X538="Sin Pago","",IFERROR(INDEX(Pagos_Odoo!$G:$G, MATCH(X538, Pagos_Odoo!$B:$B, 0)), ""))</f>
        <v/>
      </c>
      <c r="AD538" s="82" t="n">
        <v>0</v>
      </c>
      <c r="AE538" s="82" t="n"/>
      <c r="AF538" s="82" t="n"/>
      <c r="AG538" s="82">
        <f>IF(AN538="","",AD538+AE538+AF538)</f>
        <v/>
      </c>
      <c r="AH538" s="81">
        <f>IF(AN538="","",P538*(1-AG538))</f>
        <v/>
      </c>
      <c r="AI538" s="81">
        <f>IF(AN538="","",IF(Q538="Sin Factura",0,IFERROR(INDEX(Facturas_Odoo!$H:$H, MATCH(Q538, Facturas_Odoo!$B:$B, 0)), 0)*(1-AG538)))</f>
        <v/>
      </c>
      <c r="AJ538" s="81">
        <f>IF(AN538="","",_xlfn.LET(idVenta, AN538&amp;"",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38" s="81">
        <f>IF(AN538="","",AH538-AJ538)</f>
        <v/>
      </c>
      <c r="AL538" s="81">
        <f>IF(AN538="","",IF(Q538="Sin Factura","",AI538-AJ538))</f>
        <v/>
      </c>
      <c r="AM538" s="81">
        <f>IF(AN538="","",IF(Q538="Sin Factura",0,P538-IFERROR(INDEX(Facturas_Odoo!$H:$H, MATCH(Q538, Facturas_Odoo!$B:$B, 0)), 0)))</f>
        <v/>
      </c>
      <c r="AN538" s="79">
        <f>IF(AND(A538="", J538=""), "", IF(A538&lt;&gt;"", VALUE(MID(A538,2,LEN(A538))), AN537))</f>
        <v/>
      </c>
      <c r="AO538" s="79">
        <f>IF(AN538="","",IF(AD538=0,"OK",_xlfn.LET(monedaPago, IF(AA538="","USD",AA538), limitePermitido, IFERROR(VLOOKUP(monedaPago, Configuración!$A$2:$B$3, 2, FALSE), 0.15), IF(AD538&gt;limitePermitido, "ALERTA: EXCESO (" &amp; TEXT(limitePermitido, "0%") &amp; " máx)", "OK"))))</f>
        <v/>
      </c>
      <c r="AP538" s="79">
        <f>IF(AN538="","",IF(AE538=0,"OK",_xlfn.LET(fechaPago, Z538, fechaFactura, R538, diasCredito, IF(E538="Pago inmediato", 0, IFERROR(VALUE(MID(E538, 1, SEARCH(" ", E538)-1)),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38" s="79">
        <f>IF(AN538="","",IF(AND(N538&gt;0, AG538&gt;0), IF(Configuración!$K$2="NO", "ALERTA: DESCUENTO DOBLE NO PERMITIDO", "OK"), "OK"))</f>
        <v/>
      </c>
      <c r="AR538" s="79">
        <f>IF(AN538="","",IF(OR(AO538&lt;&gt;"OK", AP538&lt;&gt;"OK", AQ538&lt;&gt;"OK"), "⚠️ REVISAR", "OK"))</f>
        <v/>
      </c>
    </row>
    <row r="539">
      <c r="A539" s="79">
        <f>IF('Ordenes_Odoo'!A539="","",'Ordenes_Odoo'!A539)</f>
        <v/>
      </c>
      <c r="B539" s="80">
        <f>IF('Ordenes_Odoo'!B539="","",'Ordenes_Odoo'!B539)</f>
        <v/>
      </c>
      <c r="C539" s="79">
        <f>IF('Ordenes_Odoo'!C539="","",'Ordenes_Odoo'!C539)</f>
        <v/>
      </c>
      <c r="D539" s="79">
        <f>IF('Ordenes_Odoo'!D539="","",'Ordenes_Odoo'!D539)</f>
        <v/>
      </c>
      <c r="E539" s="79">
        <f>IF('Ordenes_Odoo'!E539="","",'Ordenes_Odoo'!E539)</f>
        <v/>
      </c>
      <c r="F539" s="79">
        <f>IF('Ordenes_Odoo'!F539="","",'Ordenes_Odoo'!F539)</f>
        <v/>
      </c>
      <c r="G539" s="79">
        <f>IF('Ordenes_Odoo'!G539="","",'Ordenes_Odoo'!G539)</f>
        <v/>
      </c>
      <c r="H539" s="79">
        <f>IF('Ordenes_Odoo'!H539="","",'Ordenes_Odoo'!H539)</f>
        <v/>
      </c>
      <c r="I539" s="79">
        <f>IF('Ordenes_Odoo'!I539="","",'Ordenes_Odoo'!I539)</f>
        <v/>
      </c>
      <c r="J539" s="79">
        <f>IF('Ordenes_Odoo'!J539="","",'Ordenes_Odoo'!J539)</f>
        <v/>
      </c>
      <c r="K539" s="81">
        <f>IF('Ordenes_Odoo'!K539="","",'Ordenes_Odoo'!K539)</f>
        <v/>
      </c>
      <c r="L539" s="81">
        <f>IF('Ordenes_Odoo'!L539="","",'Ordenes_Odoo'!L539)</f>
        <v/>
      </c>
      <c r="M539" s="79">
        <f>IF('Ordenes_Odoo'!M539="","",'Ordenes_Odoo'!M539)</f>
        <v/>
      </c>
      <c r="N539" s="79">
        <f>IF('Ordenes_Odoo'!N539="","",'Ordenes_Odoo'!N539)</f>
        <v/>
      </c>
      <c r="O539" s="81">
        <f>IF('Ordenes_Odoo'!O539="","",'Ordenes_Odoo'!O539)</f>
        <v/>
      </c>
      <c r="P539" s="81">
        <f>IF('Ordenes_Odoo'!P539="","",'Ordenes_Odoo'!P539)</f>
        <v/>
      </c>
      <c r="Q539" s="79">
        <f>IF(A539="","",IFERROR(INDEX(Facturas_Odoo!$B:$B, MATCH(A539, Facturas_Odoo!$D:$D, 0)), "Sin Factura"))</f>
        <v/>
      </c>
      <c r="R539" s="80">
        <f>IF(Q539="Sin Factura","",IFERROR(INDEX(Facturas_Odoo!$A:$A, MATCH(Q539, Facturas_Odoo!$B:$B, 0)), ""))</f>
        <v/>
      </c>
      <c r="S539" s="79">
        <f>IF(Q539="Sin Factura","",IFERROR(_xlfn.XLOOKUP(1, (Facturas_Odoo!$D:$D=A539) * (Facturas_Odoo!$K:$K=I539), Facturas_Odoo!$L:$L, ""), ""))</f>
        <v/>
      </c>
      <c r="T539" s="81">
        <f>IF(Q539="Sin Factura",0,IFERROR(_xlfn.XLOOKUP(1, (Facturas_Odoo!$D:$D=A539) * (Facturas_Odoo!$K:$K=I539), Facturas_Odoo!$M:$M, 0), 0))</f>
        <v/>
      </c>
      <c r="U539" s="79">
        <f>IF(Q539="Sin Factura",0,IFERROR(_xlfn.XLOOKUP(1, (Facturas_Odoo!$D:$D=A539) * (Facturas_Odoo!$K:$K=I539), Facturas_Odoo!$N:$N, 0), 0))</f>
        <v/>
      </c>
      <c r="V539" s="79">
        <f>IF(Q539="Sin Factura",0,IFERROR(_xlfn.XLOOKUP(1, (Facturas_Odoo!$D:$D=A539) * (Facturas_Odoo!$K:$K=I539), Facturas_Odoo!$O:$O, 0), 0))</f>
        <v/>
      </c>
      <c r="W539" s="81">
        <f>IF(Q539="Sin Factura",0,IFERROR(_xlfn.XLOOKUP(1, (Facturas_Odoo!$D:$D=A539) * (Facturas_Odoo!$K:$K=I539), Facturas_Odoo!$Q:$Q, 0), 0))</f>
        <v/>
      </c>
      <c r="X539" s="79">
        <f>IF(OR(Q539="Sin Factura",Q539=""),"",IFERROR(INDEX(Pagos_Odoo!$B:$B, MATCH(Q539, Pagos_Odoo!$I:$I, 0)), "Sin Pago"))</f>
        <v/>
      </c>
      <c r="Y539" s="79">
        <f>IF(X539="Sin Pago","",IFERROR(INDEX(Pagos_Odoo!$C:$C, MATCH(X539, Pagos_Odoo!$B:$B, 0)), ""))</f>
        <v/>
      </c>
      <c r="Z539" s="80">
        <f>IF(X539="Sin Pago","",IFERROR(INDEX(Pagos_Odoo!$A:$A, MATCH(X539, Pagos_Odoo!$B:$B, 0)), ""))</f>
        <v/>
      </c>
      <c r="AA539" s="79">
        <f>IF(X539="Sin Pago","",IFERROR(INDEX(Pagos_Odoo!$F:$F, MATCH(X539, Pagos_Odoo!$B:$B, 0)), ""))</f>
        <v/>
      </c>
      <c r="AB539" s="81">
        <f>IF(X539="Sin Pago",0,IFERROR(INDEX(Pagos_Odoo!$E:$E, MATCH(X539, Pagos_Odoo!$B:$B, 0)), 0))</f>
        <v/>
      </c>
      <c r="AC539" s="79">
        <f>IF(X539="Sin Pago","",IFERROR(INDEX(Pagos_Odoo!$G:$G, MATCH(X539, Pagos_Odoo!$B:$B, 0)), ""))</f>
        <v/>
      </c>
      <c r="AD539" s="82" t="n">
        <v>0</v>
      </c>
      <c r="AE539" s="82" t="n"/>
      <c r="AF539" s="82" t="n"/>
      <c r="AG539" s="82">
        <f>IF(AN539="","",AD539+AE539+AF539)</f>
        <v/>
      </c>
      <c r="AH539" s="81">
        <f>IF(AN539="","",P539*(1-AG539))</f>
        <v/>
      </c>
      <c r="AI539" s="81">
        <f>IF(AN539="","",IF(Q539="Sin Factura",0,IFERROR(INDEX(Facturas_Odoo!$H:$H, MATCH(Q539, Facturas_Odoo!$B:$B, 0)), 0)*(1-AG539)))</f>
        <v/>
      </c>
      <c r="AJ539" s="81">
        <f>IF(AN539="","",_xlfn.LET(idVenta, AN539&amp;"",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39" s="81">
        <f>IF(AN539="","",AH539-AJ539)</f>
        <v/>
      </c>
      <c r="AL539" s="81">
        <f>IF(AN539="","",IF(Q539="Sin Factura","",AI539-AJ539))</f>
        <v/>
      </c>
      <c r="AM539" s="81">
        <f>IF(AN539="","",IF(Q539="Sin Factura",0,P539-IFERROR(INDEX(Facturas_Odoo!$H:$H, MATCH(Q539, Facturas_Odoo!$B:$B, 0)), 0)))</f>
        <v/>
      </c>
      <c r="AN539" s="79">
        <f>IF(AND(A539="", J539=""), "", IF(A539&lt;&gt;"", VALUE(MID(A539,2,LEN(A539))), AN538))</f>
        <v/>
      </c>
      <c r="AO539" s="79">
        <f>IF(AN539="","",IF(AD539=0,"OK",_xlfn.LET(monedaPago, IF(AA539="","USD",AA539), limitePermitido, IFERROR(VLOOKUP(monedaPago, Configuración!$A$2:$B$3, 2, FALSE), 0.15), IF(AD539&gt;limitePermitido, "ALERTA: EXCESO (" &amp; TEXT(limitePermitido, "0%") &amp; " máx)", "OK"))))</f>
        <v/>
      </c>
      <c r="AP539" s="79">
        <f>IF(AN539="","",IF(AE539=0,"OK",_xlfn.LET(fechaPago, Z539, fechaFactura, R539, diasCredito, IF(E539="Pago inmediato", 0, IFERROR(VALUE(MID(E539, 1, SEARCH(" ", E539)-1)),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39" s="79">
        <f>IF(AN539="","",IF(AND(N539&gt;0, AG539&gt;0), IF(Configuración!$K$2="NO", "ALERTA: DESCUENTO DOBLE NO PERMITIDO", "OK"), "OK"))</f>
        <v/>
      </c>
      <c r="AR539" s="79">
        <f>IF(AN539="","",IF(OR(AO539&lt;&gt;"OK", AP539&lt;&gt;"OK", AQ539&lt;&gt;"OK"), "⚠️ REVISAR", "OK"))</f>
        <v/>
      </c>
    </row>
    <row r="540">
      <c r="A540" s="79">
        <f>IF('Ordenes_Odoo'!A540="","",'Ordenes_Odoo'!A540)</f>
        <v/>
      </c>
      <c r="B540" s="80">
        <f>IF('Ordenes_Odoo'!B540="","",'Ordenes_Odoo'!B540)</f>
        <v/>
      </c>
      <c r="C540" s="79">
        <f>IF('Ordenes_Odoo'!C540="","",'Ordenes_Odoo'!C540)</f>
        <v/>
      </c>
      <c r="D540" s="79">
        <f>IF('Ordenes_Odoo'!D540="","",'Ordenes_Odoo'!D540)</f>
        <v/>
      </c>
      <c r="E540" s="79">
        <f>IF('Ordenes_Odoo'!E540="","",'Ordenes_Odoo'!E540)</f>
        <v/>
      </c>
      <c r="F540" s="79">
        <f>IF('Ordenes_Odoo'!F540="","",'Ordenes_Odoo'!F540)</f>
        <v/>
      </c>
      <c r="G540" s="79">
        <f>IF('Ordenes_Odoo'!G540="","",'Ordenes_Odoo'!G540)</f>
        <v/>
      </c>
      <c r="H540" s="79">
        <f>IF('Ordenes_Odoo'!H540="","",'Ordenes_Odoo'!H540)</f>
        <v/>
      </c>
      <c r="I540" s="79">
        <f>IF('Ordenes_Odoo'!I540="","",'Ordenes_Odoo'!I540)</f>
        <v/>
      </c>
      <c r="J540" s="79">
        <f>IF('Ordenes_Odoo'!J540="","",'Ordenes_Odoo'!J540)</f>
        <v/>
      </c>
      <c r="K540" s="81">
        <f>IF('Ordenes_Odoo'!K540="","",'Ordenes_Odoo'!K540)</f>
        <v/>
      </c>
      <c r="L540" s="81">
        <f>IF('Ordenes_Odoo'!L540="","",'Ordenes_Odoo'!L540)</f>
        <v/>
      </c>
      <c r="M540" s="79">
        <f>IF('Ordenes_Odoo'!M540="","",'Ordenes_Odoo'!M540)</f>
        <v/>
      </c>
      <c r="N540" s="79">
        <f>IF('Ordenes_Odoo'!N540="","",'Ordenes_Odoo'!N540)</f>
        <v/>
      </c>
      <c r="O540" s="81">
        <f>IF('Ordenes_Odoo'!O540="","",'Ordenes_Odoo'!O540)</f>
        <v/>
      </c>
      <c r="P540" s="81">
        <f>IF('Ordenes_Odoo'!P540="","",'Ordenes_Odoo'!P540)</f>
        <v/>
      </c>
      <c r="Q540" s="79">
        <f>IF(A540="","",IFERROR(INDEX(Facturas_Odoo!$B:$B, MATCH(A540, Facturas_Odoo!$D:$D, 0)), "Sin Factura"))</f>
        <v/>
      </c>
      <c r="R540" s="80">
        <f>IF(Q540="Sin Factura","",IFERROR(INDEX(Facturas_Odoo!$A:$A, MATCH(Q540, Facturas_Odoo!$B:$B, 0)), ""))</f>
        <v/>
      </c>
      <c r="S540" s="79">
        <f>IF(Q540="Sin Factura","",IFERROR(_xlfn.XLOOKUP(1, (Facturas_Odoo!$D:$D=A540) * (Facturas_Odoo!$K:$K=I540), Facturas_Odoo!$L:$L, ""), ""))</f>
        <v/>
      </c>
      <c r="T540" s="81">
        <f>IF(Q540="Sin Factura",0,IFERROR(_xlfn.XLOOKUP(1, (Facturas_Odoo!$D:$D=A540) * (Facturas_Odoo!$K:$K=I540), Facturas_Odoo!$M:$M, 0), 0))</f>
        <v/>
      </c>
      <c r="U540" s="79">
        <f>IF(Q540="Sin Factura",0,IFERROR(_xlfn.XLOOKUP(1, (Facturas_Odoo!$D:$D=A540) * (Facturas_Odoo!$K:$K=I540), Facturas_Odoo!$N:$N, 0), 0))</f>
        <v/>
      </c>
      <c r="V540" s="79">
        <f>IF(Q540="Sin Factura",0,IFERROR(_xlfn.XLOOKUP(1, (Facturas_Odoo!$D:$D=A540) * (Facturas_Odoo!$K:$K=I540), Facturas_Odoo!$O:$O, 0), 0))</f>
        <v/>
      </c>
      <c r="W540" s="81">
        <f>IF(Q540="Sin Factura",0,IFERROR(_xlfn.XLOOKUP(1, (Facturas_Odoo!$D:$D=A540) * (Facturas_Odoo!$K:$K=I540), Facturas_Odoo!$Q:$Q, 0), 0))</f>
        <v/>
      </c>
      <c r="X540" s="79">
        <f>IF(OR(Q540="Sin Factura",Q540=""),"",IFERROR(INDEX(Pagos_Odoo!$B:$B, MATCH(Q540, Pagos_Odoo!$I:$I, 0)), "Sin Pago"))</f>
        <v/>
      </c>
      <c r="Y540" s="79">
        <f>IF(X540="Sin Pago","",IFERROR(INDEX(Pagos_Odoo!$C:$C, MATCH(X540, Pagos_Odoo!$B:$B, 0)), ""))</f>
        <v/>
      </c>
      <c r="Z540" s="80">
        <f>IF(X540="Sin Pago","",IFERROR(INDEX(Pagos_Odoo!$A:$A, MATCH(X540, Pagos_Odoo!$B:$B, 0)), ""))</f>
        <v/>
      </c>
      <c r="AA540" s="79">
        <f>IF(X540="Sin Pago","",IFERROR(INDEX(Pagos_Odoo!$F:$F, MATCH(X540, Pagos_Odoo!$B:$B, 0)), ""))</f>
        <v/>
      </c>
      <c r="AB540" s="81">
        <f>IF(X540="Sin Pago",0,IFERROR(INDEX(Pagos_Odoo!$E:$E, MATCH(X540, Pagos_Odoo!$B:$B, 0)), 0))</f>
        <v/>
      </c>
      <c r="AC540" s="79">
        <f>IF(X540="Sin Pago","",IFERROR(INDEX(Pagos_Odoo!$G:$G, MATCH(X540, Pagos_Odoo!$B:$B, 0)), ""))</f>
        <v/>
      </c>
      <c r="AD540" s="82" t="n">
        <v>0</v>
      </c>
      <c r="AE540" s="82" t="n"/>
      <c r="AF540" s="82" t="n"/>
      <c r="AG540" s="82">
        <f>IF(AN540="","",AD540+AE540+AF540)</f>
        <v/>
      </c>
      <c r="AH540" s="81">
        <f>IF(AN540="","",P540*(1-AG540))</f>
        <v/>
      </c>
      <c r="AI540" s="81">
        <f>IF(AN540="","",IF(Q540="Sin Factura",0,IFERROR(INDEX(Facturas_Odoo!$H:$H, MATCH(Q540, Facturas_Odoo!$B:$B, 0)), 0)*(1-AG540)))</f>
        <v/>
      </c>
      <c r="AJ540" s="81">
        <f>IF(AN540="","",_xlfn.LET(idVenta, AN540&amp;"",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40" s="81">
        <f>IF(AN540="","",AH540-AJ540)</f>
        <v/>
      </c>
      <c r="AL540" s="81">
        <f>IF(AN540="","",IF(Q540="Sin Factura","",AI540-AJ540))</f>
        <v/>
      </c>
      <c r="AM540" s="81">
        <f>IF(AN540="","",IF(Q540="Sin Factura",0,P540-IFERROR(INDEX(Facturas_Odoo!$H:$H, MATCH(Q540, Facturas_Odoo!$B:$B, 0)), 0)))</f>
        <v/>
      </c>
      <c r="AN540" s="79">
        <f>IF(AND(A540="", J540=""), "", IF(A540&lt;&gt;"", VALUE(MID(A540,2,LEN(A540))), AN539))</f>
        <v/>
      </c>
      <c r="AO540" s="79">
        <f>IF(AN540="","",IF(AD540=0,"OK",_xlfn.LET(monedaPago, IF(AA540="","USD",AA540), limitePermitido, IFERROR(VLOOKUP(monedaPago, Configuración!$A$2:$B$3, 2, FALSE), 0.15), IF(AD540&gt;limitePermitido, "ALERTA: EXCESO (" &amp; TEXT(limitePermitido, "0%") &amp; " máx)", "OK"))))</f>
        <v/>
      </c>
      <c r="AP540" s="79">
        <f>IF(AN540="","",IF(AE540=0,"OK",_xlfn.LET(fechaPago, Z540, fechaFactura, R540, diasCredito, IF(E540="Pago inmediato", 0, IFERROR(VALUE(MID(E540, 1, SEARCH(" ", E540)-1)),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40" s="79">
        <f>IF(AN540="","",IF(AND(N540&gt;0, AG540&gt;0), IF(Configuración!$K$2="NO", "ALERTA: DESCUENTO DOBLE NO PERMITIDO", "OK"), "OK"))</f>
        <v/>
      </c>
      <c r="AR540" s="79">
        <f>IF(AN540="","",IF(OR(AO540&lt;&gt;"OK", AP540&lt;&gt;"OK", AQ540&lt;&gt;"OK"), "⚠️ REVISAR", "OK"))</f>
        <v/>
      </c>
    </row>
    <row r="541">
      <c r="A541" s="79">
        <f>IF('Ordenes_Odoo'!A541="","",'Ordenes_Odoo'!A541)</f>
        <v/>
      </c>
      <c r="B541" s="80">
        <f>IF('Ordenes_Odoo'!B541="","",'Ordenes_Odoo'!B541)</f>
        <v/>
      </c>
      <c r="C541" s="79">
        <f>IF('Ordenes_Odoo'!C541="","",'Ordenes_Odoo'!C541)</f>
        <v/>
      </c>
      <c r="D541" s="79">
        <f>IF('Ordenes_Odoo'!D541="","",'Ordenes_Odoo'!D541)</f>
        <v/>
      </c>
      <c r="E541" s="79">
        <f>IF('Ordenes_Odoo'!E541="","",'Ordenes_Odoo'!E541)</f>
        <v/>
      </c>
      <c r="F541" s="79">
        <f>IF('Ordenes_Odoo'!F541="","",'Ordenes_Odoo'!F541)</f>
        <v/>
      </c>
      <c r="G541" s="79">
        <f>IF('Ordenes_Odoo'!G541="","",'Ordenes_Odoo'!G541)</f>
        <v/>
      </c>
      <c r="H541" s="79">
        <f>IF('Ordenes_Odoo'!H541="","",'Ordenes_Odoo'!H541)</f>
        <v/>
      </c>
      <c r="I541" s="79">
        <f>IF('Ordenes_Odoo'!I541="","",'Ordenes_Odoo'!I541)</f>
        <v/>
      </c>
      <c r="J541" s="79">
        <f>IF('Ordenes_Odoo'!J541="","",'Ordenes_Odoo'!J541)</f>
        <v/>
      </c>
      <c r="K541" s="81">
        <f>IF('Ordenes_Odoo'!K541="","",'Ordenes_Odoo'!K541)</f>
        <v/>
      </c>
      <c r="L541" s="81">
        <f>IF('Ordenes_Odoo'!L541="","",'Ordenes_Odoo'!L541)</f>
        <v/>
      </c>
      <c r="M541" s="79">
        <f>IF('Ordenes_Odoo'!M541="","",'Ordenes_Odoo'!M541)</f>
        <v/>
      </c>
      <c r="N541" s="79">
        <f>IF('Ordenes_Odoo'!N541="","",'Ordenes_Odoo'!N541)</f>
        <v/>
      </c>
      <c r="O541" s="81">
        <f>IF('Ordenes_Odoo'!O541="","",'Ordenes_Odoo'!O541)</f>
        <v/>
      </c>
      <c r="P541" s="81">
        <f>IF('Ordenes_Odoo'!P541="","",'Ordenes_Odoo'!P541)</f>
        <v/>
      </c>
      <c r="Q541" s="79">
        <f>IF(A541="","",IFERROR(INDEX(Facturas_Odoo!$B:$B, MATCH(A541, Facturas_Odoo!$D:$D, 0)), "Sin Factura"))</f>
        <v/>
      </c>
      <c r="R541" s="80">
        <f>IF(Q541="Sin Factura","",IFERROR(INDEX(Facturas_Odoo!$A:$A, MATCH(Q541, Facturas_Odoo!$B:$B, 0)), ""))</f>
        <v/>
      </c>
      <c r="S541" s="79">
        <f>IF(Q541="Sin Factura","",IFERROR(_xlfn.XLOOKUP(1, (Facturas_Odoo!$D:$D=A541) * (Facturas_Odoo!$K:$K=I541), Facturas_Odoo!$L:$L, ""), ""))</f>
        <v/>
      </c>
      <c r="T541" s="81">
        <f>IF(Q541="Sin Factura",0,IFERROR(_xlfn.XLOOKUP(1, (Facturas_Odoo!$D:$D=A541) * (Facturas_Odoo!$K:$K=I541), Facturas_Odoo!$M:$M, 0), 0))</f>
        <v/>
      </c>
      <c r="U541" s="79">
        <f>IF(Q541="Sin Factura",0,IFERROR(_xlfn.XLOOKUP(1, (Facturas_Odoo!$D:$D=A541) * (Facturas_Odoo!$K:$K=I541), Facturas_Odoo!$N:$N, 0), 0))</f>
        <v/>
      </c>
      <c r="V541" s="79">
        <f>IF(Q541="Sin Factura",0,IFERROR(_xlfn.XLOOKUP(1, (Facturas_Odoo!$D:$D=A541) * (Facturas_Odoo!$K:$K=I541), Facturas_Odoo!$O:$O, 0), 0))</f>
        <v/>
      </c>
      <c r="W541" s="81">
        <f>IF(Q541="Sin Factura",0,IFERROR(_xlfn.XLOOKUP(1, (Facturas_Odoo!$D:$D=A541) * (Facturas_Odoo!$K:$K=I541), Facturas_Odoo!$Q:$Q, 0), 0))</f>
        <v/>
      </c>
      <c r="X541" s="79">
        <f>IF(OR(Q541="Sin Factura",Q541=""),"",IFERROR(INDEX(Pagos_Odoo!$B:$B, MATCH(Q541, Pagos_Odoo!$I:$I, 0)), "Sin Pago"))</f>
        <v/>
      </c>
      <c r="Y541" s="79">
        <f>IF(X541="Sin Pago","",IFERROR(INDEX(Pagos_Odoo!$C:$C, MATCH(X541, Pagos_Odoo!$B:$B, 0)), ""))</f>
        <v/>
      </c>
      <c r="Z541" s="80">
        <f>IF(X541="Sin Pago","",IFERROR(INDEX(Pagos_Odoo!$A:$A, MATCH(X541, Pagos_Odoo!$B:$B, 0)), ""))</f>
        <v/>
      </c>
      <c r="AA541" s="79">
        <f>IF(X541="Sin Pago","",IFERROR(INDEX(Pagos_Odoo!$F:$F, MATCH(X541, Pagos_Odoo!$B:$B, 0)), ""))</f>
        <v/>
      </c>
      <c r="AB541" s="81">
        <f>IF(X541="Sin Pago",0,IFERROR(INDEX(Pagos_Odoo!$E:$E, MATCH(X541, Pagos_Odoo!$B:$B, 0)), 0))</f>
        <v/>
      </c>
      <c r="AC541" s="79">
        <f>IF(X541="Sin Pago","",IFERROR(INDEX(Pagos_Odoo!$G:$G, MATCH(X541, Pagos_Odoo!$B:$B, 0)), ""))</f>
        <v/>
      </c>
      <c r="AD541" s="82" t="n">
        <v>0</v>
      </c>
      <c r="AE541" s="82" t="n"/>
      <c r="AF541" s="82" t="n"/>
      <c r="AG541" s="82">
        <f>IF(AN541="","",AD541+AE541+AF541)</f>
        <v/>
      </c>
      <c r="AH541" s="81">
        <f>IF(AN541="","",P541*(1-AG541))</f>
        <v/>
      </c>
      <c r="AI541" s="81">
        <f>IF(AN541="","",IF(Q541="Sin Factura",0,IFERROR(INDEX(Facturas_Odoo!$H:$H, MATCH(Q541, Facturas_Odoo!$B:$B, 0)), 0)*(1-AG541)))</f>
        <v/>
      </c>
      <c r="AJ541" s="81">
        <f>IF(AN541="","",_xlfn.LET(idVenta, AN541&amp;"",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41" s="81">
        <f>IF(AN541="","",AH541-AJ541)</f>
        <v/>
      </c>
      <c r="AL541" s="81">
        <f>IF(AN541="","",IF(Q541="Sin Factura","",AI541-AJ541))</f>
        <v/>
      </c>
      <c r="AM541" s="81">
        <f>IF(AN541="","",IF(Q541="Sin Factura",0,P541-IFERROR(INDEX(Facturas_Odoo!$H:$H, MATCH(Q541, Facturas_Odoo!$B:$B, 0)), 0)))</f>
        <v/>
      </c>
      <c r="AN541" s="79">
        <f>IF(AND(A541="", J541=""), "", IF(A541&lt;&gt;"", VALUE(MID(A541,2,LEN(A541))), AN540))</f>
        <v/>
      </c>
      <c r="AO541" s="79">
        <f>IF(AN541="","",IF(AD541=0,"OK",_xlfn.LET(monedaPago, IF(AA541="","USD",AA541), limitePermitido, IFERROR(VLOOKUP(monedaPago, Configuración!$A$2:$B$3, 2, FALSE), 0.15), IF(AD541&gt;limitePermitido, "ALERTA: EXCESO (" &amp; TEXT(limitePermitido, "0%") &amp; " máx)", "OK"))))</f>
        <v/>
      </c>
      <c r="AP541" s="79">
        <f>IF(AN541="","",IF(AE541=0,"OK",_xlfn.LET(fechaPago, Z541, fechaFactura, R541, diasCredito, IF(E541="Pago inmediato", 0, IFERROR(VALUE(MID(E541, 1, SEARCH(" ", E541)-1)),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41" s="79">
        <f>IF(AN541="","",IF(AND(N541&gt;0, AG541&gt;0), IF(Configuración!$K$2="NO", "ALERTA: DESCUENTO DOBLE NO PERMITIDO", "OK"), "OK"))</f>
        <v/>
      </c>
      <c r="AR541" s="79">
        <f>IF(AN541="","",IF(OR(AO541&lt;&gt;"OK", AP541&lt;&gt;"OK", AQ541&lt;&gt;"OK"), "⚠️ REVISAR", "OK"))</f>
        <v/>
      </c>
    </row>
    <row r="542">
      <c r="A542" s="79">
        <f>IF('Ordenes_Odoo'!A542="","",'Ordenes_Odoo'!A542)</f>
        <v/>
      </c>
      <c r="B542" s="80">
        <f>IF('Ordenes_Odoo'!B542="","",'Ordenes_Odoo'!B542)</f>
        <v/>
      </c>
      <c r="C542" s="79">
        <f>IF('Ordenes_Odoo'!C542="","",'Ordenes_Odoo'!C542)</f>
        <v/>
      </c>
      <c r="D542" s="79">
        <f>IF('Ordenes_Odoo'!D542="","",'Ordenes_Odoo'!D542)</f>
        <v/>
      </c>
      <c r="E542" s="79">
        <f>IF('Ordenes_Odoo'!E542="","",'Ordenes_Odoo'!E542)</f>
        <v/>
      </c>
      <c r="F542" s="79">
        <f>IF('Ordenes_Odoo'!F542="","",'Ordenes_Odoo'!F542)</f>
        <v/>
      </c>
      <c r="G542" s="79">
        <f>IF('Ordenes_Odoo'!G542="","",'Ordenes_Odoo'!G542)</f>
        <v/>
      </c>
      <c r="H542" s="79">
        <f>IF('Ordenes_Odoo'!H542="","",'Ordenes_Odoo'!H542)</f>
        <v/>
      </c>
      <c r="I542" s="79">
        <f>IF('Ordenes_Odoo'!I542="","",'Ordenes_Odoo'!I542)</f>
        <v/>
      </c>
      <c r="J542" s="79">
        <f>IF('Ordenes_Odoo'!J542="","",'Ordenes_Odoo'!J542)</f>
        <v/>
      </c>
      <c r="K542" s="81">
        <f>IF('Ordenes_Odoo'!K542="","",'Ordenes_Odoo'!K542)</f>
        <v/>
      </c>
      <c r="L542" s="81">
        <f>IF('Ordenes_Odoo'!L542="","",'Ordenes_Odoo'!L542)</f>
        <v/>
      </c>
      <c r="M542" s="79">
        <f>IF('Ordenes_Odoo'!M542="","",'Ordenes_Odoo'!M542)</f>
        <v/>
      </c>
      <c r="N542" s="79">
        <f>IF('Ordenes_Odoo'!N542="","",'Ordenes_Odoo'!N542)</f>
        <v/>
      </c>
      <c r="O542" s="81">
        <f>IF('Ordenes_Odoo'!O542="","",'Ordenes_Odoo'!O542)</f>
        <v/>
      </c>
      <c r="P542" s="81">
        <f>IF('Ordenes_Odoo'!P542="","",'Ordenes_Odoo'!P542)</f>
        <v/>
      </c>
      <c r="Q542" s="79">
        <f>IF(A542="","",IFERROR(INDEX(Facturas_Odoo!$B:$B, MATCH(A542, Facturas_Odoo!$D:$D, 0)), "Sin Factura"))</f>
        <v/>
      </c>
      <c r="R542" s="80">
        <f>IF(Q542="Sin Factura","",IFERROR(INDEX(Facturas_Odoo!$A:$A, MATCH(Q542, Facturas_Odoo!$B:$B, 0)), ""))</f>
        <v/>
      </c>
      <c r="S542" s="79">
        <f>IF(Q542="Sin Factura","",IFERROR(_xlfn.XLOOKUP(1, (Facturas_Odoo!$D:$D=A542) * (Facturas_Odoo!$K:$K=I542), Facturas_Odoo!$L:$L, ""), ""))</f>
        <v/>
      </c>
      <c r="T542" s="81">
        <f>IF(Q542="Sin Factura",0,IFERROR(_xlfn.XLOOKUP(1, (Facturas_Odoo!$D:$D=A542) * (Facturas_Odoo!$K:$K=I542), Facturas_Odoo!$M:$M, 0), 0))</f>
        <v/>
      </c>
      <c r="U542" s="79">
        <f>IF(Q542="Sin Factura",0,IFERROR(_xlfn.XLOOKUP(1, (Facturas_Odoo!$D:$D=A542) * (Facturas_Odoo!$K:$K=I542), Facturas_Odoo!$N:$N, 0), 0))</f>
        <v/>
      </c>
      <c r="V542" s="79">
        <f>IF(Q542="Sin Factura",0,IFERROR(_xlfn.XLOOKUP(1, (Facturas_Odoo!$D:$D=A542) * (Facturas_Odoo!$K:$K=I542), Facturas_Odoo!$O:$O, 0), 0))</f>
        <v/>
      </c>
      <c r="W542" s="81">
        <f>IF(Q542="Sin Factura",0,IFERROR(_xlfn.XLOOKUP(1, (Facturas_Odoo!$D:$D=A542) * (Facturas_Odoo!$K:$K=I542), Facturas_Odoo!$Q:$Q, 0), 0))</f>
        <v/>
      </c>
      <c r="X542" s="79">
        <f>IF(OR(Q542="Sin Factura",Q542=""),"",IFERROR(INDEX(Pagos_Odoo!$B:$B, MATCH(Q542, Pagos_Odoo!$I:$I, 0)), "Sin Pago"))</f>
        <v/>
      </c>
      <c r="Y542" s="79">
        <f>IF(X542="Sin Pago","",IFERROR(INDEX(Pagos_Odoo!$C:$C, MATCH(X542, Pagos_Odoo!$B:$B, 0)), ""))</f>
        <v/>
      </c>
      <c r="Z542" s="80">
        <f>IF(X542="Sin Pago","",IFERROR(INDEX(Pagos_Odoo!$A:$A, MATCH(X542, Pagos_Odoo!$B:$B, 0)), ""))</f>
        <v/>
      </c>
      <c r="AA542" s="79">
        <f>IF(X542="Sin Pago","",IFERROR(INDEX(Pagos_Odoo!$F:$F, MATCH(X542, Pagos_Odoo!$B:$B, 0)), ""))</f>
        <v/>
      </c>
      <c r="AB542" s="81">
        <f>IF(X542="Sin Pago",0,IFERROR(INDEX(Pagos_Odoo!$E:$E, MATCH(X542, Pagos_Odoo!$B:$B, 0)), 0))</f>
        <v/>
      </c>
      <c r="AC542" s="79">
        <f>IF(X542="Sin Pago","",IFERROR(INDEX(Pagos_Odoo!$G:$G, MATCH(X542, Pagos_Odoo!$B:$B, 0)), ""))</f>
        <v/>
      </c>
      <c r="AD542" s="82" t="n">
        <v>0</v>
      </c>
      <c r="AE542" s="82" t="n"/>
      <c r="AF542" s="82" t="n"/>
      <c r="AG542" s="82">
        <f>IF(AN542="","",AD542+AE542+AF542)</f>
        <v/>
      </c>
      <c r="AH542" s="81">
        <f>IF(AN542="","",P542*(1-AG542))</f>
        <v/>
      </c>
      <c r="AI542" s="81">
        <f>IF(AN542="","",IF(Q542="Sin Factura",0,IFERROR(INDEX(Facturas_Odoo!$H:$H, MATCH(Q542, Facturas_Odoo!$B:$B, 0)), 0)*(1-AG542)))</f>
        <v/>
      </c>
      <c r="AJ542" s="81">
        <f>IF(AN542="","",_xlfn.LET(idVenta, AN542&amp;"",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42" s="81">
        <f>IF(AN542="","",AH542-AJ542)</f>
        <v/>
      </c>
      <c r="AL542" s="81">
        <f>IF(AN542="","",IF(Q542="Sin Factura","",AI542-AJ542))</f>
        <v/>
      </c>
      <c r="AM542" s="81">
        <f>IF(AN542="","",IF(Q542="Sin Factura",0,P542-IFERROR(INDEX(Facturas_Odoo!$H:$H, MATCH(Q542, Facturas_Odoo!$B:$B, 0)), 0)))</f>
        <v/>
      </c>
      <c r="AN542" s="79">
        <f>IF(AND(A542="", J542=""), "", IF(A542&lt;&gt;"", VALUE(MID(A542,2,LEN(A542))), AN541))</f>
        <v/>
      </c>
      <c r="AO542" s="79">
        <f>IF(AN542="","",IF(AD542=0,"OK",_xlfn.LET(monedaPago, IF(AA542="","USD",AA542), limitePermitido, IFERROR(VLOOKUP(monedaPago, Configuración!$A$2:$B$3, 2, FALSE), 0.15), IF(AD542&gt;limitePermitido, "ALERTA: EXCESO (" &amp; TEXT(limitePermitido, "0%") &amp; " máx)", "OK"))))</f>
        <v/>
      </c>
      <c r="AP542" s="79">
        <f>IF(AN542="","",IF(AE542=0,"OK",_xlfn.LET(fechaPago, Z542, fechaFactura, R542, diasCredito, IF(E542="Pago inmediato", 0, IFERROR(VALUE(MID(E542, 1, SEARCH(" ", E542)-1)),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42" s="79">
        <f>IF(AN542="","",IF(AND(N542&gt;0, AG542&gt;0), IF(Configuración!$K$2="NO", "ALERTA: DESCUENTO DOBLE NO PERMITIDO", "OK"), "OK"))</f>
        <v/>
      </c>
      <c r="AR542" s="79">
        <f>IF(AN542="","",IF(OR(AO542&lt;&gt;"OK", AP542&lt;&gt;"OK", AQ542&lt;&gt;"OK"), "⚠️ REVISAR", "OK"))</f>
        <v/>
      </c>
    </row>
    <row r="543">
      <c r="A543" s="79">
        <f>IF('Ordenes_Odoo'!A543="","",'Ordenes_Odoo'!A543)</f>
        <v/>
      </c>
      <c r="B543" s="80">
        <f>IF('Ordenes_Odoo'!B543="","",'Ordenes_Odoo'!B543)</f>
        <v/>
      </c>
      <c r="C543" s="79">
        <f>IF('Ordenes_Odoo'!C543="","",'Ordenes_Odoo'!C543)</f>
        <v/>
      </c>
      <c r="D543" s="79">
        <f>IF('Ordenes_Odoo'!D543="","",'Ordenes_Odoo'!D543)</f>
        <v/>
      </c>
      <c r="E543" s="79">
        <f>IF('Ordenes_Odoo'!E543="","",'Ordenes_Odoo'!E543)</f>
        <v/>
      </c>
      <c r="F543" s="79">
        <f>IF('Ordenes_Odoo'!F543="","",'Ordenes_Odoo'!F543)</f>
        <v/>
      </c>
      <c r="G543" s="79">
        <f>IF('Ordenes_Odoo'!G543="","",'Ordenes_Odoo'!G543)</f>
        <v/>
      </c>
      <c r="H543" s="79">
        <f>IF('Ordenes_Odoo'!H543="","",'Ordenes_Odoo'!H543)</f>
        <v/>
      </c>
      <c r="I543" s="79">
        <f>IF('Ordenes_Odoo'!I543="","",'Ordenes_Odoo'!I543)</f>
        <v/>
      </c>
      <c r="J543" s="79">
        <f>IF('Ordenes_Odoo'!J543="","",'Ordenes_Odoo'!J543)</f>
        <v/>
      </c>
      <c r="K543" s="81">
        <f>IF('Ordenes_Odoo'!K543="","",'Ordenes_Odoo'!K543)</f>
        <v/>
      </c>
      <c r="L543" s="81">
        <f>IF('Ordenes_Odoo'!L543="","",'Ordenes_Odoo'!L543)</f>
        <v/>
      </c>
      <c r="M543" s="79">
        <f>IF('Ordenes_Odoo'!M543="","",'Ordenes_Odoo'!M543)</f>
        <v/>
      </c>
      <c r="N543" s="79">
        <f>IF('Ordenes_Odoo'!N543="","",'Ordenes_Odoo'!N543)</f>
        <v/>
      </c>
      <c r="O543" s="81">
        <f>IF('Ordenes_Odoo'!O543="","",'Ordenes_Odoo'!O543)</f>
        <v/>
      </c>
      <c r="P543" s="81">
        <f>IF('Ordenes_Odoo'!P543="","",'Ordenes_Odoo'!P543)</f>
        <v/>
      </c>
      <c r="Q543" s="79">
        <f>IF(A543="","",IFERROR(INDEX(Facturas_Odoo!$B:$B, MATCH(A543, Facturas_Odoo!$D:$D, 0)), "Sin Factura"))</f>
        <v/>
      </c>
      <c r="R543" s="80">
        <f>IF(Q543="Sin Factura","",IFERROR(INDEX(Facturas_Odoo!$A:$A, MATCH(Q543, Facturas_Odoo!$B:$B, 0)), ""))</f>
        <v/>
      </c>
      <c r="S543" s="79">
        <f>IF(Q543="Sin Factura","",IFERROR(_xlfn.XLOOKUP(1, (Facturas_Odoo!$D:$D=A543) * (Facturas_Odoo!$K:$K=I543), Facturas_Odoo!$L:$L, ""), ""))</f>
        <v/>
      </c>
      <c r="T543" s="81">
        <f>IF(Q543="Sin Factura",0,IFERROR(_xlfn.XLOOKUP(1, (Facturas_Odoo!$D:$D=A543) * (Facturas_Odoo!$K:$K=I543), Facturas_Odoo!$M:$M, 0), 0))</f>
        <v/>
      </c>
      <c r="U543" s="79">
        <f>IF(Q543="Sin Factura",0,IFERROR(_xlfn.XLOOKUP(1, (Facturas_Odoo!$D:$D=A543) * (Facturas_Odoo!$K:$K=I543), Facturas_Odoo!$N:$N, 0), 0))</f>
        <v/>
      </c>
      <c r="V543" s="79">
        <f>IF(Q543="Sin Factura",0,IFERROR(_xlfn.XLOOKUP(1, (Facturas_Odoo!$D:$D=A543) * (Facturas_Odoo!$K:$K=I543), Facturas_Odoo!$O:$O, 0), 0))</f>
        <v/>
      </c>
      <c r="W543" s="81">
        <f>IF(Q543="Sin Factura",0,IFERROR(_xlfn.XLOOKUP(1, (Facturas_Odoo!$D:$D=A543) * (Facturas_Odoo!$K:$K=I543), Facturas_Odoo!$Q:$Q, 0), 0))</f>
        <v/>
      </c>
      <c r="X543" s="79">
        <f>IF(OR(Q543="Sin Factura",Q543=""),"",IFERROR(INDEX(Pagos_Odoo!$B:$B, MATCH(Q543, Pagos_Odoo!$I:$I, 0)), "Sin Pago"))</f>
        <v/>
      </c>
      <c r="Y543" s="79">
        <f>IF(X543="Sin Pago","",IFERROR(INDEX(Pagos_Odoo!$C:$C, MATCH(X543, Pagos_Odoo!$B:$B, 0)), ""))</f>
        <v/>
      </c>
      <c r="Z543" s="80">
        <f>IF(X543="Sin Pago","",IFERROR(INDEX(Pagos_Odoo!$A:$A, MATCH(X543, Pagos_Odoo!$B:$B, 0)), ""))</f>
        <v/>
      </c>
      <c r="AA543" s="79">
        <f>IF(X543="Sin Pago","",IFERROR(INDEX(Pagos_Odoo!$F:$F, MATCH(X543, Pagos_Odoo!$B:$B, 0)), ""))</f>
        <v/>
      </c>
      <c r="AB543" s="81">
        <f>IF(X543="Sin Pago",0,IFERROR(INDEX(Pagos_Odoo!$E:$E, MATCH(X543, Pagos_Odoo!$B:$B, 0)), 0))</f>
        <v/>
      </c>
      <c r="AC543" s="79">
        <f>IF(X543="Sin Pago","",IFERROR(INDEX(Pagos_Odoo!$G:$G, MATCH(X543, Pagos_Odoo!$B:$B, 0)), ""))</f>
        <v/>
      </c>
      <c r="AD543" s="82" t="n">
        <v>0</v>
      </c>
      <c r="AE543" s="82" t="n"/>
      <c r="AF543" s="82" t="n"/>
      <c r="AG543" s="82">
        <f>IF(AN543="","",AD543+AE543+AF543)</f>
        <v/>
      </c>
      <c r="AH543" s="81">
        <f>IF(AN543="","",P543*(1-AG543))</f>
        <v/>
      </c>
      <c r="AI543" s="81">
        <f>IF(AN543="","",IF(Q543="Sin Factura",0,IFERROR(INDEX(Facturas_Odoo!$H:$H, MATCH(Q543, Facturas_Odoo!$B:$B, 0)), 0)*(1-AG543)))</f>
        <v/>
      </c>
      <c r="AJ543" s="81">
        <f>IF(AN543="","",_xlfn.LET(idVenta, AN543&amp;"",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43" s="81">
        <f>IF(AN543="","",AH543-AJ543)</f>
        <v/>
      </c>
      <c r="AL543" s="81">
        <f>IF(AN543="","",IF(Q543="Sin Factura","",AI543-AJ543))</f>
        <v/>
      </c>
      <c r="AM543" s="81">
        <f>IF(AN543="","",IF(Q543="Sin Factura",0,P543-IFERROR(INDEX(Facturas_Odoo!$H:$H, MATCH(Q543, Facturas_Odoo!$B:$B, 0)), 0)))</f>
        <v/>
      </c>
      <c r="AN543" s="79">
        <f>IF(AND(A543="", J543=""), "", IF(A543&lt;&gt;"", VALUE(MID(A543,2,LEN(A543))), AN542))</f>
        <v/>
      </c>
      <c r="AO543" s="79">
        <f>IF(AN543="","",IF(AD543=0,"OK",_xlfn.LET(monedaPago, IF(AA543="","USD",AA543), limitePermitido, IFERROR(VLOOKUP(monedaPago, Configuración!$A$2:$B$3, 2, FALSE), 0.15), IF(AD543&gt;limitePermitido, "ALERTA: EXCESO (" &amp; TEXT(limitePermitido, "0%") &amp; " máx)", "OK"))))</f>
        <v/>
      </c>
      <c r="AP543" s="79">
        <f>IF(AN543="","",IF(AE543=0,"OK",_xlfn.LET(fechaPago, Z543, fechaFactura, R543, diasCredito, IF(E543="Pago inmediato", 0, IFERROR(VALUE(MID(E543, 1, SEARCH(" ", E543)-1)),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43" s="79">
        <f>IF(AN543="","",IF(AND(N543&gt;0, AG543&gt;0), IF(Configuración!$K$2="NO", "ALERTA: DESCUENTO DOBLE NO PERMITIDO", "OK"), "OK"))</f>
        <v/>
      </c>
      <c r="AR543" s="79">
        <f>IF(AN543="","",IF(OR(AO543&lt;&gt;"OK", AP543&lt;&gt;"OK", AQ543&lt;&gt;"OK"), "⚠️ REVISAR", "OK"))</f>
        <v/>
      </c>
    </row>
    <row r="544">
      <c r="A544" s="79">
        <f>IF('Ordenes_Odoo'!A544="","",'Ordenes_Odoo'!A544)</f>
        <v/>
      </c>
      <c r="B544" s="80">
        <f>IF('Ordenes_Odoo'!B544="","",'Ordenes_Odoo'!B544)</f>
        <v/>
      </c>
      <c r="C544" s="79">
        <f>IF('Ordenes_Odoo'!C544="","",'Ordenes_Odoo'!C544)</f>
        <v/>
      </c>
      <c r="D544" s="79">
        <f>IF('Ordenes_Odoo'!D544="","",'Ordenes_Odoo'!D544)</f>
        <v/>
      </c>
      <c r="E544" s="79">
        <f>IF('Ordenes_Odoo'!E544="","",'Ordenes_Odoo'!E544)</f>
        <v/>
      </c>
      <c r="F544" s="79">
        <f>IF('Ordenes_Odoo'!F544="","",'Ordenes_Odoo'!F544)</f>
        <v/>
      </c>
      <c r="G544" s="79">
        <f>IF('Ordenes_Odoo'!G544="","",'Ordenes_Odoo'!G544)</f>
        <v/>
      </c>
      <c r="H544" s="79">
        <f>IF('Ordenes_Odoo'!H544="","",'Ordenes_Odoo'!H544)</f>
        <v/>
      </c>
      <c r="I544" s="79">
        <f>IF('Ordenes_Odoo'!I544="","",'Ordenes_Odoo'!I544)</f>
        <v/>
      </c>
      <c r="J544" s="79">
        <f>IF('Ordenes_Odoo'!J544="","",'Ordenes_Odoo'!J544)</f>
        <v/>
      </c>
      <c r="K544" s="81">
        <f>IF('Ordenes_Odoo'!K544="","",'Ordenes_Odoo'!K544)</f>
        <v/>
      </c>
      <c r="L544" s="81">
        <f>IF('Ordenes_Odoo'!L544="","",'Ordenes_Odoo'!L544)</f>
        <v/>
      </c>
      <c r="M544" s="79">
        <f>IF('Ordenes_Odoo'!M544="","",'Ordenes_Odoo'!M544)</f>
        <v/>
      </c>
      <c r="N544" s="79">
        <f>IF('Ordenes_Odoo'!N544="","",'Ordenes_Odoo'!N544)</f>
        <v/>
      </c>
      <c r="O544" s="81">
        <f>IF('Ordenes_Odoo'!O544="","",'Ordenes_Odoo'!O544)</f>
        <v/>
      </c>
      <c r="P544" s="81">
        <f>IF('Ordenes_Odoo'!P544="","",'Ordenes_Odoo'!P544)</f>
        <v/>
      </c>
      <c r="Q544" s="79">
        <f>IF(A544="","",IFERROR(INDEX(Facturas_Odoo!$B:$B, MATCH(A544, Facturas_Odoo!$D:$D, 0)), "Sin Factura"))</f>
        <v/>
      </c>
      <c r="R544" s="80">
        <f>IF(Q544="Sin Factura","",IFERROR(INDEX(Facturas_Odoo!$A:$A, MATCH(Q544, Facturas_Odoo!$B:$B, 0)), ""))</f>
        <v/>
      </c>
      <c r="S544" s="79">
        <f>IF(Q544="Sin Factura","",IFERROR(_xlfn.XLOOKUP(1, (Facturas_Odoo!$D:$D=A544) * (Facturas_Odoo!$K:$K=I544), Facturas_Odoo!$L:$L, ""), ""))</f>
        <v/>
      </c>
      <c r="T544" s="81">
        <f>IF(Q544="Sin Factura",0,IFERROR(_xlfn.XLOOKUP(1, (Facturas_Odoo!$D:$D=A544) * (Facturas_Odoo!$K:$K=I544), Facturas_Odoo!$M:$M, 0), 0))</f>
        <v/>
      </c>
      <c r="U544" s="79">
        <f>IF(Q544="Sin Factura",0,IFERROR(_xlfn.XLOOKUP(1, (Facturas_Odoo!$D:$D=A544) * (Facturas_Odoo!$K:$K=I544), Facturas_Odoo!$N:$N, 0), 0))</f>
        <v/>
      </c>
      <c r="V544" s="79">
        <f>IF(Q544="Sin Factura",0,IFERROR(_xlfn.XLOOKUP(1, (Facturas_Odoo!$D:$D=A544) * (Facturas_Odoo!$K:$K=I544), Facturas_Odoo!$O:$O, 0), 0))</f>
        <v/>
      </c>
      <c r="W544" s="81">
        <f>IF(Q544="Sin Factura",0,IFERROR(_xlfn.XLOOKUP(1, (Facturas_Odoo!$D:$D=A544) * (Facturas_Odoo!$K:$K=I544), Facturas_Odoo!$Q:$Q, 0), 0))</f>
        <v/>
      </c>
      <c r="X544" s="79">
        <f>IF(OR(Q544="Sin Factura",Q544=""),"",IFERROR(INDEX(Pagos_Odoo!$B:$B, MATCH(Q544, Pagos_Odoo!$I:$I, 0)), "Sin Pago"))</f>
        <v/>
      </c>
      <c r="Y544" s="79">
        <f>IF(X544="Sin Pago","",IFERROR(INDEX(Pagos_Odoo!$C:$C, MATCH(X544, Pagos_Odoo!$B:$B, 0)), ""))</f>
        <v/>
      </c>
      <c r="Z544" s="80">
        <f>IF(X544="Sin Pago","",IFERROR(INDEX(Pagos_Odoo!$A:$A, MATCH(X544, Pagos_Odoo!$B:$B, 0)), ""))</f>
        <v/>
      </c>
      <c r="AA544" s="79">
        <f>IF(X544="Sin Pago","",IFERROR(INDEX(Pagos_Odoo!$F:$F, MATCH(X544, Pagos_Odoo!$B:$B, 0)), ""))</f>
        <v/>
      </c>
      <c r="AB544" s="81">
        <f>IF(X544="Sin Pago",0,IFERROR(INDEX(Pagos_Odoo!$E:$E, MATCH(X544, Pagos_Odoo!$B:$B, 0)), 0))</f>
        <v/>
      </c>
      <c r="AC544" s="79">
        <f>IF(X544="Sin Pago","",IFERROR(INDEX(Pagos_Odoo!$G:$G, MATCH(X544, Pagos_Odoo!$B:$B, 0)), ""))</f>
        <v/>
      </c>
      <c r="AD544" s="82" t="n">
        <v>0</v>
      </c>
      <c r="AE544" s="82" t="n"/>
      <c r="AF544" s="82" t="n"/>
      <c r="AG544" s="82">
        <f>IF(AN544="","",AD544+AE544+AF544)</f>
        <v/>
      </c>
      <c r="AH544" s="81">
        <f>IF(AN544="","",P544*(1-AG544))</f>
        <v/>
      </c>
      <c r="AI544" s="81">
        <f>IF(AN544="","",IF(Q544="Sin Factura",0,IFERROR(INDEX(Facturas_Odoo!$H:$H, MATCH(Q544, Facturas_Odoo!$B:$B, 0)), 0)*(1-AG544)))</f>
        <v/>
      </c>
      <c r="AJ544" s="81">
        <f>IF(AN544="","",_xlfn.LET(idVenta, AN544&amp;"",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44" s="81">
        <f>IF(AN544="","",AH544-AJ544)</f>
        <v/>
      </c>
      <c r="AL544" s="81">
        <f>IF(AN544="","",IF(Q544="Sin Factura","",AI544-AJ544))</f>
        <v/>
      </c>
      <c r="AM544" s="81">
        <f>IF(AN544="","",IF(Q544="Sin Factura",0,P544-IFERROR(INDEX(Facturas_Odoo!$H:$H, MATCH(Q544, Facturas_Odoo!$B:$B, 0)), 0)))</f>
        <v/>
      </c>
      <c r="AN544" s="79">
        <f>IF(AND(A544="", J544=""), "", IF(A544&lt;&gt;"", VALUE(MID(A544,2,LEN(A544))), AN543))</f>
        <v/>
      </c>
      <c r="AO544" s="79">
        <f>IF(AN544="","",IF(AD544=0,"OK",_xlfn.LET(monedaPago, IF(AA544="","USD",AA544), limitePermitido, IFERROR(VLOOKUP(monedaPago, Configuración!$A$2:$B$3, 2, FALSE), 0.15), IF(AD544&gt;limitePermitido, "ALERTA: EXCESO (" &amp; TEXT(limitePermitido, "0%") &amp; " máx)", "OK"))))</f>
        <v/>
      </c>
      <c r="AP544" s="79">
        <f>IF(AN544="","",IF(AE544=0,"OK",_xlfn.LET(fechaPago, Z544, fechaFactura, R544, diasCredito, IF(E544="Pago inmediato", 0, IFERROR(VALUE(MID(E544, 1, SEARCH(" ", E544)-1)),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44" s="79">
        <f>IF(AN544="","",IF(AND(N544&gt;0, AG544&gt;0), IF(Configuración!$K$2="NO", "ALERTA: DESCUENTO DOBLE NO PERMITIDO", "OK"), "OK"))</f>
        <v/>
      </c>
      <c r="AR544" s="79">
        <f>IF(AN544="","",IF(OR(AO544&lt;&gt;"OK", AP544&lt;&gt;"OK", AQ544&lt;&gt;"OK"), "⚠️ REVISAR", "OK"))</f>
        <v/>
      </c>
    </row>
    <row r="545">
      <c r="A545" s="79">
        <f>IF('Ordenes_Odoo'!A545="","",'Ordenes_Odoo'!A545)</f>
        <v/>
      </c>
      <c r="B545" s="80">
        <f>IF('Ordenes_Odoo'!B545="","",'Ordenes_Odoo'!B545)</f>
        <v/>
      </c>
      <c r="C545" s="79">
        <f>IF('Ordenes_Odoo'!C545="","",'Ordenes_Odoo'!C545)</f>
        <v/>
      </c>
      <c r="D545" s="79">
        <f>IF('Ordenes_Odoo'!D545="","",'Ordenes_Odoo'!D545)</f>
        <v/>
      </c>
      <c r="E545" s="79">
        <f>IF('Ordenes_Odoo'!E545="","",'Ordenes_Odoo'!E545)</f>
        <v/>
      </c>
      <c r="F545" s="79">
        <f>IF('Ordenes_Odoo'!F545="","",'Ordenes_Odoo'!F545)</f>
        <v/>
      </c>
      <c r="G545" s="79">
        <f>IF('Ordenes_Odoo'!G545="","",'Ordenes_Odoo'!G545)</f>
        <v/>
      </c>
      <c r="H545" s="79">
        <f>IF('Ordenes_Odoo'!H545="","",'Ordenes_Odoo'!H545)</f>
        <v/>
      </c>
      <c r="I545" s="79">
        <f>IF('Ordenes_Odoo'!I545="","",'Ordenes_Odoo'!I545)</f>
        <v/>
      </c>
      <c r="J545" s="79">
        <f>IF('Ordenes_Odoo'!J545="","",'Ordenes_Odoo'!J545)</f>
        <v/>
      </c>
      <c r="K545" s="81">
        <f>IF('Ordenes_Odoo'!K545="","",'Ordenes_Odoo'!K545)</f>
        <v/>
      </c>
      <c r="L545" s="81">
        <f>IF('Ordenes_Odoo'!L545="","",'Ordenes_Odoo'!L545)</f>
        <v/>
      </c>
      <c r="M545" s="79">
        <f>IF('Ordenes_Odoo'!M545="","",'Ordenes_Odoo'!M545)</f>
        <v/>
      </c>
      <c r="N545" s="79">
        <f>IF('Ordenes_Odoo'!N545="","",'Ordenes_Odoo'!N545)</f>
        <v/>
      </c>
      <c r="O545" s="81">
        <f>IF('Ordenes_Odoo'!O545="","",'Ordenes_Odoo'!O545)</f>
        <v/>
      </c>
      <c r="P545" s="81">
        <f>IF('Ordenes_Odoo'!P545="","",'Ordenes_Odoo'!P545)</f>
        <v/>
      </c>
      <c r="Q545" s="79">
        <f>IF(A545="","",IFERROR(INDEX(Facturas_Odoo!$B:$B, MATCH(A545, Facturas_Odoo!$D:$D, 0)), "Sin Factura"))</f>
        <v/>
      </c>
      <c r="R545" s="80">
        <f>IF(Q545="Sin Factura","",IFERROR(INDEX(Facturas_Odoo!$A:$A, MATCH(Q545, Facturas_Odoo!$B:$B, 0)), ""))</f>
        <v/>
      </c>
      <c r="S545" s="79">
        <f>IF(Q545="Sin Factura","",IFERROR(_xlfn.XLOOKUP(1, (Facturas_Odoo!$D:$D=A545) * (Facturas_Odoo!$K:$K=I545), Facturas_Odoo!$L:$L, ""), ""))</f>
        <v/>
      </c>
      <c r="T545" s="81">
        <f>IF(Q545="Sin Factura",0,IFERROR(_xlfn.XLOOKUP(1, (Facturas_Odoo!$D:$D=A545) * (Facturas_Odoo!$K:$K=I545), Facturas_Odoo!$M:$M, 0), 0))</f>
        <v/>
      </c>
      <c r="U545" s="79">
        <f>IF(Q545="Sin Factura",0,IFERROR(_xlfn.XLOOKUP(1, (Facturas_Odoo!$D:$D=A545) * (Facturas_Odoo!$K:$K=I545), Facturas_Odoo!$N:$N, 0), 0))</f>
        <v/>
      </c>
      <c r="V545" s="79">
        <f>IF(Q545="Sin Factura",0,IFERROR(_xlfn.XLOOKUP(1, (Facturas_Odoo!$D:$D=A545) * (Facturas_Odoo!$K:$K=I545), Facturas_Odoo!$O:$O, 0), 0))</f>
        <v/>
      </c>
      <c r="W545" s="81">
        <f>IF(Q545="Sin Factura",0,IFERROR(_xlfn.XLOOKUP(1, (Facturas_Odoo!$D:$D=A545) * (Facturas_Odoo!$K:$K=I545), Facturas_Odoo!$Q:$Q, 0), 0))</f>
        <v/>
      </c>
      <c r="X545" s="79">
        <f>IF(OR(Q545="Sin Factura",Q545=""),"",IFERROR(INDEX(Pagos_Odoo!$B:$B, MATCH(Q545, Pagos_Odoo!$I:$I, 0)), "Sin Pago"))</f>
        <v/>
      </c>
      <c r="Y545" s="79">
        <f>IF(X545="Sin Pago","",IFERROR(INDEX(Pagos_Odoo!$C:$C, MATCH(X545, Pagos_Odoo!$B:$B, 0)), ""))</f>
        <v/>
      </c>
      <c r="Z545" s="80">
        <f>IF(X545="Sin Pago","",IFERROR(INDEX(Pagos_Odoo!$A:$A, MATCH(X545, Pagos_Odoo!$B:$B, 0)), ""))</f>
        <v/>
      </c>
      <c r="AA545" s="79">
        <f>IF(X545="Sin Pago","",IFERROR(INDEX(Pagos_Odoo!$F:$F, MATCH(X545, Pagos_Odoo!$B:$B, 0)), ""))</f>
        <v/>
      </c>
      <c r="AB545" s="81">
        <f>IF(X545="Sin Pago",0,IFERROR(INDEX(Pagos_Odoo!$E:$E, MATCH(X545, Pagos_Odoo!$B:$B, 0)), 0))</f>
        <v/>
      </c>
      <c r="AC545" s="79">
        <f>IF(X545="Sin Pago","",IFERROR(INDEX(Pagos_Odoo!$G:$G, MATCH(X545, Pagos_Odoo!$B:$B, 0)), ""))</f>
        <v/>
      </c>
      <c r="AD545" s="82" t="n">
        <v>0</v>
      </c>
      <c r="AE545" s="82" t="n"/>
      <c r="AF545" s="82" t="n"/>
      <c r="AG545" s="82">
        <f>IF(AN545="","",AD545+AE545+AF545)</f>
        <v/>
      </c>
      <c r="AH545" s="81">
        <f>IF(AN545="","",P545*(1-AG545))</f>
        <v/>
      </c>
      <c r="AI545" s="81">
        <f>IF(AN545="","",IF(Q545="Sin Factura",0,IFERROR(INDEX(Facturas_Odoo!$H:$H, MATCH(Q545, Facturas_Odoo!$B:$B, 0)), 0)*(1-AG545)))</f>
        <v/>
      </c>
      <c r="AJ545" s="81">
        <f>IF(AN545="","",_xlfn.LET(idVenta, AN545&amp;"",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45" s="81">
        <f>IF(AN545="","",AH545-AJ545)</f>
        <v/>
      </c>
      <c r="AL545" s="81">
        <f>IF(AN545="","",IF(Q545="Sin Factura","",AI545-AJ545))</f>
        <v/>
      </c>
      <c r="AM545" s="81">
        <f>IF(AN545="","",IF(Q545="Sin Factura",0,P545-IFERROR(INDEX(Facturas_Odoo!$H:$H, MATCH(Q545, Facturas_Odoo!$B:$B, 0)), 0)))</f>
        <v/>
      </c>
      <c r="AN545" s="79">
        <f>IF(AND(A545="", J545=""), "", IF(A545&lt;&gt;"", VALUE(MID(A545,2,LEN(A545))), AN544))</f>
        <v/>
      </c>
      <c r="AO545" s="79">
        <f>IF(AN545="","",IF(AD545=0,"OK",_xlfn.LET(monedaPago, IF(AA545="","USD",AA545), limitePermitido, IFERROR(VLOOKUP(monedaPago, Configuración!$A$2:$B$3, 2, FALSE), 0.15), IF(AD545&gt;limitePermitido, "ALERTA: EXCESO (" &amp; TEXT(limitePermitido, "0%") &amp; " máx)", "OK"))))</f>
        <v/>
      </c>
      <c r="AP545" s="79">
        <f>IF(AN545="","",IF(AE545=0,"OK",_xlfn.LET(fechaPago, Z545, fechaFactura, R545, diasCredito, IF(E545="Pago inmediato", 0, IFERROR(VALUE(MID(E545, 1, SEARCH(" ", E545)-1)),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45" s="79">
        <f>IF(AN545="","",IF(AND(N545&gt;0, AG545&gt;0), IF(Configuración!$K$2="NO", "ALERTA: DESCUENTO DOBLE NO PERMITIDO", "OK"), "OK"))</f>
        <v/>
      </c>
      <c r="AR545" s="79">
        <f>IF(AN545="","",IF(OR(AO545&lt;&gt;"OK", AP545&lt;&gt;"OK", AQ545&lt;&gt;"OK"), "⚠️ REVISAR", "OK"))</f>
        <v/>
      </c>
    </row>
    <row r="546">
      <c r="A546" s="79">
        <f>IF('Ordenes_Odoo'!A546="","",'Ordenes_Odoo'!A546)</f>
        <v/>
      </c>
      <c r="B546" s="80">
        <f>IF('Ordenes_Odoo'!B546="","",'Ordenes_Odoo'!B546)</f>
        <v/>
      </c>
      <c r="C546" s="79">
        <f>IF('Ordenes_Odoo'!C546="","",'Ordenes_Odoo'!C546)</f>
        <v/>
      </c>
      <c r="D546" s="79">
        <f>IF('Ordenes_Odoo'!D546="","",'Ordenes_Odoo'!D546)</f>
        <v/>
      </c>
      <c r="E546" s="79">
        <f>IF('Ordenes_Odoo'!E546="","",'Ordenes_Odoo'!E546)</f>
        <v/>
      </c>
      <c r="F546" s="79">
        <f>IF('Ordenes_Odoo'!F546="","",'Ordenes_Odoo'!F546)</f>
        <v/>
      </c>
      <c r="G546" s="79">
        <f>IF('Ordenes_Odoo'!G546="","",'Ordenes_Odoo'!G546)</f>
        <v/>
      </c>
      <c r="H546" s="79">
        <f>IF('Ordenes_Odoo'!H546="","",'Ordenes_Odoo'!H546)</f>
        <v/>
      </c>
      <c r="I546" s="79">
        <f>IF('Ordenes_Odoo'!I546="","",'Ordenes_Odoo'!I546)</f>
        <v/>
      </c>
      <c r="J546" s="79">
        <f>IF('Ordenes_Odoo'!J546="","",'Ordenes_Odoo'!J546)</f>
        <v/>
      </c>
      <c r="K546" s="81">
        <f>IF('Ordenes_Odoo'!K546="","",'Ordenes_Odoo'!K546)</f>
        <v/>
      </c>
      <c r="L546" s="81">
        <f>IF('Ordenes_Odoo'!L546="","",'Ordenes_Odoo'!L546)</f>
        <v/>
      </c>
      <c r="M546" s="79">
        <f>IF('Ordenes_Odoo'!M546="","",'Ordenes_Odoo'!M546)</f>
        <v/>
      </c>
      <c r="N546" s="79">
        <f>IF('Ordenes_Odoo'!N546="","",'Ordenes_Odoo'!N546)</f>
        <v/>
      </c>
      <c r="O546" s="81">
        <f>IF('Ordenes_Odoo'!O546="","",'Ordenes_Odoo'!O546)</f>
        <v/>
      </c>
      <c r="P546" s="81">
        <f>IF('Ordenes_Odoo'!P546="","",'Ordenes_Odoo'!P546)</f>
        <v/>
      </c>
      <c r="Q546" s="79">
        <f>IF(A546="","",IFERROR(INDEX(Facturas_Odoo!$B:$B, MATCH(A546, Facturas_Odoo!$D:$D, 0)), "Sin Factura"))</f>
        <v/>
      </c>
      <c r="R546" s="80">
        <f>IF(Q546="Sin Factura","",IFERROR(INDEX(Facturas_Odoo!$A:$A, MATCH(Q546, Facturas_Odoo!$B:$B, 0)), ""))</f>
        <v/>
      </c>
      <c r="S546" s="79">
        <f>IF(Q546="Sin Factura","",IFERROR(_xlfn.XLOOKUP(1, (Facturas_Odoo!$D:$D=A546) * (Facturas_Odoo!$K:$K=I546), Facturas_Odoo!$L:$L, ""), ""))</f>
        <v/>
      </c>
      <c r="T546" s="81">
        <f>IF(Q546="Sin Factura",0,IFERROR(_xlfn.XLOOKUP(1, (Facturas_Odoo!$D:$D=A546) * (Facturas_Odoo!$K:$K=I546), Facturas_Odoo!$M:$M, 0), 0))</f>
        <v/>
      </c>
      <c r="U546" s="79">
        <f>IF(Q546="Sin Factura",0,IFERROR(_xlfn.XLOOKUP(1, (Facturas_Odoo!$D:$D=A546) * (Facturas_Odoo!$K:$K=I546), Facturas_Odoo!$N:$N, 0), 0))</f>
        <v/>
      </c>
      <c r="V546" s="79">
        <f>IF(Q546="Sin Factura",0,IFERROR(_xlfn.XLOOKUP(1, (Facturas_Odoo!$D:$D=A546) * (Facturas_Odoo!$K:$K=I546), Facturas_Odoo!$O:$O, 0), 0))</f>
        <v/>
      </c>
      <c r="W546" s="81">
        <f>IF(Q546="Sin Factura",0,IFERROR(_xlfn.XLOOKUP(1, (Facturas_Odoo!$D:$D=A546) * (Facturas_Odoo!$K:$K=I546), Facturas_Odoo!$Q:$Q, 0), 0))</f>
        <v/>
      </c>
      <c r="X546" s="79">
        <f>IF(OR(Q546="Sin Factura",Q546=""),"",IFERROR(INDEX(Pagos_Odoo!$B:$B, MATCH(Q546, Pagos_Odoo!$I:$I, 0)), "Sin Pago"))</f>
        <v/>
      </c>
      <c r="Y546" s="79">
        <f>IF(X546="Sin Pago","",IFERROR(INDEX(Pagos_Odoo!$C:$C, MATCH(X546, Pagos_Odoo!$B:$B, 0)), ""))</f>
        <v/>
      </c>
      <c r="Z546" s="80">
        <f>IF(X546="Sin Pago","",IFERROR(INDEX(Pagos_Odoo!$A:$A, MATCH(X546, Pagos_Odoo!$B:$B, 0)), ""))</f>
        <v/>
      </c>
      <c r="AA546" s="79">
        <f>IF(X546="Sin Pago","",IFERROR(INDEX(Pagos_Odoo!$F:$F, MATCH(X546, Pagos_Odoo!$B:$B, 0)), ""))</f>
        <v/>
      </c>
      <c r="AB546" s="81">
        <f>IF(X546="Sin Pago",0,IFERROR(INDEX(Pagos_Odoo!$E:$E, MATCH(X546, Pagos_Odoo!$B:$B, 0)), 0))</f>
        <v/>
      </c>
      <c r="AC546" s="79">
        <f>IF(X546="Sin Pago","",IFERROR(INDEX(Pagos_Odoo!$G:$G, MATCH(X546, Pagos_Odoo!$B:$B, 0)), ""))</f>
        <v/>
      </c>
      <c r="AD546" s="82" t="n">
        <v>0</v>
      </c>
      <c r="AE546" s="82" t="n"/>
      <c r="AF546" s="82" t="n"/>
      <c r="AG546" s="82">
        <f>IF(AN546="","",AD546+AE546+AF546)</f>
        <v/>
      </c>
      <c r="AH546" s="81">
        <f>IF(AN546="","",P546*(1-AG546))</f>
        <v/>
      </c>
      <c r="AI546" s="81">
        <f>IF(AN546="","",IF(Q546="Sin Factura",0,IFERROR(INDEX(Facturas_Odoo!$H:$H, MATCH(Q546, Facturas_Odoo!$B:$B, 0)), 0)*(1-AG546)))</f>
        <v/>
      </c>
      <c r="AJ546" s="81">
        <f>IF(AN546="","",_xlfn.LET(idVenta, AN546&amp;"",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46" s="81">
        <f>IF(AN546="","",AH546-AJ546)</f>
        <v/>
      </c>
      <c r="AL546" s="81">
        <f>IF(AN546="","",IF(Q546="Sin Factura","",AI546-AJ546))</f>
        <v/>
      </c>
      <c r="AM546" s="81">
        <f>IF(AN546="","",IF(Q546="Sin Factura",0,P546-IFERROR(INDEX(Facturas_Odoo!$H:$H, MATCH(Q546, Facturas_Odoo!$B:$B, 0)), 0)))</f>
        <v/>
      </c>
      <c r="AN546" s="79">
        <f>IF(AND(A546="", J546=""), "", IF(A546&lt;&gt;"", VALUE(MID(A546,2,LEN(A546))), AN545))</f>
        <v/>
      </c>
      <c r="AO546" s="79">
        <f>IF(AN546="","",IF(AD546=0,"OK",_xlfn.LET(monedaPago, IF(AA546="","USD",AA546), limitePermitido, IFERROR(VLOOKUP(monedaPago, Configuración!$A$2:$B$3, 2, FALSE), 0.15), IF(AD546&gt;limitePermitido, "ALERTA: EXCESO (" &amp; TEXT(limitePermitido, "0%") &amp; " máx)", "OK"))))</f>
        <v/>
      </c>
      <c r="AP546" s="79">
        <f>IF(AN546="","",IF(AE546=0,"OK",_xlfn.LET(fechaPago, Z546, fechaFactura, R546, diasCredito, IF(E546="Pago inmediato", 0, IFERROR(VALUE(MID(E546, 1, SEARCH(" ", E546)-1)),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46" s="79">
        <f>IF(AN546="","",IF(AND(N546&gt;0, AG546&gt;0), IF(Configuración!$K$2="NO", "ALERTA: DESCUENTO DOBLE NO PERMITIDO", "OK"), "OK"))</f>
        <v/>
      </c>
      <c r="AR546" s="79">
        <f>IF(AN546="","",IF(OR(AO546&lt;&gt;"OK", AP546&lt;&gt;"OK", AQ546&lt;&gt;"OK"), "⚠️ REVISAR", "OK"))</f>
        <v/>
      </c>
    </row>
    <row r="547">
      <c r="A547" s="79">
        <f>IF('Ordenes_Odoo'!A547="","",'Ordenes_Odoo'!A547)</f>
        <v/>
      </c>
      <c r="B547" s="80">
        <f>IF('Ordenes_Odoo'!B547="","",'Ordenes_Odoo'!B547)</f>
        <v/>
      </c>
      <c r="C547" s="79">
        <f>IF('Ordenes_Odoo'!C547="","",'Ordenes_Odoo'!C547)</f>
        <v/>
      </c>
      <c r="D547" s="79">
        <f>IF('Ordenes_Odoo'!D547="","",'Ordenes_Odoo'!D547)</f>
        <v/>
      </c>
      <c r="E547" s="79">
        <f>IF('Ordenes_Odoo'!E547="","",'Ordenes_Odoo'!E547)</f>
        <v/>
      </c>
      <c r="F547" s="79">
        <f>IF('Ordenes_Odoo'!F547="","",'Ordenes_Odoo'!F547)</f>
        <v/>
      </c>
      <c r="G547" s="79">
        <f>IF('Ordenes_Odoo'!G547="","",'Ordenes_Odoo'!G547)</f>
        <v/>
      </c>
      <c r="H547" s="79">
        <f>IF('Ordenes_Odoo'!H547="","",'Ordenes_Odoo'!H547)</f>
        <v/>
      </c>
      <c r="I547" s="79">
        <f>IF('Ordenes_Odoo'!I547="","",'Ordenes_Odoo'!I547)</f>
        <v/>
      </c>
      <c r="J547" s="79">
        <f>IF('Ordenes_Odoo'!J547="","",'Ordenes_Odoo'!J547)</f>
        <v/>
      </c>
      <c r="K547" s="81">
        <f>IF('Ordenes_Odoo'!K547="","",'Ordenes_Odoo'!K547)</f>
        <v/>
      </c>
      <c r="L547" s="81">
        <f>IF('Ordenes_Odoo'!L547="","",'Ordenes_Odoo'!L547)</f>
        <v/>
      </c>
      <c r="M547" s="79">
        <f>IF('Ordenes_Odoo'!M547="","",'Ordenes_Odoo'!M547)</f>
        <v/>
      </c>
      <c r="N547" s="79">
        <f>IF('Ordenes_Odoo'!N547="","",'Ordenes_Odoo'!N547)</f>
        <v/>
      </c>
      <c r="O547" s="81">
        <f>IF('Ordenes_Odoo'!O547="","",'Ordenes_Odoo'!O547)</f>
        <v/>
      </c>
      <c r="P547" s="81">
        <f>IF('Ordenes_Odoo'!P547="","",'Ordenes_Odoo'!P547)</f>
        <v/>
      </c>
      <c r="Q547" s="79">
        <f>IF(A547="","",IFERROR(INDEX(Facturas_Odoo!$B:$B, MATCH(A547, Facturas_Odoo!$D:$D, 0)), "Sin Factura"))</f>
        <v/>
      </c>
      <c r="R547" s="80">
        <f>IF(Q547="Sin Factura","",IFERROR(INDEX(Facturas_Odoo!$A:$A, MATCH(Q547, Facturas_Odoo!$B:$B, 0)), ""))</f>
        <v/>
      </c>
      <c r="S547" s="79">
        <f>IF(Q547="Sin Factura","",IFERROR(_xlfn.XLOOKUP(1, (Facturas_Odoo!$D:$D=A547) * (Facturas_Odoo!$K:$K=I547), Facturas_Odoo!$L:$L, ""), ""))</f>
        <v/>
      </c>
      <c r="T547" s="81">
        <f>IF(Q547="Sin Factura",0,IFERROR(_xlfn.XLOOKUP(1, (Facturas_Odoo!$D:$D=A547) * (Facturas_Odoo!$K:$K=I547), Facturas_Odoo!$M:$M, 0), 0))</f>
        <v/>
      </c>
      <c r="U547" s="79">
        <f>IF(Q547="Sin Factura",0,IFERROR(_xlfn.XLOOKUP(1, (Facturas_Odoo!$D:$D=A547) * (Facturas_Odoo!$K:$K=I547), Facturas_Odoo!$N:$N, 0), 0))</f>
        <v/>
      </c>
      <c r="V547" s="79">
        <f>IF(Q547="Sin Factura",0,IFERROR(_xlfn.XLOOKUP(1, (Facturas_Odoo!$D:$D=A547) * (Facturas_Odoo!$K:$K=I547), Facturas_Odoo!$O:$O, 0), 0))</f>
        <v/>
      </c>
      <c r="W547" s="81">
        <f>IF(Q547="Sin Factura",0,IFERROR(_xlfn.XLOOKUP(1, (Facturas_Odoo!$D:$D=A547) * (Facturas_Odoo!$K:$K=I547), Facturas_Odoo!$Q:$Q, 0), 0))</f>
        <v/>
      </c>
      <c r="X547" s="79">
        <f>IF(OR(Q547="Sin Factura",Q547=""),"",IFERROR(INDEX(Pagos_Odoo!$B:$B, MATCH(Q547, Pagos_Odoo!$I:$I, 0)), "Sin Pago"))</f>
        <v/>
      </c>
      <c r="Y547" s="79">
        <f>IF(X547="Sin Pago","",IFERROR(INDEX(Pagos_Odoo!$C:$C, MATCH(X547, Pagos_Odoo!$B:$B, 0)), ""))</f>
        <v/>
      </c>
      <c r="Z547" s="80">
        <f>IF(X547="Sin Pago","",IFERROR(INDEX(Pagos_Odoo!$A:$A, MATCH(X547, Pagos_Odoo!$B:$B, 0)), ""))</f>
        <v/>
      </c>
      <c r="AA547" s="79">
        <f>IF(X547="Sin Pago","",IFERROR(INDEX(Pagos_Odoo!$F:$F, MATCH(X547, Pagos_Odoo!$B:$B, 0)), ""))</f>
        <v/>
      </c>
      <c r="AB547" s="81">
        <f>IF(X547="Sin Pago",0,IFERROR(INDEX(Pagos_Odoo!$E:$E, MATCH(X547, Pagos_Odoo!$B:$B, 0)), 0))</f>
        <v/>
      </c>
      <c r="AC547" s="79">
        <f>IF(X547="Sin Pago","",IFERROR(INDEX(Pagos_Odoo!$G:$G, MATCH(X547, Pagos_Odoo!$B:$B, 0)), ""))</f>
        <v/>
      </c>
      <c r="AD547" s="82" t="n">
        <v>0</v>
      </c>
      <c r="AE547" s="82" t="n"/>
      <c r="AF547" s="82" t="n"/>
      <c r="AG547" s="82">
        <f>IF(AN547="","",AD547+AE547+AF547)</f>
        <v/>
      </c>
      <c r="AH547" s="81">
        <f>IF(AN547="","",P547*(1-AG547))</f>
        <v/>
      </c>
      <c r="AI547" s="81">
        <f>IF(AN547="","",IF(Q547="Sin Factura",0,IFERROR(INDEX(Facturas_Odoo!$H:$H, MATCH(Q547, Facturas_Odoo!$B:$B, 0)), 0)*(1-AG547)))</f>
        <v/>
      </c>
      <c r="AJ547" s="81">
        <f>IF(AN547="","",_xlfn.LET(idVenta, AN547&amp;"",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47" s="81">
        <f>IF(AN547="","",AH547-AJ547)</f>
        <v/>
      </c>
      <c r="AL547" s="81">
        <f>IF(AN547="","",IF(Q547="Sin Factura","",AI547-AJ547))</f>
        <v/>
      </c>
      <c r="AM547" s="81">
        <f>IF(AN547="","",IF(Q547="Sin Factura",0,P547-IFERROR(INDEX(Facturas_Odoo!$H:$H, MATCH(Q547, Facturas_Odoo!$B:$B, 0)), 0)))</f>
        <v/>
      </c>
      <c r="AN547" s="79">
        <f>IF(AND(A547="", J547=""), "", IF(A547&lt;&gt;"", VALUE(MID(A547,2,LEN(A547))), AN546))</f>
        <v/>
      </c>
      <c r="AO547" s="79">
        <f>IF(AN547="","",IF(AD547=0,"OK",_xlfn.LET(monedaPago, IF(AA547="","USD",AA547), limitePermitido, IFERROR(VLOOKUP(monedaPago, Configuración!$A$2:$B$3, 2, FALSE), 0.15), IF(AD547&gt;limitePermitido, "ALERTA: EXCESO (" &amp; TEXT(limitePermitido, "0%") &amp; " máx)", "OK"))))</f>
        <v/>
      </c>
      <c r="AP547" s="79">
        <f>IF(AN547="","",IF(AE547=0,"OK",_xlfn.LET(fechaPago, Z547, fechaFactura, R547, diasCredito, IF(E547="Pago inmediato", 0, IFERROR(VALUE(MID(E547, 1, SEARCH(" ", E547)-1)),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47" s="79">
        <f>IF(AN547="","",IF(AND(N547&gt;0, AG547&gt;0), IF(Configuración!$K$2="NO", "ALERTA: DESCUENTO DOBLE NO PERMITIDO", "OK"), "OK"))</f>
        <v/>
      </c>
      <c r="AR547" s="79">
        <f>IF(AN547="","",IF(OR(AO547&lt;&gt;"OK", AP547&lt;&gt;"OK", AQ547&lt;&gt;"OK"), "⚠️ REVISAR", "OK"))</f>
        <v/>
      </c>
    </row>
    <row r="548">
      <c r="A548" s="79">
        <f>IF('Ordenes_Odoo'!A548="","",'Ordenes_Odoo'!A548)</f>
        <v/>
      </c>
      <c r="B548" s="80">
        <f>IF('Ordenes_Odoo'!B548="","",'Ordenes_Odoo'!B548)</f>
        <v/>
      </c>
      <c r="C548" s="79">
        <f>IF('Ordenes_Odoo'!C548="","",'Ordenes_Odoo'!C548)</f>
        <v/>
      </c>
      <c r="D548" s="79">
        <f>IF('Ordenes_Odoo'!D548="","",'Ordenes_Odoo'!D548)</f>
        <v/>
      </c>
      <c r="E548" s="79">
        <f>IF('Ordenes_Odoo'!E548="","",'Ordenes_Odoo'!E548)</f>
        <v/>
      </c>
      <c r="F548" s="79">
        <f>IF('Ordenes_Odoo'!F548="","",'Ordenes_Odoo'!F548)</f>
        <v/>
      </c>
      <c r="G548" s="79">
        <f>IF('Ordenes_Odoo'!G548="","",'Ordenes_Odoo'!G548)</f>
        <v/>
      </c>
      <c r="H548" s="79">
        <f>IF('Ordenes_Odoo'!H548="","",'Ordenes_Odoo'!H548)</f>
        <v/>
      </c>
      <c r="I548" s="79">
        <f>IF('Ordenes_Odoo'!I548="","",'Ordenes_Odoo'!I548)</f>
        <v/>
      </c>
      <c r="J548" s="79">
        <f>IF('Ordenes_Odoo'!J548="","",'Ordenes_Odoo'!J548)</f>
        <v/>
      </c>
      <c r="K548" s="81">
        <f>IF('Ordenes_Odoo'!K548="","",'Ordenes_Odoo'!K548)</f>
        <v/>
      </c>
      <c r="L548" s="81">
        <f>IF('Ordenes_Odoo'!L548="","",'Ordenes_Odoo'!L548)</f>
        <v/>
      </c>
      <c r="M548" s="79">
        <f>IF('Ordenes_Odoo'!M548="","",'Ordenes_Odoo'!M548)</f>
        <v/>
      </c>
      <c r="N548" s="79">
        <f>IF('Ordenes_Odoo'!N548="","",'Ordenes_Odoo'!N548)</f>
        <v/>
      </c>
      <c r="O548" s="81">
        <f>IF('Ordenes_Odoo'!O548="","",'Ordenes_Odoo'!O548)</f>
        <v/>
      </c>
      <c r="P548" s="81">
        <f>IF('Ordenes_Odoo'!P548="","",'Ordenes_Odoo'!P548)</f>
        <v/>
      </c>
      <c r="Q548" s="79">
        <f>IF(A548="","",IFERROR(INDEX(Facturas_Odoo!$B:$B, MATCH(A548, Facturas_Odoo!$D:$D, 0)), "Sin Factura"))</f>
        <v/>
      </c>
      <c r="R548" s="80">
        <f>IF(Q548="Sin Factura","",IFERROR(INDEX(Facturas_Odoo!$A:$A, MATCH(Q548, Facturas_Odoo!$B:$B, 0)), ""))</f>
        <v/>
      </c>
      <c r="S548" s="79">
        <f>IF(Q548="Sin Factura","",IFERROR(_xlfn.XLOOKUP(1, (Facturas_Odoo!$D:$D=A548) * (Facturas_Odoo!$K:$K=I548), Facturas_Odoo!$L:$L, ""), ""))</f>
        <v/>
      </c>
      <c r="T548" s="81">
        <f>IF(Q548="Sin Factura",0,IFERROR(_xlfn.XLOOKUP(1, (Facturas_Odoo!$D:$D=A548) * (Facturas_Odoo!$K:$K=I548), Facturas_Odoo!$M:$M, 0), 0))</f>
        <v/>
      </c>
      <c r="U548" s="79">
        <f>IF(Q548="Sin Factura",0,IFERROR(_xlfn.XLOOKUP(1, (Facturas_Odoo!$D:$D=A548) * (Facturas_Odoo!$K:$K=I548), Facturas_Odoo!$N:$N, 0), 0))</f>
        <v/>
      </c>
      <c r="V548" s="79">
        <f>IF(Q548="Sin Factura",0,IFERROR(_xlfn.XLOOKUP(1, (Facturas_Odoo!$D:$D=A548) * (Facturas_Odoo!$K:$K=I548), Facturas_Odoo!$O:$O, 0), 0))</f>
        <v/>
      </c>
      <c r="W548" s="81">
        <f>IF(Q548="Sin Factura",0,IFERROR(_xlfn.XLOOKUP(1, (Facturas_Odoo!$D:$D=A548) * (Facturas_Odoo!$K:$K=I548), Facturas_Odoo!$Q:$Q, 0), 0))</f>
        <v/>
      </c>
      <c r="X548" s="79">
        <f>IF(OR(Q548="Sin Factura",Q548=""),"",IFERROR(INDEX(Pagos_Odoo!$B:$B, MATCH(Q548, Pagos_Odoo!$I:$I, 0)), "Sin Pago"))</f>
        <v/>
      </c>
      <c r="Y548" s="79">
        <f>IF(X548="Sin Pago","",IFERROR(INDEX(Pagos_Odoo!$C:$C, MATCH(X548, Pagos_Odoo!$B:$B, 0)), ""))</f>
        <v/>
      </c>
      <c r="Z548" s="80">
        <f>IF(X548="Sin Pago","",IFERROR(INDEX(Pagos_Odoo!$A:$A, MATCH(X548, Pagos_Odoo!$B:$B, 0)), ""))</f>
        <v/>
      </c>
      <c r="AA548" s="79">
        <f>IF(X548="Sin Pago","",IFERROR(INDEX(Pagos_Odoo!$F:$F, MATCH(X548, Pagos_Odoo!$B:$B, 0)), ""))</f>
        <v/>
      </c>
      <c r="AB548" s="81">
        <f>IF(X548="Sin Pago",0,IFERROR(INDEX(Pagos_Odoo!$E:$E, MATCH(X548, Pagos_Odoo!$B:$B, 0)), 0))</f>
        <v/>
      </c>
      <c r="AC548" s="79">
        <f>IF(X548="Sin Pago","",IFERROR(INDEX(Pagos_Odoo!$G:$G, MATCH(X548, Pagos_Odoo!$B:$B, 0)), ""))</f>
        <v/>
      </c>
      <c r="AD548" s="82" t="n">
        <v>0</v>
      </c>
      <c r="AE548" s="82" t="n"/>
      <c r="AF548" s="82" t="n"/>
      <c r="AG548" s="82">
        <f>IF(AN548="","",AD548+AE548+AF548)</f>
        <v/>
      </c>
      <c r="AH548" s="81">
        <f>IF(AN548="","",P548*(1-AG548))</f>
        <v/>
      </c>
      <c r="AI548" s="81">
        <f>IF(AN548="","",IF(Q548="Sin Factura",0,IFERROR(INDEX(Facturas_Odoo!$H:$H, MATCH(Q548, Facturas_Odoo!$B:$B, 0)), 0)*(1-AG548)))</f>
        <v/>
      </c>
      <c r="AJ548" s="81">
        <f>IF(AN548="","",_xlfn.LET(idVenta, AN548&amp;"",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48" s="81">
        <f>IF(AN548="","",AH548-AJ548)</f>
        <v/>
      </c>
      <c r="AL548" s="81">
        <f>IF(AN548="","",IF(Q548="Sin Factura","",AI548-AJ548))</f>
        <v/>
      </c>
      <c r="AM548" s="81">
        <f>IF(AN548="","",IF(Q548="Sin Factura",0,P548-IFERROR(INDEX(Facturas_Odoo!$H:$H, MATCH(Q548, Facturas_Odoo!$B:$B, 0)), 0)))</f>
        <v/>
      </c>
      <c r="AN548" s="79">
        <f>IF(AND(A548="", J548=""), "", IF(A548&lt;&gt;"", VALUE(MID(A548,2,LEN(A548))), AN547))</f>
        <v/>
      </c>
      <c r="AO548" s="79">
        <f>IF(AN548="","",IF(AD548=0,"OK",_xlfn.LET(monedaPago, IF(AA548="","USD",AA548), limitePermitido, IFERROR(VLOOKUP(monedaPago, Configuración!$A$2:$B$3, 2, FALSE), 0.15), IF(AD548&gt;limitePermitido, "ALERTA: EXCESO (" &amp; TEXT(limitePermitido, "0%") &amp; " máx)", "OK"))))</f>
        <v/>
      </c>
      <c r="AP548" s="79">
        <f>IF(AN548="","",IF(AE548=0,"OK",_xlfn.LET(fechaPago, Z548, fechaFactura, R548, diasCredito, IF(E548="Pago inmediato", 0, IFERROR(VALUE(MID(E548, 1, SEARCH(" ", E548)-1)),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48" s="79">
        <f>IF(AN548="","",IF(AND(N548&gt;0, AG548&gt;0), IF(Configuración!$K$2="NO", "ALERTA: DESCUENTO DOBLE NO PERMITIDO", "OK"), "OK"))</f>
        <v/>
      </c>
      <c r="AR548" s="79">
        <f>IF(AN548="","",IF(OR(AO548&lt;&gt;"OK", AP548&lt;&gt;"OK", AQ548&lt;&gt;"OK"), "⚠️ REVISAR", "OK"))</f>
        <v/>
      </c>
    </row>
    <row r="549">
      <c r="A549" s="79">
        <f>IF('Ordenes_Odoo'!A549="","",'Ordenes_Odoo'!A549)</f>
        <v/>
      </c>
      <c r="B549" s="80">
        <f>IF('Ordenes_Odoo'!B549="","",'Ordenes_Odoo'!B549)</f>
        <v/>
      </c>
      <c r="C549" s="79">
        <f>IF('Ordenes_Odoo'!C549="","",'Ordenes_Odoo'!C549)</f>
        <v/>
      </c>
      <c r="D549" s="79">
        <f>IF('Ordenes_Odoo'!D549="","",'Ordenes_Odoo'!D549)</f>
        <v/>
      </c>
      <c r="E549" s="79">
        <f>IF('Ordenes_Odoo'!E549="","",'Ordenes_Odoo'!E549)</f>
        <v/>
      </c>
      <c r="F549" s="79">
        <f>IF('Ordenes_Odoo'!F549="","",'Ordenes_Odoo'!F549)</f>
        <v/>
      </c>
      <c r="G549" s="79">
        <f>IF('Ordenes_Odoo'!G549="","",'Ordenes_Odoo'!G549)</f>
        <v/>
      </c>
      <c r="H549" s="79">
        <f>IF('Ordenes_Odoo'!H549="","",'Ordenes_Odoo'!H549)</f>
        <v/>
      </c>
      <c r="I549" s="79">
        <f>IF('Ordenes_Odoo'!I549="","",'Ordenes_Odoo'!I549)</f>
        <v/>
      </c>
      <c r="J549" s="79">
        <f>IF('Ordenes_Odoo'!J549="","",'Ordenes_Odoo'!J549)</f>
        <v/>
      </c>
      <c r="K549" s="81">
        <f>IF('Ordenes_Odoo'!K549="","",'Ordenes_Odoo'!K549)</f>
        <v/>
      </c>
      <c r="L549" s="81">
        <f>IF('Ordenes_Odoo'!L549="","",'Ordenes_Odoo'!L549)</f>
        <v/>
      </c>
      <c r="M549" s="79">
        <f>IF('Ordenes_Odoo'!M549="","",'Ordenes_Odoo'!M549)</f>
        <v/>
      </c>
      <c r="N549" s="79">
        <f>IF('Ordenes_Odoo'!N549="","",'Ordenes_Odoo'!N549)</f>
        <v/>
      </c>
      <c r="O549" s="81">
        <f>IF('Ordenes_Odoo'!O549="","",'Ordenes_Odoo'!O549)</f>
        <v/>
      </c>
      <c r="P549" s="81">
        <f>IF('Ordenes_Odoo'!P549="","",'Ordenes_Odoo'!P549)</f>
        <v/>
      </c>
      <c r="Q549" s="79">
        <f>IF(A549="","",IFERROR(INDEX(Facturas_Odoo!$B:$B, MATCH(A549, Facturas_Odoo!$D:$D, 0)), "Sin Factura"))</f>
        <v/>
      </c>
      <c r="R549" s="80">
        <f>IF(Q549="Sin Factura","",IFERROR(INDEX(Facturas_Odoo!$A:$A, MATCH(Q549, Facturas_Odoo!$B:$B, 0)), ""))</f>
        <v/>
      </c>
      <c r="S549" s="79">
        <f>IF(Q549="Sin Factura","",IFERROR(_xlfn.XLOOKUP(1, (Facturas_Odoo!$D:$D=A549) * (Facturas_Odoo!$K:$K=I549), Facturas_Odoo!$L:$L, ""), ""))</f>
        <v/>
      </c>
      <c r="T549" s="81">
        <f>IF(Q549="Sin Factura",0,IFERROR(_xlfn.XLOOKUP(1, (Facturas_Odoo!$D:$D=A549) * (Facturas_Odoo!$K:$K=I549), Facturas_Odoo!$M:$M, 0), 0))</f>
        <v/>
      </c>
      <c r="U549" s="79">
        <f>IF(Q549="Sin Factura",0,IFERROR(_xlfn.XLOOKUP(1, (Facturas_Odoo!$D:$D=A549) * (Facturas_Odoo!$K:$K=I549), Facturas_Odoo!$N:$N, 0), 0))</f>
        <v/>
      </c>
      <c r="V549" s="79">
        <f>IF(Q549="Sin Factura",0,IFERROR(_xlfn.XLOOKUP(1, (Facturas_Odoo!$D:$D=A549) * (Facturas_Odoo!$K:$K=I549), Facturas_Odoo!$O:$O, 0), 0))</f>
        <v/>
      </c>
      <c r="W549" s="81">
        <f>IF(Q549="Sin Factura",0,IFERROR(_xlfn.XLOOKUP(1, (Facturas_Odoo!$D:$D=A549) * (Facturas_Odoo!$K:$K=I549), Facturas_Odoo!$Q:$Q, 0), 0))</f>
        <v/>
      </c>
      <c r="X549" s="79">
        <f>IF(OR(Q549="Sin Factura",Q549=""),"",IFERROR(INDEX(Pagos_Odoo!$B:$B, MATCH(Q549, Pagos_Odoo!$I:$I, 0)), "Sin Pago"))</f>
        <v/>
      </c>
      <c r="Y549" s="79">
        <f>IF(X549="Sin Pago","",IFERROR(INDEX(Pagos_Odoo!$C:$C, MATCH(X549, Pagos_Odoo!$B:$B, 0)), ""))</f>
        <v/>
      </c>
      <c r="Z549" s="80">
        <f>IF(X549="Sin Pago","",IFERROR(INDEX(Pagos_Odoo!$A:$A, MATCH(X549, Pagos_Odoo!$B:$B, 0)), ""))</f>
        <v/>
      </c>
      <c r="AA549" s="79">
        <f>IF(X549="Sin Pago","",IFERROR(INDEX(Pagos_Odoo!$F:$F, MATCH(X549, Pagos_Odoo!$B:$B, 0)), ""))</f>
        <v/>
      </c>
      <c r="AB549" s="81">
        <f>IF(X549="Sin Pago",0,IFERROR(INDEX(Pagos_Odoo!$E:$E, MATCH(X549, Pagos_Odoo!$B:$B, 0)), 0))</f>
        <v/>
      </c>
      <c r="AC549" s="79">
        <f>IF(X549="Sin Pago","",IFERROR(INDEX(Pagos_Odoo!$G:$G, MATCH(X549, Pagos_Odoo!$B:$B, 0)), ""))</f>
        <v/>
      </c>
      <c r="AD549" s="82" t="n">
        <v>0</v>
      </c>
      <c r="AE549" s="82" t="n"/>
      <c r="AF549" s="82" t="n"/>
      <c r="AG549" s="82">
        <f>IF(AN549="","",AD549+AE549+AF549)</f>
        <v/>
      </c>
      <c r="AH549" s="81">
        <f>IF(AN549="","",P549*(1-AG549))</f>
        <v/>
      </c>
      <c r="AI549" s="81">
        <f>IF(AN549="","",IF(Q549="Sin Factura",0,IFERROR(INDEX(Facturas_Odoo!$H:$H, MATCH(Q549, Facturas_Odoo!$B:$B, 0)), 0)*(1-AG549)))</f>
        <v/>
      </c>
      <c r="AJ549" s="81">
        <f>IF(AN549="","",_xlfn.LET(idVenta, AN549&amp;"",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49" s="81">
        <f>IF(AN549="","",AH549-AJ549)</f>
        <v/>
      </c>
      <c r="AL549" s="81">
        <f>IF(AN549="","",IF(Q549="Sin Factura","",AI549-AJ549))</f>
        <v/>
      </c>
      <c r="AM549" s="81">
        <f>IF(AN549="","",IF(Q549="Sin Factura",0,P549-IFERROR(INDEX(Facturas_Odoo!$H:$H, MATCH(Q549, Facturas_Odoo!$B:$B, 0)), 0)))</f>
        <v/>
      </c>
      <c r="AN549" s="79">
        <f>IF(AND(A549="", J549=""), "", IF(A549&lt;&gt;"", VALUE(MID(A549,2,LEN(A549))), AN548))</f>
        <v/>
      </c>
      <c r="AO549" s="79">
        <f>IF(AN549="","",IF(AD549=0,"OK",_xlfn.LET(monedaPago, IF(AA549="","USD",AA549), limitePermitido, IFERROR(VLOOKUP(monedaPago, Configuración!$A$2:$B$3, 2, FALSE), 0.15), IF(AD549&gt;limitePermitido, "ALERTA: EXCESO (" &amp; TEXT(limitePermitido, "0%") &amp; " máx)", "OK"))))</f>
        <v/>
      </c>
      <c r="AP549" s="79">
        <f>IF(AN549="","",IF(AE549=0,"OK",_xlfn.LET(fechaPago, Z549, fechaFactura, R549, diasCredito, IF(E549="Pago inmediato", 0, IFERROR(VALUE(MID(E549, 1, SEARCH(" ", E549)-1)),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49" s="79">
        <f>IF(AN549="","",IF(AND(N549&gt;0, AG549&gt;0), IF(Configuración!$K$2="NO", "ALERTA: DESCUENTO DOBLE NO PERMITIDO", "OK"), "OK"))</f>
        <v/>
      </c>
      <c r="AR549" s="79">
        <f>IF(AN549="","",IF(OR(AO549&lt;&gt;"OK", AP549&lt;&gt;"OK", AQ549&lt;&gt;"OK"), "⚠️ REVISAR", "OK"))</f>
        <v/>
      </c>
    </row>
    <row r="550">
      <c r="A550" s="79">
        <f>IF('Ordenes_Odoo'!A550="","",'Ordenes_Odoo'!A550)</f>
        <v/>
      </c>
      <c r="B550" s="80">
        <f>IF('Ordenes_Odoo'!B550="","",'Ordenes_Odoo'!B550)</f>
        <v/>
      </c>
      <c r="C550" s="79">
        <f>IF('Ordenes_Odoo'!C550="","",'Ordenes_Odoo'!C550)</f>
        <v/>
      </c>
      <c r="D550" s="79">
        <f>IF('Ordenes_Odoo'!D550="","",'Ordenes_Odoo'!D550)</f>
        <v/>
      </c>
      <c r="E550" s="79">
        <f>IF('Ordenes_Odoo'!E550="","",'Ordenes_Odoo'!E550)</f>
        <v/>
      </c>
      <c r="F550" s="79">
        <f>IF('Ordenes_Odoo'!F550="","",'Ordenes_Odoo'!F550)</f>
        <v/>
      </c>
      <c r="G550" s="79">
        <f>IF('Ordenes_Odoo'!G550="","",'Ordenes_Odoo'!G550)</f>
        <v/>
      </c>
      <c r="H550" s="79">
        <f>IF('Ordenes_Odoo'!H550="","",'Ordenes_Odoo'!H550)</f>
        <v/>
      </c>
      <c r="I550" s="79">
        <f>IF('Ordenes_Odoo'!I550="","",'Ordenes_Odoo'!I550)</f>
        <v/>
      </c>
      <c r="J550" s="79">
        <f>IF('Ordenes_Odoo'!J550="","",'Ordenes_Odoo'!J550)</f>
        <v/>
      </c>
      <c r="K550" s="81">
        <f>IF('Ordenes_Odoo'!K550="","",'Ordenes_Odoo'!K550)</f>
        <v/>
      </c>
      <c r="L550" s="81">
        <f>IF('Ordenes_Odoo'!L550="","",'Ordenes_Odoo'!L550)</f>
        <v/>
      </c>
      <c r="M550" s="79">
        <f>IF('Ordenes_Odoo'!M550="","",'Ordenes_Odoo'!M550)</f>
        <v/>
      </c>
      <c r="N550" s="79">
        <f>IF('Ordenes_Odoo'!N550="","",'Ordenes_Odoo'!N550)</f>
        <v/>
      </c>
      <c r="O550" s="81">
        <f>IF('Ordenes_Odoo'!O550="","",'Ordenes_Odoo'!O550)</f>
        <v/>
      </c>
      <c r="P550" s="81">
        <f>IF('Ordenes_Odoo'!P550="","",'Ordenes_Odoo'!P550)</f>
        <v/>
      </c>
      <c r="Q550" s="79">
        <f>IF(A550="","",IFERROR(INDEX(Facturas_Odoo!$B:$B, MATCH(A550, Facturas_Odoo!$D:$D, 0)), "Sin Factura"))</f>
        <v/>
      </c>
      <c r="R550" s="80">
        <f>IF(Q550="Sin Factura","",IFERROR(INDEX(Facturas_Odoo!$A:$A, MATCH(Q550, Facturas_Odoo!$B:$B, 0)), ""))</f>
        <v/>
      </c>
      <c r="S550" s="79">
        <f>IF(Q550="Sin Factura","",IFERROR(_xlfn.XLOOKUP(1, (Facturas_Odoo!$D:$D=A550) * (Facturas_Odoo!$K:$K=I550), Facturas_Odoo!$L:$L, ""), ""))</f>
        <v/>
      </c>
      <c r="T550" s="81">
        <f>IF(Q550="Sin Factura",0,IFERROR(_xlfn.XLOOKUP(1, (Facturas_Odoo!$D:$D=A550) * (Facturas_Odoo!$K:$K=I550), Facturas_Odoo!$M:$M, 0), 0))</f>
        <v/>
      </c>
      <c r="U550" s="79">
        <f>IF(Q550="Sin Factura",0,IFERROR(_xlfn.XLOOKUP(1, (Facturas_Odoo!$D:$D=A550) * (Facturas_Odoo!$K:$K=I550), Facturas_Odoo!$N:$N, 0), 0))</f>
        <v/>
      </c>
      <c r="V550" s="79">
        <f>IF(Q550="Sin Factura",0,IFERROR(_xlfn.XLOOKUP(1, (Facturas_Odoo!$D:$D=A550) * (Facturas_Odoo!$K:$K=I550), Facturas_Odoo!$O:$O, 0), 0))</f>
        <v/>
      </c>
      <c r="W550" s="81">
        <f>IF(Q550="Sin Factura",0,IFERROR(_xlfn.XLOOKUP(1, (Facturas_Odoo!$D:$D=A550) * (Facturas_Odoo!$K:$K=I550), Facturas_Odoo!$Q:$Q, 0), 0))</f>
        <v/>
      </c>
      <c r="X550" s="79">
        <f>IF(OR(Q550="Sin Factura",Q550=""),"",IFERROR(INDEX(Pagos_Odoo!$B:$B, MATCH(Q550, Pagos_Odoo!$I:$I, 0)), "Sin Pago"))</f>
        <v/>
      </c>
      <c r="Y550" s="79">
        <f>IF(X550="Sin Pago","",IFERROR(INDEX(Pagos_Odoo!$C:$C, MATCH(X550, Pagos_Odoo!$B:$B, 0)), ""))</f>
        <v/>
      </c>
      <c r="Z550" s="80">
        <f>IF(X550="Sin Pago","",IFERROR(INDEX(Pagos_Odoo!$A:$A, MATCH(X550, Pagos_Odoo!$B:$B, 0)), ""))</f>
        <v/>
      </c>
      <c r="AA550" s="79">
        <f>IF(X550="Sin Pago","",IFERROR(INDEX(Pagos_Odoo!$F:$F, MATCH(X550, Pagos_Odoo!$B:$B, 0)), ""))</f>
        <v/>
      </c>
      <c r="AB550" s="81">
        <f>IF(X550="Sin Pago",0,IFERROR(INDEX(Pagos_Odoo!$E:$E, MATCH(X550, Pagos_Odoo!$B:$B, 0)), 0))</f>
        <v/>
      </c>
      <c r="AC550" s="79">
        <f>IF(X550="Sin Pago","",IFERROR(INDEX(Pagos_Odoo!$G:$G, MATCH(X550, Pagos_Odoo!$B:$B, 0)), ""))</f>
        <v/>
      </c>
      <c r="AD550" s="82" t="n">
        <v>0</v>
      </c>
      <c r="AE550" s="82" t="n"/>
      <c r="AF550" s="82" t="n"/>
      <c r="AG550" s="82">
        <f>IF(AN550="","",AD550+AE550+AF550)</f>
        <v/>
      </c>
      <c r="AH550" s="81">
        <f>IF(AN550="","",P550*(1-AG550))</f>
        <v/>
      </c>
      <c r="AI550" s="81">
        <f>IF(AN550="","",IF(Q550="Sin Factura",0,IFERROR(INDEX(Facturas_Odoo!$H:$H, MATCH(Q550, Facturas_Odoo!$B:$B, 0)), 0)*(1-AG550)))</f>
        <v/>
      </c>
      <c r="AJ550" s="81">
        <f>IF(AN550="","",_xlfn.LET(idVenta, AN550&amp;"",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50" s="81">
        <f>IF(AN550="","",AH550-AJ550)</f>
        <v/>
      </c>
      <c r="AL550" s="81">
        <f>IF(AN550="","",IF(Q550="Sin Factura","",AI550-AJ550))</f>
        <v/>
      </c>
      <c r="AM550" s="81">
        <f>IF(AN550="","",IF(Q550="Sin Factura",0,P550-IFERROR(INDEX(Facturas_Odoo!$H:$H, MATCH(Q550, Facturas_Odoo!$B:$B, 0)), 0)))</f>
        <v/>
      </c>
      <c r="AN550" s="79">
        <f>IF(AND(A550="", J550=""), "", IF(A550&lt;&gt;"", VALUE(MID(A550,2,LEN(A550))), AN549))</f>
        <v/>
      </c>
      <c r="AO550" s="79">
        <f>IF(AN550="","",IF(AD550=0,"OK",_xlfn.LET(monedaPago, IF(AA550="","USD",AA550), limitePermitido, IFERROR(VLOOKUP(monedaPago, Configuración!$A$2:$B$3, 2, FALSE), 0.15), IF(AD550&gt;limitePermitido, "ALERTA: EXCESO (" &amp; TEXT(limitePermitido, "0%") &amp; " máx)", "OK"))))</f>
        <v/>
      </c>
      <c r="AP550" s="79">
        <f>IF(AN550="","",IF(AE550=0,"OK",_xlfn.LET(fechaPago, Z550, fechaFactura, R550, diasCredito, IF(E550="Pago inmediato", 0, IFERROR(VALUE(MID(E550, 1, SEARCH(" ", E550)-1)),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50" s="79">
        <f>IF(AN550="","",IF(AND(N550&gt;0, AG550&gt;0), IF(Configuración!$K$2="NO", "ALERTA: DESCUENTO DOBLE NO PERMITIDO", "OK"), "OK"))</f>
        <v/>
      </c>
      <c r="AR550" s="79">
        <f>IF(AN550="","",IF(OR(AO550&lt;&gt;"OK", AP550&lt;&gt;"OK", AQ550&lt;&gt;"OK"), "⚠️ REVISAR", "OK"))</f>
        <v/>
      </c>
    </row>
    <row r="551">
      <c r="A551" s="79">
        <f>IF('Ordenes_Odoo'!A551="","",'Ordenes_Odoo'!A551)</f>
        <v/>
      </c>
      <c r="B551" s="80">
        <f>IF('Ordenes_Odoo'!B551="","",'Ordenes_Odoo'!B551)</f>
        <v/>
      </c>
      <c r="C551" s="79">
        <f>IF('Ordenes_Odoo'!C551="","",'Ordenes_Odoo'!C551)</f>
        <v/>
      </c>
      <c r="D551" s="79">
        <f>IF('Ordenes_Odoo'!D551="","",'Ordenes_Odoo'!D551)</f>
        <v/>
      </c>
      <c r="E551" s="79">
        <f>IF('Ordenes_Odoo'!E551="","",'Ordenes_Odoo'!E551)</f>
        <v/>
      </c>
      <c r="F551" s="79">
        <f>IF('Ordenes_Odoo'!F551="","",'Ordenes_Odoo'!F551)</f>
        <v/>
      </c>
      <c r="G551" s="79">
        <f>IF('Ordenes_Odoo'!G551="","",'Ordenes_Odoo'!G551)</f>
        <v/>
      </c>
      <c r="H551" s="79">
        <f>IF('Ordenes_Odoo'!H551="","",'Ordenes_Odoo'!H551)</f>
        <v/>
      </c>
      <c r="I551" s="79">
        <f>IF('Ordenes_Odoo'!I551="","",'Ordenes_Odoo'!I551)</f>
        <v/>
      </c>
      <c r="J551" s="79">
        <f>IF('Ordenes_Odoo'!J551="","",'Ordenes_Odoo'!J551)</f>
        <v/>
      </c>
      <c r="K551" s="81">
        <f>IF('Ordenes_Odoo'!K551="","",'Ordenes_Odoo'!K551)</f>
        <v/>
      </c>
      <c r="L551" s="81">
        <f>IF('Ordenes_Odoo'!L551="","",'Ordenes_Odoo'!L551)</f>
        <v/>
      </c>
      <c r="M551" s="79">
        <f>IF('Ordenes_Odoo'!M551="","",'Ordenes_Odoo'!M551)</f>
        <v/>
      </c>
      <c r="N551" s="79">
        <f>IF('Ordenes_Odoo'!N551="","",'Ordenes_Odoo'!N551)</f>
        <v/>
      </c>
      <c r="O551" s="81">
        <f>IF('Ordenes_Odoo'!O551="","",'Ordenes_Odoo'!O551)</f>
        <v/>
      </c>
      <c r="P551" s="81">
        <f>IF('Ordenes_Odoo'!P551="","",'Ordenes_Odoo'!P551)</f>
        <v/>
      </c>
      <c r="Q551" s="79">
        <f>IF(A551="","",IFERROR(INDEX(Facturas_Odoo!$B:$B, MATCH(A551, Facturas_Odoo!$D:$D, 0)), "Sin Factura"))</f>
        <v/>
      </c>
      <c r="R551" s="80">
        <f>IF(Q551="Sin Factura","",IFERROR(INDEX(Facturas_Odoo!$A:$A, MATCH(Q551, Facturas_Odoo!$B:$B, 0)), ""))</f>
        <v/>
      </c>
      <c r="S551" s="79">
        <f>IF(Q551="Sin Factura","",IFERROR(_xlfn.XLOOKUP(1, (Facturas_Odoo!$D:$D=A551) * (Facturas_Odoo!$K:$K=I551), Facturas_Odoo!$L:$L, ""), ""))</f>
        <v/>
      </c>
      <c r="T551" s="81">
        <f>IF(Q551="Sin Factura",0,IFERROR(_xlfn.XLOOKUP(1, (Facturas_Odoo!$D:$D=A551) * (Facturas_Odoo!$K:$K=I551), Facturas_Odoo!$M:$M, 0), 0))</f>
        <v/>
      </c>
      <c r="U551" s="79">
        <f>IF(Q551="Sin Factura",0,IFERROR(_xlfn.XLOOKUP(1, (Facturas_Odoo!$D:$D=A551) * (Facturas_Odoo!$K:$K=I551), Facturas_Odoo!$N:$N, 0), 0))</f>
        <v/>
      </c>
      <c r="V551" s="79">
        <f>IF(Q551="Sin Factura",0,IFERROR(_xlfn.XLOOKUP(1, (Facturas_Odoo!$D:$D=A551) * (Facturas_Odoo!$K:$K=I551), Facturas_Odoo!$O:$O, 0), 0))</f>
        <v/>
      </c>
      <c r="W551" s="81">
        <f>IF(Q551="Sin Factura",0,IFERROR(_xlfn.XLOOKUP(1, (Facturas_Odoo!$D:$D=A551) * (Facturas_Odoo!$K:$K=I551), Facturas_Odoo!$Q:$Q, 0), 0))</f>
        <v/>
      </c>
      <c r="X551" s="79">
        <f>IF(OR(Q551="Sin Factura",Q551=""),"",IFERROR(INDEX(Pagos_Odoo!$B:$B, MATCH(Q551, Pagos_Odoo!$I:$I, 0)), "Sin Pago"))</f>
        <v/>
      </c>
      <c r="Y551" s="79">
        <f>IF(X551="Sin Pago","",IFERROR(INDEX(Pagos_Odoo!$C:$C, MATCH(X551, Pagos_Odoo!$B:$B, 0)), ""))</f>
        <v/>
      </c>
      <c r="Z551" s="80">
        <f>IF(X551="Sin Pago","",IFERROR(INDEX(Pagos_Odoo!$A:$A, MATCH(X551, Pagos_Odoo!$B:$B, 0)), ""))</f>
        <v/>
      </c>
      <c r="AA551" s="79">
        <f>IF(X551="Sin Pago","",IFERROR(INDEX(Pagos_Odoo!$F:$F, MATCH(X551, Pagos_Odoo!$B:$B, 0)), ""))</f>
        <v/>
      </c>
      <c r="AB551" s="81">
        <f>IF(X551="Sin Pago",0,IFERROR(INDEX(Pagos_Odoo!$E:$E, MATCH(X551, Pagos_Odoo!$B:$B, 0)), 0))</f>
        <v/>
      </c>
      <c r="AC551" s="79">
        <f>IF(X551="Sin Pago","",IFERROR(INDEX(Pagos_Odoo!$G:$G, MATCH(X551, Pagos_Odoo!$B:$B, 0)), ""))</f>
        <v/>
      </c>
      <c r="AD551" s="82" t="n">
        <v>0</v>
      </c>
      <c r="AE551" s="82" t="n"/>
      <c r="AF551" s="82" t="n"/>
      <c r="AG551" s="82">
        <f>IF(AN551="","",AD551+AE551+AF551)</f>
        <v/>
      </c>
      <c r="AH551" s="81">
        <f>IF(AN551="","",P551*(1-AG551))</f>
        <v/>
      </c>
      <c r="AI551" s="81">
        <f>IF(AN551="","",IF(Q551="Sin Factura",0,IFERROR(INDEX(Facturas_Odoo!$H:$H, MATCH(Q551, Facturas_Odoo!$B:$B, 0)), 0)*(1-AG551)))</f>
        <v/>
      </c>
      <c r="AJ551" s="81">
        <f>IF(AN551="","",_xlfn.LET(idVenta, AN551&amp;"",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51" s="81">
        <f>IF(AN551="","",AH551-AJ551)</f>
        <v/>
      </c>
      <c r="AL551" s="81">
        <f>IF(AN551="","",IF(Q551="Sin Factura","",AI551-AJ551))</f>
        <v/>
      </c>
      <c r="AM551" s="81">
        <f>IF(AN551="","",IF(Q551="Sin Factura",0,P551-IFERROR(INDEX(Facturas_Odoo!$H:$H, MATCH(Q551, Facturas_Odoo!$B:$B, 0)), 0)))</f>
        <v/>
      </c>
      <c r="AN551" s="79">
        <f>IF(AND(A551="", J551=""), "", IF(A551&lt;&gt;"", VALUE(MID(A551,2,LEN(A551))), AN550))</f>
        <v/>
      </c>
      <c r="AO551" s="79">
        <f>IF(AN551="","",IF(AD551=0,"OK",_xlfn.LET(monedaPago, IF(AA551="","USD",AA551), limitePermitido, IFERROR(VLOOKUP(monedaPago, Configuración!$A$2:$B$3, 2, FALSE), 0.15), IF(AD551&gt;limitePermitido, "ALERTA: EXCESO (" &amp; TEXT(limitePermitido, "0%") &amp; " máx)", "OK"))))</f>
        <v/>
      </c>
      <c r="AP551" s="79">
        <f>IF(AN551="","",IF(AE551=0,"OK",_xlfn.LET(fechaPago, Z551, fechaFactura, R551, diasCredito, IF(E551="Pago inmediato", 0, IFERROR(VALUE(MID(E551, 1, SEARCH(" ", E551)-1)),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51" s="79">
        <f>IF(AN551="","",IF(AND(N551&gt;0, AG551&gt;0), IF(Configuración!$K$2="NO", "ALERTA: DESCUENTO DOBLE NO PERMITIDO", "OK"), "OK"))</f>
        <v/>
      </c>
      <c r="AR551" s="79">
        <f>IF(AN551="","",IF(OR(AO551&lt;&gt;"OK", AP551&lt;&gt;"OK", AQ551&lt;&gt;"OK"), "⚠️ REVISAR", "OK"))</f>
        <v/>
      </c>
    </row>
    <row r="552">
      <c r="A552" s="79">
        <f>IF('Ordenes_Odoo'!A552="","",'Ordenes_Odoo'!A552)</f>
        <v/>
      </c>
      <c r="B552" s="80">
        <f>IF('Ordenes_Odoo'!B552="","",'Ordenes_Odoo'!B552)</f>
        <v/>
      </c>
      <c r="C552" s="79">
        <f>IF('Ordenes_Odoo'!C552="","",'Ordenes_Odoo'!C552)</f>
        <v/>
      </c>
      <c r="D552" s="79">
        <f>IF('Ordenes_Odoo'!D552="","",'Ordenes_Odoo'!D552)</f>
        <v/>
      </c>
      <c r="E552" s="79">
        <f>IF('Ordenes_Odoo'!E552="","",'Ordenes_Odoo'!E552)</f>
        <v/>
      </c>
      <c r="F552" s="79">
        <f>IF('Ordenes_Odoo'!F552="","",'Ordenes_Odoo'!F552)</f>
        <v/>
      </c>
      <c r="G552" s="79">
        <f>IF('Ordenes_Odoo'!G552="","",'Ordenes_Odoo'!G552)</f>
        <v/>
      </c>
      <c r="H552" s="79">
        <f>IF('Ordenes_Odoo'!H552="","",'Ordenes_Odoo'!H552)</f>
        <v/>
      </c>
      <c r="I552" s="79">
        <f>IF('Ordenes_Odoo'!I552="","",'Ordenes_Odoo'!I552)</f>
        <v/>
      </c>
      <c r="J552" s="79">
        <f>IF('Ordenes_Odoo'!J552="","",'Ordenes_Odoo'!J552)</f>
        <v/>
      </c>
      <c r="K552" s="81">
        <f>IF('Ordenes_Odoo'!K552="","",'Ordenes_Odoo'!K552)</f>
        <v/>
      </c>
      <c r="L552" s="81">
        <f>IF('Ordenes_Odoo'!L552="","",'Ordenes_Odoo'!L552)</f>
        <v/>
      </c>
      <c r="M552" s="79">
        <f>IF('Ordenes_Odoo'!M552="","",'Ordenes_Odoo'!M552)</f>
        <v/>
      </c>
      <c r="N552" s="79">
        <f>IF('Ordenes_Odoo'!N552="","",'Ordenes_Odoo'!N552)</f>
        <v/>
      </c>
      <c r="O552" s="81">
        <f>IF('Ordenes_Odoo'!O552="","",'Ordenes_Odoo'!O552)</f>
        <v/>
      </c>
      <c r="P552" s="81">
        <f>IF('Ordenes_Odoo'!P552="","",'Ordenes_Odoo'!P552)</f>
        <v/>
      </c>
      <c r="Q552" s="79">
        <f>IF(A552="","",IFERROR(INDEX(Facturas_Odoo!$B:$B, MATCH(A552, Facturas_Odoo!$D:$D, 0)), "Sin Factura"))</f>
        <v/>
      </c>
      <c r="R552" s="80">
        <f>IF(Q552="Sin Factura","",IFERROR(INDEX(Facturas_Odoo!$A:$A, MATCH(Q552, Facturas_Odoo!$B:$B, 0)), ""))</f>
        <v/>
      </c>
      <c r="S552" s="79">
        <f>IF(Q552="Sin Factura","",IFERROR(_xlfn.XLOOKUP(1, (Facturas_Odoo!$D:$D=A552) * (Facturas_Odoo!$K:$K=I552), Facturas_Odoo!$L:$L, ""), ""))</f>
        <v/>
      </c>
      <c r="T552" s="81">
        <f>IF(Q552="Sin Factura",0,IFERROR(_xlfn.XLOOKUP(1, (Facturas_Odoo!$D:$D=A552) * (Facturas_Odoo!$K:$K=I552), Facturas_Odoo!$M:$M, 0), 0))</f>
        <v/>
      </c>
      <c r="U552" s="79">
        <f>IF(Q552="Sin Factura",0,IFERROR(_xlfn.XLOOKUP(1, (Facturas_Odoo!$D:$D=A552) * (Facturas_Odoo!$K:$K=I552), Facturas_Odoo!$N:$N, 0), 0))</f>
        <v/>
      </c>
      <c r="V552" s="79">
        <f>IF(Q552="Sin Factura",0,IFERROR(_xlfn.XLOOKUP(1, (Facturas_Odoo!$D:$D=A552) * (Facturas_Odoo!$K:$K=I552), Facturas_Odoo!$O:$O, 0), 0))</f>
        <v/>
      </c>
      <c r="W552" s="81">
        <f>IF(Q552="Sin Factura",0,IFERROR(_xlfn.XLOOKUP(1, (Facturas_Odoo!$D:$D=A552) * (Facturas_Odoo!$K:$K=I552), Facturas_Odoo!$Q:$Q, 0), 0))</f>
        <v/>
      </c>
      <c r="X552" s="79">
        <f>IF(OR(Q552="Sin Factura",Q552=""),"",IFERROR(INDEX(Pagos_Odoo!$B:$B, MATCH(Q552, Pagos_Odoo!$I:$I, 0)), "Sin Pago"))</f>
        <v/>
      </c>
      <c r="Y552" s="79">
        <f>IF(X552="Sin Pago","",IFERROR(INDEX(Pagos_Odoo!$C:$C, MATCH(X552, Pagos_Odoo!$B:$B, 0)), ""))</f>
        <v/>
      </c>
      <c r="Z552" s="80">
        <f>IF(X552="Sin Pago","",IFERROR(INDEX(Pagos_Odoo!$A:$A, MATCH(X552, Pagos_Odoo!$B:$B, 0)), ""))</f>
        <v/>
      </c>
      <c r="AA552" s="79">
        <f>IF(X552="Sin Pago","",IFERROR(INDEX(Pagos_Odoo!$F:$F, MATCH(X552, Pagos_Odoo!$B:$B, 0)), ""))</f>
        <v/>
      </c>
      <c r="AB552" s="81">
        <f>IF(X552="Sin Pago",0,IFERROR(INDEX(Pagos_Odoo!$E:$E, MATCH(X552, Pagos_Odoo!$B:$B, 0)), 0))</f>
        <v/>
      </c>
      <c r="AC552" s="79">
        <f>IF(X552="Sin Pago","",IFERROR(INDEX(Pagos_Odoo!$G:$G, MATCH(X552, Pagos_Odoo!$B:$B, 0)), ""))</f>
        <v/>
      </c>
      <c r="AD552" s="82" t="n">
        <v>0</v>
      </c>
      <c r="AE552" s="82" t="n"/>
      <c r="AF552" s="82" t="n"/>
      <c r="AG552" s="82">
        <f>IF(AN552="","",AD552+AE552+AF552)</f>
        <v/>
      </c>
      <c r="AH552" s="81">
        <f>IF(AN552="","",P552*(1-AG552))</f>
        <v/>
      </c>
      <c r="AI552" s="81">
        <f>IF(AN552="","",IF(Q552="Sin Factura",0,IFERROR(INDEX(Facturas_Odoo!$H:$H, MATCH(Q552, Facturas_Odoo!$B:$B, 0)), 0)*(1-AG552)))</f>
        <v/>
      </c>
      <c r="AJ552" s="81">
        <f>IF(AN552="","",_xlfn.LET(idVenta, AN552&amp;"",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52" s="81">
        <f>IF(AN552="","",AH552-AJ552)</f>
        <v/>
      </c>
      <c r="AL552" s="81">
        <f>IF(AN552="","",IF(Q552="Sin Factura","",AI552-AJ552))</f>
        <v/>
      </c>
      <c r="AM552" s="81">
        <f>IF(AN552="","",IF(Q552="Sin Factura",0,P552-IFERROR(INDEX(Facturas_Odoo!$H:$H, MATCH(Q552, Facturas_Odoo!$B:$B, 0)), 0)))</f>
        <v/>
      </c>
      <c r="AN552" s="79">
        <f>IF(AND(A552="", J552=""), "", IF(A552&lt;&gt;"", VALUE(MID(A552,2,LEN(A552))), AN551))</f>
        <v/>
      </c>
      <c r="AO552" s="79">
        <f>IF(AN552="","",IF(AD552=0,"OK",_xlfn.LET(monedaPago, IF(AA552="","USD",AA552), limitePermitido, IFERROR(VLOOKUP(monedaPago, Configuración!$A$2:$B$3, 2, FALSE), 0.15), IF(AD552&gt;limitePermitido, "ALERTA: EXCESO (" &amp; TEXT(limitePermitido, "0%") &amp; " máx)", "OK"))))</f>
        <v/>
      </c>
      <c r="AP552" s="79">
        <f>IF(AN552="","",IF(AE552=0,"OK",_xlfn.LET(fechaPago, Z552, fechaFactura, R552, diasCredito, IF(E552="Pago inmediato", 0, IFERROR(VALUE(MID(E552, 1, SEARCH(" ", E552)-1)),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52" s="79">
        <f>IF(AN552="","",IF(AND(N552&gt;0, AG552&gt;0), IF(Configuración!$K$2="NO", "ALERTA: DESCUENTO DOBLE NO PERMITIDO", "OK"), "OK"))</f>
        <v/>
      </c>
      <c r="AR552" s="79">
        <f>IF(AN552="","",IF(OR(AO552&lt;&gt;"OK", AP552&lt;&gt;"OK", AQ552&lt;&gt;"OK"), "⚠️ REVISAR", "OK"))</f>
        <v/>
      </c>
    </row>
    <row r="553">
      <c r="A553" s="79">
        <f>IF('Ordenes_Odoo'!A553="","",'Ordenes_Odoo'!A553)</f>
        <v/>
      </c>
      <c r="B553" s="80">
        <f>IF('Ordenes_Odoo'!B553="","",'Ordenes_Odoo'!B553)</f>
        <v/>
      </c>
      <c r="C553" s="79">
        <f>IF('Ordenes_Odoo'!C553="","",'Ordenes_Odoo'!C553)</f>
        <v/>
      </c>
      <c r="D553" s="79">
        <f>IF('Ordenes_Odoo'!D553="","",'Ordenes_Odoo'!D553)</f>
        <v/>
      </c>
      <c r="E553" s="79">
        <f>IF('Ordenes_Odoo'!E553="","",'Ordenes_Odoo'!E553)</f>
        <v/>
      </c>
      <c r="F553" s="79">
        <f>IF('Ordenes_Odoo'!F553="","",'Ordenes_Odoo'!F553)</f>
        <v/>
      </c>
      <c r="G553" s="79">
        <f>IF('Ordenes_Odoo'!G553="","",'Ordenes_Odoo'!G553)</f>
        <v/>
      </c>
      <c r="H553" s="79">
        <f>IF('Ordenes_Odoo'!H553="","",'Ordenes_Odoo'!H553)</f>
        <v/>
      </c>
      <c r="I553" s="79">
        <f>IF('Ordenes_Odoo'!I553="","",'Ordenes_Odoo'!I553)</f>
        <v/>
      </c>
      <c r="J553" s="79">
        <f>IF('Ordenes_Odoo'!J553="","",'Ordenes_Odoo'!J553)</f>
        <v/>
      </c>
      <c r="K553" s="81">
        <f>IF('Ordenes_Odoo'!K553="","",'Ordenes_Odoo'!K553)</f>
        <v/>
      </c>
      <c r="L553" s="81">
        <f>IF('Ordenes_Odoo'!L553="","",'Ordenes_Odoo'!L553)</f>
        <v/>
      </c>
      <c r="M553" s="79">
        <f>IF('Ordenes_Odoo'!M553="","",'Ordenes_Odoo'!M553)</f>
        <v/>
      </c>
      <c r="N553" s="79">
        <f>IF('Ordenes_Odoo'!N553="","",'Ordenes_Odoo'!N553)</f>
        <v/>
      </c>
      <c r="O553" s="81">
        <f>IF('Ordenes_Odoo'!O553="","",'Ordenes_Odoo'!O553)</f>
        <v/>
      </c>
      <c r="P553" s="81">
        <f>IF('Ordenes_Odoo'!P553="","",'Ordenes_Odoo'!P553)</f>
        <v/>
      </c>
      <c r="Q553" s="79">
        <f>IF(A553="","",IFERROR(INDEX(Facturas_Odoo!$B:$B, MATCH(A553, Facturas_Odoo!$D:$D, 0)), "Sin Factura"))</f>
        <v/>
      </c>
      <c r="R553" s="80">
        <f>IF(Q553="Sin Factura","",IFERROR(INDEX(Facturas_Odoo!$A:$A, MATCH(Q553, Facturas_Odoo!$B:$B, 0)), ""))</f>
        <v/>
      </c>
      <c r="S553" s="79">
        <f>IF(Q553="Sin Factura","",IFERROR(_xlfn.XLOOKUP(1, (Facturas_Odoo!$D:$D=A553) * (Facturas_Odoo!$K:$K=I553), Facturas_Odoo!$L:$L, ""), ""))</f>
        <v/>
      </c>
      <c r="T553" s="81">
        <f>IF(Q553="Sin Factura",0,IFERROR(_xlfn.XLOOKUP(1, (Facturas_Odoo!$D:$D=A553) * (Facturas_Odoo!$K:$K=I553), Facturas_Odoo!$M:$M, 0), 0))</f>
        <v/>
      </c>
      <c r="U553" s="79">
        <f>IF(Q553="Sin Factura",0,IFERROR(_xlfn.XLOOKUP(1, (Facturas_Odoo!$D:$D=A553) * (Facturas_Odoo!$K:$K=I553), Facturas_Odoo!$N:$N, 0), 0))</f>
        <v/>
      </c>
      <c r="V553" s="79">
        <f>IF(Q553="Sin Factura",0,IFERROR(_xlfn.XLOOKUP(1, (Facturas_Odoo!$D:$D=A553) * (Facturas_Odoo!$K:$K=I553), Facturas_Odoo!$O:$O, 0), 0))</f>
        <v/>
      </c>
      <c r="W553" s="81">
        <f>IF(Q553="Sin Factura",0,IFERROR(_xlfn.XLOOKUP(1, (Facturas_Odoo!$D:$D=A553) * (Facturas_Odoo!$K:$K=I553), Facturas_Odoo!$Q:$Q, 0), 0))</f>
        <v/>
      </c>
      <c r="X553" s="79">
        <f>IF(OR(Q553="Sin Factura",Q553=""),"",IFERROR(INDEX(Pagos_Odoo!$B:$B, MATCH(Q553, Pagos_Odoo!$I:$I, 0)), "Sin Pago"))</f>
        <v/>
      </c>
      <c r="Y553" s="79">
        <f>IF(X553="Sin Pago","",IFERROR(INDEX(Pagos_Odoo!$C:$C, MATCH(X553, Pagos_Odoo!$B:$B, 0)), ""))</f>
        <v/>
      </c>
      <c r="Z553" s="80">
        <f>IF(X553="Sin Pago","",IFERROR(INDEX(Pagos_Odoo!$A:$A, MATCH(X553, Pagos_Odoo!$B:$B, 0)), ""))</f>
        <v/>
      </c>
      <c r="AA553" s="79">
        <f>IF(X553="Sin Pago","",IFERROR(INDEX(Pagos_Odoo!$F:$F, MATCH(X553, Pagos_Odoo!$B:$B, 0)), ""))</f>
        <v/>
      </c>
      <c r="AB553" s="81">
        <f>IF(X553="Sin Pago",0,IFERROR(INDEX(Pagos_Odoo!$E:$E, MATCH(X553, Pagos_Odoo!$B:$B, 0)), 0))</f>
        <v/>
      </c>
      <c r="AC553" s="79">
        <f>IF(X553="Sin Pago","",IFERROR(INDEX(Pagos_Odoo!$G:$G, MATCH(X553, Pagos_Odoo!$B:$B, 0)), ""))</f>
        <v/>
      </c>
      <c r="AD553" s="82" t="n">
        <v>0</v>
      </c>
      <c r="AE553" s="82" t="n"/>
      <c r="AF553" s="82" t="n"/>
      <c r="AG553" s="82">
        <f>IF(AN553="","",AD553+AE553+AF553)</f>
        <v/>
      </c>
      <c r="AH553" s="81">
        <f>IF(AN553="","",P553*(1-AG553))</f>
        <v/>
      </c>
      <c r="AI553" s="81">
        <f>IF(AN553="","",IF(Q553="Sin Factura",0,IFERROR(INDEX(Facturas_Odoo!$H:$H, MATCH(Q553, Facturas_Odoo!$B:$B, 0)), 0)*(1-AG553)))</f>
        <v/>
      </c>
      <c r="AJ553" s="81">
        <f>IF(AN553="","",_xlfn.LET(idVenta, AN553&amp;"",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53" s="81">
        <f>IF(AN553="","",AH553-AJ553)</f>
        <v/>
      </c>
      <c r="AL553" s="81">
        <f>IF(AN553="","",IF(Q553="Sin Factura","",AI553-AJ553))</f>
        <v/>
      </c>
      <c r="AM553" s="81">
        <f>IF(AN553="","",IF(Q553="Sin Factura",0,P553-IFERROR(INDEX(Facturas_Odoo!$H:$H, MATCH(Q553, Facturas_Odoo!$B:$B, 0)), 0)))</f>
        <v/>
      </c>
      <c r="AN553" s="79">
        <f>IF(AND(A553="", J553=""), "", IF(A553&lt;&gt;"", VALUE(MID(A553,2,LEN(A553))), AN552))</f>
        <v/>
      </c>
      <c r="AO553" s="79">
        <f>IF(AN553="","",IF(AD553=0,"OK",_xlfn.LET(monedaPago, IF(AA553="","USD",AA553), limitePermitido, IFERROR(VLOOKUP(monedaPago, Configuración!$A$2:$B$3, 2, FALSE), 0.15), IF(AD553&gt;limitePermitido, "ALERTA: EXCESO (" &amp; TEXT(limitePermitido, "0%") &amp; " máx)", "OK"))))</f>
        <v/>
      </c>
      <c r="AP553" s="79">
        <f>IF(AN553="","",IF(AE553=0,"OK",_xlfn.LET(fechaPago, Z553, fechaFactura, R553, diasCredito, IF(E553="Pago inmediato", 0, IFERROR(VALUE(MID(E553, 1, SEARCH(" ", E553)-1)),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53" s="79">
        <f>IF(AN553="","",IF(AND(N553&gt;0, AG553&gt;0), IF(Configuración!$K$2="NO", "ALERTA: DESCUENTO DOBLE NO PERMITIDO", "OK"), "OK"))</f>
        <v/>
      </c>
      <c r="AR553" s="79">
        <f>IF(AN553="","",IF(OR(AO553&lt;&gt;"OK", AP553&lt;&gt;"OK", AQ553&lt;&gt;"OK"), "⚠️ REVISAR", "OK"))</f>
        <v/>
      </c>
    </row>
    <row r="554">
      <c r="A554" s="79">
        <f>IF('Ordenes_Odoo'!A554="","",'Ordenes_Odoo'!A554)</f>
        <v/>
      </c>
      <c r="B554" s="80">
        <f>IF('Ordenes_Odoo'!B554="","",'Ordenes_Odoo'!B554)</f>
        <v/>
      </c>
      <c r="C554" s="79">
        <f>IF('Ordenes_Odoo'!C554="","",'Ordenes_Odoo'!C554)</f>
        <v/>
      </c>
      <c r="D554" s="79">
        <f>IF('Ordenes_Odoo'!D554="","",'Ordenes_Odoo'!D554)</f>
        <v/>
      </c>
      <c r="E554" s="79">
        <f>IF('Ordenes_Odoo'!E554="","",'Ordenes_Odoo'!E554)</f>
        <v/>
      </c>
      <c r="F554" s="79">
        <f>IF('Ordenes_Odoo'!F554="","",'Ordenes_Odoo'!F554)</f>
        <v/>
      </c>
      <c r="G554" s="79">
        <f>IF('Ordenes_Odoo'!G554="","",'Ordenes_Odoo'!G554)</f>
        <v/>
      </c>
      <c r="H554" s="79">
        <f>IF('Ordenes_Odoo'!H554="","",'Ordenes_Odoo'!H554)</f>
        <v/>
      </c>
      <c r="I554" s="79">
        <f>IF('Ordenes_Odoo'!I554="","",'Ordenes_Odoo'!I554)</f>
        <v/>
      </c>
      <c r="J554" s="79">
        <f>IF('Ordenes_Odoo'!J554="","",'Ordenes_Odoo'!J554)</f>
        <v/>
      </c>
      <c r="K554" s="81">
        <f>IF('Ordenes_Odoo'!K554="","",'Ordenes_Odoo'!K554)</f>
        <v/>
      </c>
      <c r="L554" s="81">
        <f>IF('Ordenes_Odoo'!L554="","",'Ordenes_Odoo'!L554)</f>
        <v/>
      </c>
      <c r="M554" s="79">
        <f>IF('Ordenes_Odoo'!M554="","",'Ordenes_Odoo'!M554)</f>
        <v/>
      </c>
      <c r="N554" s="79">
        <f>IF('Ordenes_Odoo'!N554="","",'Ordenes_Odoo'!N554)</f>
        <v/>
      </c>
      <c r="O554" s="81">
        <f>IF('Ordenes_Odoo'!O554="","",'Ordenes_Odoo'!O554)</f>
        <v/>
      </c>
      <c r="P554" s="81">
        <f>IF('Ordenes_Odoo'!P554="","",'Ordenes_Odoo'!P554)</f>
        <v/>
      </c>
      <c r="Q554" s="79">
        <f>IF(A554="","",IFERROR(INDEX(Facturas_Odoo!$B:$B, MATCH(A554, Facturas_Odoo!$D:$D, 0)), "Sin Factura"))</f>
        <v/>
      </c>
      <c r="R554" s="80">
        <f>IF(Q554="Sin Factura","",IFERROR(INDEX(Facturas_Odoo!$A:$A, MATCH(Q554, Facturas_Odoo!$B:$B, 0)), ""))</f>
        <v/>
      </c>
      <c r="S554" s="79">
        <f>IF(Q554="Sin Factura","",IFERROR(_xlfn.XLOOKUP(1, (Facturas_Odoo!$D:$D=A554) * (Facturas_Odoo!$K:$K=I554), Facturas_Odoo!$L:$L, ""), ""))</f>
        <v/>
      </c>
      <c r="T554" s="81">
        <f>IF(Q554="Sin Factura",0,IFERROR(_xlfn.XLOOKUP(1, (Facturas_Odoo!$D:$D=A554) * (Facturas_Odoo!$K:$K=I554), Facturas_Odoo!$M:$M, 0), 0))</f>
        <v/>
      </c>
      <c r="U554" s="79">
        <f>IF(Q554="Sin Factura",0,IFERROR(_xlfn.XLOOKUP(1, (Facturas_Odoo!$D:$D=A554) * (Facturas_Odoo!$K:$K=I554), Facturas_Odoo!$N:$N, 0), 0))</f>
        <v/>
      </c>
      <c r="V554" s="79">
        <f>IF(Q554="Sin Factura",0,IFERROR(_xlfn.XLOOKUP(1, (Facturas_Odoo!$D:$D=A554) * (Facturas_Odoo!$K:$K=I554), Facturas_Odoo!$O:$O, 0), 0))</f>
        <v/>
      </c>
      <c r="W554" s="81">
        <f>IF(Q554="Sin Factura",0,IFERROR(_xlfn.XLOOKUP(1, (Facturas_Odoo!$D:$D=A554) * (Facturas_Odoo!$K:$K=I554), Facturas_Odoo!$Q:$Q, 0), 0))</f>
        <v/>
      </c>
      <c r="X554" s="79">
        <f>IF(OR(Q554="Sin Factura",Q554=""),"",IFERROR(INDEX(Pagos_Odoo!$B:$B, MATCH(Q554, Pagos_Odoo!$I:$I, 0)), "Sin Pago"))</f>
        <v/>
      </c>
      <c r="Y554" s="79">
        <f>IF(X554="Sin Pago","",IFERROR(INDEX(Pagos_Odoo!$C:$C, MATCH(X554, Pagos_Odoo!$B:$B, 0)), ""))</f>
        <v/>
      </c>
      <c r="Z554" s="80">
        <f>IF(X554="Sin Pago","",IFERROR(INDEX(Pagos_Odoo!$A:$A, MATCH(X554, Pagos_Odoo!$B:$B, 0)), ""))</f>
        <v/>
      </c>
      <c r="AA554" s="79">
        <f>IF(X554="Sin Pago","",IFERROR(INDEX(Pagos_Odoo!$F:$F, MATCH(X554, Pagos_Odoo!$B:$B, 0)), ""))</f>
        <v/>
      </c>
      <c r="AB554" s="81">
        <f>IF(X554="Sin Pago",0,IFERROR(INDEX(Pagos_Odoo!$E:$E, MATCH(X554, Pagos_Odoo!$B:$B, 0)), 0))</f>
        <v/>
      </c>
      <c r="AC554" s="79">
        <f>IF(X554="Sin Pago","",IFERROR(INDEX(Pagos_Odoo!$G:$G, MATCH(X554, Pagos_Odoo!$B:$B, 0)), ""))</f>
        <v/>
      </c>
      <c r="AD554" s="82" t="n">
        <v>0</v>
      </c>
      <c r="AE554" s="82" t="n"/>
      <c r="AF554" s="82" t="n"/>
      <c r="AG554" s="82">
        <f>IF(AN554="","",AD554+AE554+AF554)</f>
        <v/>
      </c>
      <c r="AH554" s="81">
        <f>IF(AN554="","",P554*(1-AG554))</f>
        <v/>
      </c>
      <c r="AI554" s="81">
        <f>IF(AN554="","",IF(Q554="Sin Factura",0,IFERROR(INDEX(Facturas_Odoo!$H:$H, MATCH(Q554, Facturas_Odoo!$B:$B, 0)), 0)*(1-AG554)))</f>
        <v/>
      </c>
      <c r="AJ554" s="81">
        <f>IF(AN554="","",_xlfn.LET(idVenta, AN554&amp;"",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54" s="81">
        <f>IF(AN554="","",AH554-AJ554)</f>
        <v/>
      </c>
      <c r="AL554" s="81">
        <f>IF(AN554="","",IF(Q554="Sin Factura","",AI554-AJ554))</f>
        <v/>
      </c>
      <c r="AM554" s="81">
        <f>IF(AN554="","",IF(Q554="Sin Factura",0,P554-IFERROR(INDEX(Facturas_Odoo!$H:$H, MATCH(Q554, Facturas_Odoo!$B:$B, 0)), 0)))</f>
        <v/>
      </c>
      <c r="AN554" s="79">
        <f>IF(AND(A554="", J554=""), "", IF(A554&lt;&gt;"", VALUE(MID(A554,2,LEN(A554))), AN553))</f>
        <v/>
      </c>
      <c r="AO554" s="79">
        <f>IF(AN554="","",IF(AD554=0,"OK",_xlfn.LET(monedaPago, IF(AA554="","USD",AA554), limitePermitido, IFERROR(VLOOKUP(monedaPago, Configuración!$A$2:$B$3, 2, FALSE), 0.15), IF(AD554&gt;limitePermitido, "ALERTA: EXCESO (" &amp; TEXT(limitePermitido, "0%") &amp; " máx)", "OK"))))</f>
        <v/>
      </c>
      <c r="AP554" s="79">
        <f>IF(AN554="","",IF(AE554=0,"OK",_xlfn.LET(fechaPago, Z554, fechaFactura, R554, diasCredito, IF(E554="Pago inmediato", 0, IFERROR(VALUE(MID(E554, 1, SEARCH(" ", E554)-1)),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54" s="79">
        <f>IF(AN554="","",IF(AND(N554&gt;0, AG554&gt;0), IF(Configuración!$K$2="NO", "ALERTA: DESCUENTO DOBLE NO PERMITIDO", "OK"), "OK"))</f>
        <v/>
      </c>
      <c r="AR554" s="79">
        <f>IF(AN554="","",IF(OR(AO554&lt;&gt;"OK", AP554&lt;&gt;"OK", AQ554&lt;&gt;"OK"), "⚠️ REVISAR", "OK"))</f>
        <v/>
      </c>
    </row>
    <row r="555">
      <c r="A555" s="79">
        <f>IF('Ordenes_Odoo'!A555="","",'Ordenes_Odoo'!A555)</f>
        <v/>
      </c>
      <c r="B555" s="80">
        <f>IF('Ordenes_Odoo'!B555="","",'Ordenes_Odoo'!B555)</f>
        <v/>
      </c>
      <c r="C555" s="79">
        <f>IF('Ordenes_Odoo'!C555="","",'Ordenes_Odoo'!C555)</f>
        <v/>
      </c>
      <c r="D555" s="79">
        <f>IF('Ordenes_Odoo'!D555="","",'Ordenes_Odoo'!D555)</f>
        <v/>
      </c>
      <c r="E555" s="79">
        <f>IF('Ordenes_Odoo'!E555="","",'Ordenes_Odoo'!E555)</f>
        <v/>
      </c>
      <c r="F555" s="79">
        <f>IF('Ordenes_Odoo'!F555="","",'Ordenes_Odoo'!F555)</f>
        <v/>
      </c>
      <c r="G555" s="79">
        <f>IF('Ordenes_Odoo'!G555="","",'Ordenes_Odoo'!G555)</f>
        <v/>
      </c>
      <c r="H555" s="79">
        <f>IF('Ordenes_Odoo'!H555="","",'Ordenes_Odoo'!H555)</f>
        <v/>
      </c>
      <c r="I555" s="79">
        <f>IF('Ordenes_Odoo'!I555="","",'Ordenes_Odoo'!I555)</f>
        <v/>
      </c>
      <c r="J555" s="79">
        <f>IF('Ordenes_Odoo'!J555="","",'Ordenes_Odoo'!J555)</f>
        <v/>
      </c>
      <c r="K555" s="81">
        <f>IF('Ordenes_Odoo'!K555="","",'Ordenes_Odoo'!K555)</f>
        <v/>
      </c>
      <c r="L555" s="81">
        <f>IF('Ordenes_Odoo'!L555="","",'Ordenes_Odoo'!L555)</f>
        <v/>
      </c>
      <c r="M555" s="79">
        <f>IF('Ordenes_Odoo'!M555="","",'Ordenes_Odoo'!M555)</f>
        <v/>
      </c>
      <c r="N555" s="79">
        <f>IF('Ordenes_Odoo'!N555="","",'Ordenes_Odoo'!N555)</f>
        <v/>
      </c>
      <c r="O555" s="81">
        <f>IF('Ordenes_Odoo'!O555="","",'Ordenes_Odoo'!O555)</f>
        <v/>
      </c>
      <c r="P555" s="81">
        <f>IF('Ordenes_Odoo'!P555="","",'Ordenes_Odoo'!P555)</f>
        <v/>
      </c>
      <c r="Q555" s="79">
        <f>IF(A555="","",IFERROR(INDEX(Facturas_Odoo!$B:$B, MATCH(A555, Facturas_Odoo!$D:$D, 0)), "Sin Factura"))</f>
        <v/>
      </c>
      <c r="R555" s="80">
        <f>IF(Q555="Sin Factura","",IFERROR(INDEX(Facturas_Odoo!$A:$A, MATCH(Q555, Facturas_Odoo!$B:$B, 0)), ""))</f>
        <v/>
      </c>
      <c r="S555" s="79">
        <f>IF(Q555="Sin Factura","",IFERROR(_xlfn.XLOOKUP(1, (Facturas_Odoo!$D:$D=A555) * (Facturas_Odoo!$K:$K=I555), Facturas_Odoo!$L:$L, ""), ""))</f>
        <v/>
      </c>
      <c r="T555" s="81">
        <f>IF(Q555="Sin Factura",0,IFERROR(_xlfn.XLOOKUP(1, (Facturas_Odoo!$D:$D=A555) * (Facturas_Odoo!$K:$K=I555), Facturas_Odoo!$M:$M, 0), 0))</f>
        <v/>
      </c>
      <c r="U555" s="79">
        <f>IF(Q555="Sin Factura",0,IFERROR(_xlfn.XLOOKUP(1, (Facturas_Odoo!$D:$D=A555) * (Facturas_Odoo!$K:$K=I555), Facturas_Odoo!$N:$N, 0), 0))</f>
        <v/>
      </c>
      <c r="V555" s="79">
        <f>IF(Q555="Sin Factura",0,IFERROR(_xlfn.XLOOKUP(1, (Facturas_Odoo!$D:$D=A555) * (Facturas_Odoo!$K:$K=I555), Facturas_Odoo!$O:$O, 0), 0))</f>
        <v/>
      </c>
      <c r="W555" s="81">
        <f>IF(Q555="Sin Factura",0,IFERROR(_xlfn.XLOOKUP(1, (Facturas_Odoo!$D:$D=A555) * (Facturas_Odoo!$K:$K=I555), Facturas_Odoo!$Q:$Q, 0), 0))</f>
        <v/>
      </c>
      <c r="X555" s="79">
        <f>IF(OR(Q555="Sin Factura",Q555=""),"",IFERROR(INDEX(Pagos_Odoo!$B:$B, MATCH(Q555, Pagos_Odoo!$I:$I, 0)), "Sin Pago"))</f>
        <v/>
      </c>
      <c r="Y555" s="79">
        <f>IF(X555="Sin Pago","",IFERROR(INDEX(Pagos_Odoo!$C:$C, MATCH(X555, Pagos_Odoo!$B:$B, 0)), ""))</f>
        <v/>
      </c>
      <c r="Z555" s="80">
        <f>IF(X555="Sin Pago","",IFERROR(INDEX(Pagos_Odoo!$A:$A, MATCH(X555, Pagos_Odoo!$B:$B, 0)), ""))</f>
        <v/>
      </c>
      <c r="AA555" s="79">
        <f>IF(X555="Sin Pago","",IFERROR(INDEX(Pagos_Odoo!$F:$F, MATCH(X555, Pagos_Odoo!$B:$B, 0)), ""))</f>
        <v/>
      </c>
      <c r="AB555" s="81">
        <f>IF(X555="Sin Pago",0,IFERROR(INDEX(Pagos_Odoo!$E:$E, MATCH(X555, Pagos_Odoo!$B:$B, 0)), 0))</f>
        <v/>
      </c>
      <c r="AC555" s="79">
        <f>IF(X555="Sin Pago","",IFERROR(INDEX(Pagos_Odoo!$G:$G, MATCH(X555, Pagos_Odoo!$B:$B, 0)), ""))</f>
        <v/>
      </c>
      <c r="AD555" s="82" t="n">
        <v>0</v>
      </c>
      <c r="AE555" s="82" t="n"/>
      <c r="AF555" s="82" t="n"/>
      <c r="AG555" s="82">
        <f>IF(AN555="","",AD555+AE555+AF555)</f>
        <v/>
      </c>
      <c r="AH555" s="81">
        <f>IF(AN555="","",P555*(1-AG555))</f>
        <v/>
      </c>
      <c r="AI555" s="81">
        <f>IF(AN555="","",IF(Q555="Sin Factura",0,IFERROR(INDEX(Facturas_Odoo!$H:$H, MATCH(Q555, Facturas_Odoo!$B:$B, 0)), 0)*(1-AG555)))</f>
        <v/>
      </c>
      <c r="AJ555" s="81">
        <f>IF(AN555="","",_xlfn.LET(idVenta, AN555&amp;"",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55" s="81">
        <f>IF(AN555="","",AH555-AJ555)</f>
        <v/>
      </c>
      <c r="AL555" s="81">
        <f>IF(AN555="","",IF(Q555="Sin Factura","",AI555-AJ555))</f>
        <v/>
      </c>
      <c r="AM555" s="81">
        <f>IF(AN555="","",IF(Q555="Sin Factura",0,P555-IFERROR(INDEX(Facturas_Odoo!$H:$H, MATCH(Q555, Facturas_Odoo!$B:$B, 0)), 0)))</f>
        <v/>
      </c>
      <c r="AN555" s="79">
        <f>IF(AND(A555="", J555=""), "", IF(A555&lt;&gt;"", VALUE(MID(A555,2,LEN(A555))), AN554))</f>
        <v/>
      </c>
      <c r="AO555" s="79">
        <f>IF(AN555="","",IF(AD555=0,"OK",_xlfn.LET(monedaPago, IF(AA555="","USD",AA555), limitePermitido, IFERROR(VLOOKUP(monedaPago, Configuración!$A$2:$B$3, 2, FALSE), 0.15), IF(AD555&gt;limitePermitido, "ALERTA: EXCESO (" &amp; TEXT(limitePermitido, "0%") &amp; " máx)", "OK"))))</f>
        <v/>
      </c>
      <c r="AP555" s="79">
        <f>IF(AN555="","",IF(AE555=0,"OK",_xlfn.LET(fechaPago, Z555, fechaFactura, R555, diasCredito, IF(E555="Pago inmediato", 0, IFERROR(VALUE(MID(E555, 1, SEARCH(" ", E555)-1)),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55" s="79">
        <f>IF(AN555="","",IF(AND(N555&gt;0, AG555&gt;0), IF(Configuración!$K$2="NO", "ALERTA: DESCUENTO DOBLE NO PERMITIDO", "OK"), "OK"))</f>
        <v/>
      </c>
      <c r="AR555" s="79">
        <f>IF(AN555="","",IF(OR(AO555&lt;&gt;"OK", AP555&lt;&gt;"OK", AQ555&lt;&gt;"OK"), "⚠️ REVISAR", "OK"))</f>
        <v/>
      </c>
    </row>
    <row r="556">
      <c r="A556" s="79">
        <f>IF('Ordenes_Odoo'!A556="","",'Ordenes_Odoo'!A556)</f>
        <v/>
      </c>
      <c r="B556" s="80">
        <f>IF('Ordenes_Odoo'!B556="","",'Ordenes_Odoo'!B556)</f>
        <v/>
      </c>
      <c r="C556" s="79">
        <f>IF('Ordenes_Odoo'!C556="","",'Ordenes_Odoo'!C556)</f>
        <v/>
      </c>
      <c r="D556" s="79">
        <f>IF('Ordenes_Odoo'!D556="","",'Ordenes_Odoo'!D556)</f>
        <v/>
      </c>
      <c r="E556" s="79">
        <f>IF('Ordenes_Odoo'!E556="","",'Ordenes_Odoo'!E556)</f>
        <v/>
      </c>
      <c r="F556" s="79">
        <f>IF('Ordenes_Odoo'!F556="","",'Ordenes_Odoo'!F556)</f>
        <v/>
      </c>
      <c r="G556" s="79">
        <f>IF('Ordenes_Odoo'!G556="","",'Ordenes_Odoo'!G556)</f>
        <v/>
      </c>
      <c r="H556" s="79">
        <f>IF('Ordenes_Odoo'!H556="","",'Ordenes_Odoo'!H556)</f>
        <v/>
      </c>
      <c r="I556" s="79">
        <f>IF('Ordenes_Odoo'!I556="","",'Ordenes_Odoo'!I556)</f>
        <v/>
      </c>
      <c r="J556" s="79">
        <f>IF('Ordenes_Odoo'!J556="","",'Ordenes_Odoo'!J556)</f>
        <v/>
      </c>
      <c r="K556" s="81">
        <f>IF('Ordenes_Odoo'!K556="","",'Ordenes_Odoo'!K556)</f>
        <v/>
      </c>
      <c r="L556" s="81">
        <f>IF('Ordenes_Odoo'!L556="","",'Ordenes_Odoo'!L556)</f>
        <v/>
      </c>
      <c r="M556" s="79">
        <f>IF('Ordenes_Odoo'!M556="","",'Ordenes_Odoo'!M556)</f>
        <v/>
      </c>
      <c r="N556" s="79">
        <f>IF('Ordenes_Odoo'!N556="","",'Ordenes_Odoo'!N556)</f>
        <v/>
      </c>
      <c r="O556" s="81">
        <f>IF('Ordenes_Odoo'!O556="","",'Ordenes_Odoo'!O556)</f>
        <v/>
      </c>
      <c r="P556" s="81">
        <f>IF('Ordenes_Odoo'!P556="","",'Ordenes_Odoo'!P556)</f>
        <v/>
      </c>
      <c r="Q556" s="79">
        <f>IF(A556="","",IFERROR(INDEX(Facturas_Odoo!$B:$B, MATCH(A556, Facturas_Odoo!$D:$D, 0)), "Sin Factura"))</f>
        <v/>
      </c>
      <c r="R556" s="80">
        <f>IF(Q556="Sin Factura","",IFERROR(INDEX(Facturas_Odoo!$A:$A, MATCH(Q556, Facturas_Odoo!$B:$B, 0)), ""))</f>
        <v/>
      </c>
      <c r="S556" s="79">
        <f>IF(Q556="Sin Factura","",IFERROR(_xlfn.XLOOKUP(1, (Facturas_Odoo!$D:$D=A556) * (Facturas_Odoo!$K:$K=I556), Facturas_Odoo!$L:$L, ""), ""))</f>
        <v/>
      </c>
      <c r="T556" s="81">
        <f>IF(Q556="Sin Factura",0,IFERROR(_xlfn.XLOOKUP(1, (Facturas_Odoo!$D:$D=A556) * (Facturas_Odoo!$K:$K=I556), Facturas_Odoo!$M:$M, 0), 0))</f>
        <v/>
      </c>
      <c r="U556" s="79">
        <f>IF(Q556="Sin Factura",0,IFERROR(_xlfn.XLOOKUP(1, (Facturas_Odoo!$D:$D=A556) * (Facturas_Odoo!$K:$K=I556), Facturas_Odoo!$N:$N, 0), 0))</f>
        <v/>
      </c>
      <c r="V556" s="79">
        <f>IF(Q556="Sin Factura",0,IFERROR(_xlfn.XLOOKUP(1, (Facturas_Odoo!$D:$D=A556) * (Facturas_Odoo!$K:$K=I556), Facturas_Odoo!$O:$O, 0), 0))</f>
        <v/>
      </c>
      <c r="W556" s="81">
        <f>IF(Q556="Sin Factura",0,IFERROR(_xlfn.XLOOKUP(1, (Facturas_Odoo!$D:$D=A556) * (Facturas_Odoo!$K:$K=I556), Facturas_Odoo!$Q:$Q, 0), 0))</f>
        <v/>
      </c>
      <c r="X556" s="79">
        <f>IF(OR(Q556="Sin Factura",Q556=""),"",IFERROR(INDEX(Pagos_Odoo!$B:$B, MATCH(Q556, Pagos_Odoo!$I:$I, 0)), "Sin Pago"))</f>
        <v/>
      </c>
      <c r="Y556" s="79">
        <f>IF(X556="Sin Pago","",IFERROR(INDEX(Pagos_Odoo!$C:$C, MATCH(X556, Pagos_Odoo!$B:$B, 0)), ""))</f>
        <v/>
      </c>
      <c r="Z556" s="80">
        <f>IF(X556="Sin Pago","",IFERROR(INDEX(Pagos_Odoo!$A:$A, MATCH(X556, Pagos_Odoo!$B:$B, 0)), ""))</f>
        <v/>
      </c>
      <c r="AA556" s="79">
        <f>IF(X556="Sin Pago","",IFERROR(INDEX(Pagos_Odoo!$F:$F, MATCH(X556, Pagos_Odoo!$B:$B, 0)), ""))</f>
        <v/>
      </c>
      <c r="AB556" s="81">
        <f>IF(X556="Sin Pago",0,IFERROR(INDEX(Pagos_Odoo!$E:$E, MATCH(X556, Pagos_Odoo!$B:$B, 0)), 0))</f>
        <v/>
      </c>
      <c r="AC556" s="79">
        <f>IF(X556="Sin Pago","",IFERROR(INDEX(Pagos_Odoo!$G:$G, MATCH(X556, Pagos_Odoo!$B:$B, 0)), ""))</f>
        <v/>
      </c>
      <c r="AD556" s="82" t="n">
        <v>0</v>
      </c>
      <c r="AE556" s="82" t="n"/>
      <c r="AF556" s="82" t="n"/>
      <c r="AG556" s="82">
        <f>IF(AN556="","",AD556+AE556+AF556)</f>
        <v/>
      </c>
      <c r="AH556" s="81">
        <f>IF(AN556="","",P556*(1-AG556))</f>
        <v/>
      </c>
      <c r="AI556" s="81">
        <f>IF(AN556="","",IF(Q556="Sin Factura",0,IFERROR(INDEX(Facturas_Odoo!$H:$H, MATCH(Q556, Facturas_Odoo!$B:$B, 0)), 0)*(1-AG556)))</f>
        <v/>
      </c>
      <c r="AJ556" s="81">
        <f>IF(AN556="","",_xlfn.LET(idVenta, AN556&amp;"",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56" s="81">
        <f>IF(AN556="","",AH556-AJ556)</f>
        <v/>
      </c>
      <c r="AL556" s="81">
        <f>IF(AN556="","",IF(Q556="Sin Factura","",AI556-AJ556))</f>
        <v/>
      </c>
      <c r="AM556" s="81">
        <f>IF(AN556="","",IF(Q556="Sin Factura",0,P556-IFERROR(INDEX(Facturas_Odoo!$H:$H, MATCH(Q556, Facturas_Odoo!$B:$B, 0)), 0)))</f>
        <v/>
      </c>
      <c r="AN556" s="79">
        <f>IF(AND(A556="", J556=""), "", IF(A556&lt;&gt;"", VALUE(MID(A556,2,LEN(A556))), AN555))</f>
        <v/>
      </c>
      <c r="AO556" s="79">
        <f>IF(AN556="","",IF(AD556=0,"OK",_xlfn.LET(monedaPago, IF(AA556="","USD",AA556), limitePermitido, IFERROR(VLOOKUP(monedaPago, Configuración!$A$2:$B$3, 2, FALSE), 0.15), IF(AD556&gt;limitePermitido, "ALERTA: EXCESO (" &amp; TEXT(limitePermitido, "0%") &amp; " máx)", "OK"))))</f>
        <v/>
      </c>
      <c r="AP556" s="79">
        <f>IF(AN556="","",IF(AE556=0,"OK",_xlfn.LET(fechaPago, Z556, fechaFactura, R556, diasCredito, IF(E556="Pago inmediato", 0, IFERROR(VALUE(MID(E556, 1, SEARCH(" ", E556)-1)),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56" s="79">
        <f>IF(AN556="","",IF(AND(N556&gt;0, AG556&gt;0), IF(Configuración!$K$2="NO", "ALERTA: DESCUENTO DOBLE NO PERMITIDO", "OK"), "OK"))</f>
        <v/>
      </c>
      <c r="AR556" s="79">
        <f>IF(AN556="","",IF(OR(AO556&lt;&gt;"OK", AP556&lt;&gt;"OK", AQ556&lt;&gt;"OK"), "⚠️ REVISAR", "OK"))</f>
        <v/>
      </c>
    </row>
    <row r="557">
      <c r="A557" s="79">
        <f>IF('Ordenes_Odoo'!A557="","",'Ordenes_Odoo'!A557)</f>
        <v/>
      </c>
      <c r="B557" s="80">
        <f>IF('Ordenes_Odoo'!B557="","",'Ordenes_Odoo'!B557)</f>
        <v/>
      </c>
      <c r="C557" s="79">
        <f>IF('Ordenes_Odoo'!C557="","",'Ordenes_Odoo'!C557)</f>
        <v/>
      </c>
      <c r="D557" s="79">
        <f>IF('Ordenes_Odoo'!D557="","",'Ordenes_Odoo'!D557)</f>
        <v/>
      </c>
      <c r="E557" s="79">
        <f>IF('Ordenes_Odoo'!E557="","",'Ordenes_Odoo'!E557)</f>
        <v/>
      </c>
      <c r="F557" s="79">
        <f>IF('Ordenes_Odoo'!F557="","",'Ordenes_Odoo'!F557)</f>
        <v/>
      </c>
      <c r="G557" s="79">
        <f>IF('Ordenes_Odoo'!G557="","",'Ordenes_Odoo'!G557)</f>
        <v/>
      </c>
      <c r="H557" s="79">
        <f>IF('Ordenes_Odoo'!H557="","",'Ordenes_Odoo'!H557)</f>
        <v/>
      </c>
      <c r="I557" s="79">
        <f>IF('Ordenes_Odoo'!I557="","",'Ordenes_Odoo'!I557)</f>
        <v/>
      </c>
      <c r="J557" s="79">
        <f>IF('Ordenes_Odoo'!J557="","",'Ordenes_Odoo'!J557)</f>
        <v/>
      </c>
      <c r="K557" s="81">
        <f>IF('Ordenes_Odoo'!K557="","",'Ordenes_Odoo'!K557)</f>
        <v/>
      </c>
      <c r="L557" s="81">
        <f>IF('Ordenes_Odoo'!L557="","",'Ordenes_Odoo'!L557)</f>
        <v/>
      </c>
      <c r="M557" s="79">
        <f>IF('Ordenes_Odoo'!M557="","",'Ordenes_Odoo'!M557)</f>
        <v/>
      </c>
      <c r="N557" s="79">
        <f>IF('Ordenes_Odoo'!N557="","",'Ordenes_Odoo'!N557)</f>
        <v/>
      </c>
      <c r="O557" s="81">
        <f>IF('Ordenes_Odoo'!O557="","",'Ordenes_Odoo'!O557)</f>
        <v/>
      </c>
      <c r="P557" s="81">
        <f>IF('Ordenes_Odoo'!P557="","",'Ordenes_Odoo'!P557)</f>
        <v/>
      </c>
      <c r="Q557" s="79">
        <f>IF(A557="","",IFERROR(INDEX(Facturas_Odoo!$B:$B, MATCH(A557, Facturas_Odoo!$D:$D, 0)), "Sin Factura"))</f>
        <v/>
      </c>
      <c r="R557" s="80">
        <f>IF(Q557="Sin Factura","",IFERROR(INDEX(Facturas_Odoo!$A:$A, MATCH(Q557, Facturas_Odoo!$B:$B, 0)), ""))</f>
        <v/>
      </c>
      <c r="S557" s="79">
        <f>IF(Q557="Sin Factura","",IFERROR(_xlfn.XLOOKUP(1, (Facturas_Odoo!$D:$D=A557) * (Facturas_Odoo!$K:$K=I557), Facturas_Odoo!$L:$L, ""), ""))</f>
        <v/>
      </c>
      <c r="T557" s="81">
        <f>IF(Q557="Sin Factura",0,IFERROR(_xlfn.XLOOKUP(1, (Facturas_Odoo!$D:$D=A557) * (Facturas_Odoo!$K:$K=I557), Facturas_Odoo!$M:$M, 0), 0))</f>
        <v/>
      </c>
      <c r="U557" s="79">
        <f>IF(Q557="Sin Factura",0,IFERROR(_xlfn.XLOOKUP(1, (Facturas_Odoo!$D:$D=A557) * (Facturas_Odoo!$K:$K=I557), Facturas_Odoo!$N:$N, 0), 0))</f>
        <v/>
      </c>
      <c r="V557" s="79">
        <f>IF(Q557="Sin Factura",0,IFERROR(_xlfn.XLOOKUP(1, (Facturas_Odoo!$D:$D=A557) * (Facturas_Odoo!$K:$K=I557), Facturas_Odoo!$O:$O, 0), 0))</f>
        <v/>
      </c>
      <c r="W557" s="81">
        <f>IF(Q557="Sin Factura",0,IFERROR(_xlfn.XLOOKUP(1, (Facturas_Odoo!$D:$D=A557) * (Facturas_Odoo!$K:$K=I557), Facturas_Odoo!$Q:$Q, 0), 0))</f>
        <v/>
      </c>
      <c r="X557" s="79">
        <f>IF(OR(Q557="Sin Factura",Q557=""),"",IFERROR(INDEX(Pagos_Odoo!$B:$B, MATCH(Q557, Pagos_Odoo!$I:$I, 0)), "Sin Pago"))</f>
        <v/>
      </c>
      <c r="Y557" s="79">
        <f>IF(X557="Sin Pago","",IFERROR(INDEX(Pagos_Odoo!$C:$C, MATCH(X557, Pagos_Odoo!$B:$B, 0)), ""))</f>
        <v/>
      </c>
      <c r="Z557" s="80">
        <f>IF(X557="Sin Pago","",IFERROR(INDEX(Pagos_Odoo!$A:$A, MATCH(X557, Pagos_Odoo!$B:$B, 0)), ""))</f>
        <v/>
      </c>
      <c r="AA557" s="79">
        <f>IF(X557="Sin Pago","",IFERROR(INDEX(Pagos_Odoo!$F:$F, MATCH(X557, Pagos_Odoo!$B:$B, 0)), ""))</f>
        <v/>
      </c>
      <c r="AB557" s="81">
        <f>IF(X557="Sin Pago",0,IFERROR(INDEX(Pagos_Odoo!$E:$E, MATCH(X557, Pagos_Odoo!$B:$B, 0)), 0))</f>
        <v/>
      </c>
      <c r="AC557" s="79">
        <f>IF(X557="Sin Pago","",IFERROR(INDEX(Pagos_Odoo!$G:$G, MATCH(X557, Pagos_Odoo!$B:$B, 0)), ""))</f>
        <v/>
      </c>
      <c r="AD557" s="82" t="n">
        <v>0</v>
      </c>
      <c r="AE557" s="82" t="n"/>
      <c r="AF557" s="82" t="n"/>
      <c r="AG557" s="82">
        <f>IF(AN557="","",AD557+AE557+AF557)</f>
        <v/>
      </c>
      <c r="AH557" s="81">
        <f>IF(AN557="","",P557*(1-AG557))</f>
        <v/>
      </c>
      <c r="AI557" s="81">
        <f>IF(AN557="","",IF(Q557="Sin Factura",0,IFERROR(INDEX(Facturas_Odoo!$H:$H, MATCH(Q557, Facturas_Odoo!$B:$B, 0)), 0)*(1-AG557)))</f>
        <v/>
      </c>
      <c r="AJ557" s="81">
        <f>IF(AN557="","",_xlfn.LET(idVenta, AN557&amp;"",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57" s="81">
        <f>IF(AN557="","",AH557-AJ557)</f>
        <v/>
      </c>
      <c r="AL557" s="81">
        <f>IF(AN557="","",IF(Q557="Sin Factura","",AI557-AJ557))</f>
        <v/>
      </c>
      <c r="AM557" s="81">
        <f>IF(AN557="","",IF(Q557="Sin Factura",0,P557-IFERROR(INDEX(Facturas_Odoo!$H:$H, MATCH(Q557, Facturas_Odoo!$B:$B, 0)), 0)))</f>
        <v/>
      </c>
      <c r="AN557" s="79">
        <f>IF(AND(A557="", J557=""), "", IF(A557&lt;&gt;"", VALUE(MID(A557,2,LEN(A557))), AN556))</f>
        <v/>
      </c>
      <c r="AO557" s="79">
        <f>IF(AN557="","",IF(AD557=0,"OK",_xlfn.LET(monedaPago, IF(AA557="","USD",AA557), limitePermitido, IFERROR(VLOOKUP(monedaPago, Configuración!$A$2:$B$3, 2, FALSE), 0.15), IF(AD557&gt;limitePermitido, "ALERTA: EXCESO (" &amp; TEXT(limitePermitido, "0%") &amp; " máx)", "OK"))))</f>
        <v/>
      </c>
      <c r="AP557" s="79">
        <f>IF(AN557="","",IF(AE557=0,"OK",_xlfn.LET(fechaPago, Z557, fechaFactura, R557, diasCredito, IF(E557="Pago inmediato", 0, IFERROR(VALUE(MID(E557, 1, SEARCH(" ", E557)-1)),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57" s="79">
        <f>IF(AN557="","",IF(AND(N557&gt;0, AG557&gt;0), IF(Configuración!$K$2="NO", "ALERTA: DESCUENTO DOBLE NO PERMITIDO", "OK"), "OK"))</f>
        <v/>
      </c>
      <c r="AR557" s="79">
        <f>IF(AN557="","",IF(OR(AO557&lt;&gt;"OK", AP557&lt;&gt;"OK", AQ557&lt;&gt;"OK"), "⚠️ REVISAR", "OK"))</f>
        <v/>
      </c>
    </row>
    <row r="558">
      <c r="A558" s="79">
        <f>IF('Ordenes_Odoo'!A558="","",'Ordenes_Odoo'!A558)</f>
        <v/>
      </c>
      <c r="B558" s="80">
        <f>IF('Ordenes_Odoo'!B558="","",'Ordenes_Odoo'!B558)</f>
        <v/>
      </c>
      <c r="C558" s="79">
        <f>IF('Ordenes_Odoo'!C558="","",'Ordenes_Odoo'!C558)</f>
        <v/>
      </c>
      <c r="D558" s="79">
        <f>IF('Ordenes_Odoo'!D558="","",'Ordenes_Odoo'!D558)</f>
        <v/>
      </c>
      <c r="E558" s="79">
        <f>IF('Ordenes_Odoo'!E558="","",'Ordenes_Odoo'!E558)</f>
        <v/>
      </c>
      <c r="F558" s="79">
        <f>IF('Ordenes_Odoo'!F558="","",'Ordenes_Odoo'!F558)</f>
        <v/>
      </c>
      <c r="G558" s="79">
        <f>IF('Ordenes_Odoo'!G558="","",'Ordenes_Odoo'!G558)</f>
        <v/>
      </c>
      <c r="H558" s="79">
        <f>IF('Ordenes_Odoo'!H558="","",'Ordenes_Odoo'!H558)</f>
        <v/>
      </c>
      <c r="I558" s="79">
        <f>IF('Ordenes_Odoo'!I558="","",'Ordenes_Odoo'!I558)</f>
        <v/>
      </c>
      <c r="J558" s="79">
        <f>IF('Ordenes_Odoo'!J558="","",'Ordenes_Odoo'!J558)</f>
        <v/>
      </c>
      <c r="K558" s="81">
        <f>IF('Ordenes_Odoo'!K558="","",'Ordenes_Odoo'!K558)</f>
        <v/>
      </c>
      <c r="L558" s="81">
        <f>IF('Ordenes_Odoo'!L558="","",'Ordenes_Odoo'!L558)</f>
        <v/>
      </c>
      <c r="M558" s="79">
        <f>IF('Ordenes_Odoo'!M558="","",'Ordenes_Odoo'!M558)</f>
        <v/>
      </c>
      <c r="N558" s="79">
        <f>IF('Ordenes_Odoo'!N558="","",'Ordenes_Odoo'!N558)</f>
        <v/>
      </c>
      <c r="O558" s="81">
        <f>IF('Ordenes_Odoo'!O558="","",'Ordenes_Odoo'!O558)</f>
        <v/>
      </c>
      <c r="P558" s="81">
        <f>IF('Ordenes_Odoo'!P558="","",'Ordenes_Odoo'!P558)</f>
        <v/>
      </c>
      <c r="Q558" s="79">
        <f>IF(A558="","",IFERROR(INDEX(Facturas_Odoo!$B:$B, MATCH(A558, Facturas_Odoo!$D:$D, 0)), "Sin Factura"))</f>
        <v/>
      </c>
      <c r="R558" s="80">
        <f>IF(Q558="Sin Factura","",IFERROR(INDEX(Facturas_Odoo!$A:$A, MATCH(Q558, Facturas_Odoo!$B:$B, 0)), ""))</f>
        <v/>
      </c>
      <c r="S558" s="79">
        <f>IF(Q558="Sin Factura","",IFERROR(_xlfn.XLOOKUP(1, (Facturas_Odoo!$D:$D=A558) * (Facturas_Odoo!$K:$K=I558), Facturas_Odoo!$L:$L, ""), ""))</f>
        <v/>
      </c>
      <c r="T558" s="81">
        <f>IF(Q558="Sin Factura",0,IFERROR(_xlfn.XLOOKUP(1, (Facturas_Odoo!$D:$D=A558) * (Facturas_Odoo!$K:$K=I558), Facturas_Odoo!$M:$M, 0), 0))</f>
        <v/>
      </c>
      <c r="U558" s="79">
        <f>IF(Q558="Sin Factura",0,IFERROR(_xlfn.XLOOKUP(1, (Facturas_Odoo!$D:$D=A558) * (Facturas_Odoo!$K:$K=I558), Facturas_Odoo!$N:$N, 0), 0))</f>
        <v/>
      </c>
      <c r="V558" s="79">
        <f>IF(Q558="Sin Factura",0,IFERROR(_xlfn.XLOOKUP(1, (Facturas_Odoo!$D:$D=A558) * (Facturas_Odoo!$K:$K=I558), Facturas_Odoo!$O:$O, 0), 0))</f>
        <v/>
      </c>
      <c r="W558" s="81">
        <f>IF(Q558="Sin Factura",0,IFERROR(_xlfn.XLOOKUP(1, (Facturas_Odoo!$D:$D=A558) * (Facturas_Odoo!$K:$K=I558), Facturas_Odoo!$Q:$Q, 0), 0))</f>
        <v/>
      </c>
      <c r="X558" s="79">
        <f>IF(OR(Q558="Sin Factura",Q558=""),"",IFERROR(INDEX(Pagos_Odoo!$B:$B, MATCH(Q558, Pagos_Odoo!$I:$I, 0)), "Sin Pago"))</f>
        <v/>
      </c>
      <c r="Y558" s="79">
        <f>IF(X558="Sin Pago","",IFERROR(INDEX(Pagos_Odoo!$C:$C, MATCH(X558, Pagos_Odoo!$B:$B, 0)), ""))</f>
        <v/>
      </c>
      <c r="Z558" s="80">
        <f>IF(X558="Sin Pago","",IFERROR(INDEX(Pagos_Odoo!$A:$A, MATCH(X558, Pagos_Odoo!$B:$B, 0)), ""))</f>
        <v/>
      </c>
      <c r="AA558" s="79">
        <f>IF(X558="Sin Pago","",IFERROR(INDEX(Pagos_Odoo!$F:$F, MATCH(X558, Pagos_Odoo!$B:$B, 0)), ""))</f>
        <v/>
      </c>
      <c r="AB558" s="81">
        <f>IF(X558="Sin Pago",0,IFERROR(INDEX(Pagos_Odoo!$E:$E, MATCH(X558, Pagos_Odoo!$B:$B, 0)), 0))</f>
        <v/>
      </c>
      <c r="AC558" s="79">
        <f>IF(X558="Sin Pago","",IFERROR(INDEX(Pagos_Odoo!$G:$G, MATCH(X558, Pagos_Odoo!$B:$B, 0)), ""))</f>
        <v/>
      </c>
      <c r="AD558" s="82" t="n">
        <v>0</v>
      </c>
      <c r="AE558" s="82" t="n"/>
      <c r="AF558" s="82" t="n"/>
      <c r="AG558" s="82">
        <f>IF(AN558="","",AD558+AE558+AF558)</f>
        <v/>
      </c>
      <c r="AH558" s="81">
        <f>IF(AN558="","",P558*(1-AG558))</f>
        <v/>
      </c>
      <c r="AI558" s="81">
        <f>IF(AN558="","",IF(Q558="Sin Factura",0,IFERROR(INDEX(Facturas_Odoo!$H:$H, MATCH(Q558, Facturas_Odoo!$B:$B, 0)), 0)*(1-AG558)))</f>
        <v/>
      </c>
      <c r="AJ558" s="81">
        <f>IF(AN558="","",_xlfn.LET(idVenta, AN558&amp;"",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58" s="81">
        <f>IF(AN558="","",AH558-AJ558)</f>
        <v/>
      </c>
      <c r="AL558" s="81">
        <f>IF(AN558="","",IF(Q558="Sin Factura","",AI558-AJ558))</f>
        <v/>
      </c>
      <c r="AM558" s="81">
        <f>IF(AN558="","",IF(Q558="Sin Factura",0,P558-IFERROR(INDEX(Facturas_Odoo!$H:$H, MATCH(Q558, Facturas_Odoo!$B:$B, 0)), 0)))</f>
        <v/>
      </c>
      <c r="AN558" s="79">
        <f>IF(AND(A558="", J558=""), "", IF(A558&lt;&gt;"", VALUE(MID(A558,2,LEN(A558))), AN557))</f>
        <v/>
      </c>
      <c r="AO558" s="79">
        <f>IF(AN558="","",IF(AD558=0,"OK",_xlfn.LET(monedaPago, IF(AA558="","USD",AA558), limitePermitido, IFERROR(VLOOKUP(monedaPago, Configuración!$A$2:$B$3, 2, FALSE), 0.15), IF(AD558&gt;limitePermitido, "ALERTA: EXCESO (" &amp; TEXT(limitePermitido, "0%") &amp; " máx)", "OK"))))</f>
        <v/>
      </c>
      <c r="AP558" s="79">
        <f>IF(AN558="","",IF(AE558=0,"OK",_xlfn.LET(fechaPago, Z558, fechaFactura, R558, diasCredito, IF(E558="Pago inmediato", 0, IFERROR(VALUE(MID(E558, 1, SEARCH(" ", E558)-1)),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58" s="79">
        <f>IF(AN558="","",IF(AND(N558&gt;0, AG558&gt;0), IF(Configuración!$K$2="NO", "ALERTA: DESCUENTO DOBLE NO PERMITIDO", "OK"), "OK"))</f>
        <v/>
      </c>
      <c r="AR558" s="79">
        <f>IF(AN558="","",IF(OR(AO558&lt;&gt;"OK", AP558&lt;&gt;"OK", AQ558&lt;&gt;"OK"), "⚠️ REVISAR", "OK"))</f>
        <v/>
      </c>
    </row>
    <row r="559">
      <c r="A559" s="79">
        <f>IF('Ordenes_Odoo'!A559="","",'Ordenes_Odoo'!A559)</f>
        <v/>
      </c>
      <c r="B559" s="80">
        <f>IF('Ordenes_Odoo'!B559="","",'Ordenes_Odoo'!B559)</f>
        <v/>
      </c>
      <c r="C559" s="79">
        <f>IF('Ordenes_Odoo'!C559="","",'Ordenes_Odoo'!C559)</f>
        <v/>
      </c>
      <c r="D559" s="79">
        <f>IF('Ordenes_Odoo'!D559="","",'Ordenes_Odoo'!D559)</f>
        <v/>
      </c>
      <c r="E559" s="79">
        <f>IF('Ordenes_Odoo'!E559="","",'Ordenes_Odoo'!E559)</f>
        <v/>
      </c>
      <c r="F559" s="79">
        <f>IF('Ordenes_Odoo'!F559="","",'Ordenes_Odoo'!F559)</f>
        <v/>
      </c>
      <c r="G559" s="79">
        <f>IF('Ordenes_Odoo'!G559="","",'Ordenes_Odoo'!G559)</f>
        <v/>
      </c>
      <c r="H559" s="79">
        <f>IF('Ordenes_Odoo'!H559="","",'Ordenes_Odoo'!H559)</f>
        <v/>
      </c>
      <c r="I559" s="79">
        <f>IF('Ordenes_Odoo'!I559="","",'Ordenes_Odoo'!I559)</f>
        <v/>
      </c>
      <c r="J559" s="79">
        <f>IF('Ordenes_Odoo'!J559="","",'Ordenes_Odoo'!J559)</f>
        <v/>
      </c>
      <c r="K559" s="81">
        <f>IF('Ordenes_Odoo'!K559="","",'Ordenes_Odoo'!K559)</f>
        <v/>
      </c>
      <c r="L559" s="81">
        <f>IF('Ordenes_Odoo'!L559="","",'Ordenes_Odoo'!L559)</f>
        <v/>
      </c>
      <c r="M559" s="79">
        <f>IF('Ordenes_Odoo'!M559="","",'Ordenes_Odoo'!M559)</f>
        <v/>
      </c>
      <c r="N559" s="79">
        <f>IF('Ordenes_Odoo'!N559="","",'Ordenes_Odoo'!N559)</f>
        <v/>
      </c>
      <c r="O559" s="81">
        <f>IF('Ordenes_Odoo'!O559="","",'Ordenes_Odoo'!O559)</f>
        <v/>
      </c>
      <c r="P559" s="81">
        <f>IF('Ordenes_Odoo'!P559="","",'Ordenes_Odoo'!P559)</f>
        <v/>
      </c>
      <c r="Q559" s="79">
        <f>IF(A559="","",IFERROR(INDEX(Facturas_Odoo!$B:$B, MATCH(A559, Facturas_Odoo!$D:$D, 0)), "Sin Factura"))</f>
        <v/>
      </c>
      <c r="R559" s="80">
        <f>IF(Q559="Sin Factura","",IFERROR(INDEX(Facturas_Odoo!$A:$A, MATCH(Q559, Facturas_Odoo!$B:$B, 0)), ""))</f>
        <v/>
      </c>
      <c r="S559" s="79">
        <f>IF(Q559="Sin Factura","",IFERROR(_xlfn.XLOOKUP(1, (Facturas_Odoo!$D:$D=A559) * (Facturas_Odoo!$K:$K=I559), Facturas_Odoo!$L:$L, ""), ""))</f>
        <v/>
      </c>
      <c r="T559" s="81">
        <f>IF(Q559="Sin Factura",0,IFERROR(_xlfn.XLOOKUP(1, (Facturas_Odoo!$D:$D=A559) * (Facturas_Odoo!$K:$K=I559), Facturas_Odoo!$M:$M, 0), 0))</f>
        <v/>
      </c>
      <c r="U559" s="79">
        <f>IF(Q559="Sin Factura",0,IFERROR(_xlfn.XLOOKUP(1, (Facturas_Odoo!$D:$D=A559) * (Facturas_Odoo!$K:$K=I559), Facturas_Odoo!$N:$N, 0), 0))</f>
        <v/>
      </c>
      <c r="V559" s="79">
        <f>IF(Q559="Sin Factura",0,IFERROR(_xlfn.XLOOKUP(1, (Facturas_Odoo!$D:$D=A559) * (Facturas_Odoo!$K:$K=I559), Facturas_Odoo!$O:$O, 0), 0))</f>
        <v/>
      </c>
      <c r="W559" s="81">
        <f>IF(Q559="Sin Factura",0,IFERROR(_xlfn.XLOOKUP(1, (Facturas_Odoo!$D:$D=A559) * (Facturas_Odoo!$K:$K=I559), Facturas_Odoo!$Q:$Q, 0), 0))</f>
        <v/>
      </c>
      <c r="X559" s="79">
        <f>IF(OR(Q559="Sin Factura",Q559=""),"",IFERROR(INDEX(Pagos_Odoo!$B:$B, MATCH(Q559, Pagos_Odoo!$I:$I, 0)), "Sin Pago"))</f>
        <v/>
      </c>
      <c r="Y559" s="79">
        <f>IF(X559="Sin Pago","",IFERROR(INDEX(Pagos_Odoo!$C:$C, MATCH(X559, Pagos_Odoo!$B:$B, 0)), ""))</f>
        <v/>
      </c>
      <c r="Z559" s="80">
        <f>IF(X559="Sin Pago","",IFERROR(INDEX(Pagos_Odoo!$A:$A, MATCH(X559, Pagos_Odoo!$B:$B, 0)), ""))</f>
        <v/>
      </c>
      <c r="AA559" s="79">
        <f>IF(X559="Sin Pago","",IFERROR(INDEX(Pagos_Odoo!$F:$F, MATCH(X559, Pagos_Odoo!$B:$B, 0)), ""))</f>
        <v/>
      </c>
      <c r="AB559" s="81">
        <f>IF(X559="Sin Pago",0,IFERROR(INDEX(Pagos_Odoo!$E:$E, MATCH(X559, Pagos_Odoo!$B:$B, 0)), 0))</f>
        <v/>
      </c>
      <c r="AC559" s="79">
        <f>IF(X559="Sin Pago","",IFERROR(INDEX(Pagos_Odoo!$G:$G, MATCH(X559, Pagos_Odoo!$B:$B, 0)), ""))</f>
        <v/>
      </c>
      <c r="AD559" s="82" t="n">
        <v>0</v>
      </c>
      <c r="AE559" s="82" t="n"/>
      <c r="AF559" s="82" t="n"/>
      <c r="AG559" s="82">
        <f>IF(AN559="","",AD559+AE559+AF559)</f>
        <v/>
      </c>
      <c r="AH559" s="81">
        <f>IF(AN559="","",P559*(1-AG559))</f>
        <v/>
      </c>
      <c r="AI559" s="81">
        <f>IF(AN559="","",IF(Q559="Sin Factura",0,IFERROR(INDEX(Facturas_Odoo!$H:$H, MATCH(Q559, Facturas_Odoo!$B:$B, 0)), 0)*(1-AG559)))</f>
        <v/>
      </c>
      <c r="AJ559" s="81">
        <f>IF(AN559="","",_xlfn.LET(idVenta, AN559&amp;"",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59" s="81">
        <f>IF(AN559="","",AH559-AJ559)</f>
        <v/>
      </c>
      <c r="AL559" s="81">
        <f>IF(AN559="","",IF(Q559="Sin Factura","",AI559-AJ559))</f>
        <v/>
      </c>
      <c r="AM559" s="81">
        <f>IF(AN559="","",IF(Q559="Sin Factura",0,P559-IFERROR(INDEX(Facturas_Odoo!$H:$H, MATCH(Q559, Facturas_Odoo!$B:$B, 0)), 0)))</f>
        <v/>
      </c>
      <c r="AN559" s="79">
        <f>IF(AND(A559="", J559=""), "", IF(A559&lt;&gt;"", VALUE(MID(A559,2,LEN(A559))), AN558))</f>
        <v/>
      </c>
      <c r="AO559" s="79">
        <f>IF(AN559="","",IF(AD559=0,"OK",_xlfn.LET(monedaPago, IF(AA559="","USD",AA559), limitePermitido, IFERROR(VLOOKUP(monedaPago, Configuración!$A$2:$B$3, 2, FALSE), 0.15), IF(AD559&gt;limitePermitido, "ALERTA: EXCESO (" &amp; TEXT(limitePermitido, "0%") &amp; " máx)", "OK"))))</f>
        <v/>
      </c>
      <c r="AP559" s="79">
        <f>IF(AN559="","",IF(AE559=0,"OK",_xlfn.LET(fechaPago, Z559, fechaFactura, R559, diasCredito, IF(E559="Pago inmediato", 0, IFERROR(VALUE(MID(E559, 1, SEARCH(" ", E559)-1)),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59" s="79">
        <f>IF(AN559="","",IF(AND(N559&gt;0, AG559&gt;0), IF(Configuración!$K$2="NO", "ALERTA: DESCUENTO DOBLE NO PERMITIDO", "OK"), "OK"))</f>
        <v/>
      </c>
      <c r="AR559" s="79">
        <f>IF(AN559="","",IF(OR(AO559&lt;&gt;"OK", AP559&lt;&gt;"OK", AQ559&lt;&gt;"OK"), "⚠️ REVISAR", "OK"))</f>
        <v/>
      </c>
    </row>
    <row r="560">
      <c r="A560" s="79">
        <f>IF('Ordenes_Odoo'!A560="","",'Ordenes_Odoo'!A560)</f>
        <v/>
      </c>
      <c r="B560" s="80">
        <f>IF('Ordenes_Odoo'!B560="","",'Ordenes_Odoo'!B560)</f>
        <v/>
      </c>
      <c r="C560" s="79">
        <f>IF('Ordenes_Odoo'!C560="","",'Ordenes_Odoo'!C560)</f>
        <v/>
      </c>
      <c r="D560" s="79">
        <f>IF('Ordenes_Odoo'!D560="","",'Ordenes_Odoo'!D560)</f>
        <v/>
      </c>
      <c r="E560" s="79">
        <f>IF('Ordenes_Odoo'!E560="","",'Ordenes_Odoo'!E560)</f>
        <v/>
      </c>
      <c r="F560" s="79">
        <f>IF('Ordenes_Odoo'!F560="","",'Ordenes_Odoo'!F560)</f>
        <v/>
      </c>
      <c r="G560" s="79">
        <f>IF('Ordenes_Odoo'!G560="","",'Ordenes_Odoo'!G560)</f>
        <v/>
      </c>
      <c r="H560" s="79">
        <f>IF('Ordenes_Odoo'!H560="","",'Ordenes_Odoo'!H560)</f>
        <v/>
      </c>
      <c r="I560" s="79">
        <f>IF('Ordenes_Odoo'!I560="","",'Ordenes_Odoo'!I560)</f>
        <v/>
      </c>
      <c r="J560" s="79">
        <f>IF('Ordenes_Odoo'!J560="","",'Ordenes_Odoo'!J560)</f>
        <v/>
      </c>
      <c r="K560" s="81">
        <f>IF('Ordenes_Odoo'!K560="","",'Ordenes_Odoo'!K560)</f>
        <v/>
      </c>
      <c r="L560" s="81">
        <f>IF('Ordenes_Odoo'!L560="","",'Ordenes_Odoo'!L560)</f>
        <v/>
      </c>
      <c r="M560" s="79">
        <f>IF('Ordenes_Odoo'!M560="","",'Ordenes_Odoo'!M560)</f>
        <v/>
      </c>
      <c r="N560" s="79">
        <f>IF('Ordenes_Odoo'!N560="","",'Ordenes_Odoo'!N560)</f>
        <v/>
      </c>
      <c r="O560" s="81">
        <f>IF('Ordenes_Odoo'!O560="","",'Ordenes_Odoo'!O560)</f>
        <v/>
      </c>
      <c r="P560" s="81">
        <f>IF('Ordenes_Odoo'!P560="","",'Ordenes_Odoo'!P560)</f>
        <v/>
      </c>
      <c r="Q560" s="79">
        <f>IF(A560="","",IFERROR(INDEX(Facturas_Odoo!$B:$B, MATCH(A560, Facturas_Odoo!$D:$D, 0)), "Sin Factura"))</f>
        <v/>
      </c>
      <c r="R560" s="80">
        <f>IF(Q560="Sin Factura","",IFERROR(INDEX(Facturas_Odoo!$A:$A, MATCH(Q560, Facturas_Odoo!$B:$B, 0)), ""))</f>
        <v/>
      </c>
      <c r="S560" s="79">
        <f>IF(Q560="Sin Factura","",IFERROR(_xlfn.XLOOKUP(1, (Facturas_Odoo!$D:$D=A560) * (Facturas_Odoo!$K:$K=I560), Facturas_Odoo!$L:$L, ""), ""))</f>
        <v/>
      </c>
      <c r="T560" s="81">
        <f>IF(Q560="Sin Factura",0,IFERROR(_xlfn.XLOOKUP(1, (Facturas_Odoo!$D:$D=A560) * (Facturas_Odoo!$K:$K=I560), Facturas_Odoo!$M:$M, 0), 0))</f>
        <v/>
      </c>
      <c r="U560" s="79">
        <f>IF(Q560="Sin Factura",0,IFERROR(_xlfn.XLOOKUP(1, (Facturas_Odoo!$D:$D=A560) * (Facturas_Odoo!$K:$K=I560), Facturas_Odoo!$N:$N, 0), 0))</f>
        <v/>
      </c>
      <c r="V560" s="79">
        <f>IF(Q560="Sin Factura",0,IFERROR(_xlfn.XLOOKUP(1, (Facturas_Odoo!$D:$D=A560) * (Facturas_Odoo!$K:$K=I560), Facturas_Odoo!$O:$O, 0), 0))</f>
        <v/>
      </c>
      <c r="W560" s="81">
        <f>IF(Q560="Sin Factura",0,IFERROR(_xlfn.XLOOKUP(1, (Facturas_Odoo!$D:$D=A560) * (Facturas_Odoo!$K:$K=I560), Facturas_Odoo!$Q:$Q, 0), 0))</f>
        <v/>
      </c>
      <c r="X560" s="79">
        <f>IF(OR(Q560="Sin Factura",Q560=""),"",IFERROR(INDEX(Pagos_Odoo!$B:$B, MATCH(Q560, Pagos_Odoo!$I:$I, 0)), "Sin Pago"))</f>
        <v/>
      </c>
      <c r="Y560" s="79">
        <f>IF(X560="Sin Pago","",IFERROR(INDEX(Pagos_Odoo!$C:$C, MATCH(X560, Pagos_Odoo!$B:$B, 0)), ""))</f>
        <v/>
      </c>
      <c r="Z560" s="80">
        <f>IF(X560="Sin Pago","",IFERROR(INDEX(Pagos_Odoo!$A:$A, MATCH(X560, Pagos_Odoo!$B:$B, 0)), ""))</f>
        <v/>
      </c>
      <c r="AA560" s="79">
        <f>IF(X560="Sin Pago","",IFERROR(INDEX(Pagos_Odoo!$F:$F, MATCH(X560, Pagos_Odoo!$B:$B, 0)), ""))</f>
        <v/>
      </c>
      <c r="AB560" s="81">
        <f>IF(X560="Sin Pago",0,IFERROR(INDEX(Pagos_Odoo!$E:$E, MATCH(X560, Pagos_Odoo!$B:$B, 0)), 0))</f>
        <v/>
      </c>
      <c r="AC560" s="79">
        <f>IF(X560="Sin Pago","",IFERROR(INDEX(Pagos_Odoo!$G:$G, MATCH(X560, Pagos_Odoo!$B:$B, 0)), ""))</f>
        <v/>
      </c>
      <c r="AD560" s="82" t="n">
        <v>0</v>
      </c>
      <c r="AE560" s="82" t="n"/>
      <c r="AF560" s="82" t="n"/>
      <c r="AG560" s="82">
        <f>IF(AN560="","",AD560+AE560+AF560)</f>
        <v/>
      </c>
      <c r="AH560" s="81">
        <f>IF(AN560="","",P560*(1-AG560))</f>
        <v/>
      </c>
      <c r="AI560" s="81">
        <f>IF(AN560="","",IF(Q560="Sin Factura",0,IFERROR(INDEX(Facturas_Odoo!$H:$H, MATCH(Q560, Facturas_Odoo!$B:$B, 0)), 0)*(1-AG560)))</f>
        <v/>
      </c>
      <c r="AJ560" s="81">
        <f>IF(AN560="","",_xlfn.LET(idVenta, AN560&amp;"",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60" s="81">
        <f>IF(AN560="","",AH560-AJ560)</f>
        <v/>
      </c>
      <c r="AL560" s="81">
        <f>IF(AN560="","",IF(Q560="Sin Factura","",AI560-AJ560))</f>
        <v/>
      </c>
      <c r="AM560" s="81">
        <f>IF(AN560="","",IF(Q560="Sin Factura",0,P560-IFERROR(INDEX(Facturas_Odoo!$H:$H, MATCH(Q560, Facturas_Odoo!$B:$B, 0)), 0)))</f>
        <v/>
      </c>
      <c r="AN560" s="79">
        <f>IF(AND(A560="", J560=""), "", IF(A560&lt;&gt;"", VALUE(MID(A560,2,LEN(A560))), AN559))</f>
        <v/>
      </c>
      <c r="AO560" s="79">
        <f>IF(AN560="","",IF(AD560=0,"OK",_xlfn.LET(monedaPago, IF(AA560="","USD",AA560), limitePermitido, IFERROR(VLOOKUP(monedaPago, Configuración!$A$2:$B$3, 2, FALSE), 0.15), IF(AD560&gt;limitePermitido, "ALERTA: EXCESO (" &amp; TEXT(limitePermitido, "0%") &amp; " máx)", "OK"))))</f>
        <v/>
      </c>
      <c r="AP560" s="79">
        <f>IF(AN560="","",IF(AE560=0,"OK",_xlfn.LET(fechaPago, Z560, fechaFactura, R560, diasCredito, IF(E560="Pago inmediato", 0, IFERROR(VALUE(MID(E560, 1, SEARCH(" ", E560)-1)),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60" s="79">
        <f>IF(AN560="","",IF(AND(N560&gt;0, AG560&gt;0), IF(Configuración!$K$2="NO", "ALERTA: DESCUENTO DOBLE NO PERMITIDO", "OK"), "OK"))</f>
        <v/>
      </c>
      <c r="AR560" s="79">
        <f>IF(AN560="","",IF(OR(AO560&lt;&gt;"OK", AP560&lt;&gt;"OK", AQ560&lt;&gt;"OK"), "⚠️ REVISAR", "OK"))</f>
        <v/>
      </c>
    </row>
    <row r="561">
      <c r="A561" s="79">
        <f>IF('Ordenes_Odoo'!A561="","",'Ordenes_Odoo'!A561)</f>
        <v/>
      </c>
      <c r="B561" s="80">
        <f>IF('Ordenes_Odoo'!B561="","",'Ordenes_Odoo'!B561)</f>
        <v/>
      </c>
      <c r="C561" s="79">
        <f>IF('Ordenes_Odoo'!C561="","",'Ordenes_Odoo'!C561)</f>
        <v/>
      </c>
      <c r="D561" s="79">
        <f>IF('Ordenes_Odoo'!D561="","",'Ordenes_Odoo'!D561)</f>
        <v/>
      </c>
      <c r="E561" s="79">
        <f>IF('Ordenes_Odoo'!E561="","",'Ordenes_Odoo'!E561)</f>
        <v/>
      </c>
      <c r="F561" s="79">
        <f>IF('Ordenes_Odoo'!F561="","",'Ordenes_Odoo'!F561)</f>
        <v/>
      </c>
      <c r="G561" s="79">
        <f>IF('Ordenes_Odoo'!G561="","",'Ordenes_Odoo'!G561)</f>
        <v/>
      </c>
      <c r="H561" s="79">
        <f>IF('Ordenes_Odoo'!H561="","",'Ordenes_Odoo'!H561)</f>
        <v/>
      </c>
      <c r="I561" s="79">
        <f>IF('Ordenes_Odoo'!I561="","",'Ordenes_Odoo'!I561)</f>
        <v/>
      </c>
      <c r="J561" s="79">
        <f>IF('Ordenes_Odoo'!J561="","",'Ordenes_Odoo'!J561)</f>
        <v/>
      </c>
      <c r="K561" s="81">
        <f>IF('Ordenes_Odoo'!K561="","",'Ordenes_Odoo'!K561)</f>
        <v/>
      </c>
      <c r="L561" s="81">
        <f>IF('Ordenes_Odoo'!L561="","",'Ordenes_Odoo'!L561)</f>
        <v/>
      </c>
      <c r="M561" s="79">
        <f>IF('Ordenes_Odoo'!M561="","",'Ordenes_Odoo'!M561)</f>
        <v/>
      </c>
      <c r="N561" s="79">
        <f>IF('Ordenes_Odoo'!N561="","",'Ordenes_Odoo'!N561)</f>
        <v/>
      </c>
      <c r="O561" s="81">
        <f>IF('Ordenes_Odoo'!O561="","",'Ordenes_Odoo'!O561)</f>
        <v/>
      </c>
      <c r="P561" s="81">
        <f>IF('Ordenes_Odoo'!P561="","",'Ordenes_Odoo'!P561)</f>
        <v/>
      </c>
      <c r="Q561" s="79">
        <f>IF(A561="","",IFERROR(INDEX(Facturas_Odoo!$B:$B, MATCH(A561, Facturas_Odoo!$D:$D, 0)), "Sin Factura"))</f>
        <v/>
      </c>
      <c r="R561" s="80">
        <f>IF(Q561="Sin Factura","",IFERROR(INDEX(Facturas_Odoo!$A:$A, MATCH(Q561, Facturas_Odoo!$B:$B, 0)), ""))</f>
        <v/>
      </c>
      <c r="S561" s="79">
        <f>IF(Q561="Sin Factura","",IFERROR(_xlfn.XLOOKUP(1, (Facturas_Odoo!$D:$D=A561) * (Facturas_Odoo!$K:$K=I561), Facturas_Odoo!$L:$L, ""), ""))</f>
        <v/>
      </c>
      <c r="T561" s="81">
        <f>IF(Q561="Sin Factura",0,IFERROR(_xlfn.XLOOKUP(1, (Facturas_Odoo!$D:$D=A561) * (Facturas_Odoo!$K:$K=I561), Facturas_Odoo!$M:$M, 0), 0))</f>
        <v/>
      </c>
      <c r="U561" s="79">
        <f>IF(Q561="Sin Factura",0,IFERROR(_xlfn.XLOOKUP(1, (Facturas_Odoo!$D:$D=A561) * (Facturas_Odoo!$K:$K=I561), Facturas_Odoo!$N:$N, 0), 0))</f>
        <v/>
      </c>
      <c r="V561" s="79">
        <f>IF(Q561="Sin Factura",0,IFERROR(_xlfn.XLOOKUP(1, (Facturas_Odoo!$D:$D=A561) * (Facturas_Odoo!$K:$K=I561), Facturas_Odoo!$O:$O, 0), 0))</f>
        <v/>
      </c>
      <c r="W561" s="81">
        <f>IF(Q561="Sin Factura",0,IFERROR(_xlfn.XLOOKUP(1, (Facturas_Odoo!$D:$D=A561) * (Facturas_Odoo!$K:$K=I561), Facturas_Odoo!$Q:$Q, 0), 0))</f>
        <v/>
      </c>
      <c r="X561" s="79">
        <f>IF(OR(Q561="Sin Factura",Q561=""),"",IFERROR(INDEX(Pagos_Odoo!$B:$B, MATCH(Q561, Pagos_Odoo!$I:$I, 0)), "Sin Pago"))</f>
        <v/>
      </c>
      <c r="Y561" s="79">
        <f>IF(X561="Sin Pago","",IFERROR(INDEX(Pagos_Odoo!$C:$C, MATCH(X561, Pagos_Odoo!$B:$B, 0)), ""))</f>
        <v/>
      </c>
      <c r="Z561" s="80">
        <f>IF(X561="Sin Pago","",IFERROR(INDEX(Pagos_Odoo!$A:$A, MATCH(X561, Pagos_Odoo!$B:$B, 0)), ""))</f>
        <v/>
      </c>
      <c r="AA561" s="79">
        <f>IF(X561="Sin Pago","",IFERROR(INDEX(Pagos_Odoo!$F:$F, MATCH(X561, Pagos_Odoo!$B:$B, 0)), ""))</f>
        <v/>
      </c>
      <c r="AB561" s="81">
        <f>IF(X561="Sin Pago",0,IFERROR(INDEX(Pagos_Odoo!$E:$E, MATCH(X561, Pagos_Odoo!$B:$B, 0)), 0))</f>
        <v/>
      </c>
      <c r="AC561" s="79">
        <f>IF(X561="Sin Pago","",IFERROR(INDEX(Pagos_Odoo!$G:$G, MATCH(X561, Pagos_Odoo!$B:$B, 0)), ""))</f>
        <v/>
      </c>
      <c r="AD561" s="82" t="n">
        <v>0</v>
      </c>
      <c r="AE561" s="82" t="n"/>
      <c r="AF561" s="82" t="n"/>
      <c r="AG561" s="82">
        <f>IF(AN561="","",AD561+AE561+AF561)</f>
        <v/>
      </c>
      <c r="AH561" s="81">
        <f>IF(AN561="","",P561*(1-AG561))</f>
        <v/>
      </c>
      <c r="AI561" s="81">
        <f>IF(AN561="","",IF(Q561="Sin Factura",0,IFERROR(INDEX(Facturas_Odoo!$H:$H, MATCH(Q561, Facturas_Odoo!$B:$B, 0)), 0)*(1-AG561)))</f>
        <v/>
      </c>
      <c r="AJ561" s="81">
        <f>IF(AN561="","",_xlfn.LET(idVenta, AN561&amp;"",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61" s="81">
        <f>IF(AN561="","",AH561-AJ561)</f>
        <v/>
      </c>
      <c r="AL561" s="81">
        <f>IF(AN561="","",IF(Q561="Sin Factura","",AI561-AJ561))</f>
        <v/>
      </c>
      <c r="AM561" s="81">
        <f>IF(AN561="","",IF(Q561="Sin Factura",0,P561-IFERROR(INDEX(Facturas_Odoo!$H:$H, MATCH(Q561, Facturas_Odoo!$B:$B, 0)), 0)))</f>
        <v/>
      </c>
      <c r="AN561" s="79">
        <f>IF(AND(A561="", J561=""), "", IF(A561&lt;&gt;"", VALUE(MID(A561,2,LEN(A561))), AN560))</f>
        <v/>
      </c>
      <c r="AO561" s="79">
        <f>IF(AN561="","",IF(AD561=0,"OK",_xlfn.LET(monedaPago, IF(AA561="","USD",AA561), limitePermitido, IFERROR(VLOOKUP(monedaPago, Configuración!$A$2:$B$3, 2, FALSE), 0.15), IF(AD561&gt;limitePermitido, "ALERTA: EXCESO (" &amp; TEXT(limitePermitido, "0%") &amp; " máx)", "OK"))))</f>
        <v/>
      </c>
      <c r="AP561" s="79">
        <f>IF(AN561="","",IF(AE561=0,"OK",_xlfn.LET(fechaPago, Z561, fechaFactura, R561, diasCredito, IF(E561="Pago inmediato", 0, IFERROR(VALUE(MID(E561, 1, SEARCH(" ", E561)-1)),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61" s="79">
        <f>IF(AN561="","",IF(AND(N561&gt;0, AG561&gt;0), IF(Configuración!$K$2="NO", "ALERTA: DESCUENTO DOBLE NO PERMITIDO", "OK"), "OK"))</f>
        <v/>
      </c>
      <c r="AR561" s="79">
        <f>IF(AN561="","",IF(OR(AO561&lt;&gt;"OK", AP561&lt;&gt;"OK", AQ561&lt;&gt;"OK"), "⚠️ REVISAR", "OK"))</f>
        <v/>
      </c>
    </row>
    <row r="562">
      <c r="A562" s="79">
        <f>IF('Ordenes_Odoo'!A562="","",'Ordenes_Odoo'!A562)</f>
        <v/>
      </c>
      <c r="B562" s="80">
        <f>IF('Ordenes_Odoo'!B562="","",'Ordenes_Odoo'!B562)</f>
        <v/>
      </c>
      <c r="C562" s="79">
        <f>IF('Ordenes_Odoo'!C562="","",'Ordenes_Odoo'!C562)</f>
        <v/>
      </c>
      <c r="D562" s="79">
        <f>IF('Ordenes_Odoo'!D562="","",'Ordenes_Odoo'!D562)</f>
        <v/>
      </c>
      <c r="E562" s="79">
        <f>IF('Ordenes_Odoo'!E562="","",'Ordenes_Odoo'!E562)</f>
        <v/>
      </c>
      <c r="F562" s="79">
        <f>IF('Ordenes_Odoo'!F562="","",'Ordenes_Odoo'!F562)</f>
        <v/>
      </c>
      <c r="G562" s="79">
        <f>IF('Ordenes_Odoo'!G562="","",'Ordenes_Odoo'!G562)</f>
        <v/>
      </c>
      <c r="H562" s="79">
        <f>IF('Ordenes_Odoo'!H562="","",'Ordenes_Odoo'!H562)</f>
        <v/>
      </c>
      <c r="I562" s="79">
        <f>IF('Ordenes_Odoo'!I562="","",'Ordenes_Odoo'!I562)</f>
        <v/>
      </c>
      <c r="J562" s="79">
        <f>IF('Ordenes_Odoo'!J562="","",'Ordenes_Odoo'!J562)</f>
        <v/>
      </c>
      <c r="K562" s="81">
        <f>IF('Ordenes_Odoo'!K562="","",'Ordenes_Odoo'!K562)</f>
        <v/>
      </c>
      <c r="L562" s="81">
        <f>IF('Ordenes_Odoo'!L562="","",'Ordenes_Odoo'!L562)</f>
        <v/>
      </c>
      <c r="M562" s="79">
        <f>IF('Ordenes_Odoo'!M562="","",'Ordenes_Odoo'!M562)</f>
        <v/>
      </c>
      <c r="N562" s="79">
        <f>IF('Ordenes_Odoo'!N562="","",'Ordenes_Odoo'!N562)</f>
        <v/>
      </c>
      <c r="O562" s="81">
        <f>IF('Ordenes_Odoo'!O562="","",'Ordenes_Odoo'!O562)</f>
        <v/>
      </c>
      <c r="P562" s="81">
        <f>IF('Ordenes_Odoo'!P562="","",'Ordenes_Odoo'!P562)</f>
        <v/>
      </c>
      <c r="Q562" s="79">
        <f>IF(A562="","",IFERROR(INDEX(Facturas_Odoo!$B:$B, MATCH(A562, Facturas_Odoo!$D:$D, 0)), "Sin Factura"))</f>
        <v/>
      </c>
      <c r="R562" s="80">
        <f>IF(Q562="Sin Factura","",IFERROR(INDEX(Facturas_Odoo!$A:$A, MATCH(Q562, Facturas_Odoo!$B:$B, 0)), ""))</f>
        <v/>
      </c>
      <c r="S562" s="79">
        <f>IF(Q562="Sin Factura","",IFERROR(_xlfn.XLOOKUP(1, (Facturas_Odoo!$D:$D=A562) * (Facturas_Odoo!$K:$K=I562), Facturas_Odoo!$L:$L, ""), ""))</f>
        <v/>
      </c>
      <c r="T562" s="81">
        <f>IF(Q562="Sin Factura",0,IFERROR(_xlfn.XLOOKUP(1, (Facturas_Odoo!$D:$D=A562) * (Facturas_Odoo!$K:$K=I562), Facturas_Odoo!$M:$M, 0), 0))</f>
        <v/>
      </c>
      <c r="U562" s="79">
        <f>IF(Q562="Sin Factura",0,IFERROR(_xlfn.XLOOKUP(1, (Facturas_Odoo!$D:$D=A562) * (Facturas_Odoo!$K:$K=I562), Facturas_Odoo!$N:$N, 0), 0))</f>
        <v/>
      </c>
      <c r="V562" s="79">
        <f>IF(Q562="Sin Factura",0,IFERROR(_xlfn.XLOOKUP(1, (Facturas_Odoo!$D:$D=A562) * (Facturas_Odoo!$K:$K=I562), Facturas_Odoo!$O:$O, 0), 0))</f>
        <v/>
      </c>
      <c r="W562" s="81">
        <f>IF(Q562="Sin Factura",0,IFERROR(_xlfn.XLOOKUP(1, (Facturas_Odoo!$D:$D=A562) * (Facturas_Odoo!$K:$K=I562), Facturas_Odoo!$Q:$Q, 0), 0))</f>
        <v/>
      </c>
      <c r="X562" s="79">
        <f>IF(OR(Q562="Sin Factura",Q562=""),"",IFERROR(INDEX(Pagos_Odoo!$B:$B, MATCH(Q562, Pagos_Odoo!$I:$I, 0)), "Sin Pago"))</f>
        <v/>
      </c>
      <c r="Y562" s="79">
        <f>IF(X562="Sin Pago","",IFERROR(INDEX(Pagos_Odoo!$C:$C, MATCH(X562, Pagos_Odoo!$B:$B, 0)), ""))</f>
        <v/>
      </c>
      <c r="Z562" s="80">
        <f>IF(X562="Sin Pago","",IFERROR(INDEX(Pagos_Odoo!$A:$A, MATCH(X562, Pagos_Odoo!$B:$B, 0)), ""))</f>
        <v/>
      </c>
      <c r="AA562" s="79">
        <f>IF(X562="Sin Pago","",IFERROR(INDEX(Pagos_Odoo!$F:$F, MATCH(X562, Pagos_Odoo!$B:$B, 0)), ""))</f>
        <v/>
      </c>
      <c r="AB562" s="81">
        <f>IF(X562="Sin Pago",0,IFERROR(INDEX(Pagos_Odoo!$E:$E, MATCH(X562, Pagos_Odoo!$B:$B, 0)), 0))</f>
        <v/>
      </c>
      <c r="AC562" s="79">
        <f>IF(X562="Sin Pago","",IFERROR(INDEX(Pagos_Odoo!$G:$G, MATCH(X562, Pagos_Odoo!$B:$B, 0)), ""))</f>
        <v/>
      </c>
      <c r="AD562" s="82" t="n">
        <v>0</v>
      </c>
      <c r="AE562" s="82" t="n"/>
      <c r="AF562" s="82" t="n"/>
      <c r="AG562" s="82">
        <f>IF(AN562="","",AD562+AE562+AF562)</f>
        <v/>
      </c>
      <c r="AH562" s="81">
        <f>IF(AN562="","",P562*(1-AG562))</f>
        <v/>
      </c>
      <c r="AI562" s="81">
        <f>IF(AN562="","",IF(Q562="Sin Factura",0,IFERROR(INDEX(Facturas_Odoo!$H:$H, MATCH(Q562, Facturas_Odoo!$B:$B, 0)), 0)*(1-AG562)))</f>
        <v/>
      </c>
      <c r="AJ562" s="81">
        <f>IF(AN562="","",_xlfn.LET(idVenta, AN562&amp;"",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62" s="81">
        <f>IF(AN562="","",AH562-AJ562)</f>
        <v/>
      </c>
      <c r="AL562" s="81">
        <f>IF(AN562="","",IF(Q562="Sin Factura","",AI562-AJ562))</f>
        <v/>
      </c>
      <c r="AM562" s="81">
        <f>IF(AN562="","",IF(Q562="Sin Factura",0,P562-IFERROR(INDEX(Facturas_Odoo!$H:$H, MATCH(Q562, Facturas_Odoo!$B:$B, 0)), 0)))</f>
        <v/>
      </c>
      <c r="AN562" s="79">
        <f>IF(AND(A562="", J562=""), "", IF(A562&lt;&gt;"", VALUE(MID(A562,2,LEN(A562))), AN561))</f>
        <v/>
      </c>
      <c r="AO562" s="79">
        <f>IF(AN562="","",IF(AD562=0,"OK",_xlfn.LET(monedaPago, IF(AA562="","USD",AA562), limitePermitido, IFERROR(VLOOKUP(monedaPago, Configuración!$A$2:$B$3, 2, FALSE), 0.15), IF(AD562&gt;limitePermitido, "ALERTA: EXCESO (" &amp; TEXT(limitePermitido, "0%") &amp; " máx)", "OK"))))</f>
        <v/>
      </c>
      <c r="AP562" s="79">
        <f>IF(AN562="","",IF(AE562=0,"OK",_xlfn.LET(fechaPago, Z562, fechaFactura, R562, diasCredito, IF(E562="Pago inmediato", 0, IFERROR(VALUE(MID(E562, 1, SEARCH(" ", E562)-1)),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62" s="79">
        <f>IF(AN562="","",IF(AND(N562&gt;0, AG562&gt;0), IF(Configuración!$K$2="NO", "ALERTA: DESCUENTO DOBLE NO PERMITIDO", "OK"), "OK"))</f>
        <v/>
      </c>
      <c r="AR562" s="79">
        <f>IF(AN562="","",IF(OR(AO562&lt;&gt;"OK", AP562&lt;&gt;"OK", AQ562&lt;&gt;"OK"), "⚠️ REVISAR", "OK"))</f>
        <v/>
      </c>
    </row>
    <row r="563">
      <c r="A563" s="79">
        <f>IF('Ordenes_Odoo'!A563="","",'Ordenes_Odoo'!A563)</f>
        <v/>
      </c>
      <c r="B563" s="80">
        <f>IF('Ordenes_Odoo'!B563="","",'Ordenes_Odoo'!B563)</f>
        <v/>
      </c>
      <c r="C563" s="79">
        <f>IF('Ordenes_Odoo'!C563="","",'Ordenes_Odoo'!C563)</f>
        <v/>
      </c>
      <c r="D563" s="79">
        <f>IF('Ordenes_Odoo'!D563="","",'Ordenes_Odoo'!D563)</f>
        <v/>
      </c>
      <c r="E563" s="79">
        <f>IF('Ordenes_Odoo'!E563="","",'Ordenes_Odoo'!E563)</f>
        <v/>
      </c>
      <c r="F563" s="79">
        <f>IF('Ordenes_Odoo'!F563="","",'Ordenes_Odoo'!F563)</f>
        <v/>
      </c>
      <c r="G563" s="79">
        <f>IF('Ordenes_Odoo'!G563="","",'Ordenes_Odoo'!G563)</f>
        <v/>
      </c>
      <c r="H563" s="79">
        <f>IF('Ordenes_Odoo'!H563="","",'Ordenes_Odoo'!H563)</f>
        <v/>
      </c>
      <c r="I563" s="79">
        <f>IF('Ordenes_Odoo'!I563="","",'Ordenes_Odoo'!I563)</f>
        <v/>
      </c>
      <c r="J563" s="79">
        <f>IF('Ordenes_Odoo'!J563="","",'Ordenes_Odoo'!J563)</f>
        <v/>
      </c>
      <c r="K563" s="81">
        <f>IF('Ordenes_Odoo'!K563="","",'Ordenes_Odoo'!K563)</f>
        <v/>
      </c>
      <c r="L563" s="81">
        <f>IF('Ordenes_Odoo'!L563="","",'Ordenes_Odoo'!L563)</f>
        <v/>
      </c>
      <c r="M563" s="79">
        <f>IF('Ordenes_Odoo'!M563="","",'Ordenes_Odoo'!M563)</f>
        <v/>
      </c>
      <c r="N563" s="79">
        <f>IF('Ordenes_Odoo'!N563="","",'Ordenes_Odoo'!N563)</f>
        <v/>
      </c>
      <c r="O563" s="81">
        <f>IF('Ordenes_Odoo'!O563="","",'Ordenes_Odoo'!O563)</f>
        <v/>
      </c>
      <c r="P563" s="81">
        <f>IF('Ordenes_Odoo'!P563="","",'Ordenes_Odoo'!P563)</f>
        <v/>
      </c>
      <c r="Q563" s="79">
        <f>IF(A563="","",IFERROR(INDEX(Facturas_Odoo!$B:$B, MATCH(A563, Facturas_Odoo!$D:$D, 0)), "Sin Factura"))</f>
        <v/>
      </c>
      <c r="R563" s="80">
        <f>IF(Q563="Sin Factura","",IFERROR(INDEX(Facturas_Odoo!$A:$A, MATCH(Q563, Facturas_Odoo!$B:$B, 0)), ""))</f>
        <v/>
      </c>
      <c r="S563" s="79">
        <f>IF(Q563="Sin Factura","",IFERROR(_xlfn.XLOOKUP(1, (Facturas_Odoo!$D:$D=A563) * (Facturas_Odoo!$K:$K=I563), Facturas_Odoo!$L:$L, ""), ""))</f>
        <v/>
      </c>
      <c r="T563" s="81">
        <f>IF(Q563="Sin Factura",0,IFERROR(_xlfn.XLOOKUP(1, (Facturas_Odoo!$D:$D=A563) * (Facturas_Odoo!$K:$K=I563), Facturas_Odoo!$M:$M, 0), 0))</f>
        <v/>
      </c>
      <c r="U563" s="79">
        <f>IF(Q563="Sin Factura",0,IFERROR(_xlfn.XLOOKUP(1, (Facturas_Odoo!$D:$D=A563) * (Facturas_Odoo!$K:$K=I563), Facturas_Odoo!$N:$N, 0), 0))</f>
        <v/>
      </c>
      <c r="V563" s="79">
        <f>IF(Q563="Sin Factura",0,IFERROR(_xlfn.XLOOKUP(1, (Facturas_Odoo!$D:$D=A563) * (Facturas_Odoo!$K:$K=I563), Facturas_Odoo!$O:$O, 0), 0))</f>
        <v/>
      </c>
      <c r="W563" s="81">
        <f>IF(Q563="Sin Factura",0,IFERROR(_xlfn.XLOOKUP(1, (Facturas_Odoo!$D:$D=A563) * (Facturas_Odoo!$K:$K=I563), Facturas_Odoo!$Q:$Q, 0), 0))</f>
        <v/>
      </c>
      <c r="X563" s="79">
        <f>IF(OR(Q563="Sin Factura",Q563=""),"",IFERROR(INDEX(Pagos_Odoo!$B:$B, MATCH(Q563, Pagos_Odoo!$I:$I, 0)), "Sin Pago"))</f>
        <v/>
      </c>
      <c r="Y563" s="79">
        <f>IF(X563="Sin Pago","",IFERROR(INDEX(Pagos_Odoo!$C:$C, MATCH(X563, Pagos_Odoo!$B:$B, 0)), ""))</f>
        <v/>
      </c>
      <c r="Z563" s="80">
        <f>IF(X563="Sin Pago","",IFERROR(INDEX(Pagos_Odoo!$A:$A, MATCH(X563, Pagos_Odoo!$B:$B, 0)), ""))</f>
        <v/>
      </c>
      <c r="AA563" s="79">
        <f>IF(X563="Sin Pago","",IFERROR(INDEX(Pagos_Odoo!$F:$F, MATCH(X563, Pagos_Odoo!$B:$B, 0)), ""))</f>
        <v/>
      </c>
      <c r="AB563" s="81">
        <f>IF(X563="Sin Pago",0,IFERROR(INDEX(Pagos_Odoo!$E:$E, MATCH(X563, Pagos_Odoo!$B:$B, 0)), 0))</f>
        <v/>
      </c>
      <c r="AC563" s="79">
        <f>IF(X563="Sin Pago","",IFERROR(INDEX(Pagos_Odoo!$G:$G, MATCH(X563, Pagos_Odoo!$B:$B, 0)), ""))</f>
        <v/>
      </c>
      <c r="AD563" s="82" t="n">
        <v>0</v>
      </c>
      <c r="AE563" s="82" t="n"/>
      <c r="AF563" s="82" t="n"/>
      <c r="AG563" s="82">
        <f>IF(AN563="","",AD563+AE563+AF563)</f>
        <v/>
      </c>
      <c r="AH563" s="81">
        <f>IF(AN563="","",P563*(1-AG563))</f>
        <v/>
      </c>
      <c r="AI563" s="81">
        <f>IF(AN563="","",IF(Q563="Sin Factura",0,IFERROR(INDEX(Facturas_Odoo!$H:$H, MATCH(Q563, Facturas_Odoo!$B:$B, 0)), 0)*(1-AG563)))</f>
        <v/>
      </c>
      <c r="AJ563" s="81">
        <f>IF(AN563="","",_xlfn.LET(idVenta, AN563&amp;"",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63" s="81">
        <f>IF(AN563="","",AH563-AJ563)</f>
        <v/>
      </c>
      <c r="AL563" s="81">
        <f>IF(AN563="","",IF(Q563="Sin Factura","",AI563-AJ563))</f>
        <v/>
      </c>
      <c r="AM563" s="81">
        <f>IF(AN563="","",IF(Q563="Sin Factura",0,P563-IFERROR(INDEX(Facturas_Odoo!$H:$H, MATCH(Q563, Facturas_Odoo!$B:$B, 0)), 0)))</f>
        <v/>
      </c>
      <c r="AN563" s="79">
        <f>IF(AND(A563="", J563=""), "", IF(A563&lt;&gt;"", VALUE(MID(A563,2,LEN(A563))), AN562))</f>
        <v/>
      </c>
      <c r="AO563" s="79">
        <f>IF(AN563="","",IF(AD563=0,"OK",_xlfn.LET(monedaPago, IF(AA563="","USD",AA563), limitePermitido, IFERROR(VLOOKUP(monedaPago, Configuración!$A$2:$B$3, 2, FALSE), 0.15), IF(AD563&gt;limitePermitido, "ALERTA: EXCESO (" &amp; TEXT(limitePermitido, "0%") &amp; " máx)", "OK"))))</f>
        <v/>
      </c>
      <c r="AP563" s="79">
        <f>IF(AN563="","",IF(AE563=0,"OK",_xlfn.LET(fechaPago, Z563, fechaFactura, R563, diasCredito, IF(E563="Pago inmediato", 0, IFERROR(VALUE(MID(E563, 1, SEARCH(" ", E563)-1)),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63" s="79">
        <f>IF(AN563="","",IF(AND(N563&gt;0, AG563&gt;0), IF(Configuración!$K$2="NO", "ALERTA: DESCUENTO DOBLE NO PERMITIDO", "OK"), "OK"))</f>
        <v/>
      </c>
      <c r="AR563" s="79">
        <f>IF(AN563="","",IF(OR(AO563&lt;&gt;"OK", AP563&lt;&gt;"OK", AQ563&lt;&gt;"OK"), "⚠️ REVISAR", "OK"))</f>
        <v/>
      </c>
    </row>
    <row r="564">
      <c r="A564" s="79">
        <f>IF('Ordenes_Odoo'!A564="","",'Ordenes_Odoo'!A564)</f>
        <v/>
      </c>
      <c r="B564" s="80">
        <f>IF('Ordenes_Odoo'!B564="","",'Ordenes_Odoo'!B564)</f>
        <v/>
      </c>
      <c r="C564" s="79">
        <f>IF('Ordenes_Odoo'!C564="","",'Ordenes_Odoo'!C564)</f>
        <v/>
      </c>
      <c r="D564" s="79">
        <f>IF('Ordenes_Odoo'!D564="","",'Ordenes_Odoo'!D564)</f>
        <v/>
      </c>
      <c r="E564" s="79">
        <f>IF('Ordenes_Odoo'!E564="","",'Ordenes_Odoo'!E564)</f>
        <v/>
      </c>
      <c r="F564" s="79">
        <f>IF('Ordenes_Odoo'!F564="","",'Ordenes_Odoo'!F564)</f>
        <v/>
      </c>
      <c r="G564" s="79">
        <f>IF('Ordenes_Odoo'!G564="","",'Ordenes_Odoo'!G564)</f>
        <v/>
      </c>
      <c r="H564" s="79">
        <f>IF('Ordenes_Odoo'!H564="","",'Ordenes_Odoo'!H564)</f>
        <v/>
      </c>
      <c r="I564" s="79">
        <f>IF('Ordenes_Odoo'!I564="","",'Ordenes_Odoo'!I564)</f>
        <v/>
      </c>
      <c r="J564" s="79">
        <f>IF('Ordenes_Odoo'!J564="","",'Ordenes_Odoo'!J564)</f>
        <v/>
      </c>
      <c r="K564" s="81">
        <f>IF('Ordenes_Odoo'!K564="","",'Ordenes_Odoo'!K564)</f>
        <v/>
      </c>
      <c r="L564" s="81">
        <f>IF('Ordenes_Odoo'!L564="","",'Ordenes_Odoo'!L564)</f>
        <v/>
      </c>
      <c r="M564" s="79">
        <f>IF('Ordenes_Odoo'!M564="","",'Ordenes_Odoo'!M564)</f>
        <v/>
      </c>
      <c r="N564" s="79">
        <f>IF('Ordenes_Odoo'!N564="","",'Ordenes_Odoo'!N564)</f>
        <v/>
      </c>
      <c r="O564" s="81">
        <f>IF('Ordenes_Odoo'!O564="","",'Ordenes_Odoo'!O564)</f>
        <v/>
      </c>
      <c r="P564" s="81">
        <f>IF('Ordenes_Odoo'!P564="","",'Ordenes_Odoo'!P564)</f>
        <v/>
      </c>
      <c r="Q564" s="79">
        <f>IF(A564="","",IFERROR(INDEX(Facturas_Odoo!$B:$B, MATCH(A564, Facturas_Odoo!$D:$D, 0)), "Sin Factura"))</f>
        <v/>
      </c>
      <c r="R564" s="80">
        <f>IF(Q564="Sin Factura","",IFERROR(INDEX(Facturas_Odoo!$A:$A, MATCH(Q564, Facturas_Odoo!$B:$B, 0)), ""))</f>
        <v/>
      </c>
      <c r="S564" s="79">
        <f>IF(Q564="Sin Factura","",IFERROR(_xlfn.XLOOKUP(1, (Facturas_Odoo!$D:$D=A564) * (Facturas_Odoo!$K:$K=I564), Facturas_Odoo!$L:$L, ""), ""))</f>
        <v/>
      </c>
      <c r="T564" s="81">
        <f>IF(Q564="Sin Factura",0,IFERROR(_xlfn.XLOOKUP(1, (Facturas_Odoo!$D:$D=A564) * (Facturas_Odoo!$K:$K=I564), Facturas_Odoo!$M:$M, 0), 0))</f>
        <v/>
      </c>
      <c r="U564" s="79">
        <f>IF(Q564="Sin Factura",0,IFERROR(_xlfn.XLOOKUP(1, (Facturas_Odoo!$D:$D=A564) * (Facturas_Odoo!$K:$K=I564), Facturas_Odoo!$N:$N, 0), 0))</f>
        <v/>
      </c>
      <c r="V564" s="79">
        <f>IF(Q564="Sin Factura",0,IFERROR(_xlfn.XLOOKUP(1, (Facturas_Odoo!$D:$D=A564) * (Facturas_Odoo!$K:$K=I564), Facturas_Odoo!$O:$O, 0), 0))</f>
        <v/>
      </c>
      <c r="W564" s="81">
        <f>IF(Q564="Sin Factura",0,IFERROR(_xlfn.XLOOKUP(1, (Facturas_Odoo!$D:$D=A564) * (Facturas_Odoo!$K:$K=I564), Facturas_Odoo!$Q:$Q, 0), 0))</f>
        <v/>
      </c>
      <c r="X564" s="79">
        <f>IF(OR(Q564="Sin Factura",Q564=""),"",IFERROR(INDEX(Pagos_Odoo!$B:$B, MATCH(Q564, Pagos_Odoo!$I:$I, 0)), "Sin Pago"))</f>
        <v/>
      </c>
      <c r="Y564" s="79">
        <f>IF(X564="Sin Pago","",IFERROR(INDEX(Pagos_Odoo!$C:$C, MATCH(X564, Pagos_Odoo!$B:$B, 0)), ""))</f>
        <v/>
      </c>
      <c r="Z564" s="80">
        <f>IF(X564="Sin Pago","",IFERROR(INDEX(Pagos_Odoo!$A:$A, MATCH(X564, Pagos_Odoo!$B:$B, 0)), ""))</f>
        <v/>
      </c>
      <c r="AA564" s="79">
        <f>IF(X564="Sin Pago","",IFERROR(INDEX(Pagos_Odoo!$F:$F, MATCH(X564, Pagos_Odoo!$B:$B, 0)), ""))</f>
        <v/>
      </c>
      <c r="AB564" s="81">
        <f>IF(X564="Sin Pago",0,IFERROR(INDEX(Pagos_Odoo!$E:$E, MATCH(X564, Pagos_Odoo!$B:$B, 0)), 0))</f>
        <v/>
      </c>
      <c r="AC564" s="79">
        <f>IF(X564="Sin Pago","",IFERROR(INDEX(Pagos_Odoo!$G:$G, MATCH(X564, Pagos_Odoo!$B:$B, 0)), ""))</f>
        <v/>
      </c>
      <c r="AD564" s="82" t="n">
        <v>0</v>
      </c>
      <c r="AE564" s="82" t="n"/>
      <c r="AF564" s="82" t="n"/>
      <c r="AG564" s="82">
        <f>IF(AN564="","",AD564+AE564+AF564)</f>
        <v/>
      </c>
      <c r="AH564" s="81">
        <f>IF(AN564="","",P564*(1-AG564))</f>
        <v/>
      </c>
      <c r="AI564" s="81">
        <f>IF(AN564="","",IF(Q564="Sin Factura",0,IFERROR(INDEX(Facturas_Odoo!$H:$H, MATCH(Q564, Facturas_Odoo!$B:$B, 0)), 0)*(1-AG564)))</f>
        <v/>
      </c>
      <c r="AJ564" s="81">
        <f>IF(AN564="","",_xlfn.LET(idVenta, AN564&amp;"",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64" s="81">
        <f>IF(AN564="","",AH564-AJ564)</f>
        <v/>
      </c>
      <c r="AL564" s="81">
        <f>IF(AN564="","",IF(Q564="Sin Factura","",AI564-AJ564))</f>
        <v/>
      </c>
      <c r="AM564" s="81">
        <f>IF(AN564="","",IF(Q564="Sin Factura",0,P564-IFERROR(INDEX(Facturas_Odoo!$H:$H, MATCH(Q564, Facturas_Odoo!$B:$B, 0)), 0)))</f>
        <v/>
      </c>
      <c r="AN564" s="79">
        <f>IF(AND(A564="", J564=""), "", IF(A564&lt;&gt;"", VALUE(MID(A564,2,LEN(A564))), AN563))</f>
        <v/>
      </c>
      <c r="AO564" s="79">
        <f>IF(AN564="","",IF(AD564=0,"OK",_xlfn.LET(monedaPago, IF(AA564="","USD",AA564), limitePermitido, IFERROR(VLOOKUP(monedaPago, Configuración!$A$2:$B$3, 2, FALSE), 0.15), IF(AD564&gt;limitePermitido, "ALERTA: EXCESO (" &amp; TEXT(limitePermitido, "0%") &amp; " máx)", "OK"))))</f>
        <v/>
      </c>
      <c r="AP564" s="79">
        <f>IF(AN564="","",IF(AE564=0,"OK",_xlfn.LET(fechaPago, Z564, fechaFactura, R564, diasCredito, IF(E564="Pago inmediato", 0, IFERROR(VALUE(MID(E564, 1, SEARCH(" ", E564)-1)),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64" s="79">
        <f>IF(AN564="","",IF(AND(N564&gt;0, AG564&gt;0), IF(Configuración!$K$2="NO", "ALERTA: DESCUENTO DOBLE NO PERMITIDO", "OK"), "OK"))</f>
        <v/>
      </c>
      <c r="AR564" s="79">
        <f>IF(AN564="","",IF(OR(AO564&lt;&gt;"OK", AP564&lt;&gt;"OK", AQ564&lt;&gt;"OK"), "⚠️ REVISAR", "OK"))</f>
        <v/>
      </c>
    </row>
    <row r="565">
      <c r="A565" s="79">
        <f>IF('Ordenes_Odoo'!A565="","",'Ordenes_Odoo'!A565)</f>
        <v/>
      </c>
      <c r="B565" s="80">
        <f>IF('Ordenes_Odoo'!B565="","",'Ordenes_Odoo'!B565)</f>
        <v/>
      </c>
      <c r="C565" s="79">
        <f>IF('Ordenes_Odoo'!C565="","",'Ordenes_Odoo'!C565)</f>
        <v/>
      </c>
      <c r="D565" s="79">
        <f>IF('Ordenes_Odoo'!D565="","",'Ordenes_Odoo'!D565)</f>
        <v/>
      </c>
      <c r="E565" s="79">
        <f>IF('Ordenes_Odoo'!E565="","",'Ordenes_Odoo'!E565)</f>
        <v/>
      </c>
      <c r="F565" s="79">
        <f>IF('Ordenes_Odoo'!F565="","",'Ordenes_Odoo'!F565)</f>
        <v/>
      </c>
      <c r="G565" s="79">
        <f>IF('Ordenes_Odoo'!G565="","",'Ordenes_Odoo'!G565)</f>
        <v/>
      </c>
      <c r="H565" s="79">
        <f>IF('Ordenes_Odoo'!H565="","",'Ordenes_Odoo'!H565)</f>
        <v/>
      </c>
      <c r="I565" s="79">
        <f>IF('Ordenes_Odoo'!I565="","",'Ordenes_Odoo'!I565)</f>
        <v/>
      </c>
      <c r="J565" s="79">
        <f>IF('Ordenes_Odoo'!J565="","",'Ordenes_Odoo'!J565)</f>
        <v/>
      </c>
      <c r="K565" s="81">
        <f>IF('Ordenes_Odoo'!K565="","",'Ordenes_Odoo'!K565)</f>
        <v/>
      </c>
      <c r="L565" s="81">
        <f>IF('Ordenes_Odoo'!L565="","",'Ordenes_Odoo'!L565)</f>
        <v/>
      </c>
      <c r="M565" s="79">
        <f>IF('Ordenes_Odoo'!M565="","",'Ordenes_Odoo'!M565)</f>
        <v/>
      </c>
      <c r="N565" s="79">
        <f>IF('Ordenes_Odoo'!N565="","",'Ordenes_Odoo'!N565)</f>
        <v/>
      </c>
      <c r="O565" s="81">
        <f>IF('Ordenes_Odoo'!O565="","",'Ordenes_Odoo'!O565)</f>
        <v/>
      </c>
      <c r="P565" s="81">
        <f>IF('Ordenes_Odoo'!P565="","",'Ordenes_Odoo'!P565)</f>
        <v/>
      </c>
      <c r="Q565" s="79">
        <f>IF(A565="","",IFERROR(INDEX(Facturas_Odoo!$B:$B, MATCH(A565, Facturas_Odoo!$D:$D, 0)), "Sin Factura"))</f>
        <v/>
      </c>
      <c r="R565" s="80">
        <f>IF(Q565="Sin Factura","",IFERROR(INDEX(Facturas_Odoo!$A:$A, MATCH(Q565, Facturas_Odoo!$B:$B, 0)), ""))</f>
        <v/>
      </c>
      <c r="S565" s="79">
        <f>IF(Q565="Sin Factura","",IFERROR(_xlfn.XLOOKUP(1, (Facturas_Odoo!$D:$D=A565) * (Facturas_Odoo!$K:$K=I565), Facturas_Odoo!$L:$L, ""), ""))</f>
        <v/>
      </c>
      <c r="T565" s="81">
        <f>IF(Q565="Sin Factura",0,IFERROR(_xlfn.XLOOKUP(1, (Facturas_Odoo!$D:$D=A565) * (Facturas_Odoo!$K:$K=I565), Facturas_Odoo!$M:$M, 0), 0))</f>
        <v/>
      </c>
      <c r="U565" s="79">
        <f>IF(Q565="Sin Factura",0,IFERROR(_xlfn.XLOOKUP(1, (Facturas_Odoo!$D:$D=A565) * (Facturas_Odoo!$K:$K=I565), Facturas_Odoo!$N:$N, 0), 0))</f>
        <v/>
      </c>
      <c r="V565" s="79">
        <f>IF(Q565="Sin Factura",0,IFERROR(_xlfn.XLOOKUP(1, (Facturas_Odoo!$D:$D=A565) * (Facturas_Odoo!$K:$K=I565), Facturas_Odoo!$O:$O, 0), 0))</f>
        <v/>
      </c>
      <c r="W565" s="81">
        <f>IF(Q565="Sin Factura",0,IFERROR(_xlfn.XLOOKUP(1, (Facturas_Odoo!$D:$D=A565) * (Facturas_Odoo!$K:$K=I565), Facturas_Odoo!$Q:$Q, 0), 0))</f>
        <v/>
      </c>
      <c r="X565" s="79">
        <f>IF(OR(Q565="Sin Factura",Q565=""),"",IFERROR(INDEX(Pagos_Odoo!$B:$B, MATCH(Q565, Pagos_Odoo!$I:$I, 0)), "Sin Pago"))</f>
        <v/>
      </c>
      <c r="Y565" s="79">
        <f>IF(X565="Sin Pago","",IFERROR(INDEX(Pagos_Odoo!$C:$C, MATCH(X565, Pagos_Odoo!$B:$B, 0)), ""))</f>
        <v/>
      </c>
      <c r="Z565" s="80">
        <f>IF(X565="Sin Pago","",IFERROR(INDEX(Pagos_Odoo!$A:$A, MATCH(X565, Pagos_Odoo!$B:$B, 0)), ""))</f>
        <v/>
      </c>
      <c r="AA565" s="79">
        <f>IF(X565="Sin Pago","",IFERROR(INDEX(Pagos_Odoo!$F:$F, MATCH(X565, Pagos_Odoo!$B:$B, 0)), ""))</f>
        <v/>
      </c>
      <c r="AB565" s="81">
        <f>IF(X565="Sin Pago",0,IFERROR(INDEX(Pagos_Odoo!$E:$E, MATCH(X565, Pagos_Odoo!$B:$B, 0)), 0))</f>
        <v/>
      </c>
      <c r="AC565" s="79">
        <f>IF(X565="Sin Pago","",IFERROR(INDEX(Pagos_Odoo!$G:$G, MATCH(X565, Pagos_Odoo!$B:$B, 0)), ""))</f>
        <v/>
      </c>
      <c r="AD565" s="82" t="n">
        <v>0</v>
      </c>
      <c r="AE565" s="82" t="n"/>
      <c r="AF565" s="82" t="n"/>
      <c r="AG565" s="82">
        <f>IF(AN565="","",AD565+AE565+AF565)</f>
        <v/>
      </c>
      <c r="AH565" s="81">
        <f>IF(AN565="","",P565*(1-AG565))</f>
        <v/>
      </c>
      <c r="AI565" s="81">
        <f>IF(AN565="","",IF(Q565="Sin Factura",0,IFERROR(INDEX(Facturas_Odoo!$H:$H, MATCH(Q565, Facturas_Odoo!$B:$B, 0)), 0)*(1-AG565)))</f>
        <v/>
      </c>
      <c r="AJ565" s="81">
        <f>IF(AN565="","",_xlfn.LET(idVenta, AN565&amp;"",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65" s="81">
        <f>IF(AN565="","",AH565-AJ565)</f>
        <v/>
      </c>
      <c r="AL565" s="81">
        <f>IF(AN565="","",IF(Q565="Sin Factura","",AI565-AJ565))</f>
        <v/>
      </c>
      <c r="AM565" s="81">
        <f>IF(AN565="","",IF(Q565="Sin Factura",0,P565-IFERROR(INDEX(Facturas_Odoo!$H:$H, MATCH(Q565, Facturas_Odoo!$B:$B, 0)), 0)))</f>
        <v/>
      </c>
      <c r="AN565" s="79">
        <f>IF(AND(A565="", J565=""), "", IF(A565&lt;&gt;"", VALUE(MID(A565,2,LEN(A565))), AN564))</f>
        <v/>
      </c>
      <c r="AO565" s="79">
        <f>IF(AN565="","",IF(AD565=0,"OK",_xlfn.LET(monedaPago, IF(AA565="","USD",AA565), limitePermitido, IFERROR(VLOOKUP(monedaPago, Configuración!$A$2:$B$3, 2, FALSE), 0.15), IF(AD565&gt;limitePermitido, "ALERTA: EXCESO (" &amp; TEXT(limitePermitido, "0%") &amp; " máx)", "OK"))))</f>
        <v/>
      </c>
      <c r="AP565" s="79">
        <f>IF(AN565="","",IF(AE565=0,"OK",_xlfn.LET(fechaPago, Z565, fechaFactura, R565, diasCredito, IF(E565="Pago inmediato", 0, IFERROR(VALUE(MID(E565, 1, SEARCH(" ", E565)-1)),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65" s="79">
        <f>IF(AN565="","",IF(AND(N565&gt;0, AG565&gt;0), IF(Configuración!$K$2="NO", "ALERTA: DESCUENTO DOBLE NO PERMITIDO", "OK"), "OK"))</f>
        <v/>
      </c>
      <c r="AR565" s="79">
        <f>IF(AN565="","",IF(OR(AO565&lt;&gt;"OK", AP565&lt;&gt;"OK", AQ565&lt;&gt;"OK"), "⚠️ REVISAR", "OK"))</f>
        <v/>
      </c>
    </row>
    <row r="566">
      <c r="A566" s="79">
        <f>IF('Ordenes_Odoo'!A566="","",'Ordenes_Odoo'!A566)</f>
        <v/>
      </c>
      <c r="B566" s="80">
        <f>IF('Ordenes_Odoo'!B566="","",'Ordenes_Odoo'!B566)</f>
        <v/>
      </c>
      <c r="C566" s="79">
        <f>IF('Ordenes_Odoo'!C566="","",'Ordenes_Odoo'!C566)</f>
        <v/>
      </c>
      <c r="D566" s="79">
        <f>IF('Ordenes_Odoo'!D566="","",'Ordenes_Odoo'!D566)</f>
        <v/>
      </c>
      <c r="E566" s="79">
        <f>IF('Ordenes_Odoo'!E566="","",'Ordenes_Odoo'!E566)</f>
        <v/>
      </c>
      <c r="F566" s="79">
        <f>IF('Ordenes_Odoo'!F566="","",'Ordenes_Odoo'!F566)</f>
        <v/>
      </c>
      <c r="G566" s="79">
        <f>IF('Ordenes_Odoo'!G566="","",'Ordenes_Odoo'!G566)</f>
        <v/>
      </c>
      <c r="H566" s="79">
        <f>IF('Ordenes_Odoo'!H566="","",'Ordenes_Odoo'!H566)</f>
        <v/>
      </c>
      <c r="I566" s="79">
        <f>IF('Ordenes_Odoo'!I566="","",'Ordenes_Odoo'!I566)</f>
        <v/>
      </c>
      <c r="J566" s="79">
        <f>IF('Ordenes_Odoo'!J566="","",'Ordenes_Odoo'!J566)</f>
        <v/>
      </c>
      <c r="K566" s="81">
        <f>IF('Ordenes_Odoo'!K566="","",'Ordenes_Odoo'!K566)</f>
        <v/>
      </c>
      <c r="L566" s="81">
        <f>IF('Ordenes_Odoo'!L566="","",'Ordenes_Odoo'!L566)</f>
        <v/>
      </c>
      <c r="M566" s="79">
        <f>IF('Ordenes_Odoo'!M566="","",'Ordenes_Odoo'!M566)</f>
        <v/>
      </c>
      <c r="N566" s="79">
        <f>IF('Ordenes_Odoo'!N566="","",'Ordenes_Odoo'!N566)</f>
        <v/>
      </c>
      <c r="O566" s="81">
        <f>IF('Ordenes_Odoo'!O566="","",'Ordenes_Odoo'!O566)</f>
        <v/>
      </c>
      <c r="P566" s="81">
        <f>IF('Ordenes_Odoo'!P566="","",'Ordenes_Odoo'!P566)</f>
        <v/>
      </c>
      <c r="Q566" s="79">
        <f>IF(A566="","",IFERROR(INDEX(Facturas_Odoo!$B:$B, MATCH(A566, Facturas_Odoo!$D:$D, 0)), "Sin Factura"))</f>
        <v/>
      </c>
      <c r="R566" s="80">
        <f>IF(Q566="Sin Factura","",IFERROR(INDEX(Facturas_Odoo!$A:$A, MATCH(Q566, Facturas_Odoo!$B:$B, 0)), ""))</f>
        <v/>
      </c>
      <c r="S566" s="79">
        <f>IF(Q566="Sin Factura","",IFERROR(_xlfn.XLOOKUP(1, (Facturas_Odoo!$D:$D=A566) * (Facturas_Odoo!$K:$K=I566), Facturas_Odoo!$L:$L, ""), ""))</f>
        <v/>
      </c>
      <c r="T566" s="81">
        <f>IF(Q566="Sin Factura",0,IFERROR(_xlfn.XLOOKUP(1, (Facturas_Odoo!$D:$D=A566) * (Facturas_Odoo!$K:$K=I566), Facturas_Odoo!$M:$M, 0), 0))</f>
        <v/>
      </c>
      <c r="U566" s="79">
        <f>IF(Q566="Sin Factura",0,IFERROR(_xlfn.XLOOKUP(1, (Facturas_Odoo!$D:$D=A566) * (Facturas_Odoo!$K:$K=I566), Facturas_Odoo!$N:$N, 0), 0))</f>
        <v/>
      </c>
      <c r="V566" s="79">
        <f>IF(Q566="Sin Factura",0,IFERROR(_xlfn.XLOOKUP(1, (Facturas_Odoo!$D:$D=A566) * (Facturas_Odoo!$K:$K=I566), Facturas_Odoo!$O:$O, 0), 0))</f>
        <v/>
      </c>
      <c r="W566" s="81">
        <f>IF(Q566="Sin Factura",0,IFERROR(_xlfn.XLOOKUP(1, (Facturas_Odoo!$D:$D=A566) * (Facturas_Odoo!$K:$K=I566), Facturas_Odoo!$Q:$Q, 0), 0))</f>
        <v/>
      </c>
      <c r="X566" s="79">
        <f>IF(OR(Q566="Sin Factura",Q566=""),"",IFERROR(INDEX(Pagos_Odoo!$B:$B, MATCH(Q566, Pagos_Odoo!$I:$I, 0)), "Sin Pago"))</f>
        <v/>
      </c>
      <c r="Y566" s="79">
        <f>IF(X566="Sin Pago","",IFERROR(INDEX(Pagos_Odoo!$C:$C, MATCH(X566, Pagos_Odoo!$B:$B, 0)), ""))</f>
        <v/>
      </c>
      <c r="Z566" s="80">
        <f>IF(X566="Sin Pago","",IFERROR(INDEX(Pagos_Odoo!$A:$A, MATCH(X566, Pagos_Odoo!$B:$B, 0)), ""))</f>
        <v/>
      </c>
      <c r="AA566" s="79">
        <f>IF(X566="Sin Pago","",IFERROR(INDEX(Pagos_Odoo!$F:$F, MATCH(X566, Pagos_Odoo!$B:$B, 0)), ""))</f>
        <v/>
      </c>
      <c r="AB566" s="81">
        <f>IF(X566="Sin Pago",0,IFERROR(INDEX(Pagos_Odoo!$E:$E, MATCH(X566, Pagos_Odoo!$B:$B, 0)), 0))</f>
        <v/>
      </c>
      <c r="AC566" s="79">
        <f>IF(X566="Sin Pago","",IFERROR(INDEX(Pagos_Odoo!$G:$G, MATCH(X566, Pagos_Odoo!$B:$B, 0)), ""))</f>
        <v/>
      </c>
      <c r="AD566" s="82" t="n">
        <v>0</v>
      </c>
      <c r="AE566" s="82" t="n"/>
      <c r="AF566" s="82" t="n"/>
      <c r="AG566" s="82">
        <f>IF(AN566="","",AD566+AE566+AF566)</f>
        <v/>
      </c>
      <c r="AH566" s="81">
        <f>IF(AN566="","",P566*(1-AG566))</f>
        <v/>
      </c>
      <c r="AI566" s="81">
        <f>IF(AN566="","",IF(Q566="Sin Factura",0,IFERROR(INDEX(Facturas_Odoo!$H:$H, MATCH(Q566, Facturas_Odoo!$B:$B, 0)), 0)*(1-AG566)))</f>
        <v/>
      </c>
      <c r="AJ566" s="81">
        <f>IF(AN566="","",_xlfn.LET(idVenta, AN566&amp;"",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66" s="81">
        <f>IF(AN566="","",AH566-AJ566)</f>
        <v/>
      </c>
      <c r="AL566" s="81">
        <f>IF(AN566="","",IF(Q566="Sin Factura","",AI566-AJ566))</f>
        <v/>
      </c>
      <c r="AM566" s="81">
        <f>IF(AN566="","",IF(Q566="Sin Factura",0,P566-IFERROR(INDEX(Facturas_Odoo!$H:$H, MATCH(Q566, Facturas_Odoo!$B:$B, 0)), 0)))</f>
        <v/>
      </c>
      <c r="AN566" s="79">
        <f>IF(AND(A566="", J566=""), "", IF(A566&lt;&gt;"", VALUE(MID(A566,2,LEN(A566))), AN565))</f>
        <v/>
      </c>
      <c r="AO566" s="79">
        <f>IF(AN566="","",IF(AD566=0,"OK",_xlfn.LET(monedaPago, IF(AA566="","USD",AA566), limitePermitido, IFERROR(VLOOKUP(monedaPago, Configuración!$A$2:$B$3, 2, FALSE), 0.15), IF(AD566&gt;limitePermitido, "ALERTA: EXCESO (" &amp; TEXT(limitePermitido, "0%") &amp; " máx)", "OK"))))</f>
        <v/>
      </c>
      <c r="AP566" s="79">
        <f>IF(AN566="","",IF(AE566=0,"OK",_xlfn.LET(fechaPago, Z566, fechaFactura, R566, diasCredito, IF(E566="Pago inmediato", 0, IFERROR(VALUE(MID(E566, 1, SEARCH(" ", E566)-1)),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66" s="79">
        <f>IF(AN566="","",IF(AND(N566&gt;0, AG566&gt;0), IF(Configuración!$K$2="NO", "ALERTA: DESCUENTO DOBLE NO PERMITIDO", "OK"), "OK"))</f>
        <v/>
      </c>
      <c r="AR566" s="79">
        <f>IF(AN566="","",IF(OR(AO566&lt;&gt;"OK", AP566&lt;&gt;"OK", AQ566&lt;&gt;"OK"), "⚠️ REVISAR", "OK"))</f>
        <v/>
      </c>
    </row>
    <row r="567">
      <c r="A567" s="79">
        <f>IF('Ordenes_Odoo'!A567="","",'Ordenes_Odoo'!A567)</f>
        <v/>
      </c>
      <c r="B567" s="80">
        <f>IF('Ordenes_Odoo'!B567="","",'Ordenes_Odoo'!B567)</f>
        <v/>
      </c>
      <c r="C567" s="79">
        <f>IF('Ordenes_Odoo'!C567="","",'Ordenes_Odoo'!C567)</f>
        <v/>
      </c>
      <c r="D567" s="79">
        <f>IF('Ordenes_Odoo'!D567="","",'Ordenes_Odoo'!D567)</f>
        <v/>
      </c>
      <c r="E567" s="79">
        <f>IF('Ordenes_Odoo'!E567="","",'Ordenes_Odoo'!E567)</f>
        <v/>
      </c>
      <c r="F567" s="79">
        <f>IF('Ordenes_Odoo'!F567="","",'Ordenes_Odoo'!F567)</f>
        <v/>
      </c>
      <c r="G567" s="79">
        <f>IF('Ordenes_Odoo'!G567="","",'Ordenes_Odoo'!G567)</f>
        <v/>
      </c>
      <c r="H567" s="79">
        <f>IF('Ordenes_Odoo'!H567="","",'Ordenes_Odoo'!H567)</f>
        <v/>
      </c>
      <c r="I567" s="79">
        <f>IF('Ordenes_Odoo'!I567="","",'Ordenes_Odoo'!I567)</f>
        <v/>
      </c>
      <c r="J567" s="79">
        <f>IF('Ordenes_Odoo'!J567="","",'Ordenes_Odoo'!J567)</f>
        <v/>
      </c>
      <c r="K567" s="81">
        <f>IF('Ordenes_Odoo'!K567="","",'Ordenes_Odoo'!K567)</f>
        <v/>
      </c>
      <c r="L567" s="81">
        <f>IF('Ordenes_Odoo'!L567="","",'Ordenes_Odoo'!L567)</f>
        <v/>
      </c>
      <c r="M567" s="79">
        <f>IF('Ordenes_Odoo'!M567="","",'Ordenes_Odoo'!M567)</f>
        <v/>
      </c>
      <c r="N567" s="79">
        <f>IF('Ordenes_Odoo'!N567="","",'Ordenes_Odoo'!N567)</f>
        <v/>
      </c>
      <c r="O567" s="81">
        <f>IF('Ordenes_Odoo'!O567="","",'Ordenes_Odoo'!O567)</f>
        <v/>
      </c>
      <c r="P567" s="81">
        <f>IF('Ordenes_Odoo'!P567="","",'Ordenes_Odoo'!P567)</f>
        <v/>
      </c>
      <c r="Q567" s="79">
        <f>IF(A567="","",IFERROR(INDEX(Facturas_Odoo!$B:$B, MATCH(A567, Facturas_Odoo!$D:$D, 0)), "Sin Factura"))</f>
        <v/>
      </c>
      <c r="R567" s="80">
        <f>IF(Q567="Sin Factura","",IFERROR(INDEX(Facturas_Odoo!$A:$A, MATCH(Q567, Facturas_Odoo!$B:$B, 0)), ""))</f>
        <v/>
      </c>
      <c r="S567" s="79">
        <f>IF(Q567="Sin Factura","",IFERROR(_xlfn.XLOOKUP(1, (Facturas_Odoo!$D:$D=A567) * (Facturas_Odoo!$K:$K=I567), Facturas_Odoo!$L:$L, ""), ""))</f>
        <v/>
      </c>
      <c r="T567" s="81">
        <f>IF(Q567="Sin Factura",0,IFERROR(_xlfn.XLOOKUP(1, (Facturas_Odoo!$D:$D=A567) * (Facturas_Odoo!$K:$K=I567), Facturas_Odoo!$M:$M, 0), 0))</f>
        <v/>
      </c>
      <c r="U567" s="79">
        <f>IF(Q567="Sin Factura",0,IFERROR(_xlfn.XLOOKUP(1, (Facturas_Odoo!$D:$D=A567) * (Facturas_Odoo!$K:$K=I567), Facturas_Odoo!$N:$N, 0), 0))</f>
        <v/>
      </c>
      <c r="V567" s="79">
        <f>IF(Q567="Sin Factura",0,IFERROR(_xlfn.XLOOKUP(1, (Facturas_Odoo!$D:$D=A567) * (Facturas_Odoo!$K:$K=I567), Facturas_Odoo!$O:$O, 0), 0))</f>
        <v/>
      </c>
      <c r="W567" s="81">
        <f>IF(Q567="Sin Factura",0,IFERROR(_xlfn.XLOOKUP(1, (Facturas_Odoo!$D:$D=A567) * (Facturas_Odoo!$K:$K=I567), Facturas_Odoo!$Q:$Q, 0), 0))</f>
        <v/>
      </c>
      <c r="X567" s="79">
        <f>IF(OR(Q567="Sin Factura",Q567=""),"",IFERROR(INDEX(Pagos_Odoo!$B:$B, MATCH(Q567, Pagos_Odoo!$I:$I, 0)), "Sin Pago"))</f>
        <v/>
      </c>
      <c r="Y567" s="79">
        <f>IF(X567="Sin Pago","",IFERROR(INDEX(Pagos_Odoo!$C:$C, MATCH(X567, Pagos_Odoo!$B:$B, 0)), ""))</f>
        <v/>
      </c>
      <c r="Z567" s="80">
        <f>IF(X567="Sin Pago","",IFERROR(INDEX(Pagos_Odoo!$A:$A, MATCH(X567, Pagos_Odoo!$B:$B, 0)), ""))</f>
        <v/>
      </c>
      <c r="AA567" s="79">
        <f>IF(X567="Sin Pago","",IFERROR(INDEX(Pagos_Odoo!$F:$F, MATCH(X567, Pagos_Odoo!$B:$B, 0)), ""))</f>
        <v/>
      </c>
      <c r="AB567" s="81">
        <f>IF(X567="Sin Pago",0,IFERROR(INDEX(Pagos_Odoo!$E:$E, MATCH(X567, Pagos_Odoo!$B:$B, 0)), 0))</f>
        <v/>
      </c>
      <c r="AC567" s="79">
        <f>IF(X567="Sin Pago","",IFERROR(INDEX(Pagos_Odoo!$G:$G, MATCH(X567, Pagos_Odoo!$B:$B, 0)), ""))</f>
        <v/>
      </c>
      <c r="AD567" s="82" t="n">
        <v>0</v>
      </c>
      <c r="AE567" s="82" t="n"/>
      <c r="AF567" s="82" t="n"/>
      <c r="AG567" s="82">
        <f>IF(AN567="","",AD567+AE567+AF567)</f>
        <v/>
      </c>
      <c r="AH567" s="81">
        <f>IF(AN567="","",P567*(1-AG567))</f>
        <v/>
      </c>
      <c r="AI567" s="81">
        <f>IF(AN567="","",IF(Q567="Sin Factura",0,IFERROR(INDEX(Facturas_Odoo!$H:$H, MATCH(Q567, Facturas_Odoo!$B:$B, 0)), 0)*(1-AG567)))</f>
        <v/>
      </c>
      <c r="AJ567" s="81">
        <f>IF(AN567="","",_xlfn.LET(idVenta, AN567&amp;"",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67" s="81">
        <f>IF(AN567="","",AH567-AJ567)</f>
        <v/>
      </c>
      <c r="AL567" s="81">
        <f>IF(AN567="","",IF(Q567="Sin Factura","",AI567-AJ567))</f>
        <v/>
      </c>
      <c r="AM567" s="81">
        <f>IF(AN567="","",IF(Q567="Sin Factura",0,P567-IFERROR(INDEX(Facturas_Odoo!$H:$H, MATCH(Q567, Facturas_Odoo!$B:$B, 0)), 0)))</f>
        <v/>
      </c>
      <c r="AN567" s="79">
        <f>IF(AND(A567="", J567=""), "", IF(A567&lt;&gt;"", VALUE(MID(A567,2,LEN(A567))), AN566))</f>
        <v/>
      </c>
      <c r="AO567" s="79">
        <f>IF(AN567="","",IF(AD567=0,"OK",_xlfn.LET(monedaPago, IF(AA567="","USD",AA567), limitePermitido, IFERROR(VLOOKUP(monedaPago, Configuración!$A$2:$B$3, 2, FALSE), 0.15), IF(AD567&gt;limitePermitido, "ALERTA: EXCESO (" &amp; TEXT(limitePermitido, "0%") &amp; " máx)", "OK"))))</f>
        <v/>
      </c>
      <c r="AP567" s="79">
        <f>IF(AN567="","",IF(AE567=0,"OK",_xlfn.LET(fechaPago, Z567, fechaFactura, R567, diasCredito, IF(E567="Pago inmediato", 0, IFERROR(VALUE(MID(E567, 1, SEARCH(" ", E567)-1)),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67" s="79">
        <f>IF(AN567="","",IF(AND(N567&gt;0, AG567&gt;0), IF(Configuración!$K$2="NO", "ALERTA: DESCUENTO DOBLE NO PERMITIDO", "OK"), "OK"))</f>
        <v/>
      </c>
      <c r="AR567" s="79">
        <f>IF(AN567="","",IF(OR(AO567&lt;&gt;"OK", AP567&lt;&gt;"OK", AQ567&lt;&gt;"OK"), "⚠️ REVISAR", "OK"))</f>
        <v/>
      </c>
    </row>
    <row r="568">
      <c r="A568" s="79">
        <f>IF('Ordenes_Odoo'!A568="","",'Ordenes_Odoo'!A568)</f>
        <v/>
      </c>
      <c r="B568" s="80">
        <f>IF('Ordenes_Odoo'!B568="","",'Ordenes_Odoo'!B568)</f>
        <v/>
      </c>
      <c r="C568" s="79">
        <f>IF('Ordenes_Odoo'!C568="","",'Ordenes_Odoo'!C568)</f>
        <v/>
      </c>
      <c r="D568" s="79">
        <f>IF('Ordenes_Odoo'!D568="","",'Ordenes_Odoo'!D568)</f>
        <v/>
      </c>
      <c r="E568" s="79">
        <f>IF('Ordenes_Odoo'!E568="","",'Ordenes_Odoo'!E568)</f>
        <v/>
      </c>
      <c r="F568" s="79">
        <f>IF('Ordenes_Odoo'!F568="","",'Ordenes_Odoo'!F568)</f>
        <v/>
      </c>
      <c r="G568" s="79">
        <f>IF('Ordenes_Odoo'!G568="","",'Ordenes_Odoo'!G568)</f>
        <v/>
      </c>
      <c r="H568" s="79">
        <f>IF('Ordenes_Odoo'!H568="","",'Ordenes_Odoo'!H568)</f>
        <v/>
      </c>
      <c r="I568" s="79">
        <f>IF('Ordenes_Odoo'!I568="","",'Ordenes_Odoo'!I568)</f>
        <v/>
      </c>
      <c r="J568" s="79">
        <f>IF('Ordenes_Odoo'!J568="","",'Ordenes_Odoo'!J568)</f>
        <v/>
      </c>
      <c r="K568" s="81">
        <f>IF('Ordenes_Odoo'!K568="","",'Ordenes_Odoo'!K568)</f>
        <v/>
      </c>
      <c r="L568" s="81">
        <f>IF('Ordenes_Odoo'!L568="","",'Ordenes_Odoo'!L568)</f>
        <v/>
      </c>
      <c r="M568" s="79">
        <f>IF('Ordenes_Odoo'!M568="","",'Ordenes_Odoo'!M568)</f>
        <v/>
      </c>
      <c r="N568" s="79">
        <f>IF('Ordenes_Odoo'!N568="","",'Ordenes_Odoo'!N568)</f>
        <v/>
      </c>
      <c r="O568" s="81">
        <f>IF('Ordenes_Odoo'!O568="","",'Ordenes_Odoo'!O568)</f>
        <v/>
      </c>
      <c r="P568" s="81">
        <f>IF('Ordenes_Odoo'!P568="","",'Ordenes_Odoo'!P568)</f>
        <v/>
      </c>
      <c r="Q568" s="79">
        <f>IF(A568="","",IFERROR(INDEX(Facturas_Odoo!$B:$B, MATCH(A568, Facturas_Odoo!$D:$D, 0)), "Sin Factura"))</f>
        <v/>
      </c>
      <c r="R568" s="80">
        <f>IF(Q568="Sin Factura","",IFERROR(INDEX(Facturas_Odoo!$A:$A, MATCH(Q568, Facturas_Odoo!$B:$B, 0)), ""))</f>
        <v/>
      </c>
      <c r="S568" s="79">
        <f>IF(Q568="Sin Factura","",IFERROR(_xlfn.XLOOKUP(1, (Facturas_Odoo!$D:$D=A568) * (Facturas_Odoo!$K:$K=I568), Facturas_Odoo!$L:$L, ""), ""))</f>
        <v/>
      </c>
      <c r="T568" s="81">
        <f>IF(Q568="Sin Factura",0,IFERROR(_xlfn.XLOOKUP(1, (Facturas_Odoo!$D:$D=A568) * (Facturas_Odoo!$K:$K=I568), Facturas_Odoo!$M:$M, 0), 0))</f>
        <v/>
      </c>
      <c r="U568" s="79">
        <f>IF(Q568="Sin Factura",0,IFERROR(_xlfn.XLOOKUP(1, (Facturas_Odoo!$D:$D=A568) * (Facturas_Odoo!$K:$K=I568), Facturas_Odoo!$N:$N, 0), 0))</f>
        <v/>
      </c>
      <c r="V568" s="79">
        <f>IF(Q568="Sin Factura",0,IFERROR(_xlfn.XLOOKUP(1, (Facturas_Odoo!$D:$D=A568) * (Facturas_Odoo!$K:$K=I568), Facturas_Odoo!$O:$O, 0), 0))</f>
        <v/>
      </c>
      <c r="W568" s="81">
        <f>IF(Q568="Sin Factura",0,IFERROR(_xlfn.XLOOKUP(1, (Facturas_Odoo!$D:$D=A568) * (Facturas_Odoo!$K:$K=I568), Facturas_Odoo!$Q:$Q, 0), 0))</f>
        <v/>
      </c>
      <c r="X568" s="79">
        <f>IF(OR(Q568="Sin Factura",Q568=""),"",IFERROR(INDEX(Pagos_Odoo!$B:$B, MATCH(Q568, Pagos_Odoo!$I:$I, 0)), "Sin Pago"))</f>
        <v/>
      </c>
      <c r="Y568" s="79">
        <f>IF(X568="Sin Pago","",IFERROR(INDEX(Pagos_Odoo!$C:$C, MATCH(X568, Pagos_Odoo!$B:$B, 0)), ""))</f>
        <v/>
      </c>
      <c r="Z568" s="80">
        <f>IF(X568="Sin Pago","",IFERROR(INDEX(Pagos_Odoo!$A:$A, MATCH(X568, Pagos_Odoo!$B:$B, 0)), ""))</f>
        <v/>
      </c>
      <c r="AA568" s="79">
        <f>IF(X568="Sin Pago","",IFERROR(INDEX(Pagos_Odoo!$F:$F, MATCH(X568, Pagos_Odoo!$B:$B, 0)), ""))</f>
        <v/>
      </c>
      <c r="AB568" s="81">
        <f>IF(X568="Sin Pago",0,IFERROR(INDEX(Pagos_Odoo!$E:$E, MATCH(X568, Pagos_Odoo!$B:$B, 0)), 0))</f>
        <v/>
      </c>
      <c r="AC568" s="79">
        <f>IF(X568="Sin Pago","",IFERROR(INDEX(Pagos_Odoo!$G:$G, MATCH(X568, Pagos_Odoo!$B:$B, 0)), ""))</f>
        <v/>
      </c>
      <c r="AD568" s="82" t="n">
        <v>0</v>
      </c>
      <c r="AE568" s="82" t="n"/>
      <c r="AF568" s="82" t="n"/>
      <c r="AG568" s="82">
        <f>IF(AN568="","",AD568+AE568+AF568)</f>
        <v/>
      </c>
      <c r="AH568" s="81">
        <f>IF(AN568="","",P568*(1-AG568))</f>
        <v/>
      </c>
      <c r="AI568" s="81">
        <f>IF(AN568="","",IF(Q568="Sin Factura",0,IFERROR(INDEX(Facturas_Odoo!$H:$H, MATCH(Q568, Facturas_Odoo!$B:$B, 0)), 0)*(1-AG568)))</f>
        <v/>
      </c>
      <c r="AJ568" s="81">
        <f>IF(AN568="","",_xlfn.LET(idVenta, AN568&amp;"",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68" s="81">
        <f>IF(AN568="","",AH568-AJ568)</f>
        <v/>
      </c>
      <c r="AL568" s="81">
        <f>IF(AN568="","",IF(Q568="Sin Factura","",AI568-AJ568))</f>
        <v/>
      </c>
      <c r="AM568" s="81">
        <f>IF(AN568="","",IF(Q568="Sin Factura",0,P568-IFERROR(INDEX(Facturas_Odoo!$H:$H, MATCH(Q568, Facturas_Odoo!$B:$B, 0)), 0)))</f>
        <v/>
      </c>
      <c r="AN568" s="79">
        <f>IF(AND(A568="", J568=""), "", IF(A568&lt;&gt;"", VALUE(MID(A568,2,LEN(A568))), AN567))</f>
        <v/>
      </c>
      <c r="AO568" s="79">
        <f>IF(AN568="","",IF(AD568=0,"OK",_xlfn.LET(monedaPago, IF(AA568="","USD",AA568), limitePermitido, IFERROR(VLOOKUP(monedaPago, Configuración!$A$2:$B$3, 2, FALSE), 0.15), IF(AD568&gt;limitePermitido, "ALERTA: EXCESO (" &amp; TEXT(limitePermitido, "0%") &amp; " máx)", "OK"))))</f>
        <v/>
      </c>
      <c r="AP568" s="79">
        <f>IF(AN568="","",IF(AE568=0,"OK",_xlfn.LET(fechaPago, Z568, fechaFactura, R568, diasCredito, IF(E568="Pago inmediato", 0, IFERROR(VALUE(MID(E568, 1, SEARCH(" ", E568)-1)),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68" s="79">
        <f>IF(AN568="","",IF(AND(N568&gt;0, AG568&gt;0), IF(Configuración!$K$2="NO", "ALERTA: DESCUENTO DOBLE NO PERMITIDO", "OK"), "OK"))</f>
        <v/>
      </c>
      <c r="AR568" s="79">
        <f>IF(AN568="","",IF(OR(AO568&lt;&gt;"OK", AP568&lt;&gt;"OK", AQ568&lt;&gt;"OK"), "⚠️ REVISAR", "OK"))</f>
        <v/>
      </c>
    </row>
    <row r="569">
      <c r="A569" s="79">
        <f>IF('Ordenes_Odoo'!A569="","",'Ordenes_Odoo'!A569)</f>
        <v/>
      </c>
      <c r="B569" s="80">
        <f>IF('Ordenes_Odoo'!B569="","",'Ordenes_Odoo'!B569)</f>
        <v/>
      </c>
      <c r="C569" s="79">
        <f>IF('Ordenes_Odoo'!C569="","",'Ordenes_Odoo'!C569)</f>
        <v/>
      </c>
      <c r="D569" s="79">
        <f>IF('Ordenes_Odoo'!D569="","",'Ordenes_Odoo'!D569)</f>
        <v/>
      </c>
      <c r="E569" s="79">
        <f>IF('Ordenes_Odoo'!E569="","",'Ordenes_Odoo'!E569)</f>
        <v/>
      </c>
      <c r="F569" s="79">
        <f>IF('Ordenes_Odoo'!F569="","",'Ordenes_Odoo'!F569)</f>
        <v/>
      </c>
      <c r="G569" s="79">
        <f>IF('Ordenes_Odoo'!G569="","",'Ordenes_Odoo'!G569)</f>
        <v/>
      </c>
      <c r="H569" s="79">
        <f>IF('Ordenes_Odoo'!H569="","",'Ordenes_Odoo'!H569)</f>
        <v/>
      </c>
      <c r="I569" s="79">
        <f>IF('Ordenes_Odoo'!I569="","",'Ordenes_Odoo'!I569)</f>
        <v/>
      </c>
      <c r="J569" s="79">
        <f>IF('Ordenes_Odoo'!J569="","",'Ordenes_Odoo'!J569)</f>
        <v/>
      </c>
      <c r="K569" s="81">
        <f>IF('Ordenes_Odoo'!K569="","",'Ordenes_Odoo'!K569)</f>
        <v/>
      </c>
      <c r="L569" s="81">
        <f>IF('Ordenes_Odoo'!L569="","",'Ordenes_Odoo'!L569)</f>
        <v/>
      </c>
      <c r="M569" s="79">
        <f>IF('Ordenes_Odoo'!M569="","",'Ordenes_Odoo'!M569)</f>
        <v/>
      </c>
      <c r="N569" s="79">
        <f>IF('Ordenes_Odoo'!N569="","",'Ordenes_Odoo'!N569)</f>
        <v/>
      </c>
      <c r="O569" s="81">
        <f>IF('Ordenes_Odoo'!O569="","",'Ordenes_Odoo'!O569)</f>
        <v/>
      </c>
      <c r="P569" s="81">
        <f>IF('Ordenes_Odoo'!P569="","",'Ordenes_Odoo'!P569)</f>
        <v/>
      </c>
      <c r="Q569" s="79">
        <f>IF(A569="","",IFERROR(INDEX(Facturas_Odoo!$B:$B, MATCH(A569, Facturas_Odoo!$D:$D, 0)), "Sin Factura"))</f>
        <v/>
      </c>
      <c r="R569" s="80">
        <f>IF(Q569="Sin Factura","",IFERROR(INDEX(Facturas_Odoo!$A:$A, MATCH(Q569, Facturas_Odoo!$B:$B, 0)), ""))</f>
        <v/>
      </c>
      <c r="S569" s="79">
        <f>IF(Q569="Sin Factura","",IFERROR(_xlfn.XLOOKUP(1, (Facturas_Odoo!$D:$D=A569) * (Facturas_Odoo!$K:$K=I569), Facturas_Odoo!$L:$L, ""), ""))</f>
        <v/>
      </c>
      <c r="T569" s="81">
        <f>IF(Q569="Sin Factura",0,IFERROR(_xlfn.XLOOKUP(1, (Facturas_Odoo!$D:$D=A569) * (Facturas_Odoo!$K:$K=I569), Facturas_Odoo!$M:$M, 0), 0))</f>
        <v/>
      </c>
      <c r="U569" s="79">
        <f>IF(Q569="Sin Factura",0,IFERROR(_xlfn.XLOOKUP(1, (Facturas_Odoo!$D:$D=A569) * (Facturas_Odoo!$K:$K=I569), Facturas_Odoo!$N:$N, 0), 0))</f>
        <v/>
      </c>
      <c r="V569" s="79">
        <f>IF(Q569="Sin Factura",0,IFERROR(_xlfn.XLOOKUP(1, (Facturas_Odoo!$D:$D=A569) * (Facturas_Odoo!$K:$K=I569), Facturas_Odoo!$O:$O, 0), 0))</f>
        <v/>
      </c>
      <c r="W569" s="81">
        <f>IF(Q569="Sin Factura",0,IFERROR(_xlfn.XLOOKUP(1, (Facturas_Odoo!$D:$D=A569) * (Facturas_Odoo!$K:$K=I569), Facturas_Odoo!$Q:$Q, 0), 0))</f>
        <v/>
      </c>
      <c r="X569" s="79">
        <f>IF(OR(Q569="Sin Factura",Q569=""),"",IFERROR(INDEX(Pagos_Odoo!$B:$B, MATCH(Q569, Pagos_Odoo!$I:$I, 0)), "Sin Pago"))</f>
        <v/>
      </c>
      <c r="Y569" s="79">
        <f>IF(X569="Sin Pago","",IFERROR(INDEX(Pagos_Odoo!$C:$C, MATCH(X569, Pagos_Odoo!$B:$B, 0)), ""))</f>
        <v/>
      </c>
      <c r="Z569" s="80">
        <f>IF(X569="Sin Pago","",IFERROR(INDEX(Pagos_Odoo!$A:$A, MATCH(X569, Pagos_Odoo!$B:$B, 0)), ""))</f>
        <v/>
      </c>
      <c r="AA569" s="79">
        <f>IF(X569="Sin Pago","",IFERROR(INDEX(Pagos_Odoo!$F:$F, MATCH(X569, Pagos_Odoo!$B:$B, 0)), ""))</f>
        <v/>
      </c>
      <c r="AB569" s="81">
        <f>IF(X569="Sin Pago",0,IFERROR(INDEX(Pagos_Odoo!$E:$E, MATCH(X569, Pagos_Odoo!$B:$B, 0)), 0))</f>
        <v/>
      </c>
      <c r="AC569" s="79">
        <f>IF(X569="Sin Pago","",IFERROR(INDEX(Pagos_Odoo!$G:$G, MATCH(X569, Pagos_Odoo!$B:$B, 0)), ""))</f>
        <v/>
      </c>
      <c r="AD569" s="82" t="n">
        <v>0</v>
      </c>
      <c r="AE569" s="82" t="n"/>
      <c r="AF569" s="82" t="n"/>
      <c r="AG569" s="82">
        <f>IF(AN569="","",AD569+AE569+AF569)</f>
        <v/>
      </c>
      <c r="AH569" s="81">
        <f>IF(AN569="","",P569*(1-AG569))</f>
        <v/>
      </c>
      <c r="AI569" s="81">
        <f>IF(AN569="","",IF(Q569="Sin Factura",0,IFERROR(INDEX(Facturas_Odoo!$H:$H, MATCH(Q569, Facturas_Odoo!$B:$B, 0)), 0)*(1-AG569)))</f>
        <v/>
      </c>
      <c r="AJ569" s="81">
        <f>IF(AN569="","",_xlfn.LET(idVenta, AN569&amp;"",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69" s="81">
        <f>IF(AN569="","",AH569-AJ569)</f>
        <v/>
      </c>
      <c r="AL569" s="81">
        <f>IF(AN569="","",IF(Q569="Sin Factura","",AI569-AJ569))</f>
        <v/>
      </c>
      <c r="AM569" s="81">
        <f>IF(AN569="","",IF(Q569="Sin Factura",0,P569-IFERROR(INDEX(Facturas_Odoo!$H:$H, MATCH(Q569, Facturas_Odoo!$B:$B, 0)), 0)))</f>
        <v/>
      </c>
      <c r="AN569" s="79">
        <f>IF(AND(A569="", J569=""), "", IF(A569&lt;&gt;"", VALUE(MID(A569,2,LEN(A569))), AN568))</f>
        <v/>
      </c>
      <c r="AO569" s="79">
        <f>IF(AN569="","",IF(AD569=0,"OK",_xlfn.LET(monedaPago, IF(AA569="","USD",AA569), limitePermitido, IFERROR(VLOOKUP(monedaPago, Configuración!$A$2:$B$3, 2, FALSE), 0.15), IF(AD569&gt;limitePermitido, "ALERTA: EXCESO (" &amp; TEXT(limitePermitido, "0%") &amp; " máx)", "OK"))))</f>
        <v/>
      </c>
      <c r="AP569" s="79">
        <f>IF(AN569="","",IF(AE569=0,"OK",_xlfn.LET(fechaPago, Z569, fechaFactura, R569, diasCredito, IF(E569="Pago inmediato", 0, IFERROR(VALUE(MID(E569, 1, SEARCH(" ", E569)-1)),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69" s="79">
        <f>IF(AN569="","",IF(AND(N569&gt;0, AG569&gt;0), IF(Configuración!$K$2="NO", "ALERTA: DESCUENTO DOBLE NO PERMITIDO", "OK"), "OK"))</f>
        <v/>
      </c>
      <c r="AR569" s="79">
        <f>IF(AN569="","",IF(OR(AO569&lt;&gt;"OK", AP569&lt;&gt;"OK", AQ569&lt;&gt;"OK"), "⚠️ REVISAR", "OK"))</f>
        <v/>
      </c>
    </row>
    <row r="570">
      <c r="A570" s="79">
        <f>IF('Ordenes_Odoo'!A570="","",'Ordenes_Odoo'!A570)</f>
        <v/>
      </c>
      <c r="B570" s="80">
        <f>IF('Ordenes_Odoo'!B570="","",'Ordenes_Odoo'!B570)</f>
        <v/>
      </c>
      <c r="C570" s="79">
        <f>IF('Ordenes_Odoo'!C570="","",'Ordenes_Odoo'!C570)</f>
        <v/>
      </c>
      <c r="D570" s="79">
        <f>IF('Ordenes_Odoo'!D570="","",'Ordenes_Odoo'!D570)</f>
        <v/>
      </c>
      <c r="E570" s="79">
        <f>IF('Ordenes_Odoo'!E570="","",'Ordenes_Odoo'!E570)</f>
        <v/>
      </c>
      <c r="F570" s="79">
        <f>IF('Ordenes_Odoo'!F570="","",'Ordenes_Odoo'!F570)</f>
        <v/>
      </c>
      <c r="G570" s="79">
        <f>IF('Ordenes_Odoo'!G570="","",'Ordenes_Odoo'!G570)</f>
        <v/>
      </c>
      <c r="H570" s="79">
        <f>IF('Ordenes_Odoo'!H570="","",'Ordenes_Odoo'!H570)</f>
        <v/>
      </c>
      <c r="I570" s="79">
        <f>IF('Ordenes_Odoo'!I570="","",'Ordenes_Odoo'!I570)</f>
        <v/>
      </c>
      <c r="J570" s="79">
        <f>IF('Ordenes_Odoo'!J570="","",'Ordenes_Odoo'!J570)</f>
        <v/>
      </c>
      <c r="K570" s="81">
        <f>IF('Ordenes_Odoo'!K570="","",'Ordenes_Odoo'!K570)</f>
        <v/>
      </c>
      <c r="L570" s="81">
        <f>IF('Ordenes_Odoo'!L570="","",'Ordenes_Odoo'!L570)</f>
        <v/>
      </c>
      <c r="M570" s="79">
        <f>IF('Ordenes_Odoo'!M570="","",'Ordenes_Odoo'!M570)</f>
        <v/>
      </c>
      <c r="N570" s="79">
        <f>IF('Ordenes_Odoo'!N570="","",'Ordenes_Odoo'!N570)</f>
        <v/>
      </c>
      <c r="O570" s="81">
        <f>IF('Ordenes_Odoo'!O570="","",'Ordenes_Odoo'!O570)</f>
        <v/>
      </c>
      <c r="P570" s="81">
        <f>IF('Ordenes_Odoo'!P570="","",'Ordenes_Odoo'!P570)</f>
        <v/>
      </c>
      <c r="Q570" s="79">
        <f>IF(A570="","",IFERROR(INDEX(Facturas_Odoo!$B:$B, MATCH(A570, Facturas_Odoo!$D:$D, 0)), "Sin Factura"))</f>
        <v/>
      </c>
      <c r="R570" s="80">
        <f>IF(Q570="Sin Factura","",IFERROR(INDEX(Facturas_Odoo!$A:$A, MATCH(Q570, Facturas_Odoo!$B:$B, 0)), ""))</f>
        <v/>
      </c>
      <c r="S570" s="79">
        <f>IF(Q570="Sin Factura","",IFERROR(_xlfn.XLOOKUP(1, (Facturas_Odoo!$D:$D=A570) * (Facturas_Odoo!$K:$K=I570), Facturas_Odoo!$L:$L, ""), ""))</f>
        <v/>
      </c>
      <c r="T570" s="81">
        <f>IF(Q570="Sin Factura",0,IFERROR(_xlfn.XLOOKUP(1, (Facturas_Odoo!$D:$D=A570) * (Facturas_Odoo!$K:$K=I570), Facturas_Odoo!$M:$M, 0), 0))</f>
        <v/>
      </c>
      <c r="U570" s="79">
        <f>IF(Q570="Sin Factura",0,IFERROR(_xlfn.XLOOKUP(1, (Facturas_Odoo!$D:$D=A570) * (Facturas_Odoo!$K:$K=I570), Facturas_Odoo!$N:$N, 0), 0))</f>
        <v/>
      </c>
      <c r="V570" s="79">
        <f>IF(Q570="Sin Factura",0,IFERROR(_xlfn.XLOOKUP(1, (Facturas_Odoo!$D:$D=A570) * (Facturas_Odoo!$K:$K=I570), Facturas_Odoo!$O:$O, 0), 0))</f>
        <v/>
      </c>
      <c r="W570" s="81">
        <f>IF(Q570="Sin Factura",0,IFERROR(_xlfn.XLOOKUP(1, (Facturas_Odoo!$D:$D=A570) * (Facturas_Odoo!$K:$K=I570), Facturas_Odoo!$Q:$Q, 0), 0))</f>
        <v/>
      </c>
      <c r="X570" s="79">
        <f>IF(OR(Q570="Sin Factura",Q570=""),"",IFERROR(INDEX(Pagos_Odoo!$B:$B, MATCH(Q570, Pagos_Odoo!$I:$I, 0)), "Sin Pago"))</f>
        <v/>
      </c>
      <c r="Y570" s="79">
        <f>IF(X570="Sin Pago","",IFERROR(INDEX(Pagos_Odoo!$C:$C, MATCH(X570, Pagos_Odoo!$B:$B, 0)), ""))</f>
        <v/>
      </c>
      <c r="Z570" s="80">
        <f>IF(X570="Sin Pago","",IFERROR(INDEX(Pagos_Odoo!$A:$A, MATCH(X570, Pagos_Odoo!$B:$B, 0)), ""))</f>
        <v/>
      </c>
      <c r="AA570" s="79">
        <f>IF(X570="Sin Pago","",IFERROR(INDEX(Pagos_Odoo!$F:$F, MATCH(X570, Pagos_Odoo!$B:$B, 0)), ""))</f>
        <v/>
      </c>
      <c r="AB570" s="81">
        <f>IF(X570="Sin Pago",0,IFERROR(INDEX(Pagos_Odoo!$E:$E, MATCH(X570, Pagos_Odoo!$B:$B, 0)), 0))</f>
        <v/>
      </c>
      <c r="AC570" s="79">
        <f>IF(X570="Sin Pago","",IFERROR(INDEX(Pagos_Odoo!$G:$G, MATCH(X570, Pagos_Odoo!$B:$B, 0)), ""))</f>
        <v/>
      </c>
      <c r="AD570" s="82" t="n">
        <v>0</v>
      </c>
      <c r="AE570" s="82" t="n"/>
      <c r="AF570" s="82" t="n"/>
      <c r="AG570" s="82">
        <f>IF(AN570="","",AD570+AE570+AF570)</f>
        <v/>
      </c>
      <c r="AH570" s="81">
        <f>IF(AN570="","",P570*(1-AG570))</f>
        <v/>
      </c>
      <c r="AI570" s="81">
        <f>IF(AN570="","",IF(Q570="Sin Factura",0,IFERROR(INDEX(Facturas_Odoo!$H:$H, MATCH(Q570, Facturas_Odoo!$B:$B, 0)), 0)*(1-AG570)))</f>
        <v/>
      </c>
      <c r="AJ570" s="81">
        <f>IF(AN570="","",_xlfn.LET(idVenta, AN570&amp;"",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70" s="81">
        <f>IF(AN570="","",AH570-AJ570)</f>
        <v/>
      </c>
      <c r="AL570" s="81">
        <f>IF(AN570="","",IF(Q570="Sin Factura","",AI570-AJ570))</f>
        <v/>
      </c>
      <c r="AM570" s="81">
        <f>IF(AN570="","",IF(Q570="Sin Factura",0,P570-IFERROR(INDEX(Facturas_Odoo!$H:$H, MATCH(Q570, Facturas_Odoo!$B:$B, 0)), 0)))</f>
        <v/>
      </c>
      <c r="AN570" s="79">
        <f>IF(AND(A570="", J570=""), "", IF(A570&lt;&gt;"", VALUE(MID(A570,2,LEN(A570))), AN569))</f>
        <v/>
      </c>
      <c r="AO570" s="79">
        <f>IF(AN570="","",IF(AD570=0,"OK",_xlfn.LET(monedaPago, IF(AA570="","USD",AA570), limitePermitido, IFERROR(VLOOKUP(monedaPago, Configuración!$A$2:$B$3, 2, FALSE), 0.15), IF(AD570&gt;limitePermitido, "ALERTA: EXCESO (" &amp; TEXT(limitePermitido, "0%") &amp; " máx)", "OK"))))</f>
        <v/>
      </c>
      <c r="AP570" s="79">
        <f>IF(AN570="","",IF(AE570=0,"OK",_xlfn.LET(fechaPago, Z570, fechaFactura, R570, diasCredito, IF(E570="Pago inmediato", 0, IFERROR(VALUE(MID(E570, 1, SEARCH(" ", E570)-1)),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70" s="79">
        <f>IF(AN570="","",IF(AND(N570&gt;0, AG570&gt;0), IF(Configuración!$K$2="NO", "ALERTA: DESCUENTO DOBLE NO PERMITIDO", "OK"), "OK"))</f>
        <v/>
      </c>
      <c r="AR570" s="79">
        <f>IF(AN570="","",IF(OR(AO570&lt;&gt;"OK", AP570&lt;&gt;"OK", AQ570&lt;&gt;"OK"), "⚠️ REVISAR", "OK"))</f>
        <v/>
      </c>
    </row>
    <row r="571">
      <c r="A571" s="79">
        <f>IF('Ordenes_Odoo'!A571="","",'Ordenes_Odoo'!A571)</f>
        <v/>
      </c>
      <c r="B571" s="80">
        <f>IF('Ordenes_Odoo'!B571="","",'Ordenes_Odoo'!B571)</f>
        <v/>
      </c>
      <c r="C571" s="79">
        <f>IF('Ordenes_Odoo'!C571="","",'Ordenes_Odoo'!C571)</f>
        <v/>
      </c>
      <c r="D571" s="79">
        <f>IF('Ordenes_Odoo'!D571="","",'Ordenes_Odoo'!D571)</f>
        <v/>
      </c>
      <c r="E571" s="79">
        <f>IF('Ordenes_Odoo'!E571="","",'Ordenes_Odoo'!E571)</f>
        <v/>
      </c>
      <c r="F571" s="79">
        <f>IF('Ordenes_Odoo'!F571="","",'Ordenes_Odoo'!F571)</f>
        <v/>
      </c>
      <c r="G571" s="79">
        <f>IF('Ordenes_Odoo'!G571="","",'Ordenes_Odoo'!G571)</f>
        <v/>
      </c>
      <c r="H571" s="79">
        <f>IF('Ordenes_Odoo'!H571="","",'Ordenes_Odoo'!H571)</f>
        <v/>
      </c>
      <c r="I571" s="79">
        <f>IF('Ordenes_Odoo'!I571="","",'Ordenes_Odoo'!I571)</f>
        <v/>
      </c>
      <c r="J571" s="79">
        <f>IF('Ordenes_Odoo'!J571="","",'Ordenes_Odoo'!J571)</f>
        <v/>
      </c>
      <c r="K571" s="81">
        <f>IF('Ordenes_Odoo'!K571="","",'Ordenes_Odoo'!K571)</f>
        <v/>
      </c>
      <c r="L571" s="81">
        <f>IF('Ordenes_Odoo'!L571="","",'Ordenes_Odoo'!L571)</f>
        <v/>
      </c>
      <c r="M571" s="79">
        <f>IF('Ordenes_Odoo'!M571="","",'Ordenes_Odoo'!M571)</f>
        <v/>
      </c>
      <c r="N571" s="79">
        <f>IF('Ordenes_Odoo'!N571="","",'Ordenes_Odoo'!N571)</f>
        <v/>
      </c>
      <c r="O571" s="81">
        <f>IF('Ordenes_Odoo'!O571="","",'Ordenes_Odoo'!O571)</f>
        <v/>
      </c>
      <c r="P571" s="81">
        <f>IF('Ordenes_Odoo'!P571="","",'Ordenes_Odoo'!P571)</f>
        <v/>
      </c>
      <c r="Q571" s="79">
        <f>IF(A571="","",IFERROR(INDEX(Facturas_Odoo!$B:$B, MATCH(A571, Facturas_Odoo!$D:$D, 0)), "Sin Factura"))</f>
        <v/>
      </c>
      <c r="R571" s="80">
        <f>IF(Q571="Sin Factura","",IFERROR(INDEX(Facturas_Odoo!$A:$A, MATCH(Q571, Facturas_Odoo!$B:$B, 0)), ""))</f>
        <v/>
      </c>
      <c r="S571" s="79">
        <f>IF(Q571="Sin Factura","",IFERROR(_xlfn.XLOOKUP(1, (Facturas_Odoo!$D:$D=A571) * (Facturas_Odoo!$K:$K=I571), Facturas_Odoo!$L:$L, ""), ""))</f>
        <v/>
      </c>
      <c r="T571" s="81">
        <f>IF(Q571="Sin Factura",0,IFERROR(_xlfn.XLOOKUP(1, (Facturas_Odoo!$D:$D=A571) * (Facturas_Odoo!$K:$K=I571), Facturas_Odoo!$M:$M, 0), 0))</f>
        <v/>
      </c>
      <c r="U571" s="79">
        <f>IF(Q571="Sin Factura",0,IFERROR(_xlfn.XLOOKUP(1, (Facturas_Odoo!$D:$D=A571) * (Facturas_Odoo!$K:$K=I571), Facturas_Odoo!$N:$N, 0), 0))</f>
        <v/>
      </c>
      <c r="V571" s="79">
        <f>IF(Q571="Sin Factura",0,IFERROR(_xlfn.XLOOKUP(1, (Facturas_Odoo!$D:$D=A571) * (Facturas_Odoo!$K:$K=I571), Facturas_Odoo!$O:$O, 0), 0))</f>
        <v/>
      </c>
      <c r="W571" s="81">
        <f>IF(Q571="Sin Factura",0,IFERROR(_xlfn.XLOOKUP(1, (Facturas_Odoo!$D:$D=A571) * (Facturas_Odoo!$K:$K=I571), Facturas_Odoo!$Q:$Q, 0), 0))</f>
        <v/>
      </c>
      <c r="X571" s="79">
        <f>IF(OR(Q571="Sin Factura",Q571=""),"",IFERROR(INDEX(Pagos_Odoo!$B:$B, MATCH(Q571, Pagos_Odoo!$I:$I, 0)), "Sin Pago"))</f>
        <v/>
      </c>
      <c r="Y571" s="79">
        <f>IF(X571="Sin Pago","",IFERROR(INDEX(Pagos_Odoo!$C:$C, MATCH(X571, Pagos_Odoo!$B:$B, 0)), ""))</f>
        <v/>
      </c>
      <c r="Z571" s="80">
        <f>IF(X571="Sin Pago","",IFERROR(INDEX(Pagos_Odoo!$A:$A, MATCH(X571, Pagos_Odoo!$B:$B, 0)), ""))</f>
        <v/>
      </c>
      <c r="AA571" s="79">
        <f>IF(X571="Sin Pago","",IFERROR(INDEX(Pagos_Odoo!$F:$F, MATCH(X571, Pagos_Odoo!$B:$B, 0)), ""))</f>
        <v/>
      </c>
      <c r="AB571" s="81">
        <f>IF(X571="Sin Pago",0,IFERROR(INDEX(Pagos_Odoo!$E:$E, MATCH(X571, Pagos_Odoo!$B:$B, 0)), 0))</f>
        <v/>
      </c>
      <c r="AC571" s="79">
        <f>IF(X571="Sin Pago","",IFERROR(INDEX(Pagos_Odoo!$G:$G, MATCH(X571, Pagos_Odoo!$B:$B, 0)), ""))</f>
        <v/>
      </c>
      <c r="AD571" s="82" t="n">
        <v>0</v>
      </c>
      <c r="AE571" s="82" t="n"/>
      <c r="AF571" s="82" t="n"/>
      <c r="AG571" s="82">
        <f>IF(AN571="","",AD571+AE571+AF571)</f>
        <v/>
      </c>
      <c r="AH571" s="81">
        <f>IF(AN571="","",P571*(1-AG571))</f>
        <v/>
      </c>
      <c r="AI571" s="81">
        <f>IF(AN571="","",IF(Q571="Sin Factura",0,IFERROR(INDEX(Facturas_Odoo!$H:$H, MATCH(Q571, Facturas_Odoo!$B:$B, 0)), 0)*(1-AG571)))</f>
        <v/>
      </c>
      <c r="AJ571" s="81">
        <f>IF(AN571="","",_xlfn.LET(idVenta, AN571&amp;"",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71" s="81">
        <f>IF(AN571="","",AH571-AJ571)</f>
        <v/>
      </c>
      <c r="AL571" s="81">
        <f>IF(AN571="","",IF(Q571="Sin Factura","",AI571-AJ571))</f>
        <v/>
      </c>
      <c r="AM571" s="81">
        <f>IF(AN571="","",IF(Q571="Sin Factura",0,P571-IFERROR(INDEX(Facturas_Odoo!$H:$H, MATCH(Q571, Facturas_Odoo!$B:$B, 0)), 0)))</f>
        <v/>
      </c>
      <c r="AN571" s="79">
        <f>IF(AND(A571="", J571=""), "", IF(A571&lt;&gt;"", VALUE(MID(A571,2,LEN(A571))), AN570))</f>
        <v/>
      </c>
      <c r="AO571" s="79">
        <f>IF(AN571="","",IF(AD571=0,"OK",_xlfn.LET(monedaPago, IF(AA571="","USD",AA571), limitePermitido, IFERROR(VLOOKUP(monedaPago, Configuración!$A$2:$B$3, 2, FALSE), 0.15), IF(AD571&gt;limitePermitido, "ALERTA: EXCESO (" &amp; TEXT(limitePermitido, "0%") &amp; " máx)", "OK"))))</f>
        <v/>
      </c>
      <c r="AP571" s="79">
        <f>IF(AN571="","",IF(AE571=0,"OK",_xlfn.LET(fechaPago, Z571, fechaFactura, R571, diasCredito, IF(E571="Pago inmediato", 0, IFERROR(VALUE(MID(E571, 1, SEARCH(" ", E571)-1)),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71" s="79">
        <f>IF(AN571="","",IF(AND(N571&gt;0, AG571&gt;0), IF(Configuración!$K$2="NO", "ALERTA: DESCUENTO DOBLE NO PERMITIDO", "OK"), "OK"))</f>
        <v/>
      </c>
      <c r="AR571" s="79">
        <f>IF(AN571="","",IF(OR(AO571&lt;&gt;"OK", AP571&lt;&gt;"OK", AQ571&lt;&gt;"OK"), "⚠️ REVISAR", "OK"))</f>
        <v/>
      </c>
    </row>
    <row r="572">
      <c r="A572" s="79">
        <f>IF('Ordenes_Odoo'!A572="","",'Ordenes_Odoo'!A572)</f>
        <v/>
      </c>
      <c r="B572" s="80">
        <f>IF('Ordenes_Odoo'!B572="","",'Ordenes_Odoo'!B572)</f>
        <v/>
      </c>
      <c r="C572" s="79">
        <f>IF('Ordenes_Odoo'!C572="","",'Ordenes_Odoo'!C572)</f>
        <v/>
      </c>
      <c r="D572" s="79">
        <f>IF('Ordenes_Odoo'!D572="","",'Ordenes_Odoo'!D572)</f>
        <v/>
      </c>
      <c r="E572" s="79">
        <f>IF('Ordenes_Odoo'!E572="","",'Ordenes_Odoo'!E572)</f>
        <v/>
      </c>
      <c r="F572" s="79">
        <f>IF('Ordenes_Odoo'!F572="","",'Ordenes_Odoo'!F572)</f>
        <v/>
      </c>
      <c r="G572" s="79">
        <f>IF('Ordenes_Odoo'!G572="","",'Ordenes_Odoo'!G572)</f>
        <v/>
      </c>
      <c r="H572" s="79">
        <f>IF('Ordenes_Odoo'!H572="","",'Ordenes_Odoo'!H572)</f>
        <v/>
      </c>
      <c r="I572" s="79">
        <f>IF('Ordenes_Odoo'!I572="","",'Ordenes_Odoo'!I572)</f>
        <v/>
      </c>
      <c r="J572" s="79">
        <f>IF('Ordenes_Odoo'!J572="","",'Ordenes_Odoo'!J572)</f>
        <v/>
      </c>
      <c r="K572" s="81">
        <f>IF('Ordenes_Odoo'!K572="","",'Ordenes_Odoo'!K572)</f>
        <v/>
      </c>
      <c r="L572" s="81">
        <f>IF('Ordenes_Odoo'!L572="","",'Ordenes_Odoo'!L572)</f>
        <v/>
      </c>
      <c r="M572" s="79">
        <f>IF('Ordenes_Odoo'!M572="","",'Ordenes_Odoo'!M572)</f>
        <v/>
      </c>
      <c r="N572" s="79">
        <f>IF('Ordenes_Odoo'!N572="","",'Ordenes_Odoo'!N572)</f>
        <v/>
      </c>
      <c r="O572" s="81">
        <f>IF('Ordenes_Odoo'!O572="","",'Ordenes_Odoo'!O572)</f>
        <v/>
      </c>
      <c r="P572" s="81">
        <f>IF('Ordenes_Odoo'!P572="","",'Ordenes_Odoo'!P572)</f>
        <v/>
      </c>
      <c r="Q572" s="79">
        <f>IF(A572="","",IFERROR(INDEX(Facturas_Odoo!$B:$B, MATCH(A572, Facturas_Odoo!$D:$D, 0)), "Sin Factura"))</f>
        <v/>
      </c>
      <c r="R572" s="80">
        <f>IF(Q572="Sin Factura","",IFERROR(INDEX(Facturas_Odoo!$A:$A, MATCH(Q572, Facturas_Odoo!$B:$B, 0)), ""))</f>
        <v/>
      </c>
      <c r="S572" s="79">
        <f>IF(Q572="Sin Factura","",IFERROR(_xlfn.XLOOKUP(1, (Facturas_Odoo!$D:$D=A572) * (Facturas_Odoo!$K:$K=I572), Facturas_Odoo!$L:$L, ""), ""))</f>
        <v/>
      </c>
      <c r="T572" s="81">
        <f>IF(Q572="Sin Factura",0,IFERROR(_xlfn.XLOOKUP(1, (Facturas_Odoo!$D:$D=A572) * (Facturas_Odoo!$K:$K=I572), Facturas_Odoo!$M:$M, 0), 0))</f>
        <v/>
      </c>
      <c r="U572" s="79">
        <f>IF(Q572="Sin Factura",0,IFERROR(_xlfn.XLOOKUP(1, (Facturas_Odoo!$D:$D=A572) * (Facturas_Odoo!$K:$K=I572), Facturas_Odoo!$N:$N, 0), 0))</f>
        <v/>
      </c>
      <c r="V572" s="79">
        <f>IF(Q572="Sin Factura",0,IFERROR(_xlfn.XLOOKUP(1, (Facturas_Odoo!$D:$D=A572) * (Facturas_Odoo!$K:$K=I572), Facturas_Odoo!$O:$O, 0), 0))</f>
        <v/>
      </c>
      <c r="W572" s="81">
        <f>IF(Q572="Sin Factura",0,IFERROR(_xlfn.XLOOKUP(1, (Facturas_Odoo!$D:$D=A572) * (Facturas_Odoo!$K:$K=I572), Facturas_Odoo!$Q:$Q, 0), 0))</f>
        <v/>
      </c>
      <c r="X572" s="79">
        <f>IF(OR(Q572="Sin Factura",Q572=""),"",IFERROR(INDEX(Pagos_Odoo!$B:$B, MATCH(Q572, Pagos_Odoo!$I:$I, 0)), "Sin Pago"))</f>
        <v/>
      </c>
      <c r="Y572" s="79">
        <f>IF(X572="Sin Pago","",IFERROR(INDEX(Pagos_Odoo!$C:$C, MATCH(X572, Pagos_Odoo!$B:$B, 0)), ""))</f>
        <v/>
      </c>
      <c r="Z572" s="80">
        <f>IF(X572="Sin Pago","",IFERROR(INDEX(Pagos_Odoo!$A:$A, MATCH(X572, Pagos_Odoo!$B:$B, 0)), ""))</f>
        <v/>
      </c>
      <c r="AA572" s="79">
        <f>IF(X572="Sin Pago","",IFERROR(INDEX(Pagos_Odoo!$F:$F, MATCH(X572, Pagos_Odoo!$B:$B, 0)), ""))</f>
        <v/>
      </c>
      <c r="AB572" s="81">
        <f>IF(X572="Sin Pago",0,IFERROR(INDEX(Pagos_Odoo!$E:$E, MATCH(X572, Pagos_Odoo!$B:$B, 0)), 0))</f>
        <v/>
      </c>
      <c r="AC572" s="79">
        <f>IF(X572="Sin Pago","",IFERROR(INDEX(Pagos_Odoo!$G:$G, MATCH(X572, Pagos_Odoo!$B:$B, 0)), ""))</f>
        <v/>
      </c>
      <c r="AD572" s="82" t="n">
        <v>0</v>
      </c>
      <c r="AE572" s="82" t="n"/>
      <c r="AF572" s="82" t="n"/>
      <c r="AG572" s="82">
        <f>IF(AN572="","",AD572+AE572+AF572)</f>
        <v/>
      </c>
      <c r="AH572" s="81">
        <f>IF(AN572="","",P572*(1-AG572))</f>
        <v/>
      </c>
      <c r="AI572" s="81">
        <f>IF(AN572="","",IF(Q572="Sin Factura",0,IFERROR(INDEX(Facturas_Odoo!$H:$H, MATCH(Q572, Facturas_Odoo!$B:$B, 0)), 0)*(1-AG572)))</f>
        <v/>
      </c>
      <c r="AJ572" s="81">
        <f>IF(AN572="","",_xlfn.LET(idVenta, AN572&amp;"",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72" s="81">
        <f>IF(AN572="","",AH572-AJ572)</f>
        <v/>
      </c>
      <c r="AL572" s="81">
        <f>IF(AN572="","",IF(Q572="Sin Factura","",AI572-AJ572))</f>
        <v/>
      </c>
      <c r="AM572" s="81">
        <f>IF(AN572="","",IF(Q572="Sin Factura",0,P572-IFERROR(INDEX(Facturas_Odoo!$H:$H, MATCH(Q572, Facturas_Odoo!$B:$B, 0)), 0)))</f>
        <v/>
      </c>
      <c r="AN572" s="79">
        <f>IF(AND(A572="", J572=""), "", IF(A572&lt;&gt;"", VALUE(MID(A572,2,LEN(A572))), AN571))</f>
        <v/>
      </c>
      <c r="AO572" s="79">
        <f>IF(AN572="","",IF(AD572=0,"OK",_xlfn.LET(monedaPago, IF(AA572="","USD",AA572), limitePermitido, IFERROR(VLOOKUP(monedaPago, Configuración!$A$2:$B$3, 2, FALSE), 0.15), IF(AD572&gt;limitePermitido, "ALERTA: EXCESO (" &amp; TEXT(limitePermitido, "0%") &amp; " máx)", "OK"))))</f>
        <v/>
      </c>
      <c r="AP572" s="79">
        <f>IF(AN572="","",IF(AE572=0,"OK",_xlfn.LET(fechaPago, Z572, fechaFactura, R572, diasCredito, IF(E572="Pago inmediato", 0, IFERROR(VALUE(MID(E572, 1, SEARCH(" ", E572)-1)),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72" s="79">
        <f>IF(AN572="","",IF(AND(N572&gt;0, AG572&gt;0), IF(Configuración!$K$2="NO", "ALERTA: DESCUENTO DOBLE NO PERMITIDO", "OK"), "OK"))</f>
        <v/>
      </c>
      <c r="AR572" s="79">
        <f>IF(AN572="","",IF(OR(AO572&lt;&gt;"OK", AP572&lt;&gt;"OK", AQ572&lt;&gt;"OK"), "⚠️ REVISAR", "OK"))</f>
        <v/>
      </c>
    </row>
    <row r="573">
      <c r="A573" s="79">
        <f>IF('Ordenes_Odoo'!A573="","",'Ordenes_Odoo'!A573)</f>
        <v/>
      </c>
      <c r="B573" s="80">
        <f>IF('Ordenes_Odoo'!B573="","",'Ordenes_Odoo'!B573)</f>
        <v/>
      </c>
      <c r="C573" s="79">
        <f>IF('Ordenes_Odoo'!C573="","",'Ordenes_Odoo'!C573)</f>
        <v/>
      </c>
      <c r="D573" s="79">
        <f>IF('Ordenes_Odoo'!D573="","",'Ordenes_Odoo'!D573)</f>
        <v/>
      </c>
      <c r="E573" s="79">
        <f>IF('Ordenes_Odoo'!E573="","",'Ordenes_Odoo'!E573)</f>
        <v/>
      </c>
      <c r="F573" s="79">
        <f>IF('Ordenes_Odoo'!F573="","",'Ordenes_Odoo'!F573)</f>
        <v/>
      </c>
      <c r="G573" s="79">
        <f>IF('Ordenes_Odoo'!G573="","",'Ordenes_Odoo'!G573)</f>
        <v/>
      </c>
      <c r="H573" s="79">
        <f>IF('Ordenes_Odoo'!H573="","",'Ordenes_Odoo'!H573)</f>
        <v/>
      </c>
      <c r="I573" s="79">
        <f>IF('Ordenes_Odoo'!I573="","",'Ordenes_Odoo'!I573)</f>
        <v/>
      </c>
      <c r="J573" s="79">
        <f>IF('Ordenes_Odoo'!J573="","",'Ordenes_Odoo'!J573)</f>
        <v/>
      </c>
      <c r="K573" s="81">
        <f>IF('Ordenes_Odoo'!K573="","",'Ordenes_Odoo'!K573)</f>
        <v/>
      </c>
      <c r="L573" s="81">
        <f>IF('Ordenes_Odoo'!L573="","",'Ordenes_Odoo'!L573)</f>
        <v/>
      </c>
      <c r="M573" s="79">
        <f>IF('Ordenes_Odoo'!M573="","",'Ordenes_Odoo'!M573)</f>
        <v/>
      </c>
      <c r="N573" s="79">
        <f>IF('Ordenes_Odoo'!N573="","",'Ordenes_Odoo'!N573)</f>
        <v/>
      </c>
      <c r="O573" s="81">
        <f>IF('Ordenes_Odoo'!O573="","",'Ordenes_Odoo'!O573)</f>
        <v/>
      </c>
      <c r="P573" s="81">
        <f>IF('Ordenes_Odoo'!P573="","",'Ordenes_Odoo'!P573)</f>
        <v/>
      </c>
      <c r="Q573" s="79">
        <f>IF(A573="","",IFERROR(INDEX(Facturas_Odoo!$B:$B, MATCH(A573, Facturas_Odoo!$D:$D, 0)), "Sin Factura"))</f>
        <v/>
      </c>
      <c r="R573" s="80">
        <f>IF(Q573="Sin Factura","",IFERROR(INDEX(Facturas_Odoo!$A:$A, MATCH(Q573, Facturas_Odoo!$B:$B, 0)), ""))</f>
        <v/>
      </c>
      <c r="S573" s="79">
        <f>IF(Q573="Sin Factura","",IFERROR(_xlfn.XLOOKUP(1, (Facturas_Odoo!$D:$D=A573) * (Facturas_Odoo!$K:$K=I573), Facturas_Odoo!$L:$L, ""), ""))</f>
        <v/>
      </c>
      <c r="T573" s="81">
        <f>IF(Q573="Sin Factura",0,IFERROR(_xlfn.XLOOKUP(1, (Facturas_Odoo!$D:$D=A573) * (Facturas_Odoo!$K:$K=I573), Facturas_Odoo!$M:$M, 0), 0))</f>
        <v/>
      </c>
      <c r="U573" s="79">
        <f>IF(Q573="Sin Factura",0,IFERROR(_xlfn.XLOOKUP(1, (Facturas_Odoo!$D:$D=A573) * (Facturas_Odoo!$K:$K=I573), Facturas_Odoo!$N:$N, 0), 0))</f>
        <v/>
      </c>
      <c r="V573" s="79">
        <f>IF(Q573="Sin Factura",0,IFERROR(_xlfn.XLOOKUP(1, (Facturas_Odoo!$D:$D=A573) * (Facturas_Odoo!$K:$K=I573), Facturas_Odoo!$O:$O, 0), 0))</f>
        <v/>
      </c>
      <c r="W573" s="81">
        <f>IF(Q573="Sin Factura",0,IFERROR(_xlfn.XLOOKUP(1, (Facturas_Odoo!$D:$D=A573) * (Facturas_Odoo!$K:$K=I573), Facturas_Odoo!$Q:$Q, 0), 0))</f>
        <v/>
      </c>
      <c r="X573" s="79">
        <f>IF(OR(Q573="Sin Factura",Q573=""),"",IFERROR(INDEX(Pagos_Odoo!$B:$B, MATCH(Q573, Pagos_Odoo!$I:$I, 0)), "Sin Pago"))</f>
        <v/>
      </c>
      <c r="Y573" s="79">
        <f>IF(X573="Sin Pago","",IFERROR(INDEX(Pagos_Odoo!$C:$C, MATCH(X573, Pagos_Odoo!$B:$B, 0)), ""))</f>
        <v/>
      </c>
      <c r="Z573" s="80">
        <f>IF(X573="Sin Pago","",IFERROR(INDEX(Pagos_Odoo!$A:$A, MATCH(X573, Pagos_Odoo!$B:$B, 0)), ""))</f>
        <v/>
      </c>
      <c r="AA573" s="79">
        <f>IF(X573="Sin Pago","",IFERROR(INDEX(Pagos_Odoo!$F:$F, MATCH(X573, Pagos_Odoo!$B:$B, 0)), ""))</f>
        <v/>
      </c>
      <c r="AB573" s="81">
        <f>IF(X573="Sin Pago",0,IFERROR(INDEX(Pagos_Odoo!$E:$E, MATCH(X573, Pagos_Odoo!$B:$B, 0)), 0))</f>
        <v/>
      </c>
      <c r="AC573" s="79">
        <f>IF(X573="Sin Pago","",IFERROR(INDEX(Pagos_Odoo!$G:$G, MATCH(X573, Pagos_Odoo!$B:$B, 0)), ""))</f>
        <v/>
      </c>
      <c r="AD573" s="82" t="n">
        <v>0</v>
      </c>
      <c r="AE573" s="82" t="n"/>
      <c r="AF573" s="82" t="n"/>
      <c r="AG573" s="82">
        <f>IF(AN573="","",AD573+AE573+AF573)</f>
        <v/>
      </c>
      <c r="AH573" s="81">
        <f>IF(AN573="","",P573*(1-AG573))</f>
        <v/>
      </c>
      <c r="AI573" s="81">
        <f>IF(AN573="","",IF(Q573="Sin Factura",0,IFERROR(INDEX(Facturas_Odoo!$H:$H, MATCH(Q573, Facturas_Odoo!$B:$B, 0)), 0)*(1-AG573)))</f>
        <v/>
      </c>
      <c r="AJ573" s="81">
        <f>IF(AN573="","",_xlfn.LET(idVenta, AN573&amp;"",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73" s="81">
        <f>IF(AN573="","",AH573-AJ573)</f>
        <v/>
      </c>
      <c r="AL573" s="81">
        <f>IF(AN573="","",IF(Q573="Sin Factura","",AI573-AJ573))</f>
        <v/>
      </c>
      <c r="AM573" s="81">
        <f>IF(AN573="","",IF(Q573="Sin Factura",0,P573-IFERROR(INDEX(Facturas_Odoo!$H:$H, MATCH(Q573, Facturas_Odoo!$B:$B, 0)), 0)))</f>
        <v/>
      </c>
      <c r="AN573" s="79">
        <f>IF(AND(A573="", J573=""), "", IF(A573&lt;&gt;"", VALUE(MID(A573,2,LEN(A573))), AN572))</f>
        <v/>
      </c>
      <c r="AO573" s="79">
        <f>IF(AN573="","",IF(AD573=0,"OK",_xlfn.LET(monedaPago, IF(AA573="","USD",AA573), limitePermitido, IFERROR(VLOOKUP(monedaPago, Configuración!$A$2:$B$3, 2, FALSE), 0.15), IF(AD573&gt;limitePermitido, "ALERTA: EXCESO (" &amp; TEXT(limitePermitido, "0%") &amp; " máx)", "OK"))))</f>
        <v/>
      </c>
      <c r="AP573" s="79">
        <f>IF(AN573="","",IF(AE573=0,"OK",_xlfn.LET(fechaPago, Z573, fechaFactura, R573, diasCredito, IF(E573="Pago inmediato", 0, IFERROR(VALUE(MID(E573, 1, SEARCH(" ", E573)-1)),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73" s="79">
        <f>IF(AN573="","",IF(AND(N573&gt;0, AG573&gt;0), IF(Configuración!$K$2="NO", "ALERTA: DESCUENTO DOBLE NO PERMITIDO", "OK"), "OK"))</f>
        <v/>
      </c>
      <c r="AR573" s="79">
        <f>IF(AN573="","",IF(OR(AO573&lt;&gt;"OK", AP573&lt;&gt;"OK", AQ573&lt;&gt;"OK"), "⚠️ REVISAR", "OK"))</f>
        <v/>
      </c>
    </row>
    <row r="574">
      <c r="A574" s="79">
        <f>IF('Ordenes_Odoo'!A574="","",'Ordenes_Odoo'!A574)</f>
        <v/>
      </c>
      <c r="B574" s="80">
        <f>IF('Ordenes_Odoo'!B574="","",'Ordenes_Odoo'!B574)</f>
        <v/>
      </c>
      <c r="C574" s="79">
        <f>IF('Ordenes_Odoo'!C574="","",'Ordenes_Odoo'!C574)</f>
        <v/>
      </c>
      <c r="D574" s="79">
        <f>IF('Ordenes_Odoo'!D574="","",'Ordenes_Odoo'!D574)</f>
        <v/>
      </c>
      <c r="E574" s="79">
        <f>IF('Ordenes_Odoo'!E574="","",'Ordenes_Odoo'!E574)</f>
        <v/>
      </c>
      <c r="F574" s="79">
        <f>IF('Ordenes_Odoo'!F574="","",'Ordenes_Odoo'!F574)</f>
        <v/>
      </c>
      <c r="G574" s="79">
        <f>IF('Ordenes_Odoo'!G574="","",'Ordenes_Odoo'!G574)</f>
        <v/>
      </c>
      <c r="H574" s="79">
        <f>IF('Ordenes_Odoo'!H574="","",'Ordenes_Odoo'!H574)</f>
        <v/>
      </c>
      <c r="I574" s="79">
        <f>IF('Ordenes_Odoo'!I574="","",'Ordenes_Odoo'!I574)</f>
        <v/>
      </c>
      <c r="J574" s="79">
        <f>IF('Ordenes_Odoo'!J574="","",'Ordenes_Odoo'!J574)</f>
        <v/>
      </c>
      <c r="K574" s="81">
        <f>IF('Ordenes_Odoo'!K574="","",'Ordenes_Odoo'!K574)</f>
        <v/>
      </c>
      <c r="L574" s="81">
        <f>IF('Ordenes_Odoo'!L574="","",'Ordenes_Odoo'!L574)</f>
        <v/>
      </c>
      <c r="M574" s="79">
        <f>IF('Ordenes_Odoo'!M574="","",'Ordenes_Odoo'!M574)</f>
        <v/>
      </c>
      <c r="N574" s="79">
        <f>IF('Ordenes_Odoo'!N574="","",'Ordenes_Odoo'!N574)</f>
        <v/>
      </c>
      <c r="O574" s="81">
        <f>IF('Ordenes_Odoo'!O574="","",'Ordenes_Odoo'!O574)</f>
        <v/>
      </c>
      <c r="P574" s="81">
        <f>IF('Ordenes_Odoo'!P574="","",'Ordenes_Odoo'!P574)</f>
        <v/>
      </c>
      <c r="Q574" s="79">
        <f>IF(A574="","",IFERROR(INDEX(Facturas_Odoo!$B:$B, MATCH(A574, Facturas_Odoo!$D:$D, 0)), "Sin Factura"))</f>
        <v/>
      </c>
      <c r="R574" s="80">
        <f>IF(Q574="Sin Factura","",IFERROR(INDEX(Facturas_Odoo!$A:$A, MATCH(Q574, Facturas_Odoo!$B:$B, 0)), ""))</f>
        <v/>
      </c>
      <c r="S574" s="79">
        <f>IF(Q574="Sin Factura","",IFERROR(_xlfn.XLOOKUP(1, (Facturas_Odoo!$D:$D=A574) * (Facturas_Odoo!$K:$K=I574), Facturas_Odoo!$L:$L, ""), ""))</f>
        <v/>
      </c>
      <c r="T574" s="81">
        <f>IF(Q574="Sin Factura",0,IFERROR(_xlfn.XLOOKUP(1, (Facturas_Odoo!$D:$D=A574) * (Facturas_Odoo!$K:$K=I574), Facturas_Odoo!$M:$M, 0), 0))</f>
        <v/>
      </c>
      <c r="U574" s="79">
        <f>IF(Q574="Sin Factura",0,IFERROR(_xlfn.XLOOKUP(1, (Facturas_Odoo!$D:$D=A574) * (Facturas_Odoo!$K:$K=I574), Facturas_Odoo!$N:$N, 0), 0))</f>
        <v/>
      </c>
      <c r="V574" s="79">
        <f>IF(Q574="Sin Factura",0,IFERROR(_xlfn.XLOOKUP(1, (Facturas_Odoo!$D:$D=A574) * (Facturas_Odoo!$K:$K=I574), Facturas_Odoo!$O:$O, 0), 0))</f>
        <v/>
      </c>
      <c r="W574" s="81">
        <f>IF(Q574="Sin Factura",0,IFERROR(_xlfn.XLOOKUP(1, (Facturas_Odoo!$D:$D=A574) * (Facturas_Odoo!$K:$K=I574), Facturas_Odoo!$Q:$Q, 0), 0))</f>
        <v/>
      </c>
      <c r="X574" s="79">
        <f>IF(OR(Q574="Sin Factura",Q574=""),"",IFERROR(INDEX(Pagos_Odoo!$B:$B, MATCH(Q574, Pagos_Odoo!$I:$I, 0)), "Sin Pago"))</f>
        <v/>
      </c>
      <c r="Y574" s="79">
        <f>IF(X574="Sin Pago","",IFERROR(INDEX(Pagos_Odoo!$C:$C, MATCH(X574, Pagos_Odoo!$B:$B, 0)), ""))</f>
        <v/>
      </c>
      <c r="Z574" s="80">
        <f>IF(X574="Sin Pago","",IFERROR(INDEX(Pagos_Odoo!$A:$A, MATCH(X574, Pagos_Odoo!$B:$B, 0)), ""))</f>
        <v/>
      </c>
      <c r="AA574" s="79">
        <f>IF(X574="Sin Pago","",IFERROR(INDEX(Pagos_Odoo!$F:$F, MATCH(X574, Pagos_Odoo!$B:$B, 0)), ""))</f>
        <v/>
      </c>
      <c r="AB574" s="81">
        <f>IF(X574="Sin Pago",0,IFERROR(INDEX(Pagos_Odoo!$E:$E, MATCH(X574, Pagos_Odoo!$B:$B, 0)), 0))</f>
        <v/>
      </c>
      <c r="AC574" s="79">
        <f>IF(X574="Sin Pago","",IFERROR(INDEX(Pagos_Odoo!$G:$G, MATCH(X574, Pagos_Odoo!$B:$B, 0)), ""))</f>
        <v/>
      </c>
      <c r="AD574" s="82" t="n">
        <v>0</v>
      </c>
      <c r="AE574" s="82" t="n"/>
      <c r="AF574" s="82" t="n"/>
      <c r="AG574" s="82">
        <f>IF(AN574="","",AD574+AE574+AF574)</f>
        <v/>
      </c>
      <c r="AH574" s="81">
        <f>IF(AN574="","",P574*(1-AG574))</f>
        <v/>
      </c>
      <c r="AI574" s="81">
        <f>IF(AN574="","",IF(Q574="Sin Factura",0,IFERROR(INDEX(Facturas_Odoo!$H:$H, MATCH(Q574, Facturas_Odoo!$B:$B, 0)), 0)*(1-AG574)))</f>
        <v/>
      </c>
      <c r="AJ574" s="81">
        <f>IF(AN574="","",_xlfn.LET(idVenta, AN574&amp;"",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74" s="81">
        <f>IF(AN574="","",AH574-AJ574)</f>
        <v/>
      </c>
      <c r="AL574" s="81">
        <f>IF(AN574="","",IF(Q574="Sin Factura","",AI574-AJ574))</f>
        <v/>
      </c>
      <c r="AM574" s="81">
        <f>IF(AN574="","",IF(Q574="Sin Factura",0,P574-IFERROR(INDEX(Facturas_Odoo!$H:$H, MATCH(Q574, Facturas_Odoo!$B:$B, 0)), 0)))</f>
        <v/>
      </c>
      <c r="AN574" s="79">
        <f>IF(AND(A574="", J574=""), "", IF(A574&lt;&gt;"", VALUE(MID(A574,2,LEN(A574))), AN573))</f>
        <v/>
      </c>
      <c r="AO574" s="79">
        <f>IF(AN574="","",IF(AD574=0,"OK",_xlfn.LET(monedaPago, IF(AA574="","USD",AA574), limitePermitido, IFERROR(VLOOKUP(monedaPago, Configuración!$A$2:$B$3, 2, FALSE), 0.15), IF(AD574&gt;limitePermitido, "ALERTA: EXCESO (" &amp; TEXT(limitePermitido, "0%") &amp; " máx)", "OK"))))</f>
        <v/>
      </c>
      <c r="AP574" s="79">
        <f>IF(AN574="","",IF(AE574=0,"OK",_xlfn.LET(fechaPago, Z574, fechaFactura, R574, diasCredito, IF(E574="Pago inmediato", 0, IFERROR(VALUE(MID(E574, 1, SEARCH(" ", E574)-1)),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74" s="79">
        <f>IF(AN574="","",IF(AND(N574&gt;0, AG574&gt;0), IF(Configuración!$K$2="NO", "ALERTA: DESCUENTO DOBLE NO PERMITIDO", "OK"), "OK"))</f>
        <v/>
      </c>
      <c r="AR574" s="79">
        <f>IF(AN574="","",IF(OR(AO574&lt;&gt;"OK", AP574&lt;&gt;"OK", AQ574&lt;&gt;"OK"), "⚠️ REVISAR", "OK"))</f>
        <v/>
      </c>
    </row>
    <row r="575">
      <c r="A575" s="79">
        <f>IF('Ordenes_Odoo'!A575="","",'Ordenes_Odoo'!A575)</f>
        <v/>
      </c>
      <c r="B575" s="80">
        <f>IF('Ordenes_Odoo'!B575="","",'Ordenes_Odoo'!B575)</f>
        <v/>
      </c>
      <c r="C575" s="79">
        <f>IF('Ordenes_Odoo'!C575="","",'Ordenes_Odoo'!C575)</f>
        <v/>
      </c>
      <c r="D575" s="79">
        <f>IF('Ordenes_Odoo'!D575="","",'Ordenes_Odoo'!D575)</f>
        <v/>
      </c>
      <c r="E575" s="79">
        <f>IF('Ordenes_Odoo'!E575="","",'Ordenes_Odoo'!E575)</f>
        <v/>
      </c>
      <c r="F575" s="79">
        <f>IF('Ordenes_Odoo'!F575="","",'Ordenes_Odoo'!F575)</f>
        <v/>
      </c>
      <c r="G575" s="79">
        <f>IF('Ordenes_Odoo'!G575="","",'Ordenes_Odoo'!G575)</f>
        <v/>
      </c>
      <c r="H575" s="79">
        <f>IF('Ordenes_Odoo'!H575="","",'Ordenes_Odoo'!H575)</f>
        <v/>
      </c>
      <c r="I575" s="79">
        <f>IF('Ordenes_Odoo'!I575="","",'Ordenes_Odoo'!I575)</f>
        <v/>
      </c>
      <c r="J575" s="79">
        <f>IF('Ordenes_Odoo'!J575="","",'Ordenes_Odoo'!J575)</f>
        <v/>
      </c>
      <c r="K575" s="81">
        <f>IF('Ordenes_Odoo'!K575="","",'Ordenes_Odoo'!K575)</f>
        <v/>
      </c>
      <c r="L575" s="81">
        <f>IF('Ordenes_Odoo'!L575="","",'Ordenes_Odoo'!L575)</f>
        <v/>
      </c>
      <c r="M575" s="79">
        <f>IF('Ordenes_Odoo'!M575="","",'Ordenes_Odoo'!M575)</f>
        <v/>
      </c>
      <c r="N575" s="79">
        <f>IF('Ordenes_Odoo'!N575="","",'Ordenes_Odoo'!N575)</f>
        <v/>
      </c>
      <c r="O575" s="81">
        <f>IF('Ordenes_Odoo'!O575="","",'Ordenes_Odoo'!O575)</f>
        <v/>
      </c>
      <c r="P575" s="81">
        <f>IF('Ordenes_Odoo'!P575="","",'Ordenes_Odoo'!P575)</f>
        <v/>
      </c>
      <c r="Q575" s="79">
        <f>IF(A575="","",IFERROR(INDEX(Facturas_Odoo!$B:$B, MATCH(A575, Facturas_Odoo!$D:$D, 0)), "Sin Factura"))</f>
        <v/>
      </c>
      <c r="R575" s="80">
        <f>IF(Q575="Sin Factura","",IFERROR(INDEX(Facturas_Odoo!$A:$A, MATCH(Q575, Facturas_Odoo!$B:$B, 0)), ""))</f>
        <v/>
      </c>
      <c r="S575" s="79">
        <f>IF(Q575="Sin Factura","",IFERROR(_xlfn.XLOOKUP(1, (Facturas_Odoo!$D:$D=A575) * (Facturas_Odoo!$K:$K=I575), Facturas_Odoo!$L:$L, ""), ""))</f>
        <v/>
      </c>
      <c r="T575" s="81">
        <f>IF(Q575="Sin Factura",0,IFERROR(_xlfn.XLOOKUP(1, (Facturas_Odoo!$D:$D=A575) * (Facturas_Odoo!$K:$K=I575), Facturas_Odoo!$M:$M, 0), 0))</f>
        <v/>
      </c>
      <c r="U575" s="79">
        <f>IF(Q575="Sin Factura",0,IFERROR(_xlfn.XLOOKUP(1, (Facturas_Odoo!$D:$D=A575) * (Facturas_Odoo!$K:$K=I575), Facturas_Odoo!$N:$N, 0), 0))</f>
        <v/>
      </c>
      <c r="V575" s="79">
        <f>IF(Q575="Sin Factura",0,IFERROR(_xlfn.XLOOKUP(1, (Facturas_Odoo!$D:$D=A575) * (Facturas_Odoo!$K:$K=I575), Facturas_Odoo!$O:$O, 0), 0))</f>
        <v/>
      </c>
      <c r="W575" s="81">
        <f>IF(Q575="Sin Factura",0,IFERROR(_xlfn.XLOOKUP(1, (Facturas_Odoo!$D:$D=A575) * (Facturas_Odoo!$K:$K=I575), Facturas_Odoo!$Q:$Q, 0), 0))</f>
        <v/>
      </c>
      <c r="X575" s="79">
        <f>IF(OR(Q575="Sin Factura",Q575=""),"",IFERROR(INDEX(Pagos_Odoo!$B:$B, MATCH(Q575, Pagos_Odoo!$I:$I, 0)), "Sin Pago"))</f>
        <v/>
      </c>
      <c r="Y575" s="79">
        <f>IF(X575="Sin Pago","",IFERROR(INDEX(Pagos_Odoo!$C:$C, MATCH(X575, Pagos_Odoo!$B:$B, 0)), ""))</f>
        <v/>
      </c>
      <c r="Z575" s="80">
        <f>IF(X575="Sin Pago","",IFERROR(INDEX(Pagos_Odoo!$A:$A, MATCH(X575, Pagos_Odoo!$B:$B, 0)), ""))</f>
        <v/>
      </c>
      <c r="AA575" s="79">
        <f>IF(X575="Sin Pago","",IFERROR(INDEX(Pagos_Odoo!$F:$F, MATCH(X575, Pagos_Odoo!$B:$B, 0)), ""))</f>
        <v/>
      </c>
      <c r="AB575" s="81">
        <f>IF(X575="Sin Pago",0,IFERROR(INDEX(Pagos_Odoo!$E:$E, MATCH(X575, Pagos_Odoo!$B:$B, 0)), 0))</f>
        <v/>
      </c>
      <c r="AC575" s="79">
        <f>IF(X575="Sin Pago","",IFERROR(INDEX(Pagos_Odoo!$G:$G, MATCH(X575, Pagos_Odoo!$B:$B, 0)), ""))</f>
        <v/>
      </c>
      <c r="AD575" s="82" t="n">
        <v>0</v>
      </c>
      <c r="AE575" s="82" t="n"/>
      <c r="AF575" s="82" t="n"/>
      <c r="AG575" s="82">
        <f>IF(AN575="","",AD575+AE575+AF575)</f>
        <v/>
      </c>
      <c r="AH575" s="81">
        <f>IF(AN575="","",P575*(1-AG575))</f>
        <v/>
      </c>
      <c r="AI575" s="81">
        <f>IF(AN575="","",IF(Q575="Sin Factura",0,IFERROR(INDEX(Facturas_Odoo!$H:$H, MATCH(Q575, Facturas_Odoo!$B:$B, 0)), 0)*(1-AG575)))</f>
        <v/>
      </c>
      <c r="AJ575" s="81">
        <f>IF(AN575="","",_xlfn.LET(idVenta, AN575&amp;"",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75" s="81">
        <f>IF(AN575="","",AH575-AJ575)</f>
        <v/>
      </c>
      <c r="AL575" s="81">
        <f>IF(AN575="","",IF(Q575="Sin Factura","",AI575-AJ575))</f>
        <v/>
      </c>
      <c r="AM575" s="81">
        <f>IF(AN575="","",IF(Q575="Sin Factura",0,P575-IFERROR(INDEX(Facturas_Odoo!$H:$H, MATCH(Q575, Facturas_Odoo!$B:$B, 0)), 0)))</f>
        <v/>
      </c>
      <c r="AN575" s="79">
        <f>IF(AND(A575="", J575=""), "", IF(A575&lt;&gt;"", VALUE(MID(A575,2,LEN(A575))), AN574))</f>
        <v/>
      </c>
      <c r="AO575" s="79">
        <f>IF(AN575="","",IF(AD575=0,"OK",_xlfn.LET(monedaPago, IF(AA575="","USD",AA575), limitePermitido, IFERROR(VLOOKUP(monedaPago, Configuración!$A$2:$B$3, 2, FALSE), 0.15), IF(AD575&gt;limitePermitido, "ALERTA: EXCESO (" &amp; TEXT(limitePermitido, "0%") &amp; " máx)", "OK"))))</f>
        <v/>
      </c>
      <c r="AP575" s="79">
        <f>IF(AN575="","",IF(AE575=0,"OK",_xlfn.LET(fechaPago, Z575, fechaFactura, R575, diasCredito, IF(E575="Pago inmediato", 0, IFERROR(VALUE(MID(E575, 1, SEARCH(" ", E575)-1)),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75" s="79">
        <f>IF(AN575="","",IF(AND(N575&gt;0, AG575&gt;0), IF(Configuración!$K$2="NO", "ALERTA: DESCUENTO DOBLE NO PERMITIDO", "OK"), "OK"))</f>
        <v/>
      </c>
      <c r="AR575" s="79">
        <f>IF(AN575="","",IF(OR(AO575&lt;&gt;"OK", AP575&lt;&gt;"OK", AQ575&lt;&gt;"OK"), "⚠️ REVISAR", "OK"))</f>
        <v/>
      </c>
    </row>
    <row r="576">
      <c r="A576" s="79">
        <f>IF('Ordenes_Odoo'!A576="","",'Ordenes_Odoo'!A576)</f>
        <v/>
      </c>
      <c r="B576" s="80">
        <f>IF('Ordenes_Odoo'!B576="","",'Ordenes_Odoo'!B576)</f>
        <v/>
      </c>
      <c r="C576" s="79">
        <f>IF('Ordenes_Odoo'!C576="","",'Ordenes_Odoo'!C576)</f>
        <v/>
      </c>
      <c r="D576" s="79">
        <f>IF('Ordenes_Odoo'!D576="","",'Ordenes_Odoo'!D576)</f>
        <v/>
      </c>
      <c r="E576" s="79">
        <f>IF('Ordenes_Odoo'!E576="","",'Ordenes_Odoo'!E576)</f>
        <v/>
      </c>
      <c r="F576" s="79">
        <f>IF('Ordenes_Odoo'!F576="","",'Ordenes_Odoo'!F576)</f>
        <v/>
      </c>
      <c r="G576" s="79">
        <f>IF('Ordenes_Odoo'!G576="","",'Ordenes_Odoo'!G576)</f>
        <v/>
      </c>
      <c r="H576" s="79">
        <f>IF('Ordenes_Odoo'!H576="","",'Ordenes_Odoo'!H576)</f>
        <v/>
      </c>
      <c r="I576" s="79">
        <f>IF('Ordenes_Odoo'!I576="","",'Ordenes_Odoo'!I576)</f>
        <v/>
      </c>
      <c r="J576" s="79">
        <f>IF('Ordenes_Odoo'!J576="","",'Ordenes_Odoo'!J576)</f>
        <v/>
      </c>
      <c r="K576" s="81">
        <f>IF('Ordenes_Odoo'!K576="","",'Ordenes_Odoo'!K576)</f>
        <v/>
      </c>
      <c r="L576" s="81">
        <f>IF('Ordenes_Odoo'!L576="","",'Ordenes_Odoo'!L576)</f>
        <v/>
      </c>
      <c r="M576" s="79">
        <f>IF('Ordenes_Odoo'!M576="","",'Ordenes_Odoo'!M576)</f>
        <v/>
      </c>
      <c r="N576" s="79">
        <f>IF('Ordenes_Odoo'!N576="","",'Ordenes_Odoo'!N576)</f>
        <v/>
      </c>
      <c r="O576" s="81">
        <f>IF('Ordenes_Odoo'!O576="","",'Ordenes_Odoo'!O576)</f>
        <v/>
      </c>
      <c r="P576" s="81">
        <f>IF('Ordenes_Odoo'!P576="","",'Ordenes_Odoo'!P576)</f>
        <v/>
      </c>
      <c r="Q576" s="79">
        <f>IF(A576="","",IFERROR(INDEX(Facturas_Odoo!$B:$B, MATCH(A576, Facturas_Odoo!$D:$D, 0)), "Sin Factura"))</f>
        <v/>
      </c>
      <c r="R576" s="80">
        <f>IF(Q576="Sin Factura","",IFERROR(INDEX(Facturas_Odoo!$A:$A, MATCH(Q576, Facturas_Odoo!$B:$B, 0)), ""))</f>
        <v/>
      </c>
      <c r="S576" s="79">
        <f>IF(Q576="Sin Factura","",IFERROR(_xlfn.XLOOKUP(1, (Facturas_Odoo!$D:$D=A576) * (Facturas_Odoo!$K:$K=I576), Facturas_Odoo!$L:$L, ""), ""))</f>
        <v/>
      </c>
      <c r="T576" s="81">
        <f>IF(Q576="Sin Factura",0,IFERROR(_xlfn.XLOOKUP(1, (Facturas_Odoo!$D:$D=A576) * (Facturas_Odoo!$K:$K=I576), Facturas_Odoo!$M:$M, 0), 0))</f>
        <v/>
      </c>
      <c r="U576" s="79">
        <f>IF(Q576="Sin Factura",0,IFERROR(_xlfn.XLOOKUP(1, (Facturas_Odoo!$D:$D=A576) * (Facturas_Odoo!$K:$K=I576), Facturas_Odoo!$N:$N, 0), 0))</f>
        <v/>
      </c>
      <c r="V576" s="79">
        <f>IF(Q576="Sin Factura",0,IFERROR(_xlfn.XLOOKUP(1, (Facturas_Odoo!$D:$D=A576) * (Facturas_Odoo!$K:$K=I576), Facturas_Odoo!$O:$O, 0), 0))</f>
        <v/>
      </c>
      <c r="W576" s="81">
        <f>IF(Q576="Sin Factura",0,IFERROR(_xlfn.XLOOKUP(1, (Facturas_Odoo!$D:$D=A576) * (Facturas_Odoo!$K:$K=I576), Facturas_Odoo!$Q:$Q, 0), 0))</f>
        <v/>
      </c>
      <c r="X576" s="79">
        <f>IF(OR(Q576="Sin Factura",Q576=""),"",IFERROR(INDEX(Pagos_Odoo!$B:$B, MATCH(Q576, Pagos_Odoo!$I:$I, 0)), "Sin Pago"))</f>
        <v/>
      </c>
      <c r="Y576" s="79">
        <f>IF(X576="Sin Pago","",IFERROR(INDEX(Pagos_Odoo!$C:$C, MATCH(X576, Pagos_Odoo!$B:$B, 0)), ""))</f>
        <v/>
      </c>
      <c r="Z576" s="80">
        <f>IF(X576="Sin Pago","",IFERROR(INDEX(Pagos_Odoo!$A:$A, MATCH(X576, Pagos_Odoo!$B:$B, 0)), ""))</f>
        <v/>
      </c>
      <c r="AA576" s="79">
        <f>IF(X576="Sin Pago","",IFERROR(INDEX(Pagos_Odoo!$F:$F, MATCH(X576, Pagos_Odoo!$B:$B, 0)), ""))</f>
        <v/>
      </c>
      <c r="AB576" s="81">
        <f>IF(X576="Sin Pago",0,IFERROR(INDEX(Pagos_Odoo!$E:$E, MATCH(X576, Pagos_Odoo!$B:$B, 0)), 0))</f>
        <v/>
      </c>
      <c r="AC576" s="79">
        <f>IF(X576="Sin Pago","",IFERROR(INDEX(Pagos_Odoo!$G:$G, MATCH(X576, Pagos_Odoo!$B:$B, 0)), ""))</f>
        <v/>
      </c>
      <c r="AD576" s="82" t="n">
        <v>0</v>
      </c>
      <c r="AE576" s="82" t="n"/>
      <c r="AF576" s="82" t="n"/>
      <c r="AG576" s="82">
        <f>IF(AN576="","",AD576+AE576+AF576)</f>
        <v/>
      </c>
      <c r="AH576" s="81">
        <f>IF(AN576="","",P576*(1-AG576))</f>
        <v/>
      </c>
      <c r="AI576" s="81">
        <f>IF(AN576="","",IF(Q576="Sin Factura",0,IFERROR(INDEX(Facturas_Odoo!$H:$H, MATCH(Q576, Facturas_Odoo!$B:$B, 0)), 0)*(1-AG576)))</f>
        <v/>
      </c>
      <c r="AJ576" s="81">
        <f>IF(AN576="","",_xlfn.LET(idVenta, AN576&amp;"",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76" s="81">
        <f>IF(AN576="","",AH576-AJ576)</f>
        <v/>
      </c>
      <c r="AL576" s="81">
        <f>IF(AN576="","",IF(Q576="Sin Factura","",AI576-AJ576))</f>
        <v/>
      </c>
      <c r="AM576" s="81">
        <f>IF(AN576="","",IF(Q576="Sin Factura",0,P576-IFERROR(INDEX(Facturas_Odoo!$H:$H, MATCH(Q576, Facturas_Odoo!$B:$B, 0)), 0)))</f>
        <v/>
      </c>
      <c r="AN576" s="79">
        <f>IF(AND(A576="", J576=""), "", IF(A576&lt;&gt;"", VALUE(MID(A576,2,LEN(A576))), AN575))</f>
        <v/>
      </c>
      <c r="AO576" s="79">
        <f>IF(AN576="","",IF(AD576=0,"OK",_xlfn.LET(monedaPago, IF(AA576="","USD",AA576), limitePermitido, IFERROR(VLOOKUP(monedaPago, Configuración!$A$2:$B$3, 2, FALSE), 0.15), IF(AD576&gt;limitePermitido, "ALERTA: EXCESO (" &amp; TEXT(limitePermitido, "0%") &amp; " máx)", "OK"))))</f>
        <v/>
      </c>
      <c r="AP576" s="79">
        <f>IF(AN576="","",IF(AE576=0,"OK",_xlfn.LET(fechaPago, Z576, fechaFactura, R576, diasCredito, IF(E576="Pago inmediato", 0, IFERROR(VALUE(MID(E576, 1, SEARCH(" ", E576)-1)),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76" s="79">
        <f>IF(AN576="","",IF(AND(N576&gt;0, AG576&gt;0), IF(Configuración!$K$2="NO", "ALERTA: DESCUENTO DOBLE NO PERMITIDO", "OK"), "OK"))</f>
        <v/>
      </c>
      <c r="AR576" s="79">
        <f>IF(AN576="","",IF(OR(AO576&lt;&gt;"OK", AP576&lt;&gt;"OK", AQ576&lt;&gt;"OK"), "⚠️ REVISAR", "OK"))</f>
        <v/>
      </c>
    </row>
    <row r="577">
      <c r="A577" s="79">
        <f>IF('Ordenes_Odoo'!A577="","",'Ordenes_Odoo'!A577)</f>
        <v/>
      </c>
      <c r="B577" s="80">
        <f>IF('Ordenes_Odoo'!B577="","",'Ordenes_Odoo'!B577)</f>
        <v/>
      </c>
      <c r="C577" s="79">
        <f>IF('Ordenes_Odoo'!C577="","",'Ordenes_Odoo'!C577)</f>
        <v/>
      </c>
      <c r="D577" s="79">
        <f>IF('Ordenes_Odoo'!D577="","",'Ordenes_Odoo'!D577)</f>
        <v/>
      </c>
      <c r="E577" s="79">
        <f>IF('Ordenes_Odoo'!E577="","",'Ordenes_Odoo'!E577)</f>
        <v/>
      </c>
      <c r="F577" s="79">
        <f>IF('Ordenes_Odoo'!F577="","",'Ordenes_Odoo'!F577)</f>
        <v/>
      </c>
      <c r="G577" s="79">
        <f>IF('Ordenes_Odoo'!G577="","",'Ordenes_Odoo'!G577)</f>
        <v/>
      </c>
      <c r="H577" s="79">
        <f>IF('Ordenes_Odoo'!H577="","",'Ordenes_Odoo'!H577)</f>
        <v/>
      </c>
      <c r="I577" s="79">
        <f>IF('Ordenes_Odoo'!I577="","",'Ordenes_Odoo'!I577)</f>
        <v/>
      </c>
      <c r="J577" s="79">
        <f>IF('Ordenes_Odoo'!J577="","",'Ordenes_Odoo'!J577)</f>
        <v/>
      </c>
      <c r="K577" s="81">
        <f>IF('Ordenes_Odoo'!K577="","",'Ordenes_Odoo'!K577)</f>
        <v/>
      </c>
      <c r="L577" s="81">
        <f>IF('Ordenes_Odoo'!L577="","",'Ordenes_Odoo'!L577)</f>
        <v/>
      </c>
      <c r="M577" s="79">
        <f>IF('Ordenes_Odoo'!M577="","",'Ordenes_Odoo'!M577)</f>
        <v/>
      </c>
      <c r="N577" s="79">
        <f>IF('Ordenes_Odoo'!N577="","",'Ordenes_Odoo'!N577)</f>
        <v/>
      </c>
      <c r="O577" s="81">
        <f>IF('Ordenes_Odoo'!O577="","",'Ordenes_Odoo'!O577)</f>
        <v/>
      </c>
      <c r="P577" s="81">
        <f>IF('Ordenes_Odoo'!P577="","",'Ordenes_Odoo'!P577)</f>
        <v/>
      </c>
      <c r="Q577" s="79">
        <f>IF(A577="","",IFERROR(INDEX(Facturas_Odoo!$B:$B, MATCH(A577, Facturas_Odoo!$D:$D, 0)), "Sin Factura"))</f>
        <v/>
      </c>
      <c r="R577" s="80">
        <f>IF(Q577="Sin Factura","",IFERROR(INDEX(Facturas_Odoo!$A:$A, MATCH(Q577, Facturas_Odoo!$B:$B, 0)), ""))</f>
        <v/>
      </c>
      <c r="S577" s="79">
        <f>IF(Q577="Sin Factura","",IFERROR(_xlfn.XLOOKUP(1, (Facturas_Odoo!$D:$D=A577) * (Facturas_Odoo!$K:$K=I577), Facturas_Odoo!$L:$L, ""), ""))</f>
        <v/>
      </c>
      <c r="T577" s="81">
        <f>IF(Q577="Sin Factura",0,IFERROR(_xlfn.XLOOKUP(1, (Facturas_Odoo!$D:$D=A577) * (Facturas_Odoo!$K:$K=I577), Facturas_Odoo!$M:$M, 0), 0))</f>
        <v/>
      </c>
      <c r="U577" s="79">
        <f>IF(Q577="Sin Factura",0,IFERROR(_xlfn.XLOOKUP(1, (Facturas_Odoo!$D:$D=A577) * (Facturas_Odoo!$K:$K=I577), Facturas_Odoo!$N:$N, 0), 0))</f>
        <v/>
      </c>
      <c r="V577" s="79">
        <f>IF(Q577="Sin Factura",0,IFERROR(_xlfn.XLOOKUP(1, (Facturas_Odoo!$D:$D=A577) * (Facturas_Odoo!$K:$K=I577), Facturas_Odoo!$O:$O, 0), 0))</f>
        <v/>
      </c>
      <c r="W577" s="81">
        <f>IF(Q577="Sin Factura",0,IFERROR(_xlfn.XLOOKUP(1, (Facturas_Odoo!$D:$D=A577) * (Facturas_Odoo!$K:$K=I577), Facturas_Odoo!$Q:$Q, 0), 0))</f>
        <v/>
      </c>
      <c r="X577" s="79">
        <f>IF(OR(Q577="Sin Factura",Q577=""),"",IFERROR(INDEX(Pagos_Odoo!$B:$B, MATCH(Q577, Pagos_Odoo!$I:$I, 0)), "Sin Pago"))</f>
        <v/>
      </c>
      <c r="Y577" s="79">
        <f>IF(X577="Sin Pago","",IFERROR(INDEX(Pagos_Odoo!$C:$C, MATCH(X577, Pagos_Odoo!$B:$B, 0)), ""))</f>
        <v/>
      </c>
      <c r="Z577" s="80">
        <f>IF(X577="Sin Pago","",IFERROR(INDEX(Pagos_Odoo!$A:$A, MATCH(X577, Pagos_Odoo!$B:$B, 0)), ""))</f>
        <v/>
      </c>
      <c r="AA577" s="79">
        <f>IF(X577="Sin Pago","",IFERROR(INDEX(Pagos_Odoo!$F:$F, MATCH(X577, Pagos_Odoo!$B:$B, 0)), ""))</f>
        <v/>
      </c>
      <c r="AB577" s="81">
        <f>IF(X577="Sin Pago",0,IFERROR(INDEX(Pagos_Odoo!$E:$E, MATCH(X577, Pagos_Odoo!$B:$B, 0)), 0))</f>
        <v/>
      </c>
      <c r="AC577" s="79">
        <f>IF(X577="Sin Pago","",IFERROR(INDEX(Pagos_Odoo!$G:$G, MATCH(X577, Pagos_Odoo!$B:$B, 0)), ""))</f>
        <v/>
      </c>
      <c r="AD577" s="82" t="n">
        <v>0</v>
      </c>
      <c r="AE577" s="82" t="n"/>
      <c r="AF577" s="82" t="n"/>
      <c r="AG577" s="82">
        <f>IF(AN577="","",AD577+AE577+AF577)</f>
        <v/>
      </c>
      <c r="AH577" s="81">
        <f>IF(AN577="","",P577*(1-AG577))</f>
        <v/>
      </c>
      <c r="AI577" s="81">
        <f>IF(AN577="","",IF(Q577="Sin Factura",0,IFERROR(INDEX(Facturas_Odoo!$H:$H, MATCH(Q577, Facturas_Odoo!$B:$B, 0)), 0)*(1-AG577)))</f>
        <v/>
      </c>
      <c r="AJ577" s="81">
        <f>IF(AN577="","",_xlfn.LET(idVenta, AN577&amp;"",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77" s="81">
        <f>IF(AN577="","",AH577-AJ577)</f>
        <v/>
      </c>
      <c r="AL577" s="81">
        <f>IF(AN577="","",IF(Q577="Sin Factura","",AI577-AJ577))</f>
        <v/>
      </c>
      <c r="AM577" s="81">
        <f>IF(AN577="","",IF(Q577="Sin Factura",0,P577-IFERROR(INDEX(Facturas_Odoo!$H:$H, MATCH(Q577, Facturas_Odoo!$B:$B, 0)), 0)))</f>
        <v/>
      </c>
      <c r="AN577" s="79">
        <f>IF(AND(A577="", J577=""), "", IF(A577&lt;&gt;"", VALUE(MID(A577,2,LEN(A577))), AN576))</f>
        <v/>
      </c>
      <c r="AO577" s="79">
        <f>IF(AN577="","",IF(AD577=0,"OK",_xlfn.LET(monedaPago, IF(AA577="","USD",AA577), limitePermitido, IFERROR(VLOOKUP(monedaPago, Configuración!$A$2:$B$3, 2, FALSE), 0.15), IF(AD577&gt;limitePermitido, "ALERTA: EXCESO (" &amp; TEXT(limitePermitido, "0%") &amp; " máx)", "OK"))))</f>
        <v/>
      </c>
      <c r="AP577" s="79">
        <f>IF(AN577="","",IF(AE577=0,"OK",_xlfn.LET(fechaPago, Z577, fechaFactura, R577, diasCredito, IF(E577="Pago inmediato", 0, IFERROR(VALUE(MID(E577, 1, SEARCH(" ", E577)-1)),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77" s="79">
        <f>IF(AN577="","",IF(AND(N577&gt;0, AG577&gt;0), IF(Configuración!$K$2="NO", "ALERTA: DESCUENTO DOBLE NO PERMITIDO", "OK"), "OK"))</f>
        <v/>
      </c>
      <c r="AR577" s="79">
        <f>IF(AN577="","",IF(OR(AO577&lt;&gt;"OK", AP577&lt;&gt;"OK", AQ577&lt;&gt;"OK"), "⚠️ REVISAR", "OK"))</f>
        <v/>
      </c>
    </row>
    <row r="578">
      <c r="A578" s="79">
        <f>IF('Ordenes_Odoo'!A578="","",'Ordenes_Odoo'!A578)</f>
        <v/>
      </c>
      <c r="B578" s="80">
        <f>IF('Ordenes_Odoo'!B578="","",'Ordenes_Odoo'!B578)</f>
        <v/>
      </c>
      <c r="C578" s="79">
        <f>IF('Ordenes_Odoo'!C578="","",'Ordenes_Odoo'!C578)</f>
        <v/>
      </c>
      <c r="D578" s="79">
        <f>IF('Ordenes_Odoo'!D578="","",'Ordenes_Odoo'!D578)</f>
        <v/>
      </c>
      <c r="E578" s="79">
        <f>IF('Ordenes_Odoo'!E578="","",'Ordenes_Odoo'!E578)</f>
        <v/>
      </c>
      <c r="F578" s="79">
        <f>IF('Ordenes_Odoo'!F578="","",'Ordenes_Odoo'!F578)</f>
        <v/>
      </c>
      <c r="G578" s="79">
        <f>IF('Ordenes_Odoo'!G578="","",'Ordenes_Odoo'!G578)</f>
        <v/>
      </c>
      <c r="H578" s="79">
        <f>IF('Ordenes_Odoo'!H578="","",'Ordenes_Odoo'!H578)</f>
        <v/>
      </c>
      <c r="I578" s="79">
        <f>IF('Ordenes_Odoo'!I578="","",'Ordenes_Odoo'!I578)</f>
        <v/>
      </c>
      <c r="J578" s="79">
        <f>IF('Ordenes_Odoo'!J578="","",'Ordenes_Odoo'!J578)</f>
        <v/>
      </c>
      <c r="K578" s="81">
        <f>IF('Ordenes_Odoo'!K578="","",'Ordenes_Odoo'!K578)</f>
        <v/>
      </c>
      <c r="L578" s="81">
        <f>IF('Ordenes_Odoo'!L578="","",'Ordenes_Odoo'!L578)</f>
        <v/>
      </c>
      <c r="M578" s="79">
        <f>IF('Ordenes_Odoo'!M578="","",'Ordenes_Odoo'!M578)</f>
        <v/>
      </c>
      <c r="N578" s="79">
        <f>IF('Ordenes_Odoo'!N578="","",'Ordenes_Odoo'!N578)</f>
        <v/>
      </c>
      <c r="O578" s="81">
        <f>IF('Ordenes_Odoo'!O578="","",'Ordenes_Odoo'!O578)</f>
        <v/>
      </c>
      <c r="P578" s="81">
        <f>IF('Ordenes_Odoo'!P578="","",'Ordenes_Odoo'!P578)</f>
        <v/>
      </c>
      <c r="Q578" s="79">
        <f>IF(A578="","",IFERROR(INDEX(Facturas_Odoo!$B:$B, MATCH(A578, Facturas_Odoo!$D:$D, 0)), "Sin Factura"))</f>
        <v/>
      </c>
      <c r="R578" s="80">
        <f>IF(Q578="Sin Factura","",IFERROR(INDEX(Facturas_Odoo!$A:$A, MATCH(Q578, Facturas_Odoo!$B:$B, 0)), ""))</f>
        <v/>
      </c>
      <c r="S578" s="79">
        <f>IF(Q578="Sin Factura","",IFERROR(_xlfn.XLOOKUP(1, (Facturas_Odoo!$D:$D=A578) * (Facturas_Odoo!$K:$K=I578), Facturas_Odoo!$L:$L, ""), ""))</f>
        <v/>
      </c>
      <c r="T578" s="81">
        <f>IF(Q578="Sin Factura",0,IFERROR(_xlfn.XLOOKUP(1, (Facturas_Odoo!$D:$D=A578) * (Facturas_Odoo!$K:$K=I578), Facturas_Odoo!$M:$M, 0), 0))</f>
        <v/>
      </c>
      <c r="U578" s="79">
        <f>IF(Q578="Sin Factura",0,IFERROR(_xlfn.XLOOKUP(1, (Facturas_Odoo!$D:$D=A578) * (Facturas_Odoo!$K:$K=I578), Facturas_Odoo!$N:$N, 0), 0))</f>
        <v/>
      </c>
      <c r="V578" s="79">
        <f>IF(Q578="Sin Factura",0,IFERROR(_xlfn.XLOOKUP(1, (Facturas_Odoo!$D:$D=A578) * (Facturas_Odoo!$K:$K=I578), Facturas_Odoo!$O:$O, 0), 0))</f>
        <v/>
      </c>
      <c r="W578" s="81">
        <f>IF(Q578="Sin Factura",0,IFERROR(_xlfn.XLOOKUP(1, (Facturas_Odoo!$D:$D=A578) * (Facturas_Odoo!$K:$K=I578), Facturas_Odoo!$Q:$Q, 0), 0))</f>
        <v/>
      </c>
      <c r="X578" s="79">
        <f>IF(OR(Q578="Sin Factura",Q578=""),"",IFERROR(INDEX(Pagos_Odoo!$B:$B, MATCH(Q578, Pagos_Odoo!$I:$I, 0)), "Sin Pago"))</f>
        <v/>
      </c>
      <c r="Y578" s="79">
        <f>IF(X578="Sin Pago","",IFERROR(INDEX(Pagos_Odoo!$C:$C, MATCH(X578, Pagos_Odoo!$B:$B, 0)), ""))</f>
        <v/>
      </c>
      <c r="Z578" s="80">
        <f>IF(X578="Sin Pago","",IFERROR(INDEX(Pagos_Odoo!$A:$A, MATCH(X578, Pagos_Odoo!$B:$B, 0)), ""))</f>
        <v/>
      </c>
      <c r="AA578" s="79">
        <f>IF(X578="Sin Pago","",IFERROR(INDEX(Pagos_Odoo!$F:$F, MATCH(X578, Pagos_Odoo!$B:$B, 0)), ""))</f>
        <v/>
      </c>
      <c r="AB578" s="81">
        <f>IF(X578="Sin Pago",0,IFERROR(INDEX(Pagos_Odoo!$E:$E, MATCH(X578, Pagos_Odoo!$B:$B, 0)), 0))</f>
        <v/>
      </c>
      <c r="AC578" s="79">
        <f>IF(X578="Sin Pago","",IFERROR(INDEX(Pagos_Odoo!$G:$G, MATCH(X578, Pagos_Odoo!$B:$B, 0)), ""))</f>
        <v/>
      </c>
      <c r="AD578" s="82" t="n">
        <v>0</v>
      </c>
      <c r="AE578" s="82" t="n"/>
      <c r="AF578" s="82" t="n"/>
      <c r="AG578" s="82">
        <f>IF(AN578="","",AD578+AE578+AF578)</f>
        <v/>
      </c>
      <c r="AH578" s="81">
        <f>IF(AN578="","",P578*(1-AG578))</f>
        <v/>
      </c>
      <c r="AI578" s="81">
        <f>IF(AN578="","",IF(Q578="Sin Factura",0,IFERROR(INDEX(Facturas_Odoo!$H:$H, MATCH(Q578, Facturas_Odoo!$B:$B, 0)), 0)*(1-AG578)))</f>
        <v/>
      </c>
      <c r="AJ578" s="81">
        <f>IF(AN578="","",_xlfn.LET(idVenta, AN578&amp;"",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78" s="81">
        <f>IF(AN578="","",AH578-AJ578)</f>
        <v/>
      </c>
      <c r="AL578" s="81">
        <f>IF(AN578="","",IF(Q578="Sin Factura","",AI578-AJ578))</f>
        <v/>
      </c>
      <c r="AM578" s="81">
        <f>IF(AN578="","",IF(Q578="Sin Factura",0,P578-IFERROR(INDEX(Facturas_Odoo!$H:$H, MATCH(Q578, Facturas_Odoo!$B:$B, 0)), 0)))</f>
        <v/>
      </c>
      <c r="AN578" s="79">
        <f>IF(AND(A578="", J578=""), "", IF(A578&lt;&gt;"", VALUE(MID(A578,2,LEN(A578))), AN577))</f>
        <v/>
      </c>
      <c r="AO578" s="79">
        <f>IF(AN578="","",IF(AD578=0,"OK",_xlfn.LET(monedaPago, IF(AA578="","USD",AA578), limitePermitido, IFERROR(VLOOKUP(monedaPago, Configuración!$A$2:$B$3, 2, FALSE), 0.15), IF(AD578&gt;limitePermitido, "ALERTA: EXCESO (" &amp; TEXT(limitePermitido, "0%") &amp; " máx)", "OK"))))</f>
        <v/>
      </c>
      <c r="AP578" s="79">
        <f>IF(AN578="","",IF(AE578=0,"OK",_xlfn.LET(fechaPago, Z578, fechaFactura, R578, diasCredito, IF(E578="Pago inmediato", 0, IFERROR(VALUE(MID(E578, 1, SEARCH(" ", E578)-1)),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78" s="79">
        <f>IF(AN578="","",IF(AND(N578&gt;0, AG578&gt;0), IF(Configuración!$K$2="NO", "ALERTA: DESCUENTO DOBLE NO PERMITIDO", "OK"), "OK"))</f>
        <v/>
      </c>
      <c r="AR578" s="79">
        <f>IF(AN578="","",IF(OR(AO578&lt;&gt;"OK", AP578&lt;&gt;"OK", AQ578&lt;&gt;"OK"), "⚠️ REVISAR", "OK"))</f>
        <v/>
      </c>
    </row>
    <row r="579">
      <c r="A579" s="79">
        <f>IF('Ordenes_Odoo'!A579="","",'Ordenes_Odoo'!A579)</f>
        <v/>
      </c>
      <c r="B579" s="80">
        <f>IF('Ordenes_Odoo'!B579="","",'Ordenes_Odoo'!B579)</f>
        <v/>
      </c>
      <c r="C579" s="79">
        <f>IF('Ordenes_Odoo'!C579="","",'Ordenes_Odoo'!C579)</f>
        <v/>
      </c>
      <c r="D579" s="79">
        <f>IF('Ordenes_Odoo'!D579="","",'Ordenes_Odoo'!D579)</f>
        <v/>
      </c>
      <c r="E579" s="79">
        <f>IF('Ordenes_Odoo'!E579="","",'Ordenes_Odoo'!E579)</f>
        <v/>
      </c>
      <c r="F579" s="79">
        <f>IF('Ordenes_Odoo'!F579="","",'Ordenes_Odoo'!F579)</f>
        <v/>
      </c>
      <c r="G579" s="79">
        <f>IF('Ordenes_Odoo'!G579="","",'Ordenes_Odoo'!G579)</f>
        <v/>
      </c>
      <c r="H579" s="79">
        <f>IF('Ordenes_Odoo'!H579="","",'Ordenes_Odoo'!H579)</f>
        <v/>
      </c>
      <c r="I579" s="79">
        <f>IF('Ordenes_Odoo'!I579="","",'Ordenes_Odoo'!I579)</f>
        <v/>
      </c>
      <c r="J579" s="79">
        <f>IF('Ordenes_Odoo'!J579="","",'Ordenes_Odoo'!J579)</f>
        <v/>
      </c>
      <c r="K579" s="81">
        <f>IF('Ordenes_Odoo'!K579="","",'Ordenes_Odoo'!K579)</f>
        <v/>
      </c>
      <c r="L579" s="81">
        <f>IF('Ordenes_Odoo'!L579="","",'Ordenes_Odoo'!L579)</f>
        <v/>
      </c>
      <c r="M579" s="79">
        <f>IF('Ordenes_Odoo'!M579="","",'Ordenes_Odoo'!M579)</f>
        <v/>
      </c>
      <c r="N579" s="79">
        <f>IF('Ordenes_Odoo'!N579="","",'Ordenes_Odoo'!N579)</f>
        <v/>
      </c>
      <c r="O579" s="81">
        <f>IF('Ordenes_Odoo'!O579="","",'Ordenes_Odoo'!O579)</f>
        <v/>
      </c>
      <c r="P579" s="81">
        <f>IF('Ordenes_Odoo'!P579="","",'Ordenes_Odoo'!P579)</f>
        <v/>
      </c>
      <c r="Q579" s="79">
        <f>IF(A579="","",IFERROR(INDEX(Facturas_Odoo!$B:$B, MATCH(A579, Facturas_Odoo!$D:$D, 0)), "Sin Factura"))</f>
        <v/>
      </c>
      <c r="R579" s="80">
        <f>IF(Q579="Sin Factura","",IFERROR(INDEX(Facturas_Odoo!$A:$A, MATCH(Q579, Facturas_Odoo!$B:$B, 0)), ""))</f>
        <v/>
      </c>
      <c r="S579" s="79">
        <f>IF(Q579="Sin Factura","",IFERROR(_xlfn.XLOOKUP(1, (Facturas_Odoo!$D:$D=A579) * (Facturas_Odoo!$K:$K=I579), Facturas_Odoo!$L:$L, ""), ""))</f>
        <v/>
      </c>
      <c r="T579" s="81">
        <f>IF(Q579="Sin Factura",0,IFERROR(_xlfn.XLOOKUP(1, (Facturas_Odoo!$D:$D=A579) * (Facturas_Odoo!$K:$K=I579), Facturas_Odoo!$M:$M, 0), 0))</f>
        <v/>
      </c>
      <c r="U579" s="79">
        <f>IF(Q579="Sin Factura",0,IFERROR(_xlfn.XLOOKUP(1, (Facturas_Odoo!$D:$D=A579) * (Facturas_Odoo!$K:$K=I579), Facturas_Odoo!$N:$N, 0), 0))</f>
        <v/>
      </c>
      <c r="V579" s="79">
        <f>IF(Q579="Sin Factura",0,IFERROR(_xlfn.XLOOKUP(1, (Facturas_Odoo!$D:$D=A579) * (Facturas_Odoo!$K:$K=I579), Facturas_Odoo!$O:$O, 0), 0))</f>
        <v/>
      </c>
      <c r="W579" s="81">
        <f>IF(Q579="Sin Factura",0,IFERROR(_xlfn.XLOOKUP(1, (Facturas_Odoo!$D:$D=A579) * (Facturas_Odoo!$K:$K=I579), Facturas_Odoo!$Q:$Q, 0), 0))</f>
        <v/>
      </c>
      <c r="X579" s="79">
        <f>IF(OR(Q579="Sin Factura",Q579=""),"",IFERROR(INDEX(Pagos_Odoo!$B:$B, MATCH(Q579, Pagos_Odoo!$I:$I, 0)), "Sin Pago"))</f>
        <v/>
      </c>
      <c r="Y579" s="79">
        <f>IF(X579="Sin Pago","",IFERROR(INDEX(Pagos_Odoo!$C:$C, MATCH(X579, Pagos_Odoo!$B:$B, 0)), ""))</f>
        <v/>
      </c>
      <c r="Z579" s="80">
        <f>IF(X579="Sin Pago","",IFERROR(INDEX(Pagos_Odoo!$A:$A, MATCH(X579, Pagos_Odoo!$B:$B, 0)), ""))</f>
        <v/>
      </c>
      <c r="AA579" s="79">
        <f>IF(X579="Sin Pago","",IFERROR(INDEX(Pagos_Odoo!$F:$F, MATCH(X579, Pagos_Odoo!$B:$B, 0)), ""))</f>
        <v/>
      </c>
      <c r="AB579" s="81">
        <f>IF(X579="Sin Pago",0,IFERROR(INDEX(Pagos_Odoo!$E:$E, MATCH(X579, Pagos_Odoo!$B:$B, 0)), 0))</f>
        <v/>
      </c>
      <c r="AC579" s="79">
        <f>IF(X579="Sin Pago","",IFERROR(INDEX(Pagos_Odoo!$G:$G, MATCH(X579, Pagos_Odoo!$B:$B, 0)), ""))</f>
        <v/>
      </c>
      <c r="AD579" s="82" t="n">
        <v>0</v>
      </c>
      <c r="AE579" s="82" t="n"/>
      <c r="AF579" s="82" t="n"/>
      <c r="AG579" s="82">
        <f>IF(AN579="","",AD579+AE579+AF579)</f>
        <v/>
      </c>
      <c r="AH579" s="81">
        <f>IF(AN579="","",P579*(1-AG579))</f>
        <v/>
      </c>
      <c r="AI579" s="81">
        <f>IF(AN579="","",IF(Q579="Sin Factura",0,IFERROR(INDEX(Facturas_Odoo!$H:$H, MATCH(Q579, Facturas_Odoo!$B:$B, 0)), 0)*(1-AG579)))</f>
        <v/>
      </c>
      <c r="AJ579" s="81">
        <f>IF(AN579="","",_xlfn.LET(idVenta, AN579&amp;"",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79" s="81">
        <f>IF(AN579="","",AH579-AJ579)</f>
        <v/>
      </c>
      <c r="AL579" s="81">
        <f>IF(AN579="","",IF(Q579="Sin Factura","",AI579-AJ579))</f>
        <v/>
      </c>
      <c r="AM579" s="81">
        <f>IF(AN579="","",IF(Q579="Sin Factura",0,P579-IFERROR(INDEX(Facturas_Odoo!$H:$H, MATCH(Q579, Facturas_Odoo!$B:$B, 0)), 0)))</f>
        <v/>
      </c>
      <c r="AN579" s="79">
        <f>IF(AND(A579="", J579=""), "", IF(A579&lt;&gt;"", VALUE(MID(A579,2,LEN(A579))), AN578))</f>
        <v/>
      </c>
      <c r="AO579" s="79">
        <f>IF(AN579="","",IF(AD579=0,"OK",_xlfn.LET(monedaPago, IF(AA579="","USD",AA579), limitePermitido, IFERROR(VLOOKUP(monedaPago, Configuración!$A$2:$B$3, 2, FALSE), 0.15), IF(AD579&gt;limitePermitido, "ALERTA: EXCESO (" &amp; TEXT(limitePermitido, "0%") &amp; " máx)", "OK"))))</f>
        <v/>
      </c>
      <c r="AP579" s="79">
        <f>IF(AN579="","",IF(AE579=0,"OK",_xlfn.LET(fechaPago, Z579, fechaFactura, R579, diasCredito, IF(E579="Pago inmediato", 0, IFERROR(VALUE(MID(E579, 1, SEARCH(" ", E579)-1)),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79" s="79">
        <f>IF(AN579="","",IF(AND(N579&gt;0, AG579&gt;0), IF(Configuración!$K$2="NO", "ALERTA: DESCUENTO DOBLE NO PERMITIDO", "OK"), "OK"))</f>
        <v/>
      </c>
      <c r="AR579" s="79">
        <f>IF(AN579="","",IF(OR(AO579&lt;&gt;"OK", AP579&lt;&gt;"OK", AQ579&lt;&gt;"OK"), "⚠️ REVISAR", "OK"))</f>
        <v/>
      </c>
    </row>
    <row r="580">
      <c r="A580" s="79">
        <f>IF('Ordenes_Odoo'!A580="","",'Ordenes_Odoo'!A580)</f>
        <v/>
      </c>
      <c r="B580" s="80">
        <f>IF('Ordenes_Odoo'!B580="","",'Ordenes_Odoo'!B580)</f>
        <v/>
      </c>
      <c r="C580" s="79">
        <f>IF('Ordenes_Odoo'!C580="","",'Ordenes_Odoo'!C580)</f>
        <v/>
      </c>
      <c r="D580" s="79">
        <f>IF('Ordenes_Odoo'!D580="","",'Ordenes_Odoo'!D580)</f>
        <v/>
      </c>
      <c r="E580" s="79">
        <f>IF('Ordenes_Odoo'!E580="","",'Ordenes_Odoo'!E580)</f>
        <v/>
      </c>
      <c r="F580" s="79">
        <f>IF('Ordenes_Odoo'!F580="","",'Ordenes_Odoo'!F580)</f>
        <v/>
      </c>
      <c r="G580" s="79">
        <f>IF('Ordenes_Odoo'!G580="","",'Ordenes_Odoo'!G580)</f>
        <v/>
      </c>
      <c r="H580" s="79">
        <f>IF('Ordenes_Odoo'!H580="","",'Ordenes_Odoo'!H580)</f>
        <v/>
      </c>
      <c r="I580" s="79">
        <f>IF('Ordenes_Odoo'!I580="","",'Ordenes_Odoo'!I580)</f>
        <v/>
      </c>
      <c r="J580" s="79">
        <f>IF('Ordenes_Odoo'!J580="","",'Ordenes_Odoo'!J580)</f>
        <v/>
      </c>
      <c r="K580" s="81">
        <f>IF('Ordenes_Odoo'!K580="","",'Ordenes_Odoo'!K580)</f>
        <v/>
      </c>
      <c r="L580" s="81">
        <f>IF('Ordenes_Odoo'!L580="","",'Ordenes_Odoo'!L580)</f>
        <v/>
      </c>
      <c r="M580" s="79">
        <f>IF('Ordenes_Odoo'!M580="","",'Ordenes_Odoo'!M580)</f>
        <v/>
      </c>
      <c r="N580" s="79">
        <f>IF('Ordenes_Odoo'!N580="","",'Ordenes_Odoo'!N580)</f>
        <v/>
      </c>
      <c r="O580" s="81">
        <f>IF('Ordenes_Odoo'!O580="","",'Ordenes_Odoo'!O580)</f>
        <v/>
      </c>
      <c r="P580" s="81">
        <f>IF('Ordenes_Odoo'!P580="","",'Ordenes_Odoo'!P580)</f>
        <v/>
      </c>
      <c r="Q580" s="79">
        <f>IF(A580="","",IFERROR(INDEX(Facturas_Odoo!$B:$B, MATCH(A580, Facturas_Odoo!$D:$D, 0)), "Sin Factura"))</f>
        <v/>
      </c>
      <c r="R580" s="80">
        <f>IF(Q580="Sin Factura","",IFERROR(INDEX(Facturas_Odoo!$A:$A, MATCH(Q580, Facturas_Odoo!$B:$B, 0)), ""))</f>
        <v/>
      </c>
      <c r="S580" s="79">
        <f>IF(Q580="Sin Factura","",IFERROR(_xlfn.XLOOKUP(1, (Facturas_Odoo!$D:$D=A580) * (Facturas_Odoo!$K:$K=I580), Facturas_Odoo!$L:$L, ""), ""))</f>
        <v/>
      </c>
      <c r="T580" s="81">
        <f>IF(Q580="Sin Factura",0,IFERROR(_xlfn.XLOOKUP(1, (Facturas_Odoo!$D:$D=A580) * (Facturas_Odoo!$K:$K=I580), Facturas_Odoo!$M:$M, 0), 0))</f>
        <v/>
      </c>
      <c r="U580" s="79">
        <f>IF(Q580="Sin Factura",0,IFERROR(_xlfn.XLOOKUP(1, (Facturas_Odoo!$D:$D=A580) * (Facturas_Odoo!$K:$K=I580), Facturas_Odoo!$N:$N, 0), 0))</f>
        <v/>
      </c>
      <c r="V580" s="79">
        <f>IF(Q580="Sin Factura",0,IFERROR(_xlfn.XLOOKUP(1, (Facturas_Odoo!$D:$D=A580) * (Facturas_Odoo!$K:$K=I580), Facturas_Odoo!$O:$O, 0), 0))</f>
        <v/>
      </c>
      <c r="W580" s="81">
        <f>IF(Q580="Sin Factura",0,IFERROR(_xlfn.XLOOKUP(1, (Facturas_Odoo!$D:$D=A580) * (Facturas_Odoo!$K:$K=I580), Facturas_Odoo!$Q:$Q, 0), 0))</f>
        <v/>
      </c>
      <c r="X580" s="79">
        <f>IF(OR(Q580="Sin Factura",Q580=""),"",IFERROR(INDEX(Pagos_Odoo!$B:$B, MATCH(Q580, Pagos_Odoo!$I:$I, 0)), "Sin Pago"))</f>
        <v/>
      </c>
      <c r="Y580" s="79">
        <f>IF(X580="Sin Pago","",IFERROR(INDEX(Pagos_Odoo!$C:$C, MATCH(X580, Pagos_Odoo!$B:$B, 0)), ""))</f>
        <v/>
      </c>
      <c r="Z580" s="80">
        <f>IF(X580="Sin Pago","",IFERROR(INDEX(Pagos_Odoo!$A:$A, MATCH(X580, Pagos_Odoo!$B:$B, 0)), ""))</f>
        <v/>
      </c>
      <c r="AA580" s="79">
        <f>IF(X580="Sin Pago","",IFERROR(INDEX(Pagos_Odoo!$F:$F, MATCH(X580, Pagos_Odoo!$B:$B, 0)), ""))</f>
        <v/>
      </c>
      <c r="AB580" s="81">
        <f>IF(X580="Sin Pago",0,IFERROR(INDEX(Pagos_Odoo!$E:$E, MATCH(X580, Pagos_Odoo!$B:$B, 0)), 0))</f>
        <v/>
      </c>
      <c r="AC580" s="79">
        <f>IF(X580="Sin Pago","",IFERROR(INDEX(Pagos_Odoo!$G:$G, MATCH(X580, Pagos_Odoo!$B:$B, 0)), ""))</f>
        <v/>
      </c>
      <c r="AD580" s="82" t="n">
        <v>0</v>
      </c>
      <c r="AE580" s="82" t="n"/>
      <c r="AF580" s="82" t="n"/>
      <c r="AG580" s="82">
        <f>IF(AN580="","",AD580+AE580+AF580)</f>
        <v/>
      </c>
      <c r="AH580" s="81">
        <f>IF(AN580="","",P580*(1-AG580))</f>
        <v/>
      </c>
      <c r="AI580" s="81">
        <f>IF(AN580="","",IF(Q580="Sin Factura",0,IFERROR(INDEX(Facturas_Odoo!$H:$H, MATCH(Q580, Facturas_Odoo!$B:$B, 0)), 0)*(1-AG580)))</f>
        <v/>
      </c>
      <c r="AJ580" s="81">
        <f>IF(AN580="","",_xlfn.LET(idVenta, AN580&amp;"",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80" s="81">
        <f>IF(AN580="","",AH580-AJ580)</f>
        <v/>
      </c>
      <c r="AL580" s="81">
        <f>IF(AN580="","",IF(Q580="Sin Factura","",AI580-AJ580))</f>
        <v/>
      </c>
      <c r="AM580" s="81">
        <f>IF(AN580="","",IF(Q580="Sin Factura",0,P580-IFERROR(INDEX(Facturas_Odoo!$H:$H, MATCH(Q580, Facturas_Odoo!$B:$B, 0)), 0)))</f>
        <v/>
      </c>
      <c r="AN580" s="79">
        <f>IF(AND(A580="", J580=""), "", IF(A580&lt;&gt;"", VALUE(MID(A580,2,LEN(A580))), AN579))</f>
        <v/>
      </c>
      <c r="AO580" s="79">
        <f>IF(AN580="","",IF(AD580=0,"OK",_xlfn.LET(monedaPago, IF(AA580="","USD",AA580), limitePermitido, IFERROR(VLOOKUP(monedaPago, Configuración!$A$2:$B$3, 2, FALSE), 0.15), IF(AD580&gt;limitePermitido, "ALERTA: EXCESO (" &amp; TEXT(limitePermitido, "0%") &amp; " máx)", "OK"))))</f>
        <v/>
      </c>
      <c r="AP580" s="79">
        <f>IF(AN580="","",IF(AE580=0,"OK",_xlfn.LET(fechaPago, Z580, fechaFactura, R580, diasCredito, IF(E580="Pago inmediato", 0, IFERROR(VALUE(MID(E580, 1, SEARCH(" ", E580)-1)),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80" s="79">
        <f>IF(AN580="","",IF(AND(N580&gt;0, AG580&gt;0), IF(Configuración!$K$2="NO", "ALERTA: DESCUENTO DOBLE NO PERMITIDO", "OK"), "OK"))</f>
        <v/>
      </c>
      <c r="AR580" s="79">
        <f>IF(AN580="","",IF(OR(AO580&lt;&gt;"OK", AP580&lt;&gt;"OK", AQ580&lt;&gt;"OK"), "⚠️ REVISAR", "OK"))</f>
        <v/>
      </c>
    </row>
    <row r="581">
      <c r="A581" s="79">
        <f>IF('Ordenes_Odoo'!A581="","",'Ordenes_Odoo'!A581)</f>
        <v/>
      </c>
      <c r="B581" s="80">
        <f>IF('Ordenes_Odoo'!B581="","",'Ordenes_Odoo'!B581)</f>
        <v/>
      </c>
      <c r="C581" s="79">
        <f>IF('Ordenes_Odoo'!C581="","",'Ordenes_Odoo'!C581)</f>
        <v/>
      </c>
      <c r="D581" s="79">
        <f>IF('Ordenes_Odoo'!D581="","",'Ordenes_Odoo'!D581)</f>
        <v/>
      </c>
      <c r="E581" s="79">
        <f>IF('Ordenes_Odoo'!E581="","",'Ordenes_Odoo'!E581)</f>
        <v/>
      </c>
      <c r="F581" s="79">
        <f>IF('Ordenes_Odoo'!F581="","",'Ordenes_Odoo'!F581)</f>
        <v/>
      </c>
      <c r="G581" s="79">
        <f>IF('Ordenes_Odoo'!G581="","",'Ordenes_Odoo'!G581)</f>
        <v/>
      </c>
      <c r="H581" s="79">
        <f>IF('Ordenes_Odoo'!H581="","",'Ordenes_Odoo'!H581)</f>
        <v/>
      </c>
      <c r="I581" s="79">
        <f>IF('Ordenes_Odoo'!I581="","",'Ordenes_Odoo'!I581)</f>
        <v/>
      </c>
      <c r="J581" s="79">
        <f>IF('Ordenes_Odoo'!J581="","",'Ordenes_Odoo'!J581)</f>
        <v/>
      </c>
      <c r="K581" s="81">
        <f>IF('Ordenes_Odoo'!K581="","",'Ordenes_Odoo'!K581)</f>
        <v/>
      </c>
      <c r="L581" s="81">
        <f>IF('Ordenes_Odoo'!L581="","",'Ordenes_Odoo'!L581)</f>
        <v/>
      </c>
      <c r="M581" s="79">
        <f>IF('Ordenes_Odoo'!M581="","",'Ordenes_Odoo'!M581)</f>
        <v/>
      </c>
      <c r="N581" s="79">
        <f>IF('Ordenes_Odoo'!N581="","",'Ordenes_Odoo'!N581)</f>
        <v/>
      </c>
      <c r="O581" s="81">
        <f>IF('Ordenes_Odoo'!O581="","",'Ordenes_Odoo'!O581)</f>
        <v/>
      </c>
      <c r="P581" s="81">
        <f>IF('Ordenes_Odoo'!P581="","",'Ordenes_Odoo'!P581)</f>
        <v/>
      </c>
      <c r="Q581" s="79">
        <f>IF(A581="","",IFERROR(INDEX(Facturas_Odoo!$B:$B, MATCH(A581, Facturas_Odoo!$D:$D, 0)), "Sin Factura"))</f>
        <v/>
      </c>
      <c r="R581" s="80">
        <f>IF(Q581="Sin Factura","",IFERROR(INDEX(Facturas_Odoo!$A:$A, MATCH(Q581, Facturas_Odoo!$B:$B, 0)), ""))</f>
        <v/>
      </c>
      <c r="S581" s="79">
        <f>IF(Q581="Sin Factura","",IFERROR(_xlfn.XLOOKUP(1, (Facturas_Odoo!$D:$D=A581) * (Facturas_Odoo!$K:$K=I581), Facturas_Odoo!$L:$L, ""), ""))</f>
        <v/>
      </c>
      <c r="T581" s="81">
        <f>IF(Q581="Sin Factura",0,IFERROR(_xlfn.XLOOKUP(1, (Facturas_Odoo!$D:$D=A581) * (Facturas_Odoo!$K:$K=I581), Facturas_Odoo!$M:$M, 0), 0))</f>
        <v/>
      </c>
      <c r="U581" s="79">
        <f>IF(Q581="Sin Factura",0,IFERROR(_xlfn.XLOOKUP(1, (Facturas_Odoo!$D:$D=A581) * (Facturas_Odoo!$K:$K=I581), Facturas_Odoo!$N:$N, 0), 0))</f>
        <v/>
      </c>
      <c r="V581" s="79">
        <f>IF(Q581="Sin Factura",0,IFERROR(_xlfn.XLOOKUP(1, (Facturas_Odoo!$D:$D=A581) * (Facturas_Odoo!$K:$K=I581), Facturas_Odoo!$O:$O, 0), 0))</f>
        <v/>
      </c>
      <c r="W581" s="81">
        <f>IF(Q581="Sin Factura",0,IFERROR(_xlfn.XLOOKUP(1, (Facturas_Odoo!$D:$D=A581) * (Facturas_Odoo!$K:$K=I581), Facturas_Odoo!$Q:$Q, 0), 0))</f>
        <v/>
      </c>
      <c r="X581" s="79">
        <f>IF(OR(Q581="Sin Factura",Q581=""),"",IFERROR(INDEX(Pagos_Odoo!$B:$B, MATCH(Q581, Pagos_Odoo!$I:$I, 0)), "Sin Pago"))</f>
        <v/>
      </c>
      <c r="Y581" s="79">
        <f>IF(X581="Sin Pago","",IFERROR(INDEX(Pagos_Odoo!$C:$C, MATCH(X581, Pagos_Odoo!$B:$B, 0)), ""))</f>
        <v/>
      </c>
      <c r="Z581" s="80">
        <f>IF(X581="Sin Pago","",IFERROR(INDEX(Pagos_Odoo!$A:$A, MATCH(X581, Pagos_Odoo!$B:$B, 0)), ""))</f>
        <v/>
      </c>
      <c r="AA581" s="79">
        <f>IF(X581="Sin Pago","",IFERROR(INDEX(Pagos_Odoo!$F:$F, MATCH(X581, Pagos_Odoo!$B:$B, 0)), ""))</f>
        <v/>
      </c>
      <c r="AB581" s="81">
        <f>IF(X581="Sin Pago",0,IFERROR(INDEX(Pagos_Odoo!$E:$E, MATCH(X581, Pagos_Odoo!$B:$B, 0)), 0))</f>
        <v/>
      </c>
      <c r="AC581" s="79">
        <f>IF(X581="Sin Pago","",IFERROR(INDEX(Pagos_Odoo!$G:$G, MATCH(X581, Pagos_Odoo!$B:$B, 0)), ""))</f>
        <v/>
      </c>
      <c r="AD581" s="82" t="n">
        <v>0</v>
      </c>
      <c r="AE581" s="82" t="n"/>
      <c r="AF581" s="82" t="n"/>
      <c r="AG581" s="82">
        <f>IF(AN581="","",AD581+AE581+AF581)</f>
        <v/>
      </c>
      <c r="AH581" s="81">
        <f>IF(AN581="","",P581*(1-AG581))</f>
        <v/>
      </c>
      <c r="AI581" s="81">
        <f>IF(AN581="","",IF(Q581="Sin Factura",0,IFERROR(INDEX(Facturas_Odoo!$H:$H, MATCH(Q581, Facturas_Odoo!$B:$B, 0)), 0)*(1-AG581)))</f>
        <v/>
      </c>
      <c r="AJ581" s="81">
        <f>IF(AN581="","",_xlfn.LET(idVenta, AN581&amp;"",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81" s="81">
        <f>IF(AN581="","",AH581-AJ581)</f>
        <v/>
      </c>
      <c r="AL581" s="81">
        <f>IF(AN581="","",IF(Q581="Sin Factura","",AI581-AJ581))</f>
        <v/>
      </c>
      <c r="AM581" s="81">
        <f>IF(AN581="","",IF(Q581="Sin Factura",0,P581-IFERROR(INDEX(Facturas_Odoo!$H:$H, MATCH(Q581, Facturas_Odoo!$B:$B, 0)), 0)))</f>
        <v/>
      </c>
      <c r="AN581" s="79">
        <f>IF(AND(A581="", J581=""), "", IF(A581&lt;&gt;"", VALUE(MID(A581,2,LEN(A581))), AN580))</f>
        <v/>
      </c>
      <c r="AO581" s="79">
        <f>IF(AN581="","",IF(AD581=0,"OK",_xlfn.LET(monedaPago, IF(AA581="","USD",AA581), limitePermitido, IFERROR(VLOOKUP(monedaPago, Configuración!$A$2:$B$3, 2, FALSE), 0.15), IF(AD581&gt;limitePermitido, "ALERTA: EXCESO (" &amp; TEXT(limitePermitido, "0%") &amp; " máx)", "OK"))))</f>
        <v/>
      </c>
      <c r="AP581" s="79">
        <f>IF(AN581="","",IF(AE581=0,"OK",_xlfn.LET(fechaPago, Z581, fechaFactura, R581, diasCredito, IF(E581="Pago inmediato", 0, IFERROR(VALUE(MID(E581, 1, SEARCH(" ", E581)-1)),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81" s="79">
        <f>IF(AN581="","",IF(AND(N581&gt;0, AG581&gt;0), IF(Configuración!$K$2="NO", "ALERTA: DESCUENTO DOBLE NO PERMITIDO", "OK"), "OK"))</f>
        <v/>
      </c>
      <c r="AR581" s="79">
        <f>IF(AN581="","",IF(OR(AO581&lt;&gt;"OK", AP581&lt;&gt;"OK", AQ581&lt;&gt;"OK"), "⚠️ REVISAR", "OK"))</f>
        <v/>
      </c>
    </row>
    <row r="582">
      <c r="A582" s="79">
        <f>IF('Ordenes_Odoo'!A582="","",'Ordenes_Odoo'!A582)</f>
        <v/>
      </c>
      <c r="B582" s="80">
        <f>IF('Ordenes_Odoo'!B582="","",'Ordenes_Odoo'!B582)</f>
        <v/>
      </c>
      <c r="C582" s="79">
        <f>IF('Ordenes_Odoo'!C582="","",'Ordenes_Odoo'!C582)</f>
        <v/>
      </c>
      <c r="D582" s="79">
        <f>IF('Ordenes_Odoo'!D582="","",'Ordenes_Odoo'!D582)</f>
        <v/>
      </c>
      <c r="E582" s="79">
        <f>IF('Ordenes_Odoo'!E582="","",'Ordenes_Odoo'!E582)</f>
        <v/>
      </c>
      <c r="F582" s="79">
        <f>IF('Ordenes_Odoo'!F582="","",'Ordenes_Odoo'!F582)</f>
        <v/>
      </c>
      <c r="G582" s="79">
        <f>IF('Ordenes_Odoo'!G582="","",'Ordenes_Odoo'!G582)</f>
        <v/>
      </c>
      <c r="H582" s="79">
        <f>IF('Ordenes_Odoo'!H582="","",'Ordenes_Odoo'!H582)</f>
        <v/>
      </c>
      <c r="I582" s="79">
        <f>IF('Ordenes_Odoo'!I582="","",'Ordenes_Odoo'!I582)</f>
        <v/>
      </c>
      <c r="J582" s="79">
        <f>IF('Ordenes_Odoo'!J582="","",'Ordenes_Odoo'!J582)</f>
        <v/>
      </c>
      <c r="K582" s="81">
        <f>IF('Ordenes_Odoo'!K582="","",'Ordenes_Odoo'!K582)</f>
        <v/>
      </c>
      <c r="L582" s="81">
        <f>IF('Ordenes_Odoo'!L582="","",'Ordenes_Odoo'!L582)</f>
        <v/>
      </c>
      <c r="M582" s="79">
        <f>IF('Ordenes_Odoo'!M582="","",'Ordenes_Odoo'!M582)</f>
        <v/>
      </c>
      <c r="N582" s="79">
        <f>IF('Ordenes_Odoo'!N582="","",'Ordenes_Odoo'!N582)</f>
        <v/>
      </c>
      <c r="O582" s="81">
        <f>IF('Ordenes_Odoo'!O582="","",'Ordenes_Odoo'!O582)</f>
        <v/>
      </c>
      <c r="P582" s="81">
        <f>IF('Ordenes_Odoo'!P582="","",'Ordenes_Odoo'!P582)</f>
        <v/>
      </c>
      <c r="Q582" s="79">
        <f>IF(A582="","",IFERROR(INDEX(Facturas_Odoo!$B:$B, MATCH(A582, Facturas_Odoo!$D:$D, 0)), "Sin Factura"))</f>
        <v/>
      </c>
      <c r="R582" s="80">
        <f>IF(Q582="Sin Factura","",IFERROR(INDEX(Facturas_Odoo!$A:$A, MATCH(Q582, Facturas_Odoo!$B:$B, 0)), ""))</f>
        <v/>
      </c>
      <c r="S582" s="79">
        <f>IF(Q582="Sin Factura","",IFERROR(_xlfn.XLOOKUP(1, (Facturas_Odoo!$D:$D=A582) * (Facturas_Odoo!$K:$K=I582), Facturas_Odoo!$L:$L, ""), ""))</f>
        <v/>
      </c>
      <c r="T582" s="81">
        <f>IF(Q582="Sin Factura",0,IFERROR(_xlfn.XLOOKUP(1, (Facturas_Odoo!$D:$D=A582) * (Facturas_Odoo!$K:$K=I582), Facturas_Odoo!$M:$M, 0), 0))</f>
        <v/>
      </c>
      <c r="U582" s="79">
        <f>IF(Q582="Sin Factura",0,IFERROR(_xlfn.XLOOKUP(1, (Facturas_Odoo!$D:$D=A582) * (Facturas_Odoo!$K:$K=I582), Facturas_Odoo!$N:$N, 0), 0))</f>
        <v/>
      </c>
      <c r="V582" s="79">
        <f>IF(Q582="Sin Factura",0,IFERROR(_xlfn.XLOOKUP(1, (Facturas_Odoo!$D:$D=A582) * (Facturas_Odoo!$K:$K=I582), Facturas_Odoo!$O:$O, 0), 0))</f>
        <v/>
      </c>
      <c r="W582" s="81">
        <f>IF(Q582="Sin Factura",0,IFERROR(_xlfn.XLOOKUP(1, (Facturas_Odoo!$D:$D=A582) * (Facturas_Odoo!$K:$K=I582), Facturas_Odoo!$Q:$Q, 0), 0))</f>
        <v/>
      </c>
      <c r="X582" s="79">
        <f>IF(OR(Q582="Sin Factura",Q582=""),"",IFERROR(INDEX(Pagos_Odoo!$B:$B, MATCH(Q582, Pagos_Odoo!$I:$I, 0)), "Sin Pago"))</f>
        <v/>
      </c>
      <c r="Y582" s="79">
        <f>IF(X582="Sin Pago","",IFERROR(INDEX(Pagos_Odoo!$C:$C, MATCH(X582, Pagos_Odoo!$B:$B, 0)), ""))</f>
        <v/>
      </c>
      <c r="Z582" s="80">
        <f>IF(X582="Sin Pago","",IFERROR(INDEX(Pagos_Odoo!$A:$A, MATCH(X582, Pagos_Odoo!$B:$B, 0)), ""))</f>
        <v/>
      </c>
      <c r="AA582" s="79">
        <f>IF(X582="Sin Pago","",IFERROR(INDEX(Pagos_Odoo!$F:$F, MATCH(X582, Pagos_Odoo!$B:$B, 0)), ""))</f>
        <v/>
      </c>
      <c r="AB582" s="81">
        <f>IF(X582="Sin Pago",0,IFERROR(INDEX(Pagos_Odoo!$E:$E, MATCH(X582, Pagos_Odoo!$B:$B, 0)), 0))</f>
        <v/>
      </c>
      <c r="AC582" s="79">
        <f>IF(X582="Sin Pago","",IFERROR(INDEX(Pagos_Odoo!$G:$G, MATCH(X582, Pagos_Odoo!$B:$B, 0)), ""))</f>
        <v/>
      </c>
      <c r="AD582" s="82" t="n">
        <v>0</v>
      </c>
      <c r="AE582" s="82" t="n"/>
      <c r="AF582" s="82" t="n"/>
      <c r="AG582" s="82">
        <f>IF(AN582="","",AD582+AE582+AF582)</f>
        <v/>
      </c>
      <c r="AH582" s="81">
        <f>IF(AN582="","",P582*(1-AG582))</f>
        <v/>
      </c>
      <c r="AI582" s="81">
        <f>IF(AN582="","",IF(Q582="Sin Factura",0,IFERROR(INDEX(Facturas_Odoo!$H:$H, MATCH(Q582, Facturas_Odoo!$B:$B, 0)), 0)*(1-AG582)))</f>
        <v/>
      </c>
      <c r="AJ582" s="81">
        <f>IF(AN582="","",_xlfn.LET(idVenta, AN582&amp;"",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82" s="81">
        <f>IF(AN582="","",AH582-AJ582)</f>
        <v/>
      </c>
      <c r="AL582" s="81">
        <f>IF(AN582="","",IF(Q582="Sin Factura","",AI582-AJ582))</f>
        <v/>
      </c>
      <c r="AM582" s="81">
        <f>IF(AN582="","",IF(Q582="Sin Factura",0,P582-IFERROR(INDEX(Facturas_Odoo!$H:$H, MATCH(Q582, Facturas_Odoo!$B:$B, 0)), 0)))</f>
        <v/>
      </c>
      <c r="AN582" s="79">
        <f>IF(AND(A582="", J582=""), "", IF(A582&lt;&gt;"", VALUE(MID(A582,2,LEN(A582))), AN581))</f>
        <v/>
      </c>
      <c r="AO582" s="79">
        <f>IF(AN582="","",IF(AD582=0,"OK",_xlfn.LET(monedaPago, IF(AA582="","USD",AA582), limitePermitido, IFERROR(VLOOKUP(monedaPago, Configuración!$A$2:$B$3, 2, FALSE), 0.15), IF(AD582&gt;limitePermitido, "ALERTA: EXCESO (" &amp; TEXT(limitePermitido, "0%") &amp; " máx)", "OK"))))</f>
        <v/>
      </c>
      <c r="AP582" s="79">
        <f>IF(AN582="","",IF(AE582=0,"OK",_xlfn.LET(fechaPago, Z582, fechaFactura, R582, diasCredito, IF(E582="Pago inmediato", 0, IFERROR(VALUE(MID(E582, 1, SEARCH(" ", E582)-1)),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82" s="79">
        <f>IF(AN582="","",IF(AND(N582&gt;0, AG582&gt;0), IF(Configuración!$K$2="NO", "ALERTA: DESCUENTO DOBLE NO PERMITIDO", "OK"), "OK"))</f>
        <v/>
      </c>
      <c r="AR582" s="79">
        <f>IF(AN582="","",IF(OR(AO582&lt;&gt;"OK", AP582&lt;&gt;"OK", AQ582&lt;&gt;"OK"), "⚠️ REVISAR", "OK"))</f>
        <v/>
      </c>
    </row>
    <row r="583">
      <c r="A583" s="79">
        <f>IF('Ordenes_Odoo'!A583="","",'Ordenes_Odoo'!A583)</f>
        <v/>
      </c>
      <c r="B583" s="80">
        <f>IF('Ordenes_Odoo'!B583="","",'Ordenes_Odoo'!B583)</f>
        <v/>
      </c>
      <c r="C583" s="79">
        <f>IF('Ordenes_Odoo'!C583="","",'Ordenes_Odoo'!C583)</f>
        <v/>
      </c>
      <c r="D583" s="79">
        <f>IF('Ordenes_Odoo'!D583="","",'Ordenes_Odoo'!D583)</f>
        <v/>
      </c>
      <c r="E583" s="79">
        <f>IF('Ordenes_Odoo'!E583="","",'Ordenes_Odoo'!E583)</f>
        <v/>
      </c>
      <c r="F583" s="79">
        <f>IF('Ordenes_Odoo'!F583="","",'Ordenes_Odoo'!F583)</f>
        <v/>
      </c>
      <c r="G583" s="79">
        <f>IF('Ordenes_Odoo'!G583="","",'Ordenes_Odoo'!G583)</f>
        <v/>
      </c>
      <c r="H583" s="79">
        <f>IF('Ordenes_Odoo'!H583="","",'Ordenes_Odoo'!H583)</f>
        <v/>
      </c>
      <c r="I583" s="79">
        <f>IF('Ordenes_Odoo'!I583="","",'Ordenes_Odoo'!I583)</f>
        <v/>
      </c>
      <c r="J583" s="79">
        <f>IF('Ordenes_Odoo'!J583="","",'Ordenes_Odoo'!J583)</f>
        <v/>
      </c>
      <c r="K583" s="81">
        <f>IF('Ordenes_Odoo'!K583="","",'Ordenes_Odoo'!K583)</f>
        <v/>
      </c>
      <c r="L583" s="81">
        <f>IF('Ordenes_Odoo'!L583="","",'Ordenes_Odoo'!L583)</f>
        <v/>
      </c>
      <c r="M583" s="79">
        <f>IF('Ordenes_Odoo'!M583="","",'Ordenes_Odoo'!M583)</f>
        <v/>
      </c>
      <c r="N583" s="79">
        <f>IF('Ordenes_Odoo'!N583="","",'Ordenes_Odoo'!N583)</f>
        <v/>
      </c>
      <c r="O583" s="81">
        <f>IF('Ordenes_Odoo'!O583="","",'Ordenes_Odoo'!O583)</f>
        <v/>
      </c>
      <c r="P583" s="81">
        <f>IF('Ordenes_Odoo'!P583="","",'Ordenes_Odoo'!P583)</f>
        <v/>
      </c>
      <c r="Q583" s="79">
        <f>IF(A583="","",IFERROR(INDEX(Facturas_Odoo!$B:$B, MATCH(A583, Facturas_Odoo!$D:$D, 0)), "Sin Factura"))</f>
        <v/>
      </c>
      <c r="R583" s="80">
        <f>IF(Q583="Sin Factura","",IFERROR(INDEX(Facturas_Odoo!$A:$A, MATCH(Q583, Facturas_Odoo!$B:$B, 0)), ""))</f>
        <v/>
      </c>
      <c r="S583" s="79">
        <f>IF(Q583="Sin Factura","",IFERROR(_xlfn.XLOOKUP(1, (Facturas_Odoo!$D:$D=A583) * (Facturas_Odoo!$K:$K=I583), Facturas_Odoo!$L:$L, ""), ""))</f>
        <v/>
      </c>
      <c r="T583" s="81">
        <f>IF(Q583="Sin Factura",0,IFERROR(_xlfn.XLOOKUP(1, (Facturas_Odoo!$D:$D=A583) * (Facturas_Odoo!$K:$K=I583), Facturas_Odoo!$M:$M, 0), 0))</f>
        <v/>
      </c>
      <c r="U583" s="79">
        <f>IF(Q583="Sin Factura",0,IFERROR(_xlfn.XLOOKUP(1, (Facturas_Odoo!$D:$D=A583) * (Facturas_Odoo!$K:$K=I583), Facturas_Odoo!$N:$N, 0), 0))</f>
        <v/>
      </c>
      <c r="V583" s="79">
        <f>IF(Q583="Sin Factura",0,IFERROR(_xlfn.XLOOKUP(1, (Facturas_Odoo!$D:$D=A583) * (Facturas_Odoo!$K:$K=I583), Facturas_Odoo!$O:$O, 0), 0))</f>
        <v/>
      </c>
      <c r="W583" s="81">
        <f>IF(Q583="Sin Factura",0,IFERROR(_xlfn.XLOOKUP(1, (Facturas_Odoo!$D:$D=A583) * (Facturas_Odoo!$K:$K=I583), Facturas_Odoo!$Q:$Q, 0), 0))</f>
        <v/>
      </c>
      <c r="X583" s="79">
        <f>IF(OR(Q583="Sin Factura",Q583=""),"",IFERROR(INDEX(Pagos_Odoo!$B:$B, MATCH(Q583, Pagos_Odoo!$I:$I, 0)), "Sin Pago"))</f>
        <v/>
      </c>
      <c r="Y583" s="79">
        <f>IF(X583="Sin Pago","",IFERROR(INDEX(Pagos_Odoo!$C:$C, MATCH(X583, Pagos_Odoo!$B:$B, 0)), ""))</f>
        <v/>
      </c>
      <c r="Z583" s="80">
        <f>IF(X583="Sin Pago","",IFERROR(INDEX(Pagos_Odoo!$A:$A, MATCH(X583, Pagos_Odoo!$B:$B, 0)), ""))</f>
        <v/>
      </c>
      <c r="AA583" s="79">
        <f>IF(X583="Sin Pago","",IFERROR(INDEX(Pagos_Odoo!$F:$F, MATCH(X583, Pagos_Odoo!$B:$B, 0)), ""))</f>
        <v/>
      </c>
      <c r="AB583" s="81">
        <f>IF(X583="Sin Pago",0,IFERROR(INDEX(Pagos_Odoo!$E:$E, MATCH(X583, Pagos_Odoo!$B:$B, 0)), 0))</f>
        <v/>
      </c>
      <c r="AC583" s="79">
        <f>IF(X583="Sin Pago","",IFERROR(INDEX(Pagos_Odoo!$G:$G, MATCH(X583, Pagos_Odoo!$B:$B, 0)), ""))</f>
        <v/>
      </c>
      <c r="AD583" s="82" t="n">
        <v>0</v>
      </c>
      <c r="AE583" s="82" t="n"/>
      <c r="AF583" s="82" t="n"/>
      <c r="AG583" s="82">
        <f>IF(AN583="","",AD583+AE583+AF583)</f>
        <v/>
      </c>
      <c r="AH583" s="81">
        <f>IF(AN583="","",P583*(1-AG583))</f>
        <v/>
      </c>
      <c r="AI583" s="81">
        <f>IF(AN583="","",IF(Q583="Sin Factura",0,IFERROR(INDEX(Facturas_Odoo!$H:$H, MATCH(Q583, Facturas_Odoo!$B:$B, 0)), 0)*(1-AG583)))</f>
        <v/>
      </c>
      <c r="AJ583" s="81">
        <f>IF(AN583="","",_xlfn.LET(idVenta, AN583&amp;"",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83" s="81">
        <f>IF(AN583="","",AH583-AJ583)</f>
        <v/>
      </c>
      <c r="AL583" s="81">
        <f>IF(AN583="","",IF(Q583="Sin Factura","",AI583-AJ583))</f>
        <v/>
      </c>
      <c r="AM583" s="81">
        <f>IF(AN583="","",IF(Q583="Sin Factura",0,P583-IFERROR(INDEX(Facturas_Odoo!$H:$H, MATCH(Q583, Facturas_Odoo!$B:$B, 0)), 0)))</f>
        <v/>
      </c>
      <c r="AN583" s="79">
        <f>IF(AND(A583="", J583=""), "", IF(A583&lt;&gt;"", VALUE(MID(A583,2,LEN(A583))), AN582))</f>
        <v/>
      </c>
      <c r="AO583" s="79">
        <f>IF(AN583="","",IF(AD583=0,"OK",_xlfn.LET(monedaPago, IF(AA583="","USD",AA583), limitePermitido, IFERROR(VLOOKUP(monedaPago, Configuración!$A$2:$B$3, 2, FALSE), 0.15), IF(AD583&gt;limitePermitido, "ALERTA: EXCESO (" &amp; TEXT(limitePermitido, "0%") &amp; " máx)", "OK"))))</f>
        <v/>
      </c>
      <c r="AP583" s="79">
        <f>IF(AN583="","",IF(AE583=0,"OK",_xlfn.LET(fechaPago, Z583, fechaFactura, R583, diasCredito, IF(E583="Pago inmediato", 0, IFERROR(VALUE(MID(E583, 1, SEARCH(" ", E583)-1)),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83" s="79">
        <f>IF(AN583="","",IF(AND(N583&gt;0, AG583&gt;0), IF(Configuración!$K$2="NO", "ALERTA: DESCUENTO DOBLE NO PERMITIDO", "OK"), "OK"))</f>
        <v/>
      </c>
      <c r="AR583" s="79">
        <f>IF(AN583="","",IF(OR(AO583&lt;&gt;"OK", AP583&lt;&gt;"OK", AQ583&lt;&gt;"OK"), "⚠️ REVISAR", "OK"))</f>
        <v/>
      </c>
    </row>
    <row r="584">
      <c r="A584" s="79">
        <f>IF('Ordenes_Odoo'!A584="","",'Ordenes_Odoo'!A584)</f>
        <v/>
      </c>
      <c r="B584" s="80">
        <f>IF('Ordenes_Odoo'!B584="","",'Ordenes_Odoo'!B584)</f>
        <v/>
      </c>
      <c r="C584" s="79">
        <f>IF('Ordenes_Odoo'!C584="","",'Ordenes_Odoo'!C584)</f>
        <v/>
      </c>
      <c r="D584" s="79">
        <f>IF('Ordenes_Odoo'!D584="","",'Ordenes_Odoo'!D584)</f>
        <v/>
      </c>
      <c r="E584" s="79">
        <f>IF('Ordenes_Odoo'!E584="","",'Ordenes_Odoo'!E584)</f>
        <v/>
      </c>
      <c r="F584" s="79">
        <f>IF('Ordenes_Odoo'!F584="","",'Ordenes_Odoo'!F584)</f>
        <v/>
      </c>
      <c r="G584" s="79">
        <f>IF('Ordenes_Odoo'!G584="","",'Ordenes_Odoo'!G584)</f>
        <v/>
      </c>
      <c r="H584" s="79">
        <f>IF('Ordenes_Odoo'!H584="","",'Ordenes_Odoo'!H584)</f>
        <v/>
      </c>
      <c r="I584" s="79">
        <f>IF('Ordenes_Odoo'!I584="","",'Ordenes_Odoo'!I584)</f>
        <v/>
      </c>
      <c r="J584" s="79">
        <f>IF('Ordenes_Odoo'!J584="","",'Ordenes_Odoo'!J584)</f>
        <v/>
      </c>
      <c r="K584" s="81">
        <f>IF('Ordenes_Odoo'!K584="","",'Ordenes_Odoo'!K584)</f>
        <v/>
      </c>
      <c r="L584" s="81">
        <f>IF('Ordenes_Odoo'!L584="","",'Ordenes_Odoo'!L584)</f>
        <v/>
      </c>
      <c r="M584" s="79">
        <f>IF('Ordenes_Odoo'!M584="","",'Ordenes_Odoo'!M584)</f>
        <v/>
      </c>
      <c r="N584" s="79">
        <f>IF('Ordenes_Odoo'!N584="","",'Ordenes_Odoo'!N584)</f>
        <v/>
      </c>
      <c r="O584" s="81">
        <f>IF('Ordenes_Odoo'!O584="","",'Ordenes_Odoo'!O584)</f>
        <v/>
      </c>
      <c r="P584" s="81">
        <f>IF('Ordenes_Odoo'!P584="","",'Ordenes_Odoo'!P584)</f>
        <v/>
      </c>
      <c r="Q584" s="79">
        <f>IF(A584="","",IFERROR(INDEX(Facturas_Odoo!$B:$B, MATCH(A584, Facturas_Odoo!$D:$D, 0)), "Sin Factura"))</f>
        <v/>
      </c>
      <c r="R584" s="80">
        <f>IF(Q584="Sin Factura","",IFERROR(INDEX(Facturas_Odoo!$A:$A, MATCH(Q584, Facturas_Odoo!$B:$B, 0)), ""))</f>
        <v/>
      </c>
      <c r="S584" s="79">
        <f>IF(Q584="Sin Factura","",IFERROR(_xlfn.XLOOKUP(1, (Facturas_Odoo!$D:$D=A584) * (Facturas_Odoo!$K:$K=I584), Facturas_Odoo!$L:$L, ""), ""))</f>
        <v/>
      </c>
      <c r="T584" s="81">
        <f>IF(Q584="Sin Factura",0,IFERROR(_xlfn.XLOOKUP(1, (Facturas_Odoo!$D:$D=A584) * (Facturas_Odoo!$K:$K=I584), Facturas_Odoo!$M:$M, 0), 0))</f>
        <v/>
      </c>
      <c r="U584" s="79">
        <f>IF(Q584="Sin Factura",0,IFERROR(_xlfn.XLOOKUP(1, (Facturas_Odoo!$D:$D=A584) * (Facturas_Odoo!$K:$K=I584), Facturas_Odoo!$N:$N, 0), 0))</f>
        <v/>
      </c>
      <c r="V584" s="79">
        <f>IF(Q584="Sin Factura",0,IFERROR(_xlfn.XLOOKUP(1, (Facturas_Odoo!$D:$D=A584) * (Facturas_Odoo!$K:$K=I584), Facturas_Odoo!$O:$O, 0), 0))</f>
        <v/>
      </c>
      <c r="W584" s="81">
        <f>IF(Q584="Sin Factura",0,IFERROR(_xlfn.XLOOKUP(1, (Facturas_Odoo!$D:$D=A584) * (Facturas_Odoo!$K:$K=I584), Facturas_Odoo!$Q:$Q, 0), 0))</f>
        <v/>
      </c>
      <c r="X584" s="79">
        <f>IF(OR(Q584="Sin Factura",Q584=""),"",IFERROR(INDEX(Pagos_Odoo!$B:$B, MATCH(Q584, Pagos_Odoo!$I:$I, 0)), "Sin Pago"))</f>
        <v/>
      </c>
      <c r="Y584" s="79">
        <f>IF(X584="Sin Pago","",IFERROR(INDEX(Pagos_Odoo!$C:$C, MATCH(X584, Pagos_Odoo!$B:$B, 0)), ""))</f>
        <v/>
      </c>
      <c r="Z584" s="80">
        <f>IF(X584="Sin Pago","",IFERROR(INDEX(Pagos_Odoo!$A:$A, MATCH(X584, Pagos_Odoo!$B:$B, 0)), ""))</f>
        <v/>
      </c>
      <c r="AA584" s="79">
        <f>IF(X584="Sin Pago","",IFERROR(INDEX(Pagos_Odoo!$F:$F, MATCH(X584, Pagos_Odoo!$B:$B, 0)), ""))</f>
        <v/>
      </c>
      <c r="AB584" s="81">
        <f>IF(X584="Sin Pago",0,IFERROR(INDEX(Pagos_Odoo!$E:$E, MATCH(X584, Pagos_Odoo!$B:$B, 0)), 0))</f>
        <v/>
      </c>
      <c r="AC584" s="79">
        <f>IF(X584="Sin Pago","",IFERROR(INDEX(Pagos_Odoo!$G:$G, MATCH(X584, Pagos_Odoo!$B:$B, 0)), ""))</f>
        <v/>
      </c>
      <c r="AD584" s="82" t="n">
        <v>0</v>
      </c>
      <c r="AE584" s="82" t="n"/>
      <c r="AF584" s="82" t="n"/>
      <c r="AG584" s="82">
        <f>IF(AN584="","",AD584+AE584+AF584)</f>
        <v/>
      </c>
      <c r="AH584" s="81">
        <f>IF(AN584="","",P584*(1-AG584))</f>
        <v/>
      </c>
      <c r="AI584" s="81">
        <f>IF(AN584="","",IF(Q584="Sin Factura",0,IFERROR(INDEX(Facturas_Odoo!$H:$H, MATCH(Q584, Facturas_Odoo!$B:$B, 0)), 0)*(1-AG584)))</f>
        <v/>
      </c>
      <c r="AJ584" s="81">
        <f>IF(AN584="","",_xlfn.LET(idVenta, AN584&amp;"",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84" s="81">
        <f>IF(AN584="","",AH584-AJ584)</f>
        <v/>
      </c>
      <c r="AL584" s="81">
        <f>IF(AN584="","",IF(Q584="Sin Factura","",AI584-AJ584))</f>
        <v/>
      </c>
      <c r="AM584" s="81">
        <f>IF(AN584="","",IF(Q584="Sin Factura",0,P584-IFERROR(INDEX(Facturas_Odoo!$H:$H, MATCH(Q584, Facturas_Odoo!$B:$B, 0)), 0)))</f>
        <v/>
      </c>
      <c r="AN584" s="79">
        <f>IF(AND(A584="", J584=""), "", IF(A584&lt;&gt;"", VALUE(MID(A584,2,LEN(A584))), AN583))</f>
        <v/>
      </c>
      <c r="AO584" s="79">
        <f>IF(AN584="","",IF(AD584=0,"OK",_xlfn.LET(monedaPago, IF(AA584="","USD",AA584), limitePermitido, IFERROR(VLOOKUP(monedaPago, Configuración!$A$2:$B$3, 2, FALSE), 0.15), IF(AD584&gt;limitePermitido, "ALERTA: EXCESO (" &amp; TEXT(limitePermitido, "0%") &amp; " máx)", "OK"))))</f>
        <v/>
      </c>
      <c r="AP584" s="79">
        <f>IF(AN584="","",IF(AE584=0,"OK",_xlfn.LET(fechaPago, Z584, fechaFactura, R584, diasCredito, IF(E584="Pago inmediato", 0, IFERROR(VALUE(MID(E584, 1, SEARCH(" ", E584)-1)),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84" s="79">
        <f>IF(AN584="","",IF(AND(N584&gt;0, AG584&gt;0), IF(Configuración!$K$2="NO", "ALERTA: DESCUENTO DOBLE NO PERMITIDO", "OK"), "OK"))</f>
        <v/>
      </c>
      <c r="AR584" s="79">
        <f>IF(AN584="","",IF(OR(AO584&lt;&gt;"OK", AP584&lt;&gt;"OK", AQ584&lt;&gt;"OK"), "⚠️ REVISAR", "OK"))</f>
        <v/>
      </c>
    </row>
    <row r="585">
      <c r="A585" s="79">
        <f>IF('Ordenes_Odoo'!A585="","",'Ordenes_Odoo'!A585)</f>
        <v/>
      </c>
      <c r="B585" s="80">
        <f>IF('Ordenes_Odoo'!B585="","",'Ordenes_Odoo'!B585)</f>
        <v/>
      </c>
      <c r="C585" s="79">
        <f>IF('Ordenes_Odoo'!C585="","",'Ordenes_Odoo'!C585)</f>
        <v/>
      </c>
      <c r="D585" s="79">
        <f>IF('Ordenes_Odoo'!D585="","",'Ordenes_Odoo'!D585)</f>
        <v/>
      </c>
      <c r="E585" s="79">
        <f>IF('Ordenes_Odoo'!E585="","",'Ordenes_Odoo'!E585)</f>
        <v/>
      </c>
      <c r="F585" s="79">
        <f>IF('Ordenes_Odoo'!F585="","",'Ordenes_Odoo'!F585)</f>
        <v/>
      </c>
      <c r="G585" s="79">
        <f>IF('Ordenes_Odoo'!G585="","",'Ordenes_Odoo'!G585)</f>
        <v/>
      </c>
      <c r="H585" s="79">
        <f>IF('Ordenes_Odoo'!H585="","",'Ordenes_Odoo'!H585)</f>
        <v/>
      </c>
      <c r="I585" s="79">
        <f>IF('Ordenes_Odoo'!I585="","",'Ordenes_Odoo'!I585)</f>
        <v/>
      </c>
      <c r="J585" s="79">
        <f>IF('Ordenes_Odoo'!J585="","",'Ordenes_Odoo'!J585)</f>
        <v/>
      </c>
      <c r="K585" s="81">
        <f>IF('Ordenes_Odoo'!K585="","",'Ordenes_Odoo'!K585)</f>
        <v/>
      </c>
      <c r="L585" s="81">
        <f>IF('Ordenes_Odoo'!L585="","",'Ordenes_Odoo'!L585)</f>
        <v/>
      </c>
      <c r="M585" s="79">
        <f>IF('Ordenes_Odoo'!M585="","",'Ordenes_Odoo'!M585)</f>
        <v/>
      </c>
      <c r="N585" s="79">
        <f>IF('Ordenes_Odoo'!N585="","",'Ordenes_Odoo'!N585)</f>
        <v/>
      </c>
      <c r="O585" s="81">
        <f>IF('Ordenes_Odoo'!O585="","",'Ordenes_Odoo'!O585)</f>
        <v/>
      </c>
      <c r="P585" s="81">
        <f>IF('Ordenes_Odoo'!P585="","",'Ordenes_Odoo'!P585)</f>
        <v/>
      </c>
      <c r="Q585" s="79">
        <f>IF(A585="","",IFERROR(INDEX(Facturas_Odoo!$B:$B, MATCH(A585, Facturas_Odoo!$D:$D, 0)), "Sin Factura"))</f>
        <v/>
      </c>
      <c r="R585" s="80">
        <f>IF(Q585="Sin Factura","",IFERROR(INDEX(Facturas_Odoo!$A:$A, MATCH(Q585, Facturas_Odoo!$B:$B, 0)), ""))</f>
        <v/>
      </c>
      <c r="S585" s="79">
        <f>IF(Q585="Sin Factura","",IFERROR(_xlfn.XLOOKUP(1, (Facturas_Odoo!$D:$D=A585) * (Facturas_Odoo!$K:$K=I585), Facturas_Odoo!$L:$L, ""), ""))</f>
        <v/>
      </c>
      <c r="T585" s="81">
        <f>IF(Q585="Sin Factura",0,IFERROR(_xlfn.XLOOKUP(1, (Facturas_Odoo!$D:$D=A585) * (Facturas_Odoo!$K:$K=I585), Facturas_Odoo!$M:$M, 0), 0))</f>
        <v/>
      </c>
      <c r="U585" s="79">
        <f>IF(Q585="Sin Factura",0,IFERROR(_xlfn.XLOOKUP(1, (Facturas_Odoo!$D:$D=A585) * (Facturas_Odoo!$K:$K=I585), Facturas_Odoo!$N:$N, 0), 0))</f>
        <v/>
      </c>
      <c r="V585" s="79">
        <f>IF(Q585="Sin Factura",0,IFERROR(_xlfn.XLOOKUP(1, (Facturas_Odoo!$D:$D=A585) * (Facturas_Odoo!$K:$K=I585), Facturas_Odoo!$O:$O, 0), 0))</f>
        <v/>
      </c>
      <c r="W585" s="81">
        <f>IF(Q585="Sin Factura",0,IFERROR(_xlfn.XLOOKUP(1, (Facturas_Odoo!$D:$D=A585) * (Facturas_Odoo!$K:$K=I585), Facturas_Odoo!$Q:$Q, 0), 0))</f>
        <v/>
      </c>
      <c r="X585" s="79">
        <f>IF(OR(Q585="Sin Factura",Q585=""),"",IFERROR(INDEX(Pagos_Odoo!$B:$B, MATCH(Q585, Pagos_Odoo!$I:$I, 0)), "Sin Pago"))</f>
        <v/>
      </c>
      <c r="Y585" s="79">
        <f>IF(X585="Sin Pago","",IFERROR(INDEX(Pagos_Odoo!$C:$C, MATCH(X585, Pagos_Odoo!$B:$B, 0)), ""))</f>
        <v/>
      </c>
      <c r="Z585" s="80">
        <f>IF(X585="Sin Pago","",IFERROR(INDEX(Pagos_Odoo!$A:$A, MATCH(X585, Pagos_Odoo!$B:$B, 0)), ""))</f>
        <v/>
      </c>
      <c r="AA585" s="79">
        <f>IF(X585="Sin Pago","",IFERROR(INDEX(Pagos_Odoo!$F:$F, MATCH(X585, Pagos_Odoo!$B:$B, 0)), ""))</f>
        <v/>
      </c>
      <c r="AB585" s="81">
        <f>IF(X585="Sin Pago",0,IFERROR(INDEX(Pagos_Odoo!$E:$E, MATCH(X585, Pagos_Odoo!$B:$B, 0)), 0))</f>
        <v/>
      </c>
      <c r="AC585" s="79">
        <f>IF(X585="Sin Pago","",IFERROR(INDEX(Pagos_Odoo!$G:$G, MATCH(X585, Pagos_Odoo!$B:$B, 0)), ""))</f>
        <v/>
      </c>
      <c r="AD585" s="82" t="n">
        <v>0</v>
      </c>
      <c r="AE585" s="82" t="n"/>
      <c r="AF585" s="82" t="n"/>
      <c r="AG585" s="82">
        <f>IF(AN585="","",AD585+AE585+AF585)</f>
        <v/>
      </c>
      <c r="AH585" s="81">
        <f>IF(AN585="","",P585*(1-AG585))</f>
        <v/>
      </c>
      <c r="AI585" s="81">
        <f>IF(AN585="","",IF(Q585="Sin Factura",0,IFERROR(INDEX(Facturas_Odoo!$H:$H, MATCH(Q585, Facturas_Odoo!$B:$B, 0)), 0)*(1-AG585)))</f>
        <v/>
      </c>
      <c r="AJ585" s="81">
        <f>IF(AN585="","",_xlfn.LET(idVenta, AN585&amp;"",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85" s="81">
        <f>IF(AN585="","",AH585-AJ585)</f>
        <v/>
      </c>
      <c r="AL585" s="81">
        <f>IF(AN585="","",IF(Q585="Sin Factura","",AI585-AJ585))</f>
        <v/>
      </c>
      <c r="AM585" s="81">
        <f>IF(AN585="","",IF(Q585="Sin Factura",0,P585-IFERROR(INDEX(Facturas_Odoo!$H:$H, MATCH(Q585, Facturas_Odoo!$B:$B, 0)), 0)))</f>
        <v/>
      </c>
      <c r="AN585" s="79">
        <f>IF(AND(A585="", J585=""), "", IF(A585&lt;&gt;"", VALUE(MID(A585,2,LEN(A585))), AN584))</f>
        <v/>
      </c>
      <c r="AO585" s="79">
        <f>IF(AN585="","",IF(AD585=0,"OK",_xlfn.LET(monedaPago, IF(AA585="","USD",AA585), limitePermitido, IFERROR(VLOOKUP(monedaPago, Configuración!$A$2:$B$3, 2, FALSE), 0.15), IF(AD585&gt;limitePermitido, "ALERTA: EXCESO (" &amp; TEXT(limitePermitido, "0%") &amp; " máx)", "OK"))))</f>
        <v/>
      </c>
      <c r="AP585" s="79">
        <f>IF(AN585="","",IF(AE585=0,"OK",_xlfn.LET(fechaPago, Z585, fechaFactura, R585, diasCredito, IF(E585="Pago inmediato", 0, IFERROR(VALUE(MID(E585, 1, SEARCH(" ", E585)-1)),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85" s="79">
        <f>IF(AN585="","",IF(AND(N585&gt;0, AG585&gt;0), IF(Configuración!$K$2="NO", "ALERTA: DESCUENTO DOBLE NO PERMITIDO", "OK"), "OK"))</f>
        <v/>
      </c>
      <c r="AR585" s="79">
        <f>IF(AN585="","",IF(OR(AO585&lt;&gt;"OK", AP585&lt;&gt;"OK", AQ585&lt;&gt;"OK"), "⚠️ REVISAR", "OK"))</f>
        <v/>
      </c>
    </row>
    <row r="586">
      <c r="A586" s="79">
        <f>IF('Ordenes_Odoo'!A586="","",'Ordenes_Odoo'!A586)</f>
        <v/>
      </c>
      <c r="B586" s="80">
        <f>IF('Ordenes_Odoo'!B586="","",'Ordenes_Odoo'!B586)</f>
        <v/>
      </c>
      <c r="C586" s="79">
        <f>IF('Ordenes_Odoo'!C586="","",'Ordenes_Odoo'!C586)</f>
        <v/>
      </c>
      <c r="D586" s="79">
        <f>IF('Ordenes_Odoo'!D586="","",'Ordenes_Odoo'!D586)</f>
        <v/>
      </c>
      <c r="E586" s="79">
        <f>IF('Ordenes_Odoo'!E586="","",'Ordenes_Odoo'!E586)</f>
        <v/>
      </c>
      <c r="F586" s="79">
        <f>IF('Ordenes_Odoo'!F586="","",'Ordenes_Odoo'!F586)</f>
        <v/>
      </c>
      <c r="G586" s="79">
        <f>IF('Ordenes_Odoo'!G586="","",'Ordenes_Odoo'!G586)</f>
        <v/>
      </c>
      <c r="H586" s="79">
        <f>IF('Ordenes_Odoo'!H586="","",'Ordenes_Odoo'!H586)</f>
        <v/>
      </c>
      <c r="I586" s="79">
        <f>IF('Ordenes_Odoo'!I586="","",'Ordenes_Odoo'!I586)</f>
        <v/>
      </c>
      <c r="J586" s="79">
        <f>IF('Ordenes_Odoo'!J586="","",'Ordenes_Odoo'!J586)</f>
        <v/>
      </c>
      <c r="K586" s="81">
        <f>IF('Ordenes_Odoo'!K586="","",'Ordenes_Odoo'!K586)</f>
        <v/>
      </c>
      <c r="L586" s="81">
        <f>IF('Ordenes_Odoo'!L586="","",'Ordenes_Odoo'!L586)</f>
        <v/>
      </c>
      <c r="M586" s="79">
        <f>IF('Ordenes_Odoo'!M586="","",'Ordenes_Odoo'!M586)</f>
        <v/>
      </c>
      <c r="N586" s="79">
        <f>IF('Ordenes_Odoo'!N586="","",'Ordenes_Odoo'!N586)</f>
        <v/>
      </c>
      <c r="O586" s="81">
        <f>IF('Ordenes_Odoo'!O586="","",'Ordenes_Odoo'!O586)</f>
        <v/>
      </c>
      <c r="P586" s="81">
        <f>IF('Ordenes_Odoo'!P586="","",'Ordenes_Odoo'!P586)</f>
        <v/>
      </c>
      <c r="Q586" s="79">
        <f>IF(A586="","",IFERROR(INDEX(Facturas_Odoo!$B:$B, MATCH(A586, Facturas_Odoo!$D:$D, 0)), "Sin Factura"))</f>
        <v/>
      </c>
      <c r="R586" s="80">
        <f>IF(Q586="Sin Factura","",IFERROR(INDEX(Facturas_Odoo!$A:$A, MATCH(Q586, Facturas_Odoo!$B:$B, 0)), ""))</f>
        <v/>
      </c>
      <c r="S586" s="79">
        <f>IF(Q586="Sin Factura","",IFERROR(_xlfn.XLOOKUP(1, (Facturas_Odoo!$D:$D=A586) * (Facturas_Odoo!$K:$K=I586), Facturas_Odoo!$L:$L, ""), ""))</f>
        <v/>
      </c>
      <c r="T586" s="81">
        <f>IF(Q586="Sin Factura",0,IFERROR(_xlfn.XLOOKUP(1, (Facturas_Odoo!$D:$D=A586) * (Facturas_Odoo!$K:$K=I586), Facturas_Odoo!$M:$M, 0), 0))</f>
        <v/>
      </c>
      <c r="U586" s="79">
        <f>IF(Q586="Sin Factura",0,IFERROR(_xlfn.XLOOKUP(1, (Facturas_Odoo!$D:$D=A586) * (Facturas_Odoo!$K:$K=I586), Facturas_Odoo!$N:$N, 0), 0))</f>
        <v/>
      </c>
      <c r="V586" s="79">
        <f>IF(Q586="Sin Factura",0,IFERROR(_xlfn.XLOOKUP(1, (Facturas_Odoo!$D:$D=A586) * (Facturas_Odoo!$K:$K=I586), Facturas_Odoo!$O:$O, 0), 0))</f>
        <v/>
      </c>
      <c r="W586" s="81">
        <f>IF(Q586="Sin Factura",0,IFERROR(_xlfn.XLOOKUP(1, (Facturas_Odoo!$D:$D=A586) * (Facturas_Odoo!$K:$K=I586), Facturas_Odoo!$Q:$Q, 0), 0))</f>
        <v/>
      </c>
      <c r="X586" s="79">
        <f>IF(OR(Q586="Sin Factura",Q586=""),"",IFERROR(INDEX(Pagos_Odoo!$B:$B, MATCH(Q586, Pagos_Odoo!$I:$I, 0)), "Sin Pago"))</f>
        <v/>
      </c>
      <c r="Y586" s="79">
        <f>IF(X586="Sin Pago","",IFERROR(INDEX(Pagos_Odoo!$C:$C, MATCH(X586, Pagos_Odoo!$B:$B, 0)), ""))</f>
        <v/>
      </c>
      <c r="Z586" s="80">
        <f>IF(X586="Sin Pago","",IFERROR(INDEX(Pagos_Odoo!$A:$A, MATCH(X586, Pagos_Odoo!$B:$B, 0)), ""))</f>
        <v/>
      </c>
      <c r="AA586" s="79">
        <f>IF(X586="Sin Pago","",IFERROR(INDEX(Pagos_Odoo!$F:$F, MATCH(X586, Pagos_Odoo!$B:$B, 0)), ""))</f>
        <v/>
      </c>
      <c r="AB586" s="81">
        <f>IF(X586="Sin Pago",0,IFERROR(INDEX(Pagos_Odoo!$E:$E, MATCH(X586, Pagos_Odoo!$B:$B, 0)), 0))</f>
        <v/>
      </c>
      <c r="AC586" s="79">
        <f>IF(X586="Sin Pago","",IFERROR(INDEX(Pagos_Odoo!$G:$G, MATCH(X586, Pagos_Odoo!$B:$B, 0)), ""))</f>
        <v/>
      </c>
      <c r="AD586" s="82" t="n">
        <v>0</v>
      </c>
      <c r="AE586" s="82" t="n"/>
      <c r="AF586" s="82" t="n"/>
      <c r="AG586" s="82">
        <f>IF(AN586="","",AD586+AE586+AF586)</f>
        <v/>
      </c>
      <c r="AH586" s="81">
        <f>IF(AN586="","",P586*(1-AG586))</f>
        <v/>
      </c>
      <c r="AI586" s="81">
        <f>IF(AN586="","",IF(Q586="Sin Factura",0,IFERROR(INDEX(Facturas_Odoo!$H:$H, MATCH(Q586, Facturas_Odoo!$B:$B, 0)), 0)*(1-AG586)))</f>
        <v/>
      </c>
      <c r="AJ586" s="81">
        <f>IF(AN586="","",_xlfn.LET(idVenta, AN586&amp;"",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86" s="81">
        <f>IF(AN586="","",AH586-AJ586)</f>
        <v/>
      </c>
      <c r="AL586" s="81">
        <f>IF(AN586="","",IF(Q586="Sin Factura","",AI586-AJ586))</f>
        <v/>
      </c>
      <c r="AM586" s="81">
        <f>IF(AN586="","",IF(Q586="Sin Factura",0,P586-IFERROR(INDEX(Facturas_Odoo!$H:$H, MATCH(Q586, Facturas_Odoo!$B:$B, 0)), 0)))</f>
        <v/>
      </c>
      <c r="AN586" s="79">
        <f>IF(AND(A586="", J586=""), "", IF(A586&lt;&gt;"", VALUE(MID(A586,2,LEN(A586))), AN585))</f>
        <v/>
      </c>
      <c r="AO586" s="79">
        <f>IF(AN586="","",IF(AD586=0,"OK",_xlfn.LET(monedaPago, IF(AA586="","USD",AA586), limitePermitido, IFERROR(VLOOKUP(monedaPago, Configuración!$A$2:$B$3, 2, FALSE), 0.15), IF(AD586&gt;limitePermitido, "ALERTA: EXCESO (" &amp; TEXT(limitePermitido, "0%") &amp; " máx)", "OK"))))</f>
        <v/>
      </c>
      <c r="AP586" s="79">
        <f>IF(AN586="","",IF(AE586=0,"OK",_xlfn.LET(fechaPago, Z586, fechaFactura, R586, diasCredito, IF(E586="Pago inmediato", 0, IFERROR(VALUE(MID(E586, 1, SEARCH(" ", E586)-1)),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86" s="79">
        <f>IF(AN586="","",IF(AND(N586&gt;0, AG586&gt;0), IF(Configuración!$K$2="NO", "ALERTA: DESCUENTO DOBLE NO PERMITIDO", "OK"), "OK"))</f>
        <v/>
      </c>
      <c r="AR586" s="79">
        <f>IF(AN586="","",IF(OR(AO586&lt;&gt;"OK", AP586&lt;&gt;"OK", AQ586&lt;&gt;"OK"), "⚠️ REVISAR", "OK"))</f>
        <v/>
      </c>
    </row>
    <row r="587">
      <c r="A587" s="79">
        <f>IF('Ordenes_Odoo'!A587="","",'Ordenes_Odoo'!A587)</f>
        <v/>
      </c>
      <c r="B587" s="80">
        <f>IF('Ordenes_Odoo'!B587="","",'Ordenes_Odoo'!B587)</f>
        <v/>
      </c>
      <c r="C587" s="79">
        <f>IF('Ordenes_Odoo'!C587="","",'Ordenes_Odoo'!C587)</f>
        <v/>
      </c>
      <c r="D587" s="79">
        <f>IF('Ordenes_Odoo'!D587="","",'Ordenes_Odoo'!D587)</f>
        <v/>
      </c>
      <c r="E587" s="79">
        <f>IF('Ordenes_Odoo'!E587="","",'Ordenes_Odoo'!E587)</f>
        <v/>
      </c>
      <c r="F587" s="79">
        <f>IF('Ordenes_Odoo'!F587="","",'Ordenes_Odoo'!F587)</f>
        <v/>
      </c>
      <c r="G587" s="79">
        <f>IF('Ordenes_Odoo'!G587="","",'Ordenes_Odoo'!G587)</f>
        <v/>
      </c>
      <c r="H587" s="79">
        <f>IF('Ordenes_Odoo'!H587="","",'Ordenes_Odoo'!H587)</f>
        <v/>
      </c>
      <c r="I587" s="79">
        <f>IF('Ordenes_Odoo'!I587="","",'Ordenes_Odoo'!I587)</f>
        <v/>
      </c>
      <c r="J587" s="79">
        <f>IF('Ordenes_Odoo'!J587="","",'Ordenes_Odoo'!J587)</f>
        <v/>
      </c>
      <c r="K587" s="81">
        <f>IF('Ordenes_Odoo'!K587="","",'Ordenes_Odoo'!K587)</f>
        <v/>
      </c>
      <c r="L587" s="81">
        <f>IF('Ordenes_Odoo'!L587="","",'Ordenes_Odoo'!L587)</f>
        <v/>
      </c>
      <c r="M587" s="79">
        <f>IF('Ordenes_Odoo'!M587="","",'Ordenes_Odoo'!M587)</f>
        <v/>
      </c>
      <c r="N587" s="79">
        <f>IF('Ordenes_Odoo'!N587="","",'Ordenes_Odoo'!N587)</f>
        <v/>
      </c>
      <c r="O587" s="81">
        <f>IF('Ordenes_Odoo'!O587="","",'Ordenes_Odoo'!O587)</f>
        <v/>
      </c>
      <c r="P587" s="81">
        <f>IF('Ordenes_Odoo'!P587="","",'Ordenes_Odoo'!P587)</f>
        <v/>
      </c>
      <c r="Q587" s="79">
        <f>IF(A587="","",IFERROR(INDEX(Facturas_Odoo!$B:$B, MATCH(A587, Facturas_Odoo!$D:$D, 0)), "Sin Factura"))</f>
        <v/>
      </c>
      <c r="R587" s="80">
        <f>IF(Q587="Sin Factura","",IFERROR(INDEX(Facturas_Odoo!$A:$A, MATCH(Q587, Facturas_Odoo!$B:$B, 0)), ""))</f>
        <v/>
      </c>
      <c r="S587" s="79">
        <f>IF(Q587="Sin Factura","",IFERROR(_xlfn.XLOOKUP(1, (Facturas_Odoo!$D:$D=A587) * (Facturas_Odoo!$K:$K=I587), Facturas_Odoo!$L:$L, ""), ""))</f>
        <v/>
      </c>
      <c r="T587" s="81">
        <f>IF(Q587="Sin Factura",0,IFERROR(_xlfn.XLOOKUP(1, (Facturas_Odoo!$D:$D=A587) * (Facturas_Odoo!$K:$K=I587), Facturas_Odoo!$M:$M, 0), 0))</f>
        <v/>
      </c>
      <c r="U587" s="79">
        <f>IF(Q587="Sin Factura",0,IFERROR(_xlfn.XLOOKUP(1, (Facturas_Odoo!$D:$D=A587) * (Facturas_Odoo!$K:$K=I587), Facturas_Odoo!$N:$N, 0), 0))</f>
        <v/>
      </c>
      <c r="V587" s="79">
        <f>IF(Q587="Sin Factura",0,IFERROR(_xlfn.XLOOKUP(1, (Facturas_Odoo!$D:$D=A587) * (Facturas_Odoo!$K:$K=I587), Facturas_Odoo!$O:$O, 0), 0))</f>
        <v/>
      </c>
      <c r="W587" s="81">
        <f>IF(Q587="Sin Factura",0,IFERROR(_xlfn.XLOOKUP(1, (Facturas_Odoo!$D:$D=A587) * (Facturas_Odoo!$K:$K=I587), Facturas_Odoo!$Q:$Q, 0), 0))</f>
        <v/>
      </c>
      <c r="X587" s="79">
        <f>IF(OR(Q587="Sin Factura",Q587=""),"",IFERROR(INDEX(Pagos_Odoo!$B:$B, MATCH(Q587, Pagos_Odoo!$I:$I, 0)), "Sin Pago"))</f>
        <v/>
      </c>
      <c r="Y587" s="79">
        <f>IF(X587="Sin Pago","",IFERROR(INDEX(Pagos_Odoo!$C:$C, MATCH(X587, Pagos_Odoo!$B:$B, 0)), ""))</f>
        <v/>
      </c>
      <c r="Z587" s="80">
        <f>IF(X587="Sin Pago","",IFERROR(INDEX(Pagos_Odoo!$A:$A, MATCH(X587, Pagos_Odoo!$B:$B, 0)), ""))</f>
        <v/>
      </c>
      <c r="AA587" s="79">
        <f>IF(X587="Sin Pago","",IFERROR(INDEX(Pagos_Odoo!$F:$F, MATCH(X587, Pagos_Odoo!$B:$B, 0)), ""))</f>
        <v/>
      </c>
      <c r="AB587" s="81">
        <f>IF(X587="Sin Pago",0,IFERROR(INDEX(Pagos_Odoo!$E:$E, MATCH(X587, Pagos_Odoo!$B:$B, 0)), 0))</f>
        <v/>
      </c>
      <c r="AC587" s="79">
        <f>IF(X587="Sin Pago","",IFERROR(INDEX(Pagos_Odoo!$G:$G, MATCH(X587, Pagos_Odoo!$B:$B, 0)), ""))</f>
        <v/>
      </c>
      <c r="AD587" s="82" t="n">
        <v>0</v>
      </c>
      <c r="AE587" s="82" t="n"/>
      <c r="AF587" s="82" t="n"/>
      <c r="AG587" s="82">
        <f>IF(AN587="","",AD587+AE587+AF587)</f>
        <v/>
      </c>
      <c r="AH587" s="81">
        <f>IF(AN587="","",P587*(1-AG587))</f>
        <v/>
      </c>
      <c r="AI587" s="81">
        <f>IF(AN587="","",IF(Q587="Sin Factura",0,IFERROR(INDEX(Facturas_Odoo!$H:$H, MATCH(Q587, Facturas_Odoo!$B:$B, 0)), 0)*(1-AG587)))</f>
        <v/>
      </c>
      <c r="AJ587" s="81">
        <f>IF(AN587="","",_xlfn.LET(idVenta, AN587&amp;"",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87" s="81">
        <f>IF(AN587="","",AH587-AJ587)</f>
        <v/>
      </c>
      <c r="AL587" s="81">
        <f>IF(AN587="","",IF(Q587="Sin Factura","",AI587-AJ587))</f>
        <v/>
      </c>
      <c r="AM587" s="81">
        <f>IF(AN587="","",IF(Q587="Sin Factura",0,P587-IFERROR(INDEX(Facturas_Odoo!$H:$H, MATCH(Q587, Facturas_Odoo!$B:$B, 0)), 0)))</f>
        <v/>
      </c>
      <c r="AN587" s="79">
        <f>IF(AND(A587="", J587=""), "", IF(A587&lt;&gt;"", VALUE(MID(A587,2,LEN(A587))), AN586))</f>
        <v/>
      </c>
      <c r="AO587" s="79">
        <f>IF(AN587="","",IF(AD587=0,"OK",_xlfn.LET(monedaPago, IF(AA587="","USD",AA587), limitePermitido, IFERROR(VLOOKUP(monedaPago, Configuración!$A$2:$B$3, 2, FALSE), 0.15), IF(AD587&gt;limitePermitido, "ALERTA: EXCESO (" &amp; TEXT(limitePermitido, "0%") &amp; " máx)", "OK"))))</f>
        <v/>
      </c>
      <c r="AP587" s="79">
        <f>IF(AN587="","",IF(AE587=0,"OK",_xlfn.LET(fechaPago, Z587, fechaFactura, R587, diasCredito, IF(E587="Pago inmediato", 0, IFERROR(VALUE(MID(E587, 1, SEARCH(" ", E587)-1)),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87" s="79">
        <f>IF(AN587="","",IF(AND(N587&gt;0, AG587&gt;0), IF(Configuración!$K$2="NO", "ALERTA: DESCUENTO DOBLE NO PERMITIDO", "OK"), "OK"))</f>
        <v/>
      </c>
      <c r="AR587" s="79">
        <f>IF(AN587="","",IF(OR(AO587&lt;&gt;"OK", AP587&lt;&gt;"OK", AQ587&lt;&gt;"OK"), "⚠️ REVISAR", "OK"))</f>
        <v/>
      </c>
    </row>
    <row r="588">
      <c r="A588" s="79">
        <f>IF('Ordenes_Odoo'!A588="","",'Ordenes_Odoo'!A588)</f>
        <v/>
      </c>
      <c r="B588" s="80">
        <f>IF('Ordenes_Odoo'!B588="","",'Ordenes_Odoo'!B588)</f>
        <v/>
      </c>
      <c r="C588" s="79">
        <f>IF('Ordenes_Odoo'!C588="","",'Ordenes_Odoo'!C588)</f>
        <v/>
      </c>
      <c r="D588" s="79">
        <f>IF('Ordenes_Odoo'!D588="","",'Ordenes_Odoo'!D588)</f>
        <v/>
      </c>
      <c r="E588" s="79">
        <f>IF('Ordenes_Odoo'!E588="","",'Ordenes_Odoo'!E588)</f>
        <v/>
      </c>
      <c r="F588" s="79">
        <f>IF('Ordenes_Odoo'!F588="","",'Ordenes_Odoo'!F588)</f>
        <v/>
      </c>
      <c r="G588" s="79">
        <f>IF('Ordenes_Odoo'!G588="","",'Ordenes_Odoo'!G588)</f>
        <v/>
      </c>
      <c r="H588" s="79">
        <f>IF('Ordenes_Odoo'!H588="","",'Ordenes_Odoo'!H588)</f>
        <v/>
      </c>
      <c r="I588" s="79">
        <f>IF('Ordenes_Odoo'!I588="","",'Ordenes_Odoo'!I588)</f>
        <v/>
      </c>
      <c r="J588" s="79">
        <f>IF('Ordenes_Odoo'!J588="","",'Ordenes_Odoo'!J588)</f>
        <v/>
      </c>
      <c r="K588" s="81">
        <f>IF('Ordenes_Odoo'!K588="","",'Ordenes_Odoo'!K588)</f>
        <v/>
      </c>
      <c r="L588" s="81">
        <f>IF('Ordenes_Odoo'!L588="","",'Ordenes_Odoo'!L588)</f>
        <v/>
      </c>
      <c r="M588" s="79">
        <f>IF('Ordenes_Odoo'!M588="","",'Ordenes_Odoo'!M588)</f>
        <v/>
      </c>
      <c r="N588" s="79">
        <f>IF('Ordenes_Odoo'!N588="","",'Ordenes_Odoo'!N588)</f>
        <v/>
      </c>
      <c r="O588" s="81">
        <f>IF('Ordenes_Odoo'!O588="","",'Ordenes_Odoo'!O588)</f>
        <v/>
      </c>
      <c r="P588" s="81">
        <f>IF('Ordenes_Odoo'!P588="","",'Ordenes_Odoo'!P588)</f>
        <v/>
      </c>
      <c r="Q588" s="79">
        <f>IF(A588="","",IFERROR(INDEX(Facturas_Odoo!$B:$B, MATCH(A588, Facturas_Odoo!$D:$D, 0)), "Sin Factura"))</f>
        <v/>
      </c>
      <c r="R588" s="80">
        <f>IF(Q588="Sin Factura","",IFERROR(INDEX(Facturas_Odoo!$A:$A, MATCH(Q588, Facturas_Odoo!$B:$B, 0)), ""))</f>
        <v/>
      </c>
      <c r="S588" s="79">
        <f>IF(Q588="Sin Factura","",IFERROR(_xlfn.XLOOKUP(1, (Facturas_Odoo!$D:$D=A588) * (Facturas_Odoo!$K:$K=I588), Facturas_Odoo!$L:$L, ""), ""))</f>
        <v/>
      </c>
      <c r="T588" s="81">
        <f>IF(Q588="Sin Factura",0,IFERROR(_xlfn.XLOOKUP(1, (Facturas_Odoo!$D:$D=A588) * (Facturas_Odoo!$K:$K=I588), Facturas_Odoo!$M:$M, 0), 0))</f>
        <v/>
      </c>
      <c r="U588" s="79">
        <f>IF(Q588="Sin Factura",0,IFERROR(_xlfn.XLOOKUP(1, (Facturas_Odoo!$D:$D=A588) * (Facturas_Odoo!$K:$K=I588), Facturas_Odoo!$N:$N, 0), 0))</f>
        <v/>
      </c>
      <c r="V588" s="79">
        <f>IF(Q588="Sin Factura",0,IFERROR(_xlfn.XLOOKUP(1, (Facturas_Odoo!$D:$D=A588) * (Facturas_Odoo!$K:$K=I588), Facturas_Odoo!$O:$O, 0), 0))</f>
        <v/>
      </c>
      <c r="W588" s="81">
        <f>IF(Q588="Sin Factura",0,IFERROR(_xlfn.XLOOKUP(1, (Facturas_Odoo!$D:$D=A588) * (Facturas_Odoo!$K:$K=I588), Facturas_Odoo!$Q:$Q, 0), 0))</f>
        <v/>
      </c>
      <c r="X588" s="79">
        <f>IF(OR(Q588="Sin Factura",Q588=""),"",IFERROR(INDEX(Pagos_Odoo!$B:$B, MATCH(Q588, Pagos_Odoo!$I:$I, 0)), "Sin Pago"))</f>
        <v/>
      </c>
      <c r="Y588" s="79">
        <f>IF(X588="Sin Pago","",IFERROR(INDEX(Pagos_Odoo!$C:$C, MATCH(X588, Pagos_Odoo!$B:$B, 0)), ""))</f>
        <v/>
      </c>
      <c r="Z588" s="80">
        <f>IF(X588="Sin Pago","",IFERROR(INDEX(Pagos_Odoo!$A:$A, MATCH(X588, Pagos_Odoo!$B:$B, 0)), ""))</f>
        <v/>
      </c>
      <c r="AA588" s="79">
        <f>IF(X588="Sin Pago","",IFERROR(INDEX(Pagos_Odoo!$F:$F, MATCH(X588, Pagos_Odoo!$B:$B, 0)), ""))</f>
        <v/>
      </c>
      <c r="AB588" s="81">
        <f>IF(X588="Sin Pago",0,IFERROR(INDEX(Pagos_Odoo!$E:$E, MATCH(X588, Pagos_Odoo!$B:$B, 0)), 0))</f>
        <v/>
      </c>
      <c r="AC588" s="79">
        <f>IF(X588="Sin Pago","",IFERROR(INDEX(Pagos_Odoo!$G:$G, MATCH(X588, Pagos_Odoo!$B:$B, 0)), ""))</f>
        <v/>
      </c>
      <c r="AD588" s="82" t="n">
        <v>0</v>
      </c>
      <c r="AE588" s="82" t="n"/>
      <c r="AF588" s="82" t="n"/>
      <c r="AG588" s="82">
        <f>IF(AN588="","",AD588+AE588+AF588)</f>
        <v/>
      </c>
      <c r="AH588" s="81">
        <f>IF(AN588="","",P588*(1-AG588))</f>
        <v/>
      </c>
      <c r="AI588" s="81">
        <f>IF(AN588="","",IF(Q588="Sin Factura",0,IFERROR(INDEX(Facturas_Odoo!$H:$H, MATCH(Q588, Facturas_Odoo!$B:$B, 0)), 0)*(1-AG588)))</f>
        <v/>
      </c>
      <c r="AJ588" s="81">
        <f>IF(AN588="","",_xlfn.LET(idVenta, AN588&amp;"",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88" s="81">
        <f>IF(AN588="","",AH588-AJ588)</f>
        <v/>
      </c>
      <c r="AL588" s="81">
        <f>IF(AN588="","",IF(Q588="Sin Factura","",AI588-AJ588))</f>
        <v/>
      </c>
      <c r="AM588" s="81">
        <f>IF(AN588="","",IF(Q588="Sin Factura",0,P588-IFERROR(INDEX(Facturas_Odoo!$H:$H, MATCH(Q588, Facturas_Odoo!$B:$B, 0)), 0)))</f>
        <v/>
      </c>
      <c r="AN588" s="79">
        <f>IF(AND(A588="", J588=""), "", IF(A588&lt;&gt;"", VALUE(MID(A588,2,LEN(A588))), AN587))</f>
        <v/>
      </c>
      <c r="AO588" s="79">
        <f>IF(AN588="","",IF(AD588=0,"OK",_xlfn.LET(monedaPago, IF(AA588="","USD",AA588), limitePermitido, IFERROR(VLOOKUP(monedaPago, Configuración!$A$2:$B$3, 2, FALSE), 0.15), IF(AD588&gt;limitePermitido, "ALERTA: EXCESO (" &amp; TEXT(limitePermitido, "0%") &amp; " máx)", "OK"))))</f>
        <v/>
      </c>
      <c r="AP588" s="79">
        <f>IF(AN588="","",IF(AE588=0,"OK",_xlfn.LET(fechaPago, Z588, fechaFactura, R588, diasCredito, IF(E588="Pago inmediato", 0, IFERROR(VALUE(MID(E588, 1, SEARCH(" ", E588)-1)),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88" s="79">
        <f>IF(AN588="","",IF(AND(N588&gt;0, AG588&gt;0), IF(Configuración!$K$2="NO", "ALERTA: DESCUENTO DOBLE NO PERMITIDO", "OK"), "OK"))</f>
        <v/>
      </c>
      <c r="AR588" s="79">
        <f>IF(AN588="","",IF(OR(AO588&lt;&gt;"OK", AP588&lt;&gt;"OK", AQ588&lt;&gt;"OK"), "⚠️ REVISAR", "OK"))</f>
        <v/>
      </c>
    </row>
    <row r="589">
      <c r="A589" s="79">
        <f>IF('Ordenes_Odoo'!A589="","",'Ordenes_Odoo'!A589)</f>
        <v/>
      </c>
      <c r="B589" s="80">
        <f>IF('Ordenes_Odoo'!B589="","",'Ordenes_Odoo'!B589)</f>
        <v/>
      </c>
      <c r="C589" s="79">
        <f>IF('Ordenes_Odoo'!C589="","",'Ordenes_Odoo'!C589)</f>
        <v/>
      </c>
      <c r="D589" s="79">
        <f>IF('Ordenes_Odoo'!D589="","",'Ordenes_Odoo'!D589)</f>
        <v/>
      </c>
      <c r="E589" s="79">
        <f>IF('Ordenes_Odoo'!E589="","",'Ordenes_Odoo'!E589)</f>
        <v/>
      </c>
      <c r="F589" s="79">
        <f>IF('Ordenes_Odoo'!F589="","",'Ordenes_Odoo'!F589)</f>
        <v/>
      </c>
      <c r="G589" s="79">
        <f>IF('Ordenes_Odoo'!G589="","",'Ordenes_Odoo'!G589)</f>
        <v/>
      </c>
      <c r="H589" s="79">
        <f>IF('Ordenes_Odoo'!H589="","",'Ordenes_Odoo'!H589)</f>
        <v/>
      </c>
      <c r="I589" s="79">
        <f>IF('Ordenes_Odoo'!I589="","",'Ordenes_Odoo'!I589)</f>
        <v/>
      </c>
      <c r="J589" s="79">
        <f>IF('Ordenes_Odoo'!J589="","",'Ordenes_Odoo'!J589)</f>
        <v/>
      </c>
      <c r="K589" s="81">
        <f>IF('Ordenes_Odoo'!K589="","",'Ordenes_Odoo'!K589)</f>
        <v/>
      </c>
      <c r="L589" s="81">
        <f>IF('Ordenes_Odoo'!L589="","",'Ordenes_Odoo'!L589)</f>
        <v/>
      </c>
      <c r="M589" s="79">
        <f>IF('Ordenes_Odoo'!M589="","",'Ordenes_Odoo'!M589)</f>
        <v/>
      </c>
      <c r="N589" s="79">
        <f>IF('Ordenes_Odoo'!N589="","",'Ordenes_Odoo'!N589)</f>
        <v/>
      </c>
      <c r="O589" s="81">
        <f>IF('Ordenes_Odoo'!O589="","",'Ordenes_Odoo'!O589)</f>
        <v/>
      </c>
      <c r="P589" s="81">
        <f>IF('Ordenes_Odoo'!P589="","",'Ordenes_Odoo'!P589)</f>
        <v/>
      </c>
      <c r="Q589" s="79">
        <f>IF(A589="","",IFERROR(INDEX(Facturas_Odoo!$B:$B, MATCH(A589, Facturas_Odoo!$D:$D, 0)), "Sin Factura"))</f>
        <v/>
      </c>
      <c r="R589" s="80">
        <f>IF(Q589="Sin Factura","",IFERROR(INDEX(Facturas_Odoo!$A:$A, MATCH(Q589, Facturas_Odoo!$B:$B, 0)), ""))</f>
        <v/>
      </c>
      <c r="S589" s="79">
        <f>IF(Q589="Sin Factura","",IFERROR(_xlfn.XLOOKUP(1, (Facturas_Odoo!$D:$D=A589) * (Facturas_Odoo!$K:$K=I589), Facturas_Odoo!$L:$L, ""), ""))</f>
        <v/>
      </c>
      <c r="T589" s="81">
        <f>IF(Q589="Sin Factura",0,IFERROR(_xlfn.XLOOKUP(1, (Facturas_Odoo!$D:$D=A589) * (Facturas_Odoo!$K:$K=I589), Facturas_Odoo!$M:$M, 0), 0))</f>
        <v/>
      </c>
      <c r="U589" s="79">
        <f>IF(Q589="Sin Factura",0,IFERROR(_xlfn.XLOOKUP(1, (Facturas_Odoo!$D:$D=A589) * (Facturas_Odoo!$K:$K=I589), Facturas_Odoo!$N:$N, 0), 0))</f>
        <v/>
      </c>
      <c r="V589" s="79">
        <f>IF(Q589="Sin Factura",0,IFERROR(_xlfn.XLOOKUP(1, (Facturas_Odoo!$D:$D=A589) * (Facturas_Odoo!$K:$K=I589), Facturas_Odoo!$O:$O, 0), 0))</f>
        <v/>
      </c>
      <c r="W589" s="81">
        <f>IF(Q589="Sin Factura",0,IFERROR(_xlfn.XLOOKUP(1, (Facturas_Odoo!$D:$D=A589) * (Facturas_Odoo!$K:$K=I589), Facturas_Odoo!$Q:$Q, 0), 0))</f>
        <v/>
      </c>
      <c r="X589" s="79">
        <f>IF(OR(Q589="Sin Factura",Q589=""),"",IFERROR(INDEX(Pagos_Odoo!$B:$B, MATCH(Q589, Pagos_Odoo!$I:$I, 0)), "Sin Pago"))</f>
        <v/>
      </c>
      <c r="Y589" s="79">
        <f>IF(X589="Sin Pago","",IFERROR(INDEX(Pagos_Odoo!$C:$C, MATCH(X589, Pagos_Odoo!$B:$B, 0)), ""))</f>
        <v/>
      </c>
      <c r="Z589" s="80">
        <f>IF(X589="Sin Pago","",IFERROR(INDEX(Pagos_Odoo!$A:$A, MATCH(X589, Pagos_Odoo!$B:$B, 0)), ""))</f>
        <v/>
      </c>
      <c r="AA589" s="79">
        <f>IF(X589="Sin Pago","",IFERROR(INDEX(Pagos_Odoo!$F:$F, MATCH(X589, Pagos_Odoo!$B:$B, 0)), ""))</f>
        <v/>
      </c>
      <c r="AB589" s="81">
        <f>IF(X589="Sin Pago",0,IFERROR(INDEX(Pagos_Odoo!$E:$E, MATCH(X589, Pagos_Odoo!$B:$B, 0)), 0))</f>
        <v/>
      </c>
      <c r="AC589" s="79">
        <f>IF(X589="Sin Pago","",IFERROR(INDEX(Pagos_Odoo!$G:$G, MATCH(X589, Pagos_Odoo!$B:$B, 0)), ""))</f>
        <v/>
      </c>
      <c r="AD589" s="82" t="n">
        <v>0</v>
      </c>
      <c r="AE589" s="82" t="n"/>
      <c r="AF589" s="82" t="n"/>
      <c r="AG589" s="82">
        <f>IF(AN589="","",AD589+AE589+AF589)</f>
        <v/>
      </c>
      <c r="AH589" s="81">
        <f>IF(AN589="","",P589*(1-AG589))</f>
        <v/>
      </c>
      <c r="AI589" s="81">
        <f>IF(AN589="","",IF(Q589="Sin Factura",0,IFERROR(INDEX(Facturas_Odoo!$H:$H, MATCH(Q589, Facturas_Odoo!$B:$B, 0)), 0)*(1-AG589)))</f>
        <v/>
      </c>
      <c r="AJ589" s="81">
        <f>IF(AN589="","",_xlfn.LET(idVenta, AN589&amp;"",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89" s="81">
        <f>IF(AN589="","",AH589-AJ589)</f>
        <v/>
      </c>
      <c r="AL589" s="81">
        <f>IF(AN589="","",IF(Q589="Sin Factura","",AI589-AJ589))</f>
        <v/>
      </c>
      <c r="AM589" s="81">
        <f>IF(AN589="","",IF(Q589="Sin Factura",0,P589-IFERROR(INDEX(Facturas_Odoo!$H:$H, MATCH(Q589, Facturas_Odoo!$B:$B, 0)), 0)))</f>
        <v/>
      </c>
      <c r="AN589" s="79">
        <f>IF(AND(A589="", J589=""), "", IF(A589&lt;&gt;"", VALUE(MID(A589,2,LEN(A589))), AN588))</f>
        <v/>
      </c>
      <c r="AO589" s="79">
        <f>IF(AN589="","",IF(AD589=0,"OK",_xlfn.LET(monedaPago, IF(AA589="","USD",AA589), limitePermitido, IFERROR(VLOOKUP(monedaPago, Configuración!$A$2:$B$3, 2, FALSE), 0.15), IF(AD589&gt;limitePermitido, "ALERTA: EXCESO (" &amp; TEXT(limitePermitido, "0%") &amp; " máx)", "OK"))))</f>
        <v/>
      </c>
      <c r="AP589" s="79">
        <f>IF(AN589="","",IF(AE589=0,"OK",_xlfn.LET(fechaPago, Z589, fechaFactura, R589, diasCredito, IF(E589="Pago inmediato", 0, IFERROR(VALUE(MID(E589, 1, SEARCH(" ", E589)-1)),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89" s="79">
        <f>IF(AN589="","",IF(AND(N589&gt;0, AG589&gt;0), IF(Configuración!$K$2="NO", "ALERTA: DESCUENTO DOBLE NO PERMITIDO", "OK"), "OK"))</f>
        <v/>
      </c>
      <c r="AR589" s="79">
        <f>IF(AN589="","",IF(OR(AO589&lt;&gt;"OK", AP589&lt;&gt;"OK", AQ589&lt;&gt;"OK"), "⚠️ REVISAR", "OK"))</f>
        <v/>
      </c>
    </row>
    <row r="590">
      <c r="A590" s="79">
        <f>IF('Ordenes_Odoo'!A590="","",'Ordenes_Odoo'!A590)</f>
        <v/>
      </c>
      <c r="B590" s="80">
        <f>IF('Ordenes_Odoo'!B590="","",'Ordenes_Odoo'!B590)</f>
        <v/>
      </c>
      <c r="C590" s="79">
        <f>IF('Ordenes_Odoo'!C590="","",'Ordenes_Odoo'!C590)</f>
        <v/>
      </c>
      <c r="D590" s="79">
        <f>IF('Ordenes_Odoo'!D590="","",'Ordenes_Odoo'!D590)</f>
        <v/>
      </c>
      <c r="E590" s="79">
        <f>IF('Ordenes_Odoo'!E590="","",'Ordenes_Odoo'!E590)</f>
        <v/>
      </c>
      <c r="F590" s="79">
        <f>IF('Ordenes_Odoo'!F590="","",'Ordenes_Odoo'!F590)</f>
        <v/>
      </c>
      <c r="G590" s="79">
        <f>IF('Ordenes_Odoo'!G590="","",'Ordenes_Odoo'!G590)</f>
        <v/>
      </c>
      <c r="H590" s="79">
        <f>IF('Ordenes_Odoo'!H590="","",'Ordenes_Odoo'!H590)</f>
        <v/>
      </c>
      <c r="I590" s="79">
        <f>IF('Ordenes_Odoo'!I590="","",'Ordenes_Odoo'!I590)</f>
        <v/>
      </c>
      <c r="J590" s="79">
        <f>IF('Ordenes_Odoo'!J590="","",'Ordenes_Odoo'!J590)</f>
        <v/>
      </c>
      <c r="K590" s="81">
        <f>IF('Ordenes_Odoo'!K590="","",'Ordenes_Odoo'!K590)</f>
        <v/>
      </c>
      <c r="L590" s="81">
        <f>IF('Ordenes_Odoo'!L590="","",'Ordenes_Odoo'!L590)</f>
        <v/>
      </c>
      <c r="M590" s="79">
        <f>IF('Ordenes_Odoo'!M590="","",'Ordenes_Odoo'!M590)</f>
        <v/>
      </c>
      <c r="N590" s="79">
        <f>IF('Ordenes_Odoo'!N590="","",'Ordenes_Odoo'!N590)</f>
        <v/>
      </c>
      <c r="O590" s="81">
        <f>IF('Ordenes_Odoo'!O590="","",'Ordenes_Odoo'!O590)</f>
        <v/>
      </c>
      <c r="P590" s="81">
        <f>IF('Ordenes_Odoo'!P590="","",'Ordenes_Odoo'!P590)</f>
        <v/>
      </c>
      <c r="Q590" s="79">
        <f>IF(A590="","",IFERROR(INDEX(Facturas_Odoo!$B:$B, MATCH(A590, Facturas_Odoo!$D:$D, 0)), "Sin Factura"))</f>
        <v/>
      </c>
      <c r="R590" s="80">
        <f>IF(Q590="Sin Factura","",IFERROR(INDEX(Facturas_Odoo!$A:$A, MATCH(Q590, Facturas_Odoo!$B:$B, 0)), ""))</f>
        <v/>
      </c>
      <c r="S590" s="79">
        <f>IF(Q590="Sin Factura","",IFERROR(_xlfn.XLOOKUP(1, (Facturas_Odoo!$D:$D=A590) * (Facturas_Odoo!$K:$K=I590), Facturas_Odoo!$L:$L, ""), ""))</f>
        <v/>
      </c>
      <c r="T590" s="81">
        <f>IF(Q590="Sin Factura",0,IFERROR(_xlfn.XLOOKUP(1, (Facturas_Odoo!$D:$D=A590) * (Facturas_Odoo!$K:$K=I590), Facturas_Odoo!$M:$M, 0), 0))</f>
        <v/>
      </c>
      <c r="U590" s="79">
        <f>IF(Q590="Sin Factura",0,IFERROR(_xlfn.XLOOKUP(1, (Facturas_Odoo!$D:$D=A590) * (Facturas_Odoo!$K:$K=I590), Facturas_Odoo!$N:$N, 0), 0))</f>
        <v/>
      </c>
      <c r="V590" s="79">
        <f>IF(Q590="Sin Factura",0,IFERROR(_xlfn.XLOOKUP(1, (Facturas_Odoo!$D:$D=A590) * (Facturas_Odoo!$K:$K=I590), Facturas_Odoo!$O:$O, 0), 0))</f>
        <v/>
      </c>
      <c r="W590" s="81">
        <f>IF(Q590="Sin Factura",0,IFERROR(_xlfn.XLOOKUP(1, (Facturas_Odoo!$D:$D=A590) * (Facturas_Odoo!$K:$K=I590), Facturas_Odoo!$Q:$Q, 0), 0))</f>
        <v/>
      </c>
      <c r="X590" s="79">
        <f>IF(OR(Q590="Sin Factura",Q590=""),"",IFERROR(INDEX(Pagos_Odoo!$B:$B, MATCH(Q590, Pagos_Odoo!$I:$I, 0)), "Sin Pago"))</f>
        <v/>
      </c>
      <c r="Y590" s="79">
        <f>IF(X590="Sin Pago","",IFERROR(INDEX(Pagos_Odoo!$C:$C, MATCH(X590, Pagos_Odoo!$B:$B, 0)), ""))</f>
        <v/>
      </c>
      <c r="Z590" s="80">
        <f>IF(X590="Sin Pago","",IFERROR(INDEX(Pagos_Odoo!$A:$A, MATCH(X590, Pagos_Odoo!$B:$B, 0)), ""))</f>
        <v/>
      </c>
      <c r="AA590" s="79">
        <f>IF(X590="Sin Pago","",IFERROR(INDEX(Pagos_Odoo!$F:$F, MATCH(X590, Pagos_Odoo!$B:$B, 0)), ""))</f>
        <v/>
      </c>
      <c r="AB590" s="81">
        <f>IF(X590="Sin Pago",0,IFERROR(INDEX(Pagos_Odoo!$E:$E, MATCH(X590, Pagos_Odoo!$B:$B, 0)), 0))</f>
        <v/>
      </c>
      <c r="AC590" s="79">
        <f>IF(X590="Sin Pago","",IFERROR(INDEX(Pagos_Odoo!$G:$G, MATCH(X590, Pagos_Odoo!$B:$B, 0)), ""))</f>
        <v/>
      </c>
      <c r="AD590" s="82" t="n">
        <v>0</v>
      </c>
      <c r="AE590" s="82" t="n"/>
      <c r="AF590" s="82" t="n"/>
      <c r="AG590" s="82">
        <f>IF(AN590="","",AD590+AE590+AF590)</f>
        <v/>
      </c>
      <c r="AH590" s="81">
        <f>IF(AN590="","",P590*(1-AG590))</f>
        <v/>
      </c>
      <c r="AI590" s="81">
        <f>IF(AN590="","",IF(Q590="Sin Factura",0,IFERROR(INDEX(Facturas_Odoo!$H:$H, MATCH(Q590, Facturas_Odoo!$B:$B, 0)), 0)*(1-AG590)))</f>
        <v/>
      </c>
      <c r="AJ590" s="81">
        <f>IF(AN590="","",_xlfn.LET(idVenta, AN590&amp;"",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90" s="81">
        <f>IF(AN590="","",AH590-AJ590)</f>
        <v/>
      </c>
      <c r="AL590" s="81">
        <f>IF(AN590="","",IF(Q590="Sin Factura","",AI590-AJ590))</f>
        <v/>
      </c>
      <c r="AM590" s="81">
        <f>IF(AN590="","",IF(Q590="Sin Factura",0,P590-IFERROR(INDEX(Facturas_Odoo!$H:$H, MATCH(Q590, Facturas_Odoo!$B:$B, 0)), 0)))</f>
        <v/>
      </c>
      <c r="AN590" s="79">
        <f>IF(AND(A590="", J590=""), "", IF(A590&lt;&gt;"", VALUE(MID(A590,2,LEN(A590))), AN589))</f>
        <v/>
      </c>
      <c r="AO590" s="79">
        <f>IF(AN590="","",IF(AD590=0,"OK",_xlfn.LET(monedaPago, IF(AA590="","USD",AA590), limitePermitido, IFERROR(VLOOKUP(monedaPago, Configuración!$A$2:$B$3, 2, FALSE), 0.15), IF(AD590&gt;limitePermitido, "ALERTA: EXCESO (" &amp; TEXT(limitePermitido, "0%") &amp; " máx)", "OK"))))</f>
        <v/>
      </c>
      <c r="AP590" s="79">
        <f>IF(AN590="","",IF(AE590=0,"OK",_xlfn.LET(fechaPago, Z590, fechaFactura, R590, diasCredito, IF(E590="Pago inmediato", 0, IFERROR(VALUE(MID(E590, 1, SEARCH(" ", E590)-1)),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90" s="79">
        <f>IF(AN590="","",IF(AND(N590&gt;0, AG590&gt;0), IF(Configuración!$K$2="NO", "ALERTA: DESCUENTO DOBLE NO PERMITIDO", "OK"), "OK"))</f>
        <v/>
      </c>
      <c r="AR590" s="79">
        <f>IF(AN590="","",IF(OR(AO590&lt;&gt;"OK", AP590&lt;&gt;"OK", AQ590&lt;&gt;"OK"), "⚠️ REVISAR", "OK"))</f>
        <v/>
      </c>
    </row>
    <row r="591">
      <c r="A591" s="79">
        <f>IF('Ordenes_Odoo'!A591="","",'Ordenes_Odoo'!A591)</f>
        <v/>
      </c>
      <c r="B591" s="80">
        <f>IF('Ordenes_Odoo'!B591="","",'Ordenes_Odoo'!B591)</f>
        <v/>
      </c>
      <c r="C591" s="79">
        <f>IF('Ordenes_Odoo'!C591="","",'Ordenes_Odoo'!C591)</f>
        <v/>
      </c>
      <c r="D591" s="79">
        <f>IF('Ordenes_Odoo'!D591="","",'Ordenes_Odoo'!D591)</f>
        <v/>
      </c>
      <c r="E591" s="79">
        <f>IF('Ordenes_Odoo'!E591="","",'Ordenes_Odoo'!E591)</f>
        <v/>
      </c>
      <c r="F591" s="79">
        <f>IF('Ordenes_Odoo'!F591="","",'Ordenes_Odoo'!F591)</f>
        <v/>
      </c>
      <c r="G591" s="79">
        <f>IF('Ordenes_Odoo'!G591="","",'Ordenes_Odoo'!G591)</f>
        <v/>
      </c>
      <c r="H591" s="79">
        <f>IF('Ordenes_Odoo'!H591="","",'Ordenes_Odoo'!H591)</f>
        <v/>
      </c>
      <c r="I591" s="79">
        <f>IF('Ordenes_Odoo'!I591="","",'Ordenes_Odoo'!I591)</f>
        <v/>
      </c>
      <c r="J591" s="79">
        <f>IF('Ordenes_Odoo'!J591="","",'Ordenes_Odoo'!J591)</f>
        <v/>
      </c>
      <c r="K591" s="81">
        <f>IF('Ordenes_Odoo'!K591="","",'Ordenes_Odoo'!K591)</f>
        <v/>
      </c>
      <c r="L591" s="81">
        <f>IF('Ordenes_Odoo'!L591="","",'Ordenes_Odoo'!L591)</f>
        <v/>
      </c>
      <c r="M591" s="79">
        <f>IF('Ordenes_Odoo'!M591="","",'Ordenes_Odoo'!M591)</f>
        <v/>
      </c>
      <c r="N591" s="79">
        <f>IF('Ordenes_Odoo'!N591="","",'Ordenes_Odoo'!N591)</f>
        <v/>
      </c>
      <c r="O591" s="81">
        <f>IF('Ordenes_Odoo'!O591="","",'Ordenes_Odoo'!O591)</f>
        <v/>
      </c>
      <c r="P591" s="81">
        <f>IF('Ordenes_Odoo'!P591="","",'Ordenes_Odoo'!P591)</f>
        <v/>
      </c>
      <c r="Q591" s="79">
        <f>IF(A591="","",IFERROR(INDEX(Facturas_Odoo!$B:$B, MATCH(A591, Facturas_Odoo!$D:$D, 0)), "Sin Factura"))</f>
        <v/>
      </c>
      <c r="R591" s="80">
        <f>IF(Q591="Sin Factura","",IFERROR(INDEX(Facturas_Odoo!$A:$A, MATCH(Q591, Facturas_Odoo!$B:$B, 0)), ""))</f>
        <v/>
      </c>
      <c r="S591" s="79">
        <f>IF(Q591="Sin Factura","",IFERROR(_xlfn.XLOOKUP(1, (Facturas_Odoo!$D:$D=A591) * (Facturas_Odoo!$K:$K=I591), Facturas_Odoo!$L:$L, ""), ""))</f>
        <v/>
      </c>
      <c r="T591" s="81">
        <f>IF(Q591="Sin Factura",0,IFERROR(_xlfn.XLOOKUP(1, (Facturas_Odoo!$D:$D=A591) * (Facturas_Odoo!$K:$K=I591), Facturas_Odoo!$M:$M, 0), 0))</f>
        <v/>
      </c>
      <c r="U591" s="79">
        <f>IF(Q591="Sin Factura",0,IFERROR(_xlfn.XLOOKUP(1, (Facturas_Odoo!$D:$D=A591) * (Facturas_Odoo!$K:$K=I591), Facturas_Odoo!$N:$N, 0), 0))</f>
        <v/>
      </c>
      <c r="V591" s="79">
        <f>IF(Q591="Sin Factura",0,IFERROR(_xlfn.XLOOKUP(1, (Facturas_Odoo!$D:$D=A591) * (Facturas_Odoo!$K:$K=I591), Facturas_Odoo!$O:$O, 0), 0))</f>
        <v/>
      </c>
      <c r="W591" s="81">
        <f>IF(Q591="Sin Factura",0,IFERROR(_xlfn.XLOOKUP(1, (Facturas_Odoo!$D:$D=A591) * (Facturas_Odoo!$K:$K=I591), Facturas_Odoo!$Q:$Q, 0), 0))</f>
        <v/>
      </c>
      <c r="X591" s="79">
        <f>IF(OR(Q591="Sin Factura",Q591=""),"",IFERROR(INDEX(Pagos_Odoo!$B:$B, MATCH(Q591, Pagos_Odoo!$I:$I, 0)), "Sin Pago"))</f>
        <v/>
      </c>
      <c r="Y591" s="79">
        <f>IF(X591="Sin Pago","",IFERROR(INDEX(Pagos_Odoo!$C:$C, MATCH(X591, Pagos_Odoo!$B:$B, 0)), ""))</f>
        <v/>
      </c>
      <c r="Z591" s="80">
        <f>IF(X591="Sin Pago","",IFERROR(INDEX(Pagos_Odoo!$A:$A, MATCH(X591, Pagos_Odoo!$B:$B, 0)), ""))</f>
        <v/>
      </c>
      <c r="AA591" s="79">
        <f>IF(X591="Sin Pago","",IFERROR(INDEX(Pagos_Odoo!$F:$F, MATCH(X591, Pagos_Odoo!$B:$B, 0)), ""))</f>
        <v/>
      </c>
      <c r="AB591" s="81">
        <f>IF(X591="Sin Pago",0,IFERROR(INDEX(Pagos_Odoo!$E:$E, MATCH(X591, Pagos_Odoo!$B:$B, 0)), 0))</f>
        <v/>
      </c>
      <c r="AC591" s="79">
        <f>IF(X591="Sin Pago","",IFERROR(INDEX(Pagos_Odoo!$G:$G, MATCH(X591, Pagos_Odoo!$B:$B, 0)), ""))</f>
        <v/>
      </c>
      <c r="AD591" s="82" t="n">
        <v>0</v>
      </c>
      <c r="AE591" s="82" t="n"/>
      <c r="AF591" s="82" t="n"/>
      <c r="AG591" s="82">
        <f>IF(AN591="","",AD591+AE591+AF591)</f>
        <v/>
      </c>
      <c r="AH591" s="81">
        <f>IF(AN591="","",P591*(1-AG591))</f>
        <v/>
      </c>
      <c r="AI591" s="81">
        <f>IF(AN591="","",IF(Q591="Sin Factura",0,IFERROR(INDEX(Facturas_Odoo!$H:$H, MATCH(Q591, Facturas_Odoo!$B:$B, 0)), 0)*(1-AG591)))</f>
        <v/>
      </c>
      <c r="AJ591" s="81">
        <f>IF(AN591="","",_xlfn.LET(idVenta, AN591&amp;"",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91" s="81">
        <f>IF(AN591="","",AH591-AJ591)</f>
        <v/>
      </c>
      <c r="AL591" s="81">
        <f>IF(AN591="","",IF(Q591="Sin Factura","",AI591-AJ591))</f>
        <v/>
      </c>
      <c r="AM591" s="81">
        <f>IF(AN591="","",IF(Q591="Sin Factura",0,P591-IFERROR(INDEX(Facturas_Odoo!$H:$H, MATCH(Q591, Facturas_Odoo!$B:$B, 0)), 0)))</f>
        <v/>
      </c>
      <c r="AN591" s="79">
        <f>IF(AND(A591="", J591=""), "", IF(A591&lt;&gt;"", VALUE(MID(A591,2,LEN(A591))), AN590))</f>
        <v/>
      </c>
      <c r="AO591" s="79">
        <f>IF(AN591="","",IF(AD591=0,"OK",_xlfn.LET(monedaPago, IF(AA591="","USD",AA591), limitePermitido, IFERROR(VLOOKUP(monedaPago, Configuración!$A$2:$B$3, 2, FALSE), 0.15), IF(AD591&gt;limitePermitido, "ALERTA: EXCESO (" &amp; TEXT(limitePermitido, "0%") &amp; " máx)", "OK"))))</f>
        <v/>
      </c>
      <c r="AP591" s="79">
        <f>IF(AN591="","",IF(AE591=0,"OK",_xlfn.LET(fechaPago, Z591, fechaFactura, R591, diasCredito, IF(E591="Pago inmediato", 0, IFERROR(VALUE(MID(E591, 1, SEARCH(" ", E591)-1)),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91" s="79">
        <f>IF(AN591="","",IF(AND(N591&gt;0, AG591&gt;0), IF(Configuración!$K$2="NO", "ALERTA: DESCUENTO DOBLE NO PERMITIDO", "OK"), "OK"))</f>
        <v/>
      </c>
      <c r="AR591" s="79">
        <f>IF(AN591="","",IF(OR(AO591&lt;&gt;"OK", AP591&lt;&gt;"OK", AQ591&lt;&gt;"OK"), "⚠️ REVISAR", "OK"))</f>
        <v/>
      </c>
    </row>
    <row r="592">
      <c r="A592" s="79">
        <f>IF('Ordenes_Odoo'!A592="","",'Ordenes_Odoo'!A592)</f>
        <v/>
      </c>
      <c r="B592" s="80">
        <f>IF('Ordenes_Odoo'!B592="","",'Ordenes_Odoo'!B592)</f>
        <v/>
      </c>
      <c r="C592" s="79">
        <f>IF('Ordenes_Odoo'!C592="","",'Ordenes_Odoo'!C592)</f>
        <v/>
      </c>
      <c r="D592" s="79">
        <f>IF('Ordenes_Odoo'!D592="","",'Ordenes_Odoo'!D592)</f>
        <v/>
      </c>
      <c r="E592" s="79">
        <f>IF('Ordenes_Odoo'!E592="","",'Ordenes_Odoo'!E592)</f>
        <v/>
      </c>
      <c r="F592" s="79">
        <f>IF('Ordenes_Odoo'!F592="","",'Ordenes_Odoo'!F592)</f>
        <v/>
      </c>
      <c r="G592" s="79">
        <f>IF('Ordenes_Odoo'!G592="","",'Ordenes_Odoo'!G592)</f>
        <v/>
      </c>
      <c r="H592" s="79">
        <f>IF('Ordenes_Odoo'!H592="","",'Ordenes_Odoo'!H592)</f>
        <v/>
      </c>
      <c r="I592" s="79">
        <f>IF('Ordenes_Odoo'!I592="","",'Ordenes_Odoo'!I592)</f>
        <v/>
      </c>
      <c r="J592" s="79">
        <f>IF('Ordenes_Odoo'!J592="","",'Ordenes_Odoo'!J592)</f>
        <v/>
      </c>
      <c r="K592" s="81">
        <f>IF('Ordenes_Odoo'!K592="","",'Ordenes_Odoo'!K592)</f>
        <v/>
      </c>
      <c r="L592" s="81">
        <f>IF('Ordenes_Odoo'!L592="","",'Ordenes_Odoo'!L592)</f>
        <v/>
      </c>
      <c r="M592" s="79">
        <f>IF('Ordenes_Odoo'!M592="","",'Ordenes_Odoo'!M592)</f>
        <v/>
      </c>
      <c r="N592" s="79">
        <f>IF('Ordenes_Odoo'!N592="","",'Ordenes_Odoo'!N592)</f>
        <v/>
      </c>
      <c r="O592" s="81">
        <f>IF('Ordenes_Odoo'!O592="","",'Ordenes_Odoo'!O592)</f>
        <v/>
      </c>
      <c r="P592" s="81">
        <f>IF('Ordenes_Odoo'!P592="","",'Ordenes_Odoo'!P592)</f>
        <v/>
      </c>
      <c r="Q592" s="79">
        <f>IF(A592="","",IFERROR(INDEX(Facturas_Odoo!$B:$B, MATCH(A592, Facturas_Odoo!$D:$D, 0)), "Sin Factura"))</f>
        <v/>
      </c>
      <c r="R592" s="80">
        <f>IF(Q592="Sin Factura","",IFERROR(INDEX(Facturas_Odoo!$A:$A, MATCH(Q592, Facturas_Odoo!$B:$B, 0)), ""))</f>
        <v/>
      </c>
      <c r="S592" s="79">
        <f>IF(Q592="Sin Factura","",IFERROR(_xlfn.XLOOKUP(1, (Facturas_Odoo!$D:$D=A592) * (Facturas_Odoo!$K:$K=I592), Facturas_Odoo!$L:$L, ""), ""))</f>
        <v/>
      </c>
      <c r="T592" s="81">
        <f>IF(Q592="Sin Factura",0,IFERROR(_xlfn.XLOOKUP(1, (Facturas_Odoo!$D:$D=A592) * (Facturas_Odoo!$K:$K=I592), Facturas_Odoo!$M:$M, 0), 0))</f>
        <v/>
      </c>
      <c r="U592" s="79">
        <f>IF(Q592="Sin Factura",0,IFERROR(_xlfn.XLOOKUP(1, (Facturas_Odoo!$D:$D=A592) * (Facturas_Odoo!$K:$K=I592), Facturas_Odoo!$N:$N, 0), 0))</f>
        <v/>
      </c>
      <c r="V592" s="79">
        <f>IF(Q592="Sin Factura",0,IFERROR(_xlfn.XLOOKUP(1, (Facturas_Odoo!$D:$D=A592) * (Facturas_Odoo!$K:$K=I592), Facturas_Odoo!$O:$O, 0), 0))</f>
        <v/>
      </c>
      <c r="W592" s="81">
        <f>IF(Q592="Sin Factura",0,IFERROR(_xlfn.XLOOKUP(1, (Facturas_Odoo!$D:$D=A592) * (Facturas_Odoo!$K:$K=I592), Facturas_Odoo!$Q:$Q, 0), 0))</f>
        <v/>
      </c>
      <c r="X592" s="79">
        <f>IF(OR(Q592="Sin Factura",Q592=""),"",IFERROR(INDEX(Pagos_Odoo!$B:$B, MATCH(Q592, Pagos_Odoo!$I:$I, 0)), "Sin Pago"))</f>
        <v/>
      </c>
      <c r="Y592" s="79">
        <f>IF(X592="Sin Pago","",IFERROR(INDEX(Pagos_Odoo!$C:$C, MATCH(X592, Pagos_Odoo!$B:$B, 0)), ""))</f>
        <v/>
      </c>
      <c r="Z592" s="80">
        <f>IF(X592="Sin Pago","",IFERROR(INDEX(Pagos_Odoo!$A:$A, MATCH(X592, Pagos_Odoo!$B:$B, 0)), ""))</f>
        <v/>
      </c>
      <c r="AA592" s="79">
        <f>IF(X592="Sin Pago","",IFERROR(INDEX(Pagos_Odoo!$F:$F, MATCH(X592, Pagos_Odoo!$B:$B, 0)), ""))</f>
        <v/>
      </c>
      <c r="AB592" s="81">
        <f>IF(X592="Sin Pago",0,IFERROR(INDEX(Pagos_Odoo!$E:$E, MATCH(X592, Pagos_Odoo!$B:$B, 0)), 0))</f>
        <v/>
      </c>
      <c r="AC592" s="79">
        <f>IF(X592="Sin Pago","",IFERROR(INDEX(Pagos_Odoo!$G:$G, MATCH(X592, Pagos_Odoo!$B:$B, 0)), ""))</f>
        <v/>
      </c>
      <c r="AD592" s="82" t="n">
        <v>0</v>
      </c>
      <c r="AE592" s="82" t="n"/>
      <c r="AF592" s="82" t="n"/>
      <c r="AG592" s="82">
        <f>IF(AN592="","",AD592+AE592+AF592)</f>
        <v/>
      </c>
      <c r="AH592" s="81">
        <f>IF(AN592="","",P592*(1-AG592))</f>
        <v/>
      </c>
      <c r="AI592" s="81">
        <f>IF(AN592="","",IF(Q592="Sin Factura",0,IFERROR(INDEX(Facturas_Odoo!$H:$H, MATCH(Q592, Facturas_Odoo!$B:$B, 0)), 0)*(1-AG592)))</f>
        <v/>
      </c>
      <c r="AJ592" s="81">
        <f>IF(AN592="","",_xlfn.LET(idVenta, AN592&amp;"",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92" s="81">
        <f>IF(AN592="","",AH592-AJ592)</f>
        <v/>
      </c>
      <c r="AL592" s="81">
        <f>IF(AN592="","",IF(Q592="Sin Factura","",AI592-AJ592))</f>
        <v/>
      </c>
      <c r="AM592" s="81">
        <f>IF(AN592="","",IF(Q592="Sin Factura",0,P592-IFERROR(INDEX(Facturas_Odoo!$H:$H, MATCH(Q592, Facturas_Odoo!$B:$B, 0)), 0)))</f>
        <v/>
      </c>
      <c r="AN592" s="79">
        <f>IF(AND(A592="", J592=""), "", IF(A592&lt;&gt;"", VALUE(MID(A592,2,LEN(A592))), AN591))</f>
        <v/>
      </c>
      <c r="AO592" s="79">
        <f>IF(AN592="","",IF(AD592=0,"OK",_xlfn.LET(monedaPago, IF(AA592="","USD",AA592), limitePermitido, IFERROR(VLOOKUP(monedaPago, Configuración!$A$2:$B$3, 2, FALSE), 0.15), IF(AD592&gt;limitePermitido, "ALERTA: EXCESO (" &amp; TEXT(limitePermitido, "0%") &amp; " máx)", "OK"))))</f>
        <v/>
      </c>
      <c r="AP592" s="79">
        <f>IF(AN592="","",IF(AE592=0,"OK",_xlfn.LET(fechaPago, Z592, fechaFactura, R592, diasCredito, IF(E592="Pago inmediato", 0, IFERROR(VALUE(MID(E592, 1, SEARCH(" ", E592)-1)),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92" s="79">
        <f>IF(AN592="","",IF(AND(N592&gt;0, AG592&gt;0), IF(Configuración!$K$2="NO", "ALERTA: DESCUENTO DOBLE NO PERMITIDO", "OK"), "OK"))</f>
        <v/>
      </c>
      <c r="AR592" s="79">
        <f>IF(AN592="","",IF(OR(AO592&lt;&gt;"OK", AP592&lt;&gt;"OK", AQ592&lt;&gt;"OK"), "⚠️ REVISAR", "OK"))</f>
        <v/>
      </c>
    </row>
    <row r="593">
      <c r="A593" s="79">
        <f>IF('Ordenes_Odoo'!A593="","",'Ordenes_Odoo'!A593)</f>
        <v/>
      </c>
      <c r="B593" s="80">
        <f>IF('Ordenes_Odoo'!B593="","",'Ordenes_Odoo'!B593)</f>
        <v/>
      </c>
      <c r="C593" s="79">
        <f>IF('Ordenes_Odoo'!C593="","",'Ordenes_Odoo'!C593)</f>
        <v/>
      </c>
      <c r="D593" s="79">
        <f>IF('Ordenes_Odoo'!D593="","",'Ordenes_Odoo'!D593)</f>
        <v/>
      </c>
      <c r="E593" s="79">
        <f>IF('Ordenes_Odoo'!E593="","",'Ordenes_Odoo'!E593)</f>
        <v/>
      </c>
      <c r="F593" s="79">
        <f>IF('Ordenes_Odoo'!F593="","",'Ordenes_Odoo'!F593)</f>
        <v/>
      </c>
      <c r="G593" s="79">
        <f>IF('Ordenes_Odoo'!G593="","",'Ordenes_Odoo'!G593)</f>
        <v/>
      </c>
      <c r="H593" s="79">
        <f>IF('Ordenes_Odoo'!H593="","",'Ordenes_Odoo'!H593)</f>
        <v/>
      </c>
      <c r="I593" s="79">
        <f>IF('Ordenes_Odoo'!I593="","",'Ordenes_Odoo'!I593)</f>
        <v/>
      </c>
      <c r="J593" s="79">
        <f>IF('Ordenes_Odoo'!J593="","",'Ordenes_Odoo'!J593)</f>
        <v/>
      </c>
      <c r="K593" s="81">
        <f>IF('Ordenes_Odoo'!K593="","",'Ordenes_Odoo'!K593)</f>
        <v/>
      </c>
      <c r="L593" s="81">
        <f>IF('Ordenes_Odoo'!L593="","",'Ordenes_Odoo'!L593)</f>
        <v/>
      </c>
      <c r="M593" s="79">
        <f>IF('Ordenes_Odoo'!M593="","",'Ordenes_Odoo'!M593)</f>
        <v/>
      </c>
      <c r="N593" s="79">
        <f>IF('Ordenes_Odoo'!N593="","",'Ordenes_Odoo'!N593)</f>
        <v/>
      </c>
      <c r="O593" s="81">
        <f>IF('Ordenes_Odoo'!O593="","",'Ordenes_Odoo'!O593)</f>
        <v/>
      </c>
      <c r="P593" s="81">
        <f>IF('Ordenes_Odoo'!P593="","",'Ordenes_Odoo'!P593)</f>
        <v/>
      </c>
      <c r="Q593" s="79">
        <f>IF(A593="","",IFERROR(INDEX(Facturas_Odoo!$B:$B, MATCH(A593, Facturas_Odoo!$D:$D, 0)), "Sin Factura"))</f>
        <v/>
      </c>
      <c r="R593" s="80">
        <f>IF(Q593="Sin Factura","",IFERROR(INDEX(Facturas_Odoo!$A:$A, MATCH(Q593, Facturas_Odoo!$B:$B, 0)), ""))</f>
        <v/>
      </c>
      <c r="S593" s="79">
        <f>IF(Q593="Sin Factura","",IFERROR(_xlfn.XLOOKUP(1, (Facturas_Odoo!$D:$D=A593) * (Facturas_Odoo!$K:$K=I593), Facturas_Odoo!$L:$L, ""), ""))</f>
        <v/>
      </c>
      <c r="T593" s="81">
        <f>IF(Q593="Sin Factura",0,IFERROR(_xlfn.XLOOKUP(1, (Facturas_Odoo!$D:$D=A593) * (Facturas_Odoo!$K:$K=I593), Facturas_Odoo!$M:$M, 0), 0))</f>
        <v/>
      </c>
      <c r="U593" s="79">
        <f>IF(Q593="Sin Factura",0,IFERROR(_xlfn.XLOOKUP(1, (Facturas_Odoo!$D:$D=A593) * (Facturas_Odoo!$K:$K=I593), Facturas_Odoo!$N:$N, 0), 0))</f>
        <v/>
      </c>
      <c r="V593" s="79">
        <f>IF(Q593="Sin Factura",0,IFERROR(_xlfn.XLOOKUP(1, (Facturas_Odoo!$D:$D=A593) * (Facturas_Odoo!$K:$K=I593), Facturas_Odoo!$O:$O, 0), 0))</f>
        <v/>
      </c>
      <c r="W593" s="81">
        <f>IF(Q593="Sin Factura",0,IFERROR(_xlfn.XLOOKUP(1, (Facturas_Odoo!$D:$D=A593) * (Facturas_Odoo!$K:$K=I593), Facturas_Odoo!$Q:$Q, 0), 0))</f>
        <v/>
      </c>
      <c r="X593" s="79">
        <f>IF(OR(Q593="Sin Factura",Q593=""),"",IFERROR(INDEX(Pagos_Odoo!$B:$B, MATCH(Q593, Pagos_Odoo!$I:$I, 0)), "Sin Pago"))</f>
        <v/>
      </c>
      <c r="Y593" s="79">
        <f>IF(X593="Sin Pago","",IFERROR(INDEX(Pagos_Odoo!$C:$C, MATCH(X593, Pagos_Odoo!$B:$B, 0)), ""))</f>
        <v/>
      </c>
      <c r="Z593" s="80">
        <f>IF(X593="Sin Pago","",IFERROR(INDEX(Pagos_Odoo!$A:$A, MATCH(X593, Pagos_Odoo!$B:$B, 0)), ""))</f>
        <v/>
      </c>
      <c r="AA593" s="79">
        <f>IF(X593="Sin Pago","",IFERROR(INDEX(Pagos_Odoo!$F:$F, MATCH(X593, Pagos_Odoo!$B:$B, 0)), ""))</f>
        <v/>
      </c>
      <c r="AB593" s="81">
        <f>IF(X593="Sin Pago",0,IFERROR(INDEX(Pagos_Odoo!$E:$E, MATCH(X593, Pagos_Odoo!$B:$B, 0)), 0))</f>
        <v/>
      </c>
      <c r="AC593" s="79">
        <f>IF(X593="Sin Pago","",IFERROR(INDEX(Pagos_Odoo!$G:$G, MATCH(X593, Pagos_Odoo!$B:$B, 0)), ""))</f>
        <v/>
      </c>
      <c r="AD593" s="82" t="n">
        <v>0</v>
      </c>
      <c r="AE593" s="82" t="n"/>
      <c r="AF593" s="82" t="n"/>
      <c r="AG593" s="82">
        <f>IF(AN593="","",AD593+AE593+AF593)</f>
        <v/>
      </c>
      <c r="AH593" s="81">
        <f>IF(AN593="","",P593*(1-AG593))</f>
        <v/>
      </c>
      <c r="AI593" s="81">
        <f>IF(AN593="","",IF(Q593="Sin Factura",0,IFERROR(INDEX(Facturas_Odoo!$H:$H, MATCH(Q593, Facturas_Odoo!$B:$B, 0)), 0)*(1-AG593)))</f>
        <v/>
      </c>
      <c r="AJ593" s="81">
        <f>IF(AN593="","",_xlfn.LET(idVenta, AN593&amp;"",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93" s="81">
        <f>IF(AN593="","",AH593-AJ593)</f>
        <v/>
      </c>
      <c r="AL593" s="81">
        <f>IF(AN593="","",IF(Q593="Sin Factura","",AI593-AJ593))</f>
        <v/>
      </c>
      <c r="AM593" s="81">
        <f>IF(AN593="","",IF(Q593="Sin Factura",0,P593-IFERROR(INDEX(Facturas_Odoo!$H:$H, MATCH(Q593, Facturas_Odoo!$B:$B, 0)), 0)))</f>
        <v/>
      </c>
      <c r="AN593" s="79">
        <f>IF(AND(A593="", J593=""), "", IF(A593&lt;&gt;"", VALUE(MID(A593,2,LEN(A593))), AN592))</f>
        <v/>
      </c>
      <c r="AO593" s="79">
        <f>IF(AN593="","",IF(AD593=0,"OK",_xlfn.LET(monedaPago, IF(AA593="","USD",AA593), limitePermitido, IFERROR(VLOOKUP(monedaPago, Configuración!$A$2:$B$3, 2, FALSE), 0.15), IF(AD593&gt;limitePermitido, "ALERTA: EXCESO (" &amp; TEXT(limitePermitido, "0%") &amp; " máx)", "OK"))))</f>
        <v/>
      </c>
      <c r="AP593" s="79">
        <f>IF(AN593="","",IF(AE593=0,"OK",_xlfn.LET(fechaPago, Z593, fechaFactura, R593, diasCredito, IF(E593="Pago inmediato", 0, IFERROR(VALUE(MID(E593, 1, SEARCH(" ", E593)-1)),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93" s="79">
        <f>IF(AN593="","",IF(AND(N593&gt;0, AG593&gt;0), IF(Configuración!$K$2="NO", "ALERTA: DESCUENTO DOBLE NO PERMITIDO", "OK"), "OK"))</f>
        <v/>
      </c>
      <c r="AR593" s="79">
        <f>IF(AN593="","",IF(OR(AO593&lt;&gt;"OK", AP593&lt;&gt;"OK", AQ593&lt;&gt;"OK"), "⚠️ REVISAR", "OK"))</f>
        <v/>
      </c>
    </row>
    <row r="594">
      <c r="A594" s="79">
        <f>IF('Ordenes_Odoo'!A594="","",'Ordenes_Odoo'!A594)</f>
        <v/>
      </c>
      <c r="B594" s="80">
        <f>IF('Ordenes_Odoo'!B594="","",'Ordenes_Odoo'!B594)</f>
        <v/>
      </c>
      <c r="C594" s="79">
        <f>IF('Ordenes_Odoo'!C594="","",'Ordenes_Odoo'!C594)</f>
        <v/>
      </c>
      <c r="D594" s="79">
        <f>IF('Ordenes_Odoo'!D594="","",'Ordenes_Odoo'!D594)</f>
        <v/>
      </c>
      <c r="E594" s="79">
        <f>IF('Ordenes_Odoo'!E594="","",'Ordenes_Odoo'!E594)</f>
        <v/>
      </c>
      <c r="F594" s="79">
        <f>IF('Ordenes_Odoo'!F594="","",'Ordenes_Odoo'!F594)</f>
        <v/>
      </c>
      <c r="G594" s="79">
        <f>IF('Ordenes_Odoo'!G594="","",'Ordenes_Odoo'!G594)</f>
        <v/>
      </c>
      <c r="H594" s="79">
        <f>IF('Ordenes_Odoo'!H594="","",'Ordenes_Odoo'!H594)</f>
        <v/>
      </c>
      <c r="I594" s="79">
        <f>IF('Ordenes_Odoo'!I594="","",'Ordenes_Odoo'!I594)</f>
        <v/>
      </c>
      <c r="J594" s="79">
        <f>IF('Ordenes_Odoo'!J594="","",'Ordenes_Odoo'!J594)</f>
        <v/>
      </c>
      <c r="K594" s="81">
        <f>IF('Ordenes_Odoo'!K594="","",'Ordenes_Odoo'!K594)</f>
        <v/>
      </c>
      <c r="L594" s="81">
        <f>IF('Ordenes_Odoo'!L594="","",'Ordenes_Odoo'!L594)</f>
        <v/>
      </c>
      <c r="M594" s="79">
        <f>IF('Ordenes_Odoo'!M594="","",'Ordenes_Odoo'!M594)</f>
        <v/>
      </c>
      <c r="N594" s="79">
        <f>IF('Ordenes_Odoo'!N594="","",'Ordenes_Odoo'!N594)</f>
        <v/>
      </c>
      <c r="O594" s="81">
        <f>IF('Ordenes_Odoo'!O594="","",'Ordenes_Odoo'!O594)</f>
        <v/>
      </c>
      <c r="P594" s="81">
        <f>IF('Ordenes_Odoo'!P594="","",'Ordenes_Odoo'!P594)</f>
        <v/>
      </c>
      <c r="Q594" s="79">
        <f>IF(A594="","",IFERROR(INDEX(Facturas_Odoo!$B:$B, MATCH(A594, Facturas_Odoo!$D:$D, 0)), "Sin Factura"))</f>
        <v/>
      </c>
      <c r="R594" s="80">
        <f>IF(Q594="Sin Factura","",IFERROR(INDEX(Facturas_Odoo!$A:$A, MATCH(Q594, Facturas_Odoo!$B:$B, 0)), ""))</f>
        <v/>
      </c>
      <c r="S594" s="79">
        <f>IF(Q594="Sin Factura","",IFERROR(_xlfn.XLOOKUP(1, (Facturas_Odoo!$D:$D=A594) * (Facturas_Odoo!$K:$K=I594), Facturas_Odoo!$L:$L, ""), ""))</f>
        <v/>
      </c>
      <c r="T594" s="81">
        <f>IF(Q594="Sin Factura",0,IFERROR(_xlfn.XLOOKUP(1, (Facturas_Odoo!$D:$D=A594) * (Facturas_Odoo!$K:$K=I594), Facturas_Odoo!$M:$M, 0), 0))</f>
        <v/>
      </c>
      <c r="U594" s="79">
        <f>IF(Q594="Sin Factura",0,IFERROR(_xlfn.XLOOKUP(1, (Facturas_Odoo!$D:$D=A594) * (Facturas_Odoo!$K:$K=I594), Facturas_Odoo!$N:$N, 0), 0))</f>
        <v/>
      </c>
      <c r="V594" s="79">
        <f>IF(Q594="Sin Factura",0,IFERROR(_xlfn.XLOOKUP(1, (Facturas_Odoo!$D:$D=A594) * (Facturas_Odoo!$K:$K=I594), Facturas_Odoo!$O:$O, 0), 0))</f>
        <v/>
      </c>
      <c r="W594" s="81">
        <f>IF(Q594="Sin Factura",0,IFERROR(_xlfn.XLOOKUP(1, (Facturas_Odoo!$D:$D=A594) * (Facturas_Odoo!$K:$K=I594), Facturas_Odoo!$Q:$Q, 0), 0))</f>
        <v/>
      </c>
      <c r="X594" s="79">
        <f>IF(OR(Q594="Sin Factura",Q594=""),"",IFERROR(INDEX(Pagos_Odoo!$B:$B, MATCH(Q594, Pagos_Odoo!$I:$I, 0)), "Sin Pago"))</f>
        <v/>
      </c>
      <c r="Y594" s="79">
        <f>IF(X594="Sin Pago","",IFERROR(INDEX(Pagos_Odoo!$C:$C, MATCH(X594, Pagos_Odoo!$B:$B, 0)), ""))</f>
        <v/>
      </c>
      <c r="Z594" s="80">
        <f>IF(X594="Sin Pago","",IFERROR(INDEX(Pagos_Odoo!$A:$A, MATCH(X594, Pagos_Odoo!$B:$B, 0)), ""))</f>
        <v/>
      </c>
      <c r="AA594" s="79">
        <f>IF(X594="Sin Pago","",IFERROR(INDEX(Pagos_Odoo!$F:$F, MATCH(X594, Pagos_Odoo!$B:$B, 0)), ""))</f>
        <v/>
      </c>
      <c r="AB594" s="81">
        <f>IF(X594="Sin Pago",0,IFERROR(INDEX(Pagos_Odoo!$E:$E, MATCH(X594, Pagos_Odoo!$B:$B, 0)), 0))</f>
        <v/>
      </c>
      <c r="AC594" s="79">
        <f>IF(X594="Sin Pago","",IFERROR(INDEX(Pagos_Odoo!$G:$G, MATCH(X594, Pagos_Odoo!$B:$B, 0)), ""))</f>
        <v/>
      </c>
      <c r="AD594" s="82" t="n">
        <v>0</v>
      </c>
      <c r="AE594" s="82" t="n"/>
      <c r="AF594" s="82" t="n"/>
      <c r="AG594" s="82">
        <f>IF(AN594="","",AD594+AE594+AF594)</f>
        <v/>
      </c>
      <c r="AH594" s="81">
        <f>IF(AN594="","",P594*(1-AG594))</f>
        <v/>
      </c>
      <c r="AI594" s="81">
        <f>IF(AN594="","",IF(Q594="Sin Factura",0,IFERROR(INDEX(Facturas_Odoo!$H:$H, MATCH(Q594, Facturas_Odoo!$B:$B, 0)), 0)*(1-AG594)))</f>
        <v/>
      </c>
      <c r="AJ594" s="81">
        <f>IF(AN594="","",_xlfn.LET(idVenta, AN594&amp;"",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94" s="81">
        <f>IF(AN594="","",AH594-AJ594)</f>
        <v/>
      </c>
      <c r="AL594" s="81">
        <f>IF(AN594="","",IF(Q594="Sin Factura","",AI594-AJ594))</f>
        <v/>
      </c>
      <c r="AM594" s="81">
        <f>IF(AN594="","",IF(Q594="Sin Factura",0,P594-IFERROR(INDEX(Facturas_Odoo!$H:$H, MATCH(Q594, Facturas_Odoo!$B:$B, 0)), 0)))</f>
        <v/>
      </c>
      <c r="AN594" s="79">
        <f>IF(AND(A594="", J594=""), "", IF(A594&lt;&gt;"", VALUE(MID(A594,2,LEN(A594))), AN593))</f>
        <v/>
      </c>
      <c r="AO594" s="79">
        <f>IF(AN594="","",IF(AD594=0,"OK",_xlfn.LET(monedaPago, IF(AA594="","USD",AA594), limitePermitido, IFERROR(VLOOKUP(monedaPago, Configuración!$A$2:$B$3, 2, FALSE), 0.15), IF(AD594&gt;limitePermitido, "ALERTA: EXCESO (" &amp; TEXT(limitePermitido, "0%") &amp; " máx)", "OK"))))</f>
        <v/>
      </c>
      <c r="AP594" s="79">
        <f>IF(AN594="","",IF(AE594=0,"OK",_xlfn.LET(fechaPago, Z594, fechaFactura, R594, diasCredito, IF(E594="Pago inmediato", 0, IFERROR(VALUE(MID(E594, 1, SEARCH(" ", E594)-1)),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94" s="79">
        <f>IF(AN594="","",IF(AND(N594&gt;0, AG594&gt;0), IF(Configuración!$K$2="NO", "ALERTA: DESCUENTO DOBLE NO PERMITIDO", "OK"), "OK"))</f>
        <v/>
      </c>
      <c r="AR594" s="79">
        <f>IF(AN594="","",IF(OR(AO594&lt;&gt;"OK", AP594&lt;&gt;"OK", AQ594&lt;&gt;"OK"), "⚠️ REVISAR", "OK"))</f>
        <v/>
      </c>
    </row>
    <row r="595">
      <c r="A595" s="79">
        <f>IF('Ordenes_Odoo'!A595="","",'Ordenes_Odoo'!A595)</f>
        <v/>
      </c>
      <c r="B595" s="80">
        <f>IF('Ordenes_Odoo'!B595="","",'Ordenes_Odoo'!B595)</f>
        <v/>
      </c>
      <c r="C595" s="79">
        <f>IF('Ordenes_Odoo'!C595="","",'Ordenes_Odoo'!C595)</f>
        <v/>
      </c>
      <c r="D595" s="79">
        <f>IF('Ordenes_Odoo'!D595="","",'Ordenes_Odoo'!D595)</f>
        <v/>
      </c>
      <c r="E595" s="79">
        <f>IF('Ordenes_Odoo'!E595="","",'Ordenes_Odoo'!E595)</f>
        <v/>
      </c>
      <c r="F595" s="79">
        <f>IF('Ordenes_Odoo'!F595="","",'Ordenes_Odoo'!F595)</f>
        <v/>
      </c>
      <c r="G595" s="79">
        <f>IF('Ordenes_Odoo'!G595="","",'Ordenes_Odoo'!G595)</f>
        <v/>
      </c>
      <c r="H595" s="79">
        <f>IF('Ordenes_Odoo'!H595="","",'Ordenes_Odoo'!H595)</f>
        <v/>
      </c>
      <c r="I595" s="79">
        <f>IF('Ordenes_Odoo'!I595="","",'Ordenes_Odoo'!I595)</f>
        <v/>
      </c>
      <c r="J595" s="79">
        <f>IF('Ordenes_Odoo'!J595="","",'Ordenes_Odoo'!J595)</f>
        <v/>
      </c>
      <c r="K595" s="81">
        <f>IF('Ordenes_Odoo'!K595="","",'Ordenes_Odoo'!K595)</f>
        <v/>
      </c>
      <c r="L595" s="81">
        <f>IF('Ordenes_Odoo'!L595="","",'Ordenes_Odoo'!L595)</f>
        <v/>
      </c>
      <c r="M595" s="79">
        <f>IF('Ordenes_Odoo'!M595="","",'Ordenes_Odoo'!M595)</f>
        <v/>
      </c>
      <c r="N595" s="79">
        <f>IF('Ordenes_Odoo'!N595="","",'Ordenes_Odoo'!N595)</f>
        <v/>
      </c>
      <c r="O595" s="81">
        <f>IF('Ordenes_Odoo'!O595="","",'Ordenes_Odoo'!O595)</f>
        <v/>
      </c>
      <c r="P595" s="81">
        <f>IF('Ordenes_Odoo'!P595="","",'Ordenes_Odoo'!P595)</f>
        <v/>
      </c>
      <c r="Q595" s="79">
        <f>IF(A595="","",IFERROR(INDEX(Facturas_Odoo!$B:$B, MATCH(A595, Facturas_Odoo!$D:$D, 0)), "Sin Factura"))</f>
        <v/>
      </c>
      <c r="R595" s="80">
        <f>IF(Q595="Sin Factura","",IFERROR(INDEX(Facturas_Odoo!$A:$A, MATCH(Q595, Facturas_Odoo!$B:$B, 0)), ""))</f>
        <v/>
      </c>
      <c r="S595" s="79">
        <f>IF(Q595="Sin Factura","",IFERROR(_xlfn.XLOOKUP(1, (Facturas_Odoo!$D:$D=A595) * (Facturas_Odoo!$K:$K=I595), Facturas_Odoo!$L:$L, ""), ""))</f>
        <v/>
      </c>
      <c r="T595" s="81">
        <f>IF(Q595="Sin Factura",0,IFERROR(_xlfn.XLOOKUP(1, (Facturas_Odoo!$D:$D=A595) * (Facturas_Odoo!$K:$K=I595), Facturas_Odoo!$M:$M, 0), 0))</f>
        <v/>
      </c>
      <c r="U595" s="79">
        <f>IF(Q595="Sin Factura",0,IFERROR(_xlfn.XLOOKUP(1, (Facturas_Odoo!$D:$D=A595) * (Facturas_Odoo!$K:$K=I595), Facturas_Odoo!$N:$N, 0), 0))</f>
        <v/>
      </c>
      <c r="V595" s="79">
        <f>IF(Q595="Sin Factura",0,IFERROR(_xlfn.XLOOKUP(1, (Facturas_Odoo!$D:$D=A595) * (Facturas_Odoo!$K:$K=I595), Facturas_Odoo!$O:$O, 0), 0))</f>
        <v/>
      </c>
      <c r="W595" s="81">
        <f>IF(Q595="Sin Factura",0,IFERROR(_xlfn.XLOOKUP(1, (Facturas_Odoo!$D:$D=A595) * (Facturas_Odoo!$K:$K=I595), Facturas_Odoo!$Q:$Q, 0), 0))</f>
        <v/>
      </c>
      <c r="X595" s="79">
        <f>IF(OR(Q595="Sin Factura",Q595=""),"",IFERROR(INDEX(Pagos_Odoo!$B:$B, MATCH(Q595, Pagos_Odoo!$I:$I, 0)), "Sin Pago"))</f>
        <v/>
      </c>
      <c r="Y595" s="79">
        <f>IF(X595="Sin Pago","",IFERROR(INDEX(Pagos_Odoo!$C:$C, MATCH(X595, Pagos_Odoo!$B:$B, 0)), ""))</f>
        <v/>
      </c>
      <c r="Z595" s="80">
        <f>IF(X595="Sin Pago","",IFERROR(INDEX(Pagos_Odoo!$A:$A, MATCH(X595, Pagos_Odoo!$B:$B, 0)), ""))</f>
        <v/>
      </c>
      <c r="AA595" s="79">
        <f>IF(X595="Sin Pago","",IFERROR(INDEX(Pagos_Odoo!$F:$F, MATCH(X595, Pagos_Odoo!$B:$B, 0)), ""))</f>
        <v/>
      </c>
      <c r="AB595" s="81">
        <f>IF(X595="Sin Pago",0,IFERROR(INDEX(Pagos_Odoo!$E:$E, MATCH(X595, Pagos_Odoo!$B:$B, 0)), 0))</f>
        <v/>
      </c>
      <c r="AC595" s="79">
        <f>IF(X595="Sin Pago","",IFERROR(INDEX(Pagos_Odoo!$G:$G, MATCH(X595, Pagos_Odoo!$B:$B, 0)), ""))</f>
        <v/>
      </c>
      <c r="AD595" s="82" t="n">
        <v>0</v>
      </c>
      <c r="AE595" s="82" t="n"/>
      <c r="AF595" s="82" t="n"/>
      <c r="AG595" s="82">
        <f>IF(AN595="","",AD595+AE595+AF595)</f>
        <v/>
      </c>
      <c r="AH595" s="81">
        <f>IF(AN595="","",P595*(1-AG595))</f>
        <v/>
      </c>
      <c r="AI595" s="81">
        <f>IF(AN595="","",IF(Q595="Sin Factura",0,IFERROR(INDEX(Facturas_Odoo!$H:$H, MATCH(Q595, Facturas_Odoo!$B:$B, 0)), 0)*(1-AG595)))</f>
        <v/>
      </c>
      <c r="AJ595" s="81">
        <f>IF(AN595="","",_xlfn.LET(idVenta, AN595&amp;"",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95" s="81">
        <f>IF(AN595="","",AH595-AJ595)</f>
        <v/>
      </c>
      <c r="AL595" s="81">
        <f>IF(AN595="","",IF(Q595="Sin Factura","",AI595-AJ595))</f>
        <v/>
      </c>
      <c r="AM595" s="81">
        <f>IF(AN595="","",IF(Q595="Sin Factura",0,P595-IFERROR(INDEX(Facturas_Odoo!$H:$H, MATCH(Q595, Facturas_Odoo!$B:$B, 0)), 0)))</f>
        <v/>
      </c>
      <c r="AN595" s="79">
        <f>IF(AND(A595="", J595=""), "", IF(A595&lt;&gt;"", VALUE(MID(A595,2,LEN(A595))), AN594))</f>
        <v/>
      </c>
      <c r="AO595" s="79">
        <f>IF(AN595="","",IF(AD595=0,"OK",_xlfn.LET(monedaPago, IF(AA595="","USD",AA595), limitePermitido, IFERROR(VLOOKUP(monedaPago, Configuración!$A$2:$B$3, 2, FALSE), 0.15), IF(AD595&gt;limitePermitido, "ALERTA: EXCESO (" &amp; TEXT(limitePermitido, "0%") &amp; " máx)", "OK"))))</f>
        <v/>
      </c>
      <c r="AP595" s="79">
        <f>IF(AN595="","",IF(AE595=0,"OK",_xlfn.LET(fechaPago, Z595, fechaFactura, R595, diasCredito, IF(E595="Pago inmediato", 0, IFERROR(VALUE(MID(E595, 1, SEARCH(" ", E595)-1)),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95" s="79">
        <f>IF(AN595="","",IF(AND(N595&gt;0, AG595&gt;0), IF(Configuración!$K$2="NO", "ALERTA: DESCUENTO DOBLE NO PERMITIDO", "OK"), "OK"))</f>
        <v/>
      </c>
      <c r="AR595" s="79">
        <f>IF(AN595="","",IF(OR(AO595&lt;&gt;"OK", AP595&lt;&gt;"OK", AQ595&lt;&gt;"OK"), "⚠️ REVISAR", "OK"))</f>
        <v/>
      </c>
    </row>
    <row r="596">
      <c r="A596" s="79">
        <f>IF('Ordenes_Odoo'!A596="","",'Ordenes_Odoo'!A596)</f>
        <v/>
      </c>
      <c r="B596" s="80">
        <f>IF('Ordenes_Odoo'!B596="","",'Ordenes_Odoo'!B596)</f>
        <v/>
      </c>
      <c r="C596" s="79">
        <f>IF('Ordenes_Odoo'!C596="","",'Ordenes_Odoo'!C596)</f>
        <v/>
      </c>
      <c r="D596" s="79">
        <f>IF('Ordenes_Odoo'!D596="","",'Ordenes_Odoo'!D596)</f>
        <v/>
      </c>
      <c r="E596" s="79">
        <f>IF('Ordenes_Odoo'!E596="","",'Ordenes_Odoo'!E596)</f>
        <v/>
      </c>
      <c r="F596" s="79">
        <f>IF('Ordenes_Odoo'!F596="","",'Ordenes_Odoo'!F596)</f>
        <v/>
      </c>
      <c r="G596" s="79">
        <f>IF('Ordenes_Odoo'!G596="","",'Ordenes_Odoo'!G596)</f>
        <v/>
      </c>
      <c r="H596" s="79">
        <f>IF('Ordenes_Odoo'!H596="","",'Ordenes_Odoo'!H596)</f>
        <v/>
      </c>
      <c r="I596" s="79">
        <f>IF('Ordenes_Odoo'!I596="","",'Ordenes_Odoo'!I596)</f>
        <v/>
      </c>
      <c r="J596" s="79">
        <f>IF('Ordenes_Odoo'!J596="","",'Ordenes_Odoo'!J596)</f>
        <v/>
      </c>
      <c r="K596" s="81">
        <f>IF('Ordenes_Odoo'!K596="","",'Ordenes_Odoo'!K596)</f>
        <v/>
      </c>
      <c r="L596" s="81">
        <f>IF('Ordenes_Odoo'!L596="","",'Ordenes_Odoo'!L596)</f>
        <v/>
      </c>
      <c r="M596" s="79">
        <f>IF('Ordenes_Odoo'!M596="","",'Ordenes_Odoo'!M596)</f>
        <v/>
      </c>
      <c r="N596" s="79">
        <f>IF('Ordenes_Odoo'!N596="","",'Ordenes_Odoo'!N596)</f>
        <v/>
      </c>
      <c r="O596" s="81">
        <f>IF('Ordenes_Odoo'!O596="","",'Ordenes_Odoo'!O596)</f>
        <v/>
      </c>
      <c r="P596" s="81">
        <f>IF('Ordenes_Odoo'!P596="","",'Ordenes_Odoo'!P596)</f>
        <v/>
      </c>
      <c r="Q596" s="79">
        <f>IF(A596="","",IFERROR(INDEX(Facturas_Odoo!$B:$B, MATCH(A596, Facturas_Odoo!$D:$D, 0)), "Sin Factura"))</f>
        <v/>
      </c>
      <c r="R596" s="80">
        <f>IF(Q596="Sin Factura","",IFERROR(INDEX(Facturas_Odoo!$A:$A, MATCH(Q596, Facturas_Odoo!$B:$B, 0)), ""))</f>
        <v/>
      </c>
      <c r="S596" s="79">
        <f>IF(Q596="Sin Factura","",IFERROR(_xlfn.XLOOKUP(1, (Facturas_Odoo!$D:$D=A596) * (Facturas_Odoo!$K:$K=I596), Facturas_Odoo!$L:$L, ""), ""))</f>
        <v/>
      </c>
      <c r="T596" s="81">
        <f>IF(Q596="Sin Factura",0,IFERROR(_xlfn.XLOOKUP(1, (Facturas_Odoo!$D:$D=A596) * (Facturas_Odoo!$K:$K=I596), Facturas_Odoo!$M:$M, 0), 0))</f>
        <v/>
      </c>
      <c r="U596" s="79">
        <f>IF(Q596="Sin Factura",0,IFERROR(_xlfn.XLOOKUP(1, (Facturas_Odoo!$D:$D=A596) * (Facturas_Odoo!$K:$K=I596), Facturas_Odoo!$N:$N, 0), 0))</f>
        <v/>
      </c>
      <c r="V596" s="79">
        <f>IF(Q596="Sin Factura",0,IFERROR(_xlfn.XLOOKUP(1, (Facturas_Odoo!$D:$D=A596) * (Facturas_Odoo!$K:$K=I596), Facturas_Odoo!$O:$O, 0), 0))</f>
        <v/>
      </c>
      <c r="W596" s="81">
        <f>IF(Q596="Sin Factura",0,IFERROR(_xlfn.XLOOKUP(1, (Facturas_Odoo!$D:$D=A596) * (Facturas_Odoo!$K:$K=I596), Facturas_Odoo!$Q:$Q, 0), 0))</f>
        <v/>
      </c>
      <c r="X596" s="79">
        <f>IF(OR(Q596="Sin Factura",Q596=""),"",IFERROR(INDEX(Pagos_Odoo!$B:$B, MATCH(Q596, Pagos_Odoo!$I:$I, 0)), "Sin Pago"))</f>
        <v/>
      </c>
      <c r="Y596" s="79">
        <f>IF(X596="Sin Pago","",IFERROR(INDEX(Pagos_Odoo!$C:$C, MATCH(X596, Pagos_Odoo!$B:$B, 0)), ""))</f>
        <v/>
      </c>
      <c r="Z596" s="80">
        <f>IF(X596="Sin Pago","",IFERROR(INDEX(Pagos_Odoo!$A:$A, MATCH(X596, Pagos_Odoo!$B:$B, 0)), ""))</f>
        <v/>
      </c>
      <c r="AA596" s="79">
        <f>IF(X596="Sin Pago","",IFERROR(INDEX(Pagos_Odoo!$F:$F, MATCH(X596, Pagos_Odoo!$B:$B, 0)), ""))</f>
        <v/>
      </c>
      <c r="AB596" s="81">
        <f>IF(X596="Sin Pago",0,IFERROR(INDEX(Pagos_Odoo!$E:$E, MATCH(X596, Pagos_Odoo!$B:$B, 0)), 0))</f>
        <v/>
      </c>
      <c r="AC596" s="79">
        <f>IF(X596="Sin Pago","",IFERROR(INDEX(Pagos_Odoo!$G:$G, MATCH(X596, Pagos_Odoo!$B:$B, 0)), ""))</f>
        <v/>
      </c>
      <c r="AD596" s="82" t="n">
        <v>0</v>
      </c>
      <c r="AE596" s="82" t="n"/>
      <c r="AF596" s="82" t="n"/>
      <c r="AG596" s="82">
        <f>IF(AN596="","",AD596+AE596+AF596)</f>
        <v/>
      </c>
      <c r="AH596" s="81">
        <f>IF(AN596="","",P596*(1-AG596))</f>
        <v/>
      </c>
      <c r="AI596" s="81">
        <f>IF(AN596="","",IF(Q596="Sin Factura",0,IFERROR(INDEX(Facturas_Odoo!$H:$H, MATCH(Q596, Facturas_Odoo!$B:$B, 0)), 0)*(1-AG596)))</f>
        <v/>
      </c>
      <c r="AJ596" s="81">
        <f>IF(AN596="","",_xlfn.LET(idVenta, AN596&amp;"",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96" s="81">
        <f>IF(AN596="","",AH596-AJ596)</f>
        <v/>
      </c>
      <c r="AL596" s="81">
        <f>IF(AN596="","",IF(Q596="Sin Factura","",AI596-AJ596))</f>
        <v/>
      </c>
      <c r="AM596" s="81">
        <f>IF(AN596="","",IF(Q596="Sin Factura",0,P596-IFERROR(INDEX(Facturas_Odoo!$H:$H, MATCH(Q596, Facturas_Odoo!$B:$B, 0)), 0)))</f>
        <v/>
      </c>
      <c r="AN596" s="79">
        <f>IF(AND(A596="", J596=""), "", IF(A596&lt;&gt;"", VALUE(MID(A596,2,LEN(A596))), AN595))</f>
        <v/>
      </c>
      <c r="AO596" s="79">
        <f>IF(AN596="","",IF(AD596=0,"OK",_xlfn.LET(monedaPago, IF(AA596="","USD",AA596), limitePermitido, IFERROR(VLOOKUP(monedaPago, Configuración!$A$2:$B$3, 2, FALSE), 0.15), IF(AD596&gt;limitePermitido, "ALERTA: EXCESO (" &amp; TEXT(limitePermitido, "0%") &amp; " máx)", "OK"))))</f>
        <v/>
      </c>
      <c r="AP596" s="79">
        <f>IF(AN596="","",IF(AE596=0,"OK",_xlfn.LET(fechaPago, Z596, fechaFactura, R596, diasCredito, IF(E596="Pago inmediato", 0, IFERROR(VALUE(MID(E596, 1, SEARCH(" ", E596)-1)),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96" s="79">
        <f>IF(AN596="","",IF(AND(N596&gt;0, AG596&gt;0), IF(Configuración!$K$2="NO", "ALERTA: DESCUENTO DOBLE NO PERMITIDO", "OK"), "OK"))</f>
        <v/>
      </c>
      <c r="AR596" s="79">
        <f>IF(AN596="","",IF(OR(AO596&lt;&gt;"OK", AP596&lt;&gt;"OK", AQ596&lt;&gt;"OK"), "⚠️ REVISAR", "OK"))</f>
        <v/>
      </c>
    </row>
    <row r="597">
      <c r="A597" s="79">
        <f>IF('Ordenes_Odoo'!A597="","",'Ordenes_Odoo'!A597)</f>
        <v/>
      </c>
      <c r="B597" s="80">
        <f>IF('Ordenes_Odoo'!B597="","",'Ordenes_Odoo'!B597)</f>
        <v/>
      </c>
      <c r="C597" s="79">
        <f>IF('Ordenes_Odoo'!C597="","",'Ordenes_Odoo'!C597)</f>
        <v/>
      </c>
      <c r="D597" s="79">
        <f>IF('Ordenes_Odoo'!D597="","",'Ordenes_Odoo'!D597)</f>
        <v/>
      </c>
      <c r="E597" s="79">
        <f>IF('Ordenes_Odoo'!E597="","",'Ordenes_Odoo'!E597)</f>
        <v/>
      </c>
      <c r="F597" s="79">
        <f>IF('Ordenes_Odoo'!F597="","",'Ordenes_Odoo'!F597)</f>
        <v/>
      </c>
      <c r="G597" s="79">
        <f>IF('Ordenes_Odoo'!G597="","",'Ordenes_Odoo'!G597)</f>
        <v/>
      </c>
      <c r="H597" s="79">
        <f>IF('Ordenes_Odoo'!H597="","",'Ordenes_Odoo'!H597)</f>
        <v/>
      </c>
      <c r="I597" s="79">
        <f>IF('Ordenes_Odoo'!I597="","",'Ordenes_Odoo'!I597)</f>
        <v/>
      </c>
      <c r="J597" s="79">
        <f>IF('Ordenes_Odoo'!J597="","",'Ordenes_Odoo'!J597)</f>
        <v/>
      </c>
      <c r="K597" s="81">
        <f>IF('Ordenes_Odoo'!K597="","",'Ordenes_Odoo'!K597)</f>
        <v/>
      </c>
      <c r="L597" s="81">
        <f>IF('Ordenes_Odoo'!L597="","",'Ordenes_Odoo'!L597)</f>
        <v/>
      </c>
      <c r="M597" s="79">
        <f>IF('Ordenes_Odoo'!M597="","",'Ordenes_Odoo'!M597)</f>
        <v/>
      </c>
      <c r="N597" s="79">
        <f>IF('Ordenes_Odoo'!N597="","",'Ordenes_Odoo'!N597)</f>
        <v/>
      </c>
      <c r="O597" s="81">
        <f>IF('Ordenes_Odoo'!O597="","",'Ordenes_Odoo'!O597)</f>
        <v/>
      </c>
      <c r="P597" s="81">
        <f>IF('Ordenes_Odoo'!P597="","",'Ordenes_Odoo'!P597)</f>
        <v/>
      </c>
      <c r="Q597" s="79">
        <f>IF(A597="","",IFERROR(INDEX(Facturas_Odoo!$B:$B, MATCH(A597, Facturas_Odoo!$D:$D, 0)), "Sin Factura"))</f>
        <v/>
      </c>
      <c r="R597" s="80">
        <f>IF(Q597="Sin Factura","",IFERROR(INDEX(Facturas_Odoo!$A:$A, MATCH(Q597, Facturas_Odoo!$B:$B, 0)), ""))</f>
        <v/>
      </c>
      <c r="S597" s="79">
        <f>IF(Q597="Sin Factura","",IFERROR(_xlfn.XLOOKUP(1, (Facturas_Odoo!$D:$D=A597) * (Facturas_Odoo!$K:$K=I597), Facturas_Odoo!$L:$L, ""), ""))</f>
        <v/>
      </c>
      <c r="T597" s="81">
        <f>IF(Q597="Sin Factura",0,IFERROR(_xlfn.XLOOKUP(1, (Facturas_Odoo!$D:$D=A597) * (Facturas_Odoo!$K:$K=I597), Facturas_Odoo!$M:$M, 0), 0))</f>
        <v/>
      </c>
      <c r="U597" s="79">
        <f>IF(Q597="Sin Factura",0,IFERROR(_xlfn.XLOOKUP(1, (Facturas_Odoo!$D:$D=A597) * (Facturas_Odoo!$K:$K=I597), Facturas_Odoo!$N:$N, 0), 0))</f>
        <v/>
      </c>
      <c r="V597" s="79">
        <f>IF(Q597="Sin Factura",0,IFERROR(_xlfn.XLOOKUP(1, (Facturas_Odoo!$D:$D=A597) * (Facturas_Odoo!$K:$K=I597), Facturas_Odoo!$O:$O, 0), 0))</f>
        <v/>
      </c>
      <c r="W597" s="81">
        <f>IF(Q597="Sin Factura",0,IFERROR(_xlfn.XLOOKUP(1, (Facturas_Odoo!$D:$D=A597) * (Facturas_Odoo!$K:$K=I597), Facturas_Odoo!$Q:$Q, 0), 0))</f>
        <v/>
      </c>
      <c r="X597" s="79">
        <f>IF(OR(Q597="Sin Factura",Q597=""),"",IFERROR(INDEX(Pagos_Odoo!$B:$B, MATCH(Q597, Pagos_Odoo!$I:$I, 0)), "Sin Pago"))</f>
        <v/>
      </c>
      <c r="Y597" s="79">
        <f>IF(X597="Sin Pago","",IFERROR(INDEX(Pagos_Odoo!$C:$C, MATCH(X597, Pagos_Odoo!$B:$B, 0)), ""))</f>
        <v/>
      </c>
      <c r="Z597" s="80">
        <f>IF(X597="Sin Pago","",IFERROR(INDEX(Pagos_Odoo!$A:$A, MATCH(X597, Pagos_Odoo!$B:$B, 0)), ""))</f>
        <v/>
      </c>
      <c r="AA597" s="79">
        <f>IF(X597="Sin Pago","",IFERROR(INDEX(Pagos_Odoo!$F:$F, MATCH(X597, Pagos_Odoo!$B:$B, 0)), ""))</f>
        <v/>
      </c>
      <c r="AB597" s="81">
        <f>IF(X597="Sin Pago",0,IFERROR(INDEX(Pagos_Odoo!$E:$E, MATCH(X597, Pagos_Odoo!$B:$B, 0)), 0))</f>
        <v/>
      </c>
      <c r="AC597" s="79">
        <f>IF(X597="Sin Pago","",IFERROR(INDEX(Pagos_Odoo!$G:$G, MATCH(X597, Pagos_Odoo!$B:$B, 0)), ""))</f>
        <v/>
      </c>
      <c r="AD597" s="82" t="n">
        <v>0</v>
      </c>
      <c r="AE597" s="82" t="n"/>
      <c r="AF597" s="82" t="n"/>
      <c r="AG597" s="82">
        <f>IF(AN597="","",AD597+AE597+AF597)</f>
        <v/>
      </c>
      <c r="AH597" s="81">
        <f>IF(AN597="","",P597*(1-AG597))</f>
        <v/>
      </c>
      <c r="AI597" s="81">
        <f>IF(AN597="","",IF(Q597="Sin Factura",0,IFERROR(INDEX(Facturas_Odoo!$H:$H, MATCH(Q597, Facturas_Odoo!$B:$B, 0)), 0)*(1-AG597)))</f>
        <v/>
      </c>
      <c r="AJ597" s="81">
        <f>IF(AN597="","",_xlfn.LET(idVenta, AN597&amp;"",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97" s="81">
        <f>IF(AN597="","",AH597-AJ597)</f>
        <v/>
      </c>
      <c r="AL597" s="81">
        <f>IF(AN597="","",IF(Q597="Sin Factura","",AI597-AJ597))</f>
        <v/>
      </c>
      <c r="AM597" s="81">
        <f>IF(AN597="","",IF(Q597="Sin Factura",0,P597-IFERROR(INDEX(Facturas_Odoo!$H:$H, MATCH(Q597, Facturas_Odoo!$B:$B, 0)), 0)))</f>
        <v/>
      </c>
      <c r="AN597" s="79">
        <f>IF(AND(A597="", J597=""), "", IF(A597&lt;&gt;"", VALUE(MID(A597,2,LEN(A597))), AN596))</f>
        <v/>
      </c>
      <c r="AO597" s="79">
        <f>IF(AN597="","",IF(AD597=0,"OK",_xlfn.LET(monedaPago, IF(AA597="","USD",AA597), limitePermitido, IFERROR(VLOOKUP(monedaPago, Configuración!$A$2:$B$3, 2, FALSE), 0.15), IF(AD597&gt;limitePermitido, "ALERTA: EXCESO (" &amp; TEXT(limitePermitido, "0%") &amp; " máx)", "OK"))))</f>
        <v/>
      </c>
      <c r="AP597" s="79">
        <f>IF(AN597="","",IF(AE597=0,"OK",_xlfn.LET(fechaPago, Z597, fechaFactura, R597, diasCredito, IF(E597="Pago inmediato", 0, IFERROR(VALUE(MID(E597, 1, SEARCH(" ", E597)-1)),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97" s="79">
        <f>IF(AN597="","",IF(AND(N597&gt;0, AG597&gt;0), IF(Configuración!$K$2="NO", "ALERTA: DESCUENTO DOBLE NO PERMITIDO", "OK"), "OK"))</f>
        <v/>
      </c>
      <c r="AR597" s="79">
        <f>IF(AN597="","",IF(OR(AO597&lt;&gt;"OK", AP597&lt;&gt;"OK", AQ597&lt;&gt;"OK"), "⚠️ REVISAR", "OK"))</f>
        <v/>
      </c>
    </row>
    <row r="598">
      <c r="A598" s="79">
        <f>IF('Ordenes_Odoo'!A598="","",'Ordenes_Odoo'!A598)</f>
        <v/>
      </c>
      <c r="B598" s="80">
        <f>IF('Ordenes_Odoo'!B598="","",'Ordenes_Odoo'!B598)</f>
        <v/>
      </c>
      <c r="C598" s="79">
        <f>IF('Ordenes_Odoo'!C598="","",'Ordenes_Odoo'!C598)</f>
        <v/>
      </c>
      <c r="D598" s="79">
        <f>IF('Ordenes_Odoo'!D598="","",'Ordenes_Odoo'!D598)</f>
        <v/>
      </c>
      <c r="E598" s="79">
        <f>IF('Ordenes_Odoo'!E598="","",'Ordenes_Odoo'!E598)</f>
        <v/>
      </c>
      <c r="F598" s="79">
        <f>IF('Ordenes_Odoo'!F598="","",'Ordenes_Odoo'!F598)</f>
        <v/>
      </c>
      <c r="G598" s="79">
        <f>IF('Ordenes_Odoo'!G598="","",'Ordenes_Odoo'!G598)</f>
        <v/>
      </c>
      <c r="H598" s="79">
        <f>IF('Ordenes_Odoo'!H598="","",'Ordenes_Odoo'!H598)</f>
        <v/>
      </c>
      <c r="I598" s="79">
        <f>IF('Ordenes_Odoo'!I598="","",'Ordenes_Odoo'!I598)</f>
        <v/>
      </c>
      <c r="J598" s="79">
        <f>IF('Ordenes_Odoo'!J598="","",'Ordenes_Odoo'!J598)</f>
        <v/>
      </c>
      <c r="K598" s="81">
        <f>IF('Ordenes_Odoo'!K598="","",'Ordenes_Odoo'!K598)</f>
        <v/>
      </c>
      <c r="L598" s="81">
        <f>IF('Ordenes_Odoo'!L598="","",'Ordenes_Odoo'!L598)</f>
        <v/>
      </c>
      <c r="M598" s="79">
        <f>IF('Ordenes_Odoo'!M598="","",'Ordenes_Odoo'!M598)</f>
        <v/>
      </c>
      <c r="N598" s="79">
        <f>IF('Ordenes_Odoo'!N598="","",'Ordenes_Odoo'!N598)</f>
        <v/>
      </c>
      <c r="O598" s="81">
        <f>IF('Ordenes_Odoo'!O598="","",'Ordenes_Odoo'!O598)</f>
        <v/>
      </c>
      <c r="P598" s="81">
        <f>IF('Ordenes_Odoo'!P598="","",'Ordenes_Odoo'!P598)</f>
        <v/>
      </c>
      <c r="Q598" s="79">
        <f>IF(A598="","",IFERROR(INDEX(Facturas_Odoo!$B:$B, MATCH(A598, Facturas_Odoo!$D:$D, 0)), "Sin Factura"))</f>
        <v/>
      </c>
      <c r="R598" s="80">
        <f>IF(Q598="Sin Factura","",IFERROR(INDEX(Facturas_Odoo!$A:$A, MATCH(Q598, Facturas_Odoo!$B:$B, 0)), ""))</f>
        <v/>
      </c>
      <c r="S598" s="79">
        <f>IF(Q598="Sin Factura","",IFERROR(_xlfn.XLOOKUP(1, (Facturas_Odoo!$D:$D=A598) * (Facturas_Odoo!$K:$K=I598), Facturas_Odoo!$L:$L, ""), ""))</f>
        <v/>
      </c>
      <c r="T598" s="81">
        <f>IF(Q598="Sin Factura",0,IFERROR(_xlfn.XLOOKUP(1, (Facturas_Odoo!$D:$D=A598) * (Facturas_Odoo!$K:$K=I598), Facturas_Odoo!$M:$M, 0), 0))</f>
        <v/>
      </c>
      <c r="U598" s="79">
        <f>IF(Q598="Sin Factura",0,IFERROR(_xlfn.XLOOKUP(1, (Facturas_Odoo!$D:$D=A598) * (Facturas_Odoo!$K:$K=I598), Facturas_Odoo!$N:$N, 0), 0))</f>
        <v/>
      </c>
      <c r="V598" s="79">
        <f>IF(Q598="Sin Factura",0,IFERROR(_xlfn.XLOOKUP(1, (Facturas_Odoo!$D:$D=A598) * (Facturas_Odoo!$K:$K=I598), Facturas_Odoo!$O:$O, 0), 0))</f>
        <v/>
      </c>
      <c r="W598" s="81">
        <f>IF(Q598="Sin Factura",0,IFERROR(_xlfn.XLOOKUP(1, (Facturas_Odoo!$D:$D=A598) * (Facturas_Odoo!$K:$K=I598), Facturas_Odoo!$Q:$Q, 0), 0))</f>
        <v/>
      </c>
      <c r="X598" s="79">
        <f>IF(OR(Q598="Sin Factura",Q598=""),"",IFERROR(INDEX(Pagos_Odoo!$B:$B, MATCH(Q598, Pagos_Odoo!$I:$I, 0)), "Sin Pago"))</f>
        <v/>
      </c>
      <c r="Y598" s="79">
        <f>IF(X598="Sin Pago","",IFERROR(INDEX(Pagos_Odoo!$C:$C, MATCH(X598, Pagos_Odoo!$B:$B, 0)), ""))</f>
        <v/>
      </c>
      <c r="Z598" s="80">
        <f>IF(X598="Sin Pago","",IFERROR(INDEX(Pagos_Odoo!$A:$A, MATCH(X598, Pagos_Odoo!$B:$B, 0)), ""))</f>
        <v/>
      </c>
      <c r="AA598" s="79">
        <f>IF(X598="Sin Pago","",IFERROR(INDEX(Pagos_Odoo!$F:$F, MATCH(X598, Pagos_Odoo!$B:$B, 0)), ""))</f>
        <v/>
      </c>
      <c r="AB598" s="81">
        <f>IF(X598="Sin Pago",0,IFERROR(INDEX(Pagos_Odoo!$E:$E, MATCH(X598, Pagos_Odoo!$B:$B, 0)), 0))</f>
        <v/>
      </c>
      <c r="AC598" s="79">
        <f>IF(X598="Sin Pago","",IFERROR(INDEX(Pagos_Odoo!$G:$G, MATCH(X598, Pagos_Odoo!$B:$B, 0)), ""))</f>
        <v/>
      </c>
      <c r="AD598" s="82" t="n">
        <v>0</v>
      </c>
      <c r="AE598" s="82" t="n"/>
      <c r="AF598" s="82" t="n"/>
      <c r="AG598" s="82">
        <f>IF(AN598="","",AD598+AE598+AF598)</f>
        <v/>
      </c>
      <c r="AH598" s="81">
        <f>IF(AN598="","",P598*(1-AG598))</f>
        <v/>
      </c>
      <c r="AI598" s="81">
        <f>IF(AN598="","",IF(Q598="Sin Factura",0,IFERROR(INDEX(Facturas_Odoo!$H:$H, MATCH(Q598, Facturas_Odoo!$B:$B, 0)), 0)*(1-AG598)))</f>
        <v/>
      </c>
      <c r="AJ598" s="81">
        <f>IF(AN598="","",_xlfn.LET(idVenta, AN598&amp;"",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98" s="81">
        <f>IF(AN598="","",AH598-AJ598)</f>
        <v/>
      </c>
      <c r="AL598" s="81">
        <f>IF(AN598="","",IF(Q598="Sin Factura","",AI598-AJ598))</f>
        <v/>
      </c>
      <c r="AM598" s="81">
        <f>IF(AN598="","",IF(Q598="Sin Factura",0,P598-IFERROR(INDEX(Facturas_Odoo!$H:$H, MATCH(Q598, Facturas_Odoo!$B:$B, 0)), 0)))</f>
        <v/>
      </c>
      <c r="AN598" s="79">
        <f>IF(AND(A598="", J598=""), "", IF(A598&lt;&gt;"", VALUE(MID(A598,2,LEN(A598))), AN597))</f>
        <v/>
      </c>
      <c r="AO598" s="79">
        <f>IF(AN598="","",IF(AD598=0,"OK",_xlfn.LET(monedaPago, IF(AA598="","USD",AA598), limitePermitido, IFERROR(VLOOKUP(monedaPago, Configuración!$A$2:$B$3, 2, FALSE), 0.15), IF(AD598&gt;limitePermitido, "ALERTA: EXCESO (" &amp; TEXT(limitePermitido, "0%") &amp; " máx)", "OK"))))</f>
        <v/>
      </c>
      <c r="AP598" s="79">
        <f>IF(AN598="","",IF(AE598=0,"OK",_xlfn.LET(fechaPago, Z598, fechaFactura, R598, diasCredito, IF(E598="Pago inmediato", 0, IFERROR(VALUE(MID(E598, 1, SEARCH(" ", E598)-1)),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98" s="79">
        <f>IF(AN598="","",IF(AND(N598&gt;0, AG598&gt;0), IF(Configuración!$K$2="NO", "ALERTA: DESCUENTO DOBLE NO PERMITIDO", "OK"), "OK"))</f>
        <v/>
      </c>
      <c r="AR598" s="79">
        <f>IF(AN598="","",IF(OR(AO598&lt;&gt;"OK", AP598&lt;&gt;"OK", AQ598&lt;&gt;"OK"), "⚠️ REVISAR", "OK"))</f>
        <v/>
      </c>
    </row>
    <row r="599">
      <c r="A599" s="79">
        <f>IF('Ordenes_Odoo'!A599="","",'Ordenes_Odoo'!A599)</f>
        <v/>
      </c>
      <c r="B599" s="80">
        <f>IF('Ordenes_Odoo'!B599="","",'Ordenes_Odoo'!B599)</f>
        <v/>
      </c>
      <c r="C599" s="79">
        <f>IF('Ordenes_Odoo'!C599="","",'Ordenes_Odoo'!C599)</f>
        <v/>
      </c>
      <c r="D599" s="79">
        <f>IF('Ordenes_Odoo'!D599="","",'Ordenes_Odoo'!D599)</f>
        <v/>
      </c>
      <c r="E599" s="79">
        <f>IF('Ordenes_Odoo'!E599="","",'Ordenes_Odoo'!E599)</f>
        <v/>
      </c>
      <c r="F599" s="79">
        <f>IF('Ordenes_Odoo'!F599="","",'Ordenes_Odoo'!F599)</f>
        <v/>
      </c>
      <c r="G599" s="79">
        <f>IF('Ordenes_Odoo'!G599="","",'Ordenes_Odoo'!G599)</f>
        <v/>
      </c>
      <c r="H599" s="79">
        <f>IF('Ordenes_Odoo'!H599="","",'Ordenes_Odoo'!H599)</f>
        <v/>
      </c>
      <c r="I599" s="79">
        <f>IF('Ordenes_Odoo'!I599="","",'Ordenes_Odoo'!I599)</f>
        <v/>
      </c>
      <c r="J599" s="79">
        <f>IF('Ordenes_Odoo'!J599="","",'Ordenes_Odoo'!J599)</f>
        <v/>
      </c>
      <c r="K599" s="81">
        <f>IF('Ordenes_Odoo'!K599="","",'Ordenes_Odoo'!K599)</f>
        <v/>
      </c>
      <c r="L599" s="81">
        <f>IF('Ordenes_Odoo'!L599="","",'Ordenes_Odoo'!L599)</f>
        <v/>
      </c>
      <c r="M599" s="79">
        <f>IF('Ordenes_Odoo'!M599="","",'Ordenes_Odoo'!M599)</f>
        <v/>
      </c>
      <c r="N599" s="79">
        <f>IF('Ordenes_Odoo'!N599="","",'Ordenes_Odoo'!N599)</f>
        <v/>
      </c>
      <c r="O599" s="81">
        <f>IF('Ordenes_Odoo'!O599="","",'Ordenes_Odoo'!O599)</f>
        <v/>
      </c>
      <c r="P599" s="81">
        <f>IF('Ordenes_Odoo'!P599="","",'Ordenes_Odoo'!P599)</f>
        <v/>
      </c>
      <c r="Q599" s="79">
        <f>IF(A599="","",IFERROR(INDEX(Facturas_Odoo!$B:$B, MATCH(A599, Facturas_Odoo!$D:$D, 0)), "Sin Factura"))</f>
        <v/>
      </c>
      <c r="R599" s="80">
        <f>IF(Q599="Sin Factura","",IFERROR(INDEX(Facturas_Odoo!$A:$A, MATCH(Q599, Facturas_Odoo!$B:$B, 0)), ""))</f>
        <v/>
      </c>
      <c r="S599" s="79">
        <f>IF(Q599="Sin Factura","",IFERROR(_xlfn.XLOOKUP(1, (Facturas_Odoo!$D:$D=A599) * (Facturas_Odoo!$K:$K=I599), Facturas_Odoo!$L:$L, ""), ""))</f>
        <v/>
      </c>
      <c r="T599" s="81">
        <f>IF(Q599="Sin Factura",0,IFERROR(_xlfn.XLOOKUP(1, (Facturas_Odoo!$D:$D=A599) * (Facturas_Odoo!$K:$K=I599), Facturas_Odoo!$M:$M, 0), 0))</f>
        <v/>
      </c>
      <c r="U599" s="79">
        <f>IF(Q599="Sin Factura",0,IFERROR(_xlfn.XLOOKUP(1, (Facturas_Odoo!$D:$D=A599) * (Facturas_Odoo!$K:$K=I599), Facturas_Odoo!$N:$N, 0), 0))</f>
        <v/>
      </c>
      <c r="V599" s="79">
        <f>IF(Q599="Sin Factura",0,IFERROR(_xlfn.XLOOKUP(1, (Facturas_Odoo!$D:$D=A599) * (Facturas_Odoo!$K:$K=I599), Facturas_Odoo!$O:$O, 0), 0))</f>
        <v/>
      </c>
      <c r="W599" s="81">
        <f>IF(Q599="Sin Factura",0,IFERROR(_xlfn.XLOOKUP(1, (Facturas_Odoo!$D:$D=A599) * (Facturas_Odoo!$K:$K=I599), Facturas_Odoo!$Q:$Q, 0), 0))</f>
        <v/>
      </c>
      <c r="X599" s="79">
        <f>IF(OR(Q599="Sin Factura",Q599=""),"",IFERROR(INDEX(Pagos_Odoo!$B:$B, MATCH(Q599, Pagos_Odoo!$I:$I, 0)), "Sin Pago"))</f>
        <v/>
      </c>
      <c r="Y599" s="79">
        <f>IF(X599="Sin Pago","",IFERROR(INDEX(Pagos_Odoo!$C:$C, MATCH(X599, Pagos_Odoo!$B:$B, 0)), ""))</f>
        <v/>
      </c>
      <c r="Z599" s="80">
        <f>IF(X599="Sin Pago","",IFERROR(INDEX(Pagos_Odoo!$A:$A, MATCH(X599, Pagos_Odoo!$B:$B, 0)), ""))</f>
        <v/>
      </c>
      <c r="AA599" s="79">
        <f>IF(X599="Sin Pago","",IFERROR(INDEX(Pagos_Odoo!$F:$F, MATCH(X599, Pagos_Odoo!$B:$B, 0)), ""))</f>
        <v/>
      </c>
      <c r="AB599" s="81">
        <f>IF(X599="Sin Pago",0,IFERROR(INDEX(Pagos_Odoo!$E:$E, MATCH(X599, Pagos_Odoo!$B:$B, 0)), 0))</f>
        <v/>
      </c>
      <c r="AC599" s="79">
        <f>IF(X599="Sin Pago","",IFERROR(INDEX(Pagos_Odoo!$G:$G, MATCH(X599, Pagos_Odoo!$B:$B, 0)), ""))</f>
        <v/>
      </c>
      <c r="AD599" s="82" t="n">
        <v>0</v>
      </c>
      <c r="AE599" s="82" t="n"/>
      <c r="AF599" s="82" t="n"/>
      <c r="AG599" s="82">
        <f>IF(AN599="","",AD599+AE599+AF599)</f>
        <v/>
      </c>
      <c r="AH599" s="81">
        <f>IF(AN599="","",P599*(1-AG599))</f>
        <v/>
      </c>
      <c r="AI599" s="81">
        <f>IF(AN599="","",IF(Q599="Sin Factura",0,IFERROR(INDEX(Facturas_Odoo!$H:$H, MATCH(Q599, Facturas_Odoo!$B:$B, 0)), 0)*(1-AG599)))</f>
        <v/>
      </c>
      <c r="AJ599" s="81">
        <f>IF(AN599="","",_xlfn.LET(idVenta, AN599&amp;"",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599" s="81">
        <f>IF(AN599="","",AH599-AJ599)</f>
        <v/>
      </c>
      <c r="AL599" s="81">
        <f>IF(AN599="","",IF(Q599="Sin Factura","",AI599-AJ599))</f>
        <v/>
      </c>
      <c r="AM599" s="81">
        <f>IF(AN599="","",IF(Q599="Sin Factura",0,P599-IFERROR(INDEX(Facturas_Odoo!$H:$H, MATCH(Q599, Facturas_Odoo!$B:$B, 0)), 0)))</f>
        <v/>
      </c>
      <c r="AN599" s="79">
        <f>IF(AND(A599="", J599=""), "", IF(A599&lt;&gt;"", VALUE(MID(A599,2,LEN(A599))), AN598))</f>
        <v/>
      </c>
      <c r="AO599" s="79">
        <f>IF(AN599="","",IF(AD599=0,"OK",_xlfn.LET(monedaPago, IF(AA599="","USD",AA599), limitePermitido, IFERROR(VLOOKUP(monedaPago, Configuración!$A$2:$B$3, 2, FALSE), 0.15), IF(AD599&gt;limitePermitido, "ALERTA: EXCESO (" &amp; TEXT(limitePermitido, "0%") &amp; " máx)", "OK"))))</f>
        <v/>
      </c>
      <c r="AP599" s="79">
        <f>IF(AN599="","",IF(AE599=0,"OK",_xlfn.LET(fechaPago, Z599, fechaFactura, R599, diasCredito, IF(E599="Pago inmediato", 0, IFERROR(VALUE(MID(E599, 1, SEARCH(" ", E599)-1)),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599" s="79">
        <f>IF(AN599="","",IF(AND(N599&gt;0, AG599&gt;0), IF(Configuración!$K$2="NO", "ALERTA: DESCUENTO DOBLE NO PERMITIDO", "OK"), "OK"))</f>
        <v/>
      </c>
      <c r="AR599" s="79">
        <f>IF(AN599="","",IF(OR(AO599&lt;&gt;"OK", AP599&lt;&gt;"OK", AQ599&lt;&gt;"OK"), "⚠️ REVISAR", "OK"))</f>
        <v/>
      </c>
    </row>
    <row r="600">
      <c r="A600" s="79">
        <f>IF('Ordenes_Odoo'!A600="","",'Ordenes_Odoo'!A600)</f>
        <v/>
      </c>
      <c r="B600" s="80">
        <f>IF('Ordenes_Odoo'!B600="","",'Ordenes_Odoo'!B600)</f>
        <v/>
      </c>
      <c r="C600" s="79">
        <f>IF('Ordenes_Odoo'!C600="","",'Ordenes_Odoo'!C600)</f>
        <v/>
      </c>
      <c r="D600" s="79">
        <f>IF('Ordenes_Odoo'!D600="","",'Ordenes_Odoo'!D600)</f>
        <v/>
      </c>
      <c r="E600" s="79">
        <f>IF('Ordenes_Odoo'!E600="","",'Ordenes_Odoo'!E600)</f>
        <v/>
      </c>
      <c r="F600" s="79">
        <f>IF('Ordenes_Odoo'!F600="","",'Ordenes_Odoo'!F600)</f>
        <v/>
      </c>
      <c r="G600" s="79">
        <f>IF('Ordenes_Odoo'!G600="","",'Ordenes_Odoo'!G600)</f>
        <v/>
      </c>
      <c r="H600" s="79">
        <f>IF('Ordenes_Odoo'!H600="","",'Ordenes_Odoo'!H600)</f>
        <v/>
      </c>
      <c r="I600" s="79">
        <f>IF('Ordenes_Odoo'!I600="","",'Ordenes_Odoo'!I600)</f>
        <v/>
      </c>
      <c r="J600" s="79">
        <f>IF('Ordenes_Odoo'!J600="","",'Ordenes_Odoo'!J600)</f>
        <v/>
      </c>
      <c r="K600" s="81">
        <f>IF('Ordenes_Odoo'!K600="","",'Ordenes_Odoo'!K600)</f>
        <v/>
      </c>
      <c r="L600" s="81">
        <f>IF('Ordenes_Odoo'!L600="","",'Ordenes_Odoo'!L600)</f>
        <v/>
      </c>
      <c r="M600" s="79">
        <f>IF('Ordenes_Odoo'!M600="","",'Ordenes_Odoo'!M600)</f>
        <v/>
      </c>
      <c r="N600" s="79">
        <f>IF('Ordenes_Odoo'!N600="","",'Ordenes_Odoo'!N600)</f>
        <v/>
      </c>
      <c r="O600" s="81">
        <f>IF('Ordenes_Odoo'!O600="","",'Ordenes_Odoo'!O600)</f>
        <v/>
      </c>
      <c r="P600" s="81">
        <f>IF('Ordenes_Odoo'!P600="","",'Ordenes_Odoo'!P600)</f>
        <v/>
      </c>
      <c r="Q600" s="79">
        <f>IF(A600="","",IFERROR(INDEX(Facturas_Odoo!$B:$B, MATCH(A600, Facturas_Odoo!$D:$D, 0)), "Sin Factura"))</f>
        <v/>
      </c>
      <c r="R600" s="80">
        <f>IF(Q600="Sin Factura","",IFERROR(INDEX(Facturas_Odoo!$A:$A, MATCH(Q600, Facturas_Odoo!$B:$B, 0)), ""))</f>
        <v/>
      </c>
      <c r="S600" s="79">
        <f>IF(Q600="Sin Factura","",IFERROR(_xlfn.XLOOKUP(1, (Facturas_Odoo!$D:$D=A600) * (Facturas_Odoo!$K:$K=I600), Facturas_Odoo!$L:$L, ""), ""))</f>
        <v/>
      </c>
      <c r="T600" s="81">
        <f>IF(Q600="Sin Factura",0,IFERROR(_xlfn.XLOOKUP(1, (Facturas_Odoo!$D:$D=A600) * (Facturas_Odoo!$K:$K=I600), Facturas_Odoo!$M:$M, 0), 0))</f>
        <v/>
      </c>
      <c r="U600" s="79">
        <f>IF(Q600="Sin Factura",0,IFERROR(_xlfn.XLOOKUP(1, (Facturas_Odoo!$D:$D=A600) * (Facturas_Odoo!$K:$K=I600), Facturas_Odoo!$N:$N, 0), 0))</f>
        <v/>
      </c>
      <c r="V600" s="79">
        <f>IF(Q600="Sin Factura",0,IFERROR(_xlfn.XLOOKUP(1, (Facturas_Odoo!$D:$D=A600) * (Facturas_Odoo!$K:$K=I600), Facturas_Odoo!$O:$O, 0), 0))</f>
        <v/>
      </c>
      <c r="W600" s="81">
        <f>IF(Q600="Sin Factura",0,IFERROR(_xlfn.XLOOKUP(1, (Facturas_Odoo!$D:$D=A600) * (Facturas_Odoo!$K:$K=I600), Facturas_Odoo!$Q:$Q, 0), 0))</f>
        <v/>
      </c>
      <c r="X600" s="79">
        <f>IF(OR(Q600="Sin Factura",Q600=""),"",IFERROR(INDEX(Pagos_Odoo!$B:$B, MATCH(Q600, Pagos_Odoo!$I:$I, 0)), "Sin Pago"))</f>
        <v/>
      </c>
      <c r="Y600" s="79">
        <f>IF(X600="Sin Pago","",IFERROR(INDEX(Pagos_Odoo!$C:$C, MATCH(X600, Pagos_Odoo!$B:$B, 0)), ""))</f>
        <v/>
      </c>
      <c r="Z600" s="80">
        <f>IF(X600="Sin Pago","",IFERROR(INDEX(Pagos_Odoo!$A:$A, MATCH(X600, Pagos_Odoo!$B:$B, 0)), ""))</f>
        <v/>
      </c>
      <c r="AA600" s="79">
        <f>IF(X600="Sin Pago","",IFERROR(INDEX(Pagos_Odoo!$F:$F, MATCH(X600, Pagos_Odoo!$B:$B, 0)), ""))</f>
        <v/>
      </c>
      <c r="AB600" s="81">
        <f>IF(X600="Sin Pago",0,IFERROR(INDEX(Pagos_Odoo!$E:$E, MATCH(X600, Pagos_Odoo!$B:$B, 0)), 0))</f>
        <v/>
      </c>
      <c r="AC600" s="79">
        <f>IF(X600="Sin Pago","",IFERROR(INDEX(Pagos_Odoo!$G:$G, MATCH(X600, Pagos_Odoo!$B:$B, 0)), ""))</f>
        <v/>
      </c>
      <c r="AD600" s="82" t="n">
        <v>0</v>
      </c>
      <c r="AE600" s="82" t="n"/>
      <c r="AF600" s="82" t="n"/>
      <c r="AG600" s="82">
        <f>IF(AN600="","",AD600+AE600+AF600)</f>
        <v/>
      </c>
      <c r="AH600" s="81">
        <f>IF(AN600="","",P600*(1-AG600))</f>
        <v/>
      </c>
      <c r="AI600" s="81">
        <f>IF(AN600="","",IF(Q600="Sin Factura",0,IFERROR(INDEX(Facturas_Odoo!$H:$H, MATCH(Q600, Facturas_Odoo!$B:$B, 0)), 0)*(1-AG600)))</f>
        <v/>
      </c>
      <c r="AJ600" s="81">
        <f>IF(AN600="","",_xlfn.LET(idVenta, AN600&amp;"",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00" s="81">
        <f>IF(AN600="","",AH600-AJ600)</f>
        <v/>
      </c>
      <c r="AL600" s="81">
        <f>IF(AN600="","",IF(Q600="Sin Factura","",AI600-AJ600))</f>
        <v/>
      </c>
      <c r="AM600" s="81">
        <f>IF(AN600="","",IF(Q600="Sin Factura",0,P600-IFERROR(INDEX(Facturas_Odoo!$H:$H, MATCH(Q600, Facturas_Odoo!$B:$B, 0)), 0)))</f>
        <v/>
      </c>
      <c r="AN600" s="79">
        <f>IF(AND(A600="", J600=""), "", IF(A600&lt;&gt;"", VALUE(MID(A600,2,LEN(A600))), AN599))</f>
        <v/>
      </c>
      <c r="AO600" s="79">
        <f>IF(AN600="","",IF(AD600=0,"OK",_xlfn.LET(monedaPago, IF(AA600="","USD",AA600), limitePermitido, IFERROR(VLOOKUP(monedaPago, Configuración!$A$2:$B$3, 2, FALSE), 0.15), IF(AD600&gt;limitePermitido, "ALERTA: EXCESO (" &amp; TEXT(limitePermitido, "0%") &amp; " máx)", "OK"))))</f>
        <v/>
      </c>
      <c r="AP600" s="79">
        <f>IF(AN600="","",IF(AE600=0,"OK",_xlfn.LET(fechaPago, Z600, fechaFactura, R600, diasCredito, IF(E600="Pago inmediato", 0, IFERROR(VALUE(MID(E600, 1, SEARCH(" ", E600)-1)),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00" s="79">
        <f>IF(AN600="","",IF(AND(N600&gt;0, AG600&gt;0), IF(Configuración!$K$2="NO", "ALERTA: DESCUENTO DOBLE NO PERMITIDO", "OK"), "OK"))</f>
        <v/>
      </c>
      <c r="AR600" s="79">
        <f>IF(AN600="","",IF(OR(AO600&lt;&gt;"OK", AP600&lt;&gt;"OK", AQ600&lt;&gt;"OK"), "⚠️ REVISAR", "OK"))</f>
        <v/>
      </c>
    </row>
    <row r="601">
      <c r="A601" s="79">
        <f>IF('Ordenes_Odoo'!A601="","",'Ordenes_Odoo'!A601)</f>
        <v/>
      </c>
      <c r="B601" s="80">
        <f>IF('Ordenes_Odoo'!B601="","",'Ordenes_Odoo'!B601)</f>
        <v/>
      </c>
      <c r="C601" s="79">
        <f>IF('Ordenes_Odoo'!C601="","",'Ordenes_Odoo'!C601)</f>
        <v/>
      </c>
      <c r="D601" s="79">
        <f>IF('Ordenes_Odoo'!D601="","",'Ordenes_Odoo'!D601)</f>
        <v/>
      </c>
      <c r="E601" s="79">
        <f>IF('Ordenes_Odoo'!E601="","",'Ordenes_Odoo'!E601)</f>
        <v/>
      </c>
      <c r="F601" s="79">
        <f>IF('Ordenes_Odoo'!F601="","",'Ordenes_Odoo'!F601)</f>
        <v/>
      </c>
      <c r="G601" s="79">
        <f>IF('Ordenes_Odoo'!G601="","",'Ordenes_Odoo'!G601)</f>
        <v/>
      </c>
      <c r="H601" s="79">
        <f>IF('Ordenes_Odoo'!H601="","",'Ordenes_Odoo'!H601)</f>
        <v/>
      </c>
      <c r="I601" s="79">
        <f>IF('Ordenes_Odoo'!I601="","",'Ordenes_Odoo'!I601)</f>
        <v/>
      </c>
      <c r="J601" s="79">
        <f>IF('Ordenes_Odoo'!J601="","",'Ordenes_Odoo'!J601)</f>
        <v/>
      </c>
      <c r="K601" s="81">
        <f>IF('Ordenes_Odoo'!K601="","",'Ordenes_Odoo'!K601)</f>
        <v/>
      </c>
      <c r="L601" s="81">
        <f>IF('Ordenes_Odoo'!L601="","",'Ordenes_Odoo'!L601)</f>
        <v/>
      </c>
      <c r="M601" s="79">
        <f>IF('Ordenes_Odoo'!M601="","",'Ordenes_Odoo'!M601)</f>
        <v/>
      </c>
      <c r="N601" s="79">
        <f>IF('Ordenes_Odoo'!N601="","",'Ordenes_Odoo'!N601)</f>
        <v/>
      </c>
      <c r="O601" s="81">
        <f>IF('Ordenes_Odoo'!O601="","",'Ordenes_Odoo'!O601)</f>
        <v/>
      </c>
      <c r="P601" s="81">
        <f>IF('Ordenes_Odoo'!P601="","",'Ordenes_Odoo'!P601)</f>
        <v/>
      </c>
      <c r="Q601" s="79">
        <f>IF(A601="","",IFERROR(INDEX(Facturas_Odoo!$B:$B, MATCH(A601, Facturas_Odoo!$D:$D, 0)), "Sin Factura"))</f>
        <v/>
      </c>
      <c r="R601" s="80">
        <f>IF(Q601="Sin Factura","",IFERROR(INDEX(Facturas_Odoo!$A:$A, MATCH(Q601, Facturas_Odoo!$B:$B, 0)), ""))</f>
        <v/>
      </c>
      <c r="S601" s="79">
        <f>IF(Q601="Sin Factura","",IFERROR(_xlfn.XLOOKUP(1, (Facturas_Odoo!$D:$D=A601) * (Facturas_Odoo!$K:$K=I601), Facturas_Odoo!$L:$L, ""), ""))</f>
        <v/>
      </c>
      <c r="T601" s="81">
        <f>IF(Q601="Sin Factura",0,IFERROR(_xlfn.XLOOKUP(1, (Facturas_Odoo!$D:$D=A601) * (Facturas_Odoo!$K:$K=I601), Facturas_Odoo!$M:$M, 0), 0))</f>
        <v/>
      </c>
      <c r="U601" s="79">
        <f>IF(Q601="Sin Factura",0,IFERROR(_xlfn.XLOOKUP(1, (Facturas_Odoo!$D:$D=A601) * (Facturas_Odoo!$K:$K=I601), Facturas_Odoo!$N:$N, 0), 0))</f>
        <v/>
      </c>
      <c r="V601" s="79">
        <f>IF(Q601="Sin Factura",0,IFERROR(_xlfn.XLOOKUP(1, (Facturas_Odoo!$D:$D=A601) * (Facturas_Odoo!$K:$K=I601), Facturas_Odoo!$O:$O, 0), 0))</f>
        <v/>
      </c>
      <c r="W601" s="81">
        <f>IF(Q601="Sin Factura",0,IFERROR(_xlfn.XLOOKUP(1, (Facturas_Odoo!$D:$D=A601) * (Facturas_Odoo!$K:$K=I601), Facturas_Odoo!$Q:$Q, 0), 0))</f>
        <v/>
      </c>
      <c r="X601" s="79">
        <f>IF(OR(Q601="Sin Factura",Q601=""),"",IFERROR(INDEX(Pagos_Odoo!$B:$B, MATCH(Q601, Pagos_Odoo!$I:$I, 0)), "Sin Pago"))</f>
        <v/>
      </c>
      <c r="Y601" s="79">
        <f>IF(X601="Sin Pago","",IFERROR(INDEX(Pagos_Odoo!$C:$C, MATCH(X601, Pagos_Odoo!$B:$B, 0)), ""))</f>
        <v/>
      </c>
      <c r="Z601" s="80">
        <f>IF(X601="Sin Pago","",IFERROR(INDEX(Pagos_Odoo!$A:$A, MATCH(X601, Pagos_Odoo!$B:$B, 0)), ""))</f>
        <v/>
      </c>
      <c r="AA601" s="79">
        <f>IF(X601="Sin Pago","",IFERROR(INDEX(Pagos_Odoo!$F:$F, MATCH(X601, Pagos_Odoo!$B:$B, 0)), ""))</f>
        <v/>
      </c>
      <c r="AB601" s="81">
        <f>IF(X601="Sin Pago",0,IFERROR(INDEX(Pagos_Odoo!$E:$E, MATCH(X601, Pagos_Odoo!$B:$B, 0)), 0))</f>
        <v/>
      </c>
      <c r="AC601" s="79">
        <f>IF(X601="Sin Pago","",IFERROR(INDEX(Pagos_Odoo!$G:$G, MATCH(X601, Pagos_Odoo!$B:$B, 0)), ""))</f>
        <v/>
      </c>
      <c r="AD601" s="82" t="n">
        <v>0</v>
      </c>
      <c r="AE601" s="82" t="n"/>
      <c r="AF601" s="82" t="n"/>
      <c r="AG601" s="82">
        <f>IF(AN601="","",AD601+AE601+AF601)</f>
        <v/>
      </c>
      <c r="AH601" s="81">
        <f>IF(AN601="","",P601*(1-AG601))</f>
        <v/>
      </c>
      <c r="AI601" s="81">
        <f>IF(AN601="","",IF(Q601="Sin Factura",0,IFERROR(INDEX(Facturas_Odoo!$H:$H, MATCH(Q601, Facturas_Odoo!$B:$B, 0)), 0)*(1-AG601)))</f>
        <v/>
      </c>
      <c r="AJ601" s="81">
        <f>IF(AN601="","",_xlfn.LET(idVenta, AN601&amp;"",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01" s="81">
        <f>IF(AN601="","",AH601-AJ601)</f>
        <v/>
      </c>
      <c r="AL601" s="81">
        <f>IF(AN601="","",IF(Q601="Sin Factura","",AI601-AJ601))</f>
        <v/>
      </c>
      <c r="AM601" s="81">
        <f>IF(AN601="","",IF(Q601="Sin Factura",0,P601-IFERROR(INDEX(Facturas_Odoo!$H:$H, MATCH(Q601, Facturas_Odoo!$B:$B, 0)), 0)))</f>
        <v/>
      </c>
      <c r="AN601" s="79">
        <f>IF(AND(A601="", J601=""), "", IF(A601&lt;&gt;"", VALUE(MID(A601,2,LEN(A601))), AN600))</f>
        <v/>
      </c>
      <c r="AO601" s="79">
        <f>IF(AN601="","",IF(AD601=0,"OK",_xlfn.LET(monedaPago, IF(AA601="","USD",AA601), limitePermitido, IFERROR(VLOOKUP(monedaPago, Configuración!$A$2:$B$3, 2, FALSE), 0.15), IF(AD601&gt;limitePermitido, "ALERTA: EXCESO (" &amp; TEXT(limitePermitido, "0%") &amp; " máx)", "OK"))))</f>
        <v/>
      </c>
      <c r="AP601" s="79">
        <f>IF(AN601="","",IF(AE601=0,"OK",_xlfn.LET(fechaPago, Z601, fechaFactura, R601, diasCredito, IF(E601="Pago inmediato", 0, IFERROR(VALUE(MID(E601, 1, SEARCH(" ", E601)-1)),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01" s="79">
        <f>IF(AN601="","",IF(AND(N601&gt;0, AG601&gt;0), IF(Configuración!$K$2="NO", "ALERTA: DESCUENTO DOBLE NO PERMITIDO", "OK"), "OK"))</f>
        <v/>
      </c>
      <c r="AR601" s="79">
        <f>IF(AN601="","",IF(OR(AO601&lt;&gt;"OK", AP601&lt;&gt;"OK", AQ601&lt;&gt;"OK"), "⚠️ REVISAR", "OK"))</f>
        <v/>
      </c>
    </row>
    <row r="602">
      <c r="A602" s="79">
        <f>IF('Ordenes_Odoo'!A602="","",'Ordenes_Odoo'!A602)</f>
        <v/>
      </c>
      <c r="B602" s="80">
        <f>IF('Ordenes_Odoo'!B602="","",'Ordenes_Odoo'!B602)</f>
        <v/>
      </c>
      <c r="C602" s="79">
        <f>IF('Ordenes_Odoo'!C602="","",'Ordenes_Odoo'!C602)</f>
        <v/>
      </c>
      <c r="D602" s="79">
        <f>IF('Ordenes_Odoo'!D602="","",'Ordenes_Odoo'!D602)</f>
        <v/>
      </c>
      <c r="E602" s="79">
        <f>IF('Ordenes_Odoo'!E602="","",'Ordenes_Odoo'!E602)</f>
        <v/>
      </c>
      <c r="F602" s="79">
        <f>IF('Ordenes_Odoo'!F602="","",'Ordenes_Odoo'!F602)</f>
        <v/>
      </c>
      <c r="G602" s="79">
        <f>IF('Ordenes_Odoo'!G602="","",'Ordenes_Odoo'!G602)</f>
        <v/>
      </c>
      <c r="H602" s="79">
        <f>IF('Ordenes_Odoo'!H602="","",'Ordenes_Odoo'!H602)</f>
        <v/>
      </c>
      <c r="I602" s="79">
        <f>IF('Ordenes_Odoo'!I602="","",'Ordenes_Odoo'!I602)</f>
        <v/>
      </c>
      <c r="J602" s="79">
        <f>IF('Ordenes_Odoo'!J602="","",'Ordenes_Odoo'!J602)</f>
        <v/>
      </c>
      <c r="K602" s="81">
        <f>IF('Ordenes_Odoo'!K602="","",'Ordenes_Odoo'!K602)</f>
        <v/>
      </c>
      <c r="L602" s="81">
        <f>IF('Ordenes_Odoo'!L602="","",'Ordenes_Odoo'!L602)</f>
        <v/>
      </c>
      <c r="M602" s="79">
        <f>IF('Ordenes_Odoo'!M602="","",'Ordenes_Odoo'!M602)</f>
        <v/>
      </c>
      <c r="N602" s="79">
        <f>IF('Ordenes_Odoo'!N602="","",'Ordenes_Odoo'!N602)</f>
        <v/>
      </c>
      <c r="O602" s="81">
        <f>IF('Ordenes_Odoo'!O602="","",'Ordenes_Odoo'!O602)</f>
        <v/>
      </c>
      <c r="P602" s="81">
        <f>IF('Ordenes_Odoo'!P602="","",'Ordenes_Odoo'!P602)</f>
        <v/>
      </c>
      <c r="Q602" s="79">
        <f>IF(A602="","",IFERROR(INDEX(Facturas_Odoo!$B:$B, MATCH(A602, Facturas_Odoo!$D:$D, 0)), "Sin Factura"))</f>
        <v/>
      </c>
      <c r="R602" s="80">
        <f>IF(Q602="Sin Factura","",IFERROR(INDEX(Facturas_Odoo!$A:$A, MATCH(Q602, Facturas_Odoo!$B:$B, 0)), ""))</f>
        <v/>
      </c>
      <c r="S602" s="79">
        <f>IF(Q602="Sin Factura","",IFERROR(_xlfn.XLOOKUP(1, (Facturas_Odoo!$D:$D=A602) * (Facturas_Odoo!$K:$K=I602), Facturas_Odoo!$L:$L, ""), ""))</f>
        <v/>
      </c>
      <c r="T602" s="81">
        <f>IF(Q602="Sin Factura",0,IFERROR(_xlfn.XLOOKUP(1, (Facturas_Odoo!$D:$D=A602) * (Facturas_Odoo!$K:$K=I602), Facturas_Odoo!$M:$M, 0), 0))</f>
        <v/>
      </c>
      <c r="U602" s="79">
        <f>IF(Q602="Sin Factura",0,IFERROR(_xlfn.XLOOKUP(1, (Facturas_Odoo!$D:$D=A602) * (Facturas_Odoo!$K:$K=I602), Facturas_Odoo!$N:$N, 0), 0))</f>
        <v/>
      </c>
      <c r="V602" s="79">
        <f>IF(Q602="Sin Factura",0,IFERROR(_xlfn.XLOOKUP(1, (Facturas_Odoo!$D:$D=A602) * (Facturas_Odoo!$K:$K=I602), Facturas_Odoo!$O:$O, 0), 0))</f>
        <v/>
      </c>
      <c r="W602" s="81">
        <f>IF(Q602="Sin Factura",0,IFERROR(_xlfn.XLOOKUP(1, (Facturas_Odoo!$D:$D=A602) * (Facturas_Odoo!$K:$K=I602), Facturas_Odoo!$Q:$Q, 0), 0))</f>
        <v/>
      </c>
      <c r="X602" s="79">
        <f>IF(OR(Q602="Sin Factura",Q602=""),"",IFERROR(INDEX(Pagos_Odoo!$B:$B, MATCH(Q602, Pagos_Odoo!$I:$I, 0)), "Sin Pago"))</f>
        <v/>
      </c>
      <c r="Y602" s="79">
        <f>IF(X602="Sin Pago","",IFERROR(INDEX(Pagos_Odoo!$C:$C, MATCH(X602, Pagos_Odoo!$B:$B, 0)), ""))</f>
        <v/>
      </c>
      <c r="Z602" s="80">
        <f>IF(X602="Sin Pago","",IFERROR(INDEX(Pagos_Odoo!$A:$A, MATCH(X602, Pagos_Odoo!$B:$B, 0)), ""))</f>
        <v/>
      </c>
      <c r="AA602" s="79">
        <f>IF(X602="Sin Pago","",IFERROR(INDEX(Pagos_Odoo!$F:$F, MATCH(X602, Pagos_Odoo!$B:$B, 0)), ""))</f>
        <v/>
      </c>
      <c r="AB602" s="81">
        <f>IF(X602="Sin Pago",0,IFERROR(INDEX(Pagos_Odoo!$E:$E, MATCH(X602, Pagos_Odoo!$B:$B, 0)), 0))</f>
        <v/>
      </c>
      <c r="AC602" s="79">
        <f>IF(X602="Sin Pago","",IFERROR(INDEX(Pagos_Odoo!$G:$G, MATCH(X602, Pagos_Odoo!$B:$B, 0)), ""))</f>
        <v/>
      </c>
      <c r="AD602" s="82" t="n">
        <v>0</v>
      </c>
      <c r="AE602" s="82" t="n"/>
      <c r="AF602" s="82" t="n"/>
      <c r="AG602" s="82">
        <f>IF(AN602="","",AD602+AE602+AF602)</f>
        <v/>
      </c>
      <c r="AH602" s="81">
        <f>IF(AN602="","",P602*(1-AG602))</f>
        <v/>
      </c>
      <c r="AI602" s="81">
        <f>IF(AN602="","",IF(Q602="Sin Factura",0,IFERROR(INDEX(Facturas_Odoo!$H:$H, MATCH(Q602, Facturas_Odoo!$B:$B, 0)), 0)*(1-AG602)))</f>
        <v/>
      </c>
      <c r="AJ602" s="81">
        <f>IF(AN602="","",_xlfn.LET(idVenta, AN602&amp;"",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02" s="81">
        <f>IF(AN602="","",AH602-AJ602)</f>
        <v/>
      </c>
      <c r="AL602" s="81">
        <f>IF(AN602="","",IF(Q602="Sin Factura","",AI602-AJ602))</f>
        <v/>
      </c>
      <c r="AM602" s="81">
        <f>IF(AN602="","",IF(Q602="Sin Factura",0,P602-IFERROR(INDEX(Facturas_Odoo!$H:$H, MATCH(Q602, Facturas_Odoo!$B:$B, 0)), 0)))</f>
        <v/>
      </c>
      <c r="AN602" s="79">
        <f>IF(AND(A602="", J602=""), "", IF(A602&lt;&gt;"", VALUE(MID(A602,2,LEN(A602))), AN601))</f>
        <v/>
      </c>
      <c r="AO602" s="79">
        <f>IF(AN602="","",IF(AD602=0,"OK",_xlfn.LET(monedaPago, IF(AA602="","USD",AA602), limitePermitido, IFERROR(VLOOKUP(monedaPago, Configuración!$A$2:$B$3, 2, FALSE), 0.15), IF(AD602&gt;limitePermitido, "ALERTA: EXCESO (" &amp; TEXT(limitePermitido, "0%") &amp; " máx)", "OK"))))</f>
        <v/>
      </c>
      <c r="AP602" s="79">
        <f>IF(AN602="","",IF(AE602=0,"OK",_xlfn.LET(fechaPago, Z602, fechaFactura, R602, diasCredito, IF(E602="Pago inmediato", 0, IFERROR(VALUE(MID(E602, 1, SEARCH(" ", E602)-1)),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02" s="79">
        <f>IF(AN602="","",IF(AND(N602&gt;0, AG602&gt;0), IF(Configuración!$K$2="NO", "ALERTA: DESCUENTO DOBLE NO PERMITIDO", "OK"), "OK"))</f>
        <v/>
      </c>
      <c r="AR602" s="79">
        <f>IF(AN602="","",IF(OR(AO602&lt;&gt;"OK", AP602&lt;&gt;"OK", AQ602&lt;&gt;"OK"), "⚠️ REVISAR", "OK"))</f>
        <v/>
      </c>
    </row>
    <row r="603">
      <c r="A603" s="79">
        <f>IF('Ordenes_Odoo'!A603="","",'Ordenes_Odoo'!A603)</f>
        <v/>
      </c>
      <c r="B603" s="80">
        <f>IF('Ordenes_Odoo'!B603="","",'Ordenes_Odoo'!B603)</f>
        <v/>
      </c>
      <c r="C603" s="79">
        <f>IF('Ordenes_Odoo'!C603="","",'Ordenes_Odoo'!C603)</f>
        <v/>
      </c>
      <c r="D603" s="79">
        <f>IF('Ordenes_Odoo'!D603="","",'Ordenes_Odoo'!D603)</f>
        <v/>
      </c>
      <c r="E603" s="79">
        <f>IF('Ordenes_Odoo'!E603="","",'Ordenes_Odoo'!E603)</f>
        <v/>
      </c>
      <c r="F603" s="79">
        <f>IF('Ordenes_Odoo'!F603="","",'Ordenes_Odoo'!F603)</f>
        <v/>
      </c>
      <c r="G603" s="79">
        <f>IF('Ordenes_Odoo'!G603="","",'Ordenes_Odoo'!G603)</f>
        <v/>
      </c>
      <c r="H603" s="79">
        <f>IF('Ordenes_Odoo'!H603="","",'Ordenes_Odoo'!H603)</f>
        <v/>
      </c>
      <c r="I603" s="79">
        <f>IF('Ordenes_Odoo'!I603="","",'Ordenes_Odoo'!I603)</f>
        <v/>
      </c>
      <c r="J603" s="79">
        <f>IF('Ordenes_Odoo'!J603="","",'Ordenes_Odoo'!J603)</f>
        <v/>
      </c>
      <c r="K603" s="81">
        <f>IF('Ordenes_Odoo'!K603="","",'Ordenes_Odoo'!K603)</f>
        <v/>
      </c>
      <c r="L603" s="81">
        <f>IF('Ordenes_Odoo'!L603="","",'Ordenes_Odoo'!L603)</f>
        <v/>
      </c>
      <c r="M603" s="79">
        <f>IF('Ordenes_Odoo'!M603="","",'Ordenes_Odoo'!M603)</f>
        <v/>
      </c>
      <c r="N603" s="79">
        <f>IF('Ordenes_Odoo'!N603="","",'Ordenes_Odoo'!N603)</f>
        <v/>
      </c>
      <c r="O603" s="81">
        <f>IF('Ordenes_Odoo'!O603="","",'Ordenes_Odoo'!O603)</f>
        <v/>
      </c>
      <c r="P603" s="81">
        <f>IF('Ordenes_Odoo'!P603="","",'Ordenes_Odoo'!P603)</f>
        <v/>
      </c>
      <c r="Q603" s="79">
        <f>IF(A603="","",IFERROR(INDEX(Facturas_Odoo!$B:$B, MATCH(A603, Facturas_Odoo!$D:$D, 0)), "Sin Factura"))</f>
        <v/>
      </c>
      <c r="R603" s="80">
        <f>IF(Q603="Sin Factura","",IFERROR(INDEX(Facturas_Odoo!$A:$A, MATCH(Q603, Facturas_Odoo!$B:$B, 0)), ""))</f>
        <v/>
      </c>
      <c r="S603" s="79">
        <f>IF(Q603="Sin Factura","",IFERROR(_xlfn.XLOOKUP(1, (Facturas_Odoo!$D:$D=A603) * (Facturas_Odoo!$K:$K=I603), Facturas_Odoo!$L:$L, ""), ""))</f>
        <v/>
      </c>
      <c r="T603" s="81">
        <f>IF(Q603="Sin Factura",0,IFERROR(_xlfn.XLOOKUP(1, (Facturas_Odoo!$D:$D=A603) * (Facturas_Odoo!$K:$K=I603), Facturas_Odoo!$M:$M, 0), 0))</f>
        <v/>
      </c>
      <c r="U603" s="79">
        <f>IF(Q603="Sin Factura",0,IFERROR(_xlfn.XLOOKUP(1, (Facturas_Odoo!$D:$D=A603) * (Facturas_Odoo!$K:$K=I603), Facturas_Odoo!$N:$N, 0), 0))</f>
        <v/>
      </c>
      <c r="V603" s="79">
        <f>IF(Q603="Sin Factura",0,IFERROR(_xlfn.XLOOKUP(1, (Facturas_Odoo!$D:$D=A603) * (Facturas_Odoo!$K:$K=I603), Facturas_Odoo!$O:$O, 0), 0))</f>
        <v/>
      </c>
      <c r="W603" s="81">
        <f>IF(Q603="Sin Factura",0,IFERROR(_xlfn.XLOOKUP(1, (Facturas_Odoo!$D:$D=A603) * (Facturas_Odoo!$K:$K=I603), Facturas_Odoo!$Q:$Q, 0), 0))</f>
        <v/>
      </c>
      <c r="X603" s="79">
        <f>IF(OR(Q603="Sin Factura",Q603=""),"",IFERROR(INDEX(Pagos_Odoo!$B:$B, MATCH(Q603, Pagos_Odoo!$I:$I, 0)), "Sin Pago"))</f>
        <v/>
      </c>
      <c r="Y603" s="79">
        <f>IF(X603="Sin Pago","",IFERROR(INDEX(Pagos_Odoo!$C:$C, MATCH(X603, Pagos_Odoo!$B:$B, 0)), ""))</f>
        <v/>
      </c>
      <c r="Z603" s="80">
        <f>IF(X603="Sin Pago","",IFERROR(INDEX(Pagos_Odoo!$A:$A, MATCH(X603, Pagos_Odoo!$B:$B, 0)), ""))</f>
        <v/>
      </c>
      <c r="AA603" s="79">
        <f>IF(X603="Sin Pago","",IFERROR(INDEX(Pagos_Odoo!$F:$F, MATCH(X603, Pagos_Odoo!$B:$B, 0)), ""))</f>
        <v/>
      </c>
      <c r="AB603" s="81">
        <f>IF(X603="Sin Pago",0,IFERROR(INDEX(Pagos_Odoo!$E:$E, MATCH(X603, Pagos_Odoo!$B:$B, 0)), 0))</f>
        <v/>
      </c>
      <c r="AC603" s="79">
        <f>IF(X603="Sin Pago","",IFERROR(INDEX(Pagos_Odoo!$G:$G, MATCH(X603, Pagos_Odoo!$B:$B, 0)), ""))</f>
        <v/>
      </c>
      <c r="AD603" s="82" t="n">
        <v>0</v>
      </c>
      <c r="AE603" s="82" t="n"/>
      <c r="AF603" s="82" t="n"/>
      <c r="AG603" s="82">
        <f>IF(AN603="","",AD603+AE603+AF603)</f>
        <v/>
      </c>
      <c r="AH603" s="81">
        <f>IF(AN603="","",P603*(1-AG603))</f>
        <v/>
      </c>
      <c r="AI603" s="81">
        <f>IF(AN603="","",IF(Q603="Sin Factura",0,IFERROR(INDEX(Facturas_Odoo!$H:$H, MATCH(Q603, Facturas_Odoo!$B:$B, 0)), 0)*(1-AG603)))</f>
        <v/>
      </c>
      <c r="AJ603" s="81">
        <f>IF(AN603="","",_xlfn.LET(idVenta, AN603&amp;"",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03" s="81">
        <f>IF(AN603="","",AH603-AJ603)</f>
        <v/>
      </c>
      <c r="AL603" s="81">
        <f>IF(AN603="","",IF(Q603="Sin Factura","",AI603-AJ603))</f>
        <v/>
      </c>
      <c r="AM603" s="81">
        <f>IF(AN603="","",IF(Q603="Sin Factura",0,P603-IFERROR(INDEX(Facturas_Odoo!$H:$H, MATCH(Q603, Facturas_Odoo!$B:$B, 0)), 0)))</f>
        <v/>
      </c>
      <c r="AN603" s="79">
        <f>IF(AND(A603="", J603=""), "", IF(A603&lt;&gt;"", VALUE(MID(A603,2,LEN(A603))), AN602))</f>
        <v/>
      </c>
      <c r="AO603" s="79">
        <f>IF(AN603="","",IF(AD603=0,"OK",_xlfn.LET(monedaPago, IF(AA603="","USD",AA603), limitePermitido, IFERROR(VLOOKUP(monedaPago, Configuración!$A$2:$B$3, 2, FALSE), 0.15), IF(AD603&gt;limitePermitido, "ALERTA: EXCESO (" &amp; TEXT(limitePermitido, "0%") &amp; " máx)", "OK"))))</f>
        <v/>
      </c>
      <c r="AP603" s="79">
        <f>IF(AN603="","",IF(AE603=0,"OK",_xlfn.LET(fechaPago, Z603, fechaFactura, R603, diasCredito, IF(E603="Pago inmediato", 0, IFERROR(VALUE(MID(E603, 1, SEARCH(" ", E603)-1)),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03" s="79">
        <f>IF(AN603="","",IF(AND(N603&gt;0, AG603&gt;0), IF(Configuración!$K$2="NO", "ALERTA: DESCUENTO DOBLE NO PERMITIDO", "OK"), "OK"))</f>
        <v/>
      </c>
      <c r="AR603" s="79">
        <f>IF(AN603="","",IF(OR(AO603&lt;&gt;"OK", AP603&lt;&gt;"OK", AQ603&lt;&gt;"OK"), "⚠️ REVISAR", "OK"))</f>
        <v/>
      </c>
    </row>
    <row r="604">
      <c r="A604" s="79">
        <f>IF('Ordenes_Odoo'!A604="","",'Ordenes_Odoo'!A604)</f>
        <v/>
      </c>
      <c r="B604" s="80">
        <f>IF('Ordenes_Odoo'!B604="","",'Ordenes_Odoo'!B604)</f>
        <v/>
      </c>
      <c r="C604" s="79">
        <f>IF('Ordenes_Odoo'!C604="","",'Ordenes_Odoo'!C604)</f>
        <v/>
      </c>
      <c r="D604" s="79">
        <f>IF('Ordenes_Odoo'!D604="","",'Ordenes_Odoo'!D604)</f>
        <v/>
      </c>
      <c r="E604" s="79">
        <f>IF('Ordenes_Odoo'!E604="","",'Ordenes_Odoo'!E604)</f>
        <v/>
      </c>
      <c r="F604" s="79">
        <f>IF('Ordenes_Odoo'!F604="","",'Ordenes_Odoo'!F604)</f>
        <v/>
      </c>
      <c r="G604" s="79">
        <f>IF('Ordenes_Odoo'!G604="","",'Ordenes_Odoo'!G604)</f>
        <v/>
      </c>
      <c r="H604" s="79">
        <f>IF('Ordenes_Odoo'!H604="","",'Ordenes_Odoo'!H604)</f>
        <v/>
      </c>
      <c r="I604" s="79">
        <f>IF('Ordenes_Odoo'!I604="","",'Ordenes_Odoo'!I604)</f>
        <v/>
      </c>
      <c r="J604" s="79">
        <f>IF('Ordenes_Odoo'!J604="","",'Ordenes_Odoo'!J604)</f>
        <v/>
      </c>
      <c r="K604" s="81">
        <f>IF('Ordenes_Odoo'!K604="","",'Ordenes_Odoo'!K604)</f>
        <v/>
      </c>
      <c r="L604" s="81">
        <f>IF('Ordenes_Odoo'!L604="","",'Ordenes_Odoo'!L604)</f>
        <v/>
      </c>
      <c r="M604" s="79">
        <f>IF('Ordenes_Odoo'!M604="","",'Ordenes_Odoo'!M604)</f>
        <v/>
      </c>
      <c r="N604" s="79">
        <f>IF('Ordenes_Odoo'!N604="","",'Ordenes_Odoo'!N604)</f>
        <v/>
      </c>
      <c r="O604" s="81">
        <f>IF('Ordenes_Odoo'!O604="","",'Ordenes_Odoo'!O604)</f>
        <v/>
      </c>
      <c r="P604" s="81">
        <f>IF('Ordenes_Odoo'!P604="","",'Ordenes_Odoo'!P604)</f>
        <v/>
      </c>
      <c r="Q604" s="79">
        <f>IF(A604="","",IFERROR(INDEX(Facturas_Odoo!$B:$B, MATCH(A604, Facturas_Odoo!$D:$D, 0)), "Sin Factura"))</f>
        <v/>
      </c>
      <c r="R604" s="80">
        <f>IF(Q604="Sin Factura","",IFERROR(INDEX(Facturas_Odoo!$A:$A, MATCH(Q604, Facturas_Odoo!$B:$B, 0)), ""))</f>
        <v/>
      </c>
      <c r="S604" s="79">
        <f>IF(Q604="Sin Factura","",IFERROR(_xlfn.XLOOKUP(1, (Facturas_Odoo!$D:$D=A604) * (Facturas_Odoo!$K:$K=I604), Facturas_Odoo!$L:$L, ""), ""))</f>
        <v/>
      </c>
      <c r="T604" s="81">
        <f>IF(Q604="Sin Factura",0,IFERROR(_xlfn.XLOOKUP(1, (Facturas_Odoo!$D:$D=A604) * (Facturas_Odoo!$K:$K=I604), Facturas_Odoo!$M:$M, 0), 0))</f>
        <v/>
      </c>
      <c r="U604" s="79">
        <f>IF(Q604="Sin Factura",0,IFERROR(_xlfn.XLOOKUP(1, (Facturas_Odoo!$D:$D=A604) * (Facturas_Odoo!$K:$K=I604), Facturas_Odoo!$N:$N, 0), 0))</f>
        <v/>
      </c>
      <c r="V604" s="79">
        <f>IF(Q604="Sin Factura",0,IFERROR(_xlfn.XLOOKUP(1, (Facturas_Odoo!$D:$D=A604) * (Facturas_Odoo!$K:$K=I604), Facturas_Odoo!$O:$O, 0), 0))</f>
        <v/>
      </c>
      <c r="W604" s="81">
        <f>IF(Q604="Sin Factura",0,IFERROR(_xlfn.XLOOKUP(1, (Facturas_Odoo!$D:$D=A604) * (Facturas_Odoo!$K:$K=I604), Facturas_Odoo!$Q:$Q, 0), 0))</f>
        <v/>
      </c>
      <c r="X604" s="79">
        <f>IF(OR(Q604="Sin Factura",Q604=""),"",IFERROR(INDEX(Pagos_Odoo!$B:$B, MATCH(Q604, Pagos_Odoo!$I:$I, 0)), "Sin Pago"))</f>
        <v/>
      </c>
      <c r="Y604" s="79">
        <f>IF(X604="Sin Pago","",IFERROR(INDEX(Pagos_Odoo!$C:$C, MATCH(X604, Pagos_Odoo!$B:$B, 0)), ""))</f>
        <v/>
      </c>
      <c r="Z604" s="80">
        <f>IF(X604="Sin Pago","",IFERROR(INDEX(Pagos_Odoo!$A:$A, MATCH(X604, Pagos_Odoo!$B:$B, 0)), ""))</f>
        <v/>
      </c>
      <c r="AA604" s="79">
        <f>IF(X604="Sin Pago","",IFERROR(INDEX(Pagos_Odoo!$F:$F, MATCH(X604, Pagos_Odoo!$B:$B, 0)), ""))</f>
        <v/>
      </c>
      <c r="AB604" s="81">
        <f>IF(X604="Sin Pago",0,IFERROR(INDEX(Pagos_Odoo!$E:$E, MATCH(X604, Pagos_Odoo!$B:$B, 0)), 0))</f>
        <v/>
      </c>
      <c r="AC604" s="79">
        <f>IF(X604="Sin Pago","",IFERROR(INDEX(Pagos_Odoo!$G:$G, MATCH(X604, Pagos_Odoo!$B:$B, 0)), ""))</f>
        <v/>
      </c>
      <c r="AD604" s="82" t="n">
        <v>0</v>
      </c>
      <c r="AE604" s="82" t="n"/>
      <c r="AF604" s="82" t="n"/>
      <c r="AG604" s="82">
        <f>IF(AN604="","",AD604+AE604+AF604)</f>
        <v/>
      </c>
      <c r="AH604" s="81">
        <f>IF(AN604="","",P604*(1-AG604))</f>
        <v/>
      </c>
      <c r="AI604" s="81">
        <f>IF(AN604="","",IF(Q604="Sin Factura",0,IFERROR(INDEX(Facturas_Odoo!$H:$H, MATCH(Q604, Facturas_Odoo!$B:$B, 0)), 0)*(1-AG604)))</f>
        <v/>
      </c>
      <c r="AJ604" s="81">
        <f>IF(AN604="","",_xlfn.LET(idVenta, AN604&amp;"",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04" s="81">
        <f>IF(AN604="","",AH604-AJ604)</f>
        <v/>
      </c>
      <c r="AL604" s="81">
        <f>IF(AN604="","",IF(Q604="Sin Factura","",AI604-AJ604))</f>
        <v/>
      </c>
      <c r="AM604" s="81">
        <f>IF(AN604="","",IF(Q604="Sin Factura",0,P604-IFERROR(INDEX(Facturas_Odoo!$H:$H, MATCH(Q604, Facturas_Odoo!$B:$B, 0)), 0)))</f>
        <v/>
      </c>
      <c r="AN604" s="79">
        <f>IF(AND(A604="", J604=""), "", IF(A604&lt;&gt;"", VALUE(MID(A604,2,LEN(A604))), AN603))</f>
        <v/>
      </c>
      <c r="AO604" s="79">
        <f>IF(AN604="","",IF(AD604=0,"OK",_xlfn.LET(monedaPago, IF(AA604="","USD",AA604), limitePermitido, IFERROR(VLOOKUP(monedaPago, Configuración!$A$2:$B$3, 2, FALSE), 0.15), IF(AD604&gt;limitePermitido, "ALERTA: EXCESO (" &amp; TEXT(limitePermitido, "0%") &amp; " máx)", "OK"))))</f>
        <v/>
      </c>
      <c r="AP604" s="79">
        <f>IF(AN604="","",IF(AE604=0,"OK",_xlfn.LET(fechaPago, Z604, fechaFactura, R604, diasCredito, IF(E604="Pago inmediato", 0, IFERROR(VALUE(MID(E604, 1, SEARCH(" ", E604)-1)),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04" s="79">
        <f>IF(AN604="","",IF(AND(N604&gt;0, AG604&gt;0), IF(Configuración!$K$2="NO", "ALERTA: DESCUENTO DOBLE NO PERMITIDO", "OK"), "OK"))</f>
        <v/>
      </c>
      <c r="AR604" s="79">
        <f>IF(AN604="","",IF(OR(AO604&lt;&gt;"OK", AP604&lt;&gt;"OK", AQ604&lt;&gt;"OK"), "⚠️ REVISAR", "OK"))</f>
        <v/>
      </c>
    </row>
    <row r="605">
      <c r="A605" s="79">
        <f>IF('Ordenes_Odoo'!A605="","",'Ordenes_Odoo'!A605)</f>
        <v/>
      </c>
      <c r="B605" s="80">
        <f>IF('Ordenes_Odoo'!B605="","",'Ordenes_Odoo'!B605)</f>
        <v/>
      </c>
      <c r="C605" s="79">
        <f>IF('Ordenes_Odoo'!C605="","",'Ordenes_Odoo'!C605)</f>
        <v/>
      </c>
      <c r="D605" s="79">
        <f>IF('Ordenes_Odoo'!D605="","",'Ordenes_Odoo'!D605)</f>
        <v/>
      </c>
      <c r="E605" s="79">
        <f>IF('Ordenes_Odoo'!E605="","",'Ordenes_Odoo'!E605)</f>
        <v/>
      </c>
      <c r="F605" s="79">
        <f>IF('Ordenes_Odoo'!F605="","",'Ordenes_Odoo'!F605)</f>
        <v/>
      </c>
      <c r="G605" s="79">
        <f>IF('Ordenes_Odoo'!G605="","",'Ordenes_Odoo'!G605)</f>
        <v/>
      </c>
      <c r="H605" s="79">
        <f>IF('Ordenes_Odoo'!H605="","",'Ordenes_Odoo'!H605)</f>
        <v/>
      </c>
      <c r="I605" s="79">
        <f>IF('Ordenes_Odoo'!I605="","",'Ordenes_Odoo'!I605)</f>
        <v/>
      </c>
      <c r="J605" s="79">
        <f>IF('Ordenes_Odoo'!J605="","",'Ordenes_Odoo'!J605)</f>
        <v/>
      </c>
      <c r="K605" s="81">
        <f>IF('Ordenes_Odoo'!K605="","",'Ordenes_Odoo'!K605)</f>
        <v/>
      </c>
      <c r="L605" s="81">
        <f>IF('Ordenes_Odoo'!L605="","",'Ordenes_Odoo'!L605)</f>
        <v/>
      </c>
      <c r="M605" s="79">
        <f>IF('Ordenes_Odoo'!M605="","",'Ordenes_Odoo'!M605)</f>
        <v/>
      </c>
      <c r="N605" s="79">
        <f>IF('Ordenes_Odoo'!N605="","",'Ordenes_Odoo'!N605)</f>
        <v/>
      </c>
      <c r="O605" s="81">
        <f>IF('Ordenes_Odoo'!O605="","",'Ordenes_Odoo'!O605)</f>
        <v/>
      </c>
      <c r="P605" s="81">
        <f>IF('Ordenes_Odoo'!P605="","",'Ordenes_Odoo'!P605)</f>
        <v/>
      </c>
      <c r="Q605" s="79">
        <f>IF(A605="","",IFERROR(INDEX(Facturas_Odoo!$B:$B, MATCH(A605, Facturas_Odoo!$D:$D, 0)), "Sin Factura"))</f>
        <v/>
      </c>
      <c r="R605" s="80">
        <f>IF(Q605="Sin Factura","",IFERROR(INDEX(Facturas_Odoo!$A:$A, MATCH(Q605, Facturas_Odoo!$B:$B, 0)), ""))</f>
        <v/>
      </c>
      <c r="S605" s="79">
        <f>IF(Q605="Sin Factura","",IFERROR(_xlfn.XLOOKUP(1, (Facturas_Odoo!$D:$D=A605) * (Facturas_Odoo!$K:$K=I605), Facturas_Odoo!$L:$L, ""), ""))</f>
        <v/>
      </c>
      <c r="T605" s="81">
        <f>IF(Q605="Sin Factura",0,IFERROR(_xlfn.XLOOKUP(1, (Facturas_Odoo!$D:$D=A605) * (Facturas_Odoo!$K:$K=I605), Facturas_Odoo!$M:$M, 0), 0))</f>
        <v/>
      </c>
      <c r="U605" s="79">
        <f>IF(Q605="Sin Factura",0,IFERROR(_xlfn.XLOOKUP(1, (Facturas_Odoo!$D:$D=A605) * (Facturas_Odoo!$K:$K=I605), Facturas_Odoo!$N:$N, 0), 0))</f>
        <v/>
      </c>
      <c r="V605" s="79">
        <f>IF(Q605="Sin Factura",0,IFERROR(_xlfn.XLOOKUP(1, (Facturas_Odoo!$D:$D=A605) * (Facturas_Odoo!$K:$K=I605), Facturas_Odoo!$O:$O, 0), 0))</f>
        <v/>
      </c>
      <c r="W605" s="81">
        <f>IF(Q605="Sin Factura",0,IFERROR(_xlfn.XLOOKUP(1, (Facturas_Odoo!$D:$D=A605) * (Facturas_Odoo!$K:$K=I605), Facturas_Odoo!$Q:$Q, 0), 0))</f>
        <v/>
      </c>
      <c r="X605" s="79">
        <f>IF(OR(Q605="Sin Factura",Q605=""),"",IFERROR(INDEX(Pagos_Odoo!$B:$B, MATCH(Q605, Pagos_Odoo!$I:$I, 0)), "Sin Pago"))</f>
        <v/>
      </c>
      <c r="Y605" s="79">
        <f>IF(X605="Sin Pago","",IFERROR(INDEX(Pagos_Odoo!$C:$C, MATCH(X605, Pagos_Odoo!$B:$B, 0)), ""))</f>
        <v/>
      </c>
      <c r="Z605" s="80">
        <f>IF(X605="Sin Pago","",IFERROR(INDEX(Pagos_Odoo!$A:$A, MATCH(X605, Pagos_Odoo!$B:$B, 0)), ""))</f>
        <v/>
      </c>
      <c r="AA605" s="79">
        <f>IF(X605="Sin Pago","",IFERROR(INDEX(Pagos_Odoo!$F:$F, MATCH(X605, Pagos_Odoo!$B:$B, 0)), ""))</f>
        <v/>
      </c>
      <c r="AB605" s="81">
        <f>IF(X605="Sin Pago",0,IFERROR(INDEX(Pagos_Odoo!$E:$E, MATCH(X605, Pagos_Odoo!$B:$B, 0)), 0))</f>
        <v/>
      </c>
      <c r="AC605" s="79">
        <f>IF(X605="Sin Pago","",IFERROR(INDEX(Pagos_Odoo!$G:$G, MATCH(X605, Pagos_Odoo!$B:$B, 0)), ""))</f>
        <v/>
      </c>
      <c r="AD605" s="82" t="n">
        <v>0</v>
      </c>
      <c r="AE605" s="82" t="n"/>
      <c r="AF605" s="82" t="n"/>
      <c r="AG605" s="82">
        <f>IF(AN605="","",AD605+AE605+AF605)</f>
        <v/>
      </c>
      <c r="AH605" s="81">
        <f>IF(AN605="","",P605*(1-AG605))</f>
        <v/>
      </c>
      <c r="AI605" s="81">
        <f>IF(AN605="","",IF(Q605="Sin Factura",0,IFERROR(INDEX(Facturas_Odoo!$H:$H, MATCH(Q605, Facturas_Odoo!$B:$B, 0)), 0)*(1-AG605)))</f>
        <v/>
      </c>
      <c r="AJ605" s="81">
        <f>IF(AN605="","",_xlfn.LET(idVenta, AN605&amp;"",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05" s="81">
        <f>IF(AN605="","",AH605-AJ605)</f>
        <v/>
      </c>
      <c r="AL605" s="81">
        <f>IF(AN605="","",IF(Q605="Sin Factura","",AI605-AJ605))</f>
        <v/>
      </c>
      <c r="AM605" s="81">
        <f>IF(AN605="","",IF(Q605="Sin Factura",0,P605-IFERROR(INDEX(Facturas_Odoo!$H:$H, MATCH(Q605, Facturas_Odoo!$B:$B, 0)), 0)))</f>
        <v/>
      </c>
      <c r="AN605" s="79">
        <f>IF(AND(A605="", J605=""), "", IF(A605&lt;&gt;"", VALUE(MID(A605,2,LEN(A605))), AN604))</f>
        <v/>
      </c>
      <c r="AO605" s="79">
        <f>IF(AN605="","",IF(AD605=0,"OK",_xlfn.LET(monedaPago, IF(AA605="","USD",AA605), limitePermitido, IFERROR(VLOOKUP(monedaPago, Configuración!$A$2:$B$3, 2, FALSE), 0.15), IF(AD605&gt;limitePermitido, "ALERTA: EXCESO (" &amp; TEXT(limitePermitido, "0%") &amp; " máx)", "OK"))))</f>
        <v/>
      </c>
      <c r="AP605" s="79">
        <f>IF(AN605="","",IF(AE605=0,"OK",_xlfn.LET(fechaPago, Z605, fechaFactura, R605, diasCredito, IF(E605="Pago inmediato", 0, IFERROR(VALUE(MID(E605, 1, SEARCH(" ", E605)-1)),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05" s="79">
        <f>IF(AN605="","",IF(AND(N605&gt;0, AG605&gt;0), IF(Configuración!$K$2="NO", "ALERTA: DESCUENTO DOBLE NO PERMITIDO", "OK"), "OK"))</f>
        <v/>
      </c>
      <c r="AR605" s="79">
        <f>IF(AN605="","",IF(OR(AO605&lt;&gt;"OK", AP605&lt;&gt;"OK", AQ605&lt;&gt;"OK"), "⚠️ REVISAR", "OK"))</f>
        <v/>
      </c>
    </row>
    <row r="606">
      <c r="A606" s="79">
        <f>IF('Ordenes_Odoo'!A606="","",'Ordenes_Odoo'!A606)</f>
        <v/>
      </c>
      <c r="B606" s="80">
        <f>IF('Ordenes_Odoo'!B606="","",'Ordenes_Odoo'!B606)</f>
        <v/>
      </c>
      <c r="C606" s="79">
        <f>IF('Ordenes_Odoo'!C606="","",'Ordenes_Odoo'!C606)</f>
        <v/>
      </c>
      <c r="D606" s="79">
        <f>IF('Ordenes_Odoo'!D606="","",'Ordenes_Odoo'!D606)</f>
        <v/>
      </c>
      <c r="E606" s="79">
        <f>IF('Ordenes_Odoo'!E606="","",'Ordenes_Odoo'!E606)</f>
        <v/>
      </c>
      <c r="F606" s="79">
        <f>IF('Ordenes_Odoo'!F606="","",'Ordenes_Odoo'!F606)</f>
        <v/>
      </c>
      <c r="G606" s="79">
        <f>IF('Ordenes_Odoo'!G606="","",'Ordenes_Odoo'!G606)</f>
        <v/>
      </c>
      <c r="H606" s="79">
        <f>IF('Ordenes_Odoo'!H606="","",'Ordenes_Odoo'!H606)</f>
        <v/>
      </c>
      <c r="I606" s="79">
        <f>IF('Ordenes_Odoo'!I606="","",'Ordenes_Odoo'!I606)</f>
        <v/>
      </c>
      <c r="J606" s="79">
        <f>IF('Ordenes_Odoo'!J606="","",'Ordenes_Odoo'!J606)</f>
        <v/>
      </c>
      <c r="K606" s="81">
        <f>IF('Ordenes_Odoo'!K606="","",'Ordenes_Odoo'!K606)</f>
        <v/>
      </c>
      <c r="L606" s="81">
        <f>IF('Ordenes_Odoo'!L606="","",'Ordenes_Odoo'!L606)</f>
        <v/>
      </c>
      <c r="M606" s="79">
        <f>IF('Ordenes_Odoo'!M606="","",'Ordenes_Odoo'!M606)</f>
        <v/>
      </c>
      <c r="N606" s="79">
        <f>IF('Ordenes_Odoo'!N606="","",'Ordenes_Odoo'!N606)</f>
        <v/>
      </c>
      <c r="O606" s="81">
        <f>IF('Ordenes_Odoo'!O606="","",'Ordenes_Odoo'!O606)</f>
        <v/>
      </c>
      <c r="P606" s="81">
        <f>IF('Ordenes_Odoo'!P606="","",'Ordenes_Odoo'!P606)</f>
        <v/>
      </c>
      <c r="Q606" s="79">
        <f>IF(A606="","",IFERROR(INDEX(Facturas_Odoo!$B:$B, MATCH(A606, Facturas_Odoo!$D:$D, 0)), "Sin Factura"))</f>
        <v/>
      </c>
      <c r="R606" s="80">
        <f>IF(Q606="Sin Factura","",IFERROR(INDEX(Facturas_Odoo!$A:$A, MATCH(Q606, Facturas_Odoo!$B:$B, 0)), ""))</f>
        <v/>
      </c>
      <c r="S606" s="79">
        <f>IF(Q606="Sin Factura","",IFERROR(_xlfn.XLOOKUP(1, (Facturas_Odoo!$D:$D=A606) * (Facturas_Odoo!$K:$K=I606), Facturas_Odoo!$L:$L, ""), ""))</f>
        <v/>
      </c>
      <c r="T606" s="81">
        <f>IF(Q606="Sin Factura",0,IFERROR(_xlfn.XLOOKUP(1, (Facturas_Odoo!$D:$D=A606) * (Facturas_Odoo!$K:$K=I606), Facturas_Odoo!$M:$M, 0), 0))</f>
        <v/>
      </c>
      <c r="U606" s="79">
        <f>IF(Q606="Sin Factura",0,IFERROR(_xlfn.XLOOKUP(1, (Facturas_Odoo!$D:$D=A606) * (Facturas_Odoo!$K:$K=I606), Facturas_Odoo!$N:$N, 0), 0))</f>
        <v/>
      </c>
      <c r="V606" s="79">
        <f>IF(Q606="Sin Factura",0,IFERROR(_xlfn.XLOOKUP(1, (Facturas_Odoo!$D:$D=A606) * (Facturas_Odoo!$K:$K=I606), Facturas_Odoo!$O:$O, 0), 0))</f>
        <v/>
      </c>
      <c r="W606" s="81">
        <f>IF(Q606="Sin Factura",0,IFERROR(_xlfn.XLOOKUP(1, (Facturas_Odoo!$D:$D=A606) * (Facturas_Odoo!$K:$K=I606), Facturas_Odoo!$Q:$Q, 0), 0))</f>
        <v/>
      </c>
      <c r="X606" s="79">
        <f>IF(OR(Q606="Sin Factura",Q606=""),"",IFERROR(INDEX(Pagos_Odoo!$B:$B, MATCH(Q606, Pagos_Odoo!$I:$I, 0)), "Sin Pago"))</f>
        <v/>
      </c>
      <c r="Y606" s="79">
        <f>IF(X606="Sin Pago","",IFERROR(INDEX(Pagos_Odoo!$C:$C, MATCH(X606, Pagos_Odoo!$B:$B, 0)), ""))</f>
        <v/>
      </c>
      <c r="Z606" s="80">
        <f>IF(X606="Sin Pago","",IFERROR(INDEX(Pagos_Odoo!$A:$A, MATCH(X606, Pagos_Odoo!$B:$B, 0)), ""))</f>
        <v/>
      </c>
      <c r="AA606" s="79">
        <f>IF(X606="Sin Pago","",IFERROR(INDEX(Pagos_Odoo!$F:$F, MATCH(X606, Pagos_Odoo!$B:$B, 0)), ""))</f>
        <v/>
      </c>
      <c r="AB606" s="81">
        <f>IF(X606="Sin Pago",0,IFERROR(INDEX(Pagos_Odoo!$E:$E, MATCH(X606, Pagos_Odoo!$B:$B, 0)), 0))</f>
        <v/>
      </c>
      <c r="AC606" s="79">
        <f>IF(X606="Sin Pago","",IFERROR(INDEX(Pagos_Odoo!$G:$G, MATCH(X606, Pagos_Odoo!$B:$B, 0)), ""))</f>
        <v/>
      </c>
      <c r="AD606" s="82" t="n">
        <v>0</v>
      </c>
      <c r="AE606" s="82" t="n"/>
      <c r="AF606" s="82" t="n"/>
      <c r="AG606" s="82">
        <f>IF(AN606="","",AD606+AE606+AF606)</f>
        <v/>
      </c>
      <c r="AH606" s="81">
        <f>IF(AN606="","",P606*(1-AG606))</f>
        <v/>
      </c>
      <c r="AI606" s="81">
        <f>IF(AN606="","",IF(Q606="Sin Factura",0,IFERROR(INDEX(Facturas_Odoo!$H:$H, MATCH(Q606, Facturas_Odoo!$B:$B, 0)), 0)*(1-AG606)))</f>
        <v/>
      </c>
      <c r="AJ606" s="81">
        <f>IF(AN606="","",_xlfn.LET(idVenta, AN606&amp;"",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06" s="81">
        <f>IF(AN606="","",AH606-AJ606)</f>
        <v/>
      </c>
      <c r="AL606" s="81">
        <f>IF(AN606="","",IF(Q606="Sin Factura","",AI606-AJ606))</f>
        <v/>
      </c>
      <c r="AM606" s="81">
        <f>IF(AN606="","",IF(Q606="Sin Factura",0,P606-IFERROR(INDEX(Facturas_Odoo!$H:$H, MATCH(Q606, Facturas_Odoo!$B:$B, 0)), 0)))</f>
        <v/>
      </c>
      <c r="AN606" s="79">
        <f>IF(AND(A606="", J606=""), "", IF(A606&lt;&gt;"", VALUE(MID(A606,2,LEN(A606))), AN605))</f>
        <v/>
      </c>
      <c r="AO606" s="79">
        <f>IF(AN606="","",IF(AD606=0,"OK",_xlfn.LET(monedaPago, IF(AA606="","USD",AA606), limitePermitido, IFERROR(VLOOKUP(monedaPago, Configuración!$A$2:$B$3, 2, FALSE), 0.15), IF(AD606&gt;limitePermitido, "ALERTA: EXCESO (" &amp; TEXT(limitePermitido, "0%") &amp; " máx)", "OK"))))</f>
        <v/>
      </c>
      <c r="AP606" s="79">
        <f>IF(AN606="","",IF(AE606=0,"OK",_xlfn.LET(fechaPago, Z606, fechaFactura, R606, diasCredito, IF(E606="Pago inmediato", 0, IFERROR(VALUE(MID(E606, 1, SEARCH(" ", E606)-1)),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06" s="79">
        <f>IF(AN606="","",IF(AND(N606&gt;0, AG606&gt;0), IF(Configuración!$K$2="NO", "ALERTA: DESCUENTO DOBLE NO PERMITIDO", "OK"), "OK"))</f>
        <v/>
      </c>
      <c r="AR606" s="79">
        <f>IF(AN606="","",IF(OR(AO606&lt;&gt;"OK", AP606&lt;&gt;"OK", AQ606&lt;&gt;"OK"), "⚠️ REVISAR", "OK"))</f>
        <v/>
      </c>
    </row>
    <row r="607">
      <c r="A607" s="79">
        <f>IF('Ordenes_Odoo'!A607="","",'Ordenes_Odoo'!A607)</f>
        <v/>
      </c>
      <c r="B607" s="80">
        <f>IF('Ordenes_Odoo'!B607="","",'Ordenes_Odoo'!B607)</f>
        <v/>
      </c>
      <c r="C607" s="79">
        <f>IF('Ordenes_Odoo'!C607="","",'Ordenes_Odoo'!C607)</f>
        <v/>
      </c>
      <c r="D607" s="79">
        <f>IF('Ordenes_Odoo'!D607="","",'Ordenes_Odoo'!D607)</f>
        <v/>
      </c>
      <c r="E607" s="79">
        <f>IF('Ordenes_Odoo'!E607="","",'Ordenes_Odoo'!E607)</f>
        <v/>
      </c>
      <c r="F607" s="79">
        <f>IF('Ordenes_Odoo'!F607="","",'Ordenes_Odoo'!F607)</f>
        <v/>
      </c>
      <c r="G607" s="79">
        <f>IF('Ordenes_Odoo'!G607="","",'Ordenes_Odoo'!G607)</f>
        <v/>
      </c>
      <c r="H607" s="79">
        <f>IF('Ordenes_Odoo'!H607="","",'Ordenes_Odoo'!H607)</f>
        <v/>
      </c>
      <c r="I607" s="79">
        <f>IF('Ordenes_Odoo'!I607="","",'Ordenes_Odoo'!I607)</f>
        <v/>
      </c>
      <c r="J607" s="79">
        <f>IF('Ordenes_Odoo'!J607="","",'Ordenes_Odoo'!J607)</f>
        <v/>
      </c>
      <c r="K607" s="81">
        <f>IF('Ordenes_Odoo'!K607="","",'Ordenes_Odoo'!K607)</f>
        <v/>
      </c>
      <c r="L607" s="81">
        <f>IF('Ordenes_Odoo'!L607="","",'Ordenes_Odoo'!L607)</f>
        <v/>
      </c>
      <c r="M607" s="79">
        <f>IF('Ordenes_Odoo'!M607="","",'Ordenes_Odoo'!M607)</f>
        <v/>
      </c>
      <c r="N607" s="79">
        <f>IF('Ordenes_Odoo'!N607="","",'Ordenes_Odoo'!N607)</f>
        <v/>
      </c>
      <c r="O607" s="81">
        <f>IF('Ordenes_Odoo'!O607="","",'Ordenes_Odoo'!O607)</f>
        <v/>
      </c>
      <c r="P607" s="81">
        <f>IF('Ordenes_Odoo'!P607="","",'Ordenes_Odoo'!P607)</f>
        <v/>
      </c>
      <c r="Q607" s="79">
        <f>IF(A607="","",IFERROR(INDEX(Facturas_Odoo!$B:$B, MATCH(A607, Facturas_Odoo!$D:$D, 0)), "Sin Factura"))</f>
        <v/>
      </c>
      <c r="R607" s="80">
        <f>IF(Q607="Sin Factura","",IFERROR(INDEX(Facturas_Odoo!$A:$A, MATCH(Q607, Facturas_Odoo!$B:$B, 0)), ""))</f>
        <v/>
      </c>
      <c r="S607" s="79">
        <f>IF(Q607="Sin Factura","",IFERROR(_xlfn.XLOOKUP(1, (Facturas_Odoo!$D:$D=A607) * (Facturas_Odoo!$K:$K=I607), Facturas_Odoo!$L:$L, ""), ""))</f>
        <v/>
      </c>
      <c r="T607" s="81">
        <f>IF(Q607="Sin Factura",0,IFERROR(_xlfn.XLOOKUP(1, (Facturas_Odoo!$D:$D=A607) * (Facturas_Odoo!$K:$K=I607), Facturas_Odoo!$M:$M, 0), 0))</f>
        <v/>
      </c>
      <c r="U607" s="79">
        <f>IF(Q607="Sin Factura",0,IFERROR(_xlfn.XLOOKUP(1, (Facturas_Odoo!$D:$D=A607) * (Facturas_Odoo!$K:$K=I607), Facturas_Odoo!$N:$N, 0), 0))</f>
        <v/>
      </c>
      <c r="V607" s="79">
        <f>IF(Q607="Sin Factura",0,IFERROR(_xlfn.XLOOKUP(1, (Facturas_Odoo!$D:$D=A607) * (Facturas_Odoo!$K:$K=I607), Facturas_Odoo!$O:$O, 0), 0))</f>
        <v/>
      </c>
      <c r="W607" s="81">
        <f>IF(Q607="Sin Factura",0,IFERROR(_xlfn.XLOOKUP(1, (Facturas_Odoo!$D:$D=A607) * (Facturas_Odoo!$K:$K=I607), Facturas_Odoo!$Q:$Q, 0), 0))</f>
        <v/>
      </c>
      <c r="X607" s="79">
        <f>IF(OR(Q607="Sin Factura",Q607=""),"",IFERROR(INDEX(Pagos_Odoo!$B:$B, MATCH(Q607, Pagos_Odoo!$I:$I, 0)), "Sin Pago"))</f>
        <v/>
      </c>
      <c r="Y607" s="79">
        <f>IF(X607="Sin Pago","",IFERROR(INDEX(Pagos_Odoo!$C:$C, MATCH(X607, Pagos_Odoo!$B:$B, 0)), ""))</f>
        <v/>
      </c>
      <c r="Z607" s="80">
        <f>IF(X607="Sin Pago","",IFERROR(INDEX(Pagos_Odoo!$A:$A, MATCH(X607, Pagos_Odoo!$B:$B, 0)), ""))</f>
        <v/>
      </c>
      <c r="AA607" s="79">
        <f>IF(X607="Sin Pago","",IFERROR(INDEX(Pagos_Odoo!$F:$F, MATCH(X607, Pagos_Odoo!$B:$B, 0)), ""))</f>
        <v/>
      </c>
      <c r="AB607" s="81">
        <f>IF(X607="Sin Pago",0,IFERROR(INDEX(Pagos_Odoo!$E:$E, MATCH(X607, Pagos_Odoo!$B:$B, 0)), 0))</f>
        <v/>
      </c>
      <c r="AC607" s="79">
        <f>IF(X607="Sin Pago","",IFERROR(INDEX(Pagos_Odoo!$G:$G, MATCH(X607, Pagos_Odoo!$B:$B, 0)), ""))</f>
        <v/>
      </c>
      <c r="AD607" s="82" t="n">
        <v>0</v>
      </c>
      <c r="AE607" s="82" t="n"/>
      <c r="AF607" s="82" t="n"/>
      <c r="AG607" s="82">
        <f>IF(AN607="","",AD607+AE607+AF607)</f>
        <v/>
      </c>
      <c r="AH607" s="81">
        <f>IF(AN607="","",P607*(1-AG607))</f>
        <v/>
      </c>
      <c r="AI607" s="81">
        <f>IF(AN607="","",IF(Q607="Sin Factura",0,IFERROR(INDEX(Facturas_Odoo!$H:$H, MATCH(Q607, Facturas_Odoo!$B:$B, 0)), 0)*(1-AG607)))</f>
        <v/>
      </c>
      <c r="AJ607" s="81">
        <f>IF(AN607="","",_xlfn.LET(idVenta, AN607&amp;"",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07" s="81">
        <f>IF(AN607="","",AH607-AJ607)</f>
        <v/>
      </c>
      <c r="AL607" s="81">
        <f>IF(AN607="","",IF(Q607="Sin Factura","",AI607-AJ607))</f>
        <v/>
      </c>
      <c r="AM607" s="81">
        <f>IF(AN607="","",IF(Q607="Sin Factura",0,P607-IFERROR(INDEX(Facturas_Odoo!$H:$H, MATCH(Q607, Facturas_Odoo!$B:$B, 0)), 0)))</f>
        <v/>
      </c>
      <c r="AN607" s="79">
        <f>IF(AND(A607="", J607=""), "", IF(A607&lt;&gt;"", VALUE(MID(A607,2,LEN(A607))), AN606))</f>
        <v/>
      </c>
      <c r="AO607" s="79">
        <f>IF(AN607="","",IF(AD607=0,"OK",_xlfn.LET(monedaPago, IF(AA607="","USD",AA607), limitePermitido, IFERROR(VLOOKUP(monedaPago, Configuración!$A$2:$B$3, 2, FALSE), 0.15), IF(AD607&gt;limitePermitido, "ALERTA: EXCESO (" &amp; TEXT(limitePermitido, "0%") &amp; " máx)", "OK"))))</f>
        <v/>
      </c>
      <c r="AP607" s="79">
        <f>IF(AN607="","",IF(AE607=0,"OK",_xlfn.LET(fechaPago, Z607, fechaFactura, R607, diasCredito, IF(E607="Pago inmediato", 0, IFERROR(VALUE(MID(E607, 1, SEARCH(" ", E607)-1)),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07" s="79">
        <f>IF(AN607="","",IF(AND(N607&gt;0, AG607&gt;0), IF(Configuración!$K$2="NO", "ALERTA: DESCUENTO DOBLE NO PERMITIDO", "OK"), "OK"))</f>
        <v/>
      </c>
      <c r="AR607" s="79">
        <f>IF(AN607="","",IF(OR(AO607&lt;&gt;"OK", AP607&lt;&gt;"OK", AQ607&lt;&gt;"OK"), "⚠️ REVISAR", "OK"))</f>
        <v/>
      </c>
    </row>
    <row r="608">
      <c r="A608" s="79">
        <f>IF('Ordenes_Odoo'!A608="","",'Ordenes_Odoo'!A608)</f>
        <v/>
      </c>
      <c r="B608" s="80">
        <f>IF('Ordenes_Odoo'!B608="","",'Ordenes_Odoo'!B608)</f>
        <v/>
      </c>
      <c r="C608" s="79">
        <f>IF('Ordenes_Odoo'!C608="","",'Ordenes_Odoo'!C608)</f>
        <v/>
      </c>
      <c r="D608" s="79">
        <f>IF('Ordenes_Odoo'!D608="","",'Ordenes_Odoo'!D608)</f>
        <v/>
      </c>
      <c r="E608" s="79">
        <f>IF('Ordenes_Odoo'!E608="","",'Ordenes_Odoo'!E608)</f>
        <v/>
      </c>
      <c r="F608" s="79">
        <f>IF('Ordenes_Odoo'!F608="","",'Ordenes_Odoo'!F608)</f>
        <v/>
      </c>
      <c r="G608" s="79">
        <f>IF('Ordenes_Odoo'!G608="","",'Ordenes_Odoo'!G608)</f>
        <v/>
      </c>
      <c r="H608" s="79">
        <f>IF('Ordenes_Odoo'!H608="","",'Ordenes_Odoo'!H608)</f>
        <v/>
      </c>
      <c r="I608" s="79">
        <f>IF('Ordenes_Odoo'!I608="","",'Ordenes_Odoo'!I608)</f>
        <v/>
      </c>
      <c r="J608" s="79">
        <f>IF('Ordenes_Odoo'!J608="","",'Ordenes_Odoo'!J608)</f>
        <v/>
      </c>
      <c r="K608" s="81">
        <f>IF('Ordenes_Odoo'!K608="","",'Ordenes_Odoo'!K608)</f>
        <v/>
      </c>
      <c r="L608" s="81">
        <f>IF('Ordenes_Odoo'!L608="","",'Ordenes_Odoo'!L608)</f>
        <v/>
      </c>
      <c r="M608" s="79">
        <f>IF('Ordenes_Odoo'!M608="","",'Ordenes_Odoo'!M608)</f>
        <v/>
      </c>
      <c r="N608" s="79">
        <f>IF('Ordenes_Odoo'!N608="","",'Ordenes_Odoo'!N608)</f>
        <v/>
      </c>
      <c r="O608" s="81">
        <f>IF('Ordenes_Odoo'!O608="","",'Ordenes_Odoo'!O608)</f>
        <v/>
      </c>
      <c r="P608" s="81">
        <f>IF('Ordenes_Odoo'!P608="","",'Ordenes_Odoo'!P608)</f>
        <v/>
      </c>
      <c r="Q608" s="79">
        <f>IF(A608="","",IFERROR(INDEX(Facturas_Odoo!$B:$B, MATCH(A608, Facturas_Odoo!$D:$D, 0)), "Sin Factura"))</f>
        <v/>
      </c>
      <c r="R608" s="80">
        <f>IF(Q608="Sin Factura","",IFERROR(INDEX(Facturas_Odoo!$A:$A, MATCH(Q608, Facturas_Odoo!$B:$B, 0)), ""))</f>
        <v/>
      </c>
      <c r="S608" s="79">
        <f>IF(Q608="Sin Factura","",IFERROR(_xlfn.XLOOKUP(1, (Facturas_Odoo!$D:$D=A608) * (Facturas_Odoo!$K:$K=I608), Facturas_Odoo!$L:$L, ""), ""))</f>
        <v/>
      </c>
      <c r="T608" s="81">
        <f>IF(Q608="Sin Factura",0,IFERROR(_xlfn.XLOOKUP(1, (Facturas_Odoo!$D:$D=A608) * (Facturas_Odoo!$K:$K=I608), Facturas_Odoo!$M:$M, 0), 0))</f>
        <v/>
      </c>
      <c r="U608" s="79">
        <f>IF(Q608="Sin Factura",0,IFERROR(_xlfn.XLOOKUP(1, (Facturas_Odoo!$D:$D=A608) * (Facturas_Odoo!$K:$K=I608), Facturas_Odoo!$N:$N, 0), 0))</f>
        <v/>
      </c>
      <c r="V608" s="79">
        <f>IF(Q608="Sin Factura",0,IFERROR(_xlfn.XLOOKUP(1, (Facturas_Odoo!$D:$D=A608) * (Facturas_Odoo!$K:$K=I608), Facturas_Odoo!$O:$O, 0), 0))</f>
        <v/>
      </c>
      <c r="W608" s="81">
        <f>IF(Q608="Sin Factura",0,IFERROR(_xlfn.XLOOKUP(1, (Facturas_Odoo!$D:$D=A608) * (Facturas_Odoo!$K:$K=I608), Facturas_Odoo!$Q:$Q, 0), 0))</f>
        <v/>
      </c>
      <c r="X608" s="79">
        <f>IF(OR(Q608="Sin Factura",Q608=""),"",IFERROR(INDEX(Pagos_Odoo!$B:$B, MATCH(Q608, Pagos_Odoo!$I:$I, 0)), "Sin Pago"))</f>
        <v/>
      </c>
      <c r="Y608" s="79">
        <f>IF(X608="Sin Pago","",IFERROR(INDEX(Pagos_Odoo!$C:$C, MATCH(X608, Pagos_Odoo!$B:$B, 0)), ""))</f>
        <v/>
      </c>
      <c r="Z608" s="80">
        <f>IF(X608="Sin Pago","",IFERROR(INDEX(Pagos_Odoo!$A:$A, MATCH(X608, Pagos_Odoo!$B:$B, 0)), ""))</f>
        <v/>
      </c>
      <c r="AA608" s="79">
        <f>IF(X608="Sin Pago","",IFERROR(INDEX(Pagos_Odoo!$F:$F, MATCH(X608, Pagos_Odoo!$B:$B, 0)), ""))</f>
        <v/>
      </c>
      <c r="AB608" s="81">
        <f>IF(X608="Sin Pago",0,IFERROR(INDEX(Pagos_Odoo!$E:$E, MATCH(X608, Pagos_Odoo!$B:$B, 0)), 0))</f>
        <v/>
      </c>
      <c r="AC608" s="79">
        <f>IF(X608="Sin Pago","",IFERROR(INDEX(Pagos_Odoo!$G:$G, MATCH(X608, Pagos_Odoo!$B:$B, 0)), ""))</f>
        <v/>
      </c>
      <c r="AD608" s="82" t="n">
        <v>0</v>
      </c>
      <c r="AE608" s="82" t="n"/>
      <c r="AF608" s="82" t="n"/>
      <c r="AG608" s="82">
        <f>IF(AN608="","",AD608+AE608+AF608)</f>
        <v/>
      </c>
      <c r="AH608" s="81">
        <f>IF(AN608="","",P608*(1-AG608))</f>
        <v/>
      </c>
      <c r="AI608" s="81">
        <f>IF(AN608="","",IF(Q608="Sin Factura",0,IFERROR(INDEX(Facturas_Odoo!$H:$H, MATCH(Q608, Facturas_Odoo!$B:$B, 0)), 0)*(1-AG608)))</f>
        <v/>
      </c>
      <c r="AJ608" s="81">
        <f>IF(AN608="","",_xlfn.LET(idVenta, AN608&amp;"",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08" s="81">
        <f>IF(AN608="","",AH608-AJ608)</f>
        <v/>
      </c>
      <c r="AL608" s="81">
        <f>IF(AN608="","",IF(Q608="Sin Factura","",AI608-AJ608))</f>
        <v/>
      </c>
      <c r="AM608" s="81">
        <f>IF(AN608="","",IF(Q608="Sin Factura",0,P608-IFERROR(INDEX(Facturas_Odoo!$H:$H, MATCH(Q608, Facturas_Odoo!$B:$B, 0)), 0)))</f>
        <v/>
      </c>
      <c r="AN608" s="79">
        <f>IF(AND(A608="", J608=""), "", IF(A608&lt;&gt;"", VALUE(MID(A608,2,LEN(A608))), AN607))</f>
        <v/>
      </c>
      <c r="AO608" s="79">
        <f>IF(AN608="","",IF(AD608=0,"OK",_xlfn.LET(monedaPago, IF(AA608="","USD",AA608), limitePermitido, IFERROR(VLOOKUP(monedaPago, Configuración!$A$2:$B$3, 2, FALSE), 0.15), IF(AD608&gt;limitePermitido, "ALERTA: EXCESO (" &amp; TEXT(limitePermitido, "0%") &amp; " máx)", "OK"))))</f>
        <v/>
      </c>
      <c r="AP608" s="79">
        <f>IF(AN608="","",IF(AE608=0,"OK",_xlfn.LET(fechaPago, Z608, fechaFactura, R608, diasCredito, IF(E608="Pago inmediato", 0, IFERROR(VALUE(MID(E608, 1, SEARCH(" ", E608)-1)),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08" s="79">
        <f>IF(AN608="","",IF(AND(N608&gt;0, AG608&gt;0), IF(Configuración!$K$2="NO", "ALERTA: DESCUENTO DOBLE NO PERMITIDO", "OK"), "OK"))</f>
        <v/>
      </c>
      <c r="AR608" s="79">
        <f>IF(AN608="","",IF(OR(AO608&lt;&gt;"OK", AP608&lt;&gt;"OK", AQ608&lt;&gt;"OK"), "⚠️ REVISAR", "OK"))</f>
        <v/>
      </c>
    </row>
    <row r="609">
      <c r="A609" s="79">
        <f>IF('Ordenes_Odoo'!A609="","",'Ordenes_Odoo'!A609)</f>
        <v/>
      </c>
      <c r="B609" s="80">
        <f>IF('Ordenes_Odoo'!B609="","",'Ordenes_Odoo'!B609)</f>
        <v/>
      </c>
      <c r="C609" s="79">
        <f>IF('Ordenes_Odoo'!C609="","",'Ordenes_Odoo'!C609)</f>
        <v/>
      </c>
      <c r="D609" s="79">
        <f>IF('Ordenes_Odoo'!D609="","",'Ordenes_Odoo'!D609)</f>
        <v/>
      </c>
      <c r="E609" s="79">
        <f>IF('Ordenes_Odoo'!E609="","",'Ordenes_Odoo'!E609)</f>
        <v/>
      </c>
      <c r="F609" s="79">
        <f>IF('Ordenes_Odoo'!F609="","",'Ordenes_Odoo'!F609)</f>
        <v/>
      </c>
      <c r="G609" s="79">
        <f>IF('Ordenes_Odoo'!G609="","",'Ordenes_Odoo'!G609)</f>
        <v/>
      </c>
      <c r="H609" s="79">
        <f>IF('Ordenes_Odoo'!H609="","",'Ordenes_Odoo'!H609)</f>
        <v/>
      </c>
      <c r="I609" s="79">
        <f>IF('Ordenes_Odoo'!I609="","",'Ordenes_Odoo'!I609)</f>
        <v/>
      </c>
      <c r="J609" s="79">
        <f>IF('Ordenes_Odoo'!J609="","",'Ordenes_Odoo'!J609)</f>
        <v/>
      </c>
      <c r="K609" s="81">
        <f>IF('Ordenes_Odoo'!K609="","",'Ordenes_Odoo'!K609)</f>
        <v/>
      </c>
      <c r="L609" s="81">
        <f>IF('Ordenes_Odoo'!L609="","",'Ordenes_Odoo'!L609)</f>
        <v/>
      </c>
      <c r="M609" s="79">
        <f>IF('Ordenes_Odoo'!M609="","",'Ordenes_Odoo'!M609)</f>
        <v/>
      </c>
      <c r="N609" s="79">
        <f>IF('Ordenes_Odoo'!N609="","",'Ordenes_Odoo'!N609)</f>
        <v/>
      </c>
      <c r="O609" s="81">
        <f>IF('Ordenes_Odoo'!O609="","",'Ordenes_Odoo'!O609)</f>
        <v/>
      </c>
      <c r="P609" s="81">
        <f>IF('Ordenes_Odoo'!P609="","",'Ordenes_Odoo'!P609)</f>
        <v/>
      </c>
      <c r="Q609" s="79">
        <f>IF(A609="","",IFERROR(INDEX(Facturas_Odoo!$B:$B, MATCH(A609, Facturas_Odoo!$D:$D, 0)), "Sin Factura"))</f>
        <v/>
      </c>
      <c r="R609" s="80">
        <f>IF(Q609="Sin Factura","",IFERROR(INDEX(Facturas_Odoo!$A:$A, MATCH(Q609, Facturas_Odoo!$B:$B, 0)), ""))</f>
        <v/>
      </c>
      <c r="S609" s="79">
        <f>IF(Q609="Sin Factura","",IFERROR(_xlfn.XLOOKUP(1, (Facturas_Odoo!$D:$D=A609) * (Facturas_Odoo!$K:$K=I609), Facturas_Odoo!$L:$L, ""), ""))</f>
        <v/>
      </c>
      <c r="T609" s="81">
        <f>IF(Q609="Sin Factura",0,IFERROR(_xlfn.XLOOKUP(1, (Facturas_Odoo!$D:$D=A609) * (Facturas_Odoo!$K:$K=I609), Facturas_Odoo!$M:$M, 0), 0))</f>
        <v/>
      </c>
      <c r="U609" s="79">
        <f>IF(Q609="Sin Factura",0,IFERROR(_xlfn.XLOOKUP(1, (Facturas_Odoo!$D:$D=A609) * (Facturas_Odoo!$K:$K=I609), Facturas_Odoo!$N:$N, 0), 0))</f>
        <v/>
      </c>
      <c r="V609" s="79">
        <f>IF(Q609="Sin Factura",0,IFERROR(_xlfn.XLOOKUP(1, (Facturas_Odoo!$D:$D=A609) * (Facturas_Odoo!$K:$K=I609), Facturas_Odoo!$O:$O, 0), 0))</f>
        <v/>
      </c>
      <c r="W609" s="81">
        <f>IF(Q609="Sin Factura",0,IFERROR(_xlfn.XLOOKUP(1, (Facturas_Odoo!$D:$D=A609) * (Facturas_Odoo!$K:$K=I609), Facturas_Odoo!$Q:$Q, 0), 0))</f>
        <v/>
      </c>
      <c r="X609" s="79">
        <f>IF(OR(Q609="Sin Factura",Q609=""),"",IFERROR(INDEX(Pagos_Odoo!$B:$B, MATCH(Q609, Pagos_Odoo!$I:$I, 0)), "Sin Pago"))</f>
        <v/>
      </c>
      <c r="Y609" s="79">
        <f>IF(X609="Sin Pago","",IFERROR(INDEX(Pagos_Odoo!$C:$C, MATCH(X609, Pagos_Odoo!$B:$B, 0)), ""))</f>
        <v/>
      </c>
      <c r="Z609" s="80">
        <f>IF(X609="Sin Pago","",IFERROR(INDEX(Pagos_Odoo!$A:$A, MATCH(X609, Pagos_Odoo!$B:$B, 0)), ""))</f>
        <v/>
      </c>
      <c r="AA609" s="79">
        <f>IF(X609="Sin Pago","",IFERROR(INDEX(Pagos_Odoo!$F:$F, MATCH(X609, Pagos_Odoo!$B:$B, 0)), ""))</f>
        <v/>
      </c>
      <c r="AB609" s="81">
        <f>IF(X609="Sin Pago",0,IFERROR(INDEX(Pagos_Odoo!$E:$E, MATCH(X609, Pagos_Odoo!$B:$B, 0)), 0))</f>
        <v/>
      </c>
      <c r="AC609" s="79">
        <f>IF(X609="Sin Pago","",IFERROR(INDEX(Pagos_Odoo!$G:$G, MATCH(X609, Pagos_Odoo!$B:$B, 0)), ""))</f>
        <v/>
      </c>
      <c r="AD609" s="82" t="n">
        <v>0</v>
      </c>
      <c r="AE609" s="82" t="n"/>
      <c r="AF609" s="82" t="n"/>
      <c r="AG609" s="82">
        <f>IF(AN609="","",AD609+AE609+AF609)</f>
        <v/>
      </c>
      <c r="AH609" s="81">
        <f>IF(AN609="","",P609*(1-AG609))</f>
        <v/>
      </c>
      <c r="AI609" s="81">
        <f>IF(AN609="","",IF(Q609="Sin Factura",0,IFERROR(INDEX(Facturas_Odoo!$H:$H, MATCH(Q609, Facturas_Odoo!$B:$B, 0)), 0)*(1-AG609)))</f>
        <v/>
      </c>
      <c r="AJ609" s="81">
        <f>IF(AN609="","",_xlfn.LET(idVenta, AN609&amp;"",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09" s="81">
        <f>IF(AN609="","",AH609-AJ609)</f>
        <v/>
      </c>
      <c r="AL609" s="81">
        <f>IF(AN609="","",IF(Q609="Sin Factura","",AI609-AJ609))</f>
        <v/>
      </c>
      <c r="AM609" s="81">
        <f>IF(AN609="","",IF(Q609="Sin Factura",0,P609-IFERROR(INDEX(Facturas_Odoo!$H:$H, MATCH(Q609, Facturas_Odoo!$B:$B, 0)), 0)))</f>
        <v/>
      </c>
      <c r="AN609" s="79">
        <f>IF(AND(A609="", J609=""), "", IF(A609&lt;&gt;"", VALUE(MID(A609,2,LEN(A609))), AN608))</f>
        <v/>
      </c>
      <c r="AO609" s="79">
        <f>IF(AN609="","",IF(AD609=0,"OK",_xlfn.LET(monedaPago, IF(AA609="","USD",AA609), limitePermitido, IFERROR(VLOOKUP(monedaPago, Configuración!$A$2:$B$3, 2, FALSE), 0.15), IF(AD609&gt;limitePermitido, "ALERTA: EXCESO (" &amp; TEXT(limitePermitido, "0%") &amp; " máx)", "OK"))))</f>
        <v/>
      </c>
      <c r="AP609" s="79">
        <f>IF(AN609="","",IF(AE609=0,"OK",_xlfn.LET(fechaPago, Z609, fechaFactura, R609, diasCredito, IF(E609="Pago inmediato", 0, IFERROR(VALUE(MID(E609, 1, SEARCH(" ", E609)-1)),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09" s="79">
        <f>IF(AN609="","",IF(AND(N609&gt;0, AG609&gt;0), IF(Configuración!$K$2="NO", "ALERTA: DESCUENTO DOBLE NO PERMITIDO", "OK"), "OK"))</f>
        <v/>
      </c>
      <c r="AR609" s="79">
        <f>IF(AN609="","",IF(OR(AO609&lt;&gt;"OK", AP609&lt;&gt;"OK", AQ609&lt;&gt;"OK"), "⚠️ REVISAR", "OK"))</f>
        <v/>
      </c>
    </row>
    <row r="610">
      <c r="A610" s="79">
        <f>IF('Ordenes_Odoo'!A610="","",'Ordenes_Odoo'!A610)</f>
        <v/>
      </c>
      <c r="B610" s="80">
        <f>IF('Ordenes_Odoo'!B610="","",'Ordenes_Odoo'!B610)</f>
        <v/>
      </c>
      <c r="C610" s="79">
        <f>IF('Ordenes_Odoo'!C610="","",'Ordenes_Odoo'!C610)</f>
        <v/>
      </c>
      <c r="D610" s="79">
        <f>IF('Ordenes_Odoo'!D610="","",'Ordenes_Odoo'!D610)</f>
        <v/>
      </c>
      <c r="E610" s="79">
        <f>IF('Ordenes_Odoo'!E610="","",'Ordenes_Odoo'!E610)</f>
        <v/>
      </c>
      <c r="F610" s="79">
        <f>IF('Ordenes_Odoo'!F610="","",'Ordenes_Odoo'!F610)</f>
        <v/>
      </c>
      <c r="G610" s="79">
        <f>IF('Ordenes_Odoo'!G610="","",'Ordenes_Odoo'!G610)</f>
        <v/>
      </c>
      <c r="H610" s="79">
        <f>IF('Ordenes_Odoo'!H610="","",'Ordenes_Odoo'!H610)</f>
        <v/>
      </c>
      <c r="I610" s="79">
        <f>IF('Ordenes_Odoo'!I610="","",'Ordenes_Odoo'!I610)</f>
        <v/>
      </c>
      <c r="J610" s="79">
        <f>IF('Ordenes_Odoo'!J610="","",'Ordenes_Odoo'!J610)</f>
        <v/>
      </c>
      <c r="K610" s="81">
        <f>IF('Ordenes_Odoo'!K610="","",'Ordenes_Odoo'!K610)</f>
        <v/>
      </c>
      <c r="L610" s="81">
        <f>IF('Ordenes_Odoo'!L610="","",'Ordenes_Odoo'!L610)</f>
        <v/>
      </c>
      <c r="M610" s="79">
        <f>IF('Ordenes_Odoo'!M610="","",'Ordenes_Odoo'!M610)</f>
        <v/>
      </c>
      <c r="N610" s="79">
        <f>IF('Ordenes_Odoo'!N610="","",'Ordenes_Odoo'!N610)</f>
        <v/>
      </c>
      <c r="O610" s="81">
        <f>IF('Ordenes_Odoo'!O610="","",'Ordenes_Odoo'!O610)</f>
        <v/>
      </c>
      <c r="P610" s="81">
        <f>IF('Ordenes_Odoo'!P610="","",'Ordenes_Odoo'!P610)</f>
        <v/>
      </c>
      <c r="Q610" s="79">
        <f>IF(A610="","",IFERROR(INDEX(Facturas_Odoo!$B:$B, MATCH(A610, Facturas_Odoo!$D:$D, 0)), "Sin Factura"))</f>
        <v/>
      </c>
      <c r="R610" s="80">
        <f>IF(Q610="Sin Factura","",IFERROR(INDEX(Facturas_Odoo!$A:$A, MATCH(Q610, Facturas_Odoo!$B:$B, 0)), ""))</f>
        <v/>
      </c>
      <c r="S610" s="79">
        <f>IF(Q610="Sin Factura","",IFERROR(_xlfn.XLOOKUP(1, (Facturas_Odoo!$D:$D=A610) * (Facturas_Odoo!$K:$K=I610), Facturas_Odoo!$L:$L, ""), ""))</f>
        <v/>
      </c>
      <c r="T610" s="81">
        <f>IF(Q610="Sin Factura",0,IFERROR(_xlfn.XLOOKUP(1, (Facturas_Odoo!$D:$D=A610) * (Facturas_Odoo!$K:$K=I610), Facturas_Odoo!$M:$M, 0), 0))</f>
        <v/>
      </c>
      <c r="U610" s="79">
        <f>IF(Q610="Sin Factura",0,IFERROR(_xlfn.XLOOKUP(1, (Facturas_Odoo!$D:$D=A610) * (Facturas_Odoo!$K:$K=I610), Facturas_Odoo!$N:$N, 0), 0))</f>
        <v/>
      </c>
      <c r="V610" s="79">
        <f>IF(Q610="Sin Factura",0,IFERROR(_xlfn.XLOOKUP(1, (Facturas_Odoo!$D:$D=A610) * (Facturas_Odoo!$K:$K=I610), Facturas_Odoo!$O:$O, 0), 0))</f>
        <v/>
      </c>
      <c r="W610" s="81">
        <f>IF(Q610="Sin Factura",0,IFERROR(_xlfn.XLOOKUP(1, (Facturas_Odoo!$D:$D=A610) * (Facturas_Odoo!$K:$K=I610), Facturas_Odoo!$Q:$Q, 0), 0))</f>
        <v/>
      </c>
      <c r="X610" s="79">
        <f>IF(OR(Q610="Sin Factura",Q610=""),"",IFERROR(INDEX(Pagos_Odoo!$B:$B, MATCH(Q610, Pagos_Odoo!$I:$I, 0)), "Sin Pago"))</f>
        <v/>
      </c>
      <c r="Y610" s="79">
        <f>IF(X610="Sin Pago","",IFERROR(INDEX(Pagos_Odoo!$C:$C, MATCH(X610, Pagos_Odoo!$B:$B, 0)), ""))</f>
        <v/>
      </c>
      <c r="Z610" s="80">
        <f>IF(X610="Sin Pago","",IFERROR(INDEX(Pagos_Odoo!$A:$A, MATCH(X610, Pagos_Odoo!$B:$B, 0)), ""))</f>
        <v/>
      </c>
      <c r="AA610" s="79">
        <f>IF(X610="Sin Pago","",IFERROR(INDEX(Pagos_Odoo!$F:$F, MATCH(X610, Pagos_Odoo!$B:$B, 0)), ""))</f>
        <v/>
      </c>
      <c r="AB610" s="81">
        <f>IF(X610="Sin Pago",0,IFERROR(INDEX(Pagos_Odoo!$E:$E, MATCH(X610, Pagos_Odoo!$B:$B, 0)), 0))</f>
        <v/>
      </c>
      <c r="AC610" s="79">
        <f>IF(X610="Sin Pago","",IFERROR(INDEX(Pagos_Odoo!$G:$G, MATCH(X610, Pagos_Odoo!$B:$B, 0)), ""))</f>
        <v/>
      </c>
      <c r="AD610" s="82" t="n">
        <v>0</v>
      </c>
      <c r="AE610" s="82" t="n"/>
      <c r="AF610" s="82" t="n"/>
      <c r="AG610" s="82">
        <f>IF(AN610="","",AD610+AE610+AF610)</f>
        <v/>
      </c>
      <c r="AH610" s="81">
        <f>IF(AN610="","",P610*(1-AG610))</f>
        <v/>
      </c>
      <c r="AI610" s="81">
        <f>IF(AN610="","",IF(Q610="Sin Factura",0,IFERROR(INDEX(Facturas_Odoo!$H:$H, MATCH(Q610, Facturas_Odoo!$B:$B, 0)), 0)*(1-AG610)))</f>
        <v/>
      </c>
      <c r="AJ610" s="81">
        <f>IF(AN610="","",_xlfn.LET(idVenta, AN610&amp;"",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10" s="81">
        <f>IF(AN610="","",AH610-AJ610)</f>
        <v/>
      </c>
      <c r="AL610" s="81">
        <f>IF(AN610="","",IF(Q610="Sin Factura","",AI610-AJ610))</f>
        <v/>
      </c>
      <c r="AM610" s="81">
        <f>IF(AN610="","",IF(Q610="Sin Factura",0,P610-IFERROR(INDEX(Facturas_Odoo!$H:$H, MATCH(Q610, Facturas_Odoo!$B:$B, 0)), 0)))</f>
        <v/>
      </c>
      <c r="AN610" s="79">
        <f>IF(AND(A610="", J610=""), "", IF(A610&lt;&gt;"", VALUE(MID(A610,2,LEN(A610))), AN609))</f>
        <v/>
      </c>
      <c r="AO610" s="79">
        <f>IF(AN610="","",IF(AD610=0,"OK",_xlfn.LET(monedaPago, IF(AA610="","USD",AA610), limitePermitido, IFERROR(VLOOKUP(monedaPago, Configuración!$A$2:$B$3, 2, FALSE), 0.15), IF(AD610&gt;limitePermitido, "ALERTA: EXCESO (" &amp; TEXT(limitePermitido, "0%") &amp; " máx)", "OK"))))</f>
        <v/>
      </c>
      <c r="AP610" s="79">
        <f>IF(AN610="","",IF(AE610=0,"OK",_xlfn.LET(fechaPago, Z610, fechaFactura, R610, diasCredito, IF(E610="Pago inmediato", 0, IFERROR(VALUE(MID(E610, 1, SEARCH(" ", E610)-1)),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10" s="79">
        <f>IF(AN610="","",IF(AND(N610&gt;0, AG610&gt;0), IF(Configuración!$K$2="NO", "ALERTA: DESCUENTO DOBLE NO PERMITIDO", "OK"), "OK"))</f>
        <v/>
      </c>
      <c r="AR610" s="79">
        <f>IF(AN610="","",IF(OR(AO610&lt;&gt;"OK", AP610&lt;&gt;"OK", AQ610&lt;&gt;"OK"), "⚠️ REVISAR", "OK"))</f>
        <v/>
      </c>
    </row>
    <row r="611">
      <c r="A611" s="79">
        <f>IF('Ordenes_Odoo'!A611="","",'Ordenes_Odoo'!A611)</f>
        <v/>
      </c>
      <c r="B611" s="80">
        <f>IF('Ordenes_Odoo'!B611="","",'Ordenes_Odoo'!B611)</f>
        <v/>
      </c>
      <c r="C611" s="79">
        <f>IF('Ordenes_Odoo'!C611="","",'Ordenes_Odoo'!C611)</f>
        <v/>
      </c>
      <c r="D611" s="79">
        <f>IF('Ordenes_Odoo'!D611="","",'Ordenes_Odoo'!D611)</f>
        <v/>
      </c>
      <c r="E611" s="79">
        <f>IF('Ordenes_Odoo'!E611="","",'Ordenes_Odoo'!E611)</f>
        <v/>
      </c>
      <c r="F611" s="79">
        <f>IF('Ordenes_Odoo'!F611="","",'Ordenes_Odoo'!F611)</f>
        <v/>
      </c>
      <c r="G611" s="79">
        <f>IF('Ordenes_Odoo'!G611="","",'Ordenes_Odoo'!G611)</f>
        <v/>
      </c>
      <c r="H611" s="79">
        <f>IF('Ordenes_Odoo'!H611="","",'Ordenes_Odoo'!H611)</f>
        <v/>
      </c>
      <c r="I611" s="79">
        <f>IF('Ordenes_Odoo'!I611="","",'Ordenes_Odoo'!I611)</f>
        <v/>
      </c>
      <c r="J611" s="79">
        <f>IF('Ordenes_Odoo'!J611="","",'Ordenes_Odoo'!J611)</f>
        <v/>
      </c>
      <c r="K611" s="81">
        <f>IF('Ordenes_Odoo'!K611="","",'Ordenes_Odoo'!K611)</f>
        <v/>
      </c>
      <c r="L611" s="81">
        <f>IF('Ordenes_Odoo'!L611="","",'Ordenes_Odoo'!L611)</f>
        <v/>
      </c>
      <c r="M611" s="79">
        <f>IF('Ordenes_Odoo'!M611="","",'Ordenes_Odoo'!M611)</f>
        <v/>
      </c>
      <c r="N611" s="79">
        <f>IF('Ordenes_Odoo'!N611="","",'Ordenes_Odoo'!N611)</f>
        <v/>
      </c>
      <c r="O611" s="81">
        <f>IF('Ordenes_Odoo'!O611="","",'Ordenes_Odoo'!O611)</f>
        <v/>
      </c>
      <c r="P611" s="81">
        <f>IF('Ordenes_Odoo'!P611="","",'Ordenes_Odoo'!P611)</f>
        <v/>
      </c>
      <c r="Q611" s="79">
        <f>IF(A611="","",IFERROR(INDEX(Facturas_Odoo!$B:$B, MATCH(A611, Facturas_Odoo!$D:$D, 0)), "Sin Factura"))</f>
        <v/>
      </c>
      <c r="R611" s="80">
        <f>IF(Q611="Sin Factura","",IFERROR(INDEX(Facturas_Odoo!$A:$A, MATCH(Q611, Facturas_Odoo!$B:$B, 0)), ""))</f>
        <v/>
      </c>
      <c r="S611" s="79">
        <f>IF(Q611="Sin Factura","",IFERROR(_xlfn.XLOOKUP(1, (Facturas_Odoo!$D:$D=A611) * (Facturas_Odoo!$K:$K=I611), Facturas_Odoo!$L:$L, ""), ""))</f>
        <v/>
      </c>
      <c r="T611" s="81">
        <f>IF(Q611="Sin Factura",0,IFERROR(_xlfn.XLOOKUP(1, (Facturas_Odoo!$D:$D=A611) * (Facturas_Odoo!$K:$K=I611), Facturas_Odoo!$M:$M, 0), 0))</f>
        <v/>
      </c>
      <c r="U611" s="79">
        <f>IF(Q611="Sin Factura",0,IFERROR(_xlfn.XLOOKUP(1, (Facturas_Odoo!$D:$D=A611) * (Facturas_Odoo!$K:$K=I611), Facturas_Odoo!$N:$N, 0), 0))</f>
        <v/>
      </c>
      <c r="V611" s="79">
        <f>IF(Q611="Sin Factura",0,IFERROR(_xlfn.XLOOKUP(1, (Facturas_Odoo!$D:$D=A611) * (Facturas_Odoo!$K:$K=I611), Facturas_Odoo!$O:$O, 0), 0))</f>
        <v/>
      </c>
      <c r="W611" s="81">
        <f>IF(Q611="Sin Factura",0,IFERROR(_xlfn.XLOOKUP(1, (Facturas_Odoo!$D:$D=A611) * (Facturas_Odoo!$K:$K=I611), Facturas_Odoo!$Q:$Q, 0), 0))</f>
        <v/>
      </c>
      <c r="X611" s="79">
        <f>IF(OR(Q611="Sin Factura",Q611=""),"",IFERROR(INDEX(Pagos_Odoo!$B:$B, MATCH(Q611, Pagos_Odoo!$I:$I, 0)), "Sin Pago"))</f>
        <v/>
      </c>
      <c r="Y611" s="79">
        <f>IF(X611="Sin Pago","",IFERROR(INDEX(Pagos_Odoo!$C:$C, MATCH(X611, Pagos_Odoo!$B:$B, 0)), ""))</f>
        <v/>
      </c>
      <c r="Z611" s="80">
        <f>IF(X611="Sin Pago","",IFERROR(INDEX(Pagos_Odoo!$A:$A, MATCH(X611, Pagos_Odoo!$B:$B, 0)), ""))</f>
        <v/>
      </c>
      <c r="AA611" s="79">
        <f>IF(X611="Sin Pago","",IFERROR(INDEX(Pagos_Odoo!$F:$F, MATCH(X611, Pagos_Odoo!$B:$B, 0)), ""))</f>
        <v/>
      </c>
      <c r="AB611" s="81">
        <f>IF(X611="Sin Pago",0,IFERROR(INDEX(Pagos_Odoo!$E:$E, MATCH(X611, Pagos_Odoo!$B:$B, 0)), 0))</f>
        <v/>
      </c>
      <c r="AC611" s="79">
        <f>IF(X611="Sin Pago","",IFERROR(INDEX(Pagos_Odoo!$G:$G, MATCH(X611, Pagos_Odoo!$B:$B, 0)), ""))</f>
        <v/>
      </c>
      <c r="AD611" s="82" t="n">
        <v>0</v>
      </c>
      <c r="AE611" s="82" t="n"/>
      <c r="AF611" s="82" t="n"/>
      <c r="AG611" s="82">
        <f>IF(AN611="","",AD611+AE611+AF611)</f>
        <v/>
      </c>
      <c r="AH611" s="81">
        <f>IF(AN611="","",P611*(1-AG611))</f>
        <v/>
      </c>
      <c r="AI611" s="81">
        <f>IF(AN611="","",IF(Q611="Sin Factura",0,IFERROR(INDEX(Facturas_Odoo!$H:$H, MATCH(Q611, Facturas_Odoo!$B:$B, 0)), 0)*(1-AG611)))</f>
        <v/>
      </c>
      <c r="AJ611" s="81">
        <f>IF(AN611="","",_xlfn.LET(idVenta, AN611&amp;"",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11" s="81">
        <f>IF(AN611="","",AH611-AJ611)</f>
        <v/>
      </c>
      <c r="AL611" s="81">
        <f>IF(AN611="","",IF(Q611="Sin Factura","",AI611-AJ611))</f>
        <v/>
      </c>
      <c r="AM611" s="81">
        <f>IF(AN611="","",IF(Q611="Sin Factura",0,P611-IFERROR(INDEX(Facturas_Odoo!$H:$H, MATCH(Q611, Facturas_Odoo!$B:$B, 0)), 0)))</f>
        <v/>
      </c>
      <c r="AN611" s="79">
        <f>IF(AND(A611="", J611=""), "", IF(A611&lt;&gt;"", VALUE(MID(A611,2,LEN(A611))), AN610))</f>
        <v/>
      </c>
      <c r="AO611" s="79">
        <f>IF(AN611="","",IF(AD611=0,"OK",_xlfn.LET(monedaPago, IF(AA611="","USD",AA611), limitePermitido, IFERROR(VLOOKUP(monedaPago, Configuración!$A$2:$B$3, 2, FALSE), 0.15), IF(AD611&gt;limitePermitido, "ALERTA: EXCESO (" &amp; TEXT(limitePermitido, "0%") &amp; " máx)", "OK"))))</f>
        <v/>
      </c>
      <c r="AP611" s="79">
        <f>IF(AN611="","",IF(AE611=0,"OK",_xlfn.LET(fechaPago, Z611, fechaFactura, R611, diasCredito, IF(E611="Pago inmediato", 0, IFERROR(VALUE(MID(E611, 1, SEARCH(" ", E611)-1)),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11" s="79">
        <f>IF(AN611="","",IF(AND(N611&gt;0, AG611&gt;0), IF(Configuración!$K$2="NO", "ALERTA: DESCUENTO DOBLE NO PERMITIDO", "OK"), "OK"))</f>
        <v/>
      </c>
      <c r="AR611" s="79">
        <f>IF(AN611="","",IF(OR(AO611&lt;&gt;"OK", AP611&lt;&gt;"OK", AQ611&lt;&gt;"OK"), "⚠️ REVISAR", "OK"))</f>
        <v/>
      </c>
    </row>
    <row r="612">
      <c r="A612" s="79">
        <f>IF('Ordenes_Odoo'!A612="","",'Ordenes_Odoo'!A612)</f>
        <v/>
      </c>
      <c r="B612" s="80">
        <f>IF('Ordenes_Odoo'!B612="","",'Ordenes_Odoo'!B612)</f>
        <v/>
      </c>
      <c r="C612" s="79">
        <f>IF('Ordenes_Odoo'!C612="","",'Ordenes_Odoo'!C612)</f>
        <v/>
      </c>
      <c r="D612" s="79">
        <f>IF('Ordenes_Odoo'!D612="","",'Ordenes_Odoo'!D612)</f>
        <v/>
      </c>
      <c r="E612" s="79">
        <f>IF('Ordenes_Odoo'!E612="","",'Ordenes_Odoo'!E612)</f>
        <v/>
      </c>
      <c r="F612" s="79">
        <f>IF('Ordenes_Odoo'!F612="","",'Ordenes_Odoo'!F612)</f>
        <v/>
      </c>
      <c r="G612" s="79">
        <f>IF('Ordenes_Odoo'!G612="","",'Ordenes_Odoo'!G612)</f>
        <v/>
      </c>
      <c r="H612" s="79">
        <f>IF('Ordenes_Odoo'!H612="","",'Ordenes_Odoo'!H612)</f>
        <v/>
      </c>
      <c r="I612" s="79">
        <f>IF('Ordenes_Odoo'!I612="","",'Ordenes_Odoo'!I612)</f>
        <v/>
      </c>
      <c r="J612" s="79">
        <f>IF('Ordenes_Odoo'!J612="","",'Ordenes_Odoo'!J612)</f>
        <v/>
      </c>
      <c r="K612" s="81">
        <f>IF('Ordenes_Odoo'!K612="","",'Ordenes_Odoo'!K612)</f>
        <v/>
      </c>
      <c r="L612" s="81">
        <f>IF('Ordenes_Odoo'!L612="","",'Ordenes_Odoo'!L612)</f>
        <v/>
      </c>
      <c r="M612" s="79">
        <f>IF('Ordenes_Odoo'!M612="","",'Ordenes_Odoo'!M612)</f>
        <v/>
      </c>
      <c r="N612" s="79">
        <f>IF('Ordenes_Odoo'!N612="","",'Ordenes_Odoo'!N612)</f>
        <v/>
      </c>
      <c r="O612" s="81">
        <f>IF('Ordenes_Odoo'!O612="","",'Ordenes_Odoo'!O612)</f>
        <v/>
      </c>
      <c r="P612" s="81">
        <f>IF('Ordenes_Odoo'!P612="","",'Ordenes_Odoo'!P612)</f>
        <v/>
      </c>
      <c r="Q612" s="79">
        <f>IF(A612="","",IFERROR(INDEX(Facturas_Odoo!$B:$B, MATCH(A612, Facturas_Odoo!$D:$D, 0)), "Sin Factura"))</f>
        <v/>
      </c>
      <c r="R612" s="80">
        <f>IF(Q612="Sin Factura","",IFERROR(INDEX(Facturas_Odoo!$A:$A, MATCH(Q612, Facturas_Odoo!$B:$B, 0)), ""))</f>
        <v/>
      </c>
      <c r="S612" s="79">
        <f>IF(Q612="Sin Factura","",IFERROR(_xlfn.XLOOKUP(1, (Facturas_Odoo!$D:$D=A612) * (Facturas_Odoo!$K:$K=I612), Facturas_Odoo!$L:$L, ""), ""))</f>
        <v/>
      </c>
      <c r="T612" s="81">
        <f>IF(Q612="Sin Factura",0,IFERROR(_xlfn.XLOOKUP(1, (Facturas_Odoo!$D:$D=A612) * (Facturas_Odoo!$K:$K=I612), Facturas_Odoo!$M:$M, 0), 0))</f>
        <v/>
      </c>
      <c r="U612" s="79">
        <f>IF(Q612="Sin Factura",0,IFERROR(_xlfn.XLOOKUP(1, (Facturas_Odoo!$D:$D=A612) * (Facturas_Odoo!$K:$K=I612), Facturas_Odoo!$N:$N, 0), 0))</f>
        <v/>
      </c>
      <c r="V612" s="79">
        <f>IF(Q612="Sin Factura",0,IFERROR(_xlfn.XLOOKUP(1, (Facturas_Odoo!$D:$D=A612) * (Facturas_Odoo!$K:$K=I612), Facturas_Odoo!$O:$O, 0), 0))</f>
        <v/>
      </c>
      <c r="W612" s="81">
        <f>IF(Q612="Sin Factura",0,IFERROR(_xlfn.XLOOKUP(1, (Facturas_Odoo!$D:$D=A612) * (Facturas_Odoo!$K:$K=I612), Facturas_Odoo!$Q:$Q, 0), 0))</f>
        <v/>
      </c>
      <c r="X612" s="79">
        <f>IF(OR(Q612="Sin Factura",Q612=""),"",IFERROR(INDEX(Pagos_Odoo!$B:$B, MATCH(Q612, Pagos_Odoo!$I:$I, 0)), "Sin Pago"))</f>
        <v/>
      </c>
      <c r="Y612" s="79">
        <f>IF(X612="Sin Pago","",IFERROR(INDEX(Pagos_Odoo!$C:$C, MATCH(X612, Pagos_Odoo!$B:$B, 0)), ""))</f>
        <v/>
      </c>
      <c r="Z612" s="80">
        <f>IF(X612="Sin Pago","",IFERROR(INDEX(Pagos_Odoo!$A:$A, MATCH(X612, Pagos_Odoo!$B:$B, 0)), ""))</f>
        <v/>
      </c>
      <c r="AA612" s="79">
        <f>IF(X612="Sin Pago","",IFERROR(INDEX(Pagos_Odoo!$F:$F, MATCH(X612, Pagos_Odoo!$B:$B, 0)), ""))</f>
        <v/>
      </c>
      <c r="AB612" s="81">
        <f>IF(X612="Sin Pago",0,IFERROR(INDEX(Pagos_Odoo!$E:$E, MATCH(X612, Pagos_Odoo!$B:$B, 0)), 0))</f>
        <v/>
      </c>
      <c r="AC612" s="79">
        <f>IF(X612="Sin Pago","",IFERROR(INDEX(Pagos_Odoo!$G:$G, MATCH(X612, Pagos_Odoo!$B:$B, 0)), ""))</f>
        <v/>
      </c>
      <c r="AD612" s="82" t="n">
        <v>0</v>
      </c>
      <c r="AE612" s="82" t="n"/>
      <c r="AF612" s="82" t="n"/>
      <c r="AG612" s="82">
        <f>IF(AN612="","",AD612+AE612+AF612)</f>
        <v/>
      </c>
      <c r="AH612" s="81">
        <f>IF(AN612="","",P612*(1-AG612))</f>
        <v/>
      </c>
      <c r="AI612" s="81">
        <f>IF(AN612="","",IF(Q612="Sin Factura",0,IFERROR(INDEX(Facturas_Odoo!$H:$H, MATCH(Q612, Facturas_Odoo!$B:$B, 0)), 0)*(1-AG612)))</f>
        <v/>
      </c>
      <c r="AJ612" s="81">
        <f>IF(AN612="","",_xlfn.LET(idVenta, AN612&amp;"",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12" s="81">
        <f>IF(AN612="","",AH612-AJ612)</f>
        <v/>
      </c>
      <c r="AL612" s="81">
        <f>IF(AN612="","",IF(Q612="Sin Factura","",AI612-AJ612))</f>
        <v/>
      </c>
      <c r="AM612" s="81">
        <f>IF(AN612="","",IF(Q612="Sin Factura",0,P612-IFERROR(INDEX(Facturas_Odoo!$H:$H, MATCH(Q612, Facturas_Odoo!$B:$B, 0)), 0)))</f>
        <v/>
      </c>
      <c r="AN612" s="79">
        <f>IF(AND(A612="", J612=""), "", IF(A612&lt;&gt;"", VALUE(MID(A612,2,LEN(A612))), AN611))</f>
        <v/>
      </c>
      <c r="AO612" s="79">
        <f>IF(AN612="","",IF(AD612=0,"OK",_xlfn.LET(monedaPago, IF(AA612="","USD",AA612), limitePermitido, IFERROR(VLOOKUP(monedaPago, Configuración!$A$2:$B$3, 2, FALSE), 0.15), IF(AD612&gt;limitePermitido, "ALERTA: EXCESO (" &amp; TEXT(limitePermitido, "0%") &amp; " máx)", "OK"))))</f>
        <v/>
      </c>
      <c r="AP612" s="79">
        <f>IF(AN612="","",IF(AE612=0,"OK",_xlfn.LET(fechaPago, Z612, fechaFactura, R612, diasCredito, IF(E612="Pago inmediato", 0, IFERROR(VALUE(MID(E612, 1, SEARCH(" ", E612)-1)),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12" s="79">
        <f>IF(AN612="","",IF(AND(N612&gt;0, AG612&gt;0), IF(Configuración!$K$2="NO", "ALERTA: DESCUENTO DOBLE NO PERMITIDO", "OK"), "OK"))</f>
        <v/>
      </c>
      <c r="AR612" s="79">
        <f>IF(AN612="","",IF(OR(AO612&lt;&gt;"OK", AP612&lt;&gt;"OK", AQ612&lt;&gt;"OK"), "⚠️ REVISAR", "OK"))</f>
        <v/>
      </c>
    </row>
    <row r="613">
      <c r="A613" s="79">
        <f>IF('Ordenes_Odoo'!A613="","",'Ordenes_Odoo'!A613)</f>
        <v/>
      </c>
      <c r="B613" s="80">
        <f>IF('Ordenes_Odoo'!B613="","",'Ordenes_Odoo'!B613)</f>
        <v/>
      </c>
      <c r="C613" s="79">
        <f>IF('Ordenes_Odoo'!C613="","",'Ordenes_Odoo'!C613)</f>
        <v/>
      </c>
      <c r="D613" s="79">
        <f>IF('Ordenes_Odoo'!D613="","",'Ordenes_Odoo'!D613)</f>
        <v/>
      </c>
      <c r="E613" s="79">
        <f>IF('Ordenes_Odoo'!E613="","",'Ordenes_Odoo'!E613)</f>
        <v/>
      </c>
      <c r="F613" s="79">
        <f>IF('Ordenes_Odoo'!F613="","",'Ordenes_Odoo'!F613)</f>
        <v/>
      </c>
      <c r="G613" s="79">
        <f>IF('Ordenes_Odoo'!G613="","",'Ordenes_Odoo'!G613)</f>
        <v/>
      </c>
      <c r="H613" s="79">
        <f>IF('Ordenes_Odoo'!H613="","",'Ordenes_Odoo'!H613)</f>
        <v/>
      </c>
      <c r="I613" s="79">
        <f>IF('Ordenes_Odoo'!I613="","",'Ordenes_Odoo'!I613)</f>
        <v/>
      </c>
      <c r="J613" s="79">
        <f>IF('Ordenes_Odoo'!J613="","",'Ordenes_Odoo'!J613)</f>
        <v/>
      </c>
      <c r="K613" s="81">
        <f>IF('Ordenes_Odoo'!K613="","",'Ordenes_Odoo'!K613)</f>
        <v/>
      </c>
      <c r="L613" s="81">
        <f>IF('Ordenes_Odoo'!L613="","",'Ordenes_Odoo'!L613)</f>
        <v/>
      </c>
      <c r="M613" s="79">
        <f>IF('Ordenes_Odoo'!M613="","",'Ordenes_Odoo'!M613)</f>
        <v/>
      </c>
      <c r="N613" s="79">
        <f>IF('Ordenes_Odoo'!N613="","",'Ordenes_Odoo'!N613)</f>
        <v/>
      </c>
      <c r="O613" s="81">
        <f>IF('Ordenes_Odoo'!O613="","",'Ordenes_Odoo'!O613)</f>
        <v/>
      </c>
      <c r="P613" s="81">
        <f>IF('Ordenes_Odoo'!P613="","",'Ordenes_Odoo'!P613)</f>
        <v/>
      </c>
      <c r="Q613" s="79">
        <f>IF(A613="","",IFERROR(INDEX(Facturas_Odoo!$B:$B, MATCH(A613, Facturas_Odoo!$D:$D, 0)), "Sin Factura"))</f>
        <v/>
      </c>
      <c r="R613" s="80">
        <f>IF(Q613="Sin Factura","",IFERROR(INDEX(Facturas_Odoo!$A:$A, MATCH(Q613, Facturas_Odoo!$B:$B, 0)), ""))</f>
        <v/>
      </c>
      <c r="S613" s="79">
        <f>IF(Q613="Sin Factura","",IFERROR(_xlfn.XLOOKUP(1, (Facturas_Odoo!$D:$D=A613) * (Facturas_Odoo!$K:$K=I613), Facturas_Odoo!$L:$L, ""), ""))</f>
        <v/>
      </c>
      <c r="T613" s="81">
        <f>IF(Q613="Sin Factura",0,IFERROR(_xlfn.XLOOKUP(1, (Facturas_Odoo!$D:$D=A613) * (Facturas_Odoo!$K:$K=I613), Facturas_Odoo!$M:$M, 0), 0))</f>
        <v/>
      </c>
      <c r="U613" s="79">
        <f>IF(Q613="Sin Factura",0,IFERROR(_xlfn.XLOOKUP(1, (Facturas_Odoo!$D:$D=A613) * (Facturas_Odoo!$K:$K=I613), Facturas_Odoo!$N:$N, 0), 0))</f>
        <v/>
      </c>
      <c r="V613" s="79">
        <f>IF(Q613="Sin Factura",0,IFERROR(_xlfn.XLOOKUP(1, (Facturas_Odoo!$D:$D=A613) * (Facturas_Odoo!$K:$K=I613), Facturas_Odoo!$O:$O, 0), 0))</f>
        <v/>
      </c>
      <c r="W613" s="81">
        <f>IF(Q613="Sin Factura",0,IFERROR(_xlfn.XLOOKUP(1, (Facturas_Odoo!$D:$D=A613) * (Facturas_Odoo!$K:$K=I613), Facturas_Odoo!$Q:$Q, 0), 0))</f>
        <v/>
      </c>
      <c r="X613" s="79">
        <f>IF(OR(Q613="Sin Factura",Q613=""),"",IFERROR(INDEX(Pagos_Odoo!$B:$B, MATCH(Q613, Pagos_Odoo!$I:$I, 0)), "Sin Pago"))</f>
        <v/>
      </c>
      <c r="Y613" s="79">
        <f>IF(X613="Sin Pago","",IFERROR(INDEX(Pagos_Odoo!$C:$C, MATCH(X613, Pagos_Odoo!$B:$B, 0)), ""))</f>
        <v/>
      </c>
      <c r="Z613" s="80">
        <f>IF(X613="Sin Pago","",IFERROR(INDEX(Pagos_Odoo!$A:$A, MATCH(X613, Pagos_Odoo!$B:$B, 0)), ""))</f>
        <v/>
      </c>
      <c r="AA613" s="79">
        <f>IF(X613="Sin Pago","",IFERROR(INDEX(Pagos_Odoo!$F:$F, MATCH(X613, Pagos_Odoo!$B:$B, 0)), ""))</f>
        <v/>
      </c>
      <c r="AB613" s="81">
        <f>IF(X613="Sin Pago",0,IFERROR(INDEX(Pagos_Odoo!$E:$E, MATCH(X613, Pagos_Odoo!$B:$B, 0)), 0))</f>
        <v/>
      </c>
      <c r="AC613" s="79">
        <f>IF(X613="Sin Pago","",IFERROR(INDEX(Pagos_Odoo!$G:$G, MATCH(X613, Pagos_Odoo!$B:$B, 0)), ""))</f>
        <v/>
      </c>
      <c r="AD613" s="82" t="n">
        <v>0</v>
      </c>
      <c r="AE613" s="82" t="n"/>
      <c r="AF613" s="82" t="n"/>
      <c r="AG613" s="82">
        <f>IF(AN613="","",AD613+AE613+AF613)</f>
        <v/>
      </c>
      <c r="AH613" s="81">
        <f>IF(AN613="","",P613*(1-AG613))</f>
        <v/>
      </c>
      <c r="AI613" s="81">
        <f>IF(AN613="","",IF(Q613="Sin Factura",0,IFERROR(INDEX(Facturas_Odoo!$H:$H, MATCH(Q613, Facturas_Odoo!$B:$B, 0)), 0)*(1-AG613)))</f>
        <v/>
      </c>
      <c r="AJ613" s="81">
        <f>IF(AN613="","",_xlfn.LET(idVenta, AN613&amp;"",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13" s="81">
        <f>IF(AN613="","",AH613-AJ613)</f>
        <v/>
      </c>
      <c r="AL613" s="81">
        <f>IF(AN613="","",IF(Q613="Sin Factura","",AI613-AJ613))</f>
        <v/>
      </c>
      <c r="AM613" s="81">
        <f>IF(AN613="","",IF(Q613="Sin Factura",0,P613-IFERROR(INDEX(Facturas_Odoo!$H:$H, MATCH(Q613, Facturas_Odoo!$B:$B, 0)), 0)))</f>
        <v/>
      </c>
      <c r="AN613" s="79">
        <f>IF(AND(A613="", J613=""), "", IF(A613&lt;&gt;"", VALUE(MID(A613,2,LEN(A613))), AN612))</f>
        <v/>
      </c>
      <c r="AO613" s="79">
        <f>IF(AN613="","",IF(AD613=0,"OK",_xlfn.LET(monedaPago, IF(AA613="","USD",AA613), limitePermitido, IFERROR(VLOOKUP(monedaPago, Configuración!$A$2:$B$3, 2, FALSE), 0.15), IF(AD613&gt;limitePermitido, "ALERTA: EXCESO (" &amp; TEXT(limitePermitido, "0%") &amp; " máx)", "OK"))))</f>
        <v/>
      </c>
      <c r="AP613" s="79">
        <f>IF(AN613="","",IF(AE613=0,"OK",_xlfn.LET(fechaPago, Z613, fechaFactura, R613, diasCredito, IF(E613="Pago inmediato", 0, IFERROR(VALUE(MID(E613, 1, SEARCH(" ", E613)-1)),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13" s="79">
        <f>IF(AN613="","",IF(AND(N613&gt;0, AG613&gt;0), IF(Configuración!$K$2="NO", "ALERTA: DESCUENTO DOBLE NO PERMITIDO", "OK"), "OK"))</f>
        <v/>
      </c>
      <c r="AR613" s="79">
        <f>IF(AN613="","",IF(OR(AO613&lt;&gt;"OK", AP613&lt;&gt;"OK", AQ613&lt;&gt;"OK"), "⚠️ REVISAR", "OK"))</f>
        <v/>
      </c>
    </row>
    <row r="614">
      <c r="A614" s="79">
        <f>IF('Ordenes_Odoo'!A614="","",'Ordenes_Odoo'!A614)</f>
        <v/>
      </c>
      <c r="B614" s="80">
        <f>IF('Ordenes_Odoo'!B614="","",'Ordenes_Odoo'!B614)</f>
        <v/>
      </c>
      <c r="C614" s="79">
        <f>IF('Ordenes_Odoo'!C614="","",'Ordenes_Odoo'!C614)</f>
        <v/>
      </c>
      <c r="D614" s="79">
        <f>IF('Ordenes_Odoo'!D614="","",'Ordenes_Odoo'!D614)</f>
        <v/>
      </c>
      <c r="E614" s="79">
        <f>IF('Ordenes_Odoo'!E614="","",'Ordenes_Odoo'!E614)</f>
        <v/>
      </c>
      <c r="F614" s="79">
        <f>IF('Ordenes_Odoo'!F614="","",'Ordenes_Odoo'!F614)</f>
        <v/>
      </c>
      <c r="G614" s="79">
        <f>IF('Ordenes_Odoo'!G614="","",'Ordenes_Odoo'!G614)</f>
        <v/>
      </c>
      <c r="H614" s="79">
        <f>IF('Ordenes_Odoo'!H614="","",'Ordenes_Odoo'!H614)</f>
        <v/>
      </c>
      <c r="I614" s="79">
        <f>IF('Ordenes_Odoo'!I614="","",'Ordenes_Odoo'!I614)</f>
        <v/>
      </c>
      <c r="J614" s="79">
        <f>IF('Ordenes_Odoo'!J614="","",'Ordenes_Odoo'!J614)</f>
        <v/>
      </c>
      <c r="K614" s="81">
        <f>IF('Ordenes_Odoo'!K614="","",'Ordenes_Odoo'!K614)</f>
        <v/>
      </c>
      <c r="L614" s="81">
        <f>IF('Ordenes_Odoo'!L614="","",'Ordenes_Odoo'!L614)</f>
        <v/>
      </c>
      <c r="M614" s="79">
        <f>IF('Ordenes_Odoo'!M614="","",'Ordenes_Odoo'!M614)</f>
        <v/>
      </c>
      <c r="N614" s="79">
        <f>IF('Ordenes_Odoo'!N614="","",'Ordenes_Odoo'!N614)</f>
        <v/>
      </c>
      <c r="O614" s="81">
        <f>IF('Ordenes_Odoo'!O614="","",'Ordenes_Odoo'!O614)</f>
        <v/>
      </c>
      <c r="P614" s="81">
        <f>IF('Ordenes_Odoo'!P614="","",'Ordenes_Odoo'!P614)</f>
        <v/>
      </c>
      <c r="Q614" s="79">
        <f>IF(A614="","",IFERROR(INDEX(Facturas_Odoo!$B:$B, MATCH(A614, Facturas_Odoo!$D:$D, 0)), "Sin Factura"))</f>
        <v/>
      </c>
      <c r="R614" s="80">
        <f>IF(Q614="Sin Factura","",IFERROR(INDEX(Facturas_Odoo!$A:$A, MATCH(Q614, Facturas_Odoo!$B:$B, 0)), ""))</f>
        <v/>
      </c>
      <c r="S614" s="79">
        <f>IF(Q614="Sin Factura","",IFERROR(_xlfn.XLOOKUP(1, (Facturas_Odoo!$D:$D=A614) * (Facturas_Odoo!$K:$K=I614), Facturas_Odoo!$L:$L, ""), ""))</f>
        <v/>
      </c>
      <c r="T614" s="81">
        <f>IF(Q614="Sin Factura",0,IFERROR(_xlfn.XLOOKUP(1, (Facturas_Odoo!$D:$D=A614) * (Facturas_Odoo!$K:$K=I614), Facturas_Odoo!$M:$M, 0), 0))</f>
        <v/>
      </c>
      <c r="U614" s="79">
        <f>IF(Q614="Sin Factura",0,IFERROR(_xlfn.XLOOKUP(1, (Facturas_Odoo!$D:$D=A614) * (Facturas_Odoo!$K:$K=I614), Facturas_Odoo!$N:$N, 0), 0))</f>
        <v/>
      </c>
      <c r="V614" s="79">
        <f>IF(Q614="Sin Factura",0,IFERROR(_xlfn.XLOOKUP(1, (Facturas_Odoo!$D:$D=A614) * (Facturas_Odoo!$K:$K=I614), Facturas_Odoo!$O:$O, 0), 0))</f>
        <v/>
      </c>
      <c r="W614" s="81">
        <f>IF(Q614="Sin Factura",0,IFERROR(_xlfn.XLOOKUP(1, (Facturas_Odoo!$D:$D=A614) * (Facturas_Odoo!$K:$K=I614), Facturas_Odoo!$Q:$Q, 0), 0))</f>
        <v/>
      </c>
      <c r="X614" s="79">
        <f>IF(OR(Q614="Sin Factura",Q614=""),"",IFERROR(INDEX(Pagos_Odoo!$B:$B, MATCH(Q614, Pagos_Odoo!$I:$I, 0)), "Sin Pago"))</f>
        <v/>
      </c>
      <c r="Y614" s="79">
        <f>IF(X614="Sin Pago","",IFERROR(INDEX(Pagos_Odoo!$C:$C, MATCH(X614, Pagos_Odoo!$B:$B, 0)), ""))</f>
        <v/>
      </c>
      <c r="Z614" s="80">
        <f>IF(X614="Sin Pago","",IFERROR(INDEX(Pagos_Odoo!$A:$A, MATCH(X614, Pagos_Odoo!$B:$B, 0)), ""))</f>
        <v/>
      </c>
      <c r="AA614" s="79">
        <f>IF(X614="Sin Pago","",IFERROR(INDEX(Pagos_Odoo!$F:$F, MATCH(X614, Pagos_Odoo!$B:$B, 0)), ""))</f>
        <v/>
      </c>
      <c r="AB614" s="81">
        <f>IF(X614="Sin Pago",0,IFERROR(INDEX(Pagos_Odoo!$E:$E, MATCH(X614, Pagos_Odoo!$B:$B, 0)), 0))</f>
        <v/>
      </c>
      <c r="AC614" s="79">
        <f>IF(X614="Sin Pago","",IFERROR(INDEX(Pagos_Odoo!$G:$G, MATCH(X614, Pagos_Odoo!$B:$B, 0)), ""))</f>
        <v/>
      </c>
      <c r="AD614" s="82" t="n">
        <v>0</v>
      </c>
      <c r="AE614" s="82" t="n"/>
      <c r="AF614" s="82" t="n"/>
      <c r="AG614" s="82">
        <f>IF(AN614="","",AD614+AE614+AF614)</f>
        <v/>
      </c>
      <c r="AH614" s="81">
        <f>IF(AN614="","",P614*(1-AG614))</f>
        <v/>
      </c>
      <c r="AI614" s="81">
        <f>IF(AN614="","",IF(Q614="Sin Factura",0,IFERROR(INDEX(Facturas_Odoo!$H:$H, MATCH(Q614, Facturas_Odoo!$B:$B, 0)), 0)*(1-AG614)))</f>
        <v/>
      </c>
      <c r="AJ614" s="81">
        <f>IF(AN614="","",_xlfn.LET(idVenta, AN614&amp;"",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14" s="81">
        <f>IF(AN614="","",AH614-AJ614)</f>
        <v/>
      </c>
      <c r="AL614" s="81">
        <f>IF(AN614="","",IF(Q614="Sin Factura","",AI614-AJ614))</f>
        <v/>
      </c>
      <c r="AM614" s="81">
        <f>IF(AN614="","",IF(Q614="Sin Factura",0,P614-IFERROR(INDEX(Facturas_Odoo!$H:$H, MATCH(Q614, Facturas_Odoo!$B:$B, 0)), 0)))</f>
        <v/>
      </c>
      <c r="AN614" s="79">
        <f>IF(AND(A614="", J614=""), "", IF(A614&lt;&gt;"", VALUE(MID(A614,2,LEN(A614))), AN613))</f>
        <v/>
      </c>
      <c r="AO614" s="79">
        <f>IF(AN614="","",IF(AD614=0,"OK",_xlfn.LET(monedaPago, IF(AA614="","USD",AA614), limitePermitido, IFERROR(VLOOKUP(monedaPago, Configuración!$A$2:$B$3, 2, FALSE), 0.15), IF(AD614&gt;limitePermitido, "ALERTA: EXCESO (" &amp; TEXT(limitePermitido, "0%") &amp; " máx)", "OK"))))</f>
        <v/>
      </c>
      <c r="AP614" s="79">
        <f>IF(AN614="","",IF(AE614=0,"OK",_xlfn.LET(fechaPago, Z614, fechaFactura, R614, diasCredito, IF(E614="Pago inmediato", 0, IFERROR(VALUE(MID(E614, 1, SEARCH(" ", E614)-1)),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14" s="79">
        <f>IF(AN614="","",IF(AND(N614&gt;0, AG614&gt;0), IF(Configuración!$K$2="NO", "ALERTA: DESCUENTO DOBLE NO PERMITIDO", "OK"), "OK"))</f>
        <v/>
      </c>
      <c r="AR614" s="79">
        <f>IF(AN614="","",IF(OR(AO614&lt;&gt;"OK", AP614&lt;&gt;"OK", AQ614&lt;&gt;"OK"), "⚠️ REVISAR", "OK"))</f>
        <v/>
      </c>
    </row>
    <row r="615">
      <c r="A615" s="79">
        <f>IF('Ordenes_Odoo'!A615="","",'Ordenes_Odoo'!A615)</f>
        <v/>
      </c>
      <c r="B615" s="80">
        <f>IF('Ordenes_Odoo'!B615="","",'Ordenes_Odoo'!B615)</f>
        <v/>
      </c>
      <c r="C615" s="79">
        <f>IF('Ordenes_Odoo'!C615="","",'Ordenes_Odoo'!C615)</f>
        <v/>
      </c>
      <c r="D615" s="79">
        <f>IF('Ordenes_Odoo'!D615="","",'Ordenes_Odoo'!D615)</f>
        <v/>
      </c>
      <c r="E615" s="79">
        <f>IF('Ordenes_Odoo'!E615="","",'Ordenes_Odoo'!E615)</f>
        <v/>
      </c>
      <c r="F615" s="79">
        <f>IF('Ordenes_Odoo'!F615="","",'Ordenes_Odoo'!F615)</f>
        <v/>
      </c>
      <c r="G615" s="79">
        <f>IF('Ordenes_Odoo'!G615="","",'Ordenes_Odoo'!G615)</f>
        <v/>
      </c>
      <c r="H615" s="79">
        <f>IF('Ordenes_Odoo'!H615="","",'Ordenes_Odoo'!H615)</f>
        <v/>
      </c>
      <c r="I615" s="79">
        <f>IF('Ordenes_Odoo'!I615="","",'Ordenes_Odoo'!I615)</f>
        <v/>
      </c>
      <c r="J615" s="79">
        <f>IF('Ordenes_Odoo'!J615="","",'Ordenes_Odoo'!J615)</f>
        <v/>
      </c>
      <c r="K615" s="81">
        <f>IF('Ordenes_Odoo'!K615="","",'Ordenes_Odoo'!K615)</f>
        <v/>
      </c>
      <c r="L615" s="81">
        <f>IF('Ordenes_Odoo'!L615="","",'Ordenes_Odoo'!L615)</f>
        <v/>
      </c>
      <c r="M615" s="79">
        <f>IF('Ordenes_Odoo'!M615="","",'Ordenes_Odoo'!M615)</f>
        <v/>
      </c>
      <c r="N615" s="79">
        <f>IF('Ordenes_Odoo'!N615="","",'Ordenes_Odoo'!N615)</f>
        <v/>
      </c>
      <c r="O615" s="81">
        <f>IF('Ordenes_Odoo'!O615="","",'Ordenes_Odoo'!O615)</f>
        <v/>
      </c>
      <c r="P615" s="81">
        <f>IF('Ordenes_Odoo'!P615="","",'Ordenes_Odoo'!P615)</f>
        <v/>
      </c>
      <c r="Q615" s="79">
        <f>IF(A615="","",IFERROR(INDEX(Facturas_Odoo!$B:$B, MATCH(A615, Facturas_Odoo!$D:$D, 0)), "Sin Factura"))</f>
        <v/>
      </c>
      <c r="R615" s="80">
        <f>IF(Q615="Sin Factura","",IFERROR(INDEX(Facturas_Odoo!$A:$A, MATCH(Q615, Facturas_Odoo!$B:$B, 0)), ""))</f>
        <v/>
      </c>
      <c r="S615" s="79">
        <f>IF(Q615="Sin Factura","",IFERROR(_xlfn.XLOOKUP(1, (Facturas_Odoo!$D:$D=A615) * (Facturas_Odoo!$K:$K=I615), Facturas_Odoo!$L:$L, ""), ""))</f>
        <v/>
      </c>
      <c r="T615" s="81">
        <f>IF(Q615="Sin Factura",0,IFERROR(_xlfn.XLOOKUP(1, (Facturas_Odoo!$D:$D=A615) * (Facturas_Odoo!$K:$K=I615), Facturas_Odoo!$M:$M, 0), 0))</f>
        <v/>
      </c>
      <c r="U615" s="79">
        <f>IF(Q615="Sin Factura",0,IFERROR(_xlfn.XLOOKUP(1, (Facturas_Odoo!$D:$D=A615) * (Facturas_Odoo!$K:$K=I615), Facturas_Odoo!$N:$N, 0), 0))</f>
        <v/>
      </c>
      <c r="V615" s="79">
        <f>IF(Q615="Sin Factura",0,IFERROR(_xlfn.XLOOKUP(1, (Facturas_Odoo!$D:$D=A615) * (Facturas_Odoo!$K:$K=I615), Facturas_Odoo!$O:$O, 0), 0))</f>
        <v/>
      </c>
      <c r="W615" s="81">
        <f>IF(Q615="Sin Factura",0,IFERROR(_xlfn.XLOOKUP(1, (Facturas_Odoo!$D:$D=A615) * (Facturas_Odoo!$K:$K=I615), Facturas_Odoo!$Q:$Q, 0), 0))</f>
        <v/>
      </c>
      <c r="X615" s="79">
        <f>IF(OR(Q615="Sin Factura",Q615=""),"",IFERROR(INDEX(Pagos_Odoo!$B:$B, MATCH(Q615, Pagos_Odoo!$I:$I, 0)), "Sin Pago"))</f>
        <v/>
      </c>
      <c r="Y615" s="79">
        <f>IF(X615="Sin Pago","",IFERROR(INDEX(Pagos_Odoo!$C:$C, MATCH(X615, Pagos_Odoo!$B:$B, 0)), ""))</f>
        <v/>
      </c>
      <c r="Z615" s="80">
        <f>IF(X615="Sin Pago","",IFERROR(INDEX(Pagos_Odoo!$A:$A, MATCH(X615, Pagos_Odoo!$B:$B, 0)), ""))</f>
        <v/>
      </c>
      <c r="AA615" s="79">
        <f>IF(X615="Sin Pago","",IFERROR(INDEX(Pagos_Odoo!$F:$F, MATCH(X615, Pagos_Odoo!$B:$B, 0)), ""))</f>
        <v/>
      </c>
      <c r="AB615" s="81">
        <f>IF(X615="Sin Pago",0,IFERROR(INDEX(Pagos_Odoo!$E:$E, MATCH(X615, Pagos_Odoo!$B:$B, 0)), 0))</f>
        <v/>
      </c>
      <c r="AC615" s="79">
        <f>IF(X615="Sin Pago","",IFERROR(INDEX(Pagos_Odoo!$G:$G, MATCH(X615, Pagos_Odoo!$B:$B, 0)), ""))</f>
        <v/>
      </c>
      <c r="AD615" s="82" t="n">
        <v>0</v>
      </c>
      <c r="AE615" s="82" t="n"/>
      <c r="AF615" s="82" t="n"/>
      <c r="AG615" s="82">
        <f>IF(AN615="","",AD615+AE615+AF615)</f>
        <v/>
      </c>
      <c r="AH615" s="81">
        <f>IF(AN615="","",P615*(1-AG615))</f>
        <v/>
      </c>
      <c r="AI615" s="81">
        <f>IF(AN615="","",IF(Q615="Sin Factura",0,IFERROR(INDEX(Facturas_Odoo!$H:$H, MATCH(Q615, Facturas_Odoo!$B:$B, 0)), 0)*(1-AG615)))</f>
        <v/>
      </c>
      <c r="AJ615" s="81">
        <f>IF(AN615="","",_xlfn.LET(idVenta, AN615&amp;"",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15" s="81">
        <f>IF(AN615="","",AH615-AJ615)</f>
        <v/>
      </c>
      <c r="AL615" s="81">
        <f>IF(AN615="","",IF(Q615="Sin Factura","",AI615-AJ615))</f>
        <v/>
      </c>
      <c r="AM615" s="81">
        <f>IF(AN615="","",IF(Q615="Sin Factura",0,P615-IFERROR(INDEX(Facturas_Odoo!$H:$H, MATCH(Q615, Facturas_Odoo!$B:$B, 0)), 0)))</f>
        <v/>
      </c>
      <c r="AN615" s="79">
        <f>IF(AND(A615="", J615=""), "", IF(A615&lt;&gt;"", VALUE(MID(A615,2,LEN(A615))), AN614))</f>
        <v/>
      </c>
      <c r="AO615" s="79">
        <f>IF(AN615="","",IF(AD615=0,"OK",_xlfn.LET(monedaPago, IF(AA615="","USD",AA615), limitePermitido, IFERROR(VLOOKUP(monedaPago, Configuración!$A$2:$B$3, 2, FALSE), 0.15), IF(AD615&gt;limitePermitido, "ALERTA: EXCESO (" &amp; TEXT(limitePermitido, "0%") &amp; " máx)", "OK"))))</f>
        <v/>
      </c>
      <c r="AP615" s="79">
        <f>IF(AN615="","",IF(AE615=0,"OK",_xlfn.LET(fechaPago, Z615, fechaFactura, R615, diasCredito, IF(E615="Pago inmediato", 0, IFERROR(VALUE(MID(E615, 1, SEARCH(" ", E615)-1)),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15" s="79">
        <f>IF(AN615="","",IF(AND(N615&gt;0, AG615&gt;0), IF(Configuración!$K$2="NO", "ALERTA: DESCUENTO DOBLE NO PERMITIDO", "OK"), "OK"))</f>
        <v/>
      </c>
      <c r="AR615" s="79">
        <f>IF(AN615="","",IF(OR(AO615&lt;&gt;"OK", AP615&lt;&gt;"OK", AQ615&lt;&gt;"OK"), "⚠️ REVISAR", "OK"))</f>
        <v/>
      </c>
    </row>
    <row r="616">
      <c r="A616" s="79">
        <f>IF('Ordenes_Odoo'!A616="","",'Ordenes_Odoo'!A616)</f>
        <v/>
      </c>
      <c r="B616" s="80">
        <f>IF('Ordenes_Odoo'!B616="","",'Ordenes_Odoo'!B616)</f>
        <v/>
      </c>
      <c r="C616" s="79">
        <f>IF('Ordenes_Odoo'!C616="","",'Ordenes_Odoo'!C616)</f>
        <v/>
      </c>
      <c r="D616" s="79">
        <f>IF('Ordenes_Odoo'!D616="","",'Ordenes_Odoo'!D616)</f>
        <v/>
      </c>
      <c r="E616" s="79">
        <f>IF('Ordenes_Odoo'!E616="","",'Ordenes_Odoo'!E616)</f>
        <v/>
      </c>
      <c r="F616" s="79">
        <f>IF('Ordenes_Odoo'!F616="","",'Ordenes_Odoo'!F616)</f>
        <v/>
      </c>
      <c r="G616" s="79">
        <f>IF('Ordenes_Odoo'!G616="","",'Ordenes_Odoo'!G616)</f>
        <v/>
      </c>
      <c r="H616" s="79">
        <f>IF('Ordenes_Odoo'!H616="","",'Ordenes_Odoo'!H616)</f>
        <v/>
      </c>
      <c r="I616" s="79">
        <f>IF('Ordenes_Odoo'!I616="","",'Ordenes_Odoo'!I616)</f>
        <v/>
      </c>
      <c r="J616" s="79">
        <f>IF('Ordenes_Odoo'!J616="","",'Ordenes_Odoo'!J616)</f>
        <v/>
      </c>
      <c r="K616" s="81">
        <f>IF('Ordenes_Odoo'!K616="","",'Ordenes_Odoo'!K616)</f>
        <v/>
      </c>
      <c r="L616" s="81">
        <f>IF('Ordenes_Odoo'!L616="","",'Ordenes_Odoo'!L616)</f>
        <v/>
      </c>
      <c r="M616" s="79">
        <f>IF('Ordenes_Odoo'!M616="","",'Ordenes_Odoo'!M616)</f>
        <v/>
      </c>
      <c r="N616" s="79">
        <f>IF('Ordenes_Odoo'!N616="","",'Ordenes_Odoo'!N616)</f>
        <v/>
      </c>
      <c r="O616" s="81">
        <f>IF('Ordenes_Odoo'!O616="","",'Ordenes_Odoo'!O616)</f>
        <v/>
      </c>
      <c r="P616" s="81">
        <f>IF('Ordenes_Odoo'!P616="","",'Ordenes_Odoo'!P616)</f>
        <v/>
      </c>
      <c r="Q616" s="79">
        <f>IF(A616="","",IFERROR(INDEX(Facturas_Odoo!$B:$B, MATCH(A616, Facturas_Odoo!$D:$D, 0)), "Sin Factura"))</f>
        <v/>
      </c>
      <c r="R616" s="80">
        <f>IF(Q616="Sin Factura","",IFERROR(INDEX(Facturas_Odoo!$A:$A, MATCH(Q616, Facturas_Odoo!$B:$B, 0)), ""))</f>
        <v/>
      </c>
      <c r="S616" s="79">
        <f>IF(Q616="Sin Factura","",IFERROR(_xlfn.XLOOKUP(1, (Facturas_Odoo!$D:$D=A616) * (Facturas_Odoo!$K:$K=I616), Facturas_Odoo!$L:$L, ""), ""))</f>
        <v/>
      </c>
      <c r="T616" s="81">
        <f>IF(Q616="Sin Factura",0,IFERROR(_xlfn.XLOOKUP(1, (Facturas_Odoo!$D:$D=A616) * (Facturas_Odoo!$K:$K=I616), Facturas_Odoo!$M:$M, 0), 0))</f>
        <v/>
      </c>
      <c r="U616" s="79">
        <f>IF(Q616="Sin Factura",0,IFERROR(_xlfn.XLOOKUP(1, (Facturas_Odoo!$D:$D=A616) * (Facturas_Odoo!$K:$K=I616), Facturas_Odoo!$N:$N, 0), 0))</f>
        <v/>
      </c>
      <c r="V616" s="79">
        <f>IF(Q616="Sin Factura",0,IFERROR(_xlfn.XLOOKUP(1, (Facturas_Odoo!$D:$D=A616) * (Facturas_Odoo!$K:$K=I616), Facturas_Odoo!$O:$O, 0), 0))</f>
        <v/>
      </c>
      <c r="W616" s="81">
        <f>IF(Q616="Sin Factura",0,IFERROR(_xlfn.XLOOKUP(1, (Facturas_Odoo!$D:$D=A616) * (Facturas_Odoo!$K:$K=I616), Facturas_Odoo!$Q:$Q, 0), 0))</f>
        <v/>
      </c>
      <c r="X616" s="79">
        <f>IF(OR(Q616="Sin Factura",Q616=""),"",IFERROR(INDEX(Pagos_Odoo!$B:$B, MATCH(Q616, Pagos_Odoo!$I:$I, 0)), "Sin Pago"))</f>
        <v/>
      </c>
      <c r="Y616" s="79">
        <f>IF(X616="Sin Pago","",IFERROR(INDEX(Pagos_Odoo!$C:$C, MATCH(X616, Pagos_Odoo!$B:$B, 0)), ""))</f>
        <v/>
      </c>
      <c r="Z616" s="80">
        <f>IF(X616="Sin Pago","",IFERROR(INDEX(Pagos_Odoo!$A:$A, MATCH(X616, Pagos_Odoo!$B:$B, 0)), ""))</f>
        <v/>
      </c>
      <c r="AA616" s="79">
        <f>IF(X616="Sin Pago","",IFERROR(INDEX(Pagos_Odoo!$F:$F, MATCH(X616, Pagos_Odoo!$B:$B, 0)), ""))</f>
        <v/>
      </c>
      <c r="AB616" s="81">
        <f>IF(X616="Sin Pago",0,IFERROR(INDEX(Pagos_Odoo!$E:$E, MATCH(X616, Pagos_Odoo!$B:$B, 0)), 0))</f>
        <v/>
      </c>
      <c r="AC616" s="79">
        <f>IF(X616="Sin Pago","",IFERROR(INDEX(Pagos_Odoo!$G:$G, MATCH(X616, Pagos_Odoo!$B:$B, 0)), ""))</f>
        <v/>
      </c>
      <c r="AD616" s="82" t="n">
        <v>0</v>
      </c>
      <c r="AE616" s="82" t="n"/>
      <c r="AF616" s="82" t="n"/>
      <c r="AG616" s="82">
        <f>IF(AN616="","",AD616+AE616+AF616)</f>
        <v/>
      </c>
      <c r="AH616" s="81">
        <f>IF(AN616="","",P616*(1-AG616))</f>
        <v/>
      </c>
      <c r="AI616" s="81">
        <f>IF(AN616="","",IF(Q616="Sin Factura",0,IFERROR(INDEX(Facturas_Odoo!$H:$H, MATCH(Q616, Facturas_Odoo!$B:$B, 0)), 0)*(1-AG616)))</f>
        <v/>
      </c>
      <c r="AJ616" s="81">
        <f>IF(AN616="","",_xlfn.LET(idVenta, AN616&amp;"",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16" s="81">
        <f>IF(AN616="","",AH616-AJ616)</f>
        <v/>
      </c>
      <c r="AL616" s="81">
        <f>IF(AN616="","",IF(Q616="Sin Factura","",AI616-AJ616))</f>
        <v/>
      </c>
      <c r="AM616" s="81">
        <f>IF(AN616="","",IF(Q616="Sin Factura",0,P616-IFERROR(INDEX(Facturas_Odoo!$H:$H, MATCH(Q616, Facturas_Odoo!$B:$B, 0)), 0)))</f>
        <v/>
      </c>
      <c r="AN616" s="79">
        <f>IF(AND(A616="", J616=""), "", IF(A616&lt;&gt;"", VALUE(MID(A616,2,LEN(A616))), AN615))</f>
        <v/>
      </c>
      <c r="AO616" s="79">
        <f>IF(AN616="","",IF(AD616=0,"OK",_xlfn.LET(monedaPago, IF(AA616="","USD",AA616), limitePermitido, IFERROR(VLOOKUP(monedaPago, Configuración!$A$2:$B$3, 2, FALSE), 0.15), IF(AD616&gt;limitePermitido, "ALERTA: EXCESO (" &amp; TEXT(limitePermitido, "0%") &amp; " máx)", "OK"))))</f>
        <v/>
      </c>
      <c r="AP616" s="79">
        <f>IF(AN616="","",IF(AE616=0,"OK",_xlfn.LET(fechaPago, Z616, fechaFactura, R616, diasCredito, IF(E616="Pago inmediato", 0, IFERROR(VALUE(MID(E616, 1, SEARCH(" ", E616)-1)),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16" s="79">
        <f>IF(AN616="","",IF(AND(N616&gt;0, AG616&gt;0), IF(Configuración!$K$2="NO", "ALERTA: DESCUENTO DOBLE NO PERMITIDO", "OK"), "OK"))</f>
        <v/>
      </c>
      <c r="AR616" s="79">
        <f>IF(AN616="","",IF(OR(AO616&lt;&gt;"OK", AP616&lt;&gt;"OK", AQ616&lt;&gt;"OK"), "⚠️ REVISAR", "OK"))</f>
        <v/>
      </c>
    </row>
    <row r="617">
      <c r="A617" s="79">
        <f>IF('Ordenes_Odoo'!A617="","",'Ordenes_Odoo'!A617)</f>
        <v/>
      </c>
      <c r="B617" s="80">
        <f>IF('Ordenes_Odoo'!B617="","",'Ordenes_Odoo'!B617)</f>
        <v/>
      </c>
      <c r="C617" s="79">
        <f>IF('Ordenes_Odoo'!C617="","",'Ordenes_Odoo'!C617)</f>
        <v/>
      </c>
      <c r="D617" s="79">
        <f>IF('Ordenes_Odoo'!D617="","",'Ordenes_Odoo'!D617)</f>
        <v/>
      </c>
      <c r="E617" s="79">
        <f>IF('Ordenes_Odoo'!E617="","",'Ordenes_Odoo'!E617)</f>
        <v/>
      </c>
      <c r="F617" s="79">
        <f>IF('Ordenes_Odoo'!F617="","",'Ordenes_Odoo'!F617)</f>
        <v/>
      </c>
      <c r="G617" s="79">
        <f>IF('Ordenes_Odoo'!G617="","",'Ordenes_Odoo'!G617)</f>
        <v/>
      </c>
      <c r="H617" s="79">
        <f>IF('Ordenes_Odoo'!H617="","",'Ordenes_Odoo'!H617)</f>
        <v/>
      </c>
      <c r="I617" s="79">
        <f>IF('Ordenes_Odoo'!I617="","",'Ordenes_Odoo'!I617)</f>
        <v/>
      </c>
      <c r="J617" s="79">
        <f>IF('Ordenes_Odoo'!J617="","",'Ordenes_Odoo'!J617)</f>
        <v/>
      </c>
      <c r="K617" s="81">
        <f>IF('Ordenes_Odoo'!K617="","",'Ordenes_Odoo'!K617)</f>
        <v/>
      </c>
      <c r="L617" s="81">
        <f>IF('Ordenes_Odoo'!L617="","",'Ordenes_Odoo'!L617)</f>
        <v/>
      </c>
      <c r="M617" s="79">
        <f>IF('Ordenes_Odoo'!M617="","",'Ordenes_Odoo'!M617)</f>
        <v/>
      </c>
      <c r="N617" s="79">
        <f>IF('Ordenes_Odoo'!N617="","",'Ordenes_Odoo'!N617)</f>
        <v/>
      </c>
      <c r="O617" s="81">
        <f>IF('Ordenes_Odoo'!O617="","",'Ordenes_Odoo'!O617)</f>
        <v/>
      </c>
      <c r="P617" s="81">
        <f>IF('Ordenes_Odoo'!P617="","",'Ordenes_Odoo'!P617)</f>
        <v/>
      </c>
      <c r="Q617" s="79">
        <f>IF(A617="","",IFERROR(INDEX(Facturas_Odoo!$B:$B, MATCH(A617, Facturas_Odoo!$D:$D, 0)), "Sin Factura"))</f>
        <v/>
      </c>
      <c r="R617" s="80">
        <f>IF(Q617="Sin Factura","",IFERROR(INDEX(Facturas_Odoo!$A:$A, MATCH(Q617, Facturas_Odoo!$B:$B, 0)), ""))</f>
        <v/>
      </c>
      <c r="S617" s="79">
        <f>IF(Q617="Sin Factura","",IFERROR(_xlfn.XLOOKUP(1, (Facturas_Odoo!$D:$D=A617) * (Facturas_Odoo!$K:$K=I617), Facturas_Odoo!$L:$L, ""), ""))</f>
        <v/>
      </c>
      <c r="T617" s="81">
        <f>IF(Q617="Sin Factura",0,IFERROR(_xlfn.XLOOKUP(1, (Facturas_Odoo!$D:$D=A617) * (Facturas_Odoo!$K:$K=I617), Facturas_Odoo!$M:$M, 0), 0))</f>
        <v/>
      </c>
      <c r="U617" s="79">
        <f>IF(Q617="Sin Factura",0,IFERROR(_xlfn.XLOOKUP(1, (Facturas_Odoo!$D:$D=A617) * (Facturas_Odoo!$K:$K=I617), Facturas_Odoo!$N:$N, 0), 0))</f>
        <v/>
      </c>
      <c r="V617" s="79">
        <f>IF(Q617="Sin Factura",0,IFERROR(_xlfn.XLOOKUP(1, (Facturas_Odoo!$D:$D=A617) * (Facturas_Odoo!$K:$K=I617), Facturas_Odoo!$O:$O, 0), 0))</f>
        <v/>
      </c>
      <c r="W617" s="81">
        <f>IF(Q617="Sin Factura",0,IFERROR(_xlfn.XLOOKUP(1, (Facturas_Odoo!$D:$D=A617) * (Facturas_Odoo!$K:$K=I617), Facturas_Odoo!$Q:$Q, 0), 0))</f>
        <v/>
      </c>
      <c r="X617" s="79">
        <f>IF(OR(Q617="Sin Factura",Q617=""),"",IFERROR(INDEX(Pagos_Odoo!$B:$B, MATCH(Q617, Pagos_Odoo!$I:$I, 0)), "Sin Pago"))</f>
        <v/>
      </c>
      <c r="Y617" s="79">
        <f>IF(X617="Sin Pago","",IFERROR(INDEX(Pagos_Odoo!$C:$C, MATCH(X617, Pagos_Odoo!$B:$B, 0)), ""))</f>
        <v/>
      </c>
      <c r="Z617" s="80">
        <f>IF(X617="Sin Pago","",IFERROR(INDEX(Pagos_Odoo!$A:$A, MATCH(X617, Pagos_Odoo!$B:$B, 0)), ""))</f>
        <v/>
      </c>
      <c r="AA617" s="79">
        <f>IF(X617="Sin Pago","",IFERROR(INDEX(Pagos_Odoo!$F:$F, MATCH(X617, Pagos_Odoo!$B:$B, 0)), ""))</f>
        <v/>
      </c>
      <c r="AB617" s="81">
        <f>IF(X617="Sin Pago",0,IFERROR(INDEX(Pagos_Odoo!$E:$E, MATCH(X617, Pagos_Odoo!$B:$B, 0)), 0))</f>
        <v/>
      </c>
      <c r="AC617" s="79">
        <f>IF(X617="Sin Pago","",IFERROR(INDEX(Pagos_Odoo!$G:$G, MATCH(X617, Pagos_Odoo!$B:$B, 0)), ""))</f>
        <v/>
      </c>
      <c r="AD617" s="82" t="n">
        <v>0</v>
      </c>
      <c r="AE617" s="82" t="n"/>
      <c r="AF617" s="82" t="n"/>
      <c r="AG617" s="82">
        <f>IF(AN617="","",AD617+AE617+AF617)</f>
        <v/>
      </c>
      <c r="AH617" s="81">
        <f>IF(AN617="","",P617*(1-AG617))</f>
        <v/>
      </c>
      <c r="AI617" s="81">
        <f>IF(AN617="","",IF(Q617="Sin Factura",0,IFERROR(INDEX(Facturas_Odoo!$H:$H, MATCH(Q617, Facturas_Odoo!$B:$B, 0)), 0)*(1-AG617)))</f>
        <v/>
      </c>
      <c r="AJ617" s="81">
        <f>IF(AN617="","",_xlfn.LET(idVenta, AN617&amp;"",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17" s="81">
        <f>IF(AN617="","",AH617-AJ617)</f>
        <v/>
      </c>
      <c r="AL617" s="81">
        <f>IF(AN617="","",IF(Q617="Sin Factura","",AI617-AJ617))</f>
        <v/>
      </c>
      <c r="AM617" s="81">
        <f>IF(AN617="","",IF(Q617="Sin Factura",0,P617-IFERROR(INDEX(Facturas_Odoo!$H:$H, MATCH(Q617, Facturas_Odoo!$B:$B, 0)), 0)))</f>
        <v/>
      </c>
      <c r="AN617" s="79">
        <f>IF(AND(A617="", J617=""), "", IF(A617&lt;&gt;"", VALUE(MID(A617,2,LEN(A617))), AN616))</f>
        <v/>
      </c>
      <c r="AO617" s="79">
        <f>IF(AN617="","",IF(AD617=0,"OK",_xlfn.LET(monedaPago, IF(AA617="","USD",AA617), limitePermitido, IFERROR(VLOOKUP(monedaPago, Configuración!$A$2:$B$3, 2, FALSE), 0.15), IF(AD617&gt;limitePermitido, "ALERTA: EXCESO (" &amp; TEXT(limitePermitido, "0%") &amp; " máx)", "OK"))))</f>
        <v/>
      </c>
      <c r="AP617" s="79">
        <f>IF(AN617="","",IF(AE617=0,"OK",_xlfn.LET(fechaPago, Z617, fechaFactura, R617, diasCredito, IF(E617="Pago inmediato", 0, IFERROR(VALUE(MID(E617, 1, SEARCH(" ", E617)-1)),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17" s="79">
        <f>IF(AN617="","",IF(AND(N617&gt;0, AG617&gt;0), IF(Configuración!$K$2="NO", "ALERTA: DESCUENTO DOBLE NO PERMITIDO", "OK"), "OK"))</f>
        <v/>
      </c>
      <c r="AR617" s="79">
        <f>IF(AN617="","",IF(OR(AO617&lt;&gt;"OK", AP617&lt;&gt;"OK", AQ617&lt;&gt;"OK"), "⚠️ REVISAR", "OK"))</f>
        <v/>
      </c>
    </row>
    <row r="618">
      <c r="A618" s="79">
        <f>IF('Ordenes_Odoo'!A618="","",'Ordenes_Odoo'!A618)</f>
        <v/>
      </c>
      <c r="B618" s="80">
        <f>IF('Ordenes_Odoo'!B618="","",'Ordenes_Odoo'!B618)</f>
        <v/>
      </c>
      <c r="C618" s="79">
        <f>IF('Ordenes_Odoo'!C618="","",'Ordenes_Odoo'!C618)</f>
        <v/>
      </c>
      <c r="D618" s="79">
        <f>IF('Ordenes_Odoo'!D618="","",'Ordenes_Odoo'!D618)</f>
        <v/>
      </c>
      <c r="E618" s="79">
        <f>IF('Ordenes_Odoo'!E618="","",'Ordenes_Odoo'!E618)</f>
        <v/>
      </c>
      <c r="F618" s="79">
        <f>IF('Ordenes_Odoo'!F618="","",'Ordenes_Odoo'!F618)</f>
        <v/>
      </c>
      <c r="G618" s="79">
        <f>IF('Ordenes_Odoo'!G618="","",'Ordenes_Odoo'!G618)</f>
        <v/>
      </c>
      <c r="H618" s="79">
        <f>IF('Ordenes_Odoo'!H618="","",'Ordenes_Odoo'!H618)</f>
        <v/>
      </c>
      <c r="I618" s="79">
        <f>IF('Ordenes_Odoo'!I618="","",'Ordenes_Odoo'!I618)</f>
        <v/>
      </c>
      <c r="J618" s="79">
        <f>IF('Ordenes_Odoo'!J618="","",'Ordenes_Odoo'!J618)</f>
        <v/>
      </c>
      <c r="K618" s="81">
        <f>IF('Ordenes_Odoo'!K618="","",'Ordenes_Odoo'!K618)</f>
        <v/>
      </c>
      <c r="L618" s="81">
        <f>IF('Ordenes_Odoo'!L618="","",'Ordenes_Odoo'!L618)</f>
        <v/>
      </c>
      <c r="M618" s="79">
        <f>IF('Ordenes_Odoo'!M618="","",'Ordenes_Odoo'!M618)</f>
        <v/>
      </c>
      <c r="N618" s="79">
        <f>IF('Ordenes_Odoo'!N618="","",'Ordenes_Odoo'!N618)</f>
        <v/>
      </c>
      <c r="O618" s="81">
        <f>IF('Ordenes_Odoo'!O618="","",'Ordenes_Odoo'!O618)</f>
        <v/>
      </c>
      <c r="P618" s="81">
        <f>IF('Ordenes_Odoo'!P618="","",'Ordenes_Odoo'!P618)</f>
        <v/>
      </c>
      <c r="Q618" s="79">
        <f>IF(A618="","",IFERROR(INDEX(Facturas_Odoo!$B:$B, MATCH(A618, Facturas_Odoo!$D:$D, 0)), "Sin Factura"))</f>
        <v/>
      </c>
      <c r="R618" s="80">
        <f>IF(Q618="Sin Factura","",IFERROR(INDEX(Facturas_Odoo!$A:$A, MATCH(Q618, Facturas_Odoo!$B:$B, 0)), ""))</f>
        <v/>
      </c>
      <c r="S618" s="79">
        <f>IF(Q618="Sin Factura","",IFERROR(_xlfn.XLOOKUP(1, (Facturas_Odoo!$D:$D=A618) * (Facturas_Odoo!$K:$K=I618), Facturas_Odoo!$L:$L, ""), ""))</f>
        <v/>
      </c>
      <c r="T618" s="81">
        <f>IF(Q618="Sin Factura",0,IFERROR(_xlfn.XLOOKUP(1, (Facturas_Odoo!$D:$D=A618) * (Facturas_Odoo!$K:$K=I618), Facturas_Odoo!$M:$M, 0), 0))</f>
        <v/>
      </c>
      <c r="U618" s="79">
        <f>IF(Q618="Sin Factura",0,IFERROR(_xlfn.XLOOKUP(1, (Facturas_Odoo!$D:$D=A618) * (Facturas_Odoo!$K:$K=I618), Facturas_Odoo!$N:$N, 0), 0))</f>
        <v/>
      </c>
      <c r="V618" s="79">
        <f>IF(Q618="Sin Factura",0,IFERROR(_xlfn.XLOOKUP(1, (Facturas_Odoo!$D:$D=A618) * (Facturas_Odoo!$K:$K=I618), Facturas_Odoo!$O:$O, 0), 0))</f>
        <v/>
      </c>
      <c r="W618" s="81">
        <f>IF(Q618="Sin Factura",0,IFERROR(_xlfn.XLOOKUP(1, (Facturas_Odoo!$D:$D=A618) * (Facturas_Odoo!$K:$K=I618), Facturas_Odoo!$Q:$Q, 0), 0))</f>
        <v/>
      </c>
      <c r="X618" s="79">
        <f>IF(OR(Q618="Sin Factura",Q618=""),"",IFERROR(INDEX(Pagos_Odoo!$B:$B, MATCH(Q618, Pagos_Odoo!$I:$I, 0)), "Sin Pago"))</f>
        <v/>
      </c>
      <c r="Y618" s="79">
        <f>IF(X618="Sin Pago","",IFERROR(INDEX(Pagos_Odoo!$C:$C, MATCH(X618, Pagos_Odoo!$B:$B, 0)), ""))</f>
        <v/>
      </c>
      <c r="Z618" s="80">
        <f>IF(X618="Sin Pago","",IFERROR(INDEX(Pagos_Odoo!$A:$A, MATCH(X618, Pagos_Odoo!$B:$B, 0)), ""))</f>
        <v/>
      </c>
      <c r="AA618" s="79">
        <f>IF(X618="Sin Pago","",IFERROR(INDEX(Pagos_Odoo!$F:$F, MATCH(X618, Pagos_Odoo!$B:$B, 0)), ""))</f>
        <v/>
      </c>
      <c r="AB618" s="81">
        <f>IF(X618="Sin Pago",0,IFERROR(INDEX(Pagos_Odoo!$E:$E, MATCH(X618, Pagos_Odoo!$B:$B, 0)), 0))</f>
        <v/>
      </c>
      <c r="AC618" s="79">
        <f>IF(X618="Sin Pago","",IFERROR(INDEX(Pagos_Odoo!$G:$G, MATCH(X618, Pagos_Odoo!$B:$B, 0)), ""))</f>
        <v/>
      </c>
      <c r="AD618" s="82" t="n">
        <v>0</v>
      </c>
      <c r="AE618" s="82" t="n"/>
      <c r="AF618" s="82" t="n"/>
      <c r="AG618" s="82">
        <f>IF(AN618="","",AD618+AE618+AF618)</f>
        <v/>
      </c>
      <c r="AH618" s="81">
        <f>IF(AN618="","",P618*(1-AG618))</f>
        <v/>
      </c>
      <c r="AI618" s="81">
        <f>IF(AN618="","",IF(Q618="Sin Factura",0,IFERROR(INDEX(Facturas_Odoo!$H:$H, MATCH(Q618, Facturas_Odoo!$B:$B, 0)), 0)*(1-AG618)))</f>
        <v/>
      </c>
      <c r="AJ618" s="81">
        <f>IF(AN618="","",_xlfn.LET(idVenta, AN618&amp;"",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18" s="81">
        <f>IF(AN618="","",AH618-AJ618)</f>
        <v/>
      </c>
      <c r="AL618" s="81">
        <f>IF(AN618="","",IF(Q618="Sin Factura","",AI618-AJ618))</f>
        <v/>
      </c>
      <c r="AM618" s="81">
        <f>IF(AN618="","",IF(Q618="Sin Factura",0,P618-IFERROR(INDEX(Facturas_Odoo!$H:$H, MATCH(Q618, Facturas_Odoo!$B:$B, 0)), 0)))</f>
        <v/>
      </c>
      <c r="AN618" s="79">
        <f>IF(AND(A618="", J618=""), "", IF(A618&lt;&gt;"", VALUE(MID(A618,2,LEN(A618))), AN617))</f>
        <v/>
      </c>
      <c r="AO618" s="79">
        <f>IF(AN618="","",IF(AD618=0,"OK",_xlfn.LET(monedaPago, IF(AA618="","USD",AA618), limitePermitido, IFERROR(VLOOKUP(monedaPago, Configuración!$A$2:$B$3, 2, FALSE), 0.15), IF(AD618&gt;limitePermitido, "ALERTA: EXCESO (" &amp; TEXT(limitePermitido, "0%") &amp; " máx)", "OK"))))</f>
        <v/>
      </c>
      <c r="AP618" s="79">
        <f>IF(AN618="","",IF(AE618=0,"OK",_xlfn.LET(fechaPago, Z618, fechaFactura, R618, diasCredito, IF(E618="Pago inmediato", 0, IFERROR(VALUE(MID(E618, 1, SEARCH(" ", E618)-1)),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18" s="79">
        <f>IF(AN618="","",IF(AND(N618&gt;0, AG618&gt;0), IF(Configuración!$K$2="NO", "ALERTA: DESCUENTO DOBLE NO PERMITIDO", "OK"), "OK"))</f>
        <v/>
      </c>
      <c r="AR618" s="79">
        <f>IF(AN618="","",IF(OR(AO618&lt;&gt;"OK", AP618&lt;&gt;"OK", AQ618&lt;&gt;"OK"), "⚠️ REVISAR", "OK"))</f>
        <v/>
      </c>
    </row>
    <row r="619">
      <c r="A619" s="79">
        <f>IF('Ordenes_Odoo'!A619="","",'Ordenes_Odoo'!A619)</f>
        <v/>
      </c>
      <c r="B619" s="80">
        <f>IF('Ordenes_Odoo'!B619="","",'Ordenes_Odoo'!B619)</f>
        <v/>
      </c>
      <c r="C619" s="79">
        <f>IF('Ordenes_Odoo'!C619="","",'Ordenes_Odoo'!C619)</f>
        <v/>
      </c>
      <c r="D619" s="79">
        <f>IF('Ordenes_Odoo'!D619="","",'Ordenes_Odoo'!D619)</f>
        <v/>
      </c>
      <c r="E619" s="79">
        <f>IF('Ordenes_Odoo'!E619="","",'Ordenes_Odoo'!E619)</f>
        <v/>
      </c>
      <c r="F619" s="79">
        <f>IF('Ordenes_Odoo'!F619="","",'Ordenes_Odoo'!F619)</f>
        <v/>
      </c>
      <c r="G619" s="79">
        <f>IF('Ordenes_Odoo'!G619="","",'Ordenes_Odoo'!G619)</f>
        <v/>
      </c>
      <c r="H619" s="79">
        <f>IF('Ordenes_Odoo'!H619="","",'Ordenes_Odoo'!H619)</f>
        <v/>
      </c>
      <c r="I619" s="79">
        <f>IF('Ordenes_Odoo'!I619="","",'Ordenes_Odoo'!I619)</f>
        <v/>
      </c>
      <c r="J619" s="79">
        <f>IF('Ordenes_Odoo'!J619="","",'Ordenes_Odoo'!J619)</f>
        <v/>
      </c>
      <c r="K619" s="81">
        <f>IF('Ordenes_Odoo'!K619="","",'Ordenes_Odoo'!K619)</f>
        <v/>
      </c>
      <c r="L619" s="81">
        <f>IF('Ordenes_Odoo'!L619="","",'Ordenes_Odoo'!L619)</f>
        <v/>
      </c>
      <c r="M619" s="79">
        <f>IF('Ordenes_Odoo'!M619="","",'Ordenes_Odoo'!M619)</f>
        <v/>
      </c>
      <c r="N619" s="79">
        <f>IF('Ordenes_Odoo'!N619="","",'Ordenes_Odoo'!N619)</f>
        <v/>
      </c>
      <c r="O619" s="81">
        <f>IF('Ordenes_Odoo'!O619="","",'Ordenes_Odoo'!O619)</f>
        <v/>
      </c>
      <c r="P619" s="81">
        <f>IF('Ordenes_Odoo'!P619="","",'Ordenes_Odoo'!P619)</f>
        <v/>
      </c>
      <c r="Q619" s="79">
        <f>IF(A619="","",IFERROR(INDEX(Facturas_Odoo!$B:$B, MATCH(A619, Facturas_Odoo!$D:$D, 0)), "Sin Factura"))</f>
        <v/>
      </c>
      <c r="R619" s="80">
        <f>IF(Q619="Sin Factura","",IFERROR(INDEX(Facturas_Odoo!$A:$A, MATCH(Q619, Facturas_Odoo!$B:$B, 0)), ""))</f>
        <v/>
      </c>
      <c r="S619" s="79">
        <f>IF(Q619="Sin Factura","",IFERROR(_xlfn.XLOOKUP(1, (Facturas_Odoo!$D:$D=A619) * (Facturas_Odoo!$K:$K=I619), Facturas_Odoo!$L:$L, ""), ""))</f>
        <v/>
      </c>
      <c r="T619" s="81">
        <f>IF(Q619="Sin Factura",0,IFERROR(_xlfn.XLOOKUP(1, (Facturas_Odoo!$D:$D=A619) * (Facturas_Odoo!$K:$K=I619), Facturas_Odoo!$M:$M, 0), 0))</f>
        <v/>
      </c>
      <c r="U619" s="79">
        <f>IF(Q619="Sin Factura",0,IFERROR(_xlfn.XLOOKUP(1, (Facturas_Odoo!$D:$D=A619) * (Facturas_Odoo!$K:$K=I619), Facturas_Odoo!$N:$N, 0), 0))</f>
        <v/>
      </c>
      <c r="V619" s="79">
        <f>IF(Q619="Sin Factura",0,IFERROR(_xlfn.XLOOKUP(1, (Facturas_Odoo!$D:$D=A619) * (Facturas_Odoo!$K:$K=I619), Facturas_Odoo!$O:$O, 0), 0))</f>
        <v/>
      </c>
      <c r="W619" s="81">
        <f>IF(Q619="Sin Factura",0,IFERROR(_xlfn.XLOOKUP(1, (Facturas_Odoo!$D:$D=A619) * (Facturas_Odoo!$K:$K=I619), Facturas_Odoo!$Q:$Q, 0), 0))</f>
        <v/>
      </c>
      <c r="X619" s="79">
        <f>IF(OR(Q619="Sin Factura",Q619=""),"",IFERROR(INDEX(Pagos_Odoo!$B:$B, MATCH(Q619, Pagos_Odoo!$I:$I, 0)), "Sin Pago"))</f>
        <v/>
      </c>
      <c r="Y619" s="79">
        <f>IF(X619="Sin Pago","",IFERROR(INDEX(Pagos_Odoo!$C:$C, MATCH(X619, Pagos_Odoo!$B:$B, 0)), ""))</f>
        <v/>
      </c>
      <c r="Z619" s="80">
        <f>IF(X619="Sin Pago","",IFERROR(INDEX(Pagos_Odoo!$A:$A, MATCH(X619, Pagos_Odoo!$B:$B, 0)), ""))</f>
        <v/>
      </c>
      <c r="AA619" s="79">
        <f>IF(X619="Sin Pago","",IFERROR(INDEX(Pagos_Odoo!$F:$F, MATCH(X619, Pagos_Odoo!$B:$B, 0)), ""))</f>
        <v/>
      </c>
      <c r="AB619" s="81">
        <f>IF(X619="Sin Pago",0,IFERROR(INDEX(Pagos_Odoo!$E:$E, MATCH(X619, Pagos_Odoo!$B:$B, 0)), 0))</f>
        <v/>
      </c>
      <c r="AC619" s="79">
        <f>IF(X619="Sin Pago","",IFERROR(INDEX(Pagos_Odoo!$G:$G, MATCH(X619, Pagos_Odoo!$B:$B, 0)), ""))</f>
        <v/>
      </c>
      <c r="AD619" s="82" t="n">
        <v>0</v>
      </c>
      <c r="AE619" s="82" t="n"/>
      <c r="AF619" s="82" t="n"/>
      <c r="AG619" s="82">
        <f>IF(AN619="","",AD619+AE619+AF619)</f>
        <v/>
      </c>
      <c r="AH619" s="81">
        <f>IF(AN619="","",P619*(1-AG619))</f>
        <v/>
      </c>
      <c r="AI619" s="81">
        <f>IF(AN619="","",IF(Q619="Sin Factura",0,IFERROR(INDEX(Facturas_Odoo!$H:$H, MATCH(Q619, Facturas_Odoo!$B:$B, 0)), 0)*(1-AG619)))</f>
        <v/>
      </c>
      <c r="AJ619" s="81">
        <f>IF(AN619="","",_xlfn.LET(idVenta, AN619&amp;"",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19" s="81">
        <f>IF(AN619="","",AH619-AJ619)</f>
        <v/>
      </c>
      <c r="AL619" s="81">
        <f>IF(AN619="","",IF(Q619="Sin Factura","",AI619-AJ619))</f>
        <v/>
      </c>
      <c r="AM619" s="81">
        <f>IF(AN619="","",IF(Q619="Sin Factura",0,P619-IFERROR(INDEX(Facturas_Odoo!$H:$H, MATCH(Q619, Facturas_Odoo!$B:$B, 0)), 0)))</f>
        <v/>
      </c>
      <c r="AN619" s="79">
        <f>IF(AND(A619="", J619=""), "", IF(A619&lt;&gt;"", VALUE(MID(A619,2,LEN(A619))), AN618))</f>
        <v/>
      </c>
      <c r="AO619" s="79">
        <f>IF(AN619="","",IF(AD619=0,"OK",_xlfn.LET(monedaPago, IF(AA619="","USD",AA619), limitePermitido, IFERROR(VLOOKUP(monedaPago, Configuración!$A$2:$B$3, 2, FALSE), 0.15), IF(AD619&gt;limitePermitido, "ALERTA: EXCESO (" &amp; TEXT(limitePermitido, "0%") &amp; " máx)", "OK"))))</f>
        <v/>
      </c>
      <c r="AP619" s="79">
        <f>IF(AN619="","",IF(AE619=0,"OK",_xlfn.LET(fechaPago, Z619, fechaFactura, R619, diasCredito, IF(E619="Pago inmediato", 0, IFERROR(VALUE(MID(E619, 1, SEARCH(" ", E619)-1)),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19" s="79">
        <f>IF(AN619="","",IF(AND(N619&gt;0, AG619&gt;0), IF(Configuración!$K$2="NO", "ALERTA: DESCUENTO DOBLE NO PERMITIDO", "OK"), "OK"))</f>
        <v/>
      </c>
      <c r="AR619" s="79">
        <f>IF(AN619="","",IF(OR(AO619&lt;&gt;"OK", AP619&lt;&gt;"OK", AQ619&lt;&gt;"OK"), "⚠️ REVISAR", "OK"))</f>
        <v/>
      </c>
    </row>
    <row r="620">
      <c r="A620" s="79">
        <f>IF('Ordenes_Odoo'!A620="","",'Ordenes_Odoo'!A620)</f>
        <v/>
      </c>
      <c r="B620" s="80">
        <f>IF('Ordenes_Odoo'!B620="","",'Ordenes_Odoo'!B620)</f>
        <v/>
      </c>
      <c r="C620" s="79">
        <f>IF('Ordenes_Odoo'!C620="","",'Ordenes_Odoo'!C620)</f>
        <v/>
      </c>
      <c r="D620" s="79">
        <f>IF('Ordenes_Odoo'!D620="","",'Ordenes_Odoo'!D620)</f>
        <v/>
      </c>
      <c r="E620" s="79">
        <f>IF('Ordenes_Odoo'!E620="","",'Ordenes_Odoo'!E620)</f>
        <v/>
      </c>
      <c r="F620" s="79">
        <f>IF('Ordenes_Odoo'!F620="","",'Ordenes_Odoo'!F620)</f>
        <v/>
      </c>
      <c r="G620" s="79">
        <f>IF('Ordenes_Odoo'!G620="","",'Ordenes_Odoo'!G620)</f>
        <v/>
      </c>
      <c r="H620" s="79">
        <f>IF('Ordenes_Odoo'!H620="","",'Ordenes_Odoo'!H620)</f>
        <v/>
      </c>
      <c r="I620" s="79">
        <f>IF('Ordenes_Odoo'!I620="","",'Ordenes_Odoo'!I620)</f>
        <v/>
      </c>
      <c r="J620" s="79">
        <f>IF('Ordenes_Odoo'!J620="","",'Ordenes_Odoo'!J620)</f>
        <v/>
      </c>
      <c r="K620" s="81">
        <f>IF('Ordenes_Odoo'!K620="","",'Ordenes_Odoo'!K620)</f>
        <v/>
      </c>
      <c r="L620" s="81">
        <f>IF('Ordenes_Odoo'!L620="","",'Ordenes_Odoo'!L620)</f>
        <v/>
      </c>
      <c r="M620" s="79">
        <f>IF('Ordenes_Odoo'!M620="","",'Ordenes_Odoo'!M620)</f>
        <v/>
      </c>
      <c r="N620" s="79">
        <f>IF('Ordenes_Odoo'!N620="","",'Ordenes_Odoo'!N620)</f>
        <v/>
      </c>
      <c r="O620" s="81">
        <f>IF('Ordenes_Odoo'!O620="","",'Ordenes_Odoo'!O620)</f>
        <v/>
      </c>
      <c r="P620" s="81">
        <f>IF('Ordenes_Odoo'!P620="","",'Ordenes_Odoo'!P620)</f>
        <v/>
      </c>
      <c r="Q620" s="79">
        <f>IF(A620="","",IFERROR(INDEX(Facturas_Odoo!$B:$B, MATCH(A620, Facturas_Odoo!$D:$D, 0)), "Sin Factura"))</f>
        <v/>
      </c>
      <c r="R620" s="80">
        <f>IF(Q620="Sin Factura","",IFERROR(INDEX(Facturas_Odoo!$A:$A, MATCH(Q620, Facturas_Odoo!$B:$B, 0)), ""))</f>
        <v/>
      </c>
      <c r="S620" s="79">
        <f>IF(Q620="Sin Factura","",IFERROR(_xlfn.XLOOKUP(1, (Facturas_Odoo!$D:$D=A620) * (Facturas_Odoo!$K:$K=I620), Facturas_Odoo!$L:$L, ""), ""))</f>
        <v/>
      </c>
      <c r="T620" s="81">
        <f>IF(Q620="Sin Factura",0,IFERROR(_xlfn.XLOOKUP(1, (Facturas_Odoo!$D:$D=A620) * (Facturas_Odoo!$K:$K=I620), Facturas_Odoo!$M:$M, 0), 0))</f>
        <v/>
      </c>
      <c r="U620" s="79">
        <f>IF(Q620="Sin Factura",0,IFERROR(_xlfn.XLOOKUP(1, (Facturas_Odoo!$D:$D=A620) * (Facturas_Odoo!$K:$K=I620), Facturas_Odoo!$N:$N, 0), 0))</f>
        <v/>
      </c>
      <c r="V620" s="79">
        <f>IF(Q620="Sin Factura",0,IFERROR(_xlfn.XLOOKUP(1, (Facturas_Odoo!$D:$D=A620) * (Facturas_Odoo!$K:$K=I620), Facturas_Odoo!$O:$O, 0), 0))</f>
        <v/>
      </c>
      <c r="W620" s="81">
        <f>IF(Q620="Sin Factura",0,IFERROR(_xlfn.XLOOKUP(1, (Facturas_Odoo!$D:$D=A620) * (Facturas_Odoo!$K:$K=I620), Facturas_Odoo!$Q:$Q, 0), 0))</f>
        <v/>
      </c>
      <c r="X620" s="79">
        <f>IF(OR(Q620="Sin Factura",Q620=""),"",IFERROR(INDEX(Pagos_Odoo!$B:$B, MATCH(Q620, Pagos_Odoo!$I:$I, 0)), "Sin Pago"))</f>
        <v/>
      </c>
      <c r="Y620" s="79">
        <f>IF(X620="Sin Pago","",IFERROR(INDEX(Pagos_Odoo!$C:$C, MATCH(X620, Pagos_Odoo!$B:$B, 0)), ""))</f>
        <v/>
      </c>
      <c r="Z620" s="80">
        <f>IF(X620="Sin Pago","",IFERROR(INDEX(Pagos_Odoo!$A:$A, MATCH(X620, Pagos_Odoo!$B:$B, 0)), ""))</f>
        <v/>
      </c>
      <c r="AA620" s="79">
        <f>IF(X620="Sin Pago","",IFERROR(INDEX(Pagos_Odoo!$F:$F, MATCH(X620, Pagos_Odoo!$B:$B, 0)), ""))</f>
        <v/>
      </c>
      <c r="AB620" s="81">
        <f>IF(X620="Sin Pago",0,IFERROR(INDEX(Pagos_Odoo!$E:$E, MATCH(X620, Pagos_Odoo!$B:$B, 0)), 0))</f>
        <v/>
      </c>
      <c r="AC620" s="79">
        <f>IF(X620="Sin Pago","",IFERROR(INDEX(Pagos_Odoo!$G:$G, MATCH(X620, Pagos_Odoo!$B:$B, 0)), ""))</f>
        <v/>
      </c>
      <c r="AD620" s="82" t="n">
        <v>0</v>
      </c>
      <c r="AE620" s="82" t="n"/>
      <c r="AF620" s="82" t="n"/>
      <c r="AG620" s="82">
        <f>IF(AN620="","",AD620+AE620+AF620)</f>
        <v/>
      </c>
      <c r="AH620" s="81">
        <f>IF(AN620="","",P620*(1-AG620))</f>
        <v/>
      </c>
      <c r="AI620" s="81">
        <f>IF(AN620="","",IF(Q620="Sin Factura",0,IFERROR(INDEX(Facturas_Odoo!$H:$H, MATCH(Q620, Facturas_Odoo!$B:$B, 0)), 0)*(1-AG620)))</f>
        <v/>
      </c>
      <c r="AJ620" s="81">
        <f>IF(AN620="","",_xlfn.LET(idVenta, AN620&amp;"",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20" s="81">
        <f>IF(AN620="","",AH620-AJ620)</f>
        <v/>
      </c>
      <c r="AL620" s="81">
        <f>IF(AN620="","",IF(Q620="Sin Factura","",AI620-AJ620))</f>
        <v/>
      </c>
      <c r="AM620" s="81">
        <f>IF(AN620="","",IF(Q620="Sin Factura",0,P620-IFERROR(INDEX(Facturas_Odoo!$H:$H, MATCH(Q620, Facturas_Odoo!$B:$B, 0)), 0)))</f>
        <v/>
      </c>
      <c r="AN620" s="79">
        <f>IF(AND(A620="", J620=""), "", IF(A620&lt;&gt;"", VALUE(MID(A620,2,LEN(A620))), AN619))</f>
        <v/>
      </c>
      <c r="AO620" s="79">
        <f>IF(AN620="","",IF(AD620=0,"OK",_xlfn.LET(monedaPago, IF(AA620="","USD",AA620), limitePermitido, IFERROR(VLOOKUP(monedaPago, Configuración!$A$2:$B$3, 2, FALSE), 0.15), IF(AD620&gt;limitePermitido, "ALERTA: EXCESO (" &amp; TEXT(limitePermitido, "0%") &amp; " máx)", "OK"))))</f>
        <v/>
      </c>
      <c r="AP620" s="79">
        <f>IF(AN620="","",IF(AE620=0,"OK",_xlfn.LET(fechaPago, Z620, fechaFactura, R620, diasCredito, IF(E620="Pago inmediato", 0, IFERROR(VALUE(MID(E620, 1, SEARCH(" ", E620)-1)),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20" s="79">
        <f>IF(AN620="","",IF(AND(N620&gt;0, AG620&gt;0), IF(Configuración!$K$2="NO", "ALERTA: DESCUENTO DOBLE NO PERMITIDO", "OK"), "OK"))</f>
        <v/>
      </c>
      <c r="AR620" s="79">
        <f>IF(AN620="","",IF(OR(AO620&lt;&gt;"OK", AP620&lt;&gt;"OK", AQ620&lt;&gt;"OK"), "⚠️ REVISAR", "OK"))</f>
        <v/>
      </c>
    </row>
    <row r="621">
      <c r="A621" s="79">
        <f>IF('Ordenes_Odoo'!A621="","",'Ordenes_Odoo'!A621)</f>
        <v/>
      </c>
      <c r="B621" s="80">
        <f>IF('Ordenes_Odoo'!B621="","",'Ordenes_Odoo'!B621)</f>
        <v/>
      </c>
      <c r="C621" s="79">
        <f>IF('Ordenes_Odoo'!C621="","",'Ordenes_Odoo'!C621)</f>
        <v/>
      </c>
      <c r="D621" s="79">
        <f>IF('Ordenes_Odoo'!D621="","",'Ordenes_Odoo'!D621)</f>
        <v/>
      </c>
      <c r="E621" s="79">
        <f>IF('Ordenes_Odoo'!E621="","",'Ordenes_Odoo'!E621)</f>
        <v/>
      </c>
      <c r="F621" s="79">
        <f>IF('Ordenes_Odoo'!F621="","",'Ordenes_Odoo'!F621)</f>
        <v/>
      </c>
      <c r="G621" s="79">
        <f>IF('Ordenes_Odoo'!G621="","",'Ordenes_Odoo'!G621)</f>
        <v/>
      </c>
      <c r="H621" s="79">
        <f>IF('Ordenes_Odoo'!H621="","",'Ordenes_Odoo'!H621)</f>
        <v/>
      </c>
      <c r="I621" s="79">
        <f>IF('Ordenes_Odoo'!I621="","",'Ordenes_Odoo'!I621)</f>
        <v/>
      </c>
      <c r="J621" s="79">
        <f>IF('Ordenes_Odoo'!J621="","",'Ordenes_Odoo'!J621)</f>
        <v/>
      </c>
      <c r="K621" s="81">
        <f>IF('Ordenes_Odoo'!K621="","",'Ordenes_Odoo'!K621)</f>
        <v/>
      </c>
      <c r="L621" s="81">
        <f>IF('Ordenes_Odoo'!L621="","",'Ordenes_Odoo'!L621)</f>
        <v/>
      </c>
      <c r="M621" s="79">
        <f>IF('Ordenes_Odoo'!M621="","",'Ordenes_Odoo'!M621)</f>
        <v/>
      </c>
      <c r="N621" s="79">
        <f>IF('Ordenes_Odoo'!N621="","",'Ordenes_Odoo'!N621)</f>
        <v/>
      </c>
      <c r="O621" s="81">
        <f>IF('Ordenes_Odoo'!O621="","",'Ordenes_Odoo'!O621)</f>
        <v/>
      </c>
      <c r="P621" s="81">
        <f>IF('Ordenes_Odoo'!P621="","",'Ordenes_Odoo'!P621)</f>
        <v/>
      </c>
      <c r="Q621" s="79">
        <f>IF(A621="","",IFERROR(INDEX(Facturas_Odoo!$B:$B, MATCH(A621, Facturas_Odoo!$D:$D, 0)), "Sin Factura"))</f>
        <v/>
      </c>
      <c r="R621" s="80">
        <f>IF(Q621="Sin Factura","",IFERROR(INDEX(Facturas_Odoo!$A:$A, MATCH(Q621, Facturas_Odoo!$B:$B, 0)), ""))</f>
        <v/>
      </c>
      <c r="S621" s="79">
        <f>IF(Q621="Sin Factura","",IFERROR(_xlfn.XLOOKUP(1, (Facturas_Odoo!$D:$D=A621) * (Facturas_Odoo!$K:$K=I621), Facturas_Odoo!$L:$L, ""), ""))</f>
        <v/>
      </c>
      <c r="T621" s="81">
        <f>IF(Q621="Sin Factura",0,IFERROR(_xlfn.XLOOKUP(1, (Facturas_Odoo!$D:$D=A621) * (Facturas_Odoo!$K:$K=I621), Facturas_Odoo!$M:$M, 0), 0))</f>
        <v/>
      </c>
      <c r="U621" s="79">
        <f>IF(Q621="Sin Factura",0,IFERROR(_xlfn.XLOOKUP(1, (Facturas_Odoo!$D:$D=A621) * (Facturas_Odoo!$K:$K=I621), Facturas_Odoo!$N:$N, 0), 0))</f>
        <v/>
      </c>
      <c r="V621" s="79">
        <f>IF(Q621="Sin Factura",0,IFERROR(_xlfn.XLOOKUP(1, (Facturas_Odoo!$D:$D=A621) * (Facturas_Odoo!$K:$K=I621), Facturas_Odoo!$O:$O, 0), 0))</f>
        <v/>
      </c>
      <c r="W621" s="81">
        <f>IF(Q621="Sin Factura",0,IFERROR(_xlfn.XLOOKUP(1, (Facturas_Odoo!$D:$D=A621) * (Facturas_Odoo!$K:$K=I621), Facturas_Odoo!$Q:$Q, 0), 0))</f>
        <v/>
      </c>
      <c r="X621" s="79">
        <f>IF(OR(Q621="Sin Factura",Q621=""),"",IFERROR(INDEX(Pagos_Odoo!$B:$B, MATCH(Q621, Pagos_Odoo!$I:$I, 0)), "Sin Pago"))</f>
        <v/>
      </c>
      <c r="Y621" s="79">
        <f>IF(X621="Sin Pago","",IFERROR(INDEX(Pagos_Odoo!$C:$C, MATCH(X621, Pagos_Odoo!$B:$B, 0)), ""))</f>
        <v/>
      </c>
      <c r="Z621" s="80">
        <f>IF(X621="Sin Pago","",IFERROR(INDEX(Pagos_Odoo!$A:$A, MATCH(X621, Pagos_Odoo!$B:$B, 0)), ""))</f>
        <v/>
      </c>
      <c r="AA621" s="79">
        <f>IF(X621="Sin Pago","",IFERROR(INDEX(Pagos_Odoo!$F:$F, MATCH(X621, Pagos_Odoo!$B:$B, 0)), ""))</f>
        <v/>
      </c>
      <c r="AB621" s="81">
        <f>IF(X621="Sin Pago",0,IFERROR(INDEX(Pagos_Odoo!$E:$E, MATCH(X621, Pagos_Odoo!$B:$B, 0)), 0))</f>
        <v/>
      </c>
      <c r="AC621" s="79">
        <f>IF(X621="Sin Pago","",IFERROR(INDEX(Pagos_Odoo!$G:$G, MATCH(X621, Pagos_Odoo!$B:$B, 0)), ""))</f>
        <v/>
      </c>
      <c r="AD621" s="82" t="n">
        <v>0</v>
      </c>
      <c r="AE621" s="82" t="n"/>
      <c r="AF621" s="82" t="n"/>
      <c r="AG621" s="82">
        <f>IF(AN621="","",AD621+AE621+AF621)</f>
        <v/>
      </c>
      <c r="AH621" s="81">
        <f>IF(AN621="","",P621*(1-AG621))</f>
        <v/>
      </c>
      <c r="AI621" s="81">
        <f>IF(AN621="","",IF(Q621="Sin Factura",0,IFERROR(INDEX(Facturas_Odoo!$H:$H, MATCH(Q621, Facturas_Odoo!$B:$B, 0)), 0)*(1-AG621)))</f>
        <v/>
      </c>
      <c r="AJ621" s="81">
        <f>IF(AN621="","",_xlfn.LET(idVenta, AN621&amp;"",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21" s="81">
        <f>IF(AN621="","",AH621-AJ621)</f>
        <v/>
      </c>
      <c r="AL621" s="81">
        <f>IF(AN621="","",IF(Q621="Sin Factura","",AI621-AJ621))</f>
        <v/>
      </c>
      <c r="AM621" s="81">
        <f>IF(AN621="","",IF(Q621="Sin Factura",0,P621-IFERROR(INDEX(Facturas_Odoo!$H:$H, MATCH(Q621, Facturas_Odoo!$B:$B, 0)), 0)))</f>
        <v/>
      </c>
      <c r="AN621" s="79">
        <f>IF(AND(A621="", J621=""), "", IF(A621&lt;&gt;"", VALUE(MID(A621,2,LEN(A621))), AN620))</f>
        <v/>
      </c>
      <c r="AO621" s="79">
        <f>IF(AN621="","",IF(AD621=0,"OK",_xlfn.LET(monedaPago, IF(AA621="","USD",AA621), limitePermitido, IFERROR(VLOOKUP(monedaPago, Configuración!$A$2:$B$3, 2, FALSE), 0.15), IF(AD621&gt;limitePermitido, "ALERTA: EXCESO (" &amp; TEXT(limitePermitido, "0%") &amp; " máx)", "OK"))))</f>
        <v/>
      </c>
      <c r="AP621" s="79">
        <f>IF(AN621="","",IF(AE621=0,"OK",_xlfn.LET(fechaPago, Z621, fechaFactura, R621, diasCredito, IF(E621="Pago inmediato", 0, IFERROR(VALUE(MID(E621, 1, SEARCH(" ", E621)-1)),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21" s="79">
        <f>IF(AN621="","",IF(AND(N621&gt;0, AG621&gt;0), IF(Configuración!$K$2="NO", "ALERTA: DESCUENTO DOBLE NO PERMITIDO", "OK"), "OK"))</f>
        <v/>
      </c>
      <c r="AR621" s="79">
        <f>IF(AN621="","",IF(OR(AO621&lt;&gt;"OK", AP621&lt;&gt;"OK", AQ621&lt;&gt;"OK"), "⚠️ REVISAR", "OK"))</f>
        <v/>
      </c>
    </row>
    <row r="622">
      <c r="A622" s="79">
        <f>IF('Ordenes_Odoo'!A622="","",'Ordenes_Odoo'!A622)</f>
        <v/>
      </c>
      <c r="B622" s="80">
        <f>IF('Ordenes_Odoo'!B622="","",'Ordenes_Odoo'!B622)</f>
        <v/>
      </c>
      <c r="C622" s="79">
        <f>IF('Ordenes_Odoo'!C622="","",'Ordenes_Odoo'!C622)</f>
        <v/>
      </c>
      <c r="D622" s="79">
        <f>IF('Ordenes_Odoo'!D622="","",'Ordenes_Odoo'!D622)</f>
        <v/>
      </c>
      <c r="E622" s="79">
        <f>IF('Ordenes_Odoo'!E622="","",'Ordenes_Odoo'!E622)</f>
        <v/>
      </c>
      <c r="F622" s="79">
        <f>IF('Ordenes_Odoo'!F622="","",'Ordenes_Odoo'!F622)</f>
        <v/>
      </c>
      <c r="G622" s="79">
        <f>IF('Ordenes_Odoo'!G622="","",'Ordenes_Odoo'!G622)</f>
        <v/>
      </c>
      <c r="H622" s="79">
        <f>IF('Ordenes_Odoo'!H622="","",'Ordenes_Odoo'!H622)</f>
        <v/>
      </c>
      <c r="I622" s="79">
        <f>IF('Ordenes_Odoo'!I622="","",'Ordenes_Odoo'!I622)</f>
        <v/>
      </c>
      <c r="J622" s="79">
        <f>IF('Ordenes_Odoo'!J622="","",'Ordenes_Odoo'!J622)</f>
        <v/>
      </c>
      <c r="K622" s="81">
        <f>IF('Ordenes_Odoo'!K622="","",'Ordenes_Odoo'!K622)</f>
        <v/>
      </c>
      <c r="L622" s="81">
        <f>IF('Ordenes_Odoo'!L622="","",'Ordenes_Odoo'!L622)</f>
        <v/>
      </c>
      <c r="M622" s="79">
        <f>IF('Ordenes_Odoo'!M622="","",'Ordenes_Odoo'!M622)</f>
        <v/>
      </c>
      <c r="N622" s="79">
        <f>IF('Ordenes_Odoo'!N622="","",'Ordenes_Odoo'!N622)</f>
        <v/>
      </c>
      <c r="O622" s="81">
        <f>IF('Ordenes_Odoo'!O622="","",'Ordenes_Odoo'!O622)</f>
        <v/>
      </c>
      <c r="P622" s="81">
        <f>IF('Ordenes_Odoo'!P622="","",'Ordenes_Odoo'!P622)</f>
        <v/>
      </c>
      <c r="Q622" s="79">
        <f>IF(A622="","",IFERROR(INDEX(Facturas_Odoo!$B:$B, MATCH(A622, Facturas_Odoo!$D:$D, 0)), "Sin Factura"))</f>
        <v/>
      </c>
      <c r="R622" s="80">
        <f>IF(Q622="Sin Factura","",IFERROR(INDEX(Facturas_Odoo!$A:$A, MATCH(Q622, Facturas_Odoo!$B:$B, 0)), ""))</f>
        <v/>
      </c>
      <c r="S622" s="79">
        <f>IF(Q622="Sin Factura","",IFERROR(_xlfn.XLOOKUP(1, (Facturas_Odoo!$D:$D=A622) * (Facturas_Odoo!$K:$K=I622), Facturas_Odoo!$L:$L, ""), ""))</f>
        <v/>
      </c>
      <c r="T622" s="81">
        <f>IF(Q622="Sin Factura",0,IFERROR(_xlfn.XLOOKUP(1, (Facturas_Odoo!$D:$D=A622) * (Facturas_Odoo!$K:$K=I622), Facturas_Odoo!$M:$M, 0), 0))</f>
        <v/>
      </c>
      <c r="U622" s="79">
        <f>IF(Q622="Sin Factura",0,IFERROR(_xlfn.XLOOKUP(1, (Facturas_Odoo!$D:$D=A622) * (Facturas_Odoo!$K:$K=I622), Facturas_Odoo!$N:$N, 0), 0))</f>
        <v/>
      </c>
      <c r="V622" s="79">
        <f>IF(Q622="Sin Factura",0,IFERROR(_xlfn.XLOOKUP(1, (Facturas_Odoo!$D:$D=A622) * (Facturas_Odoo!$K:$K=I622), Facturas_Odoo!$O:$O, 0), 0))</f>
        <v/>
      </c>
      <c r="W622" s="81">
        <f>IF(Q622="Sin Factura",0,IFERROR(_xlfn.XLOOKUP(1, (Facturas_Odoo!$D:$D=A622) * (Facturas_Odoo!$K:$K=I622), Facturas_Odoo!$Q:$Q, 0), 0))</f>
        <v/>
      </c>
      <c r="X622" s="79">
        <f>IF(OR(Q622="Sin Factura",Q622=""),"",IFERROR(INDEX(Pagos_Odoo!$B:$B, MATCH(Q622, Pagos_Odoo!$I:$I, 0)), "Sin Pago"))</f>
        <v/>
      </c>
      <c r="Y622" s="79">
        <f>IF(X622="Sin Pago","",IFERROR(INDEX(Pagos_Odoo!$C:$C, MATCH(X622, Pagos_Odoo!$B:$B, 0)), ""))</f>
        <v/>
      </c>
      <c r="Z622" s="80">
        <f>IF(X622="Sin Pago","",IFERROR(INDEX(Pagos_Odoo!$A:$A, MATCH(X622, Pagos_Odoo!$B:$B, 0)), ""))</f>
        <v/>
      </c>
      <c r="AA622" s="79">
        <f>IF(X622="Sin Pago","",IFERROR(INDEX(Pagos_Odoo!$F:$F, MATCH(X622, Pagos_Odoo!$B:$B, 0)), ""))</f>
        <v/>
      </c>
      <c r="AB622" s="81">
        <f>IF(X622="Sin Pago",0,IFERROR(INDEX(Pagos_Odoo!$E:$E, MATCH(X622, Pagos_Odoo!$B:$B, 0)), 0))</f>
        <v/>
      </c>
      <c r="AC622" s="79">
        <f>IF(X622="Sin Pago","",IFERROR(INDEX(Pagos_Odoo!$G:$G, MATCH(X622, Pagos_Odoo!$B:$B, 0)), ""))</f>
        <v/>
      </c>
      <c r="AD622" s="82" t="n">
        <v>0</v>
      </c>
      <c r="AE622" s="82" t="n"/>
      <c r="AF622" s="82" t="n"/>
      <c r="AG622" s="82">
        <f>IF(AN622="","",AD622+AE622+AF622)</f>
        <v/>
      </c>
      <c r="AH622" s="81">
        <f>IF(AN622="","",P622*(1-AG622))</f>
        <v/>
      </c>
      <c r="AI622" s="81">
        <f>IF(AN622="","",IF(Q622="Sin Factura",0,IFERROR(INDEX(Facturas_Odoo!$H:$H, MATCH(Q622, Facturas_Odoo!$B:$B, 0)), 0)*(1-AG622)))</f>
        <v/>
      </c>
      <c r="AJ622" s="81">
        <f>IF(AN622="","",_xlfn.LET(idVenta, AN622&amp;"",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22" s="81">
        <f>IF(AN622="","",AH622-AJ622)</f>
        <v/>
      </c>
      <c r="AL622" s="81">
        <f>IF(AN622="","",IF(Q622="Sin Factura","",AI622-AJ622))</f>
        <v/>
      </c>
      <c r="AM622" s="81">
        <f>IF(AN622="","",IF(Q622="Sin Factura",0,P622-IFERROR(INDEX(Facturas_Odoo!$H:$H, MATCH(Q622, Facturas_Odoo!$B:$B, 0)), 0)))</f>
        <v/>
      </c>
      <c r="AN622" s="79">
        <f>IF(AND(A622="", J622=""), "", IF(A622&lt;&gt;"", VALUE(MID(A622,2,LEN(A622))), AN621))</f>
        <v/>
      </c>
      <c r="AO622" s="79">
        <f>IF(AN622="","",IF(AD622=0,"OK",_xlfn.LET(monedaPago, IF(AA622="","USD",AA622), limitePermitido, IFERROR(VLOOKUP(monedaPago, Configuración!$A$2:$B$3, 2, FALSE), 0.15), IF(AD622&gt;limitePermitido, "ALERTA: EXCESO (" &amp; TEXT(limitePermitido, "0%") &amp; " máx)", "OK"))))</f>
        <v/>
      </c>
      <c r="AP622" s="79">
        <f>IF(AN622="","",IF(AE622=0,"OK",_xlfn.LET(fechaPago, Z622, fechaFactura, R622, diasCredito, IF(E622="Pago inmediato", 0, IFERROR(VALUE(MID(E622, 1, SEARCH(" ", E622)-1)),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22" s="79">
        <f>IF(AN622="","",IF(AND(N622&gt;0, AG622&gt;0), IF(Configuración!$K$2="NO", "ALERTA: DESCUENTO DOBLE NO PERMITIDO", "OK"), "OK"))</f>
        <v/>
      </c>
      <c r="AR622" s="79">
        <f>IF(AN622="","",IF(OR(AO622&lt;&gt;"OK", AP622&lt;&gt;"OK", AQ622&lt;&gt;"OK"), "⚠️ REVISAR", "OK"))</f>
        <v/>
      </c>
    </row>
    <row r="623">
      <c r="A623" s="79">
        <f>IF('Ordenes_Odoo'!A623="","",'Ordenes_Odoo'!A623)</f>
        <v/>
      </c>
      <c r="B623" s="80">
        <f>IF('Ordenes_Odoo'!B623="","",'Ordenes_Odoo'!B623)</f>
        <v/>
      </c>
      <c r="C623" s="79">
        <f>IF('Ordenes_Odoo'!C623="","",'Ordenes_Odoo'!C623)</f>
        <v/>
      </c>
      <c r="D623" s="79">
        <f>IF('Ordenes_Odoo'!D623="","",'Ordenes_Odoo'!D623)</f>
        <v/>
      </c>
      <c r="E623" s="79">
        <f>IF('Ordenes_Odoo'!E623="","",'Ordenes_Odoo'!E623)</f>
        <v/>
      </c>
      <c r="F623" s="79">
        <f>IF('Ordenes_Odoo'!F623="","",'Ordenes_Odoo'!F623)</f>
        <v/>
      </c>
      <c r="G623" s="79">
        <f>IF('Ordenes_Odoo'!G623="","",'Ordenes_Odoo'!G623)</f>
        <v/>
      </c>
      <c r="H623" s="79">
        <f>IF('Ordenes_Odoo'!H623="","",'Ordenes_Odoo'!H623)</f>
        <v/>
      </c>
      <c r="I623" s="79">
        <f>IF('Ordenes_Odoo'!I623="","",'Ordenes_Odoo'!I623)</f>
        <v/>
      </c>
      <c r="J623" s="79">
        <f>IF('Ordenes_Odoo'!J623="","",'Ordenes_Odoo'!J623)</f>
        <v/>
      </c>
      <c r="K623" s="81">
        <f>IF('Ordenes_Odoo'!K623="","",'Ordenes_Odoo'!K623)</f>
        <v/>
      </c>
      <c r="L623" s="81">
        <f>IF('Ordenes_Odoo'!L623="","",'Ordenes_Odoo'!L623)</f>
        <v/>
      </c>
      <c r="M623" s="79">
        <f>IF('Ordenes_Odoo'!M623="","",'Ordenes_Odoo'!M623)</f>
        <v/>
      </c>
      <c r="N623" s="79">
        <f>IF('Ordenes_Odoo'!N623="","",'Ordenes_Odoo'!N623)</f>
        <v/>
      </c>
      <c r="O623" s="81">
        <f>IF('Ordenes_Odoo'!O623="","",'Ordenes_Odoo'!O623)</f>
        <v/>
      </c>
      <c r="P623" s="81">
        <f>IF('Ordenes_Odoo'!P623="","",'Ordenes_Odoo'!P623)</f>
        <v/>
      </c>
      <c r="Q623" s="79">
        <f>IF(A623="","",IFERROR(INDEX(Facturas_Odoo!$B:$B, MATCH(A623, Facturas_Odoo!$D:$D, 0)), "Sin Factura"))</f>
        <v/>
      </c>
      <c r="R623" s="80">
        <f>IF(Q623="Sin Factura","",IFERROR(INDEX(Facturas_Odoo!$A:$A, MATCH(Q623, Facturas_Odoo!$B:$B, 0)), ""))</f>
        <v/>
      </c>
      <c r="S623" s="79">
        <f>IF(Q623="Sin Factura","",IFERROR(_xlfn.XLOOKUP(1, (Facturas_Odoo!$D:$D=A623) * (Facturas_Odoo!$K:$K=I623), Facturas_Odoo!$L:$L, ""), ""))</f>
        <v/>
      </c>
      <c r="T623" s="81">
        <f>IF(Q623="Sin Factura",0,IFERROR(_xlfn.XLOOKUP(1, (Facturas_Odoo!$D:$D=A623) * (Facturas_Odoo!$K:$K=I623), Facturas_Odoo!$M:$M, 0), 0))</f>
        <v/>
      </c>
      <c r="U623" s="79">
        <f>IF(Q623="Sin Factura",0,IFERROR(_xlfn.XLOOKUP(1, (Facturas_Odoo!$D:$D=A623) * (Facturas_Odoo!$K:$K=I623), Facturas_Odoo!$N:$N, 0), 0))</f>
        <v/>
      </c>
      <c r="V623" s="79">
        <f>IF(Q623="Sin Factura",0,IFERROR(_xlfn.XLOOKUP(1, (Facturas_Odoo!$D:$D=A623) * (Facturas_Odoo!$K:$K=I623), Facturas_Odoo!$O:$O, 0), 0))</f>
        <v/>
      </c>
      <c r="W623" s="81">
        <f>IF(Q623="Sin Factura",0,IFERROR(_xlfn.XLOOKUP(1, (Facturas_Odoo!$D:$D=A623) * (Facturas_Odoo!$K:$K=I623), Facturas_Odoo!$Q:$Q, 0), 0))</f>
        <v/>
      </c>
      <c r="X623" s="79">
        <f>IF(OR(Q623="Sin Factura",Q623=""),"",IFERROR(INDEX(Pagos_Odoo!$B:$B, MATCH(Q623, Pagos_Odoo!$I:$I, 0)), "Sin Pago"))</f>
        <v/>
      </c>
      <c r="Y623" s="79">
        <f>IF(X623="Sin Pago","",IFERROR(INDEX(Pagos_Odoo!$C:$C, MATCH(X623, Pagos_Odoo!$B:$B, 0)), ""))</f>
        <v/>
      </c>
      <c r="Z623" s="80">
        <f>IF(X623="Sin Pago","",IFERROR(INDEX(Pagos_Odoo!$A:$A, MATCH(X623, Pagos_Odoo!$B:$B, 0)), ""))</f>
        <v/>
      </c>
      <c r="AA623" s="79">
        <f>IF(X623="Sin Pago","",IFERROR(INDEX(Pagos_Odoo!$F:$F, MATCH(X623, Pagos_Odoo!$B:$B, 0)), ""))</f>
        <v/>
      </c>
      <c r="AB623" s="81">
        <f>IF(X623="Sin Pago",0,IFERROR(INDEX(Pagos_Odoo!$E:$E, MATCH(X623, Pagos_Odoo!$B:$B, 0)), 0))</f>
        <v/>
      </c>
      <c r="AC623" s="79">
        <f>IF(X623="Sin Pago","",IFERROR(INDEX(Pagos_Odoo!$G:$G, MATCH(X623, Pagos_Odoo!$B:$B, 0)), ""))</f>
        <v/>
      </c>
      <c r="AD623" s="82" t="n">
        <v>0</v>
      </c>
      <c r="AE623" s="82" t="n"/>
      <c r="AF623" s="82" t="n"/>
      <c r="AG623" s="82">
        <f>IF(AN623="","",AD623+AE623+AF623)</f>
        <v/>
      </c>
      <c r="AH623" s="81">
        <f>IF(AN623="","",P623*(1-AG623))</f>
        <v/>
      </c>
      <c r="AI623" s="81">
        <f>IF(AN623="","",IF(Q623="Sin Factura",0,IFERROR(INDEX(Facturas_Odoo!$H:$H, MATCH(Q623, Facturas_Odoo!$B:$B, 0)), 0)*(1-AG623)))</f>
        <v/>
      </c>
      <c r="AJ623" s="81">
        <f>IF(AN623="","",_xlfn.LET(idVenta, AN623&amp;"",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23" s="81">
        <f>IF(AN623="","",AH623-AJ623)</f>
        <v/>
      </c>
      <c r="AL623" s="81">
        <f>IF(AN623="","",IF(Q623="Sin Factura","",AI623-AJ623))</f>
        <v/>
      </c>
      <c r="AM623" s="81">
        <f>IF(AN623="","",IF(Q623="Sin Factura",0,P623-IFERROR(INDEX(Facturas_Odoo!$H:$H, MATCH(Q623, Facturas_Odoo!$B:$B, 0)), 0)))</f>
        <v/>
      </c>
      <c r="AN623" s="79">
        <f>IF(AND(A623="", J623=""), "", IF(A623&lt;&gt;"", VALUE(MID(A623,2,LEN(A623))), AN622))</f>
        <v/>
      </c>
      <c r="AO623" s="79">
        <f>IF(AN623="","",IF(AD623=0,"OK",_xlfn.LET(monedaPago, IF(AA623="","USD",AA623), limitePermitido, IFERROR(VLOOKUP(monedaPago, Configuración!$A$2:$B$3, 2, FALSE), 0.15), IF(AD623&gt;limitePermitido, "ALERTA: EXCESO (" &amp; TEXT(limitePermitido, "0%") &amp; " máx)", "OK"))))</f>
        <v/>
      </c>
      <c r="AP623" s="79">
        <f>IF(AN623="","",IF(AE623=0,"OK",_xlfn.LET(fechaPago, Z623, fechaFactura, R623, diasCredito, IF(E623="Pago inmediato", 0, IFERROR(VALUE(MID(E623, 1, SEARCH(" ", E623)-1)),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23" s="79">
        <f>IF(AN623="","",IF(AND(N623&gt;0, AG623&gt;0), IF(Configuración!$K$2="NO", "ALERTA: DESCUENTO DOBLE NO PERMITIDO", "OK"), "OK"))</f>
        <v/>
      </c>
      <c r="AR623" s="79">
        <f>IF(AN623="","",IF(OR(AO623&lt;&gt;"OK", AP623&lt;&gt;"OK", AQ623&lt;&gt;"OK"), "⚠️ REVISAR", "OK"))</f>
        <v/>
      </c>
    </row>
    <row r="624">
      <c r="A624" s="79">
        <f>IF('Ordenes_Odoo'!A624="","",'Ordenes_Odoo'!A624)</f>
        <v/>
      </c>
      <c r="B624" s="80">
        <f>IF('Ordenes_Odoo'!B624="","",'Ordenes_Odoo'!B624)</f>
        <v/>
      </c>
      <c r="C624" s="79">
        <f>IF('Ordenes_Odoo'!C624="","",'Ordenes_Odoo'!C624)</f>
        <v/>
      </c>
      <c r="D624" s="79">
        <f>IF('Ordenes_Odoo'!D624="","",'Ordenes_Odoo'!D624)</f>
        <v/>
      </c>
      <c r="E624" s="79">
        <f>IF('Ordenes_Odoo'!E624="","",'Ordenes_Odoo'!E624)</f>
        <v/>
      </c>
      <c r="F624" s="79">
        <f>IF('Ordenes_Odoo'!F624="","",'Ordenes_Odoo'!F624)</f>
        <v/>
      </c>
      <c r="G624" s="79">
        <f>IF('Ordenes_Odoo'!G624="","",'Ordenes_Odoo'!G624)</f>
        <v/>
      </c>
      <c r="H624" s="79">
        <f>IF('Ordenes_Odoo'!H624="","",'Ordenes_Odoo'!H624)</f>
        <v/>
      </c>
      <c r="I624" s="79">
        <f>IF('Ordenes_Odoo'!I624="","",'Ordenes_Odoo'!I624)</f>
        <v/>
      </c>
      <c r="J624" s="79">
        <f>IF('Ordenes_Odoo'!J624="","",'Ordenes_Odoo'!J624)</f>
        <v/>
      </c>
      <c r="K624" s="81">
        <f>IF('Ordenes_Odoo'!K624="","",'Ordenes_Odoo'!K624)</f>
        <v/>
      </c>
      <c r="L624" s="81">
        <f>IF('Ordenes_Odoo'!L624="","",'Ordenes_Odoo'!L624)</f>
        <v/>
      </c>
      <c r="M624" s="79">
        <f>IF('Ordenes_Odoo'!M624="","",'Ordenes_Odoo'!M624)</f>
        <v/>
      </c>
      <c r="N624" s="79">
        <f>IF('Ordenes_Odoo'!N624="","",'Ordenes_Odoo'!N624)</f>
        <v/>
      </c>
      <c r="O624" s="81">
        <f>IF('Ordenes_Odoo'!O624="","",'Ordenes_Odoo'!O624)</f>
        <v/>
      </c>
      <c r="P624" s="81">
        <f>IF('Ordenes_Odoo'!P624="","",'Ordenes_Odoo'!P624)</f>
        <v/>
      </c>
      <c r="Q624" s="79">
        <f>IF(A624="","",IFERROR(INDEX(Facturas_Odoo!$B:$B, MATCH(A624, Facturas_Odoo!$D:$D, 0)), "Sin Factura"))</f>
        <v/>
      </c>
      <c r="R624" s="80">
        <f>IF(Q624="Sin Factura","",IFERROR(INDEX(Facturas_Odoo!$A:$A, MATCH(Q624, Facturas_Odoo!$B:$B, 0)), ""))</f>
        <v/>
      </c>
      <c r="S624" s="79">
        <f>IF(Q624="Sin Factura","",IFERROR(_xlfn.XLOOKUP(1, (Facturas_Odoo!$D:$D=A624) * (Facturas_Odoo!$K:$K=I624), Facturas_Odoo!$L:$L, ""), ""))</f>
        <v/>
      </c>
      <c r="T624" s="81">
        <f>IF(Q624="Sin Factura",0,IFERROR(_xlfn.XLOOKUP(1, (Facturas_Odoo!$D:$D=A624) * (Facturas_Odoo!$K:$K=I624), Facturas_Odoo!$M:$M, 0), 0))</f>
        <v/>
      </c>
      <c r="U624" s="79">
        <f>IF(Q624="Sin Factura",0,IFERROR(_xlfn.XLOOKUP(1, (Facturas_Odoo!$D:$D=A624) * (Facturas_Odoo!$K:$K=I624), Facturas_Odoo!$N:$N, 0), 0))</f>
        <v/>
      </c>
      <c r="V624" s="79">
        <f>IF(Q624="Sin Factura",0,IFERROR(_xlfn.XLOOKUP(1, (Facturas_Odoo!$D:$D=A624) * (Facturas_Odoo!$K:$K=I624), Facturas_Odoo!$O:$O, 0), 0))</f>
        <v/>
      </c>
      <c r="W624" s="81">
        <f>IF(Q624="Sin Factura",0,IFERROR(_xlfn.XLOOKUP(1, (Facturas_Odoo!$D:$D=A624) * (Facturas_Odoo!$K:$K=I624), Facturas_Odoo!$Q:$Q, 0), 0))</f>
        <v/>
      </c>
      <c r="X624" s="79">
        <f>IF(OR(Q624="Sin Factura",Q624=""),"",IFERROR(INDEX(Pagos_Odoo!$B:$B, MATCH(Q624, Pagos_Odoo!$I:$I, 0)), "Sin Pago"))</f>
        <v/>
      </c>
      <c r="Y624" s="79">
        <f>IF(X624="Sin Pago","",IFERROR(INDEX(Pagos_Odoo!$C:$C, MATCH(X624, Pagos_Odoo!$B:$B, 0)), ""))</f>
        <v/>
      </c>
      <c r="Z624" s="80">
        <f>IF(X624="Sin Pago","",IFERROR(INDEX(Pagos_Odoo!$A:$A, MATCH(X624, Pagos_Odoo!$B:$B, 0)), ""))</f>
        <v/>
      </c>
      <c r="AA624" s="79">
        <f>IF(X624="Sin Pago","",IFERROR(INDEX(Pagos_Odoo!$F:$F, MATCH(X624, Pagos_Odoo!$B:$B, 0)), ""))</f>
        <v/>
      </c>
      <c r="AB624" s="81">
        <f>IF(X624="Sin Pago",0,IFERROR(INDEX(Pagos_Odoo!$E:$E, MATCH(X624, Pagos_Odoo!$B:$B, 0)), 0))</f>
        <v/>
      </c>
      <c r="AC624" s="79">
        <f>IF(X624="Sin Pago","",IFERROR(INDEX(Pagos_Odoo!$G:$G, MATCH(X624, Pagos_Odoo!$B:$B, 0)), ""))</f>
        <v/>
      </c>
      <c r="AD624" s="82" t="n">
        <v>0</v>
      </c>
      <c r="AE624" s="82" t="n"/>
      <c r="AF624" s="82" t="n"/>
      <c r="AG624" s="82">
        <f>IF(AN624="","",AD624+AE624+AF624)</f>
        <v/>
      </c>
      <c r="AH624" s="81">
        <f>IF(AN624="","",P624*(1-AG624))</f>
        <v/>
      </c>
      <c r="AI624" s="81">
        <f>IF(AN624="","",IF(Q624="Sin Factura",0,IFERROR(INDEX(Facturas_Odoo!$H:$H, MATCH(Q624, Facturas_Odoo!$B:$B, 0)), 0)*(1-AG624)))</f>
        <v/>
      </c>
      <c r="AJ624" s="81">
        <f>IF(AN624="","",_xlfn.LET(idVenta, AN624&amp;"",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24" s="81">
        <f>IF(AN624="","",AH624-AJ624)</f>
        <v/>
      </c>
      <c r="AL624" s="81">
        <f>IF(AN624="","",IF(Q624="Sin Factura","",AI624-AJ624))</f>
        <v/>
      </c>
      <c r="AM624" s="81">
        <f>IF(AN624="","",IF(Q624="Sin Factura",0,P624-IFERROR(INDEX(Facturas_Odoo!$H:$H, MATCH(Q624, Facturas_Odoo!$B:$B, 0)), 0)))</f>
        <v/>
      </c>
      <c r="AN624" s="79">
        <f>IF(AND(A624="", J624=""), "", IF(A624&lt;&gt;"", VALUE(MID(A624,2,LEN(A624))), AN623))</f>
        <v/>
      </c>
      <c r="AO624" s="79">
        <f>IF(AN624="","",IF(AD624=0,"OK",_xlfn.LET(monedaPago, IF(AA624="","USD",AA624), limitePermitido, IFERROR(VLOOKUP(monedaPago, Configuración!$A$2:$B$3, 2, FALSE), 0.15), IF(AD624&gt;limitePermitido, "ALERTA: EXCESO (" &amp; TEXT(limitePermitido, "0%") &amp; " máx)", "OK"))))</f>
        <v/>
      </c>
      <c r="AP624" s="79">
        <f>IF(AN624="","",IF(AE624=0,"OK",_xlfn.LET(fechaPago, Z624, fechaFactura, R624, diasCredito, IF(E624="Pago inmediato", 0, IFERROR(VALUE(MID(E624, 1, SEARCH(" ", E624)-1)),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24" s="79">
        <f>IF(AN624="","",IF(AND(N624&gt;0, AG624&gt;0), IF(Configuración!$K$2="NO", "ALERTA: DESCUENTO DOBLE NO PERMITIDO", "OK"), "OK"))</f>
        <v/>
      </c>
      <c r="AR624" s="79">
        <f>IF(AN624="","",IF(OR(AO624&lt;&gt;"OK", AP624&lt;&gt;"OK", AQ624&lt;&gt;"OK"), "⚠️ REVISAR", "OK"))</f>
        <v/>
      </c>
    </row>
    <row r="625">
      <c r="A625" s="79">
        <f>IF('Ordenes_Odoo'!A625="","",'Ordenes_Odoo'!A625)</f>
        <v/>
      </c>
      <c r="B625" s="80">
        <f>IF('Ordenes_Odoo'!B625="","",'Ordenes_Odoo'!B625)</f>
        <v/>
      </c>
      <c r="C625" s="79">
        <f>IF('Ordenes_Odoo'!C625="","",'Ordenes_Odoo'!C625)</f>
        <v/>
      </c>
      <c r="D625" s="79">
        <f>IF('Ordenes_Odoo'!D625="","",'Ordenes_Odoo'!D625)</f>
        <v/>
      </c>
      <c r="E625" s="79">
        <f>IF('Ordenes_Odoo'!E625="","",'Ordenes_Odoo'!E625)</f>
        <v/>
      </c>
      <c r="F625" s="79">
        <f>IF('Ordenes_Odoo'!F625="","",'Ordenes_Odoo'!F625)</f>
        <v/>
      </c>
      <c r="G625" s="79">
        <f>IF('Ordenes_Odoo'!G625="","",'Ordenes_Odoo'!G625)</f>
        <v/>
      </c>
      <c r="H625" s="79">
        <f>IF('Ordenes_Odoo'!H625="","",'Ordenes_Odoo'!H625)</f>
        <v/>
      </c>
      <c r="I625" s="79">
        <f>IF('Ordenes_Odoo'!I625="","",'Ordenes_Odoo'!I625)</f>
        <v/>
      </c>
      <c r="J625" s="79">
        <f>IF('Ordenes_Odoo'!J625="","",'Ordenes_Odoo'!J625)</f>
        <v/>
      </c>
      <c r="K625" s="81">
        <f>IF('Ordenes_Odoo'!K625="","",'Ordenes_Odoo'!K625)</f>
        <v/>
      </c>
      <c r="L625" s="81">
        <f>IF('Ordenes_Odoo'!L625="","",'Ordenes_Odoo'!L625)</f>
        <v/>
      </c>
      <c r="M625" s="79">
        <f>IF('Ordenes_Odoo'!M625="","",'Ordenes_Odoo'!M625)</f>
        <v/>
      </c>
      <c r="N625" s="79">
        <f>IF('Ordenes_Odoo'!N625="","",'Ordenes_Odoo'!N625)</f>
        <v/>
      </c>
      <c r="O625" s="81">
        <f>IF('Ordenes_Odoo'!O625="","",'Ordenes_Odoo'!O625)</f>
        <v/>
      </c>
      <c r="P625" s="81">
        <f>IF('Ordenes_Odoo'!P625="","",'Ordenes_Odoo'!P625)</f>
        <v/>
      </c>
      <c r="Q625" s="79">
        <f>IF(A625="","",IFERROR(INDEX(Facturas_Odoo!$B:$B, MATCH(A625, Facturas_Odoo!$D:$D, 0)), "Sin Factura"))</f>
        <v/>
      </c>
      <c r="R625" s="80">
        <f>IF(Q625="Sin Factura","",IFERROR(INDEX(Facturas_Odoo!$A:$A, MATCH(Q625, Facturas_Odoo!$B:$B, 0)), ""))</f>
        <v/>
      </c>
      <c r="S625" s="79">
        <f>IF(Q625="Sin Factura","",IFERROR(_xlfn.XLOOKUP(1, (Facturas_Odoo!$D:$D=A625) * (Facturas_Odoo!$K:$K=I625), Facturas_Odoo!$L:$L, ""), ""))</f>
        <v/>
      </c>
      <c r="T625" s="81">
        <f>IF(Q625="Sin Factura",0,IFERROR(_xlfn.XLOOKUP(1, (Facturas_Odoo!$D:$D=A625) * (Facturas_Odoo!$K:$K=I625), Facturas_Odoo!$M:$M, 0), 0))</f>
        <v/>
      </c>
      <c r="U625" s="79">
        <f>IF(Q625="Sin Factura",0,IFERROR(_xlfn.XLOOKUP(1, (Facturas_Odoo!$D:$D=A625) * (Facturas_Odoo!$K:$K=I625), Facturas_Odoo!$N:$N, 0), 0))</f>
        <v/>
      </c>
      <c r="V625" s="79">
        <f>IF(Q625="Sin Factura",0,IFERROR(_xlfn.XLOOKUP(1, (Facturas_Odoo!$D:$D=A625) * (Facturas_Odoo!$K:$K=I625), Facturas_Odoo!$O:$O, 0), 0))</f>
        <v/>
      </c>
      <c r="W625" s="81">
        <f>IF(Q625="Sin Factura",0,IFERROR(_xlfn.XLOOKUP(1, (Facturas_Odoo!$D:$D=A625) * (Facturas_Odoo!$K:$K=I625), Facturas_Odoo!$Q:$Q, 0), 0))</f>
        <v/>
      </c>
      <c r="X625" s="79">
        <f>IF(OR(Q625="Sin Factura",Q625=""),"",IFERROR(INDEX(Pagos_Odoo!$B:$B, MATCH(Q625, Pagos_Odoo!$I:$I, 0)), "Sin Pago"))</f>
        <v/>
      </c>
      <c r="Y625" s="79">
        <f>IF(X625="Sin Pago","",IFERROR(INDEX(Pagos_Odoo!$C:$C, MATCH(X625, Pagos_Odoo!$B:$B, 0)), ""))</f>
        <v/>
      </c>
      <c r="Z625" s="80">
        <f>IF(X625="Sin Pago","",IFERROR(INDEX(Pagos_Odoo!$A:$A, MATCH(X625, Pagos_Odoo!$B:$B, 0)), ""))</f>
        <v/>
      </c>
      <c r="AA625" s="79">
        <f>IF(X625="Sin Pago","",IFERROR(INDEX(Pagos_Odoo!$F:$F, MATCH(X625, Pagos_Odoo!$B:$B, 0)), ""))</f>
        <v/>
      </c>
      <c r="AB625" s="81">
        <f>IF(X625="Sin Pago",0,IFERROR(INDEX(Pagos_Odoo!$E:$E, MATCH(X625, Pagos_Odoo!$B:$B, 0)), 0))</f>
        <v/>
      </c>
      <c r="AC625" s="79">
        <f>IF(X625="Sin Pago","",IFERROR(INDEX(Pagos_Odoo!$G:$G, MATCH(X625, Pagos_Odoo!$B:$B, 0)), ""))</f>
        <v/>
      </c>
      <c r="AD625" s="82" t="n">
        <v>0</v>
      </c>
      <c r="AE625" s="82" t="n"/>
      <c r="AF625" s="82" t="n"/>
      <c r="AG625" s="82">
        <f>IF(AN625="","",AD625+AE625+AF625)</f>
        <v/>
      </c>
      <c r="AH625" s="81">
        <f>IF(AN625="","",P625*(1-AG625))</f>
        <v/>
      </c>
      <c r="AI625" s="81">
        <f>IF(AN625="","",IF(Q625="Sin Factura",0,IFERROR(INDEX(Facturas_Odoo!$H:$H, MATCH(Q625, Facturas_Odoo!$B:$B, 0)), 0)*(1-AG625)))</f>
        <v/>
      </c>
      <c r="AJ625" s="81">
        <f>IF(AN625="","",_xlfn.LET(idVenta, AN625&amp;"",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25" s="81">
        <f>IF(AN625="","",AH625-AJ625)</f>
        <v/>
      </c>
      <c r="AL625" s="81">
        <f>IF(AN625="","",IF(Q625="Sin Factura","",AI625-AJ625))</f>
        <v/>
      </c>
      <c r="AM625" s="81">
        <f>IF(AN625="","",IF(Q625="Sin Factura",0,P625-IFERROR(INDEX(Facturas_Odoo!$H:$H, MATCH(Q625, Facturas_Odoo!$B:$B, 0)), 0)))</f>
        <v/>
      </c>
      <c r="AN625" s="79">
        <f>IF(AND(A625="", J625=""), "", IF(A625&lt;&gt;"", VALUE(MID(A625,2,LEN(A625))), AN624))</f>
        <v/>
      </c>
      <c r="AO625" s="79">
        <f>IF(AN625="","",IF(AD625=0,"OK",_xlfn.LET(monedaPago, IF(AA625="","USD",AA625), limitePermitido, IFERROR(VLOOKUP(monedaPago, Configuración!$A$2:$B$3, 2, FALSE), 0.15), IF(AD625&gt;limitePermitido, "ALERTA: EXCESO (" &amp; TEXT(limitePermitido, "0%") &amp; " máx)", "OK"))))</f>
        <v/>
      </c>
      <c r="AP625" s="79">
        <f>IF(AN625="","",IF(AE625=0,"OK",_xlfn.LET(fechaPago, Z625, fechaFactura, R625, diasCredito, IF(E625="Pago inmediato", 0, IFERROR(VALUE(MID(E625, 1, SEARCH(" ", E625)-1)),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25" s="79">
        <f>IF(AN625="","",IF(AND(N625&gt;0, AG625&gt;0), IF(Configuración!$K$2="NO", "ALERTA: DESCUENTO DOBLE NO PERMITIDO", "OK"), "OK"))</f>
        <v/>
      </c>
      <c r="AR625" s="79">
        <f>IF(AN625="","",IF(OR(AO625&lt;&gt;"OK", AP625&lt;&gt;"OK", AQ625&lt;&gt;"OK"), "⚠️ REVISAR", "OK"))</f>
        <v/>
      </c>
    </row>
    <row r="626">
      <c r="A626" s="79">
        <f>IF('Ordenes_Odoo'!A626="","",'Ordenes_Odoo'!A626)</f>
        <v/>
      </c>
      <c r="B626" s="80">
        <f>IF('Ordenes_Odoo'!B626="","",'Ordenes_Odoo'!B626)</f>
        <v/>
      </c>
      <c r="C626" s="79">
        <f>IF('Ordenes_Odoo'!C626="","",'Ordenes_Odoo'!C626)</f>
        <v/>
      </c>
      <c r="D626" s="79">
        <f>IF('Ordenes_Odoo'!D626="","",'Ordenes_Odoo'!D626)</f>
        <v/>
      </c>
      <c r="E626" s="79">
        <f>IF('Ordenes_Odoo'!E626="","",'Ordenes_Odoo'!E626)</f>
        <v/>
      </c>
      <c r="F626" s="79">
        <f>IF('Ordenes_Odoo'!F626="","",'Ordenes_Odoo'!F626)</f>
        <v/>
      </c>
      <c r="G626" s="79">
        <f>IF('Ordenes_Odoo'!G626="","",'Ordenes_Odoo'!G626)</f>
        <v/>
      </c>
      <c r="H626" s="79">
        <f>IF('Ordenes_Odoo'!H626="","",'Ordenes_Odoo'!H626)</f>
        <v/>
      </c>
      <c r="I626" s="79">
        <f>IF('Ordenes_Odoo'!I626="","",'Ordenes_Odoo'!I626)</f>
        <v/>
      </c>
      <c r="J626" s="79">
        <f>IF('Ordenes_Odoo'!J626="","",'Ordenes_Odoo'!J626)</f>
        <v/>
      </c>
      <c r="K626" s="81">
        <f>IF('Ordenes_Odoo'!K626="","",'Ordenes_Odoo'!K626)</f>
        <v/>
      </c>
      <c r="L626" s="81">
        <f>IF('Ordenes_Odoo'!L626="","",'Ordenes_Odoo'!L626)</f>
        <v/>
      </c>
      <c r="M626" s="79">
        <f>IF('Ordenes_Odoo'!M626="","",'Ordenes_Odoo'!M626)</f>
        <v/>
      </c>
      <c r="N626" s="79">
        <f>IF('Ordenes_Odoo'!N626="","",'Ordenes_Odoo'!N626)</f>
        <v/>
      </c>
      <c r="O626" s="81">
        <f>IF('Ordenes_Odoo'!O626="","",'Ordenes_Odoo'!O626)</f>
        <v/>
      </c>
      <c r="P626" s="81">
        <f>IF('Ordenes_Odoo'!P626="","",'Ordenes_Odoo'!P626)</f>
        <v/>
      </c>
      <c r="Q626" s="79">
        <f>IF(A626="","",IFERROR(INDEX(Facturas_Odoo!$B:$B, MATCH(A626, Facturas_Odoo!$D:$D, 0)), "Sin Factura"))</f>
        <v/>
      </c>
      <c r="R626" s="80">
        <f>IF(Q626="Sin Factura","",IFERROR(INDEX(Facturas_Odoo!$A:$A, MATCH(Q626, Facturas_Odoo!$B:$B, 0)), ""))</f>
        <v/>
      </c>
      <c r="S626" s="79">
        <f>IF(Q626="Sin Factura","",IFERROR(_xlfn.XLOOKUP(1, (Facturas_Odoo!$D:$D=A626) * (Facturas_Odoo!$K:$K=I626), Facturas_Odoo!$L:$L, ""), ""))</f>
        <v/>
      </c>
      <c r="T626" s="81">
        <f>IF(Q626="Sin Factura",0,IFERROR(_xlfn.XLOOKUP(1, (Facturas_Odoo!$D:$D=A626) * (Facturas_Odoo!$K:$K=I626), Facturas_Odoo!$M:$M, 0), 0))</f>
        <v/>
      </c>
      <c r="U626" s="79">
        <f>IF(Q626="Sin Factura",0,IFERROR(_xlfn.XLOOKUP(1, (Facturas_Odoo!$D:$D=A626) * (Facturas_Odoo!$K:$K=I626), Facturas_Odoo!$N:$N, 0), 0))</f>
        <v/>
      </c>
      <c r="V626" s="79">
        <f>IF(Q626="Sin Factura",0,IFERROR(_xlfn.XLOOKUP(1, (Facturas_Odoo!$D:$D=A626) * (Facturas_Odoo!$K:$K=I626), Facturas_Odoo!$O:$O, 0), 0))</f>
        <v/>
      </c>
      <c r="W626" s="81">
        <f>IF(Q626="Sin Factura",0,IFERROR(_xlfn.XLOOKUP(1, (Facturas_Odoo!$D:$D=A626) * (Facturas_Odoo!$K:$K=I626), Facturas_Odoo!$Q:$Q, 0), 0))</f>
        <v/>
      </c>
      <c r="X626" s="79">
        <f>IF(OR(Q626="Sin Factura",Q626=""),"",IFERROR(INDEX(Pagos_Odoo!$B:$B, MATCH(Q626, Pagos_Odoo!$I:$I, 0)), "Sin Pago"))</f>
        <v/>
      </c>
      <c r="Y626" s="79">
        <f>IF(X626="Sin Pago","",IFERROR(INDEX(Pagos_Odoo!$C:$C, MATCH(X626, Pagos_Odoo!$B:$B, 0)), ""))</f>
        <v/>
      </c>
      <c r="Z626" s="80">
        <f>IF(X626="Sin Pago","",IFERROR(INDEX(Pagos_Odoo!$A:$A, MATCH(X626, Pagos_Odoo!$B:$B, 0)), ""))</f>
        <v/>
      </c>
      <c r="AA626" s="79">
        <f>IF(X626="Sin Pago","",IFERROR(INDEX(Pagos_Odoo!$F:$F, MATCH(X626, Pagos_Odoo!$B:$B, 0)), ""))</f>
        <v/>
      </c>
      <c r="AB626" s="81">
        <f>IF(X626="Sin Pago",0,IFERROR(INDEX(Pagos_Odoo!$E:$E, MATCH(X626, Pagos_Odoo!$B:$B, 0)), 0))</f>
        <v/>
      </c>
      <c r="AC626" s="79">
        <f>IF(X626="Sin Pago","",IFERROR(INDEX(Pagos_Odoo!$G:$G, MATCH(X626, Pagos_Odoo!$B:$B, 0)), ""))</f>
        <v/>
      </c>
      <c r="AD626" s="82" t="n">
        <v>0</v>
      </c>
      <c r="AE626" s="82" t="n"/>
      <c r="AF626" s="82" t="n"/>
      <c r="AG626" s="82">
        <f>IF(AN626="","",AD626+AE626+AF626)</f>
        <v/>
      </c>
      <c r="AH626" s="81">
        <f>IF(AN626="","",P626*(1-AG626))</f>
        <v/>
      </c>
      <c r="AI626" s="81">
        <f>IF(AN626="","",IF(Q626="Sin Factura",0,IFERROR(INDEX(Facturas_Odoo!$H:$H, MATCH(Q626, Facturas_Odoo!$B:$B, 0)), 0)*(1-AG626)))</f>
        <v/>
      </c>
      <c r="AJ626" s="81">
        <f>IF(AN626="","",_xlfn.LET(idVenta, AN626&amp;"",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26" s="81">
        <f>IF(AN626="","",AH626-AJ626)</f>
        <v/>
      </c>
      <c r="AL626" s="81">
        <f>IF(AN626="","",IF(Q626="Sin Factura","",AI626-AJ626))</f>
        <v/>
      </c>
      <c r="AM626" s="81">
        <f>IF(AN626="","",IF(Q626="Sin Factura",0,P626-IFERROR(INDEX(Facturas_Odoo!$H:$H, MATCH(Q626, Facturas_Odoo!$B:$B, 0)), 0)))</f>
        <v/>
      </c>
      <c r="AN626" s="79">
        <f>IF(AND(A626="", J626=""), "", IF(A626&lt;&gt;"", VALUE(MID(A626,2,LEN(A626))), AN625))</f>
        <v/>
      </c>
      <c r="AO626" s="79">
        <f>IF(AN626="","",IF(AD626=0,"OK",_xlfn.LET(monedaPago, IF(AA626="","USD",AA626), limitePermitido, IFERROR(VLOOKUP(monedaPago, Configuración!$A$2:$B$3, 2, FALSE), 0.15), IF(AD626&gt;limitePermitido, "ALERTA: EXCESO (" &amp; TEXT(limitePermitido, "0%") &amp; " máx)", "OK"))))</f>
        <v/>
      </c>
      <c r="AP626" s="79">
        <f>IF(AN626="","",IF(AE626=0,"OK",_xlfn.LET(fechaPago, Z626, fechaFactura, R626, diasCredito, IF(E626="Pago inmediato", 0, IFERROR(VALUE(MID(E626, 1, SEARCH(" ", E626)-1)),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26" s="79">
        <f>IF(AN626="","",IF(AND(N626&gt;0, AG626&gt;0), IF(Configuración!$K$2="NO", "ALERTA: DESCUENTO DOBLE NO PERMITIDO", "OK"), "OK"))</f>
        <v/>
      </c>
      <c r="AR626" s="79">
        <f>IF(AN626="","",IF(OR(AO626&lt;&gt;"OK", AP626&lt;&gt;"OK", AQ626&lt;&gt;"OK"), "⚠️ REVISAR", "OK"))</f>
        <v/>
      </c>
    </row>
    <row r="627">
      <c r="A627" s="79">
        <f>IF('Ordenes_Odoo'!A627="","",'Ordenes_Odoo'!A627)</f>
        <v/>
      </c>
      <c r="B627" s="80">
        <f>IF('Ordenes_Odoo'!B627="","",'Ordenes_Odoo'!B627)</f>
        <v/>
      </c>
      <c r="C627" s="79">
        <f>IF('Ordenes_Odoo'!C627="","",'Ordenes_Odoo'!C627)</f>
        <v/>
      </c>
      <c r="D627" s="79">
        <f>IF('Ordenes_Odoo'!D627="","",'Ordenes_Odoo'!D627)</f>
        <v/>
      </c>
      <c r="E627" s="79">
        <f>IF('Ordenes_Odoo'!E627="","",'Ordenes_Odoo'!E627)</f>
        <v/>
      </c>
      <c r="F627" s="79">
        <f>IF('Ordenes_Odoo'!F627="","",'Ordenes_Odoo'!F627)</f>
        <v/>
      </c>
      <c r="G627" s="79">
        <f>IF('Ordenes_Odoo'!G627="","",'Ordenes_Odoo'!G627)</f>
        <v/>
      </c>
      <c r="H627" s="79">
        <f>IF('Ordenes_Odoo'!H627="","",'Ordenes_Odoo'!H627)</f>
        <v/>
      </c>
      <c r="I627" s="79">
        <f>IF('Ordenes_Odoo'!I627="","",'Ordenes_Odoo'!I627)</f>
        <v/>
      </c>
      <c r="J627" s="79">
        <f>IF('Ordenes_Odoo'!J627="","",'Ordenes_Odoo'!J627)</f>
        <v/>
      </c>
      <c r="K627" s="81">
        <f>IF('Ordenes_Odoo'!K627="","",'Ordenes_Odoo'!K627)</f>
        <v/>
      </c>
      <c r="L627" s="81">
        <f>IF('Ordenes_Odoo'!L627="","",'Ordenes_Odoo'!L627)</f>
        <v/>
      </c>
      <c r="M627" s="79">
        <f>IF('Ordenes_Odoo'!M627="","",'Ordenes_Odoo'!M627)</f>
        <v/>
      </c>
      <c r="N627" s="79">
        <f>IF('Ordenes_Odoo'!N627="","",'Ordenes_Odoo'!N627)</f>
        <v/>
      </c>
      <c r="O627" s="81">
        <f>IF('Ordenes_Odoo'!O627="","",'Ordenes_Odoo'!O627)</f>
        <v/>
      </c>
      <c r="P627" s="81">
        <f>IF('Ordenes_Odoo'!P627="","",'Ordenes_Odoo'!P627)</f>
        <v/>
      </c>
      <c r="Q627" s="79">
        <f>IF(A627="","",IFERROR(INDEX(Facturas_Odoo!$B:$B, MATCH(A627, Facturas_Odoo!$D:$D, 0)), "Sin Factura"))</f>
        <v/>
      </c>
      <c r="R627" s="80">
        <f>IF(Q627="Sin Factura","",IFERROR(INDEX(Facturas_Odoo!$A:$A, MATCH(Q627, Facturas_Odoo!$B:$B, 0)), ""))</f>
        <v/>
      </c>
      <c r="S627" s="79">
        <f>IF(Q627="Sin Factura","",IFERROR(_xlfn.XLOOKUP(1, (Facturas_Odoo!$D:$D=A627) * (Facturas_Odoo!$K:$K=I627), Facturas_Odoo!$L:$L, ""), ""))</f>
        <v/>
      </c>
      <c r="T627" s="81">
        <f>IF(Q627="Sin Factura",0,IFERROR(_xlfn.XLOOKUP(1, (Facturas_Odoo!$D:$D=A627) * (Facturas_Odoo!$K:$K=I627), Facturas_Odoo!$M:$M, 0), 0))</f>
        <v/>
      </c>
      <c r="U627" s="79">
        <f>IF(Q627="Sin Factura",0,IFERROR(_xlfn.XLOOKUP(1, (Facturas_Odoo!$D:$D=A627) * (Facturas_Odoo!$K:$K=I627), Facturas_Odoo!$N:$N, 0), 0))</f>
        <v/>
      </c>
      <c r="V627" s="79">
        <f>IF(Q627="Sin Factura",0,IFERROR(_xlfn.XLOOKUP(1, (Facturas_Odoo!$D:$D=A627) * (Facturas_Odoo!$K:$K=I627), Facturas_Odoo!$O:$O, 0), 0))</f>
        <v/>
      </c>
      <c r="W627" s="81">
        <f>IF(Q627="Sin Factura",0,IFERROR(_xlfn.XLOOKUP(1, (Facturas_Odoo!$D:$D=A627) * (Facturas_Odoo!$K:$K=I627), Facturas_Odoo!$Q:$Q, 0), 0))</f>
        <v/>
      </c>
      <c r="X627" s="79">
        <f>IF(OR(Q627="Sin Factura",Q627=""),"",IFERROR(INDEX(Pagos_Odoo!$B:$B, MATCH(Q627, Pagos_Odoo!$I:$I, 0)), "Sin Pago"))</f>
        <v/>
      </c>
      <c r="Y627" s="79">
        <f>IF(X627="Sin Pago","",IFERROR(INDEX(Pagos_Odoo!$C:$C, MATCH(X627, Pagos_Odoo!$B:$B, 0)), ""))</f>
        <v/>
      </c>
      <c r="Z627" s="80">
        <f>IF(X627="Sin Pago","",IFERROR(INDEX(Pagos_Odoo!$A:$A, MATCH(X627, Pagos_Odoo!$B:$B, 0)), ""))</f>
        <v/>
      </c>
      <c r="AA627" s="79">
        <f>IF(X627="Sin Pago","",IFERROR(INDEX(Pagos_Odoo!$F:$F, MATCH(X627, Pagos_Odoo!$B:$B, 0)), ""))</f>
        <v/>
      </c>
      <c r="AB627" s="81">
        <f>IF(X627="Sin Pago",0,IFERROR(INDEX(Pagos_Odoo!$E:$E, MATCH(X627, Pagos_Odoo!$B:$B, 0)), 0))</f>
        <v/>
      </c>
      <c r="AC627" s="79">
        <f>IF(X627="Sin Pago","",IFERROR(INDEX(Pagos_Odoo!$G:$G, MATCH(X627, Pagos_Odoo!$B:$B, 0)), ""))</f>
        <v/>
      </c>
      <c r="AD627" s="82" t="n">
        <v>0</v>
      </c>
      <c r="AE627" s="82" t="n"/>
      <c r="AF627" s="82" t="n"/>
      <c r="AG627" s="82">
        <f>IF(AN627="","",AD627+AE627+AF627)</f>
        <v/>
      </c>
      <c r="AH627" s="81">
        <f>IF(AN627="","",P627*(1-AG627))</f>
        <v/>
      </c>
      <c r="AI627" s="81">
        <f>IF(AN627="","",IF(Q627="Sin Factura",0,IFERROR(INDEX(Facturas_Odoo!$H:$H, MATCH(Q627, Facturas_Odoo!$B:$B, 0)), 0)*(1-AG627)))</f>
        <v/>
      </c>
      <c r="AJ627" s="81">
        <f>IF(AN627="","",_xlfn.LET(idVenta, AN627&amp;"",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27" s="81">
        <f>IF(AN627="","",AH627-AJ627)</f>
        <v/>
      </c>
      <c r="AL627" s="81">
        <f>IF(AN627="","",IF(Q627="Sin Factura","",AI627-AJ627))</f>
        <v/>
      </c>
      <c r="AM627" s="81">
        <f>IF(AN627="","",IF(Q627="Sin Factura",0,P627-IFERROR(INDEX(Facturas_Odoo!$H:$H, MATCH(Q627, Facturas_Odoo!$B:$B, 0)), 0)))</f>
        <v/>
      </c>
      <c r="AN627" s="79">
        <f>IF(AND(A627="", J627=""), "", IF(A627&lt;&gt;"", VALUE(MID(A627,2,LEN(A627))), AN626))</f>
        <v/>
      </c>
      <c r="AO627" s="79">
        <f>IF(AN627="","",IF(AD627=0,"OK",_xlfn.LET(monedaPago, IF(AA627="","USD",AA627), limitePermitido, IFERROR(VLOOKUP(monedaPago, Configuración!$A$2:$B$3, 2, FALSE), 0.15), IF(AD627&gt;limitePermitido, "ALERTA: EXCESO (" &amp; TEXT(limitePermitido, "0%") &amp; " máx)", "OK"))))</f>
        <v/>
      </c>
      <c r="AP627" s="79">
        <f>IF(AN627="","",IF(AE627=0,"OK",_xlfn.LET(fechaPago, Z627, fechaFactura, R627, diasCredito, IF(E627="Pago inmediato", 0, IFERROR(VALUE(MID(E627, 1, SEARCH(" ", E627)-1)),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27" s="79">
        <f>IF(AN627="","",IF(AND(N627&gt;0, AG627&gt;0), IF(Configuración!$K$2="NO", "ALERTA: DESCUENTO DOBLE NO PERMITIDO", "OK"), "OK"))</f>
        <v/>
      </c>
      <c r="AR627" s="79">
        <f>IF(AN627="","",IF(OR(AO627&lt;&gt;"OK", AP627&lt;&gt;"OK", AQ627&lt;&gt;"OK"), "⚠️ REVISAR", "OK"))</f>
        <v/>
      </c>
    </row>
    <row r="628">
      <c r="A628" s="79">
        <f>IF('Ordenes_Odoo'!A628="","",'Ordenes_Odoo'!A628)</f>
        <v/>
      </c>
      <c r="B628" s="80">
        <f>IF('Ordenes_Odoo'!B628="","",'Ordenes_Odoo'!B628)</f>
        <v/>
      </c>
      <c r="C628" s="79">
        <f>IF('Ordenes_Odoo'!C628="","",'Ordenes_Odoo'!C628)</f>
        <v/>
      </c>
      <c r="D628" s="79">
        <f>IF('Ordenes_Odoo'!D628="","",'Ordenes_Odoo'!D628)</f>
        <v/>
      </c>
      <c r="E628" s="79">
        <f>IF('Ordenes_Odoo'!E628="","",'Ordenes_Odoo'!E628)</f>
        <v/>
      </c>
      <c r="F628" s="79">
        <f>IF('Ordenes_Odoo'!F628="","",'Ordenes_Odoo'!F628)</f>
        <v/>
      </c>
      <c r="G628" s="79">
        <f>IF('Ordenes_Odoo'!G628="","",'Ordenes_Odoo'!G628)</f>
        <v/>
      </c>
      <c r="H628" s="79">
        <f>IF('Ordenes_Odoo'!H628="","",'Ordenes_Odoo'!H628)</f>
        <v/>
      </c>
      <c r="I628" s="79">
        <f>IF('Ordenes_Odoo'!I628="","",'Ordenes_Odoo'!I628)</f>
        <v/>
      </c>
      <c r="J628" s="79">
        <f>IF('Ordenes_Odoo'!J628="","",'Ordenes_Odoo'!J628)</f>
        <v/>
      </c>
      <c r="K628" s="81">
        <f>IF('Ordenes_Odoo'!K628="","",'Ordenes_Odoo'!K628)</f>
        <v/>
      </c>
      <c r="L628" s="81">
        <f>IF('Ordenes_Odoo'!L628="","",'Ordenes_Odoo'!L628)</f>
        <v/>
      </c>
      <c r="M628" s="79">
        <f>IF('Ordenes_Odoo'!M628="","",'Ordenes_Odoo'!M628)</f>
        <v/>
      </c>
      <c r="N628" s="79">
        <f>IF('Ordenes_Odoo'!N628="","",'Ordenes_Odoo'!N628)</f>
        <v/>
      </c>
      <c r="O628" s="81">
        <f>IF('Ordenes_Odoo'!O628="","",'Ordenes_Odoo'!O628)</f>
        <v/>
      </c>
      <c r="P628" s="81">
        <f>IF('Ordenes_Odoo'!P628="","",'Ordenes_Odoo'!P628)</f>
        <v/>
      </c>
      <c r="Q628" s="79">
        <f>IF(A628="","",IFERROR(INDEX(Facturas_Odoo!$B:$B, MATCH(A628, Facturas_Odoo!$D:$D, 0)), "Sin Factura"))</f>
        <v/>
      </c>
      <c r="R628" s="80">
        <f>IF(Q628="Sin Factura","",IFERROR(INDEX(Facturas_Odoo!$A:$A, MATCH(Q628, Facturas_Odoo!$B:$B, 0)), ""))</f>
        <v/>
      </c>
      <c r="S628" s="79">
        <f>IF(Q628="Sin Factura","",IFERROR(_xlfn.XLOOKUP(1, (Facturas_Odoo!$D:$D=A628) * (Facturas_Odoo!$K:$K=I628), Facturas_Odoo!$L:$L, ""), ""))</f>
        <v/>
      </c>
      <c r="T628" s="81">
        <f>IF(Q628="Sin Factura",0,IFERROR(_xlfn.XLOOKUP(1, (Facturas_Odoo!$D:$D=A628) * (Facturas_Odoo!$K:$K=I628), Facturas_Odoo!$M:$M, 0), 0))</f>
        <v/>
      </c>
      <c r="U628" s="79">
        <f>IF(Q628="Sin Factura",0,IFERROR(_xlfn.XLOOKUP(1, (Facturas_Odoo!$D:$D=A628) * (Facturas_Odoo!$K:$K=I628), Facturas_Odoo!$N:$N, 0), 0))</f>
        <v/>
      </c>
      <c r="V628" s="79">
        <f>IF(Q628="Sin Factura",0,IFERROR(_xlfn.XLOOKUP(1, (Facturas_Odoo!$D:$D=A628) * (Facturas_Odoo!$K:$K=I628), Facturas_Odoo!$O:$O, 0), 0))</f>
        <v/>
      </c>
      <c r="W628" s="81">
        <f>IF(Q628="Sin Factura",0,IFERROR(_xlfn.XLOOKUP(1, (Facturas_Odoo!$D:$D=A628) * (Facturas_Odoo!$K:$K=I628), Facturas_Odoo!$Q:$Q, 0), 0))</f>
        <v/>
      </c>
      <c r="X628" s="79">
        <f>IF(OR(Q628="Sin Factura",Q628=""),"",IFERROR(INDEX(Pagos_Odoo!$B:$B, MATCH(Q628, Pagos_Odoo!$I:$I, 0)), "Sin Pago"))</f>
        <v/>
      </c>
      <c r="Y628" s="79">
        <f>IF(X628="Sin Pago","",IFERROR(INDEX(Pagos_Odoo!$C:$C, MATCH(X628, Pagos_Odoo!$B:$B, 0)), ""))</f>
        <v/>
      </c>
      <c r="Z628" s="80">
        <f>IF(X628="Sin Pago","",IFERROR(INDEX(Pagos_Odoo!$A:$A, MATCH(X628, Pagos_Odoo!$B:$B, 0)), ""))</f>
        <v/>
      </c>
      <c r="AA628" s="79">
        <f>IF(X628="Sin Pago","",IFERROR(INDEX(Pagos_Odoo!$F:$F, MATCH(X628, Pagos_Odoo!$B:$B, 0)), ""))</f>
        <v/>
      </c>
      <c r="AB628" s="81">
        <f>IF(X628="Sin Pago",0,IFERROR(INDEX(Pagos_Odoo!$E:$E, MATCH(X628, Pagos_Odoo!$B:$B, 0)), 0))</f>
        <v/>
      </c>
      <c r="AC628" s="79">
        <f>IF(X628="Sin Pago","",IFERROR(INDEX(Pagos_Odoo!$G:$G, MATCH(X628, Pagos_Odoo!$B:$B, 0)), ""))</f>
        <v/>
      </c>
      <c r="AD628" s="82" t="n">
        <v>0</v>
      </c>
      <c r="AE628" s="82" t="n"/>
      <c r="AF628" s="82" t="n"/>
      <c r="AG628" s="82">
        <f>IF(AN628="","",AD628+AE628+AF628)</f>
        <v/>
      </c>
      <c r="AH628" s="81">
        <f>IF(AN628="","",P628*(1-AG628))</f>
        <v/>
      </c>
      <c r="AI628" s="81">
        <f>IF(AN628="","",IF(Q628="Sin Factura",0,IFERROR(INDEX(Facturas_Odoo!$H:$H, MATCH(Q628, Facturas_Odoo!$B:$B, 0)), 0)*(1-AG628)))</f>
        <v/>
      </c>
      <c r="AJ628" s="81">
        <f>IF(AN628="","",_xlfn.LET(idVenta, AN628&amp;"",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28" s="81">
        <f>IF(AN628="","",AH628-AJ628)</f>
        <v/>
      </c>
      <c r="AL628" s="81">
        <f>IF(AN628="","",IF(Q628="Sin Factura","",AI628-AJ628))</f>
        <v/>
      </c>
      <c r="AM628" s="81">
        <f>IF(AN628="","",IF(Q628="Sin Factura",0,P628-IFERROR(INDEX(Facturas_Odoo!$H:$H, MATCH(Q628, Facturas_Odoo!$B:$B, 0)), 0)))</f>
        <v/>
      </c>
      <c r="AN628" s="79">
        <f>IF(AND(A628="", J628=""), "", IF(A628&lt;&gt;"", VALUE(MID(A628,2,LEN(A628))), AN627))</f>
        <v/>
      </c>
      <c r="AO628" s="79">
        <f>IF(AN628="","",IF(AD628=0,"OK",_xlfn.LET(monedaPago, IF(AA628="","USD",AA628), limitePermitido, IFERROR(VLOOKUP(monedaPago, Configuración!$A$2:$B$3, 2, FALSE), 0.15), IF(AD628&gt;limitePermitido, "ALERTA: EXCESO (" &amp; TEXT(limitePermitido, "0%") &amp; " máx)", "OK"))))</f>
        <v/>
      </c>
      <c r="AP628" s="79">
        <f>IF(AN628="","",IF(AE628=0,"OK",_xlfn.LET(fechaPago, Z628, fechaFactura, R628, diasCredito, IF(E628="Pago inmediato", 0, IFERROR(VALUE(MID(E628, 1, SEARCH(" ", E628)-1)),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28" s="79">
        <f>IF(AN628="","",IF(AND(N628&gt;0, AG628&gt;0), IF(Configuración!$K$2="NO", "ALERTA: DESCUENTO DOBLE NO PERMITIDO", "OK"), "OK"))</f>
        <v/>
      </c>
      <c r="AR628" s="79">
        <f>IF(AN628="","",IF(OR(AO628&lt;&gt;"OK", AP628&lt;&gt;"OK", AQ628&lt;&gt;"OK"), "⚠️ REVISAR", "OK"))</f>
        <v/>
      </c>
    </row>
    <row r="629">
      <c r="A629" s="79">
        <f>IF('Ordenes_Odoo'!A629="","",'Ordenes_Odoo'!A629)</f>
        <v/>
      </c>
      <c r="B629" s="80">
        <f>IF('Ordenes_Odoo'!B629="","",'Ordenes_Odoo'!B629)</f>
        <v/>
      </c>
      <c r="C629" s="79">
        <f>IF('Ordenes_Odoo'!C629="","",'Ordenes_Odoo'!C629)</f>
        <v/>
      </c>
      <c r="D629" s="79">
        <f>IF('Ordenes_Odoo'!D629="","",'Ordenes_Odoo'!D629)</f>
        <v/>
      </c>
      <c r="E629" s="79">
        <f>IF('Ordenes_Odoo'!E629="","",'Ordenes_Odoo'!E629)</f>
        <v/>
      </c>
      <c r="F629" s="79">
        <f>IF('Ordenes_Odoo'!F629="","",'Ordenes_Odoo'!F629)</f>
        <v/>
      </c>
      <c r="G629" s="79">
        <f>IF('Ordenes_Odoo'!G629="","",'Ordenes_Odoo'!G629)</f>
        <v/>
      </c>
      <c r="H629" s="79">
        <f>IF('Ordenes_Odoo'!H629="","",'Ordenes_Odoo'!H629)</f>
        <v/>
      </c>
      <c r="I629" s="79">
        <f>IF('Ordenes_Odoo'!I629="","",'Ordenes_Odoo'!I629)</f>
        <v/>
      </c>
      <c r="J629" s="79">
        <f>IF('Ordenes_Odoo'!J629="","",'Ordenes_Odoo'!J629)</f>
        <v/>
      </c>
      <c r="K629" s="81">
        <f>IF('Ordenes_Odoo'!K629="","",'Ordenes_Odoo'!K629)</f>
        <v/>
      </c>
      <c r="L629" s="81">
        <f>IF('Ordenes_Odoo'!L629="","",'Ordenes_Odoo'!L629)</f>
        <v/>
      </c>
      <c r="M629" s="79">
        <f>IF('Ordenes_Odoo'!M629="","",'Ordenes_Odoo'!M629)</f>
        <v/>
      </c>
      <c r="N629" s="79">
        <f>IF('Ordenes_Odoo'!N629="","",'Ordenes_Odoo'!N629)</f>
        <v/>
      </c>
      <c r="O629" s="81">
        <f>IF('Ordenes_Odoo'!O629="","",'Ordenes_Odoo'!O629)</f>
        <v/>
      </c>
      <c r="P629" s="81">
        <f>IF('Ordenes_Odoo'!P629="","",'Ordenes_Odoo'!P629)</f>
        <v/>
      </c>
      <c r="Q629" s="79">
        <f>IF(A629="","",IFERROR(INDEX(Facturas_Odoo!$B:$B, MATCH(A629, Facturas_Odoo!$D:$D, 0)), "Sin Factura"))</f>
        <v/>
      </c>
      <c r="R629" s="80">
        <f>IF(Q629="Sin Factura","",IFERROR(INDEX(Facturas_Odoo!$A:$A, MATCH(Q629, Facturas_Odoo!$B:$B, 0)), ""))</f>
        <v/>
      </c>
      <c r="S629" s="79">
        <f>IF(Q629="Sin Factura","",IFERROR(_xlfn.XLOOKUP(1, (Facturas_Odoo!$D:$D=A629) * (Facturas_Odoo!$K:$K=I629), Facturas_Odoo!$L:$L, ""), ""))</f>
        <v/>
      </c>
      <c r="T629" s="81">
        <f>IF(Q629="Sin Factura",0,IFERROR(_xlfn.XLOOKUP(1, (Facturas_Odoo!$D:$D=A629) * (Facturas_Odoo!$K:$K=I629), Facturas_Odoo!$M:$M, 0), 0))</f>
        <v/>
      </c>
      <c r="U629" s="79">
        <f>IF(Q629="Sin Factura",0,IFERROR(_xlfn.XLOOKUP(1, (Facturas_Odoo!$D:$D=A629) * (Facturas_Odoo!$K:$K=I629), Facturas_Odoo!$N:$N, 0), 0))</f>
        <v/>
      </c>
      <c r="V629" s="79">
        <f>IF(Q629="Sin Factura",0,IFERROR(_xlfn.XLOOKUP(1, (Facturas_Odoo!$D:$D=A629) * (Facturas_Odoo!$K:$K=I629), Facturas_Odoo!$O:$O, 0), 0))</f>
        <v/>
      </c>
      <c r="W629" s="81">
        <f>IF(Q629="Sin Factura",0,IFERROR(_xlfn.XLOOKUP(1, (Facturas_Odoo!$D:$D=A629) * (Facturas_Odoo!$K:$K=I629), Facturas_Odoo!$Q:$Q, 0), 0))</f>
        <v/>
      </c>
      <c r="X629" s="79">
        <f>IF(OR(Q629="Sin Factura",Q629=""),"",IFERROR(INDEX(Pagos_Odoo!$B:$B, MATCH(Q629, Pagos_Odoo!$I:$I, 0)), "Sin Pago"))</f>
        <v/>
      </c>
      <c r="Y629" s="79">
        <f>IF(X629="Sin Pago","",IFERROR(INDEX(Pagos_Odoo!$C:$C, MATCH(X629, Pagos_Odoo!$B:$B, 0)), ""))</f>
        <v/>
      </c>
      <c r="Z629" s="80">
        <f>IF(X629="Sin Pago","",IFERROR(INDEX(Pagos_Odoo!$A:$A, MATCH(X629, Pagos_Odoo!$B:$B, 0)), ""))</f>
        <v/>
      </c>
      <c r="AA629" s="79">
        <f>IF(X629="Sin Pago","",IFERROR(INDEX(Pagos_Odoo!$F:$F, MATCH(X629, Pagos_Odoo!$B:$B, 0)), ""))</f>
        <v/>
      </c>
      <c r="AB629" s="81">
        <f>IF(X629="Sin Pago",0,IFERROR(INDEX(Pagos_Odoo!$E:$E, MATCH(X629, Pagos_Odoo!$B:$B, 0)), 0))</f>
        <v/>
      </c>
      <c r="AC629" s="79">
        <f>IF(X629="Sin Pago","",IFERROR(INDEX(Pagos_Odoo!$G:$G, MATCH(X629, Pagos_Odoo!$B:$B, 0)), ""))</f>
        <v/>
      </c>
      <c r="AD629" s="82" t="n">
        <v>0</v>
      </c>
      <c r="AE629" s="82" t="n"/>
      <c r="AF629" s="82" t="n"/>
      <c r="AG629" s="82">
        <f>IF(AN629="","",AD629+AE629+AF629)</f>
        <v/>
      </c>
      <c r="AH629" s="81">
        <f>IF(AN629="","",P629*(1-AG629))</f>
        <v/>
      </c>
      <c r="AI629" s="81">
        <f>IF(AN629="","",IF(Q629="Sin Factura",0,IFERROR(INDEX(Facturas_Odoo!$H:$H, MATCH(Q629, Facturas_Odoo!$B:$B, 0)), 0)*(1-AG629)))</f>
        <v/>
      </c>
      <c r="AJ629" s="81">
        <f>IF(AN629="","",_xlfn.LET(idVenta, AN629&amp;"",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29" s="81">
        <f>IF(AN629="","",AH629-AJ629)</f>
        <v/>
      </c>
      <c r="AL629" s="81">
        <f>IF(AN629="","",IF(Q629="Sin Factura","",AI629-AJ629))</f>
        <v/>
      </c>
      <c r="AM629" s="81">
        <f>IF(AN629="","",IF(Q629="Sin Factura",0,P629-IFERROR(INDEX(Facturas_Odoo!$H:$H, MATCH(Q629, Facturas_Odoo!$B:$B, 0)), 0)))</f>
        <v/>
      </c>
      <c r="AN629" s="79">
        <f>IF(AND(A629="", J629=""), "", IF(A629&lt;&gt;"", VALUE(MID(A629,2,LEN(A629))), AN628))</f>
        <v/>
      </c>
      <c r="AO629" s="79">
        <f>IF(AN629="","",IF(AD629=0,"OK",_xlfn.LET(monedaPago, IF(AA629="","USD",AA629), limitePermitido, IFERROR(VLOOKUP(monedaPago, Configuración!$A$2:$B$3, 2, FALSE), 0.15), IF(AD629&gt;limitePermitido, "ALERTA: EXCESO (" &amp; TEXT(limitePermitido, "0%") &amp; " máx)", "OK"))))</f>
        <v/>
      </c>
      <c r="AP629" s="79">
        <f>IF(AN629="","",IF(AE629=0,"OK",_xlfn.LET(fechaPago, Z629, fechaFactura, R629, diasCredito, IF(E629="Pago inmediato", 0, IFERROR(VALUE(MID(E629, 1, SEARCH(" ", E629)-1)),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29" s="79">
        <f>IF(AN629="","",IF(AND(N629&gt;0, AG629&gt;0), IF(Configuración!$K$2="NO", "ALERTA: DESCUENTO DOBLE NO PERMITIDO", "OK"), "OK"))</f>
        <v/>
      </c>
      <c r="AR629" s="79">
        <f>IF(AN629="","",IF(OR(AO629&lt;&gt;"OK", AP629&lt;&gt;"OK", AQ629&lt;&gt;"OK"), "⚠️ REVISAR", "OK"))</f>
        <v/>
      </c>
    </row>
    <row r="630">
      <c r="A630" s="79">
        <f>IF('Ordenes_Odoo'!A630="","",'Ordenes_Odoo'!A630)</f>
        <v/>
      </c>
      <c r="B630" s="80">
        <f>IF('Ordenes_Odoo'!B630="","",'Ordenes_Odoo'!B630)</f>
        <v/>
      </c>
      <c r="C630" s="79">
        <f>IF('Ordenes_Odoo'!C630="","",'Ordenes_Odoo'!C630)</f>
        <v/>
      </c>
      <c r="D630" s="79">
        <f>IF('Ordenes_Odoo'!D630="","",'Ordenes_Odoo'!D630)</f>
        <v/>
      </c>
      <c r="E630" s="79">
        <f>IF('Ordenes_Odoo'!E630="","",'Ordenes_Odoo'!E630)</f>
        <v/>
      </c>
      <c r="F630" s="79">
        <f>IF('Ordenes_Odoo'!F630="","",'Ordenes_Odoo'!F630)</f>
        <v/>
      </c>
      <c r="G630" s="79">
        <f>IF('Ordenes_Odoo'!G630="","",'Ordenes_Odoo'!G630)</f>
        <v/>
      </c>
      <c r="H630" s="79">
        <f>IF('Ordenes_Odoo'!H630="","",'Ordenes_Odoo'!H630)</f>
        <v/>
      </c>
      <c r="I630" s="79">
        <f>IF('Ordenes_Odoo'!I630="","",'Ordenes_Odoo'!I630)</f>
        <v/>
      </c>
      <c r="J630" s="79">
        <f>IF('Ordenes_Odoo'!J630="","",'Ordenes_Odoo'!J630)</f>
        <v/>
      </c>
      <c r="K630" s="81">
        <f>IF('Ordenes_Odoo'!K630="","",'Ordenes_Odoo'!K630)</f>
        <v/>
      </c>
      <c r="L630" s="81">
        <f>IF('Ordenes_Odoo'!L630="","",'Ordenes_Odoo'!L630)</f>
        <v/>
      </c>
      <c r="M630" s="79">
        <f>IF('Ordenes_Odoo'!M630="","",'Ordenes_Odoo'!M630)</f>
        <v/>
      </c>
      <c r="N630" s="79">
        <f>IF('Ordenes_Odoo'!N630="","",'Ordenes_Odoo'!N630)</f>
        <v/>
      </c>
      <c r="O630" s="81">
        <f>IF('Ordenes_Odoo'!O630="","",'Ordenes_Odoo'!O630)</f>
        <v/>
      </c>
      <c r="P630" s="81">
        <f>IF('Ordenes_Odoo'!P630="","",'Ordenes_Odoo'!P630)</f>
        <v/>
      </c>
      <c r="Q630" s="79">
        <f>IF(A630="","",IFERROR(INDEX(Facturas_Odoo!$B:$B, MATCH(A630, Facturas_Odoo!$D:$D, 0)), "Sin Factura"))</f>
        <v/>
      </c>
      <c r="R630" s="80">
        <f>IF(Q630="Sin Factura","",IFERROR(INDEX(Facturas_Odoo!$A:$A, MATCH(Q630, Facturas_Odoo!$B:$B, 0)), ""))</f>
        <v/>
      </c>
      <c r="S630" s="79">
        <f>IF(Q630="Sin Factura","",IFERROR(_xlfn.XLOOKUP(1, (Facturas_Odoo!$D:$D=A630) * (Facturas_Odoo!$K:$K=I630), Facturas_Odoo!$L:$L, ""), ""))</f>
        <v/>
      </c>
      <c r="T630" s="81">
        <f>IF(Q630="Sin Factura",0,IFERROR(_xlfn.XLOOKUP(1, (Facturas_Odoo!$D:$D=A630) * (Facturas_Odoo!$K:$K=I630), Facturas_Odoo!$M:$M, 0), 0))</f>
        <v/>
      </c>
      <c r="U630" s="79">
        <f>IF(Q630="Sin Factura",0,IFERROR(_xlfn.XLOOKUP(1, (Facturas_Odoo!$D:$D=A630) * (Facturas_Odoo!$K:$K=I630), Facturas_Odoo!$N:$N, 0), 0))</f>
        <v/>
      </c>
      <c r="V630" s="79">
        <f>IF(Q630="Sin Factura",0,IFERROR(_xlfn.XLOOKUP(1, (Facturas_Odoo!$D:$D=A630) * (Facturas_Odoo!$K:$K=I630), Facturas_Odoo!$O:$O, 0), 0))</f>
        <v/>
      </c>
      <c r="W630" s="81">
        <f>IF(Q630="Sin Factura",0,IFERROR(_xlfn.XLOOKUP(1, (Facturas_Odoo!$D:$D=A630) * (Facturas_Odoo!$K:$K=I630), Facturas_Odoo!$Q:$Q, 0), 0))</f>
        <v/>
      </c>
      <c r="X630" s="79">
        <f>IF(OR(Q630="Sin Factura",Q630=""),"",IFERROR(INDEX(Pagos_Odoo!$B:$B, MATCH(Q630, Pagos_Odoo!$I:$I, 0)), "Sin Pago"))</f>
        <v/>
      </c>
      <c r="Y630" s="79">
        <f>IF(X630="Sin Pago","",IFERROR(INDEX(Pagos_Odoo!$C:$C, MATCH(X630, Pagos_Odoo!$B:$B, 0)), ""))</f>
        <v/>
      </c>
      <c r="Z630" s="80">
        <f>IF(X630="Sin Pago","",IFERROR(INDEX(Pagos_Odoo!$A:$A, MATCH(X630, Pagos_Odoo!$B:$B, 0)), ""))</f>
        <v/>
      </c>
      <c r="AA630" s="79">
        <f>IF(X630="Sin Pago","",IFERROR(INDEX(Pagos_Odoo!$F:$F, MATCH(X630, Pagos_Odoo!$B:$B, 0)), ""))</f>
        <v/>
      </c>
      <c r="AB630" s="81">
        <f>IF(X630="Sin Pago",0,IFERROR(INDEX(Pagos_Odoo!$E:$E, MATCH(X630, Pagos_Odoo!$B:$B, 0)), 0))</f>
        <v/>
      </c>
      <c r="AC630" s="79">
        <f>IF(X630="Sin Pago","",IFERROR(INDEX(Pagos_Odoo!$G:$G, MATCH(X630, Pagos_Odoo!$B:$B, 0)), ""))</f>
        <v/>
      </c>
      <c r="AD630" s="82" t="n">
        <v>0</v>
      </c>
      <c r="AE630" s="82" t="n"/>
      <c r="AF630" s="82" t="n"/>
      <c r="AG630" s="82">
        <f>IF(AN630="","",AD630+AE630+AF630)</f>
        <v/>
      </c>
      <c r="AH630" s="81">
        <f>IF(AN630="","",P630*(1-AG630))</f>
        <v/>
      </c>
      <c r="AI630" s="81">
        <f>IF(AN630="","",IF(Q630="Sin Factura",0,IFERROR(INDEX(Facturas_Odoo!$H:$H, MATCH(Q630, Facturas_Odoo!$B:$B, 0)), 0)*(1-AG630)))</f>
        <v/>
      </c>
      <c r="AJ630" s="81">
        <f>IF(AN630="","",_xlfn.LET(idVenta, AN630&amp;"",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30" s="81">
        <f>IF(AN630="","",AH630-AJ630)</f>
        <v/>
      </c>
      <c r="AL630" s="81">
        <f>IF(AN630="","",IF(Q630="Sin Factura","",AI630-AJ630))</f>
        <v/>
      </c>
      <c r="AM630" s="81">
        <f>IF(AN630="","",IF(Q630="Sin Factura",0,P630-IFERROR(INDEX(Facturas_Odoo!$H:$H, MATCH(Q630, Facturas_Odoo!$B:$B, 0)), 0)))</f>
        <v/>
      </c>
      <c r="AN630" s="79">
        <f>IF(AND(A630="", J630=""), "", IF(A630&lt;&gt;"", VALUE(MID(A630,2,LEN(A630))), AN629))</f>
        <v/>
      </c>
      <c r="AO630" s="79">
        <f>IF(AN630="","",IF(AD630=0,"OK",_xlfn.LET(monedaPago, IF(AA630="","USD",AA630), limitePermitido, IFERROR(VLOOKUP(monedaPago, Configuración!$A$2:$B$3, 2, FALSE), 0.15), IF(AD630&gt;limitePermitido, "ALERTA: EXCESO (" &amp; TEXT(limitePermitido, "0%") &amp; " máx)", "OK"))))</f>
        <v/>
      </c>
      <c r="AP630" s="79">
        <f>IF(AN630="","",IF(AE630=0,"OK",_xlfn.LET(fechaPago, Z630, fechaFactura, R630, diasCredito, IF(E630="Pago inmediato", 0, IFERROR(VALUE(MID(E630, 1, SEARCH(" ", E630)-1)),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30" s="79">
        <f>IF(AN630="","",IF(AND(N630&gt;0, AG630&gt;0), IF(Configuración!$K$2="NO", "ALERTA: DESCUENTO DOBLE NO PERMITIDO", "OK"), "OK"))</f>
        <v/>
      </c>
      <c r="AR630" s="79">
        <f>IF(AN630="","",IF(OR(AO630&lt;&gt;"OK", AP630&lt;&gt;"OK", AQ630&lt;&gt;"OK"), "⚠️ REVISAR", "OK"))</f>
        <v/>
      </c>
    </row>
    <row r="631">
      <c r="A631" s="79">
        <f>IF('Ordenes_Odoo'!A631="","",'Ordenes_Odoo'!A631)</f>
        <v/>
      </c>
      <c r="B631" s="80">
        <f>IF('Ordenes_Odoo'!B631="","",'Ordenes_Odoo'!B631)</f>
        <v/>
      </c>
      <c r="C631" s="79">
        <f>IF('Ordenes_Odoo'!C631="","",'Ordenes_Odoo'!C631)</f>
        <v/>
      </c>
      <c r="D631" s="79">
        <f>IF('Ordenes_Odoo'!D631="","",'Ordenes_Odoo'!D631)</f>
        <v/>
      </c>
      <c r="E631" s="79">
        <f>IF('Ordenes_Odoo'!E631="","",'Ordenes_Odoo'!E631)</f>
        <v/>
      </c>
      <c r="F631" s="79">
        <f>IF('Ordenes_Odoo'!F631="","",'Ordenes_Odoo'!F631)</f>
        <v/>
      </c>
      <c r="G631" s="79">
        <f>IF('Ordenes_Odoo'!G631="","",'Ordenes_Odoo'!G631)</f>
        <v/>
      </c>
      <c r="H631" s="79">
        <f>IF('Ordenes_Odoo'!H631="","",'Ordenes_Odoo'!H631)</f>
        <v/>
      </c>
      <c r="I631" s="79">
        <f>IF('Ordenes_Odoo'!I631="","",'Ordenes_Odoo'!I631)</f>
        <v/>
      </c>
      <c r="J631" s="79">
        <f>IF('Ordenes_Odoo'!J631="","",'Ordenes_Odoo'!J631)</f>
        <v/>
      </c>
      <c r="K631" s="81">
        <f>IF('Ordenes_Odoo'!K631="","",'Ordenes_Odoo'!K631)</f>
        <v/>
      </c>
      <c r="L631" s="81">
        <f>IF('Ordenes_Odoo'!L631="","",'Ordenes_Odoo'!L631)</f>
        <v/>
      </c>
      <c r="M631" s="79">
        <f>IF('Ordenes_Odoo'!M631="","",'Ordenes_Odoo'!M631)</f>
        <v/>
      </c>
      <c r="N631" s="79">
        <f>IF('Ordenes_Odoo'!N631="","",'Ordenes_Odoo'!N631)</f>
        <v/>
      </c>
      <c r="O631" s="81">
        <f>IF('Ordenes_Odoo'!O631="","",'Ordenes_Odoo'!O631)</f>
        <v/>
      </c>
      <c r="P631" s="81">
        <f>IF('Ordenes_Odoo'!P631="","",'Ordenes_Odoo'!P631)</f>
        <v/>
      </c>
      <c r="Q631" s="79">
        <f>IF(A631="","",IFERROR(INDEX(Facturas_Odoo!$B:$B, MATCH(A631, Facturas_Odoo!$D:$D, 0)), "Sin Factura"))</f>
        <v/>
      </c>
      <c r="R631" s="80">
        <f>IF(Q631="Sin Factura","",IFERROR(INDEX(Facturas_Odoo!$A:$A, MATCH(Q631, Facturas_Odoo!$B:$B, 0)), ""))</f>
        <v/>
      </c>
      <c r="S631" s="79">
        <f>IF(Q631="Sin Factura","",IFERROR(_xlfn.XLOOKUP(1, (Facturas_Odoo!$D:$D=A631) * (Facturas_Odoo!$K:$K=I631), Facturas_Odoo!$L:$L, ""), ""))</f>
        <v/>
      </c>
      <c r="T631" s="81">
        <f>IF(Q631="Sin Factura",0,IFERROR(_xlfn.XLOOKUP(1, (Facturas_Odoo!$D:$D=A631) * (Facturas_Odoo!$K:$K=I631), Facturas_Odoo!$M:$M, 0), 0))</f>
        <v/>
      </c>
      <c r="U631" s="79">
        <f>IF(Q631="Sin Factura",0,IFERROR(_xlfn.XLOOKUP(1, (Facturas_Odoo!$D:$D=A631) * (Facturas_Odoo!$K:$K=I631), Facturas_Odoo!$N:$N, 0), 0))</f>
        <v/>
      </c>
      <c r="V631" s="79">
        <f>IF(Q631="Sin Factura",0,IFERROR(_xlfn.XLOOKUP(1, (Facturas_Odoo!$D:$D=A631) * (Facturas_Odoo!$K:$K=I631), Facturas_Odoo!$O:$O, 0), 0))</f>
        <v/>
      </c>
      <c r="W631" s="81">
        <f>IF(Q631="Sin Factura",0,IFERROR(_xlfn.XLOOKUP(1, (Facturas_Odoo!$D:$D=A631) * (Facturas_Odoo!$K:$K=I631), Facturas_Odoo!$Q:$Q, 0), 0))</f>
        <v/>
      </c>
      <c r="X631" s="79">
        <f>IF(OR(Q631="Sin Factura",Q631=""),"",IFERROR(INDEX(Pagos_Odoo!$B:$B, MATCH(Q631, Pagos_Odoo!$I:$I, 0)), "Sin Pago"))</f>
        <v/>
      </c>
      <c r="Y631" s="79">
        <f>IF(X631="Sin Pago","",IFERROR(INDEX(Pagos_Odoo!$C:$C, MATCH(X631, Pagos_Odoo!$B:$B, 0)), ""))</f>
        <v/>
      </c>
      <c r="Z631" s="80">
        <f>IF(X631="Sin Pago","",IFERROR(INDEX(Pagos_Odoo!$A:$A, MATCH(X631, Pagos_Odoo!$B:$B, 0)), ""))</f>
        <v/>
      </c>
      <c r="AA631" s="79">
        <f>IF(X631="Sin Pago","",IFERROR(INDEX(Pagos_Odoo!$F:$F, MATCH(X631, Pagos_Odoo!$B:$B, 0)), ""))</f>
        <v/>
      </c>
      <c r="AB631" s="81">
        <f>IF(X631="Sin Pago",0,IFERROR(INDEX(Pagos_Odoo!$E:$E, MATCH(X631, Pagos_Odoo!$B:$B, 0)), 0))</f>
        <v/>
      </c>
      <c r="AC631" s="79">
        <f>IF(X631="Sin Pago","",IFERROR(INDEX(Pagos_Odoo!$G:$G, MATCH(X631, Pagos_Odoo!$B:$B, 0)), ""))</f>
        <v/>
      </c>
      <c r="AD631" s="82" t="n">
        <v>0</v>
      </c>
      <c r="AE631" s="82" t="n"/>
      <c r="AF631" s="82" t="n"/>
      <c r="AG631" s="82">
        <f>IF(AN631="","",AD631+AE631+AF631)</f>
        <v/>
      </c>
      <c r="AH631" s="81">
        <f>IF(AN631="","",P631*(1-AG631))</f>
        <v/>
      </c>
      <c r="AI631" s="81">
        <f>IF(AN631="","",IF(Q631="Sin Factura",0,IFERROR(INDEX(Facturas_Odoo!$H:$H, MATCH(Q631, Facturas_Odoo!$B:$B, 0)), 0)*(1-AG631)))</f>
        <v/>
      </c>
      <c r="AJ631" s="81">
        <f>IF(AN631="","",_xlfn.LET(idVenta, AN631&amp;"",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31" s="81">
        <f>IF(AN631="","",AH631-AJ631)</f>
        <v/>
      </c>
      <c r="AL631" s="81">
        <f>IF(AN631="","",IF(Q631="Sin Factura","",AI631-AJ631))</f>
        <v/>
      </c>
      <c r="AM631" s="81">
        <f>IF(AN631="","",IF(Q631="Sin Factura",0,P631-IFERROR(INDEX(Facturas_Odoo!$H:$H, MATCH(Q631, Facturas_Odoo!$B:$B, 0)), 0)))</f>
        <v/>
      </c>
      <c r="AN631" s="79">
        <f>IF(AND(A631="", J631=""), "", IF(A631&lt;&gt;"", VALUE(MID(A631,2,LEN(A631))), AN630))</f>
        <v/>
      </c>
      <c r="AO631" s="79">
        <f>IF(AN631="","",IF(AD631=0,"OK",_xlfn.LET(monedaPago, IF(AA631="","USD",AA631), limitePermitido, IFERROR(VLOOKUP(monedaPago, Configuración!$A$2:$B$3, 2, FALSE), 0.15), IF(AD631&gt;limitePermitido, "ALERTA: EXCESO (" &amp; TEXT(limitePermitido, "0%") &amp; " máx)", "OK"))))</f>
        <v/>
      </c>
      <c r="AP631" s="79">
        <f>IF(AN631="","",IF(AE631=0,"OK",_xlfn.LET(fechaPago, Z631, fechaFactura, R631, diasCredito, IF(E631="Pago inmediato", 0, IFERROR(VALUE(MID(E631, 1, SEARCH(" ", E631)-1)),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31" s="79">
        <f>IF(AN631="","",IF(AND(N631&gt;0, AG631&gt;0), IF(Configuración!$K$2="NO", "ALERTA: DESCUENTO DOBLE NO PERMITIDO", "OK"), "OK"))</f>
        <v/>
      </c>
      <c r="AR631" s="79">
        <f>IF(AN631="","",IF(OR(AO631&lt;&gt;"OK", AP631&lt;&gt;"OK", AQ631&lt;&gt;"OK"), "⚠️ REVISAR", "OK"))</f>
        <v/>
      </c>
    </row>
    <row r="632">
      <c r="A632" s="79">
        <f>IF('Ordenes_Odoo'!A632="","",'Ordenes_Odoo'!A632)</f>
        <v/>
      </c>
      <c r="B632" s="80">
        <f>IF('Ordenes_Odoo'!B632="","",'Ordenes_Odoo'!B632)</f>
        <v/>
      </c>
      <c r="C632" s="79">
        <f>IF('Ordenes_Odoo'!C632="","",'Ordenes_Odoo'!C632)</f>
        <v/>
      </c>
      <c r="D632" s="79">
        <f>IF('Ordenes_Odoo'!D632="","",'Ordenes_Odoo'!D632)</f>
        <v/>
      </c>
      <c r="E632" s="79">
        <f>IF('Ordenes_Odoo'!E632="","",'Ordenes_Odoo'!E632)</f>
        <v/>
      </c>
      <c r="F632" s="79">
        <f>IF('Ordenes_Odoo'!F632="","",'Ordenes_Odoo'!F632)</f>
        <v/>
      </c>
      <c r="G632" s="79">
        <f>IF('Ordenes_Odoo'!G632="","",'Ordenes_Odoo'!G632)</f>
        <v/>
      </c>
      <c r="H632" s="79">
        <f>IF('Ordenes_Odoo'!H632="","",'Ordenes_Odoo'!H632)</f>
        <v/>
      </c>
      <c r="I632" s="79">
        <f>IF('Ordenes_Odoo'!I632="","",'Ordenes_Odoo'!I632)</f>
        <v/>
      </c>
      <c r="J632" s="79">
        <f>IF('Ordenes_Odoo'!J632="","",'Ordenes_Odoo'!J632)</f>
        <v/>
      </c>
      <c r="K632" s="81">
        <f>IF('Ordenes_Odoo'!K632="","",'Ordenes_Odoo'!K632)</f>
        <v/>
      </c>
      <c r="L632" s="81">
        <f>IF('Ordenes_Odoo'!L632="","",'Ordenes_Odoo'!L632)</f>
        <v/>
      </c>
      <c r="M632" s="79">
        <f>IF('Ordenes_Odoo'!M632="","",'Ordenes_Odoo'!M632)</f>
        <v/>
      </c>
      <c r="N632" s="79">
        <f>IF('Ordenes_Odoo'!N632="","",'Ordenes_Odoo'!N632)</f>
        <v/>
      </c>
      <c r="O632" s="81">
        <f>IF('Ordenes_Odoo'!O632="","",'Ordenes_Odoo'!O632)</f>
        <v/>
      </c>
      <c r="P632" s="81">
        <f>IF('Ordenes_Odoo'!P632="","",'Ordenes_Odoo'!P632)</f>
        <v/>
      </c>
      <c r="Q632" s="79">
        <f>IF(A632="","",IFERROR(INDEX(Facturas_Odoo!$B:$B, MATCH(A632, Facturas_Odoo!$D:$D, 0)), "Sin Factura"))</f>
        <v/>
      </c>
      <c r="R632" s="80">
        <f>IF(Q632="Sin Factura","",IFERROR(INDEX(Facturas_Odoo!$A:$A, MATCH(Q632, Facturas_Odoo!$B:$B, 0)), ""))</f>
        <v/>
      </c>
      <c r="S632" s="79">
        <f>IF(Q632="Sin Factura","",IFERROR(_xlfn.XLOOKUP(1, (Facturas_Odoo!$D:$D=A632) * (Facturas_Odoo!$K:$K=I632), Facturas_Odoo!$L:$L, ""), ""))</f>
        <v/>
      </c>
      <c r="T632" s="81">
        <f>IF(Q632="Sin Factura",0,IFERROR(_xlfn.XLOOKUP(1, (Facturas_Odoo!$D:$D=A632) * (Facturas_Odoo!$K:$K=I632), Facturas_Odoo!$M:$M, 0), 0))</f>
        <v/>
      </c>
      <c r="U632" s="79">
        <f>IF(Q632="Sin Factura",0,IFERROR(_xlfn.XLOOKUP(1, (Facturas_Odoo!$D:$D=A632) * (Facturas_Odoo!$K:$K=I632), Facturas_Odoo!$N:$N, 0), 0))</f>
        <v/>
      </c>
      <c r="V632" s="79">
        <f>IF(Q632="Sin Factura",0,IFERROR(_xlfn.XLOOKUP(1, (Facturas_Odoo!$D:$D=A632) * (Facturas_Odoo!$K:$K=I632), Facturas_Odoo!$O:$O, 0), 0))</f>
        <v/>
      </c>
      <c r="W632" s="81">
        <f>IF(Q632="Sin Factura",0,IFERROR(_xlfn.XLOOKUP(1, (Facturas_Odoo!$D:$D=A632) * (Facturas_Odoo!$K:$K=I632), Facturas_Odoo!$Q:$Q, 0), 0))</f>
        <v/>
      </c>
      <c r="X632" s="79">
        <f>IF(OR(Q632="Sin Factura",Q632=""),"",IFERROR(INDEX(Pagos_Odoo!$B:$B, MATCH(Q632, Pagos_Odoo!$I:$I, 0)), "Sin Pago"))</f>
        <v/>
      </c>
      <c r="Y632" s="79">
        <f>IF(X632="Sin Pago","",IFERROR(INDEX(Pagos_Odoo!$C:$C, MATCH(X632, Pagos_Odoo!$B:$B, 0)), ""))</f>
        <v/>
      </c>
      <c r="Z632" s="80">
        <f>IF(X632="Sin Pago","",IFERROR(INDEX(Pagos_Odoo!$A:$A, MATCH(X632, Pagos_Odoo!$B:$B, 0)), ""))</f>
        <v/>
      </c>
      <c r="AA632" s="79">
        <f>IF(X632="Sin Pago","",IFERROR(INDEX(Pagos_Odoo!$F:$F, MATCH(X632, Pagos_Odoo!$B:$B, 0)), ""))</f>
        <v/>
      </c>
      <c r="AB632" s="81">
        <f>IF(X632="Sin Pago",0,IFERROR(INDEX(Pagos_Odoo!$E:$E, MATCH(X632, Pagos_Odoo!$B:$B, 0)), 0))</f>
        <v/>
      </c>
      <c r="AC632" s="79">
        <f>IF(X632="Sin Pago","",IFERROR(INDEX(Pagos_Odoo!$G:$G, MATCH(X632, Pagos_Odoo!$B:$B, 0)), ""))</f>
        <v/>
      </c>
      <c r="AD632" s="82" t="n">
        <v>0</v>
      </c>
      <c r="AE632" s="82" t="n"/>
      <c r="AF632" s="82" t="n"/>
      <c r="AG632" s="82">
        <f>IF(AN632="","",AD632+AE632+AF632)</f>
        <v/>
      </c>
      <c r="AH632" s="81">
        <f>IF(AN632="","",P632*(1-AG632))</f>
        <v/>
      </c>
      <c r="AI632" s="81">
        <f>IF(AN632="","",IF(Q632="Sin Factura",0,IFERROR(INDEX(Facturas_Odoo!$H:$H, MATCH(Q632, Facturas_Odoo!$B:$B, 0)), 0)*(1-AG632)))</f>
        <v/>
      </c>
      <c r="AJ632" s="81">
        <f>IF(AN632="","",_xlfn.LET(idVenta, AN632&amp;"",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32" s="81">
        <f>IF(AN632="","",AH632-AJ632)</f>
        <v/>
      </c>
      <c r="AL632" s="81">
        <f>IF(AN632="","",IF(Q632="Sin Factura","",AI632-AJ632))</f>
        <v/>
      </c>
      <c r="AM632" s="81">
        <f>IF(AN632="","",IF(Q632="Sin Factura",0,P632-IFERROR(INDEX(Facturas_Odoo!$H:$H, MATCH(Q632, Facturas_Odoo!$B:$B, 0)), 0)))</f>
        <v/>
      </c>
      <c r="AN632" s="79">
        <f>IF(AND(A632="", J632=""), "", IF(A632&lt;&gt;"", VALUE(MID(A632,2,LEN(A632))), AN631))</f>
        <v/>
      </c>
      <c r="AO632" s="79">
        <f>IF(AN632="","",IF(AD632=0,"OK",_xlfn.LET(monedaPago, IF(AA632="","USD",AA632), limitePermitido, IFERROR(VLOOKUP(monedaPago, Configuración!$A$2:$B$3, 2, FALSE), 0.15), IF(AD632&gt;limitePermitido, "ALERTA: EXCESO (" &amp; TEXT(limitePermitido, "0%") &amp; " máx)", "OK"))))</f>
        <v/>
      </c>
      <c r="AP632" s="79">
        <f>IF(AN632="","",IF(AE632=0,"OK",_xlfn.LET(fechaPago, Z632, fechaFactura, R632, diasCredito, IF(E632="Pago inmediato", 0, IFERROR(VALUE(MID(E632, 1, SEARCH(" ", E632)-1)),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32" s="79">
        <f>IF(AN632="","",IF(AND(N632&gt;0, AG632&gt;0), IF(Configuración!$K$2="NO", "ALERTA: DESCUENTO DOBLE NO PERMITIDO", "OK"), "OK"))</f>
        <v/>
      </c>
      <c r="AR632" s="79">
        <f>IF(AN632="","",IF(OR(AO632&lt;&gt;"OK", AP632&lt;&gt;"OK", AQ632&lt;&gt;"OK"), "⚠️ REVISAR", "OK"))</f>
        <v/>
      </c>
    </row>
    <row r="633">
      <c r="A633" s="79">
        <f>IF('Ordenes_Odoo'!A633="","",'Ordenes_Odoo'!A633)</f>
        <v/>
      </c>
      <c r="B633" s="80">
        <f>IF('Ordenes_Odoo'!B633="","",'Ordenes_Odoo'!B633)</f>
        <v/>
      </c>
      <c r="C633" s="79">
        <f>IF('Ordenes_Odoo'!C633="","",'Ordenes_Odoo'!C633)</f>
        <v/>
      </c>
      <c r="D633" s="79">
        <f>IF('Ordenes_Odoo'!D633="","",'Ordenes_Odoo'!D633)</f>
        <v/>
      </c>
      <c r="E633" s="79">
        <f>IF('Ordenes_Odoo'!E633="","",'Ordenes_Odoo'!E633)</f>
        <v/>
      </c>
      <c r="F633" s="79">
        <f>IF('Ordenes_Odoo'!F633="","",'Ordenes_Odoo'!F633)</f>
        <v/>
      </c>
      <c r="G633" s="79">
        <f>IF('Ordenes_Odoo'!G633="","",'Ordenes_Odoo'!G633)</f>
        <v/>
      </c>
      <c r="H633" s="79">
        <f>IF('Ordenes_Odoo'!H633="","",'Ordenes_Odoo'!H633)</f>
        <v/>
      </c>
      <c r="I633" s="79">
        <f>IF('Ordenes_Odoo'!I633="","",'Ordenes_Odoo'!I633)</f>
        <v/>
      </c>
      <c r="J633" s="79">
        <f>IF('Ordenes_Odoo'!J633="","",'Ordenes_Odoo'!J633)</f>
        <v/>
      </c>
      <c r="K633" s="81">
        <f>IF('Ordenes_Odoo'!K633="","",'Ordenes_Odoo'!K633)</f>
        <v/>
      </c>
      <c r="L633" s="81">
        <f>IF('Ordenes_Odoo'!L633="","",'Ordenes_Odoo'!L633)</f>
        <v/>
      </c>
      <c r="M633" s="79">
        <f>IF('Ordenes_Odoo'!M633="","",'Ordenes_Odoo'!M633)</f>
        <v/>
      </c>
      <c r="N633" s="79">
        <f>IF('Ordenes_Odoo'!N633="","",'Ordenes_Odoo'!N633)</f>
        <v/>
      </c>
      <c r="O633" s="81">
        <f>IF('Ordenes_Odoo'!O633="","",'Ordenes_Odoo'!O633)</f>
        <v/>
      </c>
      <c r="P633" s="81">
        <f>IF('Ordenes_Odoo'!P633="","",'Ordenes_Odoo'!P633)</f>
        <v/>
      </c>
      <c r="Q633" s="79">
        <f>IF(A633="","",IFERROR(INDEX(Facturas_Odoo!$B:$B, MATCH(A633, Facturas_Odoo!$D:$D, 0)), "Sin Factura"))</f>
        <v/>
      </c>
      <c r="R633" s="80">
        <f>IF(Q633="Sin Factura","",IFERROR(INDEX(Facturas_Odoo!$A:$A, MATCH(Q633, Facturas_Odoo!$B:$B, 0)), ""))</f>
        <v/>
      </c>
      <c r="S633" s="79">
        <f>IF(Q633="Sin Factura","",IFERROR(_xlfn.XLOOKUP(1, (Facturas_Odoo!$D:$D=A633) * (Facturas_Odoo!$K:$K=I633), Facturas_Odoo!$L:$L, ""), ""))</f>
        <v/>
      </c>
      <c r="T633" s="81">
        <f>IF(Q633="Sin Factura",0,IFERROR(_xlfn.XLOOKUP(1, (Facturas_Odoo!$D:$D=A633) * (Facturas_Odoo!$K:$K=I633), Facturas_Odoo!$M:$M, 0), 0))</f>
        <v/>
      </c>
      <c r="U633" s="79">
        <f>IF(Q633="Sin Factura",0,IFERROR(_xlfn.XLOOKUP(1, (Facturas_Odoo!$D:$D=A633) * (Facturas_Odoo!$K:$K=I633), Facturas_Odoo!$N:$N, 0), 0))</f>
        <v/>
      </c>
      <c r="V633" s="79">
        <f>IF(Q633="Sin Factura",0,IFERROR(_xlfn.XLOOKUP(1, (Facturas_Odoo!$D:$D=A633) * (Facturas_Odoo!$K:$K=I633), Facturas_Odoo!$O:$O, 0), 0))</f>
        <v/>
      </c>
      <c r="W633" s="81">
        <f>IF(Q633="Sin Factura",0,IFERROR(_xlfn.XLOOKUP(1, (Facturas_Odoo!$D:$D=A633) * (Facturas_Odoo!$K:$K=I633), Facturas_Odoo!$Q:$Q, 0), 0))</f>
        <v/>
      </c>
      <c r="X633" s="79">
        <f>IF(OR(Q633="Sin Factura",Q633=""),"",IFERROR(INDEX(Pagos_Odoo!$B:$B, MATCH(Q633, Pagos_Odoo!$I:$I, 0)), "Sin Pago"))</f>
        <v/>
      </c>
      <c r="Y633" s="79">
        <f>IF(X633="Sin Pago","",IFERROR(INDEX(Pagos_Odoo!$C:$C, MATCH(X633, Pagos_Odoo!$B:$B, 0)), ""))</f>
        <v/>
      </c>
      <c r="Z633" s="80">
        <f>IF(X633="Sin Pago","",IFERROR(INDEX(Pagos_Odoo!$A:$A, MATCH(X633, Pagos_Odoo!$B:$B, 0)), ""))</f>
        <v/>
      </c>
      <c r="AA633" s="79">
        <f>IF(X633="Sin Pago","",IFERROR(INDEX(Pagos_Odoo!$F:$F, MATCH(X633, Pagos_Odoo!$B:$B, 0)), ""))</f>
        <v/>
      </c>
      <c r="AB633" s="81">
        <f>IF(X633="Sin Pago",0,IFERROR(INDEX(Pagos_Odoo!$E:$E, MATCH(X633, Pagos_Odoo!$B:$B, 0)), 0))</f>
        <v/>
      </c>
      <c r="AC633" s="79">
        <f>IF(X633="Sin Pago","",IFERROR(INDEX(Pagos_Odoo!$G:$G, MATCH(X633, Pagos_Odoo!$B:$B, 0)), ""))</f>
        <v/>
      </c>
      <c r="AD633" s="82" t="n">
        <v>0</v>
      </c>
      <c r="AE633" s="82" t="n"/>
      <c r="AF633" s="82" t="n"/>
      <c r="AG633" s="82">
        <f>IF(AN633="","",AD633+AE633+AF633)</f>
        <v/>
      </c>
      <c r="AH633" s="81">
        <f>IF(AN633="","",P633*(1-AG633))</f>
        <v/>
      </c>
      <c r="AI633" s="81">
        <f>IF(AN633="","",IF(Q633="Sin Factura",0,IFERROR(INDEX(Facturas_Odoo!$H:$H, MATCH(Q633, Facturas_Odoo!$B:$B, 0)), 0)*(1-AG633)))</f>
        <v/>
      </c>
      <c r="AJ633" s="81">
        <f>IF(AN633="","",_xlfn.LET(idVenta, AN633&amp;"",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33" s="81">
        <f>IF(AN633="","",AH633-AJ633)</f>
        <v/>
      </c>
      <c r="AL633" s="81">
        <f>IF(AN633="","",IF(Q633="Sin Factura","",AI633-AJ633))</f>
        <v/>
      </c>
      <c r="AM633" s="81">
        <f>IF(AN633="","",IF(Q633="Sin Factura",0,P633-IFERROR(INDEX(Facturas_Odoo!$H:$H, MATCH(Q633, Facturas_Odoo!$B:$B, 0)), 0)))</f>
        <v/>
      </c>
      <c r="AN633" s="79">
        <f>IF(AND(A633="", J633=""), "", IF(A633&lt;&gt;"", VALUE(MID(A633,2,LEN(A633))), AN632))</f>
        <v/>
      </c>
      <c r="AO633" s="79">
        <f>IF(AN633="","",IF(AD633=0,"OK",_xlfn.LET(monedaPago, IF(AA633="","USD",AA633), limitePermitido, IFERROR(VLOOKUP(monedaPago, Configuración!$A$2:$B$3, 2, FALSE), 0.15), IF(AD633&gt;limitePermitido, "ALERTA: EXCESO (" &amp; TEXT(limitePermitido, "0%") &amp; " máx)", "OK"))))</f>
        <v/>
      </c>
      <c r="AP633" s="79">
        <f>IF(AN633="","",IF(AE633=0,"OK",_xlfn.LET(fechaPago, Z633, fechaFactura, R633, diasCredito, IF(E633="Pago inmediato", 0, IFERROR(VALUE(MID(E633, 1, SEARCH(" ", E633)-1)),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33" s="79">
        <f>IF(AN633="","",IF(AND(N633&gt;0, AG633&gt;0), IF(Configuración!$K$2="NO", "ALERTA: DESCUENTO DOBLE NO PERMITIDO", "OK"), "OK"))</f>
        <v/>
      </c>
      <c r="AR633" s="79">
        <f>IF(AN633="","",IF(OR(AO633&lt;&gt;"OK", AP633&lt;&gt;"OK", AQ633&lt;&gt;"OK"), "⚠️ REVISAR", "OK"))</f>
        <v/>
      </c>
    </row>
    <row r="634">
      <c r="A634" s="79">
        <f>IF('Ordenes_Odoo'!A634="","",'Ordenes_Odoo'!A634)</f>
        <v/>
      </c>
      <c r="B634" s="80">
        <f>IF('Ordenes_Odoo'!B634="","",'Ordenes_Odoo'!B634)</f>
        <v/>
      </c>
      <c r="C634" s="79">
        <f>IF('Ordenes_Odoo'!C634="","",'Ordenes_Odoo'!C634)</f>
        <v/>
      </c>
      <c r="D634" s="79">
        <f>IF('Ordenes_Odoo'!D634="","",'Ordenes_Odoo'!D634)</f>
        <v/>
      </c>
      <c r="E634" s="79">
        <f>IF('Ordenes_Odoo'!E634="","",'Ordenes_Odoo'!E634)</f>
        <v/>
      </c>
      <c r="F634" s="79">
        <f>IF('Ordenes_Odoo'!F634="","",'Ordenes_Odoo'!F634)</f>
        <v/>
      </c>
      <c r="G634" s="79">
        <f>IF('Ordenes_Odoo'!G634="","",'Ordenes_Odoo'!G634)</f>
        <v/>
      </c>
      <c r="H634" s="79">
        <f>IF('Ordenes_Odoo'!H634="","",'Ordenes_Odoo'!H634)</f>
        <v/>
      </c>
      <c r="I634" s="79">
        <f>IF('Ordenes_Odoo'!I634="","",'Ordenes_Odoo'!I634)</f>
        <v/>
      </c>
      <c r="J634" s="79">
        <f>IF('Ordenes_Odoo'!J634="","",'Ordenes_Odoo'!J634)</f>
        <v/>
      </c>
      <c r="K634" s="81">
        <f>IF('Ordenes_Odoo'!K634="","",'Ordenes_Odoo'!K634)</f>
        <v/>
      </c>
      <c r="L634" s="81">
        <f>IF('Ordenes_Odoo'!L634="","",'Ordenes_Odoo'!L634)</f>
        <v/>
      </c>
      <c r="M634" s="79">
        <f>IF('Ordenes_Odoo'!M634="","",'Ordenes_Odoo'!M634)</f>
        <v/>
      </c>
      <c r="N634" s="79">
        <f>IF('Ordenes_Odoo'!N634="","",'Ordenes_Odoo'!N634)</f>
        <v/>
      </c>
      <c r="O634" s="81">
        <f>IF('Ordenes_Odoo'!O634="","",'Ordenes_Odoo'!O634)</f>
        <v/>
      </c>
      <c r="P634" s="81">
        <f>IF('Ordenes_Odoo'!P634="","",'Ordenes_Odoo'!P634)</f>
        <v/>
      </c>
      <c r="Q634" s="79">
        <f>IF(A634="","",IFERROR(INDEX(Facturas_Odoo!$B:$B, MATCH(A634, Facturas_Odoo!$D:$D, 0)), "Sin Factura"))</f>
        <v/>
      </c>
      <c r="R634" s="80">
        <f>IF(Q634="Sin Factura","",IFERROR(INDEX(Facturas_Odoo!$A:$A, MATCH(Q634, Facturas_Odoo!$B:$B, 0)), ""))</f>
        <v/>
      </c>
      <c r="S634" s="79">
        <f>IF(Q634="Sin Factura","",IFERROR(_xlfn.XLOOKUP(1, (Facturas_Odoo!$D:$D=A634) * (Facturas_Odoo!$K:$K=I634), Facturas_Odoo!$L:$L, ""), ""))</f>
        <v/>
      </c>
      <c r="T634" s="81">
        <f>IF(Q634="Sin Factura",0,IFERROR(_xlfn.XLOOKUP(1, (Facturas_Odoo!$D:$D=A634) * (Facturas_Odoo!$K:$K=I634), Facturas_Odoo!$M:$M, 0), 0))</f>
        <v/>
      </c>
      <c r="U634" s="79">
        <f>IF(Q634="Sin Factura",0,IFERROR(_xlfn.XLOOKUP(1, (Facturas_Odoo!$D:$D=A634) * (Facturas_Odoo!$K:$K=I634), Facturas_Odoo!$N:$N, 0), 0))</f>
        <v/>
      </c>
      <c r="V634" s="79">
        <f>IF(Q634="Sin Factura",0,IFERROR(_xlfn.XLOOKUP(1, (Facturas_Odoo!$D:$D=A634) * (Facturas_Odoo!$K:$K=I634), Facturas_Odoo!$O:$O, 0), 0))</f>
        <v/>
      </c>
      <c r="W634" s="81">
        <f>IF(Q634="Sin Factura",0,IFERROR(_xlfn.XLOOKUP(1, (Facturas_Odoo!$D:$D=A634) * (Facturas_Odoo!$K:$K=I634), Facturas_Odoo!$Q:$Q, 0), 0))</f>
        <v/>
      </c>
      <c r="X634" s="79">
        <f>IF(OR(Q634="Sin Factura",Q634=""),"",IFERROR(INDEX(Pagos_Odoo!$B:$B, MATCH(Q634, Pagos_Odoo!$I:$I, 0)), "Sin Pago"))</f>
        <v/>
      </c>
      <c r="Y634" s="79">
        <f>IF(X634="Sin Pago","",IFERROR(INDEX(Pagos_Odoo!$C:$C, MATCH(X634, Pagos_Odoo!$B:$B, 0)), ""))</f>
        <v/>
      </c>
      <c r="Z634" s="80">
        <f>IF(X634="Sin Pago","",IFERROR(INDEX(Pagos_Odoo!$A:$A, MATCH(X634, Pagos_Odoo!$B:$B, 0)), ""))</f>
        <v/>
      </c>
      <c r="AA634" s="79">
        <f>IF(X634="Sin Pago","",IFERROR(INDEX(Pagos_Odoo!$F:$F, MATCH(X634, Pagos_Odoo!$B:$B, 0)), ""))</f>
        <v/>
      </c>
      <c r="AB634" s="81">
        <f>IF(X634="Sin Pago",0,IFERROR(INDEX(Pagos_Odoo!$E:$E, MATCH(X634, Pagos_Odoo!$B:$B, 0)), 0))</f>
        <v/>
      </c>
      <c r="AC634" s="79">
        <f>IF(X634="Sin Pago","",IFERROR(INDEX(Pagos_Odoo!$G:$G, MATCH(X634, Pagos_Odoo!$B:$B, 0)), ""))</f>
        <v/>
      </c>
      <c r="AD634" s="82" t="n">
        <v>0</v>
      </c>
      <c r="AE634" s="82" t="n"/>
      <c r="AF634" s="82" t="n"/>
      <c r="AG634" s="82">
        <f>IF(AN634="","",AD634+AE634+AF634)</f>
        <v/>
      </c>
      <c r="AH634" s="81">
        <f>IF(AN634="","",P634*(1-AG634))</f>
        <v/>
      </c>
      <c r="AI634" s="81">
        <f>IF(AN634="","",IF(Q634="Sin Factura",0,IFERROR(INDEX(Facturas_Odoo!$H:$H, MATCH(Q634, Facturas_Odoo!$B:$B, 0)), 0)*(1-AG634)))</f>
        <v/>
      </c>
      <c r="AJ634" s="81">
        <f>IF(AN634="","",_xlfn.LET(idVenta, AN634&amp;"",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34" s="81">
        <f>IF(AN634="","",AH634-AJ634)</f>
        <v/>
      </c>
      <c r="AL634" s="81">
        <f>IF(AN634="","",IF(Q634="Sin Factura","",AI634-AJ634))</f>
        <v/>
      </c>
      <c r="AM634" s="81">
        <f>IF(AN634="","",IF(Q634="Sin Factura",0,P634-IFERROR(INDEX(Facturas_Odoo!$H:$H, MATCH(Q634, Facturas_Odoo!$B:$B, 0)), 0)))</f>
        <v/>
      </c>
      <c r="AN634" s="79">
        <f>IF(AND(A634="", J634=""), "", IF(A634&lt;&gt;"", VALUE(MID(A634,2,LEN(A634))), AN633))</f>
        <v/>
      </c>
      <c r="AO634" s="79">
        <f>IF(AN634="","",IF(AD634=0,"OK",_xlfn.LET(monedaPago, IF(AA634="","USD",AA634), limitePermitido, IFERROR(VLOOKUP(monedaPago, Configuración!$A$2:$B$3, 2, FALSE), 0.15), IF(AD634&gt;limitePermitido, "ALERTA: EXCESO (" &amp; TEXT(limitePermitido, "0%") &amp; " máx)", "OK"))))</f>
        <v/>
      </c>
      <c r="AP634" s="79">
        <f>IF(AN634="","",IF(AE634=0,"OK",_xlfn.LET(fechaPago, Z634, fechaFactura, R634, diasCredito, IF(E634="Pago inmediato", 0, IFERROR(VALUE(MID(E634, 1, SEARCH(" ", E634)-1)),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34" s="79">
        <f>IF(AN634="","",IF(AND(N634&gt;0, AG634&gt;0), IF(Configuración!$K$2="NO", "ALERTA: DESCUENTO DOBLE NO PERMITIDO", "OK"), "OK"))</f>
        <v/>
      </c>
      <c r="AR634" s="79">
        <f>IF(AN634="","",IF(OR(AO634&lt;&gt;"OK", AP634&lt;&gt;"OK", AQ634&lt;&gt;"OK"), "⚠️ REVISAR", "OK"))</f>
        <v/>
      </c>
    </row>
    <row r="635">
      <c r="A635" s="79">
        <f>IF('Ordenes_Odoo'!A635="","",'Ordenes_Odoo'!A635)</f>
        <v/>
      </c>
      <c r="B635" s="80">
        <f>IF('Ordenes_Odoo'!B635="","",'Ordenes_Odoo'!B635)</f>
        <v/>
      </c>
      <c r="C635" s="79">
        <f>IF('Ordenes_Odoo'!C635="","",'Ordenes_Odoo'!C635)</f>
        <v/>
      </c>
      <c r="D635" s="79">
        <f>IF('Ordenes_Odoo'!D635="","",'Ordenes_Odoo'!D635)</f>
        <v/>
      </c>
      <c r="E635" s="79">
        <f>IF('Ordenes_Odoo'!E635="","",'Ordenes_Odoo'!E635)</f>
        <v/>
      </c>
      <c r="F635" s="79">
        <f>IF('Ordenes_Odoo'!F635="","",'Ordenes_Odoo'!F635)</f>
        <v/>
      </c>
      <c r="G635" s="79">
        <f>IF('Ordenes_Odoo'!G635="","",'Ordenes_Odoo'!G635)</f>
        <v/>
      </c>
      <c r="H635" s="79">
        <f>IF('Ordenes_Odoo'!H635="","",'Ordenes_Odoo'!H635)</f>
        <v/>
      </c>
      <c r="I635" s="79">
        <f>IF('Ordenes_Odoo'!I635="","",'Ordenes_Odoo'!I635)</f>
        <v/>
      </c>
      <c r="J635" s="79">
        <f>IF('Ordenes_Odoo'!J635="","",'Ordenes_Odoo'!J635)</f>
        <v/>
      </c>
      <c r="K635" s="81">
        <f>IF('Ordenes_Odoo'!K635="","",'Ordenes_Odoo'!K635)</f>
        <v/>
      </c>
      <c r="L635" s="81">
        <f>IF('Ordenes_Odoo'!L635="","",'Ordenes_Odoo'!L635)</f>
        <v/>
      </c>
      <c r="M635" s="79">
        <f>IF('Ordenes_Odoo'!M635="","",'Ordenes_Odoo'!M635)</f>
        <v/>
      </c>
      <c r="N635" s="79">
        <f>IF('Ordenes_Odoo'!N635="","",'Ordenes_Odoo'!N635)</f>
        <v/>
      </c>
      <c r="O635" s="81">
        <f>IF('Ordenes_Odoo'!O635="","",'Ordenes_Odoo'!O635)</f>
        <v/>
      </c>
      <c r="P635" s="81">
        <f>IF('Ordenes_Odoo'!P635="","",'Ordenes_Odoo'!P635)</f>
        <v/>
      </c>
      <c r="Q635" s="79">
        <f>IF(A635="","",IFERROR(INDEX(Facturas_Odoo!$B:$B, MATCH(A635, Facturas_Odoo!$D:$D, 0)), "Sin Factura"))</f>
        <v/>
      </c>
      <c r="R635" s="80">
        <f>IF(Q635="Sin Factura","",IFERROR(INDEX(Facturas_Odoo!$A:$A, MATCH(Q635, Facturas_Odoo!$B:$B, 0)), ""))</f>
        <v/>
      </c>
      <c r="S635" s="79">
        <f>IF(Q635="Sin Factura","",IFERROR(_xlfn.XLOOKUP(1, (Facturas_Odoo!$D:$D=A635) * (Facturas_Odoo!$K:$K=I635), Facturas_Odoo!$L:$L, ""), ""))</f>
        <v/>
      </c>
      <c r="T635" s="81">
        <f>IF(Q635="Sin Factura",0,IFERROR(_xlfn.XLOOKUP(1, (Facturas_Odoo!$D:$D=A635) * (Facturas_Odoo!$K:$K=I635), Facturas_Odoo!$M:$M, 0), 0))</f>
        <v/>
      </c>
      <c r="U635" s="79">
        <f>IF(Q635="Sin Factura",0,IFERROR(_xlfn.XLOOKUP(1, (Facturas_Odoo!$D:$D=A635) * (Facturas_Odoo!$K:$K=I635), Facturas_Odoo!$N:$N, 0), 0))</f>
        <v/>
      </c>
      <c r="V635" s="79">
        <f>IF(Q635="Sin Factura",0,IFERROR(_xlfn.XLOOKUP(1, (Facturas_Odoo!$D:$D=A635) * (Facturas_Odoo!$K:$K=I635), Facturas_Odoo!$O:$O, 0), 0))</f>
        <v/>
      </c>
      <c r="W635" s="81">
        <f>IF(Q635="Sin Factura",0,IFERROR(_xlfn.XLOOKUP(1, (Facturas_Odoo!$D:$D=A635) * (Facturas_Odoo!$K:$K=I635), Facturas_Odoo!$Q:$Q, 0), 0))</f>
        <v/>
      </c>
      <c r="X635" s="79">
        <f>IF(OR(Q635="Sin Factura",Q635=""),"",IFERROR(INDEX(Pagos_Odoo!$B:$B, MATCH(Q635, Pagos_Odoo!$I:$I, 0)), "Sin Pago"))</f>
        <v/>
      </c>
      <c r="Y635" s="79">
        <f>IF(X635="Sin Pago","",IFERROR(INDEX(Pagos_Odoo!$C:$C, MATCH(X635, Pagos_Odoo!$B:$B, 0)), ""))</f>
        <v/>
      </c>
      <c r="Z635" s="80">
        <f>IF(X635="Sin Pago","",IFERROR(INDEX(Pagos_Odoo!$A:$A, MATCH(X635, Pagos_Odoo!$B:$B, 0)), ""))</f>
        <v/>
      </c>
      <c r="AA635" s="79">
        <f>IF(X635="Sin Pago","",IFERROR(INDEX(Pagos_Odoo!$F:$F, MATCH(X635, Pagos_Odoo!$B:$B, 0)), ""))</f>
        <v/>
      </c>
      <c r="AB635" s="81">
        <f>IF(X635="Sin Pago",0,IFERROR(INDEX(Pagos_Odoo!$E:$E, MATCH(X635, Pagos_Odoo!$B:$B, 0)), 0))</f>
        <v/>
      </c>
      <c r="AC635" s="79">
        <f>IF(X635="Sin Pago","",IFERROR(INDEX(Pagos_Odoo!$G:$G, MATCH(X635, Pagos_Odoo!$B:$B, 0)), ""))</f>
        <v/>
      </c>
      <c r="AD635" s="82" t="n">
        <v>0</v>
      </c>
      <c r="AE635" s="82" t="n"/>
      <c r="AF635" s="82" t="n"/>
      <c r="AG635" s="82">
        <f>IF(AN635="","",AD635+AE635+AF635)</f>
        <v/>
      </c>
      <c r="AH635" s="81">
        <f>IF(AN635="","",P635*(1-AG635))</f>
        <v/>
      </c>
      <c r="AI635" s="81">
        <f>IF(AN635="","",IF(Q635="Sin Factura",0,IFERROR(INDEX(Facturas_Odoo!$H:$H, MATCH(Q635, Facturas_Odoo!$B:$B, 0)), 0)*(1-AG635)))</f>
        <v/>
      </c>
      <c r="AJ635" s="81">
        <f>IF(AN635="","",_xlfn.LET(idVenta, AN635&amp;"",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35" s="81">
        <f>IF(AN635="","",AH635-AJ635)</f>
        <v/>
      </c>
      <c r="AL635" s="81">
        <f>IF(AN635="","",IF(Q635="Sin Factura","",AI635-AJ635))</f>
        <v/>
      </c>
      <c r="AM635" s="81">
        <f>IF(AN635="","",IF(Q635="Sin Factura",0,P635-IFERROR(INDEX(Facturas_Odoo!$H:$H, MATCH(Q635, Facturas_Odoo!$B:$B, 0)), 0)))</f>
        <v/>
      </c>
      <c r="AN635" s="79">
        <f>IF(AND(A635="", J635=""), "", IF(A635&lt;&gt;"", VALUE(MID(A635,2,LEN(A635))), AN634))</f>
        <v/>
      </c>
      <c r="AO635" s="79">
        <f>IF(AN635="","",IF(AD635=0,"OK",_xlfn.LET(monedaPago, IF(AA635="","USD",AA635), limitePermitido, IFERROR(VLOOKUP(monedaPago, Configuración!$A$2:$B$3, 2, FALSE), 0.15), IF(AD635&gt;limitePermitido, "ALERTA: EXCESO (" &amp; TEXT(limitePermitido, "0%") &amp; " máx)", "OK"))))</f>
        <v/>
      </c>
      <c r="AP635" s="79">
        <f>IF(AN635="","",IF(AE635=0,"OK",_xlfn.LET(fechaPago, Z635, fechaFactura, R635, diasCredito, IF(E635="Pago inmediato", 0, IFERROR(VALUE(MID(E635, 1, SEARCH(" ", E635)-1)),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35" s="79">
        <f>IF(AN635="","",IF(AND(N635&gt;0, AG635&gt;0), IF(Configuración!$K$2="NO", "ALERTA: DESCUENTO DOBLE NO PERMITIDO", "OK"), "OK"))</f>
        <v/>
      </c>
      <c r="AR635" s="79">
        <f>IF(AN635="","",IF(OR(AO635&lt;&gt;"OK", AP635&lt;&gt;"OK", AQ635&lt;&gt;"OK"), "⚠️ REVISAR", "OK"))</f>
        <v/>
      </c>
    </row>
    <row r="636">
      <c r="A636" s="79">
        <f>IF('Ordenes_Odoo'!A636="","",'Ordenes_Odoo'!A636)</f>
        <v/>
      </c>
      <c r="B636" s="80">
        <f>IF('Ordenes_Odoo'!B636="","",'Ordenes_Odoo'!B636)</f>
        <v/>
      </c>
      <c r="C636" s="79">
        <f>IF('Ordenes_Odoo'!C636="","",'Ordenes_Odoo'!C636)</f>
        <v/>
      </c>
      <c r="D636" s="79">
        <f>IF('Ordenes_Odoo'!D636="","",'Ordenes_Odoo'!D636)</f>
        <v/>
      </c>
      <c r="E636" s="79">
        <f>IF('Ordenes_Odoo'!E636="","",'Ordenes_Odoo'!E636)</f>
        <v/>
      </c>
      <c r="F636" s="79">
        <f>IF('Ordenes_Odoo'!F636="","",'Ordenes_Odoo'!F636)</f>
        <v/>
      </c>
      <c r="G636" s="79">
        <f>IF('Ordenes_Odoo'!G636="","",'Ordenes_Odoo'!G636)</f>
        <v/>
      </c>
      <c r="H636" s="79">
        <f>IF('Ordenes_Odoo'!H636="","",'Ordenes_Odoo'!H636)</f>
        <v/>
      </c>
      <c r="I636" s="79">
        <f>IF('Ordenes_Odoo'!I636="","",'Ordenes_Odoo'!I636)</f>
        <v/>
      </c>
      <c r="J636" s="79">
        <f>IF('Ordenes_Odoo'!J636="","",'Ordenes_Odoo'!J636)</f>
        <v/>
      </c>
      <c r="K636" s="81">
        <f>IF('Ordenes_Odoo'!K636="","",'Ordenes_Odoo'!K636)</f>
        <v/>
      </c>
      <c r="L636" s="81">
        <f>IF('Ordenes_Odoo'!L636="","",'Ordenes_Odoo'!L636)</f>
        <v/>
      </c>
      <c r="M636" s="79">
        <f>IF('Ordenes_Odoo'!M636="","",'Ordenes_Odoo'!M636)</f>
        <v/>
      </c>
      <c r="N636" s="79">
        <f>IF('Ordenes_Odoo'!N636="","",'Ordenes_Odoo'!N636)</f>
        <v/>
      </c>
      <c r="O636" s="81">
        <f>IF('Ordenes_Odoo'!O636="","",'Ordenes_Odoo'!O636)</f>
        <v/>
      </c>
      <c r="P636" s="81">
        <f>IF('Ordenes_Odoo'!P636="","",'Ordenes_Odoo'!P636)</f>
        <v/>
      </c>
      <c r="Q636" s="79">
        <f>IF(A636="","",IFERROR(INDEX(Facturas_Odoo!$B:$B, MATCH(A636, Facturas_Odoo!$D:$D, 0)), "Sin Factura"))</f>
        <v/>
      </c>
      <c r="R636" s="80">
        <f>IF(Q636="Sin Factura","",IFERROR(INDEX(Facturas_Odoo!$A:$A, MATCH(Q636, Facturas_Odoo!$B:$B, 0)), ""))</f>
        <v/>
      </c>
      <c r="S636" s="79">
        <f>IF(Q636="Sin Factura","",IFERROR(_xlfn.XLOOKUP(1, (Facturas_Odoo!$D:$D=A636) * (Facturas_Odoo!$K:$K=I636), Facturas_Odoo!$L:$L, ""), ""))</f>
        <v/>
      </c>
      <c r="T636" s="81">
        <f>IF(Q636="Sin Factura",0,IFERROR(_xlfn.XLOOKUP(1, (Facturas_Odoo!$D:$D=A636) * (Facturas_Odoo!$K:$K=I636), Facturas_Odoo!$M:$M, 0), 0))</f>
        <v/>
      </c>
      <c r="U636" s="79">
        <f>IF(Q636="Sin Factura",0,IFERROR(_xlfn.XLOOKUP(1, (Facturas_Odoo!$D:$D=A636) * (Facturas_Odoo!$K:$K=I636), Facturas_Odoo!$N:$N, 0), 0))</f>
        <v/>
      </c>
      <c r="V636" s="79">
        <f>IF(Q636="Sin Factura",0,IFERROR(_xlfn.XLOOKUP(1, (Facturas_Odoo!$D:$D=A636) * (Facturas_Odoo!$K:$K=I636), Facturas_Odoo!$O:$O, 0), 0))</f>
        <v/>
      </c>
      <c r="W636" s="81">
        <f>IF(Q636="Sin Factura",0,IFERROR(_xlfn.XLOOKUP(1, (Facturas_Odoo!$D:$D=A636) * (Facturas_Odoo!$K:$K=I636), Facturas_Odoo!$Q:$Q, 0), 0))</f>
        <v/>
      </c>
      <c r="X636" s="79">
        <f>IF(OR(Q636="Sin Factura",Q636=""),"",IFERROR(INDEX(Pagos_Odoo!$B:$B, MATCH(Q636, Pagos_Odoo!$I:$I, 0)), "Sin Pago"))</f>
        <v/>
      </c>
      <c r="Y636" s="79">
        <f>IF(X636="Sin Pago","",IFERROR(INDEX(Pagos_Odoo!$C:$C, MATCH(X636, Pagos_Odoo!$B:$B, 0)), ""))</f>
        <v/>
      </c>
      <c r="Z636" s="80">
        <f>IF(X636="Sin Pago","",IFERROR(INDEX(Pagos_Odoo!$A:$A, MATCH(X636, Pagos_Odoo!$B:$B, 0)), ""))</f>
        <v/>
      </c>
      <c r="AA636" s="79">
        <f>IF(X636="Sin Pago","",IFERROR(INDEX(Pagos_Odoo!$F:$F, MATCH(X636, Pagos_Odoo!$B:$B, 0)), ""))</f>
        <v/>
      </c>
      <c r="AB636" s="81">
        <f>IF(X636="Sin Pago",0,IFERROR(INDEX(Pagos_Odoo!$E:$E, MATCH(X636, Pagos_Odoo!$B:$B, 0)), 0))</f>
        <v/>
      </c>
      <c r="AC636" s="79">
        <f>IF(X636="Sin Pago","",IFERROR(INDEX(Pagos_Odoo!$G:$G, MATCH(X636, Pagos_Odoo!$B:$B, 0)), ""))</f>
        <v/>
      </c>
      <c r="AD636" s="82" t="n">
        <v>0</v>
      </c>
      <c r="AE636" s="82" t="n"/>
      <c r="AF636" s="82" t="n"/>
      <c r="AG636" s="82">
        <f>IF(AN636="","",AD636+AE636+AF636)</f>
        <v/>
      </c>
      <c r="AH636" s="81">
        <f>IF(AN636="","",P636*(1-AG636))</f>
        <v/>
      </c>
      <c r="AI636" s="81">
        <f>IF(AN636="","",IF(Q636="Sin Factura",0,IFERROR(INDEX(Facturas_Odoo!$H:$H, MATCH(Q636, Facturas_Odoo!$B:$B, 0)), 0)*(1-AG636)))</f>
        <v/>
      </c>
      <c r="AJ636" s="81">
        <f>IF(AN636="","",_xlfn.LET(idVenta, AN636&amp;"",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36" s="81">
        <f>IF(AN636="","",AH636-AJ636)</f>
        <v/>
      </c>
      <c r="AL636" s="81">
        <f>IF(AN636="","",IF(Q636="Sin Factura","",AI636-AJ636))</f>
        <v/>
      </c>
      <c r="AM636" s="81">
        <f>IF(AN636="","",IF(Q636="Sin Factura",0,P636-IFERROR(INDEX(Facturas_Odoo!$H:$H, MATCH(Q636, Facturas_Odoo!$B:$B, 0)), 0)))</f>
        <v/>
      </c>
      <c r="AN636" s="79">
        <f>IF(AND(A636="", J636=""), "", IF(A636&lt;&gt;"", VALUE(MID(A636,2,LEN(A636))), AN635))</f>
        <v/>
      </c>
      <c r="AO636" s="79">
        <f>IF(AN636="","",IF(AD636=0,"OK",_xlfn.LET(monedaPago, IF(AA636="","USD",AA636), limitePermitido, IFERROR(VLOOKUP(monedaPago, Configuración!$A$2:$B$3, 2, FALSE), 0.15), IF(AD636&gt;limitePermitido, "ALERTA: EXCESO (" &amp; TEXT(limitePermitido, "0%") &amp; " máx)", "OK"))))</f>
        <v/>
      </c>
      <c r="AP636" s="79">
        <f>IF(AN636="","",IF(AE636=0,"OK",_xlfn.LET(fechaPago, Z636, fechaFactura, R636, diasCredito, IF(E636="Pago inmediato", 0, IFERROR(VALUE(MID(E636, 1, SEARCH(" ", E636)-1)),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36" s="79">
        <f>IF(AN636="","",IF(AND(N636&gt;0, AG636&gt;0), IF(Configuración!$K$2="NO", "ALERTA: DESCUENTO DOBLE NO PERMITIDO", "OK"), "OK"))</f>
        <v/>
      </c>
      <c r="AR636" s="79">
        <f>IF(AN636="","",IF(OR(AO636&lt;&gt;"OK", AP636&lt;&gt;"OK", AQ636&lt;&gt;"OK"), "⚠️ REVISAR", "OK"))</f>
        <v/>
      </c>
    </row>
    <row r="637">
      <c r="A637" s="79">
        <f>IF('Ordenes_Odoo'!A637="","",'Ordenes_Odoo'!A637)</f>
        <v/>
      </c>
      <c r="B637" s="80">
        <f>IF('Ordenes_Odoo'!B637="","",'Ordenes_Odoo'!B637)</f>
        <v/>
      </c>
      <c r="C637" s="79">
        <f>IF('Ordenes_Odoo'!C637="","",'Ordenes_Odoo'!C637)</f>
        <v/>
      </c>
      <c r="D637" s="79">
        <f>IF('Ordenes_Odoo'!D637="","",'Ordenes_Odoo'!D637)</f>
        <v/>
      </c>
      <c r="E637" s="79">
        <f>IF('Ordenes_Odoo'!E637="","",'Ordenes_Odoo'!E637)</f>
        <v/>
      </c>
      <c r="F637" s="79">
        <f>IF('Ordenes_Odoo'!F637="","",'Ordenes_Odoo'!F637)</f>
        <v/>
      </c>
      <c r="G637" s="79">
        <f>IF('Ordenes_Odoo'!G637="","",'Ordenes_Odoo'!G637)</f>
        <v/>
      </c>
      <c r="H637" s="79">
        <f>IF('Ordenes_Odoo'!H637="","",'Ordenes_Odoo'!H637)</f>
        <v/>
      </c>
      <c r="I637" s="79">
        <f>IF('Ordenes_Odoo'!I637="","",'Ordenes_Odoo'!I637)</f>
        <v/>
      </c>
      <c r="J637" s="79">
        <f>IF('Ordenes_Odoo'!J637="","",'Ordenes_Odoo'!J637)</f>
        <v/>
      </c>
      <c r="K637" s="81">
        <f>IF('Ordenes_Odoo'!K637="","",'Ordenes_Odoo'!K637)</f>
        <v/>
      </c>
      <c r="L637" s="81">
        <f>IF('Ordenes_Odoo'!L637="","",'Ordenes_Odoo'!L637)</f>
        <v/>
      </c>
      <c r="M637" s="79">
        <f>IF('Ordenes_Odoo'!M637="","",'Ordenes_Odoo'!M637)</f>
        <v/>
      </c>
      <c r="N637" s="79">
        <f>IF('Ordenes_Odoo'!N637="","",'Ordenes_Odoo'!N637)</f>
        <v/>
      </c>
      <c r="O637" s="81">
        <f>IF('Ordenes_Odoo'!O637="","",'Ordenes_Odoo'!O637)</f>
        <v/>
      </c>
      <c r="P637" s="81">
        <f>IF('Ordenes_Odoo'!P637="","",'Ordenes_Odoo'!P637)</f>
        <v/>
      </c>
      <c r="Q637" s="79">
        <f>IF(A637="","",IFERROR(INDEX(Facturas_Odoo!$B:$B, MATCH(A637, Facturas_Odoo!$D:$D, 0)), "Sin Factura"))</f>
        <v/>
      </c>
      <c r="R637" s="80">
        <f>IF(Q637="Sin Factura","",IFERROR(INDEX(Facturas_Odoo!$A:$A, MATCH(Q637, Facturas_Odoo!$B:$B, 0)), ""))</f>
        <v/>
      </c>
      <c r="S637" s="79">
        <f>IF(Q637="Sin Factura","",IFERROR(_xlfn.XLOOKUP(1, (Facturas_Odoo!$D:$D=A637) * (Facturas_Odoo!$K:$K=I637), Facturas_Odoo!$L:$L, ""), ""))</f>
        <v/>
      </c>
      <c r="T637" s="81">
        <f>IF(Q637="Sin Factura",0,IFERROR(_xlfn.XLOOKUP(1, (Facturas_Odoo!$D:$D=A637) * (Facturas_Odoo!$K:$K=I637), Facturas_Odoo!$M:$M, 0), 0))</f>
        <v/>
      </c>
      <c r="U637" s="79">
        <f>IF(Q637="Sin Factura",0,IFERROR(_xlfn.XLOOKUP(1, (Facturas_Odoo!$D:$D=A637) * (Facturas_Odoo!$K:$K=I637), Facturas_Odoo!$N:$N, 0), 0))</f>
        <v/>
      </c>
      <c r="V637" s="79">
        <f>IF(Q637="Sin Factura",0,IFERROR(_xlfn.XLOOKUP(1, (Facturas_Odoo!$D:$D=A637) * (Facturas_Odoo!$K:$K=I637), Facturas_Odoo!$O:$O, 0), 0))</f>
        <v/>
      </c>
      <c r="W637" s="81">
        <f>IF(Q637="Sin Factura",0,IFERROR(_xlfn.XLOOKUP(1, (Facturas_Odoo!$D:$D=A637) * (Facturas_Odoo!$K:$K=I637), Facturas_Odoo!$Q:$Q, 0), 0))</f>
        <v/>
      </c>
      <c r="X637" s="79">
        <f>IF(OR(Q637="Sin Factura",Q637=""),"",IFERROR(INDEX(Pagos_Odoo!$B:$B, MATCH(Q637, Pagos_Odoo!$I:$I, 0)), "Sin Pago"))</f>
        <v/>
      </c>
      <c r="Y637" s="79">
        <f>IF(X637="Sin Pago","",IFERROR(INDEX(Pagos_Odoo!$C:$C, MATCH(X637, Pagos_Odoo!$B:$B, 0)), ""))</f>
        <v/>
      </c>
      <c r="Z637" s="80">
        <f>IF(X637="Sin Pago","",IFERROR(INDEX(Pagos_Odoo!$A:$A, MATCH(X637, Pagos_Odoo!$B:$B, 0)), ""))</f>
        <v/>
      </c>
      <c r="AA637" s="79">
        <f>IF(X637="Sin Pago","",IFERROR(INDEX(Pagos_Odoo!$F:$F, MATCH(X637, Pagos_Odoo!$B:$B, 0)), ""))</f>
        <v/>
      </c>
      <c r="AB637" s="81">
        <f>IF(X637="Sin Pago",0,IFERROR(INDEX(Pagos_Odoo!$E:$E, MATCH(X637, Pagos_Odoo!$B:$B, 0)), 0))</f>
        <v/>
      </c>
      <c r="AC637" s="79">
        <f>IF(X637="Sin Pago","",IFERROR(INDEX(Pagos_Odoo!$G:$G, MATCH(X637, Pagos_Odoo!$B:$B, 0)), ""))</f>
        <v/>
      </c>
      <c r="AD637" s="82" t="n">
        <v>0</v>
      </c>
      <c r="AE637" s="82" t="n"/>
      <c r="AF637" s="82" t="n"/>
      <c r="AG637" s="82">
        <f>IF(AN637="","",AD637+AE637+AF637)</f>
        <v/>
      </c>
      <c r="AH637" s="81">
        <f>IF(AN637="","",P637*(1-AG637))</f>
        <v/>
      </c>
      <c r="AI637" s="81">
        <f>IF(AN637="","",IF(Q637="Sin Factura",0,IFERROR(INDEX(Facturas_Odoo!$H:$H, MATCH(Q637, Facturas_Odoo!$B:$B, 0)), 0)*(1-AG637)))</f>
        <v/>
      </c>
      <c r="AJ637" s="81">
        <f>IF(AN637="","",_xlfn.LET(idVenta, AN637&amp;"",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37" s="81">
        <f>IF(AN637="","",AH637-AJ637)</f>
        <v/>
      </c>
      <c r="AL637" s="81">
        <f>IF(AN637="","",IF(Q637="Sin Factura","",AI637-AJ637))</f>
        <v/>
      </c>
      <c r="AM637" s="81">
        <f>IF(AN637="","",IF(Q637="Sin Factura",0,P637-IFERROR(INDEX(Facturas_Odoo!$H:$H, MATCH(Q637, Facturas_Odoo!$B:$B, 0)), 0)))</f>
        <v/>
      </c>
      <c r="AN637" s="79">
        <f>IF(AND(A637="", J637=""), "", IF(A637&lt;&gt;"", VALUE(MID(A637,2,LEN(A637))), AN636))</f>
        <v/>
      </c>
      <c r="AO637" s="79">
        <f>IF(AN637="","",IF(AD637=0,"OK",_xlfn.LET(monedaPago, IF(AA637="","USD",AA637), limitePermitido, IFERROR(VLOOKUP(monedaPago, Configuración!$A$2:$B$3, 2, FALSE), 0.15), IF(AD637&gt;limitePermitido, "ALERTA: EXCESO (" &amp; TEXT(limitePermitido, "0%") &amp; " máx)", "OK"))))</f>
        <v/>
      </c>
      <c r="AP637" s="79">
        <f>IF(AN637="","",IF(AE637=0,"OK",_xlfn.LET(fechaPago, Z637, fechaFactura, R637, diasCredito, IF(E637="Pago inmediato", 0, IFERROR(VALUE(MID(E637, 1, SEARCH(" ", E637)-1)),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37" s="79">
        <f>IF(AN637="","",IF(AND(N637&gt;0, AG637&gt;0), IF(Configuración!$K$2="NO", "ALERTA: DESCUENTO DOBLE NO PERMITIDO", "OK"), "OK"))</f>
        <v/>
      </c>
      <c r="AR637" s="79">
        <f>IF(AN637="","",IF(OR(AO637&lt;&gt;"OK", AP637&lt;&gt;"OK", AQ637&lt;&gt;"OK"), "⚠️ REVISAR", "OK"))</f>
        <v/>
      </c>
    </row>
    <row r="638">
      <c r="A638" s="79">
        <f>IF('Ordenes_Odoo'!A638="","",'Ordenes_Odoo'!A638)</f>
        <v/>
      </c>
      <c r="B638" s="80">
        <f>IF('Ordenes_Odoo'!B638="","",'Ordenes_Odoo'!B638)</f>
        <v/>
      </c>
      <c r="C638" s="79">
        <f>IF('Ordenes_Odoo'!C638="","",'Ordenes_Odoo'!C638)</f>
        <v/>
      </c>
      <c r="D638" s="79">
        <f>IF('Ordenes_Odoo'!D638="","",'Ordenes_Odoo'!D638)</f>
        <v/>
      </c>
      <c r="E638" s="79">
        <f>IF('Ordenes_Odoo'!E638="","",'Ordenes_Odoo'!E638)</f>
        <v/>
      </c>
      <c r="F638" s="79">
        <f>IF('Ordenes_Odoo'!F638="","",'Ordenes_Odoo'!F638)</f>
        <v/>
      </c>
      <c r="G638" s="79">
        <f>IF('Ordenes_Odoo'!G638="","",'Ordenes_Odoo'!G638)</f>
        <v/>
      </c>
      <c r="H638" s="79">
        <f>IF('Ordenes_Odoo'!H638="","",'Ordenes_Odoo'!H638)</f>
        <v/>
      </c>
      <c r="I638" s="79">
        <f>IF('Ordenes_Odoo'!I638="","",'Ordenes_Odoo'!I638)</f>
        <v/>
      </c>
      <c r="J638" s="79">
        <f>IF('Ordenes_Odoo'!J638="","",'Ordenes_Odoo'!J638)</f>
        <v/>
      </c>
      <c r="K638" s="81">
        <f>IF('Ordenes_Odoo'!K638="","",'Ordenes_Odoo'!K638)</f>
        <v/>
      </c>
      <c r="L638" s="81">
        <f>IF('Ordenes_Odoo'!L638="","",'Ordenes_Odoo'!L638)</f>
        <v/>
      </c>
      <c r="M638" s="79">
        <f>IF('Ordenes_Odoo'!M638="","",'Ordenes_Odoo'!M638)</f>
        <v/>
      </c>
      <c r="N638" s="79">
        <f>IF('Ordenes_Odoo'!N638="","",'Ordenes_Odoo'!N638)</f>
        <v/>
      </c>
      <c r="O638" s="81">
        <f>IF('Ordenes_Odoo'!O638="","",'Ordenes_Odoo'!O638)</f>
        <v/>
      </c>
      <c r="P638" s="81">
        <f>IF('Ordenes_Odoo'!P638="","",'Ordenes_Odoo'!P638)</f>
        <v/>
      </c>
      <c r="Q638" s="79">
        <f>IF(A638="","",IFERROR(INDEX(Facturas_Odoo!$B:$B, MATCH(A638, Facturas_Odoo!$D:$D, 0)), "Sin Factura"))</f>
        <v/>
      </c>
      <c r="R638" s="80">
        <f>IF(Q638="Sin Factura","",IFERROR(INDEX(Facturas_Odoo!$A:$A, MATCH(Q638, Facturas_Odoo!$B:$B, 0)), ""))</f>
        <v/>
      </c>
      <c r="S638" s="79">
        <f>IF(Q638="Sin Factura","",IFERROR(_xlfn.XLOOKUP(1, (Facturas_Odoo!$D:$D=A638) * (Facturas_Odoo!$K:$K=I638), Facturas_Odoo!$L:$L, ""), ""))</f>
        <v/>
      </c>
      <c r="T638" s="81">
        <f>IF(Q638="Sin Factura",0,IFERROR(_xlfn.XLOOKUP(1, (Facturas_Odoo!$D:$D=A638) * (Facturas_Odoo!$K:$K=I638), Facturas_Odoo!$M:$M, 0), 0))</f>
        <v/>
      </c>
      <c r="U638" s="79">
        <f>IF(Q638="Sin Factura",0,IFERROR(_xlfn.XLOOKUP(1, (Facturas_Odoo!$D:$D=A638) * (Facturas_Odoo!$K:$K=I638), Facturas_Odoo!$N:$N, 0), 0))</f>
        <v/>
      </c>
      <c r="V638" s="79">
        <f>IF(Q638="Sin Factura",0,IFERROR(_xlfn.XLOOKUP(1, (Facturas_Odoo!$D:$D=A638) * (Facturas_Odoo!$K:$K=I638), Facturas_Odoo!$O:$O, 0), 0))</f>
        <v/>
      </c>
      <c r="W638" s="81">
        <f>IF(Q638="Sin Factura",0,IFERROR(_xlfn.XLOOKUP(1, (Facturas_Odoo!$D:$D=A638) * (Facturas_Odoo!$K:$K=I638), Facturas_Odoo!$Q:$Q, 0), 0))</f>
        <v/>
      </c>
      <c r="X638" s="79">
        <f>IF(OR(Q638="Sin Factura",Q638=""),"",IFERROR(INDEX(Pagos_Odoo!$B:$B, MATCH(Q638, Pagos_Odoo!$I:$I, 0)), "Sin Pago"))</f>
        <v/>
      </c>
      <c r="Y638" s="79">
        <f>IF(X638="Sin Pago","",IFERROR(INDEX(Pagos_Odoo!$C:$C, MATCH(X638, Pagos_Odoo!$B:$B, 0)), ""))</f>
        <v/>
      </c>
      <c r="Z638" s="80">
        <f>IF(X638="Sin Pago","",IFERROR(INDEX(Pagos_Odoo!$A:$A, MATCH(X638, Pagos_Odoo!$B:$B, 0)), ""))</f>
        <v/>
      </c>
      <c r="AA638" s="79">
        <f>IF(X638="Sin Pago","",IFERROR(INDEX(Pagos_Odoo!$F:$F, MATCH(X638, Pagos_Odoo!$B:$B, 0)), ""))</f>
        <v/>
      </c>
      <c r="AB638" s="81">
        <f>IF(X638="Sin Pago",0,IFERROR(INDEX(Pagos_Odoo!$E:$E, MATCH(X638, Pagos_Odoo!$B:$B, 0)), 0))</f>
        <v/>
      </c>
      <c r="AC638" s="79">
        <f>IF(X638="Sin Pago","",IFERROR(INDEX(Pagos_Odoo!$G:$G, MATCH(X638, Pagos_Odoo!$B:$B, 0)), ""))</f>
        <v/>
      </c>
      <c r="AD638" s="82" t="n">
        <v>0</v>
      </c>
      <c r="AE638" s="82" t="n"/>
      <c r="AF638" s="82" t="n"/>
      <c r="AG638" s="82">
        <f>IF(AN638="","",AD638+AE638+AF638)</f>
        <v/>
      </c>
      <c r="AH638" s="81">
        <f>IF(AN638="","",P638*(1-AG638))</f>
        <v/>
      </c>
      <c r="AI638" s="81">
        <f>IF(AN638="","",IF(Q638="Sin Factura",0,IFERROR(INDEX(Facturas_Odoo!$H:$H, MATCH(Q638, Facturas_Odoo!$B:$B, 0)), 0)*(1-AG638)))</f>
        <v/>
      </c>
      <c r="AJ638" s="81">
        <f>IF(AN638="","",_xlfn.LET(idVenta, AN638&amp;"",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38" s="81">
        <f>IF(AN638="","",AH638-AJ638)</f>
        <v/>
      </c>
      <c r="AL638" s="81">
        <f>IF(AN638="","",IF(Q638="Sin Factura","",AI638-AJ638))</f>
        <v/>
      </c>
      <c r="AM638" s="81">
        <f>IF(AN638="","",IF(Q638="Sin Factura",0,P638-IFERROR(INDEX(Facturas_Odoo!$H:$H, MATCH(Q638, Facturas_Odoo!$B:$B, 0)), 0)))</f>
        <v/>
      </c>
      <c r="AN638" s="79">
        <f>IF(AND(A638="", J638=""), "", IF(A638&lt;&gt;"", VALUE(MID(A638,2,LEN(A638))), AN637))</f>
        <v/>
      </c>
      <c r="AO638" s="79">
        <f>IF(AN638="","",IF(AD638=0,"OK",_xlfn.LET(monedaPago, IF(AA638="","USD",AA638), limitePermitido, IFERROR(VLOOKUP(monedaPago, Configuración!$A$2:$B$3, 2, FALSE), 0.15), IF(AD638&gt;limitePermitido, "ALERTA: EXCESO (" &amp; TEXT(limitePermitido, "0%") &amp; " máx)", "OK"))))</f>
        <v/>
      </c>
      <c r="AP638" s="79">
        <f>IF(AN638="","",IF(AE638=0,"OK",_xlfn.LET(fechaPago, Z638, fechaFactura, R638, diasCredito, IF(E638="Pago inmediato", 0, IFERROR(VALUE(MID(E638, 1, SEARCH(" ", E638)-1)),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38" s="79">
        <f>IF(AN638="","",IF(AND(N638&gt;0, AG638&gt;0), IF(Configuración!$K$2="NO", "ALERTA: DESCUENTO DOBLE NO PERMITIDO", "OK"), "OK"))</f>
        <v/>
      </c>
      <c r="AR638" s="79">
        <f>IF(AN638="","",IF(OR(AO638&lt;&gt;"OK", AP638&lt;&gt;"OK", AQ638&lt;&gt;"OK"), "⚠️ REVISAR", "OK"))</f>
        <v/>
      </c>
    </row>
    <row r="639">
      <c r="A639" s="79">
        <f>IF('Ordenes_Odoo'!A639="","",'Ordenes_Odoo'!A639)</f>
        <v/>
      </c>
      <c r="B639" s="80">
        <f>IF('Ordenes_Odoo'!B639="","",'Ordenes_Odoo'!B639)</f>
        <v/>
      </c>
      <c r="C639" s="79">
        <f>IF('Ordenes_Odoo'!C639="","",'Ordenes_Odoo'!C639)</f>
        <v/>
      </c>
      <c r="D639" s="79">
        <f>IF('Ordenes_Odoo'!D639="","",'Ordenes_Odoo'!D639)</f>
        <v/>
      </c>
      <c r="E639" s="79">
        <f>IF('Ordenes_Odoo'!E639="","",'Ordenes_Odoo'!E639)</f>
        <v/>
      </c>
      <c r="F639" s="79">
        <f>IF('Ordenes_Odoo'!F639="","",'Ordenes_Odoo'!F639)</f>
        <v/>
      </c>
      <c r="G639" s="79">
        <f>IF('Ordenes_Odoo'!G639="","",'Ordenes_Odoo'!G639)</f>
        <v/>
      </c>
      <c r="H639" s="79">
        <f>IF('Ordenes_Odoo'!H639="","",'Ordenes_Odoo'!H639)</f>
        <v/>
      </c>
      <c r="I639" s="79">
        <f>IF('Ordenes_Odoo'!I639="","",'Ordenes_Odoo'!I639)</f>
        <v/>
      </c>
      <c r="J639" s="79">
        <f>IF('Ordenes_Odoo'!J639="","",'Ordenes_Odoo'!J639)</f>
        <v/>
      </c>
      <c r="K639" s="81">
        <f>IF('Ordenes_Odoo'!K639="","",'Ordenes_Odoo'!K639)</f>
        <v/>
      </c>
      <c r="L639" s="81">
        <f>IF('Ordenes_Odoo'!L639="","",'Ordenes_Odoo'!L639)</f>
        <v/>
      </c>
      <c r="M639" s="79">
        <f>IF('Ordenes_Odoo'!M639="","",'Ordenes_Odoo'!M639)</f>
        <v/>
      </c>
      <c r="N639" s="79">
        <f>IF('Ordenes_Odoo'!N639="","",'Ordenes_Odoo'!N639)</f>
        <v/>
      </c>
      <c r="O639" s="81">
        <f>IF('Ordenes_Odoo'!O639="","",'Ordenes_Odoo'!O639)</f>
        <v/>
      </c>
      <c r="P639" s="81">
        <f>IF('Ordenes_Odoo'!P639="","",'Ordenes_Odoo'!P639)</f>
        <v/>
      </c>
      <c r="Q639" s="79">
        <f>IF(A639="","",IFERROR(INDEX(Facturas_Odoo!$B:$B, MATCH(A639, Facturas_Odoo!$D:$D, 0)), "Sin Factura"))</f>
        <v/>
      </c>
      <c r="R639" s="80">
        <f>IF(Q639="Sin Factura","",IFERROR(INDEX(Facturas_Odoo!$A:$A, MATCH(Q639, Facturas_Odoo!$B:$B, 0)), ""))</f>
        <v/>
      </c>
      <c r="S639" s="79">
        <f>IF(Q639="Sin Factura","",IFERROR(_xlfn.XLOOKUP(1, (Facturas_Odoo!$D:$D=A639) * (Facturas_Odoo!$K:$K=I639), Facturas_Odoo!$L:$L, ""), ""))</f>
        <v/>
      </c>
      <c r="T639" s="81">
        <f>IF(Q639="Sin Factura",0,IFERROR(_xlfn.XLOOKUP(1, (Facturas_Odoo!$D:$D=A639) * (Facturas_Odoo!$K:$K=I639), Facturas_Odoo!$M:$M, 0), 0))</f>
        <v/>
      </c>
      <c r="U639" s="79">
        <f>IF(Q639="Sin Factura",0,IFERROR(_xlfn.XLOOKUP(1, (Facturas_Odoo!$D:$D=A639) * (Facturas_Odoo!$K:$K=I639), Facturas_Odoo!$N:$N, 0), 0))</f>
        <v/>
      </c>
      <c r="V639" s="79">
        <f>IF(Q639="Sin Factura",0,IFERROR(_xlfn.XLOOKUP(1, (Facturas_Odoo!$D:$D=A639) * (Facturas_Odoo!$K:$K=I639), Facturas_Odoo!$O:$O, 0), 0))</f>
        <v/>
      </c>
      <c r="W639" s="81">
        <f>IF(Q639="Sin Factura",0,IFERROR(_xlfn.XLOOKUP(1, (Facturas_Odoo!$D:$D=A639) * (Facturas_Odoo!$K:$K=I639), Facturas_Odoo!$Q:$Q, 0), 0))</f>
        <v/>
      </c>
      <c r="X639" s="79">
        <f>IF(OR(Q639="Sin Factura",Q639=""),"",IFERROR(INDEX(Pagos_Odoo!$B:$B, MATCH(Q639, Pagos_Odoo!$I:$I, 0)), "Sin Pago"))</f>
        <v/>
      </c>
      <c r="Y639" s="79">
        <f>IF(X639="Sin Pago","",IFERROR(INDEX(Pagos_Odoo!$C:$C, MATCH(X639, Pagos_Odoo!$B:$B, 0)), ""))</f>
        <v/>
      </c>
      <c r="Z639" s="80">
        <f>IF(X639="Sin Pago","",IFERROR(INDEX(Pagos_Odoo!$A:$A, MATCH(X639, Pagos_Odoo!$B:$B, 0)), ""))</f>
        <v/>
      </c>
      <c r="AA639" s="79">
        <f>IF(X639="Sin Pago","",IFERROR(INDEX(Pagos_Odoo!$F:$F, MATCH(X639, Pagos_Odoo!$B:$B, 0)), ""))</f>
        <v/>
      </c>
      <c r="AB639" s="81">
        <f>IF(X639="Sin Pago",0,IFERROR(INDEX(Pagos_Odoo!$E:$E, MATCH(X639, Pagos_Odoo!$B:$B, 0)), 0))</f>
        <v/>
      </c>
      <c r="AC639" s="79">
        <f>IF(X639="Sin Pago","",IFERROR(INDEX(Pagos_Odoo!$G:$G, MATCH(X639, Pagos_Odoo!$B:$B, 0)), ""))</f>
        <v/>
      </c>
      <c r="AD639" s="82" t="n">
        <v>0</v>
      </c>
      <c r="AE639" s="82" t="n"/>
      <c r="AF639" s="82" t="n"/>
      <c r="AG639" s="82">
        <f>IF(AN639="","",AD639+AE639+AF639)</f>
        <v/>
      </c>
      <c r="AH639" s="81">
        <f>IF(AN639="","",P639*(1-AG639))</f>
        <v/>
      </c>
      <c r="AI639" s="81">
        <f>IF(AN639="","",IF(Q639="Sin Factura",0,IFERROR(INDEX(Facturas_Odoo!$H:$H, MATCH(Q639, Facturas_Odoo!$B:$B, 0)), 0)*(1-AG639)))</f>
        <v/>
      </c>
      <c r="AJ639" s="81">
        <f>IF(AN639="","",_xlfn.LET(idVenta, AN639&amp;"",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39" s="81">
        <f>IF(AN639="","",AH639-AJ639)</f>
        <v/>
      </c>
      <c r="AL639" s="81">
        <f>IF(AN639="","",IF(Q639="Sin Factura","",AI639-AJ639))</f>
        <v/>
      </c>
      <c r="AM639" s="81">
        <f>IF(AN639="","",IF(Q639="Sin Factura",0,P639-IFERROR(INDEX(Facturas_Odoo!$H:$H, MATCH(Q639, Facturas_Odoo!$B:$B, 0)), 0)))</f>
        <v/>
      </c>
      <c r="AN639" s="79">
        <f>IF(AND(A639="", J639=""), "", IF(A639&lt;&gt;"", VALUE(MID(A639,2,LEN(A639))), AN638))</f>
        <v/>
      </c>
      <c r="AO639" s="79">
        <f>IF(AN639="","",IF(AD639=0,"OK",_xlfn.LET(monedaPago, IF(AA639="","USD",AA639), limitePermitido, IFERROR(VLOOKUP(monedaPago, Configuración!$A$2:$B$3, 2, FALSE), 0.15), IF(AD639&gt;limitePermitido, "ALERTA: EXCESO (" &amp; TEXT(limitePermitido, "0%") &amp; " máx)", "OK"))))</f>
        <v/>
      </c>
      <c r="AP639" s="79">
        <f>IF(AN639="","",IF(AE639=0,"OK",_xlfn.LET(fechaPago, Z639, fechaFactura, R639, diasCredito, IF(E639="Pago inmediato", 0, IFERROR(VALUE(MID(E639, 1, SEARCH(" ", E639)-1)),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39" s="79">
        <f>IF(AN639="","",IF(AND(N639&gt;0, AG639&gt;0), IF(Configuración!$K$2="NO", "ALERTA: DESCUENTO DOBLE NO PERMITIDO", "OK"), "OK"))</f>
        <v/>
      </c>
      <c r="AR639" s="79">
        <f>IF(AN639="","",IF(OR(AO639&lt;&gt;"OK", AP639&lt;&gt;"OK", AQ639&lt;&gt;"OK"), "⚠️ REVISAR", "OK"))</f>
        <v/>
      </c>
    </row>
    <row r="640">
      <c r="A640" s="79">
        <f>IF('Ordenes_Odoo'!A640="","",'Ordenes_Odoo'!A640)</f>
        <v/>
      </c>
      <c r="B640" s="80">
        <f>IF('Ordenes_Odoo'!B640="","",'Ordenes_Odoo'!B640)</f>
        <v/>
      </c>
      <c r="C640" s="79">
        <f>IF('Ordenes_Odoo'!C640="","",'Ordenes_Odoo'!C640)</f>
        <v/>
      </c>
      <c r="D640" s="79">
        <f>IF('Ordenes_Odoo'!D640="","",'Ordenes_Odoo'!D640)</f>
        <v/>
      </c>
      <c r="E640" s="79">
        <f>IF('Ordenes_Odoo'!E640="","",'Ordenes_Odoo'!E640)</f>
        <v/>
      </c>
      <c r="F640" s="79">
        <f>IF('Ordenes_Odoo'!F640="","",'Ordenes_Odoo'!F640)</f>
        <v/>
      </c>
      <c r="G640" s="79">
        <f>IF('Ordenes_Odoo'!G640="","",'Ordenes_Odoo'!G640)</f>
        <v/>
      </c>
      <c r="H640" s="79">
        <f>IF('Ordenes_Odoo'!H640="","",'Ordenes_Odoo'!H640)</f>
        <v/>
      </c>
      <c r="I640" s="79">
        <f>IF('Ordenes_Odoo'!I640="","",'Ordenes_Odoo'!I640)</f>
        <v/>
      </c>
      <c r="J640" s="79">
        <f>IF('Ordenes_Odoo'!J640="","",'Ordenes_Odoo'!J640)</f>
        <v/>
      </c>
      <c r="K640" s="81">
        <f>IF('Ordenes_Odoo'!K640="","",'Ordenes_Odoo'!K640)</f>
        <v/>
      </c>
      <c r="L640" s="81">
        <f>IF('Ordenes_Odoo'!L640="","",'Ordenes_Odoo'!L640)</f>
        <v/>
      </c>
      <c r="M640" s="79">
        <f>IF('Ordenes_Odoo'!M640="","",'Ordenes_Odoo'!M640)</f>
        <v/>
      </c>
      <c r="N640" s="79">
        <f>IF('Ordenes_Odoo'!N640="","",'Ordenes_Odoo'!N640)</f>
        <v/>
      </c>
      <c r="O640" s="81">
        <f>IF('Ordenes_Odoo'!O640="","",'Ordenes_Odoo'!O640)</f>
        <v/>
      </c>
      <c r="P640" s="81">
        <f>IF('Ordenes_Odoo'!P640="","",'Ordenes_Odoo'!P640)</f>
        <v/>
      </c>
      <c r="Q640" s="79">
        <f>IF(A640="","",IFERROR(INDEX(Facturas_Odoo!$B:$B, MATCH(A640, Facturas_Odoo!$D:$D, 0)), "Sin Factura"))</f>
        <v/>
      </c>
      <c r="R640" s="80">
        <f>IF(Q640="Sin Factura","",IFERROR(INDEX(Facturas_Odoo!$A:$A, MATCH(Q640, Facturas_Odoo!$B:$B, 0)), ""))</f>
        <v/>
      </c>
      <c r="S640" s="79">
        <f>IF(Q640="Sin Factura","",IFERROR(_xlfn.XLOOKUP(1, (Facturas_Odoo!$D:$D=A640) * (Facturas_Odoo!$K:$K=I640), Facturas_Odoo!$L:$L, ""), ""))</f>
        <v/>
      </c>
      <c r="T640" s="81">
        <f>IF(Q640="Sin Factura",0,IFERROR(_xlfn.XLOOKUP(1, (Facturas_Odoo!$D:$D=A640) * (Facturas_Odoo!$K:$K=I640), Facturas_Odoo!$M:$M, 0), 0))</f>
        <v/>
      </c>
      <c r="U640" s="79">
        <f>IF(Q640="Sin Factura",0,IFERROR(_xlfn.XLOOKUP(1, (Facturas_Odoo!$D:$D=A640) * (Facturas_Odoo!$K:$K=I640), Facturas_Odoo!$N:$N, 0), 0))</f>
        <v/>
      </c>
      <c r="V640" s="79">
        <f>IF(Q640="Sin Factura",0,IFERROR(_xlfn.XLOOKUP(1, (Facturas_Odoo!$D:$D=A640) * (Facturas_Odoo!$K:$K=I640), Facturas_Odoo!$O:$O, 0), 0))</f>
        <v/>
      </c>
      <c r="W640" s="81">
        <f>IF(Q640="Sin Factura",0,IFERROR(_xlfn.XLOOKUP(1, (Facturas_Odoo!$D:$D=A640) * (Facturas_Odoo!$K:$K=I640), Facturas_Odoo!$Q:$Q, 0), 0))</f>
        <v/>
      </c>
      <c r="X640" s="79">
        <f>IF(OR(Q640="Sin Factura",Q640=""),"",IFERROR(INDEX(Pagos_Odoo!$B:$B, MATCH(Q640, Pagos_Odoo!$I:$I, 0)), "Sin Pago"))</f>
        <v/>
      </c>
      <c r="Y640" s="79">
        <f>IF(X640="Sin Pago","",IFERROR(INDEX(Pagos_Odoo!$C:$C, MATCH(X640, Pagos_Odoo!$B:$B, 0)), ""))</f>
        <v/>
      </c>
      <c r="Z640" s="80">
        <f>IF(X640="Sin Pago","",IFERROR(INDEX(Pagos_Odoo!$A:$A, MATCH(X640, Pagos_Odoo!$B:$B, 0)), ""))</f>
        <v/>
      </c>
      <c r="AA640" s="79">
        <f>IF(X640="Sin Pago","",IFERROR(INDEX(Pagos_Odoo!$F:$F, MATCH(X640, Pagos_Odoo!$B:$B, 0)), ""))</f>
        <v/>
      </c>
      <c r="AB640" s="81">
        <f>IF(X640="Sin Pago",0,IFERROR(INDEX(Pagos_Odoo!$E:$E, MATCH(X640, Pagos_Odoo!$B:$B, 0)), 0))</f>
        <v/>
      </c>
      <c r="AC640" s="79">
        <f>IF(X640="Sin Pago","",IFERROR(INDEX(Pagos_Odoo!$G:$G, MATCH(X640, Pagos_Odoo!$B:$B, 0)), ""))</f>
        <v/>
      </c>
      <c r="AD640" s="82" t="n">
        <v>0</v>
      </c>
      <c r="AE640" s="82" t="n"/>
      <c r="AF640" s="82" t="n"/>
      <c r="AG640" s="82">
        <f>IF(AN640="","",AD640+AE640+AF640)</f>
        <v/>
      </c>
      <c r="AH640" s="81">
        <f>IF(AN640="","",P640*(1-AG640))</f>
        <v/>
      </c>
      <c r="AI640" s="81">
        <f>IF(AN640="","",IF(Q640="Sin Factura",0,IFERROR(INDEX(Facturas_Odoo!$H:$H, MATCH(Q640, Facturas_Odoo!$B:$B, 0)), 0)*(1-AG640)))</f>
        <v/>
      </c>
      <c r="AJ640" s="81">
        <f>IF(AN640="","",_xlfn.LET(idVenta, AN640&amp;"",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40" s="81">
        <f>IF(AN640="","",AH640-AJ640)</f>
        <v/>
      </c>
      <c r="AL640" s="81">
        <f>IF(AN640="","",IF(Q640="Sin Factura","",AI640-AJ640))</f>
        <v/>
      </c>
      <c r="AM640" s="81">
        <f>IF(AN640="","",IF(Q640="Sin Factura",0,P640-IFERROR(INDEX(Facturas_Odoo!$H:$H, MATCH(Q640, Facturas_Odoo!$B:$B, 0)), 0)))</f>
        <v/>
      </c>
      <c r="AN640" s="79">
        <f>IF(AND(A640="", J640=""), "", IF(A640&lt;&gt;"", VALUE(MID(A640,2,LEN(A640))), AN639))</f>
        <v/>
      </c>
      <c r="AO640" s="79">
        <f>IF(AN640="","",IF(AD640=0,"OK",_xlfn.LET(monedaPago, IF(AA640="","USD",AA640), limitePermitido, IFERROR(VLOOKUP(monedaPago, Configuración!$A$2:$B$3, 2, FALSE), 0.15), IF(AD640&gt;limitePermitido, "ALERTA: EXCESO (" &amp; TEXT(limitePermitido, "0%") &amp; " máx)", "OK"))))</f>
        <v/>
      </c>
      <c r="AP640" s="79">
        <f>IF(AN640="","",IF(AE640=0,"OK",_xlfn.LET(fechaPago, Z640, fechaFactura, R640, diasCredito, IF(E640="Pago inmediato", 0, IFERROR(VALUE(MID(E640, 1, SEARCH(" ", E640)-1)),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40" s="79">
        <f>IF(AN640="","",IF(AND(N640&gt;0, AG640&gt;0), IF(Configuración!$K$2="NO", "ALERTA: DESCUENTO DOBLE NO PERMITIDO", "OK"), "OK"))</f>
        <v/>
      </c>
      <c r="AR640" s="79">
        <f>IF(AN640="","",IF(OR(AO640&lt;&gt;"OK", AP640&lt;&gt;"OK", AQ640&lt;&gt;"OK"), "⚠️ REVISAR", "OK"))</f>
        <v/>
      </c>
    </row>
    <row r="641">
      <c r="A641" s="79">
        <f>IF('Ordenes_Odoo'!A641="","",'Ordenes_Odoo'!A641)</f>
        <v/>
      </c>
      <c r="B641" s="80">
        <f>IF('Ordenes_Odoo'!B641="","",'Ordenes_Odoo'!B641)</f>
        <v/>
      </c>
      <c r="C641" s="79">
        <f>IF('Ordenes_Odoo'!C641="","",'Ordenes_Odoo'!C641)</f>
        <v/>
      </c>
      <c r="D641" s="79">
        <f>IF('Ordenes_Odoo'!D641="","",'Ordenes_Odoo'!D641)</f>
        <v/>
      </c>
      <c r="E641" s="79">
        <f>IF('Ordenes_Odoo'!E641="","",'Ordenes_Odoo'!E641)</f>
        <v/>
      </c>
      <c r="F641" s="79">
        <f>IF('Ordenes_Odoo'!F641="","",'Ordenes_Odoo'!F641)</f>
        <v/>
      </c>
      <c r="G641" s="79">
        <f>IF('Ordenes_Odoo'!G641="","",'Ordenes_Odoo'!G641)</f>
        <v/>
      </c>
      <c r="H641" s="79">
        <f>IF('Ordenes_Odoo'!H641="","",'Ordenes_Odoo'!H641)</f>
        <v/>
      </c>
      <c r="I641" s="79">
        <f>IF('Ordenes_Odoo'!I641="","",'Ordenes_Odoo'!I641)</f>
        <v/>
      </c>
      <c r="J641" s="79">
        <f>IF('Ordenes_Odoo'!J641="","",'Ordenes_Odoo'!J641)</f>
        <v/>
      </c>
      <c r="K641" s="81">
        <f>IF('Ordenes_Odoo'!K641="","",'Ordenes_Odoo'!K641)</f>
        <v/>
      </c>
      <c r="L641" s="81">
        <f>IF('Ordenes_Odoo'!L641="","",'Ordenes_Odoo'!L641)</f>
        <v/>
      </c>
      <c r="M641" s="79">
        <f>IF('Ordenes_Odoo'!M641="","",'Ordenes_Odoo'!M641)</f>
        <v/>
      </c>
      <c r="N641" s="79">
        <f>IF('Ordenes_Odoo'!N641="","",'Ordenes_Odoo'!N641)</f>
        <v/>
      </c>
      <c r="O641" s="81">
        <f>IF('Ordenes_Odoo'!O641="","",'Ordenes_Odoo'!O641)</f>
        <v/>
      </c>
      <c r="P641" s="81">
        <f>IF('Ordenes_Odoo'!P641="","",'Ordenes_Odoo'!P641)</f>
        <v/>
      </c>
      <c r="Q641" s="79">
        <f>IF(A641="","",IFERROR(INDEX(Facturas_Odoo!$B:$B, MATCH(A641, Facturas_Odoo!$D:$D, 0)), "Sin Factura"))</f>
        <v/>
      </c>
      <c r="R641" s="80">
        <f>IF(Q641="Sin Factura","",IFERROR(INDEX(Facturas_Odoo!$A:$A, MATCH(Q641, Facturas_Odoo!$B:$B, 0)), ""))</f>
        <v/>
      </c>
      <c r="S641" s="79">
        <f>IF(Q641="Sin Factura","",IFERROR(_xlfn.XLOOKUP(1, (Facturas_Odoo!$D:$D=A641) * (Facturas_Odoo!$K:$K=I641), Facturas_Odoo!$L:$L, ""), ""))</f>
        <v/>
      </c>
      <c r="T641" s="81">
        <f>IF(Q641="Sin Factura",0,IFERROR(_xlfn.XLOOKUP(1, (Facturas_Odoo!$D:$D=A641) * (Facturas_Odoo!$K:$K=I641), Facturas_Odoo!$M:$M, 0), 0))</f>
        <v/>
      </c>
      <c r="U641" s="79">
        <f>IF(Q641="Sin Factura",0,IFERROR(_xlfn.XLOOKUP(1, (Facturas_Odoo!$D:$D=A641) * (Facturas_Odoo!$K:$K=I641), Facturas_Odoo!$N:$N, 0), 0))</f>
        <v/>
      </c>
      <c r="V641" s="79">
        <f>IF(Q641="Sin Factura",0,IFERROR(_xlfn.XLOOKUP(1, (Facturas_Odoo!$D:$D=A641) * (Facturas_Odoo!$K:$K=I641), Facturas_Odoo!$O:$O, 0), 0))</f>
        <v/>
      </c>
      <c r="W641" s="81">
        <f>IF(Q641="Sin Factura",0,IFERROR(_xlfn.XLOOKUP(1, (Facturas_Odoo!$D:$D=A641) * (Facturas_Odoo!$K:$K=I641), Facturas_Odoo!$Q:$Q, 0), 0))</f>
        <v/>
      </c>
      <c r="X641" s="79">
        <f>IF(OR(Q641="Sin Factura",Q641=""),"",IFERROR(INDEX(Pagos_Odoo!$B:$B, MATCH(Q641, Pagos_Odoo!$I:$I, 0)), "Sin Pago"))</f>
        <v/>
      </c>
      <c r="Y641" s="79">
        <f>IF(X641="Sin Pago","",IFERROR(INDEX(Pagos_Odoo!$C:$C, MATCH(X641, Pagos_Odoo!$B:$B, 0)), ""))</f>
        <v/>
      </c>
      <c r="Z641" s="80">
        <f>IF(X641="Sin Pago","",IFERROR(INDEX(Pagos_Odoo!$A:$A, MATCH(X641, Pagos_Odoo!$B:$B, 0)), ""))</f>
        <v/>
      </c>
      <c r="AA641" s="79">
        <f>IF(X641="Sin Pago","",IFERROR(INDEX(Pagos_Odoo!$F:$F, MATCH(X641, Pagos_Odoo!$B:$B, 0)), ""))</f>
        <v/>
      </c>
      <c r="AB641" s="81">
        <f>IF(X641="Sin Pago",0,IFERROR(INDEX(Pagos_Odoo!$E:$E, MATCH(X641, Pagos_Odoo!$B:$B, 0)), 0))</f>
        <v/>
      </c>
      <c r="AC641" s="79">
        <f>IF(X641="Sin Pago","",IFERROR(INDEX(Pagos_Odoo!$G:$G, MATCH(X641, Pagos_Odoo!$B:$B, 0)), ""))</f>
        <v/>
      </c>
      <c r="AD641" s="82" t="n">
        <v>0</v>
      </c>
      <c r="AE641" s="82" t="n"/>
      <c r="AF641" s="82" t="n"/>
      <c r="AG641" s="82">
        <f>IF(AN641="","",AD641+AE641+AF641)</f>
        <v/>
      </c>
      <c r="AH641" s="81">
        <f>IF(AN641="","",P641*(1-AG641))</f>
        <v/>
      </c>
      <c r="AI641" s="81">
        <f>IF(AN641="","",IF(Q641="Sin Factura",0,IFERROR(INDEX(Facturas_Odoo!$H:$H, MATCH(Q641, Facturas_Odoo!$B:$B, 0)), 0)*(1-AG641)))</f>
        <v/>
      </c>
      <c r="AJ641" s="81">
        <f>IF(AN641="","",_xlfn.LET(idVenta, AN641&amp;"",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41" s="81">
        <f>IF(AN641="","",AH641-AJ641)</f>
        <v/>
      </c>
      <c r="AL641" s="81">
        <f>IF(AN641="","",IF(Q641="Sin Factura","",AI641-AJ641))</f>
        <v/>
      </c>
      <c r="AM641" s="81">
        <f>IF(AN641="","",IF(Q641="Sin Factura",0,P641-IFERROR(INDEX(Facturas_Odoo!$H:$H, MATCH(Q641, Facturas_Odoo!$B:$B, 0)), 0)))</f>
        <v/>
      </c>
      <c r="AN641" s="79">
        <f>IF(AND(A641="", J641=""), "", IF(A641&lt;&gt;"", VALUE(MID(A641,2,LEN(A641))), AN640))</f>
        <v/>
      </c>
      <c r="AO641" s="79">
        <f>IF(AN641="","",IF(AD641=0,"OK",_xlfn.LET(monedaPago, IF(AA641="","USD",AA641), limitePermitido, IFERROR(VLOOKUP(monedaPago, Configuración!$A$2:$B$3, 2, FALSE), 0.15), IF(AD641&gt;limitePermitido, "ALERTA: EXCESO (" &amp; TEXT(limitePermitido, "0%") &amp; " máx)", "OK"))))</f>
        <v/>
      </c>
      <c r="AP641" s="79">
        <f>IF(AN641="","",IF(AE641=0,"OK",_xlfn.LET(fechaPago, Z641, fechaFactura, R641, diasCredito, IF(E641="Pago inmediato", 0, IFERROR(VALUE(MID(E641, 1, SEARCH(" ", E641)-1)),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41" s="79">
        <f>IF(AN641="","",IF(AND(N641&gt;0, AG641&gt;0), IF(Configuración!$K$2="NO", "ALERTA: DESCUENTO DOBLE NO PERMITIDO", "OK"), "OK"))</f>
        <v/>
      </c>
      <c r="AR641" s="79">
        <f>IF(AN641="","",IF(OR(AO641&lt;&gt;"OK", AP641&lt;&gt;"OK", AQ641&lt;&gt;"OK"), "⚠️ REVISAR", "OK"))</f>
        <v/>
      </c>
    </row>
    <row r="642">
      <c r="A642" s="79">
        <f>IF('Ordenes_Odoo'!A642="","",'Ordenes_Odoo'!A642)</f>
        <v/>
      </c>
      <c r="B642" s="80">
        <f>IF('Ordenes_Odoo'!B642="","",'Ordenes_Odoo'!B642)</f>
        <v/>
      </c>
      <c r="C642" s="79">
        <f>IF('Ordenes_Odoo'!C642="","",'Ordenes_Odoo'!C642)</f>
        <v/>
      </c>
      <c r="D642" s="79">
        <f>IF('Ordenes_Odoo'!D642="","",'Ordenes_Odoo'!D642)</f>
        <v/>
      </c>
      <c r="E642" s="79">
        <f>IF('Ordenes_Odoo'!E642="","",'Ordenes_Odoo'!E642)</f>
        <v/>
      </c>
      <c r="F642" s="79">
        <f>IF('Ordenes_Odoo'!F642="","",'Ordenes_Odoo'!F642)</f>
        <v/>
      </c>
      <c r="G642" s="79">
        <f>IF('Ordenes_Odoo'!G642="","",'Ordenes_Odoo'!G642)</f>
        <v/>
      </c>
      <c r="H642" s="79">
        <f>IF('Ordenes_Odoo'!H642="","",'Ordenes_Odoo'!H642)</f>
        <v/>
      </c>
      <c r="I642" s="79">
        <f>IF('Ordenes_Odoo'!I642="","",'Ordenes_Odoo'!I642)</f>
        <v/>
      </c>
      <c r="J642" s="79">
        <f>IF('Ordenes_Odoo'!J642="","",'Ordenes_Odoo'!J642)</f>
        <v/>
      </c>
      <c r="K642" s="81">
        <f>IF('Ordenes_Odoo'!K642="","",'Ordenes_Odoo'!K642)</f>
        <v/>
      </c>
      <c r="L642" s="81">
        <f>IF('Ordenes_Odoo'!L642="","",'Ordenes_Odoo'!L642)</f>
        <v/>
      </c>
      <c r="M642" s="79">
        <f>IF('Ordenes_Odoo'!M642="","",'Ordenes_Odoo'!M642)</f>
        <v/>
      </c>
      <c r="N642" s="79">
        <f>IF('Ordenes_Odoo'!N642="","",'Ordenes_Odoo'!N642)</f>
        <v/>
      </c>
      <c r="O642" s="81">
        <f>IF('Ordenes_Odoo'!O642="","",'Ordenes_Odoo'!O642)</f>
        <v/>
      </c>
      <c r="P642" s="81">
        <f>IF('Ordenes_Odoo'!P642="","",'Ordenes_Odoo'!P642)</f>
        <v/>
      </c>
      <c r="Q642" s="79">
        <f>IF(A642="","",IFERROR(INDEX(Facturas_Odoo!$B:$B, MATCH(A642, Facturas_Odoo!$D:$D, 0)), "Sin Factura"))</f>
        <v/>
      </c>
      <c r="R642" s="80">
        <f>IF(Q642="Sin Factura","",IFERROR(INDEX(Facturas_Odoo!$A:$A, MATCH(Q642, Facturas_Odoo!$B:$B, 0)), ""))</f>
        <v/>
      </c>
      <c r="S642" s="79">
        <f>IF(Q642="Sin Factura","",IFERROR(_xlfn.XLOOKUP(1, (Facturas_Odoo!$D:$D=A642) * (Facturas_Odoo!$K:$K=I642), Facturas_Odoo!$L:$L, ""), ""))</f>
        <v/>
      </c>
      <c r="T642" s="81">
        <f>IF(Q642="Sin Factura",0,IFERROR(_xlfn.XLOOKUP(1, (Facturas_Odoo!$D:$D=A642) * (Facturas_Odoo!$K:$K=I642), Facturas_Odoo!$M:$M, 0), 0))</f>
        <v/>
      </c>
      <c r="U642" s="79">
        <f>IF(Q642="Sin Factura",0,IFERROR(_xlfn.XLOOKUP(1, (Facturas_Odoo!$D:$D=A642) * (Facturas_Odoo!$K:$K=I642), Facturas_Odoo!$N:$N, 0), 0))</f>
        <v/>
      </c>
      <c r="V642" s="79">
        <f>IF(Q642="Sin Factura",0,IFERROR(_xlfn.XLOOKUP(1, (Facturas_Odoo!$D:$D=A642) * (Facturas_Odoo!$K:$K=I642), Facturas_Odoo!$O:$O, 0), 0))</f>
        <v/>
      </c>
      <c r="W642" s="81">
        <f>IF(Q642="Sin Factura",0,IFERROR(_xlfn.XLOOKUP(1, (Facturas_Odoo!$D:$D=A642) * (Facturas_Odoo!$K:$K=I642), Facturas_Odoo!$Q:$Q, 0), 0))</f>
        <v/>
      </c>
      <c r="X642" s="79">
        <f>IF(OR(Q642="Sin Factura",Q642=""),"",IFERROR(INDEX(Pagos_Odoo!$B:$B, MATCH(Q642, Pagos_Odoo!$I:$I, 0)), "Sin Pago"))</f>
        <v/>
      </c>
      <c r="Y642" s="79">
        <f>IF(X642="Sin Pago","",IFERROR(INDEX(Pagos_Odoo!$C:$C, MATCH(X642, Pagos_Odoo!$B:$B, 0)), ""))</f>
        <v/>
      </c>
      <c r="Z642" s="80">
        <f>IF(X642="Sin Pago","",IFERROR(INDEX(Pagos_Odoo!$A:$A, MATCH(X642, Pagos_Odoo!$B:$B, 0)), ""))</f>
        <v/>
      </c>
      <c r="AA642" s="79">
        <f>IF(X642="Sin Pago","",IFERROR(INDEX(Pagos_Odoo!$F:$F, MATCH(X642, Pagos_Odoo!$B:$B, 0)), ""))</f>
        <v/>
      </c>
      <c r="AB642" s="81">
        <f>IF(X642="Sin Pago",0,IFERROR(INDEX(Pagos_Odoo!$E:$E, MATCH(X642, Pagos_Odoo!$B:$B, 0)), 0))</f>
        <v/>
      </c>
      <c r="AC642" s="79">
        <f>IF(X642="Sin Pago","",IFERROR(INDEX(Pagos_Odoo!$G:$G, MATCH(X642, Pagos_Odoo!$B:$B, 0)), ""))</f>
        <v/>
      </c>
      <c r="AD642" s="82" t="n">
        <v>0</v>
      </c>
      <c r="AE642" s="82" t="n"/>
      <c r="AF642" s="82" t="n"/>
      <c r="AG642" s="82">
        <f>IF(AN642="","",AD642+AE642+AF642)</f>
        <v/>
      </c>
      <c r="AH642" s="81">
        <f>IF(AN642="","",P642*(1-AG642))</f>
        <v/>
      </c>
      <c r="AI642" s="81">
        <f>IF(AN642="","",IF(Q642="Sin Factura",0,IFERROR(INDEX(Facturas_Odoo!$H:$H, MATCH(Q642, Facturas_Odoo!$B:$B, 0)), 0)*(1-AG642)))</f>
        <v/>
      </c>
      <c r="AJ642" s="81">
        <f>IF(AN642="","",_xlfn.LET(idVenta, AN642&amp;"",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42" s="81">
        <f>IF(AN642="","",AH642-AJ642)</f>
        <v/>
      </c>
      <c r="AL642" s="81">
        <f>IF(AN642="","",IF(Q642="Sin Factura","",AI642-AJ642))</f>
        <v/>
      </c>
      <c r="AM642" s="81">
        <f>IF(AN642="","",IF(Q642="Sin Factura",0,P642-IFERROR(INDEX(Facturas_Odoo!$H:$H, MATCH(Q642, Facturas_Odoo!$B:$B, 0)), 0)))</f>
        <v/>
      </c>
      <c r="AN642" s="79">
        <f>IF(AND(A642="", J642=""), "", IF(A642&lt;&gt;"", VALUE(MID(A642,2,LEN(A642))), AN641))</f>
        <v/>
      </c>
      <c r="AO642" s="79">
        <f>IF(AN642="","",IF(AD642=0,"OK",_xlfn.LET(monedaPago, IF(AA642="","USD",AA642), limitePermitido, IFERROR(VLOOKUP(monedaPago, Configuración!$A$2:$B$3, 2, FALSE), 0.15), IF(AD642&gt;limitePermitido, "ALERTA: EXCESO (" &amp; TEXT(limitePermitido, "0%") &amp; " máx)", "OK"))))</f>
        <v/>
      </c>
      <c r="AP642" s="79">
        <f>IF(AN642="","",IF(AE642=0,"OK",_xlfn.LET(fechaPago, Z642, fechaFactura, R642, diasCredito, IF(E642="Pago inmediato", 0, IFERROR(VALUE(MID(E642, 1, SEARCH(" ", E642)-1)),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42" s="79">
        <f>IF(AN642="","",IF(AND(N642&gt;0, AG642&gt;0), IF(Configuración!$K$2="NO", "ALERTA: DESCUENTO DOBLE NO PERMITIDO", "OK"), "OK"))</f>
        <v/>
      </c>
      <c r="AR642" s="79">
        <f>IF(AN642="","",IF(OR(AO642&lt;&gt;"OK", AP642&lt;&gt;"OK", AQ642&lt;&gt;"OK"), "⚠️ REVISAR", "OK"))</f>
        <v/>
      </c>
    </row>
    <row r="643">
      <c r="A643" s="79">
        <f>IF('Ordenes_Odoo'!A643="","",'Ordenes_Odoo'!A643)</f>
        <v/>
      </c>
      <c r="B643" s="80">
        <f>IF('Ordenes_Odoo'!B643="","",'Ordenes_Odoo'!B643)</f>
        <v/>
      </c>
      <c r="C643" s="79">
        <f>IF('Ordenes_Odoo'!C643="","",'Ordenes_Odoo'!C643)</f>
        <v/>
      </c>
      <c r="D643" s="79">
        <f>IF('Ordenes_Odoo'!D643="","",'Ordenes_Odoo'!D643)</f>
        <v/>
      </c>
      <c r="E643" s="79">
        <f>IF('Ordenes_Odoo'!E643="","",'Ordenes_Odoo'!E643)</f>
        <v/>
      </c>
      <c r="F643" s="79">
        <f>IF('Ordenes_Odoo'!F643="","",'Ordenes_Odoo'!F643)</f>
        <v/>
      </c>
      <c r="G643" s="79">
        <f>IF('Ordenes_Odoo'!G643="","",'Ordenes_Odoo'!G643)</f>
        <v/>
      </c>
      <c r="H643" s="79">
        <f>IF('Ordenes_Odoo'!H643="","",'Ordenes_Odoo'!H643)</f>
        <v/>
      </c>
      <c r="I643" s="79">
        <f>IF('Ordenes_Odoo'!I643="","",'Ordenes_Odoo'!I643)</f>
        <v/>
      </c>
      <c r="J643" s="79">
        <f>IF('Ordenes_Odoo'!J643="","",'Ordenes_Odoo'!J643)</f>
        <v/>
      </c>
      <c r="K643" s="81">
        <f>IF('Ordenes_Odoo'!K643="","",'Ordenes_Odoo'!K643)</f>
        <v/>
      </c>
      <c r="L643" s="81">
        <f>IF('Ordenes_Odoo'!L643="","",'Ordenes_Odoo'!L643)</f>
        <v/>
      </c>
      <c r="M643" s="79">
        <f>IF('Ordenes_Odoo'!M643="","",'Ordenes_Odoo'!M643)</f>
        <v/>
      </c>
      <c r="N643" s="79">
        <f>IF('Ordenes_Odoo'!N643="","",'Ordenes_Odoo'!N643)</f>
        <v/>
      </c>
      <c r="O643" s="81">
        <f>IF('Ordenes_Odoo'!O643="","",'Ordenes_Odoo'!O643)</f>
        <v/>
      </c>
      <c r="P643" s="81">
        <f>IF('Ordenes_Odoo'!P643="","",'Ordenes_Odoo'!P643)</f>
        <v/>
      </c>
      <c r="Q643" s="79">
        <f>IF(A643="","",IFERROR(INDEX(Facturas_Odoo!$B:$B, MATCH(A643, Facturas_Odoo!$D:$D, 0)), "Sin Factura"))</f>
        <v/>
      </c>
      <c r="R643" s="80">
        <f>IF(Q643="Sin Factura","",IFERROR(INDEX(Facturas_Odoo!$A:$A, MATCH(Q643, Facturas_Odoo!$B:$B, 0)), ""))</f>
        <v/>
      </c>
      <c r="S643" s="79">
        <f>IF(Q643="Sin Factura","",IFERROR(_xlfn.XLOOKUP(1, (Facturas_Odoo!$D:$D=A643) * (Facturas_Odoo!$K:$K=I643), Facturas_Odoo!$L:$L, ""), ""))</f>
        <v/>
      </c>
      <c r="T643" s="81">
        <f>IF(Q643="Sin Factura",0,IFERROR(_xlfn.XLOOKUP(1, (Facturas_Odoo!$D:$D=A643) * (Facturas_Odoo!$K:$K=I643), Facturas_Odoo!$M:$M, 0), 0))</f>
        <v/>
      </c>
      <c r="U643" s="79">
        <f>IF(Q643="Sin Factura",0,IFERROR(_xlfn.XLOOKUP(1, (Facturas_Odoo!$D:$D=A643) * (Facturas_Odoo!$K:$K=I643), Facturas_Odoo!$N:$N, 0), 0))</f>
        <v/>
      </c>
      <c r="V643" s="79">
        <f>IF(Q643="Sin Factura",0,IFERROR(_xlfn.XLOOKUP(1, (Facturas_Odoo!$D:$D=A643) * (Facturas_Odoo!$K:$K=I643), Facturas_Odoo!$O:$O, 0), 0))</f>
        <v/>
      </c>
      <c r="W643" s="81">
        <f>IF(Q643="Sin Factura",0,IFERROR(_xlfn.XLOOKUP(1, (Facturas_Odoo!$D:$D=A643) * (Facturas_Odoo!$K:$K=I643), Facturas_Odoo!$Q:$Q, 0), 0))</f>
        <v/>
      </c>
      <c r="X643" s="79">
        <f>IF(OR(Q643="Sin Factura",Q643=""),"",IFERROR(INDEX(Pagos_Odoo!$B:$B, MATCH(Q643, Pagos_Odoo!$I:$I, 0)), "Sin Pago"))</f>
        <v/>
      </c>
      <c r="Y643" s="79">
        <f>IF(X643="Sin Pago","",IFERROR(INDEX(Pagos_Odoo!$C:$C, MATCH(X643, Pagos_Odoo!$B:$B, 0)), ""))</f>
        <v/>
      </c>
      <c r="Z643" s="80">
        <f>IF(X643="Sin Pago","",IFERROR(INDEX(Pagos_Odoo!$A:$A, MATCH(X643, Pagos_Odoo!$B:$B, 0)), ""))</f>
        <v/>
      </c>
      <c r="AA643" s="79">
        <f>IF(X643="Sin Pago","",IFERROR(INDEX(Pagos_Odoo!$F:$F, MATCH(X643, Pagos_Odoo!$B:$B, 0)), ""))</f>
        <v/>
      </c>
      <c r="AB643" s="81">
        <f>IF(X643="Sin Pago",0,IFERROR(INDEX(Pagos_Odoo!$E:$E, MATCH(X643, Pagos_Odoo!$B:$B, 0)), 0))</f>
        <v/>
      </c>
      <c r="AC643" s="79">
        <f>IF(X643="Sin Pago","",IFERROR(INDEX(Pagos_Odoo!$G:$G, MATCH(X643, Pagos_Odoo!$B:$B, 0)), ""))</f>
        <v/>
      </c>
      <c r="AD643" s="82" t="n">
        <v>0</v>
      </c>
      <c r="AE643" s="82" t="n"/>
      <c r="AF643" s="82" t="n"/>
      <c r="AG643" s="82">
        <f>IF(AN643="","",AD643+AE643+AF643)</f>
        <v/>
      </c>
      <c r="AH643" s="81">
        <f>IF(AN643="","",P643*(1-AG643))</f>
        <v/>
      </c>
      <c r="AI643" s="81">
        <f>IF(AN643="","",IF(Q643="Sin Factura",0,IFERROR(INDEX(Facturas_Odoo!$H:$H, MATCH(Q643, Facturas_Odoo!$B:$B, 0)), 0)*(1-AG643)))</f>
        <v/>
      </c>
      <c r="AJ643" s="81">
        <f>IF(AN643="","",_xlfn.LET(idVenta, AN643&amp;"",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43" s="81">
        <f>IF(AN643="","",AH643-AJ643)</f>
        <v/>
      </c>
      <c r="AL643" s="81">
        <f>IF(AN643="","",IF(Q643="Sin Factura","",AI643-AJ643))</f>
        <v/>
      </c>
      <c r="AM643" s="81">
        <f>IF(AN643="","",IF(Q643="Sin Factura",0,P643-IFERROR(INDEX(Facturas_Odoo!$H:$H, MATCH(Q643, Facturas_Odoo!$B:$B, 0)), 0)))</f>
        <v/>
      </c>
      <c r="AN643" s="79">
        <f>IF(AND(A643="", J643=""), "", IF(A643&lt;&gt;"", VALUE(MID(A643,2,LEN(A643))), AN642))</f>
        <v/>
      </c>
      <c r="AO643" s="79">
        <f>IF(AN643="","",IF(AD643=0,"OK",_xlfn.LET(monedaPago, IF(AA643="","USD",AA643), limitePermitido, IFERROR(VLOOKUP(monedaPago, Configuración!$A$2:$B$3, 2, FALSE), 0.15), IF(AD643&gt;limitePermitido, "ALERTA: EXCESO (" &amp; TEXT(limitePermitido, "0%") &amp; " máx)", "OK"))))</f>
        <v/>
      </c>
      <c r="AP643" s="79">
        <f>IF(AN643="","",IF(AE643=0,"OK",_xlfn.LET(fechaPago, Z643, fechaFactura, R643, diasCredito, IF(E643="Pago inmediato", 0, IFERROR(VALUE(MID(E643, 1, SEARCH(" ", E643)-1)),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43" s="79">
        <f>IF(AN643="","",IF(AND(N643&gt;0, AG643&gt;0), IF(Configuración!$K$2="NO", "ALERTA: DESCUENTO DOBLE NO PERMITIDO", "OK"), "OK"))</f>
        <v/>
      </c>
      <c r="AR643" s="79">
        <f>IF(AN643="","",IF(OR(AO643&lt;&gt;"OK", AP643&lt;&gt;"OK", AQ643&lt;&gt;"OK"), "⚠️ REVISAR", "OK"))</f>
        <v/>
      </c>
    </row>
    <row r="644">
      <c r="A644" s="79">
        <f>IF('Ordenes_Odoo'!A644="","",'Ordenes_Odoo'!A644)</f>
        <v/>
      </c>
      <c r="B644" s="80">
        <f>IF('Ordenes_Odoo'!B644="","",'Ordenes_Odoo'!B644)</f>
        <v/>
      </c>
      <c r="C644" s="79">
        <f>IF('Ordenes_Odoo'!C644="","",'Ordenes_Odoo'!C644)</f>
        <v/>
      </c>
      <c r="D644" s="79">
        <f>IF('Ordenes_Odoo'!D644="","",'Ordenes_Odoo'!D644)</f>
        <v/>
      </c>
      <c r="E644" s="79">
        <f>IF('Ordenes_Odoo'!E644="","",'Ordenes_Odoo'!E644)</f>
        <v/>
      </c>
      <c r="F644" s="79">
        <f>IF('Ordenes_Odoo'!F644="","",'Ordenes_Odoo'!F644)</f>
        <v/>
      </c>
      <c r="G644" s="79">
        <f>IF('Ordenes_Odoo'!G644="","",'Ordenes_Odoo'!G644)</f>
        <v/>
      </c>
      <c r="H644" s="79">
        <f>IF('Ordenes_Odoo'!H644="","",'Ordenes_Odoo'!H644)</f>
        <v/>
      </c>
      <c r="I644" s="79">
        <f>IF('Ordenes_Odoo'!I644="","",'Ordenes_Odoo'!I644)</f>
        <v/>
      </c>
      <c r="J644" s="79">
        <f>IF('Ordenes_Odoo'!J644="","",'Ordenes_Odoo'!J644)</f>
        <v/>
      </c>
      <c r="K644" s="81">
        <f>IF('Ordenes_Odoo'!K644="","",'Ordenes_Odoo'!K644)</f>
        <v/>
      </c>
      <c r="L644" s="81">
        <f>IF('Ordenes_Odoo'!L644="","",'Ordenes_Odoo'!L644)</f>
        <v/>
      </c>
      <c r="M644" s="79">
        <f>IF('Ordenes_Odoo'!M644="","",'Ordenes_Odoo'!M644)</f>
        <v/>
      </c>
      <c r="N644" s="79">
        <f>IF('Ordenes_Odoo'!N644="","",'Ordenes_Odoo'!N644)</f>
        <v/>
      </c>
      <c r="O644" s="81">
        <f>IF('Ordenes_Odoo'!O644="","",'Ordenes_Odoo'!O644)</f>
        <v/>
      </c>
      <c r="P644" s="81">
        <f>IF('Ordenes_Odoo'!P644="","",'Ordenes_Odoo'!P644)</f>
        <v/>
      </c>
      <c r="Q644" s="79">
        <f>IF(A644="","",IFERROR(INDEX(Facturas_Odoo!$B:$B, MATCH(A644, Facturas_Odoo!$D:$D, 0)), "Sin Factura"))</f>
        <v/>
      </c>
      <c r="R644" s="80">
        <f>IF(Q644="Sin Factura","",IFERROR(INDEX(Facturas_Odoo!$A:$A, MATCH(Q644, Facturas_Odoo!$B:$B, 0)), ""))</f>
        <v/>
      </c>
      <c r="S644" s="79">
        <f>IF(Q644="Sin Factura","",IFERROR(_xlfn.XLOOKUP(1, (Facturas_Odoo!$D:$D=A644) * (Facturas_Odoo!$K:$K=I644), Facturas_Odoo!$L:$L, ""), ""))</f>
        <v/>
      </c>
      <c r="T644" s="81">
        <f>IF(Q644="Sin Factura",0,IFERROR(_xlfn.XLOOKUP(1, (Facturas_Odoo!$D:$D=A644) * (Facturas_Odoo!$K:$K=I644), Facturas_Odoo!$M:$M, 0), 0))</f>
        <v/>
      </c>
      <c r="U644" s="79">
        <f>IF(Q644="Sin Factura",0,IFERROR(_xlfn.XLOOKUP(1, (Facturas_Odoo!$D:$D=A644) * (Facturas_Odoo!$K:$K=I644), Facturas_Odoo!$N:$N, 0), 0))</f>
        <v/>
      </c>
      <c r="V644" s="79">
        <f>IF(Q644="Sin Factura",0,IFERROR(_xlfn.XLOOKUP(1, (Facturas_Odoo!$D:$D=A644) * (Facturas_Odoo!$K:$K=I644), Facturas_Odoo!$O:$O, 0), 0))</f>
        <v/>
      </c>
      <c r="W644" s="81">
        <f>IF(Q644="Sin Factura",0,IFERROR(_xlfn.XLOOKUP(1, (Facturas_Odoo!$D:$D=A644) * (Facturas_Odoo!$K:$K=I644), Facturas_Odoo!$Q:$Q, 0), 0))</f>
        <v/>
      </c>
      <c r="X644" s="79">
        <f>IF(OR(Q644="Sin Factura",Q644=""),"",IFERROR(INDEX(Pagos_Odoo!$B:$B, MATCH(Q644, Pagos_Odoo!$I:$I, 0)), "Sin Pago"))</f>
        <v/>
      </c>
      <c r="Y644" s="79">
        <f>IF(X644="Sin Pago","",IFERROR(INDEX(Pagos_Odoo!$C:$C, MATCH(X644, Pagos_Odoo!$B:$B, 0)), ""))</f>
        <v/>
      </c>
      <c r="Z644" s="80">
        <f>IF(X644="Sin Pago","",IFERROR(INDEX(Pagos_Odoo!$A:$A, MATCH(X644, Pagos_Odoo!$B:$B, 0)), ""))</f>
        <v/>
      </c>
      <c r="AA644" s="79">
        <f>IF(X644="Sin Pago","",IFERROR(INDEX(Pagos_Odoo!$F:$F, MATCH(X644, Pagos_Odoo!$B:$B, 0)), ""))</f>
        <v/>
      </c>
      <c r="AB644" s="81">
        <f>IF(X644="Sin Pago",0,IFERROR(INDEX(Pagos_Odoo!$E:$E, MATCH(X644, Pagos_Odoo!$B:$B, 0)), 0))</f>
        <v/>
      </c>
      <c r="AC644" s="79">
        <f>IF(X644="Sin Pago","",IFERROR(INDEX(Pagos_Odoo!$G:$G, MATCH(X644, Pagos_Odoo!$B:$B, 0)), ""))</f>
        <v/>
      </c>
      <c r="AD644" s="82" t="n">
        <v>0</v>
      </c>
      <c r="AE644" s="82" t="n"/>
      <c r="AF644" s="82" t="n"/>
      <c r="AG644" s="82">
        <f>IF(AN644="","",AD644+AE644+AF644)</f>
        <v/>
      </c>
      <c r="AH644" s="81">
        <f>IF(AN644="","",P644*(1-AG644))</f>
        <v/>
      </c>
      <c r="AI644" s="81">
        <f>IF(AN644="","",IF(Q644="Sin Factura",0,IFERROR(INDEX(Facturas_Odoo!$H:$H, MATCH(Q644, Facturas_Odoo!$B:$B, 0)), 0)*(1-AG644)))</f>
        <v/>
      </c>
      <c r="AJ644" s="81">
        <f>IF(AN644="","",_xlfn.LET(idVenta, AN644&amp;"",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44" s="81">
        <f>IF(AN644="","",AH644-AJ644)</f>
        <v/>
      </c>
      <c r="AL644" s="81">
        <f>IF(AN644="","",IF(Q644="Sin Factura","",AI644-AJ644))</f>
        <v/>
      </c>
      <c r="AM644" s="81">
        <f>IF(AN644="","",IF(Q644="Sin Factura",0,P644-IFERROR(INDEX(Facturas_Odoo!$H:$H, MATCH(Q644, Facturas_Odoo!$B:$B, 0)), 0)))</f>
        <v/>
      </c>
      <c r="AN644" s="79">
        <f>IF(AND(A644="", J644=""), "", IF(A644&lt;&gt;"", VALUE(MID(A644,2,LEN(A644))), AN643))</f>
        <v/>
      </c>
      <c r="AO644" s="79">
        <f>IF(AN644="","",IF(AD644=0,"OK",_xlfn.LET(monedaPago, IF(AA644="","USD",AA644), limitePermitido, IFERROR(VLOOKUP(monedaPago, Configuración!$A$2:$B$3, 2, FALSE), 0.15), IF(AD644&gt;limitePermitido, "ALERTA: EXCESO (" &amp; TEXT(limitePermitido, "0%") &amp; " máx)", "OK"))))</f>
        <v/>
      </c>
      <c r="AP644" s="79">
        <f>IF(AN644="","",IF(AE644=0,"OK",_xlfn.LET(fechaPago, Z644, fechaFactura, R644, diasCredito, IF(E644="Pago inmediato", 0, IFERROR(VALUE(MID(E644, 1, SEARCH(" ", E644)-1)),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44" s="79">
        <f>IF(AN644="","",IF(AND(N644&gt;0, AG644&gt;0), IF(Configuración!$K$2="NO", "ALERTA: DESCUENTO DOBLE NO PERMITIDO", "OK"), "OK"))</f>
        <v/>
      </c>
      <c r="AR644" s="79">
        <f>IF(AN644="","",IF(OR(AO644&lt;&gt;"OK", AP644&lt;&gt;"OK", AQ644&lt;&gt;"OK"), "⚠️ REVISAR", "OK"))</f>
        <v/>
      </c>
    </row>
    <row r="645">
      <c r="A645" s="79">
        <f>IF('Ordenes_Odoo'!A645="","",'Ordenes_Odoo'!A645)</f>
        <v/>
      </c>
      <c r="B645" s="80">
        <f>IF('Ordenes_Odoo'!B645="","",'Ordenes_Odoo'!B645)</f>
        <v/>
      </c>
      <c r="C645" s="79">
        <f>IF('Ordenes_Odoo'!C645="","",'Ordenes_Odoo'!C645)</f>
        <v/>
      </c>
      <c r="D645" s="79">
        <f>IF('Ordenes_Odoo'!D645="","",'Ordenes_Odoo'!D645)</f>
        <v/>
      </c>
      <c r="E645" s="79">
        <f>IF('Ordenes_Odoo'!E645="","",'Ordenes_Odoo'!E645)</f>
        <v/>
      </c>
      <c r="F645" s="79">
        <f>IF('Ordenes_Odoo'!F645="","",'Ordenes_Odoo'!F645)</f>
        <v/>
      </c>
      <c r="G645" s="79">
        <f>IF('Ordenes_Odoo'!G645="","",'Ordenes_Odoo'!G645)</f>
        <v/>
      </c>
      <c r="H645" s="79">
        <f>IF('Ordenes_Odoo'!H645="","",'Ordenes_Odoo'!H645)</f>
        <v/>
      </c>
      <c r="I645" s="79">
        <f>IF('Ordenes_Odoo'!I645="","",'Ordenes_Odoo'!I645)</f>
        <v/>
      </c>
      <c r="J645" s="79">
        <f>IF('Ordenes_Odoo'!J645="","",'Ordenes_Odoo'!J645)</f>
        <v/>
      </c>
      <c r="K645" s="81">
        <f>IF('Ordenes_Odoo'!K645="","",'Ordenes_Odoo'!K645)</f>
        <v/>
      </c>
      <c r="L645" s="81">
        <f>IF('Ordenes_Odoo'!L645="","",'Ordenes_Odoo'!L645)</f>
        <v/>
      </c>
      <c r="M645" s="79">
        <f>IF('Ordenes_Odoo'!M645="","",'Ordenes_Odoo'!M645)</f>
        <v/>
      </c>
      <c r="N645" s="79">
        <f>IF('Ordenes_Odoo'!N645="","",'Ordenes_Odoo'!N645)</f>
        <v/>
      </c>
      <c r="O645" s="81">
        <f>IF('Ordenes_Odoo'!O645="","",'Ordenes_Odoo'!O645)</f>
        <v/>
      </c>
      <c r="P645" s="81">
        <f>IF('Ordenes_Odoo'!P645="","",'Ordenes_Odoo'!P645)</f>
        <v/>
      </c>
      <c r="Q645" s="79">
        <f>IF(A645="","",IFERROR(INDEX(Facturas_Odoo!$B:$B, MATCH(A645, Facturas_Odoo!$D:$D, 0)), "Sin Factura"))</f>
        <v/>
      </c>
      <c r="R645" s="80">
        <f>IF(Q645="Sin Factura","",IFERROR(INDEX(Facturas_Odoo!$A:$A, MATCH(Q645, Facturas_Odoo!$B:$B, 0)), ""))</f>
        <v/>
      </c>
      <c r="S645" s="79">
        <f>IF(Q645="Sin Factura","",IFERROR(_xlfn.XLOOKUP(1, (Facturas_Odoo!$D:$D=A645) * (Facturas_Odoo!$K:$K=I645), Facturas_Odoo!$L:$L, ""), ""))</f>
        <v/>
      </c>
      <c r="T645" s="81">
        <f>IF(Q645="Sin Factura",0,IFERROR(_xlfn.XLOOKUP(1, (Facturas_Odoo!$D:$D=A645) * (Facturas_Odoo!$K:$K=I645), Facturas_Odoo!$M:$M, 0), 0))</f>
        <v/>
      </c>
      <c r="U645" s="79">
        <f>IF(Q645="Sin Factura",0,IFERROR(_xlfn.XLOOKUP(1, (Facturas_Odoo!$D:$D=A645) * (Facturas_Odoo!$K:$K=I645), Facturas_Odoo!$N:$N, 0), 0))</f>
        <v/>
      </c>
      <c r="V645" s="79">
        <f>IF(Q645="Sin Factura",0,IFERROR(_xlfn.XLOOKUP(1, (Facturas_Odoo!$D:$D=A645) * (Facturas_Odoo!$K:$K=I645), Facturas_Odoo!$O:$O, 0), 0))</f>
        <v/>
      </c>
      <c r="W645" s="81">
        <f>IF(Q645="Sin Factura",0,IFERROR(_xlfn.XLOOKUP(1, (Facturas_Odoo!$D:$D=A645) * (Facturas_Odoo!$K:$K=I645), Facturas_Odoo!$Q:$Q, 0), 0))</f>
        <v/>
      </c>
      <c r="X645" s="79">
        <f>IF(OR(Q645="Sin Factura",Q645=""),"",IFERROR(INDEX(Pagos_Odoo!$B:$B, MATCH(Q645, Pagos_Odoo!$I:$I, 0)), "Sin Pago"))</f>
        <v/>
      </c>
      <c r="Y645" s="79">
        <f>IF(X645="Sin Pago","",IFERROR(INDEX(Pagos_Odoo!$C:$C, MATCH(X645, Pagos_Odoo!$B:$B, 0)), ""))</f>
        <v/>
      </c>
      <c r="Z645" s="80">
        <f>IF(X645="Sin Pago","",IFERROR(INDEX(Pagos_Odoo!$A:$A, MATCH(X645, Pagos_Odoo!$B:$B, 0)), ""))</f>
        <v/>
      </c>
      <c r="AA645" s="79">
        <f>IF(X645="Sin Pago","",IFERROR(INDEX(Pagos_Odoo!$F:$F, MATCH(X645, Pagos_Odoo!$B:$B, 0)), ""))</f>
        <v/>
      </c>
      <c r="AB645" s="81">
        <f>IF(X645="Sin Pago",0,IFERROR(INDEX(Pagos_Odoo!$E:$E, MATCH(X645, Pagos_Odoo!$B:$B, 0)), 0))</f>
        <v/>
      </c>
      <c r="AC645" s="79">
        <f>IF(X645="Sin Pago","",IFERROR(INDEX(Pagos_Odoo!$G:$G, MATCH(X645, Pagos_Odoo!$B:$B, 0)), ""))</f>
        <v/>
      </c>
      <c r="AD645" s="82" t="n">
        <v>0</v>
      </c>
      <c r="AE645" s="82" t="n"/>
      <c r="AF645" s="82" t="n"/>
      <c r="AG645" s="82">
        <f>IF(AN645="","",AD645+AE645+AF645)</f>
        <v/>
      </c>
      <c r="AH645" s="81">
        <f>IF(AN645="","",P645*(1-AG645))</f>
        <v/>
      </c>
      <c r="AI645" s="81">
        <f>IF(AN645="","",IF(Q645="Sin Factura",0,IFERROR(INDEX(Facturas_Odoo!$H:$H, MATCH(Q645, Facturas_Odoo!$B:$B, 0)), 0)*(1-AG645)))</f>
        <v/>
      </c>
      <c r="AJ645" s="81">
        <f>IF(AN645="","",_xlfn.LET(idVenta, AN645&amp;"",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45" s="81">
        <f>IF(AN645="","",AH645-AJ645)</f>
        <v/>
      </c>
      <c r="AL645" s="81">
        <f>IF(AN645="","",IF(Q645="Sin Factura","",AI645-AJ645))</f>
        <v/>
      </c>
      <c r="AM645" s="81">
        <f>IF(AN645="","",IF(Q645="Sin Factura",0,P645-IFERROR(INDEX(Facturas_Odoo!$H:$H, MATCH(Q645, Facturas_Odoo!$B:$B, 0)), 0)))</f>
        <v/>
      </c>
      <c r="AN645" s="79">
        <f>IF(AND(A645="", J645=""), "", IF(A645&lt;&gt;"", VALUE(MID(A645,2,LEN(A645))), AN644))</f>
        <v/>
      </c>
      <c r="AO645" s="79">
        <f>IF(AN645="","",IF(AD645=0,"OK",_xlfn.LET(monedaPago, IF(AA645="","USD",AA645), limitePermitido, IFERROR(VLOOKUP(monedaPago, Configuración!$A$2:$B$3, 2, FALSE), 0.15), IF(AD645&gt;limitePermitido, "ALERTA: EXCESO (" &amp; TEXT(limitePermitido, "0%") &amp; " máx)", "OK"))))</f>
        <v/>
      </c>
      <c r="AP645" s="79">
        <f>IF(AN645="","",IF(AE645=0,"OK",_xlfn.LET(fechaPago, Z645, fechaFactura, R645, diasCredito, IF(E645="Pago inmediato", 0, IFERROR(VALUE(MID(E645, 1, SEARCH(" ", E645)-1)),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45" s="79">
        <f>IF(AN645="","",IF(AND(N645&gt;0, AG645&gt;0), IF(Configuración!$K$2="NO", "ALERTA: DESCUENTO DOBLE NO PERMITIDO", "OK"), "OK"))</f>
        <v/>
      </c>
      <c r="AR645" s="79">
        <f>IF(AN645="","",IF(OR(AO645&lt;&gt;"OK", AP645&lt;&gt;"OK", AQ645&lt;&gt;"OK"), "⚠️ REVISAR", "OK"))</f>
        <v/>
      </c>
    </row>
    <row r="646">
      <c r="A646" s="79">
        <f>IF('Ordenes_Odoo'!A646="","",'Ordenes_Odoo'!A646)</f>
        <v/>
      </c>
      <c r="B646" s="80">
        <f>IF('Ordenes_Odoo'!B646="","",'Ordenes_Odoo'!B646)</f>
        <v/>
      </c>
      <c r="C646" s="79">
        <f>IF('Ordenes_Odoo'!C646="","",'Ordenes_Odoo'!C646)</f>
        <v/>
      </c>
      <c r="D646" s="79">
        <f>IF('Ordenes_Odoo'!D646="","",'Ordenes_Odoo'!D646)</f>
        <v/>
      </c>
      <c r="E646" s="79">
        <f>IF('Ordenes_Odoo'!E646="","",'Ordenes_Odoo'!E646)</f>
        <v/>
      </c>
      <c r="F646" s="79">
        <f>IF('Ordenes_Odoo'!F646="","",'Ordenes_Odoo'!F646)</f>
        <v/>
      </c>
      <c r="G646" s="79">
        <f>IF('Ordenes_Odoo'!G646="","",'Ordenes_Odoo'!G646)</f>
        <v/>
      </c>
      <c r="H646" s="79">
        <f>IF('Ordenes_Odoo'!H646="","",'Ordenes_Odoo'!H646)</f>
        <v/>
      </c>
      <c r="I646" s="79">
        <f>IF('Ordenes_Odoo'!I646="","",'Ordenes_Odoo'!I646)</f>
        <v/>
      </c>
      <c r="J646" s="79">
        <f>IF('Ordenes_Odoo'!J646="","",'Ordenes_Odoo'!J646)</f>
        <v/>
      </c>
      <c r="K646" s="81">
        <f>IF('Ordenes_Odoo'!K646="","",'Ordenes_Odoo'!K646)</f>
        <v/>
      </c>
      <c r="L646" s="81">
        <f>IF('Ordenes_Odoo'!L646="","",'Ordenes_Odoo'!L646)</f>
        <v/>
      </c>
      <c r="M646" s="79">
        <f>IF('Ordenes_Odoo'!M646="","",'Ordenes_Odoo'!M646)</f>
        <v/>
      </c>
      <c r="N646" s="79">
        <f>IF('Ordenes_Odoo'!N646="","",'Ordenes_Odoo'!N646)</f>
        <v/>
      </c>
      <c r="O646" s="81">
        <f>IF('Ordenes_Odoo'!O646="","",'Ordenes_Odoo'!O646)</f>
        <v/>
      </c>
      <c r="P646" s="81">
        <f>IF('Ordenes_Odoo'!P646="","",'Ordenes_Odoo'!P646)</f>
        <v/>
      </c>
      <c r="Q646" s="79">
        <f>IF(A646="","",IFERROR(INDEX(Facturas_Odoo!$B:$B, MATCH(A646, Facturas_Odoo!$D:$D, 0)), "Sin Factura"))</f>
        <v/>
      </c>
      <c r="R646" s="80">
        <f>IF(Q646="Sin Factura","",IFERROR(INDEX(Facturas_Odoo!$A:$A, MATCH(Q646, Facturas_Odoo!$B:$B, 0)), ""))</f>
        <v/>
      </c>
      <c r="S646" s="79">
        <f>IF(Q646="Sin Factura","",IFERROR(_xlfn.XLOOKUP(1, (Facturas_Odoo!$D:$D=A646) * (Facturas_Odoo!$K:$K=I646), Facturas_Odoo!$L:$L, ""), ""))</f>
        <v/>
      </c>
      <c r="T646" s="81">
        <f>IF(Q646="Sin Factura",0,IFERROR(_xlfn.XLOOKUP(1, (Facturas_Odoo!$D:$D=A646) * (Facturas_Odoo!$K:$K=I646), Facturas_Odoo!$M:$M, 0), 0))</f>
        <v/>
      </c>
      <c r="U646" s="79">
        <f>IF(Q646="Sin Factura",0,IFERROR(_xlfn.XLOOKUP(1, (Facturas_Odoo!$D:$D=A646) * (Facturas_Odoo!$K:$K=I646), Facturas_Odoo!$N:$N, 0), 0))</f>
        <v/>
      </c>
      <c r="V646" s="79">
        <f>IF(Q646="Sin Factura",0,IFERROR(_xlfn.XLOOKUP(1, (Facturas_Odoo!$D:$D=A646) * (Facturas_Odoo!$K:$K=I646), Facturas_Odoo!$O:$O, 0), 0))</f>
        <v/>
      </c>
      <c r="W646" s="81">
        <f>IF(Q646="Sin Factura",0,IFERROR(_xlfn.XLOOKUP(1, (Facturas_Odoo!$D:$D=A646) * (Facturas_Odoo!$K:$K=I646), Facturas_Odoo!$Q:$Q, 0), 0))</f>
        <v/>
      </c>
      <c r="X646" s="79">
        <f>IF(OR(Q646="Sin Factura",Q646=""),"",IFERROR(INDEX(Pagos_Odoo!$B:$B, MATCH(Q646, Pagos_Odoo!$I:$I, 0)), "Sin Pago"))</f>
        <v/>
      </c>
      <c r="Y646" s="79">
        <f>IF(X646="Sin Pago","",IFERROR(INDEX(Pagos_Odoo!$C:$C, MATCH(X646, Pagos_Odoo!$B:$B, 0)), ""))</f>
        <v/>
      </c>
      <c r="Z646" s="80">
        <f>IF(X646="Sin Pago","",IFERROR(INDEX(Pagos_Odoo!$A:$A, MATCH(X646, Pagos_Odoo!$B:$B, 0)), ""))</f>
        <v/>
      </c>
      <c r="AA646" s="79">
        <f>IF(X646="Sin Pago","",IFERROR(INDEX(Pagos_Odoo!$F:$F, MATCH(X646, Pagos_Odoo!$B:$B, 0)), ""))</f>
        <v/>
      </c>
      <c r="AB646" s="81">
        <f>IF(X646="Sin Pago",0,IFERROR(INDEX(Pagos_Odoo!$E:$E, MATCH(X646, Pagos_Odoo!$B:$B, 0)), 0))</f>
        <v/>
      </c>
      <c r="AC646" s="79">
        <f>IF(X646="Sin Pago","",IFERROR(INDEX(Pagos_Odoo!$G:$G, MATCH(X646, Pagos_Odoo!$B:$B, 0)), ""))</f>
        <v/>
      </c>
      <c r="AD646" s="82" t="n">
        <v>0</v>
      </c>
      <c r="AE646" s="82" t="n"/>
      <c r="AF646" s="82" t="n"/>
      <c r="AG646" s="82">
        <f>IF(AN646="","",AD646+AE646+AF646)</f>
        <v/>
      </c>
      <c r="AH646" s="81">
        <f>IF(AN646="","",P646*(1-AG646))</f>
        <v/>
      </c>
      <c r="AI646" s="81">
        <f>IF(AN646="","",IF(Q646="Sin Factura",0,IFERROR(INDEX(Facturas_Odoo!$H:$H, MATCH(Q646, Facturas_Odoo!$B:$B, 0)), 0)*(1-AG646)))</f>
        <v/>
      </c>
      <c r="AJ646" s="81">
        <f>IF(AN646="","",_xlfn.LET(idVenta, AN646&amp;"",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46" s="81">
        <f>IF(AN646="","",AH646-AJ646)</f>
        <v/>
      </c>
      <c r="AL646" s="81">
        <f>IF(AN646="","",IF(Q646="Sin Factura","",AI646-AJ646))</f>
        <v/>
      </c>
      <c r="AM646" s="81">
        <f>IF(AN646="","",IF(Q646="Sin Factura",0,P646-IFERROR(INDEX(Facturas_Odoo!$H:$H, MATCH(Q646, Facturas_Odoo!$B:$B, 0)), 0)))</f>
        <v/>
      </c>
      <c r="AN646" s="79">
        <f>IF(AND(A646="", J646=""), "", IF(A646&lt;&gt;"", VALUE(MID(A646,2,LEN(A646))), AN645))</f>
        <v/>
      </c>
      <c r="AO646" s="79">
        <f>IF(AN646="","",IF(AD646=0,"OK",_xlfn.LET(monedaPago, IF(AA646="","USD",AA646), limitePermitido, IFERROR(VLOOKUP(monedaPago, Configuración!$A$2:$B$3, 2, FALSE), 0.15), IF(AD646&gt;limitePermitido, "ALERTA: EXCESO (" &amp; TEXT(limitePermitido, "0%") &amp; " máx)", "OK"))))</f>
        <v/>
      </c>
      <c r="AP646" s="79">
        <f>IF(AN646="","",IF(AE646=0,"OK",_xlfn.LET(fechaPago, Z646, fechaFactura, R646, diasCredito, IF(E646="Pago inmediato", 0, IFERROR(VALUE(MID(E646, 1, SEARCH(" ", E646)-1)),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46" s="79">
        <f>IF(AN646="","",IF(AND(N646&gt;0, AG646&gt;0), IF(Configuración!$K$2="NO", "ALERTA: DESCUENTO DOBLE NO PERMITIDO", "OK"), "OK"))</f>
        <v/>
      </c>
      <c r="AR646" s="79">
        <f>IF(AN646="","",IF(OR(AO646&lt;&gt;"OK", AP646&lt;&gt;"OK", AQ646&lt;&gt;"OK"), "⚠️ REVISAR", "OK"))</f>
        <v/>
      </c>
    </row>
    <row r="647">
      <c r="A647" s="79">
        <f>IF('Ordenes_Odoo'!A647="","",'Ordenes_Odoo'!A647)</f>
        <v/>
      </c>
      <c r="B647" s="80">
        <f>IF('Ordenes_Odoo'!B647="","",'Ordenes_Odoo'!B647)</f>
        <v/>
      </c>
      <c r="C647" s="79">
        <f>IF('Ordenes_Odoo'!C647="","",'Ordenes_Odoo'!C647)</f>
        <v/>
      </c>
      <c r="D647" s="79">
        <f>IF('Ordenes_Odoo'!D647="","",'Ordenes_Odoo'!D647)</f>
        <v/>
      </c>
      <c r="E647" s="79">
        <f>IF('Ordenes_Odoo'!E647="","",'Ordenes_Odoo'!E647)</f>
        <v/>
      </c>
      <c r="F647" s="79">
        <f>IF('Ordenes_Odoo'!F647="","",'Ordenes_Odoo'!F647)</f>
        <v/>
      </c>
      <c r="G647" s="79">
        <f>IF('Ordenes_Odoo'!G647="","",'Ordenes_Odoo'!G647)</f>
        <v/>
      </c>
      <c r="H647" s="79">
        <f>IF('Ordenes_Odoo'!H647="","",'Ordenes_Odoo'!H647)</f>
        <v/>
      </c>
      <c r="I647" s="79">
        <f>IF('Ordenes_Odoo'!I647="","",'Ordenes_Odoo'!I647)</f>
        <v/>
      </c>
      <c r="J647" s="79">
        <f>IF('Ordenes_Odoo'!J647="","",'Ordenes_Odoo'!J647)</f>
        <v/>
      </c>
      <c r="K647" s="81">
        <f>IF('Ordenes_Odoo'!K647="","",'Ordenes_Odoo'!K647)</f>
        <v/>
      </c>
      <c r="L647" s="81">
        <f>IF('Ordenes_Odoo'!L647="","",'Ordenes_Odoo'!L647)</f>
        <v/>
      </c>
      <c r="M647" s="79">
        <f>IF('Ordenes_Odoo'!M647="","",'Ordenes_Odoo'!M647)</f>
        <v/>
      </c>
      <c r="N647" s="79">
        <f>IF('Ordenes_Odoo'!N647="","",'Ordenes_Odoo'!N647)</f>
        <v/>
      </c>
      <c r="O647" s="81">
        <f>IF('Ordenes_Odoo'!O647="","",'Ordenes_Odoo'!O647)</f>
        <v/>
      </c>
      <c r="P647" s="81">
        <f>IF('Ordenes_Odoo'!P647="","",'Ordenes_Odoo'!P647)</f>
        <v/>
      </c>
      <c r="Q647" s="79">
        <f>IF(A647="","",IFERROR(INDEX(Facturas_Odoo!$B:$B, MATCH(A647, Facturas_Odoo!$D:$D, 0)), "Sin Factura"))</f>
        <v/>
      </c>
      <c r="R647" s="80">
        <f>IF(Q647="Sin Factura","",IFERROR(INDEX(Facturas_Odoo!$A:$A, MATCH(Q647, Facturas_Odoo!$B:$B, 0)), ""))</f>
        <v/>
      </c>
      <c r="S647" s="79">
        <f>IF(Q647="Sin Factura","",IFERROR(_xlfn.XLOOKUP(1, (Facturas_Odoo!$D:$D=A647) * (Facturas_Odoo!$K:$K=I647), Facturas_Odoo!$L:$L, ""), ""))</f>
        <v/>
      </c>
      <c r="T647" s="81">
        <f>IF(Q647="Sin Factura",0,IFERROR(_xlfn.XLOOKUP(1, (Facturas_Odoo!$D:$D=A647) * (Facturas_Odoo!$K:$K=I647), Facturas_Odoo!$M:$M, 0), 0))</f>
        <v/>
      </c>
      <c r="U647" s="79">
        <f>IF(Q647="Sin Factura",0,IFERROR(_xlfn.XLOOKUP(1, (Facturas_Odoo!$D:$D=A647) * (Facturas_Odoo!$K:$K=I647), Facturas_Odoo!$N:$N, 0), 0))</f>
        <v/>
      </c>
      <c r="V647" s="79">
        <f>IF(Q647="Sin Factura",0,IFERROR(_xlfn.XLOOKUP(1, (Facturas_Odoo!$D:$D=A647) * (Facturas_Odoo!$K:$K=I647), Facturas_Odoo!$O:$O, 0), 0))</f>
        <v/>
      </c>
      <c r="W647" s="81">
        <f>IF(Q647="Sin Factura",0,IFERROR(_xlfn.XLOOKUP(1, (Facturas_Odoo!$D:$D=A647) * (Facturas_Odoo!$K:$K=I647), Facturas_Odoo!$Q:$Q, 0), 0))</f>
        <v/>
      </c>
      <c r="X647" s="79">
        <f>IF(OR(Q647="Sin Factura",Q647=""),"",IFERROR(INDEX(Pagos_Odoo!$B:$B, MATCH(Q647, Pagos_Odoo!$I:$I, 0)), "Sin Pago"))</f>
        <v/>
      </c>
      <c r="Y647" s="79">
        <f>IF(X647="Sin Pago","",IFERROR(INDEX(Pagos_Odoo!$C:$C, MATCH(X647, Pagos_Odoo!$B:$B, 0)), ""))</f>
        <v/>
      </c>
      <c r="Z647" s="80">
        <f>IF(X647="Sin Pago","",IFERROR(INDEX(Pagos_Odoo!$A:$A, MATCH(X647, Pagos_Odoo!$B:$B, 0)), ""))</f>
        <v/>
      </c>
      <c r="AA647" s="79">
        <f>IF(X647="Sin Pago","",IFERROR(INDEX(Pagos_Odoo!$F:$F, MATCH(X647, Pagos_Odoo!$B:$B, 0)), ""))</f>
        <v/>
      </c>
      <c r="AB647" s="81">
        <f>IF(X647="Sin Pago",0,IFERROR(INDEX(Pagos_Odoo!$E:$E, MATCH(X647, Pagos_Odoo!$B:$B, 0)), 0))</f>
        <v/>
      </c>
      <c r="AC647" s="79">
        <f>IF(X647="Sin Pago","",IFERROR(INDEX(Pagos_Odoo!$G:$G, MATCH(X647, Pagos_Odoo!$B:$B, 0)), ""))</f>
        <v/>
      </c>
      <c r="AD647" s="82" t="n">
        <v>0</v>
      </c>
      <c r="AE647" s="82" t="n"/>
      <c r="AF647" s="82" t="n"/>
      <c r="AG647" s="82">
        <f>IF(AN647="","",AD647+AE647+AF647)</f>
        <v/>
      </c>
      <c r="AH647" s="81">
        <f>IF(AN647="","",P647*(1-AG647))</f>
        <v/>
      </c>
      <c r="AI647" s="81">
        <f>IF(AN647="","",IF(Q647="Sin Factura",0,IFERROR(INDEX(Facturas_Odoo!$H:$H, MATCH(Q647, Facturas_Odoo!$B:$B, 0)), 0)*(1-AG647)))</f>
        <v/>
      </c>
      <c r="AJ647" s="81">
        <f>IF(AN647="","",_xlfn.LET(idVenta, AN647&amp;"",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47" s="81">
        <f>IF(AN647="","",AH647-AJ647)</f>
        <v/>
      </c>
      <c r="AL647" s="81">
        <f>IF(AN647="","",IF(Q647="Sin Factura","",AI647-AJ647))</f>
        <v/>
      </c>
      <c r="AM647" s="81">
        <f>IF(AN647="","",IF(Q647="Sin Factura",0,P647-IFERROR(INDEX(Facturas_Odoo!$H:$H, MATCH(Q647, Facturas_Odoo!$B:$B, 0)), 0)))</f>
        <v/>
      </c>
      <c r="AN647" s="79">
        <f>IF(AND(A647="", J647=""), "", IF(A647&lt;&gt;"", VALUE(MID(A647,2,LEN(A647))), AN646))</f>
        <v/>
      </c>
      <c r="AO647" s="79">
        <f>IF(AN647="","",IF(AD647=0,"OK",_xlfn.LET(monedaPago, IF(AA647="","USD",AA647), limitePermitido, IFERROR(VLOOKUP(monedaPago, Configuración!$A$2:$B$3, 2, FALSE), 0.15), IF(AD647&gt;limitePermitido, "ALERTA: EXCESO (" &amp; TEXT(limitePermitido, "0%") &amp; " máx)", "OK"))))</f>
        <v/>
      </c>
      <c r="AP647" s="79">
        <f>IF(AN647="","",IF(AE647=0,"OK",_xlfn.LET(fechaPago, Z647, fechaFactura, R647, diasCredito, IF(E647="Pago inmediato", 0, IFERROR(VALUE(MID(E647, 1, SEARCH(" ", E647)-1)),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47" s="79">
        <f>IF(AN647="","",IF(AND(N647&gt;0, AG647&gt;0), IF(Configuración!$K$2="NO", "ALERTA: DESCUENTO DOBLE NO PERMITIDO", "OK"), "OK"))</f>
        <v/>
      </c>
      <c r="AR647" s="79">
        <f>IF(AN647="","",IF(OR(AO647&lt;&gt;"OK", AP647&lt;&gt;"OK", AQ647&lt;&gt;"OK"), "⚠️ REVISAR", "OK"))</f>
        <v/>
      </c>
    </row>
    <row r="648">
      <c r="A648" s="79">
        <f>IF('Ordenes_Odoo'!A648="","",'Ordenes_Odoo'!A648)</f>
        <v/>
      </c>
      <c r="B648" s="80">
        <f>IF('Ordenes_Odoo'!B648="","",'Ordenes_Odoo'!B648)</f>
        <v/>
      </c>
      <c r="C648" s="79">
        <f>IF('Ordenes_Odoo'!C648="","",'Ordenes_Odoo'!C648)</f>
        <v/>
      </c>
      <c r="D648" s="79">
        <f>IF('Ordenes_Odoo'!D648="","",'Ordenes_Odoo'!D648)</f>
        <v/>
      </c>
      <c r="E648" s="79">
        <f>IF('Ordenes_Odoo'!E648="","",'Ordenes_Odoo'!E648)</f>
        <v/>
      </c>
      <c r="F648" s="79">
        <f>IF('Ordenes_Odoo'!F648="","",'Ordenes_Odoo'!F648)</f>
        <v/>
      </c>
      <c r="G648" s="79">
        <f>IF('Ordenes_Odoo'!G648="","",'Ordenes_Odoo'!G648)</f>
        <v/>
      </c>
      <c r="H648" s="79">
        <f>IF('Ordenes_Odoo'!H648="","",'Ordenes_Odoo'!H648)</f>
        <v/>
      </c>
      <c r="I648" s="79">
        <f>IF('Ordenes_Odoo'!I648="","",'Ordenes_Odoo'!I648)</f>
        <v/>
      </c>
      <c r="J648" s="79">
        <f>IF('Ordenes_Odoo'!J648="","",'Ordenes_Odoo'!J648)</f>
        <v/>
      </c>
      <c r="K648" s="81">
        <f>IF('Ordenes_Odoo'!K648="","",'Ordenes_Odoo'!K648)</f>
        <v/>
      </c>
      <c r="L648" s="81">
        <f>IF('Ordenes_Odoo'!L648="","",'Ordenes_Odoo'!L648)</f>
        <v/>
      </c>
      <c r="M648" s="79">
        <f>IF('Ordenes_Odoo'!M648="","",'Ordenes_Odoo'!M648)</f>
        <v/>
      </c>
      <c r="N648" s="79">
        <f>IF('Ordenes_Odoo'!N648="","",'Ordenes_Odoo'!N648)</f>
        <v/>
      </c>
      <c r="O648" s="81">
        <f>IF('Ordenes_Odoo'!O648="","",'Ordenes_Odoo'!O648)</f>
        <v/>
      </c>
      <c r="P648" s="81">
        <f>IF('Ordenes_Odoo'!P648="","",'Ordenes_Odoo'!P648)</f>
        <v/>
      </c>
      <c r="Q648" s="79">
        <f>IF(A648="","",IFERROR(INDEX(Facturas_Odoo!$B:$B, MATCH(A648, Facturas_Odoo!$D:$D, 0)), "Sin Factura"))</f>
        <v/>
      </c>
      <c r="R648" s="80">
        <f>IF(Q648="Sin Factura","",IFERROR(INDEX(Facturas_Odoo!$A:$A, MATCH(Q648, Facturas_Odoo!$B:$B, 0)), ""))</f>
        <v/>
      </c>
      <c r="S648" s="79">
        <f>IF(Q648="Sin Factura","",IFERROR(_xlfn.XLOOKUP(1, (Facturas_Odoo!$D:$D=A648) * (Facturas_Odoo!$K:$K=I648), Facturas_Odoo!$L:$L, ""), ""))</f>
        <v/>
      </c>
      <c r="T648" s="81">
        <f>IF(Q648="Sin Factura",0,IFERROR(_xlfn.XLOOKUP(1, (Facturas_Odoo!$D:$D=A648) * (Facturas_Odoo!$K:$K=I648), Facturas_Odoo!$M:$M, 0), 0))</f>
        <v/>
      </c>
      <c r="U648" s="79">
        <f>IF(Q648="Sin Factura",0,IFERROR(_xlfn.XLOOKUP(1, (Facturas_Odoo!$D:$D=A648) * (Facturas_Odoo!$K:$K=I648), Facturas_Odoo!$N:$N, 0), 0))</f>
        <v/>
      </c>
      <c r="V648" s="79">
        <f>IF(Q648="Sin Factura",0,IFERROR(_xlfn.XLOOKUP(1, (Facturas_Odoo!$D:$D=A648) * (Facturas_Odoo!$K:$K=I648), Facturas_Odoo!$O:$O, 0), 0))</f>
        <v/>
      </c>
      <c r="W648" s="81">
        <f>IF(Q648="Sin Factura",0,IFERROR(_xlfn.XLOOKUP(1, (Facturas_Odoo!$D:$D=A648) * (Facturas_Odoo!$K:$K=I648), Facturas_Odoo!$Q:$Q, 0), 0))</f>
        <v/>
      </c>
      <c r="X648" s="79">
        <f>IF(OR(Q648="Sin Factura",Q648=""),"",IFERROR(INDEX(Pagos_Odoo!$B:$B, MATCH(Q648, Pagos_Odoo!$I:$I, 0)), "Sin Pago"))</f>
        <v/>
      </c>
      <c r="Y648" s="79">
        <f>IF(X648="Sin Pago","",IFERROR(INDEX(Pagos_Odoo!$C:$C, MATCH(X648, Pagos_Odoo!$B:$B, 0)), ""))</f>
        <v/>
      </c>
      <c r="Z648" s="80">
        <f>IF(X648="Sin Pago","",IFERROR(INDEX(Pagos_Odoo!$A:$A, MATCH(X648, Pagos_Odoo!$B:$B, 0)), ""))</f>
        <v/>
      </c>
      <c r="AA648" s="79">
        <f>IF(X648="Sin Pago","",IFERROR(INDEX(Pagos_Odoo!$F:$F, MATCH(X648, Pagos_Odoo!$B:$B, 0)), ""))</f>
        <v/>
      </c>
      <c r="AB648" s="81">
        <f>IF(X648="Sin Pago",0,IFERROR(INDEX(Pagos_Odoo!$E:$E, MATCH(X648, Pagos_Odoo!$B:$B, 0)), 0))</f>
        <v/>
      </c>
      <c r="AC648" s="79">
        <f>IF(X648="Sin Pago","",IFERROR(INDEX(Pagos_Odoo!$G:$G, MATCH(X648, Pagos_Odoo!$B:$B, 0)), ""))</f>
        <v/>
      </c>
      <c r="AD648" s="82" t="n">
        <v>0</v>
      </c>
      <c r="AE648" s="82" t="n"/>
      <c r="AF648" s="82" t="n"/>
      <c r="AG648" s="82">
        <f>IF(AN648="","",AD648+AE648+AF648)</f>
        <v/>
      </c>
      <c r="AH648" s="81">
        <f>IF(AN648="","",P648*(1-AG648))</f>
        <v/>
      </c>
      <c r="AI648" s="81">
        <f>IF(AN648="","",IF(Q648="Sin Factura",0,IFERROR(INDEX(Facturas_Odoo!$H:$H, MATCH(Q648, Facturas_Odoo!$B:$B, 0)), 0)*(1-AG648)))</f>
        <v/>
      </c>
      <c r="AJ648" s="81">
        <f>IF(AN648="","",_xlfn.LET(idVenta, AN648&amp;"",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48" s="81">
        <f>IF(AN648="","",AH648-AJ648)</f>
        <v/>
      </c>
      <c r="AL648" s="81">
        <f>IF(AN648="","",IF(Q648="Sin Factura","",AI648-AJ648))</f>
        <v/>
      </c>
      <c r="AM648" s="81">
        <f>IF(AN648="","",IF(Q648="Sin Factura",0,P648-IFERROR(INDEX(Facturas_Odoo!$H:$H, MATCH(Q648, Facturas_Odoo!$B:$B, 0)), 0)))</f>
        <v/>
      </c>
      <c r="AN648" s="79">
        <f>IF(AND(A648="", J648=""), "", IF(A648&lt;&gt;"", VALUE(MID(A648,2,LEN(A648))), AN647))</f>
        <v/>
      </c>
      <c r="AO648" s="79">
        <f>IF(AN648="","",IF(AD648=0,"OK",_xlfn.LET(monedaPago, IF(AA648="","USD",AA648), limitePermitido, IFERROR(VLOOKUP(monedaPago, Configuración!$A$2:$B$3, 2, FALSE), 0.15), IF(AD648&gt;limitePermitido, "ALERTA: EXCESO (" &amp; TEXT(limitePermitido, "0%") &amp; " máx)", "OK"))))</f>
        <v/>
      </c>
      <c r="AP648" s="79">
        <f>IF(AN648="","",IF(AE648=0,"OK",_xlfn.LET(fechaPago, Z648, fechaFactura, R648, diasCredito, IF(E648="Pago inmediato", 0, IFERROR(VALUE(MID(E648, 1, SEARCH(" ", E648)-1)),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48" s="79">
        <f>IF(AN648="","",IF(AND(N648&gt;0, AG648&gt;0), IF(Configuración!$K$2="NO", "ALERTA: DESCUENTO DOBLE NO PERMITIDO", "OK"), "OK"))</f>
        <v/>
      </c>
      <c r="AR648" s="79">
        <f>IF(AN648="","",IF(OR(AO648&lt;&gt;"OK", AP648&lt;&gt;"OK", AQ648&lt;&gt;"OK"), "⚠️ REVISAR", "OK"))</f>
        <v/>
      </c>
    </row>
    <row r="649">
      <c r="A649" s="79">
        <f>IF('Ordenes_Odoo'!A649="","",'Ordenes_Odoo'!A649)</f>
        <v/>
      </c>
      <c r="B649" s="80">
        <f>IF('Ordenes_Odoo'!B649="","",'Ordenes_Odoo'!B649)</f>
        <v/>
      </c>
      <c r="C649" s="79">
        <f>IF('Ordenes_Odoo'!C649="","",'Ordenes_Odoo'!C649)</f>
        <v/>
      </c>
      <c r="D649" s="79">
        <f>IF('Ordenes_Odoo'!D649="","",'Ordenes_Odoo'!D649)</f>
        <v/>
      </c>
      <c r="E649" s="79">
        <f>IF('Ordenes_Odoo'!E649="","",'Ordenes_Odoo'!E649)</f>
        <v/>
      </c>
      <c r="F649" s="79">
        <f>IF('Ordenes_Odoo'!F649="","",'Ordenes_Odoo'!F649)</f>
        <v/>
      </c>
      <c r="G649" s="79">
        <f>IF('Ordenes_Odoo'!G649="","",'Ordenes_Odoo'!G649)</f>
        <v/>
      </c>
      <c r="H649" s="79">
        <f>IF('Ordenes_Odoo'!H649="","",'Ordenes_Odoo'!H649)</f>
        <v/>
      </c>
      <c r="I649" s="79">
        <f>IF('Ordenes_Odoo'!I649="","",'Ordenes_Odoo'!I649)</f>
        <v/>
      </c>
      <c r="J649" s="79">
        <f>IF('Ordenes_Odoo'!J649="","",'Ordenes_Odoo'!J649)</f>
        <v/>
      </c>
      <c r="K649" s="81">
        <f>IF('Ordenes_Odoo'!K649="","",'Ordenes_Odoo'!K649)</f>
        <v/>
      </c>
      <c r="L649" s="81">
        <f>IF('Ordenes_Odoo'!L649="","",'Ordenes_Odoo'!L649)</f>
        <v/>
      </c>
      <c r="M649" s="79">
        <f>IF('Ordenes_Odoo'!M649="","",'Ordenes_Odoo'!M649)</f>
        <v/>
      </c>
      <c r="N649" s="79">
        <f>IF('Ordenes_Odoo'!N649="","",'Ordenes_Odoo'!N649)</f>
        <v/>
      </c>
      <c r="O649" s="81">
        <f>IF('Ordenes_Odoo'!O649="","",'Ordenes_Odoo'!O649)</f>
        <v/>
      </c>
      <c r="P649" s="81">
        <f>IF('Ordenes_Odoo'!P649="","",'Ordenes_Odoo'!P649)</f>
        <v/>
      </c>
      <c r="Q649" s="79">
        <f>IF(A649="","",IFERROR(INDEX(Facturas_Odoo!$B:$B, MATCH(A649, Facturas_Odoo!$D:$D, 0)), "Sin Factura"))</f>
        <v/>
      </c>
      <c r="R649" s="80">
        <f>IF(Q649="Sin Factura","",IFERROR(INDEX(Facturas_Odoo!$A:$A, MATCH(Q649, Facturas_Odoo!$B:$B, 0)), ""))</f>
        <v/>
      </c>
      <c r="S649" s="79">
        <f>IF(Q649="Sin Factura","",IFERROR(_xlfn.XLOOKUP(1, (Facturas_Odoo!$D:$D=A649) * (Facturas_Odoo!$K:$K=I649), Facturas_Odoo!$L:$L, ""), ""))</f>
        <v/>
      </c>
      <c r="T649" s="81">
        <f>IF(Q649="Sin Factura",0,IFERROR(_xlfn.XLOOKUP(1, (Facturas_Odoo!$D:$D=A649) * (Facturas_Odoo!$K:$K=I649), Facturas_Odoo!$M:$M, 0), 0))</f>
        <v/>
      </c>
      <c r="U649" s="79">
        <f>IF(Q649="Sin Factura",0,IFERROR(_xlfn.XLOOKUP(1, (Facturas_Odoo!$D:$D=A649) * (Facturas_Odoo!$K:$K=I649), Facturas_Odoo!$N:$N, 0), 0))</f>
        <v/>
      </c>
      <c r="V649" s="79">
        <f>IF(Q649="Sin Factura",0,IFERROR(_xlfn.XLOOKUP(1, (Facturas_Odoo!$D:$D=A649) * (Facturas_Odoo!$K:$K=I649), Facturas_Odoo!$O:$O, 0), 0))</f>
        <v/>
      </c>
      <c r="W649" s="81">
        <f>IF(Q649="Sin Factura",0,IFERROR(_xlfn.XLOOKUP(1, (Facturas_Odoo!$D:$D=A649) * (Facturas_Odoo!$K:$K=I649), Facturas_Odoo!$Q:$Q, 0), 0))</f>
        <v/>
      </c>
      <c r="X649" s="79">
        <f>IF(OR(Q649="Sin Factura",Q649=""),"",IFERROR(INDEX(Pagos_Odoo!$B:$B, MATCH(Q649, Pagos_Odoo!$I:$I, 0)), "Sin Pago"))</f>
        <v/>
      </c>
      <c r="Y649" s="79">
        <f>IF(X649="Sin Pago","",IFERROR(INDEX(Pagos_Odoo!$C:$C, MATCH(X649, Pagos_Odoo!$B:$B, 0)), ""))</f>
        <v/>
      </c>
      <c r="Z649" s="80">
        <f>IF(X649="Sin Pago","",IFERROR(INDEX(Pagos_Odoo!$A:$A, MATCH(X649, Pagos_Odoo!$B:$B, 0)), ""))</f>
        <v/>
      </c>
      <c r="AA649" s="79">
        <f>IF(X649="Sin Pago","",IFERROR(INDEX(Pagos_Odoo!$F:$F, MATCH(X649, Pagos_Odoo!$B:$B, 0)), ""))</f>
        <v/>
      </c>
      <c r="AB649" s="81">
        <f>IF(X649="Sin Pago",0,IFERROR(INDEX(Pagos_Odoo!$E:$E, MATCH(X649, Pagos_Odoo!$B:$B, 0)), 0))</f>
        <v/>
      </c>
      <c r="AC649" s="79">
        <f>IF(X649="Sin Pago","",IFERROR(INDEX(Pagos_Odoo!$G:$G, MATCH(X649, Pagos_Odoo!$B:$B, 0)), ""))</f>
        <v/>
      </c>
      <c r="AD649" s="82" t="n">
        <v>0</v>
      </c>
      <c r="AE649" s="82" t="n"/>
      <c r="AF649" s="82" t="n"/>
      <c r="AG649" s="82">
        <f>IF(AN649="","",AD649+AE649+AF649)</f>
        <v/>
      </c>
      <c r="AH649" s="81">
        <f>IF(AN649="","",P649*(1-AG649))</f>
        <v/>
      </c>
      <c r="AI649" s="81">
        <f>IF(AN649="","",IF(Q649="Sin Factura",0,IFERROR(INDEX(Facturas_Odoo!$H:$H, MATCH(Q649, Facturas_Odoo!$B:$B, 0)), 0)*(1-AG649)))</f>
        <v/>
      </c>
      <c r="AJ649" s="81">
        <f>IF(AN649="","",_xlfn.LET(idVenta, AN649&amp;"",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49" s="81">
        <f>IF(AN649="","",AH649-AJ649)</f>
        <v/>
      </c>
      <c r="AL649" s="81">
        <f>IF(AN649="","",IF(Q649="Sin Factura","",AI649-AJ649))</f>
        <v/>
      </c>
      <c r="AM649" s="81">
        <f>IF(AN649="","",IF(Q649="Sin Factura",0,P649-IFERROR(INDEX(Facturas_Odoo!$H:$H, MATCH(Q649, Facturas_Odoo!$B:$B, 0)), 0)))</f>
        <v/>
      </c>
      <c r="AN649" s="79">
        <f>IF(AND(A649="", J649=""), "", IF(A649&lt;&gt;"", VALUE(MID(A649,2,LEN(A649))), AN648))</f>
        <v/>
      </c>
      <c r="AO649" s="79">
        <f>IF(AN649="","",IF(AD649=0,"OK",_xlfn.LET(monedaPago, IF(AA649="","USD",AA649), limitePermitido, IFERROR(VLOOKUP(monedaPago, Configuración!$A$2:$B$3, 2, FALSE), 0.15), IF(AD649&gt;limitePermitido, "ALERTA: EXCESO (" &amp; TEXT(limitePermitido, "0%") &amp; " máx)", "OK"))))</f>
        <v/>
      </c>
      <c r="AP649" s="79">
        <f>IF(AN649="","",IF(AE649=0,"OK",_xlfn.LET(fechaPago, Z649, fechaFactura, R649, diasCredito, IF(E649="Pago inmediato", 0, IFERROR(VALUE(MID(E649, 1, SEARCH(" ", E649)-1)),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49" s="79">
        <f>IF(AN649="","",IF(AND(N649&gt;0, AG649&gt;0), IF(Configuración!$K$2="NO", "ALERTA: DESCUENTO DOBLE NO PERMITIDO", "OK"), "OK"))</f>
        <v/>
      </c>
      <c r="AR649" s="79">
        <f>IF(AN649="","",IF(OR(AO649&lt;&gt;"OK", AP649&lt;&gt;"OK", AQ649&lt;&gt;"OK"), "⚠️ REVISAR", "OK"))</f>
        <v/>
      </c>
    </row>
    <row r="650">
      <c r="A650" s="79">
        <f>IF('Ordenes_Odoo'!A650="","",'Ordenes_Odoo'!A650)</f>
        <v/>
      </c>
      <c r="B650" s="80">
        <f>IF('Ordenes_Odoo'!B650="","",'Ordenes_Odoo'!B650)</f>
        <v/>
      </c>
      <c r="C650" s="79">
        <f>IF('Ordenes_Odoo'!C650="","",'Ordenes_Odoo'!C650)</f>
        <v/>
      </c>
      <c r="D650" s="79">
        <f>IF('Ordenes_Odoo'!D650="","",'Ordenes_Odoo'!D650)</f>
        <v/>
      </c>
      <c r="E650" s="79">
        <f>IF('Ordenes_Odoo'!E650="","",'Ordenes_Odoo'!E650)</f>
        <v/>
      </c>
      <c r="F650" s="79">
        <f>IF('Ordenes_Odoo'!F650="","",'Ordenes_Odoo'!F650)</f>
        <v/>
      </c>
      <c r="G650" s="79">
        <f>IF('Ordenes_Odoo'!G650="","",'Ordenes_Odoo'!G650)</f>
        <v/>
      </c>
      <c r="H650" s="79">
        <f>IF('Ordenes_Odoo'!H650="","",'Ordenes_Odoo'!H650)</f>
        <v/>
      </c>
      <c r="I650" s="79">
        <f>IF('Ordenes_Odoo'!I650="","",'Ordenes_Odoo'!I650)</f>
        <v/>
      </c>
      <c r="J650" s="79">
        <f>IF('Ordenes_Odoo'!J650="","",'Ordenes_Odoo'!J650)</f>
        <v/>
      </c>
      <c r="K650" s="81">
        <f>IF('Ordenes_Odoo'!K650="","",'Ordenes_Odoo'!K650)</f>
        <v/>
      </c>
      <c r="L650" s="81">
        <f>IF('Ordenes_Odoo'!L650="","",'Ordenes_Odoo'!L650)</f>
        <v/>
      </c>
      <c r="M650" s="79">
        <f>IF('Ordenes_Odoo'!M650="","",'Ordenes_Odoo'!M650)</f>
        <v/>
      </c>
      <c r="N650" s="79">
        <f>IF('Ordenes_Odoo'!N650="","",'Ordenes_Odoo'!N650)</f>
        <v/>
      </c>
      <c r="O650" s="81">
        <f>IF('Ordenes_Odoo'!O650="","",'Ordenes_Odoo'!O650)</f>
        <v/>
      </c>
      <c r="P650" s="81">
        <f>IF('Ordenes_Odoo'!P650="","",'Ordenes_Odoo'!P650)</f>
        <v/>
      </c>
      <c r="Q650" s="79">
        <f>IF(A650="","",IFERROR(INDEX(Facturas_Odoo!$B:$B, MATCH(A650, Facturas_Odoo!$D:$D, 0)), "Sin Factura"))</f>
        <v/>
      </c>
      <c r="R650" s="80">
        <f>IF(Q650="Sin Factura","",IFERROR(INDEX(Facturas_Odoo!$A:$A, MATCH(Q650, Facturas_Odoo!$B:$B, 0)), ""))</f>
        <v/>
      </c>
      <c r="S650" s="79">
        <f>IF(Q650="Sin Factura","",IFERROR(_xlfn.XLOOKUP(1, (Facturas_Odoo!$D:$D=A650) * (Facturas_Odoo!$K:$K=I650), Facturas_Odoo!$L:$L, ""), ""))</f>
        <v/>
      </c>
      <c r="T650" s="81">
        <f>IF(Q650="Sin Factura",0,IFERROR(_xlfn.XLOOKUP(1, (Facturas_Odoo!$D:$D=A650) * (Facturas_Odoo!$K:$K=I650), Facturas_Odoo!$M:$M, 0), 0))</f>
        <v/>
      </c>
      <c r="U650" s="79">
        <f>IF(Q650="Sin Factura",0,IFERROR(_xlfn.XLOOKUP(1, (Facturas_Odoo!$D:$D=A650) * (Facturas_Odoo!$K:$K=I650), Facturas_Odoo!$N:$N, 0), 0))</f>
        <v/>
      </c>
      <c r="V650" s="79">
        <f>IF(Q650="Sin Factura",0,IFERROR(_xlfn.XLOOKUP(1, (Facturas_Odoo!$D:$D=A650) * (Facturas_Odoo!$K:$K=I650), Facturas_Odoo!$O:$O, 0), 0))</f>
        <v/>
      </c>
      <c r="W650" s="81">
        <f>IF(Q650="Sin Factura",0,IFERROR(_xlfn.XLOOKUP(1, (Facturas_Odoo!$D:$D=A650) * (Facturas_Odoo!$K:$K=I650), Facturas_Odoo!$Q:$Q, 0), 0))</f>
        <v/>
      </c>
      <c r="X650" s="79">
        <f>IF(OR(Q650="Sin Factura",Q650=""),"",IFERROR(INDEX(Pagos_Odoo!$B:$B, MATCH(Q650, Pagos_Odoo!$I:$I, 0)), "Sin Pago"))</f>
        <v/>
      </c>
      <c r="Y650" s="79">
        <f>IF(X650="Sin Pago","",IFERROR(INDEX(Pagos_Odoo!$C:$C, MATCH(X650, Pagos_Odoo!$B:$B, 0)), ""))</f>
        <v/>
      </c>
      <c r="Z650" s="80">
        <f>IF(X650="Sin Pago","",IFERROR(INDEX(Pagos_Odoo!$A:$A, MATCH(X650, Pagos_Odoo!$B:$B, 0)), ""))</f>
        <v/>
      </c>
      <c r="AA650" s="79">
        <f>IF(X650="Sin Pago","",IFERROR(INDEX(Pagos_Odoo!$F:$F, MATCH(X650, Pagos_Odoo!$B:$B, 0)), ""))</f>
        <v/>
      </c>
      <c r="AB650" s="81">
        <f>IF(X650="Sin Pago",0,IFERROR(INDEX(Pagos_Odoo!$E:$E, MATCH(X650, Pagos_Odoo!$B:$B, 0)), 0))</f>
        <v/>
      </c>
      <c r="AC650" s="79">
        <f>IF(X650="Sin Pago","",IFERROR(INDEX(Pagos_Odoo!$G:$G, MATCH(X650, Pagos_Odoo!$B:$B, 0)), ""))</f>
        <v/>
      </c>
      <c r="AD650" s="82" t="n">
        <v>0</v>
      </c>
      <c r="AE650" s="82" t="n"/>
      <c r="AF650" s="82" t="n"/>
      <c r="AG650" s="82">
        <f>IF(AN650="","",AD650+AE650+AF650)</f>
        <v/>
      </c>
      <c r="AH650" s="81">
        <f>IF(AN650="","",P650*(1-AG650))</f>
        <v/>
      </c>
      <c r="AI650" s="81">
        <f>IF(AN650="","",IF(Q650="Sin Factura",0,IFERROR(INDEX(Facturas_Odoo!$H:$H, MATCH(Q650, Facturas_Odoo!$B:$B, 0)), 0)*(1-AG650)))</f>
        <v/>
      </c>
      <c r="AJ650" s="81">
        <f>IF(AN650="","",_xlfn.LET(idVenta, AN650&amp;"",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50" s="81">
        <f>IF(AN650="","",AH650-AJ650)</f>
        <v/>
      </c>
      <c r="AL650" s="81">
        <f>IF(AN650="","",IF(Q650="Sin Factura","",AI650-AJ650))</f>
        <v/>
      </c>
      <c r="AM650" s="81">
        <f>IF(AN650="","",IF(Q650="Sin Factura",0,P650-IFERROR(INDEX(Facturas_Odoo!$H:$H, MATCH(Q650, Facturas_Odoo!$B:$B, 0)), 0)))</f>
        <v/>
      </c>
      <c r="AN650" s="79">
        <f>IF(AND(A650="", J650=""), "", IF(A650&lt;&gt;"", VALUE(MID(A650,2,LEN(A650))), AN649))</f>
        <v/>
      </c>
      <c r="AO650" s="79">
        <f>IF(AN650="","",IF(AD650=0,"OK",_xlfn.LET(monedaPago, IF(AA650="","USD",AA650), limitePermitido, IFERROR(VLOOKUP(monedaPago, Configuración!$A$2:$B$3, 2, FALSE), 0.15), IF(AD650&gt;limitePermitido, "ALERTA: EXCESO (" &amp; TEXT(limitePermitido, "0%") &amp; " máx)", "OK"))))</f>
        <v/>
      </c>
      <c r="AP650" s="79">
        <f>IF(AN650="","",IF(AE650=0,"OK",_xlfn.LET(fechaPago, Z650, fechaFactura, R650, diasCredito, IF(E650="Pago inmediato", 0, IFERROR(VALUE(MID(E650, 1, SEARCH(" ", E650)-1)),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50" s="79">
        <f>IF(AN650="","",IF(AND(N650&gt;0, AG650&gt;0), IF(Configuración!$K$2="NO", "ALERTA: DESCUENTO DOBLE NO PERMITIDO", "OK"), "OK"))</f>
        <v/>
      </c>
      <c r="AR650" s="79">
        <f>IF(AN650="","",IF(OR(AO650&lt;&gt;"OK", AP650&lt;&gt;"OK", AQ650&lt;&gt;"OK"), "⚠️ REVISAR", "OK"))</f>
        <v/>
      </c>
    </row>
    <row r="651">
      <c r="A651" s="79">
        <f>IF('Ordenes_Odoo'!A651="","",'Ordenes_Odoo'!A651)</f>
        <v/>
      </c>
      <c r="B651" s="80">
        <f>IF('Ordenes_Odoo'!B651="","",'Ordenes_Odoo'!B651)</f>
        <v/>
      </c>
      <c r="C651" s="79">
        <f>IF('Ordenes_Odoo'!C651="","",'Ordenes_Odoo'!C651)</f>
        <v/>
      </c>
      <c r="D651" s="79">
        <f>IF('Ordenes_Odoo'!D651="","",'Ordenes_Odoo'!D651)</f>
        <v/>
      </c>
      <c r="E651" s="79">
        <f>IF('Ordenes_Odoo'!E651="","",'Ordenes_Odoo'!E651)</f>
        <v/>
      </c>
      <c r="F651" s="79">
        <f>IF('Ordenes_Odoo'!F651="","",'Ordenes_Odoo'!F651)</f>
        <v/>
      </c>
      <c r="G651" s="79">
        <f>IF('Ordenes_Odoo'!G651="","",'Ordenes_Odoo'!G651)</f>
        <v/>
      </c>
      <c r="H651" s="79">
        <f>IF('Ordenes_Odoo'!H651="","",'Ordenes_Odoo'!H651)</f>
        <v/>
      </c>
      <c r="I651" s="79">
        <f>IF('Ordenes_Odoo'!I651="","",'Ordenes_Odoo'!I651)</f>
        <v/>
      </c>
      <c r="J651" s="79">
        <f>IF('Ordenes_Odoo'!J651="","",'Ordenes_Odoo'!J651)</f>
        <v/>
      </c>
      <c r="K651" s="81">
        <f>IF('Ordenes_Odoo'!K651="","",'Ordenes_Odoo'!K651)</f>
        <v/>
      </c>
      <c r="L651" s="81">
        <f>IF('Ordenes_Odoo'!L651="","",'Ordenes_Odoo'!L651)</f>
        <v/>
      </c>
      <c r="M651" s="79">
        <f>IF('Ordenes_Odoo'!M651="","",'Ordenes_Odoo'!M651)</f>
        <v/>
      </c>
      <c r="N651" s="79">
        <f>IF('Ordenes_Odoo'!N651="","",'Ordenes_Odoo'!N651)</f>
        <v/>
      </c>
      <c r="O651" s="81">
        <f>IF('Ordenes_Odoo'!O651="","",'Ordenes_Odoo'!O651)</f>
        <v/>
      </c>
      <c r="P651" s="81">
        <f>IF('Ordenes_Odoo'!P651="","",'Ordenes_Odoo'!P651)</f>
        <v/>
      </c>
      <c r="Q651" s="79">
        <f>IF(A651="","",IFERROR(INDEX(Facturas_Odoo!$B:$B, MATCH(A651, Facturas_Odoo!$D:$D, 0)), "Sin Factura"))</f>
        <v/>
      </c>
      <c r="R651" s="80">
        <f>IF(Q651="Sin Factura","",IFERROR(INDEX(Facturas_Odoo!$A:$A, MATCH(Q651, Facturas_Odoo!$B:$B, 0)), ""))</f>
        <v/>
      </c>
      <c r="S651" s="79">
        <f>IF(Q651="Sin Factura","",IFERROR(_xlfn.XLOOKUP(1, (Facturas_Odoo!$D:$D=A651) * (Facturas_Odoo!$K:$K=I651), Facturas_Odoo!$L:$L, ""), ""))</f>
        <v/>
      </c>
      <c r="T651" s="81">
        <f>IF(Q651="Sin Factura",0,IFERROR(_xlfn.XLOOKUP(1, (Facturas_Odoo!$D:$D=A651) * (Facturas_Odoo!$K:$K=I651), Facturas_Odoo!$M:$M, 0), 0))</f>
        <v/>
      </c>
      <c r="U651" s="79">
        <f>IF(Q651="Sin Factura",0,IFERROR(_xlfn.XLOOKUP(1, (Facturas_Odoo!$D:$D=A651) * (Facturas_Odoo!$K:$K=I651), Facturas_Odoo!$N:$N, 0), 0))</f>
        <v/>
      </c>
      <c r="V651" s="79">
        <f>IF(Q651="Sin Factura",0,IFERROR(_xlfn.XLOOKUP(1, (Facturas_Odoo!$D:$D=A651) * (Facturas_Odoo!$K:$K=I651), Facturas_Odoo!$O:$O, 0), 0))</f>
        <v/>
      </c>
      <c r="W651" s="81">
        <f>IF(Q651="Sin Factura",0,IFERROR(_xlfn.XLOOKUP(1, (Facturas_Odoo!$D:$D=A651) * (Facturas_Odoo!$K:$K=I651), Facturas_Odoo!$Q:$Q, 0), 0))</f>
        <v/>
      </c>
      <c r="X651" s="79">
        <f>IF(OR(Q651="Sin Factura",Q651=""),"",IFERROR(INDEX(Pagos_Odoo!$B:$B, MATCH(Q651, Pagos_Odoo!$I:$I, 0)), "Sin Pago"))</f>
        <v/>
      </c>
      <c r="Y651" s="79">
        <f>IF(X651="Sin Pago","",IFERROR(INDEX(Pagos_Odoo!$C:$C, MATCH(X651, Pagos_Odoo!$B:$B, 0)), ""))</f>
        <v/>
      </c>
      <c r="Z651" s="80">
        <f>IF(X651="Sin Pago","",IFERROR(INDEX(Pagos_Odoo!$A:$A, MATCH(X651, Pagos_Odoo!$B:$B, 0)), ""))</f>
        <v/>
      </c>
      <c r="AA651" s="79">
        <f>IF(X651="Sin Pago","",IFERROR(INDEX(Pagos_Odoo!$F:$F, MATCH(X651, Pagos_Odoo!$B:$B, 0)), ""))</f>
        <v/>
      </c>
      <c r="AB651" s="81">
        <f>IF(X651="Sin Pago",0,IFERROR(INDEX(Pagos_Odoo!$E:$E, MATCH(X651, Pagos_Odoo!$B:$B, 0)), 0))</f>
        <v/>
      </c>
      <c r="AC651" s="79">
        <f>IF(X651="Sin Pago","",IFERROR(INDEX(Pagos_Odoo!$G:$G, MATCH(X651, Pagos_Odoo!$B:$B, 0)), ""))</f>
        <v/>
      </c>
      <c r="AD651" s="82" t="n">
        <v>0</v>
      </c>
      <c r="AE651" s="82" t="n"/>
      <c r="AF651" s="82" t="n"/>
      <c r="AG651" s="82">
        <f>IF(AN651="","",AD651+AE651+AF651)</f>
        <v/>
      </c>
      <c r="AH651" s="81">
        <f>IF(AN651="","",P651*(1-AG651))</f>
        <v/>
      </c>
      <c r="AI651" s="81">
        <f>IF(AN651="","",IF(Q651="Sin Factura",0,IFERROR(INDEX(Facturas_Odoo!$H:$H, MATCH(Q651, Facturas_Odoo!$B:$B, 0)), 0)*(1-AG651)))</f>
        <v/>
      </c>
      <c r="AJ651" s="81">
        <f>IF(AN651="","",_xlfn.LET(idVenta, AN651&amp;"",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51" s="81">
        <f>IF(AN651="","",AH651-AJ651)</f>
        <v/>
      </c>
      <c r="AL651" s="81">
        <f>IF(AN651="","",IF(Q651="Sin Factura","",AI651-AJ651))</f>
        <v/>
      </c>
      <c r="AM651" s="81">
        <f>IF(AN651="","",IF(Q651="Sin Factura",0,P651-IFERROR(INDEX(Facturas_Odoo!$H:$H, MATCH(Q651, Facturas_Odoo!$B:$B, 0)), 0)))</f>
        <v/>
      </c>
      <c r="AN651" s="79">
        <f>IF(AND(A651="", J651=""), "", IF(A651&lt;&gt;"", VALUE(MID(A651,2,LEN(A651))), AN650))</f>
        <v/>
      </c>
      <c r="AO651" s="79">
        <f>IF(AN651="","",IF(AD651=0,"OK",_xlfn.LET(monedaPago, IF(AA651="","USD",AA651), limitePermitido, IFERROR(VLOOKUP(monedaPago, Configuración!$A$2:$B$3, 2, FALSE), 0.15), IF(AD651&gt;limitePermitido, "ALERTA: EXCESO (" &amp; TEXT(limitePermitido, "0%") &amp; " máx)", "OK"))))</f>
        <v/>
      </c>
      <c r="AP651" s="79">
        <f>IF(AN651="","",IF(AE651=0,"OK",_xlfn.LET(fechaPago, Z651, fechaFactura, R651, diasCredito, IF(E651="Pago inmediato", 0, IFERROR(VALUE(MID(E651, 1, SEARCH(" ", E651)-1)),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51" s="79">
        <f>IF(AN651="","",IF(AND(N651&gt;0, AG651&gt;0), IF(Configuración!$K$2="NO", "ALERTA: DESCUENTO DOBLE NO PERMITIDO", "OK"), "OK"))</f>
        <v/>
      </c>
      <c r="AR651" s="79">
        <f>IF(AN651="","",IF(OR(AO651&lt;&gt;"OK", AP651&lt;&gt;"OK", AQ651&lt;&gt;"OK"), "⚠️ REVISAR", "OK"))</f>
        <v/>
      </c>
    </row>
    <row r="652">
      <c r="A652" s="79">
        <f>IF('Ordenes_Odoo'!A652="","",'Ordenes_Odoo'!A652)</f>
        <v/>
      </c>
      <c r="B652" s="80">
        <f>IF('Ordenes_Odoo'!B652="","",'Ordenes_Odoo'!B652)</f>
        <v/>
      </c>
      <c r="C652" s="79">
        <f>IF('Ordenes_Odoo'!C652="","",'Ordenes_Odoo'!C652)</f>
        <v/>
      </c>
      <c r="D652" s="79">
        <f>IF('Ordenes_Odoo'!D652="","",'Ordenes_Odoo'!D652)</f>
        <v/>
      </c>
      <c r="E652" s="79">
        <f>IF('Ordenes_Odoo'!E652="","",'Ordenes_Odoo'!E652)</f>
        <v/>
      </c>
      <c r="F652" s="79">
        <f>IF('Ordenes_Odoo'!F652="","",'Ordenes_Odoo'!F652)</f>
        <v/>
      </c>
      <c r="G652" s="79">
        <f>IF('Ordenes_Odoo'!G652="","",'Ordenes_Odoo'!G652)</f>
        <v/>
      </c>
      <c r="H652" s="79">
        <f>IF('Ordenes_Odoo'!H652="","",'Ordenes_Odoo'!H652)</f>
        <v/>
      </c>
      <c r="I652" s="79">
        <f>IF('Ordenes_Odoo'!I652="","",'Ordenes_Odoo'!I652)</f>
        <v/>
      </c>
      <c r="J652" s="79">
        <f>IF('Ordenes_Odoo'!J652="","",'Ordenes_Odoo'!J652)</f>
        <v/>
      </c>
      <c r="K652" s="81">
        <f>IF('Ordenes_Odoo'!K652="","",'Ordenes_Odoo'!K652)</f>
        <v/>
      </c>
      <c r="L652" s="81">
        <f>IF('Ordenes_Odoo'!L652="","",'Ordenes_Odoo'!L652)</f>
        <v/>
      </c>
      <c r="M652" s="79">
        <f>IF('Ordenes_Odoo'!M652="","",'Ordenes_Odoo'!M652)</f>
        <v/>
      </c>
      <c r="N652" s="79">
        <f>IF('Ordenes_Odoo'!N652="","",'Ordenes_Odoo'!N652)</f>
        <v/>
      </c>
      <c r="O652" s="81">
        <f>IF('Ordenes_Odoo'!O652="","",'Ordenes_Odoo'!O652)</f>
        <v/>
      </c>
      <c r="P652" s="81">
        <f>IF('Ordenes_Odoo'!P652="","",'Ordenes_Odoo'!P652)</f>
        <v/>
      </c>
      <c r="Q652" s="79">
        <f>IF(A652="","",IFERROR(INDEX(Facturas_Odoo!$B:$B, MATCH(A652, Facturas_Odoo!$D:$D, 0)), "Sin Factura"))</f>
        <v/>
      </c>
      <c r="R652" s="80">
        <f>IF(Q652="Sin Factura","",IFERROR(INDEX(Facturas_Odoo!$A:$A, MATCH(Q652, Facturas_Odoo!$B:$B, 0)), ""))</f>
        <v/>
      </c>
      <c r="S652" s="79">
        <f>IF(Q652="Sin Factura","",IFERROR(_xlfn.XLOOKUP(1, (Facturas_Odoo!$D:$D=A652) * (Facturas_Odoo!$K:$K=I652), Facturas_Odoo!$L:$L, ""), ""))</f>
        <v/>
      </c>
      <c r="T652" s="81">
        <f>IF(Q652="Sin Factura",0,IFERROR(_xlfn.XLOOKUP(1, (Facturas_Odoo!$D:$D=A652) * (Facturas_Odoo!$K:$K=I652), Facturas_Odoo!$M:$M, 0), 0))</f>
        <v/>
      </c>
      <c r="U652" s="79">
        <f>IF(Q652="Sin Factura",0,IFERROR(_xlfn.XLOOKUP(1, (Facturas_Odoo!$D:$D=A652) * (Facturas_Odoo!$K:$K=I652), Facturas_Odoo!$N:$N, 0), 0))</f>
        <v/>
      </c>
      <c r="V652" s="79">
        <f>IF(Q652="Sin Factura",0,IFERROR(_xlfn.XLOOKUP(1, (Facturas_Odoo!$D:$D=A652) * (Facturas_Odoo!$K:$K=I652), Facturas_Odoo!$O:$O, 0), 0))</f>
        <v/>
      </c>
      <c r="W652" s="81">
        <f>IF(Q652="Sin Factura",0,IFERROR(_xlfn.XLOOKUP(1, (Facturas_Odoo!$D:$D=A652) * (Facturas_Odoo!$K:$K=I652), Facturas_Odoo!$Q:$Q, 0), 0))</f>
        <v/>
      </c>
      <c r="X652" s="79">
        <f>IF(OR(Q652="Sin Factura",Q652=""),"",IFERROR(INDEX(Pagos_Odoo!$B:$B, MATCH(Q652, Pagos_Odoo!$I:$I, 0)), "Sin Pago"))</f>
        <v/>
      </c>
      <c r="Y652" s="79">
        <f>IF(X652="Sin Pago","",IFERROR(INDEX(Pagos_Odoo!$C:$C, MATCH(X652, Pagos_Odoo!$B:$B, 0)), ""))</f>
        <v/>
      </c>
      <c r="Z652" s="80">
        <f>IF(X652="Sin Pago","",IFERROR(INDEX(Pagos_Odoo!$A:$A, MATCH(X652, Pagos_Odoo!$B:$B, 0)), ""))</f>
        <v/>
      </c>
      <c r="AA652" s="79">
        <f>IF(X652="Sin Pago","",IFERROR(INDEX(Pagos_Odoo!$F:$F, MATCH(X652, Pagos_Odoo!$B:$B, 0)), ""))</f>
        <v/>
      </c>
      <c r="AB652" s="81">
        <f>IF(X652="Sin Pago",0,IFERROR(INDEX(Pagos_Odoo!$E:$E, MATCH(X652, Pagos_Odoo!$B:$B, 0)), 0))</f>
        <v/>
      </c>
      <c r="AC652" s="79">
        <f>IF(X652="Sin Pago","",IFERROR(INDEX(Pagos_Odoo!$G:$G, MATCH(X652, Pagos_Odoo!$B:$B, 0)), ""))</f>
        <v/>
      </c>
      <c r="AD652" s="82" t="n">
        <v>0</v>
      </c>
      <c r="AE652" s="82" t="n"/>
      <c r="AF652" s="82" t="n"/>
      <c r="AG652" s="82">
        <f>IF(AN652="","",AD652+AE652+AF652)</f>
        <v/>
      </c>
      <c r="AH652" s="81">
        <f>IF(AN652="","",P652*(1-AG652))</f>
        <v/>
      </c>
      <c r="AI652" s="81">
        <f>IF(AN652="","",IF(Q652="Sin Factura",0,IFERROR(INDEX(Facturas_Odoo!$H:$H, MATCH(Q652, Facturas_Odoo!$B:$B, 0)), 0)*(1-AG652)))</f>
        <v/>
      </c>
      <c r="AJ652" s="81">
        <f>IF(AN652="","",_xlfn.LET(idVenta, AN652&amp;"",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52" s="81">
        <f>IF(AN652="","",AH652-AJ652)</f>
        <v/>
      </c>
      <c r="AL652" s="81">
        <f>IF(AN652="","",IF(Q652="Sin Factura","",AI652-AJ652))</f>
        <v/>
      </c>
      <c r="AM652" s="81">
        <f>IF(AN652="","",IF(Q652="Sin Factura",0,P652-IFERROR(INDEX(Facturas_Odoo!$H:$H, MATCH(Q652, Facturas_Odoo!$B:$B, 0)), 0)))</f>
        <v/>
      </c>
      <c r="AN652" s="79">
        <f>IF(AND(A652="", J652=""), "", IF(A652&lt;&gt;"", VALUE(MID(A652,2,LEN(A652))), AN651))</f>
        <v/>
      </c>
      <c r="AO652" s="79">
        <f>IF(AN652="","",IF(AD652=0,"OK",_xlfn.LET(monedaPago, IF(AA652="","USD",AA652), limitePermitido, IFERROR(VLOOKUP(monedaPago, Configuración!$A$2:$B$3, 2, FALSE), 0.15), IF(AD652&gt;limitePermitido, "ALERTA: EXCESO (" &amp; TEXT(limitePermitido, "0%") &amp; " máx)", "OK"))))</f>
        <v/>
      </c>
      <c r="AP652" s="79">
        <f>IF(AN652="","",IF(AE652=0,"OK",_xlfn.LET(fechaPago, Z652, fechaFactura, R652, diasCredito, IF(E652="Pago inmediato", 0, IFERROR(VALUE(MID(E652, 1, SEARCH(" ", E652)-1)),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52" s="79">
        <f>IF(AN652="","",IF(AND(N652&gt;0, AG652&gt;0), IF(Configuración!$K$2="NO", "ALERTA: DESCUENTO DOBLE NO PERMITIDO", "OK"), "OK"))</f>
        <v/>
      </c>
      <c r="AR652" s="79">
        <f>IF(AN652="","",IF(OR(AO652&lt;&gt;"OK", AP652&lt;&gt;"OK", AQ652&lt;&gt;"OK"), "⚠️ REVISAR", "OK"))</f>
        <v/>
      </c>
    </row>
    <row r="653">
      <c r="A653" s="79">
        <f>IF('Ordenes_Odoo'!A653="","",'Ordenes_Odoo'!A653)</f>
        <v/>
      </c>
      <c r="B653" s="80">
        <f>IF('Ordenes_Odoo'!B653="","",'Ordenes_Odoo'!B653)</f>
        <v/>
      </c>
      <c r="C653" s="79">
        <f>IF('Ordenes_Odoo'!C653="","",'Ordenes_Odoo'!C653)</f>
        <v/>
      </c>
      <c r="D653" s="79">
        <f>IF('Ordenes_Odoo'!D653="","",'Ordenes_Odoo'!D653)</f>
        <v/>
      </c>
      <c r="E653" s="79">
        <f>IF('Ordenes_Odoo'!E653="","",'Ordenes_Odoo'!E653)</f>
        <v/>
      </c>
      <c r="F653" s="79">
        <f>IF('Ordenes_Odoo'!F653="","",'Ordenes_Odoo'!F653)</f>
        <v/>
      </c>
      <c r="G653" s="79">
        <f>IF('Ordenes_Odoo'!G653="","",'Ordenes_Odoo'!G653)</f>
        <v/>
      </c>
      <c r="H653" s="79">
        <f>IF('Ordenes_Odoo'!H653="","",'Ordenes_Odoo'!H653)</f>
        <v/>
      </c>
      <c r="I653" s="79">
        <f>IF('Ordenes_Odoo'!I653="","",'Ordenes_Odoo'!I653)</f>
        <v/>
      </c>
      <c r="J653" s="79">
        <f>IF('Ordenes_Odoo'!J653="","",'Ordenes_Odoo'!J653)</f>
        <v/>
      </c>
      <c r="K653" s="81">
        <f>IF('Ordenes_Odoo'!K653="","",'Ordenes_Odoo'!K653)</f>
        <v/>
      </c>
      <c r="L653" s="81">
        <f>IF('Ordenes_Odoo'!L653="","",'Ordenes_Odoo'!L653)</f>
        <v/>
      </c>
      <c r="M653" s="79">
        <f>IF('Ordenes_Odoo'!M653="","",'Ordenes_Odoo'!M653)</f>
        <v/>
      </c>
      <c r="N653" s="79">
        <f>IF('Ordenes_Odoo'!N653="","",'Ordenes_Odoo'!N653)</f>
        <v/>
      </c>
      <c r="O653" s="81">
        <f>IF('Ordenes_Odoo'!O653="","",'Ordenes_Odoo'!O653)</f>
        <v/>
      </c>
      <c r="P653" s="81">
        <f>IF('Ordenes_Odoo'!P653="","",'Ordenes_Odoo'!P653)</f>
        <v/>
      </c>
      <c r="Q653" s="79">
        <f>IF(A653="","",IFERROR(INDEX(Facturas_Odoo!$B:$B, MATCH(A653, Facturas_Odoo!$D:$D, 0)), "Sin Factura"))</f>
        <v/>
      </c>
      <c r="R653" s="80">
        <f>IF(Q653="Sin Factura","",IFERROR(INDEX(Facturas_Odoo!$A:$A, MATCH(Q653, Facturas_Odoo!$B:$B, 0)), ""))</f>
        <v/>
      </c>
      <c r="S653" s="79">
        <f>IF(Q653="Sin Factura","",IFERROR(_xlfn.XLOOKUP(1, (Facturas_Odoo!$D:$D=A653) * (Facturas_Odoo!$K:$K=I653), Facturas_Odoo!$L:$L, ""), ""))</f>
        <v/>
      </c>
      <c r="T653" s="81">
        <f>IF(Q653="Sin Factura",0,IFERROR(_xlfn.XLOOKUP(1, (Facturas_Odoo!$D:$D=A653) * (Facturas_Odoo!$K:$K=I653), Facturas_Odoo!$M:$M, 0), 0))</f>
        <v/>
      </c>
      <c r="U653" s="79">
        <f>IF(Q653="Sin Factura",0,IFERROR(_xlfn.XLOOKUP(1, (Facturas_Odoo!$D:$D=A653) * (Facturas_Odoo!$K:$K=I653), Facturas_Odoo!$N:$N, 0), 0))</f>
        <v/>
      </c>
      <c r="V653" s="79">
        <f>IF(Q653="Sin Factura",0,IFERROR(_xlfn.XLOOKUP(1, (Facturas_Odoo!$D:$D=A653) * (Facturas_Odoo!$K:$K=I653), Facturas_Odoo!$O:$O, 0), 0))</f>
        <v/>
      </c>
      <c r="W653" s="81">
        <f>IF(Q653="Sin Factura",0,IFERROR(_xlfn.XLOOKUP(1, (Facturas_Odoo!$D:$D=A653) * (Facturas_Odoo!$K:$K=I653), Facturas_Odoo!$Q:$Q, 0), 0))</f>
        <v/>
      </c>
      <c r="X653" s="79">
        <f>IF(OR(Q653="Sin Factura",Q653=""),"",IFERROR(INDEX(Pagos_Odoo!$B:$B, MATCH(Q653, Pagos_Odoo!$I:$I, 0)), "Sin Pago"))</f>
        <v/>
      </c>
      <c r="Y653" s="79">
        <f>IF(X653="Sin Pago","",IFERROR(INDEX(Pagos_Odoo!$C:$C, MATCH(X653, Pagos_Odoo!$B:$B, 0)), ""))</f>
        <v/>
      </c>
      <c r="Z653" s="80">
        <f>IF(X653="Sin Pago","",IFERROR(INDEX(Pagos_Odoo!$A:$A, MATCH(X653, Pagos_Odoo!$B:$B, 0)), ""))</f>
        <v/>
      </c>
      <c r="AA653" s="79">
        <f>IF(X653="Sin Pago","",IFERROR(INDEX(Pagos_Odoo!$F:$F, MATCH(X653, Pagos_Odoo!$B:$B, 0)), ""))</f>
        <v/>
      </c>
      <c r="AB653" s="81">
        <f>IF(X653="Sin Pago",0,IFERROR(INDEX(Pagos_Odoo!$E:$E, MATCH(X653, Pagos_Odoo!$B:$B, 0)), 0))</f>
        <v/>
      </c>
      <c r="AC653" s="79">
        <f>IF(X653="Sin Pago","",IFERROR(INDEX(Pagos_Odoo!$G:$G, MATCH(X653, Pagos_Odoo!$B:$B, 0)), ""))</f>
        <v/>
      </c>
      <c r="AD653" s="82" t="n">
        <v>0</v>
      </c>
      <c r="AE653" s="82" t="n"/>
      <c r="AF653" s="82" t="n"/>
      <c r="AG653" s="82">
        <f>IF(AN653="","",AD653+AE653+AF653)</f>
        <v/>
      </c>
      <c r="AH653" s="81">
        <f>IF(AN653="","",P653*(1-AG653))</f>
        <v/>
      </c>
      <c r="AI653" s="81">
        <f>IF(AN653="","",IF(Q653="Sin Factura",0,IFERROR(INDEX(Facturas_Odoo!$H:$H, MATCH(Q653, Facturas_Odoo!$B:$B, 0)), 0)*(1-AG653)))</f>
        <v/>
      </c>
      <c r="AJ653" s="81">
        <f>IF(AN653="","",_xlfn.LET(idVenta, AN653&amp;"",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53" s="81">
        <f>IF(AN653="","",AH653-AJ653)</f>
        <v/>
      </c>
      <c r="AL653" s="81">
        <f>IF(AN653="","",IF(Q653="Sin Factura","",AI653-AJ653))</f>
        <v/>
      </c>
      <c r="AM653" s="81">
        <f>IF(AN653="","",IF(Q653="Sin Factura",0,P653-IFERROR(INDEX(Facturas_Odoo!$H:$H, MATCH(Q653, Facturas_Odoo!$B:$B, 0)), 0)))</f>
        <v/>
      </c>
      <c r="AN653" s="79">
        <f>IF(AND(A653="", J653=""), "", IF(A653&lt;&gt;"", VALUE(MID(A653,2,LEN(A653))), AN652))</f>
        <v/>
      </c>
      <c r="AO653" s="79">
        <f>IF(AN653="","",IF(AD653=0,"OK",_xlfn.LET(monedaPago, IF(AA653="","USD",AA653), limitePermitido, IFERROR(VLOOKUP(monedaPago, Configuración!$A$2:$B$3, 2, FALSE), 0.15), IF(AD653&gt;limitePermitido, "ALERTA: EXCESO (" &amp; TEXT(limitePermitido, "0%") &amp; " máx)", "OK"))))</f>
        <v/>
      </c>
      <c r="AP653" s="79">
        <f>IF(AN653="","",IF(AE653=0,"OK",_xlfn.LET(fechaPago, Z653, fechaFactura, R653, diasCredito, IF(E653="Pago inmediato", 0, IFERROR(VALUE(MID(E653, 1, SEARCH(" ", E653)-1)),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53" s="79">
        <f>IF(AN653="","",IF(AND(N653&gt;0, AG653&gt;0), IF(Configuración!$K$2="NO", "ALERTA: DESCUENTO DOBLE NO PERMITIDO", "OK"), "OK"))</f>
        <v/>
      </c>
      <c r="AR653" s="79">
        <f>IF(AN653="","",IF(OR(AO653&lt;&gt;"OK", AP653&lt;&gt;"OK", AQ653&lt;&gt;"OK"), "⚠️ REVISAR", "OK"))</f>
        <v/>
      </c>
    </row>
    <row r="654">
      <c r="A654" s="79">
        <f>IF('Ordenes_Odoo'!A654="","",'Ordenes_Odoo'!A654)</f>
        <v/>
      </c>
      <c r="B654" s="80">
        <f>IF('Ordenes_Odoo'!B654="","",'Ordenes_Odoo'!B654)</f>
        <v/>
      </c>
      <c r="C654" s="79">
        <f>IF('Ordenes_Odoo'!C654="","",'Ordenes_Odoo'!C654)</f>
        <v/>
      </c>
      <c r="D654" s="79">
        <f>IF('Ordenes_Odoo'!D654="","",'Ordenes_Odoo'!D654)</f>
        <v/>
      </c>
      <c r="E654" s="79">
        <f>IF('Ordenes_Odoo'!E654="","",'Ordenes_Odoo'!E654)</f>
        <v/>
      </c>
      <c r="F654" s="79">
        <f>IF('Ordenes_Odoo'!F654="","",'Ordenes_Odoo'!F654)</f>
        <v/>
      </c>
      <c r="G654" s="79">
        <f>IF('Ordenes_Odoo'!G654="","",'Ordenes_Odoo'!G654)</f>
        <v/>
      </c>
      <c r="H654" s="79">
        <f>IF('Ordenes_Odoo'!H654="","",'Ordenes_Odoo'!H654)</f>
        <v/>
      </c>
      <c r="I654" s="79">
        <f>IF('Ordenes_Odoo'!I654="","",'Ordenes_Odoo'!I654)</f>
        <v/>
      </c>
      <c r="J654" s="79">
        <f>IF('Ordenes_Odoo'!J654="","",'Ordenes_Odoo'!J654)</f>
        <v/>
      </c>
      <c r="K654" s="81">
        <f>IF('Ordenes_Odoo'!K654="","",'Ordenes_Odoo'!K654)</f>
        <v/>
      </c>
      <c r="L654" s="81">
        <f>IF('Ordenes_Odoo'!L654="","",'Ordenes_Odoo'!L654)</f>
        <v/>
      </c>
      <c r="M654" s="79">
        <f>IF('Ordenes_Odoo'!M654="","",'Ordenes_Odoo'!M654)</f>
        <v/>
      </c>
      <c r="N654" s="79">
        <f>IF('Ordenes_Odoo'!N654="","",'Ordenes_Odoo'!N654)</f>
        <v/>
      </c>
      <c r="O654" s="81">
        <f>IF('Ordenes_Odoo'!O654="","",'Ordenes_Odoo'!O654)</f>
        <v/>
      </c>
      <c r="P654" s="81">
        <f>IF('Ordenes_Odoo'!P654="","",'Ordenes_Odoo'!P654)</f>
        <v/>
      </c>
      <c r="Q654" s="79">
        <f>IF(A654="","",IFERROR(INDEX(Facturas_Odoo!$B:$B, MATCH(A654, Facturas_Odoo!$D:$D, 0)), "Sin Factura"))</f>
        <v/>
      </c>
      <c r="R654" s="80">
        <f>IF(Q654="Sin Factura","",IFERROR(INDEX(Facturas_Odoo!$A:$A, MATCH(Q654, Facturas_Odoo!$B:$B, 0)), ""))</f>
        <v/>
      </c>
      <c r="S654" s="79">
        <f>IF(Q654="Sin Factura","",IFERROR(_xlfn.XLOOKUP(1, (Facturas_Odoo!$D:$D=A654) * (Facturas_Odoo!$K:$K=I654), Facturas_Odoo!$L:$L, ""), ""))</f>
        <v/>
      </c>
      <c r="T654" s="81">
        <f>IF(Q654="Sin Factura",0,IFERROR(_xlfn.XLOOKUP(1, (Facturas_Odoo!$D:$D=A654) * (Facturas_Odoo!$K:$K=I654), Facturas_Odoo!$M:$M, 0), 0))</f>
        <v/>
      </c>
      <c r="U654" s="79">
        <f>IF(Q654="Sin Factura",0,IFERROR(_xlfn.XLOOKUP(1, (Facturas_Odoo!$D:$D=A654) * (Facturas_Odoo!$K:$K=I654), Facturas_Odoo!$N:$N, 0), 0))</f>
        <v/>
      </c>
      <c r="V654" s="79">
        <f>IF(Q654="Sin Factura",0,IFERROR(_xlfn.XLOOKUP(1, (Facturas_Odoo!$D:$D=A654) * (Facturas_Odoo!$K:$K=I654), Facturas_Odoo!$O:$O, 0), 0))</f>
        <v/>
      </c>
      <c r="W654" s="81">
        <f>IF(Q654="Sin Factura",0,IFERROR(_xlfn.XLOOKUP(1, (Facturas_Odoo!$D:$D=A654) * (Facturas_Odoo!$K:$K=I654), Facturas_Odoo!$Q:$Q, 0), 0))</f>
        <v/>
      </c>
      <c r="X654" s="79">
        <f>IF(OR(Q654="Sin Factura",Q654=""),"",IFERROR(INDEX(Pagos_Odoo!$B:$B, MATCH(Q654, Pagos_Odoo!$I:$I, 0)), "Sin Pago"))</f>
        <v/>
      </c>
      <c r="Y654" s="79">
        <f>IF(X654="Sin Pago","",IFERROR(INDEX(Pagos_Odoo!$C:$C, MATCH(X654, Pagos_Odoo!$B:$B, 0)), ""))</f>
        <v/>
      </c>
      <c r="Z654" s="80">
        <f>IF(X654="Sin Pago","",IFERROR(INDEX(Pagos_Odoo!$A:$A, MATCH(X654, Pagos_Odoo!$B:$B, 0)), ""))</f>
        <v/>
      </c>
      <c r="AA654" s="79">
        <f>IF(X654="Sin Pago","",IFERROR(INDEX(Pagos_Odoo!$F:$F, MATCH(X654, Pagos_Odoo!$B:$B, 0)), ""))</f>
        <v/>
      </c>
      <c r="AB654" s="81">
        <f>IF(X654="Sin Pago",0,IFERROR(INDEX(Pagos_Odoo!$E:$E, MATCH(X654, Pagos_Odoo!$B:$B, 0)), 0))</f>
        <v/>
      </c>
      <c r="AC654" s="79">
        <f>IF(X654="Sin Pago","",IFERROR(INDEX(Pagos_Odoo!$G:$G, MATCH(X654, Pagos_Odoo!$B:$B, 0)), ""))</f>
        <v/>
      </c>
      <c r="AD654" s="82" t="n">
        <v>0</v>
      </c>
      <c r="AE654" s="82" t="n"/>
      <c r="AF654" s="82" t="n"/>
      <c r="AG654" s="82">
        <f>IF(AN654="","",AD654+AE654+AF654)</f>
        <v/>
      </c>
      <c r="AH654" s="81">
        <f>IF(AN654="","",P654*(1-AG654))</f>
        <v/>
      </c>
      <c r="AI654" s="81">
        <f>IF(AN654="","",IF(Q654="Sin Factura",0,IFERROR(INDEX(Facturas_Odoo!$H:$H, MATCH(Q654, Facturas_Odoo!$B:$B, 0)), 0)*(1-AG654)))</f>
        <v/>
      </c>
      <c r="AJ654" s="81">
        <f>IF(AN654="","",_xlfn.LET(idVenta, AN654&amp;"",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54" s="81">
        <f>IF(AN654="","",AH654-AJ654)</f>
        <v/>
      </c>
      <c r="AL654" s="81">
        <f>IF(AN654="","",IF(Q654="Sin Factura","",AI654-AJ654))</f>
        <v/>
      </c>
      <c r="AM654" s="81">
        <f>IF(AN654="","",IF(Q654="Sin Factura",0,P654-IFERROR(INDEX(Facturas_Odoo!$H:$H, MATCH(Q654, Facturas_Odoo!$B:$B, 0)), 0)))</f>
        <v/>
      </c>
      <c r="AN654" s="79">
        <f>IF(AND(A654="", J654=""), "", IF(A654&lt;&gt;"", VALUE(MID(A654,2,LEN(A654))), AN653))</f>
        <v/>
      </c>
      <c r="AO654" s="79">
        <f>IF(AN654="","",IF(AD654=0,"OK",_xlfn.LET(monedaPago, IF(AA654="","USD",AA654), limitePermitido, IFERROR(VLOOKUP(monedaPago, Configuración!$A$2:$B$3, 2, FALSE), 0.15), IF(AD654&gt;limitePermitido, "ALERTA: EXCESO (" &amp; TEXT(limitePermitido, "0%") &amp; " máx)", "OK"))))</f>
        <v/>
      </c>
      <c r="AP654" s="79">
        <f>IF(AN654="","",IF(AE654=0,"OK",_xlfn.LET(fechaPago, Z654, fechaFactura, R654, diasCredito, IF(E654="Pago inmediato", 0, IFERROR(VALUE(MID(E654, 1, SEARCH(" ", E654)-1)),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54" s="79">
        <f>IF(AN654="","",IF(AND(N654&gt;0, AG654&gt;0), IF(Configuración!$K$2="NO", "ALERTA: DESCUENTO DOBLE NO PERMITIDO", "OK"), "OK"))</f>
        <v/>
      </c>
      <c r="AR654" s="79">
        <f>IF(AN654="","",IF(OR(AO654&lt;&gt;"OK", AP654&lt;&gt;"OK", AQ654&lt;&gt;"OK"), "⚠️ REVISAR", "OK"))</f>
        <v/>
      </c>
    </row>
    <row r="655">
      <c r="A655" s="79">
        <f>IF('Ordenes_Odoo'!A655="","",'Ordenes_Odoo'!A655)</f>
        <v/>
      </c>
      <c r="B655" s="80">
        <f>IF('Ordenes_Odoo'!B655="","",'Ordenes_Odoo'!B655)</f>
        <v/>
      </c>
      <c r="C655" s="79">
        <f>IF('Ordenes_Odoo'!C655="","",'Ordenes_Odoo'!C655)</f>
        <v/>
      </c>
      <c r="D655" s="79">
        <f>IF('Ordenes_Odoo'!D655="","",'Ordenes_Odoo'!D655)</f>
        <v/>
      </c>
      <c r="E655" s="79">
        <f>IF('Ordenes_Odoo'!E655="","",'Ordenes_Odoo'!E655)</f>
        <v/>
      </c>
      <c r="F655" s="79">
        <f>IF('Ordenes_Odoo'!F655="","",'Ordenes_Odoo'!F655)</f>
        <v/>
      </c>
      <c r="G655" s="79">
        <f>IF('Ordenes_Odoo'!G655="","",'Ordenes_Odoo'!G655)</f>
        <v/>
      </c>
      <c r="H655" s="79">
        <f>IF('Ordenes_Odoo'!H655="","",'Ordenes_Odoo'!H655)</f>
        <v/>
      </c>
      <c r="I655" s="79">
        <f>IF('Ordenes_Odoo'!I655="","",'Ordenes_Odoo'!I655)</f>
        <v/>
      </c>
      <c r="J655" s="79">
        <f>IF('Ordenes_Odoo'!J655="","",'Ordenes_Odoo'!J655)</f>
        <v/>
      </c>
      <c r="K655" s="81">
        <f>IF('Ordenes_Odoo'!K655="","",'Ordenes_Odoo'!K655)</f>
        <v/>
      </c>
      <c r="L655" s="81">
        <f>IF('Ordenes_Odoo'!L655="","",'Ordenes_Odoo'!L655)</f>
        <v/>
      </c>
      <c r="M655" s="79">
        <f>IF('Ordenes_Odoo'!M655="","",'Ordenes_Odoo'!M655)</f>
        <v/>
      </c>
      <c r="N655" s="79">
        <f>IF('Ordenes_Odoo'!N655="","",'Ordenes_Odoo'!N655)</f>
        <v/>
      </c>
      <c r="O655" s="81">
        <f>IF('Ordenes_Odoo'!O655="","",'Ordenes_Odoo'!O655)</f>
        <v/>
      </c>
      <c r="P655" s="81">
        <f>IF('Ordenes_Odoo'!P655="","",'Ordenes_Odoo'!P655)</f>
        <v/>
      </c>
      <c r="Q655" s="79">
        <f>IF(A655="","",IFERROR(INDEX(Facturas_Odoo!$B:$B, MATCH(A655, Facturas_Odoo!$D:$D, 0)), "Sin Factura"))</f>
        <v/>
      </c>
      <c r="R655" s="80">
        <f>IF(Q655="Sin Factura","",IFERROR(INDEX(Facturas_Odoo!$A:$A, MATCH(Q655, Facturas_Odoo!$B:$B, 0)), ""))</f>
        <v/>
      </c>
      <c r="S655" s="79">
        <f>IF(Q655="Sin Factura","",IFERROR(_xlfn.XLOOKUP(1, (Facturas_Odoo!$D:$D=A655) * (Facturas_Odoo!$K:$K=I655), Facturas_Odoo!$L:$L, ""), ""))</f>
        <v/>
      </c>
      <c r="T655" s="81">
        <f>IF(Q655="Sin Factura",0,IFERROR(_xlfn.XLOOKUP(1, (Facturas_Odoo!$D:$D=A655) * (Facturas_Odoo!$K:$K=I655), Facturas_Odoo!$M:$M, 0), 0))</f>
        <v/>
      </c>
      <c r="U655" s="79">
        <f>IF(Q655="Sin Factura",0,IFERROR(_xlfn.XLOOKUP(1, (Facturas_Odoo!$D:$D=A655) * (Facturas_Odoo!$K:$K=I655), Facturas_Odoo!$N:$N, 0), 0))</f>
        <v/>
      </c>
      <c r="V655" s="79">
        <f>IF(Q655="Sin Factura",0,IFERROR(_xlfn.XLOOKUP(1, (Facturas_Odoo!$D:$D=A655) * (Facturas_Odoo!$K:$K=I655), Facturas_Odoo!$O:$O, 0), 0))</f>
        <v/>
      </c>
      <c r="W655" s="81">
        <f>IF(Q655="Sin Factura",0,IFERROR(_xlfn.XLOOKUP(1, (Facturas_Odoo!$D:$D=A655) * (Facturas_Odoo!$K:$K=I655), Facturas_Odoo!$Q:$Q, 0), 0))</f>
        <v/>
      </c>
      <c r="X655" s="79">
        <f>IF(OR(Q655="Sin Factura",Q655=""),"",IFERROR(INDEX(Pagos_Odoo!$B:$B, MATCH(Q655, Pagos_Odoo!$I:$I, 0)), "Sin Pago"))</f>
        <v/>
      </c>
      <c r="Y655" s="79">
        <f>IF(X655="Sin Pago","",IFERROR(INDEX(Pagos_Odoo!$C:$C, MATCH(X655, Pagos_Odoo!$B:$B, 0)), ""))</f>
        <v/>
      </c>
      <c r="Z655" s="80">
        <f>IF(X655="Sin Pago","",IFERROR(INDEX(Pagos_Odoo!$A:$A, MATCH(X655, Pagos_Odoo!$B:$B, 0)), ""))</f>
        <v/>
      </c>
      <c r="AA655" s="79">
        <f>IF(X655="Sin Pago","",IFERROR(INDEX(Pagos_Odoo!$F:$F, MATCH(X655, Pagos_Odoo!$B:$B, 0)), ""))</f>
        <v/>
      </c>
      <c r="AB655" s="81">
        <f>IF(X655="Sin Pago",0,IFERROR(INDEX(Pagos_Odoo!$E:$E, MATCH(X655, Pagos_Odoo!$B:$B, 0)), 0))</f>
        <v/>
      </c>
      <c r="AC655" s="79">
        <f>IF(X655="Sin Pago","",IFERROR(INDEX(Pagos_Odoo!$G:$G, MATCH(X655, Pagos_Odoo!$B:$B, 0)), ""))</f>
        <v/>
      </c>
      <c r="AD655" s="82" t="n">
        <v>0</v>
      </c>
      <c r="AE655" s="82" t="n"/>
      <c r="AF655" s="82" t="n"/>
      <c r="AG655" s="82">
        <f>IF(AN655="","",AD655+AE655+AF655)</f>
        <v/>
      </c>
      <c r="AH655" s="81">
        <f>IF(AN655="","",P655*(1-AG655))</f>
        <v/>
      </c>
      <c r="AI655" s="81">
        <f>IF(AN655="","",IF(Q655="Sin Factura",0,IFERROR(INDEX(Facturas_Odoo!$H:$H, MATCH(Q655, Facturas_Odoo!$B:$B, 0)), 0)*(1-AG655)))</f>
        <v/>
      </c>
      <c r="AJ655" s="81">
        <f>IF(AN655="","",_xlfn.LET(idVenta, AN655&amp;"",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55" s="81">
        <f>IF(AN655="","",AH655-AJ655)</f>
        <v/>
      </c>
      <c r="AL655" s="81">
        <f>IF(AN655="","",IF(Q655="Sin Factura","",AI655-AJ655))</f>
        <v/>
      </c>
      <c r="AM655" s="81">
        <f>IF(AN655="","",IF(Q655="Sin Factura",0,P655-IFERROR(INDEX(Facturas_Odoo!$H:$H, MATCH(Q655, Facturas_Odoo!$B:$B, 0)), 0)))</f>
        <v/>
      </c>
      <c r="AN655" s="79">
        <f>IF(AND(A655="", J655=""), "", IF(A655&lt;&gt;"", VALUE(MID(A655,2,LEN(A655))), AN654))</f>
        <v/>
      </c>
      <c r="AO655" s="79">
        <f>IF(AN655="","",IF(AD655=0,"OK",_xlfn.LET(monedaPago, IF(AA655="","USD",AA655), limitePermitido, IFERROR(VLOOKUP(monedaPago, Configuración!$A$2:$B$3, 2, FALSE), 0.15), IF(AD655&gt;limitePermitido, "ALERTA: EXCESO (" &amp; TEXT(limitePermitido, "0%") &amp; " máx)", "OK"))))</f>
        <v/>
      </c>
      <c r="AP655" s="79">
        <f>IF(AN655="","",IF(AE655=0,"OK",_xlfn.LET(fechaPago, Z655, fechaFactura, R655, diasCredito, IF(E655="Pago inmediato", 0, IFERROR(VALUE(MID(E655, 1, SEARCH(" ", E655)-1)),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55" s="79">
        <f>IF(AN655="","",IF(AND(N655&gt;0, AG655&gt;0), IF(Configuración!$K$2="NO", "ALERTA: DESCUENTO DOBLE NO PERMITIDO", "OK"), "OK"))</f>
        <v/>
      </c>
      <c r="AR655" s="79">
        <f>IF(AN655="","",IF(OR(AO655&lt;&gt;"OK", AP655&lt;&gt;"OK", AQ655&lt;&gt;"OK"), "⚠️ REVISAR", "OK"))</f>
        <v/>
      </c>
    </row>
    <row r="656">
      <c r="A656" s="79">
        <f>IF('Ordenes_Odoo'!A656="","",'Ordenes_Odoo'!A656)</f>
        <v/>
      </c>
      <c r="B656" s="80">
        <f>IF('Ordenes_Odoo'!B656="","",'Ordenes_Odoo'!B656)</f>
        <v/>
      </c>
      <c r="C656" s="79">
        <f>IF('Ordenes_Odoo'!C656="","",'Ordenes_Odoo'!C656)</f>
        <v/>
      </c>
      <c r="D656" s="79">
        <f>IF('Ordenes_Odoo'!D656="","",'Ordenes_Odoo'!D656)</f>
        <v/>
      </c>
      <c r="E656" s="79">
        <f>IF('Ordenes_Odoo'!E656="","",'Ordenes_Odoo'!E656)</f>
        <v/>
      </c>
      <c r="F656" s="79">
        <f>IF('Ordenes_Odoo'!F656="","",'Ordenes_Odoo'!F656)</f>
        <v/>
      </c>
      <c r="G656" s="79">
        <f>IF('Ordenes_Odoo'!G656="","",'Ordenes_Odoo'!G656)</f>
        <v/>
      </c>
      <c r="H656" s="79">
        <f>IF('Ordenes_Odoo'!H656="","",'Ordenes_Odoo'!H656)</f>
        <v/>
      </c>
      <c r="I656" s="79">
        <f>IF('Ordenes_Odoo'!I656="","",'Ordenes_Odoo'!I656)</f>
        <v/>
      </c>
      <c r="J656" s="79">
        <f>IF('Ordenes_Odoo'!J656="","",'Ordenes_Odoo'!J656)</f>
        <v/>
      </c>
      <c r="K656" s="81">
        <f>IF('Ordenes_Odoo'!K656="","",'Ordenes_Odoo'!K656)</f>
        <v/>
      </c>
      <c r="L656" s="81">
        <f>IF('Ordenes_Odoo'!L656="","",'Ordenes_Odoo'!L656)</f>
        <v/>
      </c>
      <c r="M656" s="79">
        <f>IF('Ordenes_Odoo'!M656="","",'Ordenes_Odoo'!M656)</f>
        <v/>
      </c>
      <c r="N656" s="79">
        <f>IF('Ordenes_Odoo'!N656="","",'Ordenes_Odoo'!N656)</f>
        <v/>
      </c>
      <c r="O656" s="81">
        <f>IF('Ordenes_Odoo'!O656="","",'Ordenes_Odoo'!O656)</f>
        <v/>
      </c>
      <c r="P656" s="81">
        <f>IF('Ordenes_Odoo'!P656="","",'Ordenes_Odoo'!P656)</f>
        <v/>
      </c>
      <c r="Q656" s="79">
        <f>IF(A656="","",IFERROR(INDEX(Facturas_Odoo!$B:$B, MATCH(A656, Facturas_Odoo!$D:$D, 0)), "Sin Factura"))</f>
        <v/>
      </c>
      <c r="R656" s="80">
        <f>IF(Q656="Sin Factura","",IFERROR(INDEX(Facturas_Odoo!$A:$A, MATCH(Q656, Facturas_Odoo!$B:$B, 0)), ""))</f>
        <v/>
      </c>
      <c r="S656" s="79">
        <f>IF(Q656="Sin Factura","",IFERROR(_xlfn.XLOOKUP(1, (Facturas_Odoo!$D:$D=A656) * (Facturas_Odoo!$K:$K=I656), Facturas_Odoo!$L:$L, ""), ""))</f>
        <v/>
      </c>
      <c r="T656" s="81">
        <f>IF(Q656="Sin Factura",0,IFERROR(_xlfn.XLOOKUP(1, (Facturas_Odoo!$D:$D=A656) * (Facturas_Odoo!$K:$K=I656), Facturas_Odoo!$M:$M, 0), 0))</f>
        <v/>
      </c>
      <c r="U656" s="79">
        <f>IF(Q656="Sin Factura",0,IFERROR(_xlfn.XLOOKUP(1, (Facturas_Odoo!$D:$D=A656) * (Facturas_Odoo!$K:$K=I656), Facturas_Odoo!$N:$N, 0), 0))</f>
        <v/>
      </c>
      <c r="V656" s="79">
        <f>IF(Q656="Sin Factura",0,IFERROR(_xlfn.XLOOKUP(1, (Facturas_Odoo!$D:$D=A656) * (Facturas_Odoo!$K:$K=I656), Facturas_Odoo!$O:$O, 0), 0))</f>
        <v/>
      </c>
      <c r="W656" s="81">
        <f>IF(Q656="Sin Factura",0,IFERROR(_xlfn.XLOOKUP(1, (Facturas_Odoo!$D:$D=A656) * (Facturas_Odoo!$K:$K=I656), Facturas_Odoo!$Q:$Q, 0), 0))</f>
        <v/>
      </c>
      <c r="X656" s="79">
        <f>IF(OR(Q656="Sin Factura",Q656=""),"",IFERROR(INDEX(Pagos_Odoo!$B:$B, MATCH(Q656, Pagos_Odoo!$I:$I, 0)), "Sin Pago"))</f>
        <v/>
      </c>
      <c r="Y656" s="79">
        <f>IF(X656="Sin Pago","",IFERROR(INDEX(Pagos_Odoo!$C:$C, MATCH(X656, Pagos_Odoo!$B:$B, 0)), ""))</f>
        <v/>
      </c>
      <c r="Z656" s="80">
        <f>IF(X656="Sin Pago","",IFERROR(INDEX(Pagos_Odoo!$A:$A, MATCH(X656, Pagos_Odoo!$B:$B, 0)), ""))</f>
        <v/>
      </c>
      <c r="AA656" s="79">
        <f>IF(X656="Sin Pago","",IFERROR(INDEX(Pagos_Odoo!$F:$F, MATCH(X656, Pagos_Odoo!$B:$B, 0)), ""))</f>
        <v/>
      </c>
      <c r="AB656" s="81">
        <f>IF(X656="Sin Pago",0,IFERROR(INDEX(Pagos_Odoo!$E:$E, MATCH(X656, Pagos_Odoo!$B:$B, 0)), 0))</f>
        <v/>
      </c>
      <c r="AC656" s="79">
        <f>IF(X656="Sin Pago","",IFERROR(INDEX(Pagos_Odoo!$G:$G, MATCH(X656, Pagos_Odoo!$B:$B, 0)), ""))</f>
        <v/>
      </c>
      <c r="AD656" s="82" t="n">
        <v>0</v>
      </c>
      <c r="AE656" s="82" t="n"/>
      <c r="AF656" s="82" t="n"/>
      <c r="AG656" s="82">
        <f>IF(AN656="","",AD656+AE656+AF656)</f>
        <v/>
      </c>
      <c r="AH656" s="81">
        <f>IF(AN656="","",P656*(1-AG656))</f>
        <v/>
      </c>
      <c r="AI656" s="81">
        <f>IF(AN656="","",IF(Q656="Sin Factura",0,IFERROR(INDEX(Facturas_Odoo!$H:$H, MATCH(Q656, Facturas_Odoo!$B:$B, 0)), 0)*(1-AG656)))</f>
        <v/>
      </c>
      <c r="AJ656" s="81">
        <f>IF(AN656="","",_xlfn.LET(idVenta, AN656&amp;"",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56" s="81">
        <f>IF(AN656="","",AH656-AJ656)</f>
        <v/>
      </c>
      <c r="AL656" s="81">
        <f>IF(AN656="","",IF(Q656="Sin Factura","",AI656-AJ656))</f>
        <v/>
      </c>
      <c r="AM656" s="81">
        <f>IF(AN656="","",IF(Q656="Sin Factura",0,P656-IFERROR(INDEX(Facturas_Odoo!$H:$H, MATCH(Q656, Facturas_Odoo!$B:$B, 0)), 0)))</f>
        <v/>
      </c>
      <c r="AN656" s="79">
        <f>IF(AND(A656="", J656=""), "", IF(A656&lt;&gt;"", VALUE(MID(A656,2,LEN(A656))), AN655))</f>
        <v/>
      </c>
      <c r="AO656" s="79">
        <f>IF(AN656="","",IF(AD656=0,"OK",_xlfn.LET(monedaPago, IF(AA656="","USD",AA656), limitePermitido, IFERROR(VLOOKUP(monedaPago, Configuración!$A$2:$B$3, 2, FALSE), 0.15), IF(AD656&gt;limitePermitido, "ALERTA: EXCESO (" &amp; TEXT(limitePermitido, "0%") &amp; " máx)", "OK"))))</f>
        <v/>
      </c>
      <c r="AP656" s="79">
        <f>IF(AN656="","",IF(AE656=0,"OK",_xlfn.LET(fechaPago, Z656, fechaFactura, R656, diasCredito, IF(E656="Pago inmediato", 0, IFERROR(VALUE(MID(E656, 1, SEARCH(" ", E656)-1)),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56" s="79">
        <f>IF(AN656="","",IF(AND(N656&gt;0, AG656&gt;0), IF(Configuración!$K$2="NO", "ALERTA: DESCUENTO DOBLE NO PERMITIDO", "OK"), "OK"))</f>
        <v/>
      </c>
      <c r="AR656" s="79">
        <f>IF(AN656="","",IF(OR(AO656&lt;&gt;"OK", AP656&lt;&gt;"OK", AQ656&lt;&gt;"OK"), "⚠️ REVISAR", "OK"))</f>
        <v/>
      </c>
    </row>
    <row r="657">
      <c r="A657" s="79">
        <f>IF('Ordenes_Odoo'!A657="","",'Ordenes_Odoo'!A657)</f>
        <v/>
      </c>
      <c r="B657" s="80">
        <f>IF('Ordenes_Odoo'!B657="","",'Ordenes_Odoo'!B657)</f>
        <v/>
      </c>
      <c r="C657" s="79">
        <f>IF('Ordenes_Odoo'!C657="","",'Ordenes_Odoo'!C657)</f>
        <v/>
      </c>
      <c r="D657" s="79">
        <f>IF('Ordenes_Odoo'!D657="","",'Ordenes_Odoo'!D657)</f>
        <v/>
      </c>
      <c r="E657" s="79">
        <f>IF('Ordenes_Odoo'!E657="","",'Ordenes_Odoo'!E657)</f>
        <v/>
      </c>
      <c r="F657" s="79">
        <f>IF('Ordenes_Odoo'!F657="","",'Ordenes_Odoo'!F657)</f>
        <v/>
      </c>
      <c r="G657" s="79">
        <f>IF('Ordenes_Odoo'!G657="","",'Ordenes_Odoo'!G657)</f>
        <v/>
      </c>
      <c r="H657" s="79">
        <f>IF('Ordenes_Odoo'!H657="","",'Ordenes_Odoo'!H657)</f>
        <v/>
      </c>
      <c r="I657" s="79">
        <f>IF('Ordenes_Odoo'!I657="","",'Ordenes_Odoo'!I657)</f>
        <v/>
      </c>
      <c r="J657" s="79">
        <f>IF('Ordenes_Odoo'!J657="","",'Ordenes_Odoo'!J657)</f>
        <v/>
      </c>
      <c r="K657" s="81">
        <f>IF('Ordenes_Odoo'!K657="","",'Ordenes_Odoo'!K657)</f>
        <v/>
      </c>
      <c r="L657" s="81">
        <f>IF('Ordenes_Odoo'!L657="","",'Ordenes_Odoo'!L657)</f>
        <v/>
      </c>
      <c r="M657" s="79">
        <f>IF('Ordenes_Odoo'!M657="","",'Ordenes_Odoo'!M657)</f>
        <v/>
      </c>
      <c r="N657" s="79">
        <f>IF('Ordenes_Odoo'!N657="","",'Ordenes_Odoo'!N657)</f>
        <v/>
      </c>
      <c r="O657" s="81">
        <f>IF('Ordenes_Odoo'!O657="","",'Ordenes_Odoo'!O657)</f>
        <v/>
      </c>
      <c r="P657" s="81">
        <f>IF('Ordenes_Odoo'!P657="","",'Ordenes_Odoo'!P657)</f>
        <v/>
      </c>
      <c r="Q657" s="79">
        <f>IF(A657="","",IFERROR(INDEX(Facturas_Odoo!$B:$B, MATCH(A657, Facturas_Odoo!$D:$D, 0)), "Sin Factura"))</f>
        <v/>
      </c>
      <c r="R657" s="80">
        <f>IF(Q657="Sin Factura","",IFERROR(INDEX(Facturas_Odoo!$A:$A, MATCH(Q657, Facturas_Odoo!$B:$B, 0)), ""))</f>
        <v/>
      </c>
      <c r="S657" s="79">
        <f>IF(Q657="Sin Factura","",IFERROR(_xlfn.XLOOKUP(1, (Facturas_Odoo!$D:$D=A657) * (Facturas_Odoo!$K:$K=I657), Facturas_Odoo!$L:$L, ""), ""))</f>
        <v/>
      </c>
      <c r="T657" s="81">
        <f>IF(Q657="Sin Factura",0,IFERROR(_xlfn.XLOOKUP(1, (Facturas_Odoo!$D:$D=A657) * (Facturas_Odoo!$K:$K=I657), Facturas_Odoo!$M:$M, 0), 0))</f>
        <v/>
      </c>
      <c r="U657" s="79">
        <f>IF(Q657="Sin Factura",0,IFERROR(_xlfn.XLOOKUP(1, (Facturas_Odoo!$D:$D=A657) * (Facturas_Odoo!$K:$K=I657), Facturas_Odoo!$N:$N, 0), 0))</f>
        <v/>
      </c>
      <c r="V657" s="79">
        <f>IF(Q657="Sin Factura",0,IFERROR(_xlfn.XLOOKUP(1, (Facturas_Odoo!$D:$D=A657) * (Facturas_Odoo!$K:$K=I657), Facturas_Odoo!$O:$O, 0), 0))</f>
        <v/>
      </c>
      <c r="W657" s="81">
        <f>IF(Q657="Sin Factura",0,IFERROR(_xlfn.XLOOKUP(1, (Facturas_Odoo!$D:$D=A657) * (Facturas_Odoo!$K:$K=I657), Facturas_Odoo!$Q:$Q, 0), 0))</f>
        <v/>
      </c>
      <c r="X657" s="79">
        <f>IF(OR(Q657="Sin Factura",Q657=""),"",IFERROR(INDEX(Pagos_Odoo!$B:$B, MATCH(Q657, Pagos_Odoo!$I:$I, 0)), "Sin Pago"))</f>
        <v/>
      </c>
      <c r="Y657" s="79">
        <f>IF(X657="Sin Pago","",IFERROR(INDEX(Pagos_Odoo!$C:$C, MATCH(X657, Pagos_Odoo!$B:$B, 0)), ""))</f>
        <v/>
      </c>
      <c r="Z657" s="80">
        <f>IF(X657="Sin Pago","",IFERROR(INDEX(Pagos_Odoo!$A:$A, MATCH(X657, Pagos_Odoo!$B:$B, 0)), ""))</f>
        <v/>
      </c>
      <c r="AA657" s="79">
        <f>IF(X657="Sin Pago","",IFERROR(INDEX(Pagos_Odoo!$F:$F, MATCH(X657, Pagos_Odoo!$B:$B, 0)), ""))</f>
        <v/>
      </c>
      <c r="AB657" s="81">
        <f>IF(X657="Sin Pago",0,IFERROR(INDEX(Pagos_Odoo!$E:$E, MATCH(X657, Pagos_Odoo!$B:$B, 0)), 0))</f>
        <v/>
      </c>
      <c r="AC657" s="79">
        <f>IF(X657="Sin Pago","",IFERROR(INDEX(Pagos_Odoo!$G:$G, MATCH(X657, Pagos_Odoo!$B:$B, 0)), ""))</f>
        <v/>
      </c>
      <c r="AD657" s="82" t="n">
        <v>0</v>
      </c>
      <c r="AE657" s="82" t="n"/>
      <c r="AF657" s="82" t="n"/>
      <c r="AG657" s="82">
        <f>IF(AN657="","",AD657+AE657+AF657)</f>
        <v/>
      </c>
      <c r="AH657" s="81">
        <f>IF(AN657="","",P657*(1-AG657))</f>
        <v/>
      </c>
      <c r="AI657" s="81">
        <f>IF(AN657="","",IF(Q657="Sin Factura",0,IFERROR(INDEX(Facturas_Odoo!$H:$H, MATCH(Q657, Facturas_Odoo!$B:$B, 0)), 0)*(1-AG657)))</f>
        <v/>
      </c>
      <c r="AJ657" s="81">
        <f>IF(AN657="","",_xlfn.LET(idVenta, AN657&amp;"",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57" s="81">
        <f>IF(AN657="","",AH657-AJ657)</f>
        <v/>
      </c>
      <c r="AL657" s="81">
        <f>IF(AN657="","",IF(Q657="Sin Factura","",AI657-AJ657))</f>
        <v/>
      </c>
      <c r="AM657" s="81">
        <f>IF(AN657="","",IF(Q657="Sin Factura",0,P657-IFERROR(INDEX(Facturas_Odoo!$H:$H, MATCH(Q657, Facturas_Odoo!$B:$B, 0)), 0)))</f>
        <v/>
      </c>
      <c r="AN657" s="79">
        <f>IF(AND(A657="", J657=""), "", IF(A657&lt;&gt;"", VALUE(MID(A657,2,LEN(A657))), AN656))</f>
        <v/>
      </c>
      <c r="AO657" s="79">
        <f>IF(AN657="","",IF(AD657=0,"OK",_xlfn.LET(monedaPago, IF(AA657="","USD",AA657), limitePermitido, IFERROR(VLOOKUP(monedaPago, Configuración!$A$2:$B$3, 2, FALSE), 0.15), IF(AD657&gt;limitePermitido, "ALERTA: EXCESO (" &amp; TEXT(limitePermitido, "0%") &amp; " máx)", "OK"))))</f>
        <v/>
      </c>
      <c r="AP657" s="79">
        <f>IF(AN657="","",IF(AE657=0,"OK",_xlfn.LET(fechaPago, Z657, fechaFactura, R657, diasCredito, IF(E657="Pago inmediato", 0, IFERROR(VALUE(MID(E657, 1, SEARCH(" ", E657)-1)),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57" s="79">
        <f>IF(AN657="","",IF(AND(N657&gt;0, AG657&gt;0), IF(Configuración!$K$2="NO", "ALERTA: DESCUENTO DOBLE NO PERMITIDO", "OK"), "OK"))</f>
        <v/>
      </c>
      <c r="AR657" s="79">
        <f>IF(AN657="","",IF(OR(AO657&lt;&gt;"OK", AP657&lt;&gt;"OK", AQ657&lt;&gt;"OK"), "⚠️ REVISAR", "OK"))</f>
        <v/>
      </c>
    </row>
    <row r="658">
      <c r="A658" s="79">
        <f>IF('Ordenes_Odoo'!A658="","",'Ordenes_Odoo'!A658)</f>
        <v/>
      </c>
      <c r="B658" s="80">
        <f>IF('Ordenes_Odoo'!B658="","",'Ordenes_Odoo'!B658)</f>
        <v/>
      </c>
      <c r="C658" s="79">
        <f>IF('Ordenes_Odoo'!C658="","",'Ordenes_Odoo'!C658)</f>
        <v/>
      </c>
      <c r="D658" s="79">
        <f>IF('Ordenes_Odoo'!D658="","",'Ordenes_Odoo'!D658)</f>
        <v/>
      </c>
      <c r="E658" s="79">
        <f>IF('Ordenes_Odoo'!E658="","",'Ordenes_Odoo'!E658)</f>
        <v/>
      </c>
      <c r="F658" s="79">
        <f>IF('Ordenes_Odoo'!F658="","",'Ordenes_Odoo'!F658)</f>
        <v/>
      </c>
      <c r="G658" s="79">
        <f>IF('Ordenes_Odoo'!G658="","",'Ordenes_Odoo'!G658)</f>
        <v/>
      </c>
      <c r="H658" s="79">
        <f>IF('Ordenes_Odoo'!H658="","",'Ordenes_Odoo'!H658)</f>
        <v/>
      </c>
      <c r="I658" s="79">
        <f>IF('Ordenes_Odoo'!I658="","",'Ordenes_Odoo'!I658)</f>
        <v/>
      </c>
      <c r="J658" s="79">
        <f>IF('Ordenes_Odoo'!J658="","",'Ordenes_Odoo'!J658)</f>
        <v/>
      </c>
      <c r="K658" s="81">
        <f>IF('Ordenes_Odoo'!K658="","",'Ordenes_Odoo'!K658)</f>
        <v/>
      </c>
      <c r="L658" s="81">
        <f>IF('Ordenes_Odoo'!L658="","",'Ordenes_Odoo'!L658)</f>
        <v/>
      </c>
      <c r="M658" s="79">
        <f>IF('Ordenes_Odoo'!M658="","",'Ordenes_Odoo'!M658)</f>
        <v/>
      </c>
      <c r="N658" s="79">
        <f>IF('Ordenes_Odoo'!N658="","",'Ordenes_Odoo'!N658)</f>
        <v/>
      </c>
      <c r="O658" s="81">
        <f>IF('Ordenes_Odoo'!O658="","",'Ordenes_Odoo'!O658)</f>
        <v/>
      </c>
      <c r="P658" s="81">
        <f>IF('Ordenes_Odoo'!P658="","",'Ordenes_Odoo'!P658)</f>
        <v/>
      </c>
      <c r="Q658" s="79">
        <f>IF(A658="","",IFERROR(INDEX(Facturas_Odoo!$B:$B, MATCH(A658, Facturas_Odoo!$D:$D, 0)), "Sin Factura"))</f>
        <v/>
      </c>
      <c r="R658" s="80">
        <f>IF(Q658="Sin Factura","",IFERROR(INDEX(Facturas_Odoo!$A:$A, MATCH(Q658, Facturas_Odoo!$B:$B, 0)), ""))</f>
        <v/>
      </c>
      <c r="S658" s="79">
        <f>IF(Q658="Sin Factura","",IFERROR(_xlfn.XLOOKUP(1, (Facturas_Odoo!$D:$D=A658) * (Facturas_Odoo!$K:$K=I658), Facturas_Odoo!$L:$L, ""), ""))</f>
        <v/>
      </c>
      <c r="T658" s="81">
        <f>IF(Q658="Sin Factura",0,IFERROR(_xlfn.XLOOKUP(1, (Facturas_Odoo!$D:$D=A658) * (Facturas_Odoo!$K:$K=I658), Facturas_Odoo!$M:$M, 0), 0))</f>
        <v/>
      </c>
      <c r="U658" s="79">
        <f>IF(Q658="Sin Factura",0,IFERROR(_xlfn.XLOOKUP(1, (Facturas_Odoo!$D:$D=A658) * (Facturas_Odoo!$K:$K=I658), Facturas_Odoo!$N:$N, 0), 0))</f>
        <v/>
      </c>
      <c r="V658" s="79">
        <f>IF(Q658="Sin Factura",0,IFERROR(_xlfn.XLOOKUP(1, (Facturas_Odoo!$D:$D=A658) * (Facturas_Odoo!$K:$K=I658), Facturas_Odoo!$O:$O, 0), 0))</f>
        <v/>
      </c>
      <c r="W658" s="81">
        <f>IF(Q658="Sin Factura",0,IFERROR(_xlfn.XLOOKUP(1, (Facturas_Odoo!$D:$D=A658) * (Facturas_Odoo!$K:$K=I658), Facturas_Odoo!$Q:$Q, 0), 0))</f>
        <v/>
      </c>
      <c r="X658" s="79">
        <f>IF(OR(Q658="Sin Factura",Q658=""),"",IFERROR(INDEX(Pagos_Odoo!$B:$B, MATCH(Q658, Pagos_Odoo!$I:$I, 0)), "Sin Pago"))</f>
        <v/>
      </c>
      <c r="Y658" s="79">
        <f>IF(X658="Sin Pago","",IFERROR(INDEX(Pagos_Odoo!$C:$C, MATCH(X658, Pagos_Odoo!$B:$B, 0)), ""))</f>
        <v/>
      </c>
      <c r="Z658" s="80">
        <f>IF(X658="Sin Pago","",IFERROR(INDEX(Pagos_Odoo!$A:$A, MATCH(X658, Pagos_Odoo!$B:$B, 0)), ""))</f>
        <v/>
      </c>
      <c r="AA658" s="79">
        <f>IF(X658="Sin Pago","",IFERROR(INDEX(Pagos_Odoo!$F:$F, MATCH(X658, Pagos_Odoo!$B:$B, 0)), ""))</f>
        <v/>
      </c>
      <c r="AB658" s="81">
        <f>IF(X658="Sin Pago",0,IFERROR(INDEX(Pagos_Odoo!$E:$E, MATCH(X658, Pagos_Odoo!$B:$B, 0)), 0))</f>
        <v/>
      </c>
      <c r="AC658" s="79">
        <f>IF(X658="Sin Pago","",IFERROR(INDEX(Pagos_Odoo!$G:$G, MATCH(X658, Pagos_Odoo!$B:$B, 0)), ""))</f>
        <v/>
      </c>
      <c r="AD658" s="82" t="n">
        <v>0</v>
      </c>
      <c r="AE658" s="82" t="n"/>
      <c r="AF658" s="82" t="n"/>
      <c r="AG658" s="82">
        <f>IF(AN658="","",AD658+AE658+AF658)</f>
        <v/>
      </c>
      <c r="AH658" s="81">
        <f>IF(AN658="","",P658*(1-AG658))</f>
        <v/>
      </c>
      <c r="AI658" s="81">
        <f>IF(AN658="","",IF(Q658="Sin Factura",0,IFERROR(INDEX(Facturas_Odoo!$H:$H, MATCH(Q658, Facturas_Odoo!$B:$B, 0)), 0)*(1-AG658)))</f>
        <v/>
      </c>
      <c r="AJ658" s="81">
        <f>IF(AN658="","",_xlfn.LET(idVenta, AN658&amp;"",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58" s="81">
        <f>IF(AN658="","",AH658-AJ658)</f>
        <v/>
      </c>
      <c r="AL658" s="81">
        <f>IF(AN658="","",IF(Q658="Sin Factura","",AI658-AJ658))</f>
        <v/>
      </c>
      <c r="AM658" s="81">
        <f>IF(AN658="","",IF(Q658="Sin Factura",0,P658-IFERROR(INDEX(Facturas_Odoo!$H:$H, MATCH(Q658, Facturas_Odoo!$B:$B, 0)), 0)))</f>
        <v/>
      </c>
      <c r="AN658" s="79">
        <f>IF(AND(A658="", J658=""), "", IF(A658&lt;&gt;"", VALUE(MID(A658,2,LEN(A658))), AN657))</f>
        <v/>
      </c>
      <c r="AO658" s="79">
        <f>IF(AN658="","",IF(AD658=0,"OK",_xlfn.LET(monedaPago, IF(AA658="","USD",AA658), limitePermitido, IFERROR(VLOOKUP(monedaPago, Configuración!$A$2:$B$3, 2, FALSE), 0.15), IF(AD658&gt;limitePermitido, "ALERTA: EXCESO (" &amp; TEXT(limitePermitido, "0%") &amp; " máx)", "OK"))))</f>
        <v/>
      </c>
      <c r="AP658" s="79">
        <f>IF(AN658="","",IF(AE658=0,"OK",_xlfn.LET(fechaPago, Z658, fechaFactura, R658, diasCredito, IF(E658="Pago inmediato", 0, IFERROR(VALUE(MID(E658, 1, SEARCH(" ", E658)-1)),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58" s="79">
        <f>IF(AN658="","",IF(AND(N658&gt;0, AG658&gt;0), IF(Configuración!$K$2="NO", "ALERTA: DESCUENTO DOBLE NO PERMITIDO", "OK"), "OK"))</f>
        <v/>
      </c>
      <c r="AR658" s="79">
        <f>IF(AN658="","",IF(OR(AO658&lt;&gt;"OK", AP658&lt;&gt;"OK", AQ658&lt;&gt;"OK"), "⚠️ REVISAR", "OK"))</f>
        <v/>
      </c>
    </row>
    <row r="659">
      <c r="A659" s="79">
        <f>IF('Ordenes_Odoo'!A659="","",'Ordenes_Odoo'!A659)</f>
        <v/>
      </c>
      <c r="B659" s="80">
        <f>IF('Ordenes_Odoo'!B659="","",'Ordenes_Odoo'!B659)</f>
        <v/>
      </c>
      <c r="C659" s="79">
        <f>IF('Ordenes_Odoo'!C659="","",'Ordenes_Odoo'!C659)</f>
        <v/>
      </c>
      <c r="D659" s="79">
        <f>IF('Ordenes_Odoo'!D659="","",'Ordenes_Odoo'!D659)</f>
        <v/>
      </c>
      <c r="E659" s="79">
        <f>IF('Ordenes_Odoo'!E659="","",'Ordenes_Odoo'!E659)</f>
        <v/>
      </c>
      <c r="F659" s="79">
        <f>IF('Ordenes_Odoo'!F659="","",'Ordenes_Odoo'!F659)</f>
        <v/>
      </c>
      <c r="G659" s="79">
        <f>IF('Ordenes_Odoo'!G659="","",'Ordenes_Odoo'!G659)</f>
        <v/>
      </c>
      <c r="H659" s="79">
        <f>IF('Ordenes_Odoo'!H659="","",'Ordenes_Odoo'!H659)</f>
        <v/>
      </c>
      <c r="I659" s="79">
        <f>IF('Ordenes_Odoo'!I659="","",'Ordenes_Odoo'!I659)</f>
        <v/>
      </c>
      <c r="J659" s="79">
        <f>IF('Ordenes_Odoo'!J659="","",'Ordenes_Odoo'!J659)</f>
        <v/>
      </c>
      <c r="K659" s="81">
        <f>IF('Ordenes_Odoo'!K659="","",'Ordenes_Odoo'!K659)</f>
        <v/>
      </c>
      <c r="L659" s="81">
        <f>IF('Ordenes_Odoo'!L659="","",'Ordenes_Odoo'!L659)</f>
        <v/>
      </c>
      <c r="M659" s="79">
        <f>IF('Ordenes_Odoo'!M659="","",'Ordenes_Odoo'!M659)</f>
        <v/>
      </c>
      <c r="N659" s="79">
        <f>IF('Ordenes_Odoo'!N659="","",'Ordenes_Odoo'!N659)</f>
        <v/>
      </c>
      <c r="O659" s="81">
        <f>IF('Ordenes_Odoo'!O659="","",'Ordenes_Odoo'!O659)</f>
        <v/>
      </c>
      <c r="P659" s="81">
        <f>IF('Ordenes_Odoo'!P659="","",'Ordenes_Odoo'!P659)</f>
        <v/>
      </c>
      <c r="Q659" s="79">
        <f>IF(A659="","",IFERROR(INDEX(Facturas_Odoo!$B:$B, MATCH(A659, Facturas_Odoo!$D:$D, 0)), "Sin Factura"))</f>
        <v/>
      </c>
      <c r="R659" s="80">
        <f>IF(Q659="Sin Factura","",IFERROR(INDEX(Facturas_Odoo!$A:$A, MATCH(Q659, Facturas_Odoo!$B:$B, 0)), ""))</f>
        <v/>
      </c>
      <c r="S659" s="79">
        <f>IF(Q659="Sin Factura","",IFERROR(_xlfn.XLOOKUP(1, (Facturas_Odoo!$D:$D=A659) * (Facturas_Odoo!$K:$K=I659), Facturas_Odoo!$L:$L, ""), ""))</f>
        <v/>
      </c>
      <c r="T659" s="81">
        <f>IF(Q659="Sin Factura",0,IFERROR(_xlfn.XLOOKUP(1, (Facturas_Odoo!$D:$D=A659) * (Facturas_Odoo!$K:$K=I659), Facturas_Odoo!$M:$M, 0), 0))</f>
        <v/>
      </c>
      <c r="U659" s="79">
        <f>IF(Q659="Sin Factura",0,IFERROR(_xlfn.XLOOKUP(1, (Facturas_Odoo!$D:$D=A659) * (Facturas_Odoo!$K:$K=I659), Facturas_Odoo!$N:$N, 0), 0))</f>
        <v/>
      </c>
      <c r="V659" s="79">
        <f>IF(Q659="Sin Factura",0,IFERROR(_xlfn.XLOOKUP(1, (Facturas_Odoo!$D:$D=A659) * (Facturas_Odoo!$K:$K=I659), Facturas_Odoo!$O:$O, 0), 0))</f>
        <v/>
      </c>
      <c r="W659" s="81">
        <f>IF(Q659="Sin Factura",0,IFERROR(_xlfn.XLOOKUP(1, (Facturas_Odoo!$D:$D=A659) * (Facturas_Odoo!$K:$K=I659), Facturas_Odoo!$Q:$Q, 0), 0))</f>
        <v/>
      </c>
      <c r="X659" s="79">
        <f>IF(OR(Q659="Sin Factura",Q659=""),"",IFERROR(INDEX(Pagos_Odoo!$B:$B, MATCH(Q659, Pagos_Odoo!$I:$I, 0)), "Sin Pago"))</f>
        <v/>
      </c>
      <c r="Y659" s="79">
        <f>IF(X659="Sin Pago","",IFERROR(INDEX(Pagos_Odoo!$C:$C, MATCH(X659, Pagos_Odoo!$B:$B, 0)), ""))</f>
        <v/>
      </c>
      <c r="Z659" s="80">
        <f>IF(X659="Sin Pago","",IFERROR(INDEX(Pagos_Odoo!$A:$A, MATCH(X659, Pagos_Odoo!$B:$B, 0)), ""))</f>
        <v/>
      </c>
      <c r="AA659" s="79">
        <f>IF(X659="Sin Pago","",IFERROR(INDEX(Pagos_Odoo!$F:$F, MATCH(X659, Pagos_Odoo!$B:$B, 0)), ""))</f>
        <v/>
      </c>
      <c r="AB659" s="81">
        <f>IF(X659="Sin Pago",0,IFERROR(INDEX(Pagos_Odoo!$E:$E, MATCH(X659, Pagos_Odoo!$B:$B, 0)), 0))</f>
        <v/>
      </c>
      <c r="AC659" s="79">
        <f>IF(X659="Sin Pago","",IFERROR(INDEX(Pagos_Odoo!$G:$G, MATCH(X659, Pagos_Odoo!$B:$B, 0)), ""))</f>
        <v/>
      </c>
      <c r="AD659" s="82" t="n">
        <v>0</v>
      </c>
      <c r="AE659" s="82" t="n"/>
      <c r="AF659" s="82" t="n"/>
      <c r="AG659" s="82">
        <f>IF(AN659="","",AD659+AE659+AF659)</f>
        <v/>
      </c>
      <c r="AH659" s="81">
        <f>IF(AN659="","",P659*(1-AG659))</f>
        <v/>
      </c>
      <c r="AI659" s="81">
        <f>IF(AN659="","",IF(Q659="Sin Factura",0,IFERROR(INDEX(Facturas_Odoo!$H:$H, MATCH(Q659, Facturas_Odoo!$B:$B, 0)), 0)*(1-AG659)))</f>
        <v/>
      </c>
      <c r="AJ659" s="81">
        <f>IF(AN659="","",_xlfn.LET(idVenta, AN659&amp;"",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59" s="81">
        <f>IF(AN659="","",AH659-AJ659)</f>
        <v/>
      </c>
      <c r="AL659" s="81">
        <f>IF(AN659="","",IF(Q659="Sin Factura","",AI659-AJ659))</f>
        <v/>
      </c>
      <c r="AM659" s="81">
        <f>IF(AN659="","",IF(Q659="Sin Factura",0,P659-IFERROR(INDEX(Facturas_Odoo!$H:$H, MATCH(Q659, Facturas_Odoo!$B:$B, 0)), 0)))</f>
        <v/>
      </c>
      <c r="AN659" s="79">
        <f>IF(AND(A659="", J659=""), "", IF(A659&lt;&gt;"", VALUE(MID(A659,2,LEN(A659))), AN658))</f>
        <v/>
      </c>
      <c r="AO659" s="79">
        <f>IF(AN659="","",IF(AD659=0,"OK",_xlfn.LET(monedaPago, IF(AA659="","USD",AA659), limitePermitido, IFERROR(VLOOKUP(monedaPago, Configuración!$A$2:$B$3, 2, FALSE), 0.15), IF(AD659&gt;limitePermitido, "ALERTA: EXCESO (" &amp; TEXT(limitePermitido, "0%") &amp; " máx)", "OK"))))</f>
        <v/>
      </c>
      <c r="AP659" s="79">
        <f>IF(AN659="","",IF(AE659=0,"OK",_xlfn.LET(fechaPago, Z659, fechaFactura, R659, diasCredito, IF(E659="Pago inmediato", 0, IFERROR(VALUE(MID(E659, 1, SEARCH(" ", E659)-1)),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59" s="79">
        <f>IF(AN659="","",IF(AND(N659&gt;0, AG659&gt;0), IF(Configuración!$K$2="NO", "ALERTA: DESCUENTO DOBLE NO PERMITIDO", "OK"), "OK"))</f>
        <v/>
      </c>
      <c r="AR659" s="79">
        <f>IF(AN659="","",IF(OR(AO659&lt;&gt;"OK", AP659&lt;&gt;"OK", AQ659&lt;&gt;"OK"), "⚠️ REVISAR", "OK"))</f>
        <v/>
      </c>
    </row>
    <row r="660">
      <c r="A660" s="79">
        <f>IF('Ordenes_Odoo'!A660="","",'Ordenes_Odoo'!A660)</f>
        <v/>
      </c>
      <c r="B660" s="80">
        <f>IF('Ordenes_Odoo'!B660="","",'Ordenes_Odoo'!B660)</f>
        <v/>
      </c>
      <c r="C660" s="79">
        <f>IF('Ordenes_Odoo'!C660="","",'Ordenes_Odoo'!C660)</f>
        <v/>
      </c>
      <c r="D660" s="79">
        <f>IF('Ordenes_Odoo'!D660="","",'Ordenes_Odoo'!D660)</f>
        <v/>
      </c>
      <c r="E660" s="79">
        <f>IF('Ordenes_Odoo'!E660="","",'Ordenes_Odoo'!E660)</f>
        <v/>
      </c>
      <c r="F660" s="79">
        <f>IF('Ordenes_Odoo'!F660="","",'Ordenes_Odoo'!F660)</f>
        <v/>
      </c>
      <c r="G660" s="79">
        <f>IF('Ordenes_Odoo'!G660="","",'Ordenes_Odoo'!G660)</f>
        <v/>
      </c>
      <c r="H660" s="79">
        <f>IF('Ordenes_Odoo'!H660="","",'Ordenes_Odoo'!H660)</f>
        <v/>
      </c>
      <c r="I660" s="79">
        <f>IF('Ordenes_Odoo'!I660="","",'Ordenes_Odoo'!I660)</f>
        <v/>
      </c>
      <c r="J660" s="79">
        <f>IF('Ordenes_Odoo'!J660="","",'Ordenes_Odoo'!J660)</f>
        <v/>
      </c>
      <c r="K660" s="81">
        <f>IF('Ordenes_Odoo'!K660="","",'Ordenes_Odoo'!K660)</f>
        <v/>
      </c>
      <c r="L660" s="81">
        <f>IF('Ordenes_Odoo'!L660="","",'Ordenes_Odoo'!L660)</f>
        <v/>
      </c>
      <c r="M660" s="79">
        <f>IF('Ordenes_Odoo'!M660="","",'Ordenes_Odoo'!M660)</f>
        <v/>
      </c>
      <c r="N660" s="79">
        <f>IF('Ordenes_Odoo'!N660="","",'Ordenes_Odoo'!N660)</f>
        <v/>
      </c>
      <c r="O660" s="81">
        <f>IF('Ordenes_Odoo'!O660="","",'Ordenes_Odoo'!O660)</f>
        <v/>
      </c>
      <c r="P660" s="81">
        <f>IF('Ordenes_Odoo'!P660="","",'Ordenes_Odoo'!P660)</f>
        <v/>
      </c>
      <c r="Q660" s="79">
        <f>IF(A660="","",IFERROR(INDEX(Facturas_Odoo!$B:$B, MATCH(A660, Facturas_Odoo!$D:$D, 0)), "Sin Factura"))</f>
        <v/>
      </c>
      <c r="R660" s="80">
        <f>IF(Q660="Sin Factura","",IFERROR(INDEX(Facturas_Odoo!$A:$A, MATCH(Q660, Facturas_Odoo!$B:$B, 0)), ""))</f>
        <v/>
      </c>
      <c r="S660" s="79">
        <f>IF(Q660="Sin Factura","",IFERROR(_xlfn.XLOOKUP(1, (Facturas_Odoo!$D:$D=A660) * (Facturas_Odoo!$K:$K=I660), Facturas_Odoo!$L:$L, ""), ""))</f>
        <v/>
      </c>
      <c r="T660" s="81">
        <f>IF(Q660="Sin Factura",0,IFERROR(_xlfn.XLOOKUP(1, (Facturas_Odoo!$D:$D=A660) * (Facturas_Odoo!$K:$K=I660), Facturas_Odoo!$M:$M, 0), 0))</f>
        <v/>
      </c>
      <c r="U660" s="79">
        <f>IF(Q660="Sin Factura",0,IFERROR(_xlfn.XLOOKUP(1, (Facturas_Odoo!$D:$D=A660) * (Facturas_Odoo!$K:$K=I660), Facturas_Odoo!$N:$N, 0), 0))</f>
        <v/>
      </c>
      <c r="V660" s="79">
        <f>IF(Q660="Sin Factura",0,IFERROR(_xlfn.XLOOKUP(1, (Facturas_Odoo!$D:$D=A660) * (Facturas_Odoo!$K:$K=I660), Facturas_Odoo!$O:$O, 0), 0))</f>
        <v/>
      </c>
      <c r="W660" s="81">
        <f>IF(Q660="Sin Factura",0,IFERROR(_xlfn.XLOOKUP(1, (Facturas_Odoo!$D:$D=A660) * (Facturas_Odoo!$K:$K=I660), Facturas_Odoo!$Q:$Q, 0), 0))</f>
        <v/>
      </c>
      <c r="X660" s="79">
        <f>IF(OR(Q660="Sin Factura",Q660=""),"",IFERROR(INDEX(Pagos_Odoo!$B:$B, MATCH(Q660, Pagos_Odoo!$I:$I, 0)), "Sin Pago"))</f>
        <v/>
      </c>
      <c r="Y660" s="79">
        <f>IF(X660="Sin Pago","",IFERROR(INDEX(Pagos_Odoo!$C:$C, MATCH(X660, Pagos_Odoo!$B:$B, 0)), ""))</f>
        <v/>
      </c>
      <c r="Z660" s="80">
        <f>IF(X660="Sin Pago","",IFERROR(INDEX(Pagos_Odoo!$A:$A, MATCH(X660, Pagos_Odoo!$B:$B, 0)), ""))</f>
        <v/>
      </c>
      <c r="AA660" s="79">
        <f>IF(X660="Sin Pago","",IFERROR(INDEX(Pagos_Odoo!$F:$F, MATCH(X660, Pagos_Odoo!$B:$B, 0)), ""))</f>
        <v/>
      </c>
      <c r="AB660" s="81">
        <f>IF(X660="Sin Pago",0,IFERROR(INDEX(Pagos_Odoo!$E:$E, MATCH(X660, Pagos_Odoo!$B:$B, 0)), 0))</f>
        <v/>
      </c>
      <c r="AC660" s="79">
        <f>IF(X660="Sin Pago","",IFERROR(INDEX(Pagos_Odoo!$G:$G, MATCH(X660, Pagos_Odoo!$B:$B, 0)), ""))</f>
        <v/>
      </c>
      <c r="AD660" s="82" t="n">
        <v>0</v>
      </c>
      <c r="AE660" s="82" t="n"/>
      <c r="AF660" s="82" t="n"/>
      <c r="AG660" s="82">
        <f>IF(AN660="","",AD660+AE660+AF660)</f>
        <v/>
      </c>
      <c r="AH660" s="81">
        <f>IF(AN660="","",P660*(1-AG660))</f>
        <v/>
      </c>
      <c r="AI660" s="81">
        <f>IF(AN660="","",IF(Q660="Sin Factura",0,IFERROR(INDEX(Facturas_Odoo!$H:$H, MATCH(Q660, Facturas_Odoo!$B:$B, 0)), 0)*(1-AG660)))</f>
        <v/>
      </c>
      <c r="AJ660" s="81">
        <f>IF(AN660="","",_xlfn.LET(idVenta, AN660&amp;"",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60" s="81">
        <f>IF(AN660="","",AH660-AJ660)</f>
        <v/>
      </c>
      <c r="AL660" s="81">
        <f>IF(AN660="","",IF(Q660="Sin Factura","",AI660-AJ660))</f>
        <v/>
      </c>
      <c r="AM660" s="81">
        <f>IF(AN660="","",IF(Q660="Sin Factura",0,P660-IFERROR(INDEX(Facturas_Odoo!$H:$H, MATCH(Q660, Facturas_Odoo!$B:$B, 0)), 0)))</f>
        <v/>
      </c>
      <c r="AN660" s="79">
        <f>IF(AND(A660="", J660=""), "", IF(A660&lt;&gt;"", VALUE(MID(A660,2,LEN(A660))), AN659))</f>
        <v/>
      </c>
      <c r="AO660" s="79">
        <f>IF(AN660="","",IF(AD660=0,"OK",_xlfn.LET(monedaPago, IF(AA660="","USD",AA660), limitePermitido, IFERROR(VLOOKUP(monedaPago, Configuración!$A$2:$B$3, 2, FALSE), 0.15), IF(AD660&gt;limitePermitido, "ALERTA: EXCESO (" &amp; TEXT(limitePermitido, "0%") &amp; " máx)", "OK"))))</f>
        <v/>
      </c>
      <c r="AP660" s="79">
        <f>IF(AN660="","",IF(AE660=0,"OK",_xlfn.LET(fechaPago, Z660, fechaFactura, R660, diasCredito, IF(E660="Pago inmediato", 0, IFERROR(VALUE(MID(E660, 1, SEARCH(" ", E660)-1)),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60" s="79">
        <f>IF(AN660="","",IF(AND(N660&gt;0, AG660&gt;0), IF(Configuración!$K$2="NO", "ALERTA: DESCUENTO DOBLE NO PERMITIDO", "OK"), "OK"))</f>
        <v/>
      </c>
      <c r="AR660" s="79">
        <f>IF(AN660="","",IF(OR(AO660&lt;&gt;"OK", AP660&lt;&gt;"OK", AQ660&lt;&gt;"OK"), "⚠️ REVISAR", "OK"))</f>
        <v/>
      </c>
    </row>
    <row r="661">
      <c r="A661" s="79">
        <f>IF('Ordenes_Odoo'!A661="","",'Ordenes_Odoo'!A661)</f>
        <v/>
      </c>
      <c r="B661" s="80">
        <f>IF('Ordenes_Odoo'!B661="","",'Ordenes_Odoo'!B661)</f>
        <v/>
      </c>
      <c r="C661" s="79">
        <f>IF('Ordenes_Odoo'!C661="","",'Ordenes_Odoo'!C661)</f>
        <v/>
      </c>
      <c r="D661" s="79">
        <f>IF('Ordenes_Odoo'!D661="","",'Ordenes_Odoo'!D661)</f>
        <v/>
      </c>
      <c r="E661" s="79">
        <f>IF('Ordenes_Odoo'!E661="","",'Ordenes_Odoo'!E661)</f>
        <v/>
      </c>
      <c r="F661" s="79">
        <f>IF('Ordenes_Odoo'!F661="","",'Ordenes_Odoo'!F661)</f>
        <v/>
      </c>
      <c r="G661" s="79">
        <f>IF('Ordenes_Odoo'!G661="","",'Ordenes_Odoo'!G661)</f>
        <v/>
      </c>
      <c r="H661" s="79">
        <f>IF('Ordenes_Odoo'!H661="","",'Ordenes_Odoo'!H661)</f>
        <v/>
      </c>
      <c r="I661" s="79">
        <f>IF('Ordenes_Odoo'!I661="","",'Ordenes_Odoo'!I661)</f>
        <v/>
      </c>
      <c r="J661" s="79">
        <f>IF('Ordenes_Odoo'!J661="","",'Ordenes_Odoo'!J661)</f>
        <v/>
      </c>
      <c r="K661" s="81">
        <f>IF('Ordenes_Odoo'!K661="","",'Ordenes_Odoo'!K661)</f>
        <v/>
      </c>
      <c r="L661" s="81">
        <f>IF('Ordenes_Odoo'!L661="","",'Ordenes_Odoo'!L661)</f>
        <v/>
      </c>
      <c r="M661" s="79">
        <f>IF('Ordenes_Odoo'!M661="","",'Ordenes_Odoo'!M661)</f>
        <v/>
      </c>
      <c r="N661" s="79">
        <f>IF('Ordenes_Odoo'!N661="","",'Ordenes_Odoo'!N661)</f>
        <v/>
      </c>
      <c r="O661" s="81">
        <f>IF('Ordenes_Odoo'!O661="","",'Ordenes_Odoo'!O661)</f>
        <v/>
      </c>
      <c r="P661" s="81">
        <f>IF('Ordenes_Odoo'!P661="","",'Ordenes_Odoo'!P661)</f>
        <v/>
      </c>
      <c r="Q661" s="79">
        <f>IF(A661="","",IFERROR(INDEX(Facturas_Odoo!$B:$B, MATCH(A661, Facturas_Odoo!$D:$D, 0)), "Sin Factura"))</f>
        <v/>
      </c>
      <c r="R661" s="80">
        <f>IF(Q661="Sin Factura","",IFERROR(INDEX(Facturas_Odoo!$A:$A, MATCH(Q661, Facturas_Odoo!$B:$B, 0)), ""))</f>
        <v/>
      </c>
      <c r="S661" s="79">
        <f>IF(Q661="Sin Factura","",IFERROR(_xlfn.XLOOKUP(1, (Facturas_Odoo!$D:$D=A661) * (Facturas_Odoo!$K:$K=I661), Facturas_Odoo!$L:$L, ""), ""))</f>
        <v/>
      </c>
      <c r="T661" s="81">
        <f>IF(Q661="Sin Factura",0,IFERROR(_xlfn.XLOOKUP(1, (Facturas_Odoo!$D:$D=A661) * (Facturas_Odoo!$K:$K=I661), Facturas_Odoo!$M:$M, 0), 0))</f>
        <v/>
      </c>
      <c r="U661" s="79">
        <f>IF(Q661="Sin Factura",0,IFERROR(_xlfn.XLOOKUP(1, (Facturas_Odoo!$D:$D=A661) * (Facturas_Odoo!$K:$K=I661), Facturas_Odoo!$N:$N, 0), 0))</f>
        <v/>
      </c>
      <c r="V661" s="79">
        <f>IF(Q661="Sin Factura",0,IFERROR(_xlfn.XLOOKUP(1, (Facturas_Odoo!$D:$D=A661) * (Facturas_Odoo!$K:$K=I661), Facturas_Odoo!$O:$O, 0), 0))</f>
        <v/>
      </c>
      <c r="W661" s="81">
        <f>IF(Q661="Sin Factura",0,IFERROR(_xlfn.XLOOKUP(1, (Facturas_Odoo!$D:$D=A661) * (Facturas_Odoo!$K:$K=I661), Facturas_Odoo!$Q:$Q, 0), 0))</f>
        <v/>
      </c>
      <c r="X661" s="79">
        <f>IF(OR(Q661="Sin Factura",Q661=""),"",IFERROR(INDEX(Pagos_Odoo!$B:$B, MATCH(Q661, Pagos_Odoo!$I:$I, 0)), "Sin Pago"))</f>
        <v/>
      </c>
      <c r="Y661" s="79">
        <f>IF(X661="Sin Pago","",IFERROR(INDEX(Pagos_Odoo!$C:$C, MATCH(X661, Pagos_Odoo!$B:$B, 0)), ""))</f>
        <v/>
      </c>
      <c r="Z661" s="80">
        <f>IF(X661="Sin Pago","",IFERROR(INDEX(Pagos_Odoo!$A:$A, MATCH(X661, Pagos_Odoo!$B:$B, 0)), ""))</f>
        <v/>
      </c>
      <c r="AA661" s="79">
        <f>IF(X661="Sin Pago","",IFERROR(INDEX(Pagos_Odoo!$F:$F, MATCH(X661, Pagos_Odoo!$B:$B, 0)), ""))</f>
        <v/>
      </c>
      <c r="AB661" s="81">
        <f>IF(X661="Sin Pago",0,IFERROR(INDEX(Pagos_Odoo!$E:$E, MATCH(X661, Pagos_Odoo!$B:$B, 0)), 0))</f>
        <v/>
      </c>
      <c r="AC661" s="79">
        <f>IF(X661="Sin Pago","",IFERROR(INDEX(Pagos_Odoo!$G:$G, MATCH(X661, Pagos_Odoo!$B:$B, 0)), ""))</f>
        <v/>
      </c>
      <c r="AD661" s="82" t="n">
        <v>0</v>
      </c>
      <c r="AE661" s="82" t="n"/>
      <c r="AF661" s="82" t="n"/>
      <c r="AG661" s="82">
        <f>IF(AN661="","",AD661+AE661+AF661)</f>
        <v/>
      </c>
      <c r="AH661" s="81">
        <f>IF(AN661="","",P661*(1-AG661))</f>
        <v/>
      </c>
      <c r="AI661" s="81">
        <f>IF(AN661="","",IF(Q661="Sin Factura",0,IFERROR(INDEX(Facturas_Odoo!$H:$H, MATCH(Q661, Facturas_Odoo!$B:$B, 0)), 0)*(1-AG661)))</f>
        <v/>
      </c>
      <c r="AJ661" s="81">
        <f>IF(AN661="","",_xlfn.LET(idVenta, AN661&amp;"",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61" s="81">
        <f>IF(AN661="","",AH661-AJ661)</f>
        <v/>
      </c>
      <c r="AL661" s="81">
        <f>IF(AN661="","",IF(Q661="Sin Factura","",AI661-AJ661))</f>
        <v/>
      </c>
      <c r="AM661" s="81">
        <f>IF(AN661="","",IF(Q661="Sin Factura",0,P661-IFERROR(INDEX(Facturas_Odoo!$H:$H, MATCH(Q661, Facturas_Odoo!$B:$B, 0)), 0)))</f>
        <v/>
      </c>
      <c r="AN661" s="79">
        <f>IF(AND(A661="", J661=""), "", IF(A661&lt;&gt;"", VALUE(MID(A661,2,LEN(A661))), AN660))</f>
        <v/>
      </c>
      <c r="AO661" s="79">
        <f>IF(AN661="","",IF(AD661=0,"OK",_xlfn.LET(monedaPago, IF(AA661="","USD",AA661), limitePermitido, IFERROR(VLOOKUP(monedaPago, Configuración!$A$2:$B$3, 2, FALSE), 0.15), IF(AD661&gt;limitePermitido, "ALERTA: EXCESO (" &amp; TEXT(limitePermitido, "0%") &amp; " máx)", "OK"))))</f>
        <v/>
      </c>
      <c r="AP661" s="79">
        <f>IF(AN661="","",IF(AE661=0,"OK",_xlfn.LET(fechaPago, Z661, fechaFactura, R661, diasCredito, IF(E661="Pago inmediato", 0, IFERROR(VALUE(MID(E661, 1, SEARCH(" ", E661)-1)),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61" s="79">
        <f>IF(AN661="","",IF(AND(N661&gt;0, AG661&gt;0), IF(Configuración!$K$2="NO", "ALERTA: DESCUENTO DOBLE NO PERMITIDO", "OK"), "OK"))</f>
        <v/>
      </c>
      <c r="AR661" s="79">
        <f>IF(AN661="","",IF(OR(AO661&lt;&gt;"OK", AP661&lt;&gt;"OK", AQ661&lt;&gt;"OK"), "⚠️ REVISAR", "OK"))</f>
        <v/>
      </c>
    </row>
    <row r="662">
      <c r="A662" s="79">
        <f>IF('Ordenes_Odoo'!A662="","",'Ordenes_Odoo'!A662)</f>
        <v/>
      </c>
      <c r="B662" s="80">
        <f>IF('Ordenes_Odoo'!B662="","",'Ordenes_Odoo'!B662)</f>
        <v/>
      </c>
      <c r="C662" s="79">
        <f>IF('Ordenes_Odoo'!C662="","",'Ordenes_Odoo'!C662)</f>
        <v/>
      </c>
      <c r="D662" s="79">
        <f>IF('Ordenes_Odoo'!D662="","",'Ordenes_Odoo'!D662)</f>
        <v/>
      </c>
      <c r="E662" s="79">
        <f>IF('Ordenes_Odoo'!E662="","",'Ordenes_Odoo'!E662)</f>
        <v/>
      </c>
      <c r="F662" s="79">
        <f>IF('Ordenes_Odoo'!F662="","",'Ordenes_Odoo'!F662)</f>
        <v/>
      </c>
      <c r="G662" s="79">
        <f>IF('Ordenes_Odoo'!G662="","",'Ordenes_Odoo'!G662)</f>
        <v/>
      </c>
      <c r="H662" s="79">
        <f>IF('Ordenes_Odoo'!H662="","",'Ordenes_Odoo'!H662)</f>
        <v/>
      </c>
      <c r="I662" s="79">
        <f>IF('Ordenes_Odoo'!I662="","",'Ordenes_Odoo'!I662)</f>
        <v/>
      </c>
      <c r="J662" s="79">
        <f>IF('Ordenes_Odoo'!J662="","",'Ordenes_Odoo'!J662)</f>
        <v/>
      </c>
      <c r="K662" s="81">
        <f>IF('Ordenes_Odoo'!K662="","",'Ordenes_Odoo'!K662)</f>
        <v/>
      </c>
      <c r="L662" s="81">
        <f>IF('Ordenes_Odoo'!L662="","",'Ordenes_Odoo'!L662)</f>
        <v/>
      </c>
      <c r="M662" s="79">
        <f>IF('Ordenes_Odoo'!M662="","",'Ordenes_Odoo'!M662)</f>
        <v/>
      </c>
      <c r="N662" s="79">
        <f>IF('Ordenes_Odoo'!N662="","",'Ordenes_Odoo'!N662)</f>
        <v/>
      </c>
      <c r="O662" s="81">
        <f>IF('Ordenes_Odoo'!O662="","",'Ordenes_Odoo'!O662)</f>
        <v/>
      </c>
      <c r="P662" s="81">
        <f>IF('Ordenes_Odoo'!P662="","",'Ordenes_Odoo'!P662)</f>
        <v/>
      </c>
      <c r="Q662" s="79">
        <f>IF(A662="","",IFERROR(INDEX(Facturas_Odoo!$B:$B, MATCH(A662, Facturas_Odoo!$D:$D, 0)), "Sin Factura"))</f>
        <v/>
      </c>
      <c r="R662" s="80">
        <f>IF(Q662="Sin Factura","",IFERROR(INDEX(Facturas_Odoo!$A:$A, MATCH(Q662, Facturas_Odoo!$B:$B, 0)), ""))</f>
        <v/>
      </c>
      <c r="S662" s="79">
        <f>IF(Q662="Sin Factura","",IFERROR(_xlfn.XLOOKUP(1, (Facturas_Odoo!$D:$D=A662) * (Facturas_Odoo!$K:$K=I662), Facturas_Odoo!$L:$L, ""), ""))</f>
        <v/>
      </c>
      <c r="T662" s="81">
        <f>IF(Q662="Sin Factura",0,IFERROR(_xlfn.XLOOKUP(1, (Facturas_Odoo!$D:$D=A662) * (Facturas_Odoo!$K:$K=I662), Facturas_Odoo!$M:$M, 0), 0))</f>
        <v/>
      </c>
      <c r="U662" s="79">
        <f>IF(Q662="Sin Factura",0,IFERROR(_xlfn.XLOOKUP(1, (Facturas_Odoo!$D:$D=A662) * (Facturas_Odoo!$K:$K=I662), Facturas_Odoo!$N:$N, 0), 0))</f>
        <v/>
      </c>
      <c r="V662" s="79">
        <f>IF(Q662="Sin Factura",0,IFERROR(_xlfn.XLOOKUP(1, (Facturas_Odoo!$D:$D=A662) * (Facturas_Odoo!$K:$K=I662), Facturas_Odoo!$O:$O, 0), 0))</f>
        <v/>
      </c>
      <c r="W662" s="81">
        <f>IF(Q662="Sin Factura",0,IFERROR(_xlfn.XLOOKUP(1, (Facturas_Odoo!$D:$D=A662) * (Facturas_Odoo!$K:$K=I662), Facturas_Odoo!$Q:$Q, 0), 0))</f>
        <v/>
      </c>
      <c r="X662" s="79">
        <f>IF(OR(Q662="Sin Factura",Q662=""),"",IFERROR(INDEX(Pagos_Odoo!$B:$B, MATCH(Q662, Pagos_Odoo!$I:$I, 0)), "Sin Pago"))</f>
        <v/>
      </c>
      <c r="Y662" s="79">
        <f>IF(X662="Sin Pago","",IFERROR(INDEX(Pagos_Odoo!$C:$C, MATCH(X662, Pagos_Odoo!$B:$B, 0)), ""))</f>
        <v/>
      </c>
      <c r="Z662" s="80">
        <f>IF(X662="Sin Pago","",IFERROR(INDEX(Pagos_Odoo!$A:$A, MATCH(X662, Pagos_Odoo!$B:$B, 0)), ""))</f>
        <v/>
      </c>
      <c r="AA662" s="79">
        <f>IF(X662="Sin Pago","",IFERROR(INDEX(Pagos_Odoo!$F:$F, MATCH(X662, Pagos_Odoo!$B:$B, 0)), ""))</f>
        <v/>
      </c>
      <c r="AB662" s="81">
        <f>IF(X662="Sin Pago",0,IFERROR(INDEX(Pagos_Odoo!$E:$E, MATCH(X662, Pagos_Odoo!$B:$B, 0)), 0))</f>
        <v/>
      </c>
      <c r="AC662" s="79">
        <f>IF(X662="Sin Pago","",IFERROR(INDEX(Pagos_Odoo!$G:$G, MATCH(X662, Pagos_Odoo!$B:$B, 0)), ""))</f>
        <v/>
      </c>
      <c r="AD662" s="82" t="n">
        <v>0</v>
      </c>
      <c r="AE662" s="82" t="n"/>
      <c r="AF662" s="82" t="n"/>
      <c r="AG662" s="82">
        <f>IF(AN662="","",AD662+AE662+AF662)</f>
        <v/>
      </c>
      <c r="AH662" s="81">
        <f>IF(AN662="","",P662*(1-AG662))</f>
        <v/>
      </c>
      <c r="AI662" s="81">
        <f>IF(AN662="","",IF(Q662="Sin Factura",0,IFERROR(INDEX(Facturas_Odoo!$H:$H, MATCH(Q662, Facturas_Odoo!$B:$B, 0)), 0)*(1-AG662)))</f>
        <v/>
      </c>
      <c r="AJ662" s="81">
        <f>IF(AN662="","",_xlfn.LET(idVenta, AN662&amp;"",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62" s="81">
        <f>IF(AN662="","",AH662-AJ662)</f>
        <v/>
      </c>
      <c r="AL662" s="81">
        <f>IF(AN662="","",IF(Q662="Sin Factura","",AI662-AJ662))</f>
        <v/>
      </c>
      <c r="AM662" s="81">
        <f>IF(AN662="","",IF(Q662="Sin Factura",0,P662-IFERROR(INDEX(Facturas_Odoo!$H:$H, MATCH(Q662, Facturas_Odoo!$B:$B, 0)), 0)))</f>
        <v/>
      </c>
      <c r="AN662" s="79">
        <f>IF(AND(A662="", J662=""), "", IF(A662&lt;&gt;"", VALUE(MID(A662,2,LEN(A662))), AN661))</f>
        <v/>
      </c>
      <c r="AO662" s="79">
        <f>IF(AN662="","",IF(AD662=0,"OK",_xlfn.LET(monedaPago, IF(AA662="","USD",AA662), limitePermitido, IFERROR(VLOOKUP(monedaPago, Configuración!$A$2:$B$3, 2, FALSE), 0.15), IF(AD662&gt;limitePermitido, "ALERTA: EXCESO (" &amp; TEXT(limitePermitido, "0%") &amp; " máx)", "OK"))))</f>
        <v/>
      </c>
      <c r="AP662" s="79">
        <f>IF(AN662="","",IF(AE662=0,"OK",_xlfn.LET(fechaPago, Z662, fechaFactura, R662, diasCredito, IF(E662="Pago inmediato", 0, IFERROR(VALUE(MID(E662, 1, SEARCH(" ", E662)-1)),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62" s="79">
        <f>IF(AN662="","",IF(AND(N662&gt;0, AG662&gt;0), IF(Configuración!$K$2="NO", "ALERTA: DESCUENTO DOBLE NO PERMITIDO", "OK"), "OK"))</f>
        <v/>
      </c>
      <c r="AR662" s="79">
        <f>IF(AN662="","",IF(OR(AO662&lt;&gt;"OK", AP662&lt;&gt;"OK", AQ662&lt;&gt;"OK"), "⚠️ REVISAR", "OK"))</f>
        <v/>
      </c>
    </row>
    <row r="663">
      <c r="A663" s="79">
        <f>IF('Ordenes_Odoo'!A663="","",'Ordenes_Odoo'!A663)</f>
        <v/>
      </c>
      <c r="B663" s="80">
        <f>IF('Ordenes_Odoo'!B663="","",'Ordenes_Odoo'!B663)</f>
        <v/>
      </c>
      <c r="C663" s="79">
        <f>IF('Ordenes_Odoo'!C663="","",'Ordenes_Odoo'!C663)</f>
        <v/>
      </c>
      <c r="D663" s="79">
        <f>IF('Ordenes_Odoo'!D663="","",'Ordenes_Odoo'!D663)</f>
        <v/>
      </c>
      <c r="E663" s="79">
        <f>IF('Ordenes_Odoo'!E663="","",'Ordenes_Odoo'!E663)</f>
        <v/>
      </c>
      <c r="F663" s="79">
        <f>IF('Ordenes_Odoo'!F663="","",'Ordenes_Odoo'!F663)</f>
        <v/>
      </c>
      <c r="G663" s="79">
        <f>IF('Ordenes_Odoo'!G663="","",'Ordenes_Odoo'!G663)</f>
        <v/>
      </c>
      <c r="H663" s="79">
        <f>IF('Ordenes_Odoo'!H663="","",'Ordenes_Odoo'!H663)</f>
        <v/>
      </c>
      <c r="I663" s="79">
        <f>IF('Ordenes_Odoo'!I663="","",'Ordenes_Odoo'!I663)</f>
        <v/>
      </c>
      <c r="J663" s="79">
        <f>IF('Ordenes_Odoo'!J663="","",'Ordenes_Odoo'!J663)</f>
        <v/>
      </c>
      <c r="K663" s="81">
        <f>IF('Ordenes_Odoo'!K663="","",'Ordenes_Odoo'!K663)</f>
        <v/>
      </c>
      <c r="L663" s="81">
        <f>IF('Ordenes_Odoo'!L663="","",'Ordenes_Odoo'!L663)</f>
        <v/>
      </c>
      <c r="M663" s="79">
        <f>IF('Ordenes_Odoo'!M663="","",'Ordenes_Odoo'!M663)</f>
        <v/>
      </c>
      <c r="N663" s="79">
        <f>IF('Ordenes_Odoo'!N663="","",'Ordenes_Odoo'!N663)</f>
        <v/>
      </c>
      <c r="O663" s="81">
        <f>IF('Ordenes_Odoo'!O663="","",'Ordenes_Odoo'!O663)</f>
        <v/>
      </c>
      <c r="P663" s="81">
        <f>IF('Ordenes_Odoo'!P663="","",'Ordenes_Odoo'!P663)</f>
        <v/>
      </c>
      <c r="Q663" s="79">
        <f>IF(A663="","",IFERROR(INDEX(Facturas_Odoo!$B:$B, MATCH(A663, Facturas_Odoo!$D:$D, 0)), "Sin Factura"))</f>
        <v/>
      </c>
      <c r="R663" s="80">
        <f>IF(Q663="Sin Factura","",IFERROR(INDEX(Facturas_Odoo!$A:$A, MATCH(Q663, Facturas_Odoo!$B:$B, 0)), ""))</f>
        <v/>
      </c>
      <c r="S663" s="79">
        <f>IF(Q663="Sin Factura","",IFERROR(_xlfn.XLOOKUP(1, (Facturas_Odoo!$D:$D=A663) * (Facturas_Odoo!$K:$K=I663), Facturas_Odoo!$L:$L, ""), ""))</f>
        <v/>
      </c>
      <c r="T663" s="81">
        <f>IF(Q663="Sin Factura",0,IFERROR(_xlfn.XLOOKUP(1, (Facturas_Odoo!$D:$D=A663) * (Facturas_Odoo!$K:$K=I663), Facturas_Odoo!$M:$M, 0), 0))</f>
        <v/>
      </c>
      <c r="U663" s="79">
        <f>IF(Q663="Sin Factura",0,IFERROR(_xlfn.XLOOKUP(1, (Facturas_Odoo!$D:$D=A663) * (Facturas_Odoo!$K:$K=I663), Facturas_Odoo!$N:$N, 0), 0))</f>
        <v/>
      </c>
      <c r="V663" s="79">
        <f>IF(Q663="Sin Factura",0,IFERROR(_xlfn.XLOOKUP(1, (Facturas_Odoo!$D:$D=A663) * (Facturas_Odoo!$K:$K=I663), Facturas_Odoo!$O:$O, 0), 0))</f>
        <v/>
      </c>
      <c r="W663" s="81">
        <f>IF(Q663="Sin Factura",0,IFERROR(_xlfn.XLOOKUP(1, (Facturas_Odoo!$D:$D=A663) * (Facturas_Odoo!$K:$K=I663), Facturas_Odoo!$Q:$Q, 0), 0))</f>
        <v/>
      </c>
      <c r="X663" s="79">
        <f>IF(OR(Q663="Sin Factura",Q663=""),"",IFERROR(INDEX(Pagos_Odoo!$B:$B, MATCH(Q663, Pagos_Odoo!$I:$I, 0)), "Sin Pago"))</f>
        <v/>
      </c>
      <c r="Y663" s="79">
        <f>IF(X663="Sin Pago","",IFERROR(INDEX(Pagos_Odoo!$C:$C, MATCH(X663, Pagos_Odoo!$B:$B, 0)), ""))</f>
        <v/>
      </c>
      <c r="Z663" s="80">
        <f>IF(X663="Sin Pago","",IFERROR(INDEX(Pagos_Odoo!$A:$A, MATCH(X663, Pagos_Odoo!$B:$B, 0)), ""))</f>
        <v/>
      </c>
      <c r="AA663" s="79">
        <f>IF(X663="Sin Pago","",IFERROR(INDEX(Pagos_Odoo!$F:$F, MATCH(X663, Pagos_Odoo!$B:$B, 0)), ""))</f>
        <v/>
      </c>
      <c r="AB663" s="81">
        <f>IF(X663="Sin Pago",0,IFERROR(INDEX(Pagos_Odoo!$E:$E, MATCH(X663, Pagos_Odoo!$B:$B, 0)), 0))</f>
        <v/>
      </c>
      <c r="AC663" s="79">
        <f>IF(X663="Sin Pago","",IFERROR(INDEX(Pagos_Odoo!$G:$G, MATCH(X663, Pagos_Odoo!$B:$B, 0)), ""))</f>
        <v/>
      </c>
      <c r="AD663" s="82" t="n">
        <v>0</v>
      </c>
      <c r="AE663" s="82" t="n"/>
      <c r="AF663" s="82" t="n"/>
      <c r="AG663" s="82">
        <f>IF(AN663="","",AD663+AE663+AF663)</f>
        <v/>
      </c>
      <c r="AH663" s="81">
        <f>IF(AN663="","",P663*(1-AG663))</f>
        <v/>
      </c>
      <c r="AI663" s="81">
        <f>IF(AN663="","",IF(Q663="Sin Factura",0,IFERROR(INDEX(Facturas_Odoo!$H:$H, MATCH(Q663, Facturas_Odoo!$B:$B, 0)), 0)*(1-AG663)))</f>
        <v/>
      </c>
      <c r="AJ663" s="81">
        <f>IF(AN663="","",_xlfn.LET(idVenta, AN663&amp;"",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63" s="81">
        <f>IF(AN663="","",AH663-AJ663)</f>
        <v/>
      </c>
      <c r="AL663" s="81">
        <f>IF(AN663="","",IF(Q663="Sin Factura","",AI663-AJ663))</f>
        <v/>
      </c>
      <c r="AM663" s="81">
        <f>IF(AN663="","",IF(Q663="Sin Factura",0,P663-IFERROR(INDEX(Facturas_Odoo!$H:$H, MATCH(Q663, Facturas_Odoo!$B:$B, 0)), 0)))</f>
        <v/>
      </c>
      <c r="AN663" s="79">
        <f>IF(AND(A663="", J663=""), "", IF(A663&lt;&gt;"", VALUE(MID(A663,2,LEN(A663))), AN662))</f>
        <v/>
      </c>
      <c r="AO663" s="79">
        <f>IF(AN663="","",IF(AD663=0,"OK",_xlfn.LET(monedaPago, IF(AA663="","USD",AA663), limitePermitido, IFERROR(VLOOKUP(monedaPago, Configuración!$A$2:$B$3, 2, FALSE), 0.15), IF(AD663&gt;limitePermitido, "ALERTA: EXCESO (" &amp; TEXT(limitePermitido, "0%") &amp; " máx)", "OK"))))</f>
        <v/>
      </c>
      <c r="AP663" s="79">
        <f>IF(AN663="","",IF(AE663=0,"OK",_xlfn.LET(fechaPago, Z663, fechaFactura, R663, diasCredito, IF(E663="Pago inmediato", 0, IFERROR(VALUE(MID(E663, 1, SEARCH(" ", E663)-1)),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63" s="79">
        <f>IF(AN663="","",IF(AND(N663&gt;0, AG663&gt;0), IF(Configuración!$K$2="NO", "ALERTA: DESCUENTO DOBLE NO PERMITIDO", "OK"), "OK"))</f>
        <v/>
      </c>
      <c r="AR663" s="79">
        <f>IF(AN663="","",IF(OR(AO663&lt;&gt;"OK", AP663&lt;&gt;"OK", AQ663&lt;&gt;"OK"), "⚠️ REVISAR", "OK"))</f>
        <v/>
      </c>
    </row>
    <row r="664">
      <c r="A664" s="79">
        <f>IF('Ordenes_Odoo'!A664="","",'Ordenes_Odoo'!A664)</f>
        <v/>
      </c>
      <c r="B664" s="80">
        <f>IF('Ordenes_Odoo'!B664="","",'Ordenes_Odoo'!B664)</f>
        <v/>
      </c>
      <c r="C664" s="79">
        <f>IF('Ordenes_Odoo'!C664="","",'Ordenes_Odoo'!C664)</f>
        <v/>
      </c>
      <c r="D664" s="79">
        <f>IF('Ordenes_Odoo'!D664="","",'Ordenes_Odoo'!D664)</f>
        <v/>
      </c>
      <c r="E664" s="79">
        <f>IF('Ordenes_Odoo'!E664="","",'Ordenes_Odoo'!E664)</f>
        <v/>
      </c>
      <c r="F664" s="79">
        <f>IF('Ordenes_Odoo'!F664="","",'Ordenes_Odoo'!F664)</f>
        <v/>
      </c>
      <c r="G664" s="79">
        <f>IF('Ordenes_Odoo'!G664="","",'Ordenes_Odoo'!G664)</f>
        <v/>
      </c>
      <c r="H664" s="79">
        <f>IF('Ordenes_Odoo'!H664="","",'Ordenes_Odoo'!H664)</f>
        <v/>
      </c>
      <c r="I664" s="79">
        <f>IF('Ordenes_Odoo'!I664="","",'Ordenes_Odoo'!I664)</f>
        <v/>
      </c>
      <c r="J664" s="79">
        <f>IF('Ordenes_Odoo'!J664="","",'Ordenes_Odoo'!J664)</f>
        <v/>
      </c>
      <c r="K664" s="81">
        <f>IF('Ordenes_Odoo'!K664="","",'Ordenes_Odoo'!K664)</f>
        <v/>
      </c>
      <c r="L664" s="81">
        <f>IF('Ordenes_Odoo'!L664="","",'Ordenes_Odoo'!L664)</f>
        <v/>
      </c>
      <c r="M664" s="79">
        <f>IF('Ordenes_Odoo'!M664="","",'Ordenes_Odoo'!M664)</f>
        <v/>
      </c>
      <c r="N664" s="79">
        <f>IF('Ordenes_Odoo'!N664="","",'Ordenes_Odoo'!N664)</f>
        <v/>
      </c>
      <c r="O664" s="81">
        <f>IF('Ordenes_Odoo'!O664="","",'Ordenes_Odoo'!O664)</f>
        <v/>
      </c>
      <c r="P664" s="81">
        <f>IF('Ordenes_Odoo'!P664="","",'Ordenes_Odoo'!P664)</f>
        <v/>
      </c>
      <c r="Q664" s="79">
        <f>IF(A664="","",IFERROR(INDEX(Facturas_Odoo!$B:$B, MATCH(A664, Facturas_Odoo!$D:$D, 0)), "Sin Factura"))</f>
        <v/>
      </c>
      <c r="R664" s="80">
        <f>IF(Q664="Sin Factura","",IFERROR(INDEX(Facturas_Odoo!$A:$A, MATCH(Q664, Facturas_Odoo!$B:$B, 0)), ""))</f>
        <v/>
      </c>
      <c r="S664" s="79">
        <f>IF(Q664="Sin Factura","",IFERROR(_xlfn.XLOOKUP(1, (Facturas_Odoo!$D:$D=A664) * (Facturas_Odoo!$K:$K=I664), Facturas_Odoo!$L:$L, ""), ""))</f>
        <v/>
      </c>
      <c r="T664" s="81">
        <f>IF(Q664="Sin Factura",0,IFERROR(_xlfn.XLOOKUP(1, (Facturas_Odoo!$D:$D=A664) * (Facturas_Odoo!$K:$K=I664), Facturas_Odoo!$M:$M, 0), 0))</f>
        <v/>
      </c>
      <c r="U664" s="79">
        <f>IF(Q664="Sin Factura",0,IFERROR(_xlfn.XLOOKUP(1, (Facturas_Odoo!$D:$D=A664) * (Facturas_Odoo!$K:$K=I664), Facturas_Odoo!$N:$N, 0), 0))</f>
        <v/>
      </c>
      <c r="V664" s="79">
        <f>IF(Q664="Sin Factura",0,IFERROR(_xlfn.XLOOKUP(1, (Facturas_Odoo!$D:$D=A664) * (Facturas_Odoo!$K:$K=I664), Facturas_Odoo!$O:$O, 0), 0))</f>
        <v/>
      </c>
      <c r="W664" s="81">
        <f>IF(Q664="Sin Factura",0,IFERROR(_xlfn.XLOOKUP(1, (Facturas_Odoo!$D:$D=A664) * (Facturas_Odoo!$K:$K=I664), Facturas_Odoo!$Q:$Q, 0), 0))</f>
        <v/>
      </c>
      <c r="X664" s="79">
        <f>IF(OR(Q664="Sin Factura",Q664=""),"",IFERROR(INDEX(Pagos_Odoo!$B:$B, MATCH(Q664, Pagos_Odoo!$I:$I, 0)), "Sin Pago"))</f>
        <v/>
      </c>
      <c r="Y664" s="79">
        <f>IF(X664="Sin Pago","",IFERROR(INDEX(Pagos_Odoo!$C:$C, MATCH(X664, Pagos_Odoo!$B:$B, 0)), ""))</f>
        <v/>
      </c>
      <c r="Z664" s="80">
        <f>IF(X664="Sin Pago","",IFERROR(INDEX(Pagos_Odoo!$A:$A, MATCH(X664, Pagos_Odoo!$B:$B, 0)), ""))</f>
        <v/>
      </c>
      <c r="AA664" s="79">
        <f>IF(X664="Sin Pago","",IFERROR(INDEX(Pagos_Odoo!$F:$F, MATCH(X664, Pagos_Odoo!$B:$B, 0)), ""))</f>
        <v/>
      </c>
      <c r="AB664" s="81">
        <f>IF(X664="Sin Pago",0,IFERROR(INDEX(Pagos_Odoo!$E:$E, MATCH(X664, Pagos_Odoo!$B:$B, 0)), 0))</f>
        <v/>
      </c>
      <c r="AC664" s="79">
        <f>IF(X664="Sin Pago","",IFERROR(INDEX(Pagos_Odoo!$G:$G, MATCH(X664, Pagos_Odoo!$B:$B, 0)), ""))</f>
        <v/>
      </c>
      <c r="AD664" s="82" t="n">
        <v>0</v>
      </c>
      <c r="AE664" s="82" t="n"/>
      <c r="AF664" s="82" t="n"/>
      <c r="AG664" s="82">
        <f>IF(AN664="","",AD664+AE664+AF664)</f>
        <v/>
      </c>
      <c r="AH664" s="81">
        <f>IF(AN664="","",P664*(1-AG664))</f>
        <v/>
      </c>
      <c r="AI664" s="81">
        <f>IF(AN664="","",IF(Q664="Sin Factura",0,IFERROR(INDEX(Facturas_Odoo!$H:$H, MATCH(Q664, Facturas_Odoo!$B:$B, 0)), 0)*(1-AG664)))</f>
        <v/>
      </c>
      <c r="AJ664" s="81">
        <f>IF(AN664="","",_xlfn.LET(idVenta, AN664&amp;"",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64" s="81">
        <f>IF(AN664="","",AH664-AJ664)</f>
        <v/>
      </c>
      <c r="AL664" s="81">
        <f>IF(AN664="","",IF(Q664="Sin Factura","",AI664-AJ664))</f>
        <v/>
      </c>
      <c r="AM664" s="81">
        <f>IF(AN664="","",IF(Q664="Sin Factura",0,P664-IFERROR(INDEX(Facturas_Odoo!$H:$H, MATCH(Q664, Facturas_Odoo!$B:$B, 0)), 0)))</f>
        <v/>
      </c>
      <c r="AN664" s="79">
        <f>IF(AND(A664="", J664=""), "", IF(A664&lt;&gt;"", VALUE(MID(A664,2,LEN(A664))), AN663))</f>
        <v/>
      </c>
      <c r="AO664" s="79">
        <f>IF(AN664="","",IF(AD664=0,"OK",_xlfn.LET(monedaPago, IF(AA664="","USD",AA664), limitePermitido, IFERROR(VLOOKUP(monedaPago, Configuración!$A$2:$B$3, 2, FALSE), 0.15), IF(AD664&gt;limitePermitido, "ALERTA: EXCESO (" &amp; TEXT(limitePermitido, "0%") &amp; " máx)", "OK"))))</f>
        <v/>
      </c>
      <c r="AP664" s="79">
        <f>IF(AN664="","",IF(AE664=0,"OK",_xlfn.LET(fechaPago, Z664, fechaFactura, R664, diasCredito, IF(E664="Pago inmediato", 0, IFERROR(VALUE(MID(E664, 1, SEARCH(" ", E664)-1)),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64" s="79">
        <f>IF(AN664="","",IF(AND(N664&gt;0, AG664&gt;0), IF(Configuración!$K$2="NO", "ALERTA: DESCUENTO DOBLE NO PERMITIDO", "OK"), "OK"))</f>
        <v/>
      </c>
      <c r="AR664" s="79">
        <f>IF(AN664="","",IF(OR(AO664&lt;&gt;"OK", AP664&lt;&gt;"OK", AQ664&lt;&gt;"OK"), "⚠️ REVISAR", "OK"))</f>
        <v/>
      </c>
    </row>
    <row r="665">
      <c r="A665" s="79">
        <f>IF('Ordenes_Odoo'!A665="","",'Ordenes_Odoo'!A665)</f>
        <v/>
      </c>
      <c r="B665" s="80">
        <f>IF('Ordenes_Odoo'!B665="","",'Ordenes_Odoo'!B665)</f>
        <v/>
      </c>
      <c r="C665" s="79">
        <f>IF('Ordenes_Odoo'!C665="","",'Ordenes_Odoo'!C665)</f>
        <v/>
      </c>
      <c r="D665" s="79">
        <f>IF('Ordenes_Odoo'!D665="","",'Ordenes_Odoo'!D665)</f>
        <v/>
      </c>
      <c r="E665" s="79">
        <f>IF('Ordenes_Odoo'!E665="","",'Ordenes_Odoo'!E665)</f>
        <v/>
      </c>
      <c r="F665" s="79">
        <f>IF('Ordenes_Odoo'!F665="","",'Ordenes_Odoo'!F665)</f>
        <v/>
      </c>
      <c r="G665" s="79">
        <f>IF('Ordenes_Odoo'!G665="","",'Ordenes_Odoo'!G665)</f>
        <v/>
      </c>
      <c r="H665" s="79">
        <f>IF('Ordenes_Odoo'!H665="","",'Ordenes_Odoo'!H665)</f>
        <v/>
      </c>
      <c r="I665" s="79">
        <f>IF('Ordenes_Odoo'!I665="","",'Ordenes_Odoo'!I665)</f>
        <v/>
      </c>
      <c r="J665" s="79">
        <f>IF('Ordenes_Odoo'!J665="","",'Ordenes_Odoo'!J665)</f>
        <v/>
      </c>
      <c r="K665" s="81">
        <f>IF('Ordenes_Odoo'!K665="","",'Ordenes_Odoo'!K665)</f>
        <v/>
      </c>
      <c r="L665" s="81">
        <f>IF('Ordenes_Odoo'!L665="","",'Ordenes_Odoo'!L665)</f>
        <v/>
      </c>
      <c r="M665" s="79">
        <f>IF('Ordenes_Odoo'!M665="","",'Ordenes_Odoo'!M665)</f>
        <v/>
      </c>
      <c r="N665" s="79">
        <f>IF('Ordenes_Odoo'!N665="","",'Ordenes_Odoo'!N665)</f>
        <v/>
      </c>
      <c r="O665" s="81">
        <f>IF('Ordenes_Odoo'!O665="","",'Ordenes_Odoo'!O665)</f>
        <v/>
      </c>
      <c r="P665" s="81">
        <f>IF('Ordenes_Odoo'!P665="","",'Ordenes_Odoo'!P665)</f>
        <v/>
      </c>
      <c r="Q665" s="79">
        <f>IF(A665="","",IFERROR(INDEX(Facturas_Odoo!$B:$B, MATCH(A665, Facturas_Odoo!$D:$D, 0)), "Sin Factura"))</f>
        <v/>
      </c>
      <c r="R665" s="80">
        <f>IF(Q665="Sin Factura","",IFERROR(INDEX(Facturas_Odoo!$A:$A, MATCH(Q665, Facturas_Odoo!$B:$B, 0)), ""))</f>
        <v/>
      </c>
      <c r="S665" s="79">
        <f>IF(Q665="Sin Factura","",IFERROR(_xlfn.XLOOKUP(1, (Facturas_Odoo!$D:$D=A665) * (Facturas_Odoo!$K:$K=I665), Facturas_Odoo!$L:$L, ""), ""))</f>
        <v/>
      </c>
      <c r="T665" s="81">
        <f>IF(Q665="Sin Factura",0,IFERROR(_xlfn.XLOOKUP(1, (Facturas_Odoo!$D:$D=A665) * (Facturas_Odoo!$K:$K=I665), Facturas_Odoo!$M:$M, 0), 0))</f>
        <v/>
      </c>
      <c r="U665" s="79">
        <f>IF(Q665="Sin Factura",0,IFERROR(_xlfn.XLOOKUP(1, (Facturas_Odoo!$D:$D=A665) * (Facturas_Odoo!$K:$K=I665), Facturas_Odoo!$N:$N, 0), 0))</f>
        <v/>
      </c>
      <c r="V665" s="79">
        <f>IF(Q665="Sin Factura",0,IFERROR(_xlfn.XLOOKUP(1, (Facturas_Odoo!$D:$D=A665) * (Facturas_Odoo!$K:$K=I665), Facturas_Odoo!$O:$O, 0), 0))</f>
        <v/>
      </c>
      <c r="W665" s="81">
        <f>IF(Q665="Sin Factura",0,IFERROR(_xlfn.XLOOKUP(1, (Facturas_Odoo!$D:$D=A665) * (Facturas_Odoo!$K:$K=I665), Facturas_Odoo!$Q:$Q, 0), 0))</f>
        <v/>
      </c>
      <c r="X665" s="79">
        <f>IF(OR(Q665="Sin Factura",Q665=""),"",IFERROR(INDEX(Pagos_Odoo!$B:$B, MATCH(Q665, Pagos_Odoo!$I:$I, 0)), "Sin Pago"))</f>
        <v/>
      </c>
      <c r="Y665" s="79">
        <f>IF(X665="Sin Pago","",IFERROR(INDEX(Pagos_Odoo!$C:$C, MATCH(X665, Pagos_Odoo!$B:$B, 0)), ""))</f>
        <v/>
      </c>
      <c r="Z665" s="80">
        <f>IF(X665="Sin Pago","",IFERROR(INDEX(Pagos_Odoo!$A:$A, MATCH(X665, Pagos_Odoo!$B:$B, 0)), ""))</f>
        <v/>
      </c>
      <c r="AA665" s="79">
        <f>IF(X665="Sin Pago","",IFERROR(INDEX(Pagos_Odoo!$F:$F, MATCH(X665, Pagos_Odoo!$B:$B, 0)), ""))</f>
        <v/>
      </c>
      <c r="AB665" s="81">
        <f>IF(X665="Sin Pago",0,IFERROR(INDEX(Pagos_Odoo!$E:$E, MATCH(X665, Pagos_Odoo!$B:$B, 0)), 0))</f>
        <v/>
      </c>
      <c r="AC665" s="79">
        <f>IF(X665="Sin Pago","",IFERROR(INDEX(Pagos_Odoo!$G:$G, MATCH(X665, Pagos_Odoo!$B:$B, 0)), ""))</f>
        <v/>
      </c>
      <c r="AD665" s="82" t="n">
        <v>0</v>
      </c>
      <c r="AE665" s="82" t="n"/>
      <c r="AF665" s="82" t="n"/>
      <c r="AG665" s="82">
        <f>IF(AN665="","",AD665+AE665+AF665)</f>
        <v/>
      </c>
      <c r="AH665" s="81">
        <f>IF(AN665="","",P665*(1-AG665))</f>
        <v/>
      </c>
      <c r="AI665" s="81">
        <f>IF(AN665="","",IF(Q665="Sin Factura",0,IFERROR(INDEX(Facturas_Odoo!$H:$H, MATCH(Q665, Facturas_Odoo!$B:$B, 0)), 0)*(1-AG665)))</f>
        <v/>
      </c>
      <c r="AJ665" s="81">
        <f>IF(AN665="","",_xlfn.LET(idVenta, AN665&amp;"",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65" s="81">
        <f>IF(AN665="","",AH665-AJ665)</f>
        <v/>
      </c>
      <c r="AL665" s="81">
        <f>IF(AN665="","",IF(Q665="Sin Factura","",AI665-AJ665))</f>
        <v/>
      </c>
      <c r="AM665" s="81">
        <f>IF(AN665="","",IF(Q665="Sin Factura",0,P665-IFERROR(INDEX(Facturas_Odoo!$H:$H, MATCH(Q665, Facturas_Odoo!$B:$B, 0)), 0)))</f>
        <v/>
      </c>
      <c r="AN665" s="79">
        <f>IF(AND(A665="", J665=""), "", IF(A665&lt;&gt;"", VALUE(MID(A665,2,LEN(A665))), AN664))</f>
        <v/>
      </c>
      <c r="AO665" s="79">
        <f>IF(AN665="","",IF(AD665=0,"OK",_xlfn.LET(monedaPago, IF(AA665="","USD",AA665), limitePermitido, IFERROR(VLOOKUP(monedaPago, Configuración!$A$2:$B$3, 2, FALSE), 0.15), IF(AD665&gt;limitePermitido, "ALERTA: EXCESO (" &amp; TEXT(limitePermitido, "0%") &amp; " máx)", "OK"))))</f>
        <v/>
      </c>
      <c r="AP665" s="79">
        <f>IF(AN665="","",IF(AE665=0,"OK",_xlfn.LET(fechaPago, Z665, fechaFactura, R665, diasCredito, IF(E665="Pago inmediato", 0, IFERROR(VALUE(MID(E665, 1, SEARCH(" ", E665)-1)),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65" s="79">
        <f>IF(AN665="","",IF(AND(N665&gt;0, AG665&gt;0), IF(Configuración!$K$2="NO", "ALERTA: DESCUENTO DOBLE NO PERMITIDO", "OK"), "OK"))</f>
        <v/>
      </c>
      <c r="AR665" s="79">
        <f>IF(AN665="","",IF(OR(AO665&lt;&gt;"OK", AP665&lt;&gt;"OK", AQ665&lt;&gt;"OK"), "⚠️ REVISAR", "OK"))</f>
        <v/>
      </c>
    </row>
    <row r="666">
      <c r="A666" s="79">
        <f>IF('Ordenes_Odoo'!A666="","",'Ordenes_Odoo'!A666)</f>
        <v/>
      </c>
      <c r="B666" s="80">
        <f>IF('Ordenes_Odoo'!B666="","",'Ordenes_Odoo'!B666)</f>
        <v/>
      </c>
      <c r="C666" s="79">
        <f>IF('Ordenes_Odoo'!C666="","",'Ordenes_Odoo'!C666)</f>
        <v/>
      </c>
      <c r="D666" s="79">
        <f>IF('Ordenes_Odoo'!D666="","",'Ordenes_Odoo'!D666)</f>
        <v/>
      </c>
      <c r="E666" s="79">
        <f>IF('Ordenes_Odoo'!E666="","",'Ordenes_Odoo'!E666)</f>
        <v/>
      </c>
      <c r="F666" s="79">
        <f>IF('Ordenes_Odoo'!F666="","",'Ordenes_Odoo'!F666)</f>
        <v/>
      </c>
      <c r="G666" s="79">
        <f>IF('Ordenes_Odoo'!G666="","",'Ordenes_Odoo'!G666)</f>
        <v/>
      </c>
      <c r="H666" s="79">
        <f>IF('Ordenes_Odoo'!H666="","",'Ordenes_Odoo'!H666)</f>
        <v/>
      </c>
      <c r="I666" s="79">
        <f>IF('Ordenes_Odoo'!I666="","",'Ordenes_Odoo'!I666)</f>
        <v/>
      </c>
      <c r="J666" s="79">
        <f>IF('Ordenes_Odoo'!J666="","",'Ordenes_Odoo'!J666)</f>
        <v/>
      </c>
      <c r="K666" s="81">
        <f>IF('Ordenes_Odoo'!K666="","",'Ordenes_Odoo'!K666)</f>
        <v/>
      </c>
      <c r="L666" s="81">
        <f>IF('Ordenes_Odoo'!L666="","",'Ordenes_Odoo'!L666)</f>
        <v/>
      </c>
      <c r="M666" s="79">
        <f>IF('Ordenes_Odoo'!M666="","",'Ordenes_Odoo'!M666)</f>
        <v/>
      </c>
      <c r="N666" s="79">
        <f>IF('Ordenes_Odoo'!N666="","",'Ordenes_Odoo'!N666)</f>
        <v/>
      </c>
      <c r="O666" s="81">
        <f>IF('Ordenes_Odoo'!O666="","",'Ordenes_Odoo'!O666)</f>
        <v/>
      </c>
      <c r="P666" s="81">
        <f>IF('Ordenes_Odoo'!P666="","",'Ordenes_Odoo'!P666)</f>
        <v/>
      </c>
      <c r="Q666" s="79">
        <f>IF(A666="","",IFERROR(INDEX(Facturas_Odoo!$B:$B, MATCH(A666, Facturas_Odoo!$D:$D, 0)), "Sin Factura"))</f>
        <v/>
      </c>
      <c r="R666" s="80">
        <f>IF(Q666="Sin Factura","",IFERROR(INDEX(Facturas_Odoo!$A:$A, MATCH(Q666, Facturas_Odoo!$B:$B, 0)), ""))</f>
        <v/>
      </c>
      <c r="S666" s="79">
        <f>IF(Q666="Sin Factura","",IFERROR(_xlfn.XLOOKUP(1, (Facturas_Odoo!$D:$D=A666) * (Facturas_Odoo!$K:$K=I666), Facturas_Odoo!$L:$L, ""), ""))</f>
        <v/>
      </c>
      <c r="T666" s="81">
        <f>IF(Q666="Sin Factura",0,IFERROR(_xlfn.XLOOKUP(1, (Facturas_Odoo!$D:$D=A666) * (Facturas_Odoo!$K:$K=I666), Facturas_Odoo!$M:$M, 0), 0))</f>
        <v/>
      </c>
      <c r="U666" s="79">
        <f>IF(Q666="Sin Factura",0,IFERROR(_xlfn.XLOOKUP(1, (Facturas_Odoo!$D:$D=A666) * (Facturas_Odoo!$K:$K=I666), Facturas_Odoo!$N:$N, 0), 0))</f>
        <v/>
      </c>
      <c r="V666" s="79">
        <f>IF(Q666="Sin Factura",0,IFERROR(_xlfn.XLOOKUP(1, (Facturas_Odoo!$D:$D=A666) * (Facturas_Odoo!$K:$K=I666), Facturas_Odoo!$O:$O, 0), 0))</f>
        <v/>
      </c>
      <c r="W666" s="81">
        <f>IF(Q666="Sin Factura",0,IFERROR(_xlfn.XLOOKUP(1, (Facturas_Odoo!$D:$D=A666) * (Facturas_Odoo!$K:$K=I666), Facturas_Odoo!$Q:$Q, 0), 0))</f>
        <v/>
      </c>
      <c r="X666" s="79">
        <f>IF(OR(Q666="Sin Factura",Q666=""),"",IFERROR(INDEX(Pagos_Odoo!$B:$B, MATCH(Q666, Pagos_Odoo!$I:$I, 0)), "Sin Pago"))</f>
        <v/>
      </c>
      <c r="Y666" s="79">
        <f>IF(X666="Sin Pago","",IFERROR(INDEX(Pagos_Odoo!$C:$C, MATCH(X666, Pagos_Odoo!$B:$B, 0)), ""))</f>
        <v/>
      </c>
      <c r="Z666" s="80">
        <f>IF(X666="Sin Pago","",IFERROR(INDEX(Pagos_Odoo!$A:$A, MATCH(X666, Pagos_Odoo!$B:$B, 0)), ""))</f>
        <v/>
      </c>
      <c r="AA666" s="79">
        <f>IF(X666="Sin Pago","",IFERROR(INDEX(Pagos_Odoo!$F:$F, MATCH(X666, Pagos_Odoo!$B:$B, 0)), ""))</f>
        <v/>
      </c>
      <c r="AB666" s="81">
        <f>IF(X666="Sin Pago",0,IFERROR(INDEX(Pagos_Odoo!$E:$E, MATCH(X666, Pagos_Odoo!$B:$B, 0)), 0))</f>
        <v/>
      </c>
      <c r="AC666" s="79">
        <f>IF(X666="Sin Pago","",IFERROR(INDEX(Pagos_Odoo!$G:$G, MATCH(X666, Pagos_Odoo!$B:$B, 0)), ""))</f>
        <v/>
      </c>
      <c r="AD666" s="82" t="n">
        <v>0</v>
      </c>
      <c r="AE666" s="82" t="n"/>
      <c r="AF666" s="82" t="n"/>
      <c r="AG666" s="82">
        <f>IF(AN666="","",AD666+AE666+AF666)</f>
        <v/>
      </c>
      <c r="AH666" s="81">
        <f>IF(AN666="","",P666*(1-AG666))</f>
        <v/>
      </c>
      <c r="AI666" s="81">
        <f>IF(AN666="","",IF(Q666="Sin Factura",0,IFERROR(INDEX(Facturas_Odoo!$H:$H, MATCH(Q666, Facturas_Odoo!$B:$B, 0)), 0)*(1-AG666)))</f>
        <v/>
      </c>
      <c r="AJ666" s="81">
        <f>IF(AN666="","",_xlfn.LET(idVenta, AN666&amp;"",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66" s="81">
        <f>IF(AN666="","",AH666-AJ666)</f>
        <v/>
      </c>
      <c r="AL666" s="81">
        <f>IF(AN666="","",IF(Q666="Sin Factura","",AI666-AJ666))</f>
        <v/>
      </c>
      <c r="AM666" s="81">
        <f>IF(AN666="","",IF(Q666="Sin Factura",0,P666-IFERROR(INDEX(Facturas_Odoo!$H:$H, MATCH(Q666, Facturas_Odoo!$B:$B, 0)), 0)))</f>
        <v/>
      </c>
      <c r="AN666" s="79">
        <f>IF(AND(A666="", J666=""), "", IF(A666&lt;&gt;"", VALUE(MID(A666,2,LEN(A666))), AN665))</f>
        <v/>
      </c>
      <c r="AO666" s="79">
        <f>IF(AN666="","",IF(AD666=0,"OK",_xlfn.LET(monedaPago, IF(AA666="","USD",AA666), limitePermitido, IFERROR(VLOOKUP(monedaPago, Configuración!$A$2:$B$3, 2, FALSE), 0.15), IF(AD666&gt;limitePermitido, "ALERTA: EXCESO (" &amp; TEXT(limitePermitido, "0%") &amp; " máx)", "OK"))))</f>
        <v/>
      </c>
      <c r="AP666" s="79">
        <f>IF(AN666="","",IF(AE666=0,"OK",_xlfn.LET(fechaPago, Z666, fechaFactura, R666, diasCredito, IF(E666="Pago inmediato", 0, IFERROR(VALUE(MID(E666, 1, SEARCH(" ", E666)-1)),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66" s="79">
        <f>IF(AN666="","",IF(AND(N666&gt;0, AG666&gt;0), IF(Configuración!$K$2="NO", "ALERTA: DESCUENTO DOBLE NO PERMITIDO", "OK"), "OK"))</f>
        <v/>
      </c>
      <c r="AR666" s="79">
        <f>IF(AN666="","",IF(OR(AO666&lt;&gt;"OK", AP666&lt;&gt;"OK", AQ666&lt;&gt;"OK"), "⚠️ REVISAR", "OK"))</f>
        <v/>
      </c>
    </row>
    <row r="667">
      <c r="A667" s="79">
        <f>IF('Ordenes_Odoo'!A667="","",'Ordenes_Odoo'!A667)</f>
        <v/>
      </c>
      <c r="B667" s="80">
        <f>IF('Ordenes_Odoo'!B667="","",'Ordenes_Odoo'!B667)</f>
        <v/>
      </c>
      <c r="C667" s="79">
        <f>IF('Ordenes_Odoo'!C667="","",'Ordenes_Odoo'!C667)</f>
        <v/>
      </c>
      <c r="D667" s="79">
        <f>IF('Ordenes_Odoo'!D667="","",'Ordenes_Odoo'!D667)</f>
        <v/>
      </c>
      <c r="E667" s="79">
        <f>IF('Ordenes_Odoo'!E667="","",'Ordenes_Odoo'!E667)</f>
        <v/>
      </c>
      <c r="F667" s="79">
        <f>IF('Ordenes_Odoo'!F667="","",'Ordenes_Odoo'!F667)</f>
        <v/>
      </c>
      <c r="G667" s="79">
        <f>IF('Ordenes_Odoo'!G667="","",'Ordenes_Odoo'!G667)</f>
        <v/>
      </c>
      <c r="H667" s="79">
        <f>IF('Ordenes_Odoo'!H667="","",'Ordenes_Odoo'!H667)</f>
        <v/>
      </c>
      <c r="I667" s="79">
        <f>IF('Ordenes_Odoo'!I667="","",'Ordenes_Odoo'!I667)</f>
        <v/>
      </c>
      <c r="J667" s="79">
        <f>IF('Ordenes_Odoo'!J667="","",'Ordenes_Odoo'!J667)</f>
        <v/>
      </c>
      <c r="K667" s="81">
        <f>IF('Ordenes_Odoo'!K667="","",'Ordenes_Odoo'!K667)</f>
        <v/>
      </c>
      <c r="L667" s="81">
        <f>IF('Ordenes_Odoo'!L667="","",'Ordenes_Odoo'!L667)</f>
        <v/>
      </c>
      <c r="M667" s="79">
        <f>IF('Ordenes_Odoo'!M667="","",'Ordenes_Odoo'!M667)</f>
        <v/>
      </c>
      <c r="N667" s="79">
        <f>IF('Ordenes_Odoo'!N667="","",'Ordenes_Odoo'!N667)</f>
        <v/>
      </c>
      <c r="O667" s="81">
        <f>IF('Ordenes_Odoo'!O667="","",'Ordenes_Odoo'!O667)</f>
        <v/>
      </c>
      <c r="P667" s="81">
        <f>IF('Ordenes_Odoo'!P667="","",'Ordenes_Odoo'!P667)</f>
        <v/>
      </c>
      <c r="Q667" s="79">
        <f>IF(A667="","",IFERROR(INDEX(Facturas_Odoo!$B:$B, MATCH(A667, Facturas_Odoo!$D:$D, 0)), "Sin Factura"))</f>
        <v/>
      </c>
      <c r="R667" s="80">
        <f>IF(Q667="Sin Factura","",IFERROR(INDEX(Facturas_Odoo!$A:$A, MATCH(Q667, Facturas_Odoo!$B:$B, 0)), ""))</f>
        <v/>
      </c>
      <c r="S667" s="79">
        <f>IF(Q667="Sin Factura","",IFERROR(_xlfn.XLOOKUP(1, (Facturas_Odoo!$D:$D=A667) * (Facturas_Odoo!$K:$K=I667), Facturas_Odoo!$L:$L, ""), ""))</f>
        <v/>
      </c>
      <c r="T667" s="81">
        <f>IF(Q667="Sin Factura",0,IFERROR(_xlfn.XLOOKUP(1, (Facturas_Odoo!$D:$D=A667) * (Facturas_Odoo!$K:$K=I667), Facturas_Odoo!$M:$M, 0), 0))</f>
        <v/>
      </c>
      <c r="U667" s="79">
        <f>IF(Q667="Sin Factura",0,IFERROR(_xlfn.XLOOKUP(1, (Facturas_Odoo!$D:$D=A667) * (Facturas_Odoo!$K:$K=I667), Facturas_Odoo!$N:$N, 0), 0))</f>
        <v/>
      </c>
      <c r="V667" s="79">
        <f>IF(Q667="Sin Factura",0,IFERROR(_xlfn.XLOOKUP(1, (Facturas_Odoo!$D:$D=A667) * (Facturas_Odoo!$K:$K=I667), Facturas_Odoo!$O:$O, 0), 0))</f>
        <v/>
      </c>
      <c r="W667" s="81">
        <f>IF(Q667="Sin Factura",0,IFERROR(_xlfn.XLOOKUP(1, (Facturas_Odoo!$D:$D=A667) * (Facturas_Odoo!$K:$K=I667), Facturas_Odoo!$Q:$Q, 0), 0))</f>
        <v/>
      </c>
      <c r="X667" s="79">
        <f>IF(OR(Q667="Sin Factura",Q667=""),"",IFERROR(INDEX(Pagos_Odoo!$B:$B, MATCH(Q667, Pagos_Odoo!$I:$I, 0)), "Sin Pago"))</f>
        <v/>
      </c>
      <c r="Y667" s="79">
        <f>IF(X667="Sin Pago","",IFERROR(INDEX(Pagos_Odoo!$C:$C, MATCH(X667, Pagos_Odoo!$B:$B, 0)), ""))</f>
        <v/>
      </c>
      <c r="Z667" s="80">
        <f>IF(X667="Sin Pago","",IFERROR(INDEX(Pagos_Odoo!$A:$A, MATCH(X667, Pagos_Odoo!$B:$B, 0)), ""))</f>
        <v/>
      </c>
      <c r="AA667" s="79">
        <f>IF(X667="Sin Pago","",IFERROR(INDEX(Pagos_Odoo!$F:$F, MATCH(X667, Pagos_Odoo!$B:$B, 0)), ""))</f>
        <v/>
      </c>
      <c r="AB667" s="81">
        <f>IF(X667="Sin Pago",0,IFERROR(INDEX(Pagos_Odoo!$E:$E, MATCH(X667, Pagos_Odoo!$B:$B, 0)), 0))</f>
        <v/>
      </c>
      <c r="AC667" s="79">
        <f>IF(X667="Sin Pago","",IFERROR(INDEX(Pagos_Odoo!$G:$G, MATCH(X667, Pagos_Odoo!$B:$B, 0)), ""))</f>
        <v/>
      </c>
      <c r="AD667" s="82" t="n">
        <v>0</v>
      </c>
      <c r="AE667" s="82" t="n"/>
      <c r="AF667" s="82" t="n"/>
      <c r="AG667" s="82">
        <f>IF(AN667="","",AD667+AE667+AF667)</f>
        <v/>
      </c>
      <c r="AH667" s="81">
        <f>IF(AN667="","",P667*(1-AG667))</f>
        <v/>
      </c>
      <c r="AI667" s="81">
        <f>IF(AN667="","",IF(Q667="Sin Factura",0,IFERROR(INDEX(Facturas_Odoo!$H:$H, MATCH(Q667, Facturas_Odoo!$B:$B, 0)), 0)*(1-AG667)))</f>
        <v/>
      </c>
      <c r="AJ667" s="81">
        <f>IF(AN667="","",_xlfn.LET(idVenta, AN667&amp;"",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67" s="81">
        <f>IF(AN667="","",AH667-AJ667)</f>
        <v/>
      </c>
      <c r="AL667" s="81">
        <f>IF(AN667="","",IF(Q667="Sin Factura","",AI667-AJ667))</f>
        <v/>
      </c>
      <c r="AM667" s="81">
        <f>IF(AN667="","",IF(Q667="Sin Factura",0,P667-IFERROR(INDEX(Facturas_Odoo!$H:$H, MATCH(Q667, Facturas_Odoo!$B:$B, 0)), 0)))</f>
        <v/>
      </c>
      <c r="AN667" s="79">
        <f>IF(AND(A667="", J667=""), "", IF(A667&lt;&gt;"", VALUE(MID(A667,2,LEN(A667))), AN666))</f>
        <v/>
      </c>
      <c r="AO667" s="79">
        <f>IF(AN667="","",IF(AD667=0,"OK",_xlfn.LET(monedaPago, IF(AA667="","USD",AA667), limitePermitido, IFERROR(VLOOKUP(monedaPago, Configuración!$A$2:$B$3, 2, FALSE), 0.15), IF(AD667&gt;limitePermitido, "ALERTA: EXCESO (" &amp; TEXT(limitePermitido, "0%") &amp; " máx)", "OK"))))</f>
        <v/>
      </c>
      <c r="AP667" s="79">
        <f>IF(AN667="","",IF(AE667=0,"OK",_xlfn.LET(fechaPago, Z667, fechaFactura, R667, diasCredito, IF(E667="Pago inmediato", 0, IFERROR(VALUE(MID(E667, 1, SEARCH(" ", E667)-1)),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67" s="79">
        <f>IF(AN667="","",IF(AND(N667&gt;0, AG667&gt;0), IF(Configuración!$K$2="NO", "ALERTA: DESCUENTO DOBLE NO PERMITIDO", "OK"), "OK"))</f>
        <v/>
      </c>
      <c r="AR667" s="79">
        <f>IF(AN667="","",IF(OR(AO667&lt;&gt;"OK", AP667&lt;&gt;"OK", AQ667&lt;&gt;"OK"), "⚠️ REVISAR", "OK"))</f>
        <v/>
      </c>
    </row>
    <row r="668">
      <c r="A668" s="79">
        <f>IF('Ordenes_Odoo'!A668="","",'Ordenes_Odoo'!A668)</f>
        <v/>
      </c>
      <c r="B668" s="80">
        <f>IF('Ordenes_Odoo'!B668="","",'Ordenes_Odoo'!B668)</f>
        <v/>
      </c>
      <c r="C668" s="79">
        <f>IF('Ordenes_Odoo'!C668="","",'Ordenes_Odoo'!C668)</f>
        <v/>
      </c>
      <c r="D668" s="79">
        <f>IF('Ordenes_Odoo'!D668="","",'Ordenes_Odoo'!D668)</f>
        <v/>
      </c>
      <c r="E668" s="79">
        <f>IF('Ordenes_Odoo'!E668="","",'Ordenes_Odoo'!E668)</f>
        <v/>
      </c>
      <c r="F668" s="79">
        <f>IF('Ordenes_Odoo'!F668="","",'Ordenes_Odoo'!F668)</f>
        <v/>
      </c>
      <c r="G668" s="79">
        <f>IF('Ordenes_Odoo'!G668="","",'Ordenes_Odoo'!G668)</f>
        <v/>
      </c>
      <c r="H668" s="79">
        <f>IF('Ordenes_Odoo'!H668="","",'Ordenes_Odoo'!H668)</f>
        <v/>
      </c>
      <c r="I668" s="79">
        <f>IF('Ordenes_Odoo'!I668="","",'Ordenes_Odoo'!I668)</f>
        <v/>
      </c>
      <c r="J668" s="79">
        <f>IF('Ordenes_Odoo'!J668="","",'Ordenes_Odoo'!J668)</f>
        <v/>
      </c>
      <c r="K668" s="81">
        <f>IF('Ordenes_Odoo'!K668="","",'Ordenes_Odoo'!K668)</f>
        <v/>
      </c>
      <c r="L668" s="81">
        <f>IF('Ordenes_Odoo'!L668="","",'Ordenes_Odoo'!L668)</f>
        <v/>
      </c>
      <c r="M668" s="79">
        <f>IF('Ordenes_Odoo'!M668="","",'Ordenes_Odoo'!M668)</f>
        <v/>
      </c>
      <c r="N668" s="79">
        <f>IF('Ordenes_Odoo'!N668="","",'Ordenes_Odoo'!N668)</f>
        <v/>
      </c>
      <c r="O668" s="81">
        <f>IF('Ordenes_Odoo'!O668="","",'Ordenes_Odoo'!O668)</f>
        <v/>
      </c>
      <c r="P668" s="81">
        <f>IF('Ordenes_Odoo'!P668="","",'Ordenes_Odoo'!P668)</f>
        <v/>
      </c>
      <c r="Q668" s="79">
        <f>IF(A668="","",IFERROR(INDEX(Facturas_Odoo!$B:$B, MATCH(A668, Facturas_Odoo!$D:$D, 0)), "Sin Factura"))</f>
        <v/>
      </c>
      <c r="R668" s="80">
        <f>IF(Q668="Sin Factura","",IFERROR(INDEX(Facturas_Odoo!$A:$A, MATCH(Q668, Facturas_Odoo!$B:$B, 0)), ""))</f>
        <v/>
      </c>
      <c r="S668" s="79">
        <f>IF(Q668="Sin Factura","",IFERROR(_xlfn.XLOOKUP(1, (Facturas_Odoo!$D:$D=A668) * (Facturas_Odoo!$K:$K=I668), Facturas_Odoo!$L:$L, ""), ""))</f>
        <v/>
      </c>
      <c r="T668" s="81">
        <f>IF(Q668="Sin Factura",0,IFERROR(_xlfn.XLOOKUP(1, (Facturas_Odoo!$D:$D=A668) * (Facturas_Odoo!$K:$K=I668), Facturas_Odoo!$M:$M, 0), 0))</f>
        <v/>
      </c>
      <c r="U668" s="79">
        <f>IF(Q668="Sin Factura",0,IFERROR(_xlfn.XLOOKUP(1, (Facturas_Odoo!$D:$D=A668) * (Facturas_Odoo!$K:$K=I668), Facturas_Odoo!$N:$N, 0), 0))</f>
        <v/>
      </c>
      <c r="V668" s="79">
        <f>IF(Q668="Sin Factura",0,IFERROR(_xlfn.XLOOKUP(1, (Facturas_Odoo!$D:$D=A668) * (Facturas_Odoo!$K:$K=I668), Facturas_Odoo!$O:$O, 0), 0))</f>
        <v/>
      </c>
      <c r="W668" s="81">
        <f>IF(Q668="Sin Factura",0,IFERROR(_xlfn.XLOOKUP(1, (Facturas_Odoo!$D:$D=A668) * (Facturas_Odoo!$K:$K=I668), Facturas_Odoo!$Q:$Q, 0), 0))</f>
        <v/>
      </c>
      <c r="X668" s="79">
        <f>IF(OR(Q668="Sin Factura",Q668=""),"",IFERROR(INDEX(Pagos_Odoo!$B:$B, MATCH(Q668, Pagos_Odoo!$I:$I, 0)), "Sin Pago"))</f>
        <v/>
      </c>
      <c r="Y668" s="79">
        <f>IF(X668="Sin Pago","",IFERROR(INDEX(Pagos_Odoo!$C:$C, MATCH(X668, Pagos_Odoo!$B:$B, 0)), ""))</f>
        <v/>
      </c>
      <c r="Z668" s="80">
        <f>IF(X668="Sin Pago","",IFERROR(INDEX(Pagos_Odoo!$A:$A, MATCH(X668, Pagos_Odoo!$B:$B, 0)), ""))</f>
        <v/>
      </c>
      <c r="AA668" s="79">
        <f>IF(X668="Sin Pago","",IFERROR(INDEX(Pagos_Odoo!$F:$F, MATCH(X668, Pagos_Odoo!$B:$B, 0)), ""))</f>
        <v/>
      </c>
      <c r="AB668" s="81">
        <f>IF(X668="Sin Pago",0,IFERROR(INDEX(Pagos_Odoo!$E:$E, MATCH(X668, Pagos_Odoo!$B:$B, 0)), 0))</f>
        <v/>
      </c>
      <c r="AC668" s="79">
        <f>IF(X668="Sin Pago","",IFERROR(INDEX(Pagos_Odoo!$G:$G, MATCH(X668, Pagos_Odoo!$B:$B, 0)), ""))</f>
        <v/>
      </c>
      <c r="AD668" s="82" t="n">
        <v>0</v>
      </c>
      <c r="AE668" s="82" t="n"/>
      <c r="AF668" s="82" t="n"/>
      <c r="AG668" s="82">
        <f>IF(AN668="","",AD668+AE668+AF668)</f>
        <v/>
      </c>
      <c r="AH668" s="81">
        <f>IF(AN668="","",P668*(1-AG668))</f>
        <v/>
      </c>
      <c r="AI668" s="81">
        <f>IF(AN668="","",IF(Q668="Sin Factura",0,IFERROR(INDEX(Facturas_Odoo!$H:$H, MATCH(Q668, Facturas_Odoo!$B:$B, 0)), 0)*(1-AG668)))</f>
        <v/>
      </c>
      <c r="AJ668" s="81">
        <f>IF(AN668="","",_xlfn.LET(idVenta, AN668&amp;"",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68" s="81">
        <f>IF(AN668="","",AH668-AJ668)</f>
        <v/>
      </c>
      <c r="AL668" s="81">
        <f>IF(AN668="","",IF(Q668="Sin Factura","",AI668-AJ668))</f>
        <v/>
      </c>
      <c r="AM668" s="81">
        <f>IF(AN668="","",IF(Q668="Sin Factura",0,P668-IFERROR(INDEX(Facturas_Odoo!$H:$H, MATCH(Q668, Facturas_Odoo!$B:$B, 0)), 0)))</f>
        <v/>
      </c>
      <c r="AN668" s="79">
        <f>IF(AND(A668="", J668=""), "", IF(A668&lt;&gt;"", VALUE(MID(A668,2,LEN(A668))), AN667))</f>
        <v/>
      </c>
      <c r="AO668" s="79">
        <f>IF(AN668="","",IF(AD668=0,"OK",_xlfn.LET(monedaPago, IF(AA668="","USD",AA668), limitePermitido, IFERROR(VLOOKUP(monedaPago, Configuración!$A$2:$B$3, 2, FALSE), 0.15), IF(AD668&gt;limitePermitido, "ALERTA: EXCESO (" &amp; TEXT(limitePermitido, "0%") &amp; " máx)", "OK"))))</f>
        <v/>
      </c>
      <c r="AP668" s="79">
        <f>IF(AN668="","",IF(AE668=0,"OK",_xlfn.LET(fechaPago, Z668, fechaFactura, R668, diasCredito, IF(E668="Pago inmediato", 0, IFERROR(VALUE(MID(E668, 1, SEARCH(" ", E668)-1)),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68" s="79">
        <f>IF(AN668="","",IF(AND(N668&gt;0, AG668&gt;0), IF(Configuración!$K$2="NO", "ALERTA: DESCUENTO DOBLE NO PERMITIDO", "OK"), "OK"))</f>
        <v/>
      </c>
      <c r="AR668" s="79">
        <f>IF(AN668="","",IF(OR(AO668&lt;&gt;"OK", AP668&lt;&gt;"OK", AQ668&lt;&gt;"OK"), "⚠️ REVISAR", "OK"))</f>
        <v/>
      </c>
    </row>
    <row r="669">
      <c r="A669" s="79">
        <f>IF('Ordenes_Odoo'!A669="","",'Ordenes_Odoo'!A669)</f>
        <v/>
      </c>
      <c r="B669" s="80">
        <f>IF('Ordenes_Odoo'!B669="","",'Ordenes_Odoo'!B669)</f>
        <v/>
      </c>
      <c r="C669" s="79">
        <f>IF('Ordenes_Odoo'!C669="","",'Ordenes_Odoo'!C669)</f>
        <v/>
      </c>
      <c r="D669" s="79">
        <f>IF('Ordenes_Odoo'!D669="","",'Ordenes_Odoo'!D669)</f>
        <v/>
      </c>
      <c r="E669" s="79">
        <f>IF('Ordenes_Odoo'!E669="","",'Ordenes_Odoo'!E669)</f>
        <v/>
      </c>
      <c r="F669" s="79">
        <f>IF('Ordenes_Odoo'!F669="","",'Ordenes_Odoo'!F669)</f>
        <v/>
      </c>
      <c r="G669" s="79">
        <f>IF('Ordenes_Odoo'!G669="","",'Ordenes_Odoo'!G669)</f>
        <v/>
      </c>
      <c r="H669" s="79">
        <f>IF('Ordenes_Odoo'!H669="","",'Ordenes_Odoo'!H669)</f>
        <v/>
      </c>
      <c r="I669" s="79">
        <f>IF('Ordenes_Odoo'!I669="","",'Ordenes_Odoo'!I669)</f>
        <v/>
      </c>
      <c r="J669" s="79">
        <f>IF('Ordenes_Odoo'!J669="","",'Ordenes_Odoo'!J669)</f>
        <v/>
      </c>
      <c r="K669" s="81">
        <f>IF('Ordenes_Odoo'!K669="","",'Ordenes_Odoo'!K669)</f>
        <v/>
      </c>
      <c r="L669" s="81">
        <f>IF('Ordenes_Odoo'!L669="","",'Ordenes_Odoo'!L669)</f>
        <v/>
      </c>
      <c r="M669" s="79">
        <f>IF('Ordenes_Odoo'!M669="","",'Ordenes_Odoo'!M669)</f>
        <v/>
      </c>
      <c r="N669" s="79">
        <f>IF('Ordenes_Odoo'!N669="","",'Ordenes_Odoo'!N669)</f>
        <v/>
      </c>
      <c r="O669" s="81">
        <f>IF('Ordenes_Odoo'!O669="","",'Ordenes_Odoo'!O669)</f>
        <v/>
      </c>
      <c r="P669" s="81">
        <f>IF('Ordenes_Odoo'!P669="","",'Ordenes_Odoo'!P669)</f>
        <v/>
      </c>
      <c r="Q669" s="79">
        <f>IF(A669="","",IFERROR(INDEX(Facturas_Odoo!$B:$B, MATCH(A669, Facturas_Odoo!$D:$D, 0)), "Sin Factura"))</f>
        <v/>
      </c>
      <c r="R669" s="80">
        <f>IF(Q669="Sin Factura","",IFERROR(INDEX(Facturas_Odoo!$A:$A, MATCH(Q669, Facturas_Odoo!$B:$B, 0)), ""))</f>
        <v/>
      </c>
      <c r="S669" s="79">
        <f>IF(Q669="Sin Factura","",IFERROR(_xlfn.XLOOKUP(1, (Facturas_Odoo!$D:$D=A669) * (Facturas_Odoo!$K:$K=I669), Facturas_Odoo!$L:$L, ""), ""))</f>
        <v/>
      </c>
      <c r="T669" s="81">
        <f>IF(Q669="Sin Factura",0,IFERROR(_xlfn.XLOOKUP(1, (Facturas_Odoo!$D:$D=A669) * (Facturas_Odoo!$K:$K=I669), Facturas_Odoo!$M:$M, 0), 0))</f>
        <v/>
      </c>
      <c r="U669" s="79">
        <f>IF(Q669="Sin Factura",0,IFERROR(_xlfn.XLOOKUP(1, (Facturas_Odoo!$D:$D=A669) * (Facturas_Odoo!$K:$K=I669), Facturas_Odoo!$N:$N, 0), 0))</f>
        <v/>
      </c>
      <c r="V669" s="79">
        <f>IF(Q669="Sin Factura",0,IFERROR(_xlfn.XLOOKUP(1, (Facturas_Odoo!$D:$D=A669) * (Facturas_Odoo!$K:$K=I669), Facturas_Odoo!$O:$O, 0), 0))</f>
        <v/>
      </c>
      <c r="W669" s="81">
        <f>IF(Q669="Sin Factura",0,IFERROR(_xlfn.XLOOKUP(1, (Facturas_Odoo!$D:$D=A669) * (Facturas_Odoo!$K:$K=I669), Facturas_Odoo!$Q:$Q, 0), 0))</f>
        <v/>
      </c>
      <c r="X669" s="79">
        <f>IF(OR(Q669="Sin Factura",Q669=""),"",IFERROR(INDEX(Pagos_Odoo!$B:$B, MATCH(Q669, Pagos_Odoo!$I:$I, 0)), "Sin Pago"))</f>
        <v/>
      </c>
      <c r="Y669" s="79">
        <f>IF(X669="Sin Pago","",IFERROR(INDEX(Pagos_Odoo!$C:$C, MATCH(X669, Pagos_Odoo!$B:$B, 0)), ""))</f>
        <v/>
      </c>
      <c r="Z669" s="80">
        <f>IF(X669="Sin Pago","",IFERROR(INDEX(Pagos_Odoo!$A:$A, MATCH(X669, Pagos_Odoo!$B:$B, 0)), ""))</f>
        <v/>
      </c>
      <c r="AA669" s="79">
        <f>IF(X669="Sin Pago","",IFERROR(INDEX(Pagos_Odoo!$F:$F, MATCH(X669, Pagos_Odoo!$B:$B, 0)), ""))</f>
        <v/>
      </c>
      <c r="AB669" s="81">
        <f>IF(X669="Sin Pago",0,IFERROR(INDEX(Pagos_Odoo!$E:$E, MATCH(X669, Pagos_Odoo!$B:$B, 0)), 0))</f>
        <v/>
      </c>
      <c r="AC669" s="79">
        <f>IF(X669="Sin Pago","",IFERROR(INDEX(Pagos_Odoo!$G:$G, MATCH(X669, Pagos_Odoo!$B:$B, 0)), ""))</f>
        <v/>
      </c>
      <c r="AD669" s="82" t="n">
        <v>0</v>
      </c>
      <c r="AE669" s="82" t="n"/>
      <c r="AF669" s="82" t="n"/>
      <c r="AG669" s="82">
        <f>IF(AN669="","",AD669+AE669+AF669)</f>
        <v/>
      </c>
      <c r="AH669" s="81">
        <f>IF(AN669="","",P669*(1-AG669))</f>
        <v/>
      </c>
      <c r="AI669" s="81">
        <f>IF(AN669="","",IF(Q669="Sin Factura",0,IFERROR(INDEX(Facturas_Odoo!$H:$H, MATCH(Q669, Facturas_Odoo!$B:$B, 0)), 0)*(1-AG669)))</f>
        <v/>
      </c>
      <c r="AJ669" s="81">
        <f>IF(AN669="","",_xlfn.LET(idVenta, AN669&amp;"",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69" s="81">
        <f>IF(AN669="","",AH669-AJ669)</f>
        <v/>
      </c>
      <c r="AL669" s="81">
        <f>IF(AN669="","",IF(Q669="Sin Factura","",AI669-AJ669))</f>
        <v/>
      </c>
      <c r="AM669" s="81">
        <f>IF(AN669="","",IF(Q669="Sin Factura",0,P669-IFERROR(INDEX(Facturas_Odoo!$H:$H, MATCH(Q669, Facturas_Odoo!$B:$B, 0)), 0)))</f>
        <v/>
      </c>
      <c r="AN669" s="79">
        <f>IF(AND(A669="", J669=""), "", IF(A669&lt;&gt;"", VALUE(MID(A669,2,LEN(A669))), AN668))</f>
        <v/>
      </c>
      <c r="AO669" s="79">
        <f>IF(AN669="","",IF(AD669=0,"OK",_xlfn.LET(monedaPago, IF(AA669="","USD",AA669), limitePermitido, IFERROR(VLOOKUP(monedaPago, Configuración!$A$2:$B$3, 2, FALSE), 0.15), IF(AD669&gt;limitePermitido, "ALERTA: EXCESO (" &amp; TEXT(limitePermitido, "0%") &amp; " máx)", "OK"))))</f>
        <v/>
      </c>
      <c r="AP669" s="79">
        <f>IF(AN669="","",IF(AE669=0,"OK",_xlfn.LET(fechaPago, Z669, fechaFactura, R669, diasCredito, IF(E669="Pago inmediato", 0, IFERROR(VALUE(MID(E669, 1, SEARCH(" ", E669)-1)),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69" s="79">
        <f>IF(AN669="","",IF(AND(N669&gt;0, AG669&gt;0), IF(Configuración!$K$2="NO", "ALERTA: DESCUENTO DOBLE NO PERMITIDO", "OK"), "OK"))</f>
        <v/>
      </c>
      <c r="AR669" s="79">
        <f>IF(AN669="","",IF(OR(AO669&lt;&gt;"OK", AP669&lt;&gt;"OK", AQ669&lt;&gt;"OK"), "⚠️ REVISAR", "OK"))</f>
        <v/>
      </c>
    </row>
    <row r="670">
      <c r="A670" s="79">
        <f>IF('Ordenes_Odoo'!A670="","",'Ordenes_Odoo'!A670)</f>
        <v/>
      </c>
      <c r="B670" s="80">
        <f>IF('Ordenes_Odoo'!B670="","",'Ordenes_Odoo'!B670)</f>
        <v/>
      </c>
      <c r="C670" s="79">
        <f>IF('Ordenes_Odoo'!C670="","",'Ordenes_Odoo'!C670)</f>
        <v/>
      </c>
      <c r="D670" s="79">
        <f>IF('Ordenes_Odoo'!D670="","",'Ordenes_Odoo'!D670)</f>
        <v/>
      </c>
      <c r="E670" s="79">
        <f>IF('Ordenes_Odoo'!E670="","",'Ordenes_Odoo'!E670)</f>
        <v/>
      </c>
      <c r="F670" s="79">
        <f>IF('Ordenes_Odoo'!F670="","",'Ordenes_Odoo'!F670)</f>
        <v/>
      </c>
      <c r="G670" s="79">
        <f>IF('Ordenes_Odoo'!G670="","",'Ordenes_Odoo'!G670)</f>
        <v/>
      </c>
      <c r="H670" s="79">
        <f>IF('Ordenes_Odoo'!H670="","",'Ordenes_Odoo'!H670)</f>
        <v/>
      </c>
      <c r="I670" s="79">
        <f>IF('Ordenes_Odoo'!I670="","",'Ordenes_Odoo'!I670)</f>
        <v/>
      </c>
      <c r="J670" s="79">
        <f>IF('Ordenes_Odoo'!J670="","",'Ordenes_Odoo'!J670)</f>
        <v/>
      </c>
      <c r="K670" s="81">
        <f>IF('Ordenes_Odoo'!K670="","",'Ordenes_Odoo'!K670)</f>
        <v/>
      </c>
      <c r="L670" s="81">
        <f>IF('Ordenes_Odoo'!L670="","",'Ordenes_Odoo'!L670)</f>
        <v/>
      </c>
      <c r="M670" s="79">
        <f>IF('Ordenes_Odoo'!M670="","",'Ordenes_Odoo'!M670)</f>
        <v/>
      </c>
      <c r="N670" s="79">
        <f>IF('Ordenes_Odoo'!N670="","",'Ordenes_Odoo'!N670)</f>
        <v/>
      </c>
      <c r="O670" s="81">
        <f>IF('Ordenes_Odoo'!O670="","",'Ordenes_Odoo'!O670)</f>
        <v/>
      </c>
      <c r="P670" s="81">
        <f>IF('Ordenes_Odoo'!P670="","",'Ordenes_Odoo'!P670)</f>
        <v/>
      </c>
      <c r="Q670" s="79">
        <f>IF(A670="","",IFERROR(INDEX(Facturas_Odoo!$B:$B, MATCH(A670, Facturas_Odoo!$D:$D, 0)), "Sin Factura"))</f>
        <v/>
      </c>
      <c r="R670" s="80">
        <f>IF(Q670="Sin Factura","",IFERROR(INDEX(Facturas_Odoo!$A:$A, MATCH(Q670, Facturas_Odoo!$B:$B, 0)), ""))</f>
        <v/>
      </c>
      <c r="S670" s="79">
        <f>IF(Q670="Sin Factura","",IFERROR(_xlfn.XLOOKUP(1, (Facturas_Odoo!$D:$D=A670) * (Facturas_Odoo!$K:$K=I670), Facturas_Odoo!$L:$L, ""), ""))</f>
        <v/>
      </c>
      <c r="T670" s="81">
        <f>IF(Q670="Sin Factura",0,IFERROR(_xlfn.XLOOKUP(1, (Facturas_Odoo!$D:$D=A670) * (Facturas_Odoo!$K:$K=I670), Facturas_Odoo!$M:$M, 0), 0))</f>
        <v/>
      </c>
      <c r="U670" s="79">
        <f>IF(Q670="Sin Factura",0,IFERROR(_xlfn.XLOOKUP(1, (Facturas_Odoo!$D:$D=A670) * (Facturas_Odoo!$K:$K=I670), Facturas_Odoo!$N:$N, 0), 0))</f>
        <v/>
      </c>
      <c r="V670" s="79">
        <f>IF(Q670="Sin Factura",0,IFERROR(_xlfn.XLOOKUP(1, (Facturas_Odoo!$D:$D=A670) * (Facturas_Odoo!$K:$K=I670), Facturas_Odoo!$O:$O, 0), 0))</f>
        <v/>
      </c>
      <c r="W670" s="81">
        <f>IF(Q670="Sin Factura",0,IFERROR(_xlfn.XLOOKUP(1, (Facturas_Odoo!$D:$D=A670) * (Facturas_Odoo!$K:$K=I670), Facturas_Odoo!$Q:$Q, 0), 0))</f>
        <v/>
      </c>
      <c r="X670" s="79">
        <f>IF(OR(Q670="Sin Factura",Q670=""),"",IFERROR(INDEX(Pagos_Odoo!$B:$B, MATCH(Q670, Pagos_Odoo!$I:$I, 0)), "Sin Pago"))</f>
        <v/>
      </c>
      <c r="Y670" s="79">
        <f>IF(X670="Sin Pago","",IFERROR(INDEX(Pagos_Odoo!$C:$C, MATCH(X670, Pagos_Odoo!$B:$B, 0)), ""))</f>
        <v/>
      </c>
      <c r="Z670" s="80">
        <f>IF(X670="Sin Pago","",IFERROR(INDEX(Pagos_Odoo!$A:$A, MATCH(X670, Pagos_Odoo!$B:$B, 0)), ""))</f>
        <v/>
      </c>
      <c r="AA670" s="79">
        <f>IF(X670="Sin Pago","",IFERROR(INDEX(Pagos_Odoo!$F:$F, MATCH(X670, Pagos_Odoo!$B:$B, 0)), ""))</f>
        <v/>
      </c>
      <c r="AB670" s="81">
        <f>IF(X670="Sin Pago",0,IFERROR(INDEX(Pagos_Odoo!$E:$E, MATCH(X670, Pagos_Odoo!$B:$B, 0)), 0))</f>
        <v/>
      </c>
      <c r="AC670" s="79">
        <f>IF(X670="Sin Pago","",IFERROR(INDEX(Pagos_Odoo!$G:$G, MATCH(X670, Pagos_Odoo!$B:$B, 0)), ""))</f>
        <v/>
      </c>
      <c r="AD670" s="82" t="n">
        <v>0</v>
      </c>
      <c r="AE670" s="82" t="n"/>
      <c r="AF670" s="82" t="n"/>
      <c r="AG670" s="82">
        <f>IF(AN670="","",AD670+AE670+AF670)</f>
        <v/>
      </c>
      <c r="AH670" s="81">
        <f>IF(AN670="","",P670*(1-AG670))</f>
        <v/>
      </c>
      <c r="AI670" s="81">
        <f>IF(AN670="","",IF(Q670="Sin Factura",0,IFERROR(INDEX(Facturas_Odoo!$H:$H, MATCH(Q670, Facturas_Odoo!$B:$B, 0)), 0)*(1-AG670)))</f>
        <v/>
      </c>
      <c r="AJ670" s="81">
        <f>IF(AN670="","",_xlfn.LET(idVenta, AN670&amp;"",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70" s="81">
        <f>IF(AN670="","",AH670-AJ670)</f>
        <v/>
      </c>
      <c r="AL670" s="81">
        <f>IF(AN670="","",IF(Q670="Sin Factura","",AI670-AJ670))</f>
        <v/>
      </c>
      <c r="AM670" s="81">
        <f>IF(AN670="","",IF(Q670="Sin Factura",0,P670-IFERROR(INDEX(Facturas_Odoo!$H:$H, MATCH(Q670, Facturas_Odoo!$B:$B, 0)), 0)))</f>
        <v/>
      </c>
      <c r="AN670" s="79">
        <f>IF(AND(A670="", J670=""), "", IF(A670&lt;&gt;"", VALUE(MID(A670,2,LEN(A670))), AN669))</f>
        <v/>
      </c>
      <c r="AO670" s="79">
        <f>IF(AN670="","",IF(AD670=0,"OK",_xlfn.LET(monedaPago, IF(AA670="","USD",AA670), limitePermitido, IFERROR(VLOOKUP(monedaPago, Configuración!$A$2:$B$3, 2, FALSE), 0.15), IF(AD670&gt;limitePermitido, "ALERTA: EXCESO (" &amp; TEXT(limitePermitido, "0%") &amp; " máx)", "OK"))))</f>
        <v/>
      </c>
      <c r="AP670" s="79">
        <f>IF(AN670="","",IF(AE670=0,"OK",_xlfn.LET(fechaPago, Z670, fechaFactura, R670, diasCredito, IF(E670="Pago inmediato", 0, IFERROR(VALUE(MID(E670, 1, SEARCH(" ", E670)-1)),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70" s="79">
        <f>IF(AN670="","",IF(AND(N670&gt;0, AG670&gt;0), IF(Configuración!$K$2="NO", "ALERTA: DESCUENTO DOBLE NO PERMITIDO", "OK"), "OK"))</f>
        <v/>
      </c>
      <c r="AR670" s="79">
        <f>IF(AN670="","",IF(OR(AO670&lt;&gt;"OK", AP670&lt;&gt;"OK", AQ670&lt;&gt;"OK"), "⚠️ REVISAR", "OK"))</f>
        <v/>
      </c>
    </row>
    <row r="671">
      <c r="A671" s="79">
        <f>IF('Ordenes_Odoo'!A671="","",'Ordenes_Odoo'!A671)</f>
        <v/>
      </c>
      <c r="B671" s="80">
        <f>IF('Ordenes_Odoo'!B671="","",'Ordenes_Odoo'!B671)</f>
        <v/>
      </c>
      <c r="C671" s="79">
        <f>IF('Ordenes_Odoo'!C671="","",'Ordenes_Odoo'!C671)</f>
        <v/>
      </c>
      <c r="D671" s="79">
        <f>IF('Ordenes_Odoo'!D671="","",'Ordenes_Odoo'!D671)</f>
        <v/>
      </c>
      <c r="E671" s="79">
        <f>IF('Ordenes_Odoo'!E671="","",'Ordenes_Odoo'!E671)</f>
        <v/>
      </c>
      <c r="F671" s="79">
        <f>IF('Ordenes_Odoo'!F671="","",'Ordenes_Odoo'!F671)</f>
        <v/>
      </c>
      <c r="G671" s="79">
        <f>IF('Ordenes_Odoo'!G671="","",'Ordenes_Odoo'!G671)</f>
        <v/>
      </c>
      <c r="H671" s="79">
        <f>IF('Ordenes_Odoo'!H671="","",'Ordenes_Odoo'!H671)</f>
        <v/>
      </c>
      <c r="I671" s="79">
        <f>IF('Ordenes_Odoo'!I671="","",'Ordenes_Odoo'!I671)</f>
        <v/>
      </c>
      <c r="J671" s="79">
        <f>IF('Ordenes_Odoo'!J671="","",'Ordenes_Odoo'!J671)</f>
        <v/>
      </c>
      <c r="K671" s="81">
        <f>IF('Ordenes_Odoo'!K671="","",'Ordenes_Odoo'!K671)</f>
        <v/>
      </c>
      <c r="L671" s="81">
        <f>IF('Ordenes_Odoo'!L671="","",'Ordenes_Odoo'!L671)</f>
        <v/>
      </c>
      <c r="M671" s="79">
        <f>IF('Ordenes_Odoo'!M671="","",'Ordenes_Odoo'!M671)</f>
        <v/>
      </c>
      <c r="N671" s="79">
        <f>IF('Ordenes_Odoo'!N671="","",'Ordenes_Odoo'!N671)</f>
        <v/>
      </c>
      <c r="O671" s="81">
        <f>IF('Ordenes_Odoo'!O671="","",'Ordenes_Odoo'!O671)</f>
        <v/>
      </c>
      <c r="P671" s="81">
        <f>IF('Ordenes_Odoo'!P671="","",'Ordenes_Odoo'!P671)</f>
        <v/>
      </c>
      <c r="Q671" s="79">
        <f>IF(A671="","",IFERROR(INDEX(Facturas_Odoo!$B:$B, MATCH(A671, Facturas_Odoo!$D:$D, 0)), "Sin Factura"))</f>
        <v/>
      </c>
      <c r="R671" s="80">
        <f>IF(Q671="Sin Factura","",IFERROR(INDEX(Facturas_Odoo!$A:$A, MATCH(Q671, Facturas_Odoo!$B:$B, 0)), ""))</f>
        <v/>
      </c>
      <c r="S671" s="79">
        <f>IF(Q671="Sin Factura","",IFERROR(_xlfn.XLOOKUP(1, (Facturas_Odoo!$D:$D=A671) * (Facturas_Odoo!$K:$K=I671), Facturas_Odoo!$L:$L, ""), ""))</f>
        <v/>
      </c>
      <c r="T671" s="81">
        <f>IF(Q671="Sin Factura",0,IFERROR(_xlfn.XLOOKUP(1, (Facturas_Odoo!$D:$D=A671) * (Facturas_Odoo!$K:$K=I671), Facturas_Odoo!$M:$M, 0), 0))</f>
        <v/>
      </c>
      <c r="U671" s="79">
        <f>IF(Q671="Sin Factura",0,IFERROR(_xlfn.XLOOKUP(1, (Facturas_Odoo!$D:$D=A671) * (Facturas_Odoo!$K:$K=I671), Facturas_Odoo!$N:$N, 0), 0))</f>
        <v/>
      </c>
      <c r="V671" s="79">
        <f>IF(Q671="Sin Factura",0,IFERROR(_xlfn.XLOOKUP(1, (Facturas_Odoo!$D:$D=A671) * (Facturas_Odoo!$K:$K=I671), Facturas_Odoo!$O:$O, 0), 0))</f>
        <v/>
      </c>
      <c r="W671" s="81">
        <f>IF(Q671="Sin Factura",0,IFERROR(_xlfn.XLOOKUP(1, (Facturas_Odoo!$D:$D=A671) * (Facturas_Odoo!$K:$K=I671), Facturas_Odoo!$Q:$Q, 0), 0))</f>
        <v/>
      </c>
      <c r="X671" s="79">
        <f>IF(OR(Q671="Sin Factura",Q671=""),"",IFERROR(INDEX(Pagos_Odoo!$B:$B, MATCH(Q671, Pagos_Odoo!$I:$I, 0)), "Sin Pago"))</f>
        <v/>
      </c>
      <c r="Y671" s="79">
        <f>IF(X671="Sin Pago","",IFERROR(INDEX(Pagos_Odoo!$C:$C, MATCH(X671, Pagos_Odoo!$B:$B, 0)), ""))</f>
        <v/>
      </c>
      <c r="Z671" s="80">
        <f>IF(X671="Sin Pago","",IFERROR(INDEX(Pagos_Odoo!$A:$A, MATCH(X671, Pagos_Odoo!$B:$B, 0)), ""))</f>
        <v/>
      </c>
      <c r="AA671" s="79">
        <f>IF(X671="Sin Pago","",IFERROR(INDEX(Pagos_Odoo!$F:$F, MATCH(X671, Pagos_Odoo!$B:$B, 0)), ""))</f>
        <v/>
      </c>
      <c r="AB671" s="81">
        <f>IF(X671="Sin Pago",0,IFERROR(INDEX(Pagos_Odoo!$E:$E, MATCH(X671, Pagos_Odoo!$B:$B, 0)), 0))</f>
        <v/>
      </c>
      <c r="AC671" s="79">
        <f>IF(X671="Sin Pago","",IFERROR(INDEX(Pagos_Odoo!$G:$G, MATCH(X671, Pagos_Odoo!$B:$B, 0)), ""))</f>
        <v/>
      </c>
      <c r="AD671" s="82" t="n">
        <v>0</v>
      </c>
      <c r="AE671" s="82" t="n"/>
      <c r="AF671" s="82" t="n"/>
      <c r="AG671" s="82">
        <f>IF(AN671="","",AD671+AE671+AF671)</f>
        <v/>
      </c>
      <c r="AH671" s="81">
        <f>IF(AN671="","",P671*(1-AG671))</f>
        <v/>
      </c>
      <c r="AI671" s="81">
        <f>IF(AN671="","",IF(Q671="Sin Factura",0,IFERROR(INDEX(Facturas_Odoo!$H:$H, MATCH(Q671, Facturas_Odoo!$B:$B, 0)), 0)*(1-AG671)))</f>
        <v/>
      </c>
      <c r="AJ671" s="81">
        <f>IF(AN671="","",_xlfn.LET(idVenta, AN671&amp;"",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71" s="81">
        <f>IF(AN671="","",AH671-AJ671)</f>
        <v/>
      </c>
      <c r="AL671" s="81">
        <f>IF(AN671="","",IF(Q671="Sin Factura","",AI671-AJ671))</f>
        <v/>
      </c>
      <c r="AM671" s="81">
        <f>IF(AN671="","",IF(Q671="Sin Factura",0,P671-IFERROR(INDEX(Facturas_Odoo!$H:$H, MATCH(Q671, Facturas_Odoo!$B:$B, 0)), 0)))</f>
        <v/>
      </c>
      <c r="AN671" s="79">
        <f>IF(AND(A671="", J671=""), "", IF(A671&lt;&gt;"", VALUE(MID(A671,2,LEN(A671))), AN670))</f>
        <v/>
      </c>
      <c r="AO671" s="79">
        <f>IF(AN671="","",IF(AD671=0,"OK",_xlfn.LET(monedaPago, IF(AA671="","USD",AA671), limitePermitido, IFERROR(VLOOKUP(monedaPago, Configuración!$A$2:$B$3, 2, FALSE), 0.15), IF(AD671&gt;limitePermitido, "ALERTA: EXCESO (" &amp; TEXT(limitePermitido, "0%") &amp; " máx)", "OK"))))</f>
        <v/>
      </c>
      <c r="AP671" s="79">
        <f>IF(AN671="","",IF(AE671=0,"OK",_xlfn.LET(fechaPago, Z671, fechaFactura, R671, diasCredito, IF(E671="Pago inmediato", 0, IFERROR(VALUE(MID(E671, 1, SEARCH(" ", E671)-1)),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71" s="79">
        <f>IF(AN671="","",IF(AND(N671&gt;0, AG671&gt;0), IF(Configuración!$K$2="NO", "ALERTA: DESCUENTO DOBLE NO PERMITIDO", "OK"), "OK"))</f>
        <v/>
      </c>
      <c r="AR671" s="79">
        <f>IF(AN671="","",IF(OR(AO671&lt;&gt;"OK", AP671&lt;&gt;"OK", AQ671&lt;&gt;"OK"), "⚠️ REVISAR", "OK"))</f>
        <v/>
      </c>
    </row>
    <row r="672">
      <c r="A672" s="79">
        <f>IF('Ordenes_Odoo'!A672="","",'Ordenes_Odoo'!A672)</f>
        <v/>
      </c>
      <c r="B672" s="80">
        <f>IF('Ordenes_Odoo'!B672="","",'Ordenes_Odoo'!B672)</f>
        <v/>
      </c>
      <c r="C672" s="79">
        <f>IF('Ordenes_Odoo'!C672="","",'Ordenes_Odoo'!C672)</f>
        <v/>
      </c>
      <c r="D672" s="79">
        <f>IF('Ordenes_Odoo'!D672="","",'Ordenes_Odoo'!D672)</f>
        <v/>
      </c>
      <c r="E672" s="79">
        <f>IF('Ordenes_Odoo'!E672="","",'Ordenes_Odoo'!E672)</f>
        <v/>
      </c>
      <c r="F672" s="79">
        <f>IF('Ordenes_Odoo'!F672="","",'Ordenes_Odoo'!F672)</f>
        <v/>
      </c>
      <c r="G672" s="79">
        <f>IF('Ordenes_Odoo'!G672="","",'Ordenes_Odoo'!G672)</f>
        <v/>
      </c>
      <c r="H672" s="79">
        <f>IF('Ordenes_Odoo'!H672="","",'Ordenes_Odoo'!H672)</f>
        <v/>
      </c>
      <c r="I672" s="79">
        <f>IF('Ordenes_Odoo'!I672="","",'Ordenes_Odoo'!I672)</f>
        <v/>
      </c>
      <c r="J672" s="79">
        <f>IF('Ordenes_Odoo'!J672="","",'Ordenes_Odoo'!J672)</f>
        <v/>
      </c>
      <c r="K672" s="81">
        <f>IF('Ordenes_Odoo'!K672="","",'Ordenes_Odoo'!K672)</f>
        <v/>
      </c>
      <c r="L672" s="81">
        <f>IF('Ordenes_Odoo'!L672="","",'Ordenes_Odoo'!L672)</f>
        <v/>
      </c>
      <c r="M672" s="79">
        <f>IF('Ordenes_Odoo'!M672="","",'Ordenes_Odoo'!M672)</f>
        <v/>
      </c>
      <c r="N672" s="79">
        <f>IF('Ordenes_Odoo'!N672="","",'Ordenes_Odoo'!N672)</f>
        <v/>
      </c>
      <c r="O672" s="81">
        <f>IF('Ordenes_Odoo'!O672="","",'Ordenes_Odoo'!O672)</f>
        <v/>
      </c>
      <c r="P672" s="81">
        <f>IF('Ordenes_Odoo'!P672="","",'Ordenes_Odoo'!P672)</f>
        <v/>
      </c>
      <c r="Q672" s="79">
        <f>IF(A672="","",IFERROR(INDEX(Facturas_Odoo!$B:$B, MATCH(A672, Facturas_Odoo!$D:$D, 0)), "Sin Factura"))</f>
        <v/>
      </c>
      <c r="R672" s="80">
        <f>IF(Q672="Sin Factura","",IFERROR(INDEX(Facturas_Odoo!$A:$A, MATCH(Q672, Facturas_Odoo!$B:$B, 0)), ""))</f>
        <v/>
      </c>
      <c r="S672" s="79">
        <f>IF(Q672="Sin Factura","",IFERROR(_xlfn.XLOOKUP(1, (Facturas_Odoo!$D:$D=A672) * (Facturas_Odoo!$K:$K=I672), Facturas_Odoo!$L:$L, ""), ""))</f>
        <v/>
      </c>
      <c r="T672" s="81">
        <f>IF(Q672="Sin Factura",0,IFERROR(_xlfn.XLOOKUP(1, (Facturas_Odoo!$D:$D=A672) * (Facturas_Odoo!$K:$K=I672), Facturas_Odoo!$M:$M, 0), 0))</f>
        <v/>
      </c>
      <c r="U672" s="79">
        <f>IF(Q672="Sin Factura",0,IFERROR(_xlfn.XLOOKUP(1, (Facturas_Odoo!$D:$D=A672) * (Facturas_Odoo!$K:$K=I672), Facturas_Odoo!$N:$N, 0), 0))</f>
        <v/>
      </c>
      <c r="V672" s="79">
        <f>IF(Q672="Sin Factura",0,IFERROR(_xlfn.XLOOKUP(1, (Facturas_Odoo!$D:$D=A672) * (Facturas_Odoo!$K:$K=I672), Facturas_Odoo!$O:$O, 0), 0))</f>
        <v/>
      </c>
      <c r="W672" s="81">
        <f>IF(Q672="Sin Factura",0,IFERROR(_xlfn.XLOOKUP(1, (Facturas_Odoo!$D:$D=A672) * (Facturas_Odoo!$K:$K=I672), Facturas_Odoo!$Q:$Q, 0), 0))</f>
        <v/>
      </c>
      <c r="X672" s="79">
        <f>IF(OR(Q672="Sin Factura",Q672=""),"",IFERROR(INDEX(Pagos_Odoo!$B:$B, MATCH(Q672, Pagos_Odoo!$I:$I, 0)), "Sin Pago"))</f>
        <v/>
      </c>
      <c r="Y672" s="79">
        <f>IF(X672="Sin Pago","",IFERROR(INDEX(Pagos_Odoo!$C:$C, MATCH(X672, Pagos_Odoo!$B:$B, 0)), ""))</f>
        <v/>
      </c>
      <c r="Z672" s="80">
        <f>IF(X672="Sin Pago","",IFERROR(INDEX(Pagos_Odoo!$A:$A, MATCH(X672, Pagos_Odoo!$B:$B, 0)), ""))</f>
        <v/>
      </c>
      <c r="AA672" s="79">
        <f>IF(X672="Sin Pago","",IFERROR(INDEX(Pagos_Odoo!$F:$F, MATCH(X672, Pagos_Odoo!$B:$B, 0)), ""))</f>
        <v/>
      </c>
      <c r="AB672" s="81">
        <f>IF(X672="Sin Pago",0,IFERROR(INDEX(Pagos_Odoo!$E:$E, MATCH(X672, Pagos_Odoo!$B:$B, 0)), 0))</f>
        <v/>
      </c>
      <c r="AC672" s="79">
        <f>IF(X672="Sin Pago","",IFERROR(INDEX(Pagos_Odoo!$G:$G, MATCH(X672, Pagos_Odoo!$B:$B, 0)), ""))</f>
        <v/>
      </c>
      <c r="AD672" s="82" t="n">
        <v>0</v>
      </c>
      <c r="AE672" s="82" t="n"/>
      <c r="AF672" s="82" t="n"/>
      <c r="AG672" s="82">
        <f>IF(AN672="","",AD672+AE672+AF672)</f>
        <v/>
      </c>
      <c r="AH672" s="81">
        <f>IF(AN672="","",P672*(1-AG672))</f>
        <v/>
      </c>
      <c r="AI672" s="81">
        <f>IF(AN672="","",IF(Q672="Sin Factura",0,IFERROR(INDEX(Facturas_Odoo!$H:$H, MATCH(Q672, Facturas_Odoo!$B:$B, 0)), 0)*(1-AG672)))</f>
        <v/>
      </c>
      <c r="AJ672" s="81">
        <f>IF(AN672="","",_xlfn.LET(idVenta, AN672&amp;"",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72" s="81">
        <f>IF(AN672="","",AH672-AJ672)</f>
        <v/>
      </c>
      <c r="AL672" s="81">
        <f>IF(AN672="","",IF(Q672="Sin Factura","",AI672-AJ672))</f>
        <v/>
      </c>
      <c r="AM672" s="81">
        <f>IF(AN672="","",IF(Q672="Sin Factura",0,P672-IFERROR(INDEX(Facturas_Odoo!$H:$H, MATCH(Q672, Facturas_Odoo!$B:$B, 0)), 0)))</f>
        <v/>
      </c>
      <c r="AN672" s="79">
        <f>IF(AND(A672="", J672=""), "", IF(A672&lt;&gt;"", VALUE(MID(A672,2,LEN(A672))), AN671))</f>
        <v/>
      </c>
      <c r="AO672" s="79">
        <f>IF(AN672="","",IF(AD672=0,"OK",_xlfn.LET(monedaPago, IF(AA672="","USD",AA672), limitePermitido, IFERROR(VLOOKUP(monedaPago, Configuración!$A$2:$B$3, 2, FALSE), 0.15), IF(AD672&gt;limitePermitido, "ALERTA: EXCESO (" &amp; TEXT(limitePermitido, "0%") &amp; " máx)", "OK"))))</f>
        <v/>
      </c>
      <c r="AP672" s="79">
        <f>IF(AN672="","",IF(AE672=0,"OK",_xlfn.LET(fechaPago, Z672, fechaFactura, R672, diasCredito, IF(E672="Pago inmediato", 0, IFERROR(VALUE(MID(E672, 1, SEARCH(" ", E672)-1)),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72" s="79">
        <f>IF(AN672="","",IF(AND(N672&gt;0, AG672&gt;0), IF(Configuración!$K$2="NO", "ALERTA: DESCUENTO DOBLE NO PERMITIDO", "OK"), "OK"))</f>
        <v/>
      </c>
      <c r="AR672" s="79">
        <f>IF(AN672="","",IF(OR(AO672&lt;&gt;"OK", AP672&lt;&gt;"OK", AQ672&lt;&gt;"OK"), "⚠️ REVISAR", "OK"))</f>
        <v/>
      </c>
    </row>
    <row r="673">
      <c r="A673" s="79">
        <f>IF('Ordenes_Odoo'!A673="","",'Ordenes_Odoo'!A673)</f>
        <v/>
      </c>
      <c r="B673" s="80">
        <f>IF('Ordenes_Odoo'!B673="","",'Ordenes_Odoo'!B673)</f>
        <v/>
      </c>
      <c r="C673" s="79">
        <f>IF('Ordenes_Odoo'!C673="","",'Ordenes_Odoo'!C673)</f>
        <v/>
      </c>
      <c r="D673" s="79">
        <f>IF('Ordenes_Odoo'!D673="","",'Ordenes_Odoo'!D673)</f>
        <v/>
      </c>
      <c r="E673" s="79">
        <f>IF('Ordenes_Odoo'!E673="","",'Ordenes_Odoo'!E673)</f>
        <v/>
      </c>
      <c r="F673" s="79">
        <f>IF('Ordenes_Odoo'!F673="","",'Ordenes_Odoo'!F673)</f>
        <v/>
      </c>
      <c r="G673" s="79">
        <f>IF('Ordenes_Odoo'!G673="","",'Ordenes_Odoo'!G673)</f>
        <v/>
      </c>
      <c r="H673" s="79">
        <f>IF('Ordenes_Odoo'!H673="","",'Ordenes_Odoo'!H673)</f>
        <v/>
      </c>
      <c r="I673" s="79">
        <f>IF('Ordenes_Odoo'!I673="","",'Ordenes_Odoo'!I673)</f>
        <v/>
      </c>
      <c r="J673" s="79">
        <f>IF('Ordenes_Odoo'!J673="","",'Ordenes_Odoo'!J673)</f>
        <v/>
      </c>
      <c r="K673" s="81">
        <f>IF('Ordenes_Odoo'!K673="","",'Ordenes_Odoo'!K673)</f>
        <v/>
      </c>
      <c r="L673" s="81">
        <f>IF('Ordenes_Odoo'!L673="","",'Ordenes_Odoo'!L673)</f>
        <v/>
      </c>
      <c r="M673" s="79">
        <f>IF('Ordenes_Odoo'!M673="","",'Ordenes_Odoo'!M673)</f>
        <v/>
      </c>
      <c r="N673" s="79">
        <f>IF('Ordenes_Odoo'!N673="","",'Ordenes_Odoo'!N673)</f>
        <v/>
      </c>
      <c r="O673" s="81">
        <f>IF('Ordenes_Odoo'!O673="","",'Ordenes_Odoo'!O673)</f>
        <v/>
      </c>
      <c r="P673" s="81">
        <f>IF('Ordenes_Odoo'!P673="","",'Ordenes_Odoo'!P673)</f>
        <v/>
      </c>
      <c r="Q673" s="79">
        <f>IF(A673="","",IFERROR(INDEX(Facturas_Odoo!$B:$B, MATCH(A673, Facturas_Odoo!$D:$D, 0)), "Sin Factura"))</f>
        <v/>
      </c>
      <c r="R673" s="80">
        <f>IF(Q673="Sin Factura","",IFERROR(INDEX(Facturas_Odoo!$A:$A, MATCH(Q673, Facturas_Odoo!$B:$B, 0)), ""))</f>
        <v/>
      </c>
      <c r="S673" s="79">
        <f>IF(Q673="Sin Factura","",IFERROR(_xlfn.XLOOKUP(1, (Facturas_Odoo!$D:$D=A673) * (Facturas_Odoo!$K:$K=I673), Facturas_Odoo!$L:$L, ""), ""))</f>
        <v/>
      </c>
      <c r="T673" s="81">
        <f>IF(Q673="Sin Factura",0,IFERROR(_xlfn.XLOOKUP(1, (Facturas_Odoo!$D:$D=A673) * (Facturas_Odoo!$K:$K=I673), Facturas_Odoo!$M:$M, 0), 0))</f>
        <v/>
      </c>
      <c r="U673" s="79">
        <f>IF(Q673="Sin Factura",0,IFERROR(_xlfn.XLOOKUP(1, (Facturas_Odoo!$D:$D=A673) * (Facturas_Odoo!$K:$K=I673), Facturas_Odoo!$N:$N, 0), 0))</f>
        <v/>
      </c>
      <c r="V673" s="79">
        <f>IF(Q673="Sin Factura",0,IFERROR(_xlfn.XLOOKUP(1, (Facturas_Odoo!$D:$D=A673) * (Facturas_Odoo!$K:$K=I673), Facturas_Odoo!$O:$O, 0), 0))</f>
        <v/>
      </c>
      <c r="W673" s="81">
        <f>IF(Q673="Sin Factura",0,IFERROR(_xlfn.XLOOKUP(1, (Facturas_Odoo!$D:$D=A673) * (Facturas_Odoo!$K:$K=I673), Facturas_Odoo!$Q:$Q, 0), 0))</f>
        <v/>
      </c>
      <c r="X673" s="79">
        <f>IF(OR(Q673="Sin Factura",Q673=""),"",IFERROR(INDEX(Pagos_Odoo!$B:$B, MATCH(Q673, Pagos_Odoo!$I:$I, 0)), "Sin Pago"))</f>
        <v/>
      </c>
      <c r="Y673" s="79">
        <f>IF(X673="Sin Pago","",IFERROR(INDEX(Pagos_Odoo!$C:$C, MATCH(X673, Pagos_Odoo!$B:$B, 0)), ""))</f>
        <v/>
      </c>
      <c r="Z673" s="80">
        <f>IF(X673="Sin Pago","",IFERROR(INDEX(Pagos_Odoo!$A:$A, MATCH(X673, Pagos_Odoo!$B:$B, 0)), ""))</f>
        <v/>
      </c>
      <c r="AA673" s="79">
        <f>IF(X673="Sin Pago","",IFERROR(INDEX(Pagos_Odoo!$F:$F, MATCH(X673, Pagos_Odoo!$B:$B, 0)), ""))</f>
        <v/>
      </c>
      <c r="AB673" s="81">
        <f>IF(X673="Sin Pago",0,IFERROR(INDEX(Pagos_Odoo!$E:$E, MATCH(X673, Pagos_Odoo!$B:$B, 0)), 0))</f>
        <v/>
      </c>
      <c r="AC673" s="79">
        <f>IF(X673="Sin Pago","",IFERROR(INDEX(Pagos_Odoo!$G:$G, MATCH(X673, Pagos_Odoo!$B:$B, 0)), ""))</f>
        <v/>
      </c>
      <c r="AD673" s="82" t="n">
        <v>0</v>
      </c>
      <c r="AE673" s="82" t="n"/>
      <c r="AF673" s="82" t="n"/>
      <c r="AG673" s="82">
        <f>IF(AN673="","",AD673+AE673+AF673)</f>
        <v/>
      </c>
      <c r="AH673" s="81">
        <f>IF(AN673="","",P673*(1-AG673))</f>
        <v/>
      </c>
      <c r="AI673" s="81">
        <f>IF(AN673="","",IF(Q673="Sin Factura",0,IFERROR(INDEX(Facturas_Odoo!$H:$H, MATCH(Q673, Facturas_Odoo!$B:$B, 0)), 0)*(1-AG673)))</f>
        <v/>
      </c>
      <c r="AJ673" s="81">
        <f>IF(AN673="","",_xlfn.LET(idVenta, AN673&amp;"",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73" s="81">
        <f>IF(AN673="","",AH673-AJ673)</f>
        <v/>
      </c>
      <c r="AL673" s="81">
        <f>IF(AN673="","",IF(Q673="Sin Factura","",AI673-AJ673))</f>
        <v/>
      </c>
      <c r="AM673" s="81">
        <f>IF(AN673="","",IF(Q673="Sin Factura",0,P673-IFERROR(INDEX(Facturas_Odoo!$H:$H, MATCH(Q673, Facturas_Odoo!$B:$B, 0)), 0)))</f>
        <v/>
      </c>
      <c r="AN673" s="79">
        <f>IF(AND(A673="", J673=""), "", IF(A673&lt;&gt;"", VALUE(MID(A673,2,LEN(A673))), AN672))</f>
        <v/>
      </c>
      <c r="AO673" s="79">
        <f>IF(AN673="","",IF(AD673=0,"OK",_xlfn.LET(monedaPago, IF(AA673="","USD",AA673), limitePermitido, IFERROR(VLOOKUP(monedaPago, Configuración!$A$2:$B$3, 2, FALSE), 0.15), IF(AD673&gt;limitePermitido, "ALERTA: EXCESO (" &amp; TEXT(limitePermitido, "0%") &amp; " máx)", "OK"))))</f>
        <v/>
      </c>
      <c r="AP673" s="79">
        <f>IF(AN673="","",IF(AE673=0,"OK",_xlfn.LET(fechaPago, Z673, fechaFactura, R673, diasCredito, IF(E673="Pago inmediato", 0, IFERROR(VALUE(MID(E673, 1, SEARCH(" ", E673)-1)),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73" s="79">
        <f>IF(AN673="","",IF(AND(N673&gt;0, AG673&gt;0), IF(Configuración!$K$2="NO", "ALERTA: DESCUENTO DOBLE NO PERMITIDO", "OK"), "OK"))</f>
        <v/>
      </c>
      <c r="AR673" s="79">
        <f>IF(AN673="","",IF(OR(AO673&lt;&gt;"OK", AP673&lt;&gt;"OK", AQ673&lt;&gt;"OK"), "⚠️ REVISAR", "OK"))</f>
        <v/>
      </c>
    </row>
    <row r="674">
      <c r="A674" s="79">
        <f>IF('Ordenes_Odoo'!A674="","",'Ordenes_Odoo'!A674)</f>
        <v/>
      </c>
      <c r="B674" s="80">
        <f>IF('Ordenes_Odoo'!B674="","",'Ordenes_Odoo'!B674)</f>
        <v/>
      </c>
      <c r="C674" s="79">
        <f>IF('Ordenes_Odoo'!C674="","",'Ordenes_Odoo'!C674)</f>
        <v/>
      </c>
      <c r="D674" s="79">
        <f>IF('Ordenes_Odoo'!D674="","",'Ordenes_Odoo'!D674)</f>
        <v/>
      </c>
      <c r="E674" s="79">
        <f>IF('Ordenes_Odoo'!E674="","",'Ordenes_Odoo'!E674)</f>
        <v/>
      </c>
      <c r="F674" s="79">
        <f>IF('Ordenes_Odoo'!F674="","",'Ordenes_Odoo'!F674)</f>
        <v/>
      </c>
      <c r="G674" s="79">
        <f>IF('Ordenes_Odoo'!G674="","",'Ordenes_Odoo'!G674)</f>
        <v/>
      </c>
      <c r="H674" s="79">
        <f>IF('Ordenes_Odoo'!H674="","",'Ordenes_Odoo'!H674)</f>
        <v/>
      </c>
      <c r="I674" s="79">
        <f>IF('Ordenes_Odoo'!I674="","",'Ordenes_Odoo'!I674)</f>
        <v/>
      </c>
      <c r="J674" s="79">
        <f>IF('Ordenes_Odoo'!J674="","",'Ordenes_Odoo'!J674)</f>
        <v/>
      </c>
      <c r="K674" s="81">
        <f>IF('Ordenes_Odoo'!K674="","",'Ordenes_Odoo'!K674)</f>
        <v/>
      </c>
      <c r="L674" s="81">
        <f>IF('Ordenes_Odoo'!L674="","",'Ordenes_Odoo'!L674)</f>
        <v/>
      </c>
      <c r="M674" s="79">
        <f>IF('Ordenes_Odoo'!M674="","",'Ordenes_Odoo'!M674)</f>
        <v/>
      </c>
      <c r="N674" s="79">
        <f>IF('Ordenes_Odoo'!N674="","",'Ordenes_Odoo'!N674)</f>
        <v/>
      </c>
      <c r="O674" s="81">
        <f>IF('Ordenes_Odoo'!O674="","",'Ordenes_Odoo'!O674)</f>
        <v/>
      </c>
      <c r="P674" s="81">
        <f>IF('Ordenes_Odoo'!P674="","",'Ordenes_Odoo'!P674)</f>
        <v/>
      </c>
      <c r="Q674" s="79">
        <f>IF(A674="","",IFERROR(INDEX(Facturas_Odoo!$B:$B, MATCH(A674, Facturas_Odoo!$D:$D, 0)), "Sin Factura"))</f>
        <v/>
      </c>
      <c r="R674" s="80">
        <f>IF(Q674="Sin Factura","",IFERROR(INDEX(Facturas_Odoo!$A:$A, MATCH(Q674, Facturas_Odoo!$B:$B, 0)), ""))</f>
        <v/>
      </c>
      <c r="S674" s="79">
        <f>IF(Q674="Sin Factura","",IFERROR(_xlfn.XLOOKUP(1, (Facturas_Odoo!$D:$D=A674) * (Facturas_Odoo!$K:$K=I674), Facturas_Odoo!$L:$L, ""), ""))</f>
        <v/>
      </c>
      <c r="T674" s="81">
        <f>IF(Q674="Sin Factura",0,IFERROR(_xlfn.XLOOKUP(1, (Facturas_Odoo!$D:$D=A674) * (Facturas_Odoo!$K:$K=I674), Facturas_Odoo!$M:$M, 0), 0))</f>
        <v/>
      </c>
      <c r="U674" s="79">
        <f>IF(Q674="Sin Factura",0,IFERROR(_xlfn.XLOOKUP(1, (Facturas_Odoo!$D:$D=A674) * (Facturas_Odoo!$K:$K=I674), Facturas_Odoo!$N:$N, 0), 0))</f>
        <v/>
      </c>
      <c r="V674" s="79">
        <f>IF(Q674="Sin Factura",0,IFERROR(_xlfn.XLOOKUP(1, (Facturas_Odoo!$D:$D=A674) * (Facturas_Odoo!$K:$K=I674), Facturas_Odoo!$O:$O, 0), 0))</f>
        <v/>
      </c>
      <c r="W674" s="81">
        <f>IF(Q674="Sin Factura",0,IFERROR(_xlfn.XLOOKUP(1, (Facturas_Odoo!$D:$D=A674) * (Facturas_Odoo!$K:$K=I674), Facturas_Odoo!$Q:$Q, 0), 0))</f>
        <v/>
      </c>
      <c r="X674" s="79">
        <f>IF(OR(Q674="Sin Factura",Q674=""),"",IFERROR(INDEX(Pagos_Odoo!$B:$B, MATCH(Q674, Pagos_Odoo!$I:$I, 0)), "Sin Pago"))</f>
        <v/>
      </c>
      <c r="Y674" s="79">
        <f>IF(X674="Sin Pago","",IFERROR(INDEX(Pagos_Odoo!$C:$C, MATCH(X674, Pagos_Odoo!$B:$B, 0)), ""))</f>
        <v/>
      </c>
      <c r="Z674" s="80">
        <f>IF(X674="Sin Pago","",IFERROR(INDEX(Pagos_Odoo!$A:$A, MATCH(X674, Pagos_Odoo!$B:$B, 0)), ""))</f>
        <v/>
      </c>
      <c r="AA674" s="79">
        <f>IF(X674="Sin Pago","",IFERROR(INDEX(Pagos_Odoo!$F:$F, MATCH(X674, Pagos_Odoo!$B:$B, 0)), ""))</f>
        <v/>
      </c>
      <c r="AB674" s="81">
        <f>IF(X674="Sin Pago",0,IFERROR(INDEX(Pagos_Odoo!$E:$E, MATCH(X674, Pagos_Odoo!$B:$B, 0)), 0))</f>
        <v/>
      </c>
      <c r="AC674" s="79">
        <f>IF(X674="Sin Pago","",IFERROR(INDEX(Pagos_Odoo!$G:$G, MATCH(X674, Pagos_Odoo!$B:$B, 0)), ""))</f>
        <v/>
      </c>
      <c r="AD674" s="82" t="n">
        <v>0</v>
      </c>
      <c r="AE674" s="82" t="n"/>
      <c r="AF674" s="82" t="n"/>
      <c r="AG674" s="82">
        <f>IF(AN674="","",AD674+AE674+AF674)</f>
        <v/>
      </c>
      <c r="AH674" s="81">
        <f>IF(AN674="","",P674*(1-AG674))</f>
        <v/>
      </c>
      <c r="AI674" s="81">
        <f>IF(AN674="","",IF(Q674="Sin Factura",0,IFERROR(INDEX(Facturas_Odoo!$H:$H, MATCH(Q674, Facturas_Odoo!$B:$B, 0)), 0)*(1-AG674)))</f>
        <v/>
      </c>
      <c r="AJ674" s="81">
        <f>IF(AN674="","",_xlfn.LET(idVenta, AN674&amp;"",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74" s="81">
        <f>IF(AN674="","",AH674-AJ674)</f>
        <v/>
      </c>
      <c r="AL674" s="81">
        <f>IF(AN674="","",IF(Q674="Sin Factura","",AI674-AJ674))</f>
        <v/>
      </c>
      <c r="AM674" s="81">
        <f>IF(AN674="","",IF(Q674="Sin Factura",0,P674-IFERROR(INDEX(Facturas_Odoo!$H:$H, MATCH(Q674, Facturas_Odoo!$B:$B, 0)), 0)))</f>
        <v/>
      </c>
      <c r="AN674" s="79">
        <f>IF(AND(A674="", J674=""), "", IF(A674&lt;&gt;"", VALUE(MID(A674,2,LEN(A674))), AN673))</f>
        <v/>
      </c>
      <c r="AO674" s="79">
        <f>IF(AN674="","",IF(AD674=0,"OK",_xlfn.LET(monedaPago, IF(AA674="","USD",AA674), limitePermitido, IFERROR(VLOOKUP(monedaPago, Configuración!$A$2:$B$3, 2, FALSE), 0.15), IF(AD674&gt;limitePermitido, "ALERTA: EXCESO (" &amp; TEXT(limitePermitido, "0%") &amp; " máx)", "OK"))))</f>
        <v/>
      </c>
      <c r="AP674" s="79">
        <f>IF(AN674="","",IF(AE674=0,"OK",_xlfn.LET(fechaPago, Z674, fechaFactura, R674, diasCredito, IF(E674="Pago inmediato", 0, IFERROR(VALUE(MID(E674, 1, SEARCH(" ", E674)-1)),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74" s="79">
        <f>IF(AN674="","",IF(AND(N674&gt;0, AG674&gt;0), IF(Configuración!$K$2="NO", "ALERTA: DESCUENTO DOBLE NO PERMITIDO", "OK"), "OK"))</f>
        <v/>
      </c>
      <c r="AR674" s="79">
        <f>IF(AN674="","",IF(OR(AO674&lt;&gt;"OK", AP674&lt;&gt;"OK", AQ674&lt;&gt;"OK"), "⚠️ REVISAR", "OK"))</f>
        <v/>
      </c>
    </row>
    <row r="675">
      <c r="A675" s="79">
        <f>IF('Ordenes_Odoo'!A675="","",'Ordenes_Odoo'!A675)</f>
        <v/>
      </c>
      <c r="B675" s="80">
        <f>IF('Ordenes_Odoo'!B675="","",'Ordenes_Odoo'!B675)</f>
        <v/>
      </c>
      <c r="C675" s="79">
        <f>IF('Ordenes_Odoo'!C675="","",'Ordenes_Odoo'!C675)</f>
        <v/>
      </c>
      <c r="D675" s="79">
        <f>IF('Ordenes_Odoo'!D675="","",'Ordenes_Odoo'!D675)</f>
        <v/>
      </c>
      <c r="E675" s="79">
        <f>IF('Ordenes_Odoo'!E675="","",'Ordenes_Odoo'!E675)</f>
        <v/>
      </c>
      <c r="F675" s="79">
        <f>IF('Ordenes_Odoo'!F675="","",'Ordenes_Odoo'!F675)</f>
        <v/>
      </c>
      <c r="G675" s="79">
        <f>IF('Ordenes_Odoo'!G675="","",'Ordenes_Odoo'!G675)</f>
        <v/>
      </c>
      <c r="H675" s="79">
        <f>IF('Ordenes_Odoo'!H675="","",'Ordenes_Odoo'!H675)</f>
        <v/>
      </c>
      <c r="I675" s="79">
        <f>IF('Ordenes_Odoo'!I675="","",'Ordenes_Odoo'!I675)</f>
        <v/>
      </c>
      <c r="J675" s="79">
        <f>IF('Ordenes_Odoo'!J675="","",'Ordenes_Odoo'!J675)</f>
        <v/>
      </c>
      <c r="K675" s="81">
        <f>IF('Ordenes_Odoo'!K675="","",'Ordenes_Odoo'!K675)</f>
        <v/>
      </c>
      <c r="L675" s="81">
        <f>IF('Ordenes_Odoo'!L675="","",'Ordenes_Odoo'!L675)</f>
        <v/>
      </c>
      <c r="M675" s="79">
        <f>IF('Ordenes_Odoo'!M675="","",'Ordenes_Odoo'!M675)</f>
        <v/>
      </c>
      <c r="N675" s="79">
        <f>IF('Ordenes_Odoo'!N675="","",'Ordenes_Odoo'!N675)</f>
        <v/>
      </c>
      <c r="O675" s="81">
        <f>IF('Ordenes_Odoo'!O675="","",'Ordenes_Odoo'!O675)</f>
        <v/>
      </c>
      <c r="P675" s="81">
        <f>IF('Ordenes_Odoo'!P675="","",'Ordenes_Odoo'!P675)</f>
        <v/>
      </c>
      <c r="Q675" s="79">
        <f>IF(A675="","",IFERROR(INDEX(Facturas_Odoo!$B:$B, MATCH(A675, Facturas_Odoo!$D:$D, 0)), "Sin Factura"))</f>
        <v/>
      </c>
      <c r="R675" s="80">
        <f>IF(Q675="Sin Factura","",IFERROR(INDEX(Facturas_Odoo!$A:$A, MATCH(Q675, Facturas_Odoo!$B:$B, 0)), ""))</f>
        <v/>
      </c>
      <c r="S675" s="79">
        <f>IF(Q675="Sin Factura","",IFERROR(_xlfn.XLOOKUP(1, (Facturas_Odoo!$D:$D=A675) * (Facturas_Odoo!$K:$K=I675), Facturas_Odoo!$L:$L, ""), ""))</f>
        <v/>
      </c>
      <c r="T675" s="81">
        <f>IF(Q675="Sin Factura",0,IFERROR(_xlfn.XLOOKUP(1, (Facturas_Odoo!$D:$D=A675) * (Facturas_Odoo!$K:$K=I675), Facturas_Odoo!$M:$M, 0), 0))</f>
        <v/>
      </c>
      <c r="U675" s="79">
        <f>IF(Q675="Sin Factura",0,IFERROR(_xlfn.XLOOKUP(1, (Facturas_Odoo!$D:$D=A675) * (Facturas_Odoo!$K:$K=I675), Facturas_Odoo!$N:$N, 0), 0))</f>
        <v/>
      </c>
      <c r="V675" s="79">
        <f>IF(Q675="Sin Factura",0,IFERROR(_xlfn.XLOOKUP(1, (Facturas_Odoo!$D:$D=A675) * (Facturas_Odoo!$K:$K=I675), Facturas_Odoo!$O:$O, 0), 0))</f>
        <v/>
      </c>
      <c r="W675" s="81">
        <f>IF(Q675="Sin Factura",0,IFERROR(_xlfn.XLOOKUP(1, (Facturas_Odoo!$D:$D=A675) * (Facturas_Odoo!$K:$K=I675), Facturas_Odoo!$Q:$Q, 0), 0))</f>
        <v/>
      </c>
      <c r="X675" s="79">
        <f>IF(OR(Q675="Sin Factura",Q675=""),"",IFERROR(INDEX(Pagos_Odoo!$B:$B, MATCH(Q675, Pagos_Odoo!$I:$I, 0)), "Sin Pago"))</f>
        <v/>
      </c>
      <c r="Y675" s="79">
        <f>IF(X675="Sin Pago","",IFERROR(INDEX(Pagos_Odoo!$C:$C, MATCH(X675, Pagos_Odoo!$B:$B, 0)), ""))</f>
        <v/>
      </c>
      <c r="Z675" s="80">
        <f>IF(X675="Sin Pago","",IFERROR(INDEX(Pagos_Odoo!$A:$A, MATCH(X675, Pagos_Odoo!$B:$B, 0)), ""))</f>
        <v/>
      </c>
      <c r="AA675" s="79">
        <f>IF(X675="Sin Pago","",IFERROR(INDEX(Pagos_Odoo!$F:$F, MATCH(X675, Pagos_Odoo!$B:$B, 0)), ""))</f>
        <v/>
      </c>
      <c r="AB675" s="81">
        <f>IF(X675="Sin Pago",0,IFERROR(INDEX(Pagos_Odoo!$E:$E, MATCH(X675, Pagos_Odoo!$B:$B, 0)), 0))</f>
        <v/>
      </c>
      <c r="AC675" s="79">
        <f>IF(X675="Sin Pago","",IFERROR(INDEX(Pagos_Odoo!$G:$G, MATCH(X675, Pagos_Odoo!$B:$B, 0)), ""))</f>
        <v/>
      </c>
      <c r="AD675" s="82" t="n">
        <v>0</v>
      </c>
      <c r="AE675" s="82" t="n"/>
      <c r="AF675" s="82" t="n"/>
      <c r="AG675" s="82">
        <f>IF(AN675="","",AD675+AE675+AF675)</f>
        <v/>
      </c>
      <c r="AH675" s="81">
        <f>IF(AN675="","",P675*(1-AG675))</f>
        <v/>
      </c>
      <c r="AI675" s="81">
        <f>IF(AN675="","",IF(Q675="Sin Factura",0,IFERROR(INDEX(Facturas_Odoo!$H:$H, MATCH(Q675, Facturas_Odoo!$B:$B, 0)), 0)*(1-AG675)))</f>
        <v/>
      </c>
      <c r="AJ675" s="81">
        <f>IF(AN675="","",_xlfn.LET(idVenta, AN675&amp;"",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75" s="81">
        <f>IF(AN675="","",AH675-AJ675)</f>
        <v/>
      </c>
      <c r="AL675" s="81">
        <f>IF(AN675="","",IF(Q675="Sin Factura","",AI675-AJ675))</f>
        <v/>
      </c>
      <c r="AM675" s="81">
        <f>IF(AN675="","",IF(Q675="Sin Factura",0,P675-IFERROR(INDEX(Facturas_Odoo!$H:$H, MATCH(Q675, Facturas_Odoo!$B:$B, 0)), 0)))</f>
        <v/>
      </c>
      <c r="AN675" s="79">
        <f>IF(AND(A675="", J675=""), "", IF(A675&lt;&gt;"", VALUE(MID(A675,2,LEN(A675))), AN674))</f>
        <v/>
      </c>
      <c r="AO675" s="79">
        <f>IF(AN675="","",IF(AD675=0,"OK",_xlfn.LET(monedaPago, IF(AA675="","USD",AA675), limitePermitido, IFERROR(VLOOKUP(monedaPago, Configuración!$A$2:$B$3, 2, FALSE), 0.15), IF(AD675&gt;limitePermitido, "ALERTA: EXCESO (" &amp; TEXT(limitePermitido, "0%") &amp; " máx)", "OK"))))</f>
        <v/>
      </c>
      <c r="AP675" s="79">
        <f>IF(AN675="","",IF(AE675=0,"OK",_xlfn.LET(fechaPago, Z675, fechaFactura, R675, diasCredito, IF(E675="Pago inmediato", 0, IFERROR(VALUE(MID(E675, 1, SEARCH(" ", E675)-1)),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75" s="79">
        <f>IF(AN675="","",IF(AND(N675&gt;0, AG675&gt;0), IF(Configuración!$K$2="NO", "ALERTA: DESCUENTO DOBLE NO PERMITIDO", "OK"), "OK"))</f>
        <v/>
      </c>
      <c r="AR675" s="79">
        <f>IF(AN675="","",IF(OR(AO675&lt;&gt;"OK", AP675&lt;&gt;"OK", AQ675&lt;&gt;"OK"), "⚠️ REVISAR", "OK"))</f>
        <v/>
      </c>
    </row>
    <row r="676">
      <c r="A676" s="79">
        <f>IF('Ordenes_Odoo'!A676="","",'Ordenes_Odoo'!A676)</f>
        <v/>
      </c>
      <c r="B676" s="80">
        <f>IF('Ordenes_Odoo'!B676="","",'Ordenes_Odoo'!B676)</f>
        <v/>
      </c>
      <c r="C676" s="79">
        <f>IF('Ordenes_Odoo'!C676="","",'Ordenes_Odoo'!C676)</f>
        <v/>
      </c>
      <c r="D676" s="79">
        <f>IF('Ordenes_Odoo'!D676="","",'Ordenes_Odoo'!D676)</f>
        <v/>
      </c>
      <c r="E676" s="79">
        <f>IF('Ordenes_Odoo'!E676="","",'Ordenes_Odoo'!E676)</f>
        <v/>
      </c>
      <c r="F676" s="79">
        <f>IF('Ordenes_Odoo'!F676="","",'Ordenes_Odoo'!F676)</f>
        <v/>
      </c>
      <c r="G676" s="79">
        <f>IF('Ordenes_Odoo'!G676="","",'Ordenes_Odoo'!G676)</f>
        <v/>
      </c>
      <c r="H676" s="79">
        <f>IF('Ordenes_Odoo'!H676="","",'Ordenes_Odoo'!H676)</f>
        <v/>
      </c>
      <c r="I676" s="79">
        <f>IF('Ordenes_Odoo'!I676="","",'Ordenes_Odoo'!I676)</f>
        <v/>
      </c>
      <c r="J676" s="79">
        <f>IF('Ordenes_Odoo'!J676="","",'Ordenes_Odoo'!J676)</f>
        <v/>
      </c>
      <c r="K676" s="81">
        <f>IF('Ordenes_Odoo'!K676="","",'Ordenes_Odoo'!K676)</f>
        <v/>
      </c>
      <c r="L676" s="81">
        <f>IF('Ordenes_Odoo'!L676="","",'Ordenes_Odoo'!L676)</f>
        <v/>
      </c>
      <c r="M676" s="79">
        <f>IF('Ordenes_Odoo'!M676="","",'Ordenes_Odoo'!M676)</f>
        <v/>
      </c>
      <c r="N676" s="79">
        <f>IF('Ordenes_Odoo'!N676="","",'Ordenes_Odoo'!N676)</f>
        <v/>
      </c>
      <c r="O676" s="81">
        <f>IF('Ordenes_Odoo'!O676="","",'Ordenes_Odoo'!O676)</f>
        <v/>
      </c>
      <c r="P676" s="81">
        <f>IF('Ordenes_Odoo'!P676="","",'Ordenes_Odoo'!P676)</f>
        <v/>
      </c>
      <c r="Q676" s="79">
        <f>IF(A676="","",IFERROR(INDEX(Facturas_Odoo!$B:$B, MATCH(A676, Facturas_Odoo!$D:$D, 0)), "Sin Factura"))</f>
        <v/>
      </c>
      <c r="R676" s="80">
        <f>IF(Q676="Sin Factura","",IFERROR(INDEX(Facturas_Odoo!$A:$A, MATCH(Q676, Facturas_Odoo!$B:$B, 0)), ""))</f>
        <v/>
      </c>
      <c r="S676" s="79">
        <f>IF(Q676="Sin Factura","",IFERROR(_xlfn.XLOOKUP(1, (Facturas_Odoo!$D:$D=A676) * (Facturas_Odoo!$K:$K=I676), Facturas_Odoo!$L:$L, ""), ""))</f>
        <v/>
      </c>
      <c r="T676" s="81">
        <f>IF(Q676="Sin Factura",0,IFERROR(_xlfn.XLOOKUP(1, (Facturas_Odoo!$D:$D=A676) * (Facturas_Odoo!$K:$K=I676), Facturas_Odoo!$M:$M, 0), 0))</f>
        <v/>
      </c>
      <c r="U676" s="79">
        <f>IF(Q676="Sin Factura",0,IFERROR(_xlfn.XLOOKUP(1, (Facturas_Odoo!$D:$D=A676) * (Facturas_Odoo!$K:$K=I676), Facturas_Odoo!$N:$N, 0), 0))</f>
        <v/>
      </c>
      <c r="V676" s="79">
        <f>IF(Q676="Sin Factura",0,IFERROR(_xlfn.XLOOKUP(1, (Facturas_Odoo!$D:$D=A676) * (Facturas_Odoo!$K:$K=I676), Facturas_Odoo!$O:$O, 0), 0))</f>
        <v/>
      </c>
      <c r="W676" s="81">
        <f>IF(Q676="Sin Factura",0,IFERROR(_xlfn.XLOOKUP(1, (Facturas_Odoo!$D:$D=A676) * (Facturas_Odoo!$K:$K=I676), Facturas_Odoo!$Q:$Q, 0), 0))</f>
        <v/>
      </c>
      <c r="X676" s="79">
        <f>IF(OR(Q676="Sin Factura",Q676=""),"",IFERROR(INDEX(Pagos_Odoo!$B:$B, MATCH(Q676, Pagos_Odoo!$I:$I, 0)), "Sin Pago"))</f>
        <v/>
      </c>
      <c r="Y676" s="79">
        <f>IF(X676="Sin Pago","",IFERROR(INDEX(Pagos_Odoo!$C:$C, MATCH(X676, Pagos_Odoo!$B:$B, 0)), ""))</f>
        <v/>
      </c>
      <c r="Z676" s="80">
        <f>IF(X676="Sin Pago","",IFERROR(INDEX(Pagos_Odoo!$A:$A, MATCH(X676, Pagos_Odoo!$B:$B, 0)), ""))</f>
        <v/>
      </c>
      <c r="AA676" s="79">
        <f>IF(X676="Sin Pago","",IFERROR(INDEX(Pagos_Odoo!$F:$F, MATCH(X676, Pagos_Odoo!$B:$B, 0)), ""))</f>
        <v/>
      </c>
      <c r="AB676" s="81">
        <f>IF(X676="Sin Pago",0,IFERROR(INDEX(Pagos_Odoo!$E:$E, MATCH(X676, Pagos_Odoo!$B:$B, 0)), 0))</f>
        <v/>
      </c>
      <c r="AC676" s="79">
        <f>IF(X676="Sin Pago","",IFERROR(INDEX(Pagos_Odoo!$G:$G, MATCH(X676, Pagos_Odoo!$B:$B, 0)), ""))</f>
        <v/>
      </c>
      <c r="AD676" s="82" t="n">
        <v>0</v>
      </c>
      <c r="AE676" s="82" t="n"/>
      <c r="AF676" s="82" t="n"/>
      <c r="AG676" s="82">
        <f>IF(AN676="","",AD676+AE676+AF676)</f>
        <v/>
      </c>
      <c r="AH676" s="81">
        <f>IF(AN676="","",P676*(1-AG676))</f>
        <v/>
      </c>
      <c r="AI676" s="81">
        <f>IF(AN676="","",IF(Q676="Sin Factura",0,IFERROR(INDEX(Facturas_Odoo!$H:$H, MATCH(Q676, Facturas_Odoo!$B:$B, 0)), 0)*(1-AG676)))</f>
        <v/>
      </c>
      <c r="AJ676" s="81">
        <f>IF(AN676="","",_xlfn.LET(idVenta, AN676&amp;"",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76" s="81">
        <f>IF(AN676="","",AH676-AJ676)</f>
        <v/>
      </c>
      <c r="AL676" s="81">
        <f>IF(AN676="","",IF(Q676="Sin Factura","",AI676-AJ676))</f>
        <v/>
      </c>
      <c r="AM676" s="81">
        <f>IF(AN676="","",IF(Q676="Sin Factura",0,P676-IFERROR(INDEX(Facturas_Odoo!$H:$H, MATCH(Q676, Facturas_Odoo!$B:$B, 0)), 0)))</f>
        <v/>
      </c>
      <c r="AN676" s="79">
        <f>IF(AND(A676="", J676=""), "", IF(A676&lt;&gt;"", VALUE(MID(A676,2,LEN(A676))), AN675))</f>
        <v/>
      </c>
      <c r="AO676" s="79">
        <f>IF(AN676="","",IF(AD676=0,"OK",_xlfn.LET(monedaPago, IF(AA676="","USD",AA676), limitePermitido, IFERROR(VLOOKUP(monedaPago, Configuración!$A$2:$B$3, 2, FALSE), 0.15), IF(AD676&gt;limitePermitido, "ALERTA: EXCESO (" &amp; TEXT(limitePermitido, "0%") &amp; " máx)", "OK"))))</f>
        <v/>
      </c>
      <c r="AP676" s="79">
        <f>IF(AN676="","",IF(AE676=0,"OK",_xlfn.LET(fechaPago, Z676, fechaFactura, R676, diasCredito, IF(E676="Pago inmediato", 0, IFERROR(VALUE(MID(E676, 1, SEARCH(" ", E676)-1)),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76" s="79">
        <f>IF(AN676="","",IF(AND(N676&gt;0, AG676&gt;0), IF(Configuración!$K$2="NO", "ALERTA: DESCUENTO DOBLE NO PERMITIDO", "OK"), "OK"))</f>
        <v/>
      </c>
      <c r="AR676" s="79">
        <f>IF(AN676="","",IF(OR(AO676&lt;&gt;"OK", AP676&lt;&gt;"OK", AQ676&lt;&gt;"OK"), "⚠️ REVISAR", "OK"))</f>
        <v/>
      </c>
    </row>
    <row r="677">
      <c r="A677" s="79">
        <f>IF('Ordenes_Odoo'!A677="","",'Ordenes_Odoo'!A677)</f>
        <v/>
      </c>
      <c r="B677" s="80">
        <f>IF('Ordenes_Odoo'!B677="","",'Ordenes_Odoo'!B677)</f>
        <v/>
      </c>
      <c r="C677" s="79">
        <f>IF('Ordenes_Odoo'!C677="","",'Ordenes_Odoo'!C677)</f>
        <v/>
      </c>
      <c r="D677" s="79">
        <f>IF('Ordenes_Odoo'!D677="","",'Ordenes_Odoo'!D677)</f>
        <v/>
      </c>
      <c r="E677" s="79">
        <f>IF('Ordenes_Odoo'!E677="","",'Ordenes_Odoo'!E677)</f>
        <v/>
      </c>
      <c r="F677" s="79">
        <f>IF('Ordenes_Odoo'!F677="","",'Ordenes_Odoo'!F677)</f>
        <v/>
      </c>
      <c r="G677" s="79">
        <f>IF('Ordenes_Odoo'!G677="","",'Ordenes_Odoo'!G677)</f>
        <v/>
      </c>
      <c r="H677" s="79">
        <f>IF('Ordenes_Odoo'!H677="","",'Ordenes_Odoo'!H677)</f>
        <v/>
      </c>
      <c r="I677" s="79">
        <f>IF('Ordenes_Odoo'!I677="","",'Ordenes_Odoo'!I677)</f>
        <v/>
      </c>
      <c r="J677" s="79">
        <f>IF('Ordenes_Odoo'!J677="","",'Ordenes_Odoo'!J677)</f>
        <v/>
      </c>
      <c r="K677" s="81">
        <f>IF('Ordenes_Odoo'!K677="","",'Ordenes_Odoo'!K677)</f>
        <v/>
      </c>
      <c r="L677" s="81">
        <f>IF('Ordenes_Odoo'!L677="","",'Ordenes_Odoo'!L677)</f>
        <v/>
      </c>
      <c r="M677" s="79">
        <f>IF('Ordenes_Odoo'!M677="","",'Ordenes_Odoo'!M677)</f>
        <v/>
      </c>
      <c r="N677" s="79">
        <f>IF('Ordenes_Odoo'!N677="","",'Ordenes_Odoo'!N677)</f>
        <v/>
      </c>
      <c r="O677" s="81">
        <f>IF('Ordenes_Odoo'!O677="","",'Ordenes_Odoo'!O677)</f>
        <v/>
      </c>
      <c r="P677" s="81">
        <f>IF('Ordenes_Odoo'!P677="","",'Ordenes_Odoo'!P677)</f>
        <v/>
      </c>
      <c r="Q677" s="79">
        <f>IF(A677="","",IFERROR(INDEX(Facturas_Odoo!$B:$B, MATCH(A677, Facturas_Odoo!$D:$D, 0)), "Sin Factura"))</f>
        <v/>
      </c>
      <c r="R677" s="80">
        <f>IF(Q677="Sin Factura","",IFERROR(INDEX(Facturas_Odoo!$A:$A, MATCH(Q677, Facturas_Odoo!$B:$B, 0)), ""))</f>
        <v/>
      </c>
      <c r="S677" s="79">
        <f>IF(Q677="Sin Factura","",IFERROR(_xlfn.XLOOKUP(1, (Facturas_Odoo!$D:$D=A677) * (Facturas_Odoo!$K:$K=I677), Facturas_Odoo!$L:$L, ""), ""))</f>
        <v/>
      </c>
      <c r="T677" s="81">
        <f>IF(Q677="Sin Factura",0,IFERROR(_xlfn.XLOOKUP(1, (Facturas_Odoo!$D:$D=A677) * (Facturas_Odoo!$K:$K=I677), Facturas_Odoo!$M:$M, 0), 0))</f>
        <v/>
      </c>
      <c r="U677" s="79">
        <f>IF(Q677="Sin Factura",0,IFERROR(_xlfn.XLOOKUP(1, (Facturas_Odoo!$D:$D=A677) * (Facturas_Odoo!$K:$K=I677), Facturas_Odoo!$N:$N, 0), 0))</f>
        <v/>
      </c>
      <c r="V677" s="79">
        <f>IF(Q677="Sin Factura",0,IFERROR(_xlfn.XLOOKUP(1, (Facturas_Odoo!$D:$D=A677) * (Facturas_Odoo!$K:$K=I677), Facturas_Odoo!$O:$O, 0), 0))</f>
        <v/>
      </c>
      <c r="W677" s="81">
        <f>IF(Q677="Sin Factura",0,IFERROR(_xlfn.XLOOKUP(1, (Facturas_Odoo!$D:$D=A677) * (Facturas_Odoo!$K:$K=I677), Facturas_Odoo!$Q:$Q, 0), 0))</f>
        <v/>
      </c>
      <c r="X677" s="79">
        <f>IF(OR(Q677="Sin Factura",Q677=""),"",IFERROR(INDEX(Pagos_Odoo!$B:$B, MATCH(Q677, Pagos_Odoo!$I:$I, 0)), "Sin Pago"))</f>
        <v/>
      </c>
      <c r="Y677" s="79">
        <f>IF(X677="Sin Pago","",IFERROR(INDEX(Pagos_Odoo!$C:$C, MATCH(X677, Pagos_Odoo!$B:$B, 0)), ""))</f>
        <v/>
      </c>
      <c r="Z677" s="80">
        <f>IF(X677="Sin Pago","",IFERROR(INDEX(Pagos_Odoo!$A:$A, MATCH(X677, Pagos_Odoo!$B:$B, 0)), ""))</f>
        <v/>
      </c>
      <c r="AA677" s="79">
        <f>IF(X677="Sin Pago","",IFERROR(INDEX(Pagos_Odoo!$F:$F, MATCH(X677, Pagos_Odoo!$B:$B, 0)), ""))</f>
        <v/>
      </c>
      <c r="AB677" s="81">
        <f>IF(X677="Sin Pago",0,IFERROR(INDEX(Pagos_Odoo!$E:$E, MATCH(X677, Pagos_Odoo!$B:$B, 0)), 0))</f>
        <v/>
      </c>
      <c r="AC677" s="79">
        <f>IF(X677="Sin Pago","",IFERROR(INDEX(Pagos_Odoo!$G:$G, MATCH(X677, Pagos_Odoo!$B:$B, 0)), ""))</f>
        <v/>
      </c>
      <c r="AD677" s="82" t="n">
        <v>0</v>
      </c>
      <c r="AE677" s="82" t="n"/>
      <c r="AF677" s="82" t="n"/>
      <c r="AG677" s="82">
        <f>IF(AN677="","",AD677+AE677+AF677)</f>
        <v/>
      </c>
      <c r="AH677" s="81">
        <f>IF(AN677="","",P677*(1-AG677))</f>
        <v/>
      </c>
      <c r="AI677" s="81">
        <f>IF(AN677="","",IF(Q677="Sin Factura",0,IFERROR(INDEX(Facturas_Odoo!$H:$H, MATCH(Q677, Facturas_Odoo!$B:$B, 0)), 0)*(1-AG677)))</f>
        <v/>
      </c>
      <c r="AJ677" s="81">
        <f>IF(AN677="","",_xlfn.LET(idVenta, AN677&amp;"",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77" s="81">
        <f>IF(AN677="","",AH677-AJ677)</f>
        <v/>
      </c>
      <c r="AL677" s="81">
        <f>IF(AN677="","",IF(Q677="Sin Factura","",AI677-AJ677))</f>
        <v/>
      </c>
      <c r="AM677" s="81">
        <f>IF(AN677="","",IF(Q677="Sin Factura",0,P677-IFERROR(INDEX(Facturas_Odoo!$H:$H, MATCH(Q677, Facturas_Odoo!$B:$B, 0)), 0)))</f>
        <v/>
      </c>
      <c r="AN677" s="79">
        <f>IF(AND(A677="", J677=""), "", IF(A677&lt;&gt;"", VALUE(MID(A677,2,LEN(A677))), AN676))</f>
        <v/>
      </c>
      <c r="AO677" s="79">
        <f>IF(AN677="","",IF(AD677=0,"OK",_xlfn.LET(monedaPago, IF(AA677="","USD",AA677), limitePermitido, IFERROR(VLOOKUP(monedaPago, Configuración!$A$2:$B$3, 2, FALSE), 0.15), IF(AD677&gt;limitePermitido, "ALERTA: EXCESO (" &amp; TEXT(limitePermitido, "0%") &amp; " máx)", "OK"))))</f>
        <v/>
      </c>
      <c r="AP677" s="79">
        <f>IF(AN677="","",IF(AE677=0,"OK",_xlfn.LET(fechaPago, Z677, fechaFactura, R677, diasCredito, IF(E677="Pago inmediato", 0, IFERROR(VALUE(MID(E677, 1, SEARCH(" ", E677)-1)),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77" s="79">
        <f>IF(AN677="","",IF(AND(N677&gt;0, AG677&gt;0), IF(Configuración!$K$2="NO", "ALERTA: DESCUENTO DOBLE NO PERMITIDO", "OK"), "OK"))</f>
        <v/>
      </c>
      <c r="AR677" s="79">
        <f>IF(AN677="","",IF(OR(AO677&lt;&gt;"OK", AP677&lt;&gt;"OK", AQ677&lt;&gt;"OK"), "⚠️ REVISAR", "OK"))</f>
        <v/>
      </c>
    </row>
    <row r="678">
      <c r="A678" s="79">
        <f>IF('Ordenes_Odoo'!A678="","",'Ordenes_Odoo'!A678)</f>
        <v/>
      </c>
      <c r="B678" s="80">
        <f>IF('Ordenes_Odoo'!B678="","",'Ordenes_Odoo'!B678)</f>
        <v/>
      </c>
      <c r="C678" s="79">
        <f>IF('Ordenes_Odoo'!C678="","",'Ordenes_Odoo'!C678)</f>
        <v/>
      </c>
      <c r="D678" s="79">
        <f>IF('Ordenes_Odoo'!D678="","",'Ordenes_Odoo'!D678)</f>
        <v/>
      </c>
      <c r="E678" s="79">
        <f>IF('Ordenes_Odoo'!E678="","",'Ordenes_Odoo'!E678)</f>
        <v/>
      </c>
      <c r="F678" s="79">
        <f>IF('Ordenes_Odoo'!F678="","",'Ordenes_Odoo'!F678)</f>
        <v/>
      </c>
      <c r="G678" s="79">
        <f>IF('Ordenes_Odoo'!G678="","",'Ordenes_Odoo'!G678)</f>
        <v/>
      </c>
      <c r="H678" s="79">
        <f>IF('Ordenes_Odoo'!H678="","",'Ordenes_Odoo'!H678)</f>
        <v/>
      </c>
      <c r="I678" s="79">
        <f>IF('Ordenes_Odoo'!I678="","",'Ordenes_Odoo'!I678)</f>
        <v/>
      </c>
      <c r="J678" s="79">
        <f>IF('Ordenes_Odoo'!J678="","",'Ordenes_Odoo'!J678)</f>
        <v/>
      </c>
      <c r="K678" s="81">
        <f>IF('Ordenes_Odoo'!K678="","",'Ordenes_Odoo'!K678)</f>
        <v/>
      </c>
      <c r="L678" s="81">
        <f>IF('Ordenes_Odoo'!L678="","",'Ordenes_Odoo'!L678)</f>
        <v/>
      </c>
      <c r="M678" s="79">
        <f>IF('Ordenes_Odoo'!M678="","",'Ordenes_Odoo'!M678)</f>
        <v/>
      </c>
      <c r="N678" s="79">
        <f>IF('Ordenes_Odoo'!N678="","",'Ordenes_Odoo'!N678)</f>
        <v/>
      </c>
      <c r="O678" s="81">
        <f>IF('Ordenes_Odoo'!O678="","",'Ordenes_Odoo'!O678)</f>
        <v/>
      </c>
      <c r="P678" s="81">
        <f>IF('Ordenes_Odoo'!P678="","",'Ordenes_Odoo'!P678)</f>
        <v/>
      </c>
      <c r="Q678" s="79">
        <f>IF(A678="","",IFERROR(INDEX(Facturas_Odoo!$B:$B, MATCH(A678, Facturas_Odoo!$D:$D, 0)), "Sin Factura"))</f>
        <v/>
      </c>
      <c r="R678" s="80">
        <f>IF(Q678="Sin Factura","",IFERROR(INDEX(Facturas_Odoo!$A:$A, MATCH(Q678, Facturas_Odoo!$B:$B, 0)), ""))</f>
        <v/>
      </c>
      <c r="S678" s="79">
        <f>IF(Q678="Sin Factura","",IFERROR(_xlfn.XLOOKUP(1, (Facturas_Odoo!$D:$D=A678) * (Facturas_Odoo!$K:$K=I678), Facturas_Odoo!$L:$L, ""), ""))</f>
        <v/>
      </c>
      <c r="T678" s="81">
        <f>IF(Q678="Sin Factura",0,IFERROR(_xlfn.XLOOKUP(1, (Facturas_Odoo!$D:$D=A678) * (Facturas_Odoo!$K:$K=I678), Facturas_Odoo!$M:$M, 0), 0))</f>
        <v/>
      </c>
      <c r="U678" s="79">
        <f>IF(Q678="Sin Factura",0,IFERROR(_xlfn.XLOOKUP(1, (Facturas_Odoo!$D:$D=A678) * (Facturas_Odoo!$K:$K=I678), Facturas_Odoo!$N:$N, 0), 0))</f>
        <v/>
      </c>
      <c r="V678" s="79">
        <f>IF(Q678="Sin Factura",0,IFERROR(_xlfn.XLOOKUP(1, (Facturas_Odoo!$D:$D=A678) * (Facturas_Odoo!$K:$K=I678), Facturas_Odoo!$O:$O, 0), 0))</f>
        <v/>
      </c>
      <c r="W678" s="81">
        <f>IF(Q678="Sin Factura",0,IFERROR(_xlfn.XLOOKUP(1, (Facturas_Odoo!$D:$D=A678) * (Facturas_Odoo!$K:$K=I678), Facturas_Odoo!$Q:$Q, 0), 0))</f>
        <v/>
      </c>
      <c r="X678" s="79">
        <f>IF(OR(Q678="Sin Factura",Q678=""),"",IFERROR(INDEX(Pagos_Odoo!$B:$B, MATCH(Q678, Pagos_Odoo!$I:$I, 0)), "Sin Pago"))</f>
        <v/>
      </c>
      <c r="Y678" s="79">
        <f>IF(X678="Sin Pago","",IFERROR(INDEX(Pagos_Odoo!$C:$C, MATCH(X678, Pagos_Odoo!$B:$B, 0)), ""))</f>
        <v/>
      </c>
      <c r="Z678" s="80">
        <f>IF(X678="Sin Pago","",IFERROR(INDEX(Pagos_Odoo!$A:$A, MATCH(X678, Pagos_Odoo!$B:$B, 0)), ""))</f>
        <v/>
      </c>
      <c r="AA678" s="79">
        <f>IF(X678="Sin Pago","",IFERROR(INDEX(Pagos_Odoo!$F:$F, MATCH(X678, Pagos_Odoo!$B:$B, 0)), ""))</f>
        <v/>
      </c>
      <c r="AB678" s="81">
        <f>IF(X678="Sin Pago",0,IFERROR(INDEX(Pagos_Odoo!$E:$E, MATCH(X678, Pagos_Odoo!$B:$B, 0)), 0))</f>
        <v/>
      </c>
      <c r="AC678" s="79">
        <f>IF(X678="Sin Pago","",IFERROR(INDEX(Pagos_Odoo!$G:$G, MATCH(X678, Pagos_Odoo!$B:$B, 0)), ""))</f>
        <v/>
      </c>
      <c r="AD678" s="82" t="n">
        <v>0</v>
      </c>
      <c r="AE678" s="82" t="n"/>
      <c r="AF678" s="82" t="n"/>
      <c r="AG678" s="82">
        <f>IF(AN678="","",AD678+AE678+AF678)</f>
        <v/>
      </c>
      <c r="AH678" s="81">
        <f>IF(AN678="","",P678*(1-AG678))</f>
        <v/>
      </c>
      <c r="AI678" s="81">
        <f>IF(AN678="","",IF(Q678="Sin Factura",0,IFERROR(INDEX(Facturas_Odoo!$H:$H, MATCH(Q678, Facturas_Odoo!$B:$B, 0)), 0)*(1-AG678)))</f>
        <v/>
      </c>
      <c r="AJ678" s="81">
        <f>IF(AN678="","",_xlfn.LET(idVenta, AN678&amp;"",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78" s="81">
        <f>IF(AN678="","",AH678-AJ678)</f>
        <v/>
      </c>
      <c r="AL678" s="81">
        <f>IF(AN678="","",IF(Q678="Sin Factura","",AI678-AJ678))</f>
        <v/>
      </c>
      <c r="AM678" s="81">
        <f>IF(AN678="","",IF(Q678="Sin Factura",0,P678-IFERROR(INDEX(Facturas_Odoo!$H:$H, MATCH(Q678, Facturas_Odoo!$B:$B, 0)), 0)))</f>
        <v/>
      </c>
      <c r="AN678" s="79">
        <f>IF(AND(A678="", J678=""), "", IF(A678&lt;&gt;"", VALUE(MID(A678,2,LEN(A678))), AN677))</f>
        <v/>
      </c>
      <c r="AO678" s="79">
        <f>IF(AN678="","",IF(AD678=0,"OK",_xlfn.LET(monedaPago, IF(AA678="","USD",AA678), limitePermitido, IFERROR(VLOOKUP(monedaPago, Configuración!$A$2:$B$3, 2, FALSE), 0.15), IF(AD678&gt;limitePermitido, "ALERTA: EXCESO (" &amp; TEXT(limitePermitido, "0%") &amp; " máx)", "OK"))))</f>
        <v/>
      </c>
      <c r="AP678" s="79">
        <f>IF(AN678="","",IF(AE678=0,"OK",_xlfn.LET(fechaPago, Z678, fechaFactura, R678, diasCredito, IF(E678="Pago inmediato", 0, IFERROR(VALUE(MID(E678, 1, SEARCH(" ", E678)-1)),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78" s="79">
        <f>IF(AN678="","",IF(AND(N678&gt;0, AG678&gt;0), IF(Configuración!$K$2="NO", "ALERTA: DESCUENTO DOBLE NO PERMITIDO", "OK"), "OK"))</f>
        <v/>
      </c>
      <c r="AR678" s="79">
        <f>IF(AN678="","",IF(OR(AO678&lt;&gt;"OK", AP678&lt;&gt;"OK", AQ678&lt;&gt;"OK"), "⚠️ REVISAR", "OK"))</f>
        <v/>
      </c>
    </row>
    <row r="679">
      <c r="A679" s="79">
        <f>IF('Ordenes_Odoo'!A679="","",'Ordenes_Odoo'!A679)</f>
        <v/>
      </c>
      <c r="B679" s="80">
        <f>IF('Ordenes_Odoo'!B679="","",'Ordenes_Odoo'!B679)</f>
        <v/>
      </c>
      <c r="C679" s="79">
        <f>IF('Ordenes_Odoo'!C679="","",'Ordenes_Odoo'!C679)</f>
        <v/>
      </c>
      <c r="D679" s="79">
        <f>IF('Ordenes_Odoo'!D679="","",'Ordenes_Odoo'!D679)</f>
        <v/>
      </c>
      <c r="E679" s="79">
        <f>IF('Ordenes_Odoo'!E679="","",'Ordenes_Odoo'!E679)</f>
        <v/>
      </c>
      <c r="F679" s="79">
        <f>IF('Ordenes_Odoo'!F679="","",'Ordenes_Odoo'!F679)</f>
        <v/>
      </c>
      <c r="G679" s="79">
        <f>IF('Ordenes_Odoo'!G679="","",'Ordenes_Odoo'!G679)</f>
        <v/>
      </c>
      <c r="H679" s="79">
        <f>IF('Ordenes_Odoo'!H679="","",'Ordenes_Odoo'!H679)</f>
        <v/>
      </c>
      <c r="I679" s="79">
        <f>IF('Ordenes_Odoo'!I679="","",'Ordenes_Odoo'!I679)</f>
        <v/>
      </c>
      <c r="J679" s="79">
        <f>IF('Ordenes_Odoo'!J679="","",'Ordenes_Odoo'!J679)</f>
        <v/>
      </c>
      <c r="K679" s="81">
        <f>IF('Ordenes_Odoo'!K679="","",'Ordenes_Odoo'!K679)</f>
        <v/>
      </c>
      <c r="L679" s="81">
        <f>IF('Ordenes_Odoo'!L679="","",'Ordenes_Odoo'!L679)</f>
        <v/>
      </c>
      <c r="M679" s="79">
        <f>IF('Ordenes_Odoo'!M679="","",'Ordenes_Odoo'!M679)</f>
        <v/>
      </c>
      <c r="N679" s="79">
        <f>IF('Ordenes_Odoo'!N679="","",'Ordenes_Odoo'!N679)</f>
        <v/>
      </c>
      <c r="O679" s="81">
        <f>IF('Ordenes_Odoo'!O679="","",'Ordenes_Odoo'!O679)</f>
        <v/>
      </c>
      <c r="P679" s="81">
        <f>IF('Ordenes_Odoo'!P679="","",'Ordenes_Odoo'!P679)</f>
        <v/>
      </c>
      <c r="Q679" s="79">
        <f>IF(A679="","",IFERROR(INDEX(Facturas_Odoo!$B:$B, MATCH(A679, Facturas_Odoo!$D:$D, 0)), "Sin Factura"))</f>
        <v/>
      </c>
      <c r="R679" s="80">
        <f>IF(Q679="Sin Factura","",IFERROR(INDEX(Facturas_Odoo!$A:$A, MATCH(Q679, Facturas_Odoo!$B:$B, 0)), ""))</f>
        <v/>
      </c>
      <c r="S679" s="79">
        <f>IF(Q679="Sin Factura","",IFERROR(_xlfn.XLOOKUP(1, (Facturas_Odoo!$D:$D=A679) * (Facturas_Odoo!$K:$K=I679), Facturas_Odoo!$L:$L, ""), ""))</f>
        <v/>
      </c>
      <c r="T679" s="81">
        <f>IF(Q679="Sin Factura",0,IFERROR(_xlfn.XLOOKUP(1, (Facturas_Odoo!$D:$D=A679) * (Facturas_Odoo!$K:$K=I679), Facturas_Odoo!$M:$M, 0), 0))</f>
        <v/>
      </c>
      <c r="U679" s="79">
        <f>IF(Q679="Sin Factura",0,IFERROR(_xlfn.XLOOKUP(1, (Facturas_Odoo!$D:$D=A679) * (Facturas_Odoo!$K:$K=I679), Facturas_Odoo!$N:$N, 0), 0))</f>
        <v/>
      </c>
      <c r="V679" s="79">
        <f>IF(Q679="Sin Factura",0,IFERROR(_xlfn.XLOOKUP(1, (Facturas_Odoo!$D:$D=A679) * (Facturas_Odoo!$K:$K=I679), Facturas_Odoo!$O:$O, 0), 0))</f>
        <v/>
      </c>
      <c r="W679" s="81">
        <f>IF(Q679="Sin Factura",0,IFERROR(_xlfn.XLOOKUP(1, (Facturas_Odoo!$D:$D=A679) * (Facturas_Odoo!$K:$K=I679), Facturas_Odoo!$Q:$Q, 0), 0))</f>
        <v/>
      </c>
      <c r="X679" s="79">
        <f>IF(OR(Q679="Sin Factura",Q679=""),"",IFERROR(INDEX(Pagos_Odoo!$B:$B, MATCH(Q679, Pagos_Odoo!$I:$I, 0)), "Sin Pago"))</f>
        <v/>
      </c>
      <c r="Y679" s="79">
        <f>IF(X679="Sin Pago","",IFERROR(INDEX(Pagos_Odoo!$C:$C, MATCH(X679, Pagos_Odoo!$B:$B, 0)), ""))</f>
        <v/>
      </c>
      <c r="Z679" s="80">
        <f>IF(X679="Sin Pago","",IFERROR(INDEX(Pagos_Odoo!$A:$A, MATCH(X679, Pagos_Odoo!$B:$B, 0)), ""))</f>
        <v/>
      </c>
      <c r="AA679" s="79">
        <f>IF(X679="Sin Pago","",IFERROR(INDEX(Pagos_Odoo!$F:$F, MATCH(X679, Pagos_Odoo!$B:$B, 0)), ""))</f>
        <v/>
      </c>
      <c r="AB679" s="81">
        <f>IF(X679="Sin Pago",0,IFERROR(INDEX(Pagos_Odoo!$E:$E, MATCH(X679, Pagos_Odoo!$B:$B, 0)), 0))</f>
        <v/>
      </c>
      <c r="AC679" s="79">
        <f>IF(X679="Sin Pago","",IFERROR(INDEX(Pagos_Odoo!$G:$G, MATCH(X679, Pagos_Odoo!$B:$B, 0)), ""))</f>
        <v/>
      </c>
      <c r="AD679" s="82" t="n">
        <v>0</v>
      </c>
      <c r="AE679" s="82" t="n"/>
      <c r="AF679" s="82" t="n"/>
      <c r="AG679" s="82">
        <f>IF(AN679="","",AD679+AE679+AF679)</f>
        <v/>
      </c>
      <c r="AH679" s="81">
        <f>IF(AN679="","",P679*(1-AG679))</f>
        <v/>
      </c>
      <c r="AI679" s="81">
        <f>IF(AN679="","",IF(Q679="Sin Factura",0,IFERROR(INDEX(Facturas_Odoo!$H:$H, MATCH(Q679, Facturas_Odoo!$B:$B, 0)), 0)*(1-AG679)))</f>
        <v/>
      </c>
      <c r="AJ679" s="81">
        <f>IF(AN679="","",_xlfn.LET(idVenta, AN679&amp;"",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79" s="81">
        <f>IF(AN679="","",AH679-AJ679)</f>
        <v/>
      </c>
      <c r="AL679" s="81">
        <f>IF(AN679="","",IF(Q679="Sin Factura","",AI679-AJ679))</f>
        <v/>
      </c>
      <c r="AM679" s="81">
        <f>IF(AN679="","",IF(Q679="Sin Factura",0,P679-IFERROR(INDEX(Facturas_Odoo!$H:$H, MATCH(Q679, Facturas_Odoo!$B:$B, 0)), 0)))</f>
        <v/>
      </c>
      <c r="AN679" s="79">
        <f>IF(AND(A679="", J679=""), "", IF(A679&lt;&gt;"", VALUE(MID(A679,2,LEN(A679))), AN678))</f>
        <v/>
      </c>
      <c r="AO679" s="79">
        <f>IF(AN679="","",IF(AD679=0,"OK",_xlfn.LET(monedaPago, IF(AA679="","USD",AA679), limitePermitido, IFERROR(VLOOKUP(monedaPago, Configuración!$A$2:$B$3, 2, FALSE), 0.15), IF(AD679&gt;limitePermitido, "ALERTA: EXCESO (" &amp; TEXT(limitePermitido, "0%") &amp; " máx)", "OK"))))</f>
        <v/>
      </c>
      <c r="AP679" s="79">
        <f>IF(AN679="","",IF(AE679=0,"OK",_xlfn.LET(fechaPago, Z679, fechaFactura, R679, diasCredito, IF(E679="Pago inmediato", 0, IFERROR(VALUE(MID(E679, 1, SEARCH(" ", E679)-1)),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79" s="79">
        <f>IF(AN679="","",IF(AND(N679&gt;0, AG679&gt;0), IF(Configuración!$K$2="NO", "ALERTA: DESCUENTO DOBLE NO PERMITIDO", "OK"), "OK"))</f>
        <v/>
      </c>
      <c r="AR679" s="79">
        <f>IF(AN679="","",IF(OR(AO679&lt;&gt;"OK", AP679&lt;&gt;"OK", AQ679&lt;&gt;"OK"), "⚠️ REVISAR", "OK"))</f>
        <v/>
      </c>
    </row>
    <row r="680">
      <c r="A680" s="79">
        <f>IF('Ordenes_Odoo'!A680="","",'Ordenes_Odoo'!A680)</f>
        <v/>
      </c>
      <c r="B680" s="80">
        <f>IF('Ordenes_Odoo'!B680="","",'Ordenes_Odoo'!B680)</f>
        <v/>
      </c>
      <c r="C680" s="79">
        <f>IF('Ordenes_Odoo'!C680="","",'Ordenes_Odoo'!C680)</f>
        <v/>
      </c>
      <c r="D680" s="79">
        <f>IF('Ordenes_Odoo'!D680="","",'Ordenes_Odoo'!D680)</f>
        <v/>
      </c>
      <c r="E680" s="79">
        <f>IF('Ordenes_Odoo'!E680="","",'Ordenes_Odoo'!E680)</f>
        <v/>
      </c>
      <c r="F680" s="79">
        <f>IF('Ordenes_Odoo'!F680="","",'Ordenes_Odoo'!F680)</f>
        <v/>
      </c>
      <c r="G680" s="79">
        <f>IF('Ordenes_Odoo'!G680="","",'Ordenes_Odoo'!G680)</f>
        <v/>
      </c>
      <c r="H680" s="79">
        <f>IF('Ordenes_Odoo'!H680="","",'Ordenes_Odoo'!H680)</f>
        <v/>
      </c>
      <c r="I680" s="79">
        <f>IF('Ordenes_Odoo'!I680="","",'Ordenes_Odoo'!I680)</f>
        <v/>
      </c>
      <c r="J680" s="79">
        <f>IF('Ordenes_Odoo'!J680="","",'Ordenes_Odoo'!J680)</f>
        <v/>
      </c>
      <c r="K680" s="81">
        <f>IF('Ordenes_Odoo'!K680="","",'Ordenes_Odoo'!K680)</f>
        <v/>
      </c>
      <c r="L680" s="81">
        <f>IF('Ordenes_Odoo'!L680="","",'Ordenes_Odoo'!L680)</f>
        <v/>
      </c>
      <c r="M680" s="79">
        <f>IF('Ordenes_Odoo'!M680="","",'Ordenes_Odoo'!M680)</f>
        <v/>
      </c>
      <c r="N680" s="79">
        <f>IF('Ordenes_Odoo'!N680="","",'Ordenes_Odoo'!N680)</f>
        <v/>
      </c>
      <c r="O680" s="81">
        <f>IF('Ordenes_Odoo'!O680="","",'Ordenes_Odoo'!O680)</f>
        <v/>
      </c>
      <c r="P680" s="81">
        <f>IF('Ordenes_Odoo'!P680="","",'Ordenes_Odoo'!P680)</f>
        <v/>
      </c>
      <c r="Q680" s="79">
        <f>IF(A680="","",IFERROR(INDEX(Facturas_Odoo!$B:$B, MATCH(A680, Facturas_Odoo!$D:$D, 0)), "Sin Factura"))</f>
        <v/>
      </c>
      <c r="R680" s="80">
        <f>IF(Q680="Sin Factura","",IFERROR(INDEX(Facturas_Odoo!$A:$A, MATCH(Q680, Facturas_Odoo!$B:$B, 0)), ""))</f>
        <v/>
      </c>
      <c r="S680" s="79">
        <f>IF(Q680="Sin Factura","",IFERROR(_xlfn.XLOOKUP(1, (Facturas_Odoo!$D:$D=A680) * (Facturas_Odoo!$K:$K=I680), Facturas_Odoo!$L:$L, ""), ""))</f>
        <v/>
      </c>
      <c r="T680" s="81">
        <f>IF(Q680="Sin Factura",0,IFERROR(_xlfn.XLOOKUP(1, (Facturas_Odoo!$D:$D=A680) * (Facturas_Odoo!$K:$K=I680), Facturas_Odoo!$M:$M, 0), 0))</f>
        <v/>
      </c>
      <c r="U680" s="79">
        <f>IF(Q680="Sin Factura",0,IFERROR(_xlfn.XLOOKUP(1, (Facturas_Odoo!$D:$D=A680) * (Facturas_Odoo!$K:$K=I680), Facturas_Odoo!$N:$N, 0), 0))</f>
        <v/>
      </c>
      <c r="V680" s="79">
        <f>IF(Q680="Sin Factura",0,IFERROR(_xlfn.XLOOKUP(1, (Facturas_Odoo!$D:$D=A680) * (Facturas_Odoo!$K:$K=I680), Facturas_Odoo!$O:$O, 0), 0))</f>
        <v/>
      </c>
      <c r="W680" s="81">
        <f>IF(Q680="Sin Factura",0,IFERROR(_xlfn.XLOOKUP(1, (Facturas_Odoo!$D:$D=A680) * (Facturas_Odoo!$K:$K=I680), Facturas_Odoo!$Q:$Q, 0), 0))</f>
        <v/>
      </c>
      <c r="X680" s="79">
        <f>IF(OR(Q680="Sin Factura",Q680=""),"",IFERROR(INDEX(Pagos_Odoo!$B:$B, MATCH(Q680, Pagos_Odoo!$I:$I, 0)), "Sin Pago"))</f>
        <v/>
      </c>
      <c r="Y680" s="79">
        <f>IF(X680="Sin Pago","",IFERROR(INDEX(Pagos_Odoo!$C:$C, MATCH(X680, Pagos_Odoo!$B:$B, 0)), ""))</f>
        <v/>
      </c>
      <c r="Z680" s="80">
        <f>IF(X680="Sin Pago","",IFERROR(INDEX(Pagos_Odoo!$A:$A, MATCH(X680, Pagos_Odoo!$B:$B, 0)), ""))</f>
        <v/>
      </c>
      <c r="AA680" s="79">
        <f>IF(X680="Sin Pago","",IFERROR(INDEX(Pagos_Odoo!$F:$F, MATCH(X680, Pagos_Odoo!$B:$B, 0)), ""))</f>
        <v/>
      </c>
      <c r="AB680" s="81">
        <f>IF(X680="Sin Pago",0,IFERROR(INDEX(Pagos_Odoo!$E:$E, MATCH(X680, Pagos_Odoo!$B:$B, 0)), 0))</f>
        <v/>
      </c>
      <c r="AC680" s="79">
        <f>IF(X680="Sin Pago","",IFERROR(INDEX(Pagos_Odoo!$G:$G, MATCH(X680, Pagos_Odoo!$B:$B, 0)), ""))</f>
        <v/>
      </c>
      <c r="AD680" s="82" t="n">
        <v>0</v>
      </c>
      <c r="AE680" s="82" t="n"/>
      <c r="AF680" s="82" t="n"/>
      <c r="AG680" s="82">
        <f>IF(AN680="","",AD680+AE680+AF680)</f>
        <v/>
      </c>
      <c r="AH680" s="81">
        <f>IF(AN680="","",P680*(1-AG680))</f>
        <v/>
      </c>
      <c r="AI680" s="81">
        <f>IF(AN680="","",IF(Q680="Sin Factura",0,IFERROR(INDEX(Facturas_Odoo!$H:$H, MATCH(Q680, Facturas_Odoo!$B:$B, 0)), 0)*(1-AG680)))</f>
        <v/>
      </c>
      <c r="AJ680" s="81">
        <f>IF(AN680="","",_xlfn.LET(idVenta, AN680&amp;"",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80" s="81">
        <f>IF(AN680="","",AH680-AJ680)</f>
        <v/>
      </c>
      <c r="AL680" s="81">
        <f>IF(AN680="","",IF(Q680="Sin Factura","",AI680-AJ680))</f>
        <v/>
      </c>
      <c r="AM680" s="81">
        <f>IF(AN680="","",IF(Q680="Sin Factura",0,P680-IFERROR(INDEX(Facturas_Odoo!$H:$H, MATCH(Q680, Facturas_Odoo!$B:$B, 0)), 0)))</f>
        <v/>
      </c>
      <c r="AN680" s="79">
        <f>IF(AND(A680="", J680=""), "", IF(A680&lt;&gt;"", VALUE(MID(A680,2,LEN(A680))), AN679))</f>
        <v/>
      </c>
      <c r="AO680" s="79">
        <f>IF(AN680="","",IF(AD680=0,"OK",_xlfn.LET(monedaPago, IF(AA680="","USD",AA680), limitePermitido, IFERROR(VLOOKUP(monedaPago, Configuración!$A$2:$B$3, 2, FALSE), 0.15), IF(AD680&gt;limitePermitido, "ALERTA: EXCESO (" &amp; TEXT(limitePermitido, "0%") &amp; " máx)", "OK"))))</f>
        <v/>
      </c>
      <c r="AP680" s="79">
        <f>IF(AN680="","",IF(AE680=0,"OK",_xlfn.LET(fechaPago, Z680, fechaFactura, R680, diasCredito, IF(E680="Pago inmediato", 0, IFERROR(VALUE(MID(E680, 1, SEARCH(" ", E680)-1)),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80" s="79">
        <f>IF(AN680="","",IF(AND(N680&gt;0, AG680&gt;0), IF(Configuración!$K$2="NO", "ALERTA: DESCUENTO DOBLE NO PERMITIDO", "OK"), "OK"))</f>
        <v/>
      </c>
      <c r="AR680" s="79">
        <f>IF(AN680="","",IF(OR(AO680&lt;&gt;"OK", AP680&lt;&gt;"OK", AQ680&lt;&gt;"OK"), "⚠️ REVISAR", "OK"))</f>
        <v/>
      </c>
    </row>
    <row r="681">
      <c r="A681" s="79">
        <f>IF('Ordenes_Odoo'!A681="","",'Ordenes_Odoo'!A681)</f>
        <v/>
      </c>
      <c r="B681" s="80">
        <f>IF('Ordenes_Odoo'!B681="","",'Ordenes_Odoo'!B681)</f>
        <v/>
      </c>
      <c r="C681" s="79">
        <f>IF('Ordenes_Odoo'!C681="","",'Ordenes_Odoo'!C681)</f>
        <v/>
      </c>
      <c r="D681" s="79">
        <f>IF('Ordenes_Odoo'!D681="","",'Ordenes_Odoo'!D681)</f>
        <v/>
      </c>
      <c r="E681" s="79">
        <f>IF('Ordenes_Odoo'!E681="","",'Ordenes_Odoo'!E681)</f>
        <v/>
      </c>
      <c r="F681" s="79">
        <f>IF('Ordenes_Odoo'!F681="","",'Ordenes_Odoo'!F681)</f>
        <v/>
      </c>
      <c r="G681" s="79">
        <f>IF('Ordenes_Odoo'!G681="","",'Ordenes_Odoo'!G681)</f>
        <v/>
      </c>
      <c r="H681" s="79">
        <f>IF('Ordenes_Odoo'!H681="","",'Ordenes_Odoo'!H681)</f>
        <v/>
      </c>
      <c r="I681" s="79">
        <f>IF('Ordenes_Odoo'!I681="","",'Ordenes_Odoo'!I681)</f>
        <v/>
      </c>
      <c r="J681" s="79">
        <f>IF('Ordenes_Odoo'!J681="","",'Ordenes_Odoo'!J681)</f>
        <v/>
      </c>
      <c r="K681" s="81">
        <f>IF('Ordenes_Odoo'!K681="","",'Ordenes_Odoo'!K681)</f>
        <v/>
      </c>
      <c r="L681" s="81">
        <f>IF('Ordenes_Odoo'!L681="","",'Ordenes_Odoo'!L681)</f>
        <v/>
      </c>
      <c r="M681" s="79">
        <f>IF('Ordenes_Odoo'!M681="","",'Ordenes_Odoo'!M681)</f>
        <v/>
      </c>
      <c r="N681" s="79">
        <f>IF('Ordenes_Odoo'!N681="","",'Ordenes_Odoo'!N681)</f>
        <v/>
      </c>
      <c r="O681" s="81">
        <f>IF('Ordenes_Odoo'!O681="","",'Ordenes_Odoo'!O681)</f>
        <v/>
      </c>
      <c r="P681" s="81">
        <f>IF('Ordenes_Odoo'!P681="","",'Ordenes_Odoo'!P681)</f>
        <v/>
      </c>
      <c r="Q681" s="79">
        <f>IF(A681="","",IFERROR(INDEX(Facturas_Odoo!$B:$B, MATCH(A681, Facturas_Odoo!$D:$D, 0)), "Sin Factura"))</f>
        <v/>
      </c>
      <c r="R681" s="80">
        <f>IF(Q681="Sin Factura","",IFERROR(INDEX(Facturas_Odoo!$A:$A, MATCH(Q681, Facturas_Odoo!$B:$B, 0)), ""))</f>
        <v/>
      </c>
      <c r="S681" s="79">
        <f>IF(Q681="Sin Factura","",IFERROR(_xlfn.XLOOKUP(1, (Facturas_Odoo!$D:$D=A681) * (Facturas_Odoo!$K:$K=I681), Facturas_Odoo!$L:$L, ""), ""))</f>
        <v/>
      </c>
      <c r="T681" s="81">
        <f>IF(Q681="Sin Factura",0,IFERROR(_xlfn.XLOOKUP(1, (Facturas_Odoo!$D:$D=A681) * (Facturas_Odoo!$K:$K=I681), Facturas_Odoo!$M:$M, 0), 0))</f>
        <v/>
      </c>
      <c r="U681" s="79">
        <f>IF(Q681="Sin Factura",0,IFERROR(_xlfn.XLOOKUP(1, (Facturas_Odoo!$D:$D=A681) * (Facturas_Odoo!$K:$K=I681), Facturas_Odoo!$N:$N, 0), 0))</f>
        <v/>
      </c>
      <c r="V681" s="79">
        <f>IF(Q681="Sin Factura",0,IFERROR(_xlfn.XLOOKUP(1, (Facturas_Odoo!$D:$D=A681) * (Facturas_Odoo!$K:$K=I681), Facturas_Odoo!$O:$O, 0), 0))</f>
        <v/>
      </c>
      <c r="W681" s="81">
        <f>IF(Q681="Sin Factura",0,IFERROR(_xlfn.XLOOKUP(1, (Facturas_Odoo!$D:$D=A681) * (Facturas_Odoo!$K:$K=I681), Facturas_Odoo!$Q:$Q, 0), 0))</f>
        <v/>
      </c>
      <c r="X681" s="79">
        <f>IF(OR(Q681="Sin Factura",Q681=""),"",IFERROR(INDEX(Pagos_Odoo!$B:$B, MATCH(Q681, Pagos_Odoo!$I:$I, 0)), "Sin Pago"))</f>
        <v/>
      </c>
      <c r="Y681" s="79">
        <f>IF(X681="Sin Pago","",IFERROR(INDEX(Pagos_Odoo!$C:$C, MATCH(X681, Pagos_Odoo!$B:$B, 0)), ""))</f>
        <v/>
      </c>
      <c r="Z681" s="80">
        <f>IF(X681="Sin Pago","",IFERROR(INDEX(Pagos_Odoo!$A:$A, MATCH(X681, Pagos_Odoo!$B:$B, 0)), ""))</f>
        <v/>
      </c>
      <c r="AA681" s="79">
        <f>IF(X681="Sin Pago","",IFERROR(INDEX(Pagos_Odoo!$F:$F, MATCH(X681, Pagos_Odoo!$B:$B, 0)), ""))</f>
        <v/>
      </c>
      <c r="AB681" s="81">
        <f>IF(X681="Sin Pago",0,IFERROR(INDEX(Pagos_Odoo!$E:$E, MATCH(X681, Pagos_Odoo!$B:$B, 0)), 0))</f>
        <v/>
      </c>
      <c r="AC681" s="79">
        <f>IF(X681="Sin Pago","",IFERROR(INDEX(Pagos_Odoo!$G:$G, MATCH(X681, Pagos_Odoo!$B:$B, 0)), ""))</f>
        <v/>
      </c>
      <c r="AD681" s="82" t="n">
        <v>0</v>
      </c>
      <c r="AE681" s="82" t="n"/>
      <c r="AF681" s="82" t="n"/>
      <c r="AG681" s="82">
        <f>IF(AN681="","",AD681+AE681+AF681)</f>
        <v/>
      </c>
      <c r="AH681" s="81">
        <f>IF(AN681="","",P681*(1-AG681))</f>
        <v/>
      </c>
      <c r="AI681" s="81">
        <f>IF(AN681="","",IF(Q681="Sin Factura",0,IFERROR(INDEX(Facturas_Odoo!$H:$H, MATCH(Q681, Facturas_Odoo!$B:$B, 0)), 0)*(1-AG681)))</f>
        <v/>
      </c>
      <c r="AJ681" s="81">
        <f>IF(AN681="","",_xlfn.LET(idVenta, AN681&amp;"",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81" s="81">
        <f>IF(AN681="","",AH681-AJ681)</f>
        <v/>
      </c>
      <c r="AL681" s="81">
        <f>IF(AN681="","",IF(Q681="Sin Factura","",AI681-AJ681))</f>
        <v/>
      </c>
      <c r="AM681" s="81">
        <f>IF(AN681="","",IF(Q681="Sin Factura",0,P681-IFERROR(INDEX(Facturas_Odoo!$H:$H, MATCH(Q681, Facturas_Odoo!$B:$B, 0)), 0)))</f>
        <v/>
      </c>
      <c r="AN681" s="79">
        <f>IF(AND(A681="", J681=""), "", IF(A681&lt;&gt;"", VALUE(MID(A681,2,LEN(A681))), AN680))</f>
        <v/>
      </c>
      <c r="AO681" s="79">
        <f>IF(AN681="","",IF(AD681=0,"OK",_xlfn.LET(monedaPago, IF(AA681="","USD",AA681), limitePermitido, IFERROR(VLOOKUP(monedaPago, Configuración!$A$2:$B$3, 2, FALSE), 0.15), IF(AD681&gt;limitePermitido, "ALERTA: EXCESO (" &amp; TEXT(limitePermitido, "0%") &amp; " máx)", "OK"))))</f>
        <v/>
      </c>
      <c r="AP681" s="79">
        <f>IF(AN681="","",IF(AE681=0,"OK",_xlfn.LET(fechaPago, Z681, fechaFactura, R681, diasCredito, IF(E681="Pago inmediato", 0, IFERROR(VALUE(MID(E681, 1, SEARCH(" ", E681)-1)),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81" s="79">
        <f>IF(AN681="","",IF(AND(N681&gt;0, AG681&gt;0), IF(Configuración!$K$2="NO", "ALERTA: DESCUENTO DOBLE NO PERMITIDO", "OK"), "OK"))</f>
        <v/>
      </c>
      <c r="AR681" s="79">
        <f>IF(AN681="","",IF(OR(AO681&lt;&gt;"OK", AP681&lt;&gt;"OK", AQ681&lt;&gt;"OK"), "⚠️ REVISAR", "OK"))</f>
        <v/>
      </c>
    </row>
    <row r="682">
      <c r="A682" s="79">
        <f>IF('Ordenes_Odoo'!A682="","",'Ordenes_Odoo'!A682)</f>
        <v/>
      </c>
      <c r="B682" s="80">
        <f>IF('Ordenes_Odoo'!B682="","",'Ordenes_Odoo'!B682)</f>
        <v/>
      </c>
      <c r="C682" s="79">
        <f>IF('Ordenes_Odoo'!C682="","",'Ordenes_Odoo'!C682)</f>
        <v/>
      </c>
      <c r="D682" s="79">
        <f>IF('Ordenes_Odoo'!D682="","",'Ordenes_Odoo'!D682)</f>
        <v/>
      </c>
      <c r="E682" s="79">
        <f>IF('Ordenes_Odoo'!E682="","",'Ordenes_Odoo'!E682)</f>
        <v/>
      </c>
      <c r="F682" s="79">
        <f>IF('Ordenes_Odoo'!F682="","",'Ordenes_Odoo'!F682)</f>
        <v/>
      </c>
      <c r="G682" s="79">
        <f>IF('Ordenes_Odoo'!G682="","",'Ordenes_Odoo'!G682)</f>
        <v/>
      </c>
      <c r="H682" s="79">
        <f>IF('Ordenes_Odoo'!H682="","",'Ordenes_Odoo'!H682)</f>
        <v/>
      </c>
      <c r="I682" s="79">
        <f>IF('Ordenes_Odoo'!I682="","",'Ordenes_Odoo'!I682)</f>
        <v/>
      </c>
      <c r="J682" s="79">
        <f>IF('Ordenes_Odoo'!J682="","",'Ordenes_Odoo'!J682)</f>
        <v/>
      </c>
      <c r="K682" s="81">
        <f>IF('Ordenes_Odoo'!K682="","",'Ordenes_Odoo'!K682)</f>
        <v/>
      </c>
      <c r="L682" s="81">
        <f>IF('Ordenes_Odoo'!L682="","",'Ordenes_Odoo'!L682)</f>
        <v/>
      </c>
      <c r="M682" s="79">
        <f>IF('Ordenes_Odoo'!M682="","",'Ordenes_Odoo'!M682)</f>
        <v/>
      </c>
      <c r="N682" s="79">
        <f>IF('Ordenes_Odoo'!N682="","",'Ordenes_Odoo'!N682)</f>
        <v/>
      </c>
      <c r="O682" s="81">
        <f>IF('Ordenes_Odoo'!O682="","",'Ordenes_Odoo'!O682)</f>
        <v/>
      </c>
      <c r="P682" s="81">
        <f>IF('Ordenes_Odoo'!P682="","",'Ordenes_Odoo'!P682)</f>
        <v/>
      </c>
      <c r="Q682" s="79">
        <f>IF(A682="","",IFERROR(INDEX(Facturas_Odoo!$B:$B, MATCH(A682, Facturas_Odoo!$D:$D, 0)), "Sin Factura"))</f>
        <v/>
      </c>
      <c r="R682" s="80">
        <f>IF(Q682="Sin Factura","",IFERROR(INDEX(Facturas_Odoo!$A:$A, MATCH(Q682, Facturas_Odoo!$B:$B, 0)), ""))</f>
        <v/>
      </c>
      <c r="S682" s="79">
        <f>IF(Q682="Sin Factura","",IFERROR(_xlfn.XLOOKUP(1, (Facturas_Odoo!$D:$D=A682) * (Facturas_Odoo!$K:$K=I682), Facturas_Odoo!$L:$L, ""), ""))</f>
        <v/>
      </c>
      <c r="T682" s="81">
        <f>IF(Q682="Sin Factura",0,IFERROR(_xlfn.XLOOKUP(1, (Facturas_Odoo!$D:$D=A682) * (Facturas_Odoo!$K:$K=I682), Facturas_Odoo!$M:$M, 0), 0))</f>
        <v/>
      </c>
      <c r="U682" s="79">
        <f>IF(Q682="Sin Factura",0,IFERROR(_xlfn.XLOOKUP(1, (Facturas_Odoo!$D:$D=A682) * (Facturas_Odoo!$K:$K=I682), Facturas_Odoo!$N:$N, 0), 0))</f>
        <v/>
      </c>
      <c r="V682" s="79">
        <f>IF(Q682="Sin Factura",0,IFERROR(_xlfn.XLOOKUP(1, (Facturas_Odoo!$D:$D=A682) * (Facturas_Odoo!$K:$K=I682), Facturas_Odoo!$O:$O, 0), 0))</f>
        <v/>
      </c>
      <c r="W682" s="81">
        <f>IF(Q682="Sin Factura",0,IFERROR(_xlfn.XLOOKUP(1, (Facturas_Odoo!$D:$D=A682) * (Facturas_Odoo!$K:$K=I682), Facturas_Odoo!$Q:$Q, 0), 0))</f>
        <v/>
      </c>
      <c r="X682" s="79">
        <f>IF(OR(Q682="Sin Factura",Q682=""),"",IFERROR(INDEX(Pagos_Odoo!$B:$B, MATCH(Q682, Pagos_Odoo!$I:$I, 0)), "Sin Pago"))</f>
        <v/>
      </c>
      <c r="Y682" s="79">
        <f>IF(X682="Sin Pago","",IFERROR(INDEX(Pagos_Odoo!$C:$C, MATCH(X682, Pagos_Odoo!$B:$B, 0)), ""))</f>
        <v/>
      </c>
      <c r="Z682" s="80">
        <f>IF(X682="Sin Pago","",IFERROR(INDEX(Pagos_Odoo!$A:$A, MATCH(X682, Pagos_Odoo!$B:$B, 0)), ""))</f>
        <v/>
      </c>
      <c r="AA682" s="79">
        <f>IF(X682="Sin Pago","",IFERROR(INDEX(Pagos_Odoo!$F:$F, MATCH(X682, Pagos_Odoo!$B:$B, 0)), ""))</f>
        <v/>
      </c>
      <c r="AB682" s="81">
        <f>IF(X682="Sin Pago",0,IFERROR(INDEX(Pagos_Odoo!$E:$E, MATCH(X682, Pagos_Odoo!$B:$B, 0)), 0))</f>
        <v/>
      </c>
      <c r="AC682" s="79">
        <f>IF(X682="Sin Pago","",IFERROR(INDEX(Pagos_Odoo!$G:$G, MATCH(X682, Pagos_Odoo!$B:$B, 0)), ""))</f>
        <v/>
      </c>
      <c r="AD682" s="82" t="n">
        <v>0</v>
      </c>
      <c r="AE682" s="82" t="n"/>
      <c r="AF682" s="82" t="n"/>
      <c r="AG682" s="82">
        <f>IF(AN682="","",AD682+AE682+AF682)</f>
        <v/>
      </c>
      <c r="AH682" s="81">
        <f>IF(AN682="","",P682*(1-AG682))</f>
        <v/>
      </c>
      <c r="AI682" s="81">
        <f>IF(AN682="","",IF(Q682="Sin Factura",0,IFERROR(INDEX(Facturas_Odoo!$H:$H, MATCH(Q682, Facturas_Odoo!$B:$B, 0)), 0)*(1-AG682)))</f>
        <v/>
      </c>
      <c r="AJ682" s="81">
        <f>IF(AN682="","",_xlfn.LET(idVenta, AN682&amp;"",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82" s="81">
        <f>IF(AN682="","",AH682-AJ682)</f>
        <v/>
      </c>
      <c r="AL682" s="81">
        <f>IF(AN682="","",IF(Q682="Sin Factura","",AI682-AJ682))</f>
        <v/>
      </c>
      <c r="AM682" s="81">
        <f>IF(AN682="","",IF(Q682="Sin Factura",0,P682-IFERROR(INDEX(Facturas_Odoo!$H:$H, MATCH(Q682, Facturas_Odoo!$B:$B, 0)), 0)))</f>
        <v/>
      </c>
      <c r="AN682" s="79">
        <f>IF(AND(A682="", J682=""), "", IF(A682&lt;&gt;"", VALUE(MID(A682,2,LEN(A682))), AN681))</f>
        <v/>
      </c>
      <c r="AO682" s="79">
        <f>IF(AN682="","",IF(AD682=0,"OK",_xlfn.LET(monedaPago, IF(AA682="","USD",AA682), limitePermitido, IFERROR(VLOOKUP(monedaPago, Configuración!$A$2:$B$3, 2, FALSE), 0.15), IF(AD682&gt;limitePermitido, "ALERTA: EXCESO (" &amp; TEXT(limitePermitido, "0%") &amp; " máx)", "OK"))))</f>
        <v/>
      </c>
      <c r="AP682" s="79">
        <f>IF(AN682="","",IF(AE682=0,"OK",_xlfn.LET(fechaPago, Z682, fechaFactura, R682, diasCredito, IF(E682="Pago inmediato", 0, IFERROR(VALUE(MID(E682, 1, SEARCH(" ", E682)-1)),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82" s="79">
        <f>IF(AN682="","",IF(AND(N682&gt;0, AG682&gt;0), IF(Configuración!$K$2="NO", "ALERTA: DESCUENTO DOBLE NO PERMITIDO", "OK"), "OK"))</f>
        <v/>
      </c>
      <c r="AR682" s="79">
        <f>IF(AN682="","",IF(OR(AO682&lt;&gt;"OK", AP682&lt;&gt;"OK", AQ682&lt;&gt;"OK"), "⚠️ REVISAR", "OK"))</f>
        <v/>
      </c>
    </row>
    <row r="683">
      <c r="A683" s="79">
        <f>IF('Ordenes_Odoo'!A683="","",'Ordenes_Odoo'!A683)</f>
        <v/>
      </c>
      <c r="B683" s="80">
        <f>IF('Ordenes_Odoo'!B683="","",'Ordenes_Odoo'!B683)</f>
        <v/>
      </c>
      <c r="C683" s="79">
        <f>IF('Ordenes_Odoo'!C683="","",'Ordenes_Odoo'!C683)</f>
        <v/>
      </c>
      <c r="D683" s="79">
        <f>IF('Ordenes_Odoo'!D683="","",'Ordenes_Odoo'!D683)</f>
        <v/>
      </c>
      <c r="E683" s="79">
        <f>IF('Ordenes_Odoo'!E683="","",'Ordenes_Odoo'!E683)</f>
        <v/>
      </c>
      <c r="F683" s="79">
        <f>IF('Ordenes_Odoo'!F683="","",'Ordenes_Odoo'!F683)</f>
        <v/>
      </c>
      <c r="G683" s="79">
        <f>IF('Ordenes_Odoo'!G683="","",'Ordenes_Odoo'!G683)</f>
        <v/>
      </c>
      <c r="H683" s="79">
        <f>IF('Ordenes_Odoo'!H683="","",'Ordenes_Odoo'!H683)</f>
        <v/>
      </c>
      <c r="I683" s="79">
        <f>IF('Ordenes_Odoo'!I683="","",'Ordenes_Odoo'!I683)</f>
        <v/>
      </c>
      <c r="J683" s="79">
        <f>IF('Ordenes_Odoo'!J683="","",'Ordenes_Odoo'!J683)</f>
        <v/>
      </c>
      <c r="K683" s="81">
        <f>IF('Ordenes_Odoo'!K683="","",'Ordenes_Odoo'!K683)</f>
        <v/>
      </c>
      <c r="L683" s="81">
        <f>IF('Ordenes_Odoo'!L683="","",'Ordenes_Odoo'!L683)</f>
        <v/>
      </c>
      <c r="M683" s="79">
        <f>IF('Ordenes_Odoo'!M683="","",'Ordenes_Odoo'!M683)</f>
        <v/>
      </c>
      <c r="N683" s="79">
        <f>IF('Ordenes_Odoo'!N683="","",'Ordenes_Odoo'!N683)</f>
        <v/>
      </c>
      <c r="O683" s="81">
        <f>IF('Ordenes_Odoo'!O683="","",'Ordenes_Odoo'!O683)</f>
        <v/>
      </c>
      <c r="P683" s="81">
        <f>IF('Ordenes_Odoo'!P683="","",'Ordenes_Odoo'!P683)</f>
        <v/>
      </c>
      <c r="Q683" s="79">
        <f>IF(A683="","",IFERROR(INDEX(Facturas_Odoo!$B:$B, MATCH(A683, Facturas_Odoo!$D:$D, 0)), "Sin Factura"))</f>
        <v/>
      </c>
      <c r="R683" s="80">
        <f>IF(Q683="Sin Factura","",IFERROR(INDEX(Facturas_Odoo!$A:$A, MATCH(Q683, Facturas_Odoo!$B:$B, 0)), ""))</f>
        <v/>
      </c>
      <c r="S683" s="79">
        <f>IF(Q683="Sin Factura","",IFERROR(_xlfn.XLOOKUP(1, (Facturas_Odoo!$D:$D=A683) * (Facturas_Odoo!$K:$K=I683), Facturas_Odoo!$L:$L, ""), ""))</f>
        <v/>
      </c>
      <c r="T683" s="81">
        <f>IF(Q683="Sin Factura",0,IFERROR(_xlfn.XLOOKUP(1, (Facturas_Odoo!$D:$D=A683) * (Facturas_Odoo!$K:$K=I683), Facturas_Odoo!$M:$M, 0), 0))</f>
        <v/>
      </c>
      <c r="U683" s="79">
        <f>IF(Q683="Sin Factura",0,IFERROR(_xlfn.XLOOKUP(1, (Facturas_Odoo!$D:$D=A683) * (Facturas_Odoo!$K:$K=I683), Facturas_Odoo!$N:$N, 0), 0))</f>
        <v/>
      </c>
      <c r="V683" s="79">
        <f>IF(Q683="Sin Factura",0,IFERROR(_xlfn.XLOOKUP(1, (Facturas_Odoo!$D:$D=A683) * (Facturas_Odoo!$K:$K=I683), Facturas_Odoo!$O:$O, 0), 0))</f>
        <v/>
      </c>
      <c r="W683" s="81">
        <f>IF(Q683="Sin Factura",0,IFERROR(_xlfn.XLOOKUP(1, (Facturas_Odoo!$D:$D=A683) * (Facturas_Odoo!$K:$K=I683), Facturas_Odoo!$Q:$Q, 0), 0))</f>
        <v/>
      </c>
      <c r="X683" s="79">
        <f>IF(OR(Q683="Sin Factura",Q683=""),"",IFERROR(INDEX(Pagos_Odoo!$B:$B, MATCH(Q683, Pagos_Odoo!$I:$I, 0)), "Sin Pago"))</f>
        <v/>
      </c>
      <c r="Y683" s="79">
        <f>IF(X683="Sin Pago","",IFERROR(INDEX(Pagos_Odoo!$C:$C, MATCH(X683, Pagos_Odoo!$B:$B, 0)), ""))</f>
        <v/>
      </c>
      <c r="Z683" s="80">
        <f>IF(X683="Sin Pago","",IFERROR(INDEX(Pagos_Odoo!$A:$A, MATCH(X683, Pagos_Odoo!$B:$B, 0)), ""))</f>
        <v/>
      </c>
      <c r="AA683" s="79">
        <f>IF(X683="Sin Pago","",IFERROR(INDEX(Pagos_Odoo!$F:$F, MATCH(X683, Pagos_Odoo!$B:$B, 0)), ""))</f>
        <v/>
      </c>
      <c r="AB683" s="81">
        <f>IF(X683="Sin Pago",0,IFERROR(INDEX(Pagos_Odoo!$E:$E, MATCH(X683, Pagos_Odoo!$B:$B, 0)), 0))</f>
        <v/>
      </c>
      <c r="AC683" s="79">
        <f>IF(X683="Sin Pago","",IFERROR(INDEX(Pagos_Odoo!$G:$G, MATCH(X683, Pagos_Odoo!$B:$B, 0)), ""))</f>
        <v/>
      </c>
      <c r="AD683" s="82" t="n">
        <v>0</v>
      </c>
      <c r="AE683" s="82" t="n"/>
      <c r="AF683" s="82" t="n"/>
      <c r="AG683" s="82">
        <f>IF(AN683="","",AD683+AE683+AF683)</f>
        <v/>
      </c>
      <c r="AH683" s="81">
        <f>IF(AN683="","",P683*(1-AG683))</f>
        <v/>
      </c>
      <c r="AI683" s="81">
        <f>IF(AN683="","",IF(Q683="Sin Factura",0,IFERROR(INDEX(Facturas_Odoo!$H:$H, MATCH(Q683, Facturas_Odoo!$B:$B, 0)), 0)*(1-AG683)))</f>
        <v/>
      </c>
      <c r="AJ683" s="81">
        <f>IF(AN683="","",_xlfn.LET(idVenta, AN683&amp;"",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83" s="81">
        <f>IF(AN683="","",AH683-AJ683)</f>
        <v/>
      </c>
      <c r="AL683" s="81">
        <f>IF(AN683="","",IF(Q683="Sin Factura","",AI683-AJ683))</f>
        <v/>
      </c>
      <c r="AM683" s="81">
        <f>IF(AN683="","",IF(Q683="Sin Factura",0,P683-IFERROR(INDEX(Facturas_Odoo!$H:$H, MATCH(Q683, Facturas_Odoo!$B:$B, 0)), 0)))</f>
        <v/>
      </c>
      <c r="AN683" s="79">
        <f>IF(AND(A683="", J683=""), "", IF(A683&lt;&gt;"", VALUE(MID(A683,2,LEN(A683))), AN682))</f>
        <v/>
      </c>
      <c r="AO683" s="79">
        <f>IF(AN683="","",IF(AD683=0,"OK",_xlfn.LET(monedaPago, IF(AA683="","USD",AA683), limitePermitido, IFERROR(VLOOKUP(monedaPago, Configuración!$A$2:$B$3, 2, FALSE), 0.15), IF(AD683&gt;limitePermitido, "ALERTA: EXCESO (" &amp; TEXT(limitePermitido, "0%") &amp; " máx)", "OK"))))</f>
        <v/>
      </c>
      <c r="AP683" s="79">
        <f>IF(AN683="","",IF(AE683=0,"OK",_xlfn.LET(fechaPago, Z683, fechaFactura, R683, diasCredito, IF(E683="Pago inmediato", 0, IFERROR(VALUE(MID(E683, 1, SEARCH(" ", E683)-1)),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83" s="79">
        <f>IF(AN683="","",IF(AND(N683&gt;0, AG683&gt;0), IF(Configuración!$K$2="NO", "ALERTA: DESCUENTO DOBLE NO PERMITIDO", "OK"), "OK"))</f>
        <v/>
      </c>
      <c r="AR683" s="79">
        <f>IF(AN683="","",IF(OR(AO683&lt;&gt;"OK", AP683&lt;&gt;"OK", AQ683&lt;&gt;"OK"), "⚠️ REVISAR", "OK"))</f>
        <v/>
      </c>
    </row>
    <row r="684">
      <c r="A684" s="79">
        <f>IF('Ordenes_Odoo'!A684="","",'Ordenes_Odoo'!A684)</f>
        <v/>
      </c>
      <c r="B684" s="80">
        <f>IF('Ordenes_Odoo'!B684="","",'Ordenes_Odoo'!B684)</f>
        <v/>
      </c>
      <c r="C684" s="79">
        <f>IF('Ordenes_Odoo'!C684="","",'Ordenes_Odoo'!C684)</f>
        <v/>
      </c>
      <c r="D684" s="79">
        <f>IF('Ordenes_Odoo'!D684="","",'Ordenes_Odoo'!D684)</f>
        <v/>
      </c>
      <c r="E684" s="79">
        <f>IF('Ordenes_Odoo'!E684="","",'Ordenes_Odoo'!E684)</f>
        <v/>
      </c>
      <c r="F684" s="79">
        <f>IF('Ordenes_Odoo'!F684="","",'Ordenes_Odoo'!F684)</f>
        <v/>
      </c>
      <c r="G684" s="79">
        <f>IF('Ordenes_Odoo'!G684="","",'Ordenes_Odoo'!G684)</f>
        <v/>
      </c>
      <c r="H684" s="79">
        <f>IF('Ordenes_Odoo'!H684="","",'Ordenes_Odoo'!H684)</f>
        <v/>
      </c>
      <c r="I684" s="79">
        <f>IF('Ordenes_Odoo'!I684="","",'Ordenes_Odoo'!I684)</f>
        <v/>
      </c>
      <c r="J684" s="79">
        <f>IF('Ordenes_Odoo'!J684="","",'Ordenes_Odoo'!J684)</f>
        <v/>
      </c>
      <c r="K684" s="81">
        <f>IF('Ordenes_Odoo'!K684="","",'Ordenes_Odoo'!K684)</f>
        <v/>
      </c>
      <c r="L684" s="81">
        <f>IF('Ordenes_Odoo'!L684="","",'Ordenes_Odoo'!L684)</f>
        <v/>
      </c>
      <c r="M684" s="79">
        <f>IF('Ordenes_Odoo'!M684="","",'Ordenes_Odoo'!M684)</f>
        <v/>
      </c>
      <c r="N684" s="79">
        <f>IF('Ordenes_Odoo'!N684="","",'Ordenes_Odoo'!N684)</f>
        <v/>
      </c>
      <c r="O684" s="81">
        <f>IF('Ordenes_Odoo'!O684="","",'Ordenes_Odoo'!O684)</f>
        <v/>
      </c>
      <c r="P684" s="81">
        <f>IF('Ordenes_Odoo'!P684="","",'Ordenes_Odoo'!P684)</f>
        <v/>
      </c>
      <c r="Q684" s="79">
        <f>IF(A684="","",IFERROR(INDEX(Facturas_Odoo!$B:$B, MATCH(A684, Facturas_Odoo!$D:$D, 0)), "Sin Factura"))</f>
        <v/>
      </c>
      <c r="R684" s="80">
        <f>IF(Q684="Sin Factura","",IFERROR(INDEX(Facturas_Odoo!$A:$A, MATCH(Q684, Facturas_Odoo!$B:$B, 0)), ""))</f>
        <v/>
      </c>
      <c r="S684" s="79">
        <f>IF(Q684="Sin Factura","",IFERROR(_xlfn.XLOOKUP(1, (Facturas_Odoo!$D:$D=A684) * (Facturas_Odoo!$K:$K=I684), Facturas_Odoo!$L:$L, ""), ""))</f>
        <v/>
      </c>
      <c r="T684" s="81">
        <f>IF(Q684="Sin Factura",0,IFERROR(_xlfn.XLOOKUP(1, (Facturas_Odoo!$D:$D=A684) * (Facturas_Odoo!$K:$K=I684), Facturas_Odoo!$M:$M, 0), 0))</f>
        <v/>
      </c>
      <c r="U684" s="79">
        <f>IF(Q684="Sin Factura",0,IFERROR(_xlfn.XLOOKUP(1, (Facturas_Odoo!$D:$D=A684) * (Facturas_Odoo!$K:$K=I684), Facturas_Odoo!$N:$N, 0), 0))</f>
        <v/>
      </c>
      <c r="V684" s="79">
        <f>IF(Q684="Sin Factura",0,IFERROR(_xlfn.XLOOKUP(1, (Facturas_Odoo!$D:$D=A684) * (Facturas_Odoo!$K:$K=I684), Facturas_Odoo!$O:$O, 0), 0))</f>
        <v/>
      </c>
      <c r="W684" s="81">
        <f>IF(Q684="Sin Factura",0,IFERROR(_xlfn.XLOOKUP(1, (Facturas_Odoo!$D:$D=A684) * (Facturas_Odoo!$K:$K=I684), Facturas_Odoo!$Q:$Q, 0), 0))</f>
        <v/>
      </c>
      <c r="X684" s="79">
        <f>IF(OR(Q684="Sin Factura",Q684=""),"",IFERROR(INDEX(Pagos_Odoo!$B:$B, MATCH(Q684, Pagos_Odoo!$I:$I, 0)), "Sin Pago"))</f>
        <v/>
      </c>
      <c r="Y684" s="79">
        <f>IF(X684="Sin Pago","",IFERROR(INDEX(Pagos_Odoo!$C:$C, MATCH(X684, Pagos_Odoo!$B:$B, 0)), ""))</f>
        <v/>
      </c>
      <c r="Z684" s="80">
        <f>IF(X684="Sin Pago","",IFERROR(INDEX(Pagos_Odoo!$A:$A, MATCH(X684, Pagos_Odoo!$B:$B, 0)), ""))</f>
        <v/>
      </c>
      <c r="AA684" s="79">
        <f>IF(X684="Sin Pago","",IFERROR(INDEX(Pagos_Odoo!$F:$F, MATCH(X684, Pagos_Odoo!$B:$B, 0)), ""))</f>
        <v/>
      </c>
      <c r="AB684" s="81">
        <f>IF(X684="Sin Pago",0,IFERROR(INDEX(Pagos_Odoo!$E:$E, MATCH(X684, Pagos_Odoo!$B:$B, 0)), 0))</f>
        <v/>
      </c>
      <c r="AC684" s="79">
        <f>IF(X684="Sin Pago","",IFERROR(INDEX(Pagos_Odoo!$G:$G, MATCH(X684, Pagos_Odoo!$B:$B, 0)), ""))</f>
        <v/>
      </c>
      <c r="AD684" s="82" t="n">
        <v>0</v>
      </c>
      <c r="AE684" s="82" t="n"/>
      <c r="AF684" s="82" t="n"/>
      <c r="AG684" s="82">
        <f>IF(AN684="","",AD684+AE684+AF684)</f>
        <v/>
      </c>
      <c r="AH684" s="81">
        <f>IF(AN684="","",P684*(1-AG684))</f>
        <v/>
      </c>
      <c r="AI684" s="81">
        <f>IF(AN684="","",IF(Q684="Sin Factura",0,IFERROR(INDEX(Facturas_Odoo!$H:$H, MATCH(Q684, Facturas_Odoo!$B:$B, 0)), 0)*(1-AG684)))</f>
        <v/>
      </c>
      <c r="AJ684" s="81">
        <f>IF(AN684="","",_xlfn.LET(idVenta, AN684&amp;"",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84" s="81">
        <f>IF(AN684="","",AH684-AJ684)</f>
        <v/>
      </c>
      <c r="AL684" s="81">
        <f>IF(AN684="","",IF(Q684="Sin Factura","",AI684-AJ684))</f>
        <v/>
      </c>
      <c r="AM684" s="81">
        <f>IF(AN684="","",IF(Q684="Sin Factura",0,P684-IFERROR(INDEX(Facturas_Odoo!$H:$H, MATCH(Q684, Facturas_Odoo!$B:$B, 0)), 0)))</f>
        <v/>
      </c>
      <c r="AN684" s="79">
        <f>IF(AND(A684="", J684=""), "", IF(A684&lt;&gt;"", VALUE(MID(A684,2,LEN(A684))), AN683))</f>
        <v/>
      </c>
      <c r="AO684" s="79">
        <f>IF(AN684="","",IF(AD684=0,"OK",_xlfn.LET(monedaPago, IF(AA684="","USD",AA684), limitePermitido, IFERROR(VLOOKUP(monedaPago, Configuración!$A$2:$B$3, 2, FALSE), 0.15), IF(AD684&gt;limitePermitido, "ALERTA: EXCESO (" &amp; TEXT(limitePermitido, "0%") &amp; " máx)", "OK"))))</f>
        <v/>
      </c>
      <c r="AP684" s="79">
        <f>IF(AN684="","",IF(AE684=0,"OK",_xlfn.LET(fechaPago, Z684, fechaFactura, R684, diasCredito, IF(E684="Pago inmediato", 0, IFERROR(VALUE(MID(E684, 1, SEARCH(" ", E684)-1)),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84" s="79">
        <f>IF(AN684="","",IF(AND(N684&gt;0, AG684&gt;0), IF(Configuración!$K$2="NO", "ALERTA: DESCUENTO DOBLE NO PERMITIDO", "OK"), "OK"))</f>
        <v/>
      </c>
      <c r="AR684" s="79">
        <f>IF(AN684="","",IF(OR(AO684&lt;&gt;"OK", AP684&lt;&gt;"OK", AQ684&lt;&gt;"OK"), "⚠️ REVISAR", "OK"))</f>
        <v/>
      </c>
    </row>
    <row r="685">
      <c r="A685" s="79">
        <f>IF('Ordenes_Odoo'!A685="","",'Ordenes_Odoo'!A685)</f>
        <v/>
      </c>
      <c r="B685" s="80">
        <f>IF('Ordenes_Odoo'!B685="","",'Ordenes_Odoo'!B685)</f>
        <v/>
      </c>
      <c r="C685" s="79">
        <f>IF('Ordenes_Odoo'!C685="","",'Ordenes_Odoo'!C685)</f>
        <v/>
      </c>
      <c r="D685" s="79">
        <f>IF('Ordenes_Odoo'!D685="","",'Ordenes_Odoo'!D685)</f>
        <v/>
      </c>
      <c r="E685" s="79">
        <f>IF('Ordenes_Odoo'!E685="","",'Ordenes_Odoo'!E685)</f>
        <v/>
      </c>
      <c r="F685" s="79">
        <f>IF('Ordenes_Odoo'!F685="","",'Ordenes_Odoo'!F685)</f>
        <v/>
      </c>
      <c r="G685" s="79">
        <f>IF('Ordenes_Odoo'!G685="","",'Ordenes_Odoo'!G685)</f>
        <v/>
      </c>
      <c r="H685" s="79">
        <f>IF('Ordenes_Odoo'!H685="","",'Ordenes_Odoo'!H685)</f>
        <v/>
      </c>
      <c r="I685" s="79">
        <f>IF('Ordenes_Odoo'!I685="","",'Ordenes_Odoo'!I685)</f>
        <v/>
      </c>
      <c r="J685" s="79">
        <f>IF('Ordenes_Odoo'!J685="","",'Ordenes_Odoo'!J685)</f>
        <v/>
      </c>
      <c r="K685" s="81">
        <f>IF('Ordenes_Odoo'!K685="","",'Ordenes_Odoo'!K685)</f>
        <v/>
      </c>
      <c r="L685" s="81">
        <f>IF('Ordenes_Odoo'!L685="","",'Ordenes_Odoo'!L685)</f>
        <v/>
      </c>
      <c r="M685" s="79">
        <f>IF('Ordenes_Odoo'!M685="","",'Ordenes_Odoo'!M685)</f>
        <v/>
      </c>
      <c r="N685" s="79">
        <f>IF('Ordenes_Odoo'!N685="","",'Ordenes_Odoo'!N685)</f>
        <v/>
      </c>
      <c r="O685" s="81">
        <f>IF('Ordenes_Odoo'!O685="","",'Ordenes_Odoo'!O685)</f>
        <v/>
      </c>
      <c r="P685" s="81">
        <f>IF('Ordenes_Odoo'!P685="","",'Ordenes_Odoo'!P685)</f>
        <v/>
      </c>
      <c r="Q685" s="79">
        <f>IF(A685="","",IFERROR(INDEX(Facturas_Odoo!$B:$B, MATCH(A685, Facturas_Odoo!$D:$D, 0)), "Sin Factura"))</f>
        <v/>
      </c>
      <c r="R685" s="80">
        <f>IF(Q685="Sin Factura","",IFERROR(INDEX(Facturas_Odoo!$A:$A, MATCH(Q685, Facturas_Odoo!$B:$B, 0)), ""))</f>
        <v/>
      </c>
      <c r="S685" s="79">
        <f>IF(Q685="Sin Factura","",IFERROR(_xlfn.XLOOKUP(1, (Facturas_Odoo!$D:$D=A685) * (Facturas_Odoo!$K:$K=I685), Facturas_Odoo!$L:$L, ""), ""))</f>
        <v/>
      </c>
      <c r="T685" s="81">
        <f>IF(Q685="Sin Factura",0,IFERROR(_xlfn.XLOOKUP(1, (Facturas_Odoo!$D:$D=A685) * (Facturas_Odoo!$K:$K=I685), Facturas_Odoo!$M:$M, 0), 0))</f>
        <v/>
      </c>
      <c r="U685" s="79">
        <f>IF(Q685="Sin Factura",0,IFERROR(_xlfn.XLOOKUP(1, (Facturas_Odoo!$D:$D=A685) * (Facturas_Odoo!$K:$K=I685), Facturas_Odoo!$N:$N, 0), 0))</f>
        <v/>
      </c>
      <c r="V685" s="79">
        <f>IF(Q685="Sin Factura",0,IFERROR(_xlfn.XLOOKUP(1, (Facturas_Odoo!$D:$D=A685) * (Facturas_Odoo!$K:$K=I685), Facturas_Odoo!$O:$O, 0), 0))</f>
        <v/>
      </c>
      <c r="W685" s="81">
        <f>IF(Q685="Sin Factura",0,IFERROR(_xlfn.XLOOKUP(1, (Facturas_Odoo!$D:$D=A685) * (Facturas_Odoo!$K:$K=I685), Facturas_Odoo!$Q:$Q, 0), 0))</f>
        <v/>
      </c>
      <c r="X685" s="79">
        <f>IF(OR(Q685="Sin Factura",Q685=""),"",IFERROR(INDEX(Pagos_Odoo!$B:$B, MATCH(Q685, Pagos_Odoo!$I:$I, 0)), "Sin Pago"))</f>
        <v/>
      </c>
      <c r="Y685" s="79">
        <f>IF(X685="Sin Pago","",IFERROR(INDEX(Pagos_Odoo!$C:$C, MATCH(X685, Pagos_Odoo!$B:$B, 0)), ""))</f>
        <v/>
      </c>
      <c r="Z685" s="80">
        <f>IF(X685="Sin Pago","",IFERROR(INDEX(Pagos_Odoo!$A:$A, MATCH(X685, Pagos_Odoo!$B:$B, 0)), ""))</f>
        <v/>
      </c>
      <c r="AA685" s="79">
        <f>IF(X685="Sin Pago","",IFERROR(INDEX(Pagos_Odoo!$F:$F, MATCH(X685, Pagos_Odoo!$B:$B, 0)), ""))</f>
        <v/>
      </c>
      <c r="AB685" s="81">
        <f>IF(X685="Sin Pago",0,IFERROR(INDEX(Pagos_Odoo!$E:$E, MATCH(X685, Pagos_Odoo!$B:$B, 0)), 0))</f>
        <v/>
      </c>
      <c r="AC685" s="79">
        <f>IF(X685="Sin Pago","",IFERROR(INDEX(Pagos_Odoo!$G:$G, MATCH(X685, Pagos_Odoo!$B:$B, 0)), ""))</f>
        <v/>
      </c>
      <c r="AD685" s="82" t="n">
        <v>0</v>
      </c>
      <c r="AE685" s="82" t="n"/>
      <c r="AF685" s="82" t="n"/>
      <c r="AG685" s="82">
        <f>IF(AN685="","",AD685+AE685+AF685)</f>
        <v/>
      </c>
      <c r="AH685" s="81">
        <f>IF(AN685="","",P685*(1-AG685))</f>
        <v/>
      </c>
      <c r="AI685" s="81">
        <f>IF(AN685="","",IF(Q685="Sin Factura",0,IFERROR(INDEX(Facturas_Odoo!$H:$H, MATCH(Q685, Facturas_Odoo!$B:$B, 0)), 0)*(1-AG685)))</f>
        <v/>
      </c>
      <c r="AJ685" s="81">
        <f>IF(AN685="","",_xlfn.LET(idVenta, AN685&amp;"",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85" s="81">
        <f>IF(AN685="","",AH685-AJ685)</f>
        <v/>
      </c>
      <c r="AL685" s="81">
        <f>IF(AN685="","",IF(Q685="Sin Factura","",AI685-AJ685))</f>
        <v/>
      </c>
      <c r="AM685" s="81">
        <f>IF(AN685="","",IF(Q685="Sin Factura",0,P685-IFERROR(INDEX(Facturas_Odoo!$H:$H, MATCH(Q685, Facturas_Odoo!$B:$B, 0)), 0)))</f>
        <v/>
      </c>
      <c r="AN685" s="79">
        <f>IF(AND(A685="", J685=""), "", IF(A685&lt;&gt;"", VALUE(MID(A685,2,LEN(A685))), AN684))</f>
        <v/>
      </c>
      <c r="AO685" s="79">
        <f>IF(AN685="","",IF(AD685=0,"OK",_xlfn.LET(monedaPago, IF(AA685="","USD",AA685), limitePermitido, IFERROR(VLOOKUP(monedaPago, Configuración!$A$2:$B$3, 2, FALSE), 0.15), IF(AD685&gt;limitePermitido, "ALERTA: EXCESO (" &amp; TEXT(limitePermitido, "0%") &amp; " máx)", "OK"))))</f>
        <v/>
      </c>
      <c r="AP685" s="79">
        <f>IF(AN685="","",IF(AE685=0,"OK",_xlfn.LET(fechaPago, Z685, fechaFactura, R685, diasCredito, IF(E685="Pago inmediato", 0, IFERROR(VALUE(MID(E685, 1, SEARCH(" ", E685)-1)),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85" s="79">
        <f>IF(AN685="","",IF(AND(N685&gt;0, AG685&gt;0), IF(Configuración!$K$2="NO", "ALERTA: DESCUENTO DOBLE NO PERMITIDO", "OK"), "OK"))</f>
        <v/>
      </c>
      <c r="AR685" s="79">
        <f>IF(AN685="","",IF(OR(AO685&lt;&gt;"OK", AP685&lt;&gt;"OK", AQ685&lt;&gt;"OK"), "⚠️ REVISAR", "OK"))</f>
        <v/>
      </c>
    </row>
    <row r="686">
      <c r="A686" s="79">
        <f>IF('Ordenes_Odoo'!A686="","",'Ordenes_Odoo'!A686)</f>
        <v/>
      </c>
      <c r="B686" s="80">
        <f>IF('Ordenes_Odoo'!B686="","",'Ordenes_Odoo'!B686)</f>
        <v/>
      </c>
      <c r="C686" s="79">
        <f>IF('Ordenes_Odoo'!C686="","",'Ordenes_Odoo'!C686)</f>
        <v/>
      </c>
      <c r="D686" s="79">
        <f>IF('Ordenes_Odoo'!D686="","",'Ordenes_Odoo'!D686)</f>
        <v/>
      </c>
      <c r="E686" s="79">
        <f>IF('Ordenes_Odoo'!E686="","",'Ordenes_Odoo'!E686)</f>
        <v/>
      </c>
      <c r="F686" s="79">
        <f>IF('Ordenes_Odoo'!F686="","",'Ordenes_Odoo'!F686)</f>
        <v/>
      </c>
      <c r="G686" s="79">
        <f>IF('Ordenes_Odoo'!G686="","",'Ordenes_Odoo'!G686)</f>
        <v/>
      </c>
      <c r="H686" s="79">
        <f>IF('Ordenes_Odoo'!H686="","",'Ordenes_Odoo'!H686)</f>
        <v/>
      </c>
      <c r="I686" s="79">
        <f>IF('Ordenes_Odoo'!I686="","",'Ordenes_Odoo'!I686)</f>
        <v/>
      </c>
      <c r="J686" s="79">
        <f>IF('Ordenes_Odoo'!J686="","",'Ordenes_Odoo'!J686)</f>
        <v/>
      </c>
      <c r="K686" s="81">
        <f>IF('Ordenes_Odoo'!K686="","",'Ordenes_Odoo'!K686)</f>
        <v/>
      </c>
      <c r="L686" s="81">
        <f>IF('Ordenes_Odoo'!L686="","",'Ordenes_Odoo'!L686)</f>
        <v/>
      </c>
      <c r="M686" s="79">
        <f>IF('Ordenes_Odoo'!M686="","",'Ordenes_Odoo'!M686)</f>
        <v/>
      </c>
      <c r="N686" s="79">
        <f>IF('Ordenes_Odoo'!N686="","",'Ordenes_Odoo'!N686)</f>
        <v/>
      </c>
      <c r="O686" s="81">
        <f>IF('Ordenes_Odoo'!O686="","",'Ordenes_Odoo'!O686)</f>
        <v/>
      </c>
      <c r="P686" s="81">
        <f>IF('Ordenes_Odoo'!P686="","",'Ordenes_Odoo'!P686)</f>
        <v/>
      </c>
      <c r="Q686" s="79">
        <f>IF(A686="","",IFERROR(INDEX(Facturas_Odoo!$B:$B, MATCH(A686, Facturas_Odoo!$D:$D, 0)), "Sin Factura"))</f>
        <v/>
      </c>
      <c r="R686" s="80">
        <f>IF(Q686="Sin Factura","",IFERROR(INDEX(Facturas_Odoo!$A:$A, MATCH(Q686, Facturas_Odoo!$B:$B, 0)), ""))</f>
        <v/>
      </c>
      <c r="S686" s="79">
        <f>IF(Q686="Sin Factura","",IFERROR(_xlfn.XLOOKUP(1, (Facturas_Odoo!$D:$D=A686) * (Facturas_Odoo!$K:$K=I686), Facturas_Odoo!$L:$L, ""), ""))</f>
        <v/>
      </c>
      <c r="T686" s="81">
        <f>IF(Q686="Sin Factura",0,IFERROR(_xlfn.XLOOKUP(1, (Facturas_Odoo!$D:$D=A686) * (Facturas_Odoo!$K:$K=I686), Facturas_Odoo!$M:$M, 0), 0))</f>
        <v/>
      </c>
      <c r="U686" s="79">
        <f>IF(Q686="Sin Factura",0,IFERROR(_xlfn.XLOOKUP(1, (Facturas_Odoo!$D:$D=A686) * (Facturas_Odoo!$K:$K=I686), Facturas_Odoo!$N:$N, 0), 0))</f>
        <v/>
      </c>
      <c r="V686" s="79">
        <f>IF(Q686="Sin Factura",0,IFERROR(_xlfn.XLOOKUP(1, (Facturas_Odoo!$D:$D=A686) * (Facturas_Odoo!$K:$K=I686), Facturas_Odoo!$O:$O, 0), 0))</f>
        <v/>
      </c>
      <c r="W686" s="81">
        <f>IF(Q686="Sin Factura",0,IFERROR(_xlfn.XLOOKUP(1, (Facturas_Odoo!$D:$D=A686) * (Facturas_Odoo!$K:$K=I686), Facturas_Odoo!$Q:$Q, 0), 0))</f>
        <v/>
      </c>
      <c r="X686" s="79">
        <f>IF(OR(Q686="Sin Factura",Q686=""),"",IFERROR(INDEX(Pagos_Odoo!$B:$B, MATCH(Q686, Pagos_Odoo!$I:$I, 0)), "Sin Pago"))</f>
        <v/>
      </c>
      <c r="Y686" s="79">
        <f>IF(X686="Sin Pago","",IFERROR(INDEX(Pagos_Odoo!$C:$C, MATCH(X686, Pagos_Odoo!$B:$B, 0)), ""))</f>
        <v/>
      </c>
      <c r="Z686" s="80">
        <f>IF(X686="Sin Pago","",IFERROR(INDEX(Pagos_Odoo!$A:$A, MATCH(X686, Pagos_Odoo!$B:$B, 0)), ""))</f>
        <v/>
      </c>
      <c r="AA686" s="79">
        <f>IF(X686="Sin Pago","",IFERROR(INDEX(Pagos_Odoo!$F:$F, MATCH(X686, Pagos_Odoo!$B:$B, 0)), ""))</f>
        <v/>
      </c>
      <c r="AB686" s="81">
        <f>IF(X686="Sin Pago",0,IFERROR(INDEX(Pagos_Odoo!$E:$E, MATCH(X686, Pagos_Odoo!$B:$B, 0)), 0))</f>
        <v/>
      </c>
      <c r="AC686" s="79">
        <f>IF(X686="Sin Pago","",IFERROR(INDEX(Pagos_Odoo!$G:$G, MATCH(X686, Pagos_Odoo!$B:$B, 0)), ""))</f>
        <v/>
      </c>
      <c r="AD686" s="82" t="n">
        <v>0</v>
      </c>
      <c r="AE686" s="82" t="n"/>
      <c r="AF686" s="82" t="n"/>
      <c r="AG686" s="82">
        <f>IF(AN686="","",AD686+AE686+AF686)</f>
        <v/>
      </c>
      <c r="AH686" s="81">
        <f>IF(AN686="","",P686*(1-AG686))</f>
        <v/>
      </c>
      <c r="AI686" s="81">
        <f>IF(AN686="","",IF(Q686="Sin Factura",0,IFERROR(INDEX(Facturas_Odoo!$H:$H, MATCH(Q686, Facturas_Odoo!$B:$B, 0)), 0)*(1-AG686)))</f>
        <v/>
      </c>
      <c r="AJ686" s="81">
        <f>IF(AN686="","",_xlfn.LET(idVenta, AN686&amp;"",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86" s="81">
        <f>IF(AN686="","",AH686-AJ686)</f>
        <v/>
      </c>
      <c r="AL686" s="81">
        <f>IF(AN686="","",IF(Q686="Sin Factura","",AI686-AJ686))</f>
        <v/>
      </c>
      <c r="AM686" s="81">
        <f>IF(AN686="","",IF(Q686="Sin Factura",0,P686-IFERROR(INDEX(Facturas_Odoo!$H:$H, MATCH(Q686, Facturas_Odoo!$B:$B, 0)), 0)))</f>
        <v/>
      </c>
      <c r="AN686" s="79">
        <f>IF(AND(A686="", J686=""), "", IF(A686&lt;&gt;"", VALUE(MID(A686,2,LEN(A686))), AN685))</f>
        <v/>
      </c>
      <c r="AO686" s="79">
        <f>IF(AN686="","",IF(AD686=0,"OK",_xlfn.LET(monedaPago, IF(AA686="","USD",AA686), limitePermitido, IFERROR(VLOOKUP(monedaPago, Configuración!$A$2:$B$3, 2, FALSE), 0.15), IF(AD686&gt;limitePermitido, "ALERTA: EXCESO (" &amp; TEXT(limitePermitido, "0%") &amp; " máx)", "OK"))))</f>
        <v/>
      </c>
      <c r="AP686" s="79">
        <f>IF(AN686="","",IF(AE686=0,"OK",_xlfn.LET(fechaPago, Z686, fechaFactura, R686, diasCredito, IF(E686="Pago inmediato", 0, IFERROR(VALUE(MID(E686, 1, SEARCH(" ", E686)-1)),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86" s="79">
        <f>IF(AN686="","",IF(AND(N686&gt;0, AG686&gt;0), IF(Configuración!$K$2="NO", "ALERTA: DESCUENTO DOBLE NO PERMITIDO", "OK"), "OK"))</f>
        <v/>
      </c>
      <c r="AR686" s="79">
        <f>IF(AN686="","",IF(OR(AO686&lt;&gt;"OK", AP686&lt;&gt;"OK", AQ686&lt;&gt;"OK"), "⚠️ REVISAR", "OK"))</f>
        <v/>
      </c>
    </row>
    <row r="687">
      <c r="A687" s="79">
        <f>IF('Ordenes_Odoo'!A687="","",'Ordenes_Odoo'!A687)</f>
        <v/>
      </c>
      <c r="B687" s="80">
        <f>IF('Ordenes_Odoo'!B687="","",'Ordenes_Odoo'!B687)</f>
        <v/>
      </c>
      <c r="C687" s="79">
        <f>IF('Ordenes_Odoo'!C687="","",'Ordenes_Odoo'!C687)</f>
        <v/>
      </c>
      <c r="D687" s="79">
        <f>IF('Ordenes_Odoo'!D687="","",'Ordenes_Odoo'!D687)</f>
        <v/>
      </c>
      <c r="E687" s="79">
        <f>IF('Ordenes_Odoo'!E687="","",'Ordenes_Odoo'!E687)</f>
        <v/>
      </c>
      <c r="F687" s="79">
        <f>IF('Ordenes_Odoo'!F687="","",'Ordenes_Odoo'!F687)</f>
        <v/>
      </c>
      <c r="G687" s="79">
        <f>IF('Ordenes_Odoo'!G687="","",'Ordenes_Odoo'!G687)</f>
        <v/>
      </c>
      <c r="H687" s="79">
        <f>IF('Ordenes_Odoo'!H687="","",'Ordenes_Odoo'!H687)</f>
        <v/>
      </c>
      <c r="I687" s="79">
        <f>IF('Ordenes_Odoo'!I687="","",'Ordenes_Odoo'!I687)</f>
        <v/>
      </c>
      <c r="J687" s="79">
        <f>IF('Ordenes_Odoo'!J687="","",'Ordenes_Odoo'!J687)</f>
        <v/>
      </c>
      <c r="K687" s="81">
        <f>IF('Ordenes_Odoo'!K687="","",'Ordenes_Odoo'!K687)</f>
        <v/>
      </c>
      <c r="L687" s="81">
        <f>IF('Ordenes_Odoo'!L687="","",'Ordenes_Odoo'!L687)</f>
        <v/>
      </c>
      <c r="M687" s="79">
        <f>IF('Ordenes_Odoo'!M687="","",'Ordenes_Odoo'!M687)</f>
        <v/>
      </c>
      <c r="N687" s="79">
        <f>IF('Ordenes_Odoo'!N687="","",'Ordenes_Odoo'!N687)</f>
        <v/>
      </c>
      <c r="O687" s="81">
        <f>IF('Ordenes_Odoo'!O687="","",'Ordenes_Odoo'!O687)</f>
        <v/>
      </c>
      <c r="P687" s="81">
        <f>IF('Ordenes_Odoo'!P687="","",'Ordenes_Odoo'!P687)</f>
        <v/>
      </c>
      <c r="Q687" s="79">
        <f>IF(A687="","",IFERROR(INDEX(Facturas_Odoo!$B:$B, MATCH(A687, Facturas_Odoo!$D:$D, 0)), "Sin Factura"))</f>
        <v/>
      </c>
      <c r="R687" s="80">
        <f>IF(Q687="Sin Factura","",IFERROR(INDEX(Facturas_Odoo!$A:$A, MATCH(Q687, Facturas_Odoo!$B:$B, 0)), ""))</f>
        <v/>
      </c>
      <c r="S687" s="79">
        <f>IF(Q687="Sin Factura","",IFERROR(_xlfn.XLOOKUP(1, (Facturas_Odoo!$D:$D=A687) * (Facturas_Odoo!$K:$K=I687), Facturas_Odoo!$L:$L, ""), ""))</f>
        <v/>
      </c>
      <c r="T687" s="81">
        <f>IF(Q687="Sin Factura",0,IFERROR(_xlfn.XLOOKUP(1, (Facturas_Odoo!$D:$D=A687) * (Facturas_Odoo!$K:$K=I687), Facturas_Odoo!$M:$M, 0), 0))</f>
        <v/>
      </c>
      <c r="U687" s="79">
        <f>IF(Q687="Sin Factura",0,IFERROR(_xlfn.XLOOKUP(1, (Facturas_Odoo!$D:$D=A687) * (Facturas_Odoo!$K:$K=I687), Facturas_Odoo!$N:$N, 0), 0))</f>
        <v/>
      </c>
      <c r="V687" s="79">
        <f>IF(Q687="Sin Factura",0,IFERROR(_xlfn.XLOOKUP(1, (Facturas_Odoo!$D:$D=A687) * (Facturas_Odoo!$K:$K=I687), Facturas_Odoo!$O:$O, 0), 0))</f>
        <v/>
      </c>
      <c r="W687" s="81">
        <f>IF(Q687="Sin Factura",0,IFERROR(_xlfn.XLOOKUP(1, (Facturas_Odoo!$D:$D=A687) * (Facturas_Odoo!$K:$K=I687), Facturas_Odoo!$Q:$Q, 0), 0))</f>
        <v/>
      </c>
      <c r="X687" s="79">
        <f>IF(OR(Q687="Sin Factura",Q687=""),"",IFERROR(INDEX(Pagos_Odoo!$B:$B, MATCH(Q687, Pagos_Odoo!$I:$I, 0)), "Sin Pago"))</f>
        <v/>
      </c>
      <c r="Y687" s="79">
        <f>IF(X687="Sin Pago","",IFERROR(INDEX(Pagos_Odoo!$C:$C, MATCH(X687, Pagos_Odoo!$B:$B, 0)), ""))</f>
        <v/>
      </c>
      <c r="Z687" s="80">
        <f>IF(X687="Sin Pago","",IFERROR(INDEX(Pagos_Odoo!$A:$A, MATCH(X687, Pagos_Odoo!$B:$B, 0)), ""))</f>
        <v/>
      </c>
      <c r="AA687" s="79">
        <f>IF(X687="Sin Pago","",IFERROR(INDEX(Pagos_Odoo!$F:$F, MATCH(X687, Pagos_Odoo!$B:$B, 0)), ""))</f>
        <v/>
      </c>
      <c r="AB687" s="81">
        <f>IF(X687="Sin Pago",0,IFERROR(INDEX(Pagos_Odoo!$E:$E, MATCH(X687, Pagos_Odoo!$B:$B, 0)), 0))</f>
        <v/>
      </c>
      <c r="AC687" s="79">
        <f>IF(X687="Sin Pago","",IFERROR(INDEX(Pagos_Odoo!$G:$G, MATCH(X687, Pagos_Odoo!$B:$B, 0)), ""))</f>
        <v/>
      </c>
      <c r="AD687" s="82" t="n">
        <v>0</v>
      </c>
      <c r="AE687" s="82" t="n"/>
      <c r="AF687" s="82" t="n"/>
      <c r="AG687" s="82">
        <f>IF(AN687="","",AD687+AE687+AF687)</f>
        <v/>
      </c>
      <c r="AH687" s="81">
        <f>IF(AN687="","",P687*(1-AG687))</f>
        <v/>
      </c>
      <c r="AI687" s="81">
        <f>IF(AN687="","",IF(Q687="Sin Factura",0,IFERROR(INDEX(Facturas_Odoo!$H:$H, MATCH(Q687, Facturas_Odoo!$B:$B, 0)), 0)*(1-AG687)))</f>
        <v/>
      </c>
      <c r="AJ687" s="81">
        <f>IF(AN687="","",_xlfn.LET(idVenta, AN687&amp;"",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87" s="81">
        <f>IF(AN687="","",AH687-AJ687)</f>
        <v/>
      </c>
      <c r="AL687" s="81">
        <f>IF(AN687="","",IF(Q687="Sin Factura","",AI687-AJ687))</f>
        <v/>
      </c>
      <c r="AM687" s="81">
        <f>IF(AN687="","",IF(Q687="Sin Factura",0,P687-IFERROR(INDEX(Facturas_Odoo!$H:$H, MATCH(Q687, Facturas_Odoo!$B:$B, 0)), 0)))</f>
        <v/>
      </c>
      <c r="AN687" s="79">
        <f>IF(AND(A687="", J687=""), "", IF(A687&lt;&gt;"", VALUE(MID(A687,2,LEN(A687))), AN686))</f>
        <v/>
      </c>
      <c r="AO687" s="79">
        <f>IF(AN687="","",IF(AD687=0,"OK",_xlfn.LET(monedaPago, IF(AA687="","USD",AA687), limitePermitido, IFERROR(VLOOKUP(monedaPago, Configuración!$A$2:$B$3, 2, FALSE), 0.15), IF(AD687&gt;limitePermitido, "ALERTA: EXCESO (" &amp; TEXT(limitePermitido, "0%") &amp; " máx)", "OK"))))</f>
        <v/>
      </c>
      <c r="AP687" s="79">
        <f>IF(AN687="","",IF(AE687=0,"OK",_xlfn.LET(fechaPago, Z687, fechaFactura, R687, diasCredito, IF(E687="Pago inmediato", 0, IFERROR(VALUE(MID(E687, 1, SEARCH(" ", E687)-1)),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87" s="79">
        <f>IF(AN687="","",IF(AND(N687&gt;0, AG687&gt;0), IF(Configuración!$K$2="NO", "ALERTA: DESCUENTO DOBLE NO PERMITIDO", "OK"), "OK"))</f>
        <v/>
      </c>
      <c r="AR687" s="79">
        <f>IF(AN687="","",IF(OR(AO687&lt;&gt;"OK", AP687&lt;&gt;"OK", AQ687&lt;&gt;"OK"), "⚠️ REVISAR", "OK"))</f>
        <v/>
      </c>
    </row>
    <row r="688">
      <c r="A688" s="79">
        <f>IF('Ordenes_Odoo'!A688="","",'Ordenes_Odoo'!A688)</f>
        <v/>
      </c>
      <c r="B688" s="80">
        <f>IF('Ordenes_Odoo'!B688="","",'Ordenes_Odoo'!B688)</f>
        <v/>
      </c>
      <c r="C688" s="79">
        <f>IF('Ordenes_Odoo'!C688="","",'Ordenes_Odoo'!C688)</f>
        <v/>
      </c>
      <c r="D688" s="79">
        <f>IF('Ordenes_Odoo'!D688="","",'Ordenes_Odoo'!D688)</f>
        <v/>
      </c>
      <c r="E688" s="79">
        <f>IF('Ordenes_Odoo'!E688="","",'Ordenes_Odoo'!E688)</f>
        <v/>
      </c>
      <c r="F688" s="79">
        <f>IF('Ordenes_Odoo'!F688="","",'Ordenes_Odoo'!F688)</f>
        <v/>
      </c>
      <c r="G688" s="79">
        <f>IF('Ordenes_Odoo'!G688="","",'Ordenes_Odoo'!G688)</f>
        <v/>
      </c>
      <c r="H688" s="79">
        <f>IF('Ordenes_Odoo'!H688="","",'Ordenes_Odoo'!H688)</f>
        <v/>
      </c>
      <c r="I688" s="79">
        <f>IF('Ordenes_Odoo'!I688="","",'Ordenes_Odoo'!I688)</f>
        <v/>
      </c>
      <c r="J688" s="79">
        <f>IF('Ordenes_Odoo'!J688="","",'Ordenes_Odoo'!J688)</f>
        <v/>
      </c>
      <c r="K688" s="81">
        <f>IF('Ordenes_Odoo'!K688="","",'Ordenes_Odoo'!K688)</f>
        <v/>
      </c>
      <c r="L688" s="81">
        <f>IF('Ordenes_Odoo'!L688="","",'Ordenes_Odoo'!L688)</f>
        <v/>
      </c>
      <c r="M688" s="79">
        <f>IF('Ordenes_Odoo'!M688="","",'Ordenes_Odoo'!M688)</f>
        <v/>
      </c>
      <c r="N688" s="79">
        <f>IF('Ordenes_Odoo'!N688="","",'Ordenes_Odoo'!N688)</f>
        <v/>
      </c>
      <c r="O688" s="81">
        <f>IF('Ordenes_Odoo'!O688="","",'Ordenes_Odoo'!O688)</f>
        <v/>
      </c>
      <c r="P688" s="81">
        <f>IF('Ordenes_Odoo'!P688="","",'Ordenes_Odoo'!P688)</f>
        <v/>
      </c>
      <c r="Q688" s="79">
        <f>IF(A688="","",IFERROR(INDEX(Facturas_Odoo!$B:$B, MATCH(A688, Facturas_Odoo!$D:$D, 0)), "Sin Factura"))</f>
        <v/>
      </c>
      <c r="R688" s="80">
        <f>IF(Q688="Sin Factura","",IFERROR(INDEX(Facturas_Odoo!$A:$A, MATCH(Q688, Facturas_Odoo!$B:$B, 0)), ""))</f>
        <v/>
      </c>
      <c r="S688" s="79">
        <f>IF(Q688="Sin Factura","",IFERROR(_xlfn.XLOOKUP(1, (Facturas_Odoo!$D:$D=A688) * (Facturas_Odoo!$K:$K=I688), Facturas_Odoo!$L:$L, ""), ""))</f>
        <v/>
      </c>
      <c r="T688" s="81">
        <f>IF(Q688="Sin Factura",0,IFERROR(_xlfn.XLOOKUP(1, (Facturas_Odoo!$D:$D=A688) * (Facturas_Odoo!$K:$K=I688), Facturas_Odoo!$M:$M, 0), 0))</f>
        <v/>
      </c>
      <c r="U688" s="79">
        <f>IF(Q688="Sin Factura",0,IFERROR(_xlfn.XLOOKUP(1, (Facturas_Odoo!$D:$D=A688) * (Facturas_Odoo!$K:$K=I688), Facturas_Odoo!$N:$N, 0), 0))</f>
        <v/>
      </c>
      <c r="V688" s="79">
        <f>IF(Q688="Sin Factura",0,IFERROR(_xlfn.XLOOKUP(1, (Facturas_Odoo!$D:$D=A688) * (Facturas_Odoo!$K:$K=I688), Facturas_Odoo!$O:$O, 0), 0))</f>
        <v/>
      </c>
      <c r="W688" s="81">
        <f>IF(Q688="Sin Factura",0,IFERROR(_xlfn.XLOOKUP(1, (Facturas_Odoo!$D:$D=A688) * (Facturas_Odoo!$K:$K=I688), Facturas_Odoo!$Q:$Q, 0), 0))</f>
        <v/>
      </c>
      <c r="X688" s="79">
        <f>IF(OR(Q688="Sin Factura",Q688=""),"",IFERROR(INDEX(Pagos_Odoo!$B:$B, MATCH(Q688, Pagos_Odoo!$I:$I, 0)), "Sin Pago"))</f>
        <v/>
      </c>
      <c r="Y688" s="79">
        <f>IF(X688="Sin Pago","",IFERROR(INDEX(Pagos_Odoo!$C:$C, MATCH(X688, Pagos_Odoo!$B:$B, 0)), ""))</f>
        <v/>
      </c>
      <c r="Z688" s="80">
        <f>IF(X688="Sin Pago","",IFERROR(INDEX(Pagos_Odoo!$A:$A, MATCH(X688, Pagos_Odoo!$B:$B, 0)), ""))</f>
        <v/>
      </c>
      <c r="AA688" s="79">
        <f>IF(X688="Sin Pago","",IFERROR(INDEX(Pagos_Odoo!$F:$F, MATCH(X688, Pagos_Odoo!$B:$B, 0)), ""))</f>
        <v/>
      </c>
      <c r="AB688" s="81">
        <f>IF(X688="Sin Pago",0,IFERROR(INDEX(Pagos_Odoo!$E:$E, MATCH(X688, Pagos_Odoo!$B:$B, 0)), 0))</f>
        <v/>
      </c>
      <c r="AC688" s="79">
        <f>IF(X688="Sin Pago","",IFERROR(INDEX(Pagos_Odoo!$G:$G, MATCH(X688, Pagos_Odoo!$B:$B, 0)), ""))</f>
        <v/>
      </c>
      <c r="AD688" s="82" t="n">
        <v>0</v>
      </c>
      <c r="AE688" s="82" t="n"/>
      <c r="AF688" s="82" t="n"/>
      <c r="AG688" s="82">
        <f>IF(AN688="","",AD688+AE688+AF688)</f>
        <v/>
      </c>
      <c r="AH688" s="81">
        <f>IF(AN688="","",P688*(1-AG688))</f>
        <v/>
      </c>
      <c r="AI688" s="81">
        <f>IF(AN688="","",IF(Q688="Sin Factura",0,IFERROR(INDEX(Facturas_Odoo!$H:$H, MATCH(Q688, Facturas_Odoo!$B:$B, 0)), 0)*(1-AG688)))</f>
        <v/>
      </c>
      <c r="AJ688" s="81">
        <f>IF(AN688="","",_xlfn.LET(idVenta, AN688&amp;"",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88" s="81">
        <f>IF(AN688="","",AH688-AJ688)</f>
        <v/>
      </c>
      <c r="AL688" s="81">
        <f>IF(AN688="","",IF(Q688="Sin Factura","",AI688-AJ688))</f>
        <v/>
      </c>
      <c r="AM688" s="81">
        <f>IF(AN688="","",IF(Q688="Sin Factura",0,P688-IFERROR(INDEX(Facturas_Odoo!$H:$H, MATCH(Q688, Facturas_Odoo!$B:$B, 0)), 0)))</f>
        <v/>
      </c>
      <c r="AN688" s="79">
        <f>IF(AND(A688="", J688=""), "", IF(A688&lt;&gt;"", VALUE(MID(A688,2,LEN(A688))), AN687))</f>
        <v/>
      </c>
      <c r="AO688" s="79">
        <f>IF(AN688="","",IF(AD688=0,"OK",_xlfn.LET(monedaPago, IF(AA688="","USD",AA688), limitePermitido, IFERROR(VLOOKUP(monedaPago, Configuración!$A$2:$B$3, 2, FALSE), 0.15), IF(AD688&gt;limitePermitido, "ALERTA: EXCESO (" &amp; TEXT(limitePermitido, "0%") &amp; " máx)", "OK"))))</f>
        <v/>
      </c>
      <c r="AP688" s="79">
        <f>IF(AN688="","",IF(AE688=0,"OK",_xlfn.LET(fechaPago, Z688, fechaFactura, R688, diasCredito, IF(E688="Pago inmediato", 0, IFERROR(VALUE(MID(E688, 1, SEARCH(" ", E688)-1)),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88" s="79">
        <f>IF(AN688="","",IF(AND(N688&gt;0, AG688&gt;0), IF(Configuración!$K$2="NO", "ALERTA: DESCUENTO DOBLE NO PERMITIDO", "OK"), "OK"))</f>
        <v/>
      </c>
      <c r="AR688" s="79">
        <f>IF(AN688="","",IF(OR(AO688&lt;&gt;"OK", AP688&lt;&gt;"OK", AQ688&lt;&gt;"OK"), "⚠️ REVISAR", "OK"))</f>
        <v/>
      </c>
    </row>
    <row r="689">
      <c r="A689" s="79">
        <f>IF('Ordenes_Odoo'!A689="","",'Ordenes_Odoo'!A689)</f>
        <v/>
      </c>
      <c r="B689" s="80">
        <f>IF('Ordenes_Odoo'!B689="","",'Ordenes_Odoo'!B689)</f>
        <v/>
      </c>
      <c r="C689" s="79">
        <f>IF('Ordenes_Odoo'!C689="","",'Ordenes_Odoo'!C689)</f>
        <v/>
      </c>
      <c r="D689" s="79">
        <f>IF('Ordenes_Odoo'!D689="","",'Ordenes_Odoo'!D689)</f>
        <v/>
      </c>
      <c r="E689" s="79">
        <f>IF('Ordenes_Odoo'!E689="","",'Ordenes_Odoo'!E689)</f>
        <v/>
      </c>
      <c r="F689" s="79">
        <f>IF('Ordenes_Odoo'!F689="","",'Ordenes_Odoo'!F689)</f>
        <v/>
      </c>
      <c r="G689" s="79">
        <f>IF('Ordenes_Odoo'!G689="","",'Ordenes_Odoo'!G689)</f>
        <v/>
      </c>
      <c r="H689" s="79">
        <f>IF('Ordenes_Odoo'!H689="","",'Ordenes_Odoo'!H689)</f>
        <v/>
      </c>
      <c r="I689" s="79">
        <f>IF('Ordenes_Odoo'!I689="","",'Ordenes_Odoo'!I689)</f>
        <v/>
      </c>
      <c r="J689" s="79">
        <f>IF('Ordenes_Odoo'!J689="","",'Ordenes_Odoo'!J689)</f>
        <v/>
      </c>
      <c r="K689" s="81">
        <f>IF('Ordenes_Odoo'!K689="","",'Ordenes_Odoo'!K689)</f>
        <v/>
      </c>
      <c r="L689" s="81">
        <f>IF('Ordenes_Odoo'!L689="","",'Ordenes_Odoo'!L689)</f>
        <v/>
      </c>
      <c r="M689" s="79">
        <f>IF('Ordenes_Odoo'!M689="","",'Ordenes_Odoo'!M689)</f>
        <v/>
      </c>
      <c r="N689" s="79">
        <f>IF('Ordenes_Odoo'!N689="","",'Ordenes_Odoo'!N689)</f>
        <v/>
      </c>
      <c r="O689" s="81">
        <f>IF('Ordenes_Odoo'!O689="","",'Ordenes_Odoo'!O689)</f>
        <v/>
      </c>
      <c r="P689" s="81">
        <f>IF('Ordenes_Odoo'!P689="","",'Ordenes_Odoo'!P689)</f>
        <v/>
      </c>
      <c r="Q689" s="79">
        <f>IF(A689="","",IFERROR(INDEX(Facturas_Odoo!$B:$B, MATCH(A689, Facturas_Odoo!$D:$D, 0)), "Sin Factura"))</f>
        <v/>
      </c>
      <c r="R689" s="80">
        <f>IF(Q689="Sin Factura","",IFERROR(INDEX(Facturas_Odoo!$A:$A, MATCH(Q689, Facturas_Odoo!$B:$B, 0)), ""))</f>
        <v/>
      </c>
      <c r="S689" s="79">
        <f>IF(Q689="Sin Factura","",IFERROR(_xlfn.XLOOKUP(1, (Facturas_Odoo!$D:$D=A689) * (Facturas_Odoo!$K:$K=I689), Facturas_Odoo!$L:$L, ""), ""))</f>
        <v/>
      </c>
      <c r="T689" s="81">
        <f>IF(Q689="Sin Factura",0,IFERROR(_xlfn.XLOOKUP(1, (Facturas_Odoo!$D:$D=A689) * (Facturas_Odoo!$K:$K=I689), Facturas_Odoo!$M:$M, 0), 0))</f>
        <v/>
      </c>
      <c r="U689" s="79">
        <f>IF(Q689="Sin Factura",0,IFERROR(_xlfn.XLOOKUP(1, (Facturas_Odoo!$D:$D=A689) * (Facturas_Odoo!$K:$K=I689), Facturas_Odoo!$N:$N, 0), 0))</f>
        <v/>
      </c>
      <c r="V689" s="79">
        <f>IF(Q689="Sin Factura",0,IFERROR(_xlfn.XLOOKUP(1, (Facturas_Odoo!$D:$D=A689) * (Facturas_Odoo!$K:$K=I689), Facturas_Odoo!$O:$O, 0), 0))</f>
        <v/>
      </c>
      <c r="W689" s="81">
        <f>IF(Q689="Sin Factura",0,IFERROR(_xlfn.XLOOKUP(1, (Facturas_Odoo!$D:$D=A689) * (Facturas_Odoo!$K:$K=I689), Facturas_Odoo!$Q:$Q, 0), 0))</f>
        <v/>
      </c>
      <c r="X689" s="79">
        <f>IF(OR(Q689="Sin Factura",Q689=""),"",IFERROR(INDEX(Pagos_Odoo!$B:$B, MATCH(Q689, Pagos_Odoo!$I:$I, 0)), "Sin Pago"))</f>
        <v/>
      </c>
      <c r="Y689" s="79">
        <f>IF(X689="Sin Pago","",IFERROR(INDEX(Pagos_Odoo!$C:$C, MATCH(X689, Pagos_Odoo!$B:$B, 0)), ""))</f>
        <v/>
      </c>
      <c r="Z689" s="80">
        <f>IF(X689="Sin Pago","",IFERROR(INDEX(Pagos_Odoo!$A:$A, MATCH(X689, Pagos_Odoo!$B:$B, 0)), ""))</f>
        <v/>
      </c>
      <c r="AA689" s="79">
        <f>IF(X689="Sin Pago","",IFERROR(INDEX(Pagos_Odoo!$F:$F, MATCH(X689, Pagos_Odoo!$B:$B, 0)), ""))</f>
        <v/>
      </c>
      <c r="AB689" s="81">
        <f>IF(X689="Sin Pago",0,IFERROR(INDEX(Pagos_Odoo!$E:$E, MATCH(X689, Pagos_Odoo!$B:$B, 0)), 0))</f>
        <v/>
      </c>
      <c r="AC689" s="79">
        <f>IF(X689="Sin Pago","",IFERROR(INDEX(Pagos_Odoo!$G:$G, MATCH(X689, Pagos_Odoo!$B:$B, 0)), ""))</f>
        <v/>
      </c>
      <c r="AD689" s="82" t="n">
        <v>0</v>
      </c>
      <c r="AE689" s="82" t="n"/>
      <c r="AF689" s="82" t="n"/>
      <c r="AG689" s="82">
        <f>IF(AN689="","",AD689+AE689+AF689)</f>
        <v/>
      </c>
      <c r="AH689" s="81">
        <f>IF(AN689="","",P689*(1-AG689))</f>
        <v/>
      </c>
      <c r="AI689" s="81">
        <f>IF(AN689="","",IF(Q689="Sin Factura",0,IFERROR(INDEX(Facturas_Odoo!$H:$H, MATCH(Q689, Facturas_Odoo!$B:$B, 0)), 0)*(1-AG689)))</f>
        <v/>
      </c>
      <c r="AJ689" s="81">
        <f>IF(AN689="","",_xlfn.LET(idVenta, AN689&amp;"",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89" s="81">
        <f>IF(AN689="","",AH689-AJ689)</f>
        <v/>
      </c>
      <c r="AL689" s="81">
        <f>IF(AN689="","",IF(Q689="Sin Factura","",AI689-AJ689))</f>
        <v/>
      </c>
      <c r="AM689" s="81">
        <f>IF(AN689="","",IF(Q689="Sin Factura",0,P689-IFERROR(INDEX(Facturas_Odoo!$H:$H, MATCH(Q689, Facturas_Odoo!$B:$B, 0)), 0)))</f>
        <v/>
      </c>
      <c r="AN689" s="79">
        <f>IF(AND(A689="", J689=""), "", IF(A689&lt;&gt;"", VALUE(MID(A689,2,LEN(A689))), AN688))</f>
        <v/>
      </c>
      <c r="AO689" s="79">
        <f>IF(AN689="","",IF(AD689=0,"OK",_xlfn.LET(monedaPago, IF(AA689="","USD",AA689), limitePermitido, IFERROR(VLOOKUP(monedaPago, Configuración!$A$2:$B$3, 2, FALSE), 0.15), IF(AD689&gt;limitePermitido, "ALERTA: EXCESO (" &amp; TEXT(limitePermitido, "0%") &amp; " máx)", "OK"))))</f>
        <v/>
      </c>
      <c r="AP689" s="79">
        <f>IF(AN689="","",IF(AE689=0,"OK",_xlfn.LET(fechaPago, Z689, fechaFactura, R689, diasCredito, IF(E689="Pago inmediato", 0, IFERROR(VALUE(MID(E689, 1, SEARCH(" ", E689)-1)),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89" s="79">
        <f>IF(AN689="","",IF(AND(N689&gt;0, AG689&gt;0), IF(Configuración!$K$2="NO", "ALERTA: DESCUENTO DOBLE NO PERMITIDO", "OK"), "OK"))</f>
        <v/>
      </c>
      <c r="AR689" s="79">
        <f>IF(AN689="","",IF(OR(AO689&lt;&gt;"OK", AP689&lt;&gt;"OK", AQ689&lt;&gt;"OK"), "⚠️ REVISAR", "OK"))</f>
        <v/>
      </c>
    </row>
    <row r="690">
      <c r="A690" s="79">
        <f>IF('Ordenes_Odoo'!A690="","",'Ordenes_Odoo'!A690)</f>
        <v/>
      </c>
      <c r="B690" s="80">
        <f>IF('Ordenes_Odoo'!B690="","",'Ordenes_Odoo'!B690)</f>
        <v/>
      </c>
      <c r="C690" s="79">
        <f>IF('Ordenes_Odoo'!C690="","",'Ordenes_Odoo'!C690)</f>
        <v/>
      </c>
      <c r="D690" s="79">
        <f>IF('Ordenes_Odoo'!D690="","",'Ordenes_Odoo'!D690)</f>
        <v/>
      </c>
      <c r="E690" s="79">
        <f>IF('Ordenes_Odoo'!E690="","",'Ordenes_Odoo'!E690)</f>
        <v/>
      </c>
      <c r="F690" s="79">
        <f>IF('Ordenes_Odoo'!F690="","",'Ordenes_Odoo'!F690)</f>
        <v/>
      </c>
      <c r="G690" s="79">
        <f>IF('Ordenes_Odoo'!G690="","",'Ordenes_Odoo'!G690)</f>
        <v/>
      </c>
      <c r="H690" s="79">
        <f>IF('Ordenes_Odoo'!H690="","",'Ordenes_Odoo'!H690)</f>
        <v/>
      </c>
      <c r="I690" s="79">
        <f>IF('Ordenes_Odoo'!I690="","",'Ordenes_Odoo'!I690)</f>
        <v/>
      </c>
      <c r="J690" s="79">
        <f>IF('Ordenes_Odoo'!J690="","",'Ordenes_Odoo'!J690)</f>
        <v/>
      </c>
      <c r="K690" s="81">
        <f>IF('Ordenes_Odoo'!K690="","",'Ordenes_Odoo'!K690)</f>
        <v/>
      </c>
      <c r="L690" s="81">
        <f>IF('Ordenes_Odoo'!L690="","",'Ordenes_Odoo'!L690)</f>
        <v/>
      </c>
      <c r="M690" s="79">
        <f>IF('Ordenes_Odoo'!M690="","",'Ordenes_Odoo'!M690)</f>
        <v/>
      </c>
      <c r="N690" s="79">
        <f>IF('Ordenes_Odoo'!N690="","",'Ordenes_Odoo'!N690)</f>
        <v/>
      </c>
      <c r="O690" s="81">
        <f>IF('Ordenes_Odoo'!O690="","",'Ordenes_Odoo'!O690)</f>
        <v/>
      </c>
      <c r="P690" s="81">
        <f>IF('Ordenes_Odoo'!P690="","",'Ordenes_Odoo'!P690)</f>
        <v/>
      </c>
      <c r="Q690" s="79">
        <f>IF(A690="","",IFERROR(INDEX(Facturas_Odoo!$B:$B, MATCH(A690, Facturas_Odoo!$D:$D, 0)), "Sin Factura"))</f>
        <v/>
      </c>
      <c r="R690" s="80">
        <f>IF(Q690="Sin Factura","",IFERROR(INDEX(Facturas_Odoo!$A:$A, MATCH(Q690, Facturas_Odoo!$B:$B, 0)), ""))</f>
        <v/>
      </c>
      <c r="S690" s="79">
        <f>IF(Q690="Sin Factura","",IFERROR(_xlfn.XLOOKUP(1, (Facturas_Odoo!$D:$D=A690) * (Facturas_Odoo!$K:$K=I690), Facturas_Odoo!$L:$L, ""), ""))</f>
        <v/>
      </c>
      <c r="T690" s="81">
        <f>IF(Q690="Sin Factura",0,IFERROR(_xlfn.XLOOKUP(1, (Facturas_Odoo!$D:$D=A690) * (Facturas_Odoo!$K:$K=I690), Facturas_Odoo!$M:$M, 0), 0))</f>
        <v/>
      </c>
      <c r="U690" s="79">
        <f>IF(Q690="Sin Factura",0,IFERROR(_xlfn.XLOOKUP(1, (Facturas_Odoo!$D:$D=A690) * (Facturas_Odoo!$K:$K=I690), Facturas_Odoo!$N:$N, 0), 0))</f>
        <v/>
      </c>
      <c r="V690" s="79">
        <f>IF(Q690="Sin Factura",0,IFERROR(_xlfn.XLOOKUP(1, (Facturas_Odoo!$D:$D=A690) * (Facturas_Odoo!$K:$K=I690), Facturas_Odoo!$O:$O, 0), 0))</f>
        <v/>
      </c>
      <c r="W690" s="81">
        <f>IF(Q690="Sin Factura",0,IFERROR(_xlfn.XLOOKUP(1, (Facturas_Odoo!$D:$D=A690) * (Facturas_Odoo!$K:$K=I690), Facturas_Odoo!$Q:$Q, 0), 0))</f>
        <v/>
      </c>
      <c r="X690" s="79">
        <f>IF(OR(Q690="Sin Factura",Q690=""),"",IFERROR(INDEX(Pagos_Odoo!$B:$B, MATCH(Q690, Pagos_Odoo!$I:$I, 0)), "Sin Pago"))</f>
        <v/>
      </c>
      <c r="Y690" s="79">
        <f>IF(X690="Sin Pago","",IFERROR(INDEX(Pagos_Odoo!$C:$C, MATCH(X690, Pagos_Odoo!$B:$B, 0)), ""))</f>
        <v/>
      </c>
      <c r="Z690" s="80">
        <f>IF(X690="Sin Pago","",IFERROR(INDEX(Pagos_Odoo!$A:$A, MATCH(X690, Pagos_Odoo!$B:$B, 0)), ""))</f>
        <v/>
      </c>
      <c r="AA690" s="79">
        <f>IF(X690="Sin Pago","",IFERROR(INDEX(Pagos_Odoo!$F:$F, MATCH(X690, Pagos_Odoo!$B:$B, 0)), ""))</f>
        <v/>
      </c>
      <c r="AB690" s="81">
        <f>IF(X690="Sin Pago",0,IFERROR(INDEX(Pagos_Odoo!$E:$E, MATCH(X690, Pagos_Odoo!$B:$B, 0)), 0))</f>
        <v/>
      </c>
      <c r="AC690" s="79">
        <f>IF(X690="Sin Pago","",IFERROR(INDEX(Pagos_Odoo!$G:$G, MATCH(X690, Pagos_Odoo!$B:$B, 0)), ""))</f>
        <v/>
      </c>
      <c r="AD690" s="82" t="n">
        <v>0</v>
      </c>
      <c r="AE690" s="82" t="n"/>
      <c r="AF690" s="82" t="n"/>
      <c r="AG690" s="82">
        <f>IF(AN690="","",AD690+AE690+AF690)</f>
        <v/>
      </c>
      <c r="AH690" s="81">
        <f>IF(AN690="","",P690*(1-AG690))</f>
        <v/>
      </c>
      <c r="AI690" s="81">
        <f>IF(AN690="","",IF(Q690="Sin Factura",0,IFERROR(INDEX(Facturas_Odoo!$H:$H, MATCH(Q690, Facturas_Odoo!$B:$B, 0)), 0)*(1-AG690)))</f>
        <v/>
      </c>
      <c r="AJ690" s="81">
        <f>IF(AN690="","",_xlfn.LET(idVenta, AN690&amp;"",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90" s="81">
        <f>IF(AN690="","",AH690-AJ690)</f>
        <v/>
      </c>
      <c r="AL690" s="81">
        <f>IF(AN690="","",IF(Q690="Sin Factura","",AI690-AJ690))</f>
        <v/>
      </c>
      <c r="AM690" s="81">
        <f>IF(AN690="","",IF(Q690="Sin Factura",0,P690-IFERROR(INDEX(Facturas_Odoo!$H:$H, MATCH(Q690, Facturas_Odoo!$B:$B, 0)), 0)))</f>
        <v/>
      </c>
      <c r="AN690" s="79">
        <f>IF(AND(A690="", J690=""), "", IF(A690&lt;&gt;"", VALUE(MID(A690,2,LEN(A690))), AN689))</f>
        <v/>
      </c>
      <c r="AO690" s="79">
        <f>IF(AN690="","",IF(AD690=0,"OK",_xlfn.LET(monedaPago, IF(AA690="","USD",AA690), limitePermitido, IFERROR(VLOOKUP(monedaPago, Configuración!$A$2:$B$3, 2, FALSE), 0.15), IF(AD690&gt;limitePermitido, "ALERTA: EXCESO (" &amp; TEXT(limitePermitido, "0%") &amp; " máx)", "OK"))))</f>
        <v/>
      </c>
      <c r="AP690" s="79">
        <f>IF(AN690="","",IF(AE690=0,"OK",_xlfn.LET(fechaPago, Z690, fechaFactura, R690, diasCredito, IF(E690="Pago inmediato", 0, IFERROR(VALUE(MID(E690, 1, SEARCH(" ", E690)-1)),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90" s="79">
        <f>IF(AN690="","",IF(AND(N690&gt;0, AG690&gt;0), IF(Configuración!$K$2="NO", "ALERTA: DESCUENTO DOBLE NO PERMITIDO", "OK"), "OK"))</f>
        <v/>
      </c>
      <c r="AR690" s="79">
        <f>IF(AN690="","",IF(OR(AO690&lt;&gt;"OK", AP690&lt;&gt;"OK", AQ690&lt;&gt;"OK"), "⚠️ REVISAR", "OK"))</f>
        <v/>
      </c>
    </row>
    <row r="691">
      <c r="A691" s="79">
        <f>IF('Ordenes_Odoo'!A691="","",'Ordenes_Odoo'!A691)</f>
        <v/>
      </c>
      <c r="B691" s="80">
        <f>IF('Ordenes_Odoo'!B691="","",'Ordenes_Odoo'!B691)</f>
        <v/>
      </c>
      <c r="C691" s="79">
        <f>IF('Ordenes_Odoo'!C691="","",'Ordenes_Odoo'!C691)</f>
        <v/>
      </c>
      <c r="D691" s="79">
        <f>IF('Ordenes_Odoo'!D691="","",'Ordenes_Odoo'!D691)</f>
        <v/>
      </c>
      <c r="E691" s="79">
        <f>IF('Ordenes_Odoo'!E691="","",'Ordenes_Odoo'!E691)</f>
        <v/>
      </c>
      <c r="F691" s="79">
        <f>IF('Ordenes_Odoo'!F691="","",'Ordenes_Odoo'!F691)</f>
        <v/>
      </c>
      <c r="G691" s="79">
        <f>IF('Ordenes_Odoo'!G691="","",'Ordenes_Odoo'!G691)</f>
        <v/>
      </c>
      <c r="H691" s="79">
        <f>IF('Ordenes_Odoo'!H691="","",'Ordenes_Odoo'!H691)</f>
        <v/>
      </c>
      <c r="I691" s="79">
        <f>IF('Ordenes_Odoo'!I691="","",'Ordenes_Odoo'!I691)</f>
        <v/>
      </c>
      <c r="J691" s="79">
        <f>IF('Ordenes_Odoo'!J691="","",'Ordenes_Odoo'!J691)</f>
        <v/>
      </c>
      <c r="K691" s="81">
        <f>IF('Ordenes_Odoo'!K691="","",'Ordenes_Odoo'!K691)</f>
        <v/>
      </c>
      <c r="L691" s="81">
        <f>IF('Ordenes_Odoo'!L691="","",'Ordenes_Odoo'!L691)</f>
        <v/>
      </c>
      <c r="M691" s="79">
        <f>IF('Ordenes_Odoo'!M691="","",'Ordenes_Odoo'!M691)</f>
        <v/>
      </c>
      <c r="N691" s="79">
        <f>IF('Ordenes_Odoo'!N691="","",'Ordenes_Odoo'!N691)</f>
        <v/>
      </c>
      <c r="O691" s="81">
        <f>IF('Ordenes_Odoo'!O691="","",'Ordenes_Odoo'!O691)</f>
        <v/>
      </c>
      <c r="P691" s="81">
        <f>IF('Ordenes_Odoo'!P691="","",'Ordenes_Odoo'!P691)</f>
        <v/>
      </c>
      <c r="Q691" s="79">
        <f>IF(A691="","",IFERROR(INDEX(Facturas_Odoo!$B:$B, MATCH(A691, Facturas_Odoo!$D:$D, 0)), "Sin Factura"))</f>
        <v/>
      </c>
      <c r="R691" s="80">
        <f>IF(Q691="Sin Factura","",IFERROR(INDEX(Facturas_Odoo!$A:$A, MATCH(Q691, Facturas_Odoo!$B:$B, 0)), ""))</f>
        <v/>
      </c>
      <c r="S691" s="79">
        <f>IF(Q691="Sin Factura","",IFERROR(_xlfn.XLOOKUP(1, (Facturas_Odoo!$D:$D=A691) * (Facturas_Odoo!$K:$K=I691), Facturas_Odoo!$L:$L, ""), ""))</f>
        <v/>
      </c>
      <c r="T691" s="81">
        <f>IF(Q691="Sin Factura",0,IFERROR(_xlfn.XLOOKUP(1, (Facturas_Odoo!$D:$D=A691) * (Facturas_Odoo!$K:$K=I691), Facturas_Odoo!$M:$M, 0), 0))</f>
        <v/>
      </c>
      <c r="U691" s="79">
        <f>IF(Q691="Sin Factura",0,IFERROR(_xlfn.XLOOKUP(1, (Facturas_Odoo!$D:$D=A691) * (Facturas_Odoo!$K:$K=I691), Facturas_Odoo!$N:$N, 0), 0))</f>
        <v/>
      </c>
      <c r="V691" s="79">
        <f>IF(Q691="Sin Factura",0,IFERROR(_xlfn.XLOOKUP(1, (Facturas_Odoo!$D:$D=A691) * (Facturas_Odoo!$K:$K=I691), Facturas_Odoo!$O:$O, 0), 0))</f>
        <v/>
      </c>
      <c r="W691" s="81">
        <f>IF(Q691="Sin Factura",0,IFERROR(_xlfn.XLOOKUP(1, (Facturas_Odoo!$D:$D=A691) * (Facturas_Odoo!$K:$K=I691), Facturas_Odoo!$Q:$Q, 0), 0))</f>
        <v/>
      </c>
      <c r="X691" s="79">
        <f>IF(OR(Q691="Sin Factura",Q691=""),"",IFERROR(INDEX(Pagos_Odoo!$B:$B, MATCH(Q691, Pagos_Odoo!$I:$I, 0)), "Sin Pago"))</f>
        <v/>
      </c>
      <c r="Y691" s="79">
        <f>IF(X691="Sin Pago","",IFERROR(INDEX(Pagos_Odoo!$C:$C, MATCH(X691, Pagos_Odoo!$B:$B, 0)), ""))</f>
        <v/>
      </c>
      <c r="Z691" s="80">
        <f>IF(X691="Sin Pago","",IFERROR(INDEX(Pagos_Odoo!$A:$A, MATCH(X691, Pagos_Odoo!$B:$B, 0)), ""))</f>
        <v/>
      </c>
      <c r="AA691" s="79">
        <f>IF(X691="Sin Pago","",IFERROR(INDEX(Pagos_Odoo!$F:$F, MATCH(X691, Pagos_Odoo!$B:$B, 0)), ""))</f>
        <v/>
      </c>
      <c r="AB691" s="81">
        <f>IF(X691="Sin Pago",0,IFERROR(INDEX(Pagos_Odoo!$E:$E, MATCH(X691, Pagos_Odoo!$B:$B, 0)), 0))</f>
        <v/>
      </c>
      <c r="AC691" s="79">
        <f>IF(X691="Sin Pago","",IFERROR(INDEX(Pagos_Odoo!$G:$G, MATCH(X691, Pagos_Odoo!$B:$B, 0)), ""))</f>
        <v/>
      </c>
      <c r="AD691" s="82" t="n">
        <v>0</v>
      </c>
      <c r="AE691" s="82" t="n"/>
      <c r="AF691" s="82" t="n"/>
      <c r="AG691" s="82">
        <f>IF(AN691="","",AD691+AE691+AF691)</f>
        <v/>
      </c>
      <c r="AH691" s="81">
        <f>IF(AN691="","",P691*(1-AG691))</f>
        <v/>
      </c>
      <c r="AI691" s="81">
        <f>IF(AN691="","",IF(Q691="Sin Factura",0,IFERROR(INDEX(Facturas_Odoo!$H:$H, MATCH(Q691, Facturas_Odoo!$B:$B, 0)), 0)*(1-AG691)))</f>
        <v/>
      </c>
      <c r="AJ691" s="81">
        <f>IF(AN691="","",_xlfn.LET(idVenta, AN691&amp;"",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91" s="81">
        <f>IF(AN691="","",AH691-AJ691)</f>
        <v/>
      </c>
      <c r="AL691" s="81">
        <f>IF(AN691="","",IF(Q691="Sin Factura","",AI691-AJ691))</f>
        <v/>
      </c>
      <c r="AM691" s="81">
        <f>IF(AN691="","",IF(Q691="Sin Factura",0,P691-IFERROR(INDEX(Facturas_Odoo!$H:$H, MATCH(Q691, Facturas_Odoo!$B:$B, 0)), 0)))</f>
        <v/>
      </c>
      <c r="AN691" s="79">
        <f>IF(AND(A691="", J691=""), "", IF(A691&lt;&gt;"", VALUE(MID(A691,2,LEN(A691))), AN690))</f>
        <v/>
      </c>
      <c r="AO691" s="79">
        <f>IF(AN691="","",IF(AD691=0,"OK",_xlfn.LET(monedaPago, IF(AA691="","USD",AA691), limitePermitido, IFERROR(VLOOKUP(monedaPago, Configuración!$A$2:$B$3, 2, FALSE), 0.15), IF(AD691&gt;limitePermitido, "ALERTA: EXCESO (" &amp; TEXT(limitePermitido, "0%") &amp; " máx)", "OK"))))</f>
        <v/>
      </c>
      <c r="AP691" s="79">
        <f>IF(AN691="","",IF(AE691=0,"OK",_xlfn.LET(fechaPago, Z691, fechaFactura, R691, diasCredito, IF(E691="Pago inmediato", 0, IFERROR(VALUE(MID(E691, 1, SEARCH(" ", E691)-1)),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91" s="79">
        <f>IF(AN691="","",IF(AND(N691&gt;0, AG691&gt;0), IF(Configuración!$K$2="NO", "ALERTA: DESCUENTO DOBLE NO PERMITIDO", "OK"), "OK"))</f>
        <v/>
      </c>
      <c r="AR691" s="79">
        <f>IF(AN691="","",IF(OR(AO691&lt;&gt;"OK", AP691&lt;&gt;"OK", AQ691&lt;&gt;"OK"), "⚠️ REVISAR", "OK"))</f>
        <v/>
      </c>
    </row>
    <row r="692">
      <c r="A692" s="79">
        <f>IF('Ordenes_Odoo'!A692="","",'Ordenes_Odoo'!A692)</f>
        <v/>
      </c>
      <c r="B692" s="80">
        <f>IF('Ordenes_Odoo'!B692="","",'Ordenes_Odoo'!B692)</f>
        <v/>
      </c>
      <c r="C692" s="79">
        <f>IF('Ordenes_Odoo'!C692="","",'Ordenes_Odoo'!C692)</f>
        <v/>
      </c>
      <c r="D692" s="79">
        <f>IF('Ordenes_Odoo'!D692="","",'Ordenes_Odoo'!D692)</f>
        <v/>
      </c>
      <c r="E692" s="79">
        <f>IF('Ordenes_Odoo'!E692="","",'Ordenes_Odoo'!E692)</f>
        <v/>
      </c>
      <c r="F692" s="79">
        <f>IF('Ordenes_Odoo'!F692="","",'Ordenes_Odoo'!F692)</f>
        <v/>
      </c>
      <c r="G692" s="79">
        <f>IF('Ordenes_Odoo'!G692="","",'Ordenes_Odoo'!G692)</f>
        <v/>
      </c>
      <c r="H692" s="79">
        <f>IF('Ordenes_Odoo'!H692="","",'Ordenes_Odoo'!H692)</f>
        <v/>
      </c>
      <c r="I692" s="79">
        <f>IF('Ordenes_Odoo'!I692="","",'Ordenes_Odoo'!I692)</f>
        <v/>
      </c>
      <c r="J692" s="79">
        <f>IF('Ordenes_Odoo'!J692="","",'Ordenes_Odoo'!J692)</f>
        <v/>
      </c>
      <c r="K692" s="81">
        <f>IF('Ordenes_Odoo'!K692="","",'Ordenes_Odoo'!K692)</f>
        <v/>
      </c>
      <c r="L692" s="81">
        <f>IF('Ordenes_Odoo'!L692="","",'Ordenes_Odoo'!L692)</f>
        <v/>
      </c>
      <c r="M692" s="79">
        <f>IF('Ordenes_Odoo'!M692="","",'Ordenes_Odoo'!M692)</f>
        <v/>
      </c>
      <c r="N692" s="79">
        <f>IF('Ordenes_Odoo'!N692="","",'Ordenes_Odoo'!N692)</f>
        <v/>
      </c>
      <c r="O692" s="81">
        <f>IF('Ordenes_Odoo'!O692="","",'Ordenes_Odoo'!O692)</f>
        <v/>
      </c>
      <c r="P692" s="81">
        <f>IF('Ordenes_Odoo'!P692="","",'Ordenes_Odoo'!P692)</f>
        <v/>
      </c>
      <c r="Q692" s="79">
        <f>IF(A692="","",IFERROR(INDEX(Facturas_Odoo!$B:$B, MATCH(A692, Facturas_Odoo!$D:$D, 0)), "Sin Factura"))</f>
        <v/>
      </c>
      <c r="R692" s="80">
        <f>IF(Q692="Sin Factura","",IFERROR(INDEX(Facturas_Odoo!$A:$A, MATCH(Q692, Facturas_Odoo!$B:$B, 0)), ""))</f>
        <v/>
      </c>
      <c r="S692" s="79">
        <f>IF(Q692="Sin Factura","",IFERROR(_xlfn.XLOOKUP(1, (Facturas_Odoo!$D:$D=A692) * (Facturas_Odoo!$K:$K=I692), Facturas_Odoo!$L:$L, ""), ""))</f>
        <v/>
      </c>
      <c r="T692" s="81">
        <f>IF(Q692="Sin Factura",0,IFERROR(_xlfn.XLOOKUP(1, (Facturas_Odoo!$D:$D=A692) * (Facturas_Odoo!$K:$K=I692), Facturas_Odoo!$M:$M, 0), 0))</f>
        <v/>
      </c>
      <c r="U692" s="79">
        <f>IF(Q692="Sin Factura",0,IFERROR(_xlfn.XLOOKUP(1, (Facturas_Odoo!$D:$D=A692) * (Facturas_Odoo!$K:$K=I692), Facturas_Odoo!$N:$N, 0), 0))</f>
        <v/>
      </c>
      <c r="V692" s="79">
        <f>IF(Q692="Sin Factura",0,IFERROR(_xlfn.XLOOKUP(1, (Facturas_Odoo!$D:$D=A692) * (Facturas_Odoo!$K:$K=I692), Facturas_Odoo!$O:$O, 0), 0))</f>
        <v/>
      </c>
      <c r="W692" s="81">
        <f>IF(Q692="Sin Factura",0,IFERROR(_xlfn.XLOOKUP(1, (Facturas_Odoo!$D:$D=A692) * (Facturas_Odoo!$K:$K=I692), Facturas_Odoo!$Q:$Q, 0), 0))</f>
        <v/>
      </c>
      <c r="X692" s="79">
        <f>IF(OR(Q692="Sin Factura",Q692=""),"",IFERROR(INDEX(Pagos_Odoo!$B:$B, MATCH(Q692, Pagos_Odoo!$I:$I, 0)), "Sin Pago"))</f>
        <v/>
      </c>
      <c r="Y692" s="79">
        <f>IF(X692="Sin Pago","",IFERROR(INDEX(Pagos_Odoo!$C:$C, MATCH(X692, Pagos_Odoo!$B:$B, 0)), ""))</f>
        <v/>
      </c>
      <c r="Z692" s="80">
        <f>IF(X692="Sin Pago","",IFERROR(INDEX(Pagos_Odoo!$A:$A, MATCH(X692, Pagos_Odoo!$B:$B, 0)), ""))</f>
        <v/>
      </c>
      <c r="AA692" s="79">
        <f>IF(X692="Sin Pago","",IFERROR(INDEX(Pagos_Odoo!$F:$F, MATCH(X692, Pagos_Odoo!$B:$B, 0)), ""))</f>
        <v/>
      </c>
      <c r="AB692" s="81">
        <f>IF(X692="Sin Pago",0,IFERROR(INDEX(Pagos_Odoo!$E:$E, MATCH(X692, Pagos_Odoo!$B:$B, 0)), 0))</f>
        <v/>
      </c>
      <c r="AC692" s="79">
        <f>IF(X692="Sin Pago","",IFERROR(INDEX(Pagos_Odoo!$G:$G, MATCH(X692, Pagos_Odoo!$B:$B, 0)), ""))</f>
        <v/>
      </c>
      <c r="AD692" s="82" t="n">
        <v>0</v>
      </c>
      <c r="AE692" s="82" t="n"/>
      <c r="AF692" s="82" t="n"/>
      <c r="AG692" s="82">
        <f>IF(AN692="","",AD692+AE692+AF692)</f>
        <v/>
      </c>
      <c r="AH692" s="81">
        <f>IF(AN692="","",P692*(1-AG692))</f>
        <v/>
      </c>
      <c r="AI692" s="81">
        <f>IF(AN692="","",IF(Q692="Sin Factura",0,IFERROR(INDEX(Facturas_Odoo!$H:$H, MATCH(Q692, Facturas_Odoo!$B:$B, 0)), 0)*(1-AG692)))</f>
        <v/>
      </c>
      <c r="AJ692" s="81">
        <f>IF(AN692="","",_xlfn.LET(idVenta, AN692&amp;"",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92" s="81">
        <f>IF(AN692="","",AH692-AJ692)</f>
        <v/>
      </c>
      <c r="AL692" s="81">
        <f>IF(AN692="","",IF(Q692="Sin Factura","",AI692-AJ692))</f>
        <v/>
      </c>
      <c r="AM692" s="81">
        <f>IF(AN692="","",IF(Q692="Sin Factura",0,P692-IFERROR(INDEX(Facturas_Odoo!$H:$H, MATCH(Q692, Facturas_Odoo!$B:$B, 0)), 0)))</f>
        <v/>
      </c>
      <c r="AN692" s="79">
        <f>IF(AND(A692="", J692=""), "", IF(A692&lt;&gt;"", VALUE(MID(A692,2,LEN(A692))), AN691))</f>
        <v/>
      </c>
      <c r="AO692" s="79">
        <f>IF(AN692="","",IF(AD692=0,"OK",_xlfn.LET(monedaPago, IF(AA692="","USD",AA692), limitePermitido, IFERROR(VLOOKUP(monedaPago, Configuración!$A$2:$B$3, 2, FALSE), 0.15), IF(AD692&gt;limitePermitido, "ALERTA: EXCESO (" &amp; TEXT(limitePermitido, "0%") &amp; " máx)", "OK"))))</f>
        <v/>
      </c>
      <c r="AP692" s="79">
        <f>IF(AN692="","",IF(AE692=0,"OK",_xlfn.LET(fechaPago, Z692, fechaFactura, R692, diasCredito, IF(E692="Pago inmediato", 0, IFERROR(VALUE(MID(E692, 1, SEARCH(" ", E692)-1)),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92" s="79">
        <f>IF(AN692="","",IF(AND(N692&gt;0, AG692&gt;0), IF(Configuración!$K$2="NO", "ALERTA: DESCUENTO DOBLE NO PERMITIDO", "OK"), "OK"))</f>
        <v/>
      </c>
      <c r="AR692" s="79">
        <f>IF(AN692="","",IF(OR(AO692&lt;&gt;"OK", AP692&lt;&gt;"OK", AQ692&lt;&gt;"OK"), "⚠️ REVISAR", "OK"))</f>
        <v/>
      </c>
    </row>
    <row r="693">
      <c r="A693" s="79">
        <f>IF('Ordenes_Odoo'!A693="","",'Ordenes_Odoo'!A693)</f>
        <v/>
      </c>
      <c r="B693" s="80">
        <f>IF('Ordenes_Odoo'!B693="","",'Ordenes_Odoo'!B693)</f>
        <v/>
      </c>
      <c r="C693" s="79">
        <f>IF('Ordenes_Odoo'!C693="","",'Ordenes_Odoo'!C693)</f>
        <v/>
      </c>
      <c r="D693" s="79">
        <f>IF('Ordenes_Odoo'!D693="","",'Ordenes_Odoo'!D693)</f>
        <v/>
      </c>
      <c r="E693" s="79">
        <f>IF('Ordenes_Odoo'!E693="","",'Ordenes_Odoo'!E693)</f>
        <v/>
      </c>
      <c r="F693" s="79">
        <f>IF('Ordenes_Odoo'!F693="","",'Ordenes_Odoo'!F693)</f>
        <v/>
      </c>
      <c r="G693" s="79">
        <f>IF('Ordenes_Odoo'!G693="","",'Ordenes_Odoo'!G693)</f>
        <v/>
      </c>
      <c r="H693" s="79">
        <f>IF('Ordenes_Odoo'!H693="","",'Ordenes_Odoo'!H693)</f>
        <v/>
      </c>
      <c r="I693" s="79">
        <f>IF('Ordenes_Odoo'!I693="","",'Ordenes_Odoo'!I693)</f>
        <v/>
      </c>
      <c r="J693" s="79">
        <f>IF('Ordenes_Odoo'!J693="","",'Ordenes_Odoo'!J693)</f>
        <v/>
      </c>
      <c r="K693" s="81">
        <f>IF('Ordenes_Odoo'!K693="","",'Ordenes_Odoo'!K693)</f>
        <v/>
      </c>
      <c r="L693" s="81">
        <f>IF('Ordenes_Odoo'!L693="","",'Ordenes_Odoo'!L693)</f>
        <v/>
      </c>
      <c r="M693" s="79">
        <f>IF('Ordenes_Odoo'!M693="","",'Ordenes_Odoo'!M693)</f>
        <v/>
      </c>
      <c r="N693" s="79">
        <f>IF('Ordenes_Odoo'!N693="","",'Ordenes_Odoo'!N693)</f>
        <v/>
      </c>
      <c r="O693" s="81">
        <f>IF('Ordenes_Odoo'!O693="","",'Ordenes_Odoo'!O693)</f>
        <v/>
      </c>
      <c r="P693" s="81">
        <f>IF('Ordenes_Odoo'!P693="","",'Ordenes_Odoo'!P693)</f>
        <v/>
      </c>
      <c r="Q693" s="79">
        <f>IF(A693="","",IFERROR(INDEX(Facturas_Odoo!$B:$B, MATCH(A693, Facturas_Odoo!$D:$D, 0)), "Sin Factura"))</f>
        <v/>
      </c>
      <c r="R693" s="80">
        <f>IF(Q693="Sin Factura","",IFERROR(INDEX(Facturas_Odoo!$A:$A, MATCH(Q693, Facturas_Odoo!$B:$B, 0)), ""))</f>
        <v/>
      </c>
      <c r="S693" s="79">
        <f>IF(Q693="Sin Factura","",IFERROR(_xlfn.XLOOKUP(1, (Facturas_Odoo!$D:$D=A693) * (Facturas_Odoo!$K:$K=I693), Facturas_Odoo!$L:$L, ""), ""))</f>
        <v/>
      </c>
      <c r="T693" s="81">
        <f>IF(Q693="Sin Factura",0,IFERROR(_xlfn.XLOOKUP(1, (Facturas_Odoo!$D:$D=A693) * (Facturas_Odoo!$K:$K=I693), Facturas_Odoo!$M:$M, 0), 0))</f>
        <v/>
      </c>
      <c r="U693" s="79">
        <f>IF(Q693="Sin Factura",0,IFERROR(_xlfn.XLOOKUP(1, (Facturas_Odoo!$D:$D=A693) * (Facturas_Odoo!$K:$K=I693), Facturas_Odoo!$N:$N, 0), 0))</f>
        <v/>
      </c>
      <c r="V693" s="79">
        <f>IF(Q693="Sin Factura",0,IFERROR(_xlfn.XLOOKUP(1, (Facturas_Odoo!$D:$D=A693) * (Facturas_Odoo!$K:$K=I693), Facturas_Odoo!$O:$O, 0), 0))</f>
        <v/>
      </c>
      <c r="W693" s="81">
        <f>IF(Q693="Sin Factura",0,IFERROR(_xlfn.XLOOKUP(1, (Facturas_Odoo!$D:$D=A693) * (Facturas_Odoo!$K:$K=I693), Facturas_Odoo!$Q:$Q, 0), 0))</f>
        <v/>
      </c>
      <c r="X693" s="79">
        <f>IF(OR(Q693="Sin Factura",Q693=""),"",IFERROR(INDEX(Pagos_Odoo!$B:$B, MATCH(Q693, Pagos_Odoo!$I:$I, 0)), "Sin Pago"))</f>
        <v/>
      </c>
      <c r="Y693" s="79">
        <f>IF(X693="Sin Pago","",IFERROR(INDEX(Pagos_Odoo!$C:$C, MATCH(X693, Pagos_Odoo!$B:$B, 0)), ""))</f>
        <v/>
      </c>
      <c r="Z693" s="80">
        <f>IF(X693="Sin Pago","",IFERROR(INDEX(Pagos_Odoo!$A:$A, MATCH(X693, Pagos_Odoo!$B:$B, 0)), ""))</f>
        <v/>
      </c>
      <c r="AA693" s="79">
        <f>IF(X693="Sin Pago","",IFERROR(INDEX(Pagos_Odoo!$F:$F, MATCH(X693, Pagos_Odoo!$B:$B, 0)), ""))</f>
        <v/>
      </c>
      <c r="AB693" s="81">
        <f>IF(X693="Sin Pago",0,IFERROR(INDEX(Pagos_Odoo!$E:$E, MATCH(X693, Pagos_Odoo!$B:$B, 0)), 0))</f>
        <v/>
      </c>
      <c r="AC693" s="79">
        <f>IF(X693="Sin Pago","",IFERROR(INDEX(Pagos_Odoo!$G:$G, MATCH(X693, Pagos_Odoo!$B:$B, 0)), ""))</f>
        <v/>
      </c>
      <c r="AD693" s="82" t="n">
        <v>0</v>
      </c>
      <c r="AE693" s="82" t="n"/>
      <c r="AF693" s="82" t="n"/>
      <c r="AG693" s="82">
        <f>IF(AN693="","",AD693+AE693+AF693)</f>
        <v/>
      </c>
      <c r="AH693" s="81">
        <f>IF(AN693="","",P693*(1-AG693))</f>
        <v/>
      </c>
      <c r="AI693" s="81">
        <f>IF(AN693="","",IF(Q693="Sin Factura",0,IFERROR(INDEX(Facturas_Odoo!$H:$H, MATCH(Q693, Facturas_Odoo!$B:$B, 0)), 0)*(1-AG693)))</f>
        <v/>
      </c>
      <c r="AJ693" s="81">
        <f>IF(AN693="","",_xlfn.LET(idVenta, AN693&amp;"",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93" s="81">
        <f>IF(AN693="","",AH693-AJ693)</f>
        <v/>
      </c>
      <c r="AL693" s="81">
        <f>IF(AN693="","",IF(Q693="Sin Factura","",AI693-AJ693))</f>
        <v/>
      </c>
      <c r="AM693" s="81">
        <f>IF(AN693="","",IF(Q693="Sin Factura",0,P693-IFERROR(INDEX(Facturas_Odoo!$H:$H, MATCH(Q693, Facturas_Odoo!$B:$B, 0)), 0)))</f>
        <v/>
      </c>
      <c r="AN693" s="79">
        <f>IF(AND(A693="", J693=""), "", IF(A693&lt;&gt;"", VALUE(MID(A693,2,LEN(A693))), AN692))</f>
        <v/>
      </c>
      <c r="AO693" s="79">
        <f>IF(AN693="","",IF(AD693=0,"OK",_xlfn.LET(monedaPago, IF(AA693="","USD",AA693), limitePermitido, IFERROR(VLOOKUP(monedaPago, Configuración!$A$2:$B$3, 2, FALSE), 0.15), IF(AD693&gt;limitePermitido, "ALERTA: EXCESO (" &amp; TEXT(limitePermitido, "0%") &amp; " máx)", "OK"))))</f>
        <v/>
      </c>
      <c r="AP693" s="79">
        <f>IF(AN693="","",IF(AE693=0,"OK",_xlfn.LET(fechaPago, Z693, fechaFactura, R693, diasCredito, IF(E693="Pago inmediato", 0, IFERROR(VALUE(MID(E693, 1, SEARCH(" ", E693)-1)),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93" s="79">
        <f>IF(AN693="","",IF(AND(N693&gt;0, AG693&gt;0), IF(Configuración!$K$2="NO", "ALERTA: DESCUENTO DOBLE NO PERMITIDO", "OK"), "OK"))</f>
        <v/>
      </c>
      <c r="AR693" s="79">
        <f>IF(AN693="","",IF(OR(AO693&lt;&gt;"OK", AP693&lt;&gt;"OK", AQ693&lt;&gt;"OK"), "⚠️ REVISAR", "OK"))</f>
        <v/>
      </c>
    </row>
    <row r="694">
      <c r="A694" s="79">
        <f>IF('Ordenes_Odoo'!A694="","",'Ordenes_Odoo'!A694)</f>
        <v/>
      </c>
      <c r="B694" s="80">
        <f>IF('Ordenes_Odoo'!B694="","",'Ordenes_Odoo'!B694)</f>
        <v/>
      </c>
      <c r="C694" s="79">
        <f>IF('Ordenes_Odoo'!C694="","",'Ordenes_Odoo'!C694)</f>
        <v/>
      </c>
      <c r="D694" s="79">
        <f>IF('Ordenes_Odoo'!D694="","",'Ordenes_Odoo'!D694)</f>
        <v/>
      </c>
      <c r="E694" s="79">
        <f>IF('Ordenes_Odoo'!E694="","",'Ordenes_Odoo'!E694)</f>
        <v/>
      </c>
      <c r="F694" s="79">
        <f>IF('Ordenes_Odoo'!F694="","",'Ordenes_Odoo'!F694)</f>
        <v/>
      </c>
      <c r="G694" s="79">
        <f>IF('Ordenes_Odoo'!G694="","",'Ordenes_Odoo'!G694)</f>
        <v/>
      </c>
      <c r="H694" s="79">
        <f>IF('Ordenes_Odoo'!H694="","",'Ordenes_Odoo'!H694)</f>
        <v/>
      </c>
      <c r="I694" s="79">
        <f>IF('Ordenes_Odoo'!I694="","",'Ordenes_Odoo'!I694)</f>
        <v/>
      </c>
      <c r="J694" s="79">
        <f>IF('Ordenes_Odoo'!J694="","",'Ordenes_Odoo'!J694)</f>
        <v/>
      </c>
      <c r="K694" s="81">
        <f>IF('Ordenes_Odoo'!K694="","",'Ordenes_Odoo'!K694)</f>
        <v/>
      </c>
      <c r="L694" s="81">
        <f>IF('Ordenes_Odoo'!L694="","",'Ordenes_Odoo'!L694)</f>
        <v/>
      </c>
      <c r="M694" s="79">
        <f>IF('Ordenes_Odoo'!M694="","",'Ordenes_Odoo'!M694)</f>
        <v/>
      </c>
      <c r="N694" s="79">
        <f>IF('Ordenes_Odoo'!N694="","",'Ordenes_Odoo'!N694)</f>
        <v/>
      </c>
      <c r="O694" s="81">
        <f>IF('Ordenes_Odoo'!O694="","",'Ordenes_Odoo'!O694)</f>
        <v/>
      </c>
      <c r="P694" s="81">
        <f>IF('Ordenes_Odoo'!P694="","",'Ordenes_Odoo'!P694)</f>
        <v/>
      </c>
      <c r="Q694" s="79">
        <f>IF(A694="","",IFERROR(INDEX(Facturas_Odoo!$B:$B, MATCH(A694, Facturas_Odoo!$D:$D, 0)), "Sin Factura"))</f>
        <v/>
      </c>
      <c r="R694" s="80">
        <f>IF(Q694="Sin Factura","",IFERROR(INDEX(Facturas_Odoo!$A:$A, MATCH(Q694, Facturas_Odoo!$B:$B, 0)), ""))</f>
        <v/>
      </c>
      <c r="S694" s="79">
        <f>IF(Q694="Sin Factura","",IFERROR(_xlfn.XLOOKUP(1, (Facturas_Odoo!$D:$D=A694) * (Facturas_Odoo!$K:$K=I694), Facturas_Odoo!$L:$L, ""), ""))</f>
        <v/>
      </c>
      <c r="T694" s="81">
        <f>IF(Q694="Sin Factura",0,IFERROR(_xlfn.XLOOKUP(1, (Facturas_Odoo!$D:$D=A694) * (Facturas_Odoo!$K:$K=I694), Facturas_Odoo!$M:$M, 0), 0))</f>
        <v/>
      </c>
      <c r="U694" s="79">
        <f>IF(Q694="Sin Factura",0,IFERROR(_xlfn.XLOOKUP(1, (Facturas_Odoo!$D:$D=A694) * (Facturas_Odoo!$K:$K=I694), Facturas_Odoo!$N:$N, 0), 0))</f>
        <v/>
      </c>
      <c r="V694" s="79">
        <f>IF(Q694="Sin Factura",0,IFERROR(_xlfn.XLOOKUP(1, (Facturas_Odoo!$D:$D=A694) * (Facturas_Odoo!$K:$K=I694), Facturas_Odoo!$O:$O, 0), 0))</f>
        <v/>
      </c>
      <c r="W694" s="81">
        <f>IF(Q694="Sin Factura",0,IFERROR(_xlfn.XLOOKUP(1, (Facturas_Odoo!$D:$D=A694) * (Facturas_Odoo!$K:$K=I694), Facturas_Odoo!$Q:$Q, 0), 0))</f>
        <v/>
      </c>
      <c r="X694" s="79">
        <f>IF(OR(Q694="Sin Factura",Q694=""),"",IFERROR(INDEX(Pagos_Odoo!$B:$B, MATCH(Q694, Pagos_Odoo!$I:$I, 0)), "Sin Pago"))</f>
        <v/>
      </c>
      <c r="Y694" s="79">
        <f>IF(X694="Sin Pago","",IFERROR(INDEX(Pagos_Odoo!$C:$C, MATCH(X694, Pagos_Odoo!$B:$B, 0)), ""))</f>
        <v/>
      </c>
      <c r="Z694" s="80">
        <f>IF(X694="Sin Pago","",IFERROR(INDEX(Pagos_Odoo!$A:$A, MATCH(X694, Pagos_Odoo!$B:$B, 0)), ""))</f>
        <v/>
      </c>
      <c r="AA694" s="79">
        <f>IF(X694="Sin Pago","",IFERROR(INDEX(Pagos_Odoo!$F:$F, MATCH(X694, Pagos_Odoo!$B:$B, 0)), ""))</f>
        <v/>
      </c>
      <c r="AB694" s="81">
        <f>IF(X694="Sin Pago",0,IFERROR(INDEX(Pagos_Odoo!$E:$E, MATCH(X694, Pagos_Odoo!$B:$B, 0)), 0))</f>
        <v/>
      </c>
      <c r="AC694" s="79">
        <f>IF(X694="Sin Pago","",IFERROR(INDEX(Pagos_Odoo!$G:$G, MATCH(X694, Pagos_Odoo!$B:$B, 0)), ""))</f>
        <v/>
      </c>
      <c r="AD694" s="82" t="n">
        <v>0</v>
      </c>
      <c r="AE694" s="82" t="n"/>
      <c r="AF694" s="82" t="n"/>
      <c r="AG694" s="82">
        <f>IF(AN694="","",AD694+AE694+AF694)</f>
        <v/>
      </c>
      <c r="AH694" s="81">
        <f>IF(AN694="","",P694*(1-AG694))</f>
        <v/>
      </c>
      <c r="AI694" s="81">
        <f>IF(AN694="","",IF(Q694="Sin Factura",0,IFERROR(INDEX(Facturas_Odoo!$H:$H, MATCH(Q694, Facturas_Odoo!$B:$B, 0)), 0)*(1-AG694)))</f>
        <v/>
      </c>
      <c r="AJ694" s="81">
        <f>IF(AN694="","",_xlfn.LET(idVenta, AN694&amp;"",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94" s="81">
        <f>IF(AN694="","",AH694-AJ694)</f>
        <v/>
      </c>
      <c r="AL694" s="81">
        <f>IF(AN694="","",IF(Q694="Sin Factura","",AI694-AJ694))</f>
        <v/>
      </c>
      <c r="AM694" s="81">
        <f>IF(AN694="","",IF(Q694="Sin Factura",0,P694-IFERROR(INDEX(Facturas_Odoo!$H:$H, MATCH(Q694, Facturas_Odoo!$B:$B, 0)), 0)))</f>
        <v/>
      </c>
      <c r="AN694" s="79">
        <f>IF(AND(A694="", J694=""), "", IF(A694&lt;&gt;"", VALUE(MID(A694,2,LEN(A694))), AN693))</f>
        <v/>
      </c>
      <c r="AO694" s="79">
        <f>IF(AN694="","",IF(AD694=0,"OK",_xlfn.LET(monedaPago, IF(AA694="","USD",AA694), limitePermitido, IFERROR(VLOOKUP(monedaPago, Configuración!$A$2:$B$3, 2, FALSE), 0.15), IF(AD694&gt;limitePermitido, "ALERTA: EXCESO (" &amp; TEXT(limitePermitido, "0%") &amp; " máx)", "OK"))))</f>
        <v/>
      </c>
      <c r="AP694" s="79">
        <f>IF(AN694="","",IF(AE694=0,"OK",_xlfn.LET(fechaPago, Z694, fechaFactura, R694, diasCredito, IF(E694="Pago inmediato", 0, IFERROR(VALUE(MID(E694, 1, SEARCH(" ", E694)-1)),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94" s="79">
        <f>IF(AN694="","",IF(AND(N694&gt;0, AG694&gt;0), IF(Configuración!$K$2="NO", "ALERTA: DESCUENTO DOBLE NO PERMITIDO", "OK"), "OK"))</f>
        <v/>
      </c>
      <c r="AR694" s="79">
        <f>IF(AN694="","",IF(OR(AO694&lt;&gt;"OK", AP694&lt;&gt;"OK", AQ694&lt;&gt;"OK"), "⚠️ REVISAR", "OK"))</f>
        <v/>
      </c>
    </row>
    <row r="695">
      <c r="A695" s="79">
        <f>IF('Ordenes_Odoo'!A695="","",'Ordenes_Odoo'!A695)</f>
        <v/>
      </c>
      <c r="B695" s="80">
        <f>IF('Ordenes_Odoo'!B695="","",'Ordenes_Odoo'!B695)</f>
        <v/>
      </c>
      <c r="C695" s="79">
        <f>IF('Ordenes_Odoo'!C695="","",'Ordenes_Odoo'!C695)</f>
        <v/>
      </c>
      <c r="D695" s="79">
        <f>IF('Ordenes_Odoo'!D695="","",'Ordenes_Odoo'!D695)</f>
        <v/>
      </c>
      <c r="E695" s="79">
        <f>IF('Ordenes_Odoo'!E695="","",'Ordenes_Odoo'!E695)</f>
        <v/>
      </c>
      <c r="F695" s="79">
        <f>IF('Ordenes_Odoo'!F695="","",'Ordenes_Odoo'!F695)</f>
        <v/>
      </c>
      <c r="G695" s="79">
        <f>IF('Ordenes_Odoo'!G695="","",'Ordenes_Odoo'!G695)</f>
        <v/>
      </c>
      <c r="H695" s="79">
        <f>IF('Ordenes_Odoo'!H695="","",'Ordenes_Odoo'!H695)</f>
        <v/>
      </c>
      <c r="I695" s="79">
        <f>IF('Ordenes_Odoo'!I695="","",'Ordenes_Odoo'!I695)</f>
        <v/>
      </c>
      <c r="J695" s="79">
        <f>IF('Ordenes_Odoo'!J695="","",'Ordenes_Odoo'!J695)</f>
        <v/>
      </c>
      <c r="K695" s="81">
        <f>IF('Ordenes_Odoo'!K695="","",'Ordenes_Odoo'!K695)</f>
        <v/>
      </c>
      <c r="L695" s="81">
        <f>IF('Ordenes_Odoo'!L695="","",'Ordenes_Odoo'!L695)</f>
        <v/>
      </c>
      <c r="M695" s="79">
        <f>IF('Ordenes_Odoo'!M695="","",'Ordenes_Odoo'!M695)</f>
        <v/>
      </c>
      <c r="N695" s="79">
        <f>IF('Ordenes_Odoo'!N695="","",'Ordenes_Odoo'!N695)</f>
        <v/>
      </c>
      <c r="O695" s="81">
        <f>IF('Ordenes_Odoo'!O695="","",'Ordenes_Odoo'!O695)</f>
        <v/>
      </c>
      <c r="P695" s="81">
        <f>IF('Ordenes_Odoo'!P695="","",'Ordenes_Odoo'!P695)</f>
        <v/>
      </c>
      <c r="Q695" s="79">
        <f>IF(A695="","",IFERROR(INDEX(Facturas_Odoo!$B:$B, MATCH(A695, Facturas_Odoo!$D:$D, 0)), "Sin Factura"))</f>
        <v/>
      </c>
      <c r="R695" s="80">
        <f>IF(Q695="Sin Factura","",IFERROR(INDEX(Facturas_Odoo!$A:$A, MATCH(Q695, Facturas_Odoo!$B:$B, 0)), ""))</f>
        <v/>
      </c>
      <c r="S695" s="79">
        <f>IF(Q695="Sin Factura","",IFERROR(_xlfn.XLOOKUP(1, (Facturas_Odoo!$D:$D=A695) * (Facturas_Odoo!$K:$K=I695), Facturas_Odoo!$L:$L, ""), ""))</f>
        <v/>
      </c>
      <c r="T695" s="81">
        <f>IF(Q695="Sin Factura",0,IFERROR(_xlfn.XLOOKUP(1, (Facturas_Odoo!$D:$D=A695) * (Facturas_Odoo!$K:$K=I695), Facturas_Odoo!$M:$M, 0), 0))</f>
        <v/>
      </c>
      <c r="U695" s="79">
        <f>IF(Q695="Sin Factura",0,IFERROR(_xlfn.XLOOKUP(1, (Facturas_Odoo!$D:$D=A695) * (Facturas_Odoo!$K:$K=I695), Facturas_Odoo!$N:$N, 0), 0))</f>
        <v/>
      </c>
      <c r="V695" s="79">
        <f>IF(Q695="Sin Factura",0,IFERROR(_xlfn.XLOOKUP(1, (Facturas_Odoo!$D:$D=A695) * (Facturas_Odoo!$K:$K=I695), Facturas_Odoo!$O:$O, 0), 0))</f>
        <v/>
      </c>
      <c r="W695" s="81">
        <f>IF(Q695="Sin Factura",0,IFERROR(_xlfn.XLOOKUP(1, (Facturas_Odoo!$D:$D=A695) * (Facturas_Odoo!$K:$K=I695), Facturas_Odoo!$Q:$Q, 0), 0))</f>
        <v/>
      </c>
      <c r="X695" s="79">
        <f>IF(OR(Q695="Sin Factura",Q695=""),"",IFERROR(INDEX(Pagos_Odoo!$B:$B, MATCH(Q695, Pagos_Odoo!$I:$I, 0)), "Sin Pago"))</f>
        <v/>
      </c>
      <c r="Y695" s="79">
        <f>IF(X695="Sin Pago","",IFERROR(INDEX(Pagos_Odoo!$C:$C, MATCH(X695, Pagos_Odoo!$B:$B, 0)), ""))</f>
        <v/>
      </c>
      <c r="Z695" s="80">
        <f>IF(X695="Sin Pago","",IFERROR(INDEX(Pagos_Odoo!$A:$A, MATCH(X695, Pagos_Odoo!$B:$B, 0)), ""))</f>
        <v/>
      </c>
      <c r="AA695" s="79">
        <f>IF(X695="Sin Pago","",IFERROR(INDEX(Pagos_Odoo!$F:$F, MATCH(X695, Pagos_Odoo!$B:$B, 0)), ""))</f>
        <v/>
      </c>
      <c r="AB695" s="81">
        <f>IF(X695="Sin Pago",0,IFERROR(INDEX(Pagos_Odoo!$E:$E, MATCH(X695, Pagos_Odoo!$B:$B, 0)), 0))</f>
        <v/>
      </c>
      <c r="AC695" s="79">
        <f>IF(X695="Sin Pago","",IFERROR(INDEX(Pagos_Odoo!$G:$G, MATCH(X695, Pagos_Odoo!$B:$B, 0)), ""))</f>
        <v/>
      </c>
      <c r="AD695" s="82" t="n">
        <v>0</v>
      </c>
      <c r="AE695" s="82" t="n"/>
      <c r="AF695" s="82" t="n"/>
      <c r="AG695" s="82">
        <f>IF(AN695="","",AD695+AE695+AF695)</f>
        <v/>
      </c>
      <c r="AH695" s="81">
        <f>IF(AN695="","",P695*(1-AG695))</f>
        <v/>
      </c>
      <c r="AI695" s="81">
        <f>IF(AN695="","",IF(Q695="Sin Factura",0,IFERROR(INDEX(Facturas_Odoo!$H:$H, MATCH(Q695, Facturas_Odoo!$B:$B, 0)), 0)*(1-AG695)))</f>
        <v/>
      </c>
      <c r="AJ695" s="81">
        <f>IF(AN695="","",_xlfn.LET(idVenta, AN695&amp;"",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95" s="81">
        <f>IF(AN695="","",AH695-AJ695)</f>
        <v/>
      </c>
      <c r="AL695" s="81">
        <f>IF(AN695="","",IF(Q695="Sin Factura","",AI695-AJ695))</f>
        <v/>
      </c>
      <c r="AM695" s="81">
        <f>IF(AN695="","",IF(Q695="Sin Factura",0,P695-IFERROR(INDEX(Facturas_Odoo!$H:$H, MATCH(Q695, Facturas_Odoo!$B:$B, 0)), 0)))</f>
        <v/>
      </c>
      <c r="AN695" s="79">
        <f>IF(AND(A695="", J695=""), "", IF(A695&lt;&gt;"", VALUE(MID(A695,2,LEN(A695))), AN694))</f>
        <v/>
      </c>
      <c r="AO695" s="79">
        <f>IF(AN695="","",IF(AD695=0,"OK",_xlfn.LET(monedaPago, IF(AA695="","USD",AA695), limitePermitido, IFERROR(VLOOKUP(monedaPago, Configuración!$A$2:$B$3, 2, FALSE), 0.15), IF(AD695&gt;limitePermitido, "ALERTA: EXCESO (" &amp; TEXT(limitePermitido, "0%") &amp; " máx)", "OK"))))</f>
        <v/>
      </c>
      <c r="AP695" s="79">
        <f>IF(AN695="","",IF(AE695=0,"OK",_xlfn.LET(fechaPago, Z695, fechaFactura, R695, diasCredito, IF(E695="Pago inmediato", 0, IFERROR(VALUE(MID(E695, 1, SEARCH(" ", E695)-1)),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95" s="79">
        <f>IF(AN695="","",IF(AND(N695&gt;0, AG695&gt;0), IF(Configuración!$K$2="NO", "ALERTA: DESCUENTO DOBLE NO PERMITIDO", "OK"), "OK"))</f>
        <v/>
      </c>
      <c r="AR695" s="79">
        <f>IF(AN695="","",IF(OR(AO695&lt;&gt;"OK", AP695&lt;&gt;"OK", AQ695&lt;&gt;"OK"), "⚠️ REVISAR", "OK"))</f>
        <v/>
      </c>
    </row>
    <row r="696">
      <c r="A696" s="79">
        <f>IF('Ordenes_Odoo'!A696="","",'Ordenes_Odoo'!A696)</f>
        <v/>
      </c>
      <c r="B696" s="80">
        <f>IF('Ordenes_Odoo'!B696="","",'Ordenes_Odoo'!B696)</f>
        <v/>
      </c>
      <c r="C696" s="79">
        <f>IF('Ordenes_Odoo'!C696="","",'Ordenes_Odoo'!C696)</f>
        <v/>
      </c>
      <c r="D696" s="79">
        <f>IF('Ordenes_Odoo'!D696="","",'Ordenes_Odoo'!D696)</f>
        <v/>
      </c>
      <c r="E696" s="79">
        <f>IF('Ordenes_Odoo'!E696="","",'Ordenes_Odoo'!E696)</f>
        <v/>
      </c>
      <c r="F696" s="79">
        <f>IF('Ordenes_Odoo'!F696="","",'Ordenes_Odoo'!F696)</f>
        <v/>
      </c>
      <c r="G696" s="79">
        <f>IF('Ordenes_Odoo'!G696="","",'Ordenes_Odoo'!G696)</f>
        <v/>
      </c>
      <c r="H696" s="79">
        <f>IF('Ordenes_Odoo'!H696="","",'Ordenes_Odoo'!H696)</f>
        <v/>
      </c>
      <c r="I696" s="79">
        <f>IF('Ordenes_Odoo'!I696="","",'Ordenes_Odoo'!I696)</f>
        <v/>
      </c>
      <c r="J696" s="79">
        <f>IF('Ordenes_Odoo'!J696="","",'Ordenes_Odoo'!J696)</f>
        <v/>
      </c>
      <c r="K696" s="81">
        <f>IF('Ordenes_Odoo'!K696="","",'Ordenes_Odoo'!K696)</f>
        <v/>
      </c>
      <c r="L696" s="81">
        <f>IF('Ordenes_Odoo'!L696="","",'Ordenes_Odoo'!L696)</f>
        <v/>
      </c>
      <c r="M696" s="79">
        <f>IF('Ordenes_Odoo'!M696="","",'Ordenes_Odoo'!M696)</f>
        <v/>
      </c>
      <c r="N696" s="79">
        <f>IF('Ordenes_Odoo'!N696="","",'Ordenes_Odoo'!N696)</f>
        <v/>
      </c>
      <c r="O696" s="81">
        <f>IF('Ordenes_Odoo'!O696="","",'Ordenes_Odoo'!O696)</f>
        <v/>
      </c>
      <c r="P696" s="81">
        <f>IF('Ordenes_Odoo'!P696="","",'Ordenes_Odoo'!P696)</f>
        <v/>
      </c>
      <c r="Q696" s="79">
        <f>IF(A696="","",IFERROR(INDEX(Facturas_Odoo!$B:$B, MATCH(A696, Facturas_Odoo!$D:$D, 0)), "Sin Factura"))</f>
        <v/>
      </c>
      <c r="R696" s="80">
        <f>IF(Q696="Sin Factura","",IFERROR(INDEX(Facturas_Odoo!$A:$A, MATCH(Q696, Facturas_Odoo!$B:$B, 0)), ""))</f>
        <v/>
      </c>
      <c r="S696" s="79">
        <f>IF(Q696="Sin Factura","",IFERROR(_xlfn.XLOOKUP(1, (Facturas_Odoo!$D:$D=A696) * (Facturas_Odoo!$K:$K=I696), Facturas_Odoo!$L:$L, ""), ""))</f>
        <v/>
      </c>
      <c r="T696" s="81">
        <f>IF(Q696="Sin Factura",0,IFERROR(_xlfn.XLOOKUP(1, (Facturas_Odoo!$D:$D=A696) * (Facturas_Odoo!$K:$K=I696), Facturas_Odoo!$M:$M, 0), 0))</f>
        <v/>
      </c>
      <c r="U696" s="79">
        <f>IF(Q696="Sin Factura",0,IFERROR(_xlfn.XLOOKUP(1, (Facturas_Odoo!$D:$D=A696) * (Facturas_Odoo!$K:$K=I696), Facturas_Odoo!$N:$N, 0), 0))</f>
        <v/>
      </c>
      <c r="V696" s="79">
        <f>IF(Q696="Sin Factura",0,IFERROR(_xlfn.XLOOKUP(1, (Facturas_Odoo!$D:$D=A696) * (Facturas_Odoo!$K:$K=I696), Facturas_Odoo!$O:$O, 0), 0))</f>
        <v/>
      </c>
      <c r="W696" s="81">
        <f>IF(Q696="Sin Factura",0,IFERROR(_xlfn.XLOOKUP(1, (Facturas_Odoo!$D:$D=A696) * (Facturas_Odoo!$K:$K=I696), Facturas_Odoo!$Q:$Q, 0), 0))</f>
        <v/>
      </c>
      <c r="X696" s="79">
        <f>IF(OR(Q696="Sin Factura",Q696=""),"",IFERROR(INDEX(Pagos_Odoo!$B:$B, MATCH(Q696, Pagos_Odoo!$I:$I, 0)), "Sin Pago"))</f>
        <v/>
      </c>
      <c r="Y696" s="79">
        <f>IF(X696="Sin Pago","",IFERROR(INDEX(Pagos_Odoo!$C:$C, MATCH(X696, Pagos_Odoo!$B:$B, 0)), ""))</f>
        <v/>
      </c>
      <c r="Z696" s="80">
        <f>IF(X696="Sin Pago","",IFERROR(INDEX(Pagos_Odoo!$A:$A, MATCH(X696, Pagos_Odoo!$B:$B, 0)), ""))</f>
        <v/>
      </c>
      <c r="AA696" s="79">
        <f>IF(X696="Sin Pago","",IFERROR(INDEX(Pagos_Odoo!$F:$F, MATCH(X696, Pagos_Odoo!$B:$B, 0)), ""))</f>
        <v/>
      </c>
      <c r="AB696" s="81">
        <f>IF(X696="Sin Pago",0,IFERROR(INDEX(Pagos_Odoo!$E:$E, MATCH(X696, Pagos_Odoo!$B:$B, 0)), 0))</f>
        <v/>
      </c>
      <c r="AC696" s="79">
        <f>IF(X696="Sin Pago","",IFERROR(INDEX(Pagos_Odoo!$G:$G, MATCH(X696, Pagos_Odoo!$B:$B, 0)), ""))</f>
        <v/>
      </c>
      <c r="AD696" s="82" t="n">
        <v>0</v>
      </c>
      <c r="AE696" s="82" t="n"/>
      <c r="AF696" s="82" t="n"/>
      <c r="AG696" s="82">
        <f>IF(AN696="","",AD696+AE696+AF696)</f>
        <v/>
      </c>
      <c r="AH696" s="81">
        <f>IF(AN696="","",P696*(1-AG696))</f>
        <v/>
      </c>
      <c r="AI696" s="81">
        <f>IF(AN696="","",IF(Q696="Sin Factura",0,IFERROR(INDEX(Facturas_Odoo!$H:$H, MATCH(Q696, Facturas_Odoo!$B:$B, 0)), 0)*(1-AG696)))</f>
        <v/>
      </c>
      <c r="AJ696" s="81">
        <f>IF(AN696="","",_xlfn.LET(idVenta, AN696&amp;"",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96" s="81">
        <f>IF(AN696="","",AH696-AJ696)</f>
        <v/>
      </c>
      <c r="AL696" s="81">
        <f>IF(AN696="","",IF(Q696="Sin Factura","",AI696-AJ696))</f>
        <v/>
      </c>
      <c r="AM696" s="81">
        <f>IF(AN696="","",IF(Q696="Sin Factura",0,P696-IFERROR(INDEX(Facturas_Odoo!$H:$H, MATCH(Q696, Facturas_Odoo!$B:$B, 0)), 0)))</f>
        <v/>
      </c>
      <c r="AN696" s="79">
        <f>IF(AND(A696="", J696=""), "", IF(A696&lt;&gt;"", VALUE(MID(A696,2,LEN(A696))), AN695))</f>
        <v/>
      </c>
      <c r="AO696" s="79">
        <f>IF(AN696="","",IF(AD696=0,"OK",_xlfn.LET(monedaPago, IF(AA696="","USD",AA696), limitePermitido, IFERROR(VLOOKUP(monedaPago, Configuración!$A$2:$B$3, 2, FALSE), 0.15), IF(AD696&gt;limitePermitido, "ALERTA: EXCESO (" &amp; TEXT(limitePermitido, "0%") &amp; " máx)", "OK"))))</f>
        <v/>
      </c>
      <c r="AP696" s="79">
        <f>IF(AN696="","",IF(AE696=0,"OK",_xlfn.LET(fechaPago, Z696, fechaFactura, R696, diasCredito, IF(E696="Pago inmediato", 0, IFERROR(VALUE(MID(E696, 1, SEARCH(" ", E696)-1)),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96" s="79">
        <f>IF(AN696="","",IF(AND(N696&gt;0, AG696&gt;0), IF(Configuración!$K$2="NO", "ALERTA: DESCUENTO DOBLE NO PERMITIDO", "OK"), "OK"))</f>
        <v/>
      </c>
      <c r="AR696" s="79">
        <f>IF(AN696="","",IF(OR(AO696&lt;&gt;"OK", AP696&lt;&gt;"OK", AQ696&lt;&gt;"OK"), "⚠️ REVISAR", "OK"))</f>
        <v/>
      </c>
    </row>
    <row r="697">
      <c r="A697" s="79">
        <f>IF('Ordenes_Odoo'!A697="","",'Ordenes_Odoo'!A697)</f>
        <v/>
      </c>
      <c r="B697" s="80">
        <f>IF('Ordenes_Odoo'!B697="","",'Ordenes_Odoo'!B697)</f>
        <v/>
      </c>
      <c r="C697" s="79">
        <f>IF('Ordenes_Odoo'!C697="","",'Ordenes_Odoo'!C697)</f>
        <v/>
      </c>
      <c r="D697" s="79">
        <f>IF('Ordenes_Odoo'!D697="","",'Ordenes_Odoo'!D697)</f>
        <v/>
      </c>
      <c r="E697" s="79">
        <f>IF('Ordenes_Odoo'!E697="","",'Ordenes_Odoo'!E697)</f>
        <v/>
      </c>
      <c r="F697" s="79">
        <f>IF('Ordenes_Odoo'!F697="","",'Ordenes_Odoo'!F697)</f>
        <v/>
      </c>
      <c r="G697" s="79">
        <f>IF('Ordenes_Odoo'!G697="","",'Ordenes_Odoo'!G697)</f>
        <v/>
      </c>
      <c r="H697" s="79">
        <f>IF('Ordenes_Odoo'!H697="","",'Ordenes_Odoo'!H697)</f>
        <v/>
      </c>
      <c r="I697" s="79">
        <f>IF('Ordenes_Odoo'!I697="","",'Ordenes_Odoo'!I697)</f>
        <v/>
      </c>
      <c r="J697" s="79">
        <f>IF('Ordenes_Odoo'!J697="","",'Ordenes_Odoo'!J697)</f>
        <v/>
      </c>
      <c r="K697" s="81">
        <f>IF('Ordenes_Odoo'!K697="","",'Ordenes_Odoo'!K697)</f>
        <v/>
      </c>
      <c r="L697" s="81">
        <f>IF('Ordenes_Odoo'!L697="","",'Ordenes_Odoo'!L697)</f>
        <v/>
      </c>
      <c r="M697" s="79">
        <f>IF('Ordenes_Odoo'!M697="","",'Ordenes_Odoo'!M697)</f>
        <v/>
      </c>
      <c r="N697" s="79">
        <f>IF('Ordenes_Odoo'!N697="","",'Ordenes_Odoo'!N697)</f>
        <v/>
      </c>
      <c r="O697" s="81">
        <f>IF('Ordenes_Odoo'!O697="","",'Ordenes_Odoo'!O697)</f>
        <v/>
      </c>
      <c r="P697" s="81">
        <f>IF('Ordenes_Odoo'!P697="","",'Ordenes_Odoo'!P697)</f>
        <v/>
      </c>
      <c r="Q697" s="79">
        <f>IF(A697="","",IFERROR(INDEX(Facturas_Odoo!$B:$B, MATCH(A697, Facturas_Odoo!$D:$D, 0)), "Sin Factura"))</f>
        <v/>
      </c>
      <c r="R697" s="80">
        <f>IF(Q697="Sin Factura","",IFERROR(INDEX(Facturas_Odoo!$A:$A, MATCH(Q697, Facturas_Odoo!$B:$B, 0)), ""))</f>
        <v/>
      </c>
      <c r="S697" s="79">
        <f>IF(Q697="Sin Factura","",IFERROR(_xlfn.XLOOKUP(1, (Facturas_Odoo!$D:$D=A697) * (Facturas_Odoo!$K:$K=I697), Facturas_Odoo!$L:$L, ""), ""))</f>
        <v/>
      </c>
      <c r="T697" s="81">
        <f>IF(Q697="Sin Factura",0,IFERROR(_xlfn.XLOOKUP(1, (Facturas_Odoo!$D:$D=A697) * (Facturas_Odoo!$K:$K=I697), Facturas_Odoo!$M:$M, 0), 0))</f>
        <v/>
      </c>
      <c r="U697" s="79">
        <f>IF(Q697="Sin Factura",0,IFERROR(_xlfn.XLOOKUP(1, (Facturas_Odoo!$D:$D=A697) * (Facturas_Odoo!$K:$K=I697), Facturas_Odoo!$N:$N, 0), 0))</f>
        <v/>
      </c>
      <c r="V697" s="79">
        <f>IF(Q697="Sin Factura",0,IFERROR(_xlfn.XLOOKUP(1, (Facturas_Odoo!$D:$D=A697) * (Facturas_Odoo!$K:$K=I697), Facturas_Odoo!$O:$O, 0), 0))</f>
        <v/>
      </c>
      <c r="W697" s="81">
        <f>IF(Q697="Sin Factura",0,IFERROR(_xlfn.XLOOKUP(1, (Facturas_Odoo!$D:$D=A697) * (Facturas_Odoo!$K:$K=I697), Facturas_Odoo!$Q:$Q, 0), 0))</f>
        <v/>
      </c>
      <c r="X697" s="79">
        <f>IF(OR(Q697="Sin Factura",Q697=""),"",IFERROR(INDEX(Pagos_Odoo!$B:$B, MATCH(Q697, Pagos_Odoo!$I:$I, 0)), "Sin Pago"))</f>
        <v/>
      </c>
      <c r="Y697" s="79">
        <f>IF(X697="Sin Pago","",IFERROR(INDEX(Pagos_Odoo!$C:$C, MATCH(X697, Pagos_Odoo!$B:$B, 0)), ""))</f>
        <v/>
      </c>
      <c r="Z697" s="80">
        <f>IF(X697="Sin Pago","",IFERROR(INDEX(Pagos_Odoo!$A:$A, MATCH(X697, Pagos_Odoo!$B:$B, 0)), ""))</f>
        <v/>
      </c>
      <c r="AA697" s="79">
        <f>IF(X697="Sin Pago","",IFERROR(INDEX(Pagos_Odoo!$F:$F, MATCH(X697, Pagos_Odoo!$B:$B, 0)), ""))</f>
        <v/>
      </c>
      <c r="AB697" s="81">
        <f>IF(X697="Sin Pago",0,IFERROR(INDEX(Pagos_Odoo!$E:$E, MATCH(X697, Pagos_Odoo!$B:$B, 0)), 0))</f>
        <v/>
      </c>
      <c r="AC697" s="79">
        <f>IF(X697="Sin Pago","",IFERROR(INDEX(Pagos_Odoo!$G:$G, MATCH(X697, Pagos_Odoo!$B:$B, 0)), ""))</f>
        <v/>
      </c>
      <c r="AD697" s="82" t="n">
        <v>0</v>
      </c>
      <c r="AE697" s="82" t="n"/>
      <c r="AF697" s="82" t="n"/>
      <c r="AG697" s="82">
        <f>IF(AN697="","",AD697+AE697+AF697)</f>
        <v/>
      </c>
      <c r="AH697" s="81">
        <f>IF(AN697="","",P697*(1-AG697))</f>
        <v/>
      </c>
      <c r="AI697" s="81">
        <f>IF(AN697="","",IF(Q697="Sin Factura",0,IFERROR(INDEX(Facturas_Odoo!$H:$H, MATCH(Q697, Facturas_Odoo!$B:$B, 0)), 0)*(1-AG697)))</f>
        <v/>
      </c>
      <c r="AJ697" s="81">
        <f>IF(AN697="","",_xlfn.LET(idVenta, AN697&amp;"",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97" s="81">
        <f>IF(AN697="","",AH697-AJ697)</f>
        <v/>
      </c>
      <c r="AL697" s="81">
        <f>IF(AN697="","",IF(Q697="Sin Factura","",AI697-AJ697))</f>
        <v/>
      </c>
      <c r="AM697" s="81">
        <f>IF(AN697="","",IF(Q697="Sin Factura",0,P697-IFERROR(INDEX(Facturas_Odoo!$H:$H, MATCH(Q697, Facturas_Odoo!$B:$B, 0)), 0)))</f>
        <v/>
      </c>
      <c r="AN697" s="79">
        <f>IF(AND(A697="", J697=""), "", IF(A697&lt;&gt;"", VALUE(MID(A697,2,LEN(A697))), AN696))</f>
        <v/>
      </c>
      <c r="AO697" s="79">
        <f>IF(AN697="","",IF(AD697=0,"OK",_xlfn.LET(monedaPago, IF(AA697="","USD",AA697), limitePermitido, IFERROR(VLOOKUP(monedaPago, Configuración!$A$2:$B$3, 2, FALSE), 0.15), IF(AD697&gt;limitePermitido, "ALERTA: EXCESO (" &amp; TEXT(limitePermitido, "0%") &amp; " máx)", "OK"))))</f>
        <v/>
      </c>
      <c r="AP697" s="79">
        <f>IF(AN697="","",IF(AE697=0,"OK",_xlfn.LET(fechaPago, Z697, fechaFactura, R697, diasCredito, IF(E697="Pago inmediato", 0, IFERROR(VALUE(MID(E697, 1, SEARCH(" ", E697)-1)),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97" s="79">
        <f>IF(AN697="","",IF(AND(N697&gt;0, AG697&gt;0), IF(Configuración!$K$2="NO", "ALERTA: DESCUENTO DOBLE NO PERMITIDO", "OK"), "OK"))</f>
        <v/>
      </c>
      <c r="AR697" s="79">
        <f>IF(AN697="","",IF(OR(AO697&lt;&gt;"OK", AP697&lt;&gt;"OK", AQ697&lt;&gt;"OK"), "⚠️ REVISAR", "OK"))</f>
        <v/>
      </c>
    </row>
    <row r="698">
      <c r="A698" s="79">
        <f>IF('Ordenes_Odoo'!A698="","",'Ordenes_Odoo'!A698)</f>
        <v/>
      </c>
      <c r="B698" s="80">
        <f>IF('Ordenes_Odoo'!B698="","",'Ordenes_Odoo'!B698)</f>
        <v/>
      </c>
      <c r="C698" s="79">
        <f>IF('Ordenes_Odoo'!C698="","",'Ordenes_Odoo'!C698)</f>
        <v/>
      </c>
      <c r="D698" s="79">
        <f>IF('Ordenes_Odoo'!D698="","",'Ordenes_Odoo'!D698)</f>
        <v/>
      </c>
      <c r="E698" s="79">
        <f>IF('Ordenes_Odoo'!E698="","",'Ordenes_Odoo'!E698)</f>
        <v/>
      </c>
      <c r="F698" s="79">
        <f>IF('Ordenes_Odoo'!F698="","",'Ordenes_Odoo'!F698)</f>
        <v/>
      </c>
      <c r="G698" s="79">
        <f>IF('Ordenes_Odoo'!G698="","",'Ordenes_Odoo'!G698)</f>
        <v/>
      </c>
      <c r="H698" s="79">
        <f>IF('Ordenes_Odoo'!H698="","",'Ordenes_Odoo'!H698)</f>
        <v/>
      </c>
      <c r="I698" s="79">
        <f>IF('Ordenes_Odoo'!I698="","",'Ordenes_Odoo'!I698)</f>
        <v/>
      </c>
      <c r="J698" s="79">
        <f>IF('Ordenes_Odoo'!J698="","",'Ordenes_Odoo'!J698)</f>
        <v/>
      </c>
      <c r="K698" s="81">
        <f>IF('Ordenes_Odoo'!K698="","",'Ordenes_Odoo'!K698)</f>
        <v/>
      </c>
      <c r="L698" s="81">
        <f>IF('Ordenes_Odoo'!L698="","",'Ordenes_Odoo'!L698)</f>
        <v/>
      </c>
      <c r="M698" s="79">
        <f>IF('Ordenes_Odoo'!M698="","",'Ordenes_Odoo'!M698)</f>
        <v/>
      </c>
      <c r="N698" s="79">
        <f>IF('Ordenes_Odoo'!N698="","",'Ordenes_Odoo'!N698)</f>
        <v/>
      </c>
      <c r="O698" s="81">
        <f>IF('Ordenes_Odoo'!O698="","",'Ordenes_Odoo'!O698)</f>
        <v/>
      </c>
      <c r="P698" s="81">
        <f>IF('Ordenes_Odoo'!P698="","",'Ordenes_Odoo'!P698)</f>
        <v/>
      </c>
      <c r="Q698" s="79">
        <f>IF(A698="","",IFERROR(INDEX(Facturas_Odoo!$B:$B, MATCH(A698, Facturas_Odoo!$D:$D, 0)), "Sin Factura"))</f>
        <v/>
      </c>
      <c r="R698" s="80">
        <f>IF(Q698="Sin Factura","",IFERROR(INDEX(Facturas_Odoo!$A:$A, MATCH(Q698, Facturas_Odoo!$B:$B, 0)), ""))</f>
        <v/>
      </c>
      <c r="S698" s="79">
        <f>IF(Q698="Sin Factura","",IFERROR(_xlfn.XLOOKUP(1, (Facturas_Odoo!$D:$D=A698) * (Facturas_Odoo!$K:$K=I698), Facturas_Odoo!$L:$L, ""), ""))</f>
        <v/>
      </c>
      <c r="T698" s="81">
        <f>IF(Q698="Sin Factura",0,IFERROR(_xlfn.XLOOKUP(1, (Facturas_Odoo!$D:$D=A698) * (Facturas_Odoo!$K:$K=I698), Facturas_Odoo!$M:$M, 0), 0))</f>
        <v/>
      </c>
      <c r="U698" s="79">
        <f>IF(Q698="Sin Factura",0,IFERROR(_xlfn.XLOOKUP(1, (Facturas_Odoo!$D:$D=A698) * (Facturas_Odoo!$K:$K=I698), Facturas_Odoo!$N:$N, 0), 0))</f>
        <v/>
      </c>
      <c r="V698" s="79">
        <f>IF(Q698="Sin Factura",0,IFERROR(_xlfn.XLOOKUP(1, (Facturas_Odoo!$D:$D=A698) * (Facturas_Odoo!$K:$K=I698), Facturas_Odoo!$O:$O, 0), 0))</f>
        <v/>
      </c>
      <c r="W698" s="81">
        <f>IF(Q698="Sin Factura",0,IFERROR(_xlfn.XLOOKUP(1, (Facturas_Odoo!$D:$D=A698) * (Facturas_Odoo!$K:$K=I698), Facturas_Odoo!$Q:$Q, 0), 0))</f>
        <v/>
      </c>
      <c r="X698" s="79">
        <f>IF(OR(Q698="Sin Factura",Q698=""),"",IFERROR(INDEX(Pagos_Odoo!$B:$B, MATCH(Q698, Pagos_Odoo!$I:$I, 0)), "Sin Pago"))</f>
        <v/>
      </c>
      <c r="Y698" s="79">
        <f>IF(X698="Sin Pago","",IFERROR(INDEX(Pagos_Odoo!$C:$C, MATCH(X698, Pagos_Odoo!$B:$B, 0)), ""))</f>
        <v/>
      </c>
      <c r="Z698" s="80">
        <f>IF(X698="Sin Pago","",IFERROR(INDEX(Pagos_Odoo!$A:$A, MATCH(X698, Pagos_Odoo!$B:$B, 0)), ""))</f>
        <v/>
      </c>
      <c r="AA698" s="79">
        <f>IF(X698="Sin Pago","",IFERROR(INDEX(Pagos_Odoo!$F:$F, MATCH(X698, Pagos_Odoo!$B:$B, 0)), ""))</f>
        <v/>
      </c>
      <c r="AB698" s="81">
        <f>IF(X698="Sin Pago",0,IFERROR(INDEX(Pagos_Odoo!$E:$E, MATCH(X698, Pagos_Odoo!$B:$B, 0)), 0))</f>
        <v/>
      </c>
      <c r="AC698" s="79">
        <f>IF(X698="Sin Pago","",IFERROR(INDEX(Pagos_Odoo!$G:$G, MATCH(X698, Pagos_Odoo!$B:$B, 0)), ""))</f>
        <v/>
      </c>
      <c r="AD698" s="82" t="n">
        <v>0</v>
      </c>
      <c r="AE698" s="82" t="n"/>
      <c r="AF698" s="82" t="n"/>
      <c r="AG698" s="82">
        <f>IF(AN698="","",AD698+AE698+AF698)</f>
        <v/>
      </c>
      <c r="AH698" s="81">
        <f>IF(AN698="","",P698*(1-AG698))</f>
        <v/>
      </c>
      <c r="AI698" s="81">
        <f>IF(AN698="","",IF(Q698="Sin Factura",0,IFERROR(INDEX(Facturas_Odoo!$H:$H, MATCH(Q698, Facturas_Odoo!$B:$B, 0)), 0)*(1-AG698)))</f>
        <v/>
      </c>
      <c r="AJ698" s="81">
        <f>IF(AN698="","",_xlfn.LET(idVenta, AN698&amp;"",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98" s="81">
        <f>IF(AN698="","",AH698-AJ698)</f>
        <v/>
      </c>
      <c r="AL698" s="81">
        <f>IF(AN698="","",IF(Q698="Sin Factura","",AI698-AJ698))</f>
        <v/>
      </c>
      <c r="AM698" s="81">
        <f>IF(AN698="","",IF(Q698="Sin Factura",0,P698-IFERROR(INDEX(Facturas_Odoo!$H:$H, MATCH(Q698, Facturas_Odoo!$B:$B, 0)), 0)))</f>
        <v/>
      </c>
      <c r="AN698" s="79">
        <f>IF(AND(A698="", J698=""), "", IF(A698&lt;&gt;"", VALUE(MID(A698,2,LEN(A698))), AN697))</f>
        <v/>
      </c>
      <c r="AO698" s="79">
        <f>IF(AN698="","",IF(AD698=0,"OK",_xlfn.LET(monedaPago, IF(AA698="","USD",AA698), limitePermitido, IFERROR(VLOOKUP(monedaPago, Configuración!$A$2:$B$3, 2, FALSE), 0.15), IF(AD698&gt;limitePermitido, "ALERTA: EXCESO (" &amp; TEXT(limitePermitido, "0%") &amp; " máx)", "OK"))))</f>
        <v/>
      </c>
      <c r="AP698" s="79">
        <f>IF(AN698="","",IF(AE698=0,"OK",_xlfn.LET(fechaPago, Z698, fechaFactura, R698, diasCredito, IF(E698="Pago inmediato", 0, IFERROR(VALUE(MID(E698, 1, SEARCH(" ", E698)-1)),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98" s="79">
        <f>IF(AN698="","",IF(AND(N698&gt;0, AG698&gt;0), IF(Configuración!$K$2="NO", "ALERTA: DESCUENTO DOBLE NO PERMITIDO", "OK"), "OK"))</f>
        <v/>
      </c>
      <c r="AR698" s="79">
        <f>IF(AN698="","",IF(OR(AO698&lt;&gt;"OK", AP698&lt;&gt;"OK", AQ698&lt;&gt;"OK"), "⚠️ REVISAR", "OK"))</f>
        <v/>
      </c>
    </row>
    <row r="699">
      <c r="A699" s="79">
        <f>IF('Ordenes_Odoo'!A699="","",'Ordenes_Odoo'!A699)</f>
        <v/>
      </c>
      <c r="B699" s="80">
        <f>IF('Ordenes_Odoo'!B699="","",'Ordenes_Odoo'!B699)</f>
        <v/>
      </c>
      <c r="C699" s="79">
        <f>IF('Ordenes_Odoo'!C699="","",'Ordenes_Odoo'!C699)</f>
        <v/>
      </c>
      <c r="D699" s="79">
        <f>IF('Ordenes_Odoo'!D699="","",'Ordenes_Odoo'!D699)</f>
        <v/>
      </c>
      <c r="E699" s="79">
        <f>IF('Ordenes_Odoo'!E699="","",'Ordenes_Odoo'!E699)</f>
        <v/>
      </c>
      <c r="F699" s="79">
        <f>IF('Ordenes_Odoo'!F699="","",'Ordenes_Odoo'!F699)</f>
        <v/>
      </c>
      <c r="G699" s="79">
        <f>IF('Ordenes_Odoo'!G699="","",'Ordenes_Odoo'!G699)</f>
        <v/>
      </c>
      <c r="H699" s="79">
        <f>IF('Ordenes_Odoo'!H699="","",'Ordenes_Odoo'!H699)</f>
        <v/>
      </c>
      <c r="I699" s="79">
        <f>IF('Ordenes_Odoo'!I699="","",'Ordenes_Odoo'!I699)</f>
        <v/>
      </c>
      <c r="J699" s="79">
        <f>IF('Ordenes_Odoo'!J699="","",'Ordenes_Odoo'!J699)</f>
        <v/>
      </c>
      <c r="K699" s="81">
        <f>IF('Ordenes_Odoo'!K699="","",'Ordenes_Odoo'!K699)</f>
        <v/>
      </c>
      <c r="L699" s="81">
        <f>IF('Ordenes_Odoo'!L699="","",'Ordenes_Odoo'!L699)</f>
        <v/>
      </c>
      <c r="M699" s="79">
        <f>IF('Ordenes_Odoo'!M699="","",'Ordenes_Odoo'!M699)</f>
        <v/>
      </c>
      <c r="N699" s="79">
        <f>IF('Ordenes_Odoo'!N699="","",'Ordenes_Odoo'!N699)</f>
        <v/>
      </c>
      <c r="O699" s="81">
        <f>IF('Ordenes_Odoo'!O699="","",'Ordenes_Odoo'!O699)</f>
        <v/>
      </c>
      <c r="P699" s="81">
        <f>IF('Ordenes_Odoo'!P699="","",'Ordenes_Odoo'!P699)</f>
        <v/>
      </c>
      <c r="Q699" s="79">
        <f>IF(A699="","",IFERROR(INDEX(Facturas_Odoo!$B:$B, MATCH(A699, Facturas_Odoo!$D:$D, 0)), "Sin Factura"))</f>
        <v/>
      </c>
      <c r="R699" s="80">
        <f>IF(Q699="Sin Factura","",IFERROR(INDEX(Facturas_Odoo!$A:$A, MATCH(Q699, Facturas_Odoo!$B:$B, 0)), ""))</f>
        <v/>
      </c>
      <c r="S699" s="79">
        <f>IF(Q699="Sin Factura","",IFERROR(_xlfn.XLOOKUP(1, (Facturas_Odoo!$D:$D=A699) * (Facturas_Odoo!$K:$K=I699), Facturas_Odoo!$L:$L, ""), ""))</f>
        <v/>
      </c>
      <c r="T699" s="81">
        <f>IF(Q699="Sin Factura",0,IFERROR(_xlfn.XLOOKUP(1, (Facturas_Odoo!$D:$D=A699) * (Facturas_Odoo!$K:$K=I699), Facturas_Odoo!$M:$M, 0), 0))</f>
        <v/>
      </c>
      <c r="U699" s="79">
        <f>IF(Q699="Sin Factura",0,IFERROR(_xlfn.XLOOKUP(1, (Facturas_Odoo!$D:$D=A699) * (Facturas_Odoo!$K:$K=I699), Facturas_Odoo!$N:$N, 0), 0))</f>
        <v/>
      </c>
      <c r="V699" s="79">
        <f>IF(Q699="Sin Factura",0,IFERROR(_xlfn.XLOOKUP(1, (Facturas_Odoo!$D:$D=A699) * (Facturas_Odoo!$K:$K=I699), Facturas_Odoo!$O:$O, 0), 0))</f>
        <v/>
      </c>
      <c r="W699" s="81">
        <f>IF(Q699="Sin Factura",0,IFERROR(_xlfn.XLOOKUP(1, (Facturas_Odoo!$D:$D=A699) * (Facturas_Odoo!$K:$K=I699), Facturas_Odoo!$Q:$Q, 0), 0))</f>
        <v/>
      </c>
      <c r="X699" s="79">
        <f>IF(OR(Q699="Sin Factura",Q699=""),"",IFERROR(INDEX(Pagos_Odoo!$B:$B, MATCH(Q699, Pagos_Odoo!$I:$I, 0)), "Sin Pago"))</f>
        <v/>
      </c>
      <c r="Y699" s="79">
        <f>IF(X699="Sin Pago","",IFERROR(INDEX(Pagos_Odoo!$C:$C, MATCH(X699, Pagos_Odoo!$B:$B, 0)), ""))</f>
        <v/>
      </c>
      <c r="Z699" s="80">
        <f>IF(X699="Sin Pago","",IFERROR(INDEX(Pagos_Odoo!$A:$A, MATCH(X699, Pagos_Odoo!$B:$B, 0)), ""))</f>
        <v/>
      </c>
      <c r="AA699" s="79">
        <f>IF(X699="Sin Pago","",IFERROR(INDEX(Pagos_Odoo!$F:$F, MATCH(X699, Pagos_Odoo!$B:$B, 0)), ""))</f>
        <v/>
      </c>
      <c r="AB699" s="81">
        <f>IF(X699="Sin Pago",0,IFERROR(INDEX(Pagos_Odoo!$E:$E, MATCH(X699, Pagos_Odoo!$B:$B, 0)), 0))</f>
        <v/>
      </c>
      <c r="AC699" s="79">
        <f>IF(X699="Sin Pago","",IFERROR(INDEX(Pagos_Odoo!$G:$G, MATCH(X699, Pagos_Odoo!$B:$B, 0)), ""))</f>
        <v/>
      </c>
      <c r="AD699" s="82" t="n">
        <v>0</v>
      </c>
      <c r="AE699" s="82" t="n"/>
      <c r="AF699" s="82" t="n"/>
      <c r="AG699" s="82">
        <f>IF(AN699="","",AD699+AE699+AF699)</f>
        <v/>
      </c>
      <c r="AH699" s="81">
        <f>IF(AN699="","",P699*(1-AG699))</f>
        <v/>
      </c>
      <c r="AI699" s="81">
        <f>IF(AN699="","",IF(Q699="Sin Factura",0,IFERROR(INDEX(Facturas_Odoo!$H:$H, MATCH(Q699, Facturas_Odoo!$B:$B, 0)), 0)*(1-AG699)))</f>
        <v/>
      </c>
      <c r="AJ699" s="81">
        <f>IF(AN699="","",_xlfn.LET(idVenta, AN699&amp;"",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699" s="81">
        <f>IF(AN699="","",AH699-AJ699)</f>
        <v/>
      </c>
      <c r="AL699" s="81">
        <f>IF(AN699="","",IF(Q699="Sin Factura","",AI699-AJ699))</f>
        <v/>
      </c>
      <c r="AM699" s="81">
        <f>IF(AN699="","",IF(Q699="Sin Factura",0,P699-IFERROR(INDEX(Facturas_Odoo!$H:$H, MATCH(Q699, Facturas_Odoo!$B:$B, 0)), 0)))</f>
        <v/>
      </c>
      <c r="AN699" s="79">
        <f>IF(AND(A699="", J699=""), "", IF(A699&lt;&gt;"", VALUE(MID(A699,2,LEN(A699))), AN698))</f>
        <v/>
      </c>
      <c r="AO699" s="79">
        <f>IF(AN699="","",IF(AD699=0,"OK",_xlfn.LET(monedaPago, IF(AA699="","USD",AA699), limitePermitido, IFERROR(VLOOKUP(monedaPago, Configuración!$A$2:$B$3, 2, FALSE), 0.15), IF(AD699&gt;limitePermitido, "ALERTA: EXCESO (" &amp; TEXT(limitePermitido, "0%") &amp; " máx)", "OK"))))</f>
        <v/>
      </c>
      <c r="AP699" s="79">
        <f>IF(AN699="","",IF(AE699=0,"OK",_xlfn.LET(fechaPago, Z699, fechaFactura, R699, diasCredito, IF(E699="Pago inmediato", 0, IFERROR(VALUE(MID(E699, 1, SEARCH(" ", E699)-1)),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699" s="79">
        <f>IF(AN699="","",IF(AND(N699&gt;0, AG699&gt;0), IF(Configuración!$K$2="NO", "ALERTA: DESCUENTO DOBLE NO PERMITIDO", "OK"), "OK"))</f>
        <v/>
      </c>
      <c r="AR699" s="79">
        <f>IF(AN699="","",IF(OR(AO699&lt;&gt;"OK", AP699&lt;&gt;"OK", AQ699&lt;&gt;"OK"), "⚠️ REVISAR", "OK"))</f>
        <v/>
      </c>
    </row>
    <row r="700">
      <c r="A700" s="79">
        <f>IF('Ordenes_Odoo'!A700="","",'Ordenes_Odoo'!A700)</f>
        <v/>
      </c>
      <c r="B700" s="80">
        <f>IF('Ordenes_Odoo'!B700="","",'Ordenes_Odoo'!B700)</f>
        <v/>
      </c>
      <c r="C700" s="79">
        <f>IF('Ordenes_Odoo'!C700="","",'Ordenes_Odoo'!C700)</f>
        <v/>
      </c>
      <c r="D700" s="79">
        <f>IF('Ordenes_Odoo'!D700="","",'Ordenes_Odoo'!D700)</f>
        <v/>
      </c>
      <c r="E700" s="79">
        <f>IF('Ordenes_Odoo'!E700="","",'Ordenes_Odoo'!E700)</f>
        <v/>
      </c>
      <c r="F700" s="79">
        <f>IF('Ordenes_Odoo'!F700="","",'Ordenes_Odoo'!F700)</f>
        <v/>
      </c>
      <c r="G700" s="79">
        <f>IF('Ordenes_Odoo'!G700="","",'Ordenes_Odoo'!G700)</f>
        <v/>
      </c>
      <c r="H700" s="79">
        <f>IF('Ordenes_Odoo'!H700="","",'Ordenes_Odoo'!H700)</f>
        <v/>
      </c>
      <c r="I700" s="79">
        <f>IF('Ordenes_Odoo'!I700="","",'Ordenes_Odoo'!I700)</f>
        <v/>
      </c>
      <c r="J700" s="79">
        <f>IF('Ordenes_Odoo'!J700="","",'Ordenes_Odoo'!J700)</f>
        <v/>
      </c>
      <c r="K700" s="81">
        <f>IF('Ordenes_Odoo'!K700="","",'Ordenes_Odoo'!K700)</f>
        <v/>
      </c>
      <c r="L700" s="81">
        <f>IF('Ordenes_Odoo'!L700="","",'Ordenes_Odoo'!L700)</f>
        <v/>
      </c>
      <c r="M700" s="79">
        <f>IF('Ordenes_Odoo'!M700="","",'Ordenes_Odoo'!M700)</f>
        <v/>
      </c>
      <c r="N700" s="79">
        <f>IF('Ordenes_Odoo'!N700="","",'Ordenes_Odoo'!N700)</f>
        <v/>
      </c>
      <c r="O700" s="81">
        <f>IF('Ordenes_Odoo'!O700="","",'Ordenes_Odoo'!O700)</f>
        <v/>
      </c>
      <c r="P700" s="81">
        <f>IF('Ordenes_Odoo'!P700="","",'Ordenes_Odoo'!P700)</f>
        <v/>
      </c>
      <c r="Q700" s="79">
        <f>IF(A700="","",IFERROR(INDEX(Facturas_Odoo!$B:$B, MATCH(A700, Facturas_Odoo!$D:$D, 0)), "Sin Factura"))</f>
        <v/>
      </c>
      <c r="R700" s="80">
        <f>IF(Q700="Sin Factura","",IFERROR(INDEX(Facturas_Odoo!$A:$A, MATCH(Q700, Facturas_Odoo!$B:$B, 0)), ""))</f>
        <v/>
      </c>
      <c r="S700" s="79">
        <f>IF(Q700="Sin Factura","",IFERROR(_xlfn.XLOOKUP(1, (Facturas_Odoo!$D:$D=A700) * (Facturas_Odoo!$K:$K=I700), Facturas_Odoo!$L:$L, ""), ""))</f>
        <v/>
      </c>
      <c r="T700" s="81">
        <f>IF(Q700="Sin Factura",0,IFERROR(_xlfn.XLOOKUP(1, (Facturas_Odoo!$D:$D=A700) * (Facturas_Odoo!$K:$K=I700), Facturas_Odoo!$M:$M, 0), 0))</f>
        <v/>
      </c>
      <c r="U700" s="79">
        <f>IF(Q700="Sin Factura",0,IFERROR(_xlfn.XLOOKUP(1, (Facturas_Odoo!$D:$D=A700) * (Facturas_Odoo!$K:$K=I700), Facturas_Odoo!$N:$N, 0), 0))</f>
        <v/>
      </c>
      <c r="V700" s="79">
        <f>IF(Q700="Sin Factura",0,IFERROR(_xlfn.XLOOKUP(1, (Facturas_Odoo!$D:$D=A700) * (Facturas_Odoo!$K:$K=I700), Facturas_Odoo!$O:$O, 0), 0))</f>
        <v/>
      </c>
      <c r="W700" s="81">
        <f>IF(Q700="Sin Factura",0,IFERROR(_xlfn.XLOOKUP(1, (Facturas_Odoo!$D:$D=A700) * (Facturas_Odoo!$K:$K=I700), Facturas_Odoo!$Q:$Q, 0), 0))</f>
        <v/>
      </c>
      <c r="X700" s="79">
        <f>IF(OR(Q700="Sin Factura",Q700=""),"",IFERROR(INDEX(Pagos_Odoo!$B:$B, MATCH(Q700, Pagos_Odoo!$I:$I, 0)), "Sin Pago"))</f>
        <v/>
      </c>
      <c r="Y700" s="79">
        <f>IF(X700="Sin Pago","",IFERROR(INDEX(Pagos_Odoo!$C:$C, MATCH(X700, Pagos_Odoo!$B:$B, 0)), ""))</f>
        <v/>
      </c>
      <c r="Z700" s="80">
        <f>IF(X700="Sin Pago","",IFERROR(INDEX(Pagos_Odoo!$A:$A, MATCH(X700, Pagos_Odoo!$B:$B, 0)), ""))</f>
        <v/>
      </c>
      <c r="AA700" s="79">
        <f>IF(X700="Sin Pago","",IFERROR(INDEX(Pagos_Odoo!$F:$F, MATCH(X700, Pagos_Odoo!$B:$B, 0)), ""))</f>
        <v/>
      </c>
      <c r="AB700" s="81">
        <f>IF(X700="Sin Pago",0,IFERROR(INDEX(Pagos_Odoo!$E:$E, MATCH(X700, Pagos_Odoo!$B:$B, 0)), 0))</f>
        <v/>
      </c>
      <c r="AC700" s="79">
        <f>IF(X700="Sin Pago","",IFERROR(INDEX(Pagos_Odoo!$G:$G, MATCH(X700, Pagos_Odoo!$B:$B, 0)), ""))</f>
        <v/>
      </c>
      <c r="AD700" s="82" t="n">
        <v>0</v>
      </c>
      <c r="AE700" s="82" t="n"/>
      <c r="AF700" s="82" t="n"/>
      <c r="AG700" s="82">
        <f>IF(AN700="","",AD700+AE700+AF700)</f>
        <v/>
      </c>
      <c r="AH700" s="81">
        <f>IF(AN700="","",P700*(1-AG700))</f>
        <v/>
      </c>
      <c r="AI700" s="81">
        <f>IF(AN700="","",IF(Q700="Sin Factura",0,IFERROR(INDEX(Facturas_Odoo!$H:$H, MATCH(Q700, Facturas_Odoo!$B:$B, 0)), 0)*(1-AG700)))</f>
        <v/>
      </c>
      <c r="AJ700" s="81">
        <f>IF(AN700="","",_xlfn.LET(idVenta, AN700&amp;"",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00" s="81">
        <f>IF(AN700="","",AH700-AJ700)</f>
        <v/>
      </c>
      <c r="AL700" s="81">
        <f>IF(AN700="","",IF(Q700="Sin Factura","",AI700-AJ700))</f>
        <v/>
      </c>
      <c r="AM700" s="81">
        <f>IF(AN700="","",IF(Q700="Sin Factura",0,P700-IFERROR(INDEX(Facturas_Odoo!$H:$H, MATCH(Q700, Facturas_Odoo!$B:$B, 0)), 0)))</f>
        <v/>
      </c>
      <c r="AN700" s="79">
        <f>IF(AND(A700="", J700=""), "", IF(A700&lt;&gt;"", VALUE(MID(A700,2,LEN(A700))), AN699))</f>
        <v/>
      </c>
      <c r="AO700" s="79">
        <f>IF(AN700="","",IF(AD700=0,"OK",_xlfn.LET(monedaPago, IF(AA700="","USD",AA700), limitePermitido, IFERROR(VLOOKUP(monedaPago, Configuración!$A$2:$B$3, 2, FALSE), 0.15), IF(AD700&gt;limitePermitido, "ALERTA: EXCESO (" &amp; TEXT(limitePermitido, "0%") &amp; " máx)", "OK"))))</f>
        <v/>
      </c>
      <c r="AP700" s="79">
        <f>IF(AN700="","",IF(AE700=0,"OK",_xlfn.LET(fechaPago, Z700, fechaFactura, R700, diasCredito, IF(E700="Pago inmediato", 0, IFERROR(VALUE(MID(E700, 1, SEARCH(" ", E700)-1)),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00" s="79">
        <f>IF(AN700="","",IF(AND(N700&gt;0, AG700&gt;0), IF(Configuración!$K$2="NO", "ALERTA: DESCUENTO DOBLE NO PERMITIDO", "OK"), "OK"))</f>
        <v/>
      </c>
      <c r="AR700" s="79">
        <f>IF(AN700="","",IF(OR(AO700&lt;&gt;"OK", AP700&lt;&gt;"OK", AQ700&lt;&gt;"OK"), "⚠️ REVISAR", "OK"))</f>
        <v/>
      </c>
    </row>
    <row r="701">
      <c r="A701" s="79">
        <f>IF('Ordenes_Odoo'!A701="","",'Ordenes_Odoo'!A701)</f>
        <v/>
      </c>
      <c r="B701" s="80">
        <f>IF('Ordenes_Odoo'!B701="","",'Ordenes_Odoo'!B701)</f>
        <v/>
      </c>
      <c r="C701" s="79">
        <f>IF('Ordenes_Odoo'!C701="","",'Ordenes_Odoo'!C701)</f>
        <v/>
      </c>
      <c r="D701" s="79">
        <f>IF('Ordenes_Odoo'!D701="","",'Ordenes_Odoo'!D701)</f>
        <v/>
      </c>
      <c r="E701" s="79">
        <f>IF('Ordenes_Odoo'!E701="","",'Ordenes_Odoo'!E701)</f>
        <v/>
      </c>
      <c r="F701" s="79">
        <f>IF('Ordenes_Odoo'!F701="","",'Ordenes_Odoo'!F701)</f>
        <v/>
      </c>
      <c r="G701" s="79">
        <f>IF('Ordenes_Odoo'!G701="","",'Ordenes_Odoo'!G701)</f>
        <v/>
      </c>
      <c r="H701" s="79">
        <f>IF('Ordenes_Odoo'!H701="","",'Ordenes_Odoo'!H701)</f>
        <v/>
      </c>
      <c r="I701" s="79">
        <f>IF('Ordenes_Odoo'!I701="","",'Ordenes_Odoo'!I701)</f>
        <v/>
      </c>
      <c r="J701" s="79">
        <f>IF('Ordenes_Odoo'!J701="","",'Ordenes_Odoo'!J701)</f>
        <v/>
      </c>
      <c r="K701" s="81">
        <f>IF('Ordenes_Odoo'!K701="","",'Ordenes_Odoo'!K701)</f>
        <v/>
      </c>
      <c r="L701" s="81">
        <f>IF('Ordenes_Odoo'!L701="","",'Ordenes_Odoo'!L701)</f>
        <v/>
      </c>
      <c r="M701" s="79">
        <f>IF('Ordenes_Odoo'!M701="","",'Ordenes_Odoo'!M701)</f>
        <v/>
      </c>
      <c r="N701" s="79">
        <f>IF('Ordenes_Odoo'!N701="","",'Ordenes_Odoo'!N701)</f>
        <v/>
      </c>
      <c r="O701" s="81">
        <f>IF('Ordenes_Odoo'!O701="","",'Ordenes_Odoo'!O701)</f>
        <v/>
      </c>
      <c r="P701" s="81">
        <f>IF('Ordenes_Odoo'!P701="","",'Ordenes_Odoo'!P701)</f>
        <v/>
      </c>
      <c r="Q701" s="79">
        <f>IF(A701="","",IFERROR(INDEX(Facturas_Odoo!$B:$B, MATCH(A701, Facturas_Odoo!$D:$D, 0)), "Sin Factura"))</f>
        <v/>
      </c>
      <c r="R701" s="80">
        <f>IF(Q701="Sin Factura","",IFERROR(INDEX(Facturas_Odoo!$A:$A, MATCH(Q701, Facturas_Odoo!$B:$B, 0)), ""))</f>
        <v/>
      </c>
      <c r="S701" s="79">
        <f>IF(Q701="Sin Factura","",IFERROR(_xlfn.XLOOKUP(1, (Facturas_Odoo!$D:$D=A701) * (Facturas_Odoo!$K:$K=I701), Facturas_Odoo!$L:$L, ""), ""))</f>
        <v/>
      </c>
      <c r="T701" s="81">
        <f>IF(Q701="Sin Factura",0,IFERROR(_xlfn.XLOOKUP(1, (Facturas_Odoo!$D:$D=A701) * (Facturas_Odoo!$K:$K=I701), Facturas_Odoo!$M:$M, 0), 0))</f>
        <v/>
      </c>
      <c r="U701" s="79">
        <f>IF(Q701="Sin Factura",0,IFERROR(_xlfn.XLOOKUP(1, (Facturas_Odoo!$D:$D=A701) * (Facturas_Odoo!$K:$K=I701), Facturas_Odoo!$N:$N, 0), 0))</f>
        <v/>
      </c>
      <c r="V701" s="79">
        <f>IF(Q701="Sin Factura",0,IFERROR(_xlfn.XLOOKUP(1, (Facturas_Odoo!$D:$D=A701) * (Facturas_Odoo!$K:$K=I701), Facturas_Odoo!$O:$O, 0), 0))</f>
        <v/>
      </c>
      <c r="W701" s="81">
        <f>IF(Q701="Sin Factura",0,IFERROR(_xlfn.XLOOKUP(1, (Facturas_Odoo!$D:$D=A701) * (Facturas_Odoo!$K:$K=I701), Facturas_Odoo!$Q:$Q, 0), 0))</f>
        <v/>
      </c>
      <c r="X701" s="79">
        <f>IF(OR(Q701="Sin Factura",Q701=""),"",IFERROR(INDEX(Pagos_Odoo!$B:$B, MATCH(Q701, Pagos_Odoo!$I:$I, 0)), "Sin Pago"))</f>
        <v/>
      </c>
      <c r="Y701" s="79">
        <f>IF(X701="Sin Pago","",IFERROR(INDEX(Pagos_Odoo!$C:$C, MATCH(X701, Pagos_Odoo!$B:$B, 0)), ""))</f>
        <v/>
      </c>
      <c r="Z701" s="80">
        <f>IF(X701="Sin Pago","",IFERROR(INDEX(Pagos_Odoo!$A:$A, MATCH(X701, Pagos_Odoo!$B:$B, 0)), ""))</f>
        <v/>
      </c>
      <c r="AA701" s="79">
        <f>IF(X701="Sin Pago","",IFERROR(INDEX(Pagos_Odoo!$F:$F, MATCH(X701, Pagos_Odoo!$B:$B, 0)), ""))</f>
        <v/>
      </c>
      <c r="AB701" s="81">
        <f>IF(X701="Sin Pago",0,IFERROR(INDEX(Pagos_Odoo!$E:$E, MATCH(X701, Pagos_Odoo!$B:$B, 0)), 0))</f>
        <v/>
      </c>
      <c r="AC701" s="79">
        <f>IF(X701="Sin Pago","",IFERROR(INDEX(Pagos_Odoo!$G:$G, MATCH(X701, Pagos_Odoo!$B:$B, 0)), ""))</f>
        <v/>
      </c>
      <c r="AD701" s="82" t="n">
        <v>0</v>
      </c>
      <c r="AE701" s="82" t="n"/>
      <c r="AF701" s="82" t="n"/>
      <c r="AG701" s="82">
        <f>IF(AN701="","",AD701+AE701+AF701)</f>
        <v/>
      </c>
      <c r="AH701" s="81">
        <f>IF(AN701="","",P701*(1-AG701))</f>
        <v/>
      </c>
      <c r="AI701" s="81">
        <f>IF(AN701="","",IF(Q701="Sin Factura",0,IFERROR(INDEX(Facturas_Odoo!$H:$H, MATCH(Q701, Facturas_Odoo!$B:$B, 0)), 0)*(1-AG701)))</f>
        <v/>
      </c>
      <c r="AJ701" s="81">
        <f>IF(AN701="","",_xlfn.LET(idVenta, AN701&amp;"",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01" s="81">
        <f>IF(AN701="","",AH701-AJ701)</f>
        <v/>
      </c>
      <c r="AL701" s="81">
        <f>IF(AN701="","",IF(Q701="Sin Factura","",AI701-AJ701))</f>
        <v/>
      </c>
      <c r="AM701" s="81">
        <f>IF(AN701="","",IF(Q701="Sin Factura",0,P701-IFERROR(INDEX(Facturas_Odoo!$H:$H, MATCH(Q701, Facturas_Odoo!$B:$B, 0)), 0)))</f>
        <v/>
      </c>
      <c r="AN701" s="79">
        <f>IF(AND(A701="", J701=""), "", IF(A701&lt;&gt;"", VALUE(MID(A701,2,LEN(A701))), AN700))</f>
        <v/>
      </c>
      <c r="AO701" s="79">
        <f>IF(AN701="","",IF(AD701=0,"OK",_xlfn.LET(monedaPago, IF(AA701="","USD",AA701), limitePermitido, IFERROR(VLOOKUP(monedaPago, Configuración!$A$2:$B$3, 2, FALSE), 0.15), IF(AD701&gt;limitePermitido, "ALERTA: EXCESO (" &amp; TEXT(limitePermitido, "0%") &amp; " máx)", "OK"))))</f>
        <v/>
      </c>
      <c r="AP701" s="79">
        <f>IF(AN701="","",IF(AE701=0,"OK",_xlfn.LET(fechaPago, Z701, fechaFactura, R701, diasCredito, IF(E701="Pago inmediato", 0, IFERROR(VALUE(MID(E701, 1, SEARCH(" ", E701)-1)),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01" s="79">
        <f>IF(AN701="","",IF(AND(N701&gt;0, AG701&gt;0), IF(Configuración!$K$2="NO", "ALERTA: DESCUENTO DOBLE NO PERMITIDO", "OK"), "OK"))</f>
        <v/>
      </c>
      <c r="AR701" s="79">
        <f>IF(AN701="","",IF(OR(AO701&lt;&gt;"OK", AP701&lt;&gt;"OK", AQ701&lt;&gt;"OK"), "⚠️ REVISAR", "OK"))</f>
        <v/>
      </c>
    </row>
    <row r="702">
      <c r="A702" s="79">
        <f>IF('Ordenes_Odoo'!A702="","",'Ordenes_Odoo'!A702)</f>
        <v/>
      </c>
      <c r="B702" s="80">
        <f>IF('Ordenes_Odoo'!B702="","",'Ordenes_Odoo'!B702)</f>
        <v/>
      </c>
      <c r="C702" s="79">
        <f>IF('Ordenes_Odoo'!C702="","",'Ordenes_Odoo'!C702)</f>
        <v/>
      </c>
      <c r="D702" s="79">
        <f>IF('Ordenes_Odoo'!D702="","",'Ordenes_Odoo'!D702)</f>
        <v/>
      </c>
      <c r="E702" s="79">
        <f>IF('Ordenes_Odoo'!E702="","",'Ordenes_Odoo'!E702)</f>
        <v/>
      </c>
      <c r="F702" s="79">
        <f>IF('Ordenes_Odoo'!F702="","",'Ordenes_Odoo'!F702)</f>
        <v/>
      </c>
      <c r="G702" s="79">
        <f>IF('Ordenes_Odoo'!G702="","",'Ordenes_Odoo'!G702)</f>
        <v/>
      </c>
      <c r="H702" s="79">
        <f>IF('Ordenes_Odoo'!H702="","",'Ordenes_Odoo'!H702)</f>
        <v/>
      </c>
      <c r="I702" s="79">
        <f>IF('Ordenes_Odoo'!I702="","",'Ordenes_Odoo'!I702)</f>
        <v/>
      </c>
      <c r="J702" s="79">
        <f>IF('Ordenes_Odoo'!J702="","",'Ordenes_Odoo'!J702)</f>
        <v/>
      </c>
      <c r="K702" s="81">
        <f>IF('Ordenes_Odoo'!K702="","",'Ordenes_Odoo'!K702)</f>
        <v/>
      </c>
      <c r="L702" s="81">
        <f>IF('Ordenes_Odoo'!L702="","",'Ordenes_Odoo'!L702)</f>
        <v/>
      </c>
      <c r="M702" s="79">
        <f>IF('Ordenes_Odoo'!M702="","",'Ordenes_Odoo'!M702)</f>
        <v/>
      </c>
      <c r="N702" s="79">
        <f>IF('Ordenes_Odoo'!N702="","",'Ordenes_Odoo'!N702)</f>
        <v/>
      </c>
      <c r="O702" s="81">
        <f>IF('Ordenes_Odoo'!O702="","",'Ordenes_Odoo'!O702)</f>
        <v/>
      </c>
      <c r="P702" s="81">
        <f>IF('Ordenes_Odoo'!P702="","",'Ordenes_Odoo'!P702)</f>
        <v/>
      </c>
      <c r="Q702" s="79">
        <f>IF(A702="","",IFERROR(INDEX(Facturas_Odoo!$B:$B, MATCH(A702, Facturas_Odoo!$D:$D, 0)), "Sin Factura"))</f>
        <v/>
      </c>
      <c r="R702" s="80">
        <f>IF(Q702="Sin Factura","",IFERROR(INDEX(Facturas_Odoo!$A:$A, MATCH(Q702, Facturas_Odoo!$B:$B, 0)), ""))</f>
        <v/>
      </c>
      <c r="S702" s="79">
        <f>IF(Q702="Sin Factura","",IFERROR(_xlfn.XLOOKUP(1, (Facturas_Odoo!$D:$D=A702) * (Facturas_Odoo!$K:$K=I702), Facturas_Odoo!$L:$L, ""), ""))</f>
        <v/>
      </c>
      <c r="T702" s="81">
        <f>IF(Q702="Sin Factura",0,IFERROR(_xlfn.XLOOKUP(1, (Facturas_Odoo!$D:$D=A702) * (Facturas_Odoo!$K:$K=I702), Facturas_Odoo!$M:$M, 0), 0))</f>
        <v/>
      </c>
      <c r="U702" s="79">
        <f>IF(Q702="Sin Factura",0,IFERROR(_xlfn.XLOOKUP(1, (Facturas_Odoo!$D:$D=A702) * (Facturas_Odoo!$K:$K=I702), Facturas_Odoo!$N:$N, 0), 0))</f>
        <v/>
      </c>
      <c r="V702" s="79">
        <f>IF(Q702="Sin Factura",0,IFERROR(_xlfn.XLOOKUP(1, (Facturas_Odoo!$D:$D=A702) * (Facturas_Odoo!$K:$K=I702), Facturas_Odoo!$O:$O, 0), 0))</f>
        <v/>
      </c>
      <c r="W702" s="81">
        <f>IF(Q702="Sin Factura",0,IFERROR(_xlfn.XLOOKUP(1, (Facturas_Odoo!$D:$D=A702) * (Facturas_Odoo!$K:$K=I702), Facturas_Odoo!$Q:$Q, 0), 0))</f>
        <v/>
      </c>
      <c r="X702" s="79">
        <f>IF(OR(Q702="Sin Factura",Q702=""),"",IFERROR(INDEX(Pagos_Odoo!$B:$B, MATCH(Q702, Pagos_Odoo!$I:$I, 0)), "Sin Pago"))</f>
        <v/>
      </c>
      <c r="Y702" s="79">
        <f>IF(X702="Sin Pago","",IFERROR(INDEX(Pagos_Odoo!$C:$C, MATCH(X702, Pagos_Odoo!$B:$B, 0)), ""))</f>
        <v/>
      </c>
      <c r="Z702" s="80">
        <f>IF(X702="Sin Pago","",IFERROR(INDEX(Pagos_Odoo!$A:$A, MATCH(X702, Pagos_Odoo!$B:$B, 0)), ""))</f>
        <v/>
      </c>
      <c r="AA702" s="79">
        <f>IF(X702="Sin Pago","",IFERROR(INDEX(Pagos_Odoo!$F:$F, MATCH(X702, Pagos_Odoo!$B:$B, 0)), ""))</f>
        <v/>
      </c>
      <c r="AB702" s="81">
        <f>IF(X702="Sin Pago",0,IFERROR(INDEX(Pagos_Odoo!$E:$E, MATCH(X702, Pagos_Odoo!$B:$B, 0)), 0))</f>
        <v/>
      </c>
      <c r="AC702" s="79">
        <f>IF(X702="Sin Pago","",IFERROR(INDEX(Pagos_Odoo!$G:$G, MATCH(X702, Pagos_Odoo!$B:$B, 0)), ""))</f>
        <v/>
      </c>
      <c r="AD702" s="82" t="n">
        <v>0</v>
      </c>
      <c r="AE702" s="82" t="n"/>
      <c r="AF702" s="82" t="n"/>
      <c r="AG702" s="82">
        <f>IF(AN702="","",AD702+AE702+AF702)</f>
        <v/>
      </c>
      <c r="AH702" s="81">
        <f>IF(AN702="","",P702*(1-AG702))</f>
        <v/>
      </c>
      <c r="AI702" s="81">
        <f>IF(AN702="","",IF(Q702="Sin Factura",0,IFERROR(INDEX(Facturas_Odoo!$H:$H, MATCH(Q702, Facturas_Odoo!$B:$B, 0)), 0)*(1-AG702)))</f>
        <v/>
      </c>
      <c r="AJ702" s="81">
        <f>IF(AN702="","",_xlfn.LET(idVenta, AN702&amp;"",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02" s="81">
        <f>IF(AN702="","",AH702-AJ702)</f>
        <v/>
      </c>
      <c r="AL702" s="81">
        <f>IF(AN702="","",IF(Q702="Sin Factura","",AI702-AJ702))</f>
        <v/>
      </c>
      <c r="AM702" s="81">
        <f>IF(AN702="","",IF(Q702="Sin Factura",0,P702-IFERROR(INDEX(Facturas_Odoo!$H:$H, MATCH(Q702, Facturas_Odoo!$B:$B, 0)), 0)))</f>
        <v/>
      </c>
      <c r="AN702" s="79">
        <f>IF(AND(A702="", J702=""), "", IF(A702&lt;&gt;"", VALUE(MID(A702,2,LEN(A702))), AN701))</f>
        <v/>
      </c>
      <c r="AO702" s="79">
        <f>IF(AN702="","",IF(AD702=0,"OK",_xlfn.LET(monedaPago, IF(AA702="","USD",AA702), limitePermitido, IFERROR(VLOOKUP(monedaPago, Configuración!$A$2:$B$3, 2, FALSE), 0.15), IF(AD702&gt;limitePermitido, "ALERTA: EXCESO (" &amp; TEXT(limitePermitido, "0%") &amp; " máx)", "OK"))))</f>
        <v/>
      </c>
      <c r="AP702" s="79">
        <f>IF(AN702="","",IF(AE702=0,"OK",_xlfn.LET(fechaPago, Z702, fechaFactura, R702, diasCredito, IF(E702="Pago inmediato", 0, IFERROR(VALUE(MID(E702, 1, SEARCH(" ", E702)-1)),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02" s="79">
        <f>IF(AN702="","",IF(AND(N702&gt;0, AG702&gt;0), IF(Configuración!$K$2="NO", "ALERTA: DESCUENTO DOBLE NO PERMITIDO", "OK"), "OK"))</f>
        <v/>
      </c>
      <c r="AR702" s="79">
        <f>IF(AN702="","",IF(OR(AO702&lt;&gt;"OK", AP702&lt;&gt;"OK", AQ702&lt;&gt;"OK"), "⚠️ REVISAR", "OK"))</f>
        <v/>
      </c>
    </row>
    <row r="703">
      <c r="A703" s="79">
        <f>IF('Ordenes_Odoo'!A703="","",'Ordenes_Odoo'!A703)</f>
        <v/>
      </c>
      <c r="B703" s="80">
        <f>IF('Ordenes_Odoo'!B703="","",'Ordenes_Odoo'!B703)</f>
        <v/>
      </c>
      <c r="C703" s="79">
        <f>IF('Ordenes_Odoo'!C703="","",'Ordenes_Odoo'!C703)</f>
        <v/>
      </c>
      <c r="D703" s="79">
        <f>IF('Ordenes_Odoo'!D703="","",'Ordenes_Odoo'!D703)</f>
        <v/>
      </c>
      <c r="E703" s="79">
        <f>IF('Ordenes_Odoo'!E703="","",'Ordenes_Odoo'!E703)</f>
        <v/>
      </c>
      <c r="F703" s="79">
        <f>IF('Ordenes_Odoo'!F703="","",'Ordenes_Odoo'!F703)</f>
        <v/>
      </c>
      <c r="G703" s="79">
        <f>IF('Ordenes_Odoo'!G703="","",'Ordenes_Odoo'!G703)</f>
        <v/>
      </c>
      <c r="H703" s="79">
        <f>IF('Ordenes_Odoo'!H703="","",'Ordenes_Odoo'!H703)</f>
        <v/>
      </c>
      <c r="I703" s="79">
        <f>IF('Ordenes_Odoo'!I703="","",'Ordenes_Odoo'!I703)</f>
        <v/>
      </c>
      <c r="J703" s="79">
        <f>IF('Ordenes_Odoo'!J703="","",'Ordenes_Odoo'!J703)</f>
        <v/>
      </c>
      <c r="K703" s="81">
        <f>IF('Ordenes_Odoo'!K703="","",'Ordenes_Odoo'!K703)</f>
        <v/>
      </c>
      <c r="L703" s="81">
        <f>IF('Ordenes_Odoo'!L703="","",'Ordenes_Odoo'!L703)</f>
        <v/>
      </c>
      <c r="M703" s="79">
        <f>IF('Ordenes_Odoo'!M703="","",'Ordenes_Odoo'!M703)</f>
        <v/>
      </c>
      <c r="N703" s="79">
        <f>IF('Ordenes_Odoo'!N703="","",'Ordenes_Odoo'!N703)</f>
        <v/>
      </c>
      <c r="O703" s="81">
        <f>IF('Ordenes_Odoo'!O703="","",'Ordenes_Odoo'!O703)</f>
        <v/>
      </c>
      <c r="P703" s="81">
        <f>IF('Ordenes_Odoo'!P703="","",'Ordenes_Odoo'!P703)</f>
        <v/>
      </c>
      <c r="Q703" s="79">
        <f>IF(A703="","",IFERROR(INDEX(Facturas_Odoo!$B:$B, MATCH(A703, Facturas_Odoo!$D:$D, 0)), "Sin Factura"))</f>
        <v/>
      </c>
      <c r="R703" s="80">
        <f>IF(Q703="Sin Factura","",IFERROR(INDEX(Facturas_Odoo!$A:$A, MATCH(Q703, Facturas_Odoo!$B:$B, 0)), ""))</f>
        <v/>
      </c>
      <c r="S703" s="79">
        <f>IF(Q703="Sin Factura","",IFERROR(_xlfn.XLOOKUP(1, (Facturas_Odoo!$D:$D=A703) * (Facturas_Odoo!$K:$K=I703), Facturas_Odoo!$L:$L, ""), ""))</f>
        <v/>
      </c>
      <c r="T703" s="81">
        <f>IF(Q703="Sin Factura",0,IFERROR(_xlfn.XLOOKUP(1, (Facturas_Odoo!$D:$D=A703) * (Facturas_Odoo!$K:$K=I703), Facturas_Odoo!$M:$M, 0), 0))</f>
        <v/>
      </c>
      <c r="U703" s="79">
        <f>IF(Q703="Sin Factura",0,IFERROR(_xlfn.XLOOKUP(1, (Facturas_Odoo!$D:$D=A703) * (Facturas_Odoo!$K:$K=I703), Facturas_Odoo!$N:$N, 0), 0))</f>
        <v/>
      </c>
      <c r="V703" s="79">
        <f>IF(Q703="Sin Factura",0,IFERROR(_xlfn.XLOOKUP(1, (Facturas_Odoo!$D:$D=A703) * (Facturas_Odoo!$K:$K=I703), Facturas_Odoo!$O:$O, 0), 0))</f>
        <v/>
      </c>
      <c r="W703" s="81">
        <f>IF(Q703="Sin Factura",0,IFERROR(_xlfn.XLOOKUP(1, (Facturas_Odoo!$D:$D=A703) * (Facturas_Odoo!$K:$K=I703), Facturas_Odoo!$Q:$Q, 0), 0))</f>
        <v/>
      </c>
      <c r="X703" s="79">
        <f>IF(OR(Q703="Sin Factura",Q703=""),"",IFERROR(INDEX(Pagos_Odoo!$B:$B, MATCH(Q703, Pagos_Odoo!$I:$I, 0)), "Sin Pago"))</f>
        <v/>
      </c>
      <c r="Y703" s="79">
        <f>IF(X703="Sin Pago","",IFERROR(INDEX(Pagos_Odoo!$C:$C, MATCH(X703, Pagos_Odoo!$B:$B, 0)), ""))</f>
        <v/>
      </c>
      <c r="Z703" s="80">
        <f>IF(X703="Sin Pago","",IFERROR(INDEX(Pagos_Odoo!$A:$A, MATCH(X703, Pagos_Odoo!$B:$B, 0)), ""))</f>
        <v/>
      </c>
      <c r="AA703" s="79">
        <f>IF(X703="Sin Pago","",IFERROR(INDEX(Pagos_Odoo!$F:$F, MATCH(X703, Pagos_Odoo!$B:$B, 0)), ""))</f>
        <v/>
      </c>
      <c r="AB703" s="81">
        <f>IF(X703="Sin Pago",0,IFERROR(INDEX(Pagos_Odoo!$E:$E, MATCH(X703, Pagos_Odoo!$B:$B, 0)), 0))</f>
        <v/>
      </c>
      <c r="AC703" s="79">
        <f>IF(X703="Sin Pago","",IFERROR(INDEX(Pagos_Odoo!$G:$G, MATCH(X703, Pagos_Odoo!$B:$B, 0)), ""))</f>
        <v/>
      </c>
      <c r="AD703" s="82" t="n">
        <v>0</v>
      </c>
      <c r="AE703" s="82" t="n"/>
      <c r="AF703" s="82" t="n"/>
      <c r="AG703" s="82">
        <f>IF(AN703="","",AD703+AE703+AF703)</f>
        <v/>
      </c>
      <c r="AH703" s="81">
        <f>IF(AN703="","",P703*(1-AG703))</f>
        <v/>
      </c>
      <c r="AI703" s="81">
        <f>IF(AN703="","",IF(Q703="Sin Factura",0,IFERROR(INDEX(Facturas_Odoo!$H:$H, MATCH(Q703, Facturas_Odoo!$B:$B, 0)), 0)*(1-AG703)))</f>
        <v/>
      </c>
      <c r="AJ703" s="81">
        <f>IF(AN703="","",_xlfn.LET(idVenta, AN703&amp;"",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03" s="81">
        <f>IF(AN703="","",AH703-AJ703)</f>
        <v/>
      </c>
      <c r="AL703" s="81">
        <f>IF(AN703="","",IF(Q703="Sin Factura","",AI703-AJ703))</f>
        <v/>
      </c>
      <c r="AM703" s="81">
        <f>IF(AN703="","",IF(Q703="Sin Factura",0,P703-IFERROR(INDEX(Facturas_Odoo!$H:$H, MATCH(Q703, Facturas_Odoo!$B:$B, 0)), 0)))</f>
        <v/>
      </c>
      <c r="AN703" s="79">
        <f>IF(AND(A703="", J703=""), "", IF(A703&lt;&gt;"", VALUE(MID(A703,2,LEN(A703))), AN702))</f>
        <v/>
      </c>
      <c r="AO703" s="79">
        <f>IF(AN703="","",IF(AD703=0,"OK",_xlfn.LET(monedaPago, IF(AA703="","USD",AA703), limitePermitido, IFERROR(VLOOKUP(monedaPago, Configuración!$A$2:$B$3, 2, FALSE), 0.15), IF(AD703&gt;limitePermitido, "ALERTA: EXCESO (" &amp; TEXT(limitePermitido, "0%") &amp; " máx)", "OK"))))</f>
        <v/>
      </c>
      <c r="AP703" s="79">
        <f>IF(AN703="","",IF(AE703=0,"OK",_xlfn.LET(fechaPago, Z703, fechaFactura, R703, diasCredito, IF(E703="Pago inmediato", 0, IFERROR(VALUE(MID(E703, 1, SEARCH(" ", E703)-1)),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03" s="79">
        <f>IF(AN703="","",IF(AND(N703&gt;0, AG703&gt;0), IF(Configuración!$K$2="NO", "ALERTA: DESCUENTO DOBLE NO PERMITIDO", "OK"), "OK"))</f>
        <v/>
      </c>
      <c r="AR703" s="79">
        <f>IF(AN703="","",IF(OR(AO703&lt;&gt;"OK", AP703&lt;&gt;"OK", AQ703&lt;&gt;"OK"), "⚠️ REVISAR", "OK"))</f>
        <v/>
      </c>
    </row>
    <row r="704">
      <c r="A704" s="79">
        <f>IF('Ordenes_Odoo'!A704="","",'Ordenes_Odoo'!A704)</f>
        <v/>
      </c>
      <c r="B704" s="80">
        <f>IF('Ordenes_Odoo'!B704="","",'Ordenes_Odoo'!B704)</f>
        <v/>
      </c>
      <c r="C704" s="79">
        <f>IF('Ordenes_Odoo'!C704="","",'Ordenes_Odoo'!C704)</f>
        <v/>
      </c>
      <c r="D704" s="79">
        <f>IF('Ordenes_Odoo'!D704="","",'Ordenes_Odoo'!D704)</f>
        <v/>
      </c>
      <c r="E704" s="79">
        <f>IF('Ordenes_Odoo'!E704="","",'Ordenes_Odoo'!E704)</f>
        <v/>
      </c>
      <c r="F704" s="79">
        <f>IF('Ordenes_Odoo'!F704="","",'Ordenes_Odoo'!F704)</f>
        <v/>
      </c>
      <c r="G704" s="79">
        <f>IF('Ordenes_Odoo'!G704="","",'Ordenes_Odoo'!G704)</f>
        <v/>
      </c>
      <c r="H704" s="79">
        <f>IF('Ordenes_Odoo'!H704="","",'Ordenes_Odoo'!H704)</f>
        <v/>
      </c>
      <c r="I704" s="79">
        <f>IF('Ordenes_Odoo'!I704="","",'Ordenes_Odoo'!I704)</f>
        <v/>
      </c>
      <c r="J704" s="79">
        <f>IF('Ordenes_Odoo'!J704="","",'Ordenes_Odoo'!J704)</f>
        <v/>
      </c>
      <c r="K704" s="81">
        <f>IF('Ordenes_Odoo'!K704="","",'Ordenes_Odoo'!K704)</f>
        <v/>
      </c>
      <c r="L704" s="81">
        <f>IF('Ordenes_Odoo'!L704="","",'Ordenes_Odoo'!L704)</f>
        <v/>
      </c>
      <c r="M704" s="79">
        <f>IF('Ordenes_Odoo'!M704="","",'Ordenes_Odoo'!M704)</f>
        <v/>
      </c>
      <c r="N704" s="79">
        <f>IF('Ordenes_Odoo'!N704="","",'Ordenes_Odoo'!N704)</f>
        <v/>
      </c>
      <c r="O704" s="81">
        <f>IF('Ordenes_Odoo'!O704="","",'Ordenes_Odoo'!O704)</f>
        <v/>
      </c>
      <c r="P704" s="81">
        <f>IF('Ordenes_Odoo'!P704="","",'Ordenes_Odoo'!P704)</f>
        <v/>
      </c>
      <c r="Q704" s="79">
        <f>IF(A704="","",IFERROR(INDEX(Facturas_Odoo!$B:$B, MATCH(A704, Facturas_Odoo!$D:$D, 0)), "Sin Factura"))</f>
        <v/>
      </c>
      <c r="R704" s="80">
        <f>IF(Q704="Sin Factura","",IFERROR(INDEX(Facturas_Odoo!$A:$A, MATCH(Q704, Facturas_Odoo!$B:$B, 0)), ""))</f>
        <v/>
      </c>
      <c r="S704" s="79">
        <f>IF(Q704="Sin Factura","",IFERROR(_xlfn.XLOOKUP(1, (Facturas_Odoo!$D:$D=A704) * (Facturas_Odoo!$K:$K=I704), Facturas_Odoo!$L:$L, ""), ""))</f>
        <v/>
      </c>
      <c r="T704" s="81">
        <f>IF(Q704="Sin Factura",0,IFERROR(_xlfn.XLOOKUP(1, (Facturas_Odoo!$D:$D=A704) * (Facturas_Odoo!$K:$K=I704), Facturas_Odoo!$M:$M, 0), 0))</f>
        <v/>
      </c>
      <c r="U704" s="79">
        <f>IF(Q704="Sin Factura",0,IFERROR(_xlfn.XLOOKUP(1, (Facturas_Odoo!$D:$D=A704) * (Facturas_Odoo!$K:$K=I704), Facturas_Odoo!$N:$N, 0), 0))</f>
        <v/>
      </c>
      <c r="V704" s="79">
        <f>IF(Q704="Sin Factura",0,IFERROR(_xlfn.XLOOKUP(1, (Facturas_Odoo!$D:$D=A704) * (Facturas_Odoo!$K:$K=I704), Facturas_Odoo!$O:$O, 0), 0))</f>
        <v/>
      </c>
      <c r="W704" s="81">
        <f>IF(Q704="Sin Factura",0,IFERROR(_xlfn.XLOOKUP(1, (Facturas_Odoo!$D:$D=A704) * (Facturas_Odoo!$K:$K=I704), Facturas_Odoo!$Q:$Q, 0), 0))</f>
        <v/>
      </c>
      <c r="X704" s="79">
        <f>IF(OR(Q704="Sin Factura",Q704=""),"",IFERROR(INDEX(Pagos_Odoo!$B:$B, MATCH(Q704, Pagos_Odoo!$I:$I, 0)), "Sin Pago"))</f>
        <v/>
      </c>
      <c r="Y704" s="79">
        <f>IF(X704="Sin Pago","",IFERROR(INDEX(Pagos_Odoo!$C:$C, MATCH(X704, Pagos_Odoo!$B:$B, 0)), ""))</f>
        <v/>
      </c>
      <c r="Z704" s="80">
        <f>IF(X704="Sin Pago","",IFERROR(INDEX(Pagos_Odoo!$A:$A, MATCH(X704, Pagos_Odoo!$B:$B, 0)), ""))</f>
        <v/>
      </c>
      <c r="AA704" s="79">
        <f>IF(X704="Sin Pago","",IFERROR(INDEX(Pagos_Odoo!$F:$F, MATCH(X704, Pagos_Odoo!$B:$B, 0)), ""))</f>
        <v/>
      </c>
      <c r="AB704" s="81">
        <f>IF(X704="Sin Pago",0,IFERROR(INDEX(Pagos_Odoo!$E:$E, MATCH(X704, Pagos_Odoo!$B:$B, 0)), 0))</f>
        <v/>
      </c>
      <c r="AC704" s="79">
        <f>IF(X704="Sin Pago","",IFERROR(INDEX(Pagos_Odoo!$G:$G, MATCH(X704, Pagos_Odoo!$B:$B, 0)), ""))</f>
        <v/>
      </c>
      <c r="AD704" s="82" t="n">
        <v>0</v>
      </c>
      <c r="AE704" s="82" t="n"/>
      <c r="AF704" s="82" t="n"/>
      <c r="AG704" s="82">
        <f>IF(AN704="","",AD704+AE704+AF704)</f>
        <v/>
      </c>
      <c r="AH704" s="81">
        <f>IF(AN704="","",P704*(1-AG704))</f>
        <v/>
      </c>
      <c r="AI704" s="81">
        <f>IF(AN704="","",IF(Q704="Sin Factura",0,IFERROR(INDEX(Facturas_Odoo!$H:$H, MATCH(Q704, Facturas_Odoo!$B:$B, 0)), 0)*(1-AG704)))</f>
        <v/>
      </c>
      <c r="AJ704" s="81">
        <f>IF(AN704="","",_xlfn.LET(idVenta, AN704&amp;"",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04" s="81">
        <f>IF(AN704="","",AH704-AJ704)</f>
        <v/>
      </c>
      <c r="AL704" s="81">
        <f>IF(AN704="","",IF(Q704="Sin Factura","",AI704-AJ704))</f>
        <v/>
      </c>
      <c r="AM704" s="81">
        <f>IF(AN704="","",IF(Q704="Sin Factura",0,P704-IFERROR(INDEX(Facturas_Odoo!$H:$H, MATCH(Q704, Facturas_Odoo!$B:$B, 0)), 0)))</f>
        <v/>
      </c>
      <c r="AN704" s="79">
        <f>IF(AND(A704="", J704=""), "", IF(A704&lt;&gt;"", VALUE(MID(A704,2,LEN(A704))), AN703))</f>
        <v/>
      </c>
      <c r="AO704" s="79">
        <f>IF(AN704="","",IF(AD704=0,"OK",_xlfn.LET(monedaPago, IF(AA704="","USD",AA704), limitePermitido, IFERROR(VLOOKUP(monedaPago, Configuración!$A$2:$B$3, 2, FALSE), 0.15), IF(AD704&gt;limitePermitido, "ALERTA: EXCESO (" &amp; TEXT(limitePermitido, "0%") &amp; " máx)", "OK"))))</f>
        <v/>
      </c>
      <c r="AP704" s="79">
        <f>IF(AN704="","",IF(AE704=0,"OK",_xlfn.LET(fechaPago, Z704, fechaFactura, R704, diasCredito, IF(E704="Pago inmediato", 0, IFERROR(VALUE(MID(E704, 1, SEARCH(" ", E704)-1)),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04" s="79">
        <f>IF(AN704="","",IF(AND(N704&gt;0, AG704&gt;0), IF(Configuración!$K$2="NO", "ALERTA: DESCUENTO DOBLE NO PERMITIDO", "OK"), "OK"))</f>
        <v/>
      </c>
      <c r="AR704" s="79">
        <f>IF(AN704="","",IF(OR(AO704&lt;&gt;"OK", AP704&lt;&gt;"OK", AQ704&lt;&gt;"OK"), "⚠️ REVISAR", "OK"))</f>
        <v/>
      </c>
    </row>
    <row r="705">
      <c r="A705" s="79">
        <f>IF('Ordenes_Odoo'!A705="","",'Ordenes_Odoo'!A705)</f>
        <v/>
      </c>
      <c r="B705" s="80">
        <f>IF('Ordenes_Odoo'!B705="","",'Ordenes_Odoo'!B705)</f>
        <v/>
      </c>
      <c r="C705" s="79">
        <f>IF('Ordenes_Odoo'!C705="","",'Ordenes_Odoo'!C705)</f>
        <v/>
      </c>
      <c r="D705" s="79">
        <f>IF('Ordenes_Odoo'!D705="","",'Ordenes_Odoo'!D705)</f>
        <v/>
      </c>
      <c r="E705" s="79">
        <f>IF('Ordenes_Odoo'!E705="","",'Ordenes_Odoo'!E705)</f>
        <v/>
      </c>
      <c r="F705" s="79">
        <f>IF('Ordenes_Odoo'!F705="","",'Ordenes_Odoo'!F705)</f>
        <v/>
      </c>
      <c r="G705" s="79">
        <f>IF('Ordenes_Odoo'!G705="","",'Ordenes_Odoo'!G705)</f>
        <v/>
      </c>
      <c r="H705" s="79">
        <f>IF('Ordenes_Odoo'!H705="","",'Ordenes_Odoo'!H705)</f>
        <v/>
      </c>
      <c r="I705" s="79">
        <f>IF('Ordenes_Odoo'!I705="","",'Ordenes_Odoo'!I705)</f>
        <v/>
      </c>
      <c r="J705" s="79">
        <f>IF('Ordenes_Odoo'!J705="","",'Ordenes_Odoo'!J705)</f>
        <v/>
      </c>
      <c r="K705" s="81">
        <f>IF('Ordenes_Odoo'!K705="","",'Ordenes_Odoo'!K705)</f>
        <v/>
      </c>
      <c r="L705" s="81">
        <f>IF('Ordenes_Odoo'!L705="","",'Ordenes_Odoo'!L705)</f>
        <v/>
      </c>
      <c r="M705" s="79">
        <f>IF('Ordenes_Odoo'!M705="","",'Ordenes_Odoo'!M705)</f>
        <v/>
      </c>
      <c r="N705" s="79">
        <f>IF('Ordenes_Odoo'!N705="","",'Ordenes_Odoo'!N705)</f>
        <v/>
      </c>
      <c r="O705" s="81">
        <f>IF('Ordenes_Odoo'!O705="","",'Ordenes_Odoo'!O705)</f>
        <v/>
      </c>
      <c r="P705" s="81">
        <f>IF('Ordenes_Odoo'!P705="","",'Ordenes_Odoo'!P705)</f>
        <v/>
      </c>
      <c r="Q705" s="79">
        <f>IF(A705="","",IFERROR(INDEX(Facturas_Odoo!$B:$B, MATCH(A705, Facturas_Odoo!$D:$D, 0)), "Sin Factura"))</f>
        <v/>
      </c>
      <c r="R705" s="80">
        <f>IF(Q705="Sin Factura","",IFERROR(INDEX(Facturas_Odoo!$A:$A, MATCH(Q705, Facturas_Odoo!$B:$B, 0)), ""))</f>
        <v/>
      </c>
      <c r="S705" s="79">
        <f>IF(Q705="Sin Factura","",IFERROR(_xlfn.XLOOKUP(1, (Facturas_Odoo!$D:$D=A705) * (Facturas_Odoo!$K:$K=I705), Facturas_Odoo!$L:$L, ""), ""))</f>
        <v/>
      </c>
      <c r="T705" s="81">
        <f>IF(Q705="Sin Factura",0,IFERROR(_xlfn.XLOOKUP(1, (Facturas_Odoo!$D:$D=A705) * (Facturas_Odoo!$K:$K=I705), Facturas_Odoo!$M:$M, 0), 0))</f>
        <v/>
      </c>
      <c r="U705" s="79">
        <f>IF(Q705="Sin Factura",0,IFERROR(_xlfn.XLOOKUP(1, (Facturas_Odoo!$D:$D=A705) * (Facturas_Odoo!$K:$K=I705), Facturas_Odoo!$N:$N, 0), 0))</f>
        <v/>
      </c>
      <c r="V705" s="79">
        <f>IF(Q705="Sin Factura",0,IFERROR(_xlfn.XLOOKUP(1, (Facturas_Odoo!$D:$D=A705) * (Facturas_Odoo!$K:$K=I705), Facturas_Odoo!$O:$O, 0), 0))</f>
        <v/>
      </c>
      <c r="W705" s="81">
        <f>IF(Q705="Sin Factura",0,IFERROR(_xlfn.XLOOKUP(1, (Facturas_Odoo!$D:$D=A705) * (Facturas_Odoo!$K:$K=I705), Facturas_Odoo!$Q:$Q, 0), 0))</f>
        <v/>
      </c>
      <c r="X705" s="79">
        <f>IF(OR(Q705="Sin Factura",Q705=""),"",IFERROR(INDEX(Pagos_Odoo!$B:$B, MATCH(Q705, Pagos_Odoo!$I:$I, 0)), "Sin Pago"))</f>
        <v/>
      </c>
      <c r="Y705" s="79">
        <f>IF(X705="Sin Pago","",IFERROR(INDEX(Pagos_Odoo!$C:$C, MATCH(X705, Pagos_Odoo!$B:$B, 0)), ""))</f>
        <v/>
      </c>
      <c r="Z705" s="80">
        <f>IF(X705="Sin Pago","",IFERROR(INDEX(Pagos_Odoo!$A:$A, MATCH(X705, Pagos_Odoo!$B:$B, 0)), ""))</f>
        <v/>
      </c>
      <c r="AA705" s="79">
        <f>IF(X705="Sin Pago","",IFERROR(INDEX(Pagos_Odoo!$F:$F, MATCH(X705, Pagos_Odoo!$B:$B, 0)), ""))</f>
        <v/>
      </c>
      <c r="AB705" s="81">
        <f>IF(X705="Sin Pago",0,IFERROR(INDEX(Pagos_Odoo!$E:$E, MATCH(X705, Pagos_Odoo!$B:$B, 0)), 0))</f>
        <v/>
      </c>
      <c r="AC705" s="79">
        <f>IF(X705="Sin Pago","",IFERROR(INDEX(Pagos_Odoo!$G:$G, MATCH(X705, Pagos_Odoo!$B:$B, 0)), ""))</f>
        <v/>
      </c>
      <c r="AD705" s="82" t="n">
        <v>0</v>
      </c>
      <c r="AE705" s="82" t="n"/>
      <c r="AF705" s="82" t="n"/>
      <c r="AG705" s="82">
        <f>IF(AN705="","",AD705+AE705+AF705)</f>
        <v/>
      </c>
      <c r="AH705" s="81">
        <f>IF(AN705="","",P705*(1-AG705))</f>
        <v/>
      </c>
      <c r="AI705" s="81">
        <f>IF(AN705="","",IF(Q705="Sin Factura",0,IFERROR(INDEX(Facturas_Odoo!$H:$H, MATCH(Q705, Facturas_Odoo!$B:$B, 0)), 0)*(1-AG705)))</f>
        <v/>
      </c>
      <c r="AJ705" s="81">
        <f>IF(AN705="","",_xlfn.LET(idVenta, AN705&amp;"",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05" s="81">
        <f>IF(AN705="","",AH705-AJ705)</f>
        <v/>
      </c>
      <c r="AL705" s="81">
        <f>IF(AN705="","",IF(Q705="Sin Factura","",AI705-AJ705))</f>
        <v/>
      </c>
      <c r="AM705" s="81">
        <f>IF(AN705="","",IF(Q705="Sin Factura",0,P705-IFERROR(INDEX(Facturas_Odoo!$H:$H, MATCH(Q705, Facturas_Odoo!$B:$B, 0)), 0)))</f>
        <v/>
      </c>
      <c r="AN705" s="79">
        <f>IF(AND(A705="", J705=""), "", IF(A705&lt;&gt;"", VALUE(MID(A705,2,LEN(A705))), AN704))</f>
        <v/>
      </c>
      <c r="AO705" s="79">
        <f>IF(AN705="","",IF(AD705=0,"OK",_xlfn.LET(monedaPago, IF(AA705="","USD",AA705), limitePermitido, IFERROR(VLOOKUP(monedaPago, Configuración!$A$2:$B$3, 2, FALSE), 0.15), IF(AD705&gt;limitePermitido, "ALERTA: EXCESO (" &amp; TEXT(limitePermitido, "0%") &amp; " máx)", "OK"))))</f>
        <v/>
      </c>
      <c r="AP705" s="79">
        <f>IF(AN705="","",IF(AE705=0,"OK",_xlfn.LET(fechaPago, Z705, fechaFactura, R705, diasCredito, IF(E705="Pago inmediato", 0, IFERROR(VALUE(MID(E705, 1, SEARCH(" ", E705)-1)),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05" s="79">
        <f>IF(AN705="","",IF(AND(N705&gt;0, AG705&gt;0), IF(Configuración!$K$2="NO", "ALERTA: DESCUENTO DOBLE NO PERMITIDO", "OK"), "OK"))</f>
        <v/>
      </c>
      <c r="AR705" s="79">
        <f>IF(AN705="","",IF(OR(AO705&lt;&gt;"OK", AP705&lt;&gt;"OK", AQ705&lt;&gt;"OK"), "⚠️ REVISAR", "OK"))</f>
        <v/>
      </c>
    </row>
    <row r="706">
      <c r="A706" s="79">
        <f>IF('Ordenes_Odoo'!A706="","",'Ordenes_Odoo'!A706)</f>
        <v/>
      </c>
      <c r="B706" s="80">
        <f>IF('Ordenes_Odoo'!B706="","",'Ordenes_Odoo'!B706)</f>
        <v/>
      </c>
      <c r="C706" s="79">
        <f>IF('Ordenes_Odoo'!C706="","",'Ordenes_Odoo'!C706)</f>
        <v/>
      </c>
      <c r="D706" s="79">
        <f>IF('Ordenes_Odoo'!D706="","",'Ordenes_Odoo'!D706)</f>
        <v/>
      </c>
      <c r="E706" s="79">
        <f>IF('Ordenes_Odoo'!E706="","",'Ordenes_Odoo'!E706)</f>
        <v/>
      </c>
      <c r="F706" s="79">
        <f>IF('Ordenes_Odoo'!F706="","",'Ordenes_Odoo'!F706)</f>
        <v/>
      </c>
      <c r="G706" s="79">
        <f>IF('Ordenes_Odoo'!G706="","",'Ordenes_Odoo'!G706)</f>
        <v/>
      </c>
      <c r="H706" s="79">
        <f>IF('Ordenes_Odoo'!H706="","",'Ordenes_Odoo'!H706)</f>
        <v/>
      </c>
      <c r="I706" s="79">
        <f>IF('Ordenes_Odoo'!I706="","",'Ordenes_Odoo'!I706)</f>
        <v/>
      </c>
      <c r="J706" s="79">
        <f>IF('Ordenes_Odoo'!J706="","",'Ordenes_Odoo'!J706)</f>
        <v/>
      </c>
      <c r="K706" s="81">
        <f>IF('Ordenes_Odoo'!K706="","",'Ordenes_Odoo'!K706)</f>
        <v/>
      </c>
      <c r="L706" s="81">
        <f>IF('Ordenes_Odoo'!L706="","",'Ordenes_Odoo'!L706)</f>
        <v/>
      </c>
      <c r="M706" s="79">
        <f>IF('Ordenes_Odoo'!M706="","",'Ordenes_Odoo'!M706)</f>
        <v/>
      </c>
      <c r="N706" s="79">
        <f>IF('Ordenes_Odoo'!N706="","",'Ordenes_Odoo'!N706)</f>
        <v/>
      </c>
      <c r="O706" s="81">
        <f>IF('Ordenes_Odoo'!O706="","",'Ordenes_Odoo'!O706)</f>
        <v/>
      </c>
      <c r="P706" s="81">
        <f>IF('Ordenes_Odoo'!P706="","",'Ordenes_Odoo'!P706)</f>
        <v/>
      </c>
      <c r="Q706" s="79">
        <f>IF(A706="","",IFERROR(INDEX(Facturas_Odoo!$B:$B, MATCH(A706, Facturas_Odoo!$D:$D, 0)), "Sin Factura"))</f>
        <v/>
      </c>
      <c r="R706" s="80">
        <f>IF(Q706="Sin Factura","",IFERROR(INDEX(Facturas_Odoo!$A:$A, MATCH(Q706, Facturas_Odoo!$B:$B, 0)), ""))</f>
        <v/>
      </c>
      <c r="S706" s="79">
        <f>IF(Q706="Sin Factura","",IFERROR(_xlfn.XLOOKUP(1, (Facturas_Odoo!$D:$D=A706) * (Facturas_Odoo!$K:$K=I706), Facturas_Odoo!$L:$L, ""), ""))</f>
        <v/>
      </c>
      <c r="T706" s="81">
        <f>IF(Q706="Sin Factura",0,IFERROR(_xlfn.XLOOKUP(1, (Facturas_Odoo!$D:$D=A706) * (Facturas_Odoo!$K:$K=I706), Facturas_Odoo!$M:$M, 0), 0))</f>
        <v/>
      </c>
      <c r="U706" s="79">
        <f>IF(Q706="Sin Factura",0,IFERROR(_xlfn.XLOOKUP(1, (Facturas_Odoo!$D:$D=A706) * (Facturas_Odoo!$K:$K=I706), Facturas_Odoo!$N:$N, 0), 0))</f>
        <v/>
      </c>
      <c r="V706" s="79">
        <f>IF(Q706="Sin Factura",0,IFERROR(_xlfn.XLOOKUP(1, (Facturas_Odoo!$D:$D=A706) * (Facturas_Odoo!$K:$K=I706), Facturas_Odoo!$O:$O, 0), 0))</f>
        <v/>
      </c>
      <c r="W706" s="81">
        <f>IF(Q706="Sin Factura",0,IFERROR(_xlfn.XLOOKUP(1, (Facturas_Odoo!$D:$D=A706) * (Facturas_Odoo!$K:$K=I706), Facturas_Odoo!$Q:$Q, 0), 0))</f>
        <v/>
      </c>
      <c r="X706" s="79">
        <f>IF(OR(Q706="Sin Factura",Q706=""),"",IFERROR(INDEX(Pagos_Odoo!$B:$B, MATCH(Q706, Pagos_Odoo!$I:$I, 0)), "Sin Pago"))</f>
        <v/>
      </c>
      <c r="Y706" s="79">
        <f>IF(X706="Sin Pago","",IFERROR(INDEX(Pagos_Odoo!$C:$C, MATCH(X706, Pagos_Odoo!$B:$B, 0)), ""))</f>
        <v/>
      </c>
      <c r="Z706" s="80">
        <f>IF(X706="Sin Pago","",IFERROR(INDEX(Pagos_Odoo!$A:$A, MATCH(X706, Pagos_Odoo!$B:$B, 0)), ""))</f>
        <v/>
      </c>
      <c r="AA706" s="79">
        <f>IF(X706="Sin Pago","",IFERROR(INDEX(Pagos_Odoo!$F:$F, MATCH(X706, Pagos_Odoo!$B:$B, 0)), ""))</f>
        <v/>
      </c>
      <c r="AB706" s="81">
        <f>IF(X706="Sin Pago",0,IFERROR(INDEX(Pagos_Odoo!$E:$E, MATCH(X706, Pagos_Odoo!$B:$B, 0)), 0))</f>
        <v/>
      </c>
      <c r="AC706" s="79">
        <f>IF(X706="Sin Pago","",IFERROR(INDEX(Pagos_Odoo!$G:$G, MATCH(X706, Pagos_Odoo!$B:$B, 0)), ""))</f>
        <v/>
      </c>
      <c r="AD706" s="82" t="n">
        <v>0</v>
      </c>
      <c r="AE706" s="82" t="n"/>
      <c r="AF706" s="82" t="n"/>
      <c r="AG706" s="82">
        <f>IF(AN706="","",AD706+AE706+AF706)</f>
        <v/>
      </c>
      <c r="AH706" s="81">
        <f>IF(AN706="","",P706*(1-AG706))</f>
        <v/>
      </c>
      <c r="AI706" s="81">
        <f>IF(AN706="","",IF(Q706="Sin Factura",0,IFERROR(INDEX(Facturas_Odoo!$H:$H, MATCH(Q706, Facturas_Odoo!$B:$B, 0)), 0)*(1-AG706)))</f>
        <v/>
      </c>
      <c r="AJ706" s="81">
        <f>IF(AN706="","",_xlfn.LET(idVenta, AN706&amp;"",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06" s="81">
        <f>IF(AN706="","",AH706-AJ706)</f>
        <v/>
      </c>
      <c r="AL706" s="81">
        <f>IF(AN706="","",IF(Q706="Sin Factura","",AI706-AJ706))</f>
        <v/>
      </c>
      <c r="AM706" s="81">
        <f>IF(AN706="","",IF(Q706="Sin Factura",0,P706-IFERROR(INDEX(Facturas_Odoo!$H:$H, MATCH(Q706, Facturas_Odoo!$B:$B, 0)), 0)))</f>
        <v/>
      </c>
      <c r="AN706" s="79">
        <f>IF(AND(A706="", J706=""), "", IF(A706&lt;&gt;"", VALUE(MID(A706,2,LEN(A706))), AN705))</f>
        <v/>
      </c>
      <c r="AO706" s="79">
        <f>IF(AN706="","",IF(AD706=0,"OK",_xlfn.LET(monedaPago, IF(AA706="","USD",AA706), limitePermitido, IFERROR(VLOOKUP(monedaPago, Configuración!$A$2:$B$3, 2, FALSE), 0.15), IF(AD706&gt;limitePermitido, "ALERTA: EXCESO (" &amp; TEXT(limitePermitido, "0%") &amp; " máx)", "OK"))))</f>
        <v/>
      </c>
      <c r="AP706" s="79">
        <f>IF(AN706="","",IF(AE706=0,"OK",_xlfn.LET(fechaPago, Z706, fechaFactura, R706, diasCredito, IF(E706="Pago inmediato", 0, IFERROR(VALUE(MID(E706, 1, SEARCH(" ", E706)-1)),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06" s="79">
        <f>IF(AN706="","",IF(AND(N706&gt;0, AG706&gt;0), IF(Configuración!$K$2="NO", "ALERTA: DESCUENTO DOBLE NO PERMITIDO", "OK"), "OK"))</f>
        <v/>
      </c>
      <c r="AR706" s="79">
        <f>IF(AN706="","",IF(OR(AO706&lt;&gt;"OK", AP706&lt;&gt;"OK", AQ706&lt;&gt;"OK"), "⚠️ REVISAR", "OK"))</f>
        <v/>
      </c>
    </row>
    <row r="707">
      <c r="A707" s="79">
        <f>IF('Ordenes_Odoo'!A707="","",'Ordenes_Odoo'!A707)</f>
        <v/>
      </c>
      <c r="B707" s="80">
        <f>IF('Ordenes_Odoo'!B707="","",'Ordenes_Odoo'!B707)</f>
        <v/>
      </c>
      <c r="C707" s="79">
        <f>IF('Ordenes_Odoo'!C707="","",'Ordenes_Odoo'!C707)</f>
        <v/>
      </c>
      <c r="D707" s="79">
        <f>IF('Ordenes_Odoo'!D707="","",'Ordenes_Odoo'!D707)</f>
        <v/>
      </c>
      <c r="E707" s="79">
        <f>IF('Ordenes_Odoo'!E707="","",'Ordenes_Odoo'!E707)</f>
        <v/>
      </c>
      <c r="F707" s="79">
        <f>IF('Ordenes_Odoo'!F707="","",'Ordenes_Odoo'!F707)</f>
        <v/>
      </c>
      <c r="G707" s="79">
        <f>IF('Ordenes_Odoo'!G707="","",'Ordenes_Odoo'!G707)</f>
        <v/>
      </c>
      <c r="H707" s="79">
        <f>IF('Ordenes_Odoo'!H707="","",'Ordenes_Odoo'!H707)</f>
        <v/>
      </c>
      <c r="I707" s="79">
        <f>IF('Ordenes_Odoo'!I707="","",'Ordenes_Odoo'!I707)</f>
        <v/>
      </c>
      <c r="J707" s="79">
        <f>IF('Ordenes_Odoo'!J707="","",'Ordenes_Odoo'!J707)</f>
        <v/>
      </c>
      <c r="K707" s="81">
        <f>IF('Ordenes_Odoo'!K707="","",'Ordenes_Odoo'!K707)</f>
        <v/>
      </c>
      <c r="L707" s="81">
        <f>IF('Ordenes_Odoo'!L707="","",'Ordenes_Odoo'!L707)</f>
        <v/>
      </c>
      <c r="M707" s="79">
        <f>IF('Ordenes_Odoo'!M707="","",'Ordenes_Odoo'!M707)</f>
        <v/>
      </c>
      <c r="N707" s="79">
        <f>IF('Ordenes_Odoo'!N707="","",'Ordenes_Odoo'!N707)</f>
        <v/>
      </c>
      <c r="O707" s="81">
        <f>IF('Ordenes_Odoo'!O707="","",'Ordenes_Odoo'!O707)</f>
        <v/>
      </c>
      <c r="P707" s="81">
        <f>IF('Ordenes_Odoo'!P707="","",'Ordenes_Odoo'!P707)</f>
        <v/>
      </c>
      <c r="Q707" s="79">
        <f>IF(A707="","",IFERROR(INDEX(Facturas_Odoo!$B:$B, MATCH(A707, Facturas_Odoo!$D:$D, 0)), "Sin Factura"))</f>
        <v/>
      </c>
      <c r="R707" s="80">
        <f>IF(Q707="Sin Factura","",IFERROR(INDEX(Facturas_Odoo!$A:$A, MATCH(Q707, Facturas_Odoo!$B:$B, 0)), ""))</f>
        <v/>
      </c>
      <c r="S707" s="79">
        <f>IF(Q707="Sin Factura","",IFERROR(_xlfn.XLOOKUP(1, (Facturas_Odoo!$D:$D=A707) * (Facturas_Odoo!$K:$K=I707), Facturas_Odoo!$L:$L, ""), ""))</f>
        <v/>
      </c>
      <c r="T707" s="81">
        <f>IF(Q707="Sin Factura",0,IFERROR(_xlfn.XLOOKUP(1, (Facturas_Odoo!$D:$D=A707) * (Facturas_Odoo!$K:$K=I707), Facturas_Odoo!$M:$M, 0), 0))</f>
        <v/>
      </c>
      <c r="U707" s="79">
        <f>IF(Q707="Sin Factura",0,IFERROR(_xlfn.XLOOKUP(1, (Facturas_Odoo!$D:$D=A707) * (Facturas_Odoo!$K:$K=I707), Facturas_Odoo!$N:$N, 0), 0))</f>
        <v/>
      </c>
      <c r="V707" s="79">
        <f>IF(Q707="Sin Factura",0,IFERROR(_xlfn.XLOOKUP(1, (Facturas_Odoo!$D:$D=A707) * (Facturas_Odoo!$K:$K=I707), Facturas_Odoo!$O:$O, 0), 0))</f>
        <v/>
      </c>
      <c r="W707" s="81">
        <f>IF(Q707="Sin Factura",0,IFERROR(_xlfn.XLOOKUP(1, (Facturas_Odoo!$D:$D=A707) * (Facturas_Odoo!$K:$K=I707), Facturas_Odoo!$Q:$Q, 0), 0))</f>
        <v/>
      </c>
      <c r="X707" s="79">
        <f>IF(OR(Q707="Sin Factura",Q707=""),"",IFERROR(INDEX(Pagos_Odoo!$B:$B, MATCH(Q707, Pagos_Odoo!$I:$I, 0)), "Sin Pago"))</f>
        <v/>
      </c>
      <c r="Y707" s="79">
        <f>IF(X707="Sin Pago","",IFERROR(INDEX(Pagos_Odoo!$C:$C, MATCH(X707, Pagos_Odoo!$B:$B, 0)), ""))</f>
        <v/>
      </c>
      <c r="Z707" s="80">
        <f>IF(X707="Sin Pago","",IFERROR(INDEX(Pagos_Odoo!$A:$A, MATCH(X707, Pagos_Odoo!$B:$B, 0)), ""))</f>
        <v/>
      </c>
      <c r="AA707" s="79">
        <f>IF(X707="Sin Pago","",IFERROR(INDEX(Pagos_Odoo!$F:$F, MATCH(X707, Pagos_Odoo!$B:$B, 0)), ""))</f>
        <v/>
      </c>
      <c r="AB707" s="81">
        <f>IF(X707="Sin Pago",0,IFERROR(INDEX(Pagos_Odoo!$E:$E, MATCH(X707, Pagos_Odoo!$B:$B, 0)), 0))</f>
        <v/>
      </c>
      <c r="AC707" s="79">
        <f>IF(X707="Sin Pago","",IFERROR(INDEX(Pagos_Odoo!$G:$G, MATCH(X707, Pagos_Odoo!$B:$B, 0)), ""))</f>
        <v/>
      </c>
      <c r="AD707" s="82" t="n">
        <v>0</v>
      </c>
      <c r="AE707" s="82" t="n"/>
      <c r="AF707" s="82" t="n"/>
      <c r="AG707" s="82">
        <f>IF(AN707="","",AD707+AE707+AF707)</f>
        <v/>
      </c>
      <c r="AH707" s="81">
        <f>IF(AN707="","",P707*(1-AG707))</f>
        <v/>
      </c>
      <c r="AI707" s="81">
        <f>IF(AN707="","",IF(Q707="Sin Factura",0,IFERROR(INDEX(Facturas_Odoo!$H:$H, MATCH(Q707, Facturas_Odoo!$B:$B, 0)), 0)*(1-AG707)))</f>
        <v/>
      </c>
      <c r="AJ707" s="81">
        <f>IF(AN707="","",_xlfn.LET(idVenta, AN707&amp;"",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07" s="81">
        <f>IF(AN707="","",AH707-AJ707)</f>
        <v/>
      </c>
      <c r="AL707" s="81">
        <f>IF(AN707="","",IF(Q707="Sin Factura","",AI707-AJ707))</f>
        <v/>
      </c>
      <c r="AM707" s="81">
        <f>IF(AN707="","",IF(Q707="Sin Factura",0,P707-IFERROR(INDEX(Facturas_Odoo!$H:$H, MATCH(Q707, Facturas_Odoo!$B:$B, 0)), 0)))</f>
        <v/>
      </c>
      <c r="AN707" s="79">
        <f>IF(AND(A707="", J707=""), "", IF(A707&lt;&gt;"", VALUE(MID(A707,2,LEN(A707))), AN706))</f>
        <v/>
      </c>
      <c r="AO707" s="79">
        <f>IF(AN707="","",IF(AD707=0,"OK",_xlfn.LET(monedaPago, IF(AA707="","USD",AA707), limitePermitido, IFERROR(VLOOKUP(monedaPago, Configuración!$A$2:$B$3, 2, FALSE), 0.15), IF(AD707&gt;limitePermitido, "ALERTA: EXCESO (" &amp; TEXT(limitePermitido, "0%") &amp; " máx)", "OK"))))</f>
        <v/>
      </c>
      <c r="AP707" s="79">
        <f>IF(AN707="","",IF(AE707=0,"OK",_xlfn.LET(fechaPago, Z707, fechaFactura, R707, diasCredito, IF(E707="Pago inmediato", 0, IFERROR(VALUE(MID(E707, 1, SEARCH(" ", E707)-1)),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07" s="79">
        <f>IF(AN707="","",IF(AND(N707&gt;0, AG707&gt;0), IF(Configuración!$K$2="NO", "ALERTA: DESCUENTO DOBLE NO PERMITIDO", "OK"), "OK"))</f>
        <v/>
      </c>
      <c r="AR707" s="79">
        <f>IF(AN707="","",IF(OR(AO707&lt;&gt;"OK", AP707&lt;&gt;"OK", AQ707&lt;&gt;"OK"), "⚠️ REVISAR", "OK"))</f>
        <v/>
      </c>
    </row>
    <row r="708">
      <c r="A708" s="79">
        <f>IF('Ordenes_Odoo'!A708="","",'Ordenes_Odoo'!A708)</f>
        <v/>
      </c>
      <c r="B708" s="80">
        <f>IF('Ordenes_Odoo'!B708="","",'Ordenes_Odoo'!B708)</f>
        <v/>
      </c>
      <c r="C708" s="79">
        <f>IF('Ordenes_Odoo'!C708="","",'Ordenes_Odoo'!C708)</f>
        <v/>
      </c>
      <c r="D708" s="79">
        <f>IF('Ordenes_Odoo'!D708="","",'Ordenes_Odoo'!D708)</f>
        <v/>
      </c>
      <c r="E708" s="79">
        <f>IF('Ordenes_Odoo'!E708="","",'Ordenes_Odoo'!E708)</f>
        <v/>
      </c>
      <c r="F708" s="79">
        <f>IF('Ordenes_Odoo'!F708="","",'Ordenes_Odoo'!F708)</f>
        <v/>
      </c>
      <c r="G708" s="79">
        <f>IF('Ordenes_Odoo'!G708="","",'Ordenes_Odoo'!G708)</f>
        <v/>
      </c>
      <c r="H708" s="79">
        <f>IF('Ordenes_Odoo'!H708="","",'Ordenes_Odoo'!H708)</f>
        <v/>
      </c>
      <c r="I708" s="79">
        <f>IF('Ordenes_Odoo'!I708="","",'Ordenes_Odoo'!I708)</f>
        <v/>
      </c>
      <c r="J708" s="79">
        <f>IF('Ordenes_Odoo'!J708="","",'Ordenes_Odoo'!J708)</f>
        <v/>
      </c>
      <c r="K708" s="81">
        <f>IF('Ordenes_Odoo'!K708="","",'Ordenes_Odoo'!K708)</f>
        <v/>
      </c>
      <c r="L708" s="81">
        <f>IF('Ordenes_Odoo'!L708="","",'Ordenes_Odoo'!L708)</f>
        <v/>
      </c>
      <c r="M708" s="79">
        <f>IF('Ordenes_Odoo'!M708="","",'Ordenes_Odoo'!M708)</f>
        <v/>
      </c>
      <c r="N708" s="79">
        <f>IF('Ordenes_Odoo'!N708="","",'Ordenes_Odoo'!N708)</f>
        <v/>
      </c>
      <c r="O708" s="81">
        <f>IF('Ordenes_Odoo'!O708="","",'Ordenes_Odoo'!O708)</f>
        <v/>
      </c>
      <c r="P708" s="81">
        <f>IF('Ordenes_Odoo'!P708="","",'Ordenes_Odoo'!P708)</f>
        <v/>
      </c>
      <c r="Q708" s="79">
        <f>IF(A708="","",IFERROR(INDEX(Facturas_Odoo!$B:$B, MATCH(A708, Facturas_Odoo!$D:$D, 0)), "Sin Factura"))</f>
        <v/>
      </c>
      <c r="R708" s="80">
        <f>IF(Q708="Sin Factura","",IFERROR(INDEX(Facturas_Odoo!$A:$A, MATCH(Q708, Facturas_Odoo!$B:$B, 0)), ""))</f>
        <v/>
      </c>
      <c r="S708" s="79">
        <f>IF(Q708="Sin Factura","",IFERROR(_xlfn.XLOOKUP(1, (Facturas_Odoo!$D:$D=A708) * (Facturas_Odoo!$K:$K=I708), Facturas_Odoo!$L:$L, ""), ""))</f>
        <v/>
      </c>
      <c r="T708" s="81">
        <f>IF(Q708="Sin Factura",0,IFERROR(_xlfn.XLOOKUP(1, (Facturas_Odoo!$D:$D=A708) * (Facturas_Odoo!$K:$K=I708), Facturas_Odoo!$M:$M, 0), 0))</f>
        <v/>
      </c>
      <c r="U708" s="79">
        <f>IF(Q708="Sin Factura",0,IFERROR(_xlfn.XLOOKUP(1, (Facturas_Odoo!$D:$D=A708) * (Facturas_Odoo!$K:$K=I708), Facturas_Odoo!$N:$N, 0), 0))</f>
        <v/>
      </c>
      <c r="V708" s="79">
        <f>IF(Q708="Sin Factura",0,IFERROR(_xlfn.XLOOKUP(1, (Facturas_Odoo!$D:$D=A708) * (Facturas_Odoo!$K:$K=I708), Facturas_Odoo!$O:$O, 0), 0))</f>
        <v/>
      </c>
      <c r="W708" s="81">
        <f>IF(Q708="Sin Factura",0,IFERROR(_xlfn.XLOOKUP(1, (Facturas_Odoo!$D:$D=A708) * (Facturas_Odoo!$K:$K=I708), Facturas_Odoo!$Q:$Q, 0), 0))</f>
        <v/>
      </c>
      <c r="X708" s="79">
        <f>IF(OR(Q708="Sin Factura",Q708=""),"",IFERROR(INDEX(Pagos_Odoo!$B:$B, MATCH(Q708, Pagos_Odoo!$I:$I, 0)), "Sin Pago"))</f>
        <v/>
      </c>
      <c r="Y708" s="79">
        <f>IF(X708="Sin Pago","",IFERROR(INDEX(Pagos_Odoo!$C:$C, MATCH(X708, Pagos_Odoo!$B:$B, 0)), ""))</f>
        <v/>
      </c>
      <c r="Z708" s="80">
        <f>IF(X708="Sin Pago","",IFERROR(INDEX(Pagos_Odoo!$A:$A, MATCH(X708, Pagos_Odoo!$B:$B, 0)), ""))</f>
        <v/>
      </c>
      <c r="AA708" s="79">
        <f>IF(X708="Sin Pago","",IFERROR(INDEX(Pagos_Odoo!$F:$F, MATCH(X708, Pagos_Odoo!$B:$B, 0)), ""))</f>
        <v/>
      </c>
      <c r="AB708" s="81">
        <f>IF(X708="Sin Pago",0,IFERROR(INDEX(Pagos_Odoo!$E:$E, MATCH(X708, Pagos_Odoo!$B:$B, 0)), 0))</f>
        <v/>
      </c>
      <c r="AC708" s="79">
        <f>IF(X708="Sin Pago","",IFERROR(INDEX(Pagos_Odoo!$G:$G, MATCH(X708, Pagos_Odoo!$B:$B, 0)), ""))</f>
        <v/>
      </c>
      <c r="AD708" s="82" t="n">
        <v>0</v>
      </c>
      <c r="AE708" s="82" t="n"/>
      <c r="AF708" s="82" t="n"/>
      <c r="AG708" s="82">
        <f>IF(AN708="","",AD708+AE708+AF708)</f>
        <v/>
      </c>
      <c r="AH708" s="81">
        <f>IF(AN708="","",P708*(1-AG708))</f>
        <v/>
      </c>
      <c r="AI708" s="81">
        <f>IF(AN708="","",IF(Q708="Sin Factura",0,IFERROR(INDEX(Facturas_Odoo!$H:$H, MATCH(Q708, Facturas_Odoo!$B:$B, 0)), 0)*(1-AG708)))</f>
        <v/>
      </c>
      <c r="AJ708" s="81">
        <f>IF(AN708="","",_xlfn.LET(idVenta, AN708&amp;"",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08" s="81">
        <f>IF(AN708="","",AH708-AJ708)</f>
        <v/>
      </c>
      <c r="AL708" s="81">
        <f>IF(AN708="","",IF(Q708="Sin Factura","",AI708-AJ708))</f>
        <v/>
      </c>
      <c r="AM708" s="81">
        <f>IF(AN708="","",IF(Q708="Sin Factura",0,P708-IFERROR(INDEX(Facturas_Odoo!$H:$H, MATCH(Q708, Facturas_Odoo!$B:$B, 0)), 0)))</f>
        <v/>
      </c>
      <c r="AN708" s="79">
        <f>IF(AND(A708="", J708=""), "", IF(A708&lt;&gt;"", VALUE(MID(A708,2,LEN(A708))), AN707))</f>
        <v/>
      </c>
      <c r="AO708" s="79">
        <f>IF(AN708="","",IF(AD708=0,"OK",_xlfn.LET(monedaPago, IF(AA708="","USD",AA708), limitePermitido, IFERROR(VLOOKUP(monedaPago, Configuración!$A$2:$B$3, 2, FALSE), 0.15), IF(AD708&gt;limitePermitido, "ALERTA: EXCESO (" &amp; TEXT(limitePermitido, "0%") &amp; " máx)", "OK"))))</f>
        <v/>
      </c>
      <c r="AP708" s="79">
        <f>IF(AN708="","",IF(AE708=0,"OK",_xlfn.LET(fechaPago, Z708, fechaFactura, R708, diasCredito, IF(E708="Pago inmediato", 0, IFERROR(VALUE(MID(E708, 1, SEARCH(" ", E708)-1)),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08" s="79">
        <f>IF(AN708="","",IF(AND(N708&gt;0, AG708&gt;0), IF(Configuración!$K$2="NO", "ALERTA: DESCUENTO DOBLE NO PERMITIDO", "OK"), "OK"))</f>
        <v/>
      </c>
      <c r="AR708" s="79">
        <f>IF(AN708="","",IF(OR(AO708&lt;&gt;"OK", AP708&lt;&gt;"OK", AQ708&lt;&gt;"OK"), "⚠️ REVISAR", "OK"))</f>
        <v/>
      </c>
    </row>
    <row r="709">
      <c r="A709" s="79">
        <f>IF('Ordenes_Odoo'!A709="","",'Ordenes_Odoo'!A709)</f>
        <v/>
      </c>
      <c r="B709" s="80">
        <f>IF('Ordenes_Odoo'!B709="","",'Ordenes_Odoo'!B709)</f>
        <v/>
      </c>
      <c r="C709" s="79">
        <f>IF('Ordenes_Odoo'!C709="","",'Ordenes_Odoo'!C709)</f>
        <v/>
      </c>
      <c r="D709" s="79">
        <f>IF('Ordenes_Odoo'!D709="","",'Ordenes_Odoo'!D709)</f>
        <v/>
      </c>
      <c r="E709" s="79">
        <f>IF('Ordenes_Odoo'!E709="","",'Ordenes_Odoo'!E709)</f>
        <v/>
      </c>
      <c r="F709" s="79">
        <f>IF('Ordenes_Odoo'!F709="","",'Ordenes_Odoo'!F709)</f>
        <v/>
      </c>
      <c r="G709" s="79">
        <f>IF('Ordenes_Odoo'!G709="","",'Ordenes_Odoo'!G709)</f>
        <v/>
      </c>
      <c r="H709" s="79">
        <f>IF('Ordenes_Odoo'!H709="","",'Ordenes_Odoo'!H709)</f>
        <v/>
      </c>
      <c r="I709" s="79">
        <f>IF('Ordenes_Odoo'!I709="","",'Ordenes_Odoo'!I709)</f>
        <v/>
      </c>
      <c r="J709" s="79">
        <f>IF('Ordenes_Odoo'!J709="","",'Ordenes_Odoo'!J709)</f>
        <v/>
      </c>
      <c r="K709" s="81">
        <f>IF('Ordenes_Odoo'!K709="","",'Ordenes_Odoo'!K709)</f>
        <v/>
      </c>
      <c r="L709" s="81">
        <f>IF('Ordenes_Odoo'!L709="","",'Ordenes_Odoo'!L709)</f>
        <v/>
      </c>
      <c r="M709" s="79">
        <f>IF('Ordenes_Odoo'!M709="","",'Ordenes_Odoo'!M709)</f>
        <v/>
      </c>
      <c r="N709" s="79">
        <f>IF('Ordenes_Odoo'!N709="","",'Ordenes_Odoo'!N709)</f>
        <v/>
      </c>
      <c r="O709" s="81">
        <f>IF('Ordenes_Odoo'!O709="","",'Ordenes_Odoo'!O709)</f>
        <v/>
      </c>
      <c r="P709" s="81">
        <f>IF('Ordenes_Odoo'!P709="","",'Ordenes_Odoo'!P709)</f>
        <v/>
      </c>
      <c r="Q709" s="79">
        <f>IF(A709="","",IFERROR(INDEX(Facturas_Odoo!$B:$B, MATCH(A709, Facturas_Odoo!$D:$D, 0)), "Sin Factura"))</f>
        <v/>
      </c>
      <c r="R709" s="80">
        <f>IF(Q709="Sin Factura","",IFERROR(INDEX(Facturas_Odoo!$A:$A, MATCH(Q709, Facturas_Odoo!$B:$B, 0)), ""))</f>
        <v/>
      </c>
      <c r="S709" s="79">
        <f>IF(Q709="Sin Factura","",IFERROR(_xlfn.XLOOKUP(1, (Facturas_Odoo!$D:$D=A709) * (Facturas_Odoo!$K:$K=I709), Facturas_Odoo!$L:$L, ""), ""))</f>
        <v/>
      </c>
      <c r="T709" s="81">
        <f>IF(Q709="Sin Factura",0,IFERROR(_xlfn.XLOOKUP(1, (Facturas_Odoo!$D:$D=A709) * (Facturas_Odoo!$K:$K=I709), Facturas_Odoo!$M:$M, 0), 0))</f>
        <v/>
      </c>
      <c r="U709" s="79">
        <f>IF(Q709="Sin Factura",0,IFERROR(_xlfn.XLOOKUP(1, (Facturas_Odoo!$D:$D=A709) * (Facturas_Odoo!$K:$K=I709), Facturas_Odoo!$N:$N, 0), 0))</f>
        <v/>
      </c>
      <c r="V709" s="79">
        <f>IF(Q709="Sin Factura",0,IFERROR(_xlfn.XLOOKUP(1, (Facturas_Odoo!$D:$D=A709) * (Facturas_Odoo!$K:$K=I709), Facturas_Odoo!$O:$O, 0), 0))</f>
        <v/>
      </c>
      <c r="W709" s="81">
        <f>IF(Q709="Sin Factura",0,IFERROR(_xlfn.XLOOKUP(1, (Facturas_Odoo!$D:$D=A709) * (Facturas_Odoo!$K:$K=I709), Facturas_Odoo!$Q:$Q, 0), 0))</f>
        <v/>
      </c>
      <c r="X709" s="79">
        <f>IF(OR(Q709="Sin Factura",Q709=""),"",IFERROR(INDEX(Pagos_Odoo!$B:$B, MATCH(Q709, Pagos_Odoo!$I:$I, 0)), "Sin Pago"))</f>
        <v/>
      </c>
      <c r="Y709" s="79">
        <f>IF(X709="Sin Pago","",IFERROR(INDEX(Pagos_Odoo!$C:$C, MATCH(X709, Pagos_Odoo!$B:$B, 0)), ""))</f>
        <v/>
      </c>
      <c r="Z709" s="80">
        <f>IF(X709="Sin Pago","",IFERROR(INDEX(Pagos_Odoo!$A:$A, MATCH(X709, Pagos_Odoo!$B:$B, 0)), ""))</f>
        <v/>
      </c>
      <c r="AA709" s="79">
        <f>IF(X709="Sin Pago","",IFERROR(INDEX(Pagos_Odoo!$F:$F, MATCH(X709, Pagos_Odoo!$B:$B, 0)), ""))</f>
        <v/>
      </c>
      <c r="AB709" s="81">
        <f>IF(X709="Sin Pago",0,IFERROR(INDEX(Pagos_Odoo!$E:$E, MATCH(X709, Pagos_Odoo!$B:$B, 0)), 0))</f>
        <v/>
      </c>
      <c r="AC709" s="79">
        <f>IF(X709="Sin Pago","",IFERROR(INDEX(Pagos_Odoo!$G:$G, MATCH(X709, Pagos_Odoo!$B:$B, 0)), ""))</f>
        <v/>
      </c>
      <c r="AD709" s="82" t="n">
        <v>0</v>
      </c>
      <c r="AE709" s="82" t="n"/>
      <c r="AF709" s="82" t="n"/>
      <c r="AG709" s="82">
        <f>IF(AN709="","",AD709+AE709+AF709)</f>
        <v/>
      </c>
      <c r="AH709" s="81">
        <f>IF(AN709="","",P709*(1-AG709))</f>
        <v/>
      </c>
      <c r="AI709" s="81">
        <f>IF(AN709="","",IF(Q709="Sin Factura",0,IFERROR(INDEX(Facturas_Odoo!$H:$H, MATCH(Q709, Facturas_Odoo!$B:$B, 0)), 0)*(1-AG709)))</f>
        <v/>
      </c>
      <c r="AJ709" s="81">
        <f>IF(AN709="","",_xlfn.LET(idVenta, AN709&amp;"",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09" s="81">
        <f>IF(AN709="","",AH709-AJ709)</f>
        <v/>
      </c>
      <c r="AL709" s="81">
        <f>IF(AN709="","",IF(Q709="Sin Factura","",AI709-AJ709))</f>
        <v/>
      </c>
      <c r="AM709" s="81">
        <f>IF(AN709="","",IF(Q709="Sin Factura",0,P709-IFERROR(INDEX(Facturas_Odoo!$H:$H, MATCH(Q709, Facturas_Odoo!$B:$B, 0)), 0)))</f>
        <v/>
      </c>
      <c r="AN709" s="79">
        <f>IF(AND(A709="", J709=""), "", IF(A709&lt;&gt;"", VALUE(MID(A709,2,LEN(A709))), AN708))</f>
        <v/>
      </c>
      <c r="AO709" s="79">
        <f>IF(AN709="","",IF(AD709=0,"OK",_xlfn.LET(monedaPago, IF(AA709="","USD",AA709), limitePermitido, IFERROR(VLOOKUP(monedaPago, Configuración!$A$2:$B$3, 2, FALSE), 0.15), IF(AD709&gt;limitePermitido, "ALERTA: EXCESO (" &amp; TEXT(limitePermitido, "0%") &amp; " máx)", "OK"))))</f>
        <v/>
      </c>
      <c r="AP709" s="79">
        <f>IF(AN709="","",IF(AE709=0,"OK",_xlfn.LET(fechaPago, Z709, fechaFactura, R709, diasCredito, IF(E709="Pago inmediato", 0, IFERROR(VALUE(MID(E709, 1, SEARCH(" ", E709)-1)),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09" s="79">
        <f>IF(AN709="","",IF(AND(N709&gt;0, AG709&gt;0), IF(Configuración!$K$2="NO", "ALERTA: DESCUENTO DOBLE NO PERMITIDO", "OK"), "OK"))</f>
        <v/>
      </c>
      <c r="AR709" s="79">
        <f>IF(AN709="","",IF(OR(AO709&lt;&gt;"OK", AP709&lt;&gt;"OK", AQ709&lt;&gt;"OK"), "⚠️ REVISAR", "OK"))</f>
        <v/>
      </c>
    </row>
    <row r="710">
      <c r="A710" s="79">
        <f>IF('Ordenes_Odoo'!A710="","",'Ordenes_Odoo'!A710)</f>
        <v/>
      </c>
      <c r="B710" s="80">
        <f>IF('Ordenes_Odoo'!B710="","",'Ordenes_Odoo'!B710)</f>
        <v/>
      </c>
      <c r="C710" s="79">
        <f>IF('Ordenes_Odoo'!C710="","",'Ordenes_Odoo'!C710)</f>
        <v/>
      </c>
      <c r="D710" s="79">
        <f>IF('Ordenes_Odoo'!D710="","",'Ordenes_Odoo'!D710)</f>
        <v/>
      </c>
      <c r="E710" s="79">
        <f>IF('Ordenes_Odoo'!E710="","",'Ordenes_Odoo'!E710)</f>
        <v/>
      </c>
      <c r="F710" s="79">
        <f>IF('Ordenes_Odoo'!F710="","",'Ordenes_Odoo'!F710)</f>
        <v/>
      </c>
      <c r="G710" s="79">
        <f>IF('Ordenes_Odoo'!G710="","",'Ordenes_Odoo'!G710)</f>
        <v/>
      </c>
      <c r="H710" s="79">
        <f>IF('Ordenes_Odoo'!H710="","",'Ordenes_Odoo'!H710)</f>
        <v/>
      </c>
      <c r="I710" s="79">
        <f>IF('Ordenes_Odoo'!I710="","",'Ordenes_Odoo'!I710)</f>
        <v/>
      </c>
      <c r="J710" s="79">
        <f>IF('Ordenes_Odoo'!J710="","",'Ordenes_Odoo'!J710)</f>
        <v/>
      </c>
      <c r="K710" s="81">
        <f>IF('Ordenes_Odoo'!K710="","",'Ordenes_Odoo'!K710)</f>
        <v/>
      </c>
      <c r="L710" s="81">
        <f>IF('Ordenes_Odoo'!L710="","",'Ordenes_Odoo'!L710)</f>
        <v/>
      </c>
      <c r="M710" s="79">
        <f>IF('Ordenes_Odoo'!M710="","",'Ordenes_Odoo'!M710)</f>
        <v/>
      </c>
      <c r="N710" s="79">
        <f>IF('Ordenes_Odoo'!N710="","",'Ordenes_Odoo'!N710)</f>
        <v/>
      </c>
      <c r="O710" s="81">
        <f>IF('Ordenes_Odoo'!O710="","",'Ordenes_Odoo'!O710)</f>
        <v/>
      </c>
      <c r="P710" s="81">
        <f>IF('Ordenes_Odoo'!P710="","",'Ordenes_Odoo'!P710)</f>
        <v/>
      </c>
      <c r="Q710" s="79">
        <f>IF(A710="","",IFERROR(INDEX(Facturas_Odoo!$B:$B, MATCH(A710, Facturas_Odoo!$D:$D, 0)), "Sin Factura"))</f>
        <v/>
      </c>
      <c r="R710" s="80">
        <f>IF(Q710="Sin Factura","",IFERROR(INDEX(Facturas_Odoo!$A:$A, MATCH(Q710, Facturas_Odoo!$B:$B, 0)), ""))</f>
        <v/>
      </c>
      <c r="S710" s="79">
        <f>IF(Q710="Sin Factura","",IFERROR(_xlfn.XLOOKUP(1, (Facturas_Odoo!$D:$D=A710) * (Facturas_Odoo!$K:$K=I710), Facturas_Odoo!$L:$L, ""), ""))</f>
        <v/>
      </c>
      <c r="T710" s="81">
        <f>IF(Q710="Sin Factura",0,IFERROR(_xlfn.XLOOKUP(1, (Facturas_Odoo!$D:$D=A710) * (Facturas_Odoo!$K:$K=I710), Facturas_Odoo!$M:$M, 0), 0))</f>
        <v/>
      </c>
      <c r="U710" s="79">
        <f>IF(Q710="Sin Factura",0,IFERROR(_xlfn.XLOOKUP(1, (Facturas_Odoo!$D:$D=A710) * (Facturas_Odoo!$K:$K=I710), Facturas_Odoo!$N:$N, 0), 0))</f>
        <v/>
      </c>
      <c r="V710" s="79">
        <f>IF(Q710="Sin Factura",0,IFERROR(_xlfn.XLOOKUP(1, (Facturas_Odoo!$D:$D=A710) * (Facturas_Odoo!$K:$K=I710), Facturas_Odoo!$O:$O, 0), 0))</f>
        <v/>
      </c>
      <c r="W710" s="81">
        <f>IF(Q710="Sin Factura",0,IFERROR(_xlfn.XLOOKUP(1, (Facturas_Odoo!$D:$D=A710) * (Facturas_Odoo!$K:$K=I710), Facturas_Odoo!$Q:$Q, 0), 0))</f>
        <v/>
      </c>
      <c r="X710" s="79">
        <f>IF(OR(Q710="Sin Factura",Q710=""),"",IFERROR(INDEX(Pagos_Odoo!$B:$B, MATCH(Q710, Pagos_Odoo!$I:$I, 0)), "Sin Pago"))</f>
        <v/>
      </c>
      <c r="Y710" s="79">
        <f>IF(X710="Sin Pago","",IFERROR(INDEX(Pagos_Odoo!$C:$C, MATCH(X710, Pagos_Odoo!$B:$B, 0)), ""))</f>
        <v/>
      </c>
      <c r="Z710" s="80">
        <f>IF(X710="Sin Pago","",IFERROR(INDEX(Pagos_Odoo!$A:$A, MATCH(X710, Pagos_Odoo!$B:$B, 0)), ""))</f>
        <v/>
      </c>
      <c r="AA710" s="79">
        <f>IF(X710="Sin Pago","",IFERROR(INDEX(Pagos_Odoo!$F:$F, MATCH(X710, Pagos_Odoo!$B:$B, 0)), ""))</f>
        <v/>
      </c>
      <c r="AB710" s="81">
        <f>IF(X710="Sin Pago",0,IFERROR(INDEX(Pagos_Odoo!$E:$E, MATCH(X710, Pagos_Odoo!$B:$B, 0)), 0))</f>
        <v/>
      </c>
      <c r="AC710" s="79">
        <f>IF(X710="Sin Pago","",IFERROR(INDEX(Pagos_Odoo!$G:$G, MATCH(X710, Pagos_Odoo!$B:$B, 0)), ""))</f>
        <v/>
      </c>
      <c r="AD710" s="82" t="n">
        <v>0</v>
      </c>
      <c r="AE710" s="82" t="n"/>
      <c r="AF710" s="82" t="n"/>
      <c r="AG710" s="82">
        <f>IF(AN710="","",AD710+AE710+AF710)</f>
        <v/>
      </c>
      <c r="AH710" s="81">
        <f>IF(AN710="","",P710*(1-AG710))</f>
        <v/>
      </c>
      <c r="AI710" s="81">
        <f>IF(AN710="","",IF(Q710="Sin Factura",0,IFERROR(INDEX(Facturas_Odoo!$H:$H, MATCH(Q710, Facturas_Odoo!$B:$B, 0)), 0)*(1-AG710)))</f>
        <v/>
      </c>
      <c r="AJ710" s="81">
        <f>IF(AN710="","",_xlfn.LET(idVenta, AN710&amp;"",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10" s="81">
        <f>IF(AN710="","",AH710-AJ710)</f>
        <v/>
      </c>
      <c r="AL710" s="81">
        <f>IF(AN710="","",IF(Q710="Sin Factura","",AI710-AJ710))</f>
        <v/>
      </c>
      <c r="AM710" s="81">
        <f>IF(AN710="","",IF(Q710="Sin Factura",0,P710-IFERROR(INDEX(Facturas_Odoo!$H:$H, MATCH(Q710, Facturas_Odoo!$B:$B, 0)), 0)))</f>
        <v/>
      </c>
      <c r="AN710" s="79">
        <f>IF(AND(A710="", J710=""), "", IF(A710&lt;&gt;"", VALUE(MID(A710,2,LEN(A710))), AN709))</f>
        <v/>
      </c>
      <c r="AO710" s="79">
        <f>IF(AN710="","",IF(AD710=0,"OK",_xlfn.LET(monedaPago, IF(AA710="","USD",AA710), limitePermitido, IFERROR(VLOOKUP(monedaPago, Configuración!$A$2:$B$3, 2, FALSE), 0.15), IF(AD710&gt;limitePermitido, "ALERTA: EXCESO (" &amp; TEXT(limitePermitido, "0%") &amp; " máx)", "OK"))))</f>
        <v/>
      </c>
      <c r="AP710" s="79">
        <f>IF(AN710="","",IF(AE710=0,"OK",_xlfn.LET(fechaPago, Z710, fechaFactura, R710, diasCredito, IF(E710="Pago inmediato", 0, IFERROR(VALUE(MID(E710, 1, SEARCH(" ", E710)-1)),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10" s="79">
        <f>IF(AN710="","",IF(AND(N710&gt;0, AG710&gt;0), IF(Configuración!$K$2="NO", "ALERTA: DESCUENTO DOBLE NO PERMITIDO", "OK"), "OK"))</f>
        <v/>
      </c>
      <c r="AR710" s="79">
        <f>IF(AN710="","",IF(OR(AO710&lt;&gt;"OK", AP710&lt;&gt;"OK", AQ710&lt;&gt;"OK"), "⚠️ REVISAR", "OK"))</f>
        <v/>
      </c>
    </row>
    <row r="711">
      <c r="A711" s="79">
        <f>IF('Ordenes_Odoo'!A711="","",'Ordenes_Odoo'!A711)</f>
        <v/>
      </c>
      <c r="B711" s="80">
        <f>IF('Ordenes_Odoo'!B711="","",'Ordenes_Odoo'!B711)</f>
        <v/>
      </c>
      <c r="C711" s="79">
        <f>IF('Ordenes_Odoo'!C711="","",'Ordenes_Odoo'!C711)</f>
        <v/>
      </c>
      <c r="D711" s="79">
        <f>IF('Ordenes_Odoo'!D711="","",'Ordenes_Odoo'!D711)</f>
        <v/>
      </c>
      <c r="E711" s="79">
        <f>IF('Ordenes_Odoo'!E711="","",'Ordenes_Odoo'!E711)</f>
        <v/>
      </c>
      <c r="F711" s="79">
        <f>IF('Ordenes_Odoo'!F711="","",'Ordenes_Odoo'!F711)</f>
        <v/>
      </c>
      <c r="G711" s="79">
        <f>IF('Ordenes_Odoo'!G711="","",'Ordenes_Odoo'!G711)</f>
        <v/>
      </c>
      <c r="H711" s="79">
        <f>IF('Ordenes_Odoo'!H711="","",'Ordenes_Odoo'!H711)</f>
        <v/>
      </c>
      <c r="I711" s="79">
        <f>IF('Ordenes_Odoo'!I711="","",'Ordenes_Odoo'!I711)</f>
        <v/>
      </c>
      <c r="J711" s="79">
        <f>IF('Ordenes_Odoo'!J711="","",'Ordenes_Odoo'!J711)</f>
        <v/>
      </c>
      <c r="K711" s="81">
        <f>IF('Ordenes_Odoo'!K711="","",'Ordenes_Odoo'!K711)</f>
        <v/>
      </c>
      <c r="L711" s="81">
        <f>IF('Ordenes_Odoo'!L711="","",'Ordenes_Odoo'!L711)</f>
        <v/>
      </c>
      <c r="M711" s="79">
        <f>IF('Ordenes_Odoo'!M711="","",'Ordenes_Odoo'!M711)</f>
        <v/>
      </c>
      <c r="N711" s="79">
        <f>IF('Ordenes_Odoo'!N711="","",'Ordenes_Odoo'!N711)</f>
        <v/>
      </c>
      <c r="O711" s="81">
        <f>IF('Ordenes_Odoo'!O711="","",'Ordenes_Odoo'!O711)</f>
        <v/>
      </c>
      <c r="P711" s="81">
        <f>IF('Ordenes_Odoo'!P711="","",'Ordenes_Odoo'!P711)</f>
        <v/>
      </c>
      <c r="Q711" s="79">
        <f>IF(A711="","",IFERROR(INDEX(Facturas_Odoo!$B:$B, MATCH(A711, Facturas_Odoo!$D:$D, 0)), "Sin Factura"))</f>
        <v/>
      </c>
      <c r="R711" s="80">
        <f>IF(Q711="Sin Factura","",IFERROR(INDEX(Facturas_Odoo!$A:$A, MATCH(Q711, Facturas_Odoo!$B:$B, 0)), ""))</f>
        <v/>
      </c>
      <c r="S711" s="79">
        <f>IF(Q711="Sin Factura","",IFERROR(_xlfn.XLOOKUP(1, (Facturas_Odoo!$D:$D=A711) * (Facturas_Odoo!$K:$K=I711), Facturas_Odoo!$L:$L, ""), ""))</f>
        <v/>
      </c>
      <c r="T711" s="81">
        <f>IF(Q711="Sin Factura",0,IFERROR(_xlfn.XLOOKUP(1, (Facturas_Odoo!$D:$D=A711) * (Facturas_Odoo!$K:$K=I711), Facturas_Odoo!$M:$M, 0), 0))</f>
        <v/>
      </c>
      <c r="U711" s="79">
        <f>IF(Q711="Sin Factura",0,IFERROR(_xlfn.XLOOKUP(1, (Facturas_Odoo!$D:$D=A711) * (Facturas_Odoo!$K:$K=I711), Facturas_Odoo!$N:$N, 0), 0))</f>
        <v/>
      </c>
      <c r="V711" s="79">
        <f>IF(Q711="Sin Factura",0,IFERROR(_xlfn.XLOOKUP(1, (Facturas_Odoo!$D:$D=A711) * (Facturas_Odoo!$K:$K=I711), Facturas_Odoo!$O:$O, 0), 0))</f>
        <v/>
      </c>
      <c r="W711" s="81">
        <f>IF(Q711="Sin Factura",0,IFERROR(_xlfn.XLOOKUP(1, (Facturas_Odoo!$D:$D=A711) * (Facturas_Odoo!$K:$K=I711), Facturas_Odoo!$Q:$Q, 0), 0))</f>
        <v/>
      </c>
      <c r="X711" s="79">
        <f>IF(OR(Q711="Sin Factura",Q711=""),"",IFERROR(INDEX(Pagos_Odoo!$B:$B, MATCH(Q711, Pagos_Odoo!$I:$I, 0)), "Sin Pago"))</f>
        <v/>
      </c>
      <c r="Y711" s="79">
        <f>IF(X711="Sin Pago","",IFERROR(INDEX(Pagos_Odoo!$C:$C, MATCH(X711, Pagos_Odoo!$B:$B, 0)), ""))</f>
        <v/>
      </c>
      <c r="Z711" s="80">
        <f>IF(X711="Sin Pago","",IFERROR(INDEX(Pagos_Odoo!$A:$A, MATCH(X711, Pagos_Odoo!$B:$B, 0)), ""))</f>
        <v/>
      </c>
      <c r="AA711" s="79">
        <f>IF(X711="Sin Pago","",IFERROR(INDEX(Pagos_Odoo!$F:$F, MATCH(X711, Pagos_Odoo!$B:$B, 0)), ""))</f>
        <v/>
      </c>
      <c r="AB711" s="81">
        <f>IF(X711="Sin Pago",0,IFERROR(INDEX(Pagos_Odoo!$E:$E, MATCH(X711, Pagos_Odoo!$B:$B, 0)), 0))</f>
        <v/>
      </c>
      <c r="AC711" s="79">
        <f>IF(X711="Sin Pago","",IFERROR(INDEX(Pagos_Odoo!$G:$G, MATCH(X711, Pagos_Odoo!$B:$B, 0)), ""))</f>
        <v/>
      </c>
      <c r="AD711" s="82" t="n">
        <v>0</v>
      </c>
      <c r="AE711" s="82" t="n"/>
      <c r="AF711" s="82" t="n"/>
      <c r="AG711" s="82">
        <f>IF(AN711="","",AD711+AE711+AF711)</f>
        <v/>
      </c>
      <c r="AH711" s="81">
        <f>IF(AN711="","",P711*(1-AG711))</f>
        <v/>
      </c>
      <c r="AI711" s="81">
        <f>IF(AN711="","",IF(Q711="Sin Factura",0,IFERROR(INDEX(Facturas_Odoo!$H:$H, MATCH(Q711, Facturas_Odoo!$B:$B, 0)), 0)*(1-AG711)))</f>
        <v/>
      </c>
      <c r="AJ711" s="81">
        <f>IF(AN711="","",_xlfn.LET(idVenta, AN711&amp;"",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11" s="81">
        <f>IF(AN711="","",AH711-AJ711)</f>
        <v/>
      </c>
      <c r="AL711" s="81">
        <f>IF(AN711="","",IF(Q711="Sin Factura","",AI711-AJ711))</f>
        <v/>
      </c>
      <c r="AM711" s="81">
        <f>IF(AN711="","",IF(Q711="Sin Factura",0,P711-IFERROR(INDEX(Facturas_Odoo!$H:$H, MATCH(Q711, Facturas_Odoo!$B:$B, 0)), 0)))</f>
        <v/>
      </c>
      <c r="AN711" s="79">
        <f>IF(AND(A711="", J711=""), "", IF(A711&lt;&gt;"", VALUE(MID(A711,2,LEN(A711))), AN710))</f>
        <v/>
      </c>
      <c r="AO711" s="79">
        <f>IF(AN711="","",IF(AD711=0,"OK",_xlfn.LET(monedaPago, IF(AA711="","USD",AA711), limitePermitido, IFERROR(VLOOKUP(monedaPago, Configuración!$A$2:$B$3, 2, FALSE), 0.15), IF(AD711&gt;limitePermitido, "ALERTA: EXCESO (" &amp; TEXT(limitePermitido, "0%") &amp; " máx)", "OK"))))</f>
        <v/>
      </c>
      <c r="AP711" s="79">
        <f>IF(AN711="","",IF(AE711=0,"OK",_xlfn.LET(fechaPago, Z711, fechaFactura, R711, diasCredito, IF(E711="Pago inmediato", 0, IFERROR(VALUE(MID(E711, 1, SEARCH(" ", E711)-1)),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11" s="79">
        <f>IF(AN711="","",IF(AND(N711&gt;0, AG711&gt;0), IF(Configuración!$K$2="NO", "ALERTA: DESCUENTO DOBLE NO PERMITIDO", "OK"), "OK"))</f>
        <v/>
      </c>
      <c r="AR711" s="79">
        <f>IF(AN711="","",IF(OR(AO711&lt;&gt;"OK", AP711&lt;&gt;"OK", AQ711&lt;&gt;"OK"), "⚠️ REVISAR", "OK"))</f>
        <v/>
      </c>
    </row>
    <row r="712">
      <c r="A712" s="79">
        <f>IF('Ordenes_Odoo'!A712="","",'Ordenes_Odoo'!A712)</f>
        <v/>
      </c>
      <c r="B712" s="80">
        <f>IF('Ordenes_Odoo'!B712="","",'Ordenes_Odoo'!B712)</f>
        <v/>
      </c>
      <c r="C712" s="79">
        <f>IF('Ordenes_Odoo'!C712="","",'Ordenes_Odoo'!C712)</f>
        <v/>
      </c>
      <c r="D712" s="79">
        <f>IF('Ordenes_Odoo'!D712="","",'Ordenes_Odoo'!D712)</f>
        <v/>
      </c>
      <c r="E712" s="79">
        <f>IF('Ordenes_Odoo'!E712="","",'Ordenes_Odoo'!E712)</f>
        <v/>
      </c>
      <c r="F712" s="79">
        <f>IF('Ordenes_Odoo'!F712="","",'Ordenes_Odoo'!F712)</f>
        <v/>
      </c>
      <c r="G712" s="79">
        <f>IF('Ordenes_Odoo'!G712="","",'Ordenes_Odoo'!G712)</f>
        <v/>
      </c>
      <c r="H712" s="79">
        <f>IF('Ordenes_Odoo'!H712="","",'Ordenes_Odoo'!H712)</f>
        <v/>
      </c>
      <c r="I712" s="79">
        <f>IF('Ordenes_Odoo'!I712="","",'Ordenes_Odoo'!I712)</f>
        <v/>
      </c>
      <c r="J712" s="79">
        <f>IF('Ordenes_Odoo'!J712="","",'Ordenes_Odoo'!J712)</f>
        <v/>
      </c>
      <c r="K712" s="81">
        <f>IF('Ordenes_Odoo'!K712="","",'Ordenes_Odoo'!K712)</f>
        <v/>
      </c>
      <c r="L712" s="81">
        <f>IF('Ordenes_Odoo'!L712="","",'Ordenes_Odoo'!L712)</f>
        <v/>
      </c>
      <c r="M712" s="79">
        <f>IF('Ordenes_Odoo'!M712="","",'Ordenes_Odoo'!M712)</f>
        <v/>
      </c>
      <c r="N712" s="79">
        <f>IF('Ordenes_Odoo'!N712="","",'Ordenes_Odoo'!N712)</f>
        <v/>
      </c>
      <c r="O712" s="81">
        <f>IF('Ordenes_Odoo'!O712="","",'Ordenes_Odoo'!O712)</f>
        <v/>
      </c>
      <c r="P712" s="81">
        <f>IF('Ordenes_Odoo'!P712="","",'Ordenes_Odoo'!P712)</f>
        <v/>
      </c>
      <c r="Q712" s="79">
        <f>IF(A712="","",IFERROR(INDEX(Facturas_Odoo!$B:$B, MATCH(A712, Facturas_Odoo!$D:$D, 0)), "Sin Factura"))</f>
        <v/>
      </c>
      <c r="R712" s="80">
        <f>IF(Q712="Sin Factura","",IFERROR(INDEX(Facturas_Odoo!$A:$A, MATCH(Q712, Facturas_Odoo!$B:$B, 0)), ""))</f>
        <v/>
      </c>
      <c r="S712" s="79">
        <f>IF(Q712="Sin Factura","",IFERROR(_xlfn.XLOOKUP(1, (Facturas_Odoo!$D:$D=A712) * (Facturas_Odoo!$K:$K=I712), Facturas_Odoo!$L:$L, ""), ""))</f>
        <v/>
      </c>
      <c r="T712" s="81">
        <f>IF(Q712="Sin Factura",0,IFERROR(_xlfn.XLOOKUP(1, (Facturas_Odoo!$D:$D=A712) * (Facturas_Odoo!$K:$K=I712), Facturas_Odoo!$M:$M, 0), 0))</f>
        <v/>
      </c>
      <c r="U712" s="79">
        <f>IF(Q712="Sin Factura",0,IFERROR(_xlfn.XLOOKUP(1, (Facturas_Odoo!$D:$D=A712) * (Facturas_Odoo!$K:$K=I712), Facturas_Odoo!$N:$N, 0), 0))</f>
        <v/>
      </c>
      <c r="V712" s="79">
        <f>IF(Q712="Sin Factura",0,IFERROR(_xlfn.XLOOKUP(1, (Facturas_Odoo!$D:$D=A712) * (Facturas_Odoo!$K:$K=I712), Facturas_Odoo!$O:$O, 0), 0))</f>
        <v/>
      </c>
      <c r="W712" s="81">
        <f>IF(Q712="Sin Factura",0,IFERROR(_xlfn.XLOOKUP(1, (Facturas_Odoo!$D:$D=A712) * (Facturas_Odoo!$K:$K=I712), Facturas_Odoo!$Q:$Q, 0), 0))</f>
        <v/>
      </c>
      <c r="X712" s="79">
        <f>IF(OR(Q712="Sin Factura",Q712=""),"",IFERROR(INDEX(Pagos_Odoo!$B:$B, MATCH(Q712, Pagos_Odoo!$I:$I, 0)), "Sin Pago"))</f>
        <v/>
      </c>
      <c r="Y712" s="79">
        <f>IF(X712="Sin Pago","",IFERROR(INDEX(Pagos_Odoo!$C:$C, MATCH(X712, Pagos_Odoo!$B:$B, 0)), ""))</f>
        <v/>
      </c>
      <c r="Z712" s="80">
        <f>IF(X712="Sin Pago","",IFERROR(INDEX(Pagos_Odoo!$A:$A, MATCH(X712, Pagos_Odoo!$B:$B, 0)), ""))</f>
        <v/>
      </c>
      <c r="AA712" s="79">
        <f>IF(X712="Sin Pago","",IFERROR(INDEX(Pagos_Odoo!$F:$F, MATCH(X712, Pagos_Odoo!$B:$B, 0)), ""))</f>
        <v/>
      </c>
      <c r="AB712" s="81">
        <f>IF(X712="Sin Pago",0,IFERROR(INDEX(Pagos_Odoo!$E:$E, MATCH(X712, Pagos_Odoo!$B:$B, 0)), 0))</f>
        <v/>
      </c>
      <c r="AC712" s="79">
        <f>IF(X712="Sin Pago","",IFERROR(INDEX(Pagos_Odoo!$G:$G, MATCH(X712, Pagos_Odoo!$B:$B, 0)), ""))</f>
        <v/>
      </c>
      <c r="AD712" s="82" t="n">
        <v>0</v>
      </c>
      <c r="AE712" s="82" t="n"/>
      <c r="AF712" s="82" t="n"/>
      <c r="AG712" s="82">
        <f>IF(AN712="","",AD712+AE712+AF712)</f>
        <v/>
      </c>
      <c r="AH712" s="81">
        <f>IF(AN712="","",P712*(1-AG712))</f>
        <v/>
      </c>
      <c r="AI712" s="81">
        <f>IF(AN712="","",IF(Q712="Sin Factura",0,IFERROR(INDEX(Facturas_Odoo!$H:$H, MATCH(Q712, Facturas_Odoo!$B:$B, 0)), 0)*(1-AG712)))</f>
        <v/>
      </c>
      <c r="AJ712" s="81">
        <f>IF(AN712="","",_xlfn.LET(idVenta, AN712&amp;"",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12" s="81">
        <f>IF(AN712="","",AH712-AJ712)</f>
        <v/>
      </c>
      <c r="AL712" s="81">
        <f>IF(AN712="","",IF(Q712="Sin Factura","",AI712-AJ712))</f>
        <v/>
      </c>
      <c r="AM712" s="81">
        <f>IF(AN712="","",IF(Q712="Sin Factura",0,P712-IFERROR(INDEX(Facturas_Odoo!$H:$H, MATCH(Q712, Facturas_Odoo!$B:$B, 0)), 0)))</f>
        <v/>
      </c>
      <c r="AN712" s="79">
        <f>IF(AND(A712="", J712=""), "", IF(A712&lt;&gt;"", VALUE(MID(A712,2,LEN(A712))), AN711))</f>
        <v/>
      </c>
      <c r="AO712" s="79">
        <f>IF(AN712="","",IF(AD712=0,"OK",_xlfn.LET(monedaPago, IF(AA712="","USD",AA712), limitePermitido, IFERROR(VLOOKUP(monedaPago, Configuración!$A$2:$B$3, 2, FALSE), 0.15), IF(AD712&gt;limitePermitido, "ALERTA: EXCESO (" &amp; TEXT(limitePermitido, "0%") &amp; " máx)", "OK"))))</f>
        <v/>
      </c>
      <c r="AP712" s="79">
        <f>IF(AN712="","",IF(AE712=0,"OK",_xlfn.LET(fechaPago, Z712, fechaFactura, R712, diasCredito, IF(E712="Pago inmediato", 0, IFERROR(VALUE(MID(E712, 1, SEARCH(" ", E712)-1)),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12" s="79">
        <f>IF(AN712="","",IF(AND(N712&gt;0, AG712&gt;0), IF(Configuración!$K$2="NO", "ALERTA: DESCUENTO DOBLE NO PERMITIDO", "OK"), "OK"))</f>
        <v/>
      </c>
      <c r="AR712" s="79">
        <f>IF(AN712="","",IF(OR(AO712&lt;&gt;"OK", AP712&lt;&gt;"OK", AQ712&lt;&gt;"OK"), "⚠️ REVISAR", "OK"))</f>
        <v/>
      </c>
    </row>
    <row r="713">
      <c r="A713" s="79">
        <f>IF('Ordenes_Odoo'!A713="","",'Ordenes_Odoo'!A713)</f>
        <v/>
      </c>
      <c r="B713" s="80">
        <f>IF('Ordenes_Odoo'!B713="","",'Ordenes_Odoo'!B713)</f>
        <v/>
      </c>
      <c r="C713" s="79">
        <f>IF('Ordenes_Odoo'!C713="","",'Ordenes_Odoo'!C713)</f>
        <v/>
      </c>
      <c r="D713" s="79">
        <f>IF('Ordenes_Odoo'!D713="","",'Ordenes_Odoo'!D713)</f>
        <v/>
      </c>
      <c r="E713" s="79">
        <f>IF('Ordenes_Odoo'!E713="","",'Ordenes_Odoo'!E713)</f>
        <v/>
      </c>
      <c r="F713" s="79">
        <f>IF('Ordenes_Odoo'!F713="","",'Ordenes_Odoo'!F713)</f>
        <v/>
      </c>
      <c r="G713" s="79">
        <f>IF('Ordenes_Odoo'!G713="","",'Ordenes_Odoo'!G713)</f>
        <v/>
      </c>
      <c r="H713" s="79">
        <f>IF('Ordenes_Odoo'!H713="","",'Ordenes_Odoo'!H713)</f>
        <v/>
      </c>
      <c r="I713" s="79">
        <f>IF('Ordenes_Odoo'!I713="","",'Ordenes_Odoo'!I713)</f>
        <v/>
      </c>
      <c r="J713" s="79">
        <f>IF('Ordenes_Odoo'!J713="","",'Ordenes_Odoo'!J713)</f>
        <v/>
      </c>
      <c r="K713" s="81">
        <f>IF('Ordenes_Odoo'!K713="","",'Ordenes_Odoo'!K713)</f>
        <v/>
      </c>
      <c r="L713" s="81">
        <f>IF('Ordenes_Odoo'!L713="","",'Ordenes_Odoo'!L713)</f>
        <v/>
      </c>
      <c r="M713" s="79">
        <f>IF('Ordenes_Odoo'!M713="","",'Ordenes_Odoo'!M713)</f>
        <v/>
      </c>
      <c r="N713" s="79">
        <f>IF('Ordenes_Odoo'!N713="","",'Ordenes_Odoo'!N713)</f>
        <v/>
      </c>
      <c r="O713" s="81">
        <f>IF('Ordenes_Odoo'!O713="","",'Ordenes_Odoo'!O713)</f>
        <v/>
      </c>
      <c r="P713" s="81">
        <f>IF('Ordenes_Odoo'!P713="","",'Ordenes_Odoo'!P713)</f>
        <v/>
      </c>
      <c r="Q713" s="79">
        <f>IF(A713="","",IFERROR(INDEX(Facturas_Odoo!$B:$B, MATCH(A713, Facturas_Odoo!$D:$D, 0)), "Sin Factura"))</f>
        <v/>
      </c>
      <c r="R713" s="80">
        <f>IF(Q713="Sin Factura","",IFERROR(INDEX(Facturas_Odoo!$A:$A, MATCH(Q713, Facturas_Odoo!$B:$B, 0)), ""))</f>
        <v/>
      </c>
      <c r="S713" s="79">
        <f>IF(Q713="Sin Factura","",IFERROR(_xlfn.XLOOKUP(1, (Facturas_Odoo!$D:$D=A713) * (Facturas_Odoo!$K:$K=I713), Facturas_Odoo!$L:$L, ""), ""))</f>
        <v/>
      </c>
      <c r="T713" s="81">
        <f>IF(Q713="Sin Factura",0,IFERROR(_xlfn.XLOOKUP(1, (Facturas_Odoo!$D:$D=A713) * (Facturas_Odoo!$K:$K=I713), Facturas_Odoo!$M:$M, 0), 0))</f>
        <v/>
      </c>
      <c r="U713" s="79">
        <f>IF(Q713="Sin Factura",0,IFERROR(_xlfn.XLOOKUP(1, (Facturas_Odoo!$D:$D=A713) * (Facturas_Odoo!$K:$K=I713), Facturas_Odoo!$N:$N, 0), 0))</f>
        <v/>
      </c>
      <c r="V713" s="79">
        <f>IF(Q713="Sin Factura",0,IFERROR(_xlfn.XLOOKUP(1, (Facturas_Odoo!$D:$D=A713) * (Facturas_Odoo!$K:$K=I713), Facturas_Odoo!$O:$O, 0), 0))</f>
        <v/>
      </c>
      <c r="W713" s="81">
        <f>IF(Q713="Sin Factura",0,IFERROR(_xlfn.XLOOKUP(1, (Facturas_Odoo!$D:$D=A713) * (Facturas_Odoo!$K:$K=I713), Facturas_Odoo!$Q:$Q, 0), 0))</f>
        <v/>
      </c>
      <c r="X713" s="79">
        <f>IF(OR(Q713="Sin Factura",Q713=""),"",IFERROR(INDEX(Pagos_Odoo!$B:$B, MATCH(Q713, Pagos_Odoo!$I:$I, 0)), "Sin Pago"))</f>
        <v/>
      </c>
      <c r="Y713" s="79">
        <f>IF(X713="Sin Pago","",IFERROR(INDEX(Pagos_Odoo!$C:$C, MATCH(X713, Pagos_Odoo!$B:$B, 0)), ""))</f>
        <v/>
      </c>
      <c r="Z713" s="80">
        <f>IF(X713="Sin Pago","",IFERROR(INDEX(Pagos_Odoo!$A:$A, MATCH(X713, Pagos_Odoo!$B:$B, 0)), ""))</f>
        <v/>
      </c>
      <c r="AA713" s="79">
        <f>IF(X713="Sin Pago","",IFERROR(INDEX(Pagos_Odoo!$F:$F, MATCH(X713, Pagos_Odoo!$B:$B, 0)), ""))</f>
        <v/>
      </c>
      <c r="AB713" s="81">
        <f>IF(X713="Sin Pago",0,IFERROR(INDEX(Pagos_Odoo!$E:$E, MATCH(X713, Pagos_Odoo!$B:$B, 0)), 0))</f>
        <v/>
      </c>
      <c r="AC713" s="79">
        <f>IF(X713="Sin Pago","",IFERROR(INDEX(Pagos_Odoo!$G:$G, MATCH(X713, Pagos_Odoo!$B:$B, 0)), ""))</f>
        <v/>
      </c>
      <c r="AD713" s="82" t="n">
        <v>0</v>
      </c>
      <c r="AE713" s="82" t="n"/>
      <c r="AF713" s="82" t="n"/>
      <c r="AG713" s="82">
        <f>IF(AN713="","",AD713+AE713+AF713)</f>
        <v/>
      </c>
      <c r="AH713" s="81">
        <f>IF(AN713="","",P713*(1-AG713))</f>
        <v/>
      </c>
      <c r="AI713" s="81">
        <f>IF(AN713="","",IF(Q713="Sin Factura",0,IFERROR(INDEX(Facturas_Odoo!$H:$H, MATCH(Q713, Facturas_Odoo!$B:$B, 0)), 0)*(1-AG713)))</f>
        <v/>
      </c>
      <c r="AJ713" s="81">
        <f>IF(AN713="","",_xlfn.LET(idVenta, AN713&amp;"",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13" s="81">
        <f>IF(AN713="","",AH713-AJ713)</f>
        <v/>
      </c>
      <c r="AL713" s="81">
        <f>IF(AN713="","",IF(Q713="Sin Factura","",AI713-AJ713))</f>
        <v/>
      </c>
      <c r="AM713" s="81">
        <f>IF(AN713="","",IF(Q713="Sin Factura",0,P713-IFERROR(INDEX(Facturas_Odoo!$H:$H, MATCH(Q713, Facturas_Odoo!$B:$B, 0)), 0)))</f>
        <v/>
      </c>
      <c r="AN713" s="79">
        <f>IF(AND(A713="", J713=""), "", IF(A713&lt;&gt;"", VALUE(MID(A713,2,LEN(A713))), AN712))</f>
        <v/>
      </c>
      <c r="AO713" s="79">
        <f>IF(AN713="","",IF(AD713=0,"OK",_xlfn.LET(monedaPago, IF(AA713="","USD",AA713), limitePermitido, IFERROR(VLOOKUP(monedaPago, Configuración!$A$2:$B$3, 2, FALSE), 0.15), IF(AD713&gt;limitePermitido, "ALERTA: EXCESO (" &amp; TEXT(limitePermitido, "0%") &amp; " máx)", "OK"))))</f>
        <v/>
      </c>
      <c r="AP713" s="79">
        <f>IF(AN713="","",IF(AE713=0,"OK",_xlfn.LET(fechaPago, Z713, fechaFactura, R713, diasCredito, IF(E713="Pago inmediato", 0, IFERROR(VALUE(MID(E713, 1, SEARCH(" ", E713)-1)),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13" s="79">
        <f>IF(AN713="","",IF(AND(N713&gt;0, AG713&gt;0), IF(Configuración!$K$2="NO", "ALERTA: DESCUENTO DOBLE NO PERMITIDO", "OK"), "OK"))</f>
        <v/>
      </c>
      <c r="AR713" s="79">
        <f>IF(AN713="","",IF(OR(AO713&lt;&gt;"OK", AP713&lt;&gt;"OK", AQ713&lt;&gt;"OK"), "⚠️ REVISAR", "OK"))</f>
        <v/>
      </c>
    </row>
    <row r="714">
      <c r="A714" s="79">
        <f>IF('Ordenes_Odoo'!A714="","",'Ordenes_Odoo'!A714)</f>
        <v/>
      </c>
      <c r="B714" s="80">
        <f>IF('Ordenes_Odoo'!B714="","",'Ordenes_Odoo'!B714)</f>
        <v/>
      </c>
      <c r="C714" s="79">
        <f>IF('Ordenes_Odoo'!C714="","",'Ordenes_Odoo'!C714)</f>
        <v/>
      </c>
      <c r="D714" s="79">
        <f>IF('Ordenes_Odoo'!D714="","",'Ordenes_Odoo'!D714)</f>
        <v/>
      </c>
      <c r="E714" s="79">
        <f>IF('Ordenes_Odoo'!E714="","",'Ordenes_Odoo'!E714)</f>
        <v/>
      </c>
      <c r="F714" s="79">
        <f>IF('Ordenes_Odoo'!F714="","",'Ordenes_Odoo'!F714)</f>
        <v/>
      </c>
      <c r="G714" s="79">
        <f>IF('Ordenes_Odoo'!G714="","",'Ordenes_Odoo'!G714)</f>
        <v/>
      </c>
      <c r="H714" s="79">
        <f>IF('Ordenes_Odoo'!H714="","",'Ordenes_Odoo'!H714)</f>
        <v/>
      </c>
      <c r="I714" s="79">
        <f>IF('Ordenes_Odoo'!I714="","",'Ordenes_Odoo'!I714)</f>
        <v/>
      </c>
      <c r="J714" s="79">
        <f>IF('Ordenes_Odoo'!J714="","",'Ordenes_Odoo'!J714)</f>
        <v/>
      </c>
      <c r="K714" s="81">
        <f>IF('Ordenes_Odoo'!K714="","",'Ordenes_Odoo'!K714)</f>
        <v/>
      </c>
      <c r="L714" s="81">
        <f>IF('Ordenes_Odoo'!L714="","",'Ordenes_Odoo'!L714)</f>
        <v/>
      </c>
      <c r="M714" s="79">
        <f>IF('Ordenes_Odoo'!M714="","",'Ordenes_Odoo'!M714)</f>
        <v/>
      </c>
      <c r="N714" s="79">
        <f>IF('Ordenes_Odoo'!N714="","",'Ordenes_Odoo'!N714)</f>
        <v/>
      </c>
      <c r="O714" s="81">
        <f>IF('Ordenes_Odoo'!O714="","",'Ordenes_Odoo'!O714)</f>
        <v/>
      </c>
      <c r="P714" s="81">
        <f>IF('Ordenes_Odoo'!P714="","",'Ordenes_Odoo'!P714)</f>
        <v/>
      </c>
      <c r="Q714" s="79">
        <f>IF(A714="","",IFERROR(INDEX(Facturas_Odoo!$B:$B, MATCH(A714, Facturas_Odoo!$D:$D, 0)), "Sin Factura"))</f>
        <v/>
      </c>
      <c r="R714" s="80">
        <f>IF(Q714="Sin Factura","",IFERROR(INDEX(Facturas_Odoo!$A:$A, MATCH(Q714, Facturas_Odoo!$B:$B, 0)), ""))</f>
        <v/>
      </c>
      <c r="S714" s="79">
        <f>IF(Q714="Sin Factura","",IFERROR(_xlfn.XLOOKUP(1, (Facturas_Odoo!$D:$D=A714) * (Facturas_Odoo!$K:$K=I714), Facturas_Odoo!$L:$L, ""), ""))</f>
        <v/>
      </c>
      <c r="T714" s="81">
        <f>IF(Q714="Sin Factura",0,IFERROR(_xlfn.XLOOKUP(1, (Facturas_Odoo!$D:$D=A714) * (Facturas_Odoo!$K:$K=I714), Facturas_Odoo!$M:$M, 0), 0))</f>
        <v/>
      </c>
      <c r="U714" s="79">
        <f>IF(Q714="Sin Factura",0,IFERROR(_xlfn.XLOOKUP(1, (Facturas_Odoo!$D:$D=A714) * (Facturas_Odoo!$K:$K=I714), Facturas_Odoo!$N:$N, 0), 0))</f>
        <v/>
      </c>
      <c r="V714" s="79">
        <f>IF(Q714="Sin Factura",0,IFERROR(_xlfn.XLOOKUP(1, (Facturas_Odoo!$D:$D=A714) * (Facturas_Odoo!$K:$K=I714), Facturas_Odoo!$O:$O, 0), 0))</f>
        <v/>
      </c>
      <c r="W714" s="81">
        <f>IF(Q714="Sin Factura",0,IFERROR(_xlfn.XLOOKUP(1, (Facturas_Odoo!$D:$D=A714) * (Facturas_Odoo!$K:$K=I714), Facturas_Odoo!$Q:$Q, 0), 0))</f>
        <v/>
      </c>
      <c r="X714" s="79">
        <f>IF(OR(Q714="Sin Factura",Q714=""),"",IFERROR(INDEX(Pagos_Odoo!$B:$B, MATCH(Q714, Pagos_Odoo!$I:$I, 0)), "Sin Pago"))</f>
        <v/>
      </c>
      <c r="Y714" s="79">
        <f>IF(X714="Sin Pago","",IFERROR(INDEX(Pagos_Odoo!$C:$C, MATCH(X714, Pagos_Odoo!$B:$B, 0)), ""))</f>
        <v/>
      </c>
      <c r="Z714" s="80">
        <f>IF(X714="Sin Pago","",IFERROR(INDEX(Pagos_Odoo!$A:$A, MATCH(X714, Pagos_Odoo!$B:$B, 0)), ""))</f>
        <v/>
      </c>
      <c r="AA714" s="79">
        <f>IF(X714="Sin Pago","",IFERROR(INDEX(Pagos_Odoo!$F:$F, MATCH(X714, Pagos_Odoo!$B:$B, 0)), ""))</f>
        <v/>
      </c>
      <c r="AB714" s="81">
        <f>IF(X714="Sin Pago",0,IFERROR(INDEX(Pagos_Odoo!$E:$E, MATCH(X714, Pagos_Odoo!$B:$B, 0)), 0))</f>
        <v/>
      </c>
      <c r="AC714" s="79">
        <f>IF(X714="Sin Pago","",IFERROR(INDEX(Pagos_Odoo!$G:$G, MATCH(X714, Pagos_Odoo!$B:$B, 0)), ""))</f>
        <v/>
      </c>
      <c r="AD714" s="82" t="n">
        <v>0</v>
      </c>
      <c r="AE714" s="82" t="n"/>
      <c r="AF714" s="82" t="n"/>
      <c r="AG714" s="82">
        <f>IF(AN714="","",AD714+AE714+AF714)</f>
        <v/>
      </c>
      <c r="AH714" s="81">
        <f>IF(AN714="","",P714*(1-AG714))</f>
        <v/>
      </c>
      <c r="AI714" s="81">
        <f>IF(AN714="","",IF(Q714="Sin Factura",0,IFERROR(INDEX(Facturas_Odoo!$H:$H, MATCH(Q714, Facturas_Odoo!$B:$B, 0)), 0)*(1-AG714)))</f>
        <v/>
      </c>
      <c r="AJ714" s="81">
        <f>IF(AN714="","",_xlfn.LET(idVenta, AN714&amp;"",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14" s="81">
        <f>IF(AN714="","",AH714-AJ714)</f>
        <v/>
      </c>
      <c r="AL714" s="81">
        <f>IF(AN714="","",IF(Q714="Sin Factura","",AI714-AJ714))</f>
        <v/>
      </c>
      <c r="AM714" s="81">
        <f>IF(AN714="","",IF(Q714="Sin Factura",0,P714-IFERROR(INDEX(Facturas_Odoo!$H:$H, MATCH(Q714, Facturas_Odoo!$B:$B, 0)), 0)))</f>
        <v/>
      </c>
      <c r="AN714" s="79">
        <f>IF(AND(A714="", J714=""), "", IF(A714&lt;&gt;"", VALUE(MID(A714,2,LEN(A714))), AN713))</f>
        <v/>
      </c>
      <c r="AO714" s="79">
        <f>IF(AN714="","",IF(AD714=0,"OK",_xlfn.LET(monedaPago, IF(AA714="","USD",AA714), limitePermitido, IFERROR(VLOOKUP(monedaPago, Configuración!$A$2:$B$3, 2, FALSE), 0.15), IF(AD714&gt;limitePermitido, "ALERTA: EXCESO (" &amp; TEXT(limitePermitido, "0%") &amp; " máx)", "OK"))))</f>
        <v/>
      </c>
      <c r="AP714" s="79">
        <f>IF(AN714="","",IF(AE714=0,"OK",_xlfn.LET(fechaPago, Z714, fechaFactura, R714, diasCredito, IF(E714="Pago inmediato", 0, IFERROR(VALUE(MID(E714, 1, SEARCH(" ", E714)-1)),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14" s="79">
        <f>IF(AN714="","",IF(AND(N714&gt;0, AG714&gt;0), IF(Configuración!$K$2="NO", "ALERTA: DESCUENTO DOBLE NO PERMITIDO", "OK"), "OK"))</f>
        <v/>
      </c>
      <c r="AR714" s="79">
        <f>IF(AN714="","",IF(OR(AO714&lt;&gt;"OK", AP714&lt;&gt;"OK", AQ714&lt;&gt;"OK"), "⚠️ REVISAR", "OK"))</f>
        <v/>
      </c>
    </row>
    <row r="715">
      <c r="A715" s="79">
        <f>IF('Ordenes_Odoo'!A715="","",'Ordenes_Odoo'!A715)</f>
        <v/>
      </c>
      <c r="B715" s="80">
        <f>IF('Ordenes_Odoo'!B715="","",'Ordenes_Odoo'!B715)</f>
        <v/>
      </c>
      <c r="C715" s="79">
        <f>IF('Ordenes_Odoo'!C715="","",'Ordenes_Odoo'!C715)</f>
        <v/>
      </c>
      <c r="D715" s="79">
        <f>IF('Ordenes_Odoo'!D715="","",'Ordenes_Odoo'!D715)</f>
        <v/>
      </c>
      <c r="E715" s="79">
        <f>IF('Ordenes_Odoo'!E715="","",'Ordenes_Odoo'!E715)</f>
        <v/>
      </c>
      <c r="F715" s="79">
        <f>IF('Ordenes_Odoo'!F715="","",'Ordenes_Odoo'!F715)</f>
        <v/>
      </c>
      <c r="G715" s="79">
        <f>IF('Ordenes_Odoo'!G715="","",'Ordenes_Odoo'!G715)</f>
        <v/>
      </c>
      <c r="H715" s="79">
        <f>IF('Ordenes_Odoo'!H715="","",'Ordenes_Odoo'!H715)</f>
        <v/>
      </c>
      <c r="I715" s="79">
        <f>IF('Ordenes_Odoo'!I715="","",'Ordenes_Odoo'!I715)</f>
        <v/>
      </c>
      <c r="J715" s="79">
        <f>IF('Ordenes_Odoo'!J715="","",'Ordenes_Odoo'!J715)</f>
        <v/>
      </c>
      <c r="K715" s="81">
        <f>IF('Ordenes_Odoo'!K715="","",'Ordenes_Odoo'!K715)</f>
        <v/>
      </c>
      <c r="L715" s="81">
        <f>IF('Ordenes_Odoo'!L715="","",'Ordenes_Odoo'!L715)</f>
        <v/>
      </c>
      <c r="M715" s="79">
        <f>IF('Ordenes_Odoo'!M715="","",'Ordenes_Odoo'!M715)</f>
        <v/>
      </c>
      <c r="N715" s="79">
        <f>IF('Ordenes_Odoo'!N715="","",'Ordenes_Odoo'!N715)</f>
        <v/>
      </c>
      <c r="O715" s="81">
        <f>IF('Ordenes_Odoo'!O715="","",'Ordenes_Odoo'!O715)</f>
        <v/>
      </c>
      <c r="P715" s="81">
        <f>IF('Ordenes_Odoo'!P715="","",'Ordenes_Odoo'!P715)</f>
        <v/>
      </c>
      <c r="Q715" s="79">
        <f>IF(A715="","",IFERROR(INDEX(Facturas_Odoo!$B:$B, MATCH(A715, Facturas_Odoo!$D:$D, 0)), "Sin Factura"))</f>
        <v/>
      </c>
      <c r="R715" s="80">
        <f>IF(Q715="Sin Factura","",IFERROR(INDEX(Facturas_Odoo!$A:$A, MATCH(Q715, Facturas_Odoo!$B:$B, 0)), ""))</f>
        <v/>
      </c>
      <c r="S715" s="79">
        <f>IF(Q715="Sin Factura","",IFERROR(_xlfn.XLOOKUP(1, (Facturas_Odoo!$D:$D=A715) * (Facturas_Odoo!$K:$K=I715), Facturas_Odoo!$L:$L, ""), ""))</f>
        <v/>
      </c>
      <c r="T715" s="81">
        <f>IF(Q715="Sin Factura",0,IFERROR(_xlfn.XLOOKUP(1, (Facturas_Odoo!$D:$D=A715) * (Facturas_Odoo!$K:$K=I715), Facturas_Odoo!$M:$M, 0), 0))</f>
        <v/>
      </c>
      <c r="U715" s="79">
        <f>IF(Q715="Sin Factura",0,IFERROR(_xlfn.XLOOKUP(1, (Facturas_Odoo!$D:$D=A715) * (Facturas_Odoo!$K:$K=I715), Facturas_Odoo!$N:$N, 0), 0))</f>
        <v/>
      </c>
      <c r="V715" s="79">
        <f>IF(Q715="Sin Factura",0,IFERROR(_xlfn.XLOOKUP(1, (Facturas_Odoo!$D:$D=A715) * (Facturas_Odoo!$K:$K=I715), Facturas_Odoo!$O:$O, 0), 0))</f>
        <v/>
      </c>
      <c r="W715" s="81">
        <f>IF(Q715="Sin Factura",0,IFERROR(_xlfn.XLOOKUP(1, (Facturas_Odoo!$D:$D=A715) * (Facturas_Odoo!$K:$K=I715), Facturas_Odoo!$Q:$Q, 0), 0))</f>
        <v/>
      </c>
      <c r="X715" s="79">
        <f>IF(OR(Q715="Sin Factura",Q715=""),"",IFERROR(INDEX(Pagos_Odoo!$B:$B, MATCH(Q715, Pagos_Odoo!$I:$I, 0)), "Sin Pago"))</f>
        <v/>
      </c>
      <c r="Y715" s="79">
        <f>IF(X715="Sin Pago","",IFERROR(INDEX(Pagos_Odoo!$C:$C, MATCH(X715, Pagos_Odoo!$B:$B, 0)), ""))</f>
        <v/>
      </c>
      <c r="Z715" s="80">
        <f>IF(X715="Sin Pago","",IFERROR(INDEX(Pagos_Odoo!$A:$A, MATCH(X715, Pagos_Odoo!$B:$B, 0)), ""))</f>
        <v/>
      </c>
      <c r="AA715" s="79">
        <f>IF(X715="Sin Pago","",IFERROR(INDEX(Pagos_Odoo!$F:$F, MATCH(X715, Pagos_Odoo!$B:$B, 0)), ""))</f>
        <v/>
      </c>
      <c r="AB715" s="81">
        <f>IF(X715="Sin Pago",0,IFERROR(INDEX(Pagos_Odoo!$E:$E, MATCH(X715, Pagos_Odoo!$B:$B, 0)), 0))</f>
        <v/>
      </c>
      <c r="AC715" s="79">
        <f>IF(X715="Sin Pago","",IFERROR(INDEX(Pagos_Odoo!$G:$G, MATCH(X715, Pagos_Odoo!$B:$B, 0)), ""))</f>
        <v/>
      </c>
      <c r="AD715" s="82" t="n">
        <v>0</v>
      </c>
      <c r="AE715" s="82" t="n"/>
      <c r="AF715" s="82" t="n"/>
      <c r="AG715" s="82">
        <f>IF(AN715="","",AD715+AE715+AF715)</f>
        <v/>
      </c>
      <c r="AH715" s="81">
        <f>IF(AN715="","",P715*(1-AG715))</f>
        <v/>
      </c>
      <c r="AI715" s="81">
        <f>IF(AN715="","",IF(Q715="Sin Factura",0,IFERROR(INDEX(Facturas_Odoo!$H:$H, MATCH(Q715, Facturas_Odoo!$B:$B, 0)), 0)*(1-AG715)))</f>
        <v/>
      </c>
      <c r="AJ715" s="81">
        <f>IF(AN715="","",_xlfn.LET(idVenta, AN715&amp;"",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15" s="81">
        <f>IF(AN715="","",AH715-AJ715)</f>
        <v/>
      </c>
      <c r="AL715" s="81">
        <f>IF(AN715="","",IF(Q715="Sin Factura","",AI715-AJ715))</f>
        <v/>
      </c>
      <c r="AM715" s="81">
        <f>IF(AN715="","",IF(Q715="Sin Factura",0,P715-IFERROR(INDEX(Facturas_Odoo!$H:$H, MATCH(Q715, Facturas_Odoo!$B:$B, 0)), 0)))</f>
        <v/>
      </c>
      <c r="AN715" s="79">
        <f>IF(AND(A715="", J715=""), "", IF(A715&lt;&gt;"", VALUE(MID(A715,2,LEN(A715))), AN714))</f>
        <v/>
      </c>
      <c r="AO715" s="79">
        <f>IF(AN715="","",IF(AD715=0,"OK",_xlfn.LET(monedaPago, IF(AA715="","USD",AA715), limitePermitido, IFERROR(VLOOKUP(monedaPago, Configuración!$A$2:$B$3, 2, FALSE), 0.15), IF(AD715&gt;limitePermitido, "ALERTA: EXCESO (" &amp; TEXT(limitePermitido, "0%") &amp; " máx)", "OK"))))</f>
        <v/>
      </c>
      <c r="AP715" s="79">
        <f>IF(AN715="","",IF(AE715=0,"OK",_xlfn.LET(fechaPago, Z715, fechaFactura, R715, diasCredito, IF(E715="Pago inmediato", 0, IFERROR(VALUE(MID(E715, 1, SEARCH(" ", E715)-1)),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15" s="79">
        <f>IF(AN715="","",IF(AND(N715&gt;0, AG715&gt;0), IF(Configuración!$K$2="NO", "ALERTA: DESCUENTO DOBLE NO PERMITIDO", "OK"), "OK"))</f>
        <v/>
      </c>
      <c r="AR715" s="79">
        <f>IF(AN715="","",IF(OR(AO715&lt;&gt;"OK", AP715&lt;&gt;"OK", AQ715&lt;&gt;"OK"), "⚠️ REVISAR", "OK"))</f>
        <v/>
      </c>
    </row>
    <row r="716">
      <c r="A716" s="79">
        <f>IF('Ordenes_Odoo'!A716="","",'Ordenes_Odoo'!A716)</f>
        <v/>
      </c>
      <c r="B716" s="80">
        <f>IF('Ordenes_Odoo'!B716="","",'Ordenes_Odoo'!B716)</f>
        <v/>
      </c>
      <c r="C716" s="79">
        <f>IF('Ordenes_Odoo'!C716="","",'Ordenes_Odoo'!C716)</f>
        <v/>
      </c>
      <c r="D716" s="79">
        <f>IF('Ordenes_Odoo'!D716="","",'Ordenes_Odoo'!D716)</f>
        <v/>
      </c>
      <c r="E716" s="79">
        <f>IF('Ordenes_Odoo'!E716="","",'Ordenes_Odoo'!E716)</f>
        <v/>
      </c>
      <c r="F716" s="79">
        <f>IF('Ordenes_Odoo'!F716="","",'Ordenes_Odoo'!F716)</f>
        <v/>
      </c>
      <c r="G716" s="79">
        <f>IF('Ordenes_Odoo'!G716="","",'Ordenes_Odoo'!G716)</f>
        <v/>
      </c>
      <c r="H716" s="79">
        <f>IF('Ordenes_Odoo'!H716="","",'Ordenes_Odoo'!H716)</f>
        <v/>
      </c>
      <c r="I716" s="79">
        <f>IF('Ordenes_Odoo'!I716="","",'Ordenes_Odoo'!I716)</f>
        <v/>
      </c>
      <c r="J716" s="79">
        <f>IF('Ordenes_Odoo'!J716="","",'Ordenes_Odoo'!J716)</f>
        <v/>
      </c>
      <c r="K716" s="81">
        <f>IF('Ordenes_Odoo'!K716="","",'Ordenes_Odoo'!K716)</f>
        <v/>
      </c>
      <c r="L716" s="81">
        <f>IF('Ordenes_Odoo'!L716="","",'Ordenes_Odoo'!L716)</f>
        <v/>
      </c>
      <c r="M716" s="79">
        <f>IF('Ordenes_Odoo'!M716="","",'Ordenes_Odoo'!M716)</f>
        <v/>
      </c>
      <c r="N716" s="79">
        <f>IF('Ordenes_Odoo'!N716="","",'Ordenes_Odoo'!N716)</f>
        <v/>
      </c>
      <c r="O716" s="81">
        <f>IF('Ordenes_Odoo'!O716="","",'Ordenes_Odoo'!O716)</f>
        <v/>
      </c>
      <c r="P716" s="81">
        <f>IF('Ordenes_Odoo'!P716="","",'Ordenes_Odoo'!P716)</f>
        <v/>
      </c>
      <c r="Q716" s="79">
        <f>IF(A716="","",IFERROR(INDEX(Facturas_Odoo!$B:$B, MATCH(A716, Facturas_Odoo!$D:$D, 0)), "Sin Factura"))</f>
        <v/>
      </c>
      <c r="R716" s="80">
        <f>IF(Q716="Sin Factura","",IFERROR(INDEX(Facturas_Odoo!$A:$A, MATCH(Q716, Facturas_Odoo!$B:$B, 0)), ""))</f>
        <v/>
      </c>
      <c r="S716" s="79">
        <f>IF(Q716="Sin Factura","",IFERROR(_xlfn.XLOOKUP(1, (Facturas_Odoo!$D:$D=A716) * (Facturas_Odoo!$K:$K=I716), Facturas_Odoo!$L:$L, ""), ""))</f>
        <v/>
      </c>
      <c r="T716" s="81">
        <f>IF(Q716="Sin Factura",0,IFERROR(_xlfn.XLOOKUP(1, (Facturas_Odoo!$D:$D=A716) * (Facturas_Odoo!$K:$K=I716), Facturas_Odoo!$M:$M, 0), 0))</f>
        <v/>
      </c>
      <c r="U716" s="79">
        <f>IF(Q716="Sin Factura",0,IFERROR(_xlfn.XLOOKUP(1, (Facturas_Odoo!$D:$D=A716) * (Facturas_Odoo!$K:$K=I716), Facturas_Odoo!$N:$N, 0), 0))</f>
        <v/>
      </c>
      <c r="V716" s="79">
        <f>IF(Q716="Sin Factura",0,IFERROR(_xlfn.XLOOKUP(1, (Facturas_Odoo!$D:$D=A716) * (Facturas_Odoo!$K:$K=I716), Facturas_Odoo!$O:$O, 0), 0))</f>
        <v/>
      </c>
      <c r="W716" s="81">
        <f>IF(Q716="Sin Factura",0,IFERROR(_xlfn.XLOOKUP(1, (Facturas_Odoo!$D:$D=A716) * (Facturas_Odoo!$K:$K=I716), Facturas_Odoo!$Q:$Q, 0), 0))</f>
        <v/>
      </c>
      <c r="X716" s="79">
        <f>IF(OR(Q716="Sin Factura",Q716=""),"",IFERROR(INDEX(Pagos_Odoo!$B:$B, MATCH(Q716, Pagos_Odoo!$I:$I, 0)), "Sin Pago"))</f>
        <v/>
      </c>
      <c r="Y716" s="79">
        <f>IF(X716="Sin Pago","",IFERROR(INDEX(Pagos_Odoo!$C:$C, MATCH(X716, Pagos_Odoo!$B:$B, 0)), ""))</f>
        <v/>
      </c>
      <c r="Z716" s="80">
        <f>IF(X716="Sin Pago","",IFERROR(INDEX(Pagos_Odoo!$A:$A, MATCH(X716, Pagos_Odoo!$B:$B, 0)), ""))</f>
        <v/>
      </c>
      <c r="AA716" s="79">
        <f>IF(X716="Sin Pago","",IFERROR(INDEX(Pagos_Odoo!$F:$F, MATCH(X716, Pagos_Odoo!$B:$B, 0)), ""))</f>
        <v/>
      </c>
      <c r="AB716" s="81">
        <f>IF(X716="Sin Pago",0,IFERROR(INDEX(Pagos_Odoo!$E:$E, MATCH(X716, Pagos_Odoo!$B:$B, 0)), 0))</f>
        <v/>
      </c>
      <c r="AC716" s="79">
        <f>IF(X716="Sin Pago","",IFERROR(INDEX(Pagos_Odoo!$G:$G, MATCH(X716, Pagos_Odoo!$B:$B, 0)), ""))</f>
        <v/>
      </c>
      <c r="AD716" s="82" t="n">
        <v>0</v>
      </c>
      <c r="AE716" s="82" t="n"/>
      <c r="AF716" s="82" t="n"/>
      <c r="AG716" s="82">
        <f>IF(AN716="","",AD716+AE716+AF716)</f>
        <v/>
      </c>
      <c r="AH716" s="81">
        <f>IF(AN716="","",P716*(1-AG716))</f>
        <v/>
      </c>
      <c r="AI716" s="81">
        <f>IF(AN716="","",IF(Q716="Sin Factura",0,IFERROR(INDEX(Facturas_Odoo!$H:$H, MATCH(Q716, Facturas_Odoo!$B:$B, 0)), 0)*(1-AG716)))</f>
        <v/>
      </c>
      <c r="AJ716" s="81">
        <f>IF(AN716="","",_xlfn.LET(idVenta, AN716&amp;"",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16" s="81">
        <f>IF(AN716="","",AH716-AJ716)</f>
        <v/>
      </c>
      <c r="AL716" s="81">
        <f>IF(AN716="","",IF(Q716="Sin Factura","",AI716-AJ716))</f>
        <v/>
      </c>
      <c r="AM716" s="81">
        <f>IF(AN716="","",IF(Q716="Sin Factura",0,P716-IFERROR(INDEX(Facturas_Odoo!$H:$H, MATCH(Q716, Facturas_Odoo!$B:$B, 0)), 0)))</f>
        <v/>
      </c>
      <c r="AN716" s="79">
        <f>IF(AND(A716="", J716=""), "", IF(A716&lt;&gt;"", VALUE(MID(A716,2,LEN(A716))), AN715))</f>
        <v/>
      </c>
      <c r="AO716" s="79">
        <f>IF(AN716="","",IF(AD716=0,"OK",_xlfn.LET(monedaPago, IF(AA716="","USD",AA716), limitePermitido, IFERROR(VLOOKUP(monedaPago, Configuración!$A$2:$B$3, 2, FALSE), 0.15), IF(AD716&gt;limitePermitido, "ALERTA: EXCESO (" &amp; TEXT(limitePermitido, "0%") &amp; " máx)", "OK"))))</f>
        <v/>
      </c>
      <c r="AP716" s="79">
        <f>IF(AN716="","",IF(AE716=0,"OK",_xlfn.LET(fechaPago, Z716, fechaFactura, R716, diasCredito, IF(E716="Pago inmediato", 0, IFERROR(VALUE(MID(E716, 1, SEARCH(" ", E716)-1)),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16" s="79">
        <f>IF(AN716="","",IF(AND(N716&gt;0, AG716&gt;0), IF(Configuración!$K$2="NO", "ALERTA: DESCUENTO DOBLE NO PERMITIDO", "OK"), "OK"))</f>
        <v/>
      </c>
      <c r="AR716" s="79">
        <f>IF(AN716="","",IF(OR(AO716&lt;&gt;"OK", AP716&lt;&gt;"OK", AQ716&lt;&gt;"OK"), "⚠️ REVISAR", "OK"))</f>
        <v/>
      </c>
    </row>
    <row r="717">
      <c r="A717" s="79">
        <f>IF('Ordenes_Odoo'!A717="","",'Ordenes_Odoo'!A717)</f>
        <v/>
      </c>
      <c r="B717" s="80">
        <f>IF('Ordenes_Odoo'!B717="","",'Ordenes_Odoo'!B717)</f>
        <v/>
      </c>
      <c r="C717" s="79">
        <f>IF('Ordenes_Odoo'!C717="","",'Ordenes_Odoo'!C717)</f>
        <v/>
      </c>
      <c r="D717" s="79">
        <f>IF('Ordenes_Odoo'!D717="","",'Ordenes_Odoo'!D717)</f>
        <v/>
      </c>
      <c r="E717" s="79">
        <f>IF('Ordenes_Odoo'!E717="","",'Ordenes_Odoo'!E717)</f>
        <v/>
      </c>
      <c r="F717" s="79">
        <f>IF('Ordenes_Odoo'!F717="","",'Ordenes_Odoo'!F717)</f>
        <v/>
      </c>
      <c r="G717" s="79">
        <f>IF('Ordenes_Odoo'!G717="","",'Ordenes_Odoo'!G717)</f>
        <v/>
      </c>
      <c r="H717" s="79">
        <f>IF('Ordenes_Odoo'!H717="","",'Ordenes_Odoo'!H717)</f>
        <v/>
      </c>
      <c r="I717" s="79">
        <f>IF('Ordenes_Odoo'!I717="","",'Ordenes_Odoo'!I717)</f>
        <v/>
      </c>
      <c r="J717" s="79">
        <f>IF('Ordenes_Odoo'!J717="","",'Ordenes_Odoo'!J717)</f>
        <v/>
      </c>
      <c r="K717" s="81">
        <f>IF('Ordenes_Odoo'!K717="","",'Ordenes_Odoo'!K717)</f>
        <v/>
      </c>
      <c r="L717" s="81">
        <f>IF('Ordenes_Odoo'!L717="","",'Ordenes_Odoo'!L717)</f>
        <v/>
      </c>
      <c r="M717" s="79">
        <f>IF('Ordenes_Odoo'!M717="","",'Ordenes_Odoo'!M717)</f>
        <v/>
      </c>
      <c r="N717" s="79">
        <f>IF('Ordenes_Odoo'!N717="","",'Ordenes_Odoo'!N717)</f>
        <v/>
      </c>
      <c r="O717" s="81">
        <f>IF('Ordenes_Odoo'!O717="","",'Ordenes_Odoo'!O717)</f>
        <v/>
      </c>
      <c r="P717" s="81">
        <f>IF('Ordenes_Odoo'!P717="","",'Ordenes_Odoo'!P717)</f>
        <v/>
      </c>
      <c r="Q717" s="79">
        <f>IF(A717="","",IFERROR(INDEX(Facturas_Odoo!$B:$B, MATCH(A717, Facturas_Odoo!$D:$D, 0)), "Sin Factura"))</f>
        <v/>
      </c>
      <c r="R717" s="80">
        <f>IF(Q717="Sin Factura","",IFERROR(INDEX(Facturas_Odoo!$A:$A, MATCH(Q717, Facturas_Odoo!$B:$B, 0)), ""))</f>
        <v/>
      </c>
      <c r="S717" s="79">
        <f>IF(Q717="Sin Factura","",IFERROR(_xlfn.XLOOKUP(1, (Facturas_Odoo!$D:$D=A717) * (Facturas_Odoo!$K:$K=I717), Facturas_Odoo!$L:$L, ""), ""))</f>
        <v/>
      </c>
      <c r="T717" s="81">
        <f>IF(Q717="Sin Factura",0,IFERROR(_xlfn.XLOOKUP(1, (Facturas_Odoo!$D:$D=A717) * (Facturas_Odoo!$K:$K=I717), Facturas_Odoo!$M:$M, 0), 0))</f>
        <v/>
      </c>
      <c r="U717" s="79">
        <f>IF(Q717="Sin Factura",0,IFERROR(_xlfn.XLOOKUP(1, (Facturas_Odoo!$D:$D=A717) * (Facturas_Odoo!$K:$K=I717), Facturas_Odoo!$N:$N, 0), 0))</f>
        <v/>
      </c>
      <c r="V717" s="79">
        <f>IF(Q717="Sin Factura",0,IFERROR(_xlfn.XLOOKUP(1, (Facturas_Odoo!$D:$D=A717) * (Facturas_Odoo!$K:$K=I717), Facturas_Odoo!$O:$O, 0), 0))</f>
        <v/>
      </c>
      <c r="W717" s="81">
        <f>IF(Q717="Sin Factura",0,IFERROR(_xlfn.XLOOKUP(1, (Facturas_Odoo!$D:$D=A717) * (Facturas_Odoo!$K:$K=I717), Facturas_Odoo!$Q:$Q, 0), 0))</f>
        <v/>
      </c>
      <c r="X717" s="79">
        <f>IF(OR(Q717="Sin Factura",Q717=""),"",IFERROR(INDEX(Pagos_Odoo!$B:$B, MATCH(Q717, Pagos_Odoo!$I:$I, 0)), "Sin Pago"))</f>
        <v/>
      </c>
      <c r="Y717" s="79">
        <f>IF(X717="Sin Pago","",IFERROR(INDEX(Pagos_Odoo!$C:$C, MATCH(X717, Pagos_Odoo!$B:$B, 0)), ""))</f>
        <v/>
      </c>
      <c r="Z717" s="80">
        <f>IF(X717="Sin Pago","",IFERROR(INDEX(Pagos_Odoo!$A:$A, MATCH(X717, Pagos_Odoo!$B:$B, 0)), ""))</f>
        <v/>
      </c>
      <c r="AA717" s="79">
        <f>IF(X717="Sin Pago","",IFERROR(INDEX(Pagos_Odoo!$F:$F, MATCH(X717, Pagos_Odoo!$B:$B, 0)), ""))</f>
        <v/>
      </c>
      <c r="AB717" s="81">
        <f>IF(X717="Sin Pago",0,IFERROR(INDEX(Pagos_Odoo!$E:$E, MATCH(X717, Pagos_Odoo!$B:$B, 0)), 0))</f>
        <v/>
      </c>
      <c r="AC717" s="79">
        <f>IF(X717="Sin Pago","",IFERROR(INDEX(Pagos_Odoo!$G:$G, MATCH(X717, Pagos_Odoo!$B:$B, 0)), ""))</f>
        <v/>
      </c>
      <c r="AD717" s="82" t="n">
        <v>0</v>
      </c>
      <c r="AE717" s="82" t="n"/>
      <c r="AF717" s="82" t="n"/>
      <c r="AG717" s="82">
        <f>IF(AN717="","",AD717+AE717+AF717)</f>
        <v/>
      </c>
      <c r="AH717" s="81">
        <f>IF(AN717="","",P717*(1-AG717))</f>
        <v/>
      </c>
      <c r="AI717" s="81">
        <f>IF(AN717="","",IF(Q717="Sin Factura",0,IFERROR(INDEX(Facturas_Odoo!$H:$H, MATCH(Q717, Facturas_Odoo!$B:$B, 0)), 0)*(1-AG717)))</f>
        <v/>
      </c>
      <c r="AJ717" s="81">
        <f>IF(AN717="","",_xlfn.LET(idVenta, AN717&amp;"",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17" s="81">
        <f>IF(AN717="","",AH717-AJ717)</f>
        <v/>
      </c>
      <c r="AL717" s="81">
        <f>IF(AN717="","",IF(Q717="Sin Factura","",AI717-AJ717))</f>
        <v/>
      </c>
      <c r="AM717" s="81">
        <f>IF(AN717="","",IF(Q717="Sin Factura",0,P717-IFERROR(INDEX(Facturas_Odoo!$H:$H, MATCH(Q717, Facturas_Odoo!$B:$B, 0)), 0)))</f>
        <v/>
      </c>
      <c r="AN717" s="79">
        <f>IF(AND(A717="", J717=""), "", IF(A717&lt;&gt;"", VALUE(MID(A717,2,LEN(A717))), AN716))</f>
        <v/>
      </c>
      <c r="AO717" s="79">
        <f>IF(AN717="","",IF(AD717=0,"OK",_xlfn.LET(monedaPago, IF(AA717="","USD",AA717), limitePermitido, IFERROR(VLOOKUP(monedaPago, Configuración!$A$2:$B$3, 2, FALSE), 0.15), IF(AD717&gt;limitePermitido, "ALERTA: EXCESO (" &amp; TEXT(limitePermitido, "0%") &amp; " máx)", "OK"))))</f>
        <v/>
      </c>
      <c r="AP717" s="79">
        <f>IF(AN717="","",IF(AE717=0,"OK",_xlfn.LET(fechaPago, Z717, fechaFactura, R717, diasCredito, IF(E717="Pago inmediato", 0, IFERROR(VALUE(MID(E717, 1, SEARCH(" ", E717)-1)),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17" s="79">
        <f>IF(AN717="","",IF(AND(N717&gt;0, AG717&gt;0), IF(Configuración!$K$2="NO", "ALERTA: DESCUENTO DOBLE NO PERMITIDO", "OK"), "OK"))</f>
        <v/>
      </c>
      <c r="AR717" s="79">
        <f>IF(AN717="","",IF(OR(AO717&lt;&gt;"OK", AP717&lt;&gt;"OK", AQ717&lt;&gt;"OK"), "⚠️ REVISAR", "OK"))</f>
        <v/>
      </c>
    </row>
    <row r="718">
      <c r="A718" s="79">
        <f>IF('Ordenes_Odoo'!A718="","",'Ordenes_Odoo'!A718)</f>
        <v/>
      </c>
      <c r="B718" s="80">
        <f>IF('Ordenes_Odoo'!B718="","",'Ordenes_Odoo'!B718)</f>
        <v/>
      </c>
      <c r="C718" s="79">
        <f>IF('Ordenes_Odoo'!C718="","",'Ordenes_Odoo'!C718)</f>
        <v/>
      </c>
      <c r="D718" s="79">
        <f>IF('Ordenes_Odoo'!D718="","",'Ordenes_Odoo'!D718)</f>
        <v/>
      </c>
      <c r="E718" s="79">
        <f>IF('Ordenes_Odoo'!E718="","",'Ordenes_Odoo'!E718)</f>
        <v/>
      </c>
      <c r="F718" s="79">
        <f>IF('Ordenes_Odoo'!F718="","",'Ordenes_Odoo'!F718)</f>
        <v/>
      </c>
      <c r="G718" s="79">
        <f>IF('Ordenes_Odoo'!G718="","",'Ordenes_Odoo'!G718)</f>
        <v/>
      </c>
      <c r="H718" s="79">
        <f>IF('Ordenes_Odoo'!H718="","",'Ordenes_Odoo'!H718)</f>
        <v/>
      </c>
      <c r="I718" s="79">
        <f>IF('Ordenes_Odoo'!I718="","",'Ordenes_Odoo'!I718)</f>
        <v/>
      </c>
      <c r="J718" s="79">
        <f>IF('Ordenes_Odoo'!J718="","",'Ordenes_Odoo'!J718)</f>
        <v/>
      </c>
      <c r="K718" s="81">
        <f>IF('Ordenes_Odoo'!K718="","",'Ordenes_Odoo'!K718)</f>
        <v/>
      </c>
      <c r="L718" s="81">
        <f>IF('Ordenes_Odoo'!L718="","",'Ordenes_Odoo'!L718)</f>
        <v/>
      </c>
      <c r="M718" s="79">
        <f>IF('Ordenes_Odoo'!M718="","",'Ordenes_Odoo'!M718)</f>
        <v/>
      </c>
      <c r="N718" s="79">
        <f>IF('Ordenes_Odoo'!N718="","",'Ordenes_Odoo'!N718)</f>
        <v/>
      </c>
      <c r="O718" s="81">
        <f>IF('Ordenes_Odoo'!O718="","",'Ordenes_Odoo'!O718)</f>
        <v/>
      </c>
      <c r="P718" s="81">
        <f>IF('Ordenes_Odoo'!P718="","",'Ordenes_Odoo'!P718)</f>
        <v/>
      </c>
      <c r="Q718" s="79">
        <f>IF(A718="","",IFERROR(INDEX(Facturas_Odoo!$B:$B, MATCH(A718, Facturas_Odoo!$D:$D, 0)), "Sin Factura"))</f>
        <v/>
      </c>
      <c r="R718" s="80">
        <f>IF(Q718="Sin Factura","",IFERROR(INDEX(Facturas_Odoo!$A:$A, MATCH(Q718, Facturas_Odoo!$B:$B, 0)), ""))</f>
        <v/>
      </c>
      <c r="S718" s="79">
        <f>IF(Q718="Sin Factura","",IFERROR(_xlfn.XLOOKUP(1, (Facturas_Odoo!$D:$D=A718) * (Facturas_Odoo!$K:$K=I718), Facturas_Odoo!$L:$L, ""), ""))</f>
        <v/>
      </c>
      <c r="T718" s="81">
        <f>IF(Q718="Sin Factura",0,IFERROR(_xlfn.XLOOKUP(1, (Facturas_Odoo!$D:$D=A718) * (Facturas_Odoo!$K:$K=I718), Facturas_Odoo!$M:$M, 0), 0))</f>
        <v/>
      </c>
      <c r="U718" s="79">
        <f>IF(Q718="Sin Factura",0,IFERROR(_xlfn.XLOOKUP(1, (Facturas_Odoo!$D:$D=A718) * (Facturas_Odoo!$K:$K=I718), Facturas_Odoo!$N:$N, 0), 0))</f>
        <v/>
      </c>
      <c r="V718" s="79">
        <f>IF(Q718="Sin Factura",0,IFERROR(_xlfn.XLOOKUP(1, (Facturas_Odoo!$D:$D=A718) * (Facturas_Odoo!$K:$K=I718), Facturas_Odoo!$O:$O, 0), 0))</f>
        <v/>
      </c>
      <c r="W718" s="81">
        <f>IF(Q718="Sin Factura",0,IFERROR(_xlfn.XLOOKUP(1, (Facturas_Odoo!$D:$D=A718) * (Facturas_Odoo!$K:$K=I718), Facturas_Odoo!$Q:$Q, 0), 0))</f>
        <v/>
      </c>
      <c r="X718" s="79">
        <f>IF(OR(Q718="Sin Factura",Q718=""),"",IFERROR(INDEX(Pagos_Odoo!$B:$B, MATCH(Q718, Pagos_Odoo!$I:$I, 0)), "Sin Pago"))</f>
        <v/>
      </c>
      <c r="Y718" s="79">
        <f>IF(X718="Sin Pago","",IFERROR(INDEX(Pagos_Odoo!$C:$C, MATCH(X718, Pagos_Odoo!$B:$B, 0)), ""))</f>
        <v/>
      </c>
      <c r="Z718" s="80">
        <f>IF(X718="Sin Pago","",IFERROR(INDEX(Pagos_Odoo!$A:$A, MATCH(X718, Pagos_Odoo!$B:$B, 0)), ""))</f>
        <v/>
      </c>
      <c r="AA718" s="79">
        <f>IF(X718="Sin Pago","",IFERROR(INDEX(Pagos_Odoo!$F:$F, MATCH(X718, Pagos_Odoo!$B:$B, 0)), ""))</f>
        <v/>
      </c>
      <c r="AB718" s="81">
        <f>IF(X718="Sin Pago",0,IFERROR(INDEX(Pagos_Odoo!$E:$E, MATCH(X718, Pagos_Odoo!$B:$B, 0)), 0))</f>
        <v/>
      </c>
      <c r="AC718" s="79">
        <f>IF(X718="Sin Pago","",IFERROR(INDEX(Pagos_Odoo!$G:$G, MATCH(X718, Pagos_Odoo!$B:$B, 0)), ""))</f>
        <v/>
      </c>
      <c r="AD718" s="82" t="n">
        <v>0</v>
      </c>
      <c r="AE718" s="82" t="n"/>
      <c r="AF718" s="82" t="n"/>
      <c r="AG718" s="82">
        <f>IF(AN718="","",AD718+AE718+AF718)</f>
        <v/>
      </c>
      <c r="AH718" s="81">
        <f>IF(AN718="","",P718*(1-AG718))</f>
        <v/>
      </c>
      <c r="AI718" s="81">
        <f>IF(AN718="","",IF(Q718="Sin Factura",0,IFERROR(INDEX(Facturas_Odoo!$H:$H, MATCH(Q718, Facturas_Odoo!$B:$B, 0)), 0)*(1-AG718)))</f>
        <v/>
      </c>
      <c r="AJ718" s="81">
        <f>IF(AN718="","",_xlfn.LET(idVenta, AN718&amp;"",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18" s="81">
        <f>IF(AN718="","",AH718-AJ718)</f>
        <v/>
      </c>
      <c r="AL718" s="81">
        <f>IF(AN718="","",IF(Q718="Sin Factura","",AI718-AJ718))</f>
        <v/>
      </c>
      <c r="AM718" s="81">
        <f>IF(AN718="","",IF(Q718="Sin Factura",0,P718-IFERROR(INDEX(Facturas_Odoo!$H:$H, MATCH(Q718, Facturas_Odoo!$B:$B, 0)), 0)))</f>
        <v/>
      </c>
      <c r="AN718" s="79">
        <f>IF(AND(A718="", J718=""), "", IF(A718&lt;&gt;"", VALUE(MID(A718,2,LEN(A718))), AN717))</f>
        <v/>
      </c>
      <c r="AO718" s="79">
        <f>IF(AN718="","",IF(AD718=0,"OK",_xlfn.LET(monedaPago, IF(AA718="","USD",AA718), limitePermitido, IFERROR(VLOOKUP(monedaPago, Configuración!$A$2:$B$3, 2, FALSE), 0.15), IF(AD718&gt;limitePermitido, "ALERTA: EXCESO (" &amp; TEXT(limitePermitido, "0%") &amp; " máx)", "OK"))))</f>
        <v/>
      </c>
      <c r="AP718" s="79">
        <f>IF(AN718="","",IF(AE718=0,"OK",_xlfn.LET(fechaPago, Z718, fechaFactura, R718, diasCredito, IF(E718="Pago inmediato", 0, IFERROR(VALUE(MID(E718, 1, SEARCH(" ", E718)-1)),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18" s="79">
        <f>IF(AN718="","",IF(AND(N718&gt;0, AG718&gt;0), IF(Configuración!$K$2="NO", "ALERTA: DESCUENTO DOBLE NO PERMITIDO", "OK"), "OK"))</f>
        <v/>
      </c>
      <c r="AR718" s="79">
        <f>IF(AN718="","",IF(OR(AO718&lt;&gt;"OK", AP718&lt;&gt;"OK", AQ718&lt;&gt;"OK"), "⚠️ REVISAR", "OK"))</f>
        <v/>
      </c>
    </row>
    <row r="719">
      <c r="A719" s="79">
        <f>IF('Ordenes_Odoo'!A719="","",'Ordenes_Odoo'!A719)</f>
        <v/>
      </c>
      <c r="B719" s="80">
        <f>IF('Ordenes_Odoo'!B719="","",'Ordenes_Odoo'!B719)</f>
        <v/>
      </c>
      <c r="C719" s="79">
        <f>IF('Ordenes_Odoo'!C719="","",'Ordenes_Odoo'!C719)</f>
        <v/>
      </c>
      <c r="D719" s="79">
        <f>IF('Ordenes_Odoo'!D719="","",'Ordenes_Odoo'!D719)</f>
        <v/>
      </c>
      <c r="E719" s="79">
        <f>IF('Ordenes_Odoo'!E719="","",'Ordenes_Odoo'!E719)</f>
        <v/>
      </c>
      <c r="F719" s="79">
        <f>IF('Ordenes_Odoo'!F719="","",'Ordenes_Odoo'!F719)</f>
        <v/>
      </c>
      <c r="G719" s="79">
        <f>IF('Ordenes_Odoo'!G719="","",'Ordenes_Odoo'!G719)</f>
        <v/>
      </c>
      <c r="H719" s="79">
        <f>IF('Ordenes_Odoo'!H719="","",'Ordenes_Odoo'!H719)</f>
        <v/>
      </c>
      <c r="I719" s="79">
        <f>IF('Ordenes_Odoo'!I719="","",'Ordenes_Odoo'!I719)</f>
        <v/>
      </c>
      <c r="J719" s="79">
        <f>IF('Ordenes_Odoo'!J719="","",'Ordenes_Odoo'!J719)</f>
        <v/>
      </c>
      <c r="K719" s="81">
        <f>IF('Ordenes_Odoo'!K719="","",'Ordenes_Odoo'!K719)</f>
        <v/>
      </c>
      <c r="L719" s="81">
        <f>IF('Ordenes_Odoo'!L719="","",'Ordenes_Odoo'!L719)</f>
        <v/>
      </c>
      <c r="M719" s="79">
        <f>IF('Ordenes_Odoo'!M719="","",'Ordenes_Odoo'!M719)</f>
        <v/>
      </c>
      <c r="N719" s="79">
        <f>IF('Ordenes_Odoo'!N719="","",'Ordenes_Odoo'!N719)</f>
        <v/>
      </c>
      <c r="O719" s="81">
        <f>IF('Ordenes_Odoo'!O719="","",'Ordenes_Odoo'!O719)</f>
        <v/>
      </c>
      <c r="P719" s="81">
        <f>IF('Ordenes_Odoo'!P719="","",'Ordenes_Odoo'!P719)</f>
        <v/>
      </c>
      <c r="Q719" s="79">
        <f>IF(A719="","",IFERROR(INDEX(Facturas_Odoo!$B:$B, MATCH(A719, Facturas_Odoo!$D:$D, 0)), "Sin Factura"))</f>
        <v/>
      </c>
      <c r="R719" s="80">
        <f>IF(Q719="Sin Factura","",IFERROR(INDEX(Facturas_Odoo!$A:$A, MATCH(Q719, Facturas_Odoo!$B:$B, 0)), ""))</f>
        <v/>
      </c>
      <c r="S719" s="79">
        <f>IF(Q719="Sin Factura","",IFERROR(_xlfn.XLOOKUP(1, (Facturas_Odoo!$D:$D=A719) * (Facturas_Odoo!$K:$K=I719), Facturas_Odoo!$L:$L, ""), ""))</f>
        <v/>
      </c>
      <c r="T719" s="81">
        <f>IF(Q719="Sin Factura",0,IFERROR(_xlfn.XLOOKUP(1, (Facturas_Odoo!$D:$D=A719) * (Facturas_Odoo!$K:$K=I719), Facturas_Odoo!$M:$M, 0), 0))</f>
        <v/>
      </c>
      <c r="U719" s="79">
        <f>IF(Q719="Sin Factura",0,IFERROR(_xlfn.XLOOKUP(1, (Facturas_Odoo!$D:$D=A719) * (Facturas_Odoo!$K:$K=I719), Facturas_Odoo!$N:$N, 0), 0))</f>
        <v/>
      </c>
      <c r="V719" s="79">
        <f>IF(Q719="Sin Factura",0,IFERROR(_xlfn.XLOOKUP(1, (Facturas_Odoo!$D:$D=A719) * (Facturas_Odoo!$K:$K=I719), Facturas_Odoo!$O:$O, 0), 0))</f>
        <v/>
      </c>
      <c r="W719" s="81">
        <f>IF(Q719="Sin Factura",0,IFERROR(_xlfn.XLOOKUP(1, (Facturas_Odoo!$D:$D=A719) * (Facturas_Odoo!$K:$K=I719), Facturas_Odoo!$Q:$Q, 0), 0))</f>
        <v/>
      </c>
      <c r="X719" s="79">
        <f>IF(OR(Q719="Sin Factura",Q719=""),"",IFERROR(INDEX(Pagos_Odoo!$B:$B, MATCH(Q719, Pagos_Odoo!$I:$I, 0)), "Sin Pago"))</f>
        <v/>
      </c>
      <c r="Y719" s="79">
        <f>IF(X719="Sin Pago","",IFERROR(INDEX(Pagos_Odoo!$C:$C, MATCH(X719, Pagos_Odoo!$B:$B, 0)), ""))</f>
        <v/>
      </c>
      <c r="Z719" s="80">
        <f>IF(X719="Sin Pago","",IFERROR(INDEX(Pagos_Odoo!$A:$A, MATCH(X719, Pagos_Odoo!$B:$B, 0)), ""))</f>
        <v/>
      </c>
      <c r="AA719" s="79">
        <f>IF(X719="Sin Pago","",IFERROR(INDEX(Pagos_Odoo!$F:$F, MATCH(X719, Pagos_Odoo!$B:$B, 0)), ""))</f>
        <v/>
      </c>
      <c r="AB719" s="81">
        <f>IF(X719="Sin Pago",0,IFERROR(INDEX(Pagos_Odoo!$E:$E, MATCH(X719, Pagos_Odoo!$B:$B, 0)), 0))</f>
        <v/>
      </c>
      <c r="AC719" s="79">
        <f>IF(X719="Sin Pago","",IFERROR(INDEX(Pagos_Odoo!$G:$G, MATCH(X719, Pagos_Odoo!$B:$B, 0)), ""))</f>
        <v/>
      </c>
      <c r="AD719" s="82" t="n">
        <v>0</v>
      </c>
      <c r="AE719" s="82" t="n"/>
      <c r="AF719" s="82" t="n"/>
      <c r="AG719" s="82">
        <f>IF(AN719="","",AD719+AE719+AF719)</f>
        <v/>
      </c>
      <c r="AH719" s="81">
        <f>IF(AN719="","",P719*(1-AG719))</f>
        <v/>
      </c>
      <c r="AI719" s="81">
        <f>IF(AN719="","",IF(Q719="Sin Factura",0,IFERROR(INDEX(Facturas_Odoo!$H:$H, MATCH(Q719, Facturas_Odoo!$B:$B, 0)), 0)*(1-AG719)))</f>
        <v/>
      </c>
      <c r="AJ719" s="81">
        <f>IF(AN719="","",_xlfn.LET(idVenta, AN719&amp;"",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19" s="81">
        <f>IF(AN719="","",AH719-AJ719)</f>
        <v/>
      </c>
      <c r="AL719" s="81">
        <f>IF(AN719="","",IF(Q719="Sin Factura","",AI719-AJ719))</f>
        <v/>
      </c>
      <c r="AM719" s="81">
        <f>IF(AN719="","",IF(Q719="Sin Factura",0,P719-IFERROR(INDEX(Facturas_Odoo!$H:$H, MATCH(Q719, Facturas_Odoo!$B:$B, 0)), 0)))</f>
        <v/>
      </c>
      <c r="AN719" s="79">
        <f>IF(AND(A719="", J719=""), "", IF(A719&lt;&gt;"", VALUE(MID(A719,2,LEN(A719))), AN718))</f>
        <v/>
      </c>
      <c r="AO719" s="79">
        <f>IF(AN719="","",IF(AD719=0,"OK",_xlfn.LET(monedaPago, IF(AA719="","USD",AA719), limitePermitido, IFERROR(VLOOKUP(monedaPago, Configuración!$A$2:$B$3, 2, FALSE), 0.15), IF(AD719&gt;limitePermitido, "ALERTA: EXCESO (" &amp; TEXT(limitePermitido, "0%") &amp; " máx)", "OK"))))</f>
        <v/>
      </c>
      <c r="AP719" s="79">
        <f>IF(AN719="","",IF(AE719=0,"OK",_xlfn.LET(fechaPago, Z719, fechaFactura, R719, diasCredito, IF(E719="Pago inmediato", 0, IFERROR(VALUE(MID(E719, 1, SEARCH(" ", E719)-1)),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19" s="79">
        <f>IF(AN719="","",IF(AND(N719&gt;0, AG719&gt;0), IF(Configuración!$K$2="NO", "ALERTA: DESCUENTO DOBLE NO PERMITIDO", "OK"), "OK"))</f>
        <v/>
      </c>
      <c r="AR719" s="79">
        <f>IF(AN719="","",IF(OR(AO719&lt;&gt;"OK", AP719&lt;&gt;"OK", AQ719&lt;&gt;"OK"), "⚠️ REVISAR", "OK"))</f>
        <v/>
      </c>
    </row>
    <row r="720">
      <c r="A720" s="79">
        <f>IF('Ordenes_Odoo'!A720="","",'Ordenes_Odoo'!A720)</f>
        <v/>
      </c>
      <c r="B720" s="80">
        <f>IF('Ordenes_Odoo'!B720="","",'Ordenes_Odoo'!B720)</f>
        <v/>
      </c>
      <c r="C720" s="79">
        <f>IF('Ordenes_Odoo'!C720="","",'Ordenes_Odoo'!C720)</f>
        <v/>
      </c>
      <c r="D720" s="79">
        <f>IF('Ordenes_Odoo'!D720="","",'Ordenes_Odoo'!D720)</f>
        <v/>
      </c>
      <c r="E720" s="79">
        <f>IF('Ordenes_Odoo'!E720="","",'Ordenes_Odoo'!E720)</f>
        <v/>
      </c>
      <c r="F720" s="79">
        <f>IF('Ordenes_Odoo'!F720="","",'Ordenes_Odoo'!F720)</f>
        <v/>
      </c>
      <c r="G720" s="79">
        <f>IF('Ordenes_Odoo'!G720="","",'Ordenes_Odoo'!G720)</f>
        <v/>
      </c>
      <c r="H720" s="79">
        <f>IF('Ordenes_Odoo'!H720="","",'Ordenes_Odoo'!H720)</f>
        <v/>
      </c>
      <c r="I720" s="79">
        <f>IF('Ordenes_Odoo'!I720="","",'Ordenes_Odoo'!I720)</f>
        <v/>
      </c>
      <c r="J720" s="79">
        <f>IF('Ordenes_Odoo'!J720="","",'Ordenes_Odoo'!J720)</f>
        <v/>
      </c>
      <c r="K720" s="81">
        <f>IF('Ordenes_Odoo'!K720="","",'Ordenes_Odoo'!K720)</f>
        <v/>
      </c>
      <c r="L720" s="81">
        <f>IF('Ordenes_Odoo'!L720="","",'Ordenes_Odoo'!L720)</f>
        <v/>
      </c>
      <c r="M720" s="79">
        <f>IF('Ordenes_Odoo'!M720="","",'Ordenes_Odoo'!M720)</f>
        <v/>
      </c>
      <c r="N720" s="79">
        <f>IF('Ordenes_Odoo'!N720="","",'Ordenes_Odoo'!N720)</f>
        <v/>
      </c>
      <c r="O720" s="81">
        <f>IF('Ordenes_Odoo'!O720="","",'Ordenes_Odoo'!O720)</f>
        <v/>
      </c>
      <c r="P720" s="81">
        <f>IF('Ordenes_Odoo'!P720="","",'Ordenes_Odoo'!P720)</f>
        <v/>
      </c>
      <c r="Q720" s="79">
        <f>IF(A720="","",IFERROR(INDEX(Facturas_Odoo!$B:$B, MATCH(A720, Facturas_Odoo!$D:$D, 0)), "Sin Factura"))</f>
        <v/>
      </c>
      <c r="R720" s="80">
        <f>IF(Q720="Sin Factura","",IFERROR(INDEX(Facturas_Odoo!$A:$A, MATCH(Q720, Facturas_Odoo!$B:$B, 0)), ""))</f>
        <v/>
      </c>
      <c r="S720" s="79">
        <f>IF(Q720="Sin Factura","",IFERROR(_xlfn.XLOOKUP(1, (Facturas_Odoo!$D:$D=A720) * (Facturas_Odoo!$K:$K=I720), Facturas_Odoo!$L:$L, ""), ""))</f>
        <v/>
      </c>
      <c r="T720" s="81">
        <f>IF(Q720="Sin Factura",0,IFERROR(_xlfn.XLOOKUP(1, (Facturas_Odoo!$D:$D=A720) * (Facturas_Odoo!$K:$K=I720), Facturas_Odoo!$M:$M, 0), 0))</f>
        <v/>
      </c>
      <c r="U720" s="79">
        <f>IF(Q720="Sin Factura",0,IFERROR(_xlfn.XLOOKUP(1, (Facturas_Odoo!$D:$D=A720) * (Facturas_Odoo!$K:$K=I720), Facturas_Odoo!$N:$N, 0), 0))</f>
        <v/>
      </c>
      <c r="V720" s="79">
        <f>IF(Q720="Sin Factura",0,IFERROR(_xlfn.XLOOKUP(1, (Facturas_Odoo!$D:$D=A720) * (Facturas_Odoo!$K:$K=I720), Facturas_Odoo!$O:$O, 0), 0))</f>
        <v/>
      </c>
      <c r="W720" s="81">
        <f>IF(Q720="Sin Factura",0,IFERROR(_xlfn.XLOOKUP(1, (Facturas_Odoo!$D:$D=A720) * (Facturas_Odoo!$K:$K=I720), Facturas_Odoo!$Q:$Q, 0), 0))</f>
        <v/>
      </c>
      <c r="X720" s="79">
        <f>IF(OR(Q720="Sin Factura",Q720=""),"",IFERROR(INDEX(Pagos_Odoo!$B:$B, MATCH(Q720, Pagos_Odoo!$I:$I, 0)), "Sin Pago"))</f>
        <v/>
      </c>
      <c r="Y720" s="79">
        <f>IF(X720="Sin Pago","",IFERROR(INDEX(Pagos_Odoo!$C:$C, MATCH(X720, Pagos_Odoo!$B:$B, 0)), ""))</f>
        <v/>
      </c>
      <c r="Z720" s="80">
        <f>IF(X720="Sin Pago","",IFERROR(INDEX(Pagos_Odoo!$A:$A, MATCH(X720, Pagos_Odoo!$B:$B, 0)), ""))</f>
        <v/>
      </c>
      <c r="AA720" s="79">
        <f>IF(X720="Sin Pago","",IFERROR(INDEX(Pagos_Odoo!$F:$F, MATCH(X720, Pagos_Odoo!$B:$B, 0)), ""))</f>
        <v/>
      </c>
      <c r="AB720" s="81">
        <f>IF(X720="Sin Pago",0,IFERROR(INDEX(Pagos_Odoo!$E:$E, MATCH(X720, Pagos_Odoo!$B:$B, 0)), 0))</f>
        <v/>
      </c>
      <c r="AC720" s="79">
        <f>IF(X720="Sin Pago","",IFERROR(INDEX(Pagos_Odoo!$G:$G, MATCH(X720, Pagos_Odoo!$B:$B, 0)), ""))</f>
        <v/>
      </c>
      <c r="AD720" s="82" t="n">
        <v>0</v>
      </c>
      <c r="AE720" s="82" t="n"/>
      <c r="AF720" s="82" t="n"/>
      <c r="AG720" s="82">
        <f>IF(AN720="","",AD720+AE720+AF720)</f>
        <v/>
      </c>
      <c r="AH720" s="81">
        <f>IF(AN720="","",P720*(1-AG720))</f>
        <v/>
      </c>
      <c r="AI720" s="81">
        <f>IF(AN720="","",IF(Q720="Sin Factura",0,IFERROR(INDEX(Facturas_Odoo!$H:$H, MATCH(Q720, Facturas_Odoo!$B:$B, 0)), 0)*(1-AG720)))</f>
        <v/>
      </c>
      <c r="AJ720" s="81">
        <f>IF(AN720="","",_xlfn.LET(idVenta, AN720&amp;"",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20" s="81">
        <f>IF(AN720="","",AH720-AJ720)</f>
        <v/>
      </c>
      <c r="AL720" s="81">
        <f>IF(AN720="","",IF(Q720="Sin Factura","",AI720-AJ720))</f>
        <v/>
      </c>
      <c r="AM720" s="81">
        <f>IF(AN720="","",IF(Q720="Sin Factura",0,P720-IFERROR(INDEX(Facturas_Odoo!$H:$H, MATCH(Q720, Facturas_Odoo!$B:$B, 0)), 0)))</f>
        <v/>
      </c>
      <c r="AN720" s="79">
        <f>IF(AND(A720="", J720=""), "", IF(A720&lt;&gt;"", VALUE(MID(A720,2,LEN(A720))), AN719))</f>
        <v/>
      </c>
      <c r="AO720" s="79">
        <f>IF(AN720="","",IF(AD720=0,"OK",_xlfn.LET(monedaPago, IF(AA720="","USD",AA720), limitePermitido, IFERROR(VLOOKUP(monedaPago, Configuración!$A$2:$B$3, 2, FALSE), 0.15), IF(AD720&gt;limitePermitido, "ALERTA: EXCESO (" &amp; TEXT(limitePermitido, "0%") &amp; " máx)", "OK"))))</f>
        <v/>
      </c>
      <c r="AP720" s="79">
        <f>IF(AN720="","",IF(AE720=0,"OK",_xlfn.LET(fechaPago, Z720, fechaFactura, R720, diasCredito, IF(E720="Pago inmediato", 0, IFERROR(VALUE(MID(E720, 1, SEARCH(" ", E720)-1)),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20" s="79">
        <f>IF(AN720="","",IF(AND(N720&gt;0, AG720&gt;0), IF(Configuración!$K$2="NO", "ALERTA: DESCUENTO DOBLE NO PERMITIDO", "OK"), "OK"))</f>
        <v/>
      </c>
      <c r="AR720" s="79">
        <f>IF(AN720="","",IF(OR(AO720&lt;&gt;"OK", AP720&lt;&gt;"OK", AQ720&lt;&gt;"OK"), "⚠️ REVISAR", "OK"))</f>
        <v/>
      </c>
    </row>
    <row r="721">
      <c r="A721" s="79">
        <f>IF('Ordenes_Odoo'!A721="","",'Ordenes_Odoo'!A721)</f>
        <v/>
      </c>
      <c r="B721" s="80">
        <f>IF('Ordenes_Odoo'!B721="","",'Ordenes_Odoo'!B721)</f>
        <v/>
      </c>
      <c r="C721" s="79">
        <f>IF('Ordenes_Odoo'!C721="","",'Ordenes_Odoo'!C721)</f>
        <v/>
      </c>
      <c r="D721" s="79">
        <f>IF('Ordenes_Odoo'!D721="","",'Ordenes_Odoo'!D721)</f>
        <v/>
      </c>
      <c r="E721" s="79">
        <f>IF('Ordenes_Odoo'!E721="","",'Ordenes_Odoo'!E721)</f>
        <v/>
      </c>
      <c r="F721" s="79">
        <f>IF('Ordenes_Odoo'!F721="","",'Ordenes_Odoo'!F721)</f>
        <v/>
      </c>
      <c r="G721" s="79">
        <f>IF('Ordenes_Odoo'!G721="","",'Ordenes_Odoo'!G721)</f>
        <v/>
      </c>
      <c r="H721" s="79">
        <f>IF('Ordenes_Odoo'!H721="","",'Ordenes_Odoo'!H721)</f>
        <v/>
      </c>
      <c r="I721" s="79">
        <f>IF('Ordenes_Odoo'!I721="","",'Ordenes_Odoo'!I721)</f>
        <v/>
      </c>
      <c r="J721" s="79">
        <f>IF('Ordenes_Odoo'!J721="","",'Ordenes_Odoo'!J721)</f>
        <v/>
      </c>
      <c r="K721" s="81">
        <f>IF('Ordenes_Odoo'!K721="","",'Ordenes_Odoo'!K721)</f>
        <v/>
      </c>
      <c r="L721" s="81">
        <f>IF('Ordenes_Odoo'!L721="","",'Ordenes_Odoo'!L721)</f>
        <v/>
      </c>
      <c r="M721" s="79">
        <f>IF('Ordenes_Odoo'!M721="","",'Ordenes_Odoo'!M721)</f>
        <v/>
      </c>
      <c r="N721" s="79">
        <f>IF('Ordenes_Odoo'!N721="","",'Ordenes_Odoo'!N721)</f>
        <v/>
      </c>
      <c r="O721" s="81">
        <f>IF('Ordenes_Odoo'!O721="","",'Ordenes_Odoo'!O721)</f>
        <v/>
      </c>
      <c r="P721" s="81">
        <f>IF('Ordenes_Odoo'!P721="","",'Ordenes_Odoo'!P721)</f>
        <v/>
      </c>
      <c r="Q721" s="79">
        <f>IF(A721="","",IFERROR(INDEX(Facturas_Odoo!$B:$B, MATCH(A721, Facturas_Odoo!$D:$D, 0)), "Sin Factura"))</f>
        <v/>
      </c>
      <c r="R721" s="80">
        <f>IF(Q721="Sin Factura","",IFERROR(INDEX(Facturas_Odoo!$A:$A, MATCH(Q721, Facturas_Odoo!$B:$B, 0)), ""))</f>
        <v/>
      </c>
      <c r="S721" s="79">
        <f>IF(Q721="Sin Factura","",IFERROR(_xlfn.XLOOKUP(1, (Facturas_Odoo!$D:$D=A721) * (Facturas_Odoo!$K:$K=I721), Facturas_Odoo!$L:$L, ""), ""))</f>
        <v/>
      </c>
      <c r="T721" s="81">
        <f>IF(Q721="Sin Factura",0,IFERROR(_xlfn.XLOOKUP(1, (Facturas_Odoo!$D:$D=A721) * (Facturas_Odoo!$K:$K=I721), Facturas_Odoo!$M:$M, 0), 0))</f>
        <v/>
      </c>
      <c r="U721" s="79">
        <f>IF(Q721="Sin Factura",0,IFERROR(_xlfn.XLOOKUP(1, (Facturas_Odoo!$D:$D=A721) * (Facturas_Odoo!$K:$K=I721), Facturas_Odoo!$N:$N, 0), 0))</f>
        <v/>
      </c>
      <c r="V721" s="79">
        <f>IF(Q721="Sin Factura",0,IFERROR(_xlfn.XLOOKUP(1, (Facturas_Odoo!$D:$D=A721) * (Facturas_Odoo!$K:$K=I721), Facturas_Odoo!$O:$O, 0), 0))</f>
        <v/>
      </c>
      <c r="W721" s="81">
        <f>IF(Q721="Sin Factura",0,IFERROR(_xlfn.XLOOKUP(1, (Facturas_Odoo!$D:$D=A721) * (Facturas_Odoo!$K:$K=I721), Facturas_Odoo!$Q:$Q, 0), 0))</f>
        <v/>
      </c>
      <c r="X721" s="79">
        <f>IF(OR(Q721="Sin Factura",Q721=""),"",IFERROR(INDEX(Pagos_Odoo!$B:$B, MATCH(Q721, Pagos_Odoo!$I:$I, 0)), "Sin Pago"))</f>
        <v/>
      </c>
      <c r="Y721" s="79">
        <f>IF(X721="Sin Pago","",IFERROR(INDEX(Pagos_Odoo!$C:$C, MATCH(X721, Pagos_Odoo!$B:$B, 0)), ""))</f>
        <v/>
      </c>
      <c r="Z721" s="80">
        <f>IF(X721="Sin Pago","",IFERROR(INDEX(Pagos_Odoo!$A:$A, MATCH(X721, Pagos_Odoo!$B:$B, 0)), ""))</f>
        <v/>
      </c>
      <c r="AA721" s="79">
        <f>IF(X721="Sin Pago","",IFERROR(INDEX(Pagos_Odoo!$F:$F, MATCH(X721, Pagos_Odoo!$B:$B, 0)), ""))</f>
        <v/>
      </c>
      <c r="AB721" s="81">
        <f>IF(X721="Sin Pago",0,IFERROR(INDEX(Pagos_Odoo!$E:$E, MATCH(X721, Pagos_Odoo!$B:$B, 0)), 0))</f>
        <v/>
      </c>
      <c r="AC721" s="79">
        <f>IF(X721="Sin Pago","",IFERROR(INDEX(Pagos_Odoo!$G:$G, MATCH(X721, Pagos_Odoo!$B:$B, 0)), ""))</f>
        <v/>
      </c>
      <c r="AD721" s="82" t="n">
        <v>0</v>
      </c>
      <c r="AE721" s="82" t="n"/>
      <c r="AF721" s="82" t="n"/>
      <c r="AG721" s="82">
        <f>IF(AN721="","",AD721+AE721+AF721)</f>
        <v/>
      </c>
      <c r="AH721" s="81">
        <f>IF(AN721="","",P721*(1-AG721))</f>
        <v/>
      </c>
      <c r="AI721" s="81">
        <f>IF(AN721="","",IF(Q721="Sin Factura",0,IFERROR(INDEX(Facturas_Odoo!$H:$H, MATCH(Q721, Facturas_Odoo!$B:$B, 0)), 0)*(1-AG721)))</f>
        <v/>
      </c>
      <c r="AJ721" s="81">
        <f>IF(AN721="","",_xlfn.LET(idVenta, AN721&amp;"",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21" s="81">
        <f>IF(AN721="","",AH721-AJ721)</f>
        <v/>
      </c>
      <c r="AL721" s="81">
        <f>IF(AN721="","",IF(Q721="Sin Factura","",AI721-AJ721))</f>
        <v/>
      </c>
      <c r="AM721" s="81">
        <f>IF(AN721="","",IF(Q721="Sin Factura",0,P721-IFERROR(INDEX(Facturas_Odoo!$H:$H, MATCH(Q721, Facturas_Odoo!$B:$B, 0)), 0)))</f>
        <v/>
      </c>
      <c r="AN721" s="79">
        <f>IF(AND(A721="", J721=""), "", IF(A721&lt;&gt;"", VALUE(MID(A721,2,LEN(A721))), AN720))</f>
        <v/>
      </c>
      <c r="AO721" s="79">
        <f>IF(AN721="","",IF(AD721=0,"OK",_xlfn.LET(monedaPago, IF(AA721="","USD",AA721), limitePermitido, IFERROR(VLOOKUP(monedaPago, Configuración!$A$2:$B$3, 2, FALSE), 0.15), IF(AD721&gt;limitePermitido, "ALERTA: EXCESO (" &amp; TEXT(limitePermitido, "0%") &amp; " máx)", "OK"))))</f>
        <v/>
      </c>
      <c r="AP721" s="79">
        <f>IF(AN721="","",IF(AE721=0,"OK",_xlfn.LET(fechaPago, Z721, fechaFactura, R721, diasCredito, IF(E721="Pago inmediato", 0, IFERROR(VALUE(MID(E721, 1, SEARCH(" ", E721)-1)),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21" s="79">
        <f>IF(AN721="","",IF(AND(N721&gt;0, AG721&gt;0), IF(Configuración!$K$2="NO", "ALERTA: DESCUENTO DOBLE NO PERMITIDO", "OK"), "OK"))</f>
        <v/>
      </c>
      <c r="AR721" s="79">
        <f>IF(AN721="","",IF(OR(AO721&lt;&gt;"OK", AP721&lt;&gt;"OK", AQ721&lt;&gt;"OK"), "⚠️ REVISAR", "OK"))</f>
        <v/>
      </c>
    </row>
    <row r="722">
      <c r="A722" s="79">
        <f>IF('Ordenes_Odoo'!A722="","",'Ordenes_Odoo'!A722)</f>
        <v/>
      </c>
      <c r="B722" s="80">
        <f>IF('Ordenes_Odoo'!B722="","",'Ordenes_Odoo'!B722)</f>
        <v/>
      </c>
      <c r="C722" s="79">
        <f>IF('Ordenes_Odoo'!C722="","",'Ordenes_Odoo'!C722)</f>
        <v/>
      </c>
      <c r="D722" s="79">
        <f>IF('Ordenes_Odoo'!D722="","",'Ordenes_Odoo'!D722)</f>
        <v/>
      </c>
      <c r="E722" s="79">
        <f>IF('Ordenes_Odoo'!E722="","",'Ordenes_Odoo'!E722)</f>
        <v/>
      </c>
      <c r="F722" s="79">
        <f>IF('Ordenes_Odoo'!F722="","",'Ordenes_Odoo'!F722)</f>
        <v/>
      </c>
      <c r="G722" s="79">
        <f>IF('Ordenes_Odoo'!G722="","",'Ordenes_Odoo'!G722)</f>
        <v/>
      </c>
      <c r="H722" s="79">
        <f>IF('Ordenes_Odoo'!H722="","",'Ordenes_Odoo'!H722)</f>
        <v/>
      </c>
      <c r="I722" s="79">
        <f>IF('Ordenes_Odoo'!I722="","",'Ordenes_Odoo'!I722)</f>
        <v/>
      </c>
      <c r="J722" s="79">
        <f>IF('Ordenes_Odoo'!J722="","",'Ordenes_Odoo'!J722)</f>
        <v/>
      </c>
      <c r="K722" s="81">
        <f>IF('Ordenes_Odoo'!K722="","",'Ordenes_Odoo'!K722)</f>
        <v/>
      </c>
      <c r="L722" s="81">
        <f>IF('Ordenes_Odoo'!L722="","",'Ordenes_Odoo'!L722)</f>
        <v/>
      </c>
      <c r="M722" s="79">
        <f>IF('Ordenes_Odoo'!M722="","",'Ordenes_Odoo'!M722)</f>
        <v/>
      </c>
      <c r="N722" s="79">
        <f>IF('Ordenes_Odoo'!N722="","",'Ordenes_Odoo'!N722)</f>
        <v/>
      </c>
      <c r="O722" s="81">
        <f>IF('Ordenes_Odoo'!O722="","",'Ordenes_Odoo'!O722)</f>
        <v/>
      </c>
      <c r="P722" s="81">
        <f>IF('Ordenes_Odoo'!P722="","",'Ordenes_Odoo'!P722)</f>
        <v/>
      </c>
      <c r="Q722" s="79">
        <f>IF(A722="","",IFERROR(INDEX(Facturas_Odoo!$B:$B, MATCH(A722, Facturas_Odoo!$D:$D, 0)), "Sin Factura"))</f>
        <v/>
      </c>
      <c r="R722" s="80">
        <f>IF(Q722="Sin Factura","",IFERROR(INDEX(Facturas_Odoo!$A:$A, MATCH(Q722, Facturas_Odoo!$B:$B, 0)), ""))</f>
        <v/>
      </c>
      <c r="S722" s="79">
        <f>IF(Q722="Sin Factura","",IFERROR(_xlfn.XLOOKUP(1, (Facturas_Odoo!$D:$D=A722) * (Facturas_Odoo!$K:$K=I722), Facturas_Odoo!$L:$L, ""), ""))</f>
        <v/>
      </c>
      <c r="T722" s="81">
        <f>IF(Q722="Sin Factura",0,IFERROR(_xlfn.XLOOKUP(1, (Facturas_Odoo!$D:$D=A722) * (Facturas_Odoo!$K:$K=I722), Facturas_Odoo!$M:$M, 0), 0))</f>
        <v/>
      </c>
      <c r="U722" s="79">
        <f>IF(Q722="Sin Factura",0,IFERROR(_xlfn.XLOOKUP(1, (Facturas_Odoo!$D:$D=A722) * (Facturas_Odoo!$K:$K=I722), Facturas_Odoo!$N:$N, 0), 0))</f>
        <v/>
      </c>
      <c r="V722" s="79">
        <f>IF(Q722="Sin Factura",0,IFERROR(_xlfn.XLOOKUP(1, (Facturas_Odoo!$D:$D=A722) * (Facturas_Odoo!$K:$K=I722), Facturas_Odoo!$O:$O, 0), 0))</f>
        <v/>
      </c>
      <c r="W722" s="81">
        <f>IF(Q722="Sin Factura",0,IFERROR(_xlfn.XLOOKUP(1, (Facturas_Odoo!$D:$D=A722) * (Facturas_Odoo!$K:$K=I722), Facturas_Odoo!$Q:$Q, 0), 0))</f>
        <v/>
      </c>
      <c r="X722" s="79">
        <f>IF(OR(Q722="Sin Factura",Q722=""),"",IFERROR(INDEX(Pagos_Odoo!$B:$B, MATCH(Q722, Pagos_Odoo!$I:$I, 0)), "Sin Pago"))</f>
        <v/>
      </c>
      <c r="Y722" s="79">
        <f>IF(X722="Sin Pago","",IFERROR(INDEX(Pagos_Odoo!$C:$C, MATCH(X722, Pagos_Odoo!$B:$B, 0)), ""))</f>
        <v/>
      </c>
      <c r="Z722" s="80">
        <f>IF(X722="Sin Pago","",IFERROR(INDEX(Pagos_Odoo!$A:$A, MATCH(X722, Pagos_Odoo!$B:$B, 0)), ""))</f>
        <v/>
      </c>
      <c r="AA722" s="79">
        <f>IF(X722="Sin Pago","",IFERROR(INDEX(Pagos_Odoo!$F:$F, MATCH(X722, Pagos_Odoo!$B:$B, 0)), ""))</f>
        <v/>
      </c>
      <c r="AB722" s="81">
        <f>IF(X722="Sin Pago",0,IFERROR(INDEX(Pagos_Odoo!$E:$E, MATCH(X722, Pagos_Odoo!$B:$B, 0)), 0))</f>
        <v/>
      </c>
      <c r="AC722" s="79">
        <f>IF(X722="Sin Pago","",IFERROR(INDEX(Pagos_Odoo!$G:$G, MATCH(X722, Pagos_Odoo!$B:$B, 0)), ""))</f>
        <v/>
      </c>
      <c r="AD722" s="82" t="n">
        <v>0</v>
      </c>
      <c r="AE722" s="82" t="n"/>
      <c r="AF722" s="82" t="n"/>
      <c r="AG722" s="82">
        <f>IF(AN722="","",AD722+AE722+AF722)</f>
        <v/>
      </c>
      <c r="AH722" s="81">
        <f>IF(AN722="","",P722*(1-AG722))</f>
        <v/>
      </c>
      <c r="AI722" s="81">
        <f>IF(AN722="","",IF(Q722="Sin Factura",0,IFERROR(INDEX(Facturas_Odoo!$H:$H, MATCH(Q722, Facturas_Odoo!$B:$B, 0)), 0)*(1-AG722)))</f>
        <v/>
      </c>
      <c r="AJ722" s="81">
        <f>IF(AN722="","",_xlfn.LET(idVenta, AN722&amp;"",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22" s="81">
        <f>IF(AN722="","",AH722-AJ722)</f>
        <v/>
      </c>
      <c r="AL722" s="81">
        <f>IF(AN722="","",IF(Q722="Sin Factura","",AI722-AJ722))</f>
        <v/>
      </c>
      <c r="AM722" s="81">
        <f>IF(AN722="","",IF(Q722="Sin Factura",0,P722-IFERROR(INDEX(Facturas_Odoo!$H:$H, MATCH(Q722, Facturas_Odoo!$B:$B, 0)), 0)))</f>
        <v/>
      </c>
      <c r="AN722" s="79">
        <f>IF(AND(A722="", J722=""), "", IF(A722&lt;&gt;"", VALUE(MID(A722,2,LEN(A722))), AN721))</f>
        <v/>
      </c>
      <c r="AO722" s="79">
        <f>IF(AN722="","",IF(AD722=0,"OK",_xlfn.LET(monedaPago, IF(AA722="","USD",AA722), limitePermitido, IFERROR(VLOOKUP(monedaPago, Configuración!$A$2:$B$3, 2, FALSE), 0.15), IF(AD722&gt;limitePermitido, "ALERTA: EXCESO (" &amp; TEXT(limitePermitido, "0%") &amp; " máx)", "OK"))))</f>
        <v/>
      </c>
      <c r="AP722" s="79">
        <f>IF(AN722="","",IF(AE722=0,"OK",_xlfn.LET(fechaPago, Z722, fechaFactura, R722, diasCredito, IF(E722="Pago inmediato", 0, IFERROR(VALUE(MID(E722, 1, SEARCH(" ", E722)-1)),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22" s="79">
        <f>IF(AN722="","",IF(AND(N722&gt;0, AG722&gt;0), IF(Configuración!$K$2="NO", "ALERTA: DESCUENTO DOBLE NO PERMITIDO", "OK"), "OK"))</f>
        <v/>
      </c>
      <c r="AR722" s="79">
        <f>IF(AN722="","",IF(OR(AO722&lt;&gt;"OK", AP722&lt;&gt;"OK", AQ722&lt;&gt;"OK"), "⚠️ REVISAR", "OK"))</f>
        <v/>
      </c>
    </row>
    <row r="723">
      <c r="A723" s="79">
        <f>IF('Ordenes_Odoo'!A723="","",'Ordenes_Odoo'!A723)</f>
        <v/>
      </c>
      <c r="B723" s="80">
        <f>IF('Ordenes_Odoo'!B723="","",'Ordenes_Odoo'!B723)</f>
        <v/>
      </c>
      <c r="C723" s="79">
        <f>IF('Ordenes_Odoo'!C723="","",'Ordenes_Odoo'!C723)</f>
        <v/>
      </c>
      <c r="D723" s="79">
        <f>IF('Ordenes_Odoo'!D723="","",'Ordenes_Odoo'!D723)</f>
        <v/>
      </c>
      <c r="E723" s="79">
        <f>IF('Ordenes_Odoo'!E723="","",'Ordenes_Odoo'!E723)</f>
        <v/>
      </c>
      <c r="F723" s="79">
        <f>IF('Ordenes_Odoo'!F723="","",'Ordenes_Odoo'!F723)</f>
        <v/>
      </c>
      <c r="G723" s="79">
        <f>IF('Ordenes_Odoo'!G723="","",'Ordenes_Odoo'!G723)</f>
        <v/>
      </c>
      <c r="H723" s="79">
        <f>IF('Ordenes_Odoo'!H723="","",'Ordenes_Odoo'!H723)</f>
        <v/>
      </c>
      <c r="I723" s="79">
        <f>IF('Ordenes_Odoo'!I723="","",'Ordenes_Odoo'!I723)</f>
        <v/>
      </c>
      <c r="J723" s="79">
        <f>IF('Ordenes_Odoo'!J723="","",'Ordenes_Odoo'!J723)</f>
        <v/>
      </c>
      <c r="K723" s="81">
        <f>IF('Ordenes_Odoo'!K723="","",'Ordenes_Odoo'!K723)</f>
        <v/>
      </c>
      <c r="L723" s="81">
        <f>IF('Ordenes_Odoo'!L723="","",'Ordenes_Odoo'!L723)</f>
        <v/>
      </c>
      <c r="M723" s="79">
        <f>IF('Ordenes_Odoo'!M723="","",'Ordenes_Odoo'!M723)</f>
        <v/>
      </c>
      <c r="N723" s="79">
        <f>IF('Ordenes_Odoo'!N723="","",'Ordenes_Odoo'!N723)</f>
        <v/>
      </c>
      <c r="O723" s="81">
        <f>IF('Ordenes_Odoo'!O723="","",'Ordenes_Odoo'!O723)</f>
        <v/>
      </c>
      <c r="P723" s="81">
        <f>IF('Ordenes_Odoo'!P723="","",'Ordenes_Odoo'!P723)</f>
        <v/>
      </c>
      <c r="Q723" s="79">
        <f>IF(A723="","",IFERROR(INDEX(Facturas_Odoo!$B:$B, MATCH(A723, Facturas_Odoo!$D:$D, 0)), "Sin Factura"))</f>
        <v/>
      </c>
      <c r="R723" s="80">
        <f>IF(Q723="Sin Factura","",IFERROR(INDEX(Facturas_Odoo!$A:$A, MATCH(Q723, Facturas_Odoo!$B:$B, 0)), ""))</f>
        <v/>
      </c>
      <c r="S723" s="79">
        <f>IF(Q723="Sin Factura","",IFERROR(_xlfn.XLOOKUP(1, (Facturas_Odoo!$D:$D=A723) * (Facturas_Odoo!$K:$K=I723), Facturas_Odoo!$L:$L, ""), ""))</f>
        <v/>
      </c>
      <c r="T723" s="81">
        <f>IF(Q723="Sin Factura",0,IFERROR(_xlfn.XLOOKUP(1, (Facturas_Odoo!$D:$D=A723) * (Facturas_Odoo!$K:$K=I723), Facturas_Odoo!$M:$M, 0), 0))</f>
        <v/>
      </c>
      <c r="U723" s="79">
        <f>IF(Q723="Sin Factura",0,IFERROR(_xlfn.XLOOKUP(1, (Facturas_Odoo!$D:$D=A723) * (Facturas_Odoo!$K:$K=I723), Facturas_Odoo!$N:$N, 0), 0))</f>
        <v/>
      </c>
      <c r="V723" s="79">
        <f>IF(Q723="Sin Factura",0,IFERROR(_xlfn.XLOOKUP(1, (Facturas_Odoo!$D:$D=A723) * (Facturas_Odoo!$K:$K=I723), Facturas_Odoo!$O:$O, 0), 0))</f>
        <v/>
      </c>
      <c r="W723" s="81">
        <f>IF(Q723="Sin Factura",0,IFERROR(_xlfn.XLOOKUP(1, (Facturas_Odoo!$D:$D=A723) * (Facturas_Odoo!$K:$K=I723), Facturas_Odoo!$Q:$Q, 0), 0))</f>
        <v/>
      </c>
      <c r="X723" s="79">
        <f>IF(OR(Q723="Sin Factura",Q723=""),"",IFERROR(INDEX(Pagos_Odoo!$B:$B, MATCH(Q723, Pagos_Odoo!$I:$I, 0)), "Sin Pago"))</f>
        <v/>
      </c>
      <c r="Y723" s="79">
        <f>IF(X723="Sin Pago","",IFERROR(INDEX(Pagos_Odoo!$C:$C, MATCH(X723, Pagos_Odoo!$B:$B, 0)), ""))</f>
        <v/>
      </c>
      <c r="Z723" s="80">
        <f>IF(X723="Sin Pago","",IFERROR(INDEX(Pagos_Odoo!$A:$A, MATCH(X723, Pagos_Odoo!$B:$B, 0)), ""))</f>
        <v/>
      </c>
      <c r="AA723" s="79">
        <f>IF(X723="Sin Pago","",IFERROR(INDEX(Pagos_Odoo!$F:$F, MATCH(X723, Pagos_Odoo!$B:$B, 0)), ""))</f>
        <v/>
      </c>
      <c r="AB723" s="81">
        <f>IF(X723="Sin Pago",0,IFERROR(INDEX(Pagos_Odoo!$E:$E, MATCH(X723, Pagos_Odoo!$B:$B, 0)), 0))</f>
        <v/>
      </c>
      <c r="AC723" s="79">
        <f>IF(X723="Sin Pago","",IFERROR(INDEX(Pagos_Odoo!$G:$G, MATCH(X723, Pagos_Odoo!$B:$B, 0)), ""))</f>
        <v/>
      </c>
      <c r="AD723" s="82" t="n">
        <v>0</v>
      </c>
      <c r="AE723" s="82" t="n"/>
      <c r="AF723" s="82" t="n"/>
      <c r="AG723" s="82">
        <f>IF(AN723="","",AD723+AE723+AF723)</f>
        <v/>
      </c>
      <c r="AH723" s="81">
        <f>IF(AN723="","",P723*(1-AG723))</f>
        <v/>
      </c>
      <c r="AI723" s="81">
        <f>IF(AN723="","",IF(Q723="Sin Factura",0,IFERROR(INDEX(Facturas_Odoo!$H:$H, MATCH(Q723, Facturas_Odoo!$B:$B, 0)), 0)*(1-AG723)))</f>
        <v/>
      </c>
      <c r="AJ723" s="81">
        <f>IF(AN723="","",_xlfn.LET(idVenta, AN723&amp;"",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23" s="81">
        <f>IF(AN723="","",AH723-AJ723)</f>
        <v/>
      </c>
      <c r="AL723" s="81">
        <f>IF(AN723="","",IF(Q723="Sin Factura","",AI723-AJ723))</f>
        <v/>
      </c>
      <c r="AM723" s="81">
        <f>IF(AN723="","",IF(Q723="Sin Factura",0,P723-IFERROR(INDEX(Facturas_Odoo!$H:$H, MATCH(Q723, Facturas_Odoo!$B:$B, 0)), 0)))</f>
        <v/>
      </c>
      <c r="AN723" s="79">
        <f>IF(AND(A723="", J723=""), "", IF(A723&lt;&gt;"", VALUE(MID(A723,2,LEN(A723))), AN722))</f>
        <v/>
      </c>
      <c r="AO723" s="79">
        <f>IF(AN723="","",IF(AD723=0,"OK",_xlfn.LET(monedaPago, IF(AA723="","USD",AA723), limitePermitido, IFERROR(VLOOKUP(monedaPago, Configuración!$A$2:$B$3, 2, FALSE), 0.15), IF(AD723&gt;limitePermitido, "ALERTA: EXCESO (" &amp; TEXT(limitePermitido, "0%") &amp; " máx)", "OK"))))</f>
        <v/>
      </c>
      <c r="AP723" s="79">
        <f>IF(AN723="","",IF(AE723=0,"OK",_xlfn.LET(fechaPago, Z723, fechaFactura, R723, diasCredito, IF(E723="Pago inmediato", 0, IFERROR(VALUE(MID(E723, 1, SEARCH(" ", E723)-1)),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23" s="79">
        <f>IF(AN723="","",IF(AND(N723&gt;0, AG723&gt;0), IF(Configuración!$K$2="NO", "ALERTA: DESCUENTO DOBLE NO PERMITIDO", "OK"), "OK"))</f>
        <v/>
      </c>
      <c r="AR723" s="79">
        <f>IF(AN723="","",IF(OR(AO723&lt;&gt;"OK", AP723&lt;&gt;"OK", AQ723&lt;&gt;"OK"), "⚠️ REVISAR", "OK"))</f>
        <v/>
      </c>
    </row>
    <row r="724">
      <c r="A724" s="79">
        <f>IF('Ordenes_Odoo'!A724="","",'Ordenes_Odoo'!A724)</f>
        <v/>
      </c>
      <c r="B724" s="80">
        <f>IF('Ordenes_Odoo'!B724="","",'Ordenes_Odoo'!B724)</f>
        <v/>
      </c>
      <c r="C724" s="79">
        <f>IF('Ordenes_Odoo'!C724="","",'Ordenes_Odoo'!C724)</f>
        <v/>
      </c>
      <c r="D724" s="79">
        <f>IF('Ordenes_Odoo'!D724="","",'Ordenes_Odoo'!D724)</f>
        <v/>
      </c>
      <c r="E724" s="79">
        <f>IF('Ordenes_Odoo'!E724="","",'Ordenes_Odoo'!E724)</f>
        <v/>
      </c>
      <c r="F724" s="79">
        <f>IF('Ordenes_Odoo'!F724="","",'Ordenes_Odoo'!F724)</f>
        <v/>
      </c>
      <c r="G724" s="79">
        <f>IF('Ordenes_Odoo'!G724="","",'Ordenes_Odoo'!G724)</f>
        <v/>
      </c>
      <c r="H724" s="79">
        <f>IF('Ordenes_Odoo'!H724="","",'Ordenes_Odoo'!H724)</f>
        <v/>
      </c>
      <c r="I724" s="79">
        <f>IF('Ordenes_Odoo'!I724="","",'Ordenes_Odoo'!I724)</f>
        <v/>
      </c>
      <c r="J724" s="79">
        <f>IF('Ordenes_Odoo'!J724="","",'Ordenes_Odoo'!J724)</f>
        <v/>
      </c>
      <c r="K724" s="81">
        <f>IF('Ordenes_Odoo'!K724="","",'Ordenes_Odoo'!K724)</f>
        <v/>
      </c>
      <c r="L724" s="81">
        <f>IF('Ordenes_Odoo'!L724="","",'Ordenes_Odoo'!L724)</f>
        <v/>
      </c>
      <c r="M724" s="79">
        <f>IF('Ordenes_Odoo'!M724="","",'Ordenes_Odoo'!M724)</f>
        <v/>
      </c>
      <c r="N724" s="79">
        <f>IF('Ordenes_Odoo'!N724="","",'Ordenes_Odoo'!N724)</f>
        <v/>
      </c>
      <c r="O724" s="81">
        <f>IF('Ordenes_Odoo'!O724="","",'Ordenes_Odoo'!O724)</f>
        <v/>
      </c>
      <c r="P724" s="81">
        <f>IF('Ordenes_Odoo'!P724="","",'Ordenes_Odoo'!P724)</f>
        <v/>
      </c>
      <c r="Q724" s="79">
        <f>IF(A724="","",IFERROR(INDEX(Facturas_Odoo!$B:$B, MATCH(A724, Facturas_Odoo!$D:$D, 0)), "Sin Factura"))</f>
        <v/>
      </c>
      <c r="R724" s="80">
        <f>IF(Q724="Sin Factura","",IFERROR(INDEX(Facturas_Odoo!$A:$A, MATCH(Q724, Facturas_Odoo!$B:$B, 0)), ""))</f>
        <v/>
      </c>
      <c r="S724" s="79">
        <f>IF(Q724="Sin Factura","",IFERROR(_xlfn.XLOOKUP(1, (Facturas_Odoo!$D:$D=A724) * (Facturas_Odoo!$K:$K=I724), Facturas_Odoo!$L:$L, ""), ""))</f>
        <v/>
      </c>
      <c r="T724" s="81">
        <f>IF(Q724="Sin Factura",0,IFERROR(_xlfn.XLOOKUP(1, (Facturas_Odoo!$D:$D=A724) * (Facturas_Odoo!$K:$K=I724), Facturas_Odoo!$M:$M, 0), 0))</f>
        <v/>
      </c>
      <c r="U724" s="79">
        <f>IF(Q724="Sin Factura",0,IFERROR(_xlfn.XLOOKUP(1, (Facturas_Odoo!$D:$D=A724) * (Facturas_Odoo!$K:$K=I724), Facturas_Odoo!$N:$N, 0), 0))</f>
        <v/>
      </c>
      <c r="V724" s="79">
        <f>IF(Q724="Sin Factura",0,IFERROR(_xlfn.XLOOKUP(1, (Facturas_Odoo!$D:$D=A724) * (Facturas_Odoo!$K:$K=I724), Facturas_Odoo!$O:$O, 0), 0))</f>
        <v/>
      </c>
      <c r="W724" s="81">
        <f>IF(Q724="Sin Factura",0,IFERROR(_xlfn.XLOOKUP(1, (Facturas_Odoo!$D:$D=A724) * (Facturas_Odoo!$K:$K=I724), Facturas_Odoo!$Q:$Q, 0), 0))</f>
        <v/>
      </c>
      <c r="X724" s="79">
        <f>IF(OR(Q724="Sin Factura",Q724=""),"",IFERROR(INDEX(Pagos_Odoo!$B:$B, MATCH(Q724, Pagos_Odoo!$I:$I, 0)), "Sin Pago"))</f>
        <v/>
      </c>
      <c r="Y724" s="79">
        <f>IF(X724="Sin Pago","",IFERROR(INDEX(Pagos_Odoo!$C:$C, MATCH(X724, Pagos_Odoo!$B:$B, 0)), ""))</f>
        <v/>
      </c>
      <c r="Z724" s="80">
        <f>IF(X724="Sin Pago","",IFERROR(INDEX(Pagos_Odoo!$A:$A, MATCH(X724, Pagos_Odoo!$B:$B, 0)), ""))</f>
        <v/>
      </c>
      <c r="AA724" s="79">
        <f>IF(X724="Sin Pago","",IFERROR(INDEX(Pagos_Odoo!$F:$F, MATCH(X724, Pagos_Odoo!$B:$B, 0)), ""))</f>
        <v/>
      </c>
      <c r="AB724" s="81">
        <f>IF(X724="Sin Pago",0,IFERROR(INDEX(Pagos_Odoo!$E:$E, MATCH(X724, Pagos_Odoo!$B:$B, 0)), 0))</f>
        <v/>
      </c>
      <c r="AC724" s="79">
        <f>IF(X724="Sin Pago","",IFERROR(INDEX(Pagos_Odoo!$G:$G, MATCH(X724, Pagos_Odoo!$B:$B, 0)), ""))</f>
        <v/>
      </c>
      <c r="AD724" s="82" t="n">
        <v>0</v>
      </c>
      <c r="AE724" s="82" t="n"/>
      <c r="AF724" s="82" t="n"/>
      <c r="AG724" s="82">
        <f>IF(AN724="","",AD724+AE724+AF724)</f>
        <v/>
      </c>
      <c r="AH724" s="81">
        <f>IF(AN724="","",P724*(1-AG724))</f>
        <v/>
      </c>
      <c r="AI724" s="81">
        <f>IF(AN724="","",IF(Q724="Sin Factura",0,IFERROR(INDEX(Facturas_Odoo!$H:$H, MATCH(Q724, Facturas_Odoo!$B:$B, 0)), 0)*(1-AG724)))</f>
        <v/>
      </c>
      <c r="AJ724" s="81">
        <f>IF(AN724="","",_xlfn.LET(idVenta, AN724&amp;"",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24" s="81">
        <f>IF(AN724="","",AH724-AJ724)</f>
        <v/>
      </c>
      <c r="AL724" s="81">
        <f>IF(AN724="","",IF(Q724="Sin Factura","",AI724-AJ724))</f>
        <v/>
      </c>
      <c r="AM724" s="81">
        <f>IF(AN724="","",IF(Q724="Sin Factura",0,P724-IFERROR(INDEX(Facturas_Odoo!$H:$H, MATCH(Q724, Facturas_Odoo!$B:$B, 0)), 0)))</f>
        <v/>
      </c>
      <c r="AN724" s="79">
        <f>IF(AND(A724="", J724=""), "", IF(A724&lt;&gt;"", VALUE(MID(A724,2,LEN(A724))), AN723))</f>
        <v/>
      </c>
      <c r="AO724" s="79">
        <f>IF(AN724="","",IF(AD724=0,"OK",_xlfn.LET(monedaPago, IF(AA724="","USD",AA724), limitePermitido, IFERROR(VLOOKUP(monedaPago, Configuración!$A$2:$B$3, 2, FALSE), 0.15), IF(AD724&gt;limitePermitido, "ALERTA: EXCESO (" &amp; TEXT(limitePermitido, "0%") &amp; " máx)", "OK"))))</f>
        <v/>
      </c>
      <c r="AP724" s="79">
        <f>IF(AN724="","",IF(AE724=0,"OK",_xlfn.LET(fechaPago, Z724, fechaFactura, R724, diasCredito, IF(E724="Pago inmediato", 0, IFERROR(VALUE(MID(E724, 1, SEARCH(" ", E724)-1)),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24" s="79">
        <f>IF(AN724="","",IF(AND(N724&gt;0, AG724&gt;0), IF(Configuración!$K$2="NO", "ALERTA: DESCUENTO DOBLE NO PERMITIDO", "OK"), "OK"))</f>
        <v/>
      </c>
      <c r="AR724" s="79">
        <f>IF(AN724="","",IF(OR(AO724&lt;&gt;"OK", AP724&lt;&gt;"OK", AQ724&lt;&gt;"OK"), "⚠️ REVISAR", "OK"))</f>
        <v/>
      </c>
    </row>
    <row r="725">
      <c r="A725" s="79">
        <f>IF('Ordenes_Odoo'!A725="","",'Ordenes_Odoo'!A725)</f>
        <v/>
      </c>
      <c r="B725" s="80">
        <f>IF('Ordenes_Odoo'!B725="","",'Ordenes_Odoo'!B725)</f>
        <v/>
      </c>
      <c r="C725" s="79">
        <f>IF('Ordenes_Odoo'!C725="","",'Ordenes_Odoo'!C725)</f>
        <v/>
      </c>
      <c r="D725" s="79">
        <f>IF('Ordenes_Odoo'!D725="","",'Ordenes_Odoo'!D725)</f>
        <v/>
      </c>
      <c r="E725" s="79">
        <f>IF('Ordenes_Odoo'!E725="","",'Ordenes_Odoo'!E725)</f>
        <v/>
      </c>
      <c r="F725" s="79">
        <f>IF('Ordenes_Odoo'!F725="","",'Ordenes_Odoo'!F725)</f>
        <v/>
      </c>
      <c r="G725" s="79">
        <f>IF('Ordenes_Odoo'!G725="","",'Ordenes_Odoo'!G725)</f>
        <v/>
      </c>
      <c r="H725" s="79">
        <f>IF('Ordenes_Odoo'!H725="","",'Ordenes_Odoo'!H725)</f>
        <v/>
      </c>
      <c r="I725" s="79">
        <f>IF('Ordenes_Odoo'!I725="","",'Ordenes_Odoo'!I725)</f>
        <v/>
      </c>
      <c r="J725" s="79">
        <f>IF('Ordenes_Odoo'!J725="","",'Ordenes_Odoo'!J725)</f>
        <v/>
      </c>
      <c r="K725" s="81">
        <f>IF('Ordenes_Odoo'!K725="","",'Ordenes_Odoo'!K725)</f>
        <v/>
      </c>
      <c r="L725" s="81">
        <f>IF('Ordenes_Odoo'!L725="","",'Ordenes_Odoo'!L725)</f>
        <v/>
      </c>
      <c r="M725" s="79">
        <f>IF('Ordenes_Odoo'!M725="","",'Ordenes_Odoo'!M725)</f>
        <v/>
      </c>
      <c r="N725" s="79">
        <f>IF('Ordenes_Odoo'!N725="","",'Ordenes_Odoo'!N725)</f>
        <v/>
      </c>
      <c r="O725" s="81">
        <f>IF('Ordenes_Odoo'!O725="","",'Ordenes_Odoo'!O725)</f>
        <v/>
      </c>
      <c r="P725" s="81">
        <f>IF('Ordenes_Odoo'!P725="","",'Ordenes_Odoo'!P725)</f>
        <v/>
      </c>
      <c r="Q725" s="79">
        <f>IF(A725="","",IFERROR(INDEX(Facturas_Odoo!$B:$B, MATCH(A725, Facturas_Odoo!$D:$D, 0)), "Sin Factura"))</f>
        <v/>
      </c>
      <c r="R725" s="80">
        <f>IF(Q725="Sin Factura","",IFERROR(INDEX(Facturas_Odoo!$A:$A, MATCH(Q725, Facturas_Odoo!$B:$B, 0)), ""))</f>
        <v/>
      </c>
      <c r="S725" s="79">
        <f>IF(Q725="Sin Factura","",IFERROR(_xlfn.XLOOKUP(1, (Facturas_Odoo!$D:$D=A725) * (Facturas_Odoo!$K:$K=I725), Facturas_Odoo!$L:$L, ""), ""))</f>
        <v/>
      </c>
      <c r="T725" s="81">
        <f>IF(Q725="Sin Factura",0,IFERROR(_xlfn.XLOOKUP(1, (Facturas_Odoo!$D:$D=A725) * (Facturas_Odoo!$K:$K=I725), Facturas_Odoo!$M:$M, 0), 0))</f>
        <v/>
      </c>
      <c r="U725" s="79">
        <f>IF(Q725="Sin Factura",0,IFERROR(_xlfn.XLOOKUP(1, (Facturas_Odoo!$D:$D=A725) * (Facturas_Odoo!$K:$K=I725), Facturas_Odoo!$N:$N, 0), 0))</f>
        <v/>
      </c>
      <c r="V725" s="79">
        <f>IF(Q725="Sin Factura",0,IFERROR(_xlfn.XLOOKUP(1, (Facturas_Odoo!$D:$D=A725) * (Facturas_Odoo!$K:$K=I725), Facturas_Odoo!$O:$O, 0), 0))</f>
        <v/>
      </c>
      <c r="W725" s="81">
        <f>IF(Q725="Sin Factura",0,IFERROR(_xlfn.XLOOKUP(1, (Facturas_Odoo!$D:$D=A725) * (Facturas_Odoo!$K:$K=I725), Facturas_Odoo!$Q:$Q, 0), 0))</f>
        <v/>
      </c>
      <c r="X725" s="79">
        <f>IF(OR(Q725="Sin Factura",Q725=""),"",IFERROR(INDEX(Pagos_Odoo!$B:$B, MATCH(Q725, Pagos_Odoo!$I:$I, 0)), "Sin Pago"))</f>
        <v/>
      </c>
      <c r="Y725" s="79">
        <f>IF(X725="Sin Pago","",IFERROR(INDEX(Pagos_Odoo!$C:$C, MATCH(X725, Pagos_Odoo!$B:$B, 0)), ""))</f>
        <v/>
      </c>
      <c r="Z725" s="80">
        <f>IF(X725="Sin Pago","",IFERROR(INDEX(Pagos_Odoo!$A:$A, MATCH(X725, Pagos_Odoo!$B:$B, 0)), ""))</f>
        <v/>
      </c>
      <c r="AA725" s="79">
        <f>IF(X725="Sin Pago","",IFERROR(INDEX(Pagos_Odoo!$F:$F, MATCH(X725, Pagos_Odoo!$B:$B, 0)), ""))</f>
        <v/>
      </c>
      <c r="AB725" s="81">
        <f>IF(X725="Sin Pago",0,IFERROR(INDEX(Pagos_Odoo!$E:$E, MATCH(X725, Pagos_Odoo!$B:$B, 0)), 0))</f>
        <v/>
      </c>
      <c r="AC725" s="79">
        <f>IF(X725="Sin Pago","",IFERROR(INDEX(Pagos_Odoo!$G:$G, MATCH(X725, Pagos_Odoo!$B:$B, 0)), ""))</f>
        <v/>
      </c>
      <c r="AD725" s="82" t="n">
        <v>0</v>
      </c>
      <c r="AE725" s="82" t="n"/>
      <c r="AF725" s="82" t="n"/>
      <c r="AG725" s="82">
        <f>IF(AN725="","",AD725+AE725+AF725)</f>
        <v/>
      </c>
      <c r="AH725" s="81">
        <f>IF(AN725="","",P725*(1-AG725))</f>
        <v/>
      </c>
      <c r="AI725" s="81">
        <f>IF(AN725="","",IF(Q725="Sin Factura",0,IFERROR(INDEX(Facturas_Odoo!$H:$H, MATCH(Q725, Facturas_Odoo!$B:$B, 0)), 0)*(1-AG725)))</f>
        <v/>
      </c>
      <c r="AJ725" s="81">
        <f>IF(AN725="","",_xlfn.LET(idVenta, AN725&amp;"",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25" s="81">
        <f>IF(AN725="","",AH725-AJ725)</f>
        <v/>
      </c>
      <c r="AL725" s="81">
        <f>IF(AN725="","",IF(Q725="Sin Factura","",AI725-AJ725))</f>
        <v/>
      </c>
      <c r="AM725" s="81">
        <f>IF(AN725="","",IF(Q725="Sin Factura",0,P725-IFERROR(INDEX(Facturas_Odoo!$H:$H, MATCH(Q725, Facturas_Odoo!$B:$B, 0)), 0)))</f>
        <v/>
      </c>
      <c r="AN725" s="79">
        <f>IF(AND(A725="", J725=""), "", IF(A725&lt;&gt;"", VALUE(MID(A725,2,LEN(A725))), AN724))</f>
        <v/>
      </c>
      <c r="AO725" s="79">
        <f>IF(AN725="","",IF(AD725=0,"OK",_xlfn.LET(monedaPago, IF(AA725="","USD",AA725), limitePermitido, IFERROR(VLOOKUP(monedaPago, Configuración!$A$2:$B$3, 2, FALSE), 0.15), IF(AD725&gt;limitePermitido, "ALERTA: EXCESO (" &amp; TEXT(limitePermitido, "0%") &amp; " máx)", "OK"))))</f>
        <v/>
      </c>
      <c r="AP725" s="79">
        <f>IF(AN725="","",IF(AE725=0,"OK",_xlfn.LET(fechaPago, Z725, fechaFactura, R725, diasCredito, IF(E725="Pago inmediato", 0, IFERROR(VALUE(MID(E725, 1, SEARCH(" ", E725)-1)),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25" s="79">
        <f>IF(AN725="","",IF(AND(N725&gt;0, AG725&gt;0), IF(Configuración!$K$2="NO", "ALERTA: DESCUENTO DOBLE NO PERMITIDO", "OK"), "OK"))</f>
        <v/>
      </c>
      <c r="AR725" s="79">
        <f>IF(AN725="","",IF(OR(AO725&lt;&gt;"OK", AP725&lt;&gt;"OK", AQ725&lt;&gt;"OK"), "⚠️ REVISAR", "OK"))</f>
        <v/>
      </c>
    </row>
    <row r="726">
      <c r="A726" s="79">
        <f>IF('Ordenes_Odoo'!A726="","",'Ordenes_Odoo'!A726)</f>
        <v/>
      </c>
      <c r="B726" s="80">
        <f>IF('Ordenes_Odoo'!B726="","",'Ordenes_Odoo'!B726)</f>
        <v/>
      </c>
      <c r="C726" s="79">
        <f>IF('Ordenes_Odoo'!C726="","",'Ordenes_Odoo'!C726)</f>
        <v/>
      </c>
      <c r="D726" s="79">
        <f>IF('Ordenes_Odoo'!D726="","",'Ordenes_Odoo'!D726)</f>
        <v/>
      </c>
      <c r="E726" s="79">
        <f>IF('Ordenes_Odoo'!E726="","",'Ordenes_Odoo'!E726)</f>
        <v/>
      </c>
      <c r="F726" s="79">
        <f>IF('Ordenes_Odoo'!F726="","",'Ordenes_Odoo'!F726)</f>
        <v/>
      </c>
      <c r="G726" s="79">
        <f>IF('Ordenes_Odoo'!G726="","",'Ordenes_Odoo'!G726)</f>
        <v/>
      </c>
      <c r="H726" s="79">
        <f>IF('Ordenes_Odoo'!H726="","",'Ordenes_Odoo'!H726)</f>
        <v/>
      </c>
      <c r="I726" s="79">
        <f>IF('Ordenes_Odoo'!I726="","",'Ordenes_Odoo'!I726)</f>
        <v/>
      </c>
      <c r="J726" s="79">
        <f>IF('Ordenes_Odoo'!J726="","",'Ordenes_Odoo'!J726)</f>
        <v/>
      </c>
      <c r="K726" s="81">
        <f>IF('Ordenes_Odoo'!K726="","",'Ordenes_Odoo'!K726)</f>
        <v/>
      </c>
      <c r="L726" s="81">
        <f>IF('Ordenes_Odoo'!L726="","",'Ordenes_Odoo'!L726)</f>
        <v/>
      </c>
      <c r="M726" s="79">
        <f>IF('Ordenes_Odoo'!M726="","",'Ordenes_Odoo'!M726)</f>
        <v/>
      </c>
      <c r="N726" s="79">
        <f>IF('Ordenes_Odoo'!N726="","",'Ordenes_Odoo'!N726)</f>
        <v/>
      </c>
      <c r="O726" s="81">
        <f>IF('Ordenes_Odoo'!O726="","",'Ordenes_Odoo'!O726)</f>
        <v/>
      </c>
      <c r="P726" s="81">
        <f>IF('Ordenes_Odoo'!P726="","",'Ordenes_Odoo'!P726)</f>
        <v/>
      </c>
      <c r="Q726" s="79">
        <f>IF(A726="","",IFERROR(INDEX(Facturas_Odoo!$B:$B, MATCH(A726, Facturas_Odoo!$D:$D, 0)), "Sin Factura"))</f>
        <v/>
      </c>
      <c r="R726" s="80">
        <f>IF(Q726="Sin Factura","",IFERROR(INDEX(Facturas_Odoo!$A:$A, MATCH(Q726, Facturas_Odoo!$B:$B, 0)), ""))</f>
        <v/>
      </c>
      <c r="S726" s="79">
        <f>IF(Q726="Sin Factura","",IFERROR(_xlfn.XLOOKUP(1, (Facturas_Odoo!$D:$D=A726) * (Facturas_Odoo!$K:$K=I726), Facturas_Odoo!$L:$L, ""), ""))</f>
        <v/>
      </c>
      <c r="T726" s="81">
        <f>IF(Q726="Sin Factura",0,IFERROR(_xlfn.XLOOKUP(1, (Facturas_Odoo!$D:$D=A726) * (Facturas_Odoo!$K:$K=I726), Facturas_Odoo!$M:$M, 0), 0))</f>
        <v/>
      </c>
      <c r="U726" s="79">
        <f>IF(Q726="Sin Factura",0,IFERROR(_xlfn.XLOOKUP(1, (Facturas_Odoo!$D:$D=A726) * (Facturas_Odoo!$K:$K=I726), Facturas_Odoo!$N:$N, 0), 0))</f>
        <v/>
      </c>
      <c r="V726" s="79">
        <f>IF(Q726="Sin Factura",0,IFERROR(_xlfn.XLOOKUP(1, (Facturas_Odoo!$D:$D=A726) * (Facturas_Odoo!$K:$K=I726), Facturas_Odoo!$O:$O, 0), 0))</f>
        <v/>
      </c>
      <c r="W726" s="81">
        <f>IF(Q726="Sin Factura",0,IFERROR(_xlfn.XLOOKUP(1, (Facturas_Odoo!$D:$D=A726) * (Facturas_Odoo!$K:$K=I726), Facturas_Odoo!$Q:$Q, 0), 0))</f>
        <v/>
      </c>
      <c r="X726" s="79">
        <f>IF(OR(Q726="Sin Factura",Q726=""),"",IFERROR(INDEX(Pagos_Odoo!$B:$B, MATCH(Q726, Pagos_Odoo!$I:$I, 0)), "Sin Pago"))</f>
        <v/>
      </c>
      <c r="Y726" s="79">
        <f>IF(X726="Sin Pago","",IFERROR(INDEX(Pagos_Odoo!$C:$C, MATCH(X726, Pagos_Odoo!$B:$B, 0)), ""))</f>
        <v/>
      </c>
      <c r="Z726" s="80">
        <f>IF(X726="Sin Pago","",IFERROR(INDEX(Pagos_Odoo!$A:$A, MATCH(X726, Pagos_Odoo!$B:$B, 0)), ""))</f>
        <v/>
      </c>
      <c r="AA726" s="79">
        <f>IF(X726="Sin Pago","",IFERROR(INDEX(Pagos_Odoo!$F:$F, MATCH(X726, Pagos_Odoo!$B:$B, 0)), ""))</f>
        <v/>
      </c>
      <c r="AB726" s="81">
        <f>IF(X726="Sin Pago",0,IFERROR(INDEX(Pagos_Odoo!$E:$E, MATCH(X726, Pagos_Odoo!$B:$B, 0)), 0))</f>
        <v/>
      </c>
      <c r="AC726" s="79">
        <f>IF(X726="Sin Pago","",IFERROR(INDEX(Pagos_Odoo!$G:$G, MATCH(X726, Pagos_Odoo!$B:$B, 0)), ""))</f>
        <v/>
      </c>
      <c r="AD726" s="82" t="n">
        <v>0</v>
      </c>
      <c r="AE726" s="82" t="n"/>
      <c r="AF726" s="82" t="n"/>
      <c r="AG726" s="82">
        <f>IF(AN726="","",AD726+AE726+AF726)</f>
        <v/>
      </c>
      <c r="AH726" s="81">
        <f>IF(AN726="","",P726*(1-AG726))</f>
        <v/>
      </c>
      <c r="AI726" s="81">
        <f>IF(AN726="","",IF(Q726="Sin Factura",0,IFERROR(INDEX(Facturas_Odoo!$H:$H, MATCH(Q726, Facturas_Odoo!$B:$B, 0)), 0)*(1-AG726)))</f>
        <v/>
      </c>
      <c r="AJ726" s="81">
        <f>IF(AN726="","",_xlfn.LET(idVenta, AN726&amp;"",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26" s="81">
        <f>IF(AN726="","",AH726-AJ726)</f>
        <v/>
      </c>
      <c r="AL726" s="81">
        <f>IF(AN726="","",IF(Q726="Sin Factura","",AI726-AJ726))</f>
        <v/>
      </c>
      <c r="AM726" s="81">
        <f>IF(AN726="","",IF(Q726="Sin Factura",0,P726-IFERROR(INDEX(Facturas_Odoo!$H:$H, MATCH(Q726, Facturas_Odoo!$B:$B, 0)), 0)))</f>
        <v/>
      </c>
      <c r="AN726" s="79">
        <f>IF(AND(A726="", J726=""), "", IF(A726&lt;&gt;"", VALUE(MID(A726,2,LEN(A726))), AN725))</f>
        <v/>
      </c>
      <c r="AO726" s="79">
        <f>IF(AN726="","",IF(AD726=0,"OK",_xlfn.LET(monedaPago, IF(AA726="","USD",AA726), limitePermitido, IFERROR(VLOOKUP(monedaPago, Configuración!$A$2:$B$3, 2, FALSE), 0.15), IF(AD726&gt;limitePermitido, "ALERTA: EXCESO (" &amp; TEXT(limitePermitido, "0%") &amp; " máx)", "OK"))))</f>
        <v/>
      </c>
      <c r="AP726" s="79">
        <f>IF(AN726="","",IF(AE726=0,"OK",_xlfn.LET(fechaPago, Z726, fechaFactura, R726, diasCredito, IF(E726="Pago inmediato", 0, IFERROR(VALUE(MID(E726, 1, SEARCH(" ", E726)-1)),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26" s="79">
        <f>IF(AN726="","",IF(AND(N726&gt;0, AG726&gt;0), IF(Configuración!$K$2="NO", "ALERTA: DESCUENTO DOBLE NO PERMITIDO", "OK"), "OK"))</f>
        <v/>
      </c>
      <c r="AR726" s="79">
        <f>IF(AN726="","",IF(OR(AO726&lt;&gt;"OK", AP726&lt;&gt;"OK", AQ726&lt;&gt;"OK"), "⚠️ REVISAR", "OK"))</f>
        <v/>
      </c>
    </row>
    <row r="727">
      <c r="A727" s="79">
        <f>IF('Ordenes_Odoo'!A727="","",'Ordenes_Odoo'!A727)</f>
        <v/>
      </c>
      <c r="B727" s="80">
        <f>IF('Ordenes_Odoo'!B727="","",'Ordenes_Odoo'!B727)</f>
        <v/>
      </c>
      <c r="C727" s="79">
        <f>IF('Ordenes_Odoo'!C727="","",'Ordenes_Odoo'!C727)</f>
        <v/>
      </c>
      <c r="D727" s="79">
        <f>IF('Ordenes_Odoo'!D727="","",'Ordenes_Odoo'!D727)</f>
        <v/>
      </c>
      <c r="E727" s="79">
        <f>IF('Ordenes_Odoo'!E727="","",'Ordenes_Odoo'!E727)</f>
        <v/>
      </c>
      <c r="F727" s="79">
        <f>IF('Ordenes_Odoo'!F727="","",'Ordenes_Odoo'!F727)</f>
        <v/>
      </c>
      <c r="G727" s="79">
        <f>IF('Ordenes_Odoo'!G727="","",'Ordenes_Odoo'!G727)</f>
        <v/>
      </c>
      <c r="H727" s="79">
        <f>IF('Ordenes_Odoo'!H727="","",'Ordenes_Odoo'!H727)</f>
        <v/>
      </c>
      <c r="I727" s="79">
        <f>IF('Ordenes_Odoo'!I727="","",'Ordenes_Odoo'!I727)</f>
        <v/>
      </c>
      <c r="J727" s="79">
        <f>IF('Ordenes_Odoo'!J727="","",'Ordenes_Odoo'!J727)</f>
        <v/>
      </c>
      <c r="K727" s="81">
        <f>IF('Ordenes_Odoo'!K727="","",'Ordenes_Odoo'!K727)</f>
        <v/>
      </c>
      <c r="L727" s="81">
        <f>IF('Ordenes_Odoo'!L727="","",'Ordenes_Odoo'!L727)</f>
        <v/>
      </c>
      <c r="M727" s="79">
        <f>IF('Ordenes_Odoo'!M727="","",'Ordenes_Odoo'!M727)</f>
        <v/>
      </c>
      <c r="N727" s="79">
        <f>IF('Ordenes_Odoo'!N727="","",'Ordenes_Odoo'!N727)</f>
        <v/>
      </c>
      <c r="O727" s="81">
        <f>IF('Ordenes_Odoo'!O727="","",'Ordenes_Odoo'!O727)</f>
        <v/>
      </c>
      <c r="P727" s="81">
        <f>IF('Ordenes_Odoo'!P727="","",'Ordenes_Odoo'!P727)</f>
        <v/>
      </c>
      <c r="Q727" s="79">
        <f>IF(A727="","",IFERROR(INDEX(Facturas_Odoo!$B:$B, MATCH(A727, Facturas_Odoo!$D:$D, 0)), "Sin Factura"))</f>
        <v/>
      </c>
      <c r="R727" s="80">
        <f>IF(Q727="Sin Factura","",IFERROR(INDEX(Facturas_Odoo!$A:$A, MATCH(Q727, Facturas_Odoo!$B:$B, 0)), ""))</f>
        <v/>
      </c>
      <c r="S727" s="79">
        <f>IF(Q727="Sin Factura","",IFERROR(_xlfn.XLOOKUP(1, (Facturas_Odoo!$D:$D=A727) * (Facturas_Odoo!$K:$K=I727), Facturas_Odoo!$L:$L, ""), ""))</f>
        <v/>
      </c>
      <c r="T727" s="81">
        <f>IF(Q727="Sin Factura",0,IFERROR(_xlfn.XLOOKUP(1, (Facturas_Odoo!$D:$D=A727) * (Facturas_Odoo!$K:$K=I727), Facturas_Odoo!$M:$M, 0), 0))</f>
        <v/>
      </c>
      <c r="U727" s="79">
        <f>IF(Q727="Sin Factura",0,IFERROR(_xlfn.XLOOKUP(1, (Facturas_Odoo!$D:$D=A727) * (Facturas_Odoo!$K:$K=I727), Facturas_Odoo!$N:$N, 0), 0))</f>
        <v/>
      </c>
      <c r="V727" s="79">
        <f>IF(Q727="Sin Factura",0,IFERROR(_xlfn.XLOOKUP(1, (Facturas_Odoo!$D:$D=A727) * (Facturas_Odoo!$K:$K=I727), Facturas_Odoo!$O:$O, 0), 0))</f>
        <v/>
      </c>
      <c r="W727" s="81">
        <f>IF(Q727="Sin Factura",0,IFERROR(_xlfn.XLOOKUP(1, (Facturas_Odoo!$D:$D=A727) * (Facturas_Odoo!$K:$K=I727), Facturas_Odoo!$Q:$Q, 0), 0))</f>
        <v/>
      </c>
      <c r="X727" s="79">
        <f>IF(OR(Q727="Sin Factura",Q727=""),"",IFERROR(INDEX(Pagos_Odoo!$B:$B, MATCH(Q727, Pagos_Odoo!$I:$I, 0)), "Sin Pago"))</f>
        <v/>
      </c>
      <c r="Y727" s="79">
        <f>IF(X727="Sin Pago","",IFERROR(INDEX(Pagos_Odoo!$C:$C, MATCH(X727, Pagos_Odoo!$B:$B, 0)), ""))</f>
        <v/>
      </c>
      <c r="Z727" s="80">
        <f>IF(X727="Sin Pago","",IFERROR(INDEX(Pagos_Odoo!$A:$A, MATCH(X727, Pagos_Odoo!$B:$B, 0)), ""))</f>
        <v/>
      </c>
      <c r="AA727" s="79">
        <f>IF(X727="Sin Pago","",IFERROR(INDEX(Pagos_Odoo!$F:$F, MATCH(X727, Pagos_Odoo!$B:$B, 0)), ""))</f>
        <v/>
      </c>
      <c r="AB727" s="81">
        <f>IF(X727="Sin Pago",0,IFERROR(INDEX(Pagos_Odoo!$E:$E, MATCH(X727, Pagos_Odoo!$B:$B, 0)), 0))</f>
        <v/>
      </c>
      <c r="AC727" s="79">
        <f>IF(X727="Sin Pago","",IFERROR(INDEX(Pagos_Odoo!$G:$G, MATCH(X727, Pagos_Odoo!$B:$B, 0)), ""))</f>
        <v/>
      </c>
      <c r="AD727" s="82" t="n">
        <v>0</v>
      </c>
      <c r="AE727" s="82" t="n"/>
      <c r="AF727" s="82" t="n"/>
      <c r="AG727" s="82">
        <f>IF(AN727="","",AD727+AE727+AF727)</f>
        <v/>
      </c>
      <c r="AH727" s="81">
        <f>IF(AN727="","",P727*(1-AG727))</f>
        <v/>
      </c>
      <c r="AI727" s="81">
        <f>IF(AN727="","",IF(Q727="Sin Factura",0,IFERROR(INDEX(Facturas_Odoo!$H:$H, MATCH(Q727, Facturas_Odoo!$B:$B, 0)), 0)*(1-AG727)))</f>
        <v/>
      </c>
      <c r="AJ727" s="81">
        <f>IF(AN727="","",_xlfn.LET(idVenta, AN727&amp;"",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27" s="81">
        <f>IF(AN727="","",AH727-AJ727)</f>
        <v/>
      </c>
      <c r="AL727" s="81">
        <f>IF(AN727="","",IF(Q727="Sin Factura","",AI727-AJ727))</f>
        <v/>
      </c>
      <c r="AM727" s="81">
        <f>IF(AN727="","",IF(Q727="Sin Factura",0,P727-IFERROR(INDEX(Facturas_Odoo!$H:$H, MATCH(Q727, Facturas_Odoo!$B:$B, 0)), 0)))</f>
        <v/>
      </c>
      <c r="AN727" s="79">
        <f>IF(AND(A727="", J727=""), "", IF(A727&lt;&gt;"", VALUE(MID(A727,2,LEN(A727))), AN726))</f>
        <v/>
      </c>
      <c r="AO727" s="79">
        <f>IF(AN727="","",IF(AD727=0,"OK",_xlfn.LET(monedaPago, IF(AA727="","USD",AA727), limitePermitido, IFERROR(VLOOKUP(monedaPago, Configuración!$A$2:$B$3, 2, FALSE), 0.15), IF(AD727&gt;limitePermitido, "ALERTA: EXCESO (" &amp; TEXT(limitePermitido, "0%") &amp; " máx)", "OK"))))</f>
        <v/>
      </c>
      <c r="AP727" s="79">
        <f>IF(AN727="","",IF(AE727=0,"OK",_xlfn.LET(fechaPago, Z727, fechaFactura, R727, diasCredito, IF(E727="Pago inmediato", 0, IFERROR(VALUE(MID(E727, 1, SEARCH(" ", E727)-1)),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27" s="79">
        <f>IF(AN727="","",IF(AND(N727&gt;0, AG727&gt;0), IF(Configuración!$K$2="NO", "ALERTA: DESCUENTO DOBLE NO PERMITIDO", "OK"), "OK"))</f>
        <v/>
      </c>
      <c r="AR727" s="79">
        <f>IF(AN727="","",IF(OR(AO727&lt;&gt;"OK", AP727&lt;&gt;"OK", AQ727&lt;&gt;"OK"), "⚠️ REVISAR", "OK"))</f>
        <v/>
      </c>
    </row>
    <row r="728">
      <c r="A728" s="79">
        <f>IF('Ordenes_Odoo'!A728="","",'Ordenes_Odoo'!A728)</f>
        <v/>
      </c>
      <c r="B728" s="80">
        <f>IF('Ordenes_Odoo'!B728="","",'Ordenes_Odoo'!B728)</f>
        <v/>
      </c>
      <c r="C728" s="79">
        <f>IF('Ordenes_Odoo'!C728="","",'Ordenes_Odoo'!C728)</f>
        <v/>
      </c>
      <c r="D728" s="79">
        <f>IF('Ordenes_Odoo'!D728="","",'Ordenes_Odoo'!D728)</f>
        <v/>
      </c>
      <c r="E728" s="79">
        <f>IF('Ordenes_Odoo'!E728="","",'Ordenes_Odoo'!E728)</f>
        <v/>
      </c>
      <c r="F728" s="79">
        <f>IF('Ordenes_Odoo'!F728="","",'Ordenes_Odoo'!F728)</f>
        <v/>
      </c>
      <c r="G728" s="79">
        <f>IF('Ordenes_Odoo'!G728="","",'Ordenes_Odoo'!G728)</f>
        <v/>
      </c>
      <c r="H728" s="79">
        <f>IF('Ordenes_Odoo'!H728="","",'Ordenes_Odoo'!H728)</f>
        <v/>
      </c>
      <c r="I728" s="79">
        <f>IF('Ordenes_Odoo'!I728="","",'Ordenes_Odoo'!I728)</f>
        <v/>
      </c>
      <c r="J728" s="79">
        <f>IF('Ordenes_Odoo'!J728="","",'Ordenes_Odoo'!J728)</f>
        <v/>
      </c>
      <c r="K728" s="81">
        <f>IF('Ordenes_Odoo'!K728="","",'Ordenes_Odoo'!K728)</f>
        <v/>
      </c>
      <c r="L728" s="81">
        <f>IF('Ordenes_Odoo'!L728="","",'Ordenes_Odoo'!L728)</f>
        <v/>
      </c>
      <c r="M728" s="79">
        <f>IF('Ordenes_Odoo'!M728="","",'Ordenes_Odoo'!M728)</f>
        <v/>
      </c>
      <c r="N728" s="79">
        <f>IF('Ordenes_Odoo'!N728="","",'Ordenes_Odoo'!N728)</f>
        <v/>
      </c>
      <c r="O728" s="81">
        <f>IF('Ordenes_Odoo'!O728="","",'Ordenes_Odoo'!O728)</f>
        <v/>
      </c>
      <c r="P728" s="81">
        <f>IF('Ordenes_Odoo'!P728="","",'Ordenes_Odoo'!P728)</f>
        <v/>
      </c>
      <c r="Q728" s="79">
        <f>IF(A728="","",IFERROR(INDEX(Facturas_Odoo!$B:$B, MATCH(A728, Facturas_Odoo!$D:$D, 0)), "Sin Factura"))</f>
        <v/>
      </c>
      <c r="R728" s="80">
        <f>IF(Q728="Sin Factura","",IFERROR(INDEX(Facturas_Odoo!$A:$A, MATCH(Q728, Facturas_Odoo!$B:$B, 0)), ""))</f>
        <v/>
      </c>
      <c r="S728" s="79">
        <f>IF(Q728="Sin Factura","",IFERROR(_xlfn.XLOOKUP(1, (Facturas_Odoo!$D:$D=A728) * (Facturas_Odoo!$K:$K=I728), Facturas_Odoo!$L:$L, ""), ""))</f>
        <v/>
      </c>
      <c r="T728" s="81">
        <f>IF(Q728="Sin Factura",0,IFERROR(_xlfn.XLOOKUP(1, (Facturas_Odoo!$D:$D=A728) * (Facturas_Odoo!$K:$K=I728), Facturas_Odoo!$M:$M, 0), 0))</f>
        <v/>
      </c>
      <c r="U728" s="79">
        <f>IF(Q728="Sin Factura",0,IFERROR(_xlfn.XLOOKUP(1, (Facturas_Odoo!$D:$D=A728) * (Facturas_Odoo!$K:$K=I728), Facturas_Odoo!$N:$N, 0), 0))</f>
        <v/>
      </c>
      <c r="V728" s="79">
        <f>IF(Q728="Sin Factura",0,IFERROR(_xlfn.XLOOKUP(1, (Facturas_Odoo!$D:$D=A728) * (Facturas_Odoo!$K:$K=I728), Facturas_Odoo!$O:$O, 0), 0))</f>
        <v/>
      </c>
      <c r="W728" s="81">
        <f>IF(Q728="Sin Factura",0,IFERROR(_xlfn.XLOOKUP(1, (Facturas_Odoo!$D:$D=A728) * (Facturas_Odoo!$K:$K=I728), Facturas_Odoo!$Q:$Q, 0), 0))</f>
        <v/>
      </c>
      <c r="X728" s="79">
        <f>IF(OR(Q728="Sin Factura",Q728=""),"",IFERROR(INDEX(Pagos_Odoo!$B:$B, MATCH(Q728, Pagos_Odoo!$I:$I, 0)), "Sin Pago"))</f>
        <v/>
      </c>
      <c r="Y728" s="79">
        <f>IF(X728="Sin Pago","",IFERROR(INDEX(Pagos_Odoo!$C:$C, MATCH(X728, Pagos_Odoo!$B:$B, 0)), ""))</f>
        <v/>
      </c>
      <c r="Z728" s="80">
        <f>IF(X728="Sin Pago","",IFERROR(INDEX(Pagos_Odoo!$A:$A, MATCH(X728, Pagos_Odoo!$B:$B, 0)), ""))</f>
        <v/>
      </c>
      <c r="AA728" s="79">
        <f>IF(X728="Sin Pago","",IFERROR(INDEX(Pagos_Odoo!$F:$F, MATCH(X728, Pagos_Odoo!$B:$B, 0)), ""))</f>
        <v/>
      </c>
      <c r="AB728" s="81">
        <f>IF(X728="Sin Pago",0,IFERROR(INDEX(Pagos_Odoo!$E:$E, MATCH(X728, Pagos_Odoo!$B:$B, 0)), 0))</f>
        <v/>
      </c>
      <c r="AC728" s="79">
        <f>IF(X728="Sin Pago","",IFERROR(INDEX(Pagos_Odoo!$G:$G, MATCH(X728, Pagos_Odoo!$B:$B, 0)), ""))</f>
        <v/>
      </c>
      <c r="AD728" s="82" t="n">
        <v>0</v>
      </c>
      <c r="AE728" s="82" t="n"/>
      <c r="AF728" s="82" t="n"/>
      <c r="AG728" s="82">
        <f>IF(AN728="","",AD728+AE728+AF728)</f>
        <v/>
      </c>
      <c r="AH728" s="81">
        <f>IF(AN728="","",P728*(1-AG728))</f>
        <v/>
      </c>
      <c r="AI728" s="81">
        <f>IF(AN728="","",IF(Q728="Sin Factura",0,IFERROR(INDEX(Facturas_Odoo!$H:$H, MATCH(Q728, Facturas_Odoo!$B:$B, 0)), 0)*(1-AG728)))</f>
        <v/>
      </c>
      <c r="AJ728" s="81">
        <f>IF(AN728="","",_xlfn.LET(idVenta, AN728&amp;"",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28" s="81">
        <f>IF(AN728="","",AH728-AJ728)</f>
        <v/>
      </c>
      <c r="AL728" s="81">
        <f>IF(AN728="","",IF(Q728="Sin Factura","",AI728-AJ728))</f>
        <v/>
      </c>
      <c r="AM728" s="81">
        <f>IF(AN728="","",IF(Q728="Sin Factura",0,P728-IFERROR(INDEX(Facturas_Odoo!$H:$H, MATCH(Q728, Facturas_Odoo!$B:$B, 0)), 0)))</f>
        <v/>
      </c>
      <c r="AN728" s="79">
        <f>IF(AND(A728="", J728=""), "", IF(A728&lt;&gt;"", VALUE(MID(A728,2,LEN(A728))), AN727))</f>
        <v/>
      </c>
      <c r="AO728" s="79">
        <f>IF(AN728="","",IF(AD728=0,"OK",_xlfn.LET(monedaPago, IF(AA728="","USD",AA728), limitePermitido, IFERROR(VLOOKUP(monedaPago, Configuración!$A$2:$B$3, 2, FALSE), 0.15), IF(AD728&gt;limitePermitido, "ALERTA: EXCESO (" &amp; TEXT(limitePermitido, "0%") &amp; " máx)", "OK"))))</f>
        <v/>
      </c>
      <c r="AP728" s="79">
        <f>IF(AN728="","",IF(AE728=0,"OK",_xlfn.LET(fechaPago, Z728, fechaFactura, R728, diasCredito, IF(E728="Pago inmediato", 0, IFERROR(VALUE(MID(E728, 1, SEARCH(" ", E728)-1)),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28" s="79">
        <f>IF(AN728="","",IF(AND(N728&gt;0, AG728&gt;0), IF(Configuración!$K$2="NO", "ALERTA: DESCUENTO DOBLE NO PERMITIDO", "OK"), "OK"))</f>
        <v/>
      </c>
      <c r="AR728" s="79">
        <f>IF(AN728="","",IF(OR(AO728&lt;&gt;"OK", AP728&lt;&gt;"OK", AQ728&lt;&gt;"OK"), "⚠️ REVISAR", "OK"))</f>
        <v/>
      </c>
    </row>
    <row r="729">
      <c r="A729" s="79">
        <f>IF('Ordenes_Odoo'!A729="","",'Ordenes_Odoo'!A729)</f>
        <v/>
      </c>
      <c r="B729" s="80">
        <f>IF('Ordenes_Odoo'!B729="","",'Ordenes_Odoo'!B729)</f>
        <v/>
      </c>
      <c r="C729" s="79">
        <f>IF('Ordenes_Odoo'!C729="","",'Ordenes_Odoo'!C729)</f>
        <v/>
      </c>
      <c r="D729" s="79">
        <f>IF('Ordenes_Odoo'!D729="","",'Ordenes_Odoo'!D729)</f>
        <v/>
      </c>
      <c r="E729" s="79">
        <f>IF('Ordenes_Odoo'!E729="","",'Ordenes_Odoo'!E729)</f>
        <v/>
      </c>
      <c r="F729" s="79">
        <f>IF('Ordenes_Odoo'!F729="","",'Ordenes_Odoo'!F729)</f>
        <v/>
      </c>
      <c r="G729" s="79">
        <f>IF('Ordenes_Odoo'!G729="","",'Ordenes_Odoo'!G729)</f>
        <v/>
      </c>
      <c r="H729" s="79">
        <f>IF('Ordenes_Odoo'!H729="","",'Ordenes_Odoo'!H729)</f>
        <v/>
      </c>
      <c r="I729" s="79">
        <f>IF('Ordenes_Odoo'!I729="","",'Ordenes_Odoo'!I729)</f>
        <v/>
      </c>
      <c r="J729" s="79">
        <f>IF('Ordenes_Odoo'!J729="","",'Ordenes_Odoo'!J729)</f>
        <v/>
      </c>
      <c r="K729" s="81">
        <f>IF('Ordenes_Odoo'!K729="","",'Ordenes_Odoo'!K729)</f>
        <v/>
      </c>
      <c r="L729" s="81">
        <f>IF('Ordenes_Odoo'!L729="","",'Ordenes_Odoo'!L729)</f>
        <v/>
      </c>
      <c r="M729" s="79">
        <f>IF('Ordenes_Odoo'!M729="","",'Ordenes_Odoo'!M729)</f>
        <v/>
      </c>
      <c r="N729" s="79">
        <f>IF('Ordenes_Odoo'!N729="","",'Ordenes_Odoo'!N729)</f>
        <v/>
      </c>
      <c r="O729" s="81">
        <f>IF('Ordenes_Odoo'!O729="","",'Ordenes_Odoo'!O729)</f>
        <v/>
      </c>
      <c r="P729" s="81">
        <f>IF('Ordenes_Odoo'!P729="","",'Ordenes_Odoo'!P729)</f>
        <v/>
      </c>
      <c r="Q729" s="79">
        <f>IF(A729="","",IFERROR(INDEX(Facturas_Odoo!$B:$B, MATCH(A729, Facturas_Odoo!$D:$D, 0)), "Sin Factura"))</f>
        <v/>
      </c>
      <c r="R729" s="80">
        <f>IF(Q729="Sin Factura","",IFERROR(INDEX(Facturas_Odoo!$A:$A, MATCH(Q729, Facturas_Odoo!$B:$B, 0)), ""))</f>
        <v/>
      </c>
      <c r="S729" s="79">
        <f>IF(Q729="Sin Factura","",IFERROR(_xlfn.XLOOKUP(1, (Facturas_Odoo!$D:$D=A729) * (Facturas_Odoo!$K:$K=I729), Facturas_Odoo!$L:$L, ""), ""))</f>
        <v/>
      </c>
      <c r="T729" s="81">
        <f>IF(Q729="Sin Factura",0,IFERROR(_xlfn.XLOOKUP(1, (Facturas_Odoo!$D:$D=A729) * (Facturas_Odoo!$K:$K=I729), Facturas_Odoo!$M:$M, 0), 0))</f>
        <v/>
      </c>
      <c r="U729" s="79">
        <f>IF(Q729="Sin Factura",0,IFERROR(_xlfn.XLOOKUP(1, (Facturas_Odoo!$D:$D=A729) * (Facturas_Odoo!$K:$K=I729), Facturas_Odoo!$N:$N, 0), 0))</f>
        <v/>
      </c>
      <c r="V729" s="79">
        <f>IF(Q729="Sin Factura",0,IFERROR(_xlfn.XLOOKUP(1, (Facturas_Odoo!$D:$D=A729) * (Facturas_Odoo!$K:$K=I729), Facturas_Odoo!$O:$O, 0), 0))</f>
        <v/>
      </c>
      <c r="W729" s="81">
        <f>IF(Q729="Sin Factura",0,IFERROR(_xlfn.XLOOKUP(1, (Facturas_Odoo!$D:$D=A729) * (Facturas_Odoo!$K:$K=I729), Facturas_Odoo!$Q:$Q, 0), 0))</f>
        <v/>
      </c>
      <c r="X729" s="79">
        <f>IF(OR(Q729="Sin Factura",Q729=""),"",IFERROR(INDEX(Pagos_Odoo!$B:$B, MATCH(Q729, Pagos_Odoo!$I:$I, 0)), "Sin Pago"))</f>
        <v/>
      </c>
      <c r="Y729" s="79">
        <f>IF(X729="Sin Pago","",IFERROR(INDEX(Pagos_Odoo!$C:$C, MATCH(X729, Pagos_Odoo!$B:$B, 0)), ""))</f>
        <v/>
      </c>
      <c r="Z729" s="80">
        <f>IF(X729="Sin Pago","",IFERROR(INDEX(Pagos_Odoo!$A:$A, MATCH(X729, Pagos_Odoo!$B:$B, 0)), ""))</f>
        <v/>
      </c>
      <c r="AA729" s="79">
        <f>IF(X729="Sin Pago","",IFERROR(INDEX(Pagos_Odoo!$F:$F, MATCH(X729, Pagos_Odoo!$B:$B, 0)), ""))</f>
        <v/>
      </c>
      <c r="AB729" s="81">
        <f>IF(X729="Sin Pago",0,IFERROR(INDEX(Pagos_Odoo!$E:$E, MATCH(X729, Pagos_Odoo!$B:$B, 0)), 0))</f>
        <v/>
      </c>
      <c r="AC729" s="79">
        <f>IF(X729="Sin Pago","",IFERROR(INDEX(Pagos_Odoo!$G:$G, MATCH(X729, Pagos_Odoo!$B:$B, 0)), ""))</f>
        <v/>
      </c>
      <c r="AD729" s="82" t="n">
        <v>0</v>
      </c>
      <c r="AE729" s="82" t="n"/>
      <c r="AF729" s="82" t="n"/>
      <c r="AG729" s="82">
        <f>IF(AN729="","",AD729+AE729+AF729)</f>
        <v/>
      </c>
      <c r="AH729" s="81">
        <f>IF(AN729="","",P729*(1-AG729))</f>
        <v/>
      </c>
      <c r="AI729" s="81">
        <f>IF(AN729="","",IF(Q729="Sin Factura",0,IFERROR(INDEX(Facturas_Odoo!$H:$H, MATCH(Q729, Facturas_Odoo!$B:$B, 0)), 0)*(1-AG729)))</f>
        <v/>
      </c>
      <c r="AJ729" s="81">
        <f>IF(AN729="","",_xlfn.LET(idVenta, AN729&amp;"",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29" s="81">
        <f>IF(AN729="","",AH729-AJ729)</f>
        <v/>
      </c>
      <c r="AL729" s="81">
        <f>IF(AN729="","",IF(Q729="Sin Factura","",AI729-AJ729))</f>
        <v/>
      </c>
      <c r="AM729" s="81">
        <f>IF(AN729="","",IF(Q729="Sin Factura",0,P729-IFERROR(INDEX(Facturas_Odoo!$H:$H, MATCH(Q729, Facturas_Odoo!$B:$B, 0)), 0)))</f>
        <v/>
      </c>
      <c r="AN729" s="79">
        <f>IF(AND(A729="", J729=""), "", IF(A729&lt;&gt;"", VALUE(MID(A729,2,LEN(A729))), AN728))</f>
        <v/>
      </c>
      <c r="AO729" s="79">
        <f>IF(AN729="","",IF(AD729=0,"OK",_xlfn.LET(monedaPago, IF(AA729="","USD",AA729), limitePermitido, IFERROR(VLOOKUP(monedaPago, Configuración!$A$2:$B$3, 2, FALSE), 0.15), IF(AD729&gt;limitePermitido, "ALERTA: EXCESO (" &amp; TEXT(limitePermitido, "0%") &amp; " máx)", "OK"))))</f>
        <v/>
      </c>
      <c r="AP729" s="79">
        <f>IF(AN729="","",IF(AE729=0,"OK",_xlfn.LET(fechaPago, Z729, fechaFactura, R729, diasCredito, IF(E729="Pago inmediato", 0, IFERROR(VALUE(MID(E729, 1, SEARCH(" ", E729)-1)),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29" s="79">
        <f>IF(AN729="","",IF(AND(N729&gt;0, AG729&gt;0), IF(Configuración!$K$2="NO", "ALERTA: DESCUENTO DOBLE NO PERMITIDO", "OK"), "OK"))</f>
        <v/>
      </c>
      <c r="AR729" s="79">
        <f>IF(AN729="","",IF(OR(AO729&lt;&gt;"OK", AP729&lt;&gt;"OK", AQ729&lt;&gt;"OK"), "⚠️ REVISAR", "OK"))</f>
        <v/>
      </c>
    </row>
    <row r="730">
      <c r="A730" s="79">
        <f>IF('Ordenes_Odoo'!A730="","",'Ordenes_Odoo'!A730)</f>
        <v/>
      </c>
      <c r="B730" s="80">
        <f>IF('Ordenes_Odoo'!B730="","",'Ordenes_Odoo'!B730)</f>
        <v/>
      </c>
      <c r="C730" s="79">
        <f>IF('Ordenes_Odoo'!C730="","",'Ordenes_Odoo'!C730)</f>
        <v/>
      </c>
      <c r="D730" s="79">
        <f>IF('Ordenes_Odoo'!D730="","",'Ordenes_Odoo'!D730)</f>
        <v/>
      </c>
      <c r="E730" s="79">
        <f>IF('Ordenes_Odoo'!E730="","",'Ordenes_Odoo'!E730)</f>
        <v/>
      </c>
      <c r="F730" s="79">
        <f>IF('Ordenes_Odoo'!F730="","",'Ordenes_Odoo'!F730)</f>
        <v/>
      </c>
      <c r="G730" s="79">
        <f>IF('Ordenes_Odoo'!G730="","",'Ordenes_Odoo'!G730)</f>
        <v/>
      </c>
      <c r="H730" s="79">
        <f>IF('Ordenes_Odoo'!H730="","",'Ordenes_Odoo'!H730)</f>
        <v/>
      </c>
      <c r="I730" s="79">
        <f>IF('Ordenes_Odoo'!I730="","",'Ordenes_Odoo'!I730)</f>
        <v/>
      </c>
      <c r="J730" s="79">
        <f>IF('Ordenes_Odoo'!J730="","",'Ordenes_Odoo'!J730)</f>
        <v/>
      </c>
      <c r="K730" s="81">
        <f>IF('Ordenes_Odoo'!K730="","",'Ordenes_Odoo'!K730)</f>
        <v/>
      </c>
      <c r="L730" s="81">
        <f>IF('Ordenes_Odoo'!L730="","",'Ordenes_Odoo'!L730)</f>
        <v/>
      </c>
      <c r="M730" s="79">
        <f>IF('Ordenes_Odoo'!M730="","",'Ordenes_Odoo'!M730)</f>
        <v/>
      </c>
      <c r="N730" s="79">
        <f>IF('Ordenes_Odoo'!N730="","",'Ordenes_Odoo'!N730)</f>
        <v/>
      </c>
      <c r="O730" s="81">
        <f>IF('Ordenes_Odoo'!O730="","",'Ordenes_Odoo'!O730)</f>
        <v/>
      </c>
      <c r="P730" s="81">
        <f>IF('Ordenes_Odoo'!P730="","",'Ordenes_Odoo'!P730)</f>
        <v/>
      </c>
      <c r="Q730" s="79">
        <f>IF(A730="","",IFERROR(INDEX(Facturas_Odoo!$B:$B, MATCH(A730, Facturas_Odoo!$D:$D, 0)), "Sin Factura"))</f>
        <v/>
      </c>
      <c r="R730" s="80">
        <f>IF(Q730="Sin Factura","",IFERROR(INDEX(Facturas_Odoo!$A:$A, MATCH(Q730, Facturas_Odoo!$B:$B, 0)), ""))</f>
        <v/>
      </c>
      <c r="S730" s="79">
        <f>IF(Q730="Sin Factura","",IFERROR(_xlfn.XLOOKUP(1, (Facturas_Odoo!$D:$D=A730) * (Facturas_Odoo!$K:$K=I730), Facturas_Odoo!$L:$L, ""), ""))</f>
        <v/>
      </c>
      <c r="T730" s="81">
        <f>IF(Q730="Sin Factura",0,IFERROR(_xlfn.XLOOKUP(1, (Facturas_Odoo!$D:$D=A730) * (Facturas_Odoo!$K:$K=I730), Facturas_Odoo!$M:$M, 0), 0))</f>
        <v/>
      </c>
      <c r="U730" s="79">
        <f>IF(Q730="Sin Factura",0,IFERROR(_xlfn.XLOOKUP(1, (Facturas_Odoo!$D:$D=A730) * (Facturas_Odoo!$K:$K=I730), Facturas_Odoo!$N:$N, 0), 0))</f>
        <v/>
      </c>
      <c r="V730" s="79">
        <f>IF(Q730="Sin Factura",0,IFERROR(_xlfn.XLOOKUP(1, (Facturas_Odoo!$D:$D=A730) * (Facturas_Odoo!$K:$K=I730), Facturas_Odoo!$O:$O, 0), 0))</f>
        <v/>
      </c>
      <c r="W730" s="81">
        <f>IF(Q730="Sin Factura",0,IFERROR(_xlfn.XLOOKUP(1, (Facturas_Odoo!$D:$D=A730) * (Facturas_Odoo!$K:$K=I730), Facturas_Odoo!$Q:$Q, 0), 0))</f>
        <v/>
      </c>
      <c r="X730" s="79">
        <f>IF(OR(Q730="Sin Factura",Q730=""),"",IFERROR(INDEX(Pagos_Odoo!$B:$B, MATCH(Q730, Pagos_Odoo!$I:$I, 0)), "Sin Pago"))</f>
        <v/>
      </c>
      <c r="Y730" s="79">
        <f>IF(X730="Sin Pago","",IFERROR(INDEX(Pagos_Odoo!$C:$C, MATCH(X730, Pagos_Odoo!$B:$B, 0)), ""))</f>
        <v/>
      </c>
      <c r="Z730" s="80">
        <f>IF(X730="Sin Pago","",IFERROR(INDEX(Pagos_Odoo!$A:$A, MATCH(X730, Pagos_Odoo!$B:$B, 0)), ""))</f>
        <v/>
      </c>
      <c r="AA730" s="79">
        <f>IF(X730="Sin Pago","",IFERROR(INDEX(Pagos_Odoo!$F:$F, MATCH(X730, Pagos_Odoo!$B:$B, 0)), ""))</f>
        <v/>
      </c>
      <c r="AB730" s="81">
        <f>IF(X730="Sin Pago",0,IFERROR(INDEX(Pagos_Odoo!$E:$E, MATCH(X730, Pagos_Odoo!$B:$B, 0)), 0))</f>
        <v/>
      </c>
      <c r="AC730" s="79">
        <f>IF(X730="Sin Pago","",IFERROR(INDEX(Pagos_Odoo!$G:$G, MATCH(X730, Pagos_Odoo!$B:$B, 0)), ""))</f>
        <v/>
      </c>
      <c r="AD730" s="82" t="n">
        <v>0</v>
      </c>
      <c r="AE730" s="82" t="n"/>
      <c r="AF730" s="82" t="n"/>
      <c r="AG730" s="82">
        <f>IF(AN730="","",AD730+AE730+AF730)</f>
        <v/>
      </c>
      <c r="AH730" s="81">
        <f>IF(AN730="","",P730*(1-AG730))</f>
        <v/>
      </c>
      <c r="AI730" s="81">
        <f>IF(AN730="","",IF(Q730="Sin Factura",0,IFERROR(INDEX(Facturas_Odoo!$H:$H, MATCH(Q730, Facturas_Odoo!$B:$B, 0)), 0)*(1-AG730)))</f>
        <v/>
      </c>
      <c r="AJ730" s="81">
        <f>IF(AN730="","",_xlfn.LET(idVenta, AN730&amp;"",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30" s="81">
        <f>IF(AN730="","",AH730-AJ730)</f>
        <v/>
      </c>
      <c r="AL730" s="81">
        <f>IF(AN730="","",IF(Q730="Sin Factura","",AI730-AJ730))</f>
        <v/>
      </c>
      <c r="AM730" s="81">
        <f>IF(AN730="","",IF(Q730="Sin Factura",0,P730-IFERROR(INDEX(Facturas_Odoo!$H:$H, MATCH(Q730, Facturas_Odoo!$B:$B, 0)), 0)))</f>
        <v/>
      </c>
      <c r="AN730" s="79">
        <f>IF(AND(A730="", J730=""), "", IF(A730&lt;&gt;"", VALUE(MID(A730,2,LEN(A730))), AN729))</f>
        <v/>
      </c>
      <c r="AO730" s="79">
        <f>IF(AN730="","",IF(AD730=0,"OK",_xlfn.LET(monedaPago, IF(AA730="","USD",AA730), limitePermitido, IFERROR(VLOOKUP(monedaPago, Configuración!$A$2:$B$3, 2, FALSE), 0.15), IF(AD730&gt;limitePermitido, "ALERTA: EXCESO (" &amp; TEXT(limitePermitido, "0%") &amp; " máx)", "OK"))))</f>
        <v/>
      </c>
      <c r="AP730" s="79">
        <f>IF(AN730="","",IF(AE730=0,"OK",_xlfn.LET(fechaPago, Z730, fechaFactura, R730, diasCredito, IF(E730="Pago inmediato", 0, IFERROR(VALUE(MID(E730, 1, SEARCH(" ", E730)-1)),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30" s="79">
        <f>IF(AN730="","",IF(AND(N730&gt;0, AG730&gt;0), IF(Configuración!$K$2="NO", "ALERTA: DESCUENTO DOBLE NO PERMITIDO", "OK"), "OK"))</f>
        <v/>
      </c>
      <c r="AR730" s="79">
        <f>IF(AN730="","",IF(OR(AO730&lt;&gt;"OK", AP730&lt;&gt;"OK", AQ730&lt;&gt;"OK"), "⚠️ REVISAR", "OK"))</f>
        <v/>
      </c>
    </row>
    <row r="731">
      <c r="A731" s="79">
        <f>IF('Ordenes_Odoo'!A731="","",'Ordenes_Odoo'!A731)</f>
        <v/>
      </c>
      <c r="B731" s="80">
        <f>IF('Ordenes_Odoo'!B731="","",'Ordenes_Odoo'!B731)</f>
        <v/>
      </c>
      <c r="C731" s="79">
        <f>IF('Ordenes_Odoo'!C731="","",'Ordenes_Odoo'!C731)</f>
        <v/>
      </c>
      <c r="D731" s="79">
        <f>IF('Ordenes_Odoo'!D731="","",'Ordenes_Odoo'!D731)</f>
        <v/>
      </c>
      <c r="E731" s="79">
        <f>IF('Ordenes_Odoo'!E731="","",'Ordenes_Odoo'!E731)</f>
        <v/>
      </c>
      <c r="F731" s="79">
        <f>IF('Ordenes_Odoo'!F731="","",'Ordenes_Odoo'!F731)</f>
        <v/>
      </c>
      <c r="G731" s="79">
        <f>IF('Ordenes_Odoo'!G731="","",'Ordenes_Odoo'!G731)</f>
        <v/>
      </c>
      <c r="H731" s="79">
        <f>IF('Ordenes_Odoo'!H731="","",'Ordenes_Odoo'!H731)</f>
        <v/>
      </c>
      <c r="I731" s="79">
        <f>IF('Ordenes_Odoo'!I731="","",'Ordenes_Odoo'!I731)</f>
        <v/>
      </c>
      <c r="J731" s="79">
        <f>IF('Ordenes_Odoo'!J731="","",'Ordenes_Odoo'!J731)</f>
        <v/>
      </c>
      <c r="K731" s="81">
        <f>IF('Ordenes_Odoo'!K731="","",'Ordenes_Odoo'!K731)</f>
        <v/>
      </c>
      <c r="L731" s="81">
        <f>IF('Ordenes_Odoo'!L731="","",'Ordenes_Odoo'!L731)</f>
        <v/>
      </c>
      <c r="M731" s="79">
        <f>IF('Ordenes_Odoo'!M731="","",'Ordenes_Odoo'!M731)</f>
        <v/>
      </c>
      <c r="N731" s="79">
        <f>IF('Ordenes_Odoo'!N731="","",'Ordenes_Odoo'!N731)</f>
        <v/>
      </c>
      <c r="O731" s="81">
        <f>IF('Ordenes_Odoo'!O731="","",'Ordenes_Odoo'!O731)</f>
        <v/>
      </c>
      <c r="P731" s="81">
        <f>IF('Ordenes_Odoo'!P731="","",'Ordenes_Odoo'!P731)</f>
        <v/>
      </c>
      <c r="Q731" s="79">
        <f>IF(A731="","",IFERROR(INDEX(Facturas_Odoo!$B:$B, MATCH(A731, Facturas_Odoo!$D:$D, 0)), "Sin Factura"))</f>
        <v/>
      </c>
      <c r="R731" s="80">
        <f>IF(Q731="Sin Factura","",IFERROR(INDEX(Facturas_Odoo!$A:$A, MATCH(Q731, Facturas_Odoo!$B:$B, 0)), ""))</f>
        <v/>
      </c>
      <c r="S731" s="79">
        <f>IF(Q731="Sin Factura","",IFERROR(_xlfn.XLOOKUP(1, (Facturas_Odoo!$D:$D=A731) * (Facturas_Odoo!$K:$K=I731), Facturas_Odoo!$L:$L, ""), ""))</f>
        <v/>
      </c>
      <c r="T731" s="81">
        <f>IF(Q731="Sin Factura",0,IFERROR(_xlfn.XLOOKUP(1, (Facturas_Odoo!$D:$D=A731) * (Facturas_Odoo!$K:$K=I731), Facturas_Odoo!$M:$M, 0), 0))</f>
        <v/>
      </c>
      <c r="U731" s="79">
        <f>IF(Q731="Sin Factura",0,IFERROR(_xlfn.XLOOKUP(1, (Facturas_Odoo!$D:$D=A731) * (Facturas_Odoo!$K:$K=I731), Facturas_Odoo!$N:$N, 0), 0))</f>
        <v/>
      </c>
      <c r="V731" s="79">
        <f>IF(Q731="Sin Factura",0,IFERROR(_xlfn.XLOOKUP(1, (Facturas_Odoo!$D:$D=A731) * (Facturas_Odoo!$K:$K=I731), Facturas_Odoo!$O:$O, 0), 0))</f>
        <v/>
      </c>
      <c r="W731" s="81">
        <f>IF(Q731="Sin Factura",0,IFERROR(_xlfn.XLOOKUP(1, (Facturas_Odoo!$D:$D=A731) * (Facturas_Odoo!$K:$K=I731), Facturas_Odoo!$Q:$Q, 0), 0))</f>
        <v/>
      </c>
      <c r="X731" s="79">
        <f>IF(OR(Q731="Sin Factura",Q731=""),"",IFERROR(INDEX(Pagos_Odoo!$B:$B, MATCH(Q731, Pagos_Odoo!$I:$I, 0)), "Sin Pago"))</f>
        <v/>
      </c>
      <c r="Y731" s="79">
        <f>IF(X731="Sin Pago","",IFERROR(INDEX(Pagos_Odoo!$C:$C, MATCH(X731, Pagos_Odoo!$B:$B, 0)), ""))</f>
        <v/>
      </c>
      <c r="Z731" s="80">
        <f>IF(X731="Sin Pago","",IFERROR(INDEX(Pagos_Odoo!$A:$A, MATCH(X731, Pagos_Odoo!$B:$B, 0)), ""))</f>
        <v/>
      </c>
      <c r="AA731" s="79">
        <f>IF(X731="Sin Pago","",IFERROR(INDEX(Pagos_Odoo!$F:$F, MATCH(X731, Pagos_Odoo!$B:$B, 0)), ""))</f>
        <v/>
      </c>
      <c r="AB731" s="81">
        <f>IF(X731="Sin Pago",0,IFERROR(INDEX(Pagos_Odoo!$E:$E, MATCH(X731, Pagos_Odoo!$B:$B, 0)), 0))</f>
        <v/>
      </c>
      <c r="AC731" s="79">
        <f>IF(X731="Sin Pago","",IFERROR(INDEX(Pagos_Odoo!$G:$G, MATCH(X731, Pagos_Odoo!$B:$B, 0)), ""))</f>
        <v/>
      </c>
      <c r="AD731" s="82" t="n">
        <v>0</v>
      </c>
      <c r="AE731" s="82" t="n"/>
      <c r="AF731" s="82" t="n"/>
      <c r="AG731" s="82">
        <f>IF(AN731="","",AD731+AE731+AF731)</f>
        <v/>
      </c>
      <c r="AH731" s="81">
        <f>IF(AN731="","",P731*(1-AG731))</f>
        <v/>
      </c>
      <c r="AI731" s="81">
        <f>IF(AN731="","",IF(Q731="Sin Factura",0,IFERROR(INDEX(Facturas_Odoo!$H:$H, MATCH(Q731, Facturas_Odoo!$B:$B, 0)), 0)*(1-AG731)))</f>
        <v/>
      </c>
      <c r="AJ731" s="81">
        <f>IF(AN731="","",_xlfn.LET(idVenta, AN731&amp;"",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31" s="81">
        <f>IF(AN731="","",AH731-AJ731)</f>
        <v/>
      </c>
      <c r="AL731" s="81">
        <f>IF(AN731="","",IF(Q731="Sin Factura","",AI731-AJ731))</f>
        <v/>
      </c>
      <c r="AM731" s="81">
        <f>IF(AN731="","",IF(Q731="Sin Factura",0,P731-IFERROR(INDEX(Facturas_Odoo!$H:$H, MATCH(Q731, Facturas_Odoo!$B:$B, 0)), 0)))</f>
        <v/>
      </c>
      <c r="AN731" s="79">
        <f>IF(AND(A731="", J731=""), "", IF(A731&lt;&gt;"", VALUE(MID(A731,2,LEN(A731))), AN730))</f>
        <v/>
      </c>
      <c r="AO731" s="79">
        <f>IF(AN731="","",IF(AD731=0,"OK",_xlfn.LET(monedaPago, IF(AA731="","USD",AA731), limitePermitido, IFERROR(VLOOKUP(monedaPago, Configuración!$A$2:$B$3, 2, FALSE), 0.15), IF(AD731&gt;limitePermitido, "ALERTA: EXCESO (" &amp; TEXT(limitePermitido, "0%") &amp; " máx)", "OK"))))</f>
        <v/>
      </c>
      <c r="AP731" s="79">
        <f>IF(AN731="","",IF(AE731=0,"OK",_xlfn.LET(fechaPago, Z731, fechaFactura, R731, diasCredito, IF(E731="Pago inmediato", 0, IFERROR(VALUE(MID(E731, 1, SEARCH(" ", E731)-1)),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31" s="79">
        <f>IF(AN731="","",IF(AND(N731&gt;0, AG731&gt;0), IF(Configuración!$K$2="NO", "ALERTA: DESCUENTO DOBLE NO PERMITIDO", "OK"), "OK"))</f>
        <v/>
      </c>
      <c r="AR731" s="79">
        <f>IF(AN731="","",IF(OR(AO731&lt;&gt;"OK", AP731&lt;&gt;"OK", AQ731&lt;&gt;"OK"), "⚠️ REVISAR", "OK"))</f>
        <v/>
      </c>
    </row>
    <row r="732">
      <c r="A732" s="79">
        <f>IF('Ordenes_Odoo'!A732="","",'Ordenes_Odoo'!A732)</f>
        <v/>
      </c>
      <c r="B732" s="80">
        <f>IF('Ordenes_Odoo'!B732="","",'Ordenes_Odoo'!B732)</f>
        <v/>
      </c>
      <c r="C732" s="79">
        <f>IF('Ordenes_Odoo'!C732="","",'Ordenes_Odoo'!C732)</f>
        <v/>
      </c>
      <c r="D732" s="79">
        <f>IF('Ordenes_Odoo'!D732="","",'Ordenes_Odoo'!D732)</f>
        <v/>
      </c>
      <c r="E732" s="79">
        <f>IF('Ordenes_Odoo'!E732="","",'Ordenes_Odoo'!E732)</f>
        <v/>
      </c>
      <c r="F732" s="79">
        <f>IF('Ordenes_Odoo'!F732="","",'Ordenes_Odoo'!F732)</f>
        <v/>
      </c>
      <c r="G732" s="79">
        <f>IF('Ordenes_Odoo'!G732="","",'Ordenes_Odoo'!G732)</f>
        <v/>
      </c>
      <c r="H732" s="79">
        <f>IF('Ordenes_Odoo'!H732="","",'Ordenes_Odoo'!H732)</f>
        <v/>
      </c>
      <c r="I732" s="79">
        <f>IF('Ordenes_Odoo'!I732="","",'Ordenes_Odoo'!I732)</f>
        <v/>
      </c>
      <c r="J732" s="79">
        <f>IF('Ordenes_Odoo'!J732="","",'Ordenes_Odoo'!J732)</f>
        <v/>
      </c>
      <c r="K732" s="81">
        <f>IF('Ordenes_Odoo'!K732="","",'Ordenes_Odoo'!K732)</f>
        <v/>
      </c>
      <c r="L732" s="81">
        <f>IF('Ordenes_Odoo'!L732="","",'Ordenes_Odoo'!L732)</f>
        <v/>
      </c>
      <c r="M732" s="79">
        <f>IF('Ordenes_Odoo'!M732="","",'Ordenes_Odoo'!M732)</f>
        <v/>
      </c>
      <c r="N732" s="79">
        <f>IF('Ordenes_Odoo'!N732="","",'Ordenes_Odoo'!N732)</f>
        <v/>
      </c>
      <c r="O732" s="81">
        <f>IF('Ordenes_Odoo'!O732="","",'Ordenes_Odoo'!O732)</f>
        <v/>
      </c>
      <c r="P732" s="81">
        <f>IF('Ordenes_Odoo'!P732="","",'Ordenes_Odoo'!P732)</f>
        <v/>
      </c>
      <c r="Q732" s="79">
        <f>IF(A732="","",IFERROR(INDEX(Facturas_Odoo!$B:$B, MATCH(A732, Facturas_Odoo!$D:$D, 0)), "Sin Factura"))</f>
        <v/>
      </c>
      <c r="R732" s="80">
        <f>IF(Q732="Sin Factura","",IFERROR(INDEX(Facturas_Odoo!$A:$A, MATCH(Q732, Facturas_Odoo!$B:$B, 0)), ""))</f>
        <v/>
      </c>
      <c r="S732" s="79">
        <f>IF(Q732="Sin Factura","",IFERROR(_xlfn.XLOOKUP(1, (Facturas_Odoo!$D:$D=A732) * (Facturas_Odoo!$K:$K=I732), Facturas_Odoo!$L:$L, ""), ""))</f>
        <v/>
      </c>
      <c r="T732" s="81">
        <f>IF(Q732="Sin Factura",0,IFERROR(_xlfn.XLOOKUP(1, (Facturas_Odoo!$D:$D=A732) * (Facturas_Odoo!$K:$K=I732), Facturas_Odoo!$M:$M, 0), 0))</f>
        <v/>
      </c>
      <c r="U732" s="79">
        <f>IF(Q732="Sin Factura",0,IFERROR(_xlfn.XLOOKUP(1, (Facturas_Odoo!$D:$D=A732) * (Facturas_Odoo!$K:$K=I732), Facturas_Odoo!$N:$N, 0), 0))</f>
        <v/>
      </c>
      <c r="V732" s="79">
        <f>IF(Q732="Sin Factura",0,IFERROR(_xlfn.XLOOKUP(1, (Facturas_Odoo!$D:$D=A732) * (Facturas_Odoo!$K:$K=I732), Facturas_Odoo!$O:$O, 0), 0))</f>
        <v/>
      </c>
      <c r="W732" s="81">
        <f>IF(Q732="Sin Factura",0,IFERROR(_xlfn.XLOOKUP(1, (Facturas_Odoo!$D:$D=A732) * (Facturas_Odoo!$K:$K=I732), Facturas_Odoo!$Q:$Q, 0), 0))</f>
        <v/>
      </c>
      <c r="X732" s="79">
        <f>IF(OR(Q732="Sin Factura",Q732=""),"",IFERROR(INDEX(Pagos_Odoo!$B:$B, MATCH(Q732, Pagos_Odoo!$I:$I, 0)), "Sin Pago"))</f>
        <v/>
      </c>
      <c r="Y732" s="79">
        <f>IF(X732="Sin Pago","",IFERROR(INDEX(Pagos_Odoo!$C:$C, MATCH(X732, Pagos_Odoo!$B:$B, 0)), ""))</f>
        <v/>
      </c>
      <c r="Z732" s="80">
        <f>IF(X732="Sin Pago","",IFERROR(INDEX(Pagos_Odoo!$A:$A, MATCH(X732, Pagos_Odoo!$B:$B, 0)), ""))</f>
        <v/>
      </c>
      <c r="AA732" s="79">
        <f>IF(X732="Sin Pago","",IFERROR(INDEX(Pagos_Odoo!$F:$F, MATCH(X732, Pagos_Odoo!$B:$B, 0)), ""))</f>
        <v/>
      </c>
      <c r="AB732" s="81">
        <f>IF(X732="Sin Pago",0,IFERROR(INDEX(Pagos_Odoo!$E:$E, MATCH(X732, Pagos_Odoo!$B:$B, 0)), 0))</f>
        <v/>
      </c>
      <c r="AC732" s="79">
        <f>IF(X732="Sin Pago","",IFERROR(INDEX(Pagos_Odoo!$G:$G, MATCH(X732, Pagos_Odoo!$B:$B, 0)), ""))</f>
        <v/>
      </c>
      <c r="AD732" s="82" t="n">
        <v>0</v>
      </c>
      <c r="AE732" s="82" t="n"/>
      <c r="AF732" s="82" t="n"/>
      <c r="AG732" s="82">
        <f>IF(AN732="","",AD732+AE732+AF732)</f>
        <v/>
      </c>
      <c r="AH732" s="81">
        <f>IF(AN732="","",P732*(1-AG732))</f>
        <v/>
      </c>
      <c r="AI732" s="81">
        <f>IF(AN732="","",IF(Q732="Sin Factura",0,IFERROR(INDEX(Facturas_Odoo!$H:$H, MATCH(Q732, Facturas_Odoo!$B:$B, 0)), 0)*(1-AG732)))</f>
        <v/>
      </c>
      <c r="AJ732" s="81">
        <f>IF(AN732="","",_xlfn.LET(idVenta, AN732&amp;"",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32" s="81">
        <f>IF(AN732="","",AH732-AJ732)</f>
        <v/>
      </c>
      <c r="AL732" s="81">
        <f>IF(AN732="","",IF(Q732="Sin Factura","",AI732-AJ732))</f>
        <v/>
      </c>
      <c r="AM732" s="81">
        <f>IF(AN732="","",IF(Q732="Sin Factura",0,P732-IFERROR(INDEX(Facturas_Odoo!$H:$H, MATCH(Q732, Facturas_Odoo!$B:$B, 0)), 0)))</f>
        <v/>
      </c>
      <c r="AN732" s="79">
        <f>IF(AND(A732="", J732=""), "", IF(A732&lt;&gt;"", VALUE(MID(A732,2,LEN(A732))), AN731))</f>
        <v/>
      </c>
      <c r="AO732" s="79">
        <f>IF(AN732="","",IF(AD732=0,"OK",_xlfn.LET(monedaPago, IF(AA732="","USD",AA732), limitePermitido, IFERROR(VLOOKUP(monedaPago, Configuración!$A$2:$B$3, 2, FALSE), 0.15), IF(AD732&gt;limitePermitido, "ALERTA: EXCESO (" &amp; TEXT(limitePermitido, "0%") &amp; " máx)", "OK"))))</f>
        <v/>
      </c>
      <c r="AP732" s="79">
        <f>IF(AN732="","",IF(AE732=0,"OK",_xlfn.LET(fechaPago, Z732, fechaFactura, R732, diasCredito, IF(E732="Pago inmediato", 0, IFERROR(VALUE(MID(E732, 1, SEARCH(" ", E732)-1)),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32" s="79">
        <f>IF(AN732="","",IF(AND(N732&gt;0, AG732&gt;0), IF(Configuración!$K$2="NO", "ALERTA: DESCUENTO DOBLE NO PERMITIDO", "OK"), "OK"))</f>
        <v/>
      </c>
      <c r="AR732" s="79">
        <f>IF(AN732="","",IF(OR(AO732&lt;&gt;"OK", AP732&lt;&gt;"OK", AQ732&lt;&gt;"OK"), "⚠️ REVISAR", "OK"))</f>
        <v/>
      </c>
    </row>
    <row r="733">
      <c r="A733" s="79">
        <f>IF('Ordenes_Odoo'!A733="","",'Ordenes_Odoo'!A733)</f>
        <v/>
      </c>
      <c r="B733" s="80">
        <f>IF('Ordenes_Odoo'!B733="","",'Ordenes_Odoo'!B733)</f>
        <v/>
      </c>
      <c r="C733" s="79">
        <f>IF('Ordenes_Odoo'!C733="","",'Ordenes_Odoo'!C733)</f>
        <v/>
      </c>
      <c r="D733" s="79">
        <f>IF('Ordenes_Odoo'!D733="","",'Ordenes_Odoo'!D733)</f>
        <v/>
      </c>
      <c r="E733" s="79">
        <f>IF('Ordenes_Odoo'!E733="","",'Ordenes_Odoo'!E733)</f>
        <v/>
      </c>
      <c r="F733" s="79">
        <f>IF('Ordenes_Odoo'!F733="","",'Ordenes_Odoo'!F733)</f>
        <v/>
      </c>
      <c r="G733" s="79">
        <f>IF('Ordenes_Odoo'!G733="","",'Ordenes_Odoo'!G733)</f>
        <v/>
      </c>
      <c r="H733" s="79">
        <f>IF('Ordenes_Odoo'!H733="","",'Ordenes_Odoo'!H733)</f>
        <v/>
      </c>
      <c r="I733" s="79">
        <f>IF('Ordenes_Odoo'!I733="","",'Ordenes_Odoo'!I733)</f>
        <v/>
      </c>
      <c r="J733" s="79">
        <f>IF('Ordenes_Odoo'!J733="","",'Ordenes_Odoo'!J733)</f>
        <v/>
      </c>
      <c r="K733" s="81">
        <f>IF('Ordenes_Odoo'!K733="","",'Ordenes_Odoo'!K733)</f>
        <v/>
      </c>
      <c r="L733" s="81">
        <f>IF('Ordenes_Odoo'!L733="","",'Ordenes_Odoo'!L733)</f>
        <v/>
      </c>
      <c r="M733" s="79">
        <f>IF('Ordenes_Odoo'!M733="","",'Ordenes_Odoo'!M733)</f>
        <v/>
      </c>
      <c r="N733" s="79">
        <f>IF('Ordenes_Odoo'!N733="","",'Ordenes_Odoo'!N733)</f>
        <v/>
      </c>
      <c r="O733" s="81">
        <f>IF('Ordenes_Odoo'!O733="","",'Ordenes_Odoo'!O733)</f>
        <v/>
      </c>
      <c r="P733" s="81">
        <f>IF('Ordenes_Odoo'!P733="","",'Ordenes_Odoo'!P733)</f>
        <v/>
      </c>
      <c r="Q733" s="79">
        <f>IF(A733="","",IFERROR(INDEX(Facturas_Odoo!$B:$B, MATCH(A733, Facturas_Odoo!$D:$D, 0)), "Sin Factura"))</f>
        <v/>
      </c>
      <c r="R733" s="80">
        <f>IF(Q733="Sin Factura","",IFERROR(INDEX(Facturas_Odoo!$A:$A, MATCH(Q733, Facturas_Odoo!$B:$B, 0)), ""))</f>
        <v/>
      </c>
      <c r="S733" s="79">
        <f>IF(Q733="Sin Factura","",IFERROR(_xlfn.XLOOKUP(1, (Facturas_Odoo!$D:$D=A733) * (Facturas_Odoo!$K:$K=I733), Facturas_Odoo!$L:$L, ""), ""))</f>
        <v/>
      </c>
      <c r="T733" s="81">
        <f>IF(Q733="Sin Factura",0,IFERROR(_xlfn.XLOOKUP(1, (Facturas_Odoo!$D:$D=A733) * (Facturas_Odoo!$K:$K=I733), Facturas_Odoo!$M:$M, 0), 0))</f>
        <v/>
      </c>
      <c r="U733" s="79">
        <f>IF(Q733="Sin Factura",0,IFERROR(_xlfn.XLOOKUP(1, (Facturas_Odoo!$D:$D=A733) * (Facturas_Odoo!$K:$K=I733), Facturas_Odoo!$N:$N, 0), 0))</f>
        <v/>
      </c>
      <c r="V733" s="79">
        <f>IF(Q733="Sin Factura",0,IFERROR(_xlfn.XLOOKUP(1, (Facturas_Odoo!$D:$D=A733) * (Facturas_Odoo!$K:$K=I733), Facturas_Odoo!$O:$O, 0), 0))</f>
        <v/>
      </c>
      <c r="W733" s="81">
        <f>IF(Q733="Sin Factura",0,IFERROR(_xlfn.XLOOKUP(1, (Facturas_Odoo!$D:$D=A733) * (Facturas_Odoo!$K:$K=I733), Facturas_Odoo!$Q:$Q, 0), 0))</f>
        <v/>
      </c>
      <c r="X733" s="79">
        <f>IF(OR(Q733="Sin Factura",Q733=""),"",IFERROR(INDEX(Pagos_Odoo!$B:$B, MATCH(Q733, Pagos_Odoo!$I:$I, 0)), "Sin Pago"))</f>
        <v/>
      </c>
      <c r="Y733" s="79">
        <f>IF(X733="Sin Pago","",IFERROR(INDEX(Pagos_Odoo!$C:$C, MATCH(X733, Pagos_Odoo!$B:$B, 0)), ""))</f>
        <v/>
      </c>
      <c r="Z733" s="80">
        <f>IF(X733="Sin Pago","",IFERROR(INDEX(Pagos_Odoo!$A:$A, MATCH(X733, Pagos_Odoo!$B:$B, 0)), ""))</f>
        <v/>
      </c>
      <c r="AA733" s="79">
        <f>IF(X733="Sin Pago","",IFERROR(INDEX(Pagos_Odoo!$F:$F, MATCH(X733, Pagos_Odoo!$B:$B, 0)), ""))</f>
        <v/>
      </c>
      <c r="AB733" s="81">
        <f>IF(X733="Sin Pago",0,IFERROR(INDEX(Pagos_Odoo!$E:$E, MATCH(X733, Pagos_Odoo!$B:$B, 0)), 0))</f>
        <v/>
      </c>
      <c r="AC733" s="79">
        <f>IF(X733="Sin Pago","",IFERROR(INDEX(Pagos_Odoo!$G:$G, MATCH(X733, Pagos_Odoo!$B:$B, 0)), ""))</f>
        <v/>
      </c>
      <c r="AD733" s="82" t="n">
        <v>0</v>
      </c>
      <c r="AE733" s="82" t="n"/>
      <c r="AF733" s="82" t="n"/>
      <c r="AG733" s="82">
        <f>IF(AN733="","",AD733+AE733+AF733)</f>
        <v/>
      </c>
      <c r="AH733" s="81">
        <f>IF(AN733="","",P733*(1-AG733))</f>
        <v/>
      </c>
      <c r="AI733" s="81">
        <f>IF(AN733="","",IF(Q733="Sin Factura",0,IFERROR(INDEX(Facturas_Odoo!$H:$H, MATCH(Q733, Facturas_Odoo!$B:$B, 0)), 0)*(1-AG733)))</f>
        <v/>
      </c>
      <c r="AJ733" s="81">
        <f>IF(AN733="","",_xlfn.LET(idVenta, AN733&amp;"",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33" s="81">
        <f>IF(AN733="","",AH733-AJ733)</f>
        <v/>
      </c>
      <c r="AL733" s="81">
        <f>IF(AN733="","",IF(Q733="Sin Factura","",AI733-AJ733))</f>
        <v/>
      </c>
      <c r="AM733" s="81">
        <f>IF(AN733="","",IF(Q733="Sin Factura",0,P733-IFERROR(INDEX(Facturas_Odoo!$H:$H, MATCH(Q733, Facturas_Odoo!$B:$B, 0)), 0)))</f>
        <v/>
      </c>
      <c r="AN733" s="79">
        <f>IF(AND(A733="", J733=""), "", IF(A733&lt;&gt;"", VALUE(MID(A733,2,LEN(A733))), AN732))</f>
        <v/>
      </c>
      <c r="AO733" s="79">
        <f>IF(AN733="","",IF(AD733=0,"OK",_xlfn.LET(monedaPago, IF(AA733="","USD",AA733), limitePermitido, IFERROR(VLOOKUP(monedaPago, Configuración!$A$2:$B$3, 2, FALSE), 0.15), IF(AD733&gt;limitePermitido, "ALERTA: EXCESO (" &amp; TEXT(limitePermitido, "0%") &amp; " máx)", "OK"))))</f>
        <v/>
      </c>
      <c r="AP733" s="79">
        <f>IF(AN733="","",IF(AE733=0,"OK",_xlfn.LET(fechaPago, Z733, fechaFactura, R733, diasCredito, IF(E733="Pago inmediato", 0, IFERROR(VALUE(MID(E733, 1, SEARCH(" ", E733)-1)),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33" s="79">
        <f>IF(AN733="","",IF(AND(N733&gt;0, AG733&gt;0), IF(Configuración!$K$2="NO", "ALERTA: DESCUENTO DOBLE NO PERMITIDO", "OK"), "OK"))</f>
        <v/>
      </c>
      <c r="AR733" s="79">
        <f>IF(AN733="","",IF(OR(AO733&lt;&gt;"OK", AP733&lt;&gt;"OK", AQ733&lt;&gt;"OK"), "⚠️ REVISAR", "OK"))</f>
        <v/>
      </c>
    </row>
    <row r="734">
      <c r="A734" s="79">
        <f>IF('Ordenes_Odoo'!A734="","",'Ordenes_Odoo'!A734)</f>
        <v/>
      </c>
      <c r="B734" s="80">
        <f>IF('Ordenes_Odoo'!B734="","",'Ordenes_Odoo'!B734)</f>
        <v/>
      </c>
      <c r="C734" s="79">
        <f>IF('Ordenes_Odoo'!C734="","",'Ordenes_Odoo'!C734)</f>
        <v/>
      </c>
      <c r="D734" s="79">
        <f>IF('Ordenes_Odoo'!D734="","",'Ordenes_Odoo'!D734)</f>
        <v/>
      </c>
      <c r="E734" s="79">
        <f>IF('Ordenes_Odoo'!E734="","",'Ordenes_Odoo'!E734)</f>
        <v/>
      </c>
      <c r="F734" s="79">
        <f>IF('Ordenes_Odoo'!F734="","",'Ordenes_Odoo'!F734)</f>
        <v/>
      </c>
      <c r="G734" s="79">
        <f>IF('Ordenes_Odoo'!G734="","",'Ordenes_Odoo'!G734)</f>
        <v/>
      </c>
      <c r="H734" s="79">
        <f>IF('Ordenes_Odoo'!H734="","",'Ordenes_Odoo'!H734)</f>
        <v/>
      </c>
      <c r="I734" s="79">
        <f>IF('Ordenes_Odoo'!I734="","",'Ordenes_Odoo'!I734)</f>
        <v/>
      </c>
      <c r="J734" s="79">
        <f>IF('Ordenes_Odoo'!J734="","",'Ordenes_Odoo'!J734)</f>
        <v/>
      </c>
      <c r="K734" s="81">
        <f>IF('Ordenes_Odoo'!K734="","",'Ordenes_Odoo'!K734)</f>
        <v/>
      </c>
      <c r="L734" s="81">
        <f>IF('Ordenes_Odoo'!L734="","",'Ordenes_Odoo'!L734)</f>
        <v/>
      </c>
      <c r="M734" s="79">
        <f>IF('Ordenes_Odoo'!M734="","",'Ordenes_Odoo'!M734)</f>
        <v/>
      </c>
      <c r="N734" s="79">
        <f>IF('Ordenes_Odoo'!N734="","",'Ordenes_Odoo'!N734)</f>
        <v/>
      </c>
      <c r="O734" s="81">
        <f>IF('Ordenes_Odoo'!O734="","",'Ordenes_Odoo'!O734)</f>
        <v/>
      </c>
      <c r="P734" s="81">
        <f>IF('Ordenes_Odoo'!P734="","",'Ordenes_Odoo'!P734)</f>
        <v/>
      </c>
      <c r="Q734" s="79">
        <f>IF(A734="","",IFERROR(INDEX(Facturas_Odoo!$B:$B, MATCH(A734, Facturas_Odoo!$D:$D, 0)), "Sin Factura"))</f>
        <v/>
      </c>
      <c r="R734" s="80">
        <f>IF(Q734="Sin Factura","",IFERROR(INDEX(Facturas_Odoo!$A:$A, MATCH(Q734, Facturas_Odoo!$B:$B, 0)), ""))</f>
        <v/>
      </c>
      <c r="S734" s="79">
        <f>IF(Q734="Sin Factura","",IFERROR(_xlfn.XLOOKUP(1, (Facturas_Odoo!$D:$D=A734) * (Facturas_Odoo!$K:$K=I734), Facturas_Odoo!$L:$L, ""), ""))</f>
        <v/>
      </c>
      <c r="T734" s="81">
        <f>IF(Q734="Sin Factura",0,IFERROR(_xlfn.XLOOKUP(1, (Facturas_Odoo!$D:$D=A734) * (Facturas_Odoo!$K:$K=I734), Facturas_Odoo!$M:$M, 0), 0))</f>
        <v/>
      </c>
      <c r="U734" s="79">
        <f>IF(Q734="Sin Factura",0,IFERROR(_xlfn.XLOOKUP(1, (Facturas_Odoo!$D:$D=A734) * (Facturas_Odoo!$K:$K=I734), Facturas_Odoo!$N:$N, 0), 0))</f>
        <v/>
      </c>
      <c r="V734" s="79">
        <f>IF(Q734="Sin Factura",0,IFERROR(_xlfn.XLOOKUP(1, (Facturas_Odoo!$D:$D=A734) * (Facturas_Odoo!$K:$K=I734), Facturas_Odoo!$O:$O, 0), 0))</f>
        <v/>
      </c>
      <c r="W734" s="81">
        <f>IF(Q734="Sin Factura",0,IFERROR(_xlfn.XLOOKUP(1, (Facturas_Odoo!$D:$D=A734) * (Facturas_Odoo!$K:$K=I734), Facturas_Odoo!$Q:$Q, 0), 0))</f>
        <v/>
      </c>
      <c r="X734" s="79">
        <f>IF(OR(Q734="Sin Factura",Q734=""),"",IFERROR(INDEX(Pagos_Odoo!$B:$B, MATCH(Q734, Pagos_Odoo!$I:$I, 0)), "Sin Pago"))</f>
        <v/>
      </c>
      <c r="Y734" s="79">
        <f>IF(X734="Sin Pago","",IFERROR(INDEX(Pagos_Odoo!$C:$C, MATCH(X734, Pagos_Odoo!$B:$B, 0)), ""))</f>
        <v/>
      </c>
      <c r="Z734" s="80">
        <f>IF(X734="Sin Pago","",IFERROR(INDEX(Pagos_Odoo!$A:$A, MATCH(X734, Pagos_Odoo!$B:$B, 0)), ""))</f>
        <v/>
      </c>
      <c r="AA734" s="79">
        <f>IF(X734="Sin Pago","",IFERROR(INDEX(Pagos_Odoo!$F:$F, MATCH(X734, Pagos_Odoo!$B:$B, 0)), ""))</f>
        <v/>
      </c>
      <c r="AB734" s="81">
        <f>IF(X734="Sin Pago",0,IFERROR(INDEX(Pagos_Odoo!$E:$E, MATCH(X734, Pagos_Odoo!$B:$B, 0)), 0))</f>
        <v/>
      </c>
      <c r="AC734" s="79">
        <f>IF(X734="Sin Pago","",IFERROR(INDEX(Pagos_Odoo!$G:$G, MATCH(X734, Pagos_Odoo!$B:$B, 0)), ""))</f>
        <v/>
      </c>
      <c r="AD734" s="82" t="n">
        <v>0</v>
      </c>
      <c r="AE734" s="82" t="n"/>
      <c r="AF734" s="82" t="n"/>
      <c r="AG734" s="82">
        <f>IF(AN734="","",AD734+AE734+AF734)</f>
        <v/>
      </c>
      <c r="AH734" s="81">
        <f>IF(AN734="","",P734*(1-AG734))</f>
        <v/>
      </c>
      <c r="AI734" s="81">
        <f>IF(AN734="","",IF(Q734="Sin Factura",0,IFERROR(INDEX(Facturas_Odoo!$H:$H, MATCH(Q734, Facturas_Odoo!$B:$B, 0)), 0)*(1-AG734)))</f>
        <v/>
      </c>
      <c r="AJ734" s="81">
        <f>IF(AN734="","",_xlfn.LET(idVenta, AN734&amp;"",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34" s="81">
        <f>IF(AN734="","",AH734-AJ734)</f>
        <v/>
      </c>
      <c r="AL734" s="81">
        <f>IF(AN734="","",IF(Q734="Sin Factura","",AI734-AJ734))</f>
        <v/>
      </c>
      <c r="AM734" s="81">
        <f>IF(AN734="","",IF(Q734="Sin Factura",0,P734-IFERROR(INDEX(Facturas_Odoo!$H:$H, MATCH(Q734, Facturas_Odoo!$B:$B, 0)), 0)))</f>
        <v/>
      </c>
      <c r="AN734" s="79">
        <f>IF(AND(A734="", J734=""), "", IF(A734&lt;&gt;"", VALUE(MID(A734,2,LEN(A734))), AN733))</f>
        <v/>
      </c>
      <c r="AO734" s="79">
        <f>IF(AN734="","",IF(AD734=0,"OK",_xlfn.LET(monedaPago, IF(AA734="","USD",AA734), limitePermitido, IFERROR(VLOOKUP(monedaPago, Configuración!$A$2:$B$3, 2, FALSE), 0.15), IF(AD734&gt;limitePermitido, "ALERTA: EXCESO (" &amp; TEXT(limitePermitido, "0%") &amp; " máx)", "OK"))))</f>
        <v/>
      </c>
      <c r="AP734" s="79">
        <f>IF(AN734="","",IF(AE734=0,"OK",_xlfn.LET(fechaPago, Z734, fechaFactura, R734, diasCredito, IF(E734="Pago inmediato", 0, IFERROR(VALUE(MID(E734, 1, SEARCH(" ", E734)-1)),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34" s="79">
        <f>IF(AN734="","",IF(AND(N734&gt;0, AG734&gt;0), IF(Configuración!$K$2="NO", "ALERTA: DESCUENTO DOBLE NO PERMITIDO", "OK"), "OK"))</f>
        <v/>
      </c>
      <c r="AR734" s="79">
        <f>IF(AN734="","",IF(OR(AO734&lt;&gt;"OK", AP734&lt;&gt;"OK", AQ734&lt;&gt;"OK"), "⚠️ REVISAR", "OK"))</f>
        <v/>
      </c>
    </row>
    <row r="735">
      <c r="A735" s="79">
        <f>IF('Ordenes_Odoo'!A735="","",'Ordenes_Odoo'!A735)</f>
        <v/>
      </c>
      <c r="B735" s="80">
        <f>IF('Ordenes_Odoo'!B735="","",'Ordenes_Odoo'!B735)</f>
        <v/>
      </c>
      <c r="C735" s="79">
        <f>IF('Ordenes_Odoo'!C735="","",'Ordenes_Odoo'!C735)</f>
        <v/>
      </c>
      <c r="D735" s="79">
        <f>IF('Ordenes_Odoo'!D735="","",'Ordenes_Odoo'!D735)</f>
        <v/>
      </c>
      <c r="E735" s="79">
        <f>IF('Ordenes_Odoo'!E735="","",'Ordenes_Odoo'!E735)</f>
        <v/>
      </c>
      <c r="F735" s="79">
        <f>IF('Ordenes_Odoo'!F735="","",'Ordenes_Odoo'!F735)</f>
        <v/>
      </c>
      <c r="G735" s="79">
        <f>IF('Ordenes_Odoo'!G735="","",'Ordenes_Odoo'!G735)</f>
        <v/>
      </c>
      <c r="H735" s="79">
        <f>IF('Ordenes_Odoo'!H735="","",'Ordenes_Odoo'!H735)</f>
        <v/>
      </c>
      <c r="I735" s="79">
        <f>IF('Ordenes_Odoo'!I735="","",'Ordenes_Odoo'!I735)</f>
        <v/>
      </c>
      <c r="J735" s="79">
        <f>IF('Ordenes_Odoo'!J735="","",'Ordenes_Odoo'!J735)</f>
        <v/>
      </c>
      <c r="K735" s="81">
        <f>IF('Ordenes_Odoo'!K735="","",'Ordenes_Odoo'!K735)</f>
        <v/>
      </c>
      <c r="L735" s="81">
        <f>IF('Ordenes_Odoo'!L735="","",'Ordenes_Odoo'!L735)</f>
        <v/>
      </c>
      <c r="M735" s="79">
        <f>IF('Ordenes_Odoo'!M735="","",'Ordenes_Odoo'!M735)</f>
        <v/>
      </c>
      <c r="N735" s="79">
        <f>IF('Ordenes_Odoo'!N735="","",'Ordenes_Odoo'!N735)</f>
        <v/>
      </c>
      <c r="O735" s="81">
        <f>IF('Ordenes_Odoo'!O735="","",'Ordenes_Odoo'!O735)</f>
        <v/>
      </c>
      <c r="P735" s="81">
        <f>IF('Ordenes_Odoo'!P735="","",'Ordenes_Odoo'!P735)</f>
        <v/>
      </c>
      <c r="Q735" s="79">
        <f>IF(A735="","",IFERROR(INDEX(Facturas_Odoo!$B:$B, MATCH(A735, Facturas_Odoo!$D:$D, 0)), "Sin Factura"))</f>
        <v/>
      </c>
      <c r="R735" s="80">
        <f>IF(Q735="Sin Factura","",IFERROR(INDEX(Facturas_Odoo!$A:$A, MATCH(Q735, Facturas_Odoo!$B:$B, 0)), ""))</f>
        <v/>
      </c>
      <c r="S735" s="79">
        <f>IF(Q735="Sin Factura","",IFERROR(_xlfn.XLOOKUP(1, (Facturas_Odoo!$D:$D=A735) * (Facturas_Odoo!$K:$K=I735), Facturas_Odoo!$L:$L, ""), ""))</f>
        <v/>
      </c>
      <c r="T735" s="81">
        <f>IF(Q735="Sin Factura",0,IFERROR(_xlfn.XLOOKUP(1, (Facturas_Odoo!$D:$D=A735) * (Facturas_Odoo!$K:$K=I735), Facturas_Odoo!$M:$M, 0), 0))</f>
        <v/>
      </c>
      <c r="U735" s="79">
        <f>IF(Q735="Sin Factura",0,IFERROR(_xlfn.XLOOKUP(1, (Facturas_Odoo!$D:$D=A735) * (Facturas_Odoo!$K:$K=I735), Facturas_Odoo!$N:$N, 0), 0))</f>
        <v/>
      </c>
      <c r="V735" s="79">
        <f>IF(Q735="Sin Factura",0,IFERROR(_xlfn.XLOOKUP(1, (Facturas_Odoo!$D:$D=A735) * (Facturas_Odoo!$K:$K=I735), Facturas_Odoo!$O:$O, 0), 0))</f>
        <v/>
      </c>
      <c r="W735" s="81">
        <f>IF(Q735="Sin Factura",0,IFERROR(_xlfn.XLOOKUP(1, (Facturas_Odoo!$D:$D=A735) * (Facturas_Odoo!$K:$K=I735), Facturas_Odoo!$Q:$Q, 0), 0))</f>
        <v/>
      </c>
      <c r="X735" s="79">
        <f>IF(OR(Q735="Sin Factura",Q735=""),"",IFERROR(INDEX(Pagos_Odoo!$B:$B, MATCH(Q735, Pagos_Odoo!$I:$I, 0)), "Sin Pago"))</f>
        <v/>
      </c>
      <c r="Y735" s="79">
        <f>IF(X735="Sin Pago","",IFERROR(INDEX(Pagos_Odoo!$C:$C, MATCH(X735, Pagos_Odoo!$B:$B, 0)), ""))</f>
        <v/>
      </c>
      <c r="Z735" s="80">
        <f>IF(X735="Sin Pago","",IFERROR(INDEX(Pagos_Odoo!$A:$A, MATCH(X735, Pagos_Odoo!$B:$B, 0)), ""))</f>
        <v/>
      </c>
      <c r="AA735" s="79">
        <f>IF(X735="Sin Pago","",IFERROR(INDEX(Pagos_Odoo!$F:$F, MATCH(X735, Pagos_Odoo!$B:$B, 0)), ""))</f>
        <v/>
      </c>
      <c r="AB735" s="81">
        <f>IF(X735="Sin Pago",0,IFERROR(INDEX(Pagos_Odoo!$E:$E, MATCH(X735, Pagos_Odoo!$B:$B, 0)), 0))</f>
        <v/>
      </c>
      <c r="AC735" s="79">
        <f>IF(X735="Sin Pago","",IFERROR(INDEX(Pagos_Odoo!$G:$G, MATCH(X735, Pagos_Odoo!$B:$B, 0)), ""))</f>
        <v/>
      </c>
      <c r="AD735" s="82" t="n">
        <v>0</v>
      </c>
      <c r="AE735" s="82" t="n"/>
      <c r="AF735" s="82" t="n"/>
      <c r="AG735" s="82">
        <f>IF(AN735="","",AD735+AE735+AF735)</f>
        <v/>
      </c>
      <c r="AH735" s="81">
        <f>IF(AN735="","",P735*(1-AG735))</f>
        <v/>
      </c>
      <c r="AI735" s="81">
        <f>IF(AN735="","",IF(Q735="Sin Factura",0,IFERROR(INDEX(Facturas_Odoo!$H:$H, MATCH(Q735, Facturas_Odoo!$B:$B, 0)), 0)*(1-AG735)))</f>
        <v/>
      </c>
      <c r="AJ735" s="81">
        <f>IF(AN735="","",_xlfn.LET(idVenta, AN735&amp;"",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35" s="81">
        <f>IF(AN735="","",AH735-AJ735)</f>
        <v/>
      </c>
      <c r="AL735" s="81">
        <f>IF(AN735="","",IF(Q735="Sin Factura","",AI735-AJ735))</f>
        <v/>
      </c>
      <c r="AM735" s="81">
        <f>IF(AN735="","",IF(Q735="Sin Factura",0,P735-IFERROR(INDEX(Facturas_Odoo!$H:$H, MATCH(Q735, Facturas_Odoo!$B:$B, 0)), 0)))</f>
        <v/>
      </c>
      <c r="AN735" s="79">
        <f>IF(AND(A735="", J735=""), "", IF(A735&lt;&gt;"", VALUE(MID(A735,2,LEN(A735))), AN734))</f>
        <v/>
      </c>
      <c r="AO735" s="79">
        <f>IF(AN735="","",IF(AD735=0,"OK",_xlfn.LET(monedaPago, IF(AA735="","USD",AA735), limitePermitido, IFERROR(VLOOKUP(monedaPago, Configuración!$A$2:$B$3, 2, FALSE), 0.15), IF(AD735&gt;limitePermitido, "ALERTA: EXCESO (" &amp; TEXT(limitePermitido, "0%") &amp; " máx)", "OK"))))</f>
        <v/>
      </c>
      <c r="AP735" s="79">
        <f>IF(AN735="","",IF(AE735=0,"OK",_xlfn.LET(fechaPago, Z735, fechaFactura, R735, diasCredito, IF(E735="Pago inmediato", 0, IFERROR(VALUE(MID(E735, 1, SEARCH(" ", E735)-1)),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35" s="79">
        <f>IF(AN735="","",IF(AND(N735&gt;0, AG735&gt;0), IF(Configuración!$K$2="NO", "ALERTA: DESCUENTO DOBLE NO PERMITIDO", "OK"), "OK"))</f>
        <v/>
      </c>
      <c r="AR735" s="79">
        <f>IF(AN735="","",IF(OR(AO735&lt;&gt;"OK", AP735&lt;&gt;"OK", AQ735&lt;&gt;"OK"), "⚠️ REVISAR", "OK"))</f>
        <v/>
      </c>
    </row>
    <row r="736">
      <c r="A736" s="79">
        <f>IF('Ordenes_Odoo'!A736="","",'Ordenes_Odoo'!A736)</f>
        <v/>
      </c>
      <c r="B736" s="80">
        <f>IF('Ordenes_Odoo'!B736="","",'Ordenes_Odoo'!B736)</f>
        <v/>
      </c>
      <c r="C736" s="79">
        <f>IF('Ordenes_Odoo'!C736="","",'Ordenes_Odoo'!C736)</f>
        <v/>
      </c>
      <c r="D736" s="79">
        <f>IF('Ordenes_Odoo'!D736="","",'Ordenes_Odoo'!D736)</f>
        <v/>
      </c>
      <c r="E736" s="79">
        <f>IF('Ordenes_Odoo'!E736="","",'Ordenes_Odoo'!E736)</f>
        <v/>
      </c>
      <c r="F736" s="79">
        <f>IF('Ordenes_Odoo'!F736="","",'Ordenes_Odoo'!F736)</f>
        <v/>
      </c>
      <c r="G736" s="79">
        <f>IF('Ordenes_Odoo'!G736="","",'Ordenes_Odoo'!G736)</f>
        <v/>
      </c>
      <c r="H736" s="79">
        <f>IF('Ordenes_Odoo'!H736="","",'Ordenes_Odoo'!H736)</f>
        <v/>
      </c>
      <c r="I736" s="79">
        <f>IF('Ordenes_Odoo'!I736="","",'Ordenes_Odoo'!I736)</f>
        <v/>
      </c>
      <c r="J736" s="79">
        <f>IF('Ordenes_Odoo'!J736="","",'Ordenes_Odoo'!J736)</f>
        <v/>
      </c>
      <c r="K736" s="81">
        <f>IF('Ordenes_Odoo'!K736="","",'Ordenes_Odoo'!K736)</f>
        <v/>
      </c>
      <c r="L736" s="81">
        <f>IF('Ordenes_Odoo'!L736="","",'Ordenes_Odoo'!L736)</f>
        <v/>
      </c>
      <c r="M736" s="79">
        <f>IF('Ordenes_Odoo'!M736="","",'Ordenes_Odoo'!M736)</f>
        <v/>
      </c>
      <c r="N736" s="79">
        <f>IF('Ordenes_Odoo'!N736="","",'Ordenes_Odoo'!N736)</f>
        <v/>
      </c>
      <c r="O736" s="81">
        <f>IF('Ordenes_Odoo'!O736="","",'Ordenes_Odoo'!O736)</f>
        <v/>
      </c>
      <c r="P736" s="81">
        <f>IF('Ordenes_Odoo'!P736="","",'Ordenes_Odoo'!P736)</f>
        <v/>
      </c>
      <c r="Q736" s="79">
        <f>IF(A736="","",IFERROR(INDEX(Facturas_Odoo!$B:$B, MATCH(A736, Facturas_Odoo!$D:$D, 0)), "Sin Factura"))</f>
        <v/>
      </c>
      <c r="R736" s="80">
        <f>IF(Q736="Sin Factura","",IFERROR(INDEX(Facturas_Odoo!$A:$A, MATCH(Q736, Facturas_Odoo!$B:$B, 0)), ""))</f>
        <v/>
      </c>
      <c r="S736" s="79">
        <f>IF(Q736="Sin Factura","",IFERROR(_xlfn.XLOOKUP(1, (Facturas_Odoo!$D:$D=A736) * (Facturas_Odoo!$K:$K=I736), Facturas_Odoo!$L:$L, ""), ""))</f>
        <v/>
      </c>
      <c r="T736" s="81">
        <f>IF(Q736="Sin Factura",0,IFERROR(_xlfn.XLOOKUP(1, (Facturas_Odoo!$D:$D=A736) * (Facturas_Odoo!$K:$K=I736), Facturas_Odoo!$M:$M, 0), 0))</f>
        <v/>
      </c>
      <c r="U736" s="79">
        <f>IF(Q736="Sin Factura",0,IFERROR(_xlfn.XLOOKUP(1, (Facturas_Odoo!$D:$D=A736) * (Facturas_Odoo!$K:$K=I736), Facturas_Odoo!$N:$N, 0), 0))</f>
        <v/>
      </c>
      <c r="V736" s="79">
        <f>IF(Q736="Sin Factura",0,IFERROR(_xlfn.XLOOKUP(1, (Facturas_Odoo!$D:$D=A736) * (Facturas_Odoo!$K:$K=I736), Facturas_Odoo!$O:$O, 0), 0))</f>
        <v/>
      </c>
      <c r="W736" s="81">
        <f>IF(Q736="Sin Factura",0,IFERROR(_xlfn.XLOOKUP(1, (Facturas_Odoo!$D:$D=A736) * (Facturas_Odoo!$K:$K=I736), Facturas_Odoo!$Q:$Q, 0), 0))</f>
        <v/>
      </c>
      <c r="X736" s="79">
        <f>IF(OR(Q736="Sin Factura",Q736=""),"",IFERROR(INDEX(Pagos_Odoo!$B:$B, MATCH(Q736, Pagos_Odoo!$I:$I, 0)), "Sin Pago"))</f>
        <v/>
      </c>
      <c r="Y736" s="79">
        <f>IF(X736="Sin Pago","",IFERROR(INDEX(Pagos_Odoo!$C:$C, MATCH(X736, Pagos_Odoo!$B:$B, 0)), ""))</f>
        <v/>
      </c>
      <c r="Z736" s="80">
        <f>IF(X736="Sin Pago","",IFERROR(INDEX(Pagos_Odoo!$A:$A, MATCH(X736, Pagos_Odoo!$B:$B, 0)), ""))</f>
        <v/>
      </c>
      <c r="AA736" s="79">
        <f>IF(X736="Sin Pago","",IFERROR(INDEX(Pagos_Odoo!$F:$F, MATCH(X736, Pagos_Odoo!$B:$B, 0)), ""))</f>
        <v/>
      </c>
      <c r="AB736" s="81">
        <f>IF(X736="Sin Pago",0,IFERROR(INDEX(Pagos_Odoo!$E:$E, MATCH(X736, Pagos_Odoo!$B:$B, 0)), 0))</f>
        <v/>
      </c>
      <c r="AC736" s="79">
        <f>IF(X736="Sin Pago","",IFERROR(INDEX(Pagos_Odoo!$G:$G, MATCH(X736, Pagos_Odoo!$B:$B, 0)), ""))</f>
        <v/>
      </c>
      <c r="AD736" s="82" t="n">
        <v>0</v>
      </c>
      <c r="AE736" s="82" t="n"/>
      <c r="AF736" s="82" t="n"/>
      <c r="AG736" s="82">
        <f>IF(AN736="","",AD736+AE736+AF736)</f>
        <v/>
      </c>
      <c r="AH736" s="81">
        <f>IF(AN736="","",P736*(1-AG736))</f>
        <v/>
      </c>
      <c r="AI736" s="81">
        <f>IF(AN736="","",IF(Q736="Sin Factura",0,IFERROR(INDEX(Facturas_Odoo!$H:$H, MATCH(Q736, Facturas_Odoo!$B:$B, 0)), 0)*(1-AG736)))</f>
        <v/>
      </c>
      <c r="AJ736" s="81">
        <f>IF(AN736="","",_xlfn.LET(idVenta, AN736&amp;"",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36" s="81">
        <f>IF(AN736="","",AH736-AJ736)</f>
        <v/>
      </c>
      <c r="AL736" s="81">
        <f>IF(AN736="","",IF(Q736="Sin Factura","",AI736-AJ736))</f>
        <v/>
      </c>
      <c r="AM736" s="81">
        <f>IF(AN736="","",IF(Q736="Sin Factura",0,P736-IFERROR(INDEX(Facturas_Odoo!$H:$H, MATCH(Q736, Facturas_Odoo!$B:$B, 0)), 0)))</f>
        <v/>
      </c>
      <c r="AN736" s="79">
        <f>IF(AND(A736="", J736=""), "", IF(A736&lt;&gt;"", VALUE(MID(A736,2,LEN(A736))), AN735))</f>
        <v/>
      </c>
      <c r="AO736" s="79">
        <f>IF(AN736="","",IF(AD736=0,"OK",_xlfn.LET(monedaPago, IF(AA736="","USD",AA736), limitePermitido, IFERROR(VLOOKUP(monedaPago, Configuración!$A$2:$B$3, 2, FALSE), 0.15), IF(AD736&gt;limitePermitido, "ALERTA: EXCESO (" &amp; TEXT(limitePermitido, "0%") &amp; " máx)", "OK"))))</f>
        <v/>
      </c>
      <c r="AP736" s="79">
        <f>IF(AN736="","",IF(AE736=0,"OK",_xlfn.LET(fechaPago, Z736, fechaFactura, R736, diasCredito, IF(E736="Pago inmediato", 0, IFERROR(VALUE(MID(E736, 1, SEARCH(" ", E736)-1)),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36" s="79">
        <f>IF(AN736="","",IF(AND(N736&gt;0, AG736&gt;0), IF(Configuración!$K$2="NO", "ALERTA: DESCUENTO DOBLE NO PERMITIDO", "OK"), "OK"))</f>
        <v/>
      </c>
      <c r="AR736" s="79">
        <f>IF(AN736="","",IF(OR(AO736&lt;&gt;"OK", AP736&lt;&gt;"OK", AQ736&lt;&gt;"OK"), "⚠️ REVISAR", "OK"))</f>
        <v/>
      </c>
    </row>
    <row r="737">
      <c r="A737" s="79">
        <f>IF('Ordenes_Odoo'!A737="","",'Ordenes_Odoo'!A737)</f>
        <v/>
      </c>
      <c r="B737" s="80">
        <f>IF('Ordenes_Odoo'!B737="","",'Ordenes_Odoo'!B737)</f>
        <v/>
      </c>
      <c r="C737" s="79">
        <f>IF('Ordenes_Odoo'!C737="","",'Ordenes_Odoo'!C737)</f>
        <v/>
      </c>
      <c r="D737" s="79">
        <f>IF('Ordenes_Odoo'!D737="","",'Ordenes_Odoo'!D737)</f>
        <v/>
      </c>
      <c r="E737" s="79">
        <f>IF('Ordenes_Odoo'!E737="","",'Ordenes_Odoo'!E737)</f>
        <v/>
      </c>
      <c r="F737" s="79">
        <f>IF('Ordenes_Odoo'!F737="","",'Ordenes_Odoo'!F737)</f>
        <v/>
      </c>
      <c r="G737" s="79">
        <f>IF('Ordenes_Odoo'!G737="","",'Ordenes_Odoo'!G737)</f>
        <v/>
      </c>
      <c r="H737" s="79">
        <f>IF('Ordenes_Odoo'!H737="","",'Ordenes_Odoo'!H737)</f>
        <v/>
      </c>
      <c r="I737" s="79">
        <f>IF('Ordenes_Odoo'!I737="","",'Ordenes_Odoo'!I737)</f>
        <v/>
      </c>
      <c r="J737" s="79">
        <f>IF('Ordenes_Odoo'!J737="","",'Ordenes_Odoo'!J737)</f>
        <v/>
      </c>
      <c r="K737" s="81">
        <f>IF('Ordenes_Odoo'!K737="","",'Ordenes_Odoo'!K737)</f>
        <v/>
      </c>
      <c r="L737" s="81">
        <f>IF('Ordenes_Odoo'!L737="","",'Ordenes_Odoo'!L737)</f>
        <v/>
      </c>
      <c r="M737" s="79">
        <f>IF('Ordenes_Odoo'!M737="","",'Ordenes_Odoo'!M737)</f>
        <v/>
      </c>
      <c r="N737" s="79">
        <f>IF('Ordenes_Odoo'!N737="","",'Ordenes_Odoo'!N737)</f>
        <v/>
      </c>
      <c r="O737" s="81">
        <f>IF('Ordenes_Odoo'!O737="","",'Ordenes_Odoo'!O737)</f>
        <v/>
      </c>
      <c r="P737" s="81">
        <f>IF('Ordenes_Odoo'!P737="","",'Ordenes_Odoo'!P737)</f>
        <v/>
      </c>
      <c r="Q737" s="79">
        <f>IF(A737="","",IFERROR(INDEX(Facturas_Odoo!$B:$B, MATCH(A737, Facturas_Odoo!$D:$D, 0)), "Sin Factura"))</f>
        <v/>
      </c>
      <c r="R737" s="80">
        <f>IF(Q737="Sin Factura","",IFERROR(INDEX(Facturas_Odoo!$A:$A, MATCH(Q737, Facturas_Odoo!$B:$B, 0)), ""))</f>
        <v/>
      </c>
      <c r="S737" s="79">
        <f>IF(Q737="Sin Factura","",IFERROR(_xlfn.XLOOKUP(1, (Facturas_Odoo!$D:$D=A737) * (Facturas_Odoo!$K:$K=I737), Facturas_Odoo!$L:$L, ""), ""))</f>
        <v/>
      </c>
      <c r="T737" s="81">
        <f>IF(Q737="Sin Factura",0,IFERROR(_xlfn.XLOOKUP(1, (Facturas_Odoo!$D:$D=A737) * (Facturas_Odoo!$K:$K=I737), Facturas_Odoo!$M:$M, 0), 0))</f>
        <v/>
      </c>
      <c r="U737" s="79">
        <f>IF(Q737="Sin Factura",0,IFERROR(_xlfn.XLOOKUP(1, (Facturas_Odoo!$D:$D=A737) * (Facturas_Odoo!$K:$K=I737), Facturas_Odoo!$N:$N, 0), 0))</f>
        <v/>
      </c>
      <c r="V737" s="79">
        <f>IF(Q737="Sin Factura",0,IFERROR(_xlfn.XLOOKUP(1, (Facturas_Odoo!$D:$D=A737) * (Facturas_Odoo!$K:$K=I737), Facturas_Odoo!$O:$O, 0), 0))</f>
        <v/>
      </c>
      <c r="W737" s="81">
        <f>IF(Q737="Sin Factura",0,IFERROR(_xlfn.XLOOKUP(1, (Facturas_Odoo!$D:$D=A737) * (Facturas_Odoo!$K:$K=I737), Facturas_Odoo!$Q:$Q, 0), 0))</f>
        <v/>
      </c>
      <c r="X737" s="79">
        <f>IF(OR(Q737="Sin Factura",Q737=""),"",IFERROR(INDEX(Pagos_Odoo!$B:$B, MATCH(Q737, Pagos_Odoo!$I:$I, 0)), "Sin Pago"))</f>
        <v/>
      </c>
      <c r="Y737" s="79">
        <f>IF(X737="Sin Pago","",IFERROR(INDEX(Pagos_Odoo!$C:$C, MATCH(X737, Pagos_Odoo!$B:$B, 0)), ""))</f>
        <v/>
      </c>
      <c r="Z737" s="80">
        <f>IF(X737="Sin Pago","",IFERROR(INDEX(Pagos_Odoo!$A:$A, MATCH(X737, Pagos_Odoo!$B:$B, 0)), ""))</f>
        <v/>
      </c>
      <c r="AA737" s="79">
        <f>IF(X737="Sin Pago","",IFERROR(INDEX(Pagos_Odoo!$F:$F, MATCH(X737, Pagos_Odoo!$B:$B, 0)), ""))</f>
        <v/>
      </c>
      <c r="AB737" s="81">
        <f>IF(X737="Sin Pago",0,IFERROR(INDEX(Pagos_Odoo!$E:$E, MATCH(X737, Pagos_Odoo!$B:$B, 0)), 0))</f>
        <v/>
      </c>
      <c r="AC737" s="79">
        <f>IF(X737="Sin Pago","",IFERROR(INDEX(Pagos_Odoo!$G:$G, MATCH(X737, Pagos_Odoo!$B:$B, 0)), ""))</f>
        <v/>
      </c>
      <c r="AD737" s="82" t="n">
        <v>0</v>
      </c>
      <c r="AE737" s="82" t="n"/>
      <c r="AF737" s="82" t="n"/>
      <c r="AG737" s="82">
        <f>IF(AN737="","",AD737+AE737+AF737)</f>
        <v/>
      </c>
      <c r="AH737" s="81">
        <f>IF(AN737="","",P737*(1-AG737))</f>
        <v/>
      </c>
      <c r="AI737" s="81">
        <f>IF(AN737="","",IF(Q737="Sin Factura",0,IFERROR(INDEX(Facturas_Odoo!$H:$H, MATCH(Q737, Facturas_Odoo!$B:$B, 0)), 0)*(1-AG737)))</f>
        <v/>
      </c>
      <c r="AJ737" s="81">
        <f>IF(AN737="","",_xlfn.LET(idVenta, AN737&amp;"",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37" s="81">
        <f>IF(AN737="","",AH737-AJ737)</f>
        <v/>
      </c>
      <c r="AL737" s="81">
        <f>IF(AN737="","",IF(Q737="Sin Factura","",AI737-AJ737))</f>
        <v/>
      </c>
      <c r="AM737" s="81">
        <f>IF(AN737="","",IF(Q737="Sin Factura",0,P737-IFERROR(INDEX(Facturas_Odoo!$H:$H, MATCH(Q737, Facturas_Odoo!$B:$B, 0)), 0)))</f>
        <v/>
      </c>
      <c r="AN737" s="79">
        <f>IF(AND(A737="", J737=""), "", IF(A737&lt;&gt;"", VALUE(MID(A737,2,LEN(A737))), AN736))</f>
        <v/>
      </c>
      <c r="AO737" s="79">
        <f>IF(AN737="","",IF(AD737=0,"OK",_xlfn.LET(monedaPago, IF(AA737="","USD",AA737), limitePermitido, IFERROR(VLOOKUP(monedaPago, Configuración!$A$2:$B$3, 2, FALSE), 0.15), IF(AD737&gt;limitePermitido, "ALERTA: EXCESO (" &amp; TEXT(limitePermitido, "0%") &amp; " máx)", "OK"))))</f>
        <v/>
      </c>
      <c r="AP737" s="79">
        <f>IF(AN737="","",IF(AE737=0,"OK",_xlfn.LET(fechaPago, Z737, fechaFactura, R737, diasCredito, IF(E737="Pago inmediato", 0, IFERROR(VALUE(MID(E737, 1, SEARCH(" ", E737)-1)),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37" s="79">
        <f>IF(AN737="","",IF(AND(N737&gt;0, AG737&gt;0), IF(Configuración!$K$2="NO", "ALERTA: DESCUENTO DOBLE NO PERMITIDO", "OK"), "OK"))</f>
        <v/>
      </c>
      <c r="AR737" s="79">
        <f>IF(AN737="","",IF(OR(AO737&lt;&gt;"OK", AP737&lt;&gt;"OK", AQ737&lt;&gt;"OK"), "⚠️ REVISAR", "OK"))</f>
        <v/>
      </c>
    </row>
    <row r="738">
      <c r="A738" s="79">
        <f>IF('Ordenes_Odoo'!A738="","",'Ordenes_Odoo'!A738)</f>
        <v/>
      </c>
      <c r="B738" s="80">
        <f>IF('Ordenes_Odoo'!B738="","",'Ordenes_Odoo'!B738)</f>
        <v/>
      </c>
      <c r="C738" s="79">
        <f>IF('Ordenes_Odoo'!C738="","",'Ordenes_Odoo'!C738)</f>
        <v/>
      </c>
      <c r="D738" s="79">
        <f>IF('Ordenes_Odoo'!D738="","",'Ordenes_Odoo'!D738)</f>
        <v/>
      </c>
      <c r="E738" s="79">
        <f>IF('Ordenes_Odoo'!E738="","",'Ordenes_Odoo'!E738)</f>
        <v/>
      </c>
      <c r="F738" s="79">
        <f>IF('Ordenes_Odoo'!F738="","",'Ordenes_Odoo'!F738)</f>
        <v/>
      </c>
      <c r="G738" s="79">
        <f>IF('Ordenes_Odoo'!G738="","",'Ordenes_Odoo'!G738)</f>
        <v/>
      </c>
      <c r="H738" s="79">
        <f>IF('Ordenes_Odoo'!H738="","",'Ordenes_Odoo'!H738)</f>
        <v/>
      </c>
      <c r="I738" s="79">
        <f>IF('Ordenes_Odoo'!I738="","",'Ordenes_Odoo'!I738)</f>
        <v/>
      </c>
      <c r="J738" s="79">
        <f>IF('Ordenes_Odoo'!J738="","",'Ordenes_Odoo'!J738)</f>
        <v/>
      </c>
      <c r="K738" s="81">
        <f>IF('Ordenes_Odoo'!K738="","",'Ordenes_Odoo'!K738)</f>
        <v/>
      </c>
      <c r="L738" s="81">
        <f>IF('Ordenes_Odoo'!L738="","",'Ordenes_Odoo'!L738)</f>
        <v/>
      </c>
      <c r="M738" s="79">
        <f>IF('Ordenes_Odoo'!M738="","",'Ordenes_Odoo'!M738)</f>
        <v/>
      </c>
      <c r="N738" s="79">
        <f>IF('Ordenes_Odoo'!N738="","",'Ordenes_Odoo'!N738)</f>
        <v/>
      </c>
      <c r="O738" s="81">
        <f>IF('Ordenes_Odoo'!O738="","",'Ordenes_Odoo'!O738)</f>
        <v/>
      </c>
      <c r="P738" s="81">
        <f>IF('Ordenes_Odoo'!P738="","",'Ordenes_Odoo'!P738)</f>
        <v/>
      </c>
      <c r="Q738" s="79">
        <f>IF(A738="","",IFERROR(INDEX(Facturas_Odoo!$B:$B, MATCH(A738, Facturas_Odoo!$D:$D, 0)), "Sin Factura"))</f>
        <v/>
      </c>
      <c r="R738" s="80">
        <f>IF(Q738="Sin Factura","",IFERROR(INDEX(Facturas_Odoo!$A:$A, MATCH(Q738, Facturas_Odoo!$B:$B, 0)), ""))</f>
        <v/>
      </c>
      <c r="S738" s="79">
        <f>IF(Q738="Sin Factura","",IFERROR(_xlfn.XLOOKUP(1, (Facturas_Odoo!$D:$D=A738) * (Facturas_Odoo!$K:$K=I738), Facturas_Odoo!$L:$L, ""), ""))</f>
        <v/>
      </c>
      <c r="T738" s="81">
        <f>IF(Q738="Sin Factura",0,IFERROR(_xlfn.XLOOKUP(1, (Facturas_Odoo!$D:$D=A738) * (Facturas_Odoo!$K:$K=I738), Facturas_Odoo!$M:$M, 0), 0))</f>
        <v/>
      </c>
      <c r="U738" s="79">
        <f>IF(Q738="Sin Factura",0,IFERROR(_xlfn.XLOOKUP(1, (Facturas_Odoo!$D:$D=A738) * (Facturas_Odoo!$K:$K=I738), Facturas_Odoo!$N:$N, 0), 0))</f>
        <v/>
      </c>
      <c r="V738" s="79">
        <f>IF(Q738="Sin Factura",0,IFERROR(_xlfn.XLOOKUP(1, (Facturas_Odoo!$D:$D=A738) * (Facturas_Odoo!$K:$K=I738), Facturas_Odoo!$O:$O, 0), 0))</f>
        <v/>
      </c>
      <c r="W738" s="81">
        <f>IF(Q738="Sin Factura",0,IFERROR(_xlfn.XLOOKUP(1, (Facturas_Odoo!$D:$D=A738) * (Facturas_Odoo!$K:$K=I738), Facturas_Odoo!$Q:$Q, 0), 0))</f>
        <v/>
      </c>
      <c r="X738" s="79">
        <f>IF(OR(Q738="Sin Factura",Q738=""),"",IFERROR(INDEX(Pagos_Odoo!$B:$B, MATCH(Q738, Pagos_Odoo!$I:$I, 0)), "Sin Pago"))</f>
        <v/>
      </c>
      <c r="Y738" s="79">
        <f>IF(X738="Sin Pago","",IFERROR(INDEX(Pagos_Odoo!$C:$C, MATCH(X738, Pagos_Odoo!$B:$B, 0)), ""))</f>
        <v/>
      </c>
      <c r="Z738" s="80">
        <f>IF(X738="Sin Pago","",IFERROR(INDEX(Pagos_Odoo!$A:$A, MATCH(X738, Pagos_Odoo!$B:$B, 0)), ""))</f>
        <v/>
      </c>
      <c r="AA738" s="79">
        <f>IF(X738="Sin Pago","",IFERROR(INDEX(Pagos_Odoo!$F:$F, MATCH(X738, Pagos_Odoo!$B:$B, 0)), ""))</f>
        <v/>
      </c>
      <c r="AB738" s="81">
        <f>IF(X738="Sin Pago",0,IFERROR(INDEX(Pagos_Odoo!$E:$E, MATCH(X738, Pagos_Odoo!$B:$B, 0)), 0))</f>
        <v/>
      </c>
      <c r="AC738" s="79">
        <f>IF(X738="Sin Pago","",IFERROR(INDEX(Pagos_Odoo!$G:$G, MATCH(X738, Pagos_Odoo!$B:$B, 0)), ""))</f>
        <v/>
      </c>
      <c r="AD738" s="82" t="n">
        <v>0</v>
      </c>
      <c r="AE738" s="82" t="n"/>
      <c r="AF738" s="82" t="n"/>
      <c r="AG738" s="82">
        <f>IF(AN738="","",AD738+AE738+AF738)</f>
        <v/>
      </c>
      <c r="AH738" s="81">
        <f>IF(AN738="","",P738*(1-AG738))</f>
        <v/>
      </c>
      <c r="AI738" s="81">
        <f>IF(AN738="","",IF(Q738="Sin Factura",0,IFERROR(INDEX(Facturas_Odoo!$H:$H, MATCH(Q738, Facturas_Odoo!$B:$B, 0)), 0)*(1-AG738)))</f>
        <v/>
      </c>
      <c r="AJ738" s="81">
        <f>IF(AN738="","",_xlfn.LET(idVenta, AN738&amp;"",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38" s="81">
        <f>IF(AN738="","",AH738-AJ738)</f>
        <v/>
      </c>
      <c r="AL738" s="81">
        <f>IF(AN738="","",IF(Q738="Sin Factura","",AI738-AJ738))</f>
        <v/>
      </c>
      <c r="AM738" s="81">
        <f>IF(AN738="","",IF(Q738="Sin Factura",0,P738-IFERROR(INDEX(Facturas_Odoo!$H:$H, MATCH(Q738, Facturas_Odoo!$B:$B, 0)), 0)))</f>
        <v/>
      </c>
      <c r="AN738" s="79">
        <f>IF(AND(A738="", J738=""), "", IF(A738&lt;&gt;"", VALUE(MID(A738,2,LEN(A738))), AN737))</f>
        <v/>
      </c>
      <c r="AO738" s="79">
        <f>IF(AN738="","",IF(AD738=0,"OK",_xlfn.LET(monedaPago, IF(AA738="","USD",AA738), limitePermitido, IFERROR(VLOOKUP(monedaPago, Configuración!$A$2:$B$3, 2, FALSE), 0.15), IF(AD738&gt;limitePermitido, "ALERTA: EXCESO (" &amp; TEXT(limitePermitido, "0%") &amp; " máx)", "OK"))))</f>
        <v/>
      </c>
      <c r="AP738" s="79">
        <f>IF(AN738="","",IF(AE738=0,"OK",_xlfn.LET(fechaPago, Z738, fechaFactura, R738, diasCredito, IF(E738="Pago inmediato", 0, IFERROR(VALUE(MID(E738, 1, SEARCH(" ", E738)-1)),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38" s="79">
        <f>IF(AN738="","",IF(AND(N738&gt;0, AG738&gt;0), IF(Configuración!$K$2="NO", "ALERTA: DESCUENTO DOBLE NO PERMITIDO", "OK"), "OK"))</f>
        <v/>
      </c>
      <c r="AR738" s="79">
        <f>IF(AN738="","",IF(OR(AO738&lt;&gt;"OK", AP738&lt;&gt;"OK", AQ738&lt;&gt;"OK"), "⚠️ REVISAR", "OK"))</f>
        <v/>
      </c>
    </row>
    <row r="739">
      <c r="A739" s="79">
        <f>IF('Ordenes_Odoo'!A739="","",'Ordenes_Odoo'!A739)</f>
        <v/>
      </c>
      <c r="B739" s="80">
        <f>IF('Ordenes_Odoo'!B739="","",'Ordenes_Odoo'!B739)</f>
        <v/>
      </c>
      <c r="C739" s="79">
        <f>IF('Ordenes_Odoo'!C739="","",'Ordenes_Odoo'!C739)</f>
        <v/>
      </c>
      <c r="D739" s="79">
        <f>IF('Ordenes_Odoo'!D739="","",'Ordenes_Odoo'!D739)</f>
        <v/>
      </c>
      <c r="E739" s="79">
        <f>IF('Ordenes_Odoo'!E739="","",'Ordenes_Odoo'!E739)</f>
        <v/>
      </c>
      <c r="F739" s="79">
        <f>IF('Ordenes_Odoo'!F739="","",'Ordenes_Odoo'!F739)</f>
        <v/>
      </c>
      <c r="G739" s="79">
        <f>IF('Ordenes_Odoo'!G739="","",'Ordenes_Odoo'!G739)</f>
        <v/>
      </c>
      <c r="H739" s="79">
        <f>IF('Ordenes_Odoo'!H739="","",'Ordenes_Odoo'!H739)</f>
        <v/>
      </c>
      <c r="I739" s="79">
        <f>IF('Ordenes_Odoo'!I739="","",'Ordenes_Odoo'!I739)</f>
        <v/>
      </c>
      <c r="J739" s="79">
        <f>IF('Ordenes_Odoo'!J739="","",'Ordenes_Odoo'!J739)</f>
        <v/>
      </c>
      <c r="K739" s="81">
        <f>IF('Ordenes_Odoo'!K739="","",'Ordenes_Odoo'!K739)</f>
        <v/>
      </c>
      <c r="L739" s="81">
        <f>IF('Ordenes_Odoo'!L739="","",'Ordenes_Odoo'!L739)</f>
        <v/>
      </c>
      <c r="M739" s="79">
        <f>IF('Ordenes_Odoo'!M739="","",'Ordenes_Odoo'!M739)</f>
        <v/>
      </c>
      <c r="N739" s="79">
        <f>IF('Ordenes_Odoo'!N739="","",'Ordenes_Odoo'!N739)</f>
        <v/>
      </c>
      <c r="O739" s="81">
        <f>IF('Ordenes_Odoo'!O739="","",'Ordenes_Odoo'!O739)</f>
        <v/>
      </c>
      <c r="P739" s="81">
        <f>IF('Ordenes_Odoo'!P739="","",'Ordenes_Odoo'!P739)</f>
        <v/>
      </c>
      <c r="Q739" s="79">
        <f>IF(A739="","",IFERROR(INDEX(Facturas_Odoo!$B:$B, MATCH(A739, Facturas_Odoo!$D:$D, 0)), "Sin Factura"))</f>
        <v/>
      </c>
      <c r="R739" s="80">
        <f>IF(Q739="Sin Factura","",IFERROR(INDEX(Facturas_Odoo!$A:$A, MATCH(Q739, Facturas_Odoo!$B:$B, 0)), ""))</f>
        <v/>
      </c>
      <c r="S739" s="79">
        <f>IF(Q739="Sin Factura","",IFERROR(_xlfn.XLOOKUP(1, (Facturas_Odoo!$D:$D=A739) * (Facturas_Odoo!$K:$K=I739), Facturas_Odoo!$L:$L, ""), ""))</f>
        <v/>
      </c>
      <c r="T739" s="81">
        <f>IF(Q739="Sin Factura",0,IFERROR(_xlfn.XLOOKUP(1, (Facturas_Odoo!$D:$D=A739) * (Facturas_Odoo!$K:$K=I739), Facturas_Odoo!$M:$M, 0), 0))</f>
        <v/>
      </c>
      <c r="U739" s="79">
        <f>IF(Q739="Sin Factura",0,IFERROR(_xlfn.XLOOKUP(1, (Facturas_Odoo!$D:$D=A739) * (Facturas_Odoo!$K:$K=I739), Facturas_Odoo!$N:$N, 0), 0))</f>
        <v/>
      </c>
      <c r="V739" s="79">
        <f>IF(Q739="Sin Factura",0,IFERROR(_xlfn.XLOOKUP(1, (Facturas_Odoo!$D:$D=A739) * (Facturas_Odoo!$K:$K=I739), Facturas_Odoo!$O:$O, 0), 0))</f>
        <v/>
      </c>
      <c r="W739" s="81">
        <f>IF(Q739="Sin Factura",0,IFERROR(_xlfn.XLOOKUP(1, (Facturas_Odoo!$D:$D=A739) * (Facturas_Odoo!$K:$K=I739), Facturas_Odoo!$Q:$Q, 0), 0))</f>
        <v/>
      </c>
      <c r="X739" s="79">
        <f>IF(OR(Q739="Sin Factura",Q739=""),"",IFERROR(INDEX(Pagos_Odoo!$B:$B, MATCH(Q739, Pagos_Odoo!$I:$I, 0)), "Sin Pago"))</f>
        <v/>
      </c>
      <c r="Y739" s="79">
        <f>IF(X739="Sin Pago","",IFERROR(INDEX(Pagos_Odoo!$C:$C, MATCH(X739, Pagos_Odoo!$B:$B, 0)), ""))</f>
        <v/>
      </c>
      <c r="Z739" s="80">
        <f>IF(X739="Sin Pago","",IFERROR(INDEX(Pagos_Odoo!$A:$A, MATCH(X739, Pagos_Odoo!$B:$B, 0)), ""))</f>
        <v/>
      </c>
      <c r="AA739" s="79">
        <f>IF(X739="Sin Pago","",IFERROR(INDEX(Pagos_Odoo!$F:$F, MATCH(X739, Pagos_Odoo!$B:$B, 0)), ""))</f>
        <v/>
      </c>
      <c r="AB739" s="81">
        <f>IF(X739="Sin Pago",0,IFERROR(INDEX(Pagos_Odoo!$E:$E, MATCH(X739, Pagos_Odoo!$B:$B, 0)), 0))</f>
        <v/>
      </c>
      <c r="AC739" s="79">
        <f>IF(X739="Sin Pago","",IFERROR(INDEX(Pagos_Odoo!$G:$G, MATCH(X739, Pagos_Odoo!$B:$B, 0)), ""))</f>
        <v/>
      </c>
      <c r="AD739" s="82" t="n">
        <v>0</v>
      </c>
      <c r="AE739" s="82" t="n"/>
      <c r="AF739" s="82" t="n"/>
      <c r="AG739" s="82">
        <f>IF(AN739="","",AD739+AE739+AF739)</f>
        <v/>
      </c>
      <c r="AH739" s="81">
        <f>IF(AN739="","",P739*(1-AG739))</f>
        <v/>
      </c>
      <c r="AI739" s="81">
        <f>IF(AN739="","",IF(Q739="Sin Factura",0,IFERROR(INDEX(Facturas_Odoo!$H:$H, MATCH(Q739, Facturas_Odoo!$B:$B, 0)), 0)*(1-AG739)))</f>
        <v/>
      </c>
      <c r="AJ739" s="81">
        <f>IF(AN739="","",_xlfn.LET(idVenta, AN739&amp;"",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39" s="81">
        <f>IF(AN739="","",AH739-AJ739)</f>
        <v/>
      </c>
      <c r="AL739" s="81">
        <f>IF(AN739="","",IF(Q739="Sin Factura","",AI739-AJ739))</f>
        <v/>
      </c>
      <c r="AM739" s="81">
        <f>IF(AN739="","",IF(Q739="Sin Factura",0,P739-IFERROR(INDEX(Facturas_Odoo!$H:$H, MATCH(Q739, Facturas_Odoo!$B:$B, 0)), 0)))</f>
        <v/>
      </c>
      <c r="AN739" s="79">
        <f>IF(AND(A739="", J739=""), "", IF(A739&lt;&gt;"", VALUE(MID(A739,2,LEN(A739))), AN738))</f>
        <v/>
      </c>
      <c r="AO739" s="79">
        <f>IF(AN739="","",IF(AD739=0,"OK",_xlfn.LET(monedaPago, IF(AA739="","USD",AA739), limitePermitido, IFERROR(VLOOKUP(monedaPago, Configuración!$A$2:$B$3, 2, FALSE), 0.15), IF(AD739&gt;limitePermitido, "ALERTA: EXCESO (" &amp; TEXT(limitePermitido, "0%") &amp; " máx)", "OK"))))</f>
        <v/>
      </c>
      <c r="AP739" s="79">
        <f>IF(AN739="","",IF(AE739=0,"OK",_xlfn.LET(fechaPago, Z739, fechaFactura, R739, diasCredito, IF(E739="Pago inmediato", 0, IFERROR(VALUE(MID(E739, 1, SEARCH(" ", E739)-1)),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39" s="79">
        <f>IF(AN739="","",IF(AND(N739&gt;0, AG739&gt;0), IF(Configuración!$K$2="NO", "ALERTA: DESCUENTO DOBLE NO PERMITIDO", "OK"), "OK"))</f>
        <v/>
      </c>
      <c r="AR739" s="79">
        <f>IF(AN739="","",IF(OR(AO739&lt;&gt;"OK", AP739&lt;&gt;"OK", AQ739&lt;&gt;"OK"), "⚠️ REVISAR", "OK"))</f>
        <v/>
      </c>
    </row>
    <row r="740">
      <c r="A740" s="79">
        <f>IF('Ordenes_Odoo'!A740="","",'Ordenes_Odoo'!A740)</f>
        <v/>
      </c>
      <c r="B740" s="80">
        <f>IF('Ordenes_Odoo'!B740="","",'Ordenes_Odoo'!B740)</f>
        <v/>
      </c>
      <c r="C740" s="79">
        <f>IF('Ordenes_Odoo'!C740="","",'Ordenes_Odoo'!C740)</f>
        <v/>
      </c>
      <c r="D740" s="79">
        <f>IF('Ordenes_Odoo'!D740="","",'Ordenes_Odoo'!D740)</f>
        <v/>
      </c>
      <c r="E740" s="79">
        <f>IF('Ordenes_Odoo'!E740="","",'Ordenes_Odoo'!E740)</f>
        <v/>
      </c>
      <c r="F740" s="79">
        <f>IF('Ordenes_Odoo'!F740="","",'Ordenes_Odoo'!F740)</f>
        <v/>
      </c>
      <c r="G740" s="79">
        <f>IF('Ordenes_Odoo'!G740="","",'Ordenes_Odoo'!G740)</f>
        <v/>
      </c>
      <c r="H740" s="79">
        <f>IF('Ordenes_Odoo'!H740="","",'Ordenes_Odoo'!H740)</f>
        <v/>
      </c>
      <c r="I740" s="79">
        <f>IF('Ordenes_Odoo'!I740="","",'Ordenes_Odoo'!I740)</f>
        <v/>
      </c>
      <c r="J740" s="79">
        <f>IF('Ordenes_Odoo'!J740="","",'Ordenes_Odoo'!J740)</f>
        <v/>
      </c>
      <c r="K740" s="81">
        <f>IF('Ordenes_Odoo'!K740="","",'Ordenes_Odoo'!K740)</f>
        <v/>
      </c>
      <c r="L740" s="81">
        <f>IF('Ordenes_Odoo'!L740="","",'Ordenes_Odoo'!L740)</f>
        <v/>
      </c>
      <c r="M740" s="79">
        <f>IF('Ordenes_Odoo'!M740="","",'Ordenes_Odoo'!M740)</f>
        <v/>
      </c>
      <c r="N740" s="79">
        <f>IF('Ordenes_Odoo'!N740="","",'Ordenes_Odoo'!N740)</f>
        <v/>
      </c>
      <c r="O740" s="81">
        <f>IF('Ordenes_Odoo'!O740="","",'Ordenes_Odoo'!O740)</f>
        <v/>
      </c>
      <c r="P740" s="81">
        <f>IF('Ordenes_Odoo'!P740="","",'Ordenes_Odoo'!P740)</f>
        <v/>
      </c>
      <c r="Q740" s="79">
        <f>IF(A740="","",IFERROR(INDEX(Facturas_Odoo!$B:$B, MATCH(A740, Facturas_Odoo!$D:$D, 0)), "Sin Factura"))</f>
        <v/>
      </c>
      <c r="R740" s="80">
        <f>IF(Q740="Sin Factura","",IFERROR(INDEX(Facturas_Odoo!$A:$A, MATCH(Q740, Facturas_Odoo!$B:$B, 0)), ""))</f>
        <v/>
      </c>
      <c r="S740" s="79">
        <f>IF(Q740="Sin Factura","",IFERROR(_xlfn.XLOOKUP(1, (Facturas_Odoo!$D:$D=A740) * (Facturas_Odoo!$K:$K=I740), Facturas_Odoo!$L:$L, ""), ""))</f>
        <v/>
      </c>
      <c r="T740" s="81">
        <f>IF(Q740="Sin Factura",0,IFERROR(_xlfn.XLOOKUP(1, (Facturas_Odoo!$D:$D=A740) * (Facturas_Odoo!$K:$K=I740), Facturas_Odoo!$M:$M, 0), 0))</f>
        <v/>
      </c>
      <c r="U740" s="79">
        <f>IF(Q740="Sin Factura",0,IFERROR(_xlfn.XLOOKUP(1, (Facturas_Odoo!$D:$D=A740) * (Facturas_Odoo!$K:$K=I740), Facturas_Odoo!$N:$N, 0), 0))</f>
        <v/>
      </c>
      <c r="V740" s="79">
        <f>IF(Q740="Sin Factura",0,IFERROR(_xlfn.XLOOKUP(1, (Facturas_Odoo!$D:$D=A740) * (Facturas_Odoo!$K:$K=I740), Facturas_Odoo!$O:$O, 0), 0))</f>
        <v/>
      </c>
      <c r="W740" s="81">
        <f>IF(Q740="Sin Factura",0,IFERROR(_xlfn.XLOOKUP(1, (Facturas_Odoo!$D:$D=A740) * (Facturas_Odoo!$K:$K=I740), Facturas_Odoo!$Q:$Q, 0), 0))</f>
        <v/>
      </c>
      <c r="X740" s="79">
        <f>IF(OR(Q740="Sin Factura",Q740=""),"",IFERROR(INDEX(Pagos_Odoo!$B:$B, MATCH(Q740, Pagos_Odoo!$I:$I, 0)), "Sin Pago"))</f>
        <v/>
      </c>
      <c r="Y740" s="79">
        <f>IF(X740="Sin Pago","",IFERROR(INDEX(Pagos_Odoo!$C:$C, MATCH(X740, Pagos_Odoo!$B:$B, 0)), ""))</f>
        <v/>
      </c>
      <c r="Z740" s="80">
        <f>IF(X740="Sin Pago","",IFERROR(INDEX(Pagos_Odoo!$A:$A, MATCH(X740, Pagos_Odoo!$B:$B, 0)), ""))</f>
        <v/>
      </c>
      <c r="AA740" s="79">
        <f>IF(X740="Sin Pago","",IFERROR(INDEX(Pagos_Odoo!$F:$F, MATCH(X740, Pagos_Odoo!$B:$B, 0)), ""))</f>
        <v/>
      </c>
      <c r="AB740" s="81">
        <f>IF(X740="Sin Pago",0,IFERROR(INDEX(Pagos_Odoo!$E:$E, MATCH(X740, Pagos_Odoo!$B:$B, 0)), 0))</f>
        <v/>
      </c>
      <c r="AC740" s="79">
        <f>IF(X740="Sin Pago","",IFERROR(INDEX(Pagos_Odoo!$G:$G, MATCH(X740, Pagos_Odoo!$B:$B, 0)), ""))</f>
        <v/>
      </c>
      <c r="AD740" s="82" t="n">
        <v>0</v>
      </c>
      <c r="AE740" s="82" t="n"/>
      <c r="AF740" s="82" t="n"/>
      <c r="AG740" s="82">
        <f>IF(AN740="","",AD740+AE740+AF740)</f>
        <v/>
      </c>
      <c r="AH740" s="81">
        <f>IF(AN740="","",P740*(1-AG740))</f>
        <v/>
      </c>
      <c r="AI740" s="81">
        <f>IF(AN740="","",IF(Q740="Sin Factura",0,IFERROR(INDEX(Facturas_Odoo!$H:$H, MATCH(Q740, Facturas_Odoo!$B:$B, 0)), 0)*(1-AG740)))</f>
        <v/>
      </c>
      <c r="AJ740" s="81">
        <f>IF(AN740="","",_xlfn.LET(idVenta, AN740&amp;"",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40" s="81">
        <f>IF(AN740="","",AH740-AJ740)</f>
        <v/>
      </c>
      <c r="AL740" s="81">
        <f>IF(AN740="","",IF(Q740="Sin Factura","",AI740-AJ740))</f>
        <v/>
      </c>
      <c r="AM740" s="81">
        <f>IF(AN740="","",IF(Q740="Sin Factura",0,P740-IFERROR(INDEX(Facturas_Odoo!$H:$H, MATCH(Q740, Facturas_Odoo!$B:$B, 0)), 0)))</f>
        <v/>
      </c>
      <c r="AN740" s="79">
        <f>IF(AND(A740="", J740=""), "", IF(A740&lt;&gt;"", VALUE(MID(A740,2,LEN(A740))), AN739))</f>
        <v/>
      </c>
      <c r="AO740" s="79">
        <f>IF(AN740="","",IF(AD740=0,"OK",_xlfn.LET(monedaPago, IF(AA740="","USD",AA740), limitePermitido, IFERROR(VLOOKUP(monedaPago, Configuración!$A$2:$B$3, 2, FALSE), 0.15), IF(AD740&gt;limitePermitido, "ALERTA: EXCESO (" &amp; TEXT(limitePermitido, "0%") &amp; " máx)", "OK"))))</f>
        <v/>
      </c>
      <c r="AP740" s="79">
        <f>IF(AN740="","",IF(AE740=0,"OK",_xlfn.LET(fechaPago, Z740, fechaFactura, R740, diasCredito, IF(E740="Pago inmediato", 0, IFERROR(VALUE(MID(E740, 1, SEARCH(" ", E740)-1)),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40" s="79">
        <f>IF(AN740="","",IF(AND(N740&gt;0, AG740&gt;0), IF(Configuración!$K$2="NO", "ALERTA: DESCUENTO DOBLE NO PERMITIDO", "OK"), "OK"))</f>
        <v/>
      </c>
      <c r="AR740" s="79">
        <f>IF(AN740="","",IF(OR(AO740&lt;&gt;"OK", AP740&lt;&gt;"OK", AQ740&lt;&gt;"OK"), "⚠️ REVISAR", "OK"))</f>
        <v/>
      </c>
    </row>
    <row r="741">
      <c r="A741" s="79">
        <f>IF('Ordenes_Odoo'!A741="","",'Ordenes_Odoo'!A741)</f>
        <v/>
      </c>
      <c r="B741" s="80">
        <f>IF('Ordenes_Odoo'!B741="","",'Ordenes_Odoo'!B741)</f>
        <v/>
      </c>
      <c r="C741" s="79">
        <f>IF('Ordenes_Odoo'!C741="","",'Ordenes_Odoo'!C741)</f>
        <v/>
      </c>
      <c r="D741" s="79">
        <f>IF('Ordenes_Odoo'!D741="","",'Ordenes_Odoo'!D741)</f>
        <v/>
      </c>
      <c r="E741" s="79">
        <f>IF('Ordenes_Odoo'!E741="","",'Ordenes_Odoo'!E741)</f>
        <v/>
      </c>
      <c r="F741" s="79">
        <f>IF('Ordenes_Odoo'!F741="","",'Ordenes_Odoo'!F741)</f>
        <v/>
      </c>
      <c r="G741" s="79">
        <f>IF('Ordenes_Odoo'!G741="","",'Ordenes_Odoo'!G741)</f>
        <v/>
      </c>
      <c r="H741" s="79">
        <f>IF('Ordenes_Odoo'!H741="","",'Ordenes_Odoo'!H741)</f>
        <v/>
      </c>
      <c r="I741" s="79">
        <f>IF('Ordenes_Odoo'!I741="","",'Ordenes_Odoo'!I741)</f>
        <v/>
      </c>
      <c r="J741" s="79">
        <f>IF('Ordenes_Odoo'!J741="","",'Ordenes_Odoo'!J741)</f>
        <v/>
      </c>
      <c r="K741" s="81">
        <f>IF('Ordenes_Odoo'!K741="","",'Ordenes_Odoo'!K741)</f>
        <v/>
      </c>
      <c r="L741" s="81">
        <f>IF('Ordenes_Odoo'!L741="","",'Ordenes_Odoo'!L741)</f>
        <v/>
      </c>
      <c r="M741" s="79">
        <f>IF('Ordenes_Odoo'!M741="","",'Ordenes_Odoo'!M741)</f>
        <v/>
      </c>
      <c r="N741" s="79">
        <f>IF('Ordenes_Odoo'!N741="","",'Ordenes_Odoo'!N741)</f>
        <v/>
      </c>
      <c r="O741" s="81">
        <f>IF('Ordenes_Odoo'!O741="","",'Ordenes_Odoo'!O741)</f>
        <v/>
      </c>
      <c r="P741" s="81">
        <f>IF('Ordenes_Odoo'!P741="","",'Ordenes_Odoo'!P741)</f>
        <v/>
      </c>
      <c r="Q741" s="79">
        <f>IF(A741="","",IFERROR(INDEX(Facturas_Odoo!$B:$B, MATCH(A741, Facturas_Odoo!$D:$D, 0)), "Sin Factura"))</f>
        <v/>
      </c>
      <c r="R741" s="80">
        <f>IF(Q741="Sin Factura","",IFERROR(INDEX(Facturas_Odoo!$A:$A, MATCH(Q741, Facturas_Odoo!$B:$B, 0)), ""))</f>
        <v/>
      </c>
      <c r="S741" s="79">
        <f>IF(Q741="Sin Factura","",IFERROR(_xlfn.XLOOKUP(1, (Facturas_Odoo!$D:$D=A741) * (Facturas_Odoo!$K:$K=I741), Facturas_Odoo!$L:$L, ""), ""))</f>
        <v/>
      </c>
      <c r="T741" s="81">
        <f>IF(Q741="Sin Factura",0,IFERROR(_xlfn.XLOOKUP(1, (Facturas_Odoo!$D:$D=A741) * (Facturas_Odoo!$K:$K=I741), Facturas_Odoo!$M:$M, 0), 0))</f>
        <v/>
      </c>
      <c r="U741" s="79">
        <f>IF(Q741="Sin Factura",0,IFERROR(_xlfn.XLOOKUP(1, (Facturas_Odoo!$D:$D=A741) * (Facturas_Odoo!$K:$K=I741), Facturas_Odoo!$N:$N, 0), 0))</f>
        <v/>
      </c>
      <c r="V741" s="79">
        <f>IF(Q741="Sin Factura",0,IFERROR(_xlfn.XLOOKUP(1, (Facturas_Odoo!$D:$D=A741) * (Facturas_Odoo!$K:$K=I741), Facturas_Odoo!$O:$O, 0), 0))</f>
        <v/>
      </c>
      <c r="W741" s="81">
        <f>IF(Q741="Sin Factura",0,IFERROR(_xlfn.XLOOKUP(1, (Facturas_Odoo!$D:$D=A741) * (Facturas_Odoo!$K:$K=I741), Facturas_Odoo!$Q:$Q, 0), 0))</f>
        <v/>
      </c>
      <c r="X741" s="79">
        <f>IF(OR(Q741="Sin Factura",Q741=""),"",IFERROR(INDEX(Pagos_Odoo!$B:$B, MATCH(Q741, Pagos_Odoo!$I:$I, 0)), "Sin Pago"))</f>
        <v/>
      </c>
      <c r="Y741" s="79">
        <f>IF(X741="Sin Pago","",IFERROR(INDEX(Pagos_Odoo!$C:$C, MATCH(X741, Pagos_Odoo!$B:$B, 0)), ""))</f>
        <v/>
      </c>
      <c r="Z741" s="80">
        <f>IF(X741="Sin Pago","",IFERROR(INDEX(Pagos_Odoo!$A:$A, MATCH(X741, Pagos_Odoo!$B:$B, 0)), ""))</f>
        <v/>
      </c>
      <c r="AA741" s="79">
        <f>IF(X741="Sin Pago","",IFERROR(INDEX(Pagos_Odoo!$F:$F, MATCH(X741, Pagos_Odoo!$B:$B, 0)), ""))</f>
        <v/>
      </c>
      <c r="AB741" s="81">
        <f>IF(X741="Sin Pago",0,IFERROR(INDEX(Pagos_Odoo!$E:$E, MATCH(X741, Pagos_Odoo!$B:$B, 0)), 0))</f>
        <v/>
      </c>
      <c r="AC741" s="79">
        <f>IF(X741="Sin Pago","",IFERROR(INDEX(Pagos_Odoo!$G:$G, MATCH(X741, Pagos_Odoo!$B:$B, 0)), ""))</f>
        <v/>
      </c>
      <c r="AD741" s="82" t="n">
        <v>0</v>
      </c>
      <c r="AE741" s="82" t="n"/>
      <c r="AF741" s="82" t="n"/>
      <c r="AG741" s="82">
        <f>IF(AN741="","",AD741+AE741+AF741)</f>
        <v/>
      </c>
      <c r="AH741" s="81">
        <f>IF(AN741="","",P741*(1-AG741))</f>
        <v/>
      </c>
      <c r="AI741" s="81">
        <f>IF(AN741="","",IF(Q741="Sin Factura",0,IFERROR(INDEX(Facturas_Odoo!$H:$H, MATCH(Q741, Facturas_Odoo!$B:$B, 0)), 0)*(1-AG741)))</f>
        <v/>
      </c>
      <c r="AJ741" s="81">
        <f>IF(AN741="","",_xlfn.LET(idVenta, AN741&amp;"",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41" s="81">
        <f>IF(AN741="","",AH741-AJ741)</f>
        <v/>
      </c>
      <c r="AL741" s="81">
        <f>IF(AN741="","",IF(Q741="Sin Factura","",AI741-AJ741))</f>
        <v/>
      </c>
      <c r="AM741" s="81">
        <f>IF(AN741="","",IF(Q741="Sin Factura",0,P741-IFERROR(INDEX(Facturas_Odoo!$H:$H, MATCH(Q741, Facturas_Odoo!$B:$B, 0)), 0)))</f>
        <v/>
      </c>
      <c r="AN741" s="79">
        <f>IF(AND(A741="", J741=""), "", IF(A741&lt;&gt;"", VALUE(MID(A741,2,LEN(A741))), AN740))</f>
        <v/>
      </c>
      <c r="AO741" s="79">
        <f>IF(AN741="","",IF(AD741=0,"OK",_xlfn.LET(monedaPago, IF(AA741="","USD",AA741), limitePermitido, IFERROR(VLOOKUP(monedaPago, Configuración!$A$2:$B$3, 2, FALSE), 0.15), IF(AD741&gt;limitePermitido, "ALERTA: EXCESO (" &amp; TEXT(limitePermitido, "0%") &amp; " máx)", "OK"))))</f>
        <v/>
      </c>
      <c r="AP741" s="79">
        <f>IF(AN741="","",IF(AE741=0,"OK",_xlfn.LET(fechaPago, Z741, fechaFactura, R741, diasCredito, IF(E741="Pago inmediato", 0, IFERROR(VALUE(MID(E741, 1, SEARCH(" ", E741)-1)),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41" s="79">
        <f>IF(AN741="","",IF(AND(N741&gt;0, AG741&gt;0), IF(Configuración!$K$2="NO", "ALERTA: DESCUENTO DOBLE NO PERMITIDO", "OK"), "OK"))</f>
        <v/>
      </c>
      <c r="AR741" s="79">
        <f>IF(AN741="","",IF(OR(AO741&lt;&gt;"OK", AP741&lt;&gt;"OK", AQ741&lt;&gt;"OK"), "⚠️ REVISAR", "OK"))</f>
        <v/>
      </c>
    </row>
    <row r="742">
      <c r="A742" s="79">
        <f>IF('Ordenes_Odoo'!A742="","",'Ordenes_Odoo'!A742)</f>
        <v/>
      </c>
      <c r="B742" s="80">
        <f>IF('Ordenes_Odoo'!B742="","",'Ordenes_Odoo'!B742)</f>
        <v/>
      </c>
      <c r="C742" s="79">
        <f>IF('Ordenes_Odoo'!C742="","",'Ordenes_Odoo'!C742)</f>
        <v/>
      </c>
      <c r="D742" s="79">
        <f>IF('Ordenes_Odoo'!D742="","",'Ordenes_Odoo'!D742)</f>
        <v/>
      </c>
      <c r="E742" s="79">
        <f>IF('Ordenes_Odoo'!E742="","",'Ordenes_Odoo'!E742)</f>
        <v/>
      </c>
      <c r="F742" s="79">
        <f>IF('Ordenes_Odoo'!F742="","",'Ordenes_Odoo'!F742)</f>
        <v/>
      </c>
      <c r="G742" s="79">
        <f>IF('Ordenes_Odoo'!G742="","",'Ordenes_Odoo'!G742)</f>
        <v/>
      </c>
      <c r="H742" s="79">
        <f>IF('Ordenes_Odoo'!H742="","",'Ordenes_Odoo'!H742)</f>
        <v/>
      </c>
      <c r="I742" s="79">
        <f>IF('Ordenes_Odoo'!I742="","",'Ordenes_Odoo'!I742)</f>
        <v/>
      </c>
      <c r="J742" s="79">
        <f>IF('Ordenes_Odoo'!J742="","",'Ordenes_Odoo'!J742)</f>
        <v/>
      </c>
      <c r="K742" s="81">
        <f>IF('Ordenes_Odoo'!K742="","",'Ordenes_Odoo'!K742)</f>
        <v/>
      </c>
      <c r="L742" s="81">
        <f>IF('Ordenes_Odoo'!L742="","",'Ordenes_Odoo'!L742)</f>
        <v/>
      </c>
      <c r="M742" s="79">
        <f>IF('Ordenes_Odoo'!M742="","",'Ordenes_Odoo'!M742)</f>
        <v/>
      </c>
      <c r="N742" s="79">
        <f>IF('Ordenes_Odoo'!N742="","",'Ordenes_Odoo'!N742)</f>
        <v/>
      </c>
      <c r="O742" s="81">
        <f>IF('Ordenes_Odoo'!O742="","",'Ordenes_Odoo'!O742)</f>
        <v/>
      </c>
      <c r="P742" s="81">
        <f>IF('Ordenes_Odoo'!P742="","",'Ordenes_Odoo'!P742)</f>
        <v/>
      </c>
      <c r="Q742" s="79">
        <f>IF(A742="","",IFERROR(INDEX(Facturas_Odoo!$B:$B, MATCH(A742, Facturas_Odoo!$D:$D, 0)), "Sin Factura"))</f>
        <v/>
      </c>
      <c r="R742" s="80">
        <f>IF(Q742="Sin Factura","",IFERROR(INDEX(Facturas_Odoo!$A:$A, MATCH(Q742, Facturas_Odoo!$B:$B, 0)), ""))</f>
        <v/>
      </c>
      <c r="S742" s="79">
        <f>IF(Q742="Sin Factura","",IFERROR(_xlfn.XLOOKUP(1, (Facturas_Odoo!$D:$D=A742) * (Facturas_Odoo!$K:$K=I742), Facturas_Odoo!$L:$L, ""), ""))</f>
        <v/>
      </c>
      <c r="T742" s="81">
        <f>IF(Q742="Sin Factura",0,IFERROR(_xlfn.XLOOKUP(1, (Facturas_Odoo!$D:$D=A742) * (Facturas_Odoo!$K:$K=I742), Facturas_Odoo!$M:$M, 0), 0))</f>
        <v/>
      </c>
      <c r="U742" s="79">
        <f>IF(Q742="Sin Factura",0,IFERROR(_xlfn.XLOOKUP(1, (Facturas_Odoo!$D:$D=A742) * (Facturas_Odoo!$K:$K=I742), Facturas_Odoo!$N:$N, 0), 0))</f>
        <v/>
      </c>
      <c r="V742" s="79">
        <f>IF(Q742="Sin Factura",0,IFERROR(_xlfn.XLOOKUP(1, (Facturas_Odoo!$D:$D=A742) * (Facturas_Odoo!$K:$K=I742), Facturas_Odoo!$O:$O, 0), 0))</f>
        <v/>
      </c>
      <c r="W742" s="81">
        <f>IF(Q742="Sin Factura",0,IFERROR(_xlfn.XLOOKUP(1, (Facturas_Odoo!$D:$D=A742) * (Facturas_Odoo!$K:$K=I742), Facturas_Odoo!$Q:$Q, 0), 0))</f>
        <v/>
      </c>
      <c r="X742" s="79">
        <f>IF(OR(Q742="Sin Factura",Q742=""),"",IFERROR(INDEX(Pagos_Odoo!$B:$B, MATCH(Q742, Pagos_Odoo!$I:$I, 0)), "Sin Pago"))</f>
        <v/>
      </c>
      <c r="Y742" s="79">
        <f>IF(X742="Sin Pago","",IFERROR(INDEX(Pagos_Odoo!$C:$C, MATCH(X742, Pagos_Odoo!$B:$B, 0)), ""))</f>
        <v/>
      </c>
      <c r="Z742" s="80">
        <f>IF(X742="Sin Pago","",IFERROR(INDEX(Pagos_Odoo!$A:$A, MATCH(X742, Pagos_Odoo!$B:$B, 0)), ""))</f>
        <v/>
      </c>
      <c r="AA742" s="79">
        <f>IF(X742="Sin Pago","",IFERROR(INDEX(Pagos_Odoo!$F:$F, MATCH(X742, Pagos_Odoo!$B:$B, 0)), ""))</f>
        <v/>
      </c>
      <c r="AB742" s="81">
        <f>IF(X742="Sin Pago",0,IFERROR(INDEX(Pagos_Odoo!$E:$E, MATCH(X742, Pagos_Odoo!$B:$B, 0)), 0))</f>
        <v/>
      </c>
      <c r="AC742" s="79">
        <f>IF(X742="Sin Pago","",IFERROR(INDEX(Pagos_Odoo!$G:$G, MATCH(X742, Pagos_Odoo!$B:$B, 0)), ""))</f>
        <v/>
      </c>
      <c r="AD742" s="82" t="n">
        <v>0</v>
      </c>
      <c r="AE742" s="82" t="n"/>
      <c r="AF742" s="82" t="n"/>
      <c r="AG742" s="82">
        <f>IF(AN742="","",AD742+AE742+AF742)</f>
        <v/>
      </c>
      <c r="AH742" s="81">
        <f>IF(AN742="","",P742*(1-AG742))</f>
        <v/>
      </c>
      <c r="AI742" s="81">
        <f>IF(AN742="","",IF(Q742="Sin Factura",0,IFERROR(INDEX(Facturas_Odoo!$H:$H, MATCH(Q742, Facturas_Odoo!$B:$B, 0)), 0)*(1-AG742)))</f>
        <v/>
      </c>
      <c r="AJ742" s="81">
        <f>IF(AN742="","",_xlfn.LET(idVenta, AN742&amp;"",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42" s="81">
        <f>IF(AN742="","",AH742-AJ742)</f>
        <v/>
      </c>
      <c r="AL742" s="81">
        <f>IF(AN742="","",IF(Q742="Sin Factura","",AI742-AJ742))</f>
        <v/>
      </c>
      <c r="AM742" s="81">
        <f>IF(AN742="","",IF(Q742="Sin Factura",0,P742-IFERROR(INDEX(Facturas_Odoo!$H:$H, MATCH(Q742, Facturas_Odoo!$B:$B, 0)), 0)))</f>
        <v/>
      </c>
      <c r="AN742" s="79">
        <f>IF(AND(A742="", J742=""), "", IF(A742&lt;&gt;"", VALUE(MID(A742,2,LEN(A742))), AN741))</f>
        <v/>
      </c>
      <c r="AO742" s="79">
        <f>IF(AN742="","",IF(AD742=0,"OK",_xlfn.LET(monedaPago, IF(AA742="","USD",AA742), limitePermitido, IFERROR(VLOOKUP(monedaPago, Configuración!$A$2:$B$3, 2, FALSE), 0.15), IF(AD742&gt;limitePermitido, "ALERTA: EXCESO (" &amp; TEXT(limitePermitido, "0%") &amp; " máx)", "OK"))))</f>
        <v/>
      </c>
      <c r="AP742" s="79">
        <f>IF(AN742="","",IF(AE742=0,"OK",_xlfn.LET(fechaPago, Z742, fechaFactura, R742, diasCredito, IF(E742="Pago inmediato", 0, IFERROR(VALUE(MID(E742, 1, SEARCH(" ", E742)-1)),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42" s="79">
        <f>IF(AN742="","",IF(AND(N742&gt;0, AG742&gt;0), IF(Configuración!$K$2="NO", "ALERTA: DESCUENTO DOBLE NO PERMITIDO", "OK"), "OK"))</f>
        <v/>
      </c>
      <c r="AR742" s="79">
        <f>IF(AN742="","",IF(OR(AO742&lt;&gt;"OK", AP742&lt;&gt;"OK", AQ742&lt;&gt;"OK"), "⚠️ REVISAR", "OK"))</f>
        <v/>
      </c>
    </row>
    <row r="743">
      <c r="A743" s="79">
        <f>IF('Ordenes_Odoo'!A743="","",'Ordenes_Odoo'!A743)</f>
        <v/>
      </c>
      <c r="B743" s="80">
        <f>IF('Ordenes_Odoo'!B743="","",'Ordenes_Odoo'!B743)</f>
        <v/>
      </c>
      <c r="C743" s="79">
        <f>IF('Ordenes_Odoo'!C743="","",'Ordenes_Odoo'!C743)</f>
        <v/>
      </c>
      <c r="D743" s="79">
        <f>IF('Ordenes_Odoo'!D743="","",'Ordenes_Odoo'!D743)</f>
        <v/>
      </c>
      <c r="E743" s="79">
        <f>IF('Ordenes_Odoo'!E743="","",'Ordenes_Odoo'!E743)</f>
        <v/>
      </c>
      <c r="F743" s="79">
        <f>IF('Ordenes_Odoo'!F743="","",'Ordenes_Odoo'!F743)</f>
        <v/>
      </c>
      <c r="G743" s="79">
        <f>IF('Ordenes_Odoo'!G743="","",'Ordenes_Odoo'!G743)</f>
        <v/>
      </c>
      <c r="H743" s="79">
        <f>IF('Ordenes_Odoo'!H743="","",'Ordenes_Odoo'!H743)</f>
        <v/>
      </c>
      <c r="I743" s="79">
        <f>IF('Ordenes_Odoo'!I743="","",'Ordenes_Odoo'!I743)</f>
        <v/>
      </c>
      <c r="J743" s="79">
        <f>IF('Ordenes_Odoo'!J743="","",'Ordenes_Odoo'!J743)</f>
        <v/>
      </c>
      <c r="K743" s="81">
        <f>IF('Ordenes_Odoo'!K743="","",'Ordenes_Odoo'!K743)</f>
        <v/>
      </c>
      <c r="L743" s="81">
        <f>IF('Ordenes_Odoo'!L743="","",'Ordenes_Odoo'!L743)</f>
        <v/>
      </c>
      <c r="M743" s="79">
        <f>IF('Ordenes_Odoo'!M743="","",'Ordenes_Odoo'!M743)</f>
        <v/>
      </c>
      <c r="N743" s="79">
        <f>IF('Ordenes_Odoo'!N743="","",'Ordenes_Odoo'!N743)</f>
        <v/>
      </c>
      <c r="O743" s="81">
        <f>IF('Ordenes_Odoo'!O743="","",'Ordenes_Odoo'!O743)</f>
        <v/>
      </c>
      <c r="P743" s="81">
        <f>IF('Ordenes_Odoo'!P743="","",'Ordenes_Odoo'!P743)</f>
        <v/>
      </c>
      <c r="Q743" s="79">
        <f>IF(A743="","",IFERROR(INDEX(Facturas_Odoo!$B:$B, MATCH(A743, Facturas_Odoo!$D:$D, 0)), "Sin Factura"))</f>
        <v/>
      </c>
      <c r="R743" s="80">
        <f>IF(Q743="Sin Factura","",IFERROR(INDEX(Facturas_Odoo!$A:$A, MATCH(Q743, Facturas_Odoo!$B:$B, 0)), ""))</f>
        <v/>
      </c>
      <c r="S743" s="79">
        <f>IF(Q743="Sin Factura","",IFERROR(_xlfn.XLOOKUP(1, (Facturas_Odoo!$D:$D=A743) * (Facturas_Odoo!$K:$K=I743), Facturas_Odoo!$L:$L, ""), ""))</f>
        <v/>
      </c>
      <c r="T743" s="81">
        <f>IF(Q743="Sin Factura",0,IFERROR(_xlfn.XLOOKUP(1, (Facturas_Odoo!$D:$D=A743) * (Facturas_Odoo!$K:$K=I743), Facturas_Odoo!$M:$M, 0), 0))</f>
        <v/>
      </c>
      <c r="U743" s="79">
        <f>IF(Q743="Sin Factura",0,IFERROR(_xlfn.XLOOKUP(1, (Facturas_Odoo!$D:$D=A743) * (Facturas_Odoo!$K:$K=I743), Facturas_Odoo!$N:$N, 0), 0))</f>
        <v/>
      </c>
      <c r="V743" s="79">
        <f>IF(Q743="Sin Factura",0,IFERROR(_xlfn.XLOOKUP(1, (Facturas_Odoo!$D:$D=A743) * (Facturas_Odoo!$K:$K=I743), Facturas_Odoo!$O:$O, 0), 0))</f>
        <v/>
      </c>
      <c r="W743" s="81">
        <f>IF(Q743="Sin Factura",0,IFERROR(_xlfn.XLOOKUP(1, (Facturas_Odoo!$D:$D=A743) * (Facturas_Odoo!$K:$K=I743), Facturas_Odoo!$Q:$Q, 0), 0))</f>
        <v/>
      </c>
      <c r="X743" s="79">
        <f>IF(OR(Q743="Sin Factura",Q743=""),"",IFERROR(INDEX(Pagos_Odoo!$B:$B, MATCH(Q743, Pagos_Odoo!$I:$I, 0)), "Sin Pago"))</f>
        <v/>
      </c>
      <c r="Y743" s="79">
        <f>IF(X743="Sin Pago","",IFERROR(INDEX(Pagos_Odoo!$C:$C, MATCH(X743, Pagos_Odoo!$B:$B, 0)), ""))</f>
        <v/>
      </c>
      <c r="Z743" s="80">
        <f>IF(X743="Sin Pago","",IFERROR(INDEX(Pagos_Odoo!$A:$A, MATCH(X743, Pagos_Odoo!$B:$B, 0)), ""))</f>
        <v/>
      </c>
      <c r="AA743" s="79">
        <f>IF(X743="Sin Pago","",IFERROR(INDEX(Pagos_Odoo!$F:$F, MATCH(X743, Pagos_Odoo!$B:$B, 0)), ""))</f>
        <v/>
      </c>
      <c r="AB743" s="81">
        <f>IF(X743="Sin Pago",0,IFERROR(INDEX(Pagos_Odoo!$E:$E, MATCH(X743, Pagos_Odoo!$B:$B, 0)), 0))</f>
        <v/>
      </c>
      <c r="AC743" s="79">
        <f>IF(X743="Sin Pago","",IFERROR(INDEX(Pagos_Odoo!$G:$G, MATCH(X743, Pagos_Odoo!$B:$B, 0)), ""))</f>
        <v/>
      </c>
      <c r="AD743" s="82" t="n">
        <v>0</v>
      </c>
      <c r="AE743" s="82" t="n"/>
      <c r="AF743" s="82" t="n"/>
      <c r="AG743" s="82">
        <f>IF(AN743="","",AD743+AE743+AF743)</f>
        <v/>
      </c>
      <c r="AH743" s="81">
        <f>IF(AN743="","",P743*(1-AG743))</f>
        <v/>
      </c>
      <c r="AI743" s="81">
        <f>IF(AN743="","",IF(Q743="Sin Factura",0,IFERROR(INDEX(Facturas_Odoo!$H:$H, MATCH(Q743, Facturas_Odoo!$B:$B, 0)), 0)*(1-AG743)))</f>
        <v/>
      </c>
      <c r="AJ743" s="81">
        <f>IF(AN743="","",_xlfn.LET(idVenta, AN743&amp;"",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43" s="81">
        <f>IF(AN743="","",AH743-AJ743)</f>
        <v/>
      </c>
      <c r="AL743" s="81">
        <f>IF(AN743="","",IF(Q743="Sin Factura","",AI743-AJ743))</f>
        <v/>
      </c>
      <c r="AM743" s="81">
        <f>IF(AN743="","",IF(Q743="Sin Factura",0,P743-IFERROR(INDEX(Facturas_Odoo!$H:$H, MATCH(Q743, Facturas_Odoo!$B:$B, 0)), 0)))</f>
        <v/>
      </c>
      <c r="AN743" s="79">
        <f>IF(AND(A743="", J743=""), "", IF(A743&lt;&gt;"", VALUE(MID(A743,2,LEN(A743))), AN742))</f>
        <v/>
      </c>
      <c r="AO743" s="79">
        <f>IF(AN743="","",IF(AD743=0,"OK",_xlfn.LET(monedaPago, IF(AA743="","USD",AA743), limitePermitido, IFERROR(VLOOKUP(monedaPago, Configuración!$A$2:$B$3, 2, FALSE), 0.15), IF(AD743&gt;limitePermitido, "ALERTA: EXCESO (" &amp; TEXT(limitePermitido, "0%") &amp; " máx)", "OK"))))</f>
        <v/>
      </c>
      <c r="AP743" s="79">
        <f>IF(AN743="","",IF(AE743=0,"OK",_xlfn.LET(fechaPago, Z743, fechaFactura, R743, diasCredito, IF(E743="Pago inmediato", 0, IFERROR(VALUE(MID(E743, 1, SEARCH(" ", E743)-1)),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43" s="79">
        <f>IF(AN743="","",IF(AND(N743&gt;0, AG743&gt;0), IF(Configuración!$K$2="NO", "ALERTA: DESCUENTO DOBLE NO PERMITIDO", "OK"), "OK"))</f>
        <v/>
      </c>
      <c r="AR743" s="79">
        <f>IF(AN743="","",IF(OR(AO743&lt;&gt;"OK", AP743&lt;&gt;"OK", AQ743&lt;&gt;"OK"), "⚠️ REVISAR", "OK"))</f>
        <v/>
      </c>
    </row>
    <row r="744">
      <c r="A744" s="79">
        <f>IF('Ordenes_Odoo'!A744="","",'Ordenes_Odoo'!A744)</f>
        <v/>
      </c>
      <c r="B744" s="80">
        <f>IF('Ordenes_Odoo'!B744="","",'Ordenes_Odoo'!B744)</f>
        <v/>
      </c>
      <c r="C744" s="79">
        <f>IF('Ordenes_Odoo'!C744="","",'Ordenes_Odoo'!C744)</f>
        <v/>
      </c>
      <c r="D744" s="79">
        <f>IF('Ordenes_Odoo'!D744="","",'Ordenes_Odoo'!D744)</f>
        <v/>
      </c>
      <c r="E744" s="79">
        <f>IF('Ordenes_Odoo'!E744="","",'Ordenes_Odoo'!E744)</f>
        <v/>
      </c>
      <c r="F744" s="79">
        <f>IF('Ordenes_Odoo'!F744="","",'Ordenes_Odoo'!F744)</f>
        <v/>
      </c>
      <c r="G744" s="79">
        <f>IF('Ordenes_Odoo'!G744="","",'Ordenes_Odoo'!G744)</f>
        <v/>
      </c>
      <c r="H744" s="79">
        <f>IF('Ordenes_Odoo'!H744="","",'Ordenes_Odoo'!H744)</f>
        <v/>
      </c>
      <c r="I744" s="79">
        <f>IF('Ordenes_Odoo'!I744="","",'Ordenes_Odoo'!I744)</f>
        <v/>
      </c>
      <c r="J744" s="79">
        <f>IF('Ordenes_Odoo'!J744="","",'Ordenes_Odoo'!J744)</f>
        <v/>
      </c>
      <c r="K744" s="81">
        <f>IF('Ordenes_Odoo'!K744="","",'Ordenes_Odoo'!K744)</f>
        <v/>
      </c>
      <c r="L744" s="81">
        <f>IF('Ordenes_Odoo'!L744="","",'Ordenes_Odoo'!L744)</f>
        <v/>
      </c>
      <c r="M744" s="79">
        <f>IF('Ordenes_Odoo'!M744="","",'Ordenes_Odoo'!M744)</f>
        <v/>
      </c>
      <c r="N744" s="79">
        <f>IF('Ordenes_Odoo'!N744="","",'Ordenes_Odoo'!N744)</f>
        <v/>
      </c>
      <c r="O744" s="81">
        <f>IF('Ordenes_Odoo'!O744="","",'Ordenes_Odoo'!O744)</f>
        <v/>
      </c>
      <c r="P744" s="81">
        <f>IF('Ordenes_Odoo'!P744="","",'Ordenes_Odoo'!P744)</f>
        <v/>
      </c>
      <c r="Q744" s="79">
        <f>IF(A744="","",IFERROR(INDEX(Facturas_Odoo!$B:$B, MATCH(A744, Facturas_Odoo!$D:$D, 0)), "Sin Factura"))</f>
        <v/>
      </c>
      <c r="R744" s="80">
        <f>IF(Q744="Sin Factura","",IFERROR(INDEX(Facturas_Odoo!$A:$A, MATCH(Q744, Facturas_Odoo!$B:$B, 0)), ""))</f>
        <v/>
      </c>
      <c r="S744" s="79">
        <f>IF(Q744="Sin Factura","",IFERROR(_xlfn.XLOOKUP(1, (Facturas_Odoo!$D:$D=A744) * (Facturas_Odoo!$K:$K=I744), Facturas_Odoo!$L:$L, ""), ""))</f>
        <v/>
      </c>
      <c r="T744" s="81">
        <f>IF(Q744="Sin Factura",0,IFERROR(_xlfn.XLOOKUP(1, (Facturas_Odoo!$D:$D=A744) * (Facturas_Odoo!$K:$K=I744), Facturas_Odoo!$M:$M, 0), 0))</f>
        <v/>
      </c>
      <c r="U744" s="79">
        <f>IF(Q744="Sin Factura",0,IFERROR(_xlfn.XLOOKUP(1, (Facturas_Odoo!$D:$D=A744) * (Facturas_Odoo!$K:$K=I744), Facturas_Odoo!$N:$N, 0), 0))</f>
        <v/>
      </c>
      <c r="V744" s="79">
        <f>IF(Q744="Sin Factura",0,IFERROR(_xlfn.XLOOKUP(1, (Facturas_Odoo!$D:$D=A744) * (Facturas_Odoo!$K:$K=I744), Facturas_Odoo!$O:$O, 0), 0))</f>
        <v/>
      </c>
      <c r="W744" s="81">
        <f>IF(Q744="Sin Factura",0,IFERROR(_xlfn.XLOOKUP(1, (Facturas_Odoo!$D:$D=A744) * (Facturas_Odoo!$K:$K=I744), Facturas_Odoo!$Q:$Q, 0), 0))</f>
        <v/>
      </c>
      <c r="X744" s="79">
        <f>IF(OR(Q744="Sin Factura",Q744=""),"",IFERROR(INDEX(Pagos_Odoo!$B:$B, MATCH(Q744, Pagos_Odoo!$I:$I, 0)), "Sin Pago"))</f>
        <v/>
      </c>
      <c r="Y744" s="79">
        <f>IF(X744="Sin Pago","",IFERROR(INDEX(Pagos_Odoo!$C:$C, MATCH(X744, Pagos_Odoo!$B:$B, 0)), ""))</f>
        <v/>
      </c>
      <c r="Z744" s="80">
        <f>IF(X744="Sin Pago","",IFERROR(INDEX(Pagos_Odoo!$A:$A, MATCH(X744, Pagos_Odoo!$B:$B, 0)), ""))</f>
        <v/>
      </c>
      <c r="AA744" s="79">
        <f>IF(X744="Sin Pago","",IFERROR(INDEX(Pagos_Odoo!$F:$F, MATCH(X744, Pagos_Odoo!$B:$B, 0)), ""))</f>
        <v/>
      </c>
      <c r="AB744" s="81">
        <f>IF(X744="Sin Pago",0,IFERROR(INDEX(Pagos_Odoo!$E:$E, MATCH(X744, Pagos_Odoo!$B:$B, 0)), 0))</f>
        <v/>
      </c>
      <c r="AC744" s="79">
        <f>IF(X744="Sin Pago","",IFERROR(INDEX(Pagos_Odoo!$G:$G, MATCH(X744, Pagos_Odoo!$B:$B, 0)), ""))</f>
        <v/>
      </c>
      <c r="AD744" s="82" t="n">
        <v>0</v>
      </c>
      <c r="AE744" s="82" t="n"/>
      <c r="AF744" s="82" t="n"/>
      <c r="AG744" s="82">
        <f>IF(AN744="","",AD744+AE744+AF744)</f>
        <v/>
      </c>
      <c r="AH744" s="81">
        <f>IF(AN744="","",P744*(1-AG744))</f>
        <v/>
      </c>
      <c r="AI744" s="81">
        <f>IF(AN744="","",IF(Q744="Sin Factura",0,IFERROR(INDEX(Facturas_Odoo!$H:$H, MATCH(Q744, Facturas_Odoo!$B:$B, 0)), 0)*(1-AG744)))</f>
        <v/>
      </c>
      <c r="AJ744" s="81">
        <f>IF(AN744="","",_xlfn.LET(idVenta, AN744&amp;"",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44" s="81">
        <f>IF(AN744="","",AH744-AJ744)</f>
        <v/>
      </c>
      <c r="AL744" s="81">
        <f>IF(AN744="","",IF(Q744="Sin Factura","",AI744-AJ744))</f>
        <v/>
      </c>
      <c r="AM744" s="81">
        <f>IF(AN744="","",IF(Q744="Sin Factura",0,P744-IFERROR(INDEX(Facturas_Odoo!$H:$H, MATCH(Q744, Facturas_Odoo!$B:$B, 0)), 0)))</f>
        <v/>
      </c>
      <c r="AN744" s="79">
        <f>IF(AND(A744="", J744=""), "", IF(A744&lt;&gt;"", VALUE(MID(A744,2,LEN(A744))), AN743))</f>
        <v/>
      </c>
      <c r="AO744" s="79">
        <f>IF(AN744="","",IF(AD744=0,"OK",_xlfn.LET(monedaPago, IF(AA744="","USD",AA744), limitePermitido, IFERROR(VLOOKUP(monedaPago, Configuración!$A$2:$B$3, 2, FALSE), 0.15), IF(AD744&gt;limitePermitido, "ALERTA: EXCESO (" &amp; TEXT(limitePermitido, "0%") &amp; " máx)", "OK"))))</f>
        <v/>
      </c>
      <c r="AP744" s="79">
        <f>IF(AN744="","",IF(AE744=0,"OK",_xlfn.LET(fechaPago, Z744, fechaFactura, R744, diasCredito, IF(E744="Pago inmediato", 0, IFERROR(VALUE(MID(E744, 1, SEARCH(" ", E744)-1)),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44" s="79">
        <f>IF(AN744="","",IF(AND(N744&gt;0, AG744&gt;0), IF(Configuración!$K$2="NO", "ALERTA: DESCUENTO DOBLE NO PERMITIDO", "OK"), "OK"))</f>
        <v/>
      </c>
      <c r="AR744" s="79">
        <f>IF(AN744="","",IF(OR(AO744&lt;&gt;"OK", AP744&lt;&gt;"OK", AQ744&lt;&gt;"OK"), "⚠️ REVISAR", "OK"))</f>
        <v/>
      </c>
    </row>
    <row r="745">
      <c r="A745" s="79">
        <f>IF('Ordenes_Odoo'!A745="","",'Ordenes_Odoo'!A745)</f>
        <v/>
      </c>
      <c r="B745" s="80">
        <f>IF('Ordenes_Odoo'!B745="","",'Ordenes_Odoo'!B745)</f>
        <v/>
      </c>
      <c r="C745" s="79">
        <f>IF('Ordenes_Odoo'!C745="","",'Ordenes_Odoo'!C745)</f>
        <v/>
      </c>
      <c r="D745" s="79">
        <f>IF('Ordenes_Odoo'!D745="","",'Ordenes_Odoo'!D745)</f>
        <v/>
      </c>
      <c r="E745" s="79">
        <f>IF('Ordenes_Odoo'!E745="","",'Ordenes_Odoo'!E745)</f>
        <v/>
      </c>
      <c r="F745" s="79">
        <f>IF('Ordenes_Odoo'!F745="","",'Ordenes_Odoo'!F745)</f>
        <v/>
      </c>
      <c r="G745" s="79">
        <f>IF('Ordenes_Odoo'!G745="","",'Ordenes_Odoo'!G745)</f>
        <v/>
      </c>
      <c r="H745" s="79">
        <f>IF('Ordenes_Odoo'!H745="","",'Ordenes_Odoo'!H745)</f>
        <v/>
      </c>
      <c r="I745" s="79">
        <f>IF('Ordenes_Odoo'!I745="","",'Ordenes_Odoo'!I745)</f>
        <v/>
      </c>
      <c r="J745" s="79">
        <f>IF('Ordenes_Odoo'!J745="","",'Ordenes_Odoo'!J745)</f>
        <v/>
      </c>
      <c r="K745" s="81">
        <f>IF('Ordenes_Odoo'!K745="","",'Ordenes_Odoo'!K745)</f>
        <v/>
      </c>
      <c r="L745" s="81">
        <f>IF('Ordenes_Odoo'!L745="","",'Ordenes_Odoo'!L745)</f>
        <v/>
      </c>
      <c r="M745" s="79">
        <f>IF('Ordenes_Odoo'!M745="","",'Ordenes_Odoo'!M745)</f>
        <v/>
      </c>
      <c r="N745" s="79">
        <f>IF('Ordenes_Odoo'!N745="","",'Ordenes_Odoo'!N745)</f>
        <v/>
      </c>
      <c r="O745" s="81">
        <f>IF('Ordenes_Odoo'!O745="","",'Ordenes_Odoo'!O745)</f>
        <v/>
      </c>
      <c r="P745" s="81">
        <f>IF('Ordenes_Odoo'!P745="","",'Ordenes_Odoo'!P745)</f>
        <v/>
      </c>
      <c r="Q745" s="79">
        <f>IF(A745="","",IFERROR(INDEX(Facturas_Odoo!$B:$B, MATCH(A745, Facturas_Odoo!$D:$D, 0)), "Sin Factura"))</f>
        <v/>
      </c>
      <c r="R745" s="80">
        <f>IF(Q745="Sin Factura","",IFERROR(INDEX(Facturas_Odoo!$A:$A, MATCH(Q745, Facturas_Odoo!$B:$B, 0)), ""))</f>
        <v/>
      </c>
      <c r="S745" s="79">
        <f>IF(Q745="Sin Factura","",IFERROR(_xlfn.XLOOKUP(1, (Facturas_Odoo!$D:$D=A745) * (Facturas_Odoo!$K:$K=I745), Facturas_Odoo!$L:$L, ""), ""))</f>
        <v/>
      </c>
      <c r="T745" s="81">
        <f>IF(Q745="Sin Factura",0,IFERROR(_xlfn.XLOOKUP(1, (Facturas_Odoo!$D:$D=A745) * (Facturas_Odoo!$K:$K=I745), Facturas_Odoo!$M:$M, 0), 0))</f>
        <v/>
      </c>
      <c r="U745" s="79">
        <f>IF(Q745="Sin Factura",0,IFERROR(_xlfn.XLOOKUP(1, (Facturas_Odoo!$D:$D=A745) * (Facturas_Odoo!$K:$K=I745), Facturas_Odoo!$N:$N, 0), 0))</f>
        <v/>
      </c>
      <c r="V745" s="79">
        <f>IF(Q745="Sin Factura",0,IFERROR(_xlfn.XLOOKUP(1, (Facturas_Odoo!$D:$D=A745) * (Facturas_Odoo!$K:$K=I745), Facturas_Odoo!$O:$O, 0), 0))</f>
        <v/>
      </c>
      <c r="W745" s="81">
        <f>IF(Q745="Sin Factura",0,IFERROR(_xlfn.XLOOKUP(1, (Facturas_Odoo!$D:$D=A745) * (Facturas_Odoo!$K:$K=I745), Facturas_Odoo!$Q:$Q, 0), 0))</f>
        <v/>
      </c>
      <c r="X745" s="79">
        <f>IF(OR(Q745="Sin Factura",Q745=""),"",IFERROR(INDEX(Pagos_Odoo!$B:$B, MATCH(Q745, Pagos_Odoo!$I:$I, 0)), "Sin Pago"))</f>
        <v/>
      </c>
      <c r="Y745" s="79">
        <f>IF(X745="Sin Pago","",IFERROR(INDEX(Pagos_Odoo!$C:$C, MATCH(X745, Pagos_Odoo!$B:$B, 0)), ""))</f>
        <v/>
      </c>
      <c r="Z745" s="80">
        <f>IF(X745="Sin Pago","",IFERROR(INDEX(Pagos_Odoo!$A:$A, MATCH(X745, Pagos_Odoo!$B:$B, 0)), ""))</f>
        <v/>
      </c>
      <c r="AA745" s="79">
        <f>IF(X745="Sin Pago","",IFERROR(INDEX(Pagos_Odoo!$F:$F, MATCH(X745, Pagos_Odoo!$B:$B, 0)), ""))</f>
        <v/>
      </c>
      <c r="AB745" s="81">
        <f>IF(X745="Sin Pago",0,IFERROR(INDEX(Pagos_Odoo!$E:$E, MATCH(X745, Pagos_Odoo!$B:$B, 0)), 0))</f>
        <v/>
      </c>
      <c r="AC745" s="79">
        <f>IF(X745="Sin Pago","",IFERROR(INDEX(Pagos_Odoo!$G:$G, MATCH(X745, Pagos_Odoo!$B:$B, 0)), ""))</f>
        <v/>
      </c>
      <c r="AD745" s="82" t="n">
        <v>0</v>
      </c>
      <c r="AE745" s="82" t="n"/>
      <c r="AF745" s="82" t="n"/>
      <c r="AG745" s="82">
        <f>IF(AN745="","",AD745+AE745+AF745)</f>
        <v/>
      </c>
      <c r="AH745" s="81">
        <f>IF(AN745="","",P745*(1-AG745))</f>
        <v/>
      </c>
      <c r="AI745" s="81">
        <f>IF(AN745="","",IF(Q745="Sin Factura",0,IFERROR(INDEX(Facturas_Odoo!$H:$H, MATCH(Q745, Facturas_Odoo!$B:$B, 0)), 0)*(1-AG745)))</f>
        <v/>
      </c>
      <c r="AJ745" s="81">
        <f>IF(AN745="","",_xlfn.LET(idVenta, AN745&amp;"",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45" s="81">
        <f>IF(AN745="","",AH745-AJ745)</f>
        <v/>
      </c>
      <c r="AL745" s="81">
        <f>IF(AN745="","",IF(Q745="Sin Factura","",AI745-AJ745))</f>
        <v/>
      </c>
      <c r="AM745" s="81">
        <f>IF(AN745="","",IF(Q745="Sin Factura",0,P745-IFERROR(INDEX(Facturas_Odoo!$H:$H, MATCH(Q745, Facturas_Odoo!$B:$B, 0)), 0)))</f>
        <v/>
      </c>
      <c r="AN745" s="79">
        <f>IF(AND(A745="", J745=""), "", IF(A745&lt;&gt;"", VALUE(MID(A745,2,LEN(A745))), AN744))</f>
        <v/>
      </c>
      <c r="AO745" s="79">
        <f>IF(AN745="","",IF(AD745=0,"OK",_xlfn.LET(monedaPago, IF(AA745="","USD",AA745), limitePermitido, IFERROR(VLOOKUP(monedaPago, Configuración!$A$2:$B$3, 2, FALSE), 0.15), IF(AD745&gt;limitePermitido, "ALERTA: EXCESO (" &amp; TEXT(limitePermitido, "0%") &amp; " máx)", "OK"))))</f>
        <v/>
      </c>
      <c r="AP745" s="79">
        <f>IF(AN745="","",IF(AE745=0,"OK",_xlfn.LET(fechaPago, Z745, fechaFactura, R745, diasCredito, IF(E745="Pago inmediato", 0, IFERROR(VALUE(MID(E745, 1, SEARCH(" ", E745)-1)),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45" s="79">
        <f>IF(AN745="","",IF(AND(N745&gt;0, AG745&gt;0), IF(Configuración!$K$2="NO", "ALERTA: DESCUENTO DOBLE NO PERMITIDO", "OK"), "OK"))</f>
        <v/>
      </c>
      <c r="AR745" s="79">
        <f>IF(AN745="","",IF(OR(AO745&lt;&gt;"OK", AP745&lt;&gt;"OK", AQ745&lt;&gt;"OK"), "⚠️ REVISAR", "OK"))</f>
        <v/>
      </c>
    </row>
    <row r="746">
      <c r="A746" s="79">
        <f>IF('Ordenes_Odoo'!A746="","",'Ordenes_Odoo'!A746)</f>
        <v/>
      </c>
      <c r="B746" s="80">
        <f>IF('Ordenes_Odoo'!B746="","",'Ordenes_Odoo'!B746)</f>
        <v/>
      </c>
      <c r="C746" s="79">
        <f>IF('Ordenes_Odoo'!C746="","",'Ordenes_Odoo'!C746)</f>
        <v/>
      </c>
      <c r="D746" s="79">
        <f>IF('Ordenes_Odoo'!D746="","",'Ordenes_Odoo'!D746)</f>
        <v/>
      </c>
      <c r="E746" s="79">
        <f>IF('Ordenes_Odoo'!E746="","",'Ordenes_Odoo'!E746)</f>
        <v/>
      </c>
      <c r="F746" s="79">
        <f>IF('Ordenes_Odoo'!F746="","",'Ordenes_Odoo'!F746)</f>
        <v/>
      </c>
      <c r="G746" s="79">
        <f>IF('Ordenes_Odoo'!G746="","",'Ordenes_Odoo'!G746)</f>
        <v/>
      </c>
      <c r="H746" s="79">
        <f>IF('Ordenes_Odoo'!H746="","",'Ordenes_Odoo'!H746)</f>
        <v/>
      </c>
      <c r="I746" s="79">
        <f>IF('Ordenes_Odoo'!I746="","",'Ordenes_Odoo'!I746)</f>
        <v/>
      </c>
      <c r="J746" s="79">
        <f>IF('Ordenes_Odoo'!J746="","",'Ordenes_Odoo'!J746)</f>
        <v/>
      </c>
      <c r="K746" s="81">
        <f>IF('Ordenes_Odoo'!K746="","",'Ordenes_Odoo'!K746)</f>
        <v/>
      </c>
      <c r="L746" s="81">
        <f>IF('Ordenes_Odoo'!L746="","",'Ordenes_Odoo'!L746)</f>
        <v/>
      </c>
      <c r="M746" s="79">
        <f>IF('Ordenes_Odoo'!M746="","",'Ordenes_Odoo'!M746)</f>
        <v/>
      </c>
      <c r="N746" s="79">
        <f>IF('Ordenes_Odoo'!N746="","",'Ordenes_Odoo'!N746)</f>
        <v/>
      </c>
      <c r="O746" s="81">
        <f>IF('Ordenes_Odoo'!O746="","",'Ordenes_Odoo'!O746)</f>
        <v/>
      </c>
      <c r="P746" s="81">
        <f>IF('Ordenes_Odoo'!P746="","",'Ordenes_Odoo'!P746)</f>
        <v/>
      </c>
      <c r="Q746" s="79">
        <f>IF(A746="","",IFERROR(INDEX(Facturas_Odoo!$B:$B, MATCH(A746, Facturas_Odoo!$D:$D, 0)), "Sin Factura"))</f>
        <v/>
      </c>
      <c r="R746" s="80">
        <f>IF(Q746="Sin Factura","",IFERROR(INDEX(Facturas_Odoo!$A:$A, MATCH(Q746, Facturas_Odoo!$B:$B, 0)), ""))</f>
        <v/>
      </c>
      <c r="S746" s="79">
        <f>IF(Q746="Sin Factura","",IFERROR(_xlfn.XLOOKUP(1, (Facturas_Odoo!$D:$D=A746) * (Facturas_Odoo!$K:$K=I746), Facturas_Odoo!$L:$L, ""), ""))</f>
        <v/>
      </c>
      <c r="T746" s="81">
        <f>IF(Q746="Sin Factura",0,IFERROR(_xlfn.XLOOKUP(1, (Facturas_Odoo!$D:$D=A746) * (Facturas_Odoo!$K:$K=I746), Facturas_Odoo!$M:$M, 0), 0))</f>
        <v/>
      </c>
      <c r="U746" s="79">
        <f>IF(Q746="Sin Factura",0,IFERROR(_xlfn.XLOOKUP(1, (Facturas_Odoo!$D:$D=A746) * (Facturas_Odoo!$K:$K=I746), Facturas_Odoo!$N:$N, 0), 0))</f>
        <v/>
      </c>
      <c r="V746" s="79">
        <f>IF(Q746="Sin Factura",0,IFERROR(_xlfn.XLOOKUP(1, (Facturas_Odoo!$D:$D=A746) * (Facturas_Odoo!$K:$K=I746), Facturas_Odoo!$O:$O, 0), 0))</f>
        <v/>
      </c>
      <c r="W746" s="81">
        <f>IF(Q746="Sin Factura",0,IFERROR(_xlfn.XLOOKUP(1, (Facturas_Odoo!$D:$D=A746) * (Facturas_Odoo!$K:$K=I746), Facturas_Odoo!$Q:$Q, 0), 0))</f>
        <v/>
      </c>
      <c r="X746" s="79">
        <f>IF(OR(Q746="Sin Factura",Q746=""),"",IFERROR(INDEX(Pagos_Odoo!$B:$B, MATCH(Q746, Pagos_Odoo!$I:$I, 0)), "Sin Pago"))</f>
        <v/>
      </c>
      <c r="Y746" s="79">
        <f>IF(X746="Sin Pago","",IFERROR(INDEX(Pagos_Odoo!$C:$C, MATCH(X746, Pagos_Odoo!$B:$B, 0)), ""))</f>
        <v/>
      </c>
      <c r="Z746" s="80">
        <f>IF(X746="Sin Pago","",IFERROR(INDEX(Pagos_Odoo!$A:$A, MATCH(X746, Pagos_Odoo!$B:$B, 0)), ""))</f>
        <v/>
      </c>
      <c r="AA746" s="79">
        <f>IF(X746="Sin Pago","",IFERROR(INDEX(Pagos_Odoo!$F:$F, MATCH(X746, Pagos_Odoo!$B:$B, 0)), ""))</f>
        <v/>
      </c>
      <c r="AB746" s="81">
        <f>IF(X746="Sin Pago",0,IFERROR(INDEX(Pagos_Odoo!$E:$E, MATCH(X746, Pagos_Odoo!$B:$B, 0)), 0))</f>
        <v/>
      </c>
      <c r="AC746" s="79">
        <f>IF(X746="Sin Pago","",IFERROR(INDEX(Pagos_Odoo!$G:$G, MATCH(X746, Pagos_Odoo!$B:$B, 0)), ""))</f>
        <v/>
      </c>
      <c r="AD746" s="82" t="n">
        <v>0</v>
      </c>
      <c r="AE746" s="82" t="n"/>
      <c r="AF746" s="82" t="n"/>
      <c r="AG746" s="82">
        <f>IF(AN746="","",AD746+AE746+AF746)</f>
        <v/>
      </c>
      <c r="AH746" s="81">
        <f>IF(AN746="","",P746*(1-AG746))</f>
        <v/>
      </c>
      <c r="AI746" s="81">
        <f>IF(AN746="","",IF(Q746="Sin Factura",0,IFERROR(INDEX(Facturas_Odoo!$H:$H, MATCH(Q746, Facturas_Odoo!$B:$B, 0)), 0)*(1-AG746)))</f>
        <v/>
      </c>
      <c r="AJ746" s="81">
        <f>IF(AN746="","",_xlfn.LET(idVenta, AN746&amp;"",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46" s="81">
        <f>IF(AN746="","",AH746-AJ746)</f>
        <v/>
      </c>
      <c r="AL746" s="81">
        <f>IF(AN746="","",IF(Q746="Sin Factura","",AI746-AJ746))</f>
        <v/>
      </c>
      <c r="AM746" s="81">
        <f>IF(AN746="","",IF(Q746="Sin Factura",0,P746-IFERROR(INDEX(Facturas_Odoo!$H:$H, MATCH(Q746, Facturas_Odoo!$B:$B, 0)), 0)))</f>
        <v/>
      </c>
      <c r="AN746" s="79">
        <f>IF(AND(A746="", J746=""), "", IF(A746&lt;&gt;"", VALUE(MID(A746,2,LEN(A746))), AN745))</f>
        <v/>
      </c>
      <c r="AO746" s="79">
        <f>IF(AN746="","",IF(AD746=0,"OK",_xlfn.LET(monedaPago, IF(AA746="","USD",AA746), limitePermitido, IFERROR(VLOOKUP(monedaPago, Configuración!$A$2:$B$3, 2, FALSE), 0.15), IF(AD746&gt;limitePermitido, "ALERTA: EXCESO (" &amp; TEXT(limitePermitido, "0%") &amp; " máx)", "OK"))))</f>
        <v/>
      </c>
      <c r="AP746" s="79">
        <f>IF(AN746="","",IF(AE746=0,"OK",_xlfn.LET(fechaPago, Z746, fechaFactura, R746, diasCredito, IF(E746="Pago inmediato", 0, IFERROR(VALUE(MID(E746, 1, SEARCH(" ", E746)-1)),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46" s="79">
        <f>IF(AN746="","",IF(AND(N746&gt;0, AG746&gt;0), IF(Configuración!$K$2="NO", "ALERTA: DESCUENTO DOBLE NO PERMITIDO", "OK"), "OK"))</f>
        <v/>
      </c>
      <c r="AR746" s="79">
        <f>IF(AN746="","",IF(OR(AO746&lt;&gt;"OK", AP746&lt;&gt;"OK", AQ746&lt;&gt;"OK"), "⚠️ REVISAR", "OK"))</f>
        <v/>
      </c>
    </row>
    <row r="747">
      <c r="A747" s="79">
        <f>IF('Ordenes_Odoo'!A747="","",'Ordenes_Odoo'!A747)</f>
        <v/>
      </c>
      <c r="B747" s="80">
        <f>IF('Ordenes_Odoo'!B747="","",'Ordenes_Odoo'!B747)</f>
        <v/>
      </c>
      <c r="C747" s="79">
        <f>IF('Ordenes_Odoo'!C747="","",'Ordenes_Odoo'!C747)</f>
        <v/>
      </c>
      <c r="D747" s="79">
        <f>IF('Ordenes_Odoo'!D747="","",'Ordenes_Odoo'!D747)</f>
        <v/>
      </c>
      <c r="E747" s="79">
        <f>IF('Ordenes_Odoo'!E747="","",'Ordenes_Odoo'!E747)</f>
        <v/>
      </c>
      <c r="F747" s="79">
        <f>IF('Ordenes_Odoo'!F747="","",'Ordenes_Odoo'!F747)</f>
        <v/>
      </c>
      <c r="G747" s="79">
        <f>IF('Ordenes_Odoo'!G747="","",'Ordenes_Odoo'!G747)</f>
        <v/>
      </c>
      <c r="H747" s="79">
        <f>IF('Ordenes_Odoo'!H747="","",'Ordenes_Odoo'!H747)</f>
        <v/>
      </c>
      <c r="I747" s="79">
        <f>IF('Ordenes_Odoo'!I747="","",'Ordenes_Odoo'!I747)</f>
        <v/>
      </c>
      <c r="J747" s="79">
        <f>IF('Ordenes_Odoo'!J747="","",'Ordenes_Odoo'!J747)</f>
        <v/>
      </c>
      <c r="K747" s="81">
        <f>IF('Ordenes_Odoo'!K747="","",'Ordenes_Odoo'!K747)</f>
        <v/>
      </c>
      <c r="L747" s="81">
        <f>IF('Ordenes_Odoo'!L747="","",'Ordenes_Odoo'!L747)</f>
        <v/>
      </c>
      <c r="M747" s="79">
        <f>IF('Ordenes_Odoo'!M747="","",'Ordenes_Odoo'!M747)</f>
        <v/>
      </c>
      <c r="N747" s="79">
        <f>IF('Ordenes_Odoo'!N747="","",'Ordenes_Odoo'!N747)</f>
        <v/>
      </c>
      <c r="O747" s="81">
        <f>IF('Ordenes_Odoo'!O747="","",'Ordenes_Odoo'!O747)</f>
        <v/>
      </c>
      <c r="P747" s="81">
        <f>IF('Ordenes_Odoo'!P747="","",'Ordenes_Odoo'!P747)</f>
        <v/>
      </c>
      <c r="Q747" s="79">
        <f>IF(A747="","",IFERROR(INDEX(Facturas_Odoo!$B:$B, MATCH(A747, Facturas_Odoo!$D:$D, 0)), "Sin Factura"))</f>
        <v/>
      </c>
      <c r="R747" s="80">
        <f>IF(Q747="Sin Factura","",IFERROR(INDEX(Facturas_Odoo!$A:$A, MATCH(Q747, Facturas_Odoo!$B:$B, 0)), ""))</f>
        <v/>
      </c>
      <c r="S747" s="79">
        <f>IF(Q747="Sin Factura","",IFERROR(_xlfn.XLOOKUP(1, (Facturas_Odoo!$D:$D=A747) * (Facturas_Odoo!$K:$K=I747), Facturas_Odoo!$L:$L, ""), ""))</f>
        <v/>
      </c>
      <c r="T747" s="81">
        <f>IF(Q747="Sin Factura",0,IFERROR(_xlfn.XLOOKUP(1, (Facturas_Odoo!$D:$D=A747) * (Facturas_Odoo!$K:$K=I747), Facturas_Odoo!$M:$M, 0), 0))</f>
        <v/>
      </c>
      <c r="U747" s="79">
        <f>IF(Q747="Sin Factura",0,IFERROR(_xlfn.XLOOKUP(1, (Facturas_Odoo!$D:$D=A747) * (Facturas_Odoo!$K:$K=I747), Facturas_Odoo!$N:$N, 0), 0))</f>
        <v/>
      </c>
      <c r="V747" s="79">
        <f>IF(Q747="Sin Factura",0,IFERROR(_xlfn.XLOOKUP(1, (Facturas_Odoo!$D:$D=A747) * (Facturas_Odoo!$K:$K=I747), Facturas_Odoo!$O:$O, 0), 0))</f>
        <v/>
      </c>
      <c r="W747" s="81">
        <f>IF(Q747="Sin Factura",0,IFERROR(_xlfn.XLOOKUP(1, (Facturas_Odoo!$D:$D=A747) * (Facturas_Odoo!$K:$K=I747), Facturas_Odoo!$Q:$Q, 0), 0))</f>
        <v/>
      </c>
      <c r="X747" s="79">
        <f>IF(OR(Q747="Sin Factura",Q747=""),"",IFERROR(INDEX(Pagos_Odoo!$B:$B, MATCH(Q747, Pagos_Odoo!$I:$I, 0)), "Sin Pago"))</f>
        <v/>
      </c>
      <c r="Y747" s="79">
        <f>IF(X747="Sin Pago","",IFERROR(INDEX(Pagos_Odoo!$C:$C, MATCH(X747, Pagos_Odoo!$B:$B, 0)), ""))</f>
        <v/>
      </c>
      <c r="Z747" s="80">
        <f>IF(X747="Sin Pago","",IFERROR(INDEX(Pagos_Odoo!$A:$A, MATCH(X747, Pagos_Odoo!$B:$B, 0)), ""))</f>
        <v/>
      </c>
      <c r="AA747" s="79">
        <f>IF(X747="Sin Pago","",IFERROR(INDEX(Pagos_Odoo!$F:$F, MATCH(X747, Pagos_Odoo!$B:$B, 0)), ""))</f>
        <v/>
      </c>
      <c r="AB747" s="81">
        <f>IF(X747="Sin Pago",0,IFERROR(INDEX(Pagos_Odoo!$E:$E, MATCH(X747, Pagos_Odoo!$B:$B, 0)), 0))</f>
        <v/>
      </c>
      <c r="AC747" s="79">
        <f>IF(X747="Sin Pago","",IFERROR(INDEX(Pagos_Odoo!$G:$G, MATCH(X747, Pagos_Odoo!$B:$B, 0)), ""))</f>
        <v/>
      </c>
      <c r="AD747" s="82" t="n">
        <v>0</v>
      </c>
      <c r="AE747" s="82" t="n"/>
      <c r="AF747" s="82" t="n"/>
      <c r="AG747" s="82">
        <f>IF(AN747="","",AD747+AE747+AF747)</f>
        <v/>
      </c>
      <c r="AH747" s="81">
        <f>IF(AN747="","",P747*(1-AG747))</f>
        <v/>
      </c>
      <c r="AI747" s="81">
        <f>IF(AN747="","",IF(Q747="Sin Factura",0,IFERROR(INDEX(Facturas_Odoo!$H:$H, MATCH(Q747, Facturas_Odoo!$B:$B, 0)), 0)*(1-AG747)))</f>
        <v/>
      </c>
      <c r="AJ747" s="81">
        <f>IF(AN747="","",_xlfn.LET(idVenta, AN747&amp;"",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47" s="81">
        <f>IF(AN747="","",AH747-AJ747)</f>
        <v/>
      </c>
      <c r="AL747" s="81">
        <f>IF(AN747="","",IF(Q747="Sin Factura","",AI747-AJ747))</f>
        <v/>
      </c>
      <c r="AM747" s="81">
        <f>IF(AN747="","",IF(Q747="Sin Factura",0,P747-IFERROR(INDEX(Facturas_Odoo!$H:$H, MATCH(Q747, Facturas_Odoo!$B:$B, 0)), 0)))</f>
        <v/>
      </c>
      <c r="AN747" s="79">
        <f>IF(AND(A747="", J747=""), "", IF(A747&lt;&gt;"", VALUE(MID(A747,2,LEN(A747))), AN746))</f>
        <v/>
      </c>
      <c r="AO747" s="79">
        <f>IF(AN747="","",IF(AD747=0,"OK",_xlfn.LET(monedaPago, IF(AA747="","USD",AA747), limitePermitido, IFERROR(VLOOKUP(monedaPago, Configuración!$A$2:$B$3, 2, FALSE), 0.15), IF(AD747&gt;limitePermitido, "ALERTA: EXCESO (" &amp; TEXT(limitePermitido, "0%") &amp; " máx)", "OK"))))</f>
        <v/>
      </c>
      <c r="AP747" s="79">
        <f>IF(AN747="","",IF(AE747=0,"OK",_xlfn.LET(fechaPago, Z747, fechaFactura, R747, diasCredito, IF(E747="Pago inmediato", 0, IFERROR(VALUE(MID(E747, 1, SEARCH(" ", E747)-1)),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47" s="79">
        <f>IF(AN747="","",IF(AND(N747&gt;0, AG747&gt;0), IF(Configuración!$K$2="NO", "ALERTA: DESCUENTO DOBLE NO PERMITIDO", "OK"), "OK"))</f>
        <v/>
      </c>
      <c r="AR747" s="79">
        <f>IF(AN747="","",IF(OR(AO747&lt;&gt;"OK", AP747&lt;&gt;"OK", AQ747&lt;&gt;"OK"), "⚠️ REVISAR", "OK"))</f>
        <v/>
      </c>
    </row>
    <row r="748">
      <c r="A748" s="79">
        <f>IF('Ordenes_Odoo'!A748="","",'Ordenes_Odoo'!A748)</f>
        <v/>
      </c>
      <c r="B748" s="80">
        <f>IF('Ordenes_Odoo'!B748="","",'Ordenes_Odoo'!B748)</f>
        <v/>
      </c>
      <c r="C748" s="79">
        <f>IF('Ordenes_Odoo'!C748="","",'Ordenes_Odoo'!C748)</f>
        <v/>
      </c>
      <c r="D748" s="79">
        <f>IF('Ordenes_Odoo'!D748="","",'Ordenes_Odoo'!D748)</f>
        <v/>
      </c>
      <c r="E748" s="79">
        <f>IF('Ordenes_Odoo'!E748="","",'Ordenes_Odoo'!E748)</f>
        <v/>
      </c>
      <c r="F748" s="79">
        <f>IF('Ordenes_Odoo'!F748="","",'Ordenes_Odoo'!F748)</f>
        <v/>
      </c>
      <c r="G748" s="79">
        <f>IF('Ordenes_Odoo'!G748="","",'Ordenes_Odoo'!G748)</f>
        <v/>
      </c>
      <c r="H748" s="79">
        <f>IF('Ordenes_Odoo'!H748="","",'Ordenes_Odoo'!H748)</f>
        <v/>
      </c>
      <c r="I748" s="79">
        <f>IF('Ordenes_Odoo'!I748="","",'Ordenes_Odoo'!I748)</f>
        <v/>
      </c>
      <c r="J748" s="79">
        <f>IF('Ordenes_Odoo'!J748="","",'Ordenes_Odoo'!J748)</f>
        <v/>
      </c>
      <c r="K748" s="81">
        <f>IF('Ordenes_Odoo'!K748="","",'Ordenes_Odoo'!K748)</f>
        <v/>
      </c>
      <c r="L748" s="81">
        <f>IF('Ordenes_Odoo'!L748="","",'Ordenes_Odoo'!L748)</f>
        <v/>
      </c>
      <c r="M748" s="79">
        <f>IF('Ordenes_Odoo'!M748="","",'Ordenes_Odoo'!M748)</f>
        <v/>
      </c>
      <c r="N748" s="79">
        <f>IF('Ordenes_Odoo'!N748="","",'Ordenes_Odoo'!N748)</f>
        <v/>
      </c>
      <c r="O748" s="81">
        <f>IF('Ordenes_Odoo'!O748="","",'Ordenes_Odoo'!O748)</f>
        <v/>
      </c>
      <c r="P748" s="81">
        <f>IF('Ordenes_Odoo'!P748="","",'Ordenes_Odoo'!P748)</f>
        <v/>
      </c>
      <c r="Q748" s="79">
        <f>IF(A748="","",IFERROR(INDEX(Facturas_Odoo!$B:$B, MATCH(A748, Facturas_Odoo!$D:$D, 0)), "Sin Factura"))</f>
        <v/>
      </c>
      <c r="R748" s="80">
        <f>IF(Q748="Sin Factura","",IFERROR(INDEX(Facturas_Odoo!$A:$A, MATCH(Q748, Facturas_Odoo!$B:$B, 0)), ""))</f>
        <v/>
      </c>
      <c r="S748" s="79">
        <f>IF(Q748="Sin Factura","",IFERROR(_xlfn.XLOOKUP(1, (Facturas_Odoo!$D:$D=A748) * (Facturas_Odoo!$K:$K=I748), Facturas_Odoo!$L:$L, ""), ""))</f>
        <v/>
      </c>
      <c r="T748" s="81">
        <f>IF(Q748="Sin Factura",0,IFERROR(_xlfn.XLOOKUP(1, (Facturas_Odoo!$D:$D=A748) * (Facturas_Odoo!$K:$K=I748), Facturas_Odoo!$M:$M, 0), 0))</f>
        <v/>
      </c>
      <c r="U748" s="79">
        <f>IF(Q748="Sin Factura",0,IFERROR(_xlfn.XLOOKUP(1, (Facturas_Odoo!$D:$D=A748) * (Facturas_Odoo!$K:$K=I748), Facturas_Odoo!$N:$N, 0), 0))</f>
        <v/>
      </c>
      <c r="V748" s="79">
        <f>IF(Q748="Sin Factura",0,IFERROR(_xlfn.XLOOKUP(1, (Facturas_Odoo!$D:$D=A748) * (Facturas_Odoo!$K:$K=I748), Facturas_Odoo!$O:$O, 0), 0))</f>
        <v/>
      </c>
      <c r="W748" s="81">
        <f>IF(Q748="Sin Factura",0,IFERROR(_xlfn.XLOOKUP(1, (Facturas_Odoo!$D:$D=A748) * (Facturas_Odoo!$K:$K=I748), Facturas_Odoo!$Q:$Q, 0), 0))</f>
        <v/>
      </c>
      <c r="X748" s="79">
        <f>IF(OR(Q748="Sin Factura",Q748=""),"",IFERROR(INDEX(Pagos_Odoo!$B:$B, MATCH(Q748, Pagos_Odoo!$I:$I, 0)), "Sin Pago"))</f>
        <v/>
      </c>
      <c r="Y748" s="79">
        <f>IF(X748="Sin Pago","",IFERROR(INDEX(Pagos_Odoo!$C:$C, MATCH(X748, Pagos_Odoo!$B:$B, 0)), ""))</f>
        <v/>
      </c>
      <c r="Z748" s="80">
        <f>IF(X748="Sin Pago","",IFERROR(INDEX(Pagos_Odoo!$A:$A, MATCH(X748, Pagos_Odoo!$B:$B, 0)), ""))</f>
        <v/>
      </c>
      <c r="AA748" s="79">
        <f>IF(X748="Sin Pago","",IFERROR(INDEX(Pagos_Odoo!$F:$F, MATCH(X748, Pagos_Odoo!$B:$B, 0)), ""))</f>
        <v/>
      </c>
      <c r="AB748" s="81">
        <f>IF(X748="Sin Pago",0,IFERROR(INDEX(Pagos_Odoo!$E:$E, MATCH(X748, Pagos_Odoo!$B:$B, 0)), 0))</f>
        <v/>
      </c>
      <c r="AC748" s="79">
        <f>IF(X748="Sin Pago","",IFERROR(INDEX(Pagos_Odoo!$G:$G, MATCH(X748, Pagos_Odoo!$B:$B, 0)), ""))</f>
        <v/>
      </c>
      <c r="AD748" s="82" t="n">
        <v>0</v>
      </c>
      <c r="AE748" s="82" t="n"/>
      <c r="AF748" s="82" t="n"/>
      <c r="AG748" s="82">
        <f>IF(AN748="","",AD748+AE748+AF748)</f>
        <v/>
      </c>
      <c r="AH748" s="81">
        <f>IF(AN748="","",P748*(1-AG748))</f>
        <v/>
      </c>
      <c r="AI748" s="81">
        <f>IF(AN748="","",IF(Q748="Sin Factura",0,IFERROR(INDEX(Facturas_Odoo!$H:$H, MATCH(Q748, Facturas_Odoo!$B:$B, 0)), 0)*(1-AG748)))</f>
        <v/>
      </c>
      <c r="AJ748" s="81">
        <f>IF(AN748="","",_xlfn.LET(idVenta, AN748&amp;"",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48" s="81">
        <f>IF(AN748="","",AH748-AJ748)</f>
        <v/>
      </c>
      <c r="AL748" s="81">
        <f>IF(AN748="","",IF(Q748="Sin Factura","",AI748-AJ748))</f>
        <v/>
      </c>
      <c r="AM748" s="81">
        <f>IF(AN748="","",IF(Q748="Sin Factura",0,P748-IFERROR(INDEX(Facturas_Odoo!$H:$H, MATCH(Q748, Facturas_Odoo!$B:$B, 0)), 0)))</f>
        <v/>
      </c>
      <c r="AN748" s="79">
        <f>IF(AND(A748="", J748=""), "", IF(A748&lt;&gt;"", VALUE(MID(A748,2,LEN(A748))), AN747))</f>
        <v/>
      </c>
      <c r="AO748" s="79">
        <f>IF(AN748="","",IF(AD748=0,"OK",_xlfn.LET(monedaPago, IF(AA748="","USD",AA748), limitePermitido, IFERROR(VLOOKUP(monedaPago, Configuración!$A$2:$B$3, 2, FALSE), 0.15), IF(AD748&gt;limitePermitido, "ALERTA: EXCESO (" &amp; TEXT(limitePermitido, "0%") &amp; " máx)", "OK"))))</f>
        <v/>
      </c>
      <c r="AP748" s="79">
        <f>IF(AN748="","",IF(AE748=0,"OK",_xlfn.LET(fechaPago, Z748, fechaFactura, R748, diasCredito, IF(E748="Pago inmediato", 0, IFERROR(VALUE(MID(E748, 1, SEARCH(" ", E748)-1)),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48" s="79">
        <f>IF(AN748="","",IF(AND(N748&gt;0, AG748&gt;0), IF(Configuración!$K$2="NO", "ALERTA: DESCUENTO DOBLE NO PERMITIDO", "OK"), "OK"))</f>
        <v/>
      </c>
      <c r="AR748" s="79">
        <f>IF(AN748="","",IF(OR(AO748&lt;&gt;"OK", AP748&lt;&gt;"OK", AQ748&lt;&gt;"OK"), "⚠️ REVISAR", "OK"))</f>
        <v/>
      </c>
    </row>
    <row r="749">
      <c r="A749" s="79">
        <f>IF('Ordenes_Odoo'!A749="","",'Ordenes_Odoo'!A749)</f>
        <v/>
      </c>
      <c r="B749" s="80">
        <f>IF('Ordenes_Odoo'!B749="","",'Ordenes_Odoo'!B749)</f>
        <v/>
      </c>
      <c r="C749" s="79">
        <f>IF('Ordenes_Odoo'!C749="","",'Ordenes_Odoo'!C749)</f>
        <v/>
      </c>
      <c r="D749" s="79">
        <f>IF('Ordenes_Odoo'!D749="","",'Ordenes_Odoo'!D749)</f>
        <v/>
      </c>
      <c r="E749" s="79">
        <f>IF('Ordenes_Odoo'!E749="","",'Ordenes_Odoo'!E749)</f>
        <v/>
      </c>
      <c r="F749" s="79">
        <f>IF('Ordenes_Odoo'!F749="","",'Ordenes_Odoo'!F749)</f>
        <v/>
      </c>
      <c r="G749" s="79">
        <f>IF('Ordenes_Odoo'!G749="","",'Ordenes_Odoo'!G749)</f>
        <v/>
      </c>
      <c r="H749" s="79">
        <f>IF('Ordenes_Odoo'!H749="","",'Ordenes_Odoo'!H749)</f>
        <v/>
      </c>
      <c r="I749" s="79">
        <f>IF('Ordenes_Odoo'!I749="","",'Ordenes_Odoo'!I749)</f>
        <v/>
      </c>
      <c r="J749" s="79">
        <f>IF('Ordenes_Odoo'!J749="","",'Ordenes_Odoo'!J749)</f>
        <v/>
      </c>
      <c r="K749" s="81">
        <f>IF('Ordenes_Odoo'!K749="","",'Ordenes_Odoo'!K749)</f>
        <v/>
      </c>
      <c r="L749" s="81">
        <f>IF('Ordenes_Odoo'!L749="","",'Ordenes_Odoo'!L749)</f>
        <v/>
      </c>
      <c r="M749" s="79">
        <f>IF('Ordenes_Odoo'!M749="","",'Ordenes_Odoo'!M749)</f>
        <v/>
      </c>
      <c r="N749" s="79">
        <f>IF('Ordenes_Odoo'!N749="","",'Ordenes_Odoo'!N749)</f>
        <v/>
      </c>
      <c r="O749" s="81">
        <f>IF('Ordenes_Odoo'!O749="","",'Ordenes_Odoo'!O749)</f>
        <v/>
      </c>
      <c r="P749" s="81">
        <f>IF('Ordenes_Odoo'!P749="","",'Ordenes_Odoo'!P749)</f>
        <v/>
      </c>
      <c r="Q749" s="79">
        <f>IF(A749="","",IFERROR(INDEX(Facturas_Odoo!$B:$B, MATCH(A749, Facturas_Odoo!$D:$D, 0)), "Sin Factura"))</f>
        <v/>
      </c>
      <c r="R749" s="80">
        <f>IF(Q749="Sin Factura","",IFERROR(INDEX(Facturas_Odoo!$A:$A, MATCH(Q749, Facturas_Odoo!$B:$B, 0)), ""))</f>
        <v/>
      </c>
      <c r="S749" s="79">
        <f>IF(Q749="Sin Factura","",IFERROR(_xlfn.XLOOKUP(1, (Facturas_Odoo!$D:$D=A749) * (Facturas_Odoo!$K:$K=I749), Facturas_Odoo!$L:$L, ""), ""))</f>
        <v/>
      </c>
      <c r="T749" s="81">
        <f>IF(Q749="Sin Factura",0,IFERROR(_xlfn.XLOOKUP(1, (Facturas_Odoo!$D:$D=A749) * (Facturas_Odoo!$K:$K=I749), Facturas_Odoo!$M:$M, 0), 0))</f>
        <v/>
      </c>
      <c r="U749" s="79">
        <f>IF(Q749="Sin Factura",0,IFERROR(_xlfn.XLOOKUP(1, (Facturas_Odoo!$D:$D=A749) * (Facturas_Odoo!$K:$K=I749), Facturas_Odoo!$N:$N, 0), 0))</f>
        <v/>
      </c>
      <c r="V749" s="79">
        <f>IF(Q749="Sin Factura",0,IFERROR(_xlfn.XLOOKUP(1, (Facturas_Odoo!$D:$D=A749) * (Facturas_Odoo!$K:$K=I749), Facturas_Odoo!$O:$O, 0), 0))</f>
        <v/>
      </c>
      <c r="W749" s="81">
        <f>IF(Q749="Sin Factura",0,IFERROR(_xlfn.XLOOKUP(1, (Facturas_Odoo!$D:$D=A749) * (Facturas_Odoo!$K:$K=I749), Facturas_Odoo!$Q:$Q, 0), 0))</f>
        <v/>
      </c>
      <c r="X749" s="79">
        <f>IF(OR(Q749="Sin Factura",Q749=""),"",IFERROR(INDEX(Pagos_Odoo!$B:$B, MATCH(Q749, Pagos_Odoo!$I:$I, 0)), "Sin Pago"))</f>
        <v/>
      </c>
      <c r="Y749" s="79">
        <f>IF(X749="Sin Pago","",IFERROR(INDEX(Pagos_Odoo!$C:$C, MATCH(X749, Pagos_Odoo!$B:$B, 0)), ""))</f>
        <v/>
      </c>
      <c r="Z749" s="80">
        <f>IF(X749="Sin Pago","",IFERROR(INDEX(Pagos_Odoo!$A:$A, MATCH(X749, Pagos_Odoo!$B:$B, 0)), ""))</f>
        <v/>
      </c>
      <c r="AA749" s="79">
        <f>IF(X749="Sin Pago","",IFERROR(INDEX(Pagos_Odoo!$F:$F, MATCH(X749, Pagos_Odoo!$B:$B, 0)), ""))</f>
        <v/>
      </c>
      <c r="AB749" s="81">
        <f>IF(X749="Sin Pago",0,IFERROR(INDEX(Pagos_Odoo!$E:$E, MATCH(X749, Pagos_Odoo!$B:$B, 0)), 0))</f>
        <v/>
      </c>
      <c r="AC749" s="79">
        <f>IF(X749="Sin Pago","",IFERROR(INDEX(Pagos_Odoo!$G:$G, MATCH(X749, Pagos_Odoo!$B:$B, 0)), ""))</f>
        <v/>
      </c>
      <c r="AD749" s="82" t="n">
        <v>0</v>
      </c>
      <c r="AE749" s="82" t="n"/>
      <c r="AF749" s="82" t="n"/>
      <c r="AG749" s="82">
        <f>IF(AN749="","",AD749+AE749+AF749)</f>
        <v/>
      </c>
      <c r="AH749" s="81">
        <f>IF(AN749="","",P749*(1-AG749))</f>
        <v/>
      </c>
      <c r="AI749" s="81">
        <f>IF(AN749="","",IF(Q749="Sin Factura",0,IFERROR(INDEX(Facturas_Odoo!$H:$H, MATCH(Q749, Facturas_Odoo!$B:$B, 0)), 0)*(1-AG749)))</f>
        <v/>
      </c>
      <c r="AJ749" s="81">
        <f>IF(AN749="","",_xlfn.LET(idVenta, AN749&amp;"",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49" s="81">
        <f>IF(AN749="","",AH749-AJ749)</f>
        <v/>
      </c>
      <c r="AL749" s="81">
        <f>IF(AN749="","",IF(Q749="Sin Factura","",AI749-AJ749))</f>
        <v/>
      </c>
      <c r="AM749" s="81">
        <f>IF(AN749="","",IF(Q749="Sin Factura",0,P749-IFERROR(INDEX(Facturas_Odoo!$H:$H, MATCH(Q749, Facturas_Odoo!$B:$B, 0)), 0)))</f>
        <v/>
      </c>
      <c r="AN749" s="79">
        <f>IF(AND(A749="", J749=""), "", IF(A749&lt;&gt;"", VALUE(MID(A749,2,LEN(A749))), AN748))</f>
        <v/>
      </c>
      <c r="AO749" s="79">
        <f>IF(AN749="","",IF(AD749=0,"OK",_xlfn.LET(monedaPago, IF(AA749="","USD",AA749), limitePermitido, IFERROR(VLOOKUP(monedaPago, Configuración!$A$2:$B$3, 2, FALSE), 0.15), IF(AD749&gt;limitePermitido, "ALERTA: EXCESO (" &amp; TEXT(limitePermitido, "0%") &amp; " máx)", "OK"))))</f>
        <v/>
      </c>
      <c r="AP749" s="79">
        <f>IF(AN749="","",IF(AE749=0,"OK",_xlfn.LET(fechaPago, Z749, fechaFactura, R749, diasCredito, IF(E749="Pago inmediato", 0, IFERROR(VALUE(MID(E749, 1, SEARCH(" ", E749)-1)),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49" s="79">
        <f>IF(AN749="","",IF(AND(N749&gt;0, AG749&gt;0), IF(Configuración!$K$2="NO", "ALERTA: DESCUENTO DOBLE NO PERMITIDO", "OK"), "OK"))</f>
        <v/>
      </c>
      <c r="AR749" s="79">
        <f>IF(AN749="","",IF(OR(AO749&lt;&gt;"OK", AP749&lt;&gt;"OK", AQ749&lt;&gt;"OK"), "⚠️ REVISAR", "OK"))</f>
        <v/>
      </c>
    </row>
    <row r="750">
      <c r="A750" s="79">
        <f>IF('Ordenes_Odoo'!A750="","",'Ordenes_Odoo'!A750)</f>
        <v/>
      </c>
      <c r="B750" s="80">
        <f>IF('Ordenes_Odoo'!B750="","",'Ordenes_Odoo'!B750)</f>
        <v/>
      </c>
      <c r="C750" s="79">
        <f>IF('Ordenes_Odoo'!C750="","",'Ordenes_Odoo'!C750)</f>
        <v/>
      </c>
      <c r="D750" s="79">
        <f>IF('Ordenes_Odoo'!D750="","",'Ordenes_Odoo'!D750)</f>
        <v/>
      </c>
      <c r="E750" s="79">
        <f>IF('Ordenes_Odoo'!E750="","",'Ordenes_Odoo'!E750)</f>
        <v/>
      </c>
      <c r="F750" s="79">
        <f>IF('Ordenes_Odoo'!F750="","",'Ordenes_Odoo'!F750)</f>
        <v/>
      </c>
      <c r="G750" s="79">
        <f>IF('Ordenes_Odoo'!G750="","",'Ordenes_Odoo'!G750)</f>
        <v/>
      </c>
      <c r="H750" s="79">
        <f>IF('Ordenes_Odoo'!H750="","",'Ordenes_Odoo'!H750)</f>
        <v/>
      </c>
      <c r="I750" s="79">
        <f>IF('Ordenes_Odoo'!I750="","",'Ordenes_Odoo'!I750)</f>
        <v/>
      </c>
      <c r="J750" s="79">
        <f>IF('Ordenes_Odoo'!J750="","",'Ordenes_Odoo'!J750)</f>
        <v/>
      </c>
      <c r="K750" s="81">
        <f>IF('Ordenes_Odoo'!K750="","",'Ordenes_Odoo'!K750)</f>
        <v/>
      </c>
      <c r="L750" s="81">
        <f>IF('Ordenes_Odoo'!L750="","",'Ordenes_Odoo'!L750)</f>
        <v/>
      </c>
      <c r="M750" s="79">
        <f>IF('Ordenes_Odoo'!M750="","",'Ordenes_Odoo'!M750)</f>
        <v/>
      </c>
      <c r="N750" s="79">
        <f>IF('Ordenes_Odoo'!N750="","",'Ordenes_Odoo'!N750)</f>
        <v/>
      </c>
      <c r="O750" s="81">
        <f>IF('Ordenes_Odoo'!O750="","",'Ordenes_Odoo'!O750)</f>
        <v/>
      </c>
      <c r="P750" s="81">
        <f>IF('Ordenes_Odoo'!P750="","",'Ordenes_Odoo'!P750)</f>
        <v/>
      </c>
      <c r="Q750" s="79">
        <f>IF(A750="","",IFERROR(INDEX(Facturas_Odoo!$B:$B, MATCH(A750, Facturas_Odoo!$D:$D, 0)), "Sin Factura"))</f>
        <v/>
      </c>
      <c r="R750" s="80">
        <f>IF(Q750="Sin Factura","",IFERROR(INDEX(Facturas_Odoo!$A:$A, MATCH(Q750, Facturas_Odoo!$B:$B, 0)), ""))</f>
        <v/>
      </c>
      <c r="S750" s="79">
        <f>IF(Q750="Sin Factura","",IFERROR(_xlfn.XLOOKUP(1, (Facturas_Odoo!$D:$D=A750) * (Facturas_Odoo!$K:$K=I750), Facturas_Odoo!$L:$L, ""), ""))</f>
        <v/>
      </c>
      <c r="T750" s="81">
        <f>IF(Q750="Sin Factura",0,IFERROR(_xlfn.XLOOKUP(1, (Facturas_Odoo!$D:$D=A750) * (Facturas_Odoo!$K:$K=I750), Facturas_Odoo!$M:$M, 0), 0))</f>
        <v/>
      </c>
      <c r="U750" s="79">
        <f>IF(Q750="Sin Factura",0,IFERROR(_xlfn.XLOOKUP(1, (Facturas_Odoo!$D:$D=A750) * (Facturas_Odoo!$K:$K=I750), Facturas_Odoo!$N:$N, 0), 0))</f>
        <v/>
      </c>
      <c r="V750" s="79">
        <f>IF(Q750="Sin Factura",0,IFERROR(_xlfn.XLOOKUP(1, (Facturas_Odoo!$D:$D=A750) * (Facturas_Odoo!$K:$K=I750), Facturas_Odoo!$O:$O, 0), 0))</f>
        <v/>
      </c>
      <c r="W750" s="81">
        <f>IF(Q750="Sin Factura",0,IFERROR(_xlfn.XLOOKUP(1, (Facturas_Odoo!$D:$D=A750) * (Facturas_Odoo!$K:$K=I750), Facturas_Odoo!$Q:$Q, 0), 0))</f>
        <v/>
      </c>
      <c r="X750" s="79">
        <f>IF(OR(Q750="Sin Factura",Q750=""),"",IFERROR(INDEX(Pagos_Odoo!$B:$B, MATCH(Q750, Pagos_Odoo!$I:$I, 0)), "Sin Pago"))</f>
        <v/>
      </c>
      <c r="Y750" s="79">
        <f>IF(X750="Sin Pago","",IFERROR(INDEX(Pagos_Odoo!$C:$C, MATCH(X750, Pagos_Odoo!$B:$B, 0)), ""))</f>
        <v/>
      </c>
      <c r="Z750" s="80">
        <f>IF(X750="Sin Pago","",IFERROR(INDEX(Pagos_Odoo!$A:$A, MATCH(X750, Pagos_Odoo!$B:$B, 0)), ""))</f>
        <v/>
      </c>
      <c r="AA750" s="79">
        <f>IF(X750="Sin Pago","",IFERROR(INDEX(Pagos_Odoo!$F:$F, MATCH(X750, Pagos_Odoo!$B:$B, 0)), ""))</f>
        <v/>
      </c>
      <c r="AB750" s="81">
        <f>IF(X750="Sin Pago",0,IFERROR(INDEX(Pagos_Odoo!$E:$E, MATCH(X750, Pagos_Odoo!$B:$B, 0)), 0))</f>
        <v/>
      </c>
      <c r="AC750" s="79">
        <f>IF(X750="Sin Pago","",IFERROR(INDEX(Pagos_Odoo!$G:$G, MATCH(X750, Pagos_Odoo!$B:$B, 0)), ""))</f>
        <v/>
      </c>
      <c r="AD750" s="82" t="n">
        <v>0</v>
      </c>
      <c r="AE750" s="82" t="n"/>
      <c r="AF750" s="82" t="n"/>
      <c r="AG750" s="82">
        <f>IF(AN750="","",AD750+AE750+AF750)</f>
        <v/>
      </c>
      <c r="AH750" s="81">
        <f>IF(AN750="","",P750*(1-AG750))</f>
        <v/>
      </c>
      <c r="AI750" s="81">
        <f>IF(AN750="","",IF(Q750="Sin Factura",0,IFERROR(INDEX(Facturas_Odoo!$H:$H, MATCH(Q750, Facturas_Odoo!$B:$B, 0)), 0)*(1-AG750)))</f>
        <v/>
      </c>
      <c r="AJ750" s="81">
        <f>IF(AN750="","",_xlfn.LET(idVenta, AN750&amp;"",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50" s="81">
        <f>IF(AN750="","",AH750-AJ750)</f>
        <v/>
      </c>
      <c r="AL750" s="81">
        <f>IF(AN750="","",IF(Q750="Sin Factura","",AI750-AJ750))</f>
        <v/>
      </c>
      <c r="AM750" s="81">
        <f>IF(AN750="","",IF(Q750="Sin Factura",0,P750-IFERROR(INDEX(Facturas_Odoo!$H:$H, MATCH(Q750, Facturas_Odoo!$B:$B, 0)), 0)))</f>
        <v/>
      </c>
      <c r="AN750" s="79">
        <f>IF(AND(A750="", J750=""), "", IF(A750&lt;&gt;"", VALUE(MID(A750,2,LEN(A750))), AN749))</f>
        <v/>
      </c>
      <c r="AO750" s="79">
        <f>IF(AN750="","",IF(AD750=0,"OK",_xlfn.LET(monedaPago, IF(AA750="","USD",AA750), limitePermitido, IFERROR(VLOOKUP(monedaPago, Configuración!$A$2:$B$3, 2, FALSE), 0.15), IF(AD750&gt;limitePermitido, "ALERTA: EXCESO (" &amp; TEXT(limitePermitido, "0%") &amp; " máx)", "OK"))))</f>
        <v/>
      </c>
      <c r="AP750" s="79">
        <f>IF(AN750="","",IF(AE750=0,"OK",_xlfn.LET(fechaPago, Z750, fechaFactura, R750, diasCredito, IF(E750="Pago inmediato", 0, IFERROR(VALUE(MID(E750, 1, SEARCH(" ", E750)-1)),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50" s="79">
        <f>IF(AN750="","",IF(AND(N750&gt;0, AG750&gt;0), IF(Configuración!$K$2="NO", "ALERTA: DESCUENTO DOBLE NO PERMITIDO", "OK"), "OK"))</f>
        <v/>
      </c>
      <c r="AR750" s="79">
        <f>IF(AN750="","",IF(OR(AO750&lt;&gt;"OK", AP750&lt;&gt;"OK", AQ750&lt;&gt;"OK"), "⚠️ REVISAR", "OK"))</f>
        <v/>
      </c>
    </row>
    <row r="751">
      <c r="A751" s="79">
        <f>IF('Ordenes_Odoo'!A751="","",'Ordenes_Odoo'!A751)</f>
        <v/>
      </c>
      <c r="B751" s="80">
        <f>IF('Ordenes_Odoo'!B751="","",'Ordenes_Odoo'!B751)</f>
        <v/>
      </c>
      <c r="C751" s="79">
        <f>IF('Ordenes_Odoo'!C751="","",'Ordenes_Odoo'!C751)</f>
        <v/>
      </c>
      <c r="D751" s="79">
        <f>IF('Ordenes_Odoo'!D751="","",'Ordenes_Odoo'!D751)</f>
        <v/>
      </c>
      <c r="E751" s="79">
        <f>IF('Ordenes_Odoo'!E751="","",'Ordenes_Odoo'!E751)</f>
        <v/>
      </c>
      <c r="F751" s="79">
        <f>IF('Ordenes_Odoo'!F751="","",'Ordenes_Odoo'!F751)</f>
        <v/>
      </c>
      <c r="G751" s="79">
        <f>IF('Ordenes_Odoo'!G751="","",'Ordenes_Odoo'!G751)</f>
        <v/>
      </c>
      <c r="H751" s="79">
        <f>IF('Ordenes_Odoo'!H751="","",'Ordenes_Odoo'!H751)</f>
        <v/>
      </c>
      <c r="I751" s="79">
        <f>IF('Ordenes_Odoo'!I751="","",'Ordenes_Odoo'!I751)</f>
        <v/>
      </c>
      <c r="J751" s="79">
        <f>IF('Ordenes_Odoo'!J751="","",'Ordenes_Odoo'!J751)</f>
        <v/>
      </c>
      <c r="K751" s="81">
        <f>IF('Ordenes_Odoo'!K751="","",'Ordenes_Odoo'!K751)</f>
        <v/>
      </c>
      <c r="L751" s="81">
        <f>IF('Ordenes_Odoo'!L751="","",'Ordenes_Odoo'!L751)</f>
        <v/>
      </c>
      <c r="M751" s="79">
        <f>IF('Ordenes_Odoo'!M751="","",'Ordenes_Odoo'!M751)</f>
        <v/>
      </c>
      <c r="N751" s="79">
        <f>IF('Ordenes_Odoo'!N751="","",'Ordenes_Odoo'!N751)</f>
        <v/>
      </c>
      <c r="O751" s="81">
        <f>IF('Ordenes_Odoo'!O751="","",'Ordenes_Odoo'!O751)</f>
        <v/>
      </c>
      <c r="P751" s="81">
        <f>IF('Ordenes_Odoo'!P751="","",'Ordenes_Odoo'!P751)</f>
        <v/>
      </c>
      <c r="Q751" s="79">
        <f>IF(A751="","",IFERROR(INDEX(Facturas_Odoo!$B:$B, MATCH(A751, Facturas_Odoo!$D:$D, 0)), "Sin Factura"))</f>
        <v/>
      </c>
      <c r="R751" s="80">
        <f>IF(Q751="Sin Factura","",IFERROR(INDEX(Facturas_Odoo!$A:$A, MATCH(Q751, Facturas_Odoo!$B:$B, 0)), ""))</f>
        <v/>
      </c>
      <c r="S751" s="79">
        <f>IF(Q751="Sin Factura","",IFERROR(_xlfn.XLOOKUP(1, (Facturas_Odoo!$D:$D=A751) * (Facturas_Odoo!$K:$K=I751), Facturas_Odoo!$L:$L, ""), ""))</f>
        <v/>
      </c>
      <c r="T751" s="81">
        <f>IF(Q751="Sin Factura",0,IFERROR(_xlfn.XLOOKUP(1, (Facturas_Odoo!$D:$D=A751) * (Facturas_Odoo!$K:$K=I751), Facturas_Odoo!$M:$M, 0), 0))</f>
        <v/>
      </c>
      <c r="U751" s="79">
        <f>IF(Q751="Sin Factura",0,IFERROR(_xlfn.XLOOKUP(1, (Facturas_Odoo!$D:$D=A751) * (Facturas_Odoo!$K:$K=I751), Facturas_Odoo!$N:$N, 0), 0))</f>
        <v/>
      </c>
      <c r="V751" s="79">
        <f>IF(Q751="Sin Factura",0,IFERROR(_xlfn.XLOOKUP(1, (Facturas_Odoo!$D:$D=A751) * (Facturas_Odoo!$K:$K=I751), Facturas_Odoo!$O:$O, 0), 0))</f>
        <v/>
      </c>
      <c r="W751" s="81">
        <f>IF(Q751="Sin Factura",0,IFERROR(_xlfn.XLOOKUP(1, (Facturas_Odoo!$D:$D=A751) * (Facturas_Odoo!$K:$K=I751), Facturas_Odoo!$Q:$Q, 0), 0))</f>
        <v/>
      </c>
      <c r="X751" s="79">
        <f>IF(OR(Q751="Sin Factura",Q751=""),"",IFERROR(INDEX(Pagos_Odoo!$B:$B, MATCH(Q751, Pagos_Odoo!$I:$I, 0)), "Sin Pago"))</f>
        <v/>
      </c>
      <c r="Y751" s="79">
        <f>IF(X751="Sin Pago","",IFERROR(INDEX(Pagos_Odoo!$C:$C, MATCH(X751, Pagos_Odoo!$B:$B, 0)), ""))</f>
        <v/>
      </c>
      <c r="Z751" s="80">
        <f>IF(X751="Sin Pago","",IFERROR(INDEX(Pagos_Odoo!$A:$A, MATCH(X751, Pagos_Odoo!$B:$B, 0)), ""))</f>
        <v/>
      </c>
      <c r="AA751" s="79">
        <f>IF(X751="Sin Pago","",IFERROR(INDEX(Pagos_Odoo!$F:$F, MATCH(X751, Pagos_Odoo!$B:$B, 0)), ""))</f>
        <v/>
      </c>
      <c r="AB751" s="81">
        <f>IF(X751="Sin Pago",0,IFERROR(INDEX(Pagos_Odoo!$E:$E, MATCH(X751, Pagos_Odoo!$B:$B, 0)), 0))</f>
        <v/>
      </c>
      <c r="AC751" s="79">
        <f>IF(X751="Sin Pago","",IFERROR(INDEX(Pagos_Odoo!$G:$G, MATCH(X751, Pagos_Odoo!$B:$B, 0)), ""))</f>
        <v/>
      </c>
      <c r="AD751" s="82" t="n">
        <v>0</v>
      </c>
      <c r="AE751" s="82" t="n"/>
      <c r="AF751" s="82" t="n"/>
      <c r="AG751" s="82">
        <f>IF(AN751="","",AD751+AE751+AF751)</f>
        <v/>
      </c>
      <c r="AH751" s="81">
        <f>IF(AN751="","",P751*(1-AG751))</f>
        <v/>
      </c>
      <c r="AI751" s="81">
        <f>IF(AN751="","",IF(Q751="Sin Factura",0,IFERROR(INDEX(Facturas_Odoo!$H:$H, MATCH(Q751, Facturas_Odoo!$B:$B, 0)), 0)*(1-AG751)))</f>
        <v/>
      </c>
      <c r="AJ751" s="81">
        <f>IF(AN751="","",_xlfn.LET(idVenta, AN751&amp;"",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51" s="81">
        <f>IF(AN751="","",AH751-AJ751)</f>
        <v/>
      </c>
      <c r="AL751" s="81">
        <f>IF(AN751="","",IF(Q751="Sin Factura","",AI751-AJ751))</f>
        <v/>
      </c>
      <c r="AM751" s="81">
        <f>IF(AN751="","",IF(Q751="Sin Factura",0,P751-IFERROR(INDEX(Facturas_Odoo!$H:$H, MATCH(Q751, Facturas_Odoo!$B:$B, 0)), 0)))</f>
        <v/>
      </c>
      <c r="AN751" s="79">
        <f>IF(AND(A751="", J751=""), "", IF(A751&lt;&gt;"", VALUE(MID(A751,2,LEN(A751))), AN750))</f>
        <v/>
      </c>
      <c r="AO751" s="79">
        <f>IF(AN751="","",IF(AD751=0,"OK",_xlfn.LET(monedaPago, IF(AA751="","USD",AA751), limitePermitido, IFERROR(VLOOKUP(monedaPago, Configuración!$A$2:$B$3, 2, FALSE), 0.15), IF(AD751&gt;limitePermitido, "ALERTA: EXCESO (" &amp; TEXT(limitePermitido, "0%") &amp; " máx)", "OK"))))</f>
        <v/>
      </c>
      <c r="AP751" s="79">
        <f>IF(AN751="","",IF(AE751=0,"OK",_xlfn.LET(fechaPago, Z751, fechaFactura, R751, diasCredito, IF(E751="Pago inmediato", 0, IFERROR(VALUE(MID(E751, 1, SEARCH(" ", E751)-1)),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51" s="79">
        <f>IF(AN751="","",IF(AND(N751&gt;0, AG751&gt;0), IF(Configuración!$K$2="NO", "ALERTA: DESCUENTO DOBLE NO PERMITIDO", "OK"), "OK"))</f>
        <v/>
      </c>
      <c r="AR751" s="79">
        <f>IF(AN751="","",IF(OR(AO751&lt;&gt;"OK", AP751&lt;&gt;"OK", AQ751&lt;&gt;"OK"), "⚠️ REVISAR", "OK"))</f>
        <v/>
      </c>
    </row>
    <row r="752">
      <c r="A752" s="79">
        <f>IF('Ordenes_Odoo'!A752="","",'Ordenes_Odoo'!A752)</f>
        <v/>
      </c>
      <c r="B752" s="80">
        <f>IF('Ordenes_Odoo'!B752="","",'Ordenes_Odoo'!B752)</f>
        <v/>
      </c>
      <c r="C752" s="79">
        <f>IF('Ordenes_Odoo'!C752="","",'Ordenes_Odoo'!C752)</f>
        <v/>
      </c>
      <c r="D752" s="79">
        <f>IF('Ordenes_Odoo'!D752="","",'Ordenes_Odoo'!D752)</f>
        <v/>
      </c>
      <c r="E752" s="79">
        <f>IF('Ordenes_Odoo'!E752="","",'Ordenes_Odoo'!E752)</f>
        <v/>
      </c>
      <c r="F752" s="79">
        <f>IF('Ordenes_Odoo'!F752="","",'Ordenes_Odoo'!F752)</f>
        <v/>
      </c>
      <c r="G752" s="79">
        <f>IF('Ordenes_Odoo'!G752="","",'Ordenes_Odoo'!G752)</f>
        <v/>
      </c>
      <c r="H752" s="79">
        <f>IF('Ordenes_Odoo'!H752="","",'Ordenes_Odoo'!H752)</f>
        <v/>
      </c>
      <c r="I752" s="79">
        <f>IF('Ordenes_Odoo'!I752="","",'Ordenes_Odoo'!I752)</f>
        <v/>
      </c>
      <c r="J752" s="79">
        <f>IF('Ordenes_Odoo'!J752="","",'Ordenes_Odoo'!J752)</f>
        <v/>
      </c>
      <c r="K752" s="81">
        <f>IF('Ordenes_Odoo'!K752="","",'Ordenes_Odoo'!K752)</f>
        <v/>
      </c>
      <c r="L752" s="81">
        <f>IF('Ordenes_Odoo'!L752="","",'Ordenes_Odoo'!L752)</f>
        <v/>
      </c>
      <c r="M752" s="79">
        <f>IF('Ordenes_Odoo'!M752="","",'Ordenes_Odoo'!M752)</f>
        <v/>
      </c>
      <c r="N752" s="79">
        <f>IF('Ordenes_Odoo'!N752="","",'Ordenes_Odoo'!N752)</f>
        <v/>
      </c>
      <c r="O752" s="81">
        <f>IF('Ordenes_Odoo'!O752="","",'Ordenes_Odoo'!O752)</f>
        <v/>
      </c>
      <c r="P752" s="81">
        <f>IF('Ordenes_Odoo'!P752="","",'Ordenes_Odoo'!P752)</f>
        <v/>
      </c>
      <c r="Q752" s="79">
        <f>IF(A752="","",IFERROR(INDEX(Facturas_Odoo!$B:$B, MATCH(A752, Facturas_Odoo!$D:$D, 0)), "Sin Factura"))</f>
        <v/>
      </c>
      <c r="R752" s="80">
        <f>IF(Q752="Sin Factura","",IFERROR(INDEX(Facturas_Odoo!$A:$A, MATCH(Q752, Facturas_Odoo!$B:$B, 0)), ""))</f>
        <v/>
      </c>
      <c r="S752" s="79">
        <f>IF(Q752="Sin Factura","",IFERROR(_xlfn.XLOOKUP(1, (Facturas_Odoo!$D:$D=A752) * (Facturas_Odoo!$K:$K=I752), Facturas_Odoo!$L:$L, ""), ""))</f>
        <v/>
      </c>
      <c r="T752" s="81">
        <f>IF(Q752="Sin Factura",0,IFERROR(_xlfn.XLOOKUP(1, (Facturas_Odoo!$D:$D=A752) * (Facturas_Odoo!$K:$K=I752), Facturas_Odoo!$M:$M, 0), 0))</f>
        <v/>
      </c>
      <c r="U752" s="79">
        <f>IF(Q752="Sin Factura",0,IFERROR(_xlfn.XLOOKUP(1, (Facturas_Odoo!$D:$D=A752) * (Facturas_Odoo!$K:$K=I752), Facturas_Odoo!$N:$N, 0), 0))</f>
        <v/>
      </c>
      <c r="V752" s="79">
        <f>IF(Q752="Sin Factura",0,IFERROR(_xlfn.XLOOKUP(1, (Facturas_Odoo!$D:$D=A752) * (Facturas_Odoo!$K:$K=I752), Facturas_Odoo!$O:$O, 0), 0))</f>
        <v/>
      </c>
      <c r="W752" s="81">
        <f>IF(Q752="Sin Factura",0,IFERROR(_xlfn.XLOOKUP(1, (Facturas_Odoo!$D:$D=A752) * (Facturas_Odoo!$K:$K=I752), Facturas_Odoo!$Q:$Q, 0), 0))</f>
        <v/>
      </c>
      <c r="X752" s="79">
        <f>IF(OR(Q752="Sin Factura",Q752=""),"",IFERROR(INDEX(Pagos_Odoo!$B:$B, MATCH(Q752, Pagos_Odoo!$I:$I, 0)), "Sin Pago"))</f>
        <v/>
      </c>
      <c r="Y752" s="79">
        <f>IF(X752="Sin Pago","",IFERROR(INDEX(Pagos_Odoo!$C:$C, MATCH(X752, Pagos_Odoo!$B:$B, 0)), ""))</f>
        <v/>
      </c>
      <c r="Z752" s="80">
        <f>IF(X752="Sin Pago","",IFERROR(INDEX(Pagos_Odoo!$A:$A, MATCH(X752, Pagos_Odoo!$B:$B, 0)), ""))</f>
        <v/>
      </c>
      <c r="AA752" s="79">
        <f>IF(X752="Sin Pago","",IFERROR(INDEX(Pagos_Odoo!$F:$F, MATCH(X752, Pagos_Odoo!$B:$B, 0)), ""))</f>
        <v/>
      </c>
      <c r="AB752" s="81">
        <f>IF(X752="Sin Pago",0,IFERROR(INDEX(Pagos_Odoo!$E:$E, MATCH(X752, Pagos_Odoo!$B:$B, 0)), 0))</f>
        <v/>
      </c>
      <c r="AC752" s="79">
        <f>IF(X752="Sin Pago","",IFERROR(INDEX(Pagos_Odoo!$G:$G, MATCH(X752, Pagos_Odoo!$B:$B, 0)), ""))</f>
        <v/>
      </c>
      <c r="AD752" s="82" t="n">
        <v>0</v>
      </c>
      <c r="AE752" s="82" t="n"/>
      <c r="AF752" s="82" t="n"/>
      <c r="AG752" s="82">
        <f>IF(AN752="","",AD752+AE752+AF752)</f>
        <v/>
      </c>
      <c r="AH752" s="81">
        <f>IF(AN752="","",P752*(1-AG752))</f>
        <v/>
      </c>
      <c r="AI752" s="81">
        <f>IF(AN752="","",IF(Q752="Sin Factura",0,IFERROR(INDEX(Facturas_Odoo!$H:$H, MATCH(Q752, Facturas_Odoo!$B:$B, 0)), 0)*(1-AG752)))</f>
        <v/>
      </c>
      <c r="AJ752" s="81">
        <f>IF(AN752="","",_xlfn.LET(idVenta, AN752&amp;"",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52" s="81">
        <f>IF(AN752="","",AH752-AJ752)</f>
        <v/>
      </c>
      <c r="AL752" s="81">
        <f>IF(AN752="","",IF(Q752="Sin Factura","",AI752-AJ752))</f>
        <v/>
      </c>
      <c r="AM752" s="81">
        <f>IF(AN752="","",IF(Q752="Sin Factura",0,P752-IFERROR(INDEX(Facturas_Odoo!$H:$H, MATCH(Q752, Facturas_Odoo!$B:$B, 0)), 0)))</f>
        <v/>
      </c>
      <c r="AN752" s="79">
        <f>IF(AND(A752="", J752=""), "", IF(A752&lt;&gt;"", VALUE(MID(A752,2,LEN(A752))), AN751))</f>
        <v/>
      </c>
      <c r="AO752" s="79">
        <f>IF(AN752="","",IF(AD752=0,"OK",_xlfn.LET(monedaPago, IF(AA752="","USD",AA752), limitePermitido, IFERROR(VLOOKUP(monedaPago, Configuración!$A$2:$B$3, 2, FALSE), 0.15), IF(AD752&gt;limitePermitido, "ALERTA: EXCESO (" &amp; TEXT(limitePermitido, "0%") &amp; " máx)", "OK"))))</f>
        <v/>
      </c>
      <c r="AP752" s="79">
        <f>IF(AN752="","",IF(AE752=0,"OK",_xlfn.LET(fechaPago, Z752, fechaFactura, R752, diasCredito, IF(E752="Pago inmediato", 0, IFERROR(VALUE(MID(E752, 1, SEARCH(" ", E752)-1)),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52" s="79">
        <f>IF(AN752="","",IF(AND(N752&gt;0, AG752&gt;0), IF(Configuración!$K$2="NO", "ALERTA: DESCUENTO DOBLE NO PERMITIDO", "OK"), "OK"))</f>
        <v/>
      </c>
      <c r="AR752" s="79">
        <f>IF(AN752="","",IF(OR(AO752&lt;&gt;"OK", AP752&lt;&gt;"OK", AQ752&lt;&gt;"OK"), "⚠️ REVISAR", "OK"))</f>
        <v/>
      </c>
    </row>
    <row r="753">
      <c r="A753" s="79">
        <f>IF('Ordenes_Odoo'!A753="","",'Ordenes_Odoo'!A753)</f>
        <v/>
      </c>
      <c r="B753" s="80">
        <f>IF('Ordenes_Odoo'!B753="","",'Ordenes_Odoo'!B753)</f>
        <v/>
      </c>
      <c r="C753" s="79">
        <f>IF('Ordenes_Odoo'!C753="","",'Ordenes_Odoo'!C753)</f>
        <v/>
      </c>
      <c r="D753" s="79">
        <f>IF('Ordenes_Odoo'!D753="","",'Ordenes_Odoo'!D753)</f>
        <v/>
      </c>
      <c r="E753" s="79">
        <f>IF('Ordenes_Odoo'!E753="","",'Ordenes_Odoo'!E753)</f>
        <v/>
      </c>
      <c r="F753" s="79">
        <f>IF('Ordenes_Odoo'!F753="","",'Ordenes_Odoo'!F753)</f>
        <v/>
      </c>
      <c r="G753" s="79">
        <f>IF('Ordenes_Odoo'!G753="","",'Ordenes_Odoo'!G753)</f>
        <v/>
      </c>
      <c r="H753" s="79">
        <f>IF('Ordenes_Odoo'!H753="","",'Ordenes_Odoo'!H753)</f>
        <v/>
      </c>
      <c r="I753" s="79">
        <f>IF('Ordenes_Odoo'!I753="","",'Ordenes_Odoo'!I753)</f>
        <v/>
      </c>
      <c r="J753" s="79">
        <f>IF('Ordenes_Odoo'!J753="","",'Ordenes_Odoo'!J753)</f>
        <v/>
      </c>
      <c r="K753" s="81">
        <f>IF('Ordenes_Odoo'!K753="","",'Ordenes_Odoo'!K753)</f>
        <v/>
      </c>
      <c r="L753" s="81">
        <f>IF('Ordenes_Odoo'!L753="","",'Ordenes_Odoo'!L753)</f>
        <v/>
      </c>
      <c r="M753" s="79">
        <f>IF('Ordenes_Odoo'!M753="","",'Ordenes_Odoo'!M753)</f>
        <v/>
      </c>
      <c r="N753" s="79">
        <f>IF('Ordenes_Odoo'!N753="","",'Ordenes_Odoo'!N753)</f>
        <v/>
      </c>
      <c r="O753" s="81">
        <f>IF('Ordenes_Odoo'!O753="","",'Ordenes_Odoo'!O753)</f>
        <v/>
      </c>
      <c r="P753" s="81">
        <f>IF('Ordenes_Odoo'!P753="","",'Ordenes_Odoo'!P753)</f>
        <v/>
      </c>
      <c r="Q753" s="79">
        <f>IF(A753="","",IFERROR(INDEX(Facturas_Odoo!$B:$B, MATCH(A753, Facturas_Odoo!$D:$D, 0)), "Sin Factura"))</f>
        <v/>
      </c>
      <c r="R753" s="80">
        <f>IF(Q753="Sin Factura","",IFERROR(INDEX(Facturas_Odoo!$A:$A, MATCH(Q753, Facturas_Odoo!$B:$B, 0)), ""))</f>
        <v/>
      </c>
      <c r="S753" s="79">
        <f>IF(Q753="Sin Factura","",IFERROR(_xlfn.XLOOKUP(1, (Facturas_Odoo!$D:$D=A753) * (Facturas_Odoo!$K:$K=I753), Facturas_Odoo!$L:$L, ""), ""))</f>
        <v/>
      </c>
      <c r="T753" s="81">
        <f>IF(Q753="Sin Factura",0,IFERROR(_xlfn.XLOOKUP(1, (Facturas_Odoo!$D:$D=A753) * (Facturas_Odoo!$K:$K=I753), Facturas_Odoo!$M:$M, 0), 0))</f>
        <v/>
      </c>
      <c r="U753" s="79">
        <f>IF(Q753="Sin Factura",0,IFERROR(_xlfn.XLOOKUP(1, (Facturas_Odoo!$D:$D=A753) * (Facturas_Odoo!$K:$K=I753), Facturas_Odoo!$N:$N, 0), 0))</f>
        <v/>
      </c>
      <c r="V753" s="79">
        <f>IF(Q753="Sin Factura",0,IFERROR(_xlfn.XLOOKUP(1, (Facturas_Odoo!$D:$D=A753) * (Facturas_Odoo!$K:$K=I753), Facturas_Odoo!$O:$O, 0), 0))</f>
        <v/>
      </c>
      <c r="W753" s="81">
        <f>IF(Q753="Sin Factura",0,IFERROR(_xlfn.XLOOKUP(1, (Facturas_Odoo!$D:$D=A753) * (Facturas_Odoo!$K:$K=I753), Facturas_Odoo!$Q:$Q, 0), 0))</f>
        <v/>
      </c>
      <c r="X753" s="79">
        <f>IF(OR(Q753="Sin Factura",Q753=""),"",IFERROR(INDEX(Pagos_Odoo!$B:$B, MATCH(Q753, Pagos_Odoo!$I:$I, 0)), "Sin Pago"))</f>
        <v/>
      </c>
      <c r="Y753" s="79">
        <f>IF(X753="Sin Pago","",IFERROR(INDEX(Pagos_Odoo!$C:$C, MATCH(X753, Pagos_Odoo!$B:$B, 0)), ""))</f>
        <v/>
      </c>
      <c r="Z753" s="80">
        <f>IF(X753="Sin Pago","",IFERROR(INDEX(Pagos_Odoo!$A:$A, MATCH(X753, Pagos_Odoo!$B:$B, 0)), ""))</f>
        <v/>
      </c>
      <c r="AA753" s="79">
        <f>IF(X753="Sin Pago","",IFERROR(INDEX(Pagos_Odoo!$F:$F, MATCH(X753, Pagos_Odoo!$B:$B, 0)), ""))</f>
        <v/>
      </c>
      <c r="AB753" s="81">
        <f>IF(X753="Sin Pago",0,IFERROR(INDEX(Pagos_Odoo!$E:$E, MATCH(X753, Pagos_Odoo!$B:$B, 0)), 0))</f>
        <v/>
      </c>
      <c r="AC753" s="79">
        <f>IF(X753="Sin Pago","",IFERROR(INDEX(Pagos_Odoo!$G:$G, MATCH(X753, Pagos_Odoo!$B:$B, 0)), ""))</f>
        <v/>
      </c>
      <c r="AD753" s="82" t="n">
        <v>0</v>
      </c>
      <c r="AE753" s="82" t="n"/>
      <c r="AF753" s="82" t="n"/>
      <c r="AG753" s="82">
        <f>IF(AN753="","",AD753+AE753+AF753)</f>
        <v/>
      </c>
      <c r="AH753" s="81">
        <f>IF(AN753="","",P753*(1-AG753))</f>
        <v/>
      </c>
      <c r="AI753" s="81">
        <f>IF(AN753="","",IF(Q753="Sin Factura",0,IFERROR(INDEX(Facturas_Odoo!$H:$H, MATCH(Q753, Facturas_Odoo!$B:$B, 0)), 0)*(1-AG753)))</f>
        <v/>
      </c>
      <c r="AJ753" s="81">
        <f>IF(AN753="","",_xlfn.LET(idVenta, AN753&amp;"",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53" s="81">
        <f>IF(AN753="","",AH753-AJ753)</f>
        <v/>
      </c>
      <c r="AL753" s="81">
        <f>IF(AN753="","",IF(Q753="Sin Factura","",AI753-AJ753))</f>
        <v/>
      </c>
      <c r="AM753" s="81">
        <f>IF(AN753="","",IF(Q753="Sin Factura",0,P753-IFERROR(INDEX(Facturas_Odoo!$H:$H, MATCH(Q753, Facturas_Odoo!$B:$B, 0)), 0)))</f>
        <v/>
      </c>
      <c r="AN753" s="79">
        <f>IF(AND(A753="", J753=""), "", IF(A753&lt;&gt;"", VALUE(MID(A753,2,LEN(A753))), AN752))</f>
        <v/>
      </c>
      <c r="AO753" s="79">
        <f>IF(AN753="","",IF(AD753=0,"OK",_xlfn.LET(monedaPago, IF(AA753="","USD",AA753), limitePermitido, IFERROR(VLOOKUP(monedaPago, Configuración!$A$2:$B$3, 2, FALSE), 0.15), IF(AD753&gt;limitePermitido, "ALERTA: EXCESO (" &amp; TEXT(limitePermitido, "0%") &amp; " máx)", "OK"))))</f>
        <v/>
      </c>
      <c r="AP753" s="79">
        <f>IF(AN753="","",IF(AE753=0,"OK",_xlfn.LET(fechaPago, Z753, fechaFactura, R753, diasCredito, IF(E753="Pago inmediato", 0, IFERROR(VALUE(MID(E753, 1, SEARCH(" ", E753)-1)),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53" s="79">
        <f>IF(AN753="","",IF(AND(N753&gt;0, AG753&gt;0), IF(Configuración!$K$2="NO", "ALERTA: DESCUENTO DOBLE NO PERMITIDO", "OK"), "OK"))</f>
        <v/>
      </c>
      <c r="AR753" s="79">
        <f>IF(AN753="","",IF(OR(AO753&lt;&gt;"OK", AP753&lt;&gt;"OK", AQ753&lt;&gt;"OK"), "⚠️ REVISAR", "OK"))</f>
        <v/>
      </c>
    </row>
    <row r="754">
      <c r="A754" s="79">
        <f>IF('Ordenes_Odoo'!A754="","",'Ordenes_Odoo'!A754)</f>
        <v/>
      </c>
      <c r="B754" s="80">
        <f>IF('Ordenes_Odoo'!B754="","",'Ordenes_Odoo'!B754)</f>
        <v/>
      </c>
      <c r="C754" s="79">
        <f>IF('Ordenes_Odoo'!C754="","",'Ordenes_Odoo'!C754)</f>
        <v/>
      </c>
      <c r="D754" s="79">
        <f>IF('Ordenes_Odoo'!D754="","",'Ordenes_Odoo'!D754)</f>
        <v/>
      </c>
      <c r="E754" s="79">
        <f>IF('Ordenes_Odoo'!E754="","",'Ordenes_Odoo'!E754)</f>
        <v/>
      </c>
      <c r="F754" s="79">
        <f>IF('Ordenes_Odoo'!F754="","",'Ordenes_Odoo'!F754)</f>
        <v/>
      </c>
      <c r="G754" s="79">
        <f>IF('Ordenes_Odoo'!G754="","",'Ordenes_Odoo'!G754)</f>
        <v/>
      </c>
      <c r="H754" s="79">
        <f>IF('Ordenes_Odoo'!H754="","",'Ordenes_Odoo'!H754)</f>
        <v/>
      </c>
      <c r="I754" s="79">
        <f>IF('Ordenes_Odoo'!I754="","",'Ordenes_Odoo'!I754)</f>
        <v/>
      </c>
      <c r="J754" s="79">
        <f>IF('Ordenes_Odoo'!J754="","",'Ordenes_Odoo'!J754)</f>
        <v/>
      </c>
      <c r="K754" s="81">
        <f>IF('Ordenes_Odoo'!K754="","",'Ordenes_Odoo'!K754)</f>
        <v/>
      </c>
      <c r="L754" s="81">
        <f>IF('Ordenes_Odoo'!L754="","",'Ordenes_Odoo'!L754)</f>
        <v/>
      </c>
      <c r="M754" s="79">
        <f>IF('Ordenes_Odoo'!M754="","",'Ordenes_Odoo'!M754)</f>
        <v/>
      </c>
      <c r="N754" s="79">
        <f>IF('Ordenes_Odoo'!N754="","",'Ordenes_Odoo'!N754)</f>
        <v/>
      </c>
      <c r="O754" s="81">
        <f>IF('Ordenes_Odoo'!O754="","",'Ordenes_Odoo'!O754)</f>
        <v/>
      </c>
      <c r="P754" s="81">
        <f>IF('Ordenes_Odoo'!P754="","",'Ordenes_Odoo'!P754)</f>
        <v/>
      </c>
      <c r="Q754" s="79">
        <f>IF(A754="","",IFERROR(INDEX(Facturas_Odoo!$B:$B, MATCH(A754, Facturas_Odoo!$D:$D, 0)), "Sin Factura"))</f>
        <v/>
      </c>
      <c r="R754" s="80">
        <f>IF(Q754="Sin Factura","",IFERROR(INDEX(Facturas_Odoo!$A:$A, MATCH(Q754, Facturas_Odoo!$B:$B, 0)), ""))</f>
        <v/>
      </c>
      <c r="S754" s="79">
        <f>IF(Q754="Sin Factura","",IFERROR(_xlfn.XLOOKUP(1, (Facturas_Odoo!$D:$D=A754) * (Facturas_Odoo!$K:$K=I754), Facturas_Odoo!$L:$L, ""), ""))</f>
        <v/>
      </c>
      <c r="T754" s="81">
        <f>IF(Q754="Sin Factura",0,IFERROR(_xlfn.XLOOKUP(1, (Facturas_Odoo!$D:$D=A754) * (Facturas_Odoo!$K:$K=I754), Facturas_Odoo!$M:$M, 0), 0))</f>
        <v/>
      </c>
      <c r="U754" s="79">
        <f>IF(Q754="Sin Factura",0,IFERROR(_xlfn.XLOOKUP(1, (Facturas_Odoo!$D:$D=A754) * (Facturas_Odoo!$K:$K=I754), Facturas_Odoo!$N:$N, 0), 0))</f>
        <v/>
      </c>
      <c r="V754" s="79">
        <f>IF(Q754="Sin Factura",0,IFERROR(_xlfn.XLOOKUP(1, (Facturas_Odoo!$D:$D=A754) * (Facturas_Odoo!$K:$K=I754), Facturas_Odoo!$O:$O, 0), 0))</f>
        <v/>
      </c>
      <c r="W754" s="81">
        <f>IF(Q754="Sin Factura",0,IFERROR(_xlfn.XLOOKUP(1, (Facturas_Odoo!$D:$D=A754) * (Facturas_Odoo!$K:$K=I754), Facturas_Odoo!$Q:$Q, 0), 0))</f>
        <v/>
      </c>
      <c r="X754" s="79">
        <f>IF(OR(Q754="Sin Factura",Q754=""),"",IFERROR(INDEX(Pagos_Odoo!$B:$B, MATCH(Q754, Pagos_Odoo!$I:$I, 0)), "Sin Pago"))</f>
        <v/>
      </c>
      <c r="Y754" s="79">
        <f>IF(X754="Sin Pago","",IFERROR(INDEX(Pagos_Odoo!$C:$C, MATCH(X754, Pagos_Odoo!$B:$B, 0)), ""))</f>
        <v/>
      </c>
      <c r="Z754" s="80">
        <f>IF(X754="Sin Pago","",IFERROR(INDEX(Pagos_Odoo!$A:$A, MATCH(X754, Pagos_Odoo!$B:$B, 0)), ""))</f>
        <v/>
      </c>
      <c r="AA754" s="79">
        <f>IF(X754="Sin Pago","",IFERROR(INDEX(Pagos_Odoo!$F:$F, MATCH(X754, Pagos_Odoo!$B:$B, 0)), ""))</f>
        <v/>
      </c>
      <c r="AB754" s="81">
        <f>IF(X754="Sin Pago",0,IFERROR(INDEX(Pagos_Odoo!$E:$E, MATCH(X754, Pagos_Odoo!$B:$B, 0)), 0))</f>
        <v/>
      </c>
      <c r="AC754" s="79">
        <f>IF(X754="Sin Pago","",IFERROR(INDEX(Pagos_Odoo!$G:$G, MATCH(X754, Pagos_Odoo!$B:$B, 0)), ""))</f>
        <v/>
      </c>
      <c r="AD754" s="82" t="n">
        <v>0</v>
      </c>
      <c r="AE754" s="82" t="n"/>
      <c r="AF754" s="82" t="n"/>
      <c r="AG754" s="82">
        <f>IF(AN754="","",AD754+AE754+AF754)</f>
        <v/>
      </c>
      <c r="AH754" s="81">
        <f>IF(AN754="","",P754*(1-AG754))</f>
        <v/>
      </c>
      <c r="AI754" s="81">
        <f>IF(AN754="","",IF(Q754="Sin Factura",0,IFERROR(INDEX(Facturas_Odoo!$H:$H, MATCH(Q754, Facturas_Odoo!$B:$B, 0)), 0)*(1-AG754)))</f>
        <v/>
      </c>
      <c r="AJ754" s="81">
        <f>IF(AN754="","",_xlfn.LET(idVenta, AN754&amp;"",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54" s="81">
        <f>IF(AN754="","",AH754-AJ754)</f>
        <v/>
      </c>
      <c r="AL754" s="81">
        <f>IF(AN754="","",IF(Q754="Sin Factura","",AI754-AJ754))</f>
        <v/>
      </c>
      <c r="AM754" s="81">
        <f>IF(AN754="","",IF(Q754="Sin Factura",0,P754-IFERROR(INDEX(Facturas_Odoo!$H:$H, MATCH(Q754, Facturas_Odoo!$B:$B, 0)), 0)))</f>
        <v/>
      </c>
      <c r="AN754" s="79">
        <f>IF(AND(A754="", J754=""), "", IF(A754&lt;&gt;"", VALUE(MID(A754,2,LEN(A754))), AN753))</f>
        <v/>
      </c>
      <c r="AO754" s="79">
        <f>IF(AN754="","",IF(AD754=0,"OK",_xlfn.LET(monedaPago, IF(AA754="","USD",AA754), limitePermitido, IFERROR(VLOOKUP(monedaPago, Configuración!$A$2:$B$3, 2, FALSE), 0.15), IF(AD754&gt;limitePermitido, "ALERTA: EXCESO (" &amp; TEXT(limitePermitido, "0%") &amp; " máx)", "OK"))))</f>
        <v/>
      </c>
      <c r="AP754" s="79">
        <f>IF(AN754="","",IF(AE754=0,"OK",_xlfn.LET(fechaPago, Z754, fechaFactura, R754, diasCredito, IF(E754="Pago inmediato", 0, IFERROR(VALUE(MID(E754, 1, SEARCH(" ", E754)-1)),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54" s="79">
        <f>IF(AN754="","",IF(AND(N754&gt;0, AG754&gt;0), IF(Configuración!$K$2="NO", "ALERTA: DESCUENTO DOBLE NO PERMITIDO", "OK"), "OK"))</f>
        <v/>
      </c>
      <c r="AR754" s="79">
        <f>IF(AN754="","",IF(OR(AO754&lt;&gt;"OK", AP754&lt;&gt;"OK", AQ754&lt;&gt;"OK"), "⚠️ REVISAR", "OK"))</f>
        <v/>
      </c>
    </row>
    <row r="755">
      <c r="A755" s="79">
        <f>IF('Ordenes_Odoo'!A755="","",'Ordenes_Odoo'!A755)</f>
        <v/>
      </c>
      <c r="B755" s="80">
        <f>IF('Ordenes_Odoo'!B755="","",'Ordenes_Odoo'!B755)</f>
        <v/>
      </c>
      <c r="C755" s="79">
        <f>IF('Ordenes_Odoo'!C755="","",'Ordenes_Odoo'!C755)</f>
        <v/>
      </c>
      <c r="D755" s="79">
        <f>IF('Ordenes_Odoo'!D755="","",'Ordenes_Odoo'!D755)</f>
        <v/>
      </c>
      <c r="E755" s="79">
        <f>IF('Ordenes_Odoo'!E755="","",'Ordenes_Odoo'!E755)</f>
        <v/>
      </c>
      <c r="F755" s="79">
        <f>IF('Ordenes_Odoo'!F755="","",'Ordenes_Odoo'!F755)</f>
        <v/>
      </c>
      <c r="G755" s="79">
        <f>IF('Ordenes_Odoo'!G755="","",'Ordenes_Odoo'!G755)</f>
        <v/>
      </c>
      <c r="H755" s="79">
        <f>IF('Ordenes_Odoo'!H755="","",'Ordenes_Odoo'!H755)</f>
        <v/>
      </c>
      <c r="I755" s="79">
        <f>IF('Ordenes_Odoo'!I755="","",'Ordenes_Odoo'!I755)</f>
        <v/>
      </c>
      <c r="J755" s="79">
        <f>IF('Ordenes_Odoo'!J755="","",'Ordenes_Odoo'!J755)</f>
        <v/>
      </c>
      <c r="K755" s="81">
        <f>IF('Ordenes_Odoo'!K755="","",'Ordenes_Odoo'!K755)</f>
        <v/>
      </c>
      <c r="L755" s="81">
        <f>IF('Ordenes_Odoo'!L755="","",'Ordenes_Odoo'!L755)</f>
        <v/>
      </c>
      <c r="M755" s="79">
        <f>IF('Ordenes_Odoo'!M755="","",'Ordenes_Odoo'!M755)</f>
        <v/>
      </c>
      <c r="N755" s="79">
        <f>IF('Ordenes_Odoo'!N755="","",'Ordenes_Odoo'!N755)</f>
        <v/>
      </c>
      <c r="O755" s="81">
        <f>IF('Ordenes_Odoo'!O755="","",'Ordenes_Odoo'!O755)</f>
        <v/>
      </c>
      <c r="P755" s="81">
        <f>IF('Ordenes_Odoo'!P755="","",'Ordenes_Odoo'!P755)</f>
        <v/>
      </c>
      <c r="Q755" s="79">
        <f>IF(A755="","",IFERROR(INDEX(Facturas_Odoo!$B:$B, MATCH(A755, Facturas_Odoo!$D:$D, 0)), "Sin Factura"))</f>
        <v/>
      </c>
      <c r="R755" s="80">
        <f>IF(Q755="Sin Factura","",IFERROR(INDEX(Facturas_Odoo!$A:$A, MATCH(Q755, Facturas_Odoo!$B:$B, 0)), ""))</f>
        <v/>
      </c>
      <c r="S755" s="79">
        <f>IF(Q755="Sin Factura","",IFERROR(_xlfn.XLOOKUP(1, (Facturas_Odoo!$D:$D=A755) * (Facturas_Odoo!$K:$K=I755), Facturas_Odoo!$L:$L, ""), ""))</f>
        <v/>
      </c>
      <c r="T755" s="81">
        <f>IF(Q755="Sin Factura",0,IFERROR(_xlfn.XLOOKUP(1, (Facturas_Odoo!$D:$D=A755) * (Facturas_Odoo!$K:$K=I755), Facturas_Odoo!$M:$M, 0), 0))</f>
        <v/>
      </c>
      <c r="U755" s="79">
        <f>IF(Q755="Sin Factura",0,IFERROR(_xlfn.XLOOKUP(1, (Facturas_Odoo!$D:$D=A755) * (Facturas_Odoo!$K:$K=I755), Facturas_Odoo!$N:$N, 0), 0))</f>
        <v/>
      </c>
      <c r="V755" s="79">
        <f>IF(Q755="Sin Factura",0,IFERROR(_xlfn.XLOOKUP(1, (Facturas_Odoo!$D:$D=A755) * (Facturas_Odoo!$K:$K=I755), Facturas_Odoo!$O:$O, 0), 0))</f>
        <v/>
      </c>
      <c r="W755" s="81">
        <f>IF(Q755="Sin Factura",0,IFERROR(_xlfn.XLOOKUP(1, (Facturas_Odoo!$D:$D=A755) * (Facturas_Odoo!$K:$K=I755), Facturas_Odoo!$Q:$Q, 0), 0))</f>
        <v/>
      </c>
      <c r="X755" s="79">
        <f>IF(OR(Q755="Sin Factura",Q755=""),"",IFERROR(INDEX(Pagos_Odoo!$B:$B, MATCH(Q755, Pagos_Odoo!$I:$I, 0)), "Sin Pago"))</f>
        <v/>
      </c>
      <c r="Y755" s="79">
        <f>IF(X755="Sin Pago","",IFERROR(INDEX(Pagos_Odoo!$C:$C, MATCH(X755, Pagos_Odoo!$B:$B, 0)), ""))</f>
        <v/>
      </c>
      <c r="Z755" s="80">
        <f>IF(X755="Sin Pago","",IFERROR(INDEX(Pagos_Odoo!$A:$A, MATCH(X755, Pagos_Odoo!$B:$B, 0)), ""))</f>
        <v/>
      </c>
      <c r="AA755" s="79">
        <f>IF(X755="Sin Pago","",IFERROR(INDEX(Pagos_Odoo!$F:$F, MATCH(X755, Pagos_Odoo!$B:$B, 0)), ""))</f>
        <v/>
      </c>
      <c r="AB755" s="81">
        <f>IF(X755="Sin Pago",0,IFERROR(INDEX(Pagos_Odoo!$E:$E, MATCH(X755, Pagos_Odoo!$B:$B, 0)), 0))</f>
        <v/>
      </c>
      <c r="AC755" s="79">
        <f>IF(X755="Sin Pago","",IFERROR(INDEX(Pagos_Odoo!$G:$G, MATCH(X755, Pagos_Odoo!$B:$B, 0)), ""))</f>
        <v/>
      </c>
      <c r="AD755" s="82" t="n">
        <v>0</v>
      </c>
      <c r="AE755" s="82" t="n"/>
      <c r="AF755" s="82" t="n"/>
      <c r="AG755" s="82">
        <f>IF(AN755="","",AD755+AE755+AF755)</f>
        <v/>
      </c>
      <c r="AH755" s="81">
        <f>IF(AN755="","",P755*(1-AG755))</f>
        <v/>
      </c>
      <c r="AI755" s="81">
        <f>IF(AN755="","",IF(Q755="Sin Factura",0,IFERROR(INDEX(Facturas_Odoo!$H:$H, MATCH(Q755, Facturas_Odoo!$B:$B, 0)), 0)*(1-AG755)))</f>
        <v/>
      </c>
      <c r="AJ755" s="81">
        <f>IF(AN755="","",_xlfn.LET(idVenta, AN755&amp;"",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55" s="81">
        <f>IF(AN755="","",AH755-AJ755)</f>
        <v/>
      </c>
      <c r="AL755" s="81">
        <f>IF(AN755="","",IF(Q755="Sin Factura","",AI755-AJ755))</f>
        <v/>
      </c>
      <c r="AM755" s="81">
        <f>IF(AN755="","",IF(Q755="Sin Factura",0,P755-IFERROR(INDEX(Facturas_Odoo!$H:$H, MATCH(Q755, Facturas_Odoo!$B:$B, 0)), 0)))</f>
        <v/>
      </c>
      <c r="AN755" s="79">
        <f>IF(AND(A755="", J755=""), "", IF(A755&lt;&gt;"", VALUE(MID(A755,2,LEN(A755))), AN754))</f>
        <v/>
      </c>
      <c r="AO755" s="79">
        <f>IF(AN755="","",IF(AD755=0,"OK",_xlfn.LET(monedaPago, IF(AA755="","USD",AA755), limitePermitido, IFERROR(VLOOKUP(monedaPago, Configuración!$A$2:$B$3, 2, FALSE), 0.15), IF(AD755&gt;limitePermitido, "ALERTA: EXCESO (" &amp; TEXT(limitePermitido, "0%") &amp; " máx)", "OK"))))</f>
        <v/>
      </c>
      <c r="AP755" s="79">
        <f>IF(AN755="","",IF(AE755=0,"OK",_xlfn.LET(fechaPago, Z755, fechaFactura, R755, diasCredito, IF(E755="Pago inmediato", 0, IFERROR(VALUE(MID(E755, 1, SEARCH(" ", E755)-1)),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55" s="79">
        <f>IF(AN755="","",IF(AND(N755&gt;0, AG755&gt;0), IF(Configuración!$K$2="NO", "ALERTA: DESCUENTO DOBLE NO PERMITIDO", "OK"), "OK"))</f>
        <v/>
      </c>
      <c r="AR755" s="79">
        <f>IF(AN755="","",IF(OR(AO755&lt;&gt;"OK", AP755&lt;&gt;"OK", AQ755&lt;&gt;"OK"), "⚠️ REVISAR", "OK"))</f>
        <v/>
      </c>
    </row>
    <row r="756">
      <c r="A756" s="79">
        <f>IF('Ordenes_Odoo'!A756="","",'Ordenes_Odoo'!A756)</f>
        <v/>
      </c>
      <c r="B756" s="80">
        <f>IF('Ordenes_Odoo'!B756="","",'Ordenes_Odoo'!B756)</f>
        <v/>
      </c>
      <c r="C756" s="79">
        <f>IF('Ordenes_Odoo'!C756="","",'Ordenes_Odoo'!C756)</f>
        <v/>
      </c>
      <c r="D756" s="79">
        <f>IF('Ordenes_Odoo'!D756="","",'Ordenes_Odoo'!D756)</f>
        <v/>
      </c>
      <c r="E756" s="79">
        <f>IF('Ordenes_Odoo'!E756="","",'Ordenes_Odoo'!E756)</f>
        <v/>
      </c>
      <c r="F756" s="79">
        <f>IF('Ordenes_Odoo'!F756="","",'Ordenes_Odoo'!F756)</f>
        <v/>
      </c>
      <c r="G756" s="79">
        <f>IF('Ordenes_Odoo'!G756="","",'Ordenes_Odoo'!G756)</f>
        <v/>
      </c>
      <c r="H756" s="79">
        <f>IF('Ordenes_Odoo'!H756="","",'Ordenes_Odoo'!H756)</f>
        <v/>
      </c>
      <c r="I756" s="79">
        <f>IF('Ordenes_Odoo'!I756="","",'Ordenes_Odoo'!I756)</f>
        <v/>
      </c>
      <c r="J756" s="79">
        <f>IF('Ordenes_Odoo'!J756="","",'Ordenes_Odoo'!J756)</f>
        <v/>
      </c>
      <c r="K756" s="81">
        <f>IF('Ordenes_Odoo'!K756="","",'Ordenes_Odoo'!K756)</f>
        <v/>
      </c>
      <c r="L756" s="81">
        <f>IF('Ordenes_Odoo'!L756="","",'Ordenes_Odoo'!L756)</f>
        <v/>
      </c>
      <c r="M756" s="79">
        <f>IF('Ordenes_Odoo'!M756="","",'Ordenes_Odoo'!M756)</f>
        <v/>
      </c>
      <c r="N756" s="79">
        <f>IF('Ordenes_Odoo'!N756="","",'Ordenes_Odoo'!N756)</f>
        <v/>
      </c>
      <c r="O756" s="81">
        <f>IF('Ordenes_Odoo'!O756="","",'Ordenes_Odoo'!O756)</f>
        <v/>
      </c>
      <c r="P756" s="81">
        <f>IF('Ordenes_Odoo'!P756="","",'Ordenes_Odoo'!P756)</f>
        <v/>
      </c>
      <c r="Q756" s="79">
        <f>IF(A756="","",IFERROR(INDEX(Facturas_Odoo!$B:$B, MATCH(A756, Facturas_Odoo!$D:$D, 0)), "Sin Factura"))</f>
        <v/>
      </c>
      <c r="R756" s="80">
        <f>IF(Q756="Sin Factura","",IFERROR(INDEX(Facturas_Odoo!$A:$A, MATCH(Q756, Facturas_Odoo!$B:$B, 0)), ""))</f>
        <v/>
      </c>
      <c r="S756" s="79">
        <f>IF(Q756="Sin Factura","",IFERROR(_xlfn.XLOOKUP(1, (Facturas_Odoo!$D:$D=A756) * (Facturas_Odoo!$K:$K=I756), Facturas_Odoo!$L:$L, ""), ""))</f>
        <v/>
      </c>
      <c r="T756" s="81">
        <f>IF(Q756="Sin Factura",0,IFERROR(_xlfn.XLOOKUP(1, (Facturas_Odoo!$D:$D=A756) * (Facturas_Odoo!$K:$K=I756), Facturas_Odoo!$M:$M, 0), 0))</f>
        <v/>
      </c>
      <c r="U756" s="79">
        <f>IF(Q756="Sin Factura",0,IFERROR(_xlfn.XLOOKUP(1, (Facturas_Odoo!$D:$D=A756) * (Facturas_Odoo!$K:$K=I756), Facturas_Odoo!$N:$N, 0), 0))</f>
        <v/>
      </c>
      <c r="V756" s="79">
        <f>IF(Q756="Sin Factura",0,IFERROR(_xlfn.XLOOKUP(1, (Facturas_Odoo!$D:$D=A756) * (Facturas_Odoo!$K:$K=I756), Facturas_Odoo!$O:$O, 0), 0))</f>
        <v/>
      </c>
      <c r="W756" s="81">
        <f>IF(Q756="Sin Factura",0,IFERROR(_xlfn.XLOOKUP(1, (Facturas_Odoo!$D:$D=A756) * (Facturas_Odoo!$K:$K=I756), Facturas_Odoo!$Q:$Q, 0), 0))</f>
        <v/>
      </c>
      <c r="X756" s="79">
        <f>IF(OR(Q756="Sin Factura",Q756=""),"",IFERROR(INDEX(Pagos_Odoo!$B:$B, MATCH(Q756, Pagos_Odoo!$I:$I, 0)), "Sin Pago"))</f>
        <v/>
      </c>
      <c r="Y756" s="79">
        <f>IF(X756="Sin Pago","",IFERROR(INDEX(Pagos_Odoo!$C:$C, MATCH(X756, Pagos_Odoo!$B:$B, 0)), ""))</f>
        <v/>
      </c>
      <c r="Z756" s="80">
        <f>IF(X756="Sin Pago","",IFERROR(INDEX(Pagos_Odoo!$A:$A, MATCH(X756, Pagos_Odoo!$B:$B, 0)), ""))</f>
        <v/>
      </c>
      <c r="AA756" s="79">
        <f>IF(X756="Sin Pago","",IFERROR(INDEX(Pagos_Odoo!$F:$F, MATCH(X756, Pagos_Odoo!$B:$B, 0)), ""))</f>
        <v/>
      </c>
      <c r="AB756" s="81">
        <f>IF(X756="Sin Pago",0,IFERROR(INDEX(Pagos_Odoo!$E:$E, MATCH(X756, Pagos_Odoo!$B:$B, 0)), 0))</f>
        <v/>
      </c>
      <c r="AC756" s="79">
        <f>IF(X756="Sin Pago","",IFERROR(INDEX(Pagos_Odoo!$G:$G, MATCH(X756, Pagos_Odoo!$B:$B, 0)), ""))</f>
        <v/>
      </c>
      <c r="AD756" s="82" t="n">
        <v>0</v>
      </c>
      <c r="AE756" s="82" t="n"/>
      <c r="AF756" s="82" t="n"/>
      <c r="AG756" s="82">
        <f>IF(AN756="","",AD756+AE756+AF756)</f>
        <v/>
      </c>
      <c r="AH756" s="81">
        <f>IF(AN756="","",P756*(1-AG756))</f>
        <v/>
      </c>
      <c r="AI756" s="81">
        <f>IF(AN756="","",IF(Q756="Sin Factura",0,IFERROR(INDEX(Facturas_Odoo!$H:$H, MATCH(Q756, Facturas_Odoo!$B:$B, 0)), 0)*(1-AG756)))</f>
        <v/>
      </c>
      <c r="AJ756" s="81">
        <f>IF(AN756="","",_xlfn.LET(idVenta, AN756&amp;"",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56" s="81">
        <f>IF(AN756="","",AH756-AJ756)</f>
        <v/>
      </c>
      <c r="AL756" s="81">
        <f>IF(AN756="","",IF(Q756="Sin Factura","",AI756-AJ756))</f>
        <v/>
      </c>
      <c r="AM756" s="81">
        <f>IF(AN756="","",IF(Q756="Sin Factura",0,P756-IFERROR(INDEX(Facturas_Odoo!$H:$H, MATCH(Q756, Facturas_Odoo!$B:$B, 0)), 0)))</f>
        <v/>
      </c>
      <c r="AN756" s="79">
        <f>IF(AND(A756="", J756=""), "", IF(A756&lt;&gt;"", VALUE(MID(A756,2,LEN(A756))), AN755))</f>
        <v/>
      </c>
      <c r="AO756" s="79">
        <f>IF(AN756="","",IF(AD756=0,"OK",_xlfn.LET(monedaPago, IF(AA756="","USD",AA756), limitePermitido, IFERROR(VLOOKUP(monedaPago, Configuración!$A$2:$B$3, 2, FALSE), 0.15), IF(AD756&gt;limitePermitido, "ALERTA: EXCESO (" &amp; TEXT(limitePermitido, "0%") &amp; " máx)", "OK"))))</f>
        <v/>
      </c>
      <c r="AP756" s="79">
        <f>IF(AN756="","",IF(AE756=0,"OK",_xlfn.LET(fechaPago, Z756, fechaFactura, R756, diasCredito, IF(E756="Pago inmediato", 0, IFERROR(VALUE(MID(E756, 1, SEARCH(" ", E756)-1)),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56" s="79">
        <f>IF(AN756="","",IF(AND(N756&gt;0, AG756&gt;0), IF(Configuración!$K$2="NO", "ALERTA: DESCUENTO DOBLE NO PERMITIDO", "OK"), "OK"))</f>
        <v/>
      </c>
      <c r="AR756" s="79">
        <f>IF(AN756="","",IF(OR(AO756&lt;&gt;"OK", AP756&lt;&gt;"OK", AQ756&lt;&gt;"OK"), "⚠️ REVISAR", "OK"))</f>
        <v/>
      </c>
    </row>
    <row r="757">
      <c r="A757" s="79">
        <f>IF('Ordenes_Odoo'!A757="","",'Ordenes_Odoo'!A757)</f>
        <v/>
      </c>
      <c r="B757" s="80">
        <f>IF('Ordenes_Odoo'!B757="","",'Ordenes_Odoo'!B757)</f>
        <v/>
      </c>
      <c r="C757" s="79">
        <f>IF('Ordenes_Odoo'!C757="","",'Ordenes_Odoo'!C757)</f>
        <v/>
      </c>
      <c r="D757" s="79">
        <f>IF('Ordenes_Odoo'!D757="","",'Ordenes_Odoo'!D757)</f>
        <v/>
      </c>
      <c r="E757" s="79">
        <f>IF('Ordenes_Odoo'!E757="","",'Ordenes_Odoo'!E757)</f>
        <v/>
      </c>
      <c r="F757" s="79">
        <f>IF('Ordenes_Odoo'!F757="","",'Ordenes_Odoo'!F757)</f>
        <v/>
      </c>
      <c r="G757" s="79">
        <f>IF('Ordenes_Odoo'!G757="","",'Ordenes_Odoo'!G757)</f>
        <v/>
      </c>
      <c r="H757" s="79">
        <f>IF('Ordenes_Odoo'!H757="","",'Ordenes_Odoo'!H757)</f>
        <v/>
      </c>
      <c r="I757" s="79">
        <f>IF('Ordenes_Odoo'!I757="","",'Ordenes_Odoo'!I757)</f>
        <v/>
      </c>
      <c r="J757" s="79">
        <f>IF('Ordenes_Odoo'!J757="","",'Ordenes_Odoo'!J757)</f>
        <v/>
      </c>
      <c r="K757" s="81">
        <f>IF('Ordenes_Odoo'!K757="","",'Ordenes_Odoo'!K757)</f>
        <v/>
      </c>
      <c r="L757" s="81">
        <f>IF('Ordenes_Odoo'!L757="","",'Ordenes_Odoo'!L757)</f>
        <v/>
      </c>
      <c r="M757" s="79">
        <f>IF('Ordenes_Odoo'!M757="","",'Ordenes_Odoo'!M757)</f>
        <v/>
      </c>
      <c r="N757" s="79">
        <f>IF('Ordenes_Odoo'!N757="","",'Ordenes_Odoo'!N757)</f>
        <v/>
      </c>
      <c r="O757" s="81">
        <f>IF('Ordenes_Odoo'!O757="","",'Ordenes_Odoo'!O757)</f>
        <v/>
      </c>
      <c r="P757" s="81">
        <f>IF('Ordenes_Odoo'!P757="","",'Ordenes_Odoo'!P757)</f>
        <v/>
      </c>
      <c r="Q757" s="79">
        <f>IF(A757="","",IFERROR(INDEX(Facturas_Odoo!$B:$B, MATCH(A757, Facturas_Odoo!$D:$D, 0)), "Sin Factura"))</f>
        <v/>
      </c>
      <c r="R757" s="80">
        <f>IF(Q757="Sin Factura","",IFERROR(INDEX(Facturas_Odoo!$A:$A, MATCH(Q757, Facturas_Odoo!$B:$B, 0)), ""))</f>
        <v/>
      </c>
      <c r="S757" s="79">
        <f>IF(Q757="Sin Factura","",IFERROR(_xlfn.XLOOKUP(1, (Facturas_Odoo!$D:$D=A757) * (Facturas_Odoo!$K:$K=I757), Facturas_Odoo!$L:$L, ""), ""))</f>
        <v/>
      </c>
      <c r="T757" s="81">
        <f>IF(Q757="Sin Factura",0,IFERROR(_xlfn.XLOOKUP(1, (Facturas_Odoo!$D:$D=A757) * (Facturas_Odoo!$K:$K=I757), Facturas_Odoo!$M:$M, 0), 0))</f>
        <v/>
      </c>
      <c r="U757" s="79">
        <f>IF(Q757="Sin Factura",0,IFERROR(_xlfn.XLOOKUP(1, (Facturas_Odoo!$D:$D=A757) * (Facturas_Odoo!$K:$K=I757), Facturas_Odoo!$N:$N, 0), 0))</f>
        <v/>
      </c>
      <c r="V757" s="79">
        <f>IF(Q757="Sin Factura",0,IFERROR(_xlfn.XLOOKUP(1, (Facturas_Odoo!$D:$D=A757) * (Facturas_Odoo!$K:$K=I757), Facturas_Odoo!$O:$O, 0), 0))</f>
        <v/>
      </c>
      <c r="W757" s="81">
        <f>IF(Q757="Sin Factura",0,IFERROR(_xlfn.XLOOKUP(1, (Facturas_Odoo!$D:$D=A757) * (Facturas_Odoo!$K:$K=I757), Facturas_Odoo!$Q:$Q, 0), 0))</f>
        <v/>
      </c>
      <c r="X757" s="79">
        <f>IF(OR(Q757="Sin Factura",Q757=""),"",IFERROR(INDEX(Pagos_Odoo!$B:$B, MATCH(Q757, Pagos_Odoo!$I:$I, 0)), "Sin Pago"))</f>
        <v/>
      </c>
      <c r="Y757" s="79">
        <f>IF(X757="Sin Pago","",IFERROR(INDEX(Pagos_Odoo!$C:$C, MATCH(X757, Pagos_Odoo!$B:$B, 0)), ""))</f>
        <v/>
      </c>
      <c r="Z757" s="80">
        <f>IF(X757="Sin Pago","",IFERROR(INDEX(Pagos_Odoo!$A:$A, MATCH(X757, Pagos_Odoo!$B:$B, 0)), ""))</f>
        <v/>
      </c>
      <c r="AA757" s="79">
        <f>IF(X757="Sin Pago","",IFERROR(INDEX(Pagos_Odoo!$F:$F, MATCH(X757, Pagos_Odoo!$B:$B, 0)), ""))</f>
        <v/>
      </c>
      <c r="AB757" s="81">
        <f>IF(X757="Sin Pago",0,IFERROR(INDEX(Pagos_Odoo!$E:$E, MATCH(X757, Pagos_Odoo!$B:$B, 0)), 0))</f>
        <v/>
      </c>
      <c r="AC757" s="79">
        <f>IF(X757="Sin Pago","",IFERROR(INDEX(Pagos_Odoo!$G:$G, MATCH(X757, Pagos_Odoo!$B:$B, 0)), ""))</f>
        <v/>
      </c>
      <c r="AD757" s="82" t="n">
        <v>0</v>
      </c>
      <c r="AE757" s="82" t="n"/>
      <c r="AF757" s="82" t="n"/>
      <c r="AG757" s="82">
        <f>IF(AN757="","",AD757+AE757+AF757)</f>
        <v/>
      </c>
      <c r="AH757" s="81">
        <f>IF(AN757="","",P757*(1-AG757))</f>
        <v/>
      </c>
      <c r="AI757" s="81">
        <f>IF(AN757="","",IF(Q757="Sin Factura",0,IFERROR(INDEX(Facturas_Odoo!$H:$H, MATCH(Q757, Facturas_Odoo!$B:$B, 0)), 0)*(1-AG757)))</f>
        <v/>
      </c>
      <c r="AJ757" s="81">
        <f>IF(AN757="","",_xlfn.LET(idVenta, AN757&amp;"",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57" s="81">
        <f>IF(AN757="","",AH757-AJ757)</f>
        <v/>
      </c>
      <c r="AL757" s="81">
        <f>IF(AN757="","",IF(Q757="Sin Factura","",AI757-AJ757))</f>
        <v/>
      </c>
      <c r="AM757" s="81">
        <f>IF(AN757="","",IF(Q757="Sin Factura",0,P757-IFERROR(INDEX(Facturas_Odoo!$H:$H, MATCH(Q757, Facturas_Odoo!$B:$B, 0)), 0)))</f>
        <v/>
      </c>
      <c r="AN757" s="79">
        <f>IF(AND(A757="", J757=""), "", IF(A757&lt;&gt;"", VALUE(MID(A757,2,LEN(A757))), AN756))</f>
        <v/>
      </c>
      <c r="AO757" s="79">
        <f>IF(AN757="","",IF(AD757=0,"OK",_xlfn.LET(monedaPago, IF(AA757="","USD",AA757), limitePermitido, IFERROR(VLOOKUP(monedaPago, Configuración!$A$2:$B$3, 2, FALSE), 0.15), IF(AD757&gt;limitePermitido, "ALERTA: EXCESO (" &amp; TEXT(limitePermitido, "0%") &amp; " máx)", "OK"))))</f>
        <v/>
      </c>
      <c r="AP757" s="79">
        <f>IF(AN757="","",IF(AE757=0,"OK",_xlfn.LET(fechaPago, Z757, fechaFactura, R757, diasCredito, IF(E757="Pago inmediato", 0, IFERROR(VALUE(MID(E757, 1, SEARCH(" ", E757)-1)),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57" s="79">
        <f>IF(AN757="","",IF(AND(N757&gt;0, AG757&gt;0), IF(Configuración!$K$2="NO", "ALERTA: DESCUENTO DOBLE NO PERMITIDO", "OK"), "OK"))</f>
        <v/>
      </c>
      <c r="AR757" s="79">
        <f>IF(AN757="","",IF(OR(AO757&lt;&gt;"OK", AP757&lt;&gt;"OK", AQ757&lt;&gt;"OK"), "⚠️ REVISAR", "OK"))</f>
        <v/>
      </c>
    </row>
    <row r="758">
      <c r="A758" s="79">
        <f>IF('Ordenes_Odoo'!A758="","",'Ordenes_Odoo'!A758)</f>
        <v/>
      </c>
      <c r="B758" s="80">
        <f>IF('Ordenes_Odoo'!B758="","",'Ordenes_Odoo'!B758)</f>
        <v/>
      </c>
      <c r="C758" s="79">
        <f>IF('Ordenes_Odoo'!C758="","",'Ordenes_Odoo'!C758)</f>
        <v/>
      </c>
      <c r="D758" s="79">
        <f>IF('Ordenes_Odoo'!D758="","",'Ordenes_Odoo'!D758)</f>
        <v/>
      </c>
      <c r="E758" s="79">
        <f>IF('Ordenes_Odoo'!E758="","",'Ordenes_Odoo'!E758)</f>
        <v/>
      </c>
      <c r="F758" s="79">
        <f>IF('Ordenes_Odoo'!F758="","",'Ordenes_Odoo'!F758)</f>
        <v/>
      </c>
      <c r="G758" s="79">
        <f>IF('Ordenes_Odoo'!G758="","",'Ordenes_Odoo'!G758)</f>
        <v/>
      </c>
      <c r="H758" s="79">
        <f>IF('Ordenes_Odoo'!H758="","",'Ordenes_Odoo'!H758)</f>
        <v/>
      </c>
      <c r="I758" s="79">
        <f>IF('Ordenes_Odoo'!I758="","",'Ordenes_Odoo'!I758)</f>
        <v/>
      </c>
      <c r="J758" s="79">
        <f>IF('Ordenes_Odoo'!J758="","",'Ordenes_Odoo'!J758)</f>
        <v/>
      </c>
      <c r="K758" s="81">
        <f>IF('Ordenes_Odoo'!K758="","",'Ordenes_Odoo'!K758)</f>
        <v/>
      </c>
      <c r="L758" s="81">
        <f>IF('Ordenes_Odoo'!L758="","",'Ordenes_Odoo'!L758)</f>
        <v/>
      </c>
      <c r="M758" s="79">
        <f>IF('Ordenes_Odoo'!M758="","",'Ordenes_Odoo'!M758)</f>
        <v/>
      </c>
      <c r="N758" s="79">
        <f>IF('Ordenes_Odoo'!N758="","",'Ordenes_Odoo'!N758)</f>
        <v/>
      </c>
      <c r="O758" s="81">
        <f>IF('Ordenes_Odoo'!O758="","",'Ordenes_Odoo'!O758)</f>
        <v/>
      </c>
      <c r="P758" s="81">
        <f>IF('Ordenes_Odoo'!P758="","",'Ordenes_Odoo'!P758)</f>
        <v/>
      </c>
      <c r="Q758" s="79">
        <f>IF(A758="","",IFERROR(INDEX(Facturas_Odoo!$B:$B, MATCH(A758, Facturas_Odoo!$D:$D, 0)), "Sin Factura"))</f>
        <v/>
      </c>
      <c r="R758" s="80">
        <f>IF(Q758="Sin Factura","",IFERROR(INDEX(Facturas_Odoo!$A:$A, MATCH(Q758, Facturas_Odoo!$B:$B, 0)), ""))</f>
        <v/>
      </c>
      <c r="S758" s="79">
        <f>IF(Q758="Sin Factura","",IFERROR(_xlfn.XLOOKUP(1, (Facturas_Odoo!$D:$D=A758) * (Facturas_Odoo!$K:$K=I758), Facturas_Odoo!$L:$L, ""), ""))</f>
        <v/>
      </c>
      <c r="T758" s="81">
        <f>IF(Q758="Sin Factura",0,IFERROR(_xlfn.XLOOKUP(1, (Facturas_Odoo!$D:$D=A758) * (Facturas_Odoo!$K:$K=I758), Facturas_Odoo!$M:$M, 0), 0))</f>
        <v/>
      </c>
      <c r="U758" s="79">
        <f>IF(Q758="Sin Factura",0,IFERROR(_xlfn.XLOOKUP(1, (Facturas_Odoo!$D:$D=A758) * (Facturas_Odoo!$K:$K=I758), Facturas_Odoo!$N:$N, 0), 0))</f>
        <v/>
      </c>
      <c r="V758" s="79">
        <f>IF(Q758="Sin Factura",0,IFERROR(_xlfn.XLOOKUP(1, (Facturas_Odoo!$D:$D=A758) * (Facturas_Odoo!$K:$K=I758), Facturas_Odoo!$O:$O, 0), 0))</f>
        <v/>
      </c>
      <c r="W758" s="81">
        <f>IF(Q758="Sin Factura",0,IFERROR(_xlfn.XLOOKUP(1, (Facturas_Odoo!$D:$D=A758) * (Facturas_Odoo!$K:$K=I758), Facturas_Odoo!$Q:$Q, 0), 0))</f>
        <v/>
      </c>
      <c r="X758" s="79">
        <f>IF(OR(Q758="Sin Factura",Q758=""),"",IFERROR(INDEX(Pagos_Odoo!$B:$B, MATCH(Q758, Pagos_Odoo!$I:$I, 0)), "Sin Pago"))</f>
        <v/>
      </c>
      <c r="Y758" s="79">
        <f>IF(X758="Sin Pago","",IFERROR(INDEX(Pagos_Odoo!$C:$C, MATCH(X758, Pagos_Odoo!$B:$B, 0)), ""))</f>
        <v/>
      </c>
      <c r="Z758" s="80">
        <f>IF(X758="Sin Pago","",IFERROR(INDEX(Pagos_Odoo!$A:$A, MATCH(X758, Pagos_Odoo!$B:$B, 0)), ""))</f>
        <v/>
      </c>
      <c r="AA758" s="79">
        <f>IF(X758="Sin Pago","",IFERROR(INDEX(Pagos_Odoo!$F:$F, MATCH(X758, Pagos_Odoo!$B:$B, 0)), ""))</f>
        <v/>
      </c>
      <c r="AB758" s="81">
        <f>IF(X758="Sin Pago",0,IFERROR(INDEX(Pagos_Odoo!$E:$E, MATCH(X758, Pagos_Odoo!$B:$B, 0)), 0))</f>
        <v/>
      </c>
      <c r="AC758" s="79">
        <f>IF(X758="Sin Pago","",IFERROR(INDEX(Pagos_Odoo!$G:$G, MATCH(X758, Pagos_Odoo!$B:$B, 0)), ""))</f>
        <v/>
      </c>
      <c r="AD758" s="82" t="n">
        <v>0</v>
      </c>
      <c r="AE758" s="82" t="n"/>
      <c r="AF758" s="82" t="n"/>
      <c r="AG758" s="82">
        <f>IF(AN758="","",AD758+AE758+AF758)</f>
        <v/>
      </c>
      <c r="AH758" s="81">
        <f>IF(AN758="","",P758*(1-AG758))</f>
        <v/>
      </c>
      <c r="AI758" s="81">
        <f>IF(AN758="","",IF(Q758="Sin Factura",0,IFERROR(INDEX(Facturas_Odoo!$H:$H, MATCH(Q758, Facturas_Odoo!$B:$B, 0)), 0)*(1-AG758)))</f>
        <v/>
      </c>
      <c r="AJ758" s="81">
        <f>IF(AN758="","",_xlfn.LET(idVenta, AN758&amp;"",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58" s="81">
        <f>IF(AN758="","",AH758-AJ758)</f>
        <v/>
      </c>
      <c r="AL758" s="81">
        <f>IF(AN758="","",IF(Q758="Sin Factura","",AI758-AJ758))</f>
        <v/>
      </c>
      <c r="AM758" s="81">
        <f>IF(AN758="","",IF(Q758="Sin Factura",0,P758-IFERROR(INDEX(Facturas_Odoo!$H:$H, MATCH(Q758, Facturas_Odoo!$B:$B, 0)), 0)))</f>
        <v/>
      </c>
      <c r="AN758" s="79">
        <f>IF(AND(A758="", J758=""), "", IF(A758&lt;&gt;"", VALUE(MID(A758,2,LEN(A758))), AN757))</f>
        <v/>
      </c>
      <c r="AO758" s="79">
        <f>IF(AN758="","",IF(AD758=0,"OK",_xlfn.LET(monedaPago, IF(AA758="","USD",AA758), limitePermitido, IFERROR(VLOOKUP(monedaPago, Configuración!$A$2:$B$3, 2, FALSE), 0.15), IF(AD758&gt;limitePermitido, "ALERTA: EXCESO (" &amp; TEXT(limitePermitido, "0%") &amp; " máx)", "OK"))))</f>
        <v/>
      </c>
      <c r="AP758" s="79">
        <f>IF(AN758="","",IF(AE758=0,"OK",_xlfn.LET(fechaPago, Z758, fechaFactura, R758, diasCredito, IF(E758="Pago inmediato", 0, IFERROR(VALUE(MID(E758, 1, SEARCH(" ", E758)-1)),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58" s="79">
        <f>IF(AN758="","",IF(AND(N758&gt;0, AG758&gt;0), IF(Configuración!$K$2="NO", "ALERTA: DESCUENTO DOBLE NO PERMITIDO", "OK"), "OK"))</f>
        <v/>
      </c>
      <c r="AR758" s="79">
        <f>IF(AN758="","",IF(OR(AO758&lt;&gt;"OK", AP758&lt;&gt;"OK", AQ758&lt;&gt;"OK"), "⚠️ REVISAR", "OK"))</f>
        <v/>
      </c>
    </row>
    <row r="759">
      <c r="A759" s="79">
        <f>IF('Ordenes_Odoo'!A759="","",'Ordenes_Odoo'!A759)</f>
        <v/>
      </c>
      <c r="B759" s="80">
        <f>IF('Ordenes_Odoo'!B759="","",'Ordenes_Odoo'!B759)</f>
        <v/>
      </c>
      <c r="C759" s="79">
        <f>IF('Ordenes_Odoo'!C759="","",'Ordenes_Odoo'!C759)</f>
        <v/>
      </c>
      <c r="D759" s="79">
        <f>IF('Ordenes_Odoo'!D759="","",'Ordenes_Odoo'!D759)</f>
        <v/>
      </c>
      <c r="E759" s="79">
        <f>IF('Ordenes_Odoo'!E759="","",'Ordenes_Odoo'!E759)</f>
        <v/>
      </c>
      <c r="F759" s="79">
        <f>IF('Ordenes_Odoo'!F759="","",'Ordenes_Odoo'!F759)</f>
        <v/>
      </c>
      <c r="G759" s="79">
        <f>IF('Ordenes_Odoo'!G759="","",'Ordenes_Odoo'!G759)</f>
        <v/>
      </c>
      <c r="H759" s="79">
        <f>IF('Ordenes_Odoo'!H759="","",'Ordenes_Odoo'!H759)</f>
        <v/>
      </c>
      <c r="I759" s="79">
        <f>IF('Ordenes_Odoo'!I759="","",'Ordenes_Odoo'!I759)</f>
        <v/>
      </c>
      <c r="J759" s="79">
        <f>IF('Ordenes_Odoo'!J759="","",'Ordenes_Odoo'!J759)</f>
        <v/>
      </c>
      <c r="K759" s="81">
        <f>IF('Ordenes_Odoo'!K759="","",'Ordenes_Odoo'!K759)</f>
        <v/>
      </c>
      <c r="L759" s="81">
        <f>IF('Ordenes_Odoo'!L759="","",'Ordenes_Odoo'!L759)</f>
        <v/>
      </c>
      <c r="M759" s="79">
        <f>IF('Ordenes_Odoo'!M759="","",'Ordenes_Odoo'!M759)</f>
        <v/>
      </c>
      <c r="N759" s="79">
        <f>IF('Ordenes_Odoo'!N759="","",'Ordenes_Odoo'!N759)</f>
        <v/>
      </c>
      <c r="O759" s="81">
        <f>IF('Ordenes_Odoo'!O759="","",'Ordenes_Odoo'!O759)</f>
        <v/>
      </c>
      <c r="P759" s="81">
        <f>IF('Ordenes_Odoo'!P759="","",'Ordenes_Odoo'!P759)</f>
        <v/>
      </c>
      <c r="Q759" s="79">
        <f>IF(A759="","",IFERROR(INDEX(Facturas_Odoo!$B:$B, MATCH(A759, Facturas_Odoo!$D:$D, 0)), "Sin Factura"))</f>
        <v/>
      </c>
      <c r="R759" s="80">
        <f>IF(Q759="Sin Factura","",IFERROR(INDEX(Facturas_Odoo!$A:$A, MATCH(Q759, Facturas_Odoo!$B:$B, 0)), ""))</f>
        <v/>
      </c>
      <c r="S759" s="79">
        <f>IF(Q759="Sin Factura","",IFERROR(_xlfn.XLOOKUP(1, (Facturas_Odoo!$D:$D=A759) * (Facturas_Odoo!$K:$K=I759), Facturas_Odoo!$L:$L, ""), ""))</f>
        <v/>
      </c>
      <c r="T759" s="81">
        <f>IF(Q759="Sin Factura",0,IFERROR(_xlfn.XLOOKUP(1, (Facturas_Odoo!$D:$D=A759) * (Facturas_Odoo!$K:$K=I759), Facturas_Odoo!$M:$M, 0), 0))</f>
        <v/>
      </c>
      <c r="U759" s="79">
        <f>IF(Q759="Sin Factura",0,IFERROR(_xlfn.XLOOKUP(1, (Facturas_Odoo!$D:$D=A759) * (Facturas_Odoo!$K:$K=I759), Facturas_Odoo!$N:$N, 0), 0))</f>
        <v/>
      </c>
      <c r="V759" s="79">
        <f>IF(Q759="Sin Factura",0,IFERROR(_xlfn.XLOOKUP(1, (Facturas_Odoo!$D:$D=A759) * (Facturas_Odoo!$K:$K=I759), Facturas_Odoo!$O:$O, 0), 0))</f>
        <v/>
      </c>
      <c r="W759" s="81">
        <f>IF(Q759="Sin Factura",0,IFERROR(_xlfn.XLOOKUP(1, (Facturas_Odoo!$D:$D=A759) * (Facturas_Odoo!$K:$K=I759), Facturas_Odoo!$Q:$Q, 0), 0))</f>
        <v/>
      </c>
      <c r="X759" s="79">
        <f>IF(OR(Q759="Sin Factura",Q759=""),"",IFERROR(INDEX(Pagos_Odoo!$B:$B, MATCH(Q759, Pagos_Odoo!$I:$I, 0)), "Sin Pago"))</f>
        <v/>
      </c>
      <c r="Y759" s="79">
        <f>IF(X759="Sin Pago","",IFERROR(INDEX(Pagos_Odoo!$C:$C, MATCH(X759, Pagos_Odoo!$B:$B, 0)), ""))</f>
        <v/>
      </c>
      <c r="Z759" s="80">
        <f>IF(X759="Sin Pago","",IFERROR(INDEX(Pagos_Odoo!$A:$A, MATCH(X759, Pagos_Odoo!$B:$B, 0)), ""))</f>
        <v/>
      </c>
      <c r="AA759" s="79">
        <f>IF(X759="Sin Pago","",IFERROR(INDEX(Pagos_Odoo!$F:$F, MATCH(X759, Pagos_Odoo!$B:$B, 0)), ""))</f>
        <v/>
      </c>
      <c r="AB759" s="81">
        <f>IF(X759="Sin Pago",0,IFERROR(INDEX(Pagos_Odoo!$E:$E, MATCH(X759, Pagos_Odoo!$B:$B, 0)), 0))</f>
        <v/>
      </c>
      <c r="AC759" s="79">
        <f>IF(X759="Sin Pago","",IFERROR(INDEX(Pagos_Odoo!$G:$G, MATCH(X759, Pagos_Odoo!$B:$B, 0)), ""))</f>
        <v/>
      </c>
      <c r="AD759" s="82" t="n">
        <v>0</v>
      </c>
      <c r="AE759" s="82" t="n"/>
      <c r="AF759" s="82" t="n"/>
      <c r="AG759" s="82">
        <f>IF(AN759="","",AD759+AE759+AF759)</f>
        <v/>
      </c>
      <c r="AH759" s="81">
        <f>IF(AN759="","",P759*(1-AG759))</f>
        <v/>
      </c>
      <c r="AI759" s="81">
        <f>IF(AN759="","",IF(Q759="Sin Factura",0,IFERROR(INDEX(Facturas_Odoo!$H:$H, MATCH(Q759, Facturas_Odoo!$B:$B, 0)), 0)*(1-AG759)))</f>
        <v/>
      </c>
      <c r="AJ759" s="81">
        <f>IF(AN759="","",_xlfn.LET(idVenta, AN759&amp;"",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59" s="81">
        <f>IF(AN759="","",AH759-AJ759)</f>
        <v/>
      </c>
      <c r="AL759" s="81">
        <f>IF(AN759="","",IF(Q759="Sin Factura","",AI759-AJ759))</f>
        <v/>
      </c>
      <c r="AM759" s="81">
        <f>IF(AN759="","",IF(Q759="Sin Factura",0,P759-IFERROR(INDEX(Facturas_Odoo!$H:$H, MATCH(Q759, Facturas_Odoo!$B:$B, 0)), 0)))</f>
        <v/>
      </c>
      <c r="AN759" s="79">
        <f>IF(AND(A759="", J759=""), "", IF(A759&lt;&gt;"", VALUE(MID(A759,2,LEN(A759))), AN758))</f>
        <v/>
      </c>
      <c r="AO759" s="79">
        <f>IF(AN759="","",IF(AD759=0,"OK",_xlfn.LET(monedaPago, IF(AA759="","USD",AA759), limitePermitido, IFERROR(VLOOKUP(monedaPago, Configuración!$A$2:$B$3, 2, FALSE), 0.15), IF(AD759&gt;limitePermitido, "ALERTA: EXCESO (" &amp; TEXT(limitePermitido, "0%") &amp; " máx)", "OK"))))</f>
        <v/>
      </c>
      <c r="AP759" s="79">
        <f>IF(AN759="","",IF(AE759=0,"OK",_xlfn.LET(fechaPago, Z759, fechaFactura, R759, diasCredito, IF(E759="Pago inmediato", 0, IFERROR(VALUE(MID(E759, 1, SEARCH(" ", E759)-1)),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59" s="79">
        <f>IF(AN759="","",IF(AND(N759&gt;0, AG759&gt;0), IF(Configuración!$K$2="NO", "ALERTA: DESCUENTO DOBLE NO PERMITIDO", "OK"), "OK"))</f>
        <v/>
      </c>
      <c r="AR759" s="79">
        <f>IF(AN759="","",IF(OR(AO759&lt;&gt;"OK", AP759&lt;&gt;"OK", AQ759&lt;&gt;"OK"), "⚠️ REVISAR", "OK"))</f>
        <v/>
      </c>
    </row>
    <row r="760">
      <c r="A760" s="79">
        <f>IF('Ordenes_Odoo'!A760="","",'Ordenes_Odoo'!A760)</f>
        <v/>
      </c>
      <c r="B760" s="80">
        <f>IF('Ordenes_Odoo'!B760="","",'Ordenes_Odoo'!B760)</f>
        <v/>
      </c>
      <c r="C760" s="79">
        <f>IF('Ordenes_Odoo'!C760="","",'Ordenes_Odoo'!C760)</f>
        <v/>
      </c>
      <c r="D760" s="79">
        <f>IF('Ordenes_Odoo'!D760="","",'Ordenes_Odoo'!D760)</f>
        <v/>
      </c>
      <c r="E760" s="79">
        <f>IF('Ordenes_Odoo'!E760="","",'Ordenes_Odoo'!E760)</f>
        <v/>
      </c>
      <c r="F760" s="79">
        <f>IF('Ordenes_Odoo'!F760="","",'Ordenes_Odoo'!F760)</f>
        <v/>
      </c>
      <c r="G760" s="79">
        <f>IF('Ordenes_Odoo'!G760="","",'Ordenes_Odoo'!G760)</f>
        <v/>
      </c>
      <c r="H760" s="79">
        <f>IF('Ordenes_Odoo'!H760="","",'Ordenes_Odoo'!H760)</f>
        <v/>
      </c>
      <c r="I760" s="79">
        <f>IF('Ordenes_Odoo'!I760="","",'Ordenes_Odoo'!I760)</f>
        <v/>
      </c>
      <c r="J760" s="79">
        <f>IF('Ordenes_Odoo'!J760="","",'Ordenes_Odoo'!J760)</f>
        <v/>
      </c>
      <c r="K760" s="81">
        <f>IF('Ordenes_Odoo'!K760="","",'Ordenes_Odoo'!K760)</f>
        <v/>
      </c>
      <c r="L760" s="81">
        <f>IF('Ordenes_Odoo'!L760="","",'Ordenes_Odoo'!L760)</f>
        <v/>
      </c>
      <c r="M760" s="79">
        <f>IF('Ordenes_Odoo'!M760="","",'Ordenes_Odoo'!M760)</f>
        <v/>
      </c>
      <c r="N760" s="79">
        <f>IF('Ordenes_Odoo'!N760="","",'Ordenes_Odoo'!N760)</f>
        <v/>
      </c>
      <c r="O760" s="81">
        <f>IF('Ordenes_Odoo'!O760="","",'Ordenes_Odoo'!O760)</f>
        <v/>
      </c>
      <c r="P760" s="81">
        <f>IF('Ordenes_Odoo'!P760="","",'Ordenes_Odoo'!P760)</f>
        <v/>
      </c>
      <c r="Q760" s="79">
        <f>IF(A760="","",IFERROR(INDEX(Facturas_Odoo!$B:$B, MATCH(A760, Facturas_Odoo!$D:$D, 0)), "Sin Factura"))</f>
        <v/>
      </c>
      <c r="R760" s="80">
        <f>IF(Q760="Sin Factura","",IFERROR(INDEX(Facturas_Odoo!$A:$A, MATCH(Q760, Facturas_Odoo!$B:$B, 0)), ""))</f>
        <v/>
      </c>
      <c r="S760" s="79">
        <f>IF(Q760="Sin Factura","",IFERROR(_xlfn.XLOOKUP(1, (Facturas_Odoo!$D:$D=A760) * (Facturas_Odoo!$K:$K=I760), Facturas_Odoo!$L:$L, ""), ""))</f>
        <v/>
      </c>
      <c r="T760" s="81">
        <f>IF(Q760="Sin Factura",0,IFERROR(_xlfn.XLOOKUP(1, (Facturas_Odoo!$D:$D=A760) * (Facturas_Odoo!$K:$K=I760), Facturas_Odoo!$M:$M, 0), 0))</f>
        <v/>
      </c>
      <c r="U760" s="79">
        <f>IF(Q760="Sin Factura",0,IFERROR(_xlfn.XLOOKUP(1, (Facturas_Odoo!$D:$D=A760) * (Facturas_Odoo!$K:$K=I760), Facturas_Odoo!$N:$N, 0), 0))</f>
        <v/>
      </c>
      <c r="V760" s="79">
        <f>IF(Q760="Sin Factura",0,IFERROR(_xlfn.XLOOKUP(1, (Facturas_Odoo!$D:$D=A760) * (Facturas_Odoo!$K:$K=I760), Facturas_Odoo!$O:$O, 0), 0))</f>
        <v/>
      </c>
      <c r="W760" s="81">
        <f>IF(Q760="Sin Factura",0,IFERROR(_xlfn.XLOOKUP(1, (Facturas_Odoo!$D:$D=A760) * (Facturas_Odoo!$K:$K=I760), Facturas_Odoo!$Q:$Q, 0), 0))</f>
        <v/>
      </c>
      <c r="X760" s="79">
        <f>IF(OR(Q760="Sin Factura",Q760=""),"",IFERROR(INDEX(Pagos_Odoo!$B:$B, MATCH(Q760, Pagos_Odoo!$I:$I, 0)), "Sin Pago"))</f>
        <v/>
      </c>
      <c r="Y760" s="79">
        <f>IF(X760="Sin Pago","",IFERROR(INDEX(Pagos_Odoo!$C:$C, MATCH(X760, Pagos_Odoo!$B:$B, 0)), ""))</f>
        <v/>
      </c>
      <c r="Z760" s="80">
        <f>IF(X760="Sin Pago","",IFERROR(INDEX(Pagos_Odoo!$A:$A, MATCH(X760, Pagos_Odoo!$B:$B, 0)), ""))</f>
        <v/>
      </c>
      <c r="AA760" s="79">
        <f>IF(X760="Sin Pago","",IFERROR(INDEX(Pagos_Odoo!$F:$F, MATCH(X760, Pagos_Odoo!$B:$B, 0)), ""))</f>
        <v/>
      </c>
      <c r="AB760" s="81">
        <f>IF(X760="Sin Pago",0,IFERROR(INDEX(Pagos_Odoo!$E:$E, MATCH(X760, Pagos_Odoo!$B:$B, 0)), 0))</f>
        <v/>
      </c>
      <c r="AC760" s="79">
        <f>IF(X760="Sin Pago","",IFERROR(INDEX(Pagos_Odoo!$G:$G, MATCH(X760, Pagos_Odoo!$B:$B, 0)), ""))</f>
        <v/>
      </c>
      <c r="AD760" s="82" t="n">
        <v>0</v>
      </c>
      <c r="AE760" s="82" t="n"/>
      <c r="AF760" s="82" t="n"/>
      <c r="AG760" s="82">
        <f>IF(AN760="","",AD760+AE760+AF760)</f>
        <v/>
      </c>
      <c r="AH760" s="81">
        <f>IF(AN760="","",P760*(1-AG760))</f>
        <v/>
      </c>
      <c r="AI760" s="81">
        <f>IF(AN760="","",IF(Q760="Sin Factura",0,IFERROR(INDEX(Facturas_Odoo!$H:$H, MATCH(Q760, Facturas_Odoo!$B:$B, 0)), 0)*(1-AG760)))</f>
        <v/>
      </c>
      <c r="AJ760" s="81">
        <f>IF(AN760="","",_xlfn.LET(idVenta, AN760&amp;"",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60" s="81">
        <f>IF(AN760="","",AH760-AJ760)</f>
        <v/>
      </c>
      <c r="AL760" s="81">
        <f>IF(AN760="","",IF(Q760="Sin Factura","",AI760-AJ760))</f>
        <v/>
      </c>
      <c r="AM760" s="81">
        <f>IF(AN760="","",IF(Q760="Sin Factura",0,P760-IFERROR(INDEX(Facturas_Odoo!$H:$H, MATCH(Q760, Facturas_Odoo!$B:$B, 0)), 0)))</f>
        <v/>
      </c>
      <c r="AN760" s="79">
        <f>IF(AND(A760="", J760=""), "", IF(A760&lt;&gt;"", VALUE(MID(A760,2,LEN(A760))), AN759))</f>
        <v/>
      </c>
      <c r="AO760" s="79">
        <f>IF(AN760="","",IF(AD760=0,"OK",_xlfn.LET(monedaPago, IF(AA760="","USD",AA760), limitePermitido, IFERROR(VLOOKUP(monedaPago, Configuración!$A$2:$B$3, 2, FALSE), 0.15), IF(AD760&gt;limitePermitido, "ALERTA: EXCESO (" &amp; TEXT(limitePermitido, "0%") &amp; " máx)", "OK"))))</f>
        <v/>
      </c>
      <c r="AP760" s="79">
        <f>IF(AN760="","",IF(AE760=0,"OK",_xlfn.LET(fechaPago, Z760, fechaFactura, R760, diasCredito, IF(E760="Pago inmediato", 0, IFERROR(VALUE(MID(E760, 1, SEARCH(" ", E760)-1)),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60" s="79">
        <f>IF(AN760="","",IF(AND(N760&gt;0, AG760&gt;0), IF(Configuración!$K$2="NO", "ALERTA: DESCUENTO DOBLE NO PERMITIDO", "OK"), "OK"))</f>
        <v/>
      </c>
      <c r="AR760" s="79">
        <f>IF(AN760="","",IF(OR(AO760&lt;&gt;"OK", AP760&lt;&gt;"OK", AQ760&lt;&gt;"OK"), "⚠️ REVISAR", "OK"))</f>
        <v/>
      </c>
    </row>
    <row r="761">
      <c r="A761" s="79">
        <f>IF('Ordenes_Odoo'!A761="","",'Ordenes_Odoo'!A761)</f>
        <v/>
      </c>
      <c r="B761" s="80">
        <f>IF('Ordenes_Odoo'!B761="","",'Ordenes_Odoo'!B761)</f>
        <v/>
      </c>
      <c r="C761" s="79">
        <f>IF('Ordenes_Odoo'!C761="","",'Ordenes_Odoo'!C761)</f>
        <v/>
      </c>
      <c r="D761" s="79">
        <f>IF('Ordenes_Odoo'!D761="","",'Ordenes_Odoo'!D761)</f>
        <v/>
      </c>
      <c r="E761" s="79">
        <f>IF('Ordenes_Odoo'!E761="","",'Ordenes_Odoo'!E761)</f>
        <v/>
      </c>
      <c r="F761" s="79">
        <f>IF('Ordenes_Odoo'!F761="","",'Ordenes_Odoo'!F761)</f>
        <v/>
      </c>
      <c r="G761" s="79">
        <f>IF('Ordenes_Odoo'!G761="","",'Ordenes_Odoo'!G761)</f>
        <v/>
      </c>
      <c r="H761" s="79">
        <f>IF('Ordenes_Odoo'!H761="","",'Ordenes_Odoo'!H761)</f>
        <v/>
      </c>
      <c r="I761" s="79">
        <f>IF('Ordenes_Odoo'!I761="","",'Ordenes_Odoo'!I761)</f>
        <v/>
      </c>
      <c r="J761" s="79">
        <f>IF('Ordenes_Odoo'!J761="","",'Ordenes_Odoo'!J761)</f>
        <v/>
      </c>
      <c r="K761" s="81">
        <f>IF('Ordenes_Odoo'!K761="","",'Ordenes_Odoo'!K761)</f>
        <v/>
      </c>
      <c r="L761" s="81">
        <f>IF('Ordenes_Odoo'!L761="","",'Ordenes_Odoo'!L761)</f>
        <v/>
      </c>
      <c r="M761" s="79">
        <f>IF('Ordenes_Odoo'!M761="","",'Ordenes_Odoo'!M761)</f>
        <v/>
      </c>
      <c r="N761" s="79">
        <f>IF('Ordenes_Odoo'!N761="","",'Ordenes_Odoo'!N761)</f>
        <v/>
      </c>
      <c r="O761" s="81">
        <f>IF('Ordenes_Odoo'!O761="","",'Ordenes_Odoo'!O761)</f>
        <v/>
      </c>
      <c r="P761" s="81">
        <f>IF('Ordenes_Odoo'!P761="","",'Ordenes_Odoo'!P761)</f>
        <v/>
      </c>
      <c r="Q761" s="79">
        <f>IF(A761="","",IFERROR(INDEX(Facturas_Odoo!$B:$B, MATCH(A761, Facturas_Odoo!$D:$D, 0)), "Sin Factura"))</f>
        <v/>
      </c>
      <c r="R761" s="80">
        <f>IF(Q761="Sin Factura","",IFERROR(INDEX(Facturas_Odoo!$A:$A, MATCH(Q761, Facturas_Odoo!$B:$B, 0)), ""))</f>
        <v/>
      </c>
      <c r="S761" s="79">
        <f>IF(Q761="Sin Factura","",IFERROR(_xlfn.XLOOKUP(1, (Facturas_Odoo!$D:$D=A761) * (Facturas_Odoo!$K:$K=I761), Facturas_Odoo!$L:$L, ""), ""))</f>
        <v/>
      </c>
      <c r="T761" s="81">
        <f>IF(Q761="Sin Factura",0,IFERROR(_xlfn.XLOOKUP(1, (Facturas_Odoo!$D:$D=A761) * (Facturas_Odoo!$K:$K=I761), Facturas_Odoo!$M:$M, 0), 0))</f>
        <v/>
      </c>
      <c r="U761" s="79">
        <f>IF(Q761="Sin Factura",0,IFERROR(_xlfn.XLOOKUP(1, (Facturas_Odoo!$D:$D=A761) * (Facturas_Odoo!$K:$K=I761), Facturas_Odoo!$N:$N, 0), 0))</f>
        <v/>
      </c>
      <c r="V761" s="79">
        <f>IF(Q761="Sin Factura",0,IFERROR(_xlfn.XLOOKUP(1, (Facturas_Odoo!$D:$D=A761) * (Facturas_Odoo!$K:$K=I761), Facturas_Odoo!$O:$O, 0), 0))</f>
        <v/>
      </c>
      <c r="W761" s="81">
        <f>IF(Q761="Sin Factura",0,IFERROR(_xlfn.XLOOKUP(1, (Facturas_Odoo!$D:$D=A761) * (Facturas_Odoo!$K:$K=I761), Facturas_Odoo!$Q:$Q, 0), 0))</f>
        <v/>
      </c>
      <c r="X761" s="79">
        <f>IF(OR(Q761="Sin Factura",Q761=""),"",IFERROR(INDEX(Pagos_Odoo!$B:$B, MATCH(Q761, Pagos_Odoo!$I:$I, 0)), "Sin Pago"))</f>
        <v/>
      </c>
      <c r="Y761" s="79">
        <f>IF(X761="Sin Pago","",IFERROR(INDEX(Pagos_Odoo!$C:$C, MATCH(X761, Pagos_Odoo!$B:$B, 0)), ""))</f>
        <v/>
      </c>
      <c r="Z761" s="80">
        <f>IF(X761="Sin Pago","",IFERROR(INDEX(Pagos_Odoo!$A:$A, MATCH(X761, Pagos_Odoo!$B:$B, 0)), ""))</f>
        <v/>
      </c>
      <c r="AA761" s="79">
        <f>IF(X761="Sin Pago","",IFERROR(INDEX(Pagos_Odoo!$F:$F, MATCH(X761, Pagos_Odoo!$B:$B, 0)), ""))</f>
        <v/>
      </c>
      <c r="AB761" s="81">
        <f>IF(X761="Sin Pago",0,IFERROR(INDEX(Pagos_Odoo!$E:$E, MATCH(X761, Pagos_Odoo!$B:$B, 0)), 0))</f>
        <v/>
      </c>
      <c r="AC761" s="79">
        <f>IF(X761="Sin Pago","",IFERROR(INDEX(Pagos_Odoo!$G:$G, MATCH(X761, Pagos_Odoo!$B:$B, 0)), ""))</f>
        <v/>
      </c>
      <c r="AD761" s="82" t="n">
        <v>0</v>
      </c>
      <c r="AE761" s="82" t="n"/>
      <c r="AF761" s="82" t="n"/>
      <c r="AG761" s="82">
        <f>IF(AN761="","",AD761+AE761+AF761)</f>
        <v/>
      </c>
      <c r="AH761" s="81">
        <f>IF(AN761="","",P761*(1-AG761))</f>
        <v/>
      </c>
      <c r="AI761" s="81">
        <f>IF(AN761="","",IF(Q761="Sin Factura",0,IFERROR(INDEX(Facturas_Odoo!$H:$H, MATCH(Q761, Facturas_Odoo!$B:$B, 0)), 0)*(1-AG761)))</f>
        <v/>
      </c>
      <c r="AJ761" s="81">
        <f>IF(AN761="","",_xlfn.LET(idVenta, AN761&amp;"",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61" s="81">
        <f>IF(AN761="","",AH761-AJ761)</f>
        <v/>
      </c>
      <c r="AL761" s="81">
        <f>IF(AN761="","",IF(Q761="Sin Factura","",AI761-AJ761))</f>
        <v/>
      </c>
      <c r="AM761" s="81">
        <f>IF(AN761="","",IF(Q761="Sin Factura",0,P761-IFERROR(INDEX(Facturas_Odoo!$H:$H, MATCH(Q761, Facturas_Odoo!$B:$B, 0)), 0)))</f>
        <v/>
      </c>
      <c r="AN761" s="79">
        <f>IF(AND(A761="", J761=""), "", IF(A761&lt;&gt;"", VALUE(MID(A761,2,LEN(A761))), AN760))</f>
        <v/>
      </c>
      <c r="AO761" s="79">
        <f>IF(AN761="","",IF(AD761=0,"OK",_xlfn.LET(monedaPago, IF(AA761="","USD",AA761), limitePermitido, IFERROR(VLOOKUP(monedaPago, Configuración!$A$2:$B$3, 2, FALSE), 0.15), IF(AD761&gt;limitePermitido, "ALERTA: EXCESO (" &amp; TEXT(limitePermitido, "0%") &amp; " máx)", "OK"))))</f>
        <v/>
      </c>
      <c r="AP761" s="79">
        <f>IF(AN761="","",IF(AE761=0,"OK",_xlfn.LET(fechaPago, Z761, fechaFactura, R761, diasCredito, IF(E761="Pago inmediato", 0, IFERROR(VALUE(MID(E761, 1, SEARCH(" ", E761)-1)),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61" s="79">
        <f>IF(AN761="","",IF(AND(N761&gt;0, AG761&gt;0), IF(Configuración!$K$2="NO", "ALERTA: DESCUENTO DOBLE NO PERMITIDO", "OK"), "OK"))</f>
        <v/>
      </c>
      <c r="AR761" s="79">
        <f>IF(AN761="","",IF(OR(AO761&lt;&gt;"OK", AP761&lt;&gt;"OK", AQ761&lt;&gt;"OK"), "⚠️ REVISAR", "OK"))</f>
        <v/>
      </c>
    </row>
    <row r="762">
      <c r="A762" s="79">
        <f>IF('Ordenes_Odoo'!A762="","",'Ordenes_Odoo'!A762)</f>
        <v/>
      </c>
      <c r="B762" s="80">
        <f>IF('Ordenes_Odoo'!B762="","",'Ordenes_Odoo'!B762)</f>
        <v/>
      </c>
      <c r="C762" s="79">
        <f>IF('Ordenes_Odoo'!C762="","",'Ordenes_Odoo'!C762)</f>
        <v/>
      </c>
      <c r="D762" s="79">
        <f>IF('Ordenes_Odoo'!D762="","",'Ordenes_Odoo'!D762)</f>
        <v/>
      </c>
      <c r="E762" s="79">
        <f>IF('Ordenes_Odoo'!E762="","",'Ordenes_Odoo'!E762)</f>
        <v/>
      </c>
      <c r="F762" s="79">
        <f>IF('Ordenes_Odoo'!F762="","",'Ordenes_Odoo'!F762)</f>
        <v/>
      </c>
      <c r="G762" s="79">
        <f>IF('Ordenes_Odoo'!G762="","",'Ordenes_Odoo'!G762)</f>
        <v/>
      </c>
      <c r="H762" s="79">
        <f>IF('Ordenes_Odoo'!H762="","",'Ordenes_Odoo'!H762)</f>
        <v/>
      </c>
      <c r="I762" s="79">
        <f>IF('Ordenes_Odoo'!I762="","",'Ordenes_Odoo'!I762)</f>
        <v/>
      </c>
      <c r="J762" s="79">
        <f>IF('Ordenes_Odoo'!J762="","",'Ordenes_Odoo'!J762)</f>
        <v/>
      </c>
      <c r="K762" s="81">
        <f>IF('Ordenes_Odoo'!K762="","",'Ordenes_Odoo'!K762)</f>
        <v/>
      </c>
      <c r="L762" s="81">
        <f>IF('Ordenes_Odoo'!L762="","",'Ordenes_Odoo'!L762)</f>
        <v/>
      </c>
      <c r="M762" s="79">
        <f>IF('Ordenes_Odoo'!M762="","",'Ordenes_Odoo'!M762)</f>
        <v/>
      </c>
      <c r="N762" s="79">
        <f>IF('Ordenes_Odoo'!N762="","",'Ordenes_Odoo'!N762)</f>
        <v/>
      </c>
      <c r="O762" s="81">
        <f>IF('Ordenes_Odoo'!O762="","",'Ordenes_Odoo'!O762)</f>
        <v/>
      </c>
      <c r="P762" s="81">
        <f>IF('Ordenes_Odoo'!P762="","",'Ordenes_Odoo'!P762)</f>
        <v/>
      </c>
      <c r="Q762" s="79">
        <f>IF(A762="","",IFERROR(INDEX(Facturas_Odoo!$B:$B, MATCH(A762, Facturas_Odoo!$D:$D, 0)), "Sin Factura"))</f>
        <v/>
      </c>
      <c r="R762" s="80">
        <f>IF(Q762="Sin Factura","",IFERROR(INDEX(Facturas_Odoo!$A:$A, MATCH(Q762, Facturas_Odoo!$B:$B, 0)), ""))</f>
        <v/>
      </c>
      <c r="S762" s="79">
        <f>IF(Q762="Sin Factura","",IFERROR(_xlfn.XLOOKUP(1, (Facturas_Odoo!$D:$D=A762) * (Facturas_Odoo!$K:$K=I762), Facturas_Odoo!$L:$L, ""), ""))</f>
        <v/>
      </c>
      <c r="T762" s="81">
        <f>IF(Q762="Sin Factura",0,IFERROR(_xlfn.XLOOKUP(1, (Facturas_Odoo!$D:$D=A762) * (Facturas_Odoo!$K:$K=I762), Facturas_Odoo!$M:$M, 0), 0))</f>
        <v/>
      </c>
      <c r="U762" s="79">
        <f>IF(Q762="Sin Factura",0,IFERROR(_xlfn.XLOOKUP(1, (Facturas_Odoo!$D:$D=A762) * (Facturas_Odoo!$K:$K=I762), Facturas_Odoo!$N:$N, 0), 0))</f>
        <v/>
      </c>
      <c r="V762" s="79">
        <f>IF(Q762="Sin Factura",0,IFERROR(_xlfn.XLOOKUP(1, (Facturas_Odoo!$D:$D=A762) * (Facturas_Odoo!$K:$K=I762), Facturas_Odoo!$O:$O, 0), 0))</f>
        <v/>
      </c>
      <c r="W762" s="81">
        <f>IF(Q762="Sin Factura",0,IFERROR(_xlfn.XLOOKUP(1, (Facturas_Odoo!$D:$D=A762) * (Facturas_Odoo!$K:$K=I762), Facturas_Odoo!$Q:$Q, 0), 0))</f>
        <v/>
      </c>
      <c r="X762" s="79">
        <f>IF(OR(Q762="Sin Factura",Q762=""),"",IFERROR(INDEX(Pagos_Odoo!$B:$B, MATCH(Q762, Pagos_Odoo!$I:$I, 0)), "Sin Pago"))</f>
        <v/>
      </c>
      <c r="Y762" s="79">
        <f>IF(X762="Sin Pago","",IFERROR(INDEX(Pagos_Odoo!$C:$C, MATCH(X762, Pagos_Odoo!$B:$B, 0)), ""))</f>
        <v/>
      </c>
      <c r="Z762" s="80">
        <f>IF(X762="Sin Pago","",IFERROR(INDEX(Pagos_Odoo!$A:$A, MATCH(X762, Pagos_Odoo!$B:$B, 0)), ""))</f>
        <v/>
      </c>
      <c r="AA762" s="79">
        <f>IF(X762="Sin Pago","",IFERROR(INDEX(Pagos_Odoo!$F:$F, MATCH(X762, Pagos_Odoo!$B:$B, 0)), ""))</f>
        <v/>
      </c>
      <c r="AB762" s="81">
        <f>IF(X762="Sin Pago",0,IFERROR(INDEX(Pagos_Odoo!$E:$E, MATCH(X762, Pagos_Odoo!$B:$B, 0)), 0))</f>
        <v/>
      </c>
      <c r="AC762" s="79">
        <f>IF(X762="Sin Pago","",IFERROR(INDEX(Pagos_Odoo!$G:$G, MATCH(X762, Pagos_Odoo!$B:$B, 0)), ""))</f>
        <v/>
      </c>
      <c r="AD762" s="82" t="n">
        <v>0</v>
      </c>
      <c r="AE762" s="82" t="n"/>
      <c r="AF762" s="82" t="n"/>
      <c r="AG762" s="82">
        <f>IF(AN762="","",AD762+AE762+AF762)</f>
        <v/>
      </c>
      <c r="AH762" s="81">
        <f>IF(AN762="","",P762*(1-AG762))</f>
        <v/>
      </c>
      <c r="AI762" s="81">
        <f>IF(AN762="","",IF(Q762="Sin Factura",0,IFERROR(INDEX(Facturas_Odoo!$H:$H, MATCH(Q762, Facturas_Odoo!$B:$B, 0)), 0)*(1-AG762)))</f>
        <v/>
      </c>
      <c r="AJ762" s="81">
        <f>IF(AN762="","",_xlfn.LET(idVenta, AN762&amp;"",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62" s="81">
        <f>IF(AN762="","",AH762-AJ762)</f>
        <v/>
      </c>
      <c r="AL762" s="81">
        <f>IF(AN762="","",IF(Q762="Sin Factura","",AI762-AJ762))</f>
        <v/>
      </c>
      <c r="AM762" s="81">
        <f>IF(AN762="","",IF(Q762="Sin Factura",0,P762-IFERROR(INDEX(Facturas_Odoo!$H:$H, MATCH(Q762, Facturas_Odoo!$B:$B, 0)), 0)))</f>
        <v/>
      </c>
      <c r="AN762" s="79">
        <f>IF(AND(A762="", J762=""), "", IF(A762&lt;&gt;"", VALUE(MID(A762,2,LEN(A762))), AN761))</f>
        <v/>
      </c>
      <c r="AO762" s="79">
        <f>IF(AN762="","",IF(AD762=0,"OK",_xlfn.LET(monedaPago, IF(AA762="","USD",AA762), limitePermitido, IFERROR(VLOOKUP(monedaPago, Configuración!$A$2:$B$3, 2, FALSE), 0.15), IF(AD762&gt;limitePermitido, "ALERTA: EXCESO (" &amp; TEXT(limitePermitido, "0%") &amp; " máx)", "OK"))))</f>
        <v/>
      </c>
      <c r="AP762" s="79">
        <f>IF(AN762="","",IF(AE762=0,"OK",_xlfn.LET(fechaPago, Z762, fechaFactura, R762, diasCredito, IF(E762="Pago inmediato", 0, IFERROR(VALUE(MID(E762, 1, SEARCH(" ", E762)-1)),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62" s="79">
        <f>IF(AN762="","",IF(AND(N762&gt;0, AG762&gt;0), IF(Configuración!$K$2="NO", "ALERTA: DESCUENTO DOBLE NO PERMITIDO", "OK"), "OK"))</f>
        <v/>
      </c>
      <c r="AR762" s="79">
        <f>IF(AN762="","",IF(OR(AO762&lt;&gt;"OK", AP762&lt;&gt;"OK", AQ762&lt;&gt;"OK"), "⚠️ REVISAR", "OK"))</f>
        <v/>
      </c>
    </row>
    <row r="763">
      <c r="A763" s="79">
        <f>IF('Ordenes_Odoo'!A763="","",'Ordenes_Odoo'!A763)</f>
        <v/>
      </c>
      <c r="B763" s="80">
        <f>IF('Ordenes_Odoo'!B763="","",'Ordenes_Odoo'!B763)</f>
        <v/>
      </c>
      <c r="C763" s="79">
        <f>IF('Ordenes_Odoo'!C763="","",'Ordenes_Odoo'!C763)</f>
        <v/>
      </c>
      <c r="D763" s="79">
        <f>IF('Ordenes_Odoo'!D763="","",'Ordenes_Odoo'!D763)</f>
        <v/>
      </c>
      <c r="E763" s="79">
        <f>IF('Ordenes_Odoo'!E763="","",'Ordenes_Odoo'!E763)</f>
        <v/>
      </c>
      <c r="F763" s="79">
        <f>IF('Ordenes_Odoo'!F763="","",'Ordenes_Odoo'!F763)</f>
        <v/>
      </c>
      <c r="G763" s="79">
        <f>IF('Ordenes_Odoo'!G763="","",'Ordenes_Odoo'!G763)</f>
        <v/>
      </c>
      <c r="H763" s="79">
        <f>IF('Ordenes_Odoo'!H763="","",'Ordenes_Odoo'!H763)</f>
        <v/>
      </c>
      <c r="I763" s="79">
        <f>IF('Ordenes_Odoo'!I763="","",'Ordenes_Odoo'!I763)</f>
        <v/>
      </c>
      <c r="J763" s="79">
        <f>IF('Ordenes_Odoo'!J763="","",'Ordenes_Odoo'!J763)</f>
        <v/>
      </c>
      <c r="K763" s="81">
        <f>IF('Ordenes_Odoo'!K763="","",'Ordenes_Odoo'!K763)</f>
        <v/>
      </c>
      <c r="L763" s="81">
        <f>IF('Ordenes_Odoo'!L763="","",'Ordenes_Odoo'!L763)</f>
        <v/>
      </c>
      <c r="M763" s="79">
        <f>IF('Ordenes_Odoo'!M763="","",'Ordenes_Odoo'!M763)</f>
        <v/>
      </c>
      <c r="N763" s="79">
        <f>IF('Ordenes_Odoo'!N763="","",'Ordenes_Odoo'!N763)</f>
        <v/>
      </c>
      <c r="O763" s="81">
        <f>IF('Ordenes_Odoo'!O763="","",'Ordenes_Odoo'!O763)</f>
        <v/>
      </c>
      <c r="P763" s="81">
        <f>IF('Ordenes_Odoo'!P763="","",'Ordenes_Odoo'!P763)</f>
        <v/>
      </c>
      <c r="Q763" s="79">
        <f>IF(A763="","",IFERROR(INDEX(Facturas_Odoo!$B:$B, MATCH(A763, Facturas_Odoo!$D:$D, 0)), "Sin Factura"))</f>
        <v/>
      </c>
      <c r="R763" s="80">
        <f>IF(Q763="Sin Factura","",IFERROR(INDEX(Facturas_Odoo!$A:$A, MATCH(Q763, Facturas_Odoo!$B:$B, 0)), ""))</f>
        <v/>
      </c>
      <c r="S763" s="79">
        <f>IF(Q763="Sin Factura","",IFERROR(_xlfn.XLOOKUP(1, (Facturas_Odoo!$D:$D=A763) * (Facturas_Odoo!$K:$K=I763), Facturas_Odoo!$L:$L, ""), ""))</f>
        <v/>
      </c>
      <c r="T763" s="81">
        <f>IF(Q763="Sin Factura",0,IFERROR(_xlfn.XLOOKUP(1, (Facturas_Odoo!$D:$D=A763) * (Facturas_Odoo!$K:$K=I763), Facturas_Odoo!$M:$M, 0), 0))</f>
        <v/>
      </c>
      <c r="U763" s="79">
        <f>IF(Q763="Sin Factura",0,IFERROR(_xlfn.XLOOKUP(1, (Facturas_Odoo!$D:$D=A763) * (Facturas_Odoo!$K:$K=I763), Facturas_Odoo!$N:$N, 0), 0))</f>
        <v/>
      </c>
      <c r="V763" s="79">
        <f>IF(Q763="Sin Factura",0,IFERROR(_xlfn.XLOOKUP(1, (Facturas_Odoo!$D:$D=A763) * (Facturas_Odoo!$K:$K=I763), Facturas_Odoo!$O:$O, 0), 0))</f>
        <v/>
      </c>
      <c r="W763" s="81">
        <f>IF(Q763="Sin Factura",0,IFERROR(_xlfn.XLOOKUP(1, (Facturas_Odoo!$D:$D=A763) * (Facturas_Odoo!$K:$K=I763), Facturas_Odoo!$Q:$Q, 0), 0))</f>
        <v/>
      </c>
      <c r="X763" s="79">
        <f>IF(OR(Q763="Sin Factura",Q763=""),"",IFERROR(INDEX(Pagos_Odoo!$B:$B, MATCH(Q763, Pagos_Odoo!$I:$I, 0)), "Sin Pago"))</f>
        <v/>
      </c>
      <c r="Y763" s="79">
        <f>IF(X763="Sin Pago","",IFERROR(INDEX(Pagos_Odoo!$C:$C, MATCH(X763, Pagos_Odoo!$B:$B, 0)), ""))</f>
        <v/>
      </c>
      <c r="Z763" s="80">
        <f>IF(X763="Sin Pago","",IFERROR(INDEX(Pagos_Odoo!$A:$A, MATCH(X763, Pagos_Odoo!$B:$B, 0)), ""))</f>
        <v/>
      </c>
      <c r="AA763" s="79">
        <f>IF(X763="Sin Pago","",IFERROR(INDEX(Pagos_Odoo!$F:$F, MATCH(X763, Pagos_Odoo!$B:$B, 0)), ""))</f>
        <v/>
      </c>
      <c r="AB763" s="81">
        <f>IF(X763="Sin Pago",0,IFERROR(INDEX(Pagos_Odoo!$E:$E, MATCH(X763, Pagos_Odoo!$B:$B, 0)), 0))</f>
        <v/>
      </c>
      <c r="AC763" s="79">
        <f>IF(X763="Sin Pago","",IFERROR(INDEX(Pagos_Odoo!$G:$G, MATCH(X763, Pagos_Odoo!$B:$B, 0)), ""))</f>
        <v/>
      </c>
      <c r="AD763" s="82" t="n">
        <v>0</v>
      </c>
      <c r="AE763" s="82" t="n"/>
      <c r="AF763" s="82" t="n"/>
      <c r="AG763" s="82">
        <f>IF(AN763="","",AD763+AE763+AF763)</f>
        <v/>
      </c>
      <c r="AH763" s="81">
        <f>IF(AN763="","",P763*(1-AG763))</f>
        <v/>
      </c>
      <c r="AI763" s="81">
        <f>IF(AN763="","",IF(Q763="Sin Factura",0,IFERROR(INDEX(Facturas_Odoo!$H:$H, MATCH(Q763, Facturas_Odoo!$B:$B, 0)), 0)*(1-AG763)))</f>
        <v/>
      </c>
      <c r="AJ763" s="81">
        <f>IF(AN763="","",_xlfn.LET(idVenta, AN763&amp;"",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63" s="81">
        <f>IF(AN763="","",AH763-AJ763)</f>
        <v/>
      </c>
      <c r="AL763" s="81">
        <f>IF(AN763="","",IF(Q763="Sin Factura","",AI763-AJ763))</f>
        <v/>
      </c>
      <c r="AM763" s="81">
        <f>IF(AN763="","",IF(Q763="Sin Factura",0,P763-IFERROR(INDEX(Facturas_Odoo!$H:$H, MATCH(Q763, Facturas_Odoo!$B:$B, 0)), 0)))</f>
        <v/>
      </c>
      <c r="AN763" s="79">
        <f>IF(AND(A763="", J763=""), "", IF(A763&lt;&gt;"", VALUE(MID(A763,2,LEN(A763))), AN762))</f>
        <v/>
      </c>
      <c r="AO763" s="79">
        <f>IF(AN763="","",IF(AD763=0,"OK",_xlfn.LET(monedaPago, IF(AA763="","USD",AA763), limitePermitido, IFERROR(VLOOKUP(monedaPago, Configuración!$A$2:$B$3, 2, FALSE), 0.15), IF(AD763&gt;limitePermitido, "ALERTA: EXCESO (" &amp; TEXT(limitePermitido, "0%") &amp; " máx)", "OK"))))</f>
        <v/>
      </c>
      <c r="AP763" s="79">
        <f>IF(AN763="","",IF(AE763=0,"OK",_xlfn.LET(fechaPago, Z763, fechaFactura, R763, diasCredito, IF(E763="Pago inmediato", 0, IFERROR(VALUE(MID(E763, 1, SEARCH(" ", E763)-1)),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63" s="79">
        <f>IF(AN763="","",IF(AND(N763&gt;0, AG763&gt;0), IF(Configuración!$K$2="NO", "ALERTA: DESCUENTO DOBLE NO PERMITIDO", "OK"), "OK"))</f>
        <v/>
      </c>
      <c r="AR763" s="79">
        <f>IF(AN763="","",IF(OR(AO763&lt;&gt;"OK", AP763&lt;&gt;"OK", AQ763&lt;&gt;"OK"), "⚠️ REVISAR", "OK"))</f>
        <v/>
      </c>
    </row>
    <row r="764">
      <c r="A764" s="79">
        <f>IF('Ordenes_Odoo'!A764="","",'Ordenes_Odoo'!A764)</f>
        <v/>
      </c>
      <c r="B764" s="80">
        <f>IF('Ordenes_Odoo'!B764="","",'Ordenes_Odoo'!B764)</f>
        <v/>
      </c>
      <c r="C764" s="79">
        <f>IF('Ordenes_Odoo'!C764="","",'Ordenes_Odoo'!C764)</f>
        <v/>
      </c>
      <c r="D764" s="79">
        <f>IF('Ordenes_Odoo'!D764="","",'Ordenes_Odoo'!D764)</f>
        <v/>
      </c>
      <c r="E764" s="79">
        <f>IF('Ordenes_Odoo'!E764="","",'Ordenes_Odoo'!E764)</f>
        <v/>
      </c>
      <c r="F764" s="79">
        <f>IF('Ordenes_Odoo'!F764="","",'Ordenes_Odoo'!F764)</f>
        <v/>
      </c>
      <c r="G764" s="79">
        <f>IF('Ordenes_Odoo'!G764="","",'Ordenes_Odoo'!G764)</f>
        <v/>
      </c>
      <c r="H764" s="79">
        <f>IF('Ordenes_Odoo'!H764="","",'Ordenes_Odoo'!H764)</f>
        <v/>
      </c>
      <c r="I764" s="79">
        <f>IF('Ordenes_Odoo'!I764="","",'Ordenes_Odoo'!I764)</f>
        <v/>
      </c>
      <c r="J764" s="79">
        <f>IF('Ordenes_Odoo'!J764="","",'Ordenes_Odoo'!J764)</f>
        <v/>
      </c>
      <c r="K764" s="81">
        <f>IF('Ordenes_Odoo'!K764="","",'Ordenes_Odoo'!K764)</f>
        <v/>
      </c>
      <c r="L764" s="81">
        <f>IF('Ordenes_Odoo'!L764="","",'Ordenes_Odoo'!L764)</f>
        <v/>
      </c>
      <c r="M764" s="79">
        <f>IF('Ordenes_Odoo'!M764="","",'Ordenes_Odoo'!M764)</f>
        <v/>
      </c>
      <c r="N764" s="79">
        <f>IF('Ordenes_Odoo'!N764="","",'Ordenes_Odoo'!N764)</f>
        <v/>
      </c>
      <c r="O764" s="81">
        <f>IF('Ordenes_Odoo'!O764="","",'Ordenes_Odoo'!O764)</f>
        <v/>
      </c>
      <c r="P764" s="81">
        <f>IF('Ordenes_Odoo'!P764="","",'Ordenes_Odoo'!P764)</f>
        <v/>
      </c>
      <c r="Q764" s="79">
        <f>IF(A764="","",IFERROR(INDEX(Facturas_Odoo!$B:$B, MATCH(A764, Facturas_Odoo!$D:$D, 0)), "Sin Factura"))</f>
        <v/>
      </c>
      <c r="R764" s="80">
        <f>IF(Q764="Sin Factura","",IFERROR(INDEX(Facturas_Odoo!$A:$A, MATCH(Q764, Facturas_Odoo!$B:$B, 0)), ""))</f>
        <v/>
      </c>
      <c r="S764" s="79">
        <f>IF(Q764="Sin Factura","",IFERROR(_xlfn.XLOOKUP(1, (Facturas_Odoo!$D:$D=A764) * (Facturas_Odoo!$K:$K=I764), Facturas_Odoo!$L:$L, ""), ""))</f>
        <v/>
      </c>
      <c r="T764" s="81">
        <f>IF(Q764="Sin Factura",0,IFERROR(_xlfn.XLOOKUP(1, (Facturas_Odoo!$D:$D=A764) * (Facturas_Odoo!$K:$K=I764), Facturas_Odoo!$M:$M, 0), 0))</f>
        <v/>
      </c>
      <c r="U764" s="79">
        <f>IF(Q764="Sin Factura",0,IFERROR(_xlfn.XLOOKUP(1, (Facturas_Odoo!$D:$D=A764) * (Facturas_Odoo!$K:$K=I764), Facturas_Odoo!$N:$N, 0), 0))</f>
        <v/>
      </c>
      <c r="V764" s="79">
        <f>IF(Q764="Sin Factura",0,IFERROR(_xlfn.XLOOKUP(1, (Facturas_Odoo!$D:$D=A764) * (Facturas_Odoo!$K:$K=I764), Facturas_Odoo!$O:$O, 0), 0))</f>
        <v/>
      </c>
      <c r="W764" s="81">
        <f>IF(Q764="Sin Factura",0,IFERROR(_xlfn.XLOOKUP(1, (Facturas_Odoo!$D:$D=A764) * (Facturas_Odoo!$K:$K=I764), Facturas_Odoo!$Q:$Q, 0), 0))</f>
        <v/>
      </c>
      <c r="X764" s="79">
        <f>IF(OR(Q764="Sin Factura",Q764=""),"",IFERROR(INDEX(Pagos_Odoo!$B:$B, MATCH(Q764, Pagos_Odoo!$I:$I, 0)), "Sin Pago"))</f>
        <v/>
      </c>
      <c r="Y764" s="79">
        <f>IF(X764="Sin Pago","",IFERROR(INDEX(Pagos_Odoo!$C:$C, MATCH(X764, Pagos_Odoo!$B:$B, 0)), ""))</f>
        <v/>
      </c>
      <c r="Z764" s="80">
        <f>IF(X764="Sin Pago","",IFERROR(INDEX(Pagos_Odoo!$A:$A, MATCH(X764, Pagos_Odoo!$B:$B, 0)), ""))</f>
        <v/>
      </c>
      <c r="AA764" s="79">
        <f>IF(X764="Sin Pago","",IFERROR(INDEX(Pagos_Odoo!$F:$F, MATCH(X764, Pagos_Odoo!$B:$B, 0)), ""))</f>
        <v/>
      </c>
      <c r="AB764" s="81">
        <f>IF(X764="Sin Pago",0,IFERROR(INDEX(Pagos_Odoo!$E:$E, MATCH(X764, Pagos_Odoo!$B:$B, 0)), 0))</f>
        <v/>
      </c>
      <c r="AC764" s="79">
        <f>IF(X764="Sin Pago","",IFERROR(INDEX(Pagos_Odoo!$G:$G, MATCH(X764, Pagos_Odoo!$B:$B, 0)), ""))</f>
        <v/>
      </c>
      <c r="AD764" s="82" t="n">
        <v>0</v>
      </c>
      <c r="AE764" s="82" t="n"/>
      <c r="AF764" s="82" t="n"/>
      <c r="AG764" s="82">
        <f>IF(AN764="","",AD764+AE764+AF764)</f>
        <v/>
      </c>
      <c r="AH764" s="81">
        <f>IF(AN764="","",P764*(1-AG764))</f>
        <v/>
      </c>
      <c r="AI764" s="81">
        <f>IF(AN764="","",IF(Q764="Sin Factura",0,IFERROR(INDEX(Facturas_Odoo!$H:$H, MATCH(Q764, Facturas_Odoo!$B:$B, 0)), 0)*(1-AG764)))</f>
        <v/>
      </c>
      <c r="AJ764" s="81">
        <f>IF(AN764="","",_xlfn.LET(idVenta, AN764&amp;"",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64" s="81">
        <f>IF(AN764="","",AH764-AJ764)</f>
        <v/>
      </c>
      <c r="AL764" s="81">
        <f>IF(AN764="","",IF(Q764="Sin Factura","",AI764-AJ764))</f>
        <v/>
      </c>
      <c r="AM764" s="81">
        <f>IF(AN764="","",IF(Q764="Sin Factura",0,P764-IFERROR(INDEX(Facturas_Odoo!$H:$H, MATCH(Q764, Facturas_Odoo!$B:$B, 0)), 0)))</f>
        <v/>
      </c>
      <c r="AN764" s="79">
        <f>IF(AND(A764="", J764=""), "", IF(A764&lt;&gt;"", VALUE(MID(A764,2,LEN(A764))), AN763))</f>
        <v/>
      </c>
      <c r="AO764" s="79">
        <f>IF(AN764="","",IF(AD764=0,"OK",_xlfn.LET(monedaPago, IF(AA764="","USD",AA764), limitePermitido, IFERROR(VLOOKUP(monedaPago, Configuración!$A$2:$B$3, 2, FALSE), 0.15), IF(AD764&gt;limitePermitido, "ALERTA: EXCESO (" &amp; TEXT(limitePermitido, "0%") &amp; " máx)", "OK"))))</f>
        <v/>
      </c>
      <c r="AP764" s="79">
        <f>IF(AN764="","",IF(AE764=0,"OK",_xlfn.LET(fechaPago, Z764, fechaFactura, R764, diasCredito, IF(E764="Pago inmediato", 0, IFERROR(VALUE(MID(E764, 1, SEARCH(" ", E764)-1)),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64" s="79">
        <f>IF(AN764="","",IF(AND(N764&gt;0, AG764&gt;0), IF(Configuración!$K$2="NO", "ALERTA: DESCUENTO DOBLE NO PERMITIDO", "OK"), "OK"))</f>
        <v/>
      </c>
      <c r="AR764" s="79">
        <f>IF(AN764="","",IF(OR(AO764&lt;&gt;"OK", AP764&lt;&gt;"OK", AQ764&lt;&gt;"OK"), "⚠️ REVISAR", "OK"))</f>
        <v/>
      </c>
    </row>
    <row r="765">
      <c r="A765" s="79">
        <f>IF('Ordenes_Odoo'!A765="","",'Ordenes_Odoo'!A765)</f>
        <v/>
      </c>
      <c r="B765" s="80">
        <f>IF('Ordenes_Odoo'!B765="","",'Ordenes_Odoo'!B765)</f>
        <v/>
      </c>
      <c r="C765" s="79">
        <f>IF('Ordenes_Odoo'!C765="","",'Ordenes_Odoo'!C765)</f>
        <v/>
      </c>
      <c r="D765" s="79">
        <f>IF('Ordenes_Odoo'!D765="","",'Ordenes_Odoo'!D765)</f>
        <v/>
      </c>
      <c r="E765" s="79">
        <f>IF('Ordenes_Odoo'!E765="","",'Ordenes_Odoo'!E765)</f>
        <v/>
      </c>
      <c r="F765" s="79">
        <f>IF('Ordenes_Odoo'!F765="","",'Ordenes_Odoo'!F765)</f>
        <v/>
      </c>
      <c r="G765" s="79">
        <f>IF('Ordenes_Odoo'!G765="","",'Ordenes_Odoo'!G765)</f>
        <v/>
      </c>
      <c r="H765" s="79">
        <f>IF('Ordenes_Odoo'!H765="","",'Ordenes_Odoo'!H765)</f>
        <v/>
      </c>
      <c r="I765" s="79">
        <f>IF('Ordenes_Odoo'!I765="","",'Ordenes_Odoo'!I765)</f>
        <v/>
      </c>
      <c r="J765" s="79">
        <f>IF('Ordenes_Odoo'!J765="","",'Ordenes_Odoo'!J765)</f>
        <v/>
      </c>
      <c r="K765" s="81">
        <f>IF('Ordenes_Odoo'!K765="","",'Ordenes_Odoo'!K765)</f>
        <v/>
      </c>
      <c r="L765" s="81">
        <f>IF('Ordenes_Odoo'!L765="","",'Ordenes_Odoo'!L765)</f>
        <v/>
      </c>
      <c r="M765" s="79">
        <f>IF('Ordenes_Odoo'!M765="","",'Ordenes_Odoo'!M765)</f>
        <v/>
      </c>
      <c r="N765" s="79">
        <f>IF('Ordenes_Odoo'!N765="","",'Ordenes_Odoo'!N765)</f>
        <v/>
      </c>
      <c r="O765" s="81">
        <f>IF('Ordenes_Odoo'!O765="","",'Ordenes_Odoo'!O765)</f>
        <v/>
      </c>
      <c r="P765" s="81">
        <f>IF('Ordenes_Odoo'!P765="","",'Ordenes_Odoo'!P765)</f>
        <v/>
      </c>
      <c r="Q765" s="79">
        <f>IF(A765="","",IFERROR(INDEX(Facturas_Odoo!$B:$B, MATCH(A765, Facturas_Odoo!$D:$D, 0)), "Sin Factura"))</f>
        <v/>
      </c>
      <c r="R765" s="80">
        <f>IF(Q765="Sin Factura","",IFERROR(INDEX(Facturas_Odoo!$A:$A, MATCH(Q765, Facturas_Odoo!$B:$B, 0)), ""))</f>
        <v/>
      </c>
      <c r="S765" s="79">
        <f>IF(Q765="Sin Factura","",IFERROR(_xlfn.XLOOKUP(1, (Facturas_Odoo!$D:$D=A765) * (Facturas_Odoo!$K:$K=I765), Facturas_Odoo!$L:$L, ""), ""))</f>
        <v/>
      </c>
      <c r="T765" s="81">
        <f>IF(Q765="Sin Factura",0,IFERROR(_xlfn.XLOOKUP(1, (Facturas_Odoo!$D:$D=A765) * (Facturas_Odoo!$K:$K=I765), Facturas_Odoo!$M:$M, 0), 0))</f>
        <v/>
      </c>
      <c r="U765" s="79">
        <f>IF(Q765="Sin Factura",0,IFERROR(_xlfn.XLOOKUP(1, (Facturas_Odoo!$D:$D=A765) * (Facturas_Odoo!$K:$K=I765), Facturas_Odoo!$N:$N, 0), 0))</f>
        <v/>
      </c>
      <c r="V765" s="79">
        <f>IF(Q765="Sin Factura",0,IFERROR(_xlfn.XLOOKUP(1, (Facturas_Odoo!$D:$D=A765) * (Facturas_Odoo!$K:$K=I765), Facturas_Odoo!$O:$O, 0), 0))</f>
        <v/>
      </c>
      <c r="W765" s="81">
        <f>IF(Q765="Sin Factura",0,IFERROR(_xlfn.XLOOKUP(1, (Facturas_Odoo!$D:$D=A765) * (Facturas_Odoo!$K:$K=I765), Facturas_Odoo!$Q:$Q, 0), 0))</f>
        <v/>
      </c>
      <c r="X765" s="79">
        <f>IF(OR(Q765="Sin Factura",Q765=""),"",IFERROR(INDEX(Pagos_Odoo!$B:$B, MATCH(Q765, Pagos_Odoo!$I:$I, 0)), "Sin Pago"))</f>
        <v/>
      </c>
      <c r="Y765" s="79">
        <f>IF(X765="Sin Pago","",IFERROR(INDEX(Pagos_Odoo!$C:$C, MATCH(X765, Pagos_Odoo!$B:$B, 0)), ""))</f>
        <v/>
      </c>
      <c r="Z765" s="80">
        <f>IF(X765="Sin Pago","",IFERROR(INDEX(Pagos_Odoo!$A:$A, MATCH(X765, Pagos_Odoo!$B:$B, 0)), ""))</f>
        <v/>
      </c>
      <c r="AA765" s="79">
        <f>IF(X765="Sin Pago","",IFERROR(INDEX(Pagos_Odoo!$F:$F, MATCH(X765, Pagos_Odoo!$B:$B, 0)), ""))</f>
        <v/>
      </c>
      <c r="AB765" s="81">
        <f>IF(X765="Sin Pago",0,IFERROR(INDEX(Pagos_Odoo!$E:$E, MATCH(X765, Pagos_Odoo!$B:$B, 0)), 0))</f>
        <v/>
      </c>
      <c r="AC765" s="79">
        <f>IF(X765="Sin Pago","",IFERROR(INDEX(Pagos_Odoo!$G:$G, MATCH(X765, Pagos_Odoo!$B:$B, 0)), ""))</f>
        <v/>
      </c>
      <c r="AD765" s="82" t="n">
        <v>0</v>
      </c>
      <c r="AE765" s="82" t="n"/>
      <c r="AF765" s="82" t="n"/>
      <c r="AG765" s="82">
        <f>IF(AN765="","",AD765+AE765+AF765)</f>
        <v/>
      </c>
      <c r="AH765" s="81">
        <f>IF(AN765="","",P765*(1-AG765))</f>
        <v/>
      </c>
      <c r="AI765" s="81">
        <f>IF(AN765="","",IF(Q765="Sin Factura",0,IFERROR(INDEX(Facturas_Odoo!$H:$H, MATCH(Q765, Facturas_Odoo!$B:$B, 0)), 0)*(1-AG765)))</f>
        <v/>
      </c>
      <c r="AJ765" s="81">
        <f>IF(AN765="","",_xlfn.LET(idVenta, AN765&amp;"",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65" s="81">
        <f>IF(AN765="","",AH765-AJ765)</f>
        <v/>
      </c>
      <c r="AL765" s="81">
        <f>IF(AN765="","",IF(Q765="Sin Factura","",AI765-AJ765))</f>
        <v/>
      </c>
      <c r="AM765" s="81">
        <f>IF(AN765="","",IF(Q765="Sin Factura",0,P765-IFERROR(INDEX(Facturas_Odoo!$H:$H, MATCH(Q765, Facturas_Odoo!$B:$B, 0)), 0)))</f>
        <v/>
      </c>
      <c r="AN765" s="79">
        <f>IF(AND(A765="", J765=""), "", IF(A765&lt;&gt;"", VALUE(MID(A765,2,LEN(A765))), AN764))</f>
        <v/>
      </c>
      <c r="AO765" s="79">
        <f>IF(AN765="","",IF(AD765=0,"OK",_xlfn.LET(monedaPago, IF(AA765="","USD",AA765), limitePermitido, IFERROR(VLOOKUP(monedaPago, Configuración!$A$2:$B$3, 2, FALSE), 0.15), IF(AD765&gt;limitePermitido, "ALERTA: EXCESO (" &amp; TEXT(limitePermitido, "0%") &amp; " máx)", "OK"))))</f>
        <v/>
      </c>
      <c r="AP765" s="79">
        <f>IF(AN765="","",IF(AE765=0,"OK",_xlfn.LET(fechaPago, Z765, fechaFactura, R765, diasCredito, IF(E765="Pago inmediato", 0, IFERROR(VALUE(MID(E765, 1, SEARCH(" ", E765)-1)),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65" s="79">
        <f>IF(AN765="","",IF(AND(N765&gt;0, AG765&gt;0), IF(Configuración!$K$2="NO", "ALERTA: DESCUENTO DOBLE NO PERMITIDO", "OK"), "OK"))</f>
        <v/>
      </c>
      <c r="AR765" s="79">
        <f>IF(AN765="","",IF(OR(AO765&lt;&gt;"OK", AP765&lt;&gt;"OK", AQ765&lt;&gt;"OK"), "⚠️ REVISAR", "OK"))</f>
        <v/>
      </c>
    </row>
    <row r="766">
      <c r="A766" s="79">
        <f>IF('Ordenes_Odoo'!A766="","",'Ordenes_Odoo'!A766)</f>
        <v/>
      </c>
      <c r="B766" s="80">
        <f>IF('Ordenes_Odoo'!B766="","",'Ordenes_Odoo'!B766)</f>
        <v/>
      </c>
      <c r="C766" s="79">
        <f>IF('Ordenes_Odoo'!C766="","",'Ordenes_Odoo'!C766)</f>
        <v/>
      </c>
      <c r="D766" s="79">
        <f>IF('Ordenes_Odoo'!D766="","",'Ordenes_Odoo'!D766)</f>
        <v/>
      </c>
      <c r="E766" s="79">
        <f>IF('Ordenes_Odoo'!E766="","",'Ordenes_Odoo'!E766)</f>
        <v/>
      </c>
      <c r="F766" s="79">
        <f>IF('Ordenes_Odoo'!F766="","",'Ordenes_Odoo'!F766)</f>
        <v/>
      </c>
      <c r="G766" s="79">
        <f>IF('Ordenes_Odoo'!G766="","",'Ordenes_Odoo'!G766)</f>
        <v/>
      </c>
      <c r="H766" s="79">
        <f>IF('Ordenes_Odoo'!H766="","",'Ordenes_Odoo'!H766)</f>
        <v/>
      </c>
      <c r="I766" s="79">
        <f>IF('Ordenes_Odoo'!I766="","",'Ordenes_Odoo'!I766)</f>
        <v/>
      </c>
      <c r="J766" s="79">
        <f>IF('Ordenes_Odoo'!J766="","",'Ordenes_Odoo'!J766)</f>
        <v/>
      </c>
      <c r="K766" s="81">
        <f>IF('Ordenes_Odoo'!K766="","",'Ordenes_Odoo'!K766)</f>
        <v/>
      </c>
      <c r="L766" s="81">
        <f>IF('Ordenes_Odoo'!L766="","",'Ordenes_Odoo'!L766)</f>
        <v/>
      </c>
      <c r="M766" s="79">
        <f>IF('Ordenes_Odoo'!M766="","",'Ordenes_Odoo'!M766)</f>
        <v/>
      </c>
      <c r="N766" s="79">
        <f>IF('Ordenes_Odoo'!N766="","",'Ordenes_Odoo'!N766)</f>
        <v/>
      </c>
      <c r="O766" s="81">
        <f>IF('Ordenes_Odoo'!O766="","",'Ordenes_Odoo'!O766)</f>
        <v/>
      </c>
      <c r="P766" s="81">
        <f>IF('Ordenes_Odoo'!P766="","",'Ordenes_Odoo'!P766)</f>
        <v/>
      </c>
      <c r="Q766" s="79">
        <f>IF(A766="","",IFERROR(INDEX(Facturas_Odoo!$B:$B, MATCH(A766, Facturas_Odoo!$D:$D, 0)), "Sin Factura"))</f>
        <v/>
      </c>
      <c r="R766" s="80">
        <f>IF(Q766="Sin Factura","",IFERROR(INDEX(Facturas_Odoo!$A:$A, MATCH(Q766, Facturas_Odoo!$B:$B, 0)), ""))</f>
        <v/>
      </c>
      <c r="S766" s="79">
        <f>IF(Q766="Sin Factura","",IFERROR(_xlfn.XLOOKUP(1, (Facturas_Odoo!$D:$D=A766) * (Facturas_Odoo!$K:$K=I766), Facturas_Odoo!$L:$L, ""), ""))</f>
        <v/>
      </c>
      <c r="T766" s="81">
        <f>IF(Q766="Sin Factura",0,IFERROR(_xlfn.XLOOKUP(1, (Facturas_Odoo!$D:$D=A766) * (Facturas_Odoo!$K:$K=I766), Facturas_Odoo!$M:$M, 0), 0))</f>
        <v/>
      </c>
      <c r="U766" s="79">
        <f>IF(Q766="Sin Factura",0,IFERROR(_xlfn.XLOOKUP(1, (Facturas_Odoo!$D:$D=A766) * (Facturas_Odoo!$K:$K=I766), Facturas_Odoo!$N:$N, 0), 0))</f>
        <v/>
      </c>
      <c r="V766" s="79">
        <f>IF(Q766="Sin Factura",0,IFERROR(_xlfn.XLOOKUP(1, (Facturas_Odoo!$D:$D=A766) * (Facturas_Odoo!$K:$K=I766), Facturas_Odoo!$O:$O, 0), 0))</f>
        <v/>
      </c>
      <c r="W766" s="81">
        <f>IF(Q766="Sin Factura",0,IFERROR(_xlfn.XLOOKUP(1, (Facturas_Odoo!$D:$D=A766) * (Facturas_Odoo!$K:$K=I766), Facturas_Odoo!$Q:$Q, 0), 0))</f>
        <v/>
      </c>
      <c r="X766" s="79">
        <f>IF(OR(Q766="Sin Factura",Q766=""),"",IFERROR(INDEX(Pagos_Odoo!$B:$B, MATCH(Q766, Pagos_Odoo!$I:$I, 0)), "Sin Pago"))</f>
        <v/>
      </c>
      <c r="Y766" s="79">
        <f>IF(X766="Sin Pago","",IFERROR(INDEX(Pagos_Odoo!$C:$C, MATCH(X766, Pagos_Odoo!$B:$B, 0)), ""))</f>
        <v/>
      </c>
      <c r="Z766" s="80">
        <f>IF(X766="Sin Pago","",IFERROR(INDEX(Pagos_Odoo!$A:$A, MATCH(X766, Pagos_Odoo!$B:$B, 0)), ""))</f>
        <v/>
      </c>
      <c r="AA766" s="79">
        <f>IF(X766="Sin Pago","",IFERROR(INDEX(Pagos_Odoo!$F:$F, MATCH(X766, Pagos_Odoo!$B:$B, 0)), ""))</f>
        <v/>
      </c>
      <c r="AB766" s="81">
        <f>IF(X766="Sin Pago",0,IFERROR(INDEX(Pagos_Odoo!$E:$E, MATCH(X766, Pagos_Odoo!$B:$B, 0)), 0))</f>
        <v/>
      </c>
      <c r="AC766" s="79">
        <f>IF(X766="Sin Pago","",IFERROR(INDEX(Pagos_Odoo!$G:$G, MATCH(X766, Pagos_Odoo!$B:$B, 0)), ""))</f>
        <v/>
      </c>
      <c r="AD766" s="82" t="n">
        <v>0</v>
      </c>
      <c r="AE766" s="82" t="n"/>
      <c r="AF766" s="82" t="n"/>
      <c r="AG766" s="82">
        <f>IF(AN766="","",AD766+AE766+AF766)</f>
        <v/>
      </c>
      <c r="AH766" s="81">
        <f>IF(AN766="","",P766*(1-AG766))</f>
        <v/>
      </c>
      <c r="AI766" s="81">
        <f>IF(AN766="","",IF(Q766="Sin Factura",0,IFERROR(INDEX(Facturas_Odoo!$H:$H, MATCH(Q766, Facturas_Odoo!$B:$B, 0)), 0)*(1-AG766)))</f>
        <v/>
      </c>
      <c r="AJ766" s="81">
        <f>IF(AN766="","",_xlfn.LET(idVenta, AN766&amp;"",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66" s="81">
        <f>IF(AN766="","",AH766-AJ766)</f>
        <v/>
      </c>
      <c r="AL766" s="81">
        <f>IF(AN766="","",IF(Q766="Sin Factura","",AI766-AJ766))</f>
        <v/>
      </c>
      <c r="AM766" s="81">
        <f>IF(AN766="","",IF(Q766="Sin Factura",0,P766-IFERROR(INDEX(Facturas_Odoo!$H:$H, MATCH(Q766, Facturas_Odoo!$B:$B, 0)), 0)))</f>
        <v/>
      </c>
      <c r="AN766" s="79">
        <f>IF(AND(A766="", J766=""), "", IF(A766&lt;&gt;"", VALUE(MID(A766,2,LEN(A766))), AN765))</f>
        <v/>
      </c>
      <c r="AO766" s="79">
        <f>IF(AN766="","",IF(AD766=0,"OK",_xlfn.LET(monedaPago, IF(AA766="","USD",AA766), limitePermitido, IFERROR(VLOOKUP(monedaPago, Configuración!$A$2:$B$3, 2, FALSE), 0.15), IF(AD766&gt;limitePermitido, "ALERTA: EXCESO (" &amp; TEXT(limitePermitido, "0%") &amp; " máx)", "OK"))))</f>
        <v/>
      </c>
      <c r="AP766" s="79">
        <f>IF(AN766="","",IF(AE766=0,"OK",_xlfn.LET(fechaPago, Z766, fechaFactura, R766, diasCredito, IF(E766="Pago inmediato", 0, IFERROR(VALUE(MID(E766, 1, SEARCH(" ", E766)-1)),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66" s="79">
        <f>IF(AN766="","",IF(AND(N766&gt;0, AG766&gt;0), IF(Configuración!$K$2="NO", "ALERTA: DESCUENTO DOBLE NO PERMITIDO", "OK"), "OK"))</f>
        <v/>
      </c>
      <c r="AR766" s="79">
        <f>IF(AN766="","",IF(OR(AO766&lt;&gt;"OK", AP766&lt;&gt;"OK", AQ766&lt;&gt;"OK"), "⚠️ REVISAR", "OK"))</f>
        <v/>
      </c>
    </row>
    <row r="767">
      <c r="A767" s="79">
        <f>IF('Ordenes_Odoo'!A767="","",'Ordenes_Odoo'!A767)</f>
        <v/>
      </c>
      <c r="B767" s="80">
        <f>IF('Ordenes_Odoo'!B767="","",'Ordenes_Odoo'!B767)</f>
        <v/>
      </c>
      <c r="C767" s="79">
        <f>IF('Ordenes_Odoo'!C767="","",'Ordenes_Odoo'!C767)</f>
        <v/>
      </c>
      <c r="D767" s="79">
        <f>IF('Ordenes_Odoo'!D767="","",'Ordenes_Odoo'!D767)</f>
        <v/>
      </c>
      <c r="E767" s="79">
        <f>IF('Ordenes_Odoo'!E767="","",'Ordenes_Odoo'!E767)</f>
        <v/>
      </c>
      <c r="F767" s="79">
        <f>IF('Ordenes_Odoo'!F767="","",'Ordenes_Odoo'!F767)</f>
        <v/>
      </c>
      <c r="G767" s="79">
        <f>IF('Ordenes_Odoo'!G767="","",'Ordenes_Odoo'!G767)</f>
        <v/>
      </c>
      <c r="H767" s="79">
        <f>IF('Ordenes_Odoo'!H767="","",'Ordenes_Odoo'!H767)</f>
        <v/>
      </c>
      <c r="I767" s="79">
        <f>IF('Ordenes_Odoo'!I767="","",'Ordenes_Odoo'!I767)</f>
        <v/>
      </c>
      <c r="J767" s="79">
        <f>IF('Ordenes_Odoo'!J767="","",'Ordenes_Odoo'!J767)</f>
        <v/>
      </c>
      <c r="K767" s="81">
        <f>IF('Ordenes_Odoo'!K767="","",'Ordenes_Odoo'!K767)</f>
        <v/>
      </c>
      <c r="L767" s="81">
        <f>IF('Ordenes_Odoo'!L767="","",'Ordenes_Odoo'!L767)</f>
        <v/>
      </c>
      <c r="M767" s="79">
        <f>IF('Ordenes_Odoo'!M767="","",'Ordenes_Odoo'!M767)</f>
        <v/>
      </c>
      <c r="N767" s="79">
        <f>IF('Ordenes_Odoo'!N767="","",'Ordenes_Odoo'!N767)</f>
        <v/>
      </c>
      <c r="O767" s="81">
        <f>IF('Ordenes_Odoo'!O767="","",'Ordenes_Odoo'!O767)</f>
        <v/>
      </c>
      <c r="P767" s="81">
        <f>IF('Ordenes_Odoo'!P767="","",'Ordenes_Odoo'!P767)</f>
        <v/>
      </c>
      <c r="Q767" s="79">
        <f>IF(A767="","",IFERROR(INDEX(Facturas_Odoo!$B:$B, MATCH(A767, Facturas_Odoo!$D:$D, 0)), "Sin Factura"))</f>
        <v/>
      </c>
      <c r="R767" s="80">
        <f>IF(Q767="Sin Factura","",IFERROR(INDEX(Facturas_Odoo!$A:$A, MATCH(Q767, Facturas_Odoo!$B:$B, 0)), ""))</f>
        <v/>
      </c>
      <c r="S767" s="79">
        <f>IF(Q767="Sin Factura","",IFERROR(_xlfn.XLOOKUP(1, (Facturas_Odoo!$D:$D=A767) * (Facturas_Odoo!$K:$K=I767), Facturas_Odoo!$L:$L, ""), ""))</f>
        <v/>
      </c>
      <c r="T767" s="81">
        <f>IF(Q767="Sin Factura",0,IFERROR(_xlfn.XLOOKUP(1, (Facturas_Odoo!$D:$D=A767) * (Facturas_Odoo!$K:$K=I767), Facturas_Odoo!$M:$M, 0), 0))</f>
        <v/>
      </c>
      <c r="U767" s="79">
        <f>IF(Q767="Sin Factura",0,IFERROR(_xlfn.XLOOKUP(1, (Facturas_Odoo!$D:$D=A767) * (Facturas_Odoo!$K:$K=I767), Facturas_Odoo!$N:$N, 0), 0))</f>
        <v/>
      </c>
      <c r="V767" s="79">
        <f>IF(Q767="Sin Factura",0,IFERROR(_xlfn.XLOOKUP(1, (Facturas_Odoo!$D:$D=A767) * (Facturas_Odoo!$K:$K=I767), Facturas_Odoo!$O:$O, 0), 0))</f>
        <v/>
      </c>
      <c r="W767" s="81">
        <f>IF(Q767="Sin Factura",0,IFERROR(_xlfn.XLOOKUP(1, (Facturas_Odoo!$D:$D=A767) * (Facturas_Odoo!$K:$K=I767), Facturas_Odoo!$Q:$Q, 0), 0))</f>
        <v/>
      </c>
      <c r="X767" s="79">
        <f>IF(OR(Q767="Sin Factura",Q767=""),"",IFERROR(INDEX(Pagos_Odoo!$B:$B, MATCH(Q767, Pagos_Odoo!$I:$I, 0)), "Sin Pago"))</f>
        <v/>
      </c>
      <c r="Y767" s="79">
        <f>IF(X767="Sin Pago","",IFERROR(INDEX(Pagos_Odoo!$C:$C, MATCH(X767, Pagos_Odoo!$B:$B, 0)), ""))</f>
        <v/>
      </c>
      <c r="Z767" s="80">
        <f>IF(X767="Sin Pago","",IFERROR(INDEX(Pagos_Odoo!$A:$A, MATCH(X767, Pagos_Odoo!$B:$B, 0)), ""))</f>
        <v/>
      </c>
      <c r="AA767" s="79">
        <f>IF(X767="Sin Pago","",IFERROR(INDEX(Pagos_Odoo!$F:$F, MATCH(X767, Pagos_Odoo!$B:$B, 0)), ""))</f>
        <v/>
      </c>
      <c r="AB767" s="81">
        <f>IF(X767="Sin Pago",0,IFERROR(INDEX(Pagos_Odoo!$E:$E, MATCH(X767, Pagos_Odoo!$B:$B, 0)), 0))</f>
        <v/>
      </c>
      <c r="AC767" s="79">
        <f>IF(X767="Sin Pago","",IFERROR(INDEX(Pagos_Odoo!$G:$G, MATCH(X767, Pagos_Odoo!$B:$B, 0)), ""))</f>
        <v/>
      </c>
      <c r="AD767" s="82" t="n">
        <v>0</v>
      </c>
      <c r="AE767" s="82" t="n"/>
      <c r="AF767" s="82" t="n"/>
      <c r="AG767" s="82">
        <f>IF(AN767="","",AD767+AE767+AF767)</f>
        <v/>
      </c>
      <c r="AH767" s="81">
        <f>IF(AN767="","",P767*(1-AG767))</f>
        <v/>
      </c>
      <c r="AI767" s="81">
        <f>IF(AN767="","",IF(Q767="Sin Factura",0,IFERROR(INDEX(Facturas_Odoo!$H:$H, MATCH(Q767, Facturas_Odoo!$B:$B, 0)), 0)*(1-AG767)))</f>
        <v/>
      </c>
      <c r="AJ767" s="81">
        <f>IF(AN767="","",_xlfn.LET(idVenta, AN767&amp;"",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67" s="81">
        <f>IF(AN767="","",AH767-AJ767)</f>
        <v/>
      </c>
      <c r="AL767" s="81">
        <f>IF(AN767="","",IF(Q767="Sin Factura","",AI767-AJ767))</f>
        <v/>
      </c>
      <c r="AM767" s="81">
        <f>IF(AN767="","",IF(Q767="Sin Factura",0,P767-IFERROR(INDEX(Facturas_Odoo!$H:$H, MATCH(Q767, Facturas_Odoo!$B:$B, 0)), 0)))</f>
        <v/>
      </c>
      <c r="AN767" s="79">
        <f>IF(AND(A767="", J767=""), "", IF(A767&lt;&gt;"", VALUE(MID(A767,2,LEN(A767))), AN766))</f>
        <v/>
      </c>
      <c r="AO767" s="79">
        <f>IF(AN767="","",IF(AD767=0,"OK",_xlfn.LET(monedaPago, IF(AA767="","USD",AA767), limitePermitido, IFERROR(VLOOKUP(monedaPago, Configuración!$A$2:$B$3, 2, FALSE), 0.15), IF(AD767&gt;limitePermitido, "ALERTA: EXCESO (" &amp; TEXT(limitePermitido, "0%") &amp; " máx)", "OK"))))</f>
        <v/>
      </c>
      <c r="AP767" s="79">
        <f>IF(AN767="","",IF(AE767=0,"OK",_xlfn.LET(fechaPago, Z767, fechaFactura, R767, diasCredito, IF(E767="Pago inmediato", 0, IFERROR(VALUE(MID(E767, 1, SEARCH(" ", E767)-1)),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67" s="79">
        <f>IF(AN767="","",IF(AND(N767&gt;0, AG767&gt;0), IF(Configuración!$K$2="NO", "ALERTA: DESCUENTO DOBLE NO PERMITIDO", "OK"), "OK"))</f>
        <v/>
      </c>
      <c r="AR767" s="79">
        <f>IF(AN767="","",IF(OR(AO767&lt;&gt;"OK", AP767&lt;&gt;"OK", AQ767&lt;&gt;"OK"), "⚠️ REVISAR", "OK"))</f>
        <v/>
      </c>
    </row>
    <row r="768">
      <c r="A768" s="79">
        <f>IF('Ordenes_Odoo'!A768="","",'Ordenes_Odoo'!A768)</f>
        <v/>
      </c>
      <c r="B768" s="80">
        <f>IF('Ordenes_Odoo'!B768="","",'Ordenes_Odoo'!B768)</f>
        <v/>
      </c>
      <c r="C768" s="79">
        <f>IF('Ordenes_Odoo'!C768="","",'Ordenes_Odoo'!C768)</f>
        <v/>
      </c>
      <c r="D768" s="79">
        <f>IF('Ordenes_Odoo'!D768="","",'Ordenes_Odoo'!D768)</f>
        <v/>
      </c>
      <c r="E768" s="79">
        <f>IF('Ordenes_Odoo'!E768="","",'Ordenes_Odoo'!E768)</f>
        <v/>
      </c>
      <c r="F768" s="79">
        <f>IF('Ordenes_Odoo'!F768="","",'Ordenes_Odoo'!F768)</f>
        <v/>
      </c>
      <c r="G768" s="79">
        <f>IF('Ordenes_Odoo'!G768="","",'Ordenes_Odoo'!G768)</f>
        <v/>
      </c>
      <c r="H768" s="79">
        <f>IF('Ordenes_Odoo'!H768="","",'Ordenes_Odoo'!H768)</f>
        <v/>
      </c>
      <c r="I768" s="79">
        <f>IF('Ordenes_Odoo'!I768="","",'Ordenes_Odoo'!I768)</f>
        <v/>
      </c>
      <c r="J768" s="79">
        <f>IF('Ordenes_Odoo'!J768="","",'Ordenes_Odoo'!J768)</f>
        <v/>
      </c>
      <c r="K768" s="81">
        <f>IF('Ordenes_Odoo'!K768="","",'Ordenes_Odoo'!K768)</f>
        <v/>
      </c>
      <c r="L768" s="81">
        <f>IF('Ordenes_Odoo'!L768="","",'Ordenes_Odoo'!L768)</f>
        <v/>
      </c>
      <c r="M768" s="79">
        <f>IF('Ordenes_Odoo'!M768="","",'Ordenes_Odoo'!M768)</f>
        <v/>
      </c>
      <c r="N768" s="79">
        <f>IF('Ordenes_Odoo'!N768="","",'Ordenes_Odoo'!N768)</f>
        <v/>
      </c>
      <c r="O768" s="81">
        <f>IF('Ordenes_Odoo'!O768="","",'Ordenes_Odoo'!O768)</f>
        <v/>
      </c>
      <c r="P768" s="81">
        <f>IF('Ordenes_Odoo'!P768="","",'Ordenes_Odoo'!P768)</f>
        <v/>
      </c>
      <c r="Q768" s="79">
        <f>IF(A768="","",IFERROR(INDEX(Facturas_Odoo!$B:$B, MATCH(A768, Facturas_Odoo!$D:$D, 0)), "Sin Factura"))</f>
        <v/>
      </c>
      <c r="R768" s="80">
        <f>IF(Q768="Sin Factura","",IFERROR(INDEX(Facturas_Odoo!$A:$A, MATCH(Q768, Facturas_Odoo!$B:$B, 0)), ""))</f>
        <v/>
      </c>
      <c r="S768" s="79">
        <f>IF(Q768="Sin Factura","",IFERROR(_xlfn.XLOOKUP(1, (Facturas_Odoo!$D:$D=A768) * (Facturas_Odoo!$K:$K=I768), Facturas_Odoo!$L:$L, ""), ""))</f>
        <v/>
      </c>
      <c r="T768" s="81">
        <f>IF(Q768="Sin Factura",0,IFERROR(_xlfn.XLOOKUP(1, (Facturas_Odoo!$D:$D=A768) * (Facturas_Odoo!$K:$K=I768), Facturas_Odoo!$M:$M, 0), 0))</f>
        <v/>
      </c>
      <c r="U768" s="79">
        <f>IF(Q768="Sin Factura",0,IFERROR(_xlfn.XLOOKUP(1, (Facturas_Odoo!$D:$D=A768) * (Facturas_Odoo!$K:$K=I768), Facturas_Odoo!$N:$N, 0), 0))</f>
        <v/>
      </c>
      <c r="V768" s="79">
        <f>IF(Q768="Sin Factura",0,IFERROR(_xlfn.XLOOKUP(1, (Facturas_Odoo!$D:$D=A768) * (Facturas_Odoo!$K:$K=I768), Facturas_Odoo!$O:$O, 0), 0))</f>
        <v/>
      </c>
      <c r="W768" s="81">
        <f>IF(Q768="Sin Factura",0,IFERROR(_xlfn.XLOOKUP(1, (Facturas_Odoo!$D:$D=A768) * (Facturas_Odoo!$K:$K=I768), Facturas_Odoo!$Q:$Q, 0), 0))</f>
        <v/>
      </c>
      <c r="X768" s="79">
        <f>IF(OR(Q768="Sin Factura",Q768=""),"",IFERROR(INDEX(Pagos_Odoo!$B:$B, MATCH(Q768, Pagos_Odoo!$I:$I, 0)), "Sin Pago"))</f>
        <v/>
      </c>
      <c r="Y768" s="79">
        <f>IF(X768="Sin Pago","",IFERROR(INDEX(Pagos_Odoo!$C:$C, MATCH(X768, Pagos_Odoo!$B:$B, 0)), ""))</f>
        <v/>
      </c>
      <c r="Z768" s="80">
        <f>IF(X768="Sin Pago","",IFERROR(INDEX(Pagos_Odoo!$A:$A, MATCH(X768, Pagos_Odoo!$B:$B, 0)), ""))</f>
        <v/>
      </c>
      <c r="AA768" s="79">
        <f>IF(X768="Sin Pago","",IFERROR(INDEX(Pagos_Odoo!$F:$F, MATCH(X768, Pagos_Odoo!$B:$B, 0)), ""))</f>
        <v/>
      </c>
      <c r="AB768" s="81">
        <f>IF(X768="Sin Pago",0,IFERROR(INDEX(Pagos_Odoo!$E:$E, MATCH(X768, Pagos_Odoo!$B:$B, 0)), 0))</f>
        <v/>
      </c>
      <c r="AC768" s="79">
        <f>IF(X768="Sin Pago","",IFERROR(INDEX(Pagos_Odoo!$G:$G, MATCH(X768, Pagos_Odoo!$B:$B, 0)), ""))</f>
        <v/>
      </c>
      <c r="AD768" s="82" t="n">
        <v>0</v>
      </c>
      <c r="AE768" s="82" t="n"/>
      <c r="AF768" s="82" t="n"/>
      <c r="AG768" s="82">
        <f>IF(AN768="","",AD768+AE768+AF768)</f>
        <v/>
      </c>
      <c r="AH768" s="81">
        <f>IF(AN768="","",P768*(1-AG768))</f>
        <v/>
      </c>
      <c r="AI768" s="81">
        <f>IF(AN768="","",IF(Q768="Sin Factura",0,IFERROR(INDEX(Facturas_Odoo!$H:$H, MATCH(Q768, Facturas_Odoo!$B:$B, 0)), 0)*(1-AG768)))</f>
        <v/>
      </c>
      <c r="AJ768" s="81">
        <f>IF(AN768="","",_xlfn.LET(idVenta, AN768&amp;"",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68" s="81">
        <f>IF(AN768="","",AH768-AJ768)</f>
        <v/>
      </c>
      <c r="AL768" s="81">
        <f>IF(AN768="","",IF(Q768="Sin Factura","",AI768-AJ768))</f>
        <v/>
      </c>
      <c r="AM768" s="81">
        <f>IF(AN768="","",IF(Q768="Sin Factura",0,P768-IFERROR(INDEX(Facturas_Odoo!$H:$H, MATCH(Q768, Facturas_Odoo!$B:$B, 0)), 0)))</f>
        <v/>
      </c>
      <c r="AN768" s="79">
        <f>IF(AND(A768="", J768=""), "", IF(A768&lt;&gt;"", VALUE(MID(A768,2,LEN(A768))), AN767))</f>
        <v/>
      </c>
      <c r="AO768" s="79">
        <f>IF(AN768="","",IF(AD768=0,"OK",_xlfn.LET(monedaPago, IF(AA768="","USD",AA768), limitePermitido, IFERROR(VLOOKUP(monedaPago, Configuración!$A$2:$B$3, 2, FALSE), 0.15), IF(AD768&gt;limitePermitido, "ALERTA: EXCESO (" &amp; TEXT(limitePermitido, "0%") &amp; " máx)", "OK"))))</f>
        <v/>
      </c>
      <c r="AP768" s="79">
        <f>IF(AN768="","",IF(AE768=0,"OK",_xlfn.LET(fechaPago, Z768, fechaFactura, R768, diasCredito, IF(E768="Pago inmediato", 0, IFERROR(VALUE(MID(E768, 1, SEARCH(" ", E768)-1)),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68" s="79">
        <f>IF(AN768="","",IF(AND(N768&gt;0, AG768&gt;0), IF(Configuración!$K$2="NO", "ALERTA: DESCUENTO DOBLE NO PERMITIDO", "OK"), "OK"))</f>
        <v/>
      </c>
      <c r="AR768" s="79">
        <f>IF(AN768="","",IF(OR(AO768&lt;&gt;"OK", AP768&lt;&gt;"OK", AQ768&lt;&gt;"OK"), "⚠️ REVISAR", "OK"))</f>
        <v/>
      </c>
    </row>
    <row r="769">
      <c r="A769" s="79">
        <f>IF('Ordenes_Odoo'!A769="","",'Ordenes_Odoo'!A769)</f>
        <v/>
      </c>
      <c r="B769" s="80">
        <f>IF('Ordenes_Odoo'!B769="","",'Ordenes_Odoo'!B769)</f>
        <v/>
      </c>
      <c r="C769" s="79">
        <f>IF('Ordenes_Odoo'!C769="","",'Ordenes_Odoo'!C769)</f>
        <v/>
      </c>
      <c r="D769" s="79">
        <f>IF('Ordenes_Odoo'!D769="","",'Ordenes_Odoo'!D769)</f>
        <v/>
      </c>
      <c r="E769" s="79">
        <f>IF('Ordenes_Odoo'!E769="","",'Ordenes_Odoo'!E769)</f>
        <v/>
      </c>
      <c r="F769" s="79">
        <f>IF('Ordenes_Odoo'!F769="","",'Ordenes_Odoo'!F769)</f>
        <v/>
      </c>
      <c r="G769" s="79">
        <f>IF('Ordenes_Odoo'!G769="","",'Ordenes_Odoo'!G769)</f>
        <v/>
      </c>
      <c r="H769" s="79">
        <f>IF('Ordenes_Odoo'!H769="","",'Ordenes_Odoo'!H769)</f>
        <v/>
      </c>
      <c r="I769" s="79">
        <f>IF('Ordenes_Odoo'!I769="","",'Ordenes_Odoo'!I769)</f>
        <v/>
      </c>
      <c r="J769" s="79">
        <f>IF('Ordenes_Odoo'!J769="","",'Ordenes_Odoo'!J769)</f>
        <v/>
      </c>
      <c r="K769" s="81">
        <f>IF('Ordenes_Odoo'!K769="","",'Ordenes_Odoo'!K769)</f>
        <v/>
      </c>
      <c r="L769" s="81">
        <f>IF('Ordenes_Odoo'!L769="","",'Ordenes_Odoo'!L769)</f>
        <v/>
      </c>
      <c r="M769" s="79">
        <f>IF('Ordenes_Odoo'!M769="","",'Ordenes_Odoo'!M769)</f>
        <v/>
      </c>
      <c r="N769" s="79">
        <f>IF('Ordenes_Odoo'!N769="","",'Ordenes_Odoo'!N769)</f>
        <v/>
      </c>
      <c r="O769" s="81">
        <f>IF('Ordenes_Odoo'!O769="","",'Ordenes_Odoo'!O769)</f>
        <v/>
      </c>
      <c r="P769" s="81">
        <f>IF('Ordenes_Odoo'!P769="","",'Ordenes_Odoo'!P769)</f>
        <v/>
      </c>
      <c r="Q769" s="79">
        <f>IF(A769="","",IFERROR(INDEX(Facturas_Odoo!$B:$B, MATCH(A769, Facturas_Odoo!$D:$D, 0)), "Sin Factura"))</f>
        <v/>
      </c>
      <c r="R769" s="80">
        <f>IF(Q769="Sin Factura","",IFERROR(INDEX(Facturas_Odoo!$A:$A, MATCH(Q769, Facturas_Odoo!$B:$B, 0)), ""))</f>
        <v/>
      </c>
      <c r="S769" s="79">
        <f>IF(Q769="Sin Factura","",IFERROR(_xlfn.XLOOKUP(1, (Facturas_Odoo!$D:$D=A769) * (Facturas_Odoo!$K:$K=I769), Facturas_Odoo!$L:$L, ""), ""))</f>
        <v/>
      </c>
      <c r="T769" s="81">
        <f>IF(Q769="Sin Factura",0,IFERROR(_xlfn.XLOOKUP(1, (Facturas_Odoo!$D:$D=A769) * (Facturas_Odoo!$K:$K=I769), Facturas_Odoo!$M:$M, 0), 0))</f>
        <v/>
      </c>
      <c r="U769" s="79">
        <f>IF(Q769="Sin Factura",0,IFERROR(_xlfn.XLOOKUP(1, (Facturas_Odoo!$D:$D=A769) * (Facturas_Odoo!$K:$K=I769), Facturas_Odoo!$N:$N, 0), 0))</f>
        <v/>
      </c>
      <c r="V769" s="79">
        <f>IF(Q769="Sin Factura",0,IFERROR(_xlfn.XLOOKUP(1, (Facturas_Odoo!$D:$D=A769) * (Facturas_Odoo!$K:$K=I769), Facturas_Odoo!$O:$O, 0), 0))</f>
        <v/>
      </c>
      <c r="W769" s="81">
        <f>IF(Q769="Sin Factura",0,IFERROR(_xlfn.XLOOKUP(1, (Facturas_Odoo!$D:$D=A769) * (Facturas_Odoo!$K:$K=I769), Facturas_Odoo!$Q:$Q, 0), 0))</f>
        <v/>
      </c>
      <c r="X769" s="79">
        <f>IF(OR(Q769="Sin Factura",Q769=""),"",IFERROR(INDEX(Pagos_Odoo!$B:$B, MATCH(Q769, Pagos_Odoo!$I:$I, 0)), "Sin Pago"))</f>
        <v/>
      </c>
      <c r="Y769" s="79">
        <f>IF(X769="Sin Pago","",IFERROR(INDEX(Pagos_Odoo!$C:$C, MATCH(X769, Pagos_Odoo!$B:$B, 0)), ""))</f>
        <v/>
      </c>
      <c r="Z769" s="80">
        <f>IF(X769="Sin Pago","",IFERROR(INDEX(Pagos_Odoo!$A:$A, MATCH(X769, Pagos_Odoo!$B:$B, 0)), ""))</f>
        <v/>
      </c>
      <c r="AA769" s="79">
        <f>IF(X769="Sin Pago","",IFERROR(INDEX(Pagos_Odoo!$F:$F, MATCH(X769, Pagos_Odoo!$B:$B, 0)), ""))</f>
        <v/>
      </c>
      <c r="AB769" s="81">
        <f>IF(X769="Sin Pago",0,IFERROR(INDEX(Pagos_Odoo!$E:$E, MATCH(X769, Pagos_Odoo!$B:$B, 0)), 0))</f>
        <v/>
      </c>
      <c r="AC769" s="79">
        <f>IF(X769="Sin Pago","",IFERROR(INDEX(Pagos_Odoo!$G:$G, MATCH(X769, Pagos_Odoo!$B:$B, 0)), ""))</f>
        <v/>
      </c>
      <c r="AD769" s="82" t="n">
        <v>0</v>
      </c>
      <c r="AE769" s="82" t="n"/>
      <c r="AF769" s="82" t="n"/>
      <c r="AG769" s="82">
        <f>IF(AN769="","",AD769+AE769+AF769)</f>
        <v/>
      </c>
      <c r="AH769" s="81">
        <f>IF(AN769="","",P769*(1-AG769))</f>
        <v/>
      </c>
      <c r="AI769" s="81">
        <f>IF(AN769="","",IF(Q769="Sin Factura",0,IFERROR(INDEX(Facturas_Odoo!$H:$H, MATCH(Q769, Facturas_Odoo!$B:$B, 0)), 0)*(1-AG769)))</f>
        <v/>
      </c>
      <c r="AJ769" s="81">
        <f>IF(AN769="","",_xlfn.LET(idVenta, AN769&amp;"",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69" s="81">
        <f>IF(AN769="","",AH769-AJ769)</f>
        <v/>
      </c>
      <c r="AL769" s="81">
        <f>IF(AN769="","",IF(Q769="Sin Factura","",AI769-AJ769))</f>
        <v/>
      </c>
      <c r="AM769" s="81">
        <f>IF(AN769="","",IF(Q769="Sin Factura",0,P769-IFERROR(INDEX(Facturas_Odoo!$H:$H, MATCH(Q769, Facturas_Odoo!$B:$B, 0)), 0)))</f>
        <v/>
      </c>
      <c r="AN769" s="79">
        <f>IF(AND(A769="", J769=""), "", IF(A769&lt;&gt;"", VALUE(MID(A769,2,LEN(A769))), AN768))</f>
        <v/>
      </c>
      <c r="AO769" s="79">
        <f>IF(AN769="","",IF(AD769=0,"OK",_xlfn.LET(monedaPago, IF(AA769="","USD",AA769), limitePermitido, IFERROR(VLOOKUP(monedaPago, Configuración!$A$2:$B$3, 2, FALSE), 0.15), IF(AD769&gt;limitePermitido, "ALERTA: EXCESO (" &amp; TEXT(limitePermitido, "0%") &amp; " máx)", "OK"))))</f>
        <v/>
      </c>
      <c r="AP769" s="79">
        <f>IF(AN769="","",IF(AE769=0,"OK",_xlfn.LET(fechaPago, Z769, fechaFactura, R769, diasCredito, IF(E769="Pago inmediato", 0, IFERROR(VALUE(MID(E769, 1, SEARCH(" ", E769)-1)),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69" s="79">
        <f>IF(AN769="","",IF(AND(N769&gt;0, AG769&gt;0), IF(Configuración!$K$2="NO", "ALERTA: DESCUENTO DOBLE NO PERMITIDO", "OK"), "OK"))</f>
        <v/>
      </c>
      <c r="AR769" s="79">
        <f>IF(AN769="","",IF(OR(AO769&lt;&gt;"OK", AP769&lt;&gt;"OK", AQ769&lt;&gt;"OK"), "⚠️ REVISAR", "OK"))</f>
        <v/>
      </c>
    </row>
    <row r="770">
      <c r="A770" s="79">
        <f>IF('Ordenes_Odoo'!A770="","",'Ordenes_Odoo'!A770)</f>
        <v/>
      </c>
      <c r="B770" s="80">
        <f>IF('Ordenes_Odoo'!B770="","",'Ordenes_Odoo'!B770)</f>
        <v/>
      </c>
      <c r="C770" s="79">
        <f>IF('Ordenes_Odoo'!C770="","",'Ordenes_Odoo'!C770)</f>
        <v/>
      </c>
      <c r="D770" s="79">
        <f>IF('Ordenes_Odoo'!D770="","",'Ordenes_Odoo'!D770)</f>
        <v/>
      </c>
      <c r="E770" s="79">
        <f>IF('Ordenes_Odoo'!E770="","",'Ordenes_Odoo'!E770)</f>
        <v/>
      </c>
      <c r="F770" s="79">
        <f>IF('Ordenes_Odoo'!F770="","",'Ordenes_Odoo'!F770)</f>
        <v/>
      </c>
      <c r="G770" s="79">
        <f>IF('Ordenes_Odoo'!G770="","",'Ordenes_Odoo'!G770)</f>
        <v/>
      </c>
      <c r="H770" s="79">
        <f>IF('Ordenes_Odoo'!H770="","",'Ordenes_Odoo'!H770)</f>
        <v/>
      </c>
      <c r="I770" s="79">
        <f>IF('Ordenes_Odoo'!I770="","",'Ordenes_Odoo'!I770)</f>
        <v/>
      </c>
      <c r="J770" s="79">
        <f>IF('Ordenes_Odoo'!J770="","",'Ordenes_Odoo'!J770)</f>
        <v/>
      </c>
      <c r="K770" s="81">
        <f>IF('Ordenes_Odoo'!K770="","",'Ordenes_Odoo'!K770)</f>
        <v/>
      </c>
      <c r="L770" s="81">
        <f>IF('Ordenes_Odoo'!L770="","",'Ordenes_Odoo'!L770)</f>
        <v/>
      </c>
      <c r="M770" s="79">
        <f>IF('Ordenes_Odoo'!M770="","",'Ordenes_Odoo'!M770)</f>
        <v/>
      </c>
      <c r="N770" s="79">
        <f>IF('Ordenes_Odoo'!N770="","",'Ordenes_Odoo'!N770)</f>
        <v/>
      </c>
      <c r="O770" s="81">
        <f>IF('Ordenes_Odoo'!O770="","",'Ordenes_Odoo'!O770)</f>
        <v/>
      </c>
      <c r="P770" s="81">
        <f>IF('Ordenes_Odoo'!P770="","",'Ordenes_Odoo'!P770)</f>
        <v/>
      </c>
      <c r="Q770" s="79">
        <f>IF(A770="","",IFERROR(INDEX(Facturas_Odoo!$B:$B, MATCH(A770, Facturas_Odoo!$D:$D, 0)), "Sin Factura"))</f>
        <v/>
      </c>
      <c r="R770" s="80">
        <f>IF(Q770="Sin Factura","",IFERROR(INDEX(Facturas_Odoo!$A:$A, MATCH(Q770, Facturas_Odoo!$B:$B, 0)), ""))</f>
        <v/>
      </c>
      <c r="S770" s="79">
        <f>IF(Q770="Sin Factura","",IFERROR(_xlfn.XLOOKUP(1, (Facturas_Odoo!$D:$D=A770) * (Facturas_Odoo!$K:$K=I770), Facturas_Odoo!$L:$L, ""), ""))</f>
        <v/>
      </c>
      <c r="T770" s="81">
        <f>IF(Q770="Sin Factura",0,IFERROR(_xlfn.XLOOKUP(1, (Facturas_Odoo!$D:$D=A770) * (Facturas_Odoo!$K:$K=I770), Facturas_Odoo!$M:$M, 0), 0))</f>
        <v/>
      </c>
      <c r="U770" s="79">
        <f>IF(Q770="Sin Factura",0,IFERROR(_xlfn.XLOOKUP(1, (Facturas_Odoo!$D:$D=A770) * (Facturas_Odoo!$K:$K=I770), Facturas_Odoo!$N:$N, 0), 0))</f>
        <v/>
      </c>
      <c r="V770" s="79">
        <f>IF(Q770="Sin Factura",0,IFERROR(_xlfn.XLOOKUP(1, (Facturas_Odoo!$D:$D=A770) * (Facturas_Odoo!$K:$K=I770), Facturas_Odoo!$O:$O, 0), 0))</f>
        <v/>
      </c>
      <c r="W770" s="81">
        <f>IF(Q770="Sin Factura",0,IFERROR(_xlfn.XLOOKUP(1, (Facturas_Odoo!$D:$D=A770) * (Facturas_Odoo!$K:$K=I770), Facturas_Odoo!$Q:$Q, 0), 0))</f>
        <v/>
      </c>
      <c r="X770" s="79">
        <f>IF(OR(Q770="Sin Factura",Q770=""),"",IFERROR(INDEX(Pagos_Odoo!$B:$B, MATCH(Q770, Pagos_Odoo!$I:$I, 0)), "Sin Pago"))</f>
        <v/>
      </c>
      <c r="Y770" s="79">
        <f>IF(X770="Sin Pago","",IFERROR(INDEX(Pagos_Odoo!$C:$C, MATCH(X770, Pagos_Odoo!$B:$B, 0)), ""))</f>
        <v/>
      </c>
      <c r="Z770" s="80">
        <f>IF(X770="Sin Pago","",IFERROR(INDEX(Pagos_Odoo!$A:$A, MATCH(X770, Pagos_Odoo!$B:$B, 0)), ""))</f>
        <v/>
      </c>
      <c r="AA770" s="79">
        <f>IF(X770="Sin Pago","",IFERROR(INDEX(Pagos_Odoo!$F:$F, MATCH(X770, Pagos_Odoo!$B:$B, 0)), ""))</f>
        <v/>
      </c>
      <c r="AB770" s="81">
        <f>IF(X770="Sin Pago",0,IFERROR(INDEX(Pagos_Odoo!$E:$E, MATCH(X770, Pagos_Odoo!$B:$B, 0)), 0))</f>
        <v/>
      </c>
      <c r="AC770" s="79">
        <f>IF(X770="Sin Pago","",IFERROR(INDEX(Pagos_Odoo!$G:$G, MATCH(X770, Pagos_Odoo!$B:$B, 0)), ""))</f>
        <v/>
      </c>
      <c r="AD770" s="82" t="n">
        <v>0</v>
      </c>
      <c r="AE770" s="82" t="n"/>
      <c r="AF770" s="82" t="n"/>
      <c r="AG770" s="82">
        <f>IF(AN770="","",AD770+AE770+AF770)</f>
        <v/>
      </c>
      <c r="AH770" s="81">
        <f>IF(AN770="","",P770*(1-AG770))</f>
        <v/>
      </c>
      <c r="AI770" s="81">
        <f>IF(AN770="","",IF(Q770="Sin Factura",0,IFERROR(INDEX(Facturas_Odoo!$H:$H, MATCH(Q770, Facturas_Odoo!$B:$B, 0)), 0)*(1-AG770)))</f>
        <v/>
      </c>
      <c r="AJ770" s="81">
        <f>IF(AN770="","",_xlfn.LET(idVenta, AN770&amp;"",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70" s="81">
        <f>IF(AN770="","",AH770-AJ770)</f>
        <v/>
      </c>
      <c r="AL770" s="81">
        <f>IF(AN770="","",IF(Q770="Sin Factura","",AI770-AJ770))</f>
        <v/>
      </c>
      <c r="AM770" s="81">
        <f>IF(AN770="","",IF(Q770="Sin Factura",0,P770-IFERROR(INDEX(Facturas_Odoo!$H:$H, MATCH(Q770, Facturas_Odoo!$B:$B, 0)), 0)))</f>
        <v/>
      </c>
      <c r="AN770" s="79">
        <f>IF(AND(A770="", J770=""), "", IF(A770&lt;&gt;"", VALUE(MID(A770,2,LEN(A770))), AN769))</f>
        <v/>
      </c>
      <c r="AO770" s="79">
        <f>IF(AN770="","",IF(AD770=0,"OK",_xlfn.LET(monedaPago, IF(AA770="","USD",AA770), limitePermitido, IFERROR(VLOOKUP(monedaPago, Configuración!$A$2:$B$3, 2, FALSE), 0.15), IF(AD770&gt;limitePermitido, "ALERTA: EXCESO (" &amp; TEXT(limitePermitido, "0%") &amp; " máx)", "OK"))))</f>
        <v/>
      </c>
      <c r="AP770" s="79">
        <f>IF(AN770="","",IF(AE770=0,"OK",_xlfn.LET(fechaPago, Z770, fechaFactura, R770, diasCredito, IF(E770="Pago inmediato", 0, IFERROR(VALUE(MID(E770, 1, SEARCH(" ", E770)-1)),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70" s="79">
        <f>IF(AN770="","",IF(AND(N770&gt;0, AG770&gt;0), IF(Configuración!$K$2="NO", "ALERTA: DESCUENTO DOBLE NO PERMITIDO", "OK"), "OK"))</f>
        <v/>
      </c>
      <c r="AR770" s="79">
        <f>IF(AN770="","",IF(OR(AO770&lt;&gt;"OK", AP770&lt;&gt;"OK", AQ770&lt;&gt;"OK"), "⚠️ REVISAR", "OK"))</f>
        <v/>
      </c>
    </row>
    <row r="771">
      <c r="A771" s="79">
        <f>IF('Ordenes_Odoo'!A771="","",'Ordenes_Odoo'!A771)</f>
        <v/>
      </c>
      <c r="B771" s="80">
        <f>IF('Ordenes_Odoo'!B771="","",'Ordenes_Odoo'!B771)</f>
        <v/>
      </c>
      <c r="C771" s="79">
        <f>IF('Ordenes_Odoo'!C771="","",'Ordenes_Odoo'!C771)</f>
        <v/>
      </c>
      <c r="D771" s="79">
        <f>IF('Ordenes_Odoo'!D771="","",'Ordenes_Odoo'!D771)</f>
        <v/>
      </c>
      <c r="E771" s="79">
        <f>IF('Ordenes_Odoo'!E771="","",'Ordenes_Odoo'!E771)</f>
        <v/>
      </c>
      <c r="F771" s="79">
        <f>IF('Ordenes_Odoo'!F771="","",'Ordenes_Odoo'!F771)</f>
        <v/>
      </c>
      <c r="G771" s="79">
        <f>IF('Ordenes_Odoo'!G771="","",'Ordenes_Odoo'!G771)</f>
        <v/>
      </c>
      <c r="H771" s="79">
        <f>IF('Ordenes_Odoo'!H771="","",'Ordenes_Odoo'!H771)</f>
        <v/>
      </c>
      <c r="I771" s="79">
        <f>IF('Ordenes_Odoo'!I771="","",'Ordenes_Odoo'!I771)</f>
        <v/>
      </c>
      <c r="J771" s="79">
        <f>IF('Ordenes_Odoo'!J771="","",'Ordenes_Odoo'!J771)</f>
        <v/>
      </c>
      <c r="K771" s="81">
        <f>IF('Ordenes_Odoo'!K771="","",'Ordenes_Odoo'!K771)</f>
        <v/>
      </c>
      <c r="L771" s="81">
        <f>IF('Ordenes_Odoo'!L771="","",'Ordenes_Odoo'!L771)</f>
        <v/>
      </c>
      <c r="M771" s="79">
        <f>IF('Ordenes_Odoo'!M771="","",'Ordenes_Odoo'!M771)</f>
        <v/>
      </c>
      <c r="N771" s="79">
        <f>IF('Ordenes_Odoo'!N771="","",'Ordenes_Odoo'!N771)</f>
        <v/>
      </c>
      <c r="O771" s="81">
        <f>IF('Ordenes_Odoo'!O771="","",'Ordenes_Odoo'!O771)</f>
        <v/>
      </c>
      <c r="P771" s="81">
        <f>IF('Ordenes_Odoo'!P771="","",'Ordenes_Odoo'!P771)</f>
        <v/>
      </c>
      <c r="Q771" s="79">
        <f>IF(A771="","",IFERROR(INDEX(Facturas_Odoo!$B:$B, MATCH(A771, Facturas_Odoo!$D:$D, 0)), "Sin Factura"))</f>
        <v/>
      </c>
      <c r="R771" s="80">
        <f>IF(Q771="Sin Factura","",IFERROR(INDEX(Facturas_Odoo!$A:$A, MATCH(Q771, Facturas_Odoo!$B:$B, 0)), ""))</f>
        <v/>
      </c>
      <c r="S771" s="79">
        <f>IF(Q771="Sin Factura","",IFERROR(_xlfn.XLOOKUP(1, (Facturas_Odoo!$D:$D=A771) * (Facturas_Odoo!$K:$K=I771), Facturas_Odoo!$L:$L, ""), ""))</f>
        <v/>
      </c>
      <c r="T771" s="81">
        <f>IF(Q771="Sin Factura",0,IFERROR(_xlfn.XLOOKUP(1, (Facturas_Odoo!$D:$D=A771) * (Facturas_Odoo!$K:$K=I771), Facturas_Odoo!$M:$M, 0), 0))</f>
        <v/>
      </c>
      <c r="U771" s="79">
        <f>IF(Q771="Sin Factura",0,IFERROR(_xlfn.XLOOKUP(1, (Facturas_Odoo!$D:$D=A771) * (Facturas_Odoo!$K:$K=I771), Facturas_Odoo!$N:$N, 0), 0))</f>
        <v/>
      </c>
      <c r="V771" s="79">
        <f>IF(Q771="Sin Factura",0,IFERROR(_xlfn.XLOOKUP(1, (Facturas_Odoo!$D:$D=A771) * (Facturas_Odoo!$K:$K=I771), Facturas_Odoo!$O:$O, 0), 0))</f>
        <v/>
      </c>
      <c r="W771" s="81">
        <f>IF(Q771="Sin Factura",0,IFERROR(_xlfn.XLOOKUP(1, (Facturas_Odoo!$D:$D=A771) * (Facturas_Odoo!$K:$K=I771), Facturas_Odoo!$Q:$Q, 0), 0))</f>
        <v/>
      </c>
      <c r="X771" s="79">
        <f>IF(OR(Q771="Sin Factura",Q771=""),"",IFERROR(INDEX(Pagos_Odoo!$B:$B, MATCH(Q771, Pagos_Odoo!$I:$I, 0)), "Sin Pago"))</f>
        <v/>
      </c>
      <c r="Y771" s="79">
        <f>IF(X771="Sin Pago","",IFERROR(INDEX(Pagos_Odoo!$C:$C, MATCH(X771, Pagos_Odoo!$B:$B, 0)), ""))</f>
        <v/>
      </c>
      <c r="Z771" s="80">
        <f>IF(X771="Sin Pago","",IFERROR(INDEX(Pagos_Odoo!$A:$A, MATCH(X771, Pagos_Odoo!$B:$B, 0)), ""))</f>
        <v/>
      </c>
      <c r="AA771" s="79">
        <f>IF(X771="Sin Pago","",IFERROR(INDEX(Pagos_Odoo!$F:$F, MATCH(X771, Pagos_Odoo!$B:$B, 0)), ""))</f>
        <v/>
      </c>
      <c r="AB771" s="81">
        <f>IF(X771="Sin Pago",0,IFERROR(INDEX(Pagos_Odoo!$E:$E, MATCH(X771, Pagos_Odoo!$B:$B, 0)), 0))</f>
        <v/>
      </c>
      <c r="AC771" s="79">
        <f>IF(X771="Sin Pago","",IFERROR(INDEX(Pagos_Odoo!$G:$G, MATCH(X771, Pagos_Odoo!$B:$B, 0)), ""))</f>
        <v/>
      </c>
      <c r="AD771" s="82" t="n">
        <v>0</v>
      </c>
      <c r="AE771" s="82" t="n"/>
      <c r="AF771" s="82" t="n"/>
      <c r="AG771" s="82">
        <f>IF(AN771="","",AD771+AE771+AF771)</f>
        <v/>
      </c>
      <c r="AH771" s="81">
        <f>IF(AN771="","",P771*(1-AG771))</f>
        <v/>
      </c>
      <c r="AI771" s="81">
        <f>IF(AN771="","",IF(Q771="Sin Factura",0,IFERROR(INDEX(Facturas_Odoo!$H:$H, MATCH(Q771, Facturas_Odoo!$B:$B, 0)), 0)*(1-AG771)))</f>
        <v/>
      </c>
      <c r="AJ771" s="81">
        <f>IF(AN771="","",_xlfn.LET(idVenta, AN771&amp;"",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71" s="81">
        <f>IF(AN771="","",AH771-AJ771)</f>
        <v/>
      </c>
      <c r="AL771" s="81">
        <f>IF(AN771="","",IF(Q771="Sin Factura","",AI771-AJ771))</f>
        <v/>
      </c>
      <c r="AM771" s="81">
        <f>IF(AN771="","",IF(Q771="Sin Factura",0,P771-IFERROR(INDEX(Facturas_Odoo!$H:$H, MATCH(Q771, Facturas_Odoo!$B:$B, 0)), 0)))</f>
        <v/>
      </c>
      <c r="AN771" s="79">
        <f>IF(AND(A771="", J771=""), "", IF(A771&lt;&gt;"", VALUE(MID(A771,2,LEN(A771))), AN770))</f>
        <v/>
      </c>
      <c r="AO771" s="79">
        <f>IF(AN771="","",IF(AD771=0,"OK",_xlfn.LET(monedaPago, IF(AA771="","USD",AA771), limitePermitido, IFERROR(VLOOKUP(monedaPago, Configuración!$A$2:$B$3, 2, FALSE), 0.15), IF(AD771&gt;limitePermitido, "ALERTA: EXCESO (" &amp; TEXT(limitePermitido, "0%") &amp; " máx)", "OK"))))</f>
        <v/>
      </c>
      <c r="AP771" s="79">
        <f>IF(AN771="","",IF(AE771=0,"OK",_xlfn.LET(fechaPago, Z771, fechaFactura, R771, diasCredito, IF(E771="Pago inmediato", 0, IFERROR(VALUE(MID(E771, 1, SEARCH(" ", E771)-1)),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71" s="79">
        <f>IF(AN771="","",IF(AND(N771&gt;0, AG771&gt;0), IF(Configuración!$K$2="NO", "ALERTA: DESCUENTO DOBLE NO PERMITIDO", "OK"), "OK"))</f>
        <v/>
      </c>
      <c r="AR771" s="79">
        <f>IF(AN771="","",IF(OR(AO771&lt;&gt;"OK", AP771&lt;&gt;"OK", AQ771&lt;&gt;"OK"), "⚠️ REVISAR", "OK"))</f>
        <v/>
      </c>
    </row>
    <row r="772">
      <c r="A772" s="79">
        <f>IF('Ordenes_Odoo'!A772="","",'Ordenes_Odoo'!A772)</f>
        <v/>
      </c>
      <c r="B772" s="80">
        <f>IF('Ordenes_Odoo'!B772="","",'Ordenes_Odoo'!B772)</f>
        <v/>
      </c>
      <c r="C772" s="79">
        <f>IF('Ordenes_Odoo'!C772="","",'Ordenes_Odoo'!C772)</f>
        <v/>
      </c>
      <c r="D772" s="79">
        <f>IF('Ordenes_Odoo'!D772="","",'Ordenes_Odoo'!D772)</f>
        <v/>
      </c>
      <c r="E772" s="79">
        <f>IF('Ordenes_Odoo'!E772="","",'Ordenes_Odoo'!E772)</f>
        <v/>
      </c>
      <c r="F772" s="79">
        <f>IF('Ordenes_Odoo'!F772="","",'Ordenes_Odoo'!F772)</f>
        <v/>
      </c>
      <c r="G772" s="79">
        <f>IF('Ordenes_Odoo'!G772="","",'Ordenes_Odoo'!G772)</f>
        <v/>
      </c>
      <c r="H772" s="79">
        <f>IF('Ordenes_Odoo'!H772="","",'Ordenes_Odoo'!H772)</f>
        <v/>
      </c>
      <c r="I772" s="79">
        <f>IF('Ordenes_Odoo'!I772="","",'Ordenes_Odoo'!I772)</f>
        <v/>
      </c>
      <c r="J772" s="79">
        <f>IF('Ordenes_Odoo'!J772="","",'Ordenes_Odoo'!J772)</f>
        <v/>
      </c>
      <c r="K772" s="81">
        <f>IF('Ordenes_Odoo'!K772="","",'Ordenes_Odoo'!K772)</f>
        <v/>
      </c>
      <c r="L772" s="81">
        <f>IF('Ordenes_Odoo'!L772="","",'Ordenes_Odoo'!L772)</f>
        <v/>
      </c>
      <c r="M772" s="79">
        <f>IF('Ordenes_Odoo'!M772="","",'Ordenes_Odoo'!M772)</f>
        <v/>
      </c>
      <c r="N772" s="79">
        <f>IF('Ordenes_Odoo'!N772="","",'Ordenes_Odoo'!N772)</f>
        <v/>
      </c>
      <c r="O772" s="81">
        <f>IF('Ordenes_Odoo'!O772="","",'Ordenes_Odoo'!O772)</f>
        <v/>
      </c>
      <c r="P772" s="81">
        <f>IF('Ordenes_Odoo'!P772="","",'Ordenes_Odoo'!P772)</f>
        <v/>
      </c>
      <c r="Q772" s="79">
        <f>IF(A772="","",IFERROR(INDEX(Facturas_Odoo!$B:$B, MATCH(A772, Facturas_Odoo!$D:$D, 0)), "Sin Factura"))</f>
        <v/>
      </c>
      <c r="R772" s="80">
        <f>IF(Q772="Sin Factura","",IFERROR(INDEX(Facturas_Odoo!$A:$A, MATCH(Q772, Facturas_Odoo!$B:$B, 0)), ""))</f>
        <v/>
      </c>
      <c r="S772" s="79">
        <f>IF(Q772="Sin Factura","",IFERROR(_xlfn.XLOOKUP(1, (Facturas_Odoo!$D:$D=A772) * (Facturas_Odoo!$K:$K=I772), Facturas_Odoo!$L:$L, ""), ""))</f>
        <v/>
      </c>
      <c r="T772" s="81">
        <f>IF(Q772="Sin Factura",0,IFERROR(_xlfn.XLOOKUP(1, (Facturas_Odoo!$D:$D=A772) * (Facturas_Odoo!$K:$K=I772), Facturas_Odoo!$M:$M, 0), 0))</f>
        <v/>
      </c>
      <c r="U772" s="79">
        <f>IF(Q772="Sin Factura",0,IFERROR(_xlfn.XLOOKUP(1, (Facturas_Odoo!$D:$D=A772) * (Facturas_Odoo!$K:$K=I772), Facturas_Odoo!$N:$N, 0), 0))</f>
        <v/>
      </c>
      <c r="V772" s="79">
        <f>IF(Q772="Sin Factura",0,IFERROR(_xlfn.XLOOKUP(1, (Facturas_Odoo!$D:$D=A772) * (Facturas_Odoo!$K:$K=I772), Facturas_Odoo!$O:$O, 0), 0))</f>
        <v/>
      </c>
      <c r="W772" s="81">
        <f>IF(Q772="Sin Factura",0,IFERROR(_xlfn.XLOOKUP(1, (Facturas_Odoo!$D:$D=A772) * (Facturas_Odoo!$K:$K=I772), Facturas_Odoo!$Q:$Q, 0), 0))</f>
        <v/>
      </c>
      <c r="X772" s="79">
        <f>IF(OR(Q772="Sin Factura",Q772=""),"",IFERROR(INDEX(Pagos_Odoo!$B:$B, MATCH(Q772, Pagos_Odoo!$I:$I, 0)), "Sin Pago"))</f>
        <v/>
      </c>
      <c r="Y772" s="79">
        <f>IF(X772="Sin Pago","",IFERROR(INDEX(Pagos_Odoo!$C:$C, MATCH(X772, Pagos_Odoo!$B:$B, 0)), ""))</f>
        <v/>
      </c>
      <c r="Z772" s="80">
        <f>IF(X772="Sin Pago","",IFERROR(INDEX(Pagos_Odoo!$A:$A, MATCH(X772, Pagos_Odoo!$B:$B, 0)), ""))</f>
        <v/>
      </c>
      <c r="AA772" s="79">
        <f>IF(X772="Sin Pago","",IFERROR(INDEX(Pagos_Odoo!$F:$F, MATCH(X772, Pagos_Odoo!$B:$B, 0)), ""))</f>
        <v/>
      </c>
      <c r="AB772" s="81">
        <f>IF(X772="Sin Pago",0,IFERROR(INDEX(Pagos_Odoo!$E:$E, MATCH(X772, Pagos_Odoo!$B:$B, 0)), 0))</f>
        <v/>
      </c>
      <c r="AC772" s="79">
        <f>IF(X772="Sin Pago","",IFERROR(INDEX(Pagos_Odoo!$G:$G, MATCH(X772, Pagos_Odoo!$B:$B, 0)), ""))</f>
        <v/>
      </c>
      <c r="AD772" s="82" t="n">
        <v>0</v>
      </c>
      <c r="AE772" s="82" t="n"/>
      <c r="AF772" s="82" t="n"/>
      <c r="AG772" s="82">
        <f>IF(AN772="","",AD772+AE772+AF772)</f>
        <v/>
      </c>
      <c r="AH772" s="81">
        <f>IF(AN772="","",P772*(1-AG772))</f>
        <v/>
      </c>
      <c r="AI772" s="81">
        <f>IF(AN772="","",IF(Q772="Sin Factura",0,IFERROR(INDEX(Facturas_Odoo!$H:$H, MATCH(Q772, Facturas_Odoo!$B:$B, 0)), 0)*(1-AG772)))</f>
        <v/>
      </c>
      <c r="AJ772" s="81">
        <f>IF(AN772="","",_xlfn.LET(idVenta, AN772&amp;"",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72" s="81">
        <f>IF(AN772="","",AH772-AJ772)</f>
        <v/>
      </c>
      <c r="AL772" s="81">
        <f>IF(AN772="","",IF(Q772="Sin Factura","",AI772-AJ772))</f>
        <v/>
      </c>
      <c r="AM772" s="81">
        <f>IF(AN772="","",IF(Q772="Sin Factura",0,P772-IFERROR(INDEX(Facturas_Odoo!$H:$H, MATCH(Q772, Facturas_Odoo!$B:$B, 0)), 0)))</f>
        <v/>
      </c>
      <c r="AN772" s="79">
        <f>IF(AND(A772="", J772=""), "", IF(A772&lt;&gt;"", VALUE(MID(A772,2,LEN(A772))), AN771))</f>
        <v/>
      </c>
      <c r="AO772" s="79">
        <f>IF(AN772="","",IF(AD772=0,"OK",_xlfn.LET(monedaPago, IF(AA772="","USD",AA772), limitePermitido, IFERROR(VLOOKUP(monedaPago, Configuración!$A$2:$B$3, 2, FALSE), 0.15), IF(AD772&gt;limitePermitido, "ALERTA: EXCESO (" &amp; TEXT(limitePermitido, "0%") &amp; " máx)", "OK"))))</f>
        <v/>
      </c>
      <c r="AP772" s="79">
        <f>IF(AN772="","",IF(AE772=0,"OK",_xlfn.LET(fechaPago, Z772, fechaFactura, R772, diasCredito, IF(E772="Pago inmediato", 0, IFERROR(VALUE(MID(E772, 1, SEARCH(" ", E772)-1)),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72" s="79">
        <f>IF(AN772="","",IF(AND(N772&gt;0, AG772&gt;0), IF(Configuración!$K$2="NO", "ALERTA: DESCUENTO DOBLE NO PERMITIDO", "OK"), "OK"))</f>
        <v/>
      </c>
      <c r="AR772" s="79">
        <f>IF(AN772="","",IF(OR(AO772&lt;&gt;"OK", AP772&lt;&gt;"OK", AQ772&lt;&gt;"OK"), "⚠️ REVISAR", "OK"))</f>
        <v/>
      </c>
    </row>
    <row r="773">
      <c r="A773" s="79">
        <f>IF('Ordenes_Odoo'!A773="","",'Ordenes_Odoo'!A773)</f>
        <v/>
      </c>
      <c r="B773" s="80">
        <f>IF('Ordenes_Odoo'!B773="","",'Ordenes_Odoo'!B773)</f>
        <v/>
      </c>
      <c r="C773" s="79">
        <f>IF('Ordenes_Odoo'!C773="","",'Ordenes_Odoo'!C773)</f>
        <v/>
      </c>
      <c r="D773" s="79">
        <f>IF('Ordenes_Odoo'!D773="","",'Ordenes_Odoo'!D773)</f>
        <v/>
      </c>
      <c r="E773" s="79">
        <f>IF('Ordenes_Odoo'!E773="","",'Ordenes_Odoo'!E773)</f>
        <v/>
      </c>
      <c r="F773" s="79">
        <f>IF('Ordenes_Odoo'!F773="","",'Ordenes_Odoo'!F773)</f>
        <v/>
      </c>
      <c r="G773" s="79">
        <f>IF('Ordenes_Odoo'!G773="","",'Ordenes_Odoo'!G773)</f>
        <v/>
      </c>
      <c r="H773" s="79">
        <f>IF('Ordenes_Odoo'!H773="","",'Ordenes_Odoo'!H773)</f>
        <v/>
      </c>
      <c r="I773" s="79">
        <f>IF('Ordenes_Odoo'!I773="","",'Ordenes_Odoo'!I773)</f>
        <v/>
      </c>
      <c r="J773" s="79">
        <f>IF('Ordenes_Odoo'!J773="","",'Ordenes_Odoo'!J773)</f>
        <v/>
      </c>
      <c r="K773" s="81">
        <f>IF('Ordenes_Odoo'!K773="","",'Ordenes_Odoo'!K773)</f>
        <v/>
      </c>
      <c r="L773" s="81">
        <f>IF('Ordenes_Odoo'!L773="","",'Ordenes_Odoo'!L773)</f>
        <v/>
      </c>
      <c r="M773" s="79">
        <f>IF('Ordenes_Odoo'!M773="","",'Ordenes_Odoo'!M773)</f>
        <v/>
      </c>
      <c r="N773" s="79">
        <f>IF('Ordenes_Odoo'!N773="","",'Ordenes_Odoo'!N773)</f>
        <v/>
      </c>
      <c r="O773" s="81">
        <f>IF('Ordenes_Odoo'!O773="","",'Ordenes_Odoo'!O773)</f>
        <v/>
      </c>
      <c r="P773" s="81">
        <f>IF('Ordenes_Odoo'!P773="","",'Ordenes_Odoo'!P773)</f>
        <v/>
      </c>
      <c r="Q773" s="79">
        <f>IF(A773="","",IFERROR(INDEX(Facturas_Odoo!$B:$B, MATCH(A773, Facturas_Odoo!$D:$D, 0)), "Sin Factura"))</f>
        <v/>
      </c>
      <c r="R773" s="80">
        <f>IF(Q773="Sin Factura","",IFERROR(INDEX(Facturas_Odoo!$A:$A, MATCH(Q773, Facturas_Odoo!$B:$B, 0)), ""))</f>
        <v/>
      </c>
      <c r="S773" s="79">
        <f>IF(Q773="Sin Factura","",IFERROR(_xlfn.XLOOKUP(1, (Facturas_Odoo!$D:$D=A773) * (Facturas_Odoo!$K:$K=I773), Facturas_Odoo!$L:$L, ""), ""))</f>
        <v/>
      </c>
      <c r="T773" s="81">
        <f>IF(Q773="Sin Factura",0,IFERROR(_xlfn.XLOOKUP(1, (Facturas_Odoo!$D:$D=A773) * (Facturas_Odoo!$K:$K=I773), Facturas_Odoo!$M:$M, 0), 0))</f>
        <v/>
      </c>
      <c r="U773" s="79">
        <f>IF(Q773="Sin Factura",0,IFERROR(_xlfn.XLOOKUP(1, (Facturas_Odoo!$D:$D=A773) * (Facturas_Odoo!$K:$K=I773), Facturas_Odoo!$N:$N, 0), 0))</f>
        <v/>
      </c>
      <c r="V773" s="79">
        <f>IF(Q773="Sin Factura",0,IFERROR(_xlfn.XLOOKUP(1, (Facturas_Odoo!$D:$D=A773) * (Facturas_Odoo!$K:$K=I773), Facturas_Odoo!$O:$O, 0), 0))</f>
        <v/>
      </c>
      <c r="W773" s="81">
        <f>IF(Q773="Sin Factura",0,IFERROR(_xlfn.XLOOKUP(1, (Facturas_Odoo!$D:$D=A773) * (Facturas_Odoo!$K:$K=I773), Facturas_Odoo!$Q:$Q, 0), 0))</f>
        <v/>
      </c>
      <c r="X773" s="79">
        <f>IF(OR(Q773="Sin Factura",Q773=""),"",IFERROR(INDEX(Pagos_Odoo!$B:$B, MATCH(Q773, Pagos_Odoo!$I:$I, 0)), "Sin Pago"))</f>
        <v/>
      </c>
      <c r="Y773" s="79">
        <f>IF(X773="Sin Pago","",IFERROR(INDEX(Pagos_Odoo!$C:$C, MATCH(X773, Pagos_Odoo!$B:$B, 0)), ""))</f>
        <v/>
      </c>
      <c r="Z773" s="80">
        <f>IF(X773="Sin Pago","",IFERROR(INDEX(Pagos_Odoo!$A:$A, MATCH(X773, Pagos_Odoo!$B:$B, 0)), ""))</f>
        <v/>
      </c>
      <c r="AA773" s="79">
        <f>IF(X773="Sin Pago","",IFERROR(INDEX(Pagos_Odoo!$F:$F, MATCH(X773, Pagos_Odoo!$B:$B, 0)), ""))</f>
        <v/>
      </c>
      <c r="AB773" s="81">
        <f>IF(X773="Sin Pago",0,IFERROR(INDEX(Pagos_Odoo!$E:$E, MATCH(X773, Pagos_Odoo!$B:$B, 0)), 0))</f>
        <v/>
      </c>
      <c r="AC773" s="79">
        <f>IF(X773="Sin Pago","",IFERROR(INDEX(Pagos_Odoo!$G:$G, MATCH(X773, Pagos_Odoo!$B:$B, 0)), ""))</f>
        <v/>
      </c>
      <c r="AD773" s="82" t="n">
        <v>0</v>
      </c>
      <c r="AE773" s="82" t="n"/>
      <c r="AF773" s="82" t="n"/>
      <c r="AG773" s="82">
        <f>IF(AN773="","",AD773+AE773+AF773)</f>
        <v/>
      </c>
      <c r="AH773" s="81">
        <f>IF(AN773="","",P773*(1-AG773))</f>
        <v/>
      </c>
      <c r="AI773" s="81">
        <f>IF(AN773="","",IF(Q773="Sin Factura",0,IFERROR(INDEX(Facturas_Odoo!$H:$H, MATCH(Q773, Facturas_Odoo!$B:$B, 0)), 0)*(1-AG773)))</f>
        <v/>
      </c>
      <c r="AJ773" s="81">
        <f>IF(AN773="","",_xlfn.LET(idVenta, AN773&amp;"",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73" s="81">
        <f>IF(AN773="","",AH773-AJ773)</f>
        <v/>
      </c>
      <c r="AL773" s="81">
        <f>IF(AN773="","",IF(Q773="Sin Factura","",AI773-AJ773))</f>
        <v/>
      </c>
      <c r="AM773" s="81">
        <f>IF(AN773="","",IF(Q773="Sin Factura",0,P773-IFERROR(INDEX(Facturas_Odoo!$H:$H, MATCH(Q773, Facturas_Odoo!$B:$B, 0)), 0)))</f>
        <v/>
      </c>
      <c r="AN773" s="79">
        <f>IF(AND(A773="", J773=""), "", IF(A773&lt;&gt;"", VALUE(MID(A773,2,LEN(A773))), AN772))</f>
        <v/>
      </c>
      <c r="AO773" s="79">
        <f>IF(AN773="","",IF(AD773=0,"OK",_xlfn.LET(monedaPago, IF(AA773="","USD",AA773), limitePermitido, IFERROR(VLOOKUP(monedaPago, Configuración!$A$2:$B$3, 2, FALSE), 0.15), IF(AD773&gt;limitePermitido, "ALERTA: EXCESO (" &amp; TEXT(limitePermitido, "0%") &amp; " máx)", "OK"))))</f>
        <v/>
      </c>
      <c r="AP773" s="79">
        <f>IF(AN773="","",IF(AE773=0,"OK",_xlfn.LET(fechaPago, Z773, fechaFactura, R773, diasCredito, IF(E773="Pago inmediato", 0, IFERROR(VALUE(MID(E773, 1, SEARCH(" ", E773)-1)),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73" s="79">
        <f>IF(AN773="","",IF(AND(N773&gt;0, AG773&gt;0), IF(Configuración!$K$2="NO", "ALERTA: DESCUENTO DOBLE NO PERMITIDO", "OK"), "OK"))</f>
        <v/>
      </c>
      <c r="AR773" s="79">
        <f>IF(AN773="","",IF(OR(AO773&lt;&gt;"OK", AP773&lt;&gt;"OK", AQ773&lt;&gt;"OK"), "⚠️ REVISAR", "OK"))</f>
        <v/>
      </c>
    </row>
    <row r="774">
      <c r="A774" s="79">
        <f>IF('Ordenes_Odoo'!A774="","",'Ordenes_Odoo'!A774)</f>
        <v/>
      </c>
      <c r="B774" s="80">
        <f>IF('Ordenes_Odoo'!B774="","",'Ordenes_Odoo'!B774)</f>
        <v/>
      </c>
      <c r="C774" s="79">
        <f>IF('Ordenes_Odoo'!C774="","",'Ordenes_Odoo'!C774)</f>
        <v/>
      </c>
      <c r="D774" s="79">
        <f>IF('Ordenes_Odoo'!D774="","",'Ordenes_Odoo'!D774)</f>
        <v/>
      </c>
      <c r="E774" s="79">
        <f>IF('Ordenes_Odoo'!E774="","",'Ordenes_Odoo'!E774)</f>
        <v/>
      </c>
      <c r="F774" s="79">
        <f>IF('Ordenes_Odoo'!F774="","",'Ordenes_Odoo'!F774)</f>
        <v/>
      </c>
      <c r="G774" s="79">
        <f>IF('Ordenes_Odoo'!G774="","",'Ordenes_Odoo'!G774)</f>
        <v/>
      </c>
      <c r="H774" s="79">
        <f>IF('Ordenes_Odoo'!H774="","",'Ordenes_Odoo'!H774)</f>
        <v/>
      </c>
      <c r="I774" s="79">
        <f>IF('Ordenes_Odoo'!I774="","",'Ordenes_Odoo'!I774)</f>
        <v/>
      </c>
      <c r="J774" s="79">
        <f>IF('Ordenes_Odoo'!J774="","",'Ordenes_Odoo'!J774)</f>
        <v/>
      </c>
      <c r="K774" s="81">
        <f>IF('Ordenes_Odoo'!K774="","",'Ordenes_Odoo'!K774)</f>
        <v/>
      </c>
      <c r="L774" s="81">
        <f>IF('Ordenes_Odoo'!L774="","",'Ordenes_Odoo'!L774)</f>
        <v/>
      </c>
      <c r="M774" s="79">
        <f>IF('Ordenes_Odoo'!M774="","",'Ordenes_Odoo'!M774)</f>
        <v/>
      </c>
      <c r="N774" s="79">
        <f>IF('Ordenes_Odoo'!N774="","",'Ordenes_Odoo'!N774)</f>
        <v/>
      </c>
      <c r="O774" s="81">
        <f>IF('Ordenes_Odoo'!O774="","",'Ordenes_Odoo'!O774)</f>
        <v/>
      </c>
      <c r="P774" s="81">
        <f>IF('Ordenes_Odoo'!P774="","",'Ordenes_Odoo'!P774)</f>
        <v/>
      </c>
      <c r="Q774" s="79">
        <f>IF(A774="","",IFERROR(INDEX(Facturas_Odoo!$B:$B, MATCH(A774, Facturas_Odoo!$D:$D, 0)), "Sin Factura"))</f>
        <v/>
      </c>
      <c r="R774" s="80">
        <f>IF(Q774="Sin Factura","",IFERROR(INDEX(Facturas_Odoo!$A:$A, MATCH(Q774, Facturas_Odoo!$B:$B, 0)), ""))</f>
        <v/>
      </c>
      <c r="S774" s="79">
        <f>IF(Q774="Sin Factura","",IFERROR(_xlfn.XLOOKUP(1, (Facturas_Odoo!$D:$D=A774) * (Facturas_Odoo!$K:$K=I774), Facturas_Odoo!$L:$L, ""), ""))</f>
        <v/>
      </c>
      <c r="T774" s="81">
        <f>IF(Q774="Sin Factura",0,IFERROR(_xlfn.XLOOKUP(1, (Facturas_Odoo!$D:$D=A774) * (Facturas_Odoo!$K:$K=I774), Facturas_Odoo!$M:$M, 0), 0))</f>
        <v/>
      </c>
      <c r="U774" s="79">
        <f>IF(Q774="Sin Factura",0,IFERROR(_xlfn.XLOOKUP(1, (Facturas_Odoo!$D:$D=A774) * (Facturas_Odoo!$K:$K=I774), Facturas_Odoo!$N:$N, 0), 0))</f>
        <v/>
      </c>
      <c r="V774" s="79">
        <f>IF(Q774="Sin Factura",0,IFERROR(_xlfn.XLOOKUP(1, (Facturas_Odoo!$D:$D=A774) * (Facturas_Odoo!$K:$K=I774), Facturas_Odoo!$O:$O, 0), 0))</f>
        <v/>
      </c>
      <c r="W774" s="81">
        <f>IF(Q774="Sin Factura",0,IFERROR(_xlfn.XLOOKUP(1, (Facturas_Odoo!$D:$D=A774) * (Facturas_Odoo!$K:$K=I774), Facturas_Odoo!$Q:$Q, 0), 0))</f>
        <v/>
      </c>
      <c r="X774" s="79">
        <f>IF(OR(Q774="Sin Factura",Q774=""),"",IFERROR(INDEX(Pagos_Odoo!$B:$B, MATCH(Q774, Pagos_Odoo!$I:$I, 0)), "Sin Pago"))</f>
        <v/>
      </c>
      <c r="Y774" s="79">
        <f>IF(X774="Sin Pago","",IFERROR(INDEX(Pagos_Odoo!$C:$C, MATCH(X774, Pagos_Odoo!$B:$B, 0)), ""))</f>
        <v/>
      </c>
      <c r="Z774" s="80">
        <f>IF(X774="Sin Pago","",IFERROR(INDEX(Pagos_Odoo!$A:$A, MATCH(X774, Pagos_Odoo!$B:$B, 0)), ""))</f>
        <v/>
      </c>
      <c r="AA774" s="79">
        <f>IF(X774="Sin Pago","",IFERROR(INDEX(Pagos_Odoo!$F:$F, MATCH(X774, Pagos_Odoo!$B:$B, 0)), ""))</f>
        <v/>
      </c>
      <c r="AB774" s="81">
        <f>IF(X774="Sin Pago",0,IFERROR(INDEX(Pagos_Odoo!$E:$E, MATCH(X774, Pagos_Odoo!$B:$B, 0)), 0))</f>
        <v/>
      </c>
      <c r="AC774" s="79">
        <f>IF(X774="Sin Pago","",IFERROR(INDEX(Pagos_Odoo!$G:$G, MATCH(X774, Pagos_Odoo!$B:$B, 0)), ""))</f>
        <v/>
      </c>
      <c r="AD774" s="82" t="n">
        <v>0</v>
      </c>
      <c r="AE774" s="82" t="n"/>
      <c r="AF774" s="82" t="n"/>
      <c r="AG774" s="82">
        <f>IF(AN774="","",AD774+AE774+AF774)</f>
        <v/>
      </c>
      <c r="AH774" s="81">
        <f>IF(AN774="","",P774*(1-AG774))</f>
        <v/>
      </c>
      <c r="AI774" s="81">
        <f>IF(AN774="","",IF(Q774="Sin Factura",0,IFERROR(INDEX(Facturas_Odoo!$H:$H, MATCH(Q774, Facturas_Odoo!$B:$B, 0)), 0)*(1-AG774)))</f>
        <v/>
      </c>
      <c r="AJ774" s="81">
        <f>IF(AN774="","",_xlfn.LET(idVenta, AN774&amp;"",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74" s="81">
        <f>IF(AN774="","",AH774-AJ774)</f>
        <v/>
      </c>
      <c r="AL774" s="81">
        <f>IF(AN774="","",IF(Q774="Sin Factura","",AI774-AJ774))</f>
        <v/>
      </c>
      <c r="AM774" s="81">
        <f>IF(AN774="","",IF(Q774="Sin Factura",0,P774-IFERROR(INDEX(Facturas_Odoo!$H:$H, MATCH(Q774, Facturas_Odoo!$B:$B, 0)), 0)))</f>
        <v/>
      </c>
      <c r="AN774" s="79">
        <f>IF(AND(A774="", J774=""), "", IF(A774&lt;&gt;"", VALUE(MID(A774,2,LEN(A774))), AN773))</f>
        <v/>
      </c>
      <c r="AO774" s="79">
        <f>IF(AN774="","",IF(AD774=0,"OK",_xlfn.LET(monedaPago, IF(AA774="","USD",AA774), limitePermitido, IFERROR(VLOOKUP(monedaPago, Configuración!$A$2:$B$3, 2, FALSE), 0.15), IF(AD774&gt;limitePermitido, "ALERTA: EXCESO (" &amp; TEXT(limitePermitido, "0%") &amp; " máx)", "OK"))))</f>
        <v/>
      </c>
      <c r="AP774" s="79">
        <f>IF(AN774="","",IF(AE774=0,"OK",_xlfn.LET(fechaPago, Z774, fechaFactura, R774, diasCredito, IF(E774="Pago inmediato", 0, IFERROR(VALUE(MID(E774, 1, SEARCH(" ", E774)-1)),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74" s="79">
        <f>IF(AN774="","",IF(AND(N774&gt;0, AG774&gt;0), IF(Configuración!$K$2="NO", "ALERTA: DESCUENTO DOBLE NO PERMITIDO", "OK"), "OK"))</f>
        <v/>
      </c>
      <c r="AR774" s="79">
        <f>IF(AN774="","",IF(OR(AO774&lt;&gt;"OK", AP774&lt;&gt;"OK", AQ774&lt;&gt;"OK"), "⚠️ REVISAR", "OK"))</f>
        <v/>
      </c>
    </row>
    <row r="775">
      <c r="A775" s="79">
        <f>IF('Ordenes_Odoo'!A775="","",'Ordenes_Odoo'!A775)</f>
        <v/>
      </c>
      <c r="B775" s="80">
        <f>IF('Ordenes_Odoo'!B775="","",'Ordenes_Odoo'!B775)</f>
        <v/>
      </c>
      <c r="C775" s="79">
        <f>IF('Ordenes_Odoo'!C775="","",'Ordenes_Odoo'!C775)</f>
        <v/>
      </c>
      <c r="D775" s="79">
        <f>IF('Ordenes_Odoo'!D775="","",'Ordenes_Odoo'!D775)</f>
        <v/>
      </c>
      <c r="E775" s="79">
        <f>IF('Ordenes_Odoo'!E775="","",'Ordenes_Odoo'!E775)</f>
        <v/>
      </c>
      <c r="F775" s="79">
        <f>IF('Ordenes_Odoo'!F775="","",'Ordenes_Odoo'!F775)</f>
        <v/>
      </c>
      <c r="G775" s="79">
        <f>IF('Ordenes_Odoo'!G775="","",'Ordenes_Odoo'!G775)</f>
        <v/>
      </c>
      <c r="H775" s="79">
        <f>IF('Ordenes_Odoo'!H775="","",'Ordenes_Odoo'!H775)</f>
        <v/>
      </c>
      <c r="I775" s="79">
        <f>IF('Ordenes_Odoo'!I775="","",'Ordenes_Odoo'!I775)</f>
        <v/>
      </c>
      <c r="J775" s="79">
        <f>IF('Ordenes_Odoo'!J775="","",'Ordenes_Odoo'!J775)</f>
        <v/>
      </c>
      <c r="K775" s="81">
        <f>IF('Ordenes_Odoo'!K775="","",'Ordenes_Odoo'!K775)</f>
        <v/>
      </c>
      <c r="L775" s="81">
        <f>IF('Ordenes_Odoo'!L775="","",'Ordenes_Odoo'!L775)</f>
        <v/>
      </c>
      <c r="M775" s="79">
        <f>IF('Ordenes_Odoo'!M775="","",'Ordenes_Odoo'!M775)</f>
        <v/>
      </c>
      <c r="N775" s="79">
        <f>IF('Ordenes_Odoo'!N775="","",'Ordenes_Odoo'!N775)</f>
        <v/>
      </c>
      <c r="O775" s="81">
        <f>IF('Ordenes_Odoo'!O775="","",'Ordenes_Odoo'!O775)</f>
        <v/>
      </c>
      <c r="P775" s="81">
        <f>IF('Ordenes_Odoo'!P775="","",'Ordenes_Odoo'!P775)</f>
        <v/>
      </c>
      <c r="Q775" s="79">
        <f>IF(A775="","",IFERROR(INDEX(Facturas_Odoo!$B:$B, MATCH(A775, Facturas_Odoo!$D:$D, 0)), "Sin Factura"))</f>
        <v/>
      </c>
      <c r="R775" s="80">
        <f>IF(Q775="Sin Factura","",IFERROR(INDEX(Facturas_Odoo!$A:$A, MATCH(Q775, Facturas_Odoo!$B:$B, 0)), ""))</f>
        <v/>
      </c>
      <c r="S775" s="79">
        <f>IF(Q775="Sin Factura","",IFERROR(_xlfn.XLOOKUP(1, (Facturas_Odoo!$D:$D=A775) * (Facturas_Odoo!$K:$K=I775), Facturas_Odoo!$L:$L, ""), ""))</f>
        <v/>
      </c>
      <c r="T775" s="81">
        <f>IF(Q775="Sin Factura",0,IFERROR(_xlfn.XLOOKUP(1, (Facturas_Odoo!$D:$D=A775) * (Facturas_Odoo!$K:$K=I775), Facturas_Odoo!$M:$M, 0), 0))</f>
        <v/>
      </c>
      <c r="U775" s="79">
        <f>IF(Q775="Sin Factura",0,IFERROR(_xlfn.XLOOKUP(1, (Facturas_Odoo!$D:$D=A775) * (Facturas_Odoo!$K:$K=I775), Facturas_Odoo!$N:$N, 0), 0))</f>
        <v/>
      </c>
      <c r="V775" s="79">
        <f>IF(Q775="Sin Factura",0,IFERROR(_xlfn.XLOOKUP(1, (Facturas_Odoo!$D:$D=A775) * (Facturas_Odoo!$K:$K=I775), Facturas_Odoo!$O:$O, 0), 0))</f>
        <v/>
      </c>
      <c r="W775" s="81">
        <f>IF(Q775="Sin Factura",0,IFERROR(_xlfn.XLOOKUP(1, (Facturas_Odoo!$D:$D=A775) * (Facturas_Odoo!$K:$K=I775), Facturas_Odoo!$Q:$Q, 0), 0))</f>
        <v/>
      </c>
      <c r="X775" s="79">
        <f>IF(OR(Q775="Sin Factura",Q775=""),"",IFERROR(INDEX(Pagos_Odoo!$B:$B, MATCH(Q775, Pagos_Odoo!$I:$I, 0)), "Sin Pago"))</f>
        <v/>
      </c>
      <c r="Y775" s="79">
        <f>IF(X775="Sin Pago","",IFERROR(INDEX(Pagos_Odoo!$C:$C, MATCH(X775, Pagos_Odoo!$B:$B, 0)), ""))</f>
        <v/>
      </c>
      <c r="Z775" s="80">
        <f>IF(X775="Sin Pago","",IFERROR(INDEX(Pagos_Odoo!$A:$A, MATCH(X775, Pagos_Odoo!$B:$B, 0)), ""))</f>
        <v/>
      </c>
      <c r="AA775" s="79">
        <f>IF(X775="Sin Pago","",IFERROR(INDEX(Pagos_Odoo!$F:$F, MATCH(X775, Pagos_Odoo!$B:$B, 0)), ""))</f>
        <v/>
      </c>
      <c r="AB775" s="81">
        <f>IF(X775="Sin Pago",0,IFERROR(INDEX(Pagos_Odoo!$E:$E, MATCH(X775, Pagos_Odoo!$B:$B, 0)), 0))</f>
        <v/>
      </c>
      <c r="AC775" s="79">
        <f>IF(X775="Sin Pago","",IFERROR(INDEX(Pagos_Odoo!$G:$G, MATCH(X775, Pagos_Odoo!$B:$B, 0)), ""))</f>
        <v/>
      </c>
      <c r="AD775" s="82" t="n">
        <v>0</v>
      </c>
      <c r="AE775" s="82" t="n"/>
      <c r="AF775" s="82" t="n"/>
      <c r="AG775" s="82">
        <f>IF(AN775="","",AD775+AE775+AF775)</f>
        <v/>
      </c>
      <c r="AH775" s="81">
        <f>IF(AN775="","",P775*(1-AG775))</f>
        <v/>
      </c>
      <c r="AI775" s="81">
        <f>IF(AN775="","",IF(Q775="Sin Factura",0,IFERROR(INDEX(Facturas_Odoo!$H:$H, MATCH(Q775, Facturas_Odoo!$B:$B, 0)), 0)*(1-AG775)))</f>
        <v/>
      </c>
      <c r="AJ775" s="81">
        <f>IF(AN775="","",_xlfn.LET(idVenta, AN775&amp;"",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75" s="81">
        <f>IF(AN775="","",AH775-AJ775)</f>
        <v/>
      </c>
      <c r="AL775" s="81">
        <f>IF(AN775="","",IF(Q775="Sin Factura","",AI775-AJ775))</f>
        <v/>
      </c>
      <c r="AM775" s="81">
        <f>IF(AN775="","",IF(Q775="Sin Factura",0,P775-IFERROR(INDEX(Facturas_Odoo!$H:$H, MATCH(Q775, Facturas_Odoo!$B:$B, 0)), 0)))</f>
        <v/>
      </c>
      <c r="AN775" s="79">
        <f>IF(AND(A775="", J775=""), "", IF(A775&lt;&gt;"", VALUE(MID(A775,2,LEN(A775))), AN774))</f>
        <v/>
      </c>
      <c r="AO775" s="79">
        <f>IF(AN775="","",IF(AD775=0,"OK",_xlfn.LET(monedaPago, IF(AA775="","USD",AA775), limitePermitido, IFERROR(VLOOKUP(monedaPago, Configuración!$A$2:$B$3, 2, FALSE), 0.15), IF(AD775&gt;limitePermitido, "ALERTA: EXCESO (" &amp; TEXT(limitePermitido, "0%") &amp; " máx)", "OK"))))</f>
        <v/>
      </c>
      <c r="AP775" s="79">
        <f>IF(AN775="","",IF(AE775=0,"OK",_xlfn.LET(fechaPago, Z775, fechaFactura, R775, diasCredito, IF(E775="Pago inmediato", 0, IFERROR(VALUE(MID(E775, 1, SEARCH(" ", E775)-1)),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75" s="79">
        <f>IF(AN775="","",IF(AND(N775&gt;0, AG775&gt;0), IF(Configuración!$K$2="NO", "ALERTA: DESCUENTO DOBLE NO PERMITIDO", "OK"), "OK"))</f>
        <v/>
      </c>
      <c r="AR775" s="79">
        <f>IF(AN775="","",IF(OR(AO775&lt;&gt;"OK", AP775&lt;&gt;"OK", AQ775&lt;&gt;"OK"), "⚠️ REVISAR", "OK"))</f>
        <v/>
      </c>
    </row>
    <row r="776">
      <c r="A776" s="79">
        <f>IF('Ordenes_Odoo'!A776="","",'Ordenes_Odoo'!A776)</f>
        <v/>
      </c>
      <c r="B776" s="80">
        <f>IF('Ordenes_Odoo'!B776="","",'Ordenes_Odoo'!B776)</f>
        <v/>
      </c>
      <c r="C776" s="79">
        <f>IF('Ordenes_Odoo'!C776="","",'Ordenes_Odoo'!C776)</f>
        <v/>
      </c>
      <c r="D776" s="79">
        <f>IF('Ordenes_Odoo'!D776="","",'Ordenes_Odoo'!D776)</f>
        <v/>
      </c>
      <c r="E776" s="79">
        <f>IF('Ordenes_Odoo'!E776="","",'Ordenes_Odoo'!E776)</f>
        <v/>
      </c>
      <c r="F776" s="79">
        <f>IF('Ordenes_Odoo'!F776="","",'Ordenes_Odoo'!F776)</f>
        <v/>
      </c>
      <c r="G776" s="79">
        <f>IF('Ordenes_Odoo'!G776="","",'Ordenes_Odoo'!G776)</f>
        <v/>
      </c>
      <c r="H776" s="79">
        <f>IF('Ordenes_Odoo'!H776="","",'Ordenes_Odoo'!H776)</f>
        <v/>
      </c>
      <c r="I776" s="79">
        <f>IF('Ordenes_Odoo'!I776="","",'Ordenes_Odoo'!I776)</f>
        <v/>
      </c>
      <c r="J776" s="79">
        <f>IF('Ordenes_Odoo'!J776="","",'Ordenes_Odoo'!J776)</f>
        <v/>
      </c>
      <c r="K776" s="81">
        <f>IF('Ordenes_Odoo'!K776="","",'Ordenes_Odoo'!K776)</f>
        <v/>
      </c>
      <c r="L776" s="81">
        <f>IF('Ordenes_Odoo'!L776="","",'Ordenes_Odoo'!L776)</f>
        <v/>
      </c>
      <c r="M776" s="79">
        <f>IF('Ordenes_Odoo'!M776="","",'Ordenes_Odoo'!M776)</f>
        <v/>
      </c>
      <c r="N776" s="79">
        <f>IF('Ordenes_Odoo'!N776="","",'Ordenes_Odoo'!N776)</f>
        <v/>
      </c>
      <c r="O776" s="81">
        <f>IF('Ordenes_Odoo'!O776="","",'Ordenes_Odoo'!O776)</f>
        <v/>
      </c>
      <c r="P776" s="81">
        <f>IF('Ordenes_Odoo'!P776="","",'Ordenes_Odoo'!P776)</f>
        <v/>
      </c>
      <c r="Q776" s="79">
        <f>IF(A776="","",IFERROR(INDEX(Facturas_Odoo!$B:$B, MATCH(A776, Facturas_Odoo!$D:$D, 0)), "Sin Factura"))</f>
        <v/>
      </c>
      <c r="R776" s="80">
        <f>IF(Q776="Sin Factura","",IFERROR(INDEX(Facturas_Odoo!$A:$A, MATCH(Q776, Facturas_Odoo!$B:$B, 0)), ""))</f>
        <v/>
      </c>
      <c r="S776" s="79">
        <f>IF(Q776="Sin Factura","",IFERROR(_xlfn.XLOOKUP(1, (Facturas_Odoo!$D:$D=A776) * (Facturas_Odoo!$K:$K=I776), Facturas_Odoo!$L:$L, ""), ""))</f>
        <v/>
      </c>
      <c r="T776" s="81">
        <f>IF(Q776="Sin Factura",0,IFERROR(_xlfn.XLOOKUP(1, (Facturas_Odoo!$D:$D=A776) * (Facturas_Odoo!$K:$K=I776), Facturas_Odoo!$M:$M, 0), 0))</f>
        <v/>
      </c>
      <c r="U776" s="79">
        <f>IF(Q776="Sin Factura",0,IFERROR(_xlfn.XLOOKUP(1, (Facturas_Odoo!$D:$D=A776) * (Facturas_Odoo!$K:$K=I776), Facturas_Odoo!$N:$N, 0), 0))</f>
        <v/>
      </c>
      <c r="V776" s="79">
        <f>IF(Q776="Sin Factura",0,IFERROR(_xlfn.XLOOKUP(1, (Facturas_Odoo!$D:$D=A776) * (Facturas_Odoo!$K:$K=I776), Facturas_Odoo!$O:$O, 0), 0))</f>
        <v/>
      </c>
      <c r="W776" s="81">
        <f>IF(Q776="Sin Factura",0,IFERROR(_xlfn.XLOOKUP(1, (Facturas_Odoo!$D:$D=A776) * (Facturas_Odoo!$K:$K=I776), Facturas_Odoo!$Q:$Q, 0), 0))</f>
        <v/>
      </c>
      <c r="X776" s="79">
        <f>IF(OR(Q776="Sin Factura",Q776=""),"",IFERROR(INDEX(Pagos_Odoo!$B:$B, MATCH(Q776, Pagos_Odoo!$I:$I, 0)), "Sin Pago"))</f>
        <v/>
      </c>
      <c r="Y776" s="79">
        <f>IF(X776="Sin Pago","",IFERROR(INDEX(Pagos_Odoo!$C:$C, MATCH(X776, Pagos_Odoo!$B:$B, 0)), ""))</f>
        <v/>
      </c>
      <c r="Z776" s="80">
        <f>IF(X776="Sin Pago","",IFERROR(INDEX(Pagos_Odoo!$A:$A, MATCH(X776, Pagos_Odoo!$B:$B, 0)), ""))</f>
        <v/>
      </c>
      <c r="AA776" s="79">
        <f>IF(X776="Sin Pago","",IFERROR(INDEX(Pagos_Odoo!$F:$F, MATCH(X776, Pagos_Odoo!$B:$B, 0)), ""))</f>
        <v/>
      </c>
      <c r="AB776" s="81">
        <f>IF(X776="Sin Pago",0,IFERROR(INDEX(Pagos_Odoo!$E:$E, MATCH(X776, Pagos_Odoo!$B:$B, 0)), 0))</f>
        <v/>
      </c>
      <c r="AC776" s="79">
        <f>IF(X776="Sin Pago","",IFERROR(INDEX(Pagos_Odoo!$G:$G, MATCH(X776, Pagos_Odoo!$B:$B, 0)), ""))</f>
        <v/>
      </c>
      <c r="AD776" s="82" t="n">
        <v>0</v>
      </c>
      <c r="AE776" s="82" t="n"/>
      <c r="AF776" s="82" t="n"/>
      <c r="AG776" s="82">
        <f>IF(AN776="","",AD776+AE776+AF776)</f>
        <v/>
      </c>
      <c r="AH776" s="81">
        <f>IF(AN776="","",P776*(1-AG776))</f>
        <v/>
      </c>
      <c r="AI776" s="81">
        <f>IF(AN776="","",IF(Q776="Sin Factura",0,IFERROR(INDEX(Facturas_Odoo!$H:$H, MATCH(Q776, Facturas_Odoo!$B:$B, 0)), 0)*(1-AG776)))</f>
        <v/>
      </c>
      <c r="AJ776" s="81">
        <f>IF(AN776="","",_xlfn.LET(idVenta, AN776&amp;"",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76" s="81">
        <f>IF(AN776="","",AH776-AJ776)</f>
        <v/>
      </c>
      <c r="AL776" s="81">
        <f>IF(AN776="","",IF(Q776="Sin Factura","",AI776-AJ776))</f>
        <v/>
      </c>
      <c r="AM776" s="81">
        <f>IF(AN776="","",IF(Q776="Sin Factura",0,P776-IFERROR(INDEX(Facturas_Odoo!$H:$H, MATCH(Q776, Facturas_Odoo!$B:$B, 0)), 0)))</f>
        <v/>
      </c>
      <c r="AN776" s="79">
        <f>IF(AND(A776="", J776=""), "", IF(A776&lt;&gt;"", VALUE(MID(A776,2,LEN(A776))), AN775))</f>
        <v/>
      </c>
      <c r="AO776" s="79">
        <f>IF(AN776="","",IF(AD776=0,"OK",_xlfn.LET(monedaPago, IF(AA776="","USD",AA776), limitePermitido, IFERROR(VLOOKUP(monedaPago, Configuración!$A$2:$B$3, 2, FALSE), 0.15), IF(AD776&gt;limitePermitido, "ALERTA: EXCESO (" &amp; TEXT(limitePermitido, "0%") &amp; " máx)", "OK"))))</f>
        <v/>
      </c>
      <c r="AP776" s="79">
        <f>IF(AN776="","",IF(AE776=0,"OK",_xlfn.LET(fechaPago, Z776, fechaFactura, R776, diasCredito, IF(E776="Pago inmediato", 0, IFERROR(VALUE(MID(E776, 1, SEARCH(" ", E776)-1)),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76" s="79">
        <f>IF(AN776="","",IF(AND(N776&gt;0, AG776&gt;0), IF(Configuración!$K$2="NO", "ALERTA: DESCUENTO DOBLE NO PERMITIDO", "OK"), "OK"))</f>
        <v/>
      </c>
      <c r="AR776" s="79">
        <f>IF(AN776="","",IF(OR(AO776&lt;&gt;"OK", AP776&lt;&gt;"OK", AQ776&lt;&gt;"OK"), "⚠️ REVISAR", "OK"))</f>
        <v/>
      </c>
    </row>
    <row r="777">
      <c r="A777" s="79">
        <f>IF('Ordenes_Odoo'!A777="","",'Ordenes_Odoo'!A777)</f>
        <v/>
      </c>
      <c r="B777" s="80">
        <f>IF('Ordenes_Odoo'!B777="","",'Ordenes_Odoo'!B777)</f>
        <v/>
      </c>
      <c r="C777" s="79">
        <f>IF('Ordenes_Odoo'!C777="","",'Ordenes_Odoo'!C777)</f>
        <v/>
      </c>
      <c r="D777" s="79">
        <f>IF('Ordenes_Odoo'!D777="","",'Ordenes_Odoo'!D777)</f>
        <v/>
      </c>
      <c r="E777" s="79">
        <f>IF('Ordenes_Odoo'!E777="","",'Ordenes_Odoo'!E777)</f>
        <v/>
      </c>
      <c r="F777" s="79">
        <f>IF('Ordenes_Odoo'!F777="","",'Ordenes_Odoo'!F777)</f>
        <v/>
      </c>
      <c r="G777" s="79">
        <f>IF('Ordenes_Odoo'!G777="","",'Ordenes_Odoo'!G777)</f>
        <v/>
      </c>
      <c r="H777" s="79">
        <f>IF('Ordenes_Odoo'!H777="","",'Ordenes_Odoo'!H777)</f>
        <v/>
      </c>
      <c r="I777" s="79">
        <f>IF('Ordenes_Odoo'!I777="","",'Ordenes_Odoo'!I777)</f>
        <v/>
      </c>
      <c r="J777" s="79">
        <f>IF('Ordenes_Odoo'!J777="","",'Ordenes_Odoo'!J777)</f>
        <v/>
      </c>
      <c r="K777" s="81">
        <f>IF('Ordenes_Odoo'!K777="","",'Ordenes_Odoo'!K777)</f>
        <v/>
      </c>
      <c r="L777" s="81">
        <f>IF('Ordenes_Odoo'!L777="","",'Ordenes_Odoo'!L777)</f>
        <v/>
      </c>
      <c r="M777" s="79">
        <f>IF('Ordenes_Odoo'!M777="","",'Ordenes_Odoo'!M777)</f>
        <v/>
      </c>
      <c r="N777" s="79">
        <f>IF('Ordenes_Odoo'!N777="","",'Ordenes_Odoo'!N777)</f>
        <v/>
      </c>
      <c r="O777" s="81">
        <f>IF('Ordenes_Odoo'!O777="","",'Ordenes_Odoo'!O777)</f>
        <v/>
      </c>
      <c r="P777" s="81">
        <f>IF('Ordenes_Odoo'!P777="","",'Ordenes_Odoo'!P777)</f>
        <v/>
      </c>
      <c r="Q777" s="79">
        <f>IF(A777="","",IFERROR(INDEX(Facturas_Odoo!$B:$B, MATCH(A777, Facturas_Odoo!$D:$D, 0)), "Sin Factura"))</f>
        <v/>
      </c>
      <c r="R777" s="80">
        <f>IF(Q777="Sin Factura","",IFERROR(INDEX(Facturas_Odoo!$A:$A, MATCH(Q777, Facturas_Odoo!$B:$B, 0)), ""))</f>
        <v/>
      </c>
      <c r="S777" s="79">
        <f>IF(Q777="Sin Factura","",IFERROR(_xlfn.XLOOKUP(1, (Facturas_Odoo!$D:$D=A777) * (Facturas_Odoo!$K:$K=I777), Facturas_Odoo!$L:$L, ""), ""))</f>
        <v/>
      </c>
      <c r="T777" s="81">
        <f>IF(Q777="Sin Factura",0,IFERROR(_xlfn.XLOOKUP(1, (Facturas_Odoo!$D:$D=A777) * (Facturas_Odoo!$K:$K=I777), Facturas_Odoo!$M:$M, 0), 0))</f>
        <v/>
      </c>
      <c r="U777" s="79">
        <f>IF(Q777="Sin Factura",0,IFERROR(_xlfn.XLOOKUP(1, (Facturas_Odoo!$D:$D=A777) * (Facturas_Odoo!$K:$K=I777), Facturas_Odoo!$N:$N, 0), 0))</f>
        <v/>
      </c>
      <c r="V777" s="79">
        <f>IF(Q777="Sin Factura",0,IFERROR(_xlfn.XLOOKUP(1, (Facturas_Odoo!$D:$D=A777) * (Facturas_Odoo!$K:$K=I777), Facturas_Odoo!$O:$O, 0), 0))</f>
        <v/>
      </c>
      <c r="W777" s="81">
        <f>IF(Q777="Sin Factura",0,IFERROR(_xlfn.XLOOKUP(1, (Facturas_Odoo!$D:$D=A777) * (Facturas_Odoo!$K:$K=I777), Facturas_Odoo!$Q:$Q, 0), 0))</f>
        <v/>
      </c>
      <c r="X777" s="79">
        <f>IF(OR(Q777="Sin Factura",Q777=""),"",IFERROR(INDEX(Pagos_Odoo!$B:$B, MATCH(Q777, Pagos_Odoo!$I:$I, 0)), "Sin Pago"))</f>
        <v/>
      </c>
      <c r="Y777" s="79">
        <f>IF(X777="Sin Pago","",IFERROR(INDEX(Pagos_Odoo!$C:$C, MATCH(X777, Pagos_Odoo!$B:$B, 0)), ""))</f>
        <v/>
      </c>
      <c r="Z777" s="80">
        <f>IF(X777="Sin Pago","",IFERROR(INDEX(Pagos_Odoo!$A:$A, MATCH(X777, Pagos_Odoo!$B:$B, 0)), ""))</f>
        <v/>
      </c>
      <c r="AA777" s="79">
        <f>IF(X777="Sin Pago","",IFERROR(INDEX(Pagos_Odoo!$F:$F, MATCH(X777, Pagos_Odoo!$B:$B, 0)), ""))</f>
        <v/>
      </c>
      <c r="AB777" s="81">
        <f>IF(X777="Sin Pago",0,IFERROR(INDEX(Pagos_Odoo!$E:$E, MATCH(X777, Pagos_Odoo!$B:$B, 0)), 0))</f>
        <v/>
      </c>
      <c r="AC777" s="79">
        <f>IF(X777="Sin Pago","",IFERROR(INDEX(Pagos_Odoo!$G:$G, MATCH(X777, Pagos_Odoo!$B:$B, 0)), ""))</f>
        <v/>
      </c>
      <c r="AD777" s="82" t="n">
        <v>0</v>
      </c>
      <c r="AE777" s="82" t="n"/>
      <c r="AF777" s="82" t="n"/>
      <c r="AG777" s="82">
        <f>IF(AN777="","",AD777+AE777+AF777)</f>
        <v/>
      </c>
      <c r="AH777" s="81">
        <f>IF(AN777="","",P777*(1-AG777))</f>
        <v/>
      </c>
      <c r="AI777" s="81">
        <f>IF(AN777="","",IF(Q777="Sin Factura",0,IFERROR(INDEX(Facturas_Odoo!$H:$H, MATCH(Q777, Facturas_Odoo!$B:$B, 0)), 0)*(1-AG777)))</f>
        <v/>
      </c>
      <c r="AJ777" s="81">
        <f>IF(AN777="","",_xlfn.LET(idVenta, AN777&amp;"",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77" s="81">
        <f>IF(AN777="","",AH777-AJ777)</f>
        <v/>
      </c>
      <c r="AL777" s="81">
        <f>IF(AN777="","",IF(Q777="Sin Factura","",AI777-AJ777))</f>
        <v/>
      </c>
      <c r="AM777" s="81">
        <f>IF(AN777="","",IF(Q777="Sin Factura",0,P777-IFERROR(INDEX(Facturas_Odoo!$H:$H, MATCH(Q777, Facturas_Odoo!$B:$B, 0)), 0)))</f>
        <v/>
      </c>
      <c r="AN777" s="79">
        <f>IF(AND(A777="", J777=""), "", IF(A777&lt;&gt;"", VALUE(MID(A777,2,LEN(A777))), AN776))</f>
        <v/>
      </c>
      <c r="AO777" s="79">
        <f>IF(AN777="","",IF(AD777=0,"OK",_xlfn.LET(monedaPago, IF(AA777="","USD",AA777), limitePermitido, IFERROR(VLOOKUP(monedaPago, Configuración!$A$2:$B$3, 2, FALSE), 0.15), IF(AD777&gt;limitePermitido, "ALERTA: EXCESO (" &amp; TEXT(limitePermitido, "0%") &amp; " máx)", "OK"))))</f>
        <v/>
      </c>
      <c r="AP777" s="79">
        <f>IF(AN777="","",IF(AE777=0,"OK",_xlfn.LET(fechaPago, Z777, fechaFactura, R777, diasCredito, IF(E777="Pago inmediato", 0, IFERROR(VALUE(MID(E777, 1, SEARCH(" ", E777)-1)),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77" s="79">
        <f>IF(AN777="","",IF(AND(N777&gt;0, AG777&gt;0), IF(Configuración!$K$2="NO", "ALERTA: DESCUENTO DOBLE NO PERMITIDO", "OK"), "OK"))</f>
        <v/>
      </c>
      <c r="AR777" s="79">
        <f>IF(AN777="","",IF(OR(AO777&lt;&gt;"OK", AP777&lt;&gt;"OK", AQ777&lt;&gt;"OK"), "⚠️ REVISAR", "OK"))</f>
        <v/>
      </c>
    </row>
    <row r="778">
      <c r="A778" s="79">
        <f>IF('Ordenes_Odoo'!A778="","",'Ordenes_Odoo'!A778)</f>
        <v/>
      </c>
      <c r="B778" s="80">
        <f>IF('Ordenes_Odoo'!B778="","",'Ordenes_Odoo'!B778)</f>
        <v/>
      </c>
      <c r="C778" s="79">
        <f>IF('Ordenes_Odoo'!C778="","",'Ordenes_Odoo'!C778)</f>
        <v/>
      </c>
      <c r="D778" s="79">
        <f>IF('Ordenes_Odoo'!D778="","",'Ordenes_Odoo'!D778)</f>
        <v/>
      </c>
      <c r="E778" s="79">
        <f>IF('Ordenes_Odoo'!E778="","",'Ordenes_Odoo'!E778)</f>
        <v/>
      </c>
      <c r="F778" s="79">
        <f>IF('Ordenes_Odoo'!F778="","",'Ordenes_Odoo'!F778)</f>
        <v/>
      </c>
      <c r="G778" s="79">
        <f>IF('Ordenes_Odoo'!G778="","",'Ordenes_Odoo'!G778)</f>
        <v/>
      </c>
      <c r="H778" s="79">
        <f>IF('Ordenes_Odoo'!H778="","",'Ordenes_Odoo'!H778)</f>
        <v/>
      </c>
      <c r="I778" s="79">
        <f>IF('Ordenes_Odoo'!I778="","",'Ordenes_Odoo'!I778)</f>
        <v/>
      </c>
      <c r="J778" s="79">
        <f>IF('Ordenes_Odoo'!J778="","",'Ordenes_Odoo'!J778)</f>
        <v/>
      </c>
      <c r="K778" s="81">
        <f>IF('Ordenes_Odoo'!K778="","",'Ordenes_Odoo'!K778)</f>
        <v/>
      </c>
      <c r="L778" s="81">
        <f>IF('Ordenes_Odoo'!L778="","",'Ordenes_Odoo'!L778)</f>
        <v/>
      </c>
      <c r="M778" s="79">
        <f>IF('Ordenes_Odoo'!M778="","",'Ordenes_Odoo'!M778)</f>
        <v/>
      </c>
      <c r="N778" s="79">
        <f>IF('Ordenes_Odoo'!N778="","",'Ordenes_Odoo'!N778)</f>
        <v/>
      </c>
      <c r="O778" s="81">
        <f>IF('Ordenes_Odoo'!O778="","",'Ordenes_Odoo'!O778)</f>
        <v/>
      </c>
      <c r="P778" s="81">
        <f>IF('Ordenes_Odoo'!P778="","",'Ordenes_Odoo'!P778)</f>
        <v/>
      </c>
      <c r="Q778" s="79">
        <f>IF(A778="","",IFERROR(INDEX(Facturas_Odoo!$B:$B, MATCH(A778, Facturas_Odoo!$D:$D, 0)), "Sin Factura"))</f>
        <v/>
      </c>
      <c r="R778" s="80">
        <f>IF(Q778="Sin Factura","",IFERROR(INDEX(Facturas_Odoo!$A:$A, MATCH(Q778, Facturas_Odoo!$B:$B, 0)), ""))</f>
        <v/>
      </c>
      <c r="S778" s="79">
        <f>IF(Q778="Sin Factura","",IFERROR(_xlfn.XLOOKUP(1, (Facturas_Odoo!$D:$D=A778) * (Facturas_Odoo!$K:$K=I778), Facturas_Odoo!$L:$L, ""), ""))</f>
        <v/>
      </c>
      <c r="T778" s="81">
        <f>IF(Q778="Sin Factura",0,IFERROR(_xlfn.XLOOKUP(1, (Facturas_Odoo!$D:$D=A778) * (Facturas_Odoo!$K:$K=I778), Facturas_Odoo!$M:$M, 0), 0))</f>
        <v/>
      </c>
      <c r="U778" s="79">
        <f>IF(Q778="Sin Factura",0,IFERROR(_xlfn.XLOOKUP(1, (Facturas_Odoo!$D:$D=A778) * (Facturas_Odoo!$K:$K=I778), Facturas_Odoo!$N:$N, 0), 0))</f>
        <v/>
      </c>
      <c r="V778" s="79">
        <f>IF(Q778="Sin Factura",0,IFERROR(_xlfn.XLOOKUP(1, (Facturas_Odoo!$D:$D=A778) * (Facturas_Odoo!$K:$K=I778), Facturas_Odoo!$O:$O, 0), 0))</f>
        <v/>
      </c>
      <c r="W778" s="81">
        <f>IF(Q778="Sin Factura",0,IFERROR(_xlfn.XLOOKUP(1, (Facturas_Odoo!$D:$D=A778) * (Facturas_Odoo!$K:$K=I778), Facturas_Odoo!$Q:$Q, 0), 0))</f>
        <v/>
      </c>
      <c r="X778" s="79">
        <f>IF(OR(Q778="Sin Factura",Q778=""),"",IFERROR(INDEX(Pagos_Odoo!$B:$B, MATCH(Q778, Pagos_Odoo!$I:$I, 0)), "Sin Pago"))</f>
        <v/>
      </c>
      <c r="Y778" s="79">
        <f>IF(X778="Sin Pago","",IFERROR(INDEX(Pagos_Odoo!$C:$C, MATCH(X778, Pagos_Odoo!$B:$B, 0)), ""))</f>
        <v/>
      </c>
      <c r="Z778" s="80">
        <f>IF(X778="Sin Pago","",IFERROR(INDEX(Pagos_Odoo!$A:$A, MATCH(X778, Pagos_Odoo!$B:$B, 0)), ""))</f>
        <v/>
      </c>
      <c r="AA778" s="79">
        <f>IF(X778="Sin Pago","",IFERROR(INDEX(Pagos_Odoo!$F:$F, MATCH(X778, Pagos_Odoo!$B:$B, 0)), ""))</f>
        <v/>
      </c>
      <c r="AB778" s="81">
        <f>IF(X778="Sin Pago",0,IFERROR(INDEX(Pagos_Odoo!$E:$E, MATCH(X778, Pagos_Odoo!$B:$B, 0)), 0))</f>
        <v/>
      </c>
      <c r="AC778" s="79">
        <f>IF(X778="Sin Pago","",IFERROR(INDEX(Pagos_Odoo!$G:$G, MATCH(X778, Pagos_Odoo!$B:$B, 0)), ""))</f>
        <v/>
      </c>
      <c r="AD778" s="82" t="n">
        <v>0</v>
      </c>
      <c r="AE778" s="82" t="n"/>
      <c r="AF778" s="82" t="n"/>
      <c r="AG778" s="82">
        <f>IF(AN778="","",AD778+AE778+AF778)</f>
        <v/>
      </c>
      <c r="AH778" s="81">
        <f>IF(AN778="","",P778*(1-AG778))</f>
        <v/>
      </c>
      <c r="AI778" s="81">
        <f>IF(AN778="","",IF(Q778="Sin Factura",0,IFERROR(INDEX(Facturas_Odoo!$H:$H, MATCH(Q778, Facturas_Odoo!$B:$B, 0)), 0)*(1-AG778)))</f>
        <v/>
      </c>
      <c r="AJ778" s="81">
        <f>IF(AN778="","",_xlfn.LET(idVenta, AN778&amp;"",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78" s="81">
        <f>IF(AN778="","",AH778-AJ778)</f>
        <v/>
      </c>
      <c r="AL778" s="81">
        <f>IF(AN778="","",IF(Q778="Sin Factura","",AI778-AJ778))</f>
        <v/>
      </c>
      <c r="AM778" s="81">
        <f>IF(AN778="","",IF(Q778="Sin Factura",0,P778-IFERROR(INDEX(Facturas_Odoo!$H:$H, MATCH(Q778, Facturas_Odoo!$B:$B, 0)), 0)))</f>
        <v/>
      </c>
      <c r="AN778" s="79">
        <f>IF(AND(A778="", J778=""), "", IF(A778&lt;&gt;"", VALUE(MID(A778,2,LEN(A778))), AN777))</f>
        <v/>
      </c>
      <c r="AO778" s="79">
        <f>IF(AN778="","",IF(AD778=0,"OK",_xlfn.LET(monedaPago, IF(AA778="","USD",AA778), limitePermitido, IFERROR(VLOOKUP(monedaPago, Configuración!$A$2:$B$3, 2, FALSE), 0.15), IF(AD778&gt;limitePermitido, "ALERTA: EXCESO (" &amp; TEXT(limitePermitido, "0%") &amp; " máx)", "OK"))))</f>
        <v/>
      </c>
      <c r="AP778" s="79">
        <f>IF(AN778="","",IF(AE778=0,"OK",_xlfn.LET(fechaPago, Z778, fechaFactura, R778, diasCredito, IF(E778="Pago inmediato", 0, IFERROR(VALUE(MID(E778, 1, SEARCH(" ", E778)-1)),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78" s="79">
        <f>IF(AN778="","",IF(AND(N778&gt;0, AG778&gt;0), IF(Configuración!$K$2="NO", "ALERTA: DESCUENTO DOBLE NO PERMITIDO", "OK"), "OK"))</f>
        <v/>
      </c>
      <c r="AR778" s="79">
        <f>IF(AN778="","",IF(OR(AO778&lt;&gt;"OK", AP778&lt;&gt;"OK", AQ778&lt;&gt;"OK"), "⚠️ REVISAR", "OK"))</f>
        <v/>
      </c>
    </row>
    <row r="779">
      <c r="A779" s="79">
        <f>IF('Ordenes_Odoo'!A779="","",'Ordenes_Odoo'!A779)</f>
        <v/>
      </c>
      <c r="B779" s="80">
        <f>IF('Ordenes_Odoo'!B779="","",'Ordenes_Odoo'!B779)</f>
        <v/>
      </c>
      <c r="C779" s="79">
        <f>IF('Ordenes_Odoo'!C779="","",'Ordenes_Odoo'!C779)</f>
        <v/>
      </c>
      <c r="D779" s="79">
        <f>IF('Ordenes_Odoo'!D779="","",'Ordenes_Odoo'!D779)</f>
        <v/>
      </c>
      <c r="E779" s="79">
        <f>IF('Ordenes_Odoo'!E779="","",'Ordenes_Odoo'!E779)</f>
        <v/>
      </c>
      <c r="F779" s="79">
        <f>IF('Ordenes_Odoo'!F779="","",'Ordenes_Odoo'!F779)</f>
        <v/>
      </c>
      <c r="G779" s="79">
        <f>IF('Ordenes_Odoo'!G779="","",'Ordenes_Odoo'!G779)</f>
        <v/>
      </c>
      <c r="H779" s="79">
        <f>IF('Ordenes_Odoo'!H779="","",'Ordenes_Odoo'!H779)</f>
        <v/>
      </c>
      <c r="I779" s="79">
        <f>IF('Ordenes_Odoo'!I779="","",'Ordenes_Odoo'!I779)</f>
        <v/>
      </c>
      <c r="J779" s="79">
        <f>IF('Ordenes_Odoo'!J779="","",'Ordenes_Odoo'!J779)</f>
        <v/>
      </c>
      <c r="K779" s="81">
        <f>IF('Ordenes_Odoo'!K779="","",'Ordenes_Odoo'!K779)</f>
        <v/>
      </c>
      <c r="L779" s="81">
        <f>IF('Ordenes_Odoo'!L779="","",'Ordenes_Odoo'!L779)</f>
        <v/>
      </c>
      <c r="M779" s="79">
        <f>IF('Ordenes_Odoo'!M779="","",'Ordenes_Odoo'!M779)</f>
        <v/>
      </c>
      <c r="N779" s="79">
        <f>IF('Ordenes_Odoo'!N779="","",'Ordenes_Odoo'!N779)</f>
        <v/>
      </c>
      <c r="O779" s="81">
        <f>IF('Ordenes_Odoo'!O779="","",'Ordenes_Odoo'!O779)</f>
        <v/>
      </c>
      <c r="P779" s="81">
        <f>IF('Ordenes_Odoo'!P779="","",'Ordenes_Odoo'!P779)</f>
        <v/>
      </c>
      <c r="Q779" s="79">
        <f>IF(A779="","",IFERROR(INDEX(Facturas_Odoo!$B:$B, MATCH(A779, Facturas_Odoo!$D:$D, 0)), "Sin Factura"))</f>
        <v/>
      </c>
      <c r="R779" s="80">
        <f>IF(Q779="Sin Factura","",IFERROR(INDEX(Facturas_Odoo!$A:$A, MATCH(Q779, Facturas_Odoo!$B:$B, 0)), ""))</f>
        <v/>
      </c>
      <c r="S779" s="79">
        <f>IF(Q779="Sin Factura","",IFERROR(_xlfn.XLOOKUP(1, (Facturas_Odoo!$D:$D=A779) * (Facturas_Odoo!$K:$K=I779), Facturas_Odoo!$L:$L, ""), ""))</f>
        <v/>
      </c>
      <c r="T779" s="81">
        <f>IF(Q779="Sin Factura",0,IFERROR(_xlfn.XLOOKUP(1, (Facturas_Odoo!$D:$D=A779) * (Facturas_Odoo!$K:$K=I779), Facturas_Odoo!$M:$M, 0), 0))</f>
        <v/>
      </c>
      <c r="U779" s="79">
        <f>IF(Q779="Sin Factura",0,IFERROR(_xlfn.XLOOKUP(1, (Facturas_Odoo!$D:$D=A779) * (Facturas_Odoo!$K:$K=I779), Facturas_Odoo!$N:$N, 0), 0))</f>
        <v/>
      </c>
      <c r="V779" s="79">
        <f>IF(Q779="Sin Factura",0,IFERROR(_xlfn.XLOOKUP(1, (Facturas_Odoo!$D:$D=A779) * (Facturas_Odoo!$K:$K=I779), Facturas_Odoo!$O:$O, 0), 0))</f>
        <v/>
      </c>
      <c r="W779" s="81">
        <f>IF(Q779="Sin Factura",0,IFERROR(_xlfn.XLOOKUP(1, (Facturas_Odoo!$D:$D=A779) * (Facturas_Odoo!$K:$K=I779), Facturas_Odoo!$Q:$Q, 0), 0))</f>
        <v/>
      </c>
      <c r="X779" s="79">
        <f>IF(OR(Q779="Sin Factura",Q779=""),"",IFERROR(INDEX(Pagos_Odoo!$B:$B, MATCH(Q779, Pagos_Odoo!$I:$I, 0)), "Sin Pago"))</f>
        <v/>
      </c>
      <c r="Y779" s="79">
        <f>IF(X779="Sin Pago","",IFERROR(INDEX(Pagos_Odoo!$C:$C, MATCH(X779, Pagos_Odoo!$B:$B, 0)), ""))</f>
        <v/>
      </c>
      <c r="Z779" s="80">
        <f>IF(X779="Sin Pago","",IFERROR(INDEX(Pagos_Odoo!$A:$A, MATCH(X779, Pagos_Odoo!$B:$B, 0)), ""))</f>
        <v/>
      </c>
      <c r="AA779" s="79">
        <f>IF(X779="Sin Pago","",IFERROR(INDEX(Pagos_Odoo!$F:$F, MATCH(X779, Pagos_Odoo!$B:$B, 0)), ""))</f>
        <v/>
      </c>
      <c r="AB779" s="81">
        <f>IF(X779="Sin Pago",0,IFERROR(INDEX(Pagos_Odoo!$E:$E, MATCH(X779, Pagos_Odoo!$B:$B, 0)), 0))</f>
        <v/>
      </c>
      <c r="AC779" s="79">
        <f>IF(X779="Sin Pago","",IFERROR(INDEX(Pagos_Odoo!$G:$G, MATCH(X779, Pagos_Odoo!$B:$B, 0)), ""))</f>
        <v/>
      </c>
      <c r="AD779" s="82" t="n">
        <v>0</v>
      </c>
      <c r="AE779" s="82" t="n"/>
      <c r="AF779" s="82" t="n"/>
      <c r="AG779" s="82">
        <f>IF(AN779="","",AD779+AE779+AF779)</f>
        <v/>
      </c>
      <c r="AH779" s="81">
        <f>IF(AN779="","",P779*(1-AG779))</f>
        <v/>
      </c>
      <c r="AI779" s="81">
        <f>IF(AN779="","",IF(Q779="Sin Factura",0,IFERROR(INDEX(Facturas_Odoo!$H:$H, MATCH(Q779, Facturas_Odoo!$B:$B, 0)), 0)*(1-AG779)))</f>
        <v/>
      </c>
      <c r="AJ779" s="81">
        <f>IF(AN779="","",_xlfn.LET(idVenta, AN779&amp;"",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79" s="81">
        <f>IF(AN779="","",AH779-AJ779)</f>
        <v/>
      </c>
      <c r="AL779" s="81">
        <f>IF(AN779="","",IF(Q779="Sin Factura","",AI779-AJ779))</f>
        <v/>
      </c>
      <c r="AM779" s="81">
        <f>IF(AN779="","",IF(Q779="Sin Factura",0,P779-IFERROR(INDEX(Facturas_Odoo!$H:$H, MATCH(Q779, Facturas_Odoo!$B:$B, 0)), 0)))</f>
        <v/>
      </c>
      <c r="AN779" s="79">
        <f>IF(AND(A779="", J779=""), "", IF(A779&lt;&gt;"", VALUE(MID(A779,2,LEN(A779))), AN778))</f>
        <v/>
      </c>
      <c r="AO779" s="79">
        <f>IF(AN779="","",IF(AD779=0,"OK",_xlfn.LET(monedaPago, IF(AA779="","USD",AA779), limitePermitido, IFERROR(VLOOKUP(monedaPago, Configuración!$A$2:$B$3, 2, FALSE), 0.15), IF(AD779&gt;limitePermitido, "ALERTA: EXCESO (" &amp; TEXT(limitePermitido, "0%") &amp; " máx)", "OK"))))</f>
        <v/>
      </c>
      <c r="AP779" s="79">
        <f>IF(AN779="","",IF(AE779=0,"OK",_xlfn.LET(fechaPago, Z779, fechaFactura, R779, diasCredito, IF(E779="Pago inmediato", 0, IFERROR(VALUE(MID(E779, 1, SEARCH(" ", E779)-1)),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79" s="79">
        <f>IF(AN779="","",IF(AND(N779&gt;0, AG779&gt;0), IF(Configuración!$K$2="NO", "ALERTA: DESCUENTO DOBLE NO PERMITIDO", "OK"), "OK"))</f>
        <v/>
      </c>
      <c r="AR779" s="79">
        <f>IF(AN779="","",IF(OR(AO779&lt;&gt;"OK", AP779&lt;&gt;"OK", AQ779&lt;&gt;"OK"), "⚠️ REVISAR", "OK"))</f>
        <v/>
      </c>
    </row>
    <row r="780">
      <c r="A780" s="79">
        <f>IF('Ordenes_Odoo'!A780="","",'Ordenes_Odoo'!A780)</f>
        <v/>
      </c>
      <c r="B780" s="80">
        <f>IF('Ordenes_Odoo'!B780="","",'Ordenes_Odoo'!B780)</f>
        <v/>
      </c>
      <c r="C780" s="79">
        <f>IF('Ordenes_Odoo'!C780="","",'Ordenes_Odoo'!C780)</f>
        <v/>
      </c>
      <c r="D780" s="79">
        <f>IF('Ordenes_Odoo'!D780="","",'Ordenes_Odoo'!D780)</f>
        <v/>
      </c>
      <c r="E780" s="79">
        <f>IF('Ordenes_Odoo'!E780="","",'Ordenes_Odoo'!E780)</f>
        <v/>
      </c>
      <c r="F780" s="79">
        <f>IF('Ordenes_Odoo'!F780="","",'Ordenes_Odoo'!F780)</f>
        <v/>
      </c>
      <c r="G780" s="79">
        <f>IF('Ordenes_Odoo'!G780="","",'Ordenes_Odoo'!G780)</f>
        <v/>
      </c>
      <c r="H780" s="79">
        <f>IF('Ordenes_Odoo'!H780="","",'Ordenes_Odoo'!H780)</f>
        <v/>
      </c>
      <c r="I780" s="79">
        <f>IF('Ordenes_Odoo'!I780="","",'Ordenes_Odoo'!I780)</f>
        <v/>
      </c>
      <c r="J780" s="79">
        <f>IF('Ordenes_Odoo'!J780="","",'Ordenes_Odoo'!J780)</f>
        <v/>
      </c>
      <c r="K780" s="81">
        <f>IF('Ordenes_Odoo'!K780="","",'Ordenes_Odoo'!K780)</f>
        <v/>
      </c>
      <c r="L780" s="81">
        <f>IF('Ordenes_Odoo'!L780="","",'Ordenes_Odoo'!L780)</f>
        <v/>
      </c>
      <c r="M780" s="79">
        <f>IF('Ordenes_Odoo'!M780="","",'Ordenes_Odoo'!M780)</f>
        <v/>
      </c>
      <c r="N780" s="79">
        <f>IF('Ordenes_Odoo'!N780="","",'Ordenes_Odoo'!N780)</f>
        <v/>
      </c>
      <c r="O780" s="81">
        <f>IF('Ordenes_Odoo'!O780="","",'Ordenes_Odoo'!O780)</f>
        <v/>
      </c>
      <c r="P780" s="81">
        <f>IF('Ordenes_Odoo'!P780="","",'Ordenes_Odoo'!P780)</f>
        <v/>
      </c>
      <c r="Q780" s="79">
        <f>IF(A780="","",IFERROR(INDEX(Facturas_Odoo!$B:$B, MATCH(A780, Facturas_Odoo!$D:$D, 0)), "Sin Factura"))</f>
        <v/>
      </c>
      <c r="R780" s="80">
        <f>IF(Q780="Sin Factura","",IFERROR(INDEX(Facturas_Odoo!$A:$A, MATCH(Q780, Facturas_Odoo!$B:$B, 0)), ""))</f>
        <v/>
      </c>
      <c r="S780" s="79">
        <f>IF(Q780="Sin Factura","",IFERROR(_xlfn.XLOOKUP(1, (Facturas_Odoo!$D:$D=A780) * (Facturas_Odoo!$K:$K=I780), Facturas_Odoo!$L:$L, ""), ""))</f>
        <v/>
      </c>
      <c r="T780" s="81">
        <f>IF(Q780="Sin Factura",0,IFERROR(_xlfn.XLOOKUP(1, (Facturas_Odoo!$D:$D=A780) * (Facturas_Odoo!$K:$K=I780), Facturas_Odoo!$M:$M, 0), 0))</f>
        <v/>
      </c>
      <c r="U780" s="79">
        <f>IF(Q780="Sin Factura",0,IFERROR(_xlfn.XLOOKUP(1, (Facturas_Odoo!$D:$D=A780) * (Facturas_Odoo!$K:$K=I780), Facturas_Odoo!$N:$N, 0), 0))</f>
        <v/>
      </c>
      <c r="V780" s="79">
        <f>IF(Q780="Sin Factura",0,IFERROR(_xlfn.XLOOKUP(1, (Facturas_Odoo!$D:$D=A780) * (Facturas_Odoo!$K:$K=I780), Facturas_Odoo!$O:$O, 0), 0))</f>
        <v/>
      </c>
      <c r="W780" s="81">
        <f>IF(Q780="Sin Factura",0,IFERROR(_xlfn.XLOOKUP(1, (Facturas_Odoo!$D:$D=A780) * (Facturas_Odoo!$K:$K=I780), Facturas_Odoo!$Q:$Q, 0), 0))</f>
        <v/>
      </c>
      <c r="X780" s="79">
        <f>IF(OR(Q780="Sin Factura",Q780=""),"",IFERROR(INDEX(Pagos_Odoo!$B:$B, MATCH(Q780, Pagos_Odoo!$I:$I, 0)), "Sin Pago"))</f>
        <v/>
      </c>
      <c r="Y780" s="79">
        <f>IF(X780="Sin Pago","",IFERROR(INDEX(Pagos_Odoo!$C:$C, MATCH(X780, Pagos_Odoo!$B:$B, 0)), ""))</f>
        <v/>
      </c>
      <c r="Z780" s="80">
        <f>IF(X780="Sin Pago","",IFERROR(INDEX(Pagos_Odoo!$A:$A, MATCH(X780, Pagos_Odoo!$B:$B, 0)), ""))</f>
        <v/>
      </c>
      <c r="AA780" s="79">
        <f>IF(X780="Sin Pago","",IFERROR(INDEX(Pagos_Odoo!$F:$F, MATCH(X780, Pagos_Odoo!$B:$B, 0)), ""))</f>
        <v/>
      </c>
      <c r="AB780" s="81">
        <f>IF(X780="Sin Pago",0,IFERROR(INDEX(Pagos_Odoo!$E:$E, MATCH(X780, Pagos_Odoo!$B:$B, 0)), 0))</f>
        <v/>
      </c>
      <c r="AC780" s="79">
        <f>IF(X780="Sin Pago","",IFERROR(INDEX(Pagos_Odoo!$G:$G, MATCH(X780, Pagos_Odoo!$B:$B, 0)), ""))</f>
        <v/>
      </c>
      <c r="AD780" s="82" t="n">
        <v>0</v>
      </c>
      <c r="AE780" s="82" t="n"/>
      <c r="AF780" s="82" t="n"/>
      <c r="AG780" s="82">
        <f>IF(AN780="","",AD780+AE780+AF780)</f>
        <v/>
      </c>
      <c r="AH780" s="81">
        <f>IF(AN780="","",P780*(1-AG780))</f>
        <v/>
      </c>
      <c r="AI780" s="81">
        <f>IF(AN780="","",IF(Q780="Sin Factura",0,IFERROR(INDEX(Facturas_Odoo!$H:$H, MATCH(Q780, Facturas_Odoo!$B:$B, 0)), 0)*(1-AG780)))</f>
        <v/>
      </c>
      <c r="AJ780" s="81">
        <f>IF(AN780="","",_xlfn.LET(idVenta, AN780&amp;"",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80" s="81">
        <f>IF(AN780="","",AH780-AJ780)</f>
        <v/>
      </c>
      <c r="AL780" s="81">
        <f>IF(AN780="","",IF(Q780="Sin Factura","",AI780-AJ780))</f>
        <v/>
      </c>
      <c r="AM780" s="81">
        <f>IF(AN780="","",IF(Q780="Sin Factura",0,P780-IFERROR(INDEX(Facturas_Odoo!$H:$H, MATCH(Q780, Facturas_Odoo!$B:$B, 0)), 0)))</f>
        <v/>
      </c>
      <c r="AN780" s="79">
        <f>IF(AND(A780="", J780=""), "", IF(A780&lt;&gt;"", VALUE(MID(A780,2,LEN(A780))), AN779))</f>
        <v/>
      </c>
      <c r="AO780" s="79">
        <f>IF(AN780="","",IF(AD780=0,"OK",_xlfn.LET(monedaPago, IF(AA780="","USD",AA780), limitePermitido, IFERROR(VLOOKUP(monedaPago, Configuración!$A$2:$B$3, 2, FALSE), 0.15), IF(AD780&gt;limitePermitido, "ALERTA: EXCESO (" &amp; TEXT(limitePermitido, "0%") &amp; " máx)", "OK"))))</f>
        <v/>
      </c>
      <c r="AP780" s="79">
        <f>IF(AN780="","",IF(AE780=0,"OK",_xlfn.LET(fechaPago, Z780, fechaFactura, R780, diasCredito, IF(E780="Pago inmediato", 0, IFERROR(VALUE(MID(E780, 1, SEARCH(" ", E780)-1)),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80" s="79">
        <f>IF(AN780="","",IF(AND(N780&gt;0, AG780&gt;0), IF(Configuración!$K$2="NO", "ALERTA: DESCUENTO DOBLE NO PERMITIDO", "OK"), "OK"))</f>
        <v/>
      </c>
      <c r="AR780" s="79">
        <f>IF(AN780="","",IF(OR(AO780&lt;&gt;"OK", AP780&lt;&gt;"OK", AQ780&lt;&gt;"OK"), "⚠️ REVISAR", "OK"))</f>
        <v/>
      </c>
    </row>
    <row r="781">
      <c r="A781" s="79">
        <f>IF('Ordenes_Odoo'!A781="","",'Ordenes_Odoo'!A781)</f>
        <v/>
      </c>
      <c r="B781" s="80">
        <f>IF('Ordenes_Odoo'!B781="","",'Ordenes_Odoo'!B781)</f>
        <v/>
      </c>
      <c r="C781" s="79">
        <f>IF('Ordenes_Odoo'!C781="","",'Ordenes_Odoo'!C781)</f>
        <v/>
      </c>
      <c r="D781" s="79">
        <f>IF('Ordenes_Odoo'!D781="","",'Ordenes_Odoo'!D781)</f>
        <v/>
      </c>
      <c r="E781" s="79">
        <f>IF('Ordenes_Odoo'!E781="","",'Ordenes_Odoo'!E781)</f>
        <v/>
      </c>
      <c r="F781" s="79">
        <f>IF('Ordenes_Odoo'!F781="","",'Ordenes_Odoo'!F781)</f>
        <v/>
      </c>
      <c r="G781" s="79">
        <f>IF('Ordenes_Odoo'!G781="","",'Ordenes_Odoo'!G781)</f>
        <v/>
      </c>
      <c r="H781" s="79">
        <f>IF('Ordenes_Odoo'!H781="","",'Ordenes_Odoo'!H781)</f>
        <v/>
      </c>
      <c r="I781" s="79">
        <f>IF('Ordenes_Odoo'!I781="","",'Ordenes_Odoo'!I781)</f>
        <v/>
      </c>
      <c r="J781" s="79">
        <f>IF('Ordenes_Odoo'!J781="","",'Ordenes_Odoo'!J781)</f>
        <v/>
      </c>
      <c r="K781" s="81">
        <f>IF('Ordenes_Odoo'!K781="","",'Ordenes_Odoo'!K781)</f>
        <v/>
      </c>
      <c r="L781" s="81">
        <f>IF('Ordenes_Odoo'!L781="","",'Ordenes_Odoo'!L781)</f>
        <v/>
      </c>
      <c r="M781" s="79">
        <f>IF('Ordenes_Odoo'!M781="","",'Ordenes_Odoo'!M781)</f>
        <v/>
      </c>
      <c r="N781" s="79">
        <f>IF('Ordenes_Odoo'!N781="","",'Ordenes_Odoo'!N781)</f>
        <v/>
      </c>
      <c r="O781" s="81">
        <f>IF('Ordenes_Odoo'!O781="","",'Ordenes_Odoo'!O781)</f>
        <v/>
      </c>
      <c r="P781" s="81">
        <f>IF('Ordenes_Odoo'!P781="","",'Ordenes_Odoo'!P781)</f>
        <v/>
      </c>
      <c r="Q781" s="79">
        <f>IF(A781="","",IFERROR(INDEX(Facturas_Odoo!$B:$B, MATCH(A781, Facturas_Odoo!$D:$D, 0)), "Sin Factura"))</f>
        <v/>
      </c>
      <c r="R781" s="80">
        <f>IF(Q781="Sin Factura","",IFERROR(INDEX(Facturas_Odoo!$A:$A, MATCH(Q781, Facturas_Odoo!$B:$B, 0)), ""))</f>
        <v/>
      </c>
      <c r="S781" s="79">
        <f>IF(Q781="Sin Factura","",IFERROR(_xlfn.XLOOKUP(1, (Facturas_Odoo!$D:$D=A781) * (Facturas_Odoo!$K:$K=I781), Facturas_Odoo!$L:$L, ""), ""))</f>
        <v/>
      </c>
      <c r="T781" s="81">
        <f>IF(Q781="Sin Factura",0,IFERROR(_xlfn.XLOOKUP(1, (Facturas_Odoo!$D:$D=A781) * (Facturas_Odoo!$K:$K=I781), Facturas_Odoo!$M:$M, 0), 0))</f>
        <v/>
      </c>
      <c r="U781" s="79">
        <f>IF(Q781="Sin Factura",0,IFERROR(_xlfn.XLOOKUP(1, (Facturas_Odoo!$D:$D=A781) * (Facturas_Odoo!$K:$K=I781), Facturas_Odoo!$N:$N, 0), 0))</f>
        <v/>
      </c>
      <c r="V781" s="79">
        <f>IF(Q781="Sin Factura",0,IFERROR(_xlfn.XLOOKUP(1, (Facturas_Odoo!$D:$D=A781) * (Facturas_Odoo!$K:$K=I781), Facturas_Odoo!$O:$O, 0), 0))</f>
        <v/>
      </c>
      <c r="W781" s="81">
        <f>IF(Q781="Sin Factura",0,IFERROR(_xlfn.XLOOKUP(1, (Facturas_Odoo!$D:$D=A781) * (Facturas_Odoo!$K:$K=I781), Facturas_Odoo!$Q:$Q, 0), 0))</f>
        <v/>
      </c>
      <c r="X781" s="79">
        <f>IF(OR(Q781="Sin Factura",Q781=""),"",IFERROR(INDEX(Pagos_Odoo!$B:$B, MATCH(Q781, Pagos_Odoo!$I:$I, 0)), "Sin Pago"))</f>
        <v/>
      </c>
      <c r="Y781" s="79">
        <f>IF(X781="Sin Pago","",IFERROR(INDEX(Pagos_Odoo!$C:$C, MATCH(X781, Pagos_Odoo!$B:$B, 0)), ""))</f>
        <v/>
      </c>
      <c r="Z781" s="80">
        <f>IF(X781="Sin Pago","",IFERROR(INDEX(Pagos_Odoo!$A:$A, MATCH(X781, Pagos_Odoo!$B:$B, 0)), ""))</f>
        <v/>
      </c>
      <c r="AA781" s="79">
        <f>IF(X781="Sin Pago","",IFERROR(INDEX(Pagos_Odoo!$F:$F, MATCH(X781, Pagos_Odoo!$B:$B, 0)), ""))</f>
        <v/>
      </c>
      <c r="AB781" s="81">
        <f>IF(X781="Sin Pago",0,IFERROR(INDEX(Pagos_Odoo!$E:$E, MATCH(X781, Pagos_Odoo!$B:$B, 0)), 0))</f>
        <v/>
      </c>
      <c r="AC781" s="79">
        <f>IF(X781="Sin Pago","",IFERROR(INDEX(Pagos_Odoo!$G:$G, MATCH(X781, Pagos_Odoo!$B:$B, 0)), ""))</f>
        <v/>
      </c>
      <c r="AD781" s="82" t="n">
        <v>0</v>
      </c>
      <c r="AE781" s="82" t="n"/>
      <c r="AF781" s="82" t="n"/>
      <c r="AG781" s="82">
        <f>IF(AN781="","",AD781+AE781+AF781)</f>
        <v/>
      </c>
      <c r="AH781" s="81">
        <f>IF(AN781="","",P781*(1-AG781))</f>
        <v/>
      </c>
      <c r="AI781" s="81">
        <f>IF(AN781="","",IF(Q781="Sin Factura",0,IFERROR(INDEX(Facturas_Odoo!$H:$H, MATCH(Q781, Facturas_Odoo!$B:$B, 0)), 0)*(1-AG781)))</f>
        <v/>
      </c>
      <c r="AJ781" s="81">
        <f>IF(AN781="","",_xlfn.LET(idVenta, AN781&amp;"",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81" s="81">
        <f>IF(AN781="","",AH781-AJ781)</f>
        <v/>
      </c>
      <c r="AL781" s="81">
        <f>IF(AN781="","",IF(Q781="Sin Factura","",AI781-AJ781))</f>
        <v/>
      </c>
      <c r="AM781" s="81">
        <f>IF(AN781="","",IF(Q781="Sin Factura",0,P781-IFERROR(INDEX(Facturas_Odoo!$H:$H, MATCH(Q781, Facturas_Odoo!$B:$B, 0)), 0)))</f>
        <v/>
      </c>
      <c r="AN781" s="79">
        <f>IF(AND(A781="", J781=""), "", IF(A781&lt;&gt;"", VALUE(MID(A781,2,LEN(A781))), AN780))</f>
        <v/>
      </c>
      <c r="AO781" s="79">
        <f>IF(AN781="","",IF(AD781=0,"OK",_xlfn.LET(monedaPago, IF(AA781="","USD",AA781), limitePermitido, IFERROR(VLOOKUP(monedaPago, Configuración!$A$2:$B$3, 2, FALSE), 0.15), IF(AD781&gt;limitePermitido, "ALERTA: EXCESO (" &amp; TEXT(limitePermitido, "0%") &amp; " máx)", "OK"))))</f>
        <v/>
      </c>
      <c r="AP781" s="79">
        <f>IF(AN781="","",IF(AE781=0,"OK",_xlfn.LET(fechaPago, Z781, fechaFactura, R781, diasCredito, IF(E781="Pago inmediato", 0, IFERROR(VALUE(MID(E781, 1, SEARCH(" ", E781)-1)),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81" s="79">
        <f>IF(AN781="","",IF(AND(N781&gt;0, AG781&gt;0), IF(Configuración!$K$2="NO", "ALERTA: DESCUENTO DOBLE NO PERMITIDO", "OK"), "OK"))</f>
        <v/>
      </c>
      <c r="AR781" s="79">
        <f>IF(AN781="","",IF(OR(AO781&lt;&gt;"OK", AP781&lt;&gt;"OK", AQ781&lt;&gt;"OK"), "⚠️ REVISAR", "OK"))</f>
        <v/>
      </c>
    </row>
    <row r="782">
      <c r="A782" s="79">
        <f>IF('Ordenes_Odoo'!A782="","",'Ordenes_Odoo'!A782)</f>
        <v/>
      </c>
      <c r="B782" s="80">
        <f>IF('Ordenes_Odoo'!B782="","",'Ordenes_Odoo'!B782)</f>
        <v/>
      </c>
      <c r="C782" s="79">
        <f>IF('Ordenes_Odoo'!C782="","",'Ordenes_Odoo'!C782)</f>
        <v/>
      </c>
      <c r="D782" s="79">
        <f>IF('Ordenes_Odoo'!D782="","",'Ordenes_Odoo'!D782)</f>
        <v/>
      </c>
      <c r="E782" s="79">
        <f>IF('Ordenes_Odoo'!E782="","",'Ordenes_Odoo'!E782)</f>
        <v/>
      </c>
      <c r="F782" s="79">
        <f>IF('Ordenes_Odoo'!F782="","",'Ordenes_Odoo'!F782)</f>
        <v/>
      </c>
      <c r="G782" s="79">
        <f>IF('Ordenes_Odoo'!G782="","",'Ordenes_Odoo'!G782)</f>
        <v/>
      </c>
      <c r="H782" s="79">
        <f>IF('Ordenes_Odoo'!H782="","",'Ordenes_Odoo'!H782)</f>
        <v/>
      </c>
      <c r="I782" s="79">
        <f>IF('Ordenes_Odoo'!I782="","",'Ordenes_Odoo'!I782)</f>
        <v/>
      </c>
      <c r="J782" s="79">
        <f>IF('Ordenes_Odoo'!J782="","",'Ordenes_Odoo'!J782)</f>
        <v/>
      </c>
      <c r="K782" s="81">
        <f>IF('Ordenes_Odoo'!K782="","",'Ordenes_Odoo'!K782)</f>
        <v/>
      </c>
      <c r="L782" s="81">
        <f>IF('Ordenes_Odoo'!L782="","",'Ordenes_Odoo'!L782)</f>
        <v/>
      </c>
      <c r="M782" s="79">
        <f>IF('Ordenes_Odoo'!M782="","",'Ordenes_Odoo'!M782)</f>
        <v/>
      </c>
      <c r="N782" s="79">
        <f>IF('Ordenes_Odoo'!N782="","",'Ordenes_Odoo'!N782)</f>
        <v/>
      </c>
      <c r="O782" s="81">
        <f>IF('Ordenes_Odoo'!O782="","",'Ordenes_Odoo'!O782)</f>
        <v/>
      </c>
      <c r="P782" s="81">
        <f>IF('Ordenes_Odoo'!P782="","",'Ordenes_Odoo'!P782)</f>
        <v/>
      </c>
      <c r="Q782" s="79">
        <f>IF(A782="","",IFERROR(INDEX(Facturas_Odoo!$B:$B, MATCH(A782, Facturas_Odoo!$D:$D, 0)), "Sin Factura"))</f>
        <v/>
      </c>
      <c r="R782" s="80">
        <f>IF(Q782="Sin Factura","",IFERROR(INDEX(Facturas_Odoo!$A:$A, MATCH(Q782, Facturas_Odoo!$B:$B, 0)), ""))</f>
        <v/>
      </c>
      <c r="S782" s="79">
        <f>IF(Q782="Sin Factura","",IFERROR(_xlfn.XLOOKUP(1, (Facturas_Odoo!$D:$D=A782) * (Facturas_Odoo!$K:$K=I782), Facturas_Odoo!$L:$L, ""), ""))</f>
        <v/>
      </c>
      <c r="T782" s="81">
        <f>IF(Q782="Sin Factura",0,IFERROR(_xlfn.XLOOKUP(1, (Facturas_Odoo!$D:$D=A782) * (Facturas_Odoo!$K:$K=I782), Facturas_Odoo!$M:$M, 0), 0))</f>
        <v/>
      </c>
      <c r="U782" s="79">
        <f>IF(Q782="Sin Factura",0,IFERROR(_xlfn.XLOOKUP(1, (Facturas_Odoo!$D:$D=A782) * (Facturas_Odoo!$K:$K=I782), Facturas_Odoo!$N:$N, 0), 0))</f>
        <v/>
      </c>
      <c r="V782" s="79">
        <f>IF(Q782="Sin Factura",0,IFERROR(_xlfn.XLOOKUP(1, (Facturas_Odoo!$D:$D=A782) * (Facturas_Odoo!$K:$K=I782), Facturas_Odoo!$O:$O, 0), 0))</f>
        <v/>
      </c>
      <c r="W782" s="81">
        <f>IF(Q782="Sin Factura",0,IFERROR(_xlfn.XLOOKUP(1, (Facturas_Odoo!$D:$D=A782) * (Facturas_Odoo!$K:$K=I782), Facturas_Odoo!$Q:$Q, 0), 0))</f>
        <v/>
      </c>
      <c r="X782" s="79">
        <f>IF(OR(Q782="Sin Factura",Q782=""),"",IFERROR(INDEX(Pagos_Odoo!$B:$B, MATCH(Q782, Pagos_Odoo!$I:$I, 0)), "Sin Pago"))</f>
        <v/>
      </c>
      <c r="Y782" s="79">
        <f>IF(X782="Sin Pago","",IFERROR(INDEX(Pagos_Odoo!$C:$C, MATCH(X782, Pagos_Odoo!$B:$B, 0)), ""))</f>
        <v/>
      </c>
      <c r="Z782" s="80">
        <f>IF(X782="Sin Pago","",IFERROR(INDEX(Pagos_Odoo!$A:$A, MATCH(X782, Pagos_Odoo!$B:$B, 0)), ""))</f>
        <v/>
      </c>
      <c r="AA782" s="79">
        <f>IF(X782="Sin Pago","",IFERROR(INDEX(Pagos_Odoo!$F:$F, MATCH(X782, Pagos_Odoo!$B:$B, 0)), ""))</f>
        <v/>
      </c>
      <c r="AB782" s="81">
        <f>IF(X782="Sin Pago",0,IFERROR(INDEX(Pagos_Odoo!$E:$E, MATCH(X782, Pagos_Odoo!$B:$B, 0)), 0))</f>
        <v/>
      </c>
      <c r="AC782" s="79">
        <f>IF(X782="Sin Pago","",IFERROR(INDEX(Pagos_Odoo!$G:$G, MATCH(X782, Pagos_Odoo!$B:$B, 0)), ""))</f>
        <v/>
      </c>
      <c r="AD782" s="82" t="n">
        <v>0</v>
      </c>
      <c r="AE782" s="82" t="n"/>
      <c r="AF782" s="82" t="n"/>
      <c r="AG782" s="82">
        <f>IF(AN782="","",AD782+AE782+AF782)</f>
        <v/>
      </c>
      <c r="AH782" s="81">
        <f>IF(AN782="","",P782*(1-AG782))</f>
        <v/>
      </c>
      <c r="AI782" s="81">
        <f>IF(AN782="","",IF(Q782="Sin Factura",0,IFERROR(INDEX(Facturas_Odoo!$H:$H, MATCH(Q782, Facturas_Odoo!$B:$B, 0)), 0)*(1-AG782)))</f>
        <v/>
      </c>
      <c r="AJ782" s="81">
        <f>IF(AN782="","",_xlfn.LET(idVenta, AN782&amp;"",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82" s="81">
        <f>IF(AN782="","",AH782-AJ782)</f>
        <v/>
      </c>
      <c r="AL782" s="81">
        <f>IF(AN782="","",IF(Q782="Sin Factura","",AI782-AJ782))</f>
        <v/>
      </c>
      <c r="AM782" s="81">
        <f>IF(AN782="","",IF(Q782="Sin Factura",0,P782-IFERROR(INDEX(Facturas_Odoo!$H:$H, MATCH(Q782, Facturas_Odoo!$B:$B, 0)), 0)))</f>
        <v/>
      </c>
      <c r="AN782" s="79">
        <f>IF(AND(A782="", J782=""), "", IF(A782&lt;&gt;"", VALUE(MID(A782,2,LEN(A782))), AN781))</f>
        <v/>
      </c>
      <c r="AO782" s="79">
        <f>IF(AN782="","",IF(AD782=0,"OK",_xlfn.LET(monedaPago, IF(AA782="","USD",AA782), limitePermitido, IFERROR(VLOOKUP(monedaPago, Configuración!$A$2:$B$3, 2, FALSE), 0.15), IF(AD782&gt;limitePermitido, "ALERTA: EXCESO (" &amp; TEXT(limitePermitido, "0%") &amp; " máx)", "OK"))))</f>
        <v/>
      </c>
      <c r="AP782" s="79">
        <f>IF(AN782="","",IF(AE782=0,"OK",_xlfn.LET(fechaPago, Z782, fechaFactura, R782, diasCredito, IF(E782="Pago inmediato", 0, IFERROR(VALUE(MID(E782, 1, SEARCH(" ", E782)-1)),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82" s="79">
        <f>IF(AN782="","",IF(AND(N782&gt;0, AG782&gt;0), IF(Configuración!$K$2="NO", "ALERTA: DESCUENTO DOBLE NO PERMITIDO", "OK"), "OK"))</f>
        <v/>
      </c>
      <c r="AR782" s="79">
        <f>IF(AN782="","",IF(OR(AO782&lt;&gt;"OK", AP782&lt;&gt;"OK", AQ782&lt;&gt;"OK"), "⚠️ REVISAR", "OK"))</f>
        <v/>
      </c>
    </row>
    <row r="783">
      <c r="A783" s="79">
        <f>IF('Ordenes_Odoo'!A783="","",'Ordenes_Odoo'!A783)</f>
        <v/>
      </c>
      <c r="B783" s="80">
        <f>IF('Ordenes_Odoo'!B783="","",'Ordenes_Odoo'!B783)</f>
        <v/>
      </c>
      <c r="C783" s="79">
        <f>IF('Ordenes_Odoo'!C783="","",'Ordenes_Odoo'!C783)</f>
        <v/>
      </c>
      <c r="D783" s="79">
        <f>IF('Ordenes_Odoo'!D783="","",'Ordenes_Odoo'!D783)</f>
        <v/>
      </c>
      <c r="E783" s="79">
        <f>IF('Ordenes_Odoo'!E783="","",'Ordenes_Odoo'!E783)</f>
        <v/>
      </c>
      <c r="F783" s="79">
        <f>IF('Ordenes_Odoo'!F783="","",'Ordenes_Odoo'!F783)</f>
        <v/>
      </c>
      <c r="G783" s="79">
        <f>IF('Ordenes_Odoo'!G783="","",'Ordenes_Odoo'!G783)</f>
        <v/>
      </c>
      <c r="H783" s="79">
        <f>IF('Ordenes_Odoo'!H783="","",'Ordenes_Odoo'!H783)</f>
        <v/>
      </c>
      <c r="I783" s="79">
        <f>IF('Ordenes_Odoo'!I783="","",'Ordenes_Odoo'!I783)</f>
        <v/>
      </c>
      <c r="J783" s="79">
        <f>IF('Ordenes_Odoo'!J783="","",'Ordenes_Odoo'!J783)</f>
        <v/>
      </c>
      <c r="K783" s="81">
        <f>IF('Ordenes_Odoo'!K783="","",'Ordenes_Odoo'!K783)</f>
        <v/>
      </c>
      <c r="L783" s="81">
        <f>IF('Ordenes_Odoo'!L783="","",'Ordenes_Odoo'!L783)</f>
        <v/>
      </c>
      <c r="M783" s="79">
        <f>IF('Ordenes_Odoo'!M783="","",'Ordenes_Odoo'!M783)</f>
        <v/>
      </c>
      <c r="N783" s="79">
        <f>IF('Ordenes_Odoo'!N783="","",'Ordenes_Odoo'!N783)</f>
        <v/>
      </c>
      <c r="O783" s="81">
        <f>IF('Ordenes_Odoo'!O783="","",'Ordenes_Odoo'!O783)</f>
        <v/>
      </c>
      <c r="P783" s="81">
        <f>IF('Ordenes_Odoo'!P783="","",'Ordenes_Odoo'!P783)</f>
        <v/>
      </c>
      <c r="Q783" s="79">
        <f>IF(A783="","",IFERROR(INDEX(Facturas_Odoo!$B:$B, MATCH(A783, Facturas_Odoo!$D:$D, 0)), "Sin Factura"))</f>
        <v/>
      </c>
      <c r="R783" s="80">
        <f>IF(Q783="Sin Factura","",IFERROR(INDEX(Facturas_Odoo!$A:$A, MATCH(Q783, Facturas_Odoo!$B:$B, 0)), ""))</f>
        <v/>
      </c>
      <c r="S783" s="79">
        <f>IF(Q783="Sin Factura","",IFERROR(_xlfn.XLOOKUP(1, (Facturas_Odoo!$D:$D=A783) * (Facturas_Odoo!$K:$K=I783), Facturas_Odoo!$L:$L, ""), ""))</f>
        <v/>
      </c>
      <c r="T783" s="81">
        <f>IF(Q783="Sin Factura",0,IFERROR(_xlfn.XLOOKUP(1, (Facturas_Odoo!$D:$D=A783) * (Facturas_Odoo!$K:$K=I783), Facturas_Odoo!$M:$M, 0), 0))</f>
        <v/>
      </c>
      <c r="U783" s="79">
        <f>IF(Q783="Sin Factura",0,IFERROR(_xlfn.XLOOKUP(1, (Facturas_Odoo!$D:$D=A783) * (Facturas_Odoo!$K:$K=I783), Facturas_Odoo!$N:$N, 0), 0))</f>
        <v/>
      </c>
      <c r="V783" s="79">
        <f>IF(Q783="Sin Factura",0,IFERROR(_xlfn.XLOOKUP(1, (Facturas_Odoo!$D:$D=A783) * (Facturas_Odoo!$K:$K=I783), Facturas_Odoo!$O:$O, 0), 0))</f>
        <v/>
      </c>
      <c r="W783" s="81">
        <f>IF(Q783="Sin Factura",0,IFERROR(_xlfn.XLOOKUP(1, (Facturas_Odoo!$D:$D=A783) * (Facturas_Odoo!$K:$K=I783), Facturas_Odoo!$Q:$Q, 0), 0))</f>
        <v/>
      </c>
      <c r="X783" s="79">
        <f>IF(OR(Q783="Sin Factura",Q783=""),"",IFERROR(INDEX(Pagos_Odoo!$B:$B, MATCH(Q783, Pagos_Odoo!$I:$I, 0)), "Sin Pago"))</f>
        <v/>
      </c>
      <c r="Y783" s="79">
        <f>IF(X783="Sin Pago","",IFERROR(INDEX(Pagos_Odoo!$C:$C, MATCH(X783, Pagos_Odoo!$B:$B, 0)), ""))</f>
        <v/>
      </c>
      <c r="Z783" s="80">
        <f>IF(X783="Sin Pago","",IFERROR(INDEX(Pagos_Odoo!$A:$A, MATCH(X783, Pagos_Odoo!$B:$B, 0)), ""))</f>
        <v/>
      </c>
      <c r="AA783" s="79">
        <f>IF(X783="Sin Pago","",IFERROR(INDEX(Pagos_Odoo!$F:$F, MATCH(X783, Pagos_Odoo!$B:$B, 0)), ""))</f>
        <v/>
      </c>
      <c r="AB783" s="81">
        <f>IF(X783="Sin Pago",0,IFERROR(INDEX(Pagos_Odoo!$E:$E, MATCH(X783, Pagos_Odoo!$B:$B, 0)), 0))</f>
        <v/>
      </c>
      <c r="AC783" s="79">
        <f>IF(X783="Sin Pago","",IFERROR(INDEX(Pagos_Odoo!$G:$G, MATCH(X783, Pagos_Odoo!$B:$B, 0)), ""))</f>
        <v/>
      </c>
      <c r="AD783" s="82" t="n">
        <v>0</v>
      </c>
      <c r="AE783" s="82" t="n"/>
      <c r="AF783" s="82" t="n"/>
      <c r="AG783" s="82">
        <f>IF(AN783="","",AD783+AE783+AF783)</f>
        <v/>
      </c>
      <c r="AH783" s="81">
        <f>IF(AN783="","",P783*(1-AG783))</f>
        <v/>
      </c>
      <c r="AI783" s="81">
        <f>IF(AN783="","",IF(Q783="Sin Factura",0,IFERROR(INDEX(Facturas_Odoo!$H:$H, MATCH(Q783, Facturas_Odoo!$B:$B, 0)), 0)*(1-AG783)))</f>
        <v/>
      </c>
      <c r="AJ783" s="81">
        <f>IF(AN783="","",_xlfn.LET(idVenta, AN783&amp;"",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83" s="81">
        <f>IF(AN783="","",AH783-AJ783)</f>
        <v/>
      </c>
      <c r="AL783" s="81">
        <f>IF(AN783="","",IF(Q783="Sin Factura","",AI783-AJ783))</f>
        <v/>
      </c>
      <c r="AM783" s="81">
        <f>IF(AN783="","",IF(Q783="Sin Factura",0,P783-IFERROR(INDEX(Facturas_Odoo!$H:$H, MATCH(Q783, Facturas_Odoo!$B:$B, 0)), 0)))</f>
        <v/>
      </c>
      <c r="AN783" s="79">
        <f>IF(AND(A783="", J783=""), "", IF(A783&lt;&gt;"", VALUE(MID(A783,2,LEN(A783))), AN782))</f>
        <v/>
      </c>
      <c r="AO783" s="79">
        <f>IF(AN783="","",IF(AD783=0,"OK",_xlfn.LET(monedaPago, IF(AA783="","USD",AA783), limitePermitido, IFERROR(VLOOKUP(monedaPago, Configuración!$A$2:$B$3, 2, FALSE), 0.15), IF(AD783&gt;limitePermitido, "ALERTA: EXCESO (" &amp; TEXT(limitePermitido, "0%") &amp; " máx)", "OK"))))</f>
        <v/>
      </c>
      <c r="AP783" s="79">
        <f>IF(AN783="","",IF(AE783=0,"OK",_xlfn.LET(fechaPago, Z783, fechaFactura, R783, diasCredito, IF(E783="Pago inmediato", 0, IFERROR(VALUE(MID(E783, 1, SEARCH(" ", E783)-1)),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83" s="79">
        <f>IF(AN783="","",IF(AND(N783&gt;0, AG783&gt;0), IF(Configuración!$K$2="NO", "ALERTA: DESCUENTO DOBLE NO PERMITIDO", "OK"), "OK"))</f>
        <v/>
      </c>
      <c r="AR783" s="79">
        <f>IF(AN783="","",IF(OR(AO783&lt;&gt;"OK", AP783&lt;&gt;"OK", AQ783&lt;&gt;"OK"), "⚠️ REVISAR", "OK"))</f>
        <v/>
      </c>
    </row>
    <row r="784">
      <c r="A784" s="79">
        <f>IF('Ordenes_Odoo'!A784="","",'Ordenes_Odoo'!A784)</f>
        <v/>
      </c>
      <c r="B784" s="80">
        <f>IF('Ordenes_Odoo'!B784="","",'Ordenes_Odoo'!B784)</f>
        <v/>
      </c>
      <c r="C784" s="79">
        <f>IF('Ordenes_Odoo'!C784="","",'Ordenes_Odoo'!C784)</f>
        <v/>
      </c>
      <c r="D784" s="79">
        <f>IF('Ordenes_Odoo'!D784="","",'Ordenes_Odoo'!D784)</f>
        <v/>
      </c>
      <c r="E784" s="79">
        <f>IF('Ordenes_Odoo'!E784="","",'Ordenes_Odoo'!E784)</f>
        <v/>
      </c>
      <c r="F784" s="79">
        <f>IF('Ordenes_Odoo'!F784="","",'Ordenes_Odoo'!F784)</f>
        <v/>
      </c>
      <c r="G784" s="79">
        <f>IF('Ordenes_Odoo'!G784="","",'Ordenes_Odoo'!G784)</f>
        <v/>
      </c>
      <c r="H784" s="79">
        <f>IF('Ordenes_Odoo'!H784="","",'Ordenes_Odoo'!H784)</f>
        <v/>
      </c>
      <c r="I784" s="79">
        <f>IF('Ordenes_Odoo'!I784="","",'Ordenes_Odoo'!I784)</f>
        <v/>
      </c>
      <c r="J784" s="79">
        <f>IF('Ordenes_Odoo'!J784="","",'Ordenes_Odoo'!J784)</f>
        <v/>
      </c>
      <c r="K784" s="81">
        <f>IF('Ordenes_Odoo'!K784="","",'Ordenes_Odoo'!K784)</f>
        <v/>
      </c>
      <c r="L784" s="81">
        <f>IF('Ordenes_Odoo'!L784="","",'Ordenes_Odoo'!L784)</f>
        <v/>
      </c>
      <c r="M784" s="79">
        <f>IF('Ordenes_Odoo'!M784="","",'Ordenes_Odoo'!M784)</f>
        <v/>
      </c>
      <c r="N784" s="79">
        <f>IF('Ordenes_Odoo'!N784="","",'Ordenes_Odoo'!N784)</f>
        <v/>
      </c>
      <c r="O784" s="81">
        <f>IF('Ordenes_Odoo'!O784="","",'Ordenes_Odoo'!O784)</f>
        <v/>
      </c>
      <c r="P784" s="81">
        <f>IF('Ordenes_Odoo'!P784="","",'Ordenes_Odoo'!P784)</f>
        <v/>
      </c>
      <c r="Q784" s="79">
        <f>IF(A784="","",IFERROR(INDEX(Facturas_Odoo!$B:$B, MATCH(A784, Facturas_Odoo!$D:$D, 0)), "Sin Factura"))</f>
        <v/>
      </c>
      <c r="R784" s="80">
        <f>IF(Q784="Sin Factura","",IFERROR(INDEX(Facturas_Odoo!$A:$A, MATCH(Q784, Facturas_Odoo!$B:$B, 0)), ""))</f>
        <v/>
      </c>
      <c r="S784" s="79">
        <f>IF(Q784="Sin Factura","",IFERROR(_xlfn.XLOOKUP(1, (Facturas_Odoo!$D:$D=A784) * (Facturas_Odoo!$K:$K=I784), Facturas_Odoo!$L:$L, ""), ""))</f>
        <v/>
      </c>
      <c r="T784" s="81">
        <f>IF(Q784="Sin Factura",0,IFERROR(_xlfn.XLOOKUP(1, (Facturas_Odoo!$D:$D=A784) * (Facturas_Odoo!$K:$K=I784), Facturas_Odoo!$M:$M, 0), 0))</f>
        <v/>
      </c>
      <c r="U784" s="79">
        <f>IF(Q784="Sin Factura",0,IFERROR(_xlfn.XLOOKUP(1, (Facturas_Odoo!$D:$D=A784) * (Facturas_Odoo!$K:$K=I784), Facturas_Odoo!$N:$N, 0), 0))</f>
        <v/>
      </c>
      <c r="V784" s="79">
        <f>IF(Q784="Sin Factura",0,IFERROR(_xlfn.XLOOKUP(1, (Facturas_Odoo!$D:$D=A784) * (Facturas_Odoo!$K:$K=I784), Facturas_Odoo!$O:$O, 0), 0))</f>
        <v/>
      </c>
      <c r="W784" s="81">
        <f>IF(Q784="Sin Factura",0,IFERROR(_xlfn.XLOOKUP(1, (Facturas_Odoo!$D:$D=A784) * (Facturas_Odoo!$K:$K=I784), Facturas_Odoo!$Q:$Q, 0), 0))</f>
        <v/>
      </c>
      <c r="X784" s="79">
        <f>IF(OR(Q784="Sin Factura",Q784=""),"",IFERROR(INDEX(Pagos_Odoo!$B:$B, MATCH(Q784, Pagos_Odoo!$I:$I, 0)), "Sin Pago"))</f>
        <v/>
      </c>
      <c r="Y784" s="79">
        <f>IF(X784="Sin Pago","",IFERROR(INDEX(Pagos_Odoo!$C:$C, MATCH(X784, Pagos_Odoo!$B:$B, 0)), ""))</f>
        <v/>
      </c>
      <c r="Z784" s="80">
        <f>IF(X784="Sin Pago","",IFERROR(INDEX(Pagos_Odoo!$A:$A, MATCH(X784, Pagos_Odoo!$B:$B, 0)), ""))</f>
        <v/>
      </c>
      <c r="AA784" s="79">
        <f>IF(X784="Sin Pago","",IFERROR(INDEX(Pagos_Odoo!$F:$F, MATCH(X784, Pagos_Odoo!$B:$B, 0)), ""))</f>
        <v/>
      </c>
      <c r="AB784" s="81">
        <f>IF(X784="Sin Pago",0,IFERROR(INDEX(Pagos_Odoo!$E:$E, MATCH(X784, Pagos_Odoo!$B:$B, 0)), 0))</f>
        <v/>
      </c>
      <c r="AC784" s="79">
        <f>IF(X784="Sin Pago","",IFERROR(INDEX(Pagos_Odoo!$G:$G, MATCH(X784, Pagos_Odoo!$B:$B, 0)), ""))</f>
        <v/>
      </c>
      <c r="AD784" s="82" t="n">
        <v>0</v>
      </c>
      <c r="AE784" s="82" t="n"/>
      <c r="AF784" s="82" t="n"/>
      <c r="AG784" s="82">
        <f>IF(AN784="","",AD784+AE784+AF784)</f>
        <v/>
      </c>
      <c r="AH784" s="81">
        <f>IF(AN784="","",P784*(1-AG784))</f>
        <v/>
      </c>
      <c r="AI784" s="81">
        <f>IF(AN784="","",IF(Q784="Sin Factura",0,IFERROR(INDEX(Facturas_Odoo!$H:$H, MATCH(Q784, Facturas_Odoo!$B:$B, 0)), 0)*(1-AG784)))</f>
        <v/>
      </c>
      <c r="AJ784" s="81">
        <f>IF(AN784="","",_xlfn.LET(idVenta, AN784&amp;"",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84" s="81">
        <f>IF(AN784="","",AH784-AJ784)</f>
        <v/>
      </c>
      <c r="AL784" s="81">
        <f>IF(AN784="","",IF(Q784="Sin Factura","",AI784-AJ784))</f>
        <v/>
      </c>
      <c r="AM784" s="81">
        <f>IF(AN784="","",IF(Q784="Sin Factura",0,P784-IFERROR(INDEX(Facturas_Odoo!$H:$H, MATCH(Q784, Facturas_Odoo!$B:$B, 0)), 0)))</f>
        <v/>
      </c>
      <c r="AN784" s="79">
        <f>IF(AND(A784="", J784=""), "", IF(A784&lt;&gt;"", VALUE(MID(A784,2,LEN(A784))), AN783))</f>
        <v/>
      </c>
      <c r="AO784" s="79">
        <f>IF(AN784="","",IF(AD784=0,"OK",_xlfn.LET(monedaPago, IF(AA784="","USD",AA784), limitePermitido, IFERROR(VLOOKUP(monedaPago, Configuración!$A$2:$B$3, 2, FALSE), 0.15), IF(AD784&gt;limitePermitido, "ALERTA: EXCESO (" &amp; TEXT(limitePermitido, "0%") &amp; " máx)", "OK"))))</f>
        <v/>
      </c>
      <c r="AP784" s="79">
        <f>IF(AN784="","",IF(AE784=0,"OK",_xlfn.LET(fechaPago, Z784, fechaFactura, R784, diasCredito, IF(E784="Pago inmediato", 0, IFERROR(VALUE(MID(E784, 1, SEARCH(" ", E784)-1)),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84" s="79">
        <f>IF(AN784="","",IF(AND(N784&gt;0, AG784&gt;0), IF(Configuración!$K$2="NO", "ALERTA: DESCUENTO DOBLE NO PERMITIDO", "OK"), "OK"))</f>
        <v/>
      </c>
      <c r="AR784" s="79">
        <f>IF(AN784="","",IF(OR(AO784&lt;&gt;"OK", AP784&lt;&gt;"OK", AQ784&lt;&gt;"OK"), "⚠️ REVISAR", "OK"))</f>
        <v/>
      </c>
    </row>
    <row r="785">
      <c r="A785" s="79">
        <f>IF('Ordenes_Odoo'!A785="","",'Ordenes_Odoo'!A785)</f>
        <v/>
      </c>
      <c r="B785" s="80">
        <f>IF('Ordenes_Odoo'!B785="","",'Ordenes_Odoo'!B785)</f>
        <v/>
      </c>
      <c r="C785" s="79">
        <f>IF('Ordenes_Odoo'!C785="","",'Ordenes_Odoo'!C785)</f>
        <v/>
      </c>
      <c r="D785" s="79">
        <f>IF('Ordenes_Odoo'!D785="","",'Ordenes_Odoo'!D785)</f>
        <v/>
      </c>
      <c r="E785" s="79">
        <f>IF('Ordenes_Odoo'!E785="","",'Ordenes_Odoo'!E785)</f>
        <v/>
      </c>
      <c r="F785" s="79">
        <f>IF('Ordenes_Odoo'!F785="","",'Ordenes_Odoo'!F785)</f>
        <v/>
      </c>
      <c r="G785" s="79">
        <f>IF('Ordenes_Odoo'!G785="","",'Ordenes_Odoo'!G785)</f>
        <v/>
      </c>
      <c r="H785" s="79">
        <f>IF('Ordenes_Odoo'!H785="","",'Ordenes_Odoo'!H785)</f>
        <v/>
      </c>
      <c r="I785" s="79">
        <f>IF('Ordenes_Odoo'!I785="","",'Ordenes_Odoo'!I785)</f>
        <v/>
      </c>
      <c r="J785" s="79">
        <f>IF('Ordenes_Odoo'!J785="","",'Ordenes_Odoo'!J785)</f>
        <v/>
      </c>
      <c r="K785" s="81">
        <f>IF('Ordenes_Odoo'!K785="","",'Ordenes_Odoo'!K785)</f>
        <v/>
      </c>
      <c r="L785" s="81">
        <f>IF('Ordenes_Odoo'!L785="","",'Ordenes_Odoo'!L785)</f>
        <v/>
      </c>
      <c r="M785" s="79">
        <f>IF('Ordenes_Odoo'!M785="","",'Ordenes_Odoo'!M785)</f>
        <v/>
      </c>
      <c r="N785" s="79">
        <f>IF('Ordenes_Odoo'!N785="","",'Ordenes_Odoo'!N785)</f>
        <v/>
      </c>
      <c r="O785" s="81">
        <f>IF('Ordenes_Odoo'!O785="","",'Ordenes_Odoo'!O785)</f>
        <v/>
      </c>
      <c r="P785" s="81">
        <f>IF('Ordenes_Odoo'!P785="","",'Ordenes_Odoo'!P785)</f>
        <v/>
      </c>
      <c r="Q785" s="79">
        <f>IF(A785="","",IFERROR(INDEX(Facturas_Odoo!$B:$B, MATCH(A785, Facturas_Odoo!$D:$D, 0)), "Sin Factura"))</f>
        <v/>
      </c>
      <c r="R785" s="80">
        <f>IF(Q785="Sin Factura","",IFERROR(INDEX(Facturas_Odoo!$A:$A, MATCH(Q785, Facturas_Odoo!$B:$B, 0)), ""))</f>
        <v/>
      </c>
      <c r="S785" s="79">
        <f>IF(Q785="Sin Factura","",IFERROR(_xlfn.XLOOKUP(1, (Facturas_Odoo!$D:$D=A785) * (Facturas_Odoo!$K:$K=I785), Facturas_Odoo!$L:$L, ""), ""))</f>
        <v/>
      </c>
      <c r="T785" s="81">
        <f>IF(Q785="Sin Factura",0,IFERROR(_xlfn.XLOOKUP(1, (Facturas_Odoo!$D:$D=A785) * (Facturas_Odoo!$K:$K=I785), Facturas_Odoo!$M:$M, 0), 0))</f>
        <v/>
      </c>
      <c r="U785" s="79">
        <f>IF(Q785="Sin Factura",0,IFERROR(_xlfn.XLOOKUP(1, (Facturas_Odoo!$D:$D=A785) * (Facturas_Odoo!$K:$K=I785), Facturas_Odoo!$N:$N, 0), 0))</f>
        <v/>
      </c>
      <c r="V785" s="79">
        <f>IF(Q785="Sin Factura",0,IFERROR(_xlfn.XLOOKUP(1, (Facturas_Odoo!$D:$D=A785) * (Facturas_Odoo!$K:$K=I785), Facturas_Odoo!$O:$O, 0), 0))</f>
        <v/>
      </c>
      <c r="W785" s="81">
        <f>IF(Q785="Sin Factura",0,IFERROR(_xlfn.XLOOKUP(1, (Facturas_Odoo!$D:$D=A785) * (Facturas_Odoo!$K:$K=I785), Facturas_Odoo!$Q:$Q, 0), 0))</f>
        <v/>
      </c>
      <c r="X785" s="79">
        <f>IF(OR(Q785="Sin Factura",Q785=""),"",IFERROR(INDEX(Pagos_Odoo!$B:$B, MATCH(Q785, Pagos_Odoo!$I:$I, 0)), "Sin Pago"))</f>
        <v/>
      </c>
      <c r="Y785" s="79">
        <f>IF(X785="Sin Pago","",IFERROR(INDEX(Pagos_Odoo!$C:$C, MATCH(X785, Pagos_Odoo!$B:$B, 0)), ""))</f>
        <v/>
      </c>
      <c r="Z785" s="80">
        <f>IF(X785="Sin Pago","",IFERROR(INDEX(Pagos_Odoo!$A:$A, MATCH(X785, Pagos_Odoo!$B:$B, 0)), ""))</f>
        <v/>
      </c>
      <c r="AA785" s="79">
        <f>IF(X785="Sin Pago","",IFERROR(INDEX(Pagos_Odoo!$F:$F, MATCH(X785, Pagos_Odoo!$B:$B, 0)), ""))</f>
        <v/>
      </c>
      <c r="AB785" s="81">
        <f>IF(X785="Sin Pago",0,IFERROR(INDEX(Pagos_Odoo!$E:$E, MATCH(X785, Pagos_Odoo!$B:$B, 0)), 0))</f>
        <v/>
      </c>
      <c r="AC785" s="79">
        <f>IF(X785="Sin Pago","",IFERROR(INDEX(Pagos_Odoo!$G:$G, MATCH(X785, Pagos_Odoo!$B:$B, 0)), ""))</f>
        <v/>
      </c>
      <c r="AD785" s="82" t="n">
        <v>0</v>
      </c>
      <c r="AE785" s="82" t="n"/>
      <c r="AF785" s="82" t="n"/>
      <c r="AG785" s="82">
        <f>IF(AN785="","",AD785+AE785+AF785)</f>
        <v/>
      </c>
      <c r="AH785" s="81">
        <f>IF(AN785="","",P785*(1-AG785))</f>
        <v/>
      </c>
      <c r="AI785" s="81">
        <f>IF(AN785="","",IF(Q785="Sin Factura",0,IFERROR(INDEX(Facturas_Odoo!$H:$H, MATCH(Q785, Facturas_Odoo!$B:$B, 0)), 0)*(1-AG785)))</f>
        <v/>
      </c>
      <c r="AJ785" s="81">
        <f>IF(AN785="","",_xlfn.LET(idVenta, AN785&amp;"",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85" s="81">
        <f>IF(AN785="","",AH785-AJ785)</f>
        <v/>
      </c>
      <c r="AL785" s="81">
        <f>IF(AN785="","",IF(Q785="Sin Factura","",AI785-AJ785))</f>
        <v/>
      </c>
      <c r="AM785" s="81">
        <f>IF(AN785="","",IF(Q785="Sin Factura",0,P785-IFERROR(INDEX(Facturas_Odoo!$H:$H, MATCH(Q785, Facturas_Odoo!$B:$B, 0)), 0)))</f>
        <v/>
      </c>
      <c r="AN785" s="79">
        <f>IF(AND(A785="", J785=""), "", IF(A785&lt;&gt;"", VALUE(MID(A785,2,LEN(A785))), AN784))</f>
        <v/>
      </c>
      <c r="AO785" s="79">
        <f>IF(AN785="","",IF(AD785=0,"OK",_xlfn.LET(monedaPago, IF(AA785="","USD",AA785), limitePermitido, IFERROR(VLOOKUP(monedaPago, Configuración!$A$2:$B$3, 2, FALSE), 0.15), IF(AD785&gt;limitePermitido, "ALERTA: EXCESO (" &amp; TEXT(limitePermitido, "0%") &amp; " máx)", "OK"))))</f>
        <v/>
      </c>
      <c r="AP785" s="79">
        <f>IF(AN785="","",IF(AE785=0,"OK",_xlfn.LET(fechaPago, Z785, fechaFactura, R785, diasCredito, IF(E785="Pago inmediato", 0, IFERROR(VALUE(MID(E785, 1, SEARCH(" ", E785)-1)),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85" s="79">
        <f>IF(AN785="","",IF(AND(N785&gt;0, AG785&gt;0), IF(Configuración!$K$2="NO", "ALERTA: DESCUENTO DOBLE NO PERMITIDO", "OK"), "OK"))</f>
        <v/>
      </c>
      <c r="AR785" s="79">
        <f>IF(AN785="","",IF(OR(AO785&lt;&gt;"OK", AP785&lt;&gt;"OK", AQ785&lt;&gt;"OK"), "⚠️ REVISAR", "OK"))</f>
        <v/>
      </c>
    </row>
    <row r="786">
      <c r="A786" s="79">
        <f>IF('Ordenes_Odoo'!A786="","",'Ordenes_Odoo'!A786)</f>
        <v/>
      </c>
      <c r="B786" s="80">
        <f>IF('Ordenes_Odoo'!B786="","",'Ordenes_Odoo'!B786)</f>
        <v/>
      </c>
      <c r="C786" s="79">
        <f>IF('Ordenes_Odoo'!C786="","",'Ordenes_Odoo'!C786)</f>
        <v/>
      </c>
      <c r="D786" s="79">
        <f>IF('Ordenes_Odoo'!D786="","",'Ordenes_Odoo'!D786)</f>
        <v/>
      </c>
      <c r="E786" s="79">
        <f>IF('Ordenes_Odoo'!E786="","",'Ordenes_Odoo'!E786)</f>
        <v/>
      </c>
      <c r="F786" s="79">
        <f>IF('Ordenes_Odoo'!F786="","",'Ordenes_Odoo'!F786)</f>
        <v/>
      </c>
      <c r="G786" s="79">
        <f>IF('Ordenes_Odoo'!G786="","",'Ordenes_Odoo'!G786)</f>
        <v/>
      </c>
      <c r="H786" s="79">
        <f>IF('Ordenes_Odoo'!H786="","",'Ordenes_Odoo'!H786)</f>
        <v/>
      </c>
      <c r="I786" s="79">
        <f>IF('Ordenes_Odoo'!I786="","",'Ordenes_Odoo'!I786)</f>
        <v/>
      </c>
      <c r="J786" s="79">
        <f>IF('Ordenes_Odoo'!J786="","",'Ordenes_Odoo'!J786)</f>
        <v/>
      </c>
      <c r="K786" s="81">
        <f>IF('Ordenes_Odoo'!K786="","",'Ordenes_Odoo'!K786)</f>
        <v/>
      </c>
      <c r="L786" s="81">
        <f>IF('Ordenes_Odoo'!L786="","",'Ordenes_Odoo'!L786)</f>
        <v/>
      </c>
      <c r="M786" s="79">
        <f>IF('Ordenes_Odoo'!M786="","",'Ordenes_Odoo'!M786)</f>
        <v/>
      </c>
      <c r="N786" s="79">
        <f>IF('Ordenes_Odoo'!N786="","",'Ordenes_Odoo'!N786)</f>
        <v/>
      </c>
      <c r="O786" s="81">
        <f>IF('Ordenes_Odoo'!O786="","",'Ordenes_Odoo'!O786)</f>
        <v/>
      </c>
      <c r="P786" s="81">
        <f>IF('Ordenes_Odoo'!P786="","",'Ordenes_Odoo'!P786)</f>
        <v/>
      </c>
      <c r="Q786" s="79">
        <f>IF(A786="","",IFERROR(INDEX(Facturas_Odoo!$B:$B, MATCH(A786, Facturas_Odoo!$D:$D, 0)), "Sin Factura"))</f>
        <v/>
      </c>
      <c r="R786" s="80">
        <f>IF(Q786="Sin Factura","",IFERROR(INDEX(Facturas_Odoo!$A:$A, MATCH(Q786, Facturas_Odoo!$B:$B, 0)), ""))</f>
        <v/>
      </c>
      <c r="S786" s="79">
        <f>IF(Q786="Sin Factura","",IFERROR(_xlfn.XLOOKUP(1, (Facturas_Odoo!$D:$D=A786) * (Facturas_Odoo!$K:$K=I786), Facturas_Odoo!$L:$L, ""), ""))</f>
        <v/>
      </c>
      <c r="T786" s="81">
        <f>IF(Q786="Sin Factura",0,IFERROR(_xlfn.XLOOKUP(1, (Facturas_Odoo!$D:$D=A786) * (Facturas_Odoo!$K:$K=I786), Facturas_Odoo!$M:$M, 0), 0))</f>
        <v/>
      </c>
      <c r="U786" s="79">
        <f>IF(Q786="Sin Factura",0,IFERROR(_xlfn.XLOOKUP(1, (Facturas_Odoo!$D:$D=A786) * (Facturas_Odoo!$K:$K=I786), Facturas_Odoo!$N:$N, 0), 0))</f>
        <v/>
      </c>
      <c r="V786" s="79">
        <f>IF(Q786="Sin Factura",0,IFERROR(_xlfn.XLOOKUP(1, (Facturas_Odoo!$D:$D=A786) * (Facturas_Odoo!$K:$K=I786), Facturas_Odoo!$O:$O, 0), 0))</f>
        <v/>
      </c>
      <c r="W786" s="81">
        <f>IF(Q786="Sin Factura",0,IFERROR(_xlfn.XLOOKUP(1, (Facturas_Odoo!$D:$D=A786) * (Facturas_Odoo!$K:$K=I786), Facturas_Odoo!$Q:$Q, 0), 0))</f>
        <v/>
      </c>
      <c r="X786" s="79">
        <f>IF(OR(Q786="Sin Factura",Q786=""),"",IFERROR(INDEX(Pagos_Odoo!$B:$B, MATCH(Q786, Pagos_Odoo!$I:$I, 0)), "Sin Pago"))</f>
        <v/>
      </c>
      <c r="Y786" s="79">
        <f>IF(X786="Sin Pago","",IFERROR(INDEX(Pagos_Odoo!$C:$C, MATCH(X786, Pagos_Odoo!$B:$B, 0)), ""))</f>
        <v/>
      </c>
      <c r="Z786" s="80">
        <f>IF(X786="Sin Pago","",IFERROR(INDEX(Pagos_Odoo!$A:$A, MATCH(X786, Pagos_Odoo!$B:$B, 0)), ""))</f>
        <v/>
      </c>
      <c r="AA786" s="79">
        <f>IF(X786="Sin Pago","",IFERROR(INDEX(Pagos_Odoo!$F:$F, MATCH(X786, Pagos_Odoo!$B:$B, 0)), ""))</f>
        <v/>
      </c>
      <c r="AB786" s="81">
        <f>IF(X786="Sin Pago",0,IFERROR(INDEX(Pagos_Odoo!$E:$E, MATCH(X786, Pagos_Odoo!$B:$B, 0)), 0))</f>
        <v/>
      </c>
      <c r="AC786" s="79">
        <f>IF(X786="Sin Pago","",IFERROR(INDEX(Pagos_Odoo!$G:$G, MATCH(X786, Pagos_Odoo!$B:$B, 0)), ""))</f>
        <v/>
      </c>
      <c r="AD786" s="82" t="n">
        <v>0</v>
      </c>
      <c r="AE786" s="82" t="n"/>
      <c r="AF786" s="82" t="n"/>
      <c r="AG786" s="82">
        <f>IF(AN786="","",AD786+AE786+AF786)</f>
        <v/>
      </c>
      <c r="AH786" s="81">
        <f>IF(AN786="","",P786*(1-AG786))</f>
        <v/>
      </c>
      <c r="AI786" s="81">
        <f>IF(AN786="","",IF(Q786="Sin Factura",0,IFERROR(INDEX(Facturas_Odoo!$H:$H, MATCH(Q786, Facturas_Odoo!$B:$B, 0)), 0)*(1-AG786)))</f>
        <v/>
      </c>
      <c r="AJ786" s="81">
        <f>IF(AN786="","",_xlfn.LET(idVenta, AN786&amp;"",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86" s="81">
        <f>IF(AN786="","",AH786-AJ786)</f>
        <v/>
      </c>
      <c r="AL786" s="81">
        <f>IF(AN786="","",IF(Q786="Sin Factura","",AI786-AJ786))</f>
        <v/>
      </c>
      <c r="AM786" s="81">
        <f>IF(AN786="","",IF(Q786="Sin Factura",0,P786-IFERROR(INDEX(Facturas_Odoo!$H:$H, MATCH(Q786, Facturas_Odoo!$B:$B, 0)), 0)))</f>
        <v/>
      </c>
      <c r="AN786" s="79">
        <f>IF(AND(A786="", J786=""), "", IF(A786&lt;&gt;"", VALUE(MID(A786,2,LEN(A786))), AN785))</f>
        <v/>
      </c>
      <c r="AO786" s="79">
        <f>IF(AN786="","",IF(AD786=0,"OK",_xlfn.LET(monedaPago, IF(AA786="","USD",AA786), limitePermitido, IFERROR(VLOOKUP(monedaPago, Configuración!$A$2:$B$3, 2, FALSE), 0.15), IF(AD786&gt;limitePermitido, "ALERTA: EXCESO (" &amp; TEXT(limitePermitido, "0%") &amp; " máx)", "OK"))))</f>
        <v/>
      </c>
      <c r="AP786" s="79">
        <f>IF(AN786="","",IF(AE786=0,"OK",_xlfn.LET(fechaPago, Z786, fechaFactura, R786, diasCredito, IF(E786="Pago inmediato", 0, IFERROR(VALUE(MID(E786, 1, SEARCH(" ", E786)-1)),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86" s="79">
        <f>IF(AN786="","",IF(AND(N786&gt;0, AG786&gt;0), IF(Configuración!$K$2="NO", "ALERTA: DESCUENTO DOBLE NO PERMITIDO", "OK"), "OK"))</f>
        <v/>
      </c>
      <c r="AR786" s="79">
        <f>IF(AN786="","",IF(OR(AO786&lt;&gt;"OK", AP786&lt;&gt;"OK", AQ786&lt;&gt;"OK"), "⚠️ REVISAR", "OK"))</f>
        <v/>
      </c>
    </row>
    <row r="787">
      <c r="A787" s="79">
        <f>IF('Ordenes_Odoo'!A787="","",'Ordenes_Odoo'!A787)</f>
        <v/>
      </c>
      <c r="B787" s="80">
        <f>IF('Ordenes_Odoo'!B787="","",'Ordenes_Odoo'!B787)</f>
        <v/>
      </c>
      <c r="C787" s="79">
        <f>IF('Ordenes_Odoo'!C787="","",'Ordenes_Odoo'!C787)</f>
        <v/>
      </c>
      <c r="D787" s="79">
        <f>IF('Ordenes_Odoo'!D787="","",'Ordenes_Odoo'!D787)</f>
        <v/>
      </c>
      <c r="E787" s="79">
        <f>IF('Ordenes_Odoo'!E787="","",'Ordenes_Odoo'!E787)</f>
        <v/>
      </c>
      <c r="F787" s="79">
        <f>IF('Ordenes_Odoo'!F787="","",'Ordenes_Odoo'!F787)</f>
        <v/>
      </c>
      <c r="G787" s="79">
        <f>IF('Ordenes_Odoo'!G787="","",'Ordenes_Odoo'!G787)</f>
        <v/>
      </c>
      <c r="H787" s="79">
        <f>IF('Ordenes_Odoo'!H787="","",'Ordenes_Odoo'!H787)</f>
        <v/>
      </c>
      <c r="I787" s="79">
        <f>IF('Ordenes_Odoo'!I787="","",'Ordenes_Odoo'!I787)</f>
        <v/>
      </c>
      <c r="J787" s="79">
        <f>IF('Ordenes_Odoo'!J787="","",'Ordenes_Odoo'!J787)</f>
        <v/>
      </c>
      <c r="K787" s="81">
        <f>IF('Ordenes_Odoo'!K787="","",'Ordenes_Odoo'!K787)</f>
        <v/>
      </c>
      <c r="L787" s="81">
        <f>IF('Ordenes_Odoo'!L787="","",'Ordenes_Odoo'!L787)</f>
        <v/>
      </c>
      <c r="M787" s="79">
        <f>IF('Ordenes_Odoo'!M787="","",'Ordenes_Odoo'!M787)</f>
        <v/>
      </c>
      <c r="N787" s="79">
        <f>IF('Ordenes_Odoo'!N787="","",'Ordenes_Odoo'!N787)</f>
        <v/>
      </c>
      <c r="O787" s="81">
        <f>IF('Ordenes_Odoo'!O787="","",'Ordenes_Odoo'!O787)</f>
        <v/>
      </c>
      <c r="P787" s="81">
        <f>IF('Ordenes_Odoo'!P787="","",'Ordenes_Odoo'!P787)</f>
        <v/>
      </c>
      <c r="Q787" s="79">
        <f>IF(A787="","",IFERROR(INDEX(Facturas_Odoo!$B:$B, MATCH(A787, Facturas_Odoo!$D:$D, 0)), "Sin Factura"))</f>
        <v/>
      </c>
      <c r="R787" s="80">
        <f>IF(Q787="Sin Factura","",IFERROR(INDEX(Facturas_Odoo!$A:$A, MATCH(Q787, Facturas_Odoo!$B:$B, 0)), ""))</f>
        <v/>
      </c>
      <c r="S787" s="79">
        <f>IF(Q787="Sin Factura","",IFERROR(_xlfn.XLOOKUP(1, (Facturas_Odoo!$D:$D=A787) * (Facturas_Odoo!$K:$K=I787), Facturas_Odoo!$L:$L, ""), ""))</f>
        <v/>
      </c>
      <c r="T787" s="81">
        <f>IF(Q787="Sin Factura",0,IFERROR(_xlfn.XLOOKUP(1, (Facturas_Odoo!$D:$D=A787) * (Facturas_Odoo!$K:$K=I787), Facturas_Odoo!$M:$M, 0), 0))</f>
        <v/>
      </c>
      <c r="U787" s="79">
        <f>IF(Q787="Sin Factura",0,IFERROR(_xlfn.XLOOKUP(1, (Facturas_Odoo!$D:$D=A787) * (Facturas_Odoo!$K:$K=I787), Facturas_Odoo!$N:$N, 0), 0))</f>
        <v/>
      </c>
      <c r="V787" s="79">
        <f>IF(Q787="Sin Factura",0,IFERROR(_xlfn.XLOOKUP(1, (Facturas_Odoo!$D:$D=A787) * (Facturas_Odoo!$K:$K=I787), Facturas_Odoo!$O:$O, 0), 0))</f>
        <v/>
      </c>
      <c r="W787" s="81">
        <f>IF(Q787="Sin Factura",0,IFERROR(_xlfn.XLOOKUP(1, (Facturas_Odoo!$D:$D=A787) * (Facturas_Odoo!$K:$K=I787), Facturas_Odoo!$Q:$Q, 0), 0))</f>
        <v/>
      </c>
      <c r="X787" s="79">
        <f>IF(OR(Q787="Sin Factura",Q787=""),"",IFERROR(INDEX(Pagos_Odoo!$B:$B, MATCH(Q787, Pagos_Odoo!$I:$I, 0)), "Sin Pago"))</f>
        <v/>
      </c>
      <c r="Y787" s="79">
        <f>IF(X787="Sin Pago","",IFERROR(INDEX(Pagos_Odoo!$C:$C, MATCH(X787, Pagos_Odoo!$B:$B, 0)), ""))</f>
        <v/>
      </c>
      <c r="Z787" s="80">
        <f>IF(X787="Sin Pago","",IFERROR(INDEX(Pagos_Odoo!$A:$A, MATCH(X787, Pagos_Odoo!$B:$B, 0)), ""))</f>
        <v/>
      </c>
      <c r="AA787" s="79">
        <f>IF(X787="Sin Pago","",IFERROR(INDEX(Pagos_Odoo!$F:$F, MATCH(X787, Pagos_Odoo!$B:$B, 0)), ""))</f>
        <v/>
      </c>
      <c r="AB787" s="81">
        <f>IF(X787="Sin Pago",0,IFERROR(INDEX(Pagos_Odoo!$E:$E, MATCH(X787, Pagos_Odoo!$B:$B, 0)), 0))</f>
        <v/>
      </c>
      <c r="AC787" s="79">
        <f>IF(X787="Sin Pago","",IFERROR(INDEX(Pagos_Odoo!$G:$G, MATCH(X787, Pagos_Odoo!$B:$B, 0)), ""))</f>
        <v/>
      </c>
      <c r="AD787" s="82" t="n">
        <v>0</v>
      </c>
      <c r="AE787" s="82" t="n"/>
      <c r="AF787" s="82" t="n"/>
      <c r="AG787" s="82">
        <f>IF(AN787="","",AD787+AE787+AF787)</f>
        <v/>
      </c>
      <c r="AH787" s="81">
        <f>IF(AN787="","",P787*(1-AG787))</f>
        <v/>
      </c>
      <c r="AI787" s="81">
        <f>IF(AN787="","",IF(Q787="Sin Factura",0,IFERROR(INDEX(Facturas_Odoo!$H:$H, MATCH(Q787, Facturas_Odoo!$B:$B, 0)), 0)*(1-AG787)))</f>
        <v/>
      </c>
      <c r="AJ787" s="81">
        <f>IF(AN787="","",_xlfn.LET(idVenta, AN787&amp;"",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87" s="81">
        <f>IF(AN787="","",AH787-AJ787)</f>
        <v/>
      </c>
      <c r="AL787" s="81">
        <f>IF(AN787="","",IF(Q787="Sin Factura","",AI787-AJ787))</f>
        <v/>
      </c>
      <c r="AM787" s="81">
        <f>IF(AN787="","",IF(Q787="Sin Factura",0,P787-IFERROR(INDEX(Facturas_Odoo!$H:$H, MATCH(Q787, Facturas_Odoo!$B:$B, 0)), 0)))</f>
        <v/>
      </c>
      <c r="AN787" s="79">
        <f>IF(AND(A787="", J787=""), "", IF(A787&lt;&gt;"", VALUE(MID(A787,2,LEN(A787))), AN786))</f>
        <v/>
      </c>
      <c r="AO787" s="79">
        <f>IF(AN787="","",IF(AD787=0,"OK",_xlfn.LET(monedaPago, IF(AA787="","USD",AA787), limitePermitido, IFERROR(VLOOKUP(monedaPago, Configuración!$A$2:$B$3, 2, FALSE), 0.15), IF(AD787&gt;limitePermitido, "ALERTA: EXCESO (" &amp; TEXT(limitePermitido, "0%") &amp; " máx)", "OK"))))</f>
        <v/>
      </c>
      <c r="AP787" s="79">
        <f>IF(AN787="","",IF(AE787=0,"OK",_xlfn.LET(fechaPago, Z787, fechaFactura, R787, diasCredito, IF(E787="Pago inmediato", 0, IFERROR(VALUE(MID(E787, 1, SEARCH(" ", E787)-1)),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87" s="79">
        <f>IF(AN787="","",IF(AND(N787&gt;0, AG787&gt;0), IF(Configuración!$K$2="NO", "ALERTA: DESCUENTO DOBLE NO PERMITIDO", "OK"), "OK"))</f>
        <v/>
      </c>
      <c r="AR787" s="79">
        <f>IF(AN787="","",IF(OR(AO787&lt;&gt;"OK", AP787&lt;&gt;"OK", AQ787&lt;&gt;"OK"), "⚠️ REVISAR", "OK"))</f>
        <v/>
      </c>
    </row>
    <row r="788">
      <c r="A788" s="79">
        <f>IF('Ordenes_Odoo'!A788="","",'Ordenes_Odoo'!A788)</f>
        <v/>
      </c>
      <c r="B788" s="80">
        <f>IF('Ordenes_Odoo'!B788="","",'Ordenes_Odoo'!B788)</f>
        <v/>
      </c>
      <c r="C788" s="79">
        <f>IF('Ordenes_Odoo'!C788="","",'Ordenes_Odoo'!C788)</f>
        <v/>
      </c>
      <c r="D788" s="79">
        <f>IF('Ordenes_Odoo'!D788="","",'Ordenes_Odoo'!D788)</f>
        <v/>
      </c>
      <c r="E788" s="79">
        <f>IF('Ordenes_Odoo'!E788="","",'Ordenes_Odoo'!E788)</f>
        <v/>
      </c>
      <c r="F788" s="79">
        <f>IF('Ordenes_Odoo'!F788="","",'Ordenes_Odoo'!F788)</f>
        <v/>
      </c>
      <c r="G788" s="79">
        <f>IF('Ordenes_Odoo'!G788="","",'Ordenes_Odoo'!G788)</f>
        <v/>
      </c>
      <c r="H788" s="79">
        <f>IF('Ordenes_Odoo'!H788="","",'Ordenes_Odoo'!H788)</f>
        <v/>
      </c>
      <c r="I788" s="79">
        <f>IF('Ordenes_Odoo'!I788="","",'Ordenes_Odoo'!I788)</f>
        <v/>
      </c>
      <c r="J788" s="79">
        <f>IF('Ordenes_Odoo'!J788="","",'Ordenes_Odoo'!J788)</f>
        <v/>
      </c>
      <c r="K788" s="81">
        <f>IF('Ordenes_Odoo'!K788="","",'Ordenes_Odoo'!K788)</f>
        <v/>
      </c>
      <c r="L788" s="81">
        <f>IF('Ordenes_Odoo'!L788="","",'Ordenes_Odoo'!L788)</f>
        <v/>
      </c>
      <c r="M788" s="79">
        <f>IF('Ordenes_Odoo'!M788="","",'Ordenes_Odoo'!M788)</f>
        <v/>
      </c>
      <c r="N788" s="79">
        <f>IF('Ordenes_Odoo'!N788="","",'Ordenes_Odoo'!N788)</f>
        <v/>
      </c>
      <c r="O788" s="81">
        <f>IF('Ordenes_Odoo'!O788="","",'Ordenes_Odoo'!O788)</f>
        <v/>
      </c>
      <c r="P788" s="81">
        <f>IF('Ordenes_Odoo'!P788="","",'Ordenes_Odoo'!P788)</f>
        <v/>
      </c>
      <c r="Q788" s="79">
        <f>IF(A788="","",IFERROR(INDEX(Facturas_Odoo!$B:$B, MATCH(A788, Facturas_Odoo!$D:$D, 0)), "Sin Factura"))</f>
        <v/>
      </c>
      <c r="R788" s="80">
        <f>IF(Q788="Sin Factura","",IFERROR(INDEX(Facturas_Odoo!$A:$A, MATCH(Q788, Facturas_Odoo!$B:$B, 0)), ""))</f>
        <v/>
      </c>
      <c r="S788" s="79">
        <f>IF(Q788="Sin Factura","",IFERROR(_xlfn.XLOOKUP(1, (Facturas_Odoo!$D:$D=A788) * (Facturas_Odoo!$K:$K=I788), Facturas_Odoo!$L:$L, ""), ""))</f>
        <v/>
      </c>
      <c r="T788" s="81">
        <f>IF(Q788="Sin Factura",0,IFERROR(_xlfn.XLOOKUP(1, (Facturas_Odoo!$D:$D=A788) * (Facturas_Odoo!$K:$K=I788), Facturas_Odoo!$M:$M, 0), 0))</f>
        <v/>
      </c>
      <c r="U788" s="79">
        <f>IF(Q788="Sin Factura",0,IFERROR(_xlfn.XLOOKUP(1, (Facturas_Odoo!$D:$D=A788) * (Facturas_Odoo!$K:$K=I788), Facturas_Odoo!$N:$N, 0), 0))</f>
        <v/>
      </c>
      <c r="V788" s="79">
        <f>IF(Q788="Sin Factura",0,IFERROR(_xlfn.XLOOKUP(1, (Facturas_Odoo!$D:$D=A788) * (Facturas_Odoo!$K:$K=I788), Facturas_Odoo!$O:$O, 0), 0))</f>
        <v/>
      </c>
      <c r="W788" s="81">
        <f>IF(Q788="Sin Factura",0,IFERROR(_xlfn.XLOOKUP(1, (Facturas_Odoo!$D:$D=A788) * (Facturas_Odoo!$K:$K=I788), Facturas_Odoo!$Q:$Q, 0), 0))</f>
        <v/>
      </c>
      <c r="X788" s="79">
        <f>IF(OR(Q788="Sin Factura",Q788=""),"",IFERROR(INDEX(Pagos_Odoo!$B:$B, MATCH(Q788, Pagos_Odoo!$I:$I, 0)), "Sin Pago"))</f>
        <v/>
      </c>
      <c r="Y788" s="79">
        <f>IF(X788="Sin Pago","",IFERROR(INDEX(Pagos_Odoo!$C:$C, MATCH(X788, Pagos_Odoo!$B:$B, 0)), ""))</f>
        <v/>
      </c>
      <c r="Z788" s="80">
        <f>IF(X788="Sin Pago","",IFERROR(INDEX(Pagos_Odoo!$A:$A, MATCH(X788, Pagos_Odoo!$B:$B, 0)), ""))</f>
        <v/>
      </c>
      <c r="AA788" s="79">
        <f>IF(X788="Sin Pago","",IFERROR(INDEX(Pagos_Odoo!$F:$F, MATCH(X788, Pagos_Odoo!$B:$B, 0)), ""))</f>
        <v/>
      </c>
      <c r="AB788" s="81">
        <f>IF(X788="Sin Pago",0,IFERROR(INDEX(Pagos_Odoo!$E:$E, MATCH(X788, Pagos_Odoo!$B:$B, 0)), 0))</f>
        <v/>
      </c>
      <c r="AC788" s="79">
        <f>IF(X788="Sin Pago","",IFERROR(INDEX(Pagos_Odoo!$G:$G, MATCH(X788, Pagos_Odoo!$B:$B, 0)), ""))</f>
        <v/>
      </c>
      <c r="AD788" s="82" t="n">
        <v>0</v>
      </c>
      <c r="AE788" s="82" t="n"/>
      <c r="AF788" s="82" t="n"/>
      <c r="AG788" s="82">
        <f>IF(AN788="","",AD788+AE788+AF788)</f>
        <v/>
      </c>
      <c r="AH788" s="81">
        <f>IF(AN788="","",P788*(1-AG788))</f>
        <v/>
      </c>
      <c r="AI788" s="81">
        <f>IF(AN788="","",IF(Q788="Sin Factura",0,IFERROR(INDEX(Facturas_Odoo!$H:$H, MATCH(Q788, Facturas_Odoo!$B:$B, 0)), 0)*(1-AG788)))</f>
        <v/>
      </c>
      <c r="AJ788" s="81">
        <f>IF(AN788="","",_xlfn.LET(idVenta, AN788&amp;"",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88" s="81">
        <f>IF(AN788="","",AH788-AJ788)</f>
        <v/>
      </c>
      <c r="AL788" s="81">
        <f>IF(AN788="","",IF(Q788="Sin Factura","",AI788-AJ788))</f>
        <v/>
      </c>
      <c r="AM788" s="81">
        <f>IF(AN788="","",IF(Q788="Sin Factura",0,P788-IFERROR(INDEX(Facturas_Odoo!$H:$H, MATCH(Q788, Facturas_Odoo!$B:$B, 0)), 0)))</f>
        <v/>
      </c>
      <c r="AN788" s="79">
        <f>IF(AND(A788="", J788=""), "", IF(A788&lt;&gt;"", VALUE(MID(A788,2,LEN(A788))), AN787))</f>
        <v/>
      </c>
      <c r="AO788" s="79">
        <f>IF(AN788="","",IF(AD788=0,"OK",_xlfn.LET(monedaPago, IF(AA788="","USD",AA788), limitePermitido, IFERROR(VLOOKUP(monedaPago, Configuración!$A$2:$B$3, 2, FALSE), 0.15), IF(AD788&gt;limitePermitido, "ALERTA: EXCESO (" &amp; TEXT(limitePermitido, "0%") &amp; " máx)", "OK"))))</f>
        <v/>
      </c>
      <c r="AP788" s="79">
        <f>IF(AN788="","",IF(AE788=0,"OK",_xlfn.LET(fechaPago, Z788, fechaFactura, R788, diasCredito, IF(E788="Pago inmediato", 0, IFERROR(VALUE(MID(E788, 1, SEARCH(" ", E788)-1)),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88" s="79">
        <f>IF(AN788="","",IF(AND(N788&gt;0, AG788&gt;0), IF(Configuración!$K$2="NO", "ALERTA: DESCUENTO DOBLE NO PERMITIDO", "OK"), "OK"))</f>
        <v/>
      </c>
      <c r="AR788" s="79">
        <f>IF(AN788="","",IF(OR(AO788&lt;&gt;"OK", AP788&lt;&gt;"OK", AQ788&lt;&gt;"OK"), "⚠️ REVISAR", "OK"))</f>
        <v/>
      </c>
    </row>
    <row r="789">
      <c r="A789" s="79">
        <f>IF('Ordenes_Odoo'!A789="","",'Ordenes_Odoo'!A789)</f>
        <v/>
      </c>
      <c r="B789" s="80">
        <f>IF('Ordenes_Odoo'!B789="","",'Ordenes_Odoo'!B789)</f>
        <v/>
      </c>
      <c r="C789" s="79">
        <f>IF('Ordenes_Odoo'!C789="","",'Ordenes_Odoo'!C789)</f>
        <v/>
      </c>
      <c r="D789" s="79">
        <f>IF('Ordenes_Odoo'!D789="","",'Ordenes_Odoo'!D789)</f>
        <v/>
      </c>
      <c r="E789" s="79">
        <f>IF('Ordenes_Odoo'!E789="","",'Ordenes_Odoo'!E789)</f>
        <v/>
      </c>
      <c r="F789" s="79">
        <f>IF('Ordenes_Odoo'!F789="","",'Ordenes_Odoo'!F789)</f>
        <v/>
      </c>
      <c r="G789" s="79">
        <f>IF('Ordenes_Odoo'!G789="","",'Ordenes_Odoo'!G789)</f>
        <v/>
      </c>
      <c r="H789" s="79">
        <f>IF('Ordenes_Odoo'!H789="","",'Ordenes_Odoo'!H789)</f>
        <v/>
      </c>
      <c r="I789" s="79">
        <f>IF('Ordenes_Odoo'!I789="","",'Ordenes_Odoo'!I789)</f>
        <v/>
      </c>
      <c r="J789" s="79">
        <f>IF('Ordenes_Odoo'!J789="","",'Ordenes_Odoo'!J789)</f>
        <v/>
      </c>
      <c r="K789" s="81">
        <f>IF('Ordenes_Odoo'!K789="","",'Ordenes_Odoo'!K789)</f>
        <v/>
      </c>
      <c r="L789" s="81">
        <f>IF('Ordenes_Odoo'!L789="","",'Ordenes_Odoo'!L789)</f>
        <v/>
      </c>
      <c r="M789" s="79">
        <f>IF('Ordenes_Odoo'!M789="","",'Ordenes_Odoo'!M789)</f>
        <v/>
      </c>
      <c r="N789" s="79">
        <f>IF('Ordenes_Odoo'!N789="","",'Ordenes_Odoo'!N789)</f>
        <v/>
      </c>
      <c r="O789" s="81">
        <f>IF('Ordenes_Odoo'!O789="","",'Ordenes_Odoo'!O789)</f>
        <v/>
      </c>
      <c r="P789" s="81">
        <f>IF('Ordenes_Odoo'!P789="","",'Ordenes_Odoo'!P789)</f>
        <v/>
      </c>
      <c r="Q789" s="79">
        <f>IF(A789="","",IFERROR(INDEX(Facturas_Odoo!$B:$B, MATCH(A789, Facturas_Odoo!$D:$D, 0)), "Sin Factura"))</f>
        <v/>
      </c>
      <c r="R789" s="80">
        <f>IF(Q789="Sin Factura","",IFERROR(INDEX(Facturas_Odoo!$A:$A, MATCH(Q789, Facturas_Odoo!$B:$B, 0)), ""))</f>
        <v/>
      </c>
      <c r="S789" s="79">
        <f>IF(Q789="Sin Factura","",IFERROR(_xlfn.XLOOKUP(1, (Facturas_Odoo!$D:$D=A789) * (Facturas_Odoo!$K:$K=I789), Facturas_Odoo!$L:$L, ""), ""))</f>
        <v/>
      </c>
      <c r="T789" s="81">
        <f>IF(Q789="Sin Factura",0,IFERROR(_xlfn.XLOOKUP(1, (Facturas_Odoo!$D:$D=A789) * (Facturas_Odoo!$K:$K=I789), Facturas_Odoo!$M:$M, 0), 0))</f>
        <v/>
      </c>
      <c r="U789" s="79">
        <f>IF(Q789="Sin Factura",0,IFERROR(_xlfn.XLOOKUP(1, (Facturas_Odoo!$D:$D=A789) * (Facturas_Odoo!$K:$K=I789), Facturas_Odoo!$N:$N, 0), 0))</f>
        <v/>
      </c>
      <c r="V789" s="79">
        <f>IF(Q789="Sin Factura",0,IFERROR(_xlfn.XLOOKUP(1, (Facturas_Odoo!$D:$D=A789) * (Facturas_Odoo!$K:$K=I789), Facturas_Odoo!$O:$O, 0), 0))</f>
        <v/>
      </c>
      <c r="W789" s="81">
        <f>IF(Q789="Sin Factura",0,IFERROR(_xlfn.XLOOKUP(1, (Facturas_Odoo!$D:$D=A789) * (Facturas_Odoo!$K:$K=I789), Facturas_Odoo!$Q:$Q, 0), 0))</f>
        <v/>
      </c>
      <c r="X789" s="79">
        <f>IF(OR(Q789="Sin Factura",Q789=""),"",IFERROR(INDEX(Pagos_Odoo!$B:$B, MATCH(Q789, Pagos_Odoo!$I:$I, 0)), "Sin Pago"))</f>
        <v/>
      </c>
      <c r="Y789" s="79">
        <f>IF(X789="Sin Pago","",IFERROR(INDEX(Pagos_Odoo!$C:$C, MATCH(X789, Pagos_Odoo!$B:$B, 0)), ""))</f>
        <v/>
      </c>
      <c r="Z789" s="80">
        <f>IF(X789="Sin Pago","",IFERROR(INDEX(Pagos_Odoo!$A:$A, MATCH(X789, Pagos_Odoo!$B:$B, 0)), ""))</f>
        <v/>
      </c>
      <c r="AA789" s="79">
        <f>IF(X789="Sin Pago","",IFERROR(INDEX(Pagos_Odoo!$F:$F, MATCH(X789, Pagos_Odoo!$B:$B, 0)), ""))</f>
        <v/>
      </c>
      <c r="AB789" s="81">
        <f>IF(X789="Sin Pago",0,IFERROR(INDEX(Pagos_Odoo!$E:$E, MATCH(X789, Pagos_Odoo!$B:$B, 0)), 0))</f>
        <v/>
      </c>
      <c r="AC789" s="79">
        <f>IF(X789="Sin Pago","",IFERROR(INDEX(Pagos_Odoo!$G:$G, MATCH(X789, Pagos_Odoo!$B:$B, 0)), ""))</f>
        <v/>
      </c>
      <c r="AD789" s="82" t="n">
        <v>0</v>
      </c>
      <c r="AE789" s="82" t="n"/>
      <c r="AF789" s="82" t="n"/>
      <c r="AG789" s="82">
        <f>IF(AN789="","",AD789+AE789+AF789)</f>
        <v/>
      </c>
      <c r="AH789" s="81">
        <f>IF(AN789="","",P789*(1-AG789))</f>
        <v/>
      </c>
      <c r="AI789" s="81">
        <f>IF(AN789="","",IF(Q789="Sin Factura",0,IFERROR(INDEX(Facturas_Odoo!$H:$H, MATCH(Q789, Facturas_Odoo!$B:$B, 0)), 0)*(1-AG789)))</f>
        <v/>
      </c>
      <c r="AJ789" s="81">
        <f>IF(AN789="","",_xlfn.LET(idVenta, AN789&amp;"",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89" s="81">
        <f>IF(AN789="","",AH789-AJ789)</f>
        <v/>
      </c>
      <c r="AL789" s="81">
        <f>IF(AN789="","",IF(Q789="Sin Factura","",AI789-AJ789))</f>
        <v/>
      </c>
      <c r="AM789" s="81">
        <f>IF(AN789="","",IF(Q789="Sin Factura",0,P789-IFERROR(INDEX(Facturas_Odoo!$H:$H, MATCH(Q789, Facturas_Odoo!$B:$B, 0)), 0)))</f>
        <v/>
      </c>
      <c r="AN789" s="79">
        <f>IF(AND(A789="", J789=""), "", IF(A789&lt;&gt;"", VALUE(MID(A789,2,LEN(A789))), AN788))</f>
        <v/>
      </c>
      <c r="AO789" s="79">
        <f>IF(AN789="","",IF(AD789=0,"OK",_xlfn.LET(monedaPago, IF(AA789="","USD",AA789), limitePermitido, IFERROR(VLOOKUP(monedaPago, Configuración!$A$2:$B$3, 2, FALSE), 0.15), IF(AD789&gt;limitePermitido, "ALERTA: EXCESO (" &amp; TEXT(limitePermitido, "0%") &amp; " máx)", "OK"))))</f>
        <v/>
      </c>
      <c r="AP789" s="79">
        <f>IF(AN789="","",IF(AE789=0,"OK",_xlfn.LET(fechaPago, Z789, fechaFactura, R789, diasCredito, IF(E789="Pago inmediato", 0, IFERROR(VALUE(MID(E789, 1, SEARCH(" ", E789)-1)),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89" s="79">
        <f>IF(AN789="","",IF(AND(N789&gt;0, AG789&gt;0), IF(Configuración!$K$2="NO", "ALERTA: DESCUENTO DOBLE NO PERMITIDO", "OK"), "OK"))</f>
        <v/>
      </c>
      <c r="AR789" s="79">
        <f>IF(AN789="","",IF(OR(AO789&lt;&gt;"OK", AP789&lt;&gt;"OK", AQ789&lt;&gt;"OK"), "⚠️ REVISAR", "OK"))</f>
        <v/>
      </c>
    </row>
    <row r="790">
      <c r="A790" s="79">
        <f>IF('Ordenes_Odoo'!A790="","",'Ordenes_Odoo'!A790)</f>
        <v/>
      </c>
      <c r="B790" s="80">
        <f>IF('Ordenes_Odoo'!B790="","",'Ordenes_Odoo'!B790)</f>
        <v/>
      </c>
      <c r="C790" s="79">
        <f>IF('Ordenes_Odoo'!C790="","",'Ordenes_Odoo'!C790)</f>
        <v/>
      </c>
      <c r="D790" s="79">
        <f>IF('Ordenes_Odoo'!D790="","",'Ordenes_Odoo'!D790)</f>
        <v/>
      </c>
      <c r="E790" s="79">
        <f>IF('Ordenes_Odoo'!E790="","",'Ordenes_Odoo'!E790)</f>
        <v/>
      </c>
      <c r="F790" s="79">
        <f>IF('Ordenes_Odoo'!F790="","",'Ordenes_Odoo'!F790)</f>
        <v/>
      </c>
      <c r="G790" s="79">
        <f>IF('Ordenes_Odoo'!G790="","",'Ordenes_Odoo'!G790)</f>
        <v/>
      </c>
      <c r="H790" s="79">
        <f>IF('Ordenes_Odoo'!H790="","",'Ordenes_Odoo'!H790)</f>
        <v/>
      </c>
      <c r="I790" s="79">
        <f>IF('Ordenes_Odoo'!I790="","",'Ordenes_Odoo'!I790)</f>
        <v/>
      </c>
      <c r="J790" s="79">
        <f>IF('Ordenes_Odoo'!J790="","",'Ordenes_Odoo'!J790)</f>
        <v/>
      </c>
      <c r="K790" s="81">
        <f>IF('Ordenes_Odoo'!K790="","",'Ordenes_Odoo'!K790)</f>
        <v/>
      </c>
      <c r="L790" s="81">
        <f>IF('Ordenes_Odoo'!L790="","",'Ordenes_Odoo'!L790)</f>
        <v/>
      </c>
      <c r="M790" s="79">
        <f>IF('Ordenes_Odoo'!M790="","",'Ordenes_Odoo'!M790)</f>
        <v/>
      </c>
      <c r="N790" s="79">
        <f>IF('Ordenes_Odoo'!N790="","",'Ordenes_Odoo'!N790)</f>
        <v/>
      </c>
      <c r="O790" s="81">
        <f>IF('Ordenes_Odoo'!O790="","",'Ordenes_Odoo'!O790)</f>
        <v/>
      </c>
      <c r="P790" s="81">
        <f>IF('Ordenes_Odoo'!P790="","",'Ordenes_Odoo'!P790)</f>
        <v/>
      </c>
      <c r="Q790" s="79">
        <f>IF(A790="","",IFERROR(INDEX(Facturas_Odoo!$B:$B, MATCH(A790, Facturas_Odoo!$D:$D, 0)), "Sin Factura"))</f>
        <v/>
      </c>
      <c r="R790" s="80">
        <f>IF(Q790="Sin Factura","",IFERROR(INDEX(Facturas_Odoo!$A:$A, MATCH(Q790, Facturas_Odoo!$B:$B, 0)), ""))</f>
        <v/>
      </c>
      <c r="S790" s="79">
        <f>IF(Q790="Sin Factura","",IFERROR(_xlfn.XLOOKUP(1, (Facturas_Odoo!$D:$D=A790) * (Facturas_Odoo!$K:$K=I790), Facturas_Odoo!$L:$L, ""), ""))</f>
        <v/>
      </c>
      <c r="T790" s="81">
        <f>IF(Q790="Sin Factura",0,IFERROR(_xlfn.XLOOKUP(1, (Facturas_Odoo!$D:$D=A790) * (Facturas_Odoo!$K:$K=I790), Facturas_Odoo!$M:$M, 0), 0))</f>
        <v/>
      </c>
      <c r="U790" s="79">
        <f>IF(Q790="Sin Factura",0,IFERROR(_xlfn.XLOOKUP(1, (Facturas_Odoo!$D:$D=A790) * (Facturas_Odoo!$K:$K=I790), Facturas_Odoo!$N:$N, 0), 0))</f>
        <v/>
      </c>
      <c r="V790" s="79">
        <f>IF(Q790="Sin Factura",0,IFERROR(_xlfn.XLOOKUP(1, (Facturas_Odoo!$D:$D=A790) * (Facturas_Odoo!$K:$K=I790), Facturas_Odoo!$O:$O, 0), 0))</f>
        <v/>
      </c>
      <c r="W790" s="81">
        <f>IF(Q790="Sin Factura",0,IFERROR(_xlfn.XLOOKUP(1, (Facturas_Odoo!$D:$D=A790) * (Facturas_Odoo!$K:$K=I790), Facturas_Odoo!$Q:$Q, 0), 0))</f>
        <v/>
      </c>
      <c r="X790" s="79">
        <f>IF(OR(Q790="Sin Factura",Q790=""),"",IFERROR(INDEX(Pagos_Odoo!$B:$B, MATCH(Q790, Pagos_Odoo!$I:$I, 0)), "Sin Pago"))</f>
        <v/>
      </c>
      <c r="Y790" s="79">
        <f>IF(X790="Sin Pago","",IFERROR(INDEX(Pagos_Odoo!$C:$C, MATCH(X790, Pagos_Odoo!$B:$B, 0)), ""))</f>
        <v/>
      </c>
      <c r="Z790" s="80">
        <f>IF(X790="Sin Pago","",IFERROR(INDEX(Pagos_Odoo!$A:$A, MATCH(X790, Pagos_Odoo!$B:$B, 0)), ""))</f>
        <v/>
      </c>
      <c r="AA790" s="79">
        <f>IF(X790="Sin Pago","",IFERROR(INDEX(Pagos_Odoo!$F:$F, MATCH(X790, Pagos_Odoo!$B:$B, 0)), ""))</f>
        <v/>
      </c>
      <c r="AB790" s="81">
        <f>IF(X790="Sin Pago",0,IFERROR(INDEX(Pagos_Odoo!$E:$E, MATCH(X790, Pagos_Odoo!$B:$B, 0)), 0))</f>
        <v/>
      </c>
      <c r="AC790" s="79">
        <f>IF(X790="Sin Pago","",IFERROR(INDEX(Pagos_Odoo!$G:$G, MATCH(X790, Pagos_Odoo!$B:$B, 0)), ""))</f>
        <v/>
      </c>
      <c r="AD790" s="82" t="n">
        <v>0</v>
      </c>
      <c r="AE790" s="82" t="n"/>
      <c r="AF790" s="82" t="n"/>
      <c r="AG790" s="82">
        <f>IF(AN790="","",AD790+AE790+AF790)</f>
        <v/>
      </c>
      <c r="AH790" s="81">
        <f>IF(AN790="","",P790*(1-AG790))</f>
        <v/>
      </c>
      <c r="AI790" s="81">
        <f>IF(AN790="","",IF(Q790="Sin Factura",0,IFERROR(INDEX(Facturas_Odoo!$H:$H, MATCH(Q790, Facturas_Odoo!$B:$B, 0)), 0)*(1-AG790)))</f>
        <v/>
      </c>
      <c r="AJ790" s="81">
        <f>IF(AN790="","",_xlfn.LET(idVenta, AN790&amp;"",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90" s="81">
        <f>IF(AN790="","",AH790-AJ790)</f>
        <v/>
      </c>
      <c r="AL790" s="81">
        <f>IF(AN790="","",IF(Q790="Sin Factura","",AI790-AJ790))</f>
        <v/>
      </c>
      <c r="AM790" s="81">
        <f>IF(AN790="","",IF(Q790="Sin Factura",0,P790-IFERROR(INDEX(Facturas_Odoo!$H:$H, MATCH(Q790, Facturas_Odoo!$B:$B, 0)), 0)))</f>
        <v/>
      </c>
      <c r="AN790" s="79">
        <f>IF(AND(A790="", J790=""), "", IF(A790&lt;&gt;"", VALUE(MID(A790,2,LEN(A790))), AN789))</f>
        <v/>
      </c>
      <c r="AO790" s="79">
        <f>IF(AN790="","",IF(AD790=0,"OK",_xlfn.LET(monedaPago, IF(AA790="","USD",AA790), limitePermitido, IFERROR(VLOOKUP(monedaPago, Configuración!$A$2:$B$3, 2, FALSE), 0.15), IF(AD790&gt;limitePermitido, "ALERTA: EXCESO (" &amp; TEXT(limitePermitido, "0%") &amp; " máx)", "OK"))))</f>
        <v/>
      </c>
      <c r="AP790" s="79">
        <f>IF(AN790="","",IF(AE790=0,"OK",_xlfn.LET(fechaPago, Z790, fechaFactura, R790, diasCredito, IF(E790="Pago inmediato", 0, IFERROR(VALUE(MID(E790, 1, SEARCH(" ", E790)-1)),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90" s="79">
        <f>IF(AN790="","",IF(AND(N790&gt;0, AG790&gt;0), IF(Configuración!$K$2="NO", "ALERTA: DESCUENTO DOBLE NO PERMITIDO", "OK"), "OK"))</f>
        <v/>
      </c>
      <c r="AR790" s="79">
        <f>IF(AN790="","",IF(OR(AO790&lt;&gt;"OK", AP790&lt;&gt;"OK", AQ790&lt;&gt;"OK"), "⚠️ REVISAR", "OK"))</f>
        <v/>
      </c>
    </row>
    <row r="791">
      <c r="A791" s="79">
        <f>IF('Ordenes_Odoo'!A791="","",'Ordenes_Odoo'!A791)</f>
        <v/>
      </c>
      <c r="B791" s="80">
        <f>IF('Ordenes_Odoo'!B791="","",'Ordenes_Odoo'!B791)</f>
        <v/>
      </c>
      <c r="C791" s="79">
        <f>IF('Ordenes_Odoo'!C791="","",'Ordenes_Odoo'!C791)</f>
        <v/>
      </c>
      <c r="D791" s="79">
        <f>IF('Ordenes_Odoo'!D791="","",'Ordenes_Odoo'!D791)</f>
        <v/>
      </c>
      <c r="E791" s="79">
        <f>IF('Ordenes_Odoo'!E791="","",'Ordenes_Odoo'!E791)</f>
        <v/>
      </c>
      <c r="F791" s="79">
        <f>IF('Ordenes_Odoo'!F791="","",'Ordenes_Odoo'!F791)</f>
        <v/>
      </c>
      <c r="G791" s="79">
        <f>IF('Ordenes_Odoo'!G791="","",'Ordenes_Odoo'!G791)</f>
        <v/>
      </c>
      <c r="H791" s="79">
        <f>IF('Ordenes_Odoo'!H791="","",'Ordenes_Odoo'!H791)</f>
        <v/>
      </c>
      <c r="I791" s="79">
        <f>IF('Ordenes_Odoo'!I791="","",'Ordenes_Odoo'!I791)</f>
        <v/>
      </c>
      <c r="J791" s="79">
        <f>IF('Ordenes_Odoo'!J791="","",'Ordenes_Odoo'!J791)</f>
        <v/>
      </c>
      <c r="K791" s="81">
        <f>IF('Ordenes_Odoo'!K791="","",'Ordenes_Odoo'!K791)</f>
        <v/>
      </c>
      <c r="L791" s="81">
        <f>IF('Ordenes_Odoo'!L791="","",'Ordenes_Odoo'!L791)</f>
        <v/>
      </c>
      <c r="M791" s="79">
        <f>IF('Ordenes_Odoo'!M791="","",'Ordenes_Odoo'!M791)</f>
        <v/>
      </c>
      <c r="N791" s="79">
        <f>IF('Ordenes_Odoo'!N791="","",'Ordenes_Odoo'!N791)</f>
        <v/>
      </c>
      <c r="O791" s="81">
        <f>IF('Ordenes_Odoo'!O791="","",'Ordenes_Odoo'!O791)</f>
        <v/>
      </c>
      <c r="P791" s="81">
        <f>IF('Ordenes_Odoo'!P791="","",'Ordenes_Odoo'!P791)</f>
        <v/>
      </c>
      <c r="Q791" s="79">
        <f>IF(A791="","",IFERROR(INDEX(Facturas_Odoo!$B:$B, MATCH(A791, Facturas_Odoo!$D:$D, 0)), "Sin Factura"))</f>
        <v/>
      </c>
      <c r="R791" s="80">
        <f>IF(Q791="Sin Factura","",IFERROR(INDEX(Facturas_Odoo!$A:$A, MATCH(Q791, Facturas_Odoo!$B:$B, 0)), ""))</f>
        <v/>
      </c>
      <c r="S791" s="79">
        <f>IF(Q791="Sin Factura","",IFERROR(_xlfn.XLOOKUP(1, (Facturas_Odoo!$D:$D=A791) * (Facturas_Odoo!$K:$K=I791), Facturas_Odoo!$L:$L, ""), ""))</f>
        <v/>
      </c>
      <c r="T791" s="81">
        <f>IF(Q791="Sin Factura",0,IFERROR(_xlfn.XLOOKUP(1, (Facturas_Odoo!$D:$D=A791) * (Facturas_Odoo!$K:$K=I791), Facturas_Odoo!$M:$M, 0), 0))</f>
        <v/>
      </c>
      <c r="U791" s="79">
        <f>IF(Q791="Sin Factura",0,IFERROR(_xlfn.XLOOKUP(1, (Facturas_Odoo!$D:$D=A791) * (Facturas_Odoo!$K:$K=I791), Facturas_Odoo!$N:$N, 0), 0))</f>
        <v/>
      </c>
      <c r="V791" s="79">
        <f>IF(Q791="Sin Factura",0,IFERROR(_xlfn.XLOOKUP(1, (Facturas_Odoo!$D:$D=A791) * (Facturas_Odoo!$K:$K=I791), Facturas_Odoo!$O:$O, 0), 0))</f>
        <v/>
      </c>
      <c r="W791" s="81">
        <f>IF(Q791="Sin Factura",0,IFERROR(_xlfn.XLOOKUP(1, (Facturas_Odoo!$D:$D=A791) * (Facturas_Odoo!$K:$K=I791), Facturas_Odoo!$Q:$Q, 0), 0))</f>
        <v/>
      </c>
      <c r="X791" s="79">
        <f>IF(OR(Q791="Sin Factura",Q791=""),"",IFERROR(INDEX(Pagos_Odoo!$B:$B, MATCH(Q791, Pagos_Odoo!$I:$I, 0)), "Sin Pago"))</f>
        <v/>
      </c>
      <c r="Y791" s="79">
        <f>IF(X791="Sin Pago","",IFERROR(INDEX(Pagos_Odoo!$C:$C, MATCH(X791, Pagos_Odoo!$B:$B, 0)), ""))</f>
        <v/>
      </c>
      <c r="Z791" s="80">
        <f>IF(X791="Sin Pago","",IFERROR(INDEX(Pagos_Odoo!$A:$A, MATCH(X791, Pagos_Odoo!$B:$B, 0)), ""))</f>
        <v/>
      </c>
      <c r="AA791" s="79">
        <f>IF(X791="Sin Pago","",IFERROR(INDEX(Pagos_Odoo!$F:$F, MATCH(X791, Pagos_Odoo!$B:$B, 0)), ""))</f>
        <v/>
      </c>
      <c r="AB791" s="81">
        <f>IF(X791="Sin Pago",0,IFERROR(INDEX(Pagos_Odoo!$E:$E, MATCH(X791, Pagos_Odoo!$B:$B, 0)), 0))</f>
        <v/>
      </c>
      <c r="AC791" s="79">
        <f>IF(X791="Sin Pago","",IFERROR(INDEX(Pagos_Odoo!$G:$G, MATCH(X791, Pagos_Odoo!$B:$B, 0)), ""))</f>
        <v/>
      </c>
      <c r="AD791" s="82" t="n">
        <v>0</v>
      </c>
      <c r="AE791" s="82" t="n"/>
      <c r="AF791" s="82" t="n"/>
      <c r="AG791" s="82">
        <f>IF(AN791="","",AD791+AE791+AF791)</f>
        <v/>
      </c>
      <c r="AH791" s="81">
        <f>IF(AN791="","",P791*(1-AG791))</f>
        <v/>
      </c>
      <c r="AI791" s="81">
        <f>IF(AN791="","",IF(Q791="Sin Factura",0,IFERROR(INDEX(Facturas_Odoo!$H:$H, MATCH(Q791, Facturas_Odoo!$B:$B, 0)), 0)*(1-AG791)))</f>
        <v/>
      </c>
      <c r="AJ791" s="81">
        <f>IF(AN791="","",_xlfn.LET(idVenta, AN791&amp;"",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91" s="81">
        <f>IF(AN791="","",AH791-AJ791)</f>
        <v/>
      </c>
      <c r="AL791" s="81">
        <f>IF(AN791="","",IF(Q791="Sin Factura","",AI791-AJ791))</f>
        <v/>
      </c>
      <c r="AM791" s="81">
        <f>IF(AN791="","",IF(Q791="Sin Factura",0,P791-IFERROR(INDEX(Facturas_Odoo!$H:$H, MATCH(Q791, Facturas_Odoo!$B:$B, 0)), 0)))</f>
        <v/>
      </c>
      <c r="AN791" s="79">
        <f>IF(AND(A791="", J791=""), "", IF(A791&lt;&gt;"", VALUE(MID(A791,2,LEN(A791))), AN790))</f>
        <v/>
      </c>
      <c r="AO791" s="79">
        <f>IF(AN791="","",IF(AD791=0,"OK",_xlfn.LET(monedaPago, IF(AA791="","USD",AA791), limitePermitido, IFERROR(VLOOKUP(monedaPago, Configuración!$A$2:$B$3, 2, FALSE), 0.15), IF(AD791&gt;limitePermitido, "ALERTA: EXCESO (" &amp; TEXT(limitePermitido, "0%") &amp; " máx)", "OK"))))</f>
        <v/>
      </c>
      <c r="AP791" s="79">
        <f>IF(AN791="","",IF(AE791=0,"OK",_xlfn.LET(fechaPago, Z791, fechaFactura, R791, diasCredito, IF(E791="Pago inmediato", 0, IFERROR(VALUE(MID(E791, 1, SEARCH(" ", E791)-1)),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91" s="79">
        <f>IF(AN791="","",IF(AND(N791&gt;0, AG791&gt;0), IF(Configuración!$K$2="NO", "ALERTA: DESCUENTO DOBLE NO PERMITIDO", "OK"), "OK"))</f>
        <v/>
      </c>
      <c r="AR791" s="79">
        <f>IF(AN791="","",IF(OR(AO791&lt;&gt;"OK", AP791&lt;&gt;"OK", AQ791&lt;&gt;"OK"), "⚠️ REVISAR", "OK"))</f>
        <v/>
      </c>
    </row>
    <row r="792">
      <c r="A792" s="79">
        <f>IF('Ordenes_Odoo'!A792="","",'Ordenes_Odoo'!A792)</f>
        <v/>
      </c>
      <c r="B792" s="80">
        <f>IF('Ordenes_Odoo'!B792="","",'Ordenes_Odoo'!B792)</f>
        <v/>
      </c>
      <c r="C792" s="79">
        <f>IF('Ordenes_Odoo'!C792="","",'Ordenes_Odoo'!C792)</f>
        <v/>
      </c>
      <c r="D792" s="79">
        <f>IF('Ordenes_Odoo'!D792="","",'Ordenes_Odoo'!D792)</f>
        <v/>
      </c>
      <c r="E792" s="79">
        <f>IF('Ordenes_Odoo'!E792="","",'Ordenes_Odoo'!E792)</f>
        <v/>
      </c>
      <c r="F792" s="79">
        <f>IF('Ordenes_Odoo'!F792="","",'Ordenes_Odoo'!F792)</f>
        <v/>
      </c>
      <c r="G792" s="79">
        <f>IF('Ordenes_Odoo'!G792="","",'Ordenes_Odoo'!G792)</f>
        <v/>
      </c>
      <c r="H792" s="79">
        <f>IF('Ordenes_Odoo'!H792="","",'Ordenes_Odoo'!H792)</f>
        <v/>
      </c>
      <c r="I792" s="79">
        <f>IF('Ordenes_Odoo'!I792="","",'Ordenes_Odoo'!I792)</f>
        <v/>
      </c>
      <c r="J792" s="79">
        <f>IF('Ordenes_Odoo'!J792="","",'Ordenes_Odoo'!J792)</f>
        <v/>
      </c>
      <c r="K792" s="81">
        <f>IF('Ordenes_Odoo'!K792="","",'Ordenes_Odoo'!K792)</f>
        <v/>
      </c>
      <c r="L792" s="81">
        <f>IF('Ordenes_Odoo'!L792="","",'Ordenes_Odoo'!L792)</f>
        <v/>
      </c>
      <c r="M792" s="79">
        <f>IF('Ordenes_Odoo'!M792="","",'Ordenes_Odoo'!M792)</f>
        <v/>
      </c>
      <c r="N792" s="79">
        <f>IF('Ordenes_Odoo'!N792="","",'Ordenes_Odoo'!N792)</f>
        <v/>
      </c>
      <c r="O792" s="81">
        <f>IF('Ordenes_Odoo'!O792="","",'Ordenes_Odoo'!O792)</f>
        <v/>
      </c>
      <c r="P792" s="81">
        <f>IF('Ordenes_Odoo'!P792="","",'Ordenes_Odoo'!P792)</f>
        <v/>
      </c>
      <c r="Q792" s="79">
        <f>IF(A792="","",IFERROR(INDEX(Facturas_Odoo!$B:$B, MATCH(A792, Facturas_Odoo!$D:$D, 0)), "Sin Factura"))</f>
        <v/>
      </c>
      <c r="R792" s="80">
        <f>IF(Q792="Sin Factura","",IFERROR(INDEX(Facturas_Odoo!$A:$A, MATCH(Q792, Facturas_Odoo!$B:$B, 0)), ""))</f>
        <v/>
      </c>
      <c r="S792" s="79">
        <f>IF(Q792="Sin Factura","",IFERROR(_xlfn.XLOOKUP(1, (Facturas_Odoo!$D:$D=A792) * (Facturas_Odoo!$K:$K=I792), Facturas_Odoo!$L:$L, ""), ""))</f>
        <v/>
      </c>
      <c r="T792" s="81">
        <f>IF(Q792="Sin Factura",0,IFERROR(_xlfn.XLOOKUP(1, (Facturas_Odoo!$D:$D=A792) * (Facturas_Odoo!$K:$K=I792), Facturas_Odoo!$M:$M, 0), 0))</f>
        <v/>
      </c>
      <c r="U792" s="79">
        <f>IF(Q792="Sin Factura",0,IFERROR(_xlfn.XLOOKUP(1, (Facturas_Odoo!$D:$D=A792) * (Facturas_Odoo!$K:$K=I792), Facturas_Odoo!$N:$N, 0), 0))</f>
        <v/>
      </c>
      <c r="V792" s="79">
        <f>IF(Q792="Sin Factura",0,IFERROR(_xlfn.XLOOKUP(1, (Facturas_Odoo!$D:$D=A792) * (Facturas_Odoo!$K:$K=I792), Facturas_Odoo!$O:$O, 0), 0))</f>
        <v/>
      </c>
      <c r="W792" s="81">
        <f>IF(Q792="Sin Factura",0,IFERROR(_xlfn.XLOOKUP(1, (Facturas_Odoo!$D:$D=A792) * (Facturas_Odoo!$K:$K=I792), Facturas_Odoo!$Q:$Q, 0), 0))</f>
        <v/>
      </c>
      <c r="X792" s="79">
        <f>IF(OR(Q792="Sin Factura",Q792=""),"",IFERROR(INDEX(Pagos_Odoo!$B:$B, MATCH(Q792, Pagos_Odoo!$I:$I, 0)), "Sin Pago"))</f>
        <v/>
      </c>
      <c r="Y792" s="79">
        <f>IF(X792="Sin Pago","",IFERROR(INDEX(Pagos_Odoo!$C:$C, MATCH(X792, Pagos_Odoo!$B:$B, 0)), ""))</f>
        <v/>
      </c>
      <c r="Z792" s="80">
        <f>IF(X792="Sin Pago","",IFERROR(INDEX(Pagos_Odoo!$A:$A, MATCH(X792, Pagos_Odoo!$B:$B, 0)), ""))</f>
        <v/>
      </c>
      <c r="AA792" s="79">
        <f>IF(X792="Sin Pago","",IFERROR(INDEX(Pagos_Odoo!$F:$F, MATCH(X792, Pagos_Odoo!$B:$B, 0)), ""))</f>
        <v/>
      </c>
      <c r="AB792" s="81">
        <f>IF(X792="Sin Pago",0,IFERROR(INDEX(Pagos_Odoo!$E:$E, MATCH(X792, Pagos_Odoo!$B:$B, 0)), 0))</f>
        <v/>
      </c>
      <c r="AC792" s="79">
        <f>IF(X792="Sin Pago","",IFERROR(INDEX(Pagos_Odoo!$G:$G, MATCH(X792, Pagos_Odoo!$B:$B, 0)), ""))</f>
        <v/>
      </c>
      <c r="AD792" s="82" t="n">
        <v>0</v>
      </c>
      <c r="AE792" s="82" t="n"/>
      <c r="AF792" s="82" t="n"/>
      <c r="AG792" s="82">
        <f>IF(AN792="","",AD792+AE792+AF792)</f>
        <v/>
      </c>
      <c r="AH792" s="81">
        <f>IF(AN792="","",P792*(1-AG792))</f>
        <v/>
      </c>
      <c r="AI792" s="81">
        <f>IF(AN792="","",IF(Q792="Sin Factura",0,IFERROR(INDEX(Facturas_Odoo!$H:$H, MATCH(Q792, Facturas_Odoo!$B:$B, 0)), 0)*(1-AG792)))</f>
        <v/>
      </c>
      <c r="AJ792" s="81">
        <f>IF(AN792="","",_xlfn.LET(idVenta, AN792&amp;"",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92" s="81">
        <f>IF(AN792="","",AH792-AJ792)</f>
        <v/>
      </c>
      <c r="AL792" s="81">
        <f>IF(AN792="","",IF(Q792="Sin Factura","",AI792-AJ792))</f>
        <v/>
      </c>
      <c r="AM792" s="81">
        <f>IF(AN792="","",IF(Q792="Sin Factura",0,P792-IFERROR(INDEX(Facturas_Odoo!$H:$H, MATCH(Q792, Facturas_Odoo!$B:$B, 0)), 0)))</f>
        <v/>
      </c>
      <c r="AN792" s="79">
        <f>IF(AND(A792="", J792=""), "", IF(A792&lt;&gt;"", VALUE(MID(A792,2,LEN(A792))), AN791))</f>
        <v/>
      </c>
      <c r="AO792" s="79">
        <f>IF(AN792="","",IF(AD792=0,"OK",_xlfn.LET(monedaPago, IF(AA792="","USD",AA792), limitePermitido, IFERROR(VLOOKUP(monedaPago, Configuración!$A$2:$B$3, 2, FALSE), 0.15), IF(AD792&gt;limitePermitido, "ALERTA: EXCESO (" &amp; TEXT(limitePermitido, "0%") &amp; " máx)", "OK"))))</f>
        <v/>
      </c>
      <c r="AP792" s="79">
        <f>IF(AN792="","",IF(AE792=0,"OK",_xlfn.LET(fechaPago, Z792, fechaFactura, R792, diasCredito, IF(E792="Pago inmediato", 0, IFERROR(VALUE(MID(E792, 1, SEARCH(" ", E792)-1)),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92" s="79">
        <f>IF(AN792="","",IF(AND(N792&gt;0, AG792&gt;0), IF(Configuración!$K$2="NO", "ALERTA: DESCUENTO DOBLE NO PERMITIDO", "OK"), "OK"))</f>
        <v/>
      </c>
      <c r="AR792" s="79">
        <f>IF(AN792="","",IF(OR(AO792&lt;&gt;"OK", AP792&lt;&gt;"OK", AQ792&lt;&gt;"OK"), "⚠️ REVISAR", "OK"))</f>
        <v/>
      </c>
    </row>
    <row r="793">
      <c r="A793" s="79">
        <f>IF('Ordenes_Odoo'!A793="","",'Ordenes_Odoo'!A793)</f>
        <v/>
      </c>
      <c r="B793" s="80">
        <f>IF('Ordenes_Odoo'!B793="","",'Ordenes_Odoo'!B793)</f>
        <v/>
      </c>
      <c r="C793" s="79">
        <f>IF('Ordenes_Odoo'!C793="","",'Ordenes_Odoo'!C793)</f>
        <v/>
      </c>
      <c r="D793" s="79">
        <f>IF('Ordenes_Odoo'!D793="","",'Ordenes_Odoo'!D793)</f>
        <v/>
      </c>
      <c r="E793" s="79">
        <f>IF('Ordenes_Odoo'!E793="","",'Ordenes_Odoo'!E793)</f>
        <v/>
      </c>
      <c r="F793" s="79">
        <f>IF('Ordenes_Odoo'!F793="","",'Ordenes_Odoo'!F793)</f>
        <v/>
      </c>
      <c r="G793" s="79">
        <f>IF('Ordenes_Odoo'!G793="","",'Ordenes_Odoo'!G793)</f>
        <v/>
      </c>
      <c r="H793" s="79">
        <f>IF('Ordenes_Odoo'!H793="","",'Ordenes_Odoo'!H793)</f>
        <v/>
      </c>
      <c r="I793" s="79">
        <f>IF('Ordenes_Odoo'!I793="","",'Ordenes_Odoo'!I793)</f>
        <v/>
      </c>
      <c r="J793" s="79">
        <f>IF('Ordenes_Odoo'!J793="","",'Ordenes_Odoo'!J793)</f>
        <v/>
      </c>
      <c r="K793" s="81">
        <f>IF('Ordenes_Odoo'!K793="","",'Ordenes_Odoo'!K793)</f>
        <v/>
      </c>
      <c r="L793" s="81">
        <f>IF('Ordenes_Odoo'!L793="","",'Ordenes_Odoo'!L793)</f>
        <v/>
      </c>
      <c r="M793" s="79">
        <f>IF('Ordenes_Odoo'!M793="","",'Ordenes_Odoo'!M793)</f>
        <v/>
      </c>
      <c r="N793" s="79">
        <f>IF('Ordenes_Odoo'!N793="","",'Ordenes_Odoo'!N793)</f>
        <v/>
      </c>
      <c r="O793" s="81">
        <f>IF('Ordenes_Odoo'!O793="","",'Ordenes_Odoo'!O793)</f>
        <v/>
      </c>
      <c r="P793" s="81">
        <f>IF('Ordenes_Odoo'!P793="","",'Ordenes_Odoo'!P793)</f>
        <v/>
      </c>
      <c r="Q793" s="79">
        <f>IF(A793="","",IFERROR(INDEX(Facturas_Odoo!$B:$B, MATCH(A793, Facturas_Odoo!$D:$D, 0)), "Sin Factura"))</f>
        <v/>
      </c>
      <c r="R793" s="80">
        <f>IF(Q793="Sin Factura","",IFERROR(INDEX(Facturas_Odoo!$A:$A, MATCH(Q793, Facturas_Odoo!$B:$B, 0)), ""))</f>
        <v/>
      </c>
      <c r="S793" s="79">
        <f>IF(Q793="Sin Factura","",IFERROR(_xlfn.XLOOKUP(1, (Facturas_Odoo!$D:$D=A793) * (Facturas_Odoo!$K:$K=I793), Facturas_Odoo!$L:$L, ""), ""))</f>
        <v/>
      </c>
      <c r="T793" s="81">
        <f>IF(Q793="Sin Factura",0,IFERROR(_xlfn.XLOOKUP(1, (Facturas_Odoo!$D:$D=A793) * (Facturas_Odoo!$K:$K=I793), Facturas_Odoo!$M:$M, 0), 0))</f>
        <v/>
      </c>
      <c r="U793" s="79">
        <f>IF(Q793="Sin Factura",0,IFERROR(_xlfn.XLOOKUP(1, (Facturas_Odoo!$D:$D=A793) * (Facturas_Odoo!$K:$K=I793), Facturas_Odoo!$N:$N, 0), 0))</f>
        <v/>
      </c>
      <c r="V793" s="79">
        <f>IF(Q793="Sin Factura",0,IFERROR(_xlfn.XLOOKUP(1, (Facturas_Odoo!$D:$D=A793) * (Facturas_Odoo!$K:$K=I793), Facturas_Odoo!$O:$O, 0), 0))</f>
        <v/>
      </c>
      <c r="W793" s="81">
        <f>IF(Q793="Sin Factura",0,IFERROR(_xlfn.XLOOKUP(1, (Facturas_Odoo!$D:$D=A793) * (Facturas_Odoo!$K:$K=I793), Facturas_Odoo!$Q:$Q, 0), 0))</f>
        <v/>
      </c>
      <c r="X793" s="79">
        <f>IF(OR(Q793="Sin Factura",Q793=""),"",IFERROR(INDEX(Pagos_Odoo!$B:$B, MATCH(Q793, Pagos_Odoo!$I:$I, 0)), "Sin Pago"))</f>
        <v/>
      </c>
      <c r="Y793" s="79">
        <f>IF(X793="Sin Pago","",IFERROR(INDEX(Pagos_Odoo!$C:$C, MATCH(X793, Pagos_Odoo!$B:$B, 0)), ""))</f>
        <v/>
      </c>
      <c r="Z793" s="80">
        <f>IF(X793="Sin Pago","",IFERROR(INDEX(Pagos_Odoo!$A:$A, MATCH(X793, Pagos_Odoo!$B:$B, 0)), ""))</f>
        <v/>
      </c>
      <c r="AA793" s="79">
        <f>IF(X793="Sin Pago","",IFERROR(INDEX(Pagos_Odoo!$F:$F, MATCH(X793, Pagos_Odoo!$B:$B, 0)), ""))</f>
        <v/>
      </c>
      <c r="AB793" s="81">
        <f>IF(X793="Sin Pago",0,IFERROR(INDEX(Pagos_Odoo!$E:$E, MATCH(X793, Pagos_Odoo!$B:$B, 0)), 0))</f>
        <v/>
      </c>
      <c r="AC793" s="79">
        <f>IF(X793="Sin Pago","",IFERROR(INDEX(Pagos_Odoo!$G:$G, MATCH(X793, Pagos_Odoo!$B:$B, 0)), ""))</f>
        <v/>
      </c>
      <c r="AD793" s="82" t="n">
        <v>0</v>
      </c>
      <c r="AE793" s="82" t="n"/>
      <c r="AF793" s="82" t="n"/>
      <c r="AG793" s="82">
        <f>IF(AN793="","",AD793+AE793+AF793)</f>
        <v/>
      </c>
      <c r="AH793" s="81">
        <f>IF(AN793="","",P793*(1-AG793))</f>
        <v/>
      </c>
      <c r="AI793" s="81">
        <f>IF(AN793="","",IF(Q793="Sin Factura",0,IFERROR(INDEX(Facturas_Odoo!$H:$H, MATCH(Q793, Facturas_Odoo!$B:$B, 0)), 0)*(1-AG793)))</f>
        <v/>
      </c>
      <c r="AJ793" s="81">
        <f>IF(AN793="","",_xlfn.LET(idVenta, AN793&amp;"",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93" s="81">
        <f>IF(AN793="","",AH793-AJ793)</f>
        <v/>
      </c>
      <c r="AL793" s="81">
        <f>IF(AN793="","",IF(Q793="Sin Factura","",AI793-AJ793))</f>
        <v/>
      </c>
      <c r="AM793" s="81">
        <f>IF(AN793="","",IF(Q793="Sin Factura",0,P793-IFERROR(INDEX(Facturas_Odoo!$H:$H, MATCH(Q793, Facturas_Odoo!$B:$B, 0)), 0)))</f>
        <v/>
      </c>
      <c r="AN793" s="79">
        <f>IF(AND(A793="", J793=""), "", IF(A793&lt;&gt;"", VALUE(MID(A793,2,LEN(A793))), AN792))</f>
        <v/>
      </c>
      <c r="AO793" s="79">
        <f>IF(AN793="","",IF(AD793=0,"OK",_xlfn.LET(monedaPago, IF(AA793="","USD",AA793), limitePermitido, IFERROR(VLOOKUP(monedaPago, Configuración!$A$2:$B$3, 2, FALSE), 0.15), IF(AD793&gt;limitePermitido, "ALERTA: EXCESO (" &amp; TEXT(limitePermitido, "0%") &amp; " máx)", "OK"))))</f>
        <v/>
      </c>
      <c r="AP793" s="79">
        <f>IF(AN793="","",IF(AE793=0,"OK",_xlfn.LET(fechaPago, Z793, fechaFactura, R793, diasCredito, IF(E793="Pago inmediato", 0, IFERROR(VALUE(MID(E793, 1, SEARCH(" ", E793)-1)),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93" s="79">
        <f>IF(AN793="","",IF(AND(N793&gt;0, AG793&gt;0), IF(Configuración!$K$2="NO", "ALERTA: DESCUENTO DOBLE NO PERMITIDO", "OK"), "OK"))</f>
        <v/>
      </c>
      <c r="AR793" s="79">
        <f>IF(AN793="","",IF(OR(AO793&lt;&gt;"OK", AP793&lt;&gt;"OK", AQ793&lt;&gt;"OK"), "⚠️ REVISAR", "OK"))</f>
        <v/>
      </c>
    </row>
    <row r="794">
      <c r="A794" s="79">
        <f>IF('Ordenes_Odoo'!A794="","",'Ordenes_Odoo'!A794)</f>
        <v/>
      </c>
      <c r="B794" s="80">
        <f>IF('Ordenes_Odoo'!B794="","",'Ordenes_Odoo'!B794)</f>
        <v/>
      </c>
      <c r="C794" s="79">
        <f>IF('Ordenes_Odoo'!C794="","",'Ordenes_Odoo'!C794)</f>
        <v/>
      </c>
      <c r="D794" s="79">
        <f>IF('Ordenes_Odoo'!D794="","",'Ordenes_Odoo'!D794)</f>
        <v/>
      </c>
      <c r="E794" s="79">
        <f>IF('Ordenes_Odoo'!E794="","",'Ordenes_Odoo'!E794)</f>
        <v/>
      </c>
      <c r="F794" s="79">
        <f>IF('Ordenes_Odoo'!F794="","",'Ordenes_Odoo'!F794)</f>
        <v/>
      </c>
      <c r="G794" s="79">
        <f>IF('Ordenes_Odoo'!G794="","",'Ordenes_Odoo'!G794)</f>
        <v/>
      </c>
      <c r="H794" s="79">
        <f>IF('Ordenes_Odoo'!H794="","",'Ordenes_Odoo'!H794)</f>
        <v/>
      </c>
      <c r="I794" s="79">
        <f>IF('Ordenes_Odoo'!I794="","",'Ordenes_Odoo'!I794)</f>
        <v/>
      </c>
      <c r="J794" s="79">
        <f>IF('Ordenes_Odoo'!J794="","",'Ordenes_Odoo'!J794)</f>
        <v/>
      </c>
      <c r="K794" s="81">
        <f>IF('Ordenes_Odoo'!K794="","",'Ordenes_Odoo'!K794)</f>
        <v/>
      </c>
      <c r="L794" s="81">
        <f>IF('Ordenes_Odoo'!L794="","",'Ordenes_Odoo'!L794)</f>
        <v/>
      </c>
      <c r="M794" s="79">
        <f>IF('Ordenes_Odoo'!M794="","",'Ordenes_Odoo'!M794)</f>
        <v/>
      </c>
      <c r="N794" s="79">
        <f>IF('Ordenes_Odoo'!N794="","",'Ordenes_Odoo'!N794)</f>
        <v/>
      </c>
      <c r="O794" s="81">
        <f>IF('Ordenes_Odoo'!O794="","",'Ordenes_Odoo'!O794)</f>
        <v/>
      </c>
      <c r="P794" s="81">
        <f>IF('Ordenes_Odoo'!P794="","",'Ordenes_Odoo'!P794)</f>
        <v/>
      </c>
      <c r="Q794" s="79">
        <f>IF(A794="","",IFERROR(INDEX(Facturas_Odoo!$B:$B, MATCH(A794, Facturas_Odoo!$D:$D, 0)), "Sin Factura"))</f>
        <v/>
      </c>
      <c r="R794" s="80">
        <f>IF(Q794="Sin Factura","",IFERROR(INDEX(Facturas_Odoo!$A:$A, MATCH(Q794, Facturas_Odoo!$B:$B, 0)), ""))</f>
        <v/>
      </c>
      <c r="S794" s="79">
        <f>IF(Q794="Sin Factura","",IFERROR(_xlfn.XLOOKUP(1, (Facturas_Odoo!$D:$D=A794) * (Facturas_Odoo!$K:$K=I794), Facturas_Odoo!$L:$L, ""), ""))</f>
        <v/>
      </c>
      <c r="T794" s="81">
        <f>IF(Q794="Sin Factura",0,IFERROR(_xlfn.XLOOKUP(1, (Facturas_Odoo!$D:$D=A794) * (Facturas_Odoo!$K:$K=I794), Facturas_Odoo!$M:$M, 0), 0))</f>
        <v/>
      </c>
      <c r="U794" s="79">
        <f>IF(Q794="Sin Factura",0,IFERROR(_xlfn.XLOOKUP(1, (Facturas_Odoo!$D:$D=A794) * (Facturas_Odoo!$K:$K=I794), Facturas_Odoo!$N:$N, 0), 0))</f>
        <v/>
      </c>
      <c r="V794" s="79">
        <f>IF(Q794="Sin Factura",0,IFERROR(_xlfn.XLOOKUP(1, (Facturas_Odoo!$D:$D=A794) * (Facturas_Odoo!$K:$K=I794), Facturas_Odoo!$O:$O, 0), 0))</f>
        <v/>
      </c>
      <c r="W794" s="81">
        <f>IF(Q794="Sin Factura",0,IFERROR(_xlfn.XLOOKUP(1, (Facturas_Odoo!$D:$D=A794) * (Facturas_Odoo!$K:$K=I794), Facturas_Odoo!$Q:$Q, 0), 0))</f>
        <v/>
      </c>
      <c r="X794" s="79">
        <f>IF(OR(Q794="Sin Factura",Q794=""),"",IFERROR(INDEX(Pagos_Odoo!$B:$B, MATCH(Q794, Pagos_Odoo!$I:$I, 0)), "Sin Pago"))</f>
        <v/>
      </c>
      <c r="Y794" s="79">
        <f>IF(X794="Sin Pago","",IFERROR(INDEX(Pagos_Odoo!$C:$C, MATCH(X794, Pagos_Odoo!$B:$B, 0)), ""))</f>
        <v/>
      </c>
      <c r="Z794" s="80">
        <f>IF(X794="Sin Pago","",IFERROR(INDEX(Pagos_Odoo!$A:$A, MATCH(X794, Pagos_Odoo!$B:$B, 0)), ""))</f>
        <v/>
      </c>
      <c r="AA794" s="79">
        <f>IF(X794="Sin Pago","",IFERROR(INDEX(Pagos_Odoo!$F:$F, MATCH(X794, Pagos_Odoo!$B:$B, 0)), ""))</f>
        <v/>
      </c>
      <c r="AB794" s="81">
        <f>IF(X794="Sin Pago",0,IFERROR(INDEX(Pagos_Odoo!$E:$E, MATCH(X794, Pagos_Odoo!$B:$B, 0)), 0))</f>
        <v/>
      </c>
      <c r="AC794" s="79">
        <f>IF(X794="Sin Pago","",IFERROR(INDEX(Pagos_Odoo!$G:$G, MATCH(X794, Pagos_Odoo!$B:$B, 0)), ""))</f>
        <v/>
      </c>
      <c r="AD794" s="82" t="n">
        <v>0</v>
      </c>
      <c r="AE794" s="82" t="n"/>
      <c r="AF794" s="82" t="n"/>
      <c r="AG794" s="82">
        <f>IF(AN794="","",AD794+AE794+AF794)</f>
        <v/>
      </c>
      <c r="AH794" s="81">
        <f>IF(AN794="","",P794*(1-AG794))</f>
        <v/>
      </c>
      <c r="AI794" s="81">
        <f>IF(AN794="","",IF(Q794="Sin Factura",0,IFERROR(INDEX(Facturas_Odoo!$H:$H, MATCH(Q794, Facturas_Odoo!$B:$B, 0)), 0)*(1-AG794)))</f>
        <v/>
      </c>
      <c r="AJ794" s="81">
        <f>IF(AN794="","",_xlfn.LET(idVenta, AN794&amp;"",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94" s="81">
        <f>IF(AN794="","",AH794-AJ794)</f>
        <v/>
      </c>
      <c r="AL794" s="81">
        <f>IF(AN794="","",IF(Q794="Sin Factura","",AI794-AJ794))</f>
        <v/>
      </c>
      <c r="AM794" s="81">
        <f>IF(AN794="","",IF(Q794="Sin Factura",0,P794-IFERROR(INDEX(Facturas_Odoo!$H:$H, MATCH(Q794, Facturas_Odoo!$B:$B, 0)), 0)))</f>
        <v/>
      </c>
      <c r="AN794" s="79">
        <f>IF(AND(A794="", J794=""), "", IF(A794&lt;&gt;"", VALUE(MID(A794,2,LEN(A794))), AN793))</f>
        <v/>
      </c>
      <c r="AO794" s="79">
        <f>IF(AN794="","",IF(AD794=0,"OK",_xlfn.LET(monedaPago, IF(AA794="","USD",AA794), limitePermitido, IFERROR(VLOOKUP(monedaPago, Configuración!$A$2:$B$3, 2, FALSE), 0.15), IF(AD794&gt;limitePermitido, "ALERTA: EXCESO (" &amp; TEXT(limitePermitido, "0%") &amp; " máx)", "OK"))))</f>
        <v/>
      </c>
      <c r="AP794" s="79">
        <f>IF(AN794="","",IF(AE794=0,"OK",_xlfn.LET(fechaPago, Z794, fechaFactura, R794, diasCredito, IF(E794="Pago inmediato", 0, IFERROR(VALUE(MID(E794, 1, SEARCH(" ", E794)-1)),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94" s="79">
        <f>IF(AN794="","",IF(AND(N794&gt;0, AG794&gt;0), IF(Configuración!$K$2="NO", "ALERTA: DESCUENTO DOBLE NO PERMITIDO", "OK"), "OK"))</f>
        <v/>
      </c>
      <c r="AR794" s="79">
        <f>IF(AN794="","",IF(OR(AO794&lt;&gt;"OK", AP794&lt;&gt;"OK", AQ794&lt;&gt;"OK"), "⚠️ REVISAR", "OK"))</f>
        <v/>
      </c>
    </row>
    <row r="795">
      <c r="A795" s="79">
        <f>IF('Ordenes_Odoo'!A795="","",'Ordenes_Odoo'!A795)</f>
        <v/>
      </c>
      <c r="B795" s="80">
        <f>IF('Ordenes_Odoo'!B795="","",'Ordenes_Odoo'!B795)</f>
        <v/>
      </c>
      <c r="C795" s="79">
        <f>IF('Ordenes_Odoo'!C795="","",'Ordenes_Odoo'!C795)</f>
        <v/>
      </c>
      <c r="D795" s="79">
        <f>IF('Ordenes_Odoo'!D795="","",'Ordenes_Odoo'!D795)</f>
        <v/>
      </c>
      <c r="E795" s="79">
        <f>IF('Ordenes_Odoo'!E795="","",'Ordenes_Odoo'!E795)</f>
        <v/>
      </c>
      <c r="F795" s="79">
        <f>IF('Ordenes_Odoo'!F795="","",'Ordenes_Odoo'!F795)</f>
        <v/>
      </c>
      <c r="G795" s="79">
        <f>IF('Ordenes_Odoo'!G795="","",'Ordenes_Odoo'!G795)</f>
        <v/>
      </c>
      <c r="H795" s="79">
        <f>IF('Ordenes_Odoo'!H795="","",'Ordenes_Odoo'!H795)</f>
        <v/>
      </c>
      <c r="I795" s="79">
        <f>IF('Ordenes_Odoo'!I795="","",'Ordenes_Odoo'!I795)</f>
        <v/>
      </c>
      <c r="J795" s="79">
        <f>IF('Ordenes_Odoo'!J795="","",'Ordenes_Odoo'!J795)</f>
        <v/>
      </c>
      <c r="K795" s="81">
        <f>IF('Ordenes_Odoo'!K795="","",'Ordenes_Odoo'!K795)</f>
        <v/>
      </c>
      <c r="L795" s="81">
        <f>IF('Ordenes_Odoo'!L795="","",'Ordenes_Odoo'!L795)</f>
        <v/>
      </c>
      <c r="M795" s="79">
        <f>IF('Ordenes_Odoo'!M795="","",'Ordenes_Odoo'!M795)</f>
        <v/>
      </c>
      <c r="N795" s="79">
        <f>IF('Ordenes_Odoo'!N795="","",'Ordenes_Odoo'!N795)</f>
        <v/>
      </c>
      <c r="O795" s="81">
        <f>IF('Ordenes_Odoo'!O795="","",'Ordenes_Odoo'!O795)</f>
        <v/>
      </c>
      <c r="P795" s="81">
        <f>IF('Ordenes_Odoo'!P795="","",'Ordenes_Odoo'!P795)</f>
        <v/>
      </c>
      <c r="Q795" s="79">
        <f>IF(A795="","",IFERROR(INDEX(Facturas_Odoo!$B:$B, MATCH(A795, Facturas_Odoo!$D:$D, 0)), "Sin Factura"))</f>
        <v/>
      </c>
      <c r="R795" s="80">
        <f>IF(Q795="Sin Factura","",IFERROR(INDEX(Facturas_Odoo!$A:$A, MATCH(Q795, Facturas_Odoo!$B:$B, 0)), ""))</f>
        <v/>
      </c>
      <c r="S795" s="79">
        <f>IF(Q795="Sin Factura","",IFERROR(_xlfn.XLOOKUP(1, (Facturas_Odoo!$D:$D=A795) * (Facturas_Odoo!$K:$K=I795), Facturas_Odoo!$L:$L, ""), ""))</f>
        <v/>
      </c>
      <c r="T795" s="81">
        <f>IF(Q795="Sin Factura",0,IFERROR(_xlfn.XLOOKUP(1, (Facturas_Odoo!$D:$D=A795) * (Facturas_Odoo!$K:$K=I795), Facturas_Odoo!$M:$M, 0), 0))</f>
        <v/>
      </c>
      <c r="U795" s="79">
        <f>IF(Q795="Sin Factura",0,IFERROR(_xlfn.XLOOKUP(1, (Facturas_Odoo!$D:$D=A795) * (Facturas_Odoo!$K:$K=I795), Facturas_Odoo!$N:$N, 0), 0))</f>
        <v/>
      </c>
      <c r="V795" s="79">
        <f>IF(Q795="Sin Factura",0,IFERROR(_xlfn.XLOOKUP(1, (Facturas_Odoo!$D:$D=A795) * (Facturas_Odoo!$K:$K=I795), Facturas_Odoo!$O:$O, 0), 0))</f>
        <v/>
      </c>
      <c r="W795" s="81">
        <f>IF(Q795="Sin Factura",0,IFERROR(_xlfn.XLOOKUP(1, (Facturas_Odoo!$D:$D=A795) * (Facturas_Odoo!$K:$K=I795), Facturas_Odoo!$Q:$Q, 0), 0))</f>
        <v/>
      </c>
      <c r="X795" s="79">
        <f>IF(OR(Q795="Sin Factura",Q795=""),"",IFERROR(INDEX(Pagos_Odoo!$B:$B, MATCH(Q795, Pagos_Odoo!$I:$I, 0)), "Sin Pago"))</f>
        <v/>
      </c>
      <c r="Y795" s="79">
        <f>IF(X795="Sin Pago","",IFERROR(INDEX(Pagos_Odoo!$C:$C, MATCH(X795, Pagos_Odoo!$B:$B, 0)), ""))</f>
        <v/>
      </c>
      <c r="Z795" s="80">
        <f>IF(X795="Sin Pago","",IFERROR(INDEX(Pagos_Odoo!$A:$A, MATCH(X795, Pagos_Odoo!$B:$B, 0)), ""))</f>
        <v/>
      </c>
      <c r="AA795" s="79">
        <f>IF(X795="Sin Pago","",IFERROR(INDEX(Pagos_Odoo!$F:$F, MATCH(X795, Pagos_Odoo!$B:$B, 0)), ""))</f>
        <v/>
      </c>
      <c r="AB795" s="81">
        <f>IF(X795="Sin Pago",0,IFERROR(INDEX(Pagos_Odoo!$E:$E, MATCH(X795, Pagos_Odoo!$B:$B, 0)), 0))</f>
        <v/>
      </c>
      <c r="AC795" s="79">
        <f>IF(X795="Sin Pago","",IFERROR(INDEX(Pagos_Odoo!$G:$G, MATCH(X795, Pagos_Odoo!$B:$B, 0)), ""))</f>
        <v/>
      </c>
      <c r="AD795" s="82" t="n">
        <v>0</v>
      </c>
      <c r="AE795" s="82" t="n"/>
      <c r="AF795" s="82" t="n"/>
      <c r="AG795" s="82">
        <f>IF(AN795="","",AD795+AE795+AF795)</f>
        <v/>
      </c>
      <c r="AH795" s="81">
        <f>IF(AN795="","",P795*(1-AG795))</f>
        <v/>
      </c>
      <c r="AI795" s="81">
        <f>IF(AN795="","",IF(Q795="Sin Factura",0,IFERROR(INDEX(Facturas_Odoo!$H:$H, MATCH(Q795, Facturas_Odoo!$B:$B, 0)), 0)*(1-AG795)))</f>
        <v/>
      </c>
      <c r="AJ795" s="81">
        <f>IF(AN795="","",_xlfn.LET(idVenta, AN795&amp;"",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95" s="81">
        <f>IF(AN795="","",AH795-AJ795)</f>
        <v/>
      </c>
      <c r="AL795" s="81">
        <f>IF(AN795="","",IF(Q795="Sin Factura","",AI795-AJ795))</f>
        <v/>
      </c>
      <c r="AM795" s="81">
        <f>IF(AN795="","",IF(Q795="Sin Factura",0,P795-IFERROR(INDEX(Facturas_Odoo!$H:$H, MATCH(Q795, Facturas_Odoo!$B:$B, 0)), 0)))</f>
        <v/>
      </c>
      <c r="AN795" s="79">
        <f>IF(AND(A795="", J795=""), "", IF(A795&lt;&gt;"", VALUE(MID(A795,2,LEN(A795))), AN794))</f>
        <v/>
      </c>
      <c r="AO795" s="79">
        <f>IF(AN795="","",IF(AD795=0,"OK",_xlfn.LET(monedaPago, IF(AA795="","USD",AA795), limitePermitido, IFERROR(VLOOKUP(monedaPago, Configuración!$A$2:$B$3, 2, FALSE), 0.15), IF(AD795&gt;limitePermitido, "ALERTA: EXCESO (" &amp; TEXT(limitePermitido, "0%") &amp; " máx)", "OK"))))</f>
        <v/>
      </c>
      <c r="AP795" s="79">
        <f>IF(AN795="","",IF(AE795=0,"OK",_xlfn.LET(fechaPago, Z795, fechaFactura, R795, diasCredito, IF(E795="Pago inmediato", 0, IFERROR(VALUE(MID(E795, 1, SEARCH(" ", E795)-1)),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95" s="79">
        <f>IF(AN795="","",IF(AND(N795&gt;0, AG795&gt;0), IF(Configuración!$K$2="NO", "ALERTA: DESCUENTO DOBLE NO PERMITIDO", "OK"), "OK"))</f>
        <v/>
      </c>
      <c r="AR795" s="79">
        <f>IF(AN795="","",IF(OR(AO795&lt;&gt;"OK", AP795&lt;&gt;"OK", AQ795&lt;&gt;"OK"), "⚠️ REVISAR", "OK"))</f>
        <v/>
      </c>
    </row>
    <row r="796">
      <c r="A796" s="79">
        <f>IF('Ordenes_Odoo'!A796="","",'Ordenes_Odoo'!A796)</f>
        <v/>
      </c>
      <c r="B796" s="80">
        <f>IF('Ordenes_Odoo'!B796="","",'Ordenes_Odoo'!B796)</f>
        <v/>
      </c>
      <c r="C796" s="79">
        <f>IF('Ordenes_Odoo'!C796="","",'Ordenes_Odoo'!C796)</f>
        <v/>
      </c>
      <c r="D796" s="79">
        <f>IF('Ordenes_Odoo'!D796="","",'Ordenes_Odoo'!D796)</f>
        <v/>
      </c>
      <c r="E796" s="79">
        <f>IF('Ordenes_Odoo'!E796="","",'Ordenes_Odoo'!E796)</f>
        <v/>
      </c>
      <c r="F796" s="79">
        <f>IF('Ordenes_Odoo'!F796="","",'Ordenes_Odoo'!F796)</f>
        <v/>
      </c>
      <c r="G796" s="79">
        <f>IF('Ordenes_Odoo'!G796="","",'Ordenes_Odoo'!G796)</f>
        <v/>
      </c>
      <c r="H796" s="79">
        <f>IF('Ordenes_Odoo'!H796="","",'Ordenes_Odoo'!H796)</f>
        <v/>
      </c>
      <c r="I796" s="79">
        <f>IF('Ordenes_Odoo'!I796="","",'Ordenes_Odoo'!I796)</f>
        <v/>
      </c>
      <c r="J796" s="79">
        <f>IF('Ordenes_Odoo'!J796="","",'Ordenes_Odoo'!J796)</f>
        <v/>
      </c>
      <c r="K796" s="81">
        <f>IF('Ordenes_Odoo'!K796="","",'Ordenes_Odoo'!K796)</f>
        <v/>
      </c>
      <c r="L796" s="81">
        <f>IF('Ordenes_Odoo'!L796="","",'Ordenes_Odoo'!L796)</f>
        <v/>
      </c>
      <c r="M796" s="79">
        <f>IF('Ordenes_Odoo'!M796="","",'Ordenes_Odoo'!M796)</f>
        <v/>
      </c>
      <c r="N796" s="79">
        <f>IF('Ordenes_Odoo'!N796="","",'Ordenes_Odoo'!N796)</f>
        <v/>
      </c>
      <c r="O796" s="81">
        <f>IF('Ordenes_Odoo'!O796="","",'Ordenes_Odoo'!O796)</f>
        <v/>
      </c>
      <c r="P796" s="81">
        <f>IF('Ordenes_Odoo'!P796="","",'Ordenes_Odoo'!P796)</f>
        <v/>
      </c>
      <c r="Q796" s="79">
        <f>IF(A796="","",IFERROR(INDEX(Facturas_Odoo!$B:$B, MATCH(A796, Facturas_Odoo!$D:$D, 0)), "Sin Factura"))</f>
        <v/>
      </c>
      <c r="R796" s="80">
        <f>IF(Q796="Sin Factura","",IFERROR(INDEX(Facturas_Odoo!$A:$A, MATCH(Q796, Facturas_Odoo!$B:$B, 0)), ""))</f>
        <v/>
      </c>
      <c r="S796" s="79">
        <f>IF(Q796="Sin Factura","",IFERROR(_xlfn.XLOOKUP(1, (Facturas_Odoo!$D:$D=A796) * (Facturas_Odoo!$K:$K=I796), Facturas_Odoo!$L:$L, ""), ""))</f>
        <v/>
      </c>
      <c r="T796" s="81">
        <f>IF(Q796="Sin Factura",0,IFERROR(_xlfn.XLOOKUP(1, (Facturas_Odoo!$D:$D=A796) * (Facturas_Odoo!$K:$K=I796), Facturas_Odoo!$M:$M, 0), 0))</f>
        <v/>
      </c>
      <c r="U796" s="79">
        <f>IF(Q796="Sin Factura",0,IFERROR(_xlfn.XLOOKUP(1, (Facturas_Odoo!$D:$D=A796) * (Facturas_Odoo!$K:$K=I796), Facturas_Odoo!$N:$N, 0), 0))</f>
        <v/>
      </c>
      <c r="V796" s="79">
        <f>IF(Q796="Sin Factura",0,IFERROR(_xlfn.XLOOKUP(1, (Facturas_Odoo!$D:$D=A796) * (Facturas_Odoo!$K:$K=I796), Facturas_Odoo!$O:$O, 0), 0))</f>
        <v/>
      </c>
      <c r="W796" s="81">
        <f>IF(Q796="Sin Factura",0,IFERROR(_xlfn.XLOOKUP(1, (Facturas_Odoo!$D:$D=A796) * (Facturas_Odoo!$K:$K=I796), Facturas_Odoo!$Q:$Q, 0), 0))</f>
        <v/>
      </c>
      <c r="X796" s="79">
        <f>IF(OR(Q796="Sin Factura",Q796=""),"",IFERROR(INDEX(Pagos_Odoo!$B:$B, MATCH(Q796, Pagos_Odoo!$I:$I, 0)), "Sin Pago"))</f>
        <v/>
      </c>
      <c r="Y796" s="79">
        <f>IF(X796="Sin Pago","",IFERROR(INDEX(Pagos_Odoo!$C:$C, MATCH(X796, Pagos_Odoo!$B:$B, 0)), ""))</f>
        <v/>
      </c>
      <c r="Z796" s="80">
        <f>IF(X796="Sin Pago","",IFERROR(INDEX(Pagos_Odoo!$A:$A, MATCH(X796, Pagos_Odoo!$B:$B, 0)), ""))</f>
        <v/>
      </c>
      <c r="AA796" s="79">
        <f>IF(X796="Sin Pago","",IFERROR(INDEX(Pagos_Odoo!$F:$F, MATCH(X796, Pagos_Odoo!$B:$B, 0)), ""))</f>
        <v/>
      </c>
      <c r="AB796" s="81">
        <f>IF(X796="Sin Pago",0,IFERROR(INDEX(Pagos_Odoo!$E:$E, MATCH(X796, Pagos_Odoo!$B:$B, 0)), 0))</f>
        <v/>
      </c>
      <c r="AC796" s="79">
        <f>IF(X796="Sin Pago","",IFERROR(INDEX(Pagos_Odoo!$G:$G, MATCH(X796, Pagos_Odoo!$B:$B, 0)), ""))</f>
        <v/>
      </c>
      <c r="AD796" s="82" t="n">
        <v>0</v>
      </c>
      <c r="AE796" s="82" t="n"/>
      <c r="AF796" s="82" t="n"/>
      <c r="AG796" s="82">
        <f>IF(AN796="","",AD796+AE796+AF796)</f>
        <v/>
      </c>
      <c r="AH796" s="81">
        <f>IF(AN796="","",P796*(1-AG796))</f>
        <v/>
      </c>
      <c r="AI796" s="81">
        <f>IF(AN796="","",IF(Q796="Sin Factura",0,IFERROR(INDEX(Facturas_Odoo!$H:$H, MATCH(Q796, Facturas_Odoo!$B:$B, 0)), 0)*(1-AG796)))</f>
        <v/>
      </c>
      <c r="AJ796" s="81">
        <f>IF(AN796="","",_xlfn.LET(idVenta, AN796&amp;"",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96" s="81">
        <f>IF(AN796="","",AH796-AJ796)</f>
        <v/>
      </c>
      <c r="AL796" s="81">
        <f>IF(AN796="","",IF(Q796="Sin Factura","",AI796-AJ796))</f>
        <v/>
      </c>
      <c r="AM796" s="81">
        <f>IF(AN796="","",IF(Q796="Sin Factura",0,P796-IFERROR(INDEX(Facturas_Odoo!$H:$H, MATCH(Q796, Facturas_Odoo!$B:$B, 0)), 0)))</f>
        <v/>
      </c>
      <c r="AN796" s="79">
        <f>IF(AND(A796="", J796=""), "", IF(A796&lt;&gt;"", VALUE(MID(A796,2,LEN(A796))), AN795))</f>
        <v/>
      </c>
      <c r="AO796" s="79">
        <f>IF(AN796="","",IF(AD796=0,"OK",_xlfn.LET(monedaPago, IF(AA796="","USD",AA796), limitePermitido, IFERROR(VLOOKUP(monedaPago, Configuración!$A$2:$B$3, 2, FALSE), 0.15), IF(AD796&gt;limitePermitido, "ALERTA: EXCESO (" &amp; TEXT(limitePermitido, "0%") &amp; " máx)", "OK"))))</f>
        <v/>
      </c>
      <c r="AP796" s="79">
        <f>IF(AN796="","",IF(AE796=0,"OK",_xlfn.LET(fechaPago, Z796, fechaFactura, R796, diasCredito, IF(E796="Pago inmediato", 0, IFERROR(VALUE(MID(E796, 1, SEARCH(" ", E796)-1)),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96" s="79">
        <f>IF(AN796="","",IF(AND(N796&gt;0, AG796&gt;0), IF(Configuración!$K$2="NO", "ALERTA: DESCUENTO DOBLE NO PERMITIDO", "OK"), "OK"))</f>
        <v/>
      </c>
      <c r="AR796" s="79">
        <f>IF(AN796="","",IF(OR(AO796&lt;&gt;"OK", AP796&lt;&gt;"OK", AQ796&lt;&gt;"OK"), "⚠️ REVISAR", "OK"))</f>
        <v/>
      </c>
    </row>
    <row r="797">
      <c r="A797" s="79">
        <f>IF('Ordenes_Odoo'!A797="","",'Ordenes_Odoo'!A797)</f>
        <v/>
      </c>
      <c r="B797" s="80">
        <f>IF('Ordenes_Odoo'!B797="","",'Ordenes_Odoo'!B797)</f>
        <v/>
      </c>
      <c r="C797" s="79">
        <f>IF('Ordenes_Odoo'!C797="","",'Ordenes_Odoo'!C797)</f>
        <v/>
      </c>
      <c r="D797" s="79">
        <f>IF('Ordenes_Odoo'!D797="","",'Ordenes_Odoo'!D797)</f>
        <v/>
      </c>
      <c r="E797" s="79">
        <f>IF('Ordenes_Odoo'!E797="","",'Ordenes_Odoo'!E797)</f>
        <v/>
      </c>
      <c r="F797" s="79">
        <f>IF('Ordenes_Odoo'!F797="","",'Ordenes_Odoo'!F797)</f>
        <v/>
      </c>
      <c r="G797" s="79">
        <f>IF('Ordenes_Odoo'!G797="","",'Ordenes_Odoo'!G797)</f>
        <v/>
      </c>
      <c r="H797" s="79">
        <f>IF('Ordenes_Odoo'!H797="","",'Ordenes_Odoo'!H797)</f>
        <v/>
      </c>
      <c r="I797" s="79">
        <f>IF('Ordenes_Odoo'!I797="","",'Ordenes_Odoo'!I797)</f>
        <v/>
      </c>
      <c r="J797" s="79">
        <f>IF('Ordenes_Odoo'!J797="","",'Ordenes_Odoo'!J797)</f>
        <v/>
      </c>
      <c r="K797" s="81">
        <f>IF('Ordenes_Odoo'!K797="","",'Ordenes_Odoo'!K797)</f>
        <v/>
      </c>
      <c r="L797" s="81">
        <f>IF('Ordenes_Odoo'!L797="","",'Ordenes_Odoo'!L797)</f>
        <v/>
      </c>
      <c r="M797" s="79">
        <f>IF('Ordenes_Odoo'!M797="","",'Ordenes_Odoo'!M797)</f>
        <v/>
      </c>
      <c r="N797" s="79">
        <f>IF('Ordenes_Odoo'!N797="","",'Ordenes_Odoo'!N797)</f>
        <v/>
      </c>
      <c r="O797" s="81">
        <f>IF('Ordenes_Odoo'!O797="","",'Ordenes_Odoo'!O797)</f>
        <v/>
      </c>
      <c r="P797" s="81">
        <f>IF('Ordenes_Odoo'!P797="","",'Ordenes_Odoo'!P797)</f>
        <v/>
      </c>
      <c r="Q797" s="79">
        <f>IF(A797="","",IFERROR(INDEX(Facturas_Odoo!$B:$B, MATCH(A797, Facturas_Odoo!$D:$D, 0)), "Sin Factura"))</f>
        <v/>
      </c>
      <c r="R797" s="80">
        <f>IF(Q797="Sin Factura","",IFERROR(INDEX(Facturas_Odoo!$A:$A, MATCH(Q797, Facturas_Odoo!$B:$B, 0)), ""))</f>
        <v/>
      </c>
      <c r="S797" s="79">
        <f>IF(Q797="Sin Factura","",IFERROR(_xlfn.XLOOKUP(1, (Facturas_Odoo!$D:$D=A797) * (Facturas_Odoo!$K:$K=I797), Facturas_Odoo!$L:$L, ""), ""))</f>
        <v/>
      </c>
      <c r="T797" s="81">
        <f>IF(Q797="Sin Factura",0,IFERROR(_xlfn.XLOOKUP(1, (Facturas_Odoo!$D:$D=A797) * (Facturas_Odoo!$K:$K=I797), Facturas_Odoo!$M:$M, 0), 0))</f>
        <v/>
      </c>
      <c r="U797" s="79">
        <f>IF(Q797="Sin Factura",0,IFERROR(_xlfn.XLOOKUP(1, (Facturas_Odoo!$D:$D=A797) * (Facturas_Odoo!$K:$K=I797), Facturas_Odoo!$N:$N, 0), 0))</f>
        <v/>
      </c>
      <c r="V797" s="79">
        <f>IF(Q797="Sin Factura",0,IFERROR(_xlfn.XLOOKUP(1, (Facturas_Odoo!$D:$D=A797) * (Facturas_Odoo!$K:$K=I797), Facturas_Odoo!$O:$O, 0), 0))</f>
        <v/>
      </c>
      <c r="W797" s="81">
        <f>IF(Q797="Sin Factura",0,IFERROR(_xlfn.XLOOKUP(1, (Facturas_Odoo!$D:$D=A797) * (Facturas_Odoo!$K:$K=I797), Facturas_Odoo!$Q:$Q, 0), 0))</f>
        <v/>
      </c>
      <c r="X797" s="79">
        <f>IF(OR(Q797="Sin Factura",Q797=""),"",IFERROR(INDEX(Pagos_Odoo!$B:$B, MATCH(Q797, Pagos_Odoo!$I:$I, 0)), "Sin Pago"))</f>
        <v/>
      </c>
      <c r="Y797" s="79">
        <f>IF(X797="Sin Pago","",IFERROR(INDEX(Pagos_Odoo!$C:$C, MATCH(X797, Pagos_Odoo!$B:$B, 0)), ""))</f>
        <v/>
      </c>
      <c r="Z797" s="80">
        <f>IF(X797="Sin Pago","",IFERROR(INDEX(Pagos_Odoo!$A:$A, MATCH(X797, Pagos_Odoo!$B:$B, 0)), ""))</f>
        <v/>
      </c>
      <c r="AA797" s="79">
        <f>IF(X797="Sin Pago","",IFERROR(INDEX(Pagos_Odoo!$F:$F, MATCH(X797, Pagos_Odoo!$B:$B, 0)), ""))</f>
        <v/>
      </c>
      <c r="AB797" s="81">
        <f>IF(X797="Sin Pago",0,IFERROR(INDEX(Pagos_Odoo!$E:$E, MATCH(X797, Pagos_Odoo!$B:$B, 0)), 0))</f>
        <v/>
      </c>
      <c r="AC797" s="79">
        <f>IF(X797="Sin Pago","",IFERROR(INDEX(Pagos_Odoo!$G:$G, MATCH(X797, Pagos_Odoo!$B:$B, 0)), ""))</f>
        <v/>
      </c>
      <c r="AD797" s="82" t="n">
        <v>0</v>
      </c>
      <c r="AE797" s="82" t="n"/>
      <c r="AF797" s="82" t="n"/>
      <c r="AG797" s="82">
        <f>IF(AN797="","",AD797+AE797+AF797)</f>
        <v/>
      </c>
      <c r="AH797" s="81">
        <f>IF(AN797="","",P797*(1-AG797))</f>
        <v/>
      </c>
      <c r="AI797" s="81">
        <f>IF(AN797="","",IF(Q797="Sin Factura",0,IFERROR(INDEX(Facturas_Odoo!$H:$H, MATCH(Q797, Facturas_Odoo!$B:$B, 0)), 0)*(1-AG797)))</f>
        <v/>
      </c>
      <c r="AJ797" s="81">
        <f>IF(AN797="","",_xlfn.LET(idVenta, AN797&amp;"",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97" s="81">
        <f>IF(AN797="","",AH797-AJ797)</f>
        <v/>
      </c>
      <c r="AL797" s="81">
        <f>IF(AN797="","",IF(Q797="Sin Factura","",AI797-AJ797))</f>
        <v/>
      </c>
      <c r="AM797" s="81">
        <f>IF(AN797="","",IF(Q797="Sin Factura",0,P797-IFERROR(INDEX(Facturas_Odoo!$H:$H, MATCH(Q797, Facturas_Odoo!$B:$B, 0)), 0)))</f>
        <v/>
      </c>
      <c r="AN797" s="79">
        <f>IF(AND(A797="", J797=""), "", IF(A797&lt;&gt;"", VALUE(MID(A797,2,LEN(A797))), AN796))</f>
        <v/>
      </c>
      <c r="AO797" s="79">
        <f>IF(AN797="","",IF(AD797=0,"OK",_xlfn.LET(monedaPago, IF(AA797="","USD",AA797), limitePermitido, IFERROR(VLOOKUP(monedaPago, Configuración!$A$2:$B$3, 2, FALSE), 0.15), IF(AD797&gt;limitePermitido, "ALERTA: EXCESO (" &amp; TEXT(limitePermitido, "0%") &amp; " máx)", "OK"))))</f>
        <v/>
      </c>
      <c r="AP797" s="79">
        <f>IF(AN797="","",IF(AE797=0,"OK",_xlfn.LET(fechaPago, Z797, fechaFactura, R797, diasCredito, IF(E797="Pago inmediato", 0, IFERROR(VALUE(MID(E797, 1, SEARCH(" ", E797)-1)),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97" s="79">
        <f>IF(AN797="","",IF(AND(N797&gt;0, AG797&gt;0), IF(Configuración!$K$2="NO", "ALERTA: DESCUENTO DOBLE NO PERMITIDO", "OK"), "OK"))</f>
        <v/>
      </c>
      <c r="AR797" s="79">
        <f>IF(AN797="","",IF(OR(AO797&lt;&gt;"OK", AP797&lt;&gt;"OK", AQ797&lt;&gt;"OK"), "⚠️ REVISAR", "OK"))</f>
        <v/>
      </c>
    </row>
    <row r="798">
      <c r="A798" s="79">
        <f>IF('Ordenes_Odoo'!A798="","",'Ordenes_Odoo'!A798)</f>
        <v/>
      </c>
      <c r="B798" s="80">
        <f>IF('Ordenes_Odoo'!B798="","",'Ordenes_Odoo'!B798)</f>
        <v/>
      </c>
      <c r="C798" s="79">
        <f>IF('Ordenes_Odoo'!C798="","",'Ordenes_Odoo'!C798)</f>
        <v/>
      </c>
      <c r="D798" s="79">
        <f>IF('Ordenes_Odoo'!D798="","",'Ordenes_Odoo'!D798)</f>
        <v/>
      </c>
      <c r="E798" s="79">
        <f>IF('Ordenes_Odoo'!E798="","",'Ordenes_Odoo'!E798)</f>
        <v/>
      </c>
      <c r="F798" s="79">
        <f>IF('Ordenes_Odoo'!F798="","",'Ordenes_Odoo'!F798)</f>
        <v/>
      </c>
      <c r="G798" s="79">
        <f>IF('Ordenes_Odoo'!G798="","",'Ordenes_Odoo'!G798)</f>
        <v/>
      </c>
      <c r="H798" s="79">
        <f>IF('Ordenes_Odoo'!H798="","",'Ordenes_Odoo'!H798)</f>
        <v/>
      </c>
      <c r="I798" s="79">
        <f>IF('Ordenes_Odoo'!I798="","",'Ordenes_Odoo'!I798)</f>
        <v/>
      </c>
      <c r="J798" s="79">
        <f>IF('Ordenes_Odoo'!J798="","",'Ordenes_Odoo'!J798)</f>
        <v/>
      </c>
      <c r="K798" s="81">
        <f>IF('Ordenes_Odoo'!K798="","",'Ordenes_Odoo'!K798)</f>
        <v/>
      </c>
      <c r="L798" s="81">
        <f>IF('Ordenes_Odoo'!L798="","",'Ordenes_Odoo'!L798)</f>
        <v/>
      </c>
      <c r="M798" s="79">
        <f>IF('Ordenes_Odoo'!M798="","",'Ordenes_Odoo'!M798)</f>
        <v/>
      </c>
      <c r="N798" s="79">
        <f>IF('Ordenes_Odoo'!N798="","",'Ordenes_Odoo'!N798)</f>
        <v/>
      </c>
      <c r="O798" s="81">
        <f>IF('Ordenes_Odoo'!O798="","",'Ordenes_Odoo'!O798)</f>
        <v/>
      </c>
      <c r="P798" s="81">
        <f>IF('Ordenes_Odoo'!P798="","",'Ordenes_Odoo'!P798)</f>
        <v/>
      </c>
      <c r="Q798" s="79">
        <f>IF(A798="","",IFERROR(INDEX(Facturas_Odoo!$B:$B, MATCH(A798, Facturas_Odoo!$D:$D, 0)), "Sin Factura"))</f>
        <v/>
      </c>
      <c r="R798" s="80">
        <f>IF(Q798="Sin Factura","",IFERROR(INDEX(Facturas_Odoo!$A:$A, MATCH(Q798, Facturas_Odoo!$B:$B, 0)), ""))</f>
        <v/>
      </c>
      <c r="S798" s="79">
        <f>IF(Q798="Sin Factura","",IFERROR(_xlfn.XLOOKUP(1, (Facturas_Odoo!$D:$D=A798) * (Facturas_Odoo!$K:$K=I798), Facturas_Odoo!$L:$L, ""), ""))</f>
        <v/>
      </c>
      <c r="T798" s="81">
        <f>IF(Q798="Sin Factura",0,IFERROR(_xlfn.XLOOKUP(1, (Facturas_Odoo!$D:$D=A798) * (Facturas_Odoo!$K:$K=I798), Facturas_Odoo!$M:$M, 0), 0))</f>
        <v/>
      </c>
      <c r="U798" s="79">
        <f>IF(Q798="Sin Factura",0,IFERROR(_xlfn.XLOOKUP(1, (Facturas_Odoo!$D:$D=A798) * (Facturas_Odoo!$K:$K=I798), Facturas_Odoo!$N:$N, 0), 0))</f>
        <v/>
      </c>
      <c r="V798" s="79">
        <f>IF(Q798="Sin Factura",0,IFERROR(_xlfn.XLOOKUP(1, (Facturas_Odoo!$D:$D=A798) * (Facturas_Odoo!$K:$K=I798), Facturas_Odoo!$O:$O, 0), 0))</f>
        <v/>
      </c>
      <c r="W798" s="81">
        <f>IF(Q798="Sin Factura",0,IFERROR(_xlfn.XLOOKUP(1, (Facturas_Odoo!$D:$D=A798) * (Facturas_Odoo!$K:$K=I798), Facturas_Odoo!$Q:$Q, 0), 0))</f>
        <v/>
      </c>
      <c r="X798" s="79">
        <f>IF(OR(Q798="Sin Factura",Q798=""),"",IFERROR(INDEX(Pagos_Odoo!$B:$B, MATCH(Q798, Pagos_Odoo!$I:$I, 0)), "Sin Pago"))</f>
        <v/>
      </c>
      <c r="Y798" s="79">
        <f>IF(X798="Sin Pago","",IFERROR(INDEX(Pagos_Odoo!$C:$C, MATCH(X798, Pagos_Odoo!$B:$B, 0)), ""))</f>
        <v/>
      </c>
      <c r="Z798" s="80">
        <f>IF(X798="Sin Pago","",IFERROR(INDEX(Pagos_Odoo!$A:$A, MATCH(X798, Pagos_Odoo!$B:$B, 0)), ""))</f>
        <v/>
      </c>
      <c r="AA798" s="79">
        <f>IF(X798="Sin Pago","",IFERROR(INDEX(Pagos_Odoo!$F:$F, MATCH(X798, Pagos_Odoo!$B:$B, 0)), ""))</f>
        <v/>
      </c>
      <c r="AB798" s="81">
        <f>IF(X798="Sin Pago",0,IFERROR(INDEX(Pagos_Odoo!$E:$E, MATCH(X798, Pagos_Odoo!$B:$B, 0)), 0))</f>
        <v/>
      </c>
      <c r="AC798" s="79">
        <f>IF(X798="Sin Pago","",IFERROR(INDEX(Pagos_Odoo!$G:$G, MATCH(X798, Pagos_Odoo!$B:$B, 0)), ""))</f>
        <v/>
      </c>
      <c r="AD798" s="82" t="n">
        <v>0</v>
      </c>
      <c r="AE798" s="82" t="n"/>
      <c r="AF798" s="82" t="n"/>
      <c r="AG798" s="82">
        <f>IF(AN798="","",AD798+AE798+AF798)</f>
        <v/>
      </c>
      <c r="AH798" s="81">
        <f>IF(AN798="","",P798*(1-AG798))</f>
        <v/>
      </c>
      <c r="AI798" s="81">
        <f>IF(AN798="","",IF(Q798="Sin Factura",0,IFERROR(INDEX(Facturas_Odoo!$H:$H, MATCH(Q798, Facturas_Odoo!$B:$B, 0)), 0)*(1-AG798)))</f>
        <v/>
      </c>
      <c r="AJ798" s="81">
        <f>IF(AN798="","",_xlfn.LET(idVenta, AN798&amp;"",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98" s="81">
        <f>IF(AN798="","",AH798-AJ798)</f>
        <v/>
      </c>
      <c r="AL798" s="81">
        <f>IF(AN798="","",IF(Q798="Sin Factura","",AI798-AJ798))</f>
        <v/>
      </c>
      <c r="AM798" s="81">
        <f>IF(AN798="","",IF(Q798="Sin Factura",0,P798-IFERROR(INDEX(Facturas_Odoo!$H:$H, MATCH(Q798, Facturas_Odoo!$B:$B, 0)), 0)))</f>
        <v/>
      </c>
      <c r="AN798" s="79">
        <f>IF(AND(A798="", J798=""), "", IF(A798&lt;&gt;"", VALUE(MID(A798,2,LEN(A798))), AN797))</f>
        <v/>
      </c>
      <c r="AO798" s="79">
        <f>IF(AN798="","",IF(AD798=0,"OK",_xlfn.LET(monedaPago, IF(AA798="","USD",AA798), limitePermitido, IFERROR(VLOOKUP(monedaPago, Configuración!$A$2:$B$3, 2, FALSE), 0.15), IF(AD798&gt;limitePermitido, "ALERTA: EXCESO (" &amp; TEXT(limitePermitido, "0%") &amp; " máx)", "OK"))))</f>
        <v/>
      </c>
      <c r="AP798" s="79">
        <f>IF(AN798="","",IF(AE798=0,"OK",_xlfn.LET(fechaPago, Z798, fechaFactura, R798, diasCredito, IF(E798="Pago inmediato", 0, IFERROR(VALUE(MID(E798, 1, SEARCH(" ", E798)-1)),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98" s="79">
        <f>IF(AN798="","",IF(AND(N798&gt;0, AG798&gt;0), IF(Configuración!$K$2="NO", "ALERTA: DESCUENTO DOBLE NO PERMITIDO", "OK"), "OK"))</f>
        <v/>
      </c>
      <c r="AR798" s="79">
        <f>IF(AN798="","",IF(OR(AO798&lt;&gt;"OK", AP798&lt;&gt;"OK", AQ798&lt;&gt;"OK"), "⚠️ REVISAR", "OK"))</f>
        <v/>
      </c>
    </row>
    <row r="799">
      <c r="A799" s="79">
        <f>IF('Ordenes_Odoo'!A799="","",'Ordenes_Odoo'!A799)</f>
        <v/>
      </c>
      <c r="B799" s="80">
        <f>IF('Ordenes_Odoo'!B799="","",'Ordenes_Odoo'!B799)</f>
        <v/>
      </c>
      <c r="C799" s="79">
        <f>IF('Ordenes_Odoo'!C799="","",'Ordenes_Odoo'!C799)</f>
        <v/>
      </c>
      <c r="D799" s="79">
        <f>IF('Ordenes_Odoo'!D799="","",'Ordenes_Odoo'!D799)</f>
        <v/>
      </c>
      <c r="E799" s="79">
        <f>IF('Ordenes_Odoo'!E799="","",'Ordenes_Odoo'!E799)</f>
        <v/>
      </c>
      <c r="F799" s="79">
        <f>IF('Ordenes_Odoo'!F799="","",'Ordenes_Odoo'!F799)</f>
        <v/>
      </c>
      <c r="G799" s="79">
        <f>IF('Ordenes_Odoo'!G799="","",'Ordenes_Odoo'!G799)</f>
        <v/>
      </c>
      <c r="H799" s="79">
        <f>IF('Ordenes_Odoo'!H799="","",'Ordenes_Odoo'!H799)</f>
        <v/>
      </c>
      <c r="I799" s="79">
        <f>IF('Ordenes_Odoo'!I799="","",'Ordenes_Odoo'!I799)</f>
        <v/>
      </c>
      <c r="J799" s="79">
        <f>IF('Ordenes_Odoo'!J799="","",'Ordenes_Odoo'!J799)</f>
        <v/>
      </c>
      <c r="K799" s="81">
        <f>IF('Ordenes_Odoo'!K799="","",'Ordenes_Odoo'!K799)</f>
        <v/>
      </c>
      <c r="L799" s="81">
        <f>IF('Ordenes_Odoo'!L799="","",'Ordenes_Odoo'!L799)</f>
        <v/>
      </c>
      <c r="M799" s="79">
        <f>IF('Ordenes_Odoo'!M799="","",'Ordenes_Odoo'!M799)</f>
        <v/>
      </c>
      <c r="N799" s="79">
        <f>IF('Ordenes_Odoo'!N799="","",'Ordenes_Odoo'!N799)</f>
        <v/>
      </c>
      <c r="O799" s="81">
        <f>IF('Ordenes_Odoo'!O799="","",'Ordenes_Odoo'!O799)</f>
        <v/>
      </c>
      <c r="P799" s="81">
        <f>IF('Ordenes_Odoo'!P799="","",'Ordenes_Odoo'!P799)</f>
        <v/>
      </c>
      <c r="Q799" s="79">
        <f>IF(A799="","",IFERROR(INDEX(Facturas_Odoo!$B:$B, MATCH(A799, Facturas_Odoo!$D:$D, 0)), "Sin Factura"))</f>
        <v/>
      </c>
      <c r="R799" s="80">
        <f>IF(Q799="Sin Factura","",IFERROR(INDEX(Facturas_Odoo!$A:$A, MATCH(Q799, Facturas_Odoo!$B:$B, 0)), ""))</f>
        <v/>
      </c>
      <c r="S799" s="79">
        <f>IF(Q799="Sin Factura","",IFERROR(_xlfn.XLOOKUP(1, (Facturas_Odoo!$D:$D=A799) * (Facturas_Odoo!$K:$K=I799), Facturas_Odoo!$L:$L, ""), ""))</f>
        <v/>
      </c>
      <c r="T799" s="81">
        <f>IF(Q799="Sin Factura",0,IFERROR(_xlfn.XLOOKUP(1, (Facturas_Odoo!$D:$D=A799) * (Facturas_Odoo!$K:$K=I799), Facturas_Odoo!$M:$M, 0), 0))</f>
        <v/>
      </c>
      <c r="U799" s="79">
        <f>IF(Q799="Sin Factura",0,IFERROR(_xlfn.XLOOKUP(1, (Facturas_Odoo!$D:$D=A799) * (Facturas_Odoo!$K:$K=I799), Facturas_Odoo!$N:$N, 0), 0))</f>
        <v/>
      </c>
      <c r="V799" s="79">
        <f>IF(Q799="Sin Factura",0,IFERROR(_xlfn.XLOOKUP(1, (Facturas_Odoo!$D:$D=A799) * (Facturas_Odoo!$K:$K=I799), Facturas_Odoo!$O:$O, 0), 0))</f>
        <v/>
      </c>
      <c r="W799" s="81">
        <f>IF(Q799="Sin Factura",0,IFERROR(_xlfn.XLOOKUP(1, (Facturas_Odoo!$D:$D=A799) * (Facturas_Odoo!$K:$K=I799), Facturas_Odoo!$Q:$Q, 0), 0))</f>
        <v/>
      </c>
      <c r="X799" s="79">
        <f>IF(OR(Q799="Sin Factura",Q799=""),"",IFERROR(INDEX(Pagos_Odoo!$B:$B, MATCH(Q799, Pagos_Odoo!$I:$I, 0)), "Sin Pago"))</f>
        <v/>
      </c>
      <c r="Y799" s="79">
        <f>IF(X799="Sin Pago","",IFERROR(INDEX(Pagos_Odoo!$C:$C, MATCH(X799, Pagos_Odoo!$B:$B, 0)), ""))</f>
        <v/>
      </c>
      <c r="Z799" s="80">
        <f>IF(X799="Sin Pago","",IFERROR(INDEX(Pagos_Odoo!$A:$A, MATCH(X799, Pagos_Odoo!$B:$B, 0)), ""))</f>
        <v/>
      </c>
      <c r="AA799" s="79">
        <f>IF(X799="Sin Pago","",IFERROR(INDEX(Pagos_Odoo!$F:$F, MATCH(X799, Pagos_Odoo!$B:$B, 0)), ""))</f>
        <v/>
      </c>
      <c r="AB799" s="81">
        <f>IF(X799="Sin Pago",0,IFERROR(INDEX(Pagos_Odoo!$E:$E, MATCH(X799, Pagos_Odoo!$B:$B, 0)), 0))</f>
        <v/>
      </c>
      <c r="AC799" s="79">
        <f>IF(X799="Sin Pago","",IFERROR(INDEX(Pagos_Odoo!$G:$G, MATCH(X799, Pagos_Odoo!$B:$B, 0)), ""))</f>
        <v/>
      </c>
      <c r="AD799" s="82" t="n">
        <v>0</v>
      </c>
      <c r="AE799" s="82" t="n"/>
      <c r="AF799" s="82" t="n"/>
      <c r="AG799" s="82">
        <f>IF(AN799="","",AD799+AE799+AF799)</f>
        <v/>
      </c>
      <c r="AH799" s="81">
        <f>IF(AN799="","",P799*(1-AG799))</f>
        <v/>
      </c>
      <c r="AI799" s="81">
        <f>IF(AN799="","",IF(Q799="Sin Factura",0,IFERROR(INDEX(Facturas_Odoo!$H:$H, MATCH(Q799, Facturas_Odoo!$B:$B, 0)), 0)*(1-AG799)))</f>
        <v/>
      </c>
      <c r="AJ799" s="81">
        <f>IF(AN799="","",_xlfn.LET(idVenta, AN799&amp;"",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799" s="81">
        <f>IF(AN799="","",AH799-AJ799)</f>
        <v/>
      </c>
      <c r="AL799" s="81">
        <f>IF(AN799="","",IF(Q799="Sin Factura","",AI799-AJ799))</f>
        <v/>
      </c>
      <c r="AM799" s="81">
        <f>IF(AN799="","",IF(Q799="Sin Factura",0,P799-IFERROR(INDEX(Facturas_Odoo!$H:$H, MATCH(Q799, Facturas_Odoo!$B:$B, 0)), 0)))</f>
        <v/>
      </c>
      <c r="AN799" s="79">
        <f>IF(AND(A799="", J799=""), "", IF(A799&lt;&gt;"", VALUE(MID(A799,2,LEN(A799))), AN798))</f>
        <v/>
      </c>
      <c r="AO799" s="79">
        <f>IF(AN799="","",IF(AD799=0,"OK",_xlfn.LET(monedaPago, IF(AA799="","USD",AA799), limitePermitido, IFERROR(VLOOKUP(monedaPago, Configuración!$A$2:$B$3, 2, FALSE), 0.15), IF(AD799&gt;limitePermitido, "ALERTA: EXCESO (" &amp; TEXT(limitePermitido, "0%") &amp; " máx)", "OK"))))</f>
        <v/>
      </c>
      <c r="AP799" s="79">
        <f>IF(AN799="","",IF(AE799=0,"OK",_xlfn.LET(fechaPago, Z799, fechaFactura, R799, diasCredito, IF(E799="Pago inmediato", 0, IFERROR(VALUE(MID(E799, 1, SEARCH(" ", E799)-1)),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799" s="79">
        <f>IF(AN799="","",IF(AND(N799&gt;0, AG799&gt;0), IF(Configuración!$K$2="NO", "ALERTA: DESCUENTO DOBLE NO PERMITIDO", "OK"), "OK"))</f>
        <v/>
      </c>
      <c r="AR799" s="79">
        <f>IF(AN799="","",IF(OR(AO799&lt;&gt;"OK", AP799&lt;&gt;"OK", AQ799&lt;&gt;"OK"), "⚠️ REVISAR", "OK"))</f>
        <v/>
      </c>
    </row>
    <row r="800">
      <c r="A800" s="79">
        <f>IF('Ordenes_Odoo'!A800="","",'Ordenes_Odoo'!A800)</f>
        <v/>
      </c>
      <c r="B800" s="80">
        <f>IF('Ordenes_Odoo'!B800="","",'Ordenes_Odoo'!B800)</f>
        <v/>
      </c>
      <c r="C800" s="79">
        <f>IF('Ordenes_Odoo'!C800="","",'Ordenes_Odoo'!C800)</f>
        <v/>
      </c>
      <c r="D800" s="79">
        <f>IF('Ordenes_Odoo'!D800="","",'Ordenes_Odoo'!D800)</f>
        <v/>
      </c>
      <c r="E800" s="79">
        <f>IF('Ordenes_Odoo'!E800="","",'Ordenes_Odoo'!E800)</f>
        <v/>
      </c>
      <c r="F800" s="79">
        <f>IF('Ordenes_Odoo'!F800="","",'Ordenes_Odoo'!F800)</f>
        <v/>
      </c>
      <c r="G800" s="79">
        <f>IF('Ordenes_Odoo'!G800="","",'Ordenes_Odoo'!G800)</f>
        <v/>
      </c>
      <c r="H800" s="79">
        <f>IF('Ordenes_Odoo'!H800="","",'Ordenes_Odoo'!H800)</f>
        <v/>
      </c>
      <c r="I800" s="79">
        <f>IF('Ordenes_Odoo'!I800="","",'Ordenes_Odoo'!I800)</f>
        <v/>
      </c>
      <c r="J800" s="79">
        <f>IF('Ordenes_Odoo'!J800="","",'Ordenes_Odoo'!J800)</f>
        <v/>
      </c>
      <c r="K800" s="81">
        <f>IF('Ordenes_Odoo'!K800="","",'Ordenes_Odoo'!K800)</f>
        <v/>
      </c>
      <c r="L800" s="81">
        <f>IF('Ordenes_Odoo'!L800="","",'Ordenes_Odoo'!L800)</f>
        <v/>
      </c>
      <c r="M800" s="79">
        <f>IF('Ordenes_Odoo'!M800="","",'Ordenes_Odoo'!M800)</f>
        <v/>
      </c>
      <c r="N800" s="79">
        <f>IF('Ordenes_Odoo'!N800="","",'Ordenes_Odoo'!N800)</f>
        <v/>
      </c>
      <c r="O800" s="81">
        <f>IF('Ordenes_Odoo'!O800="","",'Ordenes_Odoo'!O800)</f>
        <v/>
      </c>
      <c r="P800" s="81">
        <f>IF('Ordenes_Odoo'!P800="","",'Ordenes_Odoo'!P800)</f>
        <v/>
      </c>
      <c r="Q800" s="79">
        <f>IF(A800="","",IFERROR(INDEX(Facturas_Odoo!$B:$B, MATCH(A800, Facturas_Odoo!$D:$D, 0)), "Sin Factura"))</f>
        <v/>
      </c>
      <c r="R800" s="80">
        <f>IF(Q800="Sin Factura","",IFERROR(INDEX(Facturas_Odoo!$A:$A, MATCH(Q800, Facturas_Odoo!$B:$B, 0)), ""))</f>
        <v/>
      </c>
      <c r="S800" s="79">
        <f>IF(Q800="Sin Factura","",IFERROR(_xlfn.XLOOKUP(1, (Facturas_Odoo!$D:$D=A800) * (Facturas_Odoo!$K:$K=I800), Facturas_Odoo!$L:$L, ""), ""))</f>
        <v/>
      </c>
      <c r="T800" s="81">
        <f>IF(Q800="Sin Factura",0,IFERROR(_xlfn.XLOOKUP(1, (Facturas_Odoo!$D:$D=A800) * (Facturas_Odoo!$K:$K=I800), Facturas_Odoo!$M:$M, 0), 0))</f>
        <v/>
      </c>
      <c r="U800" s="79">
        <f>IF(Q800="Sin Factura",0,IFERROR(_xlfn.XLOOKUP(1, (Facturas_Odoo!$D:$D=A800) * (Facturas_Odoo!$K:$K=I800), Facturas_Odoo!$N:$N, 0), 0))</f>
        <v/>
      </c>
      <c r="V800" s="79">
        <f>IF(Q800="Sin Factura",0,IFERROR(_xlfn.XLOOKUP(1, (Facturas_Odoo!$D:$D=A800) * (Facturas_Odoo!$K:$K=I800), Facturas_Odoo!$O:$O, 0), 0))</f>
        <v/>
      </c>
      <c r="W800" s="81">
        <f>IF(Q800="Sin Factura",0,IFERROR(_xlfn.XLOOKUP(1, (Facturas_Odoo!$D:$D=A800) * (Facturas_Odoo!$K:$K=I800), Facturas_Odoo!$Q:$Q, 0), 0))</f>
        <v/>
      </c>
      <c r="X800" s="79">
        <f>IF(OR(Q800="Sin Factura",Q800=""),"",IFERROR(INDEX(Pagos_Odoo!$B:$B, MATCH(Q800, Pagos_Odoo!$I:$I, 0)), "Sin Pago"))</f>
        <v/>
      </c>
      <c r="Y800" s="79">
        <f>IF(X800="Sin Pago","",IFERROR(INDEX(Pagos_Odoo!$C:$C, MATCH(X800, Pagos_Odoo!$B:$B, 0)), ""))</f>
        <v/>
      </c>
      <c r="Z800" s="80">
        <f>IF(X800="Sin Pago","",IFERROR(INDEX(Pagos_Odoo!$A:$A, MATCH(X800, Pagos_Odoo!$B:$B, 0)), ""))</f>
        <v/>
      </c>
      <c r="AA800" s="79">
        <f>IF(X800="Sin Pago","",IFERROR(INDEX(Pagos_Odoo!$F:$F, MATCH(X800, Pagos_Odoo!$B:$B, 0)), ""))</f>
        <v/>
      </c>
      <c r="AB800" s="81">
        <f>IF(X800="Sin Pago",0,IFERROR(INDEX(Pagos_Odoo!$E:$E, MATCH(X800, Pagos_Odoo!$B:$B, 0)), 0))</f>
        <v/>
      </c>
      <c r="AC800" s="79">
        <f>IF(X800="Sin Pago","",IFERROR(INDEX(Pagos_Odoo!$G:$G, MATCH(X800, Pagos_Odoo!$B:$B, 0)), ""))</f>
        <v/>
      </c>
      <c r="AD800" s="82" t="n">
        <v>0</v>
      </c>
      <c r="AE800" s="82" t="n"/>
      <c r="AF800" s="82" t="n"/>
      <c r="AG800" s="82">
        <f>IF(AN800="","",AD800+AE800+AF800)</f>
        <v/>
      </c>
      <c r="AH800" s="81">
        <f>IF(AN800="","",P800*(1-AG800))</f>
        <v/>
      </c>
      <c r="AI800" s="81">
        <f>IF(AN800="","",IF(Q800="Sin Factura",0,IFERROR(INDEX(Facturas_Odoo!$H:$H, MATCH(Q800, Facturas_Odoo!$B:$B, 0)), 0)*(1-AG800)))</f>
        <v/>
      </c>
      <c r="AJ800" s="81">
        <f>IF(AN800="","",_xlfn.LET(idVenta, AN800&amp;"",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00" s="81">
        <f>IF(AN800="","",AH800-AJ800)</f>
        <v/>
      </c>
      <c r="AL800" s="81">
        <f>IF(AN800="","",IF(Q800="Sin Factura","",AI800-AJ800))</f>
        <v/>
      </c>
      <c r="AM800" s="81">
        <f>IF(AN800="","",IF(Q800="Sin Factura",0,P800-IFERROR(INDEX(Facturas_Odoo!$H:$H, MATCH(Q800, Facturas_Odoo!$B:$B, 0)), 0)))</f>
        <v/>
      </c>
      <c r="AN800" s="79">
        <f>IF(AND(A800="", J800=""), "", IF(A800&lt;&gt;"", VALUE(MID(A800,2,LEN(A800))), AN799))</f>
        <v/>
      </c>
      <c r="AO800" s="79">
        <f>IF(AN800="","",IF(AD800=0,"OK",_xlfn.LET(monedaPago, IF(AA800="","USD",AA800), limitePermitido, IFERROR(VLOOKUP(monedaPago, Configuración!$A$2:$B$3, 2, FALSE), 0.15), IF(AD800&gt;limitePermitido, "ALERTA: EXCESO (" &amp; TEXT(limitePermitido, "0%") &amp; " máx)", "OK"))))</f>
        <v/>
      </c>
      <c r="AP800" s="79">
        <f>IF(AN800="","",IF(AE800=0,"OK",_xlfn.LET(fechaPago, Z800, fechaFactura, R800, diasCredito, IF(E800="Pago inmediato", 0, IFERROR(VALUE(MID(E800, 1, SEARCH(" ", E800)-1)),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00" s="79">
        <f>IF(AN800="","",IF(AND(N800&gt;0, AG800&gt;0), IF(Configuración!$K$2="NO", "ALERTA: DESCUENTO DOBLE NO PERMITIDO", "OK"), "OK"))</f>
        <v/>
      </c>
      <c r="AR800" s="79">
        <f>IF(AN800="","",IF(OR(AO800&lt;&gt;"OK", AP800&lt;&gt;"OK", AQ800&lt;&gt;"OK"), "⚠️ REVISAR", "OK"))</f>
        <v/>
      </c>
    </row>
    <row r="801">
      <c r="A801" s="79">
        <f>IF('Ordenes_Odoo'!A801="","",'Ordenes_Odoo'!A801)</f>
        <v/>
      </c>
      <c r="B801" s="80">
        <f>IF('Ordenes_Odoo'!B801="","",'Ordenes_Odoo'!B801)</f>
        <v/>
      </c>
      <c r="C801" s="79">
        <f>IF('Ordenes_Odoo'!C801="","",'Ordenes_Odoo'!C801)</f>
        <v/>
      </c>
      <c r="D801" s="79">
        <f>IF('Ordenes_Odoo'!D801="","",'Ordenes_Odoo'!D801)</f>
        <v/>
      </c>
      <c r="E801" s="79">
        <f>IF('Ordenes_Odoo'!E801="","",'Ordenes_Odoo'!E801)</f>
        <v/>
      </c>
      <c r="F801" s="79">
        <f>IF('Ordenes_Odoo'!F801="","",'Ordenes_Odoo'!F801)</f>
        <v/>
      </c>
      <c r="G801" s="79">
        <f>IF('Ordenes_Odoo'!G801="","",'Ordenes_Odoo'!G801)</f>
        <v/>
      </c>
      <c r="H801" s="79">
        <f>IF('Ordenes_Odoo'!H801="","",'Ordenes_Odoo'!H801)</f>
        <v/>
      </c>
      <c r="I801" s="79">
        <f>IF('Ordenes_Odoo'!I801="","",'Ordenes_Odoo'!I801)</f>
        <v/>
      </c>
      <c r="J801" s="79">
        <f>IF('Ordenes_Odoo'!J801="","",'Ordenes_Odoo'!J801)</f>
        <v/>
      </c>
      <c r="K801" s="81">
        <f>IF('Ordenes_Odoo'!K801="","",'Ordenes_Odoo'!K801)</f>
        <v/>
      </c>
      <c r="L801" s="81">
        <f>IF('Ordenes_Odoo'!L801="","",'Ordenes_Odoo'!L801)</f>
        <v/>
      </c>
      <c r="M801" s="79">
        <f>IF('Ordenes_Odoo'!M801="","",'Ordenes_Odoo'!M801)</f>
        <v/>
      </c>
      <c r="N801" s="79">
        <f>IF('Ordenes_Odoo'!N801="","",'Ordenes_Odoo'!N801)</f>
        <v/>
      </c>
      <c r="O801" s="81">
        <f>IF('Ordenes_Odoo'!O801="","",'Ordenes_Odoo'!O801)</f>
        <v/>
      </c>
      <c r="P801" s="81">
        <f>IF('Ordenes_Odoo'!P801="","",'Ordenes_Odoo'!P801)</f>
        <v/>
      </c>
      <c r="Q801" s="79">
        <f>IF(A801="","",IFERROR(INDEX(Facturas_Odoo!$B:$B, MATCH(A801, Facturas_Odoo!$D:$D, 0)), "Sin Factura"))</f>
        <v/>
      </c>
      <c r="R801" s="80">
        <f>IF(Q801="Sin Factura","",IFERROR(INDEX(Facturas_Odoo!$A:$A, MATCH(Q801, Facturas_Odoo!$B:$B, 0)), ""))</f>
        <v/>
      </c>
      <c r="S801" s="79">
        <f>IF(Q801="Sin Factura","",IFERROR(_xlfn.XLOOKUP(1, (Facturas_Odoo!$D:$D=A801) * (Facturas_Odoo!$K:$K=I801), Facturas_Odoo!$L:$L, ""), ""))</f>
        <v/>
      </c>
      <c r="T801" s="81">
        <f>IF(Q801="Sin Factura",0,IFERROR(_xlfn.XLOOKUP(1, (Facturas_Odoo!$D:$D=A801) * (Facturas_Odoo!$K:$K=I801), Facturas_Odoo!$M:$M, 0), 0))</f>
        <v/>
      </c>
      <c r="U801" s="79">
        <f>IF(Q801="Sin Factura",0,IFERROR(_xlfn.XLOOKUP(1, (Facturas_Odoo!$D:$D=A801) * (Facturas_Odoo!$K:$K=I801), Facturas_Odoo!$N:$N, 0), 0))</f>
        <v/>
      </c>
      <c r="V801" s="79">
        <f>IF(Q801="Sin Factura",0,IFERROR(_xlfn.XLOOKUP(1, (Facturas_Odoo!$D:$D=A801) * (Facturas_Odoo!$K:$K=I801), Facturas_Odoo!$O:$O, 0), 0))</f>
        <v/>
      </c>
      <c r="W801" s="81">
        <f>IF(Q801="Sin Factura",0,IFERROR(_xlfn.XLOOKUP(1, (Facturas_Odoo!$D:$D=A801) * (Facturas_Odoo!$K:$K=I801), Facturas_Odoo!$Q:$Q, 0), 0))</f>
        <v/>
      </c>
      <c r="X801" s="79">
        <f>IF(OR(Q801="Sin Factura",Q801=""),"",IFERROR(INDEX(Pagos_Odoo!$B:$B, MATCH(Q801, Pagos_Odoo!$I:$I, 0)), "Sin Pago"))</f>
        <v/>
      </c>
      <c r="Y801" s="79">
        <f>IF(X801="Sin Pago","",IFERROR(INDEX(Pagos_Odoo!$C:$C, MATCH(X801, Pagos_Odoo!$B:$B, 0)), ""))</f>
        <v/>
      </c>
      <c r="Z801" s="80">
        <f>IF(X801="Sin Pago","",IFERROR(INDEX(Pagos_Odoo!$A:$A, MATCH(X801, Pagos_Odoo!$B:$B, 0)), ""))</f>
        <v/>
      </c>
      <c r="AA801" s="79">
        <f>IF(X801="Sin Pago","",IFERROR(INDEX(Pagos_Odoo!$F:$F, MATCH(X801, Pagos_Odoo!$B:$B, 0)), ""))</f>
        <v/>
      </c>
      <c r="AB801" s="81">
        <f>IF(X801="Sin Pago",0,IFERROR(INDEX(Pagos_Odoo!$E:$E, MATCH(X801, Pagos_Odoo!$B:$B, 0)), 0))</f>
        <v/>
      </c>
      <c r="AC801" s="79">
        <f>IF(X801="Sin Pago","",IFERROR(INDEX(Pagos_Odoo!$G:$G, MATCH(X801, Pagos_Odoo!$B:$B, 0)), ""))</f>
        <v/>
      </c>
      <c r="AD801" s="82" t="n">
        <v>0</v>
      </c>
      <c r="AE801" s="82" t="n"/>
      <c r="AF801" s="82" t="n"/>
      <c r="AG801" s="82">
        <f>IF(AN801="","",AD801+AE801+AF801)</f>
        <v/>
      </c>
      <c r="AH801" s="81">
        <f>IF(AN801="","",P801*(1-AG801))</f>
        <v/>
      </c>
      <c r="AI801" s="81">
        <f>IF(AN801="","",IF(Q801="Sin Factura",0,IFERROR(INDEX(Facturas_Odoo!$H:$H, MATCH(Q801, Facturas_Odoo!$B:$B, 0)), 0)*(1-AG801)))</f>
        <v/>
      </c>
      <c r="AJ801" s="81">
        <f>IF(AN801="","",_xlfn.LET(idVenta, AN801&amp;"",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01" s="81">
        <f>IF(AN801="","",AH801-AJ801)</f>
        <v/>
      </c>
      <c r="AL801" s="81">
        <f>IF(AN801="","",IF(Q801="Sin Factura","",AI801-AJ801))</f>
        <v/>
      </c>
      <c r="AM801" s="81">
        <f>IF(AN801="","",IF(Q801="Sin Factura",0,P801-IFERROR(INDEX(Facturas_Odoo!$H:$H, MATCH(Q801, Facturas_Odoo!$B:$B, 0)), 0)))</f>
        <v/>
      </c>
      <c r="AN801" s="79">
        <f>IF(AND(A801="", J801=""), "", IF(A801&lt;&gt;"", VALUE(MID(A801,2,LEN(A801))), AN800))</f>
        <v/>
      </c>
      <c r="AO801" s="79">
        <f>IF(AN801="","",IF(AD801=0,"OK",_xlfn.LET(monedaPago, IF(AA801="","USD",AA801), limitePermitido, IFERROR(VLOOKUP(monedaPago, Configuración!$A$2:$B$3, 2, FALSE), 0.15), IF(AD801&gt;limitePermitido, "ALERTA: EXCESO (" &amp; TEXT(limitePermitido, "0%") &amp; " máx)", "OK"))))</f>
        <v/>
      </c>
      <c r="AP801" s="79">
        <f>IF(AN801="","",IF(AE801=0,"OK",_xlfn.LET(fechaPago, Z801, fechaFactura, R801, diasCredito, IF(E801="Pago inmediato", 0, IFERROR(VALUE(MID(E801, 1, SEARCH(" ", E801)-1)),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01" s="79">
        <f>IF(AN801="","",IF(AND(N801&gt;0, AG801&gt;0), IF(Configuración!$K$2="NO", "ALERTA: DESCUENTO DOBLE NO PERMITIDO", "OK"), "OK"))</f>
        <v/>
      </c>
      <c r="AR801" s="79">
        <f>IF(AN801="","",IF(OR(AO801&lt;&gt;"OK", AP801&lt;&gt;"OK", AQ801&lt;&gt;"OK"), "⚠️ REVISAR", "OK"))</f>
        <v/>
      </c>
    </row>
    <row r="802">
      <c r="A802" s="79">
        <f>IF('Ordenes_Odoo'!A802="","",'Ordenes_Odoo'!A802)</f>
        <v/>
      </c>
      <c r="B802" s="80">
        <f>IF('Ordenes_Odoo'!B802="","",'Ordenes_Odoo'!B802)</f>
        <v/>
      </c>
      <c r="C802" s="79">
        <f>IF('Ordenes_Odoo'!C802="","",'Ordenes_Odoo'!C802)</f>
        <v/>
      </c>
      <c r="D802" s="79">
        <f>IF('Ordenes_Odoo'!D802="","",'Ordenes_Odoo'!D802)</f>
        <v/>
      </c>
      <c r="E802" s="79">
        <f>IF('Ordenes_Odoo'!E802="","",'Ordenes_Odoo'!E802)</f>
        <v/>
      </c>
      <c r="F802" s="79">
        <f>IF('Ordenes_Odoo'!F802="","",'Ordenes_Odoo'!F802)</f>
        <v/>
      </c>
      <c r="G802" s="79">
        <f>IF('Ordenes_Odoo'!G802="","",'Ordenes_Odoo'!G802)</f>
        <v/>
      </c>
      <c r="H802" s="79">
        <f>IF('Ordenes_Odoo'!H802="","",'Ordenes_Odoo'!H802)</f>
        <v/>
      </c>
      <c r="I802" s="79">
        <f>IF('Ordenes_Odoo'!I802="","",'Ordenes_Odoo'!I802)</f>
        <v/>
      </c>
      <c r="J802" s="79">
        <f>IF('Ordenes_Odoo'!J802="","",'Ordenes_Odoo'!J802)</f>
        <v/>
      </c>
      <c r="K802" s="81">
        <f>IF('Ordenes_Odoo'!K802="","",'Ordenes_Odoo'!K802)</f>
        <v/>
      </c>
      <c r="L802" s="81">
        <f>IF('Ordenes_Odoo'!L802="","",'Ordenes_Odoo'!L802)</f>
        <v/>
      </c>
      <c r="M802" s="79">
        <f>IF('Ordenes_Odoo'!M802="","",'Ordenes_Odoo'!M802)</f>
        <v/>
      </c>
      <c r="N802" s="79">
        <f>IF('Ordenes_Odoo'!N802="","",'Ordenes_Odoo'!N802)</f>
        <v/>
      </c>
      <c r="O802" s="81">
        <f>IF('Ordenes_Odoo'!O802="","",'Ordenes_Odoo'!O802)</f>
        <v/>
      </c>
      <c r="P802" s="81">
        <f>IF('Ordenes_Odoo'!P802="","",'Ordenes_Odoo'!P802)</f>
        <v/>
      </c>
      <c r="Q802" s="79">
        <f>IF(A802="","",IFERROR(INDEX(Facturas_Odoo!$B:$B, MATCH(A802, Facturas_Odoo!$D:$D, 0)), "Sin Factura"))</f>
        <v/>
      </c>
      <c r="R802" s="80">
        <f>IF(Q802="Sin Factura","",IFERROR(INDEX(Facturas_Odoo!$A:$A, MATCH(Q802, Facturas_Odoo!$B:$B, 0)), ""))</f>
        <v/>
      </c>
      <c r="S802" s="79">
        <f>IF(Q802="Sin Factura","",IFERROR(_xlfn.XLOOKUP(1, (Facturas_Odoo!$D:$D=A802) * (Facturas_Odoo!$K:$K=I802), Facturas_Odoo!$L:$L, ""), ""))</f>
        <v/>
      </c>
      <c r="T802" s="81">
        <f>IF(Q802="Sin Factura",0,IFERROR(_xlfn.XLOOKUP(1, (Facturas_Odoo!$D:$D=A802) * (Facturas_Odoo!$K:$K=I802), Facturas_Odoo!$M:$M, 0), 0))</f>
        <v/>
      </c>
      <c r="U802" s="79">
        <f>IF(Q802="Sin Factura",0,IFERROR(_xlfn.XLOOKUP(1, (Facturas_Odoo!$D:$D=A802) * (Facturas_Odoo!$K:$K=I802), Facturas_Odoo!$N:$N, 0), 0))</f>
        <v/>
      </c>
      <c r="V802" s="79">
        <f>IF(Q802="Sin Factura",0,IFERROR(_xlfn.XLOOKUP(1, (Facturas_Odoo!$D:$D=A802) * (Facturas_Odoo!$K:$K=I802), Facturas_Odoo!$O:$O, 0), 0))</f>
        <v/>
      </c>
      <c r="W802" s="81">
        <f>IF(Q802="Sin Factura",0,IFERROR(_xlfn.XLOOKUP(1, (Facturas_Odoo!$D:$D=A802) * (Facturas_Odoo!$K:$K=I802), Facturas_Odoo!$Q:$Q, 0), 0))</f>
        <v/>
      </c>
      <c r="X802" s="79">
        <f>IF(OR(Q802="Sin Factura",Q802=""),"",IFERROR(INDEX(Pagos_Odoo!$B:$B, MATCH(Q802, Pagos_Odoo!$I:$I, 0)), "Sin Pago"))</f>
        <v/>
      </c>
      <c r="Y802" s="79">
        <f>IF(X802="Sin Pago","",IFERROR(INDEX(Pagos_Odoo!$C:$C, MATCH(X802, Pagos_Odoo!$B:$B, 0)), ""))</f>
        <v/>
      </c>
      <c r="Z802" s="80">
        <f>IF(X802="Sin Pago","",IFERROR(INDEX(Pagos_Odoo!$A:$A, MATCH(X802, Pagos_Odoo!$B:$B, 0)), ""))</f>
        <v/>
      </c>
      <c r="AA802" s="79">
        <f>IF(X802="Sin Pago","",IFERROR(INDEX(Pagos_Odoo!$F:$F, MATCH(X802, Pagos_Odoo!$B:$B, 0)), ""))</f>
        <v/>
      </c>
      <c r="AB802" s="81">
        <f>IF(X802="Sin Pago",0,IFERROR(INDEX(Pagos_Odoo!$E:$E, MATCH(X802, Pagos_Odoo!$B:$B, 0)), 0))</f>
        <v/>
      </c>
      <c r="AC802" s="79">
        <f>IF(X802="Sin Pago","",IFERROR(INDEX(Pagos_Odoo!$G:$G, MATCH(X802, Pagos_Odoo!$B:$B, 0)), ""))</f>
        <v/>
      </c>
      <c r="AD802" s="82" t="n">
        <v>0</v>
      </c>
      <c r="AE802" s="82" t="n"/>
      <c r="AF802" s="82" t="n"/>
      <c r="AG802" s="82">
        <f>IF(AN802="","",AD802+AE802+AF802)</f>
        <v/>
      </c>
      <c r="AH802" s="81">
        <f>IF(AN802="","",P802*(1-AG802))</f>
        <v/>
      </c>
      <c r="AI802" s="81">
        <f>IF(AN802="","",IF(Q802="Sin Factura",0,IFERROR(INDEX(Facturas_Odoo!$H:$H, MATCH(Q802, Facturas_Odoo!$B:$B, 0)), 0)*(1-AG802)))</f>
        <v/>
      </c>
      <c r="AJ802" s="81">
        <f>IF(AN802="","",_xlfn.LET(idVenta, AN802&amp;"",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02" s="81">
        <f>IF(AN802="","",AH802-AJ802)</f>
        <v/>
      </c>
      <c r="AL802" s="81">
        <f>IF(AN802="","",IF(Q802="Sin Factura","",AI802-AJ802))</f>
        <v/>
      </c>
      <c r="AM802" s="81">
        <f>IF(AN802="","",IF(Q802="Sin Factura",0,P802-IFERROR(INDEX(Facturas_Odoo!$H:$H, MATCH(Q802, Facturas_Odoo!$B:$B, 0)), 0)))</f>
        <v/>
      </c>
      <c r="AN802" s="79">
        <f>IF(AND(A802="", J802=""), "", IF(A802&lt;&gt;"", VALUE(MID(A802,2,LEN(A802))), AN801))</f>
        <v/>
      </c>
      <c r="AO802" s="79">
        <f>IF(AN802="","",IF(AD802=0,"OK",_xlfn.LET(monedaPago, IF(AA802="","USD",AA802), limitePermitido, IFERROR(VLOOKUP(monedaPago, Configuración!$A$2:$B$3, 2, FALSE), 0.15), IF(AD802&gt;limitePermitido, "ALERTA: EXCESO (" &amp; TEXT(limitePermitido, "0%") &amp; " máx)", "OK"))))</f>
        <v/>
      </c>
      <c r="AP802" s="79">
        <f>IF(AN802="","",IF(AE802=0,"OK",_xlfn.LET(fechaPago, Z802, fechaFactura, R802, diasCredito, IF(E802="Pago inmediato", 0, IFERROR(VALUE(MID(E802, 1, SEARCH(" ", E802)-1)),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02" s="79">
        <f>IF(AN802="","",IF(AND(N802&gt;0, AG802&gt;0), IF(Configuración!$K$2="NO", "ALERTA: DESCUENTO DOBLE NO PERMITIDO", "OK"), "OK"))</f>
        <v/>
      </c>
      <c r="AR802" s="79">
        <f>IF(AN802="","",IF(OR(AO802&lt;&gt;"OK", AP802&lt;&gt;"OK", AQ802&lt;&gt;"OK"), "⚠️ REVISAR", "OK"))</f>
        <v/>
      </c>
    </row>
    <row r="803">
      <c r="A803" s="79">
        <f>IF('Ordenes_Odoo'!A803="","",'Ordenes_Odoo'!A803)</f>
        <v/>
      </c>
      <c r="B803" s="80">
        <f>IF('Ordenes_Odoo'!B803="","",'Ordenes_Odoo'!B803)</f>
        <v/>
      </c>
      <c r="C803" s="79">
        <f>IF('Ordenes_Odoo'!C803="","",'Ordenes_Odoo'!C803)</f>
        <v/>
      </c>
      <c r="D803" s="79">
        <f>IF('Ordenes_Odoo'!D803="","",'Ordenes_Odoo'!D803)</f>
        <v/>
      </c>
      <c r="E803" s="79">
        <f>IF('Ordenes_Odoo'!E803="","",'Ordenes_Odoo'!E803)</f>
        <v/>
      </c>
      <c r="F803" s="79">
        <f>IF('Ordenes_Odoo'!F803="","",'Ordenes_Odoo'!F803)</f>
        <v/>
      </c>
      <c r="G803" s="79">
        <f>IF('Ordenes_Odoo'!G803="","",'Ordenes_Odoo'!G803)</f>
        <v/>
      </c>
      <c r="H803" s="79">
        <f>IF('Ordenes_Odoo'!H803="","",'Ordenes_Odoo'!H803)</f>
        <v/>
      </c>
      <c r="I803" s="79">
        <f>IF('Ordenes_Odoo'!I803="","",'Ordenes_Odoo'!I803)</f>
        <v/>
      </c>
      <c r="J803" s="79">
        <f>IF('Ordenes_Odoo'!J803="","",'Ordenes_Odoo'!J803)</f>
        <v/>
      </c>
      <c r="K803" s="81">
        <f>IF('Ordenes_Odoo'!K803="","",'Ordenes_Odoo'!K803)</f>
        <v/>
      </c>
      <c r="L803" s="81">
        <f>IF('Ordenes_Odoo'!L803="","",'Ordenes_Odoo'!L803)</f>
        <v/>
      </c>
      <c r="M803" s="79">
        <f>IF('Ordenes_Odoo'!M803="","",'Ordenes_Odoo'!M803)</f>
        <v/>
      </c>
      <c r="N803" s="79">
        <f>IF('Ordenes_Odoo'!N803="","",'Ordenes_Odoo'!N803)</f>
        <v/>
      </c>
      <c r="O803" s="81">
        <f>IF('Ordenes_Odoo'!O803="","",'Ordenes_Odoo'!O803)</f>
        <v/>
      </c>
      <c r="P803" s="81">
        <f>IF('Ordenes_Odoo'!P803="","",'Ordenes_Odoo'!P803)</f>
        <v/>
      </c>
      <c r="Q803" s="79">
        <f>IF(A803="","",IFERROR(INDEX(Facturas_Odoo!$B:$B, MATCH(A803, Facturas_Odoo!$D:$D, 0)), "Sin Factura"))</f>
        <v/>
      </c>
      <c r="R803" s="80">
        <f>IF(Q803="Sin Factura","",IFERROR(INDEX(Facturas_Odoo!$A:$A, MATCH(Q803, Facturas_Odoo!$B:$B, 0)), ""))</f>
        <v/>
      </c>
      <c r="S803" s="79">
        <f>IF(Q803="Sin Factura","",IFERROR(_xlfn.XLOOKUP(1, (Facturas_Odoo!$D:$D=A803) * (Facturas_Odoo!$K:$K=I803), Facturas_Odoo!$L:$L, ""), ""))</f>
        <v/>
      </c>
      <c r="T803" s="81">
        <f>IF(Q803="Sin Factura",0,IFERROR(_xlfn.XLOOKUP(1, (Facturas_Odoo!$D:$D=A803) * (Facturas_Odoo!$K:$K=I803), Facturas_Odoo!$M:$M, 0), 0))</f>
        <v/>
      </c>
      <c r="U803" s="79">
        <f>IF(Q803="Sin Factura",0,IFERROR(_xlfn.XLOOKUP(1, (Facturas_Odoo!$D:$D=A803) * (Facturas_Odoo!$K:$K=I803), Facturas_Odoo!$N:$N, 0), 0))</f>
        <v/>
      </c>
      <c r="V803" s="79">
        <f>IF(Q803="Sin Factura",0,IFERROR(_xlfn.XLOOKUP(1, (Facturas_Odoo!$D:$D=A803) * (Facturas_Odoo!$K:$K=I803), Facturas_Odoo!$O:$O, 0), 0))</f>
        <v/>
      </c>
      <c r="W803" s="81">
        <f>IF(Q803="Sin Factura",0,IFERROR(_xlfn.XLOOKUP(1, (Facturas_Odoo!$D:$D=A803) * (Facturas_Odoo!$K:$K=I803), Facturas_Odoo!$Q:$Q, 0), 0))</f>
        <v/>
      </c>
      <c r="X803" s="79">
        <f>IF(OR(Q803="Sin Factura",Q803=""),"",IFERROR(INDEX(Pagos_Odoo!$B:$B, MATCH(Q803, Pagos_Odoo!$I:$I, 0)), "Sin Pago"))</f>
        <v/>
      </c>
      <c r="Y803" s="79">
        <f>IF(X803="Sin Pago","",IFERROR(INDEX(Pagos_Odoo!$C:$C, MATCH(X803, Pagos_Odoo!$B:$B, 0)), ""))</f>
        <v/>
      </c>
      <c r="Z803" s="80">
        <f>IF(X803="Sin Pago","",IFERROR(INDEX(Pagos_Odoo!$A:$A, MATCH(X803, Pagos_Odoo!$B:$B, 0)), ""))</f>
        <v/>
      </c>
      <c r="AA803" s="79">
        <f>IF(X803="Sin Pago","",IFERROR(INDEX(Pagos_Odoo!$F:$F, MATCH(X803, Pagos_Odoo!$B:$B, 0)), ""))</f>
        <v/>
      </c>
      <c r="AB803" s="81">
        <f>IF(X803="Sin Pago",0,IFERROR(INDEX(Pagos_Odoo!$E:$E, MATCH(X803, Pagos_Odoo!$B:$B, 0)), 0))</f>
        <v/>
      </c>
      <c r="AC803" s="79">
        <f>IF(X803="Sin Pago","",IFERROR(INDEX(Pagos_Odoo!$G:$G, MATCH(X803, Pagos_Odoo!$B:$B, 0)), ""))</f>
        <v/>
      </c>
      <c r="AD803" s="82" t="n">
        <v>0</v>
      </c>
      <c r="AE803" s="82" t="n"/>
      <c r="AF803" s="82" t="n"/>
      <c r="AG803" s="82">
        <f>IF(AN803="","",AD803+AE803+AF803)</f>
        <v/>
      </c>
      <c r="AH803" s="81">
        <f>IF(AN803="","",P803*(1-AG803))</f>
        <v/>
      </c>
      <c r="AI803" s="81">
        <f>IF(AN803="","",IF(Q803="Sin Factura",0,IFERROR(INDEX(Facturas_Odoo!$H:$H, MATCH(Q803, Facturas_Odoo!$B:$B, 0)), 0)*(1-AG803)))</f>
        <v/>
      </c>
      <c r="AJ803" s="81">
        <f>IF(AN803="","",_xlfn.LET(idVenta, AN803&amp;"",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03" s="81">
        <f>IF(AN803="","",AH803-AJ803)</f>
        <v/>
      </c>
      <c r="AL803" s="81">
        <f>IF(AN803="","",IF(Q803="Sin Factura","",AI803-AJ803))</f>
        <v/>
      </c>
      <c r="AM803" s="81">
        <f>IF(AN803="","",IF(Q803="Sin Factura",0,P803-IFERROR(INDEX(Facturas_Odoo!$H:$H, MATCH(Q803, Facturas_Odoo!$B:$B, 0)), 0)))</f>
        <v/>
      </c>
      <c r="AN803" s="79">
        <f>IF(AND(A803="", J803=""), "", IF(A803&lt;&gt;"", VALUE(MID(A803,2,LEN(A803))), AN802))</f>
        <v/>
      </c>
      <c r="AO803" s="79">
        <f>IF(AN803="","",IF(AD803=0,"OK",_xlfn.LET(monedaPago, IF(AA803="","USD",AA803), limitePermitido, IFERROR(VLOOKUP(monedaPago, Configuración!$A$2:$B$3, 2, FALSE), 0.15), IF(AD803&gt;limitePermitido, "ALERTA: EXCESO (" &amp; TEXT(limitePermitido, "0%") &amp; " máx)", "OK"))))</f>
        <v/>
      </c>
      <c r="AP803" s="79">
        <f>IF(AN803="","",IF(AE803=0,"OK",_xlfn.LET(fechaPago, Z803, fechaFactura, R803, diasCredito, IF(E803="Pago inmediato", 0, IFERROR(VALUE(MID(E803, 1, SEARCH(" ", E803)-1)),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03" s="79">
        <f>IF(AN803="","",IF(AND(N803&gt;0, AG803&gt;0), IF(Configuración!$K$2="NO", "ALERTA: DESCUENTO DOBLE NO PERMITIDO", "OK"), "OK"))</f>
        <v/>
      </c>
      <c r="AR803" s="79">
        <f>IF(AN803="","",IF(OR(AO803&lt;&gt;"OK", AP803&lt;&gt;"OK", AQ803&lt;&gt;"OK"), "⚠️ REVISAR", "OK"))</f>
        <v/>
      </c>
    </row>
    <row r="804">
      <c r="A804" s="79">
        <f>IF('Ordenes_Odoo'!A804="","",'Ordenes_Odoo'!A804)</f>
        <v/>
      </c>
      <c r="B804" s="80">
        <f>IF('Ordenes_Odoo'!B804="","",'Ordenes_Odoo'!B804)</f>
        <v/>
      </c>
      <c r="C804" s="79">
        <f>IF('Ordenes_Odoo'!C804="","",'Ordenes_Odoo'!C804)</f>
        <v/>
      </c>
      <c r="D804" s="79">
        <f>IF('Ordenes_Odoo'!D804="","",'Ordenes_Odoo'!D804)</f>
        <v/>
      </c>
      <c r="E804" s="79">
        <f>IF('Ordenes_Odoo'!E804="","",'Ordenes_Odoo'!E804)</f>
        <v/>
      </c>
      <c r="F804" s="79">
        <f>IF('Ordenes_Odoo'!F804="","",'Ordenes_Odoo'!F804)</f>
        <v/>
      </c>
      <c r="G804" s="79">
        <f>IF('Ordenes_Odoo'!G804="","",'Ordenes_Odoo'!G804)</f>
        <v/>
      </c>
      <c r="H804" s="79">
        <f>IF('Ordenes_Odoo'!H804="","",'Ordenes_Odoo'!H804)</f>
        <v/>
      </c>
      <c r="I804" s="79">
        <f>IF('Ordenes_Odoo'!I804="","",'Ordenes_Odoo'!I804)</f>
        <v/>
      </c>
      <c r="J804" s="79">
        <f>IF('Ordenes_Odoo'!J804="","",'Ordenes_Odoo'!J804)</f>
        <v/>
      </c>
      <c r="K804" s="81">
        <f>IF('Ordenes_Odoo'!K804="","",'Ordenes_Odoo'!K804)</f>
        <v/>
      </c>
      <c r="L804" s="81">
        <f>IF('Ordenes_Odoo'!L804="","",'Ordenes_Odoo'!L804)</f>
        <v/>
      </c>
      <c r="M804" s="79">
        <f>IF('Ordenes_Odoo'!M804="","",'Ordenes_Odoo'!M804)</f>
        <v/>
      </c>
      <c r="N804" s="79">
        <f>IF('Ordenes_Odoo'!N804="","",'Ordenes_Odoo'!N804)</f>
        <v/>
      </c>
      <c r="O804" s="81">
        <f>IF('Ordenes_Odoo'!O804="","",'Ordenes_Odoo'!O804)</f>
        <v/>
      </c>
      <c r="P804" s="81">
        <f>IF('Ordenes_Odoo'!P804="","",'Ordenes_Odoo'!P804)</f>
        <v/>
      </c>
      <c r="Q804" s="79">
        <f>IF(A804="","",IFERROR(INDEX(Facturas_Odoo!$B:$B, MATCH(A804, Facturas_Odoo!$D:$D, 0)), "Sin Factura"))</f>
        <v/>
      </c>
      <c r="R804" s="80">
        <f>IF(Q804="Sin Factura","",IFERROR(INDEX(Facturas_Odoo!$A:$A, MATCH(Q804, Facturas_Odoo!$B:$B, 0)), ""))</f>
        <v/>
      </c>
      <c r="S804" s="79">
        <f>IF(Q804="Sin Factura","",IFERROR(_xlfn.XLOOKUP(1, (Facturas_Odoo!$D:$D=A804) * (Facturas_Odoo!$K:$K=I804), Facturas_Odoo!$L:$L, ""), ""))</f>
        <v/>
      </c>
      <c r="T804" s="81">
        <f>IF(Q804="Sin Factura",0,IFERROR(_xlfn.XLOOKUP(1, (Facturas_Odoo!$D:$D=A804) * (Facturas_Odoo!$K:$K=I804), Facturas_Odoo!$M:$M, 0), 0))</f>
        <v/>
      </c>
      <c r="U804" s="79">
        <f>IF(Q804="Sin Factura",0,IFERROR(_xlfn.XLOOKUP(1, (Facturas_Odoo!$D:$D=A804) * (Facturas_Odoo!$K:$K=I804), Facturas_Odoo!$N:$N, 0), 0))</f>
        <v/>
      </c>
      <c r="V804" s="79">
        <f>IF(Q804="Sin Factura",0,IFERROR(_xlfn.XLOOKUP(1, (Facturas_Odoo!$D:$D=A804) * (Facturas_Odoo!$K:$K=I804), Facturas_Odoo!$O:$O, 0), 0))</f>
        <v/>
      </c>
      <c r="W804" s="81">
        <f>IF(Q804="Sin Factura",0,IFERROR(_xlfn.XLOOKUP(1, (Facturas_Odoo!$D:$D=A804) * (Facturas_Odoo!$K:$K=I804), Facturas_Odoo!$Q:$Q, 0), 0))</f>
        <v/>
      </c>
      <c r="X804" s="79">
        <f>IF(OR(Q804="Sin Factura",Q804=""),"",IFERROR(INDEX(Pagos_Odoo!$B:$B, MATCH(Q804, Pagos_Odoo!$I:$I, 0)), "Sin Pago"))</f>
        <v/>
      </c>
      <c r="Y804" s="79">
        <f>IF(X804="Sin Pago","",IFERROR(INDEX(Pagos_Odoo!$C:$C, MATCH(X804, Pagos_Odoo!$B:$B, 0)), ""))</f>
        <v/>
      </c>
      <c r="Z804" s="80">
        <f>IF(X804="Sin Pago","",IFERROR(INDEX(Pagos_Odoo!$A:$A, MATCH(X804, Pagos_Odoo!$B:$B, 0)), ""))</f>
        <v/>
      </c>
      <c r="AA804" s="79">
        <f>IF(X804="Sin Pago","",IFERROR(INDEX(Pagos_Odoo!$F:$F, MATCH(X804, Pagos_Odoo!$B:$B, 0)), ""))</f>
        <v/>
      </c>
      <c r="AB804" s="81">
        <f>IF(X804="Sin Pago",0,IFERROR(INDEX(Pagos_Odoo!$E:$E, MATCH(X804, Pagos_Odoo!$B:$B, 0)), 0))</f>
        <v/>
      </c>
      <c r="AC804" s="79">
        <f>IF(X804="Sin Pago","",IFERROR(INDEX(Pagos_Odoo!$G:$G, MATCH(X804, Pagos_Odoo!$B:$B, 0)), ""))</f>
        <v/>
      </c>
      <c r="AD804" s="82" t="n">
        <v>0</v>
      </c>
      <c r="AE804" s="82" t="n"/>
      <c r="AF804" s="82" t="n"/>
      <c r="AG804" s="82">
        <f>IF(AN804="","",AD804+AE804+AF804)</f>
        <v/>
      </c>
      <c r="AH804" s="81">
        <f>IF(AN804="","",P804*(1-AG804))</f>
        <v/>
      </c>
      <c r="AI804" s="81">
        <f>IF(AN804="","",IF(Q804="Sin Factura",0,IFERROR(INDEX(Facturas_Odoo!$H:$H, MATCH(Q804, Facturas_Odoo!$B:$B, 0)), 0)*(1-AG804)))</f>
        <v/>
      </c>
      <c r="AJ804" s="81">
        <f>IF(AN804="","",_xlfn.LET(idVenta, AN804&amp;"",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04" s="81">
        <f>IF(AN804="","",AH804-AJ804)</f>
        <v/>
      </c>
      <c r="AL804" s="81">
        <f>IF(AN804="","",IF(Q804="Sin Factura","",AI804-AJ804))</f>
        <v/>
      </c>
      <c r="AM804" s="81">
        <f>IF(AN804="","",IF(Q804="Sin Factura",0,P804-IFERROR(INDEX(Facturas_Odoo!$H:$H, MATCH(Q804, Facturas_Odoo!$B:$B, 0)), 0)))</f>
        <v/>
      </c>
      <c r="AN804" s="79">
        <f>IF(AND(A804="", J804=""), "", IF(A804&lt;&gt;"", VALUE(MID(A804,2,LEN(A804))), AN803))</f>
        <v/>
      </c>
      <c r="AO804" s="79">
        <f>IF(AN804="","",IF(AD804=0,"OK",_xlfn.LET(monedaPago, IF(AA804="","USD",AA804), limitePermitido, IFERROR(VLOOKUP(monedaPago, Configuración!$A$2:$B$3, 2, FALSE), 0.15), IF(AD804&gt;limitePermitido, "ALERTA: EXCESO (" &amp; TEXT(limitePermitido, "0%") &amp; " máx)", "OK"))))</f>
        <v/>
      </c>
      <c r="AP804" s="79">
        <f>IF(AN804="","",IF(AE804=0,"OK",_xlfn.LET(fechaPago, Z804, fechaFactura, R804, diasCredito, IF(E804="Pago inmediato", 0, IFERROR(VALUE(MID(E804, 1, SEARCH(" ", E804)-1)),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04" s="79">
        <f>IF(AN804="","",IF(AND(N804&gt;0, AG804&gt;0), IF(Configuración!$K$2="NO", "ALERTA: DESCUENTO DOBLE NO PERMITIDO", "OK"), "OK"))</f>
        <v/>
      </c>
      <c r="AR804" s="79">
        <f>IF(AN804="","",IF(OR(AO804&lt;&gt;"OK", AP804&lt;&gt;"OK", AQ804&lt;&gt;"OK"), "⚠️ REVISAR", "OK"))</f>
        <v/>
      </c>
    </row>
    <row r="805">
      <c r="A805" s="79">
        <f>IF('Ordenes_Odoo'!A805="","",'Ordenes_Odoo'!A805)</f>
        <v/>
      </c>
      <c r="B805" s="80">
        <f>IF('Ordenes_Odoo'!B805="","",'Ordenes_Odoo'!B805)</f>
        <v/>
      </c>
      <c r="C805" s="79">
        <f>IF('Ordenes_Odoo'!C805="","",'Ordenes_Odoo'!C805)</f>
        <v/>
      </c>
      <c r="D805" s="79">
        <f>IF('Ordenes_Odoo'!D805="","",'Ordenes_Odoo'!D805)</f>
        <v/>
      </c>
      <c r="E805" s="79">
        <f>IF('Ordenes_Odoo'!E805="","",'Ordenes_Odoo'!E805)</f>
        <v/>
      </c>
      <c r="F805" s="79">
        <f>IF('Ordenes_Odoo'!F805="","",'Ordenes_Odoo'!F805)</f>
        <v/>
      </c>
      <c r="G805" s="79">
        <f>IF('Ordenes_Odoo'!G805="","",'Ordenes_Odoo'!G805)</f>
        <v/>
      </c>
      <c r="H805" s="79">
        <f>IF('Ordenes_Odoo'!H805="","",'Ordenes_Odoo'!H805)</f>
        <v/>
      </c>
      <c r="I805" s="79">
        <f>IF('Ordenes_Odoo'!I805="","",'Ordenes_Odoo'!I805)</f>
        <v/>
      </c>
      <c r="J805" s="79">
        <f>IF('Ordenes_Odoo'!J805="","",'Ordenes_Odoo'!J805)</f>
        <v/>
      </c>
      <c r="K805" s="81">
        <f>IF('Ordenes_Odoo'!K805="","",'Ordenes_Odoo'!K805)</f>
        <v/>
      </c>
      <c r="L805" s="81">
        <f>IF('Ordenes_Odoo'!L805="","",'Ordenes_Odoo'!L805)</f>
        <v/>
      </c>
      <c r="M805" s="79">
        <f>IF('Ordenes_Odoo'!M805="","",'Ordenes_Odoo'!M805)</f>
        <v/>
      </c>
      <c r="N805" s="79">
        <f>IF('Ordenes_Odoo'!N805="","",'Ordenes_Odoo'!N805)</f>
        <v/>
      </c>
      <c r="O805" s="81">
        <f>IF('Ordenes_Odoo'!O805="","",'Ordenes_Odoo'!O805)</f>
        <v/>
      </c>
      <c r="P805" s="81">
        <f>IF('Ordenes_Odoo'!P805="","",'Ordenes_Odoo'!P805)</f>
        <v/>
      </c>
      <c r="Q805" s="79">
        <f>IF(A805="","",IFERROR(INDEX(Facturas_Odoo!$B:$B, MATCH(A805, Facturas_Odoo!$D:$D, 0)), "Sin Factura"))</f>
        <v/>
      </c>
      <c r="R805" s="80">
        <f>IF(Q805="Sin Factura","",IFERROR(INDEX(Facturas_Odoo!$A:$A, MATCH(Q805, Facturas_Odoo!$B:$B, 0)), ""))</f>
        <v/>
      </c>
      <c r="S805" s="79">
        <f>IF(Q805="Sin Factura","",IFERROR(_xlfn.XLOOKUP(1, (Facturas_Odoo!$D:$D=A805) * (Facturas_Odoo!$K:$K=I805), Facturas_Odoo!$L:$L, ""), ""))</f>
        <v/>
      </c>
      <c r="T805" s="81">
        <f>IF(Q805="Sin Factura",0,IFERROR(_xlfn.XLOOKUP(1, (Facturas_Odoo!$D:$D=A805) * (Facturas_Odoo!$K:$K=I805), Facturas_Odoo!$M:$M, 0), 0))</f>
        <v/>
      </c>
      <c r="U805" s="79">
        <f>IF(Q805="Sin Factura",0,IFERROR(_xlfn.XLOOKUP(1, (Facturas_Odoo!$D:$D=A805) * (Facturas_Odoo!$K:$K=I805), Facturas_Odoo!$N:$N, 0), 0))</f>
        <v/>
      </c>
      <c r="V805" s="79">
        <f>IF(Q805="Sin Factura",0,IFERROR(_xlfn.XLOOKUP(1, (Facturas_Odoo!$D:$D=A805) * (Facturas_Odoo!$K:$K=I805), Facturas_Odoo!$O:$O, 0), 0))</f>
        <v/>
      </c>
      <c r="W805" s="81">
        <f>IF(Q805="Sin Factura",0,IFERROR(_xlfn.XLOOKUP(1, (Facturas_Odoo!$D:$D=A805) * (Facturas_Odoo!$K:$K=I805), Facturas_Odoo!$Q:$Q, 0), 0))</f>
        <v/>
      </c>
      <c r="X805" s="79">
        <f>IF(OR(Q805="Sin Factura",Q805=""),"",IFERROR(INDEX(Pagos_Odoo!$B:$B, MATCH(Q805, Pagos_Odoo!$I:$I, 0)), "Sin Pago"))</f>
        <v/>
      </c>
      <c r="Y805" s="79">
        <f>IF(X805="Sin Pago","",IFERROR(INDEX(Pagos_Odoo!$C:$C, MATCH(X805, Pagos_Odoo!$B:$B, 0)), ""))</f>
        <v/>
      </c>
      <c r="Z805" s="80">
        <f>IF(X805="Sin Pago","",IFERROR(INDEX(Pagos_Odoo!$A:$A, MATCH(X805, Pagos_Odoo!$B:$B, 0)), ""))</f>
        <v/>
      </c>
      <c r="AA805" s="79">
        <f>IF(X805="Sin Pago","",IFERROR(INDEX(Pagos_Odoo!$F:$F, MATCH(X805, Pagos_Odoo!$B:$B, 0)), ""))</f>
        <v/>
      </c>
      <c r="AB805" s="81">
        <f>IF(X805="Sin Pago",0,IFERROR(INDEX(Pagos_Odoo!$E:$E, MATCH(X805, Pagos_Odoo!$B:$B, 0)), 0))</f>
        <v/>
      </c>
      <c r="AC805" s="79">
        <f>IF(X805="Sin Pago","",IFERROR(INDEX(Pagos_Odoo!$G:$G, MATCH(X805, Pagos_Odoo!$B:$B, 0)), ""))</f>
        <v/>
      </c>
      <c r="AD805" s="82" t="n">
        <v>0</v>
      </c>
      <c r="AE805" s="82" t="n"/>
      <c r="AF805" s="82" t="n"/>
      <c r="AG805" s="82">
        <f>IF(AN805="","",AD805+AE805+AF805)</f>
        <v/>
      </c>
      <c r="AH805" s="81">
        <f>IF(AN805="","",P805*(1-AG805))</f>
        <v/>
      </c>
      <c r="AI805" s="81">
        <f>IF(AN805="","",IF(Q805="Sin Factura",0,IFERROR(INDEX(Facturas_Odoo!$H:$H, MATCH(Q805, Facturas_Odoo!$B:$B, 0)), 0)*(1-AG805)))</f>
        <v/>
      </c>
      <c r="AJ805" s="81">
        <f>IF(AN805="","",_xlfn.LET(idVenta, AN805&amp;"",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05" s="81">
        <f>IF(AN805="","",AH805-AJ805)</f>
        <v/>
      </c>
      <c r="AL805" s="81">
        <f>IF(AN805="","",IF(Q805="Sin Factura","",AI805-AJ805))</f>
        <v/>
      </c>
      <c r="AM805" s="81">
        <f>IF(AN805="","",IF(Q805="Sin Factura",0,P805-IFERROR(INDEX(Facturas_Odoo!$H:$H, MATCH(Q805, Facturas_Odoo!$B:$B, 0)), 0)))</f>
        <v/>
      </c>
      <c r="AN805" s="79">
        <f>IF(AND(A805="", J805=""), "", IF(A805&lt;&gt;"", VALUE(MID(A805,2,LEN(A805))), AN804))</f>
        <v/>
      </c>
      <c r="AO805" s="79">
        <f>IF(AN805="","",IF(AD805=0,"OK",_xlfn.LET(monedaPago, IF(AA805="","USD",AA805), limitePermitido, IFERROR(VLOOKUP(monedaPago, Configuración!$A$2:$B$3, 2, FALSE), 0.15), IF(AD805&gt;limitePermitido, "ALERTA: EXCESO (" &amp; TEXT(limitePermitido, "0%") &amp; " máx)", "OK"))))</f>
        <v/>
      </c>
      <c r="AP805" s="79">
        <f>IF(AN805="","",IF(AE805=0,"OK",_xlfn.LET(fechaPago, Z805, fechaFactura, R805, diasCredito, IF(E805="Pago inmediato", 0, IFERROR(VALUE(MID(E805, 1, SEARCH(" ", E805)-1)),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05" s="79">
        <f>IF(AN805="","",IF(AND(N805&gt;0, AG805&gt;0), IF(Configuración!$K$2="NO", "ALERTA: DESCUENTO DOBLE NO PERMITIDO", "OK"), "OK"))</f>
        <v/>
      </c>
      <c r="AR805" s="79">
        <f>IF(AN805="","",IF(OR(AO805&lt;&gt;"OK", AP805&lt;&gt;"OK", AQ805&lt;&gt;"OK"), "⚠️ REVISAR", "OK"))</f>
        <v/>
      </c>
    </row>
    <row r="806">
      <c r="A806" s="79">
        <f>IF('Ordenes_Odoo'!A806="","",'Ordenes_Odoo'!A806)</f>
        <v/>
      </c>
      <c r="B806" s="80">
        <f>IF('Ordenes_Odoo'!B806="","",'Ordenes_Odoo'!B806)</f>
        <v/>
      </c>
      <c r="C806" s="79">
        <f>IF('Ordenes_Odoo'!C806="","",'Ordenes_Odoo'!C806)</f>
        <v/>
      </c>
      <c r="D806" s="79">
        <f>IF('Ordenes_Odoo'!D806="","",'Ordenes_Odoo'!D806)</f>
        <v/>
      </c>
      <c r="E806" s="79">
        <f>IF('Ordenes_Odoo'!E806="","",'Ordenes_Odoo'!E806)</f>
        <v/>
      </c>
      <c r="F806" s="79">
        <f>IF('Ordenes_Odoo'!F806="","",'Ordenes_Odoo'!F806)</f>
        <v/>
      </c>
      <c r="G806" s="79">
        <f>IF('Ordenes_Odoo'!G806="","",'Ordenes_Odoo'!G806)</f>
        <v/>
      </c>
      <c r="H806" s="79">
        <f>IF('Ordenes_Odoo'!H806="","",'Ordenes_Odoo'!H806)</f>
        <v/>
      </c>
      <c r="I806" s="79">
        <f>IF('Ordenes_Odoo'!I806="","",'Ordenes_Odoo'!I806)</f>
        <v/>
      </c>
      <c r="J806" s="79">
        <f>IF('Ordenes_Odoo'!J806="","",'Ordenes_Odoo'!J806)</f>
        <v/>
      </c>
      <c r="K806" s="81">
        <f>IF('Ordenes_Odoo'!K806="","",'Ordenes_Odoo'!K806)</f>
        <v/>
      </c>
      <c r="L806" s="81">
        <f>IF('Ordenes_Odoo'!L806="","",'Ordenes_Odoo'!L806)</f>
        <v/>
      </c>
      <c r="M806" s="79">
        <f>IF('Ordenes_Odoo'!M806="","",'Ordenes_Odoo'!M806)</f>
        <v/>
      </c>
      <c r="N806" s="79">
        <f>IF('Ordenes_Odoo'!N806="","",'Ordenes_Odoo'!N806)</f>
        <v/>
      </c>
      <c r="O806" s="81">
        <f>IF('Ordenes_Odoo'!O806="","",'Ordenes_Odoo'!O806)</f>
        <v/>
      </c>
      <c r="P806" s="81">
        <f>IF('Ordenes_Odoo'!P806="","",'Ordenes_Odoo'!P806)</f>
        <v/>
      </c>
      <c r="Q806" s="79">
        <f>IF(A806="","",IFERROR(INDEX(Facturas_Odoo!$B:$B, MATCH(A806, Facturas_Odoo!$D:$D, 0)), "Sin Factura"))</f>
        <v/>
      </c>
      <c r="R806" s="80">
        <f>IF(Q806="Sin Factura","",IFERROR(INDEX(Facturas_Odoo!$A:$A, MATCH(Q806, Facturas_Odoo!$B:$B, 0)), ""))</f>
        <v/>
      </c>
      <c r="S806" s="79">
        <f>IF(Q806="Sin Factura","",IFERROR(_xlfn.XLOOKUP(1, (Facturas_Odoo!$D:$D=A806) * (Facturas_Odoo!$K:$K=I806), Facturas_Odoo!$L:$L, ""), ""))</f>
        <v/>
      </c>
      <c r="T806" s="81">
        <f>IF(Q806="Sin Factura",0,IFERROR(_xlfn.XLOOKUP(1, (Facturas_Odoo!$D:$D=A806) * (Facturas_Odoo!$K:$K=I806), Facturas_Odoo!$M:$M, 0), 0))</f>
        <v/>
      </c>
      <c r="U806" s="79">
        <f>IF(Q806="Sin Factura",0,IFERROR(_xlfn.XLOOKUP(1, (Facturas_Odoo!$D:$D=A806) * (Facturas_Odoo!$K:$K=I806), Facturas_Odoo!$N:$N, 0), 0))</f>
        <v/>
      </c>
      <c r="V806" s="79">
        <f>IF(Q806="Sin Factura",0,IFERROR(_xlfn.XLOOKUP(1, (Facturas_Odoo!$D:$D=A806) * (Facturas_Odoo!$K:$K=I806), Facturas_Odoo!$O:$O, 0), 0))</f>
        <v/>
      </c>
      <c r="W806" s="81">
        <f>IF(Q806="Sin Factura",0,IFERROR(_xlfn.XLOOKUP(1, (Facturas_Odoo!$D:$D=A806) * (Facturas_Odoo!$K:$K=I806), Facturas_Odoo!$Q:$Q, 0), 0))</f>
        <v/>
      </c>
      <c r="X806" s="79">
        <f>IF(OR(Q806="Sin Factura",Q806=""),"",IFERROR(INDEX(Pagos_Odoo!$B:$B, MATCH(Q806, Pagos_Odoo!$I:$I, 0)), "Sin Pago"))</f>
        <v/>
      </c>
      <c r="Y806" s="79">
        <f>IF(X806="Sin Pago","",IFERROR(INDEX(Pagos_Odoo!$C:$C, MATCH(X806, Pagos_Odoo!$B:$B, 0)), ""))</f>
        <v/>
      </c>
      <c r="Z806" s="80">
        <f>IF(X806="Sin Pago","",IFERROR(INDEX(Pagos_Odoo!$A:$A, MATCH(X806, Pagos_Odoo!$B:$B, 0)), ""))</f>
        <v/>
      </c>
      <c r="AA806" s="79">
        <f>IF(X806="Sin Pago","",IFERROR(INDEX(Pagos_Odoo!$F:$F, MATCH(X806, Pagos_Odoo!$B:$B, 0)), ""))</f>
        <v/>
      </c>
      <c r="AB806" s="81">
        <f>IF(X806="Sin Pago",0,IFERROR(INDEX(Pagos_Odoo!$E:$E, MATCH(X806, Pagos_Odoo!$B:$B, 0)), 0))</f>
        <v/>
      </c>
      <c r="AC806" s="79">
        <f>IF(X806="Sin Pago","",IFERROR(INDEX(Pagos_Odoo!$G:$G, MATCH(X806, Pagos_Odoo!$B:$B, 0)), ""))</f>
        <v/>
      </c>
      <c r="AD806" s="82" t="n">
        <v>0</v>
      </c>
      <c r="AE806" s="82" t="n"/>
      <c r="AF806" s="82" t="n"/>
      <c r="AG806" s="82">
        <f>IF(AN806="","",AD806+AE806+AF806)</f>
        <v/>
      </c>
      <c r="AH806" s="81">
        <f>IF(AN806="","",P806*(1-AG806))</f>
        <v/>
      </c>
      <c r="AI806" s="81">
        <f>IF(AN806="","",IF(Q806="Sin Factura",0,IFERROR(INDEX(Facturas_Odoo!$H:$H, MATCH(Q806, Facturas_Odoo!$B:$B, 0)), 0)*(1-AG806)))</f>
        <v/>
      </c>
      <c r="AJ806" s="81">
        <f>IF(AN806="","",_xlfn.LET(idVenta, AN806&amp;"",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06" s="81">
        <f>IF(AN806="","",AH806-AJ806)</f>
        <v/>
      </c>
      <c r="AL806" s="81">
        <f>IF(AN806="","",IF(Q806="Sin Factura","",AI806-AJ806))</f>
        <v/>
      </c>
      <c r="AM806" s="81">
        <f>IF(AN806="","",IF(Q806="Sin Factura",0,P806-IFERROR(INDEX(Facturas_Odoo!$H:$H, MATCH(Q806, Facturas_Odoo!$B:$B, 0)), 0)))</f>
        <v/>
      </c>
      <c r="AN806" s="79">
        <f>IF(AND(A806="", J806=""), "", IF(A806&lt;&gt;"", VALUE(MID(A806,2,LEN(A806))), AN805))</f>
        <v/>
      </c>
      <c r="AO806" s="79">
        <f>IF(AN806="","",IF(AD806=0,"OK",_xlfn.LET(monedaPago, IF(AA806="","USD",AA806), limitePermitido, IFERROR(VLOOKUP(monedaPago, Configuración!$A$2:$B$3, 2, FALSE), 0.15), IF(AD806&gt;limitePermitido, "ALERTA: EXCESO (" &amp; TEXT(limitePermitido, "0%") &amp; " máx)", "OK"))))</f>
        <v/>
      </c>
      <c r="AP806" s="79">
        <f>IF(AN806="","",IF(AE806=0,"OK",_xlfn.LET(fechaPago, Z806, fechaFactura, R806, diasCredito, IF(E806="Pago inmediato", 0, IFERROR(VALUE(MID(E806, 1, SEARCH(" ", E806)-1)),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06" s="79">
        <f>IF(AN806="","",IF(AND(N806&gt;0, AG806&gt;0), IF(Configuración!$K$2="NO", "ALERTA: DESCUENTO DOBLE NO PERMITIDO", "OK"), "OK"))</f>
        <v/>
      </c>
      <c r="AR806" s="79">
        <f>IF(AN806="","",IF(OR(AO806&lt;&gt;"OK", AP806&lt;&gt;"OK", AQ806&lt;&gt;"OK"), "⚠️ REVISAR", "OK"))</f>
        <v/>
      </c>
    </row>
    <row r="807">
      <c r="A807" s="79">
        <f>IF('Ordenes_Odoo'!A807="","",'Ordenes_Odoo'!A807)</f>
        <v/>
      </c>
      <c r="B807" s="80">
        <f>IF('Ordenes_Odoo'!B807="","",'Ordenes_Odoo'!B807)</f>
        <v/>
      </c>
      <c r="C807" s="79">
        <f>IF('Ordenes_Odoo'!C807="","",'Ordenes_Odoo'!C807)</f>
        <v/>
      </c>
      <c r="D807" s="79">
        <f>IF('Ordenes_Odoo'!D807="","",'Ordenes_Odoo'!D807)</f>
        <v/>
      </c>
      <c r="E807" s="79">
        <f>IF('Ordenes_Odoo'!E807="","",'Ordenes_Odoo'!E807)</f>
        <v/>
      </c>
      <c r="F807" s="79">
        <f>IF('Ordenes_Odoo'!F807="","",'Ordenes_Odoo'!F807)</f>
        <v/>
      </c>
      <c r="G807" s="79">
        <f>IF('Ordenes_Odoo'!G807="","",'Ordenes_Odoo'!G807)</f>
        <v/>
      </c>
      <c r="H807" s="79">
        <f>IF('Ordenes_Odoo'!H807="","",'Ordenes_Odoo'!H807)</f>
        <v/>
      </c>
      <c r="I807" s="79">
        <f>IF('Ordenes_Odoo'!I807="","",'Ordenes_Odoo'!I807)</f>
        <v/>
      </c>
      <c r="J807" s="79">
        <f>IF('Ordenes_Odoo'!J807="","",'Ordenes_Odoo'!J807)</f>
        <v/>
      </c>
      <c r="K807" s="81">
        <f>IF('Ordenes_Odoo'!K807="","",'Ordenes_Odoo'!K807)</f>
        <v/>
      </c>
      <c r="L807" s="81">
        <f>IF('Ordenes_Odoo'!L807="","",'Ordenes_Odoo'!L807)</f>
        <v/>
      </c>
      <c r="M807" s="79">
        <f>IF('Ordenes_Odoo'!M807="","",'Ordenes_Odoo'!M807)</f>
        <v/>
      </c>
      <c r="N807" s="79">
        <f>IF('Ordenes_Odoo'!N807="","",'Ordenes_Odoo'!N807)</f>
        <v/>
      </c>
      <c r="O807" s="81">
        <f>IF('Ordenes_Odoo'!O807="","",'Ordenes_Odoo'!O807)</f>
        <v/>
      </c>
      <c r="P807" s="81">
        <f>IF('Ordenes_Odoo'!P807="","",'Ordenes_Odoo'!P807)</f>
        <v/>
      </c>
      <c r="Q807" s="79">
        <f>IF(A807="","",IFERROR(INDEX(Facturas_Odoo!$B:$B, MATCH(A807, Facturas_Odoo!$D:$D, 0)), "Sin Factura"))</f>
        <v/>
      </c>
      <c r="R807" s="80">
        <f>IF(Q807="Sin Factura","",IFERROR(INDEX(Facturas_Odoo!$A:$A, MATCH(Q807, Facturas_Odoo!$B:$B, 0)), ""))</f>
        <v/>
      </c>
      <c r="S807" s="79">
        <f>IF(Q807="Sin Factura","",IFERROR(_xlfn.XLOOKUP(1, (Facturas_Odoo!$D:$D=A807) * (Facturas_Odoo!$K:$K=I807), Facturas_Odoo!$L:$L, ""), ""))</f>
        <v/>
      </c>
      <c r="T807" s="81">
        <f>IF(Q807="Sin Factura",0,IFERROR(_xlfn.XLOOKUP(1, (Facturas_Odoo!$D:$D=A807) * (Facturas_Odoo!$K:$K=I807), Facturas_Odoo!$M:$M, 0), 0))</f>
        <v/>
      </c>
      <c r="U807" s="79">
        <f>IF(Q807="Sin Factura",0,IFERROR(_xlfn.XLOOKUP(1, (Facturas_Odoo!$D:$D=A807) * (Facturas_Odoo!$K:$K=I807), Facturas_Odoo!$N:$N, 0), 0))</f>
        <v/>
      </c>
      <c r="V807" s="79">
        <f>IF(Q807="Sin Factura",0,IFERROR(_xlfn.XLOOKUP(1, (Facturas_Odoo!$D:$D=A807) * (Facturas_Odoo!$K:$K=I807), Facturas_Odoo!$O:$O, 0), 0))</f>
        <v/>
      </c>
      <c r="W807" s="81">
        <f>IF(Q807="Sin Factura",0,IFERROR(_xlfn.XLOOKUP(1, (Facturas_Odoo!$D:$D=A807) * (Facturas_Odoo!$K:$K=I807), Facturas_Odoo!$Q:$Q, 0), 0))</f>
        <v/>
      </c>
      <c r="X807" s="79">
        <f>IF(OR(Q807="Sin Factura",Q807=""),"",IFERROR(INDEX(Pagos_Odoo!$B:$B, MATCH(Q807, Pagos_Odoo!$I:$I, 0)), "Sin Pago"))</f>
        <v/>
      </c>
      <c r="Y807" s="79">
        <f>IF(X807="Sin Pago","",IFERROR(INDEX(Pagos_Odoo!$C:$C, MATCH(X807, Pagos_Odoo!$B:$B, 0)), ""))</f>
        <v/>
      </c>
      <c r="Z807" s="80">
        <f>IF(X807="Sin Pago","",IFERROR(INDEX(Pagos_Odoo!$A:$A, MATCH(X807, Pagos_Odoo!$B:$B, 0)), ""))</f>
        <v/>
      </c>
      <c r="AA807" s="79">
        <f>IF(X807="Sin Pago","",IFERROR(INDEX(Pagos_Odoo!$F:$F, MATCH(X807, Pagos_Odoo!$B:$B, 0)), ""))</f>
        <v/>
      </c>
      <c r="AB807" s="81">
        <f>IF(X807="Sin Pago",0,IFERROR(INDEX(Pagos_Odoo!$E:$E, MATCH(X807, Pagos_Odoo!$B:$B, 0)), 0))</f>
        <v/>
      </c>
      <c r="AC807" s="79">
        <f>IF(X807="Sin Pago","",IFERROR(INDEX(Pagos_Odoo!$G:$G, MATCH(X807, Pagos_Odoo!$B:$B, 0)), ""))</f>
        <v/>
      </c>
      <c r="AD807" s="82" t="n">
        <v>0</v>
      </c>
      <c r="AE807" s="82" t="n"/>
      <c r="AF807" s="82" t="n"/>
      <c r="AG807" s="82">
        <f>IF(AN807="","",AD807+AE807+AF807)</f>
        <v/>
      </c>
      <c r="AH807" s="81">
        <f>IF(AN807="","",P807*(1-AG807))</f>
        <v/>
      </c>
      <c r="AI807" s="81">
        <f>IF(AN807="","",IF(Q807="Sin Factura",0,IFERROR(INDEX(Facturas_Odoo!$H:$H, MATCH(Q807, Facturas_Odoo!$B:$B, 0)), 0)*(1-AG807)))</f>
        <v/>
      </c>
      <c r="AJ807" s="81">
        <f>IF(AN807="","",_xlfn.LET(idVenta, AN807&amp;"",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07" s="81">
        <f>IF(AN807="","",AH807-AJ807)</f>
        <v/>
      </c>
      <c r="AL807" s="81">
        <f>IF(AN807="","",IF(Q807="Sin Factura","",AI807-AJ807))</f>
        <v/>
      </c>
      <c r="AM807" s="81">
        <f>IF(AN807="","",IF(Q807="Sin Factura",0,P807-IFERROR(INDEX(Facturas_Odoo!$H:$H, MATCH(Q807, Facturas_Odoo!$B:$B, 0)), 0)))</f>
        <v/>
      </c>
      <c r="AN807" s="79">
        <f>IF(AND(A807="", J807=""), "", IF(A807&lt;&gt;"", VALUE(MID(A807,2,LEN(A807))), AN806))</f>
        <v/>
      </c>
      <c r="AO807" s="79">
        <f>IF(AN807="","",IF(AD807=0,"OK",_xlfn.LET(monedaPago, IF(AA807="","USD",AA807), limitePermitido, IFERROR(VLOOKUP(monedaPago, Configuración!$A$2:$B$3, 2, FALSE), 0.15), IF(AD807&gt;limitePermitido, "ALERTA: EXCESO (" &amp; TEXT(limitePermitido, "0%") &amp; " máx)", "OK"))))</f>
        <v/>
      </c>
      <c r="AP807" s="79">
        <f>IF(AN807="","",IF(AE807=0,"OK",_xlfn.LET(fechaPago, Z807, fechaFactura, R807, diasCredito, IF(E807="Pago inmediato", 0, IFERROR(VALUE(MID(E807, 1, SEARCH(" ", E807)-1)),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07" s="79">
        <f>IF(AN807="","",IF(AND(N807&gt;0, AG807&gt;0), IF(Configuración!$K$2="NO", "ALERTA: DESCUENTO DOBLE NO PERMITIDO", "OK"), "OK"))</f>
        <v/>
      </c>
      <c r="AR807" s="79">
        <f>IF(AN807="","",IF(OR(AO807&lt;&gt;"OK", AP807&lt;&gt;"OK", AQ807&lt;&gt;"OK"), "⚠️ REVISAR", "OK"))</f>
        <v/>
      </c>
    </row>
    <row r="808">
      <c r="A808" s="79">
        <f>IF('Ordenes_Odoo'!A808="","",'Ordenes_Odoo'!A808)</f>
        <v/>
      </c>
      <c r="B808" s="80">
        <f>IF('Ordenes_Odoo'!B808="","",'Ordenes_Odoo'!B808)</f>
        <v/>
      </c>
      <c r="C808" s="79">
        <f>IF('Ordenes_Odoo'!C808="","",'Ordenes_Odoo'!C808)</f>
        <v/>
      </c>
      <c r="D808" s="79">
        <f>IF('Ordenes_Odoo'!D808="","",'Ordenes_Odoo'!D808)</f>
        <v/>
      </c>
      <c r="E808" s="79">
        <f>IF('Ordenes_Odoo'!E808="","",'Ordenes_Odoo'!E808)</f>
        <v/>
      </c>
      <c r="F808" s="79">
        <f>IF('Ordenes_Odoo'!F808="","",'Ordenes_Odoo'!F808)</f>
        <v/>
      </c>
      <c r="G808" s="79">
        <f>IF('Ordenes_Odoo'!G808="","",'Ordenes_Odoo'!G808)</f>
        <v/>
      </c>
      <c r="H808" s="79">
        <f>IF('Ordenes_Odoo'!H808="","",'Ordenes_Odoo'!H808)</f>
        <v/>
      </c>
      <c r="I808" s="79">
        <f>IF('Ordenes_Odoo'!I808="","",'Ordenes_Odoo'!I808)</f>
        <v/>
      </c>
      <c r="J808" s="79">
        <f>IF('Ordenes_Odoo'!J808="","",'Ordenes_Odoo'!J808)</f>
        <v/>
      </c>
      <c r="K808" s="81">
        <f>IF('Ordenes_Odoo'!K808="","",'Ordenes_Odoo'!K808)</f>
        <v/>
      </c>
      <c r="L808" s="81">
        <f>IF('Ordenes_Odoo'!L808="","",'Ordenes_Odoo'!L808)</f>
        <v/>
      </c>
      <c r="M808" s="79">
        <f>IF('Ordenes_Odoo'!M808="","",'Ordenes_Odoo'!M808)</f>
        <v/>
      </c>
      <c r="N808" s="79">
        <f>IF('Ordenes_Odoo'!N808="","",'Ordenes_Odoo'!N808)</f>
        <v/>
      </c>
      <c r="O808" s="81">
        <f>IF('Ordenes_Odoo'!O808="","",'Ordenes_Odoo'!O808)</f>
        <v/>
      </c>
      <c r="P808" s="81">
        <f>IF('Ordenes_Odoo'!P808="","",'Ordenes_Odoo'!P808)</f>
        <v/>
      </c>
      <c r="Q808" s="79">
        <f>IF(A808="","",IFERROR(INDEX(Facturas_Odoo!$B:$B, MATCH(A808, Facturas_Odoo!$D:$D, 0)), "Sin Factura"))</f>
        <v/>
      </c>
      <c r="R808" s="80">
        <f>IF(Q808="Sin Factura","",IFERROR(INDEX(Facturas_Odoo!$A:$A, MATCH(Q808, Facturas_Odoo!$B:$B, 0)), ""))</f>
        <v/>
      </c>
      <c r="S808" s="79">
        <f>IF(Q808="Sin Factura","",IFERROR(_xlfn.XLOOKUP(1, (Facturas_Odoo!$D:$D=A808) * (Facturas_Odoo!$K:$K=I808), Facturas_Odoo!$L:$L, ""), ""))</f>
        <v/>
      </c>
      <c r="T808" s="81">
        <f>IF(Q808="Sin Factura",0,IFERROR(_xlfn.XLOOKUP(1, (Facturas_Odoo!$D:$D=A808) * (Facturas_Odoo!$K:$K=I808), Facturas_Odoo!$M:$M, 0), 0))</f>
        <v/>
      </c>
      <c r="U808" s="79">
        <f>IF(Q808="Sin Factura",0,IFERROR(_xlfn.XLOOKUP(1, (Facturas_Odoo!$D:$D=A808) * (Facturas_Odoo!$K:$K=I808), Facturas_Odoo!$N:$N, 0), 0))</f>
        <v/>
      </c>
      <c r="V808" s="79">
        <f>IF(Q808="Sin Factura",0,IFERROR(_xlfn.XLOOKUP(1, (Facturas_Odoo!$D:$D=A808) * (Facturas_Odoo!$K:$K=I808), Facturas_Odoo!$O:$O, 0), 0))</f>
        <v/>
      </c>
      <c r="W808" s="81">
        <f>IF(Q808="Sin Factura",0,IFERROR(_xlfn.XLOOKUP(1, (Facturas_Odoo!$D:$D=A808) * (Facturas_Odoo!$K:$K=I808), Facturas_Odoo!$Q:$Q, 0), 0))</f>
        <v/>
      </c>
      <c r="X808" s="79">
        <f>IF(OR(Q808="Sin Factura",Q808=""),"",IFERROR(INDEX(Pagos_Odoo!$B:$B, MATCH(Q808, Pagos_Odoo!$I:$I, 0)), "Sin Pago"))</f>
        <v/>
      </c>
      <c r="Y808" s="79">
        <f>IF(X808="Sin Pago","",IFERROR(INDEX(Pagos_Odoo!$C:$C, MATCH(X808, Pagos_Odoo!$B:$B, 0)), ""))</f>
        <v/>
      </c>
      <c r="Z808" s="80">
        <f>IF(X808="Sin Pago","",IFERROR(INDEX(Pagos_Odoo!$A:$A, MATCH(X808, Pagos_Odoo!$B:$B, 0)), ""))</f>
        <v/>
      </c>
      <c r="AA808" s="79">
        <f>IF(X808="Sin Pago","",IFERROR(INDEX(Pagos_Odoo!$F:$F, MATCH(X808, Pagos_Odoo!$B:$B, 0)), ""))</f>
        <v/>
      </c>
      <c r="AB808" s="81">
        <f>IF(X808="Sin Pago",0,IFERROR(INDEX(Pagos_Odoo!$E:$E, MATCH(X808, Pagos_Odoo!$B:$B, 0)), 0))</f>
        <v/>
      </c>
      <c r="AC808" s="79">
        <f>IF(X808="Sin Pago","",IFERROR(INDEX(Pagos_Odoo!$G:$G, MATCH(X808, Pagos_Odoo!$B:$B, 0)), ""))</f>
        <v/>
      </c>
      <c r="AD808" s="82" t="n">
        <v>0</v>
      </c>
      <c r="AE808" s="82" t="n"/>
      <c r="AF808" s="82" t="n"/>
      <c r="AG808" s="82">
        <f>IF(AN808="","",AD808+AE808+AF808)</f>
        <v/>
      </c>
      <c r="AH808" s="81">
        <f>IF(AN808="","",P808*(1-AG808))</f>
        <v/>
      </c>
      <c r="AI808" s="81">
        <f>IF(AN808="","",IF(Q808="Sin Factura",0,IFERROR(INDEX(Facturas_Odoo!$H:$H, MATCH(Q808, Facturas_Odoo!$B:$B, 0)), 0)*(1-AG808)))</f>
        <v/>
      </c>
      <c r="AJ808" s="81">
        <f>IF(AN808="","",_xlfn.LET(idVenta, AN808&amp;"",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08" s="81">
        <f>IF(AN808="","",AH808-AJ808)</f>
        <v/>
      </c>
      <c r="AL808" s="81">
        <f>IF(AN808="","",IF(Q808="Sin Factura","",AI808-AJ808))</f>
        <v/>
      </c>
      <c r="AM808" s="81">
        <f>IF(AN808="","",IF(Q808="Sin Factura",0,P808-IFERROR(INDEX(Facturas_Odoo!$H:$H, MATCH(Q808, Facturas_Odoo!$B:$B, 0)), 0)))</f>
        <v/>
      </c>
      <c r="AN808" s="79">
        <f>IF(AND(A808="", J808=""), "", IF(A808&lt;&gt;"", VALUE(MID(A808,2,LEN(A808))), AN807))</f>
        <v/>
      </c>
      <c r="AO808" s="79">
        <f>IF(AN808="","",IF(AD808=0,"OK",_xlfn.LET(monedaPago, IF(AA808="","USD",AA808), limitePermitido, IFERROR(VLOOKUP(monedaPago, Configuración!$A$2:$B$3, 2, FALSE), 0.15), IF(AD808&gt;limitePermitido, "ALERTA: EXCESO (" &amp; TEXT(limitePermitido, "0%") &amp; " máx)", "OK"))))</f>
        <v/>
      </c>
      <c r="AP808" s="79">
        <f>IF(AN808="","",IF(AE808=0,"OK",_xlfn.LET(fechaPago, Z808, fechaFactura, R808, diasCredito, IF(E808="Pago inmediato", 0, IFERROR(VALUE(MID(E808, 1, SEARCH(" ", E808)-1)),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08" s="79">
        <f>IF(AN808="","",IF(AND(N808&gt;0, AG808&gt;0), IF(Configuración!$K$2="NO", "ALERTA: DESCUENTO DOBLE NO PERMITIDO", "OK"), "OK"))</f>
        <v/>
      </c>
      <c r="AR808" s="79">
        <f>IF(AN808="","",IF(OR(AO808&lt;&gt;"OK", AP808&lt;&gt;"OK", AQ808&lt;&gt;"OK"), "⚠️ REVISAR", "OK"))</f>
        <v/>
      </c>
    </row>
    <row r="809">
      <c r="A809" s="79">
        <f>IF('Ordenes_Odoo'!A809="","",'Ordenes_Odoo'!A809)</f>
        <v/>
      </c>
      <c r="B809" s="80">
        <f>IF('Ordenes_Odoo'!B809="","",'Ordenes_Odoo'!B809)</f>
        <v/>
      </c>
      <c r="C809" s="79">
        <f>IF('Ordenes_Odoo'!C809="","",'Ordenes_Odoo'!C809)</f>
        <v/>
      </c>
      <c r="D809" s="79">
        <f>IF('Ordenes_Odoo'!D809="","",'Ordenes_Odoo'!D809)</f>
        <v/>
      </c>
      <c r="E809" s="79">
        <f>IF('Ordenes_Odoo'!E809="","",'Ordenes_Odoo'!E809)</f>
        <v/>
      </c>
      <c r="F809" s="79">
        <f>IF('Ordenes_Odoo'!F809="","",'Ordenes_Odoo'!F809)</f>
        <v/>
      </c>
      <c r="G809" s="79">
        <f>IF('Ordenes_Odoo'!G809="","",'Ordenes_Odoo'!G809)</f>
        <v/>
      </c>
      <c r="H809" s="79">
        <f>IF('Ordenes_Odoo'!H809="","",'Ordenes_Odoo'!H809)</f>
        <v/>
      </c>
      <c r="I809" s="79">
        <f>IF('Ordenes_Odoo'!I809="","",'Ordenes_Odoo'!I809)</f>
        <v/>
      </c>
      <c r="J809" s="79">
        <f>IF('Ordenes_Odoo'!J809="","",'Ordenes_Odoo'!J809)</f>
        <v/>
      </c>
      <c r="K809" s="81">
        <f>IF('Ordenes_Odoo'!K809="","",'Ordenes_Odoo'!K809)</f>
        <v/>
      </c>
      <c r="L809" s="81">
        <f>IF('Ordenes_Odoo'!L809="","",'Ordenes_Odoo'!L809)</f>
        <v/>
      </c>
      <c r="M809" s="79">
        <f>IF('Ordenes_Odoo'!M809="","",'Ordenes_Odoo'!M809)</f>
        <v/>
      </c>
      <c r="N809" s="79">
        <f>IF('Ordenes_Odoo'!N809="","",'Ordenes_Odoo'!N809)</f>
        <v/>
      </c>
      <c r="O809" s="81">
        <f>IF('Ordenes_Odoo'!O809="","",'Ordenes_Odoo'!O809)</f>
        <v/>
      </c>
      <c r="P809" s="81">
        <f>IF('Ordenes_Odoo'!P809="","",'Ordenes_Odoo'!P809)</f>
        <v/>
      </c>
      <c r="Q809" s="79">
        <f>IF(A809="","",IFERROR(INDEX(Facturas_Odoo!$B:$B, MATCH(A809, Facturas_Odoo!$D:$D, 0)), "Sin Factura"))</f>
        <v/>
      </c>
      <c r="R809" s="80">
        <f>IF(Q809="Sin Factura","",IFERROR(INDEX(Facturas_Odoo!$A:$A, MATCH(Q809, Facturas_Odoo!$B:$B, 0)), ""))</f>
        <v/>
      </c>
      <c r="S809" s="79">
        <f>IF(Q809="Sin Factura","",IFERROR(_xlfn.XLOOKUP(1, (Facturas_Odoo!$D:$D=A809) * (Facturas_Odoo!$K:$K=I809), Facturas_Odoo!$L:$L, ""), ""))</f>
        <v/>
      </c>
      <c r="T809" s="81">
        <f>IF(Q809="Sin Factura",0,IFERROR(_xlfn.XLOOKUP(1, (Facturas_Odoo!$D:$D=A809) * (Facturas_Odoo!$K:$K=I809), Facturas_Odoo!$M:$M, 0), 0))</f>
        <v/>
      </c>
      <c r="U809" s="79">
        <f>IF(Q809="Sin Factura",0,IFERROR(_xlfn.XLOOKUP(1, (Facturas_Odoo!$D:$D=A809) * (Facturas_Odoo!$K:$K=I809), Facturas_Odoo!$N:$N, 0), 0))</f>
        <v/>
      </c>
      <c r="V809" s="79">
        <f>IF(Q809="Sin Factura",0,IFERROR(_xlfn.XLOOKUP(1, (Facturas_Odoo!$D:$D=A809) * (Facturas_Odoo!$K:$K=I809), Facturas_Odoo!$O:$O, 0), 0))</f>
        <v/>
      </c>
      <c r="W809" s="81">
        <f>IF(Q809="Sin Factura",0,IFERROR(_xlfn.XLOOKUP(1, (Facturas_Odoo!$D:$D=A809) * (Facturas_Odoo!$K:$K=I809), Facturas_Odoo!$Q:$Q, 0), 0))</f>
        <v/>
      </c>
      <c r="X809" s="79">
        <f>IF(OR(Q809="Sin Factura",Q809=""),"",IFERROR(INDEX(Pagos_Odoo!$B:$B, MATCH(Q809, Pagos_Odoo!$I:$I, 0)), "Sin Pago"))</f>
        <v/>
      </c>
      <c r="Y809" s="79">
        <f>IF(X809="Sin Pago","",IFERROR(INDEX(Pagos_Odoo!$C:$C, MATCH(X809, Pagos_Odoo!$B:$B, 0)), ""))</f>
        <v/>
      </c>
      <c r="Z809" s="80">
        <f>IF(X809="Sin Pago","",IFERROR(INDEX(Pagos_Odoo!$A:$A, MATCH(X809, Pagos_Odoo!$B:$B, 0)), ""))</f>
        <v/>
      </c>
      <c r="AA809" s="79">
        <f>IF(X809="Sin Pago","",IFERROR(INDEX(Pagos_Odoo!$F:$F, MATCH(X809, Pagos_Odoo!$B:$B, 0)), ""))</f>
        <v/>
      </c>
      <c r="AB809" s="81">
        <f>IF(X809="Sin Pago",0,IFERROR(INDEX(Pagos_Odoo!$E:$E, MATCH(X809, Pagos_Odoo!$B:$B, 0)), 0))</f>
        <v/>
      </c>
      <c r="AC809" s="79">
        <f>IF(X809="Sin Pago","",IFERROR(INDEX(Pagos_Odoo!$G:$G, MATCH(X809, Pagos_Odoo!$B:$B, 0)), ""))</f>
        <v/>
      </c>
      <c r="AD809" s="82" t="n">
        <v>0</v>
      </c>
      <c r="AE809" s="82" t="n"/>
      <c r="AF809" s="82" t="n"/>
      <c r="AG809" s="82">
        <f>IF(AN809="","",AD809+AE809+AF809)</f>
        <v/>
      </c>
      <c r="AH809" s="81">
        <f>IF(AN809="","",P809*(1-AG809))</f>
        <v/>
      </c>
      <c r="AI809" s="81">
        <f>IF(AN809="","",IF(Q809="Sin Factura",0,IFERROR(INDEX(Facturas_Odoo!$H:$H, MATCH(Q809, Facturas_Odoo!$B:$B, 0)), 0)*(1-AG809)))</f>
        <v/>
      </c>
      <c r="AJ809" s="81">
        <f>IF(AN809="","",_xlfn.LET(idVenta, AN809&amp;"",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09" s="81">
        <f>IF(AN809="","",AH809-AJ809)</f>
        <v/>
      </c>
      <c r="AL809" s="81">
        <f>IF(AN809="","",IF(Q809="Sin Factura","",AI809-AJ809))</f>
        <v/>
      </c>
      <c r="AM809" s="81">
        <f>IF(AN809="","",IF(Q809="Sin Factura",0,P809-IFERROR(INDEX(Facturas_Odoo!$H:$H, MATCH(Q809, Facturas_Odoo!$B:$B, 0)), 0)))</f>
        <v/>
      </c>
      <c r="AN809" s="79">
        <f>IF(AND(A809="", J809=""), "", IF(A809&lt;&gt;"", VALUE(MID(A809,2,LEN(A809))), AN808))</f>
        <v/>
      </c>
      <c r="AO809" s="79">
        <f>IF(AN809="","",IF(AD809=0,"OK",_xlfn.LET(monedaPago, IF(AA809="","USD",AA809), limitePermitido, IFERROR(VLOOKUP(monedaPago, Configuración!$A$2:$B$3, 2, FALSE), 0.15), IF(AD809&gt;limitePermitido, "ALERTA: EXCESO (" &amp; TEXT(limitePermitido, "0%") &amp; " máx)", "OK"))))</f>
        <v/>
      </c>
      <c r="AP809" s="79">
        <f>IF(AN809="","",IF(AE809=0,"OK",_xlfn.LET(fechaPago, Z809, fechaFactura, R809, diasCredito, IF(E809="Pago inmediato", 0, IFERROR(VALUE(MID(E809, 1, SEARCH(" ", E809)-1)),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09" s="79">
        <f>IF(AN809="","",IF(AND(N809&gt;0, AG809&gt;0), IF(Configuración!$K$2="NO", "ALERTA: DESCUENTO DOBLE NO PERMITIDO", "OK"), "OK"))</f>
        <v/>
      </c>
      <c r="AR809" s="79">
        <f>IF(AN809="","",IF(OR(AO809&lt;&gt;"OK", AP809&lt;&gt;"OK", AQ809&lt;&gt;"OK"), "⚠️ REVISAR", "OK"))</f>
        <v/>
      </c>
    </row>
    <row r="810">
      <c r="A810" s="79">
        <f>IF('Ordenes_Odoo'!A810="","",'Ordenes_Odoo'!A810)</f>
        <v/>
      </c>
      <c r="B810" s="80">
        <f>IF('Ordenes_Odoo'!B810="","",'Ordenes_Odoo'!B810)</f>
        <v/>
      </c>
      <c r="C810" s="79">
        <f>IF('Ordenes_Odoo'!C810="","",'Ordenes_Odoo'!C810)</f>
        <v/>
      </c>
      <c r="D810" s="79">
        <f>IF('Ordenes_Odoo'!D810="","",'Ordenes_Odoo'!D810)</f>
        <v/>
      </c>
      <c r="E810" s="79">
        <f>IF('Ordenes_Odoo'!E810="","",'Ordenes_Odoo'!E810)</f>
        <v/>
      </c>
      <c r="F810" s="79">
        <f>IF('Ordenes_Odoo'!F810="","",'Ordenes_Odoo'!F810)</f>
        <v/>
      </c>
      <c r="G810" s="79">
        <f>IF('Ordenes_Odoo'!G810="","",'Ordenes_Odoo'!G810)</f>
        <v/>
      </c>
      <c r="H810" s="79">
        <f>IF('Ordenes_Odoo'!H810="","",'Ordenes_Odoo'!H810)</f>
        <v/>
      </c>
      <c r="I810" s="79">
        <f>IF('Ordenes_Odoo'!I810="","",'Ordenes_Odoo'!I810)</f>
        <v/>
      </c>
      <c r="J810" s="79">
        <f>IF('Ordenes_Odoo'!J810="","",'Ordenes_Odoo'!J810)</f>
        <v/>
      </c>
      <c r="K810" s="81">
        <f>IF('Ordenes_Odoo'!K810="","",'Ordenes_Odoo'!K810)</f>
        <v/>
      </c>
      <c r="L810" s="81">
        <f>IF('Ordenes_Odoo'!L810="","",'Ordenes_Odoo'!L810)</f>
        <v/>
      </c>
      <c r="M810" s="79">
        <f>IF('Ordenes_Odoo'!M810="","",'Ordenes_Odoo'!M810)</f>
        <v/>
      </c>
      <c r="N810" s="79">
        <f>IF('Ordenes_Odoo'!N810="","",'Ordenes_Odoo'!N810)</f>
        <v/>
      </c>
      <c r="O810" s="81">
        <f>IF('Ordenes_Odoo'!O810="","",'Ordenes_Odoo'!O810)</f>
        <v/>
      </c>
      <c r="P810" s="81">
        <f>IF('Ordenes_Odoo'!P810="","",'Ordenes_Odoo'!P810)</f>
        <v/>
      </c>
      <c r="Q810" s="79">
        <f>IF(A810="","",IFERROR(INDEX(Facturas_Odoo!$B:$B, MATCH(A810, Facturas_Odoo!$D:$D, 0)), "Sin Factura"))</f>
        <v/>
      </c>
      <c r="R810" s="80">
        <f>IF(Q810="Sin Factura","",IFERROR(INDEX(Facturas_Odoo!$A:$A, MATCH(Q810, Facturas_Odoo!$B:$B, 0)), ""))</f>
        <v/>
      </c>
      <c r="S810" s="79">
        <f>IF(Q810="Sin Factura","",IFERROR(_xlfn.XLOOKUP(1, (Facturas_Odoo!$D:$D=A810) * (Facturas_Odoo!$K:$K=I810), Facturas_Odoo!$L:$L, ""), ""))</f>
        <v/>
      </c>
      <c r="T810" s="81">
        <f>IF(Q810="Sin Factura",0,IFERROR(_xlfn.XLOOKUP(1, (Facturas_Odoo!$D:$D=A810) * (Facturas_Odoo!$K:$K=I810), Facturas_Odoo!$M:$M, 0), 0))</f>
        <v/>
      </c>
      <c r="U810" s="79">
        <f>IF(Q810="Sin Factura",0,IFERROR(_xlfn.XLOOKUP(1, (Facturas_Odoo!$D:$D=A810) * (Facturas_Odoo!$K:$K=I810), Facturas_Odoo!$N:$N, 0), 0))</f>
        <v/>
      </c>
      <c r="V810" s="79">
        <f>IF(Q810="Sin Factura",0,IFERROR(_xlfn.XLOOKUP(1, (Facturas_Odoo!$D:$D=A810) * (Facturas_Odoo!$K:$K=I810), Facturas_Odoo!$O:$O, 0), 0))</f>
        <v/>
      </c>
      <c r="W810" s="81">
        <f>IF(Q810="Sin Factura",0,IFERROR(_xlfn.XLOOKUP(1, (Facturas_Odoo!$D:$D=A810) * (Facturas_Odoo!$K:$K=I810), Facturas_Odoo!$Q:$Q, 0), 0))</f>
        <v/>
      </c>
      <c r="X810" s="79">
        <f>IF(OR(Q810="Sin Factura",Q810=""),"",IFERROR(INDEX(Pagos_Odoo!$B:$B, MATCH(Q810, Pagos_Odoo!$I:$I, 0)), "Sin Pago"))</f>
        <v/>
      </c>
      <c r="Y810" s="79">
        <f>IF(X810="Sin Pago","",IFERROR(INDEX(Pagos_Odoo!$C:$C, MATCH(X810, Pagos_Odoo!$B:$B, 0)), ""))</f>
        <v/>
      </c>
      <c r="Z810" s="80">
        <f>IF(X810="Sin Pago","",IFERROR(INDEX(Pagos_Odoo!$A:$A, MATCH(X810, Pagos_Odoo!$B:$B, 0)), ""))</f>
        <v/>
      </c>
      <c r="AA810" s="79">
        <f>IF(X810="Sin Pago","",IFERROR(INDEX(Pagos_Odoo!$F:$F, MATCH(X810, Pagos_Odoo!$B:$B, 0)), ""))</f>
        <v/>
      </c>
      <c r="AB810" s="81">
        <f>IF(X810="Sin Pago",0,IFERROR(INDEX(Pagos_Odoo!$E:$E, MATCH(X810, Pagos_Odoo!$B:$B, 0)), 0))</f>
        <v/>
      </c>
      <c r="AC810" s="79">
        <f>IF(X810="Sin Pago","",IFERROR(INDEX(Pagos_Odoo!$G:$G, MATCH(X810, Pagos_Odoo!$B:$B, 0)), ""))</f>
        <v/>
      </c>
      <c r="AD810" s="82" t="n">
        <v>0</v>
      </c>
      <c r="AE810" s="82" t="n"/>
      <c r="AF810" s="82" t="n"/>
      <c r="AG810" s="82">
        <f>IF(AN810="","",AD810+AE810+AF810)</f>
        <v/>
      </c>
      <c r="AH810" s="81">
        <f>IF(AN810="","",P810*(1-AG810))</f>
        <v/>
      </c>
      <c r="AI810" s="81">
        <f>IF(AN810="","",IF(Q810="Sin Factura",0,IFERROR(INDEX(Facturas_Odoo!$H:$H, MATCH(Q810, Facturas_Odoo!$B:$B, 0)), 0)*(1-AG810)))</f>
        <v/>
      </c>
      <c r="AJ810" s="81">
        <f>IF(AN810="","",_xlfn.LET(idVenta, AN810&amp;"",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10" s="81">
        <f>IF(AN810="","",AH810-AJ810)</f>
        <v/>
      </c>
      <c r="AL810" s="81">
        <f>IF(AN810="","",IF(Q810="Sin Factura","",AI810-AJ810))</f>
        <v/>
      </c>
      <c r="AM810" s="81">
        <f>IF(AN810="","",IF(Q810="Sin Factura",0,P810-IFERROR(INDEX(Facturas_Odoo!$H:$H, MATCH(Q810, Facturas_Odoo!$B:$B, 0)), 0)))</f>
        <v/>
      </c>
      <c r="AN810" s="79">
        <f>IF(AND(A810="", J810=""), "", IF(A810&lt;&gt;"", VALUE(MID(A810,2,LEN(A810))), AN809))</f>
        <v/>
      </c>
      <c r="AO810" s="79">
        <f>IF(AN810="","",IF(AD810=0,"OK",_xlfn.LET(monedaPago, IF(AA810="","USD",AA810), limitePermitido, IFERROR(VLOOKUP(monedaPago, Configuración!$A$2:$B$3, 2, FALSE), 0.15), IF(AD810&gt;limitePermitido, "ALERTA: EXCESO (" &amp; TEXT(limitePermitido, "0%") &amp; " máx)", "OK"))))</f>
        <v/>
      </c>
      <c r="AP810" s="79">
        <f>IF(AN810="","",IF(AE810=0,"OK",_xlfn.LET(fechaPago, Z810, fechaFactura, R810, diasCredito, IF(E810="Pago inmediato", 0, IFERROR(VALUE(MID(E810, 1, SEARCH(" ", E810)-1)),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10" s="79">
        <f>IF(AN810="","",IF(AND(N810&gt;0, AG810&gt;0), IF(Configuración!$K$2="NO", "ALERTA: DESCUENTO DOBLE NO PERMITIDO", "OK"), "OK"))</f>
        <v/>
      </c>
      <c r="AR810" s="79">
        <f>IF(AN810="","",IF(OR(AO810&lt;&gt;"OK", AP810&lt;&gt;"OK", AQ810&lt;&gt;"OK"), "⚠️ REVISAR", "OK"))</f>
        <v/>
      </c>
    </row>
    <row r="811">
      <c r="A811" s="79">
        <f>IF('Ordenes_Odoo'!A811="","",'Ordenes_Odoo'!A811)</f>
        <v/>
      </c>
      <c r="B811" s="80">
        <f>IF('Ordenes_Odoo'!B811="","",'Ordenes_Odoo'!B811)</f>
        <v/>
      </c>
      <c r="C811" s="79">
        <f>IF('Ordenes_Odoo'!C811="","",'Ordenes_Odoo'!C811)</f>
        <v/>
      </c>
      <c r="D811" s="79">
        <f>IF('Ordenes_Odoo'!D811="","",'Ordenes_Odoo'!D811)</f>
        <v/>
      </c>
      <c r="E811" s="79">
        <f>IF('Ordenes_Odoo'!E811="","",'Ordenes_Odoo'!E811)</f>
        <v/>
      </c>
      <c r="F811" s="79">
        <f>IF('Ordenes_Odoo'!F811="","",'Ordenes_Odoo'!F811)</f>
        <v/>
      </c>
      <c r="G811" s="79">
        <f>IF('Ordenes_Odoo'!G811="","",'Ordenes_Odoo'!G811)</f>
        <v/>
      </c>
      <c r="H811" s="79">
        <f>IF('Ordenes_Odoo'!H811="","",'Ordenes_Odoo'!H811)</f>
        <v/>
      </c>
      <c r="I811" s="79">
        <f>IF('Ordenes_Odoo'!I811="","",'Ordenes_Odoo'!I811)</f>
        <v/>
      </c>
      <c r="J811" s="79">
        <f>IF('Ordenes_Odoo'!J811="","",'Ordenes_Odoo'!J811)</f>
        <v/>
      </c>
      <c r="K811" s="81">
        <f>IF('Ordenes_Odoo'!K811="","",'Ordenes_Odoo'!K811)</f>
        <v/>
      </c>
      <c r="L811" s="81">
        <f>IF('Ordenes_Odoo'!L811="","",'Ordenes_Odoo'!L811)</f>
        <v/>
      </c>
      <c r="M811" s="79">
        <f>IF('Ordenes_Odoo'!M811="","",'Ordenes_Odoo'!M811)</f>
        <v/>
      </c>
      <c r="N811" s="79">
        <f>IF('Ordenes_Odoo'!N811="","",'Ordenes_Odoo'!N811)</f>
        <v/>
      </c>
      <c r="O811" s="81">
        <f>IF('Ordenes_Odoo'!O811="","",'Ordenes_Odoo'!O811)</f>
        <v/>
      </c>
      <c r="P811" s="81">
        <f>IF('Ordenes_Odoo'!P811="","",'Ordenes_Odoo'!P811)</f>
        <v/>
      </c>
      <c r="Q811" s="79">
        <f>IF(A811="","",IFERROR(INDEX(Facturas_Odoo!$B:$B, MATCH(A811, Facturas_Odoo!$D:$D, 0)), "Sin Factura"))</f>
        <v/>
      </c>
      <c r="R811" s="80">
        <f>IF(Q811="Sin Factura","",IFERROR(INDEX(Facturas_Odoo!$A:$A, MATCH(Q811, Facturas_Odoo!$B:$B, 0)), ""))</f>
        <v/>
      </c>
      <c r="S811" s="79">
        <f>IF(Q811="Sin Factura","",IFERROR(_xlfn.XLOOKUP(1, (Facturas_Odoo!$D:$D=A811) * (Facturas_Odoo!$K:$K=I811), Facturas_Odoo!$L:$L, ""), ""))</f>
        <v/>
      </c>
      <c r="T811" s="81">
        <f>IF(Q811="Sin Factura",0,IFERROR(_xlfn.XLOOKUP(1, (Facturas_Odoo!$D:$D=A811) * (Facturas_Odoo!$K:$K=I811), Facturas_Odoo!$M:$M, 0), 0))</f>
        <v/>
      </c>
      <c r="U811" s="79">
        <f>IF(Q811="Sin Factura",0,IFERROR(_xlfn.XLOOKUP(1, (Facturas_Odoo!$D:$D=A811) * (Facturas_Odoo!$K:$K=I811), Facturas_Odoo!$N:$N, 0), 0))</f>
        <v/>
      </c>
      <c r="V811" s="79">
        <f>IF(Q811="Sin Factura",0,IFERROR(_xlfn.XLOOKUP(1, (Facturas_Odoo!$D:$D=A811) * (Facturas_Odoo!$K:$K=I811), Facturas_Odoo!$O:$O, 0), 0))</f>
        <v/>
      </c>
      <c r="W811" s="81">
        <f>IF(Q811="Sin Factura",0,IFERROR(_xlfn.XLOOKUP(1, (Facturas_Odoo!$D:$D=A811) * (Facturas_Odoo!$K:$K=I811), Facturas_Odoo!$Q:$Q, 0), 0))</f>
        <v/>
      </c>
      <c r="X811" s="79">
        <f>IF(OR(Q811="Sin Factura",Q811=""),"",IFERROR(INDEX(Pagos_Odoo!$B:$B, MATCH(Q811, Pagos_Odoo!$I:$I, 0)), "Sin Pago"))</f>
        <v/>
      </c>
      <c r="Y811" s="79">
        <f>IF(X811="Sin Pago","",IFERROR(INDEX(Pagos_Odoo!$C:$C, MATCH(X811, Pagos_Odoo!$B:$B, 0)), ""))</f>
        <v/>
      </c>
      <c r="Z811" s="80">
        <f>IF(X811="Sin Pago","",IFERROR(INDEX(Pagos_Odoo!$A:$A, MATCH(X811, Pagos_Odoo!$B:$B, 0)), ""))</f>
        <v/>
      </c>
      <c r="AA811" s="79">
        <f>IF(X811="Sin Pago","",IFERROR(INDEX(Pagos_Odoo!$F:$F, MATCH(X811, Pagos_Odoo!$B:$B, 0)), ""))</f>
        <v/>
      </c>
      <c r="AB811" s="81">
        <f>IF(X811="Sin Pago",0,IFERROR(INDEX(Pagos_Odoo!$E:$E, MATCH(X811, Pagos_Odoo!$B:$B, 0)), 0))</f>
        <v/>
      </c>
      <c r="AC811" s="79">
        <f>IF(X811="Sin Pago","",IFERROR(INDEX(Pagos_Odoo!$G:$G, MATCH(X811, Pagos_Odoo!$B:$B, 0)), ""))</f>
        <v/>
      </c>
      <c r="AD811" s="82" t="n">
        <v>0</v>
      </c>
      <c r="AE811" s="82" t="n"/>
      <c r="AF811" s="82" t="n"/>
      <c r="AG811" s="82">
        <f>IF(AN811="","",AD811+AE811+AF811)</f>
        <v/>
      </c>
      <c r="AH811" s="81">
        <f>IF(AN811="","",P811*(1-AG811))</f>
        <v/>
      </c>
      <c r="AI811" s="81">
        <f>IF(AN811="","",IF(Q811="Sin Factura",0,IFERROR(INDEX(Facturas_Odoo!$H:$H, MATCH(Q811, Facturas_Odoo!$B:$B, 0)), 0)*(1-AG811)))</f>
        <v/>
      </c>
      <c r="AJ811" s="81">
        <f>IF(AN811="","",_xlfn.LET(idVenta, AN811&amp;"",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11" s="81">
        <f>IF(AN811="","",AH811-AJ811)</f>
        <v/>
      </c>
      <c r="AL811" s="81">
        <f>IF(AN811="","",IF(Q811="Sin Factura","",AI811-AJ811))</f>
        <v/>
      </c>
      <c r="AM811" s="81">
        <f>IF(AN811="","",IF(Q811="Sin Factura",0,P811-IFERROR(INDEX(Facturas_Odoo!$H:$H, MATCH(Q811, Facturas_Odoo!$B:$B, 0)), 0)))</f>
        <v/>
      </c>
      <c r="AN811" s="79">
        <f>IF(AND(A811="", J811=""), "", IF(A811&lt;&gt;"", VALUE(MID(A811,2,LEN(A811))), AN810))</f>
        <v/>
      </c>
      <c r="AO811" s="79">
        <f>IF(AN811="","",IF(AD811=0,"OK",_xlfn.LET(monedaPago, IF(AA811="","USD",AA811), limitePermitido, IFERROR(VLOOKUP(monedaPago, Configuración!$A$2:$B$3, 2, FALSE), 0.15), IF(AD811&gt;limitePermitido, "ALERTA: EXCESO (" &amp; TEXT(limitePermitido, "0%") &amp; " máx)", "OK"))))</f>
        <v/>
      </c>
      <c r="AP811" s="79">
        <f>IF(AN811="","",IF(AE811=0,"OK",_xlfn.LET(fechaPago, Z811, fechaFactura, R811, diasCredito, IF(E811="Pago inmediato", 0, IFERROR(VALUE(MID(E811, 1, SEARCH(" ", E811)-1)),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11" s="79">
        <f>IF(AN811="","",IF(AND(N811&gt;0, AG811&gt;0), IF(Configuración!$K$2="NO", "ALERTA: DESCUENTO DOBLE NO PERMITIDO", "OK"), "OK"))</f>
        <v/>
      </c>
      <c r="AR811" s="79">
        <f>IF(AN811="","",IF(OR(AO811&lt;&gt;"OK", AP811&lt;&gt;"OK", AQ811&lt;&gt;"OK"), "⚠️ REVISAR", "OK"))</f>
        <v/>
      </c>
    </row>
    <row r="812">
      <c r="A812" s="79">
        <f>IF('Ordenes_Odoo'!A812="","",'Ordenes_Odoo'!A812)</f>
        <v/>
      </c>
      <c r="B812" s="80">
        <f>IF('Ordenes_Odoo'!B812="","",'Ordenes_Odoo'!B812)</f>
        <v/>
      </c>
      <c r="C812" s="79">
        <f>IF('Ordenes_Odoo'!C812="","",'Ordenes_Odoo'!C812)</f>
        <v/>
      </c>
      <c r="D812" s="79">
        <f>IF('Ordenes_Odoo'!D812="","",'Ordenes_Odoo'!D812)</f>
        <v/>
      </c>
      <c r="E812" s="79">
        <f>IF('Ordenes_Odoo'!E812="","",'Ordenes_Odoo'!E812)</f>
        <v/>
      </c>
      <c r="F812" s="79">
        <f>IF('Ordenes_Odoo'!F812="","",'Ordenes_Odoo'!F812)</f>
        <v/>
      </c>
      <c r="G812" s="79">
        <f>IF('Ordenes_Odoo'!G812="","",'Ordenes_Odoo'!G812)</f>
        <v/>
      </c>
      <c r="H812" s="79">
        <f>IF('Ordenes_Odoo'!H812="","",'Ordenes_Odoo'!H812)</f>
        <v/>
      </c>
      <c r="I812" s="79">
        <f>IF('Ordenes_Odoo'!I812="","",'Ordenes_Odoo'!I812)</f>
        <v/>
      </c>
      <c r="J812" s="79">
        <f>IF('Ordenes_Odoo'!J812="","",'Ordenes_Odoo'!J812)</f>
        <v/>
      </c>
      <c r="K812" s="81">
        <f>IF('Ordenes_Odoo'!K812="","",'Ordenes_Odoo'!K812)</f>
        <v/>
      </c>
      <c r="L812" s="81">
        <f>IF('Ordenes_Odoo'!L812="","",'Ordenes_Odoo'!L812)</f>
        <v/>
      </c>
      <c r="M812" s="79">
        <f>IF('Ordenes_Odoo'!M812="","",'Ordenes_Odoo'!M812)</f>
        <v/>
      </c>
      <c r="N812" s="79">
        <f>IF('Ordenes_Odoo'!N812="","",'Ordenes_Odoo'!N812)</f>
        <v/>
      </c>
      <c r="O812" s="81">
        <f>IF('Ordenes_Odoo'!O812="","",'Ordenes_Odoo'!O812)</f>
        <v/>
      </c>
      <c r="P812" s="81">
        <f>IF('Ordenes_Odoo'!P812="","",'Ordenes_Odoo'!P812)</f>
        <v/>
      </c>
      <c r="Q812" s="79">
        <f>IF(A812="","",IFERROR(INDEX(Facturas_Odoo!$B:$B, MATCH(A812, Facturas_Odoo!$D:$D, 0)), "Sin Factura"))</f>
        <v/>
      </c>
      <c r="R812" s="80">
        <f>IF(Q812="Sin Factura","",IFERROR(INDEX(Facturas_Odoo!$A:$A, MATCH(Q812, Facturas_Odoo!$B:$B, 0)), ""))</f>
        <v/>
      </c>
      <c r="S812" s="79">
        <f>IF(Q812="Sin Factura","",IFERROR(_xlfn.XLOOKUP(1, (Facturas_Odoo!$D:$D=A812) * (Facturas_Odoo!$K:$K=I812), Facturas_Odoo!$L:$L, ""), ""))</f>
        <v/>
      </c>
      <c r="T812" s="81">
        <f>IF(Q812="Sin Factura",0,IFERROR(_xlfn.XLOOKUP(1, (Facturas_Odoo!$D:$D=A812) * (Facturas_Odoo!$K:$K=I812), Facturas_Odoo!$M:$M, 0), 0))</f>
        <v/>
      </c>
      <c r="U812" s="79">
        <f>IF(Q812="Sin Factura",0,IFERROR(_xlfn.XLOOKUP(1, (Facturas_Odoo!$D:$D=A812) * (Facturas_Odoo!$K:$K=I812), Facturas_Odoo!$N:$N, 0), 0))</f>
        <v/>
      </c>
      <c r="V812" s="79">
        <f>IF(Q812="Sin Factura",0,IFERROR(_xlfn.XLOOKUP(1, (Facturas_Odoo!$D:$D=A812) * (Facturas_Odoo!$K:$K=I812), Facturas_Odoo!$O:$O, 0), 0))</f>
        <v/>
      </c>
      <c r="W812" s="81">
        <f>IF(Q812="Sin Factura",0,IFERROR(_xlfn.XLOOKUP(1, (Facturas_Odoo!$D:$D=A812) * (Facturas_Odoo!$K:$K=I812), Facturas_Odoo!$Q:$Q, 0), 0))</f>
        <v/>
      </c>
      <c r="X812" s="79">
        <f>IF(OR(Q812="Sin Factura",Q812=""),"",IFERROR(INDEX(Pagos_Odoo!$B:$B, MATCH(Q812, Pagos_Odoo!$I:$I, 0)), "Sin Pago"))</f>
        <v/>
      </c>
      <c r="Y812" s="79">
        <f>IF(X812="Sin Pago","",IFERROR(INDEX(Pagos_Odoo!$C:$C, MATCH(X812, Pagos_Odoo!$B:$B, 0)), ""))</f>
        <v/>
      </c>
      <c r="Z812" s="80">
        <f>IF(X812="Sin Pago","",IFERROR(INDEX(Pagos_Odoo!$A:$A, MATCH(X812, Pagos_Odoo!$B:$B, 0)), ""))</f>
        <v/>
      </c>
      <c r="AA812" s="79">
        <f>IF(X812="Sin Pago","",IFERROR(INDEX(Pagos_Odoo!$F:$F, MATCH(X812, Pagos_Odoo!$B:$B, 0)), ""))</f>
        <v/>
      </c>
      <c r="AB812" s="81">
        <f>IF(X812="Sin Pago",0,IFERROR(INDEX(Pagos_Odoo!$E:$E, MATCH(X812, Pagos_Odoo!$B:$B, 0)), 0))</f>
        <v/>
      </c>
      <c r="AC812" s="79">
        <f>IF(X812="Sin Pago","",IFERROR(INDEX(Pagos_Odoo!$G:$G, MATCH(X812, Pagos_Odoo!$B:$B, 0)), ""))</f>
        <v/>
      </c>
      <c r="AD812" s="82" t="n">
        <v>0</v>
      </c>
      <c r="AE812" s="82" t="n"/>
      <c r="AF812" s="82" t="n"/>
      <c r="AG812" s="82">
        <f>IF(AN812="","",AD812+AE812+AF812)</f>
        <v/>
      </c>
      <c r="AH812" s="81">
        <f>IF(AN812="","",P812*(1-AG812))</f>
        <v/>
      </c>
      <c r="AI812" s="81">
        <f>IF(AN812="","",IF(Q812="Sin Factura",0,IFERROR(INDEX(Facturas_Odoo!$H:$H, MATCH(Q812, Facturas_Odoo!$B:$B, 0)), 0)*(1-AG812)))</f>
        <v/>
      </c>
      <c r="AJ812" s="81">
        <f>IF(AN812="","",_xlfn.LET(idVenta, AN812&amp;"",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12" s="81">
        <f>IF(AN812="","",AH812-AJ812)</f>
        <v/>
      </c>
      <c r="AL812" s="81">
        <f>IF(AN812="","",IF(Q812="Sin Factura","",AI812-AJ812))</f>
        <v/>
      </c>
      <c r="AM812" s="81">
        <f>IF(AN812="","",IF(Q812="Sin Factura",0,P812-IFERROR(INDEX(Facturas_Odoo!$H:$H, MATCH(Q812, Facturas_Odoo!$B:$B, 0)), 0)))</f>
        <v/>
      </c>
      <c r="AN812" s="79">
        <f>IF(AND(A812="", J812=""), "", IF(A812&lt;&gt;"", VALUE(MID(A812,2,LEN(A812))), AN811))</f>
        <v/>
      </c>
      <c r="AO812" s="79">
        <f>IF(AN812="","",IF(AD812=0,"OK",_xlfn.LET(monedaPago, IF(AA812="","USD",AA812), limitePermitido, IFERROR(VLOOKUP(monedaPago, Configuración!$A$2:$B$3, 2, FALSE), 0.15), IF(AD812&gt;limitePermitido, "ALERTA: EXCESO (" &amp; TEXT(limitePermitido, "0%") &amp; " máx)", "OK"))))</f>
        <v/>
      </c>
      <c r="AP812" s="79">
        <f>IF(AN812="","",IF(AE812=0,"OK",_xlfn.LET(fechaPago, Z812, fechaFactura, R812, diasCredito, IF(E812="Pago inmediato", 0, IFERROR(VALUE(MID(E812, 1, SEARCH(" ", E812)-1)),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12" s="79">
        <f>IF(AN812="","",IF(AND(N812&gt;0, AG812&gt;0), IF(Configuración!$K$2="NO", "ALERTA: DESCUENTO DOBLE NO PERMITIDO", "OK"), "OK"))</f>
        <v/>
      </c>
      <c r="AR812" s="79">
        <f>IF(AN812="","",IF(OR(AO812&lt;&gt;"OK", AP812&lt;&gt;"OK", AQ812&lt;&gt;"OK"), "⚠️ REVISAR", "OK"))</f>
        <v/>
      </c>
    </row>
    <row r="813">
      <c r="A813" s="79">
        <f>IF('Ordenes_Odoo'!A813="","",'Ordenes_Odoo'!A813)</f>
        <v/>
      </c>
      <c r="B813" s="80">
        <f>IF('Ordenes_Odoo'!B813="","",'Ordenes_Odoo'!B813)</f>
        <v/>
      </c>
      <c r="C813" s="79">
        <f>IF('Ordenes_Odoo'!C813="","",'Ordenes_Odoo'!C813)</f>
        <v/>
      </c>
      <c r="D813" s="79">
        <f>IF('Ordenes_Odoo'!D813="","",'Ordenes_Odoo'!D813)</f>
        <v/>
      </c>
      <c r="E813" s="79">
        <f>IF('Ordenes_Odoo'!E813="","",'Ordenes_Odoo'!E813)</f>
        <v/>
      </c>
      <c r="F813" s="79">
        <f>IF('Ordenes_Odoo'!F813="","",'Ordenes_Odoo'!F813)</f>
        <v/>
      </c>
      <c r="G813" s="79">
        <f>IF('Ordenes_Odoo'!G813="","",'Ordenes_Odoo'!G813)</f>
        <v/>
      </c>
      <c r="H813" s="79">
        <f>IF('Ordenes_Odoo'!H813="","",'Ordenes_Odoo'!H813)</f>
        <v/>
      </c>
      <c r="I813" s="79">
        <f>IF('Ordenes_Odoo'!I813="","",'Ordenes_Odoo'!I813)</f>
        <v/>
      </c>
      <c r="J813" s="79">
        <f>IF('Ordenes_Odoo'!J813="","",'Ordenes_Odoo'!J813)</f>
        <v/>
      </c>
      <c r="K813" s="81">
        <f>IF('Ordenes_Odoo'!K813="","",'Ordenes_Odoo'!K813)</f>
        <v/>
      </c>
      <c r="L813" s="81">
        <f>IF('Ordenes_Odoo'!L813="","",'Ordenes_Odoo'!L813)</f>
        <v/>
      </c>
      <c r="M813" s="79">
        <f>IF('Ordenes_Odoo'!M813="","",'Ordenes_Odoo'!M813)</f>
        <v/>
      </c>
      <c r="N813" s="79">
        <f>IF('Ordenes_Odoo'!N813="","",'Ordenes_Odoo'!N813)</f>
        <v/>
      </c>
      <c r="O813" s="81">
        <f>IF('Ordenes_Odoo'!O813="","",'Ordenes_Odoo'!O813)</f>
        <v/>
      </c>
      <c r="P813" s="81">
        <f>IF('Ordenes_Odoo'!P813="","",'Ordenes_Odoo'!P813)</f>
        <v/>
      </c>
      <c r="Q813" s="79">
        <f>IF(A813="","",IFERROR(INDEX(Facturas_Odoo!$B:$B, MATCH(A813, Facturas_Odoo!$D:$D, 0)), "Sin Factura"))</f>
        <v/>
      </c>
      <c r="R813" s="80">
        <f>IF(Q813="Sin Factura","",IFERROR(INDEX(Facturas_Odoo!$A:$A, MATCH(Q813, Facturas_Odoo!$B:$B, 0)), ""))</f>
        <v/>
      </c>
      <c r="S813" s="79">
        <f>IF(Q813="Sin Factura","",IFERROR(_xlfn.XLOOKUP(1, (Facturas_Odoo!$D:$D=A813) * (Facturas_Odoo!$K:$K=I813), Facturas_Odoo!$L:$L, ""), ""))</f>
        <v/>
      </c>
      <c r="T813" s="81">
        <f>IF(Q813="Sin Factura",0,IFERROR(_xlfn.XLOOKUP(1, (Facturas_Odoo!$D:$D=A813) * (Facturas_Odoo!$K:$K=I813), Facturas_Odoo!$M:$M, 0), 0))</f>
        <v/>
      </c>
      <c r="U813" s="79">
        <f>IF(Q813="Sin Factura",0,IFERROR(_xlfn.XLOOKUP(1, (Facturas_Odoo!$D:$D=A813) * (Facturas_Odoo!$K:$K=I813), Facturas_Odoo!$N:$N, 0), 0))</f>
        <v/>
      </c>
      <c r="V813" s="79">
        <f>IF(Q813="Sin Factura",0,IFERROR(_xlfn.XLOOKUP(1, (Facturas_Odoo!$D:$D=A813) * (Facturas_Odoo!$K:$K=I813), Facturas_Odoo!$O:$O, 0), 0))</f>
        <v/>
      </c>
      <c r="W813" s="81">
        <f>IF(Q813="Sin Factura",0,IFERROR(_xlfn.XLOOKUP(1, (Facturas_Odoo!$D:$D=A813) * (Facturas_Odoo!$K:$K=I813), Facturas_Odoo!$Q:$Q, 0), 0))</f>
        <v/>
      </c>
      <c r="X813" s="79">
        <f>IF(OR(Q813="Sin Factura",Q813=""),"",IFERROR(INDEX(Pagos_Odoo!$B:$B, MATCH(Q813, Pagos_Odoo!$I:$I, 0)), "Sin Pago"))</f>
        <v/>
      </c>
      <c r="Y813" s="79">
        <f>IF(X813="Sin Pago","",IFERROR(INDEX(Pagos_Odoo!$C:$C, MATCH(X813, Pagos_Odoo!$B:$B, 0)), ""))</f>
        <v/>
      </c>
      <c r="Z813" s="80">
        <f>IF(X813="Sin Pago","",IFERROR(INDEX(Pagos_Odoo!$A:$A, MATCH(X813, Pagos_Odoo!$B:$B, 0)), ""))</f>
        <v/>
      </c>
      <c r="AA813" s="79">
        <f>IF(X813="Sin Pago","",IFERROR(INDEX(Pagos_Odoo!$F:$F, MATCH(X813, Pagos_Odoo!$B:$B, 0)), ""))</f>
        <v/>
      </c>
      <c r="AB813" s="81">
        <f>IF(X813="Sin Pago",0,IFERROR(INDEX(Pagos_Odoo!$E:$E, MATCH(X813, Pagos_Odoo!$B:$B, 0)), 0))</f>
        <v/>
      </c>
      <c r="AC813" s="79">
        <f>IF(X813="Sin Pago","",IFERROR(INDEX(Pagos_Odoo!$G:$G, MATCH(X813, Pagos_Odoo!$B:$B, 0)), ""))</f>
        <v/>
      </c>
      <c r="AD813" s="82" t="n">
        <v>0</v>
      </c>
      <c r="AE813" s="82" t="n"/>
      <c r="AF813" s="82" t="n"/>
      <c r="AG813" s="82">
        <f>IF(AN813="","",AD813+AE813+AF813)</f>
        <v/>
      </c>
      <c r="AH813" s="81">
        <f>IF(AN813="","",P813*(1-AG813))</f>
        <v/>
      </c>
      <c r="AI813" s="81">
        <f>IF(AN813="","",IF(Q813="Sin Factura",0,IFERROR(INDEX(Facturas_Odoo!$H:$H, MATCH(Q813, Facturas_Odoo!$B:$B, 0)), 0)*(1-AG813)))</f>
        <v/>
      </c>
      <c r="AJ813" s="81">
        <f>IF(AN813="","",_xlfn.LET(idVenta, AN813&amp;"",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13" s="81">
        <f>IF(AN813="","",AH813-AJ813)</f>
        <v/>
      </c>
      <c r="AL813" s="81">
        <f>IF(AN813="","",IF(Q813="Sin Factura","",AI813-AJ813))</f>
        <v/>
      </c>
      <c r="AM813" s="81">
        <f>IF(AN813="","",IF(Q813="Sin Factura",0,P813-IFERROR(INDEX(Facturas_Odoo!$H:$H, MATCH(Q813, Facturas_Odoo!$B:$B, 0)), 0)))</f>
        <v/>
      </c>
      <c r="AN813" s="79">
        <f>IF(AND(A813="", J813=""), "", IF(A813&lt;&gt;"", VALUE(MID(A813,2,LEN(A813))), AN812))</f>
        <v/>
      </c>
      <c r="AO813" s="79">
        <f>IF(AN813="","",IF(AD813=0,"OK",_xlfn.LET(monedaPago, IF(AA813="","USD",AA813), limitePermitido, IFERROR(VLOOKUP(monedaPago, Configuración!$A$2:$B$3, 2, FALSE), 0.15), IF(AD813&gt;limitePermitido, "ALERTA: EXCESO (" &amp; TEXT(limitePermitido, "0%") &amp; " máx)", "OK"))))</f>
        <v/>
      </c>
      <c r="AP813" s="79">
        <f>IF(AN813="","",IF(AE813=0,"OK",_xlfn.LET(fechaPago, Z813, fechaFactura, R813, diasCredito, IF(E813="Pago inmediato", 0, IFERROR(VALUE(MID(E813, 1, SEARCH(" ", E813)-1)),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13" s="79">
        <f>IF(AN813="","",IF(AND(N813&gt;0, AG813&gt;0), IF(Configuración!$K$2="NO", "ALERTA: DESCUENTO DOBLE NO PERMITIDO", "OK"), "OK"))</f>
        <v/>
      </c>
      <c r="AR813" s="79">
        <f>IF(AN813="","",IF(OR(AO813&lt;&gt;"OK", AP813&lt;&gt;"OK", AQ813&lt;&gt;"OK"), "⚠️ REVISAR", "OK"))</f>
        <v/>
      </c>
    </row>
    <row r="814">
      <c r="A814" s="79">
        <f>IF('Ordenes_Odoo'!A814="","",'Ordenes_Odoo'!A814)</f>
        <v/>
      </c>
      <c r="B814" s="80">
        <f>IF('Ordenes_Odoo'!B814="","",'Ordenes_Odoo'!B814)</f>
        <v/>
      </c>
      <c r="C814" s="79">
        <f>IF('Ordenes_Odoo'!C814="","",'Ordenes_Odoo'!C814)</f>
        <v/>
      </c>
      <c r="D814" s="79">
        <f>IF('Ordenes_Odoo'!D814="","",'Ordenes_Odoo'!D814)</f>
        <v/>
      </c>
      <c r="E814" s="79">
        <f>IF('Ordenes_Odoo'!E814="","",'Ordenes_Odoo'!E814)</f>
        <v/>
      </c>
      <c r="F814" s="79">
        <f>IF('Ordenes_Odoo'!F814="","",'Ordenes_Odoo'!F814)</f>
        <v/>
      </c>
      <c r="G814" s="79">
        <f>IF('Ordenes_Odoo'!G814="","",'Ordenes_Odoo'!G814)</f>
        <v/>
      </c>
      <c r="H814" s="79">
        <f>IF('Ordenes_Odoo'!H814="","",'Ordenes_Odoo'!H814)</f>
        <v/>
      </c>
      <c r="I814" s="79">
        <f>IF('Ordenes_Odoo'!I814="","",'Ordenes_Odoo'!I814)</f>
        <v/>
      </c>
      <c r="J814" s="79">
        <f>IF('Ordenes_Odoo'!J814="","",'Ordenes_Odoo'!J814)</f>
        <v/>
      </c>
      <c r="K814" s="81">
        <f>IF('Ordenes_Odoo'!K814="","",'Ordenes_Odoo'!K814)</f>
        <v/>
      </c>
      <c r="L814" s="81">
        <f>IF('Ordenes_Odoo'!L814="","",'Ordenes_Odoo'!L814)</f>
        <v/>
      </c>
      <c r="M814" s="79">
        <f>IF('Ordenes_Odoo'!M814="","",'Ordenes_Odoo'!M814)</f>
        <v/>
      </c>
      <c r="N814" s="79">
        <f>IF('Ordenes_Odoo'!N814="","",'Ordenes_Odoo'!N814)</f>
        <v/>
      </c>
      <c r="O814" s="81">
        <f>IF('Ordenes_Odoo'!O814="","",'Ordenes_Odoo'!O814)</f>
        <v/>
      </c>
      <c r="P814" s="81">
        <f>IF('Ordenes_Odoo'!P814="","",'Ordenes_Odoo'!P814)</f>
        <v/>
      </c>
      <c r="Q814" s="79">
        <f>IF(A814="","",IFERROR(INDEX(Facturas_Odoo!$B:$B, MATCH(A814, Facturas_Odoo!$D:$D, 0)), "Sin Factura"))</f>
        <v/>
      </c>
      <c r="R814" s="80">
        <f>IF(Q814="Sin Factura","",IFERROR(INDEX(Facturas_Odoo!$A:$A, MATCH(Q814, Facturas_Odoo!$B:$B, 0)), ""))</f>
        <v/>
      </c>
      <c r="S814" s="79">
        <f>IF(Q814="Sin Factura","",IFERROR(_xlfn.XLOOKUP(1, (Facturas_Odoo!$D:$D=A814) * (Facturas_Odoo!$K:$K=I814), Facturas_Odoo!$L:$L, ""), ""))</f>
        <v/>
      </c>
      <c r="T814" s="81">
        <f>IF(Q814="Sin Factura",0,IFERROR(_xlfn.XLOOKUP(1, (Facturas_Odoo!$D:$D=A814) * (Facturas_Odoo!$K:$K=I814), Facturas_Odoo!$M:$M, 0), 0))</f>
        <v/>
      </c>
      <c r="U814" s="79">
        <f>IF(Q814="Sin Factura",0,IFERROR(_xlfn.XLOOKUP(1, (Facturas_Odoo!$D:$D=A814) * (Facturas_Odoo!$K:$K=I814), Facturas_Odoo!$N:$N, 0), 0))</f>
        <v/>
      </c>
      <c r="V814" s="79">
        <f>IF(Q814="Sin Factura",0,IFERROR(_xlfn.XLOOKUP(1, (Facturas_Odoo!$D:$D=A814) * (Facturas_Odoo!$K:$K=I814), Facturas_Odoo!$O:$O, 0), 0))</f>
        <v/>
      </c>
      <c r="W814" s="81">
        <f>IF(Q814="Sin Factura",0,IFERROR(_xlfn.XLOOKUP(1, (Facturas_Odoo!$D:$D=A814) * (Facturas_Odoo!$K:$K=I814), Facturas_Odoo!$Q:$Q, 0), 0))</f>
        <v/>
      </c>
      <c r="X814" s="79">
        <f>IF(OR(Q814="Sin Factura",Q814=""),"",IFERROR(INDEX(Pagos_Odoo!$B:$B, MATCH(Q814, Pagos_Odoo!$I:$I, 0)), "Sin Pago"))</f>
        <v/>
      </c>
      <c r="Y814" s="79">
        <f>IF(X814="Sin Pago","",IFERROR(INDEX(Pagos_Odoo!$C:$C, MATCH(X814, Pagos_Odoo!$B:$B, 0)), ""))</f>
        <v/>
      </c>
      <c r="Z814" s="80">
        <f>IF(X814="Sin Pago","",IFERROR(INDEX(Pagos_Odoo!$A:$A, MATCH(X814, Pagos_Odoo!$B:$B, 0)), ""))</f>
        <v/>
      </c>
      <c r="AA814" s="79">
        <f>IF(X814="Sin Pago","",IFERROR(INDEX(Pagos_Odoo!$F:$F, MATCH(X814, Pagos_Odoo!$B:$B, 0)), ""))</f>
        <v/>
      </c>
      <c r="AB814" s="81">
        <f>IF(X814="Sin Pago",0,IFERROR(INDEX(Pagos_Odoo!$E:$E, MATCH(X814, Pagos_Odoo!$B:$B, 0)), 0))</f>
        <v/>
      </c>
      <c r="AC814" s="79">
        <f>IF(X814="Sin Pago","",IFERROR(INDEX(Pagos_Odoo!$G:$G, MATCH(X814, Pagos_Odoo!$B:$B, 0)), ""))</f>
        <v/>
      </c>
      <c r="AD814" s="82" t="n">
        <v>0</v>
      </c>
      <c r="AE814" s="82" t="n"/>
      <c r="AF814" s="82" t="n"/>
      <c r="AG814" s="82">
        <f>IF(AN814="","",AD814+AE814+AF814)</f>
        <v/>
      </c>
      <c r="AH814" s="81">
        <f>IF(AN814="","",P814*(1-AG814))</f>
        <v/>
      </c>
      <c r="AI814" s="81">
        <f>IF(AN814="","",IF(Q814="Sin Factura",0,IFERROR(INDEX(Facturas_Odoo!$H:$H, MATCH(Q814, Facturas_Odoo!$B:$B, 0)), 0)*(1-AG814)))</f>
        <v/>
      </c>
      <c r="AJ814" s="81">
        <f>IF(AN814="","",_xlfn.LET(idVenta, AN814&amp;"",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14" s="81">
        <f>IF(AN814="","",AH814-AJ814)</f>
        <v/>
      </c>
      <c r="AL814" s="81">
        <f>IF(AN814="","",IF(Q814="Sin Factura","",AI814-AJ814))</f>
        <v/>
      </c>
      <c r="AM814" s="81">
        <f>IF(AN814="","",IF(Q814="Sin Factura",0,P814-IFERROR(INDEX(Facturas_Odoo!$H:$H, MATCH(Q814, Facturas_Odoo!$B:$B, 0)), 0)))</f>
        <v/>
      </c>
      <c r="AN814" s="79">
        <f>IF(AND(A814="", J814=""), "", IF(A814&lt;&gt;"", VALUE(MID(A814,2,LEN(A814))), AN813))</f>
        <v/>
      </c>
      <c r="AO814" s="79">
        <f>IF(AN814="","",IF(AD814=0,"OK",_xlfn.LET(monedaPago, IF(AA814="","USD",AA814), limitePermitido, IFERROR(VLOOKUP(monedaPago, Configuración!$A$2:$B$3, 2, FALSE), 0.15), IF(AD814&gt;limitePermitido, "ALERTA: EXCESO (" &amp; TEXT(limitePermitido, "0%") &amp; " máx)", "OK"))))</f>
        <v/>
      </c>
      <c r="AP814" s="79">
        <f>IF(AN814="","",IF(AE814=0,"OK",_xlfn.LET(fechaPago, Z814, fechaFactura, R814, diasCredito, IF(E814="Pago inmediato", 0, IFERROR(VALUE(MID(E814, 1, SEARCH(" ", E814)-1)),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14" s="79">
        <f>IF(AN814="","",IF(AND(N814&gt;0, AG814&gt;0), IF(Configuración!$K$2="NO", "ALERTA: DESCUENTO DOBLE NO PERMITIDO", "OK"), "OK"))</f>
        <v/>
      </c>
      <c r="AR814" s="79">
        <f>IF(AN814="","",IF(OR(AO814&lt;&gt;"OK", AP814&lt;&gt;"OK", AQ814&lt;&gt;"OK"), "⚠️ REVISAR", "OK"))</f>
        <v/>
      </c>
    </row>
    <row r="815">
      <c r="A815" s="79">
        <f>IF('Ordenes_Odoo'!A815="","",'Ordenes_Odoo'!A815)</f>
        <v/>
      </c>
      <c r="B815" s="80">
        <f>IF('Ordenes_Odoo'!B815="","",'Ordenes_Odoo'!B815)</f>
        <v/>
      </c>
      <c r="C815" s="79">
        <f>IF('Ordenes_Odoo'!C815="","",'Ordenes_Odoo'!C815)</f>
        <v/>
      </c>
      <c r="D815" s="79">
        <f>IF('Ordenes_Odoo'!D815="","",'Ordenes_Odoo'!D815)</f>
        <v/>
      </c>
      <c r="E815" s="79">
        <f>IF('Ordenes_Odoo'!E815="","",'Ordenes_Odoo'!E815)</f>
        <v/>
      </c>
      <c r="F815" s="79">
        <f>IF('Ordenes_Odoo'!F815="","",'Ordenes_Odoo'!F815)</f>
        <v/>
      </c>
      <c r="G815" s="79">
        <f>IF('Ordenes_Odoo'!G815="","",'Ordenes_Odoo'!G815)</f>
        <v/>
      </c>
      <c r="H815" s="79">
        <f>IF('Ordenes_Odoo'!H815="","",'Ordenes_Odoo'!H815)</f>
        <v/>
      </c>
      <c r="I815" s="79">
        <f>IF('Ordenes_Odoo'!I815="","",'Ordenes_Odoo'!I815)</f>
        <v/>
      </c>
      <c r="J815" s="79">
        <f>IF('Ordenes_Odoo'!J815="","",'Ordenes_Odoo'!J815)</f>
        <v/>
      </c>
      <c r="K815" s="81">
        <f>IF('Ordenes_Odoo'!K815="","",'Ordenes_Odoo'!K815)</f>
        <v/>
      </c>
      <c r="L815" s="81">
        <f>IF('Ordenes_Odoo'!L815="","",'Ordenes_Odoo'!L815)</f>
        <v/>
      </c>
      <c r="M815" s="79">
        <f>IF('Ordenes_Odoo'!M815="","",'Ordenes_Odoo'!M815)</f>
        <v/>
      </c>
      <c r="N815" s="79">
        <f>IF('Ordenes_Odoo'!N815="","",'Ordenes_Odoo'!N815)</f>
        <v/>
      </c>
      <c r="O815" s="81">
        <f>IF('Ordenes_Odoo'!O815="","",'Ordenes_Odoo'!O815)</f>
        <v/>
      </c>
      <c r="P815" s="81">
        <f>IF('Ordenes_Odoo'!P815="","",'Ordenes_Odoo'!P815)</f>
        <v/>
      </c>
      <c r="Q815" s="79">
        <f>IF(A815="","",IFERROR(INDEX(Facturas_Odoo!$B:$B, MATCH(A815, Facturas_Odoo!$D:$D, 0)), "Sin Factura"))</f>
        <v/>
      </c>
      <c r="R815" s="80">
        <f>IF(Q815="Sin Factura","",IFERROR(INDEX(Facturas_Odoo!$A:$A, MATCH(Q815, Facturas_Odoo!$B:$B, 0)), ""))</f>
        <v/>
      </c>
      <c r="S815" s="79">
        <f>IF(Q815="Sin Factura","",IFERROR(_xlfn.XLOOKUP(1, (Facturas_Odoo!$D:$D=A815) * (Facturas_Odoo!$K:$K=I815), Facturas_Odoo!$L:$L, ""), ""))</f>
        <v/>
      </c>
      <c r="T815" s="81">
        <f>IF(Q815="Sin Factura",0,IFERROR(_xlfn.XLOOKUP(1, (Facturas_Odoo!$D:$D=A815) * (Facturas_Odoo!$K:$K=I815), Facturas_Odoo!$M:$M, 0), 0))</f>
        <v/>
      </c>
      <c r="U815" s="79">
        <f>IF(Q815="Sin Factura",0,IFERROR(_xlfn.XLOOKUP(1, (Facturas_Odoo!$D:$D=A815) * (Facturas_Odoo!$K:$K=I815), Facturas_Odoo!$N:$N, 0), 0))</f>
        <v/>
      </c>
      <c r="V815" s="79">
        <f>IF(Q815="Sin Factura",0,IFERROR(_xlfn.XLOOKUP(1, (Facturas_Odoo!$D:$D=A815) * (Facturas_Odoo!$K:$K=I815), Facturas_Odoo!$O:$O, 0), 0))</f>
        <v/>
      </c>
      <c r="W815" s="81">
        <f>IF(Q815="Sin Factura",0,IFERROR(_xlfn.XLOOKUP(1, (Facturas_Odoo!$D:$D=A815) * (Facturas_Odoo!$K:$K=I815), Facturas_Odoo!$Q:$Q, 0), 0))</f>
        <v/>
      </c>
      <c r="X815" s="79">
        <f>IF(OR(Q815="Sin Factura",Q815=""),"",IFERROR(INDEX(Pagos_Odoo!$B:$B, MATCH(Q815, Pagos_Odoo!$I:$I, 0)), "Sin Pago"))</f>
        <v/>
      </c>
      <c r="Y815" s="79">
        <f>IF(X815="Sin Pago","",IFERROR(INDEX(Pagos_Odoo!$C:$C, MATCH(X815, Pagos_Odoo!$B:$B, 0)), ""))</f>
        <v/>
      </c>
      <c r="Z815" s="80">
        <f>IF(X815="Sin Pago","",IFERROR(INDEX(Pagos_Odoo!$A:$A, MATCH(X815, Pagos_Odoo!$B:$B, 0)), ""))</f>
        <v/>
      </c>
      <c r="AA815" s="79">
        <f>IF(X815="Sin Pago","",IFERROR(INDEX(Pagos_Odoo!$F:$F, MATCH(X815, Pagos_Odoo!$B:$B, 0)), ""))</f>
        <v/>
      </c>
      <c r="AB815" s="81">
        <f>IF(X815="Sin Pago",0,IFERROR(INDEX(Pagos_Odoo!$E:$E, MATCH(X815, Pagos_Odoo!$B:$B, 0)), 0))</f>
        <v/>
      </c>
      <c r="AC815" s="79">
        <f>IF(X815="Sin Pago","",IFERROR(INDEX(Pagos_Odoo!$G:$G, MATCH(X815, Pagos_Odoo!$B:$B, 0)), ""))</f>
        <v/>
      </c>
      <c r="AD815" s="82" t="n">
        <v>0</v>
      </c>
      <c r="AE815" s="82" t="n"/>
      <c r="AF815" s="82" t="n"/>
      <c r="AG815" s="82">
        <f>IF(AN815="","",AD815+AE815+AF815)</f>
        <v/>
      </c>
      <c r="AH815" s="81">
        <f>IF(AN815="","",P815*(1-AG815))</f>
        <v/>
      </c>
      <c r="AI815" s="81">
        <f>IF(AN815="","",IF(Q815="Sin Factura",0,IFERROR(INDEX(Facturas_Odoo!$H:$H, MATCH(Q815, Facturas_Odoo!$B:$B, 0)), 0)*(1-AG815)))</f>
        <v/>
      </c>
      <c r="AJ815" s="81">
        <f>IF(AN815="","",_xlfn.LET(idVenta, AN815&amp;"",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15" s="81">
        <f>IF(AN815="","",AH815-AJ815)</f>
        <v/>
      </c>
      <c r="AL815" s="81">
        <f>IF(AN815="","",IF(Q815="Sin Factura","",AI815-AJ815))</f>
        <v/>
      </c>
      <c r="AM815" s="81">
        <f>IF(AN815="","",IF(Q815="Sin Factura",0,P815-IFERROR(INDEX(Facturas_Odoo!$H:$H, MATCH(Q815, Facturas_Odoo!$B:$B, 0)), 0)))</f>
        <v/>
      </c>
      <c r="AN815" s="79">
        <f>IF(AND(A815="", J815=""), "", IF(A815&lt;&gt;"", VALUE(MID(A815,2,LEN(A815))), AN814))</f>
        <v/>
      </c>
      <c r="AO815" s="79">
        <f>IF(AN815="","",IF(AD815=0,"OK",_xlfn.LET(monedaPago, IF(AA815="","USD",AA815), limitePermitido, IFERROR(VLOOKUP(monedaPago, Configuración!$A$2:$B$3, 2, FALSE), 0.15), IF(AD815&gt;limitePermitido, "ALERTA: EXCESO (" &amp; TEXT(limitePermitido, "0%") &amp; " máx)", "OK"))))</f>
        <v/>
      </c>
      <c r="AP815" s="79">
        <f>IF(AN815="","",IF(AE815=0,"OK",_xlfn.LET(fechaPago, Z815, fechaFactura, R815, diasCredito, IF(E815="Pago inmediato", 0, IFERROR(VALUE(MID(E815, 1, SEARCH(" ", E815)-1)),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15" s="79">
        <f>IF(AN815="","",IF(AND(N815&gt;0, AG815&gt;0), IF(Configuración!$K$2="NO", "ALERTA: DESCUENTO DOBLE NO PERMITIDO", "OK"), "OK"))</f>
        <v/>
      </c>
      <c r="AR815" s="79">
        <f>IF(AN815="","",IF(OR(AO815&lt;&gt;"OK", AP815&lt;&gt;"OK", AQ815&lt;&gt;"OK"), "⚠️ REVISAR", "OK"))</f>
        <v/>
      </c>
    </row>
    <row r="816">
      <c r="A816" s="79">
        <f>IF('Ordenes_Odoo'!A816="","",'Ordenes_Odoo'!A816)</f>
        <v/>
      </c>
      <c r="B816" s="80">
        <f>IF('Ordenes_Odoo'!B816="","",'Ordenes_Odoo'!B816)</f>
        <v/>
      </c>
      <c r="C816" s="79">
        <f>IF('Ordenes_Odoo'!C816="","",'Ordenes_Odoo'!C816)</f>
        <v/>
      </c>
      <c r="D816" s="79">
        <f>IF('Ordenes_Odoo'!D816="","",'Ordenes_Odoo'!D816)</f>
        <v/>
      </c>
      <c r="E816" s="79">
        <f>IF('Ordenes_Odoo'!E816="","",'Ordenes_Odoo'!E816)</f>
        <v/>
      </c>
      <c r="F816" s="79">
        <f>IF('Ordenes_Odoo'!F816="","",'Ordenes_Odoo'!F816)</f>
        <v/>
      </c>
      <c r="G816" s="79">
        <f>IF('Ordenes_Odoo'!G816="","",'Ordenes_Odoo'!G816)</f>
        <v/>
      </c>
      <c r="H816" s="79">
        <f>IF('Ordenes_Odoo'!H816="","",'Ordenes_Odoo'!H816)</f>
        <v/>
      </c>
      <c r="I816" s="79">
        <f>IF('Ordenes_Odoo'!I816="","",'Ordenes_Odoo'!I816)</f>
        <v/>
      </c>
      <c r="J816" s="79">
        <f>IF('Ordenes_Odoo'!J816="","",'Ordenes_Odoo'!J816)</f>
        <v/>
      </c>
      <c r="K816" s="81">
        <f>IF('Ordenes_Odoo'!K816="","",'Ordenes_Odoo'!K816)</f>
        <v/>
      </c>
      <c r="L816" s="81">
        <f>IF('Ordenes_Odoo'!L816="","",'Ordenes_Odoo'!L816)</f>
        <v/>
      </c>
      <c r="M816" s="79">
        <f>IF('Ordenes_Odoo'!M816="","",'Ordenes_Odoo'!M816)</f>
        <v/>
      </c>
      <c r="N816" s="79">
        <f>IF('Ordenes_Odoo'!N816="","",'Ordenes_Odoo'!N816)</f>
        <v/>
      </c>
      <c r="O816" s="81">
        <f>IF('Ordenes_Odoo'!O816="","",'Ordenes_Odoo'!O816)</f>
        <v/>
      </c>
      <c r="P816" s="81">
        <f>IF('Ordenes_Odoo'!P816="","",'Ordenes_Odoo'!P816)</f>
        <v/>
      </c>
      <c r="Q816" s="79">
        <f>IF(A816="","",IFERROR(INDEX(Facturas_Odoo!$B:$B, MATCH(A816, Facturas_Odoo!$D:$D, 0)), "Sin Factura"))</f>
        <v/>
      </c>
      <c r="R816" s="80">
        <f>IF(Q816="Sin Factura","",IFERROR(INDEX(Facturas_Odoo!$A:$A, MATCH(Q816, Facturas_Odoo!$B:$B, 0)), ""))</f>
        <v/>
      </c>
      <c r="S816" s="79">
        <f>IF(Q816="Sin Factura","",IFERROR(_xlfn.XLOOKUP(1, (Facturas_Odoo!$D:$D=A816) * (Facturas_Odoo!$K:$K=I816), Facturas_Odoo!$L:$L, ""), ""))</f>
        <v/>
      </c>
      <c r="T816" s="81">
        <f>IF(Q816="Sin Factura",0,IFERROR(_xlfn.XLOOKUP(1, (Facturas_Odoo!$D:$D=A816) * (Facturas_Odoo!$K:$K=I816), Facturas_Odoo!$M:$M, 0), 0))</f>
        <v/>
      </c>
      <c r="U816" s="79">
        <f>IF(Q816="Sin Factura",0,IFERROR(_xlfn.XLOOKUP(1, (Facturas_Odoo!$D:$D=A816) * (Facturas_Odoo!$K:$K=I816), Facturas_Odoo!$N:$N, 0), 0))</f>
        <v/>
      </c>
      <c r="V816" s="79">
        <f>IF(Q816="Sin Factura",0,IFERROR(_xlfn.XLOOKUP(1, (Facturas_Odoo!$D:$D=A816) * (Facturas_Odoo!$K:$K=I816), Facturas_Odoo!$O:$O, 0), 0))</f>
        <v/>
      </c>
      <c r="W816" s="81">
        <f>IF(Q816="Sin Factura",0,IFERROR(_xlfn.XLOOKUP(1, (Facturas_Odoo!$D:$D=A816) * (Facturas_Odoo!$K:$K=I816), Facturas_Odoo!$Q:$Q, 0), 0))</f>
        <v/>
      </c>
      <c r="X816" s="79">
        <f>IF(OR(Q816="Sin Factura",Q816=""),"",IFERROR(INDEX(Pagos_Odoo!$B:$B, MATCH(Q816, Pagos_Odoo!$I:$I, 0)), "Sin Pago"))</f>
        <v/>
      </c>
      <c r="Y816" s="79">
        <f>IF(X816="Sin Pago","",IFERROR(INDEX(Pagos_Odoo!$C:$C, MATCH(X816, Pagos_Odoo!$B:$B, 0)), ""))</f>
        <v/>
      </c>
      <c r="Z816" s="80">
        <f>IF(X816="Sin Pago","",IFERROR(INDEX(Pagos_Odoo!$A:$A, MATCH(X816, Pagos_Odoo!$B:$B, 0)), ""))</f>
        <v/>
      </c>
      <c r="AA816" s="79">
        <f>IF(X816="Sin Pago","",IFERROR(INDEX(Pagos_Odoo!$F:$F, MATCH(X816, Pagos_Odoo!$B:$B, 0)), ""))</f>
        <v/>
      </c>
      <c r="AB816" s="81">
        <f>IF(X816="Sin Pago",0,IFERROR(INDEX(Pagos_Odoo!$E:$E, MATCH(X816, Pagos_Odoo!$B:$B, 0)), 0))</f>
        <v/>
      </c>
      <c r="AC816" s="79">
        <f>IF(X816="Sin Pago","",IFERROR(INDEX(Pagos_Odoo!$G:$G, MATCH(X816, Pagos_Odoo!$B:$B, 0)), ""))</f>
        <v/>
      </c>
      <c r="AD816" s="82" t="n">
        <v>0</v>
      </c>
      <c r="AE816" s="82" t="n"/>
      <c r="AF816" s="82" t="n"/>
      <c r="AG816" s="82">
        <f>IF(AN816="","",AD816+AE816+AF816)</f>
        <v/>
      </c>
      <c r="AH816" s="81">
        <f>IF(AN816="","",P816*(1-AG816))</f>
        <v/>
      </c>
      <c r="AI816" s="81">
        <f>IF(AN816="","",IF(Q816="Sin Factura",0,IFERROR(INDEX(Facturas_Odoo!$H:$H, MATCH(Q816, Facturas_Odoo!$B:$B, 0)), 0)*(1-AG816)))</f>
        <v/>
      </c>
      <c r="AJ816" s="81">
        <f>IF(AN816="","",_xlfn.LET(idVenta, AN816&amp;"",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16" s="81">
        <f>IF(AN816="","",AH816-AJ816)</f>
        <v/>
      </c>
      <c r="AL816" s="81">
        <f>IF(AN816="","",IF(Q816="Sin Factura","",AI816-AJ816))</f>
        <v/>
      </c>
      <c r="AM816" s="81">
        <f>IF(AN816="","",IF(Q816="Sin Factura",0,P816-IFERROR(INDEX(Facturas_Odoo!$H:$H, MATCH(Q816, Facturas_Odoo!$B:$B, 0)), 0)))</f>
        <v/>
      </c>
      <c r="AN816" s="79">
        <f>IF(AND(A816="", J816=""), "", IF(A816&lt;&gt;"", VALUE(MID(A816,2,LEN(A816))), AN815))</f>
        <v/>
      </c>
      <c r="AO816" s="79">
        <f>IF(AN816="","",IF(AD816=0,"OK",_xlfn.LET(monedaPago, IF(AA816="","USD",AA816), limitePermitido, IFERROR(VLOOKUP(monedaPago, Configuración!$A$2:$B$3, 2, FALSE), 0.15), IF(AD816&gt;limitePermitido, "ALERTA: EXCESO (" &amp; TEXT(limitePermitido, "0%") &amp; " máx)", "OK"))))</f>
        <v/>
      </c>
      <c r="AP816" s="79">
        <f>IF(AN816="","",IF(AE816=0,"OK",_xlfn.LET(fechaPago, Z816, fechaFactura, R816, diasCredito, IF(E816="Pago inmediato", 0, IFERROR(VALUE(MID(E816, 1, SEARCH(" ", E816)-1)),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16" s="79">
        <f>IF(AN816="","",IF(AND(N816&gt;0, AG816&gt;0), IF(Configuración!$K$2="NO", "ALERTA: DESCUENTO DOBLE NO PERMITIDO", "OK"), "OK"))</f>
        <v/>
      </c>
      <c r="AR816" s="79">
        <f>IF(AN816="","",IF(OR(AO816&lt;&gt;"OK", AP816&lt;&gt;"OK", AQ816&lt;&gt;"OK"), "⚠️ REVISAR", "OK"))</f>
        <v/>
      </c>
    </row>
    <row r="817">
      <c r="A817" s="79">
        <f>IF('Ordenes_Odoo'!A817="","",'Ordenes_Odoo'!A817)</f>
        <v/>
      </c>
      <c r="B817" s="80">
        <f>IF('Ordenes_Odoo'!B817="","",'Ordenes_Odoo'!B817)</f>
        <v/>
      </c>
      <c r="C817" s="79">
        <f>IF('Ordenes_Odoo'!C817="","",'Ordenes_Odoo'!C817)</f>
        <v/>
      </c>
      <c r="D817" s="79">
        <f>IF('Ordenes_Odoo'!D817="","",'Ordenes_Odoo'!D817)</f>
        <v/>
      </c>
      <c r="E817" s="79">
        <f>IF('Ordenes_Odoo'!E817="","",'Ordenes_Odoo'!E817)</f>
        <v/>
      </c>
      <c r="F817" s="79">
        <f>IF('Ordenes_Odoo'!F817="","",'Ordenes_Odoo'!F817)</f>
        <v/>
      </c>
      <c r="G817" s="79">
        <f>IF('Ordenes_Odoo'!G817="","",'Ordenes_Odoo'!G817)</f>
        <v/>
      </c>
      <c r="H817" s="79">
        <f>IF('Ordenes_Odoo'!H817="","",'Ordenes_Odoo'!H817)</f>
        <v/>
      </c>
      <c r="I817" s="79">
        <f>IF('Ordenes_Odoo'!I817="","",'Ordenes_Odoo'!I817)</f>
        <v/>
      </c>
      <c r="J817" s="79">
        <f>IF('Ordenes_Odoo'!J817="","",'Ordenes_Odoo'!J817)</f>
        <v/>
      </c>
      <c r="K817" s="81">
        <f>IF('Ordenes_Odoo'!K817="","",'Ordenes_Odoo'!K817)</f>
        <v/>
      </c>
      <c r="L817" s="81">
        <f>IF('Ordenes_Odoo'!L817="","",'Ordenes_Odoo'!L817)</f>
        <v/>
      </c>
      <c r="M817" s="79">
        <f>IF('Ordenes_Odoo'!M817="","",'Ordenes_Odoo'!M817)</f>
        <v/>
      </c>
      <c r="N817" s="79">
        <f>IF('Ordenes_Odoo'!N817="","",'Ordenes_Odoo'!N817)</f>
        <v/>
      </c>
      <c r="O817" s="81">
        <f>IF('Ordenes_Odoo'!O817="","",'Ordenes_Odoo'!O817)</f>
        <v/>
      </c>
      <c r="P817" s="81">
        <f>IF('Ordenes_Odoo'!P817="","",'Ordenes_Odoo'!P817)</f>
        <v/>
      </c>
      <c r="Q817" s="79">
        <f>IF(A817="","",IFERROR(INDEX(Facturas_Odoo!$B:$B, MATCH(A817, Facturas_Odoo!$D:$D, 0)), "Sin Factura"))</f>
        <v/>
      </c>
      <c r="R817" s="80">
        <f>IF(Q817="Sin Factura","",IFERROR(INDEX(Facturas_Odoo!$A:$A, MATCH(Q817, Facturas_Odoo!$B:$B, 0)), ""))</f>
        <v/>
      </c>
      <c r="S817" s="79">
        <f>IF(Q817="Sin Factura","",IFERROR(_xlfn.XLOOKUP(1, (Facturas_Odoo!$D:$D=A817) * (Facturas_Odoo!$K:$K=I817), Facturas_Odoo!$L:$L, ""), ""))</f>
        <v/>
      </c>
      <c r="T817" s="81">
        <f>IF(Q817="Sin Factura",0,IFERROR(_xlfn.XLOOKUP(1, (Facturas_Odoo!$D:$D=A817) * (Facturas_Odoo!$K:$K=I817), Facturas_Odoo!$M:$M, 0), 0))</f>
        <v/>
      </c>
      <c r="U817" s="79">
        <f>IF(Q817="Sin Factura",0,IFERROR(_xlfn.XLOOKUP(1, (Facturas_Odoo!$D:$D=A817) * (Facturas_Odoo!$K:$K=I817), Facturas_Odoo!$N:$N, 0), 0))</f>
        <v/>
      </c>
      <c r="V817" s="79">
        <f>IF(Q817="Sin Factura",0,IFERROR(_xlfn.XLOOKUP(1, (Facturas_Odoo!$D:$D=A817) * (Facturas_Odoo!$K:$K=I817), Facturas_Odoo!$O:$O, 0), 0))</f>
        <v/>
      </c>
      <c r="W817" s="81">
        <f>IF(Q817="Sin Factura",0,IFERROR(_xlfn.XLOOKUP(1, (Facturas_Odoo!$D:$D=A817) * (Facturas_Odoo!$K:$K=I817), Facturas_Odoo!$Q:$Q, 0), 0))</f>
        <v/>
      </c>
      <c r="X817" s="79">
        <f>IF(OR(Q817="Sin Factura",Q817=""),"",IFERROR(INDEX(Pagos_Odoo!$B:$B, MATCH(Q817, Pagos_Odoo!$I:$I, 0)), "Sin Pago"))</f>
        <v/>
      </c>
      <c r="Y817" s="79">
        <f>IF(X817="Sin Pago","",IFERROR(INDEX(Pagos_Odoo!$C:$C, MATCH(X817, Pagos_Odoo!$B:$B, 0)), ""))</f>
        <v/>
      </c>
      <c r="Z817" s="80">
        <f>IF(X817="Sin Pago","",IFERROR(INDEX(Pagos_Odoo!$A:$A, MATCH(X817, Pagos_Odoo!$B:$B, 0)), ""))</f>
        <v/>
      </c>
      <c r="AA817" s="79">
        <f>IF(X817="Sin Pago","",IFERROR(INDEX(Pagos_Odoo!$F:$F, MATCH(X817, Pagos_Odoo!$B:$B, 0)), ""))</f>
        <v/>
      </c>
      <c r="AB817" s="81">
        <f>IF(X817="Sin Pago",0,IFERROR(INDEX(Pagos_Odoo!$E:$E, MATCH(X817, Pagos_Odoo!$B:$B, 0)), 0))</f>
        <v/>
      </c>
      <c r="AC817" s="79">
        <f>IF(X817="Sin Pago","",IFERROR(INDEX(Pagos_Odoo!$G:$G, MATCH(X817, Pagos_Odoo!$B:$B, 0)), ""))</f>
        <v/>
      </c>
      <c r="AD817" s="82" t="n">
        <v>0</v>
      </c>
      <c r="AE817" s="82" t="n"/>
      <c r="AF817" s="82" t="n"/>
      <c r="AG817" s="82">
        <f>IF(AN817="","",AD817+AE817+AF817)</f>
        <v/>
      </c>
      <c r="AH817" s="81">
        <f>IF(AN817="","",P817*(1-AG817))</f>
        <v/>
      </c>
      <c r="AI817" s="81">
        <f>IF(AN817="","",IF(Q817="Sin Factura",0,IFERROR(INDEX(Facturas_Odoo!$H:$H, MATCH(Q817, Facturas_Odoo!$B:$B, 0)), 0)*(1-AG817)))</f>
        <v/>
      </c>
      <c r="AJ817" s="81">
        <f>IF(AN817="","",_xlfn.LET(idVenta, AN817&amp;"",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17" s="81">
        <f>IF(AN817="","",AH817-AJ817)</f>
        <v/>
      </c>
      <c r="AL817" s="81">
        <f>IF(AN817="","",IF(Q817="Sin Factura","",AI817-AJ817))</f>
        <v/>
      </c>
      <c r="AM817" s="81">
        <f>IF(AN817="","",IF(Q817="Sin Factura",0,P817-IFERROR(INDEX(Facturas_Odoo!$H:$H, MATCH(Q817, Facturas_Odoo!$B:$B, 0)), 0)))</f>
        <v/>
      </c>
      <c r="AN817" s="79">
        <f>IF(AND(A817="", J817=""), "", IF(A817&lt;&gt;"", VALUE(MID(A817,2,LEN(A817))), AN816))</f>
        <v/>
      </c>
      <c r="AO817" s="79">
        <f>IF(AN817="","",IF(AD817=0,"OK",_xlfn.LET(monedaPago, IF(AA817="","USD",AA817), limitePermitido, IFERROR(VLOOKUP(monedaPago, Configuración!$A$2:$B$3, 2, FALSE), 0.15), IF(AD817&gt;limitePermitido, "ALERTA: EXCESO (" &amp; TEXT(limitePermitido, "0%") &amp; " máx)", "OK"))))</f>
        <v/>
      </c>
      <c r="AP817" s="79">
        <f>IF(AN817="","",IF(AE817=0,"OK",_xlfn.LET(fechaPago, Z817, fechaFactura, R817, diasCredito, IF(E817="Pago inmediato", 0, IFERROR(VALUE(MID(E817, 1, SEARCH(" ", E817)-1)),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17" s="79">
        <f>IF(AN817="","",IF(AND(N817&gt;0, AG817&gt;0), IF(Configuración!$K$2="NO", "ALERTA: DESCUENTO DOBLE NO PERMITIDO", "OK"), "OK"))</f>
        <v/>
      </c>
      <c r="AR817" s="79">
        <f>IF(AN817="","",IF(OR(AO817&lt;&gt;"OK", AP817&lt;&gt;"OK", AQ817&lt;&gt;"OK"), "⚠️ REVISAR", "OK"))</f>
        <v/>
      </c>
    </row>
    <row r="818">
      <c r="A818" s="79">
        <f>IF('Ordenes_Odoo'!A818="","",'Ordenes_Odoo'!A818)</f>
        <v/>
      </c>
      <c r="B818" s="80">
        <f>IF('Ordenes_Odoo'!B818="","",'Ordenes_Odoo'!B818)</f>
        <v/>
      </c>
      <c r="C818" s="79">
        <f>IF('Ordenes_Odoo'!C818="","",'Ordenes_Odoo'!C818)</f>
        <v/>
      </c>
      <c r="D818" s="79">
        <f>IF('Ordenes_Odoo'!D818="","",'Ordenes_Odoo'!D818)</f>
        <v/>
      </c>
      <c r="E818" s="79">
        <f>IF('Ordenes_Odoo'!E818="","",'Ordenes_Odoo'!E818)</f>
        <v/>
      </c>
      <c r="F818" s="79">
        <f>IF('Ordenes_Odoo'!F818="","",'Ordenes_Odoo'!F818)</f>
        <v/>
      </c>
      <c r="G818" s="79">
        <f>IF('Ordenes_Odoo'!G818="","",'Ordenes_Odoo'!G818)</f>
        <v/>
      </c>
      <c r="H818" s="79">
        <f>IF('Ordenes_Odoo'!H818="","",'Ordenes_Odoo'!H818)</f>
        <v/>
      </c>
      <c r="I818" s="79">
        <f>IF('Ordenes_Odoo'!I818="","",'Ordenes_Odoo'!I818)</f>
        <v/>
      </c>
      <c r="J818" s="79">
        <f>IF('Ordenes_Odoo'!J818="","",'Ordenes_Odoo'!J818)</f>
        <v/>
      </c>
      <c r="K818" s="81">
        <f>IF('Ordenes_Odoo'!K818="","",'Ordenes_Odoo'!K818)</f>
        <v/>
      </c>
      <c r="L818" s="81">
        <f>IF('Ordenes_Odoo'!L818="","",'Ordenes_Odoo'!L818)</f>
        <v/>
      </c>
      <c r="M818" s="79">
        <f>IF('Ordenes_Odoo'!M818="","",'Ordenes_Odoo'!M818)</f>
        <v/>
      </c>
      <c r="N818" s="79">
        <f>IF('Ordenes_Odoo'!N818="","",'Ordenes_Odoo'!N818)</f>
        <v/>
      </c>
      <c r="O818" s="81">
        <f>IF('Ordenes_Odoo'!O818="","",'Ordenes_Odoo'!O818)</f>
        <v/>
      </c>
      <c r="P818" s="81">
        <f>IF('Ordenes_Odoo'!P818="","",'Ordenes_Odoo'!P818)</f>
        <v/>
      </c>
      <c r="Q818" s="79">
        <f>IF(A818="","",IFERROR(INDEX(Facturas_Odoo!$B:$B, MATCH(A818, Facturas_Odoo!$D:$D, 0)), "Sin Factura"))</f>
        <v/>
      </c>
      <c r="R818" s="80">
        <f>IF(Q818="Sin Factura","",IFERROR(INDEX(Facturas_Odoo!$A:$A, MATCH(Q818, Facturas_Odoo!$B:$B, 0)), ""))</f>
        <v/>
      </c>
      <c r="S818" s="79">
        <f>IF(Q818="Sin Factura","",IFERROR(_xlfn.XLOOKUP(1, (Facturas_Odoo!$D:$D=A818) * (Facturas_Odoo!$K:$K=I818), Facturas_Odoo!$L:$L, ""), ""))</f>
        <v/>
      </c>
      <c r="T818" s="81">
        <f>IF(Q818="Sin Factura",0,IFERROR(_xlfn.XLOOKUP(1, (Facturas_Odoo!$D:$D=A818) * (Facturas_Odoo!$K:$K=I818), Facturas_Odoo!$M:$M, 0), 0))</f>
        <v/>
      </c>
      <c r="U818" s="79">
        <f>IF(Q818="Sin Factura",0,IFERROR(_xlfn.XLOOKUP(1, (Facturas_Odoo!$D:$D=A818) * (Facturas_Odoo!$K:$K=I818), Facturas_Odoo!$N:$N, 0), 0))</f>
        <v/>
      </c>
      <c r="V818" s="79">
        <f>IF(Q818="Sin Factura",0,IFERROR(_xlfn.XLOOKUP(1, (Facturas_Odoo!$D:$D=A818) * (Facturas_Odoo!$K:$K=I818), Facturas_Odoo!$O:$O, 0), 0))</f>
        <v/>
      </c>
      <c r="W818" s="81">
        <f>IF(Q818="Sin Factura",0,IFERROR(_xlfn.XLOOKUP(1, (Facturas_Odoo!$D:$D=A818) * (Facturas_Odoo!$K:$K=I818), Facturas_Odoo!$Q:$Q, 0), 0))</f>
        <v/>
      </c>
      <c r="X818" s="79">
        <f>IF(OR(Q818="Sin Factura",Q818=""),"",IFERROR(INDEX(Pagos_Odoo!$B:$B, MATCH(Q818, Pagos_Odoo!$I:$I, 0)), "Sin Pago"))</f>
        <v/>
      </c>
      <c r="Y818" s="79">
        <f>IF(X818="Sin Pago","",IFERROR(INDEX(Pagos_Odoo!$C:$C, MATCH(X818, Pagos_Odoo!$B:$B, 0)), ""))</f>
        <v/>
      </c>
      <c r="Z818" s="80">
        <f>IF(X818="Sin Pago","",IFERROR(INDEX(Pagos_Odoo!$A:$A, MATCH(X818, Pagos_Odoo!$B:$B, 0)), ""))</f>
        <v/>
      </c>
      <c r="AA818" s="79">
        <f>IF(X818="Sin Pago","",IFERROR(INDEX(Pagos_Odoo!$F:$F, MATCH(X818, Pagos_Odoo!$B:$B, 0)), ""))</f>
        <v/>
      </c>
      <c r="AB818" s="81">
        <f>IF(X818="Sin Pago",0,IFERROR(INDEX(Pagos_Odoo!$E:$E, MATCH(X818, Pagos_Odoo!$B:$B, 0)), 0))</f>
        <v/>
      </c>
      <c r="AC818" s="79">
        <f>IF(X818="Sin Pago","",IFERROR(INDEX(Pagos_Odoo!$G:$G, MATCH(X818, Pagos_Odoo!$B:$B, 0)), ""))</f>
        <v/>
      </c>
      <c r="AD818" s="82" t="n">
        <v>0</v>
      </c>
      <c r="AE818" s="82" t="n"/>
      <c r="AF818" s="82" t="n"/>
      <c r="AG818" s="82">
        <f>IF(AN818="","",AD818+AE818+AF818)</f>
        <v/>
      </c>
      <c r="AH818" s="81">
        <f>IF(AN818="","",P818*(1-AG818))</f>
        <v/>
      </c>
      <c r="AI818" s="81">
        <f>IF(AN818="","",IF(Q818="Sin Factura",0,IFERROR(INDEX(Facturas_Odoo!$H:$H, MATCH(Q818, Facturas_Odoo!$B:$B, 0)), 0)*(1-AG818)))</f>
        <v/>
      </c>
      <c r="AJ818" s="81">
        <f>IF(AN818="","",_xlfn.LET(idVenta, AN818&amp;"",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18" s="81">
        <f>IF(AN818="","",AH818-AJ818)</f>
        <v/>
      </c>
      <c r="AL818" s="81">
        <f>IF(AN818="","",IF(Q818="Sin Factura","",AI818-AJ818))</f>
        <v/>
      </c>
      <c r="AM818" s="81">
        <f>IF(AN818="","",IF(Q818="Sin Factura",0,P818-IFERROR(INDEX(Facturas_Odoo!$H:$H, MATCH(Q818, Facturas_Odoo!$B:$B, 0)), 0)))</f>
        <v/>
      </c>
      <c r="AN818" s="79">
        <f>IF(AND(A818="", J818=""), "", IF(A818&lt;&gt;"", VALUE(MID(A818,2,LEN(A818))), AN817))</f>
        <v/>
      </c>
      <c r="AO818" s="79">
        <f>IF(AN818="","",IF(AD818=0,"OK",_xlfn.LET(monedaPago, IF(AA818="","USD",AA818), limitePermitido, IFERROR(VLOOKUP(monedaPago, Configuración!$A$2:$B$3, 2, FALSE), 0.15), IF(AD818&gt;limitePermitido, "ALERTA: EXCESO (" &amp; TEXT(limitePermitido, "0%") &amp; " máx)", "OK"))))</f>
        <v/>
      </c>
      <c r="AP818" s="79">
        <f>IF(AN818="","",IF(AE818=0,"OK",_xlfn.LET(fechaPago, Z818, fechaFactura, R818, diasCredito, IF(E818="Pago inmediato", 0, IFERROR(VALUE(MID(E818, 1, SEARCH(" ", E818)-1)),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18" s="79">
        <f>IF(AN818="","",IF(AND(N818&gt;0, AG818&gt;0), IF(Configuración!$K$2="NO", "ALERTA: DESCUENTO DOBLE NO PERMITIDO", "OK"), "OK"))</f>
        <v/>
      </c>
      <c r="AR818" s="79">
        <f>IF(AN818="","",IF(OR(AO818&lt;&gt;"OK", AP818&lt;&gt;"OK", AQ818&lt;&gt;"OK"), "⚠️ REVISAR", "OK"))</f>
        <v/>
      </c>
    </row>
    <row r="819">
      <c r="A819" s="79">
        <f>IF('Ordenes_Odoo'!A819="","",'Ordenes_Odoo'!A819)</f>
        <v/>
      </c>
      <c r="B819" s="80">
        <f>IF('Ordenes_Odoo'!B819="","",'Ordenes_Odoo'!B819)</f>
        <v/>
      </c>
      <c r="C819" s="79">
        <f>IF('Ordenes_Odoo'!C819="","",'Ordenes_Odoo'!C819)</f>
        <v/>
      </c>
      <c r="D819" s="79">
        <f>IF('Ordenes_Odoo'!D819="","",'Ordenes_Odoo'!D819)</f>
        <v/>
      </c>
      <c r="E819" s="79">
        <f>IF('Ordenes_Odoo'!E819="","",'Ordenes_Odoo'!E819)</f>
        <v/>
      </c>
      <c r="F819" s="79">
        <f>IF('Ordenes_Odoo'!F819="","",'Ordenes_Odoo'!F819)</f>
        <v/>
      </c>
      <c r="G819" s="79">
        <f>IF('Ordenes_Odoo'!G819="","",'Ordenes_Odoo'!G819)</f>
        <v/>
      </c>
      <c r="H819" s="79">
        <f>IF('Ordenes_Odoo'!H819="","",'Ordenes_Odoo'!H819)</f>
        <v/>
      </c>
      <c r="I819" s="79">
        <f>IF('Ordenes_Odoo'!I819="","",'Ordenes_Odoo'!I819)</f>
        <v/>
      </c>
      <c r="J819" s="79">
        <f>IF('Ordenes_Odoo'!J819="","",'Ordenes_Odoo'!J819)</f>
        <v/>
      </c>
      <c r="K819" s="81">
        <f>IF('Ordenes_Odoo'!K819="","",'Ordenes_Odoo'!K819)</f>
        <v/>
      </c>
      <c r="L819" s="81">
        <f>IF('Ordenes_Odoo'!L819="","",'Ordenes_Odoo'!L819)</f>
        <v/>
      </c>
      <c r="M819" s="79">
        <f>IF('Ordenes_Odoo'!M819="","",'Ordenes_Odoo'!M819)</f>
        <v/>
      </c>
      <c r="N819" s="79">
        <f>IF('Ordenes_Odoo'!N819="","",'Ordenes_Odoo'!N819)</f>
        <v/>
      </c>
      <c r="O819" s="81">
        <f>IF('Ordenes_Odoo'!O819="","",'Ordenes_Odoo'!O819)</f>
        <v/>
      </c>
      <c r="P819" s="81">
        <f>IF('Ordenes_Odoo'!P819="","",'Ordenes_Odoo'!P819)</f>
        <v/>
      </c>
      <c r="Q819" s="79">
        <f>IF(A819="","",IFERROR(INDEX(Facturas_Odoo!$B:$B, MATCH(A819, Facturas_Odoo!$D:$D, 0)), "Sin Factura"))</f>
        <v/>
      </c>
      <c r="R819" s="80">
        <f>IF(Q819="Sin Factura","",IFERROR(INDEX(Facturas_Odoo!$A:$A, MATCH(Q819, Facturas_Odoo!$B:$B, 0)), ""))</f>
        <v/>
      </c>
      <c r="S819" s="79">
        <f>IF(Q819="Sin Factura","",IFERROR(_xlfn.XLOOKUP(1, (Facturas_Odoo!$D:$D=A819) * (Facturas_Odoo!$K:$K=I819), Facturas_Odoo!$L:$L, ""), ""))</f>
        <v/>
      </c>
      <c r="T819" s="81">
        <f>IF(Q819="Sin Factura",0,IFERROR(_xlfn.XLOOKUP(1, (Facturas_Odoo!$D:$D=A819) * (Facturas_Odoo!$K:$K=I819), Facturas_Odoo!$M:$M, 0), 0))</f>
        <v/>
      </c>
      <c r="U819" s="79">
        <f>IF(Q819="Sin Factura",0,IFERROR(_xlfn.XLOOKUP(1, (Facturas_Odoo!$D:$D=A819) * (Facturas_Odoo!$K:$K=I819), Facturas_Odoo!$N:$N, 0), 0))</f>
        <v/>
      </c>
      <c r="V819" s="79">
        <f>IF(Q819="Sin Factura",0,IFERROR(_xlfn.XLOOKUP(1, (Facturas_Odoo!$D:$D=A819) * (Facturas_Odoo!$K:$K=I819), Facturas_Odoo!$O:$O, 0), 0))</f>
        <v/>
      </c>
      <c r="W819" s="81">
        <f>IF(Q819="Sin Factura",0,IFERROR(_xlfn.XLOOKUP(1, (Facturas_Odoo!$D:$D=A819) * (Facturas_Odoo!$K:$K=I819), Facturas_Odoo!$Q:$Q, 0), 0))</f>
        <v/>
      </c>
      <c r="X819" s="79">
        <f>IF(OR(Q819="Sin Factura",Q819=""),"",IFERROR(INDEX(Pagos_Odoo!$B:$B, MATCH(Q819, Pagos_Odoo!$I:$I, 0)), "Sin Pago"))</f>
        <v/>
      </c>
      <c r="Y819" s="79">
        <f>IF(X819="Sin Pago","",IFERROR(INDEX(Pagos_Odoo!$C:$C, MATCH(X819, Pagos_Odoo!$B:$B, 0)), ""))</f>
        <v/>
      </c>
      <c r="Z819" s="80">
        <f>IF(X819="Sin Pago","",IFERROR(INDEX(Pagos_Odoo!$A:$A, MATCH(X819, Pagos_Odoo!$B:$B, 0)), ""))</f>
        <v/>
      </c>
      <c r="AA819" s="79">
        <f>IF(X819="Sin Pago","",IFERROR(INDEX(Pagos_Odoo!$F:$F, MATCH(X819, Pagos_Odoo!$B:$B, 0)), ""))</f>
        <v/>
      </c>
      <c r="AB819" s="81">
        <f>IF(X819="Sin Pago",0,IFERROR(INDEX(Pagos_Odoo!$E:$E, MATCH(X819, Pagos_Odoo!$B:$B, 0)), 0))</f>
        <v/>
      </c>
      <c r="AC819" s="79">
        <f>IF(X819="Sin Pago","",IFERROR(INDEX(Pagos_Odoo!$G:$G, MATCH(X819, Pagos_Odoo!$B:$B, 0)), ""))</f>
        <v/>
      </c>
      <c r="AD819" s="82" t="n">
        <v>0</v>
      </c>
      <c r="AE819" s="82" t="n"/>
      <c r="AF819" s="82" t="n"/>
      <c r="AG819" s="82">
        <f>IF(AN819="","",AD819+AE819+AF819)</f>
        <v/>
      </c>
      <c r="AH819" s="81">
        <f>IF(AN819="","",P819*(1-AG819))</f>
        <v/>
      </c>
      <c r="AI819" s="81">
        <f>IF(AN819="","",IF(Q819="Sin Factura",0,IFERROR(INDEX(Facturas_Odoo!$H:$H, MATCH(Q819, Facturas_Odoo!$B:$B, 0)), 0)*(1-AG819)))</f>
        <v/>
      </c>
      <c r="AJ819" s="81">
        <f>IF(AN819="","",_xlfn.LET(idVenta, AN819&amp;"",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19" s="81">
        <f>IF(AN819="","",AH819-AJ819)</f>
        <v/>
      </c>
      <c r="AL819" s="81">
        <f>IF(AN819="","",IF(Q819="Sin Factura","",AI819-AJ819))</f>
        <v/>
      </c>
      <c r="AM819" s="81">
        <f>IF(AN819="","",IF(Q819="Sin Factura",0,P819-IFERROR(INDEX(Facturas_Odoo!$H:$H, MATCH(Q819, Facturas_Odoo!$B:$B, 0)), 0)))</f>
        <v/>
      </c>
      <c r="AN819" s="79">
        <f>IF(AND(A819="", J819=""), "", IF(A819&lt;&gt;"", VALUE(MID(A819,2,LEN(A819))), AN818))</f>
        <v/>
      </c>
      <c r="AO819" s="79">
        <f>IF(AN819="","",IF(AD819=0,"OK",_xlfn.LET(monedaPago, IF(AA819="","USD",AA819), limitePermitido, IFERROR(VLOOKUP(monedaPago, Configuración!$A$2:$B$3, 2, FALSE), 0.15), IF(AD819&gt;limitePermitido, "ALERTA: EXCESO (" &amp; TEXT(limitePermitido, "0%") &amp; " máx)", "OK"))))</f>
        <v/>
      </c>
      <c r="AP819" s="79">
        <f>IF(AN819="","",IF(AE819=0,"OK",_xlfn.LET(fechaPago, Z819, fechaFactura, R819, diasCredito, IF(E819="Pago inmediato", 0, IFERROR(VALUE(MID(E819, 1, SEARCH(" ", E819)-1)),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19" s="79">
        <f>IF(AN819="","",IF(AND(N819&gt;0, AG819&gt;0), IF(Configuración!$K$2="NO", "ALERTA: DESCUENTO DOBLE NO PERMITIDO", "OK"), "OK"))</f>
        <v/>
      </c>
      <c r="AR819" s="79">
        <f>IF(AN819="","",IF(OR(AO819&lt;&gt;"OK", AP819&lt;&gt;"OK", AQ819&lt;&gt;"OK"), "⚠️ REVISAR", "OK"))</f>
        <v/>
      </c>
    </row>
    <row r="820">
      <c r="A820" s="79">
        <f>IF('Ordenes_Odoo'!A820="","",'Ordenes_Odoo'!A820)</f>
        <v/>
      </c>
      <c r="B820" s="80">
        <f>IF('Ordenes_Odoo'!B820="","",'Ordenes_Odoo'!B820)</f>
        <v/>
      </c>
      <c r="C820" s="79">
        <f>IF('Ordenes_Odoo'!C820="","",'Ordenes_Odoo'!C820)</f>
        <v/>
      </c>
      <c r="D820" s="79">
        <f>IF('Ordenes_Odoo'!D820="","",'Ordenes_Odoo'!D820)</f>
        <v/>
      </c>
      <c r="E820" s="79">
        <f>IF('Ordenes_Odoo'!E820="","",'Ordenes_Odoo'!E820)</f>
        <v/>
      </c>
      <c r="F820" s="79">
        <f>IF('Ordenes_Odoo'!F820="","",'Ordenes_Odoo'!F820)</f>
        <v/>
      </c>
      <c r="G820" s="79">
        <f>IF('Ordenes_Odoo'!G820="","",'Ordenes_Odoo'!G820)</f>
        <v/>
      </c>
      <c r="H820" s="79">
        <f>IF('Ordenes_Odoo'!H820="","",'Ordenes_Odoo'!H820)</f>
        <v/>
      </c>
      <c r="I820" s="79">
        <f>IF('Ordenes_Odoo'!I820="","",'Ordenes_Odoo'!I820)</f>
        <v/>
      </c>
      <c r="J820" s="79">
        <f>IF('Ordenes_Odoo'!J820="","",'Ordenes_Odoo'!J820)</f>
        <v/>
      </c>
      <c r="K820" s="81">
        <f>IF('Ordenes_Odoo'!K820="","",'Ordenes_Odoo'!K820)</f>
        <v/>
      </c>
      <c r="L820" s="81">
        <f>IF('Ordenes_Odoo'!L820="","",'Ordenes_Odoo'!L820)</f>
        <v/>
      </c>
      <c r="M820" s="79">
        <f>IF('Ordenes_Odoo'!M820="","",'Ordenes_Odoo'!M820)</f>
        <v/>
      </c>
      <c r="N820" s="79">
        <f>IF('Ordenes_Odoo'!N820="","",'Ordenes_Odoo'!N820)</f>
        <v/>
      </c>
      <c r="O820" s="81">
        <f>IF('Ordenes_Odoo'!O820="","",'Ordenes_Odoo'!O820)</f>
        <v/>
      </c>
      <c r="P820" s="81">
        <f>IF('Ordenes_Odoo'!P820="","",'Ordenes_Odoo'!P820)</f>
        <v/>
      </c>
      <c r="Q820" s="79">
        <f>IF(A820="","",IFERROR(INDEX(Facturas_Odoo!$B:$B, MATCH(A820, Facturas_Odoo!$D:$D, 0)), "Sin Factura"))</f>
        <v/>
      </c>
      <c r="R820" s="80">
        <f>IF(Q820="Sin Factura","",IFERROR(INDEX(Facturas_Odoo!$A:$A, MATCH(Q820, Facturas_Odoo!$B:$B, 0)), ""))</f>
        <v/>
      </c>
      <c r="S820" s="79">
        <f>IF(Q820="Sin Factura","",IFERROR(_xlfn.XLOOKUP(1, (Facturas_Odoo!$D:$D=A820) * (Facturas_Odoo!$K:$K=I820), Facturas_Odoo!$L:$L, ""), ""))</f>
        <v/>
      </c>
      <c r="T820" s="81">
        <f>IF(Q820="Sin Factura",0,IFERROR(_xlfn.XLOOKUP(1, (Facturas_Odoo!$D:$D=A820) * (Facturas_Odoo!$K:$K=I820), Facturas_Odoo!$M:$M, 0), 0))</f>
        <v/>
      </c>
      <c r="U820" s="79">
        <f>IF(Q820="Sin Factura",0,IFERROR(_xlfn.XLOOKUP(1, (Facturas_Odoo!$D:$D=A820) * (Facturas_Odoo!$K:$K=I820), Facturas_Odoo!$N:$N, 0), 0))</f>
        <v/>
      </c>
      <c r="V820" s="79">
        <f>IF(Q820="Sin Factura",0,IFERROR(_xlfn.XLOOKUP(1, (Facturas_Odoo!$D:$D=A820) * (Facturas_Odoo!$K:$K=I820), Facturas_Odoo!$O:$O, 0), 0))</f>
        <v/>
      </c>
      <c r="W820" s="81">
        <f>IF(Q820="Sin Factura",0,IFERROR(_xlfn.XLOOKUP(1, (Facturas_Odoo!$D:$D=A820) * (Facturas_Odoo!$K:$K=I820), Facturas_Odoo!$Q:$Q, 0), 0))</f>
        <v/>
      </c>
      <c r="X820" s="79">
        <f>IF(OR(Q820="Sin Factura",Q820=""),"",IFERROR(INDEX(Pagos_Odoo!$B:$B, MATCH(Q820, Pagos_Odoo!$I:$I, 0)), "Sin Pago"))</f>
        <v/>
      </c>
      <c r="Y820" s="79">
        <f>IF(X820="Sin Pago","",IFERROR(INDEX(Pagos_Odoo!$C:$C, MATCH(X820, Pagos_Odoo!$B:$B, 0)), ""))</f>
        <v/>
      </c>
      <c r="Z820" s="80">
        <f>IF(X820="Sin Pago","",IFERROR(INDEX(Pagos_Odoo!$A:$A, MATCH(X820, Pagos_Odoo!$B:$B, 0)), ""))</f>
        <v/>
      </c>
      <c r="AA820" s="79">
        <f>IF(X820="Sin Pago","",IFERROR(INDEX(Pagos_Odoo!$F:$F, MATCH(X820, Pagos_Odoo!$B:$B, 0)), ""))</f>
        <v/>
      </c>
      <c r="AB820" s="81">
        <f>IF(X820="Sin Pago",0,IFERROR(INDEX(Pagos_Odoo!$E:$E, MATCH(X820, Pagos_Odoo!$B:$B, 0)), 0))</f>
        <v/>
      </c>
      <c r="AC820" s="79">
        <f>IF(X820="Sin Pago","",IFERROR(INDEX(Pagos_Odoo!$G:$G, MATCH(X820, Pagos_Odoo!$B:$B, 0)), ""))</f>
        <v/>
      </c>
      <c r="AD820" s="82" t="n">
        <v>0</v>
      </c>
      <c r="AE820" s="82" t="n"/>
      <c r="AF820" s="82" t="n"/>
      <c r="AG820" s="82">
        <f>IF(AN820="","",AD820+AE820+AF820)</f>
        <v/>
      </c>
      <c r="AH820" s="81">
        <f>IF(AN820="","",P820*(1-AG820))</f>
        <v/>
      </c>
      <c r="AI820" s="81">
        <f>IF(AN820="","",IF(Q820="Sin Factura",0,IFERROR(INDEX(Facturas_Odoo!$H:$H, MATCH(Q820, Facturas_Odoo!$B:$B, 0)), 0)*(1-AG820)))</f>
        <v/>
      </c>
      <c r="AJ820" s="81">
        <f>IF(AN820="","",_xlfn.LET(idVenta, AN820&amp;"",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20" s="81">
        <f>IF(AN820="","",AH820-AJ820)</f>
        <v/>
      </c>
      <c r="AL820" s="81">
        <f>IF(AN820="","",IF(Q820="Sin Factura","",AI820-AJ820))</f>
        <v/>
      </c>
      <c r="AM820" s="81">
        <f>IF(AN820="","",IF(Q820="Sin Factura",0,P820-IFERROR(INDEX(Facturas_Odoo!$H:$H, MATCH(Q820, Facturas_Odoo!$B:$B, 0)), 0)))</f>
        <v/>
      </c>
      <c r="AN820" s="79">
        <f>IF(AND(A820="", J820=""), "", IF(A820&lt;&gt;"", VALUE(MID(A820,2,LEN(A820))), AN819))</f>
        <v/>
      </c>
      <c r="AO820" s="79">
        <f>IF(AN820="","",IF(AD820=0,"OK",_xlfn.LET(monedaPago, IF(AA820="","USD",AA820), limitePermitido, IFERROR(VLOOKUP(monedaPago, Configuración!$A$2:$B$3, 2, FALSE), 0.15), IF(AD820&gt;limitePermitido, "ALERTA: EXCESO (" &amp; TEXT(limitePermitido, "0%") &amp; " máx)", "OK"))))</f>
        <v/>
      </c>
      <c r="AP820" s="79">
        <f>IF(AN820="","",IF(AE820=0,"OK",_xlfn.LET(fechaPago, Z820, fechaFactura, R820, diasCredito, IF(E820="Pago inmediato", 0, IFERROR(VALUE(MID(E820, 1, SEARCH(" ", E820)-1)),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20" s="79">
        <f>IF(AN820="","",IF(AND(N820&gt;0, AG820&gt;0), IF(Configuración!$K$2="NO", "ALERTA: DESCUENTO DOBLE NO PERMITIDO", "OK"), "OK"))</f>
        <v/>
      </c>
      <c r="AR820" s="79">
        <f>IF(AN820="","",IF(OR(AO820&lt;&gt;"OK", AP820&lt;&gt;"OK", AQ820&lt;&gt;"OK"), "⚠️ REVISAR", "OK"))</f>
        <v/>
      </c>
    </row>
    <row r="821">
      <c r="A821" s="79">
        <f>IF('Ordenes_Odoo'!A821="","",'Ordenes_Odoo'!A821)</f>
        <v/>
      </c>
      <c r="B821" s="80">
        <f>IF('Ordenes_Odoo'!B821="","",'Ordenes_Odoo'!B821)</f>
        <v/>
      </c>
      <c r="C821" s="79">
        <f>IF('Ordenes_Odoo'!C821="","",'Ordenes_Odoo'!C821)</f>
        <v/>
      </c>
      <c r="D821" s="79">
        <f>IF('Ordenes_Odoo'!D821="","",'Ordenes_Odoo'!D821)</f>
        <v/>
      </c>
      <c r="E821" s="79">
        <f>IF('Ordenes_Odoo'!E821="","",'Ordenes_Odoo'!E821)</f>
        <v/>
      </c>
      <c r="F821" s="79">
        <f>IF('Ordenes_Odoo'!F821="","",'Ordenes_Odoo'!F821)</f>
        <v/>
      </c>
      <c r="G821" s="79">
        <f>IF('Ordenes_Odoo'!G821="","",'Ordenes_Odoo'!G821)</f>
        <v/>
      </c>
      <c r="H821" s="79">
        <f>IF('Ordenes_Odoo'!H821="","",'Ordenes_Odoo'!H821)</f>
        <v/>
      </c>
      <c r="I821" s="79">
        <f>IF('Ordenes_Odoo'!I821="","",'Ordenes_Odoo'!I821)</f>
        <v/>
      </c>
      <c r="J821" s="79">
        <f>IF('Ordenes_Odoo'!J821="","",'Ordenes_Odoo'!J821)</f>
        <v/>
      </c>
      <c r="K821" s="81">
        <f>IF('Ordenes_Odoo'!K821="","",'Ordenes_Odoo'!K821)</f>
        <v/>
      </c>
      <c r="L821" s="81">
        <f>IF('Ordenes_Odoo'!L821="","",'Ordenes_Odoo'!L821)</f>
        <v/>
      </c>
      <c r="M821" s="79">
        <f>IF('Ordenes_Odoo'!M821="","",'Ordenes_Odoo'!M821)</f>
        <v/>
      </c>
      <c r="N821" s="79">
        <f>IF('Ordenes_Odoo'!N821="","",'Ordenes_Odoo'!N821)</f>
        <v/>
      </c>
      <c r="O821" s="81">
        <f>IF('Ordenes_Odoo'!O821="","",'Ordenes_Odoo'!O821)</f>
        <v/>
      </c>
      <c r="P821" s="81">
        <f>IF('Ordenes_Odoo'!P821="","",'Ordenes_Odoo'!P821)</f>
        <v/>
      </c>
      <c r="Q821" s="79">
        <f>IF(A821="","",IFERROR(INDEX(Facturas_Odoo!$B:$B, MATCH(A821, Facturas_Odoo!$D:$D, 0)), "Sin Factura"))</f>
        <v/>
      </c>
      <c r="R821" s="80">
        <f>IF(Q821="Sin Factura","",IFERROR(INDEX(Facturas_Odoo!$A:$A, MATCH(Q821, Facturas_Odoo!$B:$B, 0)), ""))</f>
        <v/>
      </c>
      <c r="S821" s="79">
        <f>IF(Q821="Sin Factura","",IFERROR(_xlfn.XLOOKUP(1, (Facturas_Odoo!$D:$D=A821) * (Facturas_Odoo!$K:$K=I821), Facturas_Odoo!$L:$L, ""), ""))</f>
        <v/>
      </c>
      <c r="T821" s="81">
        <f>IF(Q821="Sin Factura",0,IFERROR(_xlfn.XLOOKUP(1, (Facturas_Odoo!$D:$D=A821) * (Facturas_Odoo!$K:$K=I821), Facturas_Odoo!$M:$M, 0), 0))</f>
        <v/>
      </c>
      <c r="U821" s="79">
        <f>IF(Q821="Sin Factura",0,IFERROR(_xlfn.XLOOKUP(1, (Facturas_Odoo!$D:$D=A821) * (Facturas_Odoo!$K:$K=I821), Facturas_Odoo!$N:$N, 0), 0))</f>
        <v/>
      </c>
      <c r="V821" s="79">
        <f>IF(Q821="Sin Factura",0,IFERROR(_xlfn.XLOOKUP(1, (Facturas_Odoo!$D:$D=A821) * (Facturas_Odoo!$K:$K=I821), Facturas_Odoo!$O:$O, 0), 0))</f>
        <v/>
      </c>
      <c r="W821" s="81">
        <f>IF(Q821="Sin Factura",0,IFERROR(_xlfn.XLOOKUP(1, (Facturas_Odoo!$D:$D=A821) * (Facturas_Odoo!$K:$K=I821), Facturas_Odoo!$Q:$Q, 0), 0))</f>
        <v/>
      </c>
      <c r="X821" s="79">
        <f>IF(OR(Q821="Sin Factura",Q821=""),"",IFERROR(INDEX(Pagos_Odoo!$B:$B, MATCH(Q821, Pagos_Odoo!$I:$I, 0)), "Sin Pago"))</f>
        <v/>
      </c>
      <c r="Y821" s="79">
        <f>IF(X821="Sin Pago","",IFERROR(INDEX(Pagos_Odoo!$C:$C, MATCH(X821, Pagos_Odoo!$B:$B, 0)), ""))</f>
        <v/>
      </c>
      <c r="Z821" s="80">
        <f>IF(X821="Sin Pago","",IFERROR(INDEX(Pagos_Odoo!$A:$A, MATCH(X821, Pagos_Odoo!$B:$B, 0)), ""))</f>
        <v/>
      </c>
      <c r="AA821" s="79">
        <f>IF(X821="Sin Pago","",IFERROR(INDEX(Pagos_Odoo!$F:$F, MATCH(X821, Pagos_Odoo!$B:$B, 0)), ""))</f>
        <v/>
      </c>
      <c r="AB821" s="81">
        <f>IF(X821="Sin Pago",0,IFERROR(INDEX(Pagos_Odoo!$E:$E, MATCH(X821, Pagos_Odoo!$B:$B, 0)), 0))</f>
        <v/>
      </c>
      <c r="AC821" s="79">
        <f>IF(X821="Sin Pago","",IFERROR(INDEX(Pagos_Odoo!$G:$G, MATCH(X821, Pagos_Odoo!$B:$B, 0)), ""))</f>
        <v/>
      </c>
      <c r="AD821" s="82" t="n">
        <v>0</v>
      </c>
      <c r="AE821" s="82" t="n"/>
      <c r="AF821" s="82" t="n"/>
      <c r="AG821" s="82">
        <f>IF(AN821="","",AD821+AE821+AF821)</f>
        <v/>
      </c>
      <c r="AH821" s="81">
        <f>IF(AN821="","",P821*(1-AG821))</f>
        <v/>
      </c>
      <c r="AI821" s="81">
        <f>IF(AN821="","",IF(Q821="Sin Factura",0,IFERROR(INDEX(Facturas_Odoo!$H:$H, MATCH(Q821, Facturas_Odoo!$B:$B, 0)), 0)*(1-AG821)))</f>
        <v/>
      </c>
      <c r="AJ821" s="81">
        <f>IF(AN821="","",_xlfn.LET(idVenta, AN821&amp;"",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21" s="81">
        <f>IF(AN821="","",AH821-AJ821)</f>
        <v/>
      </c>
      <c r="AL821" s="81">
        <f>IF(AN821="","",IF(Q821="Sin Factura","",AI821-AJ821))</f>
        <v/>
      </c>
      <c r="AM821" s="81">
        <f>IF(AN821="","",IF(Q821="Sin Factura",0,P821-IFERROR(INDEX(Facturas_Odoo!$H:$H, MATCH(Q821, Facturas_Odoo!$B:$B, 0)), 0)))</f>
        <v/>
      </c>
      <c r="AN821" s="79">
        <f>IF(AND(A821="", J821=""), "", IF(A821&lt;&gt;"", VALUE(MID(A821,2,LEN(A821))), AN820))</f>
        <v/>
      </c>
      <c r="AO821" s="79">
        <f>IF(AN821="","",IF(AD821=0,"OK",_xlfn.LET(monedaPago, IF(AA821="","USD",AA821), limitePermitido, IFERROR(VLOOKUP(monedaPago, Configuración!$A$2:$B$3, 2, FALSE), 0.15), IF(AD821&gt;limitePermitido, "ALERTA: EXCESO (" &amp; TEXT(limitePermitido, "0%") &amp; " máx)", "OK"))))</f>
        <v/>
      </c>
      <c r="AP821" s="79">
        <f>IF(AN821="","",IF(AE821=0,"OK",_xlfn.LET(fechaPago, Z821, fechaFactura, R821, diasCredito, IF(E821="Pago inmediato", 0, IFERROR(VALUE(MID(E821, 1, SEARCH(" ", E821)-1)),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21" s="79">
        <f>IF(AN821="","",IF(AND(N821&gt;0, AG821&gt;0), IF(Configuración!$K$2="NO", "ALERTA: DESCUENTO DOBLE NO PERMITIDO", "OK"), "OK"))</f>
        <v/>
      </c>
      <c r="AR821" s="79">
        <f>IF(AN821="","",IF(OR(AO821&lt;&gt;"OK", AP821&lt;&gt;"OK", AQ821&lt;&gt;"OK"), "⚠️ REVISAR", "OK"))</f>
        <v/>
      </c>
    </row>
    <row r="822">
      <c r="A822" s="79">
        <f>IF('Ordenes_Odoo'!A822="","",'Ordenes_Odoo'!A822)</f>
        <v/>
      </c>
      <c r="B822" s="80">
        <f>IF('Ordenes_Odoo'!B822="","",'Ordenes_Odoo'!B822)</f>
        <v/>
      </c>
      <c r="C822" s="79">
        <f>IF('Ordenes_Odoo'!C822="","",'Ordenes_Odoo'!C822)</f>
        <v/>
      </c>
      <c r="D822" s="79">
        <f>IF('Ordenes_Odoo'!D822="","",'Ordenes_Odoo'!D822)</f>
        <v/>
      </c>
      <c r="E822" s="79">
        <f>IF('Ordenes_Odoo'!E822="","",'Ordenes_Odoo'!E822)</f>
        <v/>
      </c>
      <c r="F822" s="79">
        <f>IF('Ordenes_Odoo'!F822="","",'Ordenes_Odoo'!F822)</f>
        <v/>
      </c>
      <c r="G822" s="79">
        <f>IF('Ordenes_Odoo'!G822="","",'Ordenes_Odoo'!G822)</f>
        <v/>
      </c>
      <c r="H822" s="79">
        <f>IF('Ordenes_Odoo'!H822="","",'Ordenes_Odoo'!H822)</f>
        <v/>
      </c>
      <c r="I822" s="79">
        <f>IF('Ordenes_Odoo'!I822="","",'Ordenes_Odoo'!I822)</f>
        <v/>
      </c>
      <c r="J822" s="79">
        <f>IF('Ordenes_Odoo'!J822="","",'Ordenes_Odoo'!J822)</f>
        <v/>
      </c>
      <c r="K822" s="81">
        <f>IF('Ordenes_Odoo'!K822="","",'Ordenes_Odoo'!K822)</f>
        <v/>
      </c>
      <c r="L822" s="81">
        <f>IF('Ordenes_Odoo'!L822="","",'Ordenes_Odoo'!L822)</f>
        <v/>
      </c>
      <c r="M822" s="79">
        <f>IF('Ordenes_Odoo'!M822="","",'Ordenes_Odoo'!M822)</f>
        <v/>
      </c>
      <c r="N822" s="79">
        <f>IF('Ordenes_Odoo'!N822="","",'Ordenes_Odoo'!N822)</f>
        <v/>
      </c>
      <c r="O822" s="81">
        <f>IF('Ordenes_Odoo'!O822="","",'Ordenes_Odoo'!O822)</f>
        <v/>
      </c>
      <c r="P822" s="81">
        <f>IF('Ordenes_Odoo'!P822="","",'Ordenes_Odoo'!P822)</f>
        <v/>
      </c>
      <c r="Q822" s="79">
        <f>IF(A822="","",IFERROR(INDEX(Facturas_Odoo!$B:$B, MATCH(A822, Facturas_Odoo!$D:$D, 0)), "Sin Factura"))</f>
        <v/>
      </c>
      <c r="R822" s="80">
        <f>IF(Q822="Sin Factura","",IFERROR(INDEX(Facturas_Odoo!$A:$A, MATCH(Q822, Facturas_Odoo!$B:$B, 0)), ""))</f>
        <v/>
      </c>
      <c r="S822" s="79">
        <f>IF(Q822="Sin Factura","",IFERROR(_xlfn.XLOOKUP(1, (Facturas_Odoo!$D:$D=A822) * (Facturas_Odoo!$K:$K=I822), Facturas_Odoo!$L:$L, ""), ""))</f>
        <v/>
      </c>
      <c r="T822" s="81">
        <f>IF(Q822="Sin Factura",0,IFERROR(_xlfn.XLOOKUP(1, (Facturas_Odoo!$D:$D=A822) * (Facturas_Odoo!$K:$K=I822), Facturas_Odoo!$M:$M, 0), 0))</f>
        <v/>
      </c>
      <c r="U822" s="79">
        <f>IF(Q822="Sin Factura",0,IFERROR(_xlfn.XLOOKUP(1, (Facturas_Odoo!$D:$D=A822) * (Facturas_Odoo!$K:$K=I822), Facturas_Odoo!$N:$N, 0), 0))</f>
        <v/>
      </c>
      <c r="V822" s="79">
        <f>IF(Q822="Sin Factura",0,IFERROR(_xlfn.XLOOKUP(1, (Facturas_Odoo!$D:$D=A822) * (Facturas_Odoo!$K:$K=I822), Facturas_Odoo!$O:$O, 0), 0))</f>
        <v/>
      </c>
      <c r="W822" s="81">
        <f>IF(Q822="Sin Factura",0,IFERROR(_xlfn.XLOOKUP(1, (Facturas_Odoo!$D:$D=A822) * (Facturas_Odoo!$K:$K=I822), Facturas_Odoo!$Q:$Q, 0), 0))</f>
        <v/>
      </c>
      <c r="X822" s="79">
        <f>IF(OR(Q822="Sin Factura",Q822=""),"",IFERROR(INDEX(Pagos_Odoo!$B:$B, MATCH(Q822, Pagos_Odoo!$I:$I, 0)), "Sin Pago"))</f>
        <v/>
      </c>
      <c r="Y822" s="79">
        <f>IF(X822="Sin Pago","",IFERROR(INDEX(Pagos_Odoo!$C:$C, MATCH(X822, Pagos_Odoo!$B:$B, 0)), ""))</f>
        <v/>
      </c>
      <c r="Z822" s="80">
        <f>IF(X822="Sin Pago","",IFERROR(INDEX(Pagos_Odoo!$A:$A, MATCH(X822, Pagos_Odoo!$B:$B, 0)), ""))</f>
        <v/>
      </c>
      <c r="AA822" s="79">
        <f>IF(X822="Sin Pago","",IFERROR(INDEX(Pagos_Odoo!$F:$F, MATCH(X822, Pagos_Odoo!$B:$B, 0)), ""))</f>
        <v/>
      </c>
      <c r="AB822" s="81">
        <f>IF(X822="Sin Pago",0,IFERROR(INDEX(Pagos_Odoo!$E:$E, MATCH(X822, Pagos_Odoo!$B:$B, 0)), 0))</f>
        <v/>
      </c>
      <c r="AC822" s="79">
        <f>IF(X822="Sin Pago","",IFERROR(INDEX(Pagos_Odoo!$G:$G, MATCH(X822, Pagos_Odoo!$B:$B, 0)), ""))</f>
        <v/>
      </c>
      <c r="AD822" s="82" t="n">
        <v>0</v>
      </c>
      <c r="AE822" s="82" t="n"/>
      <c r="AF822" s="82" t="n"/>
      <c r="AG822" s="82">
        <f>IF(AN822="","",AD822+AE822+AF822)</f>
        <v/>
      </c>
      <c r="AH822" s="81">
        <f>IF(AN822="","",P822*(1-AG822))</f>
        <v/>
      </c>
      <c r="AI822" s="81">
        <f>IF(AN822="","",IF(Q822="Sin Factura",0,IFERROR(INDEX(Facturas_Odoo!$H:$H, MATCH(Q822, Facturas_Odoo!$B:$B, 0)), 0)*(1-AG822)))</f>
        <v/>
      </c>
      <c r="AJ822" s="81">
        <f>IF(AN822="","",_xlfn.LET(idVenta, AN822&amp;"",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22" s="81">
        <f>IF(AN822="","",AH822-AJ822)</f>
        <v/>
      </c>
      <c r="AL822" s="81">
        <f>IF(AN822="","",IF(Q822="Sin Factura","",AI822-AJ822))</f>
        <v/>
      </c>
      <c r="AM822" s="81">
        <f>IF(AN822="","",IF(Q822="Sin Factura",0,P822-IFERROR(INDEX(Facturas_Odoo!$H:$H, MATCH(Q822, Facturas_Odoo!$B:$B, 0)), 0)))</f>
        <v/>
      </c>
      <c r="AN822" s="79">
        <f>IF(AND(A822="", J822=""), "", IF(A822&lt;&gt;"", VALUE(MID(A822,2,LEN(A822))), AN821))</f>
        <v/>
      </c>
      <c r="AO822" s="79">
        <f>IF(AN822="","",IF(AD822=0,"OK",_xlfn.LET(monedaPago, IF(AA822="","USD",AA822), limitePermitido, IFERROR(VLOOKUP(monedaPago, Configuración!$A$2:$B$3, 2, FALSE), 0.15), IF(AD822&gt;limitePermitido, "ALERTA: EXCESO (" &amp; TEXT(limitePermitido, "0%") &amp; " máx)", "OK"))))</f>
        <v/>
      </c>
      <c r="AP822" s="79">
        <f>IF(AN822="","",IF(AE822=0,"OK",_xlfn.LET(fechaPago, Z822, fechaFactura, R822, diasCredito, IF(E822="Pago inmediato", 0, IFERROR(VALUE(MID(E822, 1, SEARCH(" ", E822)-1)),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22" s="79">
        <f>IF(AN822="","",IF(AND(N822&gt;0, AG822&gt;0), IF(Configuración!$K$2="NO", "ALERTA: DESCUENTO DOBLE NO PERMITIDO", "OK"), "OK"))</f>
        <v/>
      </c>
      <c r="AR822" s="79">
        <f>IF(AN822="","",IF(OR(AO822&lt;&gt;"OK", AP822&lt;&gt;"OK", AQ822&lt;&gt;"OK"), "⚠️ REVISAR", "OK"))</f>
        <v/>
      </c>
    </row>
    <row r="823">
      <c r="A823" s="79">
        <f>IF('Ordenes_Odoo'!A823="","",'Ordenes_Odoo'!A823)</f>
        <v/>
      </c>
      <c r="B823" s="80">
        <f>IF('Ordenes_Odoo'!B823="","",'Ordenes_Odoo'!B823)</f>
        <v/>
      </c>
      <c r="C823" s="79">
        <f>IF('Ordenes_Odoo'!C823="","",'Ordenes_Odoo'!C823)</f>
        <v/>
      </c>
      <c r="D823" s="79">
        <f>IF('Ordenes_Odoo'!D823="","",'Ordenes_Odoo'!D823)</f>
        <v/>
      </c>
      <c r="E823" s="79">
        <f>IF('Ordenes_Odoo'!E823="","",'Ordenes_Odoo'!E823)</f>
        <v/>
      </c>
      <c r="F823" s="79">
        <f>IF('Ordenes_Odoo'!F823="","",'Ordenes_Odoo'!F823)</f>
        <v/>
      </c>
      <c r="G823" s="79">
        <f>IF('Ordenes_Odoo'!G823="","",'Ordenes_Odoo'!G823)</f>
        <v/>
      </c>
      <c r="H823" s="79">
        <f>IF('Ordenes_Odoo'!H823="","",'Ordenes_Odoo'!H823)</f>
        <v/>
      </c>
      <c r="I823" s="79">
        <f>IF('Ordenes_Odoo'!I823="","",'Ordenes_Odoo'!I823)</f>
        <v/>
      </c>
      <c r="J823" s="79">
        <f>IF('Ordenes_Odoo'!J823="","",'Ordenes_Odoo'!J823)</f>
        <v/>
      </c>
      <c r="K823" s="81">
        <f>IF('Ordenes_Odoo'!K823="","",'Ordenes_Odoo'!K823)</f>
        <v/>
      </c>
      <c r="L823" s="81">
        <f>IF('Ordenes_Odoo'!L823="","",'Ordenes_Odoo'!L823)</f>
        <v/>
      </c>
      <c r="M823" s="79">
        <f>IF('Ordenes_Odoo'!M823="","",'Ordenes_Odoo'!M823)</f>
        <v/>
      </c>
      <c r="N823" s="79">
        <f>IF('Ordenes_Odoo'!N823="","",'Ordenes_Odoo'!N823)</f>
        <v/>
      </c>
      <c r="O823" s="81">
        <f>IF('Ordenes_Odoo'!O823="","",'Ordenes_Odoo'!O823)</f>
        <v/>
      </c>
      <c r="P823" s="81">
        <f>IF('Ordenes_Odoo'!P823="","",'Ordenes_Odoo'!P823)</f>
        <v/>
      </c>
      <c r="Q823" s="79">
        <f>IF(A823="","",IFERROR(INDEX(Facturas_Odoo!$B:$B, MATCH(A823, Facturas_Odoo!$D:$D, 0)), "Sin Factura"))</f>
        <v/>
      </c>
      <c r="R823" s="80">
        <f>IF(Q823="Sin Factura","",IFERROR(INDEX(Facturas_Odoo!$A:$A, MATCH(Q823, Facturas_Odoo!$B:$B, 0)), ""))</f>
        <v/>
      </c>
      <c r="S823" s="79">
        <f>IF(Q823="Sin Factura","",IFERROR(_xlfn.XLOOKUP(1, (Facturas_Odoo!$D:$D=A823) * (Facturas_Odoo!$K:$K=I823), Facturas_Odoo!$L:$L, ""), ""))</f>
        <v/>
      </c>
      <c r="T823" s="81">
        <f>IF(Q823="Sin Factura",0,IFERROR(_xlfn.XLOOKUP(1, (Facturas_Odoo!$D:$D=A823) * (Facturas_Odoo!$K:$K=I823), Facturas_Odoo!$M:$M, 0), 0))</f>
        <v/>
      </c>
      <c r="U823" s="79">
        <f>IF(Q823="Sin Factura",0,IFERROR(_xlfn.XLOOKUP(1, (Facturas_Odoo!$D:$D=A823) * (Facturas_Odoo!$K:$K=I823), Facturas_Odoo!$N:$N, 0), 0))</f>
        <v/>
      </c>
      <c r="V823" s="79">
        <f>IF(Q823="Sin Factura",0,IFERROR(_xlfn.XLOOKUP(1, (Facturas_Odoo!$D:$D=A823) * (Facturas_Odoo!$K:$K=I823), Facturas_Odoo!$O:$O, 0), 0))</f>
        <v/>
      </c>
      <c r="W823" s="81">
        <f>IF(Q823="Sin Factura",0,IFERROR(_xlfn.XLOOKUP(1, (Facturas_Odoo!$D:$D=A823) * (Facturas_Odoo!$K:$K=I823), Facturas_Odoo!$Q:$Q, 0), 0))</f>
        <v/>
      </c>
      <c r="X823" s="79">
        <f>IF(OR(Q823="Sin Factura",Q823=""),"",IFERROR(INDEX(Pagos_Odoo!$B:$B, MATCH(Q823, Pagos_Odoo!$I:$I, 0)), "Sin Pago"))</f>
        <v/>
      </c>
      <c r="Y823" s="79">
        <f>IF(X823="Sin Pago","",IFERROR(INDEX(Pagos_Odoo!$C:$C, MATCH(X823, Pagos_Odoo!$B:$B, 0)), ""))</f>
        <v/>
      </c>
      <c r="Z823" s="80">
        <f>IF(X823="Sin Pago","",IFERROR(INDEX(Pagos_Odoo!$A:$A, MATCH(X823, Pagos_Odoo!$B:$B, 0)), ""))</f>
        <v/>
      </c>
      <c r="AA823" s="79">
        <f>IF(X823="Sin Pago","",IFERROR(INDEX(Pagos_Odoo!$F:$F, MATCH(X823, Pagos_Odoo!$B:$B, 0)), ""))</f>
        <v/>
      </c>
      <c r="AB823" s="81">
        <f>IF(X823="Sin Pago",0,IFERROR(INDEX(Pagos_Odoo!$E:$E, MATCH(X823, Pagos_Odoo!$B:$B, 0)), 0))</f>
        <v/>
      </c>
      <c r="AC823" s="79">
        <f>IF(X823="Sin Pago","",IFERROR(INDEX(Pagos_Odoo!$G:$G, MATCH(X823, Pagos_Odoo!$B:$B, 0)), ""))</f>
        <v/>
      </c>
      <c r="AD823" s="82" t="n">
        <v>0</v>
      </c>
      <c r="AE823" s="82" t="n"/>
      <c r="AF823" s="82" t="n"/>
      <c r="AG823" s="82">
        <f>IF(AN823="","",AD823+AE823+AF823)</f>
        <v/>
      </c>
      <c r="AH823" s="81">
        <f>IF(AN823="","",P823*(1-AG823))</f>
        <v/>
      </c>
      <c r="AI823" s="81">
        <f>IF(AN823="","",IF(Q823="Sin Factura",0,IFERROR(INDEX(Facturas_Odoo!$H:$H, MATCH(Q823, Facturas_Odoo!$B:$B, 0)), 0)*(1-AG823)))</f>
        <v/>
      </c>
      <c r="AJ823" s="81">
        <f>IF(AN823="","",_xlfn.LET(idVenta, AN823&amp;"",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23" s="81">
        <f>IF(AN823="","",AH823-AJ823)</f>
        <v/>
      </c>
      <c r="AL823" s="81">
        <f>IF(AN823="","",IF(Q823="Sin Factura","",AI823-AJ823))</f>
        <v/>
      </c>
      <c r="AM823" s="81">
        <f>IF(AN823="","",IF(Q823="Sin Factura",0,P823-IFERROR(INDEX(Facturas_Odoo!$H:$H, MATCH(Q823, Facturas_Odoo!$B:$B, 0)), 0)))</f>
        <v/>
      </c>
      <c r="AN823" s="79">
        <f>IF(AND(A823="", J823=""), "", IF(A823&lt;&gt;"", VALUE(MID(A823,2,LEN(A823))), AN822))</f>
        <v/>
      </c>
      <c r="AO823" s="79">
        <f>IF(AN823="","",IF(AD823=0,"OK",_xlfn.LET(monedaPago, IF(AA823="","USD",AA823), limitePermitido, IFERROR(VLOOKUP(monedaPago, Configuración!$A$2:$B$3, 2, FALSE), 0.15), IF(AD823&gt;limitePermitido, "ALERTA: EXCESO (" &amp; TEXT(limitePermitido, "0%") &amp; " máx)", "OK"))))</f>
        <v/>
      </c>
      <c r="AP823" s="79">
        <f>IF(AN823="","",IF(AE823=0,"OK",_xlfn.LET(fechaPago, Z823, fechaFactura, R823, diasCredito, IF(E823="Pago inmediato", 0, IFERROR(VALUE(MID(E823, 1, SEARCH(" ", E823)-1)),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23" s="79">
        <f>IF(AN823="","",IF(AND(N823&gt;0, AG823&gt;0), IF(Configuración!$K$2="NO", "ALERTA: DESCUENTO DOBLE NO PERMITIDO", "OK"), "OK"))</f>
        <v/>
      </c>
      <c r="AR823" s="79">
        <f>IF(AN823="","",IF(OR(AO823&lt;&gt;"OK", AP823&lt;&gt;"OK", AQ823&lt;&gt;"OK"), "⚠️ REVISAR", "OK"))</f>
        <v/>
      </c>
    </row>
    <row r="824">
      <c r="A824" s="79">
        <f>IF('Ordenes_Odoo'!A824="","",'Ordenes_Odoo'!A824)</f>
        <v/>
      </c>
      <c r="B824" s="80">
        <f>IF('Ordenes_Odoo'!B824="","",'Ordenes_Odoo'!B824)</f>
        <v/>
      </c>
      <c r="C824" s="79">
        <f>IF('Ordenes_Odoo'!C824="","",'Ordenes_Odoo'!C824)</f>
        <v/>
      </c>
      <c r="D824" s="79">
        <f>IF('Ordenes_Odoo'!D824="","",'Ordenes_Odoo'!D824)</f>
        <v/>
      </c>
      <c r="E824" s="79">
        <f>IF('Ordenes_Odoo'!E824="","",'Ordenes_Odoo'!E824)</f>
        <v/>
      </c>
      <c r="F824" s="79">
        <f>IF('Ordenes_Odoo'!F824="","",'Ordenes_Odoo'!F824)</f>
        <v/>
      </c>
      <c r="G824" s="79">
        <f>IF('Ordenes_Odoo'!G824="","",'Ordenes_Odoo'!G824)</f>
        <v/>
      </c>
      <c r="H824" s="79">
        <f>IF('Ordenes_Odoo'!H824="","",'Ordenes_Odoo'!H824)</f>
        <v/>
      </c>
      <c r="I824" s="79">
        <f>IF('Ordenes_Odoo'!I824="","",'Ordenes_Odoo'!I824)</f>
        <v/>
      </c>
      <c r="J824" s="79">
        <f>IF('Ordenes_Odoo'!J824="","",'Ordenes_Odoo'!J824)</f>
        <v/>
      </c>
      <c r="K824" s="81">
        <f>IF('Ordenes_Odoo'!K824="","",'Ordenes_Odoo'!K824)</f>
        <v/>
      </c>
      <c r="L824" s="81">
        <f>IF('Ordenes_Odoo'!L824="","",'Ordenes_Odoo'!L824)</f>
        <v/>
      </c>
      <c r="M824" s="79">
        <f>IF('Ordenes_Odoo'!M824="","",'Ordenes_Odoo'!M824)</f>
        <v/>
      </c>
      <c r="N824" s="79">
        <f>IF('Ordenes_Odoo'!N824="","",'Ordenes_Odoo'!N824)</f>
        <v/>
      </c>
      <c r="O824" s="81">
        <f>IF('Ordenes_Odoo'!O824="","",'Ordenes_Odoo'!O824)</f>
        <v/>
      </c>
      <c r="P824" s="81">
        <f>IF('Ordenes_Odoo'!P824="","",'Ordenes_Odoo'!P824)</f>
        <v/>
      </c>
      <c r="Q824" s="79">
        <f>IF(A824="","",IFERROR(INDEX(Facturas_Odoo!$B:$B, MATCH(A824, Facturas_Odoo!$D:$D, 0)), "Sin Factura"))</f>
        <v/>
      </c>
      <c r="R824" s="80">
        <f>IF(Q824="Sin Factura","",IFERROR(INDEX(Facturas_Odoo!$A:$A, MATCH(Q824, Facturas_Odoo!$B:$B, 0)), ""))</f>
        <v/>
      </c>
      <c r="S824" s="79">
        <f>IF(Q824="Sin Factura","",IFERROR(_xlfn.XLOOKUP(1, (Facturas_Odoo!$D:$D=A824) * (Facturas_Odoo!$K:$K=I824), Facturas_Odoo!$L:$L, ""), ""))</f>
        <v/>
      </c>
      <c r="T824" s="81">
        <f>IF(Q824="Sin Factura",0,IFERROR(_xlfn.XLOOKUP(1, (Facturas_Odoo!$D:$D=A824) * (Facturas_Odoo!$K:$K=I824), Facturas_Odoo!$M:$M, 0), 0))</f>
        <v/>
      </c>
      <c r="U824" s="79">
        <f>IF(Q824="Sin Factura",0,IFERROR(_xlfn.XLOOKUP(1, (Facturas_Odoo!$D:$D=A824) * (Facturas_Odoo!$K:$K=I824), Facturas_Odoo!$N:$N, 0), 0))</f>
        <v/>
      </c>
      <c r="V824" s="79">
        <f>IF(Q824="Sin Factura",0,IFERROR(_xlfn.XLOOKUP(1, (Facturas_Odoo!$D:$D=A824) * (Facturas_Odoo!$K:$K=I824), Facturas_Odoo!$O:$O, 0), 0))</f>
        <v/>
      </c>
      <c r="W824" s="81">
        <f>IF(Q824="Sin Factura",0,IFERROR(_xlfn.XLOOKUP(1, (Facturas_Odoo!$D:$D=A824) * (Facturas_Odoo!$K:$K=I824), Facturas_Odoo!$Q:$Q, 0), 0))</f>
        <v/>
      </c>
      <c r="X824" s="79">
        <f>IF(OR(Q824="Sin Factura",Q824=""),"",IFERROR(INDEX(Pagos_Odoo!$B:$B, MATCH(Q824, Pagos_Odoo!$I:$I, 0)), "Sin Pago"))</f>
        <v/>
      </c>
      <c r="Y824" s="79">
        <f>IF(X824="Sin Pago","",IFERROR(INDEX(Pagos_Odoo!$C:$C, MATCH(X824, Pagos_Odoo!$B:$B, 0)), ""))</f>
        <v/>
      </c>
      <c r="Z824" s="80">
        <f>IF(X824="Sin Pago","",IFERROR(INDEX(Pagos_Odoo!$A:$A, MATCH(X824, Pagos_Odoo!$B:$B, 0)), ""))</f>
        <v/>
      </c>
      <c r="AA824" s="79">
        <f>IF(X824="Sin Pago","",IFERROR(INDEX(Pagos_Odoo!$F:$F, MATCH(X824, Pagos_Odoo!$B:$B, 0)), ""))</f>
        <v/>
      </c>
      <c r="AB824" s="81">
        <f>IF(X824="Sin Pago",0,IFERROR(INDEX(Pagos_Odoo!$E:$E, MATCH(X824, Pagos_Odoo!$B:$B, 0)), 0))</f>
        <v/>
      </c>
      <c r="AC824" s="79">
        <f>IF(X824="Sin Pago","",IFERROR(INDEX(Pagos_Odoo!$G:$G, MATCH(X824, Pagos_Odoo!$B:$B, 0)), ""))</f>
        <v/>
      </c>
      <c r="AD824" s="82" t="n">
        <v>0</v>
      </c>
      <c r="AE824" s="82" t="n"/>
      <c r="AF824" s="82" t="n"/>
      <c r="AG824" s="82">
        <f>IF(AN824="","",AD824+AE824+AF824)</f>
        <v/>
      </c>
      <c r="AH824" s="81">
        <f>IF(AN824="","",P824*(1-AG824))</f>
        <v/>
      </c>
      <c r="AI824" s="81">
        <f>IF(AN824="","",IF(Q824="Sin Factura",0,IFERROR(INDEX(Facturas_Odoo!$H:$H, MATCH(Q824, Facturas_Odoo!$B:$B, 0)), 0)*(1-AG824)))</f>
        <v/>
      </c>
      <c r="AJ824" s="81">
        <f>IF(AN824="","",_xlfn.LET(idVenta, AN824&amp;"",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24" s="81">
        <f>IF(AN824="","",AH824-AJ824)</f>
        <v/>
      </c>
      <c r="AL824" s="81">
        <f>IF(AN824="","",IF(Q824="Sin Factura","",AI824-AJ824))</f>
        <v/>
      </c>
      <c r="AM824" s="81">
        <f>IF(AN824="","",IF(Q824="Sin Factura",0,P824-IFERROR(INDEX(Facturas_Odoo!$H:$H, MATCH(Q824, Facturas_Odoo!$B:$B, 0)), 0)))</f>
        <v/>
      </c>
      <c r="AN824" s="79">
        <f>IF(AND(A824="", J824=""), "", IF(A824&lt;&gt;"", VALUE(MID(A824,2,LEN(A824))), AN823))</f>
        <v/>
      </c>
      <c r="AO824" s="79">
        <f>IF(AN824="","",IF(AD824=0,"OK",_xlfn.LET(monedaPago, IF(AA824="","USD",AA824), limitePermitido, IFERROR(VLOOKUP(monedaPago, Configuración!$A$2:$B$3, 2, FALSE), 0.15), IF(AD824&gt;limitePermitido, "ALERTA: EXCESO (" &amp; TEXT(limitePermitido, "0%") &amp; " máx)", "OK"))))</f>
        <v/>
      </c>
      <c r="AP824" s="79">
        <f>IF(AN824="","",IF(AE824=0,"OK",_xlfn.LET(fechaPago, Z824, fechaFactura, R824, diasCredito, IF(E824="Pago inmediato", 0, IFERROR(VALUE(MID(E824, 1, SEARCH(" ", E824)-1)),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24" s="79">
        <f>IF(AN824="","",IF(AND(N824&gt;0, AG824&gt;0), IF(Configuración!$K$2="NO", "ALERTA: DESCUENTO DOBLE NO PERMITIDO", "OK"), "OK"))</f>
        <v/>
      </c>
      <c r="AR824" s="79">
        <f>IF(AN824="","",IF(OR(AO824&lt;&gt;"OK", AP824&lt;&gt;"OK", AQ824&lt;&gt;"OK"), "⚠️ REVISAR", "OK"))</f>
        <v/>
      </c>
    </row>
    <row r="825">
      <c r="A825" s="79">
        <f>IF('Ordenes_Odoo'!A825="","",'Ordenes_Odoo'!A825)</f>
        <v/>
      </c>
      <c r="B825" s="80">
        <f>IF('Ordenes_Odoo'!B825="","",'Ordenes_Odoo'!B825)</f>
        <v/>
      </c>
      <c r="C825" s="79">
        <f>IF('Ordenes_Odoo'!C825="","",'Ordenes_Odoo'!C825)</f>
        <v/>
      </c>
      <c r="D825" s="79">
        <f>IF('Ordenes_Odoo'!D825="","",'Ordenes_Odoo'!D825)</f>
        <v/>
      </c>
      <c r="E825" s="79">
        <f>IF('Ordenes_Odoo'!E825="","",'Ordenes_Odoo'!E825)</f>
        <v/>
      </c>
      <c r="F825" s="79">
        <f>IF('Ordenes_Odoo'!F825="","",'Ordenes_Odoo'!F825)</f>
        <v/>
      </c>
      <c r="G825" s="79">
        <f>IF('Ordenes_Odoo'!G825="","",'Ordenes_Odoo'!G825)</f>
        <v/>
      </c>
      <c r="H825" s="79">
        <f>IF('Ordenes_Odoo'!H825="","",'Ordenes_Odoo'!H825)</f>
        <v/>
      </c>
      <c r="I825" s="79">
        <f>IF('Ordenes_Odoo'!I825="","",'Ordenes_Odoo'!I825)</f>
        <v/>
      </c>
      <c r="J825" s="79">
        <f>IF('Ordenes_Odoo'!J825="","",'Ordenes_Odoo'!J825)</f>
        <v/>
      </c>
      <c r="K825" s="81">
        <f>IF('Ordenes_Odoo'!K825="","",'Ordenes_Odoo'!K825)</f>
        <v/>
      </c>
      <c r="L825" s="81">
        <f>IF('Ordenes_Odoo'!L825="","",'Ordenes_Odoo'!L825)</f>
        <v/>
      </c>
      <c r="M825" s="79">
        <f>IF('Ordenes_Odoo'!M825="","",'Ordenes_Odoo'!M825)</f>
        <v/>
      </c>
      <c r="N825" s="79">
        <f>IF('Ordenes_Odoo'!N825="","",'Ordenes_Odoo'!N825)</f>
        <v/>
      </c>
      <c r="O825" s="81">
        <f>IF('Ordenes_Odoo'!O825="","",'Ordenes_Odoo'!O825)</f>
        <v/>
      </c>
      <c r="P825" s="81">
        <f>IF('Ordenes_Odoo'!P825="","",'Ordenes_Odoo'!P825)</f>
        <v/>
      </c>
      <c r="Q825" s="79">
        <f>IF(A825="","",IFERROR(INDEX(Facturas_Odoo!$B:$B, MATCH(A825, Facturas_Odoo!$D:$D, 0)), "Sin Factura"))</f>
        <v/>
      </c>
      <c r="R825" s="80">
        <f>IF(Q825="Sin Factura","",IFERROR(INDEX(Facturas_Odoo!$A:$A, MATCH(Q825, Facturas_Odoo!$B:$B, 0)), ""))</f>
        <v/>
      </c>
      <c r="S825" s="79">
        <f>IF(Q825="Sin Factura","",IFERROR(_xlfn.XLOOKUP(1, (Facturas_Odoo!$D:$D=A825) * (Facturas_Odoo!$K:$K=I825), Facturas_Odoo!$L:$L, ""), ""))</f>
        <v/>
      </c>
      <c r="T825" s="81">
        <f>IF(Q825="Sin Factura",0,IFERROR(_xlfn.XLOOKUP(1, (Facturas_Odoo!$D:$D=A825) * (Facturas_Odoo!$K:$K=I825), Facturas_Odoo!$M:$M, 0), 0))</f>
        <v/>
      </c>
      <c r="U825" s="79">
        <f>IF(Q825="Sin Factura",0,IFERROR(_xlfn.XLOOKUP(1, (Facturas_Odoo!$D:$D=A825) * (Facturas_Odoo!$K:$K=I825), Facturas_Odoo!$N:$N, 0), 0))</f>
        <v/>
      </c>
      <c r="V825" s="79">
        <f>IF(Q825="Sin Factura",0,IFERROR(_xlfn.XLOOKUP(1, (Facturas_Odoo!$D:$D=A825) * (Facturas_Odoo!$K:$K=I825), Facturas_Odoo!$O:$O, 0), 0))</f>
        <v/>
      </c>
      <c r="W825" s="81">
        <f>IF(Q825="Sin Factura",0,IFERROR(_xlfn.XLOOKUP(1, (Facturas_Odoo!$D:$D=A825) * (Facturas_Odoo!$K:$K=I825), Facturas_Odoo!$Q:$Q, 0), 0))</f>
        <v/>
      </c>
      <c r="X825" s="79">
        <f>IF(OR(Q825="Sin Factura",Q825=""),"",IFERROR(INDEX(Pagos_Odoo!$B:$B, MATCH(Q825, Pagos_Odoo!$I:$I, 0)), "Sin Pago"))</f>
        <v/>
      </c>
      <c r="Y825" s="79">
        <f>IF(X825="Sin Pago","",IFERROR(INDEX(Pagos_Odoo!$C:$C, MATCH(X825, Pagos_Odoo!$B:$B, 0)), ""))</f>
        <v/>
      </c>
      <c r="Z825" s="80">
        <f>IF(X825="Sin Pago","",IFERROR(INDEX(Pagos_Odoo!$A:$A, MATCH(X825, Pagos_Odoo!$B:$B, 0)), ""))</f>
        <v/>
      </c>
      <c r="AA825" s="79">
        <f>IF(X825="Sin Pago","",IFERROR(INDEX(Pagos_Odoo!$F:$F, MATCH(X825, Pagos_Odoo!$B:$B, 0)), ""))</f>
        <v/>
      </c>
      <c r="AB825" s="81">
        <f>IF(X825="Sin Pago",0,IFERROR(INDEX(Pagos_Odoo!$E:$E, MATCH(X825, Pagos_Odoo!$B:$B, 0)), 0))</f>
        <v/>
      </c>
      <c r="AC825" s="79">
        <f>IF(X825="Sin Pago","",IFERROR(INDEX(Pagos_Odoo!$G:$G, MATCH(X825, Pagos_Odoo!$B:$B, 0)), ""))</f>
        <v/>
      </c>
      <c r="AD825" s="82" t="n">
        <v>0</v>
      </c>
      <c r="AE825" s="82" t="n"/>
      <c r="AF825" s="82" t="n"/>
      <c r="AG825" s="82">
        <f>IF(AN825="","",AD825+AE825+AF825)</f>
        <v/>
      </c>
      <c r="AH825" s="81">
        <f>IF(AN825="","",P825*(1-AG825))</f>
        <v/>
      </c>
      <c r="AI825" s="81">
        <f>IF(AN825="","",IF(Q825="Sin Factura",0,IFERROR(INDEX(Facturas_Odoo!$H:$H, MATCH(Q825, Facturas_Odoo!$B:$B, 0)), 0)*(1-AG825)))</f>
        <v/>
      </c>
      <c r="AJ825" s="81">
        <f>IF(AN825="","",_xlfn.LET(idVenta, AN825&amp;"",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25" s="81">
        <f>IF(AN825="","",AH825-AJ825)</f>
        <v/>
      </c>
      <c r="AL825" s="81">
        <f>IF(AN825="","",IF(Q825="Sin Factura","",AI825-AJ825))</f>
        <v/>
      </c>
      <c r="AM825" s="81">
        <f>IF(AN825="","",IF(Q825="Sin Factura",0,P825-IFERROR(INDEX(Facturas_Odoo!$H:$H, MATCH(Q825, Facturas_Odoo!$B:$B, 0)), 0)))</f>
        <v/>
      </c>
      <c r="AN825" s="79">
        <f>IF(AND(A825="", J825=""), "", IF(A825&lt;&gt;"", VALUE(MID(A825,2,LEN(A825))), AN824))</f>
        <v/>
      </c>
      <c r="AO825" s="79">
        <f>IF(AN825="","",IF(AD825=0,"OK",_xlfn.LET(monedaPago, IF(AA825="","USD",AA825), limitePermitido, IFERROR(VLOOKUP(monedaPago, Configuración!$A$2:$B$3, 2, FALSE), 0.15), IF(AD825&gt;limitePermitido, "ALERTA: EXCESO (" &amp; TEXT(limitePermitido, "0%") &amp; " máx)", "OK"))))</f>
        <v/>
      </c>
      <c r="AP825" s="79">
        <f>IF(AN825="","",IF(AE825=0,"OK",_xlfn.LET(fechaPago, Z825, fechaFactura, R825, diasCredito, IF(E825="Pago inmediato", 0, IFERROR(VALUE(MID(E825, 1, SEARCH(" ", E825)-1)),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25" s="79">
        <f>IF(AN825="","",IF(AND(N825&gt;0, AG825&gt;0), IF(Configuración!$K$2="NO", "ALERTA: DESCUENTO DOBLE NO PERMITIDO", "OK"), "OK"))</f>
        <v/>
      </c>
      <c r="AR825" s="79">
        <f>IF(AN825="","",IF(OR(AO825&lt;&gt;"OK", AP825&lt;&gt;"OK", AQ825&lt;&gt;"OK"), "⚠️ REVISAR", "OK"))</f>
        <v/>
      </c>
    </row>
    <row r="826">
      <c r="A826" s="79">
        <f>IF('Ordenes_Odoo'!A826="","",'Ordenes_Odoo'!A826)</f>
        <v/>
      </c>
      <c r="B826" s="80">
        <f>IF('Ordenes_Odoo'!B826="","",'Ordenes_Odoo'!B826)</f>
        <v/>
      </c>
      <c r="C826" s="79">
        <f>IF('Ordenes_Odoo'!C826="","",'Ordenes_Odoo'!C826)</f>
        <v/>
      </c>
      <c r="D826" s="79">
        <f>IF('Ordenes_Odoo'!D826="","",'Ordenes_Odoo'!D826)</f>
        <v/>
      </c>
      <c r="E826" s="79">
        <f>IF('Ordenes_Odoo'!E826="","",'Ordenes_Odoo'!E826)</f>
        <v/>
      </c>
      <c r="F826" s="79">
        <f>IF('Ordenes_Odoo'!F826="","",'Ordenes_Odoo'!F826)</f>
        <v/>
      </c>
      <c r="G826" s="79">
        <f>IF('Ordenes_Odoo'!G826="","",'Ordenes_Odoo'!G826)</f>
        <v/>
      </c>
      <c r="H826" s="79">
        <f>IF('Ordenes_Odoo'!H826="","",'Ordenes_Odoo'!H826)</f>
        <v/>
      </c>
      <c r="I826" s="79">
        <f>IF('Ordenes_Odoo'!I826="","",'Ordenes_Odoo'!I826)</f>
        <v/>
      </c>
      <c r="J826" s="79">
        <f>IF('Ordenes_Odoo'!J826="","",'Ordenes_Odoo'!J826)</f>
        <v/>
      </c>
      <c r="K826" s="81">
        <f>IF('Ordenes_Odoo'!K826="","",'Ordenes_Odoo'!K826)</f>
        <v/>
      </c>
      <c r="L826" s="81">
        <f>IF('Ordenes_Odoo'!L826="","",'Ordenes_Odoo'!L826)</f>
        <v/>
      </c>
      <c r="M826" s="79">
        <f>IF('Ordenes_Odoo'!M826="","",'Ordenes_Odoo'!M826)</f>
        <v/>
      </c>
      <c r="N826" s="79">
        <f>IF('Ordenes_Odoo'!N826="","",'Ordenes_Odoo'!N826)</f>
        <v/>
      </c>
      <c r="O826" s="81">
        <f>IF('Ordenes_Odoo'!O826="","",'Ordenes_Odoo'!O826)</f>
        <v/>
      </c>
      <c r="P826" s="81">
        <f>IF('Ordenes_Odoo'!P826="","",'Ordenes_Odoo'!P826)</f>
        <v/>
      </c>
      <c r="Q826" s="79">
        <f>IF(A826="","",IFERROR(INDEX(Facturas_Odoo!$B:$B, MATCH(A826, Facturas_Odoo!$D:$D, 0)), "Sin Factura"))</f>
        <v/>
      </c>
      <c r="R826" s="80">
        <f>IF(Q826="Sin Factura","",IFERROR(INDEX(Facturas_Odoo!$A:$A, MATCH(Q826, Facturas_Odoo!$B:$B, 0)), ""))</f>
        <v/>
      </c>
      <c r="S826" s="79">
        <f>IF(Q826="Sin Factura","",IFERROR(_xlfn.XLOOKUP(1, (Facturas_Odoo!$D:$D=A826) * (Facturas_Odoo!$K:$K=I826), Facturas_Odoo!$L:$L, ""), ""))</f>
        <v/>
      </c>
      <c r="T826" s="81">
        <f>IF(Q826="Sin Factura",0,IFERROR(_xlfn.XLOOKUP(1, (Facturas_Odoo!$D:$D=A826) * (Facturas_Odoo!$K:$K=I826), Facturas_Odoo!$M:$M, 0), 0))</f>
        <v/>
      </c>
      <c r="U826" s="79">
        <f>IF(Q826="Sin Factura",0,IFERROR(_xlfn.XLOOKUP(1, (Facturas_Odoo!$D:$D=A826) * (Facturas_Odoo!$K:$K=I826), Facturas_Odoo!$N:$N, 0), 0))</f>
        <v/>
      </c>
      <c r="V826" s="79">
        <f>IF(Q826="Sin Factura",0,IFERROR(_xlfn.XLOOKUP(1, (Facturas_Odoo!$D:$D=A826) * (Facturas_Odoo!$K:$K=I826), Facturas_Odoo!$O:$O, 0), 0))</f>
        <v/>
      </c>
      <c r="W826" s="81">
        <f>IF(Q826="Sin Factura",0,IFERROR(_xlfn.XLOOKUP(1, (Facturas_Odoo!$D:$D=A826) * (Facturas_Odoo!$K:$K=I826), Facturas_Odoo!$Q:$Q, 0), 0))</f>
        <v/>
      </c>
      <c r="X826" s="79">
        <f>IF(OR(Q826="Sin Factura",Q826=""),"",IFERROR(INDEX(Pagos_Odoo!$B:$B, MATCH(Q826, Pagos_Odoo!$I:$I, 0)), "Sin Pago"))</f>
        <v/>
      </c>
      <c r="Y826" s="79">
        <f>IF(X826="Sin Pago","",IFERROR(INDEX(Pagos_Odoo!$C:$C, MATCH(X826, Pagos_Odoo!$B:$B, 0)), ""))</f>
        <v/>
      </c>
      <c r="Z826" s="80">
        <f>IF(X826="Sin Pago","",IFERROR(INDEX(Pagos_Odoo!$A:$A, MATCH(X826, Pagos_Odoo!$B:$B, 0)), ""))</f>
        <v/>
      </c>
      <c r="AA826" s="79">
        <f>IF(X826="Sin Pago","",IFERROR(INDEX(Pagos_Odoo!$F:$F, MATCH(X826, Pagos_Odoo!$B:$B, 0)), ""))</f>
        <v/>
      </c>
      <c r="AB826" s="81">
        <f>IF(X826="Sin Pago",0,IFERROR(INDEX(Pagos_Odoo!$E:$E, MATCH(X826, Pagos_Odoo!$B:$B, 0)), 0))</f>
        <v/>
      </c>
      <c r="AC826" s="79">
        <f>IF(X826="Sin Pago","",IFERROR(INDEX(Pagos_Odoo!$G:$G, MATCH(X826, Pagos_Odoo!$B:$B, 0)), ""))</f>
        <v/>
      </c>
      <c r="AD826" s="82" t="n">
        <v>0</v>
      </c>
      <c r="AE826" s="82" t="n"/>
      <c r="AF826" s="82" t="n"/>
      <c r="AG826" s="82">
        <f>IF(AN826="","",AD826+AE826+AF826)</f>
        <v/>
      </c>
      <c r="AH826" s="81">
        <f>IF(AN826="","",P826*(1-AG826))</f>
        <v/>
      </c>
      <c r="AI826" s="81">
        <f>IF(AN826="","",IF(Q826="Sin Factura",0,IFERROR(INDEX(Facturas_Odoo!$H:$H, MATCH(Q826, Facturas_Odoo!$B:$B, 0)), 0)*(1-AG826)))</f>
        <v/>
      </c>
      <c r="AJ826" s="81">
        <f>IF(AN826="","",_xlfn.LET(idVenta, AN826&amp;"",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26" s="81">
        <f>IF(AN826="","",AH826-AJ826)</f>
        <v/>
      </c>
      <c r="AL826" s="81">
        <f>IF(AN826="","",IF(Q826="Sin Factura","",AI826-AJ826))</f>
        <v/>
      </c>
      <c r="AM826" s="81">
        <f>IF(AN826="","",IF(Q826="Sin Factura",0,P826-IFERROR(INDEX(Facturas_Odoo!$H:$H, MATCH(Q826, Facturas_Odoo!$B:$B, 0)), 0)))</f>
        <v/>
      </c>
      <c r="AN826" s="79">
        <f>IF(AND(A826="", J826=""), "", IF(A826&lt;&gt;"", VALUE(MID(A826,2,LEN(A826))), AN825))</f>
        <v/>
      </c>
      <c r="AO826" s="79">
        <f>IF(AN826="","",IF(AD826=0,"OK",_xlfn.LET(monedaPago, IF(AA826="","USD",AA826), limitePermitido, IFERROR(VLOOKUP(monedaPago, Configuración!$A$2:$B$3, 2, FALSE), 0.15), IF(AD826&gt;limitePermitido, "ALERTA: EXCESO (" &amp; TEXT(limitePermitido, "0%") &amp; " máx)", "OK"))))</f>
        <v/>
      </c>
      <c r="AP826" s="79">
        <f>IF(AN826="","",IF(AE826=0,"OK",_xlfn.LET(fechaPago, Z826, fechaFactura, R826, diasCredito, IF(E826="Pago inmediato", 0, IFERROR(VALUE(MID(E826, 1, SEARCH(" ", E826)-1)),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26" s="79">
        <f>IF(AN826="","",IF(AND(N826&gt;0, AG826&gt;0), IF(Configuración!$K$2="NO", "ALERTA: DESCUENTO DOBLE NO PERMITIDO", "OK"), "OK"))</f>
        <v/>
      </c>
      <c r="AR826" s="79">
        <f>IF(AN826="","",IF(OR(AO826&lt;&gt;"OK", AP826&lt;&gt;"OK", AQ826&lt;&gt;"OK"), "⚠️ REVISAR", "OK"))</f>
        <v/>
      </c>
    </row>
    <row r="827">
      <c r="A827" s="79">
        <f>IF('Ordenes_Odoo'!A827="","",'Ordenes_Odoo'!A827)</f>
        <v/>
      </c>
      <c r="B827" s="80">
        <f>IF('Ordenes_Odoo'!B827="","",'Ordenes_Odoo'!B827)</f>
        <v/>
      </c>
      <c r="C827" s="79">
        <f>IF('Ordenes_Odoo'!C827="","",'Ordenes_Odoo'!C827)</f>
        <v/>
      </c>
      <c r="D827" s="79">
        <f>IF('Ordenes_Odoo'!D827="","",'Ordenes_Odoo'!D827)</f>
        <v/>
      </c>
      <c r="E827" s="79">
        <f>IF('Ordenes_Odoo'!E827="","",'Ordenes_Odoo'!E827)</f>
        <v/>
      </c>
      <c r="F827" s="79">
        <f>IF('Ordenes_Odoo'!F827="","",'Ordenes_Odoo'!F827)</f>
        <v/>
      </c>
      <c r="G827" s="79">
        <f>IF('Ordenes_Odoo'!G827="","",'Ordenes_Odoo'!G827)</f>
        <v/>
      </c>
      <c r="H827" s="79">
        <f>IF('Ordenes_Odoo'!H827="","",'Ordenes_Odoo'!H827)</f>
        <v/>
      </c>
      <c r="I827" s="79">
        <f>IF('Ordenes_Odoo'!I827="","",'Ordenes_Odoo'!I827)</f>
        <v/>
      </c>
      <c r="J827" s="79">
        <f>IF('Ordenes_Odoo'!J827="","",'Ordenes_Odoo'!J827)</f>
        <v/>
      </c>
      <c r="K827" s="81">
        <f>IF('Ordenes_Odoo'!K827="","",'Ordenes_Odoo'!K827)</f>
        <v/>
      </c>
      <c r="L827" s="81">
        <f>IF('Ordenes_Odoo'!L827="","",'Ordenes_Odoo'!L827)</f>
        <v/>
      </c>
      <c r="M827" s="79">
        <f>IF('Ordenes_Odoo'!M827="","",'Ordenes_Odoo'!M827)</f>
        <v/>
      </c>
      <c r="N827" s="79">
        <f>IF('Ordenes_Odoo'!N827="","",'Ordenes_Odoo'!N827)</f>
        <v/>
      </c>
      <c r="O827" s="81">
        <f>IF('Ordenes_Odoo'!O827="","",'Ordenes_Odoo'!O827)</f>
        <v/>
      </c>
      <c r="P827" s="81">
        <f>IF('Ordenes_Odoo'!P827="","",'Ordenes_Odoo'!P827)</f>
        <v/>
      </c>
      <c r="Q827" s="79">
        <f>IF(A827="","",IFERROR(INDEX(Facturas_Odoo!$B:$B, MATCH(A827, Facturas_Odoo!$D:$D, 0)), "Sin Factura"))</f>
        <v/>
      </c>
      <c r="R827" s="80">
        <f>IF(Q827="Sin Factura","",IFERROR(INDEX(Facturas_Odoo!$A:$A, MATCH(Q827, Facturas_Odoo!$B:$B, 0)), ""))</f>
        <v/>
      </c>
      <c r="S827" s="79">
        <f>IF(Q827="Sin Factura","",IFERROR(_xlfn.XLOOKUP(1, (Facturas_Odoo!$D:$D=A827) * (Facturas_Odoo!$K:$K=I827), Facturas_Odoo!$L:$L, ""), ""))</f>
        <v/>
      </c>
      <c r="T827" s="81">
        <f>IF(Q827="Sin Factura",0,IFERROR(_xlfn.XLOOKUP(1, (Facturas_Odoo!$D:$D=A827) * (Facturas_Odoo!$K:$K=I827), Facturas_Odoo!$M:$M, 0), 0))</f>
        <v/>
      </c>
      <c r="U827" s="79">
        <f>IF(Q827="Sin Factura",0,IFERROR(_xlfn.XLOOKUP(1, (Facturas_Odoo!$D:$D=A827) * (Facturas_Odoo!$K:$K=I827), Facturas_Odoo!$N:$N, 0), 0))</f>
        <v/>
      </c>
      <c r="V827" s="79">
        <f>IF(Q827="Sin Factura",0,IFERROR(_xlfn.XLOOKUP(1, (Facturas_Odoo!$D:$D=A827) * (Facturas_Odoo!$K:$K=I827), Facturas_Odoo!$O:$O, 0), 0))</f>
        <v/>
      </c>
      <c r="W827" s="81">
        <f>IF(Q827="Sin Factura",0,IFERROR(_xlfn.XLOOKUP(1, (Facturas_Odoo!$D:$D=A827) * (Facturas_Odoo!$K:$K=I827), Facturas_Odoo!$Q:$Q, 0), 0))</f>
        <v/>
      </c>
      <c r="X827" s="79">
        <f>IF(OR(Q827="Sin Factura",Q827=""),"",IFERROR(INDEX(Pagos_Odoo!$B:$B, MATCH(Q827, Pagos_Odoo!$I:$I, 0)), "Sin Pago"))</f>
        <v/>
      </c>
      <c r="Y827" s="79">
        <f>IF(X827="Sin Pago","",IFERROR(INDEX(Pagos_Odoo!$C:$C, MATCH(X827, Pagos_Odoo!$B:$B, 0)), ""))</f>
        <v/>
      </c>
      <c r="Z827" s="80">
        <f>IF(X827="Sin Pago","",IFERROR(INDEX(Pagos_Odoo!$A:$A, MATCH(X827, Pagos_Odoo!$B:$B, 0)), ""))</f>
        <v/>
      </c>
      <c r="AA827" s="79">
        <f>IF(X827="Sin Pago","",IFERROR(INDEX(Pagos_Odoo!$F:$F, MATCH(X827, Pagos_Odoo!$B:$B, 0)), ""))</f>
        <v/>
      </c>
      <c r="AB827" s="81">
        <f>IF(X827="Sin Pago",0,IFERROR(INDEX(Pagos_Odoo!$E:$E, MATCH(X827, Pagos_Odoo!$B:$B, 0)), 0))</f>
        <v/>
      </c>
      <c r="AC827" s="79">
        <f>IF(X827="Sin Pago","",IFERROR(INDEX(Pagos_Odoo!$G:$G, MATCH(X827, Pagos_Odoo!$B:$B, 0)), ""))</f>
        <v/>
      </c>
      <c r="AD827" s="82" t="n">
        <v>0</v>
      </c>
      <c r="AE827" s="82" t="n"/>
      <c r="AF827" s="82" t="n"/>
      <c r="AG827" s="82">
        <f>IF(AN827="","",AD827+AE827+AF827)</f>
        <v/>
      </c>
      <c r="AH827" s="81">
        <f>IF(AN827="","",P827*(1-AG827))</f>
        <v/>
      </c>
      <c r="AI827" s="81">
        <f>IF(AN827="","",IF(Q827="Sin Factura",0,IFERROR(INDEX(Facturas_Odoo!$H:$H, MATCH(Q827, Facturas_Odoo!$B:$B, 0)), 0)*(1-AG827)))</f>
        <v/>
      </c>
      <c r="AJ827" s="81">
        <f>IF(AN827="","",_xlfn.LET(idVenta, AN827&amp;"",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27" s="81">
        <f>IF(AN827="","",AH827-AJ827)</f>
        <v/>
      </c>
      <c r="AL827" s="81">
        <f>IF(AN827="","",IF(Q827="Sin Factura","",AI827-AJ827))</f>
        <v/>
      </c>
      <c r="AM827" s="81">
        <f>IF(AN827="","",IF(Q827="Sin Factura",0,P827-IFERROR(INDEX(Facturas_Odoo!$H:$H, MATCH(Q827, Facturas_Odoo!$B:$B, 0)), 0)))</f>
        <v/>
      </c>
      <c r="AN827" s="79">
        <f>IF(AND(A827="", J827=""), "", IF(A827&lt;&gt;"", VALUE(MID(A827,2,LEN(A827))), AN826))</f>
        <v/>
      </c>
      <c r="AO827" s="79">
        <f>IF(AN827="","",IF(AD827=0,"OK",_xlfn.LET(monedaPago, IF(AA827="","USD",AA827), limitePermitido, IFERROR(VLOOKUP(monedaPago, Configuración!$A$2:$B$3, 2, FALSE), 0.15), IF(AD827&gt;limitePermitido, "ALERTA: EXCESO (" &amp; TEXT(limitePermitido, "0%") &amp; " máx)", "OK"))))</f>
        <v/>
      </c>
      <c r="AP827" s="79">
        <f>IF(AN827="","",IF(AE827=0,"OK",_xlfn.LET(fechaPago, Z827, fechaFactura, R827, diasCredito, IF(E827="Pago inmediato", 0, IFERROR(VALUE(MID(E827, 1, SEARCH(" ", E827)-1)),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27" s="79">
        <f>IF(AN827="","",IF(AND(N827&gt;0, AG827&gt;0), IF(Configuración!$K$2="NO", "ALERTA: DESCUENTO DOBLE NO PERMITIDO", "OK"), "OK"))</f>
        <v/>
      </c>
      <c r="AR827" s="79">
        <f>IF(AN827="","",IF(OR(AO827&lt;&gt;"OK", AP827&lt;&gt;"OK", AQ827&lt;&gt;"OK"), "⚠️ REVISAR", "OK"))</f>
        <v/>
      </c>
    </row>
    <row r="828">
      <c r="A828" s="79">
        <f>IF('Ordenes_Odoo'!A828="","",'Ordenes_Odoo'!A828)</f>
        <v/>
      </c>
      <c r="B828" s="80">
        <f>IF('Ordenes_Odoo'!B828="","",'Ordenes_Odoo'!B828)</f>
        <v/>
      </c>
      <c r="C828" s="79">
        <f>IF('Ordenes_Odoo'!C828="","",'Ordenes_Odoo'!C828)</f>
        <v/>
      </c>
      <c r="D828" s="79">
        <f>IF('Ordenes_Odoo'!D828="","",'Ordenes_Odoo'!D828)</f>
        <v/>
      </c>
      <c r="E828" s="79">
        <f>IF('Ordenes_Odoo'!E828="","",'Ordenes_Odoo'!E828)</f>
        <v/>
      </c>
      <c r="F828" s="79">
        <f>IF('Ordenes_Odoo'!F828="","",'Ordenes_Odoo'!F828)</f>
        <v/>
      </c>
      <c r="G828" s="79">
        <f>IF('Ordenes_Odoo'!G828="","",'Ordenes_Odoo'!G828)</f>
        <v/>
      </c>
      <c r="H828" s="79">
        <f>IF('Ordenes_Odoo'!H828="","",'Ordenes_Odoo'!H828)</f>
        <v/>
      </c>
      <c r="I828" s="79">
        <f>IF('Ordenes_Odoo'!I828="","",'Ordenes_Odoo'!I828)</f>
        <v/>
      </c>
      <c r="J828" s="79">
        <f>IF('Ordenes_Odoo'!J828="","",'Ordenes_Odoo'!J828)</f>
        <v/>
      </c>
      <c r="K828" s="81">
        <f>IF('Ordenes_Odoo'!K828="","",'Ordenes_Odoo'!K828)</f>
        <v/>
      </c>
      <c r="L828" s="81">
        <f>IF('Ordenes_Odoo'!L828="","",'Ordenes_Odoo'!L828)</f>
        <v/>
      </c>
      <c r="M828" s="79">
        <f>IF('Ordenes_Odoo'!M828="","",'Ordenes_Odoo'!M828)</f>
        <v/>
      </c>
      <c r="N828" s="79">
        <f>IF('Ordenes_Odoo'!N828="","",'Ordenes_Odoo'!N828)</f>
        <v/>
      </c>
      <c r="O828" s="81">
        <f>IF('Ordenes_Odoo'!O828="","",'Ordenes_Odoo'!O828)</f>
        <v/>
      </c>
      <c r="P828" s="81">
        <f>IF('Ordenes_Odoo'!P828="","",'Ordenes_Odoo'!P828)</f>
        <v/>
      </c>
      <c r="Q828" s="79">
        <f>IF(A828="","",IFERROR(INDEX(Facturas_Odoo!$B:$B, MATCH(A828, Facturas_Odoo!$D:$D, 0)), "Sin Factura"))</f>
        <v/>
      </c>
      <c r="R828" s="80">
        <f>IF(Q828="Sin Factura","",IFERROR(INDEX(Facturas_Odoo!$A:$A, MATCH(Q828, Facturas_Odoo!$B:$B, 0)), ""))</f>
        <v/>
      </c>
      <c r="S828" s="79">
        <f>IF(Q828="Sin Factura","",IFERROR(_xlfn.XLOOKUP(1, (Facturas_Odoo!$D:$D=A828) * (Facturas_Odoo!$K:$K=I828), Facturas_Odoo!$L:$L, ""), ""))</f>
        <v/>
      </c>
      <c r="T828" s="81">
        <f>IF(Q828="Sin Factura",0,IFERROR(_xlfn.XLOOKUP(1, (Facturas_Odoo!$D:$D=A828) * (Facturas_Odoo!$K:$K=I828), Facturas_Odoo!$M:$M, 0), 0))</f>
        <v/>
      </c>
      <c r="U828" s="79">
        <f>IF(Q828="Sin Factura",0,IFERROR(_xlfn.XLOOKUP(1, (Facturas_Odoo!$D:$D=A828) * (Facturas_Odoo!$K:$K=I828), Facturas_Odoo!$N:$N, 0), 0))</f>
        <v/>
      </c>
      <c r="V828" s="79">
        <f>IF(Q828="Sin Factura",0,IFERROR(_xlfn.XLOOKUP(1, (Facturas_Odoo!$D:$D=A828) * (Facturas_Odoo!$K:$K=I828), Facturas_Odoo!$O:$O, 0), 0))</f>
        <v/>
      </c>
      <c r="W828" s="81">
        <f>IF(Q828="Sin Factura",0,IFERROR(_xlfn.XLOOKUP(1, (Facturas_Odoo!$D:$D=A828) * (Facturas_Odoo!$K:$K=I828), Facturas_Odoo!$Q:$Q, 0), 0))</f>
        <v/>
      </c>
      <c r="X828" s="79">
        <f>IF(OR(Q828="Sin Factura",Q828=""),"",IFERROR(INDEX(Pagos_Odoo!$B:$B, MATCH(Q828, Pagos_Odoo!$I:$I, 0)), "Sin Pago"))</f>
        <v/>
      </c>
      <c r="Y828" s="79">
        <f>IF(X828="Sin Pago","",IFERROR(INDEX(Pagos_Odoo!$C:$C, MATCH(X828, Pagos_Odoo!$B:$B, 0)), ""))</f>
        <v/>
      </c>
      <c r="Z828" s="80">
        <f>IF(X828="Sin Pago","",IFERROR(INDEX(Pagos_Odoo!$A:$A, MATCH(X828, Pagos_Odoo!$B:$B, 0)), ""))</f>
        <v/>
      </c>
      <c r="AA828" s="79">
        <f>IF(X828="Sin Pago","",IFERROR(INDEX(Pagos_Odoo!$F:$F, MATCH(X828, Pagos_Odoo!$B:$B, 0)), ""))</f>
        <v/>
      </c>
      <c r="AB828" s="81">
        <f>IF(X828="Sin Pago",0,IFERROR(INDEX(Pagos_Odoo!$E:$E, MATCH(X828, Pagos_Odoo!$B:$B, 0)), 0))</f>
        <v/>
      </c>
      <c r="AC828" s="79">
        <f>IF(X828="Sin Pago","",IFERROR(INDEX(Pagos_Odoo!$G:$G, MATCH(X828, Pagos_Odoo!$B:$B, 0)), ""))</f>
        <v/>
      </c>
      <c r="AD828" s="82" t="n">
        <v>0</v>
      </c>
      <c r="AE828" s="82" t="n"/>
      <c r="AF828" s="82" t="n"/>
      <c r="AG828" s="82">
        <f>IF(AN828="","",AD828+AE828+AF828)</f>
        <v/>
      </c>
      <c r="AH828" s="81">
        <f>IF(AN828="","",P828*(1-AG828))</f>
        <v/>
      </c>
      <c r="AI828" s="81">
        <f>IF(AN828="","",IF(Q828="Sin Factura",0,IFERROR(INDEX(Facturas_Odoo!$H:$H, MATCH(Q828, Facturas_Odoo!$B:$B, 0)), 0)*(1-AG828)))</f>
        <v/>
      </c>
      <c r="AJ828" s="81">
        <f>IF(AN828="","",_xlfn.LET(idVenta, AN828&amp;"",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28" s="81">
        <f>IF(AN828="","",AH828-AJ828)</f>
        <v/>
      </c>
      <c r="AL828" s="81">
        <f>IF(AN828="","",IF(Q828="Sin Factura","",AI828-AJ828))</f>
        <v/>
      </c>
      <c r="AM828" s="81">
        <f>IF(AN828="","",IF(Q828="Sin Factura",0,P828-IFERROR(INDEX(Facturas_Odoo!$H:$H, MATCH(Q828, Facturas_Odoo!$B:$B, 0)), 0)))</f>
        <v/>
      </c>
      <c r="AN828" s="79">
        <f>IF(AND(A828="", J828=""), "", IF(A828&lt;&gt;"", VALUE(MID(A828,2,LEN(A828))), AN827))</f>
        <v/>
      </c>
      <c r="AO828" s="79">
        <f>IF(AN828="","",IF(AD828=0,"OK",_xlfn.LET(monedaPago, IF(AA828="","USD",AA828), limitePermitido, IFERROR(VLOOKUP(monedaPago, Configuración!$A$2:$B$3, 2, FALSE), 0.15), IF(AD828&gt;limitePermitido, "ALERTA: EXCESO (" &amp; TEXT(limitePermitido, "0%") &amp; " máx)", "OK"))))</f>
        <v/>
      </c>
      <c r="AP828" s="79">
        <f>IF(AN828="","",IF(AE828=0,"OK",_xlfn.LET(fechaPago, Z828, fechaFactura, R828, diasCredito, IF(E828="Pago inmediato", 0, IFERROR(VALUE(MID(E828, 1, SEARCH(" ", E828)-1)),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28" s="79">
        <f>IF(AN828="","",IF(AND(N828&gt;0, AG828&gt;0), IF(Configuración!$K$2="NO", "ALERTA: DESCUENTO DOBLE NO PERMITIDO", "OK"), "OK"))</f>
        <v/>
      </c>
      <c r="AR828" s="79">
        <f>IF(AN828="","",IF(OR(AO828&lt;&gt;"OK", AP828&lt;&gt;"OK", AQ828&lt;&gt;"OK"), "⚠️ REVISAR", "OK"))</f>
        <v/>
      </c>
    </row>
    <row r="829">
      <c r="A829" s="79">
        <f>IF('Ordenes_Odoo'!A829="","",'Ordenes_Odoo'!A829)</f>
        <v/>
      </c>
      <c r="B829" s="80">
        <f>IF('Ordenes_Odoo'!B829="","",'Ordenes_Odoo'!B829)</f>
        <v/>
      </c>
      <c r="C829" s="79">
        <f>IF('Ordenes_Odoo'!C829="","",'Ordenes_Odoo'!C829)</f>
        <v/>
      </c>
      <c r="D829" s="79">
        <f>IF('Ordenes_Odoo'!D829="","",'Ordenes_Odoo'!D829)</f>
        <v/>
      </c>
      <c r="E829" s="79">
        <f>IF('Ordenes_Odoo'!E829="","",'Ordenes_Odoo'!E829)</f>
        <v/>
      </c>
      <c r="F829" s="79">
        <f>IF('Ordenes_Odoo'!F829="","",'Ordenes_Odoo'!F829)</f>
        <v/>
      </c>
      <c r="G829" s="79">
        <f>IF('Ordenes_Odoo'!G829="","",'Ordenes_Odoo'!G829)</f>
        <v/>
      </c>
      <c r="H829" s="79">
        <f>IF('Ordenes_Odoo'!H829="","",'Ordenes_Odoo'!H829)</f>
        <v/>
      </c>
      <c r="I829" s="79">
        <f>IF('Ordenes_Odoo'!I829="","",'Ordenes_Odoo'!I829)</f>
        <v/>
      </c>
      <c r="J829" s="79">
        <f>IF('Ordenes_Odoo'!J829="","",'Ordenes_Odoo'!J829)</f>
        <v/>
      </c>
      <c r="K829" s="81">
        <f>IF('Ordenes_Odoo'!K829="","",'Ordenes_Odoo'!K829)</f>
        <v/>
      </c>
      <c r="L829" s="81">
        <f>IF('Ordenes_Odoo'!L829="","",'Ordenes_Odoo'!L829)</f>
        <v/>
      </c>
      <c r="M829" s="79">
        <f>IF('Ordenes_Odoo'!M829="","",'Ordenes_Odoo'!M829)</f>
        <v/>
      </c>
      <c r="N829" s="79">
        <f>IF('Ordenes_Odoo'!N829="","",'Ordenes_Odoo'!N829)</f>
        <v/>
      </c>
      <c r="O829" s="81">
        <f>IF('Ordenes_Odoo'!O829="","",'Ordenes_Odoo'!O829)</f>
        <v/>
      </c>
      <c r="P829" s="81">
        <f>IF('Ordenes_Odoo'!P829="","",'Ordenes_Odoo'!P829)</f>
        <v/>
      </c>
      <c r="Q829" s="79">
        <f>IF(A829="","",IFERROR(INDEX(Facturas_Odoo!$B:$B, MATCH(A829, Facturas_Odoo!$D:$D, 0)), "Sin Factura"))</f>
        <v/>
      </c>
      <c r="R829" s="80">
        <f>IF(Q829="Sin Factura","",IFERROR(INDEX(Facturas_Odoo!$A:$A, MATCH(Q829, Facturas_Odoo!$B:$B, 0)), ""))</f>
        <v/>
      </c>
      <c r="S829" s="79">
        <f>IF(Q829="Sin Factura","",IFERROR(_xlfn.XLOOKUP(1, (Facturas_Odoo!$D:$D=A829) * (Facturas_Odoo!$K:$K=I829), Facturas_Odoo!$L:$L, ""), ""))</f>
        <v/>
      </c>
      <c r="T829" s="81">
        <f>IF(Q829="Sin Factura",0,IFERROR(_xlfn.XLOOKUP(1, (Facturas_Odoo!$D:$D=A829) * (Facturas_Odoo!$K:$K=I829), Facturas_Odoo!$M:$M, 0), 0))</f>
        <v/>
      </c>
      <c r="U829" s="79">
        <f>IF(Q829="Sin Factura",0,IFERROR(_xlfn.XLOOKUP(1, (Facturas_Odoo!$D:$D=A829) * (Facturas_Odoo!$K:$K=I829), Facturas_Odoo!$N:$N, 0), 0))</f>
        <v/>
      </c>
      <c r="V829" s="79">
        <f>IF(Q829="Sin Factura",0,IFERROR(_xlfn.XLOOKUP(1, (Facturas_Odoo!$D:$D=A829) * (Facturas_Odoo!$K:$K=I829), Facturas_Odoo!$O:$O, 0), 0))</f>
        <v/>
      </c>
      <c r="W829" s="81">
        <f>IF(Q829="Sin Factura",0,IFERROR(_xlfn.XLOOKUP(1, (Facturas_Odoo!$D:$D=A829) * (Facturas_Odoo!$K:$K=I829), Facturas_Odoo!$Q:$Q, 0), 0))</f>
        <v/>
      </c>
      <c r="X829" s="79">
        <f>IF(OR(Q829="Sin Factura",Q829=""),"",IFERROR(INDEX(Pagos_Odoo!$B:$B, MATCH(Q829, Pagos_Odoo!$I:$I, 0)), "Sin Pago"))</f>
        <v/>
      </c>
      <c r="Y829" s="79">
        <f>IF(X829="Sin Pago","",IFERROR(INDEX(Pagos_Odoo!$C:$C, MATCH(X829, Pagos_Odoo!$B:$B, 0)), ""))</f>
        <v/>
      </c>
      <c r="Z829" s="80">
        <f>IF(X829="Sin Pago","",IFERROR(INDEX(Pagos_Odoo!$A:$A, MATCH(X829, Pagos_Odoo!$B:$B, 0)), ""))</f>
        <v/>
      </c>
      <c r="AA829" s="79">
        <f>IF(X829="Sin Pago","",IFERROR(INDEX(Pagos_Odoo!$F:$F, MATCH(X829, Pagos_Odoo!$B:$B, 0)), ""))</f>
        <v/>
      </c>
      <c r="AB829" s="81">
        <f>IF(X829="Sin Pago",0,IFERROR(INDEX(Pagos_Odoo!$E:$E, MATCH(X829, Pagos_Odoo!$B:$B, 0)), 0))</f>
        <v/>
      </c>
      <c r="AC829" s="79">
        <f>IF(X829="Sin Pago","",IFERROR(INDEX(Pagos_Odoo!$G:$G, MATCH(X829, Pagos_Odoo!$B:$B, 0)), ""))</f>
        <v/>
      </c>
      <c r="AD829" s="82" t="n">
        <v>0</v>
      </c>
      <c r="AE829" s="82" t="n"/>
      <c r="AF829" s="82" t="n"/>
      <c r="AG829" s="82">
        <f>IF(AN829="","",AD829+AE829+AF829)</f>
        <v/>
      </c>
      <c r="AH829" s="81">
        <f>IF(AN829="","",P829*(1-AG829))</f>
        <v/>
      </c>
      <c r="AI829" s="81">
        <f>IF(AN829="","",IF(Q829="Sin Factura",0,IFERROR(INDEX(Facturas_Odoo!$H:$H, MATCH(Q829, Facturas_Odoo!$B:$B, 0)), 0)*(1-AG829)))</f>
        <v/>
      </c>
      <c r="AJ829" s="81">
        <f>IF(AN829="","",_xlfn.LET(idVenta, AN829&amp;"",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29" s="81">
        <f>IF(AN829="","",AH829-AJ829)</f>
        <v/>
      </c>
      <c r="AL829" s="81">
        <f>IF(AN829="","",IF(Q829="Sin Factura","",AI829-AJ829))</f>
        <v/>
      </c>
      <c r="AM829" s="81">
        <f>IF(AN829="","",IF(Q829="Sin Factura",0,P829-IFERROR(INDEX(Facturas_Odoo!$H:$H, MATCH(Q829, Facturas_Odoo!$B:$B, 0)), 0)))</f>
        <v/>
      </c>
      <c r="AN829" s="79">
        <f>IF(AND(A829="", J829=""), "", IF(A829&lt;&gt;"", VALUE(MID(A829,2,LEN(A829))), AN828))</f>
        <v/>
      </c>
      <c r="AO829" s="79">
        <f>IF(AN829="","",IF(AD829=0,"OK",_xlfn.LET(monedaPago, IF(AA829="","USD",AA829), limitePermitido, IFERROR(VLOOKUP(monedaPago, Configuración!$A$2:$B$3, 2, FALSE), 0.15), IF(AD829&gt;limitePermitido, "ALERTA: EXCESO (" &amp; TEXT(limitePermitido, "0%") &amp; " máx)", "OK"))))</f>
        <v/>
      </c>
      <c r="AP829" s="79">
        <f>IF(AN829="","",IF(AE829=0,"OK",_xlfn.LET(fechaPago, Z829, fechaFactura, R829, diasCredito, IF(E829="Pago inmediato", 0, IFERROR(VALUE(MID(E829, 1, SEARCH(" ", E829)-1)),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29" s="79">
        <f>IF(AN829="","",IF(AND(N829&gt;0, AG829&gt;0), IF(Configuración!$K$2="NO", "ALERTA: DESCUENTO DOBLE NO PERMITIDO", "OK"), "OK"))</f>
        <v/>
      </c>
      <c r="AR829" s="79">
        <f>IF(AN829="","",IF(OR(AO829&lt;&gt;"OK", AP829&lt;&gt;"OK", AQ829&lt;&gt;"OK"), "⚠️ REVISAR", "OK"))</f>
        <v/>
      </c>
    </row>
    <row r="830">
      <c r="A830" s="79">
        <f>IF('Ordenes_Odoo'!A830="","",'Ordenes_Odoo'!A830)</f>
        <v/>
      </c>
      <c r="B830" s="80">
        <f>IF('Ordenes_Odoo'!B830="","",'Ordenes_Odoo'!B830)</f>
        <v/>
      </c>
      <c r="C830" s="79">
        <f>IF('Ordenes_Odoo'!C830="","",'Ordenes_Odoo'!C830)</f>
        <v/>
      </c>
      <c r="D830" s="79">
        <f>IF('Ordenes_Odoo'!D830="","",'Ordenes_Odoo'!D830)</f>
        <v/>
      </c>
      <c r="E830" s="79">
        <f>IF('Ordenes_Odoo'!E830="","",'Ordenes_Odoo'!E830)</f>
        <v/>
      </c>
      <c r="F830" s="79">
        <f>IF('Ordenes_Odoo'!F830="","",'Ordenes_Odoo'!F830)</f>
        <v/>
      </c>
      <c r="G830" s="79">
        <f>IF('Ordenes_Odoo'!G830="","",'Ordenes_Odoo'!G830)</f>
        <v/>
      </c>
      <c r="H830" s="79">
        <f>IF('Ordenes_Odoo'!H830="","",'Ordenes_Odoo'!H830)</f>
        <v/>
      </c>
      <c r="I830" s="79">
        <f>IF('Ordenes_Odoo'!I830="","",'Ordenes_Odoo'!I830)</f>
        <v/>
      </c>
      <c r="J830" s="79">
        <f>IF('Ordenes_Odoo'!J830="","",'Ordenes_Odoo'!J830)</f>
        <v/>
      </c>
      <c r="K830" s="81">
        <f>IF('Ordenes_Odoo'!K830="","",'Ordenes_Odoo'!K830)</f>
        <v/>
      </c>
      <c r="L830" s="81">
        <f>IF('Ordenes_Odoo'!L830="","",'Ordenes_Odoo'!L830)</f>
        <v/>
      </c>
      <c r="M830" s="79">
        <f>IF('Ordenes_Odoo'!M830="","",'Ordenes_Odoo'!M830)</f>
        <v/>
      </c>
      <c r="N830" s="79">
        <f>IF('Ordenes_Odoo'!N830="","",'Ordenes_Odoo'!N830)</f>
        <v/>
      </c>
      <c r="O830" s="81">
        <f>IF('Ordenes_Odoo'!O830="","",'Ordenes_Odoo'!O830)</f>
        <v/>
      </c>
      <c r="P830" s="81">
        <f>IF('Ordenes_Odoo'!P830="","",'Ordenes_Odoo'!P830)</f>
        <v/>
      </c>
      <c r="Q830" s="79">
        <f>IF(A830="","",IFERROR(INDEX(Facturas_Odoo!$B:$B, MATCH(A830, Facturas_Odoo!$D:$D, 0)), "Sin Factura"))</f>
        <v/>
      </c>
      <c r="R830" s="80">
        <f>IF(Q830="Sin Factura","",IFERROR(INDEX(Facturas_Odoo!$A:$A, MATCH(Q830, Facturas_Odoo!$B:$B, 0)), ""))</f>
        <v/>
      </c>
      <c r="S830" s="79">
        <f>IF(Q830="Sin Factura","",IFERROR(_xlfn.XLOOKUP(1, (Facturas_Odoo!$D:$D=A830) * (Facturas_Odoo!$K:$K=I830), Facturas_Odoo!$L:$L, ""), ""))</f>
        <v/>
      </c>
      <c r="T830" s="81">
        <f>IF(Q830="Sin Factura",0,IFERROR(_xlfn.XLOOKUP(1, (Facturas_Odoo!$D:$D=A830) * (Facturas_Odoo!$K:$K=I830), Facturas_Odoo!$M:$M, 0), 0))</f>
        <v/>
      </c>
      <c r="U830" s="79">
        <f>IF(Q830="Sin Factura",0,IFERROR(_xlfn.XLOOKUP(1, (Facturas_Odoo!$D:$D=A830) * (Facturas_Odoo!$K:$K=I830), Facturas_Odoo!$N:$N, 0), 0))</f>
        <v/>
      </c>
      <c r="V830" s="79">
        <f>IF(Q830="Sin Factura",0,IFERROR(_xlfn.XLOOKUP(1, (Facturas_Odoo!$D:$D=A830) * (Facturas_Odoo!$K:$K=I830), Facturas_Odoo!$O:$O, 0), 0))</f>
        <v/>
      </c>
      <c r="W830" s="81">
        <f>IF(Q830="Sin Factura",0,IFERROR(_xlfn.XLOOKUP(1, (Facturas_Odoo!$D:$D=A830) * (Facturas_Odoo!$K:$K=I830), Facturas_Odoo!$Q:$Q, 0), 0))</f>
        <v/>
      </c>
      <c r="X830" s="79">
        <f>IF(OR(Q830="Sin Factura",Q830=""),"",IFERROR(INDEX(Pagos_Odoo!$B:$B, MATCH(Q830, Pagos_Odoo!$I:$I, 0)), "Sin Pago"))</f>
        <v/>
      </c>
      <c r="Y830" s="79">
        <f>IF(X830="Sin Pago","",IFERROR(INDEX(Pagos_Odoo!$C:$C, MATCH(X830, Pagos_Odoo!$B:$B, 0)), ""))</f>
        <v/>
      </c>
      <c r="Z830" s="80">
        <f>IF(X830="Sin Pago","",IFERROR(INDEX(Pagos_Odoo!$A:$A, MATCH(X830, Pagos_Odoo!$B:$B, 0)), ""))</f>
        <v/>
      </c>
      <c r="AA830" s="79">
        <f>IF(X830="Sin Pago","",IFERROR(INDEX(Pagos_Odoo!$F:$F, MATCH(X830, Pagos_Odoo!$B:$B, 0)), ""))</f>
        <v/>
      </c>
      <c r="AB830" s="81">
        <f>IF(X830="Sin Pago",0,IFERROR(INDEX(Pagos_Odoo!$E:$E, MATCH(X830, Pagos_Odoo!$B:$B, 0)), 0))</f>
        <v/>
      </c>
      <c r="AC830" s="79">
        <f>IF(X830="Sin Pago","",IFERROR(INDEX(Pagos_Odoo!$G:$G, MATCH(X830, Pagos_Odoo!$B:$B, 0)), ""))</f>
        <v/>
      </c>
      <c r="AD830" s="82" t="n">
        <v>0</v>
      </c>
      <c r="AE830" s="82" t="n"/>
      <c r="AF830" s="82" t="n"/>
      <c r="AG830" s="82">
        <f>IF(AN830="","",AD830+AE830+AF830)</f>
        <v/>
      </c>
      <c r="AH830" s="81">
        <f>IF(AN830="","",P830*(1-AG830))</f>
        <v/>
      </c>
      <c r="AI830" s="81">
        <f>IF(AN830="","",IF(Q830="Sin Factura",0,IFERROR(INDEX(Facturas_Odoo!$H:$H, MATCH(Q830, Facturas_Odoo!$B:$B, 0)), 0)*(1-AG830)))</f>
        <v/>
      </c>
      <c r="AJ830" s="81">
        <f>IF(AN830="","",_xlfn.LET(idVenta, AN830&amp;"",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30" s="81">
        <f>IF(AN830="","",AH830-AJ830)</f>
        <v/>
      </c>
      <c r="AL830" s="81">
        <f>IF(AN830="","",IF(Q830="Sin Factura","",AI830-AJ830))</f>
        <v/>
      </c>
      <c r="AM830" s="81">
        <f>IF(AN830="","",IF(Q830="Sin Factura",0,P830-IFERROR(INDEX(Facturas_Odoo!$H:$H, MATCH(Q830, Facturas_Odoo!$B:$B, 0)), 0)))</f>
        <v/>
      </c>
      <c r="AN830" s="79">
        <f>IF(AND(A830="", J830=""), "", IF(A830&lt;&gt;"", VALUE(MID(A830,2,LEN(A830))), AN829))</f>
        <v/>
      </c>
      <c r="AO830" s="79">
        <f>IF(AN830="","",IF(AD830=0,"OK",_xlfn.LET(monedaPago, IF(AA830="","USD",AA830), limitePermitido, IFERROR(VLOOKUP(monedaPago, Configuración!$A$2:$B$3, 2, FALSE), 0.15), IF(AD830&gt;limitePermitido, "ALERTA: EXCESO (" &amp; TEXT(limitePermitido, "0%") &amp; " máx)", "OK"))))</f>
        <v/>
      </c>
      <c r="AP830" s="79">
        <f>IF(AN830="","",IF(AE830=0,"OK",_xlfn.LET(fechaPago, Z830, fechaFactura, R830, diasCredito, IF(E830="Pago inmediato", 0, IFERROR(VALUE(MID(E830, 1, SEARCH(" ", E830)-1)),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30" s="79">
        <f>IF(AN830="","",IF(AND(N830&gt;0, AG830&gt;0), IF(Configuración!$K$2="NO", "ALERTA: DESCUENTO DOBLE NO PERMITIDO", "OK"), "OK"))</f>
        <v/>
      </c>
      <c r="AR830" s="79">
        <f>IF(AN830="","",IF(OR(AO830&lt;&gt;"OK", AP830&lt;&gt;"OK", AQ830&lt;&gt;"OK"), "⚠️ REVISAR", "OK"))</f>
        <v/>
      </c>
    </row>
    <row r="831">
      <c r="A831" s="79">
        <f>IF('Ordenes_Odoo'!A831="","",'Ordenes_Odoo'!A831)</f>
        <v/>
      </c>
      <c r="B831" s="80">
        <f>IF('Ordenes_Odoo'!B831="","",'Ordenes_Odoo'!B831)</f>
        <v/>
      </c>
      <c r="C831" s="79">
        <f>IF('Ordenes_Odoo'!C831="","",'Ordenes_Odoo'!C831)</f>
        <v/>
      </c>
      <c r="D831" s="79">
        <f>IF('Ordenes_Odoo'!D831="","",'Ordenes_Odoo'!D831)</f>
        <v/>
      </c>
      <c r="E831" s="79">
        <f>IF('Ordenes_Odoo'!E831="","",'Ordenes_Odoo'!E831)</f>
        <v/>
      </c>
      <c r="F831" s="79">
        <f>IF('Ordenes_Odoo'!F831="","",'Ordenes_Odoo'!F831)</f>
        <v/>
      </c>
      <c r="G831" s="79">
        <f>IF('Ordenes_Odoo'!G831="","",'Ordenes_Odoo'!G831)</f>
        <v/>
      </c>
      <c r="H831" s="79">
        <f>IF('Ordenes_Odoo'!H831="","",'Ordenes_Odoo'!H831)</f>
        <v/>
      </c>
      <c r="I831" s="79">
        <f>IF('Ordenes_Odoo'!I831="","",'Ordenes_Odoo'!I831)</f>
        <v/>
      </c>
      <c r="J831" s="79">
        <f>IF('Ordenes_Odoo'!J831="","",'Ordenes_Odoo'!J831)</f>
        <v/>
      </c>
      <c r="K831" s="81">
        <f>IF('Ordenes_Odoo'!K831="","",'Ordenes_Odoo'!K831)</f>
        <v/>
      </c>
      <c r="L831" s="81">
        <f>IF('Ordenes_Odoo'!L831="","",'Ordenes_Odoo'!L831)</f>
        <v/>
      </c>
      <c r="M831" s="79">
        <f>IF('Ordenes_Odoo'!M831="","",'Ordenes_Odoo'!M831)</f>
        <v/>
      </c>
      <c r="N831" s="79">
        <f>IF('Ordenes_Odoo'!N831="","",'Ordenes_Odoo'!N831)</f>
        <v/>
      </c>
      <c r="O831" s="81">
        <f>IF('Ordenes_Odoo'!O831="","",'Ordenes_Odoo'!O831)</f>
        <v/>
      </c>
      <c r="P831" s="81">
        <f>IF('Ordenes_Odoo'!P831="","",'Ordenes_Odoo'!P831)</f>
        <v/>
      </c>
      <c r="Q831" s="79">
        <f>IF(A831="","",IFERROR(INDEX(Facturas_Odoo!$B:$B, MATCH(A831, Facturas_Odoo!$D:$D, 0)), "Sin Factura"))</f>
        <v/>
      </c>
      <c r="R831" s="80">
        <f>IF(Q831="Sin Factura","",IFERROR(INDEX(Facturas_Odoo!$A:$A, MATCH(Q831, Facturas_Odoo!$B:$B, 0)), ""))</f>
        <v/>
      </c>
      <c r="S831" s="79">
        <f>IF(Q831="Sin Factura","",IFERROR(_xlfn.XLOOKUP(1, (Facturas_Odoo!$D:$D=A831) * (Facturas_Odoo!$K:$K=I831), Facturas_Odoo!$L:$L, ""), ""))</f>
        <v/>
      </c>
      <c r="T831" s="81">
        <f>IF(Q831="Sin Factura",0,IFERROR(_xlfn.XLOOKUP(1, (Facturas_Odoo!$D:$D=A831) * (Facturas_Odoo!$K:$K=I831), Facturas_Odoo!$M:$M, 0), 0))</f>
        <v/>
      </c>
      <c r="U831" s="79">
        <f>IF(Q831="Sin Factura",0,IFERROR(_xlfn.XLOOKUP(1, (Facturas_Odoo!$D:$D=A831) * (Facturas_Odoo!$K:$K=I831), Facturas_Odoo!$N:$N, 0), 0))</f>
        <v/>
      </c>
      <c r="V831" s="79">
        <f>IF(Q831="Sin Factura",0,IFERROR(_xlfn.XLOOKUP(1, (Facturas_Odoo!$D:$D=A831) * (Facturas_Odoo!$K:$K=I831), Facturas_Odoo!$O:$O, 0), 0))</f>
        <v/>
      </c>
      <c r="W831" s="81">
        <f>IF(Q831="Sin Factura",0,IFERROR(_xlfn.XLOOKUP(1, (Facturas_Odoo!$D:$D=A831) * (Facturas_Odoo!$K:$K=I831), Facturas_Odoo!$Q:$Q, 0), 0))</f>
        <v/>
      </c>
      <c r="X831" s="79">
        <f>IF(OR(Q831="Sin Factura",Q831=""),"",IFERROR(INDEX(Pagos_Odoo!$B:$B, MATCH(Q831, Pagos_Odoo!$I:$I, 0)), "Sin Pago"))</f>
        <v/>
      </c>
      <c r="Y831" s="79">
        <f>IF(X831="Sin Pago","",IFERROR(INDEX(Pagos_Odoo!$C:$C, MATCH(X831, Pagos_Odoo!$B:$B, 0)), ""))</f>
        <v/>
      </c>
      <c r="Z831" s="80">
        <f>IF(X831="Sin Pago","",IFERROR(INDEX(Pagos_Odoo!$A:$A, MATCH(X831, Pagos_Odoo!$B:$B, 0)), ""))</f>
        <v/>
      </c>
      <c r="AA831" s="79">
        <f>IF(X831="Sin Pago","",IFERROR(INDEX(Pagos_Odoo!$F:$F, MATCH(X831, Pagos_Odoo!$B:$B, 0)), ""))</f>
        <v/>
      </c>
      <c r="AB831" s="81">
        <f>IF(X831="Sin Pago",0,IFERROR(INDEX(Pagos_Odoo!$E:$E, MATCH(X831, Pagos_Odoo!$B:$B, 0)), 0))</f>
        <v/>
      </c>
      <c r="AC831" s="79">
        <f>IF(X831="Sin Pago","",IFERROR(INDEX(Pagos_Odoo!$G:$G, MATCH(X831, Pagos_Odoo!$B:$B, 0)), ""))</f>
        <v/>
      </c>
      <c r="AD831" s="82" t="n">
        <v>0</v>
      </c>
      <c r="AE831" s="82" t="n"/>
      <c r="AF831" s="82" t="n"/>
      <c r="AG831" s="82">
        <f>IF(AN831="","",AD831+AE831+AF831)</f>
        <v/>
      </c>
      <c r="AH831" s="81">
        <f>IF(AN831="","",P831*(1-AG831))</f>
        <v/>
      </c>
      <c r="AI831" s="81">
        <f>IF(AN831="","",IF(Q831="Sin Factura",0,IFERROR(INDEX(Facturas_Odoo!$H:$H, MATCH(Q831, Facturas_Odoo!$B:$B, 0)), 0)*(1-AG831)))</f>
        <v/>
      </c>
      <c r="AJ831" s="81">
        <f>IF(AN831="","",_xlfn.LET(idVenta, AN831&amp;"",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31" s="81">
        <f>IF(AN831="","",AH831-AJ831)</f>
        <v/>
      </c>
      <c r="AL831" s="81">
        <f>IF(AN831="","",IF(Q831="Sin Factura","",AI831-AJ831))</f>
        <v/>
      </c>
      <c r="AM831" s="81">
        <f>IF(AN831="","",IF(Q831="Sin Factura",0,P831-IFERROR(INDEX(Facturas_Odoo!$H:$H, MATCH(Q831, Facturas_Odoo!$B:$B, 0)), 0)))</f>
        <v/>
      </c>
      <c r="AN831" s="79">
        <f>IF(AND(A831="", J831=""), "", IF(A831&lt;&gt;"", VALUE(MID(A831,2,LEN(A831))), AN830))</f>
        <v/>
      </c>
      <c r="AO831" s="79">
        <f>IF(AN831="","",IF(AD831=0,"OK",_xlfn.LET(monedaPago, IF(AA831="","USD",AA831), limitePermitido, IFERROR(VLOOKUP(monedaPago, Configuración!$A$2:$B$3, 2, FALSE), 0.15), IF(AD831&gt;limitePermitido, "ALERTA: EXCESO (" &amp; TEXT(limitePermitido, "0%") &amp; " máx)", "OK"))))</f>
        <v/>
      </c>
      <c r="AP831" s="79">
        <f>IF(AN831="","",IF(AE831=0,"OK",_xlfn.LET(fechaPago, Z831, fechaFactura, R831, diasCredito, IF(E831="Pago inmediato", 0, IFERROR(VALUE(MID(E831, 1, SEARCH(" ", E831)-1)),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31" s="79">
        <f>IF(AN831="","",IF(AND(N831&gt;0, AG831&gt;0), IF(Configuración!$K$2="NO", "ALERTA: DESCUENTO DOBLE NO PERMITIDO", "OK"), "OK"))</f>
        <v/>
      </c>
      <c r="AR831" s="79">
        <f>IF(AN831="","",IF(OR(AO831&lt;&gt;"OK", AP831&lt;&gt;"OK", AQ831&lt;&gt;"OK"), "⚠️ REVISAR", "OK"))</f>
        <v/>
      </c>
    </row>
    <row r="832">
      <c r="A832" s="79">
        <f>IF('Ordenes_Odoo'!A832="","",'Ordenes_Odoo'!A832)</f>
        <v/>
      </c>
      <c r="B832" s="80">
        <f>IF('Ordenes_Odoo'!B832="","",'Ordenes_Odoo'!B832)</f>
        <v/>
      </c>
      <c r="C832" s="79">
        <f>IF('Ordenes_Odoo'!C832="","",'Ordenes_Odoo'!C832)</f>
        <v/>
      </c>
      <c r="D832" s="79">
        <f>IF('Ordenes_Odoo'!D832="","",'Ordenes_Odoo'!D832)</f>
        <v/>
      </c>
      <c r="E832" s="79">
        <f>IF('Ordenes_Odoo'!E832="","",'Ordenes_Odoo'!E832)</f>
        <v/>
      </c>
      <c r="F832" s="79">
        <f>IF('Ordenes_Odoo'!F832="","",'Ordenes_Odoo'!F832)</f>
        <v/>
      </c>
      <c r="G832" s="79">
        <f>IF('Ordenes_Odoo'!G832="","",'Ordenes_Odoo'!G832)</f>
        <v/>
      </c>
      <c r="H832" s="79">
        <f>IF('Ordenes_Odoo'!H832="","",'Ordenes_Odoo'!H832)</f>
        <v/>
      </c>
      <c r="I832" s="79">
        <f>IF('Ordenes_Odoo'!I832="","",'Ordenes_Odoo'!I832)</f>
        <v/>
      </c>
      <c r="J832" s="79">
        <f>IF('Ordenes_Odoo'!J832="","",'Ordenes_Odoo'!J832)</f>
        <v/>
      </c>
      <c r="K832" s="81">
        <f>IF('Ordenes_Odoo'!K832="","",'Ordenes_Odoo'!K832)</f>
        <v/>
      </c>
      <c r="L832" s="81">
        <f>IF('Ordenes_Odoo'!L832="","",'Ordenes_Odoo'!L832)</f>
        <v/>
      </c>
      <c r="M832" s="79">
        <f>IF('Ordenes_Odoo'!M832="","",'Ordenes_Odoo'!M832)</f>
        <v/>
      </c>
      <c r="N832" s="79">
        <f>IF('Ordenes_Odoo'!N832="","",'Ordenes_Odoo'!N832)</f>
        <v/>
      </c>
      <c r="O832" s="81">
        <f>IF('Ordenes_Odoo'!O832="","",'Ordenes_Odoo'!O832)</f>
        <v/>
      </c>
      <c r="P832" s="81">
        <f>IF('Ordenes_Odoo'!P832="","",'Ordenes_Odoo'!P832)</f>
        <v/>
      </c>
      <c r="Q832" s="79">
        <f>IF(A832="","",IFERROR(INDEX(Facturas_Odoo!$B:$B, MATCH(A832, Facturas_Odoo!$D:$D, 0)), "Sin Factura"))</f>
        <v/>
      </c>
      <c r="R832" s="80">
        <f>IF(Q832="Sin Factura","",IFERROR(INDEX(Facturas_Odoo!$A:$A, MATCH(Q832, Facturas_Odoo!$B:$B, 0)), ""))</f>
        <v/>
      </c>
      <c r="S832" s="79">
        <f>IF(Q832="Sin Factura","",IFERROR(_xlfn.XLOOKUP(1, (Facturas_Odoo!$D:$D=A832) * (Facturas_Odoo!$K:$K=I832), Facturas_Odoo!$L:$L, ""), ""))</f>
        <v/>
      </c>
      <c r="T832" s="81">
        <f>IF(Q832="Sin Factura",0,IFERROR(_xlfn.XLOOKUP(1, (Facturas_Odoo!$D:$D=A832) * (Facturas_Odoo!$K:$K=I832), Facturas_Odoo!$M:$M, 0), 0))</f>
        <v/>
      </c>
      <c r="U832" s="79">
        <f>IF(Q832="Sin Factura",0,IFERROR(_xlfn.XLOOKUP(1, (Facturas_Odoo!$D:$D=A832) * (Facturas_Odoo!$K:$K=I832), Facturas_Odoo!$N:$N, 0), 0))</f>
        <v/>
      </c>
      <c r="V832" s="79">
        <f>IF(Q832="Sin Factura",0,IFERROR(_xlfn.XLOOKUP(1, (Facturas_Odoo!$D:$D=A832) * (Facturas_Odoo!$K:$K=I832), Facturas_Odoo!$O:$O, 0), 0))</f>
        <v/>
      </c>
      <c r="W832" s="81">
        <f>IF(Q832="Sin Factura",0,IFERROR(_xlfn.XLOOKUP(1, (Facturas_Odoo!$D:$D=A832) * (Facturas_Odoo!$K:$K=I832), Facturas_Odoo!$Q:$Q, 0), 0))</f>
        <v/>
      </c>
      <c r="X832" s="79">
        <f>IF(OR(Q832="Sin Factura",Q832=""),"",IFERROR(INDEX(Pagos_Odoo!$B:$B, MATCH(Q832, Pagos_Odoo!$I:$I, 0)), "Sin Pago"))</f>
        <v/>
      </c>
      <c r="Y832" s="79">
        <f>IF(X832="Sin Pago","",IFERROR(INDEX(Pagos_Odoo!$C:$C, MATCH(X832, Pagos_Odoo!$B:$B, 0)), ""))</f>
        <v/>
      </c>
      <c r="Z832" s="80">
        <f>IF(X832="Sin Pago","",IFERROR(INDEX(Pagos_Odoo!$A:$A, MATCH(X832, Pagos_Odoo!$B:$B, 0)), ""))</f>
        <v/>
      </c>
      <c r="AA832" s="79">
        <f>IF(X832="Sin Pago","",IFERROR(INDEX(Pagos_Odoo!$F:$F, MATCH(X832, Pagos_Odoo!$B:$B, 0)), ""))</f>
        <v/>
      </c>
      <c r="AB832" s="81">
        <f>IF(X832="Sin Pago",0,IFERROR(INDEX(Pagos_Odoo!$E:$E, MATCH(X832, Pagos_Odoo!$B:$B, 0)), 0))</f>
        <v/>
      </c>
      <c r="AC832" s="79">
        <f>IF(X832="Sin Pago","",IFERROR(INDEX(Pagos_Odoo!$G:$G, MATCH(X832, Pagos_Odoo!$B:$B, 0)), ""))</f>
        <v/>
      </c>
      <c r="AD832" s="82" t="n">
        <v>0</v>
      </c>
      <c r="AE832" s="82" t="n"/>
      <c r="AF832" s="82" t="n"/>
      <c r="AG832" s="82">
        <f>IF(AN832="","",AD832+AE832+AF832)</f>
        <v/>
      </c>
      <c r="AH832" s="81">
        <f>IF(AN832="","",P832*(1-AG832))</f>
        <v/>
      </c>
      <c r="AI832" s="81">
        <f>IF(AN832="","",IF(Q832="Sin Factura",0,IFERROR(INDEX(Facturas_Odoo!$H:$H, MATCH(Q832, Facturas_Odoo!$B:$B, 0)), 0)*(1-AG832)))</f>
        <v/>
      </c>
      <c r="AJ832" s="81">
        <f>IF(AN832="","",_xlfn.LET(idVenta, AN832&amp;"",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32" s="81">
        <f>IF(AN832="","",AH832-AJ832)</f>
        <v/>
      </c>
      <c r="AL832" s="81">
        <f>IF(AN832="","",IF(Q832="Sin Factura","",AI832-AJ832))</f>
        <v/>
      </c>
      <c r="AM832" s="81">
        <f>IF(AN832="","",IF(Q832="Sin Factura",0,P832-IFERROR(INDEX(Facturas_Odoo!$H:$H, MATCH(Q832, Facturas_Odoo!$B:$B, 0)), 0)))</f>
        <v/>
      </c>
      <c r="AN832" s="79">
        <f>IF(AND(A832="", J832=""), "", IF(A832&lt;&gt;"", VALUE(MID(A832,2,LEN(A832))), AN831))</f>
        <v/>
      </c>
      <c r="AO832" s="79">
        <f>IF(AN832="","",IF(AD832=0,"OK",_xlfn.LET(monedaPago, IF(AA832="","USD",AA832), limitePermitido, IFERROR(VLOOKUP(monedaPago, Configuración!$A$2:$B$3, 2, FALSE), 0.15), IF(AD832&gt;limitePermitido, "ALERTA: EXCESO (" &amp; TEXT(limitePermitido, "0%") &amp; " máx)", "OK"))))</f>
        <v/>
      </c>
      <c r="AP832" s="79">
        <f>IF(AN832="","",IF(AE832=0,"OK",_xlfn.LET(fechaPago, Z832, fechaFactura, R832, diasCredito, IF(E832="Pago inmediato", 0, IFERROR(VALUE(MID(E832, 1, SEARCH(" ", E832)-1)),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32" s="79">
        <f>IF(AN832="","",IF(AND(N832&gt;0, AG832&gt;0), IF(Configuración!$K$2="NO", "ALERTA: DESCUENTO DOBLE NO PERMITIDO", "OK"), "OK"))</f>
        <v/>
      </c>
      <c r="AR832" s="79">
        <f>IF(AN832="","",IF(OR(AO832&lt;&gt;"OK", AP832&lt;&gt;"OK", AQ832&lt;&gt;"OK"), "⚠️ REVISAR", "OK"))</f>
        <v/>
      </c>
    </row>
    <row r="833">
      <c r="A833" s="79">
        <f>IF('Ordenes_Odoo'!A833="","",'Ordenes_Odoo'!A833)</f>
        <v/>
      </c>
      <c r="B833" s="80">
        <f>IF('Ordenes_Odoo'!B833="","",'Ordenes_Odoo'!B833)</f>
        <v/>
      </c>
      <c r="C833" s="79">
        <f>IF('Ordenes_Odoo'!C833="","",'Ordenes_Odoo'!C833)</f>
        <v/>
      </c>
      <c r="D833" s="79">
        <f>IF('Ordenes_Odoo'!D833="","",'Ordenes_Odoo'!D833)</f>
        <v/>
      </c>
      <c r="E833" s="79">
        <f>IF('Ordenes_Odoo'!E833="","",'Ordenes_Odoo'!E833)</f>
        <v/>
      </c>
      <c r="F833" s="79">
        <f>IF('Ordenes_Odoo'!F833="","",'Ordenes_Odoo'!F833)</f>
        <v/>
      </c>
      <c r="G833" s="79">
        <f>IF('Ordenes_Odoo'!G833="","",'Ordenes_Odoo'!G833)</f>
        <v/>
      </c>
      <c r="H833" s="79">
        <f>IF('Ordenes_Odoo'!H833="","",'Ordenes_Odoo'!H833)</f>
        <v/>
      </c>
      <c r="I833" s="79">
        <f>IF('Ordenes_Odoo'!I833="","",'Ordenes_Odoo'!I833)</f>
        <v/>
      </c>
      <c r="J833" s="79">
        <f>IF('Ordenes_Odoo'!J833="","",'Ordenes_Odoo'!J833)</f>
        <v/>
      </c>
      <c r="K833" s="81">
        <f>IF('Ordenes_Odoo'!K833="","",'Ordenes_Odoo'!K833)</f>
        <v/>
      </c>
      <c r="L833" s="81">
        <f>IF('Ordenes_Odoo'!L833="","",'Ordenes_Odoo'!L833)</f>
        <v/>
      </c>
      <c r="M833" s="79">
        <f>IF('Ordenes_Odoo'!M833="","",'Ordenes_Odoo'!M833)</f>
        <v/>
      </c>
      <c r="N833" s="79">
        <f>IF('Ordenes_Odoo'!N833="","",'Ordenes_Odoo'!N833)</f>
        <v/>
      </c>
      <c r="O833" s="81">
        <f>IF('Ordenes_Odoo'!O833="","",'Ordenes_Odoo'!O833)</f>
        <v/>
      </c>
      <c r="P833" s="81">
        <f>IF('Ordenes_Odoo'!P833="","",'Ordenes_Odoo'!P833)</f>
        <v/>
      </c>
      <c r="Q833" s="79">
        <f>IF(A833="","",IFERROR(INDEX(Facturas_Odoo!$B:$B, MATCH(A833, Facturas_Odoo!$D:$D, 0)), "Sin Factura"))</f>
        <v/>
      </c>
      <c r="R833" s="80">
        <f>IF(Q833="Sin Factura","",IFERROR(INDEX(Facturas_Odoo!$A:$A, MATCH(Q833, Facturas_Odoo!$B:$B, 0)), ""))</f>
        <v/>
      </c>
      <c r="S833" s="79">
        <f>IF(Q833="Sin Factura","",IFERROR(_xlfn.XLOOKUP(1, (Facturas_Odoo!$D:$D=A833) * (Facturas_Odoo!$K:$K=I833), Facturas_Odoo!$L:$L, ""), ""))</f>
        <v/>
      </c>
      <c r="T833" s="81">
        <f>IF(Q833="Sin Factura",0,IFERROR(_xlfn.XLOOKUP(1, (Facturas_Odoo!$D:$D=A833) * (Facturas_Odoo!$K:$K=I833), Facturas_Odoo!$M:$M, 0), 0))</f>
        <v/>
      </c>
      <c r="U833" s="79">
        <f>IF(Q833="Sin Factura",0,IFERROR(_xlfn.XLOOKUP(1, (Facturas_Odoo!$D:$D=A833) * (Facturas_Odoo!$K:$K=I833), Facturas_Odoo!$N:$N, 0), 0))</f>
        <v/>
      </c>
      <c r="V833" s="79">
        <f>IF(Q833="Sin Factura",0,IFERROR(_xlfn.XLOOKUP(1, (Facturas_Odoo!$D:$D=A833) * (Facturas_Odoo!$K:$K=I833), Facturas_Odoo!$O:$O, 0), 0))</f>
        <v/>
      </c>
      <c r="W833" s="81">
        <f>IF(Q833="Sin Factura",0,IFERROR(_xlfn.XLOOKUP(1, (Facturas_Odoo!$D:$D=A833) * (Facturas_Odoo!$K:$K=I833), Facturas_Odoo!$Q:$Q, 0), 0))</f>
        <v/>
      </c>
      <c r="X833" s="79">
        <f>IF(OR(Q833="Sin Factura",Q833=""),"",IFERROR(INDEX(Pagos_Odoo!$B:$B, MATCH(Q833, Pagos_Odoo!$I:$I, 0)), "Sin Pago"))</f>
        <v/>
      </c>
      <c r="Y833" s="79">
        <f>IF(X833="Sin Pago","",IFERROR(INDEX(Pagos_Odoo!$C:$C, MATCH(X833, Pagos_Odoo!$B:$B, 0)), ""))</f>
        <v/>
      </c>
      <c r="Z833" s="80">
        <f>IF(X833="Sin Pago","",IFERROR(INDEX(Pagos_Odoo!$A:$A, MATCH(X833, Pagos_Odoo!$B:$B, 0)), ""))</f>
        <v/>
      </c>
      <c r="AA833" s="79">
        <f>IF(X833="Sin Pago","",IFERROR(INDEX(Pagos_Odoo!$F:$F, MATCH(X833, Pagos_Odoo!$B:$B, 0)), ""))</f>
        <v/>
      </c>
      <c r="AB833" s="81">
        <f>IF(X833="Sin Pago",0,IFERROR(INDEX(Pagos_Odoo!$E:$E, MATCH(X833, Pagos_Odoo!$B:$B, 0)), 0))</f>
        <v/>
      </c>
      <c r="AC833" s="79">
        <f>IF(X833="Sin Pago","",IFERROR(INDEX(Pagos_Odoo!$G:$G, MATCH(X833, Pagos_Odoo!$B:$B, 0)), ""))</f>
        <v/>
      </c>
      <c r="AD833" s="82" t="n">
        <v>0</v>
      </c>
      <c r="AE833" s="82" t="n"/>
      <c r="AF833" s="82" t="n"/>
      <c r="AG833" s="82">
        <f>IF(AN833="","",AD833+AE833+AF833)</f>
        <v/>
      </c>
      <c r="AH833" s="81">
        <f>IF(AN833="","",P833*(1-AG833))</f>
        <v/>
      </c>
      <c r="AI833" s="81">
        <f>IF(AN833="","",IF(Q833="Sin Factura",0,IFERROR(INDEX(Facturas_Odoo!$H:$H, MATCH(Q833, Facturas_Odoo!$B:$B, 0)), 0)*(1-AG833)))</f>
        <v/>
      </c>
      <c r="AJ833" s="81">
        <f>IF(AN833="","",_xlfn.LET(idVenta, AN833&amp;"",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33" s="81">
        <f>IF(AN833="","",AH833-AJ833)</f>
        <v/>
      </c>
      <c r="AL833" s="81">
        <f>IF(AN833="","",IF(Q833="Sin Factura","",AI833-AJ833))</f>
        <v/>
      </c>
      <c r="AM833" s="81">
        <f>IF(AN833="","",IF(Q833="Sin Factura",0,P833-IFERROR(INDEX(Facturas_Odoo!$H:$H, MATCH(Q833, Facturas_Odoo!$B:$B, 0)), 0)))</f>
        <v/>
      </c>
      <c r="AN833" s="79">
        <f>IF(AND(A833="", J833=""), "", IF(A833&lt;&gt;"", VALUE(MID(A833,2,LEN(A833))), AN832))</f>
        <v/>
      </c>
      <c r="AO833" s="79">
        <f>IF(AN833="","",IF(AD833=0,"OK",_xlfn.LET(monedaPago, IF(AA833="","USD",AA833), limitePermitido, IFERROR(VLOOKUP(monedaPago, Configuración!$A$2:$B$3, 2, FALSE), 0.15), IF(AD833&gt;limitePermitido, "ALERTA: EXCESO (" &amp; TEXT(limitePermitido, "0%") &amp; " máx)", "OK"))))</f>
        <v/>
      </c>
      <c r="AP833" s="79">
        <f>IF(AN833="","",IF(AE833=0,"OK",_xlfn.LET(fechaPago, Z833, fechaFactura, R833, diasCredito, IF(E833="Pago inmediato", 0, IFERROR(VALUE(MID(E833, 1, SEARCH(" ", E833)-1)),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33" s="79">
        <f>IF(AN833="","",IF(AND(N833&gt;0, AG833&gt;0), IF(Configuración!$K$2="NO", "ALERTA: DESCUENTO DOBLE NO PERMITIDO", "OK"), "OK"))</f>
        <v/>
      </c>
      <c r="AR833" s="79">
        <f>IF(AN833="","",IF(OR(AO833&lt;&gt;"OK", AP833&lt;&gt;"OK", AQ833&lt;&gt;"OK"), "⚠️ REVISAR", "OK"))</f>
        <v/>
      </c>
    </row>
    <row r="834">
      <c r="A834" s="79">
        <f>IF('Ordenes_Odoo'!A834="","",'Ordenes_Odoo'!A834)</f>
        <v/>
      </c>
      <c r="B834" s="80">
        <f>IF('Ordenes_Odoo'!B834="","",'Ordenes_Odoo'!B834)</f>
        <v/>
      </c>
      <c r="C834" s="79">
        <f>IF('Ordenes_Odoo'!C834="","",'Ordenes_Odoo'!C834)</f>
        <v/>
      </c>
      <c r="D834" s="79">
        <f>IF('Ordenes_Odoo'!D834="","",'Ordenes_Odoo'!D834)</f>
        <v/>
      </c>
      <c r="E834" s="79">
        <f>IF('Ordenes_Odoo'!E834="","",'Ordenes_Odoo'!E834)</f>
        <v/>
      </c>
      <c r="F834" s="79">
        <f>IF('Ordenes_Odoo'!F834="","",'Ordenes_Odoo'!F834)</f>
        <v/>
      </c>
      <c r="G834" s="79">
        <f>IF('Ordenes_Odoo'!G834="","",'Ordenes_Odoo'!G834)</f>
        <v/>
      </c>
      <c r="H834" s="79">
        <f>IF('Ordenes_Odoo'!H834="","",'Ordenes_Odoo'!H834)</f>
        <v/>
      </c>
      <c r="I834" s="79">
        <f>IF('Ordenes_Odoo'!I834="","",'Ordenes_Odoo'!I834)</f>
        <v/>
      </c>
      <c r="J834" s="79">
        <f>IF('Ordenes_Odoo'!J834="","",'Ordenes_Odoo'!J834)</f>
        <v/>
      </c>
      <c r="K834" s="81">
        <f>IF('Ordenes_Odoo'!K834="","",'Ordenes_Odoo'!K834)</f>
        <v/>
      </c>
      <c r="L834" s="81">
        <f>IF('Ordenes_Odoo'!L834="","",'Ordenes_Odoo'!L834)</f>
        <v/>
      </c>
      <c r="M834" s="79">
        <f>IF('Ordenes_Odoo'!M834="","",'Ordenes_Odoo'!M834)</f>
        <v/>
      </c>
      <c r="N834" s="79">
        <f>IF('Ordenes_Odoo'!N834="","",'Ordenes_Odoo'!N834)</f>
        <v/>
      </c>
      <c r="O834" s="81">
        <f>IF('Ordenes_Odoo'!O834="","",'Ordenes_Odoo'!O834)</f>
        <v/>
      </c>
      <c r="P834" s="81">
        <f>IF('Ordenes_Odoo'!P834="","",'Ordenes_Odoo'!P834)</f>
        <v/>
      </c>
      <c r="Q834" s="79">
        <f>IF(A834="","",IFERROR(INDEX(Facturas_Odoo!$B:$B, MATCH(A834, Facturas_Odoo!$D:$D, 0)), "Sin Factura"))</f>
        <v/>
      </c>
      <c r="R834" s="80">
        <f>IF(Q834="Sin Factura","",IFERROR(INDEX(Facturas_Odoo!$A:$A, MATCH(Q834, Facturas_Odoo!$B:$B, 0)), ""))</f>
        <v/>
      </c>
      <c r="S834" s="79">
        <f>IF(Q834="Sin Factura","",IFERROR(_xlfn.XLOOKUP(1, (Facturas_Odoo!$D:$D=A834) * (Facturas_Odoo!$K:$K=I834), Facturas_Odoo!$L:$L, ""), ""))</f>
        <v/>
      </c>
      <c r="T834" s="81">
        <f>IF(Q834="Sin Factura",0,IFERROR(_xlfn.XLOOKUP(1, (Facturas_Odoo!$D:$D=A834) * (Facturas_Odoo!$K:$K=I834), Facturas_Odoo!$M:$M, 0), 0))</f>
        <v/>
      </c>
      <c r="U834" s="79">
        <f>IF(Q834="Sin Factura",0,IFERROR(_xlfn.XLOOKUP(1, (Facturas_Odoo!$D:$D=A834) * (Facturas_Odoo!$K:$K=I834), Facturas_Odoo!$N:$N, 0), 0))</f>
        <v/>
      </c>
      <c r="V834" s="79">
        <f>IF(Q834="Sin Factura",0,IFERROR(_xlfn.XLOOKUP(1, (Facturas_Odoo!$D:$D=A834) * (Facturas_Odoo!$K:$K=I834), Facturas_Odoo!$O:$O, 0), 0))</f>
        <v/>
      </c>
      <c r="W834" s="81">
        <f>IF(Q834="Sin Factura",0,IFERROR(_xlfn.XLOOKUP(1, (Facturas_Odoo!$D:$D=A834) * (Facturas_Odoo!$K:$K=I834), Facturas_Odoo!$Q:$Q, 0), 0))</f>
        <v/>
      </c>
      <c r="X834" s="79">
        <f>IF(OR(Q834="Sin Factura",Q834=""),"",IFERROR(INDEX(Pagos_Odoo!$B:$B, MATCH(Q834, Pagos_Odoo!$I:$I, 0)), "Sin Pago"))</f>
        <v/>
      </c>
      <c r="Y834" s="79">
        <f>IF(X834="Sin Pago","",IFERROR(INDEX(Pagos_Odoo!$C:$C, MATCH(X834, Pagos_Odoo!$B:$B, 0)), ""))</f>
        <v/>
      </c>
      <c r="Z834" s="80">
        <f>IF(X834="Sin Pago","",IFERROR(INDEX(Pagos_Odoo!$A:$A, MATCH(X834, Pagos_Odoo!$B:$B, 0)), ""))</f>
        <v/>
      </c>
      <c r="AA834" s="79">
        <f>IF(X834="Sin Pago","",IFERROR(INDEX(Pagos_Odoo!$F:$F, MATCH(X834, Pagos_Odoo!$B:$B, 0)), ""))</f>
        <v/>
      </c>
      <c r="AB834" s="81">
        <f>IF(X834="Sin Pago",0,IFERROR(INDEX(Pagos_Odoo!$E:$E, MATCH(X834, Pagos_Odoo!$B:$B, 0)), 0))</f>
        <v/>
      </c>
      <c r="AC834" s="79">
        <f>IF(X834="Sin Pago","",IFERROR(INDEX(Pagos_Odoo!$G:$G, MATCH(X834, Pagos_Odoo!$B:$B, 0)), ""))</f>
        <v/>
      </c>
      <c r="AD834" s="82" t="n">
        <v>0</v>
      </c>
      <c r="AE834" s="82" t="n"/>
      <c r="AF834" s="82" t="n"/>
      <c r="AG834" s="82">
        <f>IF(AN834="","",AD834+AE834+AF834)</f>
        <v/>
      </c>
      <c r="AH834" s="81">
        <f>IF(AN834="","",P834*(1-AG834))</f>
        <v/>
      </c>
      <c r="AI834" s="81">
        <f>IF(AN834="","",IF(Q834="Sin Factura",0,IFERROR(INDEX(Facturas_Odoo!$H:$H, MATCH(Q834, Facturas_Odoo!$B:$B, 0)), 0)*(1-AG834)))</f>
        <v/>
      </c>
      <c r="AJ834" s="81">
        <f>IF(AN834="","",_xlfn.LET(idVenta, AN834&amp;"",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34" s="81">
        <f>IF(AN834="","",AH834-AJ834)</f>
        <v/>
      </c>
      <c r="AL834" s="81">
        <f>IF(AN834="","",IF(Q834="Sin Factura","",AI834-AJ834))</f>
        <v/>
      </c>
      <c r="AM834" s="81">
        <f>IF(AN834="","",IF(Q834="Sin Factura",0,P834-IFERROR(INDEX(Facturas_Odoo!$H:$H, MATCH(Q834, Facturas_Odoo!$B:$B, 0)), 0)))</f>
        <v/>
      </c>
      <c r="AN834" s="79">
        <f>IF(AND(A834="", J834=""), "", IF(A834&lt;&gt;"", VALUE(MID(A834,2,LEN(A834))), AN833))</f>
        <v/>
      </c>
      <c r="AO834" s="79">
        <f>IF(AN834="","",IF(AD834=0,"OK",_xlfn.LET(monedaPago, IF(AA834="","USD",AA834), limitePermitido, IFERROR(VLOOKUP(monedaPago, Configuración!$A$2:$B$3, 2, FALSE), 0.15), IF(AD834&gt;limitePermitido, "ALERTA: EXCESO (" &amp; TEXT(limitePermitido, "0%") &amp; " máx)", "OK"))))</f>
        <v/>
      </c>
      <c r="AP834" s="79">
        <f>IF(AN834="","",IF(AE834=0,"OK",_xlfn.LET(fechaPago, Z834, fechaFactura, R834, diasCredito, IF(E834="Pago inmediato", 0, IFERROR(VALUE(MID(E834, 1, SEARCH(" ", E834)-1)),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34" s="79">
        <f>IF(AN834="","",IF(AND(N834&gt;0, AG834&gt;0), IF(Configuración!$K$2="NO", "ALERTA: DESCUENTO DOBLE NO PERMITIDO", "OK"), "OK"))</f>
        <v/>
      </c>
      <c r="AR834" s="79">
        <f>IF(AN834="","",IF(OR(AO834&lt;&gt;"OK", AP834&lt;&gt;"OK", AQ834&lt;&gt;"OK"), "⚠️ REVISAR", "OK"))</f>
        <v/>
      </c>
    </row>
    <row r="835">
      <c r="A835" s="79">
        <f>IF('Ordenes_Odoo'!A835="","",'Ordenes_Odoo'!A835)</f>
        <v/>
      </c>
      <c r="B835" s="80">
        <f>IF('Ordenes_Odoo'!B835="","",'Ordenes_Odoo'!B835)</f>
        <v/>
      </c>
      <c r="C835" s="79">
        <f>IF('Ordenes_Odoo'!C835="","",'Ordenes_Odoo'!C835)</f>
        <v/>
      </c>
      <c r="D835" s="79">
        <f>IF('Ordenes_Odoo'!D835="","",'Ordenes_Odoo'!D835)</f>
        <v/>
      </c>
      <c r="E835" s="79">
        <f>IF('Ordenes_Odoo'!E835="","",'Ordenes_Odoo'!E835)</f>
        <v/>
      </c>
      <c r="F835" s="79">
        <f>IF('Ordenes_Odoo'!F835="","",'Ordenes_Odoo'!F835)</f>
        <v/>
      </c>
      <c r="G835" s="79">
        <f>IF('Ordenes_Odoo'!G835="","",'Ordenes_Odoo'!G835)</f>
        <v/>
      </c>
      <c r="H835" s="79">
        <f>IF('Ordenes_Odoo'!H835="","",'Ordenes_Odoo'!H835)</f>
        <v/>
      </c>
      <c r="I835" s="79">
        <f>IF('Ordenes_Odoo'!I835="","",'Ordenes_Odoo'!I835)</f>
        <v/>
      </c>
      <c r="J835" s="79">
        <f>IF('Ordenes_Odoo'!J835="","",'Ordenes_Odoo'!J835)</f>
        <v/>
      </c>
      <c r="K835" s="81">
        <f>IF('Ordenes_Odoo'!K835="","",'Ordenes_Odoo'!K835)</f>
        <v/>
      </c>
      <c r="L835" s="81">
        <f>IF('Ordenes_Odoo'!L835="","",'Ordenes_Odoo'!L835)</f>
        <v/>
      </c>
      <c r="M835" s="79">
        <f>IF('Ordenes_Odoo'!M835="","",'Ordenes_Odoo'!M835)</f>
        <v/>
      </c>
      <c r="N835" s="79">
        <f>IF('Ordenes_Odoo'!N835="","",'Ordenes_Odoo'!N835)</f>
        <v/>
      </c>
      <c r="O835" s="81">
        <f>IF('Ordenes_Odoo'!O835="","",'Ordenes_Odoo'!O835)</f>
        <v/>
      </c>
      <c r="P835" s="81">
        <f>IF('Ordenes_Odoo'!P835="","",'Ordenes_Odoo'!P835)</f>
        <v/>
      </c>
      <c r="Q835" s="79">
        <f>IF(A835="","",IFERROR(INDEX(Facturas_Odoo!$B:$B, MATCH(A835, Facturas_Odoo!$D:$D, 0)), "Sin Factura"))</f>
        <v/>
      </c>
      <c r="R835" s="80">
        <f>IF(Q835="Sin Factura","",IFERROR(INDEX(Facturas_Odoo!$A:$A, MATCH(Q835, Facturas_Odoo!$B:$B, 0)), ""))</f>
        <v/>
      </c>
      <c r="S835" s="79">
        <f>IF(Q835="Sin Factura","",IFERROR(_xlfn.XLOOKUP(1, (Facturas_Odoo!$D:$D=A835) * (Facturas_Odoo!$K:$K=I835), Facturas_Odoo!$L:$L, ""), ""))</f>
        <v/>
      </c>
      <c r="T835" s="81">
        <f>IF(Q835="Sin Factura",0,IFERROR(_xlfn.XLOOKUP(1, (Facturas_Odoo!$D:$D=A835) * (Facturas_Odoo!$K:$K=I835), Facturas_Odoo!$M:$M, 0), 0))</f>
        <v/>
      </c>
      <c r="U835" s="79">
        <f>IF(Q835="Sin Factura",0,IFERROR(_xlfn.XLOOKUP(1, (Facturas_Odoo!$D:$D=A835) * (Facturas_Odoo!$K:$K=I835), Facturas_Odoo!$N:$N, 0), 0))</f>
        <v/>
      </c>
      <c r="V835" s="79">
        <f>IF(Q835="Sin Factura",0,IFERROR(_xlfn.XLOOKUP(1, (Facturas_Odoo!$D:$D=A835) * (Facturas_Odoo!$K:$K=I835), Facturas_Odoo!$O:$O, 0), 0))</f>
        <v/>
      </c>
      <c r="W835" s="81">
        <f>IF(Q835="Sin Factura",0,IFERROR(_xlfn.XLOOKUP(1, (Facturas_Odoo!$D:$D=A835) * (Facturas_Odoo!$K:$K=I835), Facturas_Odoo!$Q:$Q, 0), 0))</f>
        <v/>
      </c>
      <c r="X835" s="79">
        <f>IF(OR(Q835="Sin Factura",Q835=""),"",IFERROR(INDEX(Pagos_Odoo!$B:$B, MATCH(Q835, Pagos_Odoo!$I:$I, 0)), "Sin Pago"))</f>
        <v/>
      </c>
      <c r="Y835" s="79">
        <f>IF(X835="Sin Pago","",IFERROR(INDEX(Pagos_Odoo!$C:$C, MATCH(X835, Pagos_Odoo!$B:$B, 0)), ""))</f>
        <v/>
      </c>
      <c r="Z835" s="80">
        <f>IF(X835="Sin Pago","",IFERROR(INDEX(Pagos_Odoo!$A:$A, MATCH(X835, Pagos_Odoo!$B:$B, 0)), ""))</f>
        <v/>
      </c>
      <c r="AA835" s="79">
        <f>IF(X835="Sin Pago","",IFERROR(INDEX(Pagos_Odoo!$F:$F, MATCH(X835, Pagos_Odoo!$B:$B, 0)), ""))</f>
        <v/>
      </c>
      <c r="AB835" s="81">
        <f>IF(X835="Sin Pago",0,IFERROR(INDEX(Pagos_Odoo!$E:$E, MATCH(X835, Pagos_Odoo!$B:$B, 0)), 0))</f>
        <v/>
      </c>
      <c r="AC835" s="79">
        <f>IF(X835="Sin Pago","",IFERROR(INDEX(Pagos_Odoo!$G:$G, MATCH(X835, Pagos_Odoo!$B:$B, 0)), ""))</f>
        <v/>
      </c>
      <c r="AD835" s="82" t="n">
        <v>0</v>
      </c>
      <c r="AE835" s="82" t="n"/>
      <c r="AF835" s="82" t="n"/>
      <c r="AG835" s="82">
        <f>IF(AN835="","",AD835+AE835+AF835)</f>
        <v/>
      </c>
      <c r="AH835" s="81">
        <f>IF(AN835="","",P835*(1-AG835))</f>
        <v/>
      </c>
      <c r="AI835" s="81">
        <f>IF(AN835="","",IF(Q835="Sin Factura",0,IFERROR(INDEX(Facturas_Odoo!$H:$H, MATCH(Q835, Facturas_Odoo!$B:$B, 0)), 0)*(1-AG835)))</f>
        <v/>
      </c>
      <c r="AJ835" s="81">
        <f>IF(AN835="","",_xlfn.LET(idVenta, AN835&amp;"",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35" s="81">
        <f>IF(AN835="","",AH835-AJ835)</f>
        <v/>
      </c>
      <c r="AL835" s="81">
        <f>IF(AN835="","",IF(Q835="Sin Factura","",AI835-AJ835))</f>
        <v/>
      </c>
      <c r="AM835" s="81">
        <f>IF(AN835="","",IF(Q835="Sin Factura",0,P835-IFERROR(INDEX(Facturas_Odoo!$H:$H, MATCH(Q835, Facturas_Odoo!$B:$B, 0)), 0)))</f>
        <v/>
      </c>
      <c r="AN835" s="79">
        <f>IF(AND(A835="", J835=""), "", IF(A835&lt;&gt;"", VALUE(MID(A835,2,LEN(A835))), AN834))</f>
        <v/>
      </c>
      <c r="AO835" s="79">
        <f>IF(AN835="","",IF(AD835=0,"OK",_xlfn.LET(monedaPago, IF(AA835="","USD",AA835), limitePermitido, IFERROR(VLOOKUP(monedaPago, Configuración!$A$2:$B$3, 2, FALSE), 0.15), IF(AD835&gt;limitePermitido, "ALERTA: EXCESO (" &amp; TEXT(limitePermitido, "0%") &amp; " máx)", "OK"))))</f>
        <v/>
      </c>
      <c r="AP835" s="79">
        <f>IF(AN835="","",IF(AE835=0,"OK",_xlfn.LET(fechaPago, Z835, fechaFactura, R835, diasCredito, IF(E835="Pago inmediato", 0, IFERROR(VALUE(MID(E835, 1, SEARCH(" ", E835)-1)),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35" s="79">
        <f>IF(AN835="","",IF(AND(N835&gt;0, AG835&gt;0), IF(Configuración!$K$2="NO", "ALERTA: DESCUENTO DOBLE NO PERMITIDO", "OK"), "OK"))</f>
        <v/>
      </c>
      <c r="AR835" s="79">
        <f>IF(AN835="","",IF(OR(AO835&lt;&gt;"OK", AP835&lt;&gt;"OK", AQ835&lt;&gt;"OK"), "⚠️ REVISAR", "OK"))</f>
        <v/>
      </c>
    </row>
    <row r="836">
      <c r="A836" s="79">
        <f>IF('Ordenes_Odoo'!A836="","",'Ordenes_Odoo'!A836)</f>
        <v/>
      </c>
      <c r="B836" s="80">
        <f>IF('Ordenes_Odoo'!B836="","",'Ordenes_Odoo'!B836)</f>
        <v/>
      </c>
      <c r="C836" s="79">
        <f>IF('Ordenes_Odoo'!C836="","",'Ordenes_Odoo'!C836)</f>
        <v/>
      </c>
      <c r="D836" s="79">
        <f>IF('Ordenes_Odoo'!D836="","",'Ordenes_Odoo'!D836)</f>
        <v/>
      </c>
      <c r="E836" s="79">
        <f>IF('Ordenes_Odoo'!E836="","",'Ordenes_Odoo'!E836)</f>
        <v/>
      </c>
      <c r="F836" s="79">
        <f>IF('Ordenes_Odoo'!F836="","",'Ordenes_Odoo'!F836)</f>
        <v/>
      </c>
      <c r="G836" s="79">
        <f>IF('Ordenes_Odoo'!G836="","",'Ordenes_Odoo'!G836)</f>
        <v/>
      </c>
      <c r="H836" s="79">
        <f>IF('Ordenes_Odoo'!H836="","",'Ordenes_Odoo'!H836)</f>
        <v/>
      </c>
      <c r="I836" s="79">
        <f>IF('Ordenes_Odoo'!I836="","",'Ordenes_Odoo'!I836)</f>
        <v/>
      </c>
      <c r="J836" s="79">
        <f>IF('Ordenes_Odoo'!J836="","",'Ordenes_Odoo'!J836)</f>
        <v/>
      </c>
      <c r="K836" s="81">
        <f>IF('Ordenes_Odoo'!K836="","",'Ordenes_Odoo'!K836)</f>
        <v/>
      </c>
      <c r="L836" s="81">
        <f>IF('Ordenes_Odoo'!L836="","",'Ordenes_Odoo'!L836)</f>
        <v/>
      </c>
      <c r="M836" s="79">
        <f>IF('Ordenes_Odoo'!M836="","",'Ordenes_Odoo'!M836)</f>
        <v/>
      </c>
      <c r="N836" s="79">
        <f>IF('Ordenes_Odoo'!N836="","",'Ordenes_Odoo'!N836)</f>
        <v/>
      </c>
      <c r="O836" s="81">
        <f>IF('Ordenes_Odoo'!O836="","",'Ordenes_Odoo'!O836)</f>
        <v/>
      </c>
      <c r="P836" s="81">
        <f>IF('Ordenes_Odoo'!P836="","",'Ordenes_Odoo'!P836)</f>
        <v/>
      </c>
      <c r="Q836" s="79">
        <f>IF(A836="","",IFERROR(INDEX(Facturas_Odoo!$B:$B, MATCH(A836, Facturas_Odoo!$D:$D, 0)), "Sin Factura"))</f>
        <v/>
      </c>
      <c r="R836" s="80">
        <f>IF(Q836="Sin Factura","",IFERROR(INDEX(Facturas_Odoo!$A:$A, MATCH(Q836, Facturas_Odoo!$B:$B, 0)), ""))</f>
        <v/>
      </c>
      <c r="S836" s="79">
        <f>IF(Q836="Sin Factura","",IFERROR(_xlfn.XLOOKUP(1, (Facturas_Odoo!$D:$D=A836) * (Facturas_Odoo!$K:$K=I836), Facturas_Odoo!$L:$L, ""), ""))</f>
        <v/>
      </c>
      <c r="T836" s="81">
        <f>IF(Q836="Sin Factura",0,IFERROR(_xlfn.XLOOKUP(1, (Facturas_Odoo!$D:$D=A836) * (Facturas_Odoo!$K:$K=I836), Facturas_Odoo!$M:$M, 0), 0))</f>
        <v/>
      </c>
      <c r="U836" s="79">
        <f>IF(Q836="Sin Factura",0,IFERROR(_xlfn.XLOOKUP(1, (Facturas_Odoo!$D:$D=A836) * (Facturas_Odoo!$K:$K=I836), Facturas_Odoo!$N:$N, 0), 0))</f>
        <v/>
      </c>
      <c r="V836" s="79">
        <f>IF(Q836="Sin Factura",0,IFERROR(_xlfn.XLOOKUP(1, (Facturas_Odoo!$D:$D=A836) * (Facturas_Odoo!$K:$K=I836), Facturas_Odoo!$O:$O, 0), 0))</f>
        <v/>
      </c>
      <c r="W836" s="81">
        <f>IF(Q836="Sin Factura",0,IFERROR(_xlfn.XLOOKUP(1, (Facturas_Odoo!$D:$D=A836) * (Facturas_Odoo!$K:$K=I836), Facturas_Odoo!$Q:$Q, 0), 0))</f>
        <v/>
      </c>
      <c r="X836" s="79">
        <f>IF(OR(Q836="Sin Factura",Q836=""),"",IFERROR(INDEX(Pagos_Odoo!$B:$B, MATCH(Q836, Pagos_Odoo!$I:$I, 0)), "Sin Pago"))</f>
        <v/>
      </c>
      <c r="Y836" s="79">
        <f>IF(X836="Sin Pago","",IFERROR(INDEX(Pagos_Odoo!$C:$C, MATCH(X836, Pagos_Odoo!$B:$B, 0)), ""))</f>
        <v/>
      </c>
      <c r="Z836" s="80">
        <f>IF(X836="Sin Pago","",IFERROR(INDEX(Pagos_Odoo!$A:$A, MATCH(X836, Pagos_Odoo!$B:$B, 0)), ""))</f>
        <v/>
      </c>
      <c r="AA836" s="79">
        <f>IF(X836="Sin Pago","",IFERROR(INDEX(Pagos_Odoo!$F:$F, MATCH(X836, Pagos_Odoo!$B:$B, 0)), ""))</f>
        <v/>
      </c>
      <c r="AB836" s="81">
        <f>IF(X836="Sin Pago",0,IFERROR(INDEX(Pagos_Odoo!$E:$E, MATCH(X836, Pagos_Odoo!$B:$B, 0)), 0))</f>
        <v/>
      </c>
      <c r="AC836" s="79">
        <f>IF(X836="Sin Pago","",IFERROR(INDEX(Pagos_Odoo!$G:$G, MATCH(X836, Pagos_Odoo!$B:$B, 0)), ""))</f>
        <v/>
      </c>
      <c r="AD836" s="82" t="n">
        <v>0</v>
      </c>
      <c r="AE836" s="82" t="n"/>
      <c r="AF836" s="82" t="n"/>
      <c r="AG836" s="82">
        <f>IF(AN836="","",AD836+AE836+AF836)</f>
        <v/>
      </c>
      <c r="AH836" s="81">
        <f>IF(AN836="","",P836*(1-AG836))</f>
        <v/>
      </c>
      <c r="AI836" s="81">
        <f>IF(AN836="","",IF(Q836="Sin Factura",0,IFERROR(INDEX(Facturas_Odoo!$H:$H, MATCH(Q836, Facturas_Odoo!$B:$B, 0)), 0)*(1-AG836)))</f>
        <v/>
      </c>
      <c r="AJ836" s="81">
        <f>IF(AN836="","",_xlfn.LET(idVenta, AN836&amp;"",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36" s="81">
        <f>IF(AN836="","",AH836-AJ836)</f>
        <v/>
      </c>
      <c r="AL836" s="81">
        <f>IF(AN836="","",IF(Q836="Sin Factura","",AI836-AJ836))</f>
        <v/>
      </c>
      <c r="AM836" s="81">
        <f>IF(AN836="","",IF(Q836="Sin Factura",0,P836-IFERROR(INDEX(Facturas_Odoo!$H:$H, MATCH(Q836, Facturas_Odoo!$B:$B, 0)), 0)))</f>
        <v/>
      </c>
      <c r="AN836" s="79">
        <f>IF(AND(A836="", J836=""), "", IF(A836&lt;&gt;"", VALUE(MID(A836,2,LEN(A836))), AN835))</f>
        <v/>
      </c>
      <c r="AO836" s="79">
        <f>IF(AN836="","",IF(AD836=0,"OK",_xlfn.LET(monedaPago, IF(AA836="","USD",AA836), limitePermitido, IFERROR(VLOOKUP(monedaPago, Configuración!$A$2:$B$3, 2, FALSE), 0.15), IF(AD836&gt;limitePermitido, "ALERTA: EXCESO (" &amp; TEXT(limitePermitido, "0%") &amp; " máx)", "OK"))))</f>
        <v/>
      </c>
      <c r="AP836" s="79">
        <f>IF(AN836="","",IF(AE836=0,"OK",_xlfn.LET(fechaPago, Z836, fechaFactura, R836, diasCredito, IF(E836="Pago inmediato", 0, IFERROR(VALUE(MID(E836, 1, SEARCH(" ", E836)-1)),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36" s="79">
        <f>IF(AN836="","",IF(AND(N836&gt;0, AG836&gt;0), IF(Configuración!$K$2="NO", "ALERTA: DESCUENTO DOBLE NO PERMITIDO", "OK"), "OK"))</f>
        <v/>
      </c>
      <c r="AR836" s="79">
        <f>IF(AN836="","",IF(OR(AO836&lt;&gt;"OK", AP836&lt;&gt;"OK", AQ836&lt;&gt;"OK"), "⚠️ REVISAR", "OK"))</f>
        <v/>
      </c>
    </row>
    <row r="837">
      <c r="A837" s="79">
        <f>IF('Ordenes_Odoo'!A837="","",'Ordenes_Odoo'!A837)</f>
        <v/>
      </c>
      <c r="B837" s="80">
        <f>IF('Ordenes_Odoo'!B837="","",'Ordenes_Odoo'!B837)</f>
        <v/>
      </c>
      <c r="C837" s="79">
        <f>IF('Ordenes_Odoo'!C837="","",'Ordenes_Odoo'!C837)</f>
        <v/>
      </c>
      <c r="D837" s="79">
        <f>IF('Ordenes_Odoo'!D837="","",'Ordenes_Odoo'!D837)</f>
        <v/>
      </c>
      <c r="E837" s="79">
        <f>IF('Ordenes_Odoo'!E837="","",'Ordenes_Odoo'!E837)</f>
        <v/>
      </c>
      <c r="F837" s="79">
        <f>IF('Ordenes_Odoo'!F837="","",'Ordenes_Odoo'!F837)</f>
        <v/>
      </c>
      <c r="G837" s="79">
        <f>IF('Ordenes_Odoo'!G837="","",'Ordenes_Odoo'!G837)</f>
        <v/>
      </c>
      <c r="H837" s="79">
        <f>IF('Ordenes_Odoo'!H837="","",'Ordenes_Odoo'!H837)</f>
        <v/>
      </c>
      <c r="I837" s="79">
        <f>IF('Ordenes_Odoo'!I837="","",'Ordenes_Odoo'!I837)</f>
        <v/>
      </c>
      <c r="J837" s="79">
        <f>IF('Ordenes_Odoo'!J837="","",'Ordenes_Odoo'!J837)</f>
        <v/>
      </c>
      <c r="K837" s="81">
        <f>IF('Ordenes_Odoo'!K837="","",'Ordenes_Odoo'!K837)</f>
        <v/>
      </c>
      <c r="L837" s="81">
        <f>IF('Ordenes_Odoo'!L837="","",'Ordenes_Odoo'!L837)</f>
        <v/>
      </c>
      <c r="M837" s="79">
        <f>IF('Ordenes_Odoo'!M837="","",'Ordenes_Odoo'!M837)</f>
        <v/>
      </c>
      <c r="N837" s="79">
        <f>IF('Ordenes_Odoo'!N837="","",'Ordenes_Odoo'!N837)</f>
        <v/>
      </c>
      <c r="O837" s="81">
        <f>IF('Ordenes_Odoo'!O837="","",'Ordenes_Odoo'!O837)</f>
        <v/>
      </c>
      <c r="P837" s="81">
        <f>IF('Ordenes_Odoo'!P837="","",'Ordenes_Odoo'!P837)</f>
        <v/>
      </c>
      <c r="Q837" s="79">
        <f>IF(A837="","",IFERROR(INDEX(Facturas_Odoo!$B:$B, MATCH(A837, Facturas_Odoo!$D:$D, 0)), "Sin Factura"))</f>
        <v/>
      </c>
      <c r="R837" s="80">
        <f>IF(Q837="Sin Factura","",IFERROR(INDEX(Facturas_Odoo!$A:$A, MATCH(Q837, Facturas_Odoo!$B:$B, 0)), ""))</f>
        <v/>
      </c>
      <c r="S837" s="79">
        <f>IF(Q837="Sin Factura","",IFERROR(_xlfn.XLOOKUP(1, (Facturas_Odoo!$D:$D=A837) * (Facturas_Odoo!$K:$K=I837), Facturas_Odoo!$L:$L, ""), ""))</f>
        <v/>
      </c>
      <c r="T837" s="81">
        <f>IF(Q837="Sin Factura",0,IFERROR(_xlfn.XLOOKUP(1, (Facturas_Odoo!$D:$D=A837) * (Facturas_Odoo!$K:$K=I837), Facturas_Odoo!$M:$M, 0), 0))</f>
        <v/>
      </c>
      <c r="U837" s="79">
        <f>IF(Q837="Sin Factura",0,IFERROR(_xlfn.XLOOKUP(1, (Facturas_Odoo!$D:$D=A837) * (Facturas_Odoo!$K:$K=I837), Facturas_Odoo!$N:$N, 0), 0))</f>
        <v/>
      </c>
      <c r="V837" s="79">
        <f>IF(Q837="Sin Factura",0,IFERROR(_xlfn.XLOOKUP(1, (Facturas_Odoo!$D:$D=A837) * (Facturas_Odoo!$K:$K=I837), Facturas_Odoo!$O:$O, 0), 0))</f>
        <v/>
      </c>
      <c r="W837" s="81">
        <f>IF(Q837="Sin Factura",0,IFERROR(_xlfn.XLOOKUP(1, (Facturas_Odoo!$D:$D=A837) * (Facturas_Odoo!$K:$K=I837), Facturas_Odoo!$Q:$Q, 0), 0))</f>
        <v/>
      </c>
      <c r="X837" s="79">
        <f>IF(OR(Q837="Sin Factura",Q837=""),"",IFERROR(INDEX(Pagos_Odoo!$B:$B, MATCH(Q837, Pagos_Odoo!$I:$I, 0)), "Sin Pago"))</f>
        <v/>
      </c>
      <c r="Y837" s="79">
        <f>IF(X837="Sin Pago","",IFERROR(INDEX(Pagos_Odoo!$C:$C, MATCH(X837, Pagos_Odoo!$B:$B, 0)), ""))</f>
        <v/>
      </c>
      <c r="Z837" s="80">
        <f>IF(X837="Sin Pago","",IFERROR(INDEX(Pagos_Odoo!$A:$A, MATCH(X837, Pagos_Odoo!$B:$B, 0)), ""))</f>
        <v/>
      </c>
      <c r="AA837" s="79">
        <f>IF(X837="Sin Pago","",IFERROR(INDEX(Pagos_Odoo!$F:$F, MATCH(X837, Pagos_Odoo!$B:$B, 0)), ""))</f>
        <v/>
      </c>
      <c r="AB837" s="81">
        <f>IF(X837="Sin Pago",0,IFERROR(INDEX(Pagos_Odoo!$E:$E, MATCH(X837, Pagos_Odoo!$B:$B, 0)), 0))</f>
        <v/>
      </c>
      <c r="AC837" s="79">
        <f>IF(X837="Sin Pago","",IFERROR(INDEX(Pagos_Odoo!$G:$G, MATCH(X837, Pagos_Odoo!$B:$B, 0)), ""))</f>
        <v/>
      </c>
      <c r="AD837" s="82" t="n">
        <v>0</v>
      </c>
      <c r="AE837" s="82" t="n"/>
      <c r="AF837" s="82" t="n"/>
      <c r="AG837" s="82">
        <f>IF(AN837="","",AD837+AE837+AF837)</f>
        <v/>
      </c>
      <c r="AH837" s="81">
        <f>IF(AN837="","",P837*(1-AG837))</f>
        <v/>
      </c>
      <c r="AI837" s="81">
        <f>IF(AN837="","",IF(Q837="Sin Factura",0,IFERROR(INDEX(Facturas_Odoo!$H:$H, MATCH(Q837, Facturas_Odoo!$B:$B, 0)), 0)*(1-AG837)))</f>
        <v/>
      </c>
      <c r="AJ837" s="81">
        <f>IF(AN837="","",_xlfn.LET(idVenta, AN837&amp;"",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37" s="81">
        <f>IF(AN837="","",AH837-AJ837)</f>
        <v/>
      </c>
      <c r="AL837" s="81">
        <f>IF(AN837="","",IF(Q837="Sin Factura","",AI837-AJ837))</f>
        <v/>
      </c>
      <c r="AM837" s="81">
        <f>IF(AN837="","",IF(Q837="Sin Factura",0,P837-IFERROR(INDEX(Facturas_Odoo!$H:$H, MATCH(Q837, Facturas_Odoo!$B:$B, 0)), 0)))</f>
        <v/>
      </c>
      <c r="AN837" s="79">
        <f>IF(AND(A837="", J837=""), "", IF(A837&lt;&gt;"", VALUE(MID(A837,2,LEN(A837))), AN836))</f>
        <v/>
      </c>
      <c r="AO837" s="79">
        <f>IF(AN837="","",IF(AD837=0,"OK",_xlfn.LET(monedaPago, IF(AA837="","USD",AA837), limitePermitido, IFERROR(VLOOKUP(monedaPago, Configuración!$A$2:$B$3, 2, FALSE), 0.15), IF(AD837&gt;limitePermitido, "ALERTA: EXCESO (" &amp; TEXT(limitePermitido, "0%") &amp; " máx)", "OK"))))</f>
        <v/>
      </c>
      <c r="AP837" s="79">
        <f>IF(AN837="","",IF(AE837=0,"OK",_xlfn.LET(fechaPago, Z837, fechaFactura, R837, diasCredito, IF(E837="Pago inmediato", 0, IFERROR(VALUE(MID(E837, 1, SEARCH(" ", E837)-1)),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37" s="79">
        <f>IF(AN837="","",IF(AND(N837&gt;0, AG837&gt;0), IF(Configuración!$K$2="NO", "ALERTA: DESCUENTO DOBLE NO PERMITIDO", "OK"), "OK"))</f>
        <v/>
      </c>
      <c r="AR837" s="79">
        <f>IF(AN837="","",IF(OR(AO837&lt;&gt;"OK", AP837&lt;&gt;"OK", AQ837&lt;&gt;"OK"), "⚠️ REVISAR", "OK"))</f>
        <v/>
      </c>
    </row>
    <row r="838">
      <c r="A838" s="79">
        <f>IF('Ordenes_Odoo'!A838="","",'Ordenes_Odoo'!A838)</f>
        <v/>
      </c>
      <c r="B838" s="80">
        <f>IF('Ordenes_Odoo'!B838="","",'Ordenes_Odoo'!B838)</f>
        <v/>
      </c>
      <c r="C838" s="79">
        <f>IF('Ordenes_Odoo'!C838="","",'Ordenes_Odoo'!C838)</f>
        <v/>
      </c>
      <c r="D838" s="79">
        <f>IF('Ordenes_Odoo'!D838="","",'Ordenes_Odoo'!D838)</f>
        <v/>
      </c>
      <c r="E838" s="79">
        <f>IF('Ordenes_Odoo'!E838="","",'Ordenes_Odoo'!E838)</f>
        <v/>
      </c>
      <c r="F838" s="79">
        <f>IF('Ordenes_Odoo'!F838="","",'Ordenes_Odoo'!F838)</f>
        <v/>
      </c>
      <c r="G838" s="79">
        <f>IF('Ordenes_Odoo'!G838="","",'Ordenes_Odoo'!G838)</f>
        <v/>
      </c>
      <c r="H838" s="79">
        <f>IF('Ordenes_Odoo'!H838="","",'Ordenes_Odoo'!H838)</f>
        <v/>
      </c>
      <c r="I838" s="79">
        <f>IF('Ordenes_Odoo'!I838="","",'Ordenes_Odoo'!I838)</f>
        <v/>
      </c>
      <c r="J838" s="79">
        <f>IF('Ordenes_Odoo'!J838="","",'Ordenes_Odoo'!J838)</f>
        <v/>
      </c>
      <c r="K838" s="81">
        <f>IF('Ordenes_Odoo'!K838="","",'Ordenes_Odoo'!K838)</f>
        <v/>
      </c>
      <c r="L838" s="81">
        <f>IF('Ordenes_Odoo'!L838="","",'Ordenes_Odoo'!L838)</f>
        <v/>
      </c>
      <c r="M838" s="79">
        <f>IF('Ordenes_Odoo'!M838="","",'Ordenes_Odoo'!M838)</f>
        <v/>
      </c>
      <c r="N838" s="79">
        <f>IF('Ordenes_Odoo'!N838="","",'Ordenes_Odoo'!N838)</f>
        <v/>
      </c>
      <c r="O838" s="81">
        <f>IF('Ordenes_Odoo'!O838="","",'Ordenes_Odoo'!O838)</f>
        <v/>
      </c>
      <c r="P838" s="81">
        <f>IF('Ordenes_Odoo'!P838="","",'Ordenes_Odoo'!P838)</f>
        <v/>
      </c>
      <c r="Q838" s="79">
        <f>IF(A838="","",IFERROR(INDEX(Facturas_Odoo!$B:$B, MATCH(A838, Facturas_Odoo!$D:$D, 0)), "Sin Factura"))</f>
        <v/>
      </c>
      <c r="R838" s="80">
        <f>IF(Q838="Sin Factura","",IFERROR(INDEX(Facturas_Odoo!$A:$A, MATCH(Q838, Facturas_Odoo!$B:$B, 0)), ""))</f>
        <v/>
      </c>
      <c r="S838" s="79">
        <f>IF(Q838="Sin Factura","",IFERROR(_xlfn.XLOOKUP(1, (Facturas_Odoo!$D:$D=A838) * (Facturas_Odoo!$K:$K=I838), Facturas_Odoo!$L:$L, ""), ""))</f>
        <v/>
      </c>
      <c r="T838" s="81">
        <f>IF(Q838="Sin Factura",0,IFERROR(_xlfn.XLOOKUP(1, (Facturas_Odoo!$D:$D=A838) * (Facturas_Odoo!$K:$K=I838), Facturas_Odoo!$M:$M, 0), 0))</f>
        <v/>
      </c>
      <c r="U838" s="79">
        <f>IF(Q838="Sin Factura",0,IFERROR(_xlfn.XLOOKUP(1, (Facturas_Odoo!$D:$D=A838) * (Facturas_Odoo!$K:$K=I838), Facturas_Odoo!$N:$N, 0), 0))</f>
        <v/>
      </c>
      <c r="V838" s="79">
        <f>IF(Q838="Sin Factura",0,IFERROR(_xlfn.XLOOKUP(1, (Facturas_Odoo!$D:$D=A838) * (Facturas_Odoo!$K:$K=I838), Facturas_Odoo!$O:$O, 0), 0))</f>
        <v/>
      </c>
      <c r="W838" s="81">
        <f>IF(Q838="Sin Factura",0,IFERROR(_xlfn.XLOOKUP(1, (Facturas_Odoo!$D:$D=A838) * (Facturas_Odoo!$K:$K=I838), Facturas_Odoo!$Q:$Q, 0), 0))</f>
        <v/>
      </c>
      <c r="X838" s="79">
        <f>IF(OR(Q838="Sin Factura",Q838=""),"",IFERROR(INDEX(Pagos_Odoo!$B:$B, MATCH(Q838, Pagos_Odoo!$I:$I, 0)), "Sin Pago"))</f>
        <v/>
      </c>
      <c r="Y838" s="79">
        <f>IF(X838="Sin Pago","",IFERROR(INDEX(Pagos_Odoo!$C:$C, MATCH(X838, Pagos_Odoo!$B:$B, 0)), ""))</f>
        <v/>
      </c>
      <c r="Z838" s="80">
        <f>IF(X838="Sin Pago","",IFERROR(INDEX(Pagos_Odoo!$A:$A, MATCH(X838, Pagos_Odoo!$B:$B, 0)), ""))</f>
        <v/>
      </c>
      <c r="AA838" s="79">
        <f>IF(X838="Sin Pago","",IFERROR(INDEX(Pagos_Odoo!$F:$F, MATCH(X838, Pagos_Odoo!$B:$B, 0)), ""))</f>
        <v/>
      </c>
      <c r="AB838" s="81">
        <f>IF(X838="Sin Pago",0,IFERROR(INDEX(Pagos_Odoo!$E:$E, MATCH(X838, Pagos_Odoo!$B:$B, 0)), 0))</f>
        <v/>
      </c>
      <c r="AC838" s="79">
        <f>IF(X838="Sin Pago","",IFERROR(INDEX(Pagos_Odoo!$G:$G, MATCH(X838, Pagos_Odoo!$B:$B, 0)), ""))</f>
        <v/>
      </c>
      <c r="AD838" s="82" t="n">
        <v>0</v>
      </c>
      <c r="AE838" s="82" t="n"/>
      <c r="AF838" s="82" t="n"/>
      <c r="AG838" s="82">
        <f>IF(AN838="","",AD838+AE838+AF838)</f>
        <v/>
      </c>
      <c r="AH838" s="81">
        <f>IF(AN838="","",P838*(1-AG838))</f>
        <v/>
      </c>
      <c r="AI838" s="81">
        <f>IF(AN838="","",IF(Q838="Sin Factura",0,IFERROR(INDEX(Facturas_Odoo!$H:$H, MATCH(Q838, Facturas_Odoo!$B:$B, 0)), 0)*(1-AG838)))</f>
        <v/>
      </c>
      <c r="AJ838" s="81">
        <f>IF(AN838="","",_xlfn.LET(idVenta, AN838&amp;"",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38" s="81">
        <f>IF(AN838="","",AH838-AJ838)</f>
        <v/>
      </c>
      <c r="AL838" s="81">
        <f>IF(AN838="","",IF(Q838="Sin Factura","",AI838-AJ838))</f>
        <v/>
      </c>
      <c r="AM838" s="81">
        <f>IF(AN838="","",IF(Q838="Sin Factura",0,P838-IFERROR(INDEX(Facturas_Odoo!$H:$H, MATCH(Q838, Facturas_Odoo!$B:$B, 0)), 0)))</f>
        <v/>
      </c>
      <c r="AN838" s="79">
        <f>IF(AND(A838="", J838=""), "", IF(A838&lt;&gt;"", VALUE(MID(A838,2,LEN(A838))), AN837))</f>
        <v/>
      </c>
      <c r="AO838" s="79">
        <f>IF(AN838="","",IF(AD838=0,"OK",_xlfn.LET(monedaPago, IF(AA838="","USD",AA838), limitePermitido, IFERROR(VLOOKUP(monedaPago, Configuración!$A$2:$B$3, 2, FALSE), 0.15), IF(AD838&gt;limitePermitido, "ALERTA: EXCESO (" &amp; TEXT(limitePermitido, "0%") &amp; " máx)", "OK"))))</f>
        <v/>
      </c>
      <c r="AP838" s="79">
        <f>IF(AN838="","",IF(AE838=0,"OK",_xlfn.LET(fechaPago, Z838, fechaFactura, R838, diasCredito, IF(E838="Pago inmediato", 0, IFERROR(VALUE(MID(E838, 1, SEARCH(" ", E838)-1)),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38" s="79">
        <f>IF(AN838="","",IF(AND(N838&gt;0, AG838&gt;0), IF(Configuración!$K$2="NO", "ALERTA: DESCUENTO DOBLE NO PERMITIDO", "OK"), "OK"))</f>
        <v/>
      </c>
      <c r="AR838" s="79">
        <f>IF(AN838="","",IF(OR(AO838&lt;&gt;"OK", AP838&lt;&gt;"OK", AQ838&lt;&gt;"OK"), "⚠️ REVISAR", "OK"))</f>
        <v/>
      </c>
    </row>
    <row r="839">
      <c r="A839" s="79">
        <f>IF('Ordenes_Odoo'!A839="","",'Ordenes_Odoo'!A839)</f>
        <v/>
      </c>
      <c r="B839" s="80">
        <f>IF('Ordenes_Odoo'!B839="","",'Ordenes_Odoo'!B839)</f>
        <v/>
      </c>
      <c r="C839" s="79">
        <f>IF('Ordenes_Odoo'!C839="","",'Ordenes_Odoo'!C839)</f>
        <v/>
      </c>
      <c r="D839" s="79">
        <f>IF('Ordenes_Odoo'!D839="","",'Ordenes_Odoo'!D839)</f>
        <v/>
      </c>
      <c r="E839" s="79">
        <f>IF('Ordenes_Odoo'!E839="","",'Ordenes_Odoo'!E839)</f>
        <v/>
      </c>
      <c r="F839" s="79">
        <f>IF('Ordenes_Odoo'!F839="","",'Ordenes_Odoo'!F839)</f>
        <v/>
      </c>
      <c r="G839" s="79">
        <f>IF('Ordenes_Odoo'!G839="","",'Ordenes_Odoo'!G839)</f>
        <v/>
      </c>
      <c r="H839" s="79">
        <f>IF('Ordenes_Odoo'!H839="","",'Ordenes_Odoo'!H839)</f>
        <v/>
      </c>
      <c r="I839" s="79">
        <f>IF('Ordenes_Odoo'!I839="","",'Ordenes_Odoo'!I839)</f>
        <v/>
      </c>
      <c r="J839" s="79">
        <f>IF('Ordenes_Odoo'!J839="","",'Ordenes_Odoo'!J839)</f>
        <v/>
      </c>
      <c r="K839" s="81">
        <f>IF('Ordenes_Odoo'!K839="","",'Ordenes_Odoo'!K839)</f>
        <v/>
      </c>
      <c r="L839" s="81">
        <f>IF('Ordenes_Odoo'!L839="","",'Ordenes_Odoo'!L839)</f>
        <v/>
      </c>
      <c r="M839" s="79">
        <f>IF('Ordenes_Odoo'!M839="","",'Ordenes_Odoo'!M839)</f>
        <v/>
      </c>
      <c r="N839" s="79">
        <f>IF('Ordenes_Odoo'!N839="","",'Ordenes_Odoo'!N839)</f>
        <v/>
      </c>
      <c r="O839" s="81">
        <f>IF('Ordenes_Odoo'!O839="","",'Ordenes_Odoo'!O839)</f>
        <v/>
      </c>
      <c r="P839" s="81">
        <f>IF('Ordenes_Odoo'!P839="","",'Ordenes_Odoo'!P839)</f>
        <v/>
      </c>
      <c r="Q839" s="79">
        <f>IF(A839="","",IFERROR(INDEX(Facturas_Odoo!$B:$B, MATCH(A839, Facturas_Odoo!$D:$D, 0)), "Sin Factura"))</f>
        <v/>
      </c>
      <c r="R839" s="80">
        <f>IF(Q839="Sin Factura","",IFERROR(INDEX(Facturas_Odoo!$A:$A, MATCH(Q839, Facturas_Odoo!$B:$B, 0)), ""))</f>
        <v/>
      </c>
      <c r="S839" s="79">
        <f>IF(Q839="Sin Factura","",IFERROR(_xlfn.XLOOKUP(1, (Facturas_Odoo!$D:$D=A839) * (Facturas_Odoo!$K:$K=I839), Facturas_Odoo!$L:$L, ""), ""))</f>
        <v/>
      </c>
      <c r="T839" s="81">
        <f>IF(Q839="Sin Factura",0,IFERROR(_xlfn.XLOOKUP(1, (Facturas_Odoo!$D:$D=A839) * (Facturas_Odoo!$K:$K=I839), Facturas_Odoo!$M:$M, 0), 0))</f>
        <v/>
      </c>
      <c r="U839" s="79">
        <f>IF(Q839="Sin Factura",0,IFERROR(_xlfn.XLOOKUP(1, (Facturas_Odoo!$D:$D=A839) * (Facturas_Odoo!$K:$K=I839), Facturas_Odoo!$N:$N, 0), 0))</f>
        <v/>
      </c>
      <c r="V839" s="79">
        <f>IF(Q839="Sin Factura",0,IFERROR(_xlfn.XLOOKUP(1, (Facturas_Odoo!$D:$D=A839) * (Facturas_Odoo!$K:$K=I839), Facturas_Odoo!$O:$O, 0), 0))</f>
        <v/>
      </c>
      <c r="W839" s="81">
        <f>IF(Q839="Sin Factura",0,IFERROR(_xlfn.XLOOKUP(1, (Facturas_Odoo!$D:$D=A839) * (Facturas_Odoo!$K:$K=I839), Facturas_Odoo!$Q:$Q, 0), 0))</f>
        <v/>
      </c>
      <c r="X839" s="79">
        <f>IF(OR(Q839="Sin Factura",Q839=""),"",IFERROR(INDEX(Pagos_Odoo!$B:$B, MATCH(Q839, Pagos_Odoo!$I:$I, 0)), "Sin Pago"))</f>
        <v/>
      </c>
      <c r="Y839" s="79">
        <f>IF(X839="Sin Pago","",IFERROR(INDEX(Pagos_Odoo!$C:$C, MATCH(X839, Pagos_Odoo!$B:$B, 0)), ""))</f>
        <v/>
      </c>
      <c r="Z839" s="80">
        <f>IF(X839="Sin Pago","",IFERROR(INDEX(Pagos_Odoo!$A:$A, MATCH(X839, Pagos_Odoo!$B:$B, 0)), ""))</f>
        <v/>
      </c>
      <c r="AA839" s="79">
        <f>IF(X839="Sin Pago","",IFERROR(INDEX(Pagos_Odoo!$F:$F, MATCH(X839, Pagos_Odoo!$B:$B, 0)), ""))</f>
        <v/>
      </c>
      <c r="AB839" s="81">
        <f>IF(X839="Sin Pago",0,IFERROR(INDEX(Pagos_Odoo!$E:$E, MATCH(X839, Pagos_Odoo!$B:$B, 0)), 0))</f>
        <v/>
      </c>
      <c r="AC839" s="79">
        <f>IF(X839="Sin Pago","",IFERROR(INDEX(Pagos_Odoo!$G:$G, MATCH(X839, Pagos_Odoo!$B:$B, 0)), ""))</f>
        <v/>
      </c>
      <c r="AD839" s="82" t="n">
        <v>0</v>
      </c>
      <c r="AE839" s="82" t="n"/>
      <c r="AF839" s="82" t="n"/>
      <c r="AG839" s="82">
        <f>IF(AN839="","",AD839+AE839+AF839)</f>
        <v/>
      </c>
      <c r="AH839" s="81">
        <f>IF(AN839="","",P839*(1-AG839))</f>
        <v/>
      </c>
      <c r="AI839" s="81">
        <f>IF(AN839="","",IF(Q839="Sin Factura",0,IFERROR(INDEX(Facturas_Odoo!$H:$H, MATCH(Q839, Facturas_Odoo!$B:$B, 0)), 0)*(1-AG839)))</f>
        <v/>
      </c>
      <c r="AJ839" s="81">
        <f>IF(AN839="","",_xlfn.LET(idVenta, AN839&amp;"",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39" s="81">
        <f>IF(AN839="","",AH839-AJ839)</f>
        <v/>
      </c>
      <c r="AL839" s="81">
        <f>IF(AN839="","",IF(Q839="Sin Factura","",AI839-AJ839))</f>
        <v/>
      </c>
      <c r="AM839" s="81">
        <f>IF(AN839="","",IF(Q839="Sin Factura",0,P839-IFERROR(INDEX(Facturas_Odoo!$H:$H, MATCH(Q839, Facturas_Odoo!$B:$B, 0)), 0)))</f>
        <v/>
      </c>
      <c r="AN839" s="79">
        <f>IF(AND(A839="", J839=""), "", IF(A839&lt;&gt;"", VALUE(MID(A839,2,LEN(A839))), AN838))</f>
        <v/>
      </c>
      <c r="AO839" s="79">
        <f>IF(AN839="","",IF(AD839=0,"OK",_xlfn.LET(monedaPago, IF(AA839="","USD",AA839), limitePermitido, IFERROR(VLOOKUP(monedaPago, Configuración!$A$2:$B$3, 2, FALSE), 0.15), IF(AD839&gt;limitePermitido, "ALERTA: EXCESO (" &amp; TEXT(limitePermitido, "0%") &amp; " máx)", "OK"))))</f>
        <v/>
      </c>
      <c r="AP839" s="79">
        <f>IF(AN839="","",IF(AE839=0,"OK",_xlfn.LET(fechaPago, Z839, fechaFactura, R839, diasCredito, IF(E839="Pago inmediato", 0, IFERROR(VALUE(MID(E839, 1, SEARCH(" ", E839)-1)),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39" s="79">
        <f>IF(AN839="","",IF(AND(N839&gt;0, AG839&gt;0), IF(Configuración!$K$2="NO", "ALERTA: DESCUENTO DOBLE NO PERMITIDO", "OK"), "OK"))</f>
        <v/>
      </c>
      <c r="AR839" s="79">
        <f>IF(AN839="","",IF(OR(AO839&lt;&gt;"OK", AP839&lt;&gt;"OK", AQ839&lt;&gt;"OK"), "⚠️ REVISAR", "OK"))</f>
        <v/>
      </c>
    </row>
    <row r="840">
      <c r="A840" s="79">
        <f>IF('Ordenes_Odoo'!A840="","",'Ordenes_Odoo'!A840)</f>
        <v/>
      </c>
      <c r="B840" s="80">
        <f>IF('Ordenes_Odoo'!B840="","",'Ordenes_Odoo'!B840)</f>
        <v/>
      </c>
      <c r="C840" s="79">
        <f>IF('Ordenes_Odoo'!C840="","",'Ordenes_Odoo'!C840)</f>
        <v/>
      </c>
      <c r="D840" s="79">
        <f>IF('Ordenes_Odoo'!D840="","",'Ordenes_Odoo'!D840)</f>
        <v/>
      </c>
      <c r="E840" s="79">
        <f>IF('Ordenes_Odoo'!E840="","",'Ordenes_Odoo'!E840)</f>
        <v/>
      </c>
      <c r="F840" s="79">
        <f>IF('Ordenes_Odoo'!F840="","",'Ordenes_Odoo'!F840)</f>
        <v/>
      </c>
      <c r="G840" s="79">
        <f>IF('Ordenes_Odoo'!G840="","",'Ordenes_Odoo'!G840)</f>
        <v/>
      </c>
      <c r="H840" s="79">
        <f>IF('Ordenes_Odoo'!H840="","",'Ordenes_Odoo'!H840)</f>
        <v/>
      </c>
      <c r="I840" s="79">
        <f>IF('Ordenes_Odoo'!I840="","",'Ordenes_Odoo'!I840)</f>
        <v/>
      </c>
      <c r="J840" s="79">
        <f>IF('Ordenes_Odoo'!J840="","",'Ordenes_Odoo'!J840)</f>
        <v/>
      </c>
      <c r="K840" s="81">
        <f>IF('Ordenes_Odoo'!K840="","",'Ordenes_Odoo'!K840)</f>
        <v/>
      </c>
      <c r="L840" s="81">
        <f>IF('Ordenes_Odoo'!L840="","",'Ordenes_Odoo'!L840)</f>
        <v/>
      </c>
      <c r="M840" s="79">
        <f>IF('Ordenes_Odoo'!M840="","",'Ordenes_Odoo'!M840)</f>
        <v/>
      </c>
      <c r="N840" s="79">
        <f>IF('Ordenes_Odoo'!N840="","",'Ordenes_Odoo'!N840)</f>
        <v/>
      </c>
      <c r="O840" s="81">
        <f>IF('Ordenes_Odoo'!O840="","",'Ordenes_Odoo'!O840)</f>
        <v/>
      </c>
      <c r="P840" s="81">
        <f>IF('Ordenes_Odoo'!P840="","",'Ordenes_Odoo'!P840)</f>
        <v/>
      </c>
      <c r="Q840" s="79">
        <f>IF(A840="","",IFERROR(INDEX(Facturas_Odoo!$B:$B, MATCH(A840, Facturas_Odoo!$D:$D, 0)), "Sin Factura"))</f>
        <v/>
      </c>
      <c r="R840" s="80">
        <f>IF(Q840="Sin Factura","",IFERROR(INDEX(Facturas_Odoo!$A:$A, MATCH(Q840, Facturas_Odoo!$B:$B, 0)), ""))</f>
        <v/>
      </c>
      <c r="S840" s="79">
        <f>IF(Q840="Sin Factura","",IFERROR(_xlfn.XLOOKUP(1, (Facturas_Odoo!$D:$D=A840) * (Facturas_Odoo!$K:$K=I840), Facturas_Odoo!$L:$L, ""), ""))</f>
        <v/>
      </c>
      <c r="T840" s="81">
        <f>IF(Q840="Sin Factura",0,IFERROR(_xlfn.XLOOKUP(1, (Facturas_Odoo!$D:$D=A840) * (Facturas_Odoo!$K:$K=I840), Facturas_Odoo!$M:$M, 0), 0))</f>
        <v/>
      </c>
      <c r="U840" s="79">
        <f>IF(Q840="Sin Factura",0,IFERROR(_xlfn.XLOOKUP(1, (Facturas_Odoo!$D:$D=A840) * (Facturas_Odoo!$K:$K=I840), Facturas_Odoo!$N:$N, 0), 0))</f>
        <v/>
      </c>
      <c r="V840" s="79">
        <f>IF(Q840="Sin Factura",0,IFERROR(_xlfn.XLOOKUP(1, (Facturas_Odoo!$D:$D=A840) * (Facturas_Odoo!$K:$K=I840), Facturas_Odoo!$O:$O, 0), 0))</f>
        <v/>
      </c>
      <c r="W840" s="81">
        <f>IF(Q840="Sin Factura",0,IFERROR(_xlfn.XLOOKUP(1, (Facturas_Odoo!$D:$D=A840) * (Facturas_Odoo!$K:$K=I840), Facturas_Odoo!$Q:$Q, 0), 0))</f>
        <v/>
      </c>
      <c r="X840" s="79">
        <f>IF(OR(Q840="Sin Factura",Q840=""),"",IFERROR(INDEX(Pagos_Odoo!$B:$B, MATCH(Q840, Pagos_Odoo!$I:$I, 0)), "Sin Pago"))</f>
        <v/>
      </c>
      <c r="Y840" s="79">
        <f>IF(X840="Sin Pago","",IFERROR(INDEX(Pagos_Odoo!$C:$C, MATCH(X840, Pagos_Odoo!$B:$B, 0)), ""))</f>
        <v/>
      </c>
      <c r="Z840" s="80">
        <f>IF(X840="Sin Pago","",IFERROR(INDEX(Pagos_Odoo!$A:$A, MATCH(X840, Pagos_Odoo!$B:$B, 0)), ""))</f>
        <v/>
      </c>
      <c r="AA840" s="79">
        <f>IF(X840="Sin Pago","",IFERROR(INDEX(Pagos_Odoo!$F:$F, MATCH(X840, Pagos_Odoo!$B:$B, 0)), ""))</f>
        <v/>
      </c>
      <c r="AB840" s="81">
        <f>IF(X840="Sin Pago",0,IFERROR(INDEX(Pagos_Odoo!$E:$E, MATCH(X840, Pagos_Odoo!$B:$B, 0)), 0))</f>
        <v/>
      </c>
      <c r="AC840" s="79">
        <f>IF(X840="Sin Pago","",IFERROR(INDEX(Pagos_Odoo!$G:$G, MATCH(X840, Pagos_Odoo!$B:$B, 0)), ""))</f>
        <v/>
      </c>
      <c r="AD840" s="82" t="n">
        <v>0</v>
      </c>
      <c r="AE840" s="82" t="n"/>
      <c r="AF840" s="82" t="n"/>
      <c r="AG840" s="82">
        <f>IF(AN840="","",AD840+AE840+AF840)</f>
        <v/>
      </c>
      <c r="AH840" s="81">
        <f>IF(AN840="","",P840*(1-AG840))</f>
        <v/>
      </c>
      <c r="AI840" s="81">
        <f>IF(AN840="","",IF(Q840="Sin Factura",0,IFERROR(INDEX(Facturas_Odoo!$H:$H, MATCH(Q840, Facturas_Odoo!$B:$B, 0)), 0)*(1-AG840)))</f>
        <v/>
      </c>
      <c r="AJ840" s="81">
        <f>IF(AN840="","",_xlfn.LET(idVenta, AN840&amp;"",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40" s="81">
        <f>IF(AN840="","",AH840-AJ840)</f>
        <v/>
      </c>
      <c r="AL840" s="81">
        <f>IF(AN840="","",IF(Q840="Sin Factura","",AI840-AJ840))</f>
        <v/>
      </c>
      <c r="AM840" s="81">
        <f>IF(AN840="","",IF(Q840="Sin Factura",0,P840-IFERROR(INDEX(Facturas_Odoo!$H:$H, MATCH(Q840, Facturas_Odoo!$B:$B, 0)), 0)))</f>
        <v/>
      </c>
      <c r="AN840" s="79">
        <f>IF(AND(A840="", J840=""), "", IF(A840&lt;&gt;"", VALUE(MID(A840,2,LEN(A840))), AN839))</f>
        <v/>
      </c>
      <c r="AO840" s="79">
        <f>IF(AN840="","",IF(AD840=0,"OK",_xlfn.LET(monedaPago, IF(AA840="","USD",AA840), limitePermitido, IFERROR(VLOOKUP(monedaPago, Configuración!$A$2:$B$3, 2, FALSE), 0.15), IF(AD840&gt;limitePermitido, "ALERTA: EXCESO (" &amp; TEXT(limitePermitido, "0%") &amp; " máx)", "OK"))))</f>
        <v/>
      </c>
      <c r="AP840" s="79">
        <f>IF(AN840="","",IF(AE840=0,"OK",_xlfn.LET(fechaPago, Z840, fechaFactura, R840, diasCredito, IF(E840="Pago inmediato", 0, IFERROR(VALUE(MID(E840, 1, SEARCH(" ", E840)-1)),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40" s="79">
        <f>IF(AN840="","",IF(AND(N840&gt;0, AG840&gt;0), IF(Configuración!$K$2="NO", "ALERTA: DESCUENTO DOBLE NO PERMITIDO", "OK"), "OK"))</f>
        <v/>
      </c>
      <c r="AR840" s="79">
        <f>IF(AN840="","",IF(OR(AO840&lt;&gt;"OK", AP840&lt;&gt;"OK", AQ840&lt;&gt;"OK"), "⚠️ REVISAR", "OK"))</f>
        <v/>
      </c>
    </row>
    <row r="841">
      <c r="A841" s="79">
        <f>IF('Ordenes_Odoo'!A841="","",'Ordenes_Odoo'!A841)</f>
        <v/>
      </c>
      <c r="B841" s="80">
        <f>IF('Ordenes_Odoo'!B841="","",'Ordenes_Odoo'!B841)</f>
        <v/>
      </c>
      <c r="C841" s="79">
        <f>IF('Ordenes_Odoo'!C841="","",'Ordenes_Odoo'!C841)</f>
        <v/>
      </c>
      <c r="D841" s="79">
        <f>IF('Ordenes_Odoo'!D841="","",'Ordenes_Odoo'!D841)</f>
        <v/>
      </c>
      <c r="E841" s="79">
        <f>IF('Ordenes_Odoo'!E841="","",'Ordenes_Odoo'!E841)</f>
        <v/>
      </c>
      <c r="F841" s="79">
        <f>IF('Ordenes_Odoo'!F841="","",'Ordenes_Odoo'!F841)</f>
        <v/>
      </c>
      <c r="G841" s="79">
        <f>IF('Ordenes_Odoo'!G841="","",'Ordenes_Odoo'!G841)</f>
        <v/>
      </c>
      <c r="H841" s="79">
        <f>IF('Ordenes_Odoo'!H841="","",'Ordenes_Odoo'!H841)</f>
        <v/>
      </c>
      <c r="I841" s="79">
        <f>IF('Ordenes_Odoo'!I841="","",'Ordenes_Odoo'!I841)</f>
        <v/>
      </c>
      <c r="J841" s="79">
        <f>IF('Ordenes_Odoo'!J841="","",'Ordenes_Odoo'!J841)</f>
        <v/>
      </c>
      <c r="K841" s="81">
        <f>IF('Ordenes_Odoo'!K841="","",'Ordenes_Odoo'!K841)</f>
        <v/>
      </c>
      <c r="L841" s="81">
        <f>IF('Ordenes_Odoo'!L841="","",'Ordenes_Odoo'!L841)</f>
        <v/>
      </c>
      <c r="M841" s="79">
        <f>IF('Ordenes_Odoo'!M841="","",'Ordenes_Odoo'!M841)</f>
        <v/>
      </c>
      <c r="N841" s="79">
        <f>IF('Ordenes_Odoo'!N841="","",'Ordenes_Odoo'!N841)</f>
        <v/>
      </c>
      <c r="O841" s="81">
        <f>IF('Ordenes_Odoo'!O841="","",'Ordenes_Odoo'!O841)</f>
        <v/>
      </c>
      <c r="P841" s="81">
        <f>IF('Ordenes_Odoo'!P841="","",'Ordenes_Odoo'!P841)</f>
        <v/>
      </c>
      <c r="Q841" s="79">
        <f>IF(A841="","",IFERROR(INDEX(Facturas_Odoo!$B:$B, MATCH(A841, Facturas_Odoo!$D:$D, 0)), "Sin Factura"))</f>
        <v/>
      </c>
      <c r="R841" s="80">
        <f>IF(Q841="Sin Factura","",IFERROR(INDEX(Facturas_Odoo!$A:$A, MATCH(Q841, Facturas_Odoo!$B:$B, 0)), ""))</f>
        <v/>
      </c>
      <c r="S841" s="79">
        <f>IF(Q841="Sin Factura","",IFERROR(_xlfn.XLOOKUP(1, (Facturas_Odoo!$D:$D=A841) * (Facturas_Odoo!$K:$K=I841), Facturas_Odoo!$L:$L, ""), ""))</f>
        <v/>
      </c>
      <c r="T841" s="81">
        <f>IF(Q841="Sin Factura",0,IFERROR(_xlfn.XLOOKUP(1, (Facturas_Odoo!$D:$D=A841) * (Facturas_Odoo!$K:$K=I841), Facturas_Odoo!$M:$M, 0), 0))</f>
        <v/>
      </c>
      <c r="U841" s="79">
        <f>IF(Q841="Sin Factura",0,IFERROR(_xlfn.XLOOKUP(1, (Facturas_Odoo!$D:$D=A841) * (Facturas_Odoo!$K:$K=I841), Facturas_Odoo!$N:$N, 0), 0))</f>
        <v/>
      </c>
      <c r="V841" s="79">
        <f>IF(Q841="Sin Factura",0,IFERROR(_xlfn.XLOOKUP(1, (Facturas_Odoo!$D:$D=A841) * (Facturas_Odoo!$K:$K=I841), Facturas_Odoo!$O:$O, 0), 0))</f>
        <v/>
      </c>
      <c r="W841" s="81">
        <f>IF(Q841="Sin Factura",0,IFERROR(_xlfn.XLOOKUP(1, (Facturas_Odoo!$D:$D=A841) * (Facturas_Odoo!$K:$K=I841), Facturas_Odoo!$Q:$Q, 0), 0))</f>
        <v/>
      </c>
      <c r="X841" s="79">
        <f>IF(OR(Q841="Sin Factura",Q841=""),"",IFERROR(INDEX(Pagos_Odoo!$B:$B, MATCH(Q841, Pagos_Odoo!$I:$I, 0)), "Sin Pago"))</f>
        <v/>
      </c>
      <c r="Y841" s="79">
        <f>IF(X841="Sin Pago","",IFERROR(INDEX(Pagos_Odoo!$C:$C, MATCH(X841, Pagos_Odoo!$B:$B, 0)), ""))</f>
        <v/>
      </c>
      <c r="Z841" s="80">
        <f>IF(X841="Sin Pago","",IFERROR(INDEX(Pagos_Odoo!$A:$A, MATCH(X841, Pagos_Odoo!$B:$B, 0)), ""))</f>
        <v/>
      </c>
      <c r="AA841" s="79">
        <f>IF(X841="Sin Pago","",IFERROR(INDEX(Pagos_Odoo!$F:$F, MATCH(X841, Pagos_Odoo!$B:$B, 0)), ""))</f>
        <v/>
      </c>
      <c r="AB841" s="81">
        <f>IF(X841="Sin Pago",0,IFERROR(INDEX(Pagos_Odoo!$E:$E, MATCH(X841, Pagos_Odoo!$B:$B, 0)), 0))</f>
        <v/>
      </c>
      <c r="AC841" s="79">
        <f>IF(X841="Sin Pago","",IFERROR(INDEX(Pagos_Odoo!$G:$G, MATCH(X841, Pagos_Odoo!$B:$B, 0)), ""))</f>
        <v/>
      </c>
      <c r="AD841" s="82" t="n">
        <v>0</v>
      </c>
      <c r="AE841" s="82" t="n"/>
      <c r="AF841" s="82" t="n"/>
      <c r="AG841" s="82">
        <f>IF(AN841="","",AD841+AE841+AF841)</f>
        <v/>
      </c>
      <c r="AH841" s="81">
        <f>IF(AN841="","",P841*(1-AG841))</f>
        <v/>
      </c>
      <c r="AI841" s="81">
        <f>IF(AN841="","",IF(Q841="Sin Factura",0,IFERROR(INDEX(Facturas_Odoo!$H:$H, MATCH(Q841, Facturas_Odoo!$B:$B, 0)), 0)*(1-AG841)))</f>
        <v/>
      </c>
      <c r="AJ841" s="81">
        <f>IF(AN841="","",_xlfn.LET(idVenta, AN841&amp;"",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41" s="81">
        <f>IF(AN841="","",AH841-AJ841)</f>
        <v/>
      </c>
      <c r="AL841" s="81">
        <f>IF(AN841="","",IF(Q841="Sin Factura","",AI841-AJ841))</f>
        <v/>
      </c>
      <c r="AM841" s="81">
        <f>IF(AN841="","",IF(Q841="Sin Factura",0,P841-IFERROR(INDEX(Facturas_Odoo!$H:$H, MATCH(Q841, Facturas_Odoo!$B:$B, 0)), 0)))</f>
        <v/>
      </c>
      <c r="AN841" s="79">
        <f>IF(AND(A841="", J841=""), "", IF(A841&lt;&gt;"", VALUE(MID(A841,2,LEN(A841))), AN840))</f>
        <v/>
      </c>
      <c r="AO841" s="79">
        <f>IF(AN841="","",IF(AD841=0,"OK",_xlfn.LET(monedaPago, IF(AA841="","USD",AA841), limitePermitido, IFERROR(VLOOKUP(monedaPago, Configuración!$A$2:$B$3, 2, FALSE), 0.15), IF(AD841&gt;limitePermitido, "ALERTA: EXCESO (" &amp; TEXT(limitePermitido, "0%") &amp; " máx)", "OK"))))</f>
        <v/>
      </c>
      <c r="AP841" s="79">
        <f>IF(AN841="","",IF(AE841=0,"OK",_xlfn.LET(fechaPago, Z841, fechaFactura, R841, diasCredito, IF(E841="Pago inmediato", 0, IFERROR(VALUE(MID(E841, 1, SEARCH(" ", E841)-1)),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41" s="79">
        <f>IF(AN841="","",IF(AND(N841&gt;0, AG841&gt;0), IF(Configuración!$K$2="NO", "ALERTA: DESCUENTO DOBLE NO PERMITIDO", "OK"), "OK"))</f>
        <v/>
      </c>
      <c r="AR841" s="79">
        <f>IF(AN841="","",IF(OR(AO841&lt;&gt;"OK", AP841&lt;&gt;"OK", AQ841&lt;&gt;"OK"), "⚠️ REVISAR", "OK"))</f>
        <v/>
      </c>
    </row>
    <row r="842">
      <c r="A842" s="79">
        <f>IF('Ordenes_Odoo'!A842="","",'Ordenes_Odoo'!A842)</f>
        <v/>
      </c>
      <c r="B842" s="80">
        <f>IF('Ordenes_Odoo'!B842="","",'Ordenes_Odoo'!B842)</f>
        <v/>
      </c>
      <c r="C842" s="79">
        <f>IF('Ordenes_Odoo'!C842="","",'Ordenes_Odoo'!C842)</f>
        <v/>
      </c>
      <c r="D842" s="79">
        <f>IF('Ordenes_Odoo'!D842="","",'Ordenes_Odoo'!D842)</f>
        <v/>
      </c>
      <c r="E842" s="79">
        <f>IF('Ordenes_Odoo'!E842="","",'Ordenes_Odoo'!E842)</f>
        <v/>
      </c>
      <c r="F842" s="79">
        <f>IF('Ordenes_Odoo'!F842="","",'Ordenes_Odoo'!F842)</f>
        <v/>
      </c>
      <c r="G842" s="79">
        <f>IF('Ordenes_Odoo'!G842="","",'Ordenes_Odoo'!G842)</f>
        <v/>
      </c>
      <c r="H842" s="79">
        <f>IF('Ordenes_Odoo'!H842="","",'Ordenes_Odoo'!H842)</f>
        <v/>
      </c>
      <c r="I842" s="79">
        <f>IF('Ordenes_Odoo'!I842="","",'Ordenes_Odoo'!I842)</f>
        <v/>
      </c>
      <c r="J842" s="79">
        <f>IF('Ordenes_Odoo'!J842="","",'Ordenes_Odoo'!J842)</f>
        <v/>
      </c>
      <c r="K842" s="81">
        <f>IF('Ordenes_Odoo'!K842="","",'Ordenes_Odoo'!K842)</f>
        <v/>
      </c>
      <c r="L842" s="81">
        <f>IF('Ordenes_Odoo'!L842="","",'Ordenes_Odoo'!L842)</f>
        <v/>
      </c>
      <c r="M842" s="79">
        <f>IF('Ordenes_Odoo'!M842="","",'Ordenes_Odoo'!M842)</f>
        <v/>
      </c>
      <c r="N842" s="79">
        <f>IF('Ordenes_Odoo'!N842="","",'Ordenes_Odoo'!N842)</f>
        <v/>
      </c>
      <c r="O842" s="81">
        <f>IF('Ordenes_Odoo'!O842="","",'Ordenes_Odoo'!O842)</f>
        <v/>
      </c>
      <c r="P842" s="81">
        <f>IF('Ordenes_Odoo'!P842="","",'Ordenes_Odoo'!P842)</f>
        <v/>
      </c>
      <c r="Q842" s="79">
        <f>IF(A842="","",IFERROR(INDEX(Facturas_Odoo!$B:$B, MATCH(A842, Facturas_Odoo!$D:$D, 0)), "Sin Factura"))</f>
        <v/>
      </c>
      <c r="R842" s="80">
        <f>IF(Q842="Sin Factura","",IFERROR(INDEX(Facturas_Odoo!$A:$A, MATCH(Q842, Facturas_Odoo!$B:$B, 0)), ""))</f>
        <v/>
      </c>
      <c r="S842" s="79">
        <f>IF(Q842="Sin Factura","",IFERROR(_xlfn.XLOOKUP(1, (Facturas_Odoo!$D:$D=A842) * (Facturas_Odoo!$K:$K=I842), Facturas_Odoo!$L:$L, ""), ""))</f>
        <v/>
      </c>
      <c r="T842" s="81">
        <f>IF(Q842="Sin Factura",0,IFERROR(_xlfn.XLOOKUP(1, (Facturas_Odoo!$D:$D=A842) * (Facturas_Odoo!$K:$K=I842), Facturas_Odoo!$M:$M, 0), 0))</f>
        <v/>
      </c>
      <c r="U842" s="79">
        <f>IF(Q842="Sin Factura",0,IFERROR(_xlfn.XLOOKUP(1, (Facturas_Odoo!$D:$D=A842) * (Facturas_Odoo!$K:$K=I842), Facturas_Odoo!$N:$N, 0), 0))</f>
        <v/>
      </c>
      <c r="V842" s="79">
        <f>IF(Q842="Sin Factura",0,IFERROR(_xlfn.XLOOKUP(1, (Facturas_Odoo!$D:$D=A842) * (Facturas_Odoo!$K:$K=I842), Facturas_Odoo!$O:$O, 0), 0))</f>
        <v/>
      </c>
      <c r="W842" s="81">
        <f>IF(Q842="Sin Factura",0,IFERROR(_xlfn.XLOOKUP(1, (Facturas_Odoo!$D:$D=A842) * (Facturas_Odoo!$K:$K=I842), Facturas_Odoo!$Q:$Q, 0), 0))</f>
        <v/>
      </c>
      <c r="X842" s="79">
        <f>IF(OR(Q842="Sin Factura",Q842=""),"",IFERROR(INDEX(Pagos_Odoo!$B:$B, MATCH(Q842, Pagos_Odoo!$I:$I, 0)), "Sin Pago"))</f>
        <v/>
      </c>
      <c r="Y842" s="79">
        <f>IF(X842="Sin Pago","",IFERROR(INDEX(Pagos_Odoo!$C:$C, MATCH(X842, Pagos_Odoo!$B:$B, 0)), ""))</f>
        <v/>
      </c>
      <c r="Z842" s="80">
        <f>IF(X842="Sin Pago","",IFERROR(INDEX(Pagos_Odoo!$A:$A, MATCH(X842, Pagos_Odoo!$B:$B, 0)), ""))</f>
        <v/>
      </c>
      <c r="AA842" s="79">
        <f>IF(X842="Sin Pago","",IFERROR(INDEX(Pagos_Odoo!$F:$F, MATCH(X842, Pagos_Odoo!$B:$B, 0)), ""))</f>
        <v/>
      </c>
      <c r="AB842" s="81">
        <f>IF(X842="Sin Pago",0,IFERROR(INDEX(Pagos_Odoo!$E:$E, MATCH(X842, Pagos_Odoo!$B:$B, 0)), 0))</f>
        <v/>
      </c>
      <c r="AC842" s="79">
        <f>IF(X842="Sin Pago","",IFERROR(INDEX(Pagos_Odoo!$G:$G, MATCH(X842, Pagos_Odoo!$B:$B, 0)), ""))</f>
        <v/>
      </c>
      <c r="AD842" s="82" t="n">
        <v>0</v>
      </c>
      <c r="AE842" s="82" t="n"/>
      <c r="AF842" s="82" t="n"/>
      <c r="AG842" s="82">
        <f>IF(AN842="","",AD842+AE842+AF842)</f>
        <v/>
      </c>
      <c r="AH842" s="81">
        <f>IF(AN842="","",P842*(1-AG842))</f>
        <v/>
      </c>
      <c r="AI842" s="81">
        <f>IF(AN842="","",IF(Q842="Sin Factura",0,IFERROR(INDEX(Facturas_Odoo!$H:$H, MATCH(Q842, Facturas_Odoo!$B:$B, 0)), 0)*(1-AG842)))</f>
        <v/>
      </c>
      <c r="AJ842" s="81">
        <f>IF(AN842="","",_xlfn.LET(idVenta, AN842&amp;"",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42" s="81">
        <f>IF(AN842="","",AH842-AJ842)</f>
        <v/>
      </c>
      <c r="AL842" s="81">
        <f>IF(AN842="","",IF(Q842="Sin Factura","",AI842-AJ842))</f>
        <v/>
      </c>
      <c r="AM842" s="81">
        <f>IF(AN842="","",IF(Q842="Sin Factura",0,P842-IFERROR(INDEX(Facturas_Odoo!$H:$H, MATCH(Q842, Facturas_Odoo!$B:$B, 0)), 0)))</f>
        <v/>
      </c>
      <c r="AN842" s="79">
        <f>IF(AND(A842="", J842=""), "", IF(A842&lt;&gt;"", VALUE(MID(A842,2,LEN(A842))), AN841))</f>
        <v/>
      </c>
      <c r="AO842" s="79">
        <f>IF(AN842="","",IF(AD842=0,"OK",_xlfn.LET(monedaPago, IF(AA842="","USD",AA842), limitePermitido, IFERROR(VLOOKUP(monedaPago, Configuración!$A$2:$B$3, 2, FALSE), 0.15), IF(AD842&gt;limitePermitido, "ALERTA: EXCESO (" &amp; TEXT(limitePermitido, "0%") &amp; " máx)", "OK"))))</f>
        <v/>
      </c>
      <c r="AP842" s="79">
        <f>IF(AN842="","",IF(AE842=0,"OK",_xlfn.LET(fechaPago, Z842, fechaFactura, R842, diasCredito, IF(E842="Pago inmediato", 0, IFERROR(VALUE(MID(E842, 1, SEARCH(" ", E842)-1)),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42" s="79">
        <f>IF(AN842="","",IF(AND(N842&gt;0, AG842&gt;0), IF(Configuración!$K$2="NO", "ALERTA: DESCUENTO DOBLE NO PERMITIDO", "OK"), "OK"))</f>
        <v/>
      </c>
      <c r="AR842" s="79">
        <f>IF(AN842="","",IF(OR(AO842&lt;&gt;"OK", AP842&lt;&gt;"OK", AQ842&lt;&gt;"OK"), "⚠️ REVISAR", "OK"))</f>
        <v/>
      </c>
    </row>
    <row r="843">
      <c r="A843" s="79">
        <f>IF('Ordenes_Odoo'!A843="","",'Ordenes_Odoo'!A843)</f>
        <v/>
      </c>
      <c r="B843" s="80">
        <f>IF('Ordenes_Odoo'!B843="","",'Ordenes_Odoo'!B843)</f>
        <v/>
      </c>
      <c r="C843" s="79">
        <f>IF('Ordenes_Odoo'!C843="","",'Ordenes_Odoo'!C843)</f>
        <v/>
      </c>
      <c r="D843" s="79">
        <f>IF('Ordenes_Odoo'!D843="","",'Ordenes_Odoo'!D843)</f>
        <v/>
      </c>
      <c r="E843" s="79">
        <f>IF('Ordenes_Odoo'!E843="","",'Ordenes_Odoo'!E843)</f>
        <v/>
      </c>
      <c r="F843" s="79">
        <f>IF('Ordenes_Odoo'!F843="","",'Ordenes_Odoo'!F843)</f>
        <v/>
      </c>
      <c r="G843" s="79">
        <f>IF('Ordenes_Odoo'!G843="","",'Ordenes_Odoo'!G843)</f>
        <v/>
      </c>
      <c r="H843" s="79">
        <f>IF('Ordenes_Odoo'!H843="","",'Ordenes_Odoo'!H843)</f>
        <v/>
      </c>
      <c r="I843" s="79">
        <f>IF('Ordenes_Odoo'!I843="","",'Ordenes_Odoo'!I843)</f>
        <v/>
      </c>
      <c r="J843" s="79">
        <f>IF('Ordenes_Odoo'!J843="","",'Ordenes_Odoo'!J843)</f>
        <v/>
      </c>
      <c r="K843" s="81">
        <f>IF('Ordenes_Odoo'!K843="","",'Ordenes_Odoo'!K843)</f>
        <v/>
      </c>
      <c r="L843" s="81">
        <f>IF('Ordenes_Odoo'!L843="","",'Ordenes_Odoo'!L843)</f>
        <v/>
      </c>
      <c r="M843" s="79">
        <f>IF('Ordenes_Odoo'!M843="","",'Ordenes_Odoo'!M843)</f>
        <v/>
      </c>
      <c r="N843" s="79">
        <f>IF('Ordenes_Odoo'!N843="","",'Ordenes_Odoo'!N843)</f>
        <v/>
      </c>
      <c r="O843" s="81">
        <f>IF('Ordenes_Odoo'!O843="","",'Ordenes_Odoo'!O843)</f>
        <v/>
      </c>
      <c r="P843" s="81">
        <f>IF('Ordenes_Odoo'!P843="","",'Ordenes_Odoo'!P843)</f>
        <v/>
      </c>
      <c r="Q843" s="79">
        <f>IF(A843="","",IFERROR(INDEX(Facturas_Odoo!$B:$B, MATCH(A843, Facturas_Odoo!$D:$D, 0)), "Sin Factura"))</f>
        <v/>
      </c>
      <c r="R843" s="80">
        <f>IF(Q843="Sin Factura","",IFERROR(INDEX(Facturas_Odoo!$A:$A, MATCH(Q843, Facturas_Odoo!$B:$B, 0)), ""))</f>
        <v/>
      </c>
      <c r="S843" s="79">
        <f>IF(Q843="Sin Factura","",IFERROR(_xlfn.XLOOKUP(1, (Facturas_Odoo!$D:$D=A843) * (Facturas_Odoo!$K:$K=I843), Facturas_Odoo!$L:$L, ""), ""))</f>
        <v/>
      </c>
      <c r="T843" s="81">
        <f>IF(Q843="Sin Factura",0,IFERROR(_xlfn.XLOOKUP(1, (Facturas_Odoo!$D:$D=A843) * (Facturas_Odoo!$K:$K=I843), Facturas_Odoo!$M:$M, 0), 0))</f>
        <v/>
      </c>
      <c r="U843" s="79">
        <f>IF(Q843="Sin Factura",0,IFERROR(_xlfn.XLOOKUP(1, (Facturas_Odoo!$D:$D=A843) * (Facturas_Odoo!$K:$K=I843), Facturas_Odoo!$N:$N, 0), 0))</f>
        <v/>
      </c>
      <c r="V843" s="79">
        <f>IF(Q843="Sin Factura",0,IFERROR(_xlfn.XLOOKUP(1, (Facturas_Odoo!$D:$D=A843) * (Facturas_Odoo!$K:$K=I843), Facturas_Odoo!$O:$O, 0), 0))</f>
        <v/>
      </c>
      <c r="W843" s="81">
        <f>IF(Q843="Sin Factura",0,IFERROR(_xlfn.XLOOKUP(1, (Facturas_Odoo!$D:$D=A843) * (Facturas_Odoo!$K:$K=I843), Facturas_Odoo!$Q:$Q, 0), 0))</f>
        <v/>
      </c>
      <c r="X843" s="79">
        <f>IF(OR(Q843="Sin Factura",Q843=""),"",IFERROR(INDEX(Pagos_Odoo!$B:$B, MATCH(Q843, Pagos_Odoo!$I:$I, 0)), "Sin Pago"))</f>
        <v/>
      </c>
      <c r="Y843" s="79">
        <f>IF(X843="Sin Pago","",IFERROR(INDEX(Pagos_Odoo!$C:$C, MATCH(X843, Pagos_Odoo!$B:$B, 0)), ""))</f>
        <v/>
      </c>
      <c r="Z843" s="80">
        <f>IF(X843="Sin Pago","",IFERROR(INDEX(Pagos_Odoo!$A:$A, MATCH(X843, Pagos_Odoo!$B:$B, 0)), ""))</f>
        <v/>
      </c>
      <c r="AA843" s="79">
        <f>IF(X843="Sin Pago","",IFERROR(INDEX(Pagos_Odoo!$F:$F, MATCH(X843, Pagos_Odoo!$B:$B, 0)), ""))</f>
        <v/>
      </c>
      <c r="AB843" s="81">
        <f>IF(X843="Sin Pago",0,IFERROR(INDEX(Pagos_Odoo!$E:$E, MATCH(X843, Pagos_Odoo!$B:$B, 0)), 0))</f>
        <v/>
      </c>
      <c r="AC843" s="79">
        <f>IF(X843="Sin Pago","",IFERROR(INDEX(Pagos_Odoo!$G:$G, MATCH(X843, Pagos_Odoo!$B:$B, 0)), ""))</f>
        <v/>
      </c>
      <c r="AD843" s="82" t="n">
        <v>0</v>
      </c>
      <c r="AE843" s="82" t="n"/>
      <c r="AF843" s="82" t="n"/>
      <c r="AG843" s="82">
        <f>IF(AN843="","",AD843+AE843+AF843)</f>
        <v/>
      </c>
      <c r="AH843" s="81">
        <f>IF(AN843="","",P843*(1-AG843))</f>
        <v/>
      </c>
      <c r="AI843" s="81">
        <f>IF(AN843="","",IF(Q843="Sin Factura",0,IFERROR(INDEX(Facturas_Odoo!$H:$H, MATCH(Q843, Facturas_Odoo!$B:$B, 0)), 0)*(1-AG843)))</f>
        <v/>
      </c>
      <c r="AJ843" s="81">
        <f>IF(AN843="","",_xlfn.LET(idVenta, AN843&amp;"",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43" s="81">
        <f>IF(AN843="","",AH843-AJ843)</f>
        <v/>
      </c>
      <c r="AL843" s="81">
        <f>IF(AN843="","",IF(Q843="Sin Factura","",AI843-AJ843))</f>
        <v/>
      </c>
      <c r="AM843" s="81">
        <f>IF(AN843="","",IF(Q843="Sin Factura",0,P843-IFERROR(INDEX(Facturas_Odoo!$H:$H, MATCH(Q843, Facturas_Odoo!$B:$B, 0)), 0)))</f>
        <v/>
      </c>
      <c r="AN843" s="79">
        <f>IF(AND(A843="", J843=""), "", IF(A843&lt;&gt;"", VALUE(MID(A843,2,LEN(A843))), AN842))</f>
        <v/>
      </c>
      <c r="AO843" s="79">
        <f>IF(AN843="","",IF(AD843=0,"OK",_xlfn.LET(monedaPago, IF(AA843="","USD",AA843), limitePermitido, IFERROR(VLOOKUP(monedaPago, Configuración!$A$2:$B$3, 2, FALSE), 0.15), IF(AD843&gt;limitePermitido, "ALERTA: EXCESO (" &amp; TEXT(limitePermitido, "0%") &amp; " máx)", "OK"))))</f>
        <v/>
      </c>
      <c r="AP843" s="79">
        <f>IF(AN843="","",IF(AE843=0,"OK",_xlfn.LET(fechaPago, Z843, fechaFactura, R843, diasCredito, IF(E843="Pago inmediato", 0, IFERROR(VALUE(MID(E843, 1, SEARCH(" ", E843)-1)),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43" s="79">
        <f>IF(AN843="","",IF(AND(N843&gt;0, AG843&gt;0), IF(Configuración!$K$2="NO", "ALERTA: DESCUENTO DOBLE NO PERMITIDO", "OK"), "OK"))</f>
        <v/>
      </c>
      <c r="AR843" s="79">
        <f>IF(AN843="","",IF(OR(AO843&lt;&gt;"OK", AP843&lt;&gt;"OK", AQ843&lt;&gt;"OK"), "⚠️ REVISAR", "OK"))</f>
        <v/>
      </c>
    </row>
    <row r="844">
      <c r="A844" s="79">
        <f>IF('Ordenes_Odoo'!A844="","",'Ordenes_Odoo'!A844)</f>
        <v/>
      </c>
      <c r="B844" s="80">
        <f>IF('Ordenes_Odoo'!B844="","",'Ordenes_Odoo'!B844)</f>
        <v/>
      </c>
      <c r="C844" s="79">
        <f>IF('Ordenes_Odoo'!C844="","",'Ordenes_Odoo'!C844)</f>
        <v/>
      </c>
      <c r="D844" s="79">
        <f>IF('Ordenes_Odoo'!D844="","",'Ordenes_Odoo'!D844)</f>
        <v/>
      </c>
      <c r="E844" s="79">
        <f>IF('Ordenes_Odoo'!E844="","",'Ordenes_Odoo'!E844)</f>
        <v/>
      </c>
      <c r="F844" s="79">
        <f>IF('Ordenes_Odoo'!F844="","",'Ordenes_Odoo'!F844)</f>
        <v/>
      </c>
      <c r="G844" s="79">
        <f>IF('Ordenes_Odoo'!G844="","",'Ordenes_Odoo'!G844)</f>
        <v/>
      </c>
      <c r="H844" s="79">
        <f>IF('Ordenes_Odoo'!H844="","",'Ordenes_Odoo'!H844)</f>
        <v/>
      </c>
      <c r="I844" s="79">
        <f>IF('Ordenes_Odoo'!I844="","",'Ordenes_Odoo'!I844)</f>
        <v/>
      </c>
      <c r="J844" s="79">
        <f>IF('Ordenes_Odoo'!J844="","",'Ordenes_Odoo'!J844)</f>
        <v/>
      </c>
      <c r="K844" s="81">
        <f>IF('Ordenes_Odoo'!K844="","",'Ordenes_Odoo'!K844)</f>
        <v/>
      </c>
      <c r="L844" s="81">
        <f>IF('Ordenes_Odoo'!L844="","",'Ordenes_Odoo'!L844)</f>
        <v/>
      </c>
      <c r="M844" s="79">
        <f>IF('Ordenes_Odoo'!M844="","",'Ordenes_Odoo'!M844)</f>
        <v/>
      </c>
      <c r="N844" s="79">
        <f>IF('Ordenes_Odoo'!N844="","",'Ordenes_Odoo'!N844)</f>
        <v/>
      </c>
      <c r="O844" s="81">
        <f>IF('Ordenes_Odoo'!O844="","",'Ordenes_Odoo'!O844)</f>
        <v/>
      </c>
      <c r="P844" s="81">
        <f>IF('Ordenes_Odoo'!P844="","",'Ordenes_Odoo'!P844)</f>
        <v/>
      </c>
      <c r="Q844" s="79">
        <f>IF(A844="","",IFERROR(INDEX(Facturas_Odoo!$B:$B, MATCH(A844, Facturas_Odoo!$D:$D, 0)), "Sin Factura"))</f>
        <v/>
      </c>
      <c r="R844" s="80">
        <f>IF(Q844="Sin Factura","",IFERROR(INDEX(Facturas_Odoo!$A:$A, MATCH(Q844, Facturas_Odoo!$B:$B, 0)), ""))</f>
        <v/>
      </c>
      <c r="S844" s="79">
        <f>IF(Q844="Sin Factura","",IFERROR(_xlfn.XLOOKUP(1, (Facturas_Odoo!$D:$D=A844) * (Facturas_Odoo!$K:$K=I844), Facturas_Odoo!$L:$L, ""), ""))</f>
        <v/>
      </c>
      <c r="T844" s="81">
        <f>IF(Q844="Sin Factura",0,IFERROR(_xlfn.XLOOKUP(1, (Facturas_Odoo!$D:$D=A844) * (Facturas_Odoo!$K:$K=I844), Facturas_Odoo!$M:$M, 0), 0))</f>
        <v/>
      </c>
      <c r="U844" s="79">
        <f>IF(Q844="Sin Factura",0,IFERROR(_xlfn.XLOOKUP(1, (Facturas_Odoo!$D:$D=A844) * (Facturas_Odoo!$K:$K=I844), Facturas_Odoo!$N:$N, 0), 0))</f>
        <v/>
      </c>
      <c r="V844" s="79">
        <f>IF(Q844="Sin Factura",0,IFERROR(_xlfn.XLOOKUP(1, (Facturas_Odoo!$D:$D=A844) * (Facturas_Odoo!$K:$K=I844), Facturas_Odoo!$O:$O, 0), 0))</f>
        <v/>
      </c>
      <c r="W844" s="81">
        <f>IF(Q844="Sin Factura",0,IFERROR(_xlfn.XLOOKUP(1, (Facturas_Odoo!$D:$D=A844) * (Facturas_Odoo!$K:$K=I844), Facturas_Odoo!$Q:$Q, 0), 0))</f>
        <v/>
      </c>
      <c r="X844" s="79">
        <f>IF(OR(Q844="Sin Factura",Q844=""),"",IFERROR(INDEX(Pagos_Odoo!$B:$B, MATCH(Q844, Pagos_Odoo!$I:$I, 0)), "Sin Pago"))</f>
        <v/>
      </c>
      <c r="Y844" s="79">
        <f>IF(X844="Sin Pago","",IFERROR(INDEX(Pagos_Odoo!$C:$C, MATCH(X844, Pagos_Odoo!$B:$B, 0)), ""))</f>
        <v/>
      </c>
      <c r="Z844" s="80">
        <f>IF(X844="Sin Pago","",IFERROR(INDEX(Pagos_Odoo!$A:$A, MATCH(X844, Pagos_Odoo!$B:$B, 0)), ""))</f>
        <v/>
      </c>
      <c r="AA844" s="79">
        <f>IF(X844="Sin Pago","",IFERROR(INDEX(Pagos_Odoo!$F:$F, MATCH(X844, Pagos_Odoo!$B:$B, 0)), ""))</f>
        <v/>
      </c>
      <c r="AB844" s="81">
        <f>IF(X844="Sin Pago",0,IFERROR(INDEX(Pagos_Odoo!$E:$E, MATCH(X844, Pagos_Odoo!$B:$B, 0)), 0))</f>
        <v/>
      </c>
      <c r="AC844" s="79">
        <f>IF(X844="Sin Pago","",IFERROR(INDEX(Pagos_Odoo!$G:$G, MATCH(X844, Pagos_Odoo!$B:$B, 0)), ""))</f>
        <v/>
      </c>
      <c r="AD844" s="82" t="n">
        <v>0</v>
      </c>
      <c r="AE844" s="82" t="n"/>
      <c r="AF844" s="82" t="n"/>
      <c r="AG844" s="82">
        <f>IF(AN844="","",AD844+AE844+AF844)</f>
        <v/>
      </c>
      <c r="AH844" s="81">
        <f>IF(AN844="","",P844*(1-AG844))</f>
        <v/>
      </c>
      <c r="AI844" s="81">
        <f>IF(AN844="","",IF(Q844="Sin Factura",0,IFERROR(INDEX(Facturas_Odoo!$H:$H, MATCH(Q844, Facturas_Odoo!$B:$B, 0)), 0)*(1-AG844)))</f>
        <v/>
      </c>
      <c r="AJ844" s="81">
        <f>IF(AN844="","",_xlfn.LET(idVenta, AN844&amp;"",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44" s="81">
        <f>IF(AN844="","",AH844-AJ844)</f>
        <v/>
      </c>
      <c r="AL844" s="81">
        <f>IF(AN844="","",IF(Q844="Sin Factura","",AI844-AJ844))</f>
        <v/>
      </c>
      <c r="AM844" s="81">
        <f>IF(AN844="","",IF(Q844="Sin Factura",0,P844-IFERROR(INDEX(Facturas_Odoo!$H:$H, MATCH(Q844, Facturas_Odoo!$B:$B, 0)), 0)))</f>
        <v/>
      </c>
      <c r="AN844" s="79">
        <f>IF(AND(A844="", J844=""), "", IF(A844&lt;&gt;"", VALUE(MID(A844,2,LEN(A844))), AN843))</f>
        <v/>
      </c>
      <c r="AO844" s="79">
        <f>IF(AN844="","",IF(AD844=0,"OK",_xlfn.LET(monedaPago, IF(AA844="","USD",AA844), limitePermitido, IFERROR(VLOOKUP(monedaPago, Configuración!$A$2:$B$3, 2, FALSE), 0.15), IF(AD844&gt;limitePermitido, "ALERTA: EXCESO (" &amp; TEXT(limitePermitido, "0%") &amp; " máx)", "OK"))))</f>
        <v/>
      </c>
      <c r="AP844" s="79">
        <f>IF(AN844="","",IF(AE844=0,"OK",_xlfn.LET(fechaPago, Z844, fechaFactura, R844, diasCredito, IF(E844="Pago inmediato", 0, IFERROR(VALUE(MID(E844, 1, SEARCH(" ", E844)-1)),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44" s="79">
        <f>IF(AN844="","",IF(AND(N844&gt;0, AG844&gt;0), IF(Configuración!$K$2="NO", "ALERTA: DESCUENTO DOBLE NO PERMITIDO", "OK"), "OK"))</f>
        <v/>
      </c>
      <c r="AR844" s="79">
        <f>IF(AN844="","",IF(OR(AO844&lt;&gt;"OK", AP844&lt;&gt;"OK", AQ844&lt;&gt;"OK"), "⚠️ REVISAR", "OK"))</f>
        <v/>
      </c>
    </row>
    <row r="845">
      <c r="A845" s="79">
        <f>IF('Ordenes_Odoo'!A845="","",'Ordenes_Odoo'!A845)</f>
        <v/>
      </c>
      <c r="B845" s="80">
        <f>IF('Ordenes_Odoo'!B845="","",'Ordenes_Odoo'!B845)</f>
        <v/>
      </c>
      <c r="C845" s="79">
        <f>IF('Ordenes_Odoo'!C845="","",'Ordenes_Odoo'!C845)</f>
        <v/>
      </c>
      <c r="D845" s="79">
        <f>IF('Ordenes_Odoo'!D845="","",'Ordenes_Odoo'!D845)</f>
        <v/>
      </c>
      <c r="E845" s="79">
        <f>IF('Ordenes_Odoo'!E845="","",'Ordenes_Odoo'!E845)</f>
        <v/>
      </c>
      <c r="F845" s="79">
        <f>IF('Ordenes_Odoo'!F845="","",'Ordenes_Odoo'!F845)</f>
        <v/>
      </c>
      <c r="G845" s="79">
        <f>IF('Ordenes_Odoo'!G845="","",'Ordenes_Odoo'!G845)</f>
        <v/>
      </c>
      <c r="H845" s="79">
        <f>IF('Ordenes_Odoo'!H845="","",'Ordenes_Odoo'!H845)</f>
        <v/>
      </c>
      <c r="I845" s="79">
        <f>IF('Ordenes_Odoo'!I845="","",'Ordenes_Odoo'!I845)</f>
        <v/>
      </c>
      <c r="J845" s="79">
        <f>IF('Ordenes_Odoo'!J845="","",'Ordenes_Odoo'!J845)</f>
        <v/>
      </c>
      <c r="K845" s="81">
        <f>IF('Ordenes_Odoo'!K845="","",'Ordenes_Odoo'!K845)</f>
        <v/>
      </c>
      <c r="L845" s="81">
        <f>IF('Ordenes_Odoo'!L845="","",'Ordenes_Odoo'!L845)</f>
        <v/>
      </c>
      <c r="M845" s="79">
        <f>IF('Ordenes_Odoo'!M845="","",'Ordenes_Odoo'!M845)</f>
        <v/>
      </c>
      <c r="N845" s="79">
        <f>IF('Ordenes_Odoo'!N845="","",'Ordenes_Odoo'!N845)</f>
        <v/>
      </c>
      <c r="O845" s="81">
        <f>IF('Ordenes_Odoo'!O845="","",'Ordenes_Odoo'!O845)</f>
        <v/>
      </c>
      <c r="P845" s="81">
        <f>IF('Ordenes_Odoo'!P845="","",'Ordenes_Odoo'!P845)</f>
        <v/>
      </c>
      <c r="Q845" s="79">
        <f>IF(A845="","",IFERROR(INDEX(Facturas_Odoo!$B:$B, MATCH(A845, Facturas_Odoo!$D:$D, 0)), "Sin Factura"))</f>
        <v/>
      </c>
      <c r="R845" s="80">
        <f>IF(Q845="Sin Factura","",IFERROR(INDEX(Facturas_Odoo!$A:$A, MATCH(Q845, Facturas_Odoo!$B:$B, 0)), ""))</f>
        <v/>
      </c>
      <c r="S845" s="79">
        <f>IF(Q845="Sin Factura","",IFERROR(_xlfn.XLOOKUP(1, (Facturas_Odoo!$D:$D=A845) * (Facturas_Odoo!$K:$K=I845), Facturas_Odoo!$L:$L, ""), ""))</f>
        <v/>
      </c>
      <c r="T845" s="81">
        <f>IF(Q845="Sin Factura",0,IFERROR(_xlfn.XLOOKUP(1, (Facturas_Odoo!$D:$D=A845) * (Facturas_Odoo!$K:$K=I845), Facturas_Odoo!$M:$M, 0), 0))</f>
        <v/>
      </c>
      <c r="U845" s="79">
        <f>IF(Q845="Sin Factura",0,IFERROR(_xlfn.XLOOKUP(1, (Facturas_Odoo!$D:$D=A845) * (Facturas_Odoo!$K:$K=I845), Facturas_Odoo!$N:$N, 0), 0))</f>
        <v/>
      </c>
      <c r="V845" s="79">
        <f>IF(Q845="Sin Factura",0,IFERROR(_xlfn.XLOOKUP(1, (Facturas_Odoo!$D:$D=A845) * (Facturas_Odoo!$K:$K=I845), Facturas_Odoo!$O:$O, 0), 0))</f>
        <v/>
      </c>
      <c r="W845" s="81">
        <f>IF(Q845="Sin Factura",0,IFERROR(_xlfn.XLOOKUP(1, (Facturas_Odoo!$D:$D=A845) * (Facturas_Odoo!$K:$K=I845), Facturas_Odoo!$Q:$Q, 0), 0))</f>
        <v/>
      </c>
      <c r="X845" s="79">
        <f>IF(OR(Q845="Sin Factura",Q845=""),"",IFERROR(INDEX(Pagos_Odoo!$B:$B, MATCH(Q845, Pagos_Odoo!$I:$I, 0)), "Sin Pago"))</f>
        <v/>
      </c>
      <c r="Y845" s="79">
        <f>IF(X845="Sin Pago","",IFERROR(INDEX(Pagos_Odoo!$C:$C, MATCH(X845, Pagos_Odoo!$B:$B, 0)), ""))</f>
        <v/>
      </c>
      <c r="Z845" s="80">
        <f>IF(X845="Sin Pago","",IFERROR(INDEX(Pagos_Odoo!$A:$A, MATCH(X845, Pagos_Odoo!$B:$B, 0)), ""))</f>
        <v/>
      </c>
      <c r="AA845" s="79">
        <f>IF(X845="Sin Pago","",IFERROR(INDEX(Pagos_Odoo!$F:$F, MATCH(X845, Pagos_Odoo!$B:$B, 0)), ""))</f>
        <v/>
      </c>
      <c r="AB845" s="81">
        <f>IF(X845="Sin Pago",0,IFERROR(INDEX(Pagos_Odoo!$E:$E, MATCH(X845, Pagos_Odoo!$B:$B, 0)), 0))</f>
        <v/>
      </c>
      <c r="AC845" s="79">
        <f>IF(X845="Sin Pago","",IFERROR(INDEX(Pagos_Odoo!$G:$G, MATCH(X845, Pagos_Odoo!$B:$B, 0)), ""))</f>
        <v/>
      </c>
      <c r="AD845" s="82" t="n">
        <v>0</v>
      </c>
      <c r="AE845" s="82" t="n"/>
      <c r="AF845" s="82" t="n"/>
      <c r="AG845" s="82">
        <f>IF(AN845="","",AD845+AE845+AF845)</f>
        <v/>
      </c>
      <c r="AH845" s="81">
        <f>IF(AN845="","",P845*(1-AG845))</f>
        <v/>
      </c>
      <c r="AI845" s="81">
        <f>IF(AN845="","",IF(Q845="Sin Factura",0,IFERROR(INDEX(Facturas_Odoo!$H:$H, MATCH(Q845, Facturas_Odoo!$B:$B, 0)), 0)*(1-AG845)))</f>
        <v/>
      </c>
      <c r="AJ845" s="81">
        <f>IF(AN845="","",_xlfn.LET(idVenta, AN845&amp;"",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45" s="81">
        <f>IF(AN845="","",AH845-AJ845)</f>
        <v/>
      </c>
      <c r="AL845" s="81">
        <f>IF(AN845="","",IF(Q845="Sin Factura","",AI845-AJ845))</f>
        <v/>
      </c>
      <c r="AM845" s="81">
        <f>IF(AN845="","",IF(Q845="Sin Factura",0,P845-IFERROR(INDEX(Facturas_Odoo!$H:$H, MATCH(Q845, Facturas_Odoo!$B:$B, 0)), 0)))</f>
        <v/>
      </c>
      <c r="AN845" s="79">
        <f>IF(AND(A845="", J845=""), "", IF(A845&lt;&gt;"", VALUE(MID(A845,2,LEN(A845))), AN844))</f>
        <v/>
      </c>
      <c r="AO845" s="79">
        <f>IF(AN845="","",IF(AD845=0,"OK",_xlfn.LET(monedaPago, IF(AA845="","USD",AA845), limitePermitido, IFERROR(VLOOKUP(monedaPago, Configuración!$A$2:$B$3, 2, FALSE), 0.15), IF(AD845&gt;limitePermitido, "ALERTA: EXCESO (" &amp; TEXT(limitePermitido, "0%") &amp; " máx)", "OK"))))</f>
        <v/>
      </c>
      <c r="AP845" s="79">
        <f>IF(AN845="","",IF(AE845=0,"OK",_xlfn.LET(fechaPago, Z845, fechaFactura, R845, diasCredito, IF(E845="Pago inmediato", 0, IFERROR(VALUE(MID(E845, 1, SEARCH(" ", E845)-1)),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45" s="79">
        <f>IF(AN845="","",IF(AND(N845&gt;0, AG845&gt;0), IF(Configuración!$K$2="NO", "ALERTA: DESCUENTO DOBLE NO PERMITIDO", "OK"), "OK"))</f>
        <v/>
      </c>
      <c r="AR845" s="79">
        <f>IF(AN845="","",IF(OR(AO845&lt;&gt;"OK", AP845&lt;&gt;"OK", AQ845&lt;&gt;"OK"), "⚠️ REVISAR", "OK"))</f>
        <v/>
      </c>
    </row>
    <row r="846">
      <c r="A846" s="79">
        <f>IF('Ordenes_Odoo'!A846="","",'Ordenes_Odoo'!A846)</f>
        <v/>
      </c>
      <c r="B846" s="80">
        <f>IF('Ordenes_Odoo'!B846="","",'Ordenes_Odoo'!B846)</f>
        <v/>
      </c>
      <c r="C846" s="79">
        <f>IF('Ordenes_Odoo'!C846="","",'Ordenes_Odoo'!C846)</f>
        <v/>
      </c>
      <c r="D846" s="79">
        <f>IF('Ordenes_Odoo'!D846="","",'Ordenes_Odoo'!D846)</f>
        <v/>
      </c>
      <c r="E846" s="79">
        <f>IF('Ordenes_Odoo'!E846="","",'Ordenes_Odoo'!E846)</f>
        <v/>
      </c>
      <c r="F846" s="79">
        <f>IF('Ordenes_Odoo'!F846="","",'Ordenes_Odoo'!F846)</f>
        <v/>
      </c>
      <c r="G846" s="79">
        <f>IF('Ordenes_Odoo'!G846="","",'Ordenes_Odoo'!G846)</f>
        <v/>
      </c>
      <c r="H846" s="79">
        <f>IF('Ordenes_Odoo'!H846="","",'Ordenes_Odoo'!H846)</f>
        <v/>
      </c>
      <c r="I846" s="79">
        <f>IF('Ordenes_Odoo'!I846="","",'Ordenes_Odoo'!I846)</f>
        <v/>
      </c>
      <c r="J846" s="79">
        <f>IF('Ordenes_Odoo'!J846="","",'Ordenes_Odoo'!J846)</f>
        <v/>
      </c>
      <c r="K846" s="81">
        <f>IF('Ordenes_Odoo'!K846="","",'Ordenes_Odoo'!K846)</f>
        <v/>
      </c>
      <c r="L846" s="81">
        <f>IF('Ordenes_Odoo'!L846="","",'Ordenes_Odoo'!L846)</f>
        <v/>
      </c>
      <c r="M846" s="79">
        <f>IF('Ordenes_Odoo'!M846="","",'Ordenes_Odoo'!M846)</f>
        <v/>
      </c>
      <c r="N846" s="79">
        <f>IF('Ordenes_Odoo'!N846="","",'Ordenes_Odoo'!N846)</f>
        <v/>
      </c>
      <c r="O846" s="81">
        <f>IF('Ordenes_Odoo'!O846="","",'Ordenes_Odoo'!O846)</f>
        <v/>
      </c>
      <c r="P846" s="81">
        <f>IF('Ordenes_Odoo'!P846="","",'Ordenes_Odoo'!P846)</f>
        <v/>
      </c>
      <c r="Q846" s="79">
        <f>IF(A846="","",IFERROR(INDEX(Facturas_Odoo!$B:$B, MATCH(A846, Facturas_Odoo!$D:$D, 0)), "Sin Factura"))</f>
        <v/>
      </c>
      <c r="R846" s="80">
        <f>IF(Q846="Sin Factura","",IFERROR(INDEX(Facturas_Odoo!$A:$A, MATCH(Q846, Facturas_Odoo!$B:$B, 0)), ""))</f>
        <v/>
      </c>
      <c r="S846" s="79">
        <f>IF(Q846="Sin Factura","",IFERROR(_xlfn.XLOOKUP(1, (Facturas_Odoo!$D:$D=A846) * (Facturas_Odoo!$K:$K=I846), Facturas_Odoo!$L:$L, ""), ""))</f>
        <v/>
      </c>
      <c r="T846" s="81">
        <f>IF(Q846="Sin Factura",0,IFERROR(_xlfn.XLOOKUP(1, (Facturas_Odoo!$D:$D=A846) * (Facturas_Odoo!$K:$K=I846), Facturas_Odoo!$M:$M, 0), 0))</f>
        <v/>
      </c>
      <c r="U846" s="79">
        <f>IF(Q846="Sin Factura",0,IFERROR(_xlfn.XLOOKUP(1, (Facturas_Odoo!$D:$D=A846) * (Facturas_Odoo!$K:$K=I846), Facturas_Odoo!$N:$N, 0), 0))</f>
        <v/>
      </c>
      <c r="V846" s="79">
        <f>IF(Q846="Sin Factura",0,IFERROR(_xlfn.XLOOKUP(1, (Facturas_Odoo!$D:$D=A846) * (Facturas_Odoo!$K:$K=I846), Facturas_Odoo!$O:$O, 0), 0))</f>
        <v/>
      </c>
      <c r="W846" s="81">
        <f>IF(Q846="Sin Factura",0,IFERROR(_xlfn.XLOOKUP(1, (Facturas_Odoo!$D:$D=A846) * (Facturas_Odoo!$K:$K=I846), Facturas_Odoo!$Q:$Q, 0), 0))</f>
        <v/>
      </c>
      <c r="X846" s="79">
        <f>IF(OR(Q846="Sin Factura",Q846=""),"",IFERROR(INDEX(Pagos_Odoo!$B:$B, MATCH(Q846, Pagos_Odoo!$I:$I, 0)), "Sin Pago"))</f>
        <v/>
      </c>
      <c r="Y846" s="79">
        <f>IF(X846="Sin Pago","",IFERROR(INDEX(Pagos_Odoo!$C:$C, MATCH(X846, Pagos_Odoo!$B:$B, 0)), ""))</f>
        <v/>
      </c>
      <c r="Z846" s="80">
        <f>IF(X846="Sin Pago","",IFERROR(INDEX(Pagos_Odoo!$A:$A, MATCH(X846, Pagos_Odoo!$B:$B, 0)), ""))</f>
        <v/>
      </c>
      <c r="AA846" s="79">
        <f>IF(X846="Sin Pago","",IFERROR(INDEX(Pagos_Odoo!$F:$F, MATCH(X846, Pagos_Odoo!$B:$B, 0)), ""))</f>
        <v/>
      </c>
      <c r="AB846" s="81">
        <f>IF(X846="Sin Pago",0,IFERROR(INDEX(Pagos_Odoo!$E:$E, MATCH(X846, Pagos_Odoo!$B:$B, 0)), 0))</f>
        <v/>
      </c>
      <c r="AC846" s="79">
        <f>IF(X846="Sin Pago","",IFERROR(INDEX(Pagos_Odoo!$G:$G, MATCH(X846, Pagos_Odoo!$B:$B, 0)), ""))</f>
        <v/>
      </c>
      <c r="AD846" s="82" t="n">
        <v>0</v>
      </c>
      <c r="AE846" s="82" t="n"/>
      <c r="AF846" s="82" t="n"/>
      <c r="AG846" s="82">
        <f>IF(AN846="","",AD846+AE846+AF846)</f>
        <v/>
      </c>
      <c r="AH846" s="81">
        <f>IF(AN846="","",P846*(1-AG846))</f>
        <v/>
      </c>
      <c r="AI846" s="81">
        <f>IF(AN846="","",IF(Q846="Sin Factura",0,IFERROR(INDEX(Facturas_Odoo!$H:$H, MATCH(Q846, Facturas_Odoo!$B:$B, 0)), 0)*(1-AG846)))</f>
        <v/>
      </c>
      <c r="AJ846" s="81">
        <f>IF(AN846="","",_xlfn.LET(idVenta, AN846&amp;"",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46" s="81">
        <f>IF(AN846="","",AH846-AJ846)</f>
        <v/>
      </c>
      <c r="AL846" s="81">
        <f>IF(AN846="","",IF(Q846="Sin Factura","",AI846-AJ846))</f>
        <v/>
      </c>
      <c r="AM846" s="81">
        <f>IF(AN846="","",IF(Q846="Sin Factura",0,P846-IFERROR(INDEX(Facturas_Odoo!$H:$H, MATCH(Q846, Facturas_Odoo!$B:$B, 0)), 0)))</f>
        <v/>
      </c>
      <c r="AN846" s="79">
        <f>IF(AND(A846="", J846=""), "", IF(A846&lt;&gt;"", VALUE(MID(A846,2,LEN(A846))), AN845))</f>
        <v/>
      </c>
      <c r="AO846" s="79">
        <f>IF(AN846="","",IF(AD846=0,"OK",_xlfn.LET(monedaPago, IF(AA846="","USD",AA846), limitePermitido, IFERROR(VLOOKUP(monedaPago, Configuración!$A$2:$B$3, 2, FALSE), 0.15), IF(AD846&gt;limitePermitido, "ALERTA: EXCESO (" &amp; TEXT(limitePermitido, "0%") &amp; " máx)", "OK"))))</f>
        <v/>
      </c>
      <c r="AP846" s="79">
        <f>IF(AN846="","",IF(AE846=0,"OK",_xlfn.LET(fechaPago, Z846, fechaFactura, R846, diasCredito, IF(E846="Pago inmediato", 0, IFERROR(VALUE(MID(E846, 1, SEARCH(" ", E846)-1)),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46" s="79">
        <f>IF(AN846="","",IF(AND(N846&gt;0, AG846&gt;0), IF(Configuración!$K$2="NO", "ALERTA: DESCUENTO DOBLE NO PERMITIDO", "OK"), "OK"))</f>
        <v/>
      </c>
      <c r="AR846" s="79">
        <f>IF(AN846="","",IF(OR(AO846&lt;&gt;"OK", AP846&lt;&gt;"OK", AQ846&lt;&gt;"OK"), "⚠️ REVISAR", "OK"))</f>
        <v/>
      </c>
    </row>
    <row r="847">
      <c r="A847" s="79">
        <f>IF('Ordenes_Odoo'!A847="","",'Ordenes_Odoo'!A847)</f>
        <v/>
      </c>
      <c r="B847" s="80">
        <f>IF('Ordenes_Odoo'!B847="","",'Ordenes_Odoo'!B847)</f>
        <v/>
      </c>
      <c r="C847" s="79">
        <f>IF('Ordenes_Odoo'!C847="","",'Ordenes_Odoo'!C847)</f>
        <v/>
      </c>
      <c r="D847" s="79">
        <f>IF('Ordenes_Odoo'!D847="","",'Ordenes_Odoo'!D847)</f>
        <v/>
      </c>
      <c r="E847" s="79">
        <f>IF('Ordenes_Odoo'!E847="","",'Ordenes_Odoo'!E847)</f>
        <v/>
      </c>
      <c r="F847" s="79">
        <f>IF('Ordenes_Odoo'!F847="","",'Ordenes_Odoo'!F847)</f>
        <v/>
      </c>
      <c r="G847" s="79">
        <f>IF('Ordenes_Odoo'!G847="","",'Ordenes_Odoo'!G847)</f>
        <v/>
      </c>
      <c r="H847" s="79">
        <f>IF('Ordenes_Odoo'!H847="","",'Ordenes_Odoo'!H847)</f>
        <v/>
      </c>
      <c r="I847" s="79">
        <f>IF('Ordenes_Odoo'!I847="","",'Ordenes_Odoo'!I847)</f>
        <v/>
      </c>
      <c r="J847" s="79">
        <f>IF('Ordenes_Odoo'!J847="","",'Ordenes_Odoo'!J847)</f>
        <v/>
      </c>
      <c r="K847" s="81">
        <f>IF('Ordenes_Odoo'!K847="","",'Ordenes_Odoo'!K847)</f>
        <v/>
      </c>
      <c r="L847" s="81">
        <f>IF('Ordenes_Odoo'!L847="","",'Ordenes_Odoo'!L847)</f>
        <v/>
      </c>
      <c r="M847" s="79">
        <f>IF('Ordenes_Odoo'!M847="","",'Ordenes_Odoo'!M847)</f>
        <v/>
      </c>
      <c r="N847" s="79">
        <f>IF('Ordenes_Odoo'!N847="","",'Ordenes_Odoo'!N847)</f>
        <v/>
      </c>
      <c r="O847" s="81">
        <f>IF('Ordenes_Odoo'!O847="","",'Ordenes_Odoo'!O847)</f>
        <v/>
      </c>
      <c r="P847" s="81">
        <f>IF('Ordenes_Odoo'!P847="","",'Ordenes_Odoo'!P847)</f>
        <v/>
      </c>
      <c r="Q847" s="79">
        <f>IF(A847="","",IFERROR(INDEX(Facturas_Odoo!$B:$B, MATCH(A847, Facturas_Odoo!$D:$D, 0)), "Sin Factura"))</f>
        <v/>
      </c>
      <c r="R847" s="80">
        <f>IF(Q847="Sin Factura","",IFERROR(INDEX(Facturas_Odoo!$A:$A, MATCH(Q847, Facturas_Odoo!$B:$B, 0)), ""))</f>
        <v/>
      </c>
      <c r="S847" s="79">
        <f>IF(Q847="Sin Factura","",IFERROR(_xlfn.XLOOKUP(1, (Facturas_Odoo!$D:$D=A847) * (Facturas_Odoo!$K:$K=I847), Facturas_Odoo!$L:$L, ""), ""))</f>
        <v/>
      </c>
      <c r="T847" s="81">
        <f>IF(Q847="Sin Factura",0,IFERROR(_xlfn.XLOOKUP(1, (Facturas_Odoo!$D:$D=A847) * (Facturas_Odoo!$K:$K=I847), Facturas_Odoo!$M:$M, 0), 0))</f>
        <v/>
      </c>
      <c r="U847" s="79">
        <f>IF(Q847="Sin Factura",0,IFERROR(_xlfn.XLOOKUP(1, (Facturas_Odoo!$D:$D=A847) * (Facturas_Odoo!$K:$K=I847), Facturas_Odoo!$N:$N, 0), 0))</f>
        <v/>
      </c>
      <c r="V847" s="79">
        <f>IF(Q847="Sin Factura",0,IFERROR(_xlfn.XLOOKUP(1, (Facturas_Odoo!$D:$D=A847) * (Facturas_Odoo!$K:$K=I847), Facturas_Odoo!$O:$O, 0), 0))</f>
        <v/>
      </c>
      <c r="W847" s="81">
        <f>IF(Q847="Sin Factura",0,IFERROR(_xlfn.XLOOKUP(1, (Facturas_Odoo!$D:$D=A847) * (Facturas_Odoo!$K:$K=I847), Facturas_Odoo!$Q:$Q, 0), 0))</f>
        <v/>
      </c>
      <c r="X847" s="79">
        <f>IF(OR(Q847="Sin Factura",Q847=""),"",IFERROR(INDEX(Pagos_Odoo!$B:$B, MATCH(Q847, Pagos_Odoo!$I:$I, 0)), "Sin Pago"))</f>
        <v/>
      </c>
      <c r="Y847" s="79">
        <f>IF(X847="Sin Pago","",IFERROR(INDEX(Pagos_Odoo!$C:$C, MATCH(X847, Pagos_Odoo!$B:$B, 0)), ""))</f>
        <v/>
      </c>
      <c r="Z847" s="80">
        <f>IF(X847="Sin Pago","",IFERROR(INDEX(Pagos_Odoo!$A:$A, MATCH(X847, Pagos_Odoo!$B:$B, 0)), ""))</f>
        <v/>
      </c>
      <c r="AA847" s="79">
        <f>IF(X847="Sin Pago","",IFERROR(INDEX(Pagos_Odoo!$F:$F, MATCH(X847, Pagos_Odoo!$B:$B, 0)), ""))</f>
        <v/>
      </c>
      <c r="AB847" s="81">
        <f>IF(X847="Sin Pago",0,IFERROR(INDEX(Pagos_Odoo!$E:$E, MATCH(X847, Pagos_Odoo!$B:$B, 0)), 0))</f>
        <v/>
      </c>
      <c r="AC847" s="79">
        <f>IF(X847="Sin Pago","",IFERROR(INDEX(Pagos_Odoo!$G:$G, MATCH(X847, Pagos_Odoo!$B:$B, 0)), ""))</f>
        <v/>
      </c>
      <c r="AD847" s="82" t="n">
        <v>0</v>
      </c>
      <c r="AE847" s="82" t="n"/>
      <c r="AF847" s="82" t="n"/>
      <c r="AG847" s="82">
        <f>IF(AN847="","",AD847+AE847+AF847)</f>
        <v/>
      </c>
      <c r="AH847" s="81">
        <f>IF(AN847="","",P847*(1-AG847))</f>
        <v/>
      </c>
      <c r="AI847" s="81">
        <f>IF(AN847="","",IF(Q847="Sin Factura",0,IFERROR(INDEX(Facturas_Odoo!$H:$H, MATCH(Q847, Facturas_Odoo!$B:$B, 0)), 0)*(1-AG847)))</f>
        <v/>
      </c>
      <c r="AJ847" s="81">
        <f>IF(AN847="","",_xlfn.LET(idVenta, AN847&amp;"",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47" s="81">
        <f>IF(AN847="","",AH847-AJ847)</f>
        <v/>
      </c>
      <c r="AL847" s="81">
        <f>IF(AN847="","",IF(Q847="Sin Factura","",AI847-AJ847))</f>
        <v/>
      </c>
      <c r="AM847" s="81">
        <f>IF(AN847="","",IF(Q847="Sin Factura",0,P847-IFERROR(INDEX(Facturas_Odoo!$H:$H, MATCH(Q847, Facturas_Odoo!$B:$B, 0)), 0)))</f>
        <v/>
      </c>
      <c r="AN847" s="79">
        <f>IF(AND(A847="", J847=""), "", IF(A847&lt;&gt;"", VALUE(MID(A847,2,LEN(A847))), AN846))</f>
        <v/>
      </c>
      <c r="AO847" s="79">
        <f>IF(AN847="","",IF(AD847=0,"OK",_xlfn.LET(monedaPago, IF(AA847="","USD",AA847), limitePermitido, IFERROR(VLOOKUP(monedaPago, Configuración!$A$2:$B$3, 2, FALSE), 0.15), IF(AD847&gt;limitePermitido, "ALERTA: EXCESO (" &amp; TEXT(limitePermitido, "0%") &amp; " máx)", "OK"))))</f>
        <v/>
      </c>
      <c r="AP847" s="79">
        <f>IF(AN847="","",IF(AE847=0,"OK",_xlfn.LET(fechaPago, Z847, fechaFactura, R847, diasCredito, IF(E847="Pago inmediato", 0, IFERROR(VALUE(MID(E847, 1, SEARCH(" ", E847)-1)),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47" s="79">
        <f>IF(AN847="","",IF(AND(N847&gt;0, AG847&gt;0), IF(Configuración!$K$2="NO", "ALERTA: DESCUENTO DOBLE NO PERMITIDO", "OK"), "OK"))</f>
        <v/>
      </c>
      <c r="AR847" s="79">
        <f>IF(AN847="","",IF(OR(AO847&lt;&gt;"OK", AP847&lt;&gt;"OK", AQ847&lt;&gt;"OK"), "⚠️ REVISAR", "OK"))</f>
        <v/>
      </c>
    </row>
    <row r="848">
      <c r="A848" s="79">
        <f>IF('Ordenes_Odoo'!A848="","",'Ordenes_Odoo'!A848)</f>
        <v/>
      </c>
      <c r="B848" s="80">
        <f>IF('Ordenes_Odoo'!B848="","",'Ordenes_Odoo'!B848)</f>
        <v/>
      </c>
      <c r="C848" s="79">
        <f>IF('Ordenes_Odoo'!C848="","",'Ordenes_Odoo'!C848)</f>
        <v/>
      </c>
      <c r="D848" s="79">
        <f>IF('Ordenes_Odoo'!D848="","",'Ordenes_Odoo'!D848)</f>
        <v/>
      </c>
      <c r="E848" s="79">
        <f>IF('Ordenes_Odoo'!E848="","",'Ordenes_Odoo'!E848)</f>
        <v/>
      </c>
      <c r="F848" s="79">
        <f>IF('Ordenes_Odoo'!F848="","",'Ordenes_Odoo'!F848)</f>
        <v/>
      </c>
      <c r="G848" s="79">
        <f>IF('Ordenes_Odoo'!G848="","",'Ordenes_Odoo'!G848)</f>
        <v/>
      </c>
      <c r="H848" s="79">
        <f>IF('Ordenes_Odoo'!H848="","",'Ordenes_Odoo'!H848)</f>
        <v/>
      </c>
      <c r="I848" s="79">
        <f>IF('Ordenes_Odoo'!I848="","",'Ordenes_Odoo'!I848)</f>
        <v/>
      </c>
      <c r="J848" s="79">
        <f>IF('Ordenes_Odoo'!J848="","",'Ordenes_Odoo'!J848)</f>
        <v/>
      </c>
      <c r="K848" s="81">
        <f>IF('Ordenes_Odoo'!K848="","",'Ordenes_Odoo'!K848)</f>
        <v/>
      </c>
      <c r="L848" s="81">
        <f>IF('Ordenes_Odoo'!L848="","",'Ordenes_Odoo'!L848)</f>
        <v/>
      </c>
      <c r="M848" s="79">
        <f>IF('Ordenes_Odoo'!M848="","",'Ordenes_Odoo'!M848)</f>
        <v/>
      </c>
      <c r="N848" s="79">
        <f>IF('Ordenes_Odoo'!N848="","",'Ordenes_Odoo'!N848)</f>
        <v/>
      </c>
      <c r="O848" s="81">
        <f>IF('Ordenes_Odoo'!O848="","",'Ordenes_Odoo'!O848)</f>
        <v/>
      </c>
      <c r="P848" s="81">
        <f>IF('Ordenes_Odoo'!P848="","",'Ordenes_Odoo'!P848)</f>
        <v/>
      </c>
      <c r="Q848" s="79">
        <f>IF(A848="","",IFERROR(INDEX(Facturas_Odoo!$B:$B, MATCH(A848, Facturas_Odoo!$D:$D, 0)), "Sin Factura"))</f>
        <v/>
      </c>
      <c r="R848" s="80">
        <f>IF(Q848="Sin Factura","",IFERROR(INDEX(Facturas_Odoo!$A:$A, MATCH(Q848, Facturas_Odoo!$B:$B, 0)), ""))</f>
        <v/>
      </c>
      <c r="S848" s="79">
        <f>IF(Q848="Sin Factura","",IFERROR(_xlfn.XLOOKUP(1, (Facturas_Odoo!$D:$D=A848) * (Facturas_Odoo!$K:$K=I848), Facturas_Odoo!$L:$L, ""), ""))</f>
        <v/>
      </c>
      <c r="T848" s="81">
        <f>IF(Q848="Sin Factura",0,IFERROR(_xlfn.XLOOKUP(1, (Facturas_Odoo!$D:$D=A848) * (Facturas_Odoo!$K:$K=I848), Facturas_Odoo!$M:$M, 0), 0))</f>
        <v/>
      </c>
      <c r="U848" s="79">
        <f>IF(Q848="Sin Factura",0,IFERROR(_xlfn.XLOOKUP(1, (Facturas_Odoo!$D:$D=A848) * (Facturas_Odoo!$K:$K=I848), Facturas_Odoo!$N:$N, 0), 0))</f>
        <v/>
      </c>
      <c r="V848" s="79">
        <f>IF(Q848="Sin Factura",0,IFERROR(_xlfn.XLOOKUP(1, (Facturas_Odoo!$D:$D=A848) * (Facturas_Odoo!$K:$K=I848), Facturas_Odoo!$O:$O, 0), 0))</f>
        <v/>
      </c>
      <c r="W848" s="81">
        <f>IF(Q848="Sin Factura",0,IFERROR(_xlfn.XLOOKUP(1, (Facturas_Odoo!$D:$D=A848) * (Facturas_Odoo!$K:$K=I848), Facturas_Odoo!$Q:$Q, 0), 0))</f>
        <v/>
      </c>
      <c r="X848" s="79">
        <f>IF(OR(Q848="Sin Factura",Q848=""),"",IFERROR(INDEX(Pagos_Odoo!$B:$B, MATCH(Q848, Pagos_Odoo!$I:$I, 0)), "Sin Pago"))</f>
        <v/>
      </c>
      <c r="Y848" s="79">
        <f>IF(X848="Sin Pago","",IFERROR(INDEX(Pagos_Odoo!$C:$C, MATCH(X848, Pagos_Odoo!$B:$B, 0)), ""))</f>
        <v/>
      </c>
      <c r="Z848" s="80">
        <f>IF(X848="Sin Pago","",IFERROR(INDEX(Pagos_Odoo!$A:$A, MATCH(X848, Pagos_Odoo!$B:$B, 0)), ""))</f>
        <v/>
      </c>
      <c r="AA848" s="79">
        <f>IF(X848="Sin Pago","",IFERROR(INDEX(Pagos_Odoo!$F:$F, MATCH(X848, Pagos_Odoo!$B:$B, 0)), ""))</f>
        <v/>
      </c>
      <c r="AB848" s="81">
        <f>IF(X848="Sin Pago",0,IFERROR(INDEX(Pagos_Odoo!$E:$E, MATCH(X848, Pagos_Odoo!$B:$B, 0)), 0))</f>
        <v/>
      </c>
      <c r="AC848" s="79">
        <f>IF(X848="Sin Pago","",IFERROR(INDEX(Pagos_Odoo!$G:$G, MATCH(X848, Pagos_Odoo!$B:$B, 0)), ""))</f>
        <v/>
      </c>
      <c r="AD848" s="82" t="n">
        <v>0</v>
      </c>
      <c r="AE848" s="82" t="n"/>
      <c r="AF848" s="82" t="n"/>
      <c r="AG848" s="82">
        <f>IF(AN848="","",AD848+AE848+AF848)</f>
        <v/>
      </c>
      <c r="AH848" s="81">
        <f>IF(AN848="","",P848*(1-AG848))</f>
        <v/>
      </c>
      <c r="AI848" s="81">
        <f>IF(AN848="","",IF(Q848="Sin Factura",0,IFERROR(INDEX(Facturas_Odoo!$H:$H, MATCH(Q848, Facturas_Odoo!$B:$B, 0)), 0)*(1-AG848)))</f>
        <v/>
      </c>
      <c r="AJ848" s="81">
        <f>IF(AN848="","",_xlfn.LET(idVenta, AN848&amp;"",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48" s="81">
        <f>IF(AN848="","",AH848-AJ848)</f>
        <v/>
      </c>
      <c r="AL848" s="81">
        <f>IF(AN848="","",IF(Q848="Sin Factura","",AI848-AJ848))</f>
        <v/>
      </c>
      <c r="AM848" s="81">
        <f>IF(AN848="","",IF(Q848="Sin Factura",0,P848-IFERROR(INDEX(Facturas_Odoo!$H:$H, MATCH(Q848, Facturas_Odoo!$B:$B, 0)), 0)))</f>
        <v/>
      </c>
      <c r="AN848" s="79">
        <f>IF(AND(A848="", J848=""), "", IF(A848&lt;&gt;"", VALUE(MID(A848,2,LEN(A848))), AN847))</f>
        <v/>
      </c>
      <c r="AO848" s="79">
        <f>IF(AN848="","",IF(AD848=0,"OK",_xlfn.LET(monedaPago, IF(AA848="","USD",AA848), limitePermitido, IFERROR(VLOOKUP(monedaPago, Configuración!$A$2:$B$3, 2, FALSE), 0.15), IF(AD848&gt;limitePermitido, "ALERTA: EXCESO (" &amp; TEXT(limitePermitido, "0%") &amp; " máx)", "OK"))))</f>
        <v/>
      </c>
      <c r="AP848" s="79">
        <f>IF(AN848="","",IF(AE848=0,"OK",_xlfn.LET(fechaPago, Z848, fechaFactura, R848, diasCredito, IF(E848="Pago inmediato", 0, IFERROR(VALUE(MID(E848, 1, SEARCH(" ", E848)-1)),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48" s="79">
        <f>IF(AN848="","",IF(AND(N848&gt;0, AG848&gt;0), IF(Configuración!$K$2="NO", "ALERTA: DESCUENTO DOBLE NO PERMITIDO", "OK"), "OK"))</f>
        <v/>
      </c>
      <c r="AR848" s="79">
        <f>IF(AN848="","",IF(OR(AO848&lt;&gt;"OK", AP848&lt;&gt;"OK", AQ848&lt;&gt;"OK"), "⚠️ REVISAR", "OK"))</f>
        <v/>
      </c>
    </row>
    <row r="849">
      <c r="A849" s="79">
        <f>IF('Ordenes_Odoo'!A849="","",'Ordenes_Odoo'!A849)</f>
        <v/>
      </c>
      <c r="B849" s="80">
        <f>IF('Ordenes_Odoo'!B849="","",'Ordenes_Odoo'!B849)</f>
        <v/>
      </c>
      <c r="C849" s="79">
        <f>IF('Ordenes_Odoo'!C849="","",'Ordenes_Odoo'!C849)</f>
        <v/>
      </c>
      <c r="D849" s="79">
        <f>IF('Ordenes_Odoo'!D849="","",'Ordenes_Odoo'!D849)</f>
        <v/>
      </c>
      <c r="E849" s="79">
        <f>IF('Ordenes_Odoo'!E849="","",'Ordenes_Odoo'!E849)</f>
        <v/>
      </c>
      <c r="F849" s="79">
        <f>IF('Ordenes_Odoo'!F849="","",'Ordenes_Odoo'!F849)</f>
        <v/>
      </c>
      <c r="G849" s="79">
        <f>IF('Ordenes_Odoo'!G849="","",'Ordenes_Odoo'!G849)</f>
        <v/>
      </c>
      <c r="H849" s="79">
        <f>IF('Ordenes_Odoo'!H849="","",'Ordenes_Odoo'!H849)</f>
        <v/>
      </c>
      <c r="I849" s="79">
        <f>IF('Ordenes_Odoo'!I849="","",'Ordenes_Odoo'!I849)</f>
        <v/>
      </c>
      <c r="J849" s="79">
        <f>IF('Ordenes_Odoo'!J849="","",'Ordenes_Odoo'!J849)</f>
        <v/>
      </c>
      <c r="K849" s="81">
        <f>IF('Ordenes_Odoo'!K849="","",'Ordenes_Odoo'!K849)</f>
        <v/>
      </c>
      <c r="L849" s="81">
        <f>IF('Ordenes_Odoo'!L849="","",'Ordenes_Odoo'!L849)</f>
        <v/>
      </c>
      <c r="M849" s="79">
        <f>IF('Ordenes_Odoo'!M849="","",'Ordenes_Odoo'!M849)</f>
        <v/>
      </c>
      <c r="N849" s="79">
        <f>IF('Ordenes_Odoo'!N849="","",'Ordenes_Odoo'!N849)</f>
        <v/>
      </c>
      <c r="O849" s="81">
        <f>IF('Ordenes_Odoo'!O849="","",'Ordenes_Odoo'!O849)</f>
        <v/>
      </c>
      <c r="P849" s="81">
        <f>IF('Ordenes_Odoo'!P849="","",'Ordenes_Odoo'!P849)</f>
        <v/>
      </c>
      <c r="Q849" s="79">
        <f>IF(A849="","",IFERROR(INDEX(Facturas_Odoo!$B:$B, MATCH(A849, Facturas_Odoo!$D:$D, 0)), "Sin Factura"))</f>
        <v/>
      </c>
      <c r="R849" s="80">
        <f>IF(Q849="Sin Factura","",IFERROR(INDEX(Facturas_Odoo!$A:$A, MATCH(Q849, Facturas_Odoo!$B:$B, 0)), ""))</f>
        <v/>
      </c>
      <c r="S849" s="79">
        <f>IF(Q849="Sin Factura","",IFERROR(_xlfn.XLOOKUP(1, (Facturas_Odoo!$D:$D=A849) * (Facturas_Odoo!$K:$K=I849), Facturas_Odoo!$L:$L, ""), ""))</f>
        <v/>
      </c>
      <c r="T849" s="81">
        <f>IF(Q849="Sin Factura",0,IFERROR(_xlfn.XLOOKUP(1, (Facturas_Odoo!$D:$D=A849) * (Facturas_Odoo!$K:$K=I849), Facturas_Odoo!$M:$M, 0), 0))</f>
        <v/>
      </c>
      <c r="U849" s="79">
        <f>IF(Q849="Sin Factura",0,IFERROR(_xlfn.XLOOKUP(1, (Facturas_Odoo!$D:$D=A849) * (Facturas_Odoo!$K:$K=I849), Facturas_Odoo!$N:$N, 0), 0))</f>
        <v/>
      </c>
      <c r="V849" s="79">
        <f>IF(Q849="Sin Factura",0,IFERROR(_xlfn.XLOOKUP(1, (Facturas_Odoo!$D:$D=A849) * (Facturas_Odoo!$K:$K=I849), Facturas_Odoo!$O:$O, 0), 0))</f>
        <v/>
      </c>
      <c r="W849" s="81">
        <f>IF(Q849="Sin Factura",0,IFERROR(_xlfn.XLOOKUP(1, (Facturas_Odoo!$D:$D=A849) * (Facturas_Odoo!$K:$K=I849), Facturas_Odoo!$Q:$Q, 0), 0))</f>
        <v/>
      </c>
      <c r="X849" s="79">
        <f>IF(OR(Q849="Sin Factura",Q849=""),"",IFERROR(INDEX(Pagos_Odoo!$B:$B, MATCH(Q849, Pagos_Odoo!$I:$I, 0)), "Sin Pago"))</f>
        <v/>
      </c>
      <c r="Y849" s="79">
        <f>IF(X849="Sin Pago","",IFERROR(INDEX(Pagos_Odoo!$C:$C, MATCH(X849, Pagos_Odoo!$B:$B, 0)), ""))</f>
        <v/>
      </c>
      <c r="Z849" s="80">
        <f>IF(X849="Sin Pago","",IFERROR(INDEX(Pagos_Odoo!$A:$A, MATCH(X849, Pagos_Odoo!$B:$B, 0)), ""))</f>
        <v/>
      </c>
      <c r="AA849" s="79">
        <f>IF(X849="Sin Pago","",IFERROR(INDEX(Pagos_Odoo!$F:$F, MATCH(X849, Pagos_Odoo!$B:$B, 0)), ""))</f>
        <v/>
      </c>
      <c r="AB849" s="81">
        <f>IF(X849="Sin Pago",0,IFERROR(INDEX(Pagos_Odoo!$E:$E, MATCH(X849, Pagos_Odoo!$B:$B, 0)), 0))</f>
        <v/>
      </c>
      <c r="AC849" s="79">
        <f>IF(X849="Sin Pago","",IFERROR(INDEX(Pagos_Odoo!$G:$G, MATCH(X849, Pagos_Odoo!$B:$B, 0)), ""))</f>
        <v/>
      </c>
      <c r="AD849" s="82" t="n">
        <v>0</v>
      </c>
      <c r="AE849" s="82" t="n"/>
      <c r="AF849" s="82" t="n"/>
      <c r="AG849" s="82">
        <f>IF(AN849="","",AD849+AE849+AF849)</f>
        <v/>
      </c>
      <c r="AH849" s="81">
        <f>IF(AN849="","",P849*(1-AG849))</f>
        <v/>
      </c>
      <c r="AI849" s="81">
        <f>IF(AN849="","",IF(Q849="Sin Factura",0,IFERROR(INDEX(Facturas_Odoo!$H:$H, MATCH(Q849, Facturas_Odoo!$B:$B, 0)), 0)*(1-AG849)))</f>
        <v/>
      </c>
      <c r="AJ849" s="81">
        <f>IF(AN849="","",_xlfn.LET(idVenta, AN849&amp;"",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49" s="81">
        <f>IF(AN849="","",AH849-AJ849)</f>
        <v/>
      </c>
      <c r="AL849" s="81">
        <f>IF(AN849="","",IF(Q849="Sin Factura","",AI849-AJ849))</f>
        <v/>
      </c>
      <c r="AM849" s="81">
        <f>IF(AN849="","",IF(Q849="Sin Factura",0,P849-IFERROR(INDEX(Facturas_Odoo!$H:$H, MATCH(Q849, Facturas_Odoo!$B:$B, 0)), 0)))</f>
        <v/>
      </c>
      <c r="AN849" s="79">
        <f>IF(AND(A849="", J849=""), "", IF(A849&lt;&gt;"", VALUE(MID(A849,2,LEN(A849))), AN848))</f>
        <v/>
      </c>
      <c r="AO849" s="79">
        <f>IF(AN849="","",IF(AD849=0,"OK",_xlfn.LET(monedaPago, IF(AA849="","USD",AA849), limitePermitido, IFERROR(VLOOKUP(monedaPago, Configuración!$A$2:$B$3, 2, FALSE), 0.15), IF(AD849&gt;limitePermitido, "ALERTA: EXCESO (" &amp; TEXT(limitePermitido, "0%") &amp; " máx)", "OK"))))</f>
        <v/>
      </c>
      <c r="AP849" s="79">
        <f>IF(AN849="","",IF(AE849=0,"OK",_xlfn.LET(fechaPago, Z849, fechaFactura, R849, diasCredito, IF(E849="Pago inmediato", 0, IFERROR(VALUE(MID(E849, 1, SEARCH(" ", E849)-1)),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49" s="79">
        <f>IF(AN849="","",IF(AND(N849&gt;0, AG849&gt;0), IF(Configuración!$K$2="NO", "ALERTA: DESCUENTO DOBLE NO PERMITIDO", "OK"), "OK"))</f>
        <v/>
      </c>
      <c r="AR849" s="79">
        <f>IF(AN849="","",IF(OR(AO849&lt;&gt;"OK", AP849&lt;&gt;"OK", AQ849&lt;&gt;"OK"), "⚠️ REVISAR", "OK"))</f>
        <v/>
      </c>
    </row>
    <row r="850">
      <c r="A850" s="79">
        <f>IF('Ordenes_Odoo'!A850="","",'Ordenes_Odoo'!A850)</f>
        <v/>
      </c>
      <c r="B850" s="80">
        <f>IF('Ordenes_Odoo'!B850="","",'Ordenes_Odoo'!B850)</f>
        <v/>
      </c>
      <c r="C850" s="79">
        <f>IF('Ordenes_Odoo'!C850="","",'Ordenes_Odoo'!C850)</f>
        <v/>
      </c>
      <c r="D850" s="79">
        <f>IF('Ordenes_Odoo'!D850="","",'Ordenes_Odoo'!D850)</f>
        <v/>
      </c>
      <c r="E850" s="79">
        <f>IF('Ordenes_Odoo'!E850="","",'Ordenes_Odoo'!E850)</f>
        <v/>
      </c>
      <c r="F850" s="79">
        <f>IF('Ordenes_Odoo'!F850="","",'Ordenes_Odoo'!F850)</f>
        <v/>
      </c>
      <c r="G850" s="79">
        <f>IF('Ordenes_Odoo'!G850="","",'Ordenes_Odoo'!G850)</f>
        <v/>
      </c>
      <c r="H850" s="79">
        <f>IF('Ordenes_Odoo'!H850="","",'Ordenes_Odoo'!H850)</f>
        <v/>
      </c>
      <c r="I850" s="79">
        <f>IF('Ordenes_Odoo'!I850="","",'Ordenes_Odoo'!I850)</f>
        <v/>
      </c>
      <c r="J850" s="79">
        <f>IF('Ordenes_Odoo'!J850="","",'Ordenes_Odoo'!J850)</f>
        <v/>
      </c>
      <c r="K850" s="81">
        <f>IF('Ordenes_Odoo'!K850="","",'Ordenes_Odoo'!K850)</f>
        <v/>
      </c>
      <c r="L850" s="81">
        <f>IF('Ordenes_Odoo'!L850="","",'Ordenes_Odoo'!L850)</f>
        <v/>
      </c>
      <c r="M850" s="79">
        <f>IF('Ordenes_Odoo'!M850="","",'Ordenes_Odoo'!M850)</f>
        <v/>
      </c>
      <c r="N850" s="79">
        <f>IF('Ordenes_Odoo'!N850="","",'Ordenes_Odoo'!N850)</f>
        <v/>
      </c>
      <c r="O850" s="81">
        <f>IF('Ordenes_Odoo'!O850="","",'Ordenes_Odoo'!O850)</f>
        <v/>
      </c>
      <c r="P850" s="81">
        <f>IF('Ordenes_Odoo'!P850="","",'Ordenes_Odoo'!P850)</f>
        <v/>
      </c>
      <c r="Q850" s="79">
        <f>IF(A850="","",IFERROR(INDEX(Facturas_Odoo!$B:$B, MATCH(A850, Facturas_Odoo!$D:$D, 0)), "Sin Factura"))</f>
        <v/>
      </c>
      <c r="R850" s="80">
        <f>IF(Q850="Sin Factura","",IFERROR(INDEX(Facturas_Odoo!$A:$A, MATCH(Q850, Facturas_Odoo!$B:$B, 0)), ""))</f>
        <v/>
      </c>
      <c r="S850" s="79">
        <f>IF(Q850="Sin Factura","",IFERROR(_xlfn.XLOOKUP(1, (Facturas_Odoo!$D:$D=A850) * (Facturas_Odoo!$K:$K=I850), Facturas_Odoo!$L:$L, ""), ""))</f>
        <v/>
      </c>
      <c r="T850" s="81">
        <f>IF(Q850="Sin Factura",0,IFERROR(_xlfn.XLOOKUP(1, (Facturas_Odoo!$D:$D=A850) * (Facturas_Odoo!$K:$K=I850), Facturas_Odoo!$M:$M, 0), 0))</f>
        <v/>
      </c>
      <c r="U850" s="79">
        <f>IF(Q850="Sin Factura",0,IFERROR(_xlfn.XLOOKUP(1, (Facturas_Odoo!$D:$D=A850) * (Facturas_Odoo!$K:$K=I850), Facturas_Odoo!$N:$N, 0), 0))</f>
        <v/>
      </c>
      <c r="V850" s="79">
        <f>IF(Q850="Sin Factura",0,IFERROR(_xlfn.XLOOKUP(1, (Facturas_Odoo!$D:$D=A850) * (Facturas_Odoo!$K:$K=I850), Facturas_Odoo!$O:$O, 0), 0))</f>
        <v/>
      </c>
      <c r="W850" s="81">
        <f>IF(Q850="Sin Factura",0,IFERROR(_xlfn.XLOOKUP(1, (Facturas_Odoo!$D:$D=A850) * (Facturas_Odoo!$K:$K=I850), Facturas_Odoo!$Q:$Q, 0), 0))</f>
        <v/>
      </c>
      <c r="X850" s="79">
        <f>IF(OR(Q850="Sin Factura",Q850=""),"",IFERROR(INDEX(Pagos_Odoo!$B:$B, MATCH(Q850, Pagos_Odoo!$I:$I, 0)), "Sin Pago"))</f>
        <v/>
      </c>
      <c r="Y850" s="79">
        <f>IF(X850="Sin Pago","",IFERROR(INDEX(Pagos_Odoo!$C:$C, MATCH(X850, Pagos_Odoo!$B:$B, 0)), ""))</f>
        <v/>
      </c>
      <c r="Z850" s="80">
        <f>IF(X850="Sin Pago","",IFERROR(INDEX(Pagos_Odoo!$A:$A, MATCH(X850, Pagos_Odoo!$B:$B, 0)), ""))</f>
        <v/>
      </c>
      <c r="AA850" s="79">
        <f>IF(X850="Sin Pago","",IFERROR(INDEX(Pagos_Odoo!$F:$F, MATCH(X850, Pagos_Odoo!$B:$B, 0)), ""))</f>
        <v/>
      </c>
      <c r="AB850" s="81">
        <f>IF(X850="Sin Pago",0,IFERROR(INDEX(Pagos_Odoo!$E:$E, MATCH(X850, Pagos_Odoo!$B:$B, 0)), 0))</f>
        <v/>
      </c>
      <c r="AC850" s="79">
        <f>IF(X850="Sin Pago","",IFERROR(INDEX(Pagos_Odoo!$G:$G, MATCH(X850, Pagos_Odoo!$B:$B, 0)), ""))</f>
        <v/>
      </c>
      <c r="AD850" s="82" t="n">
        <v>0</v>
      </c>
      <c r="AE850" s="82" t="n"/>
      <c r="AF850" s="82" t="n"/>
      <c r="AG850" s="82">
        <f>IF(AN850="","",AD850+AE850+AF850)</f>
        <v/>
      </c>
      <c r="AH850" s="81">
        <f>IF(AN850="","",P850*(1-AG850))</f>
        <v/>
      </c>
      <c r="AI850" s="81">
        <f>IF(AN850="","",IF(Q850="Sin Factura",0,IFERROR(INDEX(Facturas_Odoo!$H:$H, MATCH(Q850, Facturas_Odoo!$B:$B, 0)), 0)*(1-AG850)))</f>
        <v/>
      </c>
      <c r="AJ850" s="81">
        <f>IF(AN850="","",_xlfn.LET(idVenta, AN850&amp;"",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50" s="81">
        <f>IF(AN850="","",AH850-AJ850)</f>
        <v/>
      </c>
      <c r="AL850" s="81">
        <f>IF(AN850="","",IF(Q850="Sin Factura","",AI850-AJ850))</f>
        <v/>
      </c>
      <c r="AM850" s="81">
        <f>IF(AN850="","",IF(Q850="Sin Factura",0,P850-IFERROR(INDEX(Facturas_Odoo!$H:$H, MATCH(Q850, Facturas_Odoo!$B:$B, 0)), 0)))</f>
        <v/>
      </c>
      <c r="AN850" s="79">
        <f>IF(AND(A850="", J850=""), "", IF(A850&lt;&gt;"", VALUE(MID(A850,2,LEN(A850))), AN849))</f>
        <v/>
      </c>
      <c r="AO850" s="79">
        <f>IF(AN850="","",IF(AD850=0,"OK",_xlfn.LET(monedaPago, IF(AA850="","USD",AA850), limitePermitido, IFERROR(VLOOKUP(monedaPago, Configuración!$A$2:$B$3, 2, FALSE), 0.15), IF(AD850&gt;limitePermitido, "ALERTA: EXCESO (" &amp; TEXT(limitePermitido, "0%") &amp; " máx)", "OK"))))</f>
        <v/>
      </c>
      <c r="AP850" s="79">
        <f>IF(AN850="","",IF(AE850=0,"OK",_xlfn.LET(fechaPago, Z850, fechaFactura, R850, diasCredito, IF(E850="Pago inmediato", 0, IFERROR(VALUE(MID(E850, 1, SEARCH(" ", E850)-1)),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50" s="79">
        <f>IF(AN850="","",IF(AND(N850&gt;0, AG850&gt;0), IF(Configuración!$K$2="NO", "ALERTA: DESCUENTO DOBLE NO PERMITIDO", "OK"), "OK"))</f>
        <v/>
      </c>
      <c r="AR850" s="79">
        <f>IF(AN850="","",IF(OR(AO850&lt;&gt;"OK", AP850&lt;&gt;"OK", AQ850&lt;&gt;"OK"), "⚠️ REVISAR", "OK"))</f>
        <v/>
      </c>
    </row>
    <row r="851">
      <c r="A851" s="79">
        <f>IF('Ordenes_Odoo'!A851="","",'Ordenes_Odoo'!A851)</f>
        <v/>
      </c>
      <c r="B851" s="80">
        <f>IF('Ordenes_Odoo'!B851="","",'Ordenes_Odoo'!B851)</f>
        <v/>
      </c>
      <c r="C851" s="79">
        <f>IF('Ordenes_Odoo'!C851="","",'Ordenes_Odoo'!C851)</f>
        <v/>
      </c>
      <c r="D851" s="79">
        <f>IF('Ordenes_Odoo'!D851="","",'Ordenes_Odoo'!D851)</f>
        <v/>
      </c>
      <c r="E851" s="79">
        <f>IF('Ordenes_Odoo'!E851="","",'Ordenes_Odoo'!E851)</f>
        <v/>
      </c>
      <c r="F851" s="79">
        <f>IF('Ordenes_Odoo'!F851="","",'Ordenes_Odoo'!F851)</f>
        <v/>
      </c>
      <c r="G851" s="79">
        <f>IF('Ordenes_Odoo'!G851="","",'Ordenes_Odoo'!G851)</f>
        <v/>
      </c>
      <c r="H851" s="79">
        <f>IF('Ordenes_Odoo'!H851="","",'Ordenes_Odoo'!H851)</f>
        <v/>
      </c>
      <c r="I851" s="79">
        <f>IF('Ordenes_Odoo'!I851="","",'Ordenes_Odoo'!I851)</f>
        <v/>
      </c>
      <c r="J851" s="79">
        <f>IF('Ordenes_Odoo'!J851="","",'Ordenes_Odoo'!J851)</f>
        <v/>
      </c>
      <c r="K851" s="81">
        <f>IF('Ordenes_Odoo'!K851="","",'Ordenes_Odoo'!K851)</f>
        <v/>
      </c>
      <c r="L851" s="81">
        <f>IF('Ordenes_Odoo'!L851="","",'Ordenes_Odoo'!L851)</f>
        <v/>
      </c>
      <c r="M851" s="79">
        <f>IF('Ordenes_Odoo'!M851="","",'Ordenes_Odoo'!M851)</f>
        <v/>
      </c>
      <c r="N851" s="79">
        <f>IF('Ordenes_Odoo'!N851="","",'Ordenes_Odoo'!N851)</f>
        <v/>
      </c>
      <c r="O851" s="81">
        <f>IF('Ordenes_Odoo'!O851="","",'Ordenes_Odoo'!O851)</f>
        <v/>
      </c>
      <c r="P851" s="81">
        <f>IF('Ordenes_Odoo'!P851="","",'Ordenes_Odoo'!P851)</f>
        <v/>
      </c>
      <c r="Q851" s="79">
        <f>IF(A851="","",IFERROR(INDEX(Facturas_Odoo!$B:$B, MATCH(A851, Facturas_Odoo!$D:$D, 0)), "Sin Factura"))</f>
        <v/>
      </c>
      <c r="R851" s="80">
        <f>IF(Q851="Sin Factura","",IFERROR(INDEX(Facturas_Odoo!$A:$A, MATCH(Q851, Facturas_Odoo!$B:$B, 0)), ""))</f>
        <v/>
      </c>
      <c r="S851" s="79">
        <f>IF(Q851="Sin Factura","",IFERROR(_xlfn.XLOOKUP(1, (Facturas_Odoo!$D:$D=A851) * (Facturas_Odoo!$K:$K=I851), Facturas_Odoo!$L:$L, ""), ""))</f>
        <v/>
      </c>
      <c r="T851" s="81">
        <f>IF(Q851="Sin Factura",0,IFERROR(_xlfn.XLOOKUP(1, (Facturas_Odoo!$D:$D=A851) * (Facturas_Odoo!$K:$K=I851), Facturas_Odoo!$M:$M, 0), 0))</f>
        <v/>
      </c>
      <c r="U851" s="79">
        <f>IF(Q851="Sin Factura",0,IFERROR(_xlfn.XLOOKUP(1, (Facturas_Odoo!$D:$D=A851) * (Facturas_Odoo!$K:$K=I851), Facturas_Odoo!$N:$N, 0), 0))</f>
        <v/>
      </c>
      <c r="V851" s="79">
        <f>IF(Q851="Sin Factura",0,IFERROR(_xlfn.XLOOKUP(1, (Facturas_Odoo!$D:$D=A851) * (Facturas_Odoo!$K:$K=I851), Facturas_Odoo!$O:$O, 0), 0))</f>
        <v/>
      </c>
      <c r="W851" s="81">
        <f>IF(Q851="Sin Factura",0,IFERROR(_xlfn.XLOOKUP(1, (Facturas_Odoo!$D:$D=A851) * (Facturas_Odoo!$K:$K=I851), Facturas_Odoo!$Q:$Q, 0), 0))</f>
        <v/>
      </c>
      <c r="X851" s="79">
        <f>IF(OR(Q851="Sin Factura",Q851=""),"",IFERROR(INDEX(Pagos_Odoo!$B:$B, MATCH(Q851, Pagos_Odoo!$I:$I, 0)), "Sin Pago"))</f>
        <v/>
      </c>
      <c r="Y851" s="79">
        <f>IF(X851="Sin Pago","",IFERROR(INDEX(Pagos_Odoo!$C:$C, MATCH(X851, Pagos_Odoo!$B:$B, 0)), ""))</f>
        <v/>
      </c>
      <c r="Z851" s="80">
        <f>IF(X851="Sin Pago","",IFERROR(INDEX(Pagos_Odoo!$A:$A, MATCH(X851, Pagos_Odoo!$B:$B, 0)), ""))</f>
        <v/>
      </c>
      <c r="AA851" s="79">
        <f>IF(X851="Sin Pago","",IFERROR(INDEX(Pagos_Odoo!$F:$F, MATCH(X851, Pagos_Odoo!$B:$B, 0)), ""))</f>
        <v/>
      </c>
      <c r="AB851" s="81">
        <f>IF(X851="Sin Pago",0,IFERROR(INDEX(Pagos_Odoo!$E:$E, MATCH(X851, Pagos_Odoo!$B:$B, 0)), 0))</f>
        <v/>
      </c>
      <c r="AC851" s="79">
        <f>IF(X851="Sin Pago","",IFERROR(INDEX(Pagos_Odoo!$G:$G, MATCH(X851, Pagos_Odoo!$B:$B, 0)), ""))</f>
        <v/>
      </c>
      <c r="AD851" s="82" t="n">
        <v>0</v>
      </c>
      <c r="AE851" s="82" t="n"/>
      <c r="AF851" s="82" t="n"/>
      <c r="AG851" s="82">
        <f>IF(AN851="","",AD851+AE851+AF851)</f>
        <v/>
      </c>
      <c r="AH851" s="81">
        <f>IF(AN851="","",P851*(1-AG851))</f>
        <v/>
      </c>
      <c r="AI851" s="81">
        <f>IF(AN851="","",IF(Q851="Sin Factura",0,IFERROR(INDEX(Facturas_Odoo!$H:$H, MATCH(Q851, Facturas_Odoo!$B:$B, 0)), 0)*(1-AG851)))</f>
        <v/>
      </c>
      <c r="AJ851" s="81">
        <f>IF(AN851="","",_xlfn.LET(idVenta, AN851&amp;"",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51" s="81">
        <f>IF(AN851="","",AH851-AJ851)</f>
        <v/>
      </c>
      <c r="AL851" s="81">
        <f>IF(AN851="","",IF(Q851="Sin Factura","",AI851-AJ851))</f>
        <v/>
      </c>
      <c r="AM851" s="81">
        <f>IF(AN851="","",IF(Q851="Sin Factura",0,P851-IFERROR(INDEX(Facturas_Odoo!$H:$H, MATCH(Q851, Facturas_Odoo!$B:$B, 0)), 0)))</f>
        <v/>
      </c>
      <c r="AN851" s="79">
        <f>IF(AND(A851="", J851=""), "", IF(A851&lt;&gt;"", VALUE(MID(A851,2,LEN(A851))), AN850))</f>
        <v/>
      </c>
      <c r="AO851" s="79">
        <f>IF(AN851="","",IF(AD851=0,"OK",_xlfn.LET(monedaPago, IF(AA851="","USD",AA851), limitePermitido, IFERROR(VLOOKUP(monedaPago, Configuración!$A$2:$B$3, 2, FALSE), 0.15), IF(AD851&gt;limitePermitido, "ALERTA: EXCESO (" &amp; TEXT(limitePermitido, "0%") &amp; " máx)", "OK"))))</f>
        <v/>
      </c>
      <c r="AP851" s="79">
        <f>IF(AN851="","",IF(AE851=0,"OK",_xlfn.LET(fechaPago, Z851, fechaFactura, R851, diasCredito, IF(E851="Pago inmediato", 0, IFERROR(VALUE(MID(E851, 1, SEARCH(" ", E851)-1)),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51" s="79">
        <f>IF(AN851="","",IF(AND(N851&gt;0, AG851&gt;0), IF(Configuración!$K$2="NO", "ALERTA: DESCUENTO DOBLE NO PERMITIDO", "OK"), "OK"))</f>
        <v/>
      </c>
      <c r="AR851" s="79">
        <f>IF(AN851="","",IF(OR(AO851&lt;&gt;"OK", AP851&lt;&gt;"OK", AQ851&lt;&gt;"OK"), "⚠️ REVISAR", "OK"))</f>
        <v/>
      </c>
    </row>
    <row r="852">
      <c r="A852" s="79">
        <f>IF('Ordenes_Odoo'!A852="","",'Ordenes_Odoo'!A852)</f>
        <v/>
      </c>
      <c r="B852" s="80">
        <f>IF('Ordenes_Odoo'!B852="","",'Ordenes_Odoo'!B852)</f>
        <v/>
      </c>
      <c r="C852" s="79">
        <f>IF('Ordenes_Odoo'!C852="","",'Ordenes_Odoo'!C852)</f>
        <v/>
      </c>
      <c r="D852" s="79">
        <f>IF('Ordenes_Odoo'!D852="","",'Ordenes_Odoo'!D852)</f>
        <v/>
      </c>
      <c r="E852" s="79">
        <f>IF('Ordenes_Odoo'!E852="","",'Ordenes_Odoo'!E852)</f>
        <v/>
      </c>
      <c r="F852" s="79">
        <f>IF('Ordenes_Odoo'!F852="","",'Ordenes_Odoo'!F852)</f>
        <v/>
      </c>
      <c r="G852" s="79">
        <f>IF('Ordenes_Odoo'!G852="","",'Ordenes_Odoo'!G852)</f>
        <v/>
      </c>
      <c r="H852" s="79">
        <f>IF('Ordenes_Odoo'!H852="","",'Ordenes_Odoo'!H852)</f>
        <v/>
      </c>
      <c r="I852" s="79">
        <f>IF('Ordenes_Odoo'!I852="","",'Ordenes_Odoo'!I852)</f>
        <v/>
      </c>
      <c r="J852" s="79">
        <f>IF('Ordenes_Odoo'!J852="","",'Ordenes_Odoo'!J852)</f>
        <v/>
      </c>
      <c r="K852" s="81">
        <f>IF('Ordenes_Odoo'!K852="","",'Ordenes_Odoo'!K852)</f>
        <v/>
      </c>
      <c r="L852" s="81">
        <f>IF('Ordenes_Odoo'!L852="","",'Ordenes_Odoo'!L852)</f>
        <v/>
      </c>
      <c r="M852" s="79">
        <f>IF('Ordenes_Odoo'!M852="","",'Ordenes_Odoo'!M852)</f>
        <v/>
      </c>
      <c r="N852" s="79">
        <f>IF('Ordenes_Odoo'!N852="","",'Ordenes_Odoo'!N852)</f>
        <v/>
      </c>
      <c r="O852" s="81">
        <f>IF('Ordenes_Odoo'!O852="","",'Ordenes_Odoo'!O852)</f>
        <v/>
      </c>
      <c r="P852" s="81">
        <f>IF('Ordenes_Odoo'!P852="","",'Ordenes_Odoo'!P852)</f>
        <v/>
      </c>
      <c r="Q852" s="79">
        <f>IF(A852="","",IFERROR(INDEX(Facturas_Odoo!$B:$B, MATCH(A852, Facturas_Odoo!$D:$D, 0)), "Sin Factura"))</f>
        <v/>
      </c>
      <c r="R852" s="80">
        <f>IF(Q852="Sin Factura","",IFERROR(INDEX(Facturas_Odoo!$A:$A, MATCH(Q852, Facturas_Odoo!$B:$B, 0)), ""))</f>
        <v/>
      </c>
      <c r="S852" s="79">
        <f>IF(Q852="Sin Factura","",IFERROR(_xlfn.XLOOKUP(1, (Facturas_Odoo!$D:$D=A852) * (Facturas_Odoo!$K:$K=I852), Facturas_Odoo!$L:$L, ""), ""))</f>
        <v/>
      </c>
      <c r="T852" s="81">
        <f>IF(Q852="Sin Factura",0,IFERROR(_xlfn.XLOOKUP(1, (Facturas_Odoo!$D:$D=A852) * (Facturas_Odoo!$K:$K=I852), Facturas_Odoo!$M:$M, 0), 0))</f>
        <v/>
      </c>
      <c r="U852" s="79">
        <f>IF(Q852="Sin Factura",0,IFERROR(_xlfn.XLOOKUP(1, (Facturas_Odoo!$D:$D=A852) * (Facturas_Odoo!$K:$K=I852), Facturas_Odoo!$N:$N, 0), 0))</f>
        <v/>
      </c>
      <c r="V852" s="79">
        <f>IF(Q852="Sin Factura",0,IFERROR(_xlfn.XLOOKUP(1, (Facturas_Odoo!$D:$D=A852) * (Facturas_Odoo!$K:$K=I852), Facturas_Odoo!$O:$O, 0), 0))</f>
        <v/>
      </c>
      <c r="W852" s="81">
        <f>IF(Q852="Sin Factura",0,IFERROR(_xlfn.XLOOKUP(1, (Facturas_Odoo!$D:$D=A852) * (Facturas_Odoo!$K:$K=I852), Facturas_Odoo!$Q:$Q, 0), 0))</f>
        <v/>
      </c>
      <c r="X852" s="79">
        <f>IF(OR(Q852="Sin Factura",Q852=""),"",IFERROR(INDEX(Pagos_Odoo!$B:$B, MATCH(Q852, Pagos_Odoo!$I:$I, 0)), "Sin Pago"))</f>
        <v/>
      </c>
      <c r="Y852" s="79">
        <f>IF(X852="Sin Pago","",IFERROR(INDEX(Pagos_Odoo!$C:$C, MATCH(X852, Pagos_Odoo!$B:$B, 0)), ""))</f>
        <v/>
      </c>
      <c r="Z852" s="80">
        <f>IF(X852="Sin Pago","",IFERROR(INDEX(Pagos_Odoo!$A:$A, MATCH(X852, Pagos_Odoo!$B:$B, 0)), ""))</f>
        <v/>
      </c>
      <c r="AA852" s="79">
        <f>IF(X852="Sin Pago","",IFERROR(INDEX(Pagos_Odoo!$F:$F, MATCH(X852, Pagos_Odoo!$B:$B, 0)), ""))</f>
        <v/>
      </c>
      <c r="AB852" s="81">
        <f>IF(X852="Sin Pago",0,IFERROR(INDEX(Pagos_Odoo!$E:$E, MATCH(X852, Pagos_Odoo!$B:$B, 0)), 0))</f>
        <v/>
      </c>
      <c r="AC852" s="79">
        <f>IF(X852="Sin Pago","",IFERROR(INDEX(Pagos_Odoo!$G:$G, MATCH(X852, Pagos_Odoo!$B:$B, 0)), ""))</f>
        <v/>
      </c>
      <c r="AD852" s="82" t="n">
        <v>0</v>
      </c>
      <c r="AE852" s="82" t="n"/>
      <c r="AF852" s="82" t="n"/>
      <c r="AG852" s="82">
        <f>IF(AN852="","",AD852+AE852+AF852)</f>
        <v/>
      </c>
      <c r="AH852" s="81">
        <f>IF(AN852="","",P852*(1-AG852))</f>
        <v/>
      </c>
      <c r="AI852" s="81">
        <f>IF(AN852="","",IF(Q852="Sin Factura",0,IFERROR(INDEX(Facturas_Odoo!$H:$H, MATCH(Q852, Facturas_Odoo!$B:$B, 0)), 0)*(1-AG852)))</f>
        <v/>
      </c>
      <c r="AJ852" s="81">
        <f>IF(AN852="","",_xlfn.LET(idVenta, AN852&amp;"",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52" s="81">
        <f>IF(AN852="","",AH852-AJ852)</f>
        <v/>
      </c>
      <c r="AL852" s="81">
        <f>IF(AN852="","",IF(Q852="Sin Factura","",AI852-AJ852))</f>
        <v/>
      </c>
      <c r="AM852" s="81">
        <f>IF(AN852="","",IF(Q852="Sin Factura",0,P852-IFERROR(INDEX(Facturas_Odoo!$H:$H, MATCH(Q852, Facturas_Odoo!$B:$B, 0)), 0)))</f>
        <v/>
      </c>
      <c r="AN852" s="79">
        <f>IF(AND(A852="", J852=""), "", IF(A852&lt;&gt;"", VALUE(MID(A852,2,LEN(A852))), AN851))</f>
        <v/>
      </c>
      <c r="AO852" s="79">
        <f>IF(AN852="","",IF(AD852=0,"OK",_xlfn.LET(monedaPago, IF(AA852="","USD",AA852), limitePermitido, IFERROR(VLOOKUP(monedaPago, Configuración!$A$2:$B$3, 2, FALSE), 0.15), IF(AD852&gt;limitePermitido, "ALERTA: EXCESO (" &amp; TEXT(limitePermitido, "0%") &amp; " máx)", "OK"))))</f>
        <v/>
      </c>
      <c r="AP852" s="79">
        <f>IF(AN852="","",IF(AE852=0,"OK",_xlfn.LET(fechaPago, Z852, fechaFactura, R852, diasCredito, IF(E852="Pago inmediato", 0, IFERROR(VALUE(MID(E852, 1, SEARCH(" ", E852)-1)),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52" s="79">
        <f>IF(AN852="","",IF(AND(N852&gt;0, AG852&gt;0), IF(Configuración!$K$2="NO", "ALERTA: DESCUENTO DOBLE NO PERMITIDO", "OK"), "OK"))</f>
        <v/>
      </c>
      <c r="AR852" s="79">
        <f>IF(AN852="","",IF(OR(AO852&lt;&gt;"OK", AP852&lt;&gt;"OK", AQ852&lt;&gt;"OK"), "⚠️ REVISAR", "OK"))</f>
        <v/>
      </c>
    </row>
    <row r="853">
      <c r="A853" s="79">
        <f>IF('Ordenes_Odoo'!A853="","",'Ordenes_Odoo'!A853)</f>
        <v/>
      </c>
      <c r="B853" s="80">
        <f>IF('Ordenes_Odoo'!B853="","",'Ordenes_Odoo'!B853)</f>
        <v/>
      </c>
      <c r="C853" s="79">
        <f>IF('Ordenes_Odoo'!C853="","",'Ordenes_Odoo'!C853)</f>
        <v/>
      </c>
      <c r="D853" s="79">
        <f>IF('Ordenes_Odoo'!D853="","",'Ordenes_Odoo'!D853)</f>
        <v/>
      </c>
      <c r="E853" s="79">
        <f>IF('Ordenes_Odoo'!E853="","",'Ordenes_Odoo'!E853)</f>
        <v/>
      </c>
      <c r="F853" s="79">
        <f>IF('Ordenes_Odoo'!F853="","",'Ordenes_Odoo'!F853)</f>
        <v/>
      </c>
      <c r="G853" s="79">
        <f>IF('Ordenes_Odoo'!G853="","",'Ordenes_Odoo'!G853)</f>
        <v/>
      </c>
      <c r="H853" s="79">
        <f>IF('Ordenes_Odoo'!H853="","",'Ordenes_Odoo'!H853)</f>
        <v/>
      </c>
      <c r="I853" s="79">
        <f>IF('Ordenes_Odoo'!I853="","",'Ordenes_Odoo'!I853)</f>
        <v/>
      </c>
      <c r="J853" s="79">
        <f>IF('Ordenes_Odoo'!J853="","",'Ordenes_Odoo'!J853)</f>
        <v/>
      </c>
      <c r="K853" s="81">
        <f>IF('Ordenes_Odoo'!K853="","",'Ordenes_Odoo'!K853)</f>
        <v/>
      </c>
      <c r="L853" s="81">
        <f>IF('Ordenes_Odoo'!L853="","",'Ordenes_Odoo'!L853)</f>
        <v/>
      </c>
      <c r="M853" s="79">
        <f>IF('Ordenes_Odoo'!M853="","",'Ordenes_Odoo'!M853)</f>
        <v/>
      </c>
      <c r="N853" s="79">
        <f>IF('Ordenes_Odoo'!N853="","",'Ordenes_Odoo'!N853)</f>
        <v/>
      </c>
      <c r="O853" s="81">
        <f>IF('Ordenes_Odoo'!O853="","",'Ordenes_Odoo'!O853)</f>
        <v/>
      </c>
      <c r="P853" s="81">
        <f>IF('Ordenes_Odoo'!P853="","",'Ordenes_Odoo'!P853)</f>
        <v/>
      </c>
      <c r="Q853" s="79">
        <f>IF(A853="","",IFERROR(INDEX(Facturas_Odoo!$B:$B, MATCH(A853, Facturas_Odoo!$D:$D, 0)), "Sin Factura"))</f>
        <v/>
      </c>
      <c r="R853" s="80">
        <f>IF(Q853="Sin Factura","",IFERROR(INDEX(Facturas_Odoo!$A:$A, MATCH(Q853, Facturas_Odoo!$B:$B, 0)), ""))</f>
        <v/>
      </c>
      <c r="S853" s="79">
        <f>IF(Q853="Sin Factura","",IFERROR(_xlfn.XLOOKUP(1, (Facturas_Odoo!$D:$D=A853) * (Facturas_Odoo!$K:$K=I853), Facturas_Odoo!$L:$L, ""), ""))</f>
        <v/>
      </c>
      <c r="T853" s="81">
        <f>IF(Q853="Sin Factura",0,IFERROR(_xlfn.XLOOKUP(1, (Facturas_Odoo!$D:$D=A853) * (Facturas_Odoo!$K:$K=I853), Facturas_Odoo!$M:$M, 0), 0))</f>
        <v/>
      </c>
      <c r="U853" s="79">
        <f>IF(Q853="Sin Factura",0,IFERROR(_xlfn.XLOOKUP(1, (Facturas_Odoo!$D:$D=A853) * (Facturas_Odoo!$K:$K=I853), Facturas_Odoo!$N:$N, 0), 0))</f>
        <v/>
      </c>
      <c r="V853" s="79">
        <f>IF(Q853="Sin Factura",0,IFERROR(_xlfn.XLOOKUP(1, (Facturas_Odoo!$D:$D=A853) * (Facturas_Odoo!$K:$K=I853), Facturas_Odoo!$O:$O, 0), 0))</f>
        <v/>
      </c>
      <c r="W853" s="81">
        <f>IF(Q853="Sin Factura",0,IFERROR(_xlfn.XLOOKUP(1, (Facturas_Odoo!$D:$D=A853) * (Facturas_Odoo!$K:$K=I853), Facturas_Odoo!$Q:$Q, 0), 0))</f>
        <v/>
      </c>
      <c r="X853" s="79">
        <f>IF(OR(Q853="Sin Factura",Q853=""),"",IFERROR(INDEX(Pagos_Odoo!$B:$B, MATCH(Q853, Pagos_Odoo!$I:$I, 0)), "Sin Pago"))</f>
        <v/>
      </c>
      <c r="Y853" s="79">
        <f>IF(X853="Sin Pago","",IFERROR(INDEX(Pagos_Odoo!$C:$C, MATCH(X853, Pagos_Odoo!$B:$B, 0)), ""))</f>
        <v/>
      </c>
      <c r="Z853" s="80">
        <f>IF(X853="Sin Pago","",IFERROR(INDEX(Pagos_Odoo!$A:$A, MATCH(X853, Pagos_Odoo!$B:$B, 0)), ""))</f>
        <v/>
      </c>
      <c r="AA853" s="79">
        <f>IF(X853="Sin Pago","",IFERROR(INDEX(Pagos_Odoo!$F:$F, MATCH(X853, Pagos_Odoo!$B:$B, 0)), ""))</f>
        <v/>
      </c>
      <c r="AB853" s="81">
        <f>IF(X853="Sin Pago",0,IFERROR(INDEX(Pagos_Odoo!$E:$E, MATCH(X853, Pagos_Odoo!$B:$B, 0)), 0))</f>
        <v/>
      </c>
      <c r="AC853" s="79">
        <f>IF(X853="Sin Pago","",IFERROR(INDEX(Pagos_Odoo!$G:$G, MATCH(X853, Pagos_Odoo!$B:$B, 0)), ""))</f>
        <v/>
      </c>
      <c r="AD853" s="82" t="n">
        <v>0</v>
      </c>
      <c r="AE853" s="82" t="n"/>
      <c r="AF853" s="82" t="n"/>
      <c r="AG853" s="82">
        <f>IF(AN853="","",AD853+AE853+AF853)</f>
        <v/>
      </c>
      <c r="AH853" s="81">
        <f>IF(AN853="","",P853*(1-AG853))</f>
        <v/>
      </c>
      <c r="AI853" s="81">
        <f>IF(AN853="","",IF(Q853="Sin Factura",0,IFERROR(INDEX(Facturas_Odoo!$H:$H, MATCH(Q853, Facturas_Odoo!$B:$B, 0)), 0)*(1-AG853)))</f>
        <v/>
      </c>
      <c r="AJ853" s="81">
        <f>IF(AN853="","",_xlfn.LET(idVenta, AN853&amp;"",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53" s="81">
        <f>IF(AN853="","",AH853-AJ853)</f>
        <v/>
      </c>
      <c r="AL853" s="81">
        <f>IF(AN853="","",IF(Q853="Sin Factura","",AI853-AJ853))</f>
        <v/>
      </c>
      <c r="AM853" s="81">
        <f>IF(AN853="","",IF(Q853="Sin Factura",0,P853-IFERROR(INDEX(Facturas_Odoo!$H:$H, MATCH(Q853, Facturas_Odoo!$B:$B, 0)), 0)))</f>
        <v/>
      </c>
      <c r="AN853" s="79">
        <f>IF(AND(A853="", J853=""), "", IF(A853&lt;&gt;"", VALUE(MID(A853,2,LEN(A853))), AN852))</f>
        <v/>
      </c>
      <c r="AO853" s="79">
        <f>IF(AN853="","",IF(AD853=0,"OK",_xlfn.LET(monedaPago, IF(AA853="","USD",AA853), limitePermitido, IFERROR(VLOOKUP(monedaPago, Configuración!$A$2:$B$3, 2, FALSE), 0.15), IF(AD853&gt;limitePermitido, "ALERTA: EXCESO (" &amp; TEXT(limitePermitido, "0%") &amp; " máx)", "OK"))))</f>
        <v/>
      </c>
      <c r="AP853" s="79">
        <f>IF(AN853="","",IF(AE853=0,"OK",_xlfn.LET(fechaPago, Z853, fechaFactura, R853, diasCredito, IF(E853="Pago inmediato", 0, IFERROR(VALUE(MID(E853, 1, SEARCH(" ", E853)-1)),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53" s="79">
        <f>IF(AN853="","",IF(AND(N853&gt;0, AG853&gt;0), IF(Configuración!$K$2="NO", "ALERTA: DESCUENTO DOBLE NO PERMITIDO", "OK"), "OK"))</f>
        <v/>
      </c>
      <c r="AR853" s="79">
        <f>IF(AN853="","",IF(OR(AO853&lt;&gt;"OK", AP853&lt;&gt;"OK", AQ853&lt;&gt;"OK"), "⚠️ REVISAR", "OK"))</f>
        <v/>
      </c>
    </row>
    <row r="854">
      <c r="A854" s="79">
        <f>IF('Ordenes_Odoo'!A854="","",'Ordenes_Odoo'!A854)</f>
        <v/>
      </c>
      <c r="B854" s="80">
        <f>IF('Ordenes_Odoo'!B854="","",'Ordenes_Odoo'!B854)</f>
        <v/>
      </c>
      <c r="C854" s="79">
        <f>IF('Ordenes_Odoo'!C854="","",'Ordenes_Odoo'!C854)</f>
        <v/>
      </c>
      <c r="D854" s="79">
        <f>IF('Ordenes_Odoo'!D854="","",'Ordenes_Odoo'!D854)</f>
        <v/>
      </c>
      <c r="E854" s="79">
        <f>IF('Ordenes_Odoo'!E854="","",'Ordenes_Odoo'!E854)</f>
        <v/>
      </c>
      <c r="F854" s="79">
        <f>IF('Ordenes_Odoo'!F854="","",'Ordenes_Odoo'!F854)</f>
        <v/>
      </c>
      <c r="G854" s="79">
        <f>IF('Ordenes_Odoo'!G854="","",'Ordenes_Odoo'!G854)</f>
        <v/>
      </c>
      <c r="H854" s="79">
        <f>IF('Ordenes_Odoo'!H854="","",'Ordenes_Odoo'!H854)</f>
        <v/>
      </c>
      <c r="I854" s="79">
        <f>IF('Ordenes_Odoo'!I854="","",'Ordenes_Odoo'!I854)</f>
        <v/>
      </c>
      <c r="J854" s="79">
        <f>IF('Ordenes_Odoo'!J854="","",'Ordenes_Odoo'!J854)</f>
        <v/>
      </c>
      <c r="K854" s="81">
        <f>IF('Ordenes_Odoo'!K854="","",'Ordenes_Odoo'!K854)</f>
        <v/>
      </c>
      <c r="L854" s="81">
        <f>IF('Ordenes_Odoo'!L854="","",'Ordenes_Odoo'!L854)</f>
        <v/>
      </c>
      <c r="M854" s="79">
        <f>IF('Ordenes_Odoo'!M854="","",'Ordenes_Odoo'!M854)</f>
        <v/>
      </c>
      <c r="N854" s="79">
        <f>IF('Ordenes_Odoo'!N854="","",'Ordenes_Odoo'!N854)</f>
        <v/>
      </c>
      <c r="O854" s="81">
        <f>IF('Ordenes_Odoo'!O854="","",'Ordenes_Odoo'!O854)</f>
        <v/>
      </c>
      <c r="P854" s="81">
        <f>IF('Ordenes_Odoo'!P854="","",'Ordenes_Odoo'!P854)</f>
        <v/>
      </c>
      <c r="Q854" s="79">
        <f>IF(A854="","",IFERROR(INDEX(Facturas_Odoo!$B:$B, MATCH(A854, Facturas_Odoo!$D:$D, 0)), "Sin Factura"))</f>
        <v/>
      </c>
      <c r="R854" s="80">
        <f>IF(Q854="Sin Factura","",IFERROR(INDEX(Facturas_Odoo!$A:$A, MATCH(Q854, Facturas_Odoo!$B:$B, 0)), ""))</f>
        <v/>
      </c>
      <c r="S854" s="79">
        <f>IF(Q854="Sin Factura","",IFERROR(_xlfn.XLOOKUP(1, (Facturas_Odoo!$D:$D=A854) * (Facturas_Odoo!$K:$K=I854), Facturas_Odoo!$L:$L, ""), ""))</f>
        <v/>
      </c>
      <c r="T854" s="81">
        <f>IF(Q854="Sin Factura",0,IFERROR(_xlfn.XLOOKUP(1, (Facturas_Odoo!$D:$D=A854) * (Facturas_Odoo!$K:$K=I854), Facturas_Odoo!$M:$M, 0), 0))</f>
        <v/>
      </c>
      <c r="U854" s="79">
        <f>IF(Q854="Sin Factura",0,IFERROR(_xlfn.XLOOKUP(1, (Facturas_Odoo!$D:$D=A854) * (Facturas_Odoo!$K:$K=I854), Facturas_Odoo!$N:$N, 0), 0))</f>
        <v/>
      </c>
      <c r="V854" s="79">
        <f>IF(Q854="Sin Factura",0,IFERROR(_xlfn.XLOOKUP(1, (Facturas_Odoo!$D:$D=A854) * (Facturas_Odoo!$K:$K=I854), Facturas_Odoo!$O:$O, 0), 0))</f>
        <v/>
      </c>
      <c r="W854" s="81">
        <f>IF(Q854="Sin Factura",0,IFERROR(_xlfn.XLOOKUP(1, (Facturas_Odoo!$D:$D=A854) * (Facturas_Odoo!$K:$K=I854), Facturas_Odoo!$Q:$Q, 0), 0))</f>
        <v/>
      </c>
      <c r="X854" s="79">
        <f>IF(OR(Q854="Sin Factura",Q854=""),"",IFERROR(INDEX(Pagos_Odoo!$B:$B, MATCH(Q854, Pagos_Odoo!$I:$I, 0)), "Sin Pago"))</f>
        <v/>
      </c>
      <c r="Y854" s="79">
        <f>IF(X854="Sin Pago","",IFERROR(INDEX(Pagos_Odoo!$C:$C, MATCH(X854, Pagos_Odoo!$B:$B, 0)), ""))</f>
        <v/>
      </c>
      <c r="Z854" s="80">
        <f>IF(X854="Sin Pago","",IFERROR(INDEX(Pagos_Odoo!$A:$A, MATCH(X854, Pagos_Odoo!$B:$B, 0)), ""))</f>
        <v/>
      </c>
      <c r="AA854" s="79">
        <f>IF(X854="Sin Pago","",IFERROR(INDEX(Pagos_Odoo!$F:$F, MATCH(X854, Pagos_Odoo!$B:$B, 0)), ""))</f>
        <v/>
      </c>
      <c r="AB854" s="81">
        <f>IF(X854="Sin Pago",0,IFERROR(INDEX(Pagos_Odoo!$E:$E, MATCH(X854, Pagos_Odoo!$B:$B, 0)), 0))</f>
        <v/>
      </c>
      <c r="AC854" s="79">
        <f>IF(X854="Sin Pago","",IFERROR(INDEX(Pagos_Odoo!$G:$G, MATCH(X854, Pagos_Odoo!$B:$B, 0)), ""))</f>
        <v/>
      </c>
      <c r="AD854" s="82" t="n">
        <v>0</v>
      </c>
      <c r="AE854" s="82" t="n"/>
      <c r="AF854" s="82" t="n"/>
      <c r="AG854" s="82">
        <f>IF(AN854="","",AD854+AE854+AF854)</f>
        <v/>
      </c>
      <c r="AH854" s="81">
        <f>IF(AN854="","",P854*(1-AG854))</f>
        <v/>
      </c>
      <c r="AI854" s="81">
        <f>IF(AN854="","",IF(Q854="Sin Factura",0,IFERROR(INDEX(Facturas_Odoo!$H:$H, MATCH(Q854, Facturas_Odoo!$B:$B, 0)), 0)*(1-AG854)))</f>
        <v/>
      </c>
      <c r="AJ854" s="81">
        <f>IF(AN854="","",_xlfn.LET(idVenta, AN854&amp;"",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54" s="81">
        <f>IF(AN854="","",AH854-AJ854)</f>
        <v/>
      </c>
      <c r="AL854" s="81">
        <f>IF(AN854="","",IF(Q854="Sin Factura","",AI854-AJ854))</f>
        <v/>
      </c>
      <c r="AM854" s="81">
        <f>IF(AN854="","",IF(Q854="Sin Factura",0,P854-IFERROR(INDEX(Facturas_Odoo!$H:$H, MATCH(Q854, Facturas_Odoo!$B:$B, 0)), 0)))</f>
        <v/>
      </c>
      <c r="AN854" s="79">
        <f>IF(AND(A854="", J854=""), "", IF(A854&lt;&gt;"", VALUE(MID(A854,2,LEN(A854))), AN853))</f>
        <v/>
      </c>
      <c r="AO854" s="79">
        <f>IF(AN854="","",IF(AD854=0,"OK",_xlfn.LET(monedaPago, IF(AA854="","USD",AA854), limitePermitido, IFERROR(VLOOKUP(monedaPago, Configuración!$A$2:$B$3, 2, FALSE), 0.15), IF(AD854&gt;limitePermitido, "ALERTA: EXCESO (" &amp; TEXT(limitePermitido, "0%") &amp; " máx)", "OK"))))</f>
        <v/>
      </c>
      <c r="AP854" s="79">
        <f>IF(AN854="","",IF(AE854=0,"OK",_xlfn.LET(fechaPago, Z854, fechaFactura, R854, diasCredito, IF(E854="Pago inmediato", 0, IFERROR(VALUE(MID(E854, 1, SEARCH(" ", E854)-1)),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54" s="79">
        <f>IF(AN854="","",IF(AND(N854&gt;0, AG854&gt;0), IF(Configuración!$K$2="NO", "ALERTA: DESCUENTO DOBLE NO PERMITIDO", "OK"), "OK"))</f>
        <v/>
      </c>
      <c r="AR854" s="79">
        <f>IF(AN854="","",IF(OR(AO854&lt;&gt;"OK", AP854&lt;&gt;"OK", AQ854&lt;&gt;"OK"), "⚠️ REVISAR", "OK"))</f>
        <v/>
      </c>
    </row>
    <row r="855">
      <c r="A855" s="79">
        <f>IF('Ordenes_Odoo'!A855="","",'Ordenes_Odoo'!A855)</f>
        <v/>
      </c>
      <c r="B855" s="80">
        <f>IF('Ordenes_Odoo'!B855="","",'Ordenes_Odoo'!B855)</f>
        <v/>
      </c>
      <c r="C855" s="79">
        <f>IF('Ordenes_Odoo'!C855="","",'Ordenes_Odoo'!C855)</f>
        <v/>
      </c>
      <c r="D855" s="79">
        <f>IF('Ordenes_Odoo'!D855="","",'Ordenes_Odoo'!D855)</f>
        <v/>
      </c>
      <c r="E855" s="79">
        <f>IF('Ordenes_Odoo'!E855="","",'Ordenes_Odoo'!E855)</f>
        <v/>
      </c>
      <c r="F855" s="79">
        <f>IF('Ordenes_Odoo'!F855="","",'Ordenes_Odoo'!F855)</f>
        <v/>
      </c>
      <c r="G855" s="79">
        <f>IF('Ordenes_Odoo'!G855="","",'Ordenes_Odoo'!G855)</f>
        <v/>
      </c>
      <c r="H855" s="79">
        <f>IF('Ordenes_Odoo'!H855="","",'Ordenes_Odoo'!H855)</f>
        <v/>
      </c>
      <c r="I855" s="79">
        <f>IF('Ordenes_Odoo'!I855="","",'Ordenes_Odoo'!I855)</f>
        <v/>
      </c>
      <c r="J855" s="79">
        <f>IF('Ordenes_Odoo'!J855="","",'Ordenes_Odoo'!J855)</f>
        <v/>
      </c>
      <c r="K855" s="81">
        <f>IF('Ordenes_Odoo'!K855="","",'Ordenes_Odoo'!K855)</f>
        <v/>
      </c>
      <c r="L855" s="81">
        <f>IF('Ordenes_Odoo'!L855="","",'Ordenes_Odoo'!L855)</f>
        <v/>
      </c>
      <c r="M855" s="79">
        <f>IF('Ordenes_Odoo'!M855="","",'Ordenes_Odoo'!M855)</f>
        <v/>
      </c>
      <c r="N855" s="79">
        <f>IF('Ordenes_Odoo'!N855="","",'Ordenes_Odoo'!N855)</f>
        <v/>
      </c>
      <c r="O855" s="81">
        <f>IF('Ordenes_Odoo'!O855="","",'Ordenes_Odoo'!O855)</f>
        <v/>
      </c>
      <c r="P855" s="81">
        <f>IF('Ordenes_Odoo'!P855="","",'Ordenes_Odoo'!P855)</f>
        <v/>
      </c>
      <c r="Q855" s="79">
        <f>IF(A855="","",IFERROR(INDEX(Facturas_Odoo!$B:$B, MATCH(A855, Facturas_Odoo!$D:$D, 0)), "Sin Factura"))</f>
        <v/>
      </c>
      <c r="R855" s="80">
        <f>IF(Q855="Sin Factura","",IFERROR(INDEX(Facturas_Odoo!$A:$A, MATCH(Q855, Facturas_Odoo!$B:$B, 0)), ""))</f>
        <v/>
      </c>
      <c r="S855" s="79">
        <f>IF(Q855="Sin Factura","",IFERROR(_xlfn.XLOOKUP(1, (Facturas_Odoo!$D:$D=A855) * (Facturas_Odoo!$K:$K=I855), Facturas_Odoo!$L:$L, ""), ""))</f>
        <v/>
      </c>
      <c r="T855" s="81">
        <f>IF(Q855="Sin Factura",0,IFERROR(_xlfn.XLOOKUP(1, (Facturas_Odoo!$D:$D=A855) * (Facturas_Odoo!$K:$K=I855), Facturas_Odoo!$M:$M, 0), 0))</f>
        <v/>
      </c>
      <c r="U855" s="79">
        <f>IF(Q855="Sin Factura",0,IFERROR(_xlfn.XLOOKUP(1, (Facturas_Odoo!$D:$D=A855) * (Facturas_Odoo!$K:$K=I855), Facturas_Odoo!$N:$N, 0), 0))</f>
        <v/>
      </c>
      <c r="V855" s="79">
        <f>IF(Q855="Sin Factura",0,IFERROR(_xlfn.XLOOKUP(1, (Facturas_Odoo!$D:$D=A855) * (Facturas_Odoo!$K:$K=I855), Facturas_Odoo!$O:$O, 0), 0))</f>
        <v/>
      </c>
      <c r="W855" s="81">
        <f>IF(Q855="Sin Factura",0,IFERROR(_xlfn.XLOOKUP(1, (Facturas_Odoo!$D:$D=A855) * (Facturas_Odoo!$K:$K=I855), Facturas_Odoo!$Q:$Q, 0), 0))</f>
        <v/>
      </c>
      <c r="X855" s="79">
        <f>IF(OR(Q855="Sin Factura",Q855=""),"",IFERROR(INDEX(Pagos_Odoo!$B:$B, MATCH(Q855, Pagos_Odoo!$I:$I, 0)), "Sin Pago"))</f>
        <v/>
      </c>
      <c r="Y855" s="79">
        <f>IF(X855="Sin Pago","",IFERROR(INDEX(Pagos_Odoo!$C:$C, MATCH(X855, Pagos_Odoo!$B:$B, 0)), ""))</f>
        <v/>
      </c>
      <c r="Z855" s="80">
        <f>IF(X855="Sin Pago","",IFERROR(INDEX(Pagos_Odoo!$A:$A, MATCH(X855, Pagos_Odoo!$B:$B, 0)), ""))</f>
        <v/>
      </c>
      <c r="AA855" s="79">
        <f>IF(X855="Sin Pago","",IFERROR(INDEX(Pagos_Odoo!$F:$F, MATCH(X855, Pagos_Odoo!$B:$B, 0)), ""))</f>
        <v/>
      </c>
      <c r="AB855" s="81">
        <f>IF(X855="Sin Pago",0,IFERROR(INDEX(Pagos_Odoo!$E:$E, MATCH(X855, Pagos_Odoo!$B:$B, 0)), 0))</f>
        <v/>
      </c>
      <c r="AC855" s="79">
        <f>IF(X855="Sin Pago","",IFERROR(INDEX(Pagos_Odoo!$G:$G, MATCH(X855, Pagos_Odoo!$B:$B, 0)), ""))</f>
        <v/>
      </c>
      <c r="AD855" s="82" t="n">
        <v>0</v>
      </c>
      <c r="AE855" s="82" t="n"/>
      <c r="AF855" s="82" t="n"/>
      <c r="AG855" s="82">
        <f>IF(AN855="","",AD855+AE855+AF855)</f>
        <v/>
      </c>
      <c r="AH855" s="81">
        <f>IF(AN855="","",P855*(1-AG855))</f>
        <v/>
      </c>
      <c r="AI855" s="81">
        <f>IF(AN855="","",IF(Q855="Sin Factura",0,IFERROR(INDEX(Facturas_Odoo!$H:$H, MATCH(Q855, Facturas_Odoo!$B:$B, 0)), 0)*(1-AG855)))</f>
        <v/>
      </c>
      <c r="AJ855" s="81">
        <f>IF(AN855="","",_xlfn.LET(idVenta, AN855&amp;"",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55" s="81">
        <f>IF(AN855="","",AH855-AJ855)</f>
        <v/>
      </c>
      <c r="AL855" s="81">
        <f>IF(AN855="","",IF(Q855="Sin Factura","",AI855-AJ855))</f>
        <v/>
      </c>
      <c r="AM855" s="81">
        <f>IF(AN855="","",IF(Q855="Sin Factura",0,P855-IFERROR(INDEX(Facturas_Odoo!$H:$H, MATCH(Q855, Facturas_Odoo!$B:$B, 0)), 0)))</f>
        <v/>
      </c>
      <c r="AN855" s="79">
        <f>IF(AND(A855="", J855=""), "", IF(A855&lt;&gt;"", VALUE(MID(A855,2,LEN(A855))), AN854))</f>
        <v/>
      </c>
      <c r="AO855" s="79">
        <f>IF(AN855="","",IF(AD855=0,"OK",_xlfn.LET(monedaPago, IF(AA855="","USD",AA855), limitePermitido, IFERROR(VLOOKUP(monedaPago, Configuración!$A$2:$B$3, 2, FALSE), 0.15), IF(AD855&gt;limitePermitido, "ALERTA: EXCESO (" &amp; TEXT(limitePermitido, "0%") &amp; " máx)", "OK"))))</f>
        <v/>
      </c>
      <c r="AP855" s="79">
        <f>IF(AN855="","",IF(AE855=0,"OK",_xlfn.LET(fechaPago, Z855, fechaFactura, R855, diasCredito, IF(E855="Pago inmediato", 0, IFERROR(VALUE(MID(E855, 1, SEARCH(" ", E855)-1)),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55" s="79">
        <f>IF(AN855="","",IF(AND(N855&gt;0, AG855&gt;0), IF(Configuración!$K$2="NO", "ALERTA: DESCUENTO DOBLE NO PERMITIDO", "OK"), "OK"))</f>
        <v/>
      </c>
      <c r="AR855" s="79">
        <f>IF(AN855="","",IF(OR(AO855&lt;&gt;"OK", AP855&lt;&gt;"OK", AQ855&lt;&gt;"OK"), "⚠️ REVISAR", "OK"))</f>
        <v/>
      </c>
    </row>
    <row r="856">
      <c r="A856" s="79">
        <f>IF('Ordenes_Odoo'!A856="","",'Ordenes_Odoo'!A856)</f>
        <v/>
      </c>
      <c r="B856" s="80">
        <f>IF('Ordenes_Odoo'!B856="","",'Ordenes_Odoo'!B856)</f>
        <v/>
      </c>
      <c r="C856" s="79">
        <f>IF('Ordenes_Odoo'!C856="","",'Ordenes_Odoo'!C856)</f>
        <v/>
      </c>
      <c r="D856" s="79">
        <f>IF('Ordenes_Odoo'!D856="","",'Ordenes_Odoo'!D856)</f>
        <v/>
      </c>
      <c r="E856" s="79">
        <f>IF('Ordenes_Odoo'!E856="","",'Ordenes_Odoo'!E856)</f>
        <v/>
      </c>
      <c r="F856" s="79">
        <f>IF('Ordenes_Odoo'!F856="","",'Ordenes_Odoo'!F856)</f>
        <v/>
      </c>
      <c r="G856" s="79">
        <f>IF('Ordenes_Odoo'!G856="","",'Ordenes_Odoo'!G856)</f>
        <v/>
      </c>
      <c r="H856" s="79">
        <f>IF('Ordenes_Odoo'!H856="","",'Ordenes_Odoo'!H856)</f>
        <v/>
      </c>
      <c r="I856" s="79">
        <f>IF('Ordenes_Odoo'!I856="","",'Ordenes_Odoo'!I856)</f>
        <v/>
      </c>
      <c r="J856" s="79">
        <f>IF('Ordenes_Odoo'!J856="","",'Ordenes_Odoo'!J856)</f>
        <v/>
      </c>
      <c r="K856" s="81">
        <f>IF('Ordenes_Odoo'!K856="","",'Ordenes_Odoo'!K856)</f>
        <v/>
      </c>
      <c r="L856" s="81">
        <f>IF('Ordenes_Odoo'!L856="","",'Ordenes_Odoo'!L856)</f>
        <v/>
      </c>
      <c r="M856" s="79">
        <f>IF('Ordenes_Odoo'!M856="","",'Ordenes_Odoo'!M856)</f>
        <v/>
      </c>
      <c r="N856" s="79">
        <f>IF('Ordenes_Odoo'!N856="","",'Ordenes_Odoo'!N856)</f>
        <v/>
      </c>
      <c r="O856" s="81">
        <f>IF('Ordenes_Odoo'!O856="","",'Ordenes_Odoo'!O856)</f>
        <v/>
      </c>
      <c r="P856" s="81">
        <f>IF('Ordenes_Odoo'!P856="","",'Ordenes_Odoo'!P856)</f>
        <v/>
      </c>
      <c r="Q856" s="79">
        <f>IF(A856="","",IFERROR(INDEX(Facturas_Odoo!$B:$B, MATCH(A856, Facturas_Odoo!$D:$D, 0)), "Sin Factura"))</f>
        <v/>
      </c>
      <c r="R856" s="80">
        <f>IF(Q856="Sin Factura","",IFERROR(INDEX(Facturas_Odoo!$A:$A, MATCH(Q856, Facturas_Odoo!$B:$B, 0)), ""))</f>
        <v/>
      </c>
      <c r="S856" s="79">
        <f>IF(Q856="Sin Factura","",IFERROR(_xlfn.XLOOKUP(1, (Facturas_Odoo!$D:$D=A856) * (Facturas_Odoo!$K:$K=I856), Facturas_Odoo!$L:$L, ""), ""))</f>
        <v/>
      </c>
      <c r="T856" s="81">
        <f>IF(Q856="Sin Factura",0,IFERROR(_xlfn.XLOOKUP(1, (Facturas_Odoo!$D:$D=A856) * (Facturas_Odoo!$K:$K=I856), Facturas_Odoo!$M:$M, 0), 0))</f>
        <v/>
      </c>
      <c r="U856" s="79">
        <f>IF(Q856="Sin Factura",0,IFERROR(_xlfn.XLOOKUP(1, (Facturas_Odoo!$D:$D=A856) * (Facturas_Odoo!$K:$K=I856), Facturas_Odoo!$N:$N, 0), 0))</f>
        <v/>
      </c>
      <c r="V856" s="79">
        <f>IF(Q856="Sin Factura",0,IFERROR(_xlfn.XLOOKUP(1, (Facturas_Odoo!$D:$D=A856) * (Facturas_Odoo!$K:$K=I856), Facturas_Odoo!$O:$O, 0), 0))</f>
        <v/>
      </c>
      <c r="W856" s="81">
        <f>IF(Q856="Sin Factura",0,IFERROR(_xlfn.XLOOKUP(1, (Facturas_Odoo!$D:$D=A856) * (Facturas_Odoo!$K:$K=I856), Facturas_Odoo!$Q:$Q, 0), 0))</f>
        <v/>
      </c>
      <c r="X856" s="79">
        <f>IF(OR(Q856="Sin Factura",Q856=""),"",IFERROR(INDEX(Pagos_Odoo!$B:$B, MATCH(Q856, Pagos_Odoo!$I:$I, 0)), "Sin Pago"))</f>
        <v/>
      </c>
      <c r="Y856" s="79">
        <f>IF(X856="Sin Pago","",IFERROR(INDEX(Pagos_Odoo!$C:$C, MATCH(X856, Pagos_Odoo!$B:$B, 0)), ""))</f>
        <v/>
      </c>
      <c r="Z856" s="80">
        <f>IF(X856="Sin Pago","",IFERROR(INDEX(Pagos_Odoo!$A:$A, MATCH(X856, Pagos_Odoo!$B:$B, 0)), ""))</f>
        <v/>
      </c>
      <c r="AA856" s="79">
        <f>IF(X856="Sin Pago","",IFERROR(INDEX(Pagos_Odoo!$F:$F, MATCH(X856, Pagos_Odoo!$B:$B, 0)), ""))</f>
        <v/>
      </c>
      <c r="AB856" s="81">
        <f>IF(X856="Sin Pago",0,IFERROR(INDEX(Pagos_Odoo!$E:$E, MATCH(X856, Pagos_Odoo!$B:$B, 0)), 0))</f>
        <v/>
      </c>
      <c r="AC856" s="79">
        <f>IF(X856="Sin Pago","",IFERROR(INDEX(Pagos_Odoo!$G:$G, MATCH(X856, Pagos_Odoo!$B:$B, 0)), ""))</f>
        <v/>
      </c>
      <c r="AD856" s="82" t="n">
        <v>0</v>
      </c>
      <c r="AE856" s="82" t="n"/>
      <c r="AF856" s="82" t="n"/>
      <c r="AG856" s="82">
        <f>IF(AN856="","",AD856+AE856+AF856)</f>
        <v/>
      </c>
      <c r="AH856" s="81">
        <f>IF(AN856="","",P856*(1-AG856))</f>
        <v/>
      </c>
      <c r="AI856" s="81">
        <f>IF(AN856="","",IF(Q856="Sin Factura",0,IFERROR(INDEX(Facturas_Odoo!$H:$H, MATCH(Q856, Facturas_Odoo!$B:$B, 0)), 0)*(1-AG856)))</f>
        <v/>
      </c>
      <c r="AJ856" s="81">
        <f>IF(AN856="","",_xlfn.LET(idVenta, AN856&amp;"",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56" s="81">
        <f>IF(AN856="","",AH856-AJ856)</f>
        <v/>
      </c>
      <c r="AL856" s="81">
        <f>IF(AN856="","",IF(Q856="Sin Factura","",AI856-AJ856))</f>
        <v/>
      </c>
      <c r="AM856" s="81">
        <f>IF(AN856="","",IF(Q856="Sin Factura",0,P856-IFERROR(INDEX(Facturas_Odoo!$H:$H, MATCH(Q856, Facturas_Odoo!$B:$B, 0)), 0)))</f>
        <v/>
      </c>
      <c r="AN856" s="79">
        <f>IF(AND(A856="", J856=""), "", IF(A856&lt;&gt;"", VALUE(MID(A856,2,LEN(A856))), AN855))</f>
        <v/>
      </c>
      <c r="AO856" s="79">
        <f>IF(AN856="","",IF(AD856=0,"OK",_xlfn.LET(monedaPago, IF(AA856="","USD",AA856), limitePermitido, IFERROR(VLOOKUP(monedaPago, Configuración!$A$2:$B$3, 2, FALSE), 0.15), IF(AD856&gt;limitePermitido, "ALERTA: EXCESO (" &amp; TEXT(limitePermitido, "0%") &amp; " máx)", "OK"))))</f>
        <v/>
      </c>
      <c r="AP856" s="79">
        <f>IF(AN856="","",IF(AE856=0,"OK",_xlfn.LET(fechaPago, Z856, fechaFactura, R856, diasCredito, IF(E856="Pago inmediato", 0, IFERROR(VALUE(MID(E856, 1, SEARCH(" ", E856)-1)),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56" s="79">
        <f>IF(AN856="","",IF(AND(N856&gt;0, AG856&gt;0), IF(Configuración!$K$2="NO", "ALERTA: DESCUENTO DOBLE NO PERMITIDO", "OK"), "OK"))</f>
        <v/>
      </c>
      <c r="AR856" s="79">
        <f>IF(AN856="","",IF(OR(AO856&lt;&gt;"OK", AP856&lt;&gt;"OK", AQ856&lt;&gt;"OK"), "⚠️ REVISAR", "OK"))</f>
        <v/>
      </c>
    </row>
    <row r="857">
      <c r="A857" s="79">
        <f>IF('Ordenes_Odoo'!A857="","",'Ordenes_Odoo'!A857)</f>
        <v/>
      </c>
      <c r="B857" s="80">
        <f>IF('Ordenes_Odoo'!B857="","",'Ordenes_Odoo'!B857)</f>
        <v/>
      </c>
      <c r="C857" s="79">
        <f>IF('Ordenes_Odoo'!C857="","",'Ordenes_Odoo'!C857)</f>
        <v/>
      </c>
      <c r="D857" s="79">
        <f>IF('Ordenes_Odoo'!D857="","",'Ordenes_Odoo'!D857)</f>
        <v/>
      </c>
      <c r="E857" s="79">
        <f>IF('Ordenes_Odoo'!E857="","",'Ordenes_Odoo'!E857)</f>
        <v/>
      </c>
      <c r="F857" s="79">
        <f>IF('Ordenes_Odoo'!F857="","",'Ordenes_Odoo'!F857)</f>
        <v/>
      </c>
      <c r="G857" s="79">
        <f>IF('Ordenes_Odoo'!G857="","",'Ordenes_Odoo'!G857)</f>
        <v/>
      </c>
      <c r="H857" s="79">
        <f>IF('Ordenes_Odoo'!H857="","",'Ordenes_Odoo'!H857)</f>
        <v/>
      </c>
      <c r="I857" s="79">
        <f>IF('Ordenes_Odoo'!I857="","",'Ordenes_Odoo'!I857)</f>
        <v/>
      </c>
      <c r="J857" s="79">
        <f>IF('Ordenes_Odoo'!J857="","",'Ordenes_Odoo'!J857)</f>
        <v/>
      </c>
      <c r="K857" s="81">
        <f>IF('Ordenes_Odoo'!K857="","",'Ordenes_Odoo'!K857)</f>
        <v/>
      </c>
      <c r="L857" s="81">
        <f>IF('Ordenes_Odoo'!L857="","",'Ordenes_Odoo'!L857)</f>
        <v/>
      </c>
      <c r="M857" s="79">
        <f>IF('Ordenes_Odoo'!M857="","",'Ordenes_Odoo'!M857)</f>
        <v/>
      </c>
      <c r="N857" s="79">
        <f>IF('Ordenes_Odoo'!N857="","",'Ordenes_Odoo'!N857)</f>
        <v/>
      </c>
      <c r="O857" s="81">
        <f>IF('Ordenes_Odoo'!O857="","",'Ordenes_Odoo'!O857)</f>
        <v/>
      </c>
      <c r="P857" s="81">
        <f>IF('Ordenes_Odoo'!P857="","",'Ordenes_Odoo'!P857)</f>
        <v/>
      </c>
      <c r="Q857" s="79">
        <f>IF(A857="","",IFERROR(INDEX(Facturas_Odoo!$B:$B, MATCH(A857, Facturas_Odoo!$D:$D, 0)), "Sin Factura"))</f>
        <v/>
      </c>
      <c r="R857" s="80">
        <f>IF(Q857="Sin Factura","",IFERROR(INDEX(Facturas_Odoo!$A:$A, MATCH(Q857, Facturas_Odoo!$B:$B, 0)), ""))</f>
        <v/>
      </c>
      <c r="S857" s="79">
        <f>IF(Q857="Sin Factura","",IFERROR(_xlfn.XLOOKUP(1, (Facturas_Odoo!$D:$D=A857) * (Facturas_Odoo!$K:$K=I857), Facturas_Odoo!$L:$L, ""), ""))</f>
        <v/>
      </c>
      <c r="T857" s="81">
        <f>IF(Q857="Sin Factura",0,IFERROR(_xlfn.XLOOKUP(1, (Facturas_Odoo!$D:$D=A857) * (Facturas_Odoo!$K:$K=I857), Facturas_Odoo!$M:$M, 0), 0))</f>
        <v/>
      </c>
      <c r="U857" s="79">
        <f>IF(Q857="Sin Factura",0,IFERROR(_xlfn.XLOOKUP(1, (Facturas_Odoo!$D:$D=A857) * (Facturas_Odoo!$K:$K=I857), Facturas_Odoo!$N:$N, 0), 0))</f>
        <v/>
      </c>
      <c r="V857" s="79">
        <f>IF(Q857="Sin Factura",0,IFERROR(_xlfn.XLOOKUP(1, (Facturas_Odoo!$D:$D=A857) * (Facturas_Odoo!$K:$K=I857), Facturas_Odoo!$O:$O, 0), 0))</f>
        <v/>
      </c>
      <c r="W857" s="81">
        <f>IF(Q857="Sin Factura",0,IFERROR(_xlfn.XLOOKUP(1, (Facturas_Odoo!$D:$D=A857) * (Facturas_Odoo!$K:$K=I857), Facturas_Odoo!$Q:$Q, 0), 0))</f>
        <v/>
      </c>
      <c r="X857" s="79">
        <f>IF(OR(Q857="Sin Factura",Q857=""),"",IFERROR(INDEX(Pagos_Odoo!$B:$B, MATCH(Q857, Pagos_Odoo!$I:$I, 0)), "Sin Pago"))</f>
        <v/>
      </c>
      <c r="Y857" s="79">
        <f>IF(X857="Sin Pago","",IFERROR(INDEX(Pagos_Odoo!$C:$C, MATCH(X857, Pagos_Odoo!$B:$B, 0)), ""))</f>
        <v/>
      </c>
      <c r="Z857" s="80">
        <f>IF(X857="Sin Pago","",IFERROR(INDEX(Pagos_Odoo!$A:$A, MATCH(X857, Pagos_Odoo!$B:$B, 0)), ""))</f>
        <v/>
      </c>
      <c r="AA857" s="79">
        <f>IF(X857="Sin Pago","",IFERROR(INDEX(Pagos_Odoo!$F:$F, MATCH(X857, Pagos_Odoo!$B:$B, 0)), ""))</f>
        <v/>
      </c>
      <c r="AB857" s="81">
        <f>IF(X857="Sin Pago",0,IFERROR(INDEX(Pagos_Odoo!$E:$E, MATCH(X857, Pagos_Odoo!$B:$B, 0)), 0))</f>
        <v/>
      </c>
      <c r="AC857" s="79">
        <f>IF(X857="Sin Pago","",IFERROR(INDEX(Pagos_Odoo!$G:$G, MATCH(X857, Pagos_Odoo!$B:$B, 0)), ""))</f>
        <v/>
      </c>
      <c r="AD857" s="82" t="n">
        <v>0</v>
      </c>
      <c r="AE857" s="82" t="n"/>
      <c r="AF857" s="82" t="n"/>
      <c r="AG857" s="82">
        <f>IF(AN857="","",AD857+AE857+AF857)</f>
        <v/>
      </c>
      <c r="AH857" s="81">
        <f>IF(AN857="","",P857*(1-AG857))</f>
        <v/>
      </c>
      <c r="AI857" s="81">
        <f>IF(AN857="","",IF(Q857="Sin Factura",0,IFERROR(INDEX(Facturas_Odoo!$H:$H, MATCH(Q857, Facturas_Odoo!$B:$B, 0)), 0)*(1-AG857)))</f>
        <v/>
      </c>
      <c r="AJ857" s="81">
        <f>IF(AN857="","",_xlfn.LET(idVenta, AN857&amp;"",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57" s="81">
        <f>IF(AN857="","",AH857-AJ857)</f>
        <v/>
      </c>
      <c r="AL857" s="81">
        <f>IF(AN857="","",IF(Q857="Sin Factura","",AI857-AJ857))</f>
        <v/>
      </c>
      <c r="AM857" s="81">
        <f>IF(AN857="","",IF(Q857="Sin Factura",0,P857-IFERROR(INDEX(Facturas_Odoo!$H:$H, MATCH(Q857, Facturas_Odoo!$B:$B, 0)), 0)))</f>
        <v/>
      </c>
      <c r="AN857" s="79">
        <f>IF(AND(A857="", J857=""), "", IF(A857&lt;&gt;"", VALUE(MID(A857,2,LEN(A857))), AN856))</f>
        <v/>
      </c>
      <c r="AO857" s="79">
        <f>IF(AN857="","",IF(AD857=0,"OK",_xlfn.LET(monedaPago, IF(AA857="","USD",AA857), limitePermitido, IFERROR(VLOOKUP(monedaPago, Configuración!$A$2:$B$3, 2, FALSE), 0.15), IF(AD857&gt;limitePermitido, "ALERTA: EXCESO (" &amp; TEXT(limitePermitido, "0%") &amp; " máx)", "OK"))))</f>
        <v/>
      </c>
      <c r="AP857" s="79">
        <f>IF(AN857="","",IF(AE857=0,"OK",_xlfn.LET(fechaPago, Z857, fechaFactura, R857, diasCredito, IF(E857="Pago inmediato", 0, IFERROR(VALUE(MID(E857, 1, SEARCH(" ", E857)-1)),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57" s="79">
        <f>IF(AN857="","",IF(AND(N857&gt;0, AG857&gt;0), IF(Configuración!$K$2="NO", "ALERTA: DESCUENTO DOBLE NO PERMITIDO", "OK"), "OK"))</f>
        <v/>
      </c>
      <c r="AR857" s="79">
        <f>IF(AN857="","",IF(OR(AO857&lt;&gt;"OK", AP857&lt;&gt;"OK", AQ857&lt;&gt;"OK"), "⚠️ REVISAR", "OK"))</f>
        <v/>
      </c>
    </row>
    <row r="858">
      <c r="A858" s="79">
        <f>IF('Ordenes_Odoo'!A858="","",'Ordenes_Odoo'!A858)</f>
        <v/>
      </c>
      <c r="B858" s="80">
        <f>IF('Ordenes_Odoo'!B858="","",'Ordenes_Odoo'!B858)</f>
        <v/>
      </c>
      <c r="C858" s="79">
        <f>IF('Ordenes_Odoo'!C858="","",'Ordenes_Odoo'!C858)</f>
        <v/>
      </c>
      <c r="D858" s="79">
        <f>IF('Ordenes_Odoo'!D858="","",'Ordenes_Odoo'!D858)</f>
        <v/>
      </c>
      <c r="E858" s="79">
        <f>IF('Ordenes_Odoo'!E858="","",'Ordenes_Odoo'!E858)</f>
        <v/>
      </c>
      <c r="F858" s="79">
        <f>IF('Ordenes_Odoo'!F858="","",'Ordenes_Odoo'!F858)</f>
        <v/>
      </c>
      <c r="G858" s="79">
        <f>IF('Ordenes_Odoo'!G858="","",'Ordenes_Odoo'!G858)</f>
        <v/>
      </c>
      <c r="H858" s="79">
        <f>IF('Ordenes_Odoo'!H858="","",'Ordenes_Odoo'!H858)</f>
        <v/>
      </c>
      <c r="I858" s="79">
        <f>IF('Ordenes_Odoo'!I858="","",'Ordenes_Odoo'!I858)</f>
        <v/>
      </c>
      <c r="J858" s="79">
        <f>IF('Ordenes_Odoo'!J858="","",'Ordenes_Odoo'!J858)</f>
        <v/>
      </c>
      <c r="K858" s="81">
        <f>IF('Ordenes_Odoo'!K858="","",'Ordenes_Odoo'!K858)</f>
        <v/>
      </c>
      <c r="L858" s="81">
        <f>IF('Ordenes_Odoo'!L858="","",'Ordenes_Odoo'!L858)</f>
        <v/>
      </c>
      <c r="M858" s="79">
        <f>IF('Ordenes_Odoo'!M858="","",'Ordenes_Odoo'!M858)</f>
        <v/>
      </c>
      <c r="N858" s="79">
        <f>IF('Ordenes_Odoo'!N858="","",'Ordenes_Odoo'!N858)</f>
        <v/>
      </c>
      <c r="O858" s="81">
        <f>IF('Ordenes_Odoo'!O858="","",'Ordenes_Odoo'!O858)</f>
        <v/>
      </c>
      <c r="P858" s="81">
        <f>IF('Ordenes_Odoo'!P858="","",'Ordenes_Odoo'!P858)</f>
        <v/>
      </c>
      <c r="Q858" s="79">
        <f>IF(A858="","",IFERROR(INDEX(Facturas_Odoo!$B:$B, MATCH(A858, Facturas_Odoo!$D:$D, 0)), "Sin Factura"))</f>
        <v/>
      </c>
      <c r="R858" s="80">
        <f>IF(Q858="Sin Factura","",IFERROR(INDEX(Facturas_Odoo!$A:$A, MATCH(Q858, Facturas_Odoo!$B:$B, 0)), ""))</f>
        <v/>
      </c>
      <c r="S858" s="79">
        <f>IF(Q858="Sin Factura","",IFERROR(_xlfn.XLOOKUP(1, (Facturas_Odoo!$D:$D=A858) * (Facturas_Odoo!$K:$K=I858), Facturas_Odoo!$L:$L, ""), ""))</f>
        <v/>
      </c>
      <c r="T858" s="81">
        <f>IF(Q858="Sin Factura",0,IFERROR(_xlfn.XLOOKUP(1, (Facturas_Odoo!$D:$D=A858) * (Facturas_Odoo!$K:$K=I858), Facturas_Odoo!$M:$M, 0), 0))</f>
        <v/>
      </c>
      <c r="U858" s="79">
        <f>IF(Q858="Sin Factura",0,IFERROR(_xlfn.XLOOKUP(1, (Facturas_Odoo!$D:$D=A858) * (Facturas_Odoo!$K:$K=I858), Facturas_Odoo!$N:$N, 0), 0))</f>
        <v/>
      </c>
      <c r="V858" s="79">
        <f>IF(Q858="Sin Factura",0,IFERROR(_xlfn.XLOOKUP(1, (Facturas_Odoo!$D:$D=A858) * (Facturas_Odoo!$K:$K=I858), Facturas_Odoo!$O:$O, 0), 0))</f>
        <v/>
      </c>
      <c r="W858" s="81">
        <f>IF(Q858="Sin Factura",0,IFERROR(_xlfn.XLOOKUP(1, (Facturas_Odoo!$D:$D=A858) * (Facturas_Odoo!$K:$K=I858), Facturas_Odoo!$Q:$Q, 0), 0))</f>
        <v/>
      </c>
      <c r="X858" s="79">
        <f>IF(OR(Q858="Sin Factura",Q858=""),"",IFERROR(INDEX(Pagos_Odoo!$B:$B, MATCH(Q858, Pagos_Odoo!$I:$I, 0)), "Sin Pago"))</f>
        <v/>
      </c>
      <c r="Y858" s="79">
        <f>IF(X858="Sin Pago","",IFERROR(INDEX(Pagos_Odoo!$C:$C, MATCH(X858, Pagos_Odoo!$B:$B, 0)), ""))</f>
        <v/>
      </c>
      <c r="Z858" s="80">
        <f>IF(X858="Sin Pago","",IFERROR(INDEX(Pagos_Odoo!$A:$A, MATCH(X858, Pagos_Odoo!$B:$B, 0)), ""))</f>
        <v/>
      </c>
      <c r="AA858" s="79">
        <f>IF(X858="Sin Pago","",IFERROR(INDEX(Pagos_Odoo!$F:$F, MATCH(X858, Pagos_Odoo!$B:$B, 0)), ""))</f>
        <v/>
      </c>
      <c r="AB858" s="81">
        <f>IF(X858="Sin Pago",0,IFERROR(INDEX(Pagos_Odoo!$E:$E, MATCH(X858, Pagos_Odoo!$B:$B, 0)), 0))</f>
        <v/>
      </c>
      <c r="AC858" s="79">
        <f>IF(X858="Sin Pago","",IFERROR(INDEX(Pagos_Odoo!$G:$G, MATCH(X858, Pagos_Odoo!$B:$B, 0)), ""))</f>
        <v/>
      </c>
      <c r="AD858" s="82" t="n">
        <v>0</v>
      </c>
      <c r="AE858" s="82" t="n"/>
      <c r="AF858" s="82" t="n"/>
      <c r="AG858" s="82">
        <f>IF(AN858="","",AD858+AE858+AF858)</f>
        <v/>
      </c>
      <c r="AH858" s="81">
        <f>IF(AN858="","",P858*(1-AG858))</f>
        <v/>
      </c>
      <c r="AI858" s="81">
        <f>IF(AN858="","",IF(Q858="Sin Factura",0,IFERROR(INDEX(Facturas_Odoo!$H:$H, MATCH(Q858, Facturas_Odoo!$B:$B, 0)), 0)*(1-AG858)))</f>
        <v/>
      </c>
      <c r="AJ858" s="81">
        <f>IF(AN858="","",_xlfn.LET(idVenta, AN858&amp;"",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58" s="81">
        <f>IF(AN858="","",AH858-AJ858)</f>
        <v/>
      </c>
      <c r="AL858" s="81">
        <f>IF(AN858="","",IF(Q858="Sin Factura","",AI858-AJ858))</f>
        <v/>
      </c>
      <c r="AM858" s="81">
        <f>IF(AN858="","",IF(Q858="Sin Factura",0,P858-IFERROR(INDEX(Facturas_Odoo!$H:$H, MATCH(Q858, Facturas_Odoo!$B:$B, 0)), 0)))</f>
        <v/>
      </c>
      <c r="AN858" s="79">
        <f>IF(AND(A858="", J858=""), "", IF(A858&lt;&gt;"", VALUE(MID(A858,2,LEN(A858))), AN857))</f>
        <v/>
      </c>
      <c r="AO858" s="79">
        <f>IF(AN858="","",IF(AD858=0,"OK",_xlfn.LET(monedaPago, IF(AA858="","USD",AA858), limitePermitido, IFERROR(VLOOKUP(monedaPago, Configuración!$A$2:$B$3, 2, FALSE), 0.15), IF(AD858&gt;limitePermitido, "ALERTA: EXCESO (" &amp; TEXT(limitePermitido, "0%") &amp; " máx)", "OK"))))</f>
        <v/>
      </c>
      <c r="AP858" s="79">
        <f>IF(AN858="","",IF(AE858=0,"OK",_xlfn.LET(fechaPago, Z858, fechaFactura, R858, diasCredito, IF(E858="Pago inmediato", 0, IFERROR(VALUE(MID(E858, 1, SEARCH(" ", E858)-1)),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58" s="79">
        <f>IF(AN858="","",IF(AND(N858&gt;0, AG858&gt;0), IF(Configuración!$K$2="NO", "ALERTA: DESCUENTO DOBLE NO PERMITIDO", "OK"), "OK"))</f>
        <v/>
      </c>
      <c r="AR858" s="79">
        <f>IF(AN858="","",IF(OR(AO858&lt;&gt;"OK", AP858&lt;&gt;"OK", AQ858&lt;&gt;"OK"), "⚠️ REVISAR", "OK"))</f>
        <v/>
      </c>
    </row>
    <row r="859">
      <c r="A859" s="79">
        <f>IF('Ordenes_Odoo'!A859="","",'Ordenes_Odoo'!A859)</f>
        <v/>
      </c>
      <c r="B859" s="80">
        <f>IF('Ordenes_Odoo'!B859="","",'Ordenes_Odoo'!B859)</f>
        <v/>
      </c>
      <c r="C859" s="79">
        <f>IF('Ordenes_Odoo'!C859="","",'Ordenes_Odoo'!C859)</f>
        <v/>
      </c>
      <c r="D859" s="79">
        <f>IF('Ordenes_Odoo'!D859="","",'Ordenes_Odoo'!D859)</f>
        <v/>
      </c>
      <c r="E859" s="79">
        <f>IF('Ordenes_Odoo'!E859="","",'Ordenes_Odoo'!E859)</f>
        <v/>
      </c>
      <c r="F859" s="79">
        <f>IF('Ordenes_Odoo'!F859="","",'Ordenes_Odoo'!F859)</f>
        <v/>
      </c>
      <c r="G859" s="79">
        <f>IF('Ordenes_Odoo'!G859="","",'Ordenes_Odoo'!G859)</f>
        <v/>
      </c>
      <c r="H859" s="79">
        <f>IF('Ordenes_Odoo'!H859="","",'Ordenes_Odoo'!H859)</f>
        <v/>
      </c>
      <c r="I859" s="79">
        <f>IF('Ordenes_Odoo'!I859="","",'Ordenes_Odoo'!I859)</f>
        <v/>
      </c>
      <c r="J859" s="79">
        <f>IF('Ordenes_Odoo'!J859="","",'Ordenes_Odoo'!J859)</f>
        <v/>
      </c>
      <c r="K859" s="81">
        <f>IF('Ordenes_Odoo'!K859="","",'Ordenes_Odoo'!K859)</f>
        <v/>
      </c>
      <c r="L859" s="81">
        <f>IF('Ordenes_Odoo'!L859="","",'Ordenes_Odoo'!L859)</f>
        <v/>
      </c>
      <c r="M859" s="79">
        <f>IF('Ordenes_Odoo'!M859="","",'Ordenes_Odoo'!M859)</f>
        <v/>
      </c>
      <c r="N859" s="79">
        <f>IF('Ordenes_Odoo'!N859="","",'Ordenes_Odoo'!N859)</f>
        <v/>
      </c>
      <c r="O859" s="81">
        <f>IF('Ordenes_Odoo'!O859="","",'Ordenes_Odoo'!O859)</f>
        <v/>
      </c>
      <c r="P859" s="81">
        <f>IF('Ordenes_Odoo'!P859="","",'Ordenes_Odoo'!P859)</f>
        <v/>
      </c>
      <c r="Q859" s="79">
        <f>IF(A859="","",IFERROR(INDEX(Facturas_Odoo!$B:$B, MATCH(A859, Facturas_Odoo!$D:$D, 0)), "Sin Factura"))</f>
        <v/>
      </c>
      <c r="R859" s="80">
        <f>IF(Q859="Sin Factura","",IFERROR(INDEX(Facturas_Odoo!$A:$A, MATCH(Q859, Facturas_Odoo!$B:$B, 0)), ""))</f>
        <v/>
      </c>
      <c r="S859" s="79">
        <f>IF(Q859="Sin Factura","",IFERROR(_xlfn.XLOOKUP(1, (Facturas_Odoo!$D:$D=A859) * (Facturas_Odoo!$K:$K=I859), Facturas_Odoo!$L:$L, ""), ""))</f>
        <v/>
      </c>
      <c r="T859" s="81">
        <f>IF(Q859="Sin Factura",0,IFERROR(_xlfn.XLOOKUP(1, (Facturas_Odoo!$D:$D=A859) * (Facturas_Odoo!$K:$K=I859), Facturas_Odoo!$M:$M, 0), 0))</f>
        <v/>
      </c>
      <c r="U859" s="79">
        <f>IF(Q859="Sin Factura",0,IFERROR(_xlfn.XLOOKUP(1, (Facturas_Odoo!$D:$D=A859) * (Facturas_Odoo!$K:$K=I859), Facturas_Odoo!$N:$N, 0), 0))</f>
        <v/>
      </c>
      <c r="V859" s="79">
        <f>IF(Q859="Sin Factura",0,IFERROR(_xlfn.XLOOKUP(1, (Facturas_Odoo!$D:$D=A859) * (Facturas_Odoo!$K:$K=I859), Facturas_Odoo!$O:$O, 0), 0))</f>
        <v/>
      </c>
      <c r="W859" s="81">
        <f>IF(Q859="Sin Factura",0,IFERROR(_xlfn.XLOOKUP(1, (Facturas_Odoo!$D:$D=A859) * (Facturas_Odoo!$K:$K=I859), Facturas_Odoo!$Q:$Q, 0), 0))</f>
        <v/>
      </c>
      <c r="X859" s="79">
        <f>IF(OR(Q859="Sin Factura",Q859=""),"",IFERROR(INDEX(Pagos_Odoo!$B:$B, MATCH(Q859, Pagos_Odoo!$I:$I, 0)), "Sin Pago"))</f>
        <v/>
      </c>
      <c r="Y859" s="79">
        <f>IF(X859="Sin Pago","",IFERROR(INDEX(Pagos_Odoo!$C:$C, MATCH(X859, Pagos_Odoo!$B:$B, 0)), ""))</f>
        <v/>
      </c>
      <c r="Z859" s="80">
        <f>IF(X859="Sin Pago","",IFERROR(INDEX(Pagos_Odoo!$A:$A, MATCH(X859, Pagos_Odoo!$B:$B, 0)), ""))</f>
        <v/>
      </c>
      <c r="AA859" s="79">
        <f>IF(X859="Sin Pago","",IFERROR(INDEX(Pagos_Odoo!$F:$F, MATCH(X859, Pagos_Odoo!$B:$B, 0)), ""))</f>
        <v/>
      </c>
      <c r="AB859" s="81">
        <f>IF(X859="Sin Pago",0,IFERROR(INDEX(Pagos_Odoo!$E:$E, MATCH(X859, Pagos_Odoo!$B:$B, 0)), 0))</f>
        <v/>
      </c>
      <c r="AC859" s="79">
        <f>IF(X859="Sin Pago","",IFERROR(INDEX(Pagos_Odoo!$G:$G, MATCH(X859, Pagos_Odoo!$B:$B, 0)), ""))</f>
        <v/>
      </c>
      <c r="AD859" s="82" t="n">
        <v>0</v>
      </c>
      <c r="AE859" s="82" t="n"/>
      <c r="AF859" s="82" t="n"/>
      <c r="AG859" s="82">
        <f>IF(AN859="","",AD859+AE859+AF859)</f>
        <v/>
      </c>
      <c r="AH859" s="81">
        <f>IF(AN859="","",P859*(1-AG859))</f>
        <v/>
      </c>
      <c r="AI859" s="81">
        <f>IF(AN859="","",IF(Q859="Sin Factura",0,IFERROR(INDEX(Facturas_Odoo!$H:$H, MATCH(Q859, Facturas_Odoo!$B:$B, 0)), 0)*(1-AG859)))</f>
        <v/>
      </c>
      <c r="AJ859" s="81">
        <f>IF(AN859="","",_xlfn.LET(idVenta, AN859&amp;"",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59" s="81">
        <f>IF(AN859="","",AH859-AJ859)</f>
        <v/>
      </c>
      <c r="AL859" s="81">
        <f>IF(AN859="","",IF(Q859="Sin Factura","",AI859-AJ859))</f>
        <v/>
      </c>
      <c r="AM859" s="81">
        <f>IF(AN859="","",IF(Q859="Sin Factura",0,P859-IFERROR(INDEX(Facturas_Odoo!$H:$H, MATCH(Q859, Facturas_Odoo!$B:$B, 0)), 0)))</f>
        <v/>
      </c>
      <c r="AN859" s="79">
        <f>IF(AND(A859="", J859=""), "", IF(A859&lt;&gt;"", VALUE(MID(A859,2,LEN(A859))), AN858))</f>
        <v/>
      </c>
      <c r="AO859" s="79">
        <f>IF(AN859="","",IF(AD859=0,"OK",_xlfn.LET(monedaPago, IF(AA859="","USD",AA859), limitePermitido, IFERROR(VLOOKUP(monedaPago, Configuración!$A$2:$B$3, 2, FALSE), 0.15), IF(AD859&gt;limitePermitido, "ALERTA: EXCESO (" &amp; TEXT(limitePermitido, "0%") &amp; " máx)", "OK"))))</f>
        <v/>
      </c>
      <c r="AP859" s="79">
        <f>IF(AN859="","",IF(AE859=0,"OK",_xlfn.LET(fechaPago, Z859, fechaFactura, R859, diasCredito, IF(E859="Pago inmediato", 0, IFERROR(VALUE(MID(E859, 1, SEARCH(" ", E859)-1)),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59" s="79">
        <f>IF(AN859="","",IF(AND(N859&gt;0, AG859&gt;0), IF(Configuración!$K$2="NO", "ALERTA: DESCUENTO DOBLE NO PERMITIDO", "OK"), "OK"))</f>
        <v/>
      </c>
      <c r="AR859" s="79">
        <f>IF(AN859="","",IF(OR(AO859&lt;&gt;"OK", AP859&lt;&gt;"OK", AQ859&lt;&gt;"OK"), "⚠️ REVISAR", "OK"))</f>
        <v/>
      </c>
    </row>
    <row r="860">
      <c r="A860" s="79">
        <f>IF('Ordenes_Odoo'!A860="","",'Ordenes_Odoo'!A860)</f>
        <v/>
      </c>
      <c r="B860" s="80">
        <f>IF('Ordenes_Odoo'!B860="","",'Ordenes_Odoo'!B860)</f>
        <v/>
      </c>
      <c r="C860" s="79">
        <f>IF('Ordenes_Odoo'!C860="","",'Ordenes_Odoo'!C860)</f>
        <v/>
      </c>
      <c r="D860" s="79">
        <f>IF('Ordenes_Odoo'!D860="","",'Ordenes_Odoo'!D860)</f>
        <v/>
      </c>
      <c r="E860" s="79">
        <f>IF('Ordenes_Odoo'!E860="","",'Ordenes_Odoo'!E860)</f>
        <v/>
      </c>
      <c r="F860" s="79">
        <f>IF('Ordenes_Odoo'!F860="","",'Ordenes_Odoo'!F860)</f>
        <v/>
      </c>
      <c r="G860" s="79">
        <f>IF('Ordenes_Odoo'!G860="","",'Ordenes_Odoo'!G860)</f>
        <v/>
      </c>
      <c r="H860" s="79">
        <f>IF('Ordenes_Odoo'!H860="","",'Ordenes_Odoo'!H860)</f>
        <v/>
      </c>
      <c r="I860" s="79">
        <f>IF('Ordenes_Odoo'!I860="","",'Ordenes_Odoo'!I860)</f>
        <v/>
      </c>
      <c r="J860" s="79">
        <f>IF('Ordenes_Odoo'!J860="","",'Ordenes_Odoo'!J860)</f>
        <v/>
      </c>
      <c r="K860" s="81">
        <f>IF('Ordenes_Odoo'!K860="","",'Ordenes_Odoo'!K860)</f>
        <v/>
      </c>
      <c r="L860" s="81">
        <f>IF('Ordenes_Odoo'!L860="","",'Ordenes_Odoo'!L860)</f>
        <v/>
      </c>
      <c r="M860" s="79">
        <f>IF('Ordenes_Odoo'!M860="","",'Ordenes_Odoo'!M860)</f>
        <v/>
      </c>
      <c r="N860" s="79">
        <f>IF('Ordenes_Odoo'!N860="","",'Ordenes_Odoo'!N860)</f>
        <v/>
      </c>
      <c r="O860" s="81">
        <f>IF('Ordenes_Odoo'!O860="","",'Ordenes_Odoo'!O860)</f>
        <v/>
      </c>
      <c r="P860" s="81">
        <f>IF('Ordenes_Odoo'!P860="","",'Ordenes_Odoo'!P860)</f>
        <v/>
      </c>
      <c r="Q860" s="79">
        <f>IF(A860="","",IFERROR(INDEX(Facturas_Odoo!$B:$B, MATCH(A860, Facturas_Odoo!$D:$D, 0)), "Sin Factura"))</f>
        <v/>
      </c>
      <c r="R860" s="80">
        <f>IF(Q860="Sin Factura","",IFERROR(INDEX(Facturas_Odoo!$A:$A, MATCH(Q860, Facturas_Odoo!$B:$B, 0)), ""))</f>
        <v/>
      </c>
      <c r="S860" s="79">
        <f>IF(Q860="Sin Factura","",IFERROR(_xlfn.XLOOKUP(1, (Facturas_Odoo!$D:$D=A860) * (Facturas_Odoo!$K:$K=I860), Facturas_Odoo!$L:$L, ""), ""))</f>
        <v/>
      </c>
      <c r="T860" s="81">
        <f>IF(Q860="Sin Factura",0,IFERROR(_xlfn.XLOOKUP(1, (Facturas_Odoo!$D:$D=A860) * (Facturas_Odoo!$K:$K=I860), Facturas_Odoo!$M:$M, 0), 0))</f>
        <v/>
      </c>
      <c r="U860" s="79">
        <f>IF(Q860="Sin Factura",0,IFERROR(_xlfn.XLOOKUP(1, (Facturas_Odoo!$D:$D=A860) * (Facturas_Odoo!$K:$K=I860), Facturas_Odoo!$N:$N, 0), 0))</f>
        <v/>
      </c>
      <c r="V860" s="79">
        <f>IF(Q860="Sin Factura",0,IFERROR(_xlfn.XLOOKUP(1, (Facturas_Odoo!$D:$D=A860) * (Facturas_Odoo!$K:$K=I860), Facturas_Odoo!$O:$O, 0), 0))</f>
        <v/>
      </c>
      <c r="W860" s="81">
        <f>IF(Q860="Sin Factura",0,IFERROR(_xlfn.XLOOKUP(1, (Facturas_Odoo!$D:$D=A860) * (Facturas_Odoo!$K:$K=I860), Facturas_Odoo!$Q:$Q, 0), 0))</f>
        <v/>
      </c>
      <c r="X860" s="79">
        <f>IF(OR(Q860="Sin Factura",Q860=""),"",IFERROR(INDEX(Pagos_Odoo!$B:$B, MATCH(Q860, Pagos_Odoo!$I:$I, 0)), "Sin Pago"))</f>
        <v/>
      </c>
      <c r="Y860" s="79">
        <f>IF(X860="Sin Pago","",IFERROR(INDEX(Pagos_Odoo!$C:$C, MATCH(X860, Pagos_Odoo!$B:$B, 0)), ""))</f>
        <v/>
      </c>
      <c r="Z860" s="80">
        <f>IF(X860="Sin Pago","",IFERROR(INDEX(Pagos_Odoo!$A:$A, MATCH(X860, Pagos_Odoo!$B:$B, 0)), ""))</f>
        <v/>
      </c>
      <c r="AA860" s="79">
        <f>IF(X860="Sin Pago","",IFERROR(INDEX(Pagos_Odoo!$F:$F, MATCH(X860, Pagos_Odoo!$B:$B, 0)), ""))</f>
        <v/>
      </c>
      <c r="AB860" s="81">
        <f>IF(X860="Sin Pago",0,IFERROR(INDEX(Pagos_Odoo!$E:$E, MATCH(X860, Pagos_Odoo!$B:$B, 0)), 0))</f>
        <v/>
      </c>
      <c r="AC860" s="79">
        <f>IF(X860="Sin Pago","",IFERROR(INDEX(Pagos_Odoo!$G:$G, MATCH(X860, Pagos_Odoo!$B:$B, 0)), ""))</f>
        <v/>
      </c>
      <c r="AD860" s="82" t="n">
        <v>0</v>
      </c>
      <c r="AE860" s="82" t="n"/>
      <c r="AF860" s="82" t="n"/>
      <c r="AG860" s="82">
        <f>IF(AN860="","",AD860+AE860+AF860)</f>
        <v/>
      </c>
      <c r="AH860" s="81">
        <f>IF(AN860="","",P860*(1-AG860))</f>
        <v/>
      </c>
      <c r="AI860" s="81">
        <f>IF(AN860="","",IF(Q860="Sin Factura",0,IFERROR(INDEX(Facturas_Odoo!$H:$H, MATCH(Q860, Facturas_Odoo!$B:$B, 0)), 0)*(1-AG860)))</f>
        <v/>
      </c>
      <c r="AJ860" s="81">
        <f>IF(AN860="","",_xlfn.LET(idVenta, AN860&amp;"",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60" s="81">
        <f>IF(AN860="","",AH860-AJ860)</f>
        <v/>
      </c>
      <c r="AL860" s="81">
        <f>IF(AN860="","",IF(Q860="Sin Factura","",AI860-AJ860))</f>
        <v/>
      </c>
      <c r="AM860" s="81">
        <f>IF(AN860="","",IF(Q860="Sin Factura",0,P860-IFERROR(INDEX(Facturas_Odoo!$H:$H, MATCH(Q860, Facturas_Odoo!$B:$B, 0)), 0)))</f>
        <v/>
      </c>
      <c r="AN860" s="79">
        <f>IF(AND(A860="", J860=""), "", IF(A860&lt;&gt;"", VALUE(MID(A860,2,LEN(A860))), AN859))</f>
        <v/>
      </c>
      <c r="AO860" s="79">
        <f>IF(AN860="","",IF(AD860=0,"OK",_xlfn.LET(monedaPago, IF(AA860="","USD",AA860), limitePermitido, IFERROR(VLOOKUP(monedaPago, Configuración!$A$2:$B$3, 2, FALSE), 0.15), IF(AD860&gt;limitePermitido, "ALERTA: EXCESO (" &amp; TEXT(limitePermitido, "0%") &amp; " máx)", "OK"))))</f>
        <v/>
      </c>
      <c r="AP860" s="79">
        <f>IF(AN860="","",IF(AE860=0,"OK",_xlfn.LET(fechaPago, Z860, fechaFactura, R860, diasCredito, IF(E860="Pago inmediato", 0, IFERROR(VALUE(MID(E860, 1, SEARCH(" ", E860)-1)),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60" s="79">
        <f>IF(AN860="","",IF(AND(N860&gt;0, AG860&gt;0), IF(Configuración!$K$2="NO", "ALERTA: DESCUENTO DOBLE NO PERMITIDO", "OK"), "OK"))</f>
        <v/>
      </c>
      <c r="AR860" s="79">
        <f>IF(AN860="","",IF(OR(AO860&lt;&gt;"OK", AP860&lt;&gt;"OK", AQ860&lt;&gt;"OK"), "⚠️ REVISAR", "OK"))</f>
        <v/>
      </c>
    </row>
    <row r="861">
      <c r="A861" s="79">
        <f>IF('Ordenes_Odoo'!A861="","",'Ordenes_Odoo'!A861)</f>
        <v/>
      </c>
      <c r="B861" s="80">
        <f>IF('Ordenes_Odoo'!B861="","",'Ordenes_Odoo'!B861)</f>
        <v/>
      </c>
      <c r="C861" s="79">
        <f>IF('Ordenes_Odoo'!C861="","",'Ordenes_Odoo'!C861)</f>
        <v/>
      </c>
      <c r="D861" s="79">
        <f>IF('Ordenes_Odoo'!D861="","",'Ordenes_Odoo'!D861)</f>
        <v/>
      </c>
      <c r="E861" s="79">
        <f>IF('Ordenes_Odoo'!E861="","",'Ordenes_Odoo'!E861)</f>
        <v/>
      </c>
      <c r="F861" s="79">
        <f>IF('Ordenes_Odoo'!F861="","",'Ordenes_Odoo'!F861)</f>
        <v/>
      </c>
      <c r="G861" s="79">
        <f>IF('Ordenes_Odoo'!G861="","",'Ordenes_Odoo'!G861)</f>
        <v/>
      </c>
      <c r="H861" s="79">
        <f>IF('Ordenes_Odoo'!H861="","",'Ordenes_Odoo'!H861)</f>
        <v/>
      </c>
      <c r="I861" s="79">
        <f>IF('Ordenes_Odoo'!I861="","",'Ordenes_Odoo'!I861)</f>
        <v/>
      </c>
      <c r="J861" s="79">
        <f>IF('Ordenes_Odoo'!J861="","",'Ordenes_Odoo'!J861)</f>
        <v/>
      </c>
      <c r="K861" s="81">
        <f>IF('Ordenes_Odoo'!K861="","",'Ordenes_Odoo'!K861)</f>
        <v/>
      </c>
      <c r="L861" s="81">
        <f>IF('Ordenes_Odoo'!L861="","",'Ordenes_Odoo'!L861)</f>
        <v/>
      </c>
      <c r="M861" s="79">
        <f>IF('Ordenes_Odoo'!M861="","",'Ordenes_Odoo'!M861)</f>
        <v/>
      </c>
      <c r="N861" s="79">
        <f>IF('Ordenes_Odoo'!N861="","",'Ordenes_Odoo'!N861)</f>
        <v/>
      </c>
      <c r="O861" s="81">
        <f>IF('Ordenes_Odoo'!O861="","",'Ordenes_Odoo'!O861)</f>
        <v/>
      </c>
      <c r="P861" s="81">
        <f>IF('Ordenes_Odoo'!P861="","",'Ordenes_Odoo'!P861)</f>
        <v/>
      </c>
      <c r="Q861" s="79">
        <f>IF(A861="","",IFERROR(INDEX(Facturas_Odoo!$B:$B, MATCH(A861, Facturas_Odoo!$D:$D, 0)), "Sin Factura"))</f>
        <v/>
      </c>
      <c r="R861" s="80">
        <f>IF(Q861="Sin Factura","",IFERROR(INDEX(Facturas_Odoo!$A:$A, MATCH(Q861, Facturas_Odoo!$B:$B, 0)), ""))</f>
        <v/>
      </c>
      <c r="S861" s="79">
        <f>IF(Q861="Sin Factura","",IFERROR(_xlfn.XLOOKUP(1, (Facturas_Odoo!$D:$D=A861) * (Facturas_Odoo!$K:$K=I861), Facturas_Odoo!$L:$L, ""), ""))</f>
        <v/>
      </c>
      <c r="T861" s="81">
        <f>IF(Q861="Sin Factura",0,IFERROR(_xlfn.XLOOKUP(1, (Facturas_Odoo!$D:$D=A861) * (Facturas_Odoo!$K:$K=I861), Facturas_Odoo!$M:$M, 0), 0))</f>
        <v/>
      </c>
      <c r="U861" s="79">
        <f>IF(Q861="Sin Factura",0,IFERROR(_xlfn.XLOOKUP(1, (Facturas_Odoo!$D:$D=A861) * (Facturas_Odoo!$K:$K=I861), Facturas_Odoo!$N:$N, 0), 0))</f>
        <v/>
      </c>
      <c r="V861" s="79">
        <f>IF(Q861="Sin Factura",0,IFERROR(_xlfn.XLOOKUP(1, (Facturas_Odoo!$D:$D=A861) * (Facturas_Odoo!$K:$K=I861), Facturas_Odoo!$O:$O, 0), 0))</f>
        <v/>
      </c>
      <c r="W861" s="81">
        <f>IF(Q861="Sin Factura",0,IFERROR(_xlfn.XLOOKUP(1, (Facturas_Odoo!$D:$D=A861) * (Facturas_Odoo!$K:$K=I861), Facturas_Odoo!$Q:$Q, 0), 0))</f>
        <v/>
      </c>
      <c r="X861" s="79">
        <f>IF(OR(Q861="Sin Factura",Q861=""),"",IFERROR(INDEX(Pagos_Odoo!$B:$B, MATCH(Q861, Pagos_Odoo!$I:$I, 0)), "Sin Pago"))</f>
        <v/>
      </c>
      <c r="Y861" s="79">
        <f>IF(X861="Sin Pago","",IFERROR(INDEX(Pagos_Odoo!$C:$C, MATCH(X861, Pagos_Odoo!$B:$B, 0)), ""))</f>
        <v/>
      </c>
      <c r="Z861" s="80">
        <f>IF(X861="Sin Pago","",IFERROR(INDEX(Pagos_Odoo!$A:$A, MATCH(X861, Pagos_Odoo!$B:$B, 0)), ""))</f>
        <v/>
      </c>
      <c r="AA861" s="79">
        <f>IF(X861="Sin Pago","",IFERROR(INDEX(Pagos_Odoo!$F:$F, MATCH(X861, Pagos_Odoo!$B:$B, 0)), ""))</f>
        <v/>
      </c>
      <c r="AB861" s="81">
        <f>IF(X861="Sin Pago",0,IFERROR(INDEX(Pagos_Odoo!$E:$E, MATCH(X861, Pagos_Odoo!$B:$B, 0)), 0))</f>
        <v/>
      </c>
      <c r="AC861" s="79">
        <f>IF(X861="Sin Pago","",IFERROR(INDEX(Pagos_Odoo!$G:$G, MATCH(X861, Pagos_Odoo!$B:$B, 0)), ""))</f>
        <v/>
      </c>
      <c r="AD861" s="82" t="n">
        <v>0</v>
      </c>
      <c r="AE861" s="82" t="n"/>
      <c r="AF861" s="82" t="n"/>
      <c r="AG861" s="82">
        <f>IF(AN861="","",AD861+AE861+AF861)</f>
        <v/>
      </c>
      <c r="AH861" s="81">
        <f>IF(AN861="","",P861*(1-AG861))</f>
        <v/>
      </c>
      <c r="AI861" s="81">
        <f>IF(AN861="","",IF(Q861="Sin Factura",0,IFERROR(INDEX(Facturas_Odoo!$H:$H, MATCH(Q861, Facturas_Odoo!$B:$B, 0)), 0)*(1-AG861)))</f>
        <v/>
      </c>
      <c r="AJ861" s="81">
        <f>IF(AN861="","",_xlfn.LET(idVenta, AN861&amp;"",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61" s="81">
        <f>IF(AN861="","",AH861-AJ861)</f>
        <v/>
      </c>
      <c r="AL861" s="81">
        <f>IF(AN861="","",IF(Q861="Sin Factura","",AI861-AJ861))</f>
        <v/>
      </c>
      <c r="AM861" s="81">
        <f>IF(AN861="","",IF(Q861="Sin Factura",0,P861-IFERROR(INDEX(Facturas_Odoo!$H:$H, MATCH(Q861, Facturas_Odoo!$B:$B, 0)), 0)))</f>
        <v/>
      </c>
      <c r="AN861" s="79">
        <f>IF(AND(A861="", J861=""), "", IF(A861&lt;&gt;"", VALUE(MID(A861,2,LEN(A861))), AN860))</f>
        <v/>
      </c>
      <c r="AO861" s="79">
        <f>IF(AN861="","",IF(AD861=0,"OK",_xlfn.LET(monedaPago, IF(AA861="","USD",AA861), limitePermitido, IFERROR(VLOOKUP(monedaPago, Configuración!$A$2:$B$3, 2, FALSE), 0.15), IF(AD861&gt;limitePermitido, "ALERTA: EXCESO (" &amp; TEXT(limitePermitido, "0%") &amp; " máx)", "OK"))))</f>
        <v/>
      </c>
      <c r="AP861" s="79">
        <f>IF(AN861="","",IF(AE861=0,"OK",_xlfn.LET(fechaPago, Z861, fechaFactura, R861, diasCredito, IF(E861="Pago inmediato", 0, IFERROR(VALUE(MID(E861, 1, SEARCH(" ", E861)-1)),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61" s="79">
        <f>IF(AN861="","",IF(AND(N861&gt;0, AG861&gt;0), IF(Configuración!$K$2="NO", "ALERTA: DESCUENTO DOBLE NO PERMITIDO", "OK"), "OK"))</f>
        <v/>
      </c>
      <c r="AR861" s="79">
        <f>IF(AN861="","",IF(OR(AO861&lt;&gt;"OK", AP861&lt;&gt;"OK", AQ861&lt;&gt;"OK"), "⚠️ REVISAR", "OK"))</f>
        <v/>
      </c>
    </row>
    <row r="862">
      <c r="A862" s="79">
        <f>IF('Ordenes_Odoo'!A862="","",'Ordenes_Odoo'!A862)</f>
        <v/>
      </c>
      <c r="B862" s="80">
        <f>IF('Ordenes_Odoo'!B862="","",'Ordenes_Odoo'!B862)</f>
        <v/>
      </c>
      <c r="C862" s="79">
        <f>IF('Ordenes_Odoo'!C862="","",'Ordenes_Odoo'!C862)</f>
        <v/>
      </c>
      <c r="D862" s="79">
        <f>IF('Ordenes_Odoo'!D862="","",'Ordenes_Odoo'!D862)</f>
        <v/>
      </c>
      <c r="E862" s="79">
        <f>IF('Ordenes_Odoo'!E862="","",'Ordenes_Odoo'!E862)</f>
        <v/>
      </c>
      <c r="F862" s="79">
        <f>IF('Ordenes_Odoo'!F862="","",'Ordenes_Odoo'!F862)</f>
        <v/>
      </c>
      <c r="G862" s="79">
        <f>IF('Ordenes_Odoo'!G862="","",'Ordenes_Odoo'!G862)</f>
        <v/>
      </c>
      <c r="H862" s="79">
        <f>IF('Ordenes_Odoo'!H862="","",'Ordenes_Odoo'!H862)</f>
        <v/>
      </c>
      <c r="I862" s="79">
        <f>IF('Ordenes_Odoo'!I862="","",'Ordenes_Odoo'!I862)</f>
        <v/>
      </c>
      <c r="J862" s="79">
        <f>IF('Ordenes_Odoo'!J862="","",'Ordenes_Odoo'!J862)</f>
        <v/>
      </c>
      <c r="K862" s="81">
        <f>IF('Ordenes_Odoo'!K862="","",'Ordenes_Odoo'!K862)</f>
        <v/>
      </c>
      <c r="L862" s="81">
        <f>IF('Ordenes_Odoo'!L862="","",'Ordenes_Odoo'!L862)</f>
        <v/>
      </c>
      <c r="M862" s="79">
        <f>IF('Ordenes_Odoo'!M862="","",'Ordenes_Odoo'!M862)</f>
        <v/>
      </c>
      <c r="N862" s="79">
        <f>IF('Ordenes_Odoo'!N862="","",'Ordenes_Odoo'!N862)</f>
        <v/>
      </c>
      <c r="O862" s="81">
        <f>IF('Ordenes_Odoo'!O862="","",'Ordenes_Odoo'!O862)</f>
        <v/>
      </c>
      <c r="P862" s="81">
        <f>IF('Ordenes_Odoo'!P862="","",'Ordenes_Odoo'!P862)</f>
        <v/>
      </c>
      <c r="Q862" s="79">
        <f>IF(A862="","",IFERROR(INDEX(Facturas_Odoo!$B:$B, MATCH(A862, Facturas_Odoo!$D:$D, 0)), "Sin Factura"))</f>
        <v/>
      </c>
      <c r="R862" s="80">
        <f>IF(Q862="Sin Factura","",IFERROR(INDEX(Facturas_Odoo!$A:$A, MATCH(Q862, Facturas_Odoo!$B:$B, 0)), ""))</f>
        <v/>
      </c>
      <c r="S862" s="79">
        <f>IF(Q862="Sin Factura","",IFERROR(_xlfn.XLOOKUP(1, (Facturas_Odoo!$D:$D=A862) * (Facturas_Odoo!$K:$K=I862), Facturas_Odoo!$L:$L, ""), ""))</f>
        <v/>
      </c>
      <c r="T862" s="81">
        <f>IF(Q862="Sin Factura",0,IFERROR(_xlfn.XLOOKUP(1, (Facturas_Odoo!$D:$D=A862) * (Facturas_Odoo!$K:$K=I862), Facturas_Odoo!$M:$M, 0), 0))</f>
        <v/>
      </c>
      <c r="U862" s="79">
        <f>IF(Q862="Sin Factura",0,IFERROR(_xlfn.XLOOKUP(1, (Facturas_Odoo!$D:$D=A862) * (Facturas_Odoo!$K:$K=I862), Facturas_Odoo!$N:$N, 0), 0))</f>
        <v/>
      </c>
      <c r="V862" s="79">
        <f>IF(Q862="Sin Factura",0,IFERROR(_xlfn.XLOOKUP(1, (Facturas_Odoo!$D:$D=A862) * (Facturas_Odoo!$K:$K=I862), Facturas_Odoo!$O:$O, 0), 0))</f>
        <v/>
      </c>
      <c r="W862" s="81">
        <f>IF(Q862="Sin Factura",0,IFERROR(_xlfn.XLOOKUP(1, (Facturas_Odoo!$D:$D=A862) * (Facturas_Odoo!$K:$K=I862), Facturas_Odoo!$Q:$Q, 0), 0))</f>
        <v/>
      </c>
      <c r="X862" s="79">
        <f>IF(OR(Q862="Sin Factura",Q862=""),"",IFERROR(INDEX(Pagos_Odoo!$B:$B, MATCH(Q862, Pagos_Odoo!$I:$I, 0)), "Sin Pago"))</f>
        <v/>
      </c>
      <c r="Y862" s="79">
        <f>IF(X862="Sin Pago","",IFERROR(INDEX(Pagos_Odoo!$C:$C, MATCH(X862, Pagos_Odoo!$B:$B, 0)), ""))</f>
        <v/>
      </c>
      <c r="Z862" s="80">
        <f>IF(X862="Sin Pago","",IFERROR(INDEX(Pagos_Odoo!$A:$A, MATCH(X862, Pagos_Odoo!$B:$B, 0)), ""))</f>
        <v/>
      </c>
      <c r="AA862" s="79">
        <f>IF(X862="Sin Pago","",IFERROR(INDEX(Pagos_Odoo!$F:$F, MATCH(X862, Pagos_Odoo!$B:$B, 0)), ""))</f>
        <v/>
      </c>
      <c r="AB862" s="81">
        <f>IF(X862="Sin Pago",0,IFERROR(INDEX(Pagos_Odoo!$E:$E, MATCH(X862, Pagos_Odoo!$B:$B, 0)), 0))</f>
        <v/>
      </c>
      <c r="AC862" s="79">
        <f>IF(X862="Sin Pago","",IFERROR(INDEX(Pagos_Odoo!$G:$G, MATCH(X862, Pagos_Odoo!$B:$B, 0)), ""))</f>
        <v/>
      </c>
      <c r="AD862" s="82" t="n">
        <v>0</v>
      </c>
      <c r="AE862" s="82" t="n"/>
      <c r="AF862" s="82" t="n"/>
      <c r="AG862" s="82">
        <f>IF(AN862="","",AD862+AE862+AF862)</f>
        <v/>
      </c>
      <c r="AH862" s="81">
        <f>IF(AN862="","",P862*(1-AG862))</f>
        <v/>
      </c>
      <c r="AI862" s="81">
        <f>IF(AN862="","",IF(Q862="Sin Factura",0,IFERROR(INDEX(Facturas_Odoo!$H:$H, MATCH(Q862, Facturas_Odoo!$B:$B, 0)), 0)*(1-AG862)))</f>
        <v/>
      </c>
      <c r="AJ862" s="81">
        <f>IF(AN862="","",_xlfn.LET(idVenta, AN862&amp;"",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62" s="81">
        <f>IF(AN862="","",AH862-AJ862)</f>
        <v/>
      </c>
      <c r="AL862" s="81">
        <f>IF(AN862="","",IF(Q862="Sin Factura","",AI862-AJ862))</f>
        <v/>
      </c>
      <c r="AM862" s="81">
        <f>IF(AN862="","",IF(Q862="Sin Factura",0,P862-IFERROR(INDEX(Facturas_Odoo!$H:$H, MATCH(Q862, Facturas_Odoo!$B:$B, 0)), 0)))</f>
        <v/>
      </c>
      <c r="AN862" s="79">
        <f>IF(AND(A862="", J862=""), "", IF(A862&lt;&gt;"", VALUE(MID(A862,2,LEN(A862))), AN861))</f>
        <v/>
      </c>
      <c r="AO862" s="79">
        <f>IF(AN862="","",IF(AD862=0,"OK",_xlfn.LET(monedaPago, IF(AA862="","USD",AA862), limitePermitido, IFERROR(VLOOKUP(monedaPago, Configuración!$A$2:$B$3, 2, FALSE), 0.15), IF(AD862&gt;limitePermitido, "ALERTA: EXCESO (" &amp; TEXT(limitePermitido, "0%") &amp; " máx)", "OK"))))</f>
        <v/>
      </c>
      <c r="AP862" s="79">
        <f>IF(AN862="","",IF(AE862=0,"OK",_xlfn.LET(fechaPago, Z862, fechaFactura, R862, diasCredito, IF(E862="Pago inmediato", 0, IFERROR(VALUE(MID(E862, 1, SEARCH(" ", E862)-1)),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62" s="79">
        <f>IF(AN862="","",IF(AND(N862&gt;0, AG862&gt;0), IF(Configuración!$K$2="NO", "ALERTA: DESCUENTO DOBLE NO PERMITIDO", "OK"), "OK"))</f>
        <v/>
      </c>
      <c r="AR862" s="79">
        <f>IF(AN862="","",IF(OR(AO862&lt;&gt;"OK", AP862&lt;&gt;"OK", AQ862&lt;&gt;"OK"), "⚠️ REVISAR", "OK"))</f>
        <v/>
      </c>
    </row>
    <row r="863">
      <c r="A863" s="79">
        <f>IF('Ordenes_Odoo'!A863="","",'Ordenes_Odoo'!A863)</f>
        <v/>
      </c>
      <c r="B863" s="80">
        <f>IF('Ordenes_Odoo'!B863="","",'Ordenes_Odoo'!B863)</f>
        <v/>
      </c>
      <c r="C863" s="79">
        <f>IF('Ordenes_Odoo'!C863="","",'Ordenes_Odoo'!C863)</f>
        <v/>
      </c>
      <c r="D863" s="79">
        <f>IF('Ordenes_Odoo'!D863="","",'Ordenes_Odoo'!D863)</f>
        <v/>
      </c>
      <c r="E863" s="79">
        <f>IF('Ordenes_Odoo'!E863="","",'Ordenes_Odoo'!E863)</f>
        <v/>
      </c>
      <c r="F863" s="79">
        <f>IF('Ordenes_Odoo'!F863="","",'Ordenes_Odoo'!F863)</f>
        <v/>
      </c>
      <c r="G863" s="79">
        <f>IF('Ordenes_Odoo'!G863="","",'Ordenes_Odoo'!G863)</f>
        <v/>
      </c>
      <c r="H863" s="79">
        <f>IF('Ordenes_Odoo'!H863="","",'Ordenes_Odoo'!H863)</f>
        <v/>
      </c>
      <c r="I863" s="79">
        <f>IF('Ordenes_Odoo'!I863="","",'Ordenes_Odoo'!I863)</f>
        <v/>
      </c>
      <c r="J863" s="79">
        <f>IF('Ordenes_Odoo'!J863="","",'Ordenes_Odoo'!J863)</f>
        <v/>
      </c>
      <c r="K863" s="81">
        <f>IF('Ordenes_Odoo'!K863="","",'Ordenes_Odoo'!K863)</f>
        <v/>
      </c>
      <c r="L863" s="81">
        <f>IF('Ordenes_Odoo'!L863="","",'Ordenes_Odoo'!L863)</f>
        <v/>
      </c>
      <c r="M863" s="79">
        <f>IF('Ordenes_Odoo'!M863="","",'Ordenes_Odoo'!M863)</f>
        <v/>
      </c>
      <c r="N863" s="79">
        <f>IF('Ordenes_Odoo'!N863="","",'Ordenes_Odoo'!N863)</f>
        <v/>
      </c>
      <c r="O863" s="81">
        <f>IF('Ordenes_Odoo'!O863="","",'Ordenes_Odoo'!O863)</f>
        <v/>
      </c>
      <c r="P863" s="81">
        <f>IF('Ordenes_Odoo'!P863="","",'Ordenes_Odoo'!P863)</f>
        <v/>
      </c>
      <c r="Q863" s="79">
        <f>IF(A863="","",IFERROR(INDEX(Facturas_Odoo!$B:$B, MATCH(A863, Facturas_Odoo!$D:$D, 0)), "Sin Factura"))</f>
        <v/>
      </c>
      <c r="R863" s="80">
        <f>IF(Q863="Sin Factura","",IFERROR(INDEX(Facturas_Odoo!$A:$A, MATCH(Q863, Facturas_Odoo!$B:$B, 0)), ""))</f>
        <v/>
      </c>
      <c r="S863" s="79">
        <f>IF(Q863="Sin Factura","",IFERROR(_xlfn.XLOOKUP(1, (Facturas_Odoo!$D:$D=A863) * (Facturas_Odoo!$K:$K=I863), Facturas_Odoo!$L:$L, ""), ""))</f>
        <v/>
      </c>
      <c r="T863" s="81">
        <f>IF(Q863="Sin Factura",0,IFERROR(_xlfn.XLOOKUP(1, (Facturas_Odoo!$D:$D=A863) * (Facturas_Odoo!$K:$K=I863), Facturas_Odoo!$M:$M, 0), 0))</f>
        <v/>
      </c>
      <c r="U863" s="79">
        <f>IF(Q863="Sin Factura",0,IFERROR(_xlfn.XLOOKUP(1, (Facturas_Odoo!$D:$D=A863) * (Facturas_Odoo!$K:$K=I863), Facturas_Odoo!$N:$N, 0), 0))</f>
        <v/>
      </c>
      <c r="V863" s="79">
        <f>IF(Q863="Sin Factura",0,IFERROR(_xlfn.XLOOKUP(1, (Facturas_Odoo!$D:$D=A863) * (Facturas_Odoo!$K:$K=I863), Facturas_Odoo!$O:$O, 0), 0))</f>
        <v/>
      </c>
      <c r="W863" s="81">
        <f>IF(Q863="Sin Factura",0,IFERROR(_xlfn.XLOOKUP(1, (Facturas_Odoo!$D:$D=A863) * (Facturas_Odoo!$K:$K=I863), Facturas_Odoo!$Q:$Q, 0), 0))</f>
        <v/>
      </c>
      <c r="X863" s="79">
        <f>IF(OR(Q863="Sin Factura",Q863=""),"",IFERROR(INDEX(Pagos_Odoo!$B:$B, MATCH(Q863, Pagos_Odoo!$I:$I, 0)), "Sin Pago"))</f>
        <v/>
      </c>
      <c r="Y863" s="79">
        <f>IF(X863="Sin Pago","",IFERROR(INDEX(Pagos_Odoo!$C:$C, MATCH(X863, Pagos_Odoo!$B:$B, 0)), ""))</f>
        <v/>
      </c>
      <c r="Z863" s="80">
        <f>IF(X863="Sin Pago","",IFERROR(INDEX(Pagos_Odoo!$A:$A, MATCH(X863, Pagos_Odoo!$B:$B, 0)), ""))</f>
        <v/>
      </c>
      <c r="AA863" s="79">
        <f>IF(X863="Sin Pago","",IFERROR(INDEX(Pagos_Odoo!$F:$F, MATCH(X863, Pagos_Odoo!$B:$B, 0)), ""))</f>
        <v/>
      </c>
      <c r="AB863" s="81">
        <f>IF(X863="Sin Pago",0,IFERROR(INDEX(Pagos_Odoo!$E:$E, MATCH(X863, Pagos_Odoo!$B:$B, 0)), 0))</f>
        <v/>
      </c>
      <c r="AC863" s="79">
        <f>IF(X863="Sin Pago","",IFERROR(INDEX(Pagos_Odoo!$G:$G, MATCH(X863, Pagos_Odoo!$B:$B, 0)), ""))</f>
        <v/>
      </c>
      <c r="AD863" s="82" t="n">
        <v>0</v>
      </c>
      <c r="AE863" s="82" t="n"/>
      <c r="AF863" s="82" t="n"/>
      <c r="AG863" s="82">
        <f>IF(AN863="","",AD863+AE863+AF863)</f>
        <v/>
      </c>
      <c r="AH863" s="81">
        <f>IF(AN863="","",P863*(1-AG863))</f>
        <v/>
      </c>
      <c r="AI863" s="81">
        <f>IF(AN863="","",IF(Q863="Sin Factura",0,IFERROR(INDEX(Facturas_Odoo!$H:$H, MATCH(Q863, Facturas_Odoo!$B:$B, 0)), 0)*(1-AG863)))</f>
        <v/>
      </c>
      <c r="AJ863" s="81">
        <f>IF(AN863="","",_xlfn.LET(idVenta, AN863&amp;"",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63" s="81">
        <f>IF(AN863="","",AH863-AJ863)</f>
        <v/>
      </c>
      <c r="AL863" s="81">
        <f>IF(AN863="","",IF(Q863="Sin Factura","",AI863-AJ863))</f>
        <v/>
      </c>
      <c r="AM863" s="81">
        <f>IF(AN863="","",IF(Q863="Sin Factura",0,P863-IFERROR(INDEX(Facturas_Odoo!$H:$H, MATCH(Q863, Facturas_Odoo!$B:$B, 0)), 0)))</f>
        <v/>
      </c>
      <c r="AN863" s="79">
        <f>IF(AND(A863="", J863=""), "", IF(A863&lt;&gt;"", VALUE(MID(A863,2,LEN(A863))), AN862))</f>
        <v/>
      </c>
      <c r="AO863" s="79">
        <f>IF(AN863="","",IF(AD863=0,"OK",_xlfn.LET(monedaPago, IF(AA863="","USD",AA863), limitePermitido, IFERROR(VLOOKUP(monedaPago, Configuración!$A$2:$B$3, 2, FALSE), 0.15), IF(AD863&gt;limitePermitido, "ALERTA: EXCESO (" &amp; TEXT(limitePermitido, "0%") &amp; " máx)", "OK"))))</f>
        <v/>
      </c>
      <c r="AP863" s="79">
        <f>IF(AN863="","",IF(AE863=0,"OK",_xlfn.LET(fechaPago, Z863, fechaFactura, R863, diasCredito, IF(E863="Pago inmediato", 0, IFERROR(VALUE(MID(E863, 1, SEARCH(" ", E863)-1)),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63" s="79">
        <f>IF(AN863="","",IF(AND(N863&gt;0, AG863&gt;0), IF(Configuración!$K$2="NO", "ALERTA: DESCUENTO DOBLE NO PERMITIDO", "OK"), "OK"))</f>
        <v/>
      </c>
      <c r="AR863" s="79">
        <f>IF(AN863="","",IF(OR(AO863&lt;&gt;"OK", AP863&lt;&gt;"OK", AQ863&lt;&gt;"OK"), "⚠️ REVISAR", "OK"))</f>
        <v/>
      </c>
    </row>
    <row r="864">
      <c r="A864" s="79">
        <f>IF('Ordenes_Odoo'!A864="","",'Ordenes_Odoo'!A864)</f>
        <v/>
      </c>
      <c r="B864" s="80">
        <f>IF('Ordenes_Odoo'!B864="","",'Ordenes_Odoo'!B864)</f>
        <v/>
      </c>
      <c r="C864" s="79">
        <f>IF('Ordenes_Odoo'!C864="","",'Ordenes_Odoo'!C864)</f>
        <v/>
      </c>
      <c r="D864" s="79">
        <f>IF('Ordenes_Odoo'!D864="","",'Ordenes_Odoo'!D864)</f>
        <v/>
      </c>
      <c r="E864" s="79">
        <f>IF('Ordenes_Odoo'!E864="","",'Ordenes_Odoo'!E864)</f>
        <v/>
      </c>
      <c r="F864" s="79">
        <f>IF('Ordenes_Odoo'!F864="","",'Ordenes_Odoo'!F864)</f>
        <v/>
      </c>
      <c r="G864" s="79">
        <f>IF('Ordenes_Odoo'!G864="","",'Ordenes_Odoo'!G864)</f>
        <v/>
      </c>
      <c r="H864" s="79">
        <f>IF('Ordenes_Odoo'!H864="","",'Ordenes_Odoo'!H864)</f>
        <v/>
      </c>
      <c r="I864" s="79">
        <f>IF('Ordenes_Odoo'!I864="","",'Ordenes_Odoo'!I864)</f>
        <v/>
      </c>
      <c r="J864" s="79">
        <f>IF('Ordenes_Odoo'!J864="","",'Ordenes_Odoo'!J864)</f>
        <v/>
      </c>
      <c r="K864" s="81">
        <f>IF('Ordenes_Odoo'!K864="","",'Ordenes_Odoo'!K864)</f>
        <v/>
      </c>
      <c r="L864" s="81">
        <f>IF('Ordenes_Odoo'!L864="","",'Ordenes_Odoo'!L864)</f>
        <v/>
      </c>
      <c r="M864" s="79">
        <f>IF('Ordenes_Odoo'!M864="","",'Ordenes_Odoo'!M864)</f>
        <v/>
      </c>
      <c r="N864" s="79">
        <f>IF('Ordenes_Odoo'!N864="","",'Ordenes_Odoo'!N864)</f>
        <v/>
      </c>
      <c r="O864" s="81">
        <f>IF('Ordenes_Odoo'!O864="","",'Ordenes_Odoo'!O864)</f>
        <v/>
      </c>
      <c r="P864" s="81">
        <f>IF('Ordenes_Odoo'!P864="","",'Ordenes_Odoo'!P864)</f>
        <v/>
      </c>
      <c r="Q864" s="79">
        <f>IF(A864="","",IFERROR(INDEX(Facturas_Odoo!$B:$B, MATCH(A864, Facturas_Odoo!$D:$D, 0)), "Sin Factura"))</f>
        <v/>
      </c>
      <c r="R864" s="80">
        <f>IF(Q864="Sin Factura","",IFERROR(INDEX(Facturas_Odoo!$A:$A, MATCH(Q864, Facturas_Odoo!$B:$B, 0)), ""))</f>
        <v/>
      </c>
      <c r="S864" s="79">
        <f>IF(Q864="Sin Factura","",IFERROR(_xlfn.XLOOKUP(1, (Facturas_Odoo!$D:$D=A864) * (Facturas_Odoo!$K:$K=I864), Facturas_Odoo!$L:$L, ""), ""))</f>
        <v/>
      </c>
      <c r="T864" s="81">
        <f>IF(Q864="Sin Factura",0,IFERROR(_xlfn.XLOOKUP(1, (Facturas_Odoo!$D:$D=A864) * (Facturas_Odoo!$K:$K=I864), Facturas_Odoo!$M:$M, 0), 0))</f>
        <v/>
      </c>
      <c r="U864" s="79">
        <f>IF(Q864="Sin Factura",0,IFERROR(_xlfn.XLOOKUP(1, (Facturas_Odoo!$D:$D=A864) * (Facturas_Odoo!$K:$K=I864), Facturas_Odoo!$N:$N, 0), 0))</f>
        <v/>
      </c>
      <c r="V864" s="79">
        <f>IF(Q864="Sin Factura",0,IFERROR(_xlfn.XLOOKUP(1, (Facturas_Odoo!$D:$D=A864) * (Facturas_Odoo!$K:$K=I864), Facturas_Odoo!$O:$O, 0), 0))</f>
        <v/>
      </c>
      <c r="W864" s="81">
        <f>IF(Q864="Sin Factura",0,IFERROR(_xlfn.XLOOKUP(1, (Facturas_Odoo!$D:$D=A864) * (Facturas_Odoo!$K:$K=I864), Facturas_Odoo!$Q:$Q, 0), 0))</f>
        <v/>
      </c>
      <c r="X864" s="79">
        <f>IF(OR(Q864="Sin Factura",Q864=""),"",IFERROR(INDEX(Pagos_Odoo!$B:$B, MATCH(Q864, Pagos_Odoo!$I:$I, 0)), "Sin Pago"))</f>
        <v/>
      </c>
      <c r="Y864" s="79">
        <f>IF(X864="Sin Pago","",IFERROR(INDEX(Pagos_Odoo!$C:$C, MATCH(X864, Pagos_Odoo!$B:$B, 0)), ""))</f>
        <v/>
      </c>
      <c r="Z864" s="80">
        <f>IF(X864="Sin Pago","",IFERROR(INDEX(Pagos_Odoo!$A:$A, MATCH(X864, Pagos_Odoo!$B:$B, 0)), ""))</f>
        <v/>
      </c>
      <c r="AA864" s="79">
        <f>IF(X864="Sin Pago","",IFERROR(INDEX(Pagos_Odoo!$F:$F, MATCH(X864, Pagos_Odoo!$B:$B, 0)), ""))</f>
        <v/>
      </c>
      <c r="AB864" s="81">
        <f>IF(X864="Sin Pago",0,IFERROR(INDEX(Pagos_Odoo!$E:$E, MATCH(X864, Pagos_Odoo!$B:$B, 0)), 0))</f>
        <v/>
      </c>
      <c r="AC864" s="79">
        <f>IF(X864="Sin Pago","",IFERROR(INDEX(Pagos_Odoo!$G:$G, MATCH(X864, Pagos_Odoo!$B:$B, 0)), ""))</f>
        <v/>
      </c>
      <c r="AD864" s="82" t="n">
        <v>0</v>
      </c>
      <c r="AE864" s="82" t="n"/>
      <c r="AF864" s="82" t="n"/>
      <c r="AG864" s="82">
        <f>IF(AN864="","",AD864+AE864+AF864)</f>
        <v/>
      </c>
      <c r="AH864" s="81">
        <f>IF(AN864="","",P864*(1-AG864))</f>
        <v/>
      </c>
      <c r="AI864" s="81">
        <f>IF(AN864="","",IF(Q864="Sin Factura",0,IFERROR(INDEX(Facturas_Odoo!$H:$H, MATCH(Q864, Facturas_Odoo!$B:$B, 0)), 0)*(1-AG864)))</f>
        <v/>
      </c>
      <c r="AJ864" s="81">
        <f>IF(AN864="","",_xlfn.LET(idVenta, AN864&amp;"",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64" s="81">
        <f>IF(AN864="","",AH864-AJ864)</f>
        <v/>
      </c>
      <c r="AL864" s="81">
        <f>IF(AN864="","",IF(Q864="Sin Factura","",AI864-AJ864))</f>
        <v/>
      </c>
      <c r="AM864" s="81">
        <f>IF(AN864="","",IF(Q864="Sin Factura",0,P864-IFERROR(INDEX(Facturas_Odoo!$H:$H, MATCH(Q864, Facturas_Odoo!$B:$B, 0)), 0)))</f>
        <v/>
      </c>
      <c r="AN864" s="79">
        <f>IF(AND(A864="", J864=""), "", IF(A864&lt;&gt;"", VALUE(MID(A864,2,LEN(A864))), AN863))</f>
        <v/>
      </c>
      <c r="AO864" s="79">
        <f>IF(AN864="","",IF(AD864=0,"OK",_xlfn.LET(monedaPago, IF(AA864="","USD",AA864), limitePermitido, IFERROR(VLOOKUP(monedaPago, Configuración!$A$2:$B$3, 2, FALSE), 0.15), IF(AD864&gt;limitePermitido, "ALERTA: EXCESO (" &amp; TEXT(limitePermitido, "0%") &amp; " máx)", "OK"))))</f>
        <v/>
      </c>
      <c r="AP864" s="79">
        <f>IF(AN864="","",IF(AE864=0,"OK",_xlfn.LET(fechaPago, Z864, fechaFactura, R864, diasCredito, IF(E864="Pago inmediato", 0, IFERROR(VALUE(MID(E864, 1, SEARCH(" ", E864)-1)),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64" s="79">
        <f>IF(AN864="","",IF(AND(N864&gt;0, AG864&gt;0), IF(Configuración!$K$2="NO", "ALERTA: DESCUENTO DOBLE NO PERMITIDO", "OK"), "OK"))</f>
        <v/>
      </c>
      <c r="AR864" s="79">
        <f>IF(AN864="","",IF(OR(AO864&lt;&gt;"OK", AP864&lt;&gt;"OK", AQ864&lt;&gt;"OK"), "⚠️ REVISAR", "OK"))</f>
        <v/>
      </c>
    </row>
    <row r="865">
      <c r="A865" s="79">
        <f>IF('Ordenes_Odoo'!A865="","",'Ordenes_Odoo'!A865)</f>
        <v/>
      </c>
      <c r="B865" s="80">
        <f>IF('Ordenes_Odoo'!B865="","",'Ordenes_Odoo'!B865)</f>
        <v/>
      </c>
      <c r="C865" s="79">
        <f>IF('Ordenes_Odoo'!C865="","",'Ordenes_Odoo'!C865)</f>
        <v/>
      </c>
      <c r="D865" s="79">
        <f>IF('Ordenes_Odoo'!D865="","",'Ordenes_Odoo'!D865)</f>
        <v/>
      </c>
      <c r="E865" s="79">
        <f>IF('Ordenes_Odoo'!E865="","",'Ordenes_Odoo'!E865)</f>
        <v/>
      </c>
      <c r="F865" s="79">
        <f>IF('Ordenes_Odoo'!F865="","",'Ordenes_Odoo'!F865)</f>
        <v/>
      </c>
      <c r="G865" s="79">
        <f>IF('Ordenes_Odoo'!G865="","",'Ordenes_Odoo'!G865)</f>
        <v/>
      </c>
      <c r="H865" s="79">
        <f>IF('Ordenes_Odoo'!H865="","",'Ordenes_Odoo'!H865)</f>
        <v/>
      </c>
      <c r="I865" s="79">
        <f>IF('Ordenes_Odoo'!I865="","",'Ordenes_Odoo'!I865)</f>
        <v/>
      </c>
      <c r="J865" s="79">
        <f>IF('Ordenes_Odoo'!J865="","",'Ordenes_Odoo'!J865)</f>
        <v/>
      </c>
      <c r="K865" s="81">
        <f>IF('Ordenes_Odoo'!K865="","",'Ordenes_Odoo'!K865)</f>
        <v/>
      </c>
      <c r="L865" s="81">
        <f>IF('Ordenes_Odoo'!L865="","",'Ordenes_Odoo'!L865)</f>
        <v/>
      </c>
      <c r="M865" s="79">
        <f>IF('Ordenes_Odoo'!M865="","",'Ordenes_Odoo'!M865)</f>
        <v/>
      </c>
      <c r="N865" s="79">
        <f>IF('Ordenes_Odoo'!N865="","",'Ordenes_Odoo'!N865)</f>
        <v/>
      </c>
      <c r="O865" s="81">
        <f>IF('Ordenes_Odoo'!O865="","",'Ordenes_Odoo'!O865)</f>
        <v/>
      </c>
      <c r="P865" s="81">
        <f>IF('Ordenes_Odoo'!P865="","",'Ordenes_Odoo'!P865)</f>
        <v/>
      </c>
      <c r="Q865" s="79">
        <f>IF(A865="","",IFERROR(INDEX(Facturas_Odoo!$B:$B, MATCH(A865, Facturas_Odoo!$D:$D, 0)), "Sin Factura"))</f>
        <v/>
      </c>
      <c r="R865" s="80">
        <f>IF(Q865="Sin Factura","",IFERROR(INDEX(Facturas_Odoo!$A:$A, MATCH(Q865, Facturas_Odoo!$B:$B, 0)), ""))</f>
        <v/>
      </c>
      <c r="S865" s="79">
        <f>IF(Q865="Sin Factura","",IFERROR(_xlfn.XLOOKUP(1, (Facturas_Odoo!$D:$D=A865) * (Facturas_Odoo!$K:$K=I865), Facturas_Odoo!$L:$L, ""), ""))</f>
        <v/>
      </c>
      <c r="T865" s="81">
        <f>IF(Q865="Sin Factura",0,IFERROR(_xlfn.XLOOKUP(1, (Facturas_Odoo!$D:$D=A865) * (Facturas_Odoo!$K:$K=I865), Facturas_Odoo!$M:$M, 0), 0))</f>
        <v/>
      </c>
      <c r="U865" s="79">
        <f>IF(Q865="Sin Factura",0,IFERROR(_xlfn.XLOOKUP(1, (Facturas_Odoo!$D:$D=A865) * (Facturas_Odoo!$K:$K=I865), Facturas_Odoo!$N:$N, 0), 0))</f>
        <v/>
      </c>
      <c r="V865" s="79">
        <f>IF(Q865="Sin Factura",0,IFERROR(_xlfn.XLOOKUP(1, (Facturas_Odoo!$D:$D=A865) * (Facturas_Odoo!$K:$K=I865), Facturas_Odoo!$O:$O, 0), 0))</f>
        <v/>
      </c>
      <c r="W865" s="81">
        <f>IF(Q865="Sin Factura",0,IFERROR(_xlfn.XLOOKUP(1, (Facturas_Odoo!$D:$D=A865) * (Facturas_Odoo!$K:$K=I865), Facturas_Odoo!$Q:$Q, 0), 0))</f>
        <v/>
      </c>
      <c r="X865" s="79">
        <f>IF(OR(Q865="Sin Factura",Q865=""),"",IFERROR(INDEX(Pagos_Odoo!$B:$B, MATCH(Q865, Pagos_Odoo!$I:$I, 0)), "Sin Pago"))</f>
        <v/>
      </c>
      <c r="Y865" s="79">
        <f>IF(X865="Sin Pago","",IFERROR(INDEX(Pagos_Odoo!$C:$C, MATCH(X865, Pagos_Odoo!$B:$B, 0)), ""))</f>
        <v/>
      </c>
      <c r="Z865" s="80">
        <f>IF(X865="Sin Pago","",IFERROR(INDEX(Pagos_Odoo!$A:$A, MATCH(X865, Pagos_Odoo!$B:$B, 0)), ""))</f>
        <v/>
      </c>
      <c r="AA865" s="79">
        <f>IF(X865="Sin Pago","",IFERROR(INDEX(Pagos_Odoo!$F:$F, MATCH(X865, Pagos_Odoo!$B:$B, 0)), ""))</f>
        <v/>
      </c>
      <c r="AB865" s="81">
        <f>IF(X865="Sin Pago",0,IFERROR(INDEX(Pagos_Odoo!$E:$E, MATCH(X865, Pagos_Odoo!$B:$B, 0)), 0))</f>
        <v/>
      </c>
      <c r="AC865" s="79">
        <f>IF(X865="Sin Pago","",IFERROR(INDEX(Pagos_Odoo!$G:$G, MATCH(X865, Pagos_Odoo!$B:$B, 0)), ""))</f>
        <v/>
      </c>
      <c r="AD865" s="82" t="n">
        <v>0</v>
      </c>
      <c r="AE865" s="82" t="n"/>
      <c r="AF865" s="82" t="n"/>
      <c r="AG865" s="82">
        <f>IF(AN865="","",AD865+AE865+AF865)</f>
        <v/>
      </c>
      <c r="AH865" s="81">
        <f>IF(AN865="","",P865*(1-AG865))</f>
        <v/>
      </c>
      <c r="AI865" s="81">
        <f>IF(AN865="","",IF(Q865="Sin Factura",0,IFERROR(INDEX(Facturas_Odoo!$H:$H, MATCH(Q865, Facturas_Odoo!$B:$B, 0)), 0)*(1-AG865)))</f>
        <v/>
      </c>
      <c r="AJ865" s="81">
        <f>IF(AN865="","",_xlfn.LET(idVenta, AN865&amp;"",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65" s="81">
        <f>IF(AN865="","",AH865-AJ865)</f>
        <v/>
      </c>
      <c r="AL865" s="81">
        <f>IF(AN865="","",IF(Q865="Sin Factura","",AI865-AJ865))</f>
        <v/>
      </c>
      <c r="AM865" s="81">
        <f>IF(AN865="","",IF(Q865="Sin Factura",0,P865-IFERROR(INDEX(Facturas_Odoo!$H:$H, MATCH(Q865, Facturas_Odoo!$B:$B, 0)), 0)))</f>
        <v/>
      </c>
      <c r="AN865" s="79">
        <f>IF(AND(A865="", J865=""), "", IF(A865&lt;&gt;"", VALUE(MID(A865,2,LEN(A865))), AN864))</f>
        <v/>
      </c>
      <c r="AO865" s="79">
        <f>IF(AN865="","",IF(AD865=0,"OK",_xlfn.LET(monedaPago, IF(AA865="","USD",AA865), limitePermitido, IFERROR(VLOOKUP(monedaPago, Configuración!$A$2:$B$3, 2, FALSE), 0.15), IF(AD865&gt;limitePermitido, "ALERTA: EXCESO (" &amp; TEXT(limitePermitido, "0%") &amp; " máx)", "OK"))))</f>
        <v/>
      </c>
      <c r="AP865" s="79">
        <f>IF(AN865="","",IF(AE865=0,"OK",_xlfn.LET(fechaPago, Z865, fechaFactura, R865, diasCredito, IF(E865="Pago inmediato", 0, IFERROR(VALUE(MID(E865, 1, SEARCH(" ", E865)-1)),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65" s="79">
        <f>IF(AN865="","",IF(AND(N865&gt;0, AG865&gt;0), IF(Configuración!$K$2="NO", "ALERTA: DESCUENTO DOBLE NO PERMITIDO", "OK"), "OK"))</f>
        <v/>
      </c>
      <c r="AR865" s="79">
        <f>IF(AN865="","",IF(OR(AO865&lt;&gt;"OK", AP865&lt;&gt;"OK", AQ865&lt;&gt;"OK"), "⚠️ REVISAR", "OK"))</f>
        <v/>
      </c>
    </row>
    <row r="866">
      <c r="A866" s="79">
        <f>IF('Ordenes_Odoo'!A866="","",'Ordenes_Odoo'!A866)</f>
        <v/>
      </c>
      <c r="B866" s="80">
        <f>IF('Ordenes_Odoo'!B866="","",'Ordenes_Odoo'!B866)</f>
        <v/>
      </c>
      <c r="C866" s="79">
        <f>IF('Ordenes_Odoo'!C866="","",'Ordenes_Odoo'!C866)</f>
        <v/>
      </c>
      <c r="D866" s="79">
        <f>IF('Ordenes_Odoo'!D866="","",'Ordenes_Odoo'!D866)</f>
        <v/>
      </c>
      <c r="E866" s="79">
        <f>IF('Ordenes_Odoo'!E866="","",'Ordenes_Odoo'!E866)</f>
        <v/>
      </c>
      <c r="F866" s="79">
        <f>IF('Ordenes_Odoo'!F866="","",'Ordenes_Odoo'!F866)</f>
        <v/>
      </c>
      <c r="G866" s="79">
        <f>IF('Ordenes_Odoo'!G866="","",'Ordenes_Odoo'!G866)</f>
        <v/>
      </c>
      <c r="H866" s="79">
        <f>IF('Ordenes_Odoo'!H866="","",'Ordenes_Odoo'!H866)</f>
        <v/>
      </c>
      <c r="I866" s="79">
        <f>IF('Ordenes_Odoo'!I866="","",'Ordenes_Odoo'!I866)</f>
        <v/>
      </c>
      <c r="J866" s="79">
        <f>IF('Ordenes_Odoo'!J866="","",'Ordenes_Odoo'!J866)</f>
        <v/>
      </c>
      <c r="K866" s="81">
        <f>IF('Ordenes_Odoo'!K866="","",'Ordenes_Odoo'!K866)</f>
        <v/>
      </c>
      <c r="L866" s="81">
        <f>IF('Ordenes_Odoo'!L866="","",'Ordenes_Odoo'!L866)</f>
        <v/>
      </c>
      <c r="M866" s="79">
        <f>IF('Ordenes_Odoo'!M866="","",'Ordenes_Odoo'!M866)</f>
        <v/>
      </c>
      <c r="N866" s="79">
        <f>IF('Ordenes_Odoo'!N866="","",'Ordenes_Odoo'!N866)</f>
        <v/>
      </c>
      <c r="O866" s="81">
        <f>IF('Ordenes_Odoo'!O866="","",'Ordenes_Odoo'!O866)</f>
        <v/>
      </c>
      <c r="P866" s="81">
        <f>IF('Ordenes_Odoo'!P866="","",'Ordenes_Odoo'!P866)</f>
        <v/>
      </c>
      <c r="Q866" s="79">
        <f>IF(A866="","",IFERROR(INDEX(Facturas_Odoo!$B:$B, MATCH(A866, Facturas_Odoo!$D:$D, 0)), "Sin Factura"))</f>
        <v/>
      </c>
      <c r="R866" s="80">
        <f>IF(Q866="Sin Factura","",IFERROR(INDEX(Facturas_Odoo!$A:$A, MATCH(Q866, Facturas_Odoo!$B:$B, 0)), ""))</f>
        <v/>
      </c>
      <c r="S866" s="79">
        <f>IF(Q866="Sin Factura","",IFERROR(_xlfn.XLOOKUP(1, (Facturas_Odoo!$D:$D=A866) * (Facturas_Odoo!$K:$K=I866), Facturas_Odoo!$L:$L, ""), ""))</f>
        <v/>
      </c>
      <c r="T866" s="81">
        <f>IF(Q866="Sin Factura",0,IFERROR(_xlfn.XLOOKUP(1, (Facturas_Odoo!$D:$D=A866) * (Facturas_Odoo!$K:$K=I866), Facturas_Odoo!$M:$M, 0), 0))</f>
        <v/>
      </c>
      <c r="U866" s="79">
        <f>IF(Q866="Sin Factura",0,IFERROR(_xlfn.XLOOKUP(1, (Facturas_Odoo!$D:$D=A866) * (Facturas_Odoo!$K:$K=I866), Facturas_Odoo!$N:$N, 0), 0))</f>
        <v/>
      </c>
      <c r="V866" s="79">
        <f>IF(Q866="Sin Factura",0,IFERROR(_xlfn.XLOOKUP(1, (Facturas_Odoo!$D:$D=A866) * (Facturas_Odoo!$K:$K=I866), Facturas_Odoo!$O:$O, 0), 0))</f>
        <v/>
      </c>
      <c r="W866" s="81">
        <f>IF(Q866="Sin Factura",0,IFERROR(_xlfn.XLOOKUP(1, (Facturas_Odoo!$D:$D=A866) * (Facturas_Odoo!$K:$K=I866), Facturas_Odoo!$Q:$Q, 0), 0))</f>
        <v/>
      </c>
      <c r="X866" s="79">
        <f>IF(OR(Q866="Sin Factura",Q866=""),"",IFERROR(INDEX(Pagos_Odoo!$B:$B, MATCH(Q866, Pagos_Odoo!$I:$I, 0)), "Sin Pago"))</f>
        <v/>
      </c>
      <c r="Y866" s="79">
        <f>IF(X866="Sin Pago","",IFERROR(INDEX(Pagos_Odoo!$C:$C, MATCH(X866, Pagos_Odoo!$B:$B, 0)), ""))</f>
        <v/>
      </c>
      <c r="Z866" s="80">
        <f>IF(X866="Sin Pago","",IFERROR(INDEX(Pagos_Odoo!$A:$A, MATCH(X866, Pagos_Odoo!$B:$B, 0)), ""))</f>
        <v/>
      </c>
      <c r="AA866" s="79">
        <f>IF(X866="Sin Pago","",IFERROR(INDEX(Pagos_Odoo!$F:$F, MATCH(X866, Pagos_Odoo!$B:$B, 0)), ""))</f>
        <v/>
      </c>
      <c r="AB866" s="81">
        <f>IF(X866="Sin Pago",0,IFERROR(INDEX(Pagos_Odoo!$E:$E, MATCH(X866, Pagos_Odoo!$B:$B, 0)), 0))</f>
        <v/>
      </c>
      <c r="AC866" s="79">
        <f>IF(X866="Sin Pago","",IFERROR(INDEX(Pagos_Odoo!$G:$G, MATCH(X866, Pagos_Odoo!$B:$B, 0)), ""))</f>
        <v/>
      </c>
      <c r="AD866" s="82" t="n">
        <v>0</v>
      </c>
      <c r="AE866" s="82" t="n"/>
      <c r="AF866" s="82" t="n"/>
      <c r="AG866" s="82">
        <f>IF(AN866="","",AD866+AE866+AF866)</f>
        <v/>
      </c>
      <c r="AH866" s="81">
        <f>IF(AN866="","",P866*(1-AG866))</f>
        <v/>
      </c>
      <c r="AI866" s="81">
        <f>IF(AN866="","",IF(Q866="Sin Factura",0,IFERROR(INDEX(Facturas_Odoo!$H:$H, MATCH(Q866, Facturas_Odoo!$B:$B, 0)), 0)*(1-AG866)))</f>
        <v/>
      </c>
      <c r="AJ866" s="81">
        <f>IF(AN866="","",_xlfn.LET(idVenta, AN866&amp;"",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66" s="81">
        <f>IF(AN866="","",AH866-AJ866)</f>
        <v/>
      </c>
      <c r="AL866" s="81">
        <f>IF(AN866="","",IF(Q866="Sin Factura","",AI866-AJ866))</f>
        <v/>
      </c>
      <c r="AM866" s="81">
        <f>IF(AN866="","",IF(Q866="Sin Factura",0,P866-IFERROR(INDEX(Facturas_Odoo!$H:$H, MATCH(Q866, Facturas_Odoo!$B:$B, 0)), 0)))</f>
        <v/>
      </c>
      <c r="AN866" s="79">
        <f>IF(AND(A866="", J866=""), "", IF(A866&lt;&gt;"", VALUE(MID(A866,2,LEN(A866))), AN865))</f>
        <v/>
      </c>
      <c r="AO866" s="79">
        <f>IF(AN866="","",IF(AD866=0,"OK",_xlfn.LET(monedaPago, IF(AA866="","USD",AA866), limitePermitido, IFERROR(VLOOKUP(monedaPago, Configuración!$A$2:$B$3, 2, FALSE), 0.15), IF(AD866&gt;limitePermitido, "ALERTA: EXCESO (" &amp; TEXT(limitePermitido, "0%") &amp; " máx)", "OK"))))</f>
        <v/>
      </c>
      <c r="AP866" s="79">
        <f>IF(AN866="","",IF(AE866=0,"OK",_xlfn.LET(fechaPago, Z866, fechaFactura, R866, diasCredito, IF(E866="Pago inmediato", 0, IFERROR(VALUE(MID(E866, 1, SEARCH(" ", E866)-1)),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66" s="79">
        <f>IF(AN866="","",IF(AND(N866&gt;0, AG866&gt;0), IF(Configuración!$K$2="NO", "ALERTA: DESCUENTO DOBLE NO PERMITIDO", "OK"), "OK"))</f>
        <v/>
      </c>
      <c r="AR866" s="79">
        <f>IF(AN866="","",IF(OR(AO866&lt;&gt;"OK", AP866&lt;&gt;"OK", AQ866&lt;&gt;"OK"), "⚠️ REVISAR", "OK"))</f>
        <v/>
      </c>
    </row>
    <row r="867">
      <c r="A867" s="79">
        <f>IF('Ordenes_Odoo'!A867="","",'Ordenes_Odoo'!A867)</f>
        <v/>
      </c>
      <c r="B867" s="80">
        <f>IF('Ordenes_Odoo'!B867="","",'Ordenes_Odoo'!B867)</f>
        <v/>
      </c>
      <c r="C867" s="79">
        <f>IF('Ordenes_Odoo'!C867="","",'Ordenes_Odoo'!C867)</f>
        <v/>
      </c>
      <c r="D867" s="79">
        <f>IF('Ordenes_Odoo'!D867="","",'Ordenes_Odoo'!D867)</f>
        <v/>
      </c>
      <c r="E867" s="79">
        <f>IF('Ordenes_Odoo'!E867="","",'Ordenes_Odoo'!E867)</f>
        <v/>
      </c>
      <c r="F867" s="79">
        <f>IF('Ordenes_Odoo'!F867="","",'Ordenes_Odoo'!F867)</f>
        <v/>
      </c>
      <c r="G867" s="79">
        <f>IF('Ordenes_Odoo'!G867="","",'Ordenes_Odoo'!G867)</f>
        <v/>
      </c>
      <c r="H867" s="79">
        <f>IF('Ordenes_Odoo'!H867="","",'Ordenes_Odoo'!H867)</f>
        <v/>
      </c>
      <c r="I867" s="79">
        <f>IF('Ordenes_Odoo'!I867="","",'Ordenes_Odoo'!I867)</f>
        <v/>
      </c>
      <c r="J867" s="79">
        <f>IF('Ordenes_Odoo'!J867="","",'Ordenes_Odoo'!J867)</f>
        <v/>
      </c>
      <c r="K867" s="81">
        <f>IF('Ordenes_Odoo'!K867="","",'Ordenes_Odoo'!K867)</f>
        <v/>
      </c>
      <c r="L867" s="81">
        <f>IF('Ordenes_Odoo'!L867="","",'Ordenes_Odoo'!L867)</f>
        <v/>
      </c>
      <c r="M867" s="79">
        <f>IF('Ordenes_Odoo'!M867="","",'Ordenes_Odoo'!M867)</f>
        <v/>
      </c>
      <c r="N867" s="79">
        <f>IF('Ordenes_Odoo'!N867="","",'Ordenes_Odoo'!N867)</f>
        <v/>
      </c>
      <c r="O867" s="81">
        <f>IF('Ordenes_Odoo'!O867="","",'Ordenes_Odoo'!O867)</f>
        <v/>
      </c>
      <c r="P867" s="81">
        <f>IF('Ordenes_Odoo'!P867="","",'Ordenes_Odoo'!P867)</f>
        <v/>
      </c>
      <c r="Q867" s="79">
        <f>IF(A867="","",IFERROR(INDEX(Facturas_Odoo!$B:$B, MATCH(A867, Facturas_Odoo!$D:$D, 0)), "Sin Factura"))</f>
        <v/>
      </c>
      <c r="R867" s="80">
        <f>IF(Q867="Sin Factura","",IFERROR(INDEX(Facturas_Odoo!$A:$A, MATCH(Q867, Facturas_Odoo!$B:$B, 0)), ""))</f>
        <v/>
      </c>
      <c r="S867" s="79">
        <f>IF(Q867="Sin Factura","",IFERROR(_xlfn.XLOOKUP(1, (Facturas_Odoo!$D:$D=A867) * (Facturas_Odoo!$K:$K=I867), Facturas_Odoo!$L:$L, ""), ""))</f>
        <v/>
      </c>
      <c r="T867" s="81">
        <f>IF(Q867="Sin Factura",0,IFERROR(_xlfn.XLOOKUP(1, (Facturas_Odoo!$D:$D=A867) * (Facturas_Odoo!$K:$K=I867), Facturas_Odoo!$M:$M, 0), 0))</f>
        <v/>
      </c>
      <c r="U867" s="79">
        <f>IF(Q867="Sin Factura",0,IFERROR(_xlfn.XLOOKUP(1, (Facturas_Odoo!$D:$D=A867) * (Facturas_Odoo!$K:$K=I867), Facturas_Odoo!$N:$N, 0), 0))</f>
        <v/>
      </c>
      <c r="V867" s="79">
        <f>IF(Q867="Sin Factura",0,IFERROR(_xlfn.XLOOKUP(1, (Facturas_Odoo!$D:$D=A867) * (Facturas_Odoo!$K:$K=I867), Facturas_Odoo!$O:$O, 0), 0))</f>
        <v/>
      </c>
      <c r="W867" s="81">
        <f>IF(Q867="Sin Factura",0,IFERROR(_xlfn.XLOOKUP(1, (Facturas_Odoo!$D:$D=A867) * (Facturas_Odoo!$K:$K=I867), Facturas_Odoo!$Q:$Q, 0), 0))</f>
        <v/>
      </c>
      <c r="X867" s="79">
        <f>IF(OR(Q867="Sin Factura",Q867=""),"",IFERROR(INDEX(Pagos_Odoo!$B:$B, MATCH(Q867, Pagos_Odoo!$I:$I, 0)), "Sin Pago"))</f>
        <v/>
      </c>
      <c r="Y867" s="79">
        <f>IF(X867="Sin Pago","",IFERROR(INDEX(Pagos_Odoo!$C:$C, MATCH(X867, Pagos_Odoo!$B:$B, 0)), ""))</f>
        <v/>
      </c>
      <c r="Z867" s="80">
        <f>IF(X867="Sin Pago","",IFERROR(INDEX(Pagos_Odoo!$A:$A, MATCH(X867, Pagos_Odoo!$B:$B, 0)), ""))</f>
        <v/>
      </c>
      <c r="AA867" s="79">
        <f>IF(X867="Sin Pago","",IFERROR(INDEX(Pagos_Odoo!$F:$F, MATCH(X867, Pagos_Odoo!$B:$B, 0)), ""))</f>
        <v/>
      </c>
      <c r="AB867" s="81">
        <f>IF(X867="Sin Pago",0,IFERROR(INDEX(Pagos_Odoo!$E:$E, MATCH(X867, Pagos_Odoo!$B:$B, 0)), 0))</f>
        <v/>
      </c>
      <c r="AC867" s="79">
        <f>IF(X867="Sin Pago","",IFERROR(INDEX(Pagos_Odoo!$G:$G, MATCH(X867, Pagos_Odoo!$B:$B, 0)), ""))</f>
        <v/>
      </c>
      <c r="AD867" s="82" t="n">
        <v>0</v>
      </c>
      <c r="AE867" s="82" t="n"/>
      <c r="AF867" s="82" t="n"/>
      <c r="AG867" s="82">
        <f>IF(AN867="","",AD867+AE867+AF867)</f>
        <v/>
      </c>
      <c r="AH867" s="81">
        <f>IF(AN867="","",P867*(1-AG867))</f>
        <v/>
      </c>
      <c r="AI867" s="81">
        <f>IF(AN867="","",IF(Q867="Sin Factura",0,IFERROR(INDEX(Facturas_Odoo!$H:$H, MATCH(Q867, Facturas_Odoo!$B:$B, 0)), 0)*(1-AG867)))</f>
        <v/>
      </c>
      <c r="AJ867" s="81">
        <f>IF(AN867="","",_xlfn.LET(idVenta, AN867&amp;"",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67" s="81">
        <f>IF(AN867="","",AH867-AJ867)</f>
        <v/>
      </c>
      <c r="AL867" s="81">
        <f>IF(AN867="","",IF(Q867="Sin Factura","",AI867-AJ867))</f>
        <v/>
      </c>
      <c r="AM867" s="81">
        <f>IF(AN867="","",IF(Q867="Sin Factura",0,P867-IFERROR(INDEX(Facturas_Odoo!$H:$H, MATCH(Q867, Facturas_Odoo!$B:$B, 0)), 0)))</f>
        <v/>
      </c>
      <c r="AN867" s="79">
        <f>IF(AND(A867="", J867=""), "", IF(A867&lt;&gt;"", VALUE(MID(A867,2,LEN(A867))), AN866))</f>
        <v/>
      </c>
      <c r="AO867" s="79">
        <f>IF(AN867="","",IF(AD867=0,"OK",_xlfn.LET(monedaPago, IF(AA867="","USD",AA867), limitePermitido, IFERROR(VLOOKUP(monedaPago, Configuración!$A$2:$B$3, 2, FALSE), 0.15), IF(AD867&gt;limitePermitido, "ALERTA: EXCESO (" &amp; TEXT(limitePermitido, "0%") &amp; " máx)", "OK"))))</f>
        <v/>
      </c>
      <c r="AP867" s="79">
        <f>IF(AN867="","",IF(AE867=0,"OK",_xlfn.LET(fechaPago, Z867, fechaFactura, R867, diasCredito, IF(E867="Pago inmediato", 0, IFERROR(VALUE(MID(E867, 1, SEARCH(" ", E867)-1)),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67" s="79">
        <f>IF(AN867="","",IF(AND(N867&gt;0, AG867&gt;0), IF(Configuración!$K$2="NO", "ALERTA: DESCUENTO DOBLE NO PERMITIDO", "OK"), "OK"))</f>
        <v/>
      </c>
      <c r="AR867" s="79">
        <f>IF(AN867="","",IF(OR(AO867&lt;&gt;"OK", AP867&lt;&gt;"OK", AQ867&lt;&gt;"OK"), "⚠️ REVISAR", "OK"))</f>
        <v/>
      </c>
    </row>
    <row r="868">
      <c r="A868" s="79">
        <f>IF('Ordenes_Odoo'!A868="","",'Ordenes_Odoo'!A868)</f>
        <v/>
      </c>
      <c r="B868" s="80">
        <f>IF('Ordenes_Odoo'!B868="","",'Ordenes_Odoo'!B868)</f>
        <v/>
      </c>
      <c r="C868" s="79">
        <f>IF('Ordenes_Odoo'!C868="","",'Ordenes_Odoo'!C868)</f>
        <v/>
      </c>
      <c r="D868" s="79">
        <f>IF('Ordenes_Odoo'!D868="","",'Ordenes_Odoo'!D868)</f>
        <v/>
      </c>
      <c r="E868" s="79">
        <f>IF('Ordenes_Odoo'!E868="","",'Ordenes_Odoo'!E868)</f>
        <v/>
      </c>
      <c r="F868" s="79">
        <f>IF('Ordenes_Odoo'!F868="","",'Ordenes_Odoo'!F868)</f>
        <v/>
      </c>
      <c r="G868" s="79">
        <f>IF('Ordenes_Odoo'!G868="","",'Ordenes_Odoo'!G868)</f>
        <v/>
      </c>
      <c r="H868" s="79">
        <f>IF('Ordenes_Odoo'!H868="","",'Ordenes_Odoo'!H868)</f>
        <v/>
      </c>
      <c r="I868" s="79">
        <f>IF('Ordenes_Odoo'!I868="","",'Ordenes_Odoo'!I868)</f>
        <v/>
      </c>
      <c r="J868" s="79">
        <f>IF('Ordenes_Odoo'!J868="","",'Ordenes_Odoo'!J868)</f>
        <v/>
      </c>
      <c r="K868" s="81">
        <f>IF('Ordenes_Odoo'!K868="","",'Ordenes_Odoo'!K868)</f>
        <v/>
      </c>
      <c r="L868" s="81">
        <f>IF('Ordenes_Odoo'!L868="","",'Ordenes_Odoo'!L868)</f>
        <v/>
      </c>
      <c r="M868" s="79">
        <f>IF('Ordenes_Odoo'!M868="","",'Ordenes_Odoo'!M868)</f>
        <v/>
      </c>
      <c r="N868" s="79">
        <f>IF('Ordenes_Odoo'!N868="","",'Ordenes_Odoo'!N868)</f>
        <v/>
      </c>
      <c r="O868" s="81">
        <f>IF('Ordenes_Odoo'!O868="","",'Ordenes_Odoo'!O868)</f>
        <v/>
      </c>
      <c r="P868" s="81">
        <f>IF('Ordenes_Odoo'!P868="","",'Ordenes_Odoo'!P868)</f>
        <v/>
      </c>
      <c r="Q868" s="79">
        <f>IF(A868="","",IFERROR(INDEX(Facturas_Odoo!$B:$B, MATCH(A868, Facturas_Odoo!$D:$D, 0)), "Sin Factura"))</f>
        <v/>
      </c>
      <c r="R868" s="80">
        <f>IF(Q868="Sin Factura","",IFERROR(INDEX(Facturas_Odoo!$A:$A, MATCH(Q868, Facturas_Odoo!$B:$B, 0)), ""))</f>
        <v/>
      </c>
      <c r="S868" s="79">
        <f>IF(Q868="Sin Factura","",IFERROR(_xlfn.XLOOKUP(1, (Facturas_Odoo!$D:$D=A868) * (Facturas_Odoo!$K:$K=I868), Facturas_Odoo!$L:$L, ""), ""))</f>
        <v/>
      </c>
      <c r="T868" s="81">
        <f>IF(Q868="Sin Factura",0,IFERROR(_xlfn.XLOOKUP(1, (Facturas_Odoo!$D:$D=A868) * (Facturas_Odoo!$K:$K=I868), Facturas_Odoo!$M:$M, 0), 0))</f>
        <v/>
      </c>
      <c r="U868" s="79">
        <f>IF(Q868="Sin Factura",0,IFERROR(_xlfn.XLOOKUP(1, (Facturas_Odoo!$D:$D=A868) * (Facturas_Odoo!$K:$K=I868), Facturas_Odoo!$N:$N, 0), 0))</f>
        <v/>
      </c>
      <c r="V868" s="79">
        <f>IF(Q868="Sin Factura",0,IFERROR(_xlfn.XLOOKUP(1, (Facturas_Odoo!$D:$D=A868) * (Facturas_Odoo!$K:$K=I868), Facturas_Odoo!$O:$O, 0), 0))</f>
        <v/>
      </c>
      <c r="W868" s="81">
        <f>IF(Q868="Sin Factura",0,IFERROR(_xlfn.XLOOKUP(1, (Facturas_Odoo!$D:$D=A868) * (Facturas_Odoo!$K:$K=I868), Facturas_Odoo!$Q:$Q, 0), 0))</f>
        <v/>
      </c>
      <c r="X868" s="79">
        <f>IF(OR(Q868="Sin Factura",Q868=""),"",IFERROR(INDEX(Pagos_Odoo!$B:$B, MATCH(Q868, Pagos_Odoo!$I:$I, 0)), "Sin Pago"))</f>
        <v/>
      </c>
      <c r="Y868" s="79">
        <f>IF(X868="Sin Pago","",IFERROR(INDEX(Pagos_Odoo!$C:$C, MATCH(X868, Pagos_Odoo!$B:$B, 0)), ""))</f>
        <v/>
      </c>
      <c r="Z868" s="80">
        <f>IF(X868="Sin Pago","",IFERROR(INDEX(Pagos_Odoo!$A:$A, MATCH(X868, Pagos_Odoo!$B:$B, 0)), ""))</f>
        <v/>
      </c>
      <c r="AA868" s="79">
        <f>IF(X868="Sin Pago","",IFERROR(INDEX(Pagos_Odoo!$F:$F, MATCH(X868, Pagos_Odoo!$B:$B, 0)), ""))</f>
        <v/>
      </c>
      <c r="AB868" s="81">
        <f>IF(X868="Sin Pago",0,IFERROR(INDEX(Pagos_Odoo!$E:$E, MATCH(X868, Pagos_Odoo!$B:$B, 0)), 0))</f>
        <v/>
      </c>
      <c r="AC868" s="79">
        <f>IF(X868="Sin Pago","",IFERROR(INDEX(Pagos_Odoo!$G:$G, MATCH(X868, Pagos_Odoo!$B:$B, 0)), ""))</f>
        <v/>
      </c>
      <c r="AD868" s="82" t="n">
        <v>0</v>
      </c>
      <c r="AE868" s="82" t="n"/>
      <c r="AF868" s="82" t="n"/>
      <c r="AG868" s="82">
        <f>IF(AN868="","",AD868+AE868+AF868)</f>
        <v/>
      </c>
      <c r="AH868" s="81">
        <f>IF(AN868="","",P868*(1-AG868))</f>
        <v/>
      </c>
      <c r="AI868" s="81">
        <f>IF(AN868="","",IF(Q868="Sin Factura",0,IFERROR(INDEX(Facturas_Odoo!$H:$H, MATCH(Q868, Facturas_Odoo!$B:$B, 0)), 0)*(1-AG868)))</f>
        <v/>
      </c>
      <c r="AJ868" s="81">
        <f>IF(AN868="","",_xlfn.LET(idVenta, AN868&amp;"",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68" s="81">
        <f>IF(AN868="","",AH868-AJ868)</f>
        <v/>
      </c>
      <c r="AL868" s="81">
        <f>IF(AN868="","",IF(Q868="Sin Factura","",AI868-AJ868))</f>
        <v/>
      </c>
      <c r="AM868" s="81">
        <f>IF(AN868="","",IF(Q868="Sin Factura",0,P868-IFERROR(INDEX(Facturas_Odoo!$H:$H, MATCH(Q868, Facturas_Odoo!$B:$B, 0)), 0)))</f>
        <v/>
      </c>
      <c r="AN868" s="79">
        <f>IF(AND(A868="", J868=""), "", IF(A868&lt;&gt;"", VALUE(MID(A868,2,LEN(A868))), AN867))</f>
        <v/>
      </c>
      <c r="AO868" s="79">
        <f>IF(AN868="","",IF(AD868=0,"OK",_xlfn.LET(monedaPago, IF(AA868="","USD",AA868), limitePermitido, IFERROR(VLOOKUP(monedaPago, Configuración!$A$2:$B$3, 2, FALSE), 0.15), IF(AD868&gt;limitePermitido, "ALERTA: EXCESO (" &amp; TEXT(limitePermitido, "0%") &amp; " máx)", "OK"))))</f>
        <v/>
      </c>
      <c r="AP868" s="79">
        <f>IF(AN868="","",IF(AE868=0,"OK",_xlfn.LET(fechaPago, Z868, fechaFactura, R868, diasCredito, IF(E868="Pago inmediato", 0, IFERROR(VALUE(MID(E868, 1, SEARCH(" ", E868)-1)),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68" s="79">
        <f>IF(AN868="","",IF(AND(N868&gt;0, AG868&gt;0), IF(Configuración!$K$2="NO", "ALERTA: DESCUENTO DOBLE NO PERMITIDO", "OK"), "OK"))</f>
        <v/>
      </c>
      <c r="AR868" s="79">
        <f>IF(AN868="","",IF(OR(AO868&lt;&gt;"OK", AP868&lt;&gt;"OK", AQ868&lt;&gt;"OK"), "⚠️ REVISAR", "OK"))</f>
        <v/>
      </c>
    </row>
    <row r="869">
      <c r="A869" s="79">
        <f>IF('Ordenes_Odoo'!A869="","",'Ordenes_Odoo'!A869)</f>
        <v/>
      </c>
      <c r="B869" s="80">
        <f>IF('Ordenes_Odoo'!B869="","",'Ordenes_Odoo'!B869)</f>
        <v/>
      </c>
      <c r="C869" s="79">
        <f>IF('Ordenes_Odoo'!C869="","",'Ordenes_Odoo'!C869)</f>
        <v/>
      </c>
      <c r="D869" s="79">
        <f>IF('Ordenes_Odoo'!D869="","",'Ordenes_Odoo'!D869)</f>
        <v/>
      </c>
      <c r="E869" s="79">
        <f>IF('Ordenes_Odoo'!E869="","",'Ordenes_Odoo'!E869)</f>
        <v/>
      </c>
      <c r="F869" s="79">
        <f>IF('Ordenes_Odoo'!F869="","",'Ordenes_Odoo'!F869)</f>
        <v/>
      </c>
      <c r="G869" s="79">
        <f>IF('Ordenes_Odoo'!G869="","",'Ordenes_Odoo'!G869)</f>
        <v/>
      </c>
      <c r="H869" s="79">
        <f>IF('Ordenes_Odoo'!H869="","",'Ordenes_Odoo'!H869)</f>
        <v/>
      </c>
      <c r="I869" s="79">
        <f>IF('Ordenes_Odoo'!I869="","",'Ordenes_Odoo'!I869)</f>
        <v/>
      </c>
      <c r="J869" s="79">
        <f>IF('Ordenes_Odoo'!J869="","",'Ordenes_Odoo'!J869)</f>
        <v/>
      </c>
      <c r="K869" s="81">
        <f>IF('Ordenes_Odoo'!K869="","",'Ordenes_Odoo'!K869)</f>
        <v/>
      </c>
      <c r="L869" s="81">
        <f>IF('Ordenes_Odoo'!L869="","",'Ordenes_Odoo'!L869)</f>
        <v/>
      </c>
      <c r="M869" s="79">
        <f>IF('Ordenes_Odoo'!M869="","",'Ordenes_Odoo'!M869)</f>
        <v/>
      </c>
      <c r="N869" s="79">
        <f>IF('Ordenes_Odoo'!N869="","",'Ordenes_Odoo'!N869)</f>
        <v/>
      </c>
      <c r="O869" s="81">
        <f>IF('Ordenes_Odoo'!O869="","",'Ordenes_Odoo'!O869)</f>
        <v/>
      </c>
      <c r="P869" s="81">
        <f>IF('Ordenes_Odoo'!P869="","",'Ordenes_Odoo'!P869)</f>
        <v/>
      </c>
      <c r="Q869" s="79">
        <f>IF(A869="","",IFERROR(INDEX(Facturas_Odoo!$B:$B, MATCH(A869, Facturas_Odoo!$D:$D, 0)), "Sin Factura"))</f>
        <v/>
      </c>
      <c r="R869" s="80">
        <f>IF(Q869="Sin Factura","",IFERROR(INDEX(Facturas_Odoo!$A:$A, MATCH(Q869, Facturas_Odoo!$B:$B, 0)), ""))</f>
        <v/>
      </c>
      <c r="S869" s="79">
        <f>IF(Q869="Sin Factura","",IFERROR(_xlfn.XLOOKUP(1, (Facturas_Odoo!$D:$D=A869) * (Facturas_Odoo!$K:$K=I869), Facturas_Odoo!$L:$L, ""), ""))</f>
        <v/>
      </c>
      <c r="T869" s="81">
        <f>IF(Q869="Sin Factura",0,IFERROR(_xlfn.XLOOKUP(1, (Facturas_Odoo!$D:$D=A869) * (Facturas_Odoo!$K:$K=I869), Facturas_Odoo!$M:$M, 0), 0))</f>
        <v/>
      </c>
      <c r="U869" s="79">
        <f>IF(Q869="Sin Factura",0,IFERROR(_xlfn.XLOOKUP(1, (Facturas_Odoo!$D:$D=A869) * (Facturas_Odoo!$K:$K=I869), Facturas_Odoo!$N:$N, 0), 0))</f>
        <v/>
      </c>
      <c r="V869" s="79">
        <f>IF(Q869="Sin Factura",0,IFERROR(_xlfn.XLOOKUP(1, (Facturas_Odoo!$D:$D=A869) * (Facturas_Odoo!$K:$K=I869), Facturas_Odoo!$O:$O, 0), 0))</f>
        <v/>
      </c>
      <c r="W869" s="81">
        <f>IF(Q869="Sin Factura",0,IFERROR(_xlfn.XLOOKUP(1, (Facturas_Odoo!$D:$D=A869) * (Facturas_Odoo!$K:$K=I869), Facturas_Odoo!$Q:$Q, 0), 0))</f>
        <v/>
      </c>
      <c r="X869" s="79">
        <f>IF(OR(Q869="Sin Factura",Q869=""),"",IFERROR(INDEX(Pagos_Odoo!$B:$B, MATCH(Q869, Pagos_Odoo!$I:$I, 0)), "Sin Pago"))</f>
        <v/>
      </c>
      <c r="Y869" s="79">
        <f>IF(X869="Sin Pago","",IFERROR(INDEX(Pagos_Odoo!$C:$C, MATCH(X869, Pagos_Odoo!$B:$B, 0)), ""))</f>
        <v/>
      </c>
      <c r="Z869" s="80">
        <f>IF(X869="Sin Pago","",IFERROR(INDEX(Pagos_Odoo!$A:$A, MATCH(X869, Pagos_Odoo!$B:$B, 0)), ""))</f>
        <v/>
      </c>
      <c r="AA869" s="79">
        <f>IF(X869="Sin Pago","",IFERROR(INDEX(Pagos_Odoo!$F:$F, MATCH(X869, Pagos_Odoo!$B:$B, 0)), ""))</f>
        <v/>
      </c>
      <c r="AB869" s="81">
        <f>IF(X869="Sin Pago",0,IFERROR(INDEX(Pagos_Odoo!$E:$E, MATCH(X869, Pagos_Odoo!$B:$B, 0)), 0))</f>
        <v/>
      </c>
      <c r="AC869" s="79">
        <f>IF(X869="Sin Pago","",IFERROR(INDEX(Pagos_Odoo!$G:$G, MATCH(X869, Pagos_Odoo!$B:$B, 0)), ""))</f>
        <v/>
      </c>
      <c r="AD869" s="82" t="n">
        <v>0</v>
      </c>
      <c r="AE869" s="82" t="n"/>
      <c r="AF869" s="82" t="n"/>
      <c r="AG869" s="82">
        <f>IF(AN869="","",AD869+AE869+AF869)</f>
        <v/>
      </c>
      <c r="AH869" s="81">
        <f>IF(AN869="","",P869*(1-AG869))</f>
        <v/>
      </c>
      <c r="AI869" s="81">
        <f>IF(AN869="","",IF(Q869="Sin Factura",0,IFERROR(INDEX(Facturas_Odoo!$H:$H, MATCH(Q869, Facturas_Odoo!$B:$B, 0)), 0)*(1-AG869)))</f>
        <v/>
      </c>
      <c r="AJ869" s="81">
        <f>IF(AN869="","",_xlfn.LET(idVenta, AN869&amp;"",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69" s="81">
        <f>IF(AN869="","",AH869-AJ869)</f>
        <v/>
      </c>
      <c r="AL869" s="81">
        <f>IF(AN869="","",IF(Q869="Sin Factura","",AI869-AJ869))</f>
        <v/>
      </c>
      <c r="AM869" s="81">
        <f>IF(AN869="","",IF(Q869="Sin Factura",0,P869-IFERROR(INDEX(Facturas_Odoo!$H:$H, MATCH(Q869, Facturas_Odoo!$B:$B, 0)), 0)))</f>
        <v/>
      </c>
      <c r="AN869" s="79">
        <f>IF(AND(A869="", J869=""), "", IF(A869&lt;&gt;"", VALUE(MID(A869,2,LEN(A869))), AN868))</f>
        <v/>
      </c>
      <c r="AO869" s="79">
        <f>IF(AN869="","",IF(AD869=0,"OK",_xlfn.LET(monedaPago, IF(AA869="","USD",AA869), limitePermitido, IFERROR(VLOOKUP(monedaPago, Configuración!$A$2:$B$3, 2, FALSE), 0.15), IF(AD869&gt;limitePermitido, "ALERTA: EXCESO (" &amp; TEXT(limitePermitido, "0%") &amp; " máx)", "OK"))))</f>
        <v/>
      </c>
      <c r="AP869" s="79">
        <f>IF(AN869="","",IF(AE869=0,"OK",_xlfn.LET(fechaPago, Z869, fechaFactura, R869, diasCredito, IF(E869="Pago inmediato", 0, IFERROR(VALUE(MID(E869, 1, SEARCH(" ", E869)-1)),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69" s="79">
        <f>IF(AN869="","",IF(AND(N869&gt;0, AG869&gt;0), IF(Configuración!$K$2="NO", "ALERTA: DESCUENTO DOBLE NO PERMITIDO", "OK"), "OK"))</f>
        <v/>
      </c>
      <c r="AR869" s="79">
        <f>IF(AN869="","",IF(OR(AO869&lt;&gt;"OK", AP869&lt;&gt;"OK", AQ869&lt;&gt;"OK"), "⚠️ REVISAR", "OK"))</f>
        <v/>
      </c>
    </row>
    <row r="870">
      <c r="A870" s="79">
        <f>IF('Ordenes_Odoo'!A870="","",'Ordenes_Odoo'!A870)</f>
        <v/>
      </c>
      <c r="B870" s="80">
        <f>IF('Ordenes_Odoo'!B870="","",'Ordenes_Odoo'!B870)</f>
        <v/>
      </c>
      <c r="C870" s="79">
        <f>IF('Ordenes_Odoo'!C870="","",'Ordenes_Odoo'!C870)</f>
        <v/>
      </c>
      <c r="D870" s="79">
        <f>IF('Ordenes_Odoo'!D870="","",'Ordenes_Odoo'!D870)</f>
        <v/>
      </c>
      <c r="E870" s="79">
        <f>IF('Ordenes_Odoo'!E870="","",'Ordenes_Odoo'!E870)</f>
        <v/>
      </c>
      <c r="F870" s="79">
        <f>IF('Ordenes_Odoo'!F870="","",'Ordenes_Odoo'!F870)</f>
        <v/>
      </c>
      <c r="G870" s="79">
        <f>IF('Ordenes_Odoo'!G870="","",'Ordenes_Odoo'!G870)</f>
        <v/>
      </c>
      <c r="H870" s="79">
        <f>IF('Ordenes_Odoo'!H870="","",'Ordenes_Odoo'!H870)</f>
        <v/>
      </c>
      <c r="I870" s="79">
        <f>IF('Ordenes_Odoo'!I870="","",'Ordenes_Odoo'!I870)</f>
        <v/>
      </c>
      <c r="J870" s="79">
        <f>IF('Ordenes_Odoo'!J870="","",'Ordenes_Odoo'!J870)</f>
        <v/>
      </c>
      <c r="K870" s="81">
        <f>IF('Ordenes_Odoo'!K870="","",'Ordenes_Odoo'!K870)</f>
        <v/>
      </c>
      <c r="L870" s="81">
        <f>IF('Ordenes_Odoo'!L870="","",'Ordenes_Odoo'!L870)</f>
        <v/>
      </c>
      <c r="M870" s="79">
        <f>IF('Ordenes_Odoo'!M870="","",'Ordenes_Odoo'!M870)</f>
        <v/>
      </c>
      <c r="N870" s="79">
        <f>IF('Ordenes_Odoo'!N870="","",'Ordenes_Odoo'!N870)</f>
        <v/>
      </c>
      <c r="O870" s="81">
        <f>IF('Ordenes_Odoo'!O870="","",'Ordenes_Odoo'!O870)</f>
        <v/>
      </c>
      <c r="P870" s="81">
        <f>IF('Ordenes_Odoo'!P870="","",'Ordenes_Odoo'!P870)</f>
        <v/>
      </c>
      <c r="Q870" s="79">
        <f>IF(A870="","",IFERROR(INDEX(Facturas_Odoo!$B:$B, MATCH(A870, Facturas_Odoo!$D:$D, 0)), "Sin Factura"))</f>
        <v/>
      </c>
      <c r="R870" s="80">
        <f>IF(Q870="Sin Factura","",IFERROR(INDEX(Facturas_Odoo!$A:$A, MATCH(Q870, Facturas_Odoo!$B:$B, 0)), ""))</f>
        <v/>
      </c>
      <c r="S870" s="79">
        <f>IF(Q870="Sin Factura","",IFERROR(_xlfn.XLOOKUP(1, (Facturas_Odoo!$D:$D=A870) * (Facturas_Odoo!$K:$K=I870), Facturas_Odoo!$L:$L, ""), ""))</f>
        <v/>
      </c>
      <c r="T870" s="81">
        <f>IF(Q870="Sin Factura",0,IFERROR(_xlfn.XLOOKUP(1, (Facturas_Odoo!$D:$D=A870) * (Facturas_Odoo!$K:$K=I870), Facturas_Odoo!$M:$M, 0), 0))</f>
        <v/>
      </c>
      <c r="U870" s="79">
        <f>IF(Q870="Sin Factura",0,IFERROR(_xlfn.XLOOKUP(1, (Facturas_Odoo!$D:$D=A870) * (Facturas_Odoo!$K:$K=I870), Facturas_Odoo!$N:$N, 0), 0))</f>
        <v/>
      </c>
      <c r="V870" s="79">
        <f>IF(Q870="Sin Factura",0,IFERROR(_xlfn.XLOOKUP(1, (Facturas_Odoo!$D:$D=A870) * (Facturas_Odoo!$K:$K=I870), Facturas_Odoo!$O:$O, 0), 0))</f>
        <v/>
      </c>
      <c r="W870" s="81">
        <f>IF(Q870="Sin Factura",0,IFERROR(_xlfn.XLOOKUP(1, (Facturas_Odoo!$D:$D=A870) * (Facturas_Odoo!$K:$K=I870), Facturas_Odoo!$Q:$Q, 0), 0))</f>
        <v/>
      </c>
      <c r="X870" s="79">
        <f>IF(OR(Q870="Sin Factura",Q870=""),"",IFERROR(INDEX(Pagos_Odoo!$B:$B, MATCH(Q870, Pagos_Odoo!$I:$I, 0)), "Sin Pago"))</f>
        <v/>
      </c>
      <c r="Y870" s="79">
        <f>IF(X870="Sin Pago","",IFERROR(INDEX(Pagos_Odoo!$C:$C, MATCH(X870, Pagos_Odoo!$B:$B, 0)), ""))</f>
        <v/>
      </c>
      <c r="Z870" s="80">
        <f>IF(X870="Sin Pago","",IFERROR(INDEX(Pagos_Odoo!$A:$A, MATCH(X870, Pagos_Odoo!$B:$B, 0)), ""))</f>
        <v/>
      </c>
      <c r="AA870" s="79">
        <f>IF(X870="Sin Pago","",IFERROR(INDEX(Pagos_Odoo!$F:$F, MATCH(X870, Pagos_Odoo!$B:$B, 0)), ""))</f>
        <v/>
      </c>
      <c r="AB870" s="81">
        <f>IF(X870="Sin Pago",0,IFERROR(INDEX(Pagos_Odoo!$E:$E, MATCH(X870, Pagos_Odoo!$B:$B, 0)), 0))</f>
        <v/>
      </c>
      <c r="AC870" s="79">
        <f>IF(X870="Sin Pago","",IFERROR(INDEX(Pagos_Odoo!$G:$G, MATCH(X870, Pagos_Odoo!$B:$B, 0)), ""))</f>
        <v/>
      </c>
      <c r="AD870" s="82" t="n">
        <v>0</v>
      </c>
      <c r="AE870" s="82" t="n"/>
      <c r="AF870" s="82" t="n"/>
      <c r="AG870" s="82">
        <f>IF(AN870="","",AD870+AE870+AF870)</f>
        <v/>
      </c>
      <c r="AH870" s="81">
        <f>IF(AN870="","",P870*(1-AG870))</f>
        <v/>
      </c>
      <c r="AI870" s="81">
        <f>IF(AN870="","",IF(Q870="Sin Factura",0,IFERROR(INDEX(Facturas_Odoo!$H:$H, MATCH(Q870, Facturas_Odoo!$B:$B, 0)), 0)*(1-AG870)))</f>
        <v/>
      </c>
      <c r="AJ870" s="81">
        <f>IF(AN870="","",_xlfn.LET(idVenta, AN870&amp;"",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70" s="81">
        <f>IF(AN870="","",AH870-AJ870)</f>
        <v/>
      </c>
      <c r="AL870" s="81">
        <f>IF(AN870="","",IF(Q870="Sin Factura","",AI870-AJ870))</f>
        <v/>
      </c>
      <c r="AM870" s="81">
        <f>IF(AN870="","",IF(Q870="Sin Factura",0,P870-IFERROR(INDEX(Facturas_Odoo!$H:$H, MATCH(Q870, Facturas_Odoo!$B:$B, 0)), 0)))</f>
        <v/>
      </c>
      <c r="AN870" s="79">
        <f>IF(AND(A870="", J870=""), "", IF(A870&lt;&gt;"", VALUE(MID(A870,2,LEN(A870))), AN869))</f>
        <v/>
      </c>
      <c r="AO870" s="79">
        <f>IF(AN870="","",IF(AD870=0,"OK",_xlfn.LET(monedaPago, IF(AA870="","USD",AA870), limitePermitido, IFERROR(VLOOKUP(monedaPago, Configuración!$A$2:$B$3, 2, FALSE), 0.15), IF(AD870&gt;limitePermitido, "ALERTA: EXCESO (" &amp; TEXT(limitePermitido, "0%") &amp; " máx)", "OK"))))</f>
        <v/>
      </c>
      <c r="AP870" s="79">
        <f>IF(AN870="","",IF(AE870=0,"OK",_xlfn.LET(fechaPago, Z870, fechaFactura, R870, diasCredito, IF(E870="Pago inmediato", 0, IFERROR(VALUE(MID(E870, 1, SEARCH(" ", E870)-1)),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70" s="79">
        <f>IF(AN870="","",IF(AND(N870&gt;0, AG870&gt;0), IF(Configuración!$K$2="NO", "ALERTA: DESCUENTO DOBLE NO PERMITIDO", "OK"), "OK"))</f>
        <v/>
      </c>
      <c r="AR870" s="79">
        <f>IF(AN870="","",IF(OR(AO870&lt;&gt;"OK", AP870&lt;&gt;"OK", AQ870&lt;&gt;"OK"), "⚠️ REVISAR", "OK"))</f>
        <v/>
      </c>
    </row>
    <row r="871">
      <c r="A871" s="79">
        <f>IF('Ordenes_Odoo'!A871="","",'Ordenes_Odoo'!A871)</f>
        <v/>
      </c>
      <c r="B871" s="80">
        <f>IF('Ordenes_Odoo'!B871="","",'Ordenes_Odoo'!B871)</f>
        <v/>
      </c>
      <c r="C871" s="79">
        <f>IF('Ordenes_Odoo'!C871="","",'Ordenes_Odoo'!C871)</f>
        <v/>
      </c>
      <c r="D871" s="79">
        <f>IF('Ordenes_Odoo'!D871="","",'Ordenes_Odoo'!D871)</f>
        <v/>
      </c>
      <c r="E871" s="79">
        <f>IF('Ordenes_Odoo'!E871="","",'Ordenes_Odoo'!E871)</f>
        <v/>
      </c>
      <c r="F871" s="79">
        <f>IF('Ordenes_Odoo'!F871="","",'Ordenes_Odoo'!F871)</f>
        <v/>
      </c>
      <c r="G871" s="79">
        <f>IF('Ordenes_Odoo'!G871="","",'Ordenes_Odoo'!G871)</f>
        <v/>
      </c>
      <c r="H871" s="79">
        <f>IF('Ordenes_Odoo'!H871="","",'Ordenes_Odoo'!H871)</f>
        <v/>
      </c>
      <c r="I871" s="79">
        <f>IF('Ordenes_Odoo'!I871="","",'Ordenes_Odoo'!I871)</f>
        <v/>
      </c>
      <c r="J871" s="79">
        <f>IF('Ordenes_Odoo'!J871="","",'Ordenes_Odoo'!J871)</f>
        <v/>
      </c>
      <c r="K871" s="81">
        <f>IF('Ordenes_Odoo'!K871="","",'Ordenes_Odoo'!K871)</f>
        <v/>
      </c>
      <c r="L871" s="81">
        <f>IF('Ordenes_Odoo'!L871="","",'Ordenes_Odoo'!L871)</f>
        <v/>
      </c>
      <c r="M871" s="79">
        <f>IF('Ordenes_Odoo'!M871="","",'Ordenes_Odoo'!M871)</f>
        <v/>
      </c>
      <c r="N871" s="79">
        <f>IF('Ordenes_Odoo'!N871="","",'Ordenes_Odoo'!N871)</f>
        <v/>
      </c>
      <c r="O871" s="81">
        <f>IF('Ordenes_Odoo'!O871="","",'Ordenes_Odoo'!O871)</f>
        <v/>
      </c>
      <c r="P871" s="81">
        <f>IF('Ordenes_Odoo'!P871="","",'Ordenes_Odoo'!P871)</f>
        <v/>
      </c>
      <c r="Q871" s="79">
        <f>IF(A871="","",IFERROR(INDEX(Facturas_Odoo!$B:$B, MATCH(A871, Facturas_Odoo!$D:$D, 0)), "Sin Factura"))</f>
        <v/>
      </c>
      <c r="R871" s="80">
        <f>IF(Q871="Sin Factura","",IFERROR(INDEX(Facturas_Odoo!$A:$A, MATCH(Q871, Facturas_Odoo!$B:$B, 0)), ""))</f>
        <v/>
      </c>
      <c r="S871" s="79">
        <f>IF(Q871="Sin Factura","",IFERROR(_xlfn.XLOOKUP(1, (Facturas_Odoo!$D:$D=A871) * (Facturas_Odoo!$K:$K=I871), Facturas_Odoo!$L:$L, ""), ""))</f>
        <v/>
      </c>
      <c r="T871" s="81">
        <f>IF(Q871="Sin Factura",0,IFERROR(_xlfn.XLOOKUP(1, (Facturas_Odoo!$D:$D=A871) * (Facturas_Odoo!$K:$K=I871), Facturas_Odoo!$M:$M, 0), 0))</f>
        <v/>
      </c>
      <c r="U871" s="79">
        <f>IF(Q871="Sin Factura",0,IFERROR(_xlfn.XLOOKUP(1, (Facturas_Odoo!$D:$D=A871) * (Facturas_Odoo!$K:$K=I871), Facturas_Odoo!$N:$N, 0), 0))</f>
        <v/>
      </c>
      <c r="V871" s="79">
        <f>IF(Q871="Sin Factura",0,IFERROR(_xlfn.XLOOKUP(1, (Facturas_Odoo!$D:$D=A871) * (Facturas_Odoo!$K:$K=I871), Facturas_Odoo!$O:$O, 0), 0))</f>
        <v/>
      </c>
      <c r="W871" s="81">
        <f>IF(Q871="Sin Factura",0,IFERROR(_xlfn.XLOOKUP(1, (Facturas_Odoo!$D:$D=A871) * (Facturas_Odoo!$K:$K=I871), Facturas_Odoo!$Q:$Q, 0), 0))</f>
        <v/>
      </c>
      <c r="X871" s="79">
        <f>IF(OR(Q871="Sin Factura",Q871=""),"",IFERROR(INDEX(Pagos_Odoo!$B:$B, MATCH(Q871, Pagos_Odoo!$I:$I, 0)), "Sin Pago"))</f>
        <v/>
      </c>
      <c r="Y871" s="79">
        <f>IF(X871="Sin Pago","",IFERROR(INDEX(Pagos_Odoo!$C:$C, MATCH(X871, Pagos_Odoo!$B:$B, 0)), ""))</f>
        <v/>
      </c>
      <c r="Z871" s="80">
        <f>IF(X871="Sin Pago","",IFERROR(INDEX(Pagos_Odoo!$A:$A, MATCH(X871, Pagos_Odoo!$B:$B, 0)), ""))</f>
        <v/>
      </c>
      <c r="AA871" s="79">
        <f>IF(X871="Sin Pago","",IFERROR(INDEX(Pagos_Odoo!$F:$F, MATCH(X871, Pagos_Odoo!$B:$B, 0)), ""))</f>
        <v/>
      </c>
      <c r="AB871" s="81">
        <f>IF(X871="Sin Pago",0,IFERROR(INDEX(Pagos_Odoo!$E:$E, MATCH(X871, Pagos_Odoo!$B:$B, 0)), 0))</f>
        <v/>
      </c>
      <c r="AC871" s="79">
        <f>IF(X871="Sin Pago","",IFERROR(INDEX(Pagos_Odoo!$G:$G, MATCH(X871, Pagos_Odoo!$B:$B, 0)), ""))</f>
        <v/>
      </c>
      <c r="AD871" s="82" t="n">
        <v>0</v>
      </c>
      <c r="AE871" s="82" t="n"/>
      <c r="AF871" s="82" t="n"/>
      <c r="AG871" s="82">
        <f>IF(AN871="","",AD871+AE871+AF871)</f>
        <v/>
      </c>
      <c r="AH871" s="81">
        <f>IF(AN871="","",P871*(1-AG871))</f>
        <v/>
      </c>
      <c r="AI871" s="81">
        <f>IF(AN871="","",IF(Q871="Sin Factura",0,IFERROR(INDEX(Facturas_Odoo!$H:$H, MATCH(Q871, Facturas_Odoo!$B:$B, 0)), 0)*(1-AG871)))</f>
        <v/>
      </c>
      <c r="AJ871" s="81">
        <f>IF(AN871="","",_xlfn.LET(idVenta, AN871&amp;"",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71" s="81">
        <f>IF(AN871="","",AH871-AJ871)</f>
        <v/>
      </c>
      <c r="AL871" s="81">
        <f>IF(AN871="","",IF(Q871="Sin Factura","",AI871-AJ871))</f>
        <v/>
      </c>
      <c r="AM871" s="81">
        <f>IF(AN871="","",IF(Q871="Sin Factura",0,P871-IFERROR(INDEX(Facturas_Odoo!$H:$H, MATCH(Q871, Facturas_Odoo!$B:$B, 0)), 0)))</f>
        <v/>
      </c>
      <c r="AN871" s="79">
        <f>IF(AND(A871="", J871=""), "", IF(A871&lt;&gt;"", VALUE(MID(A871,2,LEN(A871))), AN870))</f>
        <v/>
      </c>
      <c r="AO871" s="79">
        <f>IF(AN871="","",IF(AD871=0,"OK",_xlfn.LET(monedaPago, IF(AA871="","USD",AA871), limitePermitido, IFERROR(VLOOKUP(monedaPago, Configuración!$A$2:$B$3, 2, FALSE), 0.15), IF(AD871&gt;limitePermitido, "ALERTA: EXCESO (" &amp; TEXT(limitePermitido, "0%") &amp; " máx)", "OK"))))</f>
        <v/>
      </c>
      <c r="AP871" s="79">
        <f>IF(AN871="","",IF(AE871=0,"OK",_xlfn.LET(fechaPago, Z871, fechaFactura, R871, diasCredito, IF(E871="Pago inmediato", 0, IFERROR(VALUE(MID(E871, 1, SEARCH(" ", E871)-1)),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71" s="79">
        <f>IF(AN871="","",IF(AND(N871&gt;0, AG871&gt;0), IF(Configuración!$K$2="NO", "ALERTA: DESCUENTO DOBLE NO PERMITIDO", "OK"), "OK"))</f>
        <v/>
      </c>
      <c r="AR871" s="79">
        <f>IF(AN871="","",IF(OR(AO871&lt;&gt;"OK", AP871&lt;&gt;"OK", AQ871&lt;&gt;"OK"), "⚠️ REVISAR", "OK"))</f>
        <v/>
      </c>
    </row>
    <row r="872">
      <c r="A872" s="79">
        <f>IF('Ordenes_Odoo'!A872="","",'Ordenes_Odoo'!A872)</f>
        <v/>
      </c>
      <c r="B872" s="80">
        <f>IF('Ordenes_Odoo'!B872="","",'Ordenes_Odoo'!B872)</f>
        <v/>
      </c>
      <c r="C872" s="79">
        <f>IF('Ordenes_Odoo'!C872="","",'Ordenes_Odoo'!C872)</f>
        <v/>
      </c>
      <c r="D872" s="79">
        <f>IF('Ordenes_Odoo'!D872="","",'Ordenes_Odoo'!D872)</f>
        <v/>
      </c>
      <c r="E872" s="79">
        <f>IF('Ordenes_Odoo'!E872="","",'Ordenes_Odoo'!E872)</f>
        <v/>
      </c>
      <c r="F872" s="79">
        <f>IF('Ordenes_Odoo'!F872="","",'Ordenes_Odoo'!F872)</f>
        <v/>
      </c>
      <c r="G872" s="79">
        <f>IF('Ordenes_Odoo'!G872="","",'Ordenes_Odoo'!G872)</f>
        <v/>
      </c>
      <c r="H872" s="79">
        <f>IF('Ordenes_Odoo'!H872="","",'Ordenes_Odoo'!H872)</f>
        <v/>
      </c>
      <c r="I872" s="79">
        <f>IF('Ordenes_Odoo'!I872="","",'Ordenes_Odoo'!I872)</f>
        <v/>
      </c>
      <c r="J872" s="79">
        <f>IF('Ordenes_Odoo'!J872="","",'Ordenes_Odoo'!J872)</f>
        <v/>
      </c>
      <c r="K872" s="81">
        <f>IF('Ordenes_Odoo'!K872="","",'Ordenes_Odoo'!K872)</f>
        <v/>
      </c>
      <c r="L872" s="81">
        <f>IF('Ordenes_Odoo'!L872="","",'Ordenes_Odoo'!L872)</f>
        <v/>
      </c>
      <c r="M872" s="79">
        <f>IF('Ordenes_Odoo'!M872="","",'Ordenes_Odoo'!M872)</f>
        <v/>
      </c>
      <c r="N872" s="79">
        <f>IF('Ordenes_Odoo'!N872="","",'Ordenes_Odoo'!N872)</f>
        <v/>
      </c>
      <c r="O872" s="81">
        <f>IF('Ordenes_Odoo'!O872="","",'Ordenes_Odoo'!O872)</f>
        <v/>
      </c>
      <c r="P872" s="81">
        <f>IF('Ordenes_Odoo'!P872="","",'Ordenes_Odoo'!P872)</f>
        <v/>
      </c>
      <c r="Q872" s="79">
        <f>IF(A872="","",IFERROR(INDEX(Facturas_Odoo!$B:$B, MATCH(A872, Facturas_Odoo!$D:$D, 0)), "Sin Factura"))</f>
        <v/>
      </c>
      <c r="R872" s="80">
        <f>IF(Q872="Sin Factura","",IFERROR(INDEX(Facturas_Odoo!$A:$A, MATCH(Q872, Facturas_Odoo!$B:$B, 0)), ""))</f>
        <v/>
      </c>
      <c r="S872" s="79">
        <f>IF(Q872="Sin Factura","",IFERROR(_xlfn.XLOOKUP(1, (Facturas_Odoo!$D:$D=A872) * (Facturas_Odoo!$K:$K=I872), Facturas_Odoo!$L:$L, ""), ""))</f>
        <v/>
      </c>
      <c r="T872" s="81">
        <f>IF(Q872="Sin Factura",0,IFERROR(_xlfn.XLOOKUP(1, (Facturas_Odoo!$D:$D=A872) * (Facturas_Odoo!$K:$K=I872), Facturas_Odoo!$M:$M, 0), 0))</f>
        <v/>
      </c>
      <c r="U872" s="79">
        <f>IF(Q872="Sin Factura",0,IFERROR(_xlfn.XLOOKUP(1, (Facturas_Odoo!$D:$D=A872) * (Facturas_Odoo!$K:$K=I872), Facturas_Odoo!$N:$N, 0), 0))</f>
        <v/>
      </c>
      <c r="V872" s="79">
        <f>IF(Q872="Sin Factura",0,IFERROR(_xlfn.XLOOKUP(1, (Facturas_Odoo!$D:$D=A872) * (Facturas_Odoo!$K:$K=I872), Facturas_Odoo!$O:$O, 0), 0))</f>
        <v/>
      </c>
      <c r="W872" s="81">
        <f>IF(Q872="Sin Factura",0,IFERROR(_xlfn.XLOOKUP(1, (Facturas_Odoo!$D:$D=A872) * (Facturas_Odoo!$K:$K=I872), Facturas_Odoo!$Q:$Q, 0), 0))</f>
        <v/>
      </c>
      <c r="X872" s="79">
        <f>IF(OR(Q872="Sin Factura",Q872=""),"",IFERROR(INDEX(Pagos_Odoo!$B:$B, MATCH(Q872, Pagos_Odoo!$I:$I, 0)), "Sin Pago"))</f>
        <v/>
      </c>
      <c r="Y872" s="79">
        <f>IF(X872="Sin Pago","",IFERROR(INDEX(Pagos_Odoo!$C:$C, MATCH(X872, Pagos_Odoo!$B:$B, 0)), ""))</f>
        <v/>
      </c>
      <c r="Z872" s="80">
        <f>IF(X872="Sin Pago","",IFERROR(INDEX(Pagos_Odoo!$A:$A, MATCH(X872, Pagos_Odoo!$B:$B, 0)), ""))</f>
        <v/>
      </c>
      <c r="AA872" s="79">
        <f>IF(X872="Sin Pago","",IFERROR(INDEX(Pagos_Odoo!$F:$F, MATCH(X872, Pagos_Odoo!$B:$B, 0)), ""))</f>
        <v/>
      </c>
      <c r="AB872" s="81">
        <f>IF(X872="Sin Pago",0,IFERROR(INDEX(Pagos_Odoo!$E:$E, MATCH(X872, Pagos_Odoo!$B:$B, 0)), 0))</f>
        <v/>
      </c>
      <c r="AC872" s="79">
        <f>IF(X872="Sin Pago","",IFERROR(INDEX(Pagos_Odoo!$G:$G, MATCH(X872, Pagos_Odoo!$B:$B, 0)), ""))</f>
        <v/>
      </c>
      <c r="AD872" s="82" t="n">
        <v>0</v>
      </c>
      <c r="AE872" s="82" t="n"/>
      <c r="AF872" s="82" t="n"/>
      <c r="AG872" s="82">
        <f>IF(AN872="","",AD872+AE872+AF872)</f>
        <v/>
      </c>
      <c r="AH872" s="81">
        <f>IF(AN872="","",P872*(1-AG872))</f>
        <v/>
      </c>
      <c r="AI872" s="81">
        <f>IF(AN872="","",IF(Q872="Sin Factura",0,IFERROR(INDEX(Facturas_Odoo!$H:$H, MATCH(Q872, Facturas_Odoo!$B:$B, 0)), 0)*(1-AG872)))</f>
        <v/>
      </c>
      <c r="AJ872" s="81">
        <f>IF(AN872="","",_xlfn.LET(idVenta, AN872&amp;"",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72" s="81">
        <f>IF(AN872="","",AH872-AJ872)</f>
        <v/>
      </c>
      <c r="AL872" s="81">
        <f>IF(AN872="","",IF(Q872="Sin Factura","",AI872-AJ872))</f>
        <v/>
      </c>
      <c r="AM872" s="81">
        <f>IF(AN872="","",IF(Q872="Sin Factura",0,P872-IFERROR(INDEX(Facturas_Odoo!$H:$H, MATCH(Q872, Facturas_Odoo!$B:$B, 0)), 0)))</f>
        <v/>
      </c>
      <c r="AN872" s="79">
        <f>IF(AND(A872="", J872=""), "", IF(A872&lt;&gt;"", VALUE(MID(A872,2,LEN(A872))), AN871))</f>
        <v/>
      </c>
      <c r="AO872" s="79">
        <f>IF(AN872="","",IF(AD872=0,"OK",_xlfn.LET(monedaPago, IF(AA872="","USD",AA872), limitePermitido, IFERROR(VLOOKUP(monedaPago, Configuración!$A$2:$B$3, 2, FALSE), 0.15), IF(AD872&gt;limitePermitido, "ALERTA: EXCESO (" &amp; TEXT(limitePermitido, "0%") &amp; " máx)", "OK"))))</f>
        <v/>
      </c>
      <c r="AP872" s="79">
        <f>IF(AN872="","",IF(AE872=0,"OK",_xlfn.LET(fechaPago, Z872, fechaFactura, R872, diasCredito, IF(E872="Pago inmediato", 0, IFERROR(VALUE(MID(E872, 1, SEARCH(" ", E872)-1)),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72" s="79">
        <f>IF(AN872="","",IF(AND(N872&gt;0, AG872&gt;0), IF(Configuración!$K$2="NO", "ALERTA: DESCUENTO DOBLE NO PERMITIDO", "OK"), "OK"))</f>
        <v/>
      </c>
      <c r="AR872" s="79">
        <f>IF(AN872="","",IF(OR(AO872&lt;&gt;"OK", AP872&lt;&gt;"OK", AQ872&lt;&gt;"OK"), "⚠️ REVISAR", "OK"))</f>
        <v/>
      </c>
    </row>
    <row r="873">
      <c r="A873" s="79">
        <f>IF('Ordenes_Odoo'!A873="","",'Ordenes_Odoo'!A873)</f>
        <v/>
      </c>
      <c r="B873" s="80">
        <f>IF('Ordenes_Odoo'!B873="","",'Ordenes_Odoo'!B873)</f>
        <v/>
      </c>
      <c r="C873" s="79">
        <f>IF('Ordenes_Odoo'!C873="","",'Ordenes_Odoo'!C873)</f>
        <v/>
      </c>
      <c r="D873" s="79">
        <f>IF('Ordenes_Odoo'!D873="","",'Ordenes_Odoo'!D873)</f>
        <v/>
      </c>
      <c r="E873" s="79">
        <f>IF('Ordenes_Odoo'!E873="","",'Ordenes_Odoo'!E873)</f>
        <v/>
      </c>
      <c r="F873" s="79">
        <f>IF('Ordenes_Odoo'!F873="","",'Ordenes_Odoo'!F873)</f>
        <v/>
      </c>
      <c r="G873" s="79">
        <f>IF('Ordenes_Odoo'!G873="","",'Ordenes_Odoo'!G873)</f>
        <v/>
      </c>
      <c r="H873" s="79">
        <f>IF('Ordenes_Odoo'!H873="","",'Ordenes_Odoo'!H873)</f>
        <v/>
      </c>
      <c r="I873" s="79">
        <f>IF('Ordenes_Odoo'!I873="","",'Ordenes_Odoo'!I873)</f>
        <v/>
      </c>
      <c r="J873" s="79">
        <f>IF('Ordenes_Odoo'!J873="","",'Ordenes_Odoo'!J873)</f>
        <v/>
      </c>
      <c r="K873" s="81">
        <f>IF('Ordenes_Odoo'!K873="","",'Ordenes_Odoo'!K873)</f>
        <v/>
      </c>
      <c r="L873" s="81">
        <f>IF('Ordenes_Odoo'!L873="","",'Ordenes_Odoo'!L873)</f>
        <v/>
      </c>
      <c r="M873" s="79">
        <f>IF('Ordenes_Odoo'!M873="","",'Ordenes_Odoo'!M873)</f>
        <v/>
      </c>
      <c r="N873" s="79">
        <f>IF('Ordenes_Odoo'!N873="","",'Ordenes_Odoo'!N873)</f>
        <v/>
      </c>
      <c r="O873" s="81">
        <f>IF('Ordenes_Odoo'!O873="","",'Ordenes_Odoo'!O873)</f>
        <v/>
      </c>
      <c r="P873" s="81">
        <f>IF('Ordenes_Odoo'!P873="","",'Ordenes_Odoo'!P873)</f>
        <v/>
      </c>
      <c r="Q873" s="79">
        <f>IF(A873="","",IFERROR(INDEX(Facturas_Odoo!$B:$B, MATCH(A873, Facturas_Odoo!$D:$D, 0)), "Sin Factura"))</f>
        <v/>
      </c>
      <c r="R873" s="80">
        <f>IF(Q873="Sin Factura","",IFERROR(INDEX(Facturas_Odoo!$A:$A, MATCH(Q873, Facturas_Odoo!$B:$B, 0)), ""))</f>
        <v/>
      </c>
      <c r="S873" s="79">
        <f>IF(Q873="Sin Factura","",IFERROR(_xlfn.XLOOKUP(1, (Facturas_Odoo!$D:$D=A873) * (Facturas_Odoo!$K:$K=I873), Facturas_Odoo!$L:$L, ""), ""))</f>
        <v/>
      </c>
      <c r="T873" s="81">
        <f>IF(Q873="Sin Factura",0,IFERROR(_xlfn.XLOOKUP(1, (Facturas_Odoo!$D:$D=A873) * (Facturas_Odoo!$K:$K=I873), Facturas_Odoo!$M:$M, 0), 0))</f>
        <v/>
      </c>
      <c r="U873" s="79">
        <f>IF(Q873="Sin Factura",0,IFERROR(_xlfn.XLOOKUP(1, (Facturas_Odoo!$D:$D=A873) * (Facturas_Odoo!$K:$K=I873), Facturas_Odoo!$N:$N, 0), 0))</f>
        <v/>
      </c>
      <c r="V873" s="79">
        <f>IF(Q873="Sin Factura",0,IFERROR(_xlfn.XLOOKUP(1, (Facturas_Odoo!$D:$D=A873) * (Facturas_Odoo!$K:$K=I873), Facturas_Odoo!$O:$O, 0), 0))</f>
        <v/>
      </c>
      <c r="W873" s="81">
        <f>IF(Q873="Sin Factura",0,IFERROR(_xlfn.XLOOKUP(1, (Facturas_Odoo!$D:$D=A873) * (Facturas_Odoo!$K:$K=I873), Facturas_Odoo!$Q:$Q, 0), 0))</f>
        <v/>
      </c>
      <c r="X873" s="79">
        <f>IF(OR(Q873="Sin Factura",Q873=""),"",IFERROR(INDEX(Pagos_Odoo!$B:$B, MATCH(Q873, Pagos_Odoo!$I:$I, 0)), "Sin Pago"))</f>
        <v/>
      </c>
      <c r="Y873" s="79">
        <f>IF(X873="Sin Pago","",IFERROR(INDEX(Pagos_Odoo!$C:$C, MATCH(X873, Pagos_Odoo!$B:$B, 0)), ""))</f>
        <v/>
      </c>
      <c r="Z873" s="80">
        <f>IF(X873="Sin Pago","",IFERROR(INDEX(Pagos_Odoo!$A:$A, MATCH(X873, Pagos_Odoo!$B:$B, 0)), ""))</f>
        <v/>
      </c>
      <c r="AA873" s="79">
        <f>IF(X873="Sin Pago","",IFERROR(INDEX(Pagos_Odoo!$F:$F, MATCH(X873, Pagos_Odoo!$B:$B, 0)), ""))</f>
        <v/>
      </c>
      <c r="AB873" s="81">
        <f>IF(X873="Sin Pago",0,IFERROR(INDEX(Pagos_Odoo!$E:$E, MATCH(X873, Pagos_Odoo!$B:$B, 0)), 0))</f>
        <v/>
      </c>
      <c r="AC873" s="79">
        <f>IF(X873="Sin Pago","",IFERROR(INDEX(Pagos_Odoo!$G:$G, MATCH(X873, Pagos_Odoo!$B:$B, 0)), ""))</f>
        <v/>
      </c>
      <c r="AD873" s="82" t="n">
        <v>0</v>
      </c>
      <c r="AE873" s="82" t="n"/>
      <c r="AF873" s="82" t="n"/>
      <c r="AG873" s="82">
        <f>IF(AN873="","",AD873+AE873+AF873)</f>
        <v/>
      </c>
      <c r="AH873" s="81">
        <f>IF(AN873="","",P873*(1-AG873))</f>
        <v/>
      </c>
      <c r="AI873" s="81">
        <f>IF(AN873="","",IF(Q873="Sin Factura",0,IFERROR(INDEX(Facturas_Odoo!$H:$H, MATCH(Q873, Facturas_Odoo!$B:$B, 0)), 0)*(1-AG873)))</f>
        <v/>
      </c>
      <c r="AJ873" s="81">
        <f>IF(AN873="","",_xlfn.LET(idVenta, AN873&amp;"",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73" s="81">
        <f>IF(AN873="","",AH873-AJ873)</f>
        <v/>
      </c>
      <c r="AL873" s="81">
        <f>IF(AN873="","",IF(Q873="Sin Factura","",AI873-AJ873))</f>
        <v/>
      </c>
      <c r="AM873" s="81">
        <f>IF(AN873="","",IF(Q873="Sin Factura",0,P873-IFERROR(INDEX(Facturas_Odoo!$H:$H, MATCH(Q873, Facturas_Odoo!$B:$B, 0)), 0)))</f>
        <v/>
      </c>
      <c r="AN873" s="79">
        <f>IF(AND(A873="", J873=""), "", IF(A873&lt;&gt;"", VALUE(MID(A873,2,LEN(A873))), AN872))</f>
        <v/>
      </c>
      <c r="AO873" s="79">
        <f>IF(AN873="","",IF(AD873=0,"OK",_xlfn.LET(monedaPago, IF(AA873="","USD",AA873), limitePermitido, IFERROR(VLOOKUP(monedaPago, Configuración!$A$2:$B$3, 2, FALSE), 0.15), IF(AD873&gt;limitePermitido, "ALERTA: EXCESO (" &amp; TEXT(limitePermitido, "0%") &amp; " máx)", "OK"))))</f>
        <v/>
      </c>
      <c r="AP873" s="79">
        <f>IF(AN873="","",IF(AE873=0,"OK",_xlfn.LET(fechaPago, Z873, fechaFactura, R873, diasCredito, IF(E873="Pago inmediato", 0, IFERROR(VALUE(MID(E873, 1, SEARCH(" ", E873)-1)),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73" s="79">
        <f>IF(AN873="","",IF(AND(N873&gt;0, AG873&gt;0), IF(Configuración!$K$2="NO", "ALERTA: DESCUENTO DOBLE NO PERMITIDO", "OK"), "OK"))</f>
        <v/>
      </c>
      <c r="AR873" s="79">
        <f>IF(AN873="","",IF(OR(AO873&lt;&gt;"OK", AP873&lt;&gt;"OK", AQ873&lt;&gt;"OK"), "⚠️ REVISAR", "OK"))</f>
        <v/>
      </c>
    </row>
    <row r="874">
      <c r="A874" s="79">
        <f>IF('Ordenes_Odoo'!A874="","",'Ordenes_Odoo'!A874)</f>
        <v/>
      </c>
      <c r="B874" s="80">
        <f>IF('Ordenes_Odoo'!B874="","",'Ordenes_Odoo'!B874)</f>
        <v/>
      </c>
      <c r="C874" s="79">
        <f>IF('Ordenes_Odoo'!C874="","",'Ordenes_Odoo'!C874)</f>
        <v/>
      </c>
      <c r="D874" s="79">
        <f>IF('Ordenes_Odoo'!D874="","",'Ordenes_Odoo'!D874)</f>
        <v/>
      </c>
      <c r="E874" s="79">
        <f>IF('Ordenes_Odoo'!E874="","",'Ordenes_Odoo'!E874)</f>
        <v/>
      </c>
      <c r="F874" s="79">
        <f>IF('Ordenes_Odoo'!F874="","",'Ordenes_Odoo'!F874)</f>
        <v/>
      </c>
      <c r="G874" s="79">
        <f>IF('Ordenes_Odoo'!G874="","",'Ordenes_Odoo'!G874)</f>
        <v/>
      </c>
      <c r="H874" s="79">
        <f>IF('Ordenes_Odoo'!H874="","",'Ordenes_Odoo'!H874)</f>
        <v/>
      </c>
      <c r="I874" s="79">
        <f>IF('Ordenes_Odoo'!I874="","",'Ordenes_Odoo'!I874)</f>
        <v/>
      </c>
      <c r="J874" s="79">
        <f>IF('Ordenes_Odoo'!J874="","",'Ordenes_Odoo'!J874)</f>
        <v/>
      </c>
      <c r="K874" s="81">
        <f>IF('Ordenes_Odoo'!K874="","",'Ordenes_Odoo'!K874)</f>
        <v/>
      </c>
      <c r="L874" s="81">
        <f>IF('Ordenes_Odoo'!L874="","",'Ordenes_Odoo'!L874)</f>
        <v/>
      </c>
      <c r="M874" s="79">
        <f>IF('Ordenes_Odoo'!M874="","",'Ordenes_Odoo'!M874)</f>
        <v/>
      </c>
      <c r="N874" s="79">
        <f>IF('Ordenes_Odoo'!N874="","",'Ordenes_Odoo'!N874)</f>
        <v/>
      </c>
      <c r="O874" s="81">
        <f>IF('Ordenes_Odoo'!O874="","",'Ordenes_Odoo'!O874)</f>
        <v/>
      </c>
      <c r="P874" s="81">
        <f>IF('Ordenes_Odoo'!P874="","",'Ordenes_Odoo'!P874)</f>
        <v/>
      </c>
      <c r="Q874" s="79">
        <f>IF(A874="","",IFERROR(INDEX(Facturas_Odoo!$B:$B, MATCH(A874, Facturas_Odoo!$D:$D, 0)), "Sin Factura"))</f>
        <v/>
      </c>
      <c r="R874" s="80">
        <f>IF(Q874="Sin Factura","",IFERROR(INDEX(Facturas_Odoo!$A:$A, MATCH(Q874, Facturas_Odoo!$B:$B, 0)), ""))</f>
        <v/>
      </c>
      <c r="S874" s="79">
        <f>IF(Q874="Sin Factura","",IFERROR(_xlfn.XLOOKUP(1, (Facturas_Odoo!$D:$D=A874) * (Facturas_Odoo!$K:$K=I874), Facturas_Odoo!$L:$L, ""), ""))</f>
        <v/>
      </c>
      <c r="T874" s="81">
        <f>IF(Q874="Sin Factura",0,IFERROR(_xlfn.XLOOKUP(1, (Facturas_Odoo!$D:$D=A874) * (Facturas_Odoo!$K:$K=I874), Facturas_Odoo!$M:$M, 0), 0))</f>
        <v/>
      </c>
      <c r="U874" s="79">
        <f>IF(Q874="Sin Factura",0,IFERROR(_xlfn.XLOOKUP(1, (Facturas_Odoo!$D:$D=A874) * (Facturas_Odoo!$K:$K=I874), Facturas_Odoo!$N:$N, 0), 0))</f>
        <v/>
      </c>
      <c r="V874" s="79">
        <f>IF(Q874="Sin Factura",0,IFERROR(_xlfn.XLOOKUP(1, (Facturas_Odoo!$D:$D=A874) * (Facturas_Odoo!$K:$K=I874), Facturas_Odoo!$O:$O, 0), 0))</f>
        <v/>
      </c>
      <c r="W874" s="81">
        <f>IF(Q874="Sin Factura",0,IFERROR(_xlfn.XLOOKUP(1, (Facturas_Odoo!$D:$D=A874) * (Facturas_Odoo!$K:$K=I874), Facturas_Odoo!$Q:$Q, 0), 0))</f>
        <v/>
      </c>
      <c r="X874" s="79">
        <f>IF(OR(Q874="Sin Factura",Q874=""),"",IFERROR(INDEX(Pagos_Odoo!$B:$B, MATCH(Q874, Pagos_Odoo!$I:$I, 0)), "Sin Pago"))</f>
        <v/>
      </c>
      <c r="Y874" s="79">
        <f>IF(X874="Sin Pago","",IFERROR(INDEX(Pagos_Odoo!$C:$C, MATCH(X874, Pagos_Odoo!$B:$B, 0)), ""))</f>
        <v/>
      </c>
      <c r="Z874" s="80">
        <f>IF(X874="Sin Pago","",IFERROR(INDEX(Pagos_Odoo!$A:$A, MATCH(X874, Pagos_Odoo!$B:$B, 0)), ""))</f>
        <v/>
      </c>
      <c r="AA874" s="79">
        <f>IF(X874="Sin Pago","",IFERROR(INDEX(Pagos_Odoo!$F:$F, MATCH(X874, Pagos_Odoo!$B:$B, 0)), ""))</f>
        <v/>
      </c>
      <c r="AB874" s="81">
        <f>IF(X874="Sin Pago",0,IFERROR(INDEX(Pagos_Odoo!$E:$E, MATCH(X874, Pagos_Odoo!$B:$B, 0)), 0))</f>
        <v/>
      </c>
      <c r="AC874" s="79">
        <f>IF(X874="Sin Pago","",IFERROR(INDEX(Pagos_Odoo!$G:$G, MATCH(X874, Pagos_Odoo!$B:$B, 0)), ""))</f>
        <v/>
      </c>
      <c r="AD874" s="82" t="n">
        <v>0</v>
      </c>
      <c r="AE874" s="82" t="n"/>
      <c r="AF874" s="82" t="n"/>
      <c r="AG874" s="82">
        <f>IF(AN874="","",AD874+AE874+AF874)</f>
        <v/>
      </c>
      <c r="AH874" s="81">
        <f>IF(AN874="","",P874*(1-AG874))</f>
        <v/>
      </c>
      <c r="AI874" s="81">
        <f>IF(AN874="","",IF(Q874="Sin Factura",0,IFERROR(INDEX(Facturas_Odoo!$H:$H, MATCH(Q874, Facturas_Odoo!$B:$B, 0)), 0)*(1-AG874)))</f>
        <v/>
      </c>
      <c r="AJ874" s="81">
        <f>IF(AN874="","",_xlfn.LET(idVenta, AN874&amp;"",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74" s="81">
        <f>IF(AN874="","",AH874-AJ874)</f>
        <v/>
      </c>
      <c r="AL874" s="81">
        <f>IF(AN874="","",IF(Q874="Sin Factura","",AI874-AJ874))</f>
        <v/>
      </c>
      <c r="AM874" s="81">
        <f>IF(AN874="","",IF(Q874="Sin Factura",0,P874-IFERROR(INDEX(Facturas_Odoo!$H:$H, MATCH(Q874, Facturas_Odoo!$B:$B, 0)), 0)))</f>
        <v/>
      </c>
      <c r="AN874" s="79">
        <f>IF(AND(A874="", J874=""), "", IF(A874&lt;&gt;"", VALUE(MID(A874,2,LEN(A874))), AN873))</f>
        <v/>
      </c>
      <c r="AO874" s="79">
        <f>IF(AN874="","",IF(AD874=0,"OK",_xlfn.LET(monedaPago, IF(AA874="","USD",AA874), limitePermitido, IFERROR(VLOOKUP(monedaPago, Configuración!$A$2:$B$3, 2, FALSE), 0.15), IF(AD874&gt;limitePermitido, "ALERTA: EXCESO (" &amp; TEXT(limitePermitido, "0%") &amp; " máx)", "OK"))))</f>
        <v/>
      </c>
      <c r="AP874" s="79">
        <f>IF(AN874="","",IF(AE874=0,"OK",_xlfn.LET(fechaPago, Z874, fechaFactura, R874, diasCredito, IF(E874="Pago inmediato", 0, IFERROR(VALUE(MID(E874, 1, SEARCH(" ", E874)-1)),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74" s="79">
        <f>IF(AN874="","",IF(AND(N874&gt;0, AG874&gt;0), IF(Configuración!$K$2="NO", "ALERTA: DESCUENTO DOBLE NO PERMITIDO", "OK"), "OK"))</f>
        <v/>
      </c>
      <c r="AR874" s="79">
        <f>IF(AN874="","",IF(OR(AO874&lt;&gt;"OK", AP874&lt;&gt;"OK", AQ874&lt;&gt;"OK"), "⚠️ REVISAR", "OK"))</f>
        <v/>
      </c>
    </row>
    <row r="875">
      <c r="A875" s="79">
        <f>IF('Ordenes_Odoo'!A875="","",'Ordenes_Odoo'!A875)</f>
        <v/>
      </c>
      <c r="B875" s="80">
        <f>IF('Ordenes_Odoo'!B875="","",'Ordenes_Odoo'!B875)</f>
        <v/>
      </c>
      <c r="C875" s="79">
        <f>IF('Ordenes_Odoo'!C875="","",'Ordenes_Odoo'!C875)</f>
        <v/>
      </c>
      <c r="D875" s="79">
        <f>IF('Ordenes_Odoo'!D875="","",'Ordenes_Odoo'!D875)</f>
        <v/>
      </c>
      <c r="E875" s="79">
        <f>IF('Ordenes_Odoo'!E875="","",'Ordenes_Odoo'!E875)</f>
        <v/>
      </c>
      <c r="F875" s="79">
        <f>IF('Ordenes_Odoo'!F875="","",'Ordenes_Odoo'!F875)</f>
        <v/>
      </c>
      <c r="G875" s="79">
        <f>IF('Ordenes_Odoo'!G875="","",'Ordenes_Odoo'!G875)</f>
        <v/>
      </c>
      <c r="H875" s="79">
        <f>IF('Ordenes_Odoo'!H875="","",'Ordenes_Odoo'!H875)</f>
        <v/>
      </c>
      <c r="I875" s="79">
        <f>IF('Ordenes_Odoo'!I875="","",'Ordenes_Odoo'!I875)</f>
        <v/>
      </c>
      <c r="J875" s="79">
        <f>IF('Ordenes_Odoo'!J875="","",'Ordenes_Odoo'!J875)</f>
        <v/>
      </c>
      <c r="K875" s="81">
        <f>IF('Ordenes_Odoo'!K875="","",'Ordenes_Odoo'!K875)</f>
        <v/>
      </c>
      <c r="L875" s="81">
        <f>IF('Ordenes_Odoo'!L875="","",'Ordenes_Odoo'!L875)</f>
        <v/>
      </c>
      <c r="M875" s="79">
        <f>IF('Ordenes_Odoo'!M875="","",'Ordenes_Odoo'!M875)</f>
        <v/>
      </c>
      <c r="N875" s="79">
        <f>IF('Ordenes_Odoo'!N875="","",'Ordenes_Odoo'!N875)</f>
        <v/>
      </c>
      <c r="O875" s="81">
        <f>IF('Ordenes_Odoo'!O875="","",'Ordenes_Odoo'!O875)</f>
        <v/>
      </c>
      <c r="P875" s="81">
        <f>IF('Ordenes_Odoo'!P875="","",'Ordenes_Odoo'!P875)</f>
        <v/>
      </c>
      <c r="Q875" s="79">
        <f>IF(A875="","",IFERROR(INDEX(Facturas_Odoo!$B:$B, MATCH(A875, Facturas_Odoo!$D:$D, 0)), "Sin Factura"))</f>
        <v/>
      </c>
      <c r="R875" s="80">
        <f>IF(Q875="Sin Factura","",IFERROR(INDEX(Facturas_Odoo!$A:$A, MATCH(Q875, Facturas_Odoo!$B:$B, 0)), ""))</f>
        <v/>
      </c>
      <c r="S875" s="79">
        <f>IF(Q875="Sin Factura","",IFERROR(_xlfn.XLOOKUP(1, (Facturas_Odoo!$D:$D=A875) * (Facturas_Odoo!$K:$K=I875), Facturas_Odoo!$L:$L, ""), ""))</f>
        <v/>
      </c>
      <c r="T875" s="81">
        <f>IF(Q875="Sin Factura",0,IFERROR(_xlfn.XLOOKUP(1, (Facturas_Odoo!$D:$D=A875) * (Facturas_Odoo!$K:$K=I875), Facturas_Odoo!$M:$M, 0), 0))</f>
        <v/>
      </c>
      <c r="U875" s="79">
        <f>IF(Q875="Sin Factura",0,IFERROR(_xlfn.XLOOKUP(1, (Facturas_Odoo!$D:$D=A875) * (Facturas_Odoo!$K:$K=I875), Facturas_Odoo!$N:$N, 0), 0))</f>
        <v/>
      </c>
      <c r="V875" s="79">
        <f>IF(Q875="Sin Factura",0,IFERROR(_xlfn.XLOOKUP(1, (Facturas_Odoo!$D:$D=A875) * (Facturas_Odoo!$K:$K=I875), Facturas_Odoo!$O:$O, 0), 0))</f>
        <v/>
      </c>
      <c r="W875" s="81">
        <f>IF(Q875="Sin Factura",0,IFERROR(_xlfn.XLOOKUP(1, (Facturas_Odoo!$D:$D=A875) * (Facturas_Odoo!$K:$K=I875), Facturas_Odoo!$Q:$Q, 0), 0))</f>
        <v/>
      </c>
      <c r="X875" s="79">
        <f>IF(OR(Q875="Sin Factura",Q875=""),"",IFERROR(INDEX(Pagos_Odoo!$B:$B, MATCH(Q875, Pagos_Odoo!$I:$I, 0)), "Sin Pago"))</f>
        <v/>
      </c>
      <c r="Y875" s="79">
        <f>IF(X875="Sin Pago","",IFERROR(INDEX(Pagos_Odoo!$C:$C, MATCH(X875, Pagos_Odoo!$B:$B, 0)), ""))</f>
        <v/>
      </c>
      <c r="Z875" s="80">
        <f>IF(X875="Sin Pago","",IFERROR(INDEX(Pagos_Odoo!$A:$A, MATCH(X875, Pagos_Odoo!$B:$B, 0)), ""))</f>
        <v/>
      </c>
      <c r="AA875" s="79">
        <f>IF(X875="Sin Pago","",IFERROR(INDEX(Pagos_Odoo!$F:$F, MATCH(X875, Pagos_Odoo!$B:$B, 0)), ""))</f>
        <v/>
      </c>
      <c r="AB875" s="81">
        <f>IF(X875="Sin Pago",0,IFERROR(INDEX(Pagos_Odoo!$E:$E, MATCH(X875, Pagos_Odoo!$B:$B, 0)), 0))</f>
        <v/>
      </c>
      <c r="AC875" s="79">
        <f>IF(X875="Sin Pago","",IFERROR(INDEX(Pagos_Odoo!$G:$G, MATCH(X875, Pagos_Odoo!$B:$B, 0)), ""))</f>
        <v/>
      </c>
      <c r="AD875" s="82" t="n">
        <v>0</v>
      </c>
      <c r="AE875" s="82" t="n"/>
      <c r="AF875" s="82" t="n"/>
      <c r="AG875" s="82">
        <f>IF(AN875="","",AD875+AE875+AF875)</f>
        <v/>
      </c>
      <c r="AH875" s="81">
        <f>IF(AN875="","",P875*(1-AG875))</f>
        <v/>
      </c>
      <c r="AI875" s="81">
        <f>IF(AN875="","",IF(Q875="Sin Factura",0,IFERROR(INDEX(Facturas_Odoo!$H:$H, MATCH(Q875, Facturas_Odoo!$B:$B, 0)), 0)*(1-AG875)))</f>
        <v/>
      </c>
      <c r="AJ875" s="81">
        <f>IF(AN875="","",_xlfn.LET(idVenta, AN875&amp;"",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75" s="81">
        <f>IF(AN875="","",AH875-AJ875)</f>
        <v/>
      </c>
      <c r="AL875" s="81">
        <f>IF(AN875="","",IF(Q875="Sin Factura","",AI875-AJ875))</f>
        <v/>
      </c>
      <c r="AM875" s="81">
        <f>IF(AN875="","",IF(Q875="Sin Factura",0,P875-IFERROR(INDEX(Facturas_Odoo!$H:$H, MATCH(Q875, Facturas_Odoo!$B:$B, 0)), 0)))</f>
        <v/>
      </c>
      <c r="AN875" s="79">
        <f>IF(AND(A875="", J875=""), "", IF(A875&lt;&gt;"", VALUE(MID(A875,2,LEN(A875))), AN874))</f>
        <v/>
      </c>
      <c r="AO875" s="79">
        <f>IF(AN875="","",IF(AD875=0,"OK",_xlfn.LET(monedaPago, IF(AA875="","USD",AA875), limitePermitido, IFERROR(VLOOKUP(monedaPago, Configuración!$A$2:$B$3, 2, FALSE), 0.15), IF(AD875&gt;limitePermitido, "ALERTA: EXCESO (" &amp; TEXT(limitePermitido, "0%") &amp; " máx)", "OK"))))</f>
        <v/>
      </c>
      <c r="AP875" s="79">
        <f>IF(AN875="","",IF(AE875=0,"OK",_xlfn.LET(fechaPago, Z875, fechaFactura, R875, diasCredito, IF(E875="Pago inmediato", 0, IFERROR(VALUE(MID(E875, 1, SEARCH(" ", E875)-1)),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75" s="79">
        <f>IF(AN875="","",IF(AND(N875&gt;0, AG875&gt;0), IF(Configuración!$K$2="NO", "ALERTA: DESCUENTO DOBLE NO PERMITIDO", "OK"), "OK"))</f>
        <v/>
      </c>
      <c r="AR875" s="79">
        <f>IF(AN875="","",IF(OR(AO875&lt;&gt;"OK", AP875&lt;&gt;"OK", AQ875&lt;&gt;"OK"), "⚠️ REVISAR", "OK"))</f>
        <v/>
      </c>
    </row>
    <row r="876">
      <c r="A876" s="79">
        <f>IF('Ordenes_Odoo'!A876="","",'Ordenes_Odoo'!A876)</f>
        <v/>
      </c>
      <c r="B876" s="80">
        <f>IF('Ordenes_Odoo'!B876="","",'Ordenes_Odoo'!B876)</f>
        <v/>
      </c>
      <c r="C876" s="79">
        <f>IF('Ordenes_Odoo'!C876="","",'Ordenes_Odoo'!C876)</f>
        <v/>
      </c>
      <c r="D876" s="79">
        <f>IF('Ordenes_Odoo'!D876="","",'Ordenes_Odoo'!D876)</f>
        <v/>
      </c>
      <c r="E876" s="79">
        <f>IF('Ordenes_Odoo'!E876="","",'Ordenes_Odoo'!E876)</f>
        <v/>
      </c>
      <c r="F876" s="79">
        <f>IF('Ordenes_Odoo'!F876="","",'Ordenes_Odoo'!F876)</f>
        <v/>
      </c>
      <c r="G876" s="79">
        <f>IF('Ordenes_Odoo'!G876="","",'Ordenes_Odoo'!G876)</f>
        <v/>
      </c>
      <c r="H876" s="79">
        <f>IF('Ordenes_Odoo'!H876="","",'Ordenes_Odoo'!H876)</f>
        <v/>
      </c>
      <c r="I876" s="79">
        <f>IF('Ordenes_Odoo'!I876="","",'Ordenes_Odoo'!I876)</f>
        <v/>
      </c>
      <c r="J876" s="79">
        <f>IF('Ordenes_Odoo'!J876="","",'Ordenes_Odoo'!J876)</f>
        <v/>
      </c>
      <c r="K876" s="81">
        <f>IF('Ordenes_Odoo'!K876="","",'Ordenes_Odoo'!K876)</f>
        <v/>
      </c>
      <c r="L876" s="81">
        <f>IF('Ordenes_Odoo'!L876="","",'Ordenes_Odoo'!L876)</f>
        <v/>
      </c>
      <c r="M876" s="79">
        <f>IF('Ordenes_Odoo'!M876="","",'Ordenes_Odoo'!M876)</f>
        <v/>
      </c>
      <c r="N876" s="79">
        <f>IF('Ordenes_Odoo'!N876="","",'Ordenes_Odoo'!N876)</f>
        <v/>
      </c>
      <c r="O876" s="81">
        <f>IF('Ordenes_Odoo'!O876="","",'Ordenes_Odoo'!O876)</f>
        <v/>
      </c>
      <c r="P876" s="81">
        <f>IF('Ordenes_Odoo'!P876="","",'Ordenes_Odoo'!P876)</f>
        <v/>
      </c>
      <c r="Q876" s="79">
        <f>IF(A876="","",IFERROR(INDEX(Facturas_Odoo!$B:$B, MATCH(A876, Facturas_Odoo!$D:$D, 0)), "Sin Factura"))</f>
        <v/>
      </c>
      <c r="R876" s="80">
        <f>IF(Q876="Sin Factura","",IFERROR(INDEX(Facturas_Odoo!$A:$A, MATCH(Q876, Facturas_Odoo!$B:$B, 0)), ""))</f>
        <v/>
      </c>
      <c r="S876" s="79">
        <f>IF(Q876="Sin Factura","",IFERROR(_xlfn.XLOOKUP(1, (Facturas_Odoo!$D:$D=A876) * (Facturas_Odoo!$K:$K=I876), Facturas_Odoo!$L:$L, ""), ""))</f>
        <v/>
      </c>
      <c r="T876" s="81">
        <f>IF(Q876="Sin Factura",0,IFERROR(_xlfn.XLOOKUP(1, (Facturas_Odoo!$D:$D=A876) * (Facturas_Odoo!$K:$K=I876), Facturas_Odoo!$M:$M, 0), 0))</f>
        <v/>
      </c>
      <c r="U876" s="79">
        <f>IF(Q876="Sin Factura",0,IFERROR(_xlfn.XLOOKUP(1, (Facturas_Odoo!$D:$D=A876) * (Facturas_Odoo!$K:$K=I876), Facturas_Odoo!$N:$N, 0), 0))</f>
        <v/>
      </c>
      <c r="V876" s="79">
        <f>IF(Q876="Sin Factura",0,IFERROR(_xlfn.XLOOKUP(1, (Facturas_Odoo!$D:$D=A876) * (Facturas_Odoo!$K:$K=I876), Facturas_Odoo!$O:$O, 0), 0))</f>
        <v/>
      </c>
      <c r="W876" s="81">
        <f>IF(Q876="Sin Factura",0,IFERROR(_xlfn.XLOOKUP(1, (Facturas_Odoo!$D:$D=A876) * (Facturas_Odoo!$K:$K=I876), Facturas_Odoo!$Q:$Q, 0), 0))</f>
        <v/>
      </c>
      <c r="X876" s="79">
        <f>IF(OR(Q876="Sin Factura",Q876=""),"",IFERROR(INDEX(Pagos_Odoo!$B:$B, MATCH(Q876, Pagos_Odoo!$I:$I, 0)), "Sin Pago"))</f>
        <v/>
      </c>
      <c r="Y876" s="79">
        <f>IF(X876="Sin Pago","",IFERROR(INDEX(Pagos_Odoo!$C:$C, MATCH(X876, Pagos_Odoo!$B:$B, 0)), ""))</f>
        <v/>
      </c>
      <c r="Z876" s="80">
        <f>IF(X876="Sin Pago","",IFERROR(INDEX(Pagos_Odoo!$A:$A, MATCH(X876, Pagos_Odoo!$B:$B, 0)), ""))</f>
        <v/>
      </c>
      <c r="AA876" s="79">
        <f>IF(X876="Sin Pago","",IFERROR(INDEX(Pagos_Odoo!$F:$F, MATCH(X876, Pagos_Odoo!$B:$B, 0)), ""))</f>
        <v/>
      </c>
      <c r="AB876" s="81">
        <f>IF(X876="Sin Pago",0,IFERROR(INDEX(Pagos_Odoo!$E:$E, MATCH(X876, Pagos_Odoo!$B:$B, 0)), 0))</f>
        <v/>
      </c>
      <c r="AC876" s="79">
        <f>IF(X876="Sin Pago","",IFERROR(INDEX(Pagos_Odoo!$G:$G, MATCH(X876, Pagos_Odoo!$B:$B, 0)), ""))</f>
        <v/>
      </c>
      <c r="AD876" s="82" t="n">
        <v>0</v>
      </c>
      <c r="AE876" s="82" t="n"/>
      <c r="AF876" s="82" t="n"/>
      <c r="AG876" s="82">
        <f>IF(AN876="","",AD876+AE876+AF876)</f>
        <v/>
      </c>
      <c r="AH876" s="81">
        <f>IF(AN876="","",P876*(1-AG876))</f>
        <v/>
      </c>
      <c r="AI876" s="81">
        <f>IF(AN876="","",IF(Q876="Sin Factura",0,IFERROR(INDEX(Facturas_Odoo!$H:$H, MATCH(Q876, Facturas_Odoo!$B:$B, 0)), 0)*(1-AG876)))</f>
        <v/>
      </c>
      <c r="AJ876" s="81">
        <f>IF(AN876="","",_xlfn.LET(idVenta, AN876&amp;"",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76" s="81">
        <f>IF(AN876="","",AH876-AJ876)</f>
        <v/>
      </c>
      <c r="AL876" s="81">
        <f>IF(AN876="","",IF(Q876="Sin Factura","",AI876-AJ876))</f>
        <v/>
      </c>
      <c r="AM876" s="81">
        <f>IF(AN876="","",IF(Q876="Sin Factura",0,P876-IFERROR(INDEX(Facturas_Odoo!$H:$H, MATCH(Q876, Facturas_Odoo!$B:$B, 0)), 0)))</f>
        <v/>
      </c>
      <c r="AN876" s="79">
        <f>IF(AND(A876="", J876=""), "", IF(A876&lt;&gt;"", VALUE(MID(A876,2,LEN(A876))), AN875))</f>
        <v/>
      </c>
      <c r="AO876" s="79">
        <f>IF(AN876="","",IF(AD876=0,"OK",_xlfn.LET(monedaPago, IF(AA876="","USD",AA876), limitePermitido, IFERROR(VLOOKUP(monedaPago, Configuración!$A$2:$B$3, 2, FALSE), 0.15), IF(AD876&gt;limitePermitido, "ALERTA: EXCESO (" &amp; TEXT(limitePermitido, "0%") &amp; " máx)", "OK"))))</f>
        <v/>
      </c>
      <c r="AP876" s="79">
        <f>IF(AN876="","",IF(AE876=0,"OK",_xlfn.LET(fechaPago, Z876, fechaFactura, R876, diasCredito, IF(E876="Pago inmediato", 0, IFERROR(VALUE(MID(E876, 1, SEARCH(" ", E876)-1)),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76" s="79">
        <f>IF(AN876="","",IF(AND(N876&gt;0, AG876&gt;0), IF(Configuración!$K$2="NO", "ALERTA: DESCUENTO DOBLE NO PERMITIDO", "OK"), "OK"))</f>
        <v/>
      </c>
      <c r="AR876" s="79">
        <f>IF(AN876="","",IF(OR(AO876&lt;&gt;"OK", AP876&lt;&gt;"OK", AQ876&lt;&gt;"OK"), "⚠️ REVISAR", "OK"))</f>
        <v/>
      </c>
    </row>
    <row r="877">
      <c r="A877" s="79">
        <f>IF('Ordenes_Odoo'!A877="","",'Ordenes_Odoo'!A877)</f>
        <v/>
      </c>
      <c r="B877" s="80">
        <f>IF('Ordenes_Odoo'!B877="","",'Ordenes_Odoo'!B877)</f>
        <v/>
      </c>
      <c r="C877" s="79">
        <f>IF('Ordenes_Odoo'!C877="","",'Ordenes_Odoo'!C877)</f>
        <v/>
      </c>
      <c r="D877" s="79">
        <f>IF('Ordenes_Odoo'!D877="","",'Ordenes_Odoo'!D877)</f>
        <v/>
      </c>
      <c r="E877" s="79">
        <f>IF('Ordenes_Odoo'!E877="","",'Ordenes_Odoo'!E877)</f>
        <v/>
      </c>
      <c r="F877" s="79">
        <f>IF('Ordenes_Odoo'!F877="","",'Ordenes_Odoo'!F877)</f>
        <v/>
      </c>
      <c r="G877" s="79">
        <f>IF('Ordenes_Odoo'!G877="","",'Ordenes_Odoo'!G877)</f>
        <v/>
      </c>
      <c r="H877" s="79">
        <f>IF('Ordenes_Odoo'!H877="","",'Ordenes_Odoo'!H877)</f>
        <v/>
      </c>
      <c r="I877" s="79">
        <f>IF('Ordenes_Odoo'!I877="","",'Ordenes_Odoo'!I877)</f>
        <v/>
      </c>
      <c r="J877" s="79">
        <f>IF('Ordenes_Odoo'!J877="","",'Ordenes_Odoo'!J877)</f>
        <v/>
      </c>
      <c r="K877" s="81">
        <f>IF('Ordenes_Odoo'!K877="","",'Ordenes_Odoo'!K877)</f>
        <v/>
      </c>
      <c r="L877" s="81">
        <f>IF('Ordenes_Odoo'!L877="","",'Ordenes_Odoo'!L877)</f>
        <v/>
      </c>
      <c r="M877" s="79">
        <f>IF('Ordenes_Odoo'!M877="","",'Ordenes_Odoo'!M877)</f>
        <v/>
      </c>
      <c r="N877" s="79">
        <f>IF('Ordenes_Odoo'!N877="","",'Ordenes_Odoo'!N877)</f>
        <v/>
      </c>
      <c r="O877" s="81">
        <f>IF('Ordenes_Odoo'!O877="","",'Ordenes_Odoo'!O877)</f>
        <v/>
      </c>
      <c r="P877" s="81">
        <f>IF('Ordenes_Odoo'!P877="","",'Ordenes_Odoo'!P877)</f>
        <v/>
      </c>
      <c r="Q877" s="79">
        <f>IF(A877="","",IFERROR(INDEX(Facturas_Odoo!$B:$B, MATCH(A877, Facturas_Odoo!$D:$D, 0)), "Sin Factura"))</f>
        <v/>
      </c>
      <c r="R877" s="80">
        <f>IF(Q877="Sin Factura","",IFERROR(INDEX(Facturas_Odoo!$A:$A, MATCH(Q877, Facturas_Odoo!$B:$B, 0)), ""))</f>
        <v/>
      </c>
      <c r="S877" s="79">
        <f>IF(Q877="Sin Factura","",IFERROR(_xlfn.XLOOKUP(1, (Facturas_Odoo!$D:$D=A877) * (Facturas_Odoo!$K:$K=I877), Facturas_Odoo!$L:$L, ""), ""))</f>
        <v/>
      </c>
      <c r="T877" s="81">
        <f>IF(Q877="Sin Factura",0,IFERROR(_xlfn.XLOOKUP(1, (Facturas_Odoo!$D:$D=A877) * (Facturas_Odoo!$K:$K=I877), Facturas_Odoo!$M:$M, 0), 0))</f>
        <v/>
      </c>
      <c r="U877" s="79">
        <f>IF(Q877="Sin Factura",0,IFERROR(_xlfn.XLOOKUP(1, (Facturas_Odoo!$D:$D=A877) * (Facturas_Odoo!$K:$K=I877), Facturas_Odoo!$N:$N, 0), 0))</f>
        <v/>
      </c>
      <c r="V877" s="79">
        <f>IF(Q877="Sin Factura",0,IFERROR(_xlfn.XLOOKUP(1, (Facturas_Odoo!$D:$D=A877) * (Facturas_Odoo!$K:$K=I877), Facturas_Odoo!$O:$O, 0), 0))</f>
        <v/>
      </c>
      <c r="W877" s="81">
        <f>IF(Q877="Sin Factura",0,IFERROR(_xlfn.XLOOKUP(1, (Facturas_Odoo!$D:$D=A877) * (Facturas_Odoo!$K:$K=I877), Facturas_Odoo!$Q:$Q, 0), 0))</f>
        <v/>
      </c>
      <c r="X877" s="79">
        <f>IF(OR(Q877="Sin Factura",Q877=""),"",IFERROR(INDEX(Pagos_Odoo!$B:$B, MATCH(Q877, Pagos_Odoo!$I:$I, 0)), "Sin Pago"))</f>
        <v/>
      </c>
      <c r="Y877" s="79">
        <f>IF(X877="Sin Pago","",IFERROR(INDEX(Pagos_Odoo!$C:$C, MATCH(X877, Pagos_Odoo!$B:$B, 0)), ""))</f>
        <v/>
      </c>
      <c r="Z877" s="80">
        <f>IF(X877="Sin Pago","",IFERROR(INDEX(Pagos_Odoo!$A:$A, MATCH(X877, Pagos_Odoo!$B:$B, 0)), ""))</f>
        <v/>
      </c>
      <c r="AA877" s="79">
        <f>IF(X877="Sin Pago","",IFERROR(INDEX(Pagos_Odoo!$F:$F, MATCH(X877, Pagos_Odoo!$B:$B, 0)), ""))</f>
        <v/>
      </c>
      <c r="AB877" s="81">
        <f>IF(X877="Sin Pago",0,IFERROR(INDEX(Pagos_Odoo!$E:$E, MATCH(X877, Pagos_Odoo!$B:$B, 0)), 0))</f>
        <v/>
      </c>
      <c r="AC877" s="79">
        <f>IF(X877="Sin Pago","",IFERROR(INDEX(Pagos_Odoo!$G:$G, MATCH(X877, Pagos_Odoo!$B:$B, 0)), ""))</f>
        <v/>
      </c>
      <c r="AD877" s="82" t="n">
        <v>0</v>
      </c>
      <c r="AE877" s="82" t="n"/>
      <c r="AF877" s="82" t="n"/>
      <c r="AG877" s="82">
        <f>IF(AN877="","",AD877+AE877+AF877)</f>
        <v/>
      </c>
      <c r="AH877" s="81">
        <f>IF(AN877="","",P877*(1-AG877))</f>
        <v/>
      </c>
      <c r="AI877" s="81">
        <f>IF(AN877="","",IF(Q877="Sin Factura",0,IFERROR(INDEX(Facturas_Odoo!$H:$H, MATCH(Q877, Facturas_Odoo!$B:$B, 0)), 0)*(1-AG877)))</f>
        <v/>
      </c>
      <c r="AJ877" s="81">
        <f>IF(AN877="","",_xlfn.LET(idVenta, AN877&amp;"",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77" s="81">
        <f>IF(AN877="","",AH877-AJ877)</f>
        <v/>
      </c>
      <c r="AL877" s="81">
        <f>IF(AN877="","",IF(Q877="Sin Factura","",AI877-AJ877))</f>
        <v/>
      </c>
      <c r="AM877" s="81">
        <f>IF(AN877="","",IF(Q877="Sin Factura",0,P877-IFERROR(INDEX(Facturas_Odoo!$H:$H, MATCH(Q877, Facturas_Odoo!$B:$B, 0)), 0)))</f>
        <v/>
      </c>
      <c r="AN877" s="79">
        <f>IF(AND(A877="", J877=""), "", IF(A877&lt;&gt;"", VALUE(MID(A877,2,LEN(A877))), AN876))</f>
        <v/>
      </c>
      <c r="AO877" s="79">
        <f>IF(AN877="","",IF(AD877=0,"OK",_xlfn.LET(monedaPago, IF(AA877="","USD",AA877), limitePermitido, IFERROR(VLOOKUP(monedaPago, Configuración!$A$2:$B$3, 2, FALSE), 0.15), IF(AD877&gt;limitePermitido, "ALERTA: EXCESO (" &amp; TEXT(limitePermitido, "0%") &amp; " máx)", "OK"))))</f>
        <v/>
      </c>
      <c r="AP877" s="79">
        <f>IF(AN877="","",IF(AE877=0,"OK",_xlfn.LET(fechaPago, Z877, fechaFactura, R877, diasCredito, IF(E877="Pago inmediato", 0, IFERROR(VALUE(MID(E877, 1, SEARCH(" ", E877)-1)),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77" s="79">
        <f>IF(AN877="","",IF(AND(N877&gt;0, AG877&gt;0), IF(Configuración!$K$2="NO", "ALERTA: DESCUENTO DOBLE NO PERMITIDO", "OK"), "OK"))</f>
        <v/>
      </c>
      <c r="AR877" s="79">
        <f>IF(AN877="","",IF(OR(AO877&lt;&gt;"OK", AP877&lt;&gt;"OK", AQ877&lt;&gt;"OK"), "⚠️ REVISAR", "OK"))</f>
        <v/>
      </c>
    </row>
    <row r="878">
      <c r="A878" s="79">
        <f>IF('Ordenes_Odoo'!A878="","",'Ordenes_Odoo'!A878)</f>
        <v/>
      </c>
      <c r="B878" s="80">
        <f>IF('Ordenes_Odoo'!B878="","",'Ordenes_Odoo'!B878)</f>
        <v/>
      </c>
      <c r="C878" s="79">
        <f>IF('Ordenes_Odoo'!C878="","",'Ordenes_Odoo'!C878)</f>
        <v/>
      </c>
      <c r="D878" s="79">
        <f>IF('Ordenes_Odoo'!D878="","",'Ordenes_Odoo'!D878)</f>
        <v/>
      </c>
      <c r="E878" s="79">
        <f>IF('Ordenes_Odoo'!E878="","",'Ordenes_Odoo'!E878)</f>
        <v/>
      </c>
      <c r="F878" s="79">
        <f>IF('Ordenes_Odoo'!F878="","",'Ordenes_Odoo'!F878)</f>
        <v/>
      </c>
      <c r="G878" s="79">
        <f>IF('Ordenes_Odoo'!G878="","",'Ordenes_Odoo'!G878)</f>
        <v/>
      </c>
      <c r="H878" s="79">
        <f>IF('Ordenes_Odoo'!H878="","",'Ordenes_Odoo'!H878)</f>
        <v/>
      </c>
      <c r="I878" s="79">
        <f>IF('Ordenes_Odoo'!I878="","",'Ordenes_Odoo'!I878)</f>
        <v/>
      </c>
      <c r="J878" s="79">
        <f>IF('Ordenes_Odoo'!J878="","",'Ordenes_Odoo'!J878)</f>
        <v/>
      </c>
      <c r="K878" s="81">
        <f>IF('Ordenes_Odoo'!K878="","",'Ordenes_Odoo'!K878)</f>
        <v/>
      </c>
      <c r="L878" s="81">
        <f>IF('Ordenes_Odoo'!L878="","",'Ordenes_Odoo'!L878)</f>
        <v/>
      </c>
      <c r="M878" s="79">
        <f>IF('Ordenes_Odoo'!M878="","",'Ordenes_Odoo'!M878)</f>
        <v/>
      </c>
      <c r="N878" s="79">
        <f>IF('Ordenes_Odoo'!N878="","",'Ordenes_Odoo'!N878)</f>
        <v/>
      </c>
      <c r="O878" s="81">
        <f>IF('Ordenes_Odoo'!O878="","",'Ordenes_Odoo'!O878)</f>
        <v/>
      </c>
      <c r="P878" s="81">
        <f>IF('Ordenes_Odoo'!P878="","",'Ordenes_Odoo'!P878)</f>
        <v/>
      </c>
      <c r="Q878" s="79">
        <f>IF(A878="","",IFERROR(INDEX(Facturas_Odoo!$B:$B, MATCH(A878, Facturas_Odoo!$D:$D, 0)), "Sin Factura"))</f>
        <v/>
      </c>
      <c r="R878" s="80">
        <f>IF(Q878="Sin Factura","",IFERROR(INDEX(Facturas_Odoo!$A:$A, MATCH(Q878, Facturas_Odoo!$B:$B, 0)), ""))</f>
        <v/>
      </c>
      <c r="S878" s="79">
        <f>IF(Q878="Sin Factura","",IFERROR(_xlfn.XLOOKUP(1, (Facturas_Odoo!$D:$D=A878) * (Facturas_Odoo!$K:$K=I878), Facturas_Odoo!$L:$L, ""), ""))</f>
        <v/>
      </c>
      <c r="T878" s="81">
        <f>IF(Q878="Sin Factura",0,IFERROR(_xlfn.XLOOKUP(1, (Facturas_Odoo!$D:$D=A878) * (Facturas_Odoo!$K:$K=I878), Facturas_Odoo!$M:$M, 0), 0))</f>
        <v/>
      </c>
      <c r="U878" s="79">
        <f>IF(Q878="Sin Factura",0,IFERROR(_xlfn.XLOOKUP(1, (Facturas_Odoo!$D:$D=A878) * (Facturas_Odoo!$K:$K=I878), Facturas_Odoo!$N:$N, 0), 0))</f>
        <v/>
      </c>
      <c r="V878" s="79">
        <f>IF(Q878="Sin Factura",0,IFERROR(_xlfn.XLOOKUP(1, (Facturas_Odoo!$D:$D=A878) * (Facturas_Odoo!$K:$K=I878), Facturas_Odoo!$O:$O, 0), 0))</f>
        <v/>
      </c>
      <c r="W878" s="81">
        <f>IF(Q878="Sin Factura",0,IFERROR(_xlfn.XLOOKUP(1, (Facturas_Odoo!$D:$D=A878) * (Facturas_Odoo!$K:$K=I878), Facturas_Odoo!$Q:$Q, 0), 0))</f>
        <v/>
      </c>
      <c r="X878" s="79">
        <f>IF(OR(Q878="Sin Factura",Q878=""),"",IFERROR(INDEX(Pagos_Odoo!$B:$B, MATCH(Q878, Pagos_Odoo!$I:$I, 0)), "Sin Pago"))</f>
        <v/>
      </c>
      <c r="Y878" s="79">
        <f>IF(X878="Sin Pago","",IFERROR(INDEX(Pagos_Odoo!$C:$C, MATCH(X878, Pagos_Odoo!$B:$B, 0)), ""))</f>
        <v/>
      </c>
      <c r="Z878" s="80">
        <f>IF(X878="Sin Pago","",IFERROR(INDEX(Pagos_Odoo!$A:$A, MATCH(X878, Pagos_Odoo!$B:$B, 0)), ""))</f>
        <v/>
      </c>
      <c r="AA878" s="79">
        <f>IF(X878="Sin Pago","",IFERROR(INDEX(Pagos_Odoo!$F:$F, MATCH(X878, Pagos_Odoo!$B:$B, 0)), ""))</f>
        <v/>
      </c>
      <c r="AB878" s="81">
        <f>IF(X878="Sin Pago",0,IFERROR(INDEX(Pagos_Odoo!$E:$E, MATCH(X878, Pagos_Odoo!$B:$B, 0)), 0))</f>
        <v/>
      </c>
      <c r="AC878" s="79">
        <f>IF(X878="Sin Pago","",IFERROR(INDEX(Pagos_Odoo!$G:$G, MATCH(X878, Pagos_Odoo!$B:$B, 0)), ""))</f>
        <v/>
      </c>
      <c r="AD878" s="82" t="n">
        <v>0</v>
      </c>
      <c r="AE878" s="82" t="n"/>
      <c r="AF878" s="82" t="n"/>
      <c r="AG878" s="82">
        <f>IF(AN878="","",AD878+AE878+AF878)</f>
        <v/>
      </c>
      <c r="AH878" s="81">
        <f>IF(AN878="","",P878*(1-AG878))</f>
        <v/>
      </c>
      <c r="AI878" s="81">
        <f>IF(AN878="","",IF(Q878="Sin Factura",0,IFERROR(INDEX(Facturas_Odoo!$H:$H, MATCH(Q878, Facturas_Odoo!$B:$B, 0)), 0)*(1-AG878)))</f>
        <v/>
      </c>
      <c r="AJ878" s="81">
        <f>IF(AN878="","",_xlfn.LET(idVenta, AN878&amp;"",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78" s="81">
        <f>IF(AN878="","",AH878-AJ878)</f>
        <v/>
      </c>
      <c r="AL878" s="81">
        <f>IF(AN878="","",IF(Q878="Sin Factura","",AI878-AJ878))</f>
        <v/>
      </c>
      <c r="AM878" s="81">
        <f>IF(AN878="","",IF(Q878="Sin Factura",0,P878-IFERROR(INDEX(Facturas_Odoo!$H:$H, MATCH(Q878, Facturas_Odoo!$B:$B, 0)), 0)))</f>
        <v/>
      </c>
      <c r="AN878" s="79">
        <f>IF(AND(A878="", J878=""), "", IF(A878&lt;&gt;"", VALUE(MID(A878,2,LEN(A878))), AN877))</f>
        <v/>
      </c>
      <c r="AO878" s="79">
        <f>IF(AN878="","",IF(AD878=0,"OK",_xlfn.LET(monedaPago, IF(AA878="","USD",AA878), limitePermitido, IFERROR(VLOOKUP(monedaPago, Configuración!$A$2:$B$3, 2, FALSE), 0.15), IF(AD878&gt;limitePermitido, "ALERTA: EXCESO (" &amp; TEXT(limitePermitido, "0%") &amp; " máx)", "OK"))))</f>
        <v/>
      </c>
      <c r="AP878" s="79">
        <f>IF(AN878="","",IF(AE878=0,"OK",_xlfn.LET(fechaPago, Z878, fechaFactura, R878, diasCredito, IF(E878="Pago inmediato", 0, IFERROR(VALUE(MID(E878, 1, SEARCH(" ", E878)-1)),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78" s="79">
        <f>IF(AN878="","",IF(AND(N878&gt;0, AG878&gt;0), IF(Configuración!$K$2="NO", "ALERTA: DESCUENTO DOBLE NO PERMITIDO", "OK"), "OK"))</f>
        <v/>
      </c>
      <c r="AR878" s="79">
        <f>IF(AN878="","",IF(OR(AO878&lt;&gt;"OK", AP878&lt;&gt;"OK", AQ878&lt;&gt;"OK"), "⚠️ REVISAR", "OK"))</f>
        <v/>
      </c>
    </row>
    <row r="879">
      <c r="A879" s="79">
        <f>IF('Ordenes_Odoo'!A879="","",'Ordenes_Odoo'!A879)</f>
        <v/>
      </c>
      <c r="B879" s="80">
        <f>IF('Ordenes_Odoo'!B879="","",'Ordenes_Odoo'!B879)</f>
        <v/>
      </c>
      <c r="C879" s="79">
        <f>IF('Ordenes_Odoo'!C879="","",'Ordenes_Odoo'!C879)</f>
        <v/>
      </c>
      <c r="D879" s="79">
        <f>IF('Ordenes_Odoo'!D879="","",'Ordenes_Odoo'!D879)</f>
        <v/>
      </c>
      <c r="E879" s="79">
        <f>IF('Ordenes_Odoo'!E879="","",'Ordenes_Odoo'!E879)</f>
        <v/>
      </c>
      <c r="F879" s="79">
        <f>IF('Ordenes_Odoo'!F879="","",'Ordenes_Odoo'!F879)</f>
        <v/>
      </c>
      <c r="G879" s="79">
        <f>IF('Ordenes_Odoo'!G879="","",'Ordenes_Odoo'!G879)</f>
        <v/>
      </c>
      <c r="H879" s="79">
        <f>IF('Ordenes_Odoo'!H879="","",'Ordenes_Odoo'!H879)</f>
        <v/>
      </c>
      <c r="I879" s="79">
        <f>IF('Ordenes_Odoo'!I879="","",'Ordenes_Odoo'!I879)</f>
        <v/>
      </c>
      <c r="J879" s="79">
        <f>IF('Ordenes_Odoo'!J879="","",'Ordenes_Odoo'!J879)</f>
        <v/>
      </c>
      <c r="K879" s="81">
        <f>IF('Ordenes_Odoo'!K879="","",'Ordenes_Odoo'!K879)</f>
        <v/>
      </c>
      <c r="L879" s="81">
        <f>IF('Ordenes_Odoo'!L879="","",'Ordenes_Odoo'!L879)</f>
        <v/>
      </c>
      <c r="M879" s="79">
        <f>IF('Ordenes_Odoo'!M879="","",'Ordenes_Odoo'!M879)</f>
        <v/>
      </c>
      <c r="N879" s="79">
        <f>IF('Ordenes_Odoo'!N879="","",'Ordenes_Odoo'!N879)</f>
        <v/>
      </c>
      <c r="O879" s="81">
        <f>IF('Ordenes_Odoo'!O879="","",'Ordenes_Odoo'!O879)</f>
        <v/>
      </c>
      <c r="P879" s="81">
        <f>IF('Ordenes_Odoo'!P879="","",'Ordenes_Odoo'!P879)</f>
        <v/>
      </c>
      <c r="Q879" s="79">
        <f>IF(A879="","",IFERROR(INDEX(Facturas_Odoo!$B:$B, MATCH(A879, Facturas_Odoo!$D:$D, 0)), "Sin Factura"))</f>
        <v/>
      </c>
      <c r="R879" s="80">
        <f>IF(Q879="Sin Factura","",IFERROR(INDEX(Facturas_Odoo!$A:$A, MATCH(Q879, Facturas_Odoo!$B:$B, 0)), ""))</f>
        <v/>
      </c>
      <c r="S879" s="79">
        <f>IF(Q879="Sin Factura","",IFERROR(_xlfn.XLOOKUP(1, (Facturas_Odoo!$D:$D=A879) * (Facturas_Odoo!$K:$K=I879), Facturas_Odoo!$L:$L, ""), ""))</f>
        <v/>
      </c>
      <c r="T879" s="81">
        <f>IF(Q879="Sin Factura",0,IFERROR(_xlfn.XLOOKUP(1, (Facturas_Odoo!$D:$D=A879) * (Facturas_Odoo!$K:$K=I879), Facturas_Odoo!$M:$M, 0), 0))</f>
        <v/>
      </c>
      <c r="U879" s="79">
        <f>IF(Q879="Sin Factura",0,IFERROR(_xlfn.XLOOKUP(1, (Facturas_Odoo!$D:$D=A879) * (Facturas_Odoo!$K:$K=I879), Facturas_Odoo!$N:$N, 0), 0))</f>
        <v/>
      </c>
      <c r="V879" s="79">
        <f>IF(Q879="Sin Factura",0,IFERROR(_xlfn.XLOOKUP(1, (Facturas_Odoo!$D:$D=A879) * (Facturas_Odoo!$K:$K=I879), Facturas_Odoo!$O:$O, 0), 0))</f>
        <v/>
      </c>
      <c r="W879" s="81">
        <f>IF(Q879="Sin Factura",0,IFERROR(_xlfn.XLOOKUP(1, (Facturas_Odoo!$D:$D=A879) * (Facturas_Odoo!$K:$K=I879), Facturas_Odoo!$Q:$Q, 0), 0))</f>
        <v/>
      </c>
      <c r="X879" s="79">
        <f>IF(OR(Q879="Sin Factura",Q879=""),"",IFERROR(INDEX(Pagos_Odoo!$B:$B, MATCH(Q879, Pagos_Odoo!$I:$I, 0)), "Sin Pago"))</f>
        <v/>
      </c>
      <c r="Y879" s="79">
        <f>IF(X879="Sin Pago","",IFERROR(INDEX(Pagos_Odoo!$C:$C, MATCH(X879, Pagos_Odoo!$B:$B, 0)), ""))</f>
        <v/>
      </c>
      <c r="Z879" s="80">
        <f>IF(X879="Sin Pago","",IFERROR(INDEX(Pagos_Odoo!$A:$A, MATCH(X879, Pagos_Odoo!$B:$B, 0)), ""))</f>
        <v/>
      </c>
      <c r="AA879" s="79">
        <f>IF(X879="Sin Pago","",IFERROR(INDEX(Pagos_Odoo!$F:$F, MATCH(X879, Pagos_Odoo!$B:$B, 0)), ""))</f>
        <v/>
      </c>
      <c r="AB879" s="81">
        <f>IF(X879="Sin Pago",0,IFERROR(INDEX(Pagos_Odoo!$E:$E, MATCH(X879, Pagos_Odoo!$B:$B, 0)), 0))</f>
        <v/>
      </c>
      <c r="AC879" s="79">
        <f>IF(X879="Sin Pago","",IFERROR(INDEX(Pagos_Odoo!$G:$G, MATCH(X879, Pagos_Odoo!$B:$B, 0)), ""))</f>
        <v/>
      </c>
      <c r="AD879" s="82" t="n">
        <v>0</v>
      </c>
      <c r="AE879" s="82" t="n"/>
      <c r="AF879" s="82" t="n"/>
      <c r="AG879" s="82">
        <f>IF(AN879="","",AD879+AE879+AF879)</f>
        <v/>
      </c>
      <c r="AH879" s="81">
        <f>IF(AN879="","",P879*(1-AG879))</f>
        <v/>
      </c>
      <c r="AI879" s="81">
        <f>IF(AN879="","",IF(Q879="Sin Factura",0,IFERROR(INDEX(Facturas_Odoo!$H:$H, MATCH(Q879, Facturas_Odoo!$B:$B, 0)), 0)*(1-AG879)))</f>
        <v/>
      </c>
      <c r="AJ879" s="81">
        <f>IF(AN879="","",_xlfn.LET(idVenta, AN879&amp;"",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79" s="81">
        <f>IF(AN879="","",AH879-AJ879)</f>
        <v/>
      </c>
      <c r="AL879" s="81">
        <f>IF(AN879="","",IF(Q879="Sin Factura","",AI879-AJ879))</f>
        <v/>
      </c>
      <c r="AM879" s="81">
        <f>IF(AN879="","",IF(Q879="Sin Factura",0,P879-IFERROR(INDEX(Facturas_Odoo!$H:$H, MATCH(Q879, Facturas_Odoo!$B:$B, 0)), 0)))</f>
        <v/>
      </c>
      <c r="AN879" s="79">
        <f>IF(AND(A879="", J879=""), "", IF(A879&lt;&gt;"", VALUE(MID(A879,2,LEN(A879))), AN878))</f>
        <v/>
      </c>
      <c r="AO879" s="79">
        <f>IF(AN879="","",IF(AD879=0,"OK",_xlfn.LET(monedaPago, IF(AA879="","USD",AA879), limitePermitido, IFERROR(VLOOKUP(monedaPago, Configuración!$A$2:$B$3, 2, FALSE), 0.15), IF(AD879&gt;limitePermitido, "ALERTA: EXCESO (" &amp; TEXT(limitePermitido, "0%") &amp; " máx)", "OK"))))</f>
        <v/>
      </c>
      <c r="AP879" s="79">
        <f>IF(AN879="","",IF(AE879=0,"OK",_xlfn.LET(fechaPago, Z879, fechaFactura, R879, diasCredito, IF(E879="Pago inmediato", 0, IFERROR(VALUE(MID(E879, 1, SEARCH(" ", E879)-1)),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79" s="79">
        <f>IF(AN879="","",IF(AND(N879&gt;0, AG879&gt;0), IF(Configuración!$K$2="NO", "ALERTA: DESCUENTO DOBLE NO PERMITIDO", "OK"), "OK"))</f>
        <v/>
      </c>
      <c r="AR879" s="79">
        <f>IF(AN879="","",IF(OR(AO879&lt;&gt;"OK", AP879&lt;&gt;"OK", AQ879&lt;&gt;"OK"), "⚠️ REVISAR", "OK"))</f>
        <v/>
      </c>
    </row>
    <row r="880">
      <c r="A880" s="79">
        <f>IF('Ordenes_Odoo'!A880="","",'Ordenes_Odoo'!A880)</f>
        <v/>
      </c>
      <c r="B880" s="80">
        <f>IF('Ordenes_Odoo'!B880="","",'Ordenes_Odoo'!B880)</f>
        <v/>
      </c>
      <c r="C880" s="79">
        <f>IF('Ordenes_Odoo'!C880="","",'Ordenes_Odoo'!C880)</f>
        <v/>
      </c>
      <c r="D880" s="79">
        <f>IF('Ordenes_Odoo'!D880="","",'Ordenes_Odoo'!D880)</f>
        <v/>
      </c>
      <c r="E880" s="79">
        <f>IF('Ordenes_Odoo'!E880="","",'Ordenes_Odoo'!E880)</f>
        <v/>
      </c>
      <c r="F880" s="79">
        <f>IF('Ordenes_Odoo'!F880="","",'Ordenes_Odoo'!F880)</f>
        <v/>
      </c>
      <c r="G880" s="79">
        <f>IF('Ordenes_Odoo'!G880="","",'Ordenes_Odoo'!G880)</f>
        <v/>
      </c>
      <c r="H880" s="79">
        <f>IF('Ordenes_Odoo'!H880="","",'Ordenes_Odoo'!H880)</f>
        <v/>
      </c>
      <c r="I880" s="79">
        <f>IF('Ordenes_Odoo'!I880="","",'Ordenes_Odoo'!I880)</f>
        <v/>
      </c>
      <c r="J880" s="79">
        <f>IF('Ordenes_Odoo'!J880="","",'Ordenes_Odoo'!J880)</f>
        <v/>
      </c>
      <c r="K880" s="81">
        <f>IF('Ordenes_Odoo'!K880="","",'Ordenes_Odoo'!K880)</f>
        <v/>
      </c>
      <c r="L880" s="81">
        <f>IF('Ordenes_Odoo'!L880="","",'Ordenes_Odoo'!L880)</f>
        <v/>
      </c>
      <c r="M880" s="79">
        <f>IF('Ordenes_Odoo'!M880="","",'Ordenes_Odoo'!M880)</f>
        <v/>
      </c>
      <c r="N880" s="79">
        <f>IF('Ordenes_Odoo'!N880="","",'Ordenes_Odoo'!N880)</f>
        <v/>
      </c>
      <c r="O880" s="81">
        <f>IF('Ordenes_Odoo'!O880="","",'Ordenes_Odoo'!O880)</f>
        <v/>
      </c>
      <c r="P880" s="81">
        <f>IF('Ordenes_Odoo'!P880="","",'Ordenes_Odoo'!P880)</f>
        <v/>
      </c>
      <c r="Q880" s="79">
        <f>IF(A880="","",IFERROR(INDEX(Facturas_Odoo!$B:$B, MATCH(A880, Facturas_Odoo!$D:$D, 0)), "Sin Factura"))</f>
        <v/>
      </c>
      <c r="R880" s="80">
        <f>IF(Q880="Sin Factura","",IFERROR(INDEX(Facturas_Odoo!$A:$A, MATCH(Q880, Facturas_Odoo!$B:$B, 0)), ""))</f>
        <v/>
      </c>
      <c r="S880" s="79">
        <f>IF(Q880="Sin Factura","",IFERROR(_xlfn.XLOOKUP(1, (Facturas_Odoo!$D:$D=A880) * (Facturas_Odoo!$K:$K=I880), Facturas_Odoo!$L:$L, ""), ""))</f>
        <v/>
      </c>
      <c r="T880" s="81">
        <f>IF(Q880="Sin Factura",0,IFERROR(_xlfn.XLOOKUP(1, (Facturas_Odoo!$D:$D=A880) * (Facturas_Odoo!$K:$K=I880), Facturas_Odoo!$M:$M, 0), 0))</f>
        <v/>
      </c>
      <c r="U880" s="79">
        <f>IF(Q880="Sin Factura",0,IFERROR(_xlfn.XLOOKUP(1, (Facturas_Odoo!$D:$D=A880) * (Facturas_Odoo!$K:$K=I880), Facturas_Odoo!$N:$N, 0), 0))</f>
        <v/>
      </c>
      <c r="V880" s="79">
        <f>IF(Q880="Sin Factura",0,IFERROR(_xlfn.XLOOKUP(1, (Facturas_Odoo!$D:$D=A880) * (Facturas_Odoo!$K:$K=I880), Facturas_Odoo!$O:$O, 0), 0))</f>
        <v/>
      </c>
      <c r="W880" s="81">
        <f>IF(Q880="Sin Factura",0,IFERROR(_xlfn.XLOOKUP(1, (Facturas_Odoo!$D:$D=A880) * (Facturas_Odoo!$K:$K=I880), Facturas_Odoo!$Q:$Q, 0), 0))</f>
        <v/>
      </c>
      <c r="X880" s="79">
        <f>IF(OR(Q880="Sin Factura",Q880=""),"",IFERROR(INDEX(Pagos_Odoo!$B:$B, MATCH(Q880, Pagos_Odoo!$I:$I, 0)), "Sin Pago"))</f>
        <v/>
      </c>
      <c r="Y880" s="79">
        <f>IF(X880="Sin Pago","",IFERROR(INDEX(Pagos_Odoo!$C:$C, MATCH(X880, Pagos_Odoo!$B:$B, 0)), ""))</f>
        <v/>
      </c>
      <c r="Z880" s="80">
        <f>IF(X880="Sin Pago","",IFERROR(INDEX(Pagos_Odoo!$A:$A, MATCH(X880, Pagos_Odoo!$B:$B, 0)), ""))</f>
        <v/>
      </c>
      <c r="AA880" s="79">
        <f>IF(X880="Sin Pago","",IFERROR(INDEX(Pagos_Odoo!$F:$F, MATCH(X880, Pagos_Odoo!$B:$B, 0)), ""))</f>
        <v/>
      </c>
      <c r="AB880" s="81">
        <f>IF(X880="Sin Pago",0,IFERROR(INDEX(Pagos_Odoo!$E:$E, MATCH(X880, Pagos_Odoo!$B:$B, 0)), 0))</f>
        <v/>
      </c>
      <c r="AC880" s="79">
        <f>IF(X880="Sin Pago","",IFERROR(INDEX(Pagos_Odoo!$G:$G, MATCH(X880, Pagos_Odoo!$B:$B, 0)), ""))</f>
        <v/>
      </c>
      <c r="AD880" s="82" t="n">
        <v>0</v>
      </c>
      <c r="AE880" s="82" t="n"/>
      <c r="AF880" s="82" t="n"/>
      <c r="AG880" s="82">
        <f>IF(AN880="","",AD880+AE880+AF880)</f>
        <v/>
      </c>
      <c r="AH880" s="81">
        <f>IF(AN880="","",P880*(1-AG880))</f>
        <v/>
      </c>
      <c r="AI880" s="81">
        <f>IF(AN880="","",IF(Q880="Sin Factura",0,IFERROR(INDEX(Facturas_Odoo!$H:$H, MATCH(Q880, Facturas_Odoo!$B:$B, 0)), 0)*(1-AG880)))</f>
        <v/>
      </c>
      <c r="AJ880" s="81">
        <f>IF(AN880="","",_xlfn.LET(idVenta, AN880&amp;"",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80" s="81">
        <f>IF(AN880="","",AH880-AJ880)</f>
        <v/>
      </c>
      <c r="AL880" s="81">
        <f>IF(AN880="","",IF(Q880="Sin Factura","",AI880-AJ880))</f>
        <v/>
      </c>
      <c r="AM880" s="81">
        <f>IF(AN880="","",IF(Q880="Sin Factura",0,P880-IFERROR(INDEX(Facturas_Odoo!$H:$H, MATCH(Q880, Facturas_Odoo!$B:$B, 0)), 0)))</f>
        <v/>
      </c>
      <c r="AN880" s="79">
        <f>IF(AND(A880="", J880=""), "", IF(A880&lt;&gt;"", VALUE(MID(A880,2,LEN(A880))), AN879))</f>
        <v/>
      </c>
      <c r="AO880" s="79">
        <f>IF(AN880="","",IF(AD880=0,"OK",_xlfn.LET(monedaPago, IF(AA880="","USD",AA880), limitePermitido, IFERROR(VLOOKUP(monedaPago, Configuración!$A$2:$B$3, 2, FALSE), 0.15), IF(AD880&gt;limitePermitido, "ALERTA: EXCESO (" &amp; TEXT(limitePermitido, "0%") &amp; " máx)", "OK"))))</f>
        <v/>
      </c>
      <c r="AP880" s="79">
        <f>IF(AN880="","",IF(AE880=0,"OK",_xlfn.LET(fechaPago, Z880, fechaFactura, R880, diasCredito, IF(E880="Pago inmediato", 0, IFERROR(VALUE(MID(E880, 1, SEARCH(" ", E880)-1)),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80" s="79">
        <f>IF(AN880="","",IF(AND(N880&gt;0, AG880&gt;0), IF(Configuración!$K$2="NO", "ALERTA: DESCUENTO DOBLE NO PERMITIDO", "OK"), "OK"))</f>
        <v/>
      </c>
      <c r="AR880" s="79">
        <f>IF(AN880="","",IF(OR(AO880&lt;&gt;"OK", AP880&lt;&gt;"OK", AQ880&lt;&gt;"OK"), "⚠️ REVISAR", "OK"))</f>
        <v/>
      </c>
    </row>
    <row r="881">
      <c r="A881" s="79">
        <f>IF('Ordenes_Odoo'!A881="","",'Ordenes_Odoo'!A881)</f>
        <v/>
      </c>
      <c r="B881" s="80">
        <f>IF('Ordenes_Odoo'!B881="","",'Ordenes_Odoo'!B881)</f>
        <v/>
      </c>
      <c r="C881" s="79">
        <f>IF('Ordenes_Odoo'!C881="","",'Ordenes_Odoo'!C881)</f>
        <v/>
      </c>
      <c r="D881" s="79">
        <f>IF('Ordenes_Odoo'!D881="","",'Ordenes_Odoo'!D881)</f>
        <v/>
      </c>
      <c r="E881" s="79">
        <f>IF('Ordenes_Odoo'!E881="","",'Ordenes_Odoo'!E881)</f>
        <v/>
      </c>
      <c r="F881" s="79">
        <f>IF('Ordenes_Odoo'!F881="","",'Ordenes_Odoo'!F881)</f>
        <v/>
      </c>
      <c r="G881" s="79">
        <f>IF('Ordenes_Odoo'!G881="","",'Ordenes_Odoo'!G881)</f>
        <v/>
      </c>
      <c r="H881" s="79">
        <f>IF('Ordenes_Odoo'!H881="","",'Ordenes_Odoo'!H881)</f>
        <v/>
      </c>
      <c r="I881" s="79">
        <f>IF('Ordenes_Odoo'!I881="","",'Ordenes_Odoo'!I881)</f>
        <v/>
      </c>
      <c r="J881" s="79">
        <f>IF('Ordenes_Odoo'!J881="","",'Ordenes_Odoo'!J881)</f>
        <v/>
      </c>
      <c r="K881" s="81">
        <f>IF('Ordenes_Odoo'!K881="","",'Ordenes_Odoo'!K881)</f>
        <v/>
      </c>
      <c r="L881" s="81">
        <f>IF('Ordenes_Odoo'!L881="","",'Ordenes_Odoo'!L881)</f>
        <v/>
      </c>
      <c r="M881" s="79">
        <f>IF('Ordenes_Odoo'!M881="","",'Ordenes_Odoo'!M881)</f>
        <v/>
      </c>
      <c r="N881" s="79">
        <f>IF('Ordenes_Odoo'!N881="","",'Ordenes_Odoo'!N881)</f>
        <v/>
      </c>
      <c r="O881" s="81">
        <f>IF('Ordenes_Odoo'!O881="","",'Ordenes_Odoo'!O881)</f>
        <v/>
      </c>
      <c r="P881" s="81">
        <f>IF('Ordenes_Odoo'!P881="","",'Ordenes_Odoo'!P881)</f>
        <v/>
      </c>
      <c r="Q881" s="79">
        <f>IF(A881="","",IFERROR(INDEX(Facturas_Odoo!$B:$B, MATCH(A881, Facturas_Odoo!$D:$D, 0)), "Sin Factura"))</f>
        <v/>
      </c>
      <c r="R881" s="80">
        <f>IF(Q881="Sin Factura","",IFERROR(INDEX(Facturas_Odoo!$A:$A, MATCH(Q881, Facturas_Odoo!$B:$B, 0)), ""))</f>
        <v/>
      </c>
      <c r="S881" s="79">
        <f>IF(Q881="Sin Factura","",IFERROR(_xlfn.XLOOKUP(1, (Facturas_Odoo!$D:$D=A881) * (Facturas_Odoo!$K:$K=I881), Facturas_Odoo!$L:$L, ""), ""))</f>
        <v/>
      </c>
      <c r="T881" s="81">
        <f>IF(Q881="Sin Factura",0,IFERROR(_xlfn.XLOOKUP(1, (Facturas_Odoo!$D:$D=A881) * (Facturas_Odoo!$K:$K=I881), Facturas_Odoo!$M:$M, 0), 0))</f>
        <v/>
      </c>
      <c r="U881" s="79">
        <f>IF(Q881="Sin Factura",0,IFERROR(_xlfn.XLOOKUP(1, (Facturas_Odoo!$D:$D=A881) * (Facturas_Odoo!$K:$K=I881), Facturas_Odoo!$N:$N, 0), 0))</f>
        <v/>
      </c>
      <c r="V881" s="79">
        <f>IF(Q881="Sin Factura",0,IFERROR(_xlfn.XLOOKUP(1, (Facturas_Odoo!$D:$D=A881) * (Facturas_Odoo!$K:$K=I881), Facturas_Odoo!$O:$O, 0), 0))</f>
        <v/>
      </c>
      <c r="W881" s="81">
        <f>IF(Q881="Sin Factura",0,IFERROR(_xlfn.XLOOKUP(1, (Facturas_Odoo!$D:$D=A881) * (Facturas_Odoo!$K:$K=I881), Facturas_Odoo!$Q:$Q, 0), 0))</f>
        <v/>
      </c>
      <c r="X881" s="79">
        <f>IF(OR(Q881="Sin Factura",Q881=""),"",IFERROR(INDEX(Pagos_Odoo!$B:$B, MATCH(Q881, Pagos_Odoo!$I:$I, 0)), "Sin Pago"))</f>
        <v/>
      </c>
      <c r="Y881" s="79">
        <f>IF(X881="Sin Pago","",IFERROR(INDEX(Pagos_Odoo!$C:$C, MATCH(X881, Pagos_Odoo!$B:$B, 0)), ""))</f>
        <v/>
      </c>
      <c r="Z881" s="80">
        <f>IF(X881="Sin Pago","",IFERROR(INDEX(Pagos_Odoo!$A:$A, MATCH(X881, Pagos_Odoo!$B:$B, 0)), ""))</f>
        <v/>
      </c>
      <c r="AA881" s="79">
        <f>IF(X881="Sin Pago","",IFERROR(INDEX(Pagos_Odoo!$F:$F, MATCH(X881, Pagos_Odoo!$B:$B, 0)), ""))</f>
        <v/>
      </c>
      <c r="AB881" s="81">
        <f>IF(X881="Sin Pago",0,IFERROR(INDEX(Pagos_Odoo!$E:$E, MATCH(X881, Pagos_Odoo!$B:$B, 0)), 0))</f>
        <v/>
      </c>
      <c r="AC881" s="79">
        <f>IF(X881="Sin Pago","",IFERROR(INDEX(Pagos_Odoo!$G:$G, MATCH(X881, Pagos_Odoo!$B:$B, 0)), ""))</f>
        <v/>
      </c>
      <c r="AD881" s="82" t="n">
        <v>0</v>
      </c>
      <c r="AE881" s="82" t="n"/>
      <c r="AF881" s="82" t="n"/>
      <c r="AG881" s="82">
        <f>IF(AN881="","",AD881+AE881+AF881)</f>
        <v/>
      </c>
      <c r="AH881" s="81">
        <f>IF(AN881="","",P881*(1-AG881))</f>
        <v/>
      </c>
      <c r="AI881" s="81">
        <f>IF(AN881="","",IF(Q881="Sin Factura",0,IFERROR(INDEX(Facturas_Odoo!$H:$H, MATCH(Q881, Facturas_Odoo!$B:$B, 0)), 0)*(1-AG881)))</f>
        <v/>
      </c>
      <c r="AJ881" s="81">
        <f>IF(AN881="","",_xlfn.LET(idVenta, AN881&amp;"",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81" s="81">
        <f>IF(AN881="","",AH881-AJ881)</f>
        <v/>
      </c>
      <c r="AL881" s="81">
        <f>IF(AN881="","",IF(Q881="Sin Factura","",AI881-AJ881))</f>
        <v/>
      </c>
      <c r="AM881" s="81">
        <f>IF(AN881="","",IF(Q881="Sin Factura",0,P881-IFERROR(INDEX(Facturas_Odoo!$H:$H, MATCH(Q881, Facturas_Odoo!$B:$B, 0)), 0)))</f>
        <v/>
      </c>
      <c r="AN881" s="79">
        <f>IF(AND(A881="", J881=""), "", IF(A881&lt;&gt;"", VALUE(MID(A881,2,LEN(A881))), AN880))</f>
        <v/>
      </c>
      <c r="AO881" s="79">
        <f>IF(AN881="","",IF(AD881=0,"OK",_xlfn.LET(monedaPago, IF(AA881="","USD",AA881), limitePermitido, IFERROR(VLOOKUP(monedaPago, Configuración!$A$2:$B$3, 2, FALSE), 0.15), IF(AD881&gt;limitePermitido, "ALERTA: EXCESO (" &amp; TEXT(limitePermitido, "0%") &amp; " máx)", "OK"))))</f>
        <v/>
      </c>
      <c r="AP881" s="79">
        <f>IF(AN881="","",IF(AE881=0,"OK",_xlfn.LET(fechaPago, Z881, fechaFactura, R881, diasCredito, IF(E881="Pago inmediato", 0, IFERROR(VALUE(MID(E881, 1, SEARCH(" ", E881)-1)),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81" s="79">
        <f>IF(AN881="","",IF(AND(N881&gt;0, AG881&gt;0), IF(Configuración!$K$2="NO", "ALERTA: DESCUENTO DOBLE NO PERMITIDO", "OK"), "OK"))</f>
        <v/>
      </c>
      <c r="AR881" s="79">
        <f>IF(AN881="","",IF(OR(AO881&lt;&gt;"OK", AP881&lt;&gt;"OK", AQ881&lt;&gt;"OK"), "⚠️ REVISAR", "OK"))</f>
        <v/>
      </c>
    </row>
    <row r="882">
      <c r="A882" s="79">
        <f>IF('Ordenes_Odoo'!A882="","",'Ordenes_Odoo'!A882)</f>
        <v/>
      </c>
      <c r="B882" s="80">
        <f>IF('Ordenes_Odoo'!B882="","",'Ordenes_Odoo'!B882)</f>
        <v/>
      </c>
      <c r="C882" s="79">
        <f>IF('Ordenes_Odoo'!C882="","",'Ordenes_Odoo'!C882)</f>
        <v/>
      </c>
      <c r="D882" s="79">
        <f>IF('Ordenes_Odoo'!D882="","",'Ordenes_Odoo'!D882)</f>
        <v/>
      </c>
      <c r="E882" s="79">
        <f>IF('Ordenes_Odoo'!E882="","",'Ordenes_Odoo'!E882)</f>
        <v/>
      </c>
      <c r="F882" s="79">
        <f>IF('Ordenes_Odoo'!F882="","",'Ordenes_Odoo'!F882)</f>
        <v/>
      </c>
      <c r="G882" s="79">
        <f>IF('Ordenes_Odoo'!G882="","",'Ordenes_Odoo'!G882)</f>
        <v/>
      </c>
      <c r="H882" s="79">
        <f>IF('Ordenes_Odoo'!H882="","",'Ordenes_Odoo'!H882)</f>
        <v/>
      </c>
      <c r="I882" s="79">
        <f>IF('Ordenes_Odoo'!I882="","",'Ordenes_Odoo'!I882)</f>
        <v/>
      </c>
      <c r="J882" s="79">
        <f>IF('Ordenes_Odoo'!J882="","",'Ordenes_Odoo'!J882)</f>
        <v/>
      </c>
      <c r="K882" s="81">
        <f>IF('Ordenes_Odoo'!K882="","",'Ordenes_Odoo'!K882)</f>
        <v/>
      </c>
      <c r="L882" s="81">
        <f>IF('Ordenes_Odoo'!L882="","",'Ordenes_Odoo'!L882)</f>
        <v/>
      </c>
      <c r="M882" s="79">
        <f>IF('Ordenes_Odoo'!M882="","",'Ordenes_Odoo'!M882)</f>
        <v/>
      </c>
      <c r="N882" s="79">
        <f>IF('Ordenes_Odoo'!N882="","",'Ordenes_Odoo'!N882)</f>
        <v/>
      </c>
      <c r="O882" s="81">
        <f>IF('Ordenes_Odoo'!O882="","",'Ordenes_Odoo'!O882)</f>
        <v/>
      </c>
      <c r="P882" s="81">
        <f>IF('Ordenes_Odoo'!P882="","",'Ordenes_Odoo'!P882)</f>
        <v/>
      </c>
      <c r="Q882" s="79">
        <f>IF(A882="","",IFERROR(INDEX(Facturas_Odoo!$B:$B, MATCH(A882, Facturas_Odoo!$D:$D, 0)), "Sin Factura"))</f>
        <v/>
      </c>
      <c r="R882" s="80">
        <f>IF(Q882="Sin Factura","",IFERROR(INDEX(Facturas_Odoo!$A:$A, MATCH(Q882, Facturas_Odoo!$B:$B, 0)), ""))</f>
        <v/>
      </c>
      <c r="S882" s="79">
        <f>IF(Q882="Sin Factura","",IFERROR(_xlfn.XLOOKUP(1, (Facturas_Odoo!$D:$D=A882) * (Facturas_Odoo!$K:$K=I882), Facturas_Odoo!$L:$L, ""), ""))</f>
        <v/>
      </c>
      <c r="T882" s="81">
        <f>IF(Q882="Sin Factura",0,IFERROR(_xlfn.XLOOKUP(1, (Facturas_Odoo!$D:$D=A882) * (Facturas_Odoo!$K:$K=I882), Facturas_Odoo!$M:$M, 0), 0))</f>
        <v/>
      </c>
      <c r="U882" s="79">
        <f>IF(Q882="Sin Factura",0,IFERROR(_xlfn.XLOOKUP(1, (Facturas_Odoo!$D:$D=A882) * (Facturas_Odoo!$K:$K=I882), Facturas_Odoo!$N:$N, 0), 0))</f>
        <v/>
      </c>
      <c r="V882" s="79">
        <f>IF(Q882="Sin Factura",0,IFERROR(_xlfn.XLOOKUP(1, (Facturas_Odoo!$D:$D=A882) * (Facturas_Odoo!$K:$K=I882), Facturas_Odoo!$O:$O, 0), 0))</f>
        <v/>
      </c>
      <c r="W882" s="81">
        <f>IF(Q882="Sin Factura",0,IFERROR(_xlfn.XLOOKUP(1, (Facturas_Odoo!$D:$D=A882) * (Facturas_Odoo!$K:$K=I882), Facturas_Odoo!$Q:$Q, 0), 0))</f>
        <v/>
      </c>
      <c r="X882" s="79">
        <f>IF(OR(Q882="Sin Factura",Q882=""),"",IFERROR(INDEX(Pagos_Odoo!$B:$B, MATCH(Q882, Pagos_Odoo!$I:$I, 0)), "Sin Pago"))</f>
        <v/>
      </c>
      <c r="Y882" s="79">
        <f>IF(X882="Sin Pago","",IFERROR(INDEX(Pagos_Odoo!$C:$C, MATCH(X882, Pagos_Odoo!$B:$B, 0)), ""))</f>
        <v/>
      </c>
      <c r="Z882" s="80">
        <f>IF(X882="Sin Pago","",IFERROR(INDEX(Pagos_Odoo!$A:$A, MATCH(X882, Pagos_Odoo!$B:$B, 0)), ""))</f>
        <v/>
      </c>
      <c r="AA882" s="79">
        <f>IF(X882="Sin Pago","",IFERROR(INDEX(Pagos_Odoo!$F:$F, MATCH(X882, Pagos_Odoo!$B:$B, 0)), ""))</f>
        <v/>
      </c>
      <c r="AB882" s="81">
        <f>IF(X882="Sin Pago",0,IFERROR(INDEX(Pagos_Odoo!$E:$E, MATCH(X882, Pagos_Odoo!$B:$B, 0)), 0))</f>
        <v/>
      </c>
      <c r="AC882" s="79">
        <f>IF(X882="Sin Pago","",IFERROR(INDEX(Pagos_Odoo!$G:$G, MATCH(X882, Pagos_Odoo!$B:$B, 0)), ""))</f>
        <v/>
      </c>
      <c r="AD882" s="82" t="n">
        <v>0</v>
      </c>
      <c r="AE882" s="82" t="n"/>
      <c r="AF882" s="82" t="n"/>
      <c r="AG882" s="82">
        <f>IF(AN882="","",AD882+AE882+AF882)</f>
        <v/>
      </c>
      <c r="AH882" s="81">
        <f>IF(AN882="","",P882*(1-AG882))</f>
        <v/>
      </c>
      <c r="AI882" s="81">
        <f>IF(AN882="","",IF(Q882="Sin Factura",0,IFERROR(INDEX(Facturas_Odoo!$H:$H, MATCH(Q882, Facturas_Odoo!$B:$B, 0)), 0)*(1-AG882)))</f>
        <v/>
      </c>
      <c r="AJ882" s="81">
        <f>IF(AN882="","",_xlfn.LET(idVenta, AN882&amp;"",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82" s="81">
        <f>IF(AN882="","",AH882-AJ882)</f>
        <v/>
      </c>
      <c r="AL882" s="81">
        <f>IF(AN882="","",IF(Q882="Sin Factura","",AI882-AJ882))</f>
        <v/>
      </c>
      <c r="AM882" s="81">
        <f>IF(AN882="","",IF(Q882="Sin Factura",0,P882-IFERROR(INDEX(Facturas_Odoo!$H:$H, MATCH(Q882, Facturas_Odoo!$B:$B, 0)), 0)))</f>
        <v/>
      </c>
      <c r="AN882" s="79">
        <f>IF(AND(A882="", J882=""), "", IF(A882&lt;&gt;"", VALUE(MID(A882,2,LEN(A882))), AN881))</f>
        <v/>
      </c>
      <c r="AO882" s="79">
        <f>IF(AN882="","",IF(AD882=0,"OK",_xlfn.LET(monedaPago, IF(AA882="","USD",AA882), limitePermitido, IFERROR(VLOOKUP(monedaPago, Configuración!$A$2:$B$3, 2, FALSE), 0.15), IF(AD882&gt;limitePermitido, "ALERTA: EXCESO (" &amp; TEXT(limitePermitido, "0%") &amp; " máx)", "OK"))))</f>
        <v/>
      </c>
      <c r="AP882" s="79">
        <f>IF(AN882="","",IF(AE882=0,"OK",_xlfn.LET(fechaPago, Z882, fechaFactura, R882, diasCredito, IF(E882="Pago inmediato", 0, IFERROR(VALUE(MID(E882, 1, SEARCH(" ", E882)-1)),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82" s="79">
        <f>IF(AN882="","",IF(AND(N882&gt;0, AG882&gt;0), IF(Configuración!$K$2="NO", "ALERTA: DESCUENTO DOBLE NO PERMITIDO", "OK"), "OK"))</f>
        <v/>
      </c>
      <c r="AR882" s="79">
        <f>IF(AN882="","",IF(OR(AO882&lt;&gt;"OK", AP882&lt;&gt;"OK", AQ882&lt;&gt;"OK"), "⚠️ REVISAR", "OK"))</f>
        <v/>
      </c>
    </row>
    <row r="883">
      <c r="A883" s="79">
        <f>IF('Ordenes_Odoo'!A883="","",'Ordenes_Odoo'!A883)</f>
        <v/>
      </c>
      <c r="B883" s="80">
        <f>IF('Ordenes_Odoo'!B883="","",'Ordenes_Odoo'!B883)</f>
        <v/>
      </c>
      <c r="C883" s="79">
        <f>IF('Ordenes_Odoo'!C883="","",'Ordenes_Odoo'!C883)</f>
        <v/>
      </c>
      <c r="D883" s="79">
        <f>IF('Ordenes_Odoo'!D883="","",'Ordenes_Odoo'!D883)</f>
        <v/>
      </c>
      <c r="E883" s="79">
        <f>IF('Ordenes_Odoo'!E883="","",'Ordenes_Odoo'!E883)</f>
        <v/>
      </c>
      <c r="F883" s="79">
        <f>IF('Ordenes_Odoo'!F883="","",'Ordenes_Odoo'!F883)</f>
        <v/>
      </c>
      <c r="G883" s="79">
        <f>IF('Ordenes_Odoo'!G883="","",'Ordenes_Odoo'!G883)</f>
        <v/>
      </c>
      <c r="H883" s="79">
        <f>IF('Ordenes_Odoo'!H883="","",'Ordenes_Odoo'!H883)</f>
        <v/>
      </c>
      <c r="I883" s="79">
        <f>IF('Ordenes_Odoo'!I883="","",'Ordenes_Odoo'!I883)</f>
        <v/>
      </c>
      <c r="J883" s="79">
        <f>IF('Ordenes_Odoo'!J883="","",'Ordenes_Odoo'!J883)</f>
        <v/>
      </c>
      <c r="K883" s="81">
        <f>IF('Ordenes_Odoo'!K883="","",'Ordenes_Odoo'!K883)</f>
        <v/>
      </c>
      <c r="L883" s="81">
        <f>IF('Ordenes_Odoo'!L883="","",'Ordenes_Odoo'!L883)</f>
        <v/>
      </c>
      <c r="M883" s="79">
        <f>IF('Ordenes_Odoo'!M883="","",'Ordenes_Odoo'!M883)</f>
        <v/>
      </c>
      <c r="N883" s="79">
        <f>IF('Ordenes_Odoo'!N883="","",'Ordenes_Odoo'!N883)</f>
        <v/>
      </c>
      <c r="O883" s="81">
        <f>IF('Ordenes_Odoo'!O883="","",'Ordenes_Odoo'!O883)</f>
        <v/>
      </c>
      <c r="P883" s="81">
        <f>IF('Ordenes_Odoo'!P883="","",'Ordenes_Odoo'!P883)</f>
        <v/>
      </c>
      <c r="Q883" s="79">
        <f>IF(A883="","",IFERROR(INDEX(Facturas_Odoo!$B:$B, MATCH(A883, Facturas_Odoo!$D:$D, 0)), "Sin Factura"))</f>
        <v/>
      </c>
      <c r="R883" s="80">
        <f>IF(Q883="Sin Factura","",IFERROR(INDEX(Facturas_Odoo!$A:$A, MATCH(Q883, Facturas_Odoo!$B:$B, 0)), ""))</f>
        <v/>
      </c>
      <c r="S883" s="79">
        <f>IF(Q883="Sin Factura","",IFERROR(_xlfn.XLOOKUP(1, (Facturas_Odoo!$D:$D=A883) * (Facturas_Odoo!$K:$K=I883), Facturas_Odoo!$L:$L, ""), ""))</f>
        <v/>
      </c>
      <c r="T883" s="81">
        <f>IF(Q883="Sin Factura",0,IFERROR(_xlfn.XLOOKUP(1, (Facturas_Odoo!$D:$D=A883) * (Facturas_Odoo!$K:$K=I883), Facturas_Odoo!$M:$M, 0), 0))</f>
        <v/>
      </c>
      <c r="U883" s="79">
        <f>IF(Q883="Sin Factura",0,IFERROR(_xlfn.XLOOKUP(1, (Facturas_Odoo!$D:$D=A883) * (Facturas_Odoo!$K:$K=I883), Facturas_Odoo!$N:$N, 0), 0))</f>
        <v/>
      </c>
      <c r="V883" s="79">
        <f>IF(Q883="Sin Factura",0,IFERROR(_xlfn.XLOOKUP(1, (Facturas_Odoo!$D:$D=A883) * (Facturas_Odoo!$K:$K=I883), Facturas_Odoo!$O:$O, 0), 0))</f>
        <v/>
      </c>
      <c r="W883" s="81">
        <f>IF(Q883="Sin Factura",0,IFERROR(_xlfn.XLOOKUP(1, (Facturas_Odoo!$D:$D=A883) * (Facturas_Odoo!$K:$K=I883), Facturas_Odoo!$Q:$Q, 0), 0))</f>
        <v/>
      </c>
      <c r="X883" s="79">
        <f>IF(OR(Q883="Sin Factura",Q883=""),"",IFERROR(INDEX(Pagos_Odoo!$B:$B, MATCH(Q883, Pagos_Odoo!$I:$I, 0)), "Sin Pago"))</f>
        <v/>
      </c>
      <c r="Y883" s="79">
        <f>IF(X883="Sin Pago","",IFERROR(INDEX(Pagos_Odoo!$C:$C, MATCH(X883, Pagos_Odoo!$B:$B, 0)), ""))</f>
        <v/>
      </c>
      <c r="Z883" s="80">
        <f>IF(X883="Sin Pago","",IFERROR(INDEX(Pagos_Odoo!$A:$A, MATCH(X883, Pagos_Odoo!$B:$B, 0)), ""))</f>
        <v/>
      </c>
      <c r="AA883" s="79">
        <f>IF(X883="Sin Pago","",IFERROR(INDEX(Pagos_Odoo!$F:$F, MATCH(X883, Pagos_Odoo!$B:$B, 0)), ""))</f>
        <v/>
      </c>
      <c r="AB883" s="81">
        <f>IF(X883="Sin Pago",0,IFERROR(INDEX(Pagos_Odoo!$E:$E, MATCH(X883, Pagos_Odoo!$B:$B, 0)), 0))</f>
        <v/>
      </c>
      <c r="AC883" s="79">
        <f>IF(X883="Sin Pago","",IFERROR(INDEX(Pagos_Odoo!$G:$G, MATCH(X883, Pagos_Odoo!$B:$B, 0)), ""))</f>
        <v/>
      </c>
      <c r="AD883" s="82" t="n">
        <v>0</v>
      </c>
      <c r="AE883" s="82" t="n">
        <v>0.06</v>
      </c>
      <c r="AF883" s="82" t="n"/>
      <c r="AG883" s="82">
        <f>IF(AN883="","",AD883+AE883+AF883)</f>
        <v/>
      </c>
      <c r="AH883" s="81">
        <f>IF(AN883="","",P883*(1-AG883))</f>
        <v/>
      </c>
      <c r="AI883" s="81">
        <f>IF(AN883="","",IF(Q883="Sin Factura",0,IFERROR(INDEX(Facturas_Odoo!$H:$H, MATCH(Q883, Facturas_Odoo!$B:$B, 0)), 0)*(1-AG883)))</f>
        <v/>
      </c>
      <c r="AJ883" s="81">
        <f>IF(AN883="","",_xlfn.LET(idVenta, AN883&amp;"",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83" s="81">
        <f>IF(AN883="","",AH883-AJ883)</f>
        <v/>
      </c>
      <c r="AL883" s="81">
        <f>IF(AN883="","",IF(Q883="Sin Factura","",AI883-AJ883))</f>
        <v/>
      </c>
      <c r="AM883" s="81">
        <f>IF(AN883="","",IF(Q883="Sin Factura",0,P883-IFERROR(INDEX(Facturas_Odoo!$H:$H, MATCH(Q883, Facturas_Odoo!$B:$B, 0)), 0)))</f>
        <v/>
      </c>
      <c r="AN883" s="79">
        <f>IF(AND(A883="", J883=""), "", IF(A883&lt;&gt;"", VALUE(MID(A883,2,LEN(A883))), AN882))</f>
        <v/>
      </c>
      <c r="AO883" s="79">
        <f>IF(AN883="","",IF(AD883=0,"OK",_xlfn.LET(monedaPago, IF(AA883="","USD",AA883), limitePermitido, IFERROR(VLOOKUP(monedaPago, Configuración!$A$2:$B$3, 2, FALSE), 0.15), IF(AD883&gt;limitePermitido, "ALERTA: EXCESO (" &amp; TEXT(limitePermitido, "0%") &amp; " máx)", "OK"))))</f>
        <v/>
      </c>
      <c r="AP883" s="79">
        <f>IF(AN883="","",IF(AE883=0,"OK",_xlfn.LET(fechaPago, Z883, fechaFactura, R883, diasCredito, IF(E883="Pago inmediato", 0, IFERROR(VALUE(MID(E883, 1, SEARCH(" ", E883)-1)),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83" s="79">
        <f>IF(AN883="","",IF(AND(N883&gt;0, AG883&gt;0), IF(Configuración!$K$2="NO", "ALERTA: DESCUENTO DOBLE NO PERMITIDO", "OK"), "OK"))</f>
        <v/>
      </c>
      <c r="AR883" s="79">
        <f>IF(AN883="","",IF(OR(AO883&lt;&gt;"OK", AP883&lt;&gt;"OK", AQ883&lt;&gt;"OK"), "⚠️ REVISAR", "OK"))</f>
        <v/>
      </c>
    </row>
    <row r="884">
      <c r="A884" s="79">
        <f>IF('Ordenes_Odoo'!A884="","",'Ordenes_Odoo'!A884)</f>
        <v/>
      </c>
      <c r="B884" s="80">
        <f>IF('Ordenes_Odoo'!B884="","",'Ordenes_Odoo'!B884)</f>
        <v/>
      </c>
      <c r="C884" s="79">
        <f>IF('Ordenes_Odoo'!C884="","",'Ordenes_Odoo'!C884)</f>
        <v/>
      </c>
      <c r="D884" s="79">
        <f>IF('Ordenes_Odoo'!D884="","",'Ordenes_Odoo'!D884)</f>
        <v/>
      </c>
      <c r="E884" s="79">
        <f>IF('Ordenes_Odoo'!E884="","",'Ordenes_Odoo'!E884)</f>
        <v/>
      </c>
      <c r="F884" s="79">
        <f>IF('Ordenes_Odoo'!F884="","",'Ordenes_Odoo'!F884)</f>
        <v/>
      </c>
      <c r="G884" s="79">
        <f>IF('Ordenes_Odoo'!G884="","",'Ordenes_Odoo'!G884)</f>
        <v/>
      </c>
      <c r="H884" s="79">
        <f>IF('Ordenes_Odoo'!H884="","",'Ordenes_Odoo'!H884)</f>
        <v/>
      </c>
      <c r="I884" s="79">
        <f>IF('Ordenes_Odoo'!I884="","",'Ordenes_Odoo'!I884)</f>
        <v/>
      </c>
      <c r="J884" s="79">
        <f>IF('Ordenes_Odoo'!J884="","",'Ordenes_Odoo'!J884)</f>
        <v/>
      </c>
      <c r="K884" s="81">
        <f>IF('Ordenes_Odoo'!K884="","",'Ordenes_Odoo'!K884)</f>
        <v/>
      </c>
      <c r="L884" s="81">
        <f>IF('Ordenes_Odoo'!L884="","",'Ordenes_Odoo'!L884)</f>
        <v/>
      </c>
      <c r="M884" s="79">
        <f>IF('Ordenes_Odoo'!M884="","",'Ordenes_Odoo'!M884)</f>
        <v/>
      </c>
      <c r="N884" s="79">
        <f>IF('Ordenes_Odoo'!N884="","",'Ordenes_Odoo'!N884)</f>
        <v/>
      </c>
      <c r="O884" s="81">
        <f>IF('Ordenes_Odoo'!O884="","",'Ordenes_Odoo'!O884)</f>
        <v/>
      </c>
      <c r="P884" s="81">
        <f>IF('Ordenes_Odoo'!P884="","",'Ordenes_Odoo'!P884)</f>
        <v/>
      </c>
      <c r="Q884" s="79">
        <f>IF(A884="","",IFERROR(INDEX(Facturas_Odoo!$B:$B, MATCH(A884, Facturas_Odoo!$D:$D, 0)), "Sin Factura"))</f>
        <v/>
      </c>
      <c r="R884" s="80">
        <f>IF(Q884="Sin Factura","",IFERROR(INDEX(Facturas_Odoo!$A:$A, MATCH(Q884, Facturas_Odoo!$B:$B, 0)), ""))</f>
        <v/>
      </c>
      <c r="S884" s="79">
        <f>IF(Q884="Sin Factura","",IFERROR(_xlfn.XLOOKUP(1, (Facturas_Odoo!$D:$D=A884) * (Facturas_Odoo!$K:$K=I884), Facturas_Odoo!$L:$L, ""), ""))</f>
        <v/>
      </c>
      <c r="T884" s="81">
        <f>IF(Q884="Sin Factura",0,IFERROR(_xlfn.XLOOKUP(1, (Facturas_Odoo!$D:$D=A884) * (Facturas_Odoo!$K:$K=I884), Facturas_Odoo!$M:$M, 0), 0))</f>
        <v/>
      </c>
      <c r="U884" s="79">
        <f>IF(Q884="Sin Factura",0,IFERROR(_xlfn.XLOOKUP(1, (Facturas_Odoo!$D:$D=A884) * (Facturas_Odoo!$K:$K=I884), Facturas_Odoo!$N:$N, 0), 0))</f>
        <v/>
      </c>
      <c r="V884" s="79">
        <f>IF(Q884="Sin Factura",0,IFERROR(_xlfn.XLOOKUP(1, (Facturas_Odoo!$D:$D=A884) * (Facturas_Odoo!$K:$K=I884), Facturas_Odoo!$O:$O, 0), 0))</f>
        <v/>
      </c>
      <c r="W884" s="81">
        <f>IF(Q884="Sin Factura",0,IFERROR(_xlfn.XLOOKUP(1, (Facturas_Odoo!$D:$D=A884) * (Facturas_Odoo!$K:$K=I884), Facturas_Odoo!$Q:$Q, 0), 0))</f>
        <v/>
      </c>
      <c r="X884" s="79">
        <f>IF(OR(Q884="Sin Factura",Q884=""),"",IFERROR(INDEX(Pagos_Odoo!$B:$B, MATCH(Q884, Pagos_Odoo!$I:$I, 0)), "Sin Pago"))</f>
        <v/>
      </c>
      <c r="Y884" s="79">
        <f>IF(X884="Sin Pago","",IFERROR(INDEX(Pagos_Odoo!$C:$C, MATCH(X884, Pagos_Odoo!$B:$B, 0)), ""))</f>
        <v/>
      </c>
      <c r="Z884" s="80">
        <f>IF(X884="Sin Pago","",IFERROR(INDEX(Pagos_Odoo!$A:$A, MATCH(X884, Pagos_Odoo!$B:$B, 0)), ""))</f>
        <v/>
      </c>
      <c r="AA884" s="79">
        <f>IF(X884="Sin Pago","",IFERROR(INDEX(Pagos_Odoo!$F:$F, MATCH(X884, Pagos_Odoo!$B:$B, 0)), ""))</f>
        <v/>
      </c>
      <c r="AB884" s="81">
        <f>IF(X884="Sin Pago",0,IFERROR(INDEX(Pagos_Odoo!$E:$E, MATCH(X884, Pagos_Odoo!$B:$B, 0)), 0))</f>
        <v/>
      </c>
      <c r="AC884" s="79">
        <f>IF(X884="Sin Pago","",IFERROR(INDEX(Pagos_Odoo!$G:$G, MATCH(X884, Pagos_Odoo!$B:$B, 0)), ""))</f>
        <v/>
      </c>
      <c r="AD884" s="82" t="n">
        <v>0</v>
      </c>
      <c r="AE884" s="82" t="n"/>
      <c r="AF884" s="82" t="n"/>
      <c r="AG884" s="82">
        <f>IF(AN884="","",AD884+AE884+AF884)</f>
        <v/>
      </c>
      <c r="AH884" s="81">
        <f>IF(AN884="","",P884*(1-AG884))</f>
        <v/>
      </c>
      <c r="AI884" s="81">
        <f>IF(AN884="","",IF(Q884="Sin Factura",0,IFERROR(INDEX(Facturas_Odoo!$H:$H, MATCH(Q884, Facturas_Odoo!$B:$B, 0)), 0)*(1-AG884)))</f>
        <v/>
      </c>
      <c r="AJ884" s="81">
        <f>IF(AN884="","",_xlfn.LET(idVenta, AN884&amp;"",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84" s="81">
        <f>IF(AN884="","",AH884-AJ884)</f>
        <v/>
      </c>
      <c r="AL884" s="81">
        <f>IF(AN884="","",IF(Q884="Sin Factura","",AI884-AJ884))</f>
        <v/>
      </c>
      <c r="AM884" s="81">
        <f>IF(AN884="","",IF(Q884="Sin Factura",0,P884-IFERROR(INDEX(Facturas_Odoo!$H:$H, MATCH(Q884, Facturas_Odoo!$B:$B, 0)), 0)))</f>
        <v/>
      </c>
      <c r="AN884" s="79">
        <f>IF(AND(A884="", J884=""), "", IF(A884&lt;&gt;"", VALUE(MID(A884,2,LEN(A884))), AN883))</f>
        <v/>
      </c>
      <c r="AO884" s="79">
        <f>IF(AN884="","",IF(AD884=0,"OK",_xlfn.LET(monedaPago, IF(AA884="","USD",AA884), limitePermitido, IFERROR(VLOOKUP(monedaPago, Configuración!$A$2:$B$3, 2, FALSE), 0.15), IF(AD884&gt;limitePermitido, "ALERTA: EXCESO (" &amp; TEXT(limitePermitido, "0%") &amp; " máx)", "OK"))))</f>
        <v/>
      </c>
      <c r="AP884" s="79">
        <f>IF(AN884="","",IF(AE884=0,"OK",_xlfn.LET(fechaPago, Z884, fechaFactura, R884, diasCredito, IF(E884="Pago inmediato", 0, IFERROR(VALUE(MID(E884, 1, SEARCH(" ", E884)-1)),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84" s="79">
        <f>IF(AN884="","",IF(AND(N884&gt;0, AG884&gt;0), IF(Configuración!$K$2="NO", "ALERTA: DESCUENTO DOBLE NO PERMITIDO", "OK"), "OK"))</f>
        <v/>
      </c>
      <c r="AR884" s="79">
        <f>IF(AN884="","",IF(OR(AO884&lt;&gt;"OK", AP884&lt;&gt;"OK", AQ884&lt;&gt;"OK"), "⚠️ REVISAR", "OK"))</f>
        <v/>
      </c>
    </row>
    <row r="885">
      <c r="A885" s="79">
        <f>IF('Ordenes_Odoo'!A885="","",'Ordenes_Odoo'!A885)</f>
        <v/>
      </c>
      <c r="B885" s="80">
        <f>IF('Ordenes_Odoo'!B885="","",'Ordenes_Odoo'!B885)</f>
        <v/>
      </c>
      <c r="C885" s="79">
        <f>IF('Ordenes_Odoo'!C885="","",'Ordenes_Odoo'!C885)</f>
        <v/>
      </c>
      <c r="D885" s="79">
        <f>IF('Ordenes_Odoo'!D885="","",'Ordenes_Odoo'!D885)</f>
        <v/>
      </c>
      <c r="E885" s="79">
        <f>IF('Ordenes_Odoo'!E885="","",'Ordenes_Odoo'!E885)</f>
        <v/>
      </c>
      <c r="F885" s="79">
        <f>IF('Ordenes_Odoo'!F885="","",'Ordenes_Odoo'!F885)</f>
        <v/>
      </c>
      <c r="G885" s="79">
        <f>IF('Ordenes_Odoo'!G885="","",'Ordenes_Odoo'!G885)</f>
        <v/>
      </c>
      <c r="H885" s="79">
        <f>IF('Ordenes_Odoo'!H885="","",'Ordenes_Odoo'!H885)</f>
        <v/>
      </c>
      <c r="I885" s="79">
        <f>IF('Ordenes_Odoo'!I885="","",'Ordenes_Odoo'!I885)</f>
        <v/>
      </c>
      <c r="J885" s="79">
        <f>IF('Ordenes_Odoo'!J885="","",'Ordenes_Odoo'!J885)</f>
        <v/>
      </c>
      <c r="K885" s="81">
        <f>IF('Ordenes_Odoo'!K885="","",'Ordenes_Odoo'!K885)</f>
        <v/>
      </c>
      <c r="L885" s="81">
        <f>IF('Ordenes_Odoo'!L885="","",'Ordenes_Odoo'!L885)</f>
        <v/>
      </c>
      <c r="M885" s="79">
        <f>IF('Ordenes_Odoo'!M885="","",'Ordenes_Odoo'!M885)</f>
        <v/>
      </c>
      <c r="N885" s="79">
        <f>IF('Ordenes_Odoo'!N885="","",'Ordenes_Odoo'!N885)</f>
        <v/>
      </c>
      <c r="O885" s="81">
        <f>IF('Ordenes_Odoo'!O885="","",'Ordenes_Odoo'!O885)</f>
        <v/>
      </c>
      <c r="P885" s="81">
        <f>IF('Ordenes_Odoo'!P885="","",'Ordenes_Odoo'!P885)</f>
        <v/>
      </c>
      <c r="Q885" s="79">
        <f>IF(A885="","",IFERROR(INDEX(Facturas_Odoo!$B:$B, MATCH(A885, Facturas_Odoo!$D:$D, 0)), "Sin Factura"))</f>
        <v/>
      </c>
      <c r="R885" s="80">
        <f>IF(Q885="Sin Factura","",IFERROR(INDEX(Facturas_Odoo!$A:$A, MATCH(Q885, Facturas_Odoo!$B:$B, 0)), ""))</f>
        <v/>
      </c>
      <c r="S885" s="79">
        <f>IF(Q885="Sin Factura","",IFERROR(_xlfn.XLOOKUP(1, (Facturas_Odoo!$D:$D=A885) * (Facturas_Odoo!$K:$K=I885), Facturas_Odoo!$L:$L, ""), ""))</f>
        <v/>
      </c>
      <c r="T885" s="81">
        <f>IF(Q885="Sin Factura",0,IFERROR(_xlfn.XLOOKUP(1, (Facturas_Odoo!$D:$D=A885) * (Facturas_Odoo!$K:$K=I885), Facturas_Odoo!$M:$M, 0), 0))</f>
        <v/>
      </c>
      <c r="U885" s="79">
        <f>IF(Q885="Sin Factura",0,IFERROR(_xlfn.XLOOKUP(1, (Facturas_Odoo!$D:$D=A885) * (Facturas_Odoo!$K:$K=I885), Facturas_Odoo!$N:$N, 0), 0))</f>
        <v/>
      </c>
      <c r="V885" s="79">
        <f>IF(Q885="Sin Factura",0,IFERROR(_xlfn.XLOOKUP(1, (Facturas_Odoo!$D:$D=A885) * (Facturas_Odoo!$K:$K=I885), Facturas_Odoo!$O:$O, 0), 0))</f>
        <v/>
      </c>
      <c r="W885" s="81">
        <f>IF(Q885="Sin Factura",0,IFERROR(_xlfn.XLOOKUP(1, (Facturas_Odoo!$D:$D=A885) * (Facturas_Odoo!$K:$K=I885), Facturas_Odoo!$Q:$Q, 0), 0))</f>
        <v/>
      </c>
      <c r="X885" s="79">
        <f>IF(OR(Q885="Sin Factura",Q885=""),"",IFERROR(INDEX(Pagos_Odoo!$B:$B, MATCH(Q885, Pagos_Odoo!$I:$I, 0)), "Sin Pago"))</f>
        <v/>
      </c>
      <c r="Y885" s="79">
        <f>IF(X885="Sin Pago","",IFERROR(INDEX(Pagos_Odoo!$C:$C, MATCH(X885, Pagos_Odoo!$B:$B, 0)), ""))</f>
        <v/>
      </c>
      <c r="Z885" s="80">
        <f>IF(X885="Sin Pago","",IFERROR(INDEX(Pagos_Odoo!$A:$A, MATCH(X885, Pagos_Odoo!$B:$B, 0)), ""))</f>
        <v/>
      </c>
      <c r="AA885" s="79">
        <f>IF(X885="Sin Pago","",IFERROR(INDEX(Pagos_Odoo!$F:$F, MATCH(X885, Pagos_Odoo!$B:$B, 0)), ""))</f>
        <v/>
      </c>
      <c r="AB885" s="81">
        <f>IF(X885="Sin Pago",0,IFERROR(INDEX(Pagos_Odoo!$E:$E, MATCH(X885, Pagos_Odoo!$B:$B, 0)), 0))</f>
        <v/>
      </c>
      <c r="AC885" s="79">
        <f>IF(X885="Sin Pago","",IFERROR(INDEX(Pagos_Odoo!$G:$G, MATCH(X885, Pagos_Odoo!$B:$B, 0)), ""))</f>
        <v/>
      </c>
      <c r="AD885" s="82" t="n">
        <v>0</v>
      </c>
      <c r="AE885" s="82" t="n"/>
      <c r="AF885" s="82" t="n"/>
      <c r="AG885" s="82">
        <f>IF(AN885="","",AD885+AE885+AF885)</f>
        <v/>
      </c>
      <c r="AH885" s="81">
        <f>IF(AN885="","",P885*(1-AG885))</f>
        <v/>
      </c>
      <c r="AI885" s="81">
        <f>IF(AN885="","",IF(Q885="Sin Factura",0,IFERROR(INDEX(Facturas_Odoo!$H:$H, MATCH(Q885, Facturas_Odoo!$B:$B, 0)), 0)*(1-AG885)))</f>
        <v/>
      </c>
      <c r="AJ885" s="81">
        <f>IF(AN885="","",_xlfn.LET(idVenta, AN885&amp;"",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85" s="81">
        <f>IF(AN885="","",AH885-AJ885)</f>
        <v/>
      </c>
      <c r="AL885" s="81">
        <f>IF(AN885="","",IF(Q885="Sin Factura","",AI885-AJ885))</f>
        <v/>
      </c>
      <c r="AM885" s="81">
        <f>IF(AN885="","",IF(Q885="Sin Factura",0,P885-IFERROR(INDEX(Facturas_Odoo!$H:$H, MATCH(Q885, Facturas_Odoo!$B:$B, 0)), 0)))</f>
        <v/>
      </c>
      <c r="AN885" s="79">
        <f>IF(AND(A885="", J885=""), "", IF(A885&lt;&gt;"", VALUE(MID(A885,2,LEN(A885))), AN884))</f>
        <v/>
      </c>
      <c r="AO885" s="79">
        <f>IF(AN885="","",IF(AD885=0,"OK",_xlfn.LET(monedaPago, IF(AA885="","USD",AA885), limitePermitido, IFERROR(VLOOKUP(monedaPago, Configuración!$A$2:$B$3, 2, FALSE), 0.15), IF(AD885&gt;limitePermitido, "ALERTA: EXCESO (" &amp; TEXT(limitePermitido, "0%") &amp; " máx)", "OK"))))</f>
        <v/>
      </c>
      <c r="AP885" s="79">
        <f>IF(AN885="","",IF(AE885=0,"OK",_xlfn.LET(fechaPago, Z885, fechaFactura, R885, diasCredito, IF(E885="Pago inmediato", 0, IFERROR(VALUE(MID(E885, 1, SEARCH(" ", E885)-1)),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85" s="79">
        <f>IF(AN885="","",IF(AND(N885&gt;0, AG885&gt;0), IF(Configuración!$K$2="NO", "ALERTA: DESCUENTO DOBLE NO PERMITIDO", "OK"), "OK"))</f>
        <v/>
      </c>
      <c r="AR885" s="79">
        <f>IF(AN885="","",IF(OR(AO885&lt;&gt;"OK", AP885&lt;&gt;"OK", AQ885&lt;&gt;"OK"), "⚠️ REVISAR", "OK"))</f>
        <v/>
      </c>
    </row>
    <row r="886">
      <c r="A886" s="79">
        <f>IF('Ordenes_Odoo'!A886="","",'Ordenes_Odoo'!A886)</f>
        <v/>
      </c>
      <c r="B886" s="80">
        <f>IF('Ordenes_Odoo'!B886="","",'Ordenes_Odoo'!B886)</f>
        <v/>
      </c>
      <c r="C886" s="79">
        <f>IF('Ordenes_Odoo'!C886="","",'Ordenes_Odoo'!C886)</f>
        <v/>
      </c>
      <c r="D886" s="79">
        <f>IF('Ordenes_Odoo'!D886="","",'Ordenes_Odoo'!D886)</f>
        <v/>
      </c>
      <c r="E886" s="79">
        <f>IF('Ordenes_Odoo'!E886="","",'Ordenes_Odoo'!E886)</f>
        <v/>
      </c>
      <c r="F886" s="79">
        <f>IF('Ordenes_Odoo'!F886="","",'Ordenes_Odoo'!F886)</f>
        <v/>
      </c>
      <c r="G886" s="79">
        <f>IF('Ordenes_Odoo'!G886="","",'Ordenes_Odoo'!G886)</f>
        <v/>
      </c>
      <c r="H886" s="79">
        <f>IF('Ordenes_Odoo'!H886="","",'Ordenes_Odoo'!H886)</f>
        <v/>
      </c>
      <c r="I886" s="79">
        <f>IF('Ordenes_Odoo'!I886="","",'Ordenes_Odoo'!I886)</f>
        <v/>
      </c>
      <c r="J886" s="79">
        <f>IF('Ordenes_Odoo'!J886="","",'Ordenes_Odoo'!J886)</f>
        <v/>
      </c>
      <c r="K886" s="81">
        <f>IF('Ordenes_Odoo'!K886="","",'Ordenes_Odoo'!K886)</f>
        <v/>
      </c>
      <c r="L886" s="81">
        <f>IF('Ordenes_Odoo'!L886="","",'Ordenes_Odoo'!L886)</f>
        <v/>
      </c>
      <c r="M886" s="79">
        <f>IF('Ordenes_Odoo'!M886="","",'Ordenes_Odoo'!M886)</f>
        <v/>
      </c>
      <c r="N886" s="79">
        <f>IF('Ordenes_Odoo'!N886="","",'Ordenes_Odoo'!N886)</f>
        <v/>
      </c>
      <c r="O886" s="81">
        <f>IF('Ordenes_Odoo'!O886="","",'Ordenes_Odoo'!O886)</f>
        <v/>
      </c>
      <c r="P886" s="81">
        <f>IF('Ordenes_Odoo'!P886="","",'Ordenes_Odoo'!P886)</f>
        <v/>
      </c>
      <c r="Q886" s="79">
        <f>IF(A886="","",IFERROR(INDEX(Facturas_Odoo!$B:$B, MATCH(A886, Facturas_Odoo!$D:$D, 0)), "Sin Factura"))</f>
        <v/>
      </c>
      <c r="R886" s="80">
        <f>IF(Q886="Sin Factura","",IFERROR(INDEX(Facturas_Odoo!$A:$A, MATCH(Q886, Facturas_Odoo!$B:$B, 0)), ""))</f>
        <v/>
      </c>
      <c r="S886" s="79">
        <f>IF(Q886="Sin Factura","",IFERROR(_xlfn.XLOOKUP(1, (Facturas_Odoo!$D:$D=A886) * (Facturas_Odoo!$K:$K=I886), Facturas_Odoo!$L:$L, ""), ""))</f>
        <v/>
      </c>
      <c r="T886" s="81">
        <f>IF(Q886="Sin Factura",0,IFERROR(_xlfn.XLOOKUP(1, (Facturas_Odoo!$D:$D=A886) * (Facturas_Odoo!$K:$K=I886), Facturas_Odoo!$M:$M, 0), 0))</f>
        <v/>
      </c>
      <c r="U886" s="79">
        <f>IF(Q886="Sin Factura",0,IFERROR(_xlfn.XLOOKUP(1, (Facturas_Odoo!$D:$D=A886) * (Facturas_Odoo!$K:$K=I886), Facturas_Odoo!$N:$N, 0), 0))</f>
        <v/>
      </c>
      <c r="V886" s="79">
        <f>IF(Q886="Sin Factura",0,IFERROR(_xlfn.XLOOKUP(1, (Facturas_Odoo!$D:$D=A886) * (Facturas_Odoo!$K:$K=I886), Facturas_Odoo!$O:$O, 0), 0))</f>
        <v/>
      </c>
      <c r="W886" s="81">
        <f>IF(Q886="Sin Factura",0,IFERROR(_xlfn.XLOOKUP(1, (Facturas_Odoo!$D:$D=A886) * (Facturas_Odoo!$K:$K=I886), Facturas_Odoo!$Q:$Q, 0), 0))</f>
        <v/>
      </c>
      <c r="X886" s="79">
        <f>IF(OR(Q886="Sin Factura",Q886=""),"",IFERROR(INDEX(Pagos_Odoo!$B:$B, MATCH(Q886, Pagos_Odoo!$I:$I, 0)), "Sin Pago"))</f>
        <v/>
      </c>
      <c r="Y886" s="79">
        <f>IF(X886="Sin Pago","",IFERROR(INDEX(Pagos_Odoo!$C:$C, MATCH(X886, Pagos_Odoo!$B:$B, 0)), ""))</f>
        <v/>
      </c>
      <c r="Z886" s="80">
        <f>IF(X886="Sin Pago","",IFERROR(INDEX(Pagos_Odoo!$A:$A, MATCH(X886, Pagos_Odoo!$B:$B, 0)), ""))</f>
        <v/>
      </c>
      <c r="AA886" s="79">
        <f>IF(X886="Sin Pago","",IFERROR(INDEX(Pagos_Odoo!$F:$F, MATCH(X886, Pagos_Odoo!$B:$B, 0)), ""))</f>
        <v/>
      </c>
      <c r="AB886" s="81">
        <f>IF(X886="Sin Pago",0,IFERROR(INDEX(Pagos_Odoo!$E:$E, MATCH(X886, Pagos_Odoo!$B:$B, 0)), 0))</f>
        <v/>
      </c>
      <c r="AC886" s="79">
        <f>IF(X886="Sin Pago","",IFERROR(INDEX(Pagos_Odoo!$G:$G, MATCH(X886, Pagos_Odoo!$B:$B, 0)), ""))</f>
        <v/>
      </c>
      <c r="AD886" s="82" t="n">
        <v>0</v>
      </c>
      <c r="AE886" s="82" t="n"/>
      <c r="AF886" s="82" t="n"/>
      <c r="AG886" s="82">
        <f>IF(AN886="","",AD886+AE886+AF886)</f>
        <v/>
      </c>
      <c r="AH886" s="81">
        <f>IF(AN886="","",P886*(1-AG886))</f>
        <v/>
      </c>
      <c r="AI886" s="81">
        <f>IF(AN886="","",IF(Q886="Sin Factura",0,IFERROR(INDEX(Facturas_Odoo!$H:$H, MATCH(Q886, Facturas_Odoo!$B:$B, 0)), 0)*(1-AG886)))</f>
        <v/>
      </c>
      <c r="AJ886" s="81">
        <f>IF(AN886="","",_xlfn.LET(idVenta, AN886&amp;"",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86" s="81">
        <f>IF(AN886="","",AH886-AJ886)</f>
        <v/>
      </c>
      <c r="AL886" s="81">
        <f>IF(AN886="","",IF(Q886="Sin Factura","",AI886-AJ886))</f>
        <v/>
      </c>
      <c r="AM886" s="81">
        <f>IF(AN886="","",IF(Q886="Sin Factura",0,P886-IFERROR(INDEX(Facturas_Odoo!$H:$H, MATCH(Q886, Facturas_Odoo!$B:$B, 0)), 0)))</f>
        <v/>
      </c>
      <c r="AN886" s="79">
        <f>IF(AND(A886="", J886=""), "", IF(A886&lt;&gt;"", VALUE(MID(A886,2,LEN(A886))), AN885))</f>
        <v/>
      </c>
      <c r="AO886" s="79">
        <f>IF(AN886="","",IF(AD886=0,"OK",_xlfn.LET(monedaPago, IF(AA886="","USD",AA886), limitePermitido, IFERROR(VLOOKUP(monedaPago, Configuración!$A$2:$B$3, 2, FALSE), 0.15), IF(AD886&gt;limitePermitido, "ALERTA: EXCESO (" &amp; TEXT(limitePermitido, "0%") &amp; " máx)", "OK"))))</f>
        <v/>
      </c>
      <c r="AP886" s="79">
        <f>IF(AN886="","",IF(AE886=0,"OK",_xlfn.LET(fechaPago, Z886, fechaFactura, R886, diasCredito, IF(E886="Pago inmediato", 0, IFERROR(VALUE(MID(E886, 1, SEARCH(" ", E886)-1)),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86" s="79">
        <f>IF(AN886="","",IF(AND(N886&gt;0, AG886&gt;0), IF(Configuración!$K$2="NO", "ALERTA: DESCUENTO DOBLE NO PERMITIDO", "OK"), "OK"))</f>
        <v/>
      </c>
      <c r="AR886" s="79">
        <f>IF(AN886="","",IF(OR(AO886&lt;&gt;"OK", AP886&lt;&gt;"OK", AQ886&lt;&gt;"OK"), "⚠️ REVISAR", "OK"))</f>
        <v/>
      </c>
    </row>
    <row r="887">
      <c r="A887" s="79">
        <f>IF('Ordenes_Odoo'!A887="","",'Ordenes_Odoo'!A887)</f>
        <v/>
      </c>
      <c r="B887" s="80">
        <f>IF('Ordenes_Odoo'!B887="","",'Ordenes_Odoo'!B887)</f>
        <v/>
      </c>
      <c r="C887" s="79">
        <f>IF('Ordenes_Odoo'!C887="","",'Ordenes_Odoo'!C887)</f>
        <v/>
      </c>
      <c r="D887" s="79">
        <f>IF('Ordenes_Odoo'!D887="","",'Ordenes_Odoo'!D887)</f>
        <v/>
      </c>
      <c r="E887" s="79">
        <f>IF('Ordenes_Odoo'!E887="","",'Ordenes_Odoo'!E887)</f>
        <v/>
      </c>
      <c r="F887" s="79">
        <f>IF('Ordenes_Odoo'!F887="","",'Ordenes_Odoo'!F887)</f>
        <v/>
      </c>
      <c r="G887" s="79">
        <f>IF('Ordenes_Odoo'!G887="","",'Ordenes_Odoo'!G887)</f>
        <v/>
      </c>
      <c r="H887" s="79">
        <f>IF('Ordenes_Odoo'!H887="","",'Ordenes_Odoo'!H887)</f>
        <v/>
      </c>
      <c r="I887" s="79">
        <f>IF('Ordenes_Odoo'!I887="","",'Ordenes_Odoo'!I887)</f>
        <v/>
      </c>
      <c r="J887" s="79">
        <f>IF('Ordenes_Odoo'!J887="","",'Ordenes_Odoo'!J887)</f>
        <v/>
      </c>
      <c r="K887" s="81">
        <f>IF('Ordenes_Odoo'!K887="","",'Ordenes_Odoo'!K887)</f>
        <v/>
      </c>
      <c r="L887" s="81">
        <f>IF('Ordenes_Odoo'!L887="","",'Ordenes_Odoo'!L887)</f>
        <v/>
      </c>
      <c r="M887" s="79">
        <f>IF('Ordenes_Odoo'!M887="","",'Ordenes_Odoo'!M887)</f>
        <v/>
      </c>
      <c r="N887" s="79">
        <f>IF('Ordenes_Odoo'!N887="","",'Ordenes_Odoo'!N887)</f>
        <v/>
      </c>
      <c r="O887" s="81">
        <f>IF('Ordenes_Odoo'!O887="","",'Ordenes_Odoo'!O887)</f>
        <v/>
      </c>
      <c r="P887" s="81">
        <f>IF('Ordenes_Odoo'!P887="","",'Ordenes_Odoo'!P887)</f>
        <v/>
      </c>
      <c r="Q887" s="79">
        <f>IF(A887="","",IFERROR(INDEX(Facturas_Odoo!$B:$B, MATCH(A887, Facturas_Odoo!$D:$D, 0)), "Sin Factura"))</f>
        <v/>
      </c>
      <c r="R887" s="80">
        <f>IF(Q887="Sin Factura","",IFERROR(INDEX(Facturas_Odoo!$A:$A, MATCH(Q887, Facturas_Odoo!$B:$B, 0)), ""))</f>
        <v/>
      </c>
      <c r="S887" s="79">
        <f>IF(Q887="Sin Factura","",IFERROR(_xlfn.XLOOKUP(1, (Facturas_Odoo!$D:$D=A887) * (Facturas_Odoo!$K:$K=I887), Facturas_Odoo!$L:$L, ""), ""))</f>
        <v/>
      </c>
      <c r="T887" s="81">
        <f>IF(Q887="Sin Factura",0,IFERROR(_xlfn.XLOOKUP(1, (Facturas_Odoo!$D:$D=A887) * (Facturas_Odoo!$K:$K=I887), Facturas_Odoo!$M:$M, 0), 0))</f>
        <v/>
      </c>
      <c r="U887" s="79">
        <f>IF(Q887="Sin Factura",0,IFERROR(_xlfn.XLOOKUP(1, (Facturas_Odoo!$D:$D=A887) * (Facturas_Odoo!$K:$K=I887), Facturas_Odoo!$N:$N, 0), 0))</f>
        <v/>
      </c>
      <c r="V887" s="79">
        <f>IF(Q887="Sin Factura",0,IFERROR(_xlfn.XLOOKUP(1, (Facturas_Odoo!$D:$D=A887) * (Facturas_Odoo!$K:$K=I887), Facturas_Odoo!$O:$O, 0), 0))</f>
        <v/>
      </c>
      <c r="W887" s="81">
        <f>IF(Q887="Sin Factura",0,IFERROR(_xlfn.XLOOKUP(1, (Facturas_Odoo!$D:$D=A887) * (Facturas_Odoo!$K:$K=I887), Facturas_Odoo!$Q:$Q, 0), 0))</f>
        <v/>
      </c>
      <c r="X887" s="79">
        <f>IF(OR(Q887="Sin Factura",Q887=""),"",IFERROR(INDEX(Pagos_Odoo!$B:$B, MATCH(Q887, Pagos_Odoo!$I:$I, 0)), "Sin Pago"))</f>
        <v/>
      </c>
      <c r="Y887" s="79">
        <f>IF(X887="Sin Pago","",IFERROR(INDEX(Pagos_Odoo!$C:$C, MATCH(X887, Pagos_Odoo!$B:$B, 0)), ""))</f>
        <v/>
      </c>
      <c r="Z887" s="80">
        <f>IF(X887="Sin Pago","",IFERROR(INDEX(Pagos_Odoo!$A:$A, MATCH(X887, Pagos_Odoo!$B:$B, 0)), ""))</f>
        <v/>
      </c>
      <c r="AA887" s="79">
        <f>IF(X887="Sin Pago","",IFERROR(INDEX(Pagos_Odoo!$F:$F, MATCH(X887, Pagos_Odoo!$B:$B, 0)), ""))</f>
        <v/>
      </c>
      <c r="AB887" s="81">
        <f>IF(X887="Sin Pago",0,IFERROR(INDEX(Pagos_Odoo!$E:$E, MATCH(X887, Pagos_Odoo!$B:$B, 0)), 0))</f>
        <v/>
      </c>
      <c r="AC887" s="79">
        <f>IF(X887="Sin Pago","",IFERROR(INDEX(Pagos_Odoo!$G:$G, MATCH(X887, Pagos_Odoo!$B:$B, 0)), ""))</f>
        <v/>
      </c>
      <c r="AD887" s="82" t="n">
        <v>0</v>
      </c>
      <c r="AE887" s="82" t="n">
        <v>0.02</v>
      </c>
      <c r="AF887" s="82" t="n"/>
      <c r="AG887" s="82">
        <f>IF(AN887="","",AD887+AE887+AF887)</f>
        <v/>
      </c>
      <c r="AH887" s="81">
        <f>IF(AN887="","",P887*(1-AG887))</f>
        <v/>
      </c>
      <c r="AI887" s="81">
        <f>IF(AN887="","",IF(Q887="Sin Factura",0,IFERROR(INDEX(Facturas_Odoo!$H:$H, MATCH(Q887, Facturas_Odoo!$B:$B, 0)), 0)*(1-AG887)))</f>
        <v/>
      </c>
      <c r="AJ887" s="81">
        <f>IF(AN887="","",_xlfn.LET(idVenta, AN887&amp;"",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87" s="81">
        <f>IF(AN887="","",AH887-AJ887)</f>
        <v/>
      </c>
      <c r="AL887" s="81">
        <f>IF(AN887="","",IF(Q887="Sin Factura","",AI887-AJ887))</f>
        <v/>
      </c>
      <c r="AM887" s="81">
        <f>IF(AN887="","",IF(Q887="Sin Factura",0,P887-IFERROR(INDEX(Facturas_Odoo!$H:$H, MATCH(Q887, Facturas_Odoo!$B:$B, 0)), 0)))</f>
        <v/>
      </c>
      <c r="AN887" s="79">
        <f>IF(AND(A887="", J887=""), "", IF(A887&lt;&gt;"", VALUE(MID(A887,2,LEN(A887))), AN886))</f>
        <v/>
      </c>
      <c r="AO887" s="79">
        <f>IF(AN887="","",IF(AD887=0,"OK",_xlfn.LET(monedaPago, IF(AA887="","USD",AA887), limitePermitido, IFERROR(VLOOKUP(monedaPago, Configuración!$A$2:$B$3, 2, FALSE), 0.15), IF(AD887&gt;limitePermitido, "ALERTA: EXCESO (" &amp; TEXT(limitePermitido, "0%") &amp; " máx)", "OK"))))</f>
        <v/>
      </c>
      <c r="AP887" s="79">
        <f>IF(AN887="","",IF(AE887=0,"OK",_xlfn.LET(fechaPago, Z887, fechaFactura, R887, diasCredito, IF(E887="Pago inmediato", 0, IFERROR(VALUE(MID(E887, 1, SEARCH(" ", E887)-1)),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87" s="79">
        <f>IF(AN887="","",IF(AND(N887&gt;0, AG887&gt;0), IF(Configuración!$K$2="NO", "ALERTA: DESCUENTO DOBLE NO PERMITIDO", "OK"), "OK"))</f>
        <v/>
      </c>
      <c r="AR887" s="79">
        <f>IF(AN887="","",IF(OR(AO887&lt;&gt;"OK", AP887&lt;&gt;"OK", AQ887&lt;&gt;"OK"), "⚠️ REVISAR", "OK"))</f>
        <v/>
      </c>
    </row>
    <row r="888">
      <c r="A888" s="79">
        <f>IF('Ordenes_Odoo'!A888="","",'Ordenes_Odoo'!A888)</f>
        <v/>
      </c>
      <c r="B888" s="80">
        <f>IF('Ordenes_Odoo'!B888="","",'Ordenes_Odoo'!B888)</f>
        <v/>
      </c>
      <c r="C888" s="79">
        <f>IF('Ordenes_Odoo'!C888="","",'Ordenes_Odoo'!C888)</f>
        <v/>
      </c>
      <c r="D888" s="79">
        <f>IF('Ordenes_Odoo'!D888="","",'Ordenes_Odoo'!D888)</f>
        <v/>
      </c>
      <c r="E888" s="79">
        <f>IF('Ordenes_Odoo'!E888="","",'Ordenes_Odoo'!E888)</f>
        <v/>
      </c>
      <c r="F888" s="79">
        <f>IF('Ordenes_Odoo'!F888="","",'Ordenes_Odoo'!F888)</f>
        <v/>
      </c>
      <c r="G888" s="79">
        <f>IF('Ordenes_Odoo'!G888="","",'Ordenes_Odoo'!G888)</f>
        <v/>
      </c>
      <c r="H888" s="79">
        <f>IF('Ordenes_Odoo'!H888="","",'Ordenes_Odoo'!H888)</f>
        <v/>
      </c>
      <c r="I888" s="79">
        <f>IF('Ordenes_Odoo'!I888="","",'Ordenes_Odoo'!I888)</f>
        <v/>
      </c>
      <c r="J888" s="79">
        <f>IF('Ordenes_Odoo'!J888="","",'Ordenes_Odoo'!J888)</f>
        <v/>
      </c>
      <c r="K888" s="81">
        <f>IF('Ordenes_Odoo'!K888="","",'Ordenes_Odoo'!K888)</f>
        <v/>
      </c>
      <c r="L888" s="81">
        <f>IF('Ordenes_Odoo'!L888="","",'Ordenes_Odoo'!L888)</f>
        <v/>
      </c>
      <c r="M888" s="79">
        <f>IF('Ordenes_Odoo'!M888="","",'Ordenes_Odoo'!M888)</f>
        <v/>
      </c>
      <c r="N888" s="79">
        <f>IF('Ordenes_Odoo'!N888="","",'Ordenes_Odoo'!N888)</f>
        <v/>
      </c>
      <c r="O888" s="81">
        <f>IF('Ordenes_Odoo'!O888="","",'Ordenes_Odoo'!O888)</f>
        <v/>
      </c>
      <c r="P888" s="81">
        <f>IF('Ordenes_Odoo'!P888="","",'Ordenes_Odoo'!P888)</f>
        <v/>
      </c>
      <c r="Q888" s="79">
        <f>IF(A888="","",IFERROR(INDEX(Facturas_Odoo!$B:$B, MATCH(A888, Facturas_Odoo!$D:$D, 0)), "Sin Factura"))</f>
        <v/>
      </c>
      <c r="R888" s="80">
        <f>IF(Q888="Sin Factura","",IFERROR(INDEX(Facturas_Odoo!$A:$A, MATCH(Q888, Facturas_Odoo!$B:$B, 0)), ""))</f>
        <v/>
      </c>
      <c r="S888" s="79">
        <f>IF(Q888="Sin Factura","",IFERROR(_xlfn.XLOOKUP(1, (Facturas_Odoo!$D:$D=A888) * (Facturas_Odoo!$K:$K=I888), Facturas_Odoo!$L:$L, ""), ""))</f>
        <v/>
      </c>
      <c r="T888" s="81">
        <f>IF(Q888="Sin Factura",0,IFERROR(_xlfn.XLOOKUP(1, (Facturas_Odoo!$D:$D=A888) * (Facturas_Odoo!$K:$K=I888), Facturas_Odoo!$M:$M, 0), 0))</f>
        <v/>
      </c>
      <c r="U888" s="79">
        <f>IF(Q888="Sin Factura",0,IFERROR(_xlfn.XLOOKUP(1, (Facturas_Odoo!$D:$D=A888) * (Facturas_Odoo!$K:$K=I888), Facturas_Odoo!$N:$N, 0), 0))</f>
        <v/>
      </c>
      <c r="V888" s="79">
        <f>IF(Q888="Sin Factura",0,IFERROR(_xlfn.XLOOKUP(1, (Facturas_Odoo!$D:$D=A888) * (Facturas_Odoo!$K:$K=I888), Facturas_Odoo!$O:$O, 0), 0))</f>
        <v/>
      </c>
      <c r="W888" s="81">
        <f>IF(Q888="Sin Factura",0,IFERROR(_xlfn.XLOOKUP(1, (Facturas_Odoo!$D:$D=A888) * (Facturas_Odoo!$K:$K=I888), Facturas_Odoo!$Q:$Q, 0), 0))</f>
        <v/>
      </c>
      <c r="X888" s="79">
        <f>IF(OR(Q888="Sin Factura",Q888=""),"",IFERROR(INDEX(Pagos_Odoo!$B:$B, MATCH(Q888, Pagos_Odoo!$I:$I, 0)), "Sin Pago"))</f>
        <v/>
      </c>
      <c r="Y888" s="79">
        <f>IF(X888="Sin Pago","",IFERROR(INDEX(Pagos_Odoo!$C:$C, MATCH(X888, Pagos_Odoo!$B:$B, 0)), ""))</f>
        <v/>
      </c>
      <c r="Z888" s="80">
        <f>IF(X888="Sin Pago","",IFERROR(INDEX(Pagos_Odoo!$A:$A, MATCH(X888, Pagos_Odoo!$B:$B, 0)), ""))</f>
        <v/>
      </c>
      <c r="AA888" s="79">
        <f>IF(X888="Sin Pago","",IFERROR(INDEX(Pagos_Odoo!$F:$F, MATCH(X888, Pagos_Odoo!$B:$B, 0)), ""))</f>
        <v/>
      </c>
      <c r="AB888" s="81">
        <f>IF(X888="Sin Pago",0,IFERROR(INDEX(Pagos_Odoo!$E:$E, MATCH(X888, Pagos_Odoo!$B:$B, 0)), 0))</f>
        <v/>
      </c>
      <c r="AC888" s="79">
        <f>IF(X888="Sin Pago","",IFERROR(INDEX(Pagos_Odoo!$G:$G, MATCH(X888, Pagos_Odoo!$B:$B, 0)), ""))</f>
        <v/>
      </c>
      <c r="AD888" s="82" t="n">
        <v>0</v>
      </c>
      <c r="AE888" s="82" t="n"/>
      <c r="AF888" s="82" t="n"/>
      <c r="AG888" s="82">
        <f>IF(AN888="","",AD888+AE888+AF888)</f>
        <v/>
      </c>
      <c r="AH888" s="81">
        <f>IF(AN888="","",P888*(1-AG888))</f>
        <v/>
      </c>
      <c r="AI888" s="81">
        <f>IF(AN888="","",IF(Q888="Sin Factura",0,IFERROR(INDEX(Facturas_Odoo!$H:$H, MATCH(Q888, Facturas_Odoo!$B:$B, 0)), 0)*(1-AG888)))</f>
        <v/>
      </c>
      <c r="AJ888" s="81">
        <f>IF(AN888="","",_xlfn.LET(idVenta, AN888&amp;"",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88" s="81">
        <f>IF(AN888="","",AH888-AJ888)</f>
        <v/>
      </c>
      <c r="AL888" s="81">
        <f>IF(AN888="","",IF(Q888="Sin Factura","",AI888-AJ888))</f>
        <v/>
      </c>
      <c r="AM888" s="81">
        <f>IF(AN888="","",IF(Q888="Sin Factura",0,P888-IFERROR(INDEX(Facturas_Odoo!$H:$H, MATCH(Q888, Facturas_Odoo!$B:$B, 0)), 0)))</f>
        <v/>
      </c>
      <c r="AN888" s="79">
        <f>IF(AND(A888="", J888=""), "", IF(A888&lt;&gt;"", VALUE(MID(A888,2,LEN(A888))), AN887))</f>
        <v/>
      </c>
      <c r="AO888" s="79">
        <f>IF(AN888="","",IF(AD888=0,"OK",_xlfn.LET(monedaPago, IF(AA888="","USD",AA888), limitePermitido, IFERROR(VLOOKUP(monedaPago, Configuración!$A$2:$B$3, 2, FALSE), 0.15), IF(AD888&gt;limitePermitido, "ALERTA: EXCESO (" &amp; TEXT(limitePermitido, "0%") &amp; " máx)", "OK"))))</f>
        <v/>
      </c>
      <c r="AP888" s="79">
        <f>IF(AN888="","",IF(AE888=0,"OK",_xlfn.LET(fechaPago, Z888, fechaFactura, R888, diasCredito, IF(E888="Pago inmediato", 0, IFERROR(VALUE(MID(E888, 1, SEARCH(" ", E888)-1)),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88" s="79">
        <f>IF(AN888="","",IF(AND(N888&gt;0, AG888&gt;0), IF(Configuración!$K$2="NO", "ALERTA: DESCUENTO DOBLE NO PERMITIDO", "OK"), "OK"))</f>
        <v/>
      </c>
      <c r="AR888" s="79">
        <f>IF(AN888="","",IF(OR(AO888&lt;&gt;"OK", AP888&lt;&gt;"OK", AQ888&lt;&gt;"OK"), "⚠️ REVISAR", "OK"))</f>
        <v/>
      </c>
    </row>
    <row r="889">
      <c r="A889" s="79">
        <f>IF('Ordenes_Odoo'!A889="","",'Ordenes_Odoo'!A889)</f>
        <v/>
      </c>
      <c r="B889" s="80">
        <f>IF('Ordenes_Odoo'!B889="","",'Ordenes_Odoo'!B889)</f>
        <v/>
      </c>
      <c r="C889" s="79">
        <f>IF('Ordenes_Odoo'!C889="","",'Ordenes_Odoo'!C889)</f>
        <v/>
      </c>
      <c r="D889" s="79">
        <f>IF('Ordenes_Odoo'!D889="","",'Ordenes_Odoo'!D889)</f>
        <v/>
      </c>
      <c r="E889" s="79">
        <f>IF('Ordenes_Odoo'!E889="","",'Ordenes_Odoo'!E889)</f>
        <v/>
      </c>
      <c r="F889" s="79">
        <f>IF('Ordenes_Odoo'!F889="","",'Ordenes_Odoo'!F889)</f>
        <v/>
      </c>
      <c r="G889" s="79">
        <f>IF('Ordenes_Odoo'!G889="","",'Ordenes_Odoo'!G889)</f>
        <v/>
      </c>
      <c r="H889" s="79">
        <f>IF('Ordenes_Odoo'!H889="","",'Ordenes_Odoo'!H889)</f>
        <v/>
      </c>
      <c r="I889" s="79">
        <f>IF('Ordenes_Odoo'!I889="","",'Ordenes_Odoo'!I889)</f>
        <v/>
      </c>
      <c r="J889" s="79">
        <f>IF('Ordenes_Odoo'!J889="","",'Ordenes_Odoo'!J889)</f>
        <v/>
      </c>
      <c r="K889" s="81">
        <f>IF('Ordenes_Odoo'!K889="","",'Ordenes_Odoo'!K889)</f>
        <v/>
      </c>
      <c r="L889" s="81">
        <f>IF('Ordenes_Odoo'!L889="","",'Ordenes_Odoo'!L889)</f>
        <v/>
      </c>
      <c r="M889" s="79">
        <f>IF('Ordenes_Odoo'!M889="","",'Ordenes_Odoo'!M889)</f>
        <v/>
      </c>
      <c r="N889" s="79">
        <f>IF('Ordenes_Odoo'!N889="","",'Ordenes_Odoo'!N889)</f>
        <v/>
      </c>
      <c r="O889" s="81">
        <f>IF('Ordenes_Odoo'!O889="","",'Ordenes_Odoo'!O889)</f>
        <v/>
      </c>
      <c r="P889" s="81">
        <f>IF('Ordenes_Odoo'!P889="","",'Ordenes_Odoo'!P889)</f>
        <v/>
      </c>
      <c r="Q889" s="79">
        <f>IF(A889="","",IFERROR(INDEX(Facturas_Odoo!$B:$B, MATCH(A889, Facturas_Odoo!$D:$D, 0)), "Sin Factura"))</f>
        <v/>
      </c>
      <c r="R889" s="80">
        <f>IF(Q889="Sin Factura","",IFERROR(INDEX(Facturas_Odoo!$A:$A, MATCH(Q889, Facturas_Odoo!$B:$B, 0)), ""))</f>
        <v/>
      </c>
      <c r="S889" s="79">
        <f>IF(Q889="Sin Factura","",IFERROR(_xlfn.XLOOKUP(1, (Facturas_Odoo!$D:$D=A889) * (Facturas_Odoo!$K:$K=I889), Facturas_Odoo!$L:$L, ""), ""))</f>
        <v/>
      </c>
      <c r="T889" s="81">
        <f>IF(Q889="Sin Factura",0,IFERROR(_xlfn.XLOOKUP(1, (Facturas_Odoo!$D:$D=A889) * (Facturas_Odoo!$K:$K=I889), Facturas_Odoo!$M:$M, 0), 0))</f>
        <v/>
      </c>
      <c r="U889" s="79">
        <f>IF(Q889="Sin Factura",0,IFERROR(_xlfn.XLOOKUP(1, (Facturas_Odoo!$D:$D=A889) * (Facturas_Odoo!$K:$K=I889), Facturas_Odoo!$N:$N, 0), 0))</f>
        <v/>
      </c>
      <c r="V889" s="79">
        <f>IF(Q889="Sin Factura",0,IFERROR(_xlfn.XLOOKUP(1, (Facturas_Odoo!$D:$D=A889) * (Facturas_Odoo!$K:$K=I889), Facturas_Odoo!$O:$O, 0), 0))</f>
        <v/>
      </c>
      <c r="W889" s="81">
        <f>IF(Q889="Sin Factura",0,IFERROR(_xlfn.XLOOKUP(1, (Facturas_Odoo!$D:$D=A889) * (Facturas_Odoo!$K:$K=I889), Facturas_Odoo!$Q:$Q, 0), 0))</f>
        <v/>
      </c>
      <c r="X889" s="79">
        <f>IF(OR(Q889="Sin Factura",Q889=""),"",IFERROR(INDEX(Pagos_Odoo!$B:$B, MATCH(Q889, Pagos_Odoo!$I:$I, 0)), "Sin Pago"))</f>
        <v/>
      </c>
      <c r="Y889" s="79">
        <f>IF(X889="Sin Pago","",IFERROR(INDEX(Pagos_Odoo!$C:$C, MATCH(X889, Pagos_Odoo!$B:$B, 0)), ""))</f>
        <v/>
      </c>
      <c r="Z889" s="80">
        <f>IF(X889="Sin Pago","",IFERROR(INDEX(Pagos_Odoo!$A:$A, MATCH(X889, Pagos_Odoo!$B:$B, 0)), ""))</f>
        <v/>
      </c>
      <c r="AA889" s="79">
        <f>IF(X889="Sin Pago","",IFERROR(INDEX(Pagos_Odoo!$F:$F, MATCH(X889, Pagos_Odoo!$B:$B, 0)), ""))</f>
        <v/>
      </c>
      <c r="AB889" s="81">
        <f>IF(X889="Sin Pago",0,IFERROR(INDEX(Pagos_Odoo!$E:$E, MATCH(X889, Pagos_Odoo!$B:$B, 0)), 0))</f>
        <v/>
      </c>
      <c r="AC889" s="79">
        <f>IF(X889="Sin Pago","",IFERROR(INDEX(Pagos_Odoo!$G:$G, MATCH(X889, Pagos_Odoo!$B:$B, 0)), ""))</f>
        <v/>
      </c>
      <c r="AD889" s="82" t="n">
        <v>0</v>
      </c>
      <c r="AE889" s="82" t="n"/>
      <c r="AF889" s="82" t="n"/>
      <c r="AG889" s="82">
        <f>IF(AN889="","",AD889+AE889+AF889)</f>
        <v/>
      </c>
      <c r="AH889" s="81">
        <f>IF(AN889="","",P889*(1-AG889))</f>
        <v/>
      </c>
      <c r="AI889" s="81">
        <f>IF(AN889="","",IF(Q889="Sin Factura",0,IFERROR(INDEX(Facturas_Odoo!$H:$H, MATCH(Q889, Facturas_Odoo!$B:$B, 0)), 0)*(1-AG889)))</f>
        <v/>
      </c>
      <c r="AJ889" s="81">
        <f>IF(AN889="","",_xlfn.LET(idVenta, AN889&amp;"",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89" s="81">
        <f>IF(AN889="","",AH889-AJ889)</f>
        <v/>
      </c>
      <c r="AL889" s="81">
        <f>IF(AN889="","",IF(Q889="Sin Factura","",AI889-AJ889))</f>
        <v/>
      </c>
      <c r="AM889" s="81">
        <f>IF(AN889="","",IF(Q889="Sin Factura",0,P889-IFERROR(INDEX(Facturas_Odoo!$H:$H, MATCH(Q889, Facturas_Odoo!$B:$B, 0)), 0)))</f>
        <v/>
      </c>
      <c r="AN889" s="79">
        <f>IF(AND(A889="", J889=""), "", IF(A889&lt;&gt;"", VALUE(MID(A889,2,LEN(A889))), AN888))</f>
        <v/>
      </c>
      <c r="AO889" s="79">
        <f>IF(AN889="","",IF(AD889=0,"OK",_xlfn.LET(monedaPago, IF(AA889="","USD",AA889), limitePermitido, IFERROR(VLOOKUP(monedaPago, Configuración!$A$2:$B$3, 2, FALSE), 0.15), IF(AD889&gt;limitePermitido, "ALERTA: EXCESO (" &amp; TEXT(limitePermitido, "0%") &amp; " máx)", "OK"))))</f>
        <v/>
      </c>
      <c r="AP889" s="79">
        <f>IF(AN889="","",IF(AE889=0,"OK",_xlfn.LET(fechaPago, Z889, fechaFactura, R889, diasCredito, IF(E889="Pago inmediato", 0, IFERROR(VALUE(MID(E889, 1, SEARCH(" ", E889)-1)),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89" s="79">
        <f>IF(AN889="","",IF(AND(N889&gt;0, AG889&gt;0), IF(Configuración!$K$2="NO", "ALERTA: DESCUENTO DOBLE NO PERMITIDO", "OK"), "OK"))</f>
        <v/>
      </c>
      <c r="AR889" s="79">
        <f>IF(AN889="","",IF(OR(AO889&lt;&gt;"OK", AP889&lt;&gt;"OK", AQ889&lt;&gt;"OK"), "⚠️ REVISAR", "OK"))</f>
        <v/>
      </c>
    </row>
    <row r="890">
      <c r="A890" s="79">
        <f>IF('Ordenes_Odoo'!A890="","",'Ordenes_Odoo'!A890)</f>
        <v/>
      </c>
      <c r="B890" s="80">
        <f>IF('Ordenes_Odoo'!B890="","",'Ordenes_Odoo'!B890)</f>
        <v/>
      </c>
      <c r="C890" s="79">
        <f>IF('Ordenes_Odoo'!C890="","",'Ordenes_Odoo'!C890)</f>
        <v/>
      </c>
      <c r="D890" s="79">
        <f>IF('Ordenes_Odoo'!D890="","",'Ordenes_Odoo'!D890)</f>
        <v/>
      </c>
      <c r="E890" s="79">
        <f>IF('Ordenes_Odoo'!E890="","",'Ordenes_Odoo'!E890)</f>
        <v/>
      </c>
      <c r="F890" s="79">
        <f>IF('Ordenes_Odoo'!F890="","",'Ordenes_Odoo'!F890)</f>
        <v/>
      </c>
      <c r="G890" s="79">
        <f>IF('Ordenes_Odoo'!G890="","",'Ordenes_Odoo'!G890)</f>
        <v/>
      </c>
      <c r="H890" s="79">
        <f>IF('Ordenes_Odoo'!H890="","",'Ordenes_Odoo'!H890)</f>
        <v/>
      </c>
      <c r="I890" s="79">
        <f>IF('Ordenes_Odoo'!I890="","",'Ordenes_Odoo'!I890)</f>
        <v/>
      </c>
      <c r="J890" s="79">
        <f>IF('Ordenes_Odoo'!J890="","",'Ordenes_Odoo'!J890)</f>
        <v/>
      </c>
      <c r="K890" s="81">
        <f>IF('Ordenes_Odoo'!K890="","",'Ordenes_Odoo'!K890)</f>
        <v/>
      </c>
      <c r="L890" s="81">
        <f>IF('Ordenes_Odoo'!L890="","",'Ordenes_Odoo'!L890)</f>
        <v/>
      </c>
      <c r="M890" s="79">
        <f>IF('Ordenes_Odoo'!M890="","",'Ordenes_Odoo'!M890)</f>
        <v/>
      </c>
      <c r="N890" s="79">
        <f>IF('Ordenes_Odoo'!N890="","",'Ordenes_Odoo'!N890)</f>
        <v/>
      </c>
      <c r="O890" s="81">
        <f>IF('Ordenes_Odoo'!O890="","",'Ordenes_Odoo'!O890)</f>
        <v/>
      </c>
      <c r="P890" s="81">
        <f>IF('Ordenes_Odoo'!P890="","",'Ordenes_Odoo'!P890)</f>
        <v/>
      </c>
      <c r="Q890" s="79">
        <f>IF(A890="","",IFERROR(INDEX(Facturas_Odoo!$B:$B, MATCH(A890, Facturas_Odoo!$D:$D, 0)), "Sin Factura"))</f>
        <v/>
      </c>
      <c r="R890" s="80">
        <f>IF(Q890="Sin Factura","",IFERROR(INDEX(Facturas_Odoo!$A:$A, MATCH(Q890, Facturas_Odoo!$B:$B, 0)), ""))</f>
        <v/>
      </c>
      <c r="S890" s="79">
        <f>IF(Q890="Sin Factura","",IFERROR(_xlfn.XLOOKUP(1, (Facturas_Odoo!$D:$D=A890) * (Facturas_Odoo!$K:$K=I890), Facturas_Odoo!$L:$L, ""), ""))</f>
        <v/>
      </c>
      <c r="T890" s="81">
        <f>IF(Q890="Sin Factura",0,IFERROR(_xlfn.XLOOKUP(1, (Facturas_Odoo!$D:$D=A890) * (Facturas_Odoo!$K:$K=I890), Facturas_Odoo!$M:$M, 0), 0))</f>
        <v/>
      </c>
      <c r="U890" s="79">
        <f>IF(Q890="Sin Factura",0,IFERROR(_xlfn.XLOOKUP(1, (Facturas_Odoo!$D:$D=A890) * (Facturas_Odoo!$K:$K=I890), Facturas_Odoo!$N:$N, 0), 0))</f>
        <v/>
      </c>
      <c r="V890" s="79">
        <f>IF(Q890="Sin Factura",0,IFERROR(_xlfn.XLOOKUP(1, (Facturas_Odoo!$D:$D=A890) * (Facturas_Odoo!$K:$K=I890), Facturas_Odoo!$O:$O, 0), 0))</f>
        <v/>
      </c>
      <c r="W890" s="81">
        <f>IF(Q890="Sin Factura",0,IFERROR(_xlfn.XLOOKUP(1, (Facturas_Odoo!$D:$D=A890) * (Facturas_Odoo!$K:$K=I890), Facturas_Odoo!$Q:$Q, 0), 0))</f>
        <v/>
      </c>
      <c r="X890" s="79">
        <f>IF(OR(Q890="Sin Factura",Q890=""),"",IFERROR(INDEX(Pagos_Odoo!$B:$B, MATCH(Q890, Pagos_Odoo!$I:$I, 0)), "Sin Pago"))</f>
        <v/>
      </c>
      <c r="Y890" s="79">
        <f>IF(X890="Sin Pago","",IFERROR(INDEX(Pagos_Odoo!$C:$C, MATCH(X890, Pagos_Odoo!$B:$B, 0)), ""))</f>
        <v/>
      </c>
      <c r="Z890" s="80">
        <f>IF(X890="Sin Pago","",IFERROR(INDEX(Pagos_Odoo!$A:$A, MATCH(X890, Pagos_Odoo!$B:$B, 0)), ""))</f>
        <v/>
      </c>
      <c r="AA890" s="79">
        <f>IF(X890="Sin Pago","",IFERROR(INDEX(Pagos_Odoo!$F:$F, MATCH(X890, Pagos_Odoo!$B:$B, 0)), ""))</f>
        <v/>
      </c>
      <c r="AB890" s="81">
        <f>IF(X890="Sin Pago",0,IFERROR(INDEX(Pagos_Odoo!$E:$E, MATCH(X890, Pagos_Odoo!$B:$B, 0)), 0))</f>
        <v/>
      </c>
      <c r="AC890" s="79">
        <f>IF(X890="Sin Pago","",IFERROR(INDEX(Pagos_Odoo!$G:$G, MATCH(X890, Pagos_Odoo!$B:$B, 0)), ""))</f>
        <v/>
      </c>
      <c r="AD890" s="82" t="n">
        <v>0</v>
      </c>
      <c r="AE890" s="82" t="n"/>
      <c r="AF890" s="82" t="n"/>
      <c r="AG890" s="82">
        <f>IF(AN890="","",AD890+AE890+AF890)</f>
        <v/>
      </c>
      <c r="AH890" s="81">
        <f>IF(AN890="","",P890*(1-AG890))</f>
        <v/>
      </c>
      <c r="AI890" s="81">
        <f>IF(AN890="","",IF(Q890="Sin Factura",0,IFERROR(INDEX(Facturas_Odoo!$H:$H, MATCH(Q890, Facturas_Odoo!$B:$B, 0)), 0)*(1-AG890)))</f>
        <v/>
      </c>
      <c r="AJ890" s="81">
        <f>IF(AN890="","",_xlfn.LET(idVenta, AN890&amp;"",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90" s="81">
        <f>IF(AN890="","",AH890-AJ890)</f>
        <v/>
      </c>
      <c r="AL890" s="81">
        <f>IF(AN890="","",IF(Q890="Sin Factura","",AI890-AJ890))</f>
        <v/>
      </c>
      <c r="AM890" s="81">
        <f>IF(AN890="","",IF(Q890="Sin Factura",0,P890-IFERROR(INDEX(Facturas_Odoo!$H:$H, MATCH(Q890, Facturas_Odoo!$B:$B, 0)), 0)))</f>
        <v/>
      </c>
      <c r="AN890" s="79">
        <f>IF(AND(A890="", J890=""), "", IF(A890&lt;&gt;"", VALUE(MID(A890,2,LEN(A890))), AN889))</f>
        <v/>
      </c>
      <c r="AO890" s="79">
        <f>IF(AN890="","",IF(AD890=0,"OK",_xlfn.LET(monedaPago, IF(AA890="","USD",AA890), limitePermitido, IFERROR(VLOOKUP(monedaPago, Configuración!$A$2:$B$3, 2, FALSE), 0.15), IF(AD890&gt;limitePermitido, "ALERTA: EXCESO (" &amp; TEXT(limitePermitido, "0%") &amp; " máx)", "OK"))))</f>
        <v/>
      </c>
      <c r="AP890" s="79">
        <f>IF(AN890="","",IF(AE890=0,"OK",_xlfn.LET(fechaPago, Z890, fechaFactura, R890, diasCredito, IF(E890="Pago inmediato", 0, IFERROR(VALUE(MID(E890, 1, SEARCH(" ", E890)-1)),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90" s="79">
        <f>IF(AN890="","",IF(AND(N890&gt;0, AG890&gt;0), IF(Configuración!$K$2="NO", "ALERTA: DESCUENTO DOBLE NO PERMITIDO", "OK"), "OK"))</f>
        <v/>
      </c>
      <c r="AR890" s="79">
        <f>IF(AN890="","",IF(OR(AO890&lt;&gt;"OK", AP890&lt;&gt;"OK", AQ890&lt;&gt;"OK"), "⚠️ REVISAR", "OK"))</f>
        <v/>
      </c>
    </row>
    <row r="891">
      <c r="A891" s="79">
        <f>IF('Ordenes_Odoo'!A891="","",'Ordenes_Odoo'!A891)</f>
        <v/>
      </c>
      <c r="B891" s="80">
        <f>IF('Ordenes_Odoo'!B891="","",'Ordenes_Odoo'!B891)</f>
        <v/>
      </c>
      <c r="C891" s="79">
        <f>IF('Ordenes_Odoo'!C891="","",'Ordenes_Odoo'!C891)</f>
        <v/>
      </c>
      <c r="D891" s="79">
        <f>IF('Ordenes_Odoo'!D891="","",'Ordenes_Odoo'!D891)</f>
        <v/>
      </c>
      <c r="E891" s="79">
        <f>IF('Ordenes_Odoo'!E891="","",'Ordenes_Odoo'!E891)</f>
        <v/>
      </c>
      <c r="F891" s="79">
        <f>IF('Ordenes_Odoo'!F891="","",'Ordenes_Odoo'!F891)</f>
        <v/>
      </c>
      <c r="G891" s="79">
        <f>IF('Ordenes_Odoo'!G891="","",'Ordenes_Odoo'!G891)</f>
        <v/>
      </c>
      <c r="H891" s="79">
        <f>IF('Ordenes_Odoo'!H891="","",'Ordenes_Odoo'!H891)</f>
        <v/>
      </c>
      <c r="I891" s="79">
        <f>IF('Ordenes_Odoo'!I891="","",'Ordenes_Odoo'!I891)</f>
        <v/>
      </c>
      <c r="J891" s="79">
        <f>IF('Ordenes_Odoo'!J891="","",'Ordenes_Odoo'!J891)</f>
        <v/>
      </c>
      <c r="K891" s="81">
        <f>IF('Ordenes_Odoo'!K891="","",'Ordenes_Odoo'!K891)</f>
        <v/>
      </c>
      <c r="L891" s="81">
        <f>IF('Ordenes_Odoo'!L891="","",'Ordenes_Odoo'!L891)</f>
        <v/>
      </c>
      <c r="M891" s="79">
        <f>IF('Ordenes_Odoo'!M891="","",'Ordenes_Odoo'!M891)</f>
        <v/>
      </c>
      <c r="N891" s="79">
        <f>IF('Ordenes_Odoo'!N891="","",'Ordenes_Odoo'!N891)</f>
        <v/>
      </c>
      <c r="O891" s="81">
        <f>IF('Ordenes_Odoo'!O891="","",'Ordenes_Odoo'!O891)</f>
        <v/>
      </c>
      <c r="P891" s="81">
        <f>IF('Ordenes_Odoo'!P891="","",'Ordenes_Odoo'!P891)</f>
        <v/>
      </c>
      <c r="Q891" s="79">
        <f>IF(A891="","",IFERROR(INDEX(Facturas_Odoo!$B:$B, MATCH(A891, Facturas_Odoo!$D:$D, 0)), "Sin Factura"))</f>
        <v/>
      </c>
      <c r="R891" s="80">
        <f>IF(Q891="Sin Factura","",IFERROR(INDEX(Facturas_Odoo!$A:$A, MATCH(Q891, Facturas_Odoo!$B:$B, 0)), ""))</f>
        <v/>
      </c>
      <c r="S891" s="79">
        <f>IF(Q891="Sin Factura","",IFERROR(_xlfn.XLOOKUP(1, (Facturas_Odoo!$D:$D=A891) * (Facturas_Odoo!$K:$K=I891), Facturas_Odoo!$L:$L, ""), ""))</f>
        <v/>
      </c>
      <c r="T891" s="81">
        <f>IF(Q891="Sin Factura",0,IFERROR(_xlfn.XLOOKUP(1, (Facturas_Odoo!$D:$D=A891) * (Facturas_Odoo!$K:$K=I891), Facturas_Odoo!$M:$M, 0), 0))</f>
        <v/>
      </c>
      <c r="U891" s="79">
        <f>IF(Q891="Sin Factura",0,IFERROR(_xlfn.XLOOKUP(1, (Facturas_Odoo!$D:$D=A891) * (Facturas_Odoo!$K:$K=I891), Facturas_Odoo!$N:$N, 0), 0))</f>
        <v/>
      </c>
      <c r="V891" s="79">
        <f>IF(Q891="Sin Factura",0,IFERROR(_xlfn.XLOOKUP(1, (Facturas_Odoo!$D:$D=A891) * (Facturas_Odoo!$K:$K=I891), Facturas_Odoo!$O:$O, 0), 0))</f>
        <v/>
      </c>
      <c r="W891" s="81">
        <f>IF(Q891="Sin Factura",0,IFERROR(_xlfn.XLOOKUP(1, (Facturas_Odoo!$D:$D=A891) * (Facturas_Odoo!$K:$K=I891), Facturas_Odoo!$Q:$Q, 0), 0))</f>
        <v/>
      </c>
      <c r="X891" s="79">
        <f>IF(OR(Q891="Sin Factura",Q891=""),"",IFERROR(INDEX(Pagos_Odoo!$B:$B, MATCH(Q891, Pagos_Odoo!$I:$I, 0)), "Sin Pago"))</f>
        <v/>
      </c>
      <c r="Y891" s="79">
        <f>IF(X891="Sin Pago","",IFERROR(INDEX(Pagos_Odoo!$C:$C, MATCH(X891, Pagos_Odoo!$B:$B, 0)), ""))</f>
        <v/>
      </c>
      <c r="Z891" s="80">
        <f>IF(X891="Sin Pago","",IFERROR(INDEX(Pagos_Odoo!$A:$A, MATCH(X891, Pagos_Odoo!$B:$B, 0)), ""))</f>
        <v/>
      </c>
      <c r="AA891" s="79">
        <f>IF(X891="Sin Pago","",IFERROR(INDEX(Pagos_Odoo!$F:$F, MATCH(X891, Pagos_Odoo!$B:$B, 0)), ""))</f>
        <v/>
      </c>
      <c r="AB891" s="81">
        <f>IF(X891="Sin Pago",0,IFERROR(INDEX(Pagos_Odoo!$E:$E, MATCH(X891, Pagos_Odoo!$B:$B, 0)), 0))</f>
        <v/>
      </c>
      <c r="AC891" s="79">
        <f>IF(X891="Sin Pago","",IFERROR(INDEX(Pagos_Odoo!$G:$G, MATCH(X891, Pagos_Odoo!$B:$B, 0)), ""))</f>
        <v/>
      </c>
      <c r="AD891" s="82" t="n">
        <v>0</v>
      </c>
      <c r="AE891" s="82" t="n"/>
      <c r="AF891" s="82" t="n"/>
      <c r="AG891" s="82">
        <f>IF(AN891="","",AD891+AE891+AF891)</f>
        <v/>
      </c>
      <c r="AH891" s="81">
        <f>IF(AN891="","",P891*(1-AG891))</f>
        <v/>
      </c>
      <c r="AI891" s="81">
        <f>IF(AN891="","",IF(Q891="Sin Factura",0,IFERROR(INDEX(Facturas_Odoo!$H:$H, MATCH(Q891, Facturas_Odoo!$B:$B, 0)), 0)*(1-AG891)))</f>
        <v/>
      </c>
      <c r="AJ891" s="81">
        <f>IF(AN891="","",_xlfn.LET(idVenta, AN891&amp;"",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91" s="81">
        <f>IF(AN891="","",AH891-AJ891)</f>
        <v/>
      </c>
      <c r="AL891" s="81">
        <f>IF(AN891="","",IF(Q891="Sin Factura","",AI891-AJ891))</f>
        <v/>
      </c>
      <c r="AM891" s="81">
        <f>IF(AN891="","",IF(Q891="Sin Factura",0,P891-IFERROR(INDEX(Facturas_Odoo!$H:$H, MATCH(Q891, Facturas_Odoo!$B:$B, 0)), 0)))</f>
        <v/>
      </c>
      <c r="AN891" s="79">
        <f>IF(AND(A891="", J891=""), "", IF(A891&lt;&gt;"", VALUE(MID(A891,2,LEN(A891))), AN890))</f>
        <v/>
      </c>
      <c r="AO891" s="79">
        <f>IF(AN891="","",IF(AD891=0,"OK",_xlfn.LET(monedaPago, IF(AA891="","USD",AA891), limitePermitido, IFERROR(VLOOKUP(monedaPago, Configuración!$A$2:$B$3, 2, FALSE), 0.15), IF(AD891&gt;limitePermitido, "ALERTA: EXCESO (" &amp; TEXT(limitePermitido, "0%") &amp; " máx)", "OK"))))</f>
        <v/>
      </c>
      <c r="AP891" s="79">
        <f>IF(AN891="","",IF(AE891=0,"OK",_xlfn.LET(fechaPago, Z891, fechaFactura, R891, diasCredito, IF(E891="Pago inmediato", 0, IFERROR(VALUE(MID(E891, 1, SEARCH(" ", E891)-1)),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91" s="79">
        <f>IF(AN891="","",IF(AND(N891&gt;0, AG891&gt;0), IF(Configuración!$K$2="NO", "ALERTA: DESCUENTO DOBLE NO PERMITIDO", "OK"), "OK"))</f>
        <v/>
      </c>
      <c r="AR891" s="79">
        <f>IF(AN891="","",IF(OR(AO891&lt;&gt;"OK", AP891&lt;&gt;"OK", AQ891&lt;&gt;"OK"), "⚠️ REVISAR", "OK"))</f>
        <v/>
      </c>
    </row>
    <row r="892">
      <c r="A892" s="79">
        <f>IF('Ordenes_Odoo'!A892="","",'Ordenes_Odoo'!A892)</f>
        <v/>
      </c>
      <c r="B892" s="80">
        <f>IF('Ordenes_Odoo'!B892="","",'Ordenes_Odoo'!B892)</f>
        <v/>
      </c>
      <c r="C892" s="79">
        <f>IF('Ordenes_Odoo'!C892="","",'Ordenes_Odoo'!C892)</f>
        <v/>
      </c>
      <c r="D892" s="79">
        <f>IF('Ordenes_Odoo'!D892="","",'Ordenes_Odoo'!D892)</f>
        <v/>
      </c>
      <c r="E892" s="79">
        <f>IF('Ordenes_Odoo'!E892="","",'Ordenes_Odoo'!E892)</f>
        <v/>
      </c>
      <c r="F892" s="79">
        <f>IF('Ordenes_Odoo'!F892="","",'Ordenes_Odoo'!F892)</f>
        <v/>
      </c>
      <c r="G892" s="79">
        <f>IF('Ordenes_Odoo'!G892="","",'Ordenes_Odoo'!G892)</f>
        <v/>
      </c>
      <c r="H892" s="79">
        <f>IF('Ordenes_Odoo'!H892="","",'Ordenes_Odoo'!H892)</f>
        <v/>
      </c>
      <c r="I892" s="79">
        <f>IF('Ordenes_Odoo'!I892="","",'Ordenes_Odoo'!I892)</f>
        <v/>
      </c>
      <c r="J892" s="79">
        <f>IF('Ordenes_Odoo'!J892="","",'Ordenes_Odoo'!J892)</f>
        <v/>
      </c>
      <c r="K892" s="81">
        <f>IF('Ordenes_Odoo'!K892="","",'Ordenes_Odoo'!K892)</f>
        <v/>
      </c>
      <c r="L892" s="81">
        <f>IF('Ordenes_Odoo'!L892="","",'Ordenes_Odoo'!L892)</f>
        <v/>
      </c>
      <c r="M892" s="79">
        <f>IF('Ordenes_Odoo'!M892="","",'Ordenes_Odoo'!M892)</f>
        <v/>
      </c>
      <c r="N892" s="79">
        <f>IF('Ordenes_Odoo'!N892="","",'Ordenes_Odoo'!N892)</f>
        <v/>
      </c>
      <c r="O892" s="81">
        <f>IF('Ordenes_Odoo'!O892="","",'Ordenes_Odoo'!O892)</f>
        <v/>
      </c>
      <c r="P892" s="81">
        <f>IF('Ordenes_Odoo'!P892="","",'Ordenes_Odoo'!P892)</f>
        <v/>
      </c>
      <c r="Q892" s="79">
        <f>IF(A892="","",IFERROR(INDEX(Facturas_Odoo!$B:$B, MATCH(A892, Facturas_Odoo!$D:$D, 0)), "Sin Factura"))</f>
        <v/>
      </c>
      <c r="R892" s="80">
        <f>IF(Q892="Sin Factura","",IFERROR(INDEX(Facturas_Odoo!$A:$A, MATCH(Q892, Facturas_Odoo!$B:$B, 0)), ""))</f>
        <v/>
      </c>
      <c r="S892" s="79">
        <f>IF(Q892="Sin Factura","",IFERROR(_xlfn.XLOOKUP(1, (Facturas_Odoo!$D:$D=A892) * (Facturas_Odoo!$K:$K=I892), Facturas_Odoo!$L:$L, ""), ""))</f>
        <v/>
      </c>
      <c r="T892" s="81">
        <f>IF(Q892="Sin Factura",0,IFERROR(_xlfn.XLOOKUP(1, (Facturas_Odoo!$D:$D=A892) * (Facturas_Odoo!$K:$K=I892), Facturas_Odoo!$M:$M, 0), 0))</f>
        <v/>
      </c>
      <c r="U892" s="79">
        <f>IF(Q892="Sin Factura",0,IFERROR(_xlfn.XLOOKUP(1, (Facturas_Odoo!$D:$D=A892) * (Facturas_Odoo!$K:$K=I892), Facturas_Odoo!$N:$N, 0), 0))</f>
        <v/>
      </c>
      <c r="V892" s="79">
        <f>IF(Q892="Sin Factura",0,IFERROR(_xlfn.XLOOKUP(1, (Facturas_Odoo!$D:$D=A892) * (Facturas_Odoo!$K:$K=I892), Facturas_Odoo!$O:$O, 0), 0))</f>
        <v/>
      </c>
      <c r="W892" s="81">
        <f>IF(Q892="Sin Factura",0,IFERROR(_xlfn.XLOOKUP(1, (Facturas_Odoo!$D:$D=A892) * (Facturas_Odoo!$K:$K=I892), Facturas_Odoo!$Q:$Q, 0), 0))</f>
        <v/>
      </c>
      <c r="X892" s="79">
        <f>IF(OR(Q892="Sin Factura",Q892=""),"",IFERROR(INDEX(Pagos_Odoo!$B:$B, MATCH(Q892, Pagos_Odoo!$I:$I, 0)), "Sin Pago"))</f>
        <v/>
      </c>
      <c r="Y892" s="79">
        <f>IF(X892="Sin Pago","",IFERROR(INDEX(Pagos_Odoo!$C:$C, MATCH(X892, Pagos_Odoo!$B:$B, 0)), ""))</f>
        <v/>
      </c>
      <c r="Z892" s="80">
        <f>IF(X892="Sin Pago","",IFERROR(INDEX(Pagos_Odoo!$A:$A, MATCH(X892, Pagos_Odoo!$B:$B, 0)), ""))</f>
        <v/>
      </c>
      <c r="AA892" s="79">
        <f>IF(X892="Sin Pago","",IFERROR(INDEX(Pagos_Odoo!$F:$F, MATCH(X892, Pagos_Odoo!$B:$B, 0)), ""))</f>
        <v/>
      </c>
      <c r="AB892" s="81">
        <f>IF(X892="Sin Pago",0,IFERROR(INDEX(Pagos_Odoo!$E:$E, MATCH(X892, Pagos_Odoo!$B:$B, 0)), 0))</f>
        <v/>
      </c>
      <c r="AC892" s="79">
        <f>IF(X892="Sin Pago","",IFERROR(INDEX(Pagos_Odoo!$G:$G, MATCH(X892, Pagos_Odoo!$B:$B, 0)), ""))</f>
        <v/>
      </c>
      <c r="AD892" s="82" t="n">
        <v>0</v>
      </c>
      <c r="AE892" s="82" t="n"/>
      <c r="AF892" s="82" t="n"/>
      <c r="AG892" s="82">
        <f>IF(AN892="","",AD892+AE892+AF892)</f>
        <v/>
      </c>
      <c r="AH892" s="81">
        <f>IF(AN892="","",P892*(1-AG892))</f>
        <v/>
      </c>
      <c r="AI892" s="81">
        <f>IF(AN892="","",IF(Q892="Sin Factura",0,IFERROR(INDEX(Facturas_Odoo!$H:$H, MATCH(Q892, Facturas_Odoo!$B:$B, 0)), 0)*(1-AG892)))</f>
        <v/>
      </c>
      <c r="AJ892" s="81">
        <f>IF(AN892="","",_xlfn.LET(idVenta, AN892&amp;"",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92" s="81">
        <f>IF(AN892="","",AH892-AJ892)</f>
        <v/>
      </c>
      <c r="AL892" s="81">
        <f>IF(AN892="","",IF(Q892="Sin Factura","",AI892-AJ892))</f>
        <v/>
      </c>
      <c r="AM892" s="81">
        <f>IF(AN892="","",IF(Q892="Sin Factura",0,P892-IFERROR(INDEX(Facturas_Odoo!$H:$H, MATCH(Q892, Facturas_Odoo!$B:$B, 0)), 0)))</f>
        <v/>
      </c>
      <c r="AN892" s="79">
        <f>IF(AND(A892="", J892=""), "", IF(A892&lt;&gt;"", VALUE(MID(A892,2,LEN(A892))), AN891))</f>
        <v/>
      </c>
      <c r="AO892" s="79">
        <f>IF(AN892="","",IF(AD892=0,"OK",_xlfn.LET(monedaPago, IF(AA892="","USD",AA892), limitePermitido, IFERROR(VLOOKUP(monedaPago, Configuración!$A$2:$B$3, 2, FALSE), 0.15), IF(AD892&gt;limitePermitido, "ALERTA: EXCESO (" &amp; TEXT(limitePermitido, "0%") &amp; " máx)", "OK"))))</f>
        <v/>
      </c>
      <c r="AP892" s="79">
        <f>IF(AN892="","",IF(AE892=0,"OK",_xlfn.LET(fechaPago, Z892, fechaFactura, R892, diasCredito, IF(E892="Pago inmediato", 0, IFERROR(VALUE(MID(E892, 1, SEARCH(" ", E892)-1)),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92" s="79">
        <f>IF(AN892="","",IF(AND(N892&gt;0, AG892&gt;0), IF(Configuración!$K$2="NO", "ALERTA: DESCUENTO DOBLE NO PERMITIDO", "OK"), "OK"))</f>
        <v/>
      </c>
      <c r="AR892" s="79">
        <f>IF(AN892="","",IF(OR(AO892&lt;&gt;"OK", AP892&lt;&gt;"OK", AQ892&lt;&gt;"OK"), "⚠️ REVISAR", "OK"))</f>
        <v/>
      </c>
    </row>
    <row r="893">
      <c r="A893" s="79">
        <f>IF('Ordenes_Odoo'!A893="","",'Ordenes_Odoo'!A893)</f>
        <v/>
      </c>
      <c r="B893" s="80">
        <f>IF('Ordenes_Odoo'!B893="","",'Ordenes_Odoo'!B893)</f>
        <v/>
      </c>
      <c r="C893" s="79">
        <f>IF('Ordenes_Odoo'!C893="","",'Ordenes_Odoo'!C893)</f>
        <v/>
      </c>
      <c r="D893" s="79">
        <f>IF('Ordenes_Odoo'!D893="","",'Ordenes_Odoo'!D893)</f>
        <v/>
      </c>
      <c r="E893" s="79">
        <f>IF('Ordenes_Odoo'!E893="","",'Ordenes_Odoo'!E893)</f>
        <v/>
      </c>
      <c r="F893" s="79">
        <f>IF('Ordenes_Odoo'!F893="","",'Ordenes_Odoo'!F893)</f>
        <v/>
      </c>
      <c r="G893" s="79">
        <f>IF('Ordenes_Odoo'!G893="","",'Ordenes_Odoo'!G893)</f>
        <v/>
      </c>
      <c r="H893" s="79">
        <f>IF('Ordenes_Odoo'!H893="","",'Ordenes_Odoo'!H893)</f>
        <v/>
      </c>
      <c r="I893" s="79">
        <f>IF('Ordenes_Odoo'!I893="","",'Ordenes_Odoo'!I893)</f>
        <v/>
      </c>
      <c r="J893" s="79">
        <f>IF('Ordenes_Odoo'!J893="","",'Ordenes_Odoo'!J893)</f>
        <v/>
      </c>
      <c r="K893" s="81">
        <f>IF('Ordenes_Odoo'!K893="","",'Ordenes_Odoo'!K893)</f>
        <v/>
      </c>
      <c r="L893" s="81">
        <f>IF('Ordenes_Odoo'!L893="","",'Ordenes_Odoo'!L893)</f>
        <v/>
      </c>
      <c r="M893" s="79">
        <f>IF('Ordenes_Odoo'!M893="","",'Ordenes_Odoo'!M893)</f>
        <v/>
      </c>
      <c r="N893" s="79">
        <f>IF('Ordenes_Odoo'!N893="","",'Ordenes_Odoo'!N893)</f>
        <v/>
      </c>
      <c r="O893" s="81">
        <f>IF('Ordenes_Odoo'!O893="","",'Ordenes_Odoo'!O893)</f>
        <v/>
      </c>
      <c r="P893" s="81">
        <f>IF('Ordenes_Odoo'!P893="","",'Ordenes_Odoo'!P893)</f>
        <v/>
      </c>
      <c r="Q893" s="79">
        <f>IF(A893="","",IFERROR(INDEX(Facturas_Odoo!$B:$B, MATCH(A893, Facturas_Odoo!$D:$D, 0)), "Sin Factura"))</f>
        <v/>
      </c>
      <c r="R893" s="80">
        <f>IF(Q893="Sin Factura","",IFERROR(INDEX(Facturas_Odoo!$A:$A, MATCH(Q893, Facturas_Odoo!$B:$B, 0)), ""))</f>
        <v/>
      </c>
      <c r="S893" s="79">
        <f>IF(Q893="Sin Factura","",IFERROR(_xlfn.XLOOKUP(1, (Facturas_Odoo!$D:$D=A893) * (Facturas_Odoo!$K:$K=I893), Facturas_Odoo!$L:$L, ""), ""))</f>
        <v/>
      </c>
      <c r="T893" s="81">
        <f>IF(Q893="Sin Factura",0,IFERROR(_xlfn.XLOOKUP(1, (Facturas_Odoo!$D:$D=A893) * (Facturas_Odoo!$K:$K=I893), Facturas_Odoo!$M:$M, 0), 0))</f>
        <v/>
      </c>
      <c r="U893" s="79">
        <f>IF(Q893="Sin Factura",0,IFERROR(_xlfn.XLOOKUP(1, (Facturas_Odoo!$D:$D=A893) * (Facturas_Odoo!$K:$K=I893), Facturas_Odoo!$N:$N, 0), 0))</f>
        <v/>
      </c>
      <c r="V893" s="79">
        <f>IF(Q893="Sin Factura",0,IFERROR(_xlfn.XLOOKUP(1, (Facturas_Odoo!$D:$D=A893) * (Facturas_Odoo!$K:$K=I893), Facturas_Odoo!$O:$O, 0), 0))</f>
        <v/>
      </c>
      <c r="W893" s="81">
        <f>IF(Q893="Sin Factura",0,IFERROR(_xlfn.XLOOKUP(1, (Facturas_Odoo!$D:$D=A893) * (Facturas_Odoo!$K:$K=I893), Facturas_Odoo!$Q:$Q, 0), 0))</f>
        <v/>
      </c>
      <c r="X893" s="79">
        <f>IF(OR(Q893="Sin Factura",Q893=""),"",IFERROR(INDEX(Pagos_Odoo!$B:$B, MATCH(Q893, Pagos_Odoo!$I:$I, 0)), "Sin Pago"))</f>
        <v/>
      </c>
      <c r="Y893" s="79">
        <f>IF(X893="Sin Pago","",IFERROR(INDEX(Pagos_Odoo!$C:$C, MATCH(X893, Pagos_Odoo!$B:$B, 0)), ""))</f>
        <v/>
      </c>
      <c r="Z893" s="80">
        <f>IF(X893="Sin Pago","",IFERROR(INDEX(Pagos_Odoo!$A:$A, MATCH(X893, Pagos_Odoo!$B:$B, 0)), ""))</f>
        <v/>
      </c>
      <c r="AA893" s="79">
        <f>IF(X893="Sin Pago","",IFERROR(INDEX(Pagos_Odoo!$F:$F, MATCH(X893, Pagos_Odoo!$B:$B, 0)), ""))</f>
        <v/>
      </c>
      <c r="AB893" s="81">
        <f>IF(X893="Sin Pago",0,IFERROR(INDEX(Pagos_Odoo!$E:$E, MATCH(X893, Pagos_Odoo!$B:$B, 0)), 0))</f>
        <v/>
      </c>
      <c r="AC893" s="79">
        <f>IF(X893="Sin Pago","",IFERROR(INDEX(Pagos_Odoo!$G:$G, MATCH(X893, Pagos_Odoo!$B:$B, 0)), ""))</f>
        <v/>
      </c>
      <c r="AD893" s="82" t="n">
        <v>0</v>
      </c>
      <c r="AE893" s="82" t="n"/>
      <c r="AF893" s="82" t="n"/>
      <c r="AG893" s="82">
        <f>IF(AN893="","",AD893+AE893+AF893)</f>
        <v/>
      </c>
      <c r="AH893" s="81">
        <f>IF(AN893="","",P893*(1-AG893))</f>
        <v/>
      </c>
      <c r="AI893" s="81">
        <f>IF(AN893="","",IF(Q893="Sin Factura",0,IFERROR(INDEX(Facturas_Odoo!$H:$H, MATCH(Q893, Facturas_Odoo!$B:$B, 0)), 0)*(1-AG893)))</f>
        <v/>
      </c>
      <c r="AJ893" s="81">
        <f>IF(AN893="","",_xlfn.LET(idVenta, AN893&amp;"",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93" s="81">
        <f>IF(AN893="","",AH893-AJ893)</f>
        <v/>
      </c>
      <c r="AL893" s="81">
        <f>IF(AN893="","",IF(Q893="Sin Factura","",AI893-AJ893))</f>
        <v/>
      </c>
      <c r="AM893" s="81">
        <f>IF(AN893="","",IF(Q893="Sin Factura",0,P893-IFERROR(INDEX(Facturas_Odoo!$H:$H, MATCH(Q893, Facturas_Odoo!$B:$B, 0)), 0)))</f>
        <v/>
      </c>
      <c r="AN893" s="79">
        <f>IF(AND(A893="", J893=""), "", IF(A893&lt;&gt;"", VALUE(MID(A893,2,LEN(A893))), AN892))</f>
        <v/>
      </c>
      <c r="AO893" s="79">
        <f>IF(AN893="","",IF(AD893=0,"OK",_xlfn.LET(monedaPago, IF(AA893="","USD",AA893), limitePermitido, IFERROR(VLOOKUP(monedaPago, Configuración!$A$2:$B$3, 2, FALSE), 0.15), IF(AD893&gt;limitePermitido, "ALERTA: EXCESO (" &amp; TEXT(limitePermitido, "0%") &amp; " máx)", "OK"))))</f>
        <v/>
      </c>
      <c r="AP893" s="79">
        <f>IF(AN893="","",IF(AE893=0,"OK",_xlfn.LET(fechaPago, Z893, fechaFactura, R893, diasCredito, IF(E893="Pago inmediato", 0, IFERROR(VALUE(MID(E893, 1, SEARCH(" ", E893)-1)),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93" s="79">
        <f>IF(AN893="","",IF(AND(N893&gt;0, AG893&gt;0), IF(Configuración!$K$2="NO", "ALERTA: DESCUENTO DOBLE NO PERMITIDO", "OK"), "OK"))</f>
        <v/>
      </c>
      <c r="AR893" s="79">
        <f>IF(AN893="","",IF(OR(AO893&lt;&gt;"OK", AP893&lt;&gt;"OK", AQ893&lt;&gt;"OK"), "⚠️ REVISAR", "OK"))</f>
        <v/>
      </c>
    </row>
    <row r="894">
      <c r="A894" s="79">
        <f>IF('Ordenes_Odoo'!A894="","",'Ordenes_Odoo'!A894)</f>
        <v/>
      </c>
      <c r="B894" s="80">
        <f>IF('Ordenes_Odoo'!B894="","",'Ordenes_Odoo'!B894)</f>
        <v/>
      </c>
      <c r="C894" s="79">
        <f>IF('Ordenes_Odoo'!C894="","",'Ordenes_Odoo'!C894)</f>
        <v/>
      </c>
      <c r="D894" s="79">
        <f>IF('Ordenes_Odoo'!D894="","",'Ordenes_Odoo'!D894)</f>
        <v/>
      </c>
      <c r="E894" s="79">
        <f>IF('Ordenes_Odoo'!E894="","",'Ordenes_Odoo'!E894)</f>
        <v/>
      </c>
      <c r="F894" s="79">
        <f>IF('Ordenes_Odoo'!F894="","",'Ordenes_Odoo'!F894)</f>
        <v/>
      </c>
      <c r="G894" s="79">
        <f>IF('Ordenes_Odoo'!G894="","",'Ordenes_Odoo'!G894)</f>
        <v/>
      </c>
      <c r="H894" s="79">
        <f>IF('Ordenes_Odoo'!H894="","",'Ordenes_Odoo'!H894)</f>
        <v/>
      </c>
      <c r="I894" s="79">
        <f>IF('Ordenes_Odoo'!I894="","",'Ordenes_Odoo'!I894)</f>
        <v/>
      </c>
      <c r="J894" s="79">
        <f>IF('Ordenes_Odoo'!J894="","",'Ordenes_Odoo'!J894)</f>
        <v/>
      </c>
      <c r="K894" s="81">
        <f>IF('Ordenes_Odoo'!K894="","",'Ordenes_Odoo'!K894)</f>
        <v/>
      </c>
      <c r="L894" s="81">
        <f>IF('Ordenes_Odoo'!L894="","",'Ordenes_Odoo'!L894)</f>
        <v/>
      </c>
      <c r="M894" s="79">
        <f>IF('Ordenes_Odoo'!M894="","",'Ordenes_Odoo'!M894)</f>
        <v/>
      </c>
      <c r="N894" s="79">
        <f>IF('Ordenes_Odoo'!N894="","",'Ordenes_Odoo'!N894)</f>
        <v/>
      </c>
      <c r="O894" s="81">
        <f>IF('Ordenes_Odoo'!O894="","",'Ordenes_Odoo'!O894)</f>
        <v/>
      </c>
      <c r="P894" s="81">
        <f>IF('Ordenes_Odoo'!P894="","",'Ordenes_Odoo'!P894)</f>
        <v/>
      </c>
      <c r="Q894" s="79">
        <f>IF(A894="","",IFERROR(INDEX(Facturas_Odoo!$B:$B, MATCH(A894, Facturas_Odoo!$D:$D, 0)), "Sin Factura"))</f>
        <v/>
      </c>
      <c r="R894" s="80">
        <f>IF(Q894="Sin Factura","",IFERROR(INDEX(Facturas_Odoo!$A:$A, MATCH(Q894, Facturas_Odoo!$B:$B, 0)), ""))</f>
        <v/>
      </c>
      <c r="S894" s="79">
        <f>IF(Q894="Sin Factura","",IFERROR(_xlfn.XLOOKUP(1, (Facturas_Odoo!$D:$D=A894) * (Facturas_Odoo!$K:$K=I894), Facturas_Odoo!$L:$L, ""), ""))</f>
        <v/>
      </c>
      <c r="T894" s="81">
        <f>IF(Q894="Sin Factura",0,IFERROR(_xlfn.XLOOKUP(1, (Facturas_Odoo!$D:$D=A894) * (Facturas_Odoo!$K:$K=I894), Facturas_Odoo!$M:$M, 0), 0))</f>
        <v/>
      </c>
      <c r="U894" s="79">
        <f>IF(Q894="Sin Factura",0,IFERROR(_xlfn.XLOOKUP(1, (Facturas_Odoo!$D:$D=A894) * (Facturas_Odoo!$K:$K=I894), Facturas_Odoo!$N:$N, 0), 0))</f>
        <v/>
      </c>
      <c r="V894" s="79">
        <f>IF(Q894="Sin Factura",0,IFERROR(_xlfn.XLOOKUP(1, (Facturas_Odoo!$D:$D=A894) * (Facturas_Odoo!$K:$K=I894), Facturas_Odoo!$O:$O, 0), 0))</f>
        <v/>
      </c>
      <c r="W894" s="81">
        <f>IF(Q894="Sin Factura",0,IFERROR(_xlfn.XLOOKUP(1, (Facturas_Odoo!$D:$D=A894) * (Facturas_Odoo!$K:$K=I894), Facturas_Odoo!$Q:$Q, 0), 0))</f>
        <v/>
      </c>
      <c r="X894" s="79">
        <f>IF(OR(Q894="Sin Factura",Q894=""),"",IFERROR(INDEX(Pagos_Odoo!$B:$B, MATCH(Q894, Pagos_Odoo!$I:$I, 0)), "Sin Pago"))</f>
        <v/>
      </c>
      <c r="Y894" s="79">
        <f>IF(X894="Sin Pago","",IFERROR(INDEX(Pagos_Odoo!$C:$C, MATCH(X894, Pagos_Odoo!$B:$B, 0)), ""))</f>
        <v/>
      </c>
      <c r="Z894" s="80">
        <f>IF(X894="Sin Pago","",IFERROR(INDEX(Pagos_Odoo!$A:$A, MATCH(X894, Pagos_Odoo!$B:$B, 0)), ""))</f>
        <v/>
      </c>
      <c r="AA894" s="79">
        <f>IF(X894="Sin Pago","",IFERROR(INDEX(Pagos_Odoo!$F:$F, MATCH(X894, Pagos_Odoo!$B:$B, 0)), ""))</f>
        <v/>
      </c>
      <c r="AB894" s="81">
        <f>IF(X894="Sin Pago",0,IFERROR(INDEX(Pagos_Odoo!$E:$E, MATCH(X894, Pagos_Odoo!$B:$B, 0)), 0))</f>
        <v/>
      </c>
      <c r="AC894" s="79">
        <f>IF(X894="Sin Pago","",IFERROR(INDEX(Pagos_Odoo!$G:$G, MATCH(X894, Pagos_Odoo!$B:$B, 0)), ""))</f>
        <v/>
      </c>
      <c r="AD894" s="82" t="n">
        <v>0</v>
      </c>
      <c r="AE894" s="82" t="n"/>
      <c r="AF894" s="82" t="n"/>
      <c r="AG894" s="82">
        <f>IF(AN894="","",AD894+AE894+AF894)</f>
        <v/>
      </c>
      <c r="AH894" s="81">
        <f>IF(AN894="","",P894*(1-AG894))</f>
        <v/>
      </c>
      <c r="AI894" s="81">
        <f>IF(AN894="","",IF(Q894="Sin Factura",0,IFERROR(INDEX(Facturas_Odoo!$H:$H, MATCH(Q894, Facturas_Odoo!$B:$B, 0)), 0)*(1-AG894)))</f>
        <v/>
      </c>
      <c r="AJ894" s="81">
        <f>IF(AN894="","",_xlfn.LET(idVenta, AN894&amp;"",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94" s="81">
        <f>IF(AN894="","",AH894-AJ894)</f>
        <v/>
      </c>
      <c r="AL894" s="81">
        <f>IF(AN894="","",IF(Q894="Sin Factura","",AI894-AJ894))</f>
        <v/>
      </c>
      <c r="AM894" s="81">
        <f>IF(AN894="","",IF(Q894="Sin Factura",0,P894-IFERROR(INDEX(Facturas_Odoo!$H:$H, MATCH(Q894, Facturas_Odoo!$B:$B, 0)), 0)))</f>
        <v/>
      </c>
      <c r="AN894" s="79">
        <f>IF(AND(A894="", J894=""), "", IF(A894&lt;&gt;"", VALUE(MID(A894,2,LEN(A894))), AN893))</f>
        <v/>
      </c>
      <c r="AO894" s="79">
        <f>IF(AN894="","",IF(AD894=0,"OK",_xlfn.LET(monedaPago, IF(AA894="","USD",AA894), limitePermitido, IFERROR(VLOOKUP(monedaPago, Configuración!$A$2:$B$3, 2, FALSE), 0.15), IF(AD894&gt;limitePermitido, "ALERTA: EXCESO (" &amp; TEXT(limitePermitido, "0%") &amp; " máx)", "OK"))))</f>
        <v/>
      </c>
      <c r="AP894" s="79">
        <f>IF(AN894="","",IF(AE894=0,"OK",_xlfn.LET(fechaPago, Z894, fechaFactura, R894, diasCredito, IF(E894="Pago inmediato", 0, IFERROR(VALUE(MID(E894, 1, SEARCH(" ", E894)-1)),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94" s="79">
        <f>IF(AN894="","",IF(AND(N894&gt;0, AG894&gt;0), IF(Configuración!$K$2="NO", "ALERTA: DESCUENTO DOBLE NO PERMITIDO", "OK"), "OK"))</f>
        <v/>
      </c>
      <c r="AR894" s="79">
        <f>IF(AN894="","",IF(OR(AO894&lt;&gt;"OK", AP894&lt;&gt;"OK", AQ894&lt;&gt;"OK"), "⚠️ REVISAR", "OK"))</f>
        <v/>
      </c>
    </row>
    <row r="895">
      <c r="A895" s="79">
        <f>IF('Ordenes_Odoo'!A895="","",'Ordenes_Odoo'!A895)</f>
        <v/>
      </c>
      <c r="B895" s="80">
        <f>IF('Ordenes_Odoo'!B895="","",'Ordenes_Odoo'!B895)</f>
        <v/>
      </c>
      <c r="C895" s="79">
        <f>IF('Ordenes_Odoo'!C895="","",'Ordenes_Odoo'!C895)</f>
        <v/>
      </c>
      <c r="D895" s="79">
        <f>IF('Ordenes_Odoo'!D895="","",'Ordenes_Odoo'!D895)</f>
        <v/>
      </c>
      <c r="E895" s="79">
        <f>IF('Ordenes_Odoo'!E895="","",'Ordenes_Odoo'!E895)</f>
        <v/>
      </c>
      <c r="F895" s="79">
        <f>IF('Ordenes_Odoo'!F895="","",'Ordenes_Odoo'!F895)</f>
        <v/>
      </c>
      <c r="G895" s="79">
        <f>IF('Ordenes_Odoo'!G895="","",'Ordenes_Odoo'!G895)</f>
        <v/>
      </c>
      <c r="H895" s="79">
        <f>IF('Ordenes_Odoo'!H895="","",'Ordenes_Odoo'!H895)</f>
        <v/>
      </c>
      <c r="I895" s="79">
        <f>IF('Ordenes_Odoo'!I895="","",'Ordenes_Odoo'!I895)</f>
        <v/>
      </c>
      <c r="J895" s="79">
        <f>IF('Ordenes_Odoo'!J895="","",'Ordenes_Odoo'!J895)</f>
        <v/>
      </c>
      <c r="K895" s="81">
        <f>IF('Ordenes_Odoo'!K895="","",'Ordenes_Odoo'!K895)</f>
        <v/>
      </c>
      <c r="L895" s="81">
        <f>IF('Ordenes_Odoo'!L895="","",'Ordenes_Odoo'!L895)</f>
        <v/>
      </c>
      <c r="M895" s="79">
        <f>IF('Ordenes_Odoo'!M895="","",'Ordenes_Odoo'!M895)</f>
        <v/>
      </c>
      <c r="N895" s="79">
        <f>IF('Ordenes_Odoo'!N895="","",'Ordenes_Odoo'!N895)</f>
        <v/>
      </c>
      <c r="O895" s="81">
        <f>IF('Ordenes_Odoo'!O895="","",'Ordenes_Odoo'!O895)</f>
        <v/>
      </c>
      <c r="P895" s="81">
        <f>IF('Ordenes_Odoo'!P895="","",'Ordenes_Odoo'!P895)</f>
        <v/>
      </c>
      <c r="Q895" s="79">
        <f>IF(A895="","",IFERROR(INDEX(Facturas_Odoo!$B:$B, MATCH(A895, Facturas_Odoo!$D:$D, 0)), "Sin Factura"))</f>
        <v/>
      </c>
      <c r="R895" s="80">
        <f>IF(Q895="Sin Factura","",IFERROR(INDEX(Facturas_Odoo!$A:$A, MATCH(Q895, Facturas_Odoo!$B:$B, 0)), ""))</f>
        <v/>
      </c>
      <c r="S895" s="79">
        <f>IF(Q895="Sin Factura","",IFERROR(_xlfn.XLOOKUP(1, (Facturas_Odoo!$D:$D=A895) * (Facturas_Odoo!$K:$K=I895), Facturas_Odoo!$L:$L, ""), ""))</f>
        <v/>
      </c>
      <c r="T895" s="81">
        <f>IF(Q895="Sin Factura",0,IFERROR(_xlfn.XLOOKUP(1, (Facturas_Odoo!$D:$D=A895) * (Facturas_Odoo!$K:$K=I895), Facturas_Odoo!$M:$M, 0), 0))</f>
        <v/>
      </c>
      <c r="U895" s="79">
        <f>IF(Q895="Sin Factura",0,IFERROR(_xlfn.XLOOKUP(1, (Facturas_Odoo!$D:$D=A895) * (Facturas_Odoo!$K:$K=I895), Facturas_Odoo!$N:$N, 0), 0))</f>
        <v/>
      </c>
      <c r="V895" s="79">
        <f>IF(Q895="Sin Factura",0,IFERROR(_xlfn.XLOOKUP(1, (Facturas_Odoo!$D:$D=A895) * (Facturas_Odoo!$K:$K=I895), Facturas_Odoo!$O:$O, 0), 0))</f>
        <v/>
      </c>
      <c r="W895" s="81">
        <f>IF(Q895="Sin Factura",0,IFERROR(_xlfn.XLOOKUP(1, (Facturas_Odoo!$D:$D=A895) * (Facturas_Odoo!$K:$K=I895), Facturas_Odoo!$Q:$Q, 0), 0))</f>
        <v/>
      </c>
      <c r="X895" s="79">
        <f>IF(OR(Q895="Sin Factura",Q895=""),"",IFERROR(INDEX(Pagos_Odoo!$B:$B, MATCH(Q895, Pagos_Odoo!$I:$I, 0)), "Sin Pago"))</f>
        <v/>
      </c>
      <c r="Y895" s="79">
        <f>IF(X895="Sin Pago","",IFERROR(INDEX(Pagos_Odoo!$C:$C, MATCH(X895, Pagos_Odoo!$B:$B, 0)), ""))</f>
        <v/>
      </c>
      <c r="Z895" s="80">
        <f>IF(X895="Sin Pago","",IFERROR(INDEX(Pagos_Odoo!$A:$A, MATCH(X895, Pagos_Odoo!$B:$B, 0)), ""))</f>
        <v/>
      </c>
      <c r="AA895" s="79">
        <f>IF(X895="Sin Pago","",IFERROR(INDEX(Pagos_Odoo!$F:$F, MATCH(X895, Pagos_Odoo!$B:$B, 0)), ""))</f>
        <v/>
      </c>
      <c r="AB895" s="81">
        <f>IF(X895="Sin Pago",0,IFERROR(INDEX(Pagos_Odoo!$E:$E, MATCH(X895, Pagos_Odoo!$B:$B, 0)), 0))</f>
        <v/>
      </c>
      <c r="AC895" s="79">
        <f>IF(X895="Sin Pago","",IFERROR(INDEX(Pagos_Odoo!$G:$G, MATCH(X895, Pagos_Odoo!$B:$B, 0)), ""))</f>
        <v/>
      </c>
      <c r="AD895" s="82" t="n">
        <v>0</v>
      </c>
      <c r="AE895" s="82" t="n"/>
      <c r="AF895" s="82" t="n"/>
      <c r="AG895" s="82">
        <f>IF(AN895="","",AD895+AE895+AF895)</f>
        <v/>
      </c>
      <c r="AH895" s="81">
        <f>IF(AN895="","",P895*(1-AG895))</f>
        <v/>
      </c>
      <c r="AI895" s="81">
        <f>IF(AN895="","",IF(Q895="Sin Factura",0,IFERROR(INDEX(Facturas_Odoo!$H:$H, MATCH(Q895, Facturas_Odoo!$B:$B, 0)), 0)*(1-AG895)))</f>
        <v/>
      </c>
      <c r="AJ895" s="81">
        <f>IF(AN895="","",_xlfn.LET(idVenta, AN895&amp;"",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95" s="81">
        <f>IF(AN895="","",AH895-AJ895)</f>
        <v/>
      </c>
      <c r="AL895" s="81">
        <f>IF(AN895="","",IF(Q895="Sin Factura","",AI895-AJ895))</f>
        <v/>
      </c>
      <c r="AM895" s="81">
        <f>IF(AN895="","",IF(Q895="Sin Factura",0,P895-IFERROR(INDEX(Facturas_Odoo!$H:$H, MATCH(Q895, Facturas_Odoo!$B:$B, 0)), 0)))</f>
        <v/>
      </c>
      <c r="AN895" s="79">
        <f>IF(AND(A895="", J895=""), "", IF(A895&lt;&gt;"", VALUE(MID(A895,2,LEN(A895))), AN894))</f>
        <v/>
      </c>
      <c r="AO895" s="79">
        <f>IF(AN895="","",IF(AD895=0,"OK",_xlfn.LET(monedaPago, IF(AA895="","USD",AA895), limitePermitido, IFERROR(VLOOKUP(monedaPago, Configuración!$A$2:$B$3, 2, FALSE), 0.15), IF(AD895&gt;limitePermitido, "ALERTA: EXCESO (" &amp; TEXT(limitePermitido, "0%") &amp; " máx)", "OK"))))</f>
        <v/>
      </c>
      <c r="AP895" s="79">
        <f>IF(AN895="","",IF(AE895=0,"OK",_xlfn.LET(fechaPago, Z895, fechaFactura, R895, diasCredito, IF(E895="Pago inmediato", 0, IFERROR(VALUE(MID(E895, 1, SEARCH(" ", E895)-1)),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95" s="79">
        <f>IF(AN895="","",IF(AND(N895&gt;0, AG895&gt;0), IF(Configuración!$K$2="NO", "ALERTA: DESCUENTO DOBLE NO PERMITIDO", "OK"), "OK"))</f>
        <v/>
      </c>
      <c r="AR895" s="79">
        <f>IF(AN895="","",IF(OR(AO895&lt;&gt;"OK", AP895&lt;&gt;"OK", AQ895&lt;&gt;"OK"), "⚠️ REVISAR", "OK"))</f>
        <v/>
      </c>
    </row>
    <row r="896">
      <c r="A896" s="79">
        <f>IF('Ordenes_Odoo'!A896="","",'Ordenes_Odoo'!A896)</f>
        <v/>
      </c>
      <c r="B896" s="80">
        <f>IF('Ordenes_Odoo'!B896="","",'Ordenes_Odoo'!B896)</f>
        <v/>
      </c>
      <c r="C896" s="79">
        <f>IF('Ordenes_Odoo'!C896="","",'Ordenes_Odoo'!C896)</f>
        <v/>
      </c>
      <c r="D896" s="79">
        <f>IF('Ordenes_Odoo'!D896="","",'Ordenes_Odoo'!D896)</f>
        <v/>
      </c>
      <c r="E896" s="79">
        <f>IF('Ordenes_Odoo'!E896="","",'Ordenes_Odoo'!E896)</f>
        <v/>
      </c>
      <c r="F896" s="79">
        <f>IF('Ordenes_Odoo'!F896="","",'Ordenes_Odoo'!F896)</f>
        <v/>
      </c>
      <c r="G896" s="79">
        <f>IF('Ordenes_Odoo'!G896="","",'Ordenes_Odoo'!G896)</f>
        <v/>
      </c>
      <c r="H896" s="79">
        <f>IF('Ordenes_Odoo'!H896="","",'Ordenes_Odoo'!H896)</f>
        <v/>
      </c>
      <c r="I896" s="79">
        <f>IF('Ordenes_Odoo'!I896="","",'Ordenes_Odoo'!I896)</f>
        <v/>
      </c>
      <c r="J896" s="79">
        <f>IF('Ordenes_Odoo'!J896="","",'Ordenes_Odoo'!J896)</f>
        <v/>
      </c>
      <c r="K896" s="81">
        <f>IF('Ordenes_Odoo'!K896="","",'Ordenes_Odoo'!K896)</f>
        <v/>
      </c>
      <c r="L896" s="81">
        <f>IF('Ordenes_Odoo'!L896="","",'Ordenes_Odoo'!L896)</f>
        <v/>
      </c>
      <c r="M896" s="79">
        <f>IF('Ordenes_Odoo'!M896="","",'Ordenes_Odoo'!M896)</f>
        <v/>
      </c>
      <c r="N896" s="79">
        <f>IF('Ordenes_Odoo'!N896="","",'Ordenes_Odoo'!N896)</f>
        <v/>
      </c>
      <c r="O896" s="81">
        <f>IF('Ordenes_Odoo'!O896="","",'Ordenes_Odoo'!O896)</f>
        <v/>
      </c>
      <c r="P896" s="81">
        <f>IF('Ordenes_Odoo'!P896="","",'Ordenes_Odoo'!P896)</f>
        <v/>
      </c>
      <c r="Q896" s="79">
        <f>IF(A896="","",IFERROR(INDEX(Facturas_Odoo!$B:$B, MATCH(A896, Facturas_Odoo!$D:$D, 0)), "Sin Factura"))</f>
        <v/>
      </c>
      <c r="R896" s="80">
        <f>IF(Q896="Sin Factura","",IFERROR(INDEX(Facturas_Odoo!$A:$A, MATCH(Q896, Facturas_Odoo!$B:$B, 0)), ""))</f>
        <v/>
      </c>
      <c r="S896" s="79">
        <f>IF(Q896="Sin Factura","",IFERROR(_xlfn.XLOOKUP(1, (Facturas_Odoo!$D:$D=A896) * (Facturas_Odoo!$K:$K=I896), Facturas_Odoo!$L:$L, ""), ""))</f>
        <v/>
      </c>
      <c r="T896" s="81">
        <f>IF(Q896="Sin Factura",0,IFERROR(_xlfn.XLOOKUP(1, (Facturas_Odoo!$D:$D=A896) * (Facturas_Odoo!$K:$K=I896), Facturas_Odoo!$M:$M, 0), 0))</f>
        <v/>
      </c>
      <c r="U896" s="79">
        <f>IF(Q896="Sin Factura",0,IFERROR(_xlfn.XLOOKUP(1, (Facturas_Odoo!$D:$D=A896) * (Facturas_Odoo!$K:$K=I896), Facturas_Odoo!$N:$N, 0), 0))</f>
        <v/>
      </c>
      <c r="V896" s="79">
        <f>IF(Q896="Sin Factura",0,IFERROR(_xlfn.XLOOKUP(1, (Facturas_Odoo!$D:$D=A896) * (Facturas_Odoo!$K:$K=I896), Facturas_Odoo!$O:$O, 0), 0))</f>
        <v/>
      </c>
      <c r="W896" s="81">
        <f>IF(Q896="Sin Factura",0,IFERROR(_xlfn.XLOOKUP(1, (Facturas_Odoo!$D:$D=A896) * (Facturas_Odoo!$K:$K=I896), Facturas_Odoo!$Q:$Q, 0), 0))</f>
        <v/>
      </c>
      <c r="X896" s="79">
        <f>IF(OR(Q896="Sin Factura",Q896=""),"",IFERROR(INDEX(Pagos_Odoo!$B:$B, MATCH(Q896, Pagos_Odoo!$I:$I, 0)), "Sin Pago"))</f>
        <v/>
      </c>
      <c r="Y896" s="79">
        <f>IF(X896="Sin Pago","",IFERROR(INDEX(Pagos_Odoo!$C:$C, MATCH(X896, Pagos_Odoo!$B:$B, 0)), ""))</f>
        <v/>
      </c>
      <c r="Z896" s="80">
        <f>IF(X896="Sin Pago","",IFERROR(INDEX(Pagos_Odoo!$A:$A, MATCH(X896, Pagos_Odoo!$B:$B, 0)), ""))</f>
        <v/>
      </c>
      <c r="AA896" s="79">
        <f>IF(X896="Sin Pago","",IFERROR(INDEX(Pagos_Odoo!$F:$F, MATCH(X896, Pagos_Odoo!$B:$B, 0)), ""))</f>
        <v/>
      </c>
      <c r="AB896" s="81">
        <f>IF(X896="Sin Pago",0,IFERROR(INDEX(Pagos_Odoo!$E:$E, MATCH(X896, Pagos_Odoo!$B:$B, 0)), 0))</f>
        <v/>
      </c>
      <c r="AC896" s="79">
        <f>IF(X896="Sin Pago","",IFERROR(INDEX(Pagos_Odoo!$G:$G, MATCH(X896, Pagos_Odoo!$B:$B, 0)), ""))</f>
        <v/>
      </c>
      <c r="AD896" s="82" t="n">
        <v>0</v>
      </c>
      <c r="AE896" s="82" t="n"/>
      <c r="AF896" s="82" t="n"/>
      <c r="AG896" s="82">
        <f>IF(AN896="","",AD896+AE896+AF896)</f>
        <v/>
      </c>
      <c r="AH896" s="81">
        <f>IF(AN896="","",P896*(1-AG896))</f>
        <v/>
      </c>
      <c r="AI896" s="81">
        <f>IF(AN896="","",IF(Q896="Sin Factura",0,IFERROR(INDEX(Facturas_Odoo!$H:$H, MATCH(Q896, Facturas_Odoo!$B:$B, 0)), 0)*(1-AG896)))</f>
        <v/>
      </c>
      <c r="AJ896" s="81">
        <f>IF(AN896="","",_xlfn.LET(idVenta, AN896&amp;"",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96" s="81">
        <f>IF(AN896="","",AH896-AJ896)</f>
        <v/>
      </c>
      <c r="AL896" s="81">
        <f>IF(AN896="","",IF(Q896="Sin Factura","",AI896-AJ896))</f>
        <v/>
      </c>
      <c r="AM896" s="81">
        <f>IF(AN896="","",IF(Q896="Sin Factura",0,P896-IFERROR(INDEX(Facturas_Odoo!$H:$H, MATCH(Q896, Facturas_Odoo!$B:$B, 0)), 0)))</f>
        <v/>
      </c>
      <c r="AN896" s="79">
        <f>IF(AND(A896="", J896=""), "", IF(A896&lt;&gt;"", VALUE(MID(A896,2,LEN(A896))), AN895))</f>
        <v/>
      </c>
      <c r="AO896" s="79">
        <f>IF(AN896="","",IF(AD896=0,"OK",_xlfn.LET(monedaPago, IF(AA896="","USD",AA896), limitePermitido, IFERROR(VLOOKUP(monedaPago, Configuración!$A$2:$B$3, 2, FALSE), 0.15), IF(AD896&gt;limitePermitido, "ALERTA: EXCESO (" &amp; TEXT(limitePermitido, "0%") &amp; " máx)", "OK"))))</f>
        <v/>
      </c>
      <c r="AP896" s="79">
        <f>IF(AN896="","",IF(AE896=0,"OK",_xlfn.LET(fechaPago, Z896, fechaFactura, R896, diasCredito, IF(E896="Pago inmediato", 0, IFERROR(VALUE(MID(E896, 1, SEARCH(" ", E896)-1)),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96" s="79">
        <f>IF(AN896="","",IF(AND(N896&gt;0, AG896&gt;0), IF(Configuración!$K$2="NO", "ALERTA: DESCUENTO DOBLE NO PERMITIDO", "OK"), "OK"))</f>
        <v/>
      </c>
      <c r="AR896" s="79">
        <f>IF(AN896="","",IF(OR(AO896&lt;&gt;"OK", AP896&lt;&gt;"OK", AQ896&lt;&gt;"OK"), "⚠️ REVISAR", "OK"))</f>
        <v/>
      </c>
    </row>
    <row r="897">
      <c r="A897" s="79">
        <f>IF('Ordenes_Odoo'!A897="","",'Ordenes_Odoo'!A897)</f>
        <v/>
      </c>
      <c r="B897" s="80">
        <f>IF('Ordenes_Odoo'!B897="","",'Ordenes_Odoo'!B897)</f>
        <v/>
      </c>
      <c r="C897" s="79">
        <f>IF('Ordenes_Odoo'!C897="","",'Ordenes_Odoo'!C897)</f>
        <v/>
      </c>
      <c r="D897" s="79">
        <f>IF('Ordenes_Odoo'!D897="","",'Ordenes_Odoo'!D897)</f>
        <v/>
      </c>
      <c r="E897" s="79">
        <f>IF('Ordenes_Odoo'!E897="","",'Ordenes_Odoo'!E897)</f>
        <v/>
      </c>
      <c r="F897" s="79">
        <f>IF('Ordenes_Odoo'!F897="","",'Ordenes_Odoo'!F897)</f>
        <v/>
      </c>
      <c r="G897" s="79">
        <f>IF('Ordenes_Odoo'!G897="","",'Ordenes_Odoo'!G897)</f>
        <v/>
      </c>
      <c r="H897" s="79">
        <f>IF('Ordenes_Odoo'!H897="","",'Ordenes_Odoo'!H897)</f>
        <v/>
      </c>
      <c r="I897" s="79">
        <f>IF('Ordenes_Odoo'!I897="","",'Ordenes_Odoo'!I897)</f>
        <v/>
      </c>
      <c r="J897" s="79">
        <f>IF('Ordenes_Odoo'!J897="","",'Ordenes_Odoo'!J897)</f>
        <v/>
      </c>
      <c r="K897" s="81">
        <f>IF('Ordenes_Odoo'!K897="","",'Ordenes_Odoo'!K897)</f>
        <v/>
      </c>
      <c r="L897" s="81">
        <f>IF('Ordenes_Odoo'!L897="","",'Ordenes_Odoo'!L897)</f>
        <v/>
      </c>
      <c r="M897" s="79">
        <f>IF('Ordenes_Odoo'!M897="","",'Ordenes_Odoo'!M897)</f>
        <v/>
      </c>
      <c r="N897" s="79">
        <f>IF('Ordenes_Odoo'!N897="","",'Ordenes_Odoo'!N897)</f>
        <v/>
      </c>
      <c r="O897" s="81">
        <f>IF('Ordenes_Odoo'!O897="","",'Ordenes_Odoo'!O897)</f>
        <v/>
      </c>
      <c r="P897" s="81">
        <f>IF('Ordenes_Odoo'!P897="","",'Ordenes_Odoo'!P897)</f>
        <v/>
      </c>
      <c r="Q897" s="79">
        <f>IF(A897="","",IFERROR(INDEX(Facturas_Odoo!$B:$B, MATCH(A897, Facturas_Odoo!$D:$D, 0)), "Sin Factura"))</f>
        <v/>
      </c>
      <c r="R897" s="80">
        <f>IF(Q897="Sin Factura","",IFERROR(INDEX(Facturas_Odoo!$A:$A, MATCH(Q897, Facturas_Odoo!$B:$B, 0)), ""))</f>
        <v/>
      </c>
      <c r="S897" s="79">
        <f>IF(Q897="Sin Factura","",IFERROR(_xlfn.XLOOKUP(1, (Facturas_Odoo!$D:$D=A897) * (Facturas_Odoo!$K:$K=I897), Facturas_Odoo!$L:$L, ""), ""))</f>
        <v/>
      </c>
      <c r="T897" s="81">
        <f>IF(Q897="Sin Factura",0,IFERROR(_xlfn.XLOOKUP(1, (Facturas_Odoo!$D:$D=A897) * (Facturas_Odoo!$K:$K=I897), Facturas_Odoo!$M:$M, 0), 0))</f>
        <v/>
      </c>
      <c r="U897" s="79">
        <f>IF(Q897="Sin Factura",0,IFERROR(_xlfn.XLOOKUP(1, (Facturas_Odoo!$D:$D=A897) * (Facturas_Odoo!$K:$K=I897), Facturas_Odoo!$N:$N, 0), 0))</f>
        <v/>
      </c>
      <c r="V897" s="79">
        <f>IF(Q897="Sin Factura",0,IFERROR(_xlfn.XLOOKUP(1, (Facturas_Odoo!$D:$D=A897) * (Facturas_Odoo!$K:$K=I897), Facturas_Odoo!$O:$O, 0), 0))</f>
        <v/>
      </c>
      <c r="W897" s="81">
        <f>IF(Q897="Sin Factura",0,IFERROR(_xlfn.XLOOKUP(1, (Facturas_Odoo!$D:$D=A897) * (Facturas_Odoo!$K:$K=I897), Facturas_Odoo!$Q:$Q, 0), 0))</f>
        <v/>
      </c>
      <c r="X897" s="79">
        <f>IF(OR(Q897="Sin Factura",Q897=""),"",IFERROR(INDEX(Pagos_Odoo!$B:$B, MATCH(Q897, Pagos_Odoo!$I:$I, 0)), "Sin Pago"))</f>
        <v/>
      </c>
      <c r="Y897" s="79">
        <f>IF(X897="Sin Pago","",IFERROR(INDEX(Pagos_Odoo!$C:$C, MATCH(X897, Pagos_Odoo!$B:$B, 0)), ""))</f>
        <v/>
      </c>
      <c r="Z897" s="80">
        <f>IF(X897="Sin Pago","",IFERROR(INDEX(Pagos_Odoo!$A:$A, MATCH(X897, Pagos_Odoo!$B:$B, 0)), ""))</f>
        <v/>
      </c>
      <c r="AA897" s="79">
        <f>IF(X897="Sin Pago","",IFERROR(INDEX(Pagos_Odoo!$F:$F, MATCH(X897, Pagos_Odoo!$B:$B, 0)), ""))</f>
        <v/>
      </c>
      <c r="AB897" s="81">
        <f>IF(X897="Sin Pago",0,IFERROR(INDEX(Pagos_Odoo!$E:$E, MATCH(X897, Pagos_Odoo!$B:$B, 0)), 0))</f>
        <v/>
      </c>
      <c r="AC897" s="79">
        <f>IF(X897="Sin Pago","",IFERROR(INDEX(Pagos_Odoo!$G:$G, MATCH(X897, Pagos_Odoo!$B:$B, 0)), ""))</f>
        <v/>
      </c>
      <c r="AD897" s="82" t="n">
        <v>0</v>
      </c>
      <c r="AE897" s="82" t="n"/>
      <c r="AF897" s="82" t="n"/>
      <c r="AG897" s="82">
        <f>IF(AN897="","",AD897+AE897+AF897)</f>
        <v/>
      </c>
      <c r="AH897" s="81">
        <f>IF(AN897="","",P897*(1-AG897))</f>
        <v/>
      </c>
      <c r="AI897" s="81">
        <f>IF(AN897="","",IF(Q897="Sin Factura",0,IFERROR(INDEX(Facturas_Odoo!$H:$H, MATCH(Q897, Facturas_Odoo!$B:$B, 0)), 0)*(1-AG897)))</f>
        <v/>
      </c>
      <c r="AJ897" s="81">
        <f>IF(AN897="","",_xlfn.LET(idVenta, AN897&amp;"",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97" s="81">
        <f>IF(AN897="","",AH897-AJ897)</f>
        <v/>
      </c>
      <c r="AL897" s="81">
        <f>IF(AN897="","",IF(Q897="Sin Factura","",AI897-AJ897))</f>
        <v/>
      </c>
      <c r="AM897" s="81">
        <f>IF(AN897="","",IF(Q897="Sin Factura",0,P897-IFERROR(INDEX(Facturas_Odoo!$H:$H, MATCH(Q897, Facturas_Odoo!$B:$B, 0)), 0)))</f>
        <v/>
      </c>
      <c r="AN897" s="79">
        <f>IF(AND(A897="", J897=""), "", IF(A897&lt;&gt;"", VALUE(MID(A897,2,LEN(A897))), AN896))</f>
        <v/>
      </c>
      <c r="AO897" s="79">
        <f>IF(AN897="","",IF(AD897=0,"OK",_xlfn.LET(monedaPago, IF(AA897="","USD",AA897), limitePermitido, IFERROR(VLOOKUP(monedaPago, Configuración!$A$2:$B$3, 2, FALSE), 0.15), IF(AD897&gt;limitePermitido, "ALERTA: EXCESO (" &amp; TEXT(limitePermitido, "0%") &amp; " máx)", "OK"))))</f>
        <v/>
      </c>
      <c r="AP897" s="79">
        <f>IF(AN897="","",IF(AE897=0,"OK",_xlfn.LET(fechaPago, Z897, fechaFactura, R897, diasCredito, IF(E897="Pago inmediato", 0, IFERROR(VALUE(MID(E897, 1, SEARCH(" ", E897)-1)),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97" s="79">
        <f>IF(AN897="","",IF(AND(N897&gt;0, AG897&gt;0), IF(Configuración!$K$2="NO", "ALERTA: DESCUENTO DOBLE NO PERMITIDO", "OK"), "OK"))</f>
        <v/>
      </c>
      <c r="AR897" s="79">
        <f>IF(AN897="","",IF(OR(AO897&lt;&gt;"OK", AP897&lt;&gt;"OK", AQ897&lt;&gt;"OK"), "⚠️ REVISAR", "OK"))</f>
        <v/>
      </c>
    </row>
    <row r="898">
      <c r="A898" s="79">
        <f>IF('Ordenes_Odoo'!A898="","",'Ordenes_Odoo'!A898)</f>
        <v/>
      </c>
      <c r="B898" s="80">
        <f>IF('Ordenes_Odoo'!B898="","",'Ordenes_Odoo'!B898)</f>
        <v/>
      </c>
      <c r="C898" s="79">
        <f>IF('Ordenes_Odoo'!C898="","",'Ordenes_Odoo'!C898)</f>
        <v/>
      </c>
      <c r="D898" s="79">
        <f>IF('Ordenes_Odoo'!D898="","",'Ordenes_Odoo'!D898)</f>
        <v/>
      </c>
      <c r="E898" s="79">
        <f>IF('Ordenes_Odoo'!E898="","",'Ordenes_Odoo'!E898)</f>
        <v/>
      </c>
      <c r="F898" s="79">
        <f>IF('Ordenes_Odoo'!F898="","",'Ordenes_Odoo'!F898)</f>
        <v/>
      </c>
      <c r="G898" s="79">
        <f>IF('Ordenes_Odoo'!G898="","",'Ordenes_Odoo'!G898)</f>
        <v/>
      </c>
      <c r="H898" s="79">
        <f>IF('Ordenes_Odoo'!H898="","",'Ordenes_Odoo'!H898)</f>
        <v/>
      </c>
      <c r="I898" s="79">
        <f>IF('Ordenes_Odoo'!I898="","",'Ordenes_Odoo'!I898)</f>
        <v/>
      </c>
      <c r="J898" s="79">
        <f>IF('Ordenes_Odoo'!J898="","",'Ordenes_Odoo'!J898)</f>
        <v/>
      </c>
      <c r="K898" s="81">
        <f>IF('Ordenes_Odoo'!K898="","",'Ordenes_Odoo'!K898)</f>
        <v/>
      </c>
      <c r="L898" s="81">
        <f>IF('Ordenes_Odoo'!L898="","",'Ordenes_Odoo'!L898)</f>
        <v/>
      </c>
      <c r="M898" s="79">
        <f>IF('Ordenes_Odoo'!M898="","",'Ordenes_Odoo'!M898)</f>
        <v/>
      </c>
      <c r="N898" s="79">
        <f>IF('Ordenes_Odoo'!N898="","",'Ordenes_Odoo'!N898)</f>
        <v/>
      </c>
      <c r="O898" s="81">
        <f>IF('Ordenes_Odoo'!O898="","",'Ordenes_Odoo'!O898)</f>
        <v/>
      </c>
      <c r="P898" s="81">
        <f>IF('Ordenes_Odoo'!P898="","",'Ordenes_Odoo'!P898)</f>
        <v/>
      </c>
      <c r="Q898" s="79">
        <f>IF(A898="","",IFERROR(INDEX(Facturas_Odoo!$B:$B, MATCH(A898, Facturas_Odoo!$D:$D, 0)), "Sin Factura"))</f>
        <v/>
      </c>
      <c r="R898" s="80">
        <f>IF(Q898="Sin Factura","",IFERROR(INDEX(Facturas_Odoo!$A:$A, MATCH(Q898, Facturas_Odoo!$B:$B, 0)), ""))</f>
        <v/>
      </c>
      <c r="S898" s="79">
        <f>IF(Q898="Sin Factura","",IFERROR(_xlfn.XLOOKUP(1, (Facturas_Odoo!$D:$D=A898) * (Facturas_Odoo!$K:$K=I898), Facturas_Odoo!$L:$L, ""), ""))</f>
        <v/>
      </c>
      <c r="T898" s="81">
        <f>IF(Q898="Sin Factura",0,IFERROR(_xlfn.XLOOKUP(1, (Facturas_Odoo!$D:$D=A898) * (Facturas_Odoo!$K:$K=I898), Facturas_Odoo!$M:$M, 0), 0))</f>
        <v/>
      </c>
      <c r="U898" s="79">
        <f>IF(Q898="Sin Factura",0,IFERROR(_xlfn.XLOOKUP(1, (Facturas_Odoo!$D:$D=A898) * (Facturas_Odoo!$K:$K=I898), Facturas_Odoo!$N:$N, 0), 0))</f>
        <v/>
      </c>
      <c r="V898" s="79">
        <f>IF(Q898="Sin Factura",0,IFERROR(_xlfn.XLOOKUP(1, (Facturas_Odoo!$D:$D=A898) * (Facturas_Odoo!$K:$K=I898), Facturas_Odoo!$O:$O, 0), 0))</f>
        <v/>
      </c>
      <c r="W898" s="81">
        <f>IF(Q898="Sin Factura",0,IFERROR(_xlfn.XLOOKUP(1, (Facturas_Odoo!$D:$D=A898) * (Facturas_Odoo!$K:$K=I898), Facturas_Odoo!$Q:$Q, 0), 0))</f>
        <v/>
      </c>
      <c r="X898" s="79">
        <f>IF(OR(Q898="Sin Factura",Q898=""),"",IFERROR(INDEX(Pagos_Odoo!$B:$B, MATCH(Q898, Pagos_Odoo!$I:$I, 0)), "Sin Pago"))</f>
        <v/>
      </c>
      <c r="Y898" s="79">
        <f>IF(X898="Sin Pago","",IFERROR(INDEX(Pagos_Odoo!$C:$C, MATCH(X898, Pagos_Odoo!$B:$B, 0)), ""))</f>
        <v/>
      </c>
      <c r="Z898" s="80">
        <f>IF(X898="Sin Pago","",IFERROR(INDEX(Pagos_Odoo!$A:$A, MATCH(X898, Pagos_Odoo!$B:$B, 0)), ""))</f>
        <v/>
      </c>
      <c r="AA898" s="79">
        <f>IF(X898="Sin Pago","",IFERROR(INDEX(Pagos_Odoo!$F:$F, MATCH(X898, Pagos_Odoo!$B:$B, 0)), ""))</f>
        <v/>
      </c>
      <c r="AB898" s="81">
        <f>IF(X898="Sin Pago",0,IFERROR(INDEX(Pagos_Odoo!$E:$E, MATCH(X898, Pagos_Odoo!$B:$B, 0)), 0))</f>
        <v/>
      </c>
      <c r="AC898" s="79">
        <f>IF(X898="Sin Pago","",IFERROR(INDEX(Pagos_Odoo!$G:$G, MATCH(X898, Pagos_Odoo!$B:$B, 0)), ""))</f>
        <v/>
      </c>
      <c r="AD898" s="82" t="n">
        <v>0</v>
      </c>
      <c r="AE898" s="82" t="n"/>
      <c r="AF898" s="82" t="n"/>
      <c r="AG898" s="82">
        <f>IF(AN898="","",AD898+AE898+AF898)</f>
        <v/>
      </c>
      <c r="AH898" s="81">
        <f>IF(AN898="","",P898*(1-AG898))</f>
        <v/>
      </c>
      <c r="AI898" s="81">
        <f>IF(AN898="","",IF(Q898="Sin Factura",0,IFERROR(INDEX(Facturas_Odoo!$H:$H, MATCH(Q898, Facturas_Odoo!$B:$B, 0)), 0)*(1-AG898)))</f>
        <v/>
      </c>
      <c r="AJ898" s="81">
        <f>IF(AN898="","",_xlfn.LET(idVenta, AN898&amp;"",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98" s="81">
        <f>IF(AN898="","",AH898-AJ898)</f>
        <v/>
      </c>
      <c r="AL898" s="81">
        <f>IF(AN898="","",IF(Q898="Sin Factura","",AI898-AJ898))</f>
        <v/>
      </c>
      <c r="AM898" s="81">
        <f>IF(AN898="","",IF(Q898="Sin Factura",0,P898-IFERROR(INDEX(Facturas_Odoo!$H:$H, MATCH(Q898, Facturas_Odoo!$B:$B, 0)), 0)))</f>
        <v/>
      </c>
      <c r="AN898" s="79">
        <f>IF(AND(A898="", J898=""), "", IF(A898&lt;&gt;"", VALUE(MID(A898,2,LEN(A898))), AN897))</f>
        <v/>
      </c>
      <c r="AO898" s="79">
        <f>IF(AN898="","",IF(AD898=0,"OK",_xlfn.LET(monedaPago, IF(AA898="","USD",AA898), limitePermitido, IFERROR(VLOOKUP(monedaPago, Configuración!$A$2:$B$3, 2, FALSE), 0.15), IF(AD898&gt;limitePermitido, "ALERTA: EXCESO (" &amp; TEXT(limitePermitido, "0%") &amp; " máx)", "OK"))))</f>
        <v/>
      </c>
      <c r="AP898" s="79">
        <f>IF(AN898="","",IF(AE898=0,"OK",_xlfn.LET(fechaPago, Z898, fechaFactura, R898, diasCredito, IF(E898="Pago inmediato", 0, IFERROR(VALUE(MID(E898, 1, SEARCH(" ", E898)-1)),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98" s="79">
        <f>IF(AN898="","",IF(AND(N898&gt;0, AG898&gt;0), IF(Configuración!$K$2="NO", "ALERTA: DESCUENTO DOBLE NO PERMITIDO", "OK"), "OK"))</f>
        <v/>
      </c>
      <c r="AR898" s="79">
        <f>IF(AN898="","",IF(OR(AO898&lt;&gt;"OK", AP898&lt;&gt;"OK", AQ898&lt;&gt;"OK"), "⚠️ REVISAR", "OK"))</f>
        <v/>
      </c>
    </row>
    <row r="899">
      <c r="A899" s="79">
        <f>IF('Ordenes_Odoo'!A899="","",'Ordenes_Odoo'!A899)</f>
        <v/>
      </c>
      <c r="B899" s="80">
        <f>IF('Ordenes_Odoo'!B899="","",'Ordenes_Odoo'!B899)</f>
        <v/>
      </c>
      <c r="C899" s="79">
        <f>IF('Ordenes_Odoo'!C899="","",'Ordenes_Odoo'!C899)</f>
        <v/>
      </c>
      <c r="D899" s="79">
        <f>IF('Ordenes_Odoo'!D899="","",'Ordenes_Odoo'!D899)</f>
        <v/>
      </c>
      <c r="E899" s="79">
        <f>IF('Ordenes_Odoo'!E899="","",'Ordenes_Odoo'!E899)</f>
        <v/>
      </c>
      <c r="F899" s="79">
        <f>IF('Ordenes_Odoo'!F899="","",'Ordenes_Odoo'!F899)</f>
        <v/>
      </c>
      <c r="G899" s="79">
        <f>IF('Ordenes_Odoo'!G899="","",'Ordenes_Odoo'!G899)</f>
        <v/>
      </c>
      <c r="H899" s="79">
        <f>IF('Ordenes_Odoo'!H899="","",'Ordenes_Odoo'!H899)</f>
        <v/>
      </c>
      <c r="I899" s="79">
        <f>IF('Ordenes_Odoo'!I899="","",'Ordenes_Odoo'!I899)</f>
        <v/>
      </c>
      <c r="J899" s="79">
        <f>IF('Ordenes_Odoo'!J899="","",'Ordenes_Odoo'!J899)</f>
        <v/>
      </c>
      <c r="K899" s="81">
        <f>IF('Ordenes_Odoo'!K899="","",'Ordenes_Odoo'!K899)</f>
        <v/>
      </c>
      <c r="L899" s="81">
        <f>IF('Ordenes_Odoo'!L899="","",'Ordenes_Odoo'!L899)</f>
        <v/>
      </c>
      <c r="M899" s="79">
        <f>IF('Ordenes_Odoo'!M899="","",'Ordenes_Odoo'!M899)</f>
        <v/>
      </c>
      <c r="N899" s="79">
        <f>IF('Ordenes_Odoo'!N899="","",'Ordenes_Odoo'!N899)</f>
        <v/>
      </c>
      <c r="O899" s="81">
        <f>IF('Ordenes_Odoo'!O899="","",'Ordenes_Odoo'!O899)</f>
        <v/>
      </c>
      <c r="P899" s="81">
        <f>IF('Ordenes_Odoo'!P899="","",'Ordenes_Odoo'!P899)</f>
        <v/>
      </c>
      <c r="Q899" s="79">
        <f>IF(A899="","",IFERROR(INDEX(Facturas_Odoo!$B:$B, MATCH(A899, Facturas_Odoo!$D:$D, 0)), "Sin Factura"))</f>
        <v/>
      </c>
      <c r="R899" s="80">
        <f>IF(Q899="Sin Factura","",IFERROR(INDEX(Facturas_Odoo!$A:$A, MATCH(Q899, Facturas_Odoo!$B:$B, 0)), ""))</f>
        <v/>
      </c>
      <c r="S899" s="79">
        <f>IF(Q899="Sin Factura","",IFERROR(_xlfn.XLOOKUP(1, (Facturas_Odoo!$D:$D=A899) * (Facturas_Odoo!$K:$K=I899), Facturas_Odoo!$L:$L, ""), ""))</f>
        <v/>
      </c>
      <c r="T899" s="81">
        <f>IF(Q899="Sin Factura",0,IFERROR(_xlfn.XLOOKUP(1, (Facturas_Odoo!$D:$D=A899) * (Facturas_Odoo!$K:$K=I899), Facturas_Odoo!$M:$M, 0), 0))</f>
        <v/>
      </c>
      <c r="U899" s="79">
        <f>IF(Q899="Sin Factura",0,IFERROR(_xlfn.XLOOKUP(1, (Facturas_Odoo!$D:$D=A899) * (Facturas_Odoo!$K:$K=I899), Facturas_Odoo!$N:$N, 0), 0))</f>
        <v/>
      </c>
      <c r="V899" s="79">
        <f>IF(Q899="Sin Factura",0,IFERROR(_xlfn.XLOOKUP(1, (Facturas_Odoo!$D:$D=A899) * (Facturas_Odoo!$K:$K=I899), Facturas_Odoo!$O:$O, 0), 0))</f>
        <v/>
      </c>
      <c r="W899" s="81">
        <f>IF(Q899="Sin Factura",0,IFERROR(_xlfn.XLOOKUP(1, (Facturas_Odoo!$D:$D=A899) * (Facturas_Odoo!$K:$K=I899), Facturas_Odoo!$Q:$Q, 0), 0))</f>
        <v/>
      </c>
      <c r="X899" s="79">
        <f>IF(OR(Q899="Sin Factura",Q899=""),"",IFERROR(INDEX(Pagos_Odoo!$B:$B, MATCH(Q899, Pagos_Odoo!$I:$I, 0)), "Sin Pago"))</f>
        <v/>
      </c>
      <c r="Y899" s="79">
        <f>IF(X899="Sin Pago","",IFERROR(INDEX(Pagos_Odoo!$C:$C, MATCH(X899, Pagos_Odoo!$B:$B, 0)), ""))</f>
        <v/>
      </c>
      <c r="Z899" s="80">
        <f>IF(X899="Sin Pago","",IFERROR(INDEX(Pagos_Odoo!$A:$A, MATCH(X899, Pagos_Odoo!$B:$B, 0)), ""))</f>
        <v/>
      </c>
      <c r="AA899" s="79">
        <f>IF(X899="Sin Pago","",IFERROR(INDEX(Pagos_Odoo!$F:$F, MATCH(X899, Pagos_Odoo!$B:$B, 0)), ""))</f>
        <v/>
      </c>
      <c r="AB899" s="81">
        <f>IF(X899="Sin Pago",0,IFERROR(INDEX(Pagos_Odoo!$E:$E, MATCH(X899, Pagos_Odoo!$B:$B, 0)), 0))</f>
        <v/>
      </c>
      <c r="AC899" s="79">
        <f>IF(X899="Sin Pago","",IFERROR(INDEX(Pagos_Odoo!$G:$G, MATCH(X899, Pagos_Odoo!$B:$B, 0)), ""))</f>
        <v/>
      </c>
      <c r="AD899" s="82" t="n">
        <v>0</v>
      </c>
      <c r="AE899" s="82" t="n"/>
      <c r="AF899" s="82" t="n"/>
      <c r="AG899" s="82">
        <f>IF(AN899="","",AD899+AE899+AF899)</f>
        <v/>
      </c>
      <c r="AH899" s="81">
        <f>IF(AN899="","",P899*(1-AG899))</f>
        <v/>
      </c>
      <c r="AI899" s="81">
        <f>IF(AN899="","",IF(Q899="Sin Factura",0,IFERROR(INDEX(Facturas_Odoo!$H:$H, MATCH(Q899, Facturas_Odoo!$B:$B, 0)), 0)*(1-AG899)))</f>
        <v/>
      </c>
      <c r="AJ899" s="81">
        <f>IF(AN899="","",_xlfn.LET(idVenta, AN899&amp;"",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899" s="81">
        <f>IF(AN899="","",AH899-AJ899)</f>
        <v/>
      </c>
      <c r="AL899" s="81">
        <f>IF(AN899="","",IF(Q899="Sin Factura","",AI899-AJ899))</f>
        <v/>
      </c>
      <c r="AM899" s="81">
        <f>IF(AN899="","",IF(Q899="Sin Factura",0,P899-IFERROR(INDEX(Facturas_Odoo!$H:$H, MATCH(Q899, Facturas_Odoo!$B:$B, 0)), 0)))</f>
        <v/>
      </c>
      <c r="AN899" s="79">
        <f>IF(AND(A899="", J899=""), "", IF(A899&lt;&gt;"", VALUE(MID(A899,2,LEN(A899))), AN898))</f>
        <v/>
      </c>
      <c r="AO899" s="79">
        <f>IF(AN899="","",IF(AD899=0,"OK",_xlfn.LET(monedaPago, IF(AA899="","USD",AA899), limitePermitido, IFERROR(VLOOKUP(monedaPago, Configuración!$A$2:$B$3, 2, FALSE), 0.15), IF(AD899&gt;limitePermitido, "ALERTA: EXCESO (" &amp; TEXT(limitePermitido, "0%") &amp; " máx)", "OK"))))</f>
        <v/>
      </c>
      <c r="AP899" s="79">
        <f>IF(AN899="","",IF(AE899=0,"OK",_xlfn.LET(fechaPago, Z899, fechaFactura, R899, diasCredito, IF(E899="Pago inmediato", 0, IFERROR(VALUE(MID(E899, 1, SEARCH(" ", E899)-1)),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899" s="79">
        <f>IF(AN899="","",IF(AND(N899&gt;0, AG899&gt;0), IF(Configuración!$K$2="NO", "ALERTA: DESCUENTO DOBLE NO PERMITIDO", "OK"), "OK"))</f>
        <v/>
      </c>
      <c r="AR899" s="79">
        <f>IF(AN899="","",IF(OR(AO899&lt;&gt;"OK", AP899&lt;&gt;"OK", AQ899&lt;&gt;"OK"), "⚠️ REVISAR", "OK"))</f>
        <v/>
      </c>
    </row>
    <row r="900">
      <c r="A900" s="79">
        <f>IF('Ordenes_Odoo'!A900="","",'Ordenes_Odoo'!A900)</f>
        <v/>
      </c>
      <c r="B900" s="80">
        <f>IF('Ordenes_Odoo'!B900="","",'Ordenes_Odoo'!B900)</f>
        <v/>
      </c>
      <c r="C900" s="79">
        <f>IF('Ordenes_Odoo'!C900="","",'Ordenes_Odoo'!C900)</f>
        <v/>
      </c>
      <c r="D900" s="79">
        <f>IF('Ordenes_Odoo'!D900="","",'Ordenes_Odoo'!D900)</f>
        <v/>
      </c>
      <c r="E900" s="79">
        <f>IF('Ordenes_Odoo'!E900="","",'Ordenes_Odoo'!E900)</f>
        <v/>
      </c>
      <c r="F900" s="79">
        <f>IF('Ordenes_Odoo'!F900="","",'Ordenes_Odoo'!F900)</f>
        <v/>
      </c>
      <c r="G900" s="79">
        <f>IF('Ordenes_Odoo'!G900="","",'Ordenes_Odoo'!G900)</f>
        <v/>
      </c>
      <c r="H900" s="79">
        <f>IF('Ordenes_Odoo'!H900="","",'Ordenes_Odoo'!H900)</f>
        <v/>
      </c>
      <c r="I900" s="79">
        <f>IF('Ordenes_Odoo'!I900="","",'Ordenes_Odoo'!I900)</f>
        <v/>
      </c>
      <c r="J900" s="79">
        <f>IF('Ordenes_Odoo'!J900="","",'Ordenes_Odoo'!J900)</f>
        <v/>
      </c>
      <c r="K900" s="81">
        <f>IF('Ordenes_Odoo'!K900="","",'Ordenes_Odoo'!K900)</f>
        <v/>
      </c>
      <c r="L900" s="81">
        <f>IF('Ordenes_Odoo'!L900="","",'Ordenes_Odoo'!L900)</f>
        <v/>
      </c>
      <c r="M900" s="79">
        <f>IF('Ordenes_Odoo'!M900="","",'Ordenes_Odoo'!M900)</f>
        <v/>
      </c>
      <c r="N900" s="79">
        <f>IF('Ordenes_Odoo'!N900="","",'Ordenes_Odoo'!N900)</f>
        <v/>
      </c>
      <c r="O900" s="81">
        <f>IF('Ordenes_Odoo'!O900="","",'Ordenes_Odoo'!O900)</f>
        <v/>
      </c>
      <c r="P900" s="81">
        <f>IF('Ordenes_Odoo'!P900="","",'Ordenes_Odoo'!P900)</f>
        <v/>
      </c>
      <c r="Q900" s="79">
        <f>IF(A900="","",IFERROR(INDEX(Facturas_Odoo!$B:$B, MATCH(A900, Facturas_Odoo!$D:$D, 0)), "Sin Factura"))</f>
        <v/>
      </c>
      <c r="R900" s="80">
        <f>IF(Q900="Sin Factura","",IFERROR(INDEX(Facturas_Odoo!$A:$A, MATCH(Q900, Facturas_Odoo!$B:$B, 0)), ""))</f>
        <v/>
      </c>
      <c r="S900" s="79">
        <f>IF(Q900="Sin Factura","",IFERROR(_xlfn.XLOOKUP(1, (Facturas_Odoo!$D:$D=A900) * (Facturas_Odoo!$K:$K=I900), Facturas_Odoo!$L:$L, ""), ""))</f>
        <v/>
      </c>
      <c r="T900" s="81">
        <f>IF(Q900="Sin Factura",0,IFERROR(_xlfn.XLOOKUP(1, (Facturas_Odoo!$D:$D=A900) * (Facturas_Odoo!$K:$K=I900), Facturas_Odoo!$M:$M, 0), 0))</f>
        <v/>
      </c>
      <c r="U900" s="79">
        <f>IF(Q900="Sin Factura",0,IFERROR(_xlfn.XLOOKUP(1, (Facturas_Odoo!$D:$D=A900) * (Facturas_Odoo!$K:$K=I900), Facturas_Odoo!$N:$N, 0), 0))</f>
        <v/>
      </c>
      <c r="V900" s="79">
        <f>IF(Q900="Sin Factura",0,IFERROR(_xlfn.XLOOKUP(1, (Facturas_Odoo!$D:$D=A900) * (Facturas_Odoo!$K:$K=I900), Facturas_Odoo!$O:$O, 0), 0))</f>
        <v/>
      </c>
      <c r="W900" s="81">
        <f>IF(Q900="Sin Factura",0,IFERROR(_xlfn.XLOOKUP(1, (Facturas_Odoo!$D:$D=A900) * (Facturas_Odoo!$K:$K=I900), Facturas_Odoo!$Q:$Q, 0), 0))</f>
        <v/>
      </c>
      <c r="X900" s="79">
        <f>IF(OR(Q900="Sin Factura",Q900=""),"",IFERROR(INDEX(Pagos_Odoo!$B:$B, MATCH(Q900, Pagos_Odoo!$I:$I, 0)), "Sin Pago"))</f>
        <v/>
      </c>
      <c r="Y900" s="79">
        <f>IF(X900="Sin Pago","",IFERROR(INDEX(Pagos_Odoo!$C:$C, MATCH(X900, Pagos_Odoo!$B:$B, 0)), ""))</f>
        <v/>
      </c>
      <c r="Z900" s="80">
        <f>IF(X900="Sin Pago","",IFERROR(INDEX(Pagos_Odoo!$A:$A, MATCH(X900, Pagos_Odoo!$B:$B, 0)), ""))</f>
        <v/>
      </c>
      <c r="AA900" s="79">
        <f>IF(X900="Sin Pago","",IFERROR(INDEX(Pagos_Odoo!$F:$F, MATCH(X900, Pagos_Odoo!$B:$B, 0)), ""))</f>
        <v/>
      </c>
      <c r="AB900" s="81">
        <f>IF(X900="Sin Pago",0,IFERROR(INDEX(Pagos_Odoo!$E:$E, MATCH(X900, Pagos_Odoo!$B:$B, 0)), 0))</f>
        <v/>
      </c>
      <c r="AC900" s="79">
        <f>IF(X900="Sin Pago","",IFERROR(INDEX(Pagos_Odoo!$G:$G, MATCH(X900, Pagos_Odoo!$B:$B, 0)), ""))</f>
        <v/>
      </c>
      <c r="AD900" s="82" t="n">
        <v>0</v>
      </c>
      <c r="AE900" s="82" t="n"/>
      <c r="AF900" s="82" t="n"/>
      <c r="AG900" s="82">
        <f>IF(AN900="","",AD900+AE900+AF900)</f>
        <v/>
      </c>
      <c r="AH900" s="81">
        <f>IF(AN900="","",P900*(1-AG900))</f>
        <v/>
      </c>
      <c r="AI900" s="81">
        <f>IF(AN900="","",IF(Q900="Sin Factura",0,IFERROR(INDEX(Facturas_Odoo!$H:$H, MATCH(Q900, Facturas_Odoo!$B:$B, 0)), 0)*(1-AG900)))</f>
        <v/>
      </c>
      <c r="AJ900" s="81">
        <f>IF(AN900="","",_xlfn.LET(idVenta, AN900&amp;"",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00" s="81">
        <f>IF(AN900="","",AH900-AJ900)</f>
        <v/>
      </c>
      <c r="AL900" s="81">
        <f>IF(AN900="","",IF(Q900="Sin Factura","",AI900-AJ900))</f>
        <v/>
      </c>
      <c r="AM900" s="81">
        <f>IF(AN900="","",IF(Q900="Sin Factura",0,P900-IFERROR(INDEX(Facturas_Odoo!$H:$H, MATCH(Q900, Facturas_Odoo!$B:$B, 0)), 0)))</f>
        <v/>
      </c>
      <c r="AN900" s="79">
        <f>IF(AND(A900="", J900=""), "", IF(A900&lt;&gt;"", VALUE(MID(A900,2,LEN(A900))), AN899))</f>
        <v/>
      </c>
      <c r="AO900" s="79">
        <f>IF(AN900="","",IF(AD900=0,"OK",_xlfn.LET(monedaPago, IF(AA900="","USD",AA900), limitePermitido, IFERROR(VLOOKUP(monedaPago, Configuración!$A$2:$B$3, 2, FALSE), 0.15), IF(AD900&gt;limitePermitido, "ALERTA: EXCESO (" &amp; TEXT(limitePermitido, "0%") &amp; " máx)", "OK"))))</f>
        <v/>
      </c>
      <c r="AP900" s="79">
        <f>IF(AN900="","",IF(AE900=0,"OK",_xlfn.LET(fechaPago, Z900, fechaFactura, R900, diasCredito, IF(E900="Pago inmediato", 0, IFERROR(VALUE(MID(E900, 1, SEARCH(" ", E900)-1)),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00" s="79">
        <f>IF(AN900="","",IF(AND(N900&gt;0, AG900&gt;0), IF(Configuración!$K$2="NO", "ALERTA: DESCUENTO DOBLE NO PERMITIDO", "OK"), "OK"))</f>
        <v/>
      </c>
      <c r="AR900" s="79">
        <f>IF(AN900="","",IF(OR(AO900&lt;&gt;"OK", AP900&lt;&gt;"OK", AQ900&lt;&gt;"OK"), "⚠️ REVISAR", "OK"))</f>
        <v/>
      </c>
    </row>
    <row r="901">
      <c r="A901" s="79">
        <f>IF('Ordenes_Odoo'!A901="","",'Ordenes_Odoo'!A901)</f>
        <v/>
      </c>
      <c r="B901" s="80">
        <f>IF('Ordenes_Odoo'!B901="","",'Ordenes_Odoo'!B901)</f>
        <v/>
      </c>
      <c r="C901" s="79">
        <f>IF('Ordenes_Odoo'!C901="","",'Ordenes_Odoo'!C901)</f>
        <v/>
      </c>
      <c r="D901" s="79">
        <f>IF('Ordenes_Odoo'!D901="","",'Ordenes_Odoo'!D901)</f>
        <v/>
      </c>
      <c r="E901" s="79">
        <f>IF('Ordenes_Odoo'!E901="","",'Ordenes_Odoo'!E901)</f>
        <v/>
      </c>
      <c r="F901" s="79">
        <f>IF('Ordenes_Odoo'!F901="","",'Ordenes_Odoo'!F901)</f>
        <v/>
      </c>
      <c r="G901" s="79">
        <f>IF('Ordenes_Odoo'!G901="","",'Ordenes_Odoo'!G901)</f>
        <v/>
      </c>
      <c r="H901" s="79">
        <f>IF('Ordenes_Odoo'!H901="","",'Ordenes_Odoo'!H901)</f>
        <v/>
      </c>
      <c r="I901" s="79">
        <f>IF('Ordenes_Odoo'!I901="","",'Ordenes_Odoo'!I901)</f>
        <v/>
      </c>
      <c r="J901" s="79">
        <f>IF('Ordenes_Odoo'!J901="","",'Ordenes_Odoo'!J901)</f>
        <v/>
      </c>
      <c r="K901" s="81">
        <f>IF('Ordenes_Odoo'!K901="","",'Ordenes_Odoo'!K901)</f>
        <v/>
      </c>
      <c r="L901" s="81">
        <f>IF('Ordenes_Odoo'!L901="","",'Ordenes_Odoo'!L901)</f>
        <v/>
      </c>
      <c r="M901" s="79">
        <f>IF('Ordenes_Odoo'!M901="","",'Ordenes_Odoo'!M901)</f>
        <v/>
      </c>
      <c r="N901" s="79">
        <f>IF('Ordenes_Odoo'!N901="","",'Ordenes_Odoo'!N901)</f>
        <v/>
      </c>
      <c r="O901" s="81">
        <f>IF('Ordenes_Odoo'!O901="","",'Ordenes_Odoo'!O901)</f>
        <v/>
      </c>
      <c r="P901" s="81">
        <f>IF('Ordenes_Odoo'!P901="","",'Ordenes_Odoo'!P901)</f>
        <v/>
      </c>
      <c r="Q901" s="79">
        <f>IF(A901="","",IFERROR(INDEX(Facturas_Odoo!$B:$B, MATCH(A901, Facturas_Odoo!$D:$D, 0)), "Sin Factura"))</f>
        <v/>
      </c>
      <c r="R901" s="80">
        <f>IF(Q901="Sin Factura","",IFERROR(INDEX(Facturas_Odoo!$A:$A, MATCH(Q901, Facturas_Odoo!$B:$B, 0)), ""))</f>
        <v/>
      </c>
      <c r="S901" s="79">
        <f>IF(Q901="Sin Factura","",IFERROR(_xlfn.XLOOKUP(1, (Facturas_Odoo!$D:$D=A901) * (Facturas_Odoo!$K:$K=I901), Facturas_Odoo!$L:$L, ""), ""))</f>
        <v/>
      </c>
      <c r="T901" s="81">
        <f>IF(Q901="Sin Factura",0,IFERROR(_xlfn.XLOOKUP(1, (Facturas_Odoo!$D:$D=A901) * (Facturas_Odoo!$K:$K=I901), Facturas_Odoo!$M:$M, 0), 0))</f>
        <v/>
      </c>
      <c r="U901" s="79">
        <f>IF(Q901="Sin Factura",0,IFERROR(_xlfn.XLOOKUP(1, (Facturas_Odoo!$D:$D=A901) * (Facturas_Odoo!$K:$K=I901), Facturas_Odoo!$N:$N, 0), 0))</f>
        <v/>
      </c>
      <c r="V901" s="79">
        <f>IF(Q901="Sin Factura",0,IFERROR(_xlfn.XLOOKUP(1, (Facturas_Odoo!$D:$D=A901) * (Facturas_Odoo!$K:$K=I901), Facturas_Odoo!$O:$O, 0), 0))</f>
        <v/>
      </c>
      <c r="W901" s="81">
        <f>IF(Q901="Sin Factura",0,IFERROR(_xlfn.XLOOKUP(1, (Facturas_Odoo!$D:$D=A901) * (Facturas_Odoo!$K:$K=I901), Facturas_Odoo!$Q:$Q, 0), 0))</f>
        <v/>
      </c>
      <c r="X901" s="79">
        <f>IF(OR(Q901="Sin Factura",Q901=""),"",IFERROR(INDEX(Pagos_Odoo!$B:$B, MATCH(Q901, Pagos_Odoo!$I:$I, 0)), "Sin Pago"))</f>
        <v/>
      </c>
      <c r="Y901" s="79">
        <f>IF(X901="Sin Pago","",IFERROR(INDEX(Pagos_Odoo!$C:$C, MATCH(X901, Pagos_Odoo!$B:$B, 0)), ""))</f>
        <v/>
      </c>
      <c r="Z901" s="80">
        <f>IF(X901="Sin Pago","",IFERROR(INDEX(Pagos_Odoo!$A:$A, MATCH(X901, Pagos_Odoo!$B:$B, 0)), ""))</f>
        <v/>
      </c>
      <c r="AA901" s="79">
        <f>IF(X901="Sin Pago","",IFERROR(INDEX(Pagos_Odoo!$F:$F, MATCH(X901, Pagos_Odoo!$B:$B, 0)), ""))</f>
        <v/>
      </c>
      <c r="AB901" s="81">
        <f>IF(X901="Sin Pago",0,IFERROR(INDEX(Pagos_Odoo!$E:$E, MATCH(X901, Pagos_Odoo!$B:$B, 0)), 0))</f>
        <v/>
      </c>
      <c r="AC901" s="79">
        <f>IF(X901="Sin Pago","",IFERROR(INDEX(Pagos_Odoo!$G:$G, MATCH(X901, Pagos_Odoo!$B:$B, 0)), ""))</f>
        <v/>
      </c>
      <c r="AD901" s="82" t="n">
        <v>0</v>
      </c>
      <c r="AE901" s="82" t="n"/>
      <c r="AF901" s="82" t="n"/>
      <c r="AG901" s="82">
        <f>IF(AN901="","",AD901+AE901+AF901)</f>
        <v/>
      </c>
      <c r="AH901" s="81">
        <f>IF(AN901="","",P901*(1-AG901))</f>
        <v/>
      </c>
      <c r="AI901" s="81">
        <f>IF(AN901="","",IF(Q901="Sin Factura",0,IFERROR(INDEX(Facturas_Odoo!$H:$H, MATCH(Q901, Facturas_Odoo!$B:$B, 0)), 0)*(1-AG901)))</f>
        <v/>
      </c>
      <c r="AJ901" s="81">
        <f>IF(AN901="","",_xlfn.LET(idVenta, AN901&amp;"",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01" s="81">
        <f>IF(AN901="","",AH901-AJ901)</f>
        <v/>
      </c>
      <c r="AL901" s="81">
        <f>IF(AN901="","",IF(Q901="Sin Factura","",AI901-AJ901))</f>
        <v/>
      </c>
      <c r="AM901" s="81">
        <f>IF(AN901="","",IF(Q901="Sin Factura",0,P901-IFERROR(INDEX(Facturas_Odoo!$H:$H, MATCH(Q901, Facturas_Odoo!$B:$B, 0)), 0)))</f>
        <v/>
      </c>
      <c r="AN901" s="79">
        <f>IF(AND(A901="", J901=""), "", IF(A901&lt;&gt;"", VALUE(MID(A901,2,LEN(A901))), AN900))</f>
        <v/>
      </c>
      <c r="AO901" s="79">
        <f>IF(AN901="","",IF(AD901=0,"OK",_xlfn.LET(monedaPago, IF(AA901="","USD",AA901), limitePermitido, IFERROR(VLOOKUP(monedaPago, Configuración!$A$2:$B$3, 2, FALSE), 0.15), IF(AD901&gt;limitePermitido, "ALERTA: EXCESO (" &amp; TEXT(limitePermitido, "0%") &amp; " máx)", "OK"))))</f>
        <v/>
      </c>
      <c r="AP901" s="79">
        <f>IF(AN901="","",IF(AE901=0,"OK",_xlfn.LET(fechaPago, Z901, fechaFactura, R901, diasCredito, IF(E901="Pago inmediato", 0, IFERROR(VALUE(MID(E901, 1, SEARCH(" ", E901)-1)),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01" s="79">
        <f>IF(AN901="","",IF(AND(N901&gt;0, AG901&gt;0), IF(Configuración!$K$2="NO", "ALERTA: DESCUENTO DOBLE NO PERMITIDO", "OK"), "OK"))</f>
        <v/>
      </c>
      <c r="AR901" s="79">
        <f>IF(AN901="","",IF(OR(AO901&lt;&gt;"OK", AP901&lt;&gt;"OK", AQ901&lt;&gt;"OK"), "⚠️ REVISAR", "OK"))</f>
        <v/>
      </c>
    </row>
    <row r="902">
      <c r="A902" s="79">
        <f>IF('Ordenes_Odoo'!A902="","",'Ordenes_Odoo'!A902)</f>
        <v/>
      </c>
      <c r="B902" s="80">
        <f>IF('Ordenes_Odoo'!B902="","",'Ordenes_Odoo'!B902)</f>
        <v/>
      </c>
      <c r="C902" s="79">
        <f>IF('Ordenes_Odoo'!C902="","",'Ordenes_Odoo'!C902)</f>
        <v/>
      </c>
      <c r="D902" s="79">
        <f>IF('Ordenes_Odoo'!D902="","",'Ordenes_Odoo'!D902)</f>
        <v/>
      </c>
      <c r="E902" s="79">
        <f>IF('Ordenes_Odoo'!E902="","",'Ordenes_Odoo'!E902)</f>
        <v/>
      </c>
      <c r="F902" s="79">
        <f>IF('Ordenes_Odoo'!F902="","",'Ordenes_Odoo'!F902)</f>
        <v/>
      </c>
      <c r="G902" s="79">
        <f>IF('Ordenes_Odoo'!G902="","",'Ordenes_Odoo'!G902)</f>
        <v/>
      </c>
      <c r="H902" s="79">
        <f>IF('Ordenes_Odoo'!H902="","",'Ordenes_Odoo'!H902)</f>
        <v/>
      </c>
      <c r="I902" s="79">
        <f>IF('Ordenes_Odoo'!I902="","",'Ordenes_Odoo'!I902)</f>
        <v/>
      </c>
      <c r="J902" s="79">
        <f>IF('Ordenes_Odoo'!J902="","",'Ordenes_Odoo'!J902)</f>
        <v/>
      </c>
      <c r="K902" s="81">
        <f>IF('Ordenes_Odoo'!K902="","",'Ordenes_Odoo'!K902)</f>
        <v/>
      </c>
      <c r="L902" s="81">
        <f>IF('Ordenes_Odoo'!L902="","",'Ordenes_Odoo'!L902)</f>
        <v/>
      </c>
      <c r="M902" s="79">
        <f>IF('Ordenes_Odoo'!M902="","",'Ordenes_Odoo'!M902)</f>
        <v/>
      </c>
      <c r="N902" s="79">
        <f>IF('Ordenes_Odoo'!N902="","",'Ordenes_Odoo'!N902)</f>
        <v/>
      </c>
      <c r="O902" s="81">
        <f>IF('Ordenes_Odoo'!O902="","",'Ordenes_Odoo'!O902)</f>
        <v/>
      </c>
      <c r="P902" s="81">
        <f>IF('Ordenes_Odoo'!P902="","",'Ordenes_Odoo'!P902)</f>
        <v/>
      </c>
      <c r="Q902" s="79">
        <f>IF(A902="","",IFERROR(INDEX(Facturas_Odoo!$B:$B, MATCH(A902, Facturas_Odoo!$D:$D, 0)), "Sin Factura"))</f>
        <v/>
      </c>
      <c r="R902" s="80">
        <f>IF(Q902="Sin Factura","",IFERROR(INDEX(Facturas_Odoo!$A:$A, MATCH(Q902, Facturas_Odoo!$B:$B, 0)), ""))</f>
        <v/>
      </c>
      <c r="S902" s="79">
        <f>IF(Q902="Sin Factura","",IFERROR(_xlfn.XLOOKUP(1, (Facturas_Odoo!$D:$D=A902) * (Facturas_Odoo!$K:$K=I902), Facturas_Odoo!$L:$L, ""), ""))</f>
        <v/>
      </c>
      <c r="T902" s="81">
        <f>IF(Q902="Sin Factura",0,IFERROR(_xlfn.XLOOKUP(1, (Facturas_Odoo!$D:$D=A902) * (Facturas_Odoo!$K:$K=I902), Facturas_Odoo!$M:$M, 0), 0))</f>
        <v/>
      </c>
      <c r="U902" s="79">
        <f>IF(Q902="Sin Factura",0,IFERROR(_xlfn.XLOOKUP(1, (Facturas_Odoo!$D:$D=A902) * (Facturas_Odoo!$K:$K=I902), Facturas_Odoo!$N:$N, 0), 0))</f>
        <v/>
      </c>
      <c r="V902" s="79">
        <f>IF(Q902="Sin Factura",0,IFERROR(_xlfn.XLOOKUP(1, (Facturas_Odoo!$D:$D=A902) * (Facturas_Odoo!$K:$K=I902), Facturas_Odoo!$O:$O, 0), 0))</f>
        <v/>
      </c>
      <c r="W902" s="81">
        <f>IF(Q902="Sin Factura",0,IFERROR(_xlfn.XLOOKUP(1, (Facturas_Odoo!$D:$D=A902) * (Facturas_Odoo!$K:$K=I902), Facturas_Odoo!$Q:$Q, 0), 0))</f>
        <v/>
      </c>
      <c r="X902" s="79">
        <f>IF(OR(Q902="Sin Factura",Q902=""),"",IFERROR(INDEX(Pagos_Odoo!$B:$B, MATCH(Q902, Pagos_Odoo!$I:$I, 0)), "Sin Pago"))</f>
        <v/>
      </c>
      <c r="Y902" s="79">
        <f>IF(X902="Sin Pago","",IFERROR(INDEX(Pagos_Odoo!$C:$C, MATCH(X902, Pagos_Odoo!$B:$B, 0)), ""))</f>
        <v/>
      </c>
      <c r="Z902" s="80">
        <f>IF(X902="Sin Pago","",IFERROR(INDEX(Pagos_Odoo!$A:$A, MATCH(X902, Pagos_Odoo!$B:$B, 0)), ""))</f>
        <v/>
      </c>
      <c r="AA902" s="79">
        <f>IF(X902="Sin Pago","",IFERROR(INDEX(Pagos_Odoo!$F:$F, MATCH(X902, Pagos_Odoo!$B:$B, 0)), ""))</f>
        <v/>
      </c>
      <c r="AB902" s="81">
        <f>IF(X902="Sin Pago",0,IFERROR(INDEX(Pagos_Odoo!$E:$E, MATCH(X902, Pagos_Odoo!$B:$B, 0)), 0))</f>
        <v/>
      </c>
      <c r="AC902" s="79">
        <f>IF(X902="Sin Pago","",IFERROR(INDEX(Pagos_Odoo!$G:$G, MATCH(X902, Pagos_Odoo!$B:$B, 0)), ""))</f>
        <v/>
      </c>
      <c r="AD902" s="82" t="n">
        <v>0</v>
      </c>
      <c r="AE902" s="82" t="n"/>
      <c r="AF902" s="82" t="n"/>
      <c r="AG902" s="82">
        <f>IF(AN902="","",AD902+AE902+AF902)</f>
        <v/>
      </c>
      <c r="AH902" s="81">
        <f>IF(AN902="","",P902*(1-AG902))</f>
        <v/>
      </c>
      <c r="AI902" s="81">
        <f>IF(AN902="","",IF(Q902="Sin Factura",0,IFERROR(INDEX(Facturas_Odoo!$H:$H, MATCH(Q902, Facturas_Odoo!$B:$B, 0)), 0)*(1-AG902)))</f>
        <v/>
      </c>
      <c r="AJ902" s="81">
        <f>IF(AN902="","",_xlfn.LET(idVenta, AN902&amp;"",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02" s="81">
        <f>IF(AN902="","",AH902-AJ902)</f>
        <v/>
      </c>
      <c r="AL902" s="81">
        <f>IF(AN902="","",IF(Q902="Sin Factura","",AI902-AJ902))</f>
        <v/>
      </c>
      <c r="AM902" s="81">
        <f>IF(AN902="","",IF(Q902="Sin Factura",0,P902-IFERROR(INDEX(Facturas_Odoo!$H:$H, MATCH(Q902, Facturas_Odoo!$B:$B, 0)), 0)))</f>
        <v/>
      </c>
      <c r="AN902" s="79">
        <f>IF(AND(A902="", J902=""), "", IF(A902&lt;&gt;"", VALUE(MID(A902,2,LEN(A902))), AN901))</f>
        <v/>
      </c>
      <c r="AO902" s="79">
        <f>IF(AN902="","",IF(AD902=0,"OK",_xlfn.LET(monedaPago, IF(AA902="","USD",AA902), limitePermitido, IFERROR(VLOOKUP(monedaPago, Configuración!$A$2:$B$3, 2, FALSE), 0.15), IF(AD902&gt;limitePermitido, "ALERTA: EXCESO (" &amp; TEXT(limitePermitido, "0%") &amp; " máx)", "OK"))))</f>
        <v/>
      </c>
      <c r="AP902" s="79">
        <f>IF(AN902="","",IF(AE902=0,"OK",_xlfn.LET(fechaPago, Z902, fechaFactura, R902, diasCredito, IF(E902="Pago inmediato", 0, IFERROR(VALUE(MID(E902, 1, SEARCH(" ", E902)-1)),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02" s="79">
        <f>IF(AN902="","",IF(AND(N902&gt;0, AG902&gt;0), IF(Configuración!$K$2="NO", "ALERTA: DESCUENTO DOBLE NO PERMITIDO", "OK"), "OK"))</f>
        <v/>
      </c>
      <c r="AR902" s="79">
        <f>IF(AN902="","",IF(OR(AO902&lt;&gt;"OK", AP902&lt;&gt;"OK", AQ902&lt;&gt;"OK"), "⚠️ REVISAR", "OK"))</f>
        <v/>
      </c>
    </row>
    <row r="903">
      <c r="A903" s="79">
        <f>IF('Ordenes_Odoo'!A903="","",'Ordenes_Odoo'!A903)</f>
        <v/>
      </c>
      <c r="B903" s="80">
        <f>IF('Ordenes_Odoo'!B903="","",'Ordenes_Odoo'!B903)</f>
        <v/>
      </c>
      <c r="C903" s="79">
        <f>IF('Ordenes_Odoo'!C903="","",'Ordenes_Odoo'!C903)</f>
        <v/>
      </c>
      <c r="D903" s="79">
        <f>IF('Ordenes_Odoo'!D903="","",'Ordenes_Odoo'!D903)</f>
        <v/>
      </c>
      <c r="E903" s="79">
        <f>IF('Ordenes_Odoo'!E903="","",'Ordenes_Odoo'!E903)</f>
        <v/>
      </c>
      <c r="F903" s="79">
        <f>IF('Ordenes_Odoo'!F903="","",'Ordenes_Odoo'!F903)</f>
        <v/>
      </c>
      <c r="G903" s="79">
        <f>IF('Ordenes_Odoo'!G903="","",'Ordenes_Odoo'!G903)</f>
        <v/>
      </c>
      <c r="H903" s="79">
        <f>IF('Ordenes_Odoo'!H903="","",'Ordenes_Odoo'!H903)</f>
        <v/>
      </c>
      <c r="I903" s="79">
        <f>IF('Ordenes_Odoo'!I903="","",'Ordenes_Odoo'!I903)</f>
        <v/>
      </c>
      <c r="J903" s="79">
        <f>IF('Ordenes_Odoo'!J903="","",'Ordenes_Odoo'!J903)</f>
        <v/>
      </c>
      <c r="K903" s="81">
        <f>IF('Ordenes_Odoo'!K903="","",'Ordenes_Odoo'!K903)</f>
        <v/>
      </c>
      <c r="L903" s="81">
        <f>IF('Ordenes_Odoo'!L903="","",'Ordenes_Odoo'!L903)</f>
        <v/>
      </c>
      <c r="M903" s="79">
        <f>IF('Ordenes_Odoo'!M903="","",'Ordenes_Odoo'!M903)</f>
        <v/>
      </c>
      <c r="N903" s="79">
        <f>IF('Ordenes_Odoo'!N903="","",'Ordenes_Odoo'!N903)</f>
        <v/>
      </c>
      <c r="O903" s="81">
        <f>IF('Ordenes_Odoo'!O903="","",'Ordenes_Odoo'!O903)</f>
        <v/>
      </c>
      <c r="P903" s="81">
        <f>IF('Ordenes_Odoo'!P903="","",'Ordenes_Odoo'!P903)</f>
        <v/>
      </c>
      <c r="Q903" s="79">
        <f>IF(A903="","",IFERROR(INDEX(Facturas_Odoo!$B:$B, MATCH(A903, Facturas_Odoo!$D:$D, 0)), "Sin Factura"))</f>
        <v/>
      </c>
      <c r="R903" s="80">
        <f>IF(Q903="Sin Factura","",IFERROR(INDEX(Facturas_Odoo!$A:$A, MATCH(Q903, Facturas_Odoo!$B:$B, 0)), ""))</f>
        <v/>
      </c>
      <c r="S903" s="79">
        <f>IF(Q903="Sin Factura","",IFERROR(_xlfn.XLOOKUP(1, (Facturas_Odoo!$D:$D=A903) * (Facturas_Odoo!$K:$K=I903), Facturas_Odoo!$L:$L, ""), ""))</f>
        <v/>
      </c>
      <c r="T903" s="81">
        <f>IF(Q903="Sin Factura",0,IFERROR(_xlfn.XLOOKUP(1, (Facturas_Odoo!$D:$D=A903) * (Facturas_Odoo!$K:$K=I903), Facturas_Odoo!$M:$M, 0), 0))</f>
        <v/>
      </c>
      <c r="U903" s="79">
        <f>IF(Q903="Sin Factura",0,IFERROR(_xlfn.XLOOKUP(1, (Facturas_Odoo!$D:$D=A903) * (Facturas_Odoo!$K:$K=I903), Facturas_Odoo!$N:$N, 0), 0))</f>
        <v/>
      </c>
      <c r="V903" s="79">
        <f>IF(Q903="Sin Factura",0,IFERROR(_xlfn.XLOOKUP(1, (Facturas_Odoo!$D:$D=A903) * (Facturas_Odoo!$K:$K=I903), Facturas_Odoo!$O:$O, 0), 0))</f>
        <v/>
      </c>
      <c r="W903" s="81">
        <f>IF(Q903="Sin Factura",0,IFERROR(_xlfn.XLOOKUP(1, (Facturas_Odoo!$D:$D=A903) * (Facturas_Odoo!$K:$K=I903), Facturas_Odoo!$Q:$Q, 0), 0))</f>
        <v/>
      </c>
      <c r="X903" s="79">
        <f>IF(OR(Q903="Sin Factura",Q903=""),"",IFERROR(INDEX(Pagos_Odoo!$B:$B, MATCH(Q903, Pagos_Odoo!$I:$I, 0)), "Sin Pago"))</f>
        <v/>
      </c>
      <c r="Y903" s="79">
        <f>IF(X903="Sin Pago","",IFERROR(INDEX(Pagos_Odoo!$C:$C, MATCH(X903, Pagos_Odoo!$B:$B, 0)), ""))</f>
        <v/>
      </c>
      <c r="Z903" s="80">
        <f>IF(X903="Sin Pago","",IFERROR(INDEX(Pagos_Odoo!$A:$A, MATCH(X903, Pagos_Odoo!$B:$B, 0)), ""))</f>
        <v/>
      </c>
      <c r="AA903" s="79">
        <f>IF(X903="Sin Pago","",IFERROR(INDEX(Pagos_Odoo!$F:$F, MATCH(X903, Pagos_Odoo!$B:$B, 0)), ""))</f>
        <v/>
      </c>
      <c r="AB903" s="81">
        <f>IF(X903="Sin Pago",0,IFERROR(INDEX(Pagos_Odoo!$E:$E, MATCH(X903, Pagos_Odoo!$B:$B, 0)), 0))</f>
        <v/>
      </c>
      <c r="AC903" s="79">
        <f>IF(X903="Sin Pago","",IFERROR(INDEX(Pagos_Odoo!$G:$G, MATCH(X903, Pagos_Odoo!$B:$B, 0)), ""))</f>
        <v/>
      </c>
      <c r="AD903" s="82" t="n">
        <v>0</v>
      </c>
      <c r="AE903" s="82" t="n"/>
      <c r="AF903" s="82" t="n"/>
      <c r="AG903" s="82">
        <f>IF(AN903="","",AD903+AE903+AF903)</f>
        <v/>
      </c>
      <c r="AH903" s="81">
        <f>IF(AN903="","",P903*(1-AG903))</f>
        <v/>
      </c>
      <c r="AI903" s="81">
        <f>IF(AN903="","",IF(Q903="Sin Factura",0,IFERROR(INDEX(Facturas_Odoo!$H:$H, MATCH(Q903, Facturas_Odoo!$B:$B, 0)), 0)*(1-AG903)))</f>
        <v/>
      </c>
      <c r="AJ903" s="81">
        <f>IF(AN903="","",_xlfn.LET(idVenta, AN903&amp;"",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03" s="81">
        <f>IF(AN903="","",AH903-AJ903)</f>
        <v/>
      </c>
      <c r="AL903" s="81">
        <f>IF(AN903="","",IF(Q903="Sin Factura","",AI903-AJ903))</f>
        <v/>
      </c>
      <c r="AM903" s="81">
        <f>IF(AN903="","",IF(Q903="Sin Factura",0,P903-IFERROR(INDEX(Facturas_Odoo!$H:$H, MATCH(Q903, Facturas_Odoo!$B:$B, 0)), 0)))</f>
        <v/>
      </c>
      <c r="AN903" s="79">
        <f>IF(AND(A903="", J903=""), "", IF(A903&lt;&gt;"", VALUE(MID(A903,2,LEN(A903))), AN902))</f>
        <v/>
      </c>
      <c r="AO903" s="79">
        <f>IF(AN903="","",IF(AD903=0,"OK",_xlfn.LET(monedaPago, IF(AA903="","USD",AA903), limitePermitido, IFERROR(VLOOKUP(monedaPago, Configuración!$A$2:$B$3, 2, FALSE), 0.15), IF(AD903&gt;limitePermitido, "ALERTA: EXCESO (" &amp; TEXT(limitePermitido, "0%") &amp; " máx)", "OK"))))</f>
        <v/>
      </c>
      <c r="AP903" s="79">
        <f>IF(AN903="","",IF(AE903=0,"OK",_xlfn.LET(fechaPago, Z903, fechaFactura, R903, diasCredito, IF(E903="Pago inmediato", 0, IFERROR(VALUE(MID(E903, 1, SEARCH(" ", E903)-1)),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03" s="79">
        <f>IF(AN903="","",IF(AND(N903&gt;0, AG903&gt;0), IF(Configuración!$K$2="NO", "ALERTA: DESCUENTO DOBLE NO PERMITIDO", "OK"), "OK"))</f>
        <v/>
      </c>
      <c r="AR903" s="79">
        <f>IF(AN903="","",IF(OR(AO903&lt;&gt;"OK", AP903&lt;&gt;"OK", AQ903&lt;&gt;"OK"), "⚠️ REVISAR", "OK"))</f>
        <v/>
      </c>
    </row>
    <row r="904">
      <c r="A904" s="79">
        <f>IF('Ordenes_Odoo'!A904="","",'Ordenes_Odoo'!A904)</f>
        <v/>
      </c>
      <c r="B904" s="80">
        <f>IF('Ordenes_Odoo'!B904="","",'Ordenes_Odoo'!B904)</f>
        <v/>
      </c>
      <c r="C904" s="79">
        <f>IF('Ordenes_Odoo'!C904="","",'Ordenes_Odoo'!C904)</f>
        <v/>
      </c>
      <c r="D904" s="79">
        <f>IF('Ordenes_Odoo'!D904="","",'Ordenes_Odoo'!D904)</f>
        <v/>
      </c>
      <c r="E904" s="79">
        <f>IF('Ordenes_Odoo'!E904="","",'Ordenes_Odoo'!E904)</f>
        <v/>
      </c>
      <c r="F904" s="79">
        <f>IF('Ordenes_Odoo'!F904="","",'Ordenes_Odoo'!F904)</f>
        <v/>
      </c>
      <c r="G904" s="79">
        <f>IF('Ordenes_Odoo'!G904="","",'Ordenes_Odoo'!G904)</f>
        <v/>
      </c>
      <c r="H904" s="79">
        <f>IF('Ordenes_Odoo'!H904="","",'Ordenes_Odoo'!H904)</f>
        <v/>
      </c>
      <c r="I904" s="79">
        <f>IF('Ordenes_Odoo'!I904="","",'Ordenes_Odoo'!I904)</f>
        <v/>
      </c>
      <c r="J904" s="79">
        <f>IF('Ordenes_Odoo'!J904="","",'Ordenes_Odoo'!J904)</f>
        <v/>
      </c>
      <c r="K904" s="81">
        <f>IF('Ordenes_Odoo'!K904="","",'Ordenes_Odoo'!K904)</f>
        <v/>
      </c>
      <c r="L904" s="81">
        <f>IF('Ordenes_Odoo'!L904="","",'Ordenes_Odoo'!L904)</f>
        <v/>
      </c>
      <c r="M904" s="79">
        <f>IF('Ordenes_Odoo'!M904="","",'Ordenes_Odoo'!M904)</f>
        <v/>
      </c>
      <c r="N904" s="79">
        <f>IF('Ordenes_Odoo'!N904="","",'Ordenes_Odoo'!N904)</f>
        <v/>
      </c>
      <c r="O904" s="81">
        <f>IF('Ordenes_Odoo'!O904="","",'Ordenes_Odoo'!O904)</f>
        <v/>
      </c>
      <c r="P904" s="81">
        <f>IF('Ordenes_Odoo'!P904="","",'Ordenes_Odoo'!P904)</f>
        <v/>
      </c>
      <c r="Q904" s="79">
        <f>IF(A904="","",IFERROR(INDEX(Facturas_Odoo!$B:$B, MATCH(A904, Facturas_Odoo!$D:$D, 0)), "Sin Factura"))</f>
        <v/>
      </c>
      <c r="R904" s="80">
        <f>IF(Q904="Sin Factura","",IFERROR(INDEX(Facturas_Odoo!$A:$A, MATCH(Q904, Facturas_Odoo!$B:$B, 0)), ""))</f>
        <v/>
      </c>
      <c r="S904" s="79">
        <f>IF(Q904="Sin Factura","",IFERROR(_xlfn.XLOOKUP(1, (Facturas_Odoo!$D:$D=A904) * (Facturas_Odoo!$K:$K=I904), Facturas_Odoo!$L:$L, ""), ""))</f>
        <v/>
      </c>
      <c r="T904" s="81">
        <f>IF(Q904="Sin Factura",0,IFERROR(_xlfn.XLOOKUP(1, (Facturas_Odoo!$D:$D=A904) * (Facturas_Odoo!$K:$K=I904), Facturas_Odoo!$M:$M, 0), 0))</f>
        <v/>
      </c>
      <c r="U904" s="79">
        <f>IF(Q904="Sin Factura",0,IFERROR(_xlfn.XLOOKUP(1, (Facturas_Odoo!$D:$D=A904) * (Facturas_Odoo!$K:$K=I904), Facturas_Odoo!$N:$N, 0), 0))</f>
        <v/>
      </c>
      <c r="V904" s="79">
        <f>IF(Q904="Sin Factura",0,IFERROR(_xlfn.XLOOKUP(1, (Facturas_Odoo!$D:$D=A904) * (Facturas_Odoo!$K:$K=I904), Facturas_Odoo!$O:$O, 0), 0))</f>
        <v/>
      </c>
      <c r="W904" s="81">
        <f>IF(Q904="Sin Factura",0,IFERROR(_xlfn.XLOOKUP(1, (Facturas_Odoo!$D:$D=A904) * (Facturas_Odoo!$K:$K=I904), Facturas_Odoo!$Q:$Q, 0), 0))</f>
        <v/>
      </c>
      <c r="X904" s="79">
        <f>IF(OR(Q904="Sin Factura",Q904=""),"",IFERROR(INDEX(Pagos_Odoo!$B:$B, MATCH(Q904, Pagos_Odoo!$I:$I, 0)), "Sin Pago"))</f>
        <v/>
      </c>
      <c r="Y904" s="79">
        <f>IF(X904="Sin Pago","",IFERROR(INDEX(Pagos_Odoo!$C:$C, MATCH(X904, Pagos_Odoo!$B:$B, 0)), ""))</f>
        <v/>
      </c>
      <c r="Z904" s="80">
        <f>IF(X904="Sin Pago","",IFERROR(INDEX(Pagos_Odoo!$A:$A, MATCH(X904, Pagos_Odoo!$B:$B, 0)), ""))</f>
        <v/>
      </c>
      <c r="AA904" s="79">
        <f>IF(X904="Sin Pago","",IFERROR(INDEX(Pagos_Odoo!$F:$F, MATCH(X904, Pagos_Odoo!$B:$B, 0)), ""))</f>
        <v/>
      </c>
      <c r="AB904" s="81">
        <f>IF(X904="Sin Pago",0,IFERROR(INDEX(Pagos_Odoo!$E:$E, MATCH(X904, Pagos_Odoo!$B:$B, 0)), 0))</f>
        <v/>
      </c>
      <c r="AC904" s="79">
        <f>IF(X904="Sin Pago","",IFERROR(INDEX(Pagos_Odoo!$G:$G, MATCH(X904, Pagos_Odoo!$B:$B, 0)), ""))</f>
        <v/>
      </c>
      <c r="AD904" s="82" t="n">
        <v>0</v>
      </c>
      <c r="AE904" s="82" t="n"/>
      <c r="AF904" s="82" t="n"/>
      <c r="AG904" s="82">
        <f>IF(AN904="","",AD904+AE904+AF904)</f>
        <v/>
      </c>
      <c r="AH904" s="81">
        <f>IF(AN904="","",P904*(1-AG904))</f>
        <v/>
      </c>
      <c r="AI904" s="81">
        <f>IF(AN904="","",IF(Q904="Sin Factura",0,IFERROR(INDEX(Facturas_Odoo!$H:$H, MATCH(Q904, Facturas_Odoo!$B:$B, 0)), 0)*(1-AG904)))</f>
        <v/>
      </c>
      <c r="AJ904" s="81">
        <f>IF(AN904="","",_xlfn.LET(idVenta, AN904&amp;"",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04" s="81">
        <f>IF(AN904="","",AH904-AJ904)</f>
        <v/>
      </c>
      <c r="AL904" s="81">
        <f>IF(AN904="","",IF(Q904="Sin Factura","",AI904-AJ904))</f>
        <v/>
      </c>
      <c r="AM904" s="81">
        <f>IF(AN904="","",IF(Q904="Sin Factura",0,P904-IFERROR(INDEX(Facturas_Odoo!$H:$H, MATCH(Q904, Facturas_Odoo!$B:$B, 0)), 0)))</f>
        <v/>
      </c>
      <c r="AN904" s="79">
        <f>IF(AND(A904="", J904=""), "", IF(A904&lt;&gt;"", VALUE(MID(A904,2,LEN(A904))), AN903))</f>
        <v/>
      </c>
      <c r="AO904" s="79">
        <f>IF(AN904="","",IF(AD904=0,"OK",_xlfn.LET(monedaPago, IF(AA904="","USD",AA904), limitePermitido, IFERROR(VLOOKUP(monedaPago, Configuración!$A$2:$B$3, 2, FALSE), 0.15), IF(AD904&gt;limitePermitido, "ALERTA: EXCESO (" &amp; TEXT(limitePermitido, "0%") &amp; " máx)", "OK"))))</f>
        <v/>
      </c>
      <c r="AP904" s="79">
        <f>IF(AN904="","",IF(AE904=0,"OK",_xlfn.LET(fechaPago, Z904, fechaFactura, R904, diasCredito, IF(E904="Pago inmediato", 0, IFERROR(VALUE(MID(E904, 1, SEARCH(" ", E904)-1)),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04" s="79">
        <f>IF(AN904="","",IF(AND(N904&gt;0, AG904&gt;0), IF(Configuración!$K$2="NO", "ALERTA: DESCUENTO DOBLE NO PERMITIDO", "OK"), "OK"))</f>
        <v/>
      </c>
      <c r="AR904" s="79">
        <f>IF(AN904="","",IF(OR(AO904&lt;&gt;"OK", AP904&lt;&gt;"OK", AQ904&lt;&gt;"OK"), "⚠️ REVISAR", "OK"))</f>
        <v/>
      </c>
    </row>
    <row r="905">
      <c r="A905" s="79">
        <f>IF('Ordenes_Odoo'!A905="","",'Ordenes_Odoo'!A905)</f>
        <v/>
      </c>
      <c r="B905" s="80">
        <f>IF('Ordenes_Odoo'!B905="","",'Ordenes_Odoo'!B905)</f>
        <v/>
      </c>
      <c r="C905" s="79">
        <f>IF('Ordenes_Odoo'!C905="","",'Ordenes_Odoo'!C905)</f>
        <v/>
      </c>
      <c r="D905" s="79">
        <f>IF('Ordenes_Odoo'!D905="","",'Ordenes_Odoo'!D905)</f>
        <v/>
      </c>
      <c r="E905" s="79">
        <f>IF('Ordenes_Odoo'!E905="","",'Ordenes_Odoo'!E905)</f>
        <v/>
      </c>
      <c r="F905" s="79">
        <f>IF('Ordenes_Odoo'!F905="","",'Ordenes_Odoo'!F905)</f>
        <v/>
      </c>
      <c r="G905" s="79">
        <f>IF('Ordenes_Odoo'!G905="","",'Ordenes_Odoo'!G905)</f>
        <v/>
      </c>
      <c r="H905" s="79">
        <f>IF('Ordenes_Odoo'!H905="","",'Ordenes_Odoo'!H905)</f>
        <v/>
      </c>
      <c r="I905" s="79">
        <f>IF('Ordenes_Odoo'!I905="","",'Ordenes_Odoo'!I905)</f>
        <v/>
      </c>
      <c r="J905" s="79">
        <f>IF('Ordenes_Odoo'!J905="","",'Ordenes_Odoo'!J905)</f>
        <v/>
      </c>
      <c r="K905" s="81">
        <f>IF('Ordenes_Odoo'!K905="","",'Ordenes_Odoo'!K905)</f>
        <v/>
      </c>
      <c r="L905" s="81">
        <f>IF('Ordenes_Odoo'!L905="","",'Ordenes_Odoo'!L905)</f>
        <v/>
      </c>
      <c r="M905" s="79">
        <f>IF('Ordenes_Odoo'!M905="","",'Ordenes_Odoo'!M905)</f>
        <v/>
      </c>
      <c r="N905" s="79">
        <f>IF('Ordenes_Odoo'!N905="","",'Ordenes_Odoo'!N905)</f>
        <v/>
      </c>
      <c r="O905" s="81">
        <f>IF('Ordenes_Odoo'!O905="","",'Ordenes_Odoo'!O905)</f>
        <v/>
      </c>
      <c r="P905" s="81">
        <f>IF('Ordenes_Odoo'!P905="","",'Ordenes_Odoo'!P905)</f>
        <v/>
      </c>
      <c r="Q905" s="79">
        <f>IF(A905="","",IFERROR(INDEX(Facturas_Odoo!$B:$B, MATCH(A905, Facturas_Odoo!$D:$D, 0)), "Sin Factura"))</f>
        <v/>
      </c>
      <c r="R905" s="80">
        <f>IF(Q905="Sin Factura","",IFERROR(INDEX(Facturas_Odoo!$A:$A, MATCH(Q905, Facturas_Odoo!$B:$B, 0)), ""))</f>
        <v/>
      </c>
      <c r="S905" s="79">
        <f>IF(Q905="Sin Factura","",IFERROR(_xlfn.XLOOKUP(1, (Facturas_Odoo!$D:$D=A905) * (Facturas_Odoo!$K:$K=I905), Facturas_Odoo!$L:$L, ""), ""))</f>
        <v/>
      </c>
      <c r="T905" s="81">
        <f>IF(Q905="Sin Factura",0,IFERROR(_xlfn.XLOOKUP(1, (Facturas_Odoo!$D:$D=A905) * (Facturas_Odoo!$K:$K=I905), Facturas_Odoo!$M:$M, 0), 0))</f>
        <v/>
      </c>
      <c r="U905" s="79">
        <f>IF(Q905="Sin Factura",0,IFERROR(_xlfn.XLOOKUP(1, (Facturas_Odoo!$D:$D=A905) * (Facturas_Odoo!$K:$K=I905), Facturas_Odoo!$N:$N, 0), 0))</f>
        <v/>
      </c>
      <c r="V905" s="79">
        <f>IF(Q905="Sin Factura",0,IFERROR(_xlfn.XLOOKUP(1, (Facturas_Odoo!$D:$D=A905) * (Facturas_Odoo!$K:$K=I905), Facturas_Odoo!$O:$O, 0), 0))</f>
        <v/>
      </c>
      <c r="W905" s="81">
        <f>IF(Q905="Sin Factura",0,IFERROR(_xlfn.XLOOKUP(1, (Facturas_Odoo!$D:$D=A905) * (Facturas_Odoo!$K:$K=I905), Facturas_Odoo!$Q:$Q, 0), 0))</f>
        <v/>
      </c>
      <c r="X905" s="79">
        <f>IF(OR(Q905="Sin Factura",Q905=""),"",IFERROR(INDEX(Pagos_Odoo!$B:$B, MATCH(Q905, Pagos_Odoo!$I:$I, 0)), "Sin Pago"))</f>
        <v/>
      </c>
      <c r="Y905" s="79">
        <f>IF(X905="Sin Pago","",IFERROR(INDEX(Pagos_Odoo!$C:$C, MATCH(X905, Pagos_Odoo!$B:$B, 0)), ""))</f>
        <v/>
      </c>
      <c r="Z905" s="80">
        <f>IF(X905="Sin Pago","",IFERROR(INDEX(Pagos_Odoo!$A:$A, MATCH(X905, Pagos_Odoo!$B:$B, 0)), ""))</f>
        <v/>
      </c>
      <c r="AA905" s="79">
        <f>IF(X905="Sin Pago","",IFERROR(INDEX(Pagos_Odoo!$F:$F, MATCH(X905, Pagos_Odoo!$B:$B, 0)), ""))</f>
        <v/>
      </c>
      <c r="AB905" s="81">
        <f>IF(X905="Sin Pago",0,IFERROR(INDEX(Pagos_Odoo!$E:$E, MATCH(X905, Pagos_Odoo!$B:$B, 0)), 0))</f>
        <v/>
      </c>
      <c r="AC905" s="79">
        <f>IF(X905="Sin Pago","",IFERROR(INDEX(Pagos_Odoo!$G:$G, MATCH(X905, Pagos_Odoo!$B:$B, 0)), ""))</f>
        <v/>
      </c>
      <c r="AD905" s="82" t="n">
        <v>0</v>
      </c>
      <c r="AE905" s="82" t="n"/>
      <c r="AF905" s="82" t="n"/>
      <c r="AG905" s="82">
        <f>IF(AN905="","",AD905+AE905+AF905)</f>
        <v/>
      </c>
      <c r="AH905" s="81">
        <f>IF(AN905="","",P905*(1-AG905))</f>
        <v/>
      </c>
      <c r="AI905" s="81">
        <f>IF(AN905="","",IF(Q905="Sin Factura",0,IFERROR(INDEX(Facturas_Odoo!$H:$H, MATCH(Q905, Facturas_Odoo!$B:$B, 0)), 0)*(1-AG905)))</f>
        <v/>
      </c>
      <c r="AJ905" s="81">
        <f>IF(AN905="","",_xlfn.LET(idVenta, AN905&amp;"",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05" s="81">
        <f>IF(AN905="","",AH905-AJ905)</f>
        <v/>
      </c>
      <c r="AL905" s="81">
        <f>IF(AN905="","",IF(Q905="Sin Factura","",AI905-AJ905))</f>
        <v/>
      </c>
      <c r="AM905" s="81">
        <f>IF(AN905="","",IF(Q905="Sin Factura",0,P905-IFERROR(INDEX(Facturas_Odoo!$H:$H, MATCH(Q905, Facturas_Odoo!$B:$B, 0)), 0)))</f>
        <v/>
      </c>
      <c r="AN905" s="79">
        <f>IF(AND(A905="", J905=""), "", IF(A905&lt;&gt;"", VALUE(MID(A905,2,LEN(A905))), AN904))</f>
        <v/>
      </c>
      <c r="AO905" s="79">
        <f>IF(AN905="","",IF(AD905=0,"OK",_xlfn.LET(monedaPago, IF(AA905="","USD",AA905), limitePermitido, IFERROR(VLOOKUP(monedaPago, Configuración!$A$2:$B$3, 2, FALSE), 0.15), IF(AD905&gt;limitePermitido, "ALERTA: EXCESO (" &amp; TEXT(limitePermitido, "0%") &amp; " máx)", "OK"))))</f>
        <v/>
      </c>
      <c r="AP905" s="79">
        <f>IF(AN905="","",IF(AE905=0,"OK",_xlfn.LET(fechaPago, Z905, fechaFactura, R905, diasCredito, IF(E905="Pago inmediato", 0, IFERROR(VALUE(MID(E905, 1, SEARCH(" ", E905)-1)),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05" s="79">
        <f>IF(AN905="","",IF(AND(N905&gt;0, AG905&gt;0), IF(Configuración!$K$2="NO", "ALERTA: DESCUENTO DOBLE NO PERMITIDO", "OK"), "OK"))</f>
        <v/>
      </c>
      <c r="AR905" s="79">
        <f>IF(AN905="","",IF(OR(AO905&lt;&gt;"OK", AP905&lt;&gt;"OK", AQ905&lt;&gt;"OK"), "⚠️ REVISAR", "OK"))</f>
        <v/>
      </c>
    </row>
    <row r="906">
      <c r="A906" s="79">
        <f>IF('Ordenes_Odoo'!A906="","",'Ordenes_Odoo'!A906)</f>
        <v/>
      </c>
      <c r="B906" s="80">
        <f>IF('Ordenes_Odoo'!B906="","",'Ordenes_Odoo'!B906)</f>
        <v/>
      </c>
      <c r="C906" s="79">
        <f>IF('Ordenes_Odoo'!C906="","",'Ordenes_Odoo'!C906)</f>
        <v/>
      </c>
      <c r="D906" s="79">
        <f>IF('Ordenes_Odoo'!D906="","",'Ordenes_Odoo'!D906)</f>
        <v/>
      </c>
      <c r="E906" s="79">
        <f>IF('Ordenes_Odoo'!E906="","",'Ordenes_Odoo'!E906)</f>
        <v/>
      </c>
      <c r="F906" s="79">
        <f>IF('Ordenes_Odoo'!F906="","",'Ordenes_Odoo'!F906)</f>
        <v/>
      </c>
      <c r="G906" s="79">
        <f>IF('Ordenes_Odoo'!G906="","",'Ordenes_Odoo'!G906)</f>
        <v/>
      </c>
      <c r="H906" s="79">
        <f>IF('Ordenes_Odoo'!H906="","",'Ordenes_Odoo'!H906)</f>
        <v/>
      </c>
      <c r="I906" s="79">
        <f>IF('Ordenes_Odoo'!I906="","",'Ordenes_Odoo'!I906)</f>
        <v/>
      </c>
      <c r="J906" s="79">
        <f>IF('Ordenes_Odoo'!J906="","",'Ordenes_Odoo'!J906)</f>
        <v/>
      </c>
      <c r="K906" s="81">
        <f>IF('Ordenes_Odoo'!K906="","",'Ordenes_Odoo'!K906)</f>
        <v/>
      </c>
      <c r="L906" s="81">
        <f>IF('Ordenes_Odoo'!L906="","",'Ordenes_Odoo'!L906)</f>
        <v/>
      </c>
      <c r="M906" s="79">
        <f>IF('Ordenes_Odoo'!M906="","",'Ordenes_Odoo'!M906)</f>
        <v/>
      </c>
      <c r="N906" s="79">
        <f>IF('Ordenes_Odoo'!N906="","",'Ordenes_Odoo'!N906)</f>
        <v/>
      </c>
      <c r="O906" s="81">
        <f>IF('Ordenes_Odoo'!O906="","",'Ordenes_Odoo'!O906)</f>
        <v/>
      </c>
      <c r="P906" s="81">
        <f>IF('Ordenes_Odoo'!P906="","",'Ordenes_Odoo'!P906)</f>
        <v/>
      </c>
      <c r="Q906" s="79">
        <f>IF(A906="","",IFERROR(INDEX(Facturas_Odoo!$B:$B, MATCH(A906, Facturas_Odoo!$D:$D, 0)), "Sin Factura"))</f>
        <v/>
      </c>
      <c r="R906" s="80">
        <f>IF(Q906="Sin Factura","",IFERROR(INDEX(Facturas_Odoo!$A:$A, MATCH(Q906, Facturas_Odoo!$B:$B, 0)), ""))</f>
        <v/>
      </c>
      <c r="S906" s="79">
        <f>IF(Q906="Sin Factura","",IFERROR(_xlfn.XLOOKUP(1, (Facturas_Odoo!$D:$D=A906) * (Facturas_Odoo!$K:$K=I906), Facturas_Odoo!$L:$L, ""), ""))</f>
        <v/>
      </c>
      <c r="T906" s="81">
        <f>IF(Q906="Sin Factura",0,IFERROR(_xlfn.XLOOKUP(1, (Facturas_Odoo!$D:$D=A906) * (Facturas_Odoo!$K:$K=I906), Facturas_Odoo!$M:$M, 0), 0))</f>
        <v/>
      </c>
      <c r="U906" s="79">
        <f>IF(Q906="Sin Factura",0,IFERROR(_xlfn.XLOOKUP(1, (Facturas_Odoo!$D:$D=A906) * (Facturas_Odoo!$K:$K=I906), Facturas_Odoo!$N:$N, 0), 0))</f>
        <v/>
      </c>
      <c r="V906" s="79">
        <f>IF(Q906="Sin Factura",0,IFERROR(_xlfn.XLOOKUP(1, (Facturas_Odoo!$D:$D=A906) * (Facturas_Odoo!$K:$K=I906), Facturas_Odoo!$O:$O, 0), 0))</f>
        <v/>
      </c>
      <c r="W906" s="81">
        <f>IF(Q906="Sin Factura",0,IFERROR(_xlfn.XLOOKUP(1, (Facturas_Odoo!$D:$D=A906) * (Facturas_Odoo!$K:$K=I906), Facturas_Odoo!$Q:$Q, 0), 0))</f>
        <v/>
      </c>
      <c r="X906" s="79">
        <f>IF(OR(Q906="Sin Factura",Q906=""),"",IFERROR(INDEX(Pagos_Odoo!$B:$B, MATCH(Q906, Pagos_Odoo!$I:$I, 0)), "Sin Pago"))</f>
        <v/>
      </c>
      <c r="Y906" s="79">
        <f>IF(X906="Sin Pago","",IFERROR(INDEX(Pagos_Odoo!$C:$C, MATCH(X906, Pagos_Odoo!$B:$B, 0)), ""))</f>
        <v/>
      </c>
      <c r="Z906" s="80">
        <f>IF(X906="Sin Pago","",IFERROR(INDEX(Pagos_Odoo!$A:$A, MATCH(X906, Pagos_Odoo!$B:$B, 0)), ""))</f>
        <v/>
      </c>
      <c r="AA906" s="79">
        <f>IF(X906="Sin Pago","",IFERROR(INDEX(Pagos_Odoo!$F:$F, MATCH(X906, Pagos_Odoo!$B:$B, 0)), ""))</f>
        <v/>
      </c>
      <c r="AB906" s="81">
        <f>IF(X906="Sin Pago",0,IFERROR(INDEX(Pagos_Odoo!$E:$E, MATCH(X906, Pagos_Odoo!$B:$B, 0)), 0))</f>
        <v/>
      </c>
      <c r="AC906" s="79">
        <f>IF(X906="Sin Pago","",IFERROR(INDEX(Pagos_Odoo!$G:$G, MATCH(X906, Pagos_Odoo!$B:$B, 0)), ""))</f>
        <v/>
      </c>
      <c r="AD906" s="82" t="n">
        <v>0</v>
      </c>
      <c r="AE906" s="82" t="n"/>
      <c r="AF906" s="82" t="n"/>
      <c r="AG906" s="82">
        <f>IF(AN906="","",AD906+AE906+AF906)</f>
        <v/>
      </c>
      <c r="AH906" s="81">
        <f>IF(AN906="","",P906*(1-AG906))</f>
        <v/>
      </c>
      <c r="AI906" s="81">
        <f>IF(AN906="","",IF(Q906="Sin Factura",0,IFERROR(INDEX(Facturas_Odoo!$H:$H, MATCH(Q906, Facturas_Odoo!$B:$B, 0)), 0)*(1-AG906)))</f>
        <v/>
      </c>
      <c r="AJ906" s="81">
        <f>IF(AN906="","",_xlfn.LET(idVenta, AN906&amp;"",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06" s="81">
        <f>IF(AN906="","",AH906-AJ906)</f>
        <v/>
      </c>
      <c r="AL906" s="81">
        <f>IF(AN906="","",IF(Q906="Sin Factura","",AI906-AJ906))</f>
        <v/>
      </c>
      <c r="AM906" s="81">
        <f>IF(AN906="","",IF(Q906="Sin Factura",0,P906-IFERROR(INDEX(Facturas_Odoo!$H:$H, MATCH(Q906, Facturas_Odoo!$B:$B, 0)), 0)))</f>
        <v/>
      </c>
      <c r="AN906" s="79">
        <f>IF(AND(A906="", J906=""), "", IF(A906&lt;&gt;"", VALUE(MID(A906,2,LEN(A906))), AN905))</f>
        <v/>
      </c>
      <c r="AO906" s="79">
        <f>IF(AN906="","",IF(AD906=0,"OK",_xlfn.LET(monedaPago, IF(AA906="","USD",AA906), limitePermitido, IFERROR(VLOOKUP(monedaPago, Configuración!$A$2:$B$3, 2, FALSE), 0.15), IF(AD906&gt;limitePermitido, "ALERTA: EXCESO (" &amp; TEXT(limitePermitido, "0%") &amp; " máx)", "OK"))))</f>
        <v/>
      </c>
      <c r="AP906" s="79">
        <f>IF(AN906="","",IF(AE906=0,"OK",_xlfn.LET(fechaPago, Z906, fechaFactura, R906, diasCredito, IF(E906="Pago inmediato", 0, IFERROR(VALUE(MID(E906, 1, SEARCH(" ", E906)-1)),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06" s="79">
        <f>IF(AN906="","",IF(AND(N906&gt;0, AG906&gt;0), IF(Configuración!$K$2="NO", "ALERTA: DESCUENTO DOBLE NO PERMITIDO", "OK"), "OK"))</f>
        <v/>
      </c>
      <c r="AR906" s="79">
        <f>IF(AN906="","",IF(OR(AO906&lt;&gt;"OK", AP906&lt;&gt;"OK", AQ906&lt;&gt;"OK"), "⚠️ REVISAR", "OK"))</f>
        <v/>
      </c>
    </row>
    <row r="907">
      <c r="A907" s="79">
        <f>IF('Ordenes_Odoo'!A907="","",'Ordenes_Odoo'!A907)</f>
        <v/>
      </c>
      <c r="B907" s="80">
        <f>IF('Ordenes_Odoo'!B907="","",'Ordenes_Odoo'!B907)</f>
        <v/>
      </c>
      <c r="C907" s="79">
        <f>IF('Ordenes_Odoo'!C907="","",'Ordenes_Odoo'!C907)</f>
        <v/>
      </c>
      <c r="D907" s="79">
        <f>IF('Ordenes_Odoo'!D907="","",'Ordenes_Odoo'!D907)</f>
        <v/>
      </c>
      <c r="E907" s="79">
        <f>IF('Ordenes_Odoo'!E907="","",'Ordenes_Odoo'!E907)</f>
        <v/>
      </c>
      <c r="F907" s="79">
        <f>IF('Ordenes_Odoo'!F907="","",'Ordenes_Odoo'!F907)</f>
        <v/>
      </c>
      <c r="G907" s="79">
        <f>IF('Ordenes_Odoo'!G907="","",'Ordenes_Odoo'!G907)</f>
        <v/>
      </c>
      <c r="H907" s="79">
        <f>IF('Ordenes_Odoo'!H907="","",'Ordenes_Odoo'!H907)</f>
        <v/>
      </c>
      <c r="I907" s="79">
        <f>IF('Ordenes_Odoo'!I907="","",'Ordenes_Odoo'!I907)</f>
        <v/>
      </c>
      <c r="J907" s="79">
        <f>IF('Ordenes_Odoo'!J907="","",'Ordenes_Odoo'!J907)</f>
        <v/>
      </c>
      <c r="K907" s="81">
        <f>IF('Ordenes_Odoo'!K907="","",'Ordenes_Odoo'!K907)</f>
        <v/>
      </c>
      <c r="L907" s="81">
        <f>IF('Ordenes_Odoo'!L907="","",'Ordenes_Odoo'!L907)</f>
        <v/>
      </c>
      <c r="M907" s="79">
        <f>IF('Ordenes_Odoo'!M907="","",'Ordenes_Odoo'!M907)</f>
        <v/>
      </c>
      <c r="N907" s="79">
        <f>IF('Ordenes_Odoo'!N907="","",'Ordenes_Odoo'!N907)</f>
        <v/>
      </c>
      <c r="O907" s="81">
        <f>IF('Ordenes_Odoo'!O907="","",'Ordenes_Odoo'!O907)</f>
        <v/>
      </c>
      <c r="P907" s="81">
        <f>IF('Ordenes_Odoo'!P907="","",'Ordenes_Odoo'!P907)</f>
        <v/>
      </c>
      <c r="Q907" s="79">
        <f>IF(A907="","",IFERROR(INDEX(Facturas_Odoo!$B:$B, MATCH(A907, Facturas_Odoo!$D:$D, 0)), "Sin Factura"))</f>
        <v/>
      </c>
      <c r="R907" s="80">
        <f>IF(Q907="Sin Factura","",IFERROR(INDEX(Facturas_Odoo!$A:$A, MATCH(Q907, Facturas_Odoo!$B:$B, 0)), ""))</f>
        <v/>
      </c>
      <c r="S907" s="79">
        <f>IF(Q907="Sin Factura","",IFERROR(_xlfn.XLOOKUP(1, (Facturas_Odoo!$D:$D=A907) * (Facturas_Odoo!$K:$K=I907), Facturas_Odoo!$L:$L, ""), ""))</f>
        <v/>
      </c>
      <c r="T907" s="81">
        <f>IF(Q907="Sin Factura",0,IFERROR(_xlfn.XLOOKUP(1, (Facturas_Odoo!$D:$D=A907) * (Facturas_Odoo!$K:$K=I907), Facturas_Odoo!$M:$M, 0), 0))</f>
        <v/>
      </c>
      <c r="U907" s="79">
        <f>IF(Q907="Sin Factura",0,IFERROR(_xlfn.XLOOKUP(1, (Facturas_Odoo!$D:$D=A907) * (Facturas_Odoo!$K:$K=I907), Facturas_Odoo!$N:$N, 0), 0))</f>
        <v/>
      </c>
      <c r="V907" s="79">
        <f>IF(Q907="Sin Factura",0,IFERROR(_xlfn.XLOOKUP(1, (Facturas_Odoo!$D:$D=A907) * (Facturas_Odoo!$K:$K=I907), Facturas_Odoo!$O:$O, 0), 0))</f>
        <v/>
      </c>
      <c r="W907" s="81">
        <f>IF(Q907="Sin Factura",0,IFERROR(_xlfn.XLOOKUP(1, (Facturas_Odoo!$D:$D=A907) * (Facturas_Odoo!$K:$K=I907), Facturas_Odoo!$Q:$Q, 0), 0))</f>
        <v/>
      </c>
      <c r="X907" s="79">
        <f>IF(OR(Q907="Sin Factura",Q907=""),"",IFERROR(INDEX(Pagos_Odoo!$B:$B, MATCH(Q907, Pagos_Odoo!$I:$I, 0)), "Sin Pago"))</f>
        <v/>
      </c>
      <c r="Y907" s="79">
        <f>IF(X907="Sin Pago","",IFERROR(INDEX(Pagos_Odoo!$C:$C, MATCH(X907, Pagos_Odoo!$B:$B, 0)), ""))</f>
        <v/>
      </c>
      <c r="Z907" s="80">
        <f>IF(X907="Sin Pago","",IFERROR(INDEX(Pagos_Odoo!$A:$A, MATCH(X907, Pagos_Odoo!$B:$B, 0)), ""))</f>
        <v/>
      </c>
      <c r="AA907" s="79">
        <f>IF(X907="Sin Pago","",IFERROR(INDEX(Pagos_Odoo!$F:$F, MATCH(X907, Pagos_Odoo!$B:$B, 0)), ""))</f>
        <v/>
      </c>
      <c r="AB907" s="81">
        <f>IF(X907="Sin Pago",0,IFERROR(INDEX(Pagos_Odoo!$E:$E, MATCH(X907, Pagos_Odoo!$B:$B, 0)), 0))</f>
        <v/>
      </c>
      <c r="AC907" s="79">
        <f>IF(X907="Sin Pago","",IFERROR(INDEX(Pagos_Odoo!$G:$G, MATCH(X907, Pagos_Odoo!$B:$B, 0)), ""))</f>
        <v/>
      </c>
      <c r="AD907" s="82" t="n">
        <v>0</v>
      </c>
      <c r="AE907" s="82" t="n"/>
      <c r="AF907" s="82" t="n"/>
      <c r="AG907" s="82">
        <f>IF(AN907="","",AD907+AE907+AF907)</f>
        <v/>
      </c>
      <c r="AH907" s="81">
        <f>IF(AN907="","",P907*(1-AG907))</f>
        <v/>
      </c>
      <c r="AI907" s="81">
        <f>IF(AN907="","",IF(Q907="Sin Factura",0,IFERROR(INDEX(Facturas_Odoo!$H:$H, MATCH(Q907, Facturas_Odoo!$B:$B, 0)), 0)*(1-AG907)))</f>
        <v/>
      </c>
      <c r="AJ907" s="81">
        <f>IF(AN907="","",_xlfn.LET(idVenta, AN907&amp;"",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07" s="81">
        <f>IF(AN907="","",AH907-AJ907)</f>
        <v/>
      </c>
      <c r="AL907" s="81">
        <f>IF(AN907="","",IF(Q907="Sin Factura","",AI907-AJ907))</f>
        <v/>
      </c>
      <c r="AM907" s="81">
        <f>IF(AN907="","",IF(Q907="Sin Factura",0,P907-IFERROR(INDEX(Facturas_Odoo!$H:$H, MATCH(Q907, Facturas_Odoo!$B:$B, 0)), 0)))</f>
        <v/>
      </c>
      <c r="AN907" s="79">
        <f>IF(AND(A907="", J907=""), "", IF(A907&lt;&gt;"", VALUE(MID(A907,2,LEN(A907))), AN906))</f>
        <v/>
      </c>
      <c r="AO907" s="79">
        <f>IF(AN907="","",IF(AD907=0,"OK",_xlfn.LET(monedaPago, IF(AA907="","USD",AA907), limitePermitido, IFERROR(VLOOKUP(monedaPago, Configuración!$A$2:$B$3, 2, FALSE), 0.15), IF(AD907&gt;limitePermitido, "ALERTA: EXCESO (" &amp; TEXT(limitePermitido, "0%") &amp; " máx)", "OK"))))</f>
        <v/>
      </c>
      <c r="AP907" s="79">
        <f>IF(AN907="","",IF(AE907=0,"OK",_xlfn.LET(fechaPago, Z907, fechaFactura, R907, diasCredito, IF(E907="Pago inmediato", 0, IFERROR(VALUE(MID(E907, 1, SEARCH(" ", E907)-1)),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07" s="79">
        <f>IF(AN907="","",IF(AND(N907&gt;0, AG907&gt;0), IF(Configuración!$K$2="NO", "ALERTA: DESCUENTO DOBLE NO PERMITIDO", "OK"), "OK"))</f>
        <v/>
      </c>
      <c r="AR907" s="79">
        <f>IF(AN907="","",IF(OR(AO907&lt;&gt;"OK", AP907&lt;&gt;"OK", AQ907&lt;&gt;"OK"), "⚠️ REVISAR", "OK"))</f>
        <v/>
      </c>
    </row>
    <row r="908">
      <c r="A908" s="79">
        <f>IF('Ordenes_Odoo'!A908="","",'Ordenes_Odoo'!A908)</f>
        <v/>
      </c>
      <c r="B908" s="80">
        <f>IF('Ordenes_Odoo'!B908="","",'Ordenes_Odoo'!B908)</f>
        <v/>
      </c>
      <c r="C908" s="79">
        <f>IF('Ordenes_Odoo'!C908="","",'Ordenes_Odoo'!C908)</f>
        <v/>
      </c>
      <c r="D908" s="79">
        <f>IF('Ordenes_Odoo'!D908="","",'Ordenes_Odoo'!D908)</f>
        <v/>
      </c>
      <c r="E908" s="79">
        <f>IF('Ordenes_Odoo'!E908="","",'Ordenes_Odoo'!E908)</f>
        <v/>
      </c>
      <c r="F908" s="79">
        <f>IF('Ordenes_Odoo'!F908="","",'Ordenes_Odoo'!F908)</f>
        <v/>
      </c>
      <c r="G908" s="79">
        <f>IF('Ordenes_Odoo'!G908="","",'Ordenes_Odoo'!G908)</f>
        <v/>
      </c>
      <c r="H908" s="79">
        <f>IF('Ordenes_Odoo'!H908="","",'Ordenes_Odoo'!H908)</f>
        <v/>
      </c>
      <c r="I908" s="79">
        <f>IF('Ordenes_Odoo'!I908="","",'Ordenes_Odoo'!I908)</f>
        <v/>
      </c>
      <c r="J908" s="79">
        <f>IF('Ordenes_Odoo'!J908="","",'Ordenes_Odoo'!J908)</f>
        <v/>
      </c>
      <c r="K908" s="81">
        <f>IF('Ordenes_Odoo'!K908="","",'Ordenes_Odoo'!K908)</f>
        <v/>
      </c>
      <c r="L908" s="81">
        <f>IF('Ordenes_Odoo'!L908="","",'Ordenes_Odoo'!L908)</f>
        <v/>
      </c>
      <c r="M908" s="79">
        <f>IF('Ordenes_Odoo'!M908="","",'Ordenes_Odoo'!M908)</f>
        <v/>
      </c>
      <c r="N908" s="79">
        <f>IF('Ordenes_Odoo'!N908="","",'Ordenes_Odoo'!N908)</f>
        <v/>
      </c>
      <c r="O908" s="81">
        <f>IF('Ordenes_Odoo'!O908="","",'Ordenes_Odoo'!O908)</f>
        <v/>
      </c>
      <c r="P908" s="81">
        <f>IF('Ordenes_Odoo'!P908="","",'Ordenes_Odoo'!P908)</f>
        <v/>
      </c>
      <c r="Q908" s="79">
        <f>IF(A908="","",IFERROR(INDEX(Facturas_Odoo!$B:$B, MATCH(A908, Facturas_Odoo!$D:$D, 0)), "Sin Factura"))</f>
        <v/>
      </c>
      <c r="R908" s="80">
        <f>IF(Q908="Sin Factura","",IFERROR(INDEX(Facturas_Odoo!$A:$A, MATCH(Q908, Facturas_Odoo!$B:$B, 0)), ""))</f>
        <v/>
      </c>
      <c r="S908" s="79">
        <f>IF(Q908="Sin Factura","",IFERROR(_xlfn.XLOOKUP(1, (Facturas_Odoo!$D:$D=A908) * (Facturas_Odoo!$K:$K=I908), Facturas_Odoo!$L:$L, ""), ""))</f>
        <v/>
      </c>
      <c r="T908" s="81">
        <f>IF(Q908="Sin Factura",0,IFERROR(_xlfn.XLOOKUP(1, (Facturas_Odoo!$D:$D=A908) * (Facturas_Odoo!$K:$K=I908), Facturas_Odoo!$M:$M, 0), 0))</f>
        <v/>
      </c>
      <c r="U908" s="79">
        <f>IF(Q908="Sin Factura",0,IFERROR(_xlfn.XLOOKUP(1, (Facturas_Odoo!$D:$D=A908) * (Facturas_Odoo!$K:$K=I908), Facturas_Odoo!$N:$N, 0), 0))</f>
        <v/>
      </c>
      <c r="V908" s="79">
        <f>IF(Q908="Sin Factura",0,IFERROR(_xlfn.XLOOKUP(1, (Facturas_Odoo!$D:$D=A908) * (Facturas_Odoo!$K:$K=I908), Facturas_Odoo!$O:$O, 0), 0))</f>
        <v/>
      </c>
      <c r="W908" s="81">
        <f>IF(Q908="Sin Factura",0,IFERROR(_xlfn.XLOOKUP(1, (Facturas_Odoo!$D:$D=A908) * (Facturas_Odoo!$K:$K=I908), Facturas_Odoo!$Q:$Q, 0), 0))</f>
        <v/>
      </c>
      <c r="X908" s="79">
        <f>IF(OR(Q908="Sin Factura",Q908=""),"",IFERROR(INDEX(Pagos_Odoo!$B:$B, MATCH(Q908, Pagos_Odoo!$I:$I, 0)), "Sin Pago"))</f>
        <v/>
      </c>
      <c r="Y908" s="79">
        <f>IF(X908="Sin Pago","",IFERROR(INDEX(Pagos_Odoo!$C:$C, MATCH(X908, Pagos_Odoo!$B:$B, 0)), ""))</f>
        <v/>
      </c>
      <c r="Z908" s="80">
        <f>IF(X908="Sin Pago","",IFERROR(INDEX(Pagos_Odoo!$A:$A, MATCH(X908, Pagos_Odoo!$B:$B, 0)), ""))</f>
        <v/>
      </c>
      <c r="AA908" s="79">
        <f>IF(X908="Sin Pago","",IFERROR(INDEX(Pagos_Odoo!$F:$F, MATCH(X908, Pagos_Odoo!$B:$B, 0)), ""))</f>
        <v/>
      </c>
      <c r="AB908" s="81">
        <f>IF(X908="Sin Pago",0,IFERROR(INDEX(Pagos_Odoo!$E:$E, MATCH(X908, Pagos_Odoo!$B:$B, 0)), 0))</f>
        <v/>
      </c>
      <c r="AC908" s="79">
        <f>IF(X908="Sin Pago","",IFERROR(INDEX(Pagos_Odoo!$G:$G, MATCH(X908, Pagos_Odoo!$B:$B, 0)), ""))</f>
        <v/>
      </c>
      <c r="AD908" s="82" t="n">
        <v>0</v>
      </c>
      <c r="AE908" s="82" t="n"/>
      <c r="AF908" s="82" t="n"/>
      <c r="AG908" s="82">
        <f>IF(AN908="","",AD908+AE908+AF908)</f>
        <v/>
      </c>
      <c r="AH908" s="81">
        <f>IF(AN908="","",P908*(1-AG908))</f>
        <v/>
      </c>
      <c r="AI908" s="81">
        <f>IF(AN908="","",IF(Q908="Sin Factura",0,IFERROR(INDEX(Facturas_Odoo!$H:$H, MATCH(Q908, Facturas_Odoo!$B:$B, 0)), 0)*(1-AG908)))</f>
        <v/>
      </c>
      <c r="AJ908" s="81">
        <f>IF(AN908="","",_xlfn.LET(idVenta, AN908&amp;"",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08" s="81">
        <f>IF(AN908="","",AH908-AJ908)</f>
        <v/>
      </c>
      <c r="AL908" s="81">
        <f>IF(AN908="","",IF(Q908="Sin Factura","",AI908-AJ908))</f>
        <v/>
      </c>
      <c r="AM908" s="81">
        <f>IF(AN908="","",IF(Q908="Sin Factura",0,P908-IFERROR(INDEX(Facturas_Odoo!$H:$H, MATCH(Q908, Facturas_Odoo!$B:$B, 0)), 0)))</f>
        <v/>
      </c>
      <c r="AN908" s="79">
        <f>IF(AND(A908="", J908=""), "", IF(A908&lt;&gt;"", VALUE(MID(A908,2,LEN(A908))), AN907))</f>
        <v/>
      </c>
      <c r="AO908" s="79">
        <f>IF(AN908="","",IF(AD908=0,"OK",_xlfn.LET(monedaPago, IF(AA908="","USD",AA908), limitePermitido, IFERROR(VLOOKUP(monedaPago, Configuración!$A$2:$B$3, 2, FALSE), 0.15), IF(AD908&gt;limitePermitido, "ALERTA: EXCESO (" &amp; TEXT(limitePermitido, "0%") &amp; " máx)", "OK"))))</f>
        <v/>
      </c>
      <c r="AP908" s="79">
        <f>IF(AN908="","",IF(AE908=0,"OK",_xlfn.LET(fechaPago, Z908, fechaFactura, R908, diasCredito, IF(E908="Pago inmediato", 0, IFERROR(VALUE(MID(E908, 1, SEARCH(" ", E908)-1)),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08" s="79">
        <f>IF(AN908="","",IF(AND(N908&gt;0, AG908&gt;0), IF(Configuración!$K$2="NO", "ALERTA: DESCUENTO DOBLE NO PERMITIDO", "OK"), "OK"))</f>
        <v/>
      </c>
      <c r="AR908" s="79">
        <f>IF(AN908="","",IF(OR(AO908&lt;&gt;"OK", AP908&lt;&gt;"OK", AQ908&lt;&gt;"OK"), "⚠️ REVISAR", "OK"))</f>
        <v/>
      </c>
    </row>
    <row r="909">
      <c r="A909" s="79">
        <f>IF('Ordenes_Odoo'!A909="","",'Ordenes_Odoo'!A909)</f>
        <v/>
      </c>
      <c r="B909" s="80">
        <f>IF('Ordenes_Odoo'!B909="","",'Ordenes_Odoo'!B909)</f>
        <v/>
      </c>
      <c r="C909" s="79">
        <f>IF('Ordenes_Odoo'!C909="","",'Ordenes_Odoo'!C909)</f>
        <v/>
      </c>
      <c r="D909" s="79">
        <f>IF('Ordenes_Odoo'!D909="","",'Ordenes_Odoo'!D909)</f>
        <v/>
      </c>
      <c r="E909" s="79">
        <f>IF('Ordenes_Odoo'!E909="","",'Ordenes_Odoo'!E909)</f>
        <v/>
      </c>
      <c r="F909" s="79">
        <f>IF('Ordenes_Odoo'!F909="","",'Ordenes_Odoo'!F909)</f>
        <v/>
      </c>
      <c r="G909" s="79">
        <f>IF('Ordenes_Odoo'!G909="","",'Ordenes_Odoo'!G909)</f>
        <v/>
      </c>
      <c r="H909" s="79">
        <f>IF('Ordenes_Odoo'!H909="","",'Ordenes_Odoo'!H909)</f>
        <v/>
      </c>
      <c r="I909" s="79">
        <f>IF('Ordenes_Odoo'!I909="","",'Ordenes_Odoo'!I909)</f>
        <v/>
      </c>
      <c r="J909" s="79">
        <f>IF('Ordenes_Odoo'!J909="","",'Ordenes_Odoo'!J909)</f>
        <v/>
      </c>
      <c r="K909" s="81">
        <f>IF('Ordenes_Odoo'!K909="","",'Ordenes_Odoo'!K909)</f>
        <v/>
      </c>
      <c r="L909" s="81">
        <f>IF('Ordenes_Odoo'!L909="","",'Ordenes_Odoo'!L909)</f>
        <v/>
      </c>
      <c r="M909" s="79">
        <f>IF('Ordenes_Odoo'!M909="","",'Ordenes_Odoo'!M909)</f>
        <v/>
      </c>
      <c r="N909" s="79">
        <f>IF('Ordenes_Odoo'!N909="","",'Ordenes_Odoo'!N909)</f>
        <v/>
      </c>
      <c r="O909" s="81">
        <f>IF('Ordenes_Odoo'!O909="","",'Ordenes_Odoo'!O909)</f>
        <v/>
      </c>
      <c r="P909" s="81">
        <f>IF('Ordenes_Odoo'!P909="","",'Ordenes_Odoo'!P909)</f>
        <v/>
      </c>
      <c r="Q909" s="79">
        <f>IF(A909="","",IFERROR(INDEX(Facturas_Odoo!$B:$B, MATCH(A909, Facturas_Odoo!$D:$D, 0)), "Sin Factura"))</f>
        <v/>
      </c>
      <c r="R909" s="80">
        <f>IF(Q909="Sin Factura","",IFERROR(INDEX(Facturas_Odoo!$A:$A, MATCH(Q909, Facturas_Odoo!$B:$B, 0)), ""))</f>
        <v/>
      </c>
      <c r="S909" s="79">
        <f>IF(Q909="Sin Factura","",IFERROR(_xlfn.XLOOKUP(1, (Facturas_Odoo!$D:$D=A909) * (Facturas_Odoo!$K:$K=I909), Facturas_Odoo!$L:$L, ""), ""))</f>
        <v/>
      </c>
      <c r="T909" s="81">
        <f>IF(Q909="Sin Factura",0,IFERROR(_xlfn.XLOOKUP(1, (Facturas_Odoo!$D:$D=A909) * (Facturas_Odoo!$K:$K=I909), Facturas_Odoo!$M:$M, 0), 0))</f>
        <v/>
      </c>
      <c r="U909" s="79">
        <f>IF(Q909="Sin Factura",0,IFERROR(_xlfn.XLOOKUP(1, (Facturas_Odoo!$D:$D=A909) * (Facturas_Odoo!$K:$K=I909), Facturas_Odoo!$N:$N, 0), 0))</f>
        <v/>
      </c>
      <c r="V909" s="79">
        <f>IF(Q909="Sin Factura",0,IFERROR(_xlfn.XLOOKUP(1, (Facturas_Odoo!$D:$D=A909) * (Facturas_Odoo!$K:$K=I909), Facturas_Odoo!$O:$O, 0), 0))</f>
        <v/>
      </c>
      <c r="W909" s="81">
        <f>IF(Q909="Sin Factura",0,IFERROR(_xlfn.XLOOKUP(1, (Facturas_Odoo!$D:$D=A909) * (Facturas_Odoo!$K:$K=I909), Facturas_Odoo!$Q:$Q, 0), 0))</f>
        <v/>
      </c>
      <c r="X909" s="79">
        <f>IF(OR(Q909="Sin Factura",Q909=""),"",IFERROR(INDEX(Pagos_Odoo!$B:$B, MATCH(Q909, Pagos_Odoo!$I:$I, 0)), "Sin Pago"))</f>
        <v/>
      </c>
      <c r="Y909" s="79">
        <f>IF(X909="Sin Pago","",IFERROR(INDEX(Pagos_Odoo!$C:$C, MATCH(X909, Pagos_Odoo!$B:$B, 0)), ""))</f>
        <v/>
      </c>
      <c r="Z909" s="80">
        <f>IF(X909="Sin Pago","",IFERROR(INDEX(Pagos_Odoo!$A:$A, MATCH(X909, Pagos_Odoo!$B:$B, 0)), ""))</f>
        <v/>
      </c>
      <c r="AA909" s="79">
        <f>IF(X909="Sin Pago","",IFERROR(INDEX(Pagos_Odoo!$F:$F, MATCH(X909, Pagos_Odoo!$B:$B, 0)), ""))</f>
        <v/>
      </c>
      <c r="AB909" s="81">
        <f>IF(X909="Sin Pago",0,IFERROR(INDEX(Pagos_Odoo!$E:$E, MATCH(X909, Pagos_Odoo!$B:$B, 0)), 0))</f>
        <v/>
      </c>
      <c r="AC909" s="79">
        <f>IF(X909="Sin Pago","",IFERROR(INDEX(Pagos_Odoo!$G:$G, MATCH(X909, Pagos_Odoo!$B:$B, 0)), ""))</f>
        <v/>
      </c>
      <c r="AD909" s="82" t="n">
        <v>0</v>
      </c>
      <c r="AE909" s="82" t="n"/>
      <c r="AF909" s="82" t="n"/>
      <c r="AG909" s="82">
        <f>IF(AN909="","",AD909+AE909+AF909)</f>
        <v/>
      </c>
      <c r="AH909" s="81">
        <f>IF(AN909="","",P909*(1-AG909))</f>
        <v/>
      </c>
      <c r="AI909" s="81">
        <f>IF(AN909="","",IF(Q909="Sin Factura",0,IFERROR(INDEX(Facturas_Odoo!$H:$H, MATCH(Q909, Facturas_Odoo!$B:$B, 0)), 0)*(1-AG909)))</f>
        <v/>
      </c>
      <c r="AJ909" s="81">
        <f>IF(AN909="","",_xlfn.LET(idVenta, AN909&amp;"",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09" s="81">
        <f>IF(AN909="","",AH909-AJ909)</f>
        <v/>
      </c>
      <c r="AL909" s="81">
        <f>IF(AN909="","",IF(Q909="Sin Factura","",AI909-AJ909))</f>
        <v/>
      </c>
      <c r="AM909" s="81">
        <f>IF(AN909="","",IF(Q909="Sin Factura",0,P909-IFERROR(INDEX(Facturas_Odoo!$H:$H, MATCH(Q909, Facturas_Odoo!$B:$B, 0)), 0)))</f>
        <v/>
      </c>
      <c r="AN909" s="79">
        <f>IF(AND(A909="", J909=""), "", IF(A909&lt;&gt;"", VALUE(MID(A909,2,LEN(A909))), AN908))</f>
        <v/>
      </c>
      <c r="AO909" s="79">
        <f>IF(AN909="","",IF(AD909=0,"OK",_xlfn.LET(monedaPago, IF(AA909="","USD",AA909), limitePermitido, IFERROR(VLOOKUP(monedaPago, Configuración!$A$2:$B$3, 2, FALSE), 0.15), IF(AD909&gt;limitePermitido, "ALERTA: EXCESO (" &amp; TEXT(limitePermitido, "0%") &amp; " máx)", "OK"))))</f>
        <v/>
      </c>
      <c r="AP909" s="79">
        <f>IF(AN909="","",IF(AE909=0,"OK",_xlfn.LET(fechaPago, Z909, fechaFactura, R909, diasCredito, IF(E909="Pago inmediato", 0, IFERROR(VALUE(MID(E909, 1, SEARCH(" ", E909)-1)),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09" s="79">
        <f>IF(AN909="","",IF(AND(N909&gt;0, AG909&gt;0), IF(Configuración!$K$2="NO", "ALERTA: DESCUENTO DOBLE NO PERMITIDO", "OK"), "OK"))</f>
        <v/>
      </c>
      <c r="AR909" s="79">
        <f>IF(AN909="","",IF(OR(AO909&lt;&gt;"OK", AP909&lt;&gt;"OK", AQ909&lt;&gt;"OK"), "⚠️ REVISAR", "OK"))</f>
        <v/>
      </c>
    </row>
    <row r="910">
      <c r="A910" s="79">
        <f>IF('Ordenes_Odoo'!A910="","",'Ordenes_Odoo'!A910)</f>
        <v/>
      </c>
      <c r="B910" s="80">
        <f>IF('Ordenes_Odoo'!B910="","",'Ordenes_Odoo'!B910)</f>
        <v/>
      </c>
      <c r="C910" s="79">
        <f>IF('Ordenes_Odoo'!C910="","",'Ordenes_Odoo'!C910)</f>
        <v/>
      </c>
      <c r="D910" s="79">
        <f>IF('Ordenes_Odoo'!D910="","",'Ordenes_Odoo'!D910)</f>
        <v/>
      </c>
      <c r="E910" s="79">
        <f>IF('Ordenes_Odoo'!E910="","",'Ordenes_Odoo'!E910)</f>
        <v/>
      </c>
      <c r="F910" s="79">
        <f>IF('Ordenes_Odoo'!F910="","",'Ordenes_Odoo'!F910)</f>
        <v/>
      </c>
      <c r="G910" s="79">
        <f>IF('Ordenes_Odoo'!G910="","",'Ordenes_Odoo'!G910)</f>
        <v/>
      </c>
      <c r="H910" s="79">
        <f>IF('Ordenes_Odoo'!H910="","",'Ordenes_Odoo'!H910)</f>
        <v/>
      </c>
      <c r="I910" s="79">
        <f>IF('Ordenes_Odoo'!I910="","",'Ordenes_Odoo'!I910)</f>
        <v/>
      </c>
      <c r="J910" s="79">
        <f>IF('Ordenes_Odoo'!J910="","",'Ordenes_Odoo'!J910)</f>
        <v/>
      </c>
      <c r="K910" s="81">
        <f>IF('Ordenes_Odoo'!K910="","",'Ordenes_Odoo'!K910)</f>
        <v/>
      </c>
      <c r="L910" s="81">
        <f>IF('Ordenes_Odoo'!L910="","",'Ordenes_Odoo'!L910)</f>
        <v/>
      </c>
      <c r="M910" s="79">
        <f>IF('Ordenes_Odoo'!M910="","",'Ordenes_Odoo'!M910)</f>
        <v/>
      </c>
      <c r="N910" s="79">
        <f>IF('Ordenes_Odoo'!N910="","",'Ordenes_Odoo'!N910)</f>
        <v/>
      </c>
      <c r="O910" s="81">
        <f>IF('Ordenes_Odoo'!O910="","",'Ordenes_Odoo'!O910)</f>
        <v/>
      </c>
      <c r="P910" s="81">
        <f>IF('Ordenes_Odoo'!P910="","",'Ordenes_Odoo'!P910)</f>
        <v/>
      </c>
      <c r="Q910" s="79">
        <f>IF(A910="","",IFERROR(INDEX(Facturas_Odoo!$B:$B, MATCH(A910, Facturas_Odoo!$D:$D, 0)), "Sin Factura"))</f>
        <v/>
      </c>
      <c r="R910" s="80">
        <f>IF(Q910="Sin Factura","",IFERROR(INDEX(Facturas_Odoo!$A:$A, MATCH(Q910, Facturas_Odoo!$B:$B, 0)), ""))</f>
        <v/>
      </c>
      <c r="S910" s="79">
        <f>IF(Q910="Sin Factura","",IFERROR(_xlfn.XLOOKUP(1, (Facturas_Odoo!$D:$D=A910) * (Facturas_Odoo!$K:$K=I910), Facturas_Odoo!$L:$L, ""), ""))</f>
        <v/>
      </c>
      <c r="T910" s="81">
        <f>IF(Q910="Sin Factura",0,IFERROR(_xlfn.XLOOKUP(1, (Facturas_Odoo!$D:$D=A910) * (Facturas_Odoo!$K:$K=I910), Facturas_Odoo!$M:$M, 0), 0))</f>
        <v/>
      </c>
      <c r="U910" s="79">
        <f>IF(Q910="Sin Factura",0,IFERROR(_xlfn.XLOOKUP(1, (Facturas_Odoo!$D:$D=A910) * (Facturas_Odoo!$K:$K=I910), Facturas_Odoo!$N:$N, 0), 0))</f>
        <v/>
      </c>
      <c r="V910" s="79">
        <f>IF(Q910="Sin Factura",0,IFERROR(_xlfn.XLOOKUP(1, (Facturas_Odoo!$D:$D=A910) * (Facturas_Odoo!$K:$K=I910), Facturas_Odoo!$O:$O, 0), 0))</f>
        <v/>
      </c>
      <c r="W910" s="81">
        <f>IF(Q910="Sin Factura",0,IFERROR(_xlfn.XLOOKUP(1, (Facturas_Odoo!$D:$D=A910) * (Facturas_Odoo!$K:$K=I910), Facturas_Odoo!$Q:$Q, 0), 0))</f>
        <v/>
      </c>
      <c r="X910" s="79">
        <f>IF(OR(Q910="Sin Factura",Q910=""),"",IFERROR(INDEX(Pagos_Odoo!$B:$B, MATCH(Q910, Pagos_Odoo!$I:$I, 0)), "Sin Pago"))</f>
        <v/>
      </c>
      <c r="Y910" s="79">
        <f>IF(X910="Sin Pago","",IFERROR(INDEX(Pagos_Odoo!$C:$C, MATCH(X910, Pagos_Odoo!$B:$B, 0)), ""))</f>
        <v/>
      </c>
      <c r="Z910" s="80">
        <f>IF(X910="Sin Pago","",IFERROR(INDEX(Pagos_Odoo!$A:$A, MATCH(X910, Pagos_Odoo!$B:$B, 0)), ""))</f>
        <v/>
      </c>
      <c r="AA910" s="79">
        <f>IF(X910="Sin Pago","",IFERROR(INDEX(Pagos_Odoo!$F:$F, MATCH(X910, Pagos_Odoo!$B:$B, 0)), ""))</f>
        <v/>
      </c>
      <c r="AB910" s="81">
        <f>IF(X910="Sin Pago",0,IFERROR(INDEX(Pagos_Odoo!$E:$E, MATCH(X910, Pagos_Odoo!$B:$B, 0)), 0))</f>
        <v/>
      </c>
      <c r="AC910" s="79">
        <f>IF(X910="Sin Pago","",IFERROR(INDEX(Pagos_Odoo!$G:$G, MATCH(X910, Pagos_Odoo!$B:$B, 0)), ""))</f>
        <v/>
      </c>
      <c r="AD910" s="82" t="n">
        <v>0</v>
      </c>
      <c r="AE910" s="82" t="n"/>
      <c r="AF910" s="82" t="n"/>
      <c r="AG910" s="82">
        <f>IF(AN910="","",AD910+AE910+AF910)</f>
        <v/>
      </c>
      <c r="AH910" s="81">
        <f>IF(AN910="","",P910*(1-AG910))</f>
        <v/>
      </c>
      <c r="AI910" s="81">
        <f>IF(AN910="","",IF(Q910="Sin Factura",0,IFERROR(INDEX(Facturas_Odoo!$H:$H, MATCH(Q910, Facturas_Odoo!$B:$B, 0)), 0)*(1-AG910)))</f>
        <v/>
      </c>
      <c r="AJ910" s="81">
        <f>IF(AN910="","",_xlfn.LET(idVenta, AN910&amp;"",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10" s="81">
        <f>IF(AN910="","",AH910-AJ910)</f>
        <v/>
      </c>
      <c r="AL910" s="81">
        <f>IF(AN910="","",IF(Q910="Sin Factura","",AI910-AJ910))</f>
        <v/>
      </c>
      <c r="AM910" s="81">
        <f>IF(AN910="","",IF(Q910="Sin Factura",0,P910-IFERROR(INDEX(Facturas_Odoo!$H:$H, MATCH(Q910, Facturas_Odoo!$B:$B, 0)), 0)))</f>
        <v/>
      </c>
      <c r="AN910" s="79">
        <f>IF(AND(A910="", J910=""), "", IF(A910&lt;&gt;"", VALUE(MID(A910,2,LEN(A910))), AN909))</f>
        <v/>
      </c>
      <c r="AO910" s="79">
        <f>IF(AN910="","",IF(AD910=0,"OK",_xlfn.LET(monedaPago, IF(AA910="","USD",AA910), limitePermitido, IFERROR(VLOOKUP(monedaPago, Configuración!$A$2:$B$3, 2, FALSE), 0.15), IF(AD910&gt;limitePermitido, "ALERTA: EXCESO (" &amp; TEXT(limitePermitido, "0%") &amp; " máx)", "OK"))))</f>
        <v/>
      </c>
      <c r="AP910" s="79">
        <f>IF(AN910="","",IF(AE910=0,"OK",_xlfn.LET(fechaPago, Z910, fechaFactura, R910, diasCredito, IF(E910="Pago inmediato", 0, IFERROR(VALUE(MID(E910, 1, SEARCH(" ", E910)-1)),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10" s="79">
        <f>IF(AN910="","",IF(AND(N910&gt;0, AG910&gt;0), IF(Configuración!$K$2="NO", "ALERTA: DESCUENTO DOBLE NO PERMITIDO", "OK"), "OK"))</f>
        <v/>
      </c>
      <c r="AR910" s="79">
        <f>IF(AN910="","",IF(OR(AO910&lt;&gt;"OK", AP910&lt;&gt;"OK", AQ910&lt;&gt;"OK"), "⚠️ REVISAR", "OK"))</f>
        <v/>
      </c>
    </row>
    <row r="911">
      <c r="A911" s="79">
        <f>IF('Ordenes_Odoo'!A911="","",'Ordenes_Odoo'!A911)</f>
        <v/>
      </c>
      <c r="B911" s="80">
        <f>IF('Ordenes_Odoo'!B911="","",'Ordenes_Odoo'!B911)</f>
        <v/>
      </c>
      <c r="C911" s="79">
        <f>IF('Ordenes_Odoo'!C911="","",'Ordenes_Odoo'!C911)</f>
        <v/>
      </c>
      <c r="D911" s="79">
        <f>IF('Ordenes_Odoo'!D911="","",'Ordenes_Odoo'!D911)</f>
        <v/>
      </c>
      <c r="E911" s="79">
        <f>IF('Ordenes_Odoo'!E911="","",'Ordenes_Odoo'!E911)</f>
        <v/>
      </c>
      <c r="F911" s="79">
        <f>IF('Ordenes_Odoo'!F911="","",'Ordenes_Odoo'!F911)</f>
        <v/>
      </c>
      <c r="G911" s="79">
        <f>IF('Ordenes_Odoo'!G911="","",'Ordenes_Odoo'!G911)</f>
        <v/>
      </c>
      <c r="H911" s="79">
        <f>IF('Ordenes_Odoo'!H911="","",'Ordenes_Odoo'!H911)</f>
        <v/>
      </c>
      <c r="I911" s="79">
        <f>IF('Ordenes_Odoo'!I911="","",'Ordenes_Odoo'!I911)</f>
        <v/>
      </c>
      <c r="J911" s="79">
        <f>IF('Ordenes_Odoo'!J911="","",'Ordenes_Odoo'!J911)</f>
        <v/>
      </c>
      <c r="K911" s="81">
        <f>IF('Ordenes_Odoo'!K911="","",'Ordenes_Odoo'!K911)</f>
        <v/>
      </c>
      <c r="L911" s="81">
        <f>IF('Ordenes_Odoo'!L911="","",'Ordenes_Odoo'!L911)</f>
        <v/>
      </c>
      <c r="M911" s="79">
        <f>IF('Ordenes_Odoo'!M911="","",'Ordenes_Odoo'!M911)</f>
        <v/>
      </c>
      <c r="N911" s="79">
        <f>IF('Ordenes_Odoo'!N911="","",'Ordenes_Odoo'!N911)</f>
        <v/>
      </c>
      <c r="O911" s="81">
        <f>IF('Ordenes_Odoo'!O911="","",'Ordenes_Odoo'!O911)</f>
        <v/>
      </c>
      <c r="P911" s="81">
        <f>IF('Ordenes_Odoo'!P911="","",'Ordenes_Odoo'!P911)</f>
        <v/>
      </c>
      <c r="Q911" s="79">
        <f>IF(A911="","",IFERROR(INDEX(Facturas_Odoo!$B:$B, MATCH(A911, Facturas_Odoo!$D:$D, 0)), "Sin Factura"))</f>
        <v/>
      </c>
      <c r="R911" s="80">
        <f>IF(Q911="Sin Factura","",IFERROR(INDEX(Facturas_Odoo!$A:$A, MATCH(Q911, Facturas_Odoo!$B:$B, 0)), ""))</f>
        <v/>
      </c>
      <c r="S911" s="79">
        <f>IF(Q911="Sin Factura","",IFERROR(_xlfn.XLOOKUP(1, (Facturas_Odoo!$D:$D=A911) * (Facturas_Odoo!$K:$K=I911), Facturas_Odoo!$L:$L, ""), ""))</f>
        <v/>
      </c>
      <c r="T911" s="81">
        <f>IF(Q911="Sin Factura",0,IFERROR(_xlfn.XLOOKUP(1, (Facturas_Odoo!$D:$D=A911) * (Facturas_Odoo!$K:$K=I911), Facturas_Odoo!$M:$M, 0), 0))</f>
        <v/>
      </c>
      <c r="U911" s="79">
        <f>IF(Q911="Sin Factura",0,IFERROR(_xlfn.XLOOKUP(1, (Facturas_Odoo!$D:$D=A911) * (Facturas_Odoo!$K:$K=I911), Facturas_Odoo!$N:$N, 0), 0))</f>
        <v/>
      </c>
      <c r="V911" s="79">
        <f>IF(Q911="Sin Factura",0,IFERROR(_xlfn.XLOOKUP(1, (Facturas_Odoo!$D:$D=A911) * (Facturas_Odoo!$K:$K=I911), Facturas_Odoo!$O:$O, 0), 0))</f>
        <v/>
      </c>
      <c r="W911" s="81">
        <f>IF(Q911="Sin Factura",0,IFERROR(_xlfn.XLOOKUP(1, (Facturas_Odoo!$D:$D=A911) * (Facturas_Odoo!$K:$K=I911), Facturas_Odoo!$Q:$Q, 0), 0))</f>
        <v/>
      </c>
      <c r="X911" s="79">
        <f>IF(OR(Q911="Sin Factura",Q911=""),"",IFERROR(INDEX(Pagos_Odoo!$B:$B, MATCH(Q911, Pagos_Odoo!$I:$I, 0)), "Sin Pago"))</f>
        <v/>
      </c>
      <c r="Y911" s="79">
        <f>IF(X911="Sin Pago","",IFERROR(INDEX(Pagos_Odoo!$C:$C, MATCH(X911, Pagos_Odoo!$B:$B, 0)), ""))</f>
        <v/>
      </c>
      <c r="Z911" s="80">
        <f>IF(X911="Sin Pago","",IFERROR(INDEX(Pagos_Odoo!$A:$A, MATCH(X911, Pagos_Odoo!$B:$B, 0)), ""))</f>
        <v/>
      </c>
      <c r="AA911" s="79">
        <f>IF(X911="Sin Pago","",IFERROR(INDEX(Pagos_Odoo!$F:$F, MATCH(X911, Pagos_Odoo!$B:$B, 0)), ""))</f>
        <v/>
      </c>
      <c r="AB911" s="81">
        <f>IF(X911="Sin Pago",0,IFERROR(INDEX(Pagos_Odoo!$E:$E, MATCH(X911, Pagos_Odoo!$B:$B, 0)), 0))</f>
        <v/>
      </c>
      <c r="AC911" s="79">
        <f>IF(X911="Sin Pago","",IFERROR(INDEX(Pagos_Odoo!$G:$G, MATCH(X911, Pagos_Odoo!$B:$B, 0)), ""))</f>
        <v/>
      </c>
      <c r="AD911" s="82" t="n">
        <v>0</v>
      </c>
      <c r="AE911" s="82" t="n"/>
      <c r="AF911" s="82" t="n"/>
      <c r="AG911" s="82">
        <f>IF(AN911="","",AD911+AE911+AF911)</f>
        <v/>
      </c>
      <c r="AH911" s="81">
        <f>IF(AN911="","",P911*(1-AG911))</f>
        <v/>
      </c>
      <c r="AI911" s="81">
        <f>IF(AN911="","",IF(Q911="Sin Factura",0,IFERROR(INDEX(Facturas_Odoo!$H:$H, MATCH(Q911, Facturas_Odoo!$B:$B, 0)), 0)*(1-AG911)))</f>
        <v/>
      </c>
      <c r="AJ911" s="81">
        <f>IF(AN911="","",_xlfn.LET(idVenta, AN911&amp;"",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11" s="81">
        <f>IF(AN911="","",AH911-AJ911)</f>
        <v/>
      </c>
      <c r="AL911" s="81">
        <f>IF(AN911="","",IF(Q911="Sin Factura","",AI911-AJ911))</f>
        <v/>
      </c>
      <c r="AM911" s="81">
        <f>IF(AN911="","",IF(Q911="Sin Factura",0,P911-IFERROR(INDEX(Facturas_Odoo!$H:$H, MATCH(Q911, Facturas_Odoo!$B:$B, 0)), 0)))</f>
        <v/>
      </c>
      <c r="AN911" s="79">
        <f>IF(AND(A911="", J911=""), "", IF(A911&lt;&gt;"", VALUE(MID(A911,2,LEN(A911))), AN910))</f>
        <v/>
      </c>
      <c r="AO911" s="79">
        <f>IF(AN911="","",IF(AD911=0,"OK",_xlfn.LET(monedaPago, IF(AA911="","USD",AA911), limitePermitido, IFERROR(VLOOKUP(monedaPago, Configuración!$A$2:$B$3, 2, FALSE), 0.15), IF(AD911&gt;limitePermitido, "ALERTA: EXCESO (" &amp; TEXT(limitePermitido, "0%") &amp; " máx)", "OK"))))</f>
        <v/>
      </c>
      <c r="AP911" s="79">
        <f>IF(AN911="","",IF(AE911=0,"OK",_xlfn.LET(fechaPago, Z911, fechaFactura, R911, diasCredito, IF(E911="Pago inmediato", 0, IFERROR(VALUE(MID(E911, 1, SEARCH(" ", E911)-1)),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11" s="79">
        <f>IF(AN911="","",IF(AND(N911&gt;0, AG911&gt;0), IF(Configuración!$K$2="NO", "ALERTA: DESCUENTO DOBLE NO PERMITIDO", "OK"), "OK"))</f>
        <v/>
      </c>
      <c r="AR911" s="79">
        <f>IF(AN911="","",IF(OR(AO911&lt;&gt;"OK", AP911&lt;&gt;"OK", AQ911&lt;&gt;"OK"), "⚠️ REVISAR", "OK"))</f>
        <v/>
      </c>
    </row>
    <row r="912">
      <c r="A912" s="79">
        <f>IF('Ordenes_Odoo'!A912="","",'Ordenes_Odoo'!A912)</f>
        <v/>
      </c>
      <c r="B912" s="80">
        <f>IF('Ordenes_Odoo'!B912="","",'Ordenes_Odoo'!B912)</f>
        <v/>
      </c>
      <c r="C912" s="79">
        <f>IF('Ordenes_Odoo'!C912="","",'Ordenes_Odoo'!C912)</f>
        <v/>
      </c>
      <c r="D912" s="79">
        <f>IF('Ordenes_Odoo'!D912="","",'Ordenes_Odoo'!D912)</f>
        <v/>
      </c>
      <c r="E912" s="79">
        <f>IF('Ordenes_Odoo'!E912="","",'Ordenes_Odoo'!E912)</f>
        <v/>
      </c>
      <c r="F912" s="79">
        <f>IF('Ordenes_Odoo'!F912="","",'Ordenes_Odoo'!F912)</f>
        <v/>
      </c>
      <c r="G912" s="79">
        <f>IF('Ordenes_Odoo'!G912="","",'Ordenes_Odoo'!G912)</f>
        <v/>
      </c>
      <c r="H912" s="79">
        <f>IF('Ordenes_Odoo'!H912="","",'Ordenes_Odoo'!H912)</f>
        <v/>
      </c>
      <c r="I912" s="79">
        <f>IF('Ordenes_Odoo'!I912="","",'Ordenes_Odoo'!I912)</f>
        <v/>
      </c>
      <c r="J912" s="79">
        <f>IF('Ordenes_Odoo'!J912="","",'Ordenes_Odoo'!J912)</f>
        <v/>
      </c>
      <c r="K912" s="81">
        <f>IF('Ordenes_Odoo'!K912="","",'Ordenes_Odoo'!K912)</f>
        <v/>
      </c>
      <c r="L912" s="81">
        <f>IF('Ordenes_Odoo'!L912="","",'Ordenes_Odoo'!L912)</f>
        <v/>
      </c>
      <c r="M912" s="79">
        <f>IF('Ordenes_Odoo'!M912="","",'Ordenes_Odoo'!M912)</f>
        <v/>
      </c>
      <c r="N912" s="79">
        <f>IF('Ordenes_Odoo'!N912="","",'Ordenes_Odoo'!N912)</f>
        <v/>
      </c>
      <c r="O912" s="81">
        <f>IF('Ordenes_Odoo'!O912="","",'Ordenes_Odoo'!O912)</f>
        <v/>
      </c>
      <c r="P912" s="81">
        <f>IF('Ordenes_Odoo'!P912="","",'Ordenes_Odoo'!P912)</f>
        <v/>
      </c>
      <c r="Q912" s="79">
        <f>IF(A912="","",IFERROR(INDEX(Facturas_Odoo!$B:$B, MATCH(A912, Facturas_Odoo!$D:$D, 0)), "Sin Factura"))</f>
        <v/>
      </c>
      <c r="R912" s="80">
        <f>IF(Q912="Sin Factura","",IFERROR(INDEX(Facturas_Odoo!$A:$A, MATCH(Q912, Facturas_Odoo!$B:$B, 0)), ""))</f>
        <v/>
      </c>
      <c r="S912" s="79">
        <f>IF(Q912="Sin Factura","",IFERROR(_xlfn.XLOOKUP(1, (Facturas_Odoo!$D:$D=A912) * (Facturas_Odoo!$K:$K=I912), Facturas_Odoo!$L:$L, ""), ""))</f>
        <v/>
      </c>
      <c r="T912" s="81">
        <f>IF(Q912="Sin Factura",0,IFERROR(_xlfn.XLOOKUP(1, (Facturas_Odoo!$D:$D=A912) * (Facturas_Odoo!$K:$K=I912), Facturas_Odoo!$M:$M, 0), 0))</f>
        <v/>
      </c>
      <c r="U912" s="79">
        <f>IF(Q912="Sin Factura",0,IFERROR(_xlfn.XLOOKUP(1, (Facturas_Odoo!$D:$D=A912) * (Facturas_Odoo!$K:$K=I912), Facturas_Odoo!$N:$N, 0), 0))</f>
        <v/>
      </c>
      <c r="V912" s="79">
        <f>IF(Q912="Sin Factura",0,IFERROR(_xlfn.XLOOKUP(1, (Facturas_Odoo!$D:$D=A912) * (Facturas_Odoo!$K:$K=I912), Facturas_Odoo!$O:$O, 0), 0))</f>
        <v/>
      </c>
      <c r="W912" s="81">
        <f>IF(Q912="Sin Factura",0,IFERROR(_xlfn.XLOOKUP(1, (Facturas_Odoo!$D:$D=A912) * (Facturas_Odoo!$K:$K=I912), Facturas_Odoo!$Q:$Q, 0), 0))</f>
        <v/>
      </c>
      <c r="X912" s="79">
        <f>IF(OR(Q912="Sin Factura",Q912=""),"",IFERROR(INDEX(Pagos_Odoo!$B:$B, MATCH(Q912, Pagos_Odoo!$I:$I, 0)), "Sin Pago"))</f>
        <v/>
      </c>
      <c r="Y912" s="79">
        <f>IF(X912="Sin Pago","",IFERROR(INDEX(Pagos_Odoo!$C:$C, MATCH(X912, Pagos_Odoo!$B:$B, 0)), ""))</f>
        <v/>
      </c>
      <c r="Z912" s="80">
        <f>IF(X912="Sin Pago","",IFERROR(INDEX(Pagos_Odoo!$A:$A, MATCH(X912, Pagos_Odoo!$B:$B, 0)), ""))</f>
        <v/>
      </c>
      <c r="AA912" s="79">
        <f>IF(X912="Sin Pago","",IFERROR(INDEX(Pagos_Odoo!$F:$F, MATCH(X912, Pagos_Odoo!$B:$B, 0)), ""))</f>
        <v/>
      </c>
      <c r="AB912" s="81">
        <f>IF(X912="Sin Pago",0,IFERROR(INDEX(Pagos_Odoo!$E:$E, MATCH(X912, Pagos_Odoo!$B:$B, 0)), 0))</f>
        <v/>
      </c>
      <c r="AC912" s="79">
        <f>IF(X912="Sin Pago","",IFERROR(INDEX(Pagos_Odoo!$G:$G, MATCH(X912, Pagos_Odoo!$B:$B, 0)), ""))</f>
        <v/>
      </c>
      <c r="AD912" s="82" t="n">
        <v>0</v>
      </c>
      <c r="AE912" s="82" t="n"/>
      <c r="AF912" s="82" t="n"/>
      <c r="AG912" s="82">
        <f>IF(AN912="","",AD912+AE912+AF912)</f>
        <v/>
      </c>
      <c r="AH912" s="81">
        <f>IF(AN912="","",P912*(1-AG912))</f>
        <v/>
      </c>
      <c r="AI912" s="81">
        <f>IF(AN912="","",IF(Q912="Sin Factura",0,IFERROR(INDEX(Facturas_Odoo!$H:$H, MATCH(Q912, Facturas_Odoo!$B:$B, 0)), 0)*(1-AG912)))</f>
        <v/>
      </c>
      <c r="AJ912" s="81">
        <f>IF(AN912="","",_xlfn.LET(idVenta, AN912&amp;"",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12" s="81">
        <f>IF(AN912="","",AH912-AJ912)</f>
        <v/>
      </c>
      <c r="AL912" s="81">
        <f>IF(AN912="","",IF(Q912="Sin Factura","",AI912-AJ912))</f>
        <v/>
      </c>
      <c r="AM912" s="81">
        <f>IF(AN912="","",IF(Q912="Sin Factura",0,P912-IFERROR(INDEX(Facturas_Odoo!$H:$H, MATCH(Q912, Facturas_Odoo!$B:$B, 0)), 0)))</f>
        <v/>
      </c>
      <c r="AN912" s="79">
        <f>IF(AND(A912="", J912=""), "", IF(A912&lt;&gt;"", VALUE(MID(A912,2,LEN(A912))), AN911))</f>
        <v/>
      </c>
      <c r="AO912" s="79">
        <f>IF(AN912="","",IF(AD912=0,"OK",_xlfn.LET(monedaPago, IF(AA912="","USD",AA912), limitePermitido, IFERROR(VLOOKUP(monedaPago, Configuración!$A$2:$B$3, 2, FALSE), 0.15), IF(AD912&gt;limitePermitido, "ALERTA: EXCESO (" &amp; TEXT(limitePermitido, "0%") &amp; " máx)", "OK"))))</f>
        <v/>
      </c>
      <c r="AP912" s="79">
        <f>IF(AN912="","",IF(AE912=0,"OK",_xlfn.LET(fechaPago, Z912, fechaFactura, R912, diasCredito, IF(E912="Pago inmediato", 0, IFERROR(VALUE(MID(E912, 1, SEARCH(" ", E912)-1)),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12" s="79">
        <f>IF(AN912="","",IF(AND(N912&gt;0, AG912&gt;0), IF(Configuración!$K$2="NO", "ALERTA: DESCUENTO DOBLE NO PERMITIDO", "OK"), "OK"))</f>
        <v/>
      </c>
      <c r="AR912" s="79">
        <f>IF(AN912="","",IF(OR(AO912&lt;&gt;"OK", AP912&lt;&gt;"OK", AQ912&lt;&gt;"OK"), "⚠️ REVISAR", "OK"))</f>
        <v/>
      </c>
    </row>
    <row r="913">
      <c r="A913" s="79">
        <f>IF('Ordenes_Odoo'!A913="","",'Ordenes_Odoo'!A913)</f>
        <v/>
      </c>
      <c r="B913" s="80">
        <f>IF('Ordenes_Odoo'!B913="","",'Ordenes_Odoo'!B913)</f>
        <v/>
      </c>
      <c r="C913" s="79">
        <f>IF('Ordenes_Odoo'!C913="","",'Ordenes_Odoo'!C913)</f>
        <v/>
      </c>
      <c r="D913" s="79">
        <f>IF('Ordenes_Odoo'!D913="","",'Ordenes_Odoo'!D913)</f>
        <v/>
      </c>
      <c r="E913" s="79">
        <f>IF('Ordenes_Odoo'!E913="","",'Ordenes_Odoo'!E913)</f>
        <v/>
      </c>
      <c r="F913" s="79">
        <f>IF('Ordenes_Odoo'!F913="","",'Ordenes_Odoo'!F913)</f>
        <v/>
      </c>
      <c r="G913" s="79">
        <f>IF('Ordenes_Odoo'!G913="","",'Ordenes_Odoo'!G913)</f>
        <v/>
      </c>
      <c r="H913" s="79">
        <f>IF('Ordenes_Odoo'!H913="","",'Ordenes_Odoo'!H913)</f>
        <v/>
      </c>
      <c r="I913" s="79">
        <f>IF('Ordenes_Odoo'!I913="","",'Ordenes_Odoo'!I913)</f>
        <v/>
      </c>
      <c r="J913" s="79">
        <f>IF('Ordenes_Odoo'!J913="","",'Ordenes_Odoo'!J913)</f>
        <v/>
      </c>
      <c r="K913" s="81">
        <f>IF('Ordenes_Odoo'!K913="","",'Ordenes_Odoo'!K913)</f>
        <v/>
      </c>
      <c r="L913" s="81">
        <f>IF('Ordenes_Odoo'!L913="","",'Ordenes_Odoo'!L913)</f>
        <v/>
      </c>
      <c r="M913" s="79">
        <f>IF('Ordenes_Odoo'!M913="","",'Ordenes_Odoo'!M913)</f>
        <v/>
      </c>
      <c r="N913" s="79">
        <f>IF('Ordenes_Odoo'!N913="","",'Ordenes_Odoo'!N913)</f>
        <v/>
      </c>
      <c r="O913" s="81">
        <f>IF('Ordenes_Odoo'!O913="","",'Ordenes_Odoo'!O913)</f>
        <v/>
      </c>
      <c r="P913" s="81">
        <f>IF('Ordenes_Odoo'!P913="","",'Ordenes_Odoo'!P913)</f>
        <v/>
      </c>
      <c r="Q913" s="79">
        <f>IF(A913="","",IFERROR(INDEX(Facturas_Odoo!$B:$B, MATCH(A913, Facturas_Odoo!$D:$D, 0)), "Sin Factura"))</f>
        <v/>
      </c>
      <c r="R913" s="80">
        <f>IF(Q913="Sin Factura","",IFERROR(INDEX(Facturas_Odoo!$A:$A, MATCH(Q913, Facturas_Odoo!$B:$B, 0)), ""))</f>
        <v/>
      </c>
      <c r="S913" s="79">
        <f>IF(Q913="Sin Factura","",IFERROR(_xlfn.XLOOKUP(1, (Facturas_Odoo!$D:$D=A913) * (Facturas_Odoo!$K:$K=I913), Facturas_Odoo!$L:$L, ""), ""))</f>
        <v/>
      </c>
      <c r="T913" s="81">
        <f>IF(Q913="Sin Factura",0,IFERROR(_xlfn.XLOOKUP(1, (Facturas_Odoo!$D:$D=A913) * (Facturas_Odoo!$K:$K=I913), Facturas_Odoo!$M:$M, 0), 0))</f>
        <v/>
      </c>
      <c r="U913" s="79">
        <f>IF(Q913="Sin Factura",0,IFERROR(_xlfn.XLOOKUP(1, (Facturas_Odoo!$D:$D=A913) * (Facturas_Odoo!$K:$K=I913), Facturas_Odoo!$N:$N, 0), 0))</f>
        <v/>
      </c>
      <c r="V913" s="79">
        <f>IF(Q913="Sin Factura",0,IFERROR(_xlfn.XLOOKUP(1, (Facturas_Odoo!$D:$D=A913) * (Facturas_Odoo!$K:$K=I913), Facturas_Odoo!$O:$O, 0), 0))</f>
        <v/>
      </c>
      <c r="W913" s="81">
        <f>IF(Q913="Sin Factura",0,IFERROR(_xlfn.XLOOKUP(1, (Facturas_Odoo!$D:$D=A913) * (Facturas_Odoo!$K:$K=I913), Facturas_Odoo!$Q:$Q, 0), 0))</f>
        <v/>
      </c>
      <c r="X913" s="79">
        <f>IF(OR(Q913="Sin Factura",Q913=""),"",IFERROR(INDEX(Pagos_Odoo!$B:$B, MATCH(Q913, Pagos_Odoo!$I:$I, 0)), "Sin Pago"))</f>
        <v/>
      </c>
      <c r="Y913" s="79">
        <f>IF(X913="Sin Pago","",IFERROR(INDEX(Pagos_Odoo!$C:$C, MATCH(X913, Pagos_Odoo!$B:$B, 0)), ""))</f>
        <v/>
      </c>
      <c r="Z913" s="80">
        <f>IF(X913="Sin Pago","",IFERROR(INDEX(Pagos_Odoo!$A:$A, MATCH(X913, Pagos_Odoo!$B:$B, 0)), ""))</f>
        <v/>
      </c>
      <c r="AA913" s="79">
        <f>IF(X913="Sin Pago","",IFERROR(INDEX(Pagos_Odoo!$F:$F, MATCH(X913, Pagos_Odoo!$B:$B, 0)), ""))</f>
        <v/>
      </c>
      <c r="AB913" s="81">
        <f>IF(X913="Sin Pago",0,IFERROR(INDEX(Pagos_Odoo!$E:$E, MATCH(X913, Pagos_Odoo!$B:$B, 0)), 0))</f>
        <v/>
      </c>
      <c r="AC913" s="79">
        <f>IF(X913="Sin Pago","",IFERROR(INDEX(Pagos_Odoo!$G:$G, MATCH(X913, Pagos_Odoo!$B:$B, 0)), ""))</f>
        <v/>
      </c>
      <c r="AD913" s="82" t="n">
        <v>0</v>
      </c>
      <c r="AE913" s="82" t="n"/>
      <c r="AF913" s="82" t="n"/>
      <c r="AG913" s="82">
        <f>IF(AN913="","",AD913+AE913+AF913)</f>
        <v/>
      </c>
      <c r="AH913" s="81">
        <f>IF(AN913="","",P913*(1-AG913))</f>
        <v/>
      </c>
      <c r="AI913" s="81">
        <f>IF(AN913="","",IF(Q913="Sin Factura",0,IFERROR(INDEX(Facturas_Odoo!$H:$H, MATCH(Q913, Facturas_Odoo!$B:$B, 0)), 0)*(1-AG913)))</f>
        <v/>
      </c>
      <c r="AJ913" s="81">
        <f>IF(AN913="","",_xlfn.LET(idVenta, AN913&amp;"",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13" s="81">
        <f>IF(AN913="","",AH913-AJ913)</f>
        <v/>
      </c>
      <c r="AL913" s="81">
        <f>IF(AN913="","",IF(Q913="Sin Factura","",AI913-AJ913))</f>
        <v/>
      </c>
      <c r="AM913" s="81">
        <f>IF(AN913="","",IF(Q913="Sin Factura",0,P913-IFERROR(INDEX(Facturas_Odoo!$H:$H, MATCH(Q913, Facturas_Odoo!$B:$B, 0)), 0)))</f>
        <v/>
      </c>
      <c r="AN913" s="79">
        <f>IF(AND(A913="", J913=""), "", IF(A913&lt;&gt;"", VALUE(MID(A913,2,LEN(A913))), AN912))</f>
        <v/>
      </c>
      <c r="AO913" s="79">
        <f>IF(AN913="","",IF(AD913=0,"OK",_xlfn.LET(monedaPago, IF(AA913="","USD",AA913), limitePermitido, IFERROR(VLOOKUP(monedaPago, Configuración!$A$2:$B$3, 2, FALSE), 0.15), IF(AD913&gt;limitePermitido, "ALERTA: EXCESO (" &amp; TEXT(limitePermitido, "0%") &amp; " máx)", "OK"))))</f>
        <v/>
      </c>
      <c r="AP913" s="79">
        <f>IF(AN913="","",IF(AE913=0,"OK",_xlfn.LET(fechaPago, Z913, fechaFactura, R913, diasCredito, IF(E913="Pago inmediato", 0, IFERROR(VALUE(MID(E913, 1, SEARCH(" ", E913)-1)),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13" s="79">
        <f>IF(AN913="","",IF(AND(N913&gt;0, AG913&gt;0), IF(Configuración!$K$2="NO", "ALERTA: DESCUENTO DOBLE NO PERMITIDO", "OK"), "OK"))</f>
        <v/>
      </c>
      <c r="AR913" s="79">
        <f>IF(AN913="","",IF(OR(AO913&lt;&gt;"OK", AP913&lt;&gt;"OK", AQ913&lt;&gt;"OK"), "⚠️ REVISAR", "OK"))</f>
        <v/>
      </c>
    </row>
    <row r="914">
      <c r="A914" s="79">
        <f>IF('Ordenes_Odoo'!A914="","",'Ordenes_Odoo'!A914)</f>
        <v/>
      </c>
      <c r="B914" s="80">
        <f>IF('Ordenes_Odoo'!B914="","",'Ordenes_Odoo'!B914)</f>
        <v/>
      </c>
      <c r="C914" s="79">
        <f>IF('Ordenes_Odoo'!C914="","",'Ordenes_Odoo'!C914)</f>
        <v/>
      </c>
      <c r="D914" s="79">
        <f>IF('Ordenes_Odoo'!D914="","",'Ordenes_Odoo'!D914)</f>
        <v/>
      </c>
      <c r="E914" s="79">
        <f>IF('Ordenes_Odoo'!E914="","",'Ordenes_Odoo'!E914)</f>
        <v/>
      </c>
      <c r="F914" s="79">
        <f>IF('Ordenes_Odoo'!F914="","",'Ordenes_Odoo'!F914)</f>
        <v/>
      </c>
      <c r="G914" s="79">
        <f>IF('Ordenes_Odoo'!G914="","",'Ordenes_Odoo'!G914)</f>
        <v/>
      </c>
      <c r="H914" s="79">
        <f>IF('Ordenes_Odoo'!H914="","",'Ordenes_Odoo'!H914)</f>
        <v/>
      </c>
      <c r="I914" s="79">
        <f>IF('Ordenes_Odoo'!I914="","",'Ordenes_Odoo'!I914)</f>
        <v/>
      </c>
      <c r="J914" s="79">
        <f>IF('Ordenes_Odoo'!J914="","",'Ordenes_Odoo'!J914)</f>
        <v/>
      </c>
      <c r="K914" s="81">
        <f>IF('Ordenes_Odoo'!K914="","",'Ordenes_Odoo'!K914)</f>
        <v/>
      </c>
      <c r="L914" s="81">
        <f>IF('Ordenes_Odoo'!L914="","",'Ordenes_Odoo'!L914)</f>
        <v/>
      </c>
      <c r="M914" s="79">
        <f>IF('Ordenes_Odoo'!M914="","",'Ordenes_Odoo'!M914)</f>
        <v/>
      </c>
      <c r="N914" s="79">
        <f>IF('Ordenes_Odoo'!N914="","",'Ordenes_Odoo'!N914)</f>
        <v/>
      </c>
      <c r="O914" s="81">
        <f>IF('Ordenes_Odoo'!O914="","",'Ordenes_Odoo'!O914)</f>
        <v/>
      </c>
      <c r="P914" s="81">
        <f>IF('Ordenes_Odoo'!P914="","",'Ordenes_Odoo'!P914)</f>
        <v/>
      </c>
      <c r="Q914" s="79">
        <f>IF(A914="","",IFERROR(INDEX(Facturas_Odoo!$B:$B, MATCH(A914, Facturas_Odoo!$D:$D, 0)), "Sin Factura"))</f>
        <v/>
      </c>
      <c r="R914" s="80">
        <f>IF(Q914="Sin Factura","",IFERROR(INDEX(Facturas_Odoo!$A:$A, MATCH(Q914, Facturas_Odoo!$B:$B, 0)), ""))</f>
        <v/>
      </c>
      <c r="S914" s="79">
        <f>IF(Q914="Sin Factura","",IFERROR(_xlfn.XLOOKUP(1, (Facturas_Odoo!$D:$D=A914) * (Facturas_Odoo!$K:$K=I914), Facturas_Odoo!$L:$L, ""), ""))</f>
        <v/>
      </c>
      <c r="T914" s="81">
        <f>IF(Q914="Sin Factura",0,IFERROR(_xlfn.XLOOKUP(1, (Facturas_Odoo!$D:$D=A914) * (Facturas_Odoo!$K:$K=I914), Facturas_Odoo!$M:$M, 0), 0))</f>
        <v/>
      </c>
      <c r="U914" s="79">
        <f>IF(Q914="Sin Factura",0,IFERROR(_xlfn.XLOOKUP(1, (Facturas_Odoo!$D:$D=A914) * (Facturas_Odoo!$K:$K=I914), Facturas_Odoo!$N:$N, 0), 0))</f>
        <v/>
      </c>
      <c r="V914" s="79">
        <f>IF(Q914="Sin Factura",0,IFERROR(_xlfn.XLOOKUP(1, (Facturas_Odoo!$D:$D=A914) * (Facturas_Odoo!$K:$K=I914), Facturas_Odoo!$O:$O, 0), 0))</f>
        <v/>
      </c>
      <c r="W914" s="81">
        <f>IF(Q914="Sin Factura",0,IFERROR(_xlfn.XLOOKUP(1, (Facturas_Odoo!$D:$D=A914) * (Facturas_Odoo!$K:$K=I914), Facturas_Odoo!$Q:$Q, 0), 0))</f>
        <v/>
      </c>
      <c r="X914" s="79">
        <f>IF(OR(Q914="Sin Factura",Q914=""),"",IFERROR(INDEX(Pagos_Odoo!$B:$B, MATCH(Q914, Pagos_Odoo!$I:$I, 0)), "Sin Pago"))</f>
        <v/>
      </c>
      <c r="Y914" s="79">
        <f>IF(X914="Sin Pago","",IFERROR(INDEX(Pagos_Odoo!$C:$C, MATCH(X914, Pagos_Odoo!$B:$B, 0)), ""))</f>
        <v/>
      </c>
      <c r="Z914" s="80">
        <f>IF(X914="Sin Pago","",IFERROR(INDEX(Pagos_Odoo!$A:$A, MATCH(X914, Pagos_Odoo!$B:$B, 0)), ""))</f>
        <v/>
      </c>
      <c r="AA914" s="79">
        <f>IF(X914="Sin Pago","",IFERROR(INDEX(Pagos_Odoo!$F:$F, MATCH(X914, Pagos_Odoo!$B:$B, 0)), ""))</f>
        <v/>
      </c>
      <c r="AB914" s="81">
        <f>IF(X914="Sin Pago",0,IFERROR(INDEX(Pagos_Odoo!$E:$E, MATCH(X914, Pagos_Odoo!$B:$B, 0)), 0))</f>
        <v/>
      </c>
      <c r="AC914" s="79">
        <f>IF(X914="Sin Pago","",IFERROR(INDEX(Pagos_Odoo!$G:$G, MATCH(X914, Pagos_Odoo!$B:$B, 0)), ""))</f>
        <v/>
      </c>
      <c r="AD914" s="82" t="n">
        <v>0</v>
      </c>
      <c r="AE914" s="82" t="n"/>
      <c r="AF914" s="82" t="n"/>
      <c r="AG914" s="82">
        <f>IF(AN914="","",AD914+AE914+AF914)</f>
        <v/>
      </c>
      <c r="AH914" s="81">
        <f>IF(AN914="","",P914*(1-AG914))</f>
        <v/>
      </c>
      <c r="AI914" s="81">
        <f>IF(AN914="","",IF(Q914="Sin Factura",0,IFERROR(INDEX(Facturas_Odoo!$H:$H, MATCH(Q914, Facturas_Odoo!$B:$B, 0)), 0)*(1-AG914)))</f>
        <v/>
      </c>
      <c r="AJ914" s="81">
        <f>IF(AN914="","",_xlfn.LET(idVenta, AN914&amp;"",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14" s="81">
        <f>IF(AN914="","",AH914-AJ914)</f>
        <v/>
      </c>
      <c r="AL914" s="81">
        <f>IF(AN914="","",IF(Q914="Sin Factura","",AI914-AJ914))</f>
        <v/>
      </c>
      <c r="AM914" s="81">
        <f>IF(AN914="","",IF(Q914="Sin Factura",0,P914-IFERROR(INDEX(Facturas_Odoo!$H:$H, MATCH(Q914, Facturas_Odoo!$B:$B, 0)), 0)))</f>
        <v/>
      </c>
      <c r="AN914" s="79">
        <f>IF(AND(A914="", J914=""), "", IF(A914&lt;&gt;"", VALUE(MID(A914,2,LEN(A914))), AN913))</f>
        <v/>
      </c>
      <c r="AO914" s="79">
        <f>IF(AN914="","",IF(AD914=0,"OK",_xlfn.LET(monedaPago, IF(AA914="","USD",AA914), limitePermitido, IFERROR(VLOOKUP(monedaPago, Configuración!$A$2:$B$3, 2, FALSE), 0.15), IF(AD914&gt;limitePermitido, "ALERTA: EXCESO (" &amp; TEXT(limitePermitido, "0%") &amp; " máx)", "OK"))))</f>
        <v/>
      </c>
      <c r="AP914" s="79">
        <f>IF(AN914="","",IF(AE914=0,"OK",_xlfn.LET(fechaPago, Z914, fechaFactura, R914, diasCredito, IF(E914="Pago inmediato", 0, IFERROR(VALUE(MID(E914, 1, SEARCH(" ", E914)-1)),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14" s="79">
        <f>IF(AN914="","",IF(AND(N914&gt;0, AG914&gt;0), IF(Configuración!$K$2="NO", "ALERTA: DESCUENTO DOBLE NO PERMITIDO", "OK"), "OK"))</f>
        <v/>
      </c>
      <c r="AR914" s="79">
        <f>IF(AN914="","",IF(OR(AO914&lt;&gt;"OK", AP914&lt;&gt;"OK", AQ914&lt;&gt;"OK"), "⚠️ REVISAR", "OK"))</f>
        <v/>
      </c>
    </row>
    <row r="915">
      <c r="A915" s="79">
        <f>IF('Ordenes_Odoo'!A915="","",'Ordenes_Odoo'!A915)</f>
        <v/>
      </c>
      <c r="B915" s="80">
        <f>IF('Ordenes_Odoo'!B915="","",'Ordenes_Odoo'!B915)</f>
        <v/>
      </c>
      <c r="C915" s="79">
        <f>IF('Ordenes_Odoo'!C915="","",'Ordenes_Odoo'!C915)</f>
        <v/>
      </c>
      <c r="D915" s="79">
        <f>IF('Ordenes_Odoo'!D915="","",'Ordenes_Odoo'!D915)</f>
        <v/>
      </c>
      <c r="E915" s="79">
        <f>IF('Ordenes_Odoo'!E915="","",'Ordenes_Odoo'!E915)</f>
        <v/>
      </c>
      <c r="F915" s="79">
        <f>IF('Ordenes_Odoo'!F915="","",'Ordenes_Odoo'!F915)</f>
        <v/>
      </c>
      <c r="G915" s="79">
        <f>IF('Ordenes_Odoo'!G915="","",'Ordenes_Odoo'!G915)</f>
        <v/>
      </c>
      <c r="H915" s="79">
        <f>IF('Ordenes_Odoo'!H915="","",'Ordenes_Odoo'!H915)</f>
        <v/>
      </c>
      <c r="I915" s="79">
        <f>IF('Ordenes_Odoo'!I915="","",'Ordenes_Odoo'!I915)</f>
        <v/>
      </c>
      <c r="J915" s="79">
        <f>IF('Ordenes_Odoo'!J915="","",'Ordenes_Odoo'!J915)</f>
        <v/>
      </c>
      <c r="K915" s="81">
        <f>IF('Ordenes_Odoo'!K915="","",'Ordenes_Odoo'!K915)</f>
        <v/>
      </c>
      <c r="L915" s="81">
        <f>IF('Ordenes_Odoo'!L915="","",'Ordenes_Odoo'!L915)</f>
        <v/>
      </c>
      <c r="M915" s="79">
        <f>IF('Ordenes_Odoo'!M915="","",'Ordenes_Odoo'!M915)</f>
        <v/>
      </c>
      <c r="N915" s="79">
        <f>IF('Ordenes_Odoo'!N915="","",'Ordenes_Odoo'!N915)</f>
        <v/>
      </c>
      <c r="O915" s="81">
        <f>IF('Ordenes_Odoo'!O915="","",'Ordenes_Odoo'!O915)</f>
        <v/>
      </c>
      <c r="P915" s="81">
        <f>IF('Ordenes_Odoo'!P915="","",'Ordenes_Odoo'!P915)</f>
        <v/>
      </c>
      <c r="Q915" s="79">
        <f>IF(A915="","",IFERROR(INDEX(Facturas_Odoo!$B:$B, MATCH(A915, Facturas_Odoo!$D:$D, 0)), "Sin Factura"))</f>
        <v/>
      </c>
      <c r="R915" s="80">
        <f>IF(Q915="Sin Factura","",IFERROR(INDEX(Facturas_Odoo!$A:$A, MATCH(Q915, Facturas_Odoo!$B:$B, 0)), ""))</f>
        <v/>
      </c>
      <c r="S915" s="79">
        <f>IF(Q915="Sin Factura","",IFERROR(_xlfn.XLOOKUP(1, (Facturas_Odoo!$D:$D=A915) * (Facturas_Odoo!$K:$K=I915), Facturas_Odoo!$L:$L, ""), ""))</f>
        <v/>
      </c>
      <c r="T915" s="81">
        <f>IF(Q915="Sin Factura",0,IFERROR(_xlfn.XLOOKUP(1, (Facturas_Odoo!$D:$D=A915) * (Facturas_Odoo!$K:$K=I915), Facturas_Odoo!$M:$M, 0), 0))</f>
        <v/>
      </c>
      <c r="U915" s="79">
        <f>IF(Q915="Sin Factura",0,IFERROR(_xlfn.XLOOKUP(1, (Facturas_Odoo!$D:$D=A915) * (Facturas_Odoo!$K:$K=I915), Facturas_Odoo!$N:$N, 0), 0))</f>
        <v/>
      </c>
      <c r="V915" s="79">
        <f>IF(Q915="Sin Factura",0,IFERROR(_xlfn.XLOOKUP(1, (Facturas_Odoo!$D:$D=A915) * (Facturas_Odoo!$K:$K=I915), Facturas_Odoo!$O:$O, 0), 0))</f>
        <v/>
      </c>
      <c r="W915" s="81">
        <f>IF(Q915="Sin Factura",0,IFERROR(_xlfn.XLOOKUP(1, (Facturas_Odoo!$D:$D=A915) * (Facturas_Odoo!$K:$K=I915), Facturas_Odoo!$Q:$Q, 0), 0))</f>
        <v/>
      </c>
      <c r="X915" s="79">
        <f>IF(OR(Q915="Sin Factura",Q915=""),"",IFERROR(INDEX(Pagos_Odoo!$B:$B, MATCH(Q915, Pagos_Odoo!$I:$I, 0)), "Sin Pago"))</f>
        <v/>
      </c>
      <c r="Y915" s="79">
        <f>IF(X915="Sin Pago","",IFERROR(INDEX(Pagos_Odoo!$C:$C, MATCH(X915, Pagos_Odoo!$B:$B, 0)), ""))</f>
        <v/>
      </c>
      <c r="Z915" s="80">
        <f>IF(X915="Sin Pago","",IFERROR(INDEX(Pagos_Odoo!$A:$A, MATCH(X915, Pagos_Odoo!$B:$B, 0)), ""))</f>
        <v/>
      </c>
      <c r="AA915" s="79">
        <f>IF(X915="Sin Pago","",IFERROR(INDEX(Pagos_Odoo!$F:$F, MATCH(X915, Pagos_Odoo!$B:$B, 0)), ""))</f>
        <v/>
      </c>
      <c r="AB915" s="81">
        <f>IF(X915="Sin Pago",0,IFERROR(INDEX(Pagos_Odoo!$E:$E, MATCH(X915, Pagos_Odoo!$B:$B, 0)), 0))</f>
        <v/>
      </c>
      <c r="AC915" s="79">
        <f>IF(X915="Sin Pago","",IFERROR(INDEX(Pagos_Odoo!$G:$G, MATCH(X915, Pagos_Odoo!$B:$B, 0)), ""))</f>
        <v/>
      </c>
      <c r="AD915" s="82" t="n">
        <v>0</v>
      </c>
      <c r="AE915" s="82" t="n"/>
      <c r="AF915" s="82" t="n"/>
      <c r="AG915" s="82">
        <f>IF(AN915="","",AD915+AE915+AF915)</f>
        <v/>
      </c>
      <c r="AH915" s="81">
        <f>IF(AN915="","",P915*(1-AG915))</f>
        <v/>
      </c>
      <c r="AI915" s="81">
        <f>IF(AN915="","",IF(Q915="Sin Factura",0,IFERROR(INDEX(Facturas_Odoo!$H:$H, MATCH(Q915, Facturas_Odoo!$B:$B, 0)), 0)*(1-AG915)))</f>
        <v/>
      </c>
      <c r="AJ915" s="81">
        <f>IF(AN915="","",_xlfn.LET(idVenta, AN915&amp;"",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15" s="81">
        <f>IF(AN915="","",AH915-AJ915)</f>
        <v/>
      </c>
      <c r="AL915" s="81">
        <f>IF(AN915="","",IF(Q915="Sin Factura","",AI915-AJ915))</f>
        <v/>
      </c>
      <c r="AM915" s="81">
        <f>IF(AN915="","",IF(Q915="Sin Factura",0,P915-IFERROR(INDEX(Facturas_Odoo!$H:$H, MATCH(Q915, Facturas_Odoo!$B:$B, 0)), 0)))</f>
        <v/>
      </c>
      <c r="AN915" s="79">
        <f>IF(AND(A915="", J915=""), "", IF(A915&lt;&gt;"", VALUE(MID(A915,2,LEN(A915))), AN914))</f>
        <v/>
      </c>
      <c r="AO915" s="79">
        <f>IF(AN915="","",IF(AD915=0,"OK",_xlfn.LET(monedaPago, IF(AA915="","USD",AA915), limitePermitido, IFERROR(VLOOKUP(monedaPago, Configuración!$A$2:$B$3, 2, FALSE), 0.15), IF(AD915&gt;limitePermitido, "ALERTA: EXCESO (" &amp; TEXT(limitePermitido, "0%") &amp; " máx)", "OK"))))</f>
        <v/>
      </c>
      <c r="AP915" s="79">
        <f>IF(AN915="","",IF(AE915=0,"OK",_xlfn.LET(fechaPago, Z915, fechaFactura, R915, diasCredito, IF(E915="Pago inmediato", 0, IFERROR(VALUE(MID(E915, 1, SEARCH(" ", E915)-1)),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15" s="79">
        <f>IF(AN915="","",IF(AND(N915&gt;0, AG915&gt;0), IF(Configuración!$K$2="NO", "ALERTA: DESCUENTO DOBLE NO PERMITIDO", "OK"), "OK"))</f>
        <v/>
      </c>
      <c r="AR915" s="79">
        <f>IF(AN915="","",IF(OR(AO915&lt;&gt;"OK", AP915&lt;&gt;"OK", AQ915&lt;&gt;"OK"), "⚠️ REVISAR", "OK"))</f>
        <v/>
      </c>
    </row>
    <row r="916">
      <c r="A916" s="79">
        <f>IF('Ordenes_Odoo'!A916="","",'Ordenes_Odoo'!A916)</f>
        <v/>
      </c>
      <c r="B916" s="80">
        <f>IF('Ordenes_Odoo'!B916="","",'Ordenes_Odoo'!B916)</f>
        <v/>
      </c>
      <c r="C916" s="79">
        <f>IF('Ordenes_Odoo'!C916="","",'Ordenes_Odoo'!C916)</f>
        <v/>
      </c>
      <c r="D916" s="79">
        <f>IF('Ordenes_Odoo'!D916="","",'Ordenes_Odoo'!D916)</f>
        <v/>
      </c>
      <c r="E916" s="79">
        <f>IF('Ordenes_Odoo'!E916="","",'Ordenes_Odoo'!E916)</f>
        <v/>
      </c>
      <c r="F916" s="79">
        <f>IF('Ordenes_Odoo'!F916="","",'Ordenes_Odoo'!F916)</f>
        <v/>
      </c>
      <c r="G916" s="79">
        <f>IF('Ordenes_Odoo'!G916="","",'Ordenes_Odoo'!G916)</f>
        <v/>
      </c>
      <c r="H916" s="79">
        <f>IF('Ordenes_Odoo'!H916="","",'Ordenes_Odoo'!H916)</f>
        <v/>
      </c>
      <c r="I916" s="79">
        <f>IF('Ordenes_Odoo'!I916="","",'Ordenes_Odoo'!I916)</f>
        <v/>
      </c>
      <c r="J916" s="79">
        <f>IF('Ordenes_Odoo'!J916="","",'Ordenes_Odoo'!J916)</f>
        <v/>
      </c>
      <c r="K916" s="81">
        <f>IF('Ordenes_Odoo'!K916="","",'Ordenes_Odoo'!K916)</f>
        <v/>
      </c>
      <c r="L916" s="81">
        <f>IF('Ordenes_Odoo'!L916="","",'Ordenes_Odoo'!L916)</f>
        <v/>
      </c>
      <c r="M916" s="79">
        <f>IF('Ordenes_Odoo'!M916="","",'Ordenes_Odoo'!M916)</f>
        <v/>
      </c>
      <c r="N916" s="79">
        <f>IF('Ordenes_Odoo'!N916="","",'Ordenes_Odoo'!N916)</f>
        <v/>
      </c>
      <c r="O916" s="81">
        <f>IF('Ordenes_Odoo'!O916="","",'Ordenes_Odoo'!O916)</f>
        <v/>
      </c>
      <c r="P916" s="81">
        <f>IF('Ordenes_Odoo'!P916="","",'Ordenes_Odoo'!P916)</f>
        <v/>
      </c>
      <c r="Q916" s="79">
        <f>IF(A916="","",IFERROR(INDEX(Facturas_Odoo!$B:$B, MATCH(A916, Facturas_Odoo!$D:$D, 0)), "Sin Factura"))</f>
        <v/>
      </c>
      <c r="R916" s="80">
        <f>IF(Q916="Sin Factura","",IFERROR(INDEX(Facturas_Odoo!$A:$A, MATCH(Q916, Facturas_Odoo!$B:$B, 0)), ""))</f>
        <v/>
      </c>
      <c r="S916" s="79">
        <f>IF(Q916="Sin Factura","",IFERROR(_xlfn.XLOOKUP(1, (Facturas_Odoo!$D:$D=A916) * (Facturas_Odoo!$K:$K=I916), Facturas_Odoo!$L:$L, ""), ""))</f>
        <v/>
      </c>
      <c r="T916" s="81">
        <f>IF(Q916="Sin Factura",0,IFERROR(_xlfn.XLOOKUP(1, (Facturas_Odoo!$D:$D=A916) * (Facturas_Odoo!$K:$K=I916), Facturas_Odoo!$M:$M, 0), 0))</f>
        <v/>
      </c>
      <c r="U916" s="79">
        <f>IF(Q916="Sin Factura",0,IFERROR(_xlfn.XLOOKUP(1, (Facturas_Odoo!$D:$D=A916) * (Facturas_Odoo!$K:$K=I916), Facturas_Odoo!$N:$N, 0), 0))</f>
        <v/>
      </c>
      <c r="V916" s="79">
        <f>IF(Q916="Sin Factura",0,IFERROR(_xlfn.XLOOKUP(1, (Facturas_Odoo!$D:$D=A916) * (Facturas_Odoo!$K:$K=I916), Facturas_Odoo!$O:$O, 0), 0))</f>
        <v/>
      </c>
      <c r="W916" s="81">
        <f>IF(Q916="Sin Factura",0,IFERROR(_xlfn.XLOOKUP(1, (Facturas_Odoo!$D:$D=A916) * (Facturas_Odoo!$K:$K=I916), Facturas_Odoo!$Q:$Q, 0), 0))</f>
        <v/>
      </c>
      <c r="X916" s="79">
        <f>IF(OR(Q916="Sin Factura",Q916=""),"",IFERROR(INDEX(Pagos_Odoo!$B:$B, MATCH(Q916, Pagos_Odoo!$I:$I, 0)), "Sin Pago"))</f>
        <v/>
      </c>
      <c r="Y916" s="79">
        <f>IF(X916="Sin Pago","",IFERROR(INDEX(Pagos_Odoo!$C:$C, MATCH(X916, Pagos_Odoo!$B:$B, 0)), ""))</f>
        <v/>
      </c>
      <c r="Z916" s="80">
        <f>IF(X916="Sin Pago","",IFERROR(INDEX(Pagos_Odoo!$A:$A, MATCH(X916, Pagos_Odoo!$B:$B, 0)), ""))</f>
        <v/>
      </c>
      <c r="AA916" s="79">
        <f>IF(X916="Sin Pago","",IFERROR(INDEX(Pagos_Odoo!$F:$F, MATCH(X916, Pagos_Odoo!$B:$B, 0)), ""))</f>
        <v/>
      </c>
      <c r="AB916" s="81">
        <f>IF(X916="Sin Pago",0,IFERROR(INDEX(Pagos_Odoo!$E:$E, MATCH(X916, Pagos_Odoo!$B:$B, 0)), 0))</f>
        <v/>
      </c>
      <c r="AC916" s="79">
        <f>IF(X916="Sin Pago","",IFERROR(INDEX(Pagos_Odoo!$G:$G, MATCH(X916, Pagos_Odoo!$B:$B, 0)), ""))</f>
        <v/>
      </c>
      <c r="AD916" s="82" t="n">
        <v>0</v>
      </c>
      <c r="AE916" s="82" t="n"/>
      <c r="AF916" s="82" t="n"/>
      <c r="AG916" s="82">
        <f>IF(AN916="","",AD916+AE916+AF916)</f>
        <v/>
      </c>
      <c r="AH916" s="81">
        <f>IF(AN916="","",P916*(1-AG916))</f>
        <v/>
      </c>
      <c r="AI916" s="81">
        <f>IF(AN916="","",IF(Q916="Sin Factura",0,IFERROR(INDEX(Facturas_Odoo!$H:$H, MATCH(Q916, Facturas_Odoo!$B:$B, 0)), 0)*(1-AG916)))</f>
        <v/>
      </c>
      <c r="AJ916" s="81">
        <f>IF(AN916="","",_xlfn.LET(idVenta, AN916&amp;"",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16" s="81">
        <f>IF(AN916="","",AH916-AJ916)</f>
        <v/>
      </c>
      <c r="AL916" s="81">
        <f>IF(AN916="","",IF(Q916="Sin Factura","",AI916-AJ916))</f>
        <v/>
      </c>
      <c r="AM916" s="81">
        <f>IF(AN916="","",IF(Q916="Sin Factura",0,P916-IFERROR(INDEX(Facturas_Odoo!$H:$H, MATCH(Q916, Facturas_Odoo!$B:$B, 0)), 0)))</f>
        <v/>
      </c>
      <c r="AN916" s="79">
        <f>IF(AND(A916="", J916=""), "", IF(A916&lt;&gt;"", VALUE(MID(A916,2,LEN(A916))), AN915))</f>
        <v/>
      </c>
      <c r="AO916" s="79">
        <f>IF(AN916="","",IF(AD916=0,"OK",_xlfn.LET(monedaPago, IF(AA916="","USD",AA916), limitePermitido, IFERROR(VLOOKUP(monedaPago, Configuración!$A$2:$B$3, 2, FALSE), 0.15), IF(AD916&gt;limitePermitido, "ALERTA: EXCESO (" &amp; TEXT(limitePermitido, "0%") &amp; " máx)", "OK"))))</f>
        <v/>
      </c>
      <c r="AP916" s="79">
        <f>IF(AN916="","",IF(AE916=0,"OK",_xlfn.LET(fechaPago, Z916, fechaFactura, R916, diasCredito, IF(E916="Pago inmediato", 0, IFERROR(VALUE(MID(E916, 1, SEARCH(" ", E916)-1)),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16" s="79">
        <f>IF(AN916="","",IF(AND(N916&gt;0, AG916&gt;0), IF(Configuración!$K$2="NO", "ALERTA: DESCUENTO DOBLE NO PERMITIDO", "OK"), "OK"))</f>
        <v/>
      </c>
      <c r="AR916" s="79">
        <f>IF(AN916="","",IF(OR(AO916&lt;&gt;"OK", AP916&lt;&gt;"OK", AQ916&lt;&gt;"OK"), "⚠️ REVISAR", "OK"))</f>
        <v/>
      </c>
    </row>
    <row r="917">
      <c r="A917" s="79">
        <f>IF('Ordenes_Odoo'!A917="","",'Ordenes_Odoo'!A917)</f>
        <v/>
      </c>
      <c r="B917" s="80">
        <f>IF('Ordenes_Odoo'!B917="","",'Ordenes_Odoo'!B917)</f>
        <v/>
      </c>
      <c r="C917" s="79">
        <f>IF('Ordenes_Odoo'!C917="","",'Ordenes_Odoo'!C917)</f>
        <v/>
      </c>
      <c r="D917" s="79">
        <f>IF('Ordenes_Odoo'!D917="","",'Ordenes_Odoo'!D917)</f>
        <v/>
      </c>
      <c r="E917" s="79">
        <f>IF('Ordenes_Odoo'!E917="","",'Ordenes_Odoo'!E917)</f>
        <v/>
      </c>
      <c r="F917" s="79">
        <f>IF('Ordenes_Odoo'!F917="","",'Ordenes_Odoo'!F917)</f>
        <v/>
      </c>
      <c r="G917" s="79">
        <f>IF('Ordenes_Odoo'!G917="","",'Ordenes_Odoo'!G917)</f>
        <v/>
      </c>
      <c r="H917" s="79">
        <f>IF('Ordenes_Odoo'!H917="","",'Ordenes_Odoo'!H917)</f>
        <v/>
      </c>
      <c r="I917" s="79">
        <f>IF('Ordenes_Odoo'!I917="","",'Ordenes_Odoo'!I917)</f>
        <v/>
      </c>
      <c r="J917" s="79">
        <f>IF('Ordenes_Odoo'!J917="","",'Ordenes_Odoo'!J917)</f>
        <v/>
      </c>
      <c r="K917" s="81">
        <f>IF('Ordenes_Odoo'!K917="","",'Ordenes_Odoo'!K917)</f>
        <v/>
      </c>
      <c r="L917" s="81">
        <f>IF('Ordenes_Odoo'!L917="","",'Ordenes_Odoo'!L917)</f>
        <v/>
      </c>
      <c r="M917" s="79">
        <f>IF('Ordenes_Odoo'!M917="","",'Ordenes_Odoo'!M917)</f>
        <v/>
      </c>
      <c r="N917" s="79">
        <f>IF('Ordenes_Odoo'!N917="","",'Ordenes_Odoo'!N917)</f>
        <v/>
      </c>
      <c r="O917" s="81">
        <f>IF('Ordenes_Odoo'!O917="","",'Ordenes_Odoo'!O917)</f>
        <v/>
      </c>
      <c r="P917" s="81">
        <f>IF('Ordenes_Odoo'!P917="","",'Ordenes_Odoo'!P917)</f>
        <v/>
      </c>
      <c r="Q917" s="79">
        <f>IF(A917="","",IFERROR(INDEX(Facturas_Odoo!$B:$B, MATCH(A917, Facturas_Odoo!$D:$D, 0)), "Sin Factura"))</f>
        <v/>
      </c>
      <c r="R917" s="80">
        <f>IF(Q917="Sin Factura","",IFERROR(INDEX(Facturas_Odoo!$A:$A, MATCH(Q917, Facturas_Odoo!$B:$B, 0)), ""))</f>
        <v/>
      </c>
      <c r="S917" s="79">
        <f>IF(Q917="Sin Factura","",IFERROR(_xlfn.XLOOKUP(1, (Facturas_Odoo!$D:$D=A917) * (Facturas_Odoo!$K:$K=I917), Facturas_Odoo!$L:$L, ""), ""))</f>
        <v/>
      </c>
      <c r="T917" s="81">
        <f>IF(Q917="Sin Factura",0,IFERROR(_xlfn.XLOOKUP(1, (Facturas_Odoo!$D:$D=A917) * (Facturas_Odoo!$K:$K=I917), Facturas_Odoo!$M:$M, 0), 0))</f>
        <v/>
      </c>
      <c r="U917" s="79">
        <f>IF(Q917="Sin Factura",0,IFERROR(_xlfn.XLOOKUP(1, (Facturas_Odoo!$D:$D=A917) * (Facturas_Odoo!$K:$K=I917), Facturas_Odoo!$N:$N, 0), 0))</f>
        <v/>
      </c>
      <c r="V917" s="79">
        <f>IF(Q917="Sin Factura",0,IFERROR(_xlfn.XLOOKUP(1, (Facturas_Odoo!$D:$D=A917) * (Facturas_Odoo!$K:$K=I917), Facturas_Odoo!$O:$O, 0), 0))</f>
        <v/>
      </c>
      <c r="W917" s="81">
        <f>IF(Q917="Sin Factura",0,IFERROR(_xlfn.XLOOKUP(1, (Facturas_Odoo!$D:$D=A917) * (Facturas_Odoo!$K:$K=I917), Facturas_Odoo!$Q:$Q, 0), 0))</f>
        <v/>
      </c>
      <c r="X917" s="79">
        <f>IF(OR(Q917="Sin Factura",Q917=""),"",IFERROR(INDEX(Pagos_Odoo!$B:$B, MATCH(Q917, Pagos_Odoo!$I:$I, 0)), "Sin Pago"))</f>
        <v/>
      </c>
      <c r="Y917" s="79">
        <f>IF(X917="Sin Pago","",IFERROR(INDEX(Pagos_Odoo!$C:$C, MATCH(X917, Pagos_Odoo!$B:$B, 0)), ""))</f>
        <v/>
      </c>
      <c r="Z917" s="80">
        <f>IF(X917="Sin Pago","",IFERROR(INDEX(Pagos_Odoo!$A:$A, MATCH(X917, Pagos_Odoo!$B:$B, 0)), ""))</f>
        <v/>
      </c>
      <c r="AA917" s="79">
        <f>IF(X917="Sin Pago","",IFERROR(INDEX(Pagos_Odoo!$F:$F, MATCH(X917, Pagos_Odoo!$B:$B, 0)), ""))</f>
        <v/>
      </c>
      <c r="AB917" s="81">
        <f>IF(X917="Sin Pago",0,IFERROR(INDEX(Pagos_Odoo!$E:$E, MATCH(X917, Pagos_Odoo!$B:$B, 0)), 0))</f>
        <v/>
      </c>
      <c r="AC917" s="79">
        <f>IF(X917="Sin Pago","",IFERROR(INDEX(Pagos_Odoo!$G:$G, MATCH(X917, Pagos_Odoo!$B:$B, 0)), ""))</f>
        <v/>
      </c>
      <c r="AD917" s="82" t="n">
        <v>0</v>
      </c>
      <c r="AE917" s="82" t="n"/>
      <c r="AF917" s="82" t="n"/>
      <c r="AG917" s="82">
        <f>IF(AN917="","",AD917+AE917+AF917)</f>
        <v/>
      </c>
      <c r="AH917" s="81">
        <f>IF(AN917="","",P917*(1-AG917))</f>
        <v/>
      </c>
      <c r="AI917" s="81">
        <f>IF(AN917="","",IF(Q917="Sin Factura",0,IFERROR(INDEX(Facturas_Odoo!$H:$H, MATCH(Q917, Facturas_Odoo!$B:$B, 0)), 0)*(1-AG917)))</f>
        <v/>
      </c>
      <c r="AJ917" s="81">
        <f>IF(AN917="","",_xlfn.LET(idVenta, AN917&amp;"",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17" s="81">
        <f>IF(AN917="","",AH917-AJ917)</f>
        <v/>
      </c>
      <c r="AL917" s="81">
        <f>IF(AN917="","",IF(Q917="Sin Factura","",AI917-AJ917))</f>
        <v/>
      </c>
      <c r="AM917" s="81">
        <f>IF(AN917="","",IF(Q917="Sin Factura",0,P917-IFERROR(INDEX(Facturas_Odoo!$H:$H, MATCH(Q917, Facturas_Odoo!$B:$B, 0)), 0)))</f>
        <v/>
      </c>
      <c r="AN917" s="79">
        <f>IF(AND(A917="", J917=""), "", IF(A917&lt;&gt;"", VALUE(MID(A917,2,LEN(A917))), AN916))</f>
        <v/>
      </c>
      <c r="AO917" s="79">
        <f>IF(AN917="","",IF(AD917=0,"OK",_xlfn.LET(monedaPago, IF(AA917="","USD",AA917), limitePermitido, IFERROR(VLOOKUP(monedaPago, Configuración!$A$2:$B$3, 2, FALSE), 0.15), IF(AD917&gt;limitePermitido, "ALERTA: EXCESO (" &amp; TEXT(limitePermitido, "0%") &amp; " máx)", "OK"))))</f>
        <v/>
      </c>
      <c r="AP917" s="79">
        <f>IF(AN917="","",IF(AE917=0,"OK",_xlfn.LET(fechaPago, Z917, fechaFactura, R917, diasCredito, IF(E917="Pago inmediato", 0, IFERROR(VALUE(MID(E917, 1, SEARCH(" ", E917)-1)),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17" s="79">
        <f>IF(AN917="","",IF(AND(N917&gt;0, AG917&gt;0), IF(Configuración!$K$2="NO", "ALERTA: DESCUENTO DOBLE NO PERMITIDO", "OK"), "OK"))</f>
        <v/>
      </c>
      <c r="AR917" s="79">
        <f>IF(AN917="","",IF(OR(AO917&lt;&gt;"OK", AP917&lt;&gt;"OK", AQ917&lt;&gt;"OK"), "⚠️ REVISAR", "OK"))</f>
        <v/>
      </c>
    </row>
    <row r="918">
      <c r="A918" s="79">
        <f>IF('Ordenes_Odoo'!A918="","",'Ordenes_Odoo'!A918)</f>
        <v/>
      </c>
      <c r="B918" s="80">
        <f>IF('Ordenes_Odoo'!B918="","",'Ordenes_Odoo'!B918)</f>
        <v/>
      </c>
      <c r="C918" s="79">
        <f>IF('Ordenes_Odoo'!C918="","",'Ordenes_Odoo'!C918)</f>
        <v/>
      </c>
      <c r="D918" s="79">
        <f>IF('Ordenes_Odoo'!D918="","",'Ordenes_Odoo'!D918)</f>
        <v/>
      </c>
      <c r="E918" s="79">
        <f>IF('Ordenes_Odoo'!E918="","",'Ordenes_Odoo'!E918)</f>
        <v/>
      </c>
      <c r="F918" s="79">
        <f>IF('Ordenes_Odoo'!F918="","",'Ordenes_Odoo'!F918)</f>
        <v/>
      </c>
      <c r="G918" s="79">
        <f>IF('Ordenes_Odoo'!G918="","",'Ordenes_Odoo'!G918)</f>
        <v/>
      </c>
      <c r="H918" s="79">
        <f>IF('Ordenes_Odoo'!H918="","",'Ordenes_Odoo'!H918)</f>
        <v/>
      </c>
      <c r="I918" s="79">
        <f>IF('Ordenes_Odoo'!I918="","",'Ordenes_Odoo'!I918)</f>
        <v/>
      </c>
      <c r="J918" s="79">
        <f>IF('Ordenes_Odoo'!J918="","",'Ordenes_Odoo'!J918)</f>
        <v/>
      </c>
      <c r="K918" s="81">
        <f>IF('Ordenes_Odoo'!K918="","",'Ordenes_Odoo'!K918)</f>
        <v/>
      </c>
      <c r="L918" s="81">
        <f>IF('Ordenes_Odoo'!L918="","",'Ordenes_Odoo'!L918)</f>
        <v/>
      </c>
      <c r="M918" s="79">
        <f>IF('Ordenes_Odoo'!M918="","",'Ordenes_Odoo'!M918)</f>
        <v/>
      </c>
      <c r="N918" s="79">
        <f>IF('Ordenes_Odoo'!N918="","",'Ordenes_Odoo'!N918)</f>
        <v/>
      </c>
      <c r="O918" s="81">
        <f>IF('Ordenes_Odoo'!O918="","",'Ordenes_Odoo'!O918)</f>
        <v/>
      </c>
      <c r="P918" s="81">
        <f>IF('Ordenes_Odoo'!P918="","",'Ordenes_Odoo'!P918)</f>
        <v/>
      </c>
      <c r="Q918" s="79">
        <f>IF(A918="","",IFERROR(INDEX(Facturas_Odoo!$B:$B, MATCH(A918, Facturas_Odoo!$D:$D, 0)), "Sin Factura"))</f>
        <v/>
      </c>
      <c r="R918" s="80">
        <f>IF(Q918="Sin Factura","",IFERROR(INDEX(Facturas_Odoo!$A:$A, MATCH(Q918, Facturas_Odoo!$B:$B, 0)), ""))</f>
        <v/>
      </c>
      <c r="S918" s="79">
        <f>IF(Q918="Sin Factura","",IFERROR(_xlfn.XLOOKUP(1, (Facturas_Odoo!$D:$D=A918) * (Facturas_Odoo!$K:$K=I918), Facturas_Odoo!$L:$L, ""), ""))</f>
        <v/>
      </c>
      <c r="T918" s="81">
        <f>IF(Q918="Sin Factura",0,IFERROR(_xlfn.XLOOKUP(1, (Facturas_Odoo!$D:$D=A918) * (Facturas_Odoo!$K:$K=I918), Facturas_Odoo!$M:$M, 0), 0))</f>
        <v/>
      </c>
      <c r="U918" s="79">
        <f>IF(Q918="Sin Factura",0,IFERROR(_xlfn.XLOOKUP(1, (Facturas_Odoo!$D:$D=A918) * (Facturas_Odoo!$K:$K=I918), Facturas_Odoo!$N:$N, 0), 0))</f>
        <v/>
      </c>
      <c r="V918" s="79">
        <f>IF(Q918="Sin Factura",0,IFERROR(_xlfn.XLOOKUP(1, (Facturas_Odoo!$D:$D=A918) * (Facturas_Odoo!$K:$K=I918), Facturas_Odoo!$O:$O, 0), 0))</f>
        <v/>
      </c>
      <c r="W918" s="81">
        <f>IF(Q918="Sin Factura",0,IFERROR(_xlfn.XLOOKUP(1, (Facturas_Odoo!$D:$D=A918) * (Facturas_Odoo!$K:$K=I918), Facturas_Odoo!$Q:$Q, 0), 0))</f>
        <v/>
      </c>
      <c r="X918" s="79">
        <f>IF(OR(Q918="Sin Factura",Q918=""),"",IFERROR(INDEX(Pagos_Odoo!$B:$B, MATCH(Q918, Pagos_Odoo!$I:$I, 0)), "Sin Pago"))</f>
        <v/>
      </c>
      <c r="Y918" s="79">
        <f>IF(X918="Sin Pago","",IFERROR(INDEX(Pagos_Odoo!$C:$C, MATCH(X918, Pagos_Odoo!$B:$B, 0)), ""))</f>
        <v/>
      </c>
      <c r="Z918" s="80">
        <f>IF(X918="Sin Pago","",IFERROR(INDEX(Pagos_Odoo!$A:$A, MATCH(X918, Pagos_Odoo!$B:$B, 0)), ""))</f>
        <v/>
      </c>
      <c r="AA918" s="79">
        <f>IF(X918="Sin Pago","",IFERROR(INDEX(Pagos_Odoo!$F:$F, MATCH(X918, Pagos_Odoo!$B:$B, 0)), ""))</f>
        <v/>
      </c>
      <c r="AB918" s="81">
        <f>IF(X918="Sin Pago",0,IFERROR(INDEX(Pagos_Odoo!$E:$E, MATCH(X918, Pagos_Odoo!$B:$B, 0)), 0))</f>
        <v/>
      </c>
      <c r="AC918" s="79">
        <f>IF(X918="Sin Pago","",IFERROR(INDEX(Pagos_Odoo!$G:$G, MATCH(X918, Pagos_Odoo!$B:$B, 0)), ""))</f>
        <v/>
      </c>
      <c r="AD918" s="82" t="n">
        <v>0</v>
      </c>
      <c r="AE918" s="82" t="n"/>
      <c r="AF918" s="82" t="n"/>
      <c r="AG918" s="82">
        <f>IF(AN918="","",AD918+AE918+AF918)</f>
        <v/>
      </c>
      <c r="AH918" s="81">
        <f>IF(AN918="","",P918*(1-AG918))</f>
        <v/>
      </c>
      <c r="AI918" s="81">
        <f>IF(AN918="","",IF(Q918="Sin Factura",0,IFERROR(INDEX(Facturas_Odoo!$H:$H, MATCH(Q918, Facturas_Odoo!$B:$B, 0)), 0)*(1-AG918)))</f>
        <v/>
      </c>
      <c r="AJ918" s="81">
        <f>IF(AN918="","",_xlfn.LET(idVenta, AN918&amp;"",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18" s="81">
        <f>IF(AN918="","",AH918-AJ918)</f>
        <v/>
      </c>
      <c r="AL918" s="81">
        <f>IF(AN918="","",IF(Q918="Sin Factura","",AI918-AJ918))</f>
        <v/>
      </c>
      <c r="AM918" s="81">
        <f>IF(AN918="","",IF(Q918="Sin Factura",0,P918-IFERROR(INDEX(Facturas_Odoo!$H:$H, MATCH(Q918, Facturas_Odoo!$B:$B, 0)), 0)))</f>
        <v/>
      </c>
      <c r="AN918" s="79">
        <f>IF(AND(A918="", J918=""), "", IF(A918&lt;&gt;"", VALUE(MID(A918,2,LEN(A918))), AN917))</f>
        <v/>
      </c>
      <c r="AO918" s="79">
        <f>IF(AN918="","",IF(AD918=0,"OK",_xlfn.LET(monedaPago, IF(AA918="","USD",AA918), limitePermitido, IFERROR(VLOOKUP(monedaPago, Configuración!$A$2:$B$3, 2, FALSE), 0.15), IF(AD918&gt;limitePermitido, "ALERTA: EXCESO (" &amp; TEXT(limitePermitido, "0%") &amp; " máx)", "OK"))))</f>
        <v/>
      </c>
      <c r="AP918" s="79">
        <f>IF(AN918="","",IF(AE918=0,"OK",_xlfn.LET(fechaPago, Z918, fechaFactura, R918, diasCredito, IF(E918="Pago inmediato", 0, IFERROR(VALUE(MID(E918, 1, SEARCH(" ", E918)-1)),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18" s="79">
        <f>IF(AN918="","",IF(AND(N918&gt;0, AG918&gt;0), IF(Configuración!$K$2="NO", "ALERTA: DESCUENTO DOBLE NO PERMITIDO", "OK"), "OK"))</f>
        <v/>
      </c>
      <c r="AR918" s="79">
        <f>IF(AN918="","",IF(OR(AO918&lt;&gt;"OK", AP918&lt;&gt;"OK", AQ918&lt;&gt;"OK"), "⚠️ REVISAR", "OK"))</f>
        <v/>
      </c>
    </row>
    <row r="919">
      <c r="A919" s="79">
        <f>IF('Ordenes_Odoo'!A919="","",'Ordenes_Odoo'!A919)</f>
        <v/>
      </c>
      <c r="B919" s="80">
        <f>IF('Ordenes_Odoo'!B919="","",'Ordenes_Odoo'!B919)</f>
        <v/>
      </c>
      <c r="C919" s="79">
        <f>IF('Ordenes_Odoo'!C919="","",'Ordenes_Odoo'!C919)</f>
        <v/>
      </c>
      <c r="D919" s="79">
        <f>IF('Ordenes_Odoo'!D919="","",'Ordenes_Odoo'!D919)</f>
        <v/>
      </c>
      <c r="E919" s="79">
        <f>IF('Ordenes_Odoo'!E919="","",'Ordenes_Odoo'!E919)</f>
        <v/>
      </c>
      <c r="F919" s="79">
        <f>IF('Ordenes_Odoo'!F919="","",'Ordenes_Odoo'!F919)</f>
        <v/>
      </c>
      <c r="G919" s="79">
        <f>IF('Ordenes_Odoo'!G919="","",'Ordenes_Odoo'!G919)</f>
        <v/>
      </c>
      <c r="H919" s="79">
        <f>IF('Ordenes_Odoo'!H919="","",'Ordenes_Odoo'!H919)</f>
        <v/>
      </c>
      <c r="I919" s="79">
        <f>IF('Ordenes_Odoo'!I919="","",'Ordenes_Odoo'!I919)</f>
        <v/>
      </c>
      <c r="J919" s="79">
        <f>IF('Ordenes_Odoo'!J919="","",'Ordenes_Odoo'!J919)</f>
        <v/>
      </c>
      <c r="K919" s="81">
        <f>IF('Ordenes_Odoo'!K919="","",'Ordenes_Odoo'!K919)</f>
        <v/>
      </c>
      <c r="L919" s="81">
        <f>IF('Ordenes_Odoo'!L919="","",'Ordenes_Odoo'!L919)</f>
        <v/>
      </c>
      <c r="M919" s="79">
        <f>IF('Ordenes_Odoo'!M919="","",'Ordenes_Odoo'!M919)</f>
        <v/>
      </c>
      <c r="N919" s="79">
        <f>IF('Ordenes_Odoo'!N919="","",'Ordenes_Odoo'!N919)</f>
        <v/>
      </c>
      <c r="O919" s="81">
        <f>IF('Ordenes_Odoo'!O919="","",'Ordenes_Odoo'!O919)</f>
        <v/>
      </c>
      <c r="P919" s="81">
        <f>IF('Ordenes_Odoo'!P919="","",'Ordenes_Odoo'!P919)</f>
        <v/>
      </c>
      <c r="Q919" s="79">
        <f>IF(A919="","",IFERROR(INDEX(Facturas_Odoo!$B:$B, MATCH(A919, Facturas_Odoo!$D:$D, 0)), "Sin Factura"))</f>
        <v/>
      </c>
      <c r="R919" s="80">
        <f>IF(Q919="Sin Factura","",IFERROR(INDEX(Facturas_Odoo!$A:$A, MATCH(Q919, Facturas_Odoo!$B:$B, 0)), ""))</f>
        <v/>
      </c>
      <c r="S919" s="79">
        <f>IF(Q919="Sin Factura","",IFERROR(_xlfn.XLOOKUP(1, (Facturas_Odoo!$D:$D=A919) * (Facturas_Odoo!$K:$K=I919), Facturas_Odoo!$L:$L, ""), ""))</f>
        <v/>
      </c>
      <c r="T919" s="81">
        <f>IF(Q919="Sin Factura",0,IFERROR(_xlfn.XLOOKUP(1, (Facturas_Odoo!$D:$D=A919) * (Facturas_Odoo!$K:$K=I919), Facturas_Odoo!$M:$M, 0), 0))</f>
        <v/>
      </c>
      <c r="U919" s="79">
        <f>IF(Q919="Sin Factura",0,IFERROR(_xlfn.XLOOKUP(1, (Facturas_Odoo!$D:$D=A919) * (Facturas_Odoo!$K:$K=I919), Facturas_Odoo!$N:$N, 0), 0))</f>
        <v/>
      </c>
      <c r="V919" s="79">
        <f>IF(Q919="Sin Factura",0,IFERROR(_xlfn.XLOOKUP(1, (Facturas_Odoo!$D:$D=A919) * (Facturas_Odoo!$K:$K=I919), Facturas_Odoo!$O:$O, 0), 0))</f>
        <v/>
      </c>
      <c r="W919" s="81">
        <f>IF(Q919="Sin Factura",0,IFERROR(_xlfn.XLOOKUP(1, (Facturas_Odoo!$D:$D=A919) * (Facturas_Odoo!$K:$K=I919), Facturas_Odoo!$Q:$Q, 0), 0))</f>
        <v/>
      </c>
      <c r="X919" s="79">
        <f>IF(OR(Q919="Sin Factura",Q919=""),"",IFERROR(INDEX(Pagos_Odoo!$B:$B, MATCH(Q919, Pagos_Odoo!$I:$I, 0)), "Sin Pago"))</f>
        <v/>
      </c>
      <c r="Y919" s="79">
        <f>IF(X919="Sin Pago","",IFERROR(INDEX(Pagos_Odoo!$C:$C, MATCH(X919, Pagos_Odoo!$B:$B, 0)), ""))</f>
        <v/>
      </c>
      <c r="Z919" s="80">
        <f>IF(X919="Sin Pago","",IFERROR(INDEX(Pagos_Odoo!$A:$A, MATCH(X919, Pagos_Odoo!$B:$B, 0)), ""))</f>
        <v/>
      </c>
      <c r="AA919" s="79">
        <f>IF(X919="Sin Pago","",IFERROR(INDEX(Pagos_Odoo!$F:$F, MATCH(X919, Pagos_Odoo!$B:$B, 0)), ""))</f>
        <v/>
      </c>
      <c r="AB919" s="81">
        <f>IF(X919="Sin Pago",0,IFERROR(INDEX(Pagos_Odoo!$E:$E, MATCH(X919, Pagos_Odoo!$B:$B, 0)), 0))</f>
        <v/>
      </c>
      <c r="AC919" s="79">
        <f>IF(X919="Sin Pago","",IFERROR(INDEX(Pagos_Odoo!$G:$G, MATCH(X919, Pagos_Odoo!$B:$B, 0)), ""))</f>
        <v/>
      </c>
      <c r="AD919" s="82" t="n">
        <v>0</v>
      </c>
      <c r="AE919" s="82" t="n"/>
      <c r="AF919" s="82" t="n"/>
      <c r="AG919" s="82">
        <f>IF(AN919="","",AD919+AE919+AF919)</f>
        <v/>
      </c>
      <c r="AH919" s="81">
        <f>IF(AN919="","",P919*(1-AG919))</f>
        <v/>
      </c>
      <c r="AI919" s="81">
        <f>IF(AN919="","",IF(Q919="Sin Factura",0,IFERROR(INDEX(Facturas_Odoo!$H:$H, MATCH(Q919, Facturas_Odoo!$B:$B, 0)), 0)*(1-AG919)))</f>
        <v/>
      </c>
      <c r="AJ919" s="81">
        <f>IF(AN919="","",_xlfn.LET(idVenta, AN919&amp;"",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19" s="81">
        <f>IF(AN919="","",AH919-AJ919)</f>
        <v/>
      </c>
      <c r="AL919" s="81">
        <f>IF(AN919="","",IF(Q919="Sin Factura","",AI919-AJ919))</f>
        <v/>
      </c>
      <c r="AM919" s="81">
        <f>IF(AN919="","",IF(Q919="Sin Factura",0,P919-IFERROR(INDEX(Facturas_Odoo!$H:$H, MATCH(Q919, Facturas_Odoo!$B:$B, 0)), 0)))</f>
        <v/>
      </c>
      <c r="AN919" s="79">
        <f>IF(AND(A919="", J919=""), "", IF(A919&lt;&gt;"", VALUE(MID(A919,2,LEN(A919))), AN918))</f>
        <v/>
      </c>
      <c r="AO919" s="79">
        <f>IF(AN919="","",IF(AD919=0,"OK",_xlfn.LET(monedaPago, IF(AA919="","USD",AA919), limitePermitido, IFERROR(VLOOKUP(monedaPago, Configuración!$A$2:$B$3, 2, FALSE), 0.15), IF(AD919&gt;limitePermitido, "ALERTA: EXCESO (" &amp; TEXT(limitePermitido, "0%") &amp; " máx)", "OK"))))</f>
        <v/>
      </c>
      <c r="AP919" s="79">
        <f>IF(AN919="","",IF(AE919=0,"OK",_xlfn.LET(fechaPago, Z919, fechaFactura, R919, diasCredito, IF(E919="Pago inmediato", 0, IFERROR(VALUE(MID(E919, 1, SEARCH(" ", E919)-1)),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19" s="79">
        <f>IF(AN919="","",IF(AND(N919&gt;0, AG919&gt;0), IF(Configuración!$K$2="NO", "ALERTA: DESCUENTO DOBLE NO PERMITIDO", "OK"), "OK"))</f>
        <v/>
      </c>
      <c r="AR919" s="79">
        <f>IF(AN919="","",IF(OR(AO919&lt;&gt;"OK", AP919&lt;&gt;"OK", AQ919&lt;&gt;"OK"), "⚠️ REVISAR", "OK"))</f>
        <v/>
      </c>
    </row>
    <row r="920">
      <c r="A920" s="79">
        <f>IF('Ordenes_Odoo'!A920="","",'Ordenes_Odoo'!A920)</f>
        <v/>
      </c>
      <c r="B920" s="80">
        <f>IF('Ordenes_Odoo'!B920="","",'Ordenes_Odoo'!B920)</f>
        <v/>
      </c>
      <c r="C920" s="79">
        <f>IF('Ordenes_Odoo'!C920="","",'Ordenes_Odoo'!C920)</f>
        <v/>
      </c>
      <c r="D920" s="79">
        <f>IF('Ordenes_Odoo'!D920="","",'Ordenes_Odoo'!D920)</f>
        <v/>
      </c>
      <c r="E920" s="79">
        <f>IF('Ordenes_Odoo'!E920="","",'Ordenes_Odoo'!E920)</f>
        <v/>
      </c>
      <c r="F920" s="79">
        <f>IF('Ordenes_Odoo'!F920="","",'Ordenes_Odoo'!F920)</f>
        <v/>
      </c>
      <c r="G920" s="79">
        <f>IF('Ordenes_Odoo'!G920="","",'Ordenes_Odoo'!G920)</f>
        <v/>
      </c>
      <c r="H920" s="79">
        <f>IF('Ordenes_Odoo'!H920="","",'Ordenes_Odoo'!H920)</f>
        <v/>
      </c>
      <c r="I920" s="79">
        <f>IF('Ordenes_Odoo'!I920="","",'Ordenes_Odoo'!I920)</f>
        <v/>
      </c>
      <c r="J920" s="79">
        <f>IF('Ordenes_Odoo'!J920="","",'Ordenes_Odoo'!J920)</f>
        <v/>
      </c>
      <c r="K920" s="81">
        <f>IF('Ordenes_Odoo'!K920="","",'Ordenes_Odoo'!K920)</f>
        <v/>
      </c>
      <c r="L920" s="81">
        <f>IF('Ordenes_Odoo'!L920="","",'Ordenes_Odoo'!L920)</f>
        <v/>
      </c>
      <c r="M920" s="79">
        <f>IF('Ordenes_Odoo'!M920="","",'Ordenes_Odoo'!M920)</f>
        <v/>
      </c>
      <c r="N920" s="79">
        <f>IF('Ordenes_Odoo'!N920="","",'Ordenes_Odoo'!N920)</f>
        <v/>
      </c>
      <c r="O920" s="81">
        <f>IF('Ordenes_Odoo'!O920="","",'Ordenes_Odoo'!O920)</f>
        <v/>
      </c>
      <c r="P920" s="81">
        <f>IF('Ordenes_Odoo'!P920="","",'Ordenes_Odoo'!P920)</f>
        <v/>
      </c>
      <c r="Q920" s="79">
        <f>IF(A920="","",IFERROR(INDEX(Facturas_Odoo!$B:$B, MATCH(A920, Facturas_Odoo!$D:$D, 0)), "Sin Factura"))</f>
        <v/>
      </c>
      <c r="R920" s="80">
        <f>IF(Q920="Sin Factura","",IFERROR(INDEX(Facturas_Odoo!$A:$A, MATCH(Q920, Facturas_Odoo!$B:$B, 0)), ""))</f>
        <v/>
      </c>
      <c r="S920" s="79">
        <f>IF(Q920="Sin Factura","",IFERROR(_xlfn.XLOOKUP(1, (Facturas_Odoo!$D:$D=A920) * (Facturas_Odoo!$K:$K=I920), Facturas_Odoo!$L:$L, ""), ""))</f>
        <v/>
      </c>
      <c r="T920" s="81">
        <f>IF(Q920="Sin Factura",0,IFERROR(_xlfn.XLOOKUP(1, (Facturas_Odoo!$D:$D=A920) * (Facturas_Odoo!$K:$K=I920), Facturas_Odoo!$M:$M, 0), 0))</f>
        <v/>
      </c>
      <c r="U920" s="79">
        <f>IF(Q920="Sin Factura",0,IFERROR(_xlfn.XLOOKUP(1, (Facturas_Odoo!$D:$D=A920) * (Facturas_Odoo!$K:$K=I920), Facturas_Odoo!$N:$N, 0), 0))</f>
        <v/>
      </c>
      <c r="V920" s="79">
        <f>IF(Q920="Sin Factura",0,IFERROR(_xlfn.XLOOKUP(1, (Facturas_Odoo!$D:$D=A920) * (Facturas_Odoo!$K:$K=I920), Facturas_Odoo!$O:$O, 0), 0))</f>
        <v/>
      </c>
      <c r="W920" s="81">
        <f>IF(Q920="Sin Factura",0,IFERROR(_xlfn.XLOOKUP(1, (Facturas_Odoo!$D:$D=A920) * (Facturas_Odoo!$K:$K=I920), Facturas_Odoo!$Q:$Q, 0), 0))</f>
        <v/>
      </c>
      <c r="X920" s="79">
        <f>IF(OR(Q920="Sin Factura",Q920=""),"",IFERROR(INDEX(Pagos_Odoo!$B:$B, MATCH(Q920, Pagos_Odoo!$I:$I, 0)), "Sin Pago"))</f>
        <v/>
      </c>
      <c r="Y920" s="79">
        <f>IF(X920="Sin Pago","",IFERROR(INDEX(Pagos_Odoo!$C:$C, MATCH(X920, Pagos_Odoo!$B:$B, 0)), ""))</f>
        <v/>
      </c>
      <c r="Z920" s="80">
        <f>IF(X920="Sin Pago","",IFERROR(INDEX(Pagos_Odoo!$A:$A, MATCH(X920, Pagos_Odoo!$B:$B, 0)), ""))</f>
        <v/>
      </c>
      <c r="AA920" s="79">
        <f>IF(X920="Sin Pago","",IFERROR(INDEX(Pagos_Odoo!$F:$F, MATCH(X920, Pagos_Odoo!$B:$B, 0)), ""))</f>
        <v/>
      </c>
      <c r="AB920" s="81">
        <f>IF(X920="Sin Pago",0,IFERROR(INDEX(Pagos_Odoo!$E:$E, MATCH(X920, Pagos_Odoo!$B:$B, 0)), 0))</f>
        <v/>
      </c>
      <c r="AC920" s="79">
        <f>IF(X920="Sin Pago","",IFERROR(INDEX(Pagos_Odoo!$G:$G, MATCH(X920, Pagos_Odoo!$B:$B, 0)), ""))</f>
        <v/>
      </c>
      <c r="AD920" s="82" t="n">
        <v>0</v>
      </c>
      <c r="AE920" s="82" t="n"/>
      <c r="AF920" s="82" t="n"/>
      <c r="AG920" s="82">
        <f>IF(AN920="","",AD920+AE920+AF920)</f>
        <v/>
      </c>
      <c r="AH920" s="81">
        <f>IF(AN920="","",P920*(1-AG920))</f>
        <v/>
      </c>
      <c r="AI920" s="81">
        <f>IF(AN920="","",IF(Q920="Sin Factura",0,IFERROR(INDEX(Facturas_Odoo!$H:$H, MATCH(Q920, Facturas_Odoo!$B:$B, 0)), 0)*(1-AG920)))</f>
        <v/>
      </c>
      <c r="AJ920" s="81">
        <f>IF(AN920="","",_xlfn.LET(idVenta, AN920&amp;"",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20" s="81">
        <f>IF(AN920="","",AH920-AJ920)</f>
        <v/>
      </c>
      <c r="AL920" s="81">
        <f>IF(AN920="","",IF(Q920="Sin Factura","",AI920-AJ920))</f>
        <v/>
      </c>
      <c r="AM920" s="81">
        <f>IF(AN920="","",IF(Q920="Sin Factura",0,P920-IFERROR(INDEX(Facturas_Odoo!$H:$H, MATCH(Q920, Facturas_Odoo!$B:$B, 0)), 0)))</f>
        <v/>
      </c>
      <c r="AN920" s="79">
        <f>IF(AND(A920="", J920=""), "", IF(A920&lt;&gt;"", VALUE(MID(A920,2,LEN(A920))), AN919))</f>
        <v/>
      </c>
      <c r="AO920" s="79">
        <f>IF(AN920="","",IF(AD920=0,"OK",_xlfn.LET(monedaPago, IF(AA920="","USD",AA920), limitePermitido, IFERROR(VLOOKUP(monedaPago, Configuración!$A$2:$B$3, 2, FALSE), 0.15), IF(AD920&gt;limitePermitido, "ALERTA: EXCESO (" &amp; TEXT(limitePermitido, "0%") &amp; " máx)", "OK"))))</f>
        <v/>
      </c>
      <c r="AP920" s="79">
        <f>IF(AN920="","",IF(AE920=0,"OK",_xlfn.LET(fechaPago, Z920, fechaFactura, R920, diasCredito, IF(E920="Pago inmediato", 0, IFERROR(VALUE(MID(E920, 1, SEARCH(" ", E920)-1)),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20" s="79">
        <f>IF(AN920="","",IF(AND(N920&gt;0, AG920&gt;0), IF(Configuración!$K$2="NO", "ALERTA: DESCUENTO DOBLE NO PERMITIDO", "OK"), "OK"))</f>
        <v/>
      </c>
      <c r="AR920" s="79">
        <f>IF(AN920="","",IF(OR(AO920&lt;&gt;"OK", AP920&lt;&gt;"OK", AQ920&lt;&gt;"OK"), "⚠️ REVISAR", "OK"))</f>
        <v/>
      </c>
    </row>
    <row r="921">
      <c r="A921" s="79">
        <f>IF('Ordenes_Odoo'!A921="","",'Ordenes_Odoo'!A921)</f>
        <v/>
      </c>
      <c r="B921" s="80">
        <f>IF('Ordenes_Odoo'!B921="","",'Ordenes_Odoo'!B921)</f>
        <v/>
      </c>
      <c r="C921" s="79">
        <f>IF('Ordenes_Odoo'!C921="","",'Ordenes_Odoo'!C921)</f>
        <v/>
      </c>
      <c r="D921" s="79">
        <f>IF('Ordenes_Odoo'!D921="","",'Ordenes_Odoo'!D921)</f>
        <v/>
      </c>
      <c r="E921" s="79">
        <f>IF('Ordenes_Odoo'!E921="","",'Ordenes_Odoo'!E921)</f>
        <v/>
      </c>
      <c r="F921" s="79">
        <f>IF('Ordenes_Odoo'!F921="","",'Ordenes_Odoo'!F921)</f>
        <v/>
      </c>
      <c r="G921" s="79">
        <f>IF('Ordenes_Odoo'!G921="","",'Ordenes_Odoo'!G921)</f>
        <v/>
      </c>
      <c r="H921" s="79">
        <f>IF('Ordenes_Odoo'!H921="","",'Ordenes_Odoo'!H921)</f>
        <v/>
      </c>
      <c r="I921" s="79">
        <f>IF('Ordenes_Odoo'!I921="","",'Ordenes_Odoo'!I921)</f>
        <v/>
      </c>
      <c r="J921" s="79">
        <f>IF('Ordenes_Odoo'!J921="","",'Ordenes_Odoo'!J921)</f>
        <v/>
      </c>
      <c r="K921" s="81">
        <f>IF('Ordenes_Odoo'!K921="","",'Ordenes_Odoo'!K921)</f>
        <v/>
      </c>
      <c r="L921" s="81">
        <f>IF('Ordenes_Odoo'!L921="","",'Ordenes_Odoo'!L921)</f>
        <v/>
      </c>
      <c r="M921" s="79">
        <f>IF('Ordenes_Odoo'!M921="","",'Ordenes_Odoo'!M921)</f>
        <v/>
      </c>
      <c r="N921" s="79">
        <f>IF('Ordenes_Odoo'!N921="","",'Ordenes_Odoo'!N921)</f>
        <v/>
      </c>
      <c r="O921" s="81">
        <f>IF('Ordenes_Odoo'!O921="","",'Ordenes_Odoo'!O921)</f>
        <v/>
      </c>
      <c r="P921" s="81">
        <f>IF('Ordenes_Odoo'!P921="","",'Ordenes_Odoo'!P921)</f>
        <v/>
      </c>
      <c r="Q921" s="79">
        <f>IF(A921="","",IFERROR(INDEX(Facturas_Odoo!$B:$B, MATCH(A921, Facturas_Odoo!$D:$D, 0)), "Sin Factura"))</f>
        <v/>
      </c>
      <c r="R921" s="80">
        <f>IF(Q921="Sin Factura","",IFERROR(INDEX(Facturas_Odoo!$A:$A, MATCH(Q921, Facturas_Odoo!$B:$B, 0)), ""))</f>
        <v/>
      </c>
      <c r="S921" s="79">
        <f>IF(Q921="Sin Factura","",IFERROR(_xlfn.XLOOKUP(1, (Facturas_Odoo!$D:$D=A921) * (Facturas_Odoo!$K:$K=I921), Facturas_Odoo!$L:$L, ""), ""))</f>
        <v/>
      </c>
      <c r="T921" s="81">
        <f>IF(Q921="Sin Factura",0,IFERROR(_xlfn.XLOOKUP(1, (Facturas_Odoo!$D:$D=A921) * (Facturas_Odoo!$K:$K=I921), Facturas_Odoo!$M:$M, 0), 0))</f>
        <v/>
      </c>
      <c r="U921" s="79">
        <f>IF(Q921="Sin Factura",0,IFERROR(_xlfn.XLOOKUP(1, (Facturas_Odoo!$D:$D=A921) * (Facturas_Odoo!$K:$K=I921), Facturas_Odoo!$N:$N, 0), 0))</f>
        <v/>
      </c>
      <c r="V921" s="79">
        <f>IF(Q921="Sin Factura",0,IFERROR(_xlfn.XLOOKUP(1, (Facturas_Odoo!$D:$D=A921) * (Facturas_Odoo!$K:$K=I921), Facturas_Odoo!$O:$O, 0), 0))</f>
        <v/>
      </c>
      <c r="W921" s="81">
        <f>IF(Q921="Sin Factura",0,IFERROR(_xlfn.XLOOKUP(1, (Facturas_Odoo!$D:$D=A921) * (Facturas_Odoo!$K:$K=I921), Facturas_Odoo!$Q:$Q, 0), 0))</f>
        <v/>
      </c>
      <c r="X921" s="79">
        <f>IF(OR(Q921="Sin Factura",Q921=""),"",IFERROR(INDEX(Pagos_Odoo!$B:$B, MATCH(Q921, Pagos_Odoo!$I:$I, 0)), "Sin Pago"))</f>
        <v/>
      </c>
      <c r="Y921" s="79">
        <f>IF(X921="Sin Pago","",IFERROR(INDEX(Pagos_Odoo!$C:$C, MATCH(X921, Pagos_Odoo!$B:$B, 0)), ""))</f>
        <v/>
      </c>
      <c r="Z921" s="80">
        <f>IF(X921="Sin Pago","",IFERROR(INDEX(Pagos_Odoo!$A:$A, MATCH(X921, Pagos_Odoo!$B:$B, 0)), ""))</f>
        <v/>
      </c>
      <c r="AA921" s="79">
        <f>IF(X921="Sin Pago","",IFERROR(INDEX(Pagos_Odoo!$F:$F, MATCH(X921, Pagos_Odoo!$B:$B, 0)), ""))</f>
        <v/>
      </c>
      <c r="AB921" s="81">
        <f>IF(X921="Sin Pago",0,IFERROR(INDEX(Pagos_Odoo!$E:$E, MATCH(X921, Pagos_Odoo!$B:$B, 0)), 0))</f>
        <v/>
      </c>
      <c r="AC921" s="79">
        <f>IF(X921="Sin Pago","",IFERROR(INDEX(Pagos_Odoo!$G:$G, MATCH(X921, Pagos_Odoo!$B:$B, 0)), ""))</f>
        <v/>
      </c>
      <c r="AD921" s="82" t="n">
        <v>0</v>
      </c>
      <c r="AE921" s="82" t="n"/>
      <c r="AF921" s="82" t="n"/>
      <c r="AG921" s="82">
        <f>IF(AN921="","",AD921+AE921+AF921)</f>
        <v/>
      </c>
      <c r="AH921" s="81">
        <f>IF(AN921="","",P921*(1-AG921))</f>
        <v/>
      </c>
      <c r="AI921" s="81">
        <f>IF(AN921="","",IF(Q921="Sin Factura",0,IFERROR(INDEX(Facturas_Odoo!$H:$H, MATCH(Q921, Facturas_Odoo!$B:$B, 0)), 0)*(1-AG921)))</f>
        <v/>
      </c>
      <c r="AJ921" s="81">
        <f>IF(AN921="","",_xlfn.LET(idVenta, AN921&amp;"",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21" s="81">
        <f>IF(AN921="","",AH921-AJ921)</f>
        <v/>
      </c>
      <c r="AL921" s="81">
        <f>IF(AN921="","",IF(Q921="Sin Factura","",AI921-AJ921))</f>
        <v/>
      </c>
      <c r="AM921" s="81">
        <f>IF(AN921="","",IF(Q921="Sin Factura",0,P921-IFERROR(INDEX(Facturas_Odoo!$H:$H, MATCH(Q921, Facturas_Odoo!$B:$B, 0)), 0)))</f>
        <v/>
      </c>
      <c r="AN921" s="79">
        <f>IF(AND(A921="", J921=""), "", IF(A921&lt;&gt;"", VALUE(MID(A921,2,LEN(A921))), AN920))</f>
        <v/>
      </c>
      <c r="AO921" s="79">
        <f>IF(AN921="","",IF(AD921=0,"OK",_xlfn.LET(monedaPago, IF(AA921="","USD",AA921), limitePermitido, IFERROR(VLOOKUP(monedaPago, Configuración!$A$2:$B$3, 2, FALSE), 0.15), IF(AD921&gt;limitePermitido, "ALERTA: EXCESO (" &amp; TEXT(limitePermitido, "0%") &amp; " máx)", "OK"))))</f>
        <v/>
      </c>
      <c r="AP921" s="79">
        <f>IF(AN921="","",IF(AE921=0,"OK",_xlfn.LET(fechaPago, Z921, fechaFactura, R921, diasCredito, IF(E921="Pago inmediato", 0, IFERROR(VALUE(MID(E921, 1, SEARCH(" ", E921)-1)),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21" s="79">
        <f>IF(AN921="","",IF(AND(N921&gt;0, AG921&gt;0), IF(Configuración!$K$2="NO", "ALERTA: DESCUENTO DOBLE NO PERMITIDO", "OK"), "OK"))</f>
        <v/>
      </c>
      <c r="AR921" s="79">
        <f>IF(AN921="","",IF(OR(AO921&lt;&gt;"OK", AP921&lt;&gt;"OK", AQ921&lt;&gt;"OK"), "⚠️ REVISAR", "OK"))</f>
        <v/>
      </c>
    </row>
    <row r="922">
      <c r="A922" s="79">
        <f>IF('Ordenes_Odoo'!A922="","",'Ordenes_Odoo'!A922)</f>
        <v/>
      </c>
      <c r="B922" s="80">
        <f>IF('Ordenes_Odoo'!B922="","",'Ordenes_Odoo'!B922)</f>
        <v/>
      </c>
      <c r="C922" s="79">
        <f>IF('Ordenes_Odoo'!C922="","",'Ordenes_Odoo'!C922)</f>
        <v/>
      </c>
      <c r="D922" s="79">
        <f>IF('Ordenes_Odoo'!D922="","",'Ordenes_Odoo'!D922)</f>
        <v/>
      </c>
      <c r="E922" s="79">
        <f>IF('Ordenes_Odoo'!E922="","",'Ordenes_Odoo'!E922)</f>
        <v/>
      </c>
      <c r="F922" s="79">
        <f>IF('Ordenes_Odoo'!F922="","",'Ordenes_Odoo'!F922)</f>
        <v/>
      </c>
      <c r="G922" s="79">
        <f>IF('Ordenes_Odoo'!G922="","",'Ordenes_Odoo'!G922)</f>
        <v/>
      </c>
      <c r="H922" s="79">
        <f>IF('Ordenes_Odoo'!H922="","",'Ordenes_Odoo'!H922)</f>
        <v/>
      </c>
      <c r="I922" s="79">
        <f>IF('Ordenes_Odoo'!I922="","",'Ordenes_Odoo'!I922)</f>
        <v/>
      </c>
      <c r="J922" s="79">
        <f>IF('Ordenes_Odoo'!J922="","",'Ordenes_Odoo'!J922)</f>
        <v/>
      </c>
      <c r="K922" s="81">
        <f>IF('Ordenes_Odoo'!K922="","",'Ordenes_Odoo'!K922)</f>
        <v/>
      </c>
      <c r="L922" s="81">
        <f>IF('Ordenes_Odoo'!L922="","",'Ordenes_Odoo'!L922)</f>
        <v/>
      </c>
      <c r="M922" s="79">
        <f>IF('Ordenes_Odoo'!M922="","",'Ordenes_Odoo'!M922)</f>
        <v/>
      </c>
      <c r="N922" s="79">
        <f>IF('Ordenes_Odoo'!N922="","",'Ordenes_Odoo'!N922)</f>
        <v/>
      </c>
      <c r="O922" s="81">
        <f>IF('Ordenes_Odoo'!O922="","",'Ordenes_Odoo'!O922)</f>
        <v/>
      </c>
      <c r="P922" s="81">
        <f>IF('Ordenes_Odoo'!P922="","",'Ordenes_Odoo'!P922)</f>
        <v/>
      </c>
      <c r="Q922" s="79">
        <f>IF(A922="","",IFERROR(INDEX(Facturas_Odoo!$B:$B, MATCH(A922, Facturas_Odoo!$D:$D, 0)), "Sin Factura"))</f>
        <v/>
      </c>
      <c r="R922" s="80">
        <f>IF(Q922="Sin Factura","",IFERROR(INDEX(Facturas_Odoo!$A:$A, MATCH(Q922, Facturas_Odoo!$B:$B, 0)), ""))</f>
        <v/>
      </c>
      <c r="S922" s="79">
        <f>IF(Q922="Sin Factura","",IFERROR(_xlfn.XLOOKUP(1, (Facturas_Odoo!$D:$D=A922) * (Facturas_Odoo!$K:$K=I922), Facturas_Odoo!$L:$L, ""), ""))</f>
        <v/>
      </c>
      <c r="T922" s="81">
        <f>IF(Q922="Sin Factura",0,IFERROR(_xlfn.XLOOKUP(1, (Facturas_Odoo!$D:$D=A922) * (Facturas_Odoo!$K:$K=I922), Facturas_Odoo!$M:$M, 0), 0))</f>
        <v/>
      </c>
      <c r="U922" s="79">
        <f>IF(Q922="Sin Factura",0,IFERROR(_xlfn.XLOOKUP(1, (Facturas_Odoo!$D:$D=A922) * (Facturas_Odoo!$K:$K=I922), Facturas_Odoo!$N:$N, 0), 0))</f>
        <v/>
      </c>
      <c r="V922" s="79">
        <f>IF(Q922="Sin Factura",0,IFERROR(_xlfn.XLOOKUP(1, (Facturas_Odoo!$D:$D=A922) * (Facturas_Odoo!$K:$K=I922), Facturas_Odoo!$O:$O, 0), 0))</f>
        <v/>
      </c>
      <c r="W922" s="81">
        <f>IF(Q922="Sin Factura",0,IFERROR(_xlfn.XLOOKUP(1, (Facturas_Odoo!$D:$D=A922) * (Facturas_Odoo!$K:$K=I922), Facturas_Odoo!$Q:$Q, 0), 0))</f>
        <v/>
      </c>
      <c r="X922" s="79">
        <f>IF(OR(Q922="Sin Factura",Q922=""),"",IFERROR(INDEX(Pagos_Odoo!$B:$B, MATCH(Q922, Pagos_Odoo!$I:$I, 0)), "Sin Pago"))</f>
        <v/>
      </c>
      <c r="Y922" s="79">
        <f>IF(X922="Sin Pago","",IFERROR(INDEX(Pagos_Odoo!$C:$C, MATCH(X922, Pagos_Odoo!$B:$B, 0)), ""))</f>
        <v/>
      </c>
      <c r="Z922" s="80">
        <f>IF(X922="Sin Pago","",IFERROR(INDEX(Pagos_Odoo!$A:$A, MATCH(X922, Pagos_Odoo!$B:$B, 0)), ""))</f>
        <v/>
      </c>
      <c r="AA922" s="79">
        <f>IF(X922="Sin Pago","",IFERROR(INDEX(Pagos_Odoo!$F:$F, MATCH(X922, Pagos_Odoo!$B:$B, 0)), ""))</f>
        <v/>
      </c>
      <c r="AB922" s="81">
        <f>IF(X922="Sin Pago",0,IFERROR(INDEX(Pagos_Odoo!$E:$E, MATCH(X922, Pagos_Odoo!$B:$B, 0)), 0))</f>
        <v/>
      </c>
      <c r="AC922" s="79">
        <f>IF(X922="Sin Pago","",IFERROR(INDEX(Pagos_Odoo!$G:$G, MATCH(X922, Pagos_Odoo!$B:$B, 0)), ""))</f>
        <v/>
      </c>
      <c r="AD922" s="82" t="n">
        <v>0</v>
      </c>
      <c r="AE922" s="82" t="n"/>
      <c r="AF922" s="82" t="n"/>
      <c r="AG922" s="82">
        <f>IF(AN922="","",AD922+AE922+AF922)</f>
        <v/>
      </c>
      <c r="AH922" s="81">
        <f>IF(AN922="","",P922*(1-AG922))</f>
        <v/>
      </c>
      <c r="AI922" s="81">
        <f>IF(AN922="","",IF(Q922="Sin Factura",0,IFERROR(INDEX(Facturas_Odoo!$H:$H, MATCH(Q922, Facturas_Odoo!$B:$B, 0)), 0)*(1-AG922)))</f>
        <v/>
      </c>
      <c r="AJ922" s="81">
        <f>IF(AN922="","",_xlfn.LET(idVenta, AN922&amp;"",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22" s="81">
        <f>IF(AN922="","",AH922-AJ922)</f>
        <v/>
      </c>
      <c r="AL922" s="81">
        <f>IF(AN922="","",IF(Q922="Sin Factura","",AI922-AJ922))</f>
        <v/>
      </c>
      <c r="AM922" s="81">
        <f>IF(AN922="","",IF(Q922="Sin Factura",0,P922-IFERROR(INDEX(Facturas_Odoo!$H:$H, MATCH(Q922, Facturas_Odoo!$B:$B, 0)), 0)))</f>
        <v/>
      </c>
      <c r="AN922" s="79">
        <f>IF(AND(A922="", J922=""), "", IF(A922&lt;&gt;"", VALUE(MID(A922,2,LEN(A922))), AN921))</f>
        <v/>
      </c>
      <c r="AO922" s="79">
        <f>IF(AN922="","",IF(AD922=0,"OK",_xlfn.LET(monedaPago, IF(AA922="","USD",AA922), limitePermitido, IFERROR(VLOOKUP(monedaPago, Configuración!$A$2:$B$3, 2, FALSE), 0.15), IF(AD922&gt;limitePermitido, "ALERTA: EXCESO (" &amp; TEXT(limitePermitido, "0%") &amp; " máx)", "OK"))))</f>
        <v/>
      </c>
      <c r="AP922" s="79">
        <f>IF(AN922="","",IF(AE922=0,"OK",_xlfn.LET(fechaPago, Z922, fechaFactura, R922, diasCredito, IF(E922="Pago inmediato", 0, IFERROR(VALUE(MID(E922, 1, SEARCH(" ", E922)-1)),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22" s="79">
        <f>IF(AN922="","",IF(AND(N922&gt;0, AG922&gt;0), IF(Configuración!$K$2="NO", "ALERTA: DESCUENTO DOBLE NO PERMITIDO", "OK"), "OK"))</f>
        <v/>
      </c>
      <c r="AR922" s="79">
        <f>IF(AN922="","",IF(OR(AO922&lt;&gt;"OK", AP922&lt;&gt;"OK", AQ922&lt;&gt;"OK"), "⚠️ REVISAR", "OK"))</f>
        <v/>
      </c>
    </row>
    <row r="923">
      <c r="A923" s="79">
        <f>IF('Ordenes_Odoo'!A923="","",'Ordenes_Odoo'!A923)</f>
        <v/>
      </c>
      <c r="B923" s="80">
        <f>IF('Ordenes_Odoo'!B923="","",'Ordenes_Odoo'!B923)</f>
        <v/>
      </c>
      <c r="C923" s="79">
        <f>IF('Ordenes_Odoo'!C923="","",'Ordenes_Odoo'!C923)</f>
        <v/>
      </c>
      <c r="D923" s="79">
        <f>IF('Ordenes_Odoo'!D923="","",'Ordenes_Odoo'!D923)</f>
        <v/>
      </c>
      <c r="E923" s="79">
        <f>IF('Ordenes_Odoo'!E923="","",'Ordenes_Odoo'!E923)</f>
        <v/>
      </c>
      <c r="F923" s="79">
        <f>IF('Ordenes_Odoo'!F923="","",'Ordenes_Odoo'!F923)</f>
        <v/>
      </c>
      <c r="G923" s="79">
        <f>IF('Ordenes_Odoo'!G923="","",'Ordenes_Odoo'!G923)</f>
        <v/>
      </c>
      <c r="H923" s="79">
        <f>IF('Ordenes_Odoo'!H923="","",'Ordenes_Odoo'!H923)</f>
        <v/>
      </c>
      <c r="I923" s="79">
        <f>IF('Ordenes_Odoo'!I923="","",'Ordenes_Odoo'!I923)</f>
        <v/>
      </c>
      <c r="J923" s="79">
        <f>IF('Ordenes_Odoo'!J923="","",'Ordenes_Odoo'!J923)</f>
        <v/>
      </c>
      <c r="K923" s="81">
        <f>IF('Ordenes_Odoo'!K923="","",'Ordenes_Odoo'!K923)</f>
        <v/>
      </c>
      <c r="L923" s="81">
        <f>IF('Ordenes_Odoo'!L923="","",'Ordenes_Odoo'!L923)</f>
        <v/>
      </c>
      <c r="M923" s="79">
        <f>IF('Ordenes_Odoo'!M923="","",'Ordenes_Odoo'!M923)</f>
        <v/>
      </c>
      <c r="N923" s="79">
        <f>IF('Ordenes_Odoo'!N923="","",'Ordenes_Odoo'!N923)</f>
        <v/>
      </c>
      <c r="O923" s="81">
        <f>IF('Ordenes_Odoo'!O923="","",'Ordenes_Odoo'!O923)</f>
        <v/>
      </c>
      <c r="P923" s="81">
        <f>IF('Ordenes_Odoo'!P923="","",'Ordenes_Odoo'!P923)</f>
        <v/>
      </c>
      <c r="Q923" s="79">
        <f>IF(A923="","",IFERROR(INDEX(Facturas_Odoo!$B:$B, MATCH(A923, Facturas_Odoo!$D:$D, 0)), "Sin Factura"))</f>
        <v/>
      </c>
      <c r="R923" s="80">
        <f>IF(Q923="Sin Factura","",IFERROR(INDEX(Facturas_Odoo!$A:$A, MATCH(Q923, Facturas_Odoo!$B:$B, 0)), ""))</f>
        <v/>
      </c>
      <c r="S923" s="79">
        <f>IF(Q923="Sin Factura","",IFERROR(_xlfn.XLOOKUP(1, (Facturas_Odoo!$D:$D=A923) * (Facturas_Odoo!$K:$K=I923), Facturas_Odoo!$L:$L, ""), ""))</f>
        <v/>
      </c>
      <c r="T923" s="81">
        <f>IF(Q923="Sin Factura",0,IFERROR(_xlfn.XLOOKUP(1, (Facturas_Odoo!$D:$D=A923) * (Facturas_Odoo!$K:$K=I923), Facturas_Odoo!$M:$M, 0), 0))</f>
        <v/>
      </c>
      <c r="U923" s="79">
        <f>IF(Q923="Sin Factura",0,IFERROR(_xlfn.XLOOKUP(1, (Facturas_Odoo!$D:$D=A923) * (Facturas_Odoo!$K:$K=I923), Facturas_Odoo!$N:$N, 0), 0))</f>
        <v/>
      </c>
      <c r="V923" s="79">
        <f>IF(Q923="Sin Factura",0,IFERROR(_xlfn.XLOOKUP(1, (Facturas_Odoo!$D:$D=A923) * (Facturas_Odoo!$K:$K=I923), Facturas_Odoo!$O:$O, 0), 0))</f>
        <v/>
      </c>
      <c r="W923" s="81">
        <f>IF(Q923="Sin Factura",0,IFERROR(_xlfn.XLOOKUP(1, (Facturas_Odoo!$D:$D=A923) * (Facturas_Odoo!$K:$K=I923), Facturas_Odoo!$Q:$Q, 0), 0))</f>
        <v/>
      </c>
      <c r="X923" s="79">
        <f>IF(OR(Q923="Sin Factura",Q923=""),"",IFERROR(INDEX(Pagos_Odoo!$B:$B, MATCH(Q923, Pagos_Odoo!$I:$I, 0)), "Sin Pago"))</f>
        <v/>
      </c>
      <c r="Y923" s="79">
        <f>IF(X923="Sin Pago","",IFERROR(INDEX(Pagos_Odoo!$C:$C, MATCH(X923, Pagos_Odoo!$B:$B, 0)), ""))</f>
        <v/>
      </c>
      <c r="Z923" s="80">
        <f>IF(X923="Sin Pago","",IFERROR(INDEX(Pagos_Odoo!$A:$A, MATCH(X923, Pagos_Odoo!$B:$B, 0)), ""))</f>
        <v/>
      </c>
      <c r="AA923" s="79">
        <f>IF(X923="Sin Pago","",IFERROR(INDEX(Pagos_Odoo!$F:$F, MATCH(X923, Pagos_Odoo!$B:$B, 0)), ""))</f>
        <v/>
      </c>
      <c r="AB923" s="81">
        <f>IF(X923="Sin Pago",0,IFERROR(INDEX(Pagos_Odoo!$E:$E, MATCH(X923, Pagos_Odoo!$B:$B, 0)), 0))</f>
        <v/>
      </c>
      <c r="AC923" s="79">
        <f>IF(X923="Sin Pago","",IFERROR(INDEX(Pagos_Odoo!$G:$G, MATCH(X923, Pagos_Odoo!$B:$B, 0)), ""))</f>
        <v/>
      </c>
      <c r="AD923" s="82" t="n">
        <v>0</v>
      </c>
      <c r="AE923" s="82" t="n"/>
      <c r="AF923" s="82" t="n"/>
      <c r="AG923" s="82">
        <f>IF(AN923="","",AD923+AE923+AF923)</f>
        <v/>
      </c>
      <c r="AH923" s="81">
        <f>IF(AN923="","",P923*(1-AG923))</f>
        <v/>
      </c>
      <c r="AI923" s="81">
        <f>IF(AN923="","",IF(Q923="Sin Factura",0,IFERROR(INDEX(Facturas_Odoo!$H:$H, MATCH(Q923, Facturas_Odoo!$B:$B, 0)), 0)*(1-AG923)))</f>
        <v/>
      </c>
      <c r="AJ923" s="81">
        <f>IF(AN923="","",_xlfn.LET(idVenta, AN923&amp;"",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23" s="81">
        <f>IF(AN923="","",AH923-AJ923)</f>
        <v/>
      </c>
      <c r="AL923" s="81">
        <f>IF(AN923="","",IF(Q923="Sin Factura","",AI923-AJ923))</f>
        <v/>
      </c>
      <c r="AM923" s="81">
        <f>IF(AN923="","",IF(Q923="Sin Factura",0,P923-IFERROR(INDEX(Facturas_Odoo!$H:$H, MATCH(Q923, Facturas_Odoo!$B:$B, 0)), 0)))</f>
        <v/>
      </c>
      <c r="AN923" s="79">
        <f>IF(AND(A923="", J923=""), "", IF(A923&lt;&gt;"", VALUE(MID(A923,2,LEN(A923))), AN922))</f>
        <v/>
      </c>
      <c r="AO923" s="79">
        <f>IF(AN923="","",IF(AD923=0,"OK",_xlfn.LET(monedaPago, IF(AA923="","USD",AA923), limitePermitido, IFERROR(VLOOKUP(monedaPago, Configuración!$A$2:$B$3, 2, FALSE), 0.15), IF(AD923&gt;limitePermitido, "ALERTA: EXCESO (" &amp; TEXT(limitePermitido, "0%") &amp; " máx)", "OK"))))</f>
        <v/>
      </c>
      <c r="AP923" s="79">
        <f>IF(AN923="","",IF(AE923=0,"OK",_xlfn.LET(fechaPago, Z923, fechaFactura, R923, diasCredito, IF(E923="Pago inmediato", 0, IFERROR(VALUE(MID(E923, 1, SEARCH(" ", E923)-1)),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23" s="79">
        <f>IF(AN923="","",IF(AND(N923&gt;0, AG923&gt;0), IF(Configuración!$K$2="NO", "ALERTA: DESCUENTO DOBLE NO PERMITIDO", "OK"), "OK"))</f>
        <v/>
      </c>
      <c r="AR923" s="79">
        <f>IF(AN923="","",IF(OR(AO923&lt;&gt;"OK", AP923&lt;&gt;"OK", AQ923&lt;&gt;"OK"), "⚠️ REVISAR", "OK"))</f>
        <v/>
      </c>
    </row>
    <row r="924">
      <c r="A924" s="79">
        <f>IF('Ordenes_Odoo'!A924="","",'Ordenes_Odoo'!A924)</f>
        <v/>
      </c>
      <c r="B924" s="80">
        <f>IF('Ordenes_Odoo'!B924="","",'Ordenes_Odoo'!B924)</f>
        <v/>
      </c>
      <c r="C924" s="79">
        <f>IF('Ordenes_Odoo'!C924="","",'Ordenes_Odoo'!C924)</f>
        <v/>
      </c>
      <c r="D924" s="79">
        <f>IF('Ordenes_Odoo'!D924="","",'Ordenes_Odoo'!D924)</f>
        <v/>
      </c>
      <c r="E924" s="79">
        <f>IF('Ordenes_Odoo'!E924="","",'Ordenes_Odoo'!E924)</f>
        <v/>
      </c>
      <c r="F924" s="79">
        <f>IF('Ordenes_Odoo'!F924="","",'Ordenes_Odoo'!F924)</f>
        <v/>
      </c>
      <c r="G924" s="79">
        <f>IF('Ordenes_Odoo'!G924="","",'Ordenes_Odoo'!G924)</f>
        <v/>
      </c>
      <c r="H924" s="79">
        <f>IF('Ordenes_Odoo'!H924="","",'Ordenes_Odoo'!H924)</f>
        <v/>
      </c>
      <c r="I924" s="79">
        <f>IF('Ordenes_Odoo'!I924="","",'Ordenes_Odoo'!I924)</f>
        <v/>
      </c>
      <c r="J924" s="79">
        <f>IF('Ordenes_Odoo'!J924="","",'Ordenes_Odoo'!J924)</f>
        <v/>
      </c>
      <c r="K924" s="81">
        <f>IF('Ordenes_Odoo'!K924="","",'Ordenes_Odoo'!K924)</f>
        <v/>
      </c>
      <c r="L924" s="81">
        <f>IF('Ordenes_Odoo'!L924="","",'Ordenes_Odoo'!L924)</f>
        <v/>
      </c>
      <c r="M924" s="79">
        <f>IF('Ordenes_Odoo'!M924="","",'Ordenes_Odoo'!M924)</f>
        <v/>
      </c>
      <c r="N924" s="79">
        <f>IF('Ordenes_Odoo'!N924="","",'Ordenes_Odoo'!N924)</f>
        <v/>
      </c>
      <c r="O924" s="81">
        <f>IF('Ordenes_Odoo'!O924="","",'Ordenes_Odoo'!O924)</f>
        <v/>
      </c>
      <c r="P924" s="81">
        <f>IF('Ordenes_Odoo'!P924="","",'Ordenes_Odoo'!P924)</f>
        <v/>
      </c>
      <c r="Q924" s="79">
        <f>IF(A924="","",IFERROR(INDEX(Facturas_Odoo!$B:$B, MATCH(A924, Facturas_Odoo!$D:$D, 0)), "Sin Factura"))</f>
        <v/>
      </c>
      <c r="R924" s="80">
        <f>IF(Q924="Sin Factura","",IFERROR(INDEX(Facturas_Odoo!$A:$A, MATCH(Q924, Facturas_Odoo!$B:$B, 0)), ""))</f>
        <v/>
      </c>
      <c r="S924" s="79">
        <f>IF(Q924="Sin Factura","",IFERROR(_xlfn.XLOOKUP(1, (Facturas_Odoo!$D:$D=A924) * (Facturas_Odoo!$K:$K=I924), Facturas_Odoo!$L:$L, ""), ""))</f>
        <v/>
      </c>
      <c r="T924" s="81">
        <f>IF(Q924="Sin Factura",0,IFERROR(_xlfn.XLOOKUP(1, (Facturas_Odoo!$D:$D=A924) * (Facturas_Odoo!$K:$K=I924), Facturas_Odoo!$M:$M, 0), 0))</f>
        <v/>
      </c>
      <c r="U924" s="79">
        <f>IF(Q924="Sin Factura",0,IFERROR(_xlfn.XLOOKUP(1, (Facturas_Odoo!$D:$D=A924) * (Facturas_Odoo!$K:$K=I924), Facturas_Odoo!$N:$N, 0), 0))</f>
        <v/>
      </c>
      <c r="V924" s="79">
        <f>IF(Q924="Sin Factura",0,IFERROR(_xlfn.XLOOKUP(1, (Facturas_Odoo!$D:$D=A924) * (Facturas_Odoo!$K:$K=I924), Facturas_Odoo!$O:$O, 0), 0))</f>
        <v/>
      </c>
      <c r="W924" s="81">
        <f>IF(Q924="Sin Factura",0,IFERROR(_xlfn.XLOOKUP(1, (Facturas_Odoo!$D:$D=A924) * (Facturas_Odoo!$K:$K=I924), Facturas_Odoo!$Q:$Q, 0), 0))</f>
        <v/>
      </c>
      <c r="X924" s="79">
        <f>IF(OR(Q924="Sin Factura",Q924=""),"",IFERROR(INDEX(Pagos_Odoo!$B:$B, MATCH(Q924, Pagos_Odoo!$I:$I, 0)), "Sin Pago"))</f>
        <v/>
      </c>
      <c r="Y924" s="79">
        <f>IF(X924="Sin Pago","",IFERROR(INDEX(Pagos_Odoo!$C:$C, MATCH(X924, Pagos_Odoo!$B:$B, 0)), ""))</f>
        <v/>
      </c>
      <c r="Z924" s="80">
        <f>IF(X924="Sin Pago","",IFERROR(INDEX(Pagos_Odoo!$A:$A, MATCH(X924, Pagos_Odoo!$B:$B, 0)), ""))</f>
        <v/>
      </c>
      <c r="AA924" s="79">
        <f>IF(X924="Sin Pago","",IFERROR(INDEX(Pagos_Odoo!$F:$F, MATCH(X924, Pagos_Odoo!$B:$B, 0)), ""))</f>
        <v/>
      </c>
      <c r="AB924" s="81">
        <f>IF(X924="Sin Pago",0,IFERROR(INDEX(Pagos_Odoo!$E:$E, MATCH(X924, Pagos_Odoo!$B:$B, 0)), 0))</f>
        <v/>
      </c>
      <c r="AC924" s="79">
        <f>IF(X924="Sin Pago","",IFERROR(INDEX(Pagos_Odoo!$G:$G, MATCH(X924, Pagos_Odoo!$B:$B, 0)), ""))</f>
        <v/>
      </c>
      <c r="AD924" s="82" t="n">
        <v>0</v>
      </c>
      <c r="AE924" s="82" t="n"/>
      <c r="AF924" s="82" t="n"/>
      <c r="AG924" s="82">
        <f>IF(AN924="","",AD924+AE924+AF924)</f>
        <v/>
      </c>
      <c r="AH924" s="81">
        <f>IF(AN924="","",P924*(1-AG924))</f>
        <v/>
      </c>
      <c r="AI924" s="81">
        <f>IF(AN924="","",IF(Q924="Sin Factura",0,IFERROR(INDEX(Facturas_Odoo!$H:$H, MATCH(Q924, Facturas_Odoo!$B:$B, 0)), 0)*(1-AG924)))</f>
        <v/>
      </c>
      <c r="AJ924" s="81">
        <f>IF(AN924="","",_xlfn.LET(idVenta, AN924&amp;"",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24" s="81">
        <f>IF(AN924="","",AH924-AJ924)</f>
        <v/>
      </c>
      <c r="AL924" s="81">
        <f>IF(AN924="","",IF(Q924="Sin Factura","",AI924-AJ924))</f>
        <v/>
      </c>
      <c r="AM924" s="81">
        <f>IF(AN924="","",IF(Q924="Sin Factura",0,P924-IFERROR(INDEX(Facturas_Odoo!$H:$H, MATCH(Q924, Facturas_Odoo!$B:$B, 0)), 0)))</f>
        <v/>
      </c>
      <c r="AN924" s="79">
        <f>IF(AND(A924="", J924=""), "", IF(A924&lt;&gt;"", VALUE(MID(A924,2,LEN(A924))), AN923))</f>
        <v/>
      </c>
      <c r="AO924" s="79">
        <f>IF(AN924="","",IF(AD924=0,"OK",_xlfn.LET(monedaPago, IF(AA924="","USD",AA924), limitePermitido, IFERROR(VLOOKUP(monedaPago, Configuración!$A$2:$B$3, 2, FALSE), 0.15), IF(AD924&gt;limitePermitido, "ALERTA: EXCESO (" &amp; TEXT(limitePermitido, "0%") &amp; " máx)", "OK"))))</f>
        <v/>
      </c>
      <c r="AP924" s="79">
        <f>IF(AN924="","",IF(AE924=0,"OK",_xlfn.LET(fechaPago, Z924, fechaFactura, R924, diasCredito, IF(E924="Pago inmediato", 0, IFERROR(VALUE(MID(E924, 1, SEARCH(" ", E924)-1)),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24" s="79">
        <f>IF(AN924="","",IF(AND(N924&gt;0, AG924&gt;0), IF(Configuración!$K$2="NO", "ALERTA: DESCUENTO DOBLE NO PERMITIDO", "OK"), "OK"))</f>
        <v/>
      </c>
      <c r="AR924" s="79">
        <f>IF(AN924="","",IF(OR(AO924&lt;&gt;"OK", AP924&lt;&gt;"OK", AQ924&lt;&gt;"OK"), "⚠️ REVISAR", "OK"))</f>
        <v/>
      </c>
    </row>
    <row r="925">
      <c r="A925" s="79">
        <f>IF('Ordenes_Odoo'!A925="","",'Ordenes_Odoo'!A925)</f>
        <v/>
      </c>
      <c r="B925" s="80">
        <f>IF('Ordenes_Odoo'!B925="","",'Ordenes_Odoo'!B925)</f>
        <v/>
      </c>
      <c r="C925" s="79">
        <f>IF('Ordenes_Odoo'!C925="","",'Ordenes_Odoo'!C925)</f>
        <v/>
      </c>
      <c r="D925" s="79">
        <f>IF('Ordenes_Odoo'!D925="","",'Ordenes_Odoo'!D925)</f>
        <v/>
      </c>
      <c r="E925" s="79">
        <f>IF('Ordenes_Odoo'!E925="","",'Ordenes_Odoo'!E925)</f>
        <v/>
      </c>
      <c r="F925" s="79">
        <f>IF('Ordenes_Odoo'!F925="","",'Ordenes_Odoo'!F925)</f>
        <v/>
      </c>
      <c r="G925" s="79">
        <f>IF('Ordenes_Odoo'!G925="","",'Ordenes_Odoo'!G925)</f>
        <v/>
      </c>
      <c r="H925" s="79">
        <f>IF('Ordenes_Odoo'!H925="","",'Ordenes_Odoo'!H925)</f>
        <v/>
      </c>
      <c r="I925" s="79">
        <f>IF('Ordenes_Odoo'!I925="","",'Ordenes_Odoo'!I925)</f>
        <v/>
      </c>
      <c r="J925" s="79">
        <f>IF('Ordenes_Odoo'!J925="","",'Ordenes_Odoo'!J925)</f>
        <v/>
      </c>
      <c r="K925" s="81">
        <f>IF('Ordenes_Odoo'!K925="","",'Ordenes_Odoo'!K925)</f>
        <v/>
      </c>
      <c r="L925" s="81">
        <f>IF('Ordenes_Odoo'!L925="","",'Ordenes_Odoo'!L925)</f>
        <v/>
      </c>
      <c r="M925" s="79">
        <f>IF('Ordenes_Odoo'!M925="","",'Ordenes_Odoo'!M925)</f>
        <v/>
      </c>
      <c r="N925" s="79">
        <f>IF('Ordenes_Odoo'!N925="","",'Ordenes_Odoo'!N925)</f>
        <v/>
      </c>
      <c r="O925" s="81">
        <f>IF('Ordenes_Odoo'!O925="","",'Ordenes_Odoo'!O925)</f>
        <v/>
      </c>
      <c r="P925" s="81">
        <f>IF('Ordenes_Odoo'!P925="","",'Ordenes_Odoo'!P925)</f>
        <v/>
      </c>
      <c r="Q925" s="79">
        <f>IF(A925="","",IFERROR(INDEX(Facturas_Odoo!$B:$B, MATCH(A925, Facturas_Odoo!$D:$D, 0)), "Sin Factura"))</f>
        <v/>
      </c>
      <c r="R925" s="80">
        <f>IF(Q925="Sin Factura","",IFERROR(INDEX(Facturas_Odoo!$A:$A, MATCH(Q925, Facturas_Odoo!$B:$B, 0)), ""))</f>
        <v/>
      </c>
      <c r="S925" s="79">
        <f>IF(Q925="Sin Factura","",IFERROR(_xlfn.XLOOKUP(1, (Facturas_Odoo!$D:$D=A925) * (Facturas_Odoo!$K:$K=I925), Facturas_Odoo!$L:$L, ""), ""))</f>
        <v/>
      </c>
      <c r="T925" s="81">
        <f>IF(Q925="Sin Factura",0,IFERROR(_xlfn.XLOOKUP(1, (Facturas_Odoo!$D:$D=A925) * (Facturas_Odoo!$K:$K=I925), Facturas_Odoo!$M:$M, 0), 0))</f>
        <v/>
      </c>
      <c r="U925" s="79">
        <f>IF(Q925="Sin Factura",0,IFERROR(_xlfn.XLOOKUP(1, (Facturas_Odoo!$D:$D=A925) * (Facturas_Odoo!$K:$K=I925), Facturas_Odoo!$N:$N, 0), 0))</f>
        <v/>
      </c>
      <c r="V925" s="79">
        <f>IF(Q925="Sin Factura",0,IFERROR(_xlfn.XLOOKUP(1, (Facturas_Odoo!$D:$D=A925) * (Facturas_Odoo!$K:$K=I925), Facturas_Odoo!$O:$O, 0), 0))</f>
        <v/>
      </c>
      <c r="W925" s="81">
        <f>IF(Q925="Sin Factura",0,IFERROR(_xlfn.XLOOKUP(1, (Facturas_Odoo!$D:$D=A925) * (Facturas_Odoo!$K:$K=I925), Facturas_Odoo!$Q:$Q, 0), 0))</f>
        <v/>
      </c>
      <c r="X925" s="79">
        <f>IF(OR(Q925="Sin Factura",Q925=""),"",IFERROR(INDEX(Pagos_Odoo!$B:$B, MATCH(Q925, Pagos_Odoo!$I:$I, 0)), "Sin Pago"))</f>
        <v/>
      </c>
      <c r="Y925" s="79">
        <f>IF(X925="Sin Pago","",IFERROR(INDEX(Pagos_Odoo!$C:$C, MATCH(X925, Pagos_Odoo!$B:$B, 0)), ""))</f>
        <v/>
      </c>
      <c r="Z925" s="80">
        <f>IF(X925="Sin Pago","",IFERROR(INDEX(Pagos_Odoo!$A:$A, MATCH(X925, Pagos_Odoo!$B:$B, 0)), ""))</f>
        <v/>
      </c>
      <c r="AA925" s="79">
        <f>IF(X925="Sin Pago","",IFERROR(INDEX(Pagos_Odoo!$F:$F, MATCH(X925, Pagos_Odoo!$B:$B, 0)), ""))</f>
        <v/>
      </c>
      <c r="AB925" s="81">
        <f>IF(X925="Sin Pago",0,IFERROR(INDEX(Pagos_Odoo!$E:$E, MATCH(X925, Pagos_Odoo!$B:$B, 0)), 0))</f>
        <v/>
      </c>
      <c r="AC925" s="79">
        <f>IF(X925="Sin Pago","",IFERROR(INDEX(Pagos_Odoo!$G:$G, MATCH(X925, Pagos_Odoo!$B:$B, 0)), ""))</f>
        <v/>
      </c>
      <c r="AD925" s="82" t="n">
        <v>0</v>
      </c>
      <c r="AE925" s="82" t="n"/>
      <c r="AF925" s="82" t="n"/>
      <c r="AG925" s="82">
        <f>IF(AN925="","",AD925+AE925+AF925)</f>
        <v/>
      </c>
      <c r="AH925" s="81">
        <f>IF(AN925="","",P925*(1-AG925))</f>
        <v/>
      </c>
      <c r="AI925" s="81">
        <f>IF(AN925="","",IF(Q925="Sin Factura",0,IFERROR(INDEX(Facturas_Odoo!$H:$H, MATCH(Q925, Facturas_Odoo!$B:$B, 0)), 0)*(1-AG925)))</f>
        <v/>
      </c>
      <c r="AJ925" s="81">
        <f>IF(AN925="","",_xlfn.LET(idVenta, AN925&amp;"",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25" s="81">
        <f>IF(AN925="","",AH925-AJ925)</f>
        <v/>
      </c>
      <c r="AL925" s="81">
        <f>IF(AN925="","",IF(Q925="Sin Factura","",AI925-AJ925))</f>
        <v/>
      </c>
      <c r="AM925" s="81">
        <f>IF(AN925="","",IF(Q925="Sin Factura",0,P925-IFERROR(INDEX(Facturas_Odoo!$H:$H, MATCH(Q925, Facturas_Odoo!$B:$B, 0)), 0)))</f>
        <v/>
      </c>
      <c r="AN925" s="79">
        <f>IF(AND(A925="", J925=""), "", IF(A925&lt;&gt;"", VALUE(MID(A925,2,LEN(A925))), AN924))</f>
        <v/>
      </c>
      <c r="AO925" s="79">
        <f>IF(AN925="","",IF(AD925=0,"OK",_xlfn.LET(monedaPago, IF(AA925="","USD",AA925), limitePermitido, IFERROR(VLOOKUP(monedaPago, Configuración!$A$2:$B$3, 2, FALSE), 0.15), IF(AD925&gt;limitePermitido, "ALERTA: EXCESO (" &amp; TEXT(limitePermitido, "0%") &amp; " máx)", "OK"))))</f>
        <v/>
      </c>
      <c r="AP925" s="79">
        <f>IF(AN925="","",IF(AE925=0,"OK",_xlfn.LET(fechaPago, Z925, fechaFactura, R925, diasCredito, IF(E925="Pago inmediato", 0, IFERROR(VALUE(MID(E925, 1, SEARCH(" ", E925)-1)),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25" s="79">
        <f>IF(AN925="","",IF(AND(N925&gt;0, AG925&gt;0), IF(Configuración!$K$2="NO", "ALERTA: DESCUENTO DOBLE NO PERMITIDO", "OK"), "OK"))</f>
        <v/>
      </c>
      <c r="AR925" s="79">
        <f>IF(AN925="","",IF(OR(AO925&lt;&gt;"OK", AP925&lt;&gt;"OK", AQ925&lt;&gt;"OK"), "⚠️ REVISAR", "OK"))</f>
        <v/>
      </c>
    </row>
    <row r="926">
      <c r="A926" s="79">
        <f>IF('Ordenes_Odoo'!A926="","",'Ordenes_Odoo'!A926)</f>
        <v/>
      </c>
      <c r="B926" s="80">
        <f>IF('Ordenes_Odoo'!B926="","",'Ordenes_Odoo'!B926)</f>
        <v/>
      </c>
      <c r="C926" s="79">
        <f>IF('Ordenes_Odoo'!C926="","",'Ordenes_Odoo'!C926)</f>
        <v/>
      </c>
      <c r="D926" s="79">
        <f>IF('Ordenes_Odoo'!D926="","",'Ordenes_Odoo'!D926)</f>
        <v/>
      </c>
      <c r="E926" s="79">
        <f>IF('Ordenes_Odoo'!E926="","",'Ordenes_Odoo'!E926)</f>
        <v/>
      </c>
      <c r="F926" s="79">
        <f>IF('Ordenes_Odoo'!F926="","",'Ordenes_Odoo'!F926)</f>
        <v/>
      </c>
      <c r="G926" s="79">
        <f>IF('Ordenes_Odoo'!G926="","",'Ordenes_Odoo'!G926)</f>
        <v/>
      </c>
      <c r="H926" s="79">
        <f>IF('Ordenes_Odoo'!H926="","",'Ordenes_Odoo'!H926)</f>
        <v/>
      </c>
      <c r="I926" s="79">
        <f>IF('Ordenes_Odoo'!I926="","",'Ordenes_Odoo'!I926)</f>
        <v/>
      </c>
      <c r="J926" s="79">
        <f>IF('Ordenes_Odoo'!J926="","",'Ordenes_Odoo'!J926)</f>
        <v/>
      </c>
      <c r="K926" s="81">
        <f>IF('Ordenes_Odoo'!K926="","",'Ordenes_Odoo'!K926)</f>
        <v/>
      </c>
      <c r="L926" s="81">
        <f>IF('Ordenes_Odoo'!L926="","",'Ordenes_Odoo'!L926)</f>
        <v/>
      </c>
      <c r="M926" s="79">
        <f>IF('Ordenes_Odoo'!M926="","",'Ordenes_Odoo'!M926)</f>
        <v/>
      </c>
      <c r="N926" s="79">
        <f>IF('Ordenes_Odoo'!N926="","",'Ordenes_Odoo'!N926)</f>
        <v/>
      </c>
      <c r="O926" s="81">
        <f>IF('Ordenes_Odoo'!O926="","",'Ordenes_Odoo'!O926)</f>
        <v/>
      </c>
      <c r="P926" s="81">
        <f>IF('Ordenes_Odoo'!P926="","",'Ordenes_Odoo'!P926)</f>
        <v/>
      </c>
      <c r="Q926" s="79">
        <f>IF(A926="","",IFERROR(INDEX(Facturas_Odoo!$B:$B, MATCH(A926, Facturas_Odoo!$D:$D, 0)), "Sin Factura"))</f>
        <v/>
      </c>
      <c r="R926" s="80">
        <f>IF(Q926="Sin Factura","",IFERROR(INDEX(Facturas_Odoo!$A:$A, MATCH(Q926, Facturas_Odoo!$B:$B, 0)), ""))</f>
        <v/>
      </c>
      <c r="S926" s="79">
        <f>IF(Q926="Sin Factura","",IFERROR(_xlfn.XLOOKUP(1, (Facturas_Odoo!$D:$D=A926) * (Facturas_Odoo!$K:$K=I926), Facturas_Odoo!$L:$L, ""), ""))</f>
        <v/>
      </c>
      <c r="T926" s="81">
        <f>IF(Q926="Sin Factura",0,IFERROR(_xlfn.XLOOKUP(1, (Facturas_Odoo!$D:$D=A926) * (Facturas_Odoo!$K:$K=I926), Facturas_Odoo!$M:$M, 0), 0))</f>
        <v/>
      </c>
      <c r="U926" s="79">
        <f>IF(Q926="Sin Factura",0,IFERROR(_xlfn.XLOOKUP(1, (Facturas_Odoo!$D:$D=A926) * (Facturas_Odoo!$K:$K=I926), Facturas_Odoo!$N:$N, 0), 0))</f>
        <v/>
      </c>
      <c r="V926" s="79">
        <f>IF(Q926="Sin Factura",0,IFERROR(_xlfn.XLOOKUP(1, (Facturas_Odoo!$D:$D=A926) * (Facturas_Odoo!$K:$K=I926), Facturas_Odoo!$O:$O, 0), 0))</f>
        <v/>
      </c>
      <c r="W926" s="81">
        <f>IF(Q926="Sin Factura",0,IFERROR(_xlfn.XLOOKUP(1, (Facturas_Odoo!$D:$D=A926) * (Facturas_Odoo!$K:$K=I926), Facturas_Odoo!$Q:$Q, 0), 0))</f>
        <v/>
      </c>
      <c r="X926" s="79">
        <f>IF(OR(Q926="Sin Factura",Q926=""),"",IFERROR(INDEX(Pagos_Odoo!$B:$B, MATCH(Q926, Pagos_Odoo!$I:$I, 0)), "Sin Pago"))</f>
        <v/>
      </c>
      <c r="Y926" s="79">
        <f>IF(X926="Sin Pago","",IFERROR(INDEX(Pagos_Odoo!$C:$C, MATCH(X926, Pagos_Odoo!$B:$B, 0)), ""))</f>
        <v/>
      </c>
      <c r="Z926" s="80">
        <f>IF(X926="Sin Pago","",IFERROR(INDEX(Pagos_Odoo!$A:$A, MATCH(X926, Pagos_Odoo!$B:$B, 0)), ""))</f>
        <v/>
      </c>
      <c r="AA926" s="79">
        <f>IF(X926="Sin Pago","",IFERROR(INDEX(Pagos_Odoo!$F:$F, MATCH(X926, Pagos_Odoo!$B:$B, 0)), ""))</f>
        <v/>
      </c>
      <c r="AB926" s="81">
        <f>IF(X926="Sin Pago",0,IFERROR(INDEX(Pagos_Odoo!$E:$E, MATCH(X926, Pagos_Odoo!$B:$B, 0)), 0))</f>
        <v/>
      </c>
      <c r="AC926" s="79">
        <f>IF(X926="Sin Pago","",IFERROR(INDEX(Pagos_Odoo!$G:$G, MATCH(X926, Pagos_Odoo!$B:$B, 0)), ""))</f>
        <v/>
      </c>
      <c r="AD926" s="82" t="n">
        <v>0</v>
      </c>
      <c r="AE926" s="82" t="n"/>
      <c r="AF926" s="82" t="n"/>
      <c r="AG926" s="82">
        <f>IF(AN926="","",AD926+AE926+AF926)</f>
        <v/>
      </c>
      <c r="AH926" s="81">
        <f>IF(AN926="","",P926*(1-AG926))</f>
        <v/>
      </c>
      <c r="AI926" s="81">
        <f>IF(AN926="","",IF(Q926="Sin Factura",0,IFERROR(INDEX(Facturas_Odoo!$H:$H, MATCH(Q926, Facturas_Odoo!$B:$B, 0)), 0)*(1-AG926)))</f>
        <v/>
      </c>
      <c r="AJ926" s="81">
        <f>IF(AN926="","",_xlfn.LET(idVenta, AN926&amp;"",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26" s="81">
        <f>IF(AN926="","",AH926-AJ926)</f>
        <v/>
      </c>
      <c r="AL926" s="81">
        <f>IF(AN926="","",IF(Q926="Sin Factura","",AI926-AJ926))</f>
        <v/>
      </c>
      <c r="AM926" s="81">
        <f>IF(AN926="","",IF(Q926="Sin Factura",0,P926-IFERROR(INDEX(Facturas_Odoo!$H:$H, MATCH(Q926, Facturas_Odoo!$B:$B, 0)), 0)))</f>
        <v/>
      </c>
      <c r="AN926" s="79">
        <f>IF(AND(A926="", J926=""), "", IF(A926&lt;&gt;"", VALUE(MID(A926,2,LEN(A926))), AN925))</f>
        <v/>
      </c>
      <c r="AO926" s="79">
        <f>IF(AN926="","",IF(AD926=0,"OK",_xlfn.LET(monedaPago, IF(AA926="","USD",AA926), limitePermitido, IFERROR(VLOOKUP(monedaPago, Configuración!$A$2:$B$3, 2, FALSE), 0.15), IF(AD926&gt;limitePermitido, "ALERTA: EXCESO (" &amp; TEXT(limitePermitido, "0%") &amp; " máx)", "OK"))))</f>
        <v/>
      </c>
      <c r="AP926" s="79">
        <f>IF(AN926="","",IF(AE926=0,"OK",_xlfn.LET(fechaPago, Z926, fechaFactura, R926, diasCredito, IF(E926="Pago inmediato", 0, IFERROR(VALUE(MID(E926, 1, SEARCH(" ", E926)-1)),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26" s="79">
        <f>IF(AN926="","",IF(AND(N926&gt;0, AG926&gt;0), IF(Configuración!$K$2="NO", "ALERTA: DESCUENTO DOBLE NO PERMITIDO", "OK"), "OK"))</f>
        <v/>
      </c>
      <c r="AR926" s="79">
        <f>IF(AN926="","",IF(OR(AO926&lt;&gt;"OK", AP926&lt;&gt;"OK", AQ926&lt;&gt;"OK"), "⚠️ REVISAR", "OK"))</f>
        <v/>
      </c>
    </row>
    <row r="927">
      <c r="A927" s="79">
        <f>IF('Ordenes_Odoo'!A927="","",'Ordenes_Odoo'!A927)</f>
        <v/>
      </c>
      <c r="B927" s="80">
        <f>IF('Ordenes_Odoo'!B927="","",'Ordenes_Odoo'!B927)</f>
        <v/>
      </c>
      <c r="C927" s="79">
        <f>IF('Ordenes_Odoo'!C927="","",'Ordenes_Odoo'!C927)</f>
        <v/>
      </c>
      <c r="D927" s="79">
        <f>IF('Ordenes_Odoo'!D927="","",'Ordenes_Odoo'!D927)</f>
        <v/>
      </c>
      <c r="E927" s="79">
        <f>IF('Ordenes_Odoo'!E927="","",'Ordenes_Odoo'!E927)</f>
        <v/>
      </c>
      <c r="F927" s="79">
        <f>IF('Ordenes_Odoo'!F927="","",'Ordenes_Odoo'!F927)</f>
        <v/>
      </c>
      <c r="G927" s="79">
        <f>IF('Ordenes_Odoo'!G927="","",'Ordenes_Odoo'!G927)</f>
        <v/>
      </c>
      <c r="H927" s="79">
        <f>IF('Ordenes_Odoo'!H927="","",'Ordenes_Odoo'!H927)</f>
        <v/>
      </c>
      <c r="I927" s="79">
        <f>IF('Ordenes_Odoo'!I927="","",'Ordenes_Odoo'!I927)</f>
        <v/>
      </c>
      <c r="J927" s="79">
        <f>IF('Ordenes_Odoo'!J927="","",'Ordenes_Odoo'!J927)</f>
        <v/>
      </c>
      <c r="K927" s="81">
        <f>IF('Ordenes_Odoo'!K927="","",'Ordenes_Odoo'!K927)</f>
        <v/>
      </c>
      <c r="L927" s="81">
        <f>IF('Ordenes_Odoo'!L927="","",'Ordenes_Odoo'!L927)</f>
        <v/>
      </c>
      <c r="M927" s="79">
        <f>IF('Ordenes_Odoo'!M927="","",'Ordenes_Odoo'!M927)</f>
        <v/>
      </c>
      <c r="N927" s="79">
        <f>IF('Ordenes_Odoo'!N927="","",'Ordenes_Odoo'!N927)</f>
        <v/>
      </c>
      <c r="O927" s="81">
        <f>IF('Ordenes_Odoo'!O927="","",'Ordenes_Odoo'!O927)</f>
        <v/>
      </c>
      <c r="P927" s="81">
        <f>IF('Ordenes_Odoo'!P927="","",'Ordenes_Odoo'!P927)</f>
        <v/>
      </c>
      <c r="Q927" s="79">
        <f>IF(A927="","",IFERROR(INDEX(Facturas_Odoo!$B:$B, MATCH(A927, Facturas_Odoo!$D:$D, 0)), "Sin Factura"))</f>
        <v/>
      </c>
      <c r="R927" s="80">
        <f>IF(Q927="Sin Factura","",IFERROR(INDEX(Facturas_Odoo!$A:$A, MATCH(Q927, Facturas_Odoo!$B:$B, 0)), ""))</f>
        <v/>
      </c>
      <c r="S927" s="79">
        <f>IF(Q927="Sin Factura","",IFERROR(_xlfn.XLOOKUP(1, (Facturas_Odoo!$D:$D=A927) * (Facturas_Odoo!$K:$K=I927), Facturas_Odoo!$L:$L, ""), ""))</f>
        <v/>
      </c>
      <c r="T927" s="81">
        <f>IF(Q927="Sin Factura",0,IFERROR(_xlfn.XLOOKUP(1, (Facturas_Odoo!$D:$D=A927) * (Facturas_Odoo!$K:$K=I927), Facturas_Odoo!$M:$M, 0), 0))</f>
        <v/>
      </c>
      <c r="U927" s="79">
        <f>IF(Q927="Sin Factura",0,IFERROR(_xlfn.XLOOKUP(1, (Facturas_Odoo!$D:$D=A927) * (Facturas_Odoo!$K:$K=I927), Facturas_Odoo!$N:$N, 0), 0))</f>
        <v/>
      </c>
      <c r="V927" s="79">
        <f>IF(Q927="Sin Factura",0,IFERROR(_xlfn.XLOOKUP(1, (Facturas_Odoo!$D:$D=A927) * (Facturas_Odoo!$K:$K=I927), Facturas_Odoo!$O:$O, 0), 0))</f>
        <v/>
      </c>
      <c r="W927" s="81">
        <f>IF(Q927="Sin Factura",0,IFERROR(_xlfn.XLOOKUP(1, (Facturas_Odoo!$D:$D=A927) * (Facturas_Odoo!$K:$K=I927), Facturas_Odoo!$Q:$Q, 0), 0))</f>
        <v/>
      </c>
      <c r="X927" s="79">
        <f>IF(OR(Q927="Sin Factura",Q927=""),"",IFERROR(INDEX(Pagos_Odoo!$B:$B, MATCH(Q927, Pagos_Odoo!$I:$I, 0)), "Sin Pago"))</f>
        <v/>
      </c>
      <c r="Y927" s="79">
        <f>IF(X927="Sin Pago","",IFERROR(INDEX(Pagos_Odoo!$C:$C, MATCH(X927, Pagos_Odoo!$B:$B, 0)), ""))</f>
        <v/>
      </c>
      <c r="Z927" s="80">
        <f>IF(X927="Sin Pago","",IFERROR(INDEX(Pagos_Odoo!$A:$A, MATCH(X927, Pagos_Odoo!$B:$B, 0)), ""))</f>
        <v/>
      </c>
      <c r="AA927" s="79">
        <f>IF(X927="Sin Pago","",IFERROR(INDEX(Pagos_Odoo!$F:$F, MATCH(X927, Pagos_Odoo!$B:$B, 0)), ""))</f>
        <v/>
      </c>
      <c r="AB927" s="81">
        <f>IF(X927="Sin Pago",0,IFERROR(INDEX(Pagos_Odoo!$E:$E, MATCH(X927, Pagos_Odoo!$B:$B, 0)), 0))</f>
        <v/>
      </c>
      <c r="AC927" s="79">
        <f>IF(X927="Sin Pago","",IFERROR(INDEX(Pagos_Odoo!$G:$G, MATCH(X927, Pagos_Odoo!$B:$B, 0)), ""))</f>
        <v/>
      </c>
      <c r="AD927" s="82" t="n">
        <v>0</v>
      </c>
      <c r="AE927" s="82" t="n"/>
      <c r="AF927" s="82" t="n"/>
      <c r="AG927" s="82">
        <f>IF(AN927="","",AD927+AE927+AF927)</f>
        <v/>
      </c>
      <c r="AH927" s="81">
        <f>IF(AN927="","",P927*(1-AG927))</f>
        <v/>
      </c>
      <c r="AI927" s="81">
        <f>IF(AN927="","",IF(Q927="Sin Factura",0,IFERROR(INDEX(Facturas_Odoo!$H:$H, MATCH(Q927, Facturas_Odoo!$B:$B, 0)), 0)*(1-AG927)))</f>
        <v/>
      </c>
      <c r="AJ927" s="81">
        <f>IF(AN927="","",_xlfn.LET(idVenta, AN927&amp;"",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27" s="81">
        <f>IF(AN927="","",AH927-AJ927)</f>
        <v/>
      </c>
      <c r="AL927" s="81">
        <f>IF(AN927="","",IF(Q927="Sin Factura","",AI927-AJ927))</f>
        <v/>
      </c>
      <c r="AM927" s="81">
        <f>IF(AN927="","",IF(Q927="Sin Factura",0,P927-IFERROR(INDEX(Facturas_Odoo!$H:$H, MATCH(Q927, Facturas_Odoo!$B:$B, 0)), 0)))</f>
        <v/>
      </c>
      <c r="AN927" s="79">
        <f>IF(AND(A927="", J927=""), "", IF(A927&lt;&gt;"", VALUE(MID(A927,2,LEN(A927))), AN926))</f>
        <v/>
      </c>
      <c r="AO927" s="79">
        <f>IF(AN927="","",IF(AD927=0,"OK",_xlfn.LET(monedaPago, IF(AA927="","USD",AA927), limitePermitido, IFERROR(VLOOKUP(monedaPago, Configuración!$A$2:$B$3, 2, FALSE), 0.15), IF(AD927&gt;limitePermitido, "ALERTA: EXCESO (" &amp; TEXT(limitePermitido, "0%") &amp; " máx)", "OK"))))</f>
        <v/>
      </c>
      <c r="AP927" s="79">
        <f>IF(AN927="","",IF(AE927=0,"OK",_xlfn.LET(fechaPago, Z927, fechaFactura, R927, diasCredito, IF(E927="Pago inmediato", 0, IFERROR(VALUE(MID(E927, 1, SEARCH(" ", E927)-1)),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27" s="79">
        <f>IF(AN927="","",IF(AND(N927&gt;0, AG927&gt;0), IF(Configuración!$K$2="NO", "ALERTA: DESCUENTO DOBLE NO PERMITIDO", "OK"), "OK"))</f>
        <v/>
      </c>
      <c r="AR927" s="79">
        <f>IF(AN927="","",IF(OR(AO927&lt;&gt;"OK", AP927&lt;&gt;"OK", AQ927&lt;&gt;"OK"), "⚠️ REVISAR", "OK"))</f>
        <v/>
      </c>
    </row>
    <row r="928">
      <c r="A928" s="79">
        <f>IF('Ordenes_Odoo'!A928="","",'Ordenes_Odoo'!A928)</f>
        <v/>
      </c>
      <c r="B928" s="80">
        <f>IF('Ordenes_Odoo'!B928="","",'Ordenes_Odoo'!B928)</f>
        <v/>
      </c>
      <c r="C928" s="79">
        <f>IF('Ordenes_Odoo'!C928="","",'Ordenes_Odoo'!C928)</f>
        <v/>
      </c>
      <c r="D928" s="79">
        <f>IF('Ordenes_Odoo'!D928="","",'Ordenes_Odoo'!D928)</f>
        <v/>
      </c>
      <c r="E928" s="79">
        <f>IF('Ordenes_Odoo'!E928="","",'Ordenes_Odoo'!E928)</f>
        <v/>
      </c>
      <c r="F928" s="79">
        <f>IF('Ordenes_Odoo'!F928="","",'Ordenes_Odoo'!F928)</f>
        <v/>
      </c>
      <c r="G928" s="79">
        <f>IF('Ordenes_Odoo'!G928="","",'Ordenes_Odoo'!G928)</f>
        <v/>
      </c>
      <c r="H928" s="79">
        <f>IF('Ordenes_Odoo'!H928="","",'Ordenes_Odoo'!H928)</f>
        <v/>
      </c>
      <c r="I928" s="79">
        <f>IF('Ordenes_Odoo'!I928="","",'Ordenes_Odoo'!I928)</f>
        <v/>
      </c>
      <c r="J928" s="79">
        <f>IF('Ordenes_Odoo'!J928="","",'Ordenes_Odoo'!J928)</f>
        <v/>
      </c>
      <c r="K928" s="81">
        <f>IF('Ordenes_Odoo'!K928="","",'Ordenes_Odoo'!K928)</f>
        <v/>
      </c>
      <c r="L928" s="81">
        <f>IF('Ordenes_Odoo'!L928="","",'Ordenes_Odoo'!L928)</f>
        <v/>
      </c>
      <c r="M928" s="79">
        <f>IF('Ordenes_Odoo'!M928="","",'Ordenes_Odoo'!M928)</f>
        <v/>
      </c>
      <c r="N928" s="79">
        <f>IF('Ordenes_Odoo'!N928="","",'Ordenes_Odoo'!N928)</f>
        <v/>
      </c>
      <c r="O928" s="81">
        <f>IF('Ordenes_Odoo'!O928="","",'Ordenes_Odoo'!O928)</f>
        <v/>
      </c>
      <c r="P928" s="81">
        <f>IF('Ordenes_Odoo'!P928="","",'Ordenes_Odoo'!P928)</f>
        <v/>
      </c>
      <c r="Q928" s="79">
        <f>IF(A928="","",IFERROR(INDEX(Facturas_Odoo!$B:$B, MATCH(A928, Facturas_Odoo!$D:$D, 0)), "Sin Factura"))</f>
        <v/>
      </c>
      <c r="R928" s="80">
        <f>IF(Q928="Sin Factura","",IFERROR(INDEX(Facturas_Odoo!$A:$A, MATCH(Q928, Facturas_Odoo!$B:$B, 0)), ""))</f>
        <v/>
      </c>
      <c r="S928" s="79">
        <f>IF(Q928="Sin Factura","",IFERROR(_xlfn.XLOOKUP(1, (Facturas_Odoo!$D:$D=A928) * (Facturas_Odoo!$K:$K=I928), Facturas_Odoo!$L:$L, ""), ""))</f>
        <v/>
      </c>
      <c r="T928" s="81">
        <f>IF(Q928="Sin Factura",0,IFERROR(_xlfn.XLOOKUP(1, (Facturas_Odoo!$D:$D=A928) * (Facturas_Odoo!$K:$K=I928), Facturas_Odoo!$M:$M, 0), 0))</f>
        <v/>
      </c>
      <c r="U928" s="79">
        <f>IF(Q928="Sin Factura",0,IFERROR(_xlfn.XLOOKUP(1, (Facturas_Odoo!$D:$D=A928) * (Facturas_Odoo!$K:$K=I928), Facturas_Odoo!$N:$N, 0), 0))</f>
        <v/>
      </c>
      <c r="V928" s="79">
        <f>IF(Q928="Sin Factura",0,IFERROR(_xlfn.XLOOKUP(1, (Facturas_Odoo!$D:$D=A928) * (Facturas_Odoo!$K:$K=I928), Facturas_Odoo!$O:$O, 0), 0))</f>
        <v/>
      </c>
      <c r="W928" s="81">
        <f>IF(Q928="Sin Factura",0,IFERROR(_xlfn.XLOOKUP(1, (Facturas_Odoo!$D:$D=A928) * (Facturas_Odoo!$K:$K=I928), Facturas_Odoo!$Q:$Q, 0), 0))</f>
        <v/>
      </c>
      <c r="X928" s="79">
        <f>IF(OR(Q928="Sin Factura",Q928=""),"",IFERROR(INDEX(Pagos_Odoo!$B:$B, MATCH(Q928, Pagos_Odoo!$I:$I, 0)), "Sin Pago"))</f>
        <v/>
      </c>
      <c r="Y928" s="79">
        <f>IF(X928="Sin Pago","",IFERROR(INDEX(Pagos_Odoo!$C:$C, MATCH(X928, Pagos_Odoo!$B:$B, 0)), ""))</f>
        <v/>
      </c>
      <c r="Z928" s="80">
        <f>IF(X928="Sin Pago","",IFERROR(INDEX(Pagos_Odoo!$A:$A, MATCH(X928, Pagos_Odoo!$B:$B, 0)), ""))</f>
        <v/>
      </c>
      <c r="AA928" s="79">
        <f>IF(X928="Sin Pago","",IFERROR(INDEX(Pagos_Odoo!$F:$F, MATCH(X928, Pagos_Odoo!$B:$B, 0)), ""))</f>
        <v/>
      </c>
      <c r="AB928" s="81">
        <f>IF(X928="Sin Pago",0,IFERROR(INDEX(Pagos_Odoo!$E:$E, MATCH(X928, Pagos_Odoo!$B:$B, 0)), 0))</f>
        <v/>
      </c>
      <c r="AC928" s="79">
        <f>IF(X928="Sin Pago","",IFERROR(INDEX(Pagos_Odoo!$G:$G, MATCH(X928, Pagos_Odoo!$B:$B, 0)), ""))</f>
        <v/>
      </c>
      <c r="AD928" s="82" t="n">
        <v>0</v>
      </c>
      <c r="AE928" s="82" t="n"/>
      <c r="AF928" s="82" t="n"/>
      <c r="AG928" s="82">
        <f>IF(AN928="","",AD928+AE928+AF928)</f>
        <v/>
      </c>
      <c r="AH928" s="81">
        <f>IF(AN928="","",P928*(1-AG928))</f>
        <v/>
      </c>
      <c r="AI928" s="81">
        <f>IF(AN928="","",IF(Q928="Sin Factura",0,IFERROR(INDEX(Facturas_Odoo!$H:$H, MATCH(Q928, Facturas_Odoo!$B:$B, 0)), 0)*(1-AG928)))</f>
        <v/>
      </c>
      <c r="AJ928" s="81">
        <f>IF(AN928="","",_xlfn.LET(idVenta, AN928&amp;"",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28" s="81">
        <f>IF(AN928="","",AH928-AJ928)</f>
        <v/>
      </c>
      <c r="AL928" s="81">
        <f>IF(AN928="","",IF(Q928="Sin Factura","",AI928-AJ928))</f>
        <v/>
      </c>
      <c r="AM928" s="81">
        <f>IF(AN928="","",IF(Q928="Sin Factura",0,P928-IFERROR(INDEX(Facturas_Odoo!$H:$H, MATCH(Q928, Facturas_Odoo!$B:$B, 0)), 0)))</f>
        <v/>
      </c>
      <c r="AN928" s="79">
        <f>IF(AND(A928="", J928=""), "", IF(A928&lt;&gt;"", VALUE(MID(A928,2,LEN(A928))), AN927))</f>
        <v/>
      </c>
      <c r="AO928" s="79">
        <f>IF(AN928="","",IF(AD928=0,"OK",_xlfn.LET(monedaPago, IF(AA928="","USD",AA928), limitePermitido, IFERROR(VLOOKUP(monedaPago, Configuración!$A$2:$B$3, 2, FALSE), 0.15), IF(AD928&gt;limitePermitido, "ALERTA: EXCESO (" &amp; TEXT(limitePermitido, "0%") &amp; " máx)", "OK"))))</f>
        <v/>
      </c>
      <c r="AP928" s="79">
        <f>IF(AN928="","",IF(AE928=0,"OK",_xlfn.LET(fechaPago, Z928, fechaFactura, R928, diasCredito, IF(E928="Pago inmediato", 0, IFERROR(VALUE(MID(E928, 1, SEARCH(" ", E928)-1)),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28" s="79">
        <f>IF(AN928="","",IF(AND(N928&gt;0, AG928&gt;0), IF(Configuración!$K$2="NO", "ALERTA: DESCUENTO DOBLE NO PERMITIDO", "OK"), "OK"))</f>
        <v/>
      </c>
      <c r="AR928" s="79">
        <f>IF(AN928="","",IF(OR(AO928&lt;&gt;"OK", AP928&lt;&gt;"OK", AQ928&lt;&gt;"OK"), "⚠️ REVISAR", "OK"))</f>
        <v/>
      </c>
    </row>
    <row r="929">
      <c r="A929" s="79">
        <f>IF('Ordenes_Odoo'!A929="","",'Ordenes_Odoo'!A929)</f>
        <v/>
      </c>
      <c r="B929" s="80">
        <f>IF('Ordenes_Odoo'!B929="","",'Ordenes_Odoo'!B929)</f>
        <v/>
      </c>
      <c r="C929" s="79">
        <f>IF('Ordenes_Odoo'!C929="","",'Ordenes_Odoo'!C929)</f>
        <v/>
      </c>
      <c r="D929" s="79">
        <f>IF('Ordenes_Odoo'!D929="","",'Ordenes_Odoo'!D929)</f>
        <v/>
      </c>
      <c r="E929" s="79">
        <f>IF('Ordenes_Odoo'!E929="","",'Ordenes_Odoo'!E929)</f>
        <v/>
      </c>
      <c r="F929" s="79">
        <f>IF('Ordenes_Odoo'!F929="","",'Ordenes_Odoo'!F929)</f>
        <v/>
      </c>
      <c r="G929" s="79">
        <f>IF('Ordenes_Odoo'!G929="","",'Ordenes_Odoo'!G929)</f>
        <v/>
      </c>
      <c r="H929" s="79">
        <f>IF('Ordenes_Odoo'!H929="","",'Ordenes_Odoo'!H929)</f>
        <v/>
      </c>
      <c r="I929" s="79">
        <f>IF('Ordenes_Odoo'!I929="","",'Ordenes_Odoo'!I929)</f>
        <v/>
      </c>
      <c r="J929" s="79">
        <f>IF('Ordenes_Odoo'!J929="","",'Ordenes_Odoo'!J929)</f>
        <v/>
      </c>
      <c r="K929" s="81">
        <f>IF('Ordenes_Odoo'!K929="","",'Ordenes_Odoo'!K929)</f>
        <v/>
      </c>
      <c r="L929" s="81">
        <f>IF('Ordenes_Odoo'!L929="","",'Ordenes_Odoo'!L929)</f>
        <v/>
      </c>
      <c r="M929" s="79">
        <f>IF('Ordenes_Odoo'!M929="","",'Ordenes_Odoo'!M929)</f>
        <v/>
      </c>
      <c r="N929" s="79">
        <f>IF('Ordenes_Odoo'!N929="","",'Ordenes_Odoo'!N929)</f>
        <v/>
      </c>
      <c r="O929" s="81">
        <f>IF('Ordenes_Odoo'!O929="","",'Ordenes_Odoo'!O929)</f>
        <v/>
      </c>
      <c r="P929" s="81">
        <f>IF('Ordenes_Odoo'!P929="","",'Ordenes_Odoo'!P929)</f>
        <v/>
      </c>
      <c r="Q929" s="79">
        <f>IF(A929="","",IFERROR(INDEX(Facturas_Odoo!$B:$B, MATCH(A929, Facturas_Odoo!$D:$D, 0)), "Sin Factura"))</f>
        <v/>
      </c>
      <c r="R929" s="80">
        <f>IF(Q929="Sin Factura","",IFERROR(INDEX(Facturas_Odoo!$A:$A, MATCH(Q929, Facturas_Odoo!$B:$B, 0)), ""))</f>
        <v/>
      </c>
      <c r="S929" s="79">
        <f>IF(Q929="Sin Factura","",IFERROR(_xlfn.XLOOKUP(1, (Facturas_Odoo!$D:$D=A929) * (Facturas_Odoo!$K:$K=I929), Facturas_Odoo!$L:$L, ""), ""))</f>
        <v/>
      </c>
      <c r="T929" s="81">
        <f>IF(Q929="Sin Factura",0,IFERROR(_xlfn.XLOOKUP(1, (Facturas_Odoo!$D:$D=A929) * (Facturas_Odoo!$K:$K=I929), Facturas_Odoo!$M:$M, 0), 0))</f>
        <v/>
      </c>
      <c r="U929" s="79">
        <f>IF(Q929="Sin Factura",0,IFERROR(_xlfn.XLOOKUP(1, (Facturas_Odoo!$D:$D=A929) * (Facturas_Odoo!$K:$K=I929), Facturas_Odoo!$N:$N, 0), 0))</f>
        <v/>
      </c>
      <c r="V929" s="79">
        <f>IF(Q929="Sin Factura",0,IFERROR(_xlfn.XLOOKUP(1, (Facturas_Odoo!$D:$D=A929) * (Facturas_Odoo!$K:$K=I929), Facturas_Odoo!$O:$O, 0), 0))</f>
        <v/>
      </c>
      <c r="W929" s="81">
        <f>IF(Q929="Sin Factura",0,IFERROR(_xlfn.XLOOKUP(1, (Facturas_Odoo!$D:$D=A929) * (Facturas_Odoo!$K:$K=I929), Facturas_Odoo!$Q:$Q, 0), 0))</f>
        <v/>
      </c>
      <c r="X929" s="79">
        <f>IF(OR(Q929="Sin Factura",Q929=""),"",IFERROR(INDEX(Pagos_Odoo!$B:$B, MATCH(Q929, Pagos_Odoo!$I:$I, 0)), "Sin Pago"))</f>
        <v/>
      </c>
      <c r="Y929" s="79">
        <f>IF(X929="Sin Pago","",IFERROR(INDEX(Pagos_Odoo!$C:$C, MATCH(X929, Pagos_Odoo!$B:$B, 0)), ""))</f>
        <v/>
      </c>
      <c r="Z929" s="80">
        <f>IF(X929="Sin Pago","",IFERROR(INDEX(Pagos_Odoo!$A:$A, MATCH(X929, Pagos_Odoo!$B:$B, 0)), ""))</f>
        <v/>
      </c>
      <c r="AA929" s="79">
        <f>IF(X929="Sin Pago","",IFERROR(INDEX(Pagos_Odoo!$F:$F, MATCH(X929, Pagos_Odoo!$B:$B, 0)), ""))</f>
        <v/>
      </c>
      <c r="AB929" s="81">
        <f>IF(X929="Sin Pago",0,IFERROR(INDEX(Pagos_Odoo!$E:$E, MATCH(X929, Pagos_Odoo!$B:$B, 0)), 0))</f>
        <v/>
      </c>
      <c r="AC929" s="79">
        <f>IF(X929="Sin Pago","",IFERROR(INDEX(Pagos_Odoo!$G:$G, MATCH(X929, Pagos_Odoo!$B:$B, 0)), ""))</f>
        <v/>
      </c>
      <c r="AD929" s="82" t="n">
        <v>0</v>
      </c>
      <c r="AE929" s="82" t="n"/>
      <c r="AF929" s="82" t="n"/>
      <c r="AG929" s="82">
        <f>IF(AN929="","",AD929+AE929+AF929)</f>
        <v/>
      </c>
      <c r="AH929" s="81">
        <f>IF(AN929="","",P929*(1-AG929))</f>
        <v/>
      </c>
      <c r="AI929" s="81">
        <f>IF(AN929="","",IF(Q929="Sin Factura",0,IFERROR(INDEX(Facturas_Odoo!$H:$H, MATCH(Q929, Facturas_Odoo!$B:$B, 0)), 0)*(1-AG929)))</f>
        <v/>
      </c>
      <c r="AJ929" s="81">
        <f>IF(AN929="","",_xlfn.LET(idVenta, AN929&amp;"",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29" s="81">
        <f>IF(AN929="","",AH929-AJ929)</f>
        <v/>
      </c>
      <c r="AL929" s="81">
        <f>IF(AN929="","",IF(Q929="Sin Factura","",AI929-AJ929))</f>
        <v/>
      </c>
      <c r="AM929" s="81">
        <f>IF(AN929="","",IF(Q929="Sin Factura",0,P929-IFERROR(INDEX(Facturas_Odoo!$H:$H, MATCH(Q929, Facturas_Odoo!$B:$B, 0)), 0)))</f>
        <v/>
      </c>
      <c r="AN929" s="79">
        <f>IF(AND(A929="", J929=""), "", IF(A929&lt;&gt;"", VALUE(MID(A929,2,LEN(A929))), AN928))</f>
        <v/>
      </c>
      <c r="AO929" s="79">
        <f>IF(AN929="","",IF(AD929=0,"OK",_xlfn.LET(monedaPago, IF(AA929="","USD",AA929), limitePermitido, IFERROR(VLOOKUP(monedaPago, Configuración!$A$2:$B$3, 2, FALSE), 0.15), IF(AD929&gt;limitePermitido, "ALERTA: EXCESO (" &amp; TEXT(limitePermitido, "0%") &amp; " máx)", "OK"))))</f>
        <v/>
      </c>
      <c r="AP929" s="79">
        <f>IF(AN929="","",IF(AE929=0,"OK",_xlfn.LET(fechaPago, Z929, fechaFactura, R929, diasCredito, IF(E929="Pago inmediato", 0, IFERROR(VALUE(MID(E929, 1, SEARCH(" ", E929)-1)),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29" s="79">
        <f>IF(AN929="","",IF(AND(N929&gt;0, AG929&gt;0), IF(Configuración!$K$2="NO", "ALERTA: DESCUENTO DOBLE NO PERMITIDO", "OK"), "OK"))</f>
        <v/>
      </c>
      <c r="AR929" s="79">
        <f>IF(AN929="","",IF(OR(AO929&lt;&gt;"OK", AP929&lt;&gt;"OK", AQ929&lt;&gt;"OK"), "⚠️ REVISAR", "OK"))</f>
        <v/>
      </c>
    </row>
    <row r="930">
      <c r="A930" s="79">
        <f>IF('Ordenes_Odoo'!A930="","",'Ordenes_Odoo'!A930)</f>
        <v/>
      </c>
      <c r="B930" s="80">
        <f>IF('Ordenes_Odoo'!B930="","",'Ordenes_Odoo'!B930)</f>
        <v/>
      </c>
      <c r="C930" s="79">
        <f>IF('Ordenes_Odoo'!C930="","",'Ordenes_Odoo'!C930)</f>
        <v/>
      </c>
      <c r="D930" s="79">
        <f>IF('Ordenes_Odoo'!D930="","",'Ordenes_Odoo'!D930)</f>
        <v/>
      </c>
      <c r="E930" s="79">
        <f>IF('Ordenes_Odoo'!E930="","",'Ordenes_Odoo'!E930)</f>
        <v/>
      </c>
      <c r="F930" s="79">
        <f>IF('Ordenes_Odoo'!F930="","",'Ordenes_Odoo'!F930)</f>
        <v/>
      </c>
      <c r="G930" s="79">
        <f>IF('Ordenes_Odoo'!G930="","",'Ordenes_Odoo'!G930)</f>
        <v/>
      </c>
      <c r="H930" s="79">
        <f>IF('Ordenes_Odoo'!H930="","",'Ordenes_Odoo'!H930)</f>
        <v/>
      </c>
      <c r="I930" s="79">
        <f>IF('Ordenes_Odoo'!I930="","",'Ordenes_Odoo'!I930)</f>
        <v/>
      </c>
      <c r="J930" s="79">
        <f>IF('Ordenes_Odoo'!J930="","",'Ordenes_Odoo'!J930)</f>
        <v/>
      </c>
      <c r="K930" s="81">
        <f>IF('Ordenes_Odoo'!K930="","",'Ordenes_Odoo'!K930)</f>
        <v/>
      </c>
      <c r="L930" s="81">
        <f>IF('Ordenes_Odoo'!L930="","",'Ordenes_Odoo'!L930)</f>
        <v/>
      </c>
      <c r="M930" s="79">
        <f>IF('Ordenes_Odoo'!M930="","",'Ordenes_Odoo'!M930)</f>
        <v/>
      </c>
      <c r="N930" s="79">
        <f>IF('Ordenes_Odoo'!N930="","",'Ordenes_Odoo'!N930)</f>
        <v/>
      </c>
      <c r="O930" s="81">
        <f>IF('Ordenes_Odoo'!O930="","",'Ordenes_Odoo'!O930)</f>
        <v/>
      </c>
      <c r="P930" s="81">
        <f>IF('Ordenes_Odoo'!P930="","",'Ordenes_Odoo'!P930)</f>
        <v/>
      </c>
      <c r="Q930" s="79">
        <f>IF(A930="","",IFERROR(INDEX(Facturas_Odoo!$B:$B, MATCH(A930, Facturas_Odoo!$D:$D, 0)), "Sin Factura"))</f>
        <v/>
      </c>
      <c r="R930" s="80">
        <f>IF(Q930="Sin Factura","",IFERROR(INDEX(Facturas_Odoo!$A:$A, MATCH(Q930, Facturas_Odoo!$B:$B, 0)), ""))</f>
        <v/>
      </c>
      <c r="S930" s="79">
        <f>IF(Q930="Sin Factura","",IFERROR(_xlfn.XLOOKUP(1, (Facturas_Odoo!$D:$D=A930) * (Facturas_Odoo!$K:$K=I930), Facturas_Odoo!$L:$L, ""), ""))</f>
        <v/>
      </c>
      <c r="T930" s="81">
        <f>IF(Q930="Sin Factura",0,IFERROR(_xlfn.XLOOKUP(1, (Facturas_Odoo!$D:$D=A930) * (Facturas_Odoo!$K:$K=I930), Facturas_Odoo!$M:$M, 0), 0))</f>
        <v/>
      </c>
      <c r="U930" s="79">
        <f>IF(Q930="Sin Factura",0,IFERROR(_xlfn.XLOOKUP(1, (Facturas_Odoo!$D:$D=A930) * (Facturas_Odoo!$K:$K=I930), Facturas_Odoo!$N:$N, 0), 0))</f>
        <v/>
      </c>
      <c r="V930" s="79">
        <f>IF(Q930="Sin Factura",0,IFERROR(_xlfn.XLOOKUP(1, (Facturas_Odoo!$D:$D=A930) * (Facturas_Odoo!$K:$K=I930), Facturas_Odoo!$O:$O, 0), 0))</f>
        <v/>
      </c>
      <c r="W930" s="81">
        <f>IF(Q930="Sin Factura",0,IFERROR(_xlfn.XLOOKUP(1, (Facturas_Odoo!$D:$D=A930) * (Facturas_Odoo!$K:$K=I930), Facturas_Odoo!$Q:$Q, 0), 0))</f>
        <v/>
      </c>
      <c r="X930" s="79">
        <f>IF(OR(Q930="Sin Factura",Q930=""),"",IFERROR(INDEX(Pagos_Odoo!$B:$B, MATCH(Q930, Pagos_Odoo!$I:$I, 0)), "Sin Pago"))</f>
        <v/>
      </c>
      <c r="Y930" s="79">
        <f>IF(X930="Sin Pago","",IFERROR(INDEX(Pagos_Odoo!$C:$C, MATCH(X930, Pagos_Odoo!$B:$B, 0)), ""))</f>
        <v/>
      </c>
      <c r="Z930" s="80">
        <f>IF(X930="Sin Pago","",IFERROR(INDEX(Pagos_Odoo!$A:$A, MATCH(X930, Pagos_Odoo!$B:$B, 0)), ""))</f>
        <v/>
      </c>
      <c r="AA930" s="79">
        <f>IF(X930="Sin Pago","",IFERROR(INDEX(Pagos_Odoo!$F:$F, MATCH(X930, Pagos_Odoo!$B:$B, 0)), ""))</f>
        <v/>
      </c>
      <c r="AB930" s="81">
        <f>IF(X930="Sin Pago",0,IFERROR(INDEX(Pagos_Odoo!$E:$E, MATCH(X930, Pagos_Odoo!$B:$B, 0)), 0))</f>
        <v/>
      </c>
      <c r="AC930" s="79">
        <f>IF(X930="Sin Pago","",IFERROR(INDEX(Pagos_Odoo!$G:$G, MATCH(X930, Pagos_Odoo!$B:$B, 0)), ""))</f>
        <v/>
      </c>
      <c r="AD930" s="82" t="n">
        <v>0</v>
      </c>
      <c r="AE930" s="82" t="n"/>
      <c r="AF930" s="82" t="n"/>
      <c r="AG930" s="82">
        <f>IF(AN930="","",AD930+AE930+AF930)</f>
        <v/>
      </c>
      <c r="AH930" s="81">
        <f>IF(AN930="","",P930*(1-AG930))</f>
        <v/>
      </c>
      <c r="AI930" s="81">
        <f>IF(AN930="","",IF(Q930="Sin Factura",0,IFERROR(INDEX(Facturas_Odoo!$H:$H, MATCH(Q930, Facturas_Odoo!$B:$B, 0)), 0)*(1-AG930)))</f>
        <v/>
      </c>
      <c r="AJ930" s="81">
        <f>IF(AN930="","",_xlfn.LET(idVenta, AN930&amp;"",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30" s="81">
        <f>IF(AN930="","",AH930-AJ930)</f>
        <v/>
      </c>
      <c r="AL930" s="81">
        <f>IF(AN930="","",IF(Q930="Sin Factura","",AI930-AJ930))</f>
        <v/>
      </c>
      <c r="AM930" s="81">
        <f>IF(AN930="","",IF(Q930="Sin Factura",0,P930-IFERROR(INDEX(Facturas_Odoo!$H:$H, MATCH(Q930, Facturas_Odoo!$B:$B, 0)), 0)))</f>
        <v/>
      </c>
      <c r="AN930" s="79">
        <f>IF(AND(A930="", J930=""), "", IF(A930&lt;&gt;"", VALUE(MID(A930,2,LEN(A930))), AN929))</f>
        <v/>
      </c>
      <c r="AO930" s="79">
        <f>IF(AN930="","",IF(AD930=0,"OK",_xlfn.LET(monedaPago, IF(AA930="","USD",AA930), limitePermitido, IFERROR(VLOOKUP(monedaPago, Configuración!$A$2:$B$3, 2, FALSE), 0.15), IF(AD930&gt;limitePermitido, "ALERTA: EXCESO (" &amp; TEXT(limitePermitido, "0%") &amp; " máx)", "OK"))))</f>
        <v/>
      </c>
      <c r="AP930" s="79">
        <f>IF(AN930="","",IF(AE930=0,"OK",_xlfn.LET(fechaPago, Z930, fechaFactura, R930, diasCredito, IF(E930="Pago inmediato", 0, IFERROR(VALUE(MID(E930, 1, SEARCH(" ", E930)-1)),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30" s="79">
        <f>IF(AN930="","",IF(AND(N930&gt;0, AG930&gt;0), IF(Configuración!$K$2="NO", "ALERTA: DESCUENTO DOBLE NO PERMITIDO", "OK"), "OK"))</f>
        <v/>
      </c>
      <c r="AR930" s="79">
        <f>IF(AN930="","",IF(OR(AO930&lt;&gt;"OK", AP930&lt;&gt;"OK", AQ930&lt;&gt;"OK"), "⚠️ REVISAR", "OK"))</f>
        <v/>
      </c>
    </row>
    <row r="931">
      <c r="A931" s="79">
        <f>IF('Ordenes_Odoo'!A931="","",'Ordenes_Odoo'!A931)</f>
        <v/>
      </c>
      <c r="B931" s="80">
        <f>IF('Ordenes_Odoo'!B931="","",'Ordenes_Odoo'!B931)</f>
        <v/>
      </c>
      <c r="C931" s="79">
        <f>IF('Ordenes_Odoo'!C931="","",'Ordenes_Odoo'!C931)</f>
        <v/>
      </c>
      <c r="D931" s="79">
        <f>IF('Ordenes_Odoo'!D931="","",'Ordenes_Odoo'!D931)</f>
        <v/>
      </c>
      <c r="E931" s="79">
        <f>IF('Ordenes_Odoo'!E931="","",'Ordenes_Odoo'!E931)</f>
        <v/>
      </c>
      <c r="F931" s="79">
        <f>IF('Ordenes_Odoo'!F931="","",'Ordenes_Odoo'!F931)</f>
        <v/>
      </c>
      <c r="G931" s="79">
        <f>IF('Ordenes_Odoo'!G931="","",'Ordenes_Odoo'!G931)</f>
        <v/>
      </c>
      <c r="H931" s="79">
        <f>IF('Ordenes_Odoo'!H931="","",'Ordenes_Odoo'!H931)</f>
        <v/>
      </c>
      <c r="I931" s="79">
        <f>IF('Ordenes_Odoo'!I931="","",'Ordenes_Odoo'!I931)</f>
        <v/>
      </c>
      <c r="J931" s="79">
        <f>IF('Ordenes_Odoo'!J931="","",'Ordenes_Odoo'!J931)</f>
        <v/>
      </c>
      <c r="K931" s="81">
        <f>IF('Ordenes_Odoo'!K931="","",'Ordenes_Odoo'!K931)</f>
        <v/>
      </c>
      <c r="L931" s="81">
        <f>IF('Ordenes_Odoo'!L931="","",'Ordenes_Odoo'!L931)</f>
        <v/>
      </c>
      <c r="M931" s="79">
        <f>IF('Ordenes_Odoo'!M931="","",'Ordenes_Odoo'!M931)</f>
        <v/>
      </c>
      <c r="N931" s="79">
        <f>IF('Ordenes_Odoo'!N931="","",'Ordenes_Odoo'!N931)</f>
        <v/>
      </c>
      <c r="O931" s="81">
        <f>IF('Ordenes_Odoo'!O931="","",'Ordenes_Odoo'!O931)</f>
        <v/>
      </c>
      <c r="P931" s="81">
        <f>IF('Ordenes_Odoo'!P931="","",'Ordenes_Odoo'!P931)</f>
        <v/>
      </c>
      <c r="Q931" s="79">
        <f>IF(A931="","",IFERROR(INDEX(Facturas_Odoo!$B:$B, MATCH(A931, Facturas_Odoo!$D:$D, 0)), "Sin Factura"))</f>
        <v/>
      </c>
      <c r="R931" s="80">
        <f>IF(Q931="Sin Factura","",IFERROR(INDEX(Facturas_Odoo!$A:$A, MATCH(Q931, Facturas_Odoo!$B:$B, 0)), ""))</f>
        <v/>
      </c>
      <c r="S931" s="79">
        <f>IF(Q931="Sin Factura","",IFERROR(_xlfn.XLOOKUP(1, (Facturas_Odoo!$D:$D=A931) * (Facturas_Odoo!$K:$K=I931), Facturas_Odoo!$L:$L, ""), ""))</f>
        <v/>
      </c>
      <c r="T931" s="81">
        <f>IF(Q931="Sin Factura",0,IFERROR(_xlfn.XLOOKUP(1, (Facturas_Odoo!$D:$D=A931) * (Facturas_Odoo!$K:$K=I931), Facturas_Odoo!$M:$M, 0), 0))</f>
        <v/>
      </c>
      <c r="U931" s="79">
        <f>IF(Q931="Sin Factura",0,IFERROR(_xlfn.XLOOKUP(1, (Facturas_Odoo!$D:$D=A931) * (Facturas_Odoo!$K:$K=I931), Facturas_Odoo!$N:$N, 0), 0))</f>
        <v/>
      </c>
      <c r="V931" s="79">
        <f>IF(Q931="Sin Factura",0,IFERROR(_xlfn.XLOOKUP(1, (Facturas_Odoo!$D:$D=A931) * (Facturas_Odoo!$K:$K=I931), Facturas_Odoo!$O:$O, 0), 0))</f>
        <v/>
      </c>
      <c r="W931" s="81">
        <f>IF(Q931="Sin Factura",0,IFERROR(_xlfn.XLOOKUP(1, (Facturas_Odoo!$D:$D=A931) * (Facturas_Odoo!$K:$K=I931), Facturas_Odoo!$Q:$Q, 0), 0))</f>
        <v/>
      </c>
      <c r="X931" s="79">
        <f>IF(OR(Q931="Sin Factura",Q931=""),"",IFERROR(INDEX(Pagos_Odoo!$B:$B, MATCH(Q931, Pagos_Odoo!$I:$I, 0)), "Sin Pago"))</f>
        <v/>
      </c>
      <c r="Y931" s="79">
        <f>IF(X931="Sin Pago","",IFERROR(INDEX(Pagos_Odoo!$C:$C, MATCH(X931, Pagos_Odoo!$B:$B, 0)), ""))</f>
        <v/>
      </c>
      <c r="Z931" s="80">
        <f>IF(X931="Sin Pago","",IFERROR(INDEX(Pagos_Odoo!$A:$A, MATCH(X931, Pagos_Odoo!$B:$B, 0)), ""))</f>
        <v/>
      </c>
      <c r="AA931" s="79">
        <f>IF(X931="Sin Pago","",IFERROR(INDEX(Pagos_Odoo!$F:$F, MATCH(X931, Pagos_Odoo!$B:$B, 0)), ""))</f>
        <v/>
      </c>
      <c r="AB931" s="81">
        <f>IF(X931="Sin Pago",0,IFERROR(INDEX(Pagos_Odoo!$E:$E, MATCH(X931, Pagos_Odoo!$B:$B, 0)), 0))</f>
        <v/>
      </c>
      <c r="AC931" s="79">
        <f>IF(X931="Sin Pago","",IFERROR(INDEX(Pagos_Odoo!$G:$G, MATCH(X931, Pagos_Odoo!$B:$B, 0)), ""))</f>
        <v/>
      </c>
      <c r="AD931" s="82" t="n">
        <v>0</v>
      </c>
      <c r="AE931" s="82" t="n"/>
      <c r="AF931" s="82" t="n"/>
      <c r="AG931" s="82">
        <f>IF(AN931="","",AD931+AE931+AF931)</f>
        <v/>
      </c>
      <c r="AH931" s="81">
        <f>IF(AN931="","",P931*(1-AG931))</f>
        <v/>
      </c>
      <c r="AI931" s="81">
        <f>IF(AN931="","",IF(Q931="Sin Factura",0,IFERROR(INDEX(Facturas_Odoo!$H:$H, MATCH(Q931, Facturas_Odoo!$B:$B, 0)), 0)*(1-AG931)))</f>
        <v/>
      </c>
      <c r="AJ931" s="81">
        <f>IF(AN931="","",_xlfn.LET(idVenta, AN931&amp;"",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31" s="81">
        <f>IF(AN931="","",AH931-AJ931)</f>
        <v/>
      </c>
      <c r="AL931" s="81">
        <f>IF(AN931="","",IF(Q931="Sin Factura","",AI931-AJ931))</f>
        <v/>
      </c>
      <c r="AM931" s="81">
        <f>IF(AN931="","",IF(Q931="Sin Factura",0,P931-IFERROR(INDEX(Facturas_Odoo!$H:$H, MATCH(Q931, Facturas_Odoo!$B:$B, 0)), 0)))</f>
        <v/>
      </c>
      <c r="AN931" s="79">
        <f>IF(AND(A931="", J931=""), "", IF(A931&lt;&gt;"", VALUE(MID(A931,2,LEN(A931))), AN930))</f>
        <v/>
      </c>
      <c r="AO931" s="79">
        <f>IF(AN931="","",IF(AD931=0,"OK",_xlfn.LET(monedaPago, IF(AA931="","USD",AA931), limitePermitido, IFERROR(VLOOKUP(monedaPago, Configuración!$A$2:$B$3, 2, FALSE), 0.15), IF(AD931&gt;limitePermitido, "ALERTA: EXCESO (" &amp; TEXT(limitePermitido, "0%") &amp; " máx)", "OK"))))</f>
        <v/>
      </c>
      <c r="AP931" s="79">
        <f>IF(AN931="","",IF(AE931=0,"OK",_xlfn.LET(fechaPago, Z931, fechaFactura, R931, diasCredito, IF(E931="Pago inmediato", 0, IFERROR(VALUE(MID(E931, 1, SEARCH(" ", E931)-1)),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31" s="79">
        <f>IF(AN931="","",IF(AND(N931&gt;0, AG931&gt;0), IF(Configuración!$K$2="NO", "ALERTA: DESCUENTO DOBLE NO PERMITIDO", "OK"), "OK"))</f>
        <v/>
      </c>
      <c r="AR931" s="79">
        <f>IF(AN931="","",IF(OR(AO931&lt;&gt;"OK", AP931&lt;&gt;"OK", AQ931&lt;&gt;"OK"), "⚠️ REVISAR", "OK"))</f>
        <v/>
      </c>
    </row>
    <row r="932">
      <c r="A932" s="79">
        <f>IF('Ordenes_Odoo'!A932="","",'Ordenes_Odoo'!A932)</f>
        <v/>
      </c>
      <c r="B932" s="80">
        <f>IF('Ordenes_Odoo'!B932="","",'Ordenes_Odoo'!B932)</f>
        <v/>
      </c>
      <c r="C932" s="79">
        <f>IF('Ordenes_Odoo'!C932="","",'Ordenes_Odoo'!C932)</f>
        <v/>
      </c>
      <c r="D932" s="79">
        <f>IF('Ordenes_Odoo'!D932="","",'Ordenes_Odoo'!D932)</f>
        <v/>
      </c>
      <c r="E932" s="79">
        <f>IF('Ordenes_Odoo'!E932="","",'Ordenes_Odoo'!E932)</f>
        <v/>
      </c>
      <c r="F932" s="79">
        <f>IF('Ordenes_Odoo'!F932="","",'Ordenes_Odoo'!F932)</f>
        <v/>
      </c>
      <c r="G932" s="79">
        <f>IF('Ordenes_Odoo'!G932="","",'Ordenes_Odoo'!G932)</f>
        <v/>
      </c>
      <c r="H932" s="79">
        <f>IF('Ordenes_Odoo'!H932="","",'Ordenes_Odoo'!H932)</f>
        <v/>
      </c>
      <c r="I932" s="79">
        <f>IF('Ordenes_Odoo'!I932="","",'Ordenes_Odoo'!I932)</f>
        <v/>
      </c>
      <c r="J932" s="79">
        <f>IF('Ordenes_Odoo'!J932="","",'Ordenes_Odoo'!J932)</f>
        <v/>
      </c>
      <c r="K932" s="81">
        <f>IF('Ordenes_Odoo'!K932="","",'Ordenes_Odoo'!K932)</f>
        <v/>
      </c>
      <c r="L932" s="81">
        <f>IF('Ordenes_Odoo'!L932="","",'Ordenes_Odoo'!L932)</f>
        <v/>
      </c>
      <c r="M932" s="79">
        <f>IF('Ordenes_Odoo'!M932="","",'Ordenes_Odoo'!M932)</f>
        <v/>
      </c>
      <c r="N932" s="79">
        <f>IF('Ordenes_Odoo'!N932="","",'Ordenes_Odoo'!N932)</f>
        <v/>
      </c>
      <c r="O932" s="81">
        <f>IF('Ordenes_Odoo'!O932="","",'Ordenes_Odoo'!O932)</f>
        <v/>
      </c>
      <c r="P932" s="81">
        <f>IF('Ordenes_Odoo'!P932="","",'Ordenes_Odoo'!P932)</f>
        <v/>
      </c>
      <c r="Q932" s="79">
        <f>IF(A932="","",IFERROR(INDEX(Facturas_Odoo!$B:$B, MATCH(A932, Facturas_Odoo!$D:$D, 0)), "Sin Factura"))</f>
        <v/>
      </c>
      <c r="R932" s="80">
        <f>IF(Q932="Sin Factura","",IFERROR(INDEX(Facturas_Odoo!$A:$A, MATCH(Q932, Facturas_Odoo!$B:$B, 0)), ""))</f>
        <v/>
      </c>
      <c r="S932" s="79">
        <f>IF(Q932="Sin Factura","",IFERROR(_xlfn.XLOOKUP(1, (Facturas_Odoo!$D:$D=A932) * (Facturas_Odoo!$K:$K=I932), Facturas_Odoo!$L:$L, ""), ""))</f>
        <v/>
      </c>
      <c r="T932" s="81">
        <f>IF(Q932="Sin Factura",0,IFERROR(_xlfn.XLOOKUP(1, (Facturas_Odoo!$D:$D=A932) * (Facturas_Odoo!$K:$K=I932), Facturas_Odoo!$M:$M, 0), 0))</f>
        <v/>
      </c>
      <c r="U932" s="79">
        <f>IF(Q932="Sin Factura",0,IFERROR(_xlfn.XLOOKUP(1, (Facturas_Odoo!$D:$D=A932) * (Facturas_Odoo!$K:$K=I932), Facturas_Odoo!$N:$N, 0), 0))</f>
        <v/>
      </c>
      <c r="V932" s="79">
        <f>IF(Q932="Sin Factura",0,IFERROR(_xlfn.XLOOKUP(1, (Facturas_Odoo!$D:$D=A932) * (Facturas_Odoo!$K:$K=I932), Facturas_Odoo!$O:$O, 0), 0))</f>
        <v/>
      </c>
      <c r="W932" s="81">
        <f>IF(Q932="Sin Factura",0,IFERROR(_xlfn.XLOOKUP(1, (Facturas_Odoo!$D:$D=A932) * (Facturas_Odoo!$K:$K=I932), Facturas_Odoo!$Q:$Q, 0), 0))</f>
        <v/>
      </c>
      <c r="X932" s="79">
        <f>IF(OR(Q932="Sin Factura",Q932=""),"",IFERROR(INDEX(Pagos_Odoo!$B:$B, MATCH(Q932, Pagos_Odoo!$I:$I, 0)), "Sin Pago"))</f>
        <v/>
      </c>
      <c r="Y932" s="79">
        <f>IF(X932="Sin Pago","",IFERROR(INDEX(Pagos_Odoo!$C:$C, MATCH(X932, Pagos_Odoo!$B:$B, 0)), ""))</f>
        <v/>
      </c>
      <c r="Z932" s="80">
        <f>IF(X932="Sin Pago","",IFERROR(INDEX(Pagos_Odoo!$A:$A, MATCH(X932, Pagos_Odoo!$B:$B, 0)), ""))</f>
        <v/>
      </c>
      <c r="AA932" s="79">
        <f>IF(X932="Sin Pago","",IFERROR(INDEX(Pagos_Odoo!$F:$F, MATCH(X932, Pagos_Odoo!$B:$B, 0)), ""))</f>
        <v/>
      </c>
      <c r="AB932" s="81">
        <f>IF(X932="Sin Pago",0,IFERROR(INDEX(Pagos_Odoo!$E:$E, MATCH(X932, Pagos_Odoo!$B:$B, 0)), 0))</f>
        <v/>
      </c>
      <c r="AC932" s="79">
        <f>IF(X932="Sin Pago","",IFERROR(INDEX(Pagos_Odoo!$G:$G, MATCH(X932, Pagos_Odoo!$B:$B, 0)), ""))</f>
        <v/>
      </c>
      <c r="AD932" s="82" t="n">
        <v>0</v>
      </c>
      <c r="AE932" s="82" t="n"/>
      <c r="AF932" s="82" t="n"/>
      <c r="AG932" s="82">
        <f>IF(AN932="","",AD932+AE932+AF932)</f>
        <v/>
      </c>
      <c r="AH932" s="81">
        <f>IF(AN932="","",P932*(1-AG932))</f>
        <v/>
      </c>
      <c r="AI932" s="81">
        <f>IF(AN932="","",IF(Q932="Sin Factura",0,IFERROR(INDEX(Facturas_Odoo!$H:$H, MATCH(Q932, Facturas_Odoo!$B:$B, 0)), 0)*(1-AG932)))</f>
        <v/>
      </c>
      <c r="AJ932" s="81">
        <f>IF(AN932="","",_xlfn.LET(idVenta, AN932&amp;"",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32" s="81">
        <f>IF(AN932="","",AH932-AJ932)</f>
        <v/>
      </c>
      <c r="AL932" s="81">
        <f>IF(AN932="","",IF(Q932="Sin Factura","",AI932-AJ932))</f>
        <v/>
      </c>
      <c r="AM932" s="81">
        <f>IF(AN932="","",IF(Q932="Sin Factura",0,P932-IFERROR(INDEX(Facturas_Odoo!$H:$H, MATCH(Q932, Facturas_Odoo!$B:$B, 0)), 0)))</f>
        <v/>
      </c>
      <c r="AN932" s="79">
        <f>IF(AND(A932="", J932=""), "", IF(A932&lt;&gt;"", VALUE(MID(A932,2,LEN(A932))), AN931))</f>
        <v/>
      </c>
      <c r="AO932" s="79">
        <f>IF(AN932="","",IF(AD932=0,"OK",_xlfn.LET(monedaPago, IF(AA932="","USD",AA932), limitePermitido, IFERROR(VLOOKUP(monedaPago, Configuración!$A$2:$B$3, 2, FALSE), 0.15), IF(AD932&gt;limitePermitido, "ALERTA: EXCESO (" &amp; TEXT(limitePermitido, "0%") &amp; " máx)", "OK"))))</f>
        <v/>
      </c>
      <c r="AP932" s="79">
        <f>IF(AN932="","",IF(AE932=0,"OK",_xlfn.LET(fechaPago, Z932, fechaFactura, R932, diasCredito, IF(E932="Pago inmediato", 0, IFERROR(VALUE(MID(E932, 1, SEARCH(" ", E932)-1)),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32" s="79">
        <f>IF(AN932="","",IF(AND(N932&gt;0, AG932&gt;0), IF(Configuración!$K$2="NO", "ALERTA: DESCUENTO DOBLE NO PERMITIDO", "OK"), "OK"))</f>
        <v/>
      </c>
      <c r="AR932" s="79">
        <f>IF(AN932="","",IF(OR(AO932&lt;&gt;"OK", AP932&lt;&gt;"OK", AQ932&lt;&gt;"OK"), "⚠️ REVISAR", "OK"))</f>
        <v/>
      </c>
    </row>
    <row r="933">
      <c r="A933" s="79">
        <f>IF('Ordenes_Odoo'!A933="","",'Ordenes_Odoo'!A933)</f>
        <v/>
      </c>
      <c r="B933" s="80">
        <f>IF('Ordenes_Odoo'!B933="","",'Ordenes_Odoo'!B933)</f>
        <v/>
      </c>
      <c r="C933" s="79">
        <f>IF('Ordenes_Odoo'!C933="","",'Ordenes_Odoo'!C933)</f>
        <v/>
      </c>
      <c r="D933" s="79">
        <f>IF('Ordenes_Odoo'!D933="","",'Ordenes_Odoo'!D933)</f>
        <v/>
      </c>
      <c r="E933" s="79">
        <f>IF('Ordenes_Odoo'!E933="","",'Ordenes_Odoo'!E933)</f>
        <v/>
      </c>
      <c r="F933" s="79">
        <f>IF('Ordenes_Odoo'!F933="","",'Ordenes_Odoo'!F933)</f>
        <v/>
      </c>
      <c r="G933" s="79">
        <f>IF('Ordenes_Odoo'!G933="","",'Ordenes_Odoo'!G933)</f>
        <v/>
      </c>
      <c r="H933" s="79">
        <f>IF('Ordenes_Odoo'!H933="","",'Ordenes_Odoo'!H933)</f>
        <v/>
      </c>
      <c r="I933" s="79">
        <f>IF('Ordenes_Odoo'!I933="","",'Ordenes_Odoo'!I933)</f>
        <v/>
      </c>
      <c r="J933" s="79">
        <f>IF('Ordenes_Odoo'!J933="","",'Ordenes_Odoo'!J933)</f>
        <v/>
      </c>
      <c r="K933" s="81">
        <f>IF('Ordenes_Odoo'!K933="","",'Ordenes_Odoo'!K933)</f>
        <v/>
      </c>
      <c r="L933" s="81">
        <f>IF('Ordenes_Odoo'!L933="","",'Ordenes_Odoo'!L933)</f>
        <v/>
      </c>
      <c r="M933" s="79">
        <f>IF('Ordenes_Odoo'!M933="","",'Ordenes_Odoo'!M933)</f>
        <v/>
      </c>
      <c r="N933" s="79">
        <f>IF('Ordenes_Odoo'!N933="","",'Ordenes_Odoo'!N933)</f>
        <v/>
      </c>
      <c r="O933" s="81">
        <f>IF('Ordenes_Odoo'!O933="","",'Ordenes_Odoo'!O933)</f>
        <v/>
      </c>
      <c r="P933" s="81">
        <f>IF('Ordenes_Odoo'!P933="","",'Ordenes_Odoo'!P933)</f>
        <v/>
      </c>
      <c r="Q933" s="79">
        <f>IF(A933="","",IFERROR(INDEX(Facturas_Odoo!$B:$B, MATCH(A933, Facturas_Odoo!$D:$D, 0)), "Sin Factura"))</f>
        <v/>
      </c>
      <c r="R933" s="80">
        <f>IF(Q933="Sin Factura","",IFERROR(INDEX(Facturas_Odoo!$A:$A, MATCH(Q933, Facturas_Odoo!$B:$B, 0)), ""))</f>
        <v/>
      </c>
      <c r="S933" s="79">
        <f>IF(Q933="Sin Factura","",IFERROR(_xlfn.XLOOKUP(1, (Facturas_Odoo!$D:$D=A933) * (Facturas_Odoo!$K:$K=I933), Facturas_Odoo!$L:$L, ""), ""))</f>
        <v/>
      </c>
      <c r="T933" s="81">
        <f>IF(Q933="Sin Factura",0,IFERROR(_xlfn.XLOOKUP(1, (Facturas_Odoo!$D:$D=A933) * (Facturas_Odoo!$K:$K=I933), Facturas_Odoo!$M:$M, 0), 0))</f>
        <v/>
      </c>
      <c r="U933" s="79">
        <f>IF(Q933="Sin Factura",0,IFERROR(_xlfn.XLOOKUP(1, (Facturas_Odoo!$D:$D=A933) * (Facturas_Odoo!$K:$K=I933), Facturas_Odoo!$N:$N, 0), 0))</f>
        <v/>
      </c>
      <c r="V933" s="79">
        <f>IF(Q933="Sin Factura",0,IFERROR(_xlfn.XLOOKUP(1, (Facturas_Odoo!$D:$D=A933) * (Facturas_Odoo!$K:$K=I933), Facturas_Odoo!$O:$O, 0), 0))</f>
        <v/>
      </c>
      <c r="W933" s="81">
        <f>IF(Q933="Sin Factura",0,IFERROR(_xlfn.XLOOKUP(1, (Facturas_Odoo!$D:$D=A933) * (Facturas_Odoo!$K:$K=I933), Facturas_Odoo!$Q:$Q, 0), 0))</f>
        <v/>
      </c>
      <c r="X933" s="79">
        <f>IF(OR(Q933="Sin Factura",Q933=""),"",IFERROR(INDEX(Pagos_Odoo!$B:$B, MATCH(Q933, Pagos_Odoo!$I:$I, 0)), "Sin Pago"))</f>
        <v/>
      </c>
      <c r="Y933" s="79">
        <f>IF(X933="Sin Pago","",IFERROR(INDEX(Pagos_Odoo!$C:$C, MATCH(X933, Pagos_Odoo!$B:$B, 0)), ""))</f>
        <v/>
      </c>
      <c r="Z933" s="80">
        <f>IF(X933="Sin Pago","",IFERROR(INDEX(Pagos_Odoo!$A:$A, MATCH(X933, Pagos_Odoo!$B:$B, 0)), ""))</f>
        <v/>
      </c>
      <c r="AA933" s="79">
        <f>IF(X933="Sin Pago","",IFERROR(INDEX(Pagos_Odoo!$F:$F, MATCH(X933, Pagos_Odoo!$B:$B, 0)), ""))</f>
        <v/>
      </c>
      <c r="AB933" s="81">
        <f>IF(X933="Sin Pago",0,IFERROR(INDEX(Pagos_Odoo!$E:$E, MATCH(X933, Pagos_Odoo!$B:$B, 0)), 0))</f>
        <v/>
      </c>
      <c r="AC933" s="79">
        <f>IF(X933="Sin Pago","",IFERROR(INDEX(Pagos_Odoo!$G:$G, MATCH(X933, Pagos_Odoo!$B:$B, 0)), ""))</f>
        <v/>
      </c>
      <c r="AD933" s="82" t="n">
        <v>0</v>
      </c>
      <c r="AE933" s="82" t="n"/>
      <c r="AF933" s="82" t="n"/>
      <c r="AG933" s="82">
        <f>IF(AN933="","",AD933+AE933+AF933)</f>
        <v/>
      </c>
      <c r="AH933" s="81">
        <f>IF(AN933="","",P933*(1-AG933))</f>
        <v/>
      </c>
      <c r="AI933" s="81">
        <f>IF(AN933="","",IF(Q933="Sin Factura",0,IFERROR(INDEX(Facturas_Odoo!$H:$H, MATCH(Q933, Facturas_Odoo!$B:$B, 0)), 0)*(1-AG933)))</f>
        <v/>
      </c>
      <c r="AJ933" s="81">
        <f>IF(AN933="","",_xlfn.LET(idVenta, AN933&amp;"",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33" s="81">
        <f>IF(AN933="","",AH933-AJ933)</f>
        <v/>
      </c>
      <c r="AL933" s="81">
        <f>IF(AN933="","",IF(Q933="Sin Factura","",AI933-AJ933))</f>
        <v/>
      </c>
      <c r="AM933" s="81">
        <f>IF(AN933="","",IF(Q933="Sin Factura",0,P933-IFERROR(INDEX(Facturas_Odoo!$H:$H, MATCH(Q933, Facturas_Odoo!$B:$B, 0)), 0)))</f>
        <v/>
      </c>
      <c r="AN933" s="79">
        <f>IF(AND(A933="", J933=""), "", IF(A933&lt;&gt;"", VALUE(MID(A933,2,LEN(A933))), AN932))</f>
        <v/>
      </c>
      <c r="AO933" s="79">
        <f>IF(AN933="","",IF(AD933=0,"OK",_xlfn.LET(monedaPago, IF(AA933="","USD",AA933), limitePermitido, IFERROR(VLOOKUP(monedaPago, Configuración!$A$2:$B$3, 2, FALSE), 0.15), IF(AD933&gt;limitePermitido, "ALERTA: EXCESO (" &amp; TEXT(limitePermitido, "0%") &amp; " máx)", "OK"))))</f>
        <v/>
      </c>
      <c r="AP933" s="79">
        <f>IF(AN933="","",IF(AE933=0,"OK",_xlfn.LET(fechaPago, Z933, fechaFactura, R933, diasCredito, IF(E933="Pago inmediato", 0, IFERROR(VALUE(MID(E933, 1, SEARCH(" ", E933)-1)),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33" s="79">
        <f>IF(AN933="","",IF(AND(N933&gt;0, AG933&gt;0), IF(Configuración!$K$2="NO", "ALERTA: DESCUENTO DOBLE NO PERMITIDO", "OK"), "OK"))</f>
        <v/>
      </c>
      <c r="AR933" s="79">
        <f>IF(AN933="","",IF(OR(AO933&lt;&gt;"OK", AP933&lt;&gt;"OK", AQ933&lt;&gt;"OK"), "⚠️ REVISAR", "OK"))</f>
        <v/>
      </c>
    </row>
    <row r="934">
      <c r="A934" s="79">
        <f>IF('Ordenes_Odoo'!A934="","",'Ordenes_Odoo'!A934)</f>
        <v/>
      </c>
      <c r="B934" s="80">
        <f>IF('Ordenes_Odoo'!B934="","",'Ordenes_Odoo'!B934)</f>
        <v/>
      </c>
      <c r="C934" s="79">
        <f>IF('Ordenes_Odoo'!C934="","",'Ordenes_Odoo'!C934)</f>
        <v/>
      </c>
      <c r="D934" s="79">
        <f>IF('Ordenes_Odoo'!D934="","",'Ordenes_Odoo'!D934)</f>
        <v/>
      </c>
      <c r="E934" s="79">
        <f>IF('Ordenes_Odoo'!E934="","",'Ordenes_Odoo'!E934)</f>
        <v/>
      </c>
      <c r="F934" s="79">
        <f>IF('Ordenes_Odoo'!F934="","",'Ordenes_Odoo'!F934)</f>
        <v/>
      </c>
      <c r="G934" s="79">
        <f>IF('Ordenes_Odoo'!G934="","",'Ordenes_Odoo'!G934)</f>
        <v/>
      </c>
      <c r="H934" s="79">
        <f>IF('Ordenes_Odoo'!H934="","",'Ordenes_Odoo'!H934)</f>
        <v/>
      </c>
      <c r="I934" s="79">
        <f>IF('Ordenes_Odoo'!I934="","",'Ordenes_Odoo'!I934)</f>
        <v/>
      </c>
      <c r="J934" s="79">
        <f>IF('Ordenes_Odoo'!J934="","",'Ordenes_Odoo'!J934)</f>
        <v/>
      </c>
      <c r="K934" s="81">
        <f>IF('Ordenes_Odoo'!K934="","",'Ordenes_Odoo'!K934)</f>
        <v/>
      </c>
      <c r="L934" s="81">
        <f>IF('Ordenes_Odoo'!L934="","",'Ordenes_Odoo'!L934)</f>
        <v/>
      </c>
      <c r="M934" s="79">
        <f>IF('Ordenes_Odoo'!M934="","",'Ordenes_Odoo'!M934)</f>
        <v/>
      </c>
      <c r="N934" s="79">
        <f>IF('Ordenes_Odoo'!N934="","",'Ordenes_Odoo'!N934)</f>
        <v/>
      </c>
      <c r="O934" s="81">
        <f>IF('Ordenes_Odoo'!O934="","",'Ordenes_Odoo'!O934)</f>
        <v/>
      </c>
      <c r="P934" s="81">
        <f>IF('Ordenes_Odoo'!P934="","",'Ordenes_Odoo'!P934)</f>
        <v/>
      </c>
      <c r="Q934" s="79">
        <f>IF(A934="","",IFERROR(INDEX(Facturas_Odoo!$B:$B, MATCH(A934, Facturas_Odoo!$D:$D, 0)), "Sin Factura"))</f>
        <v/>
      </c>
      <c r="R934" s="80">
        <f>IF(Q934="Sin Factura","",IFERROR(INDEX(Facturas_Odoo!$A:$A, MATCH(Q934, Facturas_Odoo!$B:$B, 0)), ""))</f>
        <v/>
      </c>
      <c r="S934" s="79">
        <f>IF(Q934="Sin Factura","",IFERROR(_xlfn.XLOOKUP(1, (Facturas_Odoo!$D:$D=A934) * (Facturas_Odoo!$K:$K=I934), Facturas_Odoo!$L:$L, ""), ""))</f>
        <v/>
      </c>
      <c r="T934" s="81">
        <f>IF(Q934="Sin Factura",0,IFERROR(_xlfn.XLOOKUP(1, (Facturas_Odoo!$D:$D=A934) * (Facturas_Odoo!$K:$K=I934), Facturas_Odoo!$M:$M, 0), 0))</f>
        <v/>
      </c>
      <c r="U934" s="79">
        <f>IF(Q934="Sin Factura",0,IFERROR(_xlfn.XLOOKUP(1, (Facturas_Odoo!$D:$D=A934) * (Facturas_Odoo!$K:$K=I934), Facturas_Odoo!$N:$N, 0), 0))</f>
        <v/>
      </c>
      <c r="V934" s="79">
        <f>IF(Q934="Sin Factura",0,IFERROR(_xlfn.XLOOKUP(1, (Facturas_Odoo!$D:$D=A934) * (Facturas_Odoo!$K:$K=I934), Facturas_Odoo!$O:$O, 0), 0))</f>
        <v/>
      </c>
      <c r="W934" s="81">
        <f>IF(Q934="Sin Factura",0,IFERROR(_xlfn.XLOOKUP(1, (Facturas_Odoo!$D:$D=A934) * (Facturas_Odoo!$K:$K=I934), Facturas_Odoo!$Q:$Q, 0), 0))</f>
        <v/>
      </c>
      <c r="X934" s="79">
        <f>IF(OR(Q934="Sin Factura",Q934=""),"",IFERROR(INDEX(Pagos_Odoo!$B:$B, MATCH(Q934, Pagos_Odoo!$I:$I, 0)), "Sin Pago"))</f>
        <v/>
      </c>
      <c r="Y934" s="79">
        <f>IF(X934="Sin Pago","",IFERROR(INDEX(Pagos_Odoo!$C:$C, MATCH(X934, Pagos_Odoo!$B:$B, 0)), ""))</f>
        <v/>
      </c>
      <c r="Z934" s="80">
        <f>IF(X934="Sin Pago","",IFERROR(INDEX(Pagos_Odoo!$A:$A, MATCH(X934, Pagos_Odoo!$B:$B, 0)), ""))</f>
        <v/>
      </c>
      <c r="AA934" s="79">
        <f>IF(X934="Sin Pago","",IFERROR(INDEX(Pagos_Odoo!$F:$F, MATCH(X934, Pagos_Odoo!$B:$B, 0)), ""))</f>
        <v/>
      </c>
      <c r="AB934" s="81">
        <f>IF(X934="Sin Pago",0,IFERROR(INDEX(Pagos_Odoo!$E:$E, MATCH(X934, Pagos_Odoo!$B:$B, 0)), 0))</f>
        <v/>
      </c>
      <c r="AC934" s="79">
        <f>IF(X934="Sin Pago","",IFERROR(INDEX(Pagos_Odoo!$G:$G, MATCH(X934, Pagos_Odoo!$B:$B, 0)), ""))</f>
        <v/>
      </c>
      <c r="AD934" s="82" t="n">
        <v>0</v>
      </c>
      <c r="AE934" s="82" t="n"/>
      <c r="AF934" s="82" t="n"/>
      <c r="AG934" s="82">
        <f>IF(AN934="","",AD934+AE934+AF934)</f>
        <v/>
      </c>
      <c r="AH934" s="81">
        <f>IF(AN934="","",P934*(1-AG934))</f>
        <v/>
      </c>
      <c r="AI934" s="81">
        <f>IF(AN934="","",IF(Q934="Sin Factura",0,IFERROR(INDEX(Facturas_Odoo!$H:$H, MATCH(Q934, Facturas_Odoo!$B:$B, 0)), 0)*(1-AG934)))</f>
        <v/>
      </c>
      <c r="AJ934" s="81">
        <f>IF(AN934="","",_xlfn.LET(idVenta, AN934&amp;"",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34" s="81">
        <f>IF(AN934="","",AH934-AJ934)</f>
        <v/>
      </c>
      <c r="AL934" s="81">
        <f>IF(AN934="","",IF(Q934="Sin Factura","",AI934-AJ934))</f>
        <v/>
      </c>
      <c r="AM934" s="81">
        <f>IF(AN934="","",IF(Q934="Sin Factura",0,P934-IFERROR(INDEX(Facturas_Odoo!$H:$H, MATCH(Q934, Facturas_Odoo!$B:$B, 0)), 0)))</f>
        <v/>
      </c>
      <c r="AN934" s="79">
        <f>IF(AND(A934="", J934=""), "", IF(A934&lt;&gt;"", VALUE(MID(A934,2,LEN(A934))), AN933))</f>
        <v/>
      </c>
      <c r="AO934" s="79">
        <f>IF(AN934="","",IF(AD934=0,"OK",_xlfn.LET(monedaPago, IF(AA934="","USD",AA934), limitePermitido, IFERROR(VLOOKUP(monedaPago, Configuración!$A$2:$B$3, 2, FALSE), 0.15), IF(AD934&gt;limitePermitido, "ALERTA: EXCESO (" &amp; TEXT(limitePermitido, "0%") &amp; " máx)", "OK"))))</f>
        <v/>
      </c>
      <c r="AP934" s="79">
        <f>IF(AN934="","",IF(AE934=0,"OK",_xlfn.LET(fechaPago, Z934, fechaFactura, R934, diasCredito, IF(E934="Pago inmediato", 0, IFERROR(VALUE(MID(E934, 1, SEARCH(" ", E934)-1)),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34" s="79">
        <f>IF(AN934="","",IF(AND(N934&gt;0, AG934&gt;0), IF(Configuración!$K$2="NO", "ALERTA: DESCUENTO DOBLE NO PERMITIDO", "OK"), "OK"))</f>
        <v/>
      </c>
      <c r="AR934" s="79">
        <f>IF(AN934="","",IF(OR(AO934&lt;&gt;"OK", AP934&lt;&gt;"OK", AQ934&lt;&gt;"OK"), "⚠️ REVISAR", "OK"))</f>
        <v/>
      </c>
    </row>
    <row r="935">
      <c r="A935" s="79">
        <f>IF('Ordenes_Odoo'!A935="","",'Ordenes_Odoo'!A935)</f>
        <v/>
      </c>
      <c r="B935" s="80">
        <f>IF('Ordenes_Odoo'!B935="","",'Ordenes_Odoo'!B935)</f>
        <v/>
      </c>
      <c r="C935" s="79">
        <f>IF('Ordenes_Odoo'!C935="","",'Ordenes_Odoo'!C935)</f>
        <v/>
      </c>
      <c r="D935" s="79">
        <f>IF('Ordenes_Odoo'!D935="","",'Ordenes_Odoo'!D935)</f>
        <v/>
      </c>
      <c r="E935" s="79">
        <f>IF('Ordenes_Odoo'!E935="","",'Ordenes_Odoo'!E935)</f>
        <v/>
      </c>
      <c r="F935" s="79">
        <f>IF('Ordenes_Odoo'!F935="","",'Ordenes_Odoo'!F935)</f>
        <v/>
      </c>
      <c r="G935" s="79">
        <f>IF('Ordenes_Odoo'!G935="","",'Ordenes_Odoo'!G935)</f>
        <v/>
      </c>
      <c r="H935" s="79">
        <f>IF('Ordenes_Odoo'!H935="","",'Ordenes_Odoo'!H935)</f>
        <v/>
      </c>
      <c r="I935" s="79">
        <f>IF('Ordenes_Odoo'!I935="","",'Ordenes_Odoo'!I935)</f>
        <v/>
      </c>
      <c r="J935" s="79">
        <f>IF('Ordenes_Odoo'!J935="","",'Ordenes_Odoo'!J935)</f>
        <v/>
      </c>
      <c r="K935" s="81">
        <f>IF('Ordenes_Odoo'!K935="","",'Ordenes_Odoo'!K935)</f>
        <v/>
      </c>
      <c r="L935" s="81">
        <f>IF('Ordenes_Odoo'!L935="","",'Ordenes_Odoo'!L935)</f>
        <v/>
      </c>
      <c r="M935" s="79">
        <f>IF('Ordenes_Odoo'!M935="","",'Ordenes_Odoo'!M935)</f>
        <v/>
      </c>
      <c r="N935" s="79">
        <f>IF('Ordenes_Odoo'!N935="","",'Ordenes_Odoo'!N935)</f>
        <v/>
      </c>
      <c r="O935" s="81">
        <f>IF('Ordenes_Odoo'!O935="","",'Ordenes_Odoo'!O935)</f>
        <v/>
      </c>
      <c r="P935" s="81">
        <f>IF('Ordenes_Odoo'!P935="","",'Ordenes_Odoo'!P935)</f>
        <v/>
      </c>
      <c r="Q935" s="79">
        <f>IF(A935="","",IFERROR(INDEX(Facturas_Odoo!$B:$B, MATCH(A935, Facturas_Odoo!$D:$D, 0)), "Sin Factura"))</f>
        <v/>
      </c>
      <c r="R935" s="80">
        <f>IF(Q935="Sin Factura","",IFERROR(INDEX(Facturas_Odoo!$A:$A, MATCH(Q935, Facturas_Odoo!$B:$B, 0)), ""))</f>
        <v/>
      </c>
      <c r="S935" s="79">
        <f>IF(Q935="Sin Factura","",IFERROR(_xlfn.XLOOKUP(1, (Facturas_Odoo!$D:$D=A935) * (Facturas_Odoo!$K:$K=I935), Facturas_Odoo!$L:$L, ""), ""))</f>
        <v/>
      </c>
      <c r="T935" s="81">
        <f>IF(Q935="Sin Factura",0,IFERROR(_xlfn.XLOOKUP(1, (Facturas_Odoo!$D:$D=A935) * (Facturas_Odoo!$K:$K=I935), Facturas_Odoo!$M:$M, 0), 0))</f>
        <v/>
      </c>
      <c r="U935" s="79">
        <f>IF(Q935="Sin Factura",0,IFERROR(_xlfn.XLOOKUP(1, (Facturas_Odoo!$D:$D=A935) * (Facturas_Odoo!$K:$K=I935), Facturas_Odoo!$N:$N, 0), 0))</f>
        <v/>
      </c>
      <c r="V935" s="79">
        <f>IF(Q935="Sin Factura",0,IFERROR(_xlfn.XLOOKUP(1, (Facturas_Odoo!$D:$D=A935) * (Facturas_Odoo!$K:$K=I935), Facturas_Odoo!$O:$O, 0), 0))</f>
        <v/>
      </c>
      <c r="W935" s="81">
        <f>IF(Q935="Sin Factura",0,IFERROR(_xlfn.XLOOKUP(1, (Facturas_Odoo!$D:$D=A935) * (Facturas_Odoo!$K:$K=I935), Facturas_Odoo!$Q:$Q, 0), 0))</f>
        <v/>
      </c>
      <c r="X935" s="79">
        <f>IF(OR(Q935="Sin Factura",Q935=""),"",IFERROR(INDEX(Pagos_Odoo!$B:$B, MATCH(Q935, Pagos_Odoo!$I:$I, 0)), "Sin Pago"))</f>
        <v/>
      </c>
      <c r="Y935" s="79">
        <f>IF(X935="Sin Pago","",IFERROR(INDEX(Pagos_Odoo!$C:$C, MATCH(X935, Pagos_Odoo!$B:$B, 0)), ""))</f>
        <v/>
      </c>
      <c r="Z935" s="80">
        <f>IF(X935="Sin Pago","",IFERROR(INDEX(Pagos_Odoo!$A:$A, MATCH(X935, Pagos_Odoo!$B:$B, 0)), ""))</f>
        <v/>
      </c>
      <c r="AA935" s="79">
        <f>IF(X935="Sin Pago","",IFERROR(INDEX(Pagos_Odoo!$F:$F, MATCH(X935, Pagos_Odoo!$B:$B, 0)), ""))</f>
        <v/>
      </c>
      <c r="AB935" s="81">
        <f>IF(X935="Sin Pago",0,IFERROR(INDEX(Pagos_Odoo!$E:$E, MATCH(X935, Pagos_Odoo!$B:$B, 0)), 0))</f>
        <v/>
      </c>
      <c r="AC935" s="79">
        <f>IF(X935="Sin Pago","",IFERROR(INDEX(Pagos_Odoo!$G:$G, MATCH(X935, Pagos_Odoo!$B:$B, 0)), ""))</f>
        <v/>
      </c>
      <c r="AD935" s="82" t="n">
        <v>0</v>
      </c>
      <c r="AE935" s="82" t="n"/>
      <c r="AF935" s="82" t="n"/>
      <c r="AG935" s="82">
        <f>IF(AN935="","",AD935+AE935+AF935)</f>
        <v/>
      </c>
      <c r="AH935" s="81">
        <f>IF(AN935="","",P935*(1-AG935))</f>
        <v/>
      </c>
      <c r="AI935" s="81">
        <f>IF(AN935="","",IF(Q935="Sin Factura",0,IFERROR(INDEX(Facturas_Odoo!$H:$H, MATCH(Q935, Facturas_Odoo!$B:$B, 0)), 0)*(1-AG935)))</f>
        <v/>
      </c>
      <c r="AJ935" s="81">
        <f>IF(AN935="","",_xlfn.LET(idVenta, AN935&amp;"",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35" s="81">
        <f>IF(AN935="","",AH935-AJ935)</f>
        <v/>
      </c>
      <c r="AL935" s="81">
        <f>IF(AN935="","",IF(Q935="Sin Factura","",AI935-AJ935))</f>
        <v/>
      </c>
      <c r="AM935" s="81">
        <f>IF(AN935="","",IF(Q935="Sin Factura",0,P935-IFERROR(INDEX(Facturas_Odoo!$H:$H, MATCH(Q935, Facturas_Odoo!$B:$B, 0)), 0)))</f>
        <v/>
      </c>
      <c r="AN935" s="79">
        <f>IF(AND(A935="", J935=""), "", IF(A935&lt;&gt;"", VALUE(MID(A935,2,LEN(A935))), AN934))</f>
        <v/>
      </c>
      <c r="AO935" s="79">
        <f>IF(AN935="","",IF(AD935=0,"OK",_xlfn.LET(monedaPago, IF(AA935="","USD",AA935), limitePermitido, IFERROR(VLOOKUP(monedaPago, Configuración!$A$2:$B$3, 2, FALSE), 0.15), IF(AD935&gt;limitePermitido, "ALERTA: EXCESO (" &amp; TEXT(limitePermitido, "0%") &amp; " máx)", "OK"))))</f>
        <v/>
      </c>
      <c r="AP935" s="79">
        <f>IF(AN935="","",IF(AE935=0,"OK",_xlfn.LET(fechaPago, Z935, fechaFactura, R935, diasCredito, IF(E935="Pago inmediato", 0, IFERROR(VALUE(MID(E935, 1, SEARCH(" ", E935)-1)),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35" s="79">
        <f>IF(AN935="","",IF(AND(N935&gt;0, AG935&gt;0), IF(Configuración!$K$2="NO", "ALERTA: DESCUENTO DOBLE NO PERMITIDO", "OK"), "OK"))</f>
        <v/>
      </c>
      <c r="AR935" s="79">
        <f>IF(AN935="","",IF(OR(AO935&lt;&gt;"OK", AP935&lt;&gt;"OK", AQ935&lt;&gt;"OK"), "⚠️ REVISAR", "OK"))</f>
        <v/>
      </c>
    </row>
    <row r="936">
      <c r="A936" s="79">
        <f>IF('Ordenes_Odoo'!A936="","",'Ordenes_Odoo'!A936)</f>
        <v/>
      </c>
      <c r="B936" s="80">
        <f>IF('Ordenes_Odoo'!B936="","",'Ordenes_Odoo'!B936)</f>
        <v/>
      </c>
      <c r="C936" s="79">
        <f>IF('Ordenes_Odoo'!C936="","",'Ordenes_Odoo'!C936)</f>
        <v/>
      </c>
      <c r="D936" s="79">
        <f>IF('Ordenes_Odoo'!D936="","",'Ordenes_Odoo'!D936)</f>
        <v/>
      </c>
      <c r="E936" s="79">
        <f>IF('Ordenes_Odoo'!E936="","",'Ordenes_Odoo'!E936)</f>
        <v/>
      </c>
      <c r="F936" s="79">
        <f>IF('Ordenes_Odoo'!F936="","",'Ordenes_Odoo'!F936)</f>
        <v/>
      </c>
      <c r="G936" s="79">
        <f>IF('Ordenes_Odoo'!G936="","",'Ordenes_Odoo'!G936)</f>
        <v/>
      </c>
      <c r="H936" s="79">
        <f>IF('Ordenes_Odoo'!H936="","",'Ordenes_Odoo'!H936)</f>
        <v/>
      </c>
      <c r="I936" s="79">
        <f>IF('Ordenes_Odoo'!I936="","",'Ordenes_Odoo'!I936)</f>
        <v/>
      </c>
      <c r="J936" s="79">
        <f>IF('Ordenes_Odoo'!J936="","",'Ordenes_Odoo'!J936)</f>
        <v/>
      </c>
      <c r="K936" s="81">
        <f>IF('Ordenes_Odoo'!K936="","",'Ordenes_Odoo'!K936)</f>
        <v/>
      </c>
      <c r="L936" s="81">
        <f>IF('Ordenes_Odoo'!L936="","",'Ordenes_Odoo'!L936)</f>
        <v/>
      </c>
      <c r="M936" s="79">
        <f>IF('Ordenes_Odoo'!M936="","",'Ordenes_Odoo'!M936)</f>
        <v/>
      </c>
      <c r="N936" s="79">
        <f>IF('Ordenes_Odoo'!N936="","",'Ordenes_Odoo'!N936)</f>
        <v/>
      </c>
      <c r="O936" s="81">
        <f>IF('Ordenes_Odoo'!O936="","",'Ordenes_Odoo'!O936)</f>
        <v/>
      </c>
      <c r="P936" s="81">
        <f>IF('Ordenes_Odoo'!P936="","",'Ordenes_Odoo'!P936)</f>
        <v/>
      </c>
      <c r="Q936" s="79">
        <f>IF(A936="","",IFERROR(INDEX(Facturas_Odoo!$B:$B, MATCH(A936, Facturas_Odoo!$D:$D, 0)), "Sin Factura"))</f>
        <v/>
      </c>
      <c r="R936" s="80">
        <f>IF(Q936="Sin Factura","",IFERROR(INDEX(Facturas_Odoo!$A:$A, MATCH(Q936, Facturas_Odoo!$B:$B, 0)), ""))</f>
        <v/>
      </c>
      <c r="S936" s="79">
        <f>IF(Q936="Sin Factura","",IFERROR(_xlfn.XLOOKUP(1, (Facturas_Odoo!$D:$D=A936) * (Facturas_Odoo!$K:$K=I936), Facturas_Odoo!$L:$L, ""), ""))</f>
        <v/>
      </c>
      <c r="T936" s="81">
        <f>IF(Q936="Sin Factura",0,IFERROR(_xlfn.XLOOKUP(1, (Facturas_Odoo!$D:$D=A936) * (Facturas_Odoo!$K:$K=I936), Facturas_Odoo!$M:$M, 0), 0))</f>
        <v/>
      </c>
      <c r="U936" s="79">
        <f>IF(Q936="Sin Factura",0,IFERROR(_xlfn.XLOOKUP(1, (Facturas_Odoo!$D:$D=A936) * (Facturas_Odoo!$K:$K=I936), Facturas_Odoo!$N:$N, 0), 0))</f>
        <v/>
      </c>
      <c r="V936" s="79">
        <f>IF(Q936="Sin Factura",0,IFERROR(_xlfn.XLOOKUP(1, (Facturas_Odoo!$D:$D=A936) * (Facturas_Odoo!$K:$K=I936), Facturas_Odoo!$O:$O, 0), 0))</f>
        <v/>
      </c>
      <c r="W936" s="81">
        <f>IF(Q936="Sin Factura",0,IFERROR(_xlfn.XLOOKUP(1, (Facturas_Odoo!$D:$D=A936) * (Facturas_Odoo!$K:$K=I936), Facturas_Odoo!$Q:$Q, 0), 0))</f>
        <v/>
      </c>
      <c r="X936" s="79">
        <f>IF(OR(Q936="Sin Factura",Q936=""),"",IFERROR(INDEX(Pagos_Odoo!$B:$B, MATCH(Q936, Pagos_Odoo!$I:$I, 0)), "Sin Pago"))</f>
        <v/>
      </c>
      <c r="Y936" s="79">
        <f>IF(X936="Sin Pago","",IFERROR(INDEX(Pagos_Odoo!$C:$C, MATCH(X936, Pagos_Odoo!$B:$B, 0)), ""))</f>
        <v/>
      </c>
      <c r="Z936" s="80">
        <f>IF(X936="Sin Pago","",IFERROR(INDEX(Pagos_Odoo!$A:$A, MATCH(X936, Pagos_Odoo!$B:$B, 0)), ""))</f>
        <v/>
      </c>
      <c r="AA936" s="79">
        <f>IF(X936="Sin Pago","",IFERROR(INDEX(Pagos_Odoo!$F:$F, MATCH(X936, Pagos_Odoo!$B:$B, 0)), ""))</f>
        <v/>
      </c>
      <c r="AB936" s="81">
        <f>IF(X936="Sin Pago",0,IFERROR(INDEX(Pagos_Odoo!$E:$E, MATCH(X936, Pagos_Odoo!$B:$B, 0)), 0))</f>
        <v/>
      </c>
      <c r="AC936" s="79">
        <f>IF(X936="Sin Pago","",IFERROR(INDEX(Pagos_Odoo!$G:$G, MATCH(X936, Pagos_Odoo!$B:$B, 0)), ""))</f>
        <v/>
      </c>
      <c r="AD936" s="82" t="n">
        <v>0</v>
      </c>
      <c r="AE936" s="82" t="n"/>
      <c r="AF936" s="82" t="n"/>
      <c r="AG936" s="82">
        <f>IF(AN936="","",AD936+AE936+AF936)</f>
        <v/>
      </c>
      <c r="AH936" s="81">
        <f>IF(AN936="","",P936*(1-AG936))</f>
        <v/>
      </c>
      <c r="AI936" s="81">
        <f>IF(AN936="","",IF(Q936="Sin Factura",0,IFERROR(INDEX(Facturas_Odoo!$H:$H, MATCH(Q936, Facturas_Odoo!$B:$B, 0)), 0)*(1-AG936)))</f>
        <v/>
      </c>
      <c r="AJ936" s="81">
        <f>IF(AN936="","",_xlfn.LET(idVenta, AN936&amp;"",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36" s="81">
        <f>IF(AN936="","",AH936-AJ936)</f>
        <v/>
      </c>
      <c r="AL936" s="81">
        <f>IF(AN936="","",IF(Q936="Sin Factura","",AI936-AJ936))</f>
        <v/>
      </c>
      <c r="AM936" s="81">
        <f>IF(AN936="","",IF(Q936="Sin Factura",0,P936-IFERROR(INDEX(Facturas_Odoo!$H:$H, MATCH(Q936, Facturas_Odoo!$B:$B, 0)), 0)))</f>
        <v/>
      </c>
      <c r="AN936" s="79">
        <f>IF(AND(A936="", J936=""), "", IF(A936&lt;&gt;"", VALUE(MID(A936,2,LEN(A936))), AN935))</f>
        <v/>
      </c>
      <c r="AO936" s="79">
        <f>IF(AN936="","",IF(AD936=0,"OK",_xlfn.LET(monedaPago, IF(AA936="","USD",AA936), limitePermitido, IFERROR(VLOOKUP(monedaPago, Configuración!$A$2:$B$3, 2, FALSE), 0.15), IF(AD936&gt;limitePermitido, "ALERTA: EXCESO (" &amp; TEXT(limitePermitido, "0%") &amp; " máx)", "OK"))))</f>
        <v/>
      </c>
      <c r="AP936" s="79">
        <f>IF(AN936="","",IF(AE936=0,"OK",_xlfn.LET(fechaPago, Z936, fechaFactura, R936, diasCredito, IF(E936="Pago inmediato", 0, IFERROR(VALUE(MID(E936, 1, SEARCH(" ", E936)-1)),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36" s="79">
        <f>IF(AN936="","",IF(AND(N936&gt;0, AG936&gt;0), IF(Configuración!$K$2="NO", "ALERTA: DESCUENTO DOBLE NO PERMITIDO", "OK"), "OK"))</f>
        <v/>
      </c>
      <c r="AR936" s="79">
        <f>IF(AN936="","",IF(OR(AO936&lt;&gt;"OK", AP936&lt;&gt;"OK", AQ936&lt;&gt;"OK"), "⚠️ REVISAR", "OK"))</f>
        <v/>
      </c>
    </row>
    <row r="937">
      <c r="A937" s="79">
        <f>IF('Ordenes_Odoo'!A937="","",'Ordenes_Odoo'!A937)</f>
        <v/>
      </c>
      <c r="B937" s="80">
        <f>IF('Ordenes_Odoo'!B937="","",'Ordenes_Odoo'!B937)</f>
        <v/>
      </c>
      <c r="C937" s="79">
        <f>IF('Ordenes_Odoo'!C937="","",'Ordenes_Odoo'!C937)</f>
        <v/>
      </c>
      <c r="D937" s="79">
        <f>IF('Ordenes_Odoo'!D937="","",'Ordenes_Odoo'!D937)</f>
        <v/>
      </c>
      <c r="E937" s="79">
        <f>IF('Ordenes_Odoo'!E937="","",'Ordenes_Odoo'!E937)</f>
        <v/>
      </c>
      <c r="F937" s="79">
        <f>IF('Ordenes_Odoo'!F937="","",'Ordenes_Odoo'!F937)</f>
        <v/>
      </c>
      <c r="G937" s="79">
        <f>IF('Ordenes_Odoo'!G937="","",'Ordenes_Odoo'!G937)</f>
        <v/>
      </c>
      <c r="H937" s="79">
        <f>IF('Ordenes_Odoo'!H937="","",'Ordenes_Odoo'!H937)</f>
        <v/>
      </c>
      <c r="I937" s="79">
        <f>IF('Ordenes_Odoo'!I937="","",'Ordenes_Odoo'!I937)</f>
        <v/>
      </c>
      <c r="J937" s="79">
        <f>IF('Ordenes_Odoo'!J937="","",'Ordenes_Odoo'!J937)</f>
        <v/>
      </c>
      <c r="K937" s="81">
        <f>IF('Ordenes_Odoo'!K937="","",'Ordenes_Odoo'!K937)</f>
        <v/>
      </c>
      <c r="L937" s="81">
        <f>IF('Ordenes_Odoo'!L937="","",'Ordenes_Odoo'!L937)</f>
        <v/>
      </c>
      <c r="M937" s="79">
        <f>IF('Ordenes_Odoo'!M937="","",'Ordenes_Odoo'!M937)</f>
        <v/>
      </c>
      <c r="N937" s="79">
        <f>IF('Ordenes_Odoo'!N937="","",'Ordenes_Odoo'!N937)</f>
        <v/>
      </c>
      <c r="O937" s="81">
        <f>IF('Ordenes_Odoo'!O937="","",'Ordenes_Odoo'!O937)</f>
        <v/>
      </c>
      <c r="P937" s="81">
        <f>IF('Ordenes_Odoo'!P937="","",'Ordenes_Odoo'!P937)</f>
        <v/>
      </c>
      <c r="Q937" s="79">
        <f>IF(A937="","",IFERROR(INDEX(Facturas_Odoo!$B:$B, MATCH(A937, Facturas_Odoo!$D:$D, 0)), "Sin Factura"))</f>
        <v/>
      </c>
      <c r="R937" s="80">
        <f>IF(Q937="Sin Factura","",IFERROR(INDEX(Facturas_Odoo!$A:$A, MATCH(Q937, Facturas_Odoo!$B:$B, 0)), ""))</f>
        <v/>
      </c>
      <c r="S937" s="79">
        <f>IF(Q937="Sin Factura","",IFERROR(_xlfn.XLOOKUP(1, (Facturas_Odoo!$D:$D=A937) * (Facturas_Odoo!$K:$K=I937), Facturas_Odoo!$L:$L, ""), ""))</f>
        <v/>
      </c>
      <c r="T937" s="81">
        <f>IF(Q937="Sin Factura",0,IFERROR(_xlfn.XLOOKUP(1, (Facturas_Odoo!$D:$D=A937) * (Facturas_Odoo!$K:$K=I937), Facturas_Odoo!$M:$M, 0), 0))</f>
        <v/>
      </c>
      <c r="U937" s="79">
        <f>IF(Q937="Sin Factura",0,IFERROR(_xlfn.XLOOKUP(1, (Facturas_Odoo!$D:$D=A937) * (Facturas_Odoo!$K:$K=I937), Facturas_Odoo!$N:$N, 0), 0))</f>
        <v/>
      </c>
      <c r="V937" s="79">
        <f>IF(Q937="Sin Factura",0,IFERROR(_xlfn.XLOOKUP(1, (Facturas_Odoo!$D:$D=A937) * (Facturas_Odoo!$K:$K=I937), Facturas_Odoo!$O:$O, 0), 0))</f>
        <v/>
      </c>
      <c r="W937" s="81">
        <f>IF(Q937="Sin Factura",0,IFERROR(_xlfn.XLOOKUP(1, (Facturas_Odoo!$D:$D=A937) * (Facturas_Odoo!$K:$K=I937), Facturas_Odoo!$Q:$Q, 0), 0))</f>
        <v/>
      </c>
      <c r="X937" s="79">
        <f>IF(OR(Q937="Sin Factura",Q937=""),"",IFERROR(INDEX(Pagos_Odoo!$B:$B, MATCH(Q937, Pagos_Odoo!$I:$I, 0)), "Sin Pago"))</f>
        <v/>
      </c>
      <c r="Y937" s="79">
        <f>IF(X937="Sin Pago","",IFERROR(INDEX(Pagos_Odoo!$C:$C, MATCH(X937, Pagos_Odoo!$B:$B, 0)), ""))</f>
        <v/>
      </c>
      <c r="Z937" s="80">
        <f>IF(X937="Sin Pago","",IFERROR(INDEX(Pagos_Odoo!$A:$A, MATCH(X937, Pagos_Odoo!$B:$B, 0)), ""))</f>
        <v/>
      </c>
      <c r="AA937" s="79">
        <f>IF(X937="Sin Pago","",IFERROR(INDEX(Pagos_Odoo!$F:$F, MATCH(X937, Pagos_Odoo!$B:$B, 0)), ""))</f>
        <v/>
      </c>
      <c r="AB937" s="81">
        <f>IF(X937="Sin Pago",0,IFERROR(INDEX(Pagos_Odoo!$E:$E, MATCH(X937, Pagos_Odoo!$B:$B, 0)), 0))</f>
        <v/>
      </c>
      <c r="AC937" s="79">
        <f>IF(X937="Sin Pago","",IFERROR(INDEX(Pagos_Odoo!$G:$G, MATCH(X937, Pagos_Odoo!$B:$B, 0)), ""))</f>
        <v/>
      </c>
      <c r="AD937" s="82" t="n">
        <v>0</v>
      </c>
      <c r="AE937" s="82" t="n"/>
      <c r="AF937" s="82" t="n"/>
      <c r="AG937" s="82">
        <f>IF(AN937="","",AD937+AE937+AF937)</f>
        <v/>
      </c>
      <c r="AH937" s="81">
        <f>IF(AN937="","",P937*(1-AG937))</f>
        <v/>
      </c>
      <c r="AI937" s="81">
        <f>IF(AN937="","",IF(Q937="Sin Factura",0,IFERROR(INDEX(Facturas_Odoo!$H:$H, MATCH(Q937, Facturas_Odoo!$B:$B, 0)), 0)*(1-AG937)))</f>
        <v/>
      </c>
      <c r="AJ937" s="81">
        <f>IF(AN937="","",_xlfn.LET(idVenta, AN937&amp;"",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37" s="81">
        <f>IF(AN937="","",AH937-AJ937)</f>
        <v/>
      </c>
      <c r="AL937" s="81">
        <f>IF(AN937="","",IF(Q937="Sin Factura","",AI937-AJ937))</f>
        <v/>
      </c>
      <c r="AM937" s="81">
        <f>IF(AN937="","",IF(Q937="Sin Factura",0,P937-IFERROR(INDEX(Facturas_Odoo!$H:$H, MATCH(Q937, Facturas_Odoo!$B:$B, 0)), 0)))</f>
        <v/>
      </c>
      <c r="AN937" s="79">
        <f>IF(AND(A937="", J937=""), "", IF(A937&lt;&gt;"", VALUE(MID(A937,2,LEN(A937))), AN936))</f>
        <v/>
      </c>
      <c r="AO937" s="79">
        <f>IF(AN937="","",IF(AD937=0,"OK",_xlfn.LET(monedaPago, IF(AA937="","USD",AA937), limitePermitido, IFERROR(VLOOKUP(monedaPago, Configuración!$A$2:$B$3, 2, FALSE), 0.15), IF(AD937&gt;limitePermitido, "ALERTA: EXCESO (" &amp; TEXT(limitePermitido, "0%") &amp; " máx)", "OK"))))</f>
        <v/>
      </c>
      <c r="AP937" s="79">
        <f>IF(AN937="","",IF(AE937=0,"OK",_xlfn.LET(fechaPago, Z937, fechaFactura, R937, diasCredito, IF(E937="Pago inmediato", 0, IFERROR(VALUE(MID(E937, 1, SEARCH(" ", E937)-1)),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37" s="79">
        <f>IF(AN937="","",IF(AND(N937&gt;0, AG937&gt;0), IF(Configuración!$K$2="NO", "ALERTA: DESCUENTO DOBLE NO PERMITIDO", "OK"), "OK"))</f>
        <v/>
      </c>
      <c r="AR937" s="79">
        <f>IF(AN937="","",IF(OR(AO937&lt;&gt;"OK", AP937&lt;&gt;"OK", AQ937&lt;&gt;"OK"), "⚠️ REVISAR", "OK"))</f>
        <v/>
      </c>
    </row>
    <row r="938">
      <c r="A938" s="79">
        <f>IF('Ordenes_Odoo'!A938="","",'Ordenes_Odoo'!A938)</f>
        <v/>
      </c>
      <c r="B938" s="80">
        <f>IF('Ordenes_Odoo'!B938="","",'Ordenes_Odoo'!B938)</f>
        <v/>
      </c>
      <c r="C938" s="79">
        <f>IF('Ordenes_Odoo'!C938="","",'Ordenes_Odoo'!C938)</f>
        <v/>
      </c>
      <c r="D938" s="79">
        <f>IF('Ordenes_Odoo'!D938="","",'Ordenes_Odoo'!D938)</f>
        <v/>
      </c>
      <c r="E938" s="79">
        <f>IF('Ordenes_Odoo'!E938="","",'Ordenes_Odoo'!E938)</f>
        <v/>
      </c>
      <c r="F938" s="79">
        <f>IF('Ordenes_Odoo'!F938="","",'Ordenes_Odoo'!F938)</f>
        <v/>
      </c>
      <c r="G938" s="79">
        <f>IF('Ordenes_Odoo'!G938="","",'Ordenes_Odoo'!G938)</f>
        <v/>
      </c>
      <c r="H938" s="79">
        <f>IF('Ordenes_Odoo'!H938="","",'Ordenes_Odoo'!H938)</f>
        <v/>
      </c>
      <c r="I938" s="79">
        <f>IF('Ordenes_Odoo'!I938="","",'Ordenes_Odoo'!I938)</f>
        <v/>
      </c>
      <c r="J938" s="79">
        <f>IF('Ordenes_Odoo'!J938="","",'Ordenes_Odoo'!J938)</f>
        <v/>
      </c>
      <c r="K938" s="81">
        <f>IF('Ordenes_Odoo'!K938="","",'Ordenes_Odoo'!K938)</f>
        <v/>
      </c>
      <c r="L938" s="81">
        <f>IF('Ordenes_Odoo'!L938="","",'Ordenes_Odoo'!L938)</f>
        <v/>
      </c>
      <c r="M938" s="79">
        <f>IF('Ordenes_Odoo'!M938="","",'Ordenes_Odoo'!M938)</f>
        <v/>
      </c>
      <c r="N938" s="79">
        <f>IF('Ordenes_Odoo'!N938="","",'Ordenes_Odoo'!N938)</f>
        <v/>
      </c>
      <c r="O938" s="81">
        <f>IF('Ordenes_Odoo'!O938="","",'Ordenes_Odoo'!O938)</f>
        <v/>
      </c>
      <c r="P938" s="81">
        <f>IF('Ordenes_Odoo'!P938="","",'Ordenes_Odoo'!P938)</f>
        <v/>
      </c>
      <c r="Q938" s="79">
        <f>IF(A938="","",IFERROR(INDEX(Facturas_Odoo!$B:$B, MATCH(A938, Facturas_Odoo!$D:$D, 0)), "Sin Factura"))</f>
        <v/>
      </c>
      <c r="R938" s="80">
        <f>IF(Q938="Sin Factura","",IFERROR(INDEX(Facturas_Odoo!$A:$A, MATCH(Q938, Facturas_Odoo!$B:$B, 0)), ""))</f>
        <v/>
      </c>
      <c r="S938" s="79">
        <f>IF(Q938="Sin Factura","",IFERROR(_xlfn.XLOOKUP(1, (Facturas_Odoo!$D:$D=A938) * (Facturas_Odoo!$K:$K=I938), Facturas_Odoo!$L:$L, ""), ""))</f>
        <v/>
      </c>
      <c r="T938" s="81">
        <f>IF(Q938="Sin Factura",0,IFERROR(_xlfn.XLOOKUP(1, (Facturas_Odoo!$D:$D=A938) * (Facturas_Odoo!$K:$K=I938), Facturas_Odoo!$M:$M, 0), 0))</f>
        <v/>
      </c>
      <c r="U938" s="79">
        <f>IF(Q938="Sin Factura",0,IFERROR(_xlfn.XLOOKUP(1, (Facturas_Odoo!$D:$D=A938) * (Facturas_Odoo!$K:$K=I938), Facturas_Odoo!$N:$N, 0), 0))</f>
        <v/>
      </c>
      <c r="V938" s="79">
        <f>IF(Q938="Sin Factura",0,IFERROR(_xlfn.XLOOKUP(1, (Facturas_Odoo!$D:$D=A938) * (Facturas_Odoo!$K:$K=I938), Facturas_Odoo!$O:$O, 0), 0))</f>
        <v/>
      </c>
      <c r="W938" s="81">
        <f>IF(Q938="Sin Factura",0,IFERROR(_xlfn.XLOOKUP(1, (Facturas_Odoo!$D:$D=A938) * (Facturas_Odoo!$K:$K=I938), Facturas_Odoo!$Q:$Q, 0), 0))</f>
        <v/>
      </c>
      <c r="X938" s="79">
        <f>IF(OR(Q938="Sin Factura",Q938=""),"",IFERROR(INDEX(Pagos_Odoo!$B:$B, MATCH(Q938, Pagos_Odoo!$I:$I, 0)), "Sin Pago"))</f>
        <v/>
      </c>
      <c r="Y938" s="79">
        <f>IF(X938="Sin Pago","",IFERROR(INDEX(Pagos_Odoo!$C:$C, MATCH(X938, Pagos_Odoo!$B:$B, 0)), ""))</f>
        <v/>
      </c>
      <c r="Z938" s="80">
        <f>IF(X938="Sin Pago","",IFERROR(INDEX(Pagos_Odoo!$A:$A, MATCH(X938, Pagos_Odoo!$B:$B, 0)), ""))</f>
        <v/>
      </c>
      <c r="AA938" s="79">
        <f>IF(X938="Sin Pago","",IFERROR(INDEX(Pagos_Odoo!$F:$F, MATCH(X938, Pagos_Odoo!$B:$B, 0)), ""))</f>
        <v/>
      </c>
      <c r="AB938" s="81">
        <f>IF(X938="Sin Pago",0,IFERROR(INDEX(Pagos_Odoo!$E:$E, MATCH(X938, Pagos_Odoo!$B:$B, 0)), 0))</f>
        <v/>
      </c>
      <c r="AC938" s="79">
        <f>IF(X938="Sin Pago","",IFERROR(INDEX(Pagos_Odoo!$G:$G, MATCH(X938, Pagos_Odoo!$B:$B, 0)), ""))</f>
        <v/>
      </c>
      <c r="AD938" s="82" t="n">
        <v>0</v>
      </c>
      <c r="AE938" s="82" t="n"/>
      <c r="AF938" s="82" t="n"/>
      <c r="AG938" s="82">
        <f>IF(AN938="","",AD938+AE938+AF938)</f>
        <v/>
      </c>
      <c r="AH938" s="81">
        <f>IF(AN938="","",P938*(1-AG938))</f>
        <v/>
      </c>
      <c r="AI938" s="81">
        <f>IF(AN938="","",IF(Q938="Sin Factura",0,IFERROR(INDEX(Facturas_Odoo!$H:$H, MATCH(Q938, Facturas_Odoo!$B:$B, 0)), 0)*(1-AG938)))</f>
        <v/>
      </c>
      <c r="AJ938" s="81">
        <f>IF(AN938="","",_xlfn.LET(idVenta, AN938&amp;"",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38" s="81">
        <f>IF(AN938="","",AH938-AJ938)</f>
        <v/>
      </c>
      <c r="AL938" s="81">
        <f>IF(AN938="","",IF(Q938="Sin Factura","",AI938-AJ938))</f>
        <v/>
      </c>
      <c r="AM938" s="81">
        <f>IF(AN938="","",IF(Q938="Sin Factura",0,P938-IFERROR(INDEX(Facturas_Odoo!$H:$H, MATCH(Q938, Facturas_Odoo!$B:$B, 0)), 0)))</f>
        <v/>
      </c>
      <c r="AN938" s="79">
        <f>IF(AND(A938="", J938=""), "", IF(A938&lt;&gt;"", VALUE(MID(A938,2,LEN(A938))), AN937))</f>
        <v/>
      </c>
      <c r="AO938" s="79">
        <f>IF(AN938="","",IF(AD938=0,"OK",_xlfn.LET(monedaPago, IF(AA938="","USD",AA938), limitePermitido, IFERROR(VLOOKUP(monedaPago, Configuración!$A$2:$B$3, 2, FALSE), 0.15), IF(AD938&gt;limitePermitido, "ALERTA: EXCESO (" &amp; TEXT(limitePermitido, "0%") &amp; " máx)", "OK"))))</f>
        <v/>
      </c>
      <c r="AP938" s="79">
        <f>IF(AN938="","",IF(AE938=0,"OK",_xlfn.LET(fechaPago, Z938, fechaFactura, R938, diasCredito, IF(E938="Pago inmediato", 0, IFERROR(VALUE(MID(E938, 1, SEARCH(" ", E938)-1)),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38" s="79">
        <f>IF(AN938="","",IF(AND(N938&gt;0, AG938&gt;0), IF(Configuración!$K$2="NO", "ALERTA: DESCUENTO DOBLE NO PERMITIDO", "OK"), "OK"))</f>
        <v/>
      </c>
      <c r="AR938" s="79">
        <f>IF(AN938="","",IF(OR(AO938&lt;&gt;"OK", AP938&lt;&gt;"OK", AQ938&lt;&gt;"OK"), "⚠️ REVISAR", "OK"))</f>
        <v/>
      </c>
    </row>
    <row r="939">
      <c r="A939" s="79">
        <f>IF('Ordenes_Odoo'!A939="","",'Ordenes_Odoo'!A939)</f>
        <v/>
      </c>
      <c r="B939" s="80">
        <f>IF('Ordenes_Odoo'!B939="","",'Ordenes_Odoo'!B939)</f>
        <v/>
      </c>
      <c r="C939" s="79">
        <f>IF('Ordenes_Odoo'!C939="","",'Ordenes_Odoo'!C939)</f>
        <v/>
      </c>
      <c r="D939" s="79">
        <f>IF('Ordenes_Odoo'!D939="","",'Ordenes_Odoo'!D939)</f>
        <v/>
      </c>
      <c r="E939" s="79">
        <f>IF('Ordenes_Odoo'!E939="","",'Ordenes_Odoo'!E939)</f>
        <v/>
      </c>
      <c r="F939" s="79">
        <f>IF('Ordenes_Odoo'!F939="","",'Ordenes_Odoo'!F939)</f>
        <v/>
      </c>
      <c r="G939" s="79">
        <f>IF('Ordenes_Odoo'!G939="","",'Ordenes_Odoo'!G939)</f>
        <v/>
      </c>
      <c r="H939" s="79">
        <f>IF('Ordenes_Odoo'!H939="","",'Ordenes_Odoo'!H939)</f>
        <v/>
      </c>
      <c r="I939" s="79">
        <f>IF('Ordenes_Odoo'!I939="","",'Ordenes_Odoo'!I939)</f>
        <v/>
      </c>
      <c r="J939" s="79">
        <f>IF('Ordenes_Odoo'!J939="","",'Ordenes_Odoo'!J939)</f>
        <v/>
      </c>
      <c r="K939" s="81">
        <f>IF('Ordenes_Odoo'!K939="","",'Ordenes_Odoo'!K939)</f>
        <v/>
      </c>
      <c r="L939" s="81">
        <f>IF('Ordenes_Odoo'!L939="","",'Ordenes_Odoo'!L939)</f>
        <v/>
      </c>
      <c r="M939" s="79">
        <f>IF('Ordenes_Odoo'!M939="","",'Ordenes_Odoo'!M939)</f>
        <v/>
      </c>
      <c r="N939" s="79">
        <f>IF('Ordenes_Odoo'!N939="","",'Ordenes_Odoo'!N939)</f>
        <v/>
      </c>
      <c r="O939" s="81">
        <f>IF('Ordenes_Odoo'!O939="","",'Ordenes_Odoo'!O939)</f>
        <v/>
      </c>
      <c r="P939" s="81">
        <f>IF('Ordenes_Odoo'!P939="","",'Ordenes_Odoo'!P939)</f>
        <v/>
      </c>
      <c r="Q939" s="79">
        <f>IF(A939="","",IFERROR(INDEX(Facturas_Odoo!$B:$B, MATCH(A939, Facturas_Odoo!$D:$D, 0)), "Sin Factura"))</f>
        <v/>
      </c>
      <c r="R939" s="80">
        <f>IF(Q939="Sin Factura","",IFERROR(INDEX(Facturas_Odoo!$A:$A, MATCH(Q939, Facturas_Odoo!$B:$B, 0)), ""))</f>
        <v/>
      </c>
      <c r="S939" s="79">
        <f>IF(Q939="Sin Factura","",IFERROR(_xlfn.XLOOKUP(1, (Facturas_Odoo!$D:$D=A939) * (Facturas_Odoo!$K:$K=I939), Facturas_Odoo!$L:$L, ""), ""))</f>
        <v/>
      </c>
      <c r="T939" s="81">
        <f>IF(Q939="Sin Factura",0,IFERROR(_xlfn.XLOOKUP(1, (Facturas_Odoo!$D:$D=A939) * (Facturas_Odoo!$K:$K=I939), Facturas_Odoo!$M:$M, 0), 0))</f>
        <v/>
      </c>
      <c r="U939" s="79">
        <f>IF(Q939="Sin Factura",0,IFERROR(_xlfn.XLOOKUP(1, (Facturas_Odoo!$D:$D=A939) * (Facturas_Odoo!$K:$K=I939), Facturas_Odoo!$N:$N, 0), 0))</f>
        <v/>
      </c>
      <c r="V939" s="79">
        <f>IF(Q939="Sin Factura",0,IFERROR(_xlfn.XLOOKUP(1, (Facturas_Odoo!$D:$D=A939) * (Facturas_Odoo!$K:$K=I939), Facturas_Odoo!$O:$O, 0), 0))</f>
        <v/>
      </c>
      <c r="W939" s="81">
        <f>IF(Q939="Sin Factura",0,IFERROR(_xlfn.XLOOKUP(1, (Facturas_Odoo!$D:$D=A939) * (Facturas_Odoo!$K:$K=I939), Facturas_Odoo!$Q:$Q, 0), 0))</f>
        <v/>
      </c>
      <c r="X939" s="79">
        <f>IF(OR(Q939="Sin Factura",Q939=""),"",IFERROR(INDEX(Pagos_Odoo!$B:$B, MATCH(Q939, Pagos_Odoo!$I:$I, 0)), "Sin Pago"))</f>
        <v/>
      </c>
      <c r="Y939" s="79">
        <f>IF(X939="Sin Pago","",IFERROR(INDEX(Pagos_Odoo!$C:$C, MATCH(X939, Pagos_Odoo!$B:$B, 0)), ""))</f>
        <v/>
      </c>
      <c r="Z939" s="80">
        <f>IF(X939="Sin Pago","",IFERROR(INDEX(Pagos_Odoo!$A:$A, MATCH(X939, Pagos_Odoo!$B:$B, 0)), ""))</f>
        <v/>
      </c>
      <c r="AA939" s="79">
        <f>IF(X939="Sin Pago","",IFERROR(INDEX(Pagos_Odoo!$F:$F, MATCH(X939, Pagos_Odoo!$B:$B, 0)), ""))</f>
        <v/>
      </c>
      <c r="AB939" s="81">
        <f>IF(X939="Sin Pago",0,IFERROR(INDEX(Pagos_Odoo!$E:$E, MATCH(X939, Pagos_Odoo!$B:$B, 0)), 0))</f>
        <v/>
      </c>
      <c r="AC939" s="79">
        <f>IF(X939="Sin Pago","",IFERROR(INDEX(Pagos_Odoo!$G:$G, MATCH(X939, Pagos_Odoo!$B:$B, 0)), ""))</f>
        <v/>
      </c>
      <c r="AD939" s="82" t="n">
        <v>0</v>
      </c>
      <c r="AE939" s="82" t="n"/>
      <c r="AF939" s="82" t="n"/>
      <c r="AG939" s="82">
        <f>IF(AN939="","",AD939+AE939+AF939)</f>
        <v/>
      </c>
      <c r="AH939" s="81">
        <f>IF(AN939="","",P939*(1-AG939))</f>
        <v/>
      </c>
      <c r="AI939" s="81">
        <f>IF(AN939="","",IF(Q939="Sin Factura",0,IFERROR(INDEX(Facturas_Odoo!$H:$H, MATCH(Q939, Facturas_Odoo!$B:$B, 0)), 0)*(1-AG939)))</f>
        <v/>
      </c>
      <c r="AJ939" s="81">
        <f>IF(AN939="","",_xlfn.LET(idVenta, AN939&amp;"",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39" s="81">
        <f>IF(AN939="","",AH939-AJ939)</f>
        <v/>
      </c>
      <c r="AL939" s="81">
        <f>IF(AN939="","",IF(Q939="Sin Factura","",AI939-AJ939))</f>
        <v/>
      </c>
      <c r="AM939" s="81">
        <f>IF(AN939="","",IF(Q939="Sin Factura",0,P939-IFERROR(INDEX(Facturas_Odoo!$H:$H, MATCH(Q939, Facturas_Odoo!$B:$B, 0)), 0)))</f>
        <v/>
      </c>
      <c r="AN939" s="79">
        <f>IF(AND(A939="", J939=""), "", IF(A939&lt;&gt;"", VALUE(MID(A939,2,LEN(A939))), AN938))</f>
        <v/>
      </c>
      <c r="AO939" s="79">
        <f>IF(AN939="","",IF(AD939=0,"OK",_xlfn.LET(monedaPago, IF(AA939="","USD",AA939), limitePermitido, IFERROR(VLOOKUP(monedaPago, Configuración!$A$2:$B$3, 2, FALSE), 0.15), IF(AD939&gt;limitePermitido, "ALERTA: EXCESO (" &amp; TEXT(limitePermitido, "0%") &amp; " máx)", "OK"))))</f>
        <v/>
      </c>
      <c r="AP939" s="79">
        <f>IF(AN939="","",IF(AE939=0,"OK",_xlfn.LET(fechaPago, Z939, fechaFactura, R939, diasCredito, IF(E939="Pago inmediato", 0, IFERROR(VALUE(MID(E939, 1, SEARCH(" ", E939)-1)),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39" s="79">
        <f>IF(AN939="","",IF(AND(N939&gt;0, AG939&gt;0), IF(Configuración!$K$2="NO", "ALERTA: DESCUENTO DOBLE NO PERMITIDO", "OK"), "OK"))</f>
        <v/>
      </c>
      <c r="AR939" s="79">
        <f>IF(AN939="","",IF(OR(AO939&lt;&gt;"OK", AP939&lt;&gt;"OK", AQ939&lt;&gt;"OK"), "⚠️ REVISAR", "OK"))</f>
        <v/>
      </c>
    </row>
    <row r="940">
      <c r="A940" s="79">
        <f>IF('Ordenes_Odoo'!A940="","",'Ordenes_Odoo'!A940)</f>
        <v/>
      </c>
      <c r="B940" s="80">
        <f>IF('Ordenes_Odoo'!B940="","",'Ordenes_Odoo'!B940)</f>
        <v/>
      </c>
      <c r="C940" s="79">
        <f>IF('Ordenes_Odoo'!C940="","",'Ordenes_Odoo'!C940)</f>
        <v/>
      </c>
      <c r="D940" s="79">
        <f>IF('Ordenes_Odoo'!D940="","",'Ordenes_Odoo'!D940)</f>
        <v/>
      </c>
      <c r="E940" s="79">
        <f>IF('Ordenes_Odoo'!E940="","",'Ordenes_Odoo'!E940)</f>
        <v/>
      </c>
      <c r="F940" s="79">
        <f>IF('Ordenes_Odoo'!F940="","",'Ordenes_Odoo'!F940)</f>
        <v/>
      </c>
      <c r="G940" s="79">
        <f>IF('Ordenes_Odoo'!G940="","",'Ordenes_Odoo'!G940)</f>
        <v/>
      </c>
      <c r="H940" s="79">
        <f>IF('Ordenes_Odoo'!H940="","",'Ordenes_Odoo'!H940)</f>
        <v/>
      </c>
      <c r="I940" s="79">
        <f>IF('Ordenes_Odoo'!I940="","",'Ordenes_Odoo'!I940)</f>
        <v/>
      </c>
      <c r="J940" s="79">
        <f>IF('Ordenes_Odoo'!J940="","",'Ordenes_Odoo'!J940)</f>
        <v/>
      </c>
      <c r="K940" s="81">
        <f>IF('Ordenes_Odoo'!K940="","",'Ordenes_Odoo'!K940)</f>
        <v/>
      </c>
      <c r="L940" s="81">
        <f>IF('Ordenes_Odoo'!L940="","",'Ordenes_Odoo'!L940)</f>
        <v/>
      </c>
      <c r="M940" s="79">
        <f>IF('Ordenes_Odoo'!M940="","",'Ordenes_Odoo'!M940)</f>
        <v/>
      </c>
      <c r="N940" s="79">
        <f>IF('Ordenes_Odoo'!N940="","",'Ordenes_Odoo'!N940)</f>
        <v/>
      </c>
      <c r="O940" s="81">
        <f>IF('Ordenes_Odoo'!O940="","",'Ordenes_Odoo'!O940)</f>
        <v/>
      </c>
      <c r="P940" s="81">
        <f>IF('Ordenes_Odoo'!P940="","",'Ordenes_Odoo'!P940)</f>
        <v/>
      </c>
      <c r="Q940" s="79">
        <f>IF(A940="","",IFERROR(INDEX(Facturas_Odoo!$B:$B, MATCH(A940, Facturas_Odoo!$D:$D, 0)), "Sin Factura"))</f>
        <v/>
      </c>
      <c r="R940" s="80">
        <f>IF(Q940="Sin Factura","",IFERROR(INDEX(Facturas_Odoo!$A:$A, MATCH(Q940, Facturas_Odoo!$B:$B, 0)), ""))</f>
        <v/>
      </c>
      <c r="S940" s="79">
        <f>IF(Q940="Sin Factura","",IFERROR(_xlfn.XLOOKUP(1, (Facturas_Odoo!$D:$D=A940) * (Facturas_Odoo!$K:$K=I940), Facturas_Odoo!$L:$L, ""), ""))</f>
        <v/>
      </c>
      <c r="T940" s="81">
        <f>IF(Q940="Sin Factura",0,IFERROR(_xlfn.XLOOKUP(1, (Facturas_Odoo!$D:$D=A940) * (Facturas_Odoo!$K:$K=I940), Facturas_Odoo!$M:$M, 0), 0))</f>
        <v/>
      </c>
      <c r="U940" s="79">
        <f>IF(Q940="Sin Factura",0,IFERROR(_xlfn.XLOOKUP(1, (Facturas_Odoo!$D:$D=A940) * (Facturas_Odoo!$K:$K=I940), Facturas_Odoo!$N:$N, 0), 0))</f>
        <v/>
      </c>
      <c r="V940" s="79">
        <f>IF(Q940="Sin Factura",0,IFERROR(_xlfn.XLOOKUP(1, (Facturas_Odoo!$D:$D=A940) * (Facturas_Odoo!$K:$K=I940), Facturas_Odoo!$O:$O, 0), 0))</f>
        <v/>
      </c>
      <c r="W940" s="81">
        <f>IF(Q940="Sin Factura",0,IFERROR(_xlfn.XLOOKUP(1, (Facturas_Odoo!$D:$D=A940) * (Facturas_Odoo!$K:$K=I940), Facturas_Odoo!$Q:$Q, 0), 0))</f>
        <v/>
      </c>
      <c r="X940" s="79">
        <f>IF(OR(Q940="Sin Factura",Q940=""),"",IFERROR(INDEX(Pagos_Odoo!$B:$B, MATCH(Q940, Pagos_Odoo!$I:$I, 0)), "Sin Pago"))</f>
        <v/>
      </c>
      <c r="Y940" s="79">
        <f>IF(X940="Sin Pago","",IFERROR(INDEX(Pagos_Odoo!$C:$C, MATCH(X940, Pagos_Odoo!$B:$B, 0)), ""))</f>
        <v/>
      </c>
      <c r="Z940" s="80">
        <f>IF(X940="Sin Pago","",IFERROR(INDEX(Pagos_Odoo!$A:$A, MATCH(X940, Pagos_Odoo!$B:$B, 0)), ""))</f>
        <v/>
      </c>
      <c r="AA940" s="79">
        <f>IF(X940="Sin Pago","",IFERROR(INDEX(Pagos_Odoo!$F:$F, MATCH(X940, Pagos_Odoo!$B:$B, 0)), ""))</f>
        <v/>
      </c>
      <c r="AB940" s="81">
        <f>IF(X940="Sin Pago",0,IFERROR(INDEX(Pagos_Odoo!$E:$E, MATCH(X940, Pagos_Odoo!$B:$B, 0)), 0))</f>
        <v/>
      </c>
      <c r="AC940" s="79">
        <f>IF(X940="Sin Pago","",IFERROR(INDEX(Pagos_Odoo!$G:$G, MATCH(X940, Pagos_Odoo!$B:$B, 0)), ""))</f>
        <v/>
      </c>
      <c r="AD940" s="82" t="n">
        <v>0</v>
      </c>
      <c r="AE940" s="82" t="n"/>
      <c r="AF940" s="82" t="n"/>
      <c r="AG940" s="82">
        <f>IF(AN940="","",AD940+AE940+AF940)</f>
        <v/>
      </c>
      <c r="AH940" s="81">
        <f>IF(AN940="","",P940*(1-AG940))</f>
        <v/>
      </c>
      <c r="AI940" s="81">
        <f>IF(AN940="","",IF(Q940="Sin Factura",0,IFERROR(INDEX(Facturas_Odoo!$H:$H, MATCH(Q940, Facturas_Odoo!$B:$B, 0)), 0)*(1-AG940)))</f>
        <v/>
      </c>
      <c r="AJ940" s="81">
        <f>IF(AN940="","",_xlfn.LET(idVenta, AN940&amp;"",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40" s="81">
        <f>IF(AN940="","",AH940-AJ940)</f>
        <v/>
      </c>
      <c r="AL940" s="81">
        <f>IF(AN940="","",IF(Q940="Sin Factura","",AI940-AJ940))</f>
        <v/>
      </c>
      <c r="AM940" s="81">
        <f>IF(AN940="","",IF(Q940="Sin Factura",0,P940-IFERROR(INDEX(Facturas_Odoo!$H:$H, MATCH(Q940, Facturas_Odoo!$B:$B, 0)), 0)))</f>
        <v/>
      </c>
      <c r="AN940" s="79">
        <f>IF(AND(A940="", J940=""), "", IF(A940&lt;&gt;"", VALUE(MID(A940,2,LEN(A940))), AN939))</f>
        <v/>
      </c>
      <c r="AO940" s="79">
        <f>IF(AN940="","",IF(AD940=0,"OK",_xlfn.LET(monedaPago, IF(AA940="","USD",AA940), limitePermitido, IFERROR(VLOOKUP(monedaPago, Configuración!$A$2:$B$3, 2, FALSE), 0.15), IF(AD940&gt;limitePermitido, "ALERTA: EXCESO (" &amp; TEXT(limitePermitido, "0%") &amp; " máx)", "OK"))))</f>
        <v/>
      </c>
      <c r="AP940" s="79">
        <f>IF(AN940="","",IF(AE940=0,"OK",_xlfn.LET(fechaPago, Z940, fechaFactura, R940, diasCredito, IF(E940="Pago inmediato", 0, IFERROR(VALUE(MID(E940, 1, SEARCH(" ", E940)-1)),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40" s="79">
        <f>IF(AN940="","",IF(AND(N940&gt;0, AG940&gt;0), IF(Configuración!$K$2="NO", "ALERTA: DESCUENTO DOBLE NO PERMITIDO", "OK"), "OK"))</f>
        <v/>
      </c>
      <c r="AR940" s="79">
        <f>IF(AN940="","",IF(OR(AO940&lt;&gt;"OK", AP940&lt;&gt;"OK", AQ940&lt;&gt;"OK"), "⚠️ REVISAR", "OK"))</f>
        <v/>
      </c>
    </row>
    <row r="941">
      <c r="A941" s="79">
        <f>IF('Ordenes_Odoo'!A941="","",'Ordenes_Odoo'!A941)</f>
        <v/>
      </c>
      <c r="B941" s="80">
        <f>IF('Ordenes_Odoo'!B941="","",'Ordenes_Odoo'!B941)</f>
        <v/>
      </c>
      <c r="C941" s="79">
        <f>IF('Ordenes_Odoo'!C941="","",'Ordenes_Odoo'!C941)</f>
        <v/>
      </c>
      <c r="D941" s="79">
        <f>IF('Ordenes_Odoo'!D941="","",'Ordenes_Odoo'!D941)</f>
        <v/>
      </c>
      <c r="E941" s="79">
        <f>IF('Ordenes_Odoo'!E941="","",'Ordenes_Odoo'!E941)</f>
        <v/>
      </c>
      <c r="F941" s="79">
        <f>IF('Ordenes_Odoo'!F941="","",'Ordenes_Odoo'!F941)</f>
        <v/>
      </c>
      <c r="G941" s="79">
        <f>IF('Ordenes_Odoo'!G941="","",'Ordenes_Odoo'!G941)</f>
        <v/>
      </c>
      <c r="H941" s="79">
        <f>IF('Ordenes_Odoo'!H941="","",'Ordenes_Odoo'!H941)</f>
        <v/>
      </c>
      <c r="I941" s="79">
        <f>IF('Ordenes_Odoo'!I941="","",'Ordenes_Odoo'!I941)</f>
        <v/>
      </c>
      <c r="J941" s="79">
        <f>IF('Ordenes_Odoo'!J941="","",'Ordenes_Odoo'!J941)</f>
        <v/>
      </c>
      <c r="K941" s="81">
        <f>IF('Ordenes_Odoo'!K941="","",'Ordenes_Odoo'!K941)</f>
        <v/>
      </c>
      <c r="L941" s="81">
        <f>IF('Ordenes_Odoo'!L941="","",'Ordenes_Odoo'!L941)</f>
        <v/>
      </c>
      <c r="M941" s="79">
        <f>IF('Ordenes_Odoo'!M941="","",'Ordenes_Odoo'!M941)</f>
        <v/>
      </c>
      <c r="N941" s="79">
        <f>IF('Ordenes_Odoo'!N941="","",'Ordenes_Odoo'!N941)</f>
        <v/>
      </c>
      <c r="O941" s="81">
        <f>IF('Ordenes_Odoo'!O941="","",'Ordenes_Odoo'!O941)</f>
        <v/>
      </c>
      <c r="P941" s="81">
        <f>IF('Ordenes_Odoo'!P941="","",'Ordenes_Odoo'!P941)</f>
        <v/>
      </c>
      <c r="Q941" s="79">
        <f>IF(A941="","",IFERROR(INDEX(Facturas_Odoo!$B:$B, MATCH(A941, Facturas_Odoo!$D:$D, 0)), "Sin Factura"))</f>
        <v/>
      </c>
      <c r="R941" s="80">
        <f>IF(Q941="Sin Factura","",IFERROR(INDEX(Facturas_Odoo!$A:$A, MATCH(Q941, Facturas_Odoo!$B:$B, 0)), ""))</f>
        <v/>
      </c>
      <c r="S941" s="79">
        <f>IF(Q941="Sin Factura","",IFERROR(_xlfn.XLOOKUP(1, (Facturas_Odoo!$D:$D=A941) * (Facturas_Odoo!$K:$K=I941), Facturas_Odoo!$L:$L, ""), ""))</f>
        <v/>
      </c>
      <c r="T941" s="81">
        <f>IF(Q941="Sin Factura",0,IFERROR(_xlfn.XLOOKUP(1, (Facturas_Odoo!$D:$D=A941) * (Facturas_Odoo!$K:$K=I941), Facturas_Odoo!$M:$M, 0), 0))</f>
        <v/>
      </c>
      <c r="U941" s="79">
        <f>IF(Q941="Sin Factura",0,IFERROR(_xlfn.XLOOKUP(1, (Facturas_Odoo!$D:$D=A941) * (Facturas_Odoo!$K:$K=I941), Facturas_Odoo!$N:$N, 0), 0))</f>
        <v/>
      </c>
      <c r="V941" s="79">
        <f>IF(Q941="Sin Factura",0,IFERROR(_xlfn.XLOOKUP(1, (Facturas_Odoo!$D:$D=A941) * (Facturas_Odoo!$K:$K=I941), Facturas_Odoo!$O:$O, 0), 0))</f>
        <v/>
      </c>
      <c r="W941" s="81">
        <f>IF(Q941="Sin Factura",0,IFERROR(_xlfn.XLOOKUP(1, (Facturas_Odoo!$D:$D=A941) * (Facturas_Odoo!$K:$K=I941), Facturas_Odoo!$Q:$Q, 0), 0))</f>
        <v/>
      </c>
      <c r="X941" s="79">
        <f>IF(OR(Q941="Sin Factura",Q941=""),"",IFERROR(INDEX(Pagos_Odoo!$B:$B, MATCH(Q941, Pagos_Odoo!$I:$I, 0)), "Sin Pago"))</f>
        <v/>
      </c>
      <c r="Y941" s="79">
        <f>IF(X941="Sin Pago","",IFERROR(INDEX(Pagos_Odoo!$C:$C, MATCH(X941, Pagos_Odoo!$B:$B, 0)), ""))</f>
        <v/>
      </c>
      <c r="Z941" s="80">
        <f>IF(X941="Sin Pago","",IFERROR(INDEX(Pagos_Odoo!$A:$A, MATCH(X941, Pagos_Odoo!$B:$B, 0)), ""))</f>
        <v/>
      </c>
      <c r="AA941" s="79">
        <f>IF(X941="Sin Pago","",IFERROR(INDEX(Pagos_Odoo!$F:$F, MATCH(X941, Pagos_Odoo!$B:$B, 0)), ""))</f>
        <v/>
      </c>
      <c r="AB941" s="81">
        <f>IF(X941="Sin Pago",0,IFERROR(INDEX(Pagos_Odoo!$E:$E, MATCH(X941, Pagos_Odoo!$B:$B, 0)), 0))</f>
        <v/>
      </c>
      <c r="AC941" s="79">
        <f>IF(X941="Sin Pago","",IFERROR(INDEX(Pagos_Odoo!$G:$G, MATCH(X941, Pagos_Odoo!$B:$B, 0)), ""))</f>
        <v/>
      </c>
      <c r="AD941" s="82" t="n">
        <v>0</v>
      </c>
      <c r="AE941" s="82" t="n"/>
      <c r="AF941" s="82" t="n"/>
      <c r="AG941" s="82">
        <f>IF(AN941="","",AD941+AE941+AF941)</f>
        <v/>
      </c>
      <c r="AH941" s="81">
        <f>IF(AN941="","",P941*(1-AG941))</f>
        <v/>
      </c>
      <c r="AI941" s="81">
        <f>IF(AN941="","",IF(Q941="Sin Factura",0,IFERROR(INDEX(Facturas_Odoo!$H:$H, MATCH(Q941, Facturas_Odoo!$B:$B, 0)), 0)*(1-AG941)))</f>
        <v/>
      </c>
      <c r="AJ941" s="81">
        <f>IF(AN941="","",_xlfn.LET(idVenta, AN941&amp;"",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41" s="81">
        <f>IF(AN941="","",AH941-AJ941)</f>
        <v/>
      </c>
      <c r="AL941" s="81">
        <f>IF(AN941="","",IF(Q941="Sin Factura","",AI941-AJ941))</f>
        <v/>
      </c>
      <c r="AM941" s="81">
        <f>IF(AN941="","",IF(Q941="Sin Factura",0,P941-IFERROR(INDEX(Facturas_Odoo!$H:$H, MATCH(Q941, Facturas_Odoo!$B:$B, 0)), 0)))</f>
        <v/>
      </c>
      <c r="AN941" s="79">
        <f>IF(AND(A941="", J941=""), "", IF(A941&lt;&gt;"", VALUE(MID(A941,2,LEN(A941))), AN940))</f>
        <v/>
      </c>
      <c r="AO941" s="79">
        <f>IF(AN941="","",IF(AD941=0,"OK",_xlfn.LET(monedaPago, IF(AA941="","USD",AA941), limitePermitido, IFERROR(VLOOKUP(monedaPago, Configuración!$A$2:$B$3, 2, FALSE), 0.15), IF(AD941&gt;limitePermitido, "ALERTA: EXCESO (" &amp; TEXT(limitePermitido, "0%") &amp; " máx)", "OK"))))</f>
        <v/>
      </c>
      <c r="AP941" s="79">
        <f>IF(AN941="","",IF(AE941=0,"OK",_xlfn.LET(fechaPago, Z941, fechaFactura, R941, diasCredito, IF(E941="Pago inmediato", 0, IFERROR(VALUE(MID(E941, 1, SEARCH(" ", E941)-1)),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41" s="79">
        <f>IF(AN941="","",IF(AND(N941&gt;0, AG941&gt;0), IF(Configuración!$K$2="NO", "ALERTA: DESCUENTO DOBLE NO PERMITIDO", "OK"), "OK"))</f>
        <v/>
      </c>
      <c r="AR941" s="79">
        <f>IF(AN941="","",IF(OR(AO941&lt;&gt;"OK", AP941&lt;&gt;"OK", AQ941&lt;&gt;"OK"), "⚠️ REVISAR", "OK"))</f>
        <v/>
      </c>
    </row>
    <row r="942">
      <c r="A942" s="79">
        <f>IF('Ordenes_Odoo'!A942="","",'Ordenes_Odoo'!A942)</f>
        <v/>
      </c>
      <c r="B942" s="80">
        <f>IF('Ordenes_Odoo'!B942="","",'Ordenes_Odoo'!B942)</f>
        <v/>
      </c>
      <c r="C942" s="79">
        <f>IF('Ordenes_Odoo'!C942="","",'Ordenes_Odoo'!C942)</f>
        <v/>
      </c>
      <c r="D942" s="79">
        <f>IF('Ordenes_Odoo'!D942="","",'Ordenes_Odoo'!D942)</f>
        <v/>
      </c>
      <c r="E942" s="79">
        <f>IF('Ordenes_Odoo'!E942="","",'Ordenes_Odoo'!E942)</f>
        <v/>
      </c>
      <c r="F942" s="79">
        <f>IF('Ordenes_Odoo'!F942="","",'Ordenes_Odoo'!F942)</f>
        <v/>
      </c>
      <c r="G942" s="79">
        <f>IF('Ordenes_Odoo'!G942="","",'Ordenes_Odoo'!G942)</f>
        <v/>
      </c>
      <c r="H942" s="79">
        <f>IF('Ordenes_Odoo'!H942="","",'Ordenes_Odoo'!H942)</f>
        <v/>
      </c>
      <c r="I942" s="79">
        <f>IF('Ordenes_Odoo'!I942="","",'Ordenes_Odoo'!I942)</f>
        <v/>
      </c>
      <c r="J942" s="79">
        <f>IF('Ordenes_Odoo'!J942="","",'Ordenes_Odoo'!J942)</f>
        <v/>
      </c>
      <c r="K942" s="81">
        <f>IF('Ordenes_Odoo'!K942="","",'Ordenes_Odoo'!K942)</f>
        <v/>
      </c>
      <c r="L942" s="81">
        <f>IF('Ordenes_Odoo'!L942="","",'Ordenes_Odoo'!L942)</f>
        <v/>
      </c>
      <c r="M942" s="79">
        <f>IF('Ordenes_Odoo'!M942="","",'Ordenes_Odoo'!M942)</f>
        <v/>
      </c>
      <c r="N942" s="79">
        <f>IF('Ordenes_Odoo'!N942="","",'Ordenes_Odoo'!N942)</f>
        <v/>
      </c>
      <c r="O942" s="81">
        <f>IF('Ordenes_Odoo'!O942="","",'Ordenes_Odoo'!O942)</f>
        <v/>
      </c>
      <c r="P942" s="81">
        <f>IF('Ordenes_Odoo'!P942="","",'Ordenes_Odoo'!P942)</f>
        <v/>
      </c>
      <c r="Q942" s="79">
        <f>IF(A942="","",IFERROR(INDEX(Facturas_Odoo!$B:$B, MATCH(A942, Facturas_Odoo!$D:$D, 0)), "Sin Factura"))</f>
        <v/>
      </c>
      <c r="R942" s="80">
        <f>IF(Q942="Sin Factura","",IFERROR(INDEX(Facturas_Odoo!$A:$A, MATCH(Q942, Facturas_Odoo!$B:$B, 0)), ""))</f>
        <v/>
      </c>
      <c r="S942" s="79">
        <f>IF(Q942="Sin Factura","",IFERROR(_xlfn.XLOOKUP(1, (Facturas_Odoo!$D:$D=A942) * (Facturas_Odoo!$K:$K=I942), Facturas_Odoo!$L:$L, ""), ""))</f>
        <v/>
      </c>
      <c r="T942" s="81">
        <f>IF(Q942="Sin Factura",0,IFERROR(_xlfn.XLOOKUP(1, (Facturas_Odoo!$D:$D=A942) * (Facturas_Odoo!$K:$K=I942), Facturas_Odoo!$M:$M, 0), 0))</f>
        <v/>
      </c>
      <c r="U942" s="79">
        <f>IF(Q942="Sin Factura",0,IFERROR(_xlfn.XLOOKUP(1, (Facturas_Odoo!$D:$D=A942) * (Facturas_Odoo!$K:$K=I942), Facturas_Odoo!$N:$N, 0), 0))</f>
        <v/>
      </c>
      <c r="V942" s="79">
        <f>IF(Q942="Sin Factura",0,IFERROR(_xlfn.XLOOKUP(1, (Facturas_Odoo!$D:$D=A942) * (Facturas_Odoo!$K:$K=I942), Facturas_Odoo!$O:$O, 0), 0))</f>
        <v/>
      </c>
      <c r="W942" s="81">
        <f>IF(Q942="Sin Factura",0,IFERROR(_xlfn.XLOOKUP(1, (Facturas_Odoo!$D:$D=A942) * (Facturas_Odoo!$K:$K=I942), Facturas_Odoo!$Q:$Q, 0), 0))</f>
        <v/>
      </c>
      <c r="X942" s="79">
        <f>IF(OR(Q942="Sin Factura",Q942=""),"",IFERROR(INDEX(Pagos_Odoo!$B:$B, MATCH(Q942, Pagos_Odoo!$I:$I, 0)), "Sin Pago"))</f>
        <v/>
      </c>
      <c r="Y942" s="79">
        <f>IF(X942="Sin Pago","",IFERROR(INDEX(Pagos_Odoo!$C:$C, MATCH(X942, Pagos_Odoo!$B:$B, 0)), ""))</f>
        <v/>
      </c>
      <c r="Z942" s="80">
        <f>IF(X942="Sin Pago","",IFERROR(INDEX(Pagos_Odoo!$A:$A, MATCH(X942, Pagos_Odoo!$B:$B, 0)), ""))</f>
        <v/>
      </c>
      <c r="AA942" s="79">
        <f>IF(X942="Sin Pago","",IFERROR(INDEX(Pagos_Odoo!$F:$F, MATCH(X942, Pagos_Odoo!$B:$B, 0)), ""))</f>
        <v/>
      </c>
      <c r="AB942" s="81">
        <f>IF(X942="Sin Pago",0,IFERROR(INDEX(Pagos_Odoo!$E:$E, MATCH(X942, Pagos_Odoo!$B:$B, 0)), 0))</f>
        <v/>
      </c>
      <c r="AC942" s="79">
        <f>IF(X942="Sin Pago","",IFERROR(INDEX(Pagos_Odoo!$G:$G, MATCH(X942, Pagos_Odoo!$B:$B, 0)), ""))</f>
        <v/>
      </c>
      <c r="AD942" s="82" t="n">
        <v>0</v>
      </c>
      <c r="AE942" s="82" t="n"/>
      <c r="AF942" s="82" t="n"/>
      <c r="AG942" s="82">
        <f>IF(AN942="","",AD942+AE942+AF942)</f>
        <v/>
      </c>
      <c r="AH942" s="81">
        <f>IF(AN942="","",P942*(1-AG942))</f>
        <v/>
      </c>
      <c r="AI942" s="81">
        <f>IF(AN942="","",IF(Q942="Sin Factura",0,IFERROR(INDEX(Facturas_Odoo!$H:$H, MATCH(Q942, Facturas_Odoo!$B:$B, 0)), 0)*(1-AG942)))</f>
        <v/>
      </c>
      <c r="AJ942" s="81">
        <f>IF(AN942="","",_xlfn.LET(idVenta, AN942&amp;"",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42" s="81">
        <f>IF(AN942="","",AH942-AJ942)</f>
        <v/>
      </c>
      <c r="AL942" s="81">
        <f>IF(AN942="","",IF(Q942="Sin Factura","",AI942-AJ942))</f>
        <v/>
      </c>
      <c r="AM942" s="81">
        <f>IF(AN942="","",IF(Q942="Sin Factura",0,P942-IFERROR(INDEX(Facturas_Odoo!$H:$H, MATCH(Q942, Facturas_Odoo!$B:$B, 0)), 0)))</f>
        <v/>
      </c>
      <c r="AN942" s="79">
        <f>IF(AND(A942="", J942=""), "", IF(A942&lt;&gt;"", VALUE(MID(A942,2,LEN(A942))), AN941))</f>
        <v/>
      </c>
      <c r="AO942" s="79">
        <f>IF(AN942="","",IF(AD942=0,"OK",_xlfn.LET(monedaPago, IF(AA942="","USD",AA942), limitePermitido, IFERROR(VLOOKUP(monedaPago, Configuración!$A$2:$B$3, 2, FALSE), 0.15), IF(AD942&gt;limitePermitido, "ALERTA: EXCESO (" &amp; TEXT(limitePermitido, "0%") &amp; " máx)", "OK"))))</f>
        <v/>
      </c>
      <c r="AP942" s="79">
        <f>IF(AN942="","",IF(AE942=0,"OK",_xlfn.LET(fechaPago, Z942, fechaFactura, R942, diasCredito, IF(E942="Pago inmediato", 0, IFERROR(VALUE(MID(E942, 1, SEARCH(" ", E942)-1)),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42" s="79">
        <f>IF(AN942="","",IF(AND(N942&gt;0, AG942&gt;0), IF(Configuración!$K$2="NO", "ALERTA: DESCUENTO DOBLE NO PERMITIDO", "OK"), "OK"))</f>
        <v/>
      </c>
      <c r="AR942" s="79">
        <f>IF(AN942="","",IF(OR(AO942&lt;&gt;"OK", AP942&lt;&gt;"OK", AQ942&lt;&gt;"OK"), "⚠️ REVISAR", "OK"))</f>
        <v/>
      </c>
    </row>
    <row r="943">
      <c r="A943" s="79">
        <f>IF('Ordenes_Odoo'!A943="","",'Ordenes_Odoo'!A943)</f>
        <v/>
      </c>
      <c r="B943" s="80">
        <f>IF('Ordenes_Odoo'!B943="","",'Ordenes_Odoo'!B943)</f>
        <v/>
      </c>
      <c r="C943" s="79">
        <f>IF('Ordenes_Odoo'!C943="","",'Ordenes_Odoo'!C943)</f>
        <v/>
      </c>
      <c r="D943" s="79">
        <f>IF('Ordenes_Odoo'!D943="","",'Ordenes_Odoo'!D943)</f>
        <v/>
      </c>
      <c r="E943" s="79">
        <f>IF('Ordenes_Odoo'!E943="","",'Ordenes_Odoo'!E943)</f>
        <v/>
      </c>
      <c r="F943" s="79">
        <f>IF('Ordenes_Odoo'!F943="","",'Ordenes_Odoo'!F943)</f>
        <v/>
      </c>
      <c r="G943" s="79">
        <f>IF('Ordenes_Odoo'!G943="","",'Ordenes_Odoo'!G943)</f>
        <v/>
      </c>
      <c r="H943" s="79">
        <f>IF('Ordenes_Odoo'!H943="","",'Ordenes_Odoo'!H943)</f>
        <v/>
      </c>
      <c r="I943" s="79">
        <f>IF('Ordenes_Odoo'!I943="","",'Ordenes_Odoo'!I943)</f>
        <v/>
      </c>
      <c r="J943" s="79">
        <f>IF('Ordenes_Odoo'!J943="","",'Ordenes_Odoo'!J943)</f>
        <v/>
      </c>
      <c r="K943" s="81">
        <f>IF('Ordenes_Odoo'!K943="","",'Ordenes_Odoo'!K943)</f>
        <v/>
      </c>
      <c r="L943" s="81">
        <f>IF('Ordenes_Odoo'!L943="","",'Ordenes_Odoo'!L943)</f>
        <v/>
      </c>
      <c r="M943" s="79">
        <f>IF('Ordenes_Odoo'!M943="","",'Ordenes_Odoo'!M943)</f>
        <v/>
      </c>
      <c r="N943" s="79">
        <f>IF('Ordenes_Odoo'!N943="","",'Ordenes_Odoo'!N943)</f>
        <v/>
      </c>
      <c r="O943" s="81">
        <f>IF('Ordenes_Odoo'!O943="","",'Ordenes_Odoo'!O943)</f>
        <v/>
      </c>
      <c r="P943" s="81">
        <f>IF('Ordenes_Odoo'!P943="","",'Ordenes_Odoo'!P943)</f>
        <v/>
      </c>
      <c r="Q943" s="79">
        <f>IF(A943="","",IFERROR(INDEX(Facturas_Odoo!$B:$B, MATCH(A943, Facturas_Odoo!$D:$D, 0)), "Sin Factura"))</f>
        <v/>
      </c>
      <c r="R943" s="80">
        <f>IF(Q943="Sin Factura","",IFERROR(INDEX(Facturas_Odoo!$A:$A, MATCH(Q943, Facturas_Odoo!$B:$B, 0)), ""))</f>
        <v/>
      </c>
      <c r="S943" s="79">
        <f>IF(Q943="Sin Factura","",IFERROR(_xlfn.XLOOKUP(1, (Facturas_Odoo!$D:$D=A943) * (Facturas_Odoo!$K:$K=I943), Facturas_Odoo!$L:$L, ""), ""))</f>
        <v/>
      </c>
      <c r="T943" s="81">
        <f>IF(Q943="Sin Factura",0,IFERROR(_xlfn.XLOOKUP(1, (Facturas_Odoo!$D:$D=A943) * (Facturas_Odoo!$K:$K=I943), Facturas_Odoo!$M:$M, 0), 0))</f>
        <v/>
      </c>
      <c r="U943" s="79">
        <f>IF(Q943="Sin Factura",0,IFERROR(_xlfn.XLOOKUP(1, (Facturas_Odoo!$D:$D=A943) * (Facturas_Odoo!$K:$K=I943), Facturas_Odoo!$N:$N, 0), 0))</f>
        <v/>
      </c>
      <c r="V943" s="79">
        <f>IF(Q943="Sin Factura",0,IFERROR(_xlfn.XLOOKUP(1, (Facturas_Odoo!$D:$D=A943) * (Facturas_Odoo!$K:$K=I943), Facturas_Odoo!$O:$O, 0), 0))</f>
        <v/>
      </c>
      <c r="W943" s="81">
        <f>IF(Q943="Sin Factura",0,IFERROR(_xlfn.XLOOKUP(1, (Facturas_Odoo!$D:$D=A943) * (Facturas_Odoo!$K:$K=I943), Facturas_Odoo!$Q:$Q, 0), 0))</f>
        <v/>
      </c>
      <c r="X943" s="79">
        <f>IF(OR(Q943="Sin Factura",Q943=""),"",IFERROR(INDEX(Pagos_Odoo!$B:$B, MATCH(Q943, Pagos_Odoo!$I:$I, 0)), "Sin Pago"))</f>
        <v/>
      </c>
      <c r="Y943" s="79">
        <f>IF(X943="Sin Pago","",IFERROR(INDEX(Pagos_Odoo!$C:$C, MATCH(X943, Pagos_Odoo!$B:$B, 0)), ""))</f>
        <v/>
      </c>
      <c r="Z943" s="80">
        <f>IF(X943="Sin Pago","",IFERROR(INDEX(Pagos_Odoo!$A:$A, MATCH(X943, Pagos_Odoo!$B:$B, 0)), ""))</f>
        <v/>
      </c>
      <c r="AA943" s="79">
        <f>IF(X943="Sin Pago","",IFERROR(INDEX(Pagos_Odoo!$F:$F, MATCH(X943, Pagos_Odoo!$B:$B, 0)), ""))</f>
        <v/>
      </c>
      <c r="AB943" s="81">
        <f>IF(X943="Sin Pago",0,IFERROR(INDEX(Pagos_Odoo!$E:$E, MATCH(X943, Pagos_Odoo!$B:$B, 0)), 0))</f>
        <v/>
      </c>
      <c r="AC943" s="79">
        <f>IF(X943="Sin Pago","",IFERROR(INDEX(Pagos_Odoo!$G:$G, MATCH(X943, Pagos_Odoo!$B:$B, 0)), ""))</f>
        <v/>
      </c>
      <c r="AD943" s="82" t="n">
        <v>0</v>
      </c>
      <c r="AE943" s="82" t="n"/>
      <c r="AF943" s="82" t="n"/>
      <c r="AG943" s="82">
        <f>IF(AN943="","",AD943+AE943+AF943)</f>
        <v/>
      </c>
      <c r="AH943" s="81">
        <f>IF(AN943="","",P943*(1-AG943))</f>
        <v/>
      </c>
      <c r="AI943" s="81">
        <f>IF(AN943="","",IF(Q943="Sin Factura",0,IFERROR(INDEX(Facturas_Odoo!$H:$H, MATCH(Q943, Facturas_Odoo!$B:$B, 0)), 0)*(1-AG943)))</f>
        <v/>
      </c>
      <c r="AJ943" s="81">
        <f>IF(AN943="","",_xlfn.LET(idVenta, AN943&amp;"",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43" s="81">
        <f>IF(AN943="","",AH943-AJ943)</f>
        <v/>
      </c>
      <c r="AL943" s="81">
        <f>IF(AN943="","",IF(Q943="Sin Factura","",AI943-AJ943))</f>
        <v/>
      </c>
      <c r="AM943" s="81">
        <f>IF(AN943="","",IF(Q943="Sin Factura",0,P943-IFERROR(INDEX(Facturas_Odoo!$H:$H, MATCH(Q943, Facturas_Odoo!$B:$B, 0)), 0)))</f>
        <v/>
      </c>
      <c r="AN943" s="79">
        <f>IF(AND(A943="", J943=""), "", IF(A943&lt;&gt;"", VALUE(MID(A943,2,LEN(A943))), AN942))</f>
        <v/>
      </c>
      <c r="AO943" s="79">
        <f>IF(AN943="","",IF(AD943=0,"OK",_xlfn.LET(monedaPago, IF(AA943="","USD",AA943), limitePermitido, IFERROR(VLOOKUP(monedaPago, Configuración!$A$2:$B$3, 2, FALSE), 0.15), IF(AD943&gt;limitePermitido, "ALERTA: EXCESO (" &amp; TEXT(limitePermitido, "0%") &amp; " máx)", "OK"))))</f>
        <v/>
      </c>
      <c r="AP943" s="79">
        <f>IF(AN943="","",IF(AE943=0,"OK",_xlfn.LET(fechaPago, Z943, fechaFactura, R943, diasCredito, IF(E943="Pago inmediato", 0, IFERROR(VALUE(MID(E943, 1, SEARCH(" ", E943)-1)),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43" s="79">
        <f>IF(AN943="","",IF(AND(N943&gt;0, AG943&gt;0), IF(Configuración!$K$2="NO", "ALERTA: DESCUENTO DOBLE NO PERMITIDO", "OK"), "OK"))</f>
        <v/>
      </c>
      <c r="AR943" s="79">
        <f>IF(AN943="","",IF(OR(AO943&lt;&gt;"OK", AP943&lt;&gt;"OK", AQ943&lt;&gt;"OK"), "⚠️ REVISAR", "OK"))</f>
        <v/>
      </c>
    </row>
    <row r="944">
      <c r="A944" s="79">
        <f>IF('Ordenes_Odoo'!A944="","",'Ordenes_Odoo'!A944)</f>
        <v/>
      </c>
      <c r="B944" s="80">
        <f>IF('Ordenes_Odoo'!B944="","",'Ordenes_Odoo'!B944)</f>
        <v/>
      </c>
      <c r="C944" s="79">
        <f>IF('Ordenes_Odoo'!C944="","",'Ordenes_Odoo'!C944)</f>
        <v/>
      </c>
      <c r="D944" s="79">
        <f>IF('Ordenes_Odoo'!D944="","",'Ordenes_Odoo'!D944)</f>
        <v/>
      </c>
      <c r="E944" s="79">
        <f>IF('Ordenes_Odoo'!E944="","",'Ordenes_Odoo'!E944)</f>
        <v/>
      </c>
      <c r="F944" s="79">
        <f>IF('Ordenes_Odoo'!F944="","",'Ordenes_Odoo'!F944)</f>
        <v/>
      </c>
      <c r="G944" s="79">
        <f>IF('Ordenes_Odoo'!G944="","",'Ordenes_Odoo'!G944)</f>
        <v/>
      </c>
      <c r="H944" s="79">
        <f>IF('Ordenes_Odoo'!H944="","",'Ordenes_Odoo'!H944)</f>
        <v/>
      </c>
      <c r="I944" s="79">
        <f>IF('Ordenes_Odoo'!I944="","",'Ordenes_Odoo'!I944)</f>
        <v/>
      </c>
      <c r="J944" s="79">
        <f>IF('Ordenes_Odoo'!J944="","",'Ordenes_Odoo'!J944)</f>
        <v/>
      </c>
      <c r="K944" s="81">
        <f>IF('Ordenes_Odoo'!K944="","",'Ordenes_Odoo'!K944)</f>
        <v/>
      </c>
      <c r="L944" s="81">
        <f>IF('Ordenes_Odoo'!L944="","",'Ordenes_Odoo'!L944)</f>
        <v/>
      </c>
      <c r="M944" s="79">
        <f>IF('Ordenes_Odoo'!M944="","",'Ordenes_Odoo'!M944)</f>
        <v/>
      </c>
      <c r="N944" s="79">
        <f>IF('Ordenes_Odoo'!N944="","",'Ordenes_Odoo'!N944)</f>
        <v/>
      </c>
      <c r="O944" s="81">
        <f>IF('Ordenes_Odoo'!O944="","",'Ordenes_Odoo'!O944)</f>
        <v/>
      </c>
      <c r="P944" s="81">
        <f>IF('Ordenes_Odoo'!P944="","",'Ordenes_Odoo'!P944)</f>
        <v/>
      </c>
      <c r="Q944" s="79">
        <f>IF(A944="","",IFERROR(INDEX(Facturas_Odoo!$B:$B, MATCH(A944, Facturas_Odoo!$D:$D, 0)), "Sin Factura"))</f>
        <v/>
      </c>
      <c r="R944" s="80">
        <f>IF(Q944="Sin Factura","",IFERROR(INDEX(Facturas_Odoo!$A:$A, MATCH(Q944, Facturas_Odoo!$B:$B, 0)), ""))</f>
        <v/>
      </c>
      <c r="S944" s="79">
        <f>IF(Q944="Sin Factura","",IFERROR(_xlfn.XLOOKUP(1, (Facturas_Odoo!$D:$D=A944) * (Facturas_Odoo!$K:$K=I944), Facturas_Odoo!$L:$L, ""), ""))</f>
        <v/>
      </c>
      <c r="T944" s="81">
        <f>IF(Q944="Sin Factura",0,IFERROR(_xlfn.XLOOKUP(1, (Facturas_Odoo!$D:$D=A944) * (Facturas_Odoo!$K:$K=I944), Facturas_Odoo!$M:$M, 0), 0))</f>
        <v/>
      </c>
      <c r="U944" s="79">
        <f>IF(Q944="Sin Factura",0,IFERROR(_xlfn.XLOOKUP(1, (Facturas_Odoo!$D:$D=A944) * (Facturas_Odoo!$K:$K=I944), Facturas_Odoo!$N:$N, 0), 0))</f>
        <v/>
      </c>
      <c r="V944" s="79">
        <f>IF(Q944="Sin Factura",0,IFERROR(_xlfn.XLOOKUP(1, (Facturas_Odoo!$D:$D=A944) * (Facturas_Odoo!$K:$K=I944), Facturas_Odoo!$O:$O, 0), 0))</f>
        <v/>
      </c>
      <c r="W944" s="81">
        <f>IF(Q944="Sin Factura",0,IFERROR(_xlfn.XLOOKUP(1, (Facturas_Odoo!$D:$D=A944) * (Facturas_Odoo!$K:$K=I944), Facturas_Odoo!$Q:$Q, 0), 0))</f>
        <v/>
      </c>
      <c r="X944" s="79">
        <f>IF(OR(Q944="Sin Factura",Q944=""),"",IFERROR(INDEX(Pagos_Odoo!$B:$B, MATCH(Q944, Pagos_Odoo!$I:$I, 0)), "Sin Pago"))</f>
        <v/>
      </c>
      <c r="Y944" s="79">
        <f>IF(X944="Sin Pago","",IFERROR(INDEX(Pagos_Odoo!$C:$C, MATCH(X944, Pagos_Odoo!$B:$B, 0)), ""))</f>
        <v/>
      </c>
      <c r="Z944" s="80">
        <f>IF(X944="Sin Pago","",IFERROR(INDEX(Pagos_Odoo!$A:$A, MATCH(X944, Pagos_Odoo!$B:$B, 0)), ""))</f>
        <v/>
      </c>
      <c r="AA944" s="79">
        <f>IF(X944="Sin Pago","",IFERROR(INDEX(Pagos_Odoo!$F:$F, MATCH(X944, Pagos_Odoo!$B:$B, 0)), ""))</f>
        <v/>
      </c>
      <c r="AB944" s="81">
        <f>IF(X944="Sin Pago",0,IFERROR(INDEX(Pagos_Odoo!$E:$E, MATCH(X944, Pagos_Odoo!$B:$B, 0)), 0))</f>
        <v/>
      </c>
      <c r="AC944" s="79">
        <f>IF(X944="Sin Pago","",IFERROR(INDEX(Pagos_Odoo!$G:$G, MATCH(X944, Pagos_Odoo!$B:$B, 0)), ""))</f>
        <v/>
      </c>
      <c r="AD944" s="82" t="n">
        <v>0</v>
      </c>
      <c r="AE944" s="82" t="n"/>
      <c r="AF944" s="82" t="n"/>
      <c r="AG944" s="82">
        <f>IF(AN944="","",AD944+AE944+AF944)</f>
        <v/>
      </c>
      <c r="AH944" s="81">
        <f>IF(AN944="","",P944*(1-AG944))</f>
        <v/>
      </c>
      <c r="AI944" s="81">
        <f>IF(AN944="","",IF(Q944="Sin Factura",0,IFERROR(INDEX(Facturas_Odoo!$H:$H, MATCH(Q944, Facturas_Odoo!$B:$B, 0)), 0)*(1-AG944)))</f>
        <v/>
      </c>
      <c r="AJ944" s="81">
        <f>IF(AN944="","",_xlfn.LET(idVenta, AN944&amp;"",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44" s="81">
        <f>IF(AN944="","",AH944-AJ944)</f>
        <v/>
      </c>
      <c r="AL944" s="81">
        <f>IF(AN944="","",IF(Q944="Sin Factura","",AI944-AJ944))</f>
        <v/>
      </c>
      <c r="AM944" s="81">
        <f>IF(AN944="","",IF(Q944="Sin Factura",0,P944-IFERROR(INDEX(Facturas_Odoo!$H:$H, MATCH(Q944, Facturas_Odoo!$B:$B, 0)), 0)))</f>
        <v/>
      </c>
      <c r="AN944" s="79">
        <f>IF(AND(A944="", J944=""), "", IF(A944&lt;&gt;"", VALUE(MID(A944,2,LEN(A944))), AN943))</f>
        <v/>
      </c>
      <c r="AO944" s="79">
        <f>IF(AN944="","",IF(AD944=0,"OK",_xlfn.LET(monedaPago, IF(AA944="","USD",AA944), limitePermitido, IFERROR(VLOOKUP(monedaPago, Configuración!$A$2:$B$3, 2, FALSE), 0.15), IF(AD944&gt;limitePermitido, "ALERTA: EXCESO (" &amp; TEXT(limitePermitido, "0%") &amp; " máx)", "OK"))))</f>
        <v/>
      </c>
      <c r="AP944" s="79">
        <f>IF(AN944="","",IF(AE944=0,"OK",_xlfn.LET(fechaPago, Z944, fechaFactura, R944, diasCredito, IF(E944="Pago inmediato", 0, IFERROR(VALUE(MID(E944, 1, SEARCH(" ", E944)-1)),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44" s="79">
        <f>IF(AN944="","",IF(AND(N944&gt;0, AG944&gt;0), IF(Configuración!$K$2="NO", "ALERTA: DESCUENTO DOBLE NO PERMITIDO", "OK"), "OK"))</f>
        <v/>
      </c>
      <c r="AR944" s="79">
        <f>IF(AN944="","",IF(OR(AO944&lt;&gt;"OK", AP944&lt;&gt;"OK", AQ944&lt;&gt;"OK"), "⚠️ REVISAR", "OK"))</f>
        <v/>
      </c>
    </row>
    <row r="945">
      <c r="A945" s="79">
        <f>IF('Ordenes_Odoo'!A945="","",'Ordenes_Odoo'!A945)</f>
        <v/>
      </c>
      <c r="B945" s="80">
        <f>IF('Ordenes_Odoo'!B945="","",'Ordenes_Odoo'!B945)</f>
        <v/>
      </c>
      <c r="C945" s="79">
        <f>IF('Ordenes_Odoo'!C945="","",'Ordenes_Odoo'!C945)</f>
        <v/>
      </c>
      <c r="D945" s="79">
        <f>IF('Ordenes_Odoo'!D945="","",'Ordenes_Odoo'!D945)</f>
        <v/>
      </c>
      <c r="E945" s="79">
        <f>IF('Ordenes_Odoo'!E945="","",'Ordenes_Odoo'!E945)</f>
        <v/>
      </c>
      <c r="F945" s="79">
        <f>IF('Ordenes_Odoo'!F945="","",'Ordenes_Odoo'!F945)</f>
        <v/>
      </c>
      <c r="G945" s="79">
        <f>IF('Ordenes_Odoo'!G945="","",'Ordenes_Odoo'!G945)</f>
        <v/>
      </c>
      <c r="H945" s="79">
        <f>IF('Ordenes_Odoo'!H945="","",'Ordenes_Odoo'!H945)</f>
        <v/>
      </c>
      <c r="I945" s="79">
        <f>IF('Ordenes_Odoo'!I945="","",'Ordenes_Odoo'!I945)</f>
        <v/>
      </c>
      <c r="J945" s="79">
        <f>IF('Ordenes_Odoo'!J945="","",'Ordenes_Odoo'!J945)</f>
        <v/>
      </c>
      <c r="K945" s="81">
        <f>IF('Ordenes_Odoo'!K945="","",'Ordenes_Odoo'!K945)</f>
        <v/>
      </c>
      <c r="L945" s="81">
        <f>IF('Ordenes_Odoo'!L945="","",'Ordenes_Odoo'!L945)</f>
        <v/>
      </c>
      <c r="M945" s="79">
        <f>IF('Ordenes_Odoo'!M945="","",'Ordenes_Odoo'!M945)</f>
        <v/>
      </c>
      <c r="N945" s="79">
        <f>IF('Ordenes_Odoo'!N945="","",'Ordenes_Odoo'!N945)</f>
        <v/>
      </c>
      <c r="O945" s="81">
        <f>IF('Ordenes_Odoo'!O945="","",'Ordenes_Odoo'!O945)</f>
        <v/>
      </c>
      <c r="P945" s="81">
        <f>IF('Ordenes_Odoo'!P945="","",'Ordenes_Odoo'!P945)</f>
        <v/>
      </c>
      <c r="Q945" s="79">
        <f>IF(A945="","",IFERROR(INDEX(Facturas_Odoo!$B:$B, MATCH(A945, Facturas_Odoo!$D:$D, 0)), "Sin Factura"))</f>
        <v/>
      </c>
      <c r="R945" s="80">
        <f>IF(Q945="Sin Factura","",IFERROR(INDEX(Facturas_Odoo!$A:$A, MATCH(Q945, Facturas_Odoo!$B:$B, 0)), ""))</f>
        <v/>
      </c>
      <c r="S945" s="79">
        <f>IF(Q945="Sin Factura","",IFERROR(_xlfn.XLOOKUP(1, (Facturas_Odoo!$D:$D=A945) * (Facturas_Odoo!$K:$K=I945), Facturas_Odoo!$L:$L, ""), ""))</f>
        <v/>
      </c>
      <c r="T945" s="81">
        <f>IF(Q945="Sin Factura",0,IFERROR(_xlfn.XLOOKUP(1, (Facturas_Odoo!$D:$D=A945) * (Facturas_Odoo!$K:$K=I945), Facturas_Odoo!$M:$M, 0), 0))</f>
        <v/>
      </c>
      <c r="U945" s="79">
        <f>IF(Q945="Sin Factura",0,IFERROR(_xlfn.XLOOKUP(1, (Facturas_Odoo!$D:$D=A945) * (Facturas_Odoo!$K:$K=I945), Facturas_Odoo!$N:$N, 0), 0))</f>
        <v/>
      </c>
      <c r="V945" s="79">
        <f>IF(Q945="Sin Factura",0,IFERROR(_xlfn.XLOOKUP(1, (Facturas_Odoo!$D:$D=A945) * (Facturas_Odoo!$K:$K=I945), Facturas_Odoo!$O:$O, 0), 0))</f>
        <v/>
      </c>
      <c r="W945" s="81">
        <f>IF(Q945="Sin Factura",0,IFERROR(_xlfn.XLOOKUP(1, (Facturas_Odoo!$D:$D=A945) * (Facturas_Odoo!$K:$K=I945), Facturas_Odoo!$Q:$Q, 0), 0))</f>
        <v/>
      </c>
      <c r="X945" s="79">
        <f>IF(OR(Q945="Sin Factura",Q945=""),"",IFERROR(INDEX(Pagos_Odoo!$B:$B, MATCH(Q945, Pagos_Odoo!$I:$I, 0)), "Sin Pago"))</f>
        <v/>
      </c>
      <c r="Y945" s="79">
        <f>IF(X945="Sin Pago","",IFERROR(INDEX(Pagos_Odoo!$C:$C, MATCH(X945, Pagos_Odoo!$B:$B, 0)), ""))</f>
        <v/>
      </c>
      <c r="Z945" s="80">
        <f>IF(X945="Sin Pago","",IFERROR(INDEX(Pagos_Odoo!$A:$A, MATCH(X945, Pagos_Odoo!$B:$B, 0)), ""))</f>
        <v/>
      </c>
      <c r="AA945" s="79">
        <f>IF(X945="Sin Pago","",IFERROR(INDEX(Pagos_Odoo!$F:$F, MATCH(X945, Pagos_Odoo!$B:$B, 0)), ""))</f>
        <v/>
      </c>
      <c r="AB945" s="81">
        <f>IF(X945="Sin Pago",0,IFERROR(INDEX(Pagos_Odoo!$E:$E, MATCH(X945, Pagos_Odoo!$B:$B, 0)), 0))</f>
        <v/>
      </c>
      <c r="AC945" s="79">
        <f>IF(X945="Sin Pago","",IFERROR(INDEX(Pagos_Odoo!$G:$G, MATCH(X945, Pagos_Odoo!$B:$B, 0)), ""))</f>
        <v/>
      </c>
      <c r="AD945" s="82" t="n">
        <v>0</v>
      </c>
      <c r="AE945" s="82" t="n"/>
      <c r="AF945" s="82" t="n"/>
      <c r="AG945" s="82">
        <f>IF(AN945="","",AD945+AE945+AF945)</f>
        <v/>
      </c>
      <c r="AH945" s="81">
        <f>IF(AN945="","",P945*(1-AG945))</f>
        <v/>
      </c>
      <c r="AI945" s="81">
        <f>IF(AN945="","",IF(Q945="Sin Factura",0,IFERROR(INDEX(Facturas_Odoo!$H:$H, MATCH(Q945, Facturas_Odoo!$B:$B, 0)), 0)*(1-AG945)))</f>
        <v/>
      </c>
      <c r="AJ945" s="81">
        <f>IF(AN945="","",_xlfn.LET(idVenta, AN945&amp;"",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45" s="81">
        <f>IF(AN945="","",AH945-AJ945)</f>
        <v/>
      </c>
      <c r="AL945" s="81">
        <f>IF(AN945="","",IF(Q945="Sin Factura","",AI945-AJ945))</f>
        <v/>
      </c>
      <c r="AM945" s="81">
        <f>IF(AN945="","",IF(Q945="Sin Factura",0,P945-IFERROR(INDEX(Facturas_Odoo!$H:$H, MATCH(Q945, Facturas_Odoo!$B:$B, 0)), 0)))</f>
        <v/>
      </c>
      <c r="AN945" s="79">
        <f>IF(AND(A945="", J945=""), "", IF(A945&lt;&gt;"", VALUE(MID(A945,2,LEN(A945))), AN944))</f>
        <v/>
      </c>
      <c r="AO945" s="79">
        <f>IF(AN945="","",IF(AD945=0,"OK",_xlfn.LET(monedaPago, IF(AA945="","USD",AA945), limitePermitido, IFERROR(VLOOKUP(monedaPago, Configuración!$A$2:$B$3, 2, FALSE), 0.15), IF(AD945&gt;limitePermitido, "ALERTA: EXCESO (" &amp; TEXT(limitePermitido, "0%") &amp; " máx)", "OK"))))</f>
        <v/>
      </c>
      <c r="AP945" s="79">
        <f>IF(AN945="","",IF(AE945=0,"OK",_xlfn.LET(fechaPago, Z945, fechaFactura, R945, diasCredito, IF(E945="Pago inmediato", 0, IFERROR(VALUE(MID(E945, 1, SEARCH(" ", E945)-1)),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45" s="79">
        <f>IF(AN945="","",IF(AND(N945&gt;0, AG945&gt;0), IF(Configuración!$K$2="NO", "ALERTA: DESCUENTO DOBLE NO PERMITIDO", "OK"), "OK"))</f>
        <v/>
      </c>
      <c r="AR945" s="79">
        <f>IF(AN945="","",IF(OR(AO945&lt;&gt;"OK", AP945&lt;&gt;"OK", AQ945&lt;&gt;"OK"), "⚠️ REVISAR", "OK"))</f>
        <v/>
      </c>
    </row>
    <row r="946">
      <c r="A946" s="79">
        <f>IF('Ordenes_Odoo'!A946="","",'Ordenes_Odoo'!A946)</f>
        <v/>
      </c>
      <c r="B946" s="80">
        <f>IF('Ordenes_Odoo'!B946="","",'Ordenes_Odoo'!B946)</f>
        <v/>
      </c>
      <c r="C946" s="79">
        <f>IF('Ordenes_Odoo'!C946="","",'Ordenes_Odoo'!C946)</f>
        <v/>
      </c>
      <c r="D946" s="79">
        <f>IF('Ordenes_Odoo'!D946="","",'Ordenes_Odoo'!D946)</f>
        <v/>
      </c>
      <c r="E946" s="79">
        <f>IF('Ordenes_Odoo'!E946="","",'Ordenes_Odoo'!E946)</f>
        <v/>
      </c>
      <c r="F946" s="79">
        <f>IF('Ordenes_Odoo'!F946="","",'Ordenes_Odoo'!F946)</f>
        <v/>
      </c>
      <c r="G946" s="79">
        <f>IF('Ordenes_Odoo'!G946="","",'Ordenes_Odoo'!G946)</f>
        <v/>
      </c>
      <c r="H946" s="79">
        <f>IF('Ordenes_Odoo'!H946="","",'Ordenes_Odoo'!H946)</f>
        <v/>
      </c>
      <c r="I946" s="79">
        <f>IF('Ordenes_Odoo'!I946="","",'Ordenes_Odoo'!I946)</f>
        <v/>
      </c>
      <c r="J946" s="79">
        <f>IF('Ordenes_Odoo'!J946="","",'Ordenes_Odoo'!J946)</f>
        <v/>
      </c>
      <c r="K946" s="81">
        <f>IF('Ordenes_Odoo'!K946="","",'Ordenes_Odoo'!K946)</f>
        <v/>
      </c>
      <c r="L946" s="81">
        <f>IF('Ordenes_Odoo'!L946="","",'Ordenes_Odoo'!L946)</f>
        <v/>
      </c>
      <c r="M946" s="79">
        <f>IF('Ordenes_Odoo'!M946="","",'Ordenes_Odoo'!M946)</f>
        <v/>
      </c>
      <c r="N946" s="79">
        <f>IF('Ordenes_Odoo'!N946="","",'Ordenes_Odoo'!N946)</f>
        <v/>
      </c>
      <c r="O946" s="81">
        <f>IF('Ordenes_Odoo'!O946="","",'Ordenes_Odoo'!O946)</f>
        <v/>
      </c>
      <c r="P946" s="81">
        <f>IF('Ordenes_Odoo'!P946="","",'Ordenes_Odoo'!P946)</f>
        <v/>
      </c>
      <c r="Q946" s="79">
        <f>IF(A946="","",IFERROR(INDEX(Facturas_Odoo!$B:$B, MATCH(A946, Facturas_Odoo!$D:$D, 0)), "Sin Factura"))</f>
        <v/>
      </c>
      <c r="R946" s="80">
        <f>IF(Q946="Sin Factura","",IFERROR(INDEX(Facturas_Odoo!$A:$A, MATCH(Q946, Facturas_Odoo!$B:$B, 0)), ""))</f>
        <v/>
      </c>
      <c r="S946" s="79">
        <f>IF(Q946="Sin Factura","",IFERROR(_xlfn.XLOOKUP(1, (Facturas_Odoo!$D:$D=A946) * (Facturas_Odoo!$K:$K=I946), Facturas_Odoo!$L:$L, ""), ""))</f>
        <v/>
      </c>
      <c r="T946" s="81">
        <f>IF(Q946="Sin Factura",0,IFERROR(_xlfn.XLOOKUP(1, (Facturas_Odoo!$D:$D=A946) * (Facturas_Odoo!$K:$K=I946), Facturas_Odoo!$M:$M, 0), 0))</f>
        <v/>
      </c>
      <c r="U946" s="79">
        <f>IF(Q946="Sin Factura",0,IFERROR(_xlfn.XLOOKUP(1, (Facturas_Odoo!$D:$D=A946) * (Facturas_Odoo!$K:$K=I946), Facturas_Odoo!$N:$N, 0), 0))</f>
        <v/>
      </c>
      <c r="V946" s="79">
        <f>IF(Q946="Sin Factura",0,IFERROR(_xlfn.XLOOKUP(1, (Facturas_Odoo!$D:$D=A946) * (Facturas_Odoo!$K:$K=I946), Facturas_Odoo!$O:$O, 0), 0))</f>
        <v/>
      </c>
      <c r="W946" s="81">
        <f>IF(Q946="Sin Factura",0,IFERROR(_xlfn.XLOOKUP(1, (Facturas_Odoo!$D:$D=A946) * (Facturas_Odoo!$K:$K=I946), Facturas_Odoo!$Q:$Q, 0), 0))</f>
        <v/>
      </c>
      <c r="X946" s="79">
        <f>IF(OR(Q946="Sin Factura",Q946=""),"",IFERROR(INDEX(Pagos_Odoo!$B:$B, MATCH(Q946, Pagos_Odoo!$I:$I, 0)), "Sin Pago"))</f>
        <v/>
      </c>
      <c r="Y946" s="79">
        <f>IF(X946="Sin Pago","",IFERROR(INDEX(Pagos_Odoo!$C:$C, MATCH(X946, Pagos_Odoo!$B:$B, 0)), ""))</f>
        <v/>
      </c>
      <c r="Z946" s="80">
        <f>IF(X946="Sin Pago","",IFERROR(INDEX(Pagos_Odoo!$A:$A, MATCH(X946, Pagos_Odoo!$B:$B, 0)), ""))</f>
        <v/>
      </c>
      <c r="AA946" s="79">
        <f>IF(X946="Sin Pago","",IFERROR(INDEX(Pagos_Odoo!$F:$F, MATCH(X946, Pagos_Odoo!$B:$B, 0)), ""))</f>
        <v/>
      </c>
      <c r="AB946" s="81">
        <f>IF(X946="Sin Pago",0,IFERROR(INDEX(Pagos_Odoo!$E:$E, MATCH(X946, Pagos_Odoo!$B:$B, 0)), 0))</f>
        <v/>
      </c>
      <c r="AC946" s="79">
        <f>IF(X946="Sin Pago","",IFERROR(INDEX(Pagos_Odoo!$G:$G, MATCH(X946, Pagos_Odoo!$B:$B, 0)), ""))</f>
        <v/>
      </c>
      <c r="AD946" s="82" t="n">
        <v>0</v>
      </c>
      <c r="AE946" s="82" t="n"/>
      <c r="AF946" s="82" t="n"/>
      <c r="AG946" s="82">
        <f>IF(AN946="","",AD946+AE946+AF946)</f>
        <v/>
      </c>
      <c r="AH946" s="81">
        <f>IF(AN946="","",P946*(1-AG946))</f>
        <v/>
      </c>
      <c r="AI946" s="81">
        <f>IF(AN946="","",IF(Q946="Sin Factura",0,IFERROR(INDEX(Facturas_Odoo!$H:$H, MATCH(Q946, Facturas_Odoo!$B:$B, 0)), 0)*(1-AG946)))</f>
        <v/>
      </c>
      <c r="AJ946" s="81">
        <f>IF(AN946="","",_xlfn.LET(idVenta, AN946&amp;"",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46" s="81">
        <f>IF(AN946="","",AH946-AJ946)</f>
        <v/>
      </c>
      <c r="AL946" s="81">
        <f>IF(AN946="","",IF(Q946="Sin Factura","",AI946-AJ946))</f>
        <v/>
      </c>
      <c r="AM946" s="81">
        <f>IF(AN946="","",IF(Q946="Sin Factura",0,P946-IFERROR(INDEX(Facturas_Odoo!$H:$H, MATCH(Q946, Facturas_Odoo!$B:$B, 0)), 0)))</f>
        <v/>
      </c>
      <c r="AN946" s="79">
        <f>IF(AND(A946="", J946=""), "", IF(A946&lt;&gt;"", VALUE(MID(A946,2,LEN(A946))), AN945))</f>
        <v/>
      </c>
      <c r="AO946" s="79">
        <f>IF(AN946="","",IF(AD946=0,"OK",_xlfn.LET(monedaPago, IF(AA946="","USD",AA946), limitePermitido, IFERROR(VLOOKUP(monedaPago, Configuración!$A$2:$B$3, 2, FALSE), 0.15), IF(AD946&gt;limitePermitido, "ALERTA: EXCESO (" &amp; TEXT(limitePermitido, "0%") &amp; " máx)", "OK"))))</f>
        <v/>
      </c>
      <c r="AP946" s="79">
        <f>IF(AN946="","",IF(AE946=0,"OK",_xlfn.LET(fechaPago, Z946, fechaFactura, R946, diasCredito, IF(E946="Pago inmediato", 0, IFERROR(VALUE(MID(E946, 1, SEARCH(" ", E946)-1)),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46" s="79">
        <f>IF(AN946="","",IF(AND(N946&gt;0, AG946&gt;0), IF(Configuración!$K$2="NO", "ALERTA: DESCUENTO DOBLE NO PERMITIDO", "OK"), "OK"))</f>
        <v/>
      </c>
      <c r="AR946" s="79">
        <f>IF(AN946="","",IF(OR(AO946&lt;&gt;"OK", AP946&lt;&gt;"OK", AQ946&lt;&gt;"OK"), "⚠️ REVISAR", "OK"))</f>
        <v/>
      </c>
    </row>
    <row r="947">
      <c r="A947" s="79">
        <f>IF('Ordenes_Odoo'!A947="","",'Ordenes_Odoo'!A947)</f>
        <v/>
      </c>
      <c r="B947" s="80">
        <f>IF('Ordenes_Odoo'!B947="","",'Ordenes_Odoo'!B947)</f>
        <v/>
      </c>
      <c r="C947" s="79">
        <f>IF('Ordenes_Odoo'!C947="","",'Ordenes_Odoo'!C947)</f>
        <v/>
      </c>
      <c r="D947" s="79">
        <f>IF('Ordenes_Odoo'!D947="","",'Ordenes_Odoo'!D947)</f>
        <v/>
      </c>
      <c r="E947" s="79">
        <f>IF('Ordenes_Odoo'!E947="","",'Ordenes_Odoo'!E947)</f>
        <v/>
      </c>
      <c r="F947" s="79">
        <f>IF('Ordenes_Odoo'!F947="","",'Ordenes_Odoo'!F947)</f>
        <v/>
      </c>
      <c r="G947" s="79">
        <f>IF('Ordenes_Odoo'!G947="","",'Ordenes_Odoo'!G947)</f>
        <v/>
      </c>
      <c r="H947" s="79">
        <f>IF('Ordenes_Odoo'!H947="","",'Ordenes_Odoo'!H947)</f>
        <v/>
      </c>
      <c r="I947" s="79">
        <f>IF('Ordenes_Odoo'!I947="","",'Ordenes_Odoo'!I947)</f>
        <v/>
      </c>
      <c r="J947" s="79">
        <f>IF('Ordenes_Odoo'!J947="","",'Ordenes_Odoo'!J947)</f>
        <v/>
      </c>
      <c r="K947" s="81">
        <f>IF('Ordenes_Odoo'!K947="","",'Ordenes_Odoo'!K947)</f>
        <v/>
      </c>
      <c r="L947" s="81">
        <f>IF('Ordenes_Odoo'!L947="","",'Ordenes_Odoo'!L947)</f>
        <v/>
      </c>
      <c r="M947" s="79">
        <f>IF('Ordenes_Odoo'!M947="","",'Ordenes_Odoo'!M947)</f>
        <v/>
      </c>
      <c r="N947" s="79">
        <f>IF('Ordenes_Odoo'!N947="","",'Ordenes_Odoo'!N947)</f>
        <v/>
      </c>
      <c r="O947" s="81">
        <f>IF('Ordenes_Odoo'!O947="","",'Ordenes_Odoo'!O947)</f>
        <v/>
      </c>
      <c r="P947" s="81">
        <f>IF('Ordenes_Odoo'!P947="","",'Ordenes_Odoo'!P947)</f>
        <v/>
      </c>
      <c r="Q947" s="79">
        <f>IF(A947="","",IFERROR(INDEX(Facturas_Odoo!$B:$B, MATCH(A947, Facturas_Odoo!$D:$D, 0)), "Sin Factura"))</f>
        <v/>
      </c>
      <c r="R947" s="80">
        <f>IF(Q947="Sin Factura","",IFERROR(INDEX(Facturas_Odoo!$A:$A, MATCH(Q947, Facturas_Odoo!$B:$B, 0)), ""))</f>
        <v/>
      </c>
      <c r="S947" s="79">
        <f>IF(Q947="Sin Factura","",IFERROR(_xlfn.XLOOKUP(1, (Facturas_Odoo!$D:$D=A947) * (Facturas_Odoo!$K:$K=I947), Facturas_Odoo!$L:$L, ""), ""))</f>
        <v/>
      </c>
      <c r="T947" s="81">
        <f>IF(Q947="Sin Factura",0,IFERROR(_xlfn.XLOOKUP(1, (Facturas_Odoo!$D:$D=A947) * (Facturas_Odoo!$K:$K=I947), Facturas_Odoo!$M:$M, 0), 0))</f>
        <v/>
      </c>
      <c r="U947" s="79">
        <f>IF(Q947="Sin Factura",0,IFERROR(_xlfn.XLOOKUP(1, (Facturas_Odoo!$D:$D=A947) * (Facturas_Odoo!$K:$K=I947), Facturas_Odoo!$N:$N, 0), 0))</f>
        <v/>
      </c>
      <c r="V947" s="79">
        <f>IF(Q947="Sin Factura",0,IFERROR(_xlfn.XLOOKUP(1, (Facturas_Odoo!$D:$D=A947) * (Facturas_Odoo!$K:$K=I947), Facturas_Odoo!$O:$O, 0), 0))</f>
        <v/>
      </c>
      <c r="W947" s="81">
        <f>IF(Q947="Sin Factura",0,IFERROR(_xlfn.XLOOKUP(1, (Facturas_Odoo!$D:$D=A947) * (Facturas_Odoo!$K:$K=I947), Facturas_Odoo!$Q:$Q, 0), 0))</f>
        <v/>
      </c>
      <c r="X947" s="79">
        <f>IF(OR(Q947="Sin Factura",Q947=""),"",IFERROR(INDEX(Pagos_Odoo!$B:$B, MATCH(Q947, Pagos_Odoo!$I:$I, 0)), "Sin Pago"))</f>
        <v/>
      </c>
      <c r="Y947" s="79">
        <f>IF(X947="Sin Pago","",IFERROR(INDEX(Pagos_Odoo!$C:$C, MATCH(X947, Pagos_Odoo!$B:$B, 0)), ""))</f>
        <v/>
      </c>
      <c r="Z947" s="80">
        <f>IF(X947="Sin Pago","",IFERROR(INDEX(Pagos_Odoo!$A:$A, MATCH(X947, Pagos_Odoo!$B:$B, 0)), ""))</f>
        <v/>
      </c>
      <c r="AA947" s="79">
        <f>IF(X947="Sin Pago","",IFERROR(INDEX(Pagos_Odoo!$F:$F, MATCH(X947, Pagos_Odoo!$B:$B, 0)), ""))</f>
        <v/>
      </c>
      <c r="AB947" s="81">
        <f>IF(X947="Sin Pago",0,IFERROR(INDEX(Pagos_Odoo!$E:$E, MATCH(X947, Pagos_Odoo!$B:$B, 0)), 0))</f>
        <v/>
      </c>
      <c r="AC947" s="79">
        <f>IF(X947="Sin Pago","",IFERROR(INDEX(Pagos_Odoo!$G:$G, MATCH(X947, Pagos_Odoo!$B:$B, 0)), ""))</f>
        <v/>
      </c>
      <c r="AD947" s="82" t="n">
        <v>0</v>
      </c>
      <c r="AE947" s="82" t="n"/>
      <c r="AF947" s="82" t="n"/>
      <c r="AG947" s="82">
        <f>IF(AN947="","",AD947+AE947+AF947)</f>
        <v/>
      </c>
      <c r="AH947" s="81">
        <f>IF(AN947="","",P947*(1-AG947))</f>
        <v/>
      </c>
      <c r="AI947" s="81">
        <f>IF(AN947="","",IF(Q947="Sin Factura",0,IFERROR(INDEX(Facturas_Odoo!$H:$H, MATCH(Q947, Facturas_Odoo!$B:$B, 0)), 0)*(1-AG947)))</f>
        <v/>
      </c>
      <c r="AJ947" s="81">
        <f>IF(AN947="","",_xlfn.LET(idVenta, AN947&amp;"",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47" s="81">
        <f>IF(AN947="","",AH947-AJ947)</f>
        <v/>
      </c>
      <c r="AL947" s="81">
        <f>IF(AN947="","",IF(Q947="Sin Factura","",AI947-AJ947))</f>
        <v/>
      </c>
      <c r="AM947" s="81">
        <f>IF(AN947="","",IF(Q947="Sin Factura",0,P947-IFERROR(INDEX(Facturas_Odoo!$H:$H, MATCH(Q947, Facturas_Odoo!$B:$B, 0)), 0)))</f>
        <v/>
      </c>
      <c r="AN947" s="79">
        <f>IF(AND(A947="", J947=""), "", IF(A947&lt;&gt;"", VALUE(MID(A947,2,LEN(A947))), AN946))</f>
        <v/>
      </c>
      <c r="AO947" s="79">
        <f>IF(AN947="","",IF(AD947=0,"OK",_xlfn.LET(monedaPago, IF(AA947="","USD",AA947), limitePermitido, IFERROR(VLOOKUP(monedaPago, Configuración!$A$2:$B$3, 2, FALSE), 0.15), IF(AD947&gt;limitePermitido, "ALERTA: EXCESO (" &amp; TEXT(limitePermitido, "0%") &amp; " máx)", "OK"))))</f>
        <v/>
      </c>
      <c r="AP947" s="79">
        <f>IF(AN947="","",IF(AE947=0,"OK",_xlfn.LET(fechaPago, Z947, fechaFactura, R947, diasCredito, IF(E947="Pago inmediato", 0, IFERROR(VALUE(MID(E947, 1, SEARCH(" ", E947)-1)),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47" s="79">
        <f>IF(AN947="","",IF(AND(N947&gt;0, AG947&gt;0), IF(Configuración!$K$2="NO", "ALERTA: DESCUENTO DOBLE NO PERMITIDO", "OK"), "OK"))</f>
        <v/>
      </c>
      <c r="AR947" s="79">
        <f>IF(AN947="","",IF(OR(AO947&lt;&gt;"OK", AP947&lt;&gt;"OK", AQ947&lt;&gt;"OK"), "⚠️ REVISAR", "OK"))</f>
        <v/>
      </c>
    </row>
    <row r="948">
      <c r="A948" s="79">
        <f>IF('Ordenes_Odoo'!A948="","",'Ordenes_Odoo'!A948)</f>
        <v/>
      </c>
      <c r="B948" s="80">
        <f>IF('Ordenes_Odoo'!B948="","",'Ordenes_Odoo'!B948)</f>
        <v/>
      </c>
      <c r="C948" s="79">
        <f>IF('Ordenes_Odoo'!C948="","",'Ordenes_Odoo'!C948)</f>
        <v/>
      </c>
      <c r="D948" s="79">
        <f>IF('Ordenes_Odoo'!D948="","",'Ordenes_Odoo'!D948)</f>
        <v/>
      </c>
      <c r="E948" s="79">
        <f>IF('Ordenes_Odoo'!E948="","",'Ordenes_Odoo'!E948)</f>
        <v/>
      </c>
      <c r="F948" s="79">
        <f>IF('Ordenes_Odoo'!F948="","",'Ordenes_Odoo'!F948)</f>
        <v/>
      </c>
      <c r="G948" s="79">
        <f>IF('Ordenes_Odoo'!G948="","",'Ordenes_Odoo'!G948)</f>
        <v/>
      </c>
      <c r="H948" s="79">
        <f>IF('Ordenes_Odoo'!H948="","",'Ordenes_Odoo'!H948)</f>
        <v/>
      </c>
      <c r="I948" s="79">
        <f>IF('Ordenes_Odoo'!I948="","",'Ordenes_Odoo'!I948)</f>
        <v/>
      </c>
      <c r="J948" s="79">
        <f>IF('Ordenes_Odoo'!J948="","",'Ordenes_Odoo'!J948)</f>
        <v/>
      </c>
      <c r="K948" s="81">
        <f>IF('Ordenes_Odoo'!K948="","",'Ordenes_Odoo'!K948)</f>
        <v/>
      </c>
      <c r="L948" s="81">
        <f>IF('Ordenes_Odoo'!L948="","",'Ordenes_Odoo'!L948)</f>
        <v/>
      </c>
      <c r="M948" s="79">
        <f>IF('Ordenes_Odoo'!M948="","",'Ordenes_Odoo'!M948)</f>
        <v/>
      </c>
      <c r="N948" s="79">
        <f>IF('Ordenes_Odoo'!N948="","",'Ordenes_Odoo'!N948)</f>
        <v/>
      </c>
      <c r="O948" s="81">
        <f>IF('Ordenes_Odoo'!O948="","",'Ordenes_Odoo'!O948)</f>
        <v/>
      </c>
      <c r="P948" s="81">
        <f>IF('Ordenes_Odoo'!P948="","",'Ordenes_Odoo'!P948)</f>
        <v/>
      </c>
      <c r="Q948" s="79">
        <f>IF(A948="","",IFERROR(INDEX(Facturas_Odoo!$B:$B, MATCH(A948, Facturas_Odoo!$D:$D, 0)), "Sin Factura"))</f>
        <v/>
      </c>
      <c r="R948" s="80">
        <f>IF(Q948="Sin Factura","",IFERROR(INDEX(Facturas_Odoo!$A:$A, MATCH(Q948, Facturas_Odoo!$B:$B, 0)), ""))</f>
        <v/>
      </c>
      <c r="S948" s="79">
        <f>IF(Q948="Sin Factura","",IFERROR(_xlfn.XLOOKUP(1, (Facturas_Odoo!$D:$D=A948) * (Facturas_Odoo!$K:$K=I948), Facturas_Odoo!$L:$L, ""), ""))</f>
        <v/>
      </c>
      <c r="T948" s="81">
        <f>IF(Q948="Sin Factura",0,IFERROR(_xlfn.XLOOKUP(1, (Facturas_Odoo!$D:$D=A948) * (Facturas_Odoo!$K:$K=I948), Facturas_Odoo!$M:$M, 0), 0))</f>
        <v/>
      </c>
      <c r="U948" s="79">
        <f>IF(Q948="Sin Factura",0,IFERROR(_xlfn.XLOOKUP(1, (Facturas_Odoo!$D:$D=A948) * (Facturas_Odoo!$K:$K=I948), Facturas_Odoo!$N:$N, 0), 0))</f>
        <v/>
      </c>
      <c r="V948" s="79">
        <f>IF(Q948="Sin Factura",0,IFERROR(_xlfn.XLOOKUP(1, (Facturas_Odoo!$D:$D=A948) * (Facturas_Odoo!$K:$K=I948), Facturas_Odoo!$O:$O, 0), 0))</f>
        <v/>
      </c>
      <c r="W948" s="81">
        <f>IF(Q948="Sin Factura",0,IFERROR(_xlfn.XLOOKUP(1, (Facturas_Odoo!$D:$D=A948) * (Facturas_Odoo!$K:$K=I948), Facturas_Odoo!$Q:$Q, 0), 0))</f>
        <v/>
      </c>
      <c r="X948" s="79">
        <f>IF(OR(Q948="Sin Factura",Q948=""),"",IFERROR(INDEX(Pagos_Odoo!$B:$B, MATCH(Q948, Pagos_Odoo!$I:$I, 0)), "Sin Pago"))</f>
        <v/>
      </c>
      <c r="Y948" s="79">
        <f>IF(X948="Sin Pago","",IFERROR(INDEX(Pagos_Odoo!$C:$C, MATCH(X948, Pagos_Odoo!$B:$B, 0)), ""))</f>
        <v/>
      </c>
      <c r="Z948" s="80">
        <f>IF(X948="Sin Pago","",IFERROR(INDEX(Pagos_Odoo!$A:$A, MATCH(X948, Pagos_Odoo!$B:$B, 0)), ""))</f>
        <v/>
      </c>
      <c r="AA948" s="79">
        <f>IF(X948="Sin Pago","",IFERROR(INDEX(Pagos_Odoo!$F:$F, MATCH(X948, Pagos_Odoo!$B:$B, 0)), ""))</f>
        <v/>
      </c>
      <c r="AB948" s="81">
        <f>IF(X948="Sin Pago",0,IFERROR(INDEX(Pagos_Odoo!$E:$E, MATCH(X948, Pagos_Odoo!$B:$B, 0)), 0))</f>
        <v/>
      </c>
      <c r="AC948" s="79">
        <f>IF(X948="Sin Pago","",IFERROR(INDEX(Pagos_Odoo!$G:$G, MATCH(X948, Pagos_Odoo!$B:$B, 0)), ""))</f>
        <v/>
      </c>
      <c r="AD948" s="82" t="n">
        <v>0</v>
      </c>
      <c r="AE948" s="82" t="n"/>
      <c r="AF948" s="82" t="n"/>
      <c r="AG948" s="82">
        <f>IF(AN948="","",AD948+AE948+AF948)</f>
        <v/>
      </c>
      <c r="AH948" s="81">
        <f>IF(AN948="","",P948*(1-AG948))</f>
        <v/>
      </c>
      <c r="AI948" s="81">
        <f>IF(AN948="","",IF(Q948="Sin Factura",0,IFERROR(INDEX(Facturas_Odoo!$H:$H, MATCH(Q948, Facturas_Odoo!$B:$B, 0)), 0)*(1-AG948)))</f>
        <v/>
      </c>
      <c r="AJ948" s="81">
        <f>IF(AN948="","",_xlfn.LET(idVenta, AN948&amp;"",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48" s="81">
        <f>IF(AN948="","",AH948-AJ948)</f>
        <v/>
      </c>
      <c r="AL948" s="81">
        <f>IF(AN948="","",IF(Q948="Sin Factura","",AI948-AJ948))</f>
        <v/>
      </c>
      <c r="AM948" s="81">
        <f>IF(AN948="","",IF(Q948="Sin Factura",0,P948-IFERROR(INDEX(Facturas_Odoo!$H:$H, MATCH(Q948, Facturas_Odoo!$B:$B, 0)), 0)))</f>
        <v/>
      </c>
      <c r="AN948" s="79">
        <f>IF(AND(A948="", J948=""), "", IF(A948&lt;&gt;"", VALUE(MID(A948,2,LEN(A948))), AN947))</f>
        <v/>
      </c>
      <c r="AO948" s="79">
        <f>IF(AN948="","",IF(AD948=0,"OK",_xlfn.LET(monedaPago, IF(AA948="","USD",AA948), limitePermitido, IFERROR(VLOOKUP(monedaPago, Configuración!$A$2:$B$3, 2, FALSE), 0.15), IF(AD948&gt;limitePermitido, "ALERTA: EXCESO (" &amp; TEXT(limitePermitido, "0%") &amp; " máx)", "OK"))))</f>
        <v/>
      </c>
      <c r="AP948" s="79">
        <f>IF(AN948="","",IF(AE948=0,"OK",_xlfn.LET(fechaPago, Z948, fechaFactura, R948, diasCredito, IF(E948="Pago inmediato", 0, IFERROR(VALUE(MID(E948, 1, SEARCH(" ", E948)-1)),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48" s="79">
        <f>IF(AN948="","",IF(AND(N948&gt;0, AG948&gt;0), IF(Configuración!$K$2="NO", "ALERTA: DESCUENTO DOBLE NO PERMITIDO", "OK"), "OK"))</f>
        <v/>
      </c>
      <c r="AR948" s="79">
        <f>IF(AN948="","",IF(OR(AO948&lt;&gt;"OK", AP948&lt;&gt;"OK", AQ948&lt;&gt;"OK"), "⚠️ REVISAR", "OK"))</f>
        <v/>
      </c>
    </row>
    <row r="949">
      <c r="A949" s="79">
        <f>IF('Ordenes_Odoo'!A949="","",'Ordenes_Odoo'!A949)</f>
        <v/>
      </c>
      <c r="B949" s="80">
        <f>IF('Ordenes_Odoo'!B949="","",'Ordenes_Odoo'!B949)</f>
        <v/>
      </c>
      <c r="C949" s="79">
        <f>IF('Ordenes_Odoo'!C949="","",'Ordenes_Odoo'!C949)</f>
        <v/>
      </c>
      <c r="D949" s="79">
        <f>IF('Ordenes_Odoo'!D949="","",'Ordenes_Odoo'!D949)</f>
        <v/>
      </c>
      <c r="E949" s="79">
        <f>IF('Ordenes_Odoo'!E949="","",'Ordenes_Odoo'!E949)</f>
        <v/>
      </c>
      <c r="F949" s="79">
        <f>IF('Ordenes_Odoo'!F949="","",'Ordenes_Odoo'!F949)</f>
        <v/>
      </c>
      <c r="G949" s="79">
        <f>IF('Ordenes_Odoo'!G949="","",'Ordenes_Odoo'!G949)</f>
        <v/>
      </c>
      <c r="H949" s="79">
        <f>IF('Ordenes_Odoo'!H949="","",'Ordenes_Odoo'!H949)</f>
        <v/>
      </c>
      <c r="I949" s="79">
        <f>IF('Ordenes_Odoo'!I949="","",'Ordenes_Odoo'!I949)</f>
        <v/>
      </c>
      <c r="J949" s="79">
        <f>IF('Ordenes_Odoo'!J949="","",'Ordenes_Odoo'!J949)</f>
        <v/>
      </c>
      <c r="K949" s="81">
        <f>IF('Ordenes_Odoo'!K949="","",'Ordenes_Odoo'!K949)</f>
        <v/>
      </c>
      <c r="L949" s="81">
        <f>IF('Ordenes_Odoo'!L949="","",'Ordenes_Odoo'!L949)</f>
        <v/>
      </c>
      <c r="M949" s="79">
        <f>IF('Ordenes_Odoo'!M949="","",'Ordenes_Odoo'!M949)</f>
        <v/>
      </c>
      <c r="N949" s="79">
        <f>IF('Ordenes_Odoo'!N949="","",'Ordenes_Odoo'!N949)</f>
        <v/>
      </c>
      <c r="O949" s="81">
        <f>IF('Ordenes_Odoo'!O949="","",'Ordenes_Odoo'!O949)</f>
        <v/>
      </c>
      <c r="P949" s="81">
        <f>IF('Ordenes_Odoo'!P949="","",'Ordenes_Odoo'!P949)</f>
        <v/>
      </c>
      <c r="Q949" s="79">
        <f>IF(A949="","",IFERROR(INDEX(Facturas_Odoo!$B:$B, MATCH(A949, Facturas_Odoo!$D:$D, 0)), "Sin Factura"))</f>
        <v/>
      </c>
      <c r="R949" s="80">
        <f>IF(Q949="Sin Factura","",IFERROR(INDEX(Facturas_Odoo!$A:$A, MATCH(Q949, Facturas_Odoo!$B:$B, 0)), ""))</f>
        <v/>
      </c>
      <c r="S949" s="79">
        <f>IF(Q949="Sin Factura","",IFERROR(_xlfn.XLOOKUP(1, (Facturas_Odoo!$D:$D=A949) * (Facturas_Odoo!$K:$K=I949), Facturas_Odoo!$L:$L, ""), ""))</f>
        <v/>
      </c>
      <c r="T949" s="81">
        <f>IF(Q949="Sin Factura",0,IFERROR(_xlfn.XLOOKUP(1, (Facturas_Odoo!$D:$D=A949) * (Facturas_Odoo!$K:$K=I949), Facturas_Odoo!$M:$M, 0), 0))</f>
        <v/>
      </c>
      <c r="U949" s="79">
        <f>IF(Q949="Sin Factura",0,IFERROR(_xlfn.XLOOKUP(1, (Facturas_Odoo!$D:$D=A949) * (Facturas_Odoo!$K:$K=I949), Facturas_Odoo!$N:$N, 0), 0))</f>
        <v/>
      </c>
      <c r="V949" s="79">
        <f>IF(Q949="Sin Factura",0,IFERROR(_xlfn.XLOOKUP(1, (Facturas_Odoo!$D:$D=A949) * (Facturas_Odoo!$K:$K=I949), Facturas_Odoo!$O:$O, 0), 0))</f>
        <v/>
      </c>
      <c r="W949" s="81">
        <f>IF(Q949="Sin Factura",0,IFERROR(_xlfn.XLOOKUP(1, (Facturas_Odoo!$D:$D=A949) * (Facturas_Odoo!$K:$K=I949), Facturas_Odoo!$Q:$Q, 0), 0))</f>
        <v/>
      </c>
      <c r="X949" s="79">
        <f>IF(OR(Q949="Sin Factura",Q949=""),"",IFERROR(INDEX(Pagos_Odoo!$B:$B, MATCH(Q949, Pagos_Odoo!$I:$I, 0)), "Sin Pago"))</f>
        <v/>
      </c>
      <c r="Y949" s="79">
        <f>IF(X949="Sin Pago","",IFERROR(INDEX(Pagos_Odoo!$C:$C, MATCH(X949, Pagos_Odoo!$B:$B, 0)), ""))</f>
        <v/>
      </c>
      <c r="Z949" s="80">
        <f>IF(X949="Sin Pago","",IFERROR(INDEX(Pagos_Odoo!$A:$A, MATCH(X949, Pagos_Odoo!$B:$B, 0)), ""))</f>
        <v/>
      </c>
      <c r="AA949" s="79">
        <f>IF(X949="Sin Pago","",IFERROR(INDEX(Pagos_Odoo!$F:$F, MATCH(X949, Pagos_Odoo!$B:$B, 0)), ""))</f>
        <v/>
      </c>
      <c r="AB949" s="81">
        <f>IF(X949="Sin Pago",0,IFERROR(INDEX(Pagos_Odoo!$E:$E, MATCH(X949, Pagos_Odoo!$B:$B, 0)), 0))</f>
        <v/>
      </c>
      <c r="AC949" s="79">
        <f>IF(X949="Sin Pago","",IFERROR(INDEX(Pagos_Odoo!$G:$G, MATCH(X949, Pagos_Odoo!$B:$B, 0)), ""))</f>
        <v/>
      </c>
      <c r="AD949" s="82" t="n">
        <v>0</v>
      </c>
      <c r="AE949" s="82" t="n"/>
      <c r="AF949" s="82" t="n"/>
      <c r="AG949" s="82">
        <f>IF(AN949="","",AD949+AE949+AF949)</f>
        <v/>
      </c>
      <c r="AH949" s="81">
        <f>IF(AN949="","",P949*(1-AG949))</f>
        <v/>
      </c>
      <c r="AI949" s="81">
        <f>IF(AN949="","",IF(Q949="Sin Factura",0,IFERROR(INDEX(Facturas_Odoo!$H:$H, MATCH(Q949, Facturas_Odoo!$B:$B, 0)), 0)*(1-AG949)))</f>
        <v/>
      </c>
      <c r="AJ949" s="81">
        <f>IF(AN949="","",_xlfn.LET(idVenta, AN949&amp;"",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49" s="81">
        <f>IF(AN949="","",AH949-AJ949)</f>
        <v/>
      </c>
      <c r="AL949" s="81">
        <f>IF(AN949="","",IF(Q949="Sin Factura","",AI949-AJ949))</f>
        <v/>
      </c>
      <c r="AM949" s="81">
        <f>IF(AN949="","",IF(Q949="Sin Factura",0,P949-IFERROR(INDEX(Facturas_Odoo!$H:$H, MATCH(Q949, Facturas_Odoo!$B:$B, 0)), 0)))</f>
        <v/>
      </c>
      <c r="AN949" s="79">
        <f>IF(AND(A949="", J949=""), "", IF(A949&lt;&gt;"", VALUE(MID(A949,2,LEN(A949))), AN948))</f>
        <v/>
      </c>
      <c r="AO949" s="79">
        <f>IF(AN949="","",IF(AD949=0,"OK",_xlfn.LET(monedaPago, IF(AA949="","USD",AA949), limitePermitido, IFERROR(VLOOKUP(monedaPago, Configuración!$A$2:$B$3, 2, FALSE), 0.15), IF(AD949&gt;limitePermitido, "ALERTA: EXCESO (" &amp; TEXT(limitePermitido, "0%") &amp; " máx)", "OK"))))</f>
        <v/>
      </c>
      <c r="AP949" s="79">
        <f>IF(AN949="","",IF(AE949=0,"OK",_xlfn.LET(fechaPago, Z949, fechaFactura, R949, diasCredito, IF(E949="Pago inmediato", 0, IFERROR(VALUE(MID(E949, 1, SEARCH(" ", E949)-1)),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49" s="79">
        <f>IF(AN949="","",IF(AND(N949&gt;0, AG949&gt;0), IF(Configuración!$K$2="NO", "ALERTA: DESCUENTO DOBLE NO PERMITIDO", "OK"), "OK"))</f>
        <v/>
      </c>
      <c r="AR949" s="79">
        <f>IF(AN949="","",IF(OR(AO949&lt;&gt;"OK", AP949&lt;&gt;"OK", AQ949&lt;&gt;"OK"), "⚠️ REVISAR", "OK"))</f>
        <v/>
      </c>
    </row>
    <row r="950">
      <c r="A950" s="79">
        <f>IF('Ordenes_Odoo'!A950="","",'Ordenes_Odoo'!A950)</f>
        <v/>
      </c>
      <c r="B950" s="80">
        <f>IF('Ordenes_Odoo'!B950="","",'Ordenes_Odoo'!B950)</f>
        <v/>
      </c>
      <c r="C950" s="79">
        <f>IF('Ordenes_Odoo'!C950="","",'Ordenes_Odoo'!C950)</f>
        <v/>
      </c>
      <c r="D950" s="79">
        <f>IF('Ordenes_Odoo'!D950="","",'Ordenes_Odoo'!D950)</f>
        <v/>
      </c>
      <c r="E950" s="79">
        <f>IF('Ordenes_Odoo'!E950="","",'Ordenes_Odoo'!E950)</f>
        <v/>
      </c>
      <c r="F950" s="79">
        <f>IF('Ordenes_Odoo'!F950="","",'Ordenes_Odoo'!F950)</f>
        <v/>
      </c>
      <c r="G950" s="79">
        <f>IF('Ordenes_Odoo'!G950="","",'Ordenes_Odoo'!G950)</f>
        <v/>
      </c>
      <c r="H950" s="79">
        <f>IF('Ordenes_Odoo'!H950="","",'Ordenes_Odoo'!H950)</f>
        <v/>
      </c>
      <c r="I950" s="79">
        <f>IF('Ordenes_Odoo'!I950="","",'Ordenes_Odoo'!I950)</f>
        <v/>
      </c>
      <c r="J950" s="79">
        <f>IF('Ordenes_Odoo'!J950="","",'Ordenes_Odoo'!J950)</f>
        <v/>
      </c>
      <c r="K950" s="81">
        <f>IF('Ordenes_Odoo'!K950="","",'Ordenes_Odoo'!K950)</f>
        <v/>
      </c>
      <c r="L950" s="81">
        <f>IF('Ordenes_Odoo'!L950="","",'Ordenes_Odoo'!L950)</f>
        <v/>
      </c>
      <c r="M950" s="79">
        <f>IF('Ordenes_Odoo'!M950="","",'Ordenes_Odoo'!M950)</f>
        <v/>
      </c>
      <c r="N950" s="79">
        <f>IF('Ordenes_Odoo'!N950="","",'Ordenes_Odoo'!N950)</f>
        <v/>
      </c>
      <c r="O950" s="81">
        <f>IF('Ordenes_Odoo'!O950="","",'Ordenes_Odoo'!O950)</f>
        <v/>
      </c>
      <c r="P950" s="81">
        <f>IF('Ordenes_Odoo'!P950="","",'Ordenes_Odoo'!P950)</f>
        <v/>
      </c>
      <c r="Q950" s="79">
        <f>IF(A950="","",IFERROR(INDEX(Facturas_Odoo!$B:$B, MATCH(A950, Facturas_Odoo!$D:$D, 0)), "Sin Factura"))</f>
        <v/>
      </c>
      <c r="R950" s="80">
        <f>IF(Q950="Sin Factura","",IFERROR(INDEX(Facturas_Odoo!$A:$A, MATCH(Q950, Facturas_Odoo!$B:$B, 0)), ""))</f>
        <v/>
      </c>
      <c r="S950" s="79">
        <f>IF(Q950="Sin Factura","",IFERROR(_xlfn.XLOOKUP(1, (Facturas_Odoo!$D:$D=A950) * (Facturas_Odoo!$K:$K=I950), Facturas_Odoo!$L:$L, ""), ""))</f>
        <v/>
      </c>
      <c r="T950" s="81">
        <f>IF(Q950="Sin Factura",0,IFERROR(_xlfn.XLOOKUP(1, (Facturas_Odoo!$D:$D=A950) * (Facturas_Odoo!$K:$K=I950), Facturas_Odoo!$M:$M, 0), 0))</f>
        <v/>
      </c>
      <c r="U950" s="79">
        <f>IF(Q950="Sin Factura",0,IFERROR(_xlfn.XLOOKUP(1, (Facturas_Odoo!$D:$D=A950) * (Facturas_Odoo!$K:$K=I950), Facturas_Odoo!$N:$N, 0), 0))</f>
        <v/>
      </c>
      <c r="V950" s="79">
        <f>IF(Q950="Sin Factura",0,IFERROR(_xlfn.XLOOKUP(1, (Facturas_Odoo!$D:$D=A950) * (Facturas_Odoo!$K:$K=I950), Facturas_Odoo!$O:$O, 0), 0))</f>
        <v/>
      </c>
      <c r="W950" s="81">
        <f>IF(Q950="Sin Factura",0,IFERROR(_xlfn.XLOOKUP(1, (Facturas_Odoo!$D:$D=A950) * (Facturas_Odoo!$K:$K=I950), Facturas_Odoo!$Q:$Q, 0), 0))</f>
        <v/>
      </c>
      <c r="X950" s="79">
        <f>IF(OR(Q950="Sin Factura",Q950=""),"",IFERROR(INDEX(Pagos_Odoo!$B:$B, MATCH(Q950, Pagos_Odoo!$I:$I, 0)), "Sin Pago"))</f>
        <v/>
      </c>
      <c r="Y950" s="79">
        <f>IF(X950="Sin Pago","",IFERROR(INDEX(Pagos_Odoo!$C:$C, MATCH(X950, Pagos_Odoo!$B:$B, 0)), ""))</f>
        <v/>
      </c>
      <c r="Z950" s="80">
        <f>IF(X950="Sin Pago","",IFERROR(INDEX(Pagos_Odoo!$A:$A, MATCH(X950, Pagos_Odoo!$B:$B, 0)), ""))</f>
        <v/>
      </c>
      <c r="AA950" s="79">
        <f>IF(X950="Sin Pago","",IFERROR(INDEX(Pagos_Odoo!$F:$F, MATCH(X950, Pagos_Odoo!$B:$B, 0)), ""))</f>
        <v/>
      </c>
      <c r="AB950" s="81">
        <f>IF(X950="Sin Pago",0,IFERROR(INDEX(Pagos_Odoo!$E:$E, MATCH(X950, Pagos_Odoo!$B:$B, 0)), 0))</f>
        <v/>
      </c>
      <c r="AC950" s="79">
        <f>IF(X950="Sin Pago","",IFERROR(INDEX(Pagos_Odoo!$G:$G, MATCH(X950, Pagos_Odoo!$B:$B, 0)), ""))</f>
        <v/>
      </c>
      <c r="AD950" s="82" t="n">
        <v>0</v>
      </c>
      <c r="AE950" s="82" t="n"/>
      <c r="AF950" s="82" t="n"/>
      <c r="AG950" s="82">
        <f>IF(AN950="","",AD950+AE950+AF950)</f>
        <v/>
      </c>
      <c r="AH950" s="81">
        <f>IF(AN950="","",P950*(1-AG950))</f>
        <v/>
      </c>
      <c r="AI950" s="81">
        <f>IF(AN950="","",IF(Q950="Sin Factura",0,IFERROR(INDEX(Facturas_Odoo!$H:$H, MATCH(Q950, Facturas_Odoo!$B:$B, 0)), 0)*(1-AG950)))</f>
        <v/>
      </c>
      <c r="AJ950" s="81">
        <f>IF(AN950="","",_xlfn.LET(idVenta, AN950&amp;"",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50" s="81">
        <f>IF(AN950="","",AH950-AJ950)</f>
        <v/>
      </c>
      <c r="AL950" s="81">
        <f>IF(AN950="","",IF(Q950="Sin Factura","",AI950-AJ950))</f>
        <v/>
      </c>
      <c r="AM950" s="81">
        <f>IF(AN950="","",IF(Q950="Sin Factura",0,P950-IFERROR(INDEX(Facturas_Odoo!$H:$H, MATCH(Q950, Facturas_Odoo!$B:$B, 0)), 0)))</f>
        <v/>
      </c>
      <c r="AN950" s="79">
        <f>IF(AND(A950="", J950=""), "", IF(A950&lt;&gt;"", VALUE(MID(A950,2,LEN(A950))), AN949))</f>
        <v/>
      </c>
      <c r="AO950" s="79">
        <f>IF(AN950="","",IF(AD950=0,"OK",_xlfn.LET(monedaPago, IF(AA950="","USD",AA950), limitePermitido, IFERROR(VLOOKUP(monedaPago, Configuración!$A$2:$B$3, 2, FALSE), 0.15), IF(AD950&gt;limitePermitido, "ALERTA: EXCESO (" &amp; TEXT(limitePermitido, "0%") &amp; " máx)", "OK"))))</f>
        <v/>
      </c>
      <c r="AP950" s="79">
        <f>IF(AN950="","",IF(AE950=0,"OK",_xlfn.LET(fechaPago, Z950, fechaFactura, R950, diasCredito, IF(E950="Pago inmediato", 0, IFERROR(VALUE(MID(E950, 1, SEARCH(" ", E950)-1)),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50" s="79">
        <f>IF(AN950="","",IF(AND(N950&gt;0, AG950&gt;0), IF(Configuración!$K$2="NO", "ALERTA: DESCUENTO DOBLE NO PERMITIDO", "OK"), "OK"))</f>
        <v/>
      </c>
      <c r="AR950" s="79">
        <f>IF(AN950="","",IF(OR(AO950&lt;&gt;"OK", AP950&lt;&gt;"OK", AQ950&lt;&gt;"OK"), "⚠️ REVISAR", "OK"))</f>
        <v/>
      </c>
    </row>
    <row r="951">
      <c r="A951" s="79">
        <f>IF('Ordenes_Odoo'!A951="","",'Ordenes_Odoo'!A951)</f>
        <v/>
      </c>
      <c r="B951" s="80">
        <f>IF('Ordenes_Odoo'!B951="","",'Ordenes_Odoo'!B951)</f>
        <v/>
      </c>
      <c r="C951" s="79">
        <f>IF('Ordenes_Odoo'!C951="","",'Ordenes_Odoo'!C951)</f>
        <v/>
      </c>
      <c r="D951" s="79">
        <f>IF('Ordenes_Odoo'!D951="","",'Ordenes_Odoo'!D951)</f>
        <v/>
      </c>
      <c r="E951" s="79">
        <f>IF('Ordenes_Odoo'!E951="","",'Ordenes_Odoo'!E951)</f>
        <v/>
      </c>
      <c r="F951" s="79">
        <f>IF('Ordenes_Odoo'!F951="","",'Ordenes_Odoo'!F951)</f>
        <v/>
      </c>
      <c r="G951" s="79">
        <f>IF('Ordenes_Odoo'!G951="","",'Ordenes_Odoo'!G951)</f>
        <v/>
      </c>
      <c r="H951" s="79">
        <f>IF('Ordenes_Odoo'!H951="","",'Ordenes_Odoo'!H951)</f>
        <v/>
      </c>
      <c r="I951" s="79">
        <f>IF('Ordenes_Odoo'!I951="","",'Ordenes_Odoo'!I951)</f>
        <v/>
      </c>
      <c r="J951" s="79">
        <f>IF('Ordenes_Odoo'!J951="","",'Ordenes_Odoo'!J951)</f>
        <v/>
      </c>
      <c r="K951" s="81">
        <f>IF('Ordenes_Odoo'!K951="","",'Ordenes_Odoo'!K951)</f>
        <v/>
      </c>
      <c r="L951" s="81">
        <f>IF('Ordenes_Odoo'!L951="","",'Ordenes_Odoo'!L951)</f>
        <v/>
      </c>
      <c r="M951" s="79">
        <f>IF('Ordenes_Odoo'!M951="","",'Ordenes_Odoo'!M951)</f>
        <v/>
      </c>
      <c r="N951" s="79">
        <f>IF('Ordenes_Odoo'!N951="","",'Ordenes_Odoo'!N951)</f>
        <v/>
      </c>
      <c r="O951" s="81">
        <f>IF('Ordenes_Odoo'!O951="","",'Ordenes_Odoo'!O951)</f>
        <v/>
      </c>
      <c r="P951" s="81">
        <f>IF('Ordenes_Odoo'!P951="","",'Ordenes_Odoo'!P951)</f>
        <v/>
      </c>
      <c r="Q951" s="79">
        <f>IF(A951="","",IFERROR(INDEX(Facturas_Odoo!$B:$B, MATCH(A951, Facturas_Odoo!$D:$D, 0)), "Sin Factura"))</f>
        <v/>
      </c>
      <c r="R951" s="80">
        <f>IF(Q951="Sin Factura","",IFERROR(INDEX(Facturas_Odoo!$A:$A, MATCH(Q951, Facturas_Odoo!$B:$B, 0)), ""))</f>
        <v/>
      </c>
      <c r="S951" s="79">
        <f>IF(Q951="Sin Factura","",IFERROR(_xlfn.XLOOKUP(1, (Facturas_Odoo!$D:$D=A951) * (Facturas_Odoo!$K:$K=I951), Facturas_Odoo!$L:$L, ""), ""))</f>
        <v/>
      </c>
      <c r="T951" s="81">
        <f>IF(Q951="Sin Factura",0,IFERROR(_xlfn.XLOOKUP(1, (Facturas_Odoo!$D:$D=A951) * (Facturas_Odoo!$K:$K=I951), Facturas_Odoo!$M:$M, 0), 0))</f>
        <v/>
      </c>
      <c r="U951" s="79">
        <f>IF(Q951="Sin Factura",0,IFERROR(_xlfn.XLOOKUP(1, (Facturas_Odoo!$D:$D=A951) * (Facturas_Odoo!$K:$K=I951), Facturas_Odoo!$N:$N, 0), 0))</f>
        <v/>
      </c>
      <c r="V951" s="79">
        <f>IF(Q951="Sin Factura",0,IFERROR(_xlfn.XLOOKUP(1, (Facturas_Odoo!$D:$D=A951) * (Facturas_Odoo!$K:$K=I951), Facturas_Odoo!$O:$O, 0), 0))</f>
        <v/>
      </c>
      <c r="W951" s="81">
        <f>IF(Q951="Sin Factura",0,IFERROR(_xlfn.XLOOKUP(1, (Facturas_Odoo!$D:$D=A951) * (Facturas_Odoo!$K:$K=I951), Facturas_Odoo!$Q:$Q, 0), 0))</f>
        <v/>
      </c>
      <c r="X951" s="79">
        <f>IF(OR(Q951="Sin Factura",Q951=""),"",IFERROR(INDEX(Pagos_Odoo!$B:$B, MATCH(Q951, Pagos_Odoo!$I:$I, 0)), "Sin Pago"))</f>
        <v/>
      </c>
      <c r="Y951" s="79">
        <f>IF(X951="Sin Pago","",IFERROR(INDEX(Pagos_Odoo!$C:$C, MATCH(X951, Pagos_Odoo!$B:$B, 0)), ""))</f>
        <v/>
      </c>
      <c r="Z951" s="80">
        <f>IF(X951="Sin Pago","",IFERROR(INDEX(Pagos_Odoo!$A:$A, MATCH(X951, Pagos_Odoo!$B:$B, 0)), ""))</f>
        <v/>
      </c>
      <c r="AA951" s="79">
        <f>IF(X951="Sin Pago","",IFERROR(INDEX(Pagos_Odoo!$F:$F, MATCH(X951, Pagos_Odoo!$B:$B, 0)), ""))</f>
        <v/>
      </c>
      <c r="AB951" s="81">
        <f>IF(X951="Sin Pago",0,IFERROR(INDEX(Pagos_Odoo!$E:$E, MATCH(X951, Pagos_Odoo!$B:$B, 0)), 0))</f>
        <v/>
      </c>
      <c r="AC951" s="79">
        <f>IF(X951="Sin Pago","",IFERROR(INDEX(Pagos_Odoo!$G:$G, MATCH(X951, Pagos_Odoo!$B:$B, 0)), ""))</f>
        <v/>
      </c>
      <c r="AD951" s="82" t="n">
        <v>0</v>
      </c>
      <c r="AE951" s="82" t="n"/>
      <c r="AF951" s="82" t="n"/>
      <c r="AG951" s="82">
        <f>IF(AN951="","",AD951+AE951+AF951)</f>
        <v/>
      </c>
      <c r="AH951" s="81">
        <f>IF(AN951="","",P951*(1-AG951))</f>
        <v/>
      </c>
      <c r="AI951" s="81">
        <f>IF(AN951="","",IF(Q951="Sin Factura",0,IFERROR(INDEX(Facturas_Odoo!$H:$H, MATCH(Q951, Facturas_Odoo!$B:$B, 0)), 0)*(1-AG951)))</f>
        <v/>
      </c>
      <c r="AJ951" s="81">
        <f>IF(AN951="","",_xlfn.LET(idVenta, AN951&amp;"",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51" s="81">
        <f>IF(AN951="","",AH951-AJ951)</f>
        <v/>
      </c>
      <c r="AL951" s="81">
        <f>IF(AN951="","",IF(Q951="Sin Factura","",AI951-AJ951))</f>
        <v/>
      </c>
      <c r="AM951" s="81">
        <f>IF(AN951="","",IF(Q951="Sin Factura",0,P951-IFERROR(INDEX(Facturas_Odoo!$H:$H, MATCH(Q951, Facturas_Odoo!$B:$B, 0)), 0)))</f>
        <v/>
      </c>
      <c r="AN951" s="79">
        <f>IF(AND(A951="", J951=""), "", IF(A951&lt;&gt;"", VALUE(MID(A951,2,LEN(A951))), AN950))</f>
        <v/>
      </c>
      <c r="AO951" s="79">
        <f>IF(AN951="","",IF(AD951=0,"OK",_xlfn.LET(monedaPago, IF(AA951="","USD",AA951), limitePermitido, IFERROR(VLOOKUP(monedaPago, Configuración!$A$2:$B$3, 2, FALSE), 0.15), IF(AD951&gt;limitePermitido, "ALERTA: EXCESO (" &amp; TEXT(limitePermitido, "0%") &amp; " máx)", "OK"))))</f>
        <v/>
      </c>
      <c r="AP951" s="79">
        <f>IF(AN951="","",IF(AE951=0,"OK",_xlfn.LET(fechaPago, Z951, fechaFactura, R951, diasCredito, IF(E951="Pago inmediato", 0, IFERROR(VALUE(MID(E951, 1, SEARCH(" ", E951)-1)),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51" s="79">
        <f>IF(AN951="","",IF(AND(N951&gt;0, AG951&gt;0), IF(Configuración!$K$2="NO", "ALERTA: DESCUENTO DOBLE NO PERMITIDO", "OK"), "OK"))</f>
        <v/>
      </c>
      <c r="AR951" s="79">
        <f>IF(AN951="","",IF(OR(AO951&lt;&gt;"OK", AP951&lt;&gt;"OK", AQ951&lt;&gt;"OK"), "⚠️ REVISAR", "OK"))</f>
        <v/>
      </c>
    </row>
    <row r="952">
      <c r="A952" s="79">
        <f>IF('Ordenes_Odoo'!A952="","",'Ordenes_Odoo'!A952)</f>
        <v/>
      </c>
      <c r="B952" s="80">
        <f>IF('Ordenes_Odoo'!B952="","",'Ordenes_Odoo'!B952)</f>
        <v/>
      </c>
      <c r="C952" s="79">
        <f>IF('Ordenes_Odoo'!C952="","",'Ordenes_Odoo'!C952)</f>
        <v/>
      </c>
      <c r="D952" s="79">
        <f>IF('Ordenes_Odoo'!D952="","",'Ordenes_Odoo'!D952)</f>
        <v/>
      </c>
      <c r="E952" s="79">
        <f>IF('Ordenes_Odoo'!E952="","",'Ordenes_Odoo'!E952)</f>
        <v/>
      </c>
      <c r="F952" s="79">
        <f>IF('Ordenes_Odoo'!F952="","",'Ordenes_Odoo'!F952)</f>
        <v/>
      </c>
      <c r="G952" s="79">
        <f>IF('Ordenes_Odoo'!G952="","",'Ordenes_Odoo'!G952)</f>
        <v/>
      </c>
      <c r="H952" s="79">
        <f>IF('Ordenes_Odoo'!H952="","",'Ordenes_Odoo'!H952)</f>
        <v/>
      </c>
      <c r="I952" s="79">
        <f>IF('Ordenes_Odoo'!I952="","",'Ordenes_Odoo'!I952)</f>
        <v/>
      </c>
      <c r="J952" s="79">
        <f>IF('Ordenes_Odoo'!J952="","",'Ordenes_Odoo'!J952)</f>
        <v/>
      </c>
      <c r="K952" s="81">
        <f>IF('Ordenes_Odoo'!K952="","",'Ordenes_Odoo'!K952)</f>
        <v/>
      </c>
      <c r="L952" s="81">
        <f>IF('Ordenes_Odoo'!L952="","",'Ordenes_Odoo'!L952)</f>
        <v/>
      </c>
      <c r="M952" s="79">
        <f>IF('Ordenes_Odoo'!M952="","",'Ordenes_Odoo'!M952)</f>
        <v/>
      </c>
      <c r="N952" s="79">
        <f>IF('Ordenes_Odoo'!N952="","",'Ordenes_Odoo'!N952)</f>
        <v/>
      </c>
      <c r="O952" s="81">
        <f>IF('Ordenes_Odoo'!O952="","",'Ordenes_Odoo'!O952)</f>
        <v/>
      </c>
      <c r="P952" s="81">
        <f>IF('Ordenes_Odoo'!P952="","",'Ordenes_Odoo'!P952)</f>
        <v/>
      </c>
      <c r="Q952" s="79">
        <f>IF(A952="","",IFERROR(INDEX(Facturas_Odoo!$B:$B, MATCH(A952, Facturas_Odoo!$D:$D, 0)), "Sin Factura"))</f>
        <v/>
      </c>
      <c r="R952" s="80">
        <f>IF(Q952="Sin Factura","",IFERROR(INDEX(Facturas_Odoo!$A:$A, MATCH(Q952, Facturas_Odoo!$B:$B, 0)), ""))</f>
        <v/>
      </c>
      <c r="S952" s="79">
        <f>IF(Q952="Sin Factura","",IFERROR(_xlfn.XLOOKUP(1, (Facturas_Odoo!$D:$D=A952) * (Facturas_Odoo!$K:$K=I952), Facturas_Odoo!$L:$L, ""), ""))</f>
        <v/>
      </c>
      <c r="T952" s="81">
        <f>IF(Q952="Sin Factura",0,IFERROR(_xlfn.XLOOKUP(1, (Facturas_Odoo!$D:$D=A952) * (Facturas_Odoo!$K:$K=I952), Facturas_Odoo!$M:$M, 0), 0))</f>
        <v/>
      </c>
      <c r="U952" s="79">
        <f>IF(Q952="Sin Factura",0,IFERROR(_xlfn.XLOOKUP(1, (Facturas_Odoo!$D:$D=A952) * (Facturas_Odoo!$K:$K=I952), Facturas_Odoo!$N:$N, 0), 0))</f>
        <v/>
      </c>
      <c r="V952" s="79">
        <f>IF(Q952="Sin Factura",0,IFERROR(_xlfn.XLOOKUP(1, (Facturas_Odoo!$D:$D=A952) * (Facturas_Odoo!$K:$K=I952), Facturas_Odoo!$O:$O, 0), 0))</f>
        <v/>
      </c>
      <c r="W952" s="81">
        <f>IF(Q952="Sin Factura",0,IFERROR(_xlfn.XLOOKUP(1, (Facturas_Odoo!$D:$D=A952) * (Facturas_Odoo!$K:$K=I952), Facturas_Odoo!$Q:$Q, 0), 0))</f>
        <v/>
      </c>
      <c r="X952" s="79">
        <f>IF(OR(Q952="Sin Factura",Q952=""),"",IFERROR(INDEX(Pagos_Odoo!$B:$B, MATCH(Q952, Pagos_Odoo!$I:$I, 0)), "Sin Pago"))</f>
        <v/>
      </c>
      <c r="Y952" s="79">
        <f>IF(X952="Sin Pago","",IFERROR(INDEX(Pagos_Odoo!$C:$C, MATCH(X952, Pagos_Odoo!$B:$B, 0)), ""))</f>
        <v/>
      </c>
      <c r="Z952" s="80">
        <f>IF(X952="Sin Pago","",IFERROR(INDEX(Pagos_Odoo!$A:$A, MATCH(X952, Pagos_Odoo!$B:$B, 0)), ""))</f>
        <v/>
      </c>
      <c r="AA952" s="79">
        <f>IF(X952="Sin Pago","",IFERROR(INDEX(Pagos_Odoo!$F:$F, MATCH(X952, Pagos_Odoo!$B:$B, 0)), ""))</f>
        <v/>
      </c>
      <c r="AB952" s="81">
        <f>IF(X952="Sin Pago",0,IFERROR(INDEX(Pagos_Odoo!$E:$E, MATCH(X952, Pagos_Odoo!$B:$B, 0)), 0))</f>
        <v/>
      </c>
      <c r="AC952" s="79">
        <f>IF(X952="Sin Pago","",IFERROR(INDEX(Pagos_Odoo!$G:$G, MATCH(X952, Pagos_Odoo!$B:$B, 0)), ""))</f>
        <v/>
      </c>
      <c r="AD952" s="82" t="n">
        <v>0</v>
      </c>
      <c r="AE952" s="82" t="n"/>
      <c r="AF952" s="82" t="n"/>
      <c r="AG952" s="82">
        <f>IF(AN952="","",AD952+AE952+AF952)</f>
        <v/>
      </c>
      <c r="AH952" s="81">
        <f>IF(AN952="","",P952*(1-AG952))</f>
        <v/>
      </c>
      <c r="AI952" s="81">
        <f>IF(AN952="","",IF(Q952="Sin Factura",0,IFERROR(INDEX(Facturas_Odoo!$H:$H, MATCH(Q952, Facturas_Odoo!$B:$B, 0)), 0)*(1-AG952)))</f>
        <v/>
      </c>
      <c r="AJ952" s="81">
        <f>IF(AN952="","",_xlfn.LET(idVenta, AN952&amp;"",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52" s="81">
        <f>IF(AN952="","",AH952-AJ952)</f>
        <v/>
      </c>
      <c r="AL952" s="81">
        <f>IF(AN952="","",IF(Q952="Sin Factura","",AI952-AJ952))</f>
        <v/>
      </c>
      <c r="AM952" s="81">
        <f>IF(AN952="","",IF(Q952="Sin Factura",0,P952-IFERROR(INDEX(Facturas_Odoo!$H:$H, MATCH(Q952, Facturas_Odoo!$B:$B, 0)), 0)))</f>
        <v/>
      </c>
      <c r="AN952" s="79">
        <f>IF(AND(A952="", J952=""), "", IF(A952&lt;&gt;"", VALUE(MID(A952,2,LEN(A952))), AN951))</f>
        <v/>
      </c>
      <c r="AO952" s="79">
        <f>IF(AN952="","",IF(AD952=0,"OK",_xlfn.LET(monedaPago, IF(AA952="","USD",AA952), limitePermitido, IFERROR(VLOOKUP(monedaPago, Configuración!$A$2:$B$3, 2, FALSE), 0.15), IF(AD952&gt;limitePermitido, "ALERTA: EXCESO (" &amp; TEXT(limitePermitido, "0%") &amp; " máx)", "OK"))))</f>
        <v/>
      </c>
      <c r="AP952" s="79">
        <f>IF(AN952="","",IF(AE952=0,"OK",_xlfn.LET(fechaPago, Z952, fechaFactura, R952, diasCredito, IF(E952="Pago inmediato", 0, IFERROR(VALUE(MID(E952, 1, SEARCH(" ", E952)-1)),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52" s="79">
        <f>IF(AN952="","",IF(AND(N952&gt;0, AG952&gt;0), IF(Configuración!$K$2="NO", "ALERTA: DESCUENTO DOBLE NO PERMITIDO", "OK"), "OK"))</f>
        <v/>
      </c>
      <c r="AR952" s="79">
        <f>IF(AN952="","",IF(OR(AO952&lt;&gt;"OK", AP952&lt;&gt;"OK", AQ952&lt;&gt;"OK"), "⚠️ REVISAR", "OK"))</f>
        <v/>
      </c>
    </row>
    <row r="953">
      <c r="A953" s="79">
        <f>IF('Ordenes_Odoo'!A953="","",'Ordenes_Odoo'!A953)</f>
        <v/>
      </c>
      <c r="B953" s="80">
        <f>IF('Ordenes_Odoo'!B953="","",'Ordenes_Odoo'!B953)</f>
        <v/>
      </c>
      <c r="C953" s="79">
        <f>IF('Ordenes_Odoo'!C953="","",'Ordenes_Odoo'!C953)</f>
        <v/>
      </c>
      <c r="D953" s="79">
        <f>IF('Ordenes_Odoo'!D953="","",'Ordenes_Odoo'!D953)</f>
        <v/>
      </c>
      <c r="E953" s="79">
        <f>IF('Ordenes_Odoo'!E953="","",'Ordenes_Odoo'!E953)</f>
        <v/>
      </c>
      <c r="F953" s="79">
        <f>IF('Ordenes_Odoo'!F953="","",'Ordenes_Odoo'!F953)</f>
        <v/>
      </c>
      <c r="G953" s="79">
        <f>IF('Ordenes_Odoo'!G953="","",'Ordenes_Odoo'!G953)</f>
        <v/>
      </c>
      <c r="H953" s="79">
        <f>IF('Ordenes_Odoo'!H953="","",'Ordenes_Odoo'!H953)</f>
        <v/>
      </c>
      <c r="I953" s="79">
        <f>IF('Ordenes_Odoo'!I953="","",'Ordenes_Odoo'!I953)</f>
        <v/>
      </c>
      <c r="J953" s="79">
        <f>IF('Ordenes_Odoo'!J953="","",'Ordenes_Odoo'!J953)</f>
        <v/>
      </c>
      <c r="K953" s="81">
        <f>IF('Ordenes_Odoo'!K953="","",'Ordenes_Odoo'!K953)</f>
        <v/>
      </c>
      <c r="L953" s="81">
        <f>IF('Ordenes_Odoo'!L953="","",'Ordenes_Odoo'!L953)</f>
        <v/>
      </c>
      <c r="M953" s="79">
        <f>IF('Ordenes_Odoo'!M953="","",'Ordenes_Odoo'!M953)</f>
        <v/>
      </c>
      <c r="N953" s="79">
        <f>IF('Ordenes_Odoo'!N953="","",'Ordenes_Odoo'!N953)</f>
        <v/>
      </c>
      <c r="O953" s="81">
        <f>IF('Ordenes_Odoo'!O953="","",'Ordenes_Odoo'!O953)</f>
        <v/>
      </c>
      <c r="P953" s="81">
        <f>IF('Ordenes_Odoo'!P953="","",'Ordenes_Odoo'!P953)</f>
        <v/>
      </c>
      <c r="Q953" s="79">
        <f>IF(A953="","",IFERROR(INDEX(Facturas_Odoo!$B:$B, MATCH(A953, Facturas_Odoo!$D:$D, 0)), "Sin Factura"))</f>
        <v/>
      </c>
      <c r="R953" s="80">
        <f>IF(Q953="Sin Factura","",IFERROR(INDEX(Facturas_Odoo!$A:$A, MATCH(Q953, Facturas_Odoo!$B:$B, 0)), ""))</f>
        <v/>
      </c>
      <c r="S953" s="79">
        <f>IF(Q953="Sin Factura","",IFERROR(_xlfn.XLOOKUP(1, (Facturas_Odoo!$D:$D=A953) * (Facturas_Odoo!$K:$K=I953), Facturas_Odoo!$L:$L, ""), ""))</f>
        <v/>
      </c>
      <c r="T953" s="81">
        <f>IF(Q953="Sin Factura",0,IFERROR(_xlfn.XLOOKUP(1, (Facturas_Odoo!$D:$D=A953) * (Facturas_Odoo!$K:$K=I953), Facturas_Odoo!$M:$M, 0), 0))</f>
        <v/>
      </c>
      <c r="U953" s="79">
        <f>IF(Q953="Sin Factura",0,IFERROR(_xlfn.XLOOKUP(1, (Facturas_Odoo!$D:$D=A953) * (Facturas_Odoo!$K:$K=I953), Facturas_Odoo!$N:$N, 0), 0))</f>
        <v/>
      </c>
      <c r="V953" s="79">
        <f>IF(Q953="Sin Factura",0,IFERROR(_xlfn.XLOOKUP(1, (Facturas_Odoo!$D:$D=A953) * (Facturas_Odoo!$K:$K=I953), Facturas_Odoo!$O:$O, 0), 0))</f>
        <v/>
      </c>
      <c r="W953" s="81">
        <f>IF(Q953="Sin Factura",0,IFERROR(_xlfn.XLOOKUP(1, (Facturas_Odoo!$D:$D=A953) * (Facturas_Odoo!$K:$K=I953), Facturas_Odoo!$Q:$Q, 0), 0))</f>
        <v/>
      </c>
      <c r="X953" s="79">
        <f>IF(OR(Q953="Sin Factura",Q953=""),"",IFERROR(INDEX(Pagos_Odoo!$B:$B, MATCH(Q953, Pagos_Odoo!$I:$I, 0)), "Sin Pago"))</f>
        <v/>
      </c>
      <c r="Y953" s="79">
        <f>IF(X953="Sin Pago","",IFERROR(INDEX(Pagos_Odoo!$C:$C, MATCH(X953, Pagos_Odoo!$B:$B, 0)), ""))</f>
        <v/>
      </c>
      <c r="Z953" s="80">
        <f>IF(X953="Sin Pago","",IFERROR(INDEX(Pagos_Odoo!$A:$A, MATCH(X953, Pagos_Odoo!$B:$B, 0)), ""))</f>
        <v/>
      </c>
      <c r="AA953" s="79">
        <f>IF(X953="Sin Pago","",IFERROR(INDEX(Pagos_Odoo!$F:$F, MATCH(X953, Pagos_Odoo!$B:$B, 0)), ""))</f>
        <v/>
      </c>
      <c r="AB953" s="81">
        <f>IF(X953="Sin Pago",0,IFERROR(INDEX(Pagos_Odoo!$E:$E, MATCH(X953, Pagos_Odoo!$B:$B, 0)), 0))</f>
        <v/>
      </c>
      <c r="AC953" s="79">
        <f>IF(X953="Sin Pago","",IFERROR(INDEX(Pagos_Odoo!$G:$G, MATCH(X953, Pagos_Odoo!$B:$B, 0)), ""))</f>
        <v/>
      </c>
      <c r="AD953" s="82" t="n">
        <v>0</v>
      </c>
      <c r="AE953" s="82" t="n"/>
      <c r="AF953" s="82" t="n"/>
      <c r="AG953" s="82">
        <f>IF(AN953="","",AD953+AE953+AF953)</f>
        <v/>
      </c>
      <c r="AH953" s="81">
        <f>IF(AN953="","",P953*(1-AG953))</f>
        <v/>
      </c>
      <c r="AI953" s="81">
        <f>IF(AN953="","",IF(Q953="Sin Factura",0,IFERROR(INDEX(Facturas_Odoo!$H:$H, MATCH(Q953, Facturas_Odoo!$B:$B, 0)), 0)*(1-AG953)))</f>
        <v/>
      </c>
      <c r="AJ953" s="81">
        <f>IF(AN953="","",_xlfn.LET(idVenta, AN953&amp;"",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53" s="81">
        <f>IF(AN953="","",AH953-AJ953)</f>
        <v/>
      </c>
      <c r="AL953" s="81">
        <f>IF(AN953="","",IF(Q953="Sin Factura","",AI953-AJ953))</f>
        <v/>
      </c>
      <c r="AM953" s="81">
        <f>IF(AN953="","",IF(Q953="Sin Factura",0,P953-IFERROR(INDEX(Facturas_Odoo!$H:$H, MATCH(Q953, Facturas_Odoo!$B:$B, 0)), 0)))</f>
        <v/>
      </c>
      <c r="AN953" s="79">
        <f>IF(AND(A953="", J953=""), "", IF(A953&lt;&gt;"", VALUE(MID(A953,2,LEN(A953))), AN952))</f>
        <v/>
      </c>
      <c r="AO953" s="79">
        <f>IF(AN953="","",IF(AD953=0,"OK",_xlfn.LET(monedaPago, IF(AA953="","USD",AA953), limitePermitido, IFERROR(VLOOKUP(monedaPago, Configuración!$A$2:$B$3, 2, FALSE), 0.15), IF(AD953&gt;limitePermitido, "ALERTA: EXCESO (" &amp; TEXT(limitePermitido, "0%") &amp; " máx)", "OK"))))</f>
        <v/>
      </c>
      <c r="AP953" s="79">
        <f>IF(AN953="","",IF(AE953=0,"OK",_xlfn.LET(fechaPago, Z953, fechaFactura, R953, diasCredito, IF(E953="Pago inmediato", 0, IFERROR(VALUE(MID(E953, 1, SEARCH(" ", E953)-1)),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53" s="79">
        <f>IF(AN953="","",IF(AND(N953&gt;0, AG953&gt;0), IF(Configuración!$K$2="NO", "ALERTA: DESCUENTO DOBLE NO PERMITIDO", "OK"), "OK"))</f>
        <v/>
      </c>
      <c r="AR953" s="79">
        <f>IF(AN953="","",IF(OR(AO953&lt;&gt;"OK", AP953&lt;&gt;"OK", AQ953&lt;&gt;"OK"), "⚠️ REVISAR", "OK"))</f>
        <v/>
      </c>
    </row>
    <row r="954">
      <c r="A954" s="79">
        <f>IF('Ordenes_Odoo'!A954="","",'Ordenes_Odoo'!A954)</f>
        <v/>
      </c>
      <c r="B954" s="80">
        <f>IF('Ordenes_Odoo'!B954="","",'Ordenes_Odoo'!B954)</f>
        <v/>
      </c>
      <c r="C954" s="79">
        <f>IF('Ordenes_Odoo'!C954="","",'Ordenes_Odoo'!C954)</f>
        <v/>
      </c>
      <c r="D954" s="79">
        <f>IF('Ordenes_Odoo'!D954="","",'Ordenes_Odoo'!D954)</f>
        <v/>
      </c>
      <c r="E954" s="79">
        <f>IF('Ordenes_Odoo'!E954="","",'Ordenes_Odoo'!E954)</f>
        <v/>
      </c>
      <c r="F954" s="79">
        <f>IF('Ordenes_Odoo'!F954="","",'Ordenes_Odoo'!F954)</f>
        <v/>
      </c>
      <c r="G954" s="79">
        <f>IF('Ordenes_Odoo'!G954="","",'Ordenes_Odoo'!G954)</f>
        <v/>
      </c>
      <c r="H954" s="79">
        <f>IF('Ordenes_Odoo'!H954="","",'Ordenes_Odoo'!H954)</f>
        <v/>
      </c>
      <c r="I954" s="79">
        <f>IF('Ordenes_Odoo'!I954="","",'Ordenes_Odoo'!I954)</f>
        <v/>
      </c>
      <c r="J954" s="79">
        <f>IF('Ordenes_Odoo'!J954="","",'Ordenes_Odoo'!J954)</f>
        <v/>
      </c>
      <c r="K954" s="81">
        <f>IF('Ordenes_Odoo'!K954="","",'Ordenes_Odoo'!K954)</f>
        <v/>
      </c>
      <c r="L954" s="81">
        <f>IF('Ordenes_Odoo'!L954="","",'Ordenes_Odoo'!L954)</f>
        <v/>
      </c>
      <c r="M954" s="79">
        <f>IF('Ordenes_Odoo'!M954="","",'Ordenes_Odoo'!M954)</f>
        <v/>
      </c>
      <c r="N954" s="79">
        <f>IF('Ordenes_Odoo'!N954="","",'Ordenes_Odoo'!N954)</f>
        <v/>
      </c>
      <c r="O954" s="81">
        <f>IF('Ordenes_Odoo'!O954="","",'Ordenes_Odoo'!O954)</f>
        <v/>
      </c>
      <c r="P954" s="81">
        <f>IF('Ordenes_Odoo'!P954="","",'Ordenes_Odoo'!P954)</f>
        <v/>
      </c>
      <c r="Q954" s="79">
        <f>IF(A954="","",IFERROR(INDEX(Facturas_Odoo!$B:$B, MATCH(A954, Facturas_Odoo!$D:$D, 0)), "Sin Factura"))</f>
        <v/>
      </c>
      <c r="R954" s="80">
        <f>IF(Q954="Sin Factura","",IFERROR(INDEX(Facturas_Odoo!$A:$A, MATCH(Q954, Facturas_Odoo!$B:$B, 0)), ""))</f>
        <v/>
      </c>
      <c r="S954" s="79">
        <f>IF(Q954="Sin Factura","",IFERROR(_xlfn.XLOOKUP(1, (Facturas_Odoo!$D:$D=A954) * (Facturas_Odoo!$K:$K=I954), Facturas_Odoo!$L:$L, ""), ""))</f>
        <v/>
      </c>
      <c r="T954" s="81">
        <f>IF(Q954="Sin Factura",0,IFERROR(_xlfn.XLOOKUP(1, (Facturas_Odoo!$D:$D=A954) * (Facturas_Odoo!$K:$K=I954), Facturas_Odoo!$M:$M, 0), 0))</f>
        <v/>
      </c>
      <c r="U954" s="79">
        <f>IF(Q954="Sin Factura",0,IFERROR(_xlfn.XLOOKUP(1, (Facturas_Odoo!$D:$D=A954) * (Facturas_Odoo!$K:$K=I954), Facturas_Odoo!$N:$N, 0), 0))</f>
        <v/>
      </c>
      <c r="V954" s="79">
        <f>IF(Q954="Sin Factura",0,IFERROR(_xlfn.XLOOKUP(1, (Facturas_Odoo!$D:$D=A954) * (Facturas_Odoo!$K:$K=I954), Facturas_Odoo!$O:$O, 0), 0))</f>
        <v/>
      </c>
      <c r="W954" s="81">
        <f>IF(Q954="Sin Factura",0,IFERROR(_xlfn.XLOOKUP(1, (Facturas_Odoo!$D:$D=A954) * (Facturas_Odoo!$K:$K=I954), Facturas_Odoo!$Q:$Q, 0), 0))</f>
        <v/>
      </c>
      <c r="X954" s="79">
        <f>IF(OR(Q954="Sin Factura",Q954=""),"",IFERROR(INDEX(Pagos_Odoo!$B:$B, MATCH(Q954, Pagos_Odoo!$I:$I, 0)), "Sin Pago"))</f>
        <v/>
      </c>
      <c r="Y954" s="79">
        <f>IF(X954="Sin Pago","",IFERROR(INDEX(Pagos_Odoo!$C:$C, MATCH(X954, Pagos_Odoo!$B:$B, 0)), ""))</f>
        <v/>
      </c>
      <c r="Z954" s="80">
        <f>IF(X954="Sin Pago","",IFERROR(INDEX(Pagos_Odoo!$A:$A, MATCH(X954, Pagos_Odoo!$B:$B, 0)), ""))</f>
        <v/>
      </c>
      <c r="AA954" s="79">
        <f>IF(X954="Sin Pago","",IFERROR(INDEX(Pagos_Odoo!$F:$F, MATCH(X954, Pagos_Odoo!$B:$B, 0)), ""))</f>
        <v/>
      </c>
      <c r="AB954" s="81">
        <f>IF(X954="Sin Pago",0,IFERROR(INDEX(Pagos_Odoo!$E:$E, MATCH(X954, Pagos_Odoo!$B:$B, 0)), 0))</f>
        <v/>
      </c>
      <c r="AC954" s="79">
        <f>IF(X954="Sin Pago","",IFERROR(INDEX(Pagos_Odoo!$G:$G, MATCH(X954, Pagos_Odoo!$B:$B, 0)), ""))</f>
        <v/>
      </c>
      <c r="AD954" s="82" t="n">
        <v>0</v>
      </c>
      <c r="AE954" s="82" t="n"/>
      <c r="AF954" s="82" t="n"/>
      <c r="AG954" s="82">
        <f>IF(AN954="","",AD954+AE954+AF954)</f>
        <v/>
      </c>
      <c r="AH954" s="81">
        <f>IF(AN954="","",P954*(1-AG954))</f>
        <v/>
      </c>
      <c r="AI954" s="81">
        <f>IF(AN954="","",IF(Q954="Sin Factura",0,IFERROR(INDEX(Facturas_Odoo!$H:$H, MATCH(Q954, Facturas_Odoo!$B:$B, 0)), 0)*(1-AG954)))</f>
        <v/>
      </c>
      <c r="AJ954" s="81">
        <f>IF(AN954="","",_xlfn.LET(idVenta, AN954&amp;"",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54" s="81">
        <f>IF(AN954="","",AH954-AJ954)</f>
        <v/>
      </c>
      <c r="AL954" s="81">
        <f>IF(AN954="","",IF(Q954="Sin Factura","",AI954-AJ954))</f>
        <v/>
      </c>
      <c r="AM954" s="81">
        <f>IF(AN954="","",IF(Q954="Sin Factura",0,P954-IFERROR(INDEX(Facturas_Odoo!$H:$H, MATCH(Q954, Facturas_Odoo!$B:$B, 0)), 0)))</f>
        <v/>
      </c>
      <c r="AN954" s="79">
        <f>IF(AND(A954="", J954=""), "", IF(A954&lt;&gt;"", VALUE(MID(A954,2,LEN(A954))), AN953))</f>
        <v/>
      </c>
      <c r="AO954" s="79">
        <f>IF(AN954="","",IF(AD954=0,"OK",_xlfn.LET(monedaPago, IF(AA954="","USD",AA954), limitePermitido, IFERROR(VLOOKUP(monedaPago, Configuración!$A$2:$B$3, 2, FALSE), 0.15), IF(AD954&gt;limitePermitido, "ALERTA: EXCESO (" &amp; TEXT(limitePermitido, "0%") &amp; " máx)", "OK"))))</f>
        <v/>
      </c>
      <c r="AP954" s="79">
        <f>IF(AN954="","",IF(AE954=0,"OK",_xlfn.LET(fechaPago, Z954, fechaFactura, R954, diasCredito, IF(E954="Pago inmediato", 0, IFERROR(VALUE(MID(E954, 1, SEARCH(" ", E954)-1)),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54" s="79">
        <f>IF(AN954="","",IF(AND(N954&gt;0, AG954&gt;0), IF(Configuración!$K$2="NO", "ALERTA: DESCUENTO DOBLE NO PERMITIDO", "OK"), "OK"))</f>
        <v/>
      </c>
      <c r="AR954" s="79">
        <f>IF(AN954="","",IF(OR(AO954&lt;&gt;"OK", AP954&lt;&gt;"OK", AQ954&lt;&gt;"OK"), "⚠️ REVISAR", "OK"))</f>
        <v/>
      </c>
    </row>
    <row r="955">
      <c r="A955" s="79">
        <f>IF('Ordenes_Odoo'!A955="","",'Ordenes_Odoo'!A955)</f>
        <v/>
      </c>
      <c r="B955" s="80">
        <f>IF('Ordenes_Odoo'!B955="","",'Ordenes_Odoo'!B955)</f>
        <v/>
      </c>
      <c r="C955" s="79">
        <f>IF('Ordenes_Odoo'!C955="","",'Ordenes_Odoo'!C955)</f>
        <v/>
      </c>
      <c r="D955" s="79">
        <f>IF('Ordenes_Odoo'!D955="","",'Ordenes_Odoo'!D955)</f>
        <v/>
      </c>
      <c r="E955" s="79">
        <f>IF('Ordenes_Odoo'!E955="","",'Ordenes_Odoo'!E955)</f>
        <v/>
      </c>
      <c r="F955" s="79">
        <f>IF('Ordenes_Odoo'!F955="","",'Ordenes_Odoo'!F955)</f>
        <v/>
      </c>
      <c r="G955" s="79">
        <f>IF('Ordenes_Odoo'!G955="","",'Ordenes_Odoo'!G955)</f>
        <v/>
      </c>
      <c r="H955" s="79">
        <f>IF('Ordenes_Odoo'!H955="","",'Ordenes_Odoo'!H955)</f>
        <v/>
      </c>
      <c r="I955" s="79">
        <f>IF('Ordenes_Odoo'!I955="","",'Ordenes_Odoo'!I955)</f>
        <v/>
      </c>
      <c r="J955" s="79">
        <f>IF('Ordenes_Odoo'!J955="","",'Ordenes_Odoo'!J955)</f>
        <v/>
      </c>
      <c r="K955" s="81">
        <f>IF('Ordenes_Odoo'!K955="","",'Ordenes_Odoo'!K955)</f>
        <v/>
      </c>
      <c r="L955" s="81">
        <f>IF('Ordenes_Odoo'!L955="","",'Ordenes_Odoo'!L955)</f>
        <v/>
      </c>
      <c r="M955" s="79">
        <f>IF('Ordenes_Odoo'!M955="","",'Ordenes_Odoo'!M955)</f>
        <v/>
      </c>
      <c r="N955" s="79">
        <f>IF('Ordenes_Odoo'!N955="","",'Ordenes_Odoo'!N955)</f>
        <v/>
      </c>
      <c r="O955" s="81">
        <f>IF('Ordenes_Odoo'!O955="","",'Ordenes_Odoo'!O955)</f>
        <v/>
      </c>
      <c r="P955" s="81">
        <f>IF('Ordenes_Odoo'!P955="","",'Ordenes_Odoo'!P955)</f>
        <v/>
      </c>
      <c r="Q955" s="79">
        <f>IF(A955="","",IFERROR(INDEX(Facturas_Odoo!$B:$B, MATCH(A955, Facturas_Odoo!$D:$D, 0)), "Sin Factura"))</f>
        <v/>
      </c>
      <c r="R955" s="80">
        <f>IF(Q955="Sin Factura","",IFERROR(INDEX(Facturas_Odoo!$A:$A, MATCH(Q955, Facturas_Odoo!$B:$B, 0)), ""))</f>
        <v/>
      </c>
      <c r="S955" s="79">
        <f>IF(Q955="Sin Factura","",IFERROR(_xlfn.XLOOKUP(1, (Facturas_Odoo!$D:$D=A955) * (Facturas_Odoo!$K:$K=I955), Facturas_Odoo!$L:$L, ""), ""))</f>
        <v/>
      </c>
      <c r="T955" s="81">
        <f>IF(Q955="Sin Factura",0,IFERROR(_xlfn.XLOOKUP(1, (Facturas_Odoo!$D:$D=A955) * (Facturas_Odoo!$K:$K=I955), Facturas_Odoo!$M:$M, 0), 0))</f>
        <v/>
      </c>
      <c r="U955" s="79">
        <f>IF(Q955="Sin Factura",0,IFERROR(_xlfn.XLOOKUP(1, (Facturas_Odoo!$D:$D=A955) * (Facturas_Odoo!$K:$K=I955), Facturas_Odoo!$N:$N, 0), 0))</f>
        <v/>
      </c>
      <c r="V955" s="79">
        <f>IF(Q955="Sin Factura",0,IFERROR(_xlfn.XLOOKUP(1, (Facturas_Odoo!$D:$D=A955) * (Facturas_Odoo!$K:$K=I955), Facturas_Odoo!$O:$O, 0), 0))</f>
        <v/>
      </c>
      <c r="W955" s="81">
        <f>IF(Q955="Sin Factura",0,IFERROR(_xlfn.XLOOKUP(1, (Facturas_Odoo!$D:$D=A955) * (Facturas_Odoo!$K:$K=I955), Facturas_Odoo!$Q:$Q, 0), 0))</f>
        <v/>
      </c>
      <c r="X955" s="79">
        <f>IF(OR(Q955="Sin Factura",Q955=""),"",IFERROR(INDEX(Pagos_Odoo!$B:$B, MATCH(Q955, Pagos_Odoo!$I:$I, 0)), "Sin Pago"))</f>
        <v/>
      </c>
      <c r="Y955" s="79">
        <f>IF(X955="Sin Pago","",IFERROR(INDEX(Pagos_Odoo!$C:$C, MATCH(X955, Pagos_Odoo!$B:$B, 0)), ""))</f>
        <v/>
      </c>
      <c r="Z955" s="80">
        <f>IF(X955="Sin Pago","",IFERROR(INDEX(Pagos_Odoo!$A:$A, MATCH(X955, Pagos_Odoo!$B:$B, 0)), ""))</f>
        <v/>
      </c>
      <c r="AA955" s="79">
        <f>IF(X955="Sin Pago","",IFERROR(INDEX(Pagos_Odoo!$F:$F, MATCH(X955, Pagos_Odoo!$B:$B, 0)), ""))</f>
        <v/>
      </c>
      <c r="AB955" s="81">
        <f>IF(X955="Sin Pago",0,IFERROR(INDEX(Pagos_Odoo!$E:$E, MATCH(X955, Pagos_Odoo!$B:$B, 0)), 0))</f>
        <v/>
      </c>
      <c r="AC955" s="79">
        <f>IF(X955="Sin Pago","",IFERROR(INDEX(Pagos_Odoo!$G:$G, MATCH(X955, Pagos_Odoo!$B:$B, 0)), ""))</f>
        <v/>
      </c>
      <c r="AD955" s="82" t="n">
        <v>0</v>
      </c>
      <c r="AE955" s="82" t="n"/>
      <c r="AF955" s="82" t="n"/>
      <c r="AG955" s="82">
        <f>IF(AN955="","",AD955+AE955+AF955)</f>
        <v/>
      </c>
      <c r="AH955" s="81">
        <f>IF(AN955="","",P955*(1-AG955))</f>
        <v/>
      </c>
      <c r="AI955" s="81">
        <f>IF(AN955="","",IF(Q955="Sin Factura",0,IFERROR(INDEX(Facturas_Odoo!$H:$H, MATCH(Q955, Facturas_Odoo!$B:$B, 0)), 0)*(1-AG955)))</f>
        <v/>
      </c>
      <c r="AJ955" s="81">
        <f>IF(AN955="","",_xlfn.LET(idVenta, AN955&amp;"",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55" s="81">
        <f>IF(AN955="","",AH955-AJ955)</f>
        <v/>
      </c>
      <c r="AL955" s="81">
        <f>IF(AN955="","",IF(Q955="Sin Factura","",AI955-AJ955))</f>
        <v/>
      </c>
      <c r="AM955" s="81">
        <f>IF(AN955="","",IF(Q955="Sin Factura",0,P955-IFERROR(INDEX(Facturas_Odoo!$H:$H, MATCH(Q955, Facturas_Odoo!$B:$B, 0)), 0)))</f>
        <v/>
      </c>
      <c r="AN955" s="79">
        <f>IF(AND(A955="", J955=""), "", IF(A955&lt;&gt;"", VALUE(MID(A955,2,LEN(A955))), AN954))</f>
        <v/>
      </c>
      <c r="AO955" s="79">
        <f>IF(AN955="","",IF(AD955=0,"OK",_xlfn.LET(monedaPago, IF(AA955="","USD",AA955), limitePermitido, IFERROR(VLOOKUP(monedaPago, Configuración!$A$2:$B$3, 2, FALSE), 0.15), IF(AD955&gt;limitePermitido, "ALERTA: EXCESO (" &amp; TEXT(limitePermitido, "0%") &amp; " máx)", "OK"))))</f>
        <v/>
      </c>
      <c r="AP955" s="79">
        <f>IF(AN955="","",IF(AE955=0,"OK",_xlfn.LET(fechaPago, Z955, fechaFactura, R955, diasCredito, IF(E955="Pago inmediato", 0, IFERROR(VALUE(MID(E955, 1, SEARCH(" ", E955)-1)),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55" s="79">
        <f>IF(AN955="","",IF(AND(N955&gt;0, AG955&gt;0), IF(Configuración!$K$2="NO", "ALERTA: DESCUENTO DOBLE NO PERMITIDO", "OK"), "OK"))</f>
        <v/>
      </c>
      <c r="AR955" s="79">
        <f>IF(AN955="","",IF(OR(AO955&lt;&gt;"OK", AP955&lt;&gt;"OK", AQ955&lt;&gt;"OK"), "⚠️ REVISAR", "OK"))</f>
        <v/>
      </c>
    </row>
    <row r="956">
      <c r="A956" s="79">
        <f>IF('Ordenes_Odoo'!A956="","",'Ordenes_Odoo'!A956)</f>
        <v/>
      </c>
      <c r="B956" s="80">
        <f>IF('Ordenes_Odoo'!B956="","",'Ordenes_Odoo'!B956)</f>
        <v/>
      </c>
      <c r="C956" s="79">
        <f>IF('Ordenes_Odoo'!C956="","",'Ordenes_Odoo'!C956)</f>
        <v/>
      </c>
      <c r="D956" s="79">
        <f>IF('Ordenes_Odoo'!D956="","",'Ordenes_Odoo'!D956)</f>
        <v/>
      </c>
      <c r="E956" s="79">
        <f>IF('Ordenes_Odoo'!E956="","",'Ordenes_Odoo'!E956)</f>
        <v/>
      </c>
      <c r="F956" s="79">
        <f>IF('Ordenes_Odoo'!F956="","",'Ordenes_Odoo'!F956)</f>
        <v/>
      </c>
      <c r="G956" s="79">
        <f>IF('Ordenes_Odoo'!G956="","",'Ordenes_Odoo'!G956)</f>
        <v/>
      </c>
      <c r="H956" s="79">
        <f>IF('Ordenes_Odoo'!H956="","",'Ordenes_Odoo'!H956)</f>
        <v/>
      </c>
      <c r="I956" s="79">
        <f>IF('Ordenes_Odoo'!I956="","",'Ordenes_Odoo'!I956)</f>
        <v/>
      </c>
      <c r="J956" s="79">
        <f>IF('Ordenes_Odoo'!J956="","",'Ordenes_Odoo'!J956)</f>
        <v/>
      </c>
      <c r="K956" s="81">
        <f>IF('Ordenes_Odoo'!K956="","",'Ordenes_Odoo'!K956)</f>
        <v/>
      </c>
      <c r="L956" s="81">
        <f>IF('Ordenes_Odoo'!L956="","",'Ordenes_Odoo'!L956)</f>
        <v/>
      </c>
      <c r="M956" s="79">
        <f>IF('Ordenes_Odoo'!M956="","",'Ordenes_Odoo'!M956)</f>
        <v/>
      </c>
      <c r="N956" s="79">
        <f>IF('Ordenes_Odoo'!N956="","",'Ordenes_Odoo'!N956)</f>
        <v/>
      </c>
      <c r="O956" s="81">
        <f>IF('Ordenes_Odoo'!O956="","",'Ordenes_Odoo'!O956)</f>
        <v/>
      </c>
      <c r="P956" s="81">
        <f>IF('Ordenes_Odoo'!P956="","",'Ordenes_Odoo'!P956)</f>
        <v/>
      </c>
      <c r="Q956" s="79">
        <f>IF(A956="","",IFERROR(INDEX(Facturas_Odoo!$B:$B, MATCH(A956, Facturas_Odoo!$D:$D, 0)), "Sin Factura"))</f>
        <v/>
      </c>
      <c r="R956" s="80">
        <f>IF(Q956="Sin Factura","",IFERROR(INDEX(Facturas_Odoo!$A:$A, MATCH(Q956, Facturas_Odoo!$B:$B, 0)), ""))</f>
        <v/>
      </c>
      <c r="S956" s="79">
        <f>IF(Q956="Sin Factura","",IFERROR(_xlfn.XLOOKUP(1, (Facturas_Odoo!$D:$D=A956) * (Facturas_Odoo!$K:$K=I956), Facturas_Odoo!$L:$L, ""), ""))</f>
        <v/>
      </c>
      <c r="T956" s="81">
        <f>IF(Q956="Sin Factura",0,IFERROR(_xlfn.XLOOKUP(1, (Facturas_Odoo!$D:$D=A956) * (Facturas_Odoo!$K:$K=I956), Facturas_Odoo!$M:$M, 0), 0))</f>
        <v/>
      </c>
      <c r="U956" s="79">
        <f>IF(Q956="Sin Factura",0,IFERROR(_xlfn.XLOOKUP(1, (Facturas_Odoo!$D:$D=A956) * (Facturas_Odoo!$K:$K=I956), Facturas_Odoo!$N:$N, 0), 0))</f>
        <v/>
      </c>
      <c r="V956" s="79">
        <f>IF(Q956="Sin Factura",0,IFERROR(_xlfn.XLOOKUP(1, (Facturas_Odoo!$D:$D=A956) * (Facturas_Odoo!$K:$K=I956), Facturas_Odoo!$O:$O, 0), 0))</f>
        <v/>
      </c>
      <c r="W956" s="81">
        <f>IF(Q956="Sin Factura",0,IFERROR(_xlfn.XLOOKUP(1, (Facturas_Odoo!$D:$D=A956) * (Facturas_Odoo!$K:$K=I956), Facturas_Odoo!$Q:$Q, 0), 0))</f>
        <v/>
      </c>
      <c r="X956" s="79">
        <f>IF(OR(Q956="Sin Factura",Q956=""),"",IFERROR(INDEX(Pagos_Odoo!$B:$B, MATCH(Q956, Pagos_Odoo!$I:$I, 0)), "Sin Pago"))</f>
        <v/>
      </c>
      <c r="Y956" s="79">
        <f>IF(X956="Sin Pago","",IFERROR(INDEX(Pagos_Odoo!$C:$C, MATCH(X956, Pagos_Odoo!$B:$B, 0)), ""))</f>
        <v/>
      </c>
      <c r="Z956" s="80">
        <f>IF(X956="Sin Pago","",IFERROR(INDEX(Pagos_Odoo!$A:$A, MATCH(X956, Pagos_Odoo!$B:$B, 0)), ""))</f>
        <v/>
      </c>
      <c r="AA956" s="79">
        <f>IF(X956="Sin Pago","",IFERROR(INDEX(Pagos_Odoo!$F:$F, MATCH(X956, Pagos_Odoo!$B:$B, 0)), ""))</f>
        <v/>
      </c>
      <c r="AB956" s="81">
        <f>IF(X956="Sin Pago",0,IFERROR(INDEX(Pagos_Odoo!$E:$E, MATCH(X956, Pagos_Odoo!$B:$B, 0)), 0))</f>
        <v/>
      </c>
      <c r="AC956" s="79">
        <f>IF(X956="Sin Pago","",IFERROR(INDEX(Pagos_Odoo!$G:$G, MATCH(X956, Pagos_Odoo!$B:$B, 0)), ""))</f>
        <v/>
      </c>
      <c r="AD956" s="82" t="n">
        <v>0</v>
      </c>
      <c r="AE956" s="82" t="n"/>
      <c r="AF956" s="82" t="n"/>
      <c r="AG956" s="82">
        <f>IF(AN956="","",AD956+AE956+AF956)</f>
        <v/>
      </c>
      <c r="AH956" s="81">
        <f>IF(AN956="","",P956*(1-AG956))</f>
        <v/>
      </c>
      <c r="AI956" s="81">
        <f>IF(AN956="","",IF(Q956="Sin Factura",0,IFERROR(INDEX(Facturas_Odoo!$H:$H, MATCH(Q956, Facturas_Odoo!$B:$B, 0)), 0)*(1-AG956)))</f>
        <v/>
      </c>
      <c r="AJ956" s="81">
        <f>IF(AN956="","",_xlfn.LET(idVenta, AN956&amp;"",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56" s="81">
        <f>IF(AN956="","",AH956-AJ956)</f>
        <v/>
      </c>
      <c r="AL956" s="81">
        <f>IF(AN956="","",IF(Q956="Sin Factura","",AI956-AJ956))</f>
        <v/>
      </c>
      <c r="AM956" s="81">
        <f>IF(AN956="","",IF(Q956="Sin Factura",0,P956-IFERROR(INDEX(Facturas_Odoo!$H:$H, MATCH(Q956, Facturas_Odoo!$B:$B, 0)), 0)))</f>
        <v/>
      </c>
      <c r="AN956" s="79">
        <f>IF(AND(A956="", J956=""), "", IF(A956&lt;&gt;"", VALUE(MID(A956,2,LEN(A956))), AN955))</f>
        <v/>
      </c>
      <c r="AO956" s="79">
        <f>IF(AN956="","",IF(AD956=0,"OK",_xlfn.LET(monedaPago, IF(AA956="","USD",AA956), limitePermitido, IFERROR(VLOOKUP(monedaPago, Configuración!$A$2:$B$3, 2, FALSE), 0.15), IF(AD956&gt;limitePermitido, "ALERTA: EXCESO (" &amp; TEXT(limitePermitido, "0%") &amp; " máx)", "OK"))))</f>
        <v/>
      </c>
      <c r="AP956" s="79">
        <f>IF(AN956="","",IF(AE956=0,"OK",_xlfn.LET(fechaPago, Z956, fechaFactura, R956, diasCredito, IF(E956="Pago inmediato", 0, IFERROR(VALUE(MID(E956, 1, SEARCH(" ", E956)-1)),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56" s="79">
        <f>IF(AN956="","",IF(AND(N956&gt;0, AG956&gt;0), IF(Configuración!$K$2="NO", "ALERTA: DESCUENTO DOBLE NO PERMITIDO", "OK"), "OK"))</f>
        <v/>
      </c>
      <c r="AR956" s="79">
        <f>IF(AN956="","",IF(OR(AO956&lt;&gt;"OK", AP956&lt;&gt;"OK", AQ956&lt;&gt;"OK"), "⚠️ REVISAR", "OK"))</f>
        <v/>
      </c>
    </row>
    <row r="957">
      <c r="A957" s="79">
        <f>IF('Ordenes_Odoo'!A957="","",'Ordenes_Odoo'!A957)</f>
        <v/>
      </c>
      <c r="B957" s="80">
        <f>IF('Ordenes_Odoo'!B957="","",'Ordenes_Odoo'!B957)</f>
        <v/>
      </c>
      <c r="C957" s="79">
        <f>IF('Ordenes_Odoo'!C957="","",'Ordenes_Odoo'!C957)</f>
        <v/>
      </c>
      <c r="D957" s="79">
        <f>IF('Ordenes_Odoo'!D957="","",'Ordenes_Odoo'!D957)</f>
        <v/>
      </c>
      <c r="E957" s="79">
        <f>IF('Ordenes_Odoo'!E957="","",'Ordenes_Odoo'!E957)</f>
        <v/>
      </c>
      <c r="F957" s="79">
        <f>IF('Ordenes_Odoo'!F957="","",'Ordenes_Odoo'!F957)</f>
        <v/>
      </c>
      <c r="G957" s="79">
        <f>IF('Ordenes_Odoo'!G957="","",'Ordenes_Odoo'!G957)</f>
        <v/>
      </c>
      <c r="H957" s="79">
        <f>IF('Ordenes_Odoo'!H957="","",'Ordenes_Odoo'!H957)</f>
        <v/>
      </c>
      <c r="I957" s="79">
        <f>IF('Ordenes_Odoo'!I957="","",'Ordenes_Odoo'!I957)</f>
        <v/>
      </c>
      <c r="J957" s="79">
        <f>IF('Ordenes_Odoo'!J957="","",'Ordenes_Odoo'!J957)</f>
        <v/>
      </c>
      <c r="K957" s="81">
        <f>IF('Ordenes_Odoo'!K957="","",'Ordenes_Odoo'!K957)</f>
        <v/>
      </c>
      <c r="L957" s="81">
        <f>IF('Ordenes_Odoo'!L957="","",'Ordenes_Odoo'!L957)</f>
        <v/>
      </c>
      <c r="M957" s="79">
        <f>IF('Ordenes_Odoo'!M957="","",'Ordenes_Odoo'!M957)</f>
        <v/>
      </c>
      <c r="N957" s="79">
        <f>IF('Ordenes_Odoo'!N957="","",'Ordenes_Odoo'!N957)</f>
        <v/>
      </c>
      <c r="O957" s="81">
        <f>IF('Ordenes_Odoo'!O957="","",'Ordenes_Odoo'!O957)</f>
        <v/>
      </c>
      <c r="P957" s="81">
        <f>IF('Ordenes_Odoo'!P957="","",'Ordenes_Odoo'!P957)</f>
        <v/>
      </c>
      <c r="Q957" s="79">
        <f>IF(A957="","",IFERROR(INDEX(Facturas_Odoo!$B:$B, MATCH(A957, Facturas_Odoo!$D:$D, 0)), "Sin Factura"))</f>
        <v/>
      </c>
      <c r="R957" s="80">
        <f>IF(Q957="Sin Factura","",IFERROR(INDEX(Facturas_Odoo!$A:$A, MATCH(Q957, Facturas_Odoo!$B:$B, 0)), ""))</f>
        <v/>
      </c>
      <c r="S957" s="79">
        <f>IF(Q957="Sin Factura","",IFERROR(_xlfn.XLOOKUP(1, (Facturas_Odoo!$D:$D=A957) * (Facturas_Odoo!$K:$K=I957), Facturas_Odoo!$L:$L, ""), ""))</f>
        <v/>
      </c>
      <c r="T957" s="81">
        <f>IF(Q957="Sin Factura",0,IFERROR(_xlfn.XLOOKUP(1, (Facturas_Odoo!$D:$D=A957) * (Facturas_Odoo!$K:$K=I957), Facturas_Odoo!$M:$M, 0), 0))</f>
        <v/>
      </c>
      <c r="U957" s="79">
        <f>IF(Q957="Sin Factura",0,IFERROR(_xlfn.XLOOKUP(1, (Facturas_Odoo!$D:$D=A957) * (Facturas_Odoo!$K:$K=I957), Facturas_Odoo!$N:$N, 0), 0))</f>
        <v/>
      </c>
      <c r="V957" s="79">
        <f>IF(Q957="Sin Factura",0,IFERROR(_xlfn.XLOOKUP(1, (Facturas_Odoo!$D:$D=A957) * (Facturas_Odoo!$K:$K=I957), Facturas_Odoo!$O:$O, 0), 0))</f>
        <v/>
      </c>
      <c r="W957" s="81">
        <f>IF(Q957="Sin Factura",0,IFERROR(_xlfn.XLOOKUP(1, (Facturas_Odoo!$D:$D=A957) * (Facturas_Odoo!$K:$K=I957), Facturas_Odoo!$Q:$Q, 0), 0))</f>
        <v/>
      </c>
      <c r="X957" s="79">
        <f>IF(OR(Q957="Sin Factura",Q957=""),"",IFERROR(INDEX(Pagos_Odoo!$B:$B, MATCH(Q957, Pagos_Odoo!$I:$I, 0)), "Sin Pago"))</f>
        <v/>
      </c>
      <c r="Y957" s="79">
        <f>IF(X957="Sin Pago","",IFERROR(INDEX(Pagos_Odoo!$C:$C, MATCH(X957, Pagos_Odoo!$B:$B, 0)), ""))</f>
        <v/>
      </c>
      <c r="Z957" s="80">
        <f>IF(X957="Sin Pago","",IFERROR(INDEX(Pagos_Odoo!$A:$A, MATCH(X957, Pagos_Odoo!$B:$B, 0)), ""))</f>
        <v/>
      </c>
      <c r="AA957" s="79">
        <f>IF(X957="Sin Pago","",IFERROR(INDEX(Pagos_Odoo!$F:$F, MATCH(X957, Pagos_Odoo!$B:$B, 0)), ""))</f>
        <v/>
      </c>
      <c r="AB957" s="81">
        <f>IF(X957="Sin Pago",0,IFERROR(INDEX(Pagos_Odoo!$E:$E, MATCH(X957, Pagos_Odoo!$B:$B, 0)), 0))</f>
        <v/>
      </c>
      <c r="AC957" s="79">
        <f>IF(X957="Sin Pago","",IFERROR(INDEX(Pagos_Odoo!$G:$G, MATCH(X957, Pagos_Odoo!$B:$B, 0)), ""))</f>
        <v/>
      </c>
      <c r="AD957" s="82" t="n">
        <v>0</v>
      </c>
      <c r="AE957" s="82" t="n"/>
      <c r="AF957" s="82" t="n"/>
      <c r="AG957" s="82">
        <f>IF(AN957="","",AD957+AE957+AF957)</f>
        <v/>
      </c>
      <c r="AH957" s="81">
        <f>IF(AN957="","",P957*(1-AG957))</f>
        <v/>
      </c>
      <c r="AI957" s="81">
        <f>IF(AN957="","",IF(Q957="Sin Factura",0,IFERROR(INDEX(Facturas_Odoo!$H:$H, MATCH(Q957, Facturas_Odoo!$B:$B, 0)), 0)*(1-AG957)))</f>
        <v/>
      </c>
      <c r="AJ957" s="81">
        <f>IF(AN957="","",_xlfn.LET(idVenta, AN957&amp;"",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57" s="81">
        <f>IF(AN957="","",AH957-AJ957)</f>
        <v/>
      </c>
      <c r="AL957" s="81">
        <f>IF(AN957="","",IF(Q957="Sin Factura","",AI957-AJ957))</f>
        <v/>
      </c>
      <c r="AM957" s="81">
        <f>IF(AN957="","",IF(Q957="Sin Factura",0,P957-IFERROR(INDEX(Facturas_Odoo!$H:$H, MATCH(Q957, Facturas_Odoo!$B:$B, 0)), 0)))</f>
        <v/>
      </c>
      <c r="AN957" s="79">
        <f>IF(AND(A957="", J957=""), "", IF(A957&lt;&gt;"", VALUE(MID(A957,2,LEN(A957))), AN956))</f>
        <v/>
      </c>
      <c r="AO957" s="79">
        <f>IF(AN957="","",IF(AD957=0,"OK",_xlfn.LET(monedaPago, IF(AA957="","USD",AA957), limitePermitido, IFERROR(VLOOKUP(monedaPago, Configuración!$A$2:$B$3, 2, FALSE), 0.15), IF(AD957&gt;limitePermitido, "ALERTA: EXCESO (" &amp; TEXT(limitePermitido, "0%") &amp; " máx)", "OK"))))</f>
        <v/>
      </c>
      <c r="AP957" s="79">
        <f>IF(AN957="","",IF(AE957=0,"OK",_xlfn.LET(fechaPago, Z957, fechaFactura, R957, diasCredito, IF(E957="Pago inmediato", 0, IFERROR(VALUE(MID(E957, 1, SEARCH(" ", E957)-1)),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57" s="79">
        <f>IF(AN957="","",IF(AND(N957&gt;0, AG957&gt;0), IF(Configuración!$K$2="NO", "ALERTA: DESCUENTO DOBLE NO PERMITIDO", "OK"), "OK"))</f>
        <v/>
      </c>
      <c r="AR957" s="79">
        <f>IF(AN957="","",IF(OR(AO957&lt;&gt;"OK", AP957&lt;&gt;"OK", AQ957&lt;&gt;"OK"), "⚠️ REVISAR", "OK"))</f>
        <v/>
      </c>
    </row>
    <row r="958">
      <c r="A958" s="79">
        <f>IF('Ordenes_Odoo'!A958="","",'Ordenes_Odoo'!A958)</f>
        <v/>
      </c>
      <c r="B958" s="80">
        <f>IF('Ordenes_Odoo'!B958="","",'Ordenes_Odoo'!B958)</f>
        <v/>
      </c>
      <c r="C958" s="79">
        <f>IF('Ordenes_Odoo'!C958="","",'Ordenes_Odoo'!C958)</f>
        <v/>
      </c>
      <c r="D958" s="79">
        <f>IF('Ordenes_Odoo'!D958="","",'Ordenes_Odoo'!D958)</f>
        <v/>
      </c>
      <c r="E958" s="79">
        <f>IF('Ordenes_Odoo'!E958="","",'Ordenes_Odoo'!E958)</f>
        <v/>
      </c>
      <c r="F958" s="79">
        <f>IF('Ordenes_Odoo'!F958="","",'Ordenes_Odoo'!F958)</f>
        <v/>
      </c>
      <c r="G958" s="79">
        <f>IF('Ordenes_Odoo'!G958="","",'Ordenes_Odoo'!G958)</f>
        <v/>
      </c>
      <c r="H958" s="79">
        <f>IF('Ordenes_Odoo'!H958="","",'Ordenes_Odoo'!H958)</f>
        <v/>
      </c>
      <c r="I958" s="79">
        <f>IF('Ordenes_Odoo'!I958="","",'Ordenes_Odoo'!I958)</f>
        <v/>
      </c>
      <c r="J958" s="79">
        <f>IF('Ordenes_Odoo'!J958="","",'Ordenes_Odoo'!J958)</f>
        <v/>
      </c>
      <c r="K958" s="81">
        <f>IF('Ordenes_Odoo'!K958="","",'Ordenes_Odoo'!K958)</f>
        <v/>
      </c>
      <c r="L958" s="81">
        <f>IF('Ordenes_Odoo'!L958="","",'Ordenes_Odoo'!L958)</f>
        <v/>
      </c>
      <c r="M958" s="79">
        <f>IF('Ordenes_Odoo'!M958="","",'Ordenes_Odoo'!M958)</f>
        <v/>
      </c>
      <c r="N958" s="79">
        <f>IF('Ordenes_Odoo'!N958="","",'Ordenes_Odoo'!N958)</f>
        <v/>
      </c>
      <c r="O958" s="81">
        <f>IF('Ordenes_Odoo'!O958="","",'Ordenes_Odoo'!O958)</f>
        <v/>
      </c>
      <c r="P958" s="81">
        <f>IF('Ordenes_Odoo'!P958="","",'Ordenes_Odoo'!P958)</f>
        <v/>
      </c>
      <c r="Q958" s="79">
        <f>IF(A958="","",IFERROR(INDEX(Facturas_Odoo!$B:$B, MATCH(A958, Facturas_Odoo!$D:$D, 0)), "Sin Factura"))</f>
        <v/>
      </c>
      <c r="R958" s="80">
        <f>IF(Q958="Sin Factura","",IFERROR(INDEX(Facturas_Odoo!$A:$A, MATCH(Q958, Facturas_Odoo!$B:$B, 0)), ""))</f>
        <v/>
      </c>
      <c r="S958" s="79">
        <f>IF(Q958="Sin Factura","",IFERROR(_xlfn.XLOOKUP(1, (Facturas_Odoo!$D:$D=A958) * (Facturas_Odoo!$K:$K=I958), Facturas_Odoo!$L:$L, ""), ""))</f>
        <v/>
      </c>
      <c r="T958" s="81">
        <f>IF(Q958="Sin Factura",0,IFERROR(_xlfn.XLOOKUP(1, (Facturas_Odoo!$D:$D=A958) * (Facturas_Odoo!$K:$K=I958), Facturas_Odoo!$M:$M, 0), 0))</f>
        <v/>
      </c>
      <c r="U958" s="79">
        <f>IF(Q958="Sin Factura",0,IFERROR(_xlfn.XLOOKUP(1, (Facturas_Odoo!$D:$D=A958) * (Facturas_Odoo!$K:$K=I958), Facturas_Odoo!$N:$N, 0), 0))</f>
        <v/>
      </c>
      <c r="V958" s="79">
        <f>IF(Q958="Sin Factura",0,IFERROR(_xlfn.XLOOKUP(1, (Facturas_Odoo!$D:$D=A958) * (Facturas_Odoo!$K:$K=I958), Facturas_Odoo!$O:$O, 0), 0))</f>
        <v/>
      </c>
      <c r="W958" s="81">
        <f>IF(Q958="Sin Factura",0,IFERROR(_xlfn.XLOOKUP(1, (Facturas_Odoo!$D:$D=A958) * (Facturas_Odoo!$K:$K=I958), Facturas_Odoo!$Q:$Q, 0), 0))</f>
        <v/>
      </c>
      <c r="X958" s="79">
        <f>IF(OR(Q958="Sin Factura",Q958=""),"",IFERROR(INDEX(Pagos_Odoo!$B:$B, MATCH(Q958, Pagos_Odoo!$I:$I, 0)), "Sin Pago"))</f>
        <v/>
      </c>
      <c r="Y958" s="79">
        <f>IF(X958="Sin Pago","",IFERROR(INDEX(Pagos_Odoo!$C:$C, MATCH(X958, Pagos_Odoo!$B:$B, 0)), ""))</f>
        <v/>
      </c>
      <c r="Z958" s="80">
        <f>IF(X958="Sin Pago","",IFERROR(INDEX(Pagos_Odoo!$A:$A, MATCH(X958, Pagos_Odoo!$B:$B, 0)), ""))</f>
        <v/>
      </c>
      <c r="AA958" s="79">
        <f>IF(X958="Sin Pago","",IFERROR(INDEX(Pagos_Odoo!$F:$F, MATCH(X958, Pagos_Odoo!$B:$B, 0)), ""))</f>
        <v/>
      </c>
      <c r="AB958" s="81">
        <f>IF(X958="Sin Pago",0,IFERROR(INDEX(Pagos_Odoo!$E:$E, MATCH(X958, Pagos_Odoo!$B:$B, 0)), 0))</f>
        <v/>
      </c>
      <c r="AC958" s="79">
        <f>IF(X958="Sin Pago","",IFERROR(INDEX(Pagos_Odoo!$G:$G, MATCH(X958, Pagos_Odoo!$B:$B, 0)), ""))</f>
        <v/>
      </c>
      <c r="AD958" s="82" t="n">
        <v>0</v>
      </c>
      <c r="AE958" s="82" t="n"/>
      <c r="AF958" s="82" t="n"/>
      <c r="AG958" s="82">
        <f>IF(AN958="","",AD958+AE958+AF958)</f>
        <v/>
      </c>
      <c r="AH958" s="81">
        <f>IF(AN958="","",P958*(1-AG958))</f>
        <v/>
      </c>
      <c r="AI958" s="81">
        <f>IF(AN958="","",IF(Q958="Sin Factura",0,IFERROR(INDEX(Facturas_Odoo!$H:$H, MATCH(Q958, Facturas_Odoo!$B:$B, 0)), 0)*(1-AG958)))</f>
        <v/>
      </c>
      <c r="AJ958" s="81">
        <f>IF(AN958="","",_xlfn.LET(idVenta, AN958&amp;"",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58" s="81">
        <f>IF(AN958="","",AH958-AJ958)</f>
        <v/>
      </c>
      <c r="AL958" s="81">
        <f>IF(AN958="","",IF(Q958="Sin Factura","",AI958-AJ958))</f>
        <v/>
      </c>
      <c r="AM958" s="81">
        <f>IF(AN958="","",IF(Q958="Sin Factura",0,P958-IFERROR(INDEX(Facturas_Odoo!$H:$H, MATCH(Q958, Facturas_Odoo!$B:$B, 0)), 0)))</f>
        <v/>
      </c>
      <c r="AN958" s="79">
        <f>IF(AND(A958="", J958=""), "", IF(A958&lt;&gt;"", VALUE(MID(A958,2,LEN(A958))), AN957))</f>
        <v/>
      </c>
      <c r="AO958" s="79">
        <f>IF(AN958="","",IF(AD958=0,"OK",_xlfn.LET(monedaPago, IF(AA958="","USD",AA958), limitePermitido, IFERROR(VLOOKUP(monedaPago, Configuración!$A$2:$B$3, 2, FALSE), 0.15), IF(AD958&gt;limitePermitido, "ALERTA: EXCESO (" &amp; TEXT(limitePermitido, "0%") &amp; " máx)", "OK"))))</f>
        <v/>
      </c>
      <c r="AP958" s="79">
        <f>IF(AN958="","",IF(AE958=0,"OK",_xlfn.LET(fechaPago, Z958, fechaFactura, R958, diasCredito, IF(E958="Pago inmediato", 0, IFERROR(VALUE(MID(E958, 1, SEARCH(" ", E958)-1)),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58" s="79">
        <f>IF(AN958="","",IF(AND(N958&gt;0, AG958&gt;0), IF(Configuración!$K$2="NO", "ALERTA: DESCUENTO DOBLE NO PERMITIDO", "OK"), "OK"))</f>
        <v/>
      </c>
      <c r="AR958" s="79">
        <f>IF(AN958="","",IF(OR(AO958&lt;&gt;"OK", AP958&lt;&gt;"OK", AQ958&lt;&gt;"OK"), "⚠️ REVISAR", "OK"))</f>
        <v/>
      </c>
    </row>
    <row r="959">
      <c r="A959" s="79">
        <f>IF('Ordenes_Odoo'!A959="","",'Ordenes_Odoo'!A959)</f>
        <v/>
      </c>
      <c r="B959" s="80">
        <f>IF('Ordenes_Odoo'!B959="","",'Ordenes_Odoo'!B959)</f>
        <v/>
      </c>
      <c r="C959" s="79">
        <f>IF('Ordenes_Odoo'!C959="","",'Ordenes_Odoo'!C959)</f>
        <v/>
      </c>
      <c r="D959" s="79">
        <f>IF('Ordenes_Odoo'!D959="","",'Ordenes_Odoo'!D959)</f>
        <v/>
      </c>
      <c r="E959" s="79">
        <f>IF('Ordenes_Odoo'!E959="","",'Ordenes_Odoo'!E959)</f>
        <v/>
      </c>
      <c r="F959" s="79">
        <f>IF('Ordenes_Odoo'!F959="","",'Ordenes_Odoo'!F959)</f>
        <v/>
      </c>
      <c r="G959" s="79">
        <f>IF('Ordenes_Odoo'!G959="","",'Ordenes_Odoo'!G959)</f>
        <v/>
      </c>
      <c r="H959" s="79">
        <f>IF('Ordenes_Odoo'!H959="","",'Ordenes_Odoo'!H959)</f>
        <v/>
      </c>
      <c r="I959" s="79">
        <f>IF('Ordenes_Odoo'!I959="","",'Ordenes_Odoo'!I959)</f>
        <v/>
      </c>
      <c r="J959" s="79">
        <f>IF('Ordenes_Odoo'!J959="","",'Ordenes_Odoo'!J959)</f>
        <v/>
      </c>
      <c r="K959" s="81">
        <f>IF('Ordenes_Odoo'!K959="","",'Ordenes_Odoo'!K959)</f>
        <v/>
      </c>
      <c r="L959" s="81">
        <f>IF('Ordenes_Odoo'!L959="","",'Ordenes_Odoo'!L959)</f>
        <v/>
      </c>
      <c r="M959" s="79">
        <f>IF('Ordenes_Odoo'!M959="","",'Ordenes_Odoo'!M959)</f>
        <v/>
      </c>
      <c r="N959" s="79">
        <f>IF('Ordenes_Odoo'!N959="","",'Ordenes_Odoo'!N959)</f>
        <v/>
      </c>
      <c r="O959" s="81">
        <f>IF('Ordenes_Odoo'!O959="","",'Ordenes_Odoo'!O959)</f>
        <v/>
      </c>
      <c r="P959" s="81">
        <f>IF('Ordenes_Odoo'!P959="","",'Ordenes_Odoo'!P959)</f>
        <v/>
      </c>
      <c r="Q959" s="79">
        <f>IF(A959="","",IFERROR(INDEX(Facturas_Odoo!$B:$B, MATCH(A959, Facturas_Odoo!$D:$D, 0)), "Sin Factura"))</f>
        <v/>
      </c>
      <c r="R959" s="80">
        <f>IF(Q959="Sin Factura","",IFERROR(INDEX(Facturas_Odoo!$A:$A, MATCH(Q959, Facturas_Odoo!$B:$B, 0)), ""))</f>
        <v/>
      </c>
      <c r="S959" s="79">
        <f>IF(Q959="Sin Factura","",IFERROR(_xlfn.XLOOKUP(1, (Facturas_Odoo!$D:$D=A959) * (Facturas_Odoo!$K:$K=I959), Facturas_Odoo!$L:$L, ""), ""))</f>
        <v/>
      </c>
      <c r="T959" s="81">
        <f>IF(Q959="Sin Factura",0,IFERROR(_xlfn.XLOOKUP(1, (Facturas_Odoo!$D:$D=A959) * (Facturas_Odoo!$K:$K=I959), Facturas_Odoo!$M:$M, 0), 0))</f>
        <v/>
      </c>
      <c r="U959" s="79">
        <f>IF(Q959="Sin Factura",0,IFERROR(_xlfn.XLOOKUP(1, (Facturas_Odoo!$D:$D=A959) * (Facturas_Odoo!$K:$K=I959), Facturas_Odoo!$N:$N, 0), 0))</f>
        <v/>
      </c>
      <c r="V959" s="79">
        <f>IF(Q959="Sin Factura",0,IFERROR(_xlfn.XLOOKUP(1, (Facturas_Odoo!$D:$D=A959) * (Facturas_Odoo!$K:$K=I959), Facturas_Odoo!$O:$O, 0), 0))</f>
        <v/>
      </c>
      <c r="W959" s="81">
        <f>IF(Q959="Sin Factura",0,IFERROR(_xlfn.XLOOKUP(1, (Facturas_Odoo!$D:$D=A959) * (Facturas_Odoo!$K:$K=I959), Facturas_Odoo!$Q:$Q, 0), 0))</f>
        <v/>
      </c>
      <c r="X959" s="79">
        <f>IF(OR(Q959="Sin Factura",Q959=""),"",IFERROR(INDEX(Pagos_Odoo!$B:$B, MATCH(Q959, Pagos_Odoo!$I:$I, 0)), "Sin Pago"))</f>
        <v/>
      </c>
      <c r="Y959" s="79">
        <f>IF(X959="Sin Pago","",IFERROR(INDEX(Pagos_Odoo!$C:$C, MATCH(X959, Pagos_Odoo!$B:$B, 0)), ""))</f>
        <v/>
      </c>
      <c r="Z959" s="80">
        <f>IF(X959="Sin Pago","",IFERROR(INDEX(Pagos_Odoo!$A:$A, MATCH(X959, Pagos_Odoo!$B:$B, 0)), ""))</f>
        <v/>
      </c>
      <c r="AA959" s="79">
        <f>IF(X959="Sin Pago","",IFERROR(INDEX(Pagos_Odoo!$F:$F, MATCH(X959, Pagos_Odoo!$B:$B, 0)), ""))</f>
        <v/>
      </c>
      <c r="AB959" s="81">
        <f>IF(X959="Sin Pago",0,IFERROR(INDEX(Pagos_Odoo!$E:$E, MATCH(X959, Pagos_Odoo!$B:$B, 0)), 0))</f>
        <v/>
      </c>
      <c r="AC959" s="79">
        <f>IF(X959="Sin Pago","",IFERROR(INDEX(Pagos_Odoo!$G:$G, MATCH(X959, Pagos_Odoo!$B:$B, 0)), ""))</f>
        <v/>
      </c>
      <c r="AD959" s="82" t="n">
        <v>0</v>
      </c>
      <c r="AE959" s="82" t="n"/>
      <c r="AF959" s="82" t="n"/>
      <c r="AG959" s="82">
        <f>IF(AN959="","",AD959+AE959+AF959)</f>
        <v/>
      </c>
      <c r="AH959" s="81">
        <f>IF(AN959="","",P959*(1-AG959))</f>
        <v/>
      </c>
      <c r="AI959" s="81">
        <f>IF(AN959="","",IF(Q959="Sin Factura",0,IFERROR(INDEX(Facturas_Odoo!$H:$H, MATCH(Q959, Facturas_Odoo!$B:$B, 0)), 0)*(1-AG959)))</f>
        <v/>
      </c>
      <c r="AJ959" s="81">
        <f>IF(AN959="","",_xlfn.LET(idVenta, AN959&amp;"",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59" s="81">
        <f>IF(AN959="","",AH959-AJ959)</f>
        <v/>
      </c>
      <c r="AL959" s="81">
        <f>IF(AN959="","",IF(Q959="Sin Factura","",AI959-AJ959))</f>
        <v/>
      </c>
      <c r="AM959" s="81">
        <f>IF(AN959="","",IF(Q959="Sin Factura",0,P959-IFERROR(INDEX(Facturas_Odoo!$H:$H, MATCH(Q959, Facturas_Odoo!$B:$B, 0)), 0)))</f>
        <v/>
      </c>
      <c r="AN959" s="79">
        <f>IF(AND(A959="", J959=""), "", IF(A959&lt;&gt;"", VALUE(MID(A959,2,LEN(A959))), AN958))</f>
        <v/>
      </c>
      <c r="AO959" s="79">
        <f>IF(AN959="","",IF(AD959=0,"OK",_xlfn.LET(monedaPago, IF(AA959="","USD",AA959), limitePermitido, IFERROR(VLOOKUP(monedaPago, Configuración!$A$2:$B$3, 2, FALSE), 0.15), IF(AD959&gt;limitePermitido, "ALERTA: EXCESO (" &amp; TEXT(limitePermitido, "0%") &amp; " máx)", "OK"))))</f>
        <v/>
      </c>
      <c r="AP959" s="79">
        <f>IF(AN959="","",IF(AE959=0,"OK",_xlfn.LET(fechaPago, Z959, fechaFactura, R959, diasCredito, IF(E959="Pago inmediato", 0, IFERROR(VALUE(MID(E959, 1, SEARCH(" ", E959)-1)),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59" s="79">
        <f>IF(AN959="","",IF(AND(N959&gt;0, AG959&gt;0), IF(Configuración!$K$2="NO", "ALERTA: DESCUENTO DOBLE NO PERMITIDO", "OK"), "OK"))</f>
        <v/>
      </c>
      <c r="AR959" s="79">
        <f>IF(AN959="","",IF(OR(AO959&lt;&gt;"OK", AP959&lt;&gt;"OK", AQ959&lt;&gt;"OK"), "⚠️ REVISAR", "OK"))</f>
        <v/>
      </c>
    </row>
    <row r="960">
      <c r="A960" s="79">
        <f>IF('Ordenes_Odoo'!A960="","",'Ordenes_Odoo'!A960)</f>
        <v/>
      </c>
      <c r="B960" s="80">
        <f>IF('Ordenes_Odoo'!B960="","",'Ordenes_Odoo'!B960)</f>
        <v/>
      </c>
      <c r="C960" s="79">
        <f>IF('Ordenes_Odoo'!C960="","",'Ordenes_Odoo'!C960)</f>
        <v/>
      </c>
      <c r="D960" s="79">
        <f>IF('Ordenes_Odoo'!D960="","",'Ordenes_Odoo'!D960)</f>
        <v/>
      </c>
      <c r="E960" s="79">
        <f>IF('Ordenes_Odoo'!E960="","",'Ordenes_Odoo'!E960)</f>
        <v/>
      </c>
      <c r="F960" s="79">
        <f>IF('Ordenes_Odoo'!F960="","",'Ordenes_Odoo'!F960)</f>
        <v/>
      </c>
      <c r="G960" s="79">
        <f>IF('Ordenes_Odoo'!G960="","",'Ordenes_Odoo'!G960)</f>
        <v/>
      </c>
      <c r="H960" s="79">
        <f>IF('Ordenes_Odoo'!H960="","",'Ordenes_Odoo'!H960)</f>
        <v/>
      </c>
      <c r="I960" s="79">
        <f>IF('Ordenes_Odoo'!I960="","",'Ordenes_Odoo'!I960)</f>
        <v/>
      </c>
      <c r="J960" s="79">
        <f>IF('Ordenes_Odoo'!J960="","",'Ordenes_Odoo'!J960)</f>
        <v/>
      </c>
      <c r="K960" s="81">
        <f>IF('Ordenes_Odoo'!K960="","",'Ordenes_Odoo'!K960)</f>
        <v/>
      </c>
      <c r="L960" s="81">
        <f>IF('Ordenes_Odoo'!L960="","",'Ordenes_Odoo'!L960)</f>
        <v/>
      </c>
      <c r="M960" s="79">
        <f>IF('Ordenes_Odoo'!M960="","",'Ordenes_Odoo'!M960)</f>
        <v/>
      </c>
      <c r="N960" s="79">
        <f>IF('Ordenes_Odoo'!N960="","",'Ordenes_Odoo'!N960)</f>
        <v/>
      </c>
      <c r="O960" s="81">
        <f>IF('Ordenes_Odoo'!O960="","",'Ordenes_Odoo'!O960)</f>
        <v/>
      </c>
      <c r="P960" s="81">
        <f>IF('Ordenes_Odoo'!P960="","",'Ordenes_Odoo'!P960)</f>
        <v/>
      </c>
      <c r="Q960" s="79">
        <f>IF(A960="","",IFERROR(INDEX(Facturas_Odoo!$B:$B, MATCH(A960, Facturas_Odoo!$D:$D, 0)), "Sin Factura"))</f>
        <v/>
      </c>
      <c r="R960" s="80">
        <f>IF(Q960="Sin Factura","",IFERROR(INDEX(Facturas_Odoo!$A:$A, MATCH(Q960, Facturas_Odoo!$B:$B, 0)), ""))</f>
        <v/>
      </c>
      <c r="S960" s="79">
        <f>IF(Q960="Sin Factura","",IFERROR(_xlfn.XLOOKUP(1, (Facturas_Odoo!$D:$D=A960) * (Facturas_Odoo!$K:$K=I960), Facturas_Odoo!$L:$L, ""), ""))</f>
        <v/>
      </c>
      <c r="T960" s="81">
        <f>IF(Q960="Sin Factura",0,IFERROR(_xlfn.XLOOKUP(1, (Facturas_Odoo!$D:$D=A960) * (Facturas_Odoo!$K:$K=I960), Facturas_Odoo!$M:$M, 0), 0))</f>
        <v/>
      </c>
      <c r="U960" s="79">
        <f>IF(Q960="Sin Factura",0,IFERROR(_xlfn.XLOOKUP(1, (Facturas_Odoo!$D:$D=A960) * (Facturas_Odoo!$K:$K=I960), Facturas_Odoo!$N:$N, 0), 0))</f>
        <v/>
      </c>
      <c r="V960" s="79">
        <f>IF(Q960="Sin Factura",0,IFERROR(_xlfn.XLOOKUP(1, (Facturas_Odoo!$D:$D=A960) * (Facturas_Odoo!$K:$K=I960), Facturas_Odoo!$O:$O, 0), 0))</f>
        <v/>
      </c>
      <c r="W960" s="81">
        <f>IF(Q960="Sin Factura",0,IFERROR(_xlfn.XLOOKUP(1, (Facturas_Odoo!$D:$D=A960) * (Facturas_Odoo!$K:$K=I960), Facturas_Odoo!$Q:$Q, 0), 0))</f>
        <v/>
      </c>
      <c r="X960" s="79">
        <f>IF(OR(Q960="Sin Factura",Q960=""),"",IFERROR(INDEX(Pagos_Odoo!$B:$B, MATCH(Q960, Pagos_Odoo!$I:$I, 0)), "Sin Pago"))</f>
        <v/>
      </c>
      <c r="Y960" s="79">
        <f>IF(X960="Sin Pago","",IFERROR(INDEX(Pagos_Odoo!$C:$C, MATCH(X960, Pagos_Odoo!$B:$B, 0)), ""))</f>
        <v/>
      </c>
      <c r="Z960" s="80">
        <f>IF(X960="Sin Pago","",IFERROR(INDEX(Pagos_Odoo!$A:$A, MATCH(X960, Pagos_Odoo!$B:$B, 0)), ""))</f>
        <v/>
      </c>
      <c r="AA960" s="79">
        <f>IF(X960="Sin Pago","",IFERROR(INDEX(Pagos_Odoo!$F:$F, MATCH(X960, Pagos_Odoo!$B:$B, 0)), ""))</f>
        <v/>
      </c>
      <c r="AB960" s="81">
        <f>IF(X960="Sin Pago",0,IFERROR(INDEX(Pagos_Odoo!$E:$E, MATCH(X960, Pagos_Odoo!$B:$B, 0)), 0))</f>
        <v/>
      </c>
      <c r="AC960" s="79">
        <f>IF(X960="Sin Pago","",IFERROR(INDEX(Pagos_Odoo!$G:$G, MATCH(X960, Pagos_Odoo!$B:$B, 0)), ""))</f>
        <v/>
      </c>
      <c r="AD960" s="82" t="n">
        <v>0</v>
      </c>
      <c r="AE960" s="82" t="n"/>
      <c r="AF960" s="82" t="n"/>
      <c r="AG960" s="82">
        <f>IF(AN960="","",AD960+AE960+AF960)</f>
        <v/>
      </c>
      <c r="AH960" s="81">
        <f>IF(AN960="","",P960*(1-AG960))</f>
        <v/>
      </c>
      <c r="AI960" s="81">
        <f>IF(AN960="","",IF(Q960="Sin Factura",0,IFERROR(INDEX(Facturas_Odoo!$H:$H, MATCH(Q960, Facturas_Odoo!$B:$B, 0)), 0)*(1-AG960)))</f>
        <v/>
      </c>
      <c r="AJ960" s="81">
        <f>IF(AN960="","",_xlfn.LET(idVenta, AN960&amp;"",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60" s="81">
        <f>IF(AN960="","",AH960-AJ960)</f>
        <v/>
      </c>
      <c r="AL960" s="81">
        <f>IF(AN960="","",IF(Q960="Sin Factura","",AI960-AJ960))</f>
        <v/>
      </c>
      <c r="AM960" s="81">
        <f>IF(AN960="","",IF(Q960="Sin Factura",0,P960-IFERROR(INDEX(Facturas_Odoo!$H:$H, MATCH(Q960, Facturas_Odoo!$B:$B, 0)), 0)))</f>
        <v/>
      </c>
      <c r="AN960" s="79">
        <f>IF(AND(A960="", J960=""), "", IF(A960&lt;&gt;"", VALUE(MID(A960,2,LEN(A960))), AN959))</f>
        <v/>
      </c>
      <c r="AO960" s="79">
        <f>IF(AN960="","",IF(AD960=0,"OK",_xlfn.LET(monedaPago, IF(AA960="","USD",AA960), limitePermitido, IFERROR(VLOOKUP(monedaPago, Configuración!$A$2:$B$3, 2, FALSE), 0.15), IF(AD960&gt;limitePermitido, "ALERTA: EXCESO (" &amp; TEXT(limitePermitido, "0%") &amp; " máx)", "OK"))))</f>
        <v/>
      </c>
      <c r="AP960" s="79">
        <f>IF(AN960="","",IF(AE960=0,"OK",_xlfn.LET(fechaPago, Z960, fechaFactura, R960, diasCredito, IF(E960="Pago inmediato", 0, IFERROR(VALUE(MID(E960, 1, SEARCH(" ", E960)-1)),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60" s="79">
        <f>IF(AN960="","",IF(AND(N960&gt;0, AG960&gt;0), IF(Configuración!$K$2="NO", "ALERTA: DESCUENTO DOBLE NO PERMITIDO", "OK"), "OK"))</f>
        <v/>
      </c>
      <c r="AR960" s="79">
        <f>IF(AN960="","",IF(OR(AO960&lt;&gt;"OK", AP960&lt;&gt;"OK", AQ960&lt;&gt;"OK"), "⚠️ REVISAR", "OK"))</f>
        <v/>
      </c>
    </row>
    <row r="961">
      <c r="A961" s="79">
        <f>IF('Ordenes_Odoo'!A961="","",'Ordenes_Odoo'!A961)</f>
        <v/>
      </c>
      <c r="B961" s="80">
        <f>IF('Ordenes_Odoo'!B961="","",'Ordenes_Odoo'!B961)</f>
        <v/>
      </c>
      <c r="C961" s="79">
        <f>IF('Ordenes_Odoo'!C961="","",'Ordenes_Odoo'!C961)</f>
        <v/>
      </c>
      <c r="D961" s="79">
        <f>IF('Ordenes_Odoo'!D961="","",'Ordenes_Odoo'!D961)</f>
        <v/>
      </c>
      <c r="E961" s="79">
        <f>IF('Ordenes_Odoo'!E961="","",'Ordenes_Odoo'!E961)</f>
        <v/>
      </c>
      <c r="F961" s="79">
        <f>IF('Ordenes_Odoo'!F961="","",'Ordenes_Odoo'!F961)</f>
        <v/>
      </c>
      <c r="G961" s="79">
        <f>IF('Ordenes_Odoo'!G961="","",'Ordenes_Odoo'!G961)</f>
        <v/>
      </c>
      <c r="H961" s="79">
        <f>IF('Ordenes_Odoo'!H961="","",'Ordenes_Odoo'!H961)</f>
        <v/>
      </c>
      <c r="I961" s="79">
        <f>IF('Ordenes_Odoo'!I961="","",'Ordenes_Odoo'!I961)</f>
        <v/>
      </c>
      <c r="J961" s="79">
        <f>IF('Ordenes_Odoo'!J961="","",'Ordenes_Odoo'!J961)</f>
        <v/>
      </c>
      <c r="K961" s="81">
        <f>IF('Ordenes_Odoo'!K961="","",'Ordenes_Odoo'!K961)</f>
        <v/>
      </c>
      <c r="L961" s="81">
        <f>IF('Ordenes_Odoo'!L961="","",'Ordenes_Odoo'!L961)</f>
        <v/>
      </c>
      <c r="M961" s="79">
        <f>IF('Ordenes_Odoo'!M961="","",'Ordenes_Odoo'!M961)</f>
        <v/>
      </c>
      <c r="N961" s="79">
        <f>IF('Ordenes_Odoo'!N961="","",'Ordenes_Odoo'!N961)</f>
        <v/>
      </c>
      <c r="O961" s="81">
        <f>IF('Ordenes_Odoo'!O961="","",'Ordenes_Odoo'!O961)</f>
        <v/>
      </c>
      <c r="P961" s="81">
        <f>IF('Ordenes_Odoo'!P961="","",'Ordenes_Odoo'!P961)</f>
        <v/>
      </c>
      <c r="Q961" s="79">
        <f>IF(A961="","",IFERROR(INDEX(Facturas_Odoo!$B:$B, MATCH(A961, Facturas_Odoo!$D:$D, 0)), "Sin Factura"))</f>
        <v/>
      </c>
      <c r="R961" s="80">
        <f>IF(Q961="Sin Factura","",IFERROR(INDEX(Facturas_Odoo!$A:$A, MATCH(Q961, Facturas_Odoo!$B:$B, 0)), ""))</f>
        <v/>
      </c>
      <c r="S961" s="79">
        <f>IF(Q961="Sin Factura","",IFERROR(_xlfn.XLOOKUP(1, (Facturas_Odoo!$D:$D=A961) * (Facturas_Odoo!$K:$K=I961), Facturas_Odoo!$L:$L, ""), ""))</f>
        <v/>
      </c>
      <c r="T961" s="81">
        <f>IF(Q961="Sin Factura",0,IFERROR(_xlfn.XLOOKUP(1, (Facturas_Odoo!$D:$D=A961) * (Facturas_Odoo!$K:$K=I961), Facturas_Odoo!$M:$M, 0), 0))</f>
        <v/>
      </c>
      <c r="U961" s="79">
        <f>IF(Q961="Sin Factura",0,IFERROR(_xlfn.XLOOKUP(1, (Facturas_Odoo!$D:$D=A961) * (Facturas_Odoo!$K:$K=I961), Facturas_Odoo!$N:$N, 0), 0))</f>
        <v/>
      </c>
      <c r="V961" s="79">
        <f>IF(Q961="Sin Factura",0,IFERROR(_xlfn.XLOOKUP(1, (Facturas_Odoo!$D:$D=A961) * (Facturas_Odoo!$K:$K=I961), Facturas_Odoo!$O:$O, 0), 0))</f>
        <v/>
      </c>
      <c r="W961" s="81">
        <f>IF(Q961="Sin Factura",0,IFERROR(_xlfn.XLOOKUP(1, (Facturas_Odoo!$D:$D=A961) * (Facturas_Odoo!$K:$K=I961), Facturas_Odoo!$Q:$Q, 0), 0))</f>
        <v/>
      </c>
      <c r="X961" s="79">
        <f>IF(OR(Q961="Sin Factura",Q961=""),"",IFERROR(INDEX(Pagos_Odoo!$B:$B, MATCH(Q961, Pagos_Odoo!$I:$I, 0)), "Sin Pago"))</f>
        <v/>
      </c>
      <c r="Y961" s="79">
        <f>IF(X961="Sin Pago","",IFERROR(INDEX(Pagos_Odoo!$C:$C, MATCH(X961, Pagos_Odoo!$B:$B, 0)), ""))</f>
        <v/>
      </c>
      <c r="Z961" s="80">
        <f>IF(X961="Sin Pago","",IFERROR(INDEX(Pagos_Odoo!$A:$A, MATCH(X961, Pagos_Odoo!$B:$B, 0)), ""))</f>
        <v/>
      </c>
      <c r="AA961" s="79">
        <f>IF(X961="Sin Pago","",IFERROR(INDEX(Pagos_Odoo!$F:$F, MATCH(X961, Pagos_Odoo!$B:$B, 0)), ""))</f>
        <v/>
      </c>
      <c r="AB961" s="81">
        <f>IF(X961="Sin Pago",0,IFERROR(INDEX(Pagos_Odoo!$E:$E, MATCH(X961, Pagos_Odoo!$B:$B, 0)), 0))</f>
        <v/>
      </c>
      <c r="AC961" s="79">
        <f>IF(X961="Sin Pago","",IFERROR(INDEX(Pagos_Odoo!$G:$G, MATCH(X961, Pagos_Odoo!$B:$B, 0)), ""))</f>
        <v/>
      </c>
      <c r="AD961" s="82" t="n">
        <v>0</v>
      </c>
      <c r="AE961" s="82" t="n"/>
      <c r="AF961" s="82" t="n"/>
      <c r="AG961" s="82">
        <f>IF(AN961="","",AD961+AE961+AF961)</f>
        <v/>
      </c>
      <c r="AH961" s="81">
        <f>IF(AN961="","",P961*(1-AG961))</f>
        <v/>
      </c>
      <c r="AI961" s="81">
        <f>IF(AN961="","",IF(Q961="Sin Factura",0,IFERROR(INDEX(Facturas_Odoo!$H:$H, MATCH(Q961, Facturas_Odoo!$B:$B, 0)), 0)*(1-AG961)))</f>
        <v/>
      </c>
      <c r="AJ961" s="81">
        <f>IF(AN961="","",_xlfn.LET(idVenta, AN961&amp;"",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61" s="81">
        <f>IF(AN961="","",AH961-AJ961)</f>
        <v/>
      </c>
      <c r="AL961" s="81">
        <f>IF(AN961="","",IF(Q961="Sin Factura","",AI961-AJ961))</f>
        <v/>
      </c>
      <c r="AM961" s="81">
        <f>IF(AN961="","",IF(Q961="Sin Factura",0,P961-IFERROR(INDEX(Facturas_Odoo!$H:$H, MATCH(Q961, Facturas_Odoo!$B:$B, 0)), 0)))</f>
        <v/>
      </c>
      <c r="AN961" s="79">
        <f>IF(AND(A961="", J961=""), "", IF(A961&lt;&gt;"", VALUE(MID(A961,2,LEN(A961))), AN960))</f>
        <v/>
      </c>
      <c r="AO961" s="79">
        <f>IF(AN961="","",IF(AD961=0,"OK",_xlfn.LET(monedaPago, IF(AA961="","USD",AA961), limitePermitido, IFERROR(VLOOKUP(monedaPago, Configuración!$A$2:$B$3, 2, FALSE), 0.15), IF(AD961&gt;limitePermitido, "ALERTA: EXCESO (" &amp; TEXT(limitePermitido, "0%") &amp; " máx)", "OK"))))</f>
        <v/>
      </c>
      <c r="AP961" s="79">
        <f>IF(AN961="","",IF(AE961=0,"OK",_xlfn.LET(fechaPago, Z961, fechaFactura, R961, diasCredito, IF(E961="Pago inmediato", 0, IFERROR(VALUE(MID(E961, 1, SEARCH(" ", E961)-1)),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61" s="79">
        <f>IF(AN961="","",IF(AND(N961&gt;0, AG961&gt;0), IF(Configuración!$K$2="NO", "ALERTA: DESCUENTO DOBLE NO PERMITIDO", "OK"), "OK"))</f>
        <v/>
      </c>
      <c r="AR961" s="79">
        <f>IF(AN961="","",IF(OR(AO961&lt;&gt;"OK", AP961&lt;&gt;"OK", AQ961&lt;&gt;"OK"), "⚠️ REVISAR", "OK"))</f>
        <v/>
      </c>
    </row>
    <row r="962">
      <c r="A962" s="79">
        <f>IF('Ordenes_Odoo'!A962="","",'Ordenes_Odoo'!A962)</f>
        <v/>
      </c>
      <c r="B962" s="80">
        <f>IF('Ordenes_Odoo'!B962="","",'Ordenes_Odoo'!B962)</f>
        <v/>
      </c>
      <c r="C962" s="79">
        <f>IF('Ordenes_Odoo'!C962="","",'Ordenes_Odoo'!C962)</f>
        <v/>
      </c>
      <c r="D962" s="79">
        <f>IF('Ordenes_Odoo'!D962="","",'Ordenes_Odoo'!D962)</f>
        <v/>
      </c>
      <c r="E962" s="79">
        <f>IF('Ordenes_Odoo'!E962="","",'Ordenes_Odoo'!E962)</f>
        <v/>
      </c>
      <c r="F962" s="79">
        <f>IF('Ordenes_Odoo'!F962="","",'Ordenes_Odoo'!F962)</f>
        <v/>
      </c>
      <c r="G962" s="79">
        <f>IF('Ordenes_Odoo'!G962="","",'Ordenes_Odoo'!G962)</f>
        <v/>
      </c>
      <c r="H962" s="79">
        <f>IF('Ordenes_Odoo'!H962="","",'Ordenes_Odoo'!H962)</f>
        <v/>
      </c>
      <c r="I962" s="79">
        <f>IF('Ordenes_Odoo'!I962="","",'Ordenes_Odoo'!I962)</f>
        <v/>
      </c>
      <c r="J962" s="79">
        <f>IF('Ordenes_Odoo'!J962="","",'Ordenes_Odoo'!J962)</f>
        <v/>
      </c>
      <c r="K962" s="81">
        <f>IF('Ordenes_Odoo'!K962="","",'Ordenes_Odoo'!K962)</f>
        <v/>
      </c>
      <c r="L962" s="81">
        <f>IF('Ordenes_Odoo'!L962="","",'Ordenes_Odoo'!L962)</f>
        <v/>
      </c>
      <c r="M962" s="79">
        <f>IF('Ordenes_Odoo'!M962="","",'Ordenes_Odoo'!M962)</f>
        <v/>
      </c>
      <c r="N962" s="79">
        <f>IF('Ordenes_Odoo'!N962="","",'Ordenes_Odoo'!N962)</f>
        <v/>
      </c>
      <c r="O962" s="81">
        <f>IF('Ordenes_Odoo'!O962="","",'Ordenes_Odoo'!O962)</f>
        <v/>
      </c>
      <c r="P962" s="81">
        <f>IF('Ordenes_Odoo'!P962="","",'Ordenes_Odoo'!P962)</f>
        <v/>
      </c>
      <c r="Q962" s="79">
        <f>IF(A962="","",IFERROR(INDEX(Facturas_Odoo!$B:$B, MATCH(A962, Facturas_Odoo!$D:$D, 0)), "Sin Factura"))</f>
        <v/>
      </c>
      <c r="R962" s="80">
        <f>IF(Q962="Sin Factura","",IFERROR(INDEX(Facturas_Odoo!$A:$A, MATCH(Q962, Facturas_Odoo!$B:$B, 0)), ""))</f>
        <v/>
      </c>
      <c r="S962" s="79">
        <f>IF(Q962="Sin Factura","",IFERROR(_xlfn.XLOOKUP(1, (Facturas_Odoo!$D:$D=A962) * (Facturas_Odoo!$K:$K=I962), Facturas_Odoo!$L:$L, ""), ""))</f>
        <v/>
      </c>
      <c r="T962" s="81">
        <f>IF(Q962="Sin Factura",0,IFERROR(_xlfn.XLOOKUP(1, (Facturas_Odoo!$D:$D=A962) * (Facturas_Odoo!$K:$K=I962), Facturas_Odoo!$M:$M, 0), 0))</f>
        <v/>
      </c>
      <c r="U962" s="79">
        <f>IF(Q962="Sin Factura",0,IFERROR(_xlfn.XLOOKUP(1, (Facturas_Odoo!$D:$D=A962) * (Facturas_Odoo!$K:$K=I962), Facturas_Odoo!$N:$N, 0), 0))</f>
        <v/>
      </c>
      <c r="V962" s="79">
        <f>IF(Q962="Sin Factura",0,IFERROR(_xlfn.XLOOKUP(1, (Facturas_Odoo!$D:$D=A962) * (Facturas_Odoo!$K:$K=I962), Facturas_Odoo!$O:$O, 0), 0))</f>
        <v/>
      </c>
      <c r="W962" s="81">
        <f>IF(Q962="Sin Factura",0,IFERROR(_xlfn.XLOOKUP(1, (Facturas_Odoo!$D:$D=A962) * (Facturas_Odoo!$K:$K=I962), Facturas_Odoo!$Q:$Q, 0), 0))</f>
        <v/>
      </c>
      <c r="X962" s="79">
        <f>IF(OR(Q962="Sin Factura",Q962=""),"",IFERROR(INDEX(Pagos_Odoo!$B:$B, MATCH(Q962, Pagos_Odoo!$I:$I, 0)), "Sin Pago"))</f>
        <v/>
      </c>
      <c r="Y962" s="79">
        <f>IF(X962="Sin Pago","",IFERROR(INDEX(Pagos_Odoo!$C:$C, MATCH(X962, Pagos_Odoo!$B:$B, 0)), ""))</f>
        <v/>
      </c>
      <c r="Z962" s="80">
        <f>IF(X962="Sin Pago","",IFERROR(INDEX(Pagos_Odoo!$A:$A, MATCH(X962, Pagos_Odoo!$B:$B, 0)), ""))</f>
        <v/>
      </c>
      <c r="AA962" s="79">
        <f>IF(X962="Sin Pago","",IFERROR(INDEX(Pagos_Odoo!$F:$F, MATCH(X962, Pagos_Odoo!$B:$B, 0)), ""))</f>
        <v/>
      </c>
      <c r="AB962" s="81">
        <f>IF(X962="Sin Pago",0,IFERROR(INDEX(Pagos_Odoo!$E:$E, MATCH(X962, Pagos_Odoo!$B:$B, 0)), 0))</f>
        <v/>
      </c>
      <c r="AC962" s="79">
        <f>IF(X962="Sin Pago","",IFERROR(INDEX(Pagos_Odoo!$G:$G, MATCH(X962, Pagos_Odoo!$B:$B, 0)), ""))</f>
        <v/>
      </c>
      <c r="AD962" s="82" t="n">
        <v>0</v>
      </c>
      <c r="AE962" s="82" t="n"/>
      <c r="AF962" s="82" t="n"/>
      <c r="AG962" s="82">
        <f>IF(AN962="","",AD962+AE962+AF962)</f>
        <v/>
      </c>
      <c r="AH962" s="81">
        <f>IF(AN962="","",P962*(1-AG962))</f>
        <v/>
      </c>
      <c r="AI962" s="81">
        <f>IF(AN962="","",IF(Q962="Sin Factura",0,IFERROR(INDEX(Facturas_Odoo!$H:$H, MATCH(Q962, Facturas_Odoo!$B:$B, 0)), 0)*(1-AG962)))</f>
        <v/>
      </c>
      <c r="AJ962" s="81">
        <f>IF(AN962="","",_xlfn.LET(idVenta, AN962&amp;"",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62" s="81">
        <f>IF(AN962="","",AH962-AJ962)</f>
        <v/>
      </c>
      <c r="AL962" s="81">
        <f>IF(AN962="","",IF(Q962="Sin Factura","",AI962-AJ962))</f>
        <v/>
      </c>
      <c r="AM962" s="81">
        <f>IF(AN962="","",IF(Q962="Sin Factura",0,P962-IFERROR(INDEX(Facturas_Odoo!$H:$H, MATCH(Q962, Facturas_Odoo!$B:$B, 0)), 0)))</f>
        <v/>
      </c>
      <c r="AN962" s="79">
        <f>IF(AND(A962="", J962=""), "", IF(A962&lt;&gt;"", VALUE(MID(A962,2,LEN(A962))), AN961))</f>
        <v/>
      </c>
      <c r="AO962" s="79">
        <f>IF(AN962="","",IF(AD962=0,"OK",_xlfn.LET(monedaPago, IF(AA962="","USD",AA962), limitePermitido, IFERROR(VLOOKUP(monedaPago, Configuración!$A$2:$B$3, 2, FALSE), 0.15), IF(AD962&gt;limitePermitido, "ALERTA: EXCESO (" &amp; TEXT(limitePermitido, "0%") &amp; " máx)", "OK"))))</f>
        <v/>
      </c>
      <c r="AP962" s="79">
        <f>IF(AN962="","",IF(AE962=0,"OK",_xlfn.LET(fechaPago, Z962, fechaFactura, R962, diasCredito, IF(E962="Pago inmediato", 0, IFERROR(VALUE(MID(E962, 1, SEARCH(" ", E962)-1)),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62" s="79">
        <f>IF(AN962="","",IF(AND(N962&gt;0, AG962&gt;0), IF(Configuración!$K$2="NO", "ALERTA: DESCUENTO DOBLE NO PERMITIDO", "OK"), "OK"))</f>
        <v/>
      </c>
      <c r="AR962" s="79">
        <f>IF(AN962="","",IF(OR(AO962&lt;&gt;"OK", AP962&lt;&gt;"OK", AQ962&lt;&gt;"OK"), "⚠️ REVISAR", "OK"))</f>
        <v/>
      </c>
    </row>
    <row r="963">
      <c r="A963" s="79">
        <f>IF('Ordenes_Odoo'!A963="","",'Ordenes_Odoo'!A963)</f>
        <v/>
      </c>
      <c r="B963" s="80">
        <f>IF('Ordenes_Odoo'!B963="","",'Ordenes_Odoo'!B963)</f>
        <v/>
      </c>
      <c r="C963" s="79">
        <f>IF('Ordenes_Odoo'!C963="","",'Ordenes_Odoo'!C963)</f>
        <v/>
      </c>
      <c r="D963" s="79">
        <f>IF('Ordenes_Odoo'!D963="","",'Ordenes_Odoo'!D963)</f>
        <v/>
      </c>
      <c r="E963" s="79">
        <f>IF('Ordenes_Odoo'!E963="","",'Ordenes_Odoo'!E963)</f>
        <v/>
      </c>
      <c r="F963" s="79">
        <f>IF('Ordenes_Odoo'!F963="","",'Ordenes_Odoo'!F963)</f>
        <v/>
      </c>
      <c r="G963" s="79">
        <f>IF('Ordenes_Odoo'!G963="","",'Ordenes_Odoo'!G963)</f>
        <v/>
      </c>
      <c r="H963" s="79">
        <f>IF('Ordenes_Odoo'!H963="","",'Ordenes_Odoo'!H963)</f>
        <v/>
      </c>
      <c r="I963" s="79">
        <f>IF('Ordenes_Odoo'!I963="","",'Ordenes_Odoo'!I963)</f>
        <v/>
      </c>
      <c r="J963" s="79">
        <f>IF('Ordenes_Odoo'!J963="","",'Ordenes_Odoo'!J963)</f>
        <v/>
      </c>
      <c r="K963" s="81">
        <f>IF('Ordenes_Odoo'!K963="","",'Ordenes_Odoo'!K963)</f>
        <v/>
      </c>
      <c r="L963" s="81">
        <f>IF('Ordenes_Odoo'!L963="","",'Ordenes_Odoo'!L963)</f>
        <v/>
      </c>
      <c r="M963" s="79">
        <f>IF('Ordenes_Odoo'!M963="","",'Ordenes_Odoo'!M963)</f>
        <v/>
      </c>
      <c r="N963" s="79">
        <f>IF('Ordenes_Odoo'!N963="","",'Ordenes_Odoo'!N963)</f>
        <v/>
      </c>
      <c r="O963" s="81">
        <f>IF('Ordenes_Odoo'!O963="","",'Ordenes_Odoo'!O963)</f>
        <v/>
      </c>
      <c r="P963" s="81">
        <f>IF('Ordenes_Odoo'!P963="","",'Ordenes_Odoo'!P963)</f>
        <v/>
      </c>
      <c r="Q963" s="79">
        <f>IF(A963="","",IFERROR(INDEX(Facturas_Odoo!$B:$B, MATCH(A963, Facturas_Odoo!$D:$D, 0)), "Sin Factura"))</f>
        <v/>
      </c>
      <c r="R963" s="80">
        <f>IF(Q963="Sin Factura","",IFERROR(INDEX(Facturas_Odoo!$A:$A, MATCH(Q963, Facturas_Odoo!$B:$B, 0)), ""))</f>
        <v/>
      </c>
      <c r="S963" s="79">
        <f>IF(Q963="Sin Factura","",IFERROR(_xlfn.XLOOKUP(1, (Facturas_Odoo!$D:$D=A963) * (Facturas_Odoo!$K:$K=I963), Facturas_Odoo!$L:$L, ""), ""))</f>
        <v/>
      </c>
      <c r="T963" s="81">
        <f>IF(Q963="Sin Factura",0,IFERROR(_xlfn.XLOOKUP(1, (Facturas_Odoo!$D:$D=A963) * (Facturas_Odoo!$K:$K=I963), Facturas_Odoo!$M:$M, 0), 0))</f>
        <v/>
      </c>
      <c r="U963" s="79">
        <f>IF(Q963="Sin Factura",0,IFERROR(_xlfn.XLOOKUP(1, (Facturas_Odoo!$D:$D=A963) * (Facturas_Odoo!$K:$K=I963), Facturas_Odoo!$N:$N, 0), 0))</f>
        <v/>
      </c>
      <c r="V963" s="79">
        <f>IF(Q963="Sin Factura",0,IFERROR(_xlfn.XLOOKUP(1, (Facturas_Odoo!$D:$D=A963) * (Facturas_Odoo!$K:$K=I963), Facturas_Odoo!$O:$O, 0), 0))</f>
        <v/>
      </c>
      <c r="W963" s="81">
        <f>IF(Q963="Sin Factura",0,IFERROR(_xlfn.XLOOKUP(1, (Facturas_Odoo!$D:$D=A963) * (Facturas_Odoo!$K:$K=I963), Facturas_Odoo!$Q:$Q, 0), 0))</f>
        <v/>
      </c>
      <c r="X963" s="79">
        <f>IF(OR(Q963="Sin Factura",Q963=""),"",IFERROR(INDEX(Pagos_Odoo!$B:$B, MATCH(Q963, Pagos_Odoo!$I:$I, 0)), "Sin Pago"))</f>
        <v/>
      </c>
      <c r="Y963" s="79">
        <f>IF(X963="Sin Pago","",IFERROR(INDEX(Pagos_Odoo!$C:$C, MATCH(X963, Pagos_Odoo!$B:$B, 0)), ""))</f>
        <v/>
      </c>
      <c r="Z963" s="80">
        <f>IF(X963="Sin Pago","",IFERROR(INDEX(Pagos_Odoo!$A:$A, MATCH(X963, Pagos_Odoo!$B:$B, 0)), ""))</f>
        <v/>
      </c>
      <c r="AA963" s="79">
        <f>IF(X963="Sin Pago","",IFERROR(INDEX(Pagos_Odoo!$F:$F, MATCH(X963, Pagos_Odoo!$B:$B, 0)), ""))</f>
        <v/>
      </c>
      <c r="AB963" s="81">
        <f>IF(X963="Sin Pago",0,IFERROR(INDEX(Pagos_Odoo!$E:$E, MATCH(X963, Pagos_Odoo!$B:$B, 0)), 0))</f>
        <v/>
      </c>
      <c r="AC963" s="79">
        <f>IF(X963="Sin Pago","",IFERROR(INDEX(Pagos_Odoo!$G:$G, MATCH(X963, Pagos_Odoo!$B:$B, 0)), ""))</f>
        <v/>
      </c>
      <c r="AD963" s="82" t="n">
        <v>0</v>
      </c>
      <c r="AE963" s="82" t="n"/>
      <c r="AF963" s="82" t="n"/>
      <c r="AG963" s="82">
        <f>IF(AN963="","",AD963+AE963+AF963)</f>
        <v/>
      </c>
      <c r="AH963" s="81">
        <f>IF(AN963="","",P963*(1-AG963))</f>
        <v/>
      </c>
      <c r="AI963" s="81">
        <f>IF(AN963="","",IF(Q963="Sin Factura",0,IFERROR(INDEX(Facturas_Odoo!$H:$H, MATCH(Q963, Facturas_Odoo!$B:$B, 0)), 0)*(1-AG963)))</f>
        <v/>
      </c>
      <c r="AJ963" s="81">
        <f>IF(AN963="","",_xlfn.LET(idVenta, AN963&amp;"",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63" s="81">
        <f>IF(AN963="","",AH963-AJ963)</f>
        <v/>
      </c>
      <c r="AL963" s="81">
        <f>IF(AN963="","",IF(Q963="Sin Factura","",AI963-AJ963))</f>
        <v/>
      </c>
      <c r="AM963" s="81">
        <f>IF(AN963="","",IF(Q963="Sin Factura",0,P963-IFERROR(INDEX(Facturas_Odoo!$H:$H, MATCH(Q963, Facturas_Odoo!$B:$B, 0)), 0)))</f>
        <v/>
      </c>
      <c r="AN963" s="79">
        <f>IF(AND(A963="", J963=""), "", IF(A963&lt;&gt;"", VALUE(MID(A963,2,LEN(A963))), AN962))</f>
        <v/>
      </c>
      <c r="AO963" s="79">
        <f>IF(AN963="","",IF(AD963=0,"OK",_xlfn.LET(monedaPago, IF(AA963="","USD",AA963), limitePermitido, IFERROR(VLOOKUP(monedaPago, Configuración!$A$2:$B$3, 2, FALSE), 0.15), IF(AD963&gt;limitePermitido, "ALERTA: EXCESO (" &amp; TEXT(limitePermitido, "0%") &amp; " máx)", "OK"))))</f>
        <v/>
      </c>
      <c r="AP963" s="79">
        <f>IF(AN963="","",IF(AE963=0,"OK",_xlfn.LET(fechaPago, Z963, fechaFactura, R963, diasCredito, IF(E963="Pago inmediato", 0, IFERROR(VALUE(MID(E963, 1, SEARCH(" ", E963)-1)),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63" s="79">
        <f>IF(AN963="","",IF(AND(N963&gt;0, AG963&gt;0), IF(Configuración!$K$2="NO", "ALERTA: DESCUENTO DOBLE NO PERMITIDO", "OK"), "OK"))</f>
        <v/>
      </c>
      <c r="AR963" s="79">
        <f>IF(AN963="","",IF(OR(AO963&lt;&gt;"OK", AP963&lt;&gt;"OK", AQ963&lt;&gt;"OK"), "⚠️ REVISAR", "OK"))</f>
        <v/>
      </c>
    </row>
    <row r="964">
      <c r="A964" s="79">
        <f>IF('Ordenes_Odoo'!A964="","",'Ordenes_Odoo'!A964)</f>
        <v/>
      </c>
      <c r="B964" s="80">
        <f>IF('Ordenes_Odoo'!B964="","",'Ordenes_Odoo'!B964)</f>
        <v/>
      </c>
      <c r="C964" s="79">
        <f>IF('Ordenes_Odoo'!C964="","",'Ordenes_Odoo'!C964)</f>
        <v/>
      </c>
      <c r="D964" s="79">
        <f>IF('Ordenes_Odoo'!D964="","",'Ordenes_Odoo'!D964)</f>
        <v/>
      </c>
      <c r="E964" s="79">
        <f>IF('Ordenes_Odoo'!E964="","",'Ordenes_Odoo'!E964)</f>
        <v/>
      </c>
      <c r="F964" s="79">
        <f>IF('Ordenes_Odoo'!F964="","",'Ordenes_Odoo'!F964)</f>
        <v/>
      </c>
      <c r="G964" s="79">
        <f>IF('Ordenes_Odoo'!G964="","",'Ordenes_Odoo'!G964)</f>
        <v/>
      </c>
      <c r="H964" s="79">
        <f>IF('Ordenes_Odoo'!H964="","",'Ordenes_Odoo'!H964)</f>
        <v/>
      </c>
      <c r="I964" s="79">
        <f>IF('Ordenes_Odoo'!I964="","",'Ordenes_Odoo'!I964)</f>
        <v/>
      </c>
      <c r="J964" s="79">
        <f>IF('Ordenes_Odoo'!J964="","",'Ordenes_Odoo'!J964)</f>
        <v/>
      </c>
      <c r="K964" s="81">
        <f>IF('Ordenes_Odoo'!K964="","",'Ordenes_Odoo'!K964)</f>
        <v/>
      </c>
      <c r="L964" s="81">
        <f>IF('Ordenes_Odoo'!L964="","",'Ordenes_Odoo'!L964)</f>
        <v/>
      </c>
      <c r="M964" s="79">
        <f>IF('Ordenes_Odoo'!M964="","",'Ordenes_Odoo'!M964)</f>
        <v/>
      </c>
      <c r="N964" s="79">
        <f>IF('Ordenes_Odoo'!N964="","",'Ordenes_Odoo'!N964)</f>
        <v/>
      </c>
      <c r="O964" s="81">
        <f>IF('Ordenes_Odoo'!O964="","",'Ordenes_Odoo'!O964)</f>
        <v/>
      </c>
      <c r="P964" s="81">
        <f>IF('Ordenes_Odoo'!P964="","",'Ordenes_Odoo'!P964)</f>
        <v/>
      </c>
      <c r="Q964" s="79">
        <f>IF(A964="","",IFERROR(INDEX(Facturas_Odoo!$B:$B, MATCH(A964, Facturas_Odoo!$D:$D, 0)), "Sin Factura"))</f>
        <v/>
      </c>
      <c r="R964" s="80">
        <f>IF(Q964="Sin Factura","",IFERROR(INDEX(Facturas_Odoo!$A:$A, MATCH(Q964, Facturas_Odoo!$B:$B, 0)), ""))</f>
        <v/>
      </c>
      <c r="S964" s="79">
        <f>IF(Q964="Sin Factura","",IFERROR(_xlfn.XLOOKUP(1, (Facturas_Odoo!$D:$D=A964) * (Facturas_Odoo!$K:$K=I964), Facturas_Odoo!$L:$L, ""), ""))</f>
        <v/>
      </c>
      <c r="T964" s="81">
        <f>IF(Q964="Sin Factura",0,IFERROR(_xlfn.XLOOKUP(1, (Facturas_Odoo!$D:$D=A964) * (Facturas_Odoo!$K:$K=I964), Facturas_Odoo!$M:$M, 0), 0))</f>
        <v/>
      </c>
      <c r="U964" s="79">
        <f>IF(Q964="Sin Factura",0,IFERROR(_xlfn.XLOOKUP(1, (Facturas_Odoo!$D:$D=A964) * (Facturas_Odoo!$K:$K=I964), Facturas_Odoo!$N:$N, 0), 0))</f>
        <v/>
      </c>
      <c r="V964" s="79">
        <f>IF(Q964="Sin Factura",0,IFERROR(_xlfn.XLOOKUP(1, (Facturas_Odoo!$D:$D=A964) * (Facturas_Odoo!$K:$K=I964), Facturas_Odoo!$O:$O, 0), 0))</f>
        <v/>
      </c>
      <c r="W964" s="81">
        <f>IF(Q964="Sin Factura",0,IFERROR(_xlfn.XLOOKUP(1, (Facturas_Odoo!$D:$D=A964) * (Facturas_Odoo!$K:$K=I964), Facturas_Odoo!$Q:$Q, 0), 0))</f>
        <v/>
      </c>
      <c r="X964" s="79">
        <f>IF(OR(Q964="Sin Factura",Q964=""),"",IFERROR(INDEX(Pagos_Odoo!$B:$B, MATCH(Q964, Pagos_Odoo!$I:$I, 0)), "Sin Pago"))</f>
        <v/>
      </c>
      <c r="Y964" s="79">
        <f>IF(X964="Sin Pago","",IFERROR(INDEX(Pagos_Odoo!$C:$C, MATCH(X964, Pagos_Odoo!$B:$B, 0)), ""))</f>
        <v/>
      </c>
      <c r="Z964" s="80">
        <f>IF(X964="Sin Pago","",IFERROR(INDEX(Pagos_Odoo!$A:$A, MATCH(X964, Pagos_Odoo!$B:$B, 0)), ""))</f>
        <v/>
      </c>
      <c r="AA964" s="79">
        <f>IF(X964="Sin Pago","",IFERROR(INDEX(Pagos_Odoo!$F:$F, MATCH(X964, Pagos_Odoo!$B:$B, 0)), ""))</f>
        <v/>
      </c>
      <c r="AB964" s="81">
        <f>IF(X964="Sin Pago",0,IFERROR(INDEX(Pagos_Odoo!$E:$E, MATCH(X964, Pagos_Odoo!$B:$B, 0)), 0))</f>
        <v/>
      </c>
      <c r="AC964" s="79">
        <f>IF(X964="Sin Pago","",IFERROR(INDEX(Pagos_Odoo!$G:$G, MATCH(X964, Pagos_Odoo!$B:$B, 0)), ""))</f>
        <v/>
      </c>
      <c r="AD964" s="82" t="n">
        <v>0</v>
      </c>
      <c r="AE964" s="82" t="n"/>
      <c r="AF964" s="82" t="n"/>
      <c r="AG964" s="82">
        <f>IF(AN964="","",AD964+AE964+AF964)</f>
        <v/>
      </c>
      <c r="AH964" s="81">
        <f>IF(AN964="","",P964*(1-AG964))</f>
        <v/>
      </c>
      <c r="AI964" s="81">
        <f>IF(AN964="","",IF(Q964="Sin Factura",0,IFERROR(INDEX(Facturas_Odoo!$H:$H, MATCH(Q964, Facturas_Odoo!$B:$B, 0)), 0)*(1-AG964)))</f>
        <v/>
      </c>
      <c r="AJ964" s="81">
        <f>IF(AN964="","",_xlfn.LET(idVenta, AN964&amp;"",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64" s="81">
        <f>IF(AN964="","",AH964-AJ964)</f>
        <v/>
      </c>
      <c r="AL964" s="81">
        <f>IF(AN964="","",IF(Q964="Sin Factura","",AI964-AJ964))</f>
        <v/>
      </c>
      <c r="AM964" s="81">
        <f>IF(AN964="","",IF(Q964="Sin Factura",0,P964-IFERROR(INDEX(Facturas_Odoo!$H:$H, MATCH(Q964, Facturas_Odoo!$B:$B, 0)), 0)))</f>
        <v/>
      </c>
      <c r="AN964" s="79">
        <f>IF(AND(A964="", J964=""), "", IF(A964&lt;&gt;"", VALUE(MID(A964,2,LEN(A964))), AN963))</f>
        <v/>
      </c>
      <c r="AO964" s="79">
        <f>IF(AN964="","",IF(AD964=0,"OK",_xlfn.LET(monedaPago, IF(AA964="","USD",AA964), limitePermitido, IFERROR(VLOOKUP(monedaPago, Configuración!$A$2:$B$3, 2, FALSE), 0.15), IF(AD964&gt;limitePermitido, "ALERTA: EXCESO (" &amp; TEXT(limitePermitido, "0%") &amp; " máx)", "OK"))))</f>
        <v/>
      </c>
      <c r="AP964" s="79">
        <f>IF(AN964="","",IF(AE964=0,"OK",_xlfn.LET(fechaPago, Z964, fechaFactura, R964, diasCredito, IF(E964="Pago inmediato", 0, IFERROR(VALUE(MID(E964, 1, SEARCH(" ", E964)-1)),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64" s="79">
        <f>IF(AN964="","",IF(AND(N964&gt;0, AG964&gt;0), IF(Configuración!$K$2="NO", "ALERTA: DESCUENTO DOBLE NO PERMITIDO", "OK"), "OK"))</f>
        <v/>
      </c>
      <c r="AR964" s="79">
        <f>IF(AN964="","",IF(OR(AO964&lt;&gt;"OK", AP964&lt;&gt;"OK", AQ964&lt;&gt;"OK"), "⚠️ REVISAR", "OK"))</f>
        <v/>
      </c>
    </row>
    <row r="965">
      <c r="A965" s="79">
        <f>IF('Ordenes_Odoo'!A965="","",'Ordenes_Odoo'!A965)</f>
        <v/>
      </c>
      <c r="B965" s="80">
        <f>IF('Ordenes_Odoo'!B965="","",'Ordenes_Odoo'!B965)</f>
        <v/>
      </c>
      <c r="C965" s="79">
        <f>IF('Ordenes_Odoo'!C965="","",'Ordenes_Odoo'!C965)</f>
        <v/>
      </c>
      <c r="D965" s="79">
        <f>IF('Ordenes_Odoo'!D965="","",'Ordenes_Odoo'!D965)</f>
        <v/>
      </c>
      <c r="E965" s="79">
        <f>IF('Ordenes_Odoo'!E965="","",'Ordenes_Odoo'!E965)</f>
        <v/>
      </c>
      <c r="F965" s="79">
        <f>IF('Ordenes_Odoo'!F965="","",'Ordenes_Odoo'!F965)</f>
        <v/>
      </c>
      <c r="G965" s="79">
        <f>IF('Ordenes_Odoo'!G965="","",'Ordenes_Odoo'!G965)</f>
        <v/>
      </c>
      <c r="H965" s="79">
        <f>IF('Ordenes_Odoo'!H965="","",'Ordenes_Odoo'!H965)</f>
        <v/>
      </c>
      <c r="I965" s="79">
        <f>IF('Ordenes_Odoo'!I965="","",'Ordenes_Odoo'!I965)</f>
        <v/>
      </c>
      <c r="J965" s="79">
        <f>IF('Ordenes_Odoo'!J965="","",'Ordenes_Odoo'!J965)</f>
        <v/>
      </c>
      <c r="K965" s="81">
        <f>IF('Ordenes_Odoo'!K965="","",'Ordenes_Odoo'!K965)</f>
        <v/>
      </c>
      <c r="L965" s="81">
        <f>IF('Ordenes_Odoo'!L965="","",'Ordenes_Odoo'!L965)</f>
        <v/>
      </c>
      <c r="M965" s="79">
        <f>IF('Ordenes_Odoo'!M965="","",'Ordenes_Odoo'!M965)</f>
        <v/>
      </c>
      <c r="N965" s="79">
        <f>IF('Ordenes_Odoo'!N965="","",'Ordenes_Odoo'!N965)</f>
        <v/>
      </c>
      <c r="O965" s="81">
        <f>IF('Ordenes_Odoo'!O965="","",'Ordenes_Odoo'!O965)</f>
        <v/>
      </c>
      <c r="P965" s="81">
        <f>IF('Ordenes_Odoo'!P965="","",'Ordenes_Odoo'!P965)</f>
        <v/>
      </c>
      <c r="Q965" s="79">
        <f>IF(A965="","",IFERROR(INDEX(Facturas_Odoo!$B:$B, MATCH(A965, Facturas_Odoo!$D:$D, 0)), "Sin Factura"))</f>
        <v/>
      </c>
      <c r="R965" s="80">
        <f>IF(Q965="Sin Factura","",IFERROR(INDEX(Facturas_Odoo!$A:$A, MATCH(Q965, Facturas_Odoo!$B:$B, 0)), ""))</f>
        <v/>
      </c>
      <c r="S965" s="79">
        <f>IF(Q965="Sin Factura","",IFERROR(_xlfn.XLOOKUP(1, (Facturas_Odoo!$D:$D=A965) * (Facturas_Odoo!$K:$K=I965), Facturas_Odoo!$L:$L, ""), ""))</f>
        <v/>
      </c>
      <c r="T965" s="81">
        <f>IF(Q965="Sin Factura",0,IFERROR(_xlfn.XLOOKUP(1, (Facturas_Odoo!$D:$D=A965) * (Facturas_Odoo!$K:$K=I965), Facturas_Odoo!$M:$M, 0), 0))</f>
        <v/>
      </c>
      <c r="U965" s="79">
        <f>IF(Q965="Sin Factura",0,IFERROR(_xlfn.XLOOKUP(1, (Facturas_Odoo!$D:$D=A965) * (Facturas_Odoo!$K:$K=I965), Facturas_Odoo!$N:$N, 0), 0))</f>
        <v/>
      </c>
      <c r="V965" s="79">
        <f>IF(Q965="Sin Factura",0,IFERROR(_xlfn.XLOOKUP(1, (Facturas_Odoo!$D:$D=A965) * (Facturas_Odoo!$K:$K=I965), Facturas_Odoo!$O:$O, 0), 0))</f>
        <v/>
      </c>
      <c r="W965" s="81">
        <f>IF(Q965="Sin Factura",0,IFERROR(_xlfn.XLOOKUP(1, (Facturas_Odoo!$D:$D=A965) * (Facturas_Odoo!$K:$K=I965), Facturas_Odoo!$Q:$Q, 0), 0))</f>
        <v/>
      </c>
      <c r="X965" s="79">
        <f>IF(OR(Q965="Sin Factura",Q965=""),"",IFERROR(INDEX(Pagos_Odoo!$B:$B, MATCH(Q965, Pagos_Odoo!$I:$I, 0)), "Sin Pago"))</f>
        <v/>
      </c>
      <c r="Y965" s="79">
        <f>IF(X965="Sin Pago","",IFERROR(INDEX(Pagos_Odoo!$C:$C, MATCH(X965, Pagos_Odoo!$B:$B, 0)), ""))</f>
        <v/>
      </c>
      <c r="Z965" s="80">
        <f>IF(X965="Sin Pago","",IFERROR(INDEX(Pagos_Odoo!$A:$A, MATCH(X965, Pagos_Odoo!$B:$B, 0)), ""))</f>
        <v/>
      </c>
      <c r="AA965" s="79">
        <f>IF(X965="Sin Pago","",IFERROR(INDEX(Pagos_Odoo!$F:$F, MATCH(X965, Pagos_Odoo!$B:$B, 0)), ""))</f>
        <v/>
      </c>
      <c r="AB965" s="81">
        <f>IF(X965="Sin Pago",0,IFERROR(INDEX(Pagos_Odoo!$E:$E, MATCH(X965, Pagos_Odoo!$B:$B, 0)), 0))</f>
        <v/>
      </c>
      <c r="AC965" s="79">
        <f>IF(X965="Sin Pago","",IFERROR(INDEX(Pagos_Odoo!$G:$G, MATCH(X965, Pagos_Odoo!$B:$B, 0)), ""))</f>
        <v/>
      </c>
      <c r="AD965" s="82" t="n">
        <v>0</v>
      </c>
      <c r="AE965" s="82" t="n"/>
      <c r="AF965" s="82" t="n"/>
      <c r="AG965" s="82">
        <f>IF(AN965="","",AD965+AE965+AF965)</f>
        <v/>
      </c>
      <c r="AH965" s="81">
        <f>IF(AN965="","",P965*(1-AG965))</f>
        <v/>
      </c>
      <c r="AI965" s="81">
        <f>IF(AN965="","",IF(Q965="Sin Factura",0,IFERROR(INDEX(Facturas_Odoo!$H:$H, MATCH(Q965, Facturas_Odoo!$B:$B, 0)), 0)*(1-AG965)))</f>
        <v/>
      </c>
      <c r="AJ965" s="81">
        <f>IF(AN965="","",_xlfn.LET(idVenta, AN965&amp;"",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65" s="81">
        <f>IF(AN965="","",AH965-AJ965)</f>
        <v/>
      </c>
      <c r="AL965" s="81">
        <f>IF(AN965="","",IF(Q965="Sin Factura","",AI965-AJ965))</f>
        <v/>
      </c>
      <c r="AM965" s="81">
        <f>IF(AN965="","",IF(Q965="Sin Factura",0,P965-IFERROR(INDEX(Facturas_Odoo!$H:$H, MATCH(Q965, Facturas_Odoo!$B:$B, 0)), 0)))</f>
        <v/>
      </c>
      <c r="AN965" s="79">
        <f>IF(AND(A965="", J965=""), "", IF(A965&lt;&gt;"", VALUE(MID(A965,2,LEN(A965))), AN964))</f>
        <v/>
      </c>
      <c r="AO965" s="79">
        <f>IF(AN965="","",IF(AD965=0,"OK",_xlfn.LET(monedaPago, IF(AA965="","USD",AA965), limitePermitido, IFERROR(VLOOKUP(monedaPago, Configuración!$A$2:$B$3, 2, FALSE), 0.15), IF(AD965&gt;limitePermitido, "ALERTA: EXCESO (" &amp; TEXT(limitePermitido, "0%") &amp; " máx)", "OK"))))</f>
        <v/>
      </c>
      <c r="AP965" s="79">
        <f>IF(AN965="","",IF(AE965=0,"OK",_xlfn.LET(fechaPago, Z965, fechaFactura, R965, diasCredito, IF(E965="Pago inmediato", 0, IFERROR(VALUE(MID(E965, 1, SEARCH(" ", E965)-1)),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65" s="79">
        <f>IF(AN965="","",IF(AND(N965&gt;0, AG965&gt;0), IF(Configuración!$K$2="NO", "ALERTA: DESCUENTO DOBLE NO PERMITIDO", "OK"), "OK"))</f>
        <v/>
      </c>
      <c r="AR965" s="79">
        <f>IF(AN965="","",IF(OR(AO965&lt;&gt;"OK", AP965&lt;&gt;"OK", AQ965&lt;&gt;"OK"), "⚠️ REVISAR", "OK"))</f>
        <v/>
      </c>
    </row>
    <row r="966">
      <c r="A966" s="79">
        <f>IF('Ordenes_Odoo'!A966="","",'Ordenes_Odoo'!A966)</f>
        <v/>
      </c>
      <c r="B966" s="80">
        <f>IF('Ordenes_Odoo'!B966="","",'Ordenes_Odoo'!B966)</f>
        <v/>
      </c>
      <c r="C966" s="79">
        <f>IF('Ordenes_Odoo'!C966="","",'Ordenes_Odoo'!C966)</f>
        <v/>
      </c>
      <c r="D966" s="79">
        <f>IF('Ordenes_Odoo'!D966="","",'Ordenes_Odoo'!D966)</f>
        <v/>
      </c>
      <c r="E966" s="79">
        <f>IF('Ordenes_Odoo'!E966="","",'Ordenes_Odoo'!E966)</f>
        <v/>
      </c>
      <c r="F966" s="79">
        <f>IF('Ordenes_Odoo'!F966="","",'Ordenes_Odoo'!F966)</f>
        <v/>
      </c>
      <c r="G966" s="79">
        <f>IF('Ordenes_Odoo'!G966="","",'Ordenes_Odoo'!G966)</f>
        <v/>
      </c>
      <c r="H966" s="79">
        <f>IF('Ordenes_Odoo'!H966="","",'Ordenes_Odoo'!H966)</f>
        <v/>
      </c>
      <c r="I966" s="79">
        <f>IF('Ordenes_Odoo'!I966="","",'Ordenes_Odoo'!I966)</f>
        <v/>
      </c>
      <c r="J966" s="79">
        <f>IF('Ordenes_Odoo'!J966="","",'Ordenes_Odoo'!J966)</f>
        <v/>
      </c>
      <c r="K966" s="81">
        <f>IF('Ordenes_Odoo'!K966="","",'Ordenes_Odoo'!K966)</f>
        <v/>
      </c>
      <c r="L966" s="81">
        <f>IF('Ordenes_Odoo'!L966="","",'Ordenes_Odoo'!L966)</f>
        <v/>
      </c>
      <c r="M966" s="79">
        <f>IF('Ordenes_Odoo'!M966="","",'Ordenes_Odoo'!M966)</f>
        <v/>
      </c>
      <c r="N966" s="79">
        <f>IF('Ordenes_Odoo'!N966="","",'Ordenes_Odoo'!N966)</f>
        <v/>
      </c>
      <c r="O966" s="81">
        <f>IF('Ordenes_Odoo'!O966="","",'Ordenes_Odoo'!O966)</f>
        <v/>
      </c>
      <c r="P966" s="81">
        <f>IF('Ordenes_Odoo'!P966="","",'Ordenes_Odoo'!P966)</f>
        <v/>
      </c>
      <c r="Q966" s="79">
        <f>IF(A966="","",IFERROR(INDEX(Facturas_Odoo!$B:$B, MATCH(A966, Facturas_Odoo!$D:$D, 0)), "Sin Factura"))</f>
        <v/>
      </c>
      <c r="R966" s="80">
        <f>IF(Q966="Sin Factura","",IFERROR(INDEX(Facturas_Odoo!$A:$A, MATCH(Q966, Facturas_Odoo!$B:$B, 0)), ""))</f>
        <v/>
      </c>
      <c r="S966" s="79">
        <f>IF(Q966="Sin Factura","",IFERROR(_xlfn.XLOOKUP(1, (Facturas_Odoo!$D:$D=A966) * (Facturas_Odoo!$K:$K=I966), Facturas_Odoo!$L:$L, ""), ""))</f>
        <v/>
      </c>
      <c r="T966" s="81">
        <f>IF(Q966="Sin Factura",0,IFERROR(_xlfn.XLOOKUP(1, (Facturas_Odoo!$D:$D=A966) * (Facturas_Odoo!$K:$K=I966), Facturas_Odoo!$M:$M, 0), 0))</f>
        <v/>
      </c>
      <c r="U966" s="79">
        <f>IF(Q966="Sin Factura",0,IFERROR(_xlfn.XLOOKUP(1, (Facturas_Odoo!$D:$D=A966) * (Facturas_Odoo!$K:$K=I966), Facturas_Odoo!$N:$N, 0), 0))</f>
        <v/>
      </c>
      <c r="V966" s="79">
        <f>IF(Q966="Sin Factura",0,IFERROR(_xlfn.XLOOKUP(1, (Facturas_Odoo!$D:$D=A966) * (Facturas_Odoo!$K:$K=I966), Facturas_Odoo!$O:$O, 0), 0))</f>
        <v/>
      </c>
      <c r="W966" s="81">
        <f>IF(Q966="Sin Factura",0,IFERROR(_xlfn.XLOOKUP(1, (Facturas_Odoo!$D:$D=A966) * (Facturas_Odoo!$K:$K=I966), Facturas_Odoo!$Q:$Q, 0), 0))</f>
        <v/>
      </c>
      <c r="X966" s="79">
        <f>IF(OR(Q966="Sin Factura",Q966=""),"",IFERROR(INDEX(Pagos_Odoo!$B:$B, MATCH(Q966, Pagos_Odoo!$I:$I, 0)), "Sin Pago"))</f>
        <v/>
      </c>
      <c r="Y966" s="79">
        <f>IF(X966="Sin Pago","",IFERROR(INDEX(Pagos_Odoo!$C:$C, MATCH(X966, Pagos_Odoo!$B:$B, 0)), ""))</f>
        <v/>
      </c>
      <c r="Z966" s="80">
        <f>IF(X966="Sin Pago","",IFERROR(INDEX(Pagos_Odoo!$A:$A, MATCH(X966, Pagos_Odoo!$B:$B, 0)), ""))</f>
        <v/>
      </c>
      <c r="AA966" s="79">
        <f>IF(X966="Sin Pago","",IFERROR(INDEX(Pagos_Odoo!$F:$F, MATCH(X966, Pagos_Odoo!$B:$B, 0)), ""))</f>
        <v/>
      </c>
      <c r="AB966" s="81">
        <f>IF(X966="Sin Pago",0,IFERROR(INDEX(Pagos_Odoo!$E:$E, MATCH(X966, Pagos_Odoo!$B:$B, 0)), 0))</f>
        <v/>
      </c>
      <c r="AC966" s="79">
        <f>IF(X966="Sin Pago","",IFERROR(INDEX(Pagos_Odoo!$G:$G, MATCH(X966, Pagos_Odoo!$B:$B, 0)), ""))</f>
        <v/>
      </c>
      <c r="AD966" s="82" t="n">
        <v>0</v>
      </c>
      <c r="AE966" s="82" t="n"/>
      <c r="AF966" s="82" t="n"/>
      <c r="AG966" s="82">
        <f>IF(AN966="","",AD966+AE966+AF966)</f>
        <v/>
      </c>
      <c r="AH966" s="81">
        <f>IF(AN966="","",P966*(1-AG966))</f>
        <v/>
      </c>
      <c r="AI966" s="81">
        <f>IF(AN966="","",IF(Q966="Sin Factura",0,IFERROR(INDEX(Facturas_Odoo!$H:$H, MATCH(Q966, Facturas_Odoo!$B:$B, 0)), 0)*(1-AG966)))</f>
        <v/>
      </c>
      <c r="AJ966" s="81">
        <f>IF(AN966="","",_xlfn.LET(idVenta, AN966&amp;"",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66" s="81">
        <f>IF(AN966="","",AH966-AJ966)</f>
        <v/>
      </c>
      <c r="AL966" s="81">
        <f>IF(AN966="","",IF(Q966="Sin Factura","",AI966-AJ966))</f>
        <v/>
      </c>
      <c r="AM966" s="81">
        <f>IF(AN966="","",IF(Q966="Sin Factura",0,P966-IFERROR(INDEX(Facturas_Odoo!$H:$H, MATCH(Q966, Facturas_Odoo!$B:$B, 0)), 0)))</f>
        <v/>
      </c>
      <c r="AN966" s="79">
        <f>IF(AND(A966="", J966=""), "", IF(A966&lt;&gt;"", VALUE(MID(A966,2,LEN(A966))), AN965))</f>
        <v/>
      </c>
      <c r="AO966" s="79">
        <f>IF(AN966="","",IF(AD966=0,"OK",_xlfn.LET(monedaPago, IF(AA966="","USD",AA966), limitePermitido, IFERROR(VLOOKUP(monedaPago, Configuración!$A$2:$B$3, 2, FALSE), 0.15), IF(AD966&gt;limitePermitido, "ALERTA: EXCESO (" &amp; TEXT(limitePermitido, "0%") &amp; " máx)", "OK"))))</f>
        <v/>
      </c>
      <c r="AP966" s="79">
        <f>IF(AN966="","",IF(AE966=0,"OK",_xlfn.LET(fechaPago, Z966, fechaFactura, R966, diasCredito, IF(E966="Pago inmediato", 0, IFERROR(VALUE(MID(E966, 1, SEARCH(" ", E966)-1)),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66" s="79">
        <f>IF(AN966="","",IF(AND(N966&gt;0, AG966&gt;0), IF(Configuración!$K$2="NO", "ALERTA: DESCUENTO DOBLE NO PERMITIDO", "OK"), "OK"))</f>
        <v/>
      </c>
      <c r="AR966" s="79">
        <f>IF(AN966="","",IF(OR(AO966&lt;&gt;"OK", AP966&lt;&gt;"OK", AQ966&lt;&gt;"OK"), "⚠️ REVISAR", "OK"))</f>
        <v/>
      </c>
    </row>
    <row r="967">
      <c r="A967" s="79">
        <f>IF('Ordenes_Odoo'!A967="","",'Ordenes_Odoo'!A967)</f>
        <v/>
      </c>
      <c r="B967" s="80">
        <f>IF('Ordenes_Odoo'!B967="","",'Ordenes_Odoo'!B967)</f>
        <v/>
      </c>
      <c r="C967" s="79">
        <f>IF('Ordenes_Odoo'!C967="","",'Ordenes_Odoo'!C967)</f>
        <v/>
      </c>
      <c r="D967" s="79">
        <f>IF('Ordenes_Odoo'!D967="","",'Ordenes_Odoo'!D967)</f>
        <v/>
      </c>
      <c r="E967" s="79">
        <f>IF('Ordenes_Odoo'!E967="","",'Ordenes_Odoo'!E967)</f>
        <v/>
      </c>
      <c r="F967" s="79">
        <f>IF('Ordenes_Odoo'!F967="","",'Ordenes_Odoo'!F967)</f>
        <v/>
      </c>
      <c r="G967" s="79">
        <f>IF('Ordenes_Odoo'!G967="","",'Ordenes_Odoo'!G967)</f>
        <v/>
      </c>
      <c r="H967" s="79">
        <f>IF('Ordenes_Odoo'!H967="","",'Ordenes_Odoo'!H967)</f>
        <v/>
      </c>
      <c r="I967" s="79">
        <f>IF('Ordenes_Odoo'!I967="","",'Ordenes_Odoo'!I967)</f>
        <v/>
      </c>
      <c r="J967" s="79">
        <f>IF('Ordenes_Odoo'!J967="","",'Ordenes_Odoo'!J967)</f>
        <v/>
      </c>
      <c r="K967" s="81">
        <f>IF('Ordenes_Odoo'!K967="","",'Ordenes_Odoo'!K967)</f>
        <v/>
      </c>
      <c r="L967" s="81">
        <f>IF('Ordenes_Odoo'!L967="","",'Ordenes_Odoo'!L967)</f>
        <v/>
      </c>
      <c r="M967" s="79">
        <f>IF('Ordenes_Odoo'!M967="","",'Ordenes_Odoo'!M967)</f>
        <v/>
      </c>
      <c r="N967" s="79">
        <f>IF('Ordenes_Odoo'!N967="","",'Ordenes_Odoo'!N967)</f>
        <v/>
      </c>
      <c r="O967" s="81">
        <f>IF('Ordenes_Odoo'!O967="","",'Ordenes_Odoo'!O967)</f>
        <v/>
      </c>
      <c r="P967" s="81">
        <f>IF('Ordenes_Odoo'!P967="","",'Ordenes_Odoo'!P967)</f>
        <v/>
      </c>
      <c r="Q967" s="79">
        <f>IF(A967="","",IFERROR(INDEX(Facturas_Odoo!$B:$B, MATCH(A967, Facturas_Odoo!$D:$D, 0)), "Sin Factura"))</f>
        <v/>
      </c>
      <c r="R967" s="80">
        <f>IF(Q967="Sin Factura","",IFERROR(INDEX(Facturas_Odoo!$A:$A, MATCH(Q967, Facturas_Odoo!$B:$B, 0)), ""))</f>
        <v/>
      </c>
      <c r="S967" s="79">
        <f>IF(Q967="Sin Factura","",IFERROR(_xlfn.XLOOKUP(1, (Facturas_Odoo!$D:$D=A967) * (Facturas_Odoo!$K:$K=I967), Facturas_Odoo!$L:$L, ""), ""))</f>
        <v/>
      </c>
      <c r="T967" s="81">
        <f>IF(Q967="Sin Factura",0,IFERROR(_xlfn.XLOOKUP(1, (Facturas_Odoo!$D:$D=A967) * (Facturas_Odoo!$K:$K=I967), Facturas_Odoo!$M:$M, 0), 0))</f>
        <v/>
      </c>
      <c r="U967" s="79">
        <f>IF(Q967="Sin Factura",0,IFERROR(_xlfn.XLOOKUP(1, (Facturas_Odoo!$D:$D=A967) * (Facturas_Odoo!$K:$K=I967), Facturas_Odoo!$N:$N, 0), 0))</f>
        <v/>
      </c>
      <c r="V967" s="79">
        <f>IF(Q967="Sin Factura",0,IFERROR(_xlfn.XLOOKUP(1, (Facturas_Odoo!$D:$D=A967) * (Facturas_Odoo!$K:$K=I967), Facturas_Odoo!$O:$O, 0), 0))</f>
        <v/>
      </c>
      <c r="W967" s="81">
        <f>IF(Q967="Sin Factura",0,IFERROR(_xlfn.XLOOKUP(1, (Facturas_Odoo!$D:$D=A967) * (Facturas_Odoo!$K:$K=I967), Facturas_Odoo!$Q:$Q, 0), 0))</f>
        <v/>
      </c>
      <c r="X967" s="79">
        <f>IF(OR(Q967="Sin Factura",Q967=""),"",IFERROR(INDEX(Pagos_Odoo!$B:$B, MATCH(Q967, Pagos_Odoo!$I:$I, 0)), "Sin Pago"))</f>
        <v/>
      </c>
      <c r="Y967" s="79">
        <f>IF(X967="Sin Pago","",IFERROR(INDEX(Pagos_Odoo!$C:$C, MATCH(X967, Pagos_Odoo!$B:$B, 0)), ""))</f>
        <v/>
      </c>
      <c r="Z967" s="80">
        <f>IF(X967="Sin Pago","",IFERROR(INDEX(Pagos_Odoo!$A:$A, MATCH(X967, Pagos_Odoo!$B:$B, 0)), ""))</f>
        <v/>
      </c>
      <c r="AA967" s="79">
        <f>IF(X967="Sin Pago","",IFERROR(INDEX(Pagos_Odoo!$F:$F, MATCH(X967, Pagos_Odoo!$B:$B, 0)), ""))</f>
        <v/>
      </c>
      <c r="AB967" s="81">
        <f>IF(X967="Sin Pago",0,IFERROR(INDEX(Pagos_Odoo!$E:$E, MATCH(X967, Pagos_Odoo!$B:$B, 0)), 0))</f>
        <v/>
      </c>
      <c r="AC967" s="79">
        <f>IF(X967="Sin Pago","",IFERROR(INDEX(Pagos_Odoo!$G:$G, MATCH(X967, Pagos_Odoo!$B:$B, 0)), ""))</f>
        <v/>
      </c>
      <c r="AD967" s="82" t="n">
        <v>0</v>
      </c>
      <c r="AE967" s="82" t="n"/>
      <c r="AF967" s="82" t="n"/>
      <c r="AG967" s="82">
        <f>IF(AN967="","",AD967+AE967+AF967)</f>
        <v/>
      </c>
      <c r="AH967" s="81">
        <f>IF(AN967="","",P967*(1-AG967))</f>
        <v/>
      </c>
      <c r="AI967" s="81">
        <f>IF(AN967="","",IF(Q967="Sin Factura",0,IFERROR(INDEX(Facturas_Odoo!$H:$H, MATCH(Q967, Facturas_Odoo!$B:$B, 0)), 0)*(1-AG967)))</f>
        <v/>
      </c>
      <c r="AJ967" s="81">
        <f>IF(AN967="","",_xlfn.LET(idVenta, AN967&amp;"",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67" s="81">
        <f>IF(AN967="","",AH967-AJ967)</f>
        <v/>
      </c>
      <c r="AL967" s="81">
        <f>IF(AN967="","",IF(Q967="Sin Factura","",AI967-AJ967))</f>
        <v/>
      </c>
      <c r="AM967" s="81">
        <f>IF(AN967="","",IF(Q967="Sin Factura",0,P967-IFERROR(INDEX(Facturas_Odoo!$H:$H, MATCH(Q967, Facturas_Odoo!$B:$B, 0)), 0)))</f>
        <v/>
      </c>
      <c r="AN967" s="79">
        <f>IF(AND(A967="", J967=""), "", IF(A967&lt;&gt;"", VALUE(MID(A967,2,LEN(A967))), AN966))</f>
        <v/>
      </c>
      <c r="AO967" s="79">
        <f>IF(AN967="","",IF(AD967=0,"OK",_xlfn.LET(monedaPago, IF(AA967="","USD",AA967), limitePermitido, IFERROR(VLOOKUP(monedaPago, Configuración!$A$2:$B$3, 2, FALSE), 0.15), IF(AD967&gt;limitePermitido, "ALERTA: EXCESO (" &amp; TEXT(limitePermitido, "0%") &amp; " máx)", "OK"))))</f>
        <v/>
      </c>
      <c r="AP967" s="79">
        <f>IF(AN967="","",IF(AE967=0,"OK",_xlfn.LET(fechaPago, Z967, fechaFactura, R967, diasCredito, IF(E967="Pago inmediato", 0, IFERROR(VALUE(MID(E967, 1, SEARCH(" ", E967)-1)),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67" s="79">
        <f>IF(AN967="","",IF(AND(N967&gt;0, AG967&gt;0), IF(Configuración!$K$2="NO", "ALERTA: DESCUENTO DOBLE NO PERMITIDO", "OK"), "OK"))</f>
        <v/>
      </c>
      <c r="AR967" s="79">
        <f>IF(AN967="","",IF(OR(AO967&lt;&gt;"OK", AP967&lt;&gt;"OK", AQ967&lt;&gt;"OK"), "⚠️ REVISAR", "OK"))</f>
        <v/>
      </c>
    </row>
    <row r="968">
      <c r="A968" s="79">
        <f>IF('Ordenes_Odoo'!A968="","",'Ordenes_Odoo'!A968)</f>
        <v/>
      </c>
      <c r="B968" s="80">
        <f>IF('Ordenes_Odoo'!B968="","",'Ordenes_Odoo'!B968)</f>
        <v/>
      </c>
      <c r="C968" s="79">
        <f>IF('Ordenes_Odoo'!C968="","",'Ordenes_Odoo'!C968)</f>
        <v/>
      </c>
      <c r="D968" s="79">
        <f>IF('Ordenes_Odoo'!D968="","",'Ordenes_Odoo'!D968)</f>
        <v/>
      </c>
      <c r="E968" s="79">
        <f>IF('Ordenes_Odoo'!E968="","",'Ordenes_Odoo'!E968)</f>
        <v/>
      </c>
      <c r="F968" s="79">
        <f>IF('Ordenes_Odoo'!F968="","",'Ordenes_Odoo'!F968)</f>
        <v/>
      </c>
      <c r="G968" s="79">
        <f>IF('Ordenes_Odoo'!G968="","",'Ordenes_Odoo'!G968)</f>
        <v/>
      </c>
      <c r="H968" s="79">
        <f>IF('Ordenes_Odoo'!H968="","",'Ordenes_Odoo'!H968)</f>
        <v/>
      </c>
      <c r="I968" s="79">
        <f>IF('Ordenes_Odoo'!I968="","",'Ordenes_Odoo'!I968)</f>
        <v/>
      </c>
      <c r="J968" s="79">
        <f>IF('Ordenes_Odoo'!J968="","",'Ordenes_Odoo'!J968)</f>
        <v/>
      </c>
      <c r="K968" s="81">
        <f>IF('Ordenes_Odoo'!K968="","",'Ordenes_Odoo'!K968)</f>
        <v/>
      </c>
      <c r="L968" s="81">
        <f>IF('Ordenes_Odoo'!L968="","",'Ordenes_Odoo'!L968)</f>
        <v/>
      </c>
      <c r="M968" s="79">
        <f>IF('Ordenes_Odoo'!M968="","",'Ordenes_Odoo'!M968)</f>
        <v/>
      </c>
      <c r="N968" s="79">
        <f>IF('Ordenes_Odoo'!N968="","",'Ordenes_Odoo'!N968)</f>
        <v/>
      </c>
      <c r="O968" s="81">
        <f>IF('Ordenes_Odoo'!O968="","",'Ordenes_Odoo'!O968)</f>
        <v/>
      </c>
      <c r="P968" s="81">
        <f>IF('Ordenes_Odoo'!P968="","",'Ordenes_Odoo'!P968)</f>
        <v/>
      </c>
      <c r="Q968" s="79">
        <f>IF(A968="","",IFERROR(INDEX(Facturas_Odoo!$B:$B, MATCH(A968, Facturas_Odoo!$D:$D, 0)), "Sin Factura"))</f>
        <v/>
      </c>
      <c r="R968" s="80">
        <f>IF(Q968="Sin Factura","",IFERROR(INDEX(Facturas_Odoo!$A:$A, MATCH(Q968, Facturas_Odoo!$B:$B, 0)), ""))</f>
        <v/>
      </c>
      <c r="S968" s="79">
        <f>IF(Q968="Sin Factura","",IFERROR(_xlfn.XLOOKUP(1, (Facturas_Odoo!$D:$D=A968) * (Facturas_Odoo!$K:$K=I968), Facturas_Odoo!$L:$L, ""), ""))</f>
        <v/>
      </c>
      <c r="T968" s="81">
        <f>IF(Q968="Sin Factura",0,IFERROR(_xlfn.XLOOKUP(1, (Facturas_Odoo!$D:$D=A968) * (Facturas_Odoo!$K:$K=I968), Facturas_Odoo!$M:$M, 0), 0))</f>
        <v/>
      </c>
      <c r="U968" s="79">
        <f>IF(Q968="Sin Factura",0,IFERROR(_xlfn.XLOOKUP(1, (Facturas_Odoo!$D:$D=A968) * (Facturas_Odoo!$K:$K=I968), Facturas_Odoo!$N:$N, 0), 0))</f>
        <v/>
      </c>
      <c r="V968" s="79">
        <f>IF(Q968="Sin Factura",0,IFERROR(_xlfn.XLOOKUP(1, (Facturas_Odoo!$D:$D=A968) * (Facturas_Odoo!$K:$K=I968), Facturas_Odoo!$O:$O, 0), 0))</f>
        <v/>
      </c>
      <c r="W968" s="81">
        <f>IF(Q968="Sin Factura",0,IFERROR(_xlfn.XLOOKUP(1, (Facturas_Odoo!$D:$D=A968) * (Facturas_Odoo!$K:$K=I968), Facturas_Odoo!$Q:$Q, 0), 0))</f>
        <v/>
      </c>
      <c r="X968" s="79">
        <f>IF(OR(Q968="Sin Factura",Q968=""),"",IFERROR(INDEX(Pagos_Odoo!$B:$B, MATCH(Q968, Pagos_Odoo!$I:$I, 0)), "Sin Pago"))</f>
        <v/>
      </c>
      <c r="Y968" s="79">
        <f>IF(X968="Sin Pago","",IFERROR(INDEX(Pagos_Odoo!$C:$C, MATCH(X968, Pagos_Odoo!$B:$B, 0)), ""))</f>
        <v/>
      </c>
      <c r="Z968" s="80">
        <f>IF(X968="Sin Pago","",IFERROR(INDEX(Pagos_Odoo!$A:$A, MATCH(X968, Pagos_Odoo!$B:$B, 0)), ""))</f>
        <v/>
      </c>
      <c r="AA968" s="79">
        <f>IF(X968="Sin Pago","",IFERROR(INDEX(Pagos_Odoo!$F:$F, MATCH(X968, Pagos_Odoo!$B:$B, 0)), ""))</f>
        <v/>
      </c>
      <c r="AB968" s="81">
        <f>IF(X968="Sin Pago",0,IFERROR(INDEX(Pagos_Odoo!$E:$E, MATCH(X968, Pagos_Odoo!$B:$B, 0)), 0))</f>
        <v/>
      </c>
      <c r="AC968" s="79">
        <f>IF(X968="Sin Pago","",IFERROR(INDEX(Pagos_Odoo!$G:$G, MATCH(X968, Pagos_Odoo!$B:$B, 0)), ""))</f>
        <v/>
      </c>
      <c r="AD968" s="82" t="n">
        <v>0</v>
      </c>
      <c r="AE968" s="82" t="n"/>
      <c r="AF968" s="82" t="n"/>
      <c r="AG968" s="82">
        <f>IF(AN968="","",AD968+AE968+AF968)</f>
        <v/>
      </c>
      <c r="AH968" s="81">
        <f>IF(AN968="","",P968*(1-AG968))</f>
        <v/>
      </c>
      <c r="AI968" s="81">
        <f>IF(AN968="","",IF(Q968="Sin Factura",0,IFERROR(INDEX(Facturas_Odoo!$H:$H, MATCH(Q968, Facturas_Odoo!$B:$B, 0)), 0)*(1-AG968)))</f>
        <v/>
      </c>
      <c r="AJ968" s="81">
        <f>IF(AN968="","",_xlfn.LET(idVenta, AN968&amp;"",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68" s="81">
        <f>IF(AN968="","",AH968-AJ968)</f>
        <v/>
      </c>
      <c r="AL968" s="81">
        <f>IF(AN968="","",IF(Q968="Sin Factura","",AI968-AJ968))</f>
        <v/>
      </c>
      <c r="AM968" s="81">
        <f>IF(AN968="","",IF(Q968="Sin Factura",0,P968-IFERROR(INDEX(Facturas_Odoo!$H:$H, MATCH(Q968, Facturas_Odoo!$B:$B, 0)), 0)))</f>
        <v/>
      </c>
      <c r="AN968" s="79">
        <f>IF(AND(A968="", J968=""), "", IF(A968&lt;&gt;"", VALUE(MID(A968,2,LEN(A968))), AN967))</f>
        <v/>
      </c>
      <c r="AO968" s="79">
        <f>IF(AN968="","",IF(AD968=0,"OK",_xlfn.LET(monedaPago, IF(AA968="","USD",AA968), limitePermitido, IFERROR(VLOOKUP(monedaPago, Configuración!$A$2:$B$3, 2, FALSE), 0.15), IF(AD968&gt;limitePermitido, "ALERTA: EXCESO (" &amp; TEXT(limitePermitido, "0%") &amp; " máx)", "OK"))))</f>
        <v/>
      </c>
      <c r="AP968" s="79">
        <f>IF(AN968="","",IF(AE968=0,"OK",_xlfn.LET(fechaPago, Z968, fechaFactura, R968, diasCredito, IF(E968="Pago inmediato", 0, IFERROR(VALUE(MID(E968, 1, SEARCH(" ", E968)-1)),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68" s="79">
        <f>IF(AN968="","",IF(AND(N968&gt;0, AG968&gt;0), IF(Configuración!$K$2="NO", "ALERTA: DESCUENTO DOBLE NO PERMITIDO", "OK"), "OK"))</f>
        <v/>
      </c>
      <c r="AR968" s="79">
        <f>IF(AN968="","",IF(OR(AO968&lt;&gt;"OK", AP968&lt;&gt;"OK", AQ968&lt;&gt;"OK"), "⚠️ REVISAR", "OK"))</f>
        <v/>
      </c>
    </row>
    <row r="969">
      <c r="A969" s="79">
        <f>IF('Ordenes_Odoo'!A969="","",'Ordenes_Odoo'!A969)</f>
        <v/>
      </c>
      <c r="B969" s="80">
        <f>IF('Ordenes_Odoo'!B969="","",'Ordenes_Odoo'!B969)</f>
        <v/>
      </c>
      <c r="C969" s="79">
        <f>IF('Ordenes_Odoo'!C969="","",'Ordenes_Odoo'!C969)</f>
        <v/>
      </c>
      <c r="D969" s="79">
        <f>IF('Ordenes_Odoo'!D969="","",'Ordenes_Odoo'!D969)</f>
        <v/>
      </c>
      <c r="E969" s="79">
        <f>IF('Ordenes_Odoo'!E969="","",'Ordenes_Odoo'!E969)</f>
        <v/>
      </c>
      <c r="F969" s="79">
        <f>IF('Ordenes_Odoo'!F969="","",'Ordenes_Odoo'!F969)</f>
        <v/>
      </c>
      <c r="G969" s="79">
        <f>IF('Ordenes_Odoo'!G969="","",'Ordenes_Odoo'!G969)</f>
        <v/>
      </c>
      <c r="H969" s="79">
        <f>IF('Ordenes_Odoo'!H969="","",'Ordenes_Odoo'!H969)</f>
        <v/>
      </c>
      <c r="I969" s="79">
        <f>IF('Ordenes_Odoo'!I969="","",'Ordenes_Odoo'!I969)</f>
        <v/>
      </c>
      <c r="J969" s="79">
        <f>IF('Ordenes_Odoo'!J969="","",'Ordenes_Odoo'!J969)</f>
        <v/>
      </c>
      <c r="K969" s="81">
        <f>IF('Ordenes_Odoo'!K969="","",'Ordenes_Odoo'!K969)</f>
        <v/>
      </c>
      <c r="L969" s="81">
        <f>IF('Ordenes_Odoo'!L969="","",'Ordenes_Odoo'!L969)</f>
        <v/>
      </c>
      <c r="M969" s="79">
        <f>IF('Ordenes_Odoo'!M969="","",'Ordenes_Odoo'!M969)</f>
        <v/>
      </c>
      <c r="N969" s="79">
        <f>IF('Ordenes_Odoo'!N969="","",'Ordenes_Odoo'!N969)</f>
        <v/>
      </c>
      <c r="O969" s="81">
        <f>IF('Ordenes_Odoo'!O969="","",'Ordenes_Odoo'!O969)</f>
        <v/>
      </c>
      <c r="P969" s="81">
        <f>IF('Ordenes_Odoo'!P969="","",'Ordenes_Odoo'!P969)</f>
        <v/>
      </c>
      <c r="Q969" s="79">
        <f>IF(A969="","",IFERROR(INDEX(Facturas_Odoo!$B:$B, MATCH(A969, Facturas_Odoo!$D:$D, 0)), "Sin Factura"))</f>
        <v/>
      </c>
      <c r="R969" s="80">
        <f>IF(Q969="Sin Factura","",IFERROR(INDEX(Facturas_Odoo!$A:$A, MATCH(Q969, Facturas_Odoo!$B:$B, 0)), ""))</f>
        <v/>
      </c>
      <c r="S969" s="79">
        <f>IF(Q969="Sin Factura","",IFERROR(_xlfn.XLOOKUP(1, (Facturas_Odoo!$D:$D=A969) * (Facturas_Odoo!$K:$K=I969), Facturas_Odoo!$L:$L, ""), ""))</f>
        <v/>
      </c>
      <c r="T969" s="81">
        <f>IF(Q969="Sin Factura",0,IFERROR(_xlfn.XLOOKUP(1, (Facturas_Odoo!$D:$D=A969) * (Facturas_Odoo!$K:$K=I969), Facturas_Odoo!$M:$M, 0), 0))</f>
        <v/>
      </c>
      <c r="U969" s="79">
        <f>IF(Q969="Sin Factura",0,IFERROR(_xlfn.XLOOKUP(1, (Facturas_Odoo!$D:$D=A969) * (Facturas_Odoo!$K:$K=I969), Facturas_Odoo!$N:$N, 0), 0))</f>
        <v/>
      </c>
      <c r="V969" s="79">
        <f>IF(Q969="Sin Factura",0,IFERROR(_xlfn.XLOOKUP(1, (Facturas_Odoo!$D:$D=A969) * (Facturas_Odoo!$K:$K=I969), Facturas_Odoo!$O:$O, 0), 0))</f>
        <v/>
      </c>
      <c r="W969" s="81">
        <f>IF(Q969="Sin Factura",0,IFERROR(_xlfn.XLOOKUP(1, (Facturas_Odoo!$D:$D=A969) * (Facturas_Odoo!$K:$K=I969), Facturas_Odoo!$Q:$Q, 0), 0))</f>
        <v/>
      </c>
      <c r="X969" s="79">
        <f>IF(OR(Q969="Sin Factura",Q969=""),"",IFERROR(INDEX(Pagos_Odoo!$B:$B, MATCH(Q969, Pagos_Odoo!$I:$I, 0)), "Sin Pago"))</f>
        <v/>
      </c>
      <c r="Y969" s="79">
        <f>IF(X969="Sin Pago","",IFERROR(INDEX(Pagos_Odoo!$C:$C, MATCH(X969, Pagos_Odoo!$B:$B, 0)), ""))</f>
        <v/>
      </c>
      <c r="Z969" s="80">
        <f>IF(X969="Sin Pago","",IFERROR(INDEX(Pagos_Odoo!$A:$A, MATCH(X969, Pagos_Odoo!$B:$B, 0)), ""))</f>
        <v/>
      </c>
      <c r="AA969" s="79">
        <f>IF(X969="Sin Pago","",IFERROR(INDEX(Pagos_Odoo!$F:$F, MATCH(X969, Pagos_Odoo!$B:$B, 0)), ""))</f>
        <v/>
      </c>
      <c r="AB969" s="81">
        <f>IF(X969="Sin Pago",0,IFERROR(INDEX(Pagos_Odoo!$E:$E, MATCH(X969, Pagos_Odoo!$B:$B, 0)), 0))</f>
        <v/>
      </c>
      <c r="AC969" s="79">
        <f>IF(X969="Sin Pago","",IFERROR(INDEX(Pagos_Odoo!$G:$G, MATCH(X969, Pagos_Odoo!$B:$B, 0)), ""))</f>
        <v/>
      </c>
      <c r="AD969" s="82" t="n">
        <v>0</v>
      </c>
      <c r="AE969" s="82" t="n"/>
      <c r="AF969" s="82" t="n"/>
      <c r="AG969" s="82">
        <f>IF(AN969="","",AD969+AE969+AF969)</f>
        <v/>
      </c>
      <c r="AH969" s="81">
        <f>IF(AN969="","",P969*(1-AG969))</f>
        <v/>
      </c>
      <c r="AI969" s="81">
        <f>IF(AN969="","",IF(Q969="Sin Factura",0,IFERROR(INDEX(Facturas_Odoo!$H:$H, MATCH(Q969, Facturas_Odoo!$B:$B, 0)), 0)*(1-AG969)))</f>
        <v/>
      </c>
      <c r="AJ969" s="81">
        <f>IF(AN969="","",_xlfn.LET(idVenta, AN969&amp;"",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69" s="81">
        <f>IF(AN969="","",AH969-AJ969)</f>
        <v/>
      </c>
      <c r="AL969" s="81">
        <f>IF(AN969="","",IF(Q969="Sin Factura","",AI969-AJ969))</f>
        <v/>
      </c>
      <c r="AM969" s="81">
        <f>IF(AN969="","",IF(Q969="Sin Factura",0,P969-IFERROR(INDEX(Facturas_Odoo!$H:$H, MATCH(Q969, Facturas_Odoo!$B:$B, 0)), 0)))</f>
        <v/>
      </c>
      <c r="AN969" s="79">
        <f>IF(AND(A969="", J969=""), "", IF(A969&lt;&gt;"", VALUE(MID(A969,2,LEN(A969))), AN968))</f>
        <v/>
      </c>
      <c r="AO969" s="79">
        <f>IF(AN969="","",IF(AD969=0,"OK",_xlfn.LET(monedaPago, IF(AA969="","USD",AA969), limitePermitido, IFERROR(VLOOKUP(monedaPago, Configuración!$A$2:$B$3, 2, FALSE), 0.15), IF(AD969&gt;limitePermitido, "ALERTA: EXCESO (" &amp; TEXT(limitePermitido, "0%") &amp; " máx)", "OK"))))</f>
        <v/>
      </c>
      <c r="AP969" s="79">
        <f>IF(AN969="","",IF(AE969=0,"OK",_xlfn.LET(fechaPago, Z969, fechaFactura, R969, diasCredito, IF(E969="Pago inmediato", 0, IFERROR(VALUE(MID(E969, 1, SEARCH(" ", E969)-1)),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69" s="79">
        <f>IF(AN969="","",IF(AND(N969&gt;0, AG969&gt;0), IF(Configuración!$K$2="NO", "ALERTA: DESCUENTO DOBLE NO PERMITIDO", "OK"), "OK"))</f>
        <v/>
      </c>
      <c r="AR969" s="79">
        <f>IF(AN969="","",IF(OR(AO969&lt;&gt;"OK", AP969&lt;&gt;"OK", AQ969&lt;&gt;"OK"), "⚠️ REVISAR", "OK"))</f>
        <v/>
      </c>
    </row>
    <row r="970">
      <c r="A970" s="79">
        <f>IF('Ordenes_Odoo'!A970="","",'Ordenes_Odoo'!A970)</f>
        <v/>
      </c>
      <c r="B970" s="80">
        <f>IF('Ordenes_Odoo'!B970="","",'Ordenes_Odoo'!B970)</f>
        <v/>
      </c>
      <c r="C970" s="79">
        <f>IF('Ordenes_Odoo'!C970="","",'Ordenes_Odoo'!C970)</f>
        <v/>
      </c>
      <c r="D970" s="79">
        <f>IF('Ordenes_Odoo'!D970="","",'Ordenes_Odoo'!D970)</f>
        <v/>
      </c>
      <c r="E970" s="79">
        <f>IF('Ordenes_Odoo'!E970="","",'Ordenes_Odoo'!E970)</f>
        <v/>
      </c>
      <c r="F970" s="79">
        <f>IF('Ordenes_Odoo'!F970="","",'Ordenes_Odoo'!F970)</f>
        <v/>
      </c>
      <c r="G970" s="79">
        <f>IF('Ordenes_Odoo'!G970="","",'Ordenes_Odoo'!G970)</f>
        <v/>
      </c>
      <c r="H970" s="79">
        <f>IF('Ordenes_Odoo'!H970="","",'Ordenes_Odoo'!H970)</f>
        <v/>
      </c>
      <c r="I970" s="79">
        <f>IF('Ordenes_Odoo'!I970="","",'Ordenes_Odoo'!I970)</f>
        <v/>
      </c>
      <c r="J970" s="79">
        <f>IF('Ordenes_Odoo'!J970="","",'Ordenes_Odoo'!J970)</f>
        <v/>
      </c>
      <c r="K970" s="81">
        <f>IF('Ordenes_Odoo'!K970="","",'Ordenes_Odoo'!K970)</f>
        <v/>
      </c>
      <c r="L970" s="81">
        <f>IF('Ordenes_Odoo'!L970="","",'Ordenes_Odoo'!L970)</f>
        <v/>
      </c>
      <c r="M970" s="79">
        <f>IF('Ordenes_Odoo'!M970="","",'Ordenes_Odoo'!M970)</f>
        <v/>
      </c>
      <c r="N970" s="79">
        <f>IF('Ordenes_Odoo'!N970="","",'Ordenes_Odoo'!N970)</f>
        <v/>
      </c>
      <c r="O970" s="81">
        <f>IF('Ordenes_Odoo'!O970="","",'Ordenes_Odoo'!O970)</f>
        <v/>
      </c>
      <c r="P970" s="81">
        <f>IF('Ordenes_Odoo'!P970="","",'Ordenes_Odoo'!P970)</f>
        <v/>
      </c>
      <c r="Q970" s="79">
        <f>IF(A970="","",IFERROR(INDEX(Facturas_Odoo!$B:$B, MATCH(A970, Facturas_Odoo!$D:$D, 0)), "Sin Factura"))</f>
        <v/>
      </c>
      <c r="R970" s="80">
        <f>IF(Q970="Sin Factura","",IFERROR(INDEX(Facturas_Odoo!$A:$A, MATCH(Q970, Facturas_Odoo!$B:$B, 0)), ""))</f>
        <v/>
      </c>
      <c r="S970" s="79">
        <f>IF(Q970="Sin Factura","",IFERROR(_xlfn.XLOOKUP(1, (Facturas_Odoo!$D:$D=A970) * (Facturas_Odoo!$K:$K=I970), Facturas_Odoo!$L:$L, ""), ""))</f>
        <v/>
      </c>
      <c r="T970" s="81">
        <f>IF(Q970="Sin Factura",0,IFERROR(_xlfn.XLOOKUP(1, (Facturas_Odoo!$D:$D=A970) * (Facturas_Odoo!$K:$K=I970), Facturas_Odoo!$M:$M, 0), 0))</f>
        <v/>
      </c>
      <c r="U970" s="79">
        <f>IF(Q970="Sin Factura",0,IFERROR(_xlfn.XLOOKUP(1, (Facturas_Odoo!$D:$D=A970) * (Facturas_Odoo!$K:$K=I970), Facturas_Odoo!$N:$N, 0), 0))</f>
        <v/>
      </c>
      <c r="V970" s="79">
        <f>IF(Q970="Sin Factura",0,IFERROR(_xlfn.XLOOKUP(1, (Facturas_Odoo!$D:$D=A970) * (Facturas_Odoo!$K:$K=I970), Facturas_Odoo!$O:$O, 0), 0))</f>
        <v/>
      </c>
      <c r="W970" s="81">
        <f>IF(Q970="Sin Factura",0,IFERROR(_xlfn.XLOOKUP(1, (Facturas_Odoo!$D:$D=A970) * (Facturas_Odoo!$K:$K=I970), Facturas_Odoo!$Q:$Q, 0), 0))</f>
        <v/>
      </c>
      <c r="X970" s="79">
        <f>IF(OR(Q970="Sin Factura",Q970=""),"",IFERROR(INDEX(Pagos_Odoo!$B:$B, MATCH(Q970, Pagos_Odoo!$I:$I, 0)), "Sin Pago"))</f>
        <v/>
      </c>
      <c r="Y970" s="79">
        <f>IF(X970="Sin Pago","",IFERROR(INDEX(Pagos_Odoo!$C:$C, MATCH(X970, Pagos_Odoo!$B:$B, 0)), ""))</f>
        <v/>
      </c>
      <c r="Z970" s="80">
        <f>IF(X970="Sin Pago","",IFERROR(INDEX(Pagos_Odoo!$A:$A, MATCH(X970, Pagos_Odoo!$B:$B, 0)), ""))</f>
        <v/>
      </c>
      <c r="AA970" s="79">
        <f>IF(X970="Sin Pago","",IFERROR(INDEX(Pagos_Odoo!$F:$F, MATCH(X970, Pagos_Odoo!$B:$B, 0)), ""))</f>
        <v/>
      </c>
      <c r="AB970" s="81">
        <f>IF(X970="Sin Pago",0,IFERROR(INDEX(Pagos_Odoo!$E:$E, MATCH(X970, Pagos_Odoo!$B:$B, 0)), 0))</f>
        <v/>
      </c>
      <c r="AC970" s="79">
        <f>IF(X970="Sin Pago","",IFERROR(INDEX(Pagos_Odoo!$G:$G, MATCH(X970, Pagos_Odoo!$B:$B, 0)), ""))</f>
        <v/>
      </c>
      <c r="AD970" s="82" t="n">
        <v>0</v>
      </c>
      <c r="AE970" s="82" t="n"/>
      <c r="AF970" s="82" t="n"/>
      <c r="AG970" s="82">
        <f>IF(AN970="","",AD970+AE970+AF970)</f>
        <v/>
      </c>
      <c r="AH970" s="81">
        <f>IF(AN970="","",P970*(1-AG970))</f>
        <v/>
      </c>
      <c r="AI970" s="81">
        <f>IF(AN970="","",IF(Q970="Sin Factura",0,IFERROR(INDEX(Facturas_Odoo!$H:$H, MATCH(Q970, Facturas_Odoo!$B:$B, 0)), 0)*(1-AG970)))</f>
        <v/>
      </c>
      <c r="AJ970" s="81">
        <f>IF(AN970="","",_xlfn.LET(idVenta, AN970&amp;"",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70" s="81">
        <f>IF(AN970="","",AH970-AJ970)</f>
        <v/>
      </c>
      <c r="AL970" s="81">
        <f>IF(AN970="","",IF(Q970="Sin Factura","",AI970-AJ970))</f>
        <v/>
      </c>
      <c r="AM970" s="81">
        <f>IF(AN970="","",IF(Q970="Sin Factura",0,P970-IFERROR(INDEX(Facturas_Odoo!$H:$H, MATCH(Q970, Facturas_Odoo!$B:$B, 0)), 0)))</f>
        <v/>
      </c>
      <c r="AN970" s="79">
        <f>IF(AND(A970="", J970=""), "", IF(A970&lt;&gt;"", VALUE(MID(A970,2,LEN(A970))), AN969))</f>
        <v/>
      </c>
      <c r="AO970" s="79">
        <f>IF(AN970="","",IF(AD970=0,"OK",_xlfn.LET(monedaPago, IF(AA970="","USD",AA970), limitePermitido, IFERROR(VLOOKUP(monedaPago, Configuración!$A$2:$B$3, 2, FALSE), 0.15), IF(AD970&gt;limitePermitido, "ALERTA: EXCESO (" &amp; TEXT(limitePermitido, "0%") &amp; " máx)", "OK"))))</f>
        <v/>
      </c>
      <c r="AP970" s="79">
        <f>IF(AN970="","",IF(AE970=0,"OK",_xlfn.LET(fechaPago, Z970, fechaFactura, R970, diasCredito, IF(E970="Pago inmediato", 0, IFERROR(VALUE(MID(E970, 1, SEARCH(" ", E970)-1)),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70" s="79">
        <f>IF(AN970="","",IF(AND(N970&gt;0, AG970&gt;0), IF(Configuración!$K$2="NO", "ALERTA: DESCUENTO DOBLE NO PERMITIDO", "OK"), "OK"))</f>
        <v/>
      </c>
      <c r="AR970" s="79">
        <f>IF(AN970="","",IF(OR(AO970&lt;&gt;"OK", AP970&lt;&gt;"OK", AQ970&lt;&gt;"OK"), "⚠️ REVISAR", "OK"))</f>
        <v/>
      </c>
    </row>
    <row r="971">
      <c r="A971" s="79">
        <f>IF('Ordenes_Odoo'!A971="","",'Ordenes_Odoo'!A971)</f>
        <v/>
      </c>
      <c r="B971" s="80">
        <f>IF('Ordenes_Odoo'!B971="","",'Ordenes_Odoo'!B971)</f>
        <v/>
      </c>
      <c r="C971" s="79">
        <f>IF('Ordenes_Odoo'!C971="","",'Ordenes_Odoo'!C971)</f>
        <v/>
      </c>
      <c r="D971" s="79">
        <f>IF('Ordenes_Odoo'!D971="","",'Ordenes_Odoo'!D971)</f>
        <v/>
      </c>
      <c r="E971" s="79">
        <f>IF('Ordenes_Odoo'!E971="","",'Ordenes_Odoo'!E971)</f>
        <v/>
      </c>
      <c r="F971" s="79">
        <f>IF('Ordenes_Odoo'!F971="","",'Ordenes_Odoo'!F971)</f>
        <v/>
      </c>
      <c r="G971" s="79">
        <f>IF('Ordenes_Odoo'!G971="","",'Ordenes_Odoo'!G971)</f>
        <v/>
      </c>
      <c r="H971" s="79">
        <f>IF('Ordenes_Odoo'!H971="","",'Ordenes_Odoo'!H971)</f>
        <v/>
      </c>
      <c r="I971" s="79">
        <f>IF('Ordenes_Odoo'!I971="","",'Ordenes_Odoo'!I971)</f>
        <v/>
      </c>
      <c r="J971" s="79">
        <f>IF('Ordenes_Odoo'!J971="","",'Ordenes_Odoo'!J971)</f>
        <v/>
      </c>
      <c r="K971" s="81">
        <f>IF('Ordenes_Odoo'!K971="","",'Ordenes_Odoo'!K971)</f>
        <v/>
      </c>
      <c r="L971" s="81">
        <f>IF('Ordenes_Odoo'!L971="","",'Ordenes_Odoo'!L971)</f>
        <v/>
      </c>
      <c r="M971" s="79">
        <f>IF('Ordenes_Odoo'!M971="","",'Ordenes_Odoo'!M971)</f>
        <v/>
      </c>
      <c r="N971" s="79">
        <f>IF('Ordenes_Odoo'!N971="","",'Ordenes_Odoo'!N971)</f>
        <v/>
      </c>
      <c r="O971" s="81">
        <f>IF('Ordenes_Odoo'!O971="","",'Ordenes_Odoo'!O971)</f>
        <v/>
      </c>
      <c r="P971" s="81">
        <f>IF('Ordenes_Odoo'!P971="","",'Ordenes_Odoo'!P971)</f>
        <v/>
      </c>
      <c r="Q971" s="79">
        <f>IF(A971="","",IFERROR(INDEX(Facturas_Odoo!$B:$B, MATCH(A971, Facturas_Odoo!$D:$D, 0)), "Sin Factura"))</f>
        <v/>
      </c>
      <c r="R971" s="80">
        <f>IF(Q971="Sin Factura","",IFERROR(INDEX(Facturas_Odoo!$A:$A, MATCH(Q971, Facturas_Odoo!$B:$B, 0)), ""))</f>
        <v/>
      </c>
      <c r="S971" s="79">
        <f>IF(Q971="Sin Factura","",IFERROR(_xlfn.XLOOKUP(1, (Facturas_Odoo!$D:$D=A971) * (Facturas_Odoo!$K:$K=I971), Facturas_Odoo!$L:$L, ""), ""))</f>
        <v/>
      </c>
      <c r="T971" s="81">
        <f>IF(Q971="Sin Factura",0,IFERROR(_xlfn.XLOOKUP(1, (Facturas_Odoo!$D:$D=A971) * (Facturas_Odoo!$K:$K=I971), Facturas_Odoo!$M:$M, 0), 0))</f>
        <v/>
      </c>
      <c r="U971" s="79">
        <f>IF(Q971="Sin Factura",0,IFERROR(_xlfn.XLOOKUP(1, (Facturas_Odoo!$D:$D=A971) * (Facturas_Odoo!$K:$K=I971), Facturas_Odoo!$N:$N, 0), 0))</f>
        <v/>
      </c>
      <c r="V971" s="79">
        <f>IF(Q971="Sin Factura",0,IFERROR(_xlfn.XLOOKUP(1, (Facturas_Odoo!$D:$D=A971) * (Facturas_Odoo!$K:$K=I971), Facturas_Odoo!$O:$O, 0), 0))</f>
        <v/>
      </c>
      <c r="W971" s="81">
        <f>IF(Q971="Sin Factura",0,IFERROR(_xlfn.XLOOKUP(1, (Facturas_Odoo!$D:$D=A971) * (Facturas_Odoo!$K:$K=I971), Facturas_Odoo!$Q:$Q, 0), 0))</f>
        <v/>
      </c>
      <c r="X971" s="79">
        <f>IF(OR(Q971="Sin Factura",Q971=""),"",IFERROR(INDEX(Pagos_Odoo!$B:$B, MATCH(Q971, Pagos_Odoo!$I:$I, 0)), "Sin Pago"))</f>
        <v/>
      </c>
      <c r="Y971" s="79">
        <f>IF(X971="Sin Pago","",IFERROR(INDEX(Pagos_Odoo!$C:$C, MATCH(X971, Pagos_Odoo!$B:$B, 0)), ""))</f>
        <v/>
      </c>
      <c r="Z971" s="80">
        <f>IF(X971="Sin Pago","",IFERROR(INDEX(Pagos_Odoo!$A:$A, MATCH(X971, Pagos_Odoo!$B:$B, 0)), ""))</f>
        <v/>
      </c>
      <c r="AA971" s="79">
        <f>IF(X971="Sin Pago","",IFERROR(INDEX(Pagos_Odoo!$F:$F, MATCH(X971, Pagos_Odoo!$B:$B, 0)), ""))</f>
        <v/>
      </c>
      <c r="AB971" s="81">
        <f>IF(X971="Sin Pago",0,IFERROR(INDEX(Pagos_Odoo!$E:$E, MATCH(X971, Pagos_Odoo!$B:$B, 0)), 0))</f>
        <v/>
      </c>
      <c r="AC971" s="79">
        <f>IF(X971="Sin Pago","",IFERROR(INDEX(Pagos_Odoo!$G:$G, MATCH(X971, Pagos_Odoo!$B:$B, 0)), ""))</f>
        <v/>
      </c>
      <c r="AD971" s="82" t="n">
        <v>0</v>
      </c>
      <c r="AE971" s="82" t="n"/>
      <c r="AF971" s="82" t="n"/>
      <c r="AG971" s="82">
        <f>IF(AN971="","",AD971+AE971+AF971)</f>
        <v/>
      </c>
      <c r="AH971" s="81">
        <f>IF(AN971="","",P971*(1-AG971))</f>
        <v/>
      </c>
      <c r="AI971" s="81">
        <f>IF(AN971="","",IF(Q971="Sin Factura",0,IFERROR(INDEX(Facturas_Odoo!$H:$H, MATCH(Q971, Facturas_Odoo!$B:$B, 0)), 0)*(1-AG971)))</f>
        <v/>
      </c>
      <c r="AJ971" s="81">
        <f>IF(AN971="","",_xlfn.LET(idVenta, AN971&amp;"",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71" s="81">
        <f>IF(AN971="","",AH971-AJ971)</f>
        <v/>
      </c>
      <c r="AL971" s="81">
        <f>IF(AN971="","",IF(Q971="Sin Factura","",AI971-AJ971))</f>
        <v/>
      </c>
      <c r="AM971" s="81">
        <f>IF(AN971="","",IF(Q971="Sin Factura",0,P971-IFERROR(INDEX(Facturas_Odoo!$H:$H, MATCH(Q971, Facturas_Odoo!$B:$B, 0)), 0)))</f>
        <v/>
      </c>
      <c r="AN971" s="79">
        <f>IF(AND(A971="", J971=""), "", IF(A971&lt;&gt;"", VALUE(MID(A971,2,LEN(A971))), AN970))</f>
        <v/>
      </c>
      <c r="AO971" s="79">
        <f>IF(AN971="","",IF(AD971=0,"OK",_xlfn.LET(monedaPago, IF(AA971="","USD",AA971), limitePermitido, IFERROR(VLOOKUP(monedaPago, Configuración!$A$2:$B$3, 2, FALSE), 0.15), IF(AD971&gt;limitePermitido, "ALERTA: EXCESO (" &amp; TEXT(limitePermitido, "0%") &amp; " máx)", "OK"))))</f>
        <v/>
      </c>
      <c r="AP971" s="79">
        <f>IF(AN971="","",IF(AE971=0,"OK",_xlfn.LET(fechaPago, Z971, fechaFactura, R971, diasCredito, IF(E971="Pago inmediato", 0, IFERROR(VALUE(MID(E971, 1, SEARCH(" ", E971)-1)),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71" s="79">
        <f>IF(AN971="","",IF(AND(N971&gt;0, AG971&gt;0), IF(Configuración!$K$2="NO", "ALERTA: DESCUENTO DOBLE NO PERMITIDO", "OK"), "OK"))</f>
        <v/>
      </c>
      <c r="AR971" s="79">
        <f>IF(AN971="","",IF(OR(AO971&lt;&gt;"OK", AP971&lt;&gt;"OK", AQ971&lt;&gt;"OK"), "⚠️ REVISAR", "OK"))</f>
        <v/>
      </c>
    </row>
    <row r="972">
      <c r="A972" s="79">
        <f>IF('Ordenes_Odoo'!A972="","",'Ordenes_Odoo'!A972)</f>
        <v/>
      </c>
      <c r="B972" s="80">
        <f>IF('Ordenes_Odoo'!B972="","",'Ordenes_Odoo'!B972)</f>
        <v/>
      </c>
      <c r="C972" s="79">
        <f>IF('Ordenes_Odoo'!C972="","",'Ordenes_Odoo'!C972)</f>
        <v/>
      </c>
      <c r="D972" s="79">
        <f>IF('Ordenes_Odoo'!D972="","",'Ordenes_Odoo'!D972)</f>
        <v/>
      </c>
      <c r="E972" s="79">
        <f>IF('Ordenes_Odoo'!E972="","",'Ordenes_Odoo'!E972)</f>
        <v/>
      </c>
      <c r="F972" s="79">
        <f>IF('Ordenes_Odoo'!F972="","",'Ordenes_Odoo'!F972)</f>
        <v/>
      </c>
      <c r="G972" s="79">
        <f>IF('Ordenes_Odoo'!G972="","",'Ordenes_Odoo'!G972)</f>
        <v/>
      </c>
      <c r="H972" s="79">
        <f>IF('Ordenes_Odoo'!H972="","",'Ordenes_Odoo'!H972)</f>
        <v/>
      </c>
      <c r="I972" s="79">
        <f>IF('Ordenes_Odoo'!I972="","",'Ordenes_Odoo'!I972)</f>
        <v/>
      </c>
      <c r="J972" s="79">
        <f>IF('Ordenes_Odoo'!J972="","",'Ordenes_Odoo'!J972)</f>
        <v/>
      </c>
      <c r="K972" s="81">
        <f>IF('Ordenes_Odoo'!K972="","",'Ordenes_Odoo'!K972)</f>
        <v/>
      </c>
      <c r="L972" s="81">
        <f>IF('Ordenes_Odoo'!L972="","",'Ordenes_Odoo'!L972)</f>
        <v/>
      </c>
      <c r="M972" s="79">
        <f>IF('Ordenes_Odoo'!M972="","",'Ordenes_Odoo'!M972)</f>
        <v/>
      </c>
      <c r="N972" s="79">
        <f>IF('Ordenes_Odoo'!N972="","",'Ordenes_Odoo'!N972)</f>
        <v/>
      </c>
      <c r="O972" s="81">
        <f>IF('Ordenes_Odoo'!O972="","",'Ordenes_Odoo'!O972)</f>
        <v/>
      </c>
      <c r="P972" s="81">
        <f>IF('Ordenes_Odoo'!P972="","",'Ordenes_Odoo'!P972)</f>
        <v/>
      </c>
      <c r="Q972" s="79">
        <f>IF(A972="","",IFERROR(INDEX(Facturas_Odoo!$B:$B, MATCH(A972, Facturas_Odoo!$D:$D, 0)), "Sin Factura"))</f>
        <v/>
      </c>
      <c r="R972" s="80">
        <f>IF(Q972="Sin Factura","",IFERROR(INDEX(Facturas_Odoo!$A:$A, MATCH(Q972, Facturas_Odoo!$B:$B, 0)), ""))</f>
        <v/>
      </c>
      <c r="S972" s="79">
        <f>IF(Q972="Sin Factura","",IFERROR(_xlfn.XLOOKUP(1, (Facturas_Odoo!$D:$D=A972) * (Facturas_Odoo!$K:$K=I972), Facturas_Odoo!$L:$L, ""), ""))</f>
        <v/>
      </c>
      <c r="T972" s="81">
        <f>IF(Q972="Sin Factura",0,IFERROR(_xlfn.XLOOKUP(1, (Facturas_Odoo!$D:$D=A972) * (Facturas_Odoo!$K:$K=I972), Facturas_Odoo!$M:$M, 0), 0))</f>
        <v/>
      </c>
      <c r="U972" s="79">
        <f>IF(Q972="Sin Factura",0,IFERROR(_xlfn.XLOOKUP(1, (Facturas_Odoo!$D:$D=A972) * (Facturas_Odoo!$K:$K=I972), Facturas_Odoo!$N:$N, 0), 0))</f>
        <v/>
      </c>
      <c r="V972" s="79">
        <f>IF(Q972="Sin Factura",0,IFERROR(_xlfn.XLOOKUP(1, (Facturas_Odoo!$D:$D=A972) * (Facturas_Odoo!$K:$K=I972), Facturas_Odoo!$O:$O, 0), 0))</f>
        <v/>
      </c>
      <c r="W972" s="81">
        <f>IF(Q972="Sin Factura",0,IFERROR(_xlfn.XLOOKUP(1, (Facturas_Odoo!$D:$D=A972) * (Facturas_Odoo!$K:$K=I972), Facturas_Odoo!$Q:$Q, 0), 0))</f>
        <v/>
      </c>
      <c r="X972" s="79">
        <f>IF(OR(Q972="Sin Factura",Q972=""),"",IFERROR(INDEX(Pagos_Odoo!$B:$B, MATCH(Q972, Pagos_Odoo!$I:$I, 0)), "Sin Pago"))</f>
        <v/>
      </c>
      <c r="Y972" s="79">
        <f>IF(X972="Sin Pago","",IFERROR(INDEX(Pagos_Odoo!$C:$C, MATCH(X972, Pagos_Odoo!$B:$B, 0)), ""))</f>
        <v/>
      </c>
      <c r="Z972" s="80">
        <f>IF(X972="Sin Pago","",IFERROR(INDEX(Pagos_Odoo!$A:$A, MATCH(X972, Pagos_Odoo!$B:$B, 0)), ""))</f>
        <v/>
      </c>
      <c r="AA972" s="79">
        <f>IF(X972="Sin Pago","",IFERROR(INDEX(Pagos_Odoo!$F:$F, MATCH(X972, Pagos_Odoo!$B:$B, 0)), ""))</f>
        <v/>
      </c>
      <c r="AB972" s="81">
        <f>IF(X972="Sin Pago",0,IFERROR(INDEX(Pagos_Odoo!$E:$E, MATCH(X972, Pagos_Odoo!$B:$B, 0)), 0))</f>
        <v/>
      </c>
      <c r="AC972" s="79">
        <f>IF(X972="Sin Pago","",IFERROR(INDEX(Pagos_Odoo!$G:$G, MATCH(X972, Pagos_Odoo!$B:$B, 0)), ""))</f>
        <v/>
      </c>
      <c r="AD972" s="82" t="n">
        <v>0</v>
      </c>
      <c r="AE972" s="82" t="n"/>
      <c r="AF972" s="82" t="n"/>
      <c r="AG972" s="82">
        <f>IF(AN972="","",AD972+AE972+AF972)</f>
        <v/>
      </c>
      <c r="AH972" s="81">
        <f>IF(AN972="","",P972*(1-AG972))</f>
        <v/>
      </c>
      <c r="AI972" s="81">
        <f>IF(AN972="","",IF(Q972="Sin Factura",0,IFERROR(INDEX(Facturas_Odoo!$H:$H, MATCH(Q972, Facturas_Odoo!$B:$B, 0)), 0)*(1-AG972)))</f>
        <v/>
      </c>
      <c r="AJ972" s="81">
        <f>IF(AN972="","",_xlfn.LET(idVenta, AN972&amp;"",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72" s="81">
        <f>IF(AN972="","",AH972-AJ972)</f>
        <v/>
      </c>
      <c r="AL972" s="81">
        <f>IF(AN972="","",IF(Q972="Sin Factura","",AI972-AJ972))</f>
        <v/>
      </c>
      <c r="AM972" s="81">
        <f>IF(AN972="","",IF(Q972="Sin Factura",0,P972-IFERROR(INDEX(Facturas_Odoo!$H:$H, MATCH(Q972, Facturas_Odoo!$B:$B, 0)), 0)))</f>
        <v/>
      </c>
      <c r="AN972" s="79">
        <f>IF(AND(A972="", J972=""), "", IF(A972&lt;&gt;"", VALUE(MID(A972,2,LEN(A972))), AN971))</f>
        <v/>
      </c>
      <c r="AO972" s="79">
        <f>IF(AN972="","",IF(AD972=0,"OK",_xlfn.LET(monedaPago, IF(AA972="","USD",AA972), limitePermitido, IFERROR(VLOOKUP(monedaPago, Configuración!$A$2:$B$3, 2, FALSE), 0.15), IF(AD972&gt;limitePermitido, "ALERTA: EXCESO (" &amp; TEXT(limitePermitido, "0%") &amp; " máx)", "OK"))))</f>
        <v/>
      </c>
      <c r="AP972" s="79">
        <f>IF(AN972="","",IF(AE972=0,"OK",_xlfn.LET(fechaPago, Z972, fechaFactura, R972, diasCredito, IF(E972="Pago inmediato", 0, IFERROR(VALUE(MID(E972, 1, SEARCH(" ", E972)-1)),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72" s="79">
        <f>IF(AN972="","",IF(AND(N972&gt;0, AG972&gt;0), IF(Configuración!$K$2="NO", "ALERTA: DESCUENTO DOBLE NO PERMITIDO", "OK"), "OK"))</f>
        <v/>
      </c>
      <c r="AR972" s="79">
        <f>IF(AN972="","",IF(OR(AO972&lt;&gt;"OK", AP972&lt;&gt;"OK", AQ972&lt;&gt;"OK"), "⚠️ REVISAR", "OK"))</f>
        <v/>
      </c>
    </row>
    <row r="973">
      <c r="A973" s="79">
        <f>IF('Ordenes_Odoo'!A973="","",'Ordenes_Odoo'!A973)</f>
        <v/>
      </c>
      <c r="B973" s="80">
        <f>IF('Ordenes_Odoo'!B973="","",'Ordenes_Odoo'!B973)</f>
        <v/>
      </c>
      <c r="C973" s="79">
        <f>IF('Ordenes_Odoo'!C973="","",'Ordenes_Odoo'!C973)</f>
        <v/>
      </c>
      <c r="D973" s="79">
        <f>IF('Ordenes_Odoo'!D973="","",'Ordenes_Odoo'!D973)</f>
        <v/>
      </c>
      <c r="E973" s="79">
        <f>IF('Ordenes_Odoo'!E973="","",'Ordenes_Odoo'!E973)</f>
        <v/>
      </c>
      <c r="F973" s="79">
        <f>IF('Ordenes_Odoo'!F973="","",'Ordenes_Odoo'!F973)</f>
        <v/>
      </c>
      <c r="G973" s="79">
        <f>IF('Ordenes_Odoo'!G973="","",'Ordenes_Odoo'!G973)</f>
        <v/>
      </c>
      <c r="H973" s="79">
        <f>IF('Ordenes_Odoo'!H973="","",'Ordenes_Odoo'!H973)</f>
        <v/>
      </c>
      <c r="I973" s="79">
        <f>IF('Ordenes_Odoo'!I973="","",'Ordenes_Odoo'!I973)</f>
        <v/>
      </c>
      <c r="J973" s="79">
        <f>IF('Ordenes_Odoo'!J973="","",'Ordenes_Odoo'!J973)</f>
        <v/>
      </c>
      <c r="K973" s="81">
        <f>IF('Ordenes_Odoo'!K973="","",'Ordenes_Odoo'!K973)</f>
        <v/>
      </c>
      <c r="L973" s="81">
        <f>IF('Ordenes_Odoo'!L973="","",'Ordenes_Odoo'!L973)</f>
        <v/>
      </c>
      <c r="M973" s="79">
        <f>IF('Ordenes_Odoo'!M973="","",'Ordenes_Odoo'!M973)</f>
        <v/>
      </c>
      <c r="N973" s="79">
        <f>IF('Ordenes_Odoo'!N973="","",'Ordenes_Odoo'!N973)</f>
        <v/>
      </c>
      <c r="O973" s="81">
        <f>IF('Ordenes_Odoo'!O973="","",'Ordenes_Odoo'!O973)</f>
        <v/>
      </c>
      <c r="P973" s="81">
        <f>IF('Ordenes_Odoo'!P973="","",'Ordenes_Odoo'!P973)</f>
        <v/>
      </c>
      <c r="Q973" s="79">
        <f>IF(A973="","",IFERROR(INDEX(Facturas_Odoo!$B:$B, MATCH(A973, Facturas_Odoo!$D:$D, 0)), "Sin Factura"))</f>
        <v/>
      </c>
      <c r="R973" s="80">
        <f>IF(Q973="Sin Factura","",IFERROR(INDEX(Facturas_Odoo!$A:$A, MATCH(Q973, Facturas_Odoo!$B:$B, 0)), ""))</f>
        <v/>
      </c>
      <c r="S973" s="79">
        <f>IF(Q973="Sin Factura","",IFERROR(_xlfn.XLOOKUP(1, (Facturas_Odoo!$D:$D=A973) * (Facturas_Odoo!$K:$K=I973), Facturas_Odoo!$L:$L, ""), ""))</f>
        <v/>
      </c>
      <c r="T973" s="81">
        <f>IF(Q973="Sin Factura",0,IFERROR(_xlfn.XLOOKUP(1, (Facturas_Odoo!$D:$D=A973) * (Facturas_Odoo!$K:$K=I973), Facturas_Odoo!$M:$M, 0), 0))</f>
        <v/>
      </c>
      <c r="U973" s="79">
        <f>IF(Q973="Sin Factura",0,IFERROR(_xlfn.XLOOKUP(1, (Facturas_Odoo!$D:$D=A973) * (Facturas_Odoo!$K:$K=I973), Facturas_Odoo!$N:$N, 0), 0))</f>
        <v/>
      </c>
      <c r="V973" s="79">
        <f>IF(Q973="Sin Factura",0,IFERROR(_xlfn.XLOOKUP(1, (Facturas_Odoo!$D:$D=A973) * (Facturas_Odoo!$K:$K=I973), Facturas_Odoo!$O:$O, 0), 0))</f>
        <v/>
      </c>
      <c r="W973" s="81">
        <f>IF(Q973="Sin Factura",0,IFERROR(_xlfn.XLOOKUP(1, (Facturas_Odoo!$D:$D=A973) * (Facturas_Odoo!$K:$K=I973), Facturas_Odoo!$Q:$Q, 0), 0))</f>
        <v/>
      </c>
      <c r="X973" s="79">
        <f>IF(OR(Q973="Sin Factura",Q973=""),"",IFERROR(INDEX(Pagos_Odoo!$B:$B, MATCH(Q973, Pagos_Odoo!$I:$I, 0)), "Sin Pago"))</f>
        <v/>
      </c>
      <c r="Y973" s="79">
        <f>IF(X973="Sin Pago","",IFERROR(INDEX(Pagos_Odoo!$C:$C, MATCH(X973, Pagos_Odoo!$B:$B, 0)), ""))</f>
        <v/>
      </c>
      <c r="Z973" s="80">
        <f>IF(X973="Sin Pago","",IFERROR(INDEX(Pagos_Odoo!$A:$A, MATCH(X973, Pagos_Odoo!$B:$B, 0)), ""))</f>
        <v/>
      </c>
      <c r="AA973" s="79">
        <f>IF(X973="Sin Pago","",IFERROR(INDEX(Pagos_Odoo!$F:$F, MATCH(X973, Pagos_Odoo!$B:$B, 0)), ""))</f>
        <v/>
      </c>
      <c r="AB973" s="81">
        <f>IF(X973="Sin Pago",0,IFERROR(INDEX(Pagos_Odoo!$E:$E, MATCH(X973, Pagos_Odoo!$B:$B, 0)), 0))</f>
        <v/>
      </c>
      <c r="AC973" s="79">
        <f>IF(X973="Sin Pago","",IFERROR(INDEX(Pagos_Odoo!$G:$G, MATCH(X973, Pagos_Odoo!$B:$B, 0)), ""))</f>
        <v/>
      </c>
      <c r="AD973" s="82" t="n">
        <v>0</v>
      </c>
      <c r="AE973" s="82" t="n"/>
      <c r="AF973" s="82" t="n"/>
      <c r="AG973" s="82">
        <f>IF(AN973="","",AD973+AE973+AF973)</f>
        <v/>
      </c>
      <c r="AH973" s="81">
        <f>IF(AN973="","",P973*(1-AG973))</f>
        <v/>
      </c>
      <c r="AI973" s="81">
        <f>IF(AN973="","",IF(Q973="Sin Factura",0,IFERROR(INDEX(Facturas_Odoo!$H:$H, MATCH(Q973, Facturas_Odoo!$B:$B, 0)), 0)*(1-AG973)))</f>
        <v/>
      </c>
      <c r="AJ973" s="81">
        <f>IF(AN973="","",_xlfn.LET(idVenta, AN973&amp;"",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73" s="81">
        <f>IF(AN973="","",AH973-AJ973)</f>
        <v/>
      </c>
      <c r="AL973" s="81">
        <f>IF(AN973="","",IF(Q973="Sin Factura","",AI973-AJ973))</f>
        <v/>
      </c>
      <c r="AM973" s="81">
        <f>IF(AN973="","",IF(Q973="Sin Factura",0,P973-IFERROR(INDEX(Facturas_Odoo!$H:$H, MATCH(Q973, Facturas_Odoo!$B:$B, 0)), 0)))</f>
        <v/>
      </c>
      <c r="AN973" s="79">
        <f>IF(AND(A973="", J973=""), "", IF(A973&lt;&gt;"", VALUE(MID(A973,2,LEN(A973))), AN972))</f>
        <v/>
      </c>
      <c r="AO973" s="79">
        <f>IF(AN973="","",IF(AD973=0,"OK",_xlfn.LET(monedaPago, IF(AA973="","USD",AA973), limitePermitido, IFERROR(VLOOKUP(monedaPago, Configuración!$A$2:$B$3, 2, FALSE), 0.15), IF(AD973&gt;limitePermitido, "ALERTA: EXCESO (" &amp; TEXT(limitePermitido, "0%") &amp; " máx)", "OK"))))</f>
        <v/>
      </c>
      <c r="AP973" s="79">
        <f>IF(AN973="","",IF(AE973=0,"OK",_xlfn.LET(fechaPago, Z973, fechaFactura, R973, diasCredito, IF(E973="Pago inmediato", 0, IFERROR(VALUE(MID(E973, 1, SEARCH(" ", E973)-1)),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73" s="79">
        <f>IF(AN973="","",IF(AND(N973&gt;0, AG973&gt;0), IF(Configuración!$K$2="NO", "ALERTA: DESCUENTO DOBLE NO PERMITIDO", "OK"), "OK"))</f>
        <v/>
      </c>
      <c r="AR973" s="79">
        <f>IF(AN973="","",IF(OR(AO973&lt;&gt;"OK", AP973&lt;&gt;"OK", AQ973&lt;&gt;"OK"), "⚠️ REVISAR", "OK"))</f>
        <v/>
      </c>
    </row>
    <row r="974">
      <c r="A974" s="79">
        <f>IF('Ordenes_Odoo'!A974="","",'Ordenes_Odoo'!A974)</f>
        <v/>
      </c>
      <c r="B974" s="80">
        <f>IF('Ordenes_Odoo'!B974="","",'Ordenes_Odoo'!B974)</f>
        <v/>
      </c>
      <c r="C974" s="79">
        <f>IF('Ordenes_Odoo'!C974="","",'Ordenes_Odoo'!C974)</f>
        <v/>
      </c>
      <c r="D974" s="79">
        <f>IF('Ordenes_Odoo'!D974="","",'Ordenes_Odoo'!D974)</f>
        <v/>
      </c>
      <c r="E974" s="79">
        <f>IF('Ordenes_Odoo'!E974="","",'Ordenes_Odoo'!E974)</f>
        <v/>
      </c>
      <c r="F974" s="79">
        <f>IF('Ordenes_Odoo'!F974="","",'Ordenes_Odoo'!F974)</f>
        <v/>
      </c>
      <c r="G974" s="79">
        <f>IF('Ordenes_Odoo'!G974="","",'Ordenes_Odoo'!G974)</f>
        <v/>
      </c>
      <c r="H974" s="79">
        <f>IF('Ordenes_Odoo'!H974="","",'Ordenes_Odoo'!H974)</f>
        <v/>
      </c>
      <c r="I974" s="79">
        <f>IF('Ordenes_Odoo'!I974="","",'Ordenes_Odoo'!I974)</f>
        <v/>
      </c>
      <c r="J974" s="79">
        <f>IF('Ordenes_Odoo'!J974="","",'Ordenes_Odoo'!J974)</f>
        <v/>
      </c>
      <c r="K974" s="81">
        <f>IF('Ordenes_Odoo'!K974="","",'Ordenes_Odoo'!K974)</f>
        <v/>
      </c>
      <c r="L974" s="81">
        <f>IF('Ordenes_Odoo'!L974="","",'Ordenes_Odoo'!L974)</f>
        <v/>
      </c>
      <c r="M974" s="79">
        <f>IF('Ordenes_Odoo'!M974="","",'Ordenes_Odoo'!M974)</f>
        <v/>
      </c>
      <c r="N974" s="79">
        <f>IF('Ordenes_Odoo'!N974="","",'Ordenes_Odoo'!N974)</f>
        <v/>
      </c>
      <c r="O974" s="81">
        <f>IF('Ordenes_Odoo'!O974="","",'Ordenes_Odoo'!O974)</f>
        <v/>
      </c>
      <c r="P974" s="81">
        <f>IF('Ordenes_Odoo'!P974="","",'Ordenes_Odoo'!P974)</f>
        <v/>
      </c>
      <c r="Q974" s="79">
        <f>IF(A974="","",IFERROR(INDEX(Facturas_Odoo!$B:$B, MATCH(A974, Facturas_Odoo!$D:$D, 0)), "Sin Factura"))</f>
        <v/>
      </c>
      <c r="R974" s="80">
        <f>IF(Q974="Sin Factura","",IFERROR(INDEX(Facturas_Odoo!$A:$A, MATCH(Q974, Facturas_Odoo!$B:$B, 0)), ""))</f>
        <v/>
      </c>
      <c r="S974" s="79">
        <f>IF(Q974="Sin Factura","",IFERROR(_xlfn.XLOOKUP(1, (Facturas_Odoo!$D:$D=A974) * (Facturas_Odoo!$K:$K=I974), Facturas_Odoo!$L:$L, ""), ""))</f>
        <v/>
      </c>
      <c r="T974" s="81">
        <f>IF(Q974="Sin Factura",0,IFERROR(_xlfn.XLOOKUP(1, (Facturas_Odoo!$D:$D=A974) * (Facturas_Odoo!$K:$K=I974), Facturas_Odoo!$M:$M, 0), 0))</f>
        <v/>
      </c>
      <c r="U974" s="79">
        <f>IF(Q974="Sin Factura",0,IFERROR(_xlfn.XLOOKUP(1, (Facturas_Odoo!$D:$D=A974) * (Facturas_Odoo!$K:$K=I974), Facturas_Odoo!$N:$N, 0), 0))</f>
        <v/>
      </c>
      <c r="V974" s="79">
        <f>IF(Q974="Sin Factura",0,IFERROR(_xlfn.XLOOKUP(1, (Facturas_Odoo!$D:$D=A974) * (Facturas_Odoo!$K:$K=I974), Facturas_Odoo!$O:$O, 0), 0))</f>
        <v/>
      </c>
      <c r="W974" s="81">
        <f>IF(Q974="Sin Factura",0,IFERROR(_xlfn.XLOOKUP(1, (Facturas_Odoo!$D:$D=A974) * (Facturas_Odoo!$K:$K=I974), Facturas_Odoo!$Q:$Q, 0), 0))</f>
        <v/>
      </c>
      <c r="X974" s="79">
        <f>IF(OR(Q974="Sin Factura",Q974=""),"",IFERROR(INDEX(Pagos_Odoo!$B:$B, MATCH(Q974, Pagos_Odoo!$I:$I, 0)), "Sin Pago"))</f>
        <v/>
      </c>
      <c r="Y974" s="79">
        <f>IF(X974="Sin Pago","",IFERROR(INDEX(Pagos_Odoo!$C:$C, MATCH(X974, Pagos_Odoo!$B:$B, 0)), ""))</f>
        <v/>
      </c>
      <c r="Z974" s="80">
        <f>IF(X974="Sin Pago","",IFERROR(INDEX(Pagos_Odoo!$A:$A, MATCH(X974, Pagos_Odoo!$B:$B, 0)), ""))</f>
        <v/>
      </c>
      <c r="AA974" s="79">
        <f>IF(X974="Sin Pago","",IFERROR(INDEX(Pagos_Odoo!$F:$F, MATCH(X974, Pagos_Odoo!$B:$B, 0)), ""))</f>
        <v/>
      </c>
      <c r="AB974" s="81">
        <f>IF(X974="Sin Pago",0,IFERROR(INDEX(Pagos_Odoo!$E:$E, MATCH(X974, Pagos_Odoo!$B:$B, 0)), 0))</f>
        <v/>
      </c>
      <c r="AC974" s="79">
        <f>IF(X974="Sin Pago","",IFERROR(INDEX(Pagos_Odoo!$G:$G, MATCH(X974, Pagos_Odoo!$B:$B, 0)), ""))</f>
        <v/>
      </c>
      <c r="AD974" s="82" t="n">
        <v>0</v>
      </c>
      <c r="AE974" s="82" t="n"/>
      <c r="AF974" s="82" t="n"/>
      <c r="AG974" s="82">
        <f>IF(AN974="","",AD974+AE974+AF974)</f>
        <v/>
      </c>
      <c r="AH974" s="81">
        <f>IF(AN974="","",P974*(1-AG974))</f>
        <v/>
      </c>
      <c r="AI974" s="81">
        <f>IF(AN974="","",IF(Q974="Sin Factura",0,IFERROR(INDEX(Facturas_Odoo!$H:$H, MATCH(Q974, Facturas_Odoo!$B:$B, 0)), 0)*(1-AG974)))</f>
        <v/>
      </c>
      <c r="AJ974" s="81">
        <f>IF(AN974="","",_xlfn.LET(idVenta, AN974&amp;"",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74" s="81">
        <f>IF(AN974="","",AH974-AJ974)</f>
        <v/>
      </c>
      <c r="AL974" s="81">
        <f>IF(AN974="","",IF(Q974="Sin Factura","",AI974-AJ974))</f>
        <v/>
      </c>
      <c r="AM974" s="81">
        <f>IF(AN974="","",IF(Q974="Sin Factura",0,P974-IFERROR(INDEX(Facturas_Odoo!$H:$H, MATCH(Q974, Facturas_Odoo!$B:$B, 0)), 0)))</f>
        <v/>
      </c>
      <c r="AN974" s="79">
        <f>IF(AND(A974="", J974=""), "", IF(A974&lt;&gt;"", VALUE(MID(A974,2,LEN(A974))), AN973))</f>
        <v/>
      </c>
      <c r="AO974" s="79">
        <f>IF(AN974="","",IF(AD974=0,"OK",_xlfn.LET(monedaPago, IF(AA974="","USD",AA974), limitePermitido, IFERROR(VLOOKUP(monedaPago, Configuración!$A$2:$B$3, 2, FALSE), 0.15), IF(AD974&gt;limitePermitido, "ALERTA: EXCESO (" &amp; TEXT(limitePermitido, "0%") &amp; " máx)", "OK"))))</f>
        <v/>
      </c>
      <c r="AP974" s="79">
        <f>IF(AN974="","",IF(AE974=0,"OK",_xlfn.LET(fechaPago, Z974, fechaFactura, R974, diasCredito, IF(E974="Pago inmediato", 0, IFERROR(VALUE(MID(E974, 1, SEARCH(" ", E974)-1)),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74" s="79">
        <f>IF(AN974="","",IF(AND(N974&gt;0, AG974&gt;0), IF(Configuración!$K$2="NO", "ALERTA: DESCUENTO DOBLE NO PERMITIDO", "OK"), "OK"))</f>
        <v/>
      </c>
      <c r="AR974" s="79">
        <f>IF(AN974="","",IF(OR(AO974&lt;&gt;"OK", AP974&lt;&gt;"OK", AQ974&lt;&gt;"OK"), "⚠️ REVISAR", "OK"))</f>
        <v/>
      </c>
    </row>
    <row r="975">
      <c r="A975" s="79">
        <f>IF('Ordenes_Odoo'!A975="","",'Ordenes_Odoo'!A975)</f>
        <v/>
      </c>
      <c r="B975" s="80">
        <f>IF('Ordenes_Odoo'!B975="","",'Ordenes_Odoo'!B975)</f>
        <v/>
      </c>
      <c r="C975" s="79">
        <f>IF('Ordenes_Odoo'!C975="","",'Ordenes_Odoo'!C975)</f>
        <v/>
      </c>
      <c r="D975" s="79">
        <f>IF('Ordenes_Odoo'!D975="","",'Ordenes_Odoo'!D975)</f>
        <v/>
      </c>
      <c r="E975" s="79">
        <f>IF('Ordenes_Odoo'!E975="","",'Ordenes_Odoo'!E975)</f>
        <v/>
      </c>
      <c r="F975" s="79">
        <f>IF('Ordenes_Odoo'!F975="","",'Ordenes_Odoo'!F975)</f>
        <v/>
      </c>
      <c r="G975" s="79">
        <f>IF('Ordenes_Odoo'!G975="","",'Ordenes_Odoo'!G975)</f>
        <v/>
      </c>
      <c r="H975" s="79">
        <f>IF('Ordenes_Odoo'!H975="","",'Ordenes_Odoo'!H975)</f>
        <v/>
      </c>
      <c r="I975" s="79">
        <f>IF('Ordenes_Odoo'!I975="","",'Ordenes_Odoo'!I975)</f>
        <v/>
      </c>
      <c r="J975" s="79">
        <f>IF('Ordenes_Odoo'!J975="","",'Ordenes_Odoo'!J975)</f>
        <v/>
      </c>
      <c r="K975" s="81">
        <f>IF('Ordenes_Odoo'!K975="","",'Ordenes_Odoo'!K975)</f>
        <v/>
      </c>
      <c r="L975" s="81">
        <f>IF('Ordenes_Odoo'!L975="","",'Ordenes_Odoo'!L975)</f>
        <v/>
      </c>
      <c r="M975" s="79">
        <f>IF('Ordenes_Odoo'!M975="","",'Ordenes_Odoo'!M975)</f>
        <v/>
      </c>
      <c r="N975" s="79">
        <f>IF('Ordenes_Odoo'!N975="","",'Ordenes_Odoo'!N975)</f>
        <v/>
      </c>
      <c r="O975" s="81">
        <f>IF('Ordenes_Odoo'!O975="","",'Ordenes_Odoo'!O975)</f>
        <v/>
      </c>
      <c r="P975" s="81">
        <f>IF('Ordenes_Odoo'!P975="","",'Ordenes_Odoo'!P975)</f>
        <v/>
      </c>
      <c r="Q975" s="79">
        <f>IF(A975="","",IFERROR(INDEX(Facturas_Odoo!$B:$B, MATCH(A975, Facturas_Odoo!$D:$D, 0)), "Sin Factura"))</f>
        <v/>
      </c>
      <c r="R975" s="80">
        <f>IF(Q975="Sin Factura","",IFERROR(INDEX(Facturas_Odoo!$A:$A, MATCH(Q975, Facturas_Odoo!$B:$B, 0)), ""))</f>
        <v/>
      </c>
      <c r="S975" s="79">
        <f>IF(Q975="Sin Factura","",IFERROR(_xlfn.XLOOKUP(1, (Facturas_Odoo!$D:$D=A975) * (Facturas_Odoo!$K:$K=I975), Facturas_Odoo!$L:$L, ""), ""))</f>
        <v/>
      </c>
      <c r="T975" s="81">
        <f>IF(Q975="Sin Factura",0,IFERROR(_xlfn.XLOOKUP(1, (Facturas_Odoo!$D:$D=A975) * (Facturas_Odoo!$K:$K=I975), Facturas_Odoo!$M:$M, 0), 0))</f>
        <v/>
      </c>
      <c r="U975" s="79">
        <f>IF(Q975="Sin Factura",0,IFERROR(_xlfn.XLOOKUP(1, (Facturas_Odoo!$D:$D=A975) * (Facturas_Odoo!$K:$K=I975), Facturas_Odoo!$N:$N, 0), 0))</f>
        <v/>
      </c>
      <c r="V975" s="79">
        <f>IF(Q975="Sin Factura",0,IFERROR(_xlfn.XLOOKUP(1, (Facturas_Odoo!$D:$D=A975) * (Facturas_Odoo!$K:$K=I975), Facturas_Odoo!$O:$O, 0), 0))</f>
        <v/>
      </c>
      <c r="W975" s="81">
        <f>IF(Q975="Sin Factura",0,IFERROR(_xlfn.XLOOKUP(1, (Facturas_Odoo!$D:$D=A975) * (Facturas_Odoo!$K:$K=I975), Facturas_Odoo!$Q:$Q, 0), 0))</f>
        <v/>
      </c>
      <c r="X975" s="79">
        <f>IF(OR(Q975="Sin Factura",Q975=""),"",IFERROR(INDEX(Pagos_Odoo!$B:$B, MATCH(Q975, Pagos_Odoo!$I:$I, 0)), "Sin Pago"))</f>
        <v/>
      </c>
      <c r="Y975" s="79">
        <f>IF(X975="Sin Pago","",IFERROR(INDEX(Pagos_Odoo!$C:$C, MATCH(X975, Pagos_Odoo!$B:$B, 0)), ""))</f>
        <v/>
      </c>
      <c r="Z975" s="80">
        <f>IF(X975="Sin Pago","",IFERROR(INDEX(Pagos_Odoo!$A:$A, MATCH(X975, Pagos_Odoo!$B:$B, 0)), ""))</f>
        <v/>
      </c>
      <c r="AA975" s="79">
        <f>IF(X975="Sin Pago","",IFERROR(INDEX(Pagos_Odoo!$F:$F, MATCH(X975, Pagos_Odoo!$B:$B, 0)), ""))</f>
        <v/>
      </c>
      <c r="AB975" s="81">
        <f>IF(X975="Sin Pago",0,IFERROR(INDEX(Pagos_Odoo!$E:$E, MATCH(X975, Pagos_Odoo!$B:$B, 0)), 0))</f>
        <v/>
      </c>
      <c r="AC975" s="79">
        <f>IF(X975="Sin Pago","",IFERROR(INDEX(Pagos_Odoo!$G:$G, MATCH(X975, Pagos_Odoo!$B:$B, 0)), ""))</f>
        <v/>
      </c>
      <c r="AD975" s="82" t="n">
        <v>0</v>
      </c>
      <c r="AE975" s="82" t="n"/>
      <c r="AF975" s="82" t="n"/>
      <c r="AG975" s="82">
        <f>IF(AN975="","",AD975+AE975+AF975)</f>
        <v/>
      </c>
      <c r="AH975" s="81">
        <f>IF(AN975="","",P975*(1-AG975))</f>
        <v/>
      </c>
      <c r="AI975" s="81">
        <f>IF(AN975="","",IF(Q975="Sin Factura",0,IFERROR(INDEX(Facturas_Odoo!$H:$H, MATCH(Q975, Facturas_Odoo!$B:$B, 0)), 0)*(1-AG975)))</f>
        <v/>
      </c>
      <c r="AJ975" s="81">
        <f>IF(AN975="","",_xlfn.LET(idVenta, AN975&amp;"",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75" s="81">
        <f>IF(AN975="","",AH975-AJ975)</f>
        <v/>
      </c>
      <c r="AL975" s="81">
        <f>IF(AN975="","",IF(Q975="Sin Factura","",AI975-AJ975))</f>
        <v/>
      </c>
      <c r="AM975" s="81">
        <f>IF(AN975="","",IF(Q975="Sin Factura",0,P975-IFERROR(INDEX(Facturas_Odoo!$H:$H, MATCH(Q975, Facturas_Odoo!$B:$B, 0)), 0)))</f>
        <v/>
      </c>
      <c r="AN975" s="79">
        <f>IF(AND(A975="", J975=""), "", IF(A975&lt;&gt;"", VALUE(MID(A975,2,LEN(A975))), AN974))</f>
        <v/>
      </c>
      <c r="AO975" s="79">
        <f>IF(AN975="","",IF(AD975=0,"OK",_xlfn.LET(monedaPago, IF(AA975="","USD",AA975), limitePermitido, IFERROR(VLOOKUP(monedaPago, Configuración!$A$2:$B$3, 2, FALSE), 0.15), IF(AD975&gt;limitePermitido, "ALERTA: EXCESO (" &amp; TEXT(limitePermitido, "0%") &amp; " máx)", "OK"))))</f>
        <v/>
      </c>
      <c r="AP975" s="79">
        <f>IF(AN975="","",IF(AE975=0,"OK",_xlfn.LET(fechaPago, Z975, fechaFactura, R975, diasCredito, IF(E975="Pago inmediato", 0, IFERROR(VALUE(MID(E975, 1, SEARCH(" ", E975)-1)),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75" s="79">
        <f>IF(AN975="","",IF(AND(N975&gt;0, AG975&gt;0), IF(Configuración!$K$2="NO", "ALERTA: DESCUENTO DOBLE NO PERMITIDO", "OK"), "OK"))</f>
        <v/>
      </c>
      <c r="AR975" s="79">
        <f>IF(AN975="","",IF(OR(AO975&lt;&gt;"OK", AP975&lt;&gt;"OK", AQ975&lt;&gt;"OK"), "⚠️ REVISAR", "OK"))</f>
        <v/>
      </c>
    </row>
    <row r="976">
      <c r="A976" s="79">
        <f>IF('Ordenes_Odoo'!A976="","",'Ordenes_Odoo'!A976)</f>
        <v/>
      </c>
      <c r="B976" s="80">
        <f>IF('Ordenes_Odoo'!B976="","",'Ordenes_Odoo'!B976)</f>
        <v/>
      </c>
      <c r="C976" s="79">
        <f>IF('Ordenes_Odoo'!C976="","",'Ordenes_Odoo'!C976)</f>
        <v/>
      </c>
      <c r="D976" s="79">
        <f>IF('Ordenes_Odoo'!D976="","",'Ordenes_Odoo'!D976)</f>
        <v/>
      </c>
      <c r="E976" s="79">
        <f>IF('Ordenes_Odoo'!E976="","",'Ordenes_Odoo'!E976)</f>
        <v/>
      </c>
      <c r="F976" s="79">
        <f>IF('Ordenes_Odoo'!F976="","",'Ordenes_Odoo'!F976)</f>
        <v/>
      </c>
      <c r="G976" s="79">
        <f>IF('Ordenes_Odoo'!G976="","",'Ordenes_Odoo'!G976)</f>
        <v/>
      </c>
      <c r="H976" s="79">
        <f>IF('Ordenes_Odoo'!H976="","",'Ordenes_Odoo'!H976)</f>
        <v/>
      </c>
      <c r="I976" s="79">
        <f>IF('Ordenes_Odoo'!I976="","",'Ordenes_Odoo'!I976)</f>
        <v/>
      </c>
      <c r="J976" s="79">
        <f>IF('Ordenes_Odoo'!J976="","",'Ordenes_Odoo'!J976)</f>
        <v/>
      </c>
      <c r="K976" s="81">
        <f>IF('Ordenes_Odoo'!K976="","",'Ordenes_Odoo'!K976)</f>
        <v/>
      </c>
      <c r="L976" s="81">
        <f>IF('Ordenes_Odoo'!L976="","",'Ordenes_Odoo'!L976)</f>
        <v/>
      </c>
      <c r="M976" s="79">
        <f>IF('Ordenes_Odoo'!M976="","",'Ordenes_Odoo'!M976)</f>
        <v/>
      </c>
      <c r="N976" s="79">
        <f>IF('Ordenes_Odoo'!N976="","",'Ordenes_Odoo'!N976)</f>
        <v/>
      </c>
      <c r="O976" s="81">
        <f>IF('Ordenes_Odoo'!O976="","",'Ordenes_Odoo'!O976)</f>
        <v/>
      </c>
      <c r="P976" s="81">
        <f>IF('Ordenes_Odoo'!P976="","",'Ordenes_Odoo'!P976)</f>
        <v/>
      </c>
      <c r="Q976" s="79">
        <f>IF(A976="","",IFERROR(INDEX(Facturas_Odoo!$B:$B, MATCH(A976, Facturas_Odoo!$D:$D, 0)), "Sin Factura"))</f>
        <v/>
      </c>
      <c r="R976" s="80">
        <f>IF(Q976="Sin Factura","",IFERROR(INDEX(Facturas_Odoo!$A:$A, MATCH(Q976, Facturas_Odoo!$B:$B, 0)), ""))</f>
        <v/>
      </c>
      <c r="S976" s="79">
        <f>IF(Q976="Sin Factura","",IFERROR(_xlfn.XLOOKUP(1, (Facturas_Odoo!$D:$D=A976) * (Facturas_Odoo!$K:$K=I976), Facturas_Odoo!$L:$L, ""), ""))</f>
        <v/>
      </c>
      <c r="T976" s="81">
        <f>IF(Q976="Sin Factura",0,IFERROR(_xlfn.XLOOKUP(1, (Facturas_Odoo!$D:$D=A976) * (Facturas_Odoo!$K:$K=I976), Facturas_Odoo!$M:$M, 0), 0))</f>
        <v/>
      </c>
      <c r="U976" s="79">
        <f>IF(Q976="Sin Factura",0,IFERROR(_xlfn.XLOOKUP(1, (Facturas_Odoo!$D:$D=A976) * (Facturas_Odoo!$K:$K=I976), Facturas_Odoo!$N:$N, 0), 0))</f>
        <v/>
      </c>
      <c r="V976" s="79">
        <f>IF(Q976="Sin Factura",0,IFERROR(_xlfn.XLOOKUP(1, (Facturas_Odoo!$D:$D=A976) * (Facturas_Odoo!$K:$K=I976), Facturas_Odoo!$O:$O, 0), 0))</f>
        <v/>
      </c>
      <c r="W976" s="81">
        <f>IF(Q976="Sin Factura",0,IFERROR(_xlfn.XLOOKUP(1, (Facturas_Odoo!$D:$D=A976) * (Facturas_Odoo!$K:$K=I976), Facturas_Odoo!$Q:$Q, 0), 0))</f>
        <v/>
      </c>
      <c r="X976" s="79">
        <f>IF(OR(Q976="Sin Factura",Q976=""),"",IFERROR(INDEX(Pagos_Odoo!$B:$B, MATCH(Q976, Pagos_Odoo!$I:$I, 0)), "Sin Pago"))</f>
        <v/>
      </c>
      <c r="Y976" s="79">
        <f>IF(X976="Sin Pago","",IFERROR(INDEX(Pagos_Odoo!$C:$C, MATCH(X976, Pagos_Odoo!$B:$B, 0)), ""))</f>
        <v/>
      </c>
      <c r="Z976" s="80">
        <f>IF(X976="Sin Pago","",IFERROR(INDEX(Pagos_Odoo!$A:$A, MATCH(X976, Pagos_Odoo!$B:$B, 0)), ""))</f>
        <v/>
      </c>
      <c r="AA976" s="79">
        <f>IF(X976="Sin Pago","",IFERROR(INDEX(Pagos_Odoo!$F:$F, MATCH(X976, Pagos_Odoo!$B:$B, 0)), ""))</f>
        <v/>
      </c>
      <c r="AB976" s="81">
        <f>IF(X976="Sin Pago",0,IFERROR(INDEX(Pagos_Odoo!$E:$E, MATCH(X976, Pagos_Odoo!$B:$B, 0)), 0))</f>
        <v/>
      </c>
      <c r="AC976" s="79">
        <f>IF(X976="Sin Pago","",IFERROR(INDEX(Pagos_Odoo!$G:$G, MATCH(X976, Pagos_Odoo!$B:$B, 0)), ""))</f>
        <v/>
      </c>
      <c r="AD976" s="82" t="n">
        <v>0</v>
      </c>
      <c r="AE976" s="82" t="n"/>
      <c r="AF976" s="82" t="n"/>
      <c r="AG976" s="82">
        <f>IF(AN976="","",AD976+AE976+AF976)</f>
        <v/>
      </c>
      <c r="AH976" s="81">
        <f>IF(AN976="","",P976*(1-AG976))</f>
        <v/>
      </c>
      <c r="AI976" s="81">
        <f>IF(AN976="","",IF(Q976="Sin Factura",0,IFERROR(INDEX(Facturas_Odoo!$H:$H, MATCH(Q976, Facturas_Odoo!$B:$B, 0)), 0)*(1-AG976)))</f>
        <v/>
      </c>
      <c r="AJ976" s="81">
        <f>IF(AN976="","",_xlfn.LET(idVenta, AN976&amp;"",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76" s="81">
        <f>IF(AN976="","",AH976-AJ976)</f>
        <v/>
      </c>
      <c r="AL976" s="81">
        <f>IF(AN976="","",IF(Q976="Sin Factura","",AI976-AJ976))</f>
        <v/>
      </c>
      <c r="AM976" s="81">
        <f>IF(AN976="","",IF(Q976="Sin Factura",0,P976-IFERROR(INDEX(Facturas_Odoo!$H:$H, MATCH(Q976, Facturas_Odoo!$B:$B, 0)), 0)))</f>
        <v/>
      </c>
      <c r="AN976" s="79">
        <f>IF(AND(A976="", J976=""), "", IF(A976&lt;&gt;"", VALUE(MID(A976,2,LEN(A976))), AN975))</f>
        <v/>
      </c>
      <c r="AO976" s="79">
        <f>IF(AN976="","",IF(AD976=0,"OK",_xlfn.LET(monedaPago, IF(AA976="","USD",AA976), limitePermitido, IFERROR(VLOOKUP(monedaPago, Configuración!$A$2:$B$3, 2, FALSE), 0.15), IF(AD976&gt;limitePermitido, "ALERTA: EXCESO (" &amp; TEXT(limitePermitido, "0%") &amp; " máx)", "OK"))))</f>
        <v/>
      </c>
      <c r="AP976" s="79">
        <f>IF(AN976="","",IF(AE976=0,"OK",_xlfn.LET(fechaPago, Z976, fechaFactura, R976, diasCredito, IF(E976="Pago inmediato", 0, IFERROR(VALUE(MID(E976, 1, SEARCH(" ", E976)-1)),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76" s="79">
        <f>IF(AN976="","",IF(AND(N976&gt;0, AG976&gt;0), IF(Configuración!$K$2="NO", "ALERTA: DESCUENTO DOBLE NO PERMITIDO", "OK"), "OK"))</f>
        <v/>
      </c>
      <c r="AR976" s="79">
        <f>IF(AN976="","",IF(OR(AO976&lt;&gt;"OK", AP976&lt;&gt;"OK", AQ976&lt;&gt;"OK"), "⚠️ REVISAR", "OK"))</f>
        <v/>
      </c>
    </row>
    <row r="977">
      <c r="A977" s="79">
        <f>IF('Ordenes_Odoo'!A977="","",'Ordenes_Odoo'!A977)</f>
        <v/>
      </c>
      <c r="B977" s="80">
        <f>IF('Ordenes_Odoo'!B977="","",'Ordenes_Odoo'!B977)</f>
        <v/>
      </c>
      <c r="C977" s="79">
        <f>IF('Ordenes_Odoo'!C977="","",'Ordenes_Odoo'!C977)</f>
        <v/>
      </c>
      <c r="D977" s="79">
        <f>IF('Ordenes_Odoo'!D977="","",'Ordenes_Odoo'!D977)</f>
        <v/>
      </c>
      <c r="E977" s="79">
        <f>IF('Ordenes_Odoo'!E977="","",'Ordenes_Odoo'!E977)</f>
        <v/>
      </c>
      <c r="F977" s="79">
        <f>IF('Ordenes_Odoo'!F977="","",'Ordenes_Odoo'!F977)</f>
        <v/>
      </c>
      <c r="G977" s="79">
        <f>IF('Ordenes_Odoo'!G977="","",'Ordenes_Odoo'!G977)</f>
        <v/>
      </c>
      <c r="H977" s="79">
        <f>IF('Ordenes_Odoo'!H977="","",'Ordenes_Odoo'!H977)</f>
        <v/>
      </c>
      <c r="I977" s="79">
        <f>IF('Ordenes_Odoo'!I977="","",'Ordenes_Odoo'!I977)</f>
        <v/>
      </c>
      <c r="J977" s="79">
        <f>IF('Ordenes_Odoo'!J977="","",'Ordenes_Odoo'!J977)</f>
        <v/>
      </c>
      <c r="K977" s="81">
        <f>IF('Ordenes_Odoo'!K977="","",'Ordenes_Odoo'!K977)</f>
        <v/>
      </c>
      <c r="L977" s="81">
        <f>IF('Ordenes_Odoo'!L977="","",'Ordenes_Odoo'!L977)</f>
        <v/>
      </c>
      <c r="M977" s="79">
        <f>IF('Ordenes_Odoo'!M977="","",'Ordenes_Odoo'!M977)</f>
        <v/>
      </c>
      <c r="N977" s="79">
        <f>IF('Ordenes_Odoo'!N977="","",'Ordenes_Odoo'!N977)</f>
        <v/>
      </c>
      <c r="O977" s="81">
        <f>IF('Ordenes_Odoo'!O977="","",'Ordenes_Odoo'!O977)</f>
        <v/>
      </c>
      <c r="P977" s="81">
        <f>IF('Ordenes_Odoo'!P977="","",'Ordenes_Odoo'!P977)</f>
        <v/>
      </c>
      <c r="Q977" s="79">
        <f>IF(A977="","",IFERROR(INDEX(Facturas_Odoo!$B:$B, MATCH(A977, Facturas_Odoo!$D:$D, 0)), "Sin Factura"))</f>
        <v/>
      </c>
      <c r="R977" s="80">
        <f>IF(Q977="Sin Factura","",IFERROR(INDEX(Facturas_Odoo!$A:$A, MATCH(Q977, Facturas_Odoo!$B:$B, 0)), ""))</f>
        <v/>
      </c>
      <c r="S977" s="79">
        <f>IF(Q977="Sin Factura","",IFERROR(_xlfn.XLOOKUP(1, (Facturas_Odoo!$D:$D=A977) * (Facturas_Odoo!$K:$K=I977), Facturas_Odoo!$L:$L, ""), ""))</f>
        <v/>
      </c>
      <c r="T977" s="81">
        <f>IF(Q977="Sin Factura",0,IFERROR(_xlfn.XLOOKUP(1, (Facturas_Odoo!$D:$D=A977) * (Facturas_Odoo!$K:$K=I977), Facturas_Odoo!$M:$M, 0), 0))</f>
        <v/>
      </c>
      <c r="U977" s="79">
        <f>IF(Q977="Sin Factura",0,IFERROR(_xlfn.XLOOKUP(1, (Facturas_Odoo!$D:$D=A977) * (Facturas_Odoo!$K:$K=I977), Facturas_Odoo!$N:$N, 0), 0))</f>
        <v/>
      </c>
      <c r="V977" s="79">
        <f>IF(Q977="Sin Factura",0,IFERROR(_xlfn.XLOOKUP(1, (Facturas_Odoo!$D:$D=A977) * (Facturas_Odoo!$K:$K=I977), Facturas_Odoo!$O:$O, 0), 0))</f>
        <v/>
      </c>
      <c r="W977" s="81">
        <f>IF(Q977="Sin Factura",0,IFERROR(_xlfn.XLOOKUP(1, (Facturas_Odoo!$D:$D=A977) * (Facturas_Odoo!$K:$K=I977), Facturas_Odoo!$Q:$Q, 0), 0))</f>
        <v/>
      </c>
      <c r="X977" s="79">
        <f>IF(OR(Q977="Sin Factura",Q977=""),"",IFERROR(INDEX(Pagos_Odoo!$B:$B, MATCH(Q977, Pagos_Odoo!$I:$I, 0)), "Sin Pago"))</f>
        <v/>
      </c>
      <c r="Y977" s="79">
        <f>IF(X977="Sin Pago","",IFERROR(INDEX(Pagos_Odoo!$C:$C, MATCH(X977, Pagos_Odoo!$B:$B, 0)), ""))</f>
        <v/>
      </c>
      <c r="Z977" s="80">
        <f>IF(X977="Sin Pago","",IFERROR(INDEX(Pagos_Odoo!$A:$A, MATCH(X977, Pagos_Odoo!$B:$B, 0)), ""))</f>
        <v/>
      </c>
      <c r="AA977" s="79">
        <f>IF(X977="Sin Pago","",IFERROR(INDEX(Pagos_Odoo!$F:$F, MATCH(X977, Pagos_Odoo!$B:$B, 0)), ""))</f>
        <v/>
      </c>
      <c r="AB977" s="81">
        <f>IF(X977="Sin Pago",0,IFERROR(INDEX(Pagos_Odoo!$E:$E, MATCH(X977, Pagos_Odoo!$B:$B, 0)), 0))</f>
        <v/>
      </c>
      <c r="AC977" s="79">
        <f>IF(X977="Sin Pago","",IFERROR(INDEX(Pagos_Odoo!$G:$G, MATCH(X977, Pagos_Odoo!$B:$B, 0)), ""))</f>
        <v/>
      </c>
      <c r="AD977" s="82" t="n">
        <v>0</v>
      </c>
      <c r="AE977" s="82" t="n"/>
      <c r="AF977" s="82" t="n"/>
      <c r="AG977" s="82">
        <f>IF(AN977="","",AD977+AE977+AF977)</f>
        <v/>
      </c>
      <c r="AH977" s="81">
        <f>IF(AN977="","",P977*(1-AG977))</f>
        <v/>
      </c>
      <c r="AI977" s="81">
        <f>IF(AN977="","",IF(Q977="Sin Factura",0,IFERROR(INDEX(Facturas_Odoo!$H:$H, MATCH(Q977, Facturas_Odoo!$B:$B, 0)), 0)*(1-AG977)))</f>
        <v/>
      </c>
      <c r="AJ977" s="81">
        <f>IF(AN977="","",_xlfn.LET(idVenta, AN977&amp;"",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77" s="81">
        <f>IF(AN977="","",AH977-AJ977)</f>
        <v/>
      </c>
      <c r="AL977" s="81">
        <f>IF(AN977="","",IF(Q977="Sin Factura","",AI977-AJ977))</f>
        <v/>
      </c>
      <c r="AM977" s="81">
        <f>IF(AN977="","",IF(Q977="Sin Factura",0,P977-IFERROR(INDEX(Facturas_Odoo!$H:$H, MATCH(Q977, Facturas_Odoo!$B:$B, 0)), 0)))</f>
        <v/>
      </c>
      <c r="AN977" s="79">
        <f>IF(AND(A977="", J977=""), "", IF(A977&lt;&gt;"", VALUE(MID(A977,2,LEN(A977))), AN976))</f>
        <v/>
      </c>
      <c r="AO977" s="79">
        <f>IF(AN977="","",IF(AD977=0,"OK",_xlfn.LET(monedaPago, IF(AA977="","USD",AA977), limitePermitido, IFERROR(VLOOKUP(monedaPago, Configuración!$A$2:$B$3, 2, FALSE), 0.15), IF(AD977&gt;limitePermitido, "ALERTA: EXCESO (" &amp; TEXT(limitePermitido, "0%") &amp; " máx)", "OK"))))</f>
        <v/>
      </c>
      <c r="AP977" s="79">
        <f>IF(AN977="","",IF(AE977=0,"OK",_xlfn.LET(fechaPago, Z977, fechaFactura, R977, diasCredito, IF(E977="Pago inmediato", 0, IFERROR(VALUE(MID(E977, 1, SEARCH(" ", E977)-1)),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77" s="79">
        <f>IF(AN977="","",IF(AND(N977&gt;0, AG977&gt;0), IF(Configuración!$K$2="NO", "ALERTA: DESCUENTO DOBLE NO PERMITIDO", "OK"), "OK"))</f>
        <v/>
      </c>
      <c r="AR977" s="79">
        <f>IF(AN977="","",IF(OR(AO977&lt;&gt;"OK", AP977&lt;&gt;"OK", AQ977&lt;&gt;"OK"), "⚠️ REVISAR", "OK"))</f>
        <v/>
      </c>
    </row>
    <row r="978">
      <c r="A978" s="79">
        <f>IF('Ordenes_Odoo'!A978="","",'Ordenes_Odoo'!A978)</f>
        <v/>
      </c>
      <c r="B978" s="80">
        <f>IF('Ordenes_Odoo'!B978="","",'Ordenes_Odoo'!B978)</f>
        <v/>
      </c>
      <c r="C978" s="79">
        <f>IF('Ordenes_Odoo'!C978="","",'Ordenes_Odoo'!C978)</f>
        <v/>
      </c>
      <c r="D978" s="79">
        <f>IF('Ordenes_Odoo'!D978="","",'Ordenes_Odoo'!D978)</f>
        <v/>
      </c>
      <c r="E978" s="79">
        <f>IF('Ordenes_Odoo'!E978="","",'Ordenes_Odoo'!E978)</f>
        <v/>
      </c>
      <c r="F978" s="79">
        <f>IF('Ordenes_Odoo'!F978="","",'Ordenes_Odoo'!F978)</f>
        <v/>
      </c>
      <c r="G978" s="79">
        <f>IF('Ordenes_Odoo'!G978="","",'Ordenes_Odoo'!G978)</f>
        <v/>
      </c>
      <c r="H978" s="79">
        <f>IF('Ordenes_Odoo'!H978="","",'Ordenes_Odoo'!H978)</f>
        <v/>
      </c>
      <c r="I978" s="79">
        <f>IF('Ordenes_Odoo'!I978="","",'Ordenes_Odoo'!I978)</f>
        <v/>
      </c>
      <c r="J978" s="79">
        <f>IF('Ordenes_Odoo'!J978="","",'Ordenes_Odoo'!J978)</f>
        <v/>
      </c>
      <c r="K978" s="81">
        <f>IF('Ordenes_Odoo'!K978="","",'Ordenes_Odoo'!K978)</f>
        <v/>
      </c>
      <c r="L978" s="81">
        <f>IF('Ordenes_Odoo'!L978="","",'Ordenes_Odoo'!L978)</f>
        <v/>
      </c>
      <c r="M978" s="79">
        <f>IF('Ordenes_Odoo'!M978="","",'Ordenes_Odoo'!M978)</f>
        <v/>
      </c>
      <c r="N978" s="79">
        <f>IF('Ordenes_Odoo'!N978="","",'Ordenes_Odoo'!N978)</f>
        <v/>
      </c>
      <c r="O978" s="81">
        <f>IF('Ordenes_Odoo'!O978="","",'Ordenes_Odoo'!O978)</f>
        <v/>
      </c>
      <c r="P978" s="81">
        <f>IF('Ordenes_Odoo'!P978="","",'Ordenes_Odoo'!P978)</f>
        <v/>
      </c>
      <c r="Q978" s="79">
        <f>IF(A978="","",IFERROR(INDEX(Facturas_Odoo!$B:$B, MATCH(A978, Facturas_Odoo!$D:$D, 0)), "Sin Factura"))</f>
        <v/>
      </c>
      <c r="R978" s="80">
        <f>IF(Q978="Sin Factura","",IFERROR(INDEX(Facturas_Odoo!$A:$A, MATCH(Q978, Facturas_Odoo!$B:$B, 0)), ""))</f>
        <v/>
      </c>
      <c r="S978" s="79">
        <f>IF(Q978="Sin Factura","",IFERROR(_xlfn.XLOOKUP(1, (Facturas_Odoo!$D:$D=A978) * (Facturas_Odoo!$K:$K=I978), Facturas_Odoo!$L:$L, ""), ""))</f>
        <v/>
      </c>
      <c r="T978" s="81">
        <f>IF(Q978="Sin Factura",0,IFERROR(_xlfn.XLOOKUP(1, (Facturas_Odoo!$D:$D=A978) * (Facturas_Odoo!$K:$K=I978), Facturas_Odoo!$M:$M, 0), 0))</f>
        <v/>
      </c>
      <c r="U978" s="79">
        <f>IF(Q978="Sin Factura",0,IFERROR(_xlfn.XLOOKUP(1, (Facturas_Odoo!$D:$D=A978) * (Facturas_Odoo!$K:$K=I978), Facturas_Odoo!$N:$N, 0), 0))</f>
        <v/>
      </c>
      <c r="V978" s="79">
        <f>IF(Q978="Sin Factura",0,IFERROR(_xlfn.XLOOKUP(1, (Facturas_Odoo!$D:$D=A978) * (Facturas_Odoo!$K:$K=I978), Facturas_Odoo!$O:$O, 0), 0))</f>
        <v/>
      </c>
      <c r="W978" s="81">
        <f>IF(Q978="Sin Factura",0,IFERROR(_xlfn.XLOOKUP(1, (Facturas_Odoo!$D:$D=A978) * (Facturas_Odoo!$K:$K=I978), Facturas_Odoo!$Q:$Q, 0), 0))</f>
        <v/>
      </c>
      <c r="X978" s="79">
        <f>IF(OR(Q978="Sin Factura",Q978=""),"",IFERROR(INDEX(Pagos_Odoo!$B:$B, MATCH(Q978, Pagos_Odoo!$I:$I, 0)), "Sin Pago"))</f>
        <v/>
      </c>
      <c r="Y978" s="79">
        <f>IF(X978="Sin Pago","",IFERROR(INDEX(Pagos_Odoo!$C:$C, MATCH(X978, Pagos_Odoo!$B:$B, 0)), ""))</f>
        <v/>
      </c>
      <c r="Z978" s="80">
        <f>IF(X978="Sin Pago","",IFERROR(INDEX(Pagos_Odoo!$A:$A, MATCH(X978, Pagos_Odoo!$B:$B, 0)), ""))</f>
        <v/>
      </c>
      <c r="AA978" s="79">
        <f>IF(X978="Sin Pago","",IFERROR(INDEX(Pagos_Odoo!$F:$F, MATCH(X978, Pagos_Odoo!$B:$B, 0)), ""))</f>
        <v/>
      </c>
      <c r="AB978" s="81">
        <f>IF(X978="Sin Pago",0,IFERROR(INDEX(Pagos_Odoo!$E:$E, MATCH(X978, Pagos_Odoo!$B:$B, 0)), 0))</f>
        <v/>
      </c>
      <c r="AC978" s="79">
        <f>IF(X978="Sin Pago","",IFERROR(INDEX(Pagos_Odoo!$G:$G, MATCH(X978, Pagos_Odoo!$B:$B, 0)), ""))</f>
        <v/>
      </c>
      <c r="AD978" s="82" t="n">
        <v>0</v>
      </c>
      <c r="AE978" s="82" t="n"/>
      <c r="AF978" s="82" t="n"/>
      <c r="AG978" s="82">
        <f>IF(AN978="","",AD978+AE978+AF978)</f>
        <v/>
      </c>
      <c r="AH978" s="81">
        <f>IF(AN978="","",P978*(1-AG978))</f>
        <v/>
      </c>
      <c r="AI978" s="81">
        <f>IF(AN978="","",IF(Q978="Sin Factura",0,IFERROR(INDEX(Facturas_Odoo!$H:$H, MATCH(Q978, Facturas_Odoo!$B:$B, 0)), 0)*(1-AG978)))</f>
        <v/>
      </c>
      <c r="AJ978" s="81">
        <f>IF(AN978="","",_xlfn.LET(idVenta, AN978&amp;"",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78" s="81">
        <f>IF(AN978="","",AH978-AJ978)</f>
        <v/>
      </c>
      <c r="AL978" s="81">
        <f>IF(AN978="","",IF(Q978="Sin Factura","",AI978-AJ978))</f>
        <v/>
      </c>
      <c r="AM978" s="81">
        <f>IF(AN978="","",IF(Q978="Sin Factura",0,P978-IFERROR(INDEX(Facturas_Odoo!$H:$H, MATCH(Q978, Facturas_Odoo!$B:$B, 0)), 0)))</f>
        <v/>
      </c>
      <c r="AN978" s="79">
        <f>IF(AND(A978="", J978=""), "", IF(A978&lt;&gt;"", VALUE(MID(A978,2,LEN(A978))), AN977))</f>
        <v/>
      </c>
      <c r="AO978" s="79">
        <f>IF(AN978="","",IF(AD978=0,"OK",_xlfn.LET(monedaPago, IF(AA978="","USD",AA978), limitePermitido, IFERROR(VLOOKUP(monedaPago, Configuración!$A$2:$B$3, 2, FALSE), 0.15), IF(AD978&gt;limitePermitido, "ALERTA: EXCESO (" &amp; TEXT(limitePermitido, "0%") &amp; " máx)", "OK"))))</f>
        <v/>
      </c>
      <c r="AP978" s="79">
        <f>IF(AN978="","",IF(AE978=0,"OK",_xlfn.LET(fechaPago, Z978, fechaFactura, R978, diasCredito, IF(E978="Pago inmediato", 0, IFERROR(VALUE(MID(E978, 1, SEARCH(" ", E978)-1)),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78" s="79">
        <f>IF(AN978="","",IF(AND(N978&gt;0, AG978&gt;0), IF(Configuración!$K$2="NO", "ALERTA: DESCUENTO DOBLE NO PERMITIDO", "OK"), "OK"))</f>
        <v/>
      </c>
      <c r="AR978" s="79">
        <f>IF(AN978="","",IF(OR(AO978&lt;&gt;"OK", AP978&lt;&gt;"OK", AQ978&lt;&gt;"OK"), "⚠️ REVISAR", "OK"))</f>
        <v/>
      </c>
    </row>
    <row r="979">
      <c r="A979" s="79">
        <f>IF('Ordenes_Odoo'!A979="","",'Ordenes_Odoo'!A979)</f>
        <v/>
      </c>
      <c r="B979" s="80">
        <f>IF('Ordenes_Odoo'!B979="","",'Ordenes_Odoo'!B979)</f>
        <v/>
      </c>
      <c r="C979" s="79">
        <f>IF('Ordenes_Odoo'!C979="","",'Ordenes_Odoo'!C979)</f>
        <v/>
      </c>
      <c r="D979" s="79">
        <f>IF('Ordenes_Odoo'!D979="","",'Ordenes_Odoo'!D979)</f>
        <v/>
      </c>
      <c r="E979" s="79">
        <f>IF('Ordenes_Odoo'!E979="","",'Ordenes_Odoo'!E979)</f>
        <v/>
      </c>
      <c r="F979" s="79">
        <f>IF('Ordenes_Odoo'!F979="","",'Ordenes_Odoo'!F979)</f>
        <v/>
      </c>
      <c r="G979" s="79">
        <f>IF('Ordenes_Odoo'!G979="","",'Ordenes_Odoo'!G979)</f>
        <v/>
      </c>
      <c r="H979" s="79">
        <f>IF('Ordenes_Odoo'!H979="","",'Ordenes_Odoo'!H979)</f>
        <v/>
      </c>
      <c r="I979" s="79">
        <f>IF('Ordenes_Odoo'!I979="","",'Ordenes_Odoo'!I979)</f>
        <v/>
      </c>
      <c r="J979" s="79">
        <f>IF('Ordenes_Odoo'!J979="","",'Ordenes_Odoo'!J979)</f>
        <v/>
      </c>
      <c r="K979" s="81">
        <f>IF('Ordenes_Odoo'!K979="","",'Ordenes_Odoo'!K979)</f>
        <v/>
      </c>
      <c r="L979" s="81">
        <f>IF('Ordenes_Odoo'!L979="","",'Ordenes_Odoo'!L979)</f>
        <v/>
      </c>
      <c r="M979" s="79">
        <f>IF('Ordenes_Odoo'!M979="","",'Ordenes_Odoo'!M979)</f>
        <v/>
      </c>
      <c r="N979" s="79">
        <f>IF('Ordenes_Odoo'!N979="","",'Ordenes_Odoo'!N979)</f>
        <v/>
      </c>
      <c r="O979" s="81">
        <f>IF('Ordenes_Odoo'!O979="","",'Ordenes_Odoo'!O979)</f>
        <v/>
      </c>
      <c r="P979" s="81">
        <f>IF('Ordenes_Odoo'!P979="","",'Ordenes_Odoo'!P979)</f>
        <v/>
      </c>
      <c r="Q979" s="79">
        <f>IF(A979="","",IFERROR(INDEX(Facturas_Odoo!$B:$B, MATCH(A979, Facturas_Odoo!$D:$D, 0)), "Sin Factura"))</f>
        <v/>
      </c>
      <c r="R979" s="80">
        <f>IF(Q979="Sin Factura","",IFERROR(INDEX(Facturas_Odoo!$A:$A, MATCH(Q979, Facturas_Odoo!$B:$B, 0)), ""))</f>
        <v/>
      </c>
      <c r="S979" s="79">
        <f>IF(Q979="Sin Factura","",IFERROR(_xlfn.XLOOKUP(1, (Facturas_Odoo!$D:$D=A979) * (Facturas_Odoo!$K:$K=I979), Facturas_Odoo!$L:$L, ""), ""))</f>
        <v/>
      </c>
      <c r="T979" s="81">
        <f>IF(Q979="Sin Factura",0,IFERROR(_xlfn.XLOOKUP(1, (Facturas_Odoo!$D:$D=A979) * (Facturas_Odoo!$K:$K=I979), Facturas_Odoo!$M:$M, 0), 0))</f>
        <v/>
      </c>
      <c r="U979" s="79">
        <f>IF(Q979="Sin Factura",0,IFERROR(_xlfn.XLOOKUP(1, (Facturas_Odoo!$D:$D=A979) * (Facturas_Odoo!$K:$K=I979), Facturas_Odoo!$N:$N, 0), 0))</f>
        <v/>
      </c>
      <c r="V979" s="79">
        <f>IF(Q979="Sin Factura",0,IFERROR(_xlfn.XLOOKUP(1, (Facturas_Odoo!$D:$D=A979) * (Facturas_Odoo!$K:$K=I979), Facturas_Odoo!$O:$O, 0), 0))</f>
        <v/>
      </c>
      <c r="W979" s="81">
        <f>IF(Q979="Sin Factura",0,IFERROR(_xlfn.XLOOKUP(1, (Facturas_Odoo!$D:$D=A979) * (Facturas_Odoo!$K:$K=I979), Facturas_Odoo!$Q:$Q, 0), 0))</f>
        <v/>
      </c>
      <c r="X979" s="79">
        <f>IF(OR(Q979="Sin Factura",Q979=""),"",IFERROR(INDEX(Pagos_Odoo!$B:$B, MATCH(Q979, Pagos_Odoo!$I:$I, 0)), "Sin Pago"))</f>
        <v/>
      </c>
      <c r="Y979" s="79">
        <f>IF(X979="Sin Pago","",IFERROR(INDEX(Pagos_Odoo!$C:$C, MATCH(X979, Pagos_Odoo!$B:$B, 0)), ""))</f>
        <v/>
      </c>
      <c r="Z979" s="80">
        <f>IF(X979="Sin Pago","",IFERROR(INDEX(Pagos_Odoo!$A:$A, MATCH(X979, Pagos_Odoo!$B:$B, 0)), ""))</f>
        <v/>
      </c>
      <c r="AA979" s="79">
        <f>IF(X979="Sin Pago","",IFERROR(INDEX(Pagos_Odoo!$F:$F, MATCH(X979, Pagos_Odoo!$B:$B, 0)), ""))</f>
        <v/>
      </c>
      <c r="AB979" s="81">
        <f>IF(X979="Sin Pago",0,IFERROR(INDEX(Pagos_Odoo!$E:$E, MATCH(X979, Pagos_Odoo!$B:$B, 0)), 0))</f>
        <v/>
      </c>
      <c r="AC979" s="79">
        <f>IF(X979="Sin Pago","",IFERROR(INDEX(Pagos_Odoo!$G:$G, MATCH(X979, Pagos_Odoo!$B:$B, 0)), ""))</f>
        <v/>
      </c>
      <c r="AD979" s="82" t="n">
        <v>0</v>
      </c>
      <c r="AE979" s="82" t="n"/>
      <c r="AF979" s="82" t="n"/>
      <c r="AG979" s="82">
        <f>IF(AN979="","",AD979+AE979+AF979)</f>
        <v/>
      </c>
      <c r="AH979" s="81">
        <f>IF(AN979="","",P979*(1-AG979))</f>
        <v/>
      </c>
      <c r="AI979" s="81">
        <f>IF(AN979="","",IF(Q979="Sin Factura",0,IFERROR(INDEX(Facturas_Odoo!$H:$H, MATCH(Q979, Facturas_Odoo!$B:$B, 0)), 0)*(1-AG979)))</f>
        <v/>
      </c>
      <c r="AJ979" s="81">
        <f>IF(AN979="","",_xlfn.LET(idVenta, AN979&amp;"",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79" s="81">
        <f>IF(AN979="","",AH979-AJ979)</f>
        <v/>
      </c>
      <c r="AL979" s="81">
        <f>IF(AN979="","",IF(Q979="Sin Factura","",AI979-AJ979))</f>
        <v/>
      </c>
      <c r="AM979" s="81">
        <f>IF(AN979="","",IF(Q979="Sin Factura",0,P979-IFERROR(INDEX(Facturas_Odoo!$H:$H, MATCH(Q979, Facturas_Odoo!$B:$B, 0)), 0)))</f>
        <v/>
      </c>
      <c r="AN979" s="79">
        <f>IF(AND(A979="", J979=""), "", IF(A979&lt;&gt;"", VALUE(MID(A979,2,LEN(A979))), AN978))</f>
        <v/>
      </c>
      <c r="AO979" s="79">
        <f>IF(AN979="","",IF(AD979=0,"OK",_xlfn.LET(monedaPago, IF(AA979="","USD",AA979), limitePermitido, IFERROR(VLOOKUP(monedaPago, Configuración!$A$2:$B$3, 2, FALSE), 0.15), IF(AD979&gt;limitePermitido, "ALERTA: EXCESO (" &amp; TEXT(limitePermitido, "0%") &amp; " máx)", "OK"))))</f>
        <v/>
      </c>
      <c r="AP979" s="79">
        <f>IF(AN979="","",IF(AE979=0,"OK",_xlfn.LET(fechaPago, Z979, fechaFactura, R979, diasCredito, IF(E979="Pago inmediato", 0, IFERROR(VALUE(MID(E979, 1, SEARCH(" ", E979)-1)),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79" s="79">
        <f>IF(AN979="","",IF(AND(N979&gt;0, AG979&gt;0), IF(Configuración!$K$2="NO", "ALERTA: DESCUENTO DOBLE NO PERMITIDO", "OK"), "OK"))</f>
        <v/>
      </c>
      <c r="AR979" s="79">
        <f>IF(AN979="","",IF(OR(AO979&lt;&gt;"OK", AP979&lt;&gt;"OK", AQ979&lt;&gt;"OK"), "⚠️ REVISAR", "OK"))</f>
        <v/>
      </c>
    </row>
    <row r="980">
      <c r="A980" s="79">
        <f>IF('Ordenes_Odoo'!A980="","",'Ordenes_Odoo'!A980)</f>
        <v/>
      </c>
      <c r="B980" s="80">
        <f>IF('Ordenes_Odoo'!B980="","",'Ordenes_Odoo'!B980)</f>
        <v/>
      </c>
      <c r="C980" s="79">
        <f>IF('Ordenes_Odoo'!C980="","",'Ordenes_Odoo'!C980)</f>
        <v/>
      </c>
      <c r="D980" s="79">
        <f>IF('Ordenes_Odoo'!D980="","",'Ordenes_Odoo'!D980)</f>
        <v/>
      </c>
      <c r="E980" s="79">
        <f>IF('Ordenes_Odoo'!E980="","",'Ordenes_Odoo'!E980)</f>
        <v/>
      </c>
      <c r="F980" s="79">
        <f>IF('Ordenes_Odoo'!F980="","",'Ordenes_Odoo'!F980)</f>
        <v/>
      </c>
      <c r="G980" s="79">
        <f>IF('Ordenes_Odoo'!G980="","",'Ordenes_Odoo'!G980)</f>
        <v/>
      </c>
      <c r="H980" s="79">
        <f>IF('Ordenes_Odoo'!H980="","",'Ordenes_Odoo'!H980)</f>
        <v/>
      </c>
      <c r="I980" s="79">
        <f>IF('Ordenes_Odoo'!I980="","",'Ordenes_Odoo'!I980)</f>
        <v/>
      </c>
      <c r="J980" s="79">
        <f>IF('Ordenes_Odoo'!J980="","",'Ordenes_Odoo'!J980)</f>
        <v/>
      </c>
      <c r="K980" s="81">
        <f>IF('Ordenes_Odoo'!K980="","",'Ordenes_Odoo'!K980)</f>
        <v/>
      </c>
      <c r="L980" s="81">
        <f>IF('Ordenes_Odoo'!L980="","",'Ordenes_Odoo'!L980)</f>
        <v/>
      </c>
      <c r="M980" s="79">
        <f>IF('Ordenes_Odoo'!M980="","",'Ordenes_Odoo'!M980)</f>
        <v/>
      </c>
      <c r="N980" s="79">
        <f>IF('Ordenes_Odoo'!N980="","",'Ordenes_Odoo'!N980)</f>
        <v/>
      </c>
      <c r="O980" s="81">
        <f>IF('Ordenes_Odoo'!O980="","",'Ordenes_Odoo'!O980)</f>
        <v/>
      </c>
      <c r="P980" s="81">
        <f>IF('Ordenes_Odoo'!P980="","",'Ordenes_Odoo'!P980)</f>
        <v/>
      </c>
      <c r="Q980" s="79">
        <f>IF(A980="","",IFERROR(INDEX(Facturas_Odoo!$B:$B, MATCH(A980, Facturas_Odoo!$D:$D, 0)), "Sin Factura"))</f>
        <v/>
      </c>
      <c r="R980" s="80">
        <f>IF(Q980="Sin Factura","",IFERROR(INDEX(Facturas_Odoo!$A:$A, MATCH(Q980, Facturas_Odoo!$B:$B, 0)), ""))</f>
        <v/>
      </c>
      <c r="S980" s="79">
        <f>IF(Q980="Sin Factura","",IFERROR(_xlfn.XLOOKUP(1, (Facturas_Odoo!$D:$D=A980) * (Facturas_Odoo!$K:$K=I980), Facturas_Odoo!$L:$L, ""), ""))</f>
        <v/>
      </c>
      <c r="T980" s="81">
        <f>IF(Q980="Sin Factura",0,IFERROR(_xlfn.XLOOKUP(1, (Facturas_Odoo!$D:$D=A980) * (Facturas_Odoo!$K:$K=I980), Facturas_Odoo!$M:$M, 0), 0))</f>
        <v/>
      </c>
      <c r="U980" s="79">
        <f>IF(Q980="Sin Factura",0,IFERROR(_xlfn.XLOOKUP(1, (Facturas_Odoo!$D:$D=A980) * (Facturas_Odoo!$K:$K=I980), Facturas_Odoo!$N:$N, 0), 0))</f>
        <v/>
      </c>
      <c r="V980" s="79">
        <f>IF(Q980="Sin Factura",0,IFERROR(_xlfn.XLOOKUP(1, (Facturas_Odoo!$D:$D=A980) * (Facturas_Odoo!$K:$K=I980), Facturas_Odoo!$O:$O, 0), 0))</f>
        <v/>
      </c>
      <c r="W980" s="81">
        <f>IF(Q980="Sin Factura",0,IFERROR(_xlfn.XLOOKUP(1, (Facturas_Odoo!$D:$D=A980) * (Facturas_Odoo!$K:$K=I980), Facturas_Odoo!$Q:$Q, 0), 0))</f>
        <v/>
      </c>
      <c r="X980" s="79">
        <f>IF(OR(Q980="Sin Factura",Q980=""),"",IFERROR(INDEX(Pagos_Odoo!$B:$B, MATCH(Q980, Pagos_Odoo!$I:$I, 0)), "Sin Pago"))</f>
        <v/>
      </c>
      <c r="Y980" s="79">
        <f>IF(X980="Sin Pago","",IFERROR(INDEX(Pagos_Odoo!$C:$C, MATCH(X980, Pagos_Odoo!$B:$B, 0)), ""))</f>
        <v/>
      </c>
      <c r="Z980" s="80">
        <f>IF(X980="Sin Pago","",IFERROR(INDEX(Pagos_Odoo!$A:$A, MATCH(X980, Pagos_Odoo!$B:$B, 0)), ""))</f>
        <v/>
      </c>
      <c r="AA980" s="79">
        <f>IF(X980="Sin Pago","",IFERROR(INDEX(Pagos_Odoo!$F:$F, MATCH(X980, Pagos_Odoo!$B:$B, 0)), ""))</f>
        <v/>
      </c>
      <c r="AB980" s="81">
        <f>IF(X980="Sin Pago",0,IFERROR(INDEX(Pagos_Odoo!$E:$E, MATCH(X980, Pagos_Odoo!$B:$B, 0)), 0))</f>
        <v/>
      </c>
      <c r="AC980" s="79">
        <f>IF(X980="Sin Pago","",IFERROR(INDEX(Pagos_Odoo!$G:$G, MATCH(X980, Pagos_Odoo!$B:$B, 0)), ""))</f>
        <v/>
      </c>
      <c r="AD980" s="82" t="n">
        <v>0</v>
      </c>
      <c r="AE980" s="82" t="n"/>
      <c r="AF980" s="82" t="n"/>
      <c r="AG980" s="82">
        <f>IF(AN980="","",AD980+AE980+AF980)</f>
        <v/>
      </c>
      <c r="AH980" s="81">
        <f>IF(AN980="","",P980*(1-AG980))</f>
        <v/>
      </c>
      <c r="AI980" s="81">
        <f>IF(AN980="","",IF(Q980="Sin Factura",0,IFERROR(INDEX(Facturas_Odoo!$H:$H, MATCH(Q980, Facturas_Odoo!$B:$B, 0)), 0)*(1-AG980)))</f>
        <v/>
      </c>
      <c r="AJ980" s="81">
        <f>IF(AN980="","",_xlfn.LET(idVenta, AN980&amp;"",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80" s="81">
        <f>IF(AN980="","",AH980-AJ980)</f>
        <v/>
      </c>
      <c r="AL980" s="81">
        <f>IF(AN980="","",IF(Q980="Sin Factura","",AI980-AJ980))</f>
        <v/>
      </c>
      <c r="AM980" s="81">
        <f>IF(AN980="","",IF(Q980="Sin Factura",0,P980-IFERROR(INDEX(Facturas_Odoo!$H:$H, MATCH(Q980, Facturas_Odoo!$B:$B, 0)), 0)))</f>
        <v/>
      </c>
      <c r="AN980" s="79">
        <f>IF(AND(A980="", J980=""), "", IF(A980&lt;&gt;"", VALUE(MID(A980,2,LEN(A980))), AN979))</f>
        <v/>
      </c>
      <c r="AO980" s="79">
        <f>IF(AN980="","",IF(AD980=0,"OK",_xlfn.LET(monedaPago, IF(AA980="","USD",AA980), limitePermitido, IFERROR(VLOOKUP(monedaPago, Configuración!$A$2:$B$3, 2, FALSE), 0.15), IF(AD980&gt;limitePermitido, "ALERTA: EXCESO (" &amp; TEXT(limitePermitido, "0%") &amp; " máx)", "OK"))))</f>
        <v/>
      </c>
      <c r="AP980" s="79">
        <f>IF(AN980="","",IF(AE980=0,"OK",_xlfn.LET(fechaPago, Z980, fechaFactura, R980, diasCredito, IF(E980="Pago inmediato", 0, IFERROR(VALUE(MID(E980, 1, SEARCH(" ", E980)-1)),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80" s="79">
        <f>IF(AN980="","",IF(AND(N980&gt;0, AG980&gt;0), IF(Configuración!$K$2="NO", "ALERTA: DESCUENTO DOBLE NO PERMITIDO", "OK"), "OK"))</f>
        <v/>
      </c>
      <c r="AR980" s="79">
        <f>IF(AN980="","",IF(OR(AO980&lt;&gt;"OK", AP980&lt;&gt;"OK", AQ980&lt;&gt;"OK"), "⚠️ REVISAR", "OK"))</f>
        <v/>
      </c>
    </row>
    <row r="981">
      <c r="A981" s="79">
        <f>IF('Ordenes_Odoo'!A981="","",'Ordenes_Odoo'!A981)</f>
        <v/>
      </c>
      <c r="B981" s="80">
        <f>IF('Ordenes_Odoo'!B981="","",'Ordenes_Odoo'!B981)</f>
        <v/>
      </c>
      <c r="C981" s="79">
        <f>IF('Ordenes_Odoo'!C981="","",'Ordenes_Odoo'!C981)</f>
        <v/>
      </c>
      <c r="D981" s="79">
        <f>IF('Ordenes_Odoo'!D981="","",'Ordenes_Odoo'!D981)</f>
        <v/>
      </c>
      <c r="E981" s="79">
        <f>IF('Ordenes_Odoo'!E981="","",'Ordenes_Odoo'!E981)</f>
        <v/>
      </c>
      <c r="F981" s="79">
        <f>IF('Ordenes_Odoo'!F981="","",'Ordenes_Odoo'!F981)</f>
        <v/>
      </c>
      <c r="G981" s="79">
        <f>IF('Ordenes_Odoo'!G981="","",'Ordenes_Odoo'!G981)</f>
        <v/>
      </c>
      <c r="H981" s="79">
        <f>IF('Ordenes_Odoo'!H981="","",'Ordenes_Odoo'!H981)</f>
        <v/>
      </c>
      <c r="I981" s="79">
        <f>IF('Ordenes_Odoo'!I981="","",'Ordenes_Odoo'!I981)</f>
        <v/>
      </c>
      <c r="J981" s="79">
        <f>IF('Ordenes_Odoo'!J981="","",'Ordenes_Odoo'!J981)</f>
        <v/>
      </c>
      <c r="K981" s="81">
        <f>IF('Ordenes_Odoo'!K981="","",'Ordenes_Odoo'!K981)</f>
        <v/>
      </c>
      <c r="L981" s="81">
        <f>IF('Ordenes_Odoo'!L981="","",'Ordenes_Odoo'!L981)</f>
        <v/>
      </c>
      <c r="M981" s="79">
        <f>IF('Ordenes_Odoo'!M981="","",'Ordenes_Odoo'!M981)</f>
        <v/>
      </c>
      <c r="N981" s="79">
        <f>IF('Ordenes_Odoo'!N981="","",'Ordenes_Odoo'!N981)</f>
        <v/>
      </c>
      <c r="O981" s="81">
        <f>IF('Ordenes_Odoo'!O981="","",'Ordenes_Odoo'!O981)</f>
        <v/>
      </c>
      <c r="P981" s="81">
        <f>IF('Ordenes_Odoo'!P981="","",'Ordenes_Odoo'!P981)</f>
        <v/>
      </c>
      <c r="Q981" s="79">
        <f>IF(A981="","",IFERROR(INDEX(Facturas_Odoo!$B:$B, MATCH(A981, Facturas_Odoo!$D:$D, 0)), "Sin Factura"))</f>
        <v/>
      </c>
      <c r="R981" s="80">
        <f>IF(Q981="Sin Factura","",IFERROR(INDEX(Facturas_Odoo!$A:$A, MATCH(Q981, Facturas_Odoo!$B:$B, 0)), ""))</f>
        <v/>
      </c>
      <c r="S981" s="79">
        <f>IF(Q981="Sin Factura","",IFERROR(_xlfn.XLOOKUP(1, (Facturas_Odoo!$D:$D=A981) * (Facturas_Odoo!$K:$K=I981), Facturas_Odoo!$L:$L, ""), ""))</f>
        <v/>
      </c>
      <c r="T981" s="81">
        <f>IF(Q981="Sin Factura",0,IFERROR(_xlfn.XLOOKUP(1, (Facturas_Odoo!$D:$D=A981) * (Facturas_Odoo!$K:$K=I981), Facturas_Odoo!$M:$M, 0), 0))</f>
        <v/>
      </c>
      <c r="U981" s="79">
        <f>IF(Q981="Sin Factura",0,IFERROR(_xlfn.XLOOKUP(1, (Facturas_Odoo!$D:$D=A981) * (Facturas_Odoo!$K:$K=I981), Facturas_Odoo!$N:$N, 0), 0))</f>
        <v/>
      </c>
      <c r="V981" s="79">
        <f>IF(Q981="Sin Factura",0,IFERROR(_xlfn.XLOOKUP(1, (Facturas_Odoo!$D:$D=A981) * (Facturas_Odoo!$K:$K=I981), Facturas_Odoo!$O:$O, 0), 0))</f>
        <v/>
      </c>
      <c r="W981" s="81">
        <f>IF(Q981="Sin Factura",0,IFERROR(_xlfn.XLOOKUP(1, (Facturas_Odoo!$D:$D=A981) * (Facturas_Odoo!$K:$K=I981), Facturas_Odoo!$Q:$Q, 0), 0))</f>
        <v/>
      </c>
      <c r="X981" s="79">
        <f>IF(OR(Q981="Sin Factura",Q981=""),"",IFERROR(INDEX(Pagos_Odoo!$B:$B, MATCH(Q981, Pagos_Odoo!$I:$I, 0)), "Sin Pago"))</f>
        <v/>
      </c>
      <c r="Y981" s="79">
        <f>IF(X981="Sin Pago","",IFERROR(INDEX(Pagos_Odoo!$C:$C, MATCH(X981, Pagos_Odoo!$B:$B, 0)), ""))</f>
        <v/>
      </c>
      <c r="Z981" s="80">
        <f>IF(X981="Sin Pago","",IFERROR(INDEX(Pagos_Odoo!$A:$A, MATCH(X981, Pagos_Odoo!$B:$B, 0)), ""))</f>
        <v/>
      </c>
      <c r="AA981" s="79">
        <f>IF(X981="Sin Pago","",IFERROR(INDEX(Pagos_Odoo!$F:$F, MATCH(X981, Pagos_Odoo!$B:$B, 0)), ""))</f>
        <v/>
      </c>
      <c r="AB981" s="81">
        <f>IF(X981="Sin Pago",0,IFERROR(INDEX(Pagos_Odoo!$E:$E, MATCH(X981, Pagos_Odoo!$B:$B, 0)), 0))</f>
        <v/>
      </c>
      <c r="AC981" s="79">
        <f>IF(X981="Sin Pago","",IFERROR(INDEX(Pagos_Odoo!$G:$G, MATCH(X981, Pagos_Odoo!$B:$B, 0)), ""))</f>
        <v/>
      </c>
      <c r="AD981" s="82" t="n">
        <v>0</v>
      </c>
      <c r="AE981" s="82" t="n"/>
      <c r="AF981" s="82" t="n"/>
      <c r="AG981" s="82">
        <f>IF(AN981="","",AD981+AE981+AF981)</f>
        <v/>
      </c>
      <c r="AH981" s="81">
        <f>IF(AN981="","",P981*(1-AG981))</f>
        <v/>
      </c>
      <c r="AI981" s="81">
        <f>IF(AN981="","",IF(Q981="Sin Factura",0,IFERROR(INDEX(Facturas_Odoo!$H:$H, MATCH(Q981, Facturas_Odoo!$B:$B, 0)), 0)*(1-AG981)))</f>
        <v/>
      </c>
      <c r="AJ981" s="81">
        <f>IF(AN981="","",_xlfn.LET(idVenta, AN981&amp;"",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81" s="81">
        <f>IF(AN981="","",AH981-AJ981)</f>
        <v/>
      </c>
      <c r="AL981" s="81">
        <f>IF(AN981="","",IF(Q981="Sin Factura","",AI981-AJ981))</f>
        <v/>
      </c>
      <c r="AM981" s="81">
        <f>IF(AN981="","",IF(Q981="Sin Factura",0,P981-IFERROR(INDEX(Facturas_Odoo!$H:$H, MATCH(Q981, Facturas_Odoo!$B:$B, 0)), 0)))</f>
        <v/>
      </c>
      <c r="AN981" s="79">
        <f>IF(AND(A981="", J981=""), "", IF(A981&lt;&gt;"", VALUE(MID(A981,2,LEN(A981))), AN980))</f>
        <v/>
      </c>
      <c r="AO981" s="79">
        <f>IF(AN981="","",IF(AD981=0,"OK",_xlfn.LET(monedaPago, IF(AA981="","USD",AA981), limitePermitido, IFERROR(VLOOKUP(monedaPago, Configuración!$A$2:$B$3, 2, FALSE), 0.15), IF(AD981&gt;limitePermitido, "ALERTA: EXCESO (" &amp; TEXT(limitePermitido, "0%") &amp; " máx)", "OK"))))</f>
        <v/>
      </c>
      <c r="AP981" s="79">
        <f>IF(AN981="","",IF(AE981=0,"OK",_xlfn.LET(fechaPago, Z981, fechaFactura, R981, diasCredito, IF(E981="Pago inmediato", 0, IFERROR(VALUE(MID(E981, 1, SEARCH(" ", E981)-1)),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81" s="79">
        <f>IF(AN981="","",IF(AND(N981&gt;0, AG981&gt;0), IF(Configuración!$K$2="NO", "ALERTA: DESCUENTO DOBLE NO PERMITIDO", "OK"), "OK"))</f>
        <v/>
      </c>
      <c r="AR981" s="79">
        <f>IF(AN981="","",IF(OR(AO981&lt;&gt;"OK", AP981&lt;&gt;"OK", AQ981&lt;&gt;"OK"), "⚠️ REVISAR", "OK"))</f>
        <v/>
      </c>
    </row>
    <row r="982">
      <c r="A982" s="79">
        <f>IF('Ordenes_Odoo'!A982="","",'Ordenes_Odoo'!A982)</f>
        <v/>
      </c>
      <c r="B982" s="80">
        <f>IF('Ordenes_Odoo'!B982="","",'Ordenes_Odoo'!B982)</f>
        <v/>
      </c>
      <c r="C982" s="79">
        <f>IF('Ordenes_Odoo'!C982="","",'Ordenes_Odoo'!C982)</f>
        <v/>
      </c>
      <c r="D982" s="79">
        <f>IF('Ordenes_Odoo'!D982="","",'Ordenes_Odoo'!D982)</f>
        <v/>
      </c>
      <c r="E982" s="79">
        <f>IF('Ordenes_Odoo'!E982="","",'Ordenes_Odoo'!E982)</f>
        <v/>
      </c>
      <c r="F982" s="79">
        <f>IF('Ordenes_Odoo'!F982="","",'Ordenes_Odoo'!F982)</f>
        <v/>
      </c>
      <c r="G982" s="79">
        <f>IF('Ordenes_Odoo'!G982="","",'Ordenes_Odoo'!G982)</f>
        <v/>
      </c>
      <c r="H982" s="79">
        <f>IF('Ordenes_Odoo'!H982="","",'Ordenes_Odoo'!H982)</f>
        <v/>
      </c>
      <c r="I982" s="79">
        <f>IF('Ordenes_Odoo'!I982="","",'Ordenes_Odoo'!I982)</f>
        <v/>
      </c>
      <c r="J982" s="79">
        <f>IF('Ordenes_Odoo'!J982="","",'Ordenes_Odoo'!J982)</f>
        <v/>
      </c>
      <c r="K982" s="81">
        <f>IF('Ordenes_Odoo'!K982="","",'Ordenes_Odoo'!K982)</f>
        <v/>
      </c>
      <c r="L982" s="81">
        <f>IF('Ordenes_Odoo'!L982="","",'Ordenes_Odoo'!L982)</f>
        <v/>
      </c>
      <c r="M982" s="79">
        <f>IF('Ordenes_Odoo'!M982="","",'Ordenes_Odoo'!M982)</f>
        <v/>
      </c>
      <c r="N982" s="79">
        <f>IF('Ordenes_Odoo'!N982="","",'Ordenes_Odoo'!N982)</f>
        <v/>
      </c>
      <c r="O982" s="81">
        <f>IF('Ordenes_Odoo'!O982="","",'Ordenes_Odoo'!O982)</f>
        <v/>
      </c>
      <c r="P982" s="81">
        <f>IF('Ordenes_Odoo'!P982="","",'Ordenes_Odoo'!P982)</f>
        <v/>
      </c>
      <c r="Q982" s="79">
        <f>IF(A982="","",IFERROR(INDEX(Facturas_Odoo!$B:$B, MATCH(A982, Facturas_Odoo!$D:$D, 0)), "Sin Factura"))</f>
        <v/>
      </c>
      <c r="R982" s="80">
        <f>IF(Q982="Sin Factura","",IFERROR(INDEX(Facturas_Odoo!$A:$A, MATCH(Q982, Facturas_Odoo!$B:$B, 0)), ""))</f>
        <v/>
      </c>
      <c r="S982" s="79">
        <f>IF(Q982="Sin Factura","",IFERROR(_xlfn.XLOOKUP(1, (Facturas_Odoo!$D:$D=A982) * (Facturas_Odoo!$K:$K=I982), Facturas_Odoo!$L:$L, ""), ""))</f>
        <v/>
      </c>
      <c r="T982" s="81">
        <f>IF(Q982="Sin Factura",0,IFERROR(_xlfn.XLOOKUP(1, (Facturas_Odoo!$D:$D=A982) * (Facturas_Odoo!$K:$K=I982), Facturas_Odoo!$M:$M, 0), 0))</f>
        <v/>
      </c>
      <c r="U982" s="79">
        <f>IF(Q982="Sin Factura",0,IFERROR(_xlfn.XLOOKUP(1, (Facturas_Odoo!$D:$D=A982) * (Facturas_Odoo!$K:$K=I982), Facturas_Odoo!$N:$N, 0), 0))</f>
        <v/>
      </c>
      <c r="V982" s="79">
        <f>IF(Q982="Sin Factura",0,IFERROR(_xlfn.XLOOKUP(1, (Facturas_Odoo!$D:$D=A982) * (Facturas_Odoo!$K:$K=I982), Facturas_Odoo!$O:$O, 0), 0))</f>
        <v/>
      </c>
      <c r="W982" s="81">
        <f>IF(Q982="Sin Factura",0,IFERROR(_xlfn.XLOOKUP(1, (Facturas_Odoo!$D:$D=A982) * (Facturas_Odoo!$K:$K=I982), Facturas_Odoo!$Q:$Q, 0), 0))</f>
        <v/>
      </c>
      <c r="X982" s="79">
        <f>IF(OR(Q982="Sin Factura",Q982=""),"",IFERROR(INDEX(Pagos_Odoo!$B:$B, MATCH(Q982, Pagos_Odoo!$I:$I, 0)), "Sin Pago"))</f>
        <v/>
      </c>
      <c r="Y982" s="79">
        <f>IF(X982="Sin Pago","",IFERROR(INDEX(Pagos_Odoo!$C:$C, MATCH(X982, Pagos_Odoo!$B:$B, 0)), ""))</f>
        <v/>
      </c>
      <c r="Z982" s="80">
        <f>IF(X982="Sin Pago","",IFERROR(INDEX(Pagos_Odoo!$A:$A, MATCH(X982, Pagos_Odoo!$B:$B, 0)), ""))</f>
        <v/>
      </c>
      <c r="AA982" s="79">
        <f>IF(X982="Sin Pago","",IFERROR(INDEX(Pagos_Odoo!$F:$F, MATCH(X982, Pagos_Odoo!$B:$B, 0)), ""))</f>
        <v/>
      </c>
      <c r="AB982" s="81">
        <f>IF(X982="Sin Pago",0,IFERROR(INDEX(Pagos_Odoo!$E:$E, MATCH(X982, Pagos_Odoo!$B:$B, 0)), 0))</f>
        <v/>
      </c>
      <c r="AC982" s="79">
        <f>IF(X982="Sin Pago","",IFERROR(INDEX(Pagos_Odoo!$G:$G, MATCH(X982, Pagos_Odoo!$B:$B, 0)), ""))</f>
        <v/>
      </c>
      <c r="AD982" s="82" t="n">
        <v>0</v>
      </c>
      <c r="AE982" s="82" t="n"/>
      <c r="AF982" s="82" t="n"/>
      <c r="AG982" s="82">
        <f>IF(AN982="","",AD982+AE982+AF982)</f>
        <v/>
      </c>
      <c r="AH982" s="81">
        <f>IF(AN982="","",P982*(1-AG982))</f>
        <v/>
      </c>
      <c r="AI982" s="81">
        <f>IF(AN982="","",IF(Q982="Sin Factura",0,IFERROR(INDEX(Facturas_Odoo!$H:$H, MATCH(Q982, Facturas_Odoo!$B:$B, 0)), 0)*(1-AG982)))</f>
        <v/>
      </c>
      <c r="AJ982" s="81">
        <f>IF(AN982="","",_xlfn.LET(idVenta, AN982&amp;"",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82" s="81">
        <f>IF(AN982="","",AH982-AJ982)</f>
        <v/>
      </c>
      <c r="AL982" s="81">
        <f>IF(AN982="","",IF(Q982="Sin Factura","",AI982-AJ982))</f>
        <v/>
      </c>
      <c r="AM982" s="81">
        <f>IF(AN982="","",IF(Q982="Sin Factura",0,P982-IFERROR(INDEX(Facturas_Odoo!$H:$H, MATCH(Q982, Facturas_Odoo!$B:$B, 0)), 0)))</f>
        <v/>
      </c>
      <c r="AN982" s="79">
        <f>IF(AND(A982="", J982=""), "", IF(A982&lt;&gt;"", VALUE(MID(A982,2,LEN(A982))), AN981))</f>
        <v/>
      </c>
      <c r="AO982" s="79">
        <f>IF(AN982="","",IF(AD982=0,"OK",_xlfn.LET(monedaPago, IF(AA982="","USD",AA982), limitePermitido, IFERROR(VLOOKUP(monedaPago, Configuración!$A$2:$B$3, 2, FALSE), 0.15), IF(AD982&gt;limitePermitido, "ALERTA: EXCESO (" &amp; TEXT(limitePermitido, "0%") &amp; " máx)", "OK"))))</f>
        <v/>
      </c>
      <c r="AP982" s="79">
        <f>IF(AN982="","",IF(AE982=0,"OK",_xlfn.LET(fechaPago, Z982, fechaFactura, R982, diasCredito, IF(E982="Pago inmediato", 0, IFERROR(VALUE(MID(E982, 1, SEARCH(" ", E982)-1)),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82" s="79">
        <f>IF(AN982="","",IF(AND(N982&gt;0, AG982&gt;0), IF(Configuración!$K$2="NO", "ALERTA: DESCUENTO DOBLE NO PERMITIDO", "OK"), "OK"))</f>
        <v/>
      </c>
      <c r="AR982" s="79">
        <f>IF(AN982="","",IF(OR(AO982&lt;&gt;"OK", AP982&lt;&gt;"OK", AQ982&lt;&gt;"OK"), "⚠️ REVISAR", "OK"))</f>
        <v/>
      </c>
    </row>
    <row r="983">
      <c r="A983" s="79">
        <f>IF('Ordenes_Odoo'!A983="","",'Ordenes_Odoo'!A983)</f>
        <v/>
      </c>
      <c r="B983" s="80">
        <f>IF('Ordenes_Odoo'!B983="","",'Ordenes_Odoo'!B983)</f>
        <v/>
      </c>
      <c r="C983" s="79">
        <f>IF('Ordenes_Odoo'!C983="","",'Ordenes_Odoo'!C983)</f>
        <v/>
      </c>
      <c r="D983" s="79">
        <f>IF('Ordenes_Odoo'!D983="","",'Ordenes_Odoo'!D983)</f>
        <v/>
      </c>
      <c r="E983" s="79">
        <f>IF('Ordenes_Odoo'!E983="","",'Ordenes_Odoo'!E983)</f>
        <v/>
      </c>
      <c r="F983" s="79">
        <f>IF('Ordenes_Odoo'!F983="","",'Ordenes_Odoo'!F983)</f>
        <v/>
      </c>
      <c r="G983" s="79">
        <f>IF('Ordenes_Odoo'!G983="","",'Ordenes_Odoo'!G983)</f>
        <v/>
      </c>
      <c r="H983" s="79">
        <f>IF('Ordenes_Odoo'!H983="","",'Ordenes_Odoo'!H983)</f>
        <v/>
      </c>
      <c r="I983" s="79">
        <f>IF('Ordenes_Odoo'!I983="","",'Ordenes_Odoo'!I983)</f>
        <v/>
      </c>
      <c r="J983" s="79">
        <f>IF('Ordenes_Odoo'!J983="","",'Ordenes_Odoo'!J983)</f>
        <v/>
      </c>
      <c r="K983" s="81">
        <f>IF('Ordenes_Odoo'!K983="","",'Ordenes_Odoo'!K983)</f>
        <v/>
      </c>
      <c r="L983" s="81">
        <f>IF('Ordenes_Odoo'!L983="","",'Ordenes_Odoo'!L983)</f>
        <v/>
      </c>
      <c r="M983" s="79">
        <f>IF('Ordenes_Odoo'!M983="","",'Ordenes_Odoo'!M983)</f>
        <v/>
      </c>
      <c r="N983" s="79">
        <f>IF('Ordenes_Odoo'!N983="","",'Ordenes_Odoo'!N983)</f>
        <v/>
      </c>
      <c r="O983" s="81">
        <f>IF('Ordenes_Odoo'!O983="","",'Ordenes_Odoo'!O983)</f>
        <v/>
      </c>
      <c r="P983" s="81">
        <f>IF('Ordenes_Odoo'!P983="","",'Ordenes_Odoo'!P983)</f>
        <v/>
      </c>
      <c r="Q983" s="79">
        <f>IF(A983="","",IFERROR(INDEX(Facturas_Odoo!$B:$B, MATCH(A983, Facturas_Odoo!$D:$D, 0)), "Sin Factura"))</f>
        <v/>
      </c>
      <c r="R983" s="80">
        <f>IF(Q983="Sin Factura","",IFERROR(INDEX(Facturas_Odoo!$A:$A, MATCH(Q983, Facturas_Odoo!$B:$B, 0)), ""))</f>
        <v/>
      </c>
      <c r="S983" s="79">
        <f>IF(Q983="Sin Factura","",IFERROR(_xlfn.XLOOKUP(1, (Facturas_Odoo!$D:$D=A983) * (Facturas_Odoo!$K:$K=I983), Facturas_Odoo!$L:$L, ""), ""))</f>
        <v/>
      </c>
      <c r="T983" s="81">
        <f>IF(Q983="Sin Factura",0,IFERROR(_xlfn.XLOOKUP(1, (Facturas_Odoo!$D:$D=A983) * (Facturas_Odoo!$K:$K=I983), Facturas_Odoo!$M:$M, 0), 0))</f>
        <v/>
      </c>
      <c r="U983" s="79">
        <f>IF(Q983="Sin Factura",0,IFERROR(_xlfn.XLOOKUP(1, (Facturas_Odoo!$D:$D=A983) * (Facturas_Odoo!$K:$K=I983), Facturas_Odoo!$N:$N, 0), 0))</f>
        <v/>
      </c>
      <c r="V983" s="79">
        <f>IF(Q983="Sin Factura",0,IFERROR(_xlfn.XLOOKUP(1, (Facturas_Odoo!$D:$D=A983) * (Facturas_Odoo!$K:$K=I983), Facturas_Odoo!$O:$O, 0), 0))</f>
        <v/>
      </c>
      <c r="W983" s="81">
        <f>IF(Q983="Sin Factura",0,IFERROR(_xlfn.XLOOKUP(1, (Facturas_Odoo!$D:$D=A983) * (Facturas_Odoo!$K:$K=I983), Facturas_Odoo!$Q:$Q, 0), 0))</f>
        <v/>
      </c>
      <c r="X983" s="79">
        <f>IF(OR(Q983="Sin Factura",Q983=""),"",IFERROR(INDEX(Pagos_Odoo!$B:$B, MATCH(Q983, Pagos_Odoo!$I:$I, 0)), "Sin Pago"))</f>
        <v/>
      </c>
      <c r="Y983" s="79">
        <f>IF(X983="Sin Pago","",IFERROR(INDEX(Pagos_Odoo!$C:$C, MATCH(X983, Pagos_Odoo!$B:$B, 0)), ""))</f>
        <v/>
      </c>
      <c r="Z983" s="80">
        <f>IF(X983="Sin Pago","",IFERROR(INDEX(Pagos_Odoo!$A:$A, MATCH(X983, Pagos_Odoo!$B:$B, 0)), ""))</f>
        <v/>
      </c>
      <c r="AA983" s="79">
        <f>IF(X983="Sin Pago","",IFERROR(INDEX(Pagos_Odoo!$F:$F, MATCH(X983, Pagos_Odoo!$B:$B, 0)), ""))</f>
        <v/>
      </c>
      <c r="AB983" s="81">
        <f>IF(X983="Sin Pago",0,IFERROR(INDEX(Pagos_Odoo!$E:$E, MATCH(X983, Pagos_Odoo!$B:$B, 0)), 0))</f>
        <v/>
      </c>
      <c r="AC983" s="79">
        <f>IF(X983="Sin Pago","",IFERROR(INDEX(Pagos_Odoo!$G:$G, MATCH(X983, Pagos_Odoo!$B:$B, 0)), ""))</f>
        <v/>
      </c>
      <c r="AD983" s="82" t="n">
        <v>0</v>
      </c>
      <c r="AE983" s="82" t="n"/>
      <c r="AF983" s="82" t="n"/>
      <c r="AG983" s="82">
        <f>IF(AN983="","",AD983+AE983+AF983)</f>
        <v/>
      </c>
      <c r="AH983" s="81">
        <f>IF(AN983="","",P983*(1-AG983))</f>
        <v/>
      </c>
      <c r="AI983" s="81">
        <f>IF(AN983="","",IF(Q983="Sin Factura",0,IFERROR(INDEX(Facturas_Odoo!$H:$H, MATCH(Q983, Facturas_Odoo!$B:$B, 0)), 0)*(1-AG983)))</f>
        <v/>
      </c>
      <c r="AJ983" s="81">
        <f>IF(AN983="","",_xlfn.LET(idVenta, AN983&amp;"",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83" s="81">
        <f>IF(AN983="","",AH983-AJ983)</f>
        <v/>
      </c>
      <c r="AL983" s="81">
        <f>IF(AN983="","",IF(Q983="Sin Factura","",AI983-AJ983))</f>
        <v/>
      </c>
      <c r="AM983" s="81">
        <f>IF(AN983="","",IF(Q983="Sin Factura",0,P983-IFERROR(INDEX(Facturas_Odoo!$H:$H, MATCH(Q983, Facturas_Odoo!$B:$B, 0)), 0)))</f>
        <v/>
      </c>
      <c r="AN983" s="79">
        <f>IF(AND(A983="", J983=""), "", IF(A983&lt;&gt;"", VALUE(MID(A983,2,LEN(A983))), AN982))</f>
        <v/>
      </c>
      <c r="AO983" s="79">
        <f>IF(AN983="","",IF(AD983=0,"OK",_xlfn.LET(monedaPago, IF(AA983="","USD",AA983), limitePermitido, IFERROR(VLOOKUP(monedaPago, Configuración!$A$2:$B$3, 2, FALSE), 0.15), IF(AD983&gt;limitePermitido, "ALERTA: EXCESO (" &amp; TEXT(limitePermitido, "0%") &amp; " máx)", "OK"))))</f>
        <v/>
      </c>
      <c r="AP983" s="79">
        <f>IF(AN983="","",IF(AE983=0,"OK",_xlfn.LET(fechaPago, Z983, fechaFactura, R983, diasCredito, IF(E983="Pago inmediato", 0, IFERROR(VALUE(MID(E983, 1, SEARCH(" ", E983)-1)),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83" s="79">
        <f>IF(AN983="","",IF(AND(N983&gt;0, AG983&gt;0), IF(Configuración!$K$2="NO", "ALERTA: DESCUENTO DOBLE NO PERMITIDO", "OK"), "OK"))</f>
        <v/>
      </c>
      <c r="AR983" s="79">
        <f>IF(AN983="","",IF(OR(AO983&lt;&gt;"OK", AP983&lt;&gt;"OK", AQ983&lt;&gt;"OK"), "⚠️ REVISAR", "OK"))</f>
        <v/>
      </c>
    </row>
    <row r="984">
      <c r="A984" s="79">
        <f>IF('Ordenes_Odoo'!A984="","",'Ordenes_Odoo'!A984)</f>
        <v/>
      </c>
      <c r="B984" s="80">
        <f>IF('Ordenes_Odoo'!B984="","",'Ordenes_Odoo'!B984)</f>
        <v/>
      </c>
      <c r="C984" s="79">
        <f>IF('Ordenes_Odoo'!C984="","",'Ordenes_Odoo'!C984)</f>
        <v/>
      </c>
      <c r="D984" s="79">
        <f>IF('Ordenes_Odoo'!D984="","",'Ordenes_Odoo'!D984)</f>
        <v/>
      </c>
      <c r="E984" s="79">
        <f>IF('Ordenes_Odoo'!E984="","",'Ordenes_Odoo'!E984)</f>
        <v/>
      </c>
      <c r="F984" s="79">
        <f>IF('Ordenes_Odoo'!F984="","",'Ordenes_Odoo'!F984)</f>
        <v/>
      </c>
      <c r="G984" s="79">
        <f>IF('Ordenes_Odoo'!G984="","",'Ordenes_Odoo'!G984)</f>
        <v/>
      </c>
      <c r="H984" s="79">
        <f>IF('Ordenes_Odoo'!H984="","",'Ordenes_Odoo'!H984)</f>
        <v/>
      </c>
      <c r="I984" s="79">
        <f>IF('Ordenes_Odoo'!I984="","",'Ordenes_Odoo'!I984)</f>
        <v/>
      </c>
      <c r="J984" s="79">
        <f>IF('Ordenes_Odoo'!J984="","",'Ordenes_Odoo'!J984)</f>
        <v/>
      </c>
      <c r="K984" s="81">
        <f>IF('Ordenes_Odoo'!K984="","",'Ordenes_Odoo'!K984)</f>
        <v/>
      </c>
      <c r="L984" s="81">
        <f>IF('Ordenes_Odoo'!L984="","",'Ordenes_Odoo'!L984)</f>
        <v/>
      </c>
      <c r="M984" s="79">
        <f>IF('Ordenes_Odoo'!M984="","",'Ordenes_Odoo'!M984)</f>
        <v/>
      </c>
      <c r="N984" s="79">
        <f>IF('Ordenes_Odoo'!N984="","",'Ordenes_Odoo'!N984)</f>
        <v/>
      </c>
      <c r="O984" s="81">
        <f>IF('Ordenes_Odoo'!O984="","",'Ordenes_Odoo'!O984)</f>
        <v/>
      </c>
      <c r="P984" s="81">
        <f>IF('Ordenes_Odoo'!P984="","",'Ordenes_Odoo'!P984)</f>
        <v/>
      </c>
      <c r="Q984" s="79">
        <f>IF(A984="","",IFERROR(INDEX(Facturas_Odoo!$B:$B, MATCH(A984, Facturas_Odoo!$D:$D, 0)), "Sin Factura"))</f>
        <v/>
      </c>
      <c r="R984" s="80">
        <f>IF(Q984="Sin Factura","",IFERROR(INDEX(Facturas_Odoo!$A:$A, MATCH(Q984, Facturas_Odoo!$B:$B, 0)), ""))</f>
        <v/>
      </c>
      <c r="S984" s="79">
        <f>IF(Q984="Sin Factura","",IFERROR(_xlfn.XLOOKUP(1, (Facturas_Odoo!$D:$D=A984) * (Facturas_Odoo!$K:$K=I984), Facturas_Odoo!$L:$L, ""), ""))</f>
        <v/>
      </c>
      <c r="T984" s="81">
        <f>IF(Q984="Sin Factura",0,IFERROR(_xlfn.XLOOKUP(1, (Facturas_Odoo!$D:$D=A984) * (Facturas_Odoo!$K:$K=I984), Facturas_Odoo!$M:$M, 0), 0))</f>
        <v/>
      </c>
      <c r="U984" s="79">
        <f>IF(Q984="Sin Factura",0,IFERROR(_xlfn.XLOOKUP(1, (Facturas_Odoo!$D:$D=A984) * (Facturas_Odoo!$K:$K=I984), Facturas_Odoo!$N:$N, 0), 0))</f>
        <v/>
      </c>
      <c r="V984" s="79">
        <f>IF(Q984="Sin Factura",0,IFERROR(_xlfn.XLOOKUP(1, (Facturas_Odoo!$D:$D=A984) * (Facturas_Odoo!$K:$K=I984), Facturas_Odoo!$O:$O, 0), 0))</f>
        <v/>
      </c>
      <c r="W984" s="81">
        <f>IF(Q984="Sin Factura",0,IFERROR(_xlfn.XLOOKUP(1, (Facturas_Odoo!$D:$D=A984) * (Facturas_Odoo!$K:$K=I984), Facturas_Odoo!$Q:$Q, 0), 0))</f>
        <v/>
      </c>
      <c r="X984" s="79">
        <f>IF(OR(Q984="Sin Factura",Q984=""),"",IFERROR(INDEX(Pagos_Odoo!$B:$B, MATCH(Q984, Pagos_Odoo!$I:$I, 0)), "Sin Pago"))</f>
        <v/>
      </c>
      <c r="Y984" s="79">
        <f>IF(X984="Sin Pago","",IFERROR(INDEX(Pagos_Odoo!$C:$C, MATCH(X984, Pagos_Odoo!$B:$B, 0)), ""))</f>
        <v/>
      </c>
      <c r="Z984" s="80">
        <f>IF(X984="Sin Pago","",IFERROR(INDEX(Pagos_Odoo!$A:$A, MATCH(X984, Pagos_Odoo!$B:$B, 0)), ""))</f>
        <v/>
      </c>
      <c r="AA984" s="79">
        <f>IF(X984="Sin Pago","",IFERROR(INDEX(Pagos_Odoo!$F:$F, MATCH(X984, Pagos_Odoo!$B:$B, 0)), ""))</f>
        <v/>
      </c>
      <c r="AB984" s="81">
        <f>IF(X984="Sin Pago",0,IFERROR(INDEX(Pagos_Odoo!$E:$E, MATCH(X984, Pagos_Odoo!$B:$B, 0)), 0))</f>
        <v/>
      </c>
      <c r="AC984" s="79">
        <f>IF(X984="Sin Pago","",IFERROR(INDEX(Pagos_Odoo!$G:$G, MATCH(X984, Pagos_Odoo!$B:$B, 0)), ""))</f>
        <v/>
      </c>
      <c r="AD984" s="82" t="n">
        <v>0</v>
      </c>
      <c r="AE984" s="82" t="n"/>
      <c r="AF984" s="82" t="n"/>
      <c r="AG984" s="82">
        <f>IF(AN984="","",AD984+AE984+AF984)</f>
        <v/>
      </c>
      <c r="AH984" s="81">
        <f>IF(AN984="","",P984*(1-AG984))</f>
        <v/>
      </c>
      <c r="AI984" s="81">
        <f>IF(AN984="","",IF(Q984="Sin Factura",0,IFERROR(INDEX(Facturas_Odoo!$H:$H, MATCH(Q984, Facturas_Odoo!$B:$B, 0)), 0)*(1-AG984)))</f>
        <v/>
      </c>
      <c r="AJ984" s="81">
        <f>IF(AN984="","",_xlfn.LET(idVenta, AN984&amp;"",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84" s="81">
        <f>IF(AN984="","",AH984-AJ984)</f>
        <v/>
      </c>
      <c r="AL984" s="81">
        <f>IF(AN984="","",IF(Q984="Sin Factura","",AI984-AJ984))</f>
        <v/>
      </c>
      <c r="AM984" s="81">
        <f>IF(AN984="","",IF(Q984="Sin Factura",0,P984-IFERROR(INDEX(Facturas_Odoo!$H:$H, MATCH(Q984, Facturas_Odoo!$B:$B, 0)), 0)))</f>
        <v/>
      </c>
      <c r="AN984" s="79">
        <f>IF(AND(A984="", J984=""), "", IF(A984&lt;&gt;"", VALUE(MID(A984,2,LEN(A984))), AN983))</f>
        <v/>
      </c>
      <c r="AO984" s="79">
        <f>IF(AN984="","",IF(AD984=0,"OK",_xlfn.LET(monedaPago, IF(AA984="","USD",AA984), limitePermitido, IFERROR(VLOOKUP(monedaPago, Configuración!$A$2:$B$3, 2, FALSE), 0.15), IF(AD984&gt;limitePermitido, "ALERTA: EXCESO (" &amp; TEXT(limitePermitido, "0%") &amp; " máx)", "OK"))))</f>
        <v/>
      </c>
      <c r="AP984" s="79">
        <f>IF(AN984="","",IF(AE984=0,"OK",_xlfn.LET(fechaPago, Z984, fechaFactura, R984, diasCredito, IF(E984="Pago inmediato", 0, IFERROR(VALUE(MID(E984, 1, SEARCH(" ", E984)-1)),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84" s="79">
        <f>IF(AN984="","",IF(AND(N984&gt;0, AG984&gt;0), IF(Configuración!$K$2="NO", "ALERTA: DESCUENTO DOBLE NO PERMITIDO", "OK"), "OK"))</f>
        <v/>
      </c>
      <c r="AR984" s="79">
        <f>IF(AN984="","",IF(OR(AO984&lt;&gt;"OK", AP984&lt;&gt;"OK", AQ984&lt;&gt;"OK"), "⚠️ REVISAR", "OK"))</f>
        <v/>
      </c>
    </row>
    <row r="985">
      <c r="A985" s="79">
        <f>IF('Ordenes_Odoo'!A985="","",'Ordenes_Odoo'!A985)</f>
        <v/>
      </c>
      <c r="B985" s="80">
        <f>IF('Ordenes_Odoo'!B985="","",'Ordenes_Odoo'!B985)</f>
        <v/>
      </c>
      <c r="C985" s="79">
        <f>IF('Ordenes_Odoo'!C985="","",'Ordenes_Odoo'!C985)</f>
        <v/>
      </c>
      <c r="D985" s="79">
        <f>IF('Ordenes_Odoo'!D985="","",'Ordenes_Odoo'!D985)</f>
        <v/>
      </c>
      <c r="E985" s="79">
        <f>IF('Ordenes_Odoo'!E985="","",'Ordenes_Odoo'!E985)</f>
        <v/>
      </c>
      <c r="F985" s="79">
        <f>IF('Ordenes_Odoo'!F985="","",'Ordenes_Odoo'!F985)</f>
        <v/>
      </c>
      <c r="G985" s="79">
        <f>IF('Ordenes_Odoo'!G985="","",'Ordenes_Odoo'!G985)</f>
        <v/>
      </c>
      <c r="H985" s="79">
        <f>IF('Ordenes_Odoo'!H985="","",'Ordenes_Odoo'!H985)</f>
        <v/>
      </c>
      <c r="I985" s="79">
        <f>IF('Ordenes_Odoo'!I985="","",'Ordenes_Odoo'!I985)</f>
        <v/>
      </c>
      <c r="J985" s="79">
        <f>IF('Ordenes_Odoo'!J985="","",'Ordenes_Odoo'!J985)</f>
        <v/>
      </c>
      <c r="K985" s="81">
        <f>IF('Ordenes_Odoo'!K985="","",'Ordenes_Odoo'!K985)</f>
        <v/>
      </c>
      <c r="L985" s="81">
        <f>IF('Ordenes_Odoo'!L985="","",'Ordenes_Odoo'!L985)</f>
        <v/>
      </c>
      <c r="M985" s="79">
        <f>IF('Ordenes_Odoo'!M985="","",'Ordenes_Odoo'!M985)</f>
        <v/>
      </c>
      <c r="N985" s="79">
        <f>IF('Ordenes_Odoo'!N985="","",'Ordenes_Odoo'!N985)</f>
        <v/>
      </c>
      <c r="O985" s="81">
        <f>IF('Ordenes_Odoo'!O985="","",'Ordenes_Odoo'!O985)</f>
        <v/>
      </c>
      <c r="P985" s="81">
        <f>IF('Ordenes_Odoo'!P985="","",'Ordenes_Odoo'!P985)</f>
        <v/>
      </c>
      <c r="Q985" s="79">
        <f>IF(A985="","",IFERROR(INDEX(Facturas_Odoo!$B:$B, MATCH(A985, Facturas_Odoo!$D:$D, 0)), "Sin Factura"))</f>
        <v/>
      </c>
      <c r="R985" s="80">
        <f>IF(Q985="Sin Factura","",IFERROR(INDEX(Facturas_Odoo!$A:$A, MATCH(Q985, Facturas_Odoo!$B:$B, 0)), ""))</f>
        <v/>
      </c>
      <c r="S985" s="79">
        <f>IF(Q985="Sin Factura","",IFERROR(_xlfn.XLOOKUP(1, (Facturas_Odoo!$D:$D=A985) * (Facturas_Odoo!$K:$K=I985), Facturas_Odoo!$L:$L, ""), ""))</f>
        <v/>
      </c>
      <c r="T985" s="81">
        <f>IF(Q985="Sin Factura",0,IFERROR(_xlfn.XLOOKUP(1, (Facturas_Odoo!$D:$D=A985) * (Facturas_Odoo!$K:$K=I985), Facturas_Odoo!$M:$M, 0), 0))</f>
        <v/>
      </c>
      <c r="U985" s="79">
        <f>IF(Q985="Sin Factura",0,IFERROR(_xlfn.XLOOKUP(1, (Facturas_Odoo!$D:$D=A985) * (Facturas_Odoo!$K:$K=I985), Facturas_Odoo!$N:$N, 0), 0))</f>
        <v/>
      </c>
      <c r="V985" s="79">
        <f>IF(Q985="Sin Factura",0,IFERROR(_xlfn.XLOOKUP(1, (Facturas_Odoo!$D:$D=A985) * (Facturas_Odoo!$K:$K=I985), Facturas_Odoo!$O:$O, 0), 0))</f>
        <v/>
      </c>
      <c r="W985" s="81">
        <f>IF(Q985="Sin Factura",0,IFERROR(_xlfn.XLOOKUP(1, (Facturas_Odoo!$D:$D=A985) * (Facturas_Odoo!$K:$K=I985), Facturas_Odoo!$Q:$Q, 0), 0))</f>
        <v/>
      </c>
      <c r="X985" s="79">
        <f>IF(OR(Q985="Sin Factura",Q985=""),"",IFERROR(INDEX(Pagos_Odoo!$B:$B, MATCH(Q985, Pagos_Odoo!$I:$I, 0)), "Sin Pago"))</f>
        <v/>
      </c>
      <c r="Y985" s="79">
        <f>IF(X985="Sin Pago","",IFERROR(INDEX(Pagos_Odoo!$C:$C, MATCH(X985, Pagos_Odoo!$B:$B, 0)), ""))</f>
        <v/>
      </c>
      <c r="Z985" s="80">
        <f>IF(X985="Sin Pago","",IFERROR(INDEX(Pagos_Odoo!$A:$A, MATCH(X985, Pagos_Odoo!$B:$B, 0)), ""))</f>
        <v/>
      </c>
      <c r="AA985" s="79">
        <f>IF(X985="Sin Pago","",IFERROR(INDEX(Pagos_Odoo!$F:$F, MATCH(X985, Pagos_Odoo!$B:$B, 0)), ""))</f>
        <v/>
      </c>
      <c r="AB985" s="81">
        <f>IF(X985="Sin Pago",0,IFERROR(INDEX(Pagos_Odoo!$E:$E, MATCH(X985, Pagos_Odoo!$B:$B, 0)), 0))</f>
        <v/>
      </c>
      <c r="AC985" s="79">
        <f>IF(X985="Sin Pago","",IFERROR(INDEX(Pagos_Odoo!$G:$G, MATCH(X985, Pagos_Odoo!$B:$B, 0)), ""))</f>
        <v/>
      </c>
      <c r="AD985" s="82" t="n">
        <v>0</v>
      </c>
      <c r="AE985" s="82" t="n"/>
      <c r="AF985" s="82" t="n"/>
      <c r="AG985" s="82">
        <f>IF(AN985="","",AD985+AE985+AF985)</f>
        <v/>
      </c>
      <c r="AH985" s="81">
        <f>IF(AN985="","",P985*(1-AG985))</f>
        <v/>
      </c>
      <c r="AI985" s="81">
        <f>IF(AN985="","",IF(Q985="Sin Factura",0,IFERROR(INDEX(Facturas_Odoo!$H:$H, MATCH(Q985, Facturas_Odoo!$B:$B, 0)), 0)*(1-AG985)))</f>
        <v/>
      </c>
      <c r="AJ985" s="81">
        <f>IF(AN985="","",_xlfn.LET(idVenta, AN985&amp;"",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85" s="81">
        <f>IF(AN985="","",AH985-AJ985)</f>
        <v/>
      </c>
      <c r="AL985" s="81">
        <f>IF(AN985="","",IF(Q985="Sin Factura","",AI985-AJ985))</f>
        <v/>
      </c>
      <c r="AM985" s="81">
        <f>IF(AN985="","",IF(Q985="Sin Factura",0,P985-IFERROR(INDEX(Facturas_Odoo!$H:$H, MATCH(Q985, Facturas_Odoo!$B:$B, 0)), 0)))</f>
        <v/>
      </c>
      <c r="AN985" s="79">
        <f>IF(AND(A985="", J985=""), "", IF(A985&lt;&gt;"", VALUE(MID(A985,2,LEN(A985))), AN984))</f>
        <v/>
      </c>
      <c r="AO985" s="79">
        <f>IF(AN985="","",IF(AD985=0,"OK",_xlfn.LET(monedaPago, IF(AA985="","USD",AA985), limitePermitido, IFERROR(VLOOKUP(monedaPago, Configuración!$A$2:$B$3, 2, FALSE), 0.15), IF(AD985&gt;limitePermitido, "ALERTA: EXCESO (" &amp; TEXT(limitePermitido, "0%") &amp; " máx)", "OK"))))</f>
        <v/>
      </c>
      <c r="AP985" s="79">
        <f>IF(AN985="","",IF(AE985=0,"OK",_xlfn.LET(fechaPago, Z985, fechaFactura, R985, diasCredito, IF(E985="Pago inmediato", 0, IFERROR(VALUE(MID(E985, 1, SEARCH(" ", E985)-1)),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85" s="79">
        <f>IF(AN985="","",IF(AND(N985&gt;0, AG985&gt;0), IF(Configuración!$K$2="NO", "ALERTA: DESCUENTO DOBLE NO PERMITIDO", "OK"), "OK"))</f>
        <v/>
      </c>
      <c r="AR985" s="79">
        <f>IF(AN985="","",IF(OR(AO985&lt;&gt;"OK", AP985&lt;&gt;"OK", AQ985&lt;&gt;"OK"), "⚠️ REVISAR", "OK"))</f>
        <v/>
      </c>
    </row>
    <row r="986">
      <c r="A986" s="79">
        <f>IF('Ordenes_Odoo'!A986="","",'Ordenes_Odoo'!A986)</f>
        <v/>
      </c>
      <c r="B986" s="80">
        <f>IF('Ordenes_Odoo'!B986="","",'Ordenes_Odoo'!B986)</f>
        <v/>
      </c>
      <c r="C986" s="79">
        <f>IF('Ordenes_Odoo'!C986="","",'Ordenes_Odoo'!C986)</f>
        <v/>
      </c>
      <c r="D986" s="79">
        <f>IF('Ordenes_Odoo'!D986="","",'Ordenes_Odoo'!D986)</f>
        <v/>
      </c>
      <c r="E986" s="79">
        <f>IF('Ordenes_Odoo'!E986="","",'Ordenes_Odoo'!E986)</f>
        <v/>
      </c>
      <c r="F986" s="79">
        <f>IF('Ordenes_Odoo'!F986="","",'Ordenes_Odoo'!F986)</f>
        <v/>
      </c>
      <c r="G986" s="79">
        <f>IF('Ordenes_Odoo'!G986="","",'Ordenes_Odoo'!G986)</f>
        <v/>
      </c>
      <c r="H986" s="79">
        <f>IF('Ordenes_Odoo'!H986="","",'Ordenes_Odoo'!H986)</f>
        <v/>
      </c>
      <c r="I986" s="79">
        <f>IF('Ordenes_Odoo'!I986="","",'Ordenes_Odoo'!I986)</f>
        <v/>
      </c>
      <c r="J986" s="79">
        <f>IF('Ordenes_Odoo'!J986="","",'Ordenes_Odoo'!J986)</f>
        <v/>
      </c>
      <c r="K986" s="81">
        <f>IF('Ordenes_Odoo'!K986="","",'Ordenes_Odoo'!K986)</f>
        <v/>
      </c>
      <c r="L986" s="81">
        <f>IF('Ordenes_Odoo'!L986="","",'Ordenes_Odoo'!L986)</f>
        <v/>
      </c>
      <c r="M986" s="79">
        <f>IF('Ordenes_Odoo'!M986="","",'Ordenes_Odoo'!M986)</f>
        <v/>
      </c>
      <c r="N986" s="79">
        <f>IF('Ordenes_Odoo'!N986="","",'Ordenes_Odoo'!N986)</f>
        <v/>
      </c>
      <c r="O986" s="81">
        <f>IF('Ordenes_Odoo'!O986="","",'Ordenes_Odoo'!O986)</f>
        <v/>
      </c>
      <c r="P986" s="81">
        <f>IF('Ordenes_Odoo'!P986="","",'Ordenes_Odoo'!P986)</f>
        <v/>
      </c>
      <c r="Q986" s="79">
        <f>IF(A986="","",IFERROR(INDEX(Facturas_Odoo!$B:$B, MATCH(A986, Facturas_Odoo!$D:$D, 0)), "Sin Factura"))</f>
        <v/>
      </c>
      <c r="R986" s="80">
        <f>IF(Q986="Sin Factura","",IFERROR(INDEX(Facturas_Odoo!$A:$A, MATCH(Q986, Facturas_Odoo!$B:$B, 0)), ""))</f>
        <v/>
      </c>
      <c r="S986" s="79">
        <f>IF(Q986="Sin Factura","",IFERROR(_xlfn.XLOOKUP(1, (Facturas_Odoo!$D:$D=A986) * (Facturas_Odoo!$K:$K=I986), Facturas_Odoo!$L:$L, ""), ""))</f>
        <v/>
      </c>
      <c r="T986" s="81">
        <f>IF(Q986="Sin Factura",0,IFERROR(_xlfn.XLOOKUP(1, (Facturas_Odoo!$D:$D=A986) * (Facturas_Odoo!$K:$K=I986), Facturas_Odoo!$M:$M, 0), 0))</f>
        <v/>
      </c>
      <c r="U986" s="79">
        <f>IF(Q986="Sin Factura",0,IFERROR(_xlfn.XLOOKUP(1, (Facturas_Odoo!$D:$D=A986) * (Facturas_Odoo!$K:$K=I986), Facturas_Odoo!$N:$N, 0), 0))</f>
        <v/>
      </c>
      <c r="V986" s="79">
        <f>IF(Q986="Sin Factura",0,IFERROR(_xlfn.XLOOKUP(1, (Facturas_Odoo!$D:$D=A986) * (Facturas_Odoo!$K:$K=I986), Facturas_Odoo!$O:$O, 0), 0))</f>
        <v/>
      </c>
      <c r="W986" s="81">
        <f>IF(Q986="Sin Factura",0,IFERROR(_xlfn.XLOOKUP(1, (Facturas_Odoo!$D:$D=A986) * (Facturas_Odoo!$K:$K=I986), Facturas_Odoo!$Q:$Q, 0), 0))</f>
        <v/>
      </c>
      <c r="X986" s="79">
        <f>IF(OR(Q986="Sin Factura",Q986=""),"",IFERROR(INDEX(Pagos_Odoo!$B:$B, MATCH(Q986, Pagos_Odoo!$I:$I, 0)), "Sin Pago"))</f>
        <v/>
      </c>
      <c r="Y986" s="79">
        <f>IF(X986="Sin Pago","",IFERROR(INDEX(Pagos_Odoo!$C:$C, MATCH(X986, Pagos_Odoo!$B:$B, 0)), ""))</f>
        <v/>
      </c>
      <c r="Z986" s="80">
        <f>IF(X986="Sin Pago","",IFERROR(INDEX(Pagos_Odoo!$A:$A, MATCH(X986, Pagos_Odoo!$B:$B, 0)), ""))</f>
        <v/>
      </c>
      <c r="AA986" s="79">
        <f>IF(X986="Sin Pago","",IFERROR(INDEX(Pagos_Odoo!$F:$F, MATCH(X986, Pagos_Odoo!$B:$B, 0)), ""))</f>
        <v/>
      </c>
      <c r="AB986" s="81">
        <f>IF(X986="Sin Pago",0,IFERROR(INDEX(Pagos_Odoo!$E:$E, MATCH(X986, Pagos_Odoo!$B:$B, 0)), 0))</f>
        <v/>
      </c>
      <c r="AC986" s="79">
        <f>IF(X986="Sin Pago","",IFERROR(INDEX(Pagos_Odoo!$G:$G, MATCH(X986, Pagos_Odoo!$B:$B, 0)), ""))</f>
        <v/>
      </c>
      <c r="AD986" s="82" t="n">
        <v>0</v>
      </c>
      <c r="AE986" s="82" t="n"/>
      <c r="AF986" s="82" t="n"/>
      <c r="AG986" s="82">
        <f>IF(AN986="","",AD986+AE986+AF986)</f>
        <v/>
      </c>
      <c r="AH986" s="81">
        <f>IF(AN986="","",P986*(1-AG986))</f>
        <v/>
      </c>
      <c r="AI986" s="81">
        <f>IF(AN986="","",IF(Q986="Sin Factura",0,IFERROR(INDEX(Facturas_Odoo!$H:$H, MATCH(Q986, Facturas_Odoo!$B:$B, 0)), 0)*(1-AG986)))</f>
        <v/>
      </c>
      <c r="AJ986" s="81">
        <f>IF(AN986="","",_xlfn.LET(idVenta, AN986&amp;"",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86" s="81">
        <f>IF(AN986="","",AH986-AJ986)</f>
        <v/>
      </c>
      <c r="AL986" s="81">
        <f>IF(AN986="","",IF(Q986="Sin Factura","",AI986-AJ986))</f>
        <v/>
      </c>
      <c r="AM986" s="81">
        <f>IF(AN986="","",IF(Q986="Sin Factura",0,P986-IFERROR(INDEX(Facturas_Odoo!$H:$H, MATCH(Q986, Facturas_Odoo!$B:$B, 0)), 0)))</f>
        <v/>
      </c>
      <c r="AN986" s="79">
        <f>IF(AND(A986="", J986=""), "", IF(A986&lt;&gt;"", VALUE(MID(A986,2,LEN(A986))), AN985))</f>
        <v/>
      </c>
      <c r="AO986" s="79">
        <f>IF(AN986="","",IF(AD986=0,"OK",_xlfn.LET(monedaPago, IF(AA986="","USD",AA986), limitePermitido, IFERROR(VLOOKUP(monedaPago, Configuración!$A$2:$B$3, 2, FALSE), 0.15), IF(AD986&gt;limitePermitido, "ALERTA: EXCESO (" &amp; TEXT(limitePermitido, "0%") &amp; " máx)", "OK"))))</f>
        <v/>
      </c>
      <c r="AP986" s="79">
        <f>IF(AN986="","",IF(AE986=0,"OK",_xlfn.LET(fechaPago, Z986, fechaFactura, R986, diasCredito, IF(E986="Pago inmediato", 0, IFERROR(VALUE(MID(E986, 1, SEARCH(" ", E986)-1)),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86" s="79">
        <f>IF(AN986="","",IF(AND(N986&gt;0, AG986&gt;0), IF(Configuración!$K$2="NO", "ALERTA: DESCUENTO DOBLE NO PERMITIDO", "OK"), "OK"))</f>
        <v/>
      </c>
      <c r="AR986" s="79">
        <f>IF(AN986="","",IF(OR(AO986&lt;&gt;"OK", AP986&lt;&gt;"OK", AQ986&lt;&gt;"OK"), "⚠️ REVISAR", "OK"))</f>
        <v/>
      </c>
    </row>
    <row r="987">
      <c r="A987" s="79">
        <f>IF('Ordenes_Odoo'!A987="","",'Ordenes_Odoo'!A987)</f>
        <v/>
      </c>
      <c r="B987" s="80">
        <f>IF('Ordenes_Odoo'!B987="","",'Ordenes_Odoo'!B987)</f>
        <v/>
      </c>
      <c r="C987" s="79">
        <f>IF('Ordenes_Odoo'!C987="","",'Ordenes_Odoo'!C987)</f>
        <v/>
      </c>
      <c r="D987" s="79">
        <f>IF('Ordenes_Odoo'!D987="","",'Ordenes_Odoo'!D987)</f>
        <v/>
      </c>
      <c r="E987" s="79">
        <f>IF('Ordenes_Odoo'!E987="","",'Ordenes_Odoo'!E987)</f>
        <v/>
      </c>
      <c r="F987" s="79">
        <f>IF('Ordenes_Odoo'!F987="","",'Ordenes_Odoo'!F987)</f>
        <v/>
      </c>
      <c r="G987" s="79">
        <f>IF('Ordenes_Odoo'!G987="","",'Ordenes_Odoo'!G987)</f>
        <v/>
      </c>
      <c r="H987" s="79">
        <f>IF('Ordenes_Odoo'!H987="","",'Ordenes_Odoo'!H987)</f>
        <v/>
      </c>
      <c r="I987" s="79">
        <f>IF('Ordenes_Odoo'!I987="","",'Ordenes_Odoo'!I987)</f>
        <v/>
      </c>
      <c r="J987" s="79">
        <f>IF('Ordenes_Odoo'!J987="","",'Ordenes_Odoo'!J987)</f>
        <v/>
      </c>
      <c r="K987" s="81">
        <f>IF('Ordenes_Odoo'!K987="","",'Ordenes_Odoo'!K987)</f>
        <v/>
      </c>
      <c r="L987" s="81">
        <f>IF('Ordenes_Odoo'!L987="","",'Ordenes_Odoo'!L987)</f>
        <v/>
      </c>
      <c r="M987" s="79">
        <f>IF('Ordenes_Odoo'!M987="","",'Ordenes_Odoo'!M987)</f>
        <v/>
      </c>
      <c r="N987" s="79">
        <f>IF('Ordenes_Odoo'!N987="","",'Ordenes_Odoo'!N987)</f>
        <v/>
      </c>
      <c r="O987" s="81">
        <f>IF('Ordenes_Odoo'!O987="","",'Ordenes_Odoo'!O987)</f>
        <v/>
      </c>
      <c r="P987" s="81">
        <f>IF('Ordenes_Odoo'!P987="","",'Ordenes_Odoo'!P987)</f>
        <v/>
      </c>
      <c r="Q987" s="79">
        <f>IF(A987="","",IFERROR(INDEX(Facturas_Odoo!$B:$B, MATCH(A987, Facturas_Odoo!$D:$D, 0)), "Sin Factura"))</f>
        <v/>
      </c>
      <c r="R987" s="80">
        <f>IF(Q987="Sin Factura","",IFERROR(INDEX(Facturas_Odoo!$A:$A, MATCH(Q987, Facturas_Odoo!$B:$B, 0)), ""))</f>
        <v/>
      </c>
      <c r="S987" s="79">
        <f>IF(Q987="Sin Factura","",IFERROR(_xlfn.XLOOKUP(1, (Facturas_Odoo!$D:$D=A987) * (Facturas_Odoo!$K:$K=I987), Facturas_Odoo!$L:$L, ""), ""))</f>
        <v/>
      </c>
      <c r="T987" s="81">
        <f>IF(Q987="Sin Factura",0,IFERROR(_xlfn.XLOOKUP(1, (Facturas_Odoo!$D:$D=A987) * (Facturas_Odoo!$K:$K=I987), Facturas_Odoo!$M:$M, 0), 0))</f>
        <v/>
      </c>
      <c r="U987" s="79">
        <f>IF(Q987="Sin Factura",0,IFERROR(_xlfn.XLOOKUP(1, (Facturas_Odoo!$D:$D=A987) * (Facturas_Odoo!$K:$K=I987), Facturas_Odoo!$N:$N, 0), 0))</f>
        <v/>
      </c>
      <c r="V987" s="79">
        <f>IF(Q987="Sin Factura",0,IFERROR(_xlfn.XLOOKUP(1, (Facturas_Odoo!$D:$D=A987) * (Facturas_Odoo!$K:$K=I987), Facturas_Odoo!$O:$O, 0), 0))</f>
        <v/>
      </c>
      <c r="W987" s="81">
        <f>IF(Q987="Sin Factura",0,IFERROR(_xlfn.XLOOKUP(1, (Facturas_Odoo!$D:$D=A987) * (Facturas_Odoo!$K:$K=I987), Facturas_Odoo!$Q:$Q, 0), 0))</f>
        <v/>
      </c>
      <c r="X987" s="79">
        <f>IF(OR(Q987="Sin Factura",Q987=""),"",IFERROR(INDEX(Pagos_Odoo!$B:$B, MATCH(Q987, Pagos_Odoo!$I:$I, 0)), "Sin Pago"))</f>
        <v/>
      </c>
      <c r="Y987" s="79">
        <f>IF(X987="Sin Pago","",IFERROR(INDEX(Pagos_Odoo!$C:$C, MATCH(X987, Pagos_Odoo!$B:$B, 0)), ""))</f>
        <v/>
      </c>
      <c r="Z987" s="80">
        <f>IF(X987="Sin Pago","",IFERROR(INDEX(Pagos_Odoo!$A:$A, MATCH(X987, Pagos_Odoo!$B:$B, 0)), ""))</f>
        <v/>
      </c>
      <c r="AA987" s="79">
        <f>IF(X987="Sin Pago","",IFERROR(INDEX(Pagos_Odoo!$F:$F, MATCH(X987, Pagos_Odoo!$B:$B, 0)), ""))</f>
        <v/>
      </c>
      <c r="AB987" s="81">
        <f>IF(X987="Sin Pago",0,IFERROR(INDEX(Pagos_Odoo!$E:$E, MATCH(X987, Pagos_Odoo!$B:$B, 0)), 0))</f>
        <v/>
      </c>
      <c r="AC987" s="79">
        <f>IF(X987="Sin Pago","",IFERROR(INDEX(Pagos_Odoo!$G:$G, MATCH(X987, Pagos_Odoo!$B:$B, 0)), ""))</f>
        <v/>
      </c>
      <c r="AD987" s="82" t="n">
        <v>0</v>
      </c>
      <c r="AE987" s="82" t="n"/>
      <c r="AF987" s="82" t="n"/>
      <c r="AG987" s="82">
        <f>IF(AN987="","",AD987+AE987+AF987)</f>
        <v/>
      </c>
      <c r="AH987" s="81">
        <f>IF(AN987="","",P987*(1-AG987))</f>
        <v/>
      </c>
      <c r="AI987" s="81">
        <f>IF(AN987="","",IF(Q987="Sin Factura",0,IFERROR(INDEX(Facturas_Odoo!$H:$H, MATCH(Q987, Facturas_Odoo!$B:$B, 0)), 0)*(1-AG987)))</f>
        <v/>
      </c>
      <c r="AJ987" s="81">
        <f>IF(AN987="","",_xlfn.LET(idVenta, AN987&amp;"",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87" s="81">
        <f>IF(AN987="","",AH987-AJ987)</f>
        <v/>
      </c>
      <c r="AL987" s="81">
        <f>IF(AN987="","",IF(Q987="Sin Factura","",AI987-AJ987))</f>
        <v/>
      </c>
      <c r="AM987" s="81">
        <f>IF(AN987="","",IF(Q987="Sin Factura",0,P987-IFERROR(INDEX(Facturas_Odoo!$H:$H, MATCH(Q987, Facturas_Odoo!$B:$B, 0)), 0)))</f>
        <v/>
      </c>
      <c r="AN987" s="79">
        <f>IF(AND(A987="", J987=""), "", IF(A987&lt;&gt;"", VALUE(MID(A987,2,LEN(A987))), AN986))</f>
        <v/>
      </c>
      <c r="AO987" s="79">
        <f>IF(AN987="","",IF(AD987=0,"OK",_xlfn.LET(monedaPago, IF(AA987="","USD",AA987), limitePermitido, IFERROR(VLOOKUP(monedaPago, Configuración!$A$2:$B$3, 2, FALSE), 0.15), IF(AD987&gt;limitePermitido, "ALERTA: EXCESO (" &amp; TEXT(limitePermitido, "0%") &amp; " máx)", "OK"))))</f>
        <v/>
      </c>
      <c r="AP987" s="79">
        <f>IF(AN987="","",IF(AE987=0,"OK",_xlfn.LET(fechaPago, Z987, fechaFactura, R987, diasCredito, IF(E987="Pago inmediato", 0, IFERROR(VALUE(MID(E987, 1, SEARCH(" ", E987)-1)),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87" s="79">
        <f>IF(AN987="","",IF(AND(N987&gt;0, AG987&gt;0), IF(Configuración!$K$2="NO", "ALERTA: DESCUENTO DOBLE NO PERMITIDO", "OK"), "OK"))</f>
        <v/>
      </c>
      <c r="AR987" s="79">
        <f>IF(AN987="","",IF(OR(AO987&lt;&gt;"OK", AP987&lt;&gt;"OK", AQ987&lt;&gt;"OK"), "⚠️ REVISAR", "OK"))</f>
        <v/>
      </c>
    </row>
    <row r="988">
      <c r="A988" s="79">
        <f>IF('Ordenes_Odoo'!A988="","",'Ordenes_Odoo'!A988)</f>
        <v/>
      </c>
      <c r="B988" s="80">
        <f>IF('Ordenes_Odoo'!B988="","",'Ordenes_Odoo'!B988)</f>
        <v/>
      </c>
      <c r="C988" s="79">
        <f>IF('Ordenes_Odoo'!C988="","",'Ordenes_Odoo'!C988)</f>
        <v/>
      </c>
      <c r="D988" s="79">
        <f>IF('Ordenes_Odoo'!D988="","",'Ordenes_Odoo'!D988)</f>
        <v/>
      </c>
      <c r="E988" s="79">
        <f>IF('Ordenes_Odoo'!E988="","",'Ordenes_Odoo'!E988)</f>
        <v/>
      </c>
      <c r="F988" s="79">
        <f>IF('Ordenes_Odoo'!F988="","",'Ordenes_Odoo'!F988)</f>
        <v/>
      </c>
      <c r="G988" s="79">
        <f>IF('Ordenes_Odoo'!G988="","",'Ordenes_Odoo'!G988)</f>
        <v/>
      </c>
      <c r="H988" s="79">
        <f>IF('Ordenes_Odoo'!H988="","",'Ordenes_Odoo'!H988)</f>
        <v/>
      </c>
      <c r="I988" s="79">
        <f>IF('Ordenes_Odoo'!I988="","",'Ordenes_Odoo'!I988)</f>
        <v/>
      </c>
      <c r="J988" s="79">
        <f>IF('Ordenes_Odoo'!J988="","",'Ordenes_Odoo'!J988)</f>
        <v/>
      </c>
      <c r="K988" s="81">
        <f>IF('Ordenes_Odoo'!K988="","",'Ordenes_Odoo'!K988)</f>
        <v/>
      </c>
      <c r="L988" s="81">
        <f>IF('Ordenes_Odoo'!L988="","",'Ordenes_Odoo'!L988)</f>
        <v/>
      </c>
      <c r="M988" s="79">
        <f>IF('Ordenes_Odoo'!M988="","",'Ordenes_Odoo'!M988)</f>
        <v/>
      </c>
      <c r="N988" s="79">
        <f>IF('Ordenes_Odoo'!N988="","",'Ordenes_Odoo'!N988)</f>
        <v/>
      </c>
      <c r="O988" s="81">
        <f>IF('Ordenes_Odoo'!O988="","",'Ordenes_Odoo'!O988)</f>
        <v/>
      </c>
      <c r="P988" s="81">
        <f>IF('Ordenes_Odoo'!P988="","",'Ordenes_Odoo'!P988)</f>
        <v/>
      </c>
      <c r="Q988" s="79">
        <f>IF(A988="","",IFERROR(INDEX(Facturas_Odoo!$B:$B, MATCH(A988, Facturas_Odoo!$D:$D, 0)), "Sin Factura"))</f>
        <v/>
      </c>
      <c r="R988" s="80">
        <f>IF(Q988="Sin Factura","",IFERROR(INDEX(Facturas_Odoo!$A:$A, MATCH(Q988, Facturas_Odoo!$B:$B, 0)), ""))</f>
        <v/>
      </c>
      <c r="S988" s="79">
        <f>IF(Q988="Sin Factura","",IFERROR(_xlfn.XLOOKUP(1, (Facturas_Odoo!$D:$D=A988) * (Facturas_Odoo!$K:$K=I988), Facturas_Odoo!$L:$L, ""), ""))</f>
        <v/>
      </c>
      <c r="T988" s="81">
        <f>IF(Q988="Sin Factura",0,IFERROR(_xlfn.XLOOKUP(1, (Facturas_Odoo!$D:$D=A988) * (Facturas_Odoo!$K:$K=I988), Facturas_Odoo!$M:$M, 0), 0))</f>
        <v/>
      </c>
      <c r="U988" s="79">
        <f>IF(Q988="Sin Factura",0,IFERROR(_xlfn.XLOOKUP(1, (Facturas_Odoo!$D:$D=A988) * (Facturas_Odoo!$K:$K=I988), Facturas_Odoo!$N:$N, 0), 0))</f>
        <v/>
      </c>
      <c r="V988" s="79">
        <f>IF(Q988="Sin Factura",0,IFERROR(_xlfn.XLOOKUP(1, (Facturas_Odoo!$D:$D=A988) * (Facturas_Odoo!$K:$K=I988), Facturas_Odoo!$O:$O, 0), 0))</f>
        <v/>
      </c>
      <c r="W988" s="81">
        <f>IF(Q988="Sin Factura",0,IFERROR(_xlfn.XLOOKUP(1, (Facturas_Odoo!$D:$D=A988) * (Facturas_Odoo!$K:$K=I988), Facturas_Odoo!$Q:$Q, 0), 0))</f>
        <v/>
      </c>
      <c r="X988" s="79">
        <f>IF(OR(Q988="Sin Factura",Q988=""),"",IFERROR(INDEX(Pagos_Odoo!$B:$B, MATCH(Q988, Pagos_Odoo!$I:$I, 0)), "Sin Pago"))</f>
        <v/>
      </c>
      <c r="Y988" s="79">
        <f>IF(X988="Sin Pago","",IFERROR(INDEX(Pagos_Odoo!$C:$C, MATCH(X988, Pagos_Odoo!$B:$B, 0)), ""))</f>
        <v/>
      </c>
      <c r="Z988" s="80">
        <f>IF(X988="Sin Pago","",IFERROR(INDEX(Pagos_Odoo!$A:$A, MATCH(X988, Pagos_Odoo!$B:$B, 0)), ""))</f>
        <v/>
      </c>
      <c r="AA988" s="79">
        <f>IF(X988="Sin Pago","",IFERROR(INDEX(Pagos_Odoo!$F:$F, MATCH(X988, Pagos_Odoo!$B:$B, 0)), ""))</f>
        <v/>
      </c>
      <c r="AB988" s="81">
        <f>IF(X988="Sin Pago",0,IFERROR(INDEX(Pagos_Odoo!$E:$E, MATCH(X988, Pagos_Odoo!$B:$B, 0)), 0))</f>
        <v/>
      </c>
      <c r="AC988" s="79">
        <f>IF(X988="Sin Pago","",IFERROR(INDEX(Pagos_Odoo!$G:$G, MATCH(X988, Pagos_Odoo!$B:$B, 0)), ""))</f>
        <v/>
      </c>
      <c r="AD988" s="82" t="n">
        <v>0</v>
      </c>
      <c r="AE988" s="82" t="n"/>
      <c r="AF988" s="82" t="n"/>
      <c r="AG988" s="82">
        <f>IF(AN988="","",AD988+AE988+AF988)</f>
        <v/>
      </c>
      <c r="AH988" s="81">
        <f>IF(AN988="","",P988*(1-AG988))</f>
        <v/>
      </c>
      <c r="AI988" s="81">
        <f>IF(AN988="","",IF(Q988="Sin Factura",0,IFERROR(INDEX(Facturas_Odoo!$H:$H, MATCH(Q988, Facturas_Odoo!$B:$B, 0)), 0)*(1-AG988)))</f>
        <v/>
      </c>
      <c r="AJ988" s="81">
        <f>IF(AN988="","",_xlfn.LET(idVenta, AN988&amp;"",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88" s="81">
        <f>IF(AN988="","",AH988-AJ988)</f>
        <v/>
      </c>
      <c r="AL988" s="81">
        <f>IF(AN988="","",IF(Q988="Sin Factura","",AI988-AJ988))</f>
        <v/>
      </c>
      <c r="AM988" s="81">
        <f>IF(AN988="","",IF(Q988="Sin Factura",0,P988-IFERROR(INDEX(Facturas_Odoo!$H:$H, MATCH(Q988, Facturas_Odoo!$B:$B, 0)), 0)))</f>
        <v/>
      </c>
      <c r="AN988" s="79">
        <f>IF(AND(A988="", J988=""), "", IF(A988&lt;&gt;"", VALUE(MID(A988,2,LEN(A988))), AN987))</f>
        <v/>
      </c>
      <c r="AO988" s="79">
        <f>IF(AN988="","",IF(AD988=0,"OK",_xlfn.LET(monedaPago, IF(AA988="","USD",AA988), limitePermitido, IFERROR(VLOOKUP(monedaPago, Configuración!$A$2:$B$3, 2, FALSE), 0.15), IF(AD988&gt;limitePermitido, "ALERTA: EXCESO (" &amp; TEXT(limitePermitido, "0%") &amp; " máx)", "OK"))))</f>
        <v/>
      </c>
      <c r="AP988" s="79">
        <f>IF(AN988="","",IF(AE988=0,"OK",_xlfn.LET(fechaPago, Z988, fechaFactura, R988, diasCredito, IF(E988="Pago inmediato", 0, IFERROR(VALUE(MID(E988, 1, SEARCH(" ", E988)-1)),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88" s="79">
        <f>IF(AN988="","",IF(AND(N988&gt;0, AG988&gt;0), IF(Configuración!$K$2="NO", "ALERTA: DESCUENTO DOBLE NO PERMITIDO", "OK"), "OK"))</f>
        <v/>
      </c>
      <c r="AR988" s="79">
        <f>IF(AN988="","",IF(OR(AO988&lt;&gt;"OK", AP988&lt;&gt;"OK", AQ988&lt;&gt;"OK"), "⚠️ REVISAR", "OK"))</f>
        <v/>
      </c>
    </row>
    <row r="989">
      <c r="A989" s="79">
        <f>IF('Ordenes_Odoo'!A989="","",'Ordenes_Odoo'!A989)</f>
        <v/>
      </c>
      <c r="B989" s="80">
        <f>IF('Ordenes_Odoo'!B989="","",'Ordenes_Odoo'!B989)</f>
        <v/>
      </c>
      <c r="C989" s="79">
        <f>IF('Ordenes_Odoo'!C989="","",'Ordenes_Odoo'!C989)</f>
        <v/>
      </c>
      <c r="D989" s="79">
        <f>IF('Ordenes_Odoo'!D989="","",'Ordenes_Odoo'!D989)</f>
        <v/>
      </c>
      <c r="E989" s="79">
        <f>IF('Ordenes_Odoo'!E989="","",'Ordenes_Odoo'!E989)</f>
        <v/>
      </c>
      <c r="F989" s="79">
        <f>IF('Ordenes_Odoo'!F989="","",'Ordenes_Odoo'!F989)</f>
        <v/>
      </c>
      <c r="G989" s="79">
        <f>IF('Ordenes_Odoo'!G989="","",'Ordenes_Odoo'!G989)</f>
        <v/>
      </c>
      <c r="H989" s="79">
        <f>IF('Ordenes_Odoo'!H989="","",'Ordenes_Odoo'!H989)</f>
        <v/>
      </c>
      <c r="I989" s="79">
        <f>IF('Ordenes_Odoo'!I989="","",'Ordenes_Odoo'!I989)</f>
        <v/>
      </c>
      <c r="J989" s="79">
        <f>IF('Ordenes_Odoo'!J989="","",'Ordenes_Odoo'!J989)</f>
        <v/>
      </c>
      <c r="K989" s="81">
        <f>IF('Ordenes_Odoo'!K989="","",'Ordenes_Odoo'!K989)</f>
        <v/>
      </c>
      <c r="L989" s="81">
        <f>IF('Ordenes_Odoo'!L989="","",'Ordenes_Odoo'!L989)</f>
        <v/>
      </c>
      <c r="M989" s="79">
        <f>IF('Ordenes_Odoo'!M989="","",'Ordenes_Odoo'!M989)</f>
        <v/>
      </c>
      <c r="N989" s="79">
        <f>IF('Ordenes_Odoo'!N989="","",'Ordenes_Odoo'!N989)</f>
        <v/>
      </c>
      <c r="O989" s="81">
        <f>IF('Ordenes_Odoo'!O989="","",'Ordenes_Odoo'!O989)</f>
        <v/>
      </c>
      <c r="P989" s="81">
        <f>IF('Ordenes_Odoo'!P989="","",'Ordenes_Odoo'!P989)</f>
        <v/>
      </c>
      <c r="Q989" s="79">
        <f>IF(A989="","",IFERROR(INDEX(Facturas_Odoo!$B:$B, MATCH(A989, Facturas_Odoo!$D:$D, 0)), "Sin Factura"))</f>
        <v/>
      </c>
      <c r="R989" s="80">
        <f>IF(Q989="Sin Factura","",IFERROR(INDEX(Facturas_Odoo!$A:$A, MATCH(Q989, Facturas_Odoo!$B:$B, 0)), ""))</f>
        <v/>
      </c>
      <c r="S989" s="79">
        <f>IF(Q989="Sin Factura","",IFERROR(_xlfn.XLOOKUP(1, (Facturas_Odoo!$D:$D=A989) * (Facturas_Odoo!$K:$K=I989), Facturas_Odoo!$L:$L, ""), ""))</f>
        <v/>
      </c>
      <c r="T989" s="81">
        <f>IF(Q989="Sin Factura",0,IFERROR(_xlfn.XLOOKUP(1, (Facturas_Odoo!$D:$D=A989) * (Facturas_Odoo!$K:$K=I989), Facturas_Odoo!$M:$M, 0), 0))</f>
        <v/>
      </c>
      <c r="U989" s="79">
        <f>IF(Q989="Sin Factura",0,IFERROR(_xlfn.XLOOKUP(1, (Facturas_Odoo!$D:$D=A989) * (Facturas_Odoo!$K:$K=I989), Facturas_Odoo!$N:$N, 0), 0))</f>
        <v/>
      </c>
      <c r="V989" s="79">
        <f>IF(Q989="Sin Factura",0,IFERROR(_xlfn.XLOOKUP(1, (Facturas_Odoo!$D:$D=A989) * (Facturas_Odoo!$K:$K=I989), Facturas_Odoo!$O:$O, 0), 0))</f>
        <v/>
      </c>
      <c r="W989" s="81">
        <f>IF(Q989="Sin Factura",0,IFERROR(_xlfn.XLOOKUP(1, (Facturas_Odoo!$D:$D=A989) * (Facturas_Odoo!$K:$K=I989), Facturas_Odoo!$Q:$Q, 0), 0))</f>
        <v/>
      </c>
      <c r="X989" s="79">
        <f>IF(OR(Q989="Sin Factura",Q989=""),"",IFERROR(INDEX(Pagos_Odoo!$B:$B, MATCH(Q989, Pagos_Odoo!$I:$I, 0)), "Sin Pago"))</f>
        <v/>
      </c>
      <c r="Y989" s="79">
        <f>IF(X989="Sin Pago","",IFERROR(INDEX(Pagos_Odoo!$C:$C, MATCH(X989, Pagos_Odoo!$B:$B, 0)), ""))</f>
        <v/>
      </c>
      <c r="Z989" s="80">
        <f>IF(X989="Sin Pago","",IFERROR(INDEX(Pagos_Odoo!$A:$A, MATCH(X989, Pagos_Odoo!$B:$B, 0)), ""))</f>
        <v/>
      </c>
      <c r="AA989" s="79">
        <f>IF(X989="Sin Pago","",IFERROR(INDEX(Pagos_Odoo!$F:$F, MATCH(X989, Pagos_Odoo!$B:$B, 0)), ""))</f>
        <v/>
      </c>
      <c r="AB989" s="81">
        <f>IF(X989="Sin Pago",0,IFERROR(INDEX(Pagos_Odoo!$E:$E, MATCH(X989, Pagos_Odoo!$B:$B, 0)), 0))</f>
        <v/>
      </c>
      <c r="AC989" s="79">
        <f>IF(X989="Sin Pago","",IFERROR(INDEX(Pagos_Odoo!$G:$G, MATCH(X989, Pagos_Odoo!$B:$B, 0)), ""))</f>
        <v/>
      </c>
      <c r="AD989" s="82" t="n">
        <v>0</v>
      </c>
      <c r="AE989" s="82" t="n"/>
      <c r="AF989" s="82" t="n"/>
      <c r="AG989" s="82">
        <f>IF(AN989="","",AD989+AE989+AF989)</f>
        <v/>
      </c>
      <c r="AH989" s="81">
        <f>IF(AN989="","",P989*(1-AG989))</f>
        <v/>
      </c>
      <c r="AI989" s="81">
        <f>IF(AN989="","",IF(Q989="Sin Factura",0,IFERROR(INDEX(Facturas_Odoo!$H:$H, MATCH(Q989, Facturas_Odoo!$B:$B, 0)), 0)*(1-AG989)))</f>
        <v/>
      </c>
      <c r="AJ989" s="81">
        <f>IF(AN989="","",_xlfn.LET(idVenta, AN989&amp;"",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89" s="81">
        <f>IF(AN989="","",AH989-AJ989)</f>
        <v/>
      </c>
      <c r="AL989" s="81">
        <f>IF(AN989="","",IF(Q989="Sin Factura","",AI989-AJ989))</f>
        <v/>
      </c>
      <c r="AM989" s="81">
        <f>IF(AN989="","",IF(Q989="Sin Factura",0,P989-IFERROR(INDEX(Facturas_Odoo!$H:$H, MATCH(Q989, Facturas_Odoo!$B:$B, 0)), 0)))</f>
        <v/>
      </c>
      <c r="AN989" s="79">
        <f>IF(AND(A989="", J989=""), "", IF(A989&lt;&gt;"", VALUE(MID(A989,2,LEN(A989))), AN988))</f>
        <v/>
      </c>
      <c r="AO989" s="79">
        <f>IF(AN989="","",IF(AD989=0,"OK",_xlfn.LET(monedaPago, IF(AA989="","USD",AA989), limitePermitido, IFERROR(VLOOKUP(monedaPago, Configuración!$A$2:$B$3, 2, FALSE), 0.15), IF(AD989&gt;limitePermitido, "ALERTA: EXCESO (" &amp; TEXT(limitePermitido, "0%") &amp; " máx)", "OK"))))</f>
        <v/>
      </c>
      <c r="AP989" s="79">
        <f>IF(AN989="","",IF(AE989=0,"OK",_xlfn.LET(fechaPago, Z989, fechaFactura, R989, diasCredito, IF(E989="Pago inmediato", 0, IFERROR(VALUE(MID(E989, 1, SEARCH(" ", E989)-1)),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89" s="79">
        <f>IF(AN989="","",IF(AND(N989&gt;0, AG989&gt;0), IF(Configuración!$K$2="NO", "ALERTA: DESCUENTO DOBLE NO PERMITIDO", "OK"), "OK"))</f>
        <v/>
      </c>
      <c r="AR989" s="79">
        <f>IF(AN989="","",IF(OR(AO989&lt;&gt;"OK", AP989&lt;&gt;"OK", AQ989&lt;&gt;"OK"), "⚠️ REVISAR", "OK"))</f>
        <v/>
      </c>
    </row>
    <row r="990">
      <c r="A990" s="79">
        <f>IF('Ordenes_Odoo'!A990="","",'Ordenes_Odoo'!A990)</f>
        <v/>
      </c>
      <c r="B990" s="80">
        <f>IF('Ordenes_Odoo'!B990="","",'Ordenes_Odoo'!B990)</f>
        <v/>
      </c>
      <c r="C990" s="79">
        <f>IF('Ordenes_Odoo'!C990="","",'Ordenes_Odoo'!C990)</f>
        <v/>
      </c>
      <c r="D990" s="79">
        <f>IF('Ordenes_Odoo'!D990="","",'Ordenes_Odoo'!D990)</f>
        <v/>
      </c>
      <c r="E990" s="79">
        <f>IF('Ordenes_Odoo'!E990="","",'Ordenes_Odoo'!E990)</f>
        <v/>
      </c>
      <c r="F990" s="79">
        <f>IF('Ordenes_Odoo'!F990="","",'Ordenes_Odoo'!F990)</f>
        <v/>
      </c>
      <c r="G990" s="79">
        <f>IF('Ordenes_Odoo'!G990="","",'Ordenes_Odoo'!G990)</f>
        <v/>
      </c>
      <c r="H990" s="79">
        <f>IF('Ordenes_Odoo'!H990="","",'Ordenes_Odoo'!H990)</f>
        <v/>
      </c>
      <c r="I990" s="79">
        <f>IF('Ordenes_Odoo'!I990="","",'Ordenes_Odoo'!I990)</f>
        <v/>
      </c>
      <c r="J990" s="79">
        <f>IF('Ordenes_Odoo'!J990="","",'Ordenes_Odoo'!J990)</f>
        <v/>
      </c>
      <c r="K990" s="81">
        <f>IF('Ordenes_Odoo'!K990="","",'Ordenes_Odoo'!K990)</f>
        <v/>
      </c>
      <c r="L990" s="81">
        <f>IF('Ordenes_Odoo'!L990="","",'Ordenes_Odoo'!L990)</f>
        <v/>
      </c>
      <c r="M990" s="79">
        <f>IF('Ordenes_Odoo'!M990="","",'Ordenes_Odoo'!M990)</f>
        <v/>
      </c>
      <c r="N990" s="79">
        <f>IF('Ordenes_Odoo'!N990="","",'Ordenes_Odoo'!N990)</f>
        <v/>
      </c>
      <c r="O990" s="81">
        <f>IF('Ordenes_Odoo'!O990="","",'Ordenes_Odoo'!O990)</f>
        <v/>
      </c>
      <c r="P990" s="81">
        <f>IF('Ordenes_Odoo'!P990="","",'Ordenes_Odoo'!P990)</f>
        <v/>
      </c>
      <c r="Q990" s="79">
        <f>IF(A990="","",IFERROR(INDEX(Facturas_Odoo!$B:$B, MATCH(A990, Facturas_Odoo!$D:$D, 0)), "Sin Factura"))</f>
        <v/>
      </c>
      <c r="R990" s="80">
        <f>IF(Q990="Sin Factura","",IFERROR(INDEX(Facturas_Odoo!$A:$A, MATCH(Q990, Facturas_Odoo!$B:$B, 0)), ""))</f>
        <v/>
      </c>
      <c r="S990" s="79">
        <f>IF(Q990="Sin Factura","",IFERROR(_xlfn.XLOOKUP(1, (Facturas_Odoo!$D:$D=A990) * (Facturas_Odoo!$K:$K=I990), Facturas_Odoo!$L:$L, ""), ""))</f>
        <v/>
      </c>
      <c r="T990" s="81">
        <f>IF(Q990="Sin Factura",0,IFERROR(_xlfn.XLOOKUP(1, (Facturas_Odoo!$D:$D=A990) * (Facturas_Odoo!$K:$K=I990), Facturas_Odoo!$M:$M, 0), 0))</f>
        <v/>
      </c>
      <c r="U990" s="79">
        <f>IF(Q990="Sin Factura",0,IFERROR(_xlfn.XLOOKUP(1, (Facturas_Odoo!$D:$D=A990) * (Facturas_Odoo!$K:$K=I990), Facturas_Odoo!$N:$N, 0), 0))</f>
        <v/>
      </c>
      <c r="V990" s="79">
        <f>IF(Q990="Sin Factura",0,IFERROR(_xlfn.XLOOKUP(1, (Facturas_Odoo!$D:$D=A990) * (Facturas_Odoo!$K:$K=I990), Facturas_Odoo!$O:$O, 0), 0))</f>
        <v/>
      </c>
      <c r="W990" s="81">
        <f>IF(Q990="Sin Factura",0,IFERROR(_xlfn.XLOOKUP(1, (Facturas_Odoo!$D:$D=A990) * (Facturas_Odoo!$K:$K=I990), Facturas_Odoo!$Q:$Q, 0), 0))</f>
        <v/>
      </c>
      <c r="X990" s="79">
        <f>IF(OR(Q990="Sin Factura",Q990=""),"",IFERROR(INDEX(Pagos_Odoo!$B:$B, MATCH(Q990, Pagos_Odoo!$I:$I, 0)), "Sin Pago"))</f>
        <v/>
      </c>
      <c r="Y990" s="79">
        <f>IF(X990="Sin Pago","",IFERROR(INDEX(Pagos_Odoo!$C:$C, MATCH(X990, Pagos_Odoo!$B:$B, 0)), ""))</f>
        <v/>
      </c>
      <c r="Z990" s="80">
        <f>IF(X990="Sin Pago","",IFERROR(INDEX(Pagos_Odoo!$A:$A, MATCH(X990, Pagos_Odoo!$B:$B, 0)), ""))</f>
        <v/>
      </c>
      <c r="AA990" s="79">
        <f>IF(X990="Sin Pago","",IFERROR(INDEX(Pagos_Odoo!$F:$F, MATCH(X990, Pagos_Odoo!$B:$B, 0)), ""))</f>
        <v/>
      </c>
      <c r="AB990" s="81">
        <f>IF(X990="Sin Pago",0,IFERROR(INDEX(Pagos_Odoo!$E:$E, MATCH(X990, Pagos_Odoo!$B:$B, 0)), 0))</f>
        <v/>
      </c>
      <c r="AC990" s="79">
        <f>IF(X990="Sin Pago","",IFERROR(INDEX(Pagos_Odoo!$G:$G, MATCH(X990, Pagos_Odoo!$B:$B, 0)), ""))</f>
        <v/>
      </c>
      <c r="AD990" s="82" t="n">
        <v>0</v>
      </c>
      <c r="AE990" s="82" t="n"/>
      <c r="AF990" s="82" t="n"/>
      <c r="AG990" s="82">
        <f>IF(AN990="","",AD990+AE990+AF990)</f>
        <v/>
      </c>
      <c r="AH990" s="81">
        <f>IF(AN990="","",P990*(1-AG990))</f>
        <v/>
      </c>
      <c r="AI990" s="81">
        <f>IF(AN990="","",IF(Q990="Sin Factura",0,IFERROR(INDEX(Facturas_Odoo!$H:$H, MATCH(Q990, Facturas_Odoo!$B:$B, 0)), 0)*(1-AG990)))</f>
        <v/>
      </c>
      <c r="AJ990" s="81">
        <f>IF(AN990="","",_xlfn.LET(idVenta, AN990&amp;"",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90" s="81">
        <f>IF(AN990="","",AH990-AJ990)</f>
        <v/>
      </c>
      <c r="AL990" s="81">
        <f>IF(AN990="","",IF(Q990="Sin Factura","",AI990-AJ990))</f>
        <v/>
      </c>
      <c r="AM990" s="81">
        <f>IF(AN990="","",IF(Q990="Sin Factura",0,P990-IFERROR(INDEX(Facturas_Odoo!$H:$H, MATCH(Q990, Facturas_Odoo!$B:$B, 0)), 0)))</f>
        <v/>
      </c>
      <c r="AN990" s="79">
        <f>IF(AND(A990="", J990=""), "", IF(A990&lt;&gt;"", VALUE(MID(A990,2,LEN(A990))), AN989))</f>
        <v/>
      </c>
      <c r="AO990" s="79">
        <f>IF(AN990="","",IF(AD990=0,"OK",_xlfn.LET(monedaPago, IF(AA990="","USD",AA990), limitePermitido, IFERROR(VLOOKUP(monedaPago, Configuración!$A$2:$B$3, 2, FALSE), 0.15), IF(AD990&gt;limitePermitido, "ALERTA: EXCESO (" &amp; TEXT(limitePermitido, "0%") &amp; " máx)", "OK"))))</f>
        <v/>
      </c>
      <c r="AP990" s="79">
        <f>IF(AN990="","",IF(AE990=0,"OK",_xlfn.LET(fechaPago, Z990, fechaFactura, R990, diasCredito, IF(E990="Pago inmediato", 0, IFERROR(VALUE(MID(E990, 1, SEARCH(" ", E990)-1)),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90" s="79">
        <f>IF(AN990="","",IF(AND(N990&gt;0, AG990&gt;0), IF(Configuración!$K$2="NO", "ALERTA: DESCUENTO DOBLE NO PERMITIDO", "OK"), "OK"))</f>
        <v/>
      </c>
      <c r="AR990" s="79">
        <f>IF(AN990="","",IF(OR(AO990&lt;&gt;"OK", AP990&lt;&gt;"OK", AQ990&lt;&gt;"OK"), "⚠️ REVISAR", "OK"))</f>
        <v/>
      </c>
    </row>
    <row r="991">
      <c r="A991" s="79">
        <f>IF('Ordenes_Odoo'!A991="","",'Ordenes_Odoo'!A991)</f>
        <v/>
      </c>
      <c r="B991" s="80">
        <f>IF('Ordenes_Odoo'!B991="","",'Ordenes_Odoo'!B991)</f>
        <v/>
      </c>
      <c r="C991" s="79">
        <f>IF('Ordenes_Odoo'!C991="","",'Ordenes_Odoo'!C991)</f>
        <v/>
      </c>
      <c r="D991" s="79">
        <f>IF('Ordenes_Odoo'!D991="","",'Ordenes_Odoo'!D991)</f>
        <v/>
      </c>
      <c r="E991" s="79">
        <f>IF('Ordenes_Odoo'!E991="","",'Ordenes_Odoo'!E991)</f>
        <v/>
      </c>
      <c r="F991" s="79">
        <f>IF('Ordenes_Odoo'!F991="","",'Ordenes_Odoo'!F991)</f>
        <v/>
      </c>
      <c r="G991" s="79">
        <f>IF('Ordenes_Odoo'!G991="","",'Ordenes_Odoo'!G991)</f>
        <v/>
      </c>
      <c r="H991" s="79">
        <f>IF('Ordenes_Odoo'!H991="","",'Ordenes_Odoo'!H991)</f>
        <v/>
      </c>
      <c r="I991" s="79">
        <f>IF('Ordenes_Odoo'!I991="","",'Ordenes_Odoo'!I991)</f>
        <v/>
      </c>
      <c r="J991" s="79">
        <f>IF('Ordenes_Odoo'!J991="","",'Ordenes_Odoo'!J991)</f>
        <v/>
      </c>
      <c r="K991" s="81">
        <f>IF('Ordenes_Odoo'!K991="","",'Ordenes_Odoo'!K991)</f>
        <v/>
      </c>
      <c r="L991" s="81">
        <f>IF('Ordenes_Odoo'!L991="","",'Ordenes_Odoo'!L991)</f>
        <v/>
      </c>
      <c r="M991" s="79">
        <f>IF('Ordenes_Odoo'!M991="","",'Ordenes_Odoo'!M991)</f>
        <v/>
      </c>
      <c r="N991" s="79">
        <f>IF('Ordenes_Odoo'!N991="","",'Ordenes_Odoo'!N991)</f>
        <v/>
      </c>
      <c r="O991" s="81">
        <f>IF('Ordenes_Odoo'!O991="","",'Ordenes_Odoo'!O991)</f>
        <v/>
      </c>
      <c r="P991" s="81">
        <f>IF('Ordenes_Odoo'!P991="","",'Ordenes_Odoo'!P991)</f>
        <v/>
      </c>
      <c r="Q991" s="79">
        <f>IF(A991="","",IFERROR(INDEX(Facturas_Odoo!$B:$B, MATCH(A991, Facturas_Odoo!$D:$D, 0)), "Sin Factura"))</f>
        <v/>
      </c>
      <c r="R991" s="80">
        <f>IF(Q991="Sin Factura","",IFERROR(INDEX(Facturas_Odoo!$A:$A, MATCH(Q991, Facturas_Odoo!$B:$B, 0)), ""))</f>
        <v/>
      </c>
      <c r="S991" s="79">
        <f>IF(Q991="Sin Factura","",IFERROR(_xlfn.XLOOKUP(1, (Facturas_Odoo!$D:$D=A991) * (Facturas_Odoo!$K:$K=I991), Facturas_Odoo!$L:$L, ""), ""))</f>
        <v/>
      </c>
      <c r="T991" s="81">
        <f>IF(Q991="Sin Factura",0,IFERROR(_xlfn.XLOOKUP(1, (Facturas_Odoo!$D:$D=A991) * (Facturas_Odoo!$K:$K=I991), Facturas_Odoo!$M:$M, 0), 0))</f>
        <v/>
      </c>
      <c r="U991" s="79">
        <f>IF(Q991="Sin Factura",0,IFERROR(_xlfn.XLOOKUP(1, (Facturas_Odoo!$D:$D=A991) * (Facturas_Odoo!$K:$K=I991), Facturas_Odoo!$N:$N, 0), 0))</f>
        <v/>
      </c>
      <c r="V991" s="79">
        <f>IF(Q991="Sin Factura",0,IFERROR(_xlfn.XLOOKUP(1, (Facturas_Odoo!$D:$D=A991) * (Facturas_Odoo!$K:$K=I991), Facturas_Odoo!$O:$O, 0), 0))</f>
        <v/>
      </c>
      <c r="W991" s="81">
        <f>IF(Q991="Sin Factura",0,IFERROR(_xlfn.XLOOKUP(1, (Facturas_Odoo!$D:$D=A991) * (Facturas_Odoo!$K:$K=I991), Facturas_Odoo!$Q:$Q, 0), 0))</f>
        <v/>
      </c>
      <c r="X991" s="79">
        <f>IF(OR(Q991="Sin Factura",Q991=""),"",IFERROR(INDEX(Pagos_Odoo!$B:$B, MATCH(Q991, Pagos_Odoo!$I:$I, 0)), "Sin Pago"))</f>
        <v/>
      </c>
      <c r="Y991" s="79">
        <f>IF(X991="Sin Pago","",IFERROR(INDEX(Pagos_Odoo!$C:$C, MATCH(X991, Pagos_Odoo!$B:$B, 0)), ""))</f>
        <v/>
      </c>
      <c r="Z991" s="80">
        <f>IF(X991="Sin Pago","",IFERROR(INDEX(Pagos_Odoo!$A:$A, MATCH(X991, Pagos_Odoo!$B:$B, 0)), ""))</f>
        <v/>
      </c>
      <c r="AA991" s="79">
        <f>IF(X991="Sin Pago","",IFERROR(INDEX(Pagos_Odoo!$F:$F, MATCH(X991, Pagos_Odoo!$B:$B, 0)), ""))</f>
        <v/>
      </c>
      <c r="AB991" s="81">
        <f>IF(X991="Sin Pago",0,IFERROR(INDEX(Pagos_Odoo!$E:$E, MATCH(X991, Pagos_Odoo!$B:$B, 0)), 0))</f>
        <v/>
      </c>
      <c r="AC991" s="79">
        <f>IF(X991="Sin Pago","",IFERROR(INDEX(Pagos_Odoo!$G:$G, MATCH(X991, Pagos_Odoo!$B:$B, 0)), ""))</f>
        <v/>
      </c>
      <c r="AD991" s="82" t="n">
        <v>0</v>
      </c>
      <c r="AE991" s="82" t="n"/>
      <c r="AF991" s="82" t="n"/>
      <c r="AG991" s="82">
        <f>IF(AN991="","",AD991+AE991+AF991)</f>
        <v/>
      </c>
      <c r="AH991" s="81">
        <f>IF(AN991="","",P991*(1-AG991))</f>
        <v/>
      </c>
      <c r="AI991" s="81">
        <f>IF(AN991="","",IF(Q991="Sin Factura",0,IFERROR(INDEX(Facturas_Odoo!$H:$H, MATCH(Q991, Facturas_Odoo!$B:$B, 0)), 0)*(1-AG991)))</f>
        <v/>
      </c>
      <c r="AJ991" s="81">
        <f>IF(AN991="","",_xlfn.LET(idVenta, AN991&amp;"",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91" s="81">
        <f>IF(AN991="","",AH991-AJ991)</f>
        <v/>
      </c>
      <c r="AL991" s="81">
        <f>IF(AN991="","",IF(Q991="Sin Factura","",AI991-AJ991))</f>
        <v/>
      </c>
      <c r="AM991" s="81">
        <f>IF(AN991="","",IF(Q991="Sin Factura",0,P991-IFERROR(INDEX(Facturas_Odoo!$H:$H, MATCH(Q991, Facturas_Odoo!$B:$B, 0)), 0)))</f>
        <v/>
      </c>
      <c r="AN991" s="79">
        <f>IF(AND(A991="", J991=""), "", IF(A991&lt;&gt;"", VALUE(MID(A991,2,LEN(A991))), AN990))</f>
        <v/>
      </c>
      <c r="AO991" s="79">
        <f>IF(AN991="","",IF(AD991=0,"OK",_xlfn.LET(monedaPago, IF(AA991="","USD",AA991), limitePermitido, IFERROR(VLOOKUP(monedaPago, Configuración!$A$2:$B$3, 2, FALSE), 0.15), IF(AD991&gt;limitePermitido, "ALERTA: EXCESO (" &amp; TEXT(limitePermitido, "0%") &amp; " máx)", "OK"))))</f>
        <v/>
      </c>
      <c r="AP991" s="79">
        <f>IF(AN991="","",IF(AE991=0,"OK",_xlfn.LET(fechaPago, Z991, fechaFactura, R991, diasCredito, IF(E991="Pago inmediato", 0, IFERROR(VALUE(MID(E991, 1, SEARCH(" ", E991)-1)),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91" s="79">
        <f>IF(AN991="","",IF(AND(N991&gt;0, AG991&gt;0), IF(Configuración!$K$2="NO", "ALERTA: DESCUENTO DOBLE NO PERMITIDO", "OK"), "OK"))</f>
        <v/>
      </c>
      <c r="AR991" s="79">
        <f>IF(AN991="","",IF(OR(AO991&lt;&gt;"OK", AP991&lt;&gt;"OK", AQ991&lt;&gt;"OK"), "⚠️ REVISAR", "OK"))</f>
        <v/>
      </c>
    </row>
    <row r="992">
      <c r="A992" s="79">
        <f>IF('Ordenes_Odoo'!A992="","",'Ordenes_Odoo'!A992)</f>
        <v/>
      </c>
      <c r="B992" s="80">
        <f>IF('Ordenes_Odoo'!B992="","",'Ordenes_Odoo'!B992)</f>
        <v/>
      </c>
      <c r="C992" s="79">
        <f>IF('Ordenes_Odoo'!C992="","",'Ordenes_Odoo'!C992)</f>
        <v/>
      </c>
      <c r="D992" s="79">
        <f>IF('Ordenes_Odoo'!D992="","",'Ordenes_Odoo'!D992)</f>
        <v/>
      </c>
      <c r="E992" s="79">
        <f>IF('Ordenes_Odoo'!E992="","",'Ordenes_Odoo'!E992)</f>
        <v/>
      </c>
      <c r="F992" s="79">
        <f>IF('Ordenes_Odoo'!F992="","",'Ordenes_Odoo'!F992)</f>
        <v/>
      </c>
      <c r="G992" s="79">
        <f>IF('Ordenes_Odoo'!G992="","",'Ordenes_Odoo'!G992)</f>
        <v/>
      </c>
      <c r="H992" s="79">
        <f>IF('Ordenes_Odoo'!H992="","",'Ordenes_Odoo'!H992)</f>
        <v/>
      </c>
      <c r="I992" s="79">
        <f>IF('Ordenes_Odoo'!I992="","",'Ordenes_Odoo'!I992)</f>
        <v/>
      </c>
      <c r="J992" s="79">
        <f>IF('Ordenes_Odoo'!J992="","",'Ordenes_Odoo'!J992)</f>
        <v/>
      </c>
      <c r="K992" s="81">
        <f>IF('Ordenes_Odoo'!K992="","",'Ordenes_Odoo'!K992)</f>
        <v/>
      </c>
      <c r="L992" s="81">
        <f>IF('Ordenes_Odoo'!L992="","",'Ordenes_Odoo'!L992)</f>
        <v/>
      </c>
      <c r="M992" s="79">
        <f>IF('Ordenes_Odoo'!M992="","",'Ordenes_Odoo'!M992)</f>
        <v/>
      </c>
      <c r="N992" s="79">
        <f>IF('Ordenes_Odoo'!N992="","",'Ordenes_Odoo'!N992)</f>
        <v/>
      </c>
      <c r="O992" s="81">
        <f>IF('Ordenes_Odoo'!O992="","",'Ordenes_Odoo'!O992)</f>
        <v/>
      </c>
      <c r="P992" s="81">
        <f>IF('Ordenes_Odoo'!P992="","",'Ordenes_Odoo'!P992)</f>
        <v/>
      </c>
      <c r="Q992" s="79">
        <f>IF(A992="","",IFERROR(INDEX(Facturas_Odoo!$B:$B, MATCH(A992, Facturas_Odoo!$D:$D, 0)), "Sin Factura"))</f>
        <v/>
      </c>
      <c r="R992" s="80">
        <f>IF(Q992="Sin Factura","",IFERROR(INDEX(Facturas_Odoo!$A:$A, MATCH(Q992, Facturas_Odoo!$B:$B, 0)), ""))</f>
        <v/>
      </c>
      <c r="S992" s="79">
        <f>IF(Q992="Sin Factura","",IFERROR(_xlfn.XLOOKUP(1, (Facturas_Odoo!$D:$D=A992) * (Facturas_Odoo!$K:$K=I992), Facturas_Odoo!$L:$L, ""), ""))</f>
        <v/>
      </c>
      <c r="T992" s="81">
        <f>IF(Q992="Sin Factura",0,IFERROR(_xlfn.XLOOKUP(1, (Facturas_Odoo!$D:$D=A992) * (Facturas_Odoo!$K:$K=I992), Facturas_Odoo!$M:$M, 0), 0))</f>
        <v/>
      </c>
      <c r="U992" s="79">
        <f>IF(Q992="Sin Factura",0,IFERROR(_xlfn.XLOOKUP(1, (Facturas_Odoo!$D:$D=A992) * (Facturas_Odoo!$K:$K=I992), Facturas_Odoo!$N:$N, 0), 0))</f>
        <v/>
      </c>
      <c r="V992" s="79">
        <f>IF(Q992="Sin Factura",0,IFERROR(_xlfn.XLOOKUP(1, (Facturas_Odoo!$D:$D=A992) * (Facturas_Odoo!$K:$K=I992), Facturas_Odoo!$O:$O, 0), 0))</f>
        <v/>
      </c>
      <c r="W992" s="81">
        <f>IF(Q992="Sin Factura",0,IFERROR(_xlfn.XLOOKUP(1, (Facturas_Odoo!$D:$D=A992) * (Facturas_Odoo!$K:$K=I992), Facturas_Odoo!$Q:$Q, 0), 0))</f>
        <v/>
      </c>
      <c r="X992" s="79">
        <f>IF(OR(Q992="Sin Factura",Q992=""),"",IFERROR(INDEX(Pagos_Odoo!$B:$B, MATCH(Q992, Pagos_Odoo!$I:$I, 0)), "Sin Pago"))</f>
        <v/>
      </c>
      <c r="Y992" s="79">
        <f>IF(X992="Sin Pago","",IFERROR(INDEX(Pagos_Odoo!$C:$C, MATCH(X992, Pagos_Odoo!$B:$B, 0)), ""))</f>
        <v/>
      </c>
      <c r="Z992" s="80">
        <f>IF(X992="Sin Pago","",IFERROR(INDEX(Pagos_Odoo!$A:$A, MATCH(X992, Pagos_Odoo!$B:$B, 0)), ""))</f>
        <v/>
      </c>
      <c r="AA992" s="79">
        <f>IF(X992="Sin Pago","",IFERROR(INDEX(Pagos_Odoo!$F:$F, MATCH(X992, Pagos_Odoo!$B:$B, 0)), ""))</f>
        <v/>
      </c>
      <c r="AB992" s="81">
        <f>IF(X992="Sin Pago",0,IFERROR(INDEX(Pagos_Odoo!$E:$E, MATCH(X992, Pagos_Odoo!$B:$B, 0)), 0))</f>
        <v/>
      </c>
      <c r="AC992" s="79">
        <f>IF(X992="Sin Pago","",IFERROR(INDEX(Pagos_Odoo!$G:$G, MATCH(X992, Pagos_Odoo!$B:$B, 0)), ""))</f>
        <v/>
      </c>
      <c r="AD992" s="82" t="n">
        <v>0</v>
      </c>
      <c r="AE992" s="82" t="n"/>
      <c r="AF992" s="82" t="n"/>
      <c r="AG992" s="82">
        <f>IF(AN992="","",AD992+AE992+AF992)</f>
        <v/>
      </c>
      <c r="AH992" s="81">
        <f>IF(AN992="","",P992*(1-AG992))</f>
        <v/>
      </c>
      <c r="AI992" s="81">
        <f>IF(AN992="","",IF(Q992="Sin Factura",0,IFERROR(INDEX(Facturas_Odoo!$H:$H, MATCH(Q992, Facturas_Odoo!$B:$B, 0)), 0)*(1-AG992)))</f>
        <v/>
      </c>
      <c r="AJ992" s="81">
        <f>IF(AN992="","",_xlfn.LET(idVenta, AN992&amp;"",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92" s="81">
        <f>IF(AN992="","",AH992-AJ992)</f>
        <v/>
      </c>
      <c r="AL992" s="81">
        <f>IF(AN992="","",IF(Q992="Sin Factura","",AI992-AJ992))</f>
        <v/>
      </c>
      <c r="AM992" s="81">
        <f>IF(AN992="","",IF(Q992="Sin Factura",0,P992-IFERROR(INDEX(Facturas_Odoo!$H:$H, MATCH(Q992, Facturas_Odoo!$B:$B, 0)), 0)))</f>
        <v/>
      </c>
      <c r="AN992" s="79">
        <f>IF(AND(A992="", J992=""), "", IF(A992&lt;&gt;"", VALUE(MID(A992,2,LEN(A992))), AN991))</f>
        <v/>
      </c>
      <c r="AO992" s="79">
        <f>IF(AN992="","",IF(AD992=0,"OK",_xlfn.LET(monedaPago, IF(AA992="","USD",AA992), limitePermitido, IFERROR(VLOOKUP(monedaPago, Configuración!$A$2:$B$3, 2, FALSE), 0.15), IF(AD992&gt;limitePermitido, "ALERTA: EXCESO (" &amp; TEXT(limitePermitido, "0%") &amp; " máx)", "OK"))))</f>
        <v/>
      </c>
      <c r="AP992" s="79">
        <f>IF(AN992="","",IF(AE992=0,"OK",_xlfn.LET(fechaPago, Z992, fechaFactura, R992, diasCredito, IF(E992="Pago inmediato", 0, IFERROR(VALUE(MID(E992, 1, SEARCH(" ", E992)-1)),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92" s="79">
        <f>IF(AN992="","",IF(AND(N992&gt;0, AG992&gt;0), IF(Configuración!$K$2="NO", "ALERTA: DESCUENTO DOBLE NO PERMITIDO", "OK"), "OK"))</f>
        <v/>
      </c>
      <c r="AR992" s="79">
        <f>IF(AN992="","",IF(OR(AO992&lt;&gt;"OK", AP992&lt;&gt;"OK", AQ992&lt;&gt;"OK"), "⚠️ REVISAR", "OK"))</f>
        <v/>
      </c>
    </row>
    <row r="993">
      <c r="A993" s="79">
        <f>IF('Ordenes_Odoo'!A993="","",'Ordenes_Odoo'!A993)</f>
        <v/>
      </c>
      <c r="B993" s="80">
        <f>IF('Ordenes_Odoo'!B993="","",'Ordenes_Odoo'!B993)</f>
        <v/>
      </c>
      <c r="C993" s="79">
        <f>IF('Ordenes_Odoo'!C993="","",'Ordenes_Odoo'!C993)</f>
        <v/>
      </c>
      <c r="D993" s="79">
        <f>IF('Ordenes_Odoo'!D993="","",'Ordenes_Odoo'!D993)</f>
        <v/>
      </c>
      <c r="E993" s="79">
        <f>IF('Ordenes_Odoo'!E993="","",'Ordenes_Odoo'!E993)</f>
        <v/>
      </c>
      <c r="F993" s="79">
        <f>IF('Ordenes_Odoo'!F993="","",'Ordenes_Odoo'!F993)</f>
        <v/>
      </c>
      <c r="G993" s="79">
        <f>IF('Ordenes_Odoo'!G993="","",'Ordenes_Odoo'!G993)</f>
        <v/>
      </c>
      <c r="H993" s="79">
        <f>IF('Ordenes_Odoo'!H993="","",'Ordenes_Odoo'!H993)</f>
        <v/>
      </c>
      <c r="I993" s="79">
        <f>IF('Ordenes_Odoo'!I993="","",'Ordenes_Odoo'!I993)</f>
        <v/>
      </c>
      <c r="J993" s="79">
        <f>IF('Ordenes_Odoo'!J993="","",'Ordenes_Odoo'!J993)</f>
        <v/>
      </c>
      <c r="K993" s="81">
        <f>IF('Ordenes_Odoo'!K993="","",'Ordenes_Odoo'!K993)</f>
        <v/>
      </c>
      <c r="L993" s="81">
        <f>IF('Ordenes_Odoo'!L993="","",'Ordenes_Odoo'!L993)</f>
        <v/>
      </c>
      <c r="M993" s="79">
        <f>IF('Ordenes_Odoo'!M993="","",'Ordenes_Odoo'!M993)</f>
        <v/>
      </c>
      <c r="N993" s="79">
        <f>IF('Ordenes_Odoo'!N993="","",'Ordenes_Odoo'!N993)</f>
        <v/>
      </c>
      <c r="O993" s="81">
        <f>IF('Ordenes_Odoo'!O993="","",'Ordenes_Odoo'!O993)</f>
        <v/>
      </c>
      <c r="P993" s="81">
        <f>IF('Ordenes_Odoo'!P993="","",'Ordenes_Odoo'!P993)</f>
        <v/>
      </c>
      <c r="Q993" s="79">
        <f>IF(A993="","",IFERROR(INDEX(Facturas_Odoo!$B:$B, MATCH(A993, Facturas_Odoo!$D:$D, 0)), "Sin Factura"))</f>
        <v/>
      </c>
      <c r="R993" s="80">
        <f>IF(Q993="Sin Factura","",IFERROR(INDEX(Facturas_Odoo!$A:$A, MATCH(Q993, Facturas_Odoo!$B:$B, 0)), ""))</f>
        <v/>
      </c>
      <c r="S993" s="79">
        <f>IF(Q993="Sin Factura","",IFERROR(_xlfn.XLOOKUP(1, (Facturas_Odoo!$D:$D=A993) * (Facturas_Odoo!$K:$K=I993), Facturas_Odoo!$L:$L, ""), ""))</f>
        <v/>
      </c>
      <c r="T993" s="81">
        <f>IF(Q993="Sin Factura",0,IFERROR(_xlfn.XLOOKUP(1, (Facturas_Odoo!$D:$D=A993) * (Facturas_Odoo!$K:$K=I993), Facturas_Odoo!$M:$M, 0), 0))</f>
        <v/>
      </c>
      <c r="U993" s="79">
        <f>IF(Q993="Sin Factura",0,IFERROR(_xlfn.XLOOKUP(1, (Facturas_Odoo!$D:$D=A993) * (Facturas_Odoo!$K:$K=I993), Facturas_Odoo!$N:$N, 0), 0))</f>
        <v/>
      </c>
      <c r="V993" s="79">
        <f>IF(Q993="Sin Factura",0,IFERROR(_xlfn.XLOOKUP(1, (Facturas_Odoo!$D:$D=A993) * (Facturas_Odoo!$K:$K=I993), Facturas_Odoo!$O:$O, 0), 0))</f>
        <v/>
      </c>
      <c r="W993" s="81">
        <f>IF(Q993="Sin Factura",0,IFERROR(_xlfn.XLOOKUP(1, (Facturas_Odoo!$D:$D=A993) * (Facturas_Odoo!$K:$K=I993), Facturas_Odoo!$Q:$Q, 0), 0))</f>
        <v/>
      </c>
      <c r="X993" s="79">
        <f>IF(OR(Q993="Sin Factura",Q993=""),"",IFERROR(INDEX(Pagos_Odoo!$B:$B, MATCH(Q993, Pagos_Odoo!$I:$I, 0)), "Sin Pago"))</f>
        <v/>
      </c>
      <c r="Y993" s="79">
        <f>IF(X993="Sin Pago","",IFERROR(INDEX(Pagos_Odoo!$C:$C, MATCH(X993, Pagos_Odoo!$B:$B, 0)), ""))</f>
        <v/>
      </c>
      <c r="Z993" s="80">
        <f>IF(X993="Sin Pago","",IFERROR(INDEX(Pagos_Odoo!$A:$A, MATCH(X993, Pagos_Odoo!$B:$B, 0)), ""))</f>
        <v/>
      </c>
      <c r="AA993" s="79">
        <f>IF(X993="Sin Pago","",IFERROR(INDEX(Pagos_Odoo!$F:$F, MATCH(X993, Pagos_Odoo!$B:$B, 0)), ""))</f>
        <v/>
      </c>
      <c r="AB993" s="81">
        <f>IF(X993="Sin Pago",0,IFERROR(INDEX(Pagos_Odoo!$E:$E, MATCH(X993, Pagos_Odoo!$B:$B, 0)), 0))</f>
        <v/>
      </c>
      <c r="AC993" s="79">
        <f>IF(X993="Sin Pago","",IFERROR(INDEX(Pagos_Odoo!$G:$G, MATCH(X993, Pagos_Odoo!$B:$B, 0)), ""))</f>
        <v/>
      </c>
      <c r="AD993" s="82" t="n">
        <v>0</v>
      </c>
      <c r="AE993" s="82" t="n"/>
      <c r="AF993" s="82" t="n"/>
      <c r="AG993" s="82">
        <f>IF(AN993="","",AD993+AE993+AF993)</f>
        <v/>
      </c>
      <c r="AH993" s="81">
        <f>IF(AN993="","",P993*(1-AG993))</f>
        <v/>
      </c>
      <c r="AI993" s="81">
        <f>IF(AN993="","",IF(Q993="Sin Factura",0,IFERROR(INDEX(Facturas_Odoo!$H:$H, MATCH(Q993, Facturas_Odoo!$B:$B, 0)), 0)*(1-AG993)))</f>
        <v/>
      </c>
      <c r="AJ993" s="81">
        <f>IF(AN993="","",_xlfn.LET(idVenta, AN993&amp;"",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93" s="81">
        <f>IF(AN993="","",AH993-AJ993)</f>
        <v/>
      </c>
      <c r="AL993" s="81">
        <f>IF(AN993="","",IF(Q993="Sin Factura","",AI993-AJ993))</f>
        <v/>
      </c>
      <c r="AM993" s="81">
        <f>IF(AN993="","",IF(Q993="Sin Factura",0,P993-IFERROR(INDEX(Facturas_Odoo!$H:$H, MATCH(Q993, Facturas_Odoo!$B:$B, 0)), 0)))</f>
        <v/>
      </c>
      <c r="AN993" s="79">
        <f>IF(AND(A993="", J993=""), "", IF(A993&lt;&gt;"", VALUE(MID(A993,2,LEN(A993))), AN992))</f>
        <v/>
      </c>
      <c r="AO993" s="79">
        <f>IF(AN993="","",IF(AD993=0,"OK",_xlfn.LET(monedaPago, IF(AA993="","USD",AA993), limitePermitido, IFERROR(VLOOKUP(monedaPago, Configuración!$A$2:$B$3, 2, FALSE), 0.15), IF(AD993&gt;limitePermitido, "ALERTA: EXCESO (" &amp; TEXT(limitePermitido, "0%") &amp; " máx)", "OK"))))</f>
        <v/>
      </c>
      <c r="AP993" s="79">
        <f>IF(AN993="","",IF(AE993=0,"OK",_xlfn.LET(fechaPago, Z993, fechaFactura, R993, diasCredito, IF(E993="Pago inmediato", 0, IFERROR(VALUE(MID(E993, 1, SEARCH(" ", E993)-1)),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93" s="79">
        <f>IF(AN993="","",IF(AND(N993&gt;0, AG993&gt;0), IF(Configuración!$K$2="NO", "ALERTA: DESCUENTO DOBLE NO PERMITIDO", "OK"), "OK"))</f>
        <v/>
      </c>
      <c r="AR993" s="79">
        <f>IF(AN993="","",IF(OR(AO993&lt;&gt;"OK", AP993&lt;&gt;"OK", AQ993&lt;&gt;"OK"), "⚠️ REVISAR", "OK"))</f>
        <v/>
      </c>
    </row>
    <row r="994">
      <c r="A994" s="79">
        <f>IF('Ordenes_Odoo'!A994="","",'Ordenes_Odoo'!A994)</f>
        <v/>
      </c>
      <c r="B994" s="80">
        <f>IF('Ordenes_Odoo'!B994="","",'Ordenes_Odoo'!B994)</f>
        <v/>
      </c>
      <c r="C994" s="79">
        <f>IF('Ordenes_Odoo'!C994="","",'Ordenes_Odoo'!C994)</f>
        <v/>
      </c>
      <c r="D994" s="79">
        <f>IF('Ordenes_Odoo'!D994="","",'Ordenes_Odoo'!D994)</f>
        <v/>
      </c>
      <c r="E994" s="79">
        <f>IF('Ordenes_Odoo'!E994="","",'Ordenes_Odoo'!E994)</f>
        <v/>
      </c>
      <c r="F994" s="79">
        <f>IF('Ordenes_Odoo'!F994="","",'Ordenes_Odoo'!F994)</f>
        <v/>
      </c>
      <c r="G994" s="79">
        <f>IF('Ordenes_Odoo'!G994="","",'Ordenes_Odoo'!G994)</f>
        <v/>
      </c>
      <c r="H994" s="79">
        <f>IF('Ordenes_Odoo'!H994="","",'Ordenes_Odoo'!H994)</f>
        <v/>
      </c>
      <c r="I994" s="79">
        <f>IF('Ordenes_Odoo'!I994="","",'Ordenes_Odoo'!I994)</f>
        <v/>
      </c>
      <c r="J994" s="79">
        <f>IF('Ordenes_Odoo'!J994="","",'Ordenes_Odoo'!J994)</f>
        <v/>
      </c>
      <c r="K994" s="81">
        <f>IF('Ordenes_Odoo'!K994="","",'Ordenes_Odoo'!K994)</f>
        <v/>
      </c>
      <c r="L994" s="81">
        <f>IF('Ordenes_Odoo'!L994="","",'Ordenes_Odoo'!L994)</f>
        <v/>
      </c>
      <c r="M994" s="79">
        <f>IF('Ordenes_Odoo'!M994="","",'Ordenes_Odoo'!M994)</f>
        <v/>
      </c>
      <c r="N994" s="79">
        <f>IF('Ordenes_Odoo'!N994="","",'Ordenes_Odoo'!N994)</f>
        <v/>
      </c>
      <c r="O994" s="81">
        <f>IF('Ordenes_Odoo'!O994="","",'Ordenes_Odoo'!O994)</f>
        <v/>
      </c>
      <c r="P994" s="81">
        <f>IF('Ordenes_Odoo'!P994="","",'Ordenes_Odoo'!P994)</f>
        <v/>
      </c>
      <c r="Q994" s="79">
        <f>IF(A994="","",IFERROR(INDEX(Facturas_Odoo!$B:$B, MATCH(A994, Facturas_Odoo!$D:$D, 0)), "Sin Factura"))</f>
        <v/>
      </c>
      <c r="R994" s="80">
        <f>IF(Q994="Sin Factura","",IFERROR(INDEX(Facturas_Odoo!$A:$A, MATCH(Q994, Facturas_Odoo!$B:$B, 0)), ""))</f>
        <v/>
      </c>
      <c r="S994" s="79">
        <f>IF(Q994="Sin Factura","",IFERROR(_xlfn.XLOOKUP(1, (Facturas_Odoo!$D:$D=A994) * (Facturas_Odoo!$K:$K=I994), Facturas_Odoo!$L:$L, ""), ""))</f>
        <v/>
      </c>
      <c r="T994" s="81">
        <f>IF(Q994="Sin Factura",0,IFERROR(_xlfn.XLOOKUP(1, (Facturas_Odoo!$D:$D=A994) * (Facturas_Odoo!$K:$K=I994), Facturas_Odoo!$M:$M, 0), 0))</f>
        <v/>
      </c>
      <c r="U994" s="79">
        <f>IF(Q994="Sin Factura",0,IFERROR(_xlfn.XLOOKUP(1, (Facturas_Odoo!$D:$D=A994) * (Facturas_Odoo!$K:$K=I994), Facturas_Odoo!$N:$N, 0), 0))</f>
        <v/>
      </c>
      <c r="V994" s="79">
        <f>IF(Q994="Sin Factura",0,IFERROR(_xlfn.XLOOKUP(1, (Facturas_Odoo!$D:$D=A994) * (Facturas_Odoo!$K:$K=I994), Facturas_Odoo!$O:$O, 0), 0))</f>
        <v/>
      </c>
      <c r="W994" s="81">
        <f>IF(Q994="Sin Factura",0,IFERROR(_xlfn.XLOOKUP(1, (Facturas_Odoo!$D:$D=A994) * (Facturas_Odoo!$K:$K=I994), Facturas_Odoo!$Q:$Q, 0), 0))</f>
        <v/>
      </c>
      <c r="X994" s="79">
        <f>IF(OR(Q994="Sin Factura",Q994=""),"",IFERROR(INDEX(Pagos_Odoo!$B:$B, MATCH(Q994, Pagos_Odoo!$I:$I, 0)), "Sin Pago"))</f>
        <v/>
      </c>
      <c r="Y994" s="79">
        <f>IF(X994="Sin Pago","",IFERROR(INDEX(Pagos_Odoo!$C:$C, MATCH(X994, Pagos_Odoo!$B:$B, 0)), ""))</f>
        <v/>
      </c>
      <c r="Z994" s="80">
        <f>IF(X994="Sin Pago","",IFERROR(INDEX(Pagos_Odoo!$A:$A, MATCH(X994, Pagos_Odoo!$B:$B, 0)), ""))</f>
        <v/>
      </c>
      <c r="AA994" s="79">
        <f>IF(X994="Sin Pago","",IFERROR(INDEX(Pagos_Odoo!$F:$F, MATCH(X994, Pagos_Odoo!$B:$B, 0)), ""))</f>
        <v/>
      </c>
      <c r="AB994" s="81">
        <f>IF(X994="Sin Pago",0,IFERROR(INDEX(Pagos_Odoo!$E:$E, MATCH(X994, Pagos_Odoo!$B:$B, 0)), 0))</f>
        <v/>
      </c>
      <c r="AC994" s="79">
        <f>IF(X994="Sin Pago","",IFERROR(INDEX(Pagos_Odoo!$G:$G, MATCH(X994, Pagos_Odoo!$B:$B, 0)), ""))</f>
        <v/>
      </c>
      <c r="AD994" s="82" t="n">
        <v>0</v>
      </c>
      <c r="AE994" s="82" t="n"/>
      <c r="AF994" s="82" t="n"/>
      <c r="AG994" s="82">
        <f>IF(AN994="","",AD994+AE994+AF994)</f>
        <v/>
      </c>
      <c r="AH994" s="81">
        <f>IF(AN994="","",P994*(1-AG994))</f>
        <v/>
      </c>
      <c r="AI994" s="81">
        <f>IF(AN994="","",IF(Q994="Sin Factura",0,IFERROR(INDEX(Facturas_Odoo!$H:$H, MATCH(Q994, Facturas_Odoo!$B:$B, 0)), 0)*(1-AG994)))</f>
        <v/>
      </c>
      <c r="AJ994" s="81">
        <f>IF(AN994="","",_xlfn.LET(idVenta, AN994&amp;"",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94" s="81">
        <f>IF(AN994="","",AH994-AJ994)</f>
        <v/>
      </c>
      <c r="AL994" s="81">
        <f>IF(AN994="","",IF(Q994="Sin Factura","",AI994-AJ994))</f>
        <v/>
      </c>
      <c r="AM994" s="81">
        <f>IF(AN994="","",IF(Q994="Sin Factura",0,P994-IFERROR(INDEX(Facturas_Odoo!$H:$H, MATCH(Q994, Facturas_Odoo!$B:$B, 0)), 0)))</f>
        <v/>
      </c>
      <c r="AN994" s="79">
        <f>IF(AND(A994="", J994=""), "", IF(A994&lt;&gt;"", VALUE(MID(A994,2,LEN(A994))), AN993))</f>
        <v/>
      </c>
      <c r="AO994" s="79">
        <f>IF(AN994="","",IF(AD994=0,"OK",_xlfn.LET(monedaPago, IF(AA994="","USD",AA994), limitePermitido, IFERROR(VLOOKUP(monedaPago, Configuración!$A$2:$B$3, 2, FALSE), 0.15), IF(AD994&gt;limitePermitido, "ALERTA: EXCESO (" &amp; TEXT(limitePermitido, "0%") &amp; " máx)", "OK"))))</f>
        <v/>
      </c>
      <c r="AP994" s="79">
        <f>IF(AN994="","",IF(AE994=0,"OK",_xlfn.LET(fechaPago, Z994, fechaFactura, R994, diasCredito, IF(E994="Pago inmediato", 0, IFERROR(VALUE(MID(E994, 1, SEARCH(" ", E994)-1)),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94" s="79">
        <f>IF(AN994="","",IF(AND(N994&gt;0, AG994&gt;0), IF(Configuración!$K$2="NO", "ALERTA: DESCUENTO DOBLE NO PERMITIDO", "OK"), "OK"))</f>
        <v/>
      </c>
      <c r="AR994" s="79">
        <f>IF(AN994="","",IF(OR(AO994&lt;&gt;"OK", AP994&lt;&gt;"OK", AQ994&lt;&gt;"OK"), "⚠️ REVISAR", "OK"))</f>
        <v/>
      </c>
    </row>
    <row r="995">
      <c r="A995" s="79">
        <f>IF('Ordenes_Odoo'!A995="","",'Ordenes_Odoo'!A995)</f>
        <v/>
      </c>
      <c r="B995" s="80">
        <f>IF('Ordenes_Odoo'!B995="","",'Ordenes_Odoo'!B995)</f>
        <v/>
      </c>
      <c r="C995" s="79">
        <f>IF('Ordenes_Odoo'!C995="","",'Ordenes_Odoo'!C995)</f>
        <v/>
      </c>
      <c r="D995" s="79">
        <f>IF('Ordenes_Odoo'!D995="","",'Ordenes_Odoo'!D995)</f>
        <v/>
      </c>
      <c r="E995" s="79">
        <f>IF('Ordenes_Odoo'!E995="","",'Ordenes_Odoo'!E995)</f>
        <v/>
      </c>
      <c r="F995" s="79">
        <f>IF('Ordenes_Odoo'!F995="","",'Ordenes_Odoo'!F995)</f>
        <v/>
      </c>
      <c r="G995" s="79">
        <f>IF('Ordenes_Odoo'!G995="","",'Ordenes_Odoo'!G995)</f>
        <v/>
      </c>
      <c r="H995" s="79">
        <f>IF('Ordenes_Odoo'!H995="","",'Ordenes_Odoo'!H995)</f>
        <v/>
      </c>
      <c r="I995" s="79">
        <f>IF('Ordenes_Odoo'!I995="","",'Ordenes_Odoo'!I995)</f>
        <v/>
      </c>
      <c r="J995" s="79">
        <f>IF('Ordenes_Odoo'!J995="","",'Ordenes_Odoo'!J995)</f>
        <v/>
      </c>
      <c r="K995" s="81">
        <f>IF('Ordenes_Odoo'!K995="","",'Ordenes_Odoo'!K995)</f>
        <v/>
      </c>
      <c r="L995" s="81">
        <f>IF('Ordenes_Odoo'!L995="","",'Ordenes_Odoo'!L995)</f>
        <v/>
      </c>
      <c r="M995" s="79">
        <f>IF('Ordenes_Odoo'!M995="","",'Ordenes_Odoo'!M995)</f>
        <v/>
      </c>
      <c r="N995" s="79">
        <f>IF('Ordenes_Odoo'!N995="","",'Ordenes_Odoo'!N995)</f>
        <v/>
      </c>
      <c r="O995" s="81">
        <f>IF('Ordenes_Odoo'!O995="","",'Ordenes_Odoo'!O995)</f>
        <v/>
      </c>
      <c r="P995" s="81">
        <f>IF('Ordenes_Odoo'!P995="","",'Ordenes_Odoo'!P995)</f>
        <v/>
      </c>
      <c r="Q995" s="79">
        <f>IF(A995="","",IFERROR(INDEX(Facturas_Odoo!$B:$B, MATCH(A995, Facturas_Odoo!$D:$D, 0)), "Sin Factura"))</f>
        <v/>
      </c>
      <c r="R995" s="80">
        <f>IF(Q995="Sin Factura","",IFERROR(INDEX(Facturas_Odoo!$A:$A, MATCH(Q995, Facturas_Odoo!$B:$B, 0)), ""))</f>
        <v/>
      </c>
      <c r="S995" s="79">
        <f>IF(Q995="Sin Factura","",IFERROR(_xlfn.XLOOKUP(1, (Facturas_Odoo!$D:$D=A995) * (Facturas_Odoo!$K:$K=I995), Facturas_Odoo!$L:$L, ""), ""))</f>
        <v/>
      </c>
      <c r="T995" s="81">
        <f>IF(Q995="Sin Factura",0,IFERROR(_xlfn.XLOOKUP(1, (Facturas_Odoo!$D:$D=A995) * (Facturas_Odoo!$K:$K=I995), Facturas_Odoo!$M:$M, 0), 0))</f>
        <v/>
      </c>
      <c r="U995" s="79">
        <f>IF(Q995="Sin Factura",0,IFERROR(_xlfn.XLOOKUP(1, (Facturas_Odoo!$D:$D=A995) * (Facturas_Odoo!$K:$K=I995), Facturas_Odoo!$N:$N, 0), 0))</f>
        <v/>
      </c>
      <c r="V995" s="79">
        <f>IF(Q995="Sin Factura",0,IFERROR(_xlfn.XLOOKUP(1, (Facturas_Odoo!$D:$D=A995) * (Facturas_Odoo!$K:$K=I995), Facturas_Odoo!$O:$O, 0), 0))</f>
        <v/>
      </c>
      <c r="W995" s="81">
        <f>IF(Q995="Sin Factura",0,IFERROR(_xlfn.XLOOKUP(1, (Facturas_Odoo!$D:$D=A995) * (Facturas_Odoo!$K:$K=I995), Facturas_Odoo!$Q:$Q, 0), 0))</f>
        <v/>
      </c>
      <c r="X995" s="79">
        <f>IF(OR(Q995="Sin Factura",Q995=""),"",IFERROR(INDEX(Pagos_Odoo!$B:$B, MATCH(Q995, Pagos_Odoo!$I:$I, 0)), "Sin Pago"))</f>
        <v/>
      </c>
      <c r="Y995" s="79">
        <f>IF(X995="Sin Pago","",IFERROR(INDEX(Pagos_Odoo!$C:$C, MATCH(X995, Pagos_Odoo!$B:$B, 0)), ""))</f>
        <v/>
      </c>
      <c r="Z995" s="80">
        <f>IF(X995="Sin Pago","",IFERROR(INDEX(Pagos_Odoo!$A:$A, MATCH(X995, Pagos_Odoo!$B:$B, 0)), ""))</f>
        <v/>
      </c>
      <c r="AA995" s="79">
        <f>IF(X995="Sin Pago","",IFERROR(INDEX(Pagos_Odoo!$F:$F, MATCH(X995, Pagos_Odoo!$B:$B, 0)), ""))</f>
        <v/>
      </c>
      <c r="AB995" s="81">
        <f>IF(X995="Sin Pago",0,IFERROR(INDEX(Pagos_Odoo!$E:$E, MATCH(X995, Pagos_Odoo!$B:$B, 0)), 0))</f>
        <v/>
      </c>
      <c r="AC995" s="79">
        <f>IF(X995="Sin Pago","",IFERROR(INDEX(Pagos_Odoo!$G:$G, MATCH(X995, Pagos_Odoo!$B:$B, 0)), ""))</f>
        <v/>
      </c>
      <c r="AD995" s="82" t="n">
        <v>0</v>
      </c>
      <c r="AE995" s="82" t="n"/>
      <c r="AF995" s="82" t="n"/>
      <c r="AG995" s="82">
        <f>IF(AN995="","",AD995+AE995+AF995)</f>
        <v/>
      </c>
      <c r="AH995" s="81">
        <f>IF(AN995="","",P995*(1-AG995))</f>
        <v/>
      </c>
      <c r="AI995" s="81">
        <f>IF(AN995="","",IF(Q995="Sin Factura",0,IFERROR(INDEX(Facturas_Odoo!$H:$H, MATCH(Q995, Facturas_Odoo!$B:$B, 0)), 0)*(1-AG995)))</f>
        <v/>
      </c>
      <c r="AJ995" s="81">
        <f>IF(AN995="","",_xlfn.LET(idVenta, AN995&amp;"",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95" s="81">
        <f>IF(AN995="","",AH995-AJ995)</f>
        <v/>
      </c>
      <c r="AL995" s="81">
        <f>IF(AN995="","",IF(Q995="Sin Factura","",AI995-AJ995))</f>
        <v/>
      </c>
      <c r="AM995" s="81">
        <f>IF(AN995="","",IF(Q995="Sin Factura",0,P995-IFERROR(INDEX(Facturas_Odoo!$H:$H, MATCH(Q995, Facturas_Odoo!$B:$B, 0)), 0)))</f>
        <v/>
      </c>
      <c r="AN995" s="79">
        <f>IF(AND(A995="", J995=""), "", IF(A995&lt;&gt;"", VALUE(MID(A995,2,LEN(A995))), AN994))</f>
        <v/>
      </c>
      <c r="AO995" s="79">
        <f>IF(AN995="","",IF(AD995=0,"OK",_xlfn.LET(monedaPago, IF(AA995="","USD",AA995), limitePermitido, IFERROR(VLOOKUP(monedaPago, Configuración!$A$2:$B$3, 2, FALSE), 0.15), IF(AD995&gt;limitePermitido, "ALERTA: EXCESO (" &amp; TEXT(limitePermitido, "0%") &amp; " máx)", "OK"))))</f>
        <v/>
      </c>
      <c r="AP995" s="79">
        <f>IF(AN995="","",IF(AE995=0,"OK",_xlfn.LET(fechaPago, Z995, fechaFactura, R995, diasCredito, IF(E995="Pago inmediato", 0, IFERROR(VALUE(MID(E995, 1, SEARCH(" ", E995)-1)),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95" s="79">
        <f>IF(AN995="","",IF(AND(N995&gt;0, AG995&gt;0), IF(Configuración!$K$2="NO", "ALERTA: DESCUENTO DOBLE NO PERMITIDO", "OK"), "OK"))</f>
        <v/>
      </c>
      <c r="AR995" s="79">
        <f>IF(AN995="","",IF(OR(AO995&lt;&gt;"OK", AP995&lt;&gt;"OK", AQ995&lt;&gt;"OK"), "⚠️ REVISAR", "OK"))</f>
        <v/>
      </c>
    </row>
    <row r="996">
      <c r="A996" s="79">
        <f>IF('Ordenes_Odoo'!A996="","",'Ordenes_Odoo'!A996)</f>
        <v/>
      </c>
      <c r="B996" s="80">
        <f>IF('Ordenes_Odoo'!B996="","",'Ordenes_Odoo'!B996)</f>
        <v/>
      </c>
      <c r="C996" s="79">
        <f>IF('Ordenes_Odoo'!C996="","",'Ordenes_Odoo'!C996)</f>
        <v/>
      </c>
      <c r="D996" s="79">
        <f>IF('Ordenes_Odoo'!D996="","",'Ordenes_Odoo'!D996)</f>
        <v/>
      </c>
      <c r="E996" s="79">
        <f>IF('Ordenes_Odoo'!E996="","",'Ordenes_Odoo'!E996)</f>
        <v/>
      </c>
      <c r="F996" s="79">
        <f>IF('Ordenes_Odoo'!F996="","",'Ordenes_Odoo'!F996)</f>
        <v/>
      </c>
      <c r="G996" s="79">
        <f>IF('Ordenes_Odoo'!G996="","",'Ordenes_Odoo'!G996)</f>
        <v/>
      </c>
      <c r="H996" s="79">
        <f>IF('Ordenes_Odoo'!H996="","",'Ordenes_Odoo'!H996)</f>
        <v/>
      </c>
      <c r="I996" s="79">
        <f>IF('Ordenes_Odoo'!I996="","",'Ordenes_Odoo'!I996)</f>
        <v/>
      </c>
      <c r="J996" s="79">
        <f>IF('Ordenes_Odoo'!J996="","",'Ordenes_Odoo'!J996)</f>
        <v/>
      </c>
      <c r="K996" s="81">
        <f>IF('Ordenes_Odoo'!K996="","",'Ordenes_Odoo'!K996)</f>
        <v/>
      </c>
      <c r="L996" s="81">
        <f>IF('Ordenes_Odoo'!L996="","",'Ordenes_Odoo'!L996)</f>
        <v/>
      </c>
      <c r="M996" s="79">
        <f>IF('Ordenes_Odoo'!M996="","",'Ordenes_Odoo'!M996)</f>
        <v/>
      </c>
      <c r="N996" s="79">
        <f>IF('Ordenes_Odoo'!N996="","",'Ordenes_Odoo'!N996)</f>
        <v/>
      </c>
      <c r="O996" s="81">
        <f>IF('Ordenes_Odoo'!O996="","",'Ordenes_Odoo'!O996)</f>
        <v/>
      </c>
      <c r="P996" s="81">
        <f>IF('Ordenes_Odoo'!P996="","",'Ordenes_Odoo'!P996)</f>
        <v/>
      </c>
      <c r="Q996" s="79">
        <f>IF(A996="","",IFERROR(INDEX(Facturas_Odoo!$B:$B, MATCH(A996, Facturas_Odoo!$D:$D, 0)), "Sin Factura"))</f>
        <v/>
      </c>
      <c r="R996" s="80">
        <f>IF(Q996="Sin Factura","",IFERROR(INDEX(Facturas_Odoo!$A:$A, MATCH(Q996, Facturas_Odoo!$B:$B, 0)), ""))</f>
        <v/>
      </c>
      <c r="S996" s="79">
        <f>IF(Q996="Sin Factura","",IFERROR(_xlfn.XLOOKUP(1, (Facturas_Odoo!$D:$D=A996) * (Facturas_Odoo!$K:$K=I996), Facturas_Odoo!$L:$L, ""), ""))</f>
        <v/>
      </c>
      <c r="T996" s="81">
        <f>IF(Q996="Sin Factura",0,IFERROR(_xlfn.XLOOKUP(1, (Facturas_Odoo!$D:$D=A996) * (Facturas_Odoo!$K:$K=I996), Facturas_Odoo!$M:$M, 0), 0))</f>
        <v/>
      </c>
      <c r="U996" s="79">
        <f>IF(Q996="Sin Factura",0,IFERROR(_xlfn.XLOOKUP(1, (Facturas_Odoo!$D:$D=A996) * (Facturas_Odoo!$K:$K=I996), Facturas_Odoo!$N:$N, 0), 0))</f>
        <v/>
      </c>
      <c r="V996" s="79">
        <f>IF(Q996="Sin Factura",0,IFERROR(_xlfn.XLOOKUP(1, (Facturas_Odoo!$D:$D=A996) * (Facturas_Odoo!$K:$K=I996), Facturas_Odoo!$O:$O, 0), 0))</f>
        <v/>
      </c>
      <c r="W996" s="81">
        <f>IF(Q996="Sin Factura",0,IFERROR(_xlfn.XLOOKUP(1, (Facturas_Odoo!$D:$D=A996) * (Facturas_Odoo!$K:$K=I996), Facturas_Odoo!$Q:$Q, 0), 0))</f>
        <v/>
      </c>
      <c r="X996" s="79">
        <f>IF(OR(Q996="Sin Factura",Q996=""),"",IFERROR(INDEX(Pagos_Odoo!$B:$B, MATCH(Q996, Pagos_Odoo!$I:$I, 0)), "Sin Pago"))</f>
        <v/>
      </c>
      <c r="Y996" s="79">
        <f>IF(X996="Sin Pago","",IFERROR(INDEX(Pagos_Odoo!$C:$C, MATCH(X996, Pagos_Odoo!$B:$B, 0)), ""))</f>
        <v/>
      </c>
      <c r="Z996" s="80">
        <f>IF(X996="Sin Pago","",IFERROR(INDEX(Pagos_Odoo!$A:$A, MATCH(X996, Pagos_Odoo!$B:$B, 0)), ""))</f>
        <v/>
      </c>
      <c r="AA996" s="79">
        <f>IF(X996="Sin Pago","",IFERROR(INDEX(Pagos_Odoo!$F:$F, MATCH(X996, Pagos_Odoo!$B:$B, 0)), ""))</f>
        <v/>
      </c>
      <c r="AB996" s="81">
        <f>IF(X996="Sin Pago",0,IFERROR(INDEX(Pagos_Odoo!$E:$E, MATCH(X996, Pagos_Odoo!$B:$B, 0)), 0))</f>
        <v/>
      </c>
      <c r="AC996" s="79">
        <f>IF(X996="Sin Pago","",IFERROR(INDEX(Pagos_Odoo!$G:$G, MATCH(X996, Pagos_Odoo!$B:$B, 0)), ""))</f>
        <v/>
      </c>
      <c r="AD996" s="82" t="n">
        <v>0</v>
      </c>
      <c r="AE996" s="82" t="n"/>
      <c r="AF996" s="82" t="n"/>
      <c r="AG996" s="82">
        <f>IF(AN996="","",AD996+AE996+AF996)</f>
        <v/>
      </c>
      <c r="AH996" s="81">
        <f>IF(AN996="","",P996*(1-AG996))</f>
        <v/>
      </c>
      <c r="AI996" s="81">
        <f>IF(AN996="","",IF(Q996="Sin Factura",0,IFERROR(INDEX(Facturas_Odoo!$H:$H, MATCH(Q996, Facturas_Odoo!$B:$B, 0)), 0)*(1-AG996)))</f>
        <v/>
      </c>
      <c r="AJ996" s="81">
        <f>IF(AN996="","",_xlfn.LET(idVenta, AN996&amp;"",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96" s="81">
        <f>IF(AN996="","",AH996-AJ996)</f>
        <v/>
      </c>
      <c r="AL996" s="81">
        <f>IF(AN996="","",IF(Q996="Sin Factura","",AI996-AJ996))</f>
        <v/>
      </c>
      <c r="AM996" s="81">
        <f>IF(AN996="","",IF(Q996="Sin Factura",0,P996-IFERROR(INDEX(Facturas_Odoo!$H:$H, MATCH(Q996, Facturas_Odoo!$B:$B, 0)), 0)))</f>
        <v/>
      </c>
      <c r="AN996" s="79">
        <f>IF(AND(A996="", J996=""), "", IF(A996&lt;&gt;"", VALUE(MID(A996,2,LEN(A996))), AN995))</f>
        <v/>
      </c>
      <c r="AO996" s="79">
        <f>IF(AN996="","",IF(AD996=0,"OK",_xlfn.LET(monedaPago, IF(AA996="","USD",AA996), limitePermitido, IFERROR(VLOOKUP(monedaPago, Configuración!$A$2:$B$3, 2, FALSE), 0.15), IF(AD996&gt;limitePermitido, "ALERTA: EXCESO (" &amp; TEXT(limitePermitido, "0%") &amp; " máx)", "OK"))))</f>
        <v/>
      </c>
      <c r="AP996" s="79">
        <f>IF(AN996="","",IF(AE996=0,"OK",_xlfn.LET(fechaPago, Z996, fechaFactura, R996, diasCredito, IF(E996="Pago inmediato", 0, IFERROR(VALUE(MID(E996, 1, SEARCH(" ", E996)-1)),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96" s="79">
        <f>IF(AN996="","",IF(AND(N996&gt;0, AG996&gt;0), IF(Configuración!$K$2="NO", "ALERTA: DESCUENTO DOBLE NO PERMITIDO", "OK"), "OK"))</f>
        <v/>
      </c>
      <c r="AR996" s="79">
        <f>IF(AN996="","",IF(OR(AO996&lt;&gt;"OK", AP996&lt;&gt;"OK", AQ996&lt;&gt;"OK"), "⚠️ REVISAR", "OK"))</f>
        <v/>
      </c>
    </row>
    <row r="997">
      <c r="A997" s="79">
        <f>IF('Ordenes_Odoo'!A997="","",'Ordenes_Odoo'!A997)</f>
        <v/>
      </c>
      <c r="B997" s="80">
        <f>IF('Ordenes_Odoo'!B997="","",'Ordenes_Odoo'!B997)</f>
        <v/>
      </c>
      <c r="C997" s="79">
        <f>IF('Ordenes_Odoo'!C997="","",'Ordenes_Odoo'!C997)</f>
        <v/>
      </c>
      <c r="D997" s="79">
        <f>IF('Ordenes_Odoo'!D997="","",'Ordenes_Odoo'!D997)</f>
        <v/>
      </c>
      <c r="E997" s="79">
        <f>IF('Ordenes_Odoo'!E997="","",'Ordenes_Odoo'!E997)</f>
        <v/>
      </c>
      <c r="F997" s="79">
        <f>IF('Ordenes_Odoo'!F997="","",'Ordenes_Odoo'!F997)</f>
        <v/>
      </c>
      <c r="G997" s="79">
        <f>IF('Ordenes_Odoo'!G997="","",'Ordenes_Odoo'!G997)</f>
        <v/>
      </c>
      <c r="H997" s="79">
        <f>IF('Ordenes_Odoo'!H997="","",'Ordenes_Odoo'!H997)</f>
        <v/>
      </c>
      <c r="I997" s="79">
        <f>IF('Ordenes_Odoo'!I997="","",'Ordenes_Odoo'!I997)</f>
        <v/>
      </c>
      <c r="J997" s="79">
        <f>IF('Ordenes_Odoo'!J997="","",'Ordenes_Odoo'!J997)</f>
        <v/>
      </c>
      <c r="K997" s="81">
        <f>IF('Ordenes_Odoo'!K997="","",'Ordenes_Odoo'!K997)</f>
        <v/>
      </c>
      <c r="L997" s="81">
        <f>IF('Ordenes_Odoo'!L997="","",'Ordenes_Odoo'!L997)</f>
        <v/>
      </c>
      <c r="M997" s="79">
        <f>IF('Ordenes_Odoo'!M997="","",'Ordenes_Odoo'!M997)</f>
        <v/>
      </c>
      <c r="N997" s="79">
        <f>IF('Ordenes_Odoo'!N997="","",'Ordenes_Odoo'!N997)</f>
        <v/>
      </c>
      <c r="O997" s="81">
        <f>IF('Ordenes_Odoo'!O997="","",'Ordenes_Odoo'!O997)</f>
        <v/>
      </c>
      <c r="P997" s="81">
        <f>IF('Ordenes_Odoo'!P997="","",'Ordenes_Odoo'!P997)</f>
        <v/>
      </c>
      <c r="Q997" s="79">
        <f>IF(A997="","",IFERROR(INDEX(Facturas_Odoo!$B:$B, MATCH(A997, Facturas_Odoo!$D:$D, 0)), "Sin Factura"))</f>
        <v/>
      </c>
      <c r="R997" s="80">
        <f>IF(Q997="Sin Factura","",IFERROR(INDEX(Facturas_Odoo!$A:$A, MATCH(Q997, Facturas_Odoo!$B:$B, 0)), ""))</f>
        <v/>
      </c>
      <c r="S997" s="79">
        <f>IF(Q997="Sin Factura","",IFERROR(_xlfn.XLOOKUP(1, (Facturas_Odoo!$D:$D=A997) * (Facturas_Odoo!$K:$K=I997), Facturas_Odoo!$L:$L, ""), ""))</f>
        <v/>
      </c>
      <c r="T997" s="81">
        <f>IF(Q997="Sin Factura",0,IFERROR(_xlfn.XLOOKUP(1, (Facturas_Odoo!$D:$D=A997) * (Facturas_Odoo!$K:$K=I997), Facturas_Odoo!$M:$M, 0), 0))</f>
        <v/>
      </c>
      <c r="U997" s="79">
        <f>IF(Q997="Sin Factura",0,IFERROR(_xlfn.XLOOKUP(1, (Facturas_Odoo!$D:$D=A997) * (Facturas_Odoo!$K:$K=I997), Facturas_Odoo!$N:$N, 0), 0))</f>
        <v/>
      </c>
      <c r="V997" s="79">
        <f>IF(Q997="Sin Factura",0,IFERROR(_xlfn.XLOOKUP(1, (Facturas_Odoo!$D:$D=A997) * (Facturas_Odoo!$K:$K=I997), Facturas_Odoo!$O:$O, 0), 0))</f>
        <v/>
      </c>
      <c r="W997" s="81">
        <f>IF(Q997="Sin Factura",0,IFERROR(_xlfn.XLOOKUP(1, (Facturas_Odoo!$D:$D=A997) * (Facturas_Odoo!$K:$K=I997), Facturas_Odoo!$Q:$Q, 0), 0))</f>
        <v/>
      </c>
      <c r="X997" s="79">
        <f>IF(OR(Q997="Sin Factura",Q997=""),"",IFERROR(INDEX(Pagos_Odoo!$B:$B, MATCH(Q997, Pagos_Odoo!$I:$I, 0)), "Sin Pago"))</f>
        <v/>
      </c>
      <c r="Y997" s="79">
        <f>IF(X997="Sin Pago","",IFERROR(INDEX(Pagos_Odoo!$C:$C, MATCH(X997, Pagos_Odoo!$B:$B, 0)), ""))</f>
        <v/>
      </c>
      <c r="Z997" s="80">
        <f>IF(X997="Sin Pago","",IFERROR(INDEX(Pagos_Odoo!$A:$A, MATCH(X997, Pagos_Odoo!$B:$B, 0)), ""))</f>
        <v/>
      </c>
      <c r="AA997" s="79">
        <f>IF(X997="Sin Pago","",IFERROR(INDEX(Pagos_Odoo!$F:$F, MATCH(X997, Pagos_Odoo!$B:$B, 0)), ""))</f>
        <v/>
      </c>
      <c r="AB997" s="81">
        <f>IF(X997="Sin Pago",0,IFERROR(INDEX(Pagos_Odoo!$E:$E, MATCH(X997, Pagos_Odoo!$B:$B, 0)), 0))</f>
        <v/>
      </c>
      <c r="AC997" s="79">
        <f>IF(X997="Sin Pago","",IFERROR(INDEX(Pagos_Odoo!$G:$G, MATCH(X997, Pagos_Odoo!$B:$B, 0)), ""))</f>
        <v/>
      </c>
      <c r="AD997" s="82" t="n">
        <v>0</v>
      </c>
      <c r="AE997" s="82" t="n"/>
      <c r="AF997" s="82" t="n"/>
      <c r="AG997" s="82">
        <f>IF(AN997="","",AD997+AE997+AF997)</f>
        <v/>
      </c>
      <c r="AH997" s="81">
        <f>IF(AN997="","",P997*(1-AG997))</f>
        <v/>
      </c>
      <c r="AI997" s="81">
        <f>IF(AN997="","",IF(Q997="Sin Factura",0,IFERROR(INDEX(Facturas_Odoo!$H:$H, MATCH(Q997, Facturas_Odoo!$B:$B, 0)), 0)*(1-AG997)))</f>
        <v/>
      </c>
      <c r="AJ997" s="81">
        <f>IF(AN997="","",_xlfn.LET(idVenta, AN997&amp;"",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97" s="81">
        <f>IF(AN997="","",AH997-AJ997)</f>
        <v/>
      </c>
      <c r="AL997" s="81">
        <f>IF(AN997="","",IF(Q997="Sin Factura","",AI997-AJ997))</f>
        <v/>
      </c>
      <c r="AM997" s="81">
        <f>IF(AN997="","",IF(Q997="Sin Factura",0,P997-IFERROR(INDEX(Facturas_Odoo!$H:$H, MATCH(Q997, Facturas_Odoo!$B:$B, 0)), 0)))</f>
        <v/>
      </c>
      <c r="AN997" s="79">
        <f>IF(AND(A997="", J997=""), "", IF(A997&lt;&gt;"", VALUE(MID(A997,2,LEN(A997))), AN996))</f>
        <v/>
      </c>
      <c r="AO997" s="79">
        <f>IF(AN997="","",IF(AD997=0,"OK",_xlfn.LET(monedaPago, IF(AA997="","USD",AA997), limitePermitido, IFERROR(VLOOKUP(monedaPago, Configuración!$A$2:$B$3, 2, FALSE), 0.15), IF(AD997&gt;limitePermitido, "ALERTA: EXCESO (" &amp; TEXT(limitePermitido, "0%") &amp; " máx)", "OK"))))</f>
        <v/>
      </c>
      <c r="AP997" s="79">
        <f>IF(AN997="","",IF(AE997=0,"OK",_xlfn.LET(fechaPago, Z997, fechaFactura, R997, diasCredito, IF(E997="Pago inmediato", 0, IFERROR(VALUE(MID(E997, 1, SEARCH(" ", E997)-1)),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97" s="79">
        <f>IF(AN997="","",IF(AND(N997&gt;0, AG997&gt;0), IF(Configuración!$K$2="NO", "ALERTA: DESCUENTO DOBLE NO PERMITIDO", "OK"), "OK"))</f>
        <v/>
      </c>
      <c r="AR997" s="79">
        <f>IF(AN997="","",IF(OR(AO997&lt;&gt;"OK", AP997&lt;&gt;"OK", AQ997&lt;&gt;"OK"), "⚠️ REVISAR", "OK"))</f>
        <v/>
      </c>
    </row>
    <row r="998">
      <c r="A998" s="79">
        <f>IF('Ordenes_Odoo'!A998="","",'Ordenes_Odoo'!A998)</f>
        <v/>
      </c>
      <c r="B998" s="80">
        <f>IF('Ordenes_Odoo'!B998="","",'Ordenes_Odoo'!B998)</f>
        <v/>
      </c>
      <c r="C998" s="79">
        <f>IF('Ordenes_Odoo'!C998="","",'Ordenes_Odoo'!C998)</f>
        <v/>
      </c>
      <c r="D998" s="79">
        <f>IF('Ordenes_Odoo'!D998="","",'Ordenes_Odoo'!D998)</f>
        <v/>
      </c>
      <c r="E998" s="79">
        <f>IF('Ordenes_Odoo'!E998="","",'Ordenes_Odoo'!E998)</f>
        <v/>
      </c>
      <c r="F998" s="79">
        <f>IF('Ordenes_Odoo'!F998="","",'Ordenes_Odoo'!F998)</f>
        <v/>
      </c>
      <c r="G998" s="79">
        <f>IF('Ordenes_Odoo'!G998="","",'Ordenes_Odoo'!G998)</f>
        <v/>
      </c>
      <c r="H998" s="79">
        <f>IF('Ordenes_Odoo'!H998="","",'Ordenes_Odoo'!H998)</f>
        <v/>
      </c>
      <c r="I998" s="79">
        <f>IF('Ordenes_Odoo'!I998="","",'Ordenes_Odoo'!I998)</f>
        <v/>
      </c>
      <c r="J998" s="79">
        <f>IF('Ordenes_Odoo'!J998="","",'Ordenes_Odoo'!J998)</f>
        <v/>
      </c>
      <c r="K998" s="81">
        <f>IF('Ordenes_Odoo'!K998="","",'Ordenes_Odoo'!K998)</f>
        <v/>
      </c>
      <c r="L998" s="81">
        <f>IF('Ordenes_Odoo'!L998="","",'Ordenes_Odoo'!L998)</f>
        <v/>
      </c>
      <c r="M998" s="79">
        <f>IF('Ordenes_Odoo'!M998="","",'Ordenes_Odoo'!M998)</f>
        <v/>
      </c>
      <c r="N998" s="79">
        <f>IF('Ordenes_Odoo'!N998="","",'Ordenes_Odoo'!N998)</f>
        <v/>
      </c>
      <c r="O998" s="81">
        <f>IF('Ordenes_Odoo'!O998="","",'Ordenes_Odoo'!O998)</f>
        <v/>
      </c>
      <c r="P998" s="81">
        <f>IF('Ordenes_Odoo'!P998="","",'Ordenes_Odoo'!P998)</f>
        <v/>
      </c>
      <c r="Q998" s="79">
        <f>IF(A998="","",IFERROR(INDEX(Facturas_Odoo!$B:$B, MATCH(A998, Facturas_Odoo!$D:$D, 0)), "Sin Factura"))</f>
        <v/>
      </c>
      <c r="R998" s="80">
        <f>IF(Q998="Sin Factura","",IFERROR(INDEX(Facturas_Odoo!$A:$A, MATCH(Q998, Facturas_Odoo!$B:$B, 0)), ""))</f>
        <v/>
      </c>
      <c r="S998" s="79">
        <f>IF(Q998="Sin Factura","",IFERROR(_xlfn.XLOOKUP(1, (Facturas_Odoo!$D:$D=A998) * (Facturas_Odoo!$K:$K=I998), Facturas_Odoo!$L:$L, ""), ""))</f>
        <v/>
      </c>
      <c r="T998" s="81">
        <f>IF(Q998="Sin Factura",0,IFERROR(_xlfn.XLOOKUP(1, (Facturas_Odoo!$D:$D=A998) * (Facturas_Odoo!$K:$K=I998), Facturas_Odoo!$M:$M, 0), 0))</f>
        <v/>
      </c>
      <c r="U998" s="79">
        <f>IF(Q998="Sin Factura",0,IFERROR(_xlfn.XLOOKUP(1, (Facturas_Odoo!$D:$D=A998) * (Facturas_Odoo!$K:$K=I998), Facturas_Odoo!$N:$N, 0), 0))</f>
        <v/>
      </c>
      <c r="V998" s="79">
        <f>IF(Q998="Sin Factura",0,IFERROR(_xlfn.XLOOKUP(1, (Facturas_Odoo!$D:$D=A998) * (Facturas_Odoo!$K:$K=I998), Facturas_Odoo!$O:$O, 0), 0))</f>
        <v/>
      </c>
      <c r="W998" s="81">
        <f>IF(Q998="Sin Factura",0,IFERROR(_xlfn.XLOOKUP(1, (Facturas_Odoo!$D:$D=A998) * (Facturas_Odoo!$K:$K=I998), Facturas_Odoo!$Q:$Q, 0), 0))</f>
        <v/>
      </c>
      <c r="X998" s="79">
        <f>IF(OR(Q998="Sin Factura",Q998=""),"",IFERROR(INDEX(Pagos_Odoo!$B:$B, MATCH(Q998, Pagos_Odoo!$I:$I, 0)), "Sin Pago"))</f>
        <v/>
      </c>
      <c r="Y998" s="79">
        <f>IF(X998="Sin Pago","",IFERROR(INDEX(Pagos_Odoo!$C:$C, MATCH(X998, Pagos_Odoo!$B:$B, 0)), ""))</f>
        <v/>
      </c>
      <c r="Z998" s="80">
        <f>IF(X998="Sin Pago","",IFERROR(INDEX(Pagos_Odoo!$A:$A, MATCH(X998, Pagos_Odoo!$B:$B, 0)), ""))</f>
        <v/>
      </c>
      <c r="AA998" s="79">
        <f>IF(X998="Sin Pago","",IFERROR(INDEX(Pagos_Odoo!$F:$F, MATCH(X998, Pagos_Odoo!$B:$B, 0)), ""))</f>
        <v/>
      </c>
      <c r="AB998" s="81">
        <f>IF(X998="Sin Pago",0,IFERROR(INDEX(Pagos_Odoo!$E:$E, MATCH(X998, Pagos_Odoo!$B:$B, 0)), 0))</f>
        <v/>
      </c>
      <c r="AC998" s="79">
        <f>IF(X998="Sin Pago","",IFERROR(INDEX(Pagos_Odoo!$G:$G, MATCH(X998, Pagos_Odoo!$B:$B, 0)), ""))</f>
        <v/>
      </c>
      <c r="AD998" s="82" t="n">
        <v>0</v>
      </c>
      <c r="AE998" s="82" t="n"/>
      <c r="AF998" s="82" t="n"/>
      <c r="AG998" s="82">
        <f>IF(AN998="","",AD998+AE998+AF998)</f>
        <v/>
      </c>
      <c r="AH998" s="81">
        <f>IF(AN998="","",P998*(1-AG998))</f>
        <v/>
      </c>
      <c r="AI998" s="81">
        <f>IF(AN998="","",IF(Q998="Sin Factura",0,IFERROR(INDEX(Facturas_Odoo!$H:$H, MATCH(Q998, Facturas_Odoo!$B:$B, 0)), 0)*(1-AG998)))</f>
        <v/>
      </c>
      <c r="AJ998" s="81">
        <f>IF(AN998="","",_xlfn.LET(idVenta, AN998&amp;"",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98" s="81">
        <f>IF(AN998="","",AH998-AJ998)</f>
        <v/>
      </c>
      <c r="AL998" s="81">
        <f>IF(AN998="","",IF(Q998="Sin Factura","",AI998-AJ998))</f>
        <v/>
      </c>
      <c r="AM998" s="81">
        <f>IF(AN998="","",IF(Q998="Sin Factura",0,P998-IFERROR(INDEX(Facturas_Odoo!$H:$H, MATCH(Q998, Facturas_Odoo!$B:$B, 0)), 0)))</f>
        <v/>
      </c>
      <c r="AN998" s="79">
        <f>IF(AND(A998="", J998=""), "", IF(A998&lt;&gt;"", VALUE(MID(A998,2,LEN(A998))), AN997))</f>
        <v/>
      </c>
      <c r="AO998" s="79">
        <f>IF(AN998="","",IF(AD998=0,"OK",_xlfn.LET(monedaPago, IF(AA998="","USD",AA998), limitePermitido, IFERROR(VLOOKUP(monedaPago, Configuración!$A$2:$B$3, 2, FALSE), 0.15), IF(AD998&gt;limitePermitido, "ALERTA: EXCESO (" &amp; TEXT(limitePermitido, "0%") &amp; " máx)", "OK"))))</f>
        <v/>
      </c>
      <c r="AP998" s="79">
        <f>IF(AN998="","",IF(AE998=0,"OK",_xlfn.LET(fechaPago, Z998, fechaFactura, R998, diasCredito, IF(E998="Pago inmediato", 0, IFERROR(VALUE(MID(E998, 1, SEARCH(" ", E998)-1)),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98" s="79">
        <f>IF(AN998="","",IF(AND(N998&gt;0, AG998&gt;0), IF(Configuración!$K$2="NO", "ALERTA: DESCUENTO DOBLE NO PERMITIDO", "OK"), "OK"))</f>
        <v/>
      </c>
      <c r="AR998" s="79">
        <f>IF(AN998="","",IF(OR(AO998&lt;&gt;"OK", AP998&lt;&gt;"OK", AQ998&lt;&gt;"OK"), "⚠️ REVISAR", "OK"))</f>
        <v/>
      </c>
    </row>
    <row r="999">
      <c r="A999" s="79">
        <f>IF('Ordenes_Odoo'!A999="","",'Ordenes_Odoo'!A999)</f>
        <v/>
      </c>
      <c r="B999" s="80">
        <f>IF('Ordenes_Odoo'!B999="","",'Ordenes_Odoo'!B999)</f>
        <v/>
      </c>
      <c r="C999" s="79">
        <f>IF('Ordenes_Odoo'!C999="","",'Ordenes_Odoo'!C999)</f>
        <v/>
      </c>
      <c r="D999" s="79">
        <f>IF('Ordenes_Odoo'!D999="","",'Ordenes_Odoo'!D999)</f>
        <v/>
      </c>
      <c r="E999" s="79">
        <f>IF('Ordenes_Odoo'!E999="","",'Ordenes_Odoo'!E999)</f>
        <v/>
      </c>
      <c r="F999" s="79">
        <f>IF('Ordenes_Odoo'!F999="","",'Ordenes_Odoo'!F999)</f>
        <v/>
      </c>
      <c r="G999" s="79">
        <f>IF('Ordenes_Odoo'!G999="","",'Ordenes_Odoo'!G999)</f>
        <v/>
      </c>
      <c r="H999" s="79">
        <f>IF('Ordenes_Odoo'!H999="","",'Ordenes_Odoo'!H999)</f>
        <v/>
      </c>
      <c r="I999" s="79">
        <f>IF('Ordenes_Odoo'!I999="","",'Ordenes_Odoo'!I999)</f>
        <v/>
      </c>
      <c r="J999" s="79">
        <f>IF('Ordenes_Odoo'!J999="","",'Ordenes_Odoo'!J999)</f>
        <v/>
      </c>
      <c r="K999" s="81">
        <f>IF('Ordenes_Odoo'!K999="","",'Ordenes_Odoo'!K999)</f>
        <v/>
      </c>
      <c r="L999" s="81">
        <f>IF('Ordenes_Odoo'!L999="","",'Ordenes_Odoo'!L999)</f>
        <v/>
      </c>
      <c r="M999" s="79">
        <f>IF('Ordenes_Odoo'!M999="","",'Ordenes_Odoo'!M999)</f>
        <v/>
      </c>
      <c r="N999" s="79">
        <f>IF('Ordenes_Odoo'!N999="","",'Ordenes_Odoo'!N999)</f>
        <v/>
      </c>
      <c r="O999" s="81">
        <f>IF('Ordenes_Odoo'!O999="","",'Ordenes_Odoo'!O999)</f>
        <v/>
      </c>
      <c r="P999" s="81">
        <f>IF('Ordenes_Odoo'!P999="","",'Ordenes_Odoo'!P999)</f>
        <v/>
      </c>
      <c r="Q999" s="79">
        <f>IF(A999="","",IFERROR(INDEX(Facturas_Odoo!$B:$B, MATCH(A999, Facturas_Odoo!$D:$D, 0)), "Sin Factura"))</f>
        <v/>
      </c>
      <c r="R999" s="80">
        <f>IF(Q999="Sin Factura","",IFERROR(INDEX(Facturas_Odoo!$A:$A, MATCH(Q999, Facturas_Odoo!$B:$B, 0)), ""))</f>
        <v/>
      </c>
      <c r="S999" s="79">
        <f>IF(Q999="Sin Factura","",IFERROR(_xlfn.XLOOKUP(1, (Facturas_Odoo!$D:$D=A999) * (Facturas_Odoo!$K:$K=I999), Facturas_Odoo!$L:$L, ""), ""))</f>
        <v/>
      </c>
      <c r="T999" s="81">
        <f>IF(Q999="Sin Factura",0,IFERROR(_xlfn.XLOOKUP(1, (Facturas_Odoo!$D:$D=A999) * (Facturas_Odoo!$K:$K=I999), Facturas_Odoo!$M:$M, 0), 0))</f>
        <v/>
      </c>
      <c r="U999" s="79">
        <f>IF(Q999="Sin Factura",0,IFERROR(_xlfn.XLOOKUP(1, (Facturas_Odoo!$D:$D=A999) * (Facturas_Odoo!$K:$K=I999), Facturas_Odoo!$N:$N, 0), 0))</f>
        <v/>
      </c>
      <c r="V999" s="79">
        <f>IF(Q999="Sin Factura",0,IFERROR(_xlfn.XLOOKUP(1, (Facturas_Odoo!$D:$D=A999) * (Facturas_Odoo!$K:$K=I999), Facturas_Odoo!$O:$O, 0), 0))</f>
        <v/>
      </c>
      <c r="W999" s="81">
        <f>IF(Q999="Sin Factura",0,IFERROR(_xlfn.XLOOKUP(1, (Facturas_Odoo!$D:$D=A999) * (Facturas_Odoo!$K:$K=I999), Facturas_Odoo!$Q:$Q, 0), 0))</f>
        <v/>
      </c>
      <c r="X999" s="79">
        <f>IF(OR(Q999="Sin Factura",Q999=""),"",IFERROR(INDEX(Pagos_Odoo!$B:$B, MATCH(Q999, Pagos_Odoo!$I:$I, 0)), "Sin Pago"))</f>
        <v/>
      </c>
      <c r="Y999" s="79">
        <f>IF(X999="Sin Pago","",IFERROR(INDEX(Pagos_Odoo!$C:$C, MATCH(X999, Pagos_Odoo!$B:$B, 0)), ""))</f>
        <v/>
      </c>
      <c r="Z999" s="80">
        <f>IF(X999="Sin Pago","",IFERROR(INDEX(Pagos_Odoo!$A:$A, MATCH(X999, Pagos_Odoo!$B:$B, 0)), ""))</f>
        <v/>
      </c>
      <c r="AA999" s="79">
        <f>IF(X999="Sin Pago","",IFERROR(INDEX(Pagos_Odoo!$F:$F, MATCH(X999, Pagos_Odoo!$B:$B, 0)), ""))</f>
        <v/>
      </c>
      <c r="AB999" s="81">
        <f>IF(X999="Sin Pago",0,IFERROR(INDEX(Pagos_Odoo!$E:$E, MATCH(X999, Pagos_Odoo!$B:$B, 0)), 0))</f>
        <v/>
      </c>
      <c r="AC999" s="79">
        <f>IF(X999="Sin Pago","",IFERROR(INDEX(Pagos_Odoo!$G:$G, MATCH(X999, Pagos_Odoo!$B:$B, 0)), ""))</f>
        <v/>
      </c>
      <c r="AD999" s="82" t="n">
        <v>0</v>
      </c>
      <c r="AE999" s="82" t="n"/>
      <c r="AF999" s="82" t="n"/>
      <c r="AG999" s="82">
        <f>IF(AN999="","",AD999+AE999+AF999)</f>
        <v/>
      </c>
      <c r="AH999" s="81">
        <f>IF(AN999="","",P999*(1-AG999))</f>
        <v/>
      </c>
      <c r="AI999" s="81">
        <f>IF(AN999="","",IF(Q999="Sin Factura",0,IFERROR(INDEX(Facturas_Odoo!$H:$H, MATCH(Q999, Facturas_Odoo!$B:$B, 0)), 0)*(1-AG999)))</f>
        <v/>
      </c>
      <c r="AJ999" s="81">
        <f>IF(AN999="","",_xlfn.LET(idVenta, AN999&amp;"",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999" s="81">
        <f>IF(AN999="","",AH999-AJ999)</f>
        <v/>
      </c>
      <c r="AL999" s="81">
        <f>IF(AN999="","",IF(Q999="Sin Factura","",AI999-AJ999))</f>
        <v/>
      </c>
      <c r="AM999" s="81">
        <f>IF(AN999="","",IF(Q999="Sin Factura",0,P999-IFERROR(INDEX(Facturas_Odoo!$H:$H, MATCH(Q999, Facturas_Odoo!$B:$B, 0)), 0)))</f>
        <v/>
      </c>
      <c r="AN999" s="79">
        <f>IF(AND(A999="", J999=""), "", IF(A999&lt;&gt;"", VALUE(MID(A999,2,LEN(A999))), AN998))</f>
        <v/>
      </c>
      <c r="AO999" s="79">
        <f>IF(AN999="","",IF(AD999=0,"OK",_xlfn.LET(monedaPago, IF(AA999="","USD",AA999), limitePermitido, IFERROR(VLOOKUP(monedaPago, Configuración!$A$2:$B$3, 2, FALSE), 0.15), IF(AD999&gt;limitePermitido, "ALERTA: EXCESO (" &amp; TEXT(limitePermitido, "0%") &amp; " máx)", "OK"))))</f>
        <v/>
      </c>
      <c r="AP999" s="79">
        <f>IF(AN999="","",IF(AE999=0,"OK",_xlfn.LET(fechaPago, Z999, fechaFactura, R999, diasCredito, IF(E999="Pago inmediato", 0, IFERROR(VALUE(MID(E999, 1, SEARCH(" ", E999)-1)),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999" s="79">
        <f>IF(AN999="","",IF(AND(N999&gt;0, AG999&gt;0), IF(Configuración!$K$2="NO", "ALERTA: DESCUENTO DOBLE NO PERMITIDO", "OK"), "OK"))</f>
        <v/>
      </c>
      <c r="AR999" s="79">
        <f>IF(AN999="","",IF(OR(AO999&lt;&gt;"OK", AP999&lt;&gt;"OK", AQ999&lt;&gt;"OK"), "⚠️ REVISAR", "OK"))</f>
        <v/>
      </c>
    </row>
    <row r="1000">
      <c r="A1000" s="79">
        <f>IF('Ordenes_Odoo'!A1000="","",'Ordenes_Odoo'!A1000)</f>
        <v/>
      </c>
      <c r="B1000" s="80">
        <f>IF('Ordenes_Odoo'!B1000="","",'Ordenes_Odoo'!B1000)</f>
        <v/>
      </c>
      <c r="C1000" s="79">
        <f>IF('Ordenes_Odoo'!C1000="","",'Ordenes_Odoo'!C1000)</f>
        <v/>
      </c>
      <c r="D1000" s="79">
        <f>IF('Ordenes_Odoo'!D1000="","",'Ordenes_Odoo'!D1000)</f>
        <v/>
      </c>
      <c r="E1000" s="79">
        <f>IF('Ordenes_Odoo'!E1000="","",'Ordenes_Odoo'!E1000)</f>
        <v/>
      </c>
      <c r="F1000" s="79">
        <f>IF('Ordenes_Odoo'!F1000="","",'Ordenes_Odoo'!F1000)</f>
        <v/>
      </c>
      <c r="G1000" s="79">
        <f>IF('Ordenes_Odoo'!G1000="","",'Ordenes_Odoo'!G1000)</f>
        <v/>
      </c>
      <c r="H1000" s="79">
        <f>IF('Ordenes_Odoo'!H1000="","",'Ordenes_Odoo'!H1000)</f>
        <v/>
      </c>
      <c r="I1000" s="79">
        <f>IF('Ordenes_Odoo'!I1000="","",'Ordenes_Odoo'!I1000)</f>
        <v/>
      </c>
      <c r="J1000" s="79">
        <f>IF('Ordenes_Odoo'!J1000="","",'Ordenes_Odoo'!J1000)</f>
        <v/>
      </c>
      <c r="K1000" s="81">
        <f>IF('Ordenes_Odoo'!K1000="","",'Ordenes_Odoo'!K1000)</f>
        <v/>
      </c>
      <c r="L1000" s="81">
        <f>IF('Ordenes_Odoo'!L1000="","",'Ordenes_Odoo'!L1000)</f>
        <v/>
      </c>
      <c r="M1000" s="79">
        <f>IF('Ordenes_Odoo'!M1000="","",'Ordenes_Odoo'!M1000)</f>
        <v/>
      </c>
      <c r="N1000" s="79">
        <f>IF('Ordenes_Odoo'!N1000="","",'Ordenes_Odoo'!N1000)</f>
        <v/>
      </c>
      <c r="O1000" s="81">
        <f>IF('Ordenes_Odoo'!O1000="","",'Ordenes_Odoo'!O1000)</f>
        <v/>
      </c>
      <c r="P1000" s="81">
        <f>IF('Ordenes_Odoo'!P1000="","",'Ordenes_Odoo'!P1000)</f>
        <v/>
      </c>
      <c r="Q1000" s="79">
        <f>IF(A1000="","",IFERROR(INDEX(Facturas_Odoo!$B:$B, MATCH(A1000, Facturas_Odoo!$D:$D, 0)), "Sin Factura"))</f>
        <v/>
      </c>
      <c r="R1000" s="80">
        <f>IF(Q1000="Sin Factura","",IFERROR(INDEX(Facturas_Odoo!$A:$A, MATCH(Q1000, Facturas_Odoo!$B:$B, 0)), ""))</f>
        <v/>
      </c>
      <c r="S1000" s="79">
        <f>IF(Q1000="Sin Factura","",IFERROR(_xlfn.XLOOKUP(1, (Facturas_Odoo!$D:$D=A1000) * (Facturas_Odoo!$K:$K=I1000), Facturas_Odoo!$L:$L, ""), ""))</f>
        <v/>
      </c>
      <c r="T1000" s="81">
        <f>IF(Q1000="Sin Factura",0,IFERROR(_xlfn.XLOOKUP(1, (Facturas_Odoo!$D:$D=A1000) * (Facturas_Odoo!$K:$K=I1000), Facturas_Odoo!$M:$M, 0), 0))</f>
        <v/>
      </c>
      <c r="U1000" s="79">
        <f>IF(Q1000="Sin Factura",0,IFERROR(_xlfn.XLOOKUP(1, (Facturas_Odoo!$D:$D=A1000) * (Facturas_Odoo!$K:$K=I1000), Facturas_Odoo!$N:$N, 0), 0))</f>
        <v/>
      </c>
      <c r="V1000" s="79">
        <f>IF(Q1000="Sin Factura",0,IFERROR(_xlfn.XLOOKUP(1, (Facturas_Odoo!$D:$D=A1000) * (Facturas_Odoo!$K:$K=I1000), Facturas_Odoo!$O:$O, 0), 0))</f>
        <v/>
      </c>
      <c r="W1000" s="81">
        <f>IF(Q1000="Sin Factura",0,IFERROR(_xlfn.XLOOKUP(1, (Facturas_Odoo!$D:$D=A1000) * (Facturas_Odoo!$K:$K=I1000), Facturas_Odoo!$Q:$Q, 0), 0))</f>
        <v/>
      </c>
      <c r="X1000" s="79">
        <f>IF(OR(Q1000="Sin Factura",Q1000=""),"",IFERROR(INDEX(Pagos_Odoo!$B:$B, MATCH(Q1000, Pagos_Odoo!$I:$I, 0)), "Sin Pago"))</f>
        <v/>
      </c>
      <c r="Y1000" s="79">
        <f>IF(X1000="Sin Pago","",IFERROR(INDEX(Pagos_Odoo!$C:$C, MATCH(X1000, Pagos_Odoo!$B:$B, 0)), ""))</f>
        <v/>
      </c>
      <c r="Z1000" s="80">
        <f>IF(X1000="Sin Pago","",IFERROR(INDEX(Pagos_Odoo!$A:$A, MATCH(X1000, Pagos_Odoo!$B:$B, 0)), ""))</f>
        <v/>
      </c>
      <c r="AA1000" s="79">
        <f>IF(X1000="Sin Pago","",IFERROR(INDEX(Pagos_Odoo!$F:$F, MATCH(X1000, Pagos_Odoo!$B:$B, 0)), ""))</f>
        <v/>
      </c>
      <c r="AB1000" s="81">
        <f>IF(X1000="Sin Pago",0,IFERROR(INDEX(Pagos_Odoo!$E:$E, MATCH(X1000, Pagos_Odoo!$B:$B, 0)), 0))</f>
        <v/>
      </c>
      <c r="AC1000" s="79">
        <f>IF(X1000="Sin Pago","",IFERROR(INDEX(Pagos_Odoo!$G:$G, MATCH(X1000, Pagos_Odoo!$B:$B, 0)), ""))</f>
        <v/>
      </c>
      <c r="AD1000" s="82" t="n">
        <v>0</v>
      </c>
      <c r="AE1000" s="82" t="n"/>
      <c r="AF1000" s="82" t="n"/>
      <c r="AG1000" s="82">
        <f>IF(AN1000="","",AD1000+AE1000+AF1000)</f>
        <v/>
      </c>
      <c r="AH1000" s="81">
        <f>IF(AN1000="","",P1000*(1-AG1000))</f>
        <v/>
      </c>
      <c r="AI1000" s="81">
        <f>IF(AN1000="","",IF(Q1000="Sin Factura",0,IFERROR(INDEX(Facturas_Odoo!$H:$H, MATCH(Q1000, Facturas_Odoo!$B:$B, 0)), 0)*(1-AG1000)))</f>
        <v/>
      </c>
      <c r="AJ1000" s="81">
        <f>IF(AN1000="","",_xlfn.LET(idVenta, AN1000&amp;"",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00" s="81">
        <f>IF(AN1000="","",AH1000-AJ1000)</f>
        <v/>
      </c>
      <c r="AL1000" s="81">
        <f>IF(AN1000="","",IF(Q1000="Sin Factura","",AI1000-AJ1000))</f>
        <v/>
      </c>
      <c r="AM1000" s="81">
        <f>IF(AN1000="","",IF(Q1000="Sin Factura",0,P1000-IFERROR(INDEX(Facturas_Odoo!$H:$H, MATCH(Q1000, Facturas_Odoo!$B:$B, 0)), 0)))</f>
        <v/>
      </c>
      <c r="AN1000" s="79">
        <f>IF(AND(A1000="", J1000=""), "", IF(A1000&lt;&gt;"", VALUE(MID(A1000,2,LEN(A1000))), AN999))</f>
        <v/>
      </c>
      <c r="AO1000" s="79">
        <f>IF(AN1000="","",IF(AD1000=0,"OK",_xlfn.LET(monedaPago, IF(AA1000="","USD",AA1000), limitePermitido, IFERROR(VLOOKUP(monedaPago, Configuración!$A$2:$B$3, 2, FALSE), 0.15), IF(AD1000&gt;limitePermitido, "ALERTA: EXCESO (" &amp; TEXT(limitePermitido, "0%") &amp; " máx)", "OK"))))</f>
        <v/>
      </c>
      <c r="AP1000" s="79">
        <f>IF(AN1000="","",IF(AE1000=0,"OK",_xlfn.LET(fechaPago, Z1000, fechaFactura, R1000, diasCredito, IF(E1000="Pago inmediato", 0, IFERROR(VALUE(MID(E1000, 1, SEARCH(" ", E1000)-1)),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00" s="79">
        <f>IF(AN1000="","",IF(AND(N1000&gt;0, AG1000&gt;0), IF(Configuración!$K$2="NO", "ALERTA: DESCUENTO DOBLE NO PERMITIDO", "OK"), "OK"))</f>
        <v/>
      </c>
      <c r="AR1000" s="79">
        <f>IF(AN1000="","",IF(OR(AO1000&lt;&gt;"OK", AP1000&lt;&gt;"OK", AQ1000&lt;&gt;"OK"), "⚠️ REVISAR", "OK"))</f>
        <v/>
      </c>
    </row>
    <row r="1001">
      <c r="A1001" s="79">
        <f>IF('Ordenes_Odoo'!A1001="","",'Ordenes_Odoo'!A1001)</f>
        <v/>
      </c>
      <c r="B1001" s="80">
        <f>IF('Ordenes_Odoo'!B1001="","",'Ordenes_Odoo'!B1001)</f>
        <v/>
      </c>
      <c r="C1001" s="79">
        <f>IF('Ordenes_Odoo'!C1001="","",'Ordenes_Odoo'!C1001)</f>
        <v/>
      </c>
      <c r="D1001" s="79">
        <f>IF('Ordenes_Odoo'!D1001="","",'Ordenes_Odoo'!D1001)</f>
        <v/>
      </c>
      <c r="E1001" s="79">
        <f>IF('Ordenes_Odoo'!E1001="","",'Ordenes_Odoo'!E1001)</f>
        <v/>
      </c>
      <c r="F1001" s="79">
        <f>IF('Ordenes_Odoo'!F1001="","",'Ordenes_Odoo'!F1001)</f>
        <v/>
      </c>
      <c r="G1001" s="79">
        <f>IF('Ordenes_Odoo'!G1001="","",'Ordenes_Odoo'!G1001)</f>
        <v/>
      </c>
      <c r="H1001" s="79">
        <f>IF('Ordenes_Odoo'!H1001="","",'Ordenes_Odoo'!H1001)</f>
        <v/>
      </c>
      <c r="I1001" s="79">
        <f>IF('Ordenes_Odoo'!I1001="","",'Ordenes_Odoo'!I1001)</f>
        <v/>
      </c>
      <c r="J1001" s="79">
        <f>IF('Ordenes_Odoo'!J1001="","",'Ordenes_Odoo'!J1001)</f>
        <v/>
      </c>
      <c r="K1001" s="81">
        <f>IF('Ordenes_Odoo'!K1001="","",'Ordenes_Odoo'!K1001)</f>
        <v/>
      </c>
      <c r="L1001" s="81">
        <f>IF('Ordenes_Odoo'!L1001="","",'Ordenes_Odoo'!L1001)</f>
        <v/>
      </c>
      <c r="M1001" s="79">
        <f>IF('Ordenes_Odoo'!M1001="","",'Ordenes_Odoo'!M1001)</f>
        <v/>
      </c>
      <c r="N1001" s="79">
        <f>IF('Ordenes_Odoo'!N1001="","",'Ordenes_Odoo'!N1001)</f>
        <v/>
      </c>
      <c r="O1001" s="81">
        <f>IF('Ordenes_Odoo'!O1001="","",'Ordenes_Odoo'!O1001)</f>
        <v/>
      </c>
      <c r="P1001" s="81">
        <f>IF('Ordenes_Odoo'!P1001="","",'Ordenes_Odoo'!P1001)</f>
        <v/>
      </c>
      <c r="Q1001" s="79">
        <f>IF(A1001="","",IFERROR(INDEX(Facturas_Odoo!$B:$B, MATCH(A1001, Facturas_Odoo!$D:$D, 0)), "Sin Factura"))</f>
        <v/>
      </c>
      <c r="R1001" s="80">
        <f>IF(Q1001="Sin Factura","",IFERROR(INDEX(Facturas_Odoo!$A:$A, MATCH(Q1001, Facturas_Odoo!$B:$B, 0)), ""))</f>
        <v/>
      </c>
      <c r="S1001" s="79">
        <f>IF(Q1001="Sin Factura","",IFERROR(_xlfn.XLOOKUP(1, (Facturas_Odoo!$D:$D=A1001) * (Facturas_Odoo!$K:$K=I1001), Facturas_Odoo!$L:$L, ""), ""))</f>
        <v/>
      </c>
      <c r="T1001" s="81">
        <f>IF(Q1001="Sin Factura",0,IFERROR(_xlfn.XLOOKUP(1, (Facturas_Odoo!$D:$D=A1001) * (Facturas_Odoo!$K:$K=I1001), Facturas_Odoo!$M:$M, 0), 0))</f>
        <v/>
      </c>
      <c r="U1001" s="79">
        <f>IF(Q1001="Sin Factura",0,IFERROR(_xlfn.XLOOKUP(1, (Facturas_Odoo!$D:$D=A1001) * (Facturas_Odoo!$K:$K=I1001), Facturas_Odoo!$N:$N, 0), 0))</f>
        <v/>
      </c>
      <c r="V1001" s="79">
        <f>IF(Q1001="Sin Factura",0,IFERROR(_xlfn.XLOOKUP(1, (Facturas_Odoo!$D:$D=A1001) * (Facturas_Odoo!$K:$K=I1001), Facturas_Odoo!$O:$O, 0), 0))</f>
        <v/>
      </c>
      <c r="W1001" s="81">
        <f>IF(Q1001="Sin Factura",0,IFERROR(_xlfn.XLOOKUP(1, (Facturas_Odoo!$D:$D=A1001) * (Facturas_Odoo!$K:$K=I1001), Facturas_Odoo!$Q:$Q, 0), 0))</f>
        <v/>
      </c>
      <c r="X1001" s="79">
        <f>IF(OR(Q1001="Sin Factura",Q1001=""),"",IFERROR(INDEX(Pagos_Odoo!$B:$B, MATCH(Q1001, Pagos_Odoo!$I:$I, 0)), "Sin Pago"))</f>
        <v/>
      </c>
      <c r="Y1001" s="79">
        <f>IF(X1001="Sin Pago","",IFERROR(INDEX(Pagos_Odoo!$C:$C, MATCH(X1001, Pagos_Odoo!$B:$B, 0)), ""))</f>
        <v/>
      </c>
      <c r="Z1001" s="80">
        <f>IF(X1001="Sin Pago","",IFERROR(INDEX(Pagos_Odoo!$A:$A, MATCH(X1001, Pagos_Odoo!$B:$B, 0)), ""))</f>
        <v/>
      </c>
      <c r="AA1001" s="79">
        <f>IF(X1001="Sin Pago","",IFERROR(INDEX(Pagos_Odoo!$F:$F, MATCH(X1001, Pagos_Odoo!$B:$B, 0)), ""))</f>
        <v/>
      </c>
      <c r="AB1001" s="81">
        <f>IF(X1001="Sin Pago",0,IFERROR(INDEX(Pagos_Odoo!$E:$E, MATCH(X1001, Pagos_Odoo!$B:$B, 0)), 0))</f>
        <v/>
      </c>
      <c r="AC1001" s="79">
        <f>IF(X1001="Sin Pago","",IFERROR(INDEX(Pagos_Odoo!$G:$G, MATCH(X1001, Pagos_Odoo!$B:$B, 0)), ""))</f>
        <v/>
      </c>
      <c r="AD1001" s="82" t="n">
        <v>0</v>
      </c>
      <c r="AE1001" s="82" t="n"/>
      <c r="AF1001" s="82" t="n"/>
      <c r="AG1001" s="82">
        <f>IF(AN1001="","",AD1001+AE1001+AF1001)</f>
        <v/>
      </c>
      <c r="AH1001" s="81">
        <f>IF(AN1001="","",P1001*(1-AG1001))</f>
        <v/>
      </c>
      <c r="AI1001" s="81">
        <f>IF(AN1001="","",IF(Q1001="Sin Factura",0,IFERROR(INDEX(Facturas_Odoo!$H:$H, MATCH(Q1001, Facturas_Odoo!$B:$B, 0)), 0)*(1-AG1001)))</f>
        <v/>
      </c>
      <c r="AJ1001" s="81">
        <f>IF(AN1001="","",_xlfn.LET(idVenta, AN1001&amp;"",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01" s="81">
        <f>IF(AN1001="","",AH1001-AJ1001)</f>
        <v/>
      </c>
      <c r="AL1001" s="81">
        <f>IF(AN1001="","",IF(Q1001="Sin Factura","",AI1001-AJ1001))</f>
        <v/>
      </c>
      <c r="AM1001" s="81">
        <f>IF(AN1001="","",IF(Q1001="Sin Factura",0,P1001-IFERROR(INDEX(Facturas_Odoo!$H:$H, MATCH(Q1001, Facturas_Odoo!$B:$B, 0)), 0)))</f>
        <v/>
      </c>
      <c r="AN1001" s="79">
        <f>IF(AND(A1001="", J1001=""), "", IF(A1001&lt;&gt;"", VALUE(MID(A1001,2,LEN(A1001))), AN1000))</f>
        <v/>
      </c>
      <c r="AO1001" s="79">
        <f>IF(AN1001="","",IF(AD1001=0,"OK",_xlfn.LET(monedaPago, IF(AA1001="","USD",AA1001), limitePermitido, IFERROR(VLOOKUP(monedaPago, Configuración!$A$2:$B$3, 2, FALSE), 0.15), IF(AD1001&gt;limitePermitido, "ALERTA: EXCESO (" &amp; TEXT(limitePermitido, "0%") &amp; " máx)", "OK"))))</f>
        <v/>
      </c>
      <c r="AP1001" s="79">
        <f>IF(AN1001="","",IF(AE1001=0,"OK",_xlfn.LET(fechaPago, Z1001, fechaFactura, R1001, diasCredito, IF(E1001="Pago inmediato", 0, IFERROR(VALUE(MID(E1001, 1, SEARCH(" ", E1001)-1)),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01" s="79">
        <f>IF(AN1001="","",IF(AND(N1001&gt;0, AG1001&gt;0), IF(Configuración!$K$2="NO", "ALERTA: DESCUENTO DOBLE NO PERMITIDO", "OK"), "OK"))</f>
        <v/>
      </c>
      <c r="AR1001" s="79">
        <f>IF(AN1001="","",IF(OR(AO1001&lt;&gt;"OK", AP1001&lt;&gt;"OK", AQ1001&lt;&gt;"OK"), "⚠️ REVISAR", "OK"))</f>
        <v/>
      </c>
    </row>
    <row r="1002">
      <c r="A1002" s="79">
        <f>IF('Ordenes_Odoo'!A1002="","",'Ordenes_Odoo'!A1002)</f>
        <v/>
      </c>
      <c r="B1002" s="80">
        <f>IF('Ordenes_Odoo'!B1002="","",'Ordenes_Odoo'!B1002)</f>
        <v/>
      </c>
      <c r="C1002" s="79">
        <f>IF('Ordenes_Odoo'!C1002="","",'Ordenes_Odoo'!C1002)</f>
        <v/>
      </c>
      <c r="D1002" s="79">
        <f>IF('Ordenes_Odoo'!D1002="","",'Ordenes_Odoo'!D1002)</f>
        <v/>
      </c>
      <c r="E1002" s="79">
        <f>IF('Ordenes_Odoo'!E1002="","",'Ordenes_Odoo'!E1002)</f>
        <v/>
      </c>
      <c r="F1002" s="79">
        <f>IF('Ordenes_Odoo'!F1002="","",'Ordenes_Odoo'!F1002)</f>
        <v/>
      </c>
      <c r="G1002" s="79">
        <f>IF('Ordenes_Odoo'!G1002="","",'Ordenes_Odoo'!G1002)</f>
        <v/>
      </c>
      <c r="H1002" s="79">
        <f>IF('Ordenes_Odoo'!H1002="","",'Ordenes_Odoo'!H1002)</f>
        <v/>
      </c>
      <c r="I1002" s="79">
        <f>IF('Ordenes_Odoo'!I1002="","",'Ordenes_Odoo'!I1002)</f>
        <v/>
      </c>
      <c r="J1002" s="79">
        <f>IF('Ordenes_Odoo'!J1002="","",'Ordenes_Odoo'!J1002)</f>
        <v/>
      </c>
      <c r="K1002" s="81">
        <f>IF('Ordenes_Odoo'!K1002="","",'Ordenes_Odoo'!K1002)</f>
        <v/>
      </c>
      <c r="L1002" s="81">
        <f>IF('Ordenes_Odoo'!L1002="","",'Ordenes_Odoo'!L1002)</f>
        <v/>
      </c>
      <c r="M1002" s="79">
        <f>IF('Ordenes_Odoo'!M1002="","",'Ordenes_Odoo'!M1002)</f>
        <v/>
      </c>
      <c r="N1002" s="79">
        <f>IF('Ordenes_Odoo'!N1002="","",'Ordenes_Odoo'!N1002)</f>
        <v/>
      </c>
      <c r="O1002" s="81">
        <f>IF('Ordenes_Odoo'!O1002="","",'Ordenes_Odoo'!O1002)</f>
        <v/>
      </c>
      <c r="P1002" s="81">
        <f>IF('Ordenes_Odoo'!P1002="","",'Ordenes_Odoo'!P1002)</f>
        <v/>
      </c>
      <c r="Q1002" s="79">
        <f>IF(A1002="","",IFERROR(INDEX(Facturas_Odoo!$B:$B, MATCH(A1002, Facturas_Odoo!$D:$D, 0)), "Sin Factura"))</f>
        <v/>
      </c>
      <c r="R1002" s="80">
        <f>IF(Q1002="Sin Factura","",IFERROR(INDEX(Facturas_Odoo!$A:$A, MATCH(Q1002, Facturas_Odoo!$B:$B, 0)), ""))</f>
        <v/>
      </c>
      <c r="S1002" s="79">
        <f>IF(Q1002="Sin Factura","",IFERROR(_xlfn.XLOOKUP(1, (Facturas_Odoo!$D:$D=A1002) * (Facturas_Odoo!$K:$K=I1002), Facturas_Odoo!$L:$L, ""), ""))</f>
        <v/>
      </c>
      <c r="T1002" s="81">
        <f>IF(Q1002="Sin Factura",0,IFERROR(_xlfn.XLOOKUP(1, (Facturas_Odoo!$D:$D=A1002) * (Facturas_Odoo!$K:$K=I1002), Facturas_Odoo!$M:$M, 0), 0))</f>
        <v/>
      </c>
      <c r="U1002" s="79">
        <f>IF(Q1002="Sin Factura",0,IFERROR(_xlfn.XLOOKUP(1, (Facturas_Odoo!$D:$D=A1002) * (Facturas_Odoo!$K:$K=I1002), Facturas_Odoo!$N:$N, 0), 0))</f>
        <v/>
      </c>
      <c r="V1002" s="79">
        <f>IF(Q1002="Sin Factura",0,IFERROR(_xlfn.XLOOKUP(1, (Facturas_Odoo!$D:$D=A1002) * (Facturas_Odoo!$K:$K=I1002), Facturas_Odoo!$O:$O, 0), 0))</f>
        <v/>
      </c>
      <c r="W1002" s="81">
        <f>IF(Q1002="Sin Factura",0,IFERROR(_xlfn.XLOOKUP(1, (Facturas_Odoo!$D:$D=A1002) * (Facturas_Odoo!$K:$K=I1002), Facturas_Odoo!$Q:$Q, 0), 0))</f>
        <v/>
      </c>
      <c r="X1002" s="79">
        <f>IF(OR(Q1002="Sin Factura",Q1002=""),"",IFERROR(INDEX(Pagos_Odoo!$B:$B, MATCH(Q1002, Pagos_Odoo!$I:$I, 0)), "Sin Pago"))</f>
        <v/>
      </c>
      <c r="Y1002" s="79">
        <f>IF(X1002="Sin Pago","",IFERROR(INDEX(Pagos_Odoo!$C:$C, MATCH(X1002, Pagos_Odoo!$B:$B, 0)), ""))</f>
        <v/>
      </c>
      <c r="Z1002" s="80">
        <f>IF(X1002="Sin Pago","",IFERROR(INDEX(Pagos_Odoo!$A:$A, MATCH(X1002, Pagos_Odoo!$B:$B, 0)), ""))</f>
        <v/>
      </c>
      <c r="AA1002" s="79">
        <f>IF(X1002="Sin Pago","",IFERROR(INDEX(Pagos_Odoo!$F:$F, MATCH(X1002, Pagos_Odoo!$B:$B, 0)), ""))</f>
        <v/>
      </c>
      <c r="AB1002" s="81">
        <f>IF(X1002="Sin Pago",0,IFERROR(INDEX(Pagos_Odoo!$E:$E, MATCH(X1002, Pagos_Odoo!$B:$B, 0)), 0))</f>
        <v/>
      </c>
      <c r="AC1002" s="79">
        <f>IF(X1002="Sin Pago","",IFERROR(INDEX(Pagos_Odoo!$G:$G, MATCH(X1002, Pagos_Odoo!$B:$B, 0)), ""))</f>
        <v/>
      </c>
      <c r="AD1002" s="82" t="n">
        <v>0</v>
      </c>
      <c r="AE1002" s="82" t="n"/>
      <c r="AF1002" s="82" t="n"/>
      <c r="AG1002" s="82">
        <f>IF(AN1002="","",AD1002+AE1002+AF1002)</f>
        <v/>
      </c>
      <c r="AH1002" s="81">
        <f>IF(AN1002="","",P1002*(1-AG1002))</f>
        <v/>
      </c>
      <c r="AI1002" s="81">
        <f>IF(AN1002="","",IF(Q1002="Sin Factura",0,IFERROR(INDEX(Facturas_Odoo!$H:$H, MATCH(Q1002, Facturas_Odoo!$B:$B, 0)), 0)*(1-AG1002)))</f>
        <v/>
      </c>
      <c r="AJ1002" s="81">
        <f>IF(AN1002="","",_xlfn.LET(idVenta, AN1002&amp;"",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02" s="81">
        <f>IF(AN1002="","",AH1002-AJ1002)</f>
        <v/>
      </c>
      <c r="AL1002" s="81">
        <f>IF(AN1002="","",IF(Q1002="Sin Factura","",AI1002-AJ1002))</f>
        <v/>
      </c>
      <c r="AM1002" s="81">
        <f>IF(AN1002="","",IF(Q1002="Sin Factura",0,P1002-IFERROR(INDEX(Facturas_Odoo!$H:$H, MATCH(Q1002, Facturas_Odoo!$B:$B, 0)), 0)))</f>
        <v/>
      </c>
      <c r="AN1002" s="79">
        <f>IF(AND(A1002="", J1002=""), "", IF(A1002&lt;&gt;"", VALUE(MID(A1002,2,LEN(A1002))), AN1001))</f>
        <v/>
      </c>
      <c r="AO1002" s="79">
        <f>IF(AN1002="","",IF(AD1002=0,"OK",_xlfn.LET(monedaPago, IF(AA1002="","USD",AA1002), limitePermitido, IFERROR(VLOOKUP(monedaPago, Configuración!$A$2:$B$3, 2, FALSE), 0.15), IF(AD1002&gt;limitePermitido, "ALERTA: EXCESO (" &amp; TEXT(limitePermitido, "0%") &amp; " máx)", "OK"))))</f>
        <v/>
      </c>
      <c r="AP1002" s="79">
        <f>IF(AN1002="","",IF(AE1002=0,"OK",_xlfn.LET(fechaPago, Z1002, fechaFactura, R1002, diasCredito, IF(E1002="Pago inmediato", 0, IFERROR(VALUE(MID(E1002, 1, SEARCH(" ", E1002)-1)),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02" s="79">
        <f>IF(AN1002="","",IF(AND(N1002&gt;0, AG1002&gt;0), IF(Configuración!$K$2="NO", "ALERTA: DESCUENTO DOBLE NO PERMITIDO", "OK"), "OK"))</f>
        <v/>
      </c>
      <c r="AR1002" s="79">
        <f>IF(AN1002="","",IF(OR(AO1002&lt;&gt;"OK", AP1002&lt;&gt;"OK", AQ1002&lt;&gt;"OK"), "⚠️ REVISAR", "OK"))</f>
        <v/>
      </c>
    </row>
    <row r="1003">
      <c r="A1003" s="79">
        <f>IF('Ordenes_Odoo'!A1003="","",'Ordenes_Odoo'!A1003)</f>
        <v/>
      </c>
      <c r="B1003" s="80">
        <f>IF('Ordenes_Odoo'!B1003="","",'Ordenes_Odoo'!B1003)</f>
        <v/>
      </c>
      <c r="C1003" s="79">
        <f>IF('Ordenes_Odoo'!C1003="","",'Ordenes_Odoo'!C1003)</f>
        <v/>
      </c>
      <c r="D1003" s="79">
        <f>IF('Ordenes_Odoo'!D1003="","",'Ordenes_Odoo'!D1003)</f>
        <v/>
      </c>
      <c r="E1003" s="79">
        <f>IF('Ordenes_Odoo'!E1003="","",'Ordenes_Odoo'!E1003)</f>
        <v/>
      </c>
      <c r="F1003" s="79">
        <f>IF('Ordenes_Odoo'!F1003="","",'Ordenes_Odoo'!F1003)</f>
        <v/>
      </c>
      <c r="G1003" s="79">
        <f>IF('Ordenes_Odoo'!G1003="","",'Ordenes_Odoo'!G1003)</f>
        <v/>
      </c>
      <c r="H1003" s="79">
        <f>IF('Ordenes_Odoo'!H1003="","",'Ordenes_Odoo'!H1003)</f>
        <v/>
      </c>
      <c r="I1003" s="79">
        <f>IF('Ordenes_Odoo'!I1003="","",'Ordenes_Odoo'!I1003)</f>
        <v/>
      </c>
      <c r="J1003" s="79">
        <f>IF('Ordenes_Odoo'!J1003="","",'Ordenes_Odoo'!J1003)</f>
        <v/>
      </c>
      <c r="K1003" s="81">
        <f>IF('Ordenes_Odoo'!K1003="","",'Ordenes_Odoo'!K1003)</f>
        <v/>
      </c>
      <c r="L1003" s="81">
        <f>IF('Ordenes_Odoo'!L1003="","",'Ordenes_Odoo'!L1003)</f>
        <v/>
      </c>
      <c r="M1003" s="79">
        <f>IF('Ordenes_Odoo'!M1003="","",'Ordenes_Odoo'!M1003)</f>
        <v/>
      </c>
      <c r="N1003" s="79">
        <f>IF('Ordenes_Odoo'!N1003="","",'Ordenes_Odoo'!N1003)</f>
        <v/>
      </c>
      <c r="O1003" s="81">
        <f>IF('Ordenes_Odoo'!O1003="","",'Ordenes_Odoo'!O1003)</f>
        <v/>
      </c>
      <c r="P1003" s="81">
        <f>IF('Ordenes_Odoo'!P1003="","",'Ordenes_Odoo'!P1003)</f>
        <v/>
      </c>
      <c r="Q1003" s="79">
        <f>IF(A1003="","",IFERROR(INDEX(Facturas_Odoo!$B:$B, MATCH(A1003, Facturas_Odoo!$D:$D, 0)), "Sin Factura"))</f>
        <v/>
      </c>
      <c r="R1003" s="80">
        <f>IF(Q1003="Sin Factura","",IFERROR(INDEX(Facturas_Odoo!$A:$A, MATCH(Q1003, Facturas_Odoo!$B:$B, 0)), ""))</f>
        <v/>
      </c>
      <c r="S1003" s="79">
        <f>IF(Q1003="Sin Factura","",IFERROR(_xlfn.XLOOKUP(1, (Facturas_Odoo!$D:$D=A1003) * (Facturas_Odoo!$K:$K=I1003), Facturas_Odoo!$L:$L, ""), ""))</f>
        <v/>
      </c>
      <c r="T1003" s="81">
        <f>IF(Q1003="Sin Factura",0,IFERROR(_xlfn.XLOOKUP(1, (Facturas_Odoo!$D:$D=A1003) * (Facturas_Odoo!$K:$K=I1003), Facturas_Odoo!$M:$M, 0), 0))</f>
        <v/>
      </c>
      <c r="U1003" s="79">
        <f>IF(Q1003="Sin Factura",0,IFERROR(_xlfn.XLOOKUP(1, (Facturas_Odoo!$D:$D=A1003) * (Facturas_Odoo!$K:$K=I1003), Facturas_Odoo!$N:$N, 0), 0))</f>
        <v/>
      </c>
      <c r="V1003" s="79">
        <f>IF(Q1003="Sin Factura",0,IFERROR(_xlfn.XLOOKUP(1, (Facturas_Odoo!$D:$D=A1003) * (Facturas_Odoo!$K:$K=I1003), Facturas_Odoo!$O:$O, 0), 0))</f>
        <v/>
      </c>
      <c r="W1003" s="81">
        <f>IF(Q1003="Sin Factura",0,IFERROR(_xlfn.XLOOKUP(1, (Facturas_Odoo!$D:$D=A1003) * (Facturas_Odoo!$K:$K=I1003), Facturas_Odoo!$Q:$Q, 0), 0))</f>
        <v/>
      </c>
      <c r="X1003" s="79">
        <f>IF(OR(Q1003="Sin Factura",Q1003=""),"",IFERROR(INDEX(Pagos_Odoo!$B:$B, MATCH(Q1003, Pagos_Odoo!$I:$I, 0)), "Sin Pago"))</f>
        <v/>
      </c>
      <c r="Y1003" s="79">
        <f>IF(X1003="Sin Pago","",IFERROR(INDEX(Pagos_Odoo!$C:$C, MATCH(X1003, Pagos_Odoo!$B:$B, 0)), ""))</f>
        <v/>
      </c>
      <c r="Z1003" s="80">
        <f>IF(X1003="Sin Pago","",IFERROR(INDEX(Pagos_Odoo!$A:$A, MATCH(X1003, Pagos_Odoo!$B:$B, 0)), ""))</f>
        <v/>
      </c>
      <c r="AA1003" s="79">
        <f>IF(X1003="Sin Pago","",IFERROR(INDEX(Pagos_Odoo!$F:$F, MATCH(X1003, Pagos_Odoo!$B:$B, 0)), ""))</f>
        <v/>
      </c>
      <c r="AB1003" s="81">
        <f>IF(X1003="Sin Pago",0,IFERROR(INDEX(Pagos_Odoo!$E:$E, MATCH(X1003, Pagos_Odoo!$B:$B, 0)), 0))</f>
        <v/>
      </c>
      <c r="AC1003" s="79">
        <f>IF(X1003="Sin Pago","",IFERROR(INDEX(Pagos_Odoo!$G:$G, MATCH(X1003, Pagos_Odoo!$B:$B, 0)), ""))</f>
        <v/>
      </c>
      <c r="AD1003" s="82" t="n">
        <v>0</v>
      </c>
      <c r="AE1003" s="82" t="n"/>
      <c r="AF1003" s="82" t="n"/>
      <c r="AG1003" s="82">
        <f>IF(AN1003="","",AD1003+AE1003+AF1003)</f>
        <v/>
      </c>
      <c r="AH1003" s="81">
        <f>IF(AN1003="","",P1003*(1-AG1003))</f>
        <v/>
      </c>
      <c r="AI1003" s="81">
        <f>IF(AN1003="","",IF(Q1003="Sin Factura",0,IFERROR(INDEX(Facturas_Odoo!$H:$H, MATCH(Q1003, Facturas_Odoo!$B:$B, 0)), 0)*(1-AG1003)))</f>
        <v/>
      </c>
      <c r="AJ1003" s="81">
        <f>IF(AN1003="","",_xlfn.LET(idVenta, AN1003&amp;"",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03" s="81">
        <f>IF(AN1003="","",AH1003-AJ1003)</f>
        <v/>
      </c>
      <c r="AL1003" s="81">
        <f>IF(AN1003="","",IF(Q1003="Sin Factura","",AI1003-AJ1003))</f>
        <v/>
      </c>
      <c r="AM1003" s="81">
        <f>IF(AN1003="","",IF(Q1003="Sin Factura",0,P1003-IFERROR(INDEX(Facturas_Odoo!$H:$H, MATCH(Q1003, Facturas_Odoo!$B:$B, 0)), 0)))</f>
        <v/>
      </c>
      <c r="AN1003" s="79">
        <f>IF(AND(A1003="", J1003=""), "", IF(A1003&lt;&gt;"", VALUE(MID(A1003,2,LEN(A1003))), AN1002))</f>
        <v/>
      </c>
      <c r="AO1003" s="79">
        <f>IF(AN1003="","",IF(AD1003=0,"OK",_xlfn.LET(monedaPago, IF(AA1003="","USD",AA1003), limitePermitido, IFERROR(VLOOKUP(monedaPago, Configuración!$A$2:$B$3, 2, FALSE), 0.15), IF(AD1003&gt;limitePermitido, "ALERTA: EXCESO (" &amp; TEXT(limitePermitido, "0%") &amp; " máx)", "OK"))))</f>
        <v/>
      </c>
      <c r="AP1003" s="79">
        <f>IF(AN1003="","",IF(AE1003=0,"OK",_xlfn.LET(fechaPago, Z1003, fechaFactura, R1003, diasCredito, IF(E1003="Pago inmediato", 0, IFERROR(VALUE(MID(E1003, 1, SEARCH(" ", E1003)-1)),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03" s="79">
        <f>IF(AN1003="","",IF(AND(N1003&gt;0, AG1003&gt;0), IF(Configuración!$K$2="NO", "ALERTA: DESCUENTO DOBLE NO PERMITIDO", "OK"), "OK"))</f>
        <v/>
      </c>
      <c r="AR1003" s="79">
        <f>IF(AN1003="","",IF(OR(AO1003&lt;&gt;"OK", AP1003&lt;&gt;"OK", AQ1003&lt;&gt;"OK"), "⚠️ REVISAR", "OK"))</f>
        <v/>
      </c>
    </row>
    <row r="1004">
      <c r="A1004" s="79">
        <f>IF('Ordenes_Odoo'!A1004="","",'Ordenes_Odoo'!A1004)</f>
        <v/>
      </c>
      <c r="B1004" s="80">
        <f>IF('Ordenes_Odoo'!B1004="","",'Ordenes_Odoo'!B1004)</f>
        <v/>
      </c>
      <c r="C1004" s="79">
        <f>IF('Ordenes_Odoo'!C1004="","",'Ordenes_Odoo'!C1004)</f>
        <v/>
      </c>
      <c r="D1004" s="79">
        <f>IF('Ordenes_Odoo'!D1004="","",'Ordenes_Odoo'!D1004)</f>
        <v/>
      </c>
      <c r="E1004" s="79">
        <f>IF('Ordenes_Odoo'!E1004="","",'Ordenes_Odoo'!E1004)</f>
        <v/>
      </c>
      <c r="F1004" s="79">
        <f>IF('Ordenes_Odoo'!F1004="","",'Ordenes_Odoo'!F1004)</f>
        <v/>
      </c>
      <c r="G1004" s="79">
        <f>IF('Ordenes_Odoo'!G1004="","",'Ordenes_Odoo'!G1004)</f>
        <v/>
      </c>
      <c r="H1004" s="79">
        <f>IF('Ordenes_Odoo'!H1004="","",'Ordenes_Odoo'!H1004)</f>
        <v/>
      </c>
      <c r="I1004" s="79">
        <f>IF('Ordenes_Odoo'!I1004="","",'Ordenes_Odoo'!I1004)</f>
        <v/>
      </c>
      <c r="J1004" s="79">
        <f>IF('Ordenes_Odoo'!J1004="","",'Ordenes_Odoo'!J1004)</f>
        <v/>
      </c>
      <c r="K1004" s="81">
        <f>IF('Ordenes_Odoo'!K1004="","",'Ordenes_Odoo'!K1004)</f>
        <v/>
      </c>
      <c r="L1004" s="81">
        <f>IF('Ordenes_Odoo'!L1004="","",'Ordenes_Odoo'!L1004)</f>
        <v/>
      </c>
      <c r="M1004" s="79">
        <f>IF('Ordenes_Odoo'!M1004="","",'Ordenes_Odoo'!M1004)</f>
        <v/>
      </c>
      <c r="N1004" s="79">
        <f>IF('Ordenes_Odoo'!N1004="","",'Ordenes_Odoo'!N1004)</f>
        <v/>
      </c>
      <c r="O1004" s="81">
        <f>IF('Ordenes_Odoo'!O1004="","",'Ordenes_Odoo'!O1004)</f>
        <v/>
      </c>
      <c r="P1004" s="81">
        <f>IF('Ordenes_Odoo'!P1004="","",'Ordenes_Odoo'!P1004)</f>
        <v/>
      </c>
      <c r="Q1004" s="79">
        <f>IF(A1004="","",IFERROR(INDEX(Facturas_Odoo!$B:$B, MATCH(A1004, Facturas_Odoo!$D:$D, 0)), "Sin Factura"))</f>
        <v/>
      </c>
      <c r="R1004" s="80">
        <f>IF(Q1004="Sin Factura","",IFERROR(INDEX(Facturas_Odoo!$A:$A, MATCH(Q1004, Facturas_Odoo!$B:$B, 0)), ""))</f>
        <v/>
      </c>
      <c r="S1004" s="79">
        <f>IF(Q1004="Sin Factura","",IFERROR(_xlfn.XLOOKUP(1, (Facturas_Odoo!$D:$D=A1004) * (Facturas_Odoo!$K:$K=I1004), Facturas_Odoo!$L:$L, ""), ""))</f>
        <v/>
      </c>
      <c r="T1004" s="81">
        <f>IF(Q1004="Sin Factura",0,IFERROR(_xlfn.XLOOKUP(1, (Facturas_Odoo!$D:$D=A1004) * (Facturas_Odoo!$K:$K=I1004), Facturas_Odoo!$M:$M, 0), 0))</f>
        <v/>
      </c>
      <c r="U1004" s="79">
        <f>IF(Q1004="Sin Factura",0,IFERROR(_xlfn.XLOOKUP(1, (Facturas_Odoo!$D:$D=A1004) * (Facturas_Odoo!$K:$K=I1004), Facturas_Odoo!$N:$N, 0), 0))</f>
        <v/>
      </c>
      <c r="V1004" s="79">
        <f>IF(Q1004="Sin Factura",0,IFERROR(_xlfn.XLOOKUP(1, (Facturas_Odoo!$D:$D=A1004) * (Facturas_Odoo!$K:$K=I1004), Facturas_Odoo!$O:$O, 0), 0))</f>
        <v/>
      </c>
      <c r="W1004" s="81">
        <f>IF(Q1004="Sin Factura",0,IFERROR(_xlfn.XLOOKUP(1, (Facturas_Odoo!$D:$D=A1004) * (Facturas_Odoo!$K:$K=I1004), Facturas_Odoo!$Q:$Q, 0), 0))</f>
        <v/>
      </c>
      <c r="X1004" s="79">
        <f>IF(OR(Q1004="Sin Factura",Q1004=""),"",IFERROR(INDEX(Pagos_Odoo!$B:$B, MATCH(Q1004, Pagos_Odoo!$I:$I, 0)), "Sin Pago"))</f>
        <v/>
      </c>
      <c r="Y1004" s="79">
        <f>IF(X1004="Sin Pago","",IFERROR(INDEX(Pagos_Odoo!$C:$C, MATCH(X1004, Pagos_Odoo!$B:$B, 0)), ""))</f>
        <v/>
      </c>
      <c r="Z1004" s="80">
        <f>IF(X1004="Sin Pago","",IFERROR(INDEX(Pagos_Odoo!$A:$A, MATCH(X1004, Pagos_Odoo!$B:$B, 0)), ""))</f>
        <v/>
      </c>
      <c r="AA1004" s="79">
        <f>IF(X1004="Sin Pago","",IFERROR(INDEX(Pagos_Odoo!$F:$F, MATCH(X1004, Pagos_Odoo!$B:$B, 0)), ""))</f>
        <v/>
      </c>
      <c r="AB1004" s="81">
        <f>IF(X1004="Sin Pago",0,IFERROR(INDEX(Pagos_Odoo!$E:$E, MATCH(X1004, Pagos_Odoo!$B:$B, 0)), 0))</f>
        <v/>
      </c>
      <c r="AC1004" s="79">
        <f>IF(X1004="Sin Pago","",IFERROR(INDEX(Pagos_Odoo!$G:$G, MATCH(X1004, Pagos_Odoo!$B:$B, 0)), ""))</f>
        <v/>
      </c>
      <c r="AD1004" s="82" t="n">
        <v>0</v>
      </c>
      <c r="AE1004" s="82" t="n"/>
      <c r="AF1004" s="82" t="n"/>
      <c r="AG1004" s="82">
        <f>IF(AN1004="","",AD1004+AE1004+AF1004)</f>
        <v/>
      </c>
      <c r="AH1004" s="81">
        <f>IF(AN1004="","",P1004*(1-AG1004))</f>
        <v/>
      </c>
      <c r="AI1004" s="81">
        <f>IF(AN1004="","",IF(Q1004="Sin Factura",0,IFERROR(INDEX(Facturas_Odoo!$H:$H, MATCH(Q1004, Facturas_Odoo!$B:$B, 0)), 0)*(1-AG1004)))</f>
        <v/>
      </c>
      <c r="AJ1004" s="81">
        <f>IF(AN1004="","",_xlfn.LET(idVenta, AN1004&amp;"",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04" s="81">
        <f>IF(AN1004="","",AH1004-AJ1004)</f>
        <v/>
      </c>
      <c r="AL1004" s="81">
        <f>IF(AN1004="","",IF(Q1004="Sin Factura","",AI1004-AJ1004))</f>
        <v/>
      </c>
      <c r="AM1004" s="81">
        <f>IF(AN1004="","",IF(Q1004="Sin Factura",0,P1004-IFERROR(INDEX(Facturas_Odoo!$H:$H, MATCH(Q1004, Facturas_Odoo!$B:$B, 0)), 0)))</f>
        <v/>
      </c>
      <c r="AN1004" s="79">
        <f>IF(AND(A1004="", J1004=""), "", IF(A1004&lt;&gt;"", VALUE(MID(A1004,2,LEN(A1004))), AN1003))</f>
        <v/>
      </c>
      <c r="AO1004" s="79">
        <f>IF(AN1004="","",IF(AD1004=0,"OK",_xlfn.LET(monedaPago, IF(AA1004="","USD",AA1004), limitePermitido, IFERROR(VLOOKUP(monedaPago, Configuración!$A$2:$B$3, 2, FALSE), 0.15), IF(AD1004&gt;limitePermitido, "ALERTA: EXCESO (" &amp; TEXT(limitePermitido, "0%") &amp; " máx)", "OK"))))</f>
        <v/>
      </c>
      <c r="AP1004" s="79">
        <f>IF(AN1004="","",IF(AE1004=0,"OK",_xlfn.LET(fechaPago, Z1004, fechaFactura, R1004, diasCredito, IF(E1004="Pago inmediato", 0, IFERROR(VALUE(MID(E1004, 1, SEARCH(" ", E1004)-1)),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04" s="79">
        <f>IF(AN1004="","",IF(AND(N1004&gt;0, AG1004&gt;0), IF(Configuración!$K$2="NO", "ALERTA: DESCUENTO DOBLE NO PERMITIDO", "OK"), "OK"))</f>
        <v/>
      </c>
      <c r="AR1004" s="79">
        <f>IF(AN1004="","",IF(OR(AO1004&lt;&gt;"OK", AP1004&lt;&gt;"OK", AQ1004&lt;&gt;"OK"), "⚠️ REVISAR", "OK"))</f>
        <v/>
      </c>
    </row>
    <row r="1005">
      <c r="A1005" s="79">
        <f>IF('Ordenes_Odoo'!A1005="","",'Ordenes_Odoo'!A1005)</f>
        <v/>
      </c>
      <c r="B1005" s="80">
        <f>IF('Ordenes_Odoo'!B1005="","",'Ordenes_Odoo'!B1005)</f>
        <v/>
      </c>
      <c r="C1005" s="79">
        <f>IF('Ordenes_Odoo'!C1005="","",'Ordenes_Odoo'!C1005)</f>
        <v/>
      </c>
      <c r="D1005" s="79">
        <f>IF('Ordenes_Odoo'!D1005="","",'Ordenes_Odoo'!D1005)</f>
        <v/>
      </c>
      <c r="E1005" s="79">
        <f>IF('Ordenes_Odoo'!E1005="","",'Ordenes_Odoo'!E1005)</f>
        <v/>
      </c>
      <c r="F1005" s="79">
        <f>IF('Ordenes_Odoo'!F1005="","",'Ordenes_Odoo'!F1005)</f>
        <v/>
      </c>
      <c r="G1005" s="79">
        <f>IF('Ordenes_Odoo'!G1005="","",'Ordenes_Odoo'!G1005)</f>
        <v/>
      </c>
      <c r="H1005" s="79">
        <f>IF('Ordenes_Odoo'!H1005="","",'Ordenes_Odoo'!H1005)</f>
        <v/>
      </c>
      <c r="I1005" s="79">
        <f>IF('Ordenes_Odoo'!I1005="","",'Ordenes_Odoo'!I1005)</f>
        <v/>
      </c>
      <c r="J1005" s="79">
        <f>IF('Ordenes_Odoo'!J1005="","",'Ordenes_Odoo'!J1005)</f>
        <v/>
      </c>
      <c r="K1005" s="81">
        <f>IF('Ordenes_Odoo'!K1005="","",'Ordenes_Odoo'!K1005)</f>
        <v/>
      </c>
      <c r="L1005" s="81">
        <f>IF('Ordenes_Odoo'!L1005="","",'Ordenes_Odoo'!L1005)</f>
        <v/>
      </c>
      <c r="M1005" s="79">
        <f>IF('Ordenes_Odoo'!M1005="","",'Ordenes_Odoo'!M1005)</f>
        <v/>
      </c>
      <c r="N1005" s="79">
        <f>IF('Ordenes_Odoo'!N1005="","",'Ordenes_Odoo'!N1005)</f>
        <v/>
      </c>
      <c r="O1005" s="81">
        <f>IF('Ordenes_Odoo'!O1005="","",'Ordenes_Odoo'!O1005)</f>
        <v/>
      </c>
      <c r="P1005" s="81">
        <f>IF('Ordenes_Odoo'!P1005="","",'Ordenes_Odoo'!P1005)</f>
        <v/>
      </c>
      <c r="Q1005" s="79">
        <f>IF(A1005="","",IFERROR(INDEX(Facturas_Odoo!$B:$B, MATCH(A1005, Facturas_Odoo!$D:$D, 0)), "Sin Factura"))</f>
        <v/>
      </c>
      <c r="R1005" s="80">
        <f>IF(Q1005="Sin Factura","",IFERROR(INDEX(Facturas_Odoo!$A:$A, MATCH(Q1005, Facturas_Odoo!$B:$B, 0)), ""))</f>
        <v/>
      </c>
      <c r="S1005" s="79">
        <f>IF(Q1005="Sin Factura","",IFERROR(_xlfn.XLOOKUP(1, (Facturas_Odoo!$D:$D=A1005) * (Facturas_Odoo!$K:$K=I1005), Facturas_Odoo!$L:$L, ""), ""))</f>
        <v/>
      </c>
      <c r="T1005" s="81">
        <f>IF(Q1005="Sin Factura",0,IFERROR(_xlfn.XLOOKUP(1, (Facturas_Odoo!$D:$D=A1005) * (Facturas_Odoo!$K:$K=I1005), Facturas_Odoo!$M:$M, 0), 0))</f>
        <v/>
      </c>
      <c r="U1005" s="79">
        <f>IF(Q1005="Sin Factura",0,IFERROR(_xlfn.XLOOKUP(1, (Facturas_Odoo!$D:$D=A1005) * (Facturas_Odoo!$K:$K=I1005), Facturas_Odoo!$N:$N, 0), 0))</f>
        <v/>
      </c>
      <c r="V1005" s="79">
        <f>IF(Q1005="Sin Factura",0,IFERROR(_xlfn.XLOOKUP(1, (Facturas_Odoo!$D:$D=A1005) * (Facturas_Odoo!$K:$K=I1005), Facturas_Odoo!$O:$O, 0), 0))</f>
        <v/>
      </c>
      <c r="W1005" s="81">
        <f>IF(Q1005="Sin Factura",0,IFERROR(_xlfn.XLOOKUP(1, (Facturas_Odoo!$D:$D=A1005) * (Facturas_Odoo!$K:$K=I1005), Facturas_Odoo!$Q:$Q, 0), 0))</f>
        <v/>
      </c>
      <c r="X1005" s="79">
        <f>IF(OR(Q1005="Sin Factura",Q1005=""),"",IFERROR(INDEX(Pagos_Odoo!$B:$B, MATCH(Q1005, Pagos_Odoo!$I:$I, 0)), "Sin Pago"))</f>
        <v/>
      </c>
      <c r="Y1005" s="79">
        <f>IF(X1005="Sin Pago","",IFERROR(INDEX(Pagos_Odoo!$C:$C, MATCH(X1005, Pagos_Odoo!$B:$B, 0)), ""))</f>
        <v/>
      </c>
      <c r="Z1005" s="80">
        <f>IF(X1005="Sin Pago","",IFERROR(INDEX(Pagos_Odoo!$A:$A, MATCH(X1005, Pagos_Odoo!$B:$B, 0)), ""))</f>
        <v/>
      </c>
      <c r="AA1005" s="79">
        <f>IF(X1005="Sin Pago","",IFERROR(INDEX(Pagos_Odoo!$F:$F, MATCH(X1005, Pagos_Odoo!$B:$B, 0)), ""))</f>
        <v/>
      </c>
      <c r="AB1005" s="81">
        <f>IF(X1005="Sin Pago",0,IFERROR(INDEX(Pagos_Odoo!$E:$E, MATCH(X1005, Pagos_Odoo!$B:$B, 0)), 0))</f>
        <v/>
      </c>
      <c r="AC1005" s="79">
        <f>IF(X1005="Sin Pago","",IFERROR(INDEX(Pagos_Odoo!$G:$G, MATCH(X1005, Pagos_Odoo!$B:$B, 0)), ""))</f>
        <v/>
      </c>
      <c r="AD1005" s="82" t="n">
        <v>0</v>
      </c>
      <c r="AE1005" s="82" t="n"/>
      <c r="AF1005" s="82" t="n"/>
      <c r="AG1005" s="82">
        <f>IF(AN1005="","",AD1005+AE1005+AF1005)</f>
        <v/>
      </c>
      <c r="AH1005" s="81">
        <f>IF(AN1005="","",P1005*(1-AG1005))</f>
        <v/>
      </c>
      <c r="AI1005" s="81">
        <f>IF(AN1005="","",IF(Q1005="Sin Factura",0,IFERROR(INDEX(Facturas_Odoo!$H:$H, MATCH(Q1005, Facturas_Odoo!$B:$B, 0)), 0)*(1-AG1005)))</f>
        <v/>
      </c>
      <c r="AJ1005" s="81">
        <f>IF(AN1005="","",_xlfn.LET(idVenta, AN1005&amp;"",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05" s="81">
        <f>IF(AN1005="","",AH1005-AJ1005)</f>
        <v/>
      </c>
      <c r="AL1005" s="81">
        <f>IF(AN1005="","",IF(Q1005="Sin Factura","",AI1005-AJ1005))</f>
        <v/>
      </c>
      <c r="AM1005" s="81">
        <f>IF(AN1005="","",IF(Q1005="Sin Factura",0,P1005-IFERROR(INDEX(Facturas_Odoo!$H:$H, MATCH(Q1005, Facturas_Odoo!$B:$B, 0)), 0)))</f>
        <v/>
      </c>
      <c r="AN1005" s="79">
        <f>IF(AND(A1005="", J1005=""), "", IF(A1005&lt;&gt;"", VALUE(MID(A1005,2,LEN(A1005))), AN1004))</f>
        <v/>
      </c>
      <c r="AO1005" s="79">
        <f>IF(AN1005="","",IF(AD1005=0,"OK",_xlfn.LET(monedaPago, IF(AA1005="","USD",AA1005), limitePermitido, IFERROR(VLOOKUP(monedaPago, Configuración!$A$2:$B$3, 2, FALSE), 0.15), IF(AD1005&gt;limitePermitido, "ALERTA: EXCESO (" &amp; TEXT(limitePermitido, "0%") &amp; " máx)", "OK"))))</f>
        <v/>
      </c>
      <c r="AP1005" s="79">
        <f>IF(AN1005="","",IF(AE1005=0,"OK",_xlfn.LET(fechaPago, Z1005, fechaFactura, R1005, diasCredito, IF(E1005="Pago inmediato", 0, IFERROR(VALUE(MID(E1005, 1, SEARCH(" ", E1005)-1)),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05" s="79">
        <f>IF(AN1005="","",IF(AND(N1005&gt;0, AG1005&gt;0), IF(Configuración!$K$2="NO", "ALERTA: DESCUENTO DOBLE NO PERMITIDO", "OK"), "OK"))</f>
        <v/>
      </c>
      <c r="AR1005" s="79">
        <f>IF(AN1005="","",IF(OR(AO1005&lt;&gt;"OK", AP1005&lt;&gt;"OK", AQ1005&lt;&gt;"OK"), "⚠️ REVISAR", "OK"))</f>
        <v/>
      </c>
    </row>
    <row r="1006">
      <c r="A1006" s="79">
        <f>IF('Ordenes_Odoo'!A1006="","",'Ordenes_Odoo'!A1006)</f>
        <v/>
      </c>
      <c r="B1006" s="80">
        <f>IF('Ordenes_Odoo'!B1006="","",'Ordenes_Odoo'!B1006)</f>
        <v/>
      </c>
      <c r="C1006" s="79">
        <f>IF('Ordenes_Odoo'!C1006="","",'Ordenes_Odoo'!C1006)</f>
        <v/>
      </c>
      <c r="D1006" s="79">
        <f>IF('Ordenes_Odoo'!D1006="","",'Ordenes_Odoo'!D1006)</f>
        <v/>
      </c>
      <c r="E1006" s="79">
        <f>IF('Ordenes_Odoo'!E1006="","",'Ordenes_Odoo'!E1006)</f>
        <v/>
      </c>
      <c r="F1006" s="79">
        <f>IF('Ordenes_Odoo'!F1006="","",'Ordenes_Odoo'!F1006)</f>
        <v/>
      </c>
      <c r="G1006" s="79">
        <f>IF('Ordenes_Odoo'!G1006="","",'Ordenes_Odoo'!G1006)</f>
        <v/>
      </c>
      <c r="H1006" s="79">
        <f>IF('Ordenes_Odoo'!H1006="","",'Ordenes_Odoo'!H1006)</f>
        <v/>
      </c>
      <c r="I1006" s="79">
        <f>IF('Ordenes_Odoo'!I1006="","",'Ordenes_Odoo'!I1006)</f>
        <v/>
      </c>
      <c r="J1006" s="79">
        <f>IF('Ordenes_Odoo'!J1006="","",'Ordenes_Odoo'!J1006)</f>
        <v/>
      </c>
      <c r="K1006" s="81">
        <f>IF('Ordenes_Odoo'!K1006="","",'Ordenes_Odoo'!K1006)</f>
        <v/>
      </c>
      <c r="L1006" s="81">
        <f>IF('Ordenes_Odoo'!L1006="","",'Ordenes_Odoo'!L1006)</f>
        <v/>
      </c>
      <c r="M1006" s="79">
        <f>IF('Ordenes_Odoo'!M1006="","",'Ordenes_Odoo'!M1006)</f>
        <v/>
      </c>
      <c r="N1006" s="79">
        <f>IF('Ordenes_Odoo'!N1006="","",'Ordenes_Odoo'!N1006)</f>
        <v/>
      </c>
      <c r="O1006" s="81">
        <f>IF('Ordenes_Odoo'!O1006="","",'Ordenes_Odoo'!O1006)</f>
        <v/>
      </c>
      <c r="P1006" s="81">
        <f>IF('Ordenes_Odoo'!P1006="","",'Ordenes_Odoo'!P1006)</f>
        <v/>
      </c>
      <c r="Q1006" s="79">
        <f>IF(A1006="","",IFERROR(INDEX(Facturas_Odoo!$B:$B, MATCH(A1006, Facturas_Odoo!$D:$D, 0)), "Sin Factura"))</f>
        <v/>
      </c>
      <c r="R1006" s="80">
        <f>IF(Q1006="Sin Factura","",IFERROR(INDEX(Facturas_Odoo!$A:$A, MATCH(Q1006, Facturas_Odoo!$B:$B, 0)), ""))</f>
        <v/>
      </c>
      <c r="S1006" s="79">
        <f>IF(Q1006="Sin Factura","",IFERROR(_xlfn.XLOOKUP(1, (Facturas_Odoo!$D:$D=A1006) * (Facturas_Odoo!$K:$K=I1006), Facturas_Odoo!$L:$L, ""), ""))</f>
        <v/>
      </c>
      <c r="T1006" s="81">
        <f>IF(Q1006="Sin Factura",0,IFERROR(_xlfn.XLOOKUP(1, (Facturas_Odoo!$D:$D=A1006) * (Facturas_Odoo!$K:$K=I1006), Facturas_Odoo!$M:$M, 0), 0))</f>
        <v/>
      </c>
      <c r="U1006" s="79">
        <f>IF(Q1006="Sin Factura",0,IFERROR(_xlfn.XLOOKUP(1, (Facturas_Odoo!$D:$D=A1006) * (Facturas_Odoo!$K:$K=I1006), Facturas_Odoo!$N:$N, 0), 0))</f>
        <v/>
      </c>
      <c r="V1006" s="79">
        <f>IF(Q1006="Sin Factura",0,IFERROR(_xlfn.XLOOKUP(1, (Facturas_Odoo!$D:$D=A1006) * (Facturas_Odoo!$K:$K=I1006), Facturas_Odoo!$O:$O, 0), 0))</f>
        <v/>
      </c>
      <c r="W1006" s="81">
        <f>IF(Q1006="Sin Factura",0,IFERROR(_xlfn.XLOOKUP(1, (Facturas_Odoo!$D:$D=A1006) * (Facturas_Odoo!$K:$K=I1006), Facturas_Odoo!$Q:$Q, 0), 0))</f>
        <v/>
      </c>
      <c r="X1006" s="79">
        <f>IF(OR(Q1006="Sin Factura",Q1006=""),"",IFERROR(INDEX(Pagos_Odoo!$B:$B, MATCH(Q1006, Pagos_Odoo!$I:$I, 0)), "Sin Pago"))</f>
        <v/>
      </c>
      <c r="Y1006" s="79">
        <f>IF(X1006="Sin Pago","",IFERROR(INDEX(Pagos_Odoo!$C:$C, MATCH(X1006, Pagos_Odoo!$B:$B, 0)), ""))</f>
        <v/>
      </c>
      <c r="Z1006" s="80">
        <f>IF(X1006="Sin Pago","",IFERROR(INDEX(Pagos_Odoo!$A:$A, MATCH(X1006, Pagos_Odoo!$B:$B, 0)), ""))</f>
        <v/>
      </c>
      <c r="AA1006" s="79">
        <f>IF(X1006="Sin Pago","",IFERROR(INDEX(Pagos_Odoo!$F:$F, MATCH(X1006, Pagos_Odoo!$B:$B, 0)), ""))</f>
        <v/>
      </c>
      <c r="AB1006" s="81">
        <f>IF(X1006="Sin Pago",0,IFERROR(INDEX(Pagos_Odoo!$E:$E, MATCH(X1006, Pagos_Odoo!$B:$B, 0)), 0))</f>
        <v/>
      </c>
      <c r="AC1006" s="79">
        <f>IF(X1006="Sin Pago","",IFERROR(INDEX(Pagos_Odoo!$G:$G, MATCH(X1006, Pagos_Odoo!$B:$B, 0)), ""))</f>
        <v/>
      </c>
      <c r="AD1006" s="82" t="n">
        <v>0</v>
      </c>
      <c r="AE1006" s="82" t="n"/>
      <c r="AF1006" s="82" t="n"/>
      <c r="AG1006" s="82">
        <f>IF(AN1006="","",AD1006+AE1006+AF1006)</f>
        <v/>
      </c>
      <c r="AH1006" s="81">
        <f>IF(AN1006="","",P1006*(1-AG1006))</f>
        <v/>
      </c>
      <c r="AI1006" s="81">
        <f>IF(AN1006="","",IF(Q1006="Sin Factura",0,IFERROR(INDEX(Facturas_Odoo!$H:$H, MATCH(Q1006, Facturas_Odoo!$B:$B, 0)), 0)*(1-AG1006)))</f>
        <v/>
      </c>
      <c r="AJ1006" s="81">
        <f>IF(AN1006="","",_xlfn.LET(idVenta, AN1006&amp;"",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06" s="81">
        <f>IF(AN1006="","",AH1006-AJ1006)</f>
        <v/>
      </c>
      <c r="AL1006" s="81">
        <f>IF(AN1006="","",IF(Q1006="Sin Factura","",AI1006-AJ1006))</f>
        <v/>
      </c>
      <c r="AM1006" s="81">
        <f>IF(AN1006="","",IF(Q1006="Sin Factura",0,P1006-IFERROR(INDEX(Facturas_Odoo!$H:$H, MATCH(Q1006, Facturas_Odoo!$B:$B, 0)), 0)))</f>
        <v/>
      </c>
      <c r="AN1006" s="79">
        <f>IF(AND(A1006="", J1006=""), "", IF(A1006&lt;&gt;"", VALUE(MID(A1006,2,LEN(A1006))), AN1005))</f>
        <v/>
      </c>
      <c r="AO1006" s="79">
        <f>IF(AN1006="","",IF(AD1006=0,"OK",_xlfn.LET(monedaPago, IF(AA1006="","USD",AA1006), limitePermitido, IFERROR(VLOOKUP(monedaPago, Configuración!$A$2:$B$3, 2, FALSE), 0.15), IF(AD1006&gt;limitePermitido, "ALERTA: EXCESO (" &amp; TEXT(limitePermitido, "0%") &amp; " máx)", "OK"))))</f>
        <v/>
      </c>
      <c r="AP1006" s="79">
        <f>IF(AN1006="","",IF(AE1006=0,"OK",_xlfn.LET(fechaPago, Z1006, fechaFactura, R1006, diasCredito, IF(E1006="Pago inmediato", 0, IFERROR(VALUE(MID(E1006, 1, SEARCH(" ", E1006)-1)),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06" s="79">
        <f>IF(AN1006="","",IF(AND(N1006&gt;0, AG1006&gt;0), IF(Configuración!$K$2="NO", "ALERTA: DESCUENTO DOBLE NO PERMITIDO", "OK"), "OK"))</f>
        <v/>
      </c>
      <c r="AR1006" s="79">
        <f>IF(AN1006="","",IF(OR(AO1006&lt;&gt;"OK", AP1006&lt;&gt;"OK", AQ1006&lt;&gt;"OK"), "⚠️ REVISAR", "OK"))</f>
        <v/>
      </c>
    </row>
    <row r="1007">
      <c r="A1007" s="79">
        <f>IF('Ordenes_Odoo'!A1007="","",'Ordenes_Odoo'!A1007)</f>
        <v/>
      </c>
      <c r="B1007" s="80">
        <f>IF('Ordenes_Odoo'!B1007="","",'Ordenes_Odoo'!B1007)</f>
        <v/>
      </c>
      <c r="C1007" s="79">
        <f>IF('Ordenes_Odoo'!C1007="","",'Ordenes_Odoo'!C1007)</f>
        <v/>
      </c>
      <c r="D1007" s="79">
        <f>IF('Ordenes_Odoo'!D1007="","",'Ordenes_Odoo'!D1007)</f>
        <v/>
      </c>
      <c r="E1007" s="79">
        <f>IF('Ordenes_Odoo'!E1007="","",'Ordenes_Odoo'!E1007)</f>
        <v/>
      </c>
      <c r="F1007" s="79">
        <f>IF('Ordenes_Odoo'!F1007="","",'Ordenes_Odoo'!F1007)</f>
        <v/>
      </c>
      <c r="G1007" s="79">
        <f>IF('Ordenes_Odoo'!G1007="","",'Ordenes_Odoo'!G1007)</f>
        <v/>
      </c>
      <c r="H1007" s="79">
        <f>IF('Ordenes_Odoo'!H1007="","",'Ordenes_Odoo'!H1007)</f>
        <v/>
      </c>
      <c r="I1007" s="79">
        <f>IF('Ordenes_Odoo'!I1007="","",'Ordenes_Odoo'!I1007)</f>
        <v/>
      </c>
      <c r="J1007" s="79">
        <f>IF('Ordenes_Odoo'!J1007="","",'Ordenes_Odoo'!J1007)</f>
        <v/>
      </c>
      <c r="K1007" s="81">
        <f>IF('Ordenes_Odoo'!K1007="","",'Ordenes_Odoo'!K1007)</f>
        <v/>
      </c>
      <c r="L1007" s="81">
        <f>IF('Ordenes_Odoo'!L1007="","",'Ordenes_Odoo'!L1007)</f>
        <v/>
      </c>
      <c r="M1007" s="79">
        <f>IF('Ordenes_Odoo'!M1007="","",'Ordenes_Odoo'!M1007)</f>
        <v/>
      </c>
      <c r="N1007" s="79">
        <f>IF('Ordenes_Odoo'!N1007="","",'Ordenes_Odoo'!N1007)</f>
        <v/>
      </c>
      <c r="O1007" s="81">
        <f>IF('Ordenes_Odoo'!O1007="","",'Ordenes_Odoo'!O1007)</f>
        <v/>
      </c>
      <c r="P1007" s="81">
        <f>IF('Ordenes_Odoo'!P1007="","",'Ordenes_Odoo'!P1007)</f>
        <v/>
      </c>
      <c r="Q1007" s="79">
        <f>IF(A1007="","",IFERROR(INDEX(Facturas_Odoo!$B:$B, MATCH(A1007, Facturas_Odoo!$D:$D, 0)), "Sin Factura"))</f>
        <v/>
      </c>
      <c r="R1007" s="80">
        <f>IF(Q1007="Sin Factura","",IFERROR(INDEX(Facturas_Odoo!$A:$A, MATCH(Q1007, Facturas_Odoo!$B:$B, 0)), ""))</f>
        <v/>
      </c>
      <c r="S1007" s="79">
        <f>IF(Q1007="Sin Factura","",IFERROR(_xlfn.XLOOKUP(1, (Facturas_Odoo!$D:$D=A1007) * (Facturas_Odoo!$K:$K=I1007), Facturas_Odoo!$L:$L, ""), ""))</f>
        <v/>
      </c>
      <c r="T1007" s="81">
        <f>IF(Q1007="Sin Factura",0,IFERROR(_xlfn.XLOOKUP(1, (Facturas_Odoo!$D:$D=A1007) * (Facturas_Odoo!$K:$K=I1007), Facturas_Odoo!$M:$M, 0), 0))</f>
        <v/>
      </c>
      <c r="U1007" s="79">
        <f>IF(Q1007="Sin Factura",0,IFERROR(_xlfn.XLOOKUP(1, (Facturas_Odoo!$D:$D=A1007) * (Facturas_Odoo!$K:$K=I1007), Facturas_Odoo!$N:$N, 0), 0))</f>
        <v/>
      </c>
      <c r="V1007" s="79">
        <f>IF(Q1007="Sin Factura",0,IFERROR(_xlfn.XLOOKUP(1, (Facturas_Odoo!$D:$D=A1007) * (Facturas_Odoo!$K:$K=I1007), Facturas_Odoo!$O:$O, 0), 0))</f>
        <v/>
      </c>
      <c r="W1007" s="81">
        <f>IF(Q1007="Sin Factura",0,IFERROR(_xlfn.XLOOKUP(1, (Facturas_Odoo!$D:$D=A1007) * (Facturas_Odoo!$K:$K=I1007), Facturas_Odoo!$Q:$Q, 0), 0))</f>
        <v/>
      </c>
      <c r="X1007" s="79">
        <f>IF(OR(Q1007="Sin Factura",Q1007=""),"",IFERROR(INDEX(Pagos_Odoo!$B:$B, MATCH(Q1007, Pagos_Odoo!$I:$I, 0)), "Sin Pago"))</f>
        <v/>
      </c>
      <c r="Y1007" s="79">
        <f>IF(X1007="Sin Pago","",IFERROR(INDEX(Pagos_Odoo!$C:$C, MATCH(X1007, Pagos_Odoo!$B:$B, 0)), ""))</f>
        <v/>
      </c>
      <c r="Z1007" s="80">
        <f>IF(X1007="Sin Pago","",IFERROR(INDEX(Pagos_Odoo!$A:$A, MATCH(X1007, Pagos_Odoo!$B:$B, 0)), ""))</f>
        <v/>
      </c>
      <c r="AA1007" s="79">
        <f>IF(X1007="Sin Pago","",IFERROR(INDEX(Pagos_Odoo!$F:$F, MATCH(X1007, Pagos_Odoo!$B:$B, 0)), ""))</f>
        <v/>
      </c>
      <c r="AB1007" s="81">
        <f>IF(X1007="Sin Pago",0,IFERROR(INDEX(Pagos_Odoo!$E:$E, MATCH(X1007, Pagos_Odoo!$B:$B, 0)), 0))</f>
        <v/>
      </c>
      <c r="AC1007" s="79">
        <f>IF(X1007="Sin Pago","",IFERROR(INDEX(Pagos_Odoo!$G:$G, MATCH(X1007, Pagos_Odoo!$B:$B, 0)), ""))</f>
        <v/>
      </c>
      <c r="AD1007" s="82" t="n">
        <v>0</v>
      </c>
      <c r="AE1007" s="82" t="n"/>
      <c r="AF1007" s="82" t="n"/>
      <c r="AG1007" s="82">
        <f>IF(AN1007="","",AD1007+AE1007+AF1007)</f>
        <v/>
      </c>
      <c r="AH1007" s="81">
        <f>IF(AN1007="","",P1007*(1-AG1007))</f>
        <v/>
      </c>
      <c r="AI1007" s="81">
        <f>IF(AN1007="","",IF(Q1007="Sin Factura",0,IFERROR(INDEX(Facturas_Odoo!$H:$H, MATCH(Q1007, Facturas_Odoo!$B:$B, 0)), 0)*(1-AG1007)))</f>
        <v/>
      </c>
      <c r="AJ1007" s="81">
        <f>IF(AN1007="","",_xlfn.LET(idVenta, AN1007&amp;"",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07" s="81">
        <f>IF(AN1007="","",AH1007-AJ1007)</f>
        <v/>
      </c>
      <c r="AL1007" s="81">
        <f>IF(AN1007="","",IF(Q1007="Sin Factura","",AI1007-AJ1007))</f>
        <v/>
      </c>
      <c r="AM1007" s="81">
        <f>IF(AN1007="","",IF(Q1007="Sin Factura",0,P1007-IFERROR(INDEX(Facturas_Odoo!$H:$H, MATCH(Q1007, Facturas_Odoo!$B:$B, 0)), 0)))</f>
        <v/>
      </c>
      <c r="AN1007" s="79">
        <f>IF(AND(A1007="", J1007=""), "", IF(A1007&lt;&gt;"", VALUE(MID(A1007,2,LEN(A1007))), AN1006))</f>
        <v/>
      </c>
      <c r="AO1007" s="79">
        <f>IF(AN1007="","",IF(AD1007=0,"OK",_xlfn.LET(monedaPago, IF(AA1007="","USD",AA1007), limitePermitido, IFERROR(VLOOKUP(monedaPago, Configuración!$A$2:$B$3, 2, FALSE), 0.15), IF(AD1007&gt;limitePermitido, "ALERTA: EXCESO (" &amp; TEXT(limitePermitido, "0%") &amp; " máx)", "OK"))))</f>
        <v/>
      </c>
      <c r="AP1007" s="79">
        <f>IF(AN1007="","",IF(AE1007=0,"OK",_xlfn.LET(fechaPago, Z1007, fechaFactura, R1007, diasCredito, IF(E1007="Pago inmediato", 0, IFERROR(VALUE(MID(E1007, 1, SEARCH(" ", E1007)-1)),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07" s="79">
        <f>IF(AN1007="","",IF(AND(N1007&gt;0, AG1007&gt;0), IF(Configuración!$K$2="NO", "ALERTA: DESCUENTO DOBLE NO PERMITIDO", "OK"), "OK"))</f>
        <v/>
      </c>
      <c r="AR1007" s="79">
        <f>IF(AN1007="","",IF(OR(AO1007&lt;&gt;"OK", AP1007&lt;&gt;"OK", AQ1007&lt;&gt;"OK"), "⚠️ REVISAR", "OK"))</f>
        <v/>
      </c>
    </row>
    <row r="1008">
      <c r="A1008" s="79">
        <f>IF('Ordenes_Odoo'!A1008="","",'Ordenes_Odoo'!A1008)</f>
        <v/>
      </c>
      <c r="B1008" s="80">
        <f>IF('Ordenes_Odoo'!B1008="","",'Ordenes_Odoo'!B1008)</f>
        <v/>
      </c>
      <c r="C1008" s="79">
        <f>IF('Ordenes_Odoo'!C1008="","",'Ordenes_Odoo'!C1008)</f>
        <v/>
      </c>
      <c r="D1008" s="79">
        <f>IF('Ordenes_Odoo'!D1008="","",'Ordenes_Odoo'!D1008)</f>
        <v/>
      </c>
      <c r="E1008" s="79">
        <f>IF('Ordenes_Odoo'!E1008="","",'Ordenes_Odoo'!E1008)</f>
        <v/>
      </c>
      <c r="F1008" s="79">
        <f>IF('Ordenes_Odoo'!F1008="","",'Ordenes_Odoo'!F1008)</f>
        <v/>
      </c>
      <c r="G1008" s="79">
        <f>IF('Ordenes_Odoo'!G1008="","",'Ordenes_Odoo'!G1008)</f>
        <v/>
      </c>
      <c r="H1008" s="79">
        <f>IF('Ordenes_Odoo'!H1008="","",'Ordenes_Odoo'!H1008)</f>
        <v/>
      </c>
      <c r="I1008" s="79">
        <f>IF('Ordenes_Odoo'!I1008="","",'Ordenes_Odoo'!I1008)</f>
        <v/>
      </c>
      <c r="J1008" s="79">
        <f>IF('Ordenes_Odoo'!J1008="","",'Ordenes_Odoo'!J1008)</f>
        <v/>
      </c>
      <c r="K1008" s="81">
        <f>IF('Ordenes_Odoo'!K1008="","",'Ordenes_Odoo'!K1008)</f>
        <v/>
      </c>
      <c r="L1008" s="81">
        <f>IF('Ordenes_Odoo'!L1008="","",'Ordenes_Odoo'!L1008)</f>
        <v/>
      </c>
      <c r="M1008" s="79">
        <f>IF('Ordenes_Odoo'!M1008="","",'Ordenes_Odoo'!M1008)</f>
        <v/>
      </c>
      <c r="N1008" s="79">
        <f>IF('Ordenes_Odoo'!N1008="","",'Ordenes_Odoo'!N1008)</f>
        <v/>
      </c>
      <c r="O1008" s="81">
        <f>IF('Ordenes_Odoo'!O1008="","",'Ordenes_Odoo'!O1008)</f>
        <v/>
      </c>
      <c r="P1008" s="81">
        <f>IF('Ordenes_Odoo'!P1008="","",'Ordenes_Odoo'!P1008)</f>
        <v/>
      </c>
      <c r="Q1008" s="79">
        <f>IF(A1008="","",IFERROR(INDEX(Facturas_Odoo!$B:$B, MATCH(A1008, Facturas_Odoo!$D:$D, 0)), "Sin Factura"))</f>
        <v/>
      </c>
      <c r="R1008" s="80">
        <f>IF(Q1008="Sin Factura","",IFERROR(INDEX(Facturas_Odoo!$A:$A, MATCH(Q1008, Facturas_Odoo!$B:$B, 0)), ""))</f>
        <v/>
      </c>
      <c r="S1008" s="79">
        <f>IF(Q1008="Sin Factura","",IFERROR(_xlfn.XLOOKUP(1, (Facturas_Odoo!$D:$D=A1008) * (Facturas_Odoo!$K:$K=I1008), Facturas_Odoo!$L:$L, ""), ""))</f>
        <v/>
      </c>
      <c r="T1008" s="81">
        <f>IF(Q1008="Sin Factura",0,IFERROR(_xlfn.XLOOKUP(1, (Facturas_Odoo!$D:$D=A1008) * (Facturas_Odoo!$K:$K=I1008), Facturas_Odoo!$M:$M, 0), 0))</f>
        <v/>
      </c>
      <c r="U1008" s="79">
        <f>IF(Q1008="Sin Factura",0,IFERROR(_xlfn.XLOOKUP(1, (Facturas_Odoo!$D:$D=A1008) * (Facturas_Odoo!$K:$K=I1008), Facturas_Odoo!$N:$N, 0), 0))</f>
        <v/>
      </c>
      <c r="V1008" s="79">
        <f>IF(Q1008="Sin Factura",0,IFERROR(_xlfn.XLOOKUP(1, (Facturas_Odoo!$D:$D=A1008) * (Facturas_Odoo!$K:$K=I1008), Facturas_Odoo!$O:$O, 0), 0))</f>
        <v/>
      </c>
      <c r="W1008" s="81">
        <f>IF(Q1008="Sin Factura",0,IFERROR(_xlfn.XLOOKUP(1, (Facturas_Odoo!$D:$D=A1008) * (Facturas_Odoo!$K:$K=I1008), Facturas_Odoo!$Q:$Q, 0), 0))</f>
        <v/>
      </c>
      <c r="X1008" s="79">
        <f>IF(OR(Q1008="Sin Factura",Q1008=""),"",IFERROR(INDEX(Pagos_Odoo!$B:$B, MATCH(Q1008, Pagos_Odoo!$I:$I, 0)), "Sin Pago"))</f>
        <v/>
      </c>
      <c r="Y1008" s="79">
        <f>IF(X1008="Sin Pago","",IFERROR(INDEX(Pagos_Odoo!$C:$C, MATCH(X1008, Pagos_Odoo!$B:$B, 0)), ""))</f>
        <v/>
      </c>
      <c r="Z1008" s="80">
        <f>IF(X1008="Sin Pago","",IFERROR(INDEX(Pagos_Odoo!$A:$A, MATCH(X1008, Pagos_Odoo!$B:$B, 0)), ""))</f>
        <v/>
      </c>
      <c r="AA1008" s="79">
        <f>IF(X1008="Sin Pago","",IFERROR(INDEX(Pagos_Odoo!$F:$F, MATCH(X1008, Pagos_Odoo!$B:$B, 0)), ""))</f>
        <v/>
      </c>
      <c r="AB1008" s="81">
        <f>IF(X1008="Sin Pago",0,IFERROR(INDEX(Pagos_Odoo!$E:$E, MATCH(X1008, Pagos_Odoo!$B:$B, 0)), 0))</f>
        <v/>
      </c>
      <c r="AC1008" s="79">
        <f>IF(X1008="Sin Pago","",IFERROR(INDEX(Pagos_Odoo!$G:$G, MATCH(X1008, Pagos_Odoo!$B:$B, 0)), ""))</f>
        <v/>
      </c>
      <c r="AD1008" s="82" t="n">
        <v>0</v>
      </c>
      <c r="AE1008" s="82" t="n"/>
      <c r="AF1008" s="82" t="n"/>
      <c r="AG1008" s="82">
        <f>IF(AN1008="","",AD1008+AE1008+AF1008)</f>
        <v/>
      </c>
      <c r="AH1008" s="81">
        <f>IF(AN1008="","",P1008*(1-AG1008))</f>
        <v/>
      </c>
      <c r="AI1008" s="81">
        <f>IF(AN1008="","",IF(Q1008="Sin Factura",0,IFERROR(INDEX(Facturas_Odoo!$H:$H, MATCH(Q1008, Facturas_Odoo!$B:$B, 0)), 0)*(1-AG1008)))</f>
        <v/>
      </c>
      <c r="AJ1008" s="81">
        <f>IF(AN1008="","",_xlfn.LET(idVenta, AN1008&amp;"",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08" s="81">
        <f>IF(AN1008="","",AH1008-AJ1008)</f>
        <v/>
      </c>
      <c r="AL1008" s="81">
        <f>IF(AN1008="","",IF(Q1008="Sin Factura","",AI1008-AJ1008))</f>
        <v/>
      </c>
      <c r="AM1008" s="81">
        <f>IF(AN1008="","",IF(Q1008="Sin Factura",0,P1008-IFERROR(INDEX(Facturas_Odoo!$H:$H, MATCH(Q1008, Facturas_Odoo!$B:$B, 0)), 0)))</f>
        <v/>
      </c>
      <c r="AN1008" s="79">
        <f>IF(AND(A1008="", J1008=""), "", IF(A1008&lt;&gt;"", VALUE(MID(A1008,2,LEN(A1008))), AN1007))</f>
        <v/>
      </c>
      <c r="AO1008" s="79">
        <f>IF(AN1008="","",IF(AD1008=0,"OK",_xlfn.LET(monedaPago, IF(AA1008="","USD",AA1008), limitePermitido, IFERROR(VLOOKUP(monedaPago, Configuración!$A$2:$B$3, 2, FALSE), 0.15), IF(AD1008&gt;limitePermitido, "ALERTA: EXCESO (" &amp; TEXT(limitePermitido, "0%") &amp; " máx)", "OK"))))</f>
        <v/>
      </c>
      <c r="AP1008" s="79">
        <f>IF(AN1008="","",IF(AE1008=0,"OK",_xlfn.LET(fechaPago, Z1008, fechaFactura, R1008, diasCredito, IF(E1008="Pago inmediato", 0, IFERROR(VALUE(MID(E1008, 1, SEARCH(" ", E1008)-1)),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08" s="79">
        <f>IF(AN1008="","",IF(AND(N1008&gt;0, AG1008&gt;0), IF(Configuración!$K$2="NO", "ALERTA: DESCUENTO DOBLE NO PERMITIDO", "OK"), "OK"))</f>
        <v/>
      </c>
      <c r="AR1008" s="79">
        <f>IF(AN1008="","",IF(OR(AO1008&lt;&gt;"OK", AP1008&lt;&gt;"OK", AQ1008&lt;&gt;"OK"), "⚠️ REVISAR", "OK"))</f>
        <v/>
      </c>
    </row>
    <row r="1009">
      <c r="A1009" s="79">
        <f>IF('Ordenes_Odoo'!A1009="","",'Ordenes_Odoo'!A1009)</f>
        <v/>
      </c>
      <c r="B1009" s="80">
        <f>IF('Ordenes_Odoo'!B1009="","",'Ordenes_Odoo'!B1009)</f>
        <v/>
      </c>
      <c r="C1009" s="79">
        <f>IF('Ordenes_Odoo'!C1009="","",'Ordenes_Odoo'!C1009)</f>
        <v/>
      </c>
      <c r="D1009" s="79">
        <f>IF('Ordenes_Odoo'!D1009="","",'Ordenes_Odoo'!D1009)</f>
        <v/>
      </c>
      <c r="E1009" s="79">
        <f>IF('Ordenes_Odoo'!E1009="","",'Ordenes_Odoo'!E1009)</f>
        <v/>
      </c>
      <c r="F1009" s="79">
        <f>IF('Ordenes_Odoo'!F1009="","",'Ordenes_Odoo'!F1009)</f>
        <v/>
      </c>
      <c r="G1009" s="79">
        <f>IF('Ordenes_Odoo'!G1009="","",'Ordenes_Odoo'!G1009)</f>
        <v/>
      </c>
      <c r="H1009" s="79">
        <f>IF('Ordenes_Odoo'!H1009="","",'Ordenes_Odoo'!H1009)</f>
        <v/>
      </c>
      <c r="I1009" s="79">
        <f>IF('Ordenes_Odoo'!I1009="","",'Ordenes_Odoo'!I1009)</f>
        <v/>
      </c>
      <c r="J1009" s="79">
        <f>IF('Ordenes_Odoo'!J1009="","",'Ordenes_Odoo'!J1009)</f>
        <v/>
      </c>
      <c r="K1009" s="81">
        <f>IF('Ordenes_Odoo'!K1009="","",'Ordenes_Odoo'!K1009)</f>
        <v/>
      </c>
      <c r="L1009" s="81">
        <f>IF('Ordenes_Odoo'!L1009="","",'Ordenes_Odoo'!L1009)</f>
        <v/>
      </c>
      <c r="M1009" s="79">
        <f>IF('Ordenes_Odoo'!M1009="","",'Ordenes_Odoo'!M1009)</f>
        <v/>
      </c>
      <c r="N1009" s="79">
        <f>IF('Ordenes_Odoo'!N1009="","",'Ordenes_Odoo'!N1009)</f>
        <v/>
      </c>
      <c r="O1009" s="81">
        <f>IF('Ordenes_Odoo'!O1009="","",'Ordenes_Odoo'!O1009)</f>
        <v/>
      </c>
      <c r="P1009" s="81">
        <f>IF('Ordenes_Odoo'!P1009="","",'Ordenes_Odoo'!P1009)</f>
        <v/>
      </c>
      <c r="Q1009" s="79">
        <f>IF(A1009="","",IFERROR(INDEX(Facturas_Odoo!$B:$B, MATCH(A1009, Facturas_Odoo!$D:$D, 0)), "Sin Factura"))</f>
        <v/>
      </c>
      <c r="R1009" s="80">
        <f>IF(Q1009="Sin Factura","",IFERROR(INDEX(Facturas_Odoo!$A:$A, MATCH(Q1009, Facturas_Odoo!$B:$B, 0)), ""))</f>
        <v/>
      </c>
      <c r="S1009" s="79">
        <f>IF(Q1009="Sin Factura","",IFERROR(_xlfn.XLOOKUP(1, (Facturas_Odoo!$D:$D=A1009) * (Facturas_Odoo!$K:$K=I1009), Facturas_Odoo!$L:$L, ""), ""))</f>
        <v/>
      </c>
      <c r="T1009" s="81">
        <f>IF(Q1009="Sin Factura",0,IFERROR(_xlfn.XLOOKUP(1, (Facturas_Odoo!$D:$D=A1009) * (Facturas_Odoo!$K:$K=I1009), Facturas_Odoo!$M:$M, 0), 0))</f>
        <v/>
      </c>
      <c r="U1009" s="79">
        <f>IF(Q1009="Sin Factura",0,IFERROR(_xlfn.XLOOKUP(1, (Facturas_Odoo!$D:$D=A1009) * (Facturas_Odoo!$K:$K=I1009), Facturas_Odoo!$N:$N, 0), 0))</f>
        <v/>
      </c>
      <c r="V1009" s="79">
        <f>IF(Q1009="Sin Factura",0,IFERROR(_xlfn.XLOOKUP(1, (Facturas_Odoo!$D:$D=A1009) * (Facturas_Odoo!$K:$K=I1009), Facturas_Odoo!$O:$O, 0), 0))</f>
        <v/>
      </c>
      <c r="W1009" s="81">
        <f>IF(Q1009="Sin Factura",0,IFERROR(_xlfn.XLOOKUP(1, (Facturas_Odoo!$D:$D=A1009) * (Facturas_Odoo!$K:$K=I1009), Facturas_Odoo!$Q:$Q, 0), 0))</f>
        <v/>
      </c>
      <c r="X1009" s="79">
        <f>IF(OR(Q1009="Sin Factura",Q1009=""),"",IFERROR(INDEX(Pagos_Odoo!$B:$B, MATCH(Q1009, Pagos_Odoo!$I:$I, 0)), "Sin Pago"))</f>
        <v/>
      </c>
      <c r="Y1009" s="79">
        <f>IF(X1009="Sin Pago","",IFERROR(INDEX(Pagos_Odoo!$C:$C, MATCH(X1009, Pagos_Odoo!$B:$B, 0)), ""))</f>
        <v/>
      </c>
      <c r="Z1009" s="80">
        <f>IF(X1009="Sin Pago","",IFERROR(INDEX(Pagos_Odoo!$A:$A, MATCH(X1009, Pagos_Odoo!$B:$B, 0)), ""))</f>
        <v/>
      </c>
      <c r="AA1009" s="79">
        <f>IF(X1009="Sin Pago","",IFERROR(INDEX(Pagos_Odoo!$F:$F, MATCH(X1009, Pagos_Odoo!$B:$B, 0)), ""))</f>
        <v/>
      </c>
      <c r="AB1009" s="81">
        <f>IF(X1009="Sin Pago",0,IFERROR(INDEX(Pagos_Odoo!$E:$E, MATCH(X1009, Pagos_Odoo!$B:$B, 0)), 0))</f>
        <v/>
      </c>
      <c r="AC1009" s="79">
        <f>IF(X1009="Sin Pago","",IFERROR(INDEX(Pagos_Odoo!$G:$G, MATCH(X1009, Pagos_Odoo!$B:$B, 0)), ""))</f>
        <v/>
      </c>
      <c r="AD1009" s="82" t="n">
        <v>0</v>
      </c>
      <c r="AE1009" s="82" t="n"/>
      <c r="AF1009" s="82" t="n"/>
      <c r="AG1009" s="82">
        <f>IF(AN1009="","",AD1009+AE1009+AF1009)</f>
        <v/>
      </c>
      <c r="AH1009" s="81">
        <f>IF(AN1009="","",P1009*(1-AG1009))</f>
        <v/>
      </c>
      <c r="AI1009" s="81">
        <f>IF(AN1009="","",IF(Q1009="Sin Factura",0,IFERROR(INDEX(Facturas_Odoo!$H:$H, MATCH(Q1009, Facturas_Odoo!$B:$B, 0)), 0)*(1-AG1009)))</f>
        <v/>
      </c>
      <c r="AJ1009" s="81">
        <f>IF(AN1009="","",_xlfn.LET(idVenta, AN1009&amp;"",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09" s="81">
        <f>IF(AN1009="","",AH1009-AJ1009)</f>
        <v/>
      </c>
      <c r="AL1009" s="81">
        <f>IF(AN1009="","",IF(Q1009="Sin Factura","",AI1009-AJ1009))</f>
        <v/>
      </c>
      <c r="AM1009" s="81">
        <f>IF(AN1009="","",IF(Q1009="Sin Factura",0,P1009-IFERROR(INDEX(Facturas_Odoo!$H:$H, MATCH(Q1009, Facturas_Odoo!$B:$B, 0)), 0)))</f>
        <v/>
      </c>
      <c r="AN1009" s="79">
        <f>IF(AND(A1009="", J1009=""), "", IF(A1009&lt;&gt;"", VALUE(MID(A1009,2,LEN(A1009))), AN1008))</f>
        <v/>
      </c>
      <c r="AO1009" s="79">
        <f>IF(AN1009="","",IF(AD1009=0,"OK",_xlfn.LET(monedaPago, IF(AA1009="","USD",AA1009), limitePermitido, IFERROR(VLOOKUP(monedaPago, Configuración!$A$2:$B$3, 2, FALSE), 0.15), IF(AD1009&gt;limitePermitido, "ALERTA: EXCESO (" &amp; TEXT(limitePermitido, "0%") &amp; " máx)", "OK"))))</f>
        <v/>
      </c>
      <c r="AP1009" s="79">
        <f>IF(AN1009="","",IF(AE1009=0,"OK",_xlfn.LET(fechaPago, Z1009, fechaFactura, R1009, diasCredito, IF(E1009="Pago inmediato", 0, IFERROR(VALUE(MID(E1009, 1, SEARCH(" ", E1009)-1)),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09" s="79">
        <f>IF(AN1009="","",IF(AND(N1009&gt;0, AG1009&gt;0), IF(Configuración!$K$2="NO", "ALERTA: DESCUENTO DOBLE NO PERMITIDO", "OK"), "OK"))</f>
        <v/>
      </c>
      <c r="AR1009" s="79">
        <f>IF(AN1009="","",IF(OR(AO1009&lt;&gt;"OK", AP1009&lt;&gt;"OK", AQ1009&lt;&gt;"OK"), "⚠️ REVISAR", "OK"))</f>
        <v/>
      </c>
    </row>
    <row r="1010">
      <c r="A1010" s="79">
        <f>IF('Ordenes_Odoo'!A1010="","",'Ordenes_Odoo'!A1010)</f>
        <v/>
      </c>
      <c r="B1010" s="80">
        <f>IF('Ordenes_Odoo'!B1010="","",'Ordenes_Odoo'!B1010)</f>
        <v/>
      </c>
      <c r="C1010" s="79">
        <f>IF('Ordenes_Odoo'!C1010="","",'Ordenes_Odoo'!C1010)</f>
        <v/>
      </c>
      <c r="D1010" s="79">
        <f>IF('Ordenes_Odoo'!D1010="","",'Ordenes_Odoo'!D1010)</f>
        <v/>
      </c>
      <c r="E1010" s="79">
        <f>IF('Ordenes_Odoo'!E1010="","",'Ordenes_Odoo'!E1010)</f>
        <v/>
      </c>
      <c r="F1010" s="79">
        <f>IF('Ordenes_Odoo'!F1010="","",'Ordenes_Odoo'!F1010)</f>
        <v/>
      </c>
      <c r="G1010" s="79">
        <f>IF('Ordenes_Odoo'!G1010="","",'Ordenes_Odoo'!G1010)</f>
        <v/>
      </c>
      <c r="H1010" s="79">
        <f>IF('Ordenes_Odoo'!H1010="","",'Ordenes_Odoo'!H1010)</f>
        <v/>
      </c>
      <c r="I1010" s="79">
        <f>IF('Ordenes_Odoo'!I1010="","",'Ordenes_Odoo'!I1010)</f>
        <v/>
      </c>
      <c r="J1010" s="79">
        <f>IF('Ordenes_Odoo'!J1010="","",'Ordenes_Odoo'!J1010)</f>
        <v/>
      </c>
      <c r="K1010" s="81">
        <f>IF('Ordenes_Odoo'!K1010="","",'Ordenes_Odoo'!K1010)</f>
        <v/>
      </c>
      <c r="L1010" s="81">
        <f>IF('Ordenes_Odoo'!L1010="","",'Ordenes_Odoo'!L1010)</f>
        <v/>
      </c>
      <c r="M1010" s="79">
        <f>IF('Ordenes_Odoo'!M1010="","",'Ordenes_Odoo'!M1010)</f>
        <v/>
      </c>
      <c r="N1010" s="79">
        <f>IF('Ordenes_Odoo'!N1010="","",'Ordenes_Odoo'!N1010)</f>
        <v/>
      </c>
      <c r="O1010" s="81">
        <f>IF('Ordenes_Odoo'!O1010="","",'Ordenes_Odoo'!O1010)</f>
        <v/>
      </c>
      <c r="P1010" s="81">
        <f>IF('Ordenes_Odoo'!P1010="","",'Ordenes_Odoo'!P1010)</f>
        <v/>
      </c>
      <c r="Q1010" s="79">
        <f>IF(A1010="","",IFERROR(INDEX(Facturas_Odoo!$B:$B, MATCH(A1010, Facturas_Odoo!$D:$D, 0)), "Sin Factura"))</f>
        <v/>
      </c>
      <c r="R1010" s="80">
        <f>IF(Q1010="Sin Factura","",IFERROR(INDEX(Facturas_Odoo!$A:$A, MATCH(Q1010, Facturas_Odoo!$B:$B, 0)), ""))</f>
        <v/>
      </c>
      <c r="S1010" s="79">
        <f>IF(Q1010="Sin Factura","",IFERROR(_xlfn.XLOOKUP(1, (Facturas_Odoo!$D:$D=A1010) * (Facturas_Odoo!$K:$K=I1010), Facturas_Odoo!$L:$L, ""), ""))</f>
        <v/>
      </c>
      <c r="T1010" s="81">
        <f>IF(Q1010="Sin Factura",0,IFERROR(_xlfn.XLOOKUP(1, (Facturas_Odoo!$D:$D=A1010) * (Facturas_Odoo!$K:$K=I1010), Facturas_Odoo!$M:$M, 0), 0))</f>
        <v/>
      </c>
      <c r="U1010" s="79">
        <f>IF(Q1010="Sin Factura",0,IFERROR(_xlfn.XLOOKUP(1, (Facturas_Odoo!$D:$D=A1010) * (Facturas_Odoo!$K:$K=I1010), Facturas_Odoo!$N:$N, 0), 0))</f>
        <v/>
      </c>
      <c r="V1010" s="79">
        <f>IF(Q1010="Sin Factura",0,IFERROR(_xlfn.XLOOKUP(1, (Facturas_Odoo!$D:$D=A1010) * (Facturas_Odoo!$K:$K=I1010), Facturas_Odoo!$O:$O, 0), 0))</f>
        <v/>
      </c>
      <c r="W1010" s="81">
        <f>IF(Q1010="Sin Factura",0,IFERROR(_xlfn.XLOOKUP(1, (Facturas_Odoo!$D:$D=A1010) * (Facturas_Odoo!$K:$K=I1010), Facturas_Odoo!$Q:$Q, 0), 0))</f>
        <v/>
      </c>
      <c r="X1010" s="79">
        <f>IF(OR(Q1010="Sin Factura",Q1010=""),"",IFERROR(INDEX(Pagos_Odoo!$B:$B, MATCH(Q1010, Pagos_Odoo!$I:$I, 0)), "Sin Pago"))</f>
        <v/>
      </c>
      <c r="Y1010" s="79">
        <f>IF(X1010="Sin Pago","",IFERROR(INDEX(Pagos_Odoo!$C:$C, MATCH(X1010, Pagos_Odoo!$B:$B, 0)), ""))</f>
        <v/>
      </c>
      <c r="Z1010" s="80">
        <f>IF(X1010="Sin Pago","",IFERROR(INDEX(Pagos_Odoo!$A:$A, MATCH(X1010, Pagos_Odoo!$B:$B, 0)), ""))</f>
        <v/>
      </c>
      <c r="AA1010" s="79">
        <f>IF(X1010="Sin Pago","",IFERROR(INDEX(Pagos_Odoo!$F:$F, MATCH(X1010, Pagos_Odoo!$B:$B, 0)), ""))</f>
        <v/>
      </c>
      <c r="AB1010" s="81">
        <f>IF(X1010="Sin Pago",0,IFERROR(INDEX(Pagos_Odoo!$E:$E, MATCH(X1010, Pagos_Odoo!$B:$B, 0)), 0))</f>
        <v/>
      </c>
      <c r="AC1010" s="79">
        <f>IF(X1010="Sin Pago","",IFERROR(INDEX(Pagos_Odoo!$G:$G, MATCH(X1010, Pagos_Odoo!$B:$B, 0)), ""))</f>
        <v/>
      </c>
      <c r="AD1010" s="82" t="n">
        <v>0</v>
      </c>
      <c r="AE1010" s="82" t="n"/>
      <c r="AF1010" s="82" t="n"/>
      <c r="AG1010" s="82">
        <f>IF(AN1010="","",AD1010+AE1010+AF1010)</f>
        <v/>
      </c>
      <c r="AH1010" s="81">
        <f>IF(AN1010="","",P1010*(1-AG1010))</f>
        <v/>
      </c>
      <c r="AI1010" s="81">
        <f>IF(AN1010="","",IF(Q1010="Sin Factura",0,IFERROR(INDEX(Facturas_Odoo!$H:$H, MATCH(Q1010, Facturas_Odoo!$B:$B, 0)), 0)*(1-AG1010)))</f>
        <v/>
      </c>
      <c r="AJ1010" s="81">
        <f>IF(AN1010="","",_xlfn.LET(idVenta, AN1010&amp;"",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10" s="81">
        <f>IF(AN1010="","",AH1010-AJ1010)</f>
        <v/>
      </c>
      <c r="AL1010" s="81">
        <f>IF(AN1010="","",IF(Q1010="Sin Factura","",AI1010-AJ1010))</f>
        <v/>
      </c>
      <c r="AM1010" s="81">
        <f>IF(AN1010="","",IF(Q1010="Sin Factura",0,P1010-IFERROR(INDEX(Facturas_Odoo!$H:$H, MATCH(Q1010, Facturas_Odoo!$B:$B, 0)), 0)))</f>
        <v/>
      </c>
      <c r="AN1010" s="79">
        <f>IF(AND(A1010="", J1010=""), "", IF(A1010&lt;&gt;"", VALUE(MID(A1010,2,LEN(A1010))), AN1009))</f>
        <v/>
      </c>
      <c r="AO1010" s="79">
        <f>IF(AN1010="","",IF(AD1010=0,"OK",_xlfn.LET(monedaPago, IF(AA1010="","USD",AA1010), limitePermitido, IFERROR(VLOOKUP(monedaPago, Configuración!$A$2:$B$3, 2, FALSE), 0.15), IF(AD1010&gt;limitePermitido, "ALERTA: EXCESO (" &amp; TEXT(limitePermitido, "0%") &amp; " máx)", "OK"))))</f>
        <v/>
      </c>
      <c r="AP1010" s="79">
        <f>IF(AN1010="","",IF(AE1010=0,"OK",_xlfn.LET(fechaPago, Z1010, fechaFactura, R1010, diasCredito, IF(E1010="Pago inmediato", 0, IFERROR(VALUE(MID(E1010, 1, SEARCH(" ", E1010)-1)),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10" s="79">
        <f>IF(AN1010="","",IF(AND(N1010&gt;0, AG1010&gt;0), IF(Configuración!$K$2="NO", "ALERTA: DESCUENTO DOBLE NO PERMITIDO", "OK"), "OK"))</f>
        <v/>
      </c>
      <c r="AR1010" s="79">
        <f>IF(AN1010="","",IF(OR(AO1010&lt;&gt;"OK", AP1010&lt;&gt;"OK", AQ1010&lt;&gt;"OK"), "⚠️ REVISAR", "OK"))</f>
        <v/>
      </c>
    </row>
    <row r="1011">
      <c r="A1011" s="79">
        <f>IF('Ordenes_Odoo'!A1011="","",'Ordenes_Odoo'!A1011)</f>
        <v/>
      </c>
      <c r="B1011" s="80">
        <f>IF('Ordenes_Odoo'!B1011="","",'Ordenes_Odoo'!B1011)</f>
        <v/>
      </c>
      <c r="C1011" s="79">
        <f>IF('Ordenes_Odoo'!C1011="","",'Ordenes_Odoo'!C1011)</f>
        <v/>
      </c>
      <c r="D1011" s="79">
        <f>IF('Ordenes_Odoo'!D1011="","",'Ordenes_Odoo'!D1011)</f>
        <v/>
      </c>
      <c r="E1011" s="79">
        <f>IF('Ordenes_Odoo'!E1011="","",'Ordenes_Odoo'!E1011)</f>
        <v/>
      </c>
      <c r="F1011" s="79">
        <f>IF('Ordenes_Odoo'!F1011="","",'Ordenes_Odoo'!F1011)</f>
        <v/>
      </c>
      <c r="G1011" s="79">
        <f>IF('Ordenes_Odoo'!G1011="","",'Ordenes_Odoo'!G1011)</f>
        <v/>
      </c>
      <c r="H1011" s="79">
        <f>IF('Ordenes_Odoo'!H1011="","",'Ordenes_Odoo'!H1011)</f>
        <v/>
      </c>
      <c r="I1011" s="79">
        <f>IF('Ordenes_Odoo'!I1011="","",'Ordenes_Odoo'!I1011)</f>
        <v/>
      </c>
      <c r="J1011" s="79">
        <f>IF('Ordenes_Odoo'!J1011="","",'Ordenes_Odoo'!J1011)</f>
        <v/>
      </c>
      <c r="K1011" s="81">
        <f>IF('Ordenes_Odoo'!K1011="","",'Ordenes_Odoo'!K1011)</f>
        <v/>
      </c>
      <c r="L1011" s="81">
        <f>IF('Ordenes_Odoo'!L1011="","",'Ordenes_Odoo'!L1011)</f>
        <v/>
      </c>
      <c r="M1011" s="79">
        <f>IF('Ordenes_Odoo'!M1011="","",'Ordenes_Odoo'!M1011)</f>
        <v/>
      </c>
      <c r="N1011" s="79">
        <f>IF('Ordenes_Odoo'!N1011="","",'Ordenes_Odoo'!N1011)</f>
        <v/>
      </c>
      <c r="O1011" s="81">
        <f>IF('Ordenes_Odoo'!O1011="","",'Ordenes_Odoo'!O1011)</f>
        <v/>
      </c>
      <c r="P1011" s="81">
        <f>IF('Ordenes_Odoo'!P1011="","",'Ordenes_Odoo'!P1011)</f>
        <v/>
      </c>
      <c r="Q1011" s="79">
        <f>IF(A1011="","",IFERROR(INDEX(Facturas_Odoo!$B:$B, MATCH(A1011, Facturas_Odoo!$D:$D, 0)), "Sin Factura"))</f>
        <v/>
      </c>
      <c r="R1011" s="80">
        <f>IF(Q1011="Sin Factura","",IFERROR(INDEX(Facturas_Odoo!$A:$A, MATCH(Q1011, Facturas_Odoo!$B:$B, 0)), ""))</f>
        <v/>
      </c>
      <c r="S1011" s="79">
        <f>IF(Q1011="Sin Factura","",IFERROR(_xlfn.XLOOKUP(1, (Facturas_Odoo!$D:$D=A1011) * (Facturas_Odoo!$K:$K=I1011), Facturas_Odoo!$L:$L, ""), ""))</f>
        <v/>
      </c>
      <c r="T1011" s="81">
        <f>IF(Q1011="Sin Factura",0,IFERROR(_xlfn.XLOOKUP(1, (Facturas_Odoo!$D:$D=A1011) * (Facturas_Odoo!$K:$K=I1011), Facturas_Odoo!$M:$M, 0), 0))</f>
        <v/>
      </c>
      <c r="U1011" s="79">
        <f>IF(Q1011="Sin Factura",0,IFERROR(_xlfn.XLOOKUP(1, (Facturas_Odoo!$D:$D=A1011) * (Facturas_Odoo!$K:$K=I1011), Facturas_Odoo!$N:$N, 0), 0))</f>
        <v/>
      </c>
      <c r="V1011" s="79">
        <f>IF(Q1011="Sin Factura",0,IFERROR(_xlfn.XLOOKUP(1, (Facturas_Odoo!$D:$D=A1011) * (Facturas_Odoo!$K:$K=I1011), Facturas_Odoo!$O:$O, 0), 0))</f>
        <v/>
      </c>
      <c r="W1011" s="81">
        <f>IF(Q1011="Sin Factura",0,IFERROR(_xlfn.XLOOKUP(1, (Facturas_Odoo!$D:$D=A1011) * (Facturas_Odoo!$K:$K=I1011), Facturas_Odoo!$Q:$Q, 0), 0))</f>
        <v/>
      </c>
      <c r="X1011" s="79">
        <f>IF(OR(Q1011="Sin Factura",Q1011=""),"",IFERROR(INDEX(Pagos_Odoo!$B:$B, MATCH(Q1011, Pagos_Odoo!$I:$I, 0)), "Sin Pago"))</f>
        <v/>
      </c>
      <c r="Y1011" s="79">
        <f>IF(X1011="Sin Pago","",IFERROR(INDEX(Pagos_Odoo!$C:$C, MATCH(X1011, Pagos_Odoo!$B:$B, 0)), ""))</f>
        <v/>
      </c>
      <c r="Z1011" s="80">
        <f>IF(X1011="Sin Pago","",IFERROR(INDEX(Pagos_Odoo!$A:$A, MATCH(X1011, Pagos_Odoo!$B:$B, 0)), ""))</f>
        <v/>
      </c>
      <c r="AA1011" s="79">
        <f>IF(X1011="Sin Pago","",IFERROR(INDEX(Pagos_Odoo!$F:$F, MATCH(X1011, Pagos_Odoo!$B:$B, 0)), ""))</f>
        <v/>
      </c>
      <c r="AB1011" s="81">
        <f>IF(X1011="Sin Pago",0,IFERROR(INDEX(Pagos_Odoo!$E:$E, MATCH(X1011, Pagos_Odoo!$B:$B, 0)), 0))</f>
        <v/>
      </c>
      <c r="AC1011" s="79">
        <f>IF(X1011="Sin Pago","",IFERROR(INDEX(Pagos_Odoo!$G:$G, MATCH(X1011, Pagos_Odoo!$B:$B, 0)), ""))</f>
        <v/>
      </c>
      <c r="AD1011" s="82" t="n">
        <v>0</v>
      </c>
      <c r="AE1011" s="82" t="n"/>
      <c r="AF1011" s="82" t="n"/>
      <c r="AG1011" s="82">
        <f>IF(AN1011="","",AD1011+AE1011+AF1011)</f>
        <v/>
      </c>
      <c r="AH1011" s="81">
        <f>IF(AN1011="","",P1011*(1-AG1011))</f>
        <v/>
      </c>
      <c r="AI1011" s="81">
        <f>IF(AN1011="","",IF(Q1011="Sin Factura",0,IFERROR(INDEX(Facturas_Odoo!$H:$H, MATCH(Q1011, Facturas_Odoo!$B:$B, 0)), 0)*(1-AG1011)))</f>
        <v/>
      </c>
      <c r="AJ1011" s="81">
        <f>IF(AN1011="","",_xlfn.LET(idVenta, AN1011&amp;"",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11" s="81">
        <f>IF(AN1011="","",AH1011-AJ1011)</f>
        <v/>
      </c>
      <c r="AL1011" s="81">
        <f>IF(AN1011="","",IF(Q1011="Sin Factura","",AI1011-AJ1011))</f>
        <v/>
      </c>
      <c r="AM1011" s="81">
        <f>IF(AN1011="","",IF(Q1011="Sin Factura",0,P1011-IFERROR(INDEX(Facturas_Odoo!$H:$H, MATCH(Q1011, Facturas_Odoo!$B:$B, 0)), 0)))</f>
        <v/>
      </c>
      <c r="AN1011" s="79">
        <f>IF(AND(A1011="", J1011=""), "", IF(A1011&lt;&gt;"", VALUE(MID(A1011,2,LEN(A1011))), AN1010))</f>
        <v/>
      </c>
      <c r="AO1011" s="79">
        <f>IF(AN1011="","",IF(AD1011=0,"OK",_xlfn.LET(monedaPago, IF(AA1011="","USD",AA1011), limitePermitido, IFERROR(VLOOKUP(monedaPago, Configuración!$A$2:$B$3, 2, FALSE), 0.15), IF(AD1011&gt;limitePermitido, "ALERTA: EXCESO (" &amp; TEXT(limitePermitido, "0%") &amp; " máx)", "OK"))))</f>
        <v/>
      </c>
      <c r="AP1011" s="79">
        <f>IF(AN1011="","",IF(AE1011=0,"OK",_xlfn.LET(fechaPago, Z1011, fechaFactura, R1011, diasCredito, IF(E1011="Pago inmediato", 0, IFERROR(VALUE(MID(E1011, 1, SEARCH(" ", E1011)-1)),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11" s="79">
        <f>IF(AN1011="","",IF(AND(N1011&gt;0, AG1011&gt;0), IF(Configuración!$K$2="NO", "ALERTA: DESCUENTO DOBLE NO PERMITIDO", "OK"), "OK"))</f>
        <v/>
      </c>
      <c r="AR1011" s="79">
        <f>IF(AN1011="","",IF(OR(AO1011&lt;&gt;"OK", AP1011&lt;&gt;"OK", AQ1011&lt;&gt;"OK"), "⚠️ REVISAR", "OK"))</f>
        <v/>
      </c>
    </row>
    <row r="1012">
      <c r="A1012" s="79">
        <f>IF('Ordenes_Odoo'!A1012="","",'Ordenes_Odoo'!A1012)</f>
        <v/>
      </c>
      <c r="B1012" s="80">
        <f>IF('Ordenes_Odoo'!B1012="","",'Ordenes_Odoo'!B1012)</f>
        <v/>
      </c>
      <c r="C1012" s="79">
        <f>IF('Ordenes_Odoo'!C1012="","",'Ordenes_Odoo'!C1012)</f>
        <v/>
      </c>
      <c r="D1012" s="79">
        <f>IF('Ordenes_Odoo'!D1012="","",'Ordenes_Odoo'!D1012)</f>
        <v/>
      </c>
      <c r="E1012" s="79">
        <f>IF('Ordenes_Odoo'!E1012="","",'Ordenes_Odoo'!E1012)</f>
        <v/>
      </c>
      <c r="F1012" s="79">
        <f>IF('Ordenes_Odoo'!F1012="","",'Ordenes_Odoo'!F1012)</f>
        <v/>
      </c>
      <c r="G1012" s="79">
        <f>IF('Ordenes_Odoo'!G1012="","",'Ordenes_Odoo'!G1012)</f>
        <v/>
      </c>
      <c r="H1012" s="79">
        <f>IF('Ordenes_Odoo'!H1012="","",'Ordenes_Odoo'!H1012)</f>
        <v/>
      </c>
      <c r="I1012" s="79">
        <f>IF('Ordenes_Odoo'!I1012="","",'Ordenes_Odoo'!I1012)</f>
        <v/>
      </c>
      <c r="J1012" s="79">
        <f>IF('Ordenes_Odoo'!J1012="","",'Ordenes_Odoo'!J1012)</f>
        <v/>
      </c>
      <c r="K1012" s="81">
        <f>IF('Ordenes_Odoo'!K1012="","",'Ordenes_Odoo'!K1012)</f>
        <v/>
      </c>
      <c r="L1012" s="81">
        <f>IF('Ordenes_Odoo'!L1012="","",'Ordenes_Odoo'!L1012)</f>
        <v/>
      </c>
      <c r="M1012" s="79">
        <f>IF('Ordenes_Odoo'!M1012="","",'Ordenes_Odoo'!M1012)</f>
        <v/>
      </c>
      <c r="N1012" s="79">
        <f>IF('Ordenes_Odoo'!N1012="","",'Ordenes_Odoo'!N1012)</f>
        <v/>
      </c>
      <c r="O1012" s="81">
        <f>IF('Ordenes_Odoo'!O1012="","",'Ordenes_Odoo'!O1012)</f>
        <v/>
      </c>
      <c r="P1012" s="81">
        <f>IF('Ordenes_Odoo'!P1012="","",'Ordenes_Odoo'!P1012)</f>
        <v/>
      </c>
      <c r="Q1012" s="79">
        <f>IF(A1012="","",IFERROR(INDEX(Facturas_Odoo!$B:$B, MATCH(A1012, Facturas_Odoo!$D:$D, 0)), "Sin Factura"))</f>
        <v/>
      </c>
      <c r="R1012" s="80">
        <f>IF(Q1012="Sin Factura","",IFERROR(INDEX(Facturas_Odoo!$A:$A, MATCH(Q1012, Facturas_Odoo!$B:$B, 0)), ""))</f>
        <v/>
      </c>
      <c r="S1012" s="79">
        <f>IF(Q1012="Sin Factura","",IFERROR(_xlfn.XLOOKUP(1, (Facturas_Odoo!$D:$D=A1012) * (Facturas_Odoo!$K:$K=I1012), Facturas_Odoo!$L:$L, ""), ""))</f>
        <v/>
      </c>
      <c r="T1012" s="81">
        <f>IF(Q1012="Sin Factura",0,IFERROR(_xlfn.XLOOKUP(1, (Facturas_Odoo!$D:$D=A1012) * (Facturas_Odoo!$K:$K=I1012), Facturas_Odoo!$M:$M, 0), 0))</f>
        <v/>
      </c>
      <c r="U1012" s="79">
        <f>IF(Q1012="Sin Factura",0,IFERROR(_xlfn.XLOOKUP(1, (Facturas_Odoo!$D:$D=A1012) * (Facturas_Odoo!$K:$K=I1012), Facturas_Odoo!$N:$N, 0), 0))</f>
        <v/>
      </c>
      <c r="V1012" s="79">
        <f>IF(Q1012="Sin Factura",0,IFERROR(_xlfn.XLOOKUP(1, (Facturas_Odoo!$D:$D=A1012) * (Facturas_Odoo!$K:$K=I1012), Facturas_Odoo!$O:$O, 0), 0))</f>
        <v/>
      </c>
      <c r="W1012" s="81">
        <f>IF(Q1012="Sin Factura",0,IFERROR(_xlfn.XLOOKUP(1, (Facturas_Odoo!$D:$D=A1012) * (Facturas_Odoo!$K:$K=I1012), Facturas_Odoo!$Q:$Q, 0), 0))</f>
        <v/>
      </c>
      <c r="X1012" s="79">
        <f>IF(OR(Q1012="Sin Factura",Q1012=""),"",IFERROR(INDEX(Pagos_Odoo!$B:$B, MATCH(Q1012, Pagos_Odoo!$I:$I, 0)), "Sin Pago"))</f>
        <v/>
      </c>
      <c r="Y1012" s="79">
        <f>IF(X1012="Sin Pago","",IFERROR(INDEX(Pagos_Odoo!$C:$C, MATCH(X1012, Pagos_Odoo!$B:$B, 0)), ""))</f>
        <v/>
      </c>
      <c r="Z1012" s="80">
        <f>IF(X1012="Sin Pago","",IFERROR(INDEX(Pagos_Odoo!$A:$A, MATCH(X1012, Pagos_Odoo!$B:$B, 0)), ""))</f>
        <v/>
      </c>
      <c r="AA1012" s="79">
        <f>IF(X1012="Sin Pago","",IFERROR(INDEX(Pagos_Odoo!$F:$F, MATCH(X1012, Pagos_Odoo!$B:$B, 0)), ""))</f>
        <v/>
      </c>
      <c r="AB1012" s="81">
        <f>IF(X1012="Sin Pago",0,IFERROR(INDEX(Pagos_Odoo!$E:$E, MATCH(X1012, Pagos_Odoo!$B:$B, 0)), 0))</f>
        <v/>
      </c>
      <c r="AC1012" s="79">
        <f>IF(X1012="Sin Pago","",IFERROR(INDEX(Pagos_Odoo!$G:$G, MATCH(X1012, Pagos_Odoo!$B:$B, 0)), ""))</f>
        <v/>
      </c>
      <c r="AD1012" s="82" t="n">
        <v>0</v>
      </c>
      <c r="AE1012" s="82" t="n"/>
      <c r="AF1012" s="82" t="n"/>
      <c r="AG1012" s="82">
        <f>IF(AN1012="","",AD1012+AE1012+AF1012)</f>
        <v/>
      </c>
      <c r="AH1012" s="81">
        <f>IF(AN1012="","",P1012*(1-AG1012))</f>
        <v/>
      </c>
      <c r="AI1012" s="81">
        <f>IF(AN1012="","",IF(Q1012="Sin Factura",0,IFERROR(INDEX(Facturas_Odoo!$H:$H, MATCH(Q1012, Facturas_Odoo!$B:$B, 0)), 0)*(1-AG1012)))</f>
        <v/>
      </c>
      <c r="AJ1012" s="81">
        <f>IF(AN1012="","",_xlfn.LET(idVenta, AN1012&amp;"",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12" s="81">
        <f>IF(AN1012="","",AH1012-AJ1012)</f>
        <v/>
      </c>
      <c r="AL1012" s="81">
        <f>IF(AN1012="","",IF(Q1012="Sin Factura","",AI1012-AJ1012))</f>
        <v/>
      </c>
      <c r="AM1012" s="81">
        <f>IF(AN1012="","",IF(Q1012="Sin Factura",0,P1012-IFERROR(INDEX(Facturas_Odoo!$H:$H, MATCH(Q1012, Facturas_Odoo!$B:$B, 0)), 0)))</f>
        <v/>
      </c>
      <c r="AN1012" s="79">
        <f>IF(AND(A1012="", J1012=""), "", IF(A1012&lt;&gt;"", VALUE(MID(A1012,2,LEN(A1012))), AN1011))</f>
        <v/>
      </c>
      <c r="AO1012" s="79">
        <f>IF(AN1012="","",IF(AD1012=0,"OK",_xlfn.LET(monedaPago, IF(AA1012="","USD",AA1012), limitePermitido, IFERROR(VLOOKUP(monedaPago, Configuración!$A$2:$B$3, 2, FALSE), 0.15), IF(AD1012&gt;limitePermitido, "ALERTA: EXCESO (" &amp; TEXT(limitePermitido, "0%") &amp; " máx)", "OK"))))</f>
        <v/>
      </c>
      <c r="AP1012" s="79">
        <f>IF(AN1012="","",IF(AE1012=0,"OK",_xlfn.LET(fechaPago, Z1012, fechaFactura, R1012, diasCredito, IF(E1012="Pago inmediato", 0, IFERROR(VALUE(MID(E1012, 1, SEARCH(" ", E1012)-1)),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12" s="79">
        <f>IF(AN1012="","",IF(AND(N1012&gt;0, AG1012&gt;0), IF(Configuración!$K$2="NO", "ALERTA: DESCUENTO DOBLE NO PERMITIDO", "OK"), "OK"))</f>
        <v/>
      </c>
      <c r="AR1012" s="79">
        <f>IF(AN1012="","",IF(OR(AO1012&lt;&gt;"OK", AP1012&lt;&gt;"OK", AQ1012&lt;&gt;"OK"), "⚠️ REVISAR", "OK"))</f>
        <v/>
      </c>
    </row>
    <row r="1013">
      <c r="A1013" s="79">
        <f>IF('Ordenes_Odoo'!A1013="","",'Ordenes_Odoo'!A1013)</f>
        <v/>
      </c>
      <c r="B1013" s="80">
        <f>IF('Ordenes_Odoo'!B1013="","",'Ordenes_Odoo'!B1013)</f>
        <v/>
      </c>
      <c r="C1013" s="79">
        <f>IF('Ordenes_Odoo'!C1013="","",'Ordenes_Odoo'!C1013)</f>
        <v/>
      </c>
      <c r="D1013" s="79">
        <f>IF('Ordenes_Odoo'!D1013="","",'Ordenes_Odoo'!D1013)</f>
        <v/>
      </c>
      <c r="E1013" s="79">
        <f>IF('Ordenes_Odoo'!E1013="","",'Ordenes_Odoo'!E1013)</f>
        <v/>
      </c>
      <c r="F1013" s="79">
        <f>IF('Ordenes_Odoo'!F1013="","",'Ordenes_Odoo'!F1013)</f>
        <v/>
      </c>
      <c r="G1013" s="79">
        <f>IF('Ordenes_Odoo'!G1013="","",'Ordenes_Odoo'!G1013)</f>
        <v/>
      </c>
      <c r="H1013" s="79">
        <f>IF('Ordenes_Odoo'!H1013="","",'Ordenes_Odoo'!H1013)</f>
        <v/>
      </c>
      <c r="I1013" s="79">
        <f>IF('Ordenes_Odoo'!I1013="","",'Ordenes_Odoo'!I1013)</f>
        <v/>
      </c>
      <c r="J1013" s="79">
        <f>IF('Ordenes_Odoo'!J1013="","",'Ordenes_Odoo'!J1013)</f>
        <v/>
      </c>
      <c r="K1013" s="81">
        <f>IF('Ordenes_Odoo'!K1013="","",'Ordenes_Odoo'!K1013)</f>
        <v/>
      </c>
      <c r="L1013" s="81">
        <f>IF('Ordenes_Odoo'!L1013="","",'Ordenes_Odoo'!L1013)</f>
        <v/>
      </c>
      <c r="M1013" s="79">
        <f>IF('Ordenes_Odoo'!M1013="","",'Ordenes_Odoo'!M1013)</f>
        <v/>
      </c>
      <c r="N1013" s="79">
        <f>IF('Ordenes_Odoo'!N1013="","",'Ordenes_Odoo'!N1013)</f>
        <v/>
      </c>
      <c r="O1013" s="81">
        <f>IF('Ordenes_Odoo'!O1013="","",'Ordenes_Odoo'!O1013)</f>
        <v/>
      </c>
      <c r="P1013" s="81">
        <f>IF('Ordenes_Odoo'!P1013="","",'Ordenes_Odoo'!P1013)</f>
        <v/>
      </c>
      <c r="Q1013" s="79">
        <f>IF(A1013="","",IFERROR(INDEX(Facturas_Odoo!$B:$B, MATCH(A1013, Facturas_Odoo!$D:$D, 0)), "Sin Factura"))</f>
        <v/>
      </c>
      <c r="R1013" s="80">
        <f>IF(Q1013="Sin Factura","",IFERROR(INDEX(Facturas_Odoo!$A:$A, MATCH(Q1013, Facturas_Odoo!$B:$B, 0)), ""))</f>
        <v/>
      </c>
      <c r="S1013" s="79">
        <f>IF(Q1013="Sin Factura","",IFERROR(_xlfn.XLOOKUP(1, (Facturas_Odoo!$D:$D=A1013) * (Facturas_Odoo!$K:$K=I1013), Facturas_Odoo!$L:$L, ""), ""))</f>
        <v/>
      </c>
      <c r="T1013" s="81">
        <f>IF(Q1013="Sin Factura",0,IFERROR(_xlfn.XLOOKUP(1, (Facturas_Odoo!$D:$D=A1013) * (Facturas_Odoo!$K:$K=I1013), Facturas_Odoo!$M:$M, 0), 0))</f>
        <v/>
      </c>
      <c r="U1013" s="79">
        <f>IF(Q1013="Sin Factura",0,IFERROR(_xlfn.XLOOKUP(1, (Facturas_Odoo!$D:$D=A1013) * (Facturas_Odoo!$K:$K=I1013), Facturas_Odoo!$N:$N, 0), 0))</f>
        <v/>
      </c>
      <c r="V1013" s="79">
        <f>IF(Q1013="Sin Factura",0,IFERROR(_xlfn.XLOOKUP(1, (Facturas_Odoo!$D:$D=A1013) * (Facturas_Odoo!$K:$K=I1013), Facturas_Odoo!$O:$O, 0), 0))</f>
        <v/>
      </c>
      <c r="W1013" s="81">
        <f>IF(Q1013="Sin Factura",0,IFERROR(_xlfn.XLOOKUP(1, (Facturas_Odoo!$D:$D=A1013) * (Facturas_Odoo!$K:$K=I1013), Facturas_Odoo!$Q:$Q, 0), 0))</f>
        <v/>
      </c>
      <c r="X1013" s="79">
        <f>IF(OR(Q1013="Sin Factura",Q1013=""),"",IFERROR(INDEX(Pagos_Odoo!$B:$B, MATCH(Q1013, Pagos_Odoo!$I:$I, 0)), "Sin Pago"))</f>
        <v/>
      </c>
      <c r="Y1013" s="79">
        <f>IF(X1013="Sin Pago","",IFERROR(INDEX(Pagos_Odoo!$C:$C, MATCH(X1013, Pagos_Odoo!$B:$B, 0)), ""))</f>
        <v/>
      </c>
      <c r="Z1013" s="80">
        <f>IF(X1013="Sin Pago","",IFERROR(INDEX(Pagos_Odoo!$A:$A, MATCH(X1013, Pagos_Odoo!$B:$B, 0)), ""))</f>
        <v/>
      </c>
      <c r="AA1013" s="79">
        <f>IF(X1013="Sin Pago","",IFERROR(INDEX(Pagos_Odoo!$F:$F, MATCH(X1013, Pagos_Odoo!$B:$B, 0)), ""))</f>
        <v/>
      </c>
      <c r="AB1013" s="81">
        <f>IF(X1013="Sin Pago",0,IFERROR(INDEX(Pagos_Odoo!$E:$E, MATCH(X1013, Pagos_Odoo!$B:$B, 0)), 0))</f>
        <v/>
      </c>
      <c r="AC1013" s="79">
        <f>IF(X1013="Sin Pago","",IFERROR(INDEX(Pagos_Odoo!$G:$G, MATCH(X1013, Pagos_Odoo!$B:$B, 0)), ""))</f>
        <v/>
      </c>
      <c r="AD1013" s="82" t="n">
        <v>0</v>
      </c>
      <c r="AE1013" s="82" t="n"/>
      <c r="AF1013" s="82" t="n"/>
      <c r="AG1013" s="82">
        <f>IF(AN1013="","",AD1013+AE1013+AF1013)</f>
        <v/>
      </c>
      <c r="AH1013" s="81">
        <f>IF(AN1013="","",P1013*(1-AG1013))</f>
        <v/>
      </c>
      <c r="AI1013" s="81">
        <f>IF(AN1013="","",IF(Q1013="Sin Factura",0,IFERROR(INDEX(Facturas_Odoo!$H:$H, MATCH(Q1013, Facturas_Odoo!$B:$B, 0)), 0)*(1-AG1013)))</f>
        <v/>
      </c>
      <c r="AJ1013" s="81">
        <f>IF(AN1013="","",_xlfn.LET(idVenta, AN1013&amp;"",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13" s="81">
        <f>IF(AN1013="","",AH1013-AJ1013)</f>
        <v/>
      </c>
      <c r="AL1013" s="81">
        <f>IF(AN1013="","",IF(Q1013="Sin Factura","",AI1013-AJ1013))</f>
        <v/>
      </c>
      <c r="AM1013" s="81">
        <f>IF(AN1013="","",IF(Q1013="Sin Factura",0,P1013-IFERROR(INDEX(Facturas_Odoo!$H:$H, MATCH(Q1013, Facturas_Odoo!$B:$B, 0)), 0)))</f>
        <v/>
      </c>
      <c r="AN1013" s="79">
        <f>IF(AND(A1013="", J1013=""), "", IF(A1013&lt;&gt;"", VALUE(MID(A1013,2,LEN(A1013))), AN1012))</f>
        <v/>
      </c>
      <c r="AO1013" s="79">
        <f>IF(AN1013="","",IF(AD1013=0,"OK",_xlfn.LET(monedaPago, IF(AA1013="","USD",AA1013), limitePermitido, IFERROR(VLOOKUP(monedaPago, Configuración!$A$2:$B$3, 2, FALSE), 0.15), IF(AD1013&gt;limitePermitido, "ALERTA: EXCESO (" &amp; TEXT(limitePermitido, "0%") &amp; " máx)", "OK"))))</f>
        <v/>
      </c>
      <c r="AP1013" s="79">
        <f>IF(AN1013="","",IF(AE1013=0,"OK",_xlfn.LET(fechaPago, Z1013, fechaFactura, R1013, diasCredito, IF(E1013="Pago inmediato", 0, IFERROR(VALUE(MID(E1013, 1, SEARCH(" ", E1013)-1)),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13" s="79">
        <f>IF(AN1013="","",IF(AND(N1013&gt;0, AG1013&gt;0), IF(Configuración!$K$2="NO", "ALERTA: DESCUENTO DOBLE NO PERMITIDO", "OK"), "OK"))</f>
        <v/>
      </c>
      <c r="AR1013" s="79">
        <f>IF(AN1013="","",IF(OR(AO1013&lt;&gt;"OK", AP1013&lt;&gt;"OK", AQ1013&lt;&gt;"OK"), "⚠️ REVISAR", "OK"))</f>
        <v/>
      </c>
    </row>
    <row r="1014">
      <c r="A1014" s="79">
        <f>IF('Ordenes_Odoo'!A1014="","",'Ordenes_Odoo'!A1014)</f>
        <v/>
      </c>
      <c r="B1014" s="80">
        <f>IF('Ordenes_Odoo'!B1014="","",'Ordenes_Odoo'!B1014)</f>
        <v/>
      </c>
      <c r="C1014" s="79">
        <f>IF('Ordenes_Odoo'!C1014="","",'Ordenes_Odoo'!C1014)</f>
        <v/>
      </c>
      <c r="D1014" s="79">
        <f>IF('Ordenes_Odoo'!D1014="","",'Ordenes_Odoo'!D1014)</f>
        <v/>
      </c>
      <c r="E1014" s="79">
        <f>IF('Ordenes_Odoo'!E1014="","",'Ordenes_Odoo'!E1014)</f>
        <v/>
      </c>
      <c r="F1014" s="79">
        <f>IF('Ordenes_Odoo'!F1014="","",'Ordenes_Odoo'!F1014)</f>
        <v/>
      </c>
      <c r="G1014" s="79">
        <f>IF('Ordenes_Odoo'!G1014="","",'Ordenes_Odoo'!G1014)</f>
        <v/>
      </c>
      <c r="H1014" s="79">
        <f>IF('Ordenes_Odoo'!H1014="","",'Ordenes_Odoo'!H1014)</f>
        <v/>
      </c>
      <c r="I1014" s="79">
        <f>IF('Ordenes_Odoo'!I1014="","",'Ordenes_Odoo'!I1014)</f>
        <v/>
      </c>
      <c r="J1014" s="79">
        <f>IF('Ordenes_Odoo'!J1014="","",'Ordenes_Odoo'!J1014)</f>
        <v/>
      </c>
      <c r="K1014" s="81">
        <f>IF('Ordenes_Odoo'!K1014="","",'Ordenes_Odoo'!K1014)</f>
        <v/>
      </c>
      <c r="L1014" s="81">
        <f>IF('Ordenes_Odoo'!L1014="","",'Ordenes_Odoo'!L1014)</f>
        <v/>
      </c>
      <c r="M1014" s="79">
        <f>IF('Ordenes_Odoo'!M1014="","",'Ordenes_Odoo'!M1014)</f>
        <v/>
      </c>
      <c r="N1014" s="79">
        <f>IF('Ordenes_Odoo'!N1014="","",'Ordenes_Odoo'!N1014)</f>
        <v/>
      </c>
      <c r="O1014" s="81">
        <f>IF('Ordenes_Odoo'!O1014="","",'Ordenes_Odoo'!O1014)</f>
        <v/>
      </c>
      <c r="P1014" s="81">
        <f>IF('Ordenes_Odoo'!P1014="","",'Ordenes_Odoo'!P1014)</f>
        <v/>
      </c>
      <c r="Q1014" s="79">
        <f>IF(A1014="","",IFERROR(INDEX(Facturas_Odoo!$B:$B, MATCH(A1014, Facturas_Odoo!$D:$D, 0)), "Sin Factura"))</f>
        <v/>
      </c>
      <c r="R1014" s="80">
        <f>IF(Q1014="Sin Factura","",IFERROR(INDEX(Facturas_Odoo!$A:$A, MATCH(Q1014, Facturas_Odoo!$B:$B, 0)), ""))</f>
        <v/>
      </c>
      <c r="S1014" s="79">
        <f>IF(Q1014="Sin Factura","",IFERROR(_xlfn.XLOOKUP(1, (Facturas_Odoo!$D:$D=A1014) * (Facturas_Odoo!$K:$K=I1014), Facturas_Odoo!$L:$L, ""), ""))</f>
        <v/>
      </c>
      <c r="T1014" s="81">
        <f>IF(Q1014="Sin Factura",0,IFERROR(_xlfn.XLOOKUP(1, (Facturas_Odoo!$D:$D=A1014) * (Facturas_Odoo!$K:$K=I1014), Facturas_Odoo!$M:$M, 0), 0))</f>
        <v/>
      </c>
      <c r="U1014" s="79">
        <f>IF(Q1014="Sin Factura",0,IFERROR(_xlfn.XLOOKUP(1, (Facturas_Odoo!$D:$D=A1014) * (Facturas_Odoo!$K:$K=I1014), Facturas_Odoo!$N:$N, 0), 0))</f>
        <v/>
      </c>
      <c r="V1014" s="79">
        <f>IF(Q1014="Sin Factura",0,IFERROR(_xlfn.XLOOKUP(1, (Facturas_Odoo!$D:$D=A1014) * (Facturas_Odoo!$K:$K=I1014), Facturas_Odoo!$O:$O, 0), 0))</f>
        <v/>
      </c>
      <c r="W1014" s="81">
        <f>IF(Q1014="Sin Factura",0,IFERROR(_xlfn.XLOOKUP(1, (Facturas_Odoo!$D:$D=A1014) * (Facturas_Odoo!$K:$K=I1014), Facturas_Odoo!$Q:$Q, 0), 0))</f>
        <v/>
      </c>
      <c r="X1014" s="79">
        <f>IF(OR(Q1014="Sin Factura",Q1014=""),"",IFERROR(INDEX(Pagos_Odoo!$B:$B, MATCH(Q1014, Pagos_Odoo!$I:$I, 0)), "Sin Pago"))</f>
        <v/>
      </c>
      <c r="Y1014" s="79">
        <f>IF(X1014="Sin Pago","",IFERROR(INDEX(Pagos_Odoo!$C:$C, MATCH(X1014, Pagos_Odoo!$B:$B, 0)), ""))</f>
        <v/>
      </c>
      <c r="Z1014" s="80">
        <f>IF(X1014="Sin Pago","",IFERROR(INDEX(Pagos_Odoo!$A:$A, MATCH(X1014, Pagos_Odoo!$B:$B, 0)), ""))</f>
        <v/>
      </c>
      <c r="AA1014" s="79">
        <f>IF(X1014="Sin Pago","",IFERROR(INDEX(Pagos_Odoo!$F:$F, MATCH(X1014, Pagos_Odoo!$B:$B, 0)), ""))</f>
        <v/>
      </c>
      <c r="AB1014" s="81">
        <f>IF(X1014="Sin Pago",0,IFERROR(INDEX(Pagos_Odoo!$E:$E, MATCH(X1014, Pagos_Odoo!$B:$B, 0)), 0))</f>
        <v/>
      </c>
      <c r="AC1014" s="79">
        <f>IF(X1014="Sin Pago","",IFERROR(INDEX(Pagos_Odoo!$G:$G, MATCH(X1014, Pagos_Odoo!$B:$B, 0)), ""))</f>
        <v/>
      </c>
      <c r="AD1014" s="82" t="n">
        <v>0</v>
      </c>
      <c r="AE1014" s="82" t="n"/>
      <c r="AF1014" s="82" t="n"/>
      <c r="AG1014" s="82">
        <f>IF(AN1014="","",AD1014+AE1014+AF1014)</f>
        <v/>
      </c>
      <c r="AH1014" s="81">
        <f>IF(AN1014="","",P1014*(1-AG1014))</f>
        <v/>
      </c>
      <c r="AI1014" s="81">
        <f>IF(AN1014="","",IF(Q1014="Sin Factura",0,IFERROR(INDEX(Facturas_Odoo!$H:$H, MATCH(Q1014, Facturas_Odoo!$B:$B, 0)), 0)*(1-AG1014)))</f>
        <v/>
      </c>
      <c r="AJ1014" s="81">
        <f>IF(AN1014="","",_xlfn.LET(idVenta, AN1014&amp;"",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14" s="81">
        <f>IF(AN1014="","",AH1014-AJ1014)</f>
        <v/>
      </c>
      <c r="AL1014" s="81">
        <f>IF(AN1014="","",IF(Q1014="Sin Factura","",AI1014-AJ1014))</f>
        <v/>
      </c>
      <c r="AM1014" s="81">
        <f>IF(AN1014="","",IF(Q1014="Sin Factura",0,P1014-IFERROR(INDEX(Facturas_Odoo!$H:$H, MATCH(Q1014, Facturas_Odoo!$B:$B, 0)), 0)))</f>
        <v/>
      </c>
      <c r="AN1014" s="79">
        <f>IF(AND(A1014="", J1014=""), "", IF(A1014&lt;&gt;"", VALUE(MID(A1014,2,LEN(A1014))), AN1013))</f>
        <v/>
      </c>
      <c r="AO1014" s="79">
        <f>IF(AN1014="","",IF(AD1014=0,"OK",_xlfn.LET(monedaPago, IF(AA1014="","USD",AA1014), limitePermitido, IFERROR(VLOOKUP(monedaPago, Configuración!$A$2:$B$3, 2, FALSE), 0.15), IF(AD1014&gt;limitePermitido, "ALERTA: EXCESO (" &amp; TEXT(limitePermitido, "0%") &amp; " máx)", "OK"))))</f>
        <v/>
      </c>
      <c r="AP1014" s="79">
        <f>IF(AN1014="","",IF(AE1014=0,"OK",_xlfn.LET(fechaPago, Z1014, fechaFactura, R1014, diasCredito, IF(E1014="Pago inmediato", 0, IFERROR(VALUE(MID(E1014, 1, SEARCH(" ", E1014)-1)),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14" s="79">
        <f>IF(AN1014="","",IF(AND(N1014&gt;0, AG1014&gt;0), IF(Configuración!$K$2="NO", "ALERTA: DESCUENTO DOBLE NO PERMITIDO", "OK"), "OK"))</f>
        <v/>
      </c>
      <c r="AR1014" s="79">
        <f>IF(AN1014="","",IF(OR(AO1014&lt;&gt;"OK", AP1014&lt;&gt;"OK", AQ1014&lt;&gt;"OK"), "⚠️ REVISAR", "OK"))</f>
        <v/>
      </c>
    </row>
    <row r="1015">
      <c r="A1015" s="79">
        <f>IF('Ordenes_Odoo'!A1015="","",'Ordenes_Odoo'!A1015)</f>
        <v/>
      </c>
      <c r="B1015" s="80">
        <f>IF('Ordenes_Odoo'!B1015="","",'Ordenes_Odoo'!B1015)</f>
        <v/>
      </c>
      <c r="C1015" s="79">
        <f>IF('Ordenes_Odoo'!C1015="","",'Ordenes_Odoo'!C1015)</f>
        <v/>
      </c>
      <c r="D1015" s="79">
        <f>IF('Ordenes_Odoo'!D1015="","",'Ordenes_Odoo'!D1015)</f>
        <v/>
      </c>
      <c r="E1015" s="79">
        <f>IF('Ordenes_Odoo'!E1015="","",'Ordenes_Odoo'!E1015)</f>
        <v/>
      </c>
      <c r="F1015" s="79">
        <f>IF('Ordenes_Odoo'!F1015="","",'Ordenes_Odoo'!F1015)</f>
        <v/>
      </c>
      <c r="G1015" s="79">
        <f>IF('Ordenes_Odoo'!G1015="","",'Ordenes_Odoo'!G1015)</f>
        <v/>
      </c>
      <c r="H1015" s="79">
        <f>IF('Ordenes_Odoo'!H1015="","",'Ordenes_Odoo'!H1015)</f>
        <v/>
      </c>
      <c r="I1015" s="79">
        <f>IF('Ordenes_Odoo'!I1015="","",'Ordenes_Odoo'!I1015)</f>
        <v/>
      </c>
      <c r="J1015" s="79">
        <f>IF('Ordenes_Odoo'!J1015="","",'Ordenes_Odoo'!J1015)</f>
        <v/>
      </c>
      <c r="K1015" s="81">
        <f>IF('Ordenes_Odoo'!K1015="","",'Ordenes_Odoo'!K1015)</f>
        <v/>
      </c>
      <c r="L1015" s="81">
        <f>IF('Ordenes_Odoo'!L1015="","",'Ordenes_Odoo'!L1015)</f>
        <v/>
      </c>
      <c r="M1015" s="79">
        <f>IF('Ordenes_Odoo'!M1015="","",'Ordenes_Odoo'!M1015)</f>
        <v/>
      </c>
      <c r="N1015" s="79">
        <f>IF('Ordenes_Odoo'!N1015="","",'Ordenes_Odoo'!N1015)</f>
        <v/>
      </c>
      <c r="O1015" s="81">
        <f>IF('Ordenes_Odoo'!O1015="","",'Ordenes_Odoo'!O1015)</f>
        <v/>
      </c>
      <c r="P1015" s="81">
        <f>IF('Ordenes_Odoo'!P1015="","",'Ordenes_Odoo'!P1015)</f>
        <v/>
      </c>
      <c r="Q1015" s="79">
        <f>IF(A1015="","",IFERROR(INDEX(Facturas_Odoo!$B:$B, MATCH(A1015, Facturas_Odoo!$D:$D, 0)), "Sin Factura"))</f>
        <v/>
      </c>
      <c r="R1015" s="80">
        <f>IF(Q1015="Sin Factura","",IFERROR(INDEX(Facturas_Odoo!$A:$A, MATCH(Q1015, Facturas_Odoo!$B:$B, 0)), ""))</f>
        <v/>
      </c>
      <c r="S1015" s="79">
        <f>IF(Q1015="Sin Factura","",IFERROR(_xlfn.XLOOKUP(1, (Facturas_Odoo!$D:$D=A1015) * (Facturas_Odoo!$K:$K=I1015), Facturas_Odoo!$L:$L, ""), ""))</f>
        <v/>
      </c>
      <c r="T1015" s="81">
        <f>IF(Q1015="Sin Factura",0,IFERROR(_xlfn.XLOOKUP(1, (Facturas_Odoo!$D:$D=A1015) * (Facturas_Odoo!$K:$K=I1015), Facturas_Odoo!$M:$M, 0), 0))</f>
        <v/>
      </c>
      <c r="U1015" s="79">
        <f>IF(Q1015="Sin Factura",0,IFERROR(_xlfn.XLOOKUP(1, (Facturas_Odoo!$D:$D=A1015) * (Facturas_Odoo!$K:$K=I1015), Facturas_Odoo!$N:$N, 0), 0))</f>
        <v/>
      </c>
      <c r="V1015" s="79">
        <f>IF(Q1015="Sin Factura",0,IFERROR(_xlfn.XLOOKUP(1, (Facturas_Odoo!$D:$D=A1015) * (Facturas_Odoo!$K:$K=I1015), Facturas_Odoo!$O:$O, 0), 0))</f>
        <v/>
      </c>
      <c r="W1015" s="81">
        <f>IF(Q1015="Sin Factura",0,IFERROR(_xlfn.XLOOKUP(1, (Facturas_Odoo!$D:$D=A1015) * (Facturas_Odoo!$K:$K=I1015), Facturas_Odoo!$Q:$Q, 0), 0))</f>
        <v/>
      </c>
      <c r="X1015" s="79">
        <f>IF(OR(Q1015="Sin Factura",Q1015=""),"",IFERROR(INDEX(Pagos_Odoo!$B:$B, MATCH(Q1015, Pagos_Odoo!$I:$I, 0)), "Sin Pago"))</f>
        <v/>
      </c>
      <c r="Y1015" s="79">
        <f>IF(X1015="Sin Pago","",IFERROR(INDEX(Pagos_Odoo!$C:$C, MATCH(X1015, Pagos_Odoo!$B:$B, 0)), ""))</f>
        <v/>
      </c>
      <c r="Z1015" s="80">
        <f>IF(X1015="Sin Pago","",IFERROR(INDEX(Pagos_Odoo!$A:$A, MATCH(X1015, Pagos_Odoo!$B:$B, 0)), ""))</f>
        <v/>
      </c>
      <c r="AA1015" s="79">
        <f>IF(X1015="Sin Pago","",IFERROR(INDEX(Pagos_Odoo!$F:$F, MATCH(X1015, Pagos_Odoo!$B:$B, 0)), ""))</f>
        <v/>
      </c>
      <c r="AB1015" s="81">
        <f>IF(X1015="Sin Pago",0,IFERROR(INDEX(Pagos_Odoo!$E:$E, MATCH(X1015, Pagos_Odoo!$B:$B, 0)), 0))</f>
        <v/>
      </c>
      <c r="AC1015" s="79">
        <f>IF(X1015="Sin Pago","",IFERROR(INDEX(Pagos_Odoo!$G:$G, MATCH(X1015, Pagos_Odoo!$B:$B, 0)), ""))</f>
        <v/>
      </c>
      <c r="AD1015" s="82" t="n">
        <v>0</v>
      </c>
      <c r="AE1015" s="82" t="n"/>
      <c r="AF1015" s="82" t="n"/>
      <c r="AG1015" s="82">
        <f>IF(AN1015="","",AD1015+AE1015+AF1015)</f>
        <v/>
      </c>
      <c r="AH1015" s="81">
        <f>IF(AN1015="","",P1015*(1-AG1015))</f>
        <v/>
      </c>
      <c r="AI1015" s="81">
        <f>IF(AN1015="","",IF(Q1015="Sin Factura",0,IFERROR(INDEX(Facturas_Odoo!$H:$H, MATCH(Q1015, Facturas_Odoo!$B:$B, 0)), 0)*(1-AG1015)))</f>
        <v/>
      </c>
      <c r="AJ1015" s="81">
        <f>IF(AN1015="","",_xlfn.LET(idVenta, AN1015&amp;"",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15" s="81">
        <f>IF(AN1015="","",AH1015-AJ1015)</f>
        <v/>
      </c>
      <c r="AL1015" s="81">
        <f>IF(AN1015="","",IF(Q1015="Sin Factura","",AI1015-AJ1015))</f>
        <v/>
      </c>
      <c r="AM1015" s="81">
        <f>IF(AN1015="","",IF(Q1015="Sin Factura",0,P1015-IFERROR(INDEX(Facturas_Odoo!$H:$H, MATCH(Q1015, Facturas_Odoo!$B:$B, 0)), 0)))</f>
        <v/>
      </c>
      <c r="AN1015" s="79">
        <f>IF(AND(A1015="", J1015=""), "", IF(A1015&lt;&gt;"", VALUE(MID(A1015,2,LEN(A1015))), AN1014))</f>
        <v/>
      </c>
      <c r="AO1015" s="79">
        <f>IF(AN1015="","",IF(AD1015=0,"OK",_xlfn.LET(monedaPago, IF(AA1015="","USD",AA1015), limitePermitido, IFERROR(VLOOKUP(monedaPago, Configuración!$A$2:$B$3, 2, FALSE), 0.15), IF(AD1015&gt;limitePermitido, "ALERTA: EXCESO (" &amp; TEXT(limitePermitido, "0%") &amp; " máx)", "OK"))))</f>
        <v/>
      </c>
      <c r="AP1015" s="79">
        <f>IF(AN1015="","",IF(AE1015=0,"OK",_xlfn.LET(fechaPago, Z1015, fechaFactura, R1015, diasCredito, IF(E1015="Pago inmediato", 0, IFERROR(VALUE(MID(E1015, 1, SEARCH(" ", E1015)-1)),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15" s="79">
        <f>IF(AN1015="","",IF(AND(N1015&gt;0, AG1015&gt;0), IF(Configuración!$K$2="NO", "ALERTA: DESCUENTO DOBLE NO PERMITIDO", "OK"), "OK"))</f>
        <v/>
      </c>
      <c r="AR1015" s="79">
        <f>IF(AN1015="","",IF(OR(AO1015&lt;&gt;"OK", AP1015&lt;&gt;"OK", AQ1015&lt;&gt;"OK"), "⚠️ REVISAR", "OK"))</f>
        <v/>
      </c>
    </row>
    <row r="1016">
      <c r="A1016" s="79">
        <f>IF('Ordenes_Odoo'!A1016="","",'Ordenes_Odoo'!A1016)</f>
        <v/>
      </c>
      <c r="B1016" s="80">
        <f>IF('Ordenes_Odoo'!B1016="","",'Ordenes_Odoo'!B1016)</f>
        <v/>
      </c>
      <c r="C1016" s="79">
        <f>IF('Ordenes_Odoo'!C1016="","",'Ordenes_Odoo'!C1016)</f>
        <v/>
      </c>
      <c r="D1016" s="79">
        <f>IF('Ordenes_Odoo'!D1016="","",'Ordenes_Odoo'!D1016)</f>
        <v/>
      </c>
      <c r="E1016" s="79">
        <f>IF('Ordenes_Odoo'!E1016="","",'Ordenes_Odoo'!E1016)</f>
        <v/>
      </c>
      <c r="F1016" s="79">
        <f>IF('Ordenes_Odoo'!F1016="","",'Ordenes_Odoo'!F1016)</f>
        <v/>
      </c>
      <c r="G1016" s="79">
        <f>IF('Ordenes_Odoo'!G1016="","",'Ordenes_Odoo'!G1016)</f>
        <v/>
      </c>
      <c r="H1016" s="79">
        <f>IF('Ordenes_Odoo'!H1016="","",'Ordenes_Odoo'!H1016)</f>
        <v/>
      </c>
      <c r="I1016" s="79">
        <f>IF('Ordenes_Odoo'!I1016="","",'Ordenes_Odoo'!I1016)</f>
        <v/>
      </c>
      <c r="J1016" s="79">
        <f>IF('Ordenes_Odoo'!J1016="","",'Ordenes_Odoo'!J1016)</f>
        <v/>
      </c>
      <c r="K1016" s="81">
        <f>IF('Ordenes_Odoo'!K1016="","",'Ordenes_Odoo'!K1016)</f>
        <v/>
      </c>
      <c r="L1016" s="81">
        <f>IF('Ordenes_Odoo'!L1016="","",'Ordenes_Odoo'!L1016)</f>
        <v/>
      </c>
      <c r="M1016" s="79">
        <f>IF('Ordenes_Odoo'!M1016="","",'Ordenes_Odoo'!M1016)</f>
        <v/>
      </c>
      <c r="N1016" s="79">
        <f>IF('Ordenes_Odoo'!N1016="","",'Ordenes_Odoo'!N1016)</f>
        <v/>
      </c>
      <c r="O1016" s="81">
        <f>IF('Ordenes_Odoo'!O1016="","",'Ordenes_Odoo'!O1016)</f>
        <v/>
      </c>
      <c r="P1016" s="81">
        <f>IF('Ordenes_Odoo'!P1016="","",'Ordenes_Odoo'!P1016)</f>
        <v/>
      </c>
      <c r="Q1016" s="79">
        <f>IF(A1016="","",IFERROR(INDEX(Facturas_Odoo!$B:$B, MATCH(A1016, Facturas_Odoo!$D:$D, 0)), "Sin Factura"))</f>
        <v/>
      </c>
      <c r="R1016" s="80">
        <f>IF(Q1016="Sin Factura","",IFERROR(INDEX(Facturas_Odoo!$A:$A, MATCH(Q1016, Facturas_Odoo!$B:$B, 0)), ""))</f>
        <v/>
      </c>
      <c r="S1016" s="79">
        <f>IF(Q1016="Sin Factura","",IFERROR(_xlfn.XLOOKUP(1, (Facturas_Odoo!$D:$D=A1016) * (Facturas_Odoo!$K:$K=I1016), Facturas_Odoo!$L:$L, ""), ""))</f>
        <v/>
      </c>
      <c r="T1016" s="81">
        <f>IF(Q1016="Sin Factura",0,IFERROR(_xlfn.XLOOKUP(1, (Facturas_Odoo!$D:$D=A1016) * (Facturas_Odoo!$K:$K=I1016), Facturas_Odoo!$M:$M, 0), 0))</f>
        <v/>
      </c>
      <c r="U1016" s="79">
        <f>IF(Q1016="Sin Factura",0,IFERROR(_xlfn.XLOOKUP(1, (Facturas_Odoo!$D:$D=A1016) * (Facturas_Odoo!$K:$K=I1016), Facturas_Odoo!$N:$N, 0), 0))</f>
        <v/>
      </c>
      <c r="V1016" s="79">
        <f>IF(Q1016="Sin Factura",0,IFERROR(_xlfn.XLOOKUP(1, (Facturas_Odoo!$D:$D=A1016) * (Facturas_Odoo!$K:$K=I1016), Facturas_Odoo!$O:$O, 0), 0))</f>
        <v/>
      </c>
      <c r="W1016" s="81">
        <f>IF(Q1016="Sin Factura",0,IFERROR(_xlfn.XLOOKUP(1, (Facturas_Odoo!$D:$D=A1016) * (Facturas_Odoo!$K:$K=I1016), Facturas_Odoo!$Q:$Q, 0), 0))</f>
        <v/>
      </c>
      <c r="X1016" s="79">
        <f>IF(OR(Q1016="Sin Factura",Q1016=""),"",IFERROR(INDEX(Pagos_Odoo!$B:$B, MATCH(Q1016, Pagos_Odoo!$I:$I, 0)), "Sin Pago"))</f>
        <v/>
      </c>
      <c r="Y1016" s="79">
        <f>IF(X1016="Sin Pago","",IFERROR(INDEX(Pagos_Odoo!$C:$C, MATCH(X1016, Pagos_Odoo!$B:$B, 0)), ""))</f>
        <v/>
      </c>
      <c r="Z1016" s="80">
        <f>IF(X1016="Sin Pago","",IFERROR(INDEX(Pagos_Odoo!$A:$A, MATCH(X1016, Pagos_Odoo!$B:$B, 0)), ""))</f>
        <v/>
      </c>
      <c r="AA1016" s="79">
        <f>IF(X1016="Sin Pago","",IFERROR(INDEX(Pagos_Odoo!$F:$F, MATCH(X1016, Pagos_Odoo!$B:$B, 0)), ""))</f>
        <v/>
      </c>
      <c r="AB1016" s="81">
        <f>IF(X1016="Sin Pago",0,IFERROR(INDEX(Pagos_Odoo!$E:$E, MATCH(X1016, Pagos_Odoo!$B:$B, 0)), 0))</f>
        <v/>
      </c>
      <c r="AC1016" s="79">
        <f>IF(X1016="Sin Pago","",IFERROR(INDEX(Pagos_Odoo!$G:$G, MATCH(X1016, Pagos_Odoo!$B:$B, 0)), ""))</f>
        <v/>
      </c>
      <c r="AD1016" s="82" t="n">
        <v>0</v>
      </c>
      <c r="AE1016" s="82" t="n"/>
      <c r="AF1016" s="82" t="n"/>
      <c r="AG1016" s="82">
        <f>IF(AN1016="","",AD1016+AE1016+AF1016)</f>
        <v/>
      </c>
      <c r="AH1016" s="81">
        <f>IF(AN1016="","",P1016*(1-AG1016))</f>
        <v/>
      </c>
      <c r="AI1016" s="81">
        <f>IF(AN1016="","",IF(Q1016="Sin Factura",0,IFERROR(INDEX(Facturas_Odoo!$H:$H, MATCH(Q1016, Facturas_Odoo!$B:$B, 0)), 0)*(1-AG1016)))</f>
        <v/>
      </c>
      <c r="AJ1016" s="81">
        <f>IF(AN1016="","",_xlfn.LET(idVenta, AN1016&amp;"",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16" s="81">
        <f>IF(AN1016="","",AH1016-AJ1016)</f>
        <v/>
      </c>
      <c r="AL1016" s="81">
        <f>IF(AN1016="","",IF(Q1016="Sin Factura","",AI1016-AJ1016))</f>
        <v/>
      </c>
      <c r="AM1016" s="81">
        <f>IF(AN1016="","",IF(Q1016="Sin Factura",0,P1016-IFERROR(INDEX(Facturas_Odoo!$H:$H, MATCH(Q1016, Facturas_Odoo!$B:$B, 0)), 0)))</f>
        <v/>
      </c>
      <c r="AN1016" s="79">
        <f>IF(AND(A1016="", J1016=""), "", IF(A1016&lt;&gt;"", VALUE(MID(A1016,2,LEN(A1016))), AN1015))</f>
        <v/>
      </c>
      <c r="AO1016" s="79">
        <f>IF(AN1016="","",IF(AD1016=0,"OK",_xlfn.LET(monedaPago, IF(AA1016="","USD",AA1016), limitePermitido, IFERROR(VLOOKUP(monedaPago, Configuración!$A$2:$B$3, 2, FALSE), 0.15), IF(AD1016&gt;limitePermitido, "ALERTA: EXCESO (" &amp; TEXT(limitePermitido, "0%") &amp; " máx)", "OK"))))</f>
        <v/>
      </c>
      <c r="AP1016" s="79">
        <f>IF(AN1016="","",IF(AE1016=0,"OK",_xlfn.LET(fechaPago, Z1016, fechaFactura, R1016, diasCredito, IF(E1016="Pago inmediato", 0, IFERROR(VALUE(MID(E1016, 1, SEARCH(" ", E1016)-1)),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16" s="79">
        <f>IF(AN1016="","",IF(AND(N1016&gt;0, AG1016&gt;0), IF(Configuración!$K$2="NO", "ALERTA: DESCUENTO DOBLE NO PERMITIDO", "OK"), "OK"))</f>
        <v/>
      </c>
      <c r="AR1016" s="79">
        <f>IF(AN1016="","",IF(OR(AO1016&lt;&gt;"OK", AP1016&lt;&gt;"OK", AQ1016&lt;&gt;"OK"), "⚠️ REVISAR", "OK"))</f>
        <v/>
      </c>
    </row>
    <row r="1017">
      <c r="A1017" s="79">
        <f>IF('Ordenes_Odoo'!A1017="","",'Ordenes_Odoo'!A1017)</f>
        <v/>
      </c>
      <c r="B1017" s="80">
        <f>IF('Ordenes_Odoo'!B1017="","",'Ordenes_Odoo'!B1017)</f>
        <v/>
      </c>
      <c r="C1017" s="79">
        <f>IF('Ordenes_Odoo'!C1017="","",'Ordenes_Odoo'!C1017)</f>
        <v/>
      </c>
      <c r="D1017" s="79">
        <f>IF('Ordenes_Odoo'!D1017="","",'Ordenes_Odoo'!D1017)</f>
        <v/>
      </c>
      <c r="E1017" s="79">
        <f>IF('Ordenes_Odoo'!E1017="","",'Ordenes_Odoo'!E1017)</f>
        <v/>
      </c>
      <c r="F1017" s="79">
        <f>IF('Ordenes_Odoo'!F1017="","",'Ordenes_Odoo'!F1017)</f>
        <v/>
      </c>
      <c r="G1017" s="79">
        <f>IF('Ordenes_Odoo'!G1017="","",'Ordenes_Odoo'!G1017)</f>
        <v/>
      </c>
      <c r="H1017" s="79">
        <f>IF('Ordenes_Odoo'!H1017="","",'Ordenes_Odoo'!H1017)</f>
        <v/>
      </c>
      <c r="I1017" s="79">
        <f>IF('Ordenes_Odoo'!I1017="","",'Ordenes_Odoo'!I1017)</f>
        <v/>
      </c>
      <c r="J1017" s="79">
        <f>IF('Ordenes_Odoo'!J1017="","",'Ordenes_Odoo'!J1017)</f>
        <v/>
      </c>
      <c r="K1017" s="81">
        <f>IF('Ordenes_Odoo'!K1017="","",'Ordenes_Odoo'!K1017)</f>
        <v/>
      </c>
      <c r="L1017" s="81">
        <f>IF('Ordenes_Odoo'!L1017="","",'Ordenes_Odoo'!L1017)</f>
        <v/>
      </c>
      <c r="M1017" s="79">
        <f>IF('Ordenes_Odoo'!M1017="","",'Ordenes_Odoo'!M1017)</f>
        <v/>
      </c>
      <c r="N1017" s="79">
        <f>IF('Ordenes_Odoo'!N1017="","",'Ordenes_Odoo'!N1017)</f>
        <v/>
      </c>
      <c r="O1017" s="81">
        <f>IF('Ordenes_Odoo'!O1017="","",'Ordenes_Odoo'!O1017)</f>
        <v/>
      </c>
      <c r="P1017" s="81">
        <f>IF('Ordenes_Odoo'!P1017="","",'Ordenes_Odoo'!P1017)</f>
        <v/>
      </c>
      <c r="Q1017" s="79">
        <f>IF(A1017="","",IFERROR(INDEX(Facturas_Odoo!$B:$B, MATCH(A1017, Facturas_Odoo!$D:$D, 0)), "Sin Factura"))</f>
        <v/>
      </c>
      <c r="R1017" s="80">
        <f>IF(Q1017="Sin Factura","",IFERROR(INDEX(Facturas_Odoo!$A:$A, MATCH(Q1017, Facturas_Odoo!$B:$B, 0)), ""))</f>
        <v/>
      </c>
      <c r="S1017" s="79">
        <f>IF(Q1017="Sin Factura","",IFERROR(_xlfn.XLOOKUP(1, (Facturas_Odoo!$D:$D=A1017) * (Facturas_Odoo!$K:$K=I1017), Facturas_Odoo!$L:$L, ""), ""))</f>
        <v/>
      </c>
      <c r="T1017" s="81">
        <f>IF(Q1017="Sin Factura",0,IFERROR(_xlfn.XLOOKUP(1, (Facturas_Odoo!$D:$D=A1017) * (Facturas_Odoo!$K:$K=I1017), Facturas_Odoo!$M:$M, 0), 0))</f>
        <v/>
      </c>
      <c r="U1017" s="79">
        <f>IF(Q1017="Sin Factura",0,IFERROR(_xlfn.XLOOKUP(1, (Facturas_Odoo!$D:$D=A1017) * (Facturas_Odoo!$K:$K=I1017), Facturas_Odoo!$N:$N, 0), 0))</f>
        <v/>
      </c>
      <c r="V1017" s="79">
        <f>IF(Q1017="Sin Factura",0,IFERROR(_xlfn.XLOOKUP(1, (Facturas_Odoo!$D:$D=A1017) * (Facturas_Odoo!$K:$K=I1017), Facturas_Odoo!$O:$O, 0), 0))</f>
        <v/>
      </c>
      <c r="W1017" s="81">
        <f>IF(Q1017="Sin Factura",0,IFERROR(_xlfn.XLOOKUP(1, (Facturas_Odoo!$D:$D=A1017) * (Facturas_Odoo!$K:$K=I1017), Facturas_Odoo!$Q:$Q, 0), 0))</f>
        <v/>
      </c>
      <c r="X1017" s="79">
        <f>IF(OR(Q1017="Sin Factura",Q1017=""),"",IFERROR(INDEX(Pagos_Odoo!$B:$B, MATCH(Q1017, Pagos_Odoo!$I:$I, 0)), "Sin Pago"))</f>
        <v/>
      </c>
      <c r="Y1017" s="79">
        <f>IF(X1017="Sin Pago","",IFERROR(INDEX(Pagos_Odoo!$C:$C, MATCH(X1017, Pagos_Odoo!$B:$B, 0)), ""))</f>
        <v/>
      </c>
      <c r="Z1017" s="80">
        <f>IF(X1017="Sin Pago","",IFERROR(INDEX(Pagos_Odoo!$A:$A, MATCH(X1017, Pagos_Odoo!$B:$B, 0)), ""))</f>
        <v/>
      </c>
      <c r="AA1017" s="79">
        <f>IF(X1017="Sin Pago","",IFERROR(INDEX(Pagos_Odoo!$F:$F, MATCH(X1017, Pagos_Odoo!$B:$B, 0)), ""))</f>
        <v/>
      </c>
      <c r="AB1017" s="81">
        <f>IF(X1017="Sin Pago",0,IFERROR(INDEX(Pagos_Odoo!$E:$E, MATCH(X1017, Pagos_Odoo!$B:$B, 0)), 0))</f>
        <v/>
      </c>
      <c r="AC1017" s="79">
        <f>IF(X1017="Sin Pago","",IFERROR(INDEX(Pagos_Odoo!$G:$G, MATCH(X1017, Pagos_Odoo!$B:$B, 0)), ""))</f>
        <v/>
      </c>
      <c r="AD1017" s="82" t="n">
        <v>0</v>
      </c>
      <c r="AE1017" s="82" t="n"/>
      <c r="AF1017" s="82" t="n"/>
      <c r="AG1017" s="82">
        <f>IF(AN1017="","",AD1017+AE1017+AF1017)</f>
        <v/>
      </c>
      <c r="AH1017" s="81">
        <f>IF(AN1017="","",P1017*(1-AG1017))</f>
        <v/>
      </c>
      <c r="AI1017" s="81">
        <f>IF(AN1017="","",IF(Q1017="Sin Factura",0,IFERROR(INDEX(Facturas_Odoo!$H:$H, MATCH(Q1017, Facturas_Odoo!$B:$B, 0)), 0)*(1-AG1017)))</f>
        <v/>
      </c>
      <c r="AJ1017" s="81">
        <f>IF(AN1017="","",_xlfn.LET(idVenta, AN1017&amp;"",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17" s="81">
        <f>IF(AN1017="","",AH1017-AJ1017)</f>
        <v/>
      </c>
      <c r="AL1017" s="81">
        <f>IF(AN1017="","",IF(Q1017="Sin Factura","",AI1017-AJ1017))</f>
        <v/>
      </c>
      <c r="AM1017" s="81">
        <f>IF(AN1017="","",IF(Q1017="Sin Factura",0,P1017-IFERROR(INDEX(Facturas_Odoo!$H:$H, MATCH(Q1017, Facturas_Odoo!$B:$B, 0)), 0)))</f>
        <v/>
      </c>
      <c r="AN1017" s="79">
        <f>IF(AND(A1017="", J1017=""), "", IF(A1017&lt;&gt;"", VALUE(MID(A1017,2,LEN(A1017))), AN1016))</f>
        <v/>
      </c>
      <c r="AO1017" s="79">
        <f>IF(AN1017="","",IF(AD1017=0,"OK",_xlfn.LET(monedaPago, IF(AA1017="","USD",AA1017), limitePermitido, IFERROR(VLOOKUP(monedaPago, Configuración!$A$2:$B$3, 2, FALSE), 0.15), IF(AD1017&gt;limitePermitido, "ALERTA: EXCESO (" &amp; TEXT(limitePermitido, "0%") &amp; " máx)", "OK"))))</f>
        <v/>
      </c>
      <c r="AP1017" s="79">
        <f>IF(AN1017="","",IF(AE1017=0,"OK",_xlfn.LET(fechaPago, Z1017, fechaFactura, R1017, diasCredito, IF(E1017="Pago inmediato", 0, IFERROR(VALUE(MID(E1017, 1, SEARCH(" ", E1017)-1)),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17" s="79">
        <f>IF(AN1017="","",IF(AND(N1017&gt;0, AG1017&gt;0), IF(Configuración!$K$2="NO", "ALERTA: DESCUENTO DOBLE NO PERMITIDO", "OK"), "OK"))</f>
        <v/>
      </c>
      <c r="AR1017" s="79">
        <f>IF(AN1017="","",IF(OR(AO1017&lt;&gt;"OK", AP1017&lt;&gt;"OK", AQ1017&lt;&gt;"OK"), "⚠️ REVISAR", "OK"))</f>
        <v/>
      </c>
    </row>
    <row r="1018">
      <c r="A1018" s="79">
        <f>IF('Ordenes_Odoo'!A1018="","",'Ordenes_Odoo'!A1018)</f>
        <v/>
      </c>
      <c r="B1018" s="80">
        <f>IF('Ordenes_Odoo'!B1018="","",'Ordenes_Odoo'!B1018)</f>
        <v/>
      </c>
      <c r="C1018" s="79">
        <f>IF('Ordenes_Odoo'!C1018="","",'Ordenes_Odoo'!C1018)</f>
        <v/>
      </c>
      <c r="D1018" s="79">
        <f>IF('Ordenes_Odoo'!D1018="","",'Ordenes_Odoo'!D1018)</f>
        <v/>
      </c>
      <c r="E1018" s="79">
        <f>IF('Ordenes_Odoo'!E1018="","",'Ordenes_Odoo'!E1018)</f>
        <v/>
      </c>
      <c r="F1018" s="79">
        <f>IF('Ordenes_Odoo'!F1018="","",'Ordenes_Odoo'!F1018)</f>
        <v/>
      </c>
      <c r="G1018" s="79">
        <f>IF('Ordenes_Odoo'!G1018="","",'Ordenes_Odoo'!G1018)</f>
        <v/>
      </c>
      <c r="H1018" s="79">
        <f>IF('Ordenes_Odoo'!H1018="","",'Ordenes_Odoo'!H1018)</f>
        <v/>
      </c>
      <c r="I1018" s="79">
        <f>IF('Ordenes_Odoo'!I1018="","",'Ordenes_Odoo'!I1018)</f>
        <v/>
      </c>
      <c r="J1018" s="79">
        <f>IF('Ordenes_Odoo'!J1018="","",'Ordenes_Odoo'!J1018)</f>
        <v/>
      </c>
      <c r="K1018" s="81">
        <f>IF('Ordenes_Odoo'!K1018="","",'Ordenes_Odoo'!K1018)</f>
        <v/>
      </c>
      <c r="L1018" s="81">
        <f>IF('Ordenes_Odoo'!L1018="","",'Ordenes_Odoo'!L1018)</f>
        <v/>
      </c>
      <c r="M1018" s="79">
        <f>IF('Ordenes_Odoo'!M1018="","",'Ordenes_Odoo'!M1018)</f>
        <v/>
      </c>
      <c r="N1018" s="79">
        <f>IF('Ordenes_Odoo'!N1018="","",'Ordenes_Odoo'!N1018)</f>
        <v/>
      </c>
      <c r="O1018" s="81">
        <f>IF('Ordenes_Odoo'!O1018="","",'Ordenes_Odoo'!O1018)</f>
        <v/>
      </c>
      <c r="P1018" s="81">
        <f>IF('Ordenes_Odoo'!P1018="","",'Ordenes_Odoo'!P1018)</f>
        <v/>
      </c>
      <c r="Q1018" s="79">
        <f>IF(A1018="","",IFERROR(INDEX(Facturas_Odoo!$B:$B, MATCH(A1018, Facturas_Odoo!$D:$D, 0)), "Sin Factura"))</f>
        <v/>
      </c>
      <c r="R1018" s="80">
        <f>IF(Q1018="Sin Factura","",IFERROR(INDEX(Facturas_Odoo!$A:$A, MATCH(Q1018, Facturas_Odoo!$B:$B, 0)), ""))</f>
        <v/>
      </c>
      <c r="S1018" s="79">
        <f>IF(Q1018="Sin Factura","",IFERROR(_xlfn.XLOOKUP(1, (Facturas_Odoo!$D:$D=A1018) * (Facturas_Odoo!$K:$K=I1018), Facturas_Odoo!$L:$L, ""), ""))</f>
        <v/>
      </c>
      <c r="T1018" s="81">
        <f>IF(Q1018="Sin Factura",0,IFERROR(_xlfn.XLOOKUP(1, (Facturas_Odoo!$D:$D=A1018) * (Facturas_Odoo!$K:$K=I1018), Facturas_Odoo!$M:$M, 0), 0))</f>
        <v/>
      </c>
      <c r="U1018" s="79">
        <f>IF(Q1018="Sin Factura",0,IFERROR(_xlfn.XLOOKUP(1, (Facturas_Odoo!$D:$D=A1018) * (Facturas_Odoo!$K:$K=I1018), Facturas_Odoo!$N:$N, 0), 0))</f>
        <v/>
      </c>
      <c r="V1018" s="79">
        <f>IF(Q1018="Sin Factura",0,IFERROR(_xlfn.XLOOKUP(1, (Facturas_Odoo!$D:$D=A1018) * (Facturas_Odoo!$K:$K=I1018), Facturas_Odoo!$O:$O, 0), 0))</f>
        <v/>
      </c>
      <c r="W1018" s="81">
        <f>IF(Q1018="Sin Factura",0,IFERROR(_xlfn.XLOOKUP(1, (Facturas_Odoo!$D:$D=A1018) * (Facturas_Odoo!$K:$K=I1018), Facturas_Odoo!$Q:$Q, 0), 0))</f>
        <v/>
      </c>
      <c r="X1018" s="79">
        <f>IF(OR(Q1018="Sin Factura",Q1018=""),"",IFERROR(INDEX(Pagos_Odoo!$B:$B, MATCH(Q1018, Pagos_Odoo!$I:$I, 0)), "Sin Pago"))</f>
        <v/>
      </c>
      <c r="Y1018" s="79">
        <f>IF(X1018="Sin Pago","",IFERROR(INDEX(Pagos_Odoo!$C:$C, MATCH(X1018, Pagos_Odoo!$B:$B, 0)), ""))</f>
        <v/>
      </c>
      <c r="Z1018" s="80">
        <f>IF(X1018="Sin Pago","",IFERROR(INDEX(Pagos_Odoo!$A:$A, MATCH(X1018, Pagos_Odoo!$B:$B, 0)), ""))</f>
        <v/>
      </c>
      <c r="AA1018" s="79">
        <f>IF(X1018="Sin Pago","",IFERROR(INDEX(Pagos_Odoo!$F:$F, MATCH(X1018, Pagos_Odoo!$B:$B, 0)), ""))</f>
        <v/>
      </c>
      <c r="AB1018" s="81">
        <f>IF(X1018="Sin Pago",0,IFERROR(INDEX(Pagos_Odoo!$E:$E, MATCH(X1018, Pagos_Odoo!$B:$B, 0)), 0))</f>
        <v/>
      </c>
      <c r="AC1018" s="79">
        <f>IF(X1018="Sin Pago","",IFERROR(INDEX(Pagos_Odoo!$G:$G, MATCH(X1018, Pagos_Odoo!$B:$B, 0)), ""))</f>
        <v/>
      </c>
      <c r="AD1018" s="82" t="n">
        <v>0</v>
      </c>
      <c r="AE1018" s="82" t="n"/>
      <c r="AF1018" s="82" t="n"/>
      <c r="AG1018" s="82">
        <f>IF(AN1018="","",AD1018+AE1018+AF1018)</f>
        <v/>
      </c>
      <c r="AH1018" s="81">
        <f>IF(AN1018="","",P1018*(1-AG1018))</f>
        <v/>
      </c>
      <c r="AI1018" s="81">
        <f>IF(AN1018="","",IF(Q1018="Sin Factura",0,IFERROR(INDEX(Facturas_Odoo!$H:$H, MATCH(Q1018, Facturas_Odoo!$B:$B, 0)), 0)*(1-AG1018)))</f>
        <v/>
      </c>
      <c r="AJ1018" s="81">
        <f>IF(AN1018="","",_xlfn.LET(idVenta, AN1018&amp;"",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18" s="81">
        <f>IF(AN1018="","",AH1018-AJ1018)</f>
        <v/>
      </c>
      <c r="AL1018" s="81">
        <f>IF(AN1018="","",IF(Q1018="Sin Factura","",AI1018-AJ1018))</f>
        <v/>
      </c>
      <c r="AM1018" s="81">
        <f>IF(AN1018="","",IF(Q1018="Sin Factura",0,P1018-IFERROR(INDEX(Facturas_Odoo!$H:$H, MATCH(Q1018, Facturas_Odoo!$B:$B, 0)), 0)))</f>
        <v/>
      </c>
      <c r="AN1018" s="79">
        <f>IF(AND(A1018="", J1018=""), "", IF(A1018&lt;&gt;"", VALUE(MID(A1018,2,LEN(A1018))), AN1017))</f>
        <v/>
      </c>
      <c r="AO1018" s="79">
        <f>IF(AN1018="","",IF(AD1018=0,"OK",_xlfn.LET(monedaPago, IF(AA1018="","USD",AA1018), limitePermitido, IFERROR(VLOOKUP(monedaPago, Configuración!$A$2:$B$3, 2, FALSE), 0.15), IF(AD1018&gt;limitePermitido, "ALERTA: EXCESO (" &amp; TEXT(limitePermitido, "0%") &amp; " máx)", "OK"))))</f>
        <v/>
      </c>
      <c r="AP1018" s="79">
        <f>IF(AN1018="","",IF(AE1018=0,"OK",_xlfn.LET(fechaPago, Z1018, fechaFactura, R1018, diasCredito, IF(E1018="Pago inmediato", 0, IFERROR(VALUE(MID(E1018, 1, SEARCH(" ", E1018)-1)),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18" s="79">
        <f>IF(AN1018="","",IF(AND(N1018&gt;0, AG1018&gt;0), IF(Configuración!$K$2="NO", "ALERTA: DESCUENTO DOBLE NO PERMITIDO", "OK"), "OK"))</f>
        <v/>
      </c>
      <c r="AR1018" s="79">
        <f>IF(AN1018="","",IF(OR(AO1018&lt;&gt;"OK", AP1018&lt;&gt;"OK", AQ1018&lt;&gt;"OK"), "⚠️ REVISAR", "OK"))</f>
        <v/>
      </c>
    </row>
    <row r="1019">
      <c r="A1019" s="79">
        <f>IF('Ordenes_Odoo'!A1019="","",'Ordenes_Odoo'!A1019)</f>
        <v/>
      </c>
      <c r="B1019" s="80">
        <f>IF('Ordenes_Odoo'!B1019="","",'Ordenes_Odoo'!B1019)</f>
        <v/>
      </c>
      <c r="C1019" s="79">
        <f>IF('Ordenes_Odoo'!C1019="","",'Ordenes_Odoo'!C1019)</f>
        <v/>
      </c>
      <c r="D1019" s="79">
        <f>IF('Ordenes_Odoo'!D1019="","",'Ordenes_Odoo'!D1019)</f>
        <v/>
      </c>
      <c r="E1019" s="79">
        <f>IF('Ordenes_Odoo'!E1019="","",'Ordenes_Odoo'!E1019)</f>
        <v/>
      </c>
      <c r="F1019" s="79">
        <f>IF('Ordenes_Odoo'!F1019="","",'Ordenes_Odoo'!F1019)</f>
        <v/>
      </c>
      <c r="G1019" s="79">
        <f>IF('Ordenes_Odoo'!G1019="","",'Ordenes_Odoo'!G1019)</f>
        <v/>
      </c>
      <c r="H1019" s="79">
        <f>IF('Ordenes_Odoo'!H1019="","",'Ordenes_Odoo'!H1019)</f>
        <v/>
      </c>
      <c r="I1019" s="79">
        <f>IF('Ordenes_Odoo'!I1019="","",'Ordenes_Odoo'!I1019)</f>
        <v/>
      </c>
      <c r="J1019" s="79">
        <f>IF('Ordenes_Odoo'!J1019="","",'Ordenes_Odoo'!J1019)</f>
        <v/>
      </c>
      <c r="K1019" s="81">
        <f>IF('Ordenes_Odoo'!K1019="","",'Ordenes_Odoo'!K1019)</f>
        <v/>
      </c>
      <c r="L1019" s="81">
        <f>IF('Ordenes_Odoo'!L1019="","",'Ordenes_Odoo'!L1019)</f>
        <v/>
      </c>
      <c r="M1019" s="79">
        <f>IF('Ordenes_Odoo'!M1019="","",'Ordenes_Odoo'!M1019)</f>
        <v/>
      </c>
      <c r="N1019" s="79">
        <f>IF('Ordenes_Odoo'!N1019="","",'Ordenes_Odoo'!N1019)</f>
        <v/>
      </c>
      <c r="O1019" s="81">
        <f>IF('Ordenes_Odoo'!O1019="","",'Ordenes_Odoo'!O1019)</f>
        <v/>
      </c>
      <c r="P1019" s="81">
        <f>IF('Ordenes_Odoo'!P1019="","",'Ordenes_Odoo'!P1019)</f>
        <v/>
      </c>
      <c r="Q1019" s="79">
        <f>IF(A1019="","",IFERROR(INDEX(Facturas_Odoo!$B:$B, MATCH(A1019, Facturas_Odoo!$D:$D, 0)), "Sin Factura"))</f>
        <v/>
      </c>
      <c r="R1019" s="80">
        <f>IF(Q1019="Sin Factura","",IFERROR(INDEX(Facturas_Odoo!$A:$A, MATCH(Q1019, Facturas_Odoo!$B:$B, 0)), ""))</f>
        <v/>
      </c>
      <c r="S1019" s="79">
        <f>IF(Q1019="Sin Factura","",IFERROR(_xlfn.XLOOKUP(1, (Facturas_Odoo!$D:$D=A1019) * (Facturas_Odoo!$K:$K=I1019), Facturas_Odoo!$L:$L, ""), ""))</f>
        <v/>
      </c>
      <c r="T1019" s="81">
        <f>IF(Q1019="Sin Factura",0,IFERROR(_xlfn.XLOOKUP(1, (Facturas_Odoo!$D:$D=A1019) * (Facturas_Odoo!$K:$K=I1019), Facturas_Odoo!$M:$M, 0), 0))</f>
        <v/>
      </c>
      <c r="U1019" s="79">
        <f>IF(Q1019="Sin Factura",0,IFERROR(_xlfn.XLOOKUP(1, (Facturas_Odoo!$D:$D=A1019) * (Facturas_Odoo!$K:$K=I1019), Facturas_Odoo!$N:$N, 0), 0))</f>
        <v/>
      </c>
      <c r="V1019" s="79">
        <f>IF(Q1019="Sin Factura",0,IFERROR(_xlfn.XLOOKUP(1, (Facturas_Odoo!$D:$D=A1019) * (Facturas_Odoo!$K:$K=I1019), Facturas_Odoo!$O:$O, 0), 0))</f>
        <v/>
      </c>
      <c r="W1019" s="81">
        <f>IF(Q1019="Sin Factura",0,IFERROR(_xlfn.XLOOKUP(1, (Facturas_Odoo!$D:$D=A1019) * (Facturas_Odoo!$K:$K=I1019), Facturas_Odoo!$Q:$Q, 0), 0))</f>
        <v/>
      </c>
      <c r="X1019" s="79">
        <f>IF(OR(Q1019="Sin Factura",Q1019=""),"",IFERROR(INDEX(Pagos_Odoo!$B:$B, MATCH(Q1019, Pagos_Odoo!$I:$I, 0)), "Sin Pago"))</f>
        <v/>
      </c>
      <c r="Y1019" s="79">
        <f>IF(X1019="Sin Pago","",IFERROR(INDEX(Pagos_Odoo!$C:$C, MATCH(X1019, Pagos_Odoo!$B:$B, 0)), ""))</f>
        <v/>
      </c>
      <c r="Z1019" s="80">
        <f>IF(X1019="Sin Pago","",IFERROR(INDEX(Pagos_Odoo!$A:$A, MATCH(X1019, Pagos_Odoo!$B:$B, 0)), ""))</f>
        <v/>
      </c>
      <c r="AA1019" s="79">
        <f>IF(X1019="Sin Pago","",IFERROR(INDEX(Pagos_Odoo!$F:$F, MATCH(X1019, Pagos_Odoo!$B:$B, 0)), ""))</f>
        <v/>
      </c>
      <c r="AB1019" s="81">
        <f>IF(X1019="Sin Pago",0,IFERROR(INDEX(Pagos_Odoo!$E:$E, MATCH(X1019, Pagos_Odoo!$B:$B, 0)), 0))</f>
        <v/>
      </c>
      <c r="AC1019" s="79">
        <f>IF(X1019="Sin Pago","",IFERROR(INDEX(Pagos_Odoo!$G:$G, MATCH(X1019, Pagos_Odoo!$B:$B, 0)), ""))</f>
        <v/>
      </c>
      <c r="AD1019" s="82" t="n">
        <v>0</v>
      </c>
      <c r="AE1019" s="82" t="n"/>
      <c r="AF1019" s="82" t="n"/>
      <c r="AG1019" s="82">
        <f>IF(AN1019="","",AD1019+AE1019+AF1019)</f>
        <v/>
      </c>
      <c r="AH1019" s="81">
        <f>IF(AN1019="","",P1019*(1-AG1019))</f>
        <v/>
      </c>
      <c r="AI1019" s="81">
        <f>IF(AN1019="","",IF(Q1019="Sin Factura",0,IFERROR(INDEX(Facturas_Odoo!$H:$H, MATCH(Q1019, Facturas_Odoo!$B:$B, 0)), 0)*(1-AG1019)))</f>
        <v/>
      </c>
      <c r="AJ1019" s="81">
        <f>IF(AN1019="","",_xlfn.LET(idVenta, AN1019&amp;"",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19" s="81">
        <f>IF(AN1019="","",AH1019-AJ1019)</f>
        <v/>
      </c>
      <c r="AL1019" s="81">
        <f>IF(AN1019="","",IF(Q1019="Sin Factura","",AI1019-AJ1019))</f>
        <v/>
      </c>
      <c r="AM1019" s="81">
        <f>IF(AN1019="","",IF(Q1019="Sin Factura",0,P1019-IFERROR(INDEX(Facturas_Odoo!$H:$H, MATCH(Q1019, Facturas_Odoo!$B:$B, 0)), 0)))</f>
        <v/>
      </c>
      <c r="AN1019" s="79">
        <f>IF(AND(A1019="", J1019=""), "", IF(A1019&lt;&gt;"", VALUE(MID(A1019,2,LEN(A1019))), AN1018))</f>
        <v/>
      </c>
      <c r="AO1019" s="79">
        <f>IF(AN1019="","",IF(AD1019=0,"OK",_xlfn.LET(monedaPago, IF(AA1019="","USD",AA1019), limitePermitido, IFERROR(VLOOKUP(monedaPago, Configuración!$A$2:$B$3, 2, FALSE), 0.15), IF(AD1019&gt;limitePermitido, "ALERTA: EXCESO (" &amp; TEXT(limitePermitido, "0%") &amp; " máx)", "OK"))))</f>
        <v/>
      </c>
      <c r="AP1019" s="79">
        <f>IF(AN1019="","",IF(AE1019=0,"OK",_xlfn.LET(fechaPago, Z1019, fechaFactura, R1019, diasCredito, IF(E1019="Pago inmediato", 0, IFERROR(VALUE(MID(E1019, 1, SEARCH(" ", E1019)-1)),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19" s="79">
        <f>IF(AN1019="","",IF(AND(N1019&gt;0, AG1019&gt;0), IF(Configuración!$K$2="NO", "ALERTA: DESCUENTO DOBLE NO PERMITIDO", "OK"), "OK"))</f>
        <v/>
      </c>
      <c r="AR1019" s="79">
        <f>IF(AN1019="","",IF(OR(AO1019&lt;&gt;"OK", AP1019&lt;&gt;"OK", AQ1019&lt;&gt;"OK"), "⚠️ REVISAR", "OK"))</f>
        <v/>
      </c>
    </row>
    <row r="1020">
      <c r="A1020" s="79">
        <f>IF('Ordenes_Odoo'!A1020="","",'Ordenes_Odoo'!A1020)</f>
        <v/>
      </c>
      <c r="B1020" s="80">
        <f>IF('Ordenes_Odoo'!B1020="","",'Ordenes_Odoo'!B1020)</f>
        <v/>
      </c>
      <c r="C1020" s="79">
        <f>IF('Ordenes_Odoo'!C1020="","",'Ordenes_Odoo'!C1020)</f>
        <v/>
      </c>
      <c r="D1020" s="79">
        <f>IF('Ordenes_Odoo'!D1020="","",'Ordenes_Odoo'!D1020)</f>
        <v/>
      </c>
      <c r="E1020" s="79">
        <f>IF('Ordenes_Odoo'!E1020="","",'Ordenes_Odoo'!E1020)</f>
        <v/>
      </c>
      <c r="F1020" s="79">
        <f>IF('Ordenes_Odoo'!F1020="","",'Ordenes_Odoo'!F1020)</f>
        <v/>
      </c>
      <c r="G1020" s="79">
        <f>IF('Ordenes_Odoo'!G1020="","",'Ordenes_Odoo'!G1020)</f>
        <v/>
      </c>
      <c r="H1020" s="79">
        <f>IF('Ordenes_Odoo'!H1020="","",'Ordenes_Odoo'!H1020)</f>
        <v/>
      </c>
      <c r="I1020" s="79">
        <f>IF('Ordenes_Odoo'!I1020="","",'Ordenes_Odoo'!I1020)</f>
        <v/>
      </c>
      <c r="J1020" s="79">
        <f>IF('Ordenes_Odoo'!J1020="","",'Ordenes_Odoo'!J1020)</f>
        <v/>
      </c>
      <c r="K1020" s="81">
        <f>IF('Ordenes_Odoo'!K1020="","",'Ordenes_Odoo'!K1020)</f>
        <v/>
      </c>
      <c r="L1020" s="81">
        <f>IF('Ordenes_Odoo'!L1020="","",'Ordenes_Odoo'!L1020)</f>
        <v/>
      </c>
      <c r="M1020" s="79">
        <f>IF('Ordenes_Odoo'!M1020="","",'Ordenes_Odoo'!M1020)</f>
        <v/>
      </c>
      <c r="N1020" s="79">
        <f>IF('Ordenes_Odoo'!N1020="","",'Ordenes_Odoo'!N1020)</f>
        <v/>
      </c>
      <c r="O1020" s="81">
        <f>IF('Ordenes_Odoo'!O1020="","",'Ordenes_Odoo'!O1020)</f>
        <v/>
      </c>
      <c r="P1020" s="81">
        <f>IF('Ordenes_Odoo'!P1020="","",'Ordenes_Odoo'!P1020)</f>
        <v/>
      </c>
      <c r="Q1020" s="79">
        <f>IF(A1020="","",IFERROR(INDEX(Facturas_Odoo!$B:$B, MATCH(A1020, Facturas_Odoo!$D:$D, 0)), "Sin Factura"))</f>
        <v/>
      </c>
      <c r="R1020" s="80">
        <f>IF(Q1020="Sin Factura","",IFERROR(INDEX(Facturas_Odoo!$A:$A, MATCH(Q1020, Facturas_Odoo!$B:$B, 0)), ""))</f>
        <v/>
      </c>
      <c r="S1020" s="79">
        <f>IF(Q1020="Sin Factura","",IFERROR(_xlfn.XLOOKUP(1, (Facturas_Odoo!$D:$D=A1020) * (Facturas_Odoo!$K:$K=I1020), Facturas_Odoo!$L:$L, ""), ""))</f>
        <v/>
      </c>
      <c r="T1020" s="81">
        <f>IF(Q1020="Sin Factura",0,IFERROR(_xlfn.XLOOKUP(1, (Facturas_Odoo!$D:$D=A1020) * (Facturas_Odoo!$K:$K=I1020), Facturas_Odoo!$M:$M, 0), 0))</f>
        <v/>
      </c>
      <c r="U1020" s="79">
        <f>IF(Q1020="Sin Factura",0,IFERROR(_xlfn.XLOOKUP(1, (Facturas_Odoo!$D:$D=A1020) * (Facturas_Odoo!$K:$K=I1020), Facturas_Odoo!$N:$N, 0), 0))</f>
        <v/>
      </c>
      <c r="V1020" s="79">
        <f>IF(Q1020="Sin Factura",0,IFERROR(_xlfn.XLOOKUP(1, (Facturas_Odoo!$D:$D=A1020) * (Facturas_Odoo!$K:$K=I1020), Facturas_Odoo!$O:$O, 0), 0))</f>
        <v/>
      </c>
      <c r="W1020" s="81">
        <f>IF(Q1020="Sin Factura",0,IFERROR(_xlfn.XLOOKUP(1, (Facturas_Odoo!$D:$D=A1020) * (Facturas_Odoo!$K:$K=I1020), Facturas_Odoo!$Q:$Q, 0), 0))</f>
        <v/>
      </c>
      <c r="X1020" s="79">
        <f>IF(OR(Q1020="Sin Factura",Q1020=""),"",IFERROR(INDEX(Pagos_Odoo!$B:$B, MATCH(Q1020, Pagos_Odoo!$I:$I, 0)), "Sin Pago"))</f>
        <v/>
      </c>
      <c r="Y1020" s="79">
        <f>IF(X1020="Sin Pago","",IFERROR(INDEX(Pagos_Odoo!$C:$C, MATCH(X1020, Pagos_Odoo!$B:$B, 0)), ""))</f>
        <v/>
      </c>
      <c r="Z1020" s="80">
        <f>IF(X1020="Sin Pago","",IFERROR(INDEX(Pagos_Odoo!$A:$A, MATCH(X1020, Pagos_Odoo!$B:$B, 0)), ""))</f>
        <v/>
      </c>
      <c r="AA1020" s="79">
        <f>IF(X1020="Sin Pago","",IFERROR(INDEX(Pagos_Odoo!$F:$F, MATCH(X1020, Pagos_Odoo!$B:$B, 0)), ""))</f>
        <v/>
      </c>
      <c r="AB1020" s="81">
        <f>IF(X1020="Sin Pago",0,IFERROR(INDEX(Pagos_Odoo!$E:$E, MATCH(X1020, Pagos_Odoo!$B:$B, 0)), 0))</f>
        <v/>
      </c>
      <c r="AC1020" s="79">
        <f>IF(X1020="Sin Pago","",IFERROR(INDEX(Pagos_Odoo!$G:$G, MATCH(X1020, Pagos_Odoo!$B:$B, 0)), ""))</f>
        <v/>
      </c>
      <c r="AD1020" s="82" t="n">
        <v>0</v>
      </c>
      <c r="AE1020" s="82" t="n"/>
      <c r="AF1020" s="82" t="n"/>
      <c r="AG1020" s="82">
        <f>IF(AN1020="","",AD1020+AE1020+AF1020)</f>
        <v/>
      </c>
      <c r="AH1020" s="81">
        <f>IF(AN1020="","",P1020*(1-AG1020))</f>
        <v/>
      </c>
      <c r="AI1020" s="81">
        <f>IF(AN1020="","",IF(Q1020="Sin Factura",0,IFERROR(INDEX(Facturas_Odoo!$H:$H, MATCH(Q1020, Facturas_Odoo!$B:$B, 0)), 0)*(1-AG1020)))</f>
        <v/>
      </c>
      <c r="AJ1020" s="81">
        <f>IF(AN1020="","",_xlfn.LET(idVenta, AN1020&amp;"",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20" s="81">
        <f>IF(AN1020="","",AH1020-AJ1020)</f>
        <v/>
      </c>
      <c r="AL1020" s="81">
        <f>IF(AN1020="","",IF(Q1020="Sin Factura","",AI1020-AJ1020))</f>
        <v/>
      </c>
      <c r="AM1020" s="81">
        <f>IF(AN1020="","",IF(Q1020="Sin Factura",0,P1020-IFERROR(INDEX(Facturas_Odoo!$H:$H, MATCH(Q1020, Facturas_Odoo!$B:$B, 0)), 0)))</f>
        <v/>
      </c>
      <c r="AN1020" s="79">
        <f>IF(AND(A1020="", J1020=""), "", IF(A1020&lt;&gt;"", VALUE(MID(A1020,2,LEN(A1020))), AN1019))</f>
        <v/>
      </c>
      <c r="AO1020" s="79">
        <f>IF(AN1020="","",IF(AD1020=0,"OK",_xlfn.LET(monedaPago, IF(AA1020="","USD",AA1020), limitePermitido, IFERROR(VLOOKUP(monedaPago, Configuración!$A$2:$B$3, 2, FALSE), 0.15), IF(AD1020&gt;limitePermitido, "ALERTA: EXCESO (" &amp; TEXT(limitePermitido, "0%") &amp; " máx)", "OK"))))</f>
        <v/>
      </c>
      <c r="AP1020" s="79">
        <f>IF(AN1020="","",IF(AE1020=0,"OK",_xlfn.LET(fechaPago, Z1020, fechaFactura, R1020, diasCredito, IF(E1020="Pago inmediato", 0, IFERROR(VALUE(MID(E1020, 1, SEARCH(" ", E1020)-1)),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20" s="79">
        <f>IF(AN1020="","",IF(AND(N1020&gt;0, AG1020&gt;0), IF(Configuración!$K$2="NO", "ALERTA: DESCUENTO DOBLE NO PERMITIDO", "OK"), "OK"))</f>
        <v/>
      </c>
      <c r="AR1020" s="79">
        <f>IF(AN1020="","",IF(OR(AO1020&lt;&gt;"OK", AP1020&lt;&gt;"OK", AQ1020&lt;&gt;"OK"), "⚠️ REVISAR", "OK"))</f>
        <v/>
      </c>
    </row>
    <row r="1021">
      <c r="A1021" s="79">
        <f>IF('Ordenes_Odoo'!A1021="","",'Ordenes_Odoo'!A1021)</f>
        <v/>
      </c>
      <c r="B1021" s="80">
        <f>IF('Ordenes_Odoo'!B1021="","",'Ordenes_Odoo'!B1021)</f>
        <v/>
      </c>
      <c r="C1021" s="79">
        <f>IF('Ordenes_Odoo'!C1021="","",'Ordenes_Odoo'!C1021)</f>
        <v/>
      </c>
      <c r="D1021" s="79">
        <f>IF('Ordenes_Odoo'!D1021="","",'Ordenes_Odoo'!D1021)</f>
        <v/>
      </c>
      <c r="E1021" s="79">
        <f>IF('Ordenes_Odoo'!E1021="","",'Ordenes_Odoo'!E1021)</f>
        <v/>
      </c>
      <c r="F1021" s="79">
        <f>IF('Ordenes_Odoo'!F1021="","",'Ordenes_Odoo'!F1021)</f>
        <v/>
      </c>
      <c r="G1021" s="79">
        <f>IF('Ordenes_Odoo'!G1021="","",'Ordenes_Odoo'!G1021)</f>
        <v/>
      </c>
      <c r="H1021" s="79">
        <f>IF('Ordenes_Odoo'!H1021="","",'Ordenes_Odoo'!H1021)</f>
        <v/>
      </c>
      <c r="I1021" s="79">
        <f>IF('Ordenes_Odoo'!I1021="","",'Ordenes_Odoo'!I1021)</f>
        <v/>
      </c>
      <c r="J1021" s="79">
        <f>IF('Ordenes_Odoo'!J1021="","",'Ordenes_Odoo'!J1021)</f>
        <v/>
      </c>
      <c r="K1021" s="81">
        <f>IF('Ordenes_Odoo'!K1021="","",'Ordenes_Odoo'!K1021)</f>
        <v/>
      </c>
      <c r="L1021" s="81">
        <f>IF('Ordenes_Odoo'!L1021="","",'Ordenes_Odoo'!L1021)</f>
        <v/>
      </c>
      <c r="M1021" s="79">
        <f>IF('Ordenes_Odoo'!M1021="","",'Ordenes_Odoo'!M1021)</f>
        <v/>
      </c>
      <c r="N1021" s="79">
        <f>IF('Ordenes_Odoo'!N1021="","",'Ordenes_Odoo'!N1021)</f>
        <v/>
      </c>
      <c r="O1021" s="81">
        <f>IF('Ordenes_Odoo'!O1021="","",'Ordenes_Odoo'!O1021)</f>
        <v/>
      </c>
      <c r="P1021" s="81">
        <f>IF('Ordenes_Odoo'!P1021="","",'Ordenes_Odoo'!P1021)</f>
        <v/>
      </c>
      <c r="Q1021" s="79">
        <f>IF(A1021="","",IFERROR(INDEX(Facturas_Odoo!$B:$B, MATCH(A1021, Facturas_Odoo!$D:$D, 0)), "Sin Factura"))</f>
        <v/>
      </c>
      <c r="R1021" s="80">
        <f>IF(Q1021="Sin Factura","",IFERROR(INDEX(Facturas_Odoo!$A:$A, MATCH(Q1021, Facturas_Odoo!$B:$B, 0)), ""))</f>
        <v/>
      </c>
      <c r="S1021" s="79">
        <f>IF(Q1021="Sin Factura","",IFERROR(_xlfn.XLOOKUP(1, (Facturas_Odoo!$D:$D=A1021) * (Facturas_Odoo!$K:$K=I1021), Facturas_Odoo!$L:$L, ""), ""))</f>
        <v/>
      </c>
      <c r="T1021" s="81">
        <f>IF(Q1021="Sin Factura",0,IFERROR(_xlfn.XLOOKUP(1, (Facturas_Odoo!$D:$D=A1021) * (Facturas_Odoo!$K:$K=I1021), Facturas_Odoo!$M:$M, 0), 0))</f>
        <v/>
      </c>
      <c r="U1021" s="79">
        <f>IF(Q1021="Sin Factura",0,IFERROR(_xlfn.XLOOKUP(1, (Facturas_Odoo!$D:$D=A1021) * (Facturas_Odoo!$K:$K=I1021), Facturas_Odoo!$N:$N, 0), 0))</f>
        <v/>
      </c>
      <c r="V1021" s="79">
        <f>IF(Q1021="Sin Factura",0,IFERROR(_xlfn.XLOOKUP(1, (Facturas_Odoo!$D:$D=A1021) * (Facturas_Odoo!$K:$K=I1021), Facturas_Odoo!$O:$O, 0), 0))</f>
        <v/>
      </c>
      <c r="W1021" s="81">
        <f>IF(Q1021="Sin Factura",0,IFERROR(_xlfn.XLOOKUP(1, (Facturas_Odoo!$D:$D=A1021) * (Facturas_Odoo!$K:$K=I1021), Facturas_Odoo!$Q:$Q, 0), 0))</f>
        <v/>
      </c>
      <c r="X1021" s="79">
        <f>IF(OR(Q1021="Sin Factura",Q1021=""),"",IFERROR(INDEX(Pagos_Odoo!$B:$B, MATCH(Q1021, Pagos_Odoo!$I:$I, 0)), "Sin Pago"))</f>
        <v/>
      </c>
      <c r="Y1021" s="79">
        <f>IF(X1021="Sin Pago","",IFERROR(INDEX(Pagos_Odoo!$C:$C, MATCH(X1021, Pagos_Odoo!$B:$B, 0)), ""))</f>
        <v/>
      </c>
      <c r="Z1021" s="80">
        <f>IF(X1021="Sin Pago","",IFERROR(INDEX(Pagos_Odoo!$A:$A, MATCH(X1021, Pagos_Odoo!$B:$B, 0)), ""))</f>
        <v/>
      </c>
      <c r="AA1021" s="79">
        <f>IF(X1021="Sin Pago","",IFERROR(INDEX(Pagos_Odoo!$F:$F, MATCH(X1021, Pagos_Odoo!$B:$B, 0)), ""))</f>
        <v/>
      </c>
      <c r="AB1021" s="81">
        <f>IF(X1021="Sin Pago",0,IFERROR(INDEX(Pagos_Odoo!$E:$E, MATCH(X1021, Pagos_Odoo!$B:$B, 0)), 0))</f>
        <v/>
      </c>
      <c r="AC1021" s="79">
        <f>IF(X1021="Sin Pago","",IFERROR(INDEX(Pagos_Odoo!$G:$G, MATCH(X1021, Pagos_Odoo!$B:$B, 0)), ""))</f>
        <v/>
      </c>
      <c r="AD1021" s="82" t="n">
        <v>0</v>
      </c>
      <c r="AE1021" s="82" t="n"/>
      <c r="AF1021" s="82" t="n"/>
      <c r="AG1021" s="82">
        <f>IF(AN1021="","",AD1021+AE1021+AF1021)</f>
        <v/>
      </c>
      <c r="AH1021" s="81">
        <f>IF(AN1021="","",P1021*(1-AG1021))</f>
        <v/>
      </c>
      <c r="AI1021" s="81">
        <f>IF(AN1021="","",IF(Q1021="Sin Factura",0,IFERROR(INDEX(Facturas_Odoo!$H:$H, MATCH(Q1021, Facturas_Odoo!$B:$B, 0)), 0)*(1-AG1021)))</f>
        <v/>
      </c>
      <c r="AJ1021" s="81">
        <f>IF(AN1021="","",_xlfn.LET(idVenta, AN1021&amp;"",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21" s="81">
        <f>IF(AN1021="","",AH1021-AJ1021)</f>
        <v/>
      </c>
      <c r="AL1021" s="81">
        <f>IF(AN1021="","",IF(Q1021="Sin Factura","",AI1021-AJ1021))</f>
        <v/>
      </c>
      <c r="AM1021" s="81">
        <f>IF(AN1021="","",IF(Q1021="Sin Factura",0,P1021-IFERROR(INDEX(Facturas_Odoo!$H:$H, MATCH(Q1021, Facturas_Odoo!$B:$B, 0)), 0)))</f>
        <v/>
      </c>
      <c r="AN1021" s="79">
        <f>IF(AND(A1021="", J1021=""), "", IF(A1021&lt;&gt;"", VALUE(MID(A1021,2,LEN(A1021))), AN1020))</f>
        <v/>
      </c>
      <c r="AO1021" s="79">
        <f>IF(AN1021="","",IF(AD1021=0,"OK",_xlfn.LET(monedaPago, IF(AA1021="","USD",AA1021), limitePermitido, IFERROR(VLOOKUP(monedaPago, Configuración!$A$2:$B$3, 2, FALSE), 0.15), IF(AD1021&gt;limitePermitido, "ALERTA: EXCESO (" &amp; TEXT(limitePermitido, "0%") &amp; " máx)", "OK"))))</f>
        <v/>
      </c>
      <c r="AP1021" s="79">
        <f>IF(AN1021="","",IF(AE1021=0,"OK",_xlfn.LET(fechaPago, Z1021, fechaFactura, R1021, diasCredito, IF(E1021="Pago inmediato", 0, IFERROR(VALUE(MID(E1021, 1, SEARCH(" ", E1021)-1)),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21" s="79">
        <f>IF(AN1021="","",IF(AND(N1021&gt;0, AG1021&gt;0), IF(Configuración!$K$2="NO", "ALERTA: DESCUENTO DOBLE NO PERMITIDO", "OK"), "OK"))</f>
        <v/>
      </c>
      <c r="AR1021" s="79">
        <f>IF(AN1021="","",IF(OR(AO1021&lt;&gt;"OK", AP1021&lt;&gt;"OK", AQ1021&lt;&gt;"OK"), "⚠️ REVISAR", "OK"))</f>
        <v/>
      </c>
    </row>
    <row r="1022">
      <c r="A1022" s="79">
        <f>IF('Ordenes_Odoo'!A1022="","",'Ordenes_Odoo'!A1022)</f>
        <v/>
      </c>
      <c r="B1022" s="80">
        <f>IF('Ordenes_Odoo'!B1022="","",'Ordenes_Odoo'!B1022)</f>
        <v/>
      </c>
      <c r="C1022" s="79">
        <f>IF('Ordenes_Odoo'!C1022="","",'Ordenes_Odoo'!C1022)</f>
        <v/>
      </c>
      <c r="D1022" s="79">
        <f>IF('Ordenes_Odoo'!D1022="","",'Ordenes_Odoo'!D1022)</f>
        <v/>
      </c>
      <c r="E1022" s="79">
        <f>IF('Ordenes_Odoo'!E1022="","",'Ordenes_Odoo'!E1022)</f>
        <v/>
      </c>
      <c r="F1022" s="79">
        <f>IF('Ordenes_Odoo'!F1022="","",'Ordenes_Odoo'!F1022)</f>
        <v/>
      </c>
      <c r="G1022" s="79">
        <f>IF('Ordenes_Odoo'!G1022="","",'Ordenes_Odoo'!G1022)</f>
        <v/>
      </c>
      <c r="H1022" s="79">
        <f>IF('Ordenes_Odoo'!H1022="","",'Ordenes_Odoo'!H1022)</f>
        <v/>
      </c>
      <c r="I1022" s="79">
        <f>IF('Ordenes_Odoo'!I1022="","",'Ordenes_Odoo'!I1022)</f>
        <v/>
      </c>
      <c r="J1022" s="79">
        <f>IF('Ordenes_Odoo'!J1022="","",'Ordenes_Odoo'!J1022)</f>
        <v/>
      </c>
      <c r="K1022" s="81">
        <f>IF('Ordenes_Odoo'!K1022="","",'Ordenes_Odoo'!K1022)</f>
        <v/>
      </c>
      <c r="L1022" s="81">
        <f>IF('Ordenes_Odoo'!L1022="","",'Ordenes_Odoo'!L1022)</f>
        <v/>
      </c>
      <c r="M1022" s="79">
        <f>IF('Ordenes_Odoo'!M1022="","",'Ordenes_Odoo'!M1022)</f>
        <v/>
      </c>
      <c r="N1022" s="79">
        <f>IF('Ordenes_Odoo'!N1022="","",'Ordenes_Odoo'!N1022)</f>
        <v/>
      </c>
      <c r="O1022" s="81">
        <f>IF('Ordenes_Odoo'!O1022="","",'Ordenes_Odoo'!O1022)</f>
        <v/>
      </c>
      <c r="P1022" s="81">
        <f>IF('Ordenes_Odoo'!P1022="","",'Ordenes_Odoo'!P1022)</f>
        <v/>
      </c>
      <c r="Q1022" s="79">
        <f>IF(A1022="","",IFERROR(INDEX(Facturas_Odoo!$B:$B, MATCH(A1022, Facturas_Odoo!$D:$D, 0)), "Sin Factura"))</f>
        <v/>
      </c>
      <c r="R1022" s="80">
        <f>IF(Q1022="Sin Factura","",IFERROR(INDEX(Facturas_Odoo!$A:$A, MATCH(Q1022, Facturas_Odoo!$B:$B, 0)), ""))</f>
        <v/>
      </c>
      <c r="S1022" s="79">
        <f>IF(Q1022="Sin Factura","",IFERROR(_xlfn.XLOOKUP(1, (Facturas_Odoo!$D:$D=A1022) * (Facturas_Odoo!$K:$K=I1022), Facturas_Odoo!$L:$L, ""), ""))</f>
        <v/>
      </c>
      <c r="T1022" s="81">
        <f>IF(Q1022="Sin Factura",0,IFERROR(_xlfn.XLOOKUP(1, (Facturas_Odoo!$D:$D=A1022) * (Facturas_Odoo!$K:$K=I1022), Facturas_Odoo!$M:$M, 0), 0))</f>
        <v/>
      </c>
      <c r="U1022" s="79">
        <f>IF(Q1022="Sin Factura",0,IFERROR(_xlfn.XLOOKUP(1, (Facturas_Odoo!$D:$D=A1022) * (Facturas_Odoo!$K:$K=I1022), Facturas_Odoo!$N:$N, 0), 0))</f>
        <v/>
      </c>
      <c r="V1022" s="79">
        <f>IF(Q1022="Sin Factura",0,IFERROR(_xlfn.XLOOKUP(1, (Facturas_Odoo!$D:$D=A1022) * (Facturas_Odoo!$K:$K=I1022), Facturas_Odoo!$O:$O, 0), 0))</f>
        <v/>
      </c>
      <c r="W1022" s="81">
        <f>IF(Q1022="Sin Factura",0,IFERROR(_xlfn.XLOOKUP(1, (Facturas_Odoo!$D:$D=A1022) * (Facturas_Odoo!$K:$K=I1022), Facturas_Odoo!$Q:$Q, 0), 0))</f>
        <v/>
      </c>
      <c r="X1022" s="79">
        <f>IF(OR(Q1022="Sin Factura",Q1022=""),"",IFERROR(INDEX(Pagos_Odoo!$B:$B, MATCH(Q1022, Pagos_Odoo!$I:$I, 0)), "Sin Pago"))</f>
        <v/>
      </c>
      <c r="Y1022" s="79">
        <f>IF(X1022="Sin Pago","",IFERROR(INDEX(Pagos_Odoo!$C:$C, MATCH(X1022, Pagos_Odoo!$B:$B, 0)), ""))</f>
        <v/>
      </c>
      <c r="Z1022" s="80">
        <f>IF(X1022="Sin Pago","",IFERROR(INDEX(Pagos_Odoo!$A:$A, MATCH(X1022, Pagos_Odoo!$B:$B, 0)), ""))</f>
        <v/>
      </c>
      <c r="AA1022" s="79">
        <f>IF(X1022="Sin Pago","",IFERROR(INDEX(Pagos_Odoo!$F:$F, MATCH(X1022, Pagos_Odoo!$B:$B, 0)), ""))</f>
        <v/>
      </c>
      <c r="AB1022" s="81">
        <f>IF(X1022="Sin Pago",0,IFERROR(INDEX(Pagos_Odoo!$E:$E, MATCH(X1022, Pagos_Odoo!$B:$B, 0)), 0))</f>
        <v/>
      </c>
      <c r="AC1022" s="79">
        <f>IF(X1022="Sin Pago","",IFERROR(INDEX(Pagos_Odoo!$G:$G, MATCH(X1022, Pagos_Odoo!$B:$B, 0)), ""))</f>
        <v/>
      </c>
      <c r="AD1022" s="82" t="n">
        <v>0</v>
      </c>
      <c r="AE1022" s="82" t="n"/>
      <c r="AF1022" s="82" t="n"/>
      <c r="AG1022" s="82">
        <f>IF(AN1022="","",AD1022+AE1022+AF1022)</f>
        <v/>
      </c>
      <c r="AH1022" s="81">
        <f>IF(AN1022="","",P1022*(1-AG1022))</f>
        <v/>
      </c>
      <c r="AI1022" s="81">
        <f>IF(AN1022="","",IF(Q1022="Sin Factura",0,IFERROR(INDEX(Facturas_Odoo!$H:$H, MATCH(Q1022, Facturas_Odoo!$B:$B, 0)), 0)*(1-AG1022)))</f>
        <v/>
      </c>
      <c r="AJ1022" s="81">
        <f>IF(AN1022="","",_xlfn.LET(idVenta, AN1022&amp;"",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22" s="81">
        <f>IF(AN1022="","",AH1022-AJ1022)</f>
        <v/>
      </c>
      <c r="AL1022" s="81">
        <f>IF(AN1022="","",IF(Q1022="Sin Factura","",AI1022-AJ1022))</f>
        <v/>
      </c>
      <c r="AM1022" s="81">
        <f>IF(AN1022="","",IF(Q1022="Sin Factura",0,P1022-IFERROR(INDEX(Facturas_Odoo!$H:$H, MATCH(Q1022, Facturas_Odoo!$B:$B, 0)), 0)))</f>
        <v/>
      </c>
      <c r="AN1022" s="79">
        <f>IF(AND(A1022="", J1022=""), "", IF(A1022&lt;&gt;"", VALUE(MID(A1022,2,LEN(A1022))), AN1021))</f>
        <v/>
      </c>
      <c r="AO1022" s="79">
        <f>IF(AN1022="","",IF(AD1022=0,"OK",_xlfn.LET(monedaPago, IF(AA1022="","USD",AA1022), limitePermitido, IFERROR(VLOOKUP(monedaPago, Configuración!$A$2:$B$3, 2, FALSE), 0.15), IF(AD1022&gt;limitePermitido, "ALERTA: EXCESO (" &amp; TEXT(limitePermitido, "0%") &amp; " máx)", "OK"))))</f>
        <v/>
      </c>
      <c r="AP1022" s="79">
        <f>IF(AN1022="","",IF(AE1022=0,"OK",_xlfn.LET(fechaPago, Z1022, fechaFactura, R1022, diasCredito, IF(E1022="Pago inmediato", 0, IFERROR(VALUE(MID(E1022, 1, SEARCH(" ", E1022)-1)),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22" s="79">
        <f>IF(AN1022="","",IF(AND(N1022&gt;0, AG1022&gt;0), IF(Configuración!$K$2="NO", "ALERTA: DESCUENTO DOBLE NO PERMITIDO", "OK"), "OK"))</f>
        <v/>
      </c>
      <c r="AR1022" s="79">
        <f>IF(AN1022="","",IF(OR(AO1022&lt;&gt;"OK", AP1022&lt;&gt;"OK", AQ1022&lt;&gt;"OK"), "⚠️ REVISAR", "OK"))</f>
        <v/>
      </c>
    </row>
    <row r="1023">
      <c r="A1023" s="79">
        <f>IF('Ordenes_Odoo'!A1023="","",'Ordenes_Odoo'!A1023)</f>
        <v/>
      </c>
      <c r="B1023" s="80">
        <f>IF('Ordenes_Odoo'!B1023="","",'Ordenes_Odoo'!B1023)</f>
        <v/>
      </c>
      <c r="C1023" s="79">
        <f>IF('Ordenes_Odoo'!C1023="","",'Ordenes_Odoo'!C1023)</f>
        <v/>
      </c>
      <c r="D1023" s="79">
        <f>IF('Ordenes_Odoo'!D1023="","",'Ordenes_Odoo'!D1023)</f>
        <v/>
      </c>
      <c r="E1023" s="79">
        <f>IF('Ordenes_Odoo'!E1023="","",'Ordenes_Odoo'!E1023)</f>
        <v/>
      </c>
      <c r="F1023" s="79">
        <f>IF('Ordenes_Odoo'!F1023="","",'Ordenes_Odoo'!F1023)</f>
        <v/>
      </c>
      <c r="G1023" s="79">
        <f>IF('Ordenes_Odoo'!G1023="","",'Ordenes_Odoo'!G1023)</f>
        <v/>
      </c>
      <c r="H1023" s="79">
        <f>IF('Ordenes_Odoo'!H1023="","",'Ordenes_Odoo'!H1023)</f>
        <v/>
      </c>
      <c r="I1023" s="79">
        <f>IF('Ordenes_Odoo'!I1023="","",'Ordenes_Odoo'!I1023)</f>
        <v/>
      </c>
      <c r="J1023" s="79">
        <f>IF('Ordenes_Odoo'!J1023="","",'Ordenes_Odoo'!J1023)</f>
        <v/>
      </c>
      <c r="K1023" s="81">
        <f>IF('Ordenes_Odoo'!K1023="","",'Ordenes_Odoo'!K1023)</f>
        <v/>
      </c>
      <c r="L1023" s="81">
        <f>IF('Ordenes_Odoo'!L1023="","",'Ordenes_Odoo'!L1023)</f>
        <v/>
      </c>
      <c r="M1023" s="79">
        <f>IF('Ordenes_Odoo'!M1023="","",'Ordenes_Odoo'!M1023)</f>
        <v/>
      </c>
      <c r="N1023" s="79">
        <f>IF('Ordenes_Odoo'!N1023="","",'Ordenes_Odoo'!N1023)</f>
        <v/>
      </c>
      <c r="O1023" s="81">
        <f>IF('Ordenes_Odoo'!O1023="","",'Ordenes_Odoo'!O1023)</f>
        <v/>
      </c>
      <c r="P1023" s="81">
        <f>IF('Ordenes_Odoo'!P1023="","",'Ordenes_Odoo'!P1023)</f>
        <v/>
      </c>
      <c r="Q1023" s="79">
        <f>IF(A1023="","",IFERROR(INDEX(Facturas_Odoo!$B:$B, MATCH(A1023, Facturas_Odoo!$D:$D, 0)), "Sin Factura"))</f>
        <v/>
      </c>
      <c r="R1023" s="80">
        <f>IF(Q1023="Sin Factura","",IFERROR(INDEX(Facturas_Odoo!$A:$A, MATCH(Q1023, Facturas_Odoo!$B:$B, 0)), ""))</f>
        <v/>
      </c>
      <c r="S1023" s="79">
        <f>IF(Q1023="Sin Factura","",IFERROR(_xlfn.XLOOKUP(1, (Facturas_Odoo!$D:$D=A1023) * (Facturas_Odoo!$K:$K=I1023), Facturas_Odoo!$L:$L, ""), ""))</f>
        <v/>
      </c>
      <c r="T1023" s="81">
        <f>IF(Q1023="Sin Factura",0,IFERROR(_xlfn.XLOOKUP(1, (Facturas_Odoo!$D:$D=A1023) * (Facturas_Odoo!$K:$K=I1023), Facturas_Odoo!$M:$M, 0), 0))</f>
        <v/>
      </c>
      <c r="U1023" s="79">
        <f>IF(Q1023="Sin Factura",0,IFERROR(_xlfn.XLOOKUP(1, (Facturas_Odoo!$D:$D=A1023) * (Facturas_Odoo!$K:$K=I1023), Facturas_Odoo!$N:$N, 0), 0))</f>
        <v/>
      </c>
      <c r="V1023" s="79">
        <f>IF(Q1023="Sin Factura",0,IFERROR(_xlfn.XLOOKUP(1, (Facturas_Odoo!$D:$D=A1023) * (Facturas_Odoo!$K:$K=I1023), Facturas_Odoo!$O:$O, 0), 0))</f>
        <v/>
      </c>
      <c r="W1023" s="81">
        <f>IF(Q1023="Sin Factura",0,IFERROR(_xlfn.XLOOKUP(1, (Facturas_Odoo!$D:$D=A1023) * (Facturas_Odoo!$K:$K=I1023), Facturas_Odoo!$Q:$Q, 0), 0))</f>
        <v/>
      </c>
      <c r="X1023" s="79">
        <f>IF(OR(Q1023="Sin Factura",Q1023=""),"",IFERROR(INDEX(Pagos_Odoo!$B:$B, MATCH(Q1023, Pagos_Odoo!$I:$I, 0)), "Sin Pago"))</f>
        <v/>
      </c>
      <c r="Y1023" s="79">
        <f>IF(X1023="Sin Pago","",IFERROR(INDEX(Pagos_Odoo!$C:$C, MATCH(X1023, Pagos_Odoo!$B:$B, 0)), ""))</f>
        <v/>
      </c>
      <c r="Z1023" s="80">
        <f>IF(X1023="Sin Pago","",IFERROR(INDEX(Pagos_Odoo!$A:$A, MATCH(X1023, Pagos_Odoo!$B:$B, 0)), ""))</f>
        <v/>
      </c>
      <c r="AA1023" s="79">
        <f>IF(X1023="Sin Pago","",IFERROR(INDEX(Pagos_Odoo!$F:$F, MATCH(X1023, Pagos_Odoo!$B:$B, 0)), ""))</f>
        <v/>
      </c>
      <c r="AB1023" s="81">
        <f>IF(X1023="Sin Pago",0,IFERROR(INDEX(Pagos_Odoo!$E:$E, MATCH(X1023, Pagos_Odoo!$B:$B, 0)), 0))</f>
        <v/>
      </c>
      <c r="AC1023" s="79">
        <f>IF(X1023="Sin Pago","",IFERROR(INDEX(Pagos_Odoo!$G:$G, MATCH(X1023, Pagos_Odoo!$B:$B, 0)), ""))</f>
        <v/>
      </c>
      <c r="AD1023" s="82" t="n">
        <v>0</v>
      </c>
      <c r="AE1023" s="82" t="n"/>
      <c r="AF1023" s="82" t="n"/>
      <c r="AG1023" s="82">
        <f>IF(AN1023="","",AD1023+AE1023+AF1023)</f>
        <v/>
      </c>
      <c r="AH1023" s="81">
        <f>IF(AN1023="","",P1023*(1-AG1023))</f>
        <v/>
      </c>
      <c r="AI1023" s="81">
        <f>IF(AN1023="","",IF(Q1023="Sin Factura",0,IFERROR(INDEX(Facturas_Odoo!$H:$H, MATCH(Q1023, Facturas_Odoo!$B:$B, 0)), 0)*(1-AG1023)))</f>
        <v/>
      </c>
      <c r="AJ1023" s="81">
        <f>IF(AN1023="","",_xlfn.LET(idVenta, AN1023&amp;"",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23" s="81">
        <f>IF(AN1023="","",AH1023-AJ1023)</f>
        <v/>
      </c>
      <c r="AL1023" s="81">
        <f>IF(AN1023="","",IF(Q1023="Sin Factura","",AI1023-AJ1023))</f>
        <v/>
      </c>
      <c r="AM1023" s="81">
        <f>IF(AN1023="","",IF(Q1023="Sin Factura",0,P1023-IFERROR(INDEX(Facturas_Odoo!$H:$H, MATCH(Q1023, Facturas_Odoo!$B:$B, 0)), 0)))</f>
        <v/>
      </c>
      <c r="AN1023" s="79">
        <f>IF(AND(A1023="", J1023=""), "", IF(A1023&lt;&gt;"", VALUE(MID(A1023,2,LEN(A1023))), AN1022))</f>
        <v/>
      </c>
      <c r="AO1023" s="79">
        <f>IF(AN1023="","",IF(AD1023=0,"OK",_xlfn.LET(monedaPago, IF(AA1023="","USD",AA1023), limitePermitido, IFERROR(VLOOKUP(monedaPago, Configuración!$A$2:$B$3, 2, FALSE), 0.15), IF(AD1023&gt;limitePermitido, "ALERTA: EXCESO (" &amp; TEXT(limitePermitido, "0%") &amp; " máx)", "OK"))))</f>
        <v/>
      </c>
      <c r="AP1023" s="79">
        <f>IF(AN1023="","",IF(AE1023=0,"OK",_xlfn.LET(fechaPago, Z1023, fechaFactura, R1023, diasCredito, IF(E1023="Pago inmediato", 0, IFERROR(VALUE(MID(E1023, 1, SEARCH(" ", E1023)-1)),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23" s="79">
        <f>IF(AN1023="","",IF(AND(N1023&gt;0, AG1023&gt;0), IF(Configuración!$K$2="NO", "ALERTA: DESCUENTO DOBLE NO PERMITIDO", "OK"), "OK"))</f>
        <v/>
      </c>
      <c r="AR1023" s="79">
        <f>IF(AN1023="","",IF(OR(AO1023&lt;&gt;"OK", AP1023&lt;&gt;"OK", AQ1023&lt;&gt;"OK"), "⚠️ REVISAR", "OK"))</f>
        <v/>
      </c>
    </row>
    <row r="1024">
      <c r="A1024" s="79">
        <f>IF('Ordenes_Odoo'!A1024="","",'Ordenes_Odoo'!A1024)</f>
        <v/>
      </c>
      <c r="B1024" s="80">
        <f>IF('Ordenes_Odoo'!B1024="","",'Ordenes_Odoo'!B1024)</f>
        <v/>
      </c>
      <c r="C1024" s="79">
        <f>IF('Ordenes_Odoo'!C1024="","",'Ordenes_Odoo'!C1024)</f>
        <v/>
      </c>
      <c r="D1024" s="79">
        <f>IF('Ordenes_Odoo'!D1024="","",'Ordenes_Odoo'!D1024)</f>
        <v/>
      </c>
      <c r="E1024" s="79">
        <f>IF('Ordenes_Odoo'!E1024="","",'Ordenes_Odoo'!E1024)</f>
        <v/>
      </c>
      <c r="F1024" s="79">
        <f>IF('Ordenes_Odoo'!F1024="","",'Ordenes_Odoo'!F1024)</f>
        <v/>
      </c>
      <c r="G1024" s="79">
        <f>IF('Ordenes_Odoo'!G1024="","",'Ordenes_Odoo'!G1024)</f>
        <v/>
      </c>
      <c r="H1024" s="79">
        <f>IF('Ordenes_Odoo'!H1024="","",'Ordenes_Odoo'!H1024)</f>
        <v/>
      </c>
      <c r="I1024" s="79">
        <f>IF('Ordenes_Odoo'!I1024="","",'Ordenes_Odoo'!I1024)</f>
        <v/>
      </c>
      <c r="J1024" s="79">
        <f>IF('Ordenes_Odoo'!J1024="","",'Ordenes_Odoo'!J1024)</f>
        <v/>
      </c>
      <c r="K1024" s="81">
        <f>IF('Ordenes_Odoo'!K1024="","",'Ordenes_Odoo'!K1024)</f>
        <v/>
      </c>
      <c r="L1024" s="81">
        <f>IF('Ordenes_Odoo'!L1024="","",'Ordenes_Odoo'!L1024)</f>
        <v/>
      </c>
      <c r="M1024" s="79">
        <f>IF('Ordenes_Odoo'!M1024="","",'Ordenes_Odoo'!M1024)</f>
        <v/>
      </c>
      <c r="N1024" s="79">
        <f>IF('Ordenes_Odoo'!N1024="","",'Ordenes_Odoo'!N1024)</f>
        <v/>
      </c>
      <c r="O1024" s="81">
        <f>IF('Ordenes_Odoo'!O1024="","",'Ordenes_Odoo'!O1024)</f>
        <v/>
      </c>
      <c r="P1024" s="81">
        <f>IF('Ordenes_Odoo'!P1024="","",'Ordenes_Odoo'!P1024)</f>
        <v/>
      </c>
      <c r="Q1024" s="79">
        <f>IF(A1024="","",IFERROR(INDEX(Facturas_Odoo!$B:$B, MATCH(A1024, Facturas_Odoo!$D:$D, 0)), "Sin Factura"))</f>
        <v/>
      </c>
      <c r="R1024" s="80">
        <f>IF(Q1024="Sin Factura","",IFERROR(INDEX(Facturas_Odoo!$A:$A, MATCH(Q1024, Facturas_Odoo!$B:$B, 0)), ""))</f>
        <v/>
      </c>
      <c r="S1024" s="79">
        <f>IF(Q1024="Sin Factura","",IFERROR(_xlfn.XLOOKUP(1, (Facturas_Odoo!$D:$D=A1024) * (Facturas_Odoo!$K:$K=I1024), Facturas_Odoo!$L:$L, ""), ""))</f>
        <v/>
      </c>
      <c r="T1024" s="81">
        <f>IF(Q1024="Sin Factura",0,IFERROR(_xlfn.XLOOKUP(1, (Facturas_Odoo!$D:$D=A1024) * (Facturas_Odoo!$K:$K=I1024), Facturas_Odoo!$M:$M, 0), 0))</f>
        <v/>
      </c>
      <c r="U1024" s="79">
        <f>IF(Q1024="Sin Factura",0,IFERROR(_xlfn.XLOOKUP(1, (Facturas_Odoo!$D:$D=A1024) * (Facturas_Odoo!$K:$K=I1024), Facturas_Odoo!$N:$N, 0), 0))</f>
        <v/>
      </c>
      <c r="V1024" s="79">
        <f>IF(Q1024="Sin Factura",0,IFERROR(_xlfn.XLOOKUP(1, (Facturas_Odoo!$D:$D=A1024) * (Facturas_Odoo!$K:$K=I1024), Facturas_Odoo!$O:$O, 0), 0))</f>
        <v/>
      </c>
      <c r="W1024" s="81">
        <f>IF(Q1024="Sin Factura",0,IFERROR(_xlfn.XLOOKUP(1, (Facturas_Odoo!$D:$D=A1024) * (Facturas_Odoo!$K:$K=I1024), Facturas_Odoo!$Q:$Q, 0), 0))</f>
        <v/>
      </c>
      <c r="X1024" s="79">
        <f>IF(OR(Q1024="Sin Factura",Q1024=""),"",IFERROR(INDEX(Pagos_Odoo!$B:$B, MATCH(Q1024, Pagos_Odoo!$I:$I, 0)), "Sin Pago"))</f>
        <v/>
      </c>
      <c r="Y1024" s="79">
        <f>IF(X1024="Sin Pago","",IFERROR(INDEX(Pagos_Odoo!$C:$C, MATCH(X1024, Pagos_Odoo!$B:$B, 0)), ""))</f>
        <v/>
      </c>
      <c r="Z1024" s="80">
        <f>IF(X1024="Sin Pago","",IFERROR(INDEX(Pagos_Odoo!$A:$A, MATCH(X1024, Pagos_Odoo!$B:$B, 0)), ""))</f>
        <v/>
      </c>
      <c r="AA1024" s="79">
        <f>IF(X1024="Sin Pago","",IFERROR(INDEX(Pagos_Odoo!$F:$F, MATCH(X1024, Pagos_Odoo!$B:$B, 0)), ""))</f>
        <v/>
      </c>
      <c r="AB1024" s="81">
        <f>IF(X1024="Sin Pago",0,IFERROR(INDEX(Pagos_Odoo!$E:$E, MATCH(X1024, Pagos_Odoo!$B:$B, 0)), 0))</f>
        <v/>
      </c>
      <c r="AC1024" s="79">
        <f>IF(X1024="Sin Pago","",IFERROR(INDEX(Pagos_Odoo!$G:$G, MATCH(X1024, Pagos_Odoo!$B:$B, 0)), ""))</f>
        <v/>
      </c>
      <c r="AD1024" s="82" t="n">
        <v>0</v>
      </c>
      <c r="AE1024" s="82" t="n"/>
      <c r="AF1024" s="82" t="n"/>
      <c r="AG1024" s="82">
        <f>IF(AN1024="","",AD1024+AE1024+AF1024)</f>
        <v/>
      </c>
      <c r="AH1024" s="81">
        <f>IF(AN1024="","",P1024*(1-AG1024))</f>
        <v/>
      </c>
      <c r="AI1024" s="81">
        <f>IF(AN1024="","",IF(Q1024="Sin Factura",0,IFERROR(INDEX(Facturas_Odoo!$H:$H, MATCH(Q1024, Facturas_Odoo!$B:$B, 0)), 0)*(1-AG1024)))</f>
        <v/>
      </c>
      <c r="AJ1024" s="81">
        <f>IF(AN1024="","",_xlfn.LET(idVenta, AN1024&amp;"",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24" s="81">
        <f>IF(AN1024="","",AH1024-AJ1024)</f>
        <v/>
      </c>
      <c r="AL1024" s="81">
        <f>IF(AN1024="","",IF(Q1024="Sin Factura","",AI1024-AJ1024))</f>
        <v/>
      </c>
      <c r="AM1024" s="81">
        <f>IF(AN1024="","",IF(Q1024="Sin Factura",0,P1024-IFERROR(INDEX(Facturas_Odoo!$H:$H, MATCH(Q1024, Facturas_Odoo!$B:$B, 0)), 0)))</f>
        <v/>
      </c>
      <c r="AN1024" s="79">
        <f>IF(AND(A1024="", J1024=""), "", IF(A1024&lt;&gt;"", VALUE(MID(A1024,2,LEN(A1024))), AN1023))</f>
        <v/>
      </c>
      <c r="AO1024" s="79">
        <f>IF(AN1024="","",IF(AD1024=0,"OK",_xlfn.LET(monedaPago, IF(AA1024="","USD",AA1024), limitePermitido, IFERROR(VLOOKUP(monedaPago, Configuración!$A$2:$B$3, 2, FALSE), 0.15), IF(AD1024&gt;limitePermitido, "ALERTA: EXCESO (" &amp; TEXT(limitePermitido, "0%") &amp; " máx)", "OK"))))</f>
        <v/>
      </c>
      <c r="AP1024" s="79">
        <f>IF(AN1024="","",IF(AE1024=0,"OK",_xlfn.LET(fechaPago, Z1024, fechaFactura, R1024, diasCredito, IF(E1024="Pago inmediato", 0, IFERROR(VALUE(MID(E1024, 1, SEARCH(" ", E1024)-1)),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24" s="79">
        <f>IF(AN1024="","",IF(AND(N1024&gt;0, AG1024&gt;0), IF(Configuración!$K$2="NO", "ALERTA: DESCUENTO DOBLE NO PERMITIDO", "OK"), "OK"))</f>
        <v/>
      </c>
      <c r="AR1024" s="79">
        <f>IF(AN1024="","",IF(OR(AO1024&lt;&gt;"OK", AP1024&lt;&gt;"OK", AQ1024&lt;&gt;"OK"), "⚠️ REVISAR", "OK"))</f>
        <v/>
      </c>
    </row>
    <row r="1025">
      <c r="A1025" s="79">
        <f>IF('Ordenes_Odoo'!A1025="","",'Ordenes_Odoo'!A1025)</f>
        <v/>
      </c>
      <c r="B1025" s="80">
        <f>IF('Ordenes_Odoo'!B1025="","",'Ordenes_Odoo'!B1025)</f>
        <v/>
      </c>
      <c r="C1025" s="79">
        <f>IF('Ordenes_Odoo'!C1025="","",'Ordenes_Odoo'!C1025)</f>
        <v/>
      </c>
      <c r="D1025" s="79">
        <f>IF('Ordenes_Odoo'!D1025="","",'Ordenes_Odoo'!D1025)</f>
        <v/>
      </c>
      <c r="E1025" s="79">
        <f>IF('Ordenes_Odoo'!E1025="","",'Ordenes_Odoo'!E1025)</f>
        <v/>
      </c>
      <c r="F1025" s="79">
        <f>IF('Ordenes_Odoo'!F1025="","",'Ordenes_Odoo'!F1025)</f>
        <v/>
      </c>
      <c r="G1025" s="79">
        <f>IF('Ordenes_Odoo'!G1025="","",'Ordenes_Odoo'!G1025)</f>
        <v/>
      </c>
      <c r="H1025" s="79">
        <f>IF('Ordenes_Odoo'!H1025="","",'Ordenes_Odoo'!H1025)</f>
        <v/>
      </c>
      <c r="I1025" s="79">
        <f>IF('Ordenes_Odoo'!I1025="","",'Ordenes_Odoo'!I1025)</f>
        <v/>
      </c>
      <c r="J1025" s="79">
        <f>IF('Ordenes_Odoo'!J1025="","",'Ordenes_Odoo'!J1025)</f>
        <v/>
      </c>
      <c r="K1025" s="81">
        <f>IF('Ordenes_Odoo'!K1025="","",'Ordenes_Odoo'!K1025)</f>
        <v/>
      </c>
      <c r="L1025" s="81">
        <f>IF('Ordenes_Odoo'!L1025="","",'Ordenes_Odoo'!L1025)</f>
        <v/>
      </c>
      <c r="M1025" s="79">
        <f>IF('Ordenes_Odoo'!M1025="","",'Ordenes_Odoo'!M1025)</f>
        <v/>
      </c>
      <c r="N1025" s="79">
        <f>IF('Ordenes_Odoo'!N1025="","",'Ordenes_Odoo'!N1025)</f>
        <v/>
      </c>
      <c r="O1025" s="81">
        <f>IF('Ordenes_Odoo'!O1025="","",'Ordenes_Odoo'!O1025)</f>
        <v/>
      </c>
      <c r="P1025" s="81">
        <f>IF('Ordenes_Odoo'!P1025="","",'Ordenes_Odoo'!P1025)</f>
        <v/>
      </c>
      <c r="Q1025" s="79">
        <f>IF(A1025="","",IFERROR(INDEX(Facturas_Odoo!$B:$B, MATCH(A1025, Facturas_Odoo!$D:$D, 0)), "Sin Factura"))</f>
        <v/>
      </c>
      <c r="R1025" s="80">
        <f>IF(Q1025="Sin Factura","",IFERROR(INDEX(Facturas_Odoo!$A:$A, MATCH(Q1025, Facturas_Odoo!$B:$B, 0)), ""))</f>
        <v/>
      </c>
      <c r="S1025" s="79">
        <f>IF(Q1025="Sin Factura","",IFERROR(_xlfn.XLOOKUP(1, (Facturas_Odoo!$D:$D=A1025) * (Facturas_Odoo!$K:$K=I1025), Facturas_Odoo!$L:$L, ""), ""))</f>
        <v/>
      </c>
      <c r="T1025" s="81">
        <f>IF(Q1025="Sin Factura",0,IFERROR(_xlfn.XLOOKUP(1, (Facturas_Odoo!$D:$D=A1025) * (Facturas_Odoo!$K:$K=I1025), Facturas_Odoo!$M:$M, 0), 0))</f>
        <v/>
      </c>
      <c r="U1025" s="79">
        <f>IF(Q1025="Sin Factura",0,IFERROR(_xlfn.XLOOKUP(1, (Facturas_Odoo!$D:$D=A1025) * (Facturas_Odoo!$K:$K=I1025), Facturas_Odoo!$N:$N, 0), 0))</f>
        <v/>
      </c>
      <c r="V1025" s="79">
        <f>IF(Q1025="Sin Factura",0,IFERROR(_xlfn.XLOOKUP(1, (Facturas_Odoo!$D:$D=A1025) * (Facturas_Odoo!$K:$K=I1025), Facturas_Odoo!$O:$O, 0), 0))</f>
        <v/>
      </c>
      <c r="W1025" s="81">
        <f>IF(Q1025="Sin Factura",0,IFERROR(_xlfn.XLOOKUP(1, (Facturas_Odoo!$D:$D=A1025) * (Facturas_Odoo!$K:$K=I1025), Facturas_Odoo!$Q:$Q, 0), 0))</f>
        <v/>
      </c>
      <c r="X1025" s="79">
        <f>IF(OR(Q1025="Sin Factura",Q1025=""),"",IFERROR(INDEX(Pagos_Odoo!$B:$B, MATCH(Q1025, Pagos_Odoo!$I:$I, 0)), "Sin Pago"))</f>
        <v/>
      </c>
      <c r="Y1025" s="79">
        <f>IF(X1025="Sin Pago","",IFERROR(INDEX(Pagos_Odoo!$C:$C, MATCH(X1025, Pagos_Odoo!$B:$B, 0)), ""))</f>
        <v/>
      </c>
      <c r="Z1025" s="80">
        <f>IF(X1025="Sin Pago","",IFERROR(INDEX(Pagos_Odoo!$A:$A, MATCH(X1025, Pagos_Odoo!$B:$B, 0)), ""))</f>
        <v/>
      </c>
      <c r="AA1025" s="79">
        <f>IF(X1025="Sin Pago","",IFERROR(INDEX(Pagos_Odoo!$F:$F, MATCH(X1025, Pagos_Odoo!$B:$B, 0)), ""))</f>
        <v/>
      </c>
      <c r="AB1025" s="81">
        <f>IF(X1025="Sin Pago",0,IFERROR(INDEX(Pagos_Odoo!$E:$E, MATCH(X1025, Pagos_Odoo!$B:$B, 0)), 0))</f>
        <v/>
      </c>
      <c r="AC1025" s="79">
        <f>IF(X1025="Sin Pago","",IFERROR(INDEX(Pagos_Odoo!$G:$G, MATCH(X1025, Pagos_Odoo!$B:$B, 0)), ""))</f>
        <v/>
      </c>
      <c r="AD1025" s="82" t="n">
        <v>0</v>
      </c>
      <c r="AE1025" s="82" t="n"/>
      <c r="AF1025" s="82" t="n"/>
      <c r="AG1025" s="82">
        <f>IF(AN1025="","",AD1025+AE1025+AF1025)</f>
        <v/>
      </c>
      <c r="AH1025" s="81">
        <f>IF(AN1025="","",P1025*(1-AG1025))</f>
        <v/>
      </c>
      <c r="AI1025" s="81">
        <f>IF(AN1025="","",IF(Q1025="Sin Factura",0,IFERROR(INDEX(Facturas_Odoo!$H:$H, MATCH(Q1025, Facturas_Odoo!$B:$B, 0)), 0)*(1-AG1025)))</f>
        <v/>
      </c>
      <c r="AJ1025" s="81">
        <f>IF(AN1025="","",_xlfn.LET(idVenta, AN1025&amp;"",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25" s="81">
        <f>IF(AN1025="","",AH1025-AJ1025)</f>
        <v/>
      </c>
      <c r="AL1025" s="81">
        <f>IF(AN1025="","",IF(Q1025="Sin Factura","",AI1025-AJ1025))</f>
        <v/>
      </c>
      <c r="AM1025" s="81">
        <f>IF(AN1025="","",IF(Q1025="Sin Factura",0,P1025-IFERROR(INDEX(Facturas_Odoo!$H:$H, MATCH(Q1025, Facturas_Odoo!$B:$B, 0)), 0)))</f>
        <v/>
      </c>
      <c r="AN1025" s="79">
        <f>IF(AND(A1025="", J1025=""), "", IF(A1025&lt;&gt;"", VALUE(MID(A1025,2,LEN(A1025))), AN1024))</f>
        <v/>
      </c>
      <c r="AO1025" s="79">
        <f>IF(AN1025="","",IF(AD1025=0,"OK",_xlfn.LET(monedaPago, IF(AA1025="","USD",AA1025), limitePermitido, IFERROR(VLOOKUP(monedaPago, Configuración!$A$2:$B$3, 2, FALSE), 0.15), IF(AD1025&gt;limitePermitido, "ALERTA: EXCESO (" &amp; TEXT(limitePermitido, "0%") &amp; " máx)", "OK"))))</f>
        <v/>
      </c>
      <c r="AP1025" s="79">
        <f>IF(AN1025="","",IF(AE1025=0,"OK",_xlfn.LET(fechaPago, Z1025, fechaFactura, R1025, diasCredito, IF(E1025="Pago inmediato", 0, IFERROR(VALUE(MID(E1025, 1, SEARCH(" ", E1025)-1)),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25" s="79">
        <f>IF(AN1025="","",IF(AND(N1025&gt;0, AG1025&gt;0), IF(Configuración!$K$2="NO", "ALERTA: DESCUENTO DOBLE NO PERMITIDO", "OK"), "OK"))</f>
        <v/>
      </c>
      <c r="AR1025" s="79">
        <f>IF(AN1025="","",IF(OR(AO1025&lt;&gt;"OK", AP1025&lt;&gt;"OK", AQ1025&lt;&gt;"OK"), "⚠️ REVISAR", "OK"))</f>
        <v/>
      </c>
    </row>
    <row r="1026">
      <c r="A1026" s="79">
        <f>IF('Ordenes_Odoo'!A1026="","",'Ordenes_Odoo'!A1026)</f>
        <v/>
      </c>
      <c r="B1026" s="80">
        <f>IF('Ordenes_Odoo'!B1026="","",'Ordenes_Odoo'!B1026)</f>
        <v/>
      </c>
      <c r="C1026" s="79">
        <f>IF('Ordenes_Odoo'!C1026="","",'Ordenes_Odoo'!C1026)</f>
        <v/>
      </c>
      <c r="D1026" s="79">
        <f>IF('Ordenes_Odoo'!D1026="","",'Ordenes_Odoo'!D1026)</f>
        <v/>
      </c>
      <c r="E1026" s="79">
        <f>IF('Ordenes_Odoo'!E1026="","",'Ordenes_Odoo'!E1026)</f>
        <v/>
      </c>
      <c r="F1026" s="79">
        <f>IF('Ordenes_Odoo'!F1026="","",'Ordenes_Odoo'!F1026)</f>
        <v/>
      </c>
      <c r="G1026" s="79">
        <f>IF('Ordenes_Odoo'!G1026="","",'Ordenes_Odoo'!G1026)</f>
        <v/>
      </c>
      <c r="H1026" s="79">
        <f>IF('Ordenes_Odoo'!H1026="","",'Ordenes_Odoo'!H1026)</f>
        <v/>
      </c>
      <c r="I1026" s="79">
        <f>IF('Ordenes_Odoo'!I1026="","",'Ordenes_Odoo'!I1026)</f>
        <v/>
      </c>
      <c r="J1026" s="79">
        <f>IF('Ordenes_Odoo'!J1026="","",'Ordenes_Odoo'!J1026)</f>
        <v/>
      </c>
      <c r="K1026" s="81">
        <f>IF('Ordenes_Odoo'!K1026="","",'Ordenes_Odoo'!K1026)</f>
        <v/>
      </c>
      <c r="L1026" s="81">
        <f>IF('Ordenes_Odoo'!L1026="","",'Ordenes_Odoo'!L1026)</f>
        <v/>
      </c>
      <c r="M1026" s="79">
        <f>IF('Ordenes_Odoo'!M1026="","",'Ordenes_Odoo'!M1026)</f>
        <v/>
      </c>
      <c r="N1026" s="79">
        <f>IF('Ordenes_Odoo'!N1026="","",'Ordenes_Odoo'!N1026)</f>
        <v/>
      </c>
      <c r="O1026" s="81">
        <f>IF('Ordenes_Odoo'!O1026="","",'Ordenes_Odoo'!O1026)</f>
        <v/>
      </c>
      <c r="P1026" s="81">
        <f>IF('Ordenes_Odoo'!P1026="","",'Ordenes_Odoo'!P1026)</f>
        <v/>
      </c>
      <c r="Q1026" s="79">
        <f>IF(A1026="","",IFERROR(INDEX(Facturas_Odoo!$B:$B, MATCH(A1026, Facturas_Odoo!$D:$D, 0)), "Sin Factura"))</f>
        <v/>
      </c>
      <c r="R1026" s="80">
        <f>IF(Q1026="Sin Factura","",IFERROR(INDEX(Facturas_Odoo!$A:$A, MATCH(Q1026, Facturas_Odoo!$B:$B, 0)), ""))</f>
        <v/>
      </c>
      <c r="S1026" s="79">
        <f>IF(Q1026="Sin Factura","",IFERROR(_xlfn.XLOOKUP(1, (Facturas_Odoo!$D:$D=A1026) * (Facturas_Odoo!$K:$K=I1026), Facturas_Odoo!$L:$L, ""), ""))</f>
        <v/>
      </c>
      <c r="T1026" s="81">
        <f>IF(Q1026="Sin Factura",0,IFERROR(_xlfn.XLOOKUP(1, (Facturas_Odoo!$D:$D=A1026) * (Facturas_Odoo!$K:$K=I1026), Facturas_Odoo!$M:$M, 0), 0))</f>
        <v/>
      </c>
      <c r="U1026" s="79">
        <f>IF(Q1026="Sin Factura",0,IFERROR(_xlfn.XLOOKUP(1, (Facturas_Odoo!$D:$D=A1026) * (Facturas_Odoo!$K:$K=I1026), Facturas_Odoo!$N:$N, 0), 0))</f>
        <v/>
      </c>
      <c r="V1026" s="79">
        <f>IF(Q1026="Sin Factura",0,IFERROR(_xlfn.XLOOKUP(1, (Facturas_Odoo!$D:$D=A1026) * (Facturas_Odoo!$K:$K=I1026), Facturas_Odoo!$O:$O, 0), 0))</f>
        <v/>
      </c>
      <c r="W1026" s="81">
        <f>IF(Q1026="Sin Factura",0,IFERROR(_xlfn.XLOOKUP(1, (Facturas_Odoo!$D:$D=A1026) * (Facturas_Odoo!$K:$K=I1026), Facturas_Odoo!$Q:$Q, 0), 0))</f>
        <v/>
      </c>
      <c r="X1026" s="79">
        <f>IF(OR(Q1026="Sin Factura",Q1026=""),"",IFERROR(INDEX(Pagos_Odoo!$B:$B, MATCH(Q1026, Pagos_Odoo!$I:$I, 0)), "Sin Pago"))</f>
        <v/>
      </c>
      <c r="Y1026" s="79">
        <f>IF(X1026="Sin Pago","",IFERROR(INDEX(Pagos_Odoo!$C:$C, MATCH(X1026, Pagos_Odoo!$B:$B, 0)), ""))</f>
        <v/>
      </c>
      <c r="Z1026" s="80">
        <f>IF(X1026="Sin Pago","",IFERROR(INDEX(Pagos_Odoo!$A:$A, MATCH(X1026, Pagos_Odoo!$B:$B, 0)), ""))</f>
        <v/>
      </c>
      <c r="AA1026" s="79">
        <f>IF(X1026="Sin Pago","",IFERROR(INDEX(Pagos_Odoo!$F:$F, MATCH(X1026, Pagos_Odoo!$B:$B, 0)), ""))</f>
        <v/>
      </c>
      <c r="AB1026" s="81">
        <f>IF(X1026="Sin Pago",0,IFERROR(INDEX(Pagos_Odoo!$E:$E, MATCH(X1026, Pagos_Odoo!$B:$B, 0)), 0))</f>
        <v/>
      </c>
      <c r="AC1026" s="79">
        <f>IF(X1026="Sin Pago","",IFERROR(INDEX(Pagos_Odoo!$G:$G, MATCH(X1026, Pagos_Odoo!$B:$B, 0)), ""))</f>
        <v/>
      </c>
      <c r="AD1026" s="82" t="n">
        <v>0</v>
      </c>
      <c r="AE1026" s="82" t="n"/>
      <c r="AF1026" s="82" t="n"/>
      <c r="AG1026" s="82">
        <f>IF(AN1026="","",AD1026+AE1026+AF1026)</f>
        <v/>
      </c>
      <c r="AH1026" s="81">
        <f>IF(AN1026="","",P1026*(1-AG1026))</f>
        <v/>
      </c>
      <c r="AI1026" s="81">
        <f>IF(AN1026="","",IF(Q1026="Sin Factura",0,IFERROR(INDEX(Facturas_Odoo!$H:$H, MATCH(Q1026, Facturas_Odoo!$B:$B, 0)), 0)*(1-AG1026)))</f>
        <v/>
      </c>
      <c r="AJ1026" s="81">
        <f>IF(AN1026="","",_xlfn.LET(idVenta, AN1026&amp;"",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26" s="81">
        <f>IF(AN1026="","",AH1026-AJ1026)</f>
        <v/>
      </c>
      <c r="AL1026" s="81">
        <f>IF(AN1026="","",IF(Q1026="Sin Factura","",AI1026-AJ1026))</f>
        <v/>
      </c>
      <c r="AM1026" s="81">
        <f>IF(AN1026="","",IF(Q1026="Sin Factura",0,P1026-IFERROR(INDEX(Facturas_Odoo!$H:$H, MATCH(Q1026, Facturas_Odoo!$B:$B, 0)), 0)))</f>
        <v/>
      </c>
      <c r="AN1026" s="79">
        <f>IF(AND(A1026="", J1026=""), "", IF(A1026&lt;&gt;"", VALUE(MID(A1026,2,LEN(A1026))), AN1025))</f>
        <v/>
      </c>
      <c r="AO1026" s="79">
        <f>IF(AN1026="","",IF(AD1026=0,"OK",_xlfn.LET(monedaPago, IF(AA1026="","USD",AA1026), limitePermitido, IFERROR(VLOOKUP(monedaPago, Configuración!$A$2:$B$3, 2, FALSE), 0.15), IF(AD1026&gt;limitePermitido, "ALERTA: EXCESO (" &amp; TEXT(limitePermitido, "0%") &amp; " máx)", "OK"))))</f>
        <v/>
      </c>
      <c r="AP1026" s="79">
        <f>IF(AN1026="","",IF(AE1026=0,"OK",_xlfn.LET(fechaPago, Z1026, fechaFactura, R1026, diasCredito, IF(E1026="Pago inmediato", 0, IFERROR(VALUE(MID(E1026, 1, SEARCH(" ", E1026)-1)),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26" s="79">
        <f>IF(AN1026="","",IF(AND(N1026&gt;0, AG1026&gt;0), IF(Configuración!$K$2="NO", "ALERTA: DESCUENTO DOBLE NO PERMITIDO", "OK"), "OK"))</f>
        <v/>
      </c>
      <c r="AR1026" s="79">
        <f>IF(AN1026="","",IF(OR(AO1026&lt;&gt;"OK", AP1026&lt;&gt;"OK", AQ1026&lt;&gt;"OK"), "⚠️ REVISAR", "OK"))</f>
        <v/>
      </c>
    </row>
    <row r="1027">
      <c r="A1027" s="79">
        <f>IF('Ordenes_Odoo'!A1027="","",'Ordenes_Odoo'!A1027)</f>
        <v/>
      </c>
      <c r="B1027" s="80">
        <f>IF('Ordenes_Odoo'!B1027="","",'Ordenes_Odoo'!B1027)</f>
        <v/>
      </c>
      <c r="C1027" s="79">
        <f>IF('Ordenes_Odoo'!C1027="","",'Ordenes_Odoo'!C1027)</f>
        <v/>
      </c>
      <c r="D1027" s="79">
        <f>IF('Ordenes_Odoo'!D1027="","",'Ordenes_Odoo'!D1027)</f>
        <v/>
      </c>
      <c r="E1027" s="79">
        <f>IF('Ordenes_Odoo'!E1027="","",'Ordenes_Odoo'!E1027)</f>
        <v/>
      </c>
      <c r="F1027" s="79">
        <f>IF('Ordenes_Odoo'!F1027="","",'Ordenes_Odoo'!F1027)</f>
        <v/>
      </c>
      <c r="G1027" s="79">
        <f>IF('Ordenes_Odoo'!G1027="","",'Ordenes_Odoo'!G1027)</f>
        <v/>
      </c>
      <c r="H1027" s="79">
        <f>IF('Ordenes_Odoo'!H1027="","",'Ordenes_Odoo'!H1027)</f>
        <v/>
      </c>
      <c r="I1027" s="79">
        <f>IF('Ordenes_Odoo'!I1027="","",'Ordenes_Odoo'!I1027)</f>
        <v/>
      </c>
      <c r="J1027" s="79">
        <f>IF('Ordenes_Odoo'!J1027="","",'Ordenes_Odoo'!J1027)</f>
        <v/>
      </c>
      <c r="K1027" s="81">
        <f>IF('Ordenes_Odoo'!K1027="","",'Ordenes_Odoo'!K1027)</f>
        <v/>
      </c>
      <c r="L1027" s="81">
        <f>IF('Ordenes_Odoo'!L1027="","",'Ordenes_Odoo'!L1027)</f>
        <v/>
      </c>
      <c r="M1027" s="79">
        <f>IF('Ordenes_Odoo'!M1027="","",'Ordenes_Odoo'!M1027)</f>
        <v/>
      </c>
      <c r="N1027" s="79">
        <f>IF('Ordenes_Odoo'!N1027="","",'Ordenes_Odoo'!N1027)</f>
        <v/>
      </c>
      <c r="O1027" s="81">
        <f>IF('Ordenes_Odoo'!O1027="","",'Ordenes_Odoo'!O1027)</f>
        <v/>
      </c>
      <c r="P1027" s="81">
        <f>IF('Ordenes_Odoo'!P1027="","",'Ordenes_Odoo'!P1027)</f>
        <v/>
      </c>
      <c r="Q1027" s="79">
        <f>IF(A1027="","",IFERROR(INDEX(Facturas_Odoo!$B:$B, MATCH(A1027, Facturas_Odoo!$D:$D, 0)), "Sin Factura"))</f>
        <v/>
      </c>
      <c r="R1027" s="80">
        <f>IF(Q1027="Sin Factura","",IFERROR(INDEX(Facturas_Odoo!$A:$A, MATCH(Q1027, Facturas_Odoo!$B:$B, 0)), ""))</f>
        <v/>
      </c>
      <c r="S1027" s="79">
        <f>IF(Q1027="Sin Factura","",IFERROR(_xlfn.XLOOKUP(1, (Facturas_Odoo!$D:$D=A1027) * (Facturas_Odoo!$K:$K=I1027), Facturas_Odoo!$L:$L, ""), ""))</f>
        <v/>
      </c>
      <c r="T1027" s="81">
        <f>IF(Q1027="Sin Factura",0,IFERROR(_xlfn.XLOOKUP(1, (Facturas_Odoo!$D:$D=A1027) * (Facturas_Odoo!$K:$K=I1027), Facturas_Odoo!$M:$M, 0), 0))</f>
        <v/>
      </c>
      <c r="U1027" s="79">
        <f>IF(Q1027="Sin Factura",0,IFERROR(_xlfn.XLOOKUP(1, (Facturas_Odoo!$D:$D=A1027) * (Facturas_Odoo!$K:$K=I1027), Facturas_Odoo!$N:$N, 0), 0))</f>
        <v/>
      </c>
      <c r="V1027" s="79">
        <f>IF(Q1027="Sin Factura",0,IFERROR(_xlfn.XLOOKUP(1, (Facturas_Odoo!$D:$D=A1027) * (Facturas_Odoo!$K:$K=I1027), Facturas_Odoo!$O:$O, 0), 0))</f>
        <v/>
      </c>
      <c r="W1027" s="81">
        <f>IF(Q1027="Sin Factura",0,IFERROR(_xlfn.XLOOKUP(1, (Facturas_Odoo!$D:$D=A1027) * (Facturas_Odoo!$K:$K=I1027), Facturas_Odoo!$Q:$Q, 0), 0))</f>
        <v/>
      </c>
      <c r="X1027" s="79">
        <f>IF(OR(Q1027="Sin Factura",Q1027=""),"",IFERROR(INDEX(Pagos_Odoo!$B:$B, MATCH(Q1027, Pagos_Odoo!$I:$I, 0)), "Sin Pago"))</f>
        <v/>
      </c>
      <c r="Y1027" s="79">
        <f>IF(X1027="Sin Pago","",IFERROR(INDEX(Pagos_Odoo!$C:$C, MATCH(X1027, Pagos_Odoo!$B:$B, 0)), ""))</f>
        <v/>
      </c>
      <c r="Z1027" s="80">
        <f>IF(X1027="Sin Pago","",IFERROR(INDEX(Pagos_Odoo!$A:$A, MATCH(X1027, Pagos_Odoo!$B:$B, 0)), ""))</f>
        <v/>
      </c>
      <c r="AA1027" s="79">
        <f>IF(X1027="Sin Pago","",IFERROR(INDEX(Pagos_Odoo!$F:$F, MATCH(X1027, Pagos_Odoo!$B:$B, 0)), ""))</f>
        <v/>
      </c>
      <c r="AB1027" s="81">
        <f>IF(X1027="Sin Pago",0,IFERROR(INDEX(Pagos_Odoo!$E:$E, MATCH(X1027, Pagos_Odoo!$B:$B, 0)), 0))</f>
        <v/>
      </c>
      <c r="AC1027" s="79">
        <f>IF(X1027="Sin Pago","",IFERROR(INDEX(Pagos_Odoo!$G:$G, MATCH(X1027, Pagos_Odoo!$B:$B, 0)), ""))</f>
        <v/>
      </c>
      <c r="AD1027" s="82" t="n">
        <v>0</v>
      </c>
      <c r="AE1027" s="82" t="n"/>
      <c r="AF1027" s="82" t="n"/>
      <c r="AG1027" s="82">
        <f>IF(AN1027="","",AD1027+AE1027+AF1027)</f>
        <v/>
      </c>
      <c r="AH1027" s="81">
        <f>IF(AN1027="","",P1027*(1-AG1027))</f>
        <v/>
      </c>
      <c r="AI1027" s="81">
        <f>IF(AN1027="","",IF(Q1027="Sin Factura",0,IFERROR(INDEX(Facturas_Odoo!$H:$H, MATCH(Q1027, Facturas_Odoo!$B:$B, 0)), 0)*(1-AG1027)))</f>
        <v/>
      </c>
      <c r="AJ1027" s="81">
        <f>IF(AN1027="","",_xlfn.LET(idVenta, AN1027&amp;"",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27" s="81">
        <f>IF(AN1027="","",AH1027-AJ1027)</f>
        <v/>
      </c>
      <c r="AL1027" s="81">
        <f>IF(AN1027="","",IF(Q1027="Sin Factura","",AI1027-AJ1027))</f>
        <v/>
      </c>
      <c r="AM1027" s="81">
        <f>IF(AN1027="","",IF(Q1027="Sin Factura",0,P1027-IFERROR(INDEX(Facturas_Odoo!$H:$H, MATCH(Q1027, Facturas_Odoo!$B:$B, 0)), 0)))</f>
        <v/>
      </c>
      <c r="AN1027" s="79">
        <f>IF(AND(A1027="", J1027=""), "", IF(A1027&lt;&gt;"", VALUE(MID(A1027,2,LEN(A1027))), AN1026))</f>
        <v/>
      </c>
      <c r="AO1027" s="79">
        <f>IF(AN1027="","",IF(AD1027=0,"OK",_xlfn.LET(monedaPago, IF(AA1027="","USD",AA1027), limitePermitido, IFERROR(VLOOKUP(monedaPago, Configuración!$A$2:$B$3, 2, FALSE), 0.15), IF(AD1027&gt;limitePermitido, "ALERTA: EXCESO (" &amp; TEXT(limitePermitido, "0%") &amp; " máx)", "OK"))))</f>
        <v/>
      </c>
      <c r="AP1027" s="79">
        <f>IF(AN1027="","",IF(AE1027=0,"OK",_xlfn.LET(fechaPago, Z1027, fechaFactura, R1027, diasCredito, IF(E1027="Pago inmediato", 0, IFERROR(VALUE(MID(E1027, 1, SEARCH(" ", E1027)-1)),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27" s="79">
        <f>IF(AN1027="","",IF(AND(N1027&gt;0, AG1027&gt;0), IF(Configuración!$K$2="NO", "ALERTA: DESCUENTO DOBLE NO PERMITIDO", "OK"), "OK"))</f>
        <v/>
      </c>
      <c r="AR1027" s="79">
        <f>IF(AN1027="","",IF(OR(AO1027&lt;&gt;"OK", AP1027&lt;&gt;"OK", AQ1027&lt;&gt;"OK"), "⚠️ REVISAR", "OK"))</f>
        <v/>
      </c>
    </row>
    <row r="1028">
      <c r="A1028" s="79">
        <f>IF('Ordenes_Odoo'!A1028="","",'Ordenes_Odoo'!A1028)</f>
        <v/>
      </c>
      <c r="B1028" s="80">
        <f>IF('Ordenes_Odoo'!B1028="","",'Ordenes_Odoo'!B1028)</f>
        <v/>
      </c>
      <c r="C1028" s="79">
        <f>IF('Ordenes_Odoo'!C1028="","",'Ordenes_Odoo'!C1028)</f>
        <v/>
      </c>
      <c r="D1028" s="79">
        <f>IF('Ordenes_Odoo'!D1028="","",'Ordenes_Odoo'!D1028)</f>
        <v/>
      </c>
      <c r="E1028" s="79">
        <f>IF('Ordenes_Odoo'!E1028="","",'Ordenes_Odoo'!E1028)</f>
        <v/>
      </c>
      <c r="F1028" s="79">
        <f>IF('Ordenes_Odoo'!F1028="","",'Ordenes_Odoo'!F1028)</f>
        <v/>
      </c>
      <c r="G1028" s="79">
        <f>IF('Ordenes_Odoo'!G1028="","",'Ordenes_Odoo'!G1028)</f>
        <v/>
      </c>
      <c r="H1028" s="79">
        <f>IF('Ordenes_Odoo'!H1028="","",'Ordenes_Odoo'!H1028)</f>
        <v/>
      </c>
      <c r="I1028" s="79">
        <f>IF('Ordenes_Odoo'!I1028="","",'Ordenes_Odoo'!I1028)</f>
        <v/>
      </c>
      <c r="J1028" s="79">
        <f>IF('Ordenes_Odoo'!J1028="","",'Ordenes_Odoo'!J1028)</f>
        <v/>
      </c>
      <c r="K1028" s="81">
        <f>IF('Ordenes_Odoo'!K1028="","",'Ordenes_Odoo'!K1028)</f>
        <v/>
      </c>
      <c r="L1028" s="81">
        <f>IF('Ordenes_Odoo'!L1028="","",'Ordenes_Odoo'!L1028)</f>
        <v/>
      </c>
      <c r="M1028" s="79">
        <f>IF('Ordenes_Odoo'!M1028="","",'Ordenes_Odoo'!M1028)</f>
        <v/>
      </c>
      <c r="N1028" s="79">
        <f>IF('Ordenes_Odoo'!N1028="","",'Ordenes_Odoo'!N1028)</f>
        <v/>
      </c>
      <c r="O1028" s="81">
        <f>IF('Ordenes_Odoo'!O1028="","",'Ordenes_Odoo'!O1028)</f>
        <v/>
      </c>
      <c r="P1028" s="81">
        <f>IF('Ordenes_Odoo'!P1028="","",'Ordenes_Odoo'!P1028)</f>
        <v/>
      </c>
      <c r="Q1028" s="79">
        <f>IF(A1028="","",IFERROR(INDEX(Facturas_Odoo!$B:$B, MATCH(A1028, Facturas_Odoo!$D:$D, 0)), "Sin Factura"))</f>
        <v/>
      </c>
      <c r="R1028" s="80">
        <f>IF(Q1028="Sin Factura","",IFERROR(INDEX(Facturas_Odoo!$A:$A, MATCH(Q1028, Facturas_Odoo!$B:$B, 0)), ""))</f>
        <v/>
      </c>
      <c r="S1028" s="79">
        <f>IF(Q1028="Sin Factura","",IFERROR(_xlfn.XLOOKUP(1, (Facturas_Odoo!$D:$D=A1028) * (Facturas_Odoo!$K:$K=I1028), Facturas_Odoo!$L:$L, ""), ""))</f>
        <v/>
      </c>
      <c r="T1028" s="81">
        <f>IF(Q1028="Sin Factura",0,IFERROR(_xlfn.XLOOKUP(1, (Facturas_Odoo!$D:$D=A1028) * (Facturas_Odoo!$K:$K=I1028), Facturas_Odoo!$M:$M, 0), 0))</f>
        <v/>
      </c>
      <c r="U1028" s="79">
        <f>IF(Q1028="Sin Factura",0,IFERROR(_xlfn.XLOOKUP(1, (Facturas_Odoo!$D:$D=A1028) * (Facturas_Odoo!$K:$K=I1028), Facturas_Odoo!$N:$N, 0), 0))</f>
        <v/>
      </c>
      <c r="V1028" s="79">
        <f>IF(Q1028="Sin Factura",0,IFERROR(_xlfn.XLOOKUP(1, (Facturas_Odoo!$D:$D=A1028) * (Facturas_Odoo!$K:$K=I1028), Facturas_Odoo!$O:$O, 0), 0))</f>
        <v/>
      </c>
      <c r="W1028" s="81">
        <f>IF(Q1028="Sin Factura",0,IFERROR(_xlfn.XLOOKUP(1, (Facturas_Odoo!$D:$D=A1028) * (Facturas_Odoo!$K:$K=I1028), Facturas_Odoo!$Q:$Q, 0), 0))</f>
        <v/>
      </c>
      <c r="X1028" s="79">
        <f>IF(OR(Q1028="Sin Factura",Q1028=""),"",IFERROR(INDEX(Pagos_Odoo!$B:$B, MATCH(Q1028, Pagos_Odoo!$I:$I, 0)), "Sin Pago"))</f>
        <v/>
      </c>
      <c r="Y1028" s="79">
        <f>IF(X1028="Sin Pago","",IFERROR(INDEX(Pagos_Odoo!$C:$C, MATCH(X1028, Pagos_Odoo!$B:$B, 0)), ""))</f>
        <v/>
      </c>
      <c r="Z1028" s="80">
        <f>IF(X1028="Sin Pago","",IFERROR(INDEX(Pagos_Odoo!$A:$A, MATCH(X1028, Pagos_Odoo!$B:$B, 0)), ""))</f>
        <v/>
      </c>
      <c r="AA1028" s="79">
        <f>IF(X1028="Sin Pago","",IFERROR(INDEX(Pagos_Odoo!$F:$F, MATCH(X1028, Pagos_Odoo!$B:$B, 0)), ""))</f>
        <v/>
      </c>
      <c r="AB1028" s="81">
        <f>IF(X1028="Sin Pago",0,IFERROR(INDEX(Pagos_Odoo!$E:$E, MATCH(X1028, Pagos_Odoo!$B:$B, 0)), 0))</f>
        <v/>
      </c>
      <c r="AC1028" s="79">
        <f>IF(X1028="Sin Pago","",IFERROR(INDEX(Pagos_Odoo!$G:$G, MATCH(X1028, Pagos_Odoo!$B:$B, 0)), ""))</f>
        <v/>
      </c>
      <c r="AD1028" s="82" t="n">
        <v>0</v>
      </c>
      <c r="AE1028" s="82" t="n"/>
      <c r="AF1028" s="82" t="n"/>
      <c r="AG1028" s="82">
        <f>IF(AN1028="","",AD1028+AE1028+AF1028)</f>
        <v/>
      </c>
      <c r="AH1028" s="81">
        <f>IF(AN1028="","",P1028*(1-AG1028))</f>
        <v/>
      </c>
      <c r="AI1028" s="81">
        <f>IF(AN1028="","",IF(Q1028="Sin Factura",0,IFERROR(INDEX(Facturas_Odoo!$H:$H, MATCH(Q1028, Facturas_Odoo!$B:$B, 0)), 0)*(1-AG1028)))</f>
        <v/>
      </c>
      <c r="AJ1028" s="81">
        <f>IF(AN1028="","",_xlfn.LET(idVenta, AN1028&amp;"",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28" s="81">
        <f>IF(AN1028="","",AH1028-AJ1028)</f>
        <v/>
      </c>
      <c r="AL1028" s="81">
        <f>IF(AN1028="","",IF(Q1028="Sin Factura","",AI1028-AJ1028))</f>
        <v/>
      </c>
      <c r="AM1028" s="81">
        <f>IF(AN1028="","",IF(Q1028="Sin Factura",0,P1028-IFERROR(INDEX(Facturas_Odoo!$H:$H, MATCH(Q1028, Facturas_Odoo!$B:$B, 0)), 0)))</f>
        <v/>
      </c>
      <c r="AN1028" s="79">
        <f>IF(AND(A1028="", J1028=""), "", IF(A1028&lt;&gt;"", VALUE(MID(A1028,2,LEN(A1028))), AN1027))</f>
        <v/>
      </c>
      <c r="AO1028" s="79">
        <f>IF(AN1028="","",IF(AD1028=0,"OK",_xlfn.LET(monedaPago, IF(AA1028="","USD",AA1028), limitePermitido, IFERROR(VLOOKUP(monedaPago, Configuración!$A$2:$B$3, 2, FALSE), 0.15), IF(AD1028&gt;limitePermitido, "ALERTA: EXCESO (" &amp; TEXT(limitePermitido, "0%") &amp; " máx)", "OK"))))</f>
        <v/>
      </c>
      <c r="AP1028" s="79">
        <f>IF(AN1028="","",IF(AE1028=0,"OK",_xlfn.LET(fechaPago, Z1028, fechaFactura, R1028, diasCredito, IF(E1028="Pago inmediato", 0, IFERROR(VALUE(MID(E1028, 1, SEARCH(" ", E1028)-1)),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28" s="79">
        <f>IF(AN1028="","",IF(AND(N1028&gt;0, AG1028&gt;0), IF(Configuración!$K$2="NO", "ALERTA: DESCUENTO DOBLE NO PERMITIDO", "OK"), "OK"))</f>
        <v/>
      </c>
      <c r="AR1028" s="79">
        <f>IF(AN1028="","",IF(OR(AO1028&lt;&gt;"OK", AP1028&lt;&gt;"OK", AQ1028&lt;&gt;"OK"), "⚠️ REVISAR", "OK"))</f>
        <v/>
      </c>
    </row>
    <row r="1029">
      <c r="A1029" s="79">
        <f>IF('Ordenes_Odoo'!A1029="","",'Ordenes_Odoo'!A1029)</f>
        <v/>
      </c>
      <c r="B1029" s="80">
        <f>IF('Ordenes_Odoo'!B1029="","",'Ordenes_Odoo'!B1029)</f>
        <v/>
      </c>
      <c r="C1029" s="79">
        <f>IF('Ordenes_Odoo'!C1029="","",'Ordenes_Odoo'!C1029)</f>
        <v/>
      </c>
      <c r="D1029" s="79">
        <f>IF('Ordenes_Odoo'!D1029="","",'Ordenes_Odoo'!D1029)</f>
        <v/>
      </c>
      <c r="E1029" s="79">
        <f>IF('Ordenes_Odoo'!E1029="","",'Ordenes_Odoo'!E1029)</f>
        <v/>
      </c>
      <c r="F1029" s="79">
        <f>IF('Ordenes_Odoo'!F1029="","",'Ordenes_Odoo'!F1029)</f>
        <v/>
      </c>
      <c r="G1029" s="79">
        <f>IF('Ordenes_Odoo'!G1029="","",'Ordenes_Odoo'!G1029)</f>
        <v/>
      </c>
      <c r="H1029" s="79">
        <f>IF('Ordenes_Odoo'!H1029="","",'Ordenes_Odoo'!H1029)</f>
        <v/>
      </c>
      <c r="I1029" s="79">
        <f>IF('Ordenes_Odoo'!I1029="","",'Ordenes_Odoo'!I1029)</f>
        <v/>
      </c>
      <c r="J1029" s="79">
        <f>IF('Ordenes_Odoo'!J1029="","",'Ordenes_Odoo'!J1029)</f>
        <v/>
      </c>
      <c r="K1029" s="81">
        <f>IF('Ordenes_Odoo'!K1029="","",'Ordenes_Odoo'!K1029)</f>
        <v/>
      </c>
      <c r="L1029" s="81">
        <f>IF('Ordenes_Odoo'!L1029="","",'Ordenes_Odoo'!L1029)</f>
        <v/>
      </c>
      <c r="M1029" s="79">
        <f>IF('Ordenes_Odoo'!M1029="","",'Ordenes_Odoo'!M1029)</f>
        <v/>
      </c>
      <c r="N1029" s="79">
        <f>IF('Ordenes_Odoo'!N1029="","",'Ordenes_Odoo'!N1029)</f>
        <v/>
      </c>
      <c r="O1029" s="81">
        <f>IF('Ordenes_Odoo'!O1029="","",'Ordenes_Odoo'!O1029)</f>
        <v/>
      </c>
      <c r="P1029" s="81">
        <f>IF('Ordenes_Odoo'!P1029="","",'Ordenes_Odoo'!P1029)</f>
        <v/>
      </c>
      <c r="Q1029" s="79">
        <f>IF(A1029="","",IFERROR(INDEX(Facturas_Odoo!$B:$B, MATCH(A1029, Facturas_Odoo!$D:$D, 0)), "Sin Factura"))</f>
        <v/>
      </c>
      <c r="R1029" s="80">
        <f>IF(Q1029="Sin Factura","",IFERROR(INDEX(Facturas_Odoo!$A:$A, MATCH(Q1029, Facturas_Odoo!$B:$B, 0)), ""))</f>
        <v/>
      </c>
      <c r="S1029" s="79">
        <f>IF(Q1029="Sin Factura","",IFERROR(_xlfn.XLOOKUP(1, (Facturas_Odoo!$D:$D=A1029) * (Facturas_Odoo!$K:$K=I1029), Facturas_Odoo!$L:$L, ""), ""))</f>
        <v/>
      </c>
      <c r="T1029" s="81">
        <f>IF(Q1029="Sin Factura",0,IFERROR(_xlfn.XLOOKUP(1, (Facturas_Odoo!$D:$D=A1029) * (Facturas_Odoo!$K:$K=I1029), Facturas_Odoo!$M:$M, 0), 0))</f>
        <v/>
      </c>
      <c r="U1029" s="79">
        <f>IF(Q1029="Sin Factura",0,IFERROR(_xlfn.XLOOKUP(1, (Facturas_Odoo!$D:$D=A1029) * (Facturas_Odoo!$K:$K=I1029), Facturas_Odoo!$N:$N, 0), 0))</f>
        <v/>
      </c>
      <c r="V1029" s="79">
        <f>IF(Q1029="Sin Factura",0,IFERROR(_xlfn.XLOOKUP(1, (Facturas_Odoo!$D:$D=A1029) * (Facturas_Odoo!$K:$K=I1029), Facturas_Odoo!$O:$O, 0), 0))</f>
        <v/>
      </c>
      <c r="W1029" s="81">
        <f>IF(Q1029="Sin Factura",0,IFERROR(_xlfn.XLOOKUP(1, (Facturas_Odoo!$D:$D=A1029) * (Facturas_Odoo!$K:$K=I1029), Facturas_Odoo!$Q:$Q, 0), 0))</f>
        <v/>
      </c>
      <c r="X1029" s="79">
        <f>IF(OR(Q1029="Sin Factura",Q1029=""),"",IFERROR(INDEX(Pagos_Odoo!$B:$B, MATCH(Q1029, Pagos_Odoo!$I:$I, 0)), "Sin Pago"))</f>
        <v/>
      </c>
      <c r="Y1029" s="79">
        <f>IF(X1029="Sin Pago","",IFERROR(INDEX(Pagos_Odoo!$C:$C, MATCH(X1029, Pagos_Odoo!$B:$B, 0)), ""))</f>
        <v/>
      </c>
      <c r="Z1029" s="80">
        <f>IF(X1029="Sin Pago","",IFERROR(INDEX(Pagos_Odoo!$A:$A, MATCH(X1029, Pagos_Odoo!$B:$B, 0)), ""))</f>
        <v/>
      </c>
      <c r="AA1029" s="79">
        <f>IF(X1029="Sin Pago","",IFERROR(INDEX(Pagos_Odoo!$F:$F, MATCH(X1029, Pagos_Odoo!$B:$B, 0)), ""))</f>
        <v/>
      </c>
      <c r="AB1029" s="81">
        <f>IF(X1029="Sin Pago",0,IFERROR(INDEX(Pagos_Odoo!$E:$E, MATCH(X1029, Pagos_Odoo!$B:$B, 0)), 0))</f>
        <v/>
      </c>
      <c r="AC1029" s="79">
        <f>IF(X1029="Sin Pago","",IFERROR(INDEX(Pagos_Odoo!$G:$G, MATCH(X1029, Pagos_Odoo!$B:$B, 0)), ""))</f>
        <v/>
      </c>
      <c r="AD1029" s="82" t="n">
        <v>0</v>
      </c>
      <c r="AE1029" s="82" t="n"/>
      <c r="AF1029" s="82" t="n"/>
      <c r="AG1029" s="82">
        <f>IF(AN1029="","",AD1029+AE1029+AF1029)</f>
        <v/>
      </c>
      <c r="AH1029" s="81">
        <f>IF(AN1029="","",P1029*(1-AG1029))</f>
        <v/>
      </c>
      <c r="AI1029" s="81">
        <f>IF(AN1029="","",IF(Q1029="Sin Factura",0,IFERROR(INDEX(Facturas_Odoo!$H:$H, MATCH(Q1029, Facturas_Odoo!$B:$B, 0)), 0)*(1-AG1029)))</f>
        <v/>
      </c>
      <c r="AJ1029" s="81">
        <f>IF(AN1029="","",_xlfn.LET(idVenta, AN1029&amp;"",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29" s="81">
        <f>IF(AN1029="","",AH1029-AJ1029)</f>
        <v/>
      </c>
      <c r="AL1029" s="81">
        <f>IF(AN1029="","",IF(Q1029="Sin Factura","",AI1029-AJ1029))</f>
        <v/>
      </c>
      <c r="AM1029" s="81">
        <f>IF(AN1029="","",IF(Q1029="Sin Factura",0,P1029-IFERROR(INDEX(Facturas_Odoo!$H:$H, MATCH(Q1029, Facturas_Odoo!$B:$B, 0)), 0)))</f>
        <v/>
      </c>
      <c r="AN1029" s="79">
        <f>IF(AND(A1029="", J1029=""), "", IF(A1029&lt;&gt;"", VALUE(MID(A1029,2,LEN(A1029))), AN1028))</f>
        <v/>
      </c>
      <c r="AO1029" s="79">
        <f>IF(AN1029="","",IF(AD1029=0,"OK",_xlfn.LET(monedaPago, IF(AA1029="","USD",AA1029), limitePermitido, IFERROR(VLOOKUP(monedaPago, Configuración!$A$2:$B$3, 2, FALSE), 0.15), IF(AD1029&gt;limitePermitido, "ALERTA: EXCESO (" &amp; TEXT(limitePermitido, "0%") &amp; " máx)", "OK"))))</f>
        <v/>
      </c>
      <c r="AP1029" s="79">
        <f>IF(AN1029="","",IF(AE1029=0,"OK",_xlfn.LET(fechaPago, Z1029, fechaFactura, R1029, diasCredito, IF(E1029="Pago inmediato", 0, IFERROR(VALUE(MID(E1029, 1, SEARCH(" ", E1029)-1)),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29" s="79">
        <f>IF(AN1029="","",IF(AND(N1029&gt;0, AG1029&gt;0), IF(Configuración!$K$2="NO", "ALERTA: DESCUENTO DOBLE NO PERMITIDO", "OK"), "OK"))</f>
        <v/>
      </c>
      <c r="AR1029" s="79">
        <f>IF(AN1029="","",IF(OR(AO1029&lt;&gt;"OK", AP1029&lt;&gt;"OK", AQ1029&lt;&gt;"OK"), "⚠️ REVISAR", "OK"))</f>
        <v/>
      </c>
    </row>
    <row r="1030">
      <c r="A1030" s="79">
        <f>IF('Ordenes_Odoo'!A1030="","",'Ordenes_Odoo'!A1030)</f>
        <v/>
      </c>
      <c r="B1030" s="80">
        <f>IF('Ordenes_Odoo'!B1030="","",'Ordenes_Odoo'!B1030)</f>
        <v/>
      </c>
      <c r="C1030" s="79">
        <f>IF('Ordenes_Odoo'!C1030="","",'Ordenes_Odoo'!C1030)</f>
        <v/>
      </c>
      <c r="D1030" s="79">
        <f>IF('Ordenes_Odoo'!D1030="","",'Ordenes_Odoo'!D1030)</f>
        <v/>
      </c>
      <c r="E1030" s="79">
        <f>IF('Ordenes_Odoo'!E1030="","",'Ordenes_Odoo'!E1030)</f>
        <v/>
      </c>
      <c r="F1030" s="79">
        <f>IF('Ordenes_Odoo'!F1030="","",'Ordenes_Odoo'!F1030)</f>
        <v/>
      </c>
      <c r="G1030" s="79">
        <f>IF('Ordenes_Odoo'!G1030="","",'Ordenes_Odoo'!G1030)</f>
        <v/>
      </c>
      <c r="H1030" s="79">
        <f>IF('Ordenes_Odoo'!H1030="","",'Ordenes_Odoo'!H1030)</f>
        <v/>
      </c>
      <c r="I1030" s="79">
        <f>IF('Ordenes_Odoo'!I1030="","",'Ordenes_Odoo'!I1030)</f>
        <v/>
      </c>
      <c r="J1030" s="79">
        <f>IF('Ordenes_Odoo'!J1030="","",'Ordenes_Odoo'!J1030)</f>
        <v/>
      </c>
      <c r="K1030" s="81">
        <f>IF('Ordenes_Odoo'!K1030="","",'Ordenes_Odoo'!K1030)</f>
        <v/>
      </c>
      <c r="L1030" s="81">
        <f>IF('Ordenes_Odoo'!L1030="","",'Ordenes_Odoo'!L1030)</f>
        <v/>
      </c>
      <c r="M1030" s="79">
        <f>IF('Ordenes_Odoo'!M1030="","",'Ordenes_Odoo'!M1030)</f>
        <v/>
      </c>
      <c r="N1030" s="79">
        <f>IF('Ordenes_Odoo'!N1030="","",'Ordenes_Odoo'!N1030)</f>
        <v/>
      </c>
      <c r="O1030" s="81">
        <f>IF('Ordenes_Odoo'!O1030="","",'Ordenes_Odoo'!O1030)</f>
        <v/>
      </c>
      <c r="P1030" s="81">
        <f>IF('Ordenes_Odoo'!P1030="","",'Ordenes_Odoo'!P1030)</f>
        <v/>
      </c>
      <c r="Q1030" s="79">
        <f>IF(A1030="","",IFERROR(INDEX(Facturas_Odoo!$B:$B, MATCH(A1030, Facturas_Odoo!$D:$D, 0)), "Sin Factura"))</f>
        <v/>
      </c>
      <c r="R1030" s="80">
        <f>IF(Q1030="Sin Factura","",IFERROR(INDEX(Facturas_Odoo!$A:$A, MATCH(Q1030, Facturas_Odoo!$B:$B, 0)), ""))</f>
        <v/>
      </c>
      <c r="S1030" s="79">
        <f>IF(Q1030="Sin Factura","",IFERROR(_xlfn.XLOOKUP(1, (Facturas_Odoo!$D:$D=A1030) * (Facturas_Odoo!$K:$K=I1030), Facturas_Odoo!$L:$L, ""), ""))</f>
        <v/>
      </c>
      <c r="T1030" s="81">
        <f>IF(Q1030="Sin Factura",0,IFERROR(_xlfn.XLOOKUP(1, (Facturas_Odoo!$D:$D=A1030) * (Facturas_Odoo!$K:$K=I1030), Facturas_Odoo!$M:$M, 0), 0))</f>
        <v/>
      </c>
      <c r="U1030" s="79">
        <f>IF(Q1030="Sin Factura",0,IFERROR(_xlfn.XLOOKUP(1, (Facturas_Odoo!$D:$D=A1030) * (Facturas_Odoo!$K:$K=I1030), Facturas_Odoo!$N:$N, 0), 0))</f>
        <v/>
      </c>
      <c r="V1030" s="79">
        <f>IF(Q1030="Sin Factura",0,IFERROR(_xlfn.XLOOKUP(1, (Facturas_Odoo!$D:$D=A1030) * (Facturas_Odoo!$K:$K=I1030), Facturas_Odoo!$O:$O, 0), 0))</f>
        <v/>
      </c>
      <c r="W1030" s="81">
        <f>IF(Q1030="Sin Factura",0,IFERROR(_xlfn.XLOOKUP(1, (Facturas_Odoo!$D:$D=A1030) * (Facturas_Odoo!$K:$K=I1030), Facturas_Odoo!$Q:$Q, 0), 0))</f>
        <v/>
      </c>
      <c r="X1030" s="79">
        <f>IF(OR(Q1030="Sin Factura",Q1030=""),"",IFERROR(INDEX(Pagos_Odoo!$B:$B, MATCH(Q1030, Pagos_Odoo!$I:$I, 0)), "Sin Pago"))</f>
        <v/>
      </c>
      <c r="Y1030" s="79">
        <f>IF(X1030="Sin Pago","",IFERROR(INDEX(Pagos_Odoo!$C:$C, MATCH(X1030, Pagos_Odoo!$B:$B, 0)), ""))</f>
        <v/>
      </c>
      <c r="Z1030" s="80">
        <f>IF(X1030="Sin Pago","",IFERROR(INDEX(Pagos_Odoo!$A:$A, MATCH(X1030, Pagos_Odoo!$B:$B, 0)), ""))</f>
        <v/>
      </c>
      <c r="AA1030" s="79">
        <f>IF(X1030="Sin Pago","",IFERROR(INDEX(Pagos_Odoo!$F:$F, MATCH(X1030, Pagos_Odoo!$B:$B, 0)), ""))</f>
        <v/>
      </c>
      <c r="AB1030" s="81">
        <f>IF(X1030="Sin Pago",0,IFERROR(INDEX(Pagos_Odoo!$E:$E, MATCH(X1030, Pagos_Odoo!$B:$B, 0)), 0))</f>
        <v/>
      </c>
      <c r="AC1030" s="79">
        <f>IF(X1030="Sin Pago","",IFERROR(INDEX(Pagos_Odoo!$G:$G, MATCH(X1030, Pagos_Odoo!$B:$B, 0)), ""))</f>
        <v/>
      </c>
      <c r="AD1030" s="82" t="n">
        <v>0</v>
      </c>
      <c r="AE1030" s="82" t="n"/>
      <c r="AF1030" s="82" t="n"/>
      <c r="AG1030" s="82">
        <f>IF(AN1030="","",AD1030+AE1030+AF1030)</f>
        <v/>
      </c>
      <c r="AH1030" s="81">
        <f>IF(AN1030="","",P1030*(1-AG1030))</f>
        <v/>
      </c>
      <c r="AI1030" s="81">
        <f>IF(AN1030="","",IF(Q1030="Sin Factura",0,IFERROR(INDEX(Facturas_Odoo!$H:$H, MATCH(Q1030, Facturas_Odoo!$B:$B, 0)), 0)*(1-AG1030)))</f>
        <v/>
      </c>
      <c r="AJ1030" s="81">
        <f>IF(AN1030="","",_xlfn.LET(idVenta, AN1030&amp;"",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30" s="81">
        <f>IF(AN1030="","",AH1030-AJ1030)</f>
        <v/>
      </c>
      <c r="AL1030" s="81">
        <f>IF(AN1030="","",IF(Q1030="Sin Factura","",AI1030-AJ1030))</f>
        <v/>
      </c>
      <c r="AM1030" s="81">
        <f>IF(AN1030="","",IF(Q1030="Sin Factura",0,P1030-IFERROR(INDEX(Facturas_Odoo!$H:$H, MATCH(Q1030, Facturas_Odoo!$B:$B, 0)), 0)))</f>
        <v/>
      </c>
      <c r="AN1030" s="79">
        <f>IF(AND(A1030="", J1030=""), "", IF(A1030&lt;&gt;"", VALUE(MID(A1030,2,LEN(A1030))), AN1029))</f>
        <v/>
      </c>
      <c r="AO1030" s="79">
        <f>IF(AN1030="","",IF(AD1030=0,"OK",_xlfn.LET(monedaPago, IF(AA1030="","USD",AA1030), limitePermitido, IFERROR(VLOOKUP(monedaPago, Configuración!$A$2:$B$3, 2, FALSE), 0.15), IF(AD1030&gt;limitePermitido, "ALERTA: EXCESO (" &amp; TEXT(limitePermitido, "0%") &amp; " máx)", "OK"))))</f>
        <v/>
      </c>
      <c r="AP1030" s="79">
        <f>IF(AN1030="","",IF(AE1030=0,"OK",_xlfn.LET(fechaPago, Z1030, fechaFactura, R1030, diasCredito, IF(E1030="Pago inmediato", 0, IFERROR(VALUE(MID(E1030, 1, SEARCH(" ", E1030)-1)),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30" s="79">
        <f>IF(AN1030="","",IF(AND(N1030&gt;0, AG1030&gt;0), IF(Configuración!$K$2="NO", "ALERTA: DESCUENTO DOBLE NO PERMITIDO", "OK"), "OK"))</f>
        <v/>
      </c>
      <c r="AR1030" s="79">
        <f>IF(AN1030="","",IF(OR(AO1030&lt;&gt;"OK", AP1030&lt;&gt;"OK", AQ1030&lt;&gt;"OK"), "⚠️ REVISAR", "OK"))</f>
        <v/>
      </c>
    </row>
    <row r="1031">
      <c r="A1031" s="79">
        <f>IF('Ordenes_Odoo'!A1031="","",'Ordenes_Odoo'!A1031)</f>
        <v/>
      </c>
      <c r="B1031" s="80">
        <f>IF('Ordenes_Odoo'!B1031="","",'Ordenes_Odoo'!B1031)</f>
        <v/>
      </c>
      <c r="C1031" s="79">
        <f>IF('Ordenes_Odoo'!C1031="","",'Ordenes_Odoo'!C1031)</f>
        <v/>
      </c>
      <c r="D1031" s="79">
        <f>IF('Ordenes_Odoo'!D1031="","",'Ordenes_Odoo'!D1031)</f>
        <v/>
      </c>
      <c r="E1031" s="79">
        <f>IF('Ordenes_Odoo'!E1031="","",'Ordenes_Odoo'!E1031)</f>
        <v/>
      </c>
      <c r="F1031" s="79">
        <f>IF('Ordenes_Odoo'!F1031="","",'Ordenes_Odoo'!F1031)</f>
        <v/>
      </c>
      <c r="G1031" s="79">
        <f>IF('Ordenes_Odoo'!G1031="","",'Ordenes_Odoo'!G1031)</f>
        <v/>
      </c>
      <c r="H1031" s="79">
        <f>IF('Ordenes_Odoo'!H1031="","",'Ordenes_Odoo'!H1031)</f>
        <v/>
      </c>
      <c r="I1031" s="79">
        <f>IF('Ordenes_Odoo'!I1031="","",'Ordenes_Odoo'!I1031)</f>
        <v/>
      </c>
      <c r="J1031" s="79">
        <f>IF('Ordenes_Odoo'!J1031="","",'Ordenes_Odoo'!J1031)</f>
        <v/>
      </c>
      <c r="K1031" s="81">
        <f>IF('Ordenes_Odoo'!K1031="","",'Ordenes_Odoo'!K1031)</f>
        <v/>
      </c>
      <c r="L1031" s="81">
        <f>IF('Ordenes_Odoo'!L1031="","",'Ordenes_Odoo'!L1031)</f>
        <v/>
      </c>
      <c r="M1031" s="79">
        <f>IF('Ordenes_Odoo'!M1031="","",'Ordenes_Odoo'!M1031)</f>
        <v/>
      </c>
      <c r="N1031" s="79">
        <f>IF('Ordenes_Odoo'!N1031="","",'Ordenes_Odoo'!N1031)</f>
        <v/>
      </c>
      <c r="O1031" s="81">
        <f>IF('Ordenes_Odoo'!O1031="","",'Ordenes_Odoo'!O1031)</f>
        <v/>
      </c>
      <c r="P1031" s="81">
        <f>IF('Ordenes_Odoo'!P1031="","",'Ordenes_Odoo'!P1031)</f>
        <v/>
      </c>
      <c r="Q1031" s="79">
        <f>IF(A1031="","",IFERROR(INDEX(Facturas_Odoo!$B:$B, MATCH(A1031, Facturas_Odoo!$D:$D, 0)), "Sin Factura"))</f>
        <v/>
      </c>
      <c r="R1031" s="80">
        <f>IF(Q1031="Sin Factura","",IFERROR(INDEX(Facturas_Odoo!$A:$A, MATCH(Q1031, Facturas_Odoo!$B:$B, 0)), ""))</f>
        <v/>
      </c>
      <c r="S1031" s="79">
        <f>IF(Q1031="Sin Factura","",IFERROR(_xlfn.XLOOKUP(1, (Facturas_Odoo!$D:$D=A1031) * (Facturas_Odoo!$K:$K=I1031), Facturas_Odoo!$L:$L, ""), ""))</f>
        <v/>
      </c>
      <c r="T1031" s="81">
        <f>IF(Q1031="Sin Factura",0,IFERROR(_xlfn.XLOOKUP(1, (Facturas_Odoo!$D:$D=A1031) * (Facturas_Odoo!$K:$K=I1031), Facturas_Odoo!$M:$M, 0), 0))</f>
        <v/>
      </c>
      <c r="U1031" s="79">
        <f>IF(Q1031="Sin Factura",0,IFERROR(_xlfn.XLOOKUP(1, (Facturas_Odoo!$D:$D=A1031) * (Facturas_Odoo!$K:$K=I1031), Facturas_Odoo!$N:$N, 0), 0))</f>
        <v/>
      </c>
      <c r="V1031" s="79">
        <f>IF(Q1031="Sin Factura",0,IFERROR(_xlfn.XLOOKUP(1, (Facturas_Odoo!$D:$D=A1031) * (Facturas_Odoo!$K:$K=I1031), Facturas_Odoo!$O:$O, 0), 0))</f>
        <v/>
      </c>
      <c r="W1031" s="81">
        <f>IF(Q1031="Sin Factura",0,IFERROR(_xlfn.XLOOKUP(1, (Facturas_Odoo!$D:$D=A1031) * (Facturas_Odoo!$K:$K=I1031), Facturas_Odoo!$Q:$Q, 0), 0))</f>
        <v/>
      </c>
      <c r="X1031" s="79">
        <f>IF(OR(Q1031="Sin Factura",Q1031=""),"",IFERROR(INDEX(Pagos_Odoo!$B:$B, MATCH(Q1031, Pagos_Odoo!$I:$I, 0)), "Sin Pago"))</f>
        <v/>
      </c>
      <c r="Y1031" s="79">
        <f>IF(X1031="Sin Pago","",IFERROR(INDEX(Pagos_Odoo!$C:$C, MATCH(X1031, Pagos_Odoo!$B:$B, 0)), ""))</f>
        <v/>
      </c>
      <c r="Z1031" s="80">
        <f>IF(X1031="Sin Pago","",IFERROR(INDEX(Pagos_Odoo!$A:$A, MATCH(X1031, Pagos_Odoo!$B:$B, 0)), ""))</f>
        <v/>
      </c>
      <c r="AA1031" s="79">
        <f>IF(X1031="Sin Pago","",IFERROR(INDEX(Pagos_Odoo!$F:$F, MATCH(X1031, Pagos_Odoo!$B:$B, 0)), ""))</f>
        <v/>
      </c>
      <c r="AB1031" s="81">
        <f>IF(X1031="Sin Pago",0,IFERROR(INDEX(Pagos_Odoo!$E:$E, MATCH(X1031, Pagos_Odoo!$B:$B, 0)), 0))</f>
        <v/>
      </c>
      <c r="AC1031" s="79">
        <f>IF(X1031="Sin Pago","",IFERROR(INDEX(Pagos_Odoo!$G:$G, MATCH(X1031, Pagos_Odoo!$B:$B, 0)), ""))</f>
        <v/>
      </c>
      <c r="AD1031" s="82" t="n">
        <v>0</v>
      </c>
      <c r="AE1031" s="82" t="n"/>
      <c r="AF1031" s="82" t="n"/>
      <c r="AG1031" s="82">
        <f>IF(AN1031="","",AD1031+AE1031+AF1031)</f>
        <v/>
      </c>
      <c r="AH1031" s="81">
        <f>IF(AN1031="","",P1031*(1-AG1031))</f>
        <v/>
      </c>
      <c r="AI1031" s="81">
        <f>IF(AN1031="","",IF(Q1031="Sin Factura",0,IFERROR(INDEX(Facturas_Odoo!$H:$H, MATCH(Q1031, Facturas_Odoo!$B:$B, 0)), 0)*(1-AG1031)))</f>
        <v/>
      </c>
      <c r="AJ1031" s="81">
        <f>IF(AN1031="","",_xlfn.LET(idVenta, AN1031&amp;"",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31" s="81">
        <f>IF(AN1031="","",AH1031-AJ1031)</f>
        <v/>
      </c>
      <c r="AL1031" s="81">
        <f>IF(AN1031="","",IF(Q1031="Sin Factura","",AI1031-AJ1031))</f>
        <v/>
      </c>
      <c r="AM1031" s="81">
        <f>IF(AN1031="","",IF(Q1031="Sin Factura",0,P1031-IFERROR(INDEX(Facturas_Odoo!$H:$H, MATCH(Q1031, Facturas_Odoo!$B:$B, 0)), 0)))</f>
        <v/>
      </c>
      <c r="AN1031" s="79">
        <f>IF(AND(A1031="", J1031=""), "", IF(A1031&lt;&gt;"", VALUE(MID(A1031,2,LEN(A1031))), AN1030))</f>
        <v/>
      </c>
      <c r="AO1031" s="79">
        <f>IF(AN1031="","",IF(AD1031=0,"OK",_xlfn.LET(monedaPago, IF(AA1031="","USD",AA1031), limitePermitido, IFERROR(VLOOKUP(monedaPago, Configuración!$A$2:$B$3, 2, FALSE), 0.15), IF(AD1031&gt;limitePermitido, "ALERTA: EXCESO (" &amp; TEXT(limitePermitido, "0%") &amp; " máx)", "OK"))))</f>
        <v/>
      </c>
      <c r="AP1031" s="79">
        <f>IF(AN1031="","",IF(AE1031=0,"OK",_xlfn.LET(fechaPago, Z1031, fechaFactura, R1031, diasCredito, IF(E1031="Pago inmediato", 0, IFERROR(VALUE(MID(E1031, 1, SEARCH(" ", E1031)-1)),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31" s="79">
        <f>IF(AN1031="","",IF(AND(N1031&gt;0, AG1031&gt;0), IF(Configuración!$K$2="NO", "ALERTA: DESCUENTO DOBLE NO PERMITIDO", "OK"), "OK"))</f>
        <v/>
      </c>
      <c r="AR1031" s="79">
        <f>IF(AN1031="","",IF(OR(AO1031&lt;&gt;"OK", AP1031&lt;&gt;"OK", AQ1031&lt;&gt;"OK"), "⚠️ REVISAR", "OK"))</f>
        <v/>
      </c>
    </row>
    <row r="1032">
      <c r="A1032" s="79">
        <f>IF('Ordenes_Odoo'!A1032="","",'Ordenes_Odoo'!A1032)</f>
        <v/>
      </c>
      <c r="B1032" s="80">
        <f>IF('Ordenes_Odoo'!B1032="","",'Ordenes_Odoo'!B1032)</f>
        <v/>
      </c>
      <c r="C1032" s="79">
        <f>IF('Ordenes_Odoo'!C1032="","",'Ordenes_Odoo'!C1032)</f>
        <v/>
      </c>
      <c r="D1032" s="79">
        <f>IF('Ordenes_Odoo'!D1032="","",'Ordenes_Odoo'!D1032)</f>
        <v/>
      </c>
      <c r="E1032" s="79">
        <f>IF('Ordenes_Odoo'!E1032="","",'Ordenes_Odoo'!E1032)</f>
        <v/>
      </c>
      <c r="F1032" s="79">
        <f>IF('Ordenes_Odoo'!F1032="","",'Ordenes_Odoo'!F1032)</f>
        <v/>
      </c>
      <c r="G1032" s="79">
        <f>IF('Ordenes_Odoo'!G1032="","",'Ordenes_Odoo'!G1032)</f>
        <v/>
      </c>
      <c r="H1032" s="79">
        <f>IF('Ordenes_Odoo'!H1032="","",'Ordenes_Odoo'!H1032)</f>
        <v/>
      </c>
      <c r="I1032" s="79">
        <f>IF('Ordenes_Odoo'!I1032="","",'Ordenes_Odoo'!I1032)</f>
        <v/>
      </c>
      <c r="J1032" s="79">
        <f>IF('Ordenes_Odoo'!J1032="","",'Ordenes_Odoo'!J1032)</f>
        <v/>
      </c>
      <c r="K1032" s="81">
        <f>IF('Ordenes_Odoo'!K1032="","",'Ordenes_Odoo'!K1032)</f>
        <v/>
      </c>
      <c r="L1032" s="81">
        <f>IF('Ordenes_Odoo'!L1032="","",'Ordenes_Odoo'!L1032)</f>
        <v/>
      </c>
      <c r="M1032" s="79">
        <f>IF('Ordenes_Odoo'!M1032="","",'Ordenes_Odoo'!M1032)</f>
        <v/>
      </c>
      <c r="N1032" s="79">
        <f>IF('Ordenes_Odoo'!N1032="","",'Ordenes_Odoo'!N1032)</f>
        <v/>
      </c>
      <c r="O1032" s="81">
        <f>IF('Ordenes_Odoo'!O1032="","",'Ordenes_Odoo'!O1032)</f>
        <v/>
      </c>
      <c r="P1032" s="81">
        <f>IF('Ordenes_Odoo'!P1032="","",'Ordenes_Odoo'!P1032)</f>
        <v/>
      </c>
      <c r="Q1032" s="79">
        <f>IF(A1032="","",IFERROR(INDEX(Facturas_Odoo!$B:$B, MATCH(A1032, Facturas_Odoo!$D:$D, 0)), "Sin Factura"))</f>
        <v/>
      </c>
      <c r="R1032" s="80">
        <f>IF(Q1032="Sin Factura","",IFERROR(INDEX(Facturas_Odoo!$A:$A, MATCH(Q1032, Facturas_Odoo!$B:$B, 0)), ""))</f>
        <v/>
      </c>
      <c r="S1032" s="79">
        <f>IF(Q1032="Sin Factura","",IFERROR(_xlfn.XLOOKUP(1, (Facturas_Odoo!$D:$D=A1032) * (Facturas_Odoo!$K:$K=I1032), Facturas_Odoo!$L:$L, ""), ""))</f>
        <v/>
      </c>
      <c r="T1032" s="81">
        <f>IF(Q1032="Sin Factura",0,IFERROR(_xlfn.XLOOKUP(1, (Facturas_Odoo!$D:$D=A1032) * (Facturas_Odoo!$K:$K=I1032), Facturas_Odoo!$M:$M, 0), 0))</f>
        <v/>
      </c>
      <c r="U1032" s="79">
        <f>IF(Q1032="Sin Factura",0,IFERROR(_xlfn.XLOOKUP(1, (Facturas_Odoo!$D:$D=A1032) * (Facturas_Odoo!$K:$K=I1032), Facturas_Odoo!$N:$N, 0), 0))</f>
        <v/>
      </c>
      <c r="V1032" s="79">
        <f>IF(Q1032="Sin Factura",0,IFERROR(_xlfn.XLOOKUP(1, (Facturas_Odoo!$D:$D=A1032) * (Facturas_Odoo!$K:$K=I1032), Facturas_Odoo!$O:$O, 0), 0))</f>
        <v/>
      </c>
      <c r="W1032" s="81">
        <f>IF(Q1032="Sin Factura",0,IFERROR(_xlfn.XLOOKUP(1, (Facturas_Odoo!$D:$D=A1032) * (Facturas_Odoo!$K:$K=I1032), Facturas_Odoo!$Q:$Q, 0), 0))</f>
        <v/>
      </c>
      <c r="X1032" s="79">
        <f>IF(OR(Q1032="Sin Factura",Q1032=""),"",IFERROR(INDEX(Pagos_Odoo!$B:$B, MATCH(Q1032, Pagos_Odoo!$I:$I, 0)), "Sin Pago"))</f>
        <v/>
      </c>
      <c r="Y1032" s="79">
        <f>IF(X1032="Sin Pago","",IFERROR(INDEX(Pagos_Odoo!$C:$C, MATCH(X1032, Pagos_Odoo!$B:$B, 0)), ""))</f>
        <v/>
      </c>
      <c r="Z1032" s="80">
        <f>IF(X1032="Sin Pago","",IFERROR(INDEX(Pagos_Odoo!$A:$A, MATCH(X1032, Pagos_Odoo!$B:$B, 0)), ""))</f>
        <v/>
      </c>
      <c r="AA1032" s="79">
        <f>IF(X1032="Sin Pago","",IFERROR(INDEX(Pagos_Odoo!$F:$F, MATCH(X1032, Pagos_Odoo!$B:$B, 0)), ""))</f>
        <v/>
      </c>
      <c r="AB1032" s="81">
        <f>IF(X1032="Sin Pago",0,IFERROR(INDEX(Pagos_Odoo!$E:$E, MATCH(X1032, Pagos_Odoo!$B:$B, 0)), 0))</f>
        <v/>
      </c>
      <c r="AC1032" s="79">
        <f>IF(X1032="Sin Pago","",IFERROR(INDEX(Pagos_Odoo!$G:$G, MATCH(X1032, Pagos_Odoo!$B:$B, 0)), ""))</f>
        <v/>
      </c>
      <c r="AD1032" s="82" t="n">
        <v>0</v>
      </c>
      <c r="AE1032" s="82" t="n"/>
      <c r="AF1032" s="82" t="n"/>
      <c r="AG1032" s="82">
        <f>IF(AN1032="","",AD1032+AE1032+AF1032)</f>
        <v/>
      </c>
      <c r="AH1032" s="81">
        <f>IF(AN1032="","",P1032*(1-AG1032))</f>
        <v/>
      </c>
      <c r="AI1032" s="81">
        <f>IF(AN1032="","",IF(Q1032="Sin Factura",0,IFERROR(INDEX(Facturas_Odoo!$H:$H, MATCH(Q1032, Facturas_Odoo!$B:$B, 0)), 0)*(1-AG1032)))</f>
        <v/>
      </c>
      <c r="AJ1032" s="81">
        <f>IF(AN1032="","",_xlfn.LET(idVenta, AN1032&amp;"",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32" s="81">
        <f>IF(AN1032="","",AH1032-AJ1032)</f>
        <v/>
      </c>
      <c r="AL1032" s="81">
        <f>IF(AN1032="","",IF(Q1032="Sin Factura","",AI1032-AJ1032))</f>
        <v/>
      </c>
      <c r="AM1032" s="81">
        <f>IF(AN1032="","",IF(Q1032="Sin Factura",0,P1032-IFERROR(INDEX(Facturas_Odoo!$H:$H, MATCH(Q1032, Facturas_Odoo!$B:$B, 0)), 0)))</f>
        <v/>
      </c>
      <c r="AN1032" s="79">
        <f>IF(AND(A1032="", J1032=""), "", IF(A1032&lt;&gt;"", VALUE(MID(A1032,2,LEN(A1032))), AN1031))</f>
        <v/>
      </c>
      <c r="AO1032" s="79">
        <f>IF(AN1032="","",IF(AD1032=0,"OK",_xlfn.LET(monedaPago, IF(AA1032="","USD",AA1032), limitePermitido, IFERROR(VLOOKUP(monedaPago, Configuración!$A$2:$B$3, 2, FALSE), 0.15), IF(AD1032&gt;limitePermitido, "ALERTA: EXCESO (" &amp; TEXT(limitePermitido, "0%") &amp; " máx)", "OK"))))</f>
        <v/>
      </c>
      <c r="AP1032" s="79">
        <f>IF(AN1032="","",IF(AE1032=0,"OK",_xlfn.LET(fechaPago, Z1032, fechaFactura, R1032, diasCredito, IF(E1032="Pago inmediato", 0, IFERROR(VALUE(MID(E1032, 1, SEARCH(" ", E1032)-1)),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32" s="79">
        <f>IF(AN1032="","",IF(AND(N1032&gt;0, AG1032&gt;0), IF(Configuración!$K$2="NO", "ALERTA: DESCUENTO DOBLE NO PERMITIDO", "OK"), "OK"))</f>
        <v/>
      </c>
      <c r="AR1032" s="79">
        <f>IF(AN1032="","",IF(OR(AO1032&lt;&gt;"OK", AP1032&lt;&gt;"OK", AQ1032&lt;&gt;"OK"), "⚠️ REVISAR", "OK"))</f>
        <v/>
      </c>
    </row>
    <row r="1033">
      <c r="A1033" s="79">
        <f>IF('Ordenes_Odoo'!A1033="","",'Ordenes_Odoo'!A1033)</f>
        <v/>
      </c>
      <c r="B1033" s="80">
        <f>IF('Ordenes_Odoo'!B1033="","",'Ordenes_Odoo'!B1033)</f>
        <v/>
      </c>
      <c r="C1033" s="79">
        <f>IF('Ordenes_Odoo'!C1033="","",'Ordenes_Odoo'!C1033)</f>
        <v/>
      </c>
      <c r="D1033" s="79">
        <f>IF('Ordenes_Odoo'!D1033="","",'Ordenes_Odoo'!D1033)</f>
        <v/>
      </c>
      <c r="E1033" s="79">
        <f>IF('Ordenes_Odoo'!E1033="","",'Ordenes_Odoo'!E1033)</f>
        <v/>
      </c>
      <c r="F1033" s="79">
        <f>IF('Ordenes_Odoo'!F1033="","",'Ordenes_Odoo'!F1033)</f>
        <v/>
      </c>
      <c r="G1033" s="79">
        <f>IF('Ordenes_Odoo'!G1033="","",'Ordenes_Odoo'!G1033)</f>
        <v/>
      </c>
      <c r="H1033" s="79">
        <f>IF('Ordenes_Odoo'!H1033="","",'Ordenes_Odoo'!H1033)</f>
        <v/>
      </c>
      <c r="I1033" s="79">
        <f>IF('Ordenes_Odoo'!I1033="","",'Ordenes_Odoo'!I1033)</f>
        <v/>
      </c>
      <c r="J1033" s="79">
        <f>IF('Ordenes_Odoo'!J1033="","",'Ordenes_Odoo'!J1033)</f>
        <v/>
      </c>
      <c r="K1033" s="81">
        <f>IF('Ordenes_Odoo'!K1033="","",'Ordenes_Odoo'!K1033)</f>
        <v/>
      </c>
      <c r="L1033" s="81">
        <f>IF('Ordenes_Odoo'!L1033="","",'Ordenes_Odoo'!L1033)</f>
        <v/>
      </c>
      <c r="M1033" s="79">
        <f>IF('Ordenes_Odoo'!M1033="","",'Ordenes_Odoo'!M1033)</f>
        <v/>
      </c>
      <c r="N1033" s="79">
        <f>IF('Ordenes_Odoo'!N1033="","",'Ordenes_Odoo'!N1033)</f>
        <v/>
      </c>
      <c r="O1033" s="81">
        <f>IF('Ordenes_Odoo'!O1033="","",'Ordenes_Odoo'!O1033)</f>
        <v/>
      </c>
      <c r="P1033" s="81">
        <f>IF('Ordenes_Odoo'!P1033="","",'Ordenes_Odoo'!P1033)</f>
        <v/>
      </c>
      <c r="Q1033" s="79">
        <f>IF(A1033="","",IFERROR(INDEX(Facturas_Odoo!$B:$B, MATCH(A1033, Facturas_Odoo!$D:$D, 0)), "Sin Factura"))</f>
        <v/>
      </c>
      <c r="R1033" s="80">
        <f>IF(Q1033="Sin Factura","",IFERROR(INDEX(Facturas_Odoo!$A:$A, MATCH(Q1033, Facturas_Odoo!$B:$B, 0)), ""))</f>
        <v/>
      </c>
      <c r="S1033" s="79">
        <f>IF(Q1033="Sin Factura","",IFERROR(_xlfn.XLOOKUP(1, (Facturas_Odoo!$D:$D=A1033) * (Facturas_Odoo!$K:$K=I1033), Facturas_Odoo!$L:$L, ""), ""))</f>
        <v/>
      </c>
      <c r="T1033" s="81">
        <f>IF(Q1033="Sin Factura",0,IFERROR(_xlfn.XLOOKUP(1, (Facturas_Odoo!$D:$D=A1033) * (Facturas_Odoo!$K:$K=I1033), Facturas_Odoo!$M:$M, 0), 0))</f>
        <v/>
      </c>
      <c r="U1033" s="79">
        <f>IF(Q1033="Sin Factura",0,IFERROR(_xlfn.XLOOKUP(1, (Facturas_Odoo!$D:$D=A1033) * (Facturas_Odoo!$K:$K=I1033), Facturas_Odoo!$N:$N, 0), 0))</f>
        <v/>
      </c>
      <c r="V1033" s="79">
        <f>IF(Q1033="Sin Factura",0,IFERROR(_xlfn.XLOOKUP(1, (Facturas_Odoo!$D:$D=A1033) * (Facturas_Odoo!$K:$K=I1033), Facturas_Odoo!$O:$O, 0), 0))</f>
        <v/>
      </c>
      <c r="W1033" s="81">
        <f>IF(Q1033="Sin Factura",0,IFERROR(_xlfn.XLOOKUP(1, (Facturas_Odoo!$D:$D=A1033) * (Facturas_Odoo!$K:$K=I1033), Facturas_Odoo!$Q:$Q, 0), 0))</f>
        <v/>
      </c>
      <c r="X1033" s="79">
        <f>IF(OR(Q1033="Sin Factura",Q1033=""),"",IFERROR(INDEX(Pagos_Odoo!$B:$B, MATCH(Q1033, Pagos_Odoo!$I:$I, 0)), "Sin Pago"))</f>
        <v/>
      </c>
      <c r="Y1033" s="79">
        <f>IF(X1033="Sin Pago","",IFERROR(INDEX(Pagos_Odoo!$C:$C, MATCH(X1033, Pagos_Odoo!$B:$B, 0)), ""))</f>
        <v/>
      </c>
      <c r="Z1033" s="80">
        <f>IF(X1033="Sin Pago","",IFERROR(INDEX(Pagos_Odoo!$A:$A, MATCH(X1033, Pagos_Odoo!$B:$B, 0)), ""))</f>
        <v/>
      </c>
      <c r="AA1033" s="79">
        <f>IF(X1033="Sin Pago","",IFERROR(INDEX(Pagos_Odoo!$F:$F, MATCH(X1033, Pagos_Odoo!$B:$B, 0)), ""))</f>
        <v/>
      </c>
      <c r="AB1033" s="81">
        <f>IF(X1033="Sin Pago",0,IFERROR(INDEX(Pagos_Odoo!$E:$E, MATCH(X1033, Pagos_Odoo!$B:$B, 0)), 0))</f>
        <v/>
      </c>
      <c r="AC1033" s="79">
        <f>IF(X1033="Sin Pago","",IFERROR(INDEX(Pagos_Odoo!$G:$G, MATCH(X1033, Pagos_Odoo!$B:$B, 0)), ""))</f>
        <v/>
      </c>
      <c r="AD1033" s="82" t="n">
        <v>0</v>
      </c>
      <c r="AE1033" s="82" t="n"/>
      <c r="AF1033" s="82" t="n"/>
      <c r="AG1033" s="82">
        <f>IF(AN1033="","",AD1033+AE1033+AF1033)</f>
        <v/>
      </c>
      <c r="AH1033" s="81">
        <f>IF(AN1033="","",P1033*(1-AG1033))</f>
        <v/>
      </c>
      <c r="AI1033" s="81">
        <f>IF(AN1033="","",IF(Q1033="Sin Factura",0,IFERROR(INDEX(Facturas_Odoo!$H:$H, MATCH(Q1033, Facturas_Odoo!$B:$B, 0)), 0)*(1-AG1033)))</f>
        <v/>
      </c>
      <c r="AJ1033" s="81">
        <f>IF(AN1033="","",_xlfn.LET(idVenta, AN1033&amp;"",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33" s="81">
        <f>IF(AN1033="","",AH1033-AJ1033)</f>
        <v/>
      </c>
      <c r="AL1033" s="81">
        <f>IF(AN1033="","",IF(Q1033="Sin Factura","",AI1033-AJ1033))</f>
        <v/>
      </c>
      <c r="AM1033" s="81">
        <f>IF(AN1033="","",IF(Q1033="Sin Factura",0,P1033-IFERROR(INDEX(Facturas_Odoo!$H:$H, MATCH(Q1033, Facturas_Odoo!$B:$B, 0)), 0)))</f>
        <v/>
      </c>
      <c r="AN1033" s="79">
        <f>IF(AND(A1033="", J1033=""), "", IF(A1033&lt;&gt;"", VALUE(MID(A1033,2,LEN(A1033))), AN1032))</f>
        <v/>
      </c>
      <c r="AO1033" s="79">
        <f>IF(AN1033="","",IF(AD1033=0,"OK",_xlfn.LET(monedaPago, IF(AA1033="","USD",AA1033), limitePermitido, IFERROR(VLOOKUP(monedaPago, Configuración!$A$2:$B$3, 2, FALSE), 0.15), IF(AD1033&gt;limitePermitido, "ALERTA: EXCESO (" &amp; TEXT(limitePermitido, "0%") &amp; " máx)", "OK"))))</f>
        <v/>
      </c>
      <c r="AP1033" s="79">
        <f>IF(AN1033="","",IF(AE1033=0,"OK",_xlfn.LET(fechaPago, Z1033, fechaFactura, R1033, diasCredito, IF(E1033="Pago inmediato", 0, IFERROR(VALUE(MID(E1033, 1, SEARCH(" ", E1033)-1)),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33" s="79">
        <f>IF(AN1033="","",IF(AND(N1033&gt;0, AG1033&gt;0), IF(Configuración!$K$2="NO", "ALERTA: DESCUENTO DOBLE NO PERMITIDO", "OK"), "OK"))</f>
        <v/>
      </c>
      <c r="AR1033" s="79">
        <f>IF(AN1033="","",IF(OR(AO1033&lt;&gt;"OK", AP1033&lt;&gt;"OK", AQ1033&lt;&gt;"OK"), "⚠️ REVISAR", "OK"))</f>
        <v/>
      </c>
    </row>
    <row r="1034">
      <c r="A1034" s="79">
        <f>IF('Ordenes_Odoo'!A1034="","",'Ordenes_Odoo'!A1034)</f>
        <v/>
      </c>
      <c r="B1034" s="80">
        <f>IF('Ordenes_Odoo'!B1034="","",'Ordenes_Odoo'!B1034)</f>
        <v/>
      </c>
      <c r="C1034" s="79">
        <f>IF('Ordenes_Odoo'!C1034="","",'Ordenes_Odoo'!C1034)</f>
        <v/>
      </c>
      <c r="D1034" s="79">
        <f>IF('Ordenes_Odoo'!D1034="","",'Ordenes_Odoo'!D1034)</f>
        <v/>
      </c>
      <c r="E1034" s="79">
        <f>IF('Ordenes_Odoo'!E1034="","",'Ordenes_Odoo'!E1034)</f>
        <v/>
      </c>
      <c r="F1034" s="79">
        <f>IF('Ordenes_Odoo'!F1034="","",'Ordenes_Odoo'!F1034)</f>
        <v/>
      </c>
      <c r="G1034" s="79">
        <f>IF('Ordenes_Odoo'!G1034="","",'Ordenes_Odoo'!G1034)</f>
        <v/>
      </c>
      <c r="H1034" s="79">
        <f>IF('Ordenes_Odoo'!H1034="","",'Ordenes_Odoo'!H1034)</f>
        <v/>
      </c>
      <c r="I1034" s="79">
        <f>IF('Ordenes_Odoo'!I1034="","",'Ordenes_Odoo'!I1034)</f>
        <v/>
      </c>
      <c r="J1034" s="79">
        <f>IF('Ordenes_Odoo'!J1034="","",'Ordenes_Odoo'!J1034)</f>
        <v/>
      </c>
      <c r="K1034" s="81">
        <f>IF('Ordenes_Odoo'!K1034="","",'Ordenes_Odoo'!K1034)</f>
        <v/>
      </c>
      <c r="L1034" s="81">
        <f>IF('Ordenes_Odoo'!L1034="","",'Ordenes_Odoo'!L1034)</f>
        <v/>
      </c>
      <c r="M1034" s="79">
        <f>IF('Ordenes_Odoo'!M1034="","",'Ordenes_Odoo'!M1034)</f>
        <v/>
      </c>
      <c r="N1034" s="79">
        <f>IF('Ordenes_Odoo'!N1034="","",'Ordenes_Odoo'!N1034)</f>
        <v/>
      </c>
      <c r="O1034" s="81">
        <f>IF('Ordenes_Odoo'!O1034="","",'Ordenes_Odoo'!O1034)</f>
        <v/>
      </c>
      <c r="P1034" s="81">
        <f>IF('Ordenes_Odoo'!P1034="","",'Ordenes_Odoo'!P1034)</f>
        <v/>
      </c>
      <c r="Q1034" s="79">
        <f>IF(A1034="","",IFERROR(INDEX(Facturas_Odoo!$B:$B, MATCH(A1034, Facturas_Odoo!$D:$D, 0)), "Sin Factura"))</f>
        <v/>
      </c>
      <c r="R1034" s="80">
        <f>IF(Q1034="Sin Factura","",IFERROR(INDEX(Facturas_Odoo!$A:$A, MATCH(Q1034, Facturas_Odoo!$B:$B, 0)), ""))</f>
        <v/>
      </c>
      <c r="S1034" s="79">
        <f>IF(Q1034="Sin Factura","",IFERROR(_xlfn.XLOOKUP(1, (Facturas_Odoo!$D:$D=A1034) * (Facturas_Odoo!$K:$K=I1034), Facturas_Odoo!$L:$L, ""), ""))</f>
        <v/>
      </c>
      <c r="T1034" s="81">
        <f>IF(Q1034="Sin Factura",0,IFERROR(_xlfn.XLOOKUP(1, (Facturas_Odoo!$D:$D=A1034) * (Facturas_Odoo!$K:$K=I1034), Facturas_Odoo!$M:$M, 0), 0))</f>
        <v/>
      </c>
      <c r="U1034" s="79">
        <f>IF(Q1034="Sin Factura",0,IFERROR(_xlfn.XLOOKUP(1, (Facturas_Odoo!$D:$D=A1034) * (Facturas_Odoo!$K:$K=I1034), Facturas_Odoo!$N:$N, 0), 0))</f>
        <v/>
      </c>
      <c r="V1034" s="79">
        <f>IF(Q1034="Sin Factura",0,IFERROR(_xlfn.XLOOKUP(1, (Facturas_Odoo!$D:$D=A1034) * (Facturas_Odoo!$K:$K=I1034), Facturas_Odoo!$O:$O, 0), 0))</f>
        <v/>
      </c>
      <c r="W1034" s="81">
        <f>IF(Q1034="Sin Factura",0,IFERROR(_xlfn.XLOOKUP(1, (Facturas_Odoo!$D:$D=A1034) * (Facturas_Odoo!$K:$K=I1034), Facturas_Odoo!$Q:$Q, 0), 0))</f>
        <v/>
      </c>
      <c r="X1034" s="79">
        <f>IF(OR(Q1034="Sin Factura",Q1034=""),"",IFERROR(INDEX(Pagos_Odoo!$B:$B, MATCH(Q1034, Pagos_Odoo!$I:$I, 0)), "Sin Pago"))</f>
        <v/>
      </c>
      <c r="Y1034" s="79">
        <f>IF(X1034="Sin Pago","",IFERROR(INDEX(Pagos_Odoo!$C:$C, MATCH(X1034, Pagos_Odoo!$B:$B, 0)), ""))</f>
        <v/>
      </c>
      <c r="Z1034" s="80">
        <f>IF(X1034="Sin Pago","",IFERROR(INDEX(Pagos_Odoo!$A:$A, MATCH(X1034, Pagos_Odoo!$B:$B, 0)), ""))</f>
        <v/>
      </c>
      <c r="AA1034" s="79">
        <f>IF(X1034="Sin Pago","",IFERROR(INDEX(Pagos_Odoo!$F:$F, MATCH(X1034, Pagos_Odoo!$B:$B, 0)), ""))</f>
        <v/>
      </c>
      <c r="AB1034" s="81">
        <f>IF(X1034="Sin Pago",0,IFERROR(INDEX(Pagos_Odoo!$E:$E, MATCH(X1034, Pagos_Odoo!$B:$B, 0)), 0))</f>
        <v/>
      </c>
      <c r="AC1034" s="79">
        <f>IF(X1034="Sin Pago","",IFERROR(INDEX(Pagos_Odoo!$G:$G, MATCH(X1034, Pagos_Odoo!$B:$B, 0)), ""))</f>
        <v/>
      </c>
      <c r="AD1034" s="82" t="n">
        <v>0</v>
      </c>
      <c r="AE1034" s="82" t="n"/>
      <c r="AF1034" s="82" t="n"/>
      <c r="AG1034" s="82">
        <f>IF(AN1034="","",AD1034+AE1034+AF1034)</f>
        <v/>
      </c>
      <c r="AH1034" s="81">
        <f>IF(AN1034="","",P1034*(1-AG1034))</f>
        <v/>
      </c>
      <c r="AI1034" s="81">
        <f>IF(AN1034="","",IF(Q1034="Sin Factura",0,IFERROR(INDEX(Facturas_Odoo!$H:$H, MATCH(Q1034, Facturas_Odoo!$B:$B, 0)), 0)*(1-AG1034)))</f>
        <v/>
      </c>
      <c r="AJ1034" s="81">
        <f>IF(AN1034="","",_xlfn.LET(idVenta, AN1034&amp;"",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34" s="81">
        <f>IF(AN1034="","",AH1034-AJ1034)</f>
        <v/>
      </c>
      <c r="AL1034" s="81">
        <f>IF(AN1034="","",IF(Q1034="Sin Factura","",AI1034-AJ1034))</f>
        <v/>
      </c>
      <c r="AM1034" s="81">
        <f>IF(AN1034="","",IF(Q1034="Sin Factura",0,P1034-IFERROR(INDEX(Facturas_Odoo!$H:$H, MATCH(Q1034, Facturas_Odoo!$B:$B, 0)), 0)))</f>
        <v/>
      </c>
      <c r="AN1034" s="79">
        <f>IF(AND(A1034="", J1034=""), "", IF(A1034&lt;&gt;"", VALUE(MID(A1034,2,LEN(A1034))), AN1033))</f>
        <v/>
      </c>
      <c r="AO1034" s="79">
        <f>IF(AN1034="","",IF(AD1034=0,"OK",_xlfn.LET(monedaPago, IF(AA1034="","USD",AA1034), limitePermitido, IFERROR(VLOOKUP(monedaPago, Configuración!$A$2:$B$3, 2, FALSE), 0.15), IF(AD1034&gt;limitePermitido, "ALERTA: EXCESO (" &amp; TEXT(limitePermitido, "0%") &amp; " máx)", "OK"))))</f>
        <v/>
      </c>
      <c r="AP1034" s="79">
        <f>IF(AN1034="","",IF(AE1034=0,"OK",_xlfn.LET(fechaPago, Z1034, fechaFactura, R1034, diasCredito, IF(E1034="Pago inmediato", 0, IFERROR(VALUE(MID(E1034, 1, SEARCH(" ", E1034)-1)),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34" s="79">
        <f>IF(AN1034="","",IF(AND(N1034&gt;0, AG1034&gt;0), IF(Configuración!$K$2="NO", "ALERTA: DESCUENTO DOBLE NO PERMITIDO", "OK"), "OK"))</f>
        <v/>
      </c>
      <c r="AR1034" s="79">
        <f>IF(AN1034="","",IF(OR(AO1034&lt;&gt;"OK", AP1034&lt;&gt;"OK", AQ1034&lt;&gt;"OK"), "⚠️ REVISAR", "OK"))</f>
        <v/>
      </c>
    </row>
    <row r="1035">
      <c r="A1035" s="79">
        <f>IF('Ordenes_Odoo'!A1035="","",'Ordenes_Odoo'!A1035)</f>
        <v/>
      </c>
      <c r="B1035" s="80">
        <f>IF('Ordenes_Odoo'!B1035="","",'Ordenes_Odoo'!B1035)</f>
        <v/>
      </c>
      <c r="C1035" s="79">
        <f>IF('Ordenes_Odoo'!C1035="","",'Ordenes_Odoo'!C1035)</f>
        <v/>
      </c>
      <c r="D1035" s="79">
        <f>IF('Ordenes_Odoo'!D1035="","",'Ordenes_Odoo'!D1035)</f>
        <v/>
      </c>
      <c r="E1035" s="79">
        <f>IF('Ordenes_Odoo'!E1035="","",'Ordenes_Odoo'!E1035)</f>
        <v/>
      </c>
      <c r="F1035" s="79">
        <f>IF('Ordenes_Odoo'!F1035="","",'Ordenes_Odoo'!F1035)</f>
        <v/>
      </c>
      <c r="G1035" s="79">
        <f>IF('Ordenes_Odoo'!G1035="","",'Ordenes_Odoo'!G1035)</f>
        <v/>
      </c>
      <c r="H1035" s="79">
        <f>IF('Ordenes_Odoo'!H1035="","",'Ordenes_Odoo'!H1035)</f>
        <v/>
      </c>
      <c r="I1035" s="79">
        <f>IF('Ordenes_Odoo'!I1035="","",'Ordenes_Odoo'!I1035)</f>
        <v/>
      </c>
      <c r="J1035" s="79">
        <f>IF('Ordenes_Odoo'!J1035="","",'Ordenes_Odoo'!J1035)</f>
        <v/>
      </c>
      <c r="K1035" s="81">
        <f>IF('Ordenes_Odoo'!K1035="","",'Ordenes_Odoo'!K1035)</f>
        <v/>
      </c>
      <c r="L1035" s="81">
        <f>IF('Ordenes_Odoo'!L1035="","",'Ordenes_Odoo'!L1035)</f>
        <v/>
      </c>
      <c r="M1035" s="79">
        <f>IF('Ordenes_Odoo'!M1035="","",'Ordenes_Odoo'!M1035)</f>
        <v/>
      </c>
      <c r="N1035" s="79">
        <f>IF('Ordenes_Odoo'!N1035="","",'Ordenes_Odoo'!N1035)</f>
        <v/>
      </c>
      <c r="O1035" s="81">
        <f>IF('Ordenes_Odoo'!O1035="","",'Ordenes_Odoo'!O1035)</f>
        <v/>
      </c>
      <c r="P1035" s="81">
        <f>IF('Ordenes_Odoo'!P1035="","",'Ordenes_Odoo'!P1035)</f>
        <v/>
      </c>
      <c r="Q1035" s="79">
        <f>IF(A1035="","",IFERROR(INDEX(Facturas_Odoo!$B:$B, MATCH(A1035, Facturas_Odoo!$D:$D, 0)), "Sin Factura"))</f>
        <v/>
      </c>
      <c r="R1035" s="80">
        <f>IF(Q1035="Sin Factura","",IFERROR(INDEX(Facturas_Odoo!$A:$A, MATCH(Q1035, Facturas_Odoo!$B:$B, 0)), ""))</f>
        <v/>
      </c>
      <c r="S1035" s="79">
        <f>IF(Q1035="Sin Factura","",IFERROR(_xlfn.XLOOKUP(1, (Facturas_Odoo!$D:$D=A1035) * (Facturas_Odoo!$K:$K=I1035), Facturas_Odoo!$L:$L, ""), ""))</f>
        <v/>
      </c>
      <c r="T1035" s="81">
        <f>IF(Q1035="Sin Factura",0,IFERROR(_xlfn.XLOOKUP(1, (Facturas_Odoo!$D:$D=A1035) * (Facturas_Odoo!$K:$K=I1035), Facturas_Odoo!$M:$M, 0), 0))</f>
        <v/>
      </c>
      <c r="U1035" s="79">
        <f>IF(Q1035="Sin Factura",0,IFERROR(_xlfn.XLOOKUP(1, (Facturas_Odoo!$D:$D=A1035) * (Facturas_Odoo!$K:$K=I1035), Facturas_Odoo!$N:$N, 0), 0))</f>
        <v/>
      </c>
      <c r="V1035" s="79">
        <f>IF(Q1035="Sin Factura",0,IFERROR(_xlfn.XLOOKUP(1, (Facturas_Odoo!$D:$D=A1035) * (Facturas_Odoo!$K:$K=I1035), Facturas_Odoo!$O:$O, 0), 0))</f>
        <v/>
      </c>
      <c r="W1035" s="81">
        <f>IF(Q1035="Sin Factura",0,IFERROR(_xlfn.XLOOKUP(1, (Facturas_Odoo!$D:$D=A1035) * (Facturas_Odoo!$K:$K=I1035), Facturas_Odoo!$Q:$Q, 0), 0))</f>
        <v/>
      </c>
      <c r="X1035" s="79">
        <f>IF(OR(Q1035="Sin Factura",Q1035=""),"",IFERROR(INDEX(Pagos_Odoo!$B:$B, MATCH(Q1035, Pagos_Odoo!$I:$I, 0)), "Sin Pago"))</f>
        <v/>
      </c>
      <c r="Y1035" s="79">
        <f>IF(X1035="Sin Pago","",IFERROR(INDEX(Pagos_Odoo!$C:$C, MATCH(X1035, Pagos_Odoo!$B:$B, 0)), ""))</f>
        <v/>
      </c>
      <c r="Z1035" s="80">
        <f>IF(X1035="Sin Pago","",IFERROR(INDEX(Pagos_Odoo!$A:$A, MATCH(X1035, Pagos_Odoo!$B:$B, 0)), ""))</f>
        <v/>
      </c>
      <c r="AA1035" s="79">
        <f>IF(X1035="Sin Pago","",IFERROR(INDEX(Pagos_Odoo!$F:$F, MATCH(X1035, Pagos_Odoo!$B:$B, 0)), ""))</f>
        <v/>
      </c>
      <c r="AB1035" s="81">
        <f>IF(X1035="Sin Pago",0,IFERROR(INDEX(Pagos_Odoo!$E:$E, MATCH(X1035, Pagos_Odoo!$B:$B, 0)), 0))</f>
        <v/>
      </c>
      <c r="AC1035" s="79">
        <f>IF(X1035="Sin Pago","",IFERROR(INDEX(Pagos_Odoo!$G:$G, MATCH(X1035, Pagos_Odoo!$B:$B, 0)), ""))</f>
        <v/>
      </c>
      <c r="AD1035" s="82" t="n">
        <v>0</v>
      </c>
      <c r="AE1035" s="82" t="n"/>
      <c r="AF1035" s="82" t="n"/>
      <c r="AG1035" s="82">
        <f>IF(AN1035="","",AD1035+AE1035+AF1035)</f>
        <v/>
      </c>
      <c r="AH1035" s="81">
        <f>IF(AN1035="","",P1035*(1-AG1035))</f>
        <v/>
      </c>
      <c r="AI1035" s="81">
        <f>IF(AN1035="","",IF(Q1035="Sin Factura",0,IFERROR(INDEX(Facturas_Odoo!$H:$H, MATCH(Q1035, Facturas_Odoo!$B:$B, 0)), 0)*(1-AG1035)))</f>
        <v/>
      </c>
      <c r="AJ1035" s="81">
        <f>IF(AN1035="","",_xlfn.LET(idVenta, AN1035&amp;"",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35" s="81">
        <f>IF(AN1035="","",AH1035-AJ1035)</f>
        <v/>
      </c>
      <c r="AL1035" s="81">
        <f>IF(AN1035="","",IF(Q1035="Sin Factura","",AI1035-AJ1035))</f>
        <v/>
      </c>
      <c r="AM1035" s="81">
        <f>IF(AN1035="","",IF(Q1035="Sin Factura",0,P1035-IFERROR(INDEX(Facturas_Odoo!$H:$H, MATCH(Q1035, Facturas_Odoo!$B:$B, 0)), 0)))</f>
        <v/>
      </c>
      <c r="AN1035" s="79">
        <f>IF(AND(A1035="", J1035=""), "", IF(A1035&lt;&gt;"", VALUE(MID(A1035,2,LEN(A1035))), AN1034))</f>
        <v/>
      </c>
      <c r="AO1035" s="79">
        <f>IF(AN1035="","",IF(AD1035=0,"OK",_xlfn.LET(monedaPago, IF(AA1035="","USD",AA1035), limitePermitido, IFERROR(VLOOKUP(monedaPago, Configuración!$A$2:$B$3, 2, FALSE), 0.15), IF(AD1035&gt;limitePermitido, "ALERTA: EXCESO (" &amp; TEXT(limitePermitido, "0%") &amp; " máx)", "OK"))))</f>
        <v/>
      </c>
      <c r="AP1035" s="79">
        <f>IF(AN1035="","",IF(AE1035=0,"OK",_xlfn.LET(fechaPago, Z1035, fechaFactura, R1035, diasCredito, IF(E1035="Pago inmediato", 0, IFERROR(VALUE(MID(E1035, 1, SEARCH(" ", E1035)-1)),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35" s="79">
        <f>IF(AN1035="","",IF(AND(N1035&gt;0, AG1035&gt;0), IF(Configuración!$K$2="NO", "ALERTA: DESCUENTO DOBLE NO PERMITIDO", "OK"), "OK"))</f>
        <v/>
      </c>
      <c r="AR1035" s="79">
        <f>IF(AN1035="","",IF(OR(AO1035&lt;&gt;"OK", AP1035&lt;&gt;"OK", AQ1035&lt;&gt;"OK"), "⚠️ REVISAR", "OK"))</f>
        <v/>
      </c>
    </row>
    <row r="1036">
      <c r="A1036" s="79">
        <f>IF('Ordenes_Odoo'!A1036="","",'Ordenes_Odoo'!A1036)</f>
        <v/>
      </c>
      <c r="B1036" s="80">
        <f>IF('Ordenes_Odoo'!B1036="","",'Ordenes_Odoo'!B1036)</f>
        <v/>
      </c>
      <c r="C1036" s="79">
        <f>IF('Ordenes_Odoo'!C1036="","",'Ordenes_Odoo'!C1036)</f>
        <v/>
      </c>
      <c r="D1036" s="79">
        <f>IF('Ordenes_Odoo'!D1036="","",'Ordenes_Odoo'!D1036)</f>
        <v/>
      </c>
      <c r="E1036" s="79">
        <f>IF('Ordenes_Odoo'!E1036="","",'Ordenes_Odoo'!E1036)</f>
        <v/>
      </c>
      <c r="F1036" s="79">
        <f>IF('Ordenes_Odoo'!F1036="","",'Ordenes_Odoo'!F1036)</f>
        <v/>
      </c>
      <c r="G1036" s="79">
        <f>IF('Ordenes_Odoo'!G1036="","",'Ordenes_Odoo'!G1036)</f>
        <v/>
      </c>
      <c r="H1036" s="79">
        <f>IF('Ordenes_Odoo'!H1036="","",'Ordenes_Odoo'!H1036)</f>
        <v/>
      </c>
      <c r="I1036" s="79">
        <f>IF('Ordenes_Odoo'!I1036="","",'Ordenes_Odoo'!I1036)</f>
        <v/>
      </c>
      <c r="J1036" s="79">
        <f>IF('Ordenes_Odoo'!J1036="","",'Ordenes_Odoo'!J1036)</f>
        <v/>
      </c>
      <c r="K1036" s="81">
        <f>IF('Ordenes_Odoo'!K1036="","",'Ordenes_Odoo'!K1036)</f>
        <v/>
      </c>
      <c r="L1036" s="81">
        <f>IF('Ordenes_Odoo'!L1036="","",'Ordenes_Odoo'!L1036)</f>
        <v/>
      </c>
      <c r="M1036" s="79">
        <f>IF('Ordenes_Odoo'!M1036="","",'Ordenes_Odoo'!M1036)</f>
        <v/>
      </c>
      <c r="N1036" s="79">
        <f>IF('Ordenes_Odoo'!N1036="","",'Ordenes_Odoo'!N1036)</f>
        <v/>
      </c>
      <c r="O1036" s="81">
        <f>IF('Ordenes_Odoo'!O1036="","",'Ordenes_Odoo'!O1036)</f>
        <v/>
      </c>
      <c r="P1036" s="81">
        <f>IF('Ordenes_Odoo'!P1036="","",'Ordenes_Odoo'!P1036)</f>
        <v/>
      </c>
      <c r="Q1036" s="79">
        <f>IF(A1036="","",IFERROR(INDEX(Facturas_Odoo!$B:$B, MATCH(A1036, Facturas_Odoo!$D:$D, 0)), "Sin Factura"))</f>
        <v/>
      </c>
      <c r="R1036" s="80">
        <f>IF(Q1036="Sin Factura","",IFERROR(INDEX(Facturas_Odoo!$A:$A, MATCH(Q1036, Facturas_Odoo!$B:$B, 0)), ""))</f>
        <v/>
      </c>
      <c r="S1036" s="79">
        <f>IF(Q1036="Sin Factura","",IFERROR(_xlfn.XLOOKUP(1, (Facturas_Odoo!$D:$D=A1036) * (Facturas_Odoo!$K:$K=I1036), Facturas_Odoo!$L:$L, ""), ""))</f>
        <v/>
      </c>
      <c r="T1036" s="81">
        <f>IF(Q1036="Sin Factura",0,IFERROR(_xlfn.XLOOKUP(1, (Facturas_Odoo!$D:$D=A1036) * (Facturas_Odoo!$K:$K=I1036), Facturas_Odoo!$M:$M, 0), 0))</f>
        <v/>
      </c>
      <c r="U1036" s="79">
        <f>IF(Q1036="Sin Factura",0,IFERROR(_xlfn.XLOOKUP(1, (Facturas_Odoo!$D:$D=A1036) * (Facturas_Odoo!$K:$K=I1036), Facturas_Odoo!$N:$N, 0), 0))</f>
        <v/>
      </c>
      <c r="V1036" s="79">
        <f>IF(Q1036="Sin Factura",0,IFERROR(_xlfn.XLOOKUP(1, (Facturas_Odoo!$D:$D=A1036) * (Facturas_Odoo!$K:$K=I1036), Facturas_Odoo!$O:$O, 0), 0))</f>
        <v/>
      </c>
      <c r="W1036" s="81">
        <f>IF(Q1036="Sin Factura",0,IFERROR(_xlfn.XLOOKUP(1, (Facturas_Odoo!$D:$D=A1036) * (Facturas_Odoo!$K:$K=I1036), Facturas_Odoo!$Q:$Q, 0), 0))</f>
        <v/>
      </c>
      <c r="X1036" s="79">
        <f>IF(OR(Q1036="Sin Factura",Q1036=""),"",IFERROR(INDEX(Pagos_Odoo!$B:$B, MATCH(Q1036, Pagos_Odoo!$I:$I, 0)), "Sin Pago"))</f>
        <v/>
      </c>
      <c r="Y1036" s="79">
        <f>IF(X1036="Sin Pago","",IFERROR(INDEX(Pagos_Odoo!$C:$C, MATCH(X1036, Pagos_Odoo!$B:$B, 0)), ""))</f>
        <v/>
      </c>
      <c r="Z1036" s="80">
        <f>IF(X1036="Sin Pago","",IFERROR(INDEX(Pagos_Odoo!$A:$A, MATCH(X1036, Pagos_Odoo!$B:$B, 0)), ""))</f>
        <v/>
      </c>
      <c r="AA1036" s="79">
        <f>IF(X1036="Sin Pago","",IFERROR(INDEX(Pagos_Odoo!$F:$F, MATCH(X1036, Pagos_Odoo!$B:$B, 0)), ""))</f>
        <v/>
      </c>
      <c r="AB1036" s="81">
        <f>IF(X1036="Sin Pago",0,IFERROR(INDEX(Pagos_Odoo!$E:$E, MATCH(X1036, Pagos_Odoo!$B:$B, 0)), 0))</f>
        <v/>
      </c>
      <c r="AC1036" s="79">
        <f>IF(X1036="Sin Pago","",IFERROR(INDEX(Pagos_Odoo!$G:$G, MATCH(X1036, Pagos_Odoo!$B:$B, 0)), ""))</f>
        <v/>
      </c>
      <c r="AD1036" s="82" t="n">
        <v>0</v>
      </c>
      <c r="AE1036" s="82" t="n"/>
      <c r="AF1036" s="82" t="n"/>
      <c r="AG1036" s="82">
        <f>IF(AN1036="","",AD1036+AE1036+AF1036)</f>
        <v/>
      </c>
      <c r="AH1036" s="81">
        <f>IF(AN1036="","",P1036*(1-AG1036))</f>
        <v/>
      </c>
      <c r="AI1036" s="81">
        <f>IF(AN1036="","",IF(Q1036="Sin Factura",0,IFERROR(INDEX(Facturas_Odoo!$H:$H, MATCH(Q1036, Facturas_Odoo!$B:$B, 0)), 0)*(1-AG1036)))</f>
        <v/>
      </c>
      <c r="AJ1036" s="81">
        <f>IF(AN1036="","",_xlfn.LET(idVenta, AN1036&amp;"",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36" s="81">
        <f>IF(AN1036="","",AH1036-AJ1036)</f>
        <v/>
      </c>
      <c r="AL1036" s="81">
        <f>IF(AN1036="","",IF(Q1036="Sin Factura","",AI1036-AJ1036))</f>
        <v/>
      </c>
      <c r="AM1036" s="81">
        <f>IF(AN1036="","",IF(Q1036="Sin Factura",0,P1036-IFERROR(INDEX(Facturas_Odoo!$H:$H, MATCH(Q1036, Facturas_Odoo!$B:$B, 0)), 0)))</f>
        <v/>
      </c>
      <c r="AN1036" s="79">
        <f>IF(AND(A1036="", J1036=""), "", IF(A1036&lt;&gt;"", VALUE(MID(A1036,2,LEN(A1036))), AN1035))</f>
        <v/>
      </c>
      <c r="AO1036" s="79">
        <f>IF(AN1036="","",IF(AD1036=0,"OK",_xlfn.LET(monedaPago, IF(AA1036="","USD",AA1036), limitePermitido, IFERROR(VLOOKUP(monedaPago, Configuración!$A$2:$B$3, 2, FALSE), 0.15), IF(AD1036&gt;limitePermitido, "ALERTA: EXCESO (" &amp; TEXT(limitePermitido, "0%") &amp; " máx)", "OK"))))</f>
        <v/>
      </c>
      <c r="AP1036" s="79">
        <f>IF(AN1036="","",IF(AE1036=0,"OK",_xlfn.LET(fechaPago, Z1036, fechaFactura, R1036, diasCredito, IF(E1036="Pago inmediato", 0, IFERROR(VALUE(MID(E1036, 1, SEARCH(" ", E1036)-1)),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36" s="79">
        <f>IF(AN1036="","",IF(AND(N1036&gt;0, AG1036&gt;0), IF(Configuración!$K$2="NO", "ALERTA: DESCUENTO DOBLE NO PERMITIDO", "OK"), "OK"))</f>
        <v/>
      </c>
      <c r="AR1036" s="79">
        <f>IF(AN1036="","",IF(OR(AO1036&lt;&gt;"OK", AP1036&lt;&gt;"OK", AQ1036&lt;&gt;"OK"), "⚠️ REVISAR", "OK"))</f>
        <v/>
      </c>
    </row>
    <row r="1037">
      <c r="A1037" s="79">
        <f>IF('Ordenes_Odoo'!A1037="","",'Ordenes_Odoo'!A1037)</f>
        <v/>
      </c>
      <c r="B1037" s="80">
        <f>IF('Ordenes_Odoo'!B1037="","",'Ordenes_Odoo'!B1037)</f>
        <v/>
      </c>
      <c r="C1037" s="79">
        <f>IF('Ordenes_Odoo'!C1037="","",'Ordenes_Odoo'!C1037)</f>
        <v/>
      </c>
      <c r="D1037" s="79">
        <f>IF('Ordenes_Odoo'!D1037="","",'Ordenes_Odoo'!D1037)</f>
        <v/>
      </c>
      <c r="E1037" s="79">
        <f>IF('Ordenes_Odoo'!E1037="","",'Ordenes_Odoo'!E1037)</f>
        <v/>
      </c>
      <c r="F1037" s="79">
        <f>IF('Ordenes_Odoo'!F1037="","",'Ordenes_Odoo'!F1037)</f>
        <v/>
      </c>
      <c r="G1037" s="79">
        <f>IF('Ordenes_Odoo'!G1037="","",'Ordenes_Odoo'!G1037)</f>
        <v/>
      </c>
      <c r="H1037" s="79">
        <f>IF('Ordenes_Odoo'!H1037="","",'Ordenes_Odoo'!H1037)</f>
        <v/>
      </c>
      <c r="I1037" s="79">
        <f>IF('Ordenes_Odoo'!I1037="","",'Ordenes_Odoo'!I1037)</f>
        <v/>
      </c>
      <c r="J1037" s="79">
        <f>IF('Ordenes_Odoo'!J1037="","",'Ordenes_Odoo'!J1037)</f>
        <v/>
      </c>
      <c r="K1037" s="81">
        <f>IF('Ordenes_Odoo'!K1037="","",'Ordenes_Odoo'!K1037)</f>
        <v/>
      </c>
      <c r="L1037" s="81">
        <f>IF('Ordenes_Odoo'!L1037="","",'Ordenes_Odoo'!L1037)</f>
        <v/>
      </c>
      <c r="M1037" s="79">
        <f>IF('Ordenes_Odoo'!M1037="","",'Ordenes_Odoo'!M1037)</f>
        <v/>
      </c>
      <c r="N1037" s="79">
        <f>IF('Ordenes_Odoo'!N1037="","",'Ordenes_Odoo'!N1037)</f>
        <v/>
      </c>
      <c r="O1037" s="81">
        <f>IF('Ordenes_Odoo'!O1037="","",'Ordenes_Odoo'!O1037)</f>
        <v/>
      </c>
      <c r="P1037" s="81">
        <f>IF('Ordenes_Odoo'!P1037="","",'Ordenes_Odoo'!P1037)</f>
        <v/>
      </c>
      <c r="Q1037" s="79">
        <f>IF(A1037="","",IFERROR(INDEX(Facturas_Odoo!$B:$B, MATCH(A1037, Facturas_Odoo!$D:$D, 0)), "Sin Factura"))</f>
        <v/>
      </c>
      <c r="R1037" s="80">
        <f>IF(Q1037="Sin Factura","",IFERROR(INDEX(Facturas_Odoo!$A:$A, MATCH(Q1037, Facturas_Odoo!$B:$B, 0)), ""))</f>
        <v/>
      </c>
      <c r="S1037" s="79">
        <f>IF(Q1037="Sin Factura","",IFERROR(_xlfn.XLOOKUP(1, (Facturas_Odoo!$D:$D=A1037) * (Facturas_Odoo!$K:$K=I1037), Facturas_Odoo!$L:$L, ""), ""))</f>
        <v/>
      </c>
      <c r="T1037" s="81">
        <f>IF(Q1037="Sin Factura",0,IFERROR(_xlfn.XLOOKUP(1, (Facturas_Odoo!$D:$D=A1037) * (Facturas_Odoo!$K:$K=I1037), Facturas_Odoo!$M:$M, 0), 0))</f>
        <v/>
      </c>
      <c r="U1037" s="79">
        <f>IF(Q1037="Sin Factura",0,IFERROR(_xlfn.XLOOKUP(1, (Facturas_Odoo!$D:$D=A1037) * (Facturas_Odoo!$K:$K=I1037), Facturas_Odoo!$N:$N, 0), 0))</f>
        <v/>
      </c>
      <c r="V1037" s="79">
        <f>IF(Q1037="Sin Factura",0,IFERROR(_xlfn.XLOOKUP(1, (Facturas_Odoo!$D:$D=A1037) * (Facturas_Odoo!$K:$K=I1037), Facturas_Odoo!$O:$O, 0), 0))</f>
        <v/>
      </c>
      <c r="W1037" s="81">
        <f>IF(Q1037="Sin Factura",0,IFERROR(_xlfn.XLOOKUP(1, (Facturas_Odoo!$D:$D=A1037) * (Facturas_Odoo!$K:$K=I1037), Facturas_Odoo!$Q:$Q, 0), 0))</f>
        <v/>
      </c>
      <c r="X1037" s="79">
        <f>IF(OR(Q1037="Sin Factura",Q1037=""),"",IFERROR(INDEX(Pagos_Odoo!$B:$B, MATCH(Q1037, Pagos_Odoo!$I:$I, 0)), "Sin Pago"))</f>
        <v/>
      </c>
      <c r="Y1037" s="79">
        <f>IF(X1037="Sin Pago","",IFERROR(INDEX(Pagos_Odoo!$C:$C, MATCH(X1037, Pagos_Odoo!$B:$B, 0)), ""))</f>
        <v/>
      </c>
      <c r="Z1037" s="80">
        <f>IF(X1037="Sin Pago","",IFERROR(INDEX(Pagos_Odoo!$A:$A, MATCH(X1037, Pagos_Odoo!$B:$B, 0)), ""))</f>
        <v/>
      </c>
      <c r="AA1037" s="79">
        <f>IF(X1037="Sin Pago","",IFERROR(INDEX(Pagos_Odoo!$F:$F, MATCH(X1037, Pagos_Odoo!$B:$B, 0)), ""))</f>
        <v/>
      </c>
      <c r="AB1037" s="81">
        <f>IF(X1037="Sin Pago",0,IFERROR(INDEX(Pagos_Odoo!$E:$E, MATCH(X1037, Pagos_Odoo!$B:$B, 0)), 0))</f>
        <v/>
      </c>
      <c r="AC1037" s="79">
        <f>IF(X1037="Sin Pago","",IFERROR(INDEX(Pagos_Odoo!$G:$G, MATCH(X1037, Pagos_Odoo!$B:$B, 0)), ""))</f>
        <v/>
      </c>
      <c r="AD1037" s="82" t="n">
        <v>0</v>
      </c>
      <c r="AE1037" s="82" t="n"/>
      <c r="AF1037" s="82" t="n"/>
      <c r="AG1037" s="82">
        <f>IF(AN1037="","",AD1037+AE1037+AF1037)</f>
        <v/>
      </c>
      <c r="AH1037" s="81">
        <f>IF(AN1037="","",P1037*(1-AG1037))</f>
        <v/>
      </c>
      <c r="AI1037" s="81">
        <f>IF(AN1037="","",IF(Q1037="Sin Factura",0,IFERROR(INDEX(Facturas_Odoo!$H:$H, MATCH(Q1037, Facturas_Odoo!$B:$B, 0)), 0)*(1-AG1037)))</f>
        <v/>
      </c>
      <c r="AJ1037" s="81">
        <f>IF(AN1037="","",_xlfn.LET(idVenta, AN1037&amp;"",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37" s="81">
        <f>IF(AN1037="","",AH1037-AJ1037)</f>
        <v/>
      </c>
      <c r="AL1037" s="81">
        <f>IF(AN1037="","",IF(Q1037="Sin Factura","",AI1037-AJ1037))</f>
        <v/>
      </c>
      <c r="AM1037" s="81">
        <f>IF(AN1037="","",IF(Q1037="Sin Factura",0,P1037-IFERROR(INDEX(Facturas_Odoo!$H:$H, MATCH(Q1037, Facturas_Odoo!$B:$B, 0)), 0)))</f>
        <v/>
      </c>
      <c r="AN1037" s="79">
        <f>IF(AND(A1037="", J1037=""), "", IF(A1037&lt;&gt;"", VALUE(MID(A1037,2,LEN(A1037))), AN1036))</f>
        <v/>
      </c>
      <c r="AO1037" s="79">
        <f>IF(AN1037="","",IF(AD1037=0,"OK",_xlfn.LET(monedaPago, IF(AA1037="","USD",AA1037), limitePermitido, IFERROR(VLOOKUP(monedaPago, Configuración!$A$2:$B$3, 2, FALSE), 0.15), IF(AD1037&gt;limitePermitido, "ALERTA: EXCESO (" &amp; TEXT(limitePermitido, "0%") &amp; " máx)", "OK"))))</f>
        <v/>
      </c>
      <c r="AP1037" s="79">
        <f>IF(AN1037="","",IF(AE1037=0,"OK",_xlfn.LET(fechaPago, Z1037, fechaFactura, R1037, diasCredito, IF(E1037="Pago inmediato", 0, IFERROR(VALUE(MID(E1037, 1, SEARCH(" ", E1037)-1)),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37" s="79">
        <f>IF(AN1037="","",IF(AND(N1037&gt;0, AG1037&gt;0), IF(Configuración!$K$2="NO", "ALERTA: DESCUENTO DOBLE NO PERMITIDO", "OK"), "OK"))</f>
        <v/>
      </c>
      <c r="AR1037" s="79">
        <f>IF(AN1037="","",IF(OR(AO1037&lt;&gt;"OK", AP1037&lt;&gt;"OK", AQ1037&lt;&gt;"OK"), "⚠️ REVISAR", "OK"))</f>
        <v/>
      </c>
    </row>
    <row r="1038">
      <c r="A1038" s="79">
        <f>IF('Ordenes_Odoo'!A1038="","",'Ordenes_Odoo'!A1038)</f>
        <v/>
      </c>
      <c r="B1038" s="80">
        <f>IF('Ordenes_Odoo'!B1038="","",'Ordenes_Odoo'!B1038)</f>
        <v/>
      </c>
      <c r="C1038" s="79">
        <f>IF('Ordenes_Odoo'!C1038="","",'Ordenes_Odoo'!C1038)</f>
        <v/>
      </c>
      <c r="D1038" s="79">
        <f>IF('Ordenes_Odoo'!D1038="","",'Ordenes_Odoo'!D1038)</f>
        <v/>
      </c>
      <c r="E1038" s="79">
        <f>IF('Ordenes_Odoo'!E1038="","",'Ordenes_Odoo'!E1038)</f>
        <v/>
      </c>
      <c r="F1038" s="79">
        <f>IF('Ordenes_Odoo'!F1038="","",'Ordenes_Odoo'!F1038)</f>
        <v/>
      </c>
      <c r="G1038" s="79">
        <f>IF('Ordenes_Odoo'!G1038="","",'Ordenes_Odoo'!G1038)</f>
        <v/>
      </c>
      <c r="H1038" s="79">
        <f>IF('Ordenes_Odoo'!H1038="","",'Ordenes_Odoo'!H1038)</f>
        <v/>
      </c>
      <c r="I1038" s="79">
        <f>IF('Ordenes_Odoo'!I1038="","",'Ordenes_Odoo'!I1038)</f>
        <v/>
      </c>
      <c r="J1038" s="79">
        <f>IF('Ordenes_Odoo'!J1038="","",'Ordenes_Odoo'!J1038)</f>
        <v/>
      </c>
      <c r="K1038" s="81">
        <f>IF('Ordenes_Odoo'!K1038="","",'Ordenes_Odoo'!K1038)</f>
        <v/>
      </c>
      <c r="L1038" s="81">
        <f>IF('Ordenes_Odoo'!L1038="","",'Ordenes_Odoo'!L1038)</f>
        <v/>
      </c>
      <c r="M1038" s="79">
        <f>IF('Ordenes_Odoo'!M1038="","",'Ordenes_Odoo'!M1038)</f>
        <v/>
      </c>
      <c r="N1038" s="79">
        <f>IF('Ordenes_Odoo'!N1038="","",'Ordenes_Odoo'!N1038)</f>
        <v/>
      </c>
      <c r="O1038" s="81">
        <f>IF('Ordenes_Odoo'!O1038="","",'Ordenes_Odoo'!O1038)</f>
        <v/>
      </c>
      <c r="P1038" s="81">
        <f>IF('Ordenes_Odoo'!P1038="","",'Ordenes_Odoo'!P1038)</f>
        <v/>
      </c>
      <c r="Q1038" s="79">
        <f>IF(A1038="","",IFERROR(INDEX(Facturas_Odoo!$B:$B, MATCH(A1038, Facturas_Odoo!$D:$D, 0)), "Sin Factura"))</f>
        <v/>
      </c>
      <c r="R1038" s="80">
        <f>IF(Q1038="Sin Factura","",IFERROR(INDEX(Facturas_Odoo!$A:$A, MATCH(Q1038, Facturas_Odoo!$B:$B, 0)), ""))</f>
        <v/>
      </c>
      <c r="S1038" s="79">
        <f>IF(Q1038="Sin Factura","",IFERROR(_xlfn.XLOOKUP(1, (Facturas_Odoo!$D:$D=A1038) * (Facturas_Odoo!$K:$K=I1038), Facturas_Odoo!$L:$L, ""), ""))</f>
        <v/>
      </c>
      <c r="T1038" s="81">
        <f>IF(Q1038="Sin Factura",0,IFERROR(_xlfn.XLOOKUP(1, (Facturas_Odoo!$D:$D=A1038) * (Facturas_Odoo!$K:$K=I1038), Facturas_Odoo!$M:$M, 0), 0))</f>
        <v/>
      </c>
      <c r="U1038" s="79">
        <f>IF(Q1038="Sin Factura",0,IFERROR(_xlfn.XLOOKUP(1, (Facturas_Odoo!$D:$D=A1038) * (Facturas_Odoo!$K:$K=I1038), Facturas_Odoo!$N:$N, 0), 0))</f>
        <v/>
      </c>
      <c r="V1038" s="79">
        <f>IF(Q1038="Sin Factura",0,IFERROR(_xlfn.XLOOKUP(1, (Facturas_Odoo!$D:$D=A1038) * (Facturas_Odoo!$K:$K=I1038), Facturas_Odoo!$O:$O, 0), 0))</f>
        <v/>
      </c>
      <c r="W1038" s="81">
        <f>IF(Q1038="Sin Factura",0,IFERROR(_xlfn.XLOOKUP(1, (Facturas_Odoo!$D:$D=A1038) * (Facturas_Odoo!$K:$K=I1038), Facturas_Odoo!$Q:$Q, 0), 0))</f>
        <v/>
      </c>
      <c r="X1038" s="79">
        <f>IF(OR(Q1038="Sin Factura",Q1038=""),"",IFERROR(INDEX(Pagos_Odoo!$B:$B, MATCH(Q1038, Pagos_Odoo!$I:$I, 0)), "Sin Pago"))</f>
        <v/>
      </c>
      <c r="Y1038" s="79">
        <f>IF(X1038="Sin Pago","",IFERROR(INDEX(Pagos_Odoo!$C:$C, MATCH(X1038, Pagos_Odoo!$B:$B, 0)), ""))</f>
        <v/>
      </c>
      <c r="Z1038" s="80">
        <f>IF(X1038="Sin Pago","",IFERROR(INDEX(Pagos_Odoo!$A:$A, MATCH(X1038, Pagos_Odoo!$B:$B, 0)), ""))</f>
        <v/>
      </c>
      <c r="AA1038" s="79">
        <f>IF(X1038="Sin Pago","",IFERROR(INDEX(Pagos_Odoo!$F:$F, MATCH(X1038, Pagos_Odoo!$B:$B, 0)), ""))</f>
        <v/>
      </c>
      <c r="AB1038" s="81">
        <f>IF(X1038="Sin Pago",0,IFERROR(INDEX(Pagos_Odoo!$E:$E, MATCH(X1038, Pagos_Odoo!$B:$B, 0)), 0))</f>
        <v/>
      </c>
      <c r="AC1038" s="79">
        <f>IF(X1038="Sin Pago","",IFERROR(INDEX(Pagos_Odoo!$G:$G, MATCH(X1038, Pagos_Odoo!$B:$B, 0)), ""))</f>
        <v/>
      </c>
      <c r="AD1038" s="82" t="n">
        <v>0</v>
      </c>
      <c r="AE1038" s="82" t="n"/>
      <c r="AF1038" s="82" t="n"/>
      <c r="AG1038" s="82">
        <f>IF(AN1038="","",AD1038+AE1038+AF1038)</f>
        <v/>
      </c>
      <c r="AH1038" s="81">
        <f>IF(AN1038="","",P1038*(1-AG1038))</f>
        <v/>
      </c>
      <c r="AI1038" s="81">
        <f>IF(AN1038="","",IF(Q1038="Sin Factura",0,IFERROR(INDEX(Facturas_Odoo!$H:$H, MATCH(Q1038, Facturas_Odoo!$B:$B, 0)), 0)*(1-AG1038)))</f>
        <v/>
      </c>
      <c r="AJ1038" s="81">
        <f>IF(AN1038="","",_xlfn.LET(idVenta, AN1038&amp;"",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38" s="81">
        <f>IF(AN1038="","",AH1038-AJ1038)</f>
        <v/>
      </c>
      <c r="AL1038" s="81">
        <f>IF(AN1038="","",IF(Q1038="Sin Factura","",AI1038-AJ1038))</f>
        <v/>
      </c>
      <c r="AM1038" s="81">
        <f>IF(AN1038="","",IF(Q1038="Sin Factura",0,P1038-IFERROR(INDEX(Facturas_Odoo!$H:$H, MATCH(Q1038, Facturas_Odoo!$B:$B, 0)), 0)))</f>
        <v/>
      </c>
      <c r="AN1038" s="79">
        <f>IF(AND(A1038="", J1038=""), "", IF(A1038&lt;&gt;"", VALUE(MID(A1038,2,LEN(A1038))), AN1037))</f>
        <v/>
      </c>
      <c r="AO1038" s="79">
        <f>IF(AN1038="","",IF(AD1038=0,"OK",_xlfn.LET(monedaPago, IF(AA1038="","USD",AA1038), limitePermitido, IFERROR(VLOOKUP(monedaPago, Configuración!$A$2:$B$3, 2, FALSE), 0.15), IF(AD1038&gt;limitePermitido, "ALERTA: EXCESO (" &amp; TEXT(limitePermitido, "0%") &amp; " máx)", "OK"))))</f>
        <v/>
      </c>
      <c r="AP1038" s="79">
        <f>IF(AN1038="","",IF(AE1038=0,"OK",_xlfn.LET(fechaPago, Z1038, fechaFactura, R1038, diasCredito, IF(E1038="Pago inmediato", 0, IFERROR(VALUE(MID(E1038, 1, SEARCH(" ", E1038)-1)),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38" s="79">
        <f>IF(AN1038="","",IF(AND(N1038&gt;0, AG1038&gt;0), IF(Configuración!$K$2="NO", "ALERTA: DESCUENTO DOBLE NO PERMITIDO", "OK"), "OK"))</f>
        <v/>
      </c>
      <c r="AR1038" s="79">
        <f>IF(AN1038="","",IF(OR(AO1038&lt;&gt;"OK", AP1038&lt;&gt;"OK", AQ1038&lt;&gt;"OK"), "⚠️ REVISAR", "OK"))</f>
        <v/>
      </c>
    </row>
    <row r="1039">
      <c r="A1039" s="79">
        <f>IF('Ordenes_Odoo'!A1039="","",'Ordenes_Odoo'!A1039)</f>
        <v/>
      </c>
      <c r="B1039" s="80">
        <f>IF('Ordenes_Odoo'!B1039="","",'Ordenes_Odoo'!B1039)</f>
        <v/>
      </c>
      <c r="C1039" s="79">
        <f>IF('Ordenes_Odoo'!C1039="","",'Ordenes_Odoo'!C1039)</f>
        <v/>
      </c>
      <c r="D1039" s="79">
        <f>IF('Ordenes_Odoo'!D1039="","",'Ordenes_Odoo'!D1039)</f>
        <v/>
      </c>
      <c r="E1039" s="79">
        <f>IF('Ordenes_Odoo'!E1039="","",'Ordenes_Odoo'!E1039)</f>
        <v/>
      </c>
      <c r="F1039" s="79">
        <f>IF('Ordenes_Odoo'!F1039="","",'Ordenes_Odoo'!F1039)</f>
        <v/>
      </c>
      <c r="G1039" s="79">
        <f>IF('Ordenes_Odoo'!G1039="","",'Ordenes_Odoo'!G1039)</f>
        <v/>
      </c>
      <c r="H1039" s="79">
        <f>IF('Ordenes_Odoo'!H1039="","",'Ordenes_Odoo'!H1039)</f>
        <v/>
      </c>
      <c r="I1039" s="79">
        <f>IF('Ordenes_Odoo'!I1039="","",'Ordenes_Odoo'!I1039)</f>
        <v/>
      </c>
      <c r="J1039" s="79">
        <f>IF('Ordenes_Odoo'!J1039="","",'Ordenes_Odoo'!J1039)</f>
        <v/>
      </c>
      <c r="K1039" s="81">
        <f>IF('Ordenes_Odoo'!K1039="","",'Ordenes_Odoo'!K1039)</f>
        <v/>
      </c>
      <c r="L1039" s="81">
        <f>IF('Ordenes_Odoo'!L1039="","",'Ordenes_Odoo'!L1039)</f>
        <v/>
      </c>
      <c r="M1039" s="79">
        <f>IF('Ordenes_Odoo'!M1039="","",'Ordenes_Odoo'!M1039)</f>
        <v/>
      </c>
      <c r="N1039" s="79">
        <f>IF('Ordenes_Odoo'!N1039="","",'Ordenes_Odoo'!N1039)</f>
        <v/>
      </c>
      <c r="O1039" s="81">
        <f>IF('Ordenes_Odoo'!O1039="","",'Ordenes_Odoo'!O1039)</f>
        <v/>
      </c>
      <c r="P1039" s="81">
        <f>IF('Ordenes_Odoo'!P1039="","",'Ordenes_Odoo'!P1039)</f>
        <v/>
      </c>
      <c r="Q1039" s="79">
        <f>IF(A1039="","",IFERROR(INDEX(Facturas_Odoo!$B:$B, MATCH(A1039, Facturas_Odoo!$D:$D, 0)), "Sin Factura"))</f>
        <v/>
      </c>
      <c r="R1039" s="80">
        <f>IF(Q1039="Sin Factura","",IFERROR(INDEX(Facturas_Odoo!$A:$A, MATCH(Q1039, Facturas_Odoo!$B:$B, 0)), ""))</f>
        <v/>
      </c>
      <c r="S1039" s="79">
        <f>IF(Q1039="Sin Factura","",IFERROR(_xlfn.XLOOKUP(1, (Facturas_Odoo!$D:$D=A1039) * (Facturas_Odoo!$K:$K=I1039), Facturas_Odoo!$L:$L, ""), ""))</f>
        <v/>
      </c>
      <c r="T1039" s="81">
        <f>IF(Q1039="Sin Factura",0,IFERROR(_xlfn.XLOOKUP(1, (Facturas_Odoo!$D:$D=A1039) * (Facturas_Odoo!$K:$K=I1039), Facturas_Odoo!$M:$M, 0), 0))</f>
        <v/>
      </c>
      <c r="U1039" s="79">
        <f>IF(Q1039="Sin Factura",0,IFERROR(_xlfn.XLOOKUP(1, (Facturas_Odoo!$D:$D=A1039) * (Facturas_Odoo!$K:$K=I1039), Facturas_Odoo!$N:$N, 0), 0))</f>
        <v/>
      </c>
      <c r="V1039" s="79">
        <f>IF(Q1039="Sin Factura",0,IFERROR(_xlfn.XLOOKUP(1, (Facturas_Odoo!$D:$D=A1039) * (Facturas_Odoo!$K:$K=I1039), Facturas_Odoo!$O:$O, 0), 0))</f>
        <v/>
      </c>
      <c r="W1039" s="81">
        <f>IF(Q1039="Sin Factura",0,IFERROR(_xlfn.XLOOKUP(1, (Facturas_Odoo!$D:$D=A1039) * (Facturas_Odoo!$K:$K=I1039), Facturas_Odoo!$Q:$Q, 0), 0))</f>
        <v/>
      </c>
      <c r="X1039" s="79">
        <f>IF(OR(Q1039="Sin Factura",Q1039=""),"",IFERROR(INDEX(Pagos_Odoo!$B:$B, MATCH(Q1039, Pagos_Odoo!$I:$I, 0)), "Sin Pago"))</f>
        <v/>
      </c>
      <c r="Y1039" s="79">
        <f>IF(X1039="Sin Pago","",IFERROR(INDEX(Pagos_Odoo!$C:$C, MATCH(X1039, Pagos_Odoo!$B:$B, 0)), ""))</f>
        <v/>
      </c>
      <c r="Z1039" s="80">
        <f>IF(X1039="Sin Pago","",IFERROR(INDEX(Pagos_Odoo!$A:$A, MATCH(X1039, Pagos_Odoo!$B:$B, 0)), ""))</f>
        <v/>
      </c>
      <c r="AA1039" s="79">
        <f>IF(X1039="Sin Pago","",IFERROR(INDEX(Pagos_Odoo!$F:$F, MATCH(X1039, Pagos_Odoo!$B:$B, 0)), ""))</f>
        <v/>
      </c>
      <c r="AB1039" s="81">
        <f>IF(X1039="Sin Pago",0,IFERROR(INDEX(Pagos_Odoo!$E:$E, MATCH(X1039, Pagos_Odoo!$B:$B, 0)), 0))</f>
        <v/>
      </c>
      <c r="AC1039" s="79">
        <f>IF(X1039="Sin Pago","",IFERROR(INDEX(Pagos_Odoo!$G:$G, MATCH(X1039, Pagos_Odoo!$B:$B, 0)), ""))</f>
        <v/>
      </c>
      <c r="AD1039" s="82" t="n">
        <v>0</v>
      </c>
      <c r="AE1039" s="82" t="n"/>
      <c r="AF1039" s="82" t="n"/>
      <c r="AG1039" s="82">
        <f>IF(AN1039="","",AD1039+AE1039+AF1039)</f>
        <v/>
      </c>
      <c r="AH1039" s="81">
        <f>IF(AN1039="","",P1039*(1-AG1039))</f>
        <v/>
      </c>
      <c r="AI1039" s="81">
        <f>IF(AN1039="","",IF(Q1039="Sin Factura",0,IFERROR(INDEX(Facturas_Odoo!$H:$H, MATCH(Q1039, Facturas_Odoo!$B:$B, 0)), 0)*(1-AG1039)))</f>
        <v/>
      </c>
      <c r="AJ1039" s="81">
        <f>IF(AN1039="","",_xlfn.LET(idVenta, AN1039&amp;"",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39" s="81">
        <f>IF(AN1039="","",AH1039-AJ1039)</f>
        <v/>
      </c>
      <c r="AL1039" s="81">
        <f>IF(AN1039="","",IF(Q1039="Sin Factura","",AI1039-AJ1039))</f>
        <v/>
      </c>
      <c r="AM1039" s="81">
        <f>IF(AN1039="","",IF(Q1039="Sin Factura",0,P1039-IFERROR(INDEX(Facturas_Odoo!$H:$H, MATCH(Q1039, Facturas_Odoo!$B:$B, 0)), 0)))</f>
        <v/>
      </c>
      <c r="AN1039" s="79">
        <f>IF(AND(A1039="", J1039=""), "", IF(A1039&lt;&gt;"", VALUE(MID(A1039,2,LEN(A1039))), AN1038))</f>
        <v/>
      </c>
      <c r="AO1039" s="79">
        <f>IF(AN1039="","",IF(AD1039=0,"OK",_xlfn.LET(monedaPago, IF(AA1039="","USD",AA1039), limitePermitido, IFERROR(VLOOKUP(monedaPago, Configuración!$A$2:$B$3, 2, FALSE), 0.15), IF(AD1039&gt;limitePermitido, "ALERTA: EXCESO (" &amp; TEXT(limitePermitido, "0%") &amp; " máx)", "OK"))))</f>
        <v/>
      </c>
      <c r="AP1039" s="79">
        <f>IF(AN1039="","",IF(AE1039=0,"OK",_xlfn.LET(fechaPago, Z1039, fechaFactura, R1039, diasCredito, IF(E1039="Pago inmediato", 0, IFERROR(VALUE(MID(E1039, 1, SEARCH(" ", E1039)-1)),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39" s="79">
        <f>IF(AN1039="","",IF(AND(N1039&gt;0, AG1039&gt;0), IF(Configuración!$K$2="NO", "ALERTA: DESCUENTO DOBLE NO PERMITIDO", "OK"), "OK"))</f>
        <v/>
      </c>
      <c r="AR1039" s="79">
        <f>IF(AN1039="","",IF(OR(AO1039&lt;&gt;"OK", AP1039&lt;&gt;"OK", AQ1039&lt;&gt;"OK"), "⚠️ REVISAR", "OK"))</f>
        <v/>
      </c>
    </row>
    <row r="1040">
      <c r="A1040" s="79">
        <f>IF('Ordenes_Odoo'!A1040="","",'Ordenes_Odoo'!A1040)</f>
        <v/>
      </c>
      <c r="B1040" s="80">
        <f>IF('Ordenes_Odoo'!B1040="","",'Ordenes_Odoo'!B1040)</f>
        <v/>
      </c>
      <c r="C1040" s="79">
        <f>IF('Ordenes_Odoo'!C1040="","",'Ordenes_Odoo'!C1040)</f>
        <v/>
      </c>
      <c r="D1040" s="79">
        <f>IF('Ordenes_Odoo'!D1040="","",'Ordenes_Odoo'!D1040)</f>
        <v/>
      </c>
      <c r="E1040" s="79">
        <f>IF('Ordenes_Odoo'!E1040="","",'Ordenes_Odoo'!E1040)</f>
        <v/>
      </c>
      <c r="F1040" s="79">
        <f>IF('Ordenes_Odoo'!F1040="","",'Ordenes_Odoo'!F1040)</f>
        <v/>
      </c>
      <c r="G1040" s="79">
        <f>IF('Ordenes_Odoo'!G1040="","",'Ordenes_Odoo'!G1040)</f>
        <v/>
      </c>
      <c r="H1040" s="79">
        <f>IF('Ordenes_Odoo'!H1040="","",'Ordenes_Odoo'!H1040)</f>
        <v/>
      </c>
      <c r="I1040" s="79">
        <f>IF('Ordenes_Odoo'!I1040="","",'Ordenes_Odoo'!I1040)</f>
        <v/>
      </c>
      <c r="J1040" s="79">
        <f>IF('Ordenes_Odoo'!J1040="","",'Ordenes_Odoo'!J1040)</f>
        <v/>
      </c>
      <c r="K1040" s="81">
        <f>IF('Ordenes_Odoo'!K1040="","",'Ordenes_Odoo'!K1040)</f>
        <v/>
      </c>
      <c r="L1040" s="81">
        <f>IF('Ordenes_Odoo'!L1040="","",'Ordenes_Odoo'!L1040)</f>
        <v/>
      </c>
      <c r="M1040" s="79">
        <f>IF('Ordenes_Odoo'!M1040="","",'Ordenes_Odoo'!M1040)</f>
        <v/>
      </c>
      <c r="N1040" s="79">
        <f>IF('Ordenes_Odoo'!N1040="","",'Ordenes_Odoo'!N1040)</f>
        <v/>
      </c>
      <c r="O1040" s="81">
        <f>IF('Ordenes_Odoo'!O1040="","",'Ordenes_Odoo'!O1040)</f>
        <v/>
      </c>
      <c r="P1040" s="81">
        <f>IF('Ordenes_Odoo'!P1040="","",'Ordenes_Odoo'!P1040)</f>
        <v/>
      </c>
      <c r="Q1040" s="79">
        <f>IF(A1040="","",IFERROR(INDEX(Facturas_Odoo!$B:$B, MATCH(A1040, Facturas_Odoo!$D:$D, 0)), "Sin Factura"))</f>
        <v/>
      </c>
      <c r="R1040" s="80">
        <f>IF(Q1040="Sin Factura","",IFERROR(INDEX(Facturas_Odoo!$A:$A, MATCH(Q1040, Facturas_Odoo!$B:$B, 0)), ""))</f>
        <v/>
      </c>
      <c r="S1040" s="79">
        <f>IF(Q1040="Sin Factura","",IFERROR(_xlfn.XLOOKUP(1, (Facturas_Odoo!$D:$D=A1040) * (Facturas_Odoo!$K:$K=I1040), Facturas_Odoo!$L:$L, ""), ""))</f>
        <v/>
      </c>
      <c r="T1040" s="81">
        <f>IF(Q1040="Sin Factura",0,IFERROR(_xlfn.XLOOKUP(1, (Facturas_Odoo!$D:$D=A1040) * (Facturas_Odoo!$K:$K=I1040), Facturas_Odoo!$M:$M, 0), 0))</f>
        <v/>
      </c>
      <c r="U1040" s="79">
        <f>IF(Q1040="Sin Factura",0,IFERROR(_xlfn.XLOOKUP(1, (Facturas_Odoo!$D:$D=A1040) * (Facturas_Odoo!$K:$K=I1040), Facturas_Odoo!$N:$N, 0), 0))</f>
        <v/>
      </c>
      <c r="V1040" s="79">
        <f>IF(Q1040="Sin Factura",0,IFERROR(_xlfn.XLOOKUP(1, (Facturas_Odoo!$D:$D=A1040) * (Facturas_Odoo!$K:$K=I1040), Facturas_Odoo!$O:$O, 0), 0))</f>
        <v/>
      </c>
      <c r="W1040" s="81">
        <f>IF(Q1040="Sin Factura",0,IFERROR(_xlfn.XLOOKUP(1, (Facturas_Odoo!$D:$D=A1040) * (Facturas_Odoo!$K:$K=I1040), Facturas_Odoo!$Q:$Q, 0), 0))</f>
        <v/>
      </c>
      <c r="X1040" s="79">
        <f>IF(OR(Q1040="Sin Factura",Q1040=""),"",IFERROR(INDEX(Pagos_Odoo!$B:$B, MATCH(Q1040, Pagos_Odoo!$I:$I, 0)), "Sin Pago"))</f>
        <v/>
      </c>
      <c r="Y1040" s="79">
        <f>IF(X1040="Sin Pago","",IFERROR(INDEX(Pagos_Odoo!$C:$C, MATCH(X1040, Pagos_Odoo!$B:$B, 0)), ""))</f>
        <v/>
      </c>
      <c r="Z1040" s="80">
        <f>IF(X1040="Sin Pago","",IFERROR(INDEX(Pagos_Odoo!$A:$A, MATCH(X1040, Pagos_Odoo!$B:$B, 0)), ""))</f>
        <v/>
      </c>
      <c r="AA1040" s="79">
        <f>IF(X1040="Sin Pago","",IFERROR(INDEX(Pagos_Odoo!$F:$F, MATCH(X1040, Pagos_Odoo!$B:$B, 0)), ""))</f>
        <v/>
      </c>
      <c r="AB1040" s="81">
        <f>IF(X1040="Sin Pago",0,IFERROR(INDEX(Pagos_Odoo!$E:$E, MATCH(X1040, Pagos_Odoo!$B:$B, 0)), 0))</f>
        <v/>
      </c>
      <c r="AC1040" s="79">
        <f>IF(X1040="Sin Pago","",IFERROR(INDEX(Pagos_Odoo!$G:$G, MATCH(X1040, Pagos_Odoo!$B:$B, 0)), ""))</f>
        <v/>
      </c>
      <c r="AD1040" s="82" t="n">
        <v>0</v>
      </c>
      <c r="AE1040" s="82" t="n"/>
      <c r="AF1040" s="82" t="n"/>
      <c r="AG1040" s="82">
        <f>IF(AN1040="","",AD1040+AE1040+AF1040)</f>
        <v/>
      </c>
      <c r="AH1040" s="81">
        <f>IF(AN1040="","",P1040*(1-AG1040))</f>
        <v/>
      </c>
      <c r="AI1040" s="81">
        <f>IF(AN1040="","",IF(Q1040="Sin Factura",0,IFERROR(INDEX(Facturas_Odoo!$H:$H, MATCH(Q1040, Facturas_Odoo!$B:$B, 0)), 0)*(1-AG1040)))</f>
        <v/>
      </c>
      <c r="AJ1040" s="81">
        <f>IF(AN1040="","",_xlfn.LET(idVenta, AN1040&amp;"",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40" s="81">
        <f>IF(AN1040="","",AH1040-AJ1040)</f>
        <v/>
      </c>
      <c r="AL1040" s="81">
        <f>IF(AN1040="","",IF(Q1040="Sin Factura","",AI1040-AJ1040))</f>
        <v/>
      </c>
      <c r="AM1040" s="81">
        <f>IF(AN1040="","",IF(Q1040="Sin Factura",0,P1040-IFERROR(INDEX(Facturas_Odoo!$H:$H, MATCH(Q1040, Facturas_Odoo!$B:$B, 0)), 0)))</f>
        <v/>
      </c>
      <c r="AN1040" s="79">
        <f>IF(AND(A1040="", J1040=""), "", IF(A1040&lt;&gt;"", VALUE(MID(A1040,2,LEN(A1040))), AN1039))</f>
        <v/>
      </c>
      <c r="AO1040" s="79">
        <f>IF(AN1040="","",IF(AD1040=0,"OK",_xlfn.LET(monedaPago, IF(AA1040="","USD",AA1040), limitePermitido, IFERROR(VLOOKUP(monedaPago, Configuración!$A$2:$B$3, 2, FALSE), 0.15), IF(AD1040&gt;limitePermitido, "ALERTA: EXCESO (" &amp; TEXT(limitePermitido, "0%") &amp; " máx)", "OK"))))</f>
        <v/>
      </c>
      <c r="AP1040" s="79">
        <f>IF(AN1040="","",IF(AE1040=0,"OK",_xlfn.LET(fechaPago, Z1040, fechaFactura, R1040, diasCredito, IF(E1040="Pago inmediato", 0, IFERROR(VALUE(MID(E1040, 1, SEARCH(" ", E1040)-1)),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40" s="79">
        <f>IF(AN1040="","",IF(AND(N1040&gt;0, AG1040&gt;0), IF(Configuración!$K$2="NO", "ALERTA: DESCUENTO DOBLE NO PERMITIDO", "OK"), "OK"))</f>
        <v/>
      </c>
      <c r="AR1040" s="79">
        <f>IF(AN1040="","",IF(OR(AO1040&lt;&gt;"OK", AP1040&lt;&gt;"OK", AQ1040&lt;&gt;"OK"), "⚠️ REVISAR", "OK"))</f>
        <v/>
      </c>
    </row>
    <row r="1041">
      <c r="A1041" s="79">
        <f>IF('Ordenes_Odoo'!A1041="","",'Ordenes_Odoo'!A1041)</f>
        <v/>
      </c>
      <c r="B1041" s="80">
        <f>IF('Ordenes_Odoo'!B1041="","",'Ordenes_Odoo'!B1041)</f>
        <v/>
      </c>
      <c r="C1041" s="79">
        <f>IF('Ordenes_Odoo'!C1041="","",'Ordenes_Odoo'!C1041)</f>
        <v/>
      </c>
      <c r="D1041" s="79">
        <f>IF('Ordenes_Odoo'!D1041="","",'Ordenes_Odoo'!D1041)</f>
        <v/>
      </c>
      <c r="E1041" s="79">
        <f>IF('Ordenes_Odoo'!E1041="","",'Ordenes_Odoo'!E1041)</f>
        <v/>
      </c>
      <c r="F1041" s="79">
        <f>IF('Ordenes_Odoo'!F1041="","",'Ordenes_Odoo'!F1041)</f>
        <v/>
      </c>
      <c r="G1041" s="79">
        <f>IF('Ordenes_Odoo'!G1041="","",'Ordenes_Odoo'!G1041)</f>
        <v/>
      </c>
      <c r="H1041" s="79">
        <f>IF('Ordenes_Odoo'!H1041="","",'Ordenes_Odoo'!H1041)</f>
        <v/>
      </c>
      <c r="I1041" s="79">
        <f>IF('Ordenes_Odoo'!I1041="","",'Ordenes_Odoo'!I1041)</f>
        <v/>
      </c>
      <c r="J1041" s="79">
        <f>IF('Ordenes_Odoo'!J1041="","",'Ordenes_Odoo'!J1041)</f>
        <v/>
      </c>
      <c r="K1041" s="81">
        <f>IF('Ordenes_Odoo'!K1041="","",'Ordenes_Odoo'!K1041)</f>
        <v/>
      </c>
      <c r="L1041" s="81">
        <f>IF('Ordenes_Odoo'!L1041="","",'Ordenes_Odoo'!L1041)</f>
        <v/>
      </c>
      <c r="M1041" s="79">
        <f>IF('Ordenes_Odoo'!M1041="","",'Ordenes_Odoo'!M1041)</f>
        <v/>
      </c>
      <c r="N1041" s="79">
        <f>IF('Ordenes_Odoo'!N1041="","",'Ordenes_Odoo'!N1041)</f>
        <v/>
      </c>
      <c r="O1041" s="81">
        <f>IF('Ordenes_Odoo'!O1041="","",'Ordenes_Odoo'!O1041)</f>
        <v/>
      </c>
      <c r="P1041" s="81">
        <f>IF('Ordenes_Odoo'!P1041="","",'Ordenes_Odoo'!P1041)</f>
        <v/>
      </c>
      <c r="Q1041" s="79">
        <f>IF(A1041="","",IFERROR(INDEX(Facturas_Odoo!$B:$B, MATCH(A1041, Facturas_Odoo!$D:$D, 0)), "Sin Factura"))</f>
        <v/>
      </c>
      <c r="R1041" s="80">
        <f>IF(Q1041="Sin Factura","",IFERROR(INDEX(Facturas_Odoo!$A:$A, MATCH(Q1041, Facturas_Odoo!$B:$B, 0)), ""))</f>
        <v/>
      </c>
      <c r="S1041" s="79">
        <f>IF(Q1041="Sin Factura","",IFERROR(_xlfn.XLOOKUP(1, (Facturas_Odoo!$D:$D=A1041) * (Facturas_Odoo!$K:$K=I1041), Facturas_Odoo!$L:$L, ""), ""))</f>
        <v/>
      </c>
      <c r="T1041" s="81">
        <f>IF(Q1041="Sin Factura",0,IFERROR(_xlfn.XLOOKUP(1, (Facturas_Odoo!$D:$D=A1041) * (Facturas_Odoo!$K:$K=I1041), Facturas_Odoo!$M:$M, 0), 0))</f>
        <v/>
      </c>
      <c r="U1041" s="79">
        <f>IF(Q1041="Sin Factura",0,IFERROR(_xlfn.XLOOKUP(1, (Facturas_Odoo!$D:$D=A1041) * (Facturas_Odoo!$K:$K=I1041), Facturas_Odoo!$N:$N, 0), 0))</f>
        <v/>
      </c>
      <c r="V1041" s="79">
        <f>IF(Q1041="Sin Factura",0,IFERROR(_xlfn.XLOOKUP(1, (Facturas_Odoo!$D:$D=A1041) * (Facturas_Odoo!$K:$K=I1041), Facturas_Odoo!$O:$O, 0), 0))</f>
        <v/>
      </c>
      <c r="W1041" s="81">
        <f>IF(Q1041="Sin Factura",0,IFERROR(_xlfn.XLOOKUP(1, (Facturas_Odoo!$D:$D=A1041) * (Facturas_Odoo!$K:$K=I1041), Facturas_Odoo!$Q:$Q, 0), 0))</f>
        <v/>
      </c>
      <c r="X1041" s="79">
        <f>IF(OR(Q1041="Sin Factura",Q1041=""),"",IFERROR(INDEX(Pagos_Odoo!$B:$B, MATCH(Q1041, Pagos_Odoo!$I:$I, 0)), "Sin Pago"))</f>
        <v/>
      </c>
      <c r="Y1041" s="79">
        <f>IF(X1041="Sin Pago","",IFERROR(INDEX(Pagos_Odoo!$C:$C, MATCH(X1041, Pagos_Odoo!$B:$B, 0)), ""))</f>
        <v/>
      </c>
      <c r="Z1041" s="80">
        <f>IF(X1041="Sin Pago","",IFERROR(INDEX(Pagos_Odoo!$A:$A, MATCH(X1041, Pagos_Odoo!$B:$B, 0)), ""))</f>
        <v/>
      </c>
      <c r="AA1041" s="79">
        <f>IF(X1041="Sin Pago","",IFERROR(INDEX(Pagos_Odoo!$F:$F, MATCH(X1041, Pagos_Odoo!$B:$B, 0)), ""))</f>
        <v/>
      </c>
      <c r="AB1041" s="81">
        <f>IF(X1041="Sin Pago",0,IFERROR(INDEX(Pagos_Odoo!$E:$E, MATCH(X1041, Pagos_Odoo!$B:$B, 0)), 0))</f>
        <v/>
      </c>
      <c r="AC1041" s="79">
        <f>IF(X1041="Sin Pago","",IFERROR(INDEX(Pagos_Odoo!$G:$G, MATCH(X1041, Pagos_Odoo!$B:$B, 0)), ""))</f>
        <v/>
      </c>
      <c r="AD1041" s="82" t="n">
        <v>0</v>
      </c>
      <c r="AE1041" s="82" t="n"/>
      <c r="AF1041" s="82" t="n"/>
      <c r="AG1041" s="82">
        <f>IF(AN1041="","",AD1041+AE1041+AF1041)</f>
        <v/>
      </c>
      <c r="AH1041" s="81">
        <f>IF(AN1041="","",P1041*(1-AG1041))</f>
        <v/>
      </c>
      <c r="AI1041" s="81">
        <f>IF(AN1041="","",IF(Q1041="Sin Factura",0,IFERROR(INDEX(Facturas_Odoo!$H:$H, MATCH(Q1041, Facturas_Odoo!$B:$B, 0)), 0)*(1-AG1041)))</f>
        <v/>
      </c>
      <c r="AJ1041" s="81">
        <f>IF(AN1041="","",_xlfn.LET(idVenta, AN1041&amp;"",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41" s="81">
        <f>IF(AN1041="","",AH1041-AJ1041)</f>
        <v/>
      </c>
      <c r="AL1041" s="81">
        <f>IF(AN1041="","",IF(Q1041="Sin Factura","",AI1041-AJ1041))</f>
        <v/>
      </c>
      <c r="AM1041" s="81">
        <f>IF(AN1041="","",IF(Q1041="Sin Factura",0,P1041-IFERROR(INDEX(Facturas_Odoo!$H:$H, MATCH(Q1041, Facturas_Odoo!$B:$B, 0)), 0)))</f>
        <v/>
      </c>
      <c r="AN1041" s="79">
        <f>IF(AND(A1041="", J1041=""), "", IF(A1041&lt;&gt;"", VALUE(MID(A1041,2,LEN(A1041))), AN1040))</f>
        <v/>
      </c>
      <c r="AO1041" s="79">
        <f>IF(AN1041="","",IF(AD1041=0,"OK",_xlfn.LET(monedaPago, IF(AA1041="","USD",AA1041), limitePermitido, IFERROR(VLOOKUP(monedaPago, Configuración!$A$2:$B$3, 2, FALSE), 0.15), IF(AD1041&gt;limitePermitido, "ALERTA: EXCESO (" &amp; TEXT(limitePermitido, "0%") &amp; " máx)", "OK"))))</f>
        <v/>
      </c>
      <c r="AP1041" s="79">
        <f>IF(AN1041="","",IF(AE1041=0,"OK",_xlfn.LET(fechaPago, Z1041, fechaFactura, R1041, diasCredito, IF(E1041="Pago inmediato", 0, IFERROR(VALUE(MID(E1041, 1, SEARCH(" ", E1041)-1)),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41" s="79">
        <f>IF(AN1041="","",IF(AND(N1041&gt;0, AG1041&gt;0), IF(Configuración!$K$2="NO", "ALERTA: DESCUENTO DOBLE NO PERMITIDO", "OK"), "OK"))</f>
        <v/>
      </c>
      <c r="AR1041" s="79">
        <f>IF(AN1041="","",IF(OR(AO1041&lt;&gt;"OK", AP1041&lt;&gt;"OK", AQ1041&lt;&gt;"OK"), "⚠️ REVISAR", "OK"))</f>
        <v/>
      </c>
    </row>
    <row r="1042">
      <c r="A1042" s="79">
        <f>IF('Ordenes_Odoo'!A1042="","",'Ordenes_Odoo'!A1042)</f>
        <v/>
      </c>
      <c r="B1042" s="80">
        <f>IF('Ordenes_Odoo'!B1042="","",'Ordenes_Odoo'!B1042)</f>
        <v/>
      </c>
      <c r="C1042" s="79">
        <f>IF('Ordenes_Odoo'!C1042="","",'Ordenes_Odoo'!C1042)</f>
        <v/>
      </c>
      <c r="D1042" s="79">
        <f>IF('Ordenes_Odoo'!D1042="","",'Ordenes_Odoo'!D1042)</f>
        <v/>
      </c>
      <c r="E1042" s="79">
        <f>IF('Ordenes_Odoo'!E1042="","",'Ordenes_Odoo'!E1042)</f>
        <v/>
      </c>
      <c r="F1042" s="79">
        <f>IF('Ordenes_Odoo'!F1042="","",'Ordenes_Odoo'!F1042)</f>
        <v/>
      </c>
      <c r="G1042" s="79">
        <f>IF('Ordenes_Odoo'!G1042="","",'Ordenes_Odoo'!G1042)</f>
        <v/>
      </c>
      <c r="H1042" s="79">
        <f>IF('Ordenes_Odoo'!H1042="","",'Ordenes_Odoo'!H1042)</f>
        <v/>
      </c>
      <c r="I1042" s="79">
        <f>IF('Ordenes_Odoo'!I1042="","",'Ordenes_Odoo'!I1042)</f>
        <v/>
      </c>
      <c r="J1042" s="79">
        <f>IF('Ordenes_Odoo'!J1042="","",'Ordenes_Odoo'!J1042)</f>
        <v/>
      </c>
      <c r="K1042" s="81">
        <f>IF('Ordenes_Odoo'!K1042="","",'Ordenes_Odoo'!K1042)</f>
        <v/>
      </c>
      <c r="L1042" s="81">
        <f>IF('Ordenes_Odoo'!L1042="","",'Ordenes_Odoo'!L1042)</f>
        <v/>
      </c>
      <c r="M1042" s="79">
        <f>IF('Ordenes_Odoo'!M1042="","",'Ordenes_Odoo'!M1042)</f>
        <v/>
      </c>
      <c r="N1042" s="79">
        <f>IF('Ordenes_Odoo'!N1042="","",'Ordenes_Odoo'!N1042)</f>
        <v/>
      </c>
      <c r="O1042" s="81">
        <f>IF('Ordenes_Odoo'!O1042="","",'Ordenes_Odoo'!O1042)</f>
        <v/>
      </c>
      <c r="P1042" s="81">
        <f>IF('Ordenes_Odoo'!P1042="","",'Ordenes_Odoo'!P1042)</f>
        <v/>
      </c>
      <c r="Q1042" s="79">
        <f>IF(A1042="","",IFERROR(INDEX(Facturas_Odoo!$B:$B, MATCH(A1042, Facturas_Odoo!$D:$D, 0)), "Sin Factura"))</f>
        <v/>
      </c>
      <c r="R1042" s="80">
        <f>IF(Q1042="Sin Factura","",IFERROR(INDEX(Facturas_Odoo!$A:$A, MATCH(Q1042, Facturas_Odoo!$B:$B, 0)), ""))</f>
        <v/>
      </c>
      <c r="S1042" s="79">
        <f>IF(Q1042="Sin Factura","",IFERROR(_xlfn.XLOOKUP(1, (Facturas_Odoo!$D:$D=A1042) * (Facturas_Odoo!$K:$K=I1042), Facturas_Odoo!$L:$L, ""), ""))</f>
        <v/>
      </c>
      <c r="T1042" s="81">
        <f>IF(Q1042="Sin Factura",0,IFERROR(_xlfn.XLOOKUP(1, (Facturas_Odoo!$D:$D=A1042) * (Facturas_Odoo!$K:$K=I1042), Facturas_Odoo!$M:$M, 0), 0))</f>
        <v/>
      </c>
      <c r="U1042" s="79">
        <f>IF(Q1042="Sin Factura",0,IFERROR(_xlfn.XLOOKUP(1, (Facturas_Odoo!$D:$D=A1042) * (Facturas_Odoo!$K:$K=I1042), Facturas_Odoo!$N:$N, 0), 0))</f>
        <v/>
      </c>
      <c r="V1042" s="79">
        <f>IF(Q1042="Sin Factura",0,IFERROR(_xlfn.XLOOKUP(1, (Facturas_Odoo!$D:$D=A1042) * (Facturas_Odoo!$K:$K=I1042), Facturas_Odoo!$O:$O, 0), 0))</f>
        <v/>
      </c>
      <c r="W1042" s="81">
        <f>IF(Q1042="Sin Factura",0,IFERROR(_xlfn.XLOOKUP(1, (Facturas_Odoo!$D:$D=A1042) * (Facturas_Odoo!$K:$K=I1042), Facturas_Odoo!$Q:$Q, 0), 0))</f>
        <v/>
      </c>
      <c r="X1042" s="79">
        <f>IF(OR(Q1042="Sin Factura",Q1042=""),"",IFERROR(INDEX(Pagos_Odoo!$B:$B, MATCH(Q1042, Pagos_Odoo!$I:$I, 0)), "Sin Pago"))</f>
        <v/>
      </c>
      <c r="Y1042" s="79">
        <f>IF(X1042="Sin Pago","",IFERROR(INDEX(Pagos_Odoo!$C:$C, MATCH(X1042, Pagos_Odoo!$B:$B, 0)), ""))</f>
        <v/>
      </c>
      <c r="Z1042" s="80">
        <f>IF(X1042="Sin Pago","",IFERROR(INDEX(Pagos_Odoo!$A:$A, MATCH(X1042, Pagos_Odoo!$B:$B, 0)), ""))</f>
        <v/>
      </c>
      <c r="AA1042" s="79">
        <f>IF(X1042="Sin Pago","",IFERROR(INDEX(Pagos_Odoo!$F:$F, MATCH(X1042, Pagos_Odoo!$B:$B, 0)), ""))</f>
        <v/>
      </c>
      <c r="AB1042" s="81">
        <f>IF(X1042="Sin Pago",0,IFERROR(INDEX(Pagos_Odoo!$E:$E, MATCH(X1042, Pagos_Odoo!$B:$B, 0)), 0))</f>
        <v/>
      </c>
      <c r="AC1042" s="79">
        <f>IF(X1042="Sin Pago","",IFERROR(INDEX(Pagos_Odoo!$G:$G, MATCH(X1042, Pagos_Odoo!$B:$B, 0)), ""))</f>
        <v/>
      </c>
      <c r="AD1042" s="82" t="n">
        <v>0</v>
      </c>
      <c r="AE1042" s="82" t="n"/>
      <c r="AF1042" s="82" t="n"/>
      <c r="AG1042" s="82">
        <f>IF(AN1042="","",AD1042+AE1042+AF1042)</f>
        <v/>
      </c>
      <c r="AH1042" s="81">
        <f>IF(AN1042="","",P1042*(1-AG1042))</f>
        <v/>
      </c>
      <c r="AI1042" s="81">
        <f>IF(AN1042="","",IF(Q1042="Sin Factura",0,IFERROR(INDEX(Facturas_Odoo!$H:$H, MATCH(Q1042, Facturas_Odoo!$B:$B, 0)), 0)*(1-AG1042)))</f>
        <v/>
      </c>
      <c r="AJ1042" s="81">
        <f>IF(AN1042="","",_xlfn.LET(idVenta, AN1042&amp;"",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42" s="81">
        <f>IF(AN1042="","",AH1042-AJ1042)</f>
        <v/>
      </c>
      <c r="AL1042" s="81">
        <f>IF(AN1042="","",IF(Q1042="Sin Factura","",AI1042-AJ1042))</f>
        <v/>
      </c>
      <c r="AM1042" s="81">
        <f>IF(AN1042="","",IF(Q1042="Sin Factura",0,P1042-IFERROR(INDEX(Facturas_Odoo!$H:$H, MATCH(Q1042, Facturas_Odoo!$B:$B, 0)), 0)))</f>
        <v/>
      </c>
      <c r="AN1042" s="79">
        <f>IF(AND(A1042="", J1042=""), "", IF(A1042&lt;&gt;"", VALUE(MID(A1042,2,LEN(A1042))), AN1041))</f>
        <v/>
      </c>
      <c r="AO1042" s="79">
        <f>IF(AN1042="","",IF(AD1042=0,"OK",_xlfn.LET(monedaPago, IF(AA1042="","USD",AA1042), limitePermitido, IFERROR(VLOOKUP(monedaPago, Configuración!$A$2:$B$3, 2, FALSE), 0.15), IF(AD1042&gt;limitePermitido, "ALERTA: EXCESO (" &amp; TEXT(limitePermitido, "0%") &amp; " máx)", "OK"))))</f>
        <v/>
      </c>
      <c r="AP1042" s="79">
        <f>IF(AN1042="","",IF(AE1042=0,"OK",_xlfn.LET(fechaPago, Z1042, fechaFactura, R1042, diasCredito, IF(E1042="Pago inmediato", 0, IFERROR(VALUE(MID(E1042, 1, SEARCH(" ", E1042)-1)),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42" s="79">
        <f>IF(AN1042="","",IF(AND(N1042&gt;0, AG1042&gt;0), IF(Configuración!$K$2="NO", "ALERTA: DESCUENTO DOBLE NO PERMITIDO", "OK"), "OK"))</f>
        <v/>
      </c>
      <c r="AR1042" s="79">
        <f>IF(AN1042="","",IF(OR(AO1042&lt;&gt;"OK", AP1042&lt;&gt;"OK", AQ1042&lt;&gt;"OK"), "⚠️ REVISAR", "OK"))</f>
        <v/>
      </c>
    </row>
    <row r="1043">
      <c r="A1043" s="79">
        <f>IF('Ordenes_Odoo'!A1043="","",'Ordenes_Odoo'!A1043)</f>
        <v/>
      </c>
      <c r="B1043" s="80">
        <f>IF('Ordenes_Odoo'!B1043="","",'Ordenes_Odoo'!B1043)</f>
        <v/>
      </c>
      <c r="C1043" s="79">
        <f>IF('Ordenes_Odoo'!C1043="","",'Ordenes_Odoo'!C1043)</f>
        <v/>
      </c>
      <c r="D1043" s="79">
        <f>IF('Ordenes_Odoo'!D1043="","",'Ordenes_Odoo'!D1043)</f>
        <v/>
      </c>
      <c r="E1043" s="79">
        <f>IF('Ordenes_Odoo'!E1043="","",'Ordenes_Odoo'!E1043)</f>
        <v/>
      </c>
      <c r="F1043" s="79">
        <f>IF('Ordenes_Odoo'!F1043="","",'Ordenes_Odoo'!F1043)</f>
        <v/>
      </c>
      <c r="G1043" s="79">
        <f>IF('Ordenes_Odoo'!G1043="","",'Ordenes_Odoo'!G1043)</f>
        <v/>
      </c>
      <c r="H1043" s="79">
        <f>IF('Ordenes_Odoo'!H1043="","",'Ordenes_Odoo'!H1043)</f>
        <v/>
      </c>
      <c r="I1043" s="79">
        <f>IF('Ordenes_Odoo'!I1043="","",'Ordenes_Odoo'!I1043)</f>
        <v/>
      </c>
      <c r="J1043" s="79">
        <f>IF('Ordenes_Odoo'!J1043="","",'Ordenes_Odoo'!J1043)</f>
        <v/>
      </c>
      <c r="K1043" s="81">
        <f>IF('Ordenes_Odoo'!K1043="","",'Ordenes_Odoo'!K1043)</f>
        <v/>
      </c>
      <c r="L1043" s="81">
        <f>IF('Ordenes_Odoo'!L1043="","",'Ordenes_Odoo'!L1043)</f>
        <v/>
      </c>
      <c r="M1043" s="79">
        <f>IF('Ordenes_Odoo'!M1043="","",'Ordenes_Odoo'!M1043)</f>
        <v/>
      </c>
      <c r="N1043" s="79">
        <f>IF('Ordenes_Odoo'!N1043="","",'Ordenes_Odoo'!N1043)</f>
        <v/>
      </c>
      <c r="O1043" s="81">
        <f>IF('Ordenes_Odoo'!O1043="","",'Ordenes_Odoo'!O1043)</f>
        <v/>
      </c>
      <c r="P1043" s="81">
        <f>IF('Ordenes_Odoo'!P1043="","",'Ordenes_Odoo'!P1043)</f>
        <v/>
      </c>
      <c r="Q1043" s="79">
        <f>IF(A1043="","",IFERROR(INDEX(Facturas_Odoo!$B:$B, MATCH(A1043, Facturas_Odoo!$D:$D, 0)), "Sin Factura"))</f>
        <v/>
      </c>
      <c r="R1043" s="80">
        <f>IF(Q1043="Sin Factura","",IFERROR(INDEX(Facturas_Odoo!$A:$A, MATCH(Q1043, Facturas_Odoo!$B:$B, 0)), ""))</f>
        <v/>
      </c>
      <c r="S1043" s="79">
        <f>IF(Q1043="Sin Factura","",IFERROR(_xlfn.XLOOKUP(1, (Facturas_Odoo!$D:$D=A1043) * (Facturas_Odoo!$K:$K=I1043), Facturas_Odoo!$L:$L, ""), ""))</f>
        <v/>
      </c>
      <c r="T1043" s="81">
        <f>IF(Q1043="Sin Factura",0,IFERROR(_xlfn.XLOOKUP(1, (Facturas_Odoo!$D:$D=A1043) * (Facturas_Odoo!$K:$K=I1043), Facturas_Odoo!$M:$M, 0), 0))</f>
        <v/>
      </c>
      <c r="U1043" s="79">
        <f>IF(Q1043="Sin Factura",0,IFERROR(_xlfn.XLOOKUP(1, (Facturas_Odoo!$D:$D=A1043) * (Facturas_Odoo!$K:$K=I1043), Facturas_Odoo!$N:$N, 0), 0))</f>
        <v/>
      </c>
      <c r="V1043" s="79">
        <f>IF(Q1043="Sin Factura",0,IFERROR(_xlfn.XLOOKUP(1, (Facturas_Odoo!$D:$D=A1043) * (Facturas_Odoo!$K:$K=I1043), Facturas_Odoo!$O:$O, 0), 0))</f>
        <v/>
      </c>
      <c r="W1043" s="81">
        <f>IF(Q1043="Sin Factura",0,IFERROR(_xlfn.XLOOKUP(1, (Facturas_Odoo!$D:$D=A1043) * (Facturas_Odoo!$K:$K=I1043), Facturas_Odoo!$Q:$Q, 0), 0))</f>
        <v/>
      </c>
      <c r="X1043" s="79">
        <f>IF(OR(Q1043="Sin Factura",Q1043=""),"",IFERROR(INDEX(Pagos_Odoo!$B:$B, MATCH(Q1043, Pagos_Odoo!$I:$I, 0)), "Sin Pago"))</f>
        <v/>
      </c>
      <c r="Y1043" s="79">
        <f>IF(X1043="Sin Pago","",IFERROR(INDEX(Pagos_Odoo!$C:$C, MATCH(X1043, Pagos_Odoo!$B:$B, 0)), ""))</f>
        <v/>
      </c>
      <c r="Z1043" s="80">
        <f>IF(X1043="Sin Pago","",IFERROR(INDEX(Pagos_Odoo!$A:$A, MATCH(X1043, Pagos_Odoo!$B:$B, 0)), ""))</f>
        <v/>
      </c>
      <c r="AA1043" s="79">
        <f>IF(X1043="Sin Pago","",IFERROR(INDEX(Pagos_Odoo!$F:$F, MATCH(X1043, Pagos_Odoo!$B:$B, 0)), ""))</f>
        <v/>
      </c>
      <c r="AB1043" s="81">
        <f>IF(X1043="Sin Pago",0,IFERROR(INDEX(Pagos_Odoo!$E:$E, MATCH(X1043, Pagos_Odoo!$B:$B, 0)), 0))</f>
        <v/>
      </c>
      <c r="AC1043" s="79">
        <f>IF(X1043="Sin Pago","",IFERROR(INDEX(Pagos_Odoo!$G:$G, MATCH(X1043, Pagos_Odoo!$B:$B, 0)), ""))</f>
        <v/>
      </c>
      <c r="AD1043" s="82" t="n">
        <v>0</v>
      </c>
      <c r="AE1043" s="82" t="n"/>
      <c r="AF1043" s="82" t="n"/>
      <c r="AG1043" s="82">
        <f>IF(AN1043="","",AD1043+AE1043+AF1043)</f>
        <v/>
      </c>
      <c r="AH1043" s="81">
        <f>IF(AN1043="","",P1043*(1-AG1043))</f>
        <v/>
      </c>
      <c r="AI1043" s="81">
        <f>IF(AN1043="","",IF(Q1043="Sin Factura",0,IFERROR(INDEX(Facturas_Odoo!$H:$H, MATCH(Q1043, Facturas_Odoo!$B:$B, 0)), 0)*(1-AG1043)))</f>
        <v/>
      </c>
      <c r="AJ1043" s="81">
        <f>IF(AN1043="","",_xlfn.LET(idVenta, AN1043&amp;"",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43" s="81">
        <f>IF(AN1043="","",AH1043-AJ1043)</f>
        <v/>
      </c>
      <c r="AL1043" s="81">
        <f>IF(AN1043="","",IF(Q1043="Sin Factura","",AI1043-AJ1043))</f>
        <v/>
      </c>
      <c r="AM1043" s="81">
        <f>IF(AN1043="","",IF(Q1043="Sin Factura",0,P1043-IFERROR(INDEX(Facturas_Odoo!$H:$H, MATCH(Q1043, Facturas_Odoo!$B:$B, 0)), 0)))</f>
        <v/>
      </c>
      <c r="AN1043" s="79">
        <f>IF(AND(A1043="", J1043=""), "", IF(A1043&lt;&gt;"", VALUE(MID(A1043,2,LEN(A1043))), AN1042))</f>
        <v/>
      </c>
      <c r="AO1043" s="79">
        <f>IF(AN1043="","",IF(AD1043=0,"OK",_xlfn.LET(monedaPago, IF(AA1043="","USD",AA1043), limitePermitido, IFERROR(VLOOKUP(monedaPago, Configuración!$A$2:$B$3, 2, FALSE), 0.15), IF(AD1043&gt;limitePermitido, "ALERTA: EXCESO (" &amp; TEXT(limitePermitido, "0%") &amp; " máx)", "OK"))))</f>
        <v/>
      </c>
      <c r="AP1043" s="79">
        <f>IF(AN1043="","",IF(AE1043=0,"OK",_xlfn.LET(fechaPago, Z1043, fechaFactura, R1043, diasCredito, IF(E1043="Pago inmediato", 0, IFERROR(VALUE(MID(E1043, 1, SEARCH(" ", E1043)-1)),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43" s="79">
        <f>IF(AN1043="","",IF(AND(N1043&gt;0, AG1043&gt;0), IF(Configuración!$K$2="NO", "ALERTA: DESCUENTO DOBLE NO PERMITIDO", "OK"), "OK"))</f>
        <v/>
      </c>
      <c r="AR1043" s="79">
        <f>IF(AN1043="","",IF(OR(AO1043&lt;&gt;"OK", AP1043&lt;&gt;"OK", AQ1043&lt;&gt;"OK"), "⚠️ REVISAR", "OK"))</f>
        <v/>
      </c>
    </row>
    <row r="1044">
      <c r="A1044" s="79">
        <f>IF('Ordenes_Odoo'!A1044="","",'Ordenes_Odoo'!A1044)</f>
        <v/>
      </c>
      <c r="B1044" s="80">
        <f>IF('Ordenes_Odoo'!B1044="","",'Ordenes_Odoo'!B1044)</f>
        <v/>
      </c>
      <c r="C1044" s="79">
        <f>IF('Ordenes_Odoo'!C1044="","",'Ordenes_Odoo'!C1044)</f>
        <v/>
      </c>
      <c r="D1044" s="79">
        <f>IF('Ordenes_Odoo'!D1044="","",'Ordenes_Odoo'!D1044)</f>
        <v/>
      </c>
      <c r="E1044" s="79">
        <f>IF('Ordenes_Odoo'!E1044="","",'Ordenes_Odoo'!E1044)</f>
        <v/>
      </c>
      <c r="F1044" s="79">
        <f>IF('Ordenes_Odoo'!F1044="","",'Ordenes_Odoo'!F1044)</f>
        <v/>
      </c>
      <c r="G1044" s="79">
        <f>IF('Ordenes_Odoo'!G1044="","",'Ordenes_Odoo'!G1044)</f>
        <v/>
      </c>
      <c r="H1044" s="79">
        <f>IF('Ordenes_Odoo'!H1044="","",'Ordenes_Odoo'!H1044)</f>
        <v/>
      </c>
      <c r="I1044" s="79">
        <f>IF('Ordenes_Odoo'!I1044="","",'Ordenes_Odoo'!I1044)</f>
        <v/>
      </c>
      <c r="J1044" s="79">
        <f>IF('Ordenes_Odoo'!J1044="","",'Ordenes_Odoo'!J1044)</f>
        <v/>
      </c>
      <c r="K1044" s="81">
        <f>IF('Ordenes_Odoo'!K1044="","",'Ordenes_Odoo'!K1044)</f>
        <v/>
      </c>
      <c r="L1044" s="81">
        <f>IF('Ordenes_Odoo'!L1044="","",'Ordenes_Odoo'!L1044)</f>
        <v/>
      </c>
      <c r="M1044" s="79">
        <f>IF('Ordenes_Odoo'!M1044="","",'Ordenes_Odoo'!M1044)</f>
        <v/>
      </c>
      <c r="N1044" s="79">
        <f>IF('Ordenes_Odoo'!N1044="","",'Ordenes_Odoo'!N1044)</f>
        <v/>
      </c>
      <c r="O1044" s="81">
        <f>IF('Ordenes_Odoo'!O1044="","",'Ordenes_Odoo'!O1044)</f>
        <v/>
      </c>
      <c r="P1044" s="81">
        <f>IF('Ordenes_Odoo'!P1044="","",'Ordenes_Odoo'!P1044)</f>
        <v/>
      </c>
      <c r="Q1044" s="79">
        <f>IF(A1044="","",IFERROR(INDEX(Facturas_Odoo!$B:$B, MATCH(A1044, Facturas_Odoo!$D:$D, 0)), "Sin Factura"))</f>
        <v/>
      </c>
      <c r="R1044" s="80">
        <f>IF(Q1044="Sin Factura","",IFERROR(INDEX(Facturas_Odoo!$A:$A, MATCH(Q1044, Facturas_Odoo!$B:$B, 0)), ""))</f>
        <v/>
      </c>
      <c r="S1044" s="79">
        <f>IF(Q1044="Sin Factura","",IFERROR(_xlfn.XLOOKUP(1, (Facturas_Odoo!$D:$D=A1044) * (Facturas_Odoo!$K:$K=I1044), Facturas_Odoo!$L:$L, ""), ""))</f>
        <v/>
      </c>
      <c r="T1044" s="81">
        <f>IF(Q1044="Sin Factura",0,IFERROR(_xlfn.XLOOKUP(1, (Facturas_Odoo!$D:$D=A1044) * (Facturas_Odoo!$K:$K=I1044), Facturas_Odoo!$M:$M, 0), 0))</f>
        <v/>
      </c>
      <c r="U1044" s="79">
        <f>IF(Q1044="Sin Factura",0,IFERROR(_xlfn.XLOOKUP(1, (Facturas_Odoo!$D:$D=A1044) * (Facturas_Odoo!$K:$K=I1044), Facturas_Odoo!$N:$N, 0), 0))</f>
        <v/>
      </c>
      <c r="V1044" s="79">
        <f>IF(Q1044="Sin Factura",0,IFERROR(_xlfn.XLOOKUP(1, (Facturas_Odoo!$D:$D=A1044) * (Facturas_Odoo!$K:$K=I1044), Facturas_Odoo!$O:$O, 0), 0))</f>
        <v/>
      </c>
      <c r="W1044" s="81">
        <f>IF(Q1044="Sin Factura",0,IFERROR(_xlfn.XLOOKUP(1, (Facturas_Odoo!$D:$D=A1044) * (Facturas_Odoo!$K:$K=I1044), Facturas_Odoo!$Q:$Q, 0), 0))</f>
        <v/>
      </c>
      <c r="X1044" s="79">
        <f>IF(OR(Q1044="Sin Factura",Q1044=""),"",IFERROR(INDEX(Pagos_Odoo!$B:$B, MATCH(Q1044, Pagos_Odoo!$I:$I, 0)), "Sin Pago"))</f>
        <v/>
      </c>
      <c r="Y1044" s="79">
        <f>IF(X1044="Sin Pago","",IFERROR(INDEX(Pagos_Odoo!$C:$C, MATCH(X1044, Pagos_Odoo!$B:$B, 0)), ""))</f>
        <v/>
      </c>
      <c r="Z1044" s="80">
        <f>IF(X1044="Sin Pago","",IFERROR(INDEX(Pagos_Odoo!$A:$A, MATCH(X1044, Pagos_Odoo!$B:$B, 0)), ""))</f>
        <v/>
      </c>
      <c r="AA1044" s="79">
        <f>IF(X1044="Sin Pago","",IFERROR(INDEX(Pagos_Odoo!$F:$F, MATCH(X1044, Pagos_Odoo!$B:$B, 0)), ""))</f>
        <v/>
      </c>
      <c r="AB1044" s="81">
        <f>IF(X1044="Sin Pago",0,IFERROR(INDEX(Pagos_Odoo!$E:$E, MATCH(X1044, Pagos_Odoo!$B:$B, 0)), 0))</f>
        <v/>
      </c>
      <c r="AC1044" s="79">
        <f>IF(X1044="Sin Pago","",IFERROR(INDEX(Pagos_Odoo!$G:$G, MATCH(X1044, Pagos_Odoo!$B:$B, 0)), ""))</f>
        <v/>
      </c>
      <c r="AD1044" s="82" t="n">
        <v>0</v>
      </c>
      <c r="AE1044" s="82" t="n"/>
      <c r="AF1044" s="82" t="n"/>
      <c r="AG1044" s="82">
        <f>IF(AN1044="","",AD1044+AE1044+AF1044)</f>
        <v/>
      </c>
      <c r="AH1044" s="81">
        <f>IF(AN1044="","",P1044*(1-AG1044))</f>
        <v/>
      </c>
      <c r="AI1044" s="81">
        <f>IF(AN1044="","",IF(Q1044="Sin Factura",0,IFERROR(INDEX(Facturas_Odoo!$H:$H, MATCH(Q1044, Facturas_Odoo!$B:$B, 0)), 0)*(1-AG1044)))</f>
        <v/>
      </c>
      <c r="AJ1044" s="81">
        <f>IF(AN1044="","",_xlfn.LET(idVenta, AN1044&amp;"",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44" s="81">
        <f>IF(AN1044="","",AH1044-AJ1044)</f>
        <v/>
      </c>
      <c r="AL1044" s="81">
        <f>IF(AN1044="","",IF(Q1044="Sin Factura","",AI1044-AJ1044))</f>
        <v/>
      </c>
      <c r="AM1044" s="81">
        <f>IF(AN1044="","",IF(Q1044="Sin Factura",0,P1044-IFERROR(INDEX(Facturas_Odoo!$H:$H, MATCH(Q1044, Facturas_Odoo!$B:$B, 0)), 0)))</f>
        <v/>
      </c>
      <c r="AN1044" s="79">
        <f>IF(AND(A1044="", J1044=""), "", IF(A1044&lt;&gt;"", VALUE(MID(A1044,2,LEN(A1044))), AN1043))</f>
        <v/>
      </c>
      <c r="AO1044" s="79">
        <f>IF(AN1044="","",IF(AD1044=0,"OK",_xlfn.LET(monedaPago, IF(AA1044="","USD",AA1044), limitePermitido, IFERROR(VLOOKUP(monedaPago, Configuración!$A$2:$B$3, 2, FALSE), 0.15), IF(AD1044&gt;limitePermitido, "ALERTA: EXCESO (" &amp; TEXT(limitePermitido, "0%") &amp; " máx)", "OK"))))</f>
        <v/>
      </c>
      <c r="AP1044" s="79">
        <f>IF(AN1044="","",IF(AE1044=0,"OK",_xlfn.LET(fechaPago, Z1044, fechaFactura, R1044, diasCredito, IF(E1044="Pago inmediato", 0, IFERROR(VALUE(MID(E1044, 1, SEARCH(" ", E1044)-1)),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44" s="79">
        <f>IF(AN1044="","",IF(AND(N1044&gt;0, AG1044&gt;0), IF(Configuración!$K$2="NO", "ALERTA: DESCUENTO DOBLE NO PERMITIDO", "OK"), "OK"))</f>
        <v/>
      </c>
      <c r="AR1044" s="79">
        <f>IF(AN1044="","",IF(OR(AO1044&lt;&gt;"OK", AP1044&lt;&gt;"OK", AQ1044&lt;&gt;"OK"), "⚠️ REVISAR", "OK"))</f>
        <v/>
      </c>
    </row>
    <row r="1045">
      <c r="A1045" s="79">
        <f>IF('Ordenes_Odoo'!A1045="","",'Ordenes_Odoo'!A1045)</f>
        <v/>
      </c>
      <c r="B1045" s="80">
        <f>IF('Ordenes_Odoo'!B1045="","",'Ordenes_Odoo'!B1045)</f>
        <v/>
      </c>
      <c r="C1045" s="79">
        <f>IF('Ordenes_Odoo'!C1045="","",'Ordenes_Odoo'!C1045)</f>
        <v/>
      </c>
      <c r="D1045" s="79">
        <f>IF('Ordenes_Odoo'!D1045="","",'Ordenes_Odoo'!D1045)</f>
        <v/>
      </c>
      <c r="E1045" s="79">
        <f>IF('Ordenes_Odoo'!E1045="","",'Ordenes_Odoo'!E1045)</f>
        <v/>
      </c>
      <c r="F1045" s="79">
        <f>IF('Ordenes_Odoo'!F1045="","",'Ordenes_Odoo'!F1045)</f>
        <v/>
      </c>
      <c r="G1045" s="79">
        <f>IF('Ordenes_Odoo'!G1045="","",'Ordenes_Odoo'!G1045)</f>
        <v/>
      </c>
      <c r="H1045" s="79">
        <f>IF('Ordenes_Odoo'!H1045="","",'Ordenes_Odoo'!H1045)</f>
        <v/>
      </c>
      <c r="I1045" s="79">
        <f>IF('Ordenes_Odoo'!I1045="","",'Ordenes_Odoo'!I1045)</f>
        <v/>
      </c>
      <c r="J1045" s="79">
        <f>IF('Ordenes_Odoo'!J1045="","",'Ordenes_Odoo'!J1045)</f>
        <v/>
      </c>
      <c r="K1045" s="81">
        <f>IF('Ordenes_Odoo'!K1045="","",'Ordenes_Odoo'!K1045)</f>
        <v/>
      </c>
      <c r="L1045" s="81">
        <f>IF('Ordenes_Odoo'!L1045="","",'Ordenes_Odoo'!L1045)</f>
        <v/>
      </c>
      <c r="M1045" s="79">
        <f>IF('Ordenes_Odoo'!M1045="","",'Ordenes_Odoo'!M1045)</f>
        <v/>
      </c>
      <c r="N1045" s="79">
        <f>IF('Ordenes_Odoo'!N1045="","",'Ordenes_Odoo'!N1045)</f>
        <v/>
      </c>
      <c r="O1045" s="81">
        <f>IF('Ordenes_Odoo'!O1045="","",'Ordenes_Odoo'!O1045)</f>
        <v/>
      </c>
      <c r="P1045" s="81">
        <f>IF('Ordenes_Odoo'!P1045="","",'Ordenes_Odoo'!P1045)</f>
        <v/>
      </c>
      <c r="Q1045" s="79">
        <f>IF(A1045="","",IFERROR(INDEX(Facturas_Odoo!$B:$B, MATCH(A1045, Facturas_Odoo!$D:$D, 0)), "Sin Factura"))</f>
        <v/>
      </c>
      <c r="R1045" s="80">
        <f>IF(Q1045="Sin Factura","",IFERROR(INDEX(Facturas_Odoo!$A:$A, MATCH(Q1045, Facturas_Odoo!$B:$B, 0)), ""))</f>
        <v/>
      </c>
      <c r="S1045" s="79">
        <f>IF(Q1045="Sin Factura","",IFERROR(_xlfn.XLOOKUP(1, (Facturas_Odoo!$D:$D=A1045) * (Facturas_Odoo!$K:$K=I1045), Facturas_Odoo!$L:$L, ""), ""))</f>
        <v/>
      </c>
      <c r="T1045" s="81">
        <f>IF(Q1045="Sin Factura",0,IFERROR(_xlfn.XLOOKUP(1, (Facturas_Odoo!$D:$D=A1045) * (Facturas_Odoo!$K:$K=I1045), Facturas_Odoo!$M:$M, 0), 0))</f>
        <v/>
      </c>
      <c r="U1045" s="79">
        <f>IF(Q1045="Sin Factura",0,IFERROR(_xlfn.XLOOKUP(1, (Facturas_Odoo!$D:$D=A1045) * (Facturas_Odoo!$K:$K=I1045), Facturas_Odoo!$N:$N, 0), 0))</f>
        <v/>
      </c>
      <c r="V1045" s="79">
        <f>IF(Q1045="Sin Factura",0,IFERROR(_xlfn.XLOOKUP(1, (Facturas_Odoo!$D:$D=A1045) * (Facturas_Odoo!$K:$K=I1045), Facturas_Odoo!$O:$O, 0), 0))</f>
        <v/>
      </c>
      <c r="W1045" s="81">
        <f>IF(Q1045="Sin Factura",0,IFERROR(_xlfn.XLOOKUP(1, (Facturas_Odoo!$D:$D=A1045) * (Facturas_Odoo!$K:$K=I1045), Facturas_Odoo!$Q:$Q, 0), 0))</f>
        <v/>
      </c>
      <c r="X1045" s="79">
        <f>IF(OR(Q1045="Sin Factura",Q1045=""),"",IFERROR(INDEX(Pagos_Odoo!$B:$B, MATCH(Q1045, Pagos_Odoo!$I:$I, 0)), "Sin Pago"))</f>
        <v/>
      </c>
      <c r="Y1045" s="79">
        <f>IF(X1045="Sin Pago","",IFERROR(INDEX(Pagos_Odoo!$C:$C, MATCH(X1045, Pagos_Odoo!$B:$B, 0)), ""))</f>
        <v/>
      </c>
      <c r="Z1045" s="80">
        <f>IF(X1045="Sin Pago","",IFERROR(INDEX(Pagos_Odoo!$A:$A, MATCH(X1045, Pagos_Odoo!$B:$B, 0)), ""))</f>
        <v/>
      </c>
      <c r="AA1045" s="79">
        <f>IF(X1045="Sin Pago","",IFERROR(INDEX(Pagos_Odoo!$F:$F, MATCH(X1045, Pagos_Odoo!$B:$B, 0)), ""))</f>
        <v/>
      </c>
      <c r="AB1045" s="81">
        <f>IF(X1045="Sin Pago",0,IFERROR(INDEX(Pagos_Odoo!$E:$E, MATCH(X1045, Pagos_Odoo!$B:$B, 0)), 0))</f>
        <v/>
      </c>
      <c r="AC1045" s="79">
        <f>IF(X1045="Sin Pago","",IFERROR(INDEX(Pagos_Odoo!$G:$G, MATCH(X1045, Pagos_Odoo!$B:$B, 0)), ""))</f>
        <v/>
      </c>
      <c r="AD1045" s="82" t="n">
        <v>0</v>
      </c>
      <c r="AE1045" s="82" t="n"/>
      <c r="AF1045" s="82" t="n"/>
      <c r="AG1045" s="82">
        <f>IF(AN1045="","",AD1045+AE1045+AF1045)</f>
        <v/>
      </c>
      <c r="AH1045" s="81">
        <f>IF(AN1045="","",P1045*(1-AG1045))</f>
        <v/>
      </c>
      <c r="AI1045" s="81">
        <f>IF(AN1045="","",IF(Q1045="Sin Factura",0,IFERROR(INDEX(Facturas_Odoo!$H:$H, MATCH(Q1045, Facturas_Odoo!$B:$B, 0)), 0)*(1-AG1045)))</f>
        <v/>
      </c>
      <c r="AJ1045" s="81">
        <f>IF(AN1045="","",_xlfn.LET(idVenta, AN1045&amp;"",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45" s="81">
        <f>IF(AN1045="","",AH1045-AJ1045)</f>
        <v/>
      </c>
      <c r="AL1045" s="81">
        <f>IF(AN1045="","",IF(Q1045="Sin Factura","",AI1045-AJ1045))</f>
        <v/>
      </c>
      <c r="AM1045" s="81">
        <f>IF(AN1045="","",IF(Q1045="Sin Factura",0,P1045-IFERROR(INDEX(Facturas_Odoo!$H:$H, MATCH(Q1045, Facturas_Odoo!$B:$B, 0)), 0)))</f>
        <v/>
      </c>
      <c r="AN1045" s="79">
        <f>IF(AND(A1045="", J1045=""), "", IF(A1045&lt;&gt;"", VALUE(MID(A1045,2,LEN(A1045))), AN1044))</f>
        <v/>
      </c>
      <c r="AO1045" s="79">
        <f>IF(AN1045="","",IF(AD1045=0,"OK",_xlfn.LET(monedaPago, IF(AA1045="","USD",AA1045), limitePermitido, IFERROR(VLOOKUP(monedaPago, Configuración!$A$2:$B$3, 2, FALSE), 0.15), IF(AD1045&gt;limitePermitido, "ALERTA: EXCESO (" &amp; TEXT(limitePermitido, "0%") &amp; " máx)", "OK"))))</f>
        <v/>
      </c>
      <c r="AP1045" s="79">
        <f>IF(AN1045="","",IF(AE1045=0,"OK",_xlfn.LET(fechaPago, Z1045, fechaFactura, R1045, diasCredito, IF(E1045="Pago inmediato", 0, IFERROR(VALUE(MID(E1045, 1, SEARCH(" ", E1045)-1)),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45" s="79">
        <f>IF(AN1045="","",IF(AND(N1045&gt;0, AG1045&gt;0), IF(Configuración!$K$2="NO", "ALERTA: DESCUENTO DOBLE NO PERMITIDO", "OK"), "OK"))</f>
        <v/>
      </c>
      <c r="AR1045" s="79">
        <f>IF(AN1045="","",IF(OR(AO1045&lt;&gt;"OK", AP1045&lt;&gt;"OK", AQ1045&lt;&gt;"OK"), "⚠️ REVISAR", "OK"))</f>
        <v/>
      </c>
    </row>
    <row r="1046">
      <c r="A1046" s="79">
        <f>IF('Ordenes_Odoo'!A1046="","",'Ordenes_Odoo'!A1046)</f>
        <v/>
      </c>
      <c r="B1046" s="80">
        <f>IF('Ordenes_Odoo'!B1046="","",'Ordenes_Odoo'!B1046)</f>
        <v/>
      </c>
      <c r="C1046" s="79">
        <f>IF('Ordenes_Odoo'!C1046="","",'Ordenes_Odoo'!C1046)</f>
        <v/>
      </c>
      <c r="D1046" s="79">
        <f>IF('Ordenes_Odoo'!D1046="","",'Ordenes_Odoo'!D1046)</f>
        <v/>
      </c>
      <c r="E1046" s="79">
        <f>IF('Ordenes_Odoo'!E1046="","",'Ordenes_Odoo'!E1046)</f>
        <v/>
      </c>
      <c r="F1046" s="79">
        <f>IF('Ordenes_Odoo'!F1046="","",'Ordenes_Odoo'!F1046)</f>
        <v/>
      </c>
      <c r="G1046" s="79">
        <f>IF('Ordenes_Odoo'!G1046="","",'Ordenes_Odoo'!G1046)</f>
        <v/>
      </c>
      <c r="H1046" s="79">
        <f>IF('Ordenes_Odoo'!H1046="","",'Ordenes_Odoo'!H1046)</f>
        <v/>
      </c>
      <c r="I1046" s="79">
        <f>IF('Ordenes_Odoo'!I1046="","",'Ordenes_Odoo'!I1046)</f>
        <v/>
      </c>
      <c r="J1046" s="79">
        <f>IF('Ordenes_Odoo'!J1046="","",'Ordenes_Odoo'!J1046)</f>
        <v/>
      </c>
      <c r="K1046" s="81">
        <f>IF('Ordenes_Odoo'!K1046="","",'Ordenes_Odoo'!K1046)</f>
        <v/>
      </c>
      <c r="L1046" s="81">
        <f>IF('Ordenes_Odoo'!L1046="","",'Ordenes_Odoo'!L1046)</f>
        <v/>
      </c>
      <c r="M1046" s="79">
        <f>IF('Ordenes_Odoo'!M1046="","",'Ordenes_Odoo'!M1046)</f>
        <v/>
      </c>
      <c r="N1046" s="79">
        <f>IF('Ordenes_Odoo'!N1046="","",'Ordenes_Odoo'!N1046)</f>
        <v/>
      </c>
      <c r="O1046" s="81">
        <f>IF('Ordenes_Odoo'!O1046="","",'Ordenes_Odoo'!O1046)</f>
        <v/>
      </c>
      <c r="P1046" s="81">
        <f>IF('Ordenes_Odoo'!P1046="","",'Ordenes_Odoo'!P1046)</f>
        <v/>
      </c>
      <c r="Q1046" s="79">
        <f>IF(A1046="","",IFERROR(INDEX(Facturas_Odoo!$B:$B, MATCH(A1046, Facturas_Odoo!$D:$D, 0)), "Sin Factura"))</f>
        <v/>
      </c>
      <c r="R1046" s="80">
        <f>IF(Q1046="Sin Factura","",IFERROR(INDEX(Facturas_Odoo!$A:$A, MATCH(Q1046, Facturas_Odoo!$B:$B, 0)), ""))</f>
        <v/>
      </c>
      <c r="S1046" s="79">
        <f>IF(Q1046="Sin Factura","",IFERROR(_xlfn.XLOOKUP(1, (Facturas_Odoo!$D:$D=A1046) * (Facturas_Odoo!$K:$K=I1046), Facturas_Odoo!$L:$L, ""), ""))</f>
        <v/>
      </c>
      <c r="T1046" s="81">
        <f>IF(Q1046="Sin Factura",0,IFERROR(_xlfn.XLOOKUP(1, (Facturas_Odoo!$D:$D=A1046) * (Facturas_Odoo!$K:$K=I1046), Facturas_Odoo!$M:$M, 0), 0))</f>
        <v/>
      </c>
      <c r="U1046" s="79">
        <f>IF(Q1046="Sin Factura",0,IFERROR(_xlfn.XLOOKUP(1, (Facturas_Odoo!$D:$D=A1046) * (Facturas_Odoo!$K:$K=I1046), Facturas_Odoo!$N:$N, 0), 0))</f>
        <v/>
      </c>
      <c r="V1046" s="79">
        <f>IF(Q1046="Sin Factura",0,IFERROR(_xlfn.XLOOKUP(1, (Facturas_Odoo!$D:$D=A1046) * (Facturas_Odoo!$K:$K=I1046), Facturas_Odoo!$O:$O, 0), 0))</f>
        <v/>
      </c>
      <c r="W1046" s="81">
        <f>IF(Q1046="Sin Factura",0,IFERROR(_xlfn.XLOOKUP(1, (Facturas_Odoo!$D:$D=A1046) * (Facturas_Odoo!$K:$K=I1046), Facturas_Odoo!$Q:$Q, 0), 0))</f>
        <v/>
      </c>
      <c r="X1046" s="79">
        <f>IF(OR(Q1046="Sin Factura",Q1046=""),"",IFERROR(INDEX(Pagos_Odoo!$B:$B, MATCH(Q1046, Pagos_Odoo!$I:$I, 0)), "Sin Pago"))</f>
        <v/>
      </c>
      <c r="Y1046" s="79">
        <f>IF(X1046="Sin Pago","",IFERROR(INDEX(Pagos_Odoo!$C:$C, MATCH(X1046, Pagos_Odoo!$B:$B, 0)), ""))</f>
        <v/>
      </c>
      <c r="Z1046" s="80">
        <f>IF(X1046="Sin Pago","",IFERROR(INDEX(Pagos_Odoo!$A:$A, MATCH(X1046, Pagos_Odoo!$B:$B, 0)), ""))</f>
        <v/>
      </c>
      <c r="AA1046" s="79">
        <f>IF(X1046="Sin Pago","",IFERROR(INDEX(Pagos_Odoo!$F:$F, MATCH(X1046, Pagos_Odoo!$B:$B, 0)), ""))</f>
        <v/>
      </c>
      <c r="AB1046" s="81">
        <f>IF(X1046="Sin Pago",0,IFERROR(INDEX(Pagos_Odoo!$E:$E, MATCH(X1046, Pagos_Odoo!$B:$B, 0)), 0))</f>
        <v/>
      </c>
      <c r="AC1046" s="79">
        <f>IF(X1046="Sin Pago","",IFERROR(INDEX(Pagos_Odoo!$G:$G, MATCH(X1046, Pagos_Odoo!$B:$B, 0)), ""))</f>
        <v/>
      </c>
      <c r="AD1046" s="82" t="n">
        <v>0</v>
      </c>
      <c r="AE1046" s="82" t="n"/>
      <c r="AF1046" s="82" t="n"/>
      <c r="AG1046" s="82">
        <f>IF(AN1046="","",AD1046+AE1046+AF1046)</f>
        <v/>
      </c>
      <c r="AH1046" s="81">
        <f>IF(AN1046="","",P1046*(1-AG1046))</f>
        <v/>
      </c>
      <c r="AI1046" s="81">
        <f>IF(AN1046="","",IF(Q1046="Sin Factura",0,IFERROR(INDEX(Facturas_Odoo!$H:$H, MATCH(Q1046, Facturas_Odoo!$B:$B, 0)), 0)*(1-AG1046)))</f>
        <v/>
      </c>
      <c r="AJ1046" s="81">
        <f>IF(AN1046="","",_xlfn.LET(idVenta, AN1046&amp;"",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46" s="81">
        <f>IF(AN1046="","",AH1046-AJ1046)</f>
        <v/>
      </c>
      <c r="AL1046" s="81">
        <f>IF(AN1046="","",IF(Q1046="Sin Factura","",AI1046-AJ1046))</f>
        <v/>
      </c>
      <c r="AM1046" s="81">
        <f>IF(AN1046="","",IF(Q1046="Sin Factura",0,P1046-IFERROR(INDEX(Facturas_Odoo!$H:$H, MATCH(Q1046, Facturas_Odoo!$B:$B, 0)), 0)))</f>
        <v/>
      </c>
      <c r="AN1046" s="79">
        <f>IF(AND(A1046="", J1046=""), "", IF(A1046&lt;&gt;"", VALUE(MID(A1046,2,LEN(A1046))), AN1045))</f>
        <v/>
      </c>
      <c r="AO1046" s="79">
        <f>IF(AN1046="","",IF(AD1046=0,"OK",_xlfn.LET(monedaPago, IF(AA1046="","USD",AA1046), limitePermitido, IFERROR(VLOOKUP(monedaPago, Configuración!$A$2:$B$3, 2, FALSE), 0.15), IF(AD1046&gt;limitePermitido, "ALERTA: EXCESO (" &amp; TEXT(limitePermitido, "0%") &amp; " máx)", "OK"))))</f>
        <v/>
      </c>
      <c r="AP1046" s="79">
        <f>IF(AN1046="","",IF(AE1046=0,"OK",_xlfn.LET(fechaPago, Z1046, fechaFactura, R1046, diasCredito, IF(E1046="Pago inmediato", 0, IFERROR(VALUE(MID(E1046, 1, SEARCH(" ", E1046)-1)),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46" s="79">
        <f>IF(AN1046="","",IF(AND(N1046&gt;0, AG1046&gt;0), IF(Configuración!$K$2="NO", "ALERTA: DESCUENTO DOBLE NO PERMITIDO", "OK"), "OK"))</f>
        <v/>
      </c>
      <c r="AR1046" s="79">
        <f>IF(AN1046="","",IF(OR(AO1046&lt;&gt;"OK", AP1046&lt;&gt;"OK", AQ1046&lt;&gt;"OK"), "⚠️ REVISAR", "OK"))</f>
        <v/>
      </c>
    </row>
    <row r="1047">
      <c r="A1047" s="79">
        <f>IF('Ordenes_Odoo'!A1047="","",'Ordenes_Odoo'!A1047)</f>
        <v/>
      </c>
      <c r="B1047" s="80">
        <f>IF('Ordenes_Odoo'!B1047="","",'Ordenes_Odoo'!B1047)</f>
        <v/>
      </c>
      <c r="C1047" s="79">
        <f>IF('Ordenes_Odoo'!C1047="","",'Ordenes_Odoo'!C1047)</f>
        <v/>
      </c>
      <c r="D1047" s="79">
        <f>IF('Ordenes_Odoo'!D1047="","",'Ordenes_Odoo'!D1047)</f>
        <v/>
      </c>
      <c r="E1047" s="79">
        <f>IF('Ordenes_Odoo'!E1047="","",'Ordenes_Odoo'!E1047)</f>
        <v/>
      </c>
      <c r="F1047" s="79">
        <f>IF('Ordenes_Odoo'!F1047="","",'Ordenes_Odoo'!F1047)</f>
        <v/>
      </c>
      <c r="G1047" s="79">
        <f>IF('Ordenes_Odoo'!G1047="","",'Ordenes_Odoo'!G1047)</f>
        <v/>
      </c>
      <c r="H1047" s="79">
        <f>IF('Ordenes_Odoo'!H1047="","",'Ordenes_Odoo'!H1047)</f>
        <v/>
      </c>
      <c r="I1047" s="79">
        <f>IF('Ordenes_Odoo'!I1047="","",'Ordenes_Odoo'!I1047)</f>
        <v/>
      </c>
      <c r="J1047" s="79">
        <f>IF('Ordenes_Odoo'!J1047="","",'Ordenes_Odoo'!J1047)</f>
        <v/>
      </c>
      <c r="K1047" s="81">
        <f>IF('Ordenes_Odoo'!K1047="","",'Ordenes_Odoo'!K1047)</f>
        <v/>
      </c>
      <c r="L1047" s="81">
        <f>IF('Ordenes_Odoo'!L1047="","",'Ordenes_Odoo'!L1047)</f>
        <v/>
      </c>
      <c r="M1047" s="79">
        <f>IF('Ordenes_Odoo'!M1047="","",'Ordenes_Odoo'!M1047)</f>
        <v/>
      </c>
      <c r="N1047" s="79">
        <f>IF('Ordenes_Odoo'!N1047="","",'Ordenes_Odoo'!N1047)</f>
        <v/>
      </c>
      <c r="O1047" s="81">
        <f>IF('Ordenes_Odoo'!O1047="","",'Ordenes_Odoo'!O1047)</f>
        <v/>
      </c>
      <c r="P1047" s="81">
        <f>IF('Ordenes_Odoo'!P1047="","",'Ordenes_Odoo'!P1047)</f>
        <v/>
      </c>
      <c r="Q1047" s="79">
        <f>IF(A1047="","",IFERROR(INDEX(Facturas_Odoo!$B:$B, MATCH(A1047, Facturas_Odoo!$D:$D, 0)), "Sin Factura"))</f>
        <v/>
      </c>
      <c r="R1047" s="80">
        <f>IF(Q1047="Sin Factura","",IFERROR(INDEX(Facturas_Odoo!$A:$A, MATCH(Q1047, Facturas_Odoo!$B:$B, 0)), ""))</f>
        <v/>
      </c>
      <c r="S1047" s="79">
        <f>IF(Q1047="Sin Factura","",IFERROR(_xlfn.XLOOKUP(1, (Facturas_Odoo!$D:$D=A1047) * (Facturas_Odoo!$K:$K=I1047), Facturas_Odoo!$L:$L, ""), ""))</f>
        <v/>
      </c>
      <c r="T1047" s="81">
        <f>IF(Q1047="Sin Factura",0,IFERROR(_xlfn.XLOOKUP(1, (Facturas_Odoo!$D:$D=A1047) * (Facturas_Odoo!$K:$K=I1047), Facturas_Odoo!$M:$M, 0), 0))</f>
        <v/>
      </c>
      <c r="U1047" s="79">
        <f>IF(Q1047="Sin Factura",0,IFERROR(_xlfn.XLOOKUP(1, (Facturas_Odoo!$D:$D=A1047) * (Facturas_Odoo!$K:$K=I1047), Facturas_Odoo!$N:$N, 0), 0))</f>
        <v/>
      </c>
      <c r="V1047" s="79">
        <f>IF(Q1047="Sin Factura",0,IFERROR(_xlfn.XLOOKUP(1, (Facturas_Odoo!$D:$D=A1047) * (Facturas_Odoo!$K:$K=I1047), Facturas_Odoo!$O:$O, 0), 0))</f>
        <v/>
      </c>
      <c r="W1047" s="81">
        <f>IF(Q1047="Sin Factura",0,IFERROR(_xlfn.XLOOKUP(1, (Facturas_Odoo!$D:$D=A1047) * (Facturas_Odoo!$K:$K=I1047), Facturas_Odoo!$Q:$Q, 0), 0))</f>
        <v/>
      </c>
      <c r="X1047" s="79">
        <f>IF(OR(Q1047="Sin Factura",Q1047=""),"",IFERROR(INDEX(Pagos_Odoo!$B:$B, MATCH(Q1047, Pagos_Odoo!$I:$I, 0)), "Sin Pago"))</f>
        <v/>
      </c>
      <c r="Y1047" s="79">
        <f>IF(X1047="Sin Pago","",IFERROR(INDEX(Pagos_Odoo!$C:$C, MATCH(X1047, Pagos_Odoo!$B:$B, 0)), ""))</f>
        <v/>
      </c>
      <c r="Z1047" s="80">
        <f>IF(X1047="Sin Pago","",IFERROR(INDEX(Pagos_Odoo!$A:$A, MATCH(X1047, Pagos_Odoo!$B:$B, 0)), ""))</f>
        <v/>
      </c>
      <c r="AA1047" s="79">
        <f>IF(X1047="Sin Pago","",IFERROR(INDEX(Pagos_Odoo!$F:$F, MATCH(X1047, Pagos_Odoo!$B:$B, 0)), ""))</f>
        <v/>
      </c>
      <c r="AB1047" s="81">
        <f>IF(X1047="Sin Pago",0,IFERROR(INDEX(Pagos_Odoo!$E:$E, MATCH(X1047, Pagos_Odoo!$B:$B, 0)), 0))</f>
        <v/>
      </c>
      <c r="AC1047" s="79">
        <f>IF(X1047="Sin Pago","",IFERROR(INDEX(Pagos_Odoo!$G:$G, MATCH(X1047, Pagos_Odoo!$B:$B, 0)), ""))</f>
        <v/>
      </c>
      <c r="AD1047" s="82" t="n">
        <v>0</v>
      </c>
      <c r="AE1047" s="82" t="n"/>
      <c r="AF1047" s="82" t="n"/>
      <c r="AG1047" s="82">
        <f>IF(AN1047="","",AD1047+AE1047+AF1047)</f>
        <v/>
      </c>
      <c r="AH1047" s="81">
        <f>IF(AN1047="","",P1047*(1-AG1047))</f>
        <v/>
      </c>
      <c r="AI1047" s="81">
        <f>IF(AN1047="","",IF(Q1047="Sin Factura",0,IFERROR(INDEX(Facturas_Odoo!$H:$H, MATCH(Q1047, Facturas_Odoo!$B:$B, 0)), 0)*(1-AG1047)))</f>
        <v/>
      </c>
      <c r="AJ1047" s="81">
        <f>IF(AN1047="","",_xlfn.LET(idVenta, AN1047&amp;"",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47" s="81">
        <f>IF(AN1047="","",AH1047-AJ1047)</f>
        <v/>
      </c>
      <c r="AL1047" s="81">
        <f>IF(AN1047="","",IF(Q1047="Sin Factura","",AI1047-AJ1047))</f>
        <v/>
      </c>
      <c r="AM1047" s="81">
        <f>IF(AN1047="","",IF(Q1047="Sin Factura",0,P1047-IFERROR(INDEX(Facturas_Odoo!$H:$H, MATCH(Q1047, Facturas_Odoo!$B:$B, 0)), 0)))</f>
        <v/>
      </c>
      <c r="AN1047" s="79">
        <f>IF(AND(A1047="", J1047=""), "", IF(A1047&lt;&gt;"", VALUE(MID(A1047,2,LEN(A1047))), AN1046))</f>
        <v/>
      </c>
      <c r="AO1047" s="79">
        <f>IF(AN1047="","",IF(AD1047=0,"OK",_xlfn.LET(monedaPago, IF(AA1047="","USD",AA1047), limitePermitido, IFERROR(VLOOKUP(monedaPago, Configuración!$A$2:$B$3, 2, FALSE), 0.15), IF(AD1047&gt;limitePermitido, "ALERTA: EXCESO (" &amp; TEXT(limitePermitido, "0%") &amp; " máx)", "OK"))))</f>
        <v/>
      </c>
      <c r="AP1047" s="79">
        <f>IF(AN1047="","",IF(AE1047=0,"OK",_xlfn.LET(fechaPago, Z1047, fechaFactura, R1047, diasCredito, IF(E1047="Pago inmediato", 0, IFERROR(VALUE(MID(E1047, 1, SEARCH(" ", E1047)-1)),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47" s="79">
        <f>IF(AN1047="","",IF(AND(N1047&gt;0, AG1047&gt;0), IF(Configuración!$K$2="NO", "ALERTA: DESCUENTO DOBLE NO PERMITIDO", "OK"), "OK"))</f>
        <v/>
      </c>
      <c r="AR1047" s="79">
        <f>IF(AN1047="","",IF(OR(AO1047&lt;&gt;"OK", AP1047&lt;&gt;"OK", AQ1047&lt;&gt;"OK"), "⚠️ REVISAR", "OK"))</f>
        <v/>
      </c>
    </row>
    <row r="1048">
      <c r="A1048" s="79">
        <f>IF('Ordenes_Odoo'!A1048="","",'Ordenes_Odoo'!A1048)</f>
        <v/>
      </c>
      <c r="B1048" s="80">
        <f>IF('Ordenes_Odoo'!B1048="","",'Ordenes_Odoo'!B1048)</f>
        <v/>
      </c>
      <c r="C1048" s="79">
        <f>IF('Ordenes_Odoo'!C1048="","",'Ordenes_Odoo'!C1048)</f>
        <v/>
      </c>
      <c r="D1048" s="79">
        <f>IF('Ordenes_Odoo'!D1048="","",'Ordenes_Odoo'!D1048)</f>
        <v/>
      </c>
      <c r="E1048" s="79">
        <f>IF('Ordenes_Odoo'!E1048="","",'Ordenes_Odoo'!E1048)</f>
        <v/>
      </c>
      <c r="F1048" s="79">
        <f>IF('Ordenes_Odoo'!F1048="","",'Ordenes_Odoo'!F1048)</f>
        <v/>
      </c>
      <c r="G1048" s="79">
        <f>IF('Ordenes_Odoo'!G1048="","",'Ordenes_Odoo'!G1048)</f>
        <v/>
      </c>
      <c r="H1048" s="79">
        <f>IF('Ordenes_Odoo'!H1048="","",'Ordenes_Odoo'!H1048)</f>
        <v/>
      </c>
      <c r="I1048" s="79">
        <f>IF('Ordenes_Odoo'!I1048="","",'Ordenes_Odoo'!I1048)</f>
        <v/>
      </c>
      <c r="J1048" s="79">
        <f>IF('Ordenes_Odoo'!J1048="","",'Ordenes_Odoo'!J1048)</f>
        <v/>
      </c>
      <c r="K1048" s="81">
        <f>IF('Ordenes_Odoo'!K1048="","",'Ordenes_Odoo'!K1048)</f>
        <v/>
      </c>
      <c r="L1048" s="81">
        <f>IF('Ordenes_Odoo'!L1048="","",'Ordenes_Odoo'!L1048)</f>
        <v/>
      </c>
      <c r="M1048" s="79">
        <f>IF('Ordenes_Odoo'!M1048="","",'Ordenes_Odoo'!M1048)</f>
        <v/>
      </c>
      <c r="N1048" s="79">
        <f>IF('Ordenes_Odoo'!N1048="","",'Ordenes_Odoo'!N1048)</f>
        <v/>
      </c>
      <c r="O1048" s="81">
        <f>IF('Ordenes_Odoo'!O1048="","",'Ordenes_Odoo'!O1048)</f>
        <v/>
      </c>
      <c r="P1048" s="81">
        <f>IF('Ordenes_Odoo'!P1048="","",'Ordenes_Odoo'!P1048)</f>
        <v/>
      </c>
      <c r="Q1048" s="79">
        <f>IF(A1048="","",IFERROR(INDEX(Facturas_Odoo!$B:$B, MATCH(A1048, Facturas_Odoo!$D:$D, 0)), "Sin Factura"))</f>
        <v/>
      </c>
      <c r="R1048" s="80">
        <f>IF(Q1048="Sin Factura","",IFERROR(INDEX(Facturas_Odoo!$A:$A, MATCH(Q1048, Facturas_Odoo!$B:$B, 0)), ""))</f>
        <v/>
      </c>
      <c r="S1048" s="79">
        <f>IF(Q1048="Sin Factura","",IFERROR(_xlfn.XLOOKUP(1, (Facturas_Odoo!$D:$D=A1048) * (Facturas_Odoo!$K:$K=I1048), Facturas_Odoo!$L:$L, ""), ""))</f>
        <v/>
      </c>
      <c r="T1048" s="81">
        <f>IF(Q1048="Sin Factura",0,IFERROR(_xlfn.XLOOKUP(1, (Facturas_Odoo!$D:$D=A1048) * (Facturas_Odoo!$K:$K=I1048), Facturas_Odoo!$M:$M, 0), 0))</f>
        <v/>
      </c>
      <c r="U1048" s="79">
        <f>IF(Q1048="Sin Factura",0,IFERROR(_xlfn.XLOOKUP(1, (Facturas_Odoo!$D:$D=A1048) * (Facturas_Odoo!$K:$K=I1048), Facturas_Odoo!$N:$N, 0), 0))</f>
        <v/>
      </c>
      <c r="V1048" s="79">
        <f>IF(Q1048="Sin Factura",0,IFERROR(_xlfn.XLOOKUP(1, (Facturas_Odoo!$D:$D=A1048) * (Facturas_Odoo!$K:$K=I1048), Facturas_Odoo!$O:$O, 0), 0))</f>
        <v/>
      </c>
      <c r="W1048" s="81">
        <f>IF(Q1048="Sin Factura",0,IFERROR(_xlfn.XLOOKUP(1, (Facturas_Odoo!$D:$D=A1048) * (Facturas_Odoo!$K:$K=I1048), Facturas_Odoo!$Q:$Q, 0), 0))</f>
        <v/>
      </c>
      <c r="X1048" s="79">
        <f>IF(OR(Q1048="Sin Factura",Q1048=""),"",IFERROR(INDEX(Pagos_Odoo!$B:$B, MATCH(Q1048, Pagos_Odoo!$I:$I, 0)), "Sin Pago"))</f>
        <v/>
      </c>
      <c r="Y1048" s="79">
        <f>IF(X1048="Sin Pago","",IFERROR(INDEX(Pagos_Odoo!$C:$C, MATCH(X1048, Pagos_Odoo!$B:$B, 0)), ""))</f>
        <v/>
      </c>
      <c r="Z1048" s="80">
        <f>IF(X1048="Sin Pago","",IFERROR(INDEX(Pagos_Odoo!$A:$A, MATCH(X1048, Pagos_Odoo!$B:$B, 0)), ""))</f>
        <v/>
      </c>
      <c r="AA1048" s="79">
        <f>IF(X1048="Sin Pago","",IFERROR(INDEX(Pagos_Odoo!$F:$F, MATCH(X1048, Pagos_Odoo!$B:$B, 0)), ""))</f>
        <v/>
      </c>
      <c r="AB1048" s="81">
        <f>IF(X1048="Sin Pago",0,IFERROR(INDEX(Pagos_Odoo!$E:$E, MATCH(X1048, Pagos_Odoo!$B:$B, 0)), 0))</f>
        <v/>
      </c>
      <c r="AC1048" s="79">
        <f>IF(X1048="Sin Pago","",IFERROR(INDEX(Pagos_Odoo!$G:$G, MATCH(X1048, Pagos_Odoo!$B:$B, 0)), ""))</f>
        <v/>
      </c>
      <c r="AD1048" s="82" t="n">
        <v>0</v>
      </c>
      <c r="AE1048" s="82" t="n"/>
      <c r="AF1048" s="82" t="n"/>
      <c r="AG1048" s="82">
        <f>IF(AN1048="","",AD1048+AE1048+AF1048)</f>
        <v/>
      </c>
      <c r="AH1048" s="81">
        <f>IF(AN1048="","",P1048*(1-AG1048))</f>
        <v/>
      </c>
      <c r="AI1048" s="81">
        <f>IF(AN1048="","",IF(Q1048="Sin Factura",0,IFERROR(INDEX(Facturas_Odoo!$H:$H, MATCH(Q1048, Facturas_Odoo!$B:$B, 0)), 0)*(1-AG1048)))</f>
        <v/>
      </c>
      <c r="AJ1048" s="81">
        <f>IF(AN1048="","",_xlfn.LET(idVenta, AN1048&amp;"",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48" s="81">
        <f>IF(AN1048="","",AH1048-AJ1048)</f>
        <v/>
      </c>
      <c r="AL1048" s="81">
        <f>IF(AN1048="","",IF(Q1048="Sin Factura","",AI1048-AJ1048))</f>
        <v/>
      </c>
      <c r="AM1048" s="81">
        <f>IF(AN1048="","",IF(Q1048="Sin Factura",0,P1048-IFERROR(INDEX(Facturas_Odoo!$H:$H, MATCH(Q1048, Facturas_Odoo!$B:$B, 0)), 0)))</f>
        <v/>
      </c>
      <c r="AN1048" s="79">
        <f>IF(AND(A1048="", J1048=""), "", IF(A1048&lt;&gt;"", VALUE(MID(A1048,2,LEN(A1048))), AN1047))</f>
        <v/>
      </c>
      <c r="AO1048" s="79">
        <f>IF(AN1048="","",IF(AD1048=0,"OK",_xlfn.LET(monedaPago, IF(AA1048="","USD",AA1048), limitePermitido, IFERROR(VLOOKUP(monedaPago, Configuración!$A$2:$B$3, 2, FALSE), 0.15), IF(AD1048&gt;limitePermitido, "ALERTA: EXCESO (" &amp; TEXT(limitePermitido, "0%") &amp; " máx)", "OK"))))</f>
        <v/>
      </c>
      <c r="AP1048" s="79">
        <f>IF(AN1048="","",IF(AE1048=0,"OK",_xlfn.LET(fechaPago, Z1048, fechaFactura, R1048, diasCredito, IF(E1048="Pago inmediato", 0, IFERROR(VALUE(MID(E1048, 1, SEARCH(" ", E1048)-1)),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48" s="79">
        <f>IF(AN1048="","",IF(AND(N1048&gt;0, AG1048&gt;0), IF(Configuración!$K$2="NO", "ALERTA: DESCUENTO DOBLE NO PERMITIDO", "OK"), "OK"))</f>
        <v/>
      </c>
      <c r="AR1048" s="79">
        <f>IF(AN1048="","",IF(OR(AO1048&lt;&gt;"OK", AP1048&lt;&gt;"OK", AQ1048&lt;&gt;"OK"), "⚠️ REVISAR", "OK"))</f>
        <v/>
      </c>
    </row>
    <row r="1049">
      <c r="A1049" s="79">
        <f>IF('Ordenes_Odoo'!A1049="","",'Ordenes_Odoo'!A1049)</f>
        <v/>
      </c>
      <c r="B1049" s="80">
        <f>IF('Ordenes_Odoo'!B1049="","",'Ordenes_Odoo'!B1049)</f>
        <v/>
      </c>
      <c r="C1049" s="79">
        <f>IF('Ordenes_Odoo'!C1049="","",'Ordenes_Odoo'!C1049)</f>
        <v/>
      </c>
      <c r="D1049" s="79">
        <f>IF('Ordenes_Odoo'!D1049="","",'Ordenes_Odoo'!D1049)</f>
        <v/>
      </c>
      <c r="E1049" s="79">
        <f>IF('Ordenes_Odoo'!E1049="","",'Ordenes_Odoo'!E1049)</f>
        <v/>
      </c>
      <c r="F1049" s="79">
        <f>IF('Ordenes_Odoo'!F1049="","",'Ordenes_Odoo'!F1049)</f>
        <v/>
      </c>
      <c r="G1049" s="79">
        <f>IF('Ordenes_Odoo'!G1049="","",'Ordenes_Odoo'!G1049)</f>
        <v/>
      </c>
      <c r="H1049" s="79">
        <f>IF('Ordenes_Odoo'!H1049="","",'Ordenes_Odoo'!H1049)</f>
        <v/>
      </c>
      <c r="I1049" s="79">
        <f>IF('Ordenes_Odoo'!I1049="","",'Ordenes_Odoo'!I1049)</f>
        <v/>
      </c>
      <c r="J1049" s="79">
        <f>IF('Ordenes_Odoo'!J1049="","",'Ordenes_Odoo'!J1049)</f>
        <v/>
      </c>
      <c r="K1049" s="81">
        <f>IF('Ordenes_Odoo'!K1049="","",'Ordenes_Odoo'!K1049)</f>
        <v/>
      </c>
      <c r="L1049" s="81">
        <f>IF('Ordenes_Odoo'!L1049="","",'Ordenes_Odoo'!L1049)</f>
        <v/>
      </c>
      <c r="M1049" s="79">
        <f>IF('Ordenes_Odoo'!M1049="","",'Ordenes_Odoo'!M1049)</f>
        <v/>
      </c>
      <c r="N1049" s="79">
        <f>IF('Ordenes_Odoo'!N1049="","",'Ordenes_Odoo'!N1049)</f>
        <v/>
      </c>
      <c r="O1049" s="81">
        <f>IF('Ordenes_Odoo'!O1049="","",'Ordenes_Odoo'!O1049)</f>
        <v/>
      </c>
      <c r="P1049" s="81">
        <f>IF('Ordenes_Odoo'!P1049="","",'Ordenes_Odoo'!P1049)</f>
        <v/>
      </c>
      <c r="Q1049" s="79">
        <f>IF(A1049="","",IFERROR(INDEX(Facturas_Odoo!$B:$B, MATCH(A1049, Facturas_Odoo!$D:$D, 0)), "Sin Factura"))</f>
        <v/>
      </c>
      <c r="R1049" s="80">
        <f>IF(Q1049="Sin Factura","",IFERROR(INDEX(Facturas_Odoo!$A:$A, MATCH(Q1049, Facturas_Odoo!$B:$B, 0)), ""))</f>
        <v/>
      </c>
      <c r="S1049" s="79">
        <f>IF(Q1049="Sin Factura","",IFERROR(_xlfn.XLOOKUP(1, (Facturas_Odoo!$D:$D=A1049) * (Facturas_Odoo!$K:$K=I1049), Facturas_Odoo!$L:$L, ""), ""))</f>
        <v/>
      </c>
      <c r="T1049" s="81">
        <f>IF(Q1049="Sin Factura",0,IFERROR(_xlfn.XLOOKUP(1, (Facturas_Odoo!$D:$D=A1049) * (Facturas_Odoo!$K:$K=I1049), Facturas_Odoo!$M:$M, 0), 0))</f>
        <v/>
      </c>
      <c r="U1049" s="79">
        <f>IF(Q1049="Sin Factura",0,IFERROR(_xlfn.XLOOKUP(1, (Facturas_Odoo!$D:$D=A1049) * (Facturas_Odoo!$K:$K=I1049), Facturas_Odoo!$N:$N, 0), 0))</f>
        <v/>
      </c>
      <c r="V1049" s="79">
        <f>IF(Q1049="Sin Factura",0,IFERROR(_xlfn.XLOOKUP(1, (Facturas_Odoo!$D:$D=A1049) * (Facturas_Odoo!$K:$K=I1049), Facturas_Odoo!$O:$O, 0), 0))</f>
        <v/>
      </c>
      <c r="W1049" s="81">
        <f>IF(Q1049="Sin Factura",0,IFERROR(_xlfn.XLOOKUP(1, (Facturas_Odoo!$D:$D=A1049) * (Facturas_Odoo!$K:$K=I1049), Facturas_Odoo!$Q:$Q, 0), 0))</f>
        <v/>
      </c>
      <c r="X1049" s="79">
        <f>IF(OR(Q1049="Sin Factura",Q1049=""),"",IFERROR(INDEX(Pagos_Odoo!$B:$B, MATCH(Q1049, Pagos_Odoo!$I:$I, 0)), "Sin Pago"))</f>
        <v/>
      </c>
      <c r="Y1049" s="79">
        <f>IF(X1049="Sin Pago","",IFERROR(INDEX(Pagos_Odoo!$C:$C, MATCH(X1049, Pagos_Odoo!$B:$B, 0)), ""))</f>
        <v/>
      </c>
      <c r="Z1049" s="80">
        <f>IF(X1049="Sin Pago","",IFERROR(INDEX(Pagos_Odoo!$A:$A, MATCH(X1049, Pagos_Odoo!$B:$B, 0)), ""))</f>
        <v/>
      </c>
      <c r="AA1049" s="79">
        <f>IF(X1049="Sin Pago","",IFERROR(INDEX(Pagos_Odoo!$F:$F, MATCH(X1049, Pagos_Odoo!$B:$B, 0)), ""))</f>
        <v/>
      </c>
      <c r="AB1049" s="81">
        <f>IF(X1049="Sin Pago",0,IFERROR(INDEX(Pagos_Odoo!$E:$E, MATCH(X1049, Pagos_Odoo!$B:$B, 0)), 0))</f>
        <v/>
      </c>
      <c r="AC1049" s="79">
        <f>IF(X1049="Sin Pago","",IFERROR(INDEX(Pagos_Odoo!$G:$G, MATCH(X1049, Pagos_Odoo!$B:$B, 0)), ""))</f>
        <v/>
      </c>
      <c r="AD1049" s="82" t="n">
        <v>0</v>
      </c>
      <c r="AE1049" s="82" t="n"/>
      <c r="AF1049" s="82" t="n"/>
      <c r="AG1049" s="82">
        <f>IF(AN1049="","",AD1049+AE1049+AF1049)</f>
        <v/>
      </c>
      <c r="AH1049" s="81">
        <f>IF(AN1049="","",P1049*(1-AG1049))</f>
        <v/>
      </c>
      <c r="AI1049" s="81">
        <f>IF(AN1049="","",IF(Q1049="Sin Factura",0,IFERROR(INDEX(Facturas_Odoo!$H:$H, MATCH(Q1049, Facturas_Odoo!$B:$B, 0)), 0)*(1-AG1049)))</f>
        <v/>
      </c>
      <c r="AJ1049" s="81">
        <f>IF(AN1049="","",_xlfn.LET(idVenta, AN1049&amp;"",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49" s="81">
        <f>IF(AN1049="","",AH1049-AJ1049)</f>
        <v/>
      </c>
      <c r="AL1049" s="81">
        <f>IF(AN1049="","",IF(Q1049="Sin Factura","",AI1049-AJ1049))</f>
        <v/>
      </c>
      <c r="AM1049" s="81">
        <f>IF(AN1049="","",IF(Q1049="Sin Factura",0,P1049-IFERROR(INDEX(Facturas_Odoo!$H:$H, MATCH(Q1049, Facturas_Odoo!$B:$B, 0)), 0)))</f>
        <v/>
      </c>
      <c r="AN1049" s="79">
        <f>IF(AND(A1049="", J1049=""), "", IF(A1049&lt;&gt;"", VALUE(MID(A1049,2,LEN(A1049))), AN1048))</f>
        <v/>
      </c>
      <c r="AO1049" s="79">
        <f>IF(AN1049="","",IF(AD1049=0,"OK",_xlfn.LET(monedaPago, IF(AA1049="","USD",AA1049), limitePermitido, IFERROR(VLOOKUP(monedaPago, Configuración!$A$2:$B$3, 2, FALSE), 0.15), IF(AD1049&gt;limitePermitido, "ALERTA: EXCESO (" &amp; TEXT(limitePermitido, "0%") &amp; " máx)", "OK"))))</f>
        <v/>
      </c>
      <c r="AP1049" s="79">
        <f>IF(AN1049="","",IF(AE1049=0,"OK",_xlfn.LET(fechaPago, Z1049, fechaFactura, R1049, diasCredito, IF(E1049="Pago inmediato", 0, IFERROR(VALUE(MID(E1049, 1, SEARCH(" ", E1049)-1)),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49" s="79">
        <f>IF(AN1049="","",IF(AND(N1049&gt;0, AG1049&gt;0), IF(Configuración!$K$2="NO", "ALERTA: DESCUENTO DOBLE NO PERMITIDO", "OK"), "OK"))</f>
        <v/>
      </c>
      <c r="AR1049" s="79">
        <f>IF(AN1049="","",IF(OR(AO1049&lt;&gt;"OK", AP1049&lt;&gt;"OK", AQ1049&lt;&gt;"OK"), "⚠️ REVISAR", "OK"))</f>
        <v/>
      </c>
    </row>
    <row r="1050">
      <c r="A1050" s="79">
        <f>IF('Ordenes_Odoo'!A1050="","",'Ordenes_Odoo'!A1050)</f>
        <v/>
      </c>
      <c r="B1050" s="80">
        <f>IF('Ordenes_Odoo'!B1050="","",'Ordenes_Odoo'!B1050)</f>
        <v/>
      </c>
      <c r="C1050" s="79">
        <f>IF('Ordenes_Odoo'!C1050="","",'Ordenes_Odoo'!C1050)</f>
        <v/>
      </c>
      <c r="D1050" s="79">
        <f>IF('Ordenes_Odoo'!D1050="","",'Ordenes_Odoo'!D1050)</f>
        <v/>
      </c>
      <c r="E1050" s="79">
        <f>IF('Ordenes_Odoo'!E1050="","",'Ordenes_Odoo'!E1050)</f>
        <v/>
      </c>
      <c r="F1050" s="79">
        <f>IF('Ordenes_Odoo'!F1050="","",'Ordenes_Odoo'!F1050)</f>
        <v/>
      </c>
      <c r="G1050" s="79">
        <f>IF('Ordenes_Odoo'!G1050="","",'Ordenes_Odoo'!G1050)</f>
        <v/>
      </c>
      <c r="H1050" s="79">
        <f>IF('Ordenes_Odoo'!H1050="","",'Ordenes_Odoo'!H1050)</f>
        <v/>
      </c>
      <c r="I1050" s="79">
        <f>IF('Ordenes_Odoo'!I1050="","",'Ordenes_Odoo'!I1050)</f>
        <v/>
      </c>
      <c r="J1050" s="79">
        <f>IF('Ordenes_Odoo'!J1050="","",'Ordenes_Odoo'!J1050)</f>
        <v/>
      </c>
      <c r="K1050" s="81">
        <f>IF('Ordenes_Odoo'!K1050="","",'Ordenes_Odoo'!K1050)</f>
        <v/>
      </c>
      <c r="L1050" s="81">
        <f>IF('Ordenes_Odoo'!L1050="","",'Ordenes_Odoo'!L1050)</f>
        <v/>
      </c>
      <c r="M1050" s="79">
        <f>IF('Ordenes_Odoo'!M1050="","",'Ordenes_Odoo'!M1050)</f>
        <v/>
      </c>
      <c r="N1050" s="79">
        <f>IF('Ordenes_Odoo'!N1050="","",'Ordenes_Odoo'!N1050)</f>
        <v/>
      </c>
      <c r="O1050" s="81">
        <f>IF('Ordenes_Odoo'!O1050="","",'Ordenes_Odoo'!O1050)</f>
        <v/>
      </c>
      <c r="P1050" s="81">
        <f>IF('Ordenes_Odoo'!P1050="","",'Ordenes_Odoo'!P1050)</f>
        <v/>
      </c>
      <c r="Q1050" s="79">
        <f>IF(A1050="","",IFERROR(INDEX(Facturas_Odoo!$B:$B, MATCH(A1050, Facturas_Odoo!$D:$D, 0)), "Sin Factura"))</f>
        <v/>
      </c>
      <c r="R1050" s="80">
        <f>IF(Q1050="Sin Factura","",IFERROR(INDEX(Facturas_Odoo!$A:$A, MATCH(Q1050, Facturas_Odoo!$B:$B, 0)), ""))</f>
        <v/>
      </c>
      <c r="S1050" s="79">
        <f>IF(Q1050="Sin Factura","",IFERROR(_xlfn.XLOOKUP(1, (Facturas_Odoo!$D:$D=A1050) * (Facturas_Odoo!$K:$K=I1050), Facturas_Odoo!$L:$L, ""), ""))</f>
        <v/>
      </c>
      <c r="T1050" s="81">
        <f>IF(Q1050="Sin Factura",0,IFERROR(_xlfn.XLOOKUP(1, (Facturas_Odoo!$D:$D=A1050) * (Facturas_Odoo!$K:$K=I1050), Facturas_Odoo!$M:$M, 0), 0))</f>
        <v/>
      </c>
      <c r="U1050" s="79">
        <f>IF(Q1050="Sin Factura",0,IFERROR(_xlfn.XLOOKUP(1, (Facturas_Odoo!$D:$D=A1050) * (Facturas_Odoo!$K:$K=I1050), Facturas_Odoo!$N:$N, 0), 0))</f>
        <v/>
      </c>
      <c r="V1050" s="79">
        <f>IF(Q1050="Sin Factura",0,IFERROR(_xlfn.XLOOKUP(1, (Facturas_Odoo!$D:$D=A1050) * (Facturas_Odoo!$K:$K=I1050), Facturas_Odoo!$O:$O, 0), 0))</f>
        <v/>
      </c>
      <c r="W1050" s="81">
        <f>IF(Q1050="Sin Factura",0,IFERROR(_xlfn.XLOOKUP(1, (Facturas_Odoo!$D:$D=A1050) * (Facturas_Odoo!$K:$K=I1050), Facturas_Odoo!$Q:$Q, 0), 0))</f>
        <v/>
      </c>
      <c r="X1050" s="79">
        <f>IF(OR(Q1050="Sin Factura",Q1050=""),"",IFERROR(INDEX(Pagos_Odoo!$B:$B, MATCH(Q1050, Pagos_Odoo!$I:$I, 0)), "Sin Pago"))</f>
        <v/>
      </c>
      <c r="Y1050" s="79">
        <f>IF(X1050="Sin Pago","",IFERROR(INDEX(Pagos_Odoo!$C:$C, MATCH(X1050, Pagos_Odoo!$B:$B, 0)), ""))</f>
        <v/>
      </c>
      <c r="Z1050" s="80">
        <f>IF(X1050="Sin Pago","",IFERROR(INDEX(Pagos_Odoo!$A:$A, MATCH(X1050, Pagos_Odoo!$B:$B, 0)), ""))</f>
        <v/>
      </c>
      <c r="AA1050" s="79">
        <f>IF(X1050="Sin Pago","",IFERROR(INDEX(Pagos_Odoo!$F:$F, MATCH(X1050, Pagos_Odoo!$B:$B, 0)), ""))</f>
        <v/>
      </c>
      <c r="AB1050" s="81">
        <f>IF(X1050="Sin Pago",0,IFERROR(INDEX(Pagos_Odoo!$E:$E, MATCH(X1050, Pagos_Odoo!$B:$B, 0)), 0))</f>
        <v/>
      </c>
      <c r="AC1050" s="79">
        <f>IF(X1050="Sin Pago","",IFERROR(INDEX(Pagos_Odoo!$G:$G, MATCH(X1050, Pagos_Odoo!$B:$B, 0)), ""))</f>
        <v/>
      </c>
      <c r="AD1050" s="82" t="n">
        <v>0</v>
      </c>
      <c r="AE1050" s="82" t="n"/>
      <c r="AF1050" s="82" t="n"/>
      <c r="AG1050" s="82">
        <f>IF(AN1050="","",AD1050+AE1050+AF1050)</f>
        <v/>
      </c>
      <c r="AH1050" s="81">
        <f>IF(AN1050="","",P1050*(1-AG1050))</f>
        <v/>
      </c>
      <c r="AI1050" s="81">
        <f>IF(AN1050="","",IF(Q1050="Sin Factura",0,IFERROR(INDEX(Facturas_Odoo!$H:$H, MATCH(Q1050, Facturas_Odoo!$B:$B, 0)), 0)*(1-AG1050)))</f>
        <v/>
      </c>
      <c r="AJ1050" s="81">
        <f>IF(AN1050="","",_xlfn.LET(idVenta, AN1050&amp;"",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50" s="81">
        <f>IF(AN1050="","",AH1050-AJ1050)</f>
        <v/>
      </c>
      <c r="AL1050" s="81">
        <f>IF(AN1050="","",IF(Q1050="Sin Factura","",AI1050-AJ1050))</f>
        <v/>
      </c>
      <c r="AM1050" s="81">
        <f>IF(AN1050="","",IF(Q1050="Sin Factura",0,P1050-IFERROR(INDEX(Facturas_Odoo!$H:$H, MATCH(Q1050, Facturas_Odoo!$B:$B, 0)), 0)))</f>
        <v/>
      </c>
      <c r="AN1050" s="79">
        <f>IF(AND(A1050="", J1050=""), "", IF(A1050&lt;&gt;"", VALUE(MID(A1050,2,LEN(A1050))), AN1049))</f>
        <v/>
      </c>
      <c r="AO1050" s="79">
        <f>IF(AN1050="","",IF(AD1050=0,"OK",_xlfn.LET(monedaPago, IF(AA1050="","USD",AA1050), limitePermitido, IFERROR(VLOOKUP(monedaPago, Configuración!$A$2:$B$3, 2, FALSE), 0.15), IF(AD1050&gt;limitePermitido, "ALERTA: EXCESO (" &amp; TEXT(limitePermitido, "0%") &amp; " máx)", "OK"))))</f>
        <v/>
      </c>
      <c r="AP1050" s="79">
        <f>IF(AN1050="","",IF(AE1050=0,"OK",_xlfn.LET(fechaPago, Z1050, fechaFactura, R1050, diasCredito, IF(E1050="Pago inmediato", 0, IFERROR(VALUE(MID(E1050, 1, SEARCH(" ", E1050)-1)),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50" s="79">
        <f>IF(AN1050="","",IF(AND(N1050&gt;0, AG1050&gt;0), IF(Configuración!$K$2="NO", "ALERTA: DESCUENTO DOBLE NO PERMITIDO", "OK"), "OK"))</f>
        <v/>
      </c>
      <c r="AR1050" s="79">
        <f>IF(AN1050="","",IF(OR(AO1050&lt;&gt;"OK", AP1050&lt;&gt;"OK", AQ1050&lt;&gt;"OK"), "⚠️ REVISAR", "OK"))</f>
        <v/>
      </c>
    </row>
    <row r="1051">
      <c r="A1051" s="79">
        <f>IF('Ordenes_Odoo'!A1051="","",'Ordenes_Odoo'!A1051)</f>
        <v/>
      </c>
      <c r="B1051" s="80">
        <f>IF('Ordenes_Odoo'!B1051="","",'Ordenes_Odoo'!B1051)</f>
        <v/>
      </c>
      <c r="C1051" s="79">
        <f>IF('Ordenes_Odoo'!C1051="","",'Ordenes_Odoo'!C1051)</f>
        <v/>
      </c>
      <c r="D1051" s="79">
        <f>IF('Ordenes_Odoo'!D1051="","",'Ordenes_Odoo'!D1051)</f>
        <v/>
      </c>
      <c r="E1051" s="79">
        <f>IF('Ordenes_Odoo'!E1051="","",'Ordenes_Odoo'!E1051)</f>
        <v/>
      </c>
      <c r="F1051" s="79">
        <f>IF('Ordenes_Odoo'!F1051="","",'Ordenes_Odoo'!F1051)</f>
        <v/>
      </c>
      <c r="G1051" s="79">
        <f>IF('Ordenes_Odoo'!G1051="","",'Ordenes_Odoo'!G1051)</f>
        <v/>
      </c>
      <c r="H1051" s="79">
        <f>IF('Ordenes_Odoo'!H1051="","",'Ordenes_Odoo'!H1051)</f>
        <v/>
      </c>
      <c r="I1051" s="79">
        <f>IF('Ordenes_Odoo'!I1051="","",'Ordenes_Odoo'!I1051)</f>
        <v/>
      </c>
      <c r="J1051" s="79">
        <f>IF('Ordenes_Odoo'!J1051="","",'Ordenes_Odoo'!J1051)</f>
        <v/>
      </c>
      <c r="K1051" s="81">
        <f>IF('Ordenes_Odoo'!K1051="","",'Ordenes_Odoo'!K1051)</f>
        <v/>
      </c>
      <c r="L1051" s="81">
        <f>IF('Ordenes_Odoo'!L1051="","",'Ordenes_Odoo'!L1051)</f>
        <v/>
      </c>
      <c r="M1051" s="79">
        <f>IF('Ordenes_Odoo'!M1051="","",'Ordenes_Odoo'!M1051)</f>
        <v/>
      </c>
      <c r="N1051" s="79">
        <f>IF('Ordenes_Odoo'!N1051="","",'Ordenes_Odoo'!N1051)</f>
        <v/>
      </c>
      <c r="O1051" s="81">
        <f>IF('Ordenes_Odoo'!O1051="","",'Ordenes_Odoo'!O1051)</f>
        <v/>
      </c>
      <c r="P1051" s="81">
        <f>IF('Ordenes_Odoo'!P1051="","",'Ordenes_Odoo'!P1051)</f>
        <v/>
      </c>
      <c r="Q1051" s="79">
        <f>IF(A1051="","",IFERROR(INDEX(Facturas_Odoo!$B:$B, MATCH(A1051, Facturas_Odoo!$D:$D, 0)), "Sin Factura"))</f>
        <v/>
      </c>
      <c r="R1051" s="80">
        <f>IF(Q1051="Sin Factura","",IFERROR(INDEX(Facturas_Odoo!$A:$A, MATCH(Q1051, Facturas_Odoo!$B:$B, 0)), ""))</f>
        <v/>
      </c>
      <c r="S1051" s="79">
        <f>IF(Q1051="Sin Factura","",IFERROR(_xlfn.XLOOKUP(1, (Facturas_Odoo!$D:$D=A1051) * (Facturas_Odoo!$K:$K=I1051), Facturas_Odoo!$L:$L, ""), ""))</f>
        <v/>
      </c>
      <c r="T1051" s="81">
        <f>IF(Q1051="Sin Factura",0,IFERROR(_xlfn.XLOOKUP(1, (Facturas_Odoo!$D:$D=A1051) * (Facturas_Odoo!$K:$K=I1051), Facturas_Odoo!$M:$M, 0), 0))</f>
        <v/>
      </c>
      <c r="U1051" s="79">
        <f>IF(Q1051="Sin Factura",0,IFERROR(_xlfn.XLOOKUP(1, (Facturas_Odoo!$D:$D=A1051) * (Facturas_Odoo!$K:$K=I1051), Facturas_Odoo!$N:$N, 0), 0))</f>
        <v/>
      </c>
      <c r="V1051" s="79">
        <f>IF(Q1051="Sin Factura",0,IFERROR(_xlfn.XLOOKUP(1, (Facturas_Odoo!$D:$D=A1051) * (Facturas_Odoo!$K:$K=I1051), Facturas_Odoo!$O:$O, 0), 0))</f>
        <v/>
      </c>
      <c r="W1051" s="81">
        <f>IF(Q1051="Sin Factura",0,IFERROR(_xlfn.XLOOKUP(1, (Facturas_Odoo!$D:$D=A1051) * (Facturas_Odoo!$K:$K=I1051), Facturas_Odoo!$Q:$Q, 0), 0))</f>
        <v/>
      </c>
      <c r="X1051" s="79">
        <f>IF(OR(Q1051="Sin Factura",Q1051=""),"",IFERROR(INDEX(Pagos_Odoo!$B:$B, MATCH(Q1051, Pagos_Odoo!$I:$I, 0)), "Sin Pago"))</f>
        <v/>
      </c>
      <c r="Y1051" s="79">
        <f>IF(X1051="Sin Pago","",IFERROR(INDEX(Pagos_Odoo!$C:$C, MATCH(X1051, Pagos_Odoo!$B:$B, 0)), ""))</f>
        <v/>
      </c>
      <c r="Z1051" s="80">
        <f>IF(X1051="Sin Pago","",IFERROR(INDEX(Pagos_Odoo!$A:$A, MATCH(X1051, Pagos_Odoo!$B:$B, 0)), ""))</f>
        <v/>
      </c>
      <c r="AA1051" s="79">
        <f>IF(X1051="Sin Pago","",IFERROR(INDEX(Pagos_Odoo!$F:$F, MATCH(X1051, Pagos_Odoo!$B:$B, 0)), ""))</f>
        <v/>
      </c>
      <c r="AB1051" s="81">
        <f>IF(X1051="Sin Pago",0,IFERROR(INDEX(Pagos_Odoo!$E:$E, MATCH(X1051, Pagos_Odoo!$B:$B, 0)), 0))</f>
        <v/>
      </c>
      <c r="AC1051" s="79">
        <f>IF(X1051="Sin Pago","",IFERROR(INDEX(Pagos_Odoo!$G:$G, MATCH(X1051, Pagos_Odoo!$B:$B, 0)), ""))</f>
        <v/>
      </c>
      <c r="AD1051" s="82" t="n">
        <v>0</v>
      </c>
      <c r="AE1051" s="82" t="n"/>
      <c r="AF1051" s="82" t="n"/>
      <c r="AG1051" s="82">
        <f>IF(AN1051="","",AD1051+AE1051+AF1051)</f>
        <v/>
      </c>
      <c r="AH1051" s="81">
        <f>IF(AN1051="","",P1051*(1-AG1051))</f>
        <v/>
      </c>
      <c r="AI1051" s="81">
        <f>IF(AN1051="","",IF(Q1051="Sin Factura",0,IFERROR(INDEX(Facturas_Odoo!$H:$H, MATCH(Q1051, Facturas_Odoo!$B:$B, 0)), 0)*(1-AG1051)))</f>
        <v/>
      </c>
      <c r="AJ1051" s="81">
        <f>IF(AN1051="","",_xlfn.LET(idVenta, AN1051&amp;"",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51" s="81">
        <f>IF(AN1051="","",AH1051-AJ1051)</f>
        <v/>
      </c>
      <c r="AL1051" s="81">
        <f>IF(AN1051="","",IF(Q1051="Sin Factura","",AI1051-AJ1051))</f>
        <v/>
      </c>
      <c r="AM1051" s="81">
        <f>IF(AN1051="","",IF(Q1051="Sin Factura",0,P1051-IFERROR(INDEX(Facturas_Odoo!$H:$H, MATCH(Q1051, Facturas_Odoo!$B:$B, 0)), 0)))</f>
        <v/>
      </c>
      <c r="AN1051" s="79">
        <f>IF(AND(A1051="", J1051=""), "", IF(A1051&lt;&gt;"", VALUE(MID(A1051,2,LEN(A1051))), AN1050))</f>
        <v/>
      </c>
      <c r="AO1051" s="79">
        <f>IF(AN1051="","",IF(AD1051=0,"OK",_xlfn.LET(monedaPago, IF(AA1051="","USD",AA1051), limitePermitido, IFERROR(VLOOKUP(monedaPago, Configuración!$A$2:$B$3, 2, FALSE), 0.15), IF(AD1051&gt;limitePermitido, "ALERTA: EXCESO (" &amp; TEXT(limitePermitido, "0%") &amp; " máx)", "OK"))))</f>
        <v/>
      </c>
      <c r="AP1051" s="79">
        <f>IF(AN1051="","",IF(AE1051=0,"OK",_xlfn.LET(fechaPago, Z1051, fechaFactura, R1051, diasCredito, IF(E1051="Pago inmediato", 0, IFERROR(VALUE(MID(E1051, 1, SEARCH(" ", E1051)-1)),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51" s="79">
        <f>IF(AN1051="","",IF(AND(N1051&gt;0, AG1051&gt;0), IF(Configuración!$K$2="NO", "ALERTA: DESCUENTO DOBLE NO PERMITIDO", "OK"), "OK"))</f>
        <v/>
      </c>
      <c r="AR1051" s="79">
        <f>IF(AN1051="","",IF(OR(AO1051&lt;&gt;"OK", AP1051&lt;&gt;"OK", AQ1051&lt;&gt;"OK"), "⚠️ REVISAR", "OK"))</f>
        <v/>
      </c>
    </row>
    <row r="1052">
      <c r="A1052" s="79">
        <f>IF('Ordenes_Odoo'!A1052="","",'Ordenes_Odoo'!A1052)</f>
        <v/>
      </c>
      <c r="B1052" s="80">
        <f>IF('Ordenes_Odoo'!B1052="","",'Ordenes_Odoo'!B1052)</f>
        <v/>
      </c>
      <c r="C1052" s="79">
        <f>IF('Ordenes_Odoo'!C1052="","",'Ordenes_Odoo'!C1052)</f>
        <v/>
      </c>
      <c r="D1052" s="79">
        <f>IF('Ordenes_Odoo'!D1052="","",'Ordenes_Odoo'!D1052)</f>
        <v/>
      </c>
      <c r="E1052" s="79">
        <f>IF('Ordenes_Odoo'!E1052="","",'Ordenes_Odoo'!E1052)</f>
        <v/>
      </c>
      <c r="F1052" s="79">
        <f>IF('Ordenes_Odoo'!F1052="","",'Ordenes_Odoo'!F1052)</f>
        <v/>
      </c>
      <c r="G1052" s="79">
        <f>IF('Ordenes_Odoo'!G1052="","",'Ordenes_Odoo'!G1052)</f>
        <v/>
      </c>
      <c r="H1052" s="79">
        <f>IF('Ordenes_Odoo'!H1052="","",'Ordenes_Odoo'!H1052)</f>
        <v/>
      </c>
      <c r="I1052" s="79">
        <f>IF('Ordenes_Odoo'!I1052="","",'Ordenes_Odoo'!I1052)</f>
        <v/>
      </c>
      <c r="J1052" s="79">
        <f>IF('Ordenes_Odoo'!J1052="","",'Ordenes_Odoo'!J1052)</f>
        <v/>
      </c>
      <c r="K1052" s="81">
        <f>IF('Ordenes_Odoo'!K1052="","",'Ordenes_Odoo'!K1052)</f>
        <v/>
      </c>
      <c r="L1052" s="81">
        <f>IF('Ordenes_Odoo'!L1052="","",'Ordenes_Odoo'!L1052)</f>
        <v/>
      </c>
      <c r="M1052" s="79">
        <f>IF('Ordenes_Odoo'!M1052="","",'Ordenes_Odoo'!M1052)</f>
        <v/>
      </c>
      <c r="N1052" s="79">
        <f>IF('Ordenes_Odoo'!N1052="","",'Ordenes_Odoo'!N1052)</f>
        <v/>
      </c>
      <c r="O1052" s="81">
        <f>IF('Ordenes_Odoo'!O1052="","",'Ordenes_Odoo'!O1052)</f>
        <v/>
      </c>
      <c r="P1052" s="81">
        <f>IF('Ordenes_Odoo'!P1052="","",'Ordenes_Odoo'!P1052)</f>
        <v/>
      </c>
      <c r="Q1052" s="79">
        <f>IF(A1052="","",IFERROR(INDEX(Facturas_Odoo!$B:$B, MATCH(A1052, Facturas_Odoo!$D:$D, 0)), "Sin Factura"))</f>
        <v/>
      </c>
      <c r="R1052" s="80">
        <f>IF(Q1052="Sin Factura","",IFERROR(INDEX(Facturas_Odoo!$A:$A, MATCH(Q1052, Facturas_Odoo!$B:$B, 0)), ""))</f>
        <v/>
      </c>
      <c r="S1052" s="79">
        <f>IF(Q1052="Sin Factura","",IFERROR(_xlfn.XLOOKUP(1, (Facturas_Odoo!$D:$D=A1052) * (Facturas_Odoo!$K:$K=I1052), Facturas_Odoo!$L:$L, ""), ""))</f>
        <v/>
      </c>
      <c r="T1052" s="81">
        <f>IF(Q1052="Sin Factura",0,IFERROR(_xlfn.XLOOKUP(1, (Facturas_Odoo!$D:$D=A1052) * (Facturas_Odoo!$K:$K=I1052), Facturas_Odoo!$M:$M, 0), 0))</f>
        <v/>
      </c>
      <c r="U1052" s="79">
        <f>IF(Q1052="Sin Factura",0,IFERROR(_xlfn.XLOOKUP(1, (Facturas_Odoo!$D:$D=A1052) * (Facturas_Odoo!$K:$K=I1052), Facturas_Odoo!$N:$N, 0), 0))</f>
        <v/>
      </c>
      <c r="V1052" s="79">
        <f>IF(Q1052="Sin Factura",0,IFERROR(_xlfn.XLOOKUP(1, (Facturas_Odoo!$D:$D=A1052) * (Facturas_Odoo!$K:$K=I1052), Facturas_Odoo!$O:$O, 0), 0))</f>
        <v/>
      </c>
      <c r="W1052" s="81">
        <f>IF(Q1052="Sin Factura",0,IFERROR(_xlfn.XLOOKUP(1, (Facturas_Odoo!$D:$D=A1052) * (Facturas_Odoo!$K:$K=I1052), Facturas_Odoo!$Q:$Q, 0), 0))</f>
        <v/>
      </c>
      <c r="X1052" s="79">
        <f>IF(OR(Q1052="Sin Factura",Q1052=""),"",IFERROR(INDEX(Pagos_Odoo!$B:$B, MATCH(Q1052, Pagos_Odoo!$I:$I, 0)), "Sin Pago"))</f>
        <v/>
      </c>
      <c r="Y1052" s="79">
        <f>IF(X1052="Sin Pago","",IFERROR(INDEX(Pagos_Odoo!$C:$C, MATCH(X1052, Pagos_Odoo!$B:$B, 0)), ""))</f>
        <v/>
      </c>
      <c r="Z1052" s="80">
        <f>IF(X1052="Sin Pago","",IFERROR(INDEX(Pagos_Odoo!$A:$A, MATCH(X1052, Pagos_Odoo!$B:$B, 0)), ""))</f>
        <v/>
      </c>
      <c r="AA1052" s="79">
        <f>IF(X1052="Sin Pago","",IFERROR(INDEX(Pagos_Odoo!$F:$F, MATCH(X1052, Pagos_Odoo!$B:$B, 0)), ""))</f>
        <v/>
      </c>
      <c r="AB1052" s="81">
        <f>IF(X1052="Sin Pago",0,IFERROR(INDEX(Pagos_Odoo!$E:$E, MATCH(X1052, Pagos_Odoo!$B:$B, 0)), 0))</f>
        <v/>
      </c>
      <c r="AC1052" s="79">
        <f>IF(X1052="Sin Pago","",IFERROR(INDEX(Pagos_Odoo!$G:$G, MATCH(X1052, Pagos_Odoo!$B:$B, 0)), ""))</f>
        <v/>
      </c>
      <c r="AD1052" s="82" t="n">
        <v>0</v>
      </c>
      <c r="AE1052" s="82" t="n"/>
      <c r="AF1052" s="82" t="n"/>
      <c r="AG1052" s="82">
        <f>IF(AN1052="","",AD1052+AE1052+AF1052)</f>
        <v/>
      </c>
      <c r="AH1052" s="81">
        <f>IF(AN1052="","",P1052*(1-AG1052))</f>
        <v/>
      </c>
      <c r="AI1052" s="81">
        <f>IF(AN1052="","",IF(Q1052="Sin Factura",0,IFERROR(INDEX(Facturas_Odoo!$H:$H, MATCH(Q1052, Facturas_Odoo!$B:$B, 0)), 0)*(1-AG1052)))</f>
        <v/>
      </c>
      <c r="AJ1052" s="81">
        <f>IF(AN1052="","",_xlfn.LET(idVenta, AN1052&amp;"",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52" s="81">
        <f>IF(AN1052="","",AH1052-AJ1052)</f>
        <v/>
      </c>
      <c r="AL1052" s="81">
        <f>IF(AN1052="","",IF(Q1052="Sin Factura","",AI1052-AJ1052))</f>
        <v/>
      </c>
      <c r="AM1052" s="81">
        <f>IF(AN1052="","",IF(Q1052="Sin Factura",0,P1052-IFERROR(INDEX(Facturas_Odoo!$H:$H, MATCH(Q1052, Facturas_Odoo!$B:$B, 0)), 0)))</f>
        <v/>
      </c>
      <c r="AN1052" s="79">
        <f>IF(AND(A1052="", J1052=""), "", IF(A1052&lt;&gt;"", VALUE(MID(A1052,2,LEN(A1052))), AN1051))</f>
        <v/>
      </c>
      <c r="AO1052" s="79">
        <f>IF(AN1052="","",IF(AD1052=0,"OK",_xlfn.LET(monedaPago, IF(AA1052="","USD",AA1052), limitePermitido, IFERROR(VLOOKUP(monedaPago, Configuración!$A$2:$B$3, 2, FALSE), 0.15), IF(AD1052&gt;limitePermitido, "ALERTA: EXCESO (" &amp; TEXT(limitePermitido, "0%") &amp; " máx)", "OK"))))</f>
        <v/>
      </c>
      <c r="AP1052" s="79">
        <f>IF(AN1052="","",IF(AE1052=0,"OK",_xlfn.LET(fechaPago, Z1052, fechaFactura, R1052, diasCredito, IF(E1052="Pago inmediato", 0, IFERROR(VALUE(MID(E1052, 1, SEARCH(" ", E1052)-1)),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52" s="79">
        <f>IF(AN1052="","",IF(AND(N1052&gt;0, AG1052&gt;0), IF(Configuración!$K$2="NO", "ALERTA: DESCUENTO DOBLE NO PERMITIDO", "OK"), "OK"))</f>
        <v/>
      </c>
      <c r="AR1052" s="79">
        <f>IF(AN1052="","",IF(OR(AO1052&lt;&gt;"OK", AP1052&lt;&gt;"OK", AQ1052&lt;&gt;"OK"), "⚠️ REVISAR", "OK"))</f>
        <v/>
      </c>
    </row>
    <row r="1053">
      <c r="A1053" s="79">
        <f>IF('Ordenes_Odoo'!A1053="","",'Ordenes_Odoo'!A1053)</f>
        <v/>
      </c>
      <c r="B1053" s="80">
        <f>IF('Ordenes_Odoo'!B1053="","",'Ordenes_Odoo'!B1053)</f>
        <v/>
      </c>
      <c r="C1053" s="79">
        <f>IF('Ordenes_Odoo'!C1053="","",'Ordenes_Odoo'!C1053)</f>
        <v/>
      </c>
      <c r="D1053" s="79">
        <f>IF('Ordenes_Odoo'!D1053="","",'Ordenes_Odoo'!D1053)</f>
        <v/>
      </c>
      <c r="E1053" s="79">
        <f>IF('Ordenes_Odoo'!E1053="","",'Ordenes_Odoo'!E1053)</f>
        <v/>
      </c>
      <c r="F1053" s="79">
        <f>IF('Ordenes_Odoo'!F1053="","",'Ordenes_Odoo'!F1053)</f>
        <v/>
      </c>
      <c r="G1053" s="79">
        <f>IF('Ordenes_Odoo'!G1053="","",'Ordenes_Odoo'!G1053)</f>
        <v/>
      </c>
      <c r="H1053" s="79">
        <f>IF('Ordenes_Odoo'!H1053="","",'Ordenes_Odoo'!H1053)</f>
        <v/>
      </c>
      <c r="I1053" s="79">
        <f>IF('Ordenes_Odoo'!I1053="","",'Ordenes_Odoo'!I1053)</f>
        <v/>
      </c>
      <c r="J1053" s="79">
        <f>IF('Ordenes_Odoo'!J1053="","",'Ordenes_Odoo'!J1053)</f>
        <v/>
      </c>
      <c r="K1053" s="81">
        <f>IF('Ordenes_Odoo'!K1053="","",'Ordenes_Odoo'!K1053)</f>
        <v/>
      </c>
      <c r="L1053" s="81">
        <f>IF('Ordenes_Odoo'!L1053="","",'Ordenes_Odoo'!L1053)</f>
        <v/>
      </c>
      <c r="M1053" s="79">
        <f>IF('Ordenes_Odoo'!M1053="","",'Ordenes_Odoo'!M1053)</f>
        <v/>
      </c>
      <c r="N1053" s="79">
        <f>IF('Ordenes_Odoo'!N1053="","",'Ordenes_Odoo'!N1053)</f>
        <v/>
      </c>
      <c r="O1053" s="81">
        <f>IF('Ordenes_Odoo'!O1053="","",'Ordenes_Odoo'!O1053)</f>
        <v/>
      </c>
      <c r="P1053" s="81">
        <f>IF('Ordenes_Odoo'!P1053="","",'Ordenes_Odoo'!P1053)</f>
        <v/>
      </c>
      <c r="Q1053" s="79">
        <f>IF(A1053="","",IFERROR(INDEX(Facturas_Odoo!$B:$B, MATCH(A1053, Facturas_Odoo!$D:$D, 0)), "Sin Factura"))</f>
        <v/>
      </c>
      <c r="R1053" s="80">
        <f>IF(Q1053="Sin Factura","",IFERROR(INDEX(Facturas_Odoo!$A:$A, MATCH(Q1053, Facturas_Odoo!$B:$B, 0)), ""))</f>
        <v/>
      </c>
      <c r="S1053" s="79">
        <f>IF(Q1053="Sin Factura","",IFERROR(_xlfn.XLOOKUP(1, (Facturas_Odoo!$D:$D=A1053) * (Facturas_Odoo!$K:$K=I1053), Facturas_Odoo!$L:$L, ""), ""))</f>
        <v/>
      </c>
      <c r="T1053" s="81">
        <f>IF(Q1053="Sin Factura",0,IFERROR(_xlfn.XLOOKUP(1, (Facturas_Odoo!$D:$D=A1053) * (Facturas_Odoo!$K:$K=I1053), Facturas_Odoo!$M:$M, 0), 0))</f>
        <v/>
      </c>
      <c r="U1053" s="79">
        <f>IF(Q1053="Sin Factura",0,IFERROR(_xlfn.XLOOKUP(1, (Facturas_Odoo!$D:$D=A1053) * (Facturas_Odoo!$K:$K=I1053), Facturas_Odoo!$N:$N, 0), 0))</f>
        <v/>
      </c>
      <c r="V1053" s="79">
        <f>IF(Q1053="Sin Factura",0,IFERROR(_xlfn.XLOOKUP(1, (Facturas_Odoo!$D:$D=A1053) * (Facturas_Odoo!$K:$K=I1053), Facturas_Odoo!$O:$O, 0), 0))</f>
        <v/>
      </c>
      <c r="W1053" s="81">
        <f>IF(Q1053="Sin Factura",0,IFERROR(_xlfn.XLOOKUP(1, (Facturas_Odoo!$D:$D=A1053) * (Facturas_Odoo!$K:$K=I1053), Facturas_Odoo!$Q:$Q, 0), 0))</f>
        <v/>
      </c>
      <c r="X1053" s="79">
        <f>IF(OR(Q1053="Sin Factura",Q1053=""),"",IFERROR(INDEX(Pagos_Odoo!$B:$B, MATCH(Q1053, Pagos_Odoo!$I:$I, 0)), "Sin Pago"))</f>
        <v/>
      </c>
      <c r="Y1053" s="79">
        <f>IF(X1053="Sin Pago","",IFERROR(INDEX(Pagos_Odoo!$C:$C, MATCH(X1053, Pagos_Odoo!$B:$B, 0)), ""))</f>
        <v/>
      </c>
      <c r="Z1053" s="80">
        <f>IF(X1053="Sin Pago","",IFERROR(INDEX(Pagos_Odoo!$A:$A, MATCH(X1053, Pagos_Odoo!$B:$B, 0)), ""))</f>
        <v/>
      </c>
      <c r="AA1053" s="79">
        <f>IF(X1053="Sin Pago","",IFERROR(INDEX(Pagos_Odoo!$F:$F, MATCH(X1053, Pagos_Odoo!$B:$B, 0)), ""))</f>
        <v/>
      </c>
      <c r="AB1053" s="81">
        <f>IF(X1053="Sin Pago",0,IFERROR(INDEX(Pagos_Odoo!$E:$E, MATCH(X1053, Pagos_Odoo!$B:$B, 0)), 0))</f>
        <v/>
      </c>
      <c r="AC1053" s="79">
        <f>IF(X1053="Sin Pago","",IFERROR(INDEX(Pagos_Odoo!$G:$G, MATCH(X1053, Pagos_Odoo!$B:$B, 0)), ""))</f>
        <v/>
      </c>
      <c r="AD1053" s="82" t="n">
        <v>0</v>
      </c>
      <c r="AE1053" s="82" t="n"/>
      <c r="AF1053" s="82" t="n"/>
      <c r="AG1053" s="82">
        <f>IF(AN1053="","",AD1053+AE1053+AF1053)</f>
        <v/>
      </c>
      <c r="AH1053" s="81">
        <f>IF(AN1053="","",P1053*(1-AG1053))</f>
        <v/>
      </c>
      <c r="AI1053" s="81">
        <f>IF(AN1053="","",IF(Q1053="Sin Factura",0,IFERROR(INDEX(Facturas_Odoo!$H:$H, MATCH(Q1053, Facturas_Odoo!$B:$B, 0)), 0)*(1-AG1053)))</f>
        <v/>
      </c>
      <c r="AJ1053" s="81">
        <f>IF(AN1053="","",_xlfn.LET(idVenta, AN1053&amp;"",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53" s="81">
        <f>IF(AN1053="","",AH1053-AJ1053)</f>
        <v/>
      </c>
      <c r="AL1053" s="81">
        <f>IF(AN1053="","",IF(Q1053="Sin Factura","",AI1053-AJ1053))</f>
        <v/>
      </c>
      <c r="AM1053" s="81">
        <f>IF(AN1053="","",IF(Q1053="Sin Factura",0,P1053-IFERROR(INDEX(Facturas_Odoo!$H:$H, MATCH(Q1053, Facturas_Odoo!$B:$B, 0)), 0)))</f>
        <v/>
      </c>
      <c r="AN1053" s="79">
        <f>IF(AND(A1053="", J1053=""), "", IF(A1053&lt;&gt;"", VALUE(MID(A1053,2,LEN(A1053))), AN1052))</f>
        <v/>
      </c>
      <c r="AO1053" s="79">
        <f>IF(AN1053="","",IF(AD1053=0,"OK",_xlfn.LET(monedaPago, IF(AA1053="","USD",AA1053), limitePermitido, IFERROR(VLOOKUP(monedaPago, Configuración!$A$2:$B$3, 2, FALSE), 0.15), IF(AD1053&gt;limitePermitido, "ALERTA: EXCESO (" &amp; TEXT(limitePermitido, "0%") &amp; " máx)", "OK"))))</f>
        <v/>
      </c>
      <c r="AP1053" s="79">
        <f>IF(AN1053="","",IF(AE1053=0,"OK",_xlfn.LET(fechaPago, Z1053, fechaFactura, R1053, diasCredito, IF(E1053="Pago inmediato", 0, IFERROR(VALUE(MID(E1053, 1, SEARCH(" ", E1053)-1)),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53" s="79">
        <f>IF(AN1053="","",IF(AND(N1053&gt;0, AG1053&gt;0), IF(Configuración!$K$2="NO", "ALERTA: DESCUENTO DOBLE NO PERMITIDO", "OK"), "OK"))</f>
        <v/>
      </c>
      <c r="AR1053" s="79">
        <f>IF(AN1053="","",IF(OR(AO1053&lt;&gt;"OK", AP1053&lt;&gt;"OK", AQ1053&lt;&gt;"OK"), "⚠️ REVISAR", "OK"))</f>
        <v/>
      </c>
    </row>
    <row r="1054">
      <c r="A1054" s="79">
        <f>IF('Ordenes_Odoo'!A1054="","",'Ordenes_Odoo'!A1054)</f>
        <v/>
      </c>
      <c r="B1054" s="80">
        <f>IF('Ordenes_Odoo'!B1054="","",'Ordenes_Odoo'!B1054)</f>
        <v/>
      </c>
      <c r="C1054" s="79">
        <f>IF('Ordenes_Odoo'!C1054="","",'Ordenes_Odoo'!C1054)</f>
        <v/>
      </c>
      <c r="D1054" s="79">
        <f>IF('Ordenes_Odoo'!D1054="","",'Ordenes_Odoo'!D1054)</f>
        <v/>
      </c>
      <c r="E1054" s="79">
        <f>IF('Ordenes_Odoo'!E1054="","",'Ordenes_Odoo'!E1054)</f>
        <v/>
      </c>
      <c r="F1054" s="79">
        <f>IF('Ordenes_Odoo'!F1054="","",'Ordenes_Odoo'!F1054)</f>
        <v/>
      </c>
      <c r="G1054" s="79">
        <f>IF('Ordenes_Odoo'!G1054="","",'Ordenes_Odoo'!G1054)</f>
        <v/>
      </c>
      <c r="H1054" s="79">
        <f>IF('Ordenes_Odoo'!H1054="","",'Ordenes_Odoo'!H1054)</f>
        <v/>
      </c>
      <c r="I1054" s="79">
        <f>IF('Ordenes_Odoo'!I1054="","",'Ordenes_Odoo'!I1054)</f>
        <v/>
      </c>
      <c r="J1054" s="79">
        <f>IF('Ordenes_Odoo'!J1054="","",'Ordenes_Odoo'!J1054)</f>
        <v/>
      </c>
      <c r="K1054" s="81">
        <f>IF('Ordenes_Odoo'!K1054="","",'Ordenes_Odoo'!K1054)</f>
        <v/>
      </c>
      <c r="L1054" s="81">
        <f>IF('Ordenes_Odoo'!L1054="","",'Ordenes_Odoo'!L1054)</f>
        <v/>
      </c>
      <c r="M1054" s="79">
        <f>IF('Ordenes_Odoo'!M1054="","",'Ordenes_Odoo'!M1054)</f>
        <v/>
      </c>
      <c r="N1054" s="79">
        <f>IF('Ordenes_Odoo'!N1054="","",'Ordenes_Odoo'!N1054)</f>
        <v/>
      </c>
      <c r="O1054" s="81">
        <f>IF('Ordenes_Odoo'!O1054="","",'Ordenes_Odoo'!O1054)</f>
        <v/>
      </c>
      <c r="P1054" s="81">
        <f>IF('Ordenes_Odoo'!P1054="","",'Ordenes_Odoo'!P1054)</f>
        <v/>
      </c>
      <c r="Q1054" s="79">
        <f>IF(A1054="","",IFERROR(INDEX(Facturas_Odoo!$B:$B, MATCH(A1054, Facturas_Odoo!$D:$D, 0)), "Sin Factura"))</f>
        <v/>
      </c>
      <c r="R1054" s="80">
        <f>IF(Q1054="Sin Factura","",IFERROR(INDEX(Facturas_Odoo!$A:$A, MATCH(Q1054, Facturas_Odoo!$B:$B, 0)), ""))</f>
        <v/>
      </c>
      <c r="S1054" s="79">
        <f>IF(Q1054="Sin Factura","",IFERROR(_xlfn.XLOOKUP(1, (Facturas_Odoo!$D:$D=A1054) * (Facturas_Odoo!$K:$K=I1054), Facturas_Odoo!$L:$L, ""), ""))</f>
        <v/>
      </c>
      <c r="T1054" s="81">
        <f>IF(Q1054="Sin Factura",0,IFERROR(_xlfn.XLOOKUP(1, (Facturas_Odoo!$D:$D=A1054) * (Facturas_Odoo!$K:$K=I1054), Facturas_Odoo!$M:$M, 0), 0))</f>
        <v/>
      </c>
      <c r="U1054" s="79">
        <f>IF(Q1054="Sin Factura",0,IFERROR(_xlfn.XLOOKUP(1, (Facturas_Odoo!$D:$D=A1054) * (Facturas_Odoo!$K:$K=I1054), Facturas_Odoo!$N:$N, 0), 0))</f>
        <v/>
      </c>
      <c r="V1054" s="79">
        <f>IF(Q1054="Sin Factura",0,IFERROR(_xlfn.XLOOKUP(1, (Facturas_Odoo!$D:$D=A1054) * (Facturas_Odoo!$K:$K=I1054), Facturas_Odoo!$O:$O, 0), 0))</f>
        <v/>
      </c>
      <c r="W1054" s="81">
        <f>IF(Q1054="Sin Factura",0,IFERROR(_xlfn.XLOOKUP(1, (Facturas_Odoo!$D:$D=A1054) * (Facturas_Odoo!$K:$K=I1054), Facturas_Odoo!$Q:$Q, 0), 0))</f>
        <v/>
      </c>
      <c r="X1054" s="79">
        <f>IF(OR(Q1054="Sin Factura",Q1054=""),"",IFERROR(INDEX(Pagos_Odoo!$B:$B, MATCH(Q1054, Pagos_Odoo!$I:$I, 0)), "Sin Pago"))</f>
        <v/>
      </c>
      <c r="Y1054" s="79">
        <f>IF(X1054="Sin Pago","",IFERROR(INDEX(Pagos_Odoo!$C:$C, MATCH(X1054, Pagos_Odoo!$B:$B, 0)), ""))</f>
        <v/>
      </c>
      <c r="Z1054" s="80">
        <f>IF(X1054="Sin Pago","",IFERROR(INDEX(Pagos_Odoo!$A:$A, MATCH(X1054, Pagos_Odoo!$B:$B, 0)), ""))</f>
        <v/>
      </c>
      <c r="AA1054" s="79">
        <f>IF(X1054="Sin Pago","",IFERROR(INDEX(Pagos_Odoo!$F:$F, MATCH(X1054, Pagos_Odoo!$B:$B, 0)), ""))</f>
        <v/>
      </c>
      <c r="AB1054" s="81">
        <f>IF(X1054="Sin Pago",0,IFERROR(INDEX(Pagos_Odoo!$E:$E, MATCH(X1054, Pagos_Odoo!$B:$B, 0)), 0))</f>
        <v/>
      </c>
      <c r="AC1054" s="79">
        <f>IF(X1054="Sin Pago","",IFERROR(INDEX(Pagos_Odoo!$G:$G, MATCH(X1054, Pagos_Odoo!$B:$B, 0)), ""))</f>
        <v/>
      </c>
      <c r="AD1054" s="82" t="n">
        <v>0</v>
      </c>
      <c r="AE1054" s="82" t="n"/>
      <c r="AF1054" s="82" t="n"/>
      <c r="AG1054" s="82">
        <f>IF(AN1054="","",AD1054+AE1054+AF1054)</f>
        <v/>
      </c>
      <c r="AH1054" s="81">
        <f>IF(AN1054="","",P1054*(1-AG1054))</f>
        <v/>
      </c>
      <c r="AI1054" s="81">
        <f>IF(AN1054="","",IF(Q1054="Sin Factura",0,IFERROR(INDEX(Facturas_Odoo!$H:$H, MATCH(Q1054, Facturas_Odoo!$B:$B, 0)), 0)*(1-AG1054)))</f>
        <v/>
      </c>
      <c r="AJ1054" s="81">
        <f>IF(AN1054="","",_xlfn.LET(idVenta, AN1054&amp;"",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54" s="81">
        <f>IF(AN1054="","",AH1054-AJ1054)</f>
        <v/>
      </c>
      <c r="AL1054" s="81">
        <f>IF(AN1054="","",IF(Q1054="Sin Factura","",AI1054-AJ1054))</f>
        <v/>
      </c>
      <c r="AM1054" s="81">
        <f>IF(AN1054="","",IF(Q1054="Sin Factura",0,P1054-IFERROR(INDEX(Facturas_Odoo!$H:$H, MATCH(Q1054, Facturas_Odoo!$B:$B, 0)), 0)))</f>
        <v/>
      </c>
      <c r="AN1054" s="79">
        <f>IF(AND(A1054="", J1054=""), "", IF(A1054&lt;&gt;"", VALUE(MID(A1054,2,LEN(A1054))), AN1053))</f>
        <v/>
      </c>
      <c r="AO1054" s="79">
        <f>IF(AN1054="","",IF(AD1054=0,"OK",_xlfn.LET(monedaPago, IF(AA1054="","USD",AA1054), limitePermitido, IFERROR(VLOOKUP(monedaPago, Configuración!$A$2:$B$3, 2, FALSE), 0.15), IF(AD1054&gt;limitePermitido, "ALERTA: EXCESO (" &amp; TEXT(limitePermitido, "0%") &amp; " máx)", "OK"))))</f>
        <v/>
      </c>
      <c r="AP1054" s="79">
        <f>IF(AN1054="","",IF(AE1054=0,"OK",_xlfn.LET(fechaPago, Z1054, fechaFactura, R1054, diasCredito, IF(E1054="Pago inmediato", 0, IFERROR(VALUE(MID(E1054, 1, SEARCH(" ", E1054)-1)),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54" s="79">
        <f>IF(AN1054="","",IF(AND(N1054&gt;0, AG1054&gt;0), IF(Configuración!$K$2="NO", "ALERTA: DESCUENTO DOBLE NO PERMITIDO", "OK"), "OK"))</f>
        <v/>
      </c>
      <c r="AR1054" s="79">
        <f>IF(AN1054="","",IF(OR(AO1054&lt;&gt;"OK", AP1054&lt;&gt;"OK", AQ1054&lt;&gt;"OK"), "⚠️ REVISAR", "OK"))</f>
        <v/>
      </c>
    </row>
    <row r="1055">
      <c r="A1055" s="79">
        <f>IF('Ordenes_Odoo'!A1055="","",'Ordenes_Odoo'!A1055)</f>
        <v/>
      </c>
      <c r="B1055" s="80">
        <f>IF('Ordenes_Odoo'!B1055="","",'Ordenes_Odoo'!B1055)</f>
        <v/>
      </c>
      <c r="C1055" s="79">
        <f>IF('Ordenes_Odoo'!C1055="","",'Ordenes_Odoo'!C1055)</f>
        <v/>
      </c>
      <c r="D1055" s="79">
        <f>IF('Ordenes_Odoo'!D1055="","",'Ordenes_Odoo'!D1055)</f>
        <v/>
      </c>
      <c r="E1055" s="79">
        <f>IF('Ordenes_Odoo'!E1055="","",'Ordenes_Odoo'!E1055)</f>
        <v/>
      </c>
      <c r="F1055" s="79">
        <f>IF('Ordenes_Odoo'!F1055="","",'Ordenes_Odoo'!F1055)</f>
        <v/>
      </c>
      <c r="G1055" s="79">
        <f>IF('Ordenes_Odoo'!G1055="","",'Ordenes_Odoo'!G1055)</f>
        <v/>
      </c>
      <c r="H1055" s="79">
        <f>IF('Ordenes_Odoo'!H1055="","",'Ordenes_Odoo'!H1055)</f>
        <v/>
      </c>
      <c r="I1055" s="79">
        <f>IF('Ordenes_Odoo'!I1055="","",'Ordenes_Odoo'!I1055)</f>
        <v/>
      </c>
      <c r="J1055" s="79">
        <f>IF('Ordenes_Odoo'!J1055="","",'Ordenes_Odoo'!J1055)</f>
        <v/>
      </c>
      <c r="K1055" s="81">
        <f>IF('Ordenes_Odoo'!K1055="","",'Ordenes_Odoo'!K1055)</f>
        <v/>
      </c>
      <c r="L1055" s="81">
        <f>IF('Ordenes_Odoo'!L1055="","",'Ordenes_Odoo'!L1055)</f>
        <v/>
      </c>
      <c r="M1055" s="79">
        <f>IF('Ordenes_Odoo'!M1055="","",'Ordenes_Odoo'!M1055)</f>
        <v/>
      </c>
      <c r="N1055" s="79">
        <f>IF('Ordenes_Odoo'!N1055="","",'Ordenes_Odoo'!N1055)</f>
        <v/>
      </c>
      <c r="O1055" s="81">
        <f>IF('Ordenes_Odoo'!O1055="","",'Ordenes_Odoo'!O1055)</f>
        <v/>
      </c>
      <c r="P1055" s="81">
        <f>IF('Ordenes_Odoo'!P1055="","",'Ordenes_Odoo'!P1055)</f>
        <v/>
      </c>
      <c r="Q1055" s="79">
        <f>IF(A1055="","",IFERROR(INDEX(Facturas_Odoo!$B:$B, MATCH(A1055, Facturas_Odoo!$D:$D, 0)), "Sin Factura"))</f>
        <v/>
      </c>
      <c r="R1055" s="80">
        <f>IF(Q1055="Sin Factura","",IFERROR(INDEX(Facturas_Odoo!$A:$A, MATCH(Q1055, Facturas_Odoo!$B:$B, 0)), ""))</f>
        <v/>
      </c>
      <c r="S1055" s="79">
        <f>IF(Q1055="Sin Factura","",IFERROR(_xlfn.XLOOKUP(1, (Facturas_Odoo!$D:$D=A1055) * (Facturas_Odoo!$K:$K=I1055), Facturas_Odoo!$L:$L, ""), ""))</f>
        <v/>
      </c>
      <c r="T1055" s="81">
        <f>IF(Q1055="Sin Factura",0,IFERROR(_xlfn.XLOOKUP(1, (Facturas_Odoo!$D:$D=A1055) * (Facturas_Odoo!$K:$K=I1055), Facturas_Odoo!$M:$M, 0), 0))</f>
        <v/>
      </c>
      <c r="U1055" s="79">
        <f>IF(Q1055="Sin Factura",0,IFERROR(_xlfn.XLOOKUP(1, (Facturas_Odoo!$D:$D=A1055) * (Facturas_Odoo!$K:$K=I1055), Facturas_Odoo!$N:$N, 0), 0))</f>
        <v/>
      </c>
      <c r="V1055" s="79">
        <f>IF(Q1055="Sin Factura",0,IFERROR(_xlfn.XLOOKUP(1, (Facturas_Odoo!$D:$D=A1055) * (Facturas_Odoo!$K:$K=I1055), Facturas_Odoo!$O:$O, 0), 0))</f>
        <v/>
      </c>
      <c r="W1055" s="81">
        <f>IF(Q1055="Sin Factura",0,IFERROR(_xlfn.XLOOKUP(1, (Facturas_Odoo!$D:$D=A1055) * (Facturas_Odoo!$K:$K=I1055), Facturas_Odoo!$Q:$Q, 0), 0))</f>
        <v/>
      </c>
      <c r="X1055" s="79">
        <f>IF(OR(Q1055="Sin Factura",Q1055=""),"",IFERROR(INDEX(Pagos_Odoo!$B:$B, MATCH(Q1055, Pagos_Odoo!$I:$I, 0)), "Sin Pago"))</f>
        <v/>
      </c>
      <c r="Y1055" s="79">
        <f>IF(X1055="Sin Pago","",IFERROR(INDEX(Pagos_Odoo!$C:$C, MATCH(X1055, Pagos_Odoo!$B:$B, 0)), ""))</f>
        <v/>
      </c>
      <c r="Z1055" s="80">
        <f>IF(X1055="Sin Pago","",IFERROR(INDEX(Pagos_Odoo!$A:$A, MATCH(X1055, Pagos_Odoo!$B:$B, 0)), ""))</f>
        <v/>
      </c>
      <c r="AA1055" s="79">
        <f>IF(X1055="Sin Pago","",IFERROR(INDEX(Pagos_Odoo!$F:$F, MATCH(X1055, Pagos_Odoo!$B:$B, 0)), ""))</f>
        <v/>
      </c>
      <c r="AB1055" s="81">
        <f>IF(X1055="Sin Pago",0,IFERROR(INDEX(Pagos_Odoo!$E:$E, MATCH(X1055, Pagos_Odoo!$B:$B, 0)), 0))</f>
        <v/>
      </c>
      <c r="AC1055" s="79">
        <f>IF(X1055="Sin Pago","",IFERROR(INDEX(Pagos_Odoo!$G:$G, MATCH(X1055, Pagos_Odoo!$B:$B, 0)), ""))</f>
        <v/>
      </c>
      <c r="AD1055" s="82" t="n">
        <v>0</v>
      </c>
      <c r="AE1055" s="82" t="n"/>
      <c r="AF1055" s="82" t="n"/>
      <c r="AG1055" s="82">
        <f>IF(AN1055="","",AD1055+AE1055+AF1055)</f>
        <v/>
      </c>
      <c r="AH1055" s="81">
        <f>IF(AN1055="","",P1055*(1-AG1055))</f>
        <v/>
      </c>
      <c r="AI1055" s="81">
        <f>IF(AN1055="","",IF(Q1055="Sin Factura",0,IFERROR(INDEX(Facturas_Odoo!$H:$H, MATCH(Q1055, Facturas_Odoo!$B:$B, 0)), 0)*(1-AG1055)))</f>
        <v/>
      </c>
      <c r="AJ1055" s="81">
        <f>IF(AN1055="","",_xlfn.LET(idVenta, AN1055&amp;"",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55" s="81">
        <f>IF(AN1055="","",AH1055-AJ1055)</f>
        <v/>
      </c>
      <c r="AL1055" s="81">
        <f>IF(AN1055="","",IF(Q1055="Sin Factura","",AI1055-AJ1055))</f>
        <v/>
      </c>
      <c r="AM1055" s="81">
        <f>IF(AN1055="","",IF(Q1055="Sin Factura",0,P1055-IFERROR(INDEX(Facturas_Odoo!$H:$H, MATCH(Q1055, Facturas_Odoo!$B:$B, 0)), 0)))</f>
        <v/>
      </c>
      <c r="AN1055" s="79">
        <f>IF(AND(A1055="", J1055=""), "", IF(A1055&lt;&gt;"", VALUE(MID(A1055,2,LEN(A1055))), AN1054))</f>
        <v/>
      </c>
      <c r="AO1055" s="79">
        <f>IF(AN1055="","",IF(AD1055=0,"OK",_xlfn.LET(monedaPago, IF(AA1055="","USD",AA1055), limitePermitido, IFERROR(VLOOKUP(monedaPago, Configuración!$A$2:$B$3, 2, FALSE), 0.15), IF(AD1055&gt;limitePermitido, "ALERTA: EXCESO (" &amp; TEXT(limitePermitido, "0%") &amp; " máx)", "OK"))))</f>
        <v/>
      </c>
      <c r="AP1055" s="79">
        <f>IF(AN1055="","",IF(AE1055=0,"OK",_xlfn.LET(fechaPago, Z1055, fechaFactura, R1055, diasCredito, IF(E1055="Pago inmediato", 0, IFERROR(VALUE(MID(E1055, 1, SEARCH(" ", E1055)-1)),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55" s="79">
        <f>IF(AN1055="","",IF(AND(N1055&gt;0, AG1055&gt;0), IF(Configuración!$K$2="NO", "ALERTA: DESCUENTO DOBLE NO PERMITIDO", "OK"), "OK"))</f>
        <v/>
      </c>
      <c r="AR1055" s="79">
        <f>IF(AN1055="","",IF(OR(AO1055&lt;&gt;"OK", AP1055&lt;&gt;"OK", AQ1055&lt;&gt;"OK"), "⚠️ REVISAR", "OK"))</f>
        <v/>
      </c>
    </row>
    <row r="1056">
      <c r="A1056" s="79">
        <f>IF('Ordenes_Odoo'!A1056="","",'Ordenes_Odoo'!A1056)</f>
        <v/>
      </c>
      <c r="B1056" s="80">
        <f>IF('Ordenes_Odoo'!B1056="","",'Ordenes_Odoo'!B1056)</f>
        <v/>
      </c>
      <c r="C1056" s="79">
        <f>IF('Ordenes_Odoo'!C1056="","",'Ordenes_Odoo'!C1056)</f>
        <v/>
      </c>
      <c r="D1056" s="79">
        <f>IF('Ordenes_Odoo'!D1056="","",'Ordenes_Odoo'!D1056)</f>
        <v/>
      </c>
      <c r="E1056" s="79">
        <f>IF('Ordenes_Odoo'!E1056="","",'Ordenes_Odoo'!E1056)</f>
        <v/>
      </c>
      <c r="F1056" s="79">
        <f>IF('Ordenes_Odoo'!F1056="","",'Ordenes_Odoo'!F1056)</f>
        <v/>
      </c>
      <c r="G1056" s="79">
        <f>IF('Ordenes_Odoo'!G1056="","",'Ordenes_Odoo'!G1056)</f>
        <v/>
      </c>
      <c r="H1056" s="79">
        <f>IF('Ordenes_Odoo'!H1056="","",'Ordenes_Odoo'!H1056)</f>
        <v/>
      </c>
      <c r="I1056" s="79">
        <f>IF('Ordenes_Odoo'!I1056="","",'Ordenes_Odoo'!I1056)</f>
        <v/>
      </c>
      <c r="J1056" s="79">
        <f>IF('Ordenes_Odoo'!J1056="","",'Ordenes_Odoo'!J1056)</f>
        <v/>
      </c>
      <c r="K1056" s="81">
        <f>IF('Ordenes_Odoo'!K1056="","",'Ordenes_Odoo'!K1056)</f>
        <v/>
      </c>
      <c r="L1056" s="81">
        <f>IF('Ordenes_Odoo'!L1056="","",'Ordenes_Odoo'!L1056)</f>
        <v/>
      </c>
      <c r="M1056" s="79">
        <f>IF('Ordenes_Odoo'!M1056="","",'Ordenes_Odoo'!M1056)</f>
        <v/>
      </c>
      <c r="N1056" s="79">
        <f>IF('Ordenes_Odoo'!N1056="","",'Ordenes_Odoo'!N1056)</f>
        <v/>
      </c>
      <c r="O1056" s="81">
        <f>IF('Ordenes_Odoo'!O1056="","",'Ordenes_Odoo'!O1056)</f>
        <v/>
      </c>
      <c r="P1056" s="81">
        <f>IF('Ordenes_Odoo'!P1056="","",'Ordenes_Odoo'!P1056)</f>
        <v/>
      </c>
      <c r="Q1056" s="79">
        <f>IF(A1056="","",IFERROR(INDEX(Facturas_Odoo!$B:$B, MATCH(A1056, Facturas_Odoo!$D:$D, 0)), "Sin Factura"))</f>
        <v/>
      </c>
      <c r="R1056" s="80">
        <f>IF(Q1056="Sin Factura","",IFERROR(INDEX(Facturas_Odoo!$A:$A, MATCH(Q1056, Facturas_Odoo!$B:$B, 0)), ""))</f>
        <v/>
      </c>
      <c r="S1056" s="79">
        <f>IF(Q1056="Sin Factura","",IFERROR(_xlfn.XLOOKUP(1, (Facturas_Odoo!$D:$D=A1056) * (Facturas_Odoo!$K:$K=I1056), Facturas_Odoo!$L:$L, ""), ""))</f>
        <v/>
      </c>
      <c r="T1056" s="81">
        <f>IF(Q1056="Sin Factura",0,IFERROR(_xlfn.XLOOKUP(1, (Facturas_Odoo!$D:$D=A1056) * (Facturas_Odoo!$K:$K=I1056), Facturas_Odoo!$M:$M, 0), 0))</f>
        <v/>
      </c>
      <c r="U1056" s="79">
        <f>IF(Q1056="Sin Factura",0,IFERROR(_xlfn.XLOOKUP(1, (Facturas_Odoo!$D:$D=A1056) * (Facturas_Odoo!$K:$K=I1056), Facturas_Odoo!$N:$N, 0), 0))</f>
        <v/>
      </c>
      <c r="V1056" s="79">
        <f>IF(Q1056="Sin Factura",0,IFERROR(_xlfn.XLOOKUP(1, (Facturas_Odoo!$D:$D=A1056) * (Facturas_Odoo!$K:$K=I1056), Facturas_Odoo!$O:$O, 0), 0))</f>
        <v/>
      </c>
      <c r="W1056" s="81">
        <f>IF(Q1056="Sin Factura",0,IFERROR(_xlfn.XLOOKUP(1, (Facturas_Odoo!$D:$D=A1056) * (Facturas_Odoo!$K:$K=I1056), Facturas_Odoo!$Q:$Q, 0), 0))</f>
        <v/>
      </c>
      <c r="X1056" s="79">
        <f>IF(OR(Q1056="Sin Factura",Q1056=""),"",IFERROR(INDEX(Pagos_Odoo!$B:$B, MATCH(Q1056, Pagos_Odoo!$I:$I, 0)), "Sin Pago"))</f>
        <v/>
      </c>
      <c r="Y1056" s="79">
        <f>IF(X1056="Sin Pago","",IFERROR(INDEX(Pagos_Odoo!$C:$C, MATCH(X1056, Pagos_Odoo!$B:$B, 0)), ""))</f>
        <v/>
      </c>
      <c r="Z1056" s="80">
        <f>IF(X1056="Sin Pago","",IFERROR(INDEX(Pagos_Odoo!$A:$A, MATCH(X1056, Pagos_Odoo!$B:$B, 0)), ""))</f>
        <v/>
      </c>
      <c r="AA1056" s="79">
        <f>IF(X1056="Sin Pago","",IFERROR(INDEX(Pagos_Odoo!$F:$F, MATCH(X1056, Pagos_Odoo!$B:$B, 0)), ""))</f>
        <v/>
      </c>
      <c r="AB1056" s="81">
        <f>IF(X1056="Sin Pago",0,IFERROR(INDEX(Pagos_Odoo!$E:$E, MATCH(X1056, Pagos_Odoo!$B:$B, 0)), 0))</f>
        <v/>
      </c>
      <c r="AC1056" s="79">
        <f>IF(X1056="Sin Pago","",IFERROR(INDEX(Pagos_Odoo!$G:$G, MATCH(X1056, Pagos_Odoo!$B:$B, 0)), ""))</f>
        <v/>
      </c>
      <c r="AD1056" s="82" t="n">
        <v>0</v>
      </c>
      <c r="AE1056" s="82" t="n"/>
      <c r="AF1056" s="82" t="n"/>
      <c r="AG1056" s="82">
        <f>IF(AN1056="","",AD1056+AE1056+AF1056)</f>
        <v/>
      </c>
      <c r="AH1056" s="81">
        <f>IF(AN1056="","",P1056*(1-AG1056))</f>
        <v/>
      </c>
      <c r="AI1056" s="81">
        <f>IF(AN1056="","",IF(Q1056="Sin Factura",0,IFERROR(INDEX(Facturas_Odoo!$H:$H, MATCH(Q1056, Facturas_Odoo!$B:$B, 0)), 0)*(1-AG1056)))</f>
        <v/>
      </c>
      <c r="AJ1056" s="81">
        <f>IF(AN1056="","",_xlfn.LET(idVenta, AN1056&amp;"",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56" s="81">
        <f>IF(AN1056="","",AH1056-AJ1056)</f>
        <v/>
      </c>
      <c r="AL1056" s="81">
        <f>IF(AN1056="","",IF(Q1056="Sin Factura","",AI1056-AJ1056))</f>
        <v/>
      </c>
      <c r="AM1056" s="81">
        <f>IF(AN1056="","",IF(Q1056="Sin Factura",0,P1056-IFERROR(INDEX(Facturas_Odoo!$H:$H, MATCH(Q1056, Facturas_Odoo!$B:$B, 0)), 0)))</f>
        <v/>
      </c>
      <c r="AN1056" s="79">
        <f>IF(AND(A1056="", J1056=""), "", IF(A1056&lt;&gt;"", VALUE(MID(A1056,2,LEN(A1056))), AN1055))</f>
        <v/>
      </c>
      <c r="AO1056" s="79">
        <f>IF(AN1056="","",IF(AD1056=0,"OK",_xlfn.LET(monedaPago, IF(AA1056="","USD",AA1056), limitePermitido, IFERROR(VLOOKUP(monedaPago, Configuración!$A$2:$B$3, 2, FALSE), 0.15), IF(AD1056&gt;limitePermitido, "ALERTA: EXCESO (" &amp; TEXT(limitePermitido, "0%") &amp; " máx)", "OK"))))</f>
        <v/>
      </c>
      <c r="AP1056" s="79">
        <f>IF(AN1056="","",IF(AE1056=0,"OK",_xlfn.LET(fechaPago, Z1056, fechaFactura, R1056, diasCredito, IF(E1056="Pago inmediato", 0, IFERROR(VALUE(MID(E1056, 1, SEARCH(" ", E1056)-1)),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56" s="79">
        <f>IF(AN1056="","",IF(AND(N1056&gt;0, AG1056&gt;0), IF(Configuración!$K$2="NO", "ALERTA: DESCUENTO DOBLE NO PERMITIDO", "OK"), "OK"))</f>
        <v/>
      </c>
      <c r="AR1056" s="79">
        <f>IF(AN1056="","",IF(OR(AO1056&lt;&gt;"OK", AP1056&lt;&gt;"OK", AQ1056&lt;&gt;"OK"), "⚠️ REVISAR", "OK"))</f>
        <v/>
      </c>
    </row>
    <row r="1057">
      <c r="A1057" s="79">
        <f>IF('Ordenes_Odoo'!A1057="","",'Ordenes_Odoo'!A1057)</f>
        <v/>
      </c>
      <c r="B1057" s="80">
        <f>IF('Ordenes_Odoo'!B1057="","",'Ordenes_Odoo'!B1057)</f>
        <v/>
      </c>
      <c r="C1057" s="79">
        <f>IF('Ordenes_Odoo'!C1057="","",'Ordenes_Odoo'!C1057)</f>
        <v/>
      </c>
      <c r="D1057" s="79">
        <f>IF('Ordenes_Odoo'!D1057="","",'Ordenes_Odoo'!D1057)</f>
        <v/>
      </c>
      <c r="E1057" s="79">
        <f>IF('Ordenes_Odoo'!E1057="","",'Ordenes_Odoo'!E1057)</f>
        <v/>
      </c>
      <c r="F1057" s="79">
        <f>IF('Ordenes_Odoo'!F1057="","",'Ordenes_Odoo'!F1057)</f>
        <v/>
      </c>
      <c r="G1057" s="79">
        <f>IF('Ordenes_Odoo'!G1057="","",'Ordenes_Odoo'!G1057)</f>
        <v/>
      </c>
      <c r="H1057" s="79">
        <f>IF('Ordenes_Odoo'!H1057="","",'Ordenes_Odoo'!H1057)</f>
        <v/>
      </c>
      <c r="I1057" s="79">
        <f>IF('Ordenes_Odoo'!I1057="","",'Ordenes_Odoo'!I1057)</f>
        <v/>
      </c>
      <c r="J1057" s="79">
        <f>IF('Ordenes_Odoo'!J1057="","",'Ordenes_Odoo'!J1057)</f>
        <v/>
      </c>
      <c r="K1057" s="81">
        <f>IF('Ordenes_Odoo'!K1057="","",'Ordenes_Odoo'!K1057)</f>
        <v/>
      </c>
      <c r="L1057" s="81">
        <f>IF('Ordenes_Odoo'!L1057="","",'Ordenes_Odoo'!L1057)</f>
        <v/>
      </c>
      <c r="M1057" s="79">
        <f>IF('Ordenes_Odoo'!M1057="","",'Ordenes_Odoo'!M1057)</f>
        <v/>
      </c>
      <c r="N1057" s="79">
        <f>IF('Ordenes_Odoo'!N1057="","",'Ordenes_Odoo'!N1057)</f>
        <v/>
      </c>
      <c r="O1057" s="81">
        <f>IF('Ordenes_Odoo'!O1057="","",'Ordenes_Odoo'!O1057)</f>
        <v/>
      </c>
      <c r="P1057" s="81">
        <f>IF('Ordenes_Odoo'!P1057="","",'Ordenes_Odoo'!P1057)</f>
        <v/>
      </c>
      <c r="Q1057" s="79">
        <f>IF(A1057="","",IFERROR(INDEX(Facturas_Odoo!$B:$B, MATCH(A1057, Facturas_Odoo!$D:$D, 0)), "Sin Factura"))</f>
        <v/>
      </c>
      <c r="R1057" s="80">
        <f>IF(Q1057="Sin Factura","",IFERROR(INDEX(Facturas_Odoo!$A:$A, MATCH(Q1057, Facturas_Odoo!$B:$B, 0)), ""))</f>
        <v/>
      </c>
      <c r="S1057" s="79">
        <f>IF(Q1057="Sin Factura","",IFERROR(_xlfn.XLOOKUP(1, (Facturas_Odoo!$D:$D=A1057) * (Facturas_Odoo!$K:$K=I1057), Facturas_Odoo!$L:$L, ""), ""))</f>
        <v/>
      </c>
      <c r="T1057" s="81">
        <f>IF(Q1057="Sin Factura",0,IFERROR(_xlfn.XLOOKUP(1, (Facturas_Odoo!$D:$D=A1057) * (Facturas_Odoo!$K:$K=I1057), Facturas_Odoo!$M:$M, 0), 0))</f>
        <v/>
      </c>
      <c r="U1057" s="79">
        <f>IF(Q1057="Sin Factura",0,IFERROR(_xlfn.XLOOKUP(1, (Facturas_Odoo!$D:$D=A1057) * (Facturas_Odoo!$K:$K=I1057), Facturas_Odoo!$N:$N, 0), 0))</f>
        <v/>
      </c>
      <c r="V1057" s="79">
        <f>IF(Q1057="Sin Factura",0,IFERROR(_xlfn.XLOOKUP(1, (Facturas_Odoo!$D:$D=A1057) * (Facturas_Odoo!$K:$K=I1057), Facturas_Odoo!$O:$O, 0), 0))</f>
        <v/>
      </c>
      <c r="W1057" s="81">
        <f>IF(Q1057="Sin Factura",0,IFERROR(_xlfn.XLOOKUP(1, (Facturas_Odoo!$D:$D=A1057) * (Facturas_Odoo!$K:$K=I1057), Facturas_Odoo!$Q:$Q, 0), 0))</f>
        <v/>
      </c>
      <c r="X1057" s="79">
        <f>IF(OR(Q1057="Sin Factura",Q1057=""),"",IFERROR(INDEX(Pagos_Odoo!$B:$B, MATCH(Q1057, Pagos_Odoo!$I:$I, 0)), "Sin Pago"))</f>
        <v/>
      </c>
      <c r="Y1057" s="79">
        <f>IF(X1057="Sin Pago","",IFERROR(INDEX(Pagos_Odoo!$C:$C, MATCH(X1057, Pagos_Odoo!$B:$B, 0)), ""))</f>
        <v/>
      </c>
      <c r="Z1057" s="80">
        <f>IF(X1057="Sin Pago","",IFERROR(INDEX(Pagos_Odoo!$A:$A, MATCH(X1057, Pagos_Odoo!$B:$B, 0)), ""))</f>
        <v/>
      </c>
      <c r="AA1057" s="79">
        <f>IF(X1057="Sin Pago","",IFERROR(INDEX(Pagos_Odoo!$F:$F, MATCH(X1057, Pagos_Odoo!$B:$B, 0)), ""))</f>
        <v/>
      </c>
      <c r="AB1057" s="81">
        <f>IF(X1057="Sin Pago",0,IFERROR(INDEX(Pagos_Odoo!$E:$E, MATCH(X1057, Pagos_Odoo!$B:$B, 0)), 0))</f>
        <v/>
      </c>
      <c r="AC1057" s="79">
        <f>IF(X1057="Sin Pago","",IFERROR(INDEX(Pagos_Odoo!$G:$G, MATCH(X1057, Pagos_Odoo!$B:$B, 0)), ""))</f>
        <v/>
      </c>
      <c r="AD1057" s="82" t="n">
        <v>0</v>
      </c>
      <c r="AE1057" s="82" t="n"/>
      <c r="AF1057" s="82" t="n"/>
      <c r="AG1057" s="82">
        <f>IF(AN1057="","",AD1057+AE1057+AF1057)</f>
        <v/>
      </c>
      <c r="AH1057" s="81">
        <f>IF(AN1057="","",P1057*(1-AG1057))</f>
        <v/>
      </c>
      <c r="AI1057" s="81">
        <f>IF(AN1057="","",IF(Q1057="Sin Factura",0,IFERROR(INDEX(Facturas_Odoo!$H:$H, MATCH(Q1057, Facturas_Odoo!$B:$B, 0)), 0)*(1-AG1057)))</f>
        <v/>
      </c>
      <c r="AJ1057" s="81">
        <f>IF(AN1057="","",_xlfn.LET(idVenta, AN1057&amp;"",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57" s="81">
        <f>IF(AN1057="","",AH1057-AJ1057)</f>
        <v/>
      </c>
      <c r="AL1057" s="81">
        <f>IF(AN1057="","",IF(Q1057="Sin Factura","",AI1057-AJ1057))</f>
        <v/>
      </c>
      <c r="AM1057" s="81">
        <f>IF(AN1057="","",IF(Q1057="Sin Factura",0,P1057-IFERROR(INDEX(Facturas_Odoo!$H:$H, MATCH(Q1057, Facturas_Odoo!$B:$B, 0)), 0)))</f>
        <v/>
      </c>
      <c r="AN1057" s="79">
        <f>IF(AND(A1057="", J1057=""), "", IF(A1057&lt;&gt;"", VALUE(MID(A1057,2,LEN(A1057))), AN1056))</f>
        <v/>
      </c>
      <c r="AO1057" s="79">
        <f>IF(AN1057="","",IF(AD1057=0,"OK",_xlfn.LET(monedaPago, IF(AA1057="","USD",AA1057), limitePermitido, IFERROR(VLOOKUP(monedaPago, Configuración!$A$2:$B$3, 2, FALSE), 0.15), IF(AD1057&gt;limitePermitido, "ALERTA: EXCESO (" &amp; TEXT(limitePermitido, "0%") &amp; " máx)", "OK"))))</f>
        <v/>
      </c>
      <c r="AP1057" s="79">
        <f>IF(AN1057="","",IF(AE1057=0,"OK",_xlfn.LET(fechaPago, Z1057, fechaFactura, R1057, diasCredito, IF(E1057="Pago inmediato", 0, IFERROR(VALUE(MID(E1057, 1, SEARCH(" ", E1057)-1)),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57" s="79">
        <f>IF(AN1057="","",IF(AND(N1057&gt;0, AG1057&gt;0), IF(Configuración!$K$2="NO", "ALERTA: DESCUENTO DOBLE NO PERMITIDO", "OK"), "OK"))</f>
        <v/>
      </c>
      <c r="AR1057" s="79">
        <f>IF(AN1057="","",IF(OR(AO1057&lt;&gt;"OK", AP1057&lt;&gt;"OK", AQ1057&lt;&gt;"OK"), "⚠️ REVISAR", "OK"))</f>
        <v/>
      </c>
    </row>
    <row r="1058">
      <c r="A1058" s="79">
        <f>IF('Ordenes_Odoo'!A1058="","",'Ordenes_Odoo'!A1058)</f>
        <v/>
      </c>
      <c r="B1058" s="80">
        <f>IF('Ordenes_Odoo'!B1058="","",'Ordenes_Odoo'!B1058)</f>
        <v/>
      </c>
      <c r="C1058" s="79">
        <f>IF('Ordenes_Odoo'!C1058="","",'Ordenes_Odoo'!C1058)</f>
        <v/>
      </c>
      <c r="D1058" s="79">
        <f>IF('Ordenes_Odoo'!D1058="","",'Ordenes_Odoo'!D1058)</f>
        <v/>
      </c>
      <c r="E1058" s="79">
        <f>IF('Ordenes_Odoo'!E1058="","",'Ordenes_Odoo'!E1058)</f>
        <v/>
      </c>
      <c r="F1058" s="79">
        <f>IF('Ordenes_Odoo'!F1058="","",'Ordenes_Odoo'!F1058)</f>
        <v/>
      </c>
      <c r="G1058" s="79">
        <f>IF('Ordenes_Odoo'!G1058="","",'Ordenes_Odoo'!G1058)</f>
        <v/>
      </c>
      <c r="H1058" s="79">
        <f>IF('Ordenes_Odoo'!H1058="","",'Ordenes_Odoo'!H1058)</f>
        <v/>
      </c>
      <c r="I1058" s="79">
        <f>IF('Ordenes_Odoo'!I1058="","",'Ordenes_Odoo'!I1058)</f>
        <v/>
      </c>
      <c r="J1058" s="79">
        <f>IF('Ordenes_Odoo'!J1058="","",'Ordenes_Odoo'!J1058)</f>
        <v/>
      </c>
      <c r="K1058" s="81">
        <f>IF('Ordenes_Odoo'!K1058="","",'Ordenes_Odoo'!K1058)</f>
        <v/>
      </c>
      <c r="L1058" s="81">
        <f>IF('Ordenes_Odoo'!L1058="","",'Ordenes_Odoo'!L1058)</f>
        <v/>
      </c>
      <c r="M1058" s="79">
        <f>IF('Ordenes_Odoo'!M1058="","",'Ordenes_Odoo'!M1058)</f>
        <v/>
      </c>
      <c r="N1058" s="79">
        <f>IF('Ordenes_Odoo'!N1058="","",'Ordenes_Odoo'!N1058)</f>
        <v/>
      </c>
      <c r="O1058" s="81">
        <f>IF('Ordenes_Odoo'!O1058="","",'Ordenes_Odoo'!O1058)</f>
        <v/>
      </c>
      <c r="P1058" s="81">
        <f>IF('Ordenes_Odoo'!P1058="","",'Ordenes_Odoo'!P1058)</f>
        <v/>
      </c>
      <c r="Q1058" s="79">
        <f>IF(A1058="","",IFERROR(INDEX(Facturas_Odoo!$B:$B, MATCH(A1058, Facturas_Odoo!$D:$D, 0)), "Sin Factura"))</f>
        <v/>
      </c>
      <c r="R1058" s="80">
        <f>IF(Q1058="Sin Factura","",IFERROR(INDEX(Facturas_Odoo!$A:$A, MATCH(Q1058, Facturas_Odoo!$B:$B, 0)), ""))</f>
        <v/>
      </c>
      <c r="S1058" s="79">
        <f>IF(Q1058="Sin Factura","",IFERROR(_xlfn.XLOOKUP(1, (Facturas_Odoo!$D:$D=A1058) * (Facturas_Odoo!$K:$K=I1058), Facturas_Odoo!$L:$L, ""), ""))</f>
        <v/>
      </c>
      <c r="T1058" s="81">
        <f>IF(Q1058="Sin Factura",0,IFERROR(_xlfn.XLOOKUP(1, (Facturas_Odoo!$D:$D=A1058) * (Facturas_Odoo!$K:$K=I1058), Facturas_Odoo!$M:$M, 0), 0))</f>
        <v/>
      </c>
      <c r="U1058" s="79">
        <f>IF(Q1058="Sin Factura",0,IFERROR(_xlfn.XLOOKUP(1, (Facturas_Odoo!$D:$D=A1058) * (Facturas_Odoo!$K:$K=I1058), Facturas_Odoo!$N:$N, 0), 0))</f>
        <v/>
      </c>
      <c r="V1058" s="79">
        <f>IF(Q1058="Sin Factura",0,IFERROR(_xlfn.XLOOKUP(1, (Facturas_Odoo!$D:$D=A1058) * (Facturas_Odoo!$K:$K=I1058), Facturas_Odoo!$O:$O, 0), 0))</f>
        <v/>
      </c>
      <c r="W1058" s="81">
        <f>IF(Q1058="Sin Factura",0,IFERROR(_xlfn.XLOOKUP(1, (Facturas_Odoo!$D:$D=A1058) * (Facturas_Odoo!$K:$K=I1058), Facturas_Odoo!$Q:$Q, 0), 0))</f>
        <v/>
      </c>
      <c r="X1058" s="79">
        <f>IF(OR(Q1058="Sin Factura",Q1058=""),"",IFERROR(INDEX(Pagos_Odoo!$B:$B, MATCH(Q1058, Pagos_Odoo!$I:$I, 0)), "Sin Pago"))</f>
        <v/>
      </c>
      <c r="Y1058" s="79">
        <f>IF(X1058="Sin Pago","",IFERROR(INDEX(Pagos_Odoo!$C:$C, MATCH(X1058, Pagos_Odoo!$B:$B, 0)), ""))</f>
        <v/>
      </c>
      <c r="Z1058" s="80">
        <f>IF(X1058="Sin Pago","",IFERROR(INDEX(Pagos_Odoo!$A:$A, MATCH(X1058, Pagos_Odoo!$B:$B, 0)), ""))</f>
        <v/>
      </c>
      <c r="AA1058" s="79">
        <f>IF(X1058="Sin Pago","",IFERROR(INDEX(Pagos_Odoo!$F:$F, MATCH(X1058, Pagos_Odoo!$B:$B, 0)), ""))</f>
        <v/>
      </c>
      <c r="AB1058" s="81">
        <f>IF(X1058="Sin Pago",0,IFERROR(INDEX(Pagos_Odoo!$E:$E, MATCH(X1058, Pagos_Odoo!$B:$B, 0)), 0))</f>
        <v/>
      </c>
      <c r="AC1058" s="79">
        <f>IF(X1058="Sin Pago","",IFERROR(INDEX(Pagos_Odoo!$G:$G, MATCH(X1058, Pagos_Odoo!$B:$B, 0)), ""))</f>
        <v/>
      </c>
      <c r="AD1058" s="82" t="n">
        <v>0</v>
      </c>
      <c r="AE1058" s="82" t="n"/>
      <c r="AF1058" s="82" t="n"/>
      <c r="AG1058" s="82">
        <f>IF(AN1058="","",AD1058+AE1058+AF1058)</f>
        <v/>
      </c>
      <c r="AH1058" s="81">
        <f>IF(AN1058="","",P1058*(1-AG1058))</f>
        <v/>
      </c>
      <c r="AI1058" s="81">
        <f>IF(AN1058="","",IF(Q1058="Sin Factura",0,IFERROR(INDEX(Facturas_Odoo!$H:$H, MATCH(Q1058, Facturas_Odoo!$B:$B, 0)), 0)*(1-AG1058)))</f>
        <v/>
      </c>
      <c r="AJ1058" s="81">
        <f>IF(AN1058="","",_xlfn.LET(idVenta, AN1058&amp;"",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58" s="81">
        <f>IF(AN1058="","",AH1058-AJ1058)</f>
        <v/>
      </c>
      <c r="AL1058" s="81">
        <f>IF(AN1058="","",IF(Q1058="Sin Factura","",AI1058-AJ1058))</f>
        <v/>
      </c>
      <c r="AM1058" s="81">
        <f>IF(AN1058="","",IF(Q1058="Sin Factura",0,P1058-IFERROR(INDEX(Facturas_Odoo!$H:$H, MATCH(Q1058, Facturas_Odoo!$B:$B, 0)), 0)))</f>
        <v/>
      </c>
      <c r="AN1058" s="79">
        <f>IF(AND(A1058="", J1058=""), "", IF(A1058&lt;&gt;"", VALUE(MID(A1058,2,LEN(A1058))), AN1057))</f>
        <v/>
      </c>
      <c r="AO1058" s="79">
        <f>IF(AN1058="","",IF(AD1058=0,"OK",_xlfn.LET(monedaPago, IF(AA1058="","USD",AA1058), limitePermitido, IFERROR(VLOOKUP(monedaPago, Configuración!$A$2:$B$3, 2, FALSE), 0.15), IF(AD1058&gt;limitePermitido, "ALERTA: EXCESO (" &amp; TEXT(limitePermitido, "0%") &amp; " máx)", "OK"))))</f>
        <v/>
      </c>
      <c r="AP1058" s="79">
        <f>IF(AN1058="","",IF(AE1058=0,"OK",_xlfn.LET(fechaPago, Z1058, fechaFactura, R1058, diasCredito, IF(E1058="Pago inmediato", 0, IFERROR(VALUE(MID(E1058, 1, SEARCH(" ", E1058)-1)),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58" s="79">
        <f>IF(AN1058="","",IF(AND(N1058&gt;0, AG1058&gt;0), IF(Configuración!$K$2="NO", "ALERTA: DESCUENTO DOBLE NO PERMITIDO", "OK"), "OK"))</f>
        <v/>
      </c>
      <c r="AR1058" s="79">
        <f>IF(AN1058="","",IF(OR(AO1058&lt;&gt;"OK", AP1058&lt;&gt;"OK", AQ1058&lt;&gt;"OK"), "⚠️ REVISAR", "OK"))</f>
        <v/>
      </c>
    </row>
    <row r="1059">
      <c r="A1059" s="79">
        <f>IF('Ordenes_Odoo'!A1059="","",'Ordenes_Odoo'!A1059)</f>
        <v/>
      </c>
      <c r="B1059" s="80">
        <f>IF('Ordenes_Odoo'!B1059="","",'Ordenes_Odoo'!B1059)</f>
        <v/>
      </c>
      <c r="C1059" s="79">
        <f>IF('Ordenes_Odoo'!C1059="","",'Ordenes_Odoo'!C1059)</f>
        <v/>
      </c>
      <c r="D1059" s="79">
        <f>IF('Ordenes_Odoo'!D1059="","",'Ordenes_Odoo'!D1059)</f>
        <v/>
      </c>
      <c r="E1059" s="79">
        <f>IF('Ordenes_Odoo'!E1059="","",'Ordenes_Odoo'!E1059)</f>
        <v/>
      </c>
      <c r="F1059" s="79">
        <f>IF('Ordenes_Odoo'!F1059="","",'Ordenes_Odoo'!F1059)</f>
        <v/>
      </c>
      <c r="G1059" s="79">
        <f>IF('Ordenes_Odoo'!G1059="","",'Ordenes_Odoo'!G1059)</f>
        <v/>
      </c>
      <c r="H1059" s="79">
        <f>IF('Ordenes_Odoo'!H1059="","",'Ordenes_Odoo'!H1059)</f>
        <v/>
      </c>
      <c r="I1059" s="79">
        <f>IF('Ordenes_Odoo'!I1059="","",'Ordenes_Odoo'!I1059)</f>
        <v/>
      </c>
      <c r="J1059" s="79">
        <f>IF('Ordenes_Odoo'!J1059="","",'Ordenes_Odoo'!J1059)</f>
        <v/>
      </c>
      <c r="K1059" s="81">
        <f>IF('Ordenes_Odoo'!K1059="","",'Ordenes_Odoo'!K1059)</f>
        <v/>
      </c>
      <c r="L1059" s="81">
        <f>IF('Ordenes_Odoo'!L1059="","",'Ordenes_Odoo'!L1059)</f>
        <v/>
      </c>
      <c r="M1059" s="79">
        <f>IF('Ordenes_Odoo'!M1059="","",'Ordenes_Odoo'!M1059)</f>
        <v/>
      </c>
      <c r="N1059" s="79">
        <f>IF('Ordenes_Odoo'!N1059="","",'Ordenes_Odoo'!N1059)</f>
        <v/>
      </c>
      <c r="O1059" s="81">
        <f>IF('Ordenes_Odoo'!O1059="","",'Ordenes_Odoo'!O1059)</f>
        <v/>
      </c>
      <c r="P1059" s="81">
        <f>IF('Ordenes_Odoo'!P1059="","",'Ordenes_Odoo'!P1059)</f>
        <v/>
      </c>
      <c r="Q1059" s="79">
        <f>IF(A1059="","",IFERROR(INDEX(Facturas_Odoo!$B:$B, MATCH(A1059, Facturas_Odoo!$D:$D, 0)), "Sin Factura"))</f>
        <v/>
      </c>
      <c r="R1059" s="80">
        <f>IF(Q1059="Sin Factura","",IFERROR(INDEX(Facturas_Odoo!$A:$A, MATCH(Q1059, Facturas_Odoo!$B:$B, 0)), ""))</f>
        <v/>
      </c>
      <c r="S1059" s="79">
        <f>IF(Q1059="Sin Factura","",IFERROR(_xlfn.XLOOKUP(1, (Facturas_Odoo!$D:$D=A1059) * (Facturas_Odoo!$K:$K=I1059), Facturas_Odoo!$L:$L, ""), ""))</f>
        <v/>
      </c>
      <c r="T1059" s="81">
        <f>IF(Q1059="Sin Factura",0,IFERROR(_xlfn.XLOOKUP(1, (Facturas_Odoo!$D:$D=A1059) * (Facturas_Odoo!$K:$K=I1059), Facturas_Odoo!$M:$M, 0), 0))</f>
        <v/>
      </c>
      <c r="U1059" s="79">
        <f>IF(Q1059="Sin Factura",0,IFERROR(_xlfn.XLOOKUP(1, (Facturas_Odoo!$D:$D=A1059) * (Facturas_Odoo!$K:$K=I1059), Facturas_Odoo!$N:$N, 0), 0))</f>
        <v/>
      </c>
      <c r="V1059" s="79">
        <f>IF(Q1059="Sin Factura",0,IFERROR(_xlfn.XLOOKUP(1, (Facturas_Odoo!$D:$D=A1059) * (Facturas_Odoo!$K:$K=I1059), Facturas_Odoo!$O:$O, 0), 0))</f>
        <v/>
      </c>
      <c r="W1059" s="81">
        <f>IF(Q1059="Sin Factura",0,IFERROR(_xlfn.XLOOKUP(1, (Facturas_Odoo!$D:$D=A1059) * (Facturas_Odoo!$K:$K=I1059), Facturas_Odoo!$Q:$Q, 0), 0))</f>
        <v/>
      </c>
      <c r="X1059" s="79">
        <f>IF(OR(Q1059="Sin Factura",Q1059=""),"",IFERROR(INDEX(Pagos_Odoo!$B:$B, MATCH(Q1059, Pagos_Odoo!$I:$I, 0)), "Sin Pago"))</f>
        <v/>
      </c>
      <c r="Y1059" s="79">
        <f>IF(X1059="Sin Pago","",IFERROR(INDEX(Pagos_Odoo!$C:$C, MATCH(X1059, Pagos_Odoo!$B:$B, 0)), ""))</f>
        <v/>
      </c>
      <c r="Z1059" s="80">
        <f>IF(X1059="Sin Pago","",IFERROR(INDEX(Pagos_Odoo!$A:$A, MATCH(X1059, Pagos_Odoo!$B:$B, 0)), ""))</f>
        <v/>
      </c>
      <c r="AA1059" s="79">
        <f>IF(X1059="Sin Pago","",IFERROR(INDEX(Pagos_Odoo!$F:$F, MATCH(X1059, Pagos_Odoo!$B:$B, 0)), ""))</f>
        <v/>
      </c>
      <c r="AB1059" s="81">
        <f>IF(X1059="Sin Pago",0,IFERROR(INDEX(Pagos_Odoo!$E:$E, MATCH(X1059, Pagos_Odoo!$B:$B, 0)), 0))</f>
        <v/>
      </c>
      <c r="AC1059" s="79">
        <f>IF(X1059="Sin Pago","",IFERROR(INDEX(Pagos_Odoo!$G:$G, MATCH(X1059, Pagos_Odoo!$B:$B, 0)), ""))</f>
        <v/>
      </c>
      <c r="AD1059" s="82" t="n">
        <v>0</v>
      </c>
      <c r="AE1059" s="82" t="n"/>
      <c r="AF1059" s="82" t="n"/>
      <c r="AG1059" s="82">
        <f>IF(AN1059="","",AD1059+AE1059+AF1059)</f>
        <v/>
      </c>
      <c r="AH1059" s="81">
        <f>IF(AN1059="","",P1059*(1-AG1059))</f>
        <v/>
      </c>
      <c r="AI1059" s="81">
        <f>IF(AN1059="","",IF(Q1059="Sin Factura",0,IFERROR(INDEX(Facturas_Odoo!$H:$H, MATCH(Q1059, Facturas_Odoo!$B:$B, 0)), 0)*(1-AG1059)))</f>
        <v/>
      </c>
      <c r="AJ1059" s="81">
        <f>IF(AN1059="","",_xlfn.LET(idVenta, AN1059&amp;"",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59" s="81">
        <f>IF(AN1059="","",AH1059-AJ1059)</f>
        <v/>
      </c>
      <c r="AL1059" s="81">
        <f>IF(AN1059="","",IF(Q1059="Sin Factura","",AI1059-AJ1059))</f>
        <v/>
      </c>
      <c r="AM1059" s="81">
        <f>IF(AN1059="","",IF(Q1059="Sin Factura",0,P1059-IFERROR(INDEX(Facturas_Odoo!$H:$H, MATCH(Q1059, Facturas_Odoo!$B:$B, 0)), 0)))</f>
        <v/>
      </c>
      <c r="AN1059" s="79">
        <f>IF(AND(A1059="", J1059=""), "", IF(A1059&lt;&gt;"", VALUE(MID(A1059,2,LEN(A1059))), AN1058))</f>
        <v/>
      </c>
      <c r="AO1059" s="79">
        <f>IF(AN1059="","",IF(AD1059=0,"OK",_xlfn.LET(monedaPago, IF(AA1059="","USD",AA1059), limitePermitido, IFERROR(VLOOKUP(monedaPago, Configuración!$A$2:$B$3, 2, FALSE), 0.15), IF(AD1059&gt;limitePermitido, "ALERTA: EXCESO (" &amp; TEXT(limitePermitido, "0%") &amp; " máx)", "OK"))))</f>
        <v/>
      </c>
      <c r="AP1059" s="79">
        <f>IF(AN1059="","",IF(AE1059=0,"OK",_xlfn.LET(fechaPago, Z1059, fechaFactura, R1059, diasCredito, IF(E1059="Pago inmediato", 0, IFERROR(VALUE(MID(E1059, 1, SEARCH(" ", E1059)-1)),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59" s="79">
        <f>IF(AN1059="","",IF(AND(N1059&gt;0, AG1059&gt;0), IF(Configuración!$K$2="NO", "ALERTA: DESCUENTO DOBLE NO PERMITIDO", "OK"), "OK"))</f>
        <v/>
      </c>
      <c r="AR1059" s="79">
        <f>IF(AN1059="","",IF(OR(AO1059&lt;&gt;"OK", AP1059&lt;&gt;"OK", AQ1059&lt;&gt;"OK"), "⚠️ REVISAR", "OK"))</f>
        <v/>
      </c>
    </row>
    <row r="1060">
      <c r="A1060" s="79">
        <f>IF('Ordenes_Odoo'!A1060="","",'Ordenes_Odoo'!A1060)</f>
        <v/>
      </c>
      <c r="B1060" s="80">
        <f>IF('Ordenes_Odoo'!B1060="","",'Ordenes_Odoo'!B1060)</f>
        <v/>
      </c>
      <c r="C1060" s="79">
        <f>IF('Ordenes_Odoo'!C1060="","",'Ordenes_Odoo'!C1060)</f>
        <v/>
      </c>
      <c r="D1060" s="79">
        <f>IF('Ordenes_Odoo'!D1060="","",'Ordenes_Odoo'!D1060)</f>
        <v/>
      </c>
      <c r="E1060" s="79">
        <f>IF('Ordenes_Odoo'!E1060="","",'Ordenes_Odoo'!E1060)</f>
        <v/>
      </c>
      <c r="F1060" s="79">
        <f>IF('Ordenes_Odoo'!F1060="","",'Ordenes_Odoo'!F1060)</f>
        <v/>
      </c>
      <c r="G1060" s="79">
        <f>IF('Ordenes_Odoo'!G1060="","",'Ordenes_Odoo'!G1060)</f>
        <v/>
      </c>
      <c r="H1060" s="79">
        <f>IF('Ordenes_Odoo'!H1060="","",'Ordenes_Odoo'!H1060)</f>
        <v/>
      </c>
      <c r="I1060" s="79">
        <f>IF('Ordenes_Odoo'!I1060="","",'Ordenes_Odoo'!I1060)</f>
        <v/>
      </c>
      <c r="J1060" s="79">
        <f>IF('Ordenes_Odoo'!J1060="","",'Ordenes_Odoo'!J1060)</f>
        <v/>
      </c>
      <c r="K1060" s="81">
        <f>IF('Ordenes_Odoo'!K1060="","",'Ordenes_Odoo'!K1060)</f>
        <v/>
      </c>
      <c r="L1060" s="81">
        <f>IF('Ordenes_Odoo'!L1060="","",'Ordenes_Odoo'!L1060)</f>
        <v/>
      </c>
      <c r="M1060" s="79">
        <f>IF('Ordenes_Odoo'!M1060="","",'Ordenes_Odoo'!M1060)</f>
        <v/>
      </c>
      <c r="N1060" s="79">
        <f>IF('Ordenes_Odoo'!N1060="","",'Ordenes_Odoo'!N1060)</f>
        <v/>
      </c>
      <c r="O1060" s="81">
        <f>IF('Ordenes_Odoo'!O1060="","",'Ordenes_Odoo'!O1060)</f>
        <v/>
      </c>
      <c r="P1060" s="81">
        <f>IF('Ordenes_Odoo'!P1060="","",'Ordenes_Odoo'!P1060)</f>
        <v/>
      </c>
      <c r="Q1060" s="79">
        <f>IF(A1060="","",IFERROR(INDEX(Facturas_Odoo!$B:$B, MATCH(A1060, Facturas_Odoo!$D:$D, 0)), "Sin Factura"))</f>
        <v/>
      </c>
      <c r="R1060" s="80">
        <f>IF(Q1060="Sin Factura","",IFERROR(INDEX(Facturas_Odoo!$A:$A, MATCH(Q1060, Facturas_Odoo!$B:$B, 0)), ""))</f>
        <v/>
      </c>
      <c r="S1060" s="79">
        <f>IF(Q1060="Sin Factura","",IFERROR(_xlfn.XLOOKUP(1, (Facturas_Odoo!$D:$D=A1060) * (Facturas_Odoo!$K:$K=I1060), Facturas_Odoo!$L:$L, ""), ""))</f>
        <v/>
      </c>
      <c r="T1060" s="81">
        <f>IF(Q1060="Sin Factura",0,IFERROR(_xlfn.XLOOKUP(1, (Facturas_Odoo!$D:$D=A1060) * (Facturas_Odoo!$K:$K=I1060), Facturas_Odoo!$M:$M, 0), 0))</f>
        <v/>
      </c>
      <c r="U1060" s="79">
        <f>IF(Q1060="Sin Factura",0,IFERROR(_xlfn.XLOOKUP(1, (Facturas_Odoo!$D:$D=A1060) * (Facturas_Odoo!$K:$K=I1060), Facturas_Odoo!$N:$N, 0), 0))</f>
        <v/>
      </c>
      <c r="V1060" s="79">
        <f>IF(Q1060="Sin Factura",0,IFERROR(_xlfn.XLOOKUP(1, (Facturas_Odoo!$D:$D=A1060) * (Facturas_Odoo!$K:$K=I1060), Facturas_Odoo!$O:$O, 0), 0))</f>
        <v/>
      </c>
      <c r="W1060" s="81">
        <f>IF(Q1060="Sin Factura",0,IFERROR(_xlfn.XLOOKUP(1, (Facturas_Odoo!$D:$D=A1060) * (Facturas_Odoo!$K:$K=I1060), Facturas_Odoo!$Q:$Q, 0), 0))</f>
        <v/>
      </c>
      <c r="X1060" s="79">
        <f>IF(OR(Q1060="Sin Factura",Q1060=""),"",IFERROR(INDEX(Pagos_Odoo!$B:$B, MATCH(Q1060, Pagos_Odoo!$I:$I, 0)), "Sin Pago"))</f>
        <v/>
      </c>
      <c r="Y1060" s="79">
        <f>IF(X1060="Sin Pago","",IFERROR(INDEX(Pagos_Odoo!$C:$C, MATCH(X1060, Pagos_Odoo!$B:$B, 0)), ""))</f>
        <v/>
      </c>
      <c r="Z1060" s="80">
        <f>IF(X1060="Sin Pago","",IFERROR(INDEX(Pagos_Odoo!$A:$A, MATCH(X1060, Pagos_Odoo!$B:$B, 0)), ""))</f>
        <v/>
      </c>
      <c r="AA1060" s="79">
        <f>IF(X1060="Sin Pago","",IFERROR(INDEX(Pagos_Odoo!$F:$F, MATCH(X1060, Pagos_Odoo!$B:$B, 0)), ""))</f>
        <v/>
      </c>
      <c r="AB1060" s="81">
        <f>IF(X1060="Sin Pago",0,IFERROR(INDEX(Pagos_Odoo!$E:$E, MATCH(X1060, Pagos_Odoo!$B:$B, 0)), 0))</f>
        <v/>
      </c>
      <c r="AC1060" s="79">
        <f>IF(X1060="Sin Pago","",IFERROR(INDEX(Pagos_Odoo!$G:$G, MATCH(X1060, Pagos_Odoo!$B:$B, 0)), ""))</f>
        <v/>
      </c>
      <c r="AD1060" s="82" t="n">
        <v>0</v>
      </c>
      <c r="AE1060" s="82" t="n"/>
      <c r="AF1060" s="82" t="n"/>
      <c r="AG1060" s="82">
        <f>IF(AN1060="","",AD1060+AE1060+AF1060)</f>
        <v/>
      </c>
      <c r="AH1060" s="81">
        <f>IF(AN1060="","",P1060*(1-AG1060))</f>
        <v/>
      </c>
      <c r="AI1060" s="81">
        <f>IF(AN1060="","",IF(Q1060="Sin Factura",0,IFERROR(INDEX(Facturas_Odoo!$H:$H, MATCH(Q1060, Facturas_Odoo!$B:$B, 0)), 0)*(1-AG1060)))</f>
        <v/>
      </c>
      <c r="AJ1060" s="81">
        <f>IF(AN1060="","",_xlfn.LET(idVenta, AN1060&amp;"",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60" s="81">
        <f>IF(AN1060="","",AH1060-AJ1060)</f>
        <v/>
      </c>
      <c r="AL1060" s="81">
        <f>IF(AN1060="","",IF(Q1060="Sin Factura","",AI1060-AJ1060))</f>
        <v/>
      </c>
      <c r="AM1060" s="81">
        <f>IF(AN1060="","",IF(Q1060="Sin Factura",0,P1060-IFERROR(INDEX(Facturas_Odoo!$H:$H, MATCH(Q1060, Facturas_Odoo!$B:$B, 0)), 0)))</f>
        <v/>
      </c>
      <c r="AN1060" s="79">
        <f>IF(AND(A1060="", J1060=""), "", IF(A1060&lt;&gt;"", VALUE(MID(A1060,2,LEN(A1060))), AN1059))</f>
        <v/>
      </c>
      <c r="AO1060" s="79">
        <f>IF(AN1060="","",IF(AD1060=0,"OK",_xlfn.LET(monedaPago, IF(AA1060="","USD",AA1060), limitePermitido, IFERROR(VLOOKUP(monedaPago, Configuración!$A$2:$B$3, 2, FALSE), 0.15), IF(AD1060&gt;limitePermitido, "ALERTA: EXCESO (" &amp; TEXT(limitePermitido, "0%") &amp; " máx)", "OK"))))</f>
        <v/>
      </c>
      <c r="AP1060" s="79">
        <f>IF(AN1060="","",IF(AE1060=0,"OK",_xlfn.LET(fechaPago, Z1060, fechaFactura, R1060, diasCredito, IF(E1060="Pago inmediato", 0, IFERROR(VALUE(MID(E1060, 1, SEARCH(" ", E1060)-1)),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60" s="79">
        <f>IF(AN1060="","",IF(AND(N1060&gt;0, AG1060&gt;0), IF(Configuración!$K$2="NO", "ALERTA: DESCUENTO DOBLE NO PERMITIDO", "OK"), "OK"))</f>
        <v/>
      </c>
      <c r="AR1060" s="79">
        <f>IF(AN1060="","",IF(OR(AO1060&lt;&gt;"OK", AP1060&lt;&gt;"OK", AQ1060&lt;&gt;"OK"), "⚠️ REVISAR", "OK"))</f>
        <v/>
      </c>
    </row>
    <row r="1061">
      <c r="A1061" s="79">
        <f>IF('Ordenes_Odoo'!A1061="","",'Ordenes_Odoo'!A1061)</f>
        <v/>
      </c>
      <c r="B1061" s="80">
        <f>IF('Ordenes_Odoo'!B1061="","",'Ordenes_Odoo'!B1061)</f>
        <v/>
      </c>
      <c r="C1061" s="79">
        <f>IF('Ordenes_Odoo'!C1061="","",'Ordenes_Odoo'!C1061)</f>
        <v/>
      </c>
      <c r="D1061" s="79">
        <f>IF('Ordenes_Odoo'!D1061="","",'Ordenes_Odoo'!D1061)</f>
        <v/>
      </c>
      <c r="E1061" s="79">
        <f>IF('Ordenes_Odoo'!E1061="","",'Ordenes_Odoo'!E1061)</f>
        <v/>
      </c>
      <c r="F1061" s="79">
        <f>IF('Ordenes_Odoo'!F1061="","",'Ordenes_Odoo'!F1061)</f>
        <v/>
      </c>
      <c r="G1061" s="79">
        <f>IF('Ordenes_Odoo'!G1061="","",'Ordenes_Odoo'!G1061)</f>
        <v/>
      </c>
      <c r="H1061" s="79">
        <f>IF('Ordenes_Odoo'!H1061="","",'Ordenes_Odoo'!H1061)</f>
        <v/>
      </c>
      <c r="I1061" s="79">
        <f>IF('Ordenes_Odoo'!I1061="","",'Ordenes_Odoo'!I1061)</f>
        <v/>
      </c>
      <c r="J1061" s="79">
        <f>IF('Ordenes_Odoo'!J1061="","",'Ordenes_Odoo'!J1061)</f>
        <v/>
      </c>
      <c r="K1061" s="81">
        <f>IF('Ordenes_Odoo'!K1061="","",'Ordenes_Odoo'!K1061)</f>
        <v/>
      </c>
      <c r="L1061" s="81">
        <f>IF('Ordenes_Odoo'!L1061="","",'Ordenes_Odoo'!L1061)</f>
        <v/>
      </c>
      <c r="M1061" s="79">
        <f>IF('Ordenes_Odoo'!M1061="","",'Ordenes_Odoo'!M1061)</f>
        <v/>
      </c>
      <c r="N1061" s="79">
        <f>IF('Ordenes_Odoo'!N1061="","",'Ordenes_Odoo'!N1061)</f>
        <v/>
      </c>
      <c r="O1061" s="81">
        <f>IF('Ordenes_Odoo'!O1061="","",'Ordenes_Odoo'!O1061)</f>
        <v/>
      </c>
      <c r="P1061" s="81">
        <f>IF('Ordenes_Odoo'!P1061="","",'Ordenes_Odoo'!P1061)</f>
        <v/>
      </c>
      <c r="Q1061" s="79">
        <f>IF(A1061="","",IFERROR(INDEX(Facturas_Odoo!$B:$B, MATCH(A1061, Facturas_Odoo!$D:$D, 0)), "Sin Factura"))</f>
        <v/>
      </c>
      <c r="R1061" s="80">
        <f>IF(Q1061="Sin Factura","",IFERROR(INDEX(Facturas_Odoo!$A:$A, MATCH(Q1061, Facturas_Odoo!$B:$B, 0)), ""))</f>
        <v/>
      </c>
      <c r="S1061" s="79">
        <f>IF(Q1061="Sin Factura","",IFERROR(_xlfn.XLOOKUP(1, (Facturas_Odoo!$D:$D=A1061) * (Facturas_Odoo!$K:$K=I1061), Facturas_Odoo!$L:$L, ""), ""))</f>
        <v/>
      </c>
      <c r="T1061" s="81">
        <f>IF(Q1061="Sin Factura",0,IFERROR(_xlfn.XLOOKUP(1, (Facturas_Odoo!$D:$D=A1061) * (Facturas_Odoo!$K:$K=I1061), Facturas_Odoo!$M:$M, 0), 0))</f>
        <v/>
      </c>
      <c r="U1061" s="79">
        <f>IF(Q1061="Sin Factura",0,IFERROR(_xlfn.XLOOKUP(1, (Facturas_Odoo!$D:$D=A1061) * (Facturas_Odoo!$K:$K=I1061), Facturas_Odoo!$N:$N, 0), 0))</f>
        <v/>
      </c>
      <c r="V1061" s="79">
        <f>IF(Q1061="Sin Factura",0,IFERROR(_xlfn.XLOOKUP(1, (Facturas_Odoo!$D:$D=A1061) * (Facturas_Odoo!$K:$K=I1061), Facturas_Odoo!$O:$O, 0), 0))</f>
        <v/>
      </c>
      <c r="W1061" s="81">
        <f>IF(Q1061="Sin Factura",0,IFERROR(_xlfn.XLOOKUP(1, (Facturas_Odoo!$D:$D=A1061) * (Facturas_Odoo!$K:$K=I1061), Facturas_Odoo!$Q:$Q, 0), 0))</f>
        <v/>
      </c>
      <c r="X1061" s="79">
        <f>IF(OR(Q1061="Sin Factura",Q1061=""),"",IFERROR(INDEX(Pagos_Odoo!$B:$B, MATCH(Q1061, Pagos_Odoo!$I:$I, 0)), "Sin Pago"))</f>
        <v/>
      </c>
      <c r="Y1061" s="79">
        <f>IF(X1061="Sin Pago","",IFERROR(INDEX(Pagos_Odoo!$C:$C, MATCH(X1061, Pagos_Odoo!$B:$B, 0)), ""))</f>
        <v/>
      </c>
      <c r="Z1061" s="80">
        <f>IF(X1061="Sin Pago","",IFERROR(INDEX(Pagos_Odoo!$A:$A, MATCH(X1061, Pagos_Odoo!$B:$B, 0)), ""))</f>
        <v/>
      </c>
      <c r="AA1061" s="79">
        <f>IF(X1061="Sin Pago","",IFERROR(INDEX(Pagos_Odoo!$F:$F, MATCH(X1061, Pagos_Odoo!$B:$B, 0)), ""))</f>
        <v/>
      </c>
      <c r="AB1061" s="81">
        <f>IF(X1061="Sin Pago",0,IFERROR(INDEX(Pagos_Odoo!$E:$E, MATCH(X1061, Pagos_Odoo!$B:$B, 0)), 0))</f>
        <v/>
      </c>
      <c r="AC1061" s="79">
        <f>IF(X1061="Sin Pago","",IFERROR(INDEX(Pagos_Odoo!$G:$G, MATCH(X1061, Pagos_Odoo!$B:$B, 0)), ""))</f>
        <v/>
      </c>
      <c r="AD1061" s="82" t="n">
        <v>0</v>
      </c>
      <c r="AE1061" s="82" t="n"/>
      <c r="AF1061" s="82" t="n"/>
      <c r="AG1061" s="82">
        <f>IF(AN1061="","",AD1061+AE1061+AF1061)</f>
        <v/>
      </c>
      <c r="AH1061" s="81">
        <f>IF(AN1061="","",P1061*(1-AG1061))</f>
        <v/>
      </c>
      <c r="AI1061" s="81">
        <f>IF(AN1061="","",IF(Q1061="Sin Factura",0,IFERROR(INDEX(Facturas_Odoo!$H:$H, MATCH(Q1061, Facturas_Odoo!$B:$B, 0)), 0)*(1-AG1061)))</f>
        <v/>
      </c>
      <c r="AJ1061" s="81">
        <f>IF(AN1061="","",_xlfn.LET(idVenta, AN1061&amp;"",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61" s="81">
        <f>IF(AN1061="","",AH1061-AJ1061)</f>
        <v/>
      </c>
      <c r="AL1061" s="81">
        <f>IF(AN1061="","",IF(Q1061="Sin Factura","",AI1061-AJ1061))</f>
        <v/>
      </c>
      <c r="AM1061" s="81">
        <f>IF(AN1061="","",IF(Q1061="Sin Factura",0,P1061-IFERROR(INDEX(Facturas_Odoo!$H:$H, MATCH(Q1061, Facturas_Odoo!$B:$B, 0)), 0)))</f>
        <v/>
      </c>
      <c r="AN1061" s="79">
        <f>IF(AND(A1061="", J1061=""), "", IF(A1061&lt;&gt;"", VALUE(MID(A1061,2,LEN(A1061))), AN1060))</f>
        <v/>
      </c>
      <c r="AO1061" s="79">
        <f>IF(AN1061="","",IF(AD1061=0,"OK",_xlfn.LET(monedaPago, IF(AA1061="","USD",AA1061), limitePermitido, IFERROR(VLOOKUP(monedaPago, Configuración!$A$2:$B$3, 2, FALSE), 0.15), IF(AD1061&gt;limitePermitido, "ALERTA: EXCESO (" &amp; TEXT(limitePermitido, "0%") &amp; " máx)", "OK"))))</f>
        <v/>
      </c>
      <c r="AP1061" s="79">
        <f>IF(AN1061="","",IF(AE1061=0,"OK",_xlfn.LET(fechaPago, Z1061, fechaFactura, R1061, diasCredito, IF(E1061="Pago inmediato", 0, IFERROR(VALUE(MID(E1061, 1, SEARCH(" ", E1061)-1)),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61" s="79">
        <f>IF(AN1061="","",IF(AND(N1061&gt;0, AG1061&gt;0), IF(Configuración!$K$2="NO", "ALERTA: DESCUENTO DOBLE NO PERMITIDO", "OK"), "OK"))</f>
        <v/>
      </c>
      <c r="AR1061" s="79">
        <f>IF(AN1061="","",IF(OR(AO1061&lt;&gt;"OK", AP1061&lt;&gt;"OK", AQ1061&lt;&gt;"OK"), "⚠️ REVISAR", "OK"))</f>
        <v/>
      </c>
    </row>
    <row r="1062">
      <c r="A1062" s="79">
        <f>IF('Ordenes_Odoo'!A1062="","",'Ordenes_Odoo'!A1062)</f>
        <v/>
      </c>
      <c r="B1062" s="80">
        <f>IF('Ordenes_Odoo'!B1062="","",'Ordenes_Odoo'!B1062)</f>
        <v/>
      </c>
      <c r="C1062" s="79">
        <f>IF('Ordenes_Odoo'!C1062="","",'Ordenes_Odoo'!C1062)</f>
        <v/>
      </c>
      <c r="D1062" s="79">
        <f>IF('Ordenes_Odoo'!D1062="","",'Ordenes_Odoo'!D1062)</f>
        <v/>
      </c>
      <c r="E1062" s="79">
        <f>IF('Ordenes_Odoo'!E1062="","",'Ordenes_Odoo'!E1062)</f>
        <v/>
      </c>
      <c r="F1062" s="79">
        <f>IF('Ordenes_Odoo'!F1062="","",'Ordenes_Odoo'!F1062)</f>
        <v/>
      </c>
      <c r="G1062" s="79">
        <f>IF('Ordenes_Odoo'!G1062="","",'Ordenes_Odoo'!G1062)</f>
        <v/>
      </c>
      <c r="H1062" s="79">
        <f>IF('Ordenes_Odoo'!H1062="","",'Ordenes_Odoo'!H1062)</f>
        <v/>
      </c>
      <c r="I1062" s="79">
        <f>IF('Ordenes_Odoo'!I1062="","",'Ordenes_Odoo'!I1062)</f>
        <v/>
      </c>
      <c r="J1062" s="79">
        <f>IF('Ordenes_Odoo'!J1062="","",'Ordenes_Odoo'!J1062)</f>
        <v/>
      </c>
      <c r="K1062" s="81">
        <f>IF('Ordenes_Odoo'!K1062="","",'Ordenes_Odoo'!K1062)</f>
        <v/>
      </c>
      <c r="L1062" s="81">
        <f>IF('Ordenes_Odoo'!L1062="","",'Ordenes_Odoo'!L1062)</f>
        <v/>
      </c>
      <c r="M1062" s="79">
        <f>IF('Ordenes_Odoo'!M1062="","",'Ordenes_Odoo'!M1062)</f>
        <v/>
      </c>
      <c r="N1062" s="79">
        <f>IF('Ordenes_Odoo'!N1062="","",'Ordenes_Odoo'!N1062)</f>
        <v/>
      </c>
      <c r="O1062" s="81">
        <f>IF('Ordenes_Odoo'!O1062="","",'Ordenes_Odoo'!O1062)</f>
        <v/>
      </c>
      <c r="P1062" s="81">
        <f>IF('Ordenes_Odoo'!P1062="","",'Ordenes_Odoo'!P1062)</f>
        <v/>
      </c>
      <c r="Q1062" s="79">
        <f>IF(A1062="","",IFERROR(INDEX(Facturas_Odoo!$B:$B, MATCH(A1062, Facturas_Odoo!$D:$D, 0)), "Sin Factura"))</f>
        <v/>
      </c>
      <c r="R1062" s="80">
        <f>IF(Q1062="Sin Factura","",IFERROR(INDEX(Facturas_Odoo!$A:$A, MATCH(Q1062, Facturas_Odoo!$B:$B, 0)), ""))</f>
        <v/>
      </c>
      <c r="S1062" s="79">
        <f>IF(Q1062="Sin Factura","",IFERROR(_xlfn.XLOOKUP(1, (Facturas_Odoo!$D:$D=A1062) * (Facturas_Odoo!$K:$K=I1062), Facturas_Odoo!$L:$L, ""), ""))</f>
        <v/>
      </c>
      <c r="T1062" s="81">
        <f>IF(Q1062="Sin Factura",0,IFERROR(_xlfn.XLOOKUP(1, (Facturas_Odoo!$D:$D=A1062) * (Facturas_Odoo!$K:$K=I1062), Facturas_Odoo!$M:$M, 0), 0))</f>
        <v/>
      </c>
      <c r="U1062" s="79">
        <f>IF(Q1062="Sin Factura",0,IFERROR(_xlfn.XLOOKUP(1, (Facturas_Odoo!$D:$D=A1062) * (Facturas_Odoo!$K:$K=I1062), Facturas_Odoo!$N:$N, 0), 0))</f>
        <v/>
      </c>
      <c r="V1062" s="79">
        <f>IF(Q1062="Sin Factura",0,IFERROR(_xlfn.XLOOKUP(1, (Facturas_Odoo!$D:$D=A1062) * (Facturas_Odoo!$K:$K=I1062), Facturas_Odoo!$O:$O, 0), 0))</f>
        <v/>
      </c>
      <c r="W1062" s="81">
        <f>IF(Q1062="Sin Factura",0,IFERROR(_xlfn.XLOOKUP(1, (Facturas_Odoo!$D:$D=A1062) * (Facturas_Odoo!$K:$K=I1062), Facturas_Odoo!$Q:$Q, 0), 0))</f>
        <v/>
      </c>
      <c r="X1062" s="79">
        <f>IF(OR(Q1062="Sin Factura",Q1062=""),"",IFERROR(INDEX(Pagos_Odoo!$B:$B, MATCH(Q1062, Pagos_Odoo!$I:$I, 0)), "Sin Pago"))</f>
        <v/>
      </c>
      <c r="Y1062" s="79">
        <f>IF(X1062="Sin Pago","",IFERROR(INDEX(Pagos_Odoo!$C:$C, MATCH(X1062, Pagos_Odoo!$B:$B, 0)), ""))</f>
        <v/>
      </c>
      <c r="Z1062" s="80">
        <f>IF(X1062="Sin Pago","",IFERROR(INDEX(Pagos_Odoo!$A:$A, MATCH(X1062, Pagos_Odoo!$B:$B, 0)), ""))</f>
        <v/>
      </c>
      <c r="AA1062" s="79">
        <f>IF(X1062="Sin Pago","",IFERROR(INDEX(Pagos_Odoo!$F:$F, MATCH(X1062, Pagos_Odoo!$B:$B, 0)), ""))</f>
        <v/>
      </c>
      <c r="AB1062" s="81">
        <f>IF(X1062="Sin Pago",0,IFERROR(INDEX(Pagos_Odoo!$E:$E, MATCH(X1062, Pagos_Odoo!$B:$B, 0)), 0))</f>
        <v/>
      </c>
      <c r="AC1062" s="79">
        <f>IF(X1062="Sin Pago","",IFERROR(INDEX(Pagos_Odoo!$G:$G, MATCH(X1062, Pagos_Odoo!$B:$B, 0)), ""))</f>
        <v/>
      </c>
      <c r="AD1062" s="82" t="n">
        <v>0</v>
      </c>
      <c r="AE1062" s="82" t="n"/>
      <c r="AF1062" s="82" t="n"/>
      <c r="AG1062" s="82">
        <f>IF(AN1062="","",AD1062+AE1062+AF1062)</f>
        <v/>
      </c>
      <c r="AH1062" s="81">
        <f>IF(AN1062="","",P1062*(1-AG1062))</f>
        <v/>
      </c>
      <c r="AI1062" s="81">
        <f>IF(AN1062="","",IF(Q1062="Sin Factura",0,IFERROR(INDEX(Facturas_Odoo!$H:$H, MATCH(Q1062, Facturas_Odoo!$B:$B, 0)), 0)*(1-AG1062)))</f>
        <v/>
      </c>
      <c r="AJ1062" s="81">
        <f>IF(AN1062="","",_xlfn.LET(idVenta, AN1062&amp;"",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62" s="81">
        <f>IF(AN1062="","",AH1062-AJ1062)</f>
        <v/>
      </c>
      <c r="AL1062" s="81">
        <f>IF(AN1062="","",IF(Q1062="Sin Factura","",AI1062-AJ1062))</f>
        <v/>
      </c>
      <c r="AM1062" s="81">
        <f>IF(AN1062="","",IF(Q1062="Sin Factura",0,P1062-IFERROR(INDEX(Facturas_Odoo!$H:$H, MATCH(Q1062, Facturas_Odoo!$B:$B, 0)), 0)))</f>
        <v/>
      </c>
      <c r="AN1062" s="79">
        <f>IF(AND(A1062="", J1062=""), "", IF(A1062&lt;&gt;"", VALUE(MID(A1062,2,LEN(A1062))), AN1061))</f>
        <v/>
      </c>
      <c r="AO1062" s="79">
        <f>IF(AN1062="","",IF(AD1062=0,"OK",_xlfn.LET(monedaPago, IF(AA1062="","USD",AA1062), limitePermitido, IFERROR(VLOOKUP(monedaPago, Configuración!$A$2:$B$3, 2, FALSE), 0.15), IF(AD1062&gt;limitePermitido, "ALERTA: EXCESO (" &amp; TEXT(limitePermitido, "0%") &amp; " máx)", "OK"))))</f>
        <v/>
      </c>
      <c r="AP1062" s="79">
        <f>IF(AN1062="","",IF(AE1062=0,"OK",_xlfn.LET(fechaPago, Z1062, fechaFactura, R1062, diasCredito, IF(E1062="Pago inmediato", 0, IFERROR(VALUE(MID(E1062, 1, SEARCH(" ", E1062)-1)),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62" s="79">
        <f>IF(AN1062="","",IF(AND(N1062&gt;0, AG1062&gt;0), IF(Configuración!$K$2="NO", "ALERTA: DESCUENTO DOBLE NO PERMITIDO", "OK"), "OK"))</f>
        <v/>
      </c>
      <c r="AR1062" s="79">
        <f>IF(AN1062="","",IF(OR(AO1062&lt;&gt;"OK", AP1062&lt;&gt;"OK", AQ1062&lt;&gt;"OK"), "⚠️ REVISAR", "OK"))</f>
        <v/>
      </c>
    </row>
    <row r="1063">
      <c r="A1063" s="79">
        <f>IF('Ordenes_Odoo'!A1063="","",'Ordenes_Odoo'!A1063)</f>
        <v/>
      </c>
      <c r="B1063" s="80">
        <f>IF('Ordenes_Odoo'!B1063="","",'Ordenes_Odoo'!B1063)</f>
        <v/>
      </c>
      <c r="C1063" s="79">
        <f>IF('Ordenes_Odoo'!C1063="","",'Ordenes_Odoo'!C1063)</f>
        <v/>
      </c>
      <c r="D1063" s="79">
        <f>IF('Ordenes_Odoo'!D1063="","",'Ordenes_Odoo'!D1063)</f>
        <v/>
      </c>
      <c r="E1063" s="79">
        <f>IF('Ordenes_Odoo'!E1063="","",'Ordenes_Odoo'!E1063)</f>
        <v/>
      </c>
      <c r="F1063" s="79">
        <f>IF('Ordenes_Odoo'!F1063="","",'Ordenes_Odoo'!F1063)</f>
        <v/>
      </c>
      <c r="G1063" s="79">
        <f>IF('Ordenes_Odoo'!G1063="","",'Ordenes_Odoo'!G1063)</f>
        <v/>
      </c>
      <c r="H1063" s="79">
        <f>IF('Ordenes_Odoo'!H1063="","",'Ordenes_Odoo'!H1063)</f>
        <v/>
      </c>
      <c r="I1063" s="79">
        <f>IF('Ordenes_Odoo'!I1063="","",'Ordenes_Odoo'!I1063)</f>
        <v/>
      </c>
      <c r="J1063" s="79">
        <f>IF('Ordenes_Odoo'!J1063="","",'Ordenes_Odoo'!J1063)</f>
        <v/>
      </c>
      <c r="K1063" s="81">
        <f>IF('Ordenes_Odoo'!K1063="","",'Ordenes_Odoo'!K1063)</f>
        <v/>
      </c>
      <c r="L1063" s="81">
        <f>IF('Ordenes_Odoo'!L1063="","",'Ordenes_Odoo'!L1063)</f>
        <v/>
      </c>
      <c r="M1063" s="79">
        <f>IF('Ordenes_Odoo'!M1063="","",'Ordenes_Odoo'!M1063)</f>
        <v/>
      </c>
      <c r="N1063" s="79">
        <f>IF('Ordenes_Odoo'!N1063="","",'Ordenes_Odoo'!N1063)</f>
        <v/>
      </c>
      <c r="O1063" s="81">
        <f>IF('Ordenes_Odoo'!O1063="","",'Ordenes_Odoo'!O1063)</f>
        <v/>
      </c>
      <c r="P1063" s="81">
        <f>IF('Ordenes_Odoo'!P1063="","",'Ordenes_Odoo'!P1063)</f>
        <v/>
      </c>
      <c r="Q1063" s="79">
        <f>IF(A1063="","",IFERROR(INDEX(Facturas_Odoo!$B:$B, MATCH(A1063, Facturas_Odoo!$D:$D, 0)), "Sin Factura"))</f>
        <v/>
      </c>
      <c r="R1063" s="80">
        <f>IF(Q1063="Sin Factura","",IFERROR(INDEX(Facturas_Odoo!$A:$A, MATCH(Q1063, Facturas_Odoo!$B:$B, 0)), ""))</f>
        <v/>
      </c>
      <c r="S1063" s="79">
        <f>IF(Q1063="Sin Factura","",IFERROR(_xlfn.XLOOKUP(1, (Facturas_Odoo!$D:$D=A1063) * (Facturas_Odoo!$K:$K=I1063), Facturas_Odoo!$L:$L, ""), ""))</f>
        <v/>
      </c>
      <c r="T1063" s="81">
        <f>IF(Q1063="Sin Factura",0,IFERROR(_xlfn.XLOOKUP(1, (Facturas_Odoo!$D:$D=A1063) * (Facturas_Odoo!$K:$K=I1063), Facturas_Odoo!$M:$M, 0), 0))</f>
        <v/>
      </c>
      <c r="U1063" s="79">
        <f>IF(Q1063="Sin Factura",0,IFERROR(_xlfn.XLOOKUP(1, (Facturas_Odoo!$D:$D=A1063) * (Facturas_Odoo!$K:$K=I1063), Facturas_Odoo!$N:$N, 0), 0))</f>
        <v/>
      </c>
      <c r="V1063" s="79">
        <f>IF(Q1063="Sin Factura",0,IFERROR(_xlfn.XLOOKUP(1, (Facturas_Odoo!$D:$D=A1063) * (Facturas_Odoo!$K:$K=I1063), Facturas_Odoo!$O:$O, 0), 0))</f>
        <v/>
      </c>
      <c r="W1063" s="81">
        <f>IF(Q1063="Sin Factura",0,IFERROR(_xlfn.XLOOKUP(1, (Facturas_Odoo!$D:$D=A1063) * (Facturas_Odoo!$K:$K=I1063), Facturas_Odoo!$Q:$Q, 0), 0))</f>
        <v/>
      </c>
      <c r="X1063" s="79">
        <f>IF(OR(Q1063="Sin Factura",Q1063=""),"",IFERROR(INDEX(Pagos_Odoo!$B:$B, MATCH(Q1063, Pagos_Odoo!$I:$I, 0)), "Sin Pago"))</f>
        <v/>
      </c>
      <c r="Y1063" s="79">
        <f>IF(X1063="Sin Pago","",IFERROR(INDEX(Pagos_Odoo!$C:$C, MATCH(X1063, Pagos_Odoo!$B:$B, 0)), ""))</f>
        <v/>
      </c>
      <c r="Z1063" s="80">
        <f>IF(X1063="Sin Pago","",IFERROR(INDEX(Pagos_Odoo!$A:$A, MATCH(X1063, Pagos_Odoo!$B:$B, 0)), ""))</f>
        <v/>
      </c>
      <c r="AA1063" s="79">
        <f>IF(X1063="Sin Pago","",IFERROR(INDEX(Pagos_Odoo!$F:$F, MATCH(X1063, Pagos_Odoo!$B:$B, 0)), ""))</f>
        <v/>
      </c>
      <c r="AB1063" s="81">
        <f>IF(X1063="Sin Pago",0,IFERROR(INDEX(Pagos_Odoo!$E:$E, MATCH(X1063, Pagos_Odoo!$B:$B, 0)), 0))</f>
        <v/>
      </c>
      <c r="AC1063" s="79">
        <f>IF(X1063="Sin Pago","",IFERROR(INDEX(Pagos_Odoo!$G:$G, MATCH(X1063, Pagos_Odoo!$B:$B, 0)), ""))</f>
        <v/>
      </c>
      <c r="AD1063" s="82" t="n">
        <v>0</v>
      </c>
      <c r="AE1063" s="82" t="n"/>
      <c r="AF1063" s="82" t="n"/>
      <c r="AG1063" s="82">
        <f>IF(AN1063="","",AD1063+AE1063+AF1063)</f>
        <v/>
      </c>
      <c r="AH1063" s="81">
        <f>IF(AN1063="","",P1063*(1-AG1063))</f>
        <v/>
      </c>
      <c r="AI1063" s="81">
        <f>IF(AN1063="","",IF(Q1063="Sin Factura",0,IFERROR(INDEX(Facturas_Odoo!$H:$H, MATCH(Q1063, Facturas_Odoo!$B:$B, 0)), 0)*(1-AG1063)))</f>
        <v/>
      </c>
      <c r="AJ1063" s="81">
        <f>IF(AN1063="","",_xlfn.LET(idVenta, AN1063&amp;"",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63" s="81">
        <f>IF(AN1063="","",AH1063-AJ1063)</f>
        <v/>
      </c>
      <c r="AL1063" s="81">
        <f>IF(AN1063="","",IF(Q1063="Sin Factura","",AI1063-AJ1063))</f>
        <v/>
      </c>
      <c r="AM1063" s="81">
        <f>IF(AN1063="","",IF(Q1063="Sin Factura",0,P1063-IFERROR(INDEX(Facturas_Odoo!$H:$H, MATCH(Q1063, Facturas_Odoo!$B:$B, 0)), 0)))</f>
        <v/>
      </c>
      <c r="AN1063" s="79">
        <f>IF(AND(A1063="", J1063=""), "", IF(A1063&lt;&gt;"", VALUE(MID(A1063,2,LEN(A1063))), AN1062))</f>
        <v/>
      </c>
      <c r="AO1063" s="79">
        <f>IF(AN1063="","",IF(AD1063=0,"OK",_xlfn.LET(monedaPago, IF(AA1063="","USD",AA1063), limitePermitido, IFERROR(VLOOKUP(monedaPago, Configuración!$A$2:$B$3, 2, FALSE), 0.15), IF(AD1063&gt;limitePermitido, "ALERTA: EXCESO (" &amp; TEXT(limitePermitido, "0%") &amp; " máx)", "OK"))))</f>
        <v/>
      </c>
      <c r="AP1063" s="79">
        <f>IF(AN1063="","",IF(AE1063=0,"OK",_xlfn.LET(fechaPago, Z1063, fechaFactura, R1063, diasCredito, IF(E1063="Pago inmediato", 0, IFERROR(VALUE(MID(E1063, 1, SEARCH(" ", E1063)-1)),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63" s="79">
        <f>IF(AN1063="","",IF(AND(N1063&gt;0, AG1063&gt;0), IF(Configuración!$K$2="NO", "ALERTA: DESCUENTO DOBLE NO PERMITIDO", "OK"), "OK"))</f>
        <v/>
      </c>
      <c r="AR1063" s="79">
        <f>IF(AN1063="","",IF(OR(AO1063&lt;&gt;"OK", AP1063&lt;&gt;"OK", AQ1063&lt;&gt;"OK"), "⚠️ REVISAR", "OK"))</f>
        <v/>
      </c>
    </row>
    <row r="1064">
      <c r="A1064" s="79">
        <f>IF('Ordenes_Odoo'!A1064="","",'Ordenes_Odoo'!A1064)</f>
        <v/>
      </c>
      <c r="B1064" s="80">
        <f>IF('Ordenes_Odoo'!B1064="","",'Ordenes_Odoo'!B1064)</f>
        <v/>
      </c>
      <c r="C1064" s="79">
        <f>IF('Ordenes_Odoo'!C1064="","",'Ordenes_Odoo'!C1064)</f>
        <v/>
      </c>
      <c r="D1064" s="79">
        <f>IF('Ordenes_Odoo'!D1064="","",'Ordenes_Odoo'!D1064)</f>
        <v/>
      </c>
      <c r="E1064" s="79">
        <f>IF('Ordenes_Odoo'!E1064="","",'Ordenes_Odoo'!E1064)</f>
        <v/>
      </c>
      <c r="F1064" s="79">
        <f>IF('Ordenes_Odoo'!F1064="","",'Ordenes_Odoo'!F1064)</f>
        <v/>
      </c>
      <c r="G1064" s="79">
        <f>IF('Ordenes_Odoo'!G1064="","",'Ordenes_Odoo'!G1064)</f>
        <v/>
      </c>
      <c r="H1064" s="79">
        <f>IF('Ordenes_Odoo'!H1064="","",'Ordenes_Odoo'!H1064)</f>
        <v/>
      </c>
      <c r="I1064" s="79">
        <f>IF('Ordenes_Odoo'!I1064="","",'Ordenes_Odoo'!I1064)</f>
        <v/>
      </c>
      <c r="J1064" s="79">
        <f>IF('Ordenes_Odoo'!J1064="","",'Ordenes_Odoo'!J1064)</f>
        <v/>
      </c>
      <c r="K1064" s="81">
        <f>IF('Ordenes_Odoo'!K1064="","",'Ordenes_Odoo'!K1064)</f>
        <v/>
      </c>
      <c r="L1064" s="81">
        <f>IF('Ordenes_Odoo'!L1064="","",'Ordenes_Odoo'!L1064)</f>
        <v/>
      </c>
      <c r="M1064" s="79">
        <f>IF('Ordenes_Odoo'!M1064="","",'Ordenes_Odoo'!M1064)</f>
        <v/>
      </c>
      <c r="N1064" s="79">
        <f>IF('Ordenes_Odoo'!N1064="","",'Ordenes_Odoo'!N1064)</f>
        <v/>
      </c>
      <c r="O1064" s="81">
        <f>IF('Ordenes_Odoo'!O1064="","",'Ordenes_Odoo'!O1064)</f>
        <v/>
      </c>
      <c r="P1064" s="81">
        <f>IF('Ordenes_Odoo'!P1064="","",'Ordenes_Odoo'!P1064)</f>
        <v/>
      </c>
      <c r="Q1064" s="79">
        <f>IF(A1064="","",IFERROR(INDEX(Facturas_Odoo!$B:$B, MATCH(A1064, Facturas_Odoo!$D:$D, 0)), "Sin Factura"))</f>
        <v/>
      </c>
      <c r="R1064" s="80">
        <f>IF(Q1064="Sin Factura","",IFERROR(INDEX(Facturas_Odoo!$A:$A, MATCH(Q1064, Facturas_Odoo!$B:$B, 0)), ""))</f>
        <v/>
      </c>
      <c r="S1064" s="79">
        <f>IF(Q1064="Sin Factura","",IFERROR(_xlfn.XLOOKUP(1, (Facturas_Odoo!$D:$D=A1064) * (Facturas_Odoo!$K:$K=I1064), Facturas_Odoo!$L:$L, ""), ""))</f>
        <v/>
      </c>
      <c r="T1064" s="81">
        <f>IF(Q1064="Sin Factura",0,IFERROR(_xlfn.XLOOKUP(1, (Facturas_Odoo!$D:$D=A1064) * (Facturas_Odoo!$K:$K=I1064), Facturas_Odoo!$M:$M, 0), 0))</f>
        <v/>
      </c>
      <c r="U1064" s="79">
        <f>IF(Q1064="Sin Factura",0,IFERROR(_xlfn.XLOOKUP(1, (Facturas_Odoo!$D:$D=A1064) * (Facturas_Odoo!$K:$K=I1064), Facturas_Odoo!$N:$N, 0), 0))</f>
        <v/>
      </c>
      <c r="V1064" s="79">
        <f>IF(Q1064="Sin Factura",0,IFERROR(_xlfn.XLOOKUP(1, (Facturas_Odoo!$D:$D=A1064) * (Facturas_Odoo!$K:$K=I1064), Facturas_Odoo!$O:$O, 0), 0))</f>
        <v/>
      </c>
      <c r="W1064" s="81">
        <f>IF(Q1064="Sin Factura",0,IFERROR(_xlfn.XLOOKUP(1, (Facturas_Odoo!$D:$D=A1064) * (Facturas_Odoo!$K:$K=I1064), Facturas_Odoo!$Q:$Q, 0), 0))</f>
        <v/>
      </c>
      <c r="X1064" s="79">
        <f>IF(OR(Q1064="Sin Factura",Q1064=""),"",IFERROR(INDEX(Pagos_Odoo!$B:$B, MATCH(Q1064, Pagos_Odoo!$I:$I, 0)), "Sin Pago"))</f>
        <v/>
      </c>
      <c r="Y1064" s="79">
        <f>IF(X1064="Sin Pago","",IFERROR(INDEX(Pagos_Odoo!$C:$C, MATCH(X1064, Pagos_Odoo!$B:$B, 0)), ""))</f>
        <v/>
      </c>
      <c r="Z1064" s="80">
        <f>IF(X1064="Sin Pago","",IFERROR(INDEX(Pagos_Odoo!$A:$A, MATCH(X1064, Pagos_Odoo!$B:$B, 0)), ""))</f>
        <v/>
      </c>
      <c r="AA1064" s="79">
        <f>IF(X1064="Sin Pago","",IFERROR(INDEX(Pagos_Odoo!$F:$F, MATCH(X1064, Pagos_Odoo!$B:$B, 0)), ""))</f>
        <v/>
      </c>
      <c r="AB1064" s="81">
        <f>IF(X1064="Sin Pago",0,IFERROR(INDEX(Pagos_Odoo!$E:$E, MATCH(X1064, Pagos_Odoo!$B:$B, 0)), 0))</f>
        <v/>
      </c>
      <c r="AC1064" s="79">
        <f>IF(X1064="Sin Pago","",IFERROR(INDEX(Pagos_Odoo!$G:$G, MATCH(X1064, Pagos_Odoo!$B:$B, 0)), ""))</f>
        <v/>
      </c>
      <c r="AD1064" s="82" t="n">
        <v>0</v>
      </c>
      <c r="AE1064" s="82" t="n"/>
      <c r="AF1064" s="82" t="n"/>
      <c r="AG1064" s="82">
        <f>IF(AN1064="","",AD1064+AE1064+AF1064)</f>
        <v/>
      </c>
      <c r="AH1064" s="81">
        <f>IF(AN1064="","",P1064*(1-AG1064))</f>
        <v/>
      </c>
      <c r="AI1064" s="81">
        <f>IF(AN1064="","",IF(Q1064="Sin Factura",0,IFERROR(INDEX(Facturas_Odoo!$H:$H, MATCH(Q1064, Facturas_Odoo!$B:$B, 0)), 0)*(1-AG1064)))</f>
        <v/>
      </c>
      <c r="AJ1064" s="81">
        <f>IF(AN1064="","",_xlfn.LET(idVenta, AN1064&amp;"",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64" s="81">
        <f>IF(AN1064="","",AH1064-AJ1064)</f>
        <v/>
      </c>
      <c r="AL1064" s="81">
        <f>IF(AN1064="","",IF(Q1064="Sin Factura","",AI1064-AJ1064))</f>
        <v/>
      </c>
      <c r="AM1064" s="81">
        <f>IF(AN1064="","",IF(Q1064="Sin Factura",0,P1064-IFERROR(INDEX(Facturas_Odoo!$H:$H, MATCH(Q1064, Facturas_Odoo!$B:$B, 0)), 0)))</f>
        <v/>
      </c>
      <c r="AN1064" s="79">
        <f>IF(AND(A1064="", J1064=""), "", IF(A1064&lt;&gt;"", VALUE(MID(A1064,2,LEN(A1064))), AN1063))</f>
        <v/>
      </c>
      <c r="AO1064" s="79">
        <f>IF(AN1064="","",IF(AD1064=0,"OK",_xlfn.LET(monedaPago, IF(AA1064="","USD",AA1064), limitePermitido, IFERROR(VLOOKUP(monedaPago, Configuración!$A$2:$B$3, 2, FALSE), 0.15), IF(AD1064&gt;limitePermitido, "ALERTA: EXCESO (" &amp; TEXT(limitePermitido, "0%") &amp; " máx)", "OK"))))</f>
        <v/>
      </c>
      <c r="AP1064" s="79">
        <f>IF(AN1064="","",IF(AE1064=0,"OK",_xlfn.LET(fechaPago, Z1064, fechaFactura, R1064, diasCredito, IF(E1064="Pago inmediato", 0, IFERROR(VALUE(MID(E1064, 1, SEARCH(" ", E1064)-1)),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64" s="79">
        <f>IF(AN1064="","",IF(AND(N1064&gt;0, AG1064&gt;0), IF(Configuración!$K$2="NO", "ALERTA: DESCUENTO DOBLE NO PERMITIDO", "OK"), "OK"))</f>
        <v/>
      </c>
      <c r="AR1064" s="79">
        <f>IF(AN1064="","",IF(OR(AO1064&lt;&gt;"OK", AP1064&lt;&gt;"OK", AQ1064&lt;&gt;"OK"), "⚠️ REVISAR", "OK"))</f>
        <v/>
      </c>
    </row>
    <row r="1065">
      <c r="A1065" s="79">
        <f>IF('Ordenes_Odoo'!A1065="","",'Ordenes_Odoo'!A1065)</f>
        <v/>
      </c>
      <c r="B1065" s="80">
        <f>IF('Ordenes_Odoo'!B1065="","",'Ordenes_Odoo'!B1065)</f>
        <v/>
      </c>
      <c r="C1065" s="79">
        <f>IF('Ordenes_Odoo'!C1065="","",'Ordenes_Odoo'!C1065)</f>
        <v/>
      </c>
      <c r="D1065" s="79">
        <f>IF('Ordenes_Odoo'!D1065="","",'Ordenes_Odoo'!D1065)</f>
        <v/>
      </c>
      <c r="E1065" s="79">
        <f>IF('Ordenes_Odoo'!E1065="","",'Ordenes_Odoo'!E1065)</f>
        <v/>
      </c>
      <c r="F1065" s="79">
        <f>IF('Ordenes_Odoo'!F1065="","",'Ordenes_Odoo'!F1065)</f>
        <v/>
      </c>
      <c r="G1065" s="79">
        <f>IF('Ordenes_Odoo'!G1065="","",'Ordenes_Odoo'!G1065)</f>
        <v/>
      </c>
      <c r="H1065" s="79">
        <f>IF('Ordenes_Odoo'!H1065="","",'Ordenes_Odoo'!H1065)</f>
        <v/>
      </c>
      <c r="I1065" s="79">
        <f>IF('Ordenes_Odoo'!I1065="","",'Ordenes_Odoo'!I1065)</f>
        <v/>
      </c>
      <c r="J1065" s="79">
        <f>IF('Ordenes_Odoo'!J1065="","",'Ordenes_Odoo'!J1065)</f>
        <v/>
      </c>
      <c r="K1065" s="81">
        <f>IF('Ordenes_Odoo'!K1065="","",'Ordenes_Odoo'!K1065)</f>
        <v/>
      </c>
      <c r="L1065" s="81">
        <f>IF('Ordenes_Odoo'!L1065="","",'Ordenes_Odoo'!L1065)</f>
        <v/>
      </c>
      <c r="M1065" s="79">
        <f>IF('Ordenes_Odoo'!M1065="","",'Ordenes_Odoo'!M1065)</f>
        <v/>
      </c>
      <c r="N1065" s="79">
        <f>IF('Ordenes_Odoo'!N1065="","",'Ordenes_Odoo'!N1065)</f>
        <v/>
      </c>
      <c r="O1065" s="81">
        <f>IF('Ordenes_Odoo'!O1065="","",'Ordenes_Odoo'!O1065)</f>
        <v/>
      </c>
      <c r="P1065" s="81">
        <f>IF('Ordenes_Odoo'!P1065="","",'Ordenes_Odoo'!P1065)</f>
        <v/>
      </c>
      <c r="Q1065" s="79">
        <f>IF(A1065="","",IFERROR(INDEX(Facturas_Odoo!$B:$B, MATCH(A1065, Facturas_Odoo!$D:$D, 0)), "Sin Factura"))</f>
        <v/>
      </c>
      <c r="R1065" s="80">
        <f>IF(Q1065="Sin Factura","",IFERROR(INDEX(Facturas_Odoo!$A:$A, MATCH(Q1065, Facturas_Odoo!$B:$B, 0)), ""))</f>
        <v/>
      </c>
      <c r="S1065" s="79">
        <f>IF(Q1065="Sin Factura","",IFERROR(_xlfn.XLOOKUP(1, (Facturas_Odoo!$D:$D=A1065) * (Facturas_Odoo!$K:$K=I1065), Facturas_Odoo!$L:$L, ""), ""))</f>
        <v/>
      </c>
      <c r="T1065" s="81">
        <f>IF(Q1065="Sin Factura",0,IFERROR(_xlfn.XLOOKUP(1, (Facturas_Odoo!$D:$D=A1065) * (Facturas_Odoo!$K:$K=I1065), Facturas_Odoo!$M:$M, 0), 0))</f>
        <v/>
      </c>
      <c r="U1065" s="79">
        <f>IF(Q1065="Sin Factura",0,IFERROR(_xlfn.XLOOKUP(1, (Facturas_Odoo!$D:$D=A1065) * (Facturas_Odoo!$K:$K=I1065), Facturas_Odoo!$N:$N, 0), 0))</f>
        <v/>
      </c>
      <c r="V1065" s="79">
        <f>IF(Q1065="Sin Factura",0,IFERROR(_xlfn.XLOOKUP(1, (Facturas_Odoo!$D:$D=A1065) * (Facturas_Odoo!$K:$K=I1065), Facturas_Odoo!$O:$O, 0), 0))</f>
        <v/>
      </c>
      <c r="W1065" s="81">
        <f>IF(Q1065="Sin Factura",0,IFERROR(_xlfn.XLOOKUP(1, (Facturas_Odoo!$D:$D=A1065) * (Facturas_Odoo!$K:$K=I1065), Facturas_Odoo!$Q:$Q, 0), 0))</f>
        <v/>
      </c>
      <c r="X1065" s="79">
        <f>IF(OR(Q1065="Sin Factura",Q1065=""),"",IFERROR(INDEX(Pagos_Odoo!$B:$B, MATCH(Q1065, Pagos_Odoo!$I:$I, 0)), "Sin Pago"))</f>
        <v/>
      </c>
      <c r="Y1065" s="79">
        <f>IF(X1065="Sin Pago","",IFERROR(INDEX(Pagos_Odoo!$C:$C, MATCH(X1065, Pagos_Odoo!$B:$B, 0)), ""))</f>
        <v/>
      </c>
      <c r="Z1065" s="80">
        <f>IF(X1065="Sin Pago","",IFERROR(INDEX(Pagos_Odoo!$A:$A, MATCH(X1065, Pagos_Odoo!$B:$B, 0)), ""))</f>
        <v/>
      </c>
      <c r="AA1065" s="79">
        <f>IF(X1065="Sin Pago","",IFERROR(INDEX(Pagos_Odoo!$F:$F, MATCH(X1065, Pagos_Odoo!$B:$B, 0)), ""))</f>
        <v/>
      </c>
      <c r="AB1065" s="81">
        <f>IF(X1065="Sin Pago",0,IFERROR(INDEX(Pagos_Odoo!$E:$E, MATCH(X1065, Pagos_Odoo!$B:$B, 0)), 0))</f>
        <v/>
      </c>
      <c r="AC1065" s="79">
        <f>IF(X1065="Sin Pago","",IFERROR(INDEX(Pagos_Odoo!$G:$G, MATCH(X1065, Pagos_Odoo!$B:$B, 0)), ""))</f>
        <v/>
      </c>
      <c r="AD1065" s="82" t="n">
        <v>0</v>
      </c>
      <c r="AE1065" s="82" t="n"/>
      <c r="AF1065" s="82" t="n"/>
      <c r="AG1065" s="82">
        <f>IF(AN1065="","",AD1065+AE1065+AF1065)</f>
        <v/>
      </c>
      <c r="AH1065" s="81">
        <f>IF(AN1065="","",P1065*(1-AG1065))</f>
        <v/>
      </c>
      <c r="AI1065" s="81">
        <f>IF(AN1065="","",IF(Q1065="Sin Factura",0,IFERROR(INDEX(Facturas_Odoo!$H:$H, MATCH(Q1065, Facturas_Odoo!$B:$B, 0)), 0)*(1-AG1065)))</f>
        <v/>
      </c>
      <c r="AJ1065" s="81">
        <f>IF(AN1065="","",_xlfn.LET(idVenta, AN1065&amp;"",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65" s="81">
        <f>IF(AN1065="","",AH1065-AJ1065)</f>
        <v/>
      </c>
      <c r="AL1065" s="81">
        <f>IF(AN1065="","",IF(Q1065="Sin Factura","",AI1065-AJ1065))</f>
        <v/>
      </c>
      <c r="AM1065" s="81">
        <f>IF(AN1065="","",IF(Q1065="Sin Factura",0,P1065-IFERROR(INDEX(Facturas_Odoo!$H:$H, MATCH(Q1065, Facturas_Odoo!$B:$B, 0)), 0)))</f>
        <v/>
      </c>
      <c r="AN1065" s="79">
        <f>IF(AND(A1065="", J1065=""), "", IF(A1065&lt;&gt;"", VALUE(MID(A1065,2,LEN(A1065))), AN1064))</f>
        <v/>
      </c>
      <c r="AO1065" s="79">
        <f>IF(AN1065="","",IF(AD1065=0,"OK",_xlfn.LET(monedaPago, IF(AA1065="","USD",AA1065), limitePermitido, IFERROR(VLOOKUP(monedaPago, Configuración!$A$2:$B$3, 2, FALSE), 0.15), IF(AD1065&gt;limitePermitido, "ALERTA: EXCESO (" &amp; TEXT(limitePermitido, "0%") &amp; " máx)", "OK"))))</f>
        <v/>
      </c>
      <c r="AP1065" s="79">
        <f>IF(AN1065="","",IF(AE1065=0,"OK",_xlfn.LET(fechaPago, Z1065, fechaFactura, R1065, diasCredito, IF(E1065="Pago inmediato", 0, IFERROR(VALUE(MID(E1065, 1, SEARCH(" ", E1065)-1)),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65" s="79">
        <f>IF(AN1065="","",IF(AND(N1065&gt;0, AG1065&gt;0), IF(Configuración!$K$2="NO", "ALERTA: DESCUENTO DOBLE NO PERMITIDO", "OK"), "OK"))</f>
        <v/>
      </c>
      <c r="AR1065" s="79">
        <f>IF(AN1065="","",IF(OR(AO1065&lt;&gt;"OK", AP1065&lt;&gt;"OK", AQ1065&lt;&gt;"OK"), "⚠️ REVISAR", "OK"))</f>
        <v/>
      </c>
    </row>
    <row r="1066">
      <c r="A1066" s="79">
        <f>IF('Ordenes_Odoo'!A1066="","",'Ordenes_Odoo'!A1066)</f>
        <v/>
      </c>
      <c r="B1066" s="80">
        <f>IF('Ordenes_Odoo'!B1066="","",'Ordenes_Odoo'!B1066)</f>
        <v/>
      </c>
      <c r="C1066" s="79">
        <f>IF('Ordenes_Odoo'!C1066="","",'Ordenes_Odoo'!C1066)</f>
        <v/>
      </c>
      <c r="D1066" s="79">
        <f>IF('Ordenes_Odoo'!D1066="","",'Ordenes_Odoo'!D1066)</f>
        <v/>
      </c>
      <c r="E1066" s="79">
        <f>IF('Ordenes_Odoo'!E1066="","",'Ordenes_Odoo'!E1066)</f>
        <v/>
      </c>
      <c r="F1066" s="79">
        <f>IF('Ordenes_Odoo'!F1066="","",'Ordenes_Odoo'!F1066)</f>
        <v/>
      </c>
      <c r="G1066" s="79">
        <f>IF('Ordenes_Odoo'!G1066="","",'Ordenes_Odoo'!G1066)</f>
        <v/>
      </c>
      <c r="H1066" s="79">
        <f>IF('Ordenes_Odoo'!H1066="","",'Ordenes_Odoo'!H1066)</f>
        <v/>
      </c>
      <c r="I1066" s="79">
        <f>IF('Ordenes_Odoo'!I1066="","",'Ordenes_Odoo'!I1066)</f>
        <v/>
      </c>
      <c r="J1066" s="79">
        <f>IF('Ordenes_Odoo'!J1066="","",'Ordenes_Odoo'!J1066)</f>
        <v/>
      </c>
      <c r="K1066" s="81">
        <f>IF('Ordenes_Odoo'!K1066="","",'Ordenes_Odoo'!K1066)</f>
        <v/>
      </c>
      <c r="L1066" s="81">
        <f>IF('Ordenes_Odoo'!L1066="","",'Ordenes_Odoo'!L1066)</f>
        <v/>
      </c>
      <c r="M1066" s="79">
        <f>IF('Ordenes_Odoo'!M1066="","",'Ordenes_Odoo'!M1066)</f>
        <v/>
      </c>
      <c r="N1066" s="79">
        <f>IF('Ordenes_Odoo'!N1066="","",'Ordenes_Odoo'!N1066)</f>
        <v/>
      </c>
      <c r="O1066" s="81">
        <f>IF('Ordenes_Odoo'!O1066="","",'Ordenes_Odoo'!O1066)</f>
        <v/>
      </c>
      <c r="P1066" s="81">
        <f>IF('Ordenes_Odoo'!P1066="","",'Ordenes_Odoo'!P1066)</f>
        <v/>
      </c>
      <c r="Q1066" s="79">
        <f>IF(A1066="","",IFERROR(INDEX(Facturas_Odoo!$B:$B, MATCH(A1066, Facturas_Odoo!$D:$D, 0)), "Sin Factura"))</f>
        <v/>
      </c>
      <c r="R1066" s="80">
        <f>IF(Q1066="Sin Factura","",IFERROR(INDEX(Facturas_Odoo!$A:$A, MATCH(Q1066, Facturas_Odoo!$B:$B, 0)), ""))</f>
        <v/>
      </c>
      <c r="S1066" s="79">
        <f>IF(Q1066="Sin Factura","",IFERROR(_xlfn.XLOOKUP(1, (Facturas_Odoo!$D:$D=A1066) * (Facturas_Odoo!$K:$K=I1066), Facturas_Odoo!$L:$L, ""), ""))</f>
        <v/>
      </c>
      <c r="T1066" s="81">
        <f>IF(Q1066="Sin Factura",0,IFERROR(_xlfn.XLOOKUP(1, (Facturas_Odoo!$D:$D=A1066) * (Facturas_Odoo!$K:$K=I1066), Facturas_Odoo!$M:$M, 0), 0))</f>
        <v/>
      </c>
      <c r="U1066" s="79">
        <f>IF(Q1066="Sin Factura",0,IFERROR(_xlfn.XLOOKUP(1, (Facturas_Odoo!$D:$D=A1066) * (Facturas_Odoo!$K:$K=I1066), Facturas_Odoo!$N:$N, 0), 0))</f>
        <v/>
      </c>
      <c r="V1066" s="79">
        <f>IF(Q1066="Sin Factura",0,IFERROR(_xlfn.XLOOKUP(1, (Facturas_Odoo!$D:$D=A1066) * (Facturas_Odoo!$K:$K=I1066), Facturas_Odoo!$O:$O, 0), 0))</f>
        <v/>
      </c>
      <c r="W1066" s="81">
        <f>IF(Q1066="Sin Factura",0,IFERROR(_xlfn.XLOOKUP(1, (Facturas_Odoo!$D:$D=A1066) * (Facturas_Odoo!$K:$K=I1066), Facturas_Odoo!$Q:$Q, 0), 0))</f>
        <v/>
      </c>
      <c r="X1066" s="79">
        <f>IF(OR(Q1066="Sin Factura",Q1066=""),"",IFERROR(INDEX(Pagos_Odoo!$B:$B, MATCH(Q1066, Pagos_Odoo!$I:$I, 0)), "Sin Pago"))</f>
        <v/>
      </c>
      <c r="Y1066" s="79">
        <f>IF(X1066="Sin Pago","",IFERROR(INDEX(Pagos_Odoo!$C:$C, MATCH(X1066, Pagos_Odoo!$B:$B, 0)), ""))</f>
        <v/>
      </c>
      <c r="Z1066" s="80">
        <f>IF(X1066="Sin Pago","",IFERROR(INDEX(Pagos_Odoo!$A:$A, MATCH(X1066, Pagos_Odoo!$B:$B, 0)), ""))</f>
        <v/>
      </c>
      <c r="AA1066" s="79">
        <f>IF(X1066="Sin Pago","",IFERROR(INDEX(Pagos_Odoo!$F:$F, MATCH(X1066, Pagos_Odoo!$B:$B, 0)), ""))</f>
        <v/>
      </c>
      <c r="AB1066" s="81">
        <f>IF(X1066="Sin Pago",0,IFERROR(INDEX(Pagos_Odoo!$E:$E, MATCH(X1066, Pagos_Odoo!$B:$B, 0)), 0))</f>
        <v/>
      </c>
      <c r="AC1066" s="79">
        <f>IF(X1066="Sin Pago","",IFERROR(INDEX(Pagos_Odoo!$G:$G, MATCH(X1066, Pagos_Odoo!$B:$B, 0)), ""))</f>
        <v/>
      </c>
      <c r="AD1066" s="82" t="n">
        <v>0</v>
      </c>
      <c r="AE1066" s="82" t="n"/>
      <c r="AF1066" s="82" t="n"/>
      <c r="AG1066" s="82">
        <f>IF(AN1066="","",AD1066+AE1066+AF1066)</f>
        <v/>
      </c>
      <c r="AH1066" s="81">
        <f>IF(AN1066="","",P1066*(1-AG1066))</f>
        <v/>
      </c>
      <c r="AI1066" s="81">
        <f>IF(AN1066="","",IF(Q1066="Sin Factura",0,IFERROR(INDEX(Facturas_Odoo!$H:$H, MATCH(Q1066, Facturas_Odoo!$B:$B, 0)), 0)*(1-AG1066)))</f>
        <v/>
      </c>
      <c r="AJ1066" s="81">
        <f>IF(AN1066="","",_xlfn.LET(idVenta, AN1066&amp;"",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66" s="81">
        <f>IF(AN1066="","",AH1066-AJ1066)</f>
        <v/>
      </c>
      <c r="AL1066" s="81">
        <f>IF(AN1066="","",IF(Q1066="Sin Factura","",AI1066-AJ1066))</f>
        <v/>
      </c>
      <c r="AM1066" s="81">
        <f>IF(AN1066="","",IF(Q1066="Sin Factura",0,P1066-IFERROR(INDEX(Facturas_Odoo!$H:$H, MATCH(Q1066, Facturas_Odoo!$B:$B, 0)), 0)))</f>
        <v/>
      </c>
      <c r="AN1066" s="79">
        <f>IF(AND(A1066="", J1066=""), "", IF(A1066&lt;&gt;"", VALUE(MID(A1066,2,LEN(A1066))), AN1065))</f>
        <v/>
      </c>
      <c r="AO1066" s="79">
        <f>IF(AN1066="","",IF(AD1066=0,"OK",_xlfn.LET(monedaPago, IF(AA1066="","USD",AA1066), limitePermitido, IFERROR(VLOOKUP(monedaPago, Configuración!$A$2:$B$3, 2, FALSE), 0.15), IF(AD1066&gt;limitePermitido, "ALERTA: EXCESO (" &amp; TEXT(limitePermitido, "0%") &amp; " máx)", "OK"))))</f>
        <v/>
      </c>
      <c r="AP1066" s="79">
        <f>IF(AN1066="","",IF(AE1066=0,"OK",_xlfn.LET(fechaPago, Z1066, fechaFactura, R1066, diasCredito, IF(E1066="Pago inmediato", 0, IFERROR(VALUE(MID(E1066, 1, SEARCH(" ", E1066)-1)),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66" s="79">
        <f>IF(AN1066="","",IF(AND(N1066&gt;0, AG1066&gt;0), IF(Configuración!$K$2="NO", "ALERTA: DESCUENTO DOBLE NO PERMITIDO", "OK"), "OK"))</f>
        <v/>
      </c>
      <c r="AR1066" s="79">
        <f>IF(AN1066="","",IF(OR(AO1066&lt;&gt;"OK", AP1066&lt;&gt;"OK", AQ1066&lt;&gt;"OK"), "⚠️ REVISAR", "OK"))</f>
        <v/>
      </c>
    </row>
    <row r="1067">
      <c r="A1067" s="79">
        <f>IF('Ordenes_Odoo'!A1067="","",'Ordenes_Odoo'!A1067)</f>
        <v/>
      </c>
      <c r="B1067" s="80">
        <f>IF('Ordenes_Odoo'!B1067="","",'Ordenes_Odoo'!B1067)</f>
        <v/>
      </c>
      <c r="C1067" s="79">
        <f>IF('Ordenes_Odoo'!C1067="","",'Ordenes_Odoo'!C1067)</f>
        <v/>
      </c>
      <c r="D1067" s="79">
        <f>IF('Ordenes_Odoo'!D1067="","",'Ordenes_Odoo'!D1067)</f>
        <v/>
      </c>
      <c r="E1067" s="79">
        <f>IF('Ordenes_Odoo'!E1067="","",'Ordenes_Odoo'!E1067)</f>
        <v/>
      </c>
      <c r="F1067" s="79">
        <f>IF('Ordenes_Odoo'!F1067="","",'Ordenes_Odoo'!F1067)</f>
        <v/>
      </c>
      <c r="G1067" s="79">
        <f>IF('Ordenes_Odoo'!G1067="","",'Ordenes_Odoo'!G1067)</f>
        <v/>
      </c>
      <c r="H1067" s="79">
        <f>IF('Ordenes_Odoo'!H1067="","",'Ordenes_Odoo'!H1067)</f>
        <v/>
      </c>
      <c r="I1067" s="79">
        <f>IF('Ordenes_Odoo'!I1067="","",'Ordenes_Odoo'!I1067)</f>
        <v/>
      </c>
      <c r="J1067" s="79">
        <f>IF('Ordenes_Odoo'!J1067="","",'Ordenes_Odoo'!J1067)</f>
        <v/>
      </c>
      <c r="K1067" s="81">
        <f>IF('Ordenes_Odoo'!K1067="","",'Ordenes_Odoo'!K1067)</f>
        <v/>
      </c>
      <c r="L1067" s="81">
        <f>IF('Ordenes_Odoo'!L1067="","",'Ordenes_Odoo'!L1067)</f>
        <v/>
      </c>
      <c r="M1067" s="79">
        <f>IF('Ordenes_Odoo'!M1067="","",'Ordenes_Odoo'!M1067)</f>
        <v/>
      </c>
      <c r="N1067" s="79">
        <f>IF('Ordenes_Odoo'!N1067="","",'Ordenes_Odoo'!N1067)</f>
        <v/>
      </c>
      <c r="O1067" s="81">
        <f>IF('Ordenes_Odoo'!O1067="","",'Ordenes_Odoo'!O1067)</f>
        <v/>
      </c>
      <c r="P1067" s="81">
        <f>IF('Ordenes_Odoo'!P1067="","",'Ordenes_Odoo'!P1067)</f>
        <v/>
      </c>
      <c r="Q1067" s="79">
        <f>IF(A1067="","",IFERROR(INDEX(Facturas_Odoo!$B:$B, MATCH(A1067, Facturas_Odoo!$D:$D, 0)), "Sin Factura"))</f>
        <v/>
      </c>
      <c r="R1067" s="80">
        <f>IF(Q1067="Sin Factura","",IFERROR(INDEX(Facturas_Odoo!$A:$A, MATCH(Q1067, Facturas_Odoo!$B:$B, 0)), ""))</f>
        <v/>
      </c>
      <c r="S1067" s="79">
        <f>IF(Q1067="Sin Factura","",IFERROR(_xlfn.XLOOKUP(1, (Facturas_Odoo!$D:$D=A1067) * (Facturas_Odoo!$K:$K=I1067), Facturas_Odoo!$L:$L, ""), ""))</f>
        <v/>
      </c>
      <c r="T1067" s="81">
        <f>IF(Q1067="Sin Factura",0,IFERROR(_xlfn.XLOOKUP(1, (Facturas_Odoo!$D:$D=A1067) * (Facturas_Odoo!$K:$K=I1067), Facturas_Odoo!$M:$M, 0), 0))</f>
        <v/>
      </c>
      <c r="U1067" s="79">
        <f>IF(Q1067="Sin Factura",0,IFERROR(_xlfn.XLOOKUP(1, (Facturas_Odoo!$D:$D=A1067) * (Facturas_Odoo!$K:$K=I1067), Facturas_Odoo!$N:$N, 0), 0))</f>
        <v/>
      </c>
      <c r="V1067" s="79">
        <f>IF(Q1067="Sin Factura",0,IFERROR(_xlfn.XLOOKUP(1, (Facturas_Odoo!$D:$D=A1067) * (Facturas_Odoo!$K:$K=I1067), Facturas_Odoo!$O:$O, 0), 0))</f>
        <v/>
      </c>
      <c r="W1067" s="81">
        <f>IF(Q1067="Sin Factura",0,IFERROR(_xlfn.XLOOKUP(1, (Facturas_Odoo!$D:$D=A1067) * (Facturas_Odoo!$K:$K=I1067), Facturas_Odoo!$Q:$Q, 0), 0))</f>
        <v/>
      </c>
      <c r="X1067" s="79">
        <f>IF(OR(Q1067="Sin Factura",Q1067=""),"",IFERROR(INDEX(Pagos_Odoo!$B:$B, MATCH(Q1067, Pagos_Odoo!$I:$I, 0)), "Sin Pago"))</f>
        <v/>
      </c>
      <c r="Y1067" s="79">
        <f>IF(X1067="Sin Pago","",IFERROR(INDEX(Pagos_Odoo!$C:$C, MATCH(X1067, Pagos_Odoo!$B:$B, 0)), ""))</f>
        <v/>
      </c>
      <c r="Z1067" s="80">
        <f>IF(X1067="Sin Pago","",IFERROR(INDEX(Pagos_Odoo!$A:$A, MATCH(X1067, Pagos_Odoo!$B:$B, 0)), ""))</f>
        <v/>
      </c>
      <c r="AA1067" s="79">
        <f>IF(X1067="Sin Pago","",IFERROR(INDEX(Pagos_Odoo!$F:$F, MATCH(X1067, Pagos_Odoo!$B:$B, 0)), ""))</f>
        <v/>
      </c>
      <c r="AB1067" s="81">
        <f>IF(X1067="Sin Pago",0,IFERROR(INDEX(Pagos_Odoo!$E:$E, MATCH(X1067, Pagos_Odoo!$B:$B, 0)), 0))</f>
        <v/>
      </c>
      <c r="AC1067" s="79">
        <f>IF(X1067="Sin Pago","",IFERROR(INDEX(Pagos_Odoo!$G:$G, MATCH(X1067, Pagos_Odoo!$B:$B, 0)), ""))</f>
        <v/>
      </c>
      <c r="AD1067" s="82" t="n">
        <v>0</v>
      </c>
      <c r="AE1067" s="82" t="n"/>
      <c r="AF1067" s="82" t="n"/>
      <c r="AG1067" s="82">
        <f>IF(AN1067="","",AD1067+AE1067+AF1067)</f>
        <v/>
      </c>
      <c r="AH1067" s="81">
        <f>IF(AN1067="","",P1067*(1-AG1067))</f>
        <v/>
      </c>
      <c r="AI1067" s="81">
        <f>IF(AN1067="","",IF(Q1067="Sin Factura",0,IFERROR(INDEX(Facturas_Odoo!$H:$H, MATCH(Q1067, Facturas_Odoo!$B:$B, 0)), 0)*(1-AG1067)))</f>
        <v/>
      </c>
      <c r="AJ1067" s="81">
        <f>IF(AN1067="","",_xlfn.LET(idVenta, AN1067&amp;"",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67" s="81">
        <f>IF(AN1067="","",AH1067-AJ1067)</f>
        <v/>
      </c>
      <c r="AL1067" s="81">
        <f>IF(AN1067="","",IF(Q1067="Sin Factura","",AI1067-AJ1067))</f>
        <v/>
      </c>
      <c r="AM1067" s="81">
        <f>IF(AN1067="","",IF(Q1067="Sin Factura",0,P1067-IFERROR(INDEX(Facturas_Odoo!$H:$H, MATCH(Q1067, Facturas_Odoo!$B:$B, 0)), 0)))</f>
        <v/>
      </c>
      <c r="AN1067" s="79">
        <f>IF(AND(A1067="", J1067=""), "", IF(A1067&lt;&gt;"", VALUE(MID(A1067,2,LEN(A1067))), AN1066))</f>
        <v/>
      </c>
      <c r="AO1067" s="79">
        <f>IF(AN1067="","",IF(AD1067=0,"OK",_xlfn.LET(monedaPago, IF(AA1067="","USD",AA1067), limitePermitido, IFERROR(VLOOKUP(monedaPago, Configuración!$A$2:$B$3, 2, FALSE), 0.15), IF(AD1067&gt;limitePermitido, "ALERTA: EXCESO (" &amp; TEXT(limitePermitido, "0%") &amp; " máx)", "OK"))))</f>
        <v/>
      </c>
      <c r="AP1067" s="79">
        <f>IF(AN1067="","",IF(AE1067=0,"OK",_xlfn.LET(fechaPago, Z1067, fechaFactura, R1067, diasCredito, IF(E1067="Pago inmediato", 0, IFERROR(VALUE(MID(E1067, 1, SEARCH(" ", E1067)-1)),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67" s="79">
        <f>IF(AN1067="","",IF(AND(N1067&gt;0, AG1067&gt;0), IF(Configuración!$K$2="NO", "ALERTA: DESCUENTO DOBLE NO PERMITIDO", "OK"), "OK"))</f>
        <v/>
      </c>
      <c r="AR1067" s="79">
        <f>IF(AN1067="","",IF(OR(AO1067&lt;&gt;"OK", AP1067&lt;&gt;"OK", AQ1067&lt;&gt;"OK"), "⚠️ REVISAR", "OK"))</f>
        <v/>
      </c>
    </row>
    <row r="1068">
      <c r="A1068" s="79">
        <f>IF('Ordenes_Odoo'!A1068="","",'Ordenes_Odoo'!A1068)</f>
        <v/>
      </c>
      <c r="B1068" s="80">
        <f>IF('Ordenes_Odoo'!B1068="","",'Ordenes_Odoo'!B1068)</f>
        <v/>
      </c>
      <c r="C1068" s="79">
        <f>IF('Ordenes_Odoo'!C1068="","",'Ordenes_Odoo'!C1068)</f>
        <v/>
      </c>
      <c r="D1068" s="79">
        <f>IF('Ordenes_Odoo'!D1068="","",'Ordenes_Odoo'!D1068)</f>
        <v/>
      </c>
      <c r="E1068" s="79">
        <f>IF('Ordenes_Odoo'!E1068="","",'Ordenes_Odoo'!E1068)</f>
        <v/>
      </c>
      <c r="F1068" s="79">
        <f>IF('Ordenes_Odoo'!F1068="","",'Ordenes_Odoo'!F1068)</f>
        <v/>
      </c>
      <c r="G1068" s="79">
        <f>IF('Ordenes_Odoo'!G1068="","",'Ordenes_Odoo'!G1068)</f>
        <v/>
      </c>
      <c r="H1068" s="79">
        <f>IF('Ordenes_Odoo'!H1068="","",'Ordenes_Odoo'!H1068)</f>
        <v/>
      </c>
      <c r="I1068" s="79">
        <f>IF('Ordenes_Odoo'!I1068="","",'Ordenes_Odoo'!I1068)</f>
        <v/>
      </c>
      <c r="J1068" s="79">
        <f>IF('Ordenes_Odoo'!J1068="","",'Ordenes_Odoo'!J1068)</f>
        <v/>
      </c>
      <c r="K1068" s="81">
        <f>IF('Ordenes_Odoo'!K1068="","",'Ordenes_Odoo'!K1068)</f>
        <v/>
      </c>
      <c r="L1068" s="81">
        <f>IF('Ordenes_Odoo'!L1068="","",'Ordenes_Odoo'!L1068)</f>
        <v/>
      </c>
      <c r="M1068" s="79">
        <f>IF('Ordenes_Odoo'!M1068="","",'Ordenes_Odoo'!M1068)</f>
        <v/>
      </c>
      <c r="N1068" s="79">
        <f>IF('Ordenes_Odoo'!N1068="","",'Ordenes_Odoo'!N1068)</f>
        <v/>
      </c>
      <c r="O1068" s="81">
        <f>IF('Ordenes_Odoo'!O1068="","",'Ordenes_Odoo'!O1068)</f>
        <v/>
      </c>
      <c r="P1068" s="81">
        <f>IF('Ordenes_Odoo'!P1068="","",'Ordenes_Odoo'!P1068)</f>
        <v/>
      </c>
      <c r="Q1068" s="79">
        <f>IF(A1068="","",IFERROR(INDEX(Facturas_Odoo!$B:$B, MATCH(A1068, Facturas_Odoo!$D:$D, 0)), "Sin Factura"))</f>
        <v/>
      </c>
      <c r="R1068" s="80">
        <f>IF(Q1068="Sin Factura","",IFERROR(INDEX(Facturas_Odoo!$A:$A, MATCH(Q1068, Facturas_Odoo!$B:$B, 0)), ""))</f>
        <v/>
      </c>
      <c r="S1068" s="79">
        <f>IF(Q1068="Sin Factura","",IFERROR(_xlfn.XLOOKUP(1, (Facturas_Odoo!$D:$D=A1068) * (Facturas_Odoo!$K:$K=I1068), Facturas_Odoo!$L:$L, ""), ""))</f>
        <v/>
      </c>
      <c r="T1068" s="81">
        <f>IF(Q1068="Sin Factura",0,IFERROR(_xlfn.XLOOKUP(1, (Facturas_Odoo!$D:$D=A1068) * (Facturas_Odoo!$K:$K=I1068), Facturas_Odoo!$M:$M, 0), 0))</f>
        <v/>
      </c>
      <c r="U1068" s="79">
        <f>IF(Q1068="Sin Factura",0,IFERROR(_xlfn.XLOOKUP(1, (Facturas_Odoo!$D:$D=A1068) * (Facturas_Odoo!$K:$K=I1068), Facturas_Odoo!$N:$N, 0), 0))</f>
        <v/>
      </c>
      <c r="V1068" s="79">
        <f>IF(Q1068="Sin Factura",0,IFERROR(_xlfn.XLOOKUP(1, (Facturas_Odoo!$D:$D=A1068) * (Facturas_Odoo!$K:$K=I1068), Facturas_Odoo!$O:$O, 0), 0))</f>
        <v/>
      </c>
      <c r="W1068" s="81">
        <f>IF(Q1068="Sin Factura",0,IFERROR(_xlfn.XLOOKUP(1, (Facturas_Odoo!$D:$D=A1068) * (Facturas_Odoo!$K:$K=I1068), Facturas_Odoo!$Q:$Q, 0), 0))</f>
        <v/>
      </c>
      <c r="X1068" s="79">
        <f>IF(OR(Q1068="Sin Factura",Q1068=""),"",IFERROR(INDEX(Pagos_Odoo!$B:$B, MATCH(Q1068, Pagos_Odoo!$I:$I, 0)), "Sin Pago"))</f>
        <v/>
      </c>
      <c r="Y1068" s="79">
        <f>IF(X1068="Sin Pago","",IFERROR(INDEX(Pagos_Odoo!$C:$C, MATCH(X1068, Pagos_Odoo!$B:$B, 0)), ""))</f>
        <v/>
      </c>
      <c r="Z1068" s="80">
        <f>IF(X1068="Sin Pago","",IFERROR(INDEX(Pagos_Odoo!$A:$A, MATCH(X1068, Pagos_Odoo!$B:$B, 0)), ""))</f>
        <v/>
      </c>
      <c r="AA1068" s="79">
        <f>IF(X1068="Sin Pago","",IFERROR(INDEX(Pagos_Odoo!$F:$F, MATCH(X1068, Pagos_Odoo!$B:$B, 0)), ""))</f>
        <v/>
      </c>
      <c r="AB1068" s="81">
        <f>IF(X1068="Sin Pago",0,IFERROR(INDEX(Pagos_Odoo!$E:$E, MATCH(X1068, Pagos_Odoo!$B:$B, 0)), 0))</f>
        <v/>
      </c>
      <c r="AC1068" s="79">
        <f>IF(X1068="Sin Pago","",IFERROR(INDEX(Pagos_Odoo!$G:$G, MATCH(X1068, Pagos_Odoo!$B:$B, 0)), ""))</f>
        <v/>
      </c>
      <c r="AD1068" s="82" t="n">
        <v>0</v>
      </c>
      <c r="AE1068" s="82" t="n"/>
      <c r="AF1068" s="82" t="n"/>
      <c r="AG1068" s="82">
        <f>IF(AN1068="","",AD1068+AE1068+AF1068)</f>
        <v/>
      </c>
      <c r="AH1068" s="81">
        <f>IF(AN1068="","",P1068*(1-AG1068))</f>
        <v/>
      </c>
      <c r="AI1068" s="81">
        <f>IF(AN1068="","",IF(Q1068="Sin Factura",0,IFERROR(INDEX(Facturas_Odoo!$H:$H, MATCH(Q1068, Facturas_Odoo!$B:$B, 0)), 0)*(1-AG1068)))</f>
        <v/>
      </c>
      <c r="AJ1068" s="81">
        <f>IF(AN1068="","",_xlfn.LET(idVenta, AN1068&amp;"",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68" s="81">
        <f>IF(AN1068="","",AH1068-AJ1068)</f>
        <v/>
      </c>
      <c r="AL1068" s="81">
        <f>IF(AN1068="","",IF(Q1068="Sin Factura","",AI1068-AJ1068))</f>
        <v/>
      </c>
      <c r="AM1068" s="81">
        <f>IF(AN1068="","",IF(Q1068="Sin Factura",0,P1068-IFERROR(INDEX(Facturas_Odoo!$H:$H, MATCH(Q1068, Facturas_Odoo!$B:$B, 0)), 0)))</f>
        <v/>
      </c>
      <c r="AN1068" s="79">
        <f>IF(AND(A1068="", J1068=""), "", IF(A1068&lt;&gt;"", VALUE(MID(A1068,2,LEN(A1068))), AN1067))</f>
        <v/>
      </c>
      <c r="AO1068" s="79">
        <f>IF(AN1068="","",IF(AD1068=0,"OK",_xlfn.LET(monedaPago, IF(AA1068="","USD",AA1068), limitePermitido, IFERROR(VLOOKUP(monedaPago, Configuración!$A$2:$B$3, 2, FALSE), 0.15), IF(AD1068&gt;limitePermitido, "ALERTA: EXCESO (" &amp; TEXT(limitePermitido, "0%") &amp; " máx)", "OK"))))</f>
        <v/>
      </c>
      <c r="AP1068" s="79">
        <f>IF(AN1068="","",IF(AE1068=0,"OK",_xlfn.LET(fechaPago, Z1068, fechaFactura, R1068, diasCredito, IF(E1068="Pago inmediato", 0, IFERROR(VALUE(MID(E1068, 1, SEARCH(" ", E1068)-1)),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68" s="79">
        <f>IF(AN1068="","",IF(AND(N1068&gt;0, AG1068&gt;0), IF(Configuración!$K$2="NO", "ALERTA: DESCUENTO DOBLE NO PERMITIDO", "OK"), "OK"))</f>
        <v/>
      </c>
      <c r="AR1068" s="79">
        <f>IF(AN1068="","",IF(OR(AO1068&lt;&gt;"OK", AP1068&lt;&gt;"OK", AQ1068&lt;&gt;"OK"), "⚠️ REVISAR", "OK"))</f>
        <v/>
      </c>
    </row>
    <row r="1069">
      <c r="A1069" s="79">
        <f>IF('Ordenes_Odoo'!A1069="","",'Ordenes_Odoo'!A1069)</f>
        <v/>
      </c>
      <c r="B1069" s="80">
        <f>IF('Ordenes_Odoo'!B1069="","",'Ordenes_Odoo'!B1069)</f>
        <v/>
      </c>
      <c r="C1069" s="79">
        <f>IF('Ordenes_Odoo'!C1069="","",'Ordenes_Odoo'!C1069)</f>
        <v/>
      </c>
      <c r="D1069" s="79">
        <f>IF('Ordenes_Odoo'!D1069="","",'Ordenes_Odoo'!D1069)</f>
        <v/>
      </c>
      <c r="E1069" s="79">
        <f>IF('Ordenes_Odoo'!E1069="","",'Ordenes_Odoo'!E1069)</f>
        <v/>
      </c>
      <c r="F1069" s="79">
        <f>IF('Ordenes_Odoo'!F1069="","",'Ordenes_Odoo'!F1069)</f>
        <v/>
      </c>
      <c r="G1069" s="79">
        <f>IF('Ordenes_Odoo'!G1069="","",'Ordenes_Odoo'!G1069)</f>
        <v/>
      </c>
      <c r="H1069" s="79">
        <f>IF('Ordenes_Odoo'!H1069="","",'Ordenes_Odoo'!H1069)</f>
        <v/>
      </c>
      <c r="I1069" s="79">
        <f>IF('Ordenes_Odoo'!I1069="","",'Ordenes_Odoo'!I1069)</f>
        <v/>
      </c>
      <c r="J1069" s="79">
        <f>IF('Ordenes_Odoo'!J1069="","",'Ordenes_Odoo'!J1069)</f>
        <v/>
      </c>
      <c r="K1069" s="81">
        <f>IF('Ordenes_Odoo'!K1069="","",'Ordenes_Odoo'!K1069)</f>
        <v/>
      </c>
      <c r="L1069" s="81">
        <f>IF('Ordenes_Odoo'!L1069="","",'Ordenes_Odoo'!L1069)</f>
        <v/>
      </c>
      <c r="M1069" s="79">
        <f>IF('Ordenes_Odoo'!M1069="","",'Ordenes_Odoo'!M1069)</f>
        <v/>
      </c>
      <c r="N1069" s="79">
        <f>IF('Ordenes_Odoo'!N1069="","",'Ordenes_Odoo'!N1069)</f>
        <v/>
      </c>
      <c r="O1069" s="81">
        <f>IF('Ordenes_Odoo'!O1069="","",'Ordenes_Odoo'!O1069)</f>
        <v/>
      </c>
      <c r="P1069" s="81">
        <f>IF('Ordenes_Odoo'!P1069="","",'Ordenes_Odoo'!P1069)</f>
        <v/>
      </c>
      <c r="Q1069" s="79">
        <f>IF(A1069="","",IFERROR(INDEX(Facturas_Odoo!$B:$B, MATCH(A1069, Facturas_Odoo!$D:$D, 0)), "Sin Factura"))</f>
        <v/>
      </c>
      <c r="R1069" s="80">
        <f>IF(Q1069="Sin Factura","",IFERROR(INDEX(Facturas_Odoo!$A:$A, MATCH(Q1069, Facturas_Odoo!$B:$B, 0)), ""))</f>
        <v/>
      </c>
      <c r="S1069" s="79">
        <f>IF(Q1069="Sin Factura","",IFERROR(_xlfn.XLOOKUP(1, (Facturas_Odoo!$D:$D=A1069) * (Facturas_Odoo!$K:$K=I1069), Facturas_Odoo!$L:$L, ""), ""))</f>
        <v/>
      </c>
      <c r="T1069" s="81">
        <f>IF(Q1069="Sin Factura",0,IFERROR(_xlfn.XLOOKUP(1, (Facturas_Odoo!$D:$D=A1069) * (Facturas_Odoo!$K:$K=I1069), Facturas_Odoo!$M:$M, 0), 0))</f>
        <v/>
      </c>
      <c r="U1069" s="79">
        <f>IF(Q1069="Sin Factura",0,IFERROR(_xlfn.XLOOKUP(1, (Facturas_Odoo!$D:$D=A1069) * (Facturas_Odoo!$K:$K=I1069), Facturas_Odoo!$N:$N, 0), 0))</f>
        <v/>
      </c>
      <c r="V1069" s="79">
        <f>IF(Q1069="Sin Factura",0,IFERROR(_xlfn.XLOOKUP(1, (Facturas_Odoo!$D:$D=A1069) * (Facturas_Odoo!$K:$K=I1069), Facturas_Odoo!$O:$O, 0), 0))</f>
        <v/>
      </c>
      <c r="W1069" s="81">
        <f>IF(Q1069="Sin Factura",0,IFERROR(_xlfn.XLOOKUP(1, (Facturas_Odoo!$D:$D=A1069) * (Facturas_Odoo!$K:$K=I1069), Facturas_Odoo!$Q:$Q, 0), 0))</f>
        <v/>
      </c>
      <c r="X1069" s="79">
        <f>IF(OR(Q1069="Sin Factura",Q1069=""),"",IFERROR(INDEX(Pagos_Odoo!$B:$B, MATCH(Q1069, Pagos_Odoo!$I:$I, 0)), "Sin Pago"))</f>
        <v/>
      </c>
      <c r="Y1069" s="79">
        <f>IF(X1069="Sin Pago","",IFERROR(INDEX(Pagos_Odoo!$C:$C, MATCH(X1069, Pagos_Odoo!$B:$B, 0)), ""))</f>
        <v/>
      </c>
      <c r="Z1069" s="80">
        <f>IF(X1069="Sin Pago","",IFERROR(INDEX(Pagos_Odoo!$A:$A, MATCH(X1069, Pagos_Odoo!$B:$B, 0)), ""))</f>
        <v/>
      </c>
      <c r="AA1069" s="79">
        <f>IF(X1069="Sin Pago","",IFERROR(INDEX(Pagos_Odoo!$F:$F, MATCH(X1069, Pagos_Odoo!$B:$B, 0)), ""))</f>
        <v/>
      </c>
      <c r="AB1069" s="81">
        <f>IF(X1069="Sin Pago",0,IFERROR(INDEX(Pagos_Odoo!$E:$E, MATCH(X1069, Pagos_Odoo!$B:$B, 0)), 0))</f>
        <v/>
      </c>
      <c r="AC1069" s="79">
        <f>IF(X1069="Sin Pago","",IFERROR(INDEX(Pagos_Odoo!$G:$G, MATCH(X1069, Pagos_Odoo!$B:$B, 0)), ""))</f>
        <v/>
      </c>
      <c r="AD1069" s="82" t="n">
        <v>0</v>
      </c>
      <c r="AE1069" s="82" t="n"/>
      <c r="AF1069" s="82" t="n"/>
      <c r="AG1069" s="82">
        <f>IF(AN1069="","",AD1069+AE1069+AF1069)</f>
        <v/>
      </c>
      <c r="AH1069" s="81">
        <f>IF(AN1069="","",P1069*(1-AG1069))</f>
        <v/>
      </c>
      <c r="AI1069" s="81">
        <f>IF(AN1069="","",IF(Q1069="Sin Factura",0,IFERROR(INDEX(Facturas_Odoo!$H:$H, MATCH(Q1069, Facturas_Odoo!$B:$B, 0)), 0)*(1-AG1069)))</f>
        <v/>
      </c>
      <c r="AJ1069" s="81">
        <f>IF(AN1069="","",_xlfn.LET(idVenta, AN1069&amp;"",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69" s="81">
        <f>IF(AN1069="","",AH1069-AJ1069)</f>
        <v/>
      </c>
      <c r="AL1069" s="81">
        <f>IF(AN1069="","",IF(Q1069="Sin Factura","",AI1069-AJ1069))</f>
        <v/>
      </c>
      <c r="AM1069" s="81">
        <f>IF(AN1069="","",IF(Q1069="Sin Factura",0,P1069-IFERROR(INDEX(Facturas_Odoo!$H:$H, MATCH(Q1069, Facturas_Odoo!$B:$B, 0)), 0)))</f>
        <v/>
      </c>
      <c r="AN1069" s="79">
        <f>IF(AND(A1069="", J1069=""), "", IF(A1069&lt;&gt;"", VALUE(MID(A1069,2,LEN(A1069))), AN1068))</f>
        <v/>
      </c>
      <c r="AO1069" s="79">
        <f>IF(AN1069="","",IF(AD1069=0,"OK",_xlfn.LET(monedaPago, IF(AA1069="","USD",AA1069), limitePermitido, IFERROR(VLOOKUP(monedaPago, Configuración!$A$2:$B$3, 2, FALSE), 0.15), IF(AD1069&gt;limitePermitido, "ALERTA: EXCESO (" &amp; TEXT(limitePermitido, "0%") &amp; " máx)", "OK"))))</f>
        <v/>
      </c>
      <c r="AP1069" s="79">
        <f>IF(AN1069="","",IF(AE1069=0,"OK",_xlfn.LET(fechaPago, Z1069, fechaFactura, R1069, diasCredito, IF(E1069="Pago inmediato", 0, IFERROR(VALUE(MID(E1069, 1, SEARCH(" ", E1069)-1)),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69" s="79">
        <f>IF(AN1069="","",IF(AND(N1069&gt;0, AG1069&gt;0), IF(Configuración!$K$2="NO", "ALERTA: DESCUENTO DOBLE NO PERMITIDO", "OK"), "OK"))</f>
        <v/>
      </c>
      <c r="AR1069" s="79">
        <f>IF(AN1069="","",IF(OR(AO1069&lt;&gt;"OK", AP1069&lt;&gt;"OK", AQ1069&lt;&gt;"OK"), "⚠️ REVISAR", "OK"))</f>
        <v/>
      </c>
    </row>
    <row r="1070">
      <c r="A1070" s="79">
        <f>IF('Ordenes_Odoo'!A1070="","",'Ordenes_Odoo'!A1070)</f>
        <v/>
      </c>
      <c r="B1070" s="80">
        <f>IF('Ordenes_Odoo'!B1070="","",'Ordenes_Odoo'!B1070)</f>
        <v/>
      </c>
      <c r="C1070" s="79">
        <f>IF('Ordenes_Odoo'!C1070="","",'Ordenes_Odoo'!C1070)</f>
        <v/>
      </c>
      <c r="D1070" s="79">
        <f>IF('Ordenes_Odoo'!D1070="","",'Ordenes_Odoo'!D1070)</f>
        <v/>
      </c>
      <c r="E1070" s="79">
        <f>IF('Ordenes_Odoo'!E1070="","",'Ordenes_Odoo'!E1070)</f>
        <v/>
      </c>
      <c r="F1070" s="79">
        <f>IF('Ordenes_Odoo'!F1070="","",'Ordenes_Odoo'!F1070)</f>
        <v/>
      </c>
      <c r="G1070" s="79">
        <f>IF('Ordenes_Odoo'!G1070="","",'Ordenes_Odoo'!G1070)</f>
        <v/>
      </c>
      <c r="H1070" s="79">
        <f>IF('Ordenes_Odoo'!H1070="","",'Ordenes_Odoo'!H1070)</f>
        <v/>
      </c>
      <c r="I1070" s="79">
        <f>IF('Ordenes_Odoo'!I1070="","",'Ordenes_Odoo'!I1070)</f>
        <v/>
      </c>
      <c r="J1070" s="79">
        <f>IF('Ordenes_Odoo'!J1070="","",'Ordenes_Odoo'!J1070)</f>
        <v/>
      </c>
      <c r="K1070" s="81">
        <f>IF('Ordenes_Odoo'!K1070="","",'Ordenes_Odoo'!K1070)</f>
        <v/>
      </c>
      <c r="L1070" s="81">
        <f>IF('Ordenes_Odoo'!L1070="","",'Ordenes_Odoo'!L1070)</f>
        <v/>
      </c>
      <c r="M1070" s="79">
        <f>IF('Ordenes_Odoo'!M1070="","",'Ordenes_Odoo'!M1070)</f>
        <v/>
      </c>
      <c r="N1070" s="79">
        <f>IF('Ordenes_Odoo'!N1070="","",'Ordenes_Odoo'!N1070)</f>
        <v/>
      </c>
      <c r="O1070" s="81">
        <f>IF('Ordenes_Odoo'!O1070="","",'Ordenes_Odoo'!O1070)</f>
        <v/>
      </c>
      <c r="P1070" s="81">
        <f>IF('Ordenes_Odoo'!P1070="","",'Ordenes_Odoo'!P1070)</f>
        <v/>
      </c>
      <c r="Q1070" s="79">
        <f>IF(A1070="","",IFERROR(INDEX(Facturas_Odoo!$B:$B, MATCH(A1070, Facturas_Odoo!$D:$D, 0)), "Sin Factura"))</f>
        <v/>
      </c>
      <c r="R1070" s="80">
        <f>IF(Q1070="Sin Factura","",IFERROR(INDEX(Facturas_Odoo!$A:$A, MATCH(Q1070, Facturas_Odoo!$B:$B, 0)), ""))</f>
        <v/>
      </c>
      <c r="S1070" s="79">
        <f>IF(Q1070="Sin Factura","",IFERROR(_xlfn.XLOOKUP(1, (Facturas_Odoo!$D:$D=A1070) * (Facturas_Odoo!$K:$K=I1070), Facturas_Odoo!$L:$L, ""), ""))</f>
        <v/>
      </c>
      <c r="T1070" s="81">
        <f>IF(Q1070="Sin Factura",0,IFERROR(_xlfn.XLOOKUP(1, (Facturas_Odoo!$D:$D=A1070) * (Facturas_Odoo!$K:$K=I1070), Facturas_Odoo!$M:$M, 0), 0))</f>
        <v/>
      </c>
      <c r="U1070" s="79">
        <f>IF(Q1070="Sin Factura",0,IFERROR(_xlfn.XLOOKUP(1, (Facturas_Odoo!$D:$D=A1070) * (Facturas_Odoo!$K:$K=I1070), Facturas_Odoo!$N:$N, 0), 0))</f>
        <v/>
      </c>
      <c r="V1070" s="79">
        <f>IF(Q1070="Sin Factura",0,IFERROR(_xlfn.XLOOKUP(1, (Facturas_Odoo!$D:$D=A1070) * (Facturas_Odoo!$K:$K=I1070), Facturas_Odoo!$O:$O, 0), 0))</f>
        <v/>
      </c>
      <c r="W1070" s="81">
        <f>IF(Q1070="Sin Factura",0,IFERROR(_xlfn.XLOOKUP(1, (Facturas_Odoo!$D:$D=A1070) * (Facturas_Odoo!$K:$K=I1070), Facturas_Odoo!$Q:$Q, 0), 0))</f>
        <v/>
      </c>
      <c r="X1070" s="79">
        <f>IF(OR(Q1070="Sin Factura",Q1070=""),"",IFERROR(INDEX(Pagos_Odoo!$B:$B, MATCH(Q1070, Pagos_Odoo!$I:$I, 0)), "Sin Pago"))</f>
        <v/>
      </c>
      <c r="Y1070" s="79">
        <f>IF(X1070="Sin Pago","",IFERROR(INDEX(Pagos_Odoo!$C:$C, MATCH(X1070, Pagos_Odoo!$B:$B, 0)), ""))</f>
        <v/>
      </c>
      <c r="Z1070" s="80">
        <f>IF(X1070="Sin Pago","",IFERROR(INDEX(Pagos_Odoo!$A:$A, MATCH(X1070, Pagos_Odoo!$B:$B, 0)), ""))</f>
        <v/>
      </c>
      <c r="AA1070" s="79">
        <f>IF(X1070="Sin Pago","",IFERROR(INDEX(Pagos_Odoo!$F:$F, MATCH(X1070, Pagos_Odoo!$B:$B, 0)), ""))</f>
        <v/>
      </c>
      <c r="AB1070" s="81">
        <f>IF(X1070="Sin Pago",0,IFERROR(INDEX(Pagos_Odoo!$E:$E, MATCH(X1070, Pagos_Odoo!$B:$B, 0)), 0))</f>
        <v/>
      </c>
      <c r="AC1070" s="79">
        <f>IF(X1070="Sin Pago","",IFERROR(INDEX(Pagos_Odoo!$G:$G, MATCH(X1070, Pagos_Odoo!$B:$B, 0)), ""))</f>
        <v/>
      </c>
      <c r="AD1070" s="82" t="n">
        <v>0</v>
      </c>
      <c r="AE1070" s="82" t="n"/>
      <c r="AF1070" s="82" t="n"/>
      <c r="AG1070" s="82">
        <f>IF(AN1070="","",AD1070+AE1070+AF1070)</f>
        <v/>
      </c>
      <c r="AH1070" s="81">
        <f>IF(AN1070="","",P1070*(1-AG1070))</f>
        <v/>
      </c>
      <c r="AI1070" s="81">
        <f>IF(AN1070="","",IF(Q1070="Sin Factura",0,IFERROR(INDEX(Facturas_Odoo!$H:$H, MATCH(Q1070, Facturas_Odoo!$B:$B, 0)), 0)*(1-AG1070)))</f>
        <v/>
      </c>
      <c r="AJ1070" s="81">
        <f>IF(AN1070="","",_xlfn.LET(idVenta, AN1070&amp;"",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70" s="81">
        <f>IF(AN1070="","",AH1070-AJ1070)</f>
        <v/>
      </c>
      <c r="AL1070" s="81">
        <f>IF(AN1070="","",IF(Q1070="Sin Factura","",AI1070-AJ1070))</f>
        <v/>
      </c>
      <c r="AM1070" s="81">
        <f>IF(AN1070="","",IF(Q1070="Sin Factura",0,P1070-IFERROR(INDEX(Facturas_Odoo!$H:$H, MATCH(Q1070, Facturas_Odoo!$B:$B, 0)), 0)))</f>
        <v/>
      </c>
      <c r="AN1070" s="79">
        <f>IF(AND(A1070="", J1070=""), "", IF(A1070&lt;&gt;"", VALUE(MID(A1070,2,LEN(A1070))), AN1069))</f>
        <v/>
      </c>
      <c r="AO1070" s="79">
        <f>IF(AN1070="","",IF(AD1070=0,"OK",_xlfn.LET(monedaPago, IF(AA1070="","USD",AA1070), limitePermitido, IFERROR(VLOOKUP(monedaPago, Configuración!$A$2:$B$3, 2, FALSE), 0.15), IF(AD1070&gt;limitePermitido, "ALERTA: EXCESO (" &amp; TEXT(limitePermitido, "0%") &amp; " máx)", "OK"))))</f>
        <v/>
      </c>
      <c r="AP1070" s="79">
        <f>IF(AN1070="","",IF(AE1070=0,"OK",_xlfn.LET(fechaPago, Z1070, fechaFactura, R1070, diasCredito, IF(E1070="Pago inmediato", 0, IFERROR(VALUE(MID(E1070, 1, SEARCH(" ", E1070)-1)),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70" s="79">
        <f>IF(AN1070="","",IF(AND(N1070&gt;0, AG1070&gt;0), IF(Configuración!$K$2="NO", "ALERTA: DESCUENTO DOBLE NO PERMITIDO", "OK"), "OK"))</f>
        <v/>
      </c>
      <c r="AR1070" s="79">
        <f>IF(AN1070="","",IF(OR(AO1070&lt;&gt;"OK", AP1070&lt;&gt;"OK", AQ1070&lt;&gt;"OK"), "⚠️ REVISAR", "OK"))</f>
        <v/>
      </c>
    </row>
    <row r="1071">
      <c r="A1071" s="79">
        <f>IF('Ordenes_Odoo'!A1071="","",'Ordenes_Odoo'!A1071)</f>
        <v/>
      </c>
      <c r="B1071" s="80">
        <f>IF('Ordenes_Odoo'!B1071="","",'Ordenes_Odoo'!B1071)</f>
        <v/>
      </c>
      <c r="C1071" s="79">
        <f>IF('Ordenes_Odoo'!C1071="","",'Ordenes_Odoo'!C1071)</f>
        <v/>
      </c>
      <c r="D1071" s="79">
        <f>IF('Ordenes_Odoo'!D1071="","",'Ordenes_Odoo'!D1071)</f>
        <v/>
      </c>
      <c r="E1071" s="79">
        <f>IF('Ordenes_Odoo'!E1071="","",'Ordenes_Odoo'!E1071)</f>
        <v/>
      </c>
      <c r="F1071" s="79">
        <f>IF('Ordenes_Odoo'!F1071="","",'Ordenes_Odoo'!F1071)</f>
        <v/>
      </c>
      <c r="G1071" s="79">
        <f>IF('Ordenes_Odoo'!G1071="","",'Ordenes_Odoo'!G1071)</f>
        <v/>
      </c>
      <c r="H1071" s="79">
        <f>IF('Ordenes_Odoo'!H1071="","",'Ordenes_Odoo'!H1071)</f>
        <v/>
      </c>
      <c r="I1071" s="79">
        <f>IF('Ordenes_Odoo'!I1071="","",'Ordenes_Odoo'!I1071)</f>
        <v/>
      </c>
      <c r="J1071" s="79">
        <f>IF('Ordenes_Odoo'!J1071="","",'Ordenes_Odoo'!J1071)</f>
        <v/>
      </c>
      <c r="K1071" s="81">
        <f>IF('Ordenes_Odoo'!K1071="","",'Ordenes_Odoo'!K1071)</f>
        <v/>
      </c>
      <c r="L1071" s="81">
        <f>IF('Ordenes_Odoo'!L1071="","",'Ordenes_Odoo'!L1071)</f>
        <v/>
      </c>
      <c r="M1071" s="79">
        <f>IF('Ordenes_Odoo'!M1071="","",'Ordenes_Odoo'!M1071)</f>
        <v/>
      </c>
      <c r="N1071" s="79">
        <f>IF('Ordenes_Odoo'!N1071="","",'Ordenes_Odoo'!N1071)</f>
        <v/>
      </c>
      <c r="O1071" s="81">
        <f>IF('Ordenes_Odoo'!O1071="","",'Ordenes_Odoo'!O1071)</f>
        <v/>
      </c>
      <c r="P1071" s="81">
        <f>IF('Ordenes_Odoo'!P1071="","",'Ordenes_Odoo'!P1071)</f>
        <v/>
      </c>
      <c r="Q1071" s="79">
        <f>IF(A1071="","",IFERROR(INDEX(Facturas_Odoo!$B:$B, MATCH(A1071, Facturas_Odoo!$D:$D, 0)), "Sin Factura"))</f>
        <v/>
      </c>
      <c r="R1071" s="80">
        <f>IF(Q1071="Sin Factura","",IFERROR(INDEX(Facturas_Odoo!$A:$A, MATCH(Q1071, Facturas_Odoo!$B:$B, 0)), ""))</f>
        <v/>
      </c>
      <c r="S1071" s="79">
        <f>IF(Q1071="Sin Factura","",IFERROR(_xlfn.XLOOKUP(1, (Facturas_Odoo!$D:$D=A1071) * (Facturas_Odoo!$K:$K=I1071), Facturas_Odoo!$L:$L, ""), ""))</f>
        <v/>
      </c>
      <c r="T1071" s="81">
        <f>IF(Q1071="Sin Factura",0,IFERROR(_xlfn.XLOOKUP(1, (Facturas_Odoo!$D:$D=A1071) * (Facturas_Odoo!$K:$K=I1071), Facturas_Odoo!$M:$M, 0), 0))</f>
        <v/>
      </c>
      <c r="U1071" s="79">
        <f>IF(Q1071="Sin Factura",0,IFERROR(_xlfn.XLOOKUP(1, (Facturas_Odoo!$D:$D=A1071) * (Facturas_Odoo!$K:$K=I1071), Facturas_Odoo!$N:$N, 0), 0))</f>
        <v/>
      </c>
      <c r="V1071" s="79">
        <f>IF(Q1071="Sin Factura",0,IFERROR(_xlfn.XLOOKUP(1, (Facturas_Odoo!$D:$D=A1071) * (Facturas_Odoo!$K:$K=I1071), Facturas_Odoo!$O:$O, 0), 0))</f>
        <v/>
      </c>
      <c r="W1071" s="81">
        <f>IF(Q1071="Sin Factura",0,IFERROR(_xlfn.XLOOKUP(1, (Facturas_Odoo!$D:$D=A1071) * (Facturas_Odoo!$K:$K=I1071), Facturas_Odoo!$Q:$Q, 0), 0))</f>
        <v/>
      </c>
      <c r="X1071" s="79">
        <f>IF(OR(Q1071="Sin Factura",Q1071=""),"",IFERROR(INDEX(Pagos_Odoo!$B:$B, MATCH(Q1071, Pagos_Odoo!$I:$I, 0)), "Sin Pago"))</f>
        <v/>
      </c>
      <c r="Y1071" s="79">
        <f>IF(X1071="Sin Pago","",IFERROR(INDEX(Pagos_Odoo!$C:$C, MATCH(X1071, Pagos_Odoo!$B:$B, 0)), ""))</f>
        <v/>
      </c>
      <c r="Z1071" s="80">
        <f>IF(X1071="Sin Pago","",IFERROR(INDEX(Pagos_Odoo!$A:$A, MATCH(X1071, Pagos_Odoo!$B:$B, 0)), ""))</f>
        <v/>
      </c>
      <c r="AA1071" s="79">
        <f>IF(X1071="Sin Pago","",IFERROR(INDEX(Pagos_Odoo!$F:$F, MATCH(X1071, Pagos_Odoo!$B:$B, 0)), ""))</f>
        <v/>
      </c>
      <c r="AB1071" s="81">
        <f>IF(X1071="Sin Pago",0,IFERROR(INDEX(Pagos_Odoo!$E:$E, MATCH(X1071, Pagos_Odoo!$B:$B, 0)), 0))</f>
        <v/>
      </c>
      <c r="AC1071" s="79">
        <f>IF(X1071="Sin Pago","",IFERROR(INDEX(Pagos_Odoo!$G:$G, MATCH(X1071, Pagos_Odoo!$B:$B, 0)), ""))</f>
        <v/>
      </c>
      <c r="AD1071" s="82" t="n">
        <v>0</v>
      </c>
      <c r="AE1071" s="82" t="n"/>
      <c r="AF1071" s="82" t="n"/>
      <c r="AG1071" s="82">
        <f>IF(AN1071="","",AD1071+AE1071+AF1071)</f>
        <v/>
      </c>
      <c r="AH1071" s="81">
        <f>IF(AN1071="","",P1071*(1-AG1071))</f>
        <v/>
      </c>
      <c r="AI1071" s="81">
        <f>IF(AN1071="","",IF(Q1071="Sin Factura",0,IFERROR(INDEX(Facturas_Odoo!$H:$H, MATCH(Q1071, Facturas_Odoo!$B:$B, 0)), 0)*(1-AG1071)))</f>
        <v/>
      </c>
      <c r="AJ1071" s="81">
        <f>IF(AN1071="","",_xlfn.LET(idVenta, AN1071&amp;"",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71" s="81">
        <f>IF(AN1071="","",AH1071-AJ1071)</f>
        <v/>
      </c>
      <c r="AL1071" s="81">
        <f>IF(AN1071="","",IF(Q1071="Sin Factura","",AI1071-AJ1071))</f>
        <v/>
      </c>
      <c r="AM1071" s="81">
        <f>IF(AN1071="","",IF(Q1071="Sin Factura",0,P1071-IFERROR(INDEX(Facturas_Odoo!$H:$H, MATCH(Q1071, Facturas_Odoo!$B:$B, 0)), 0)))</f>
        <v/>
      </c>
      <c r="AN1071" s="79">
        <f>IF(AND(A1071="", J1071=""), "", IF(A1071&lt;&gt;"", VALUE(MID(A1071,2,LEN(A1071))), AN1070))</f>
        <v/>
      </c>
      <c r="AO1071" s="79">
        <f>IF(AN1071="","",IF(AD1071=0,"OK",_xlfn.LET(monedaPago, IF(AA1071="","USD",AA1071), limitePermitido, IFERROR(VLOOKUP(monedaPago, Configuración!$A$2:$B$3, 2, FALSE), 0.15), IF(AD1071&gt;limitePermitido, "ALERTA: EXCESO (" &amp; TEXT(limitePermitido, "0%") &amp; " máx)", "OK"))))</f>
        <v/>
      </c>
      <c r="AP1071" s="79">
        <f>IF(AN1071="","",IF(AE1071=0,"OK",_xlfn.LET(fechaPago, Z1071, fechaFactura, R1071, diasCredito, IF(E1071="Pago inmediato", 0, IFERROR(VALUE(MID(E1071, 1, SEARCH(" ", E1071)-1)),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71" s="79">
        <f>IF(AN1071="","",IF(AND(N1071&gt;0, AG1071&gt;0), IF(Configuración!$K$2="NO", "ALERTA: DESCUENTO DOBLE NO PERMITIDO", "OK"), "OK"))</f>
        <v/>
      </c>
      <c r="AR1071" s="79">
        <f>IF(AN1071="","",IF(OR(AO1071&lt;&gt;"OK", AP1071&lt;&gt;"OK", AQ1071&lt;&gt;"OK"), "⚠️ REVISAR", "OK"))</f>
        <v/>
      </c>
    </row>
    <row r="1072">
      <c r="A1072" s="79">
        <f>IF('Ordenes_Odoo'!A1072="","",'Ordenes_Odoo'!A1072)</f>
        <v/>
      </c>
      <c r="B1072" s="80">
        <f>IF('Ordenes_Odoo'!B1072="","",'Ordenes_Odoo'!B1072)</f>
        <v/>
      </c>
      <c r="C1072" s="79">
        <f>IF('Ordenes_Odoo'!C1072="","",'Ordenes_Odoo'!C1072)</f>
        <v/>
      </c>
      <c r="D1072" s="79">
        <f>IF('Ordenes_Odoo'!D1072="","",'Ordenes_Odoo'!D1072)</f>
        <v/>
      </c>
      <c r="E1072" s="79">
        <f>IF('Ordenes_Odoo'!E1072="","",'Ordenes_Odoo'!E1072)</f>
        <v/>
      </c>
      <c r="F1072" s="79">
        <f>IF('Ordenes_Odoo'!F1072="","",'Ordenes_Odoo'!F1072)</f>
        <v/>
      </c>
      <c r="G1072" s="79">
        <f>IF('Ordenes_Odoo'!G1072="","",'Ordenes_Odoo'!G1072)</f>
        <v/>
      </c>
      <c r="H1072" s="79">
        <f>IF('Ordenes_Odoo'!H1072="","",'Ordenes_Odoo'!H1072)</f>
        <v/>
      </c>
      <c r="I1072" s="79">
        <f>IF('Ordenes_Odoo'!I1072="","",'Ordenes_Odoo'!I1072)</f>
        <v/>
      </c>
      <c r="J1072" s="79">
        <f>IF('Ordenes_Odoo'!J1072="","",'Ordenes_Odoo'!J1072)</f>
        <v/>
      </c>
      <c r="K1072" s="81">
        <f>IF('Ordenes_Odoo'!K1072="","",'Ordenes_Odoo'!K1072)</f>
        <v/>
      </c>
      <c r="L1072" s="81">
        <f>IF('Ordenes_Odoo'!L1072="","",'Ordenes_Odoo'!L1072)</f>
        <v/>
      </c>
      <c r="M1072" s="79">
        <f>IF('Ordenes_Odoo'!M1072="","",'Ordenes_Odoo'!M1072)</f>
        <v/>
      </c>
      <c r="N1072" s="79">
        <f>IF('Ordenes_Odoo'!N1072="","",'Ordenes_Odoo'!N1072)</f>
        <v/>
      </c>
      <c r="O1072" s="81">
        <f>IF('Ordenes_Odoo'!O1072="","",'Ordenes_Odoo'!O1072)</f>
        <v/>
      </c>
      <c r="P1072" s="81">
        <f>IF('Ordenes_Odoo'!P1072="","",'Ordenes_Odoo'!P1072)</f>
        <v/>
      </c>
      <c r="Q1072" s="79">
        <f>IF(A1072="","",IFERROR(INDEX(Facturas_Odoo!$B:$B, MATCH(A1072, Facturas_Odoo!$D:$D, 0)), "Sin Factura"))</f>
        <v/>
      </c>
      <c r="R1072" s="80">
        <f>IF(Q1072="Sin Factura","",IFERROR(INDEX(Facturas_Odoo!$A:$A, MATCH(Q1072, Facturas_Odoo!$B:$B, 0)), ""))</f>
        <v/>
      </c>
      <c r="S1072" s="79">
        <f>IF(Q1072="Sin Factura","",IFERROR(_xlfn.XLOOKUP(1, (Facturas_Odoo!$D:$D=A1072) * (Facturas_Odoo!$K:$K=I1072), Facturas_Odoo!$L:$L, ""), ""))</f>
        <v/>
      </c>
      <c r="T1072" s="81">
        <f>IF(Q1072="Sin Factura",0,IFERROR(_xlfn.XLOOKUP(1, (Facturas_Odoo!$D:$D=A1072) * (Facturas_Odoo!$K:$K=I1072), Facturas_Odoo!$M:$M, 0), 0))</f>
        <v/>
      </c>
      <c r="U1072" s="79">
        <f>IF(Q1072="Sin Factura",0,IFERROR(_xlfn.XLOOKUP(1, (Facturas_Odoo!$D:$D=A1072) * (Facturas_Odoo!$K:$K=I1072), Facturas_Odoo!$N:$N, 0), 0))</f>
        <v/>
      </c>
      <c r="V1072" s="79">
        <f>IF(Q1072="Sin Factura",0,IFERROR(_xlfn.XLOOKUP(1, (Facturas_Odoo!$D:$D=A1072) * (Facturas_Odoo!$K:$K=I1072), Facturas_Odoo!$O:$O, 0), 0))</f>
        <v/>
      </c>
      <c r="W1072" s="81">
        <f>IF(Q1072="Sin Factura",0,IFERROR(_xlfn.XLOOKUP(1, (Facturas_Odoo!$D:$D=A1072) * (Facturas_Odoo!$K:$K=I1072), Facturas_Odoo!$Q:$Q, 0), 0))</f>
        <v/>
      </c>
      <c r="X1072" s="79">
        <f>IF(OR(Q1072="Sin Factura",Q1072=""),"",IFERROR(INDEX(Pagos_Odoo!$B:$B, MATCH(Q1072, Pagos_Odoo!$I:$I, 0)), "Sin Pago"))</f>
        <v/>
      </c>
      <c r="Y1072" s="79">
        <f>IF(X1072="Sin Pago","",IFERROR(INDEX(Pagos_Odoo!$C:$C, MATCH(X1072, Pagos_Odoo!$B:$B, 0)), ""))</f>
        <v/>
      </c>
      <c r="Z1072" s="80">
        <f>IF(X1072="Sin Pago","",IFERROR(INDEX(Pagos_Odoo!$A:$A, MATCH(X1072, Pagos_Odoo!$B:$B, 0)), ""))</f>
        <v/>
      </c>
      <c r="AA1072" s="79">
        <f>IF(X1072="Sin Pago","",IFERROR(INDEX(Pagos_Odoo!$F:$F, MATCH(X1072, Pagos_Odoo!$B:$B, 0)), ""))</f>
        <v/>
      </c>
      <c r="AB1072" s="81">
        <f>IF(X1072="Sin Pago",0,IFERROR(INDEX(Pagos_Odoo!$E:$E, MATCH(X1072, Pagos_Odoo!$B:$B, 0)), 0))</f>
        <v/>
      </c>
      <c r="AC1072" s="79">
        <f>IF(X1072="Sin Pago","",IFERROR(INDEX(Pagos_Odoo!$G:$G, MATCH(X1072, Pagos_Odoo!$B:$B, 0)), ""))</f>
        <v/>
      </c>
      <c r="AD1072" s="82" t="n">
        <v>0</v>
      </c>
      <c r="AE1072" s="82" t="n"/>
      <c r="AF1072" s="82" t="n"/>
      <c r="AG1072" s="82">
        <f>IF(AN1072="","",AD1072+AE1072+AF1072)</f>
        <v/>
      </c>
      <c r="AH1072" s="81">
        <f>IF(AN1072="","",P1072*(1-AG1072))</f>
        <v/>
      </c>
      <c r="AI1072" s="81">
        <f>IF(AN1072="","",IF(Q1072="Sin Factura",0,IFERROR(INDEX(Facturas_Odoo!$H:$H, MATCH(Q1072, Facturas_Odoo!$B:$B, 0)), 0)*(1-AG1072)))</f>
        <v/>
      </c>
      <c r="AJ1072" s="81">
        <f>IF(AN1072="","",_xlfn.LET(idVenta, AN1072&amp;"",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72" s="81">
        <f>IF(AN1072="","",AH1072-AJ1072)</f>
        <v/>
      </c>
      <c r="AL1072" s="81">
        <f>IF(AN1072="","",IF(Q1072="Sin Factura","",AI1072-AJ1072))</f>
        <v/>
      </c>
      <c r="AM1072" s="81">
        <f>IF(AN1072="","",IF(Q1072="Sin Factura",0,P1072-IFERROR(INDEX(Facturas_Odoo!$H:$H, MATCH(Q1072, Facturas_Odoo!$B:$B, 0)), 0)))</f>
        <v/>
      </c>
      <c r="AN1072" s="79">
        <f>IF(AND(A1072="", J1072=""), "", IF(A1072&lt;&gt;"", VALUE(MID(A1072,2,LEN(A1072))), AN1071))</f>
        <v/>
      </c>
      <c r="AO1072" s="79">
        <f>IF(AN1072="","",IF(AD1072=0,"OK",_xlfn.LET(monedaPago, IF(AA1072="","USD",AA1072), limitePermitido, IFERROR(VLOOKUP(monedaPago, Configuración!$A$2:$B$3, 2, FALSE), 0.15), IF(AD1072&gt;limitePermitido, "ALERTA: EXCESO (" &amp; TEXT(limitePermitido, "0%") &amp; " máx)", "OK"))))</f>
        <v/>
      </c>
      <c r="AP1072" s="79">
        <f>IF(AN1072="","",IF(AE1072=0,"OK",_xlfn.LET(fechaPago, Z1072, fechaFactura, R1072, diasCredito, IF(E1072="Pago inmediato", 0, IFERROR(VALUE(MID(E1072, 1, SEARCH(" ", E1072)-1)),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72" s="79">
        <f>IF(AN1072="","",IF(AND(N1072&gt;0, AG1072&gt;0), IF(Configuración!$K$2="NO", "ALERTA: DESCUENTO DOBLE NO PERMITIDO", "OK"), "OK"))</f>
        <v/>
      </c>
      <c r="AR1072" s="79">
        <f>IF(AN1072="","",IF(OR(AO1072&lt;&gt;"OK", AP1072&lt;&gt;"OK", AQ1072&lt;&gt;"OK"), "⚠️ REVISAR", "OK"))</f>
        <v/>
      </c>
    </row>
    <row r="1073">
      <c r="A1073" s="79">
        <f>IF('Ordenes_Odoo'!A1073="","",'Ordenes_Odoo'!A1073)</f>
        <v/>
      </c>
      <c r="B1073" s="80">
        <f>IF('Ordenes_Odoo'!B1073="","",'Ordenes_Odoo'!B1073)</f>
        <v/>
      </c>
      <c r="C1073" s="79">
        <f>IF('Ordenes_Odoo'!C1073="","",'Ordenes_Odoo'!C1073)</f>
        <v/>
      </c>
      <c r="D1073" s="79">
        <f>IF('Ordenes_Odoo'!D1073="","",'Ordenes_Odoo'!D1073)</f>
        <v/>
      </c>
      <c r="E1073" s="79">
        <f>IF('Ordenes_Odoo'!E1073="","",'Ordenes_Odoo'!E1073)</f>
        <v/>
      </c>
      <c r="F1073" s="79">
        <f>IF('Ordenes_Odoo'!F1073="","",'Ordenes_Odoo'!F1073)</f>
        <v/>
      </c>
      <c r="G1073" s="79">
        <f>IF('Ordenes_Odoo'!G1073="","",'Ordenes_Odoo'!G1073)</f>
        <v/>
      </c>
      <c r="H1073" s="79">
        <f>IF('Ordenes_Odoo'!H1073="","",'Ordenes_Odoo'!H1073)</f>
        <v/>
      </c>
      <c r="I1073" s="79">
        <f>IF('Ordenes_Odoo'!I1073="","",'Ordenes_Odoo'!I1073)</f>
        <v/>
      </c>
      <c r="J1073" s="79">
        <f>IF('Ordenes_Odoo'!J1073="","",'Ordenes_Odoo'!J1073)</f>
        <v/>
      </c>
      <c r="K1073" s="81">
        <f>IF('Ordenes_Odoo'!K1073="","",'Ordenes_Odoo'!K1073)</f>
        <v/>
      </c>
      <c r="L1073" s="81">
        <f>IF('Ordenes_Odoo'!L1073="","",'Ordenes_Odoo'!L1073)</f>
        <v/>
      </c>
      <c r="M1073" s="79">
        <f>IF('Ordenes_Odoo'!M1073="","",'Ordenes_Odoo'!M1073)</f>
        <v/>
      </c>
      <c r="N1073" s="79">
        <f>IF('Ordenes_Odoo'!N1073="","",'Ordenes_Odoo'!N1073)</f>
        <v/>
      </c>
      <c r="O1073" s="81">
        <f>IF('Ordenes_Odoo'!O1073="","",'Ordenes_Odoo'!O1073)</f>
        <v/>
      </c>
      <c r="P1073" s="81">
        <f>IF('Ordenes_Odoo'!P1073="","",'Ordenes_Odoo'!P1073)</f>
        <v/>
      </c>
      <c r="Q1073" s="79">
        <f>IF(A1073="","",IFERROR(INDEX(Facturas_Odoo!$B:$B, MATCH(A1073, Facturas_Odoo!$D:$D, 0)), "Sin Factura"))</f>
        <v/>
      </c>
      <c r="R1073" s="80">
        <f>IF(Q1073="Sin Factura","",IFERROR(INDEX(Facturas_Odoo!$A:$A, MATCH(Q1073, Facturas_Odoo!$B:$B, 0)), ""))</f>
        <v/>
      </c>
      <c r="S1073" s="79">
        <f>IF(Q1073="Sin Factura","",IFERROR(_xlfn.XLOOKUP(1, (Facturas_Odoo!$D:$D=A1073) * (Facturas_Odoo!$K:$K=I1073), Facturas_Odoo!$L:$L, ""), ""))</f>
        <v/>
      </c>
      <c r="T1073" s="81">
        <f>IF(Q1073="Sin Factura",0,IFERROR(_xlfn.XLOOKUP(1, (Facturas_Odoo!$D:$D=A1073) * (Facturas_Odoo!$K:$K=I1073), Facturas_Odoo!$M:$M, 0), 0))</f>
        <v/>
      </c>
      <c r="U1073" s="79">
        <f>IF(Q1073="Sin Factura",0,IFERROR(_xlfn.XLOOKUP(1, (Facturas_Odoo!$D:$D=A1073) * (Facturas_Odoo!$K:$K=I1073), Facturas_Odoo!$N:$N, 0), 0))</f>
        <v/>
      </c>
      <c r="V1073" s="79">
        <f>IF(Q1073="Sin Factura",0,IFERROR(_xlfn.XLOOKUP(1, (Facturas_Odoo!$D:$D=A1073) * (Facturas_Odoo!$K:$K=I1073), Facturas_Odoo!$O:$O, 0), 0))</f>
        <v/>
      </c>
      <c r="W1073" s="81">
        <f>IF(Q1073="Sin Factura",0,IFERROR(_xlfn.XLOOKUP(1, (Facturas_Odoo!$D:$D=A1073) * (Facturas_Odoo!$K:$K=I1073), Facturas_Odoo!$Q:$Q, 0), 0))</f>
        <v/>
      </c>
      <c r="X1073" s="79">
        <f>IF(OR(Q1073="Sin Factura",Q1073=""),"",IFERROR(INDEX(Pagos_Odoo!$B:$B, MATCH(Q1073, Pagos_Odoo!$I:$I, 0)), "Sin Pago"))</f>
        <v/>
      </c>
      <c r="Y1073" s="79">
        <f>IF(X1073="Sin Pago","",IFERROR(INDEX(Pagos_Odoo!$C:$C, MATCH(X1073, Pagos_Odoo!$B:$B, 0)), ""))</f>
        <v/>
      </c>
      <c r="Z1073" s="80">
        <f>IF(X1073="Sin Pago","",IFERROR(INDEX(Pagos_Odoo!$A:$A, MATCH(X1073, Pagos_Odoo!$B:$B, 0)), ""))</f>
        <v/>
      </c>
      <c r="AA1073" s="79">
        <f>IF(X1073="Sin Pago","",IFERROR(INDEX(Pagos_Odoo!$F:$F, MATCH(X1073, Pagos_Odoo!$B:$B, 0)), ""))</f>
        <v/>
      </c>
      <c r="AB1073" s="81">
        <f>IF(X1073="Sin Pago",0,IFERROR(INDEX(Pagos_Odoo!$E:$E, MATCH(X1073, Pagos_Odoo!$B:$B, 0)), 0))</f>
        <v/>
      </c>
      <c r="AC1073" s="79">
        <f>IF(X1073="Sin Pago","",IFERROR(INDEX(Pagos_Odoo!$G:$G, MATCH(X1073, Pagos_Odoo!$B:$B, 0)), ""))</f>
        <v/>
      </c>
      <c r="AD1073" s="82" t="n">
        <v>0</v>
      </c>
      <c r="AE1073" s="82" t="n"/>
      <c r="AF1073" s="82" t="n"/>
      <c r="AG1073" s="82">
        <f>IF(AN1073="","",AD1073+AE1073+AF1073)</f>
        <v/>
      </c>
      <c r="AH1073" s="81">
        <f>IF(AN1073="","",P1073*(1-AG1073))</f>
        <v/>
      </c>
      <c r="AI1073" s="81">
        <f>IF(AN1073="","",IF(Q1073="Sin Factura",0,IFERROR(INDEX(Facturas_Odoo!$H:$H, MATCH(Q1073, Facturas_Odoo!$B:$B, 0)), 0)*(1-AG1073)))</f>
        <v/>
      </c>
      <c r="AJ1073" s="81">
        <f>IF(AN1073="","",_xlfn.LET(idVenta, AN1073&amp;"",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73" s="81">
        <f>IF(AN1073="","",AH1073-AJ1073)</f>
        <v/>
      </c>
      <c r="AL1073" s="81">
        <f>IF(AN1073="","",IF(Q1073="Sin Factura","",AI1073-AJ1073))</f>
        <v/>
      </c>
      <c r="AM1073" s="81">
        <f>IF(AN1073="","",IF(Q1073="Sin Factura",0,P1073-IFERROR(INDEX(Facturas_Odoo!$H:$H, MATCH(Q1073, Facturas_Odoo!$B:$B, 0)), 0)))</f>
        <v/>
      </c>
      <c r="AN1073" s="79">
        <f>IF(AND(A1073="", J1073=""), "", IF(A1073&lt;&gt;"", VALUE(MID(A1073,2,LEN(A1073))), AN1072))</f>
        <v/>
      </c>
      <c r="AO1073" s="79">
        <f>IF(AN1073="","",IF(AD1073=0,"OK",_xlfn.LET(monedaPago, IF(AA1073="","USD",AA1073), limitePermitido, IFERROR(VLOOKUP(monedaPago, Configuración!$A$2:$B$3, 2, FALSE), 0.15), IF(AD1073&gt;limitePermitido, "ALERTA: EXCESO (" &amp; TEXT(limitePermitido, "0%") &amp; " máx)", "OK"))))</f>
        <v/>
      </c>
      <c r="AP1073" s="79">
        <f>IF(AN1073="","",IF(AE1073=0,"OK",_xlfn.LET(fechaPago, Z1073, fechaFactura, R1073, diasCredito, IF(E1073="Pago inmediato", 0, IFERROR(VALUE(MID(E1073, 1, SEARCH(" ", E1073)-1)),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73" s="79">
        <f>IF(AN1073="","",IF(AND(N1073&gt;0, AG1073&gt;0), IF(Configuración!$K$2="NO", "ALERTA: DESCUENTO DOBLE NO PERMITIDO", "OK"), "OK"))</f>
        <v/>
      </c>
      <c r="AR1073" s="79">
        <f>IF(AN1073="","",IF(OR(AO1073&lt;&gt;"OK", AP1073&lt;&gt;"OK", AQ1073&lt;&gt;"OK"), "⚠️ REVISAR", "OK"))</f>
        <v/>
      </c>
    </row>
    <row r="1074">
      <c r="A1074" s="79">
        <f>IF('Ordenes_Odoo'!A1074="","",'Ordenes_Odoo'!A1074)</f>
        <v/>
      </c>
      <c r="B1074" s="80">
        <f>IF('Ordenes_Odoo'!B1074="","",'Ordenes_Odoo'!B1074)</f>
        <v/>
      </c>
      <c r="C1074" s="79">
        <f>IF('Ordenes_Odoo'!C1074="","",'Ordenes_Odoo'!C1074)</f>
        <v/>
      </c>
      <c r="D1074" s="79">
        <f>IF('Ordenes_Odoo'!D1074="","",'Ordenes_Odoo'!D1074)</f>
        <v/>
      </c>
      <c r="E1074" s="79">
        <f>IF('Ordenes_Odoo'!E1074="","",'Ordenes_Odoo'!E1074)</f>
        <v/>
      </c>
      <c r="F1074" s="79">
        <f>IF('Ordenes_Odoo'!F1074="","",'Ordenes_Odoo'!F1074)</f>
        <v/>
      </c>
      <c r="G1074" s="79">
        <f>IF('Ordenes_Odoo'!G1074="","",'Ordenes_Odoo'!G1074)</f>
        <v/>
      </c>
      <c r="H1074" s="79">
        <f>IF('Ordenes_Odoo'!H1074="","",'Ordenes_Odoo'!H1074)</f>
        <v/>
      </c>
      <c r="I1074" s="79">
        <f>IF('Ordenes_Odoo'!I1074="","",'Ordenes_Odoo'!I1074)</f>
        <v/>
      </c>
      <c r="J1074" s="79">
        <f>IF('Ordenes_Odoo'!J1074="","",'Ordenes_Odoo'!J1074)</f>
        <v/>
      </c>
      <c r="K1074" s="81">
        <f>IF('Ordenes_Odoo'!K1074="","",'Ordenes_Odoo'!K1074)</f>
        <v/>
      </c>
      <c r="L1074" s="81">
        <f>IF('Ordenes_Odoo'!L1074="","",'Ordenes_Odoo'!L1074)</f>
        <v/>
      </c>
      <c r="M1074" s="79">
        <f>IF('Ordenes_Odoo'!M1074="","",'Ordenes_Odoo'!M1074)</f>
        <v/>
      </c>
      <c r="N1074" s="79">
        <f>IF('Ordenes_Odoo'!N1074="","",'Ordenes_Odoo'!N1074)</f>
        <v/>
      </c>
      <c r="O1074" s="81">
        <f>IF('Ordenes_Odoo'!O1074="","",'Ordenes_Odoo'!O1074)</f>
        <v/>
      </c>
      <c r="P1074" s="81">
        <f>IF('Ordenes_Odoo'!P1074="","",'Ordenes_Odoo'!P1074)</f>
        <v/>
      </c>
      <c r="Q1074" s="79">
        <f>IF(A1074="","",IFERROR(INDEX(Facturas_Odoo!$B:$B, MATCH(A1074, Facturas_Odoo!$D:$D, 0)), "Sin Factura"))</f>
        <v/>
      </c>
      <c r="R1074" s="80">
        <f>IF(Q1074="Sin Factura","",IFERROR(INDEX(Facturas_Odoo!$A:$A, MATCH(Q1074, Facturas_Odoo!$B:$B, 0)), ""))</f>
        <v/>
      </c>
      <c r="S1074" s="79">
        <f>IF(Q1074="Sin Factura","",IFERROR(_xlfn.XLOOKUP(1, (Facturas_Odoo!$D:$D=A1074) * (Facturas_Odoo!$K:$K=I1074), Facturas_Odoo!$L:$L, ""), ""))</f>
        <v/>
      </c>
      <c r="T1074" s="81">
        <f>IF(Q1074="Sin Factura",0,IFERROR(_xlfn.XLOOKUP(1, (Facturas_Odoo!$D:$D=A1074) * (Facturas_Odoo!$K:$K=I1074), Facturas_Odoo!$M:$M, 0), 0))</f>
        <v/>
      </c>
      <c r="U1074" s="79">
        <f>IF(Q1074="Sin Factura",0,IFERROR(_xlfn.XLOOKUP(1, (Facturas_Odoo!$D:$D=A1074) * (Facturas_Odoo!$K:$K=I1074), Facturas_Odoo!$N:$N, 0), 0))</f>
        <v/>
      </c>
      <c r="V1074" s="79">
        <f>IF(Q1074="Sin Factura",0,IFERROR(_xlfn.XLOOKUP(1, (Facturas_Odoo!$D:$D=A1074) * (Facturas_Odoo!$K:$K=I1074), Facturas_Odoo!$O:$O, 0), 0))</f>
        <v/>
      </c>
      <c r="W1074" s="81">
        <f>IF(Q1074="Sin Factura",0,IFERROR(_xlfn.XLOOKUP(1, (Facturas_Odoo!$D:$D=A1074) * (Facturas_Odoo!$K:$K=I1074), Facturas_Odoo!$Q:$Q, 0), 0))</f>
        <v/>
      </c>
      <c r="X1074" s="79">
        <f>IF(OR(Q1074="Sin Factura",Q1074=""),"",IFERROR(INDEX(Pagos_Odoo!$B:$B, MATCH(Q1074, Pagos_Odoo!$I:$I, 0)), "Sin Pago"))</f>
        <v/>
      </c>
      <c r="Y1074" s="79">
        <f>IF(X1074="Sin Pago","",IFERROR(INDEX(Pagos_Odoo!$C:$C, MATCH(X1074, Pagos_Odoo!$B:$B, 0)), ""))</f>
        <v/>
      </c>
      <c r="Z1074" s="80">
        <f>IF(X1074="Sin Pago","",IFERROR(INDEX(Pagos_Odoo!$A:$A, MATCH(X1074, Pagos_Odoo!$B:$B, 0)), ""))</f>
        <v/>
      </c>
      <c r="AA1074" s="79">
        <f>IF(X1074="Sin Pago","",IFERROR(INDEX(Pagos_Odoo!$F:$F, MATCH(X1074, Pagos_Odoo!$B:$B, 0)), ""))</f>
        <v/>
      </c>
      <c r="AB1074" s="81">
        <f>IF(X1074="Sin Pago",0,IFERROR(INDEX(Pagos_Odoo!$E:$E, MATCH(X1074, Pagos_Odoo!$B:$B, 0)), 0))</f>
        <v/>
      </c>
      <c r="AC1074" s="79">
        <f>IF(X1074="Sin Pago","",IFERROR(INDEX(Pagos_Odoo!$G:$G, MATCH(X1074, Pagos_Odoo!$B:$B, 0)), ""))</f>
        <v/>
      </c>
      <c r="AD1074" s="82" t="n">
        <v>0</v>
      </c>
      <c r="AE1074" s="82" t="n"/>
      <c r="AF1074" s="82" t="n"/>
      <c r="AG1074" s="82">
        <f>IF(AN1074="","",AD1074+AE1074+AF1074)</f>
        <v/>
      </c>
      <c r="AH1074" s="81">
        <f>IF(AN1074="","",P1074*(1-AG1074))</f>
        <v/>
      </c>
      <c r="AI1074" s="81">
        <f>IF(AN1074="","",IF(Q1074="Sin Factura",0,IFERROR(INDEX(Facturas_Odoo!$H:$H, MATCH(Q1074, Facturas_Odoo!$B:$B, 0)), 0)*(1-AG1074)))</f>
        <v/>
      </c>
      <c r="AJ1074" s="81">
        <f>IF(AN1074="","",_xlfn.LET(idVenta, AN1074&amp;"",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74" s="81">
        <f>IF(AN1074="","",AH1074-AJ1074)</f>
        <v/>
      </c>
      <c r="AL1074" s="81">
        <f>IF(AN1074="","",IF(Q1074="Sin Factura","",AI1074-AJ1074))</f>
        <v/>
      </c>
      <c r="AM1074" s="81">
        <f>IF(AN1074="","",IF(Q1074="Sin Factura",0,P1074-IFERROR(INDEX(Facturas_Odoo!$H:$H, MATCH(Q1074, Facturas_Odoo!$B:$B, 0)), 0)))</f>
        <v/>
      </c>
      <c r="AN1074" s="79">
        <f>IF(AND(A1074="", J1074=""), "", IF(A1074&lt;&gt;"", VALUE(MID(A1074,2,LEN(A1074))), AN1073))</f>
        <v/>
      </c>
      <c r="AO1074" s="79">
        <f>IF(AN1074="","",IF(AD1074=0,"OK",_xlfn.LET(monedaPago, IF(AA1074="","USD",AA1074), limitePermitido, IFERROR(VLOOKUP(monedaPago, Configuración!$A$2:$B$3, 2, FALSE), 0.15), IF(AD1074&gt;limitePermitido, "ALERTA: EXCESO (" &amp; TEXT(limitePermitido, "0%") &amp; " máx)", "OK"))))</f>
        <v/>
      </c>
      <c r="AP1074" s="79">
        <f>IF(AN1074="","",IF(AE1074=0,"OK",_xlfn.LET(fechaPago, Z1074, fechaFactura, R1074, diasCredito, IF(E1074="Pago inmediato", 0, IFERROR(VALUE(MID(E1074, 1, SEARCH(" ", E1074)-1)),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74" s="79">
        <f>IF(AN1074="","",IF(AND(N1074&gt;0, AG1074&gt;0), IF(Configuración!$K$2="NO", "ALERTA: DESCUENTO DOBLE NO PERMITIDO", "OK"), "OK"))</f>
        <v/>
      </c>
      <c r="AR1074" s="79">
        <f>IF(AN1074="","",IF(OR(AO1074&lt;&gt;"OK", AP1074&lt;&gt;"OK", AQ1074&lt;&gt;"OK"), "⚠️ REVISAR", "OK"))</f>
        <v/>
      </c>
    </row>
    <row r="1075">
      <c r="A1075" s="79">
        <f>IF('Ordenes_Odoo'!A1075="","",'Ordenes_Odoo'!A1075)</f>
        <v/>
      </c>
      <c r="B1075" s="80">
        <f>IF('Ordenes_Odoo'!B1075="","",'Ordenes_Odoo'!B1075)</f>
        <v/>
      </c>
      <c r="C1075" s="79">
        <f>IF('Ordenes_Odoo'!C1075="","",'Ordenes_Odoo'!C1075)</f>
        <v/>
      </c>
      <c r="D1075" s="79">
        <f>IF('Ordenes_Odoo'!D1075="","",'Ordenes_Odoo'!D1075)</f>
        <v/>
      </c>
      <c r="E1075" s="79">
        <f>IF('Ordenes_Odoo'!E1075="","",'Ordenes_Odoo'!E1075)</f>
        <v/>
      </c>
      <c r="F1075" s="79">
        <f>IF('Ordenes_Odoo'!F1075="","",'Ordenes_Odoo'!F1075)</f>
        <v/>
      </c>
      <c r="G1075" s="79">
        <f>IF('Ordenes_Odoo'!G1075="","",'Ordenes_Odoo'!G1075)</f>
        <v/>
      </c>
      <c r="H1075" s="79">
        <f>IF('Ordenes_Odoo'!H1075="","",'Ordenes_Odoo'!H1075)</f>
        <v/>
      </c>
      <c r="I1075" s="79">
        <f>IF('Ordenes_Odoo'!I1075="","",'Ordenes_Odoo'!I1075)</f>
        <v/>
      </c>
      <c r="J1075" s="79">
        <f>IF('Ordenes_Odoo'!J1075="","",'Ordenes_Odoo'!J1075)</f>
        <v/>
      </c>
      <c r="K1075" s="81">
        <f>IF('Ordenes_Odoo'!K1075="","",'Ordenes_Odoo'!K1075)</f>
        <v/>
      </c>
      <c r="L1075" s="81">
        <f>IF('Ordenes_Odoo'!L1075="","",'Ordenes_Odoo'!L1075)</f>
        <v/>
      </c>
      <c r="M1075" s="79">
        <f>IF('Ordenes_Odoo'!M1075="","",'Ordenes_Odoo'!M1075)</f>
        <v/>
      </c>
      <c r="N1075" s="79">
        <f>IF('Ordenes_Odoo'!N1075="","",'Ordenes_Odoo'!N1075)</f>
        <v/>
      </c>
      <c r="O1075" s="81">
        <f>IF('Ordenes_Odoo'!O1075="","",'Ordenes_Odoo'!O1075)</f>
        <v/>
      </c>
      <c r="P1075" s="81">
        <f>IF('Ordenes_Odoo'!P1075="","",'Ordenes_Odoo'!P1075)</f>
        <v/>
      </c>
      <c r="Q1075" s="79">
        <f>IF(A1075="","",IFERROR(INDEX(Facturas_Odoo!$B:$B, MATCH(A1075, Facturas_Odoo!$D:$D, 0)), "Sin Factura"))</f>
        <v/>
      </c>
      <c r="R1075" s="80">
        <f>IF(Q1075="Sin Factura","",IFERROR(INDEX(Facturas_Odoo!$A:$A, MATCH(Q1075, Facturas_Odoo!$B:$B, 0)), ""))</f>
        <v/>
      </c>
      <c r="S1075" s="79">
        <f>IF(Q1075="Sin Factura","",IFERROR(_xlfn.XLOOKUP(1, (Facturas_Odoo!$D:$D=A1075) * (Facturas_Odoo!$K:$K=I1075), Facturas_Odoo!$L:$L, ""), ""))</f>
        <v/>
      </c>
      <c r="T1075" s="81">
        <f>IF(Q1075="Sin Factura",0,IFERROR(_xlfn.XLOOKUP(1, (Facturas_Odoo!$D:$D=A1075) * (Facturas_Odoo!$K:$K=I1075), Facturas_Odoo!$M:$M, 0), 0))</f>
        <v/>
      </c>
      <c r="U1075" s="79">
        <f>IF(Q1075="Sin Factura",0,IFERROR(_xlfn.XLOOKUP(1, (Facturas_Odoo!$D:$D=A1075) * (Facturas_Odoo!$K:$K=I1075), Facturas_Odoo!$N:$N, 0), 0))</f>
        <v/>
      </c>
      <c r="V1075" s="79">
        <f>IF(Q1075="Sin Factura",0,IFERROR(_xlfn.XLOOKUP(1, (Facturas_Odoo!$D:$D=A1075) * (Facturas_Odoo!$K:$K=I1075), Facturas_Odoo!$O:$O, 0), 0))</f>
        <v/>
      </c>
      <c r="W1075" s="81">
        <f>IF(Q1075="Sin Factura",0,IFERROR(_xlfn.XLOOKUP(1, (Facturas_Odoo!$D:$D=A1075) * (Facturas_Odoo!$K:$K=I1075), Facturas_Odoo!$Q:$Q, 0), 0))</f>
        <v/>
      </c>
      <c r="X1075" s="79">
        <f>IF(OR(Q1075="Sin Factura",Q1075=""),"",IFERROR(INDEX(Pagos_Odoo!$B:$B, MATCH(Q1075, Pagos_Odoo!$I:$I, 0)), "Sin Pago"))</f>
        <v/>
      </c>
      <c r="Y1075" s="79">
        <f>IF(X1075="Sin Pago","",IFERROR(INDEX(Pagos_Odoo!$C:$C, MATCH(X1075, Pagos_Odoo!$B:$B, 0)), ""))</f>
        <v/>
      </c>
      <c r="Z1075" s="80">
        <f>IF(X1075="Sin Pago","",IFERROR(INDEX(Pagos_Odoo!$A:$A, MATCH(X1075, Pagos_Odoo!$B:$B, 0)), ""))</f>
        <v/>
      </c>
      <c r="AA1075" s="79">
        <f>IF(X1075="Sin Pago","",IFERROR(INDEX(Pagos_Odoo!$F:$F, MATCH(X1075, Pagos_Odoo!$B:$B, 0)), ""))</f>
        <v/>
      </c>
      <c r="AB1075" s="81">
        <f>IF(X1075="Sin Pago",0,IFERROR(INDEX(Pagos_Odoo!$E:$E, MATCH(X1075, Pagos_Odoo!$B:$B, 0)), 0))</f>
        <v/>
      </c>
      <c r="AC1075" s="79">
        <f>IF(X1075="Sin Pago","",IFERROR(INDEX(Pagos_Odoo!$G:$G, MATCH(X1075, Pagos_Odoo!$B:$B, 0)), ""))</f>
        <v/>
      </c>
      <c r="AD1075" s="82" t="n">
        <v>0</v>
      </c>
      <c r="AE1075" s="82" t="n"/>
      <c r="AF1075" s="82" t="n"/>
      <c r="AG1075" s="82">
        <f>IF(AN1075="","",AD1075+AE1075+AF1075)</f>
        <v/>
      </c>
      <c r="AH1075" s="81">
        <f>IF(AN1075="","",P1075*(1-AG1075))</f>
        <v/>
      </c>
      <c r="AI1075" s="81">
        <f>IF(AN1075="","",IF(Q1075="Sin Factura",0,IFERROR(INDEX(Facturas_Odoo!$H:$H, MATCH(Q1075, Facturas_Odoo!$B:$B, 0)), 0)*(1-AG1075)))</f>
        <v/>
      </c>
      <c r="AJ1075" s="81">
        <f>IF(AN1075="","",_xlfn.LET(idVenta, AN1075&amp;"",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75" s="81">
        <f>IF(AN1075="","",AH1075-AJ1075)</f>
        <v/>
      </c>
      <c r="AL1075" s="81">
        <f>IF(AN1075="","",IF(Q1075="Sin Factura","",AI1075-AJ1075))</f>
        <v/>
      </c>
      <c r="AM1075" s="81">
        <f>IF(AN1075="","",IF(Q1075="Sin Factura",0,P1075-IFERROR(INDEX(Facturas_Odoo!$H:$H, MATCH(Q1075, Facturas_Odoo!$B:$B, 0)), 0)))</f>
        <v/>
      </c>
      <c r="AN1075" s="79">
        <f>IF(AND(A1075="", J1075=""), "", IF(A1075&lt;&gt;"", VALUE(MID(A1075,2,LEN(A1075))), AN1074))</f>
        <v/>
      </c>
      <c r="AO1075" s="79">
        <f>IF(AN1075="","",IF(AD1075=0,"OK",_xlfn.LET(monedaPago, IF(AA1075="","USD",AA1075), limitePermitido, IFERROR(VLOOKUP(monedaPago, Configuración!$A$2:$B$3, 2, FALSE), 0.15), IF(AD1075&gt;limitePermitido, "ALERTA: EXCESO (" &amp; TEXT(limitePermitido, "0%") &amp; " máx)", "OK"))))</f>
        <v/>
      </c>
      <c r="AP1075" s="79">
        <f>IF(AN1075="","",IF(AE1075=0,"OK",_xlfn.LET(fechaPago, Z1075, fechaFactura, R1075, diasCredito, IF(E1075="Pago inmediato", 0, IFERROR(VALUE(MID(E1075, 1, SEARCH(" ", E1075)-1)),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75" s="79">
        <f>IF(AN1075="","",IF(AND(N1075&gt;0, AG1075&gt;0), IF(Configuración!$K$2="NO", "ALERTA: DESCUENTO DOBLE NO PERMITIDO", "OK"), "OK"))</f>
        <v/>
      </c>
      <c r="AR1075" s="79">
        <f>IF(AN1075="","",IF(OR(AO1075&lt;&gt;"OK", AP1075&lt;&gt;"OK", AQ1075&lt;&gt;"OK"), "⚠️ REVISAR", "OK"))</f>
        <v/>
      </c>
    </row>
    <row r="1076">
      <c r="A1076" s="79">
        <f>IF('Ordenes_Odoo'!A1076="","",'Ordenes_Odoo'!A1076)</f>
        <v/>
      </c>
      <c r="B1076" s="80">
        <f>IF('Ordenes_Odoo'!B1076="","",'Ordenes_Odoo'!B1076)</f>
        <v/>
      </c>
      <c r="C1076" s="79">
        <f>IF('Ordenes_Odoo'!C1076="","",'Ordenes_Odoo'!C1076)</f>
        <v/>
      </c>
      <c r="D1076" s="79">
        <f>IF('Ordenes_Odoo'!D1076="","",'Ordenes_Odoo'!D1076)</f>
        <v/>
      </c>
      <c r="E1076" s="79">
        <f>IF('Ordenes_Odoo'!E1076="","",'Ordenes_Odoo'!E1076)</f>
        <v/>
      </c>
      <c r="F1076" s="79">
        <f>IF('Ordenes_Odoo'!F1076="","",'Ordenes_Odoo'!F1076)</f>
        <v/>
      </c>
      <c r="G1076" s="79">
        <f>IF('Ordenes_Odoo'!G1076="","",'Ordenes_Odoo'!G1076)</f>
        <v/>
      </c>
      <c r="H1076" s="79">
        <f>IF('Ordenes_Odoo'!H1076="","",'Ordenes_Odoo'!H1076)</f>
        <v/>
      </c>
      <c r="I1076" s="79">
        <f>IF('Ordenes_Odoo'!I1076="","",'Ordenes_Odoo'!I1076)</f>
        <v/>
      </c>
      <c r="J1076" s="79">
        <f>IF('Ordenes_Odoo'!J1076="","",'Ordenes_Odoo'!J1076)</f>
        <v/>
      </c>
      <c r="K1076" s="81">
        <f>IF('Ordenes_Odoo'!K1076="","",'Ordenes_Odoo'!K1076)</f>
        <v/>
      </c>
      <c r="L1076" s="81">
        <f>IF('Ordenes_Odoo'!L1076="","",'Ordenes_Odoo'!L1076)</f>
        <v/>
      </c>
      <c r="M1076" s="79">
        <f>IF('Ordenes_Odoo'!M1076="","",'Ordenes_Odoo'!M1076)</f>
        <v/>
      </c>
      <c r="N1076" s="79">
        <f>IF('Ordenes_Odoo'!N1076="","",'Ordenes_Odoo'!N1076)</f>
        <v/>
      </c>
      <c r="O1076" s="81">
        <f>IF('Ordenes_Odoo'!O1076="","",'Ordenes_Odoo'!O1076)</f>
        <v/>
      </c>
      <c r="P1076" s="81">
        <f>IF('Ordenes_Odoo'!P1076="","",'Ordenes_Odoo'!P1076)</f>
        <v/>
      </c>
      <c r="Q1076" s="79">
        <f>IF(A1076="","",IFERROR(INDEX(Facturas_Odoo!$B:$B, MATCH(A1076, Facturas_Odoo!$D:$D, 0)), "Sin Factura"))</f>
        <v/>
      </c>
      <c r="R1076" s="80">
        <f>IF(Q1076="Sin Factura","",IFERROR(INDEX(Facturas_Odoo!$A:$A, MATCH(Q1076, Facturas_Odoo!$B:$B, 0)), ""))</f>
        <v/>
      </c>
      <c r="S1076" s="79">
        <f>IF(Q1076="Sin Factura","",IFERROR(_xlfn.XLOOKUP(1, (Facturas_Odoo!$D:$D=A1076) * (Facturas_Odoo!$K:$K=I1076), Facturas_Odoo!$L:$L, ""), ""))</f>
        <v/>
      </c>
      <c r="T1076" s="81">
        <f>IF(Q1076="Sin Factura",0,IFERROR(_xlfn.XLOOKUP(1, (Facturas_Odoo!$D:$D=A1076) * (Facturas_Odoo!$K:$K=I1076), Facturas_Odoo!$M:$M, 0), 0))</f>
        <v/>
      </c>
      <c r="U1076" s="79">
        <f>IF(Q1076="Sin Factura",0,IFERROR(_xlfn.XLOOKUP(1, (Facturas_Odoo!$D:$D=A1076) * (Facturas_Odoo!$K:$K=I1076), Facturas_Odoo!$N:$N, 0), 0))</f>
        <v/>
      </c>
      <c r="V1076" s="79">
        <f>IF(Q1076="Sin Factura",0,IFERROR(_xlfn.XLOOKUP(1, (Facturas_Odoo!$D:$D=A1076) * (Facturas_Odoo!$K:$K=I1076), Facturas_Odoo!$O:$O, 0), 0))</f>
        <v/>
      </c>
      <c r="W1076" s="81">
        <f>IF(Q1076="Sin Factura",0,IFERROR(_xlfn.XLOOKUP(1, (Facturas_Odoo!$D:$D=A1076) * (Facturas_Odoo!$K:$K=I1076), Facturas_Odoo!$Q:$Q, 0), 0))</f>
        <v/>
      </c>
      <c r="X1076" s="79">
        <f>IF(OR(Q1076="Sin Factura",Q1076=""),"",IFERROR(INDEX(Pagos_Odoo!$B:$B, MATCH(Q1076, Pagos_Odoo!$I:$I, 0)), "Sin Pago"))</f>
        <v/>
      </c>
      <c r="Y1076" s="79">
        <f>IF(X1076="Sin Pago","",IFERROR(INDEX(Pagos_Odoo!$C:$C, MATCH(X1076, Pagos_Odoo!$B:$B, 0)), ""))</f>
        <v/>
      </c>
      <c r="Z1076" s="80">
        <f>IF(X1076="Sin Pago","",IFERROR(INDEX(Pagos_Odoo!$A:$A, MATCH(X1076, Pagos_Odoo!$B:$B, 0)), ""))</f>
        <v/>
      </c>
      <c r="AA1076" s="79">
        <f>IF(X1076="Sin Pago","",IFERROR(INDEX(Pagos_Odoo!$F:$F, MATCH(X1076, Pagos_Odoo!$B:$B, 0)), ""))</f>
        <v/>
      </c>
      <c r="AB1076" s="81">
        <f>IF(X1076="Sin Pago",0,IFERROR(INDEX(Pagos_Odoo!$E:$E, MATCH(X1076, Pagos_Odoo!$B:$B, 0)), 0))</f>
        <v/>
      </c>
      <c r="AC1076" s="79">
        <f>IF(X1076="Sin Pago","",IFERROR(INDEX(Pagos_Odoo!$G:$G, MATCH(X1076, Pagos_Odoo!$B:$B, 0)), ""))</f>
        <v/>
      </c>
      <c r="AD1076" s="82" t="n">
        <v>0</v>
      </c>
      <c r="AE1076" s="82" t="n"/>
      <c r="AF1076" s="82" t="n"/>
      <c r="AG1076" s="82">
        <f>IF(AN1076="","",AD1076+AE1076+AF1076)</f>
        <v/>
      </c>
      <c r="AH1076" s="81">
        <f>IF(AN1076="","",P1076*(1-AG1076))</f>
        <v/>
      </c>
      <c r="AI1076" s="81">
        <f>IF(AN1076="","",IF(Q1076="Sin Factura",0,IFERROR(INDEX(Facturas_Odoo!$H:$H, MATCH(Q1076, Facturas_Odoo!$B:$B, 0)), 0)*(1-AG1076)))</f>
        <v/>
      </c>
      <c r="AJ1076" s="81">
        <f>IF(AN1076="","",_xlfn.LET(idVenta, AN1076&amp;"",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76" s="81">
        <f>IF(AN1076="","",AH1076-AJ1076)</f>
        <v/>
      </c>
      <c r="AL1076" s="81">
        <f>IF(AN1076="","",IF(Q1076="Sin Factura","",AI1076-AJ1076))</f>
        <v/>
      </c>
      <c r="AM1076" s="81">
        <f>IF(AN1076="","",IF(Q1076="Sin Factura",0,P1076-IFERROR(INDEX(Facturas_Odoo!$H:$H, MATCH(Q1076, Facturas_Odoo!$B:$B, 0)), 0)))</f>
        <v/>
      </c>
      <c r="AN1076" s="79">
        <f>IF(AND(A1076="", J1076=""), "", IF(A1076&lt;&gt;"", VALUE(MID(A1076,2,LEN(A1076))), AN1075))</f>
        <v/>
      </c>
      <c r="AO1076" s="79">
        <f>IF(AN1076="","",IF(AD1076=0,"OK",_xlfn.LET(monedaPago, IF(AA1076="","USD",AA1076), limitePermitido, IFERROR(VLOOKUP(monedaPago, Configuración!$A$2:$B$3, 2, FALSE), 0.15), IF(AD1076&gt;limitePermitido, "ALERTA: EXCESO (" &amp; TEXT(limitePermitido, "0%") &amp; " máx)", "OK"))))</f>
        <v/>
      </c>
      <c r="AP1076" s="79">
        <f>IF(AN1076="","",IF(AE1076=0,"OK",_xlfn.LET(fechaPago, Z1076, fechaFactura, R1076, diasCredito, IF(E1076="Pago inmediato", 0, IFERROR(VALUE(MID(E1076, 1, SEARCH(" ", E1076)-1)),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76" s="79">
        <f>IF(AN1076="","",IF(AND(N1076&gt;0, AG1076&gt;0), IF(Configuración!$K$2="NO", "ALERTA: DESCUENTO DOBLE NO PERMITIDO", "OK"), "OK"))</f>
        <v/>
      </c>
      <c r="AR1076" s="79">
        <f>IF(AN1076="","",IF(OR(AO1076&lt;&gt;"OK", AP1076&lt;&gt;"OK", AQ1076&lt;&gt;"OK"), "⚠️ REVISAR", "OK"))</f>
        <v/>
      </c>
    </row>
    <row r="1077">
      <c r="A1077" s="79">
        <f>IF('Ordenes_Odoo'!A1077="","",'Ordenes_Odoo'!A1077)</f>
        <v/>
      </c>
      <c r="B1077" s="80">
        <f>IF('Ordenes_Odoo'!B1077="","",'Ordenes_Odoo'!B1077)</f>
        <v/>
      </c>
      <c r="C1077" s="79">
        <f>IF('Ordenes_Odoo'!C1077="","",'Ordenes_Odoo'!C1077)</f>
        <v/>
      </c>
      <c r="D1077" s="79">
        <f>IF('Ordenes_Odoo'!D1077="","",'Ordenes_Odoo'!D1077)</f>
        <v/>
      </c>
      <c r="E1077" s="79">
        <f>IF('Ordenes_Odoo'!E1077="","",'Ordenes_Odoo'!E1077)</f>
        <v/>
      </c>
      <c r="F1077" s="79">
        <f>IF('Ordenes_Odoo'!F1077="","",'Ordenes_Odoo'!F1077)</f>
        <v/>
      </c>
      <c r="G1077" s="79">
        <f>IF('Ordenes_Odoo'!G1077="","",'Ordenes_Odoo'!G1077)</f>
        <v/>
      </c>
      <c r="H1077" s="79">
        <f>IF('Ordenes_Odoo'!H1077="","",'Ordenes_Odoo'!H1077)</f>
        <v/>
      </c>
      <c r="I1077" s="79">
        <f>IF('Ordenes_Odoo'!I1077="","",'Ordenes_Odoo'!I1077)</f>
        <v/>
      </c>
      <c r="J1077" s="79">
        <f>IF('Ordenes_Odoo'!J1077="","",'Ordenes_Odoo'!J1077)</f>
        <v/>
      </c>
      <c r="K1077" s="81">
        <f>IF('Ordenes_Odoo'!K1077="","",'Ordenes_Odoo'!K1077)</f>
        <v/>
      </c>
      <c r="L1077" s="81">
        <f>IF('Ordenes_Odoo'!L1077="","",'Ordenes_Odoo'!L1077)</f>
        <v/>
      </c>
      <c r="M1077" s="79">
        <f>IF('Ordenes_Odoo'!M1077="","",'Ordenes_Odoo'!M1077)</f>
        <v/>
      </c>
      <c r="N1077" s="79">
        <f>IF('Ordenes_Odoo'!N1077="","",'Ordenes_Odoo'!N1077)</f>
        <v/>
      </c>
      <c r="O1077" s="81">
        <f>IF('Ordenes_Odoo'!O1077="","",'Ordenes_Odoo'!O1077)</f>
        <v/>
      </c>
      <c r="P1077" s="81">
        <f>IF('Ordenes_Odoo'!P1077="","",'Ordenes_Odoo'!P1077)</f>
        <v/>
      </c>
      <c r="Q1077" s="79">
        <f>IF(A1077="","",IFERROR(INDEX(Facturas_Odoo!$B:$B, MATCH(A1077, Facturas_Odoo!$D:$D, 0)), "Sin Factura"))</f>
        <v/>
      </c>
      <c r="R1077" s="80">
        <f>IF(Q1077="Sin Factura","",IFERROR(INDEX(Facturas_Odoo!$A:$A, MATCH(Q1077, Facturas_Odoo!$B:$B, 0)), ""))</f>
        <v/>
      </c>
      <c r="S1077" s="79">
        <f>IF(Q1077="Sin Factura","",IFERROR(_xlfn.XLOOKUP(1, (Facturas_Odoo!$D:$D=A1077) * (Facturas_Odoo!$K:$K=I1077), Facturas_Odoo!$L:$L, ""), ""))</f>
        <v/>
      </c>
      <c r="T1077" s="81">
        <f>IF(Q1077="Sin Factura",0,IFERROR(_xlfn.XLOOKUP(1, (Facturas_Odoo!$D:$D=A1077) * (Facturas_Odoo!$K:$K=I1077), Facturas_Odoo!$M:$M, 0), 0))</f>
        <v/>
      </c>
      <c r="U1077" s="79">
        <f>IF(Q1077="Sin Factura",0,IFERROR(_xlfn.XLOOKUP(1, (Facturas_Odoo!$D:$D=A1077) * (Facturas_Odoo!$K:$K=I1077), Facturas_Odoo!$N:$N, 0), 0))</f>
        <v/>
      </c>
      <c r="V1077" s="79">
        <f>IF(Q1077="Sin Factura",0,IFERROR(_xlfn.XLOOKUP(1, (Facturas_Odoo!$D:$D=A1077) * (Facturas_Odoo!$K:$K=I1077), Facturas_Odoo!$O:$O, 0), 0))</f>
        <v/>
      </c>
      <c r="W1077" s="81">
        <f>IF(Q1077="Sin Factura",0,IFERROR(_xlfn.XLOOKUP(1, (Facturas_Odoo!$D:$D=A1077) * (Facturas_Odoo!$K:$K=I1077), Facturas_Odoo!$Q:$Q, 0), 0))</f>
        <v/>
      </c>
      <c r="X1077" s="79">
        <f>IF(OR(Q1077="Sin Factura",Q1077=""),"",IFERROR(INDEX(Pagos_Odoo!$B:$B, MATCH(Q1077, Pagos_Odoo!$I:$I, 0)), "Sin Pago"))</f>
        <v/>
      </c>
      <c r="Y1077" s="79">
        <f>IF(X1077="Sin Pago","",IFERROR(INDEX(Pagos_Odoo!$C:$C, MATCH(X1077, Pagos_Odoo!$B:$B, 0)), ""))</f>
        <v/>
      </c>
      <c r="Z1077" s="80">
        <f>IF(X1077="Sin Pago","",IFERROR(INDEX(Pagos_Odoo!$A:$A, MATCH(X1077, Pagos_Odoo!$B:$B, 0)), ""))</f>
        <v/>
      </c>
      <c r="AA1077" s="79">
        <f>IF(X1077="Sin Pago","",IFERROR(INDEX(Pagos_Odoo!$F:$F, MATCH(X1077, Pagos_Odoo!$B:$B, 0)), ""))</f>
        <v/>
      </c>
      <c r="AB1077" s="81">
        <f>IF(X1077="Sin Pago",0,IFERROR(INDEX(Pagos_Odoo!$E:$E, MATCH(X1077, Pagos_Odoo!$B:$B, 0)), 0))</f>
        <v/>
      </c>
      <c r="AC1077" s="79">
        <f>IF(X1077="Sin Pago","",IFERROR(INDEX(Pagos_Odoo!$G:$G, MATCH(X1077, Pagos_Odoo!$B:$B, 0)), ""))</f>
        <v/>
      </c>
      <c r="AD1077" s="82" t="n">
        <v>0</v>
      </c>
      <c r="AE1077" s="82" t="n"/>
      <c r="AF1077" s="82" t="n"/>
      <c r="AG1077" s="82">
        <f>IF(AN1077="","",AD1077+AE1077+AF1077)</f>
        <v/>
      </c>
      <c r="AH1077" s="81">
        <f>IF(AN1077="","",P1077*(1-AG1077))</f>
        <v/>
      </c>
      <c r="AI1077" s="81">
        <f>IF(AN1077="","",IF(Q1077="Sin Factura",0,IFERROR(INDEX(Facturas_Odoo!$H:$H, MATCH(Q1077, Facturas_Odoo!$B:$B, 0)), 0)*(1-AG1077)))</f>
        <v/>
      </c>
      <c r="AJ1077" s="81">
        <f>IF(AN1077="","",_xlfn.LET(idVenta, AN1077&amp;"",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77" s="81">
        <f>IF(AN1077="","",AH1077-AJ1077)</f>
        <v/>
      </c>
      <c r="AL1077" s="81">
        <f>IF(AN1077="","",IF(Q1077="Sin Factura","",AI1077-AJ1077))</f>
        <v/>
      </c>
      <c r="AM1077" s="81">
        <f>IF(AN1077="","",IF(Q1077="Sin Factura",0,P1077-IFERROR(INDEX(Facturas_Odoo!$H:$H, MATCH(Q1077, Facturas_Odoo!$B:$B, 0)), 0)))</f>
        <v/>
      </c>
      <c r="AN1077" s="79">
        <f>IF(AND(A1077="", J1077=""), "", IF(A1077&lt;&gt;"", VALUE(MID(A1077,2,LEN(A1077))), AN1076))</f>
        <v/>
      </c>
      <c r="AO1077" s="79">
        <f>IF(AN1077="","",IF(AD1077=0,"OK",_xlfn.LET(monedaPago, IF(AA1077="","USD",AA1077), limitePermitido, IFERROR(VLOOKUP(monedaPago, Configuración!$A$2:$B$3, 2, FALSE), 0.15), IF(AD1077&gt;limitePermitido, "ALERTA: EXCESO (" &amp; TEXT(limitePermitido, "0%") &amp; " máx)", "OK"))))</f>
        <v/>
      </c>
      <c r="AP1077" s="79">
        <f>IF(AN1077="","",IF(AE1077=0,"OK",_xlfn.LET(fechaPago, Z1077, fechaFactura, R1077, diasCredito, IF(E1077="Pago inmediato", 0, IFERROR(VALUE(MID(E1077, 1, SEARCH(" ", E1077)-1)),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77" s="79">
        <f>IF(AN1077="","",IF(AND(N1077&gt;0, AG1077&gt;0), IF(Configuración!$K$2="NO", "ALERTA: DESCUENTO DOBLE NO PERMITIDO", "OK"), "OK"))</f>
        <v/>
      </c>
      <c r="AR1077" s="79">
        <f>IF(AN1077="","",IF(OR(AO1077&lt;&gt;"OK", AP1077&lt;&gt;"OK", AQ1077&lt;&gt;"OK"), "⚠️ REVISAR", "OK"))</f>
        <v/>
      </c>
    </row>
    <row r="1078">
      <c r="A1078" s="79">
        <f>IF('Ordenes_Odoo'!A1078="","",'Ordenes_Odoo'!A1078)</f>
        <v/>
      </c>
      <c r="B1078" s="80">
        <f>IF('Ordenes_Odoo'!B1078="","",'Ordenes_Odoo'!B1078)</f>
        <v/>
      </c>
      <c r="C1078" s="79">
        <f>IF('Ordenes_Odoo'!C1078="","",'Ordenes_Odoo'!C1078)</f>
        <v/>
      </c>
      <c r="D1078" s="79">
        <f>IF('Ordenes_Odoo'!D1078="","",'Ordenes_Odoo'!D1078)</f>
        <v/>
      </c>
      <c r="E1078" s="79">
        <f>IF('Ordenes_Odoo'!E1078="","",'Ordenes_Odoo'!E1078)</f>
        <v/>
      </c>
      <c r="F1078" s="79">
        <f>IF('Ordenes_Odoo'!F1078="","",'Ordenes_Odoo'!F1078)</f>
        <v/>
      </c>
      <c r="G1078" s="79">
        <f>IF('Ordenes_Odoo'!G1078="","",'Ordenes_Odoo'!G1078)</f>
        <v/>
      </c>
      <c r="H1078" s="79">
        <f>IF('Ordenes_Odoo'!H1078="","",'Ordenes_Odoo'!H1078)</f>
        <v/>
      </c>
      <c r="I1078" s="79">
        <f>IF('Ordenes_Odoo'!I1078="","",'Ordenes_Odoo'!I1078)</f>
        <v/>
      </c>
      <c r="J1078" s="79">
        <f>IF('Ordenes_Odoo'!J1078="","",'Ordenes_Odoo'!J1078)</f>
        <v/>
      </c>
      <c r="K1078" s="81">
        <f>IF('Ordenes_Odoo'!K1078="","",'Ordenes_Odoo'!K1078)</f>
        <v/>
      </c>
      <c r="L1078" s="81">
        <f>IF('Ordenes_Odoo'!L1078="","",'Ordenes_Odoo'!L1078)</f>
        <v/>
      </c>
      <c r="M1078" s="79">
        <f>IF('Ordenes_Odoo'!M1078="","",'Ordenes_Odoo'!M1078)</f>
        <v/>
      </c>
      <c r="N1078" s="79">
        <f>IF('Ordenes_Odoo'!N1078="","",'Ordenes_Odoo'!N1078)</f>
        <v/>
      </c>
      <c r="O1078" s="81">
        <f>IF('Ordenes_Odoo'!O1078="","",'Ordenes_Odoo'!O1078)</f>
        <v/>
      </c>
      <c r="P1078" s="81">
        <f>IF('Ordenes_Odoo'!P1078="","",'Ordenes_Odoo'!P1078)</f>
        <v/>
      </c>
      <c r="Q1078" s="79">
        <f>IF(A1078="","",IFERROR(INDEX(Facturas_Odoo!$B:$B, MATCH(A1078, Facturas_Odoo!$D:$D, 0)), "Sin Factura"))</f>
        <v/>
      </c>
      <c r="R1078" s="80">
        <f>IF(Q1078="Sin Factura","",IFERROR(INDEX(Facturas_Odoo!$A:$A, MATCH(Q1078, Facturas_Odoo!$B:$B, 0)), ""))</f>
        <v/>
      </c>
      <c r="S1078" s="79">
        <f>IF(Q1078="Sin Factura","",IFERROR(_xlfn.XLOOKUP(1, (Facturas_Odoo!$D:$D=A1078) * (Facturas_Odoo!$K:$K=I1078), Facturas_Odoo!$L:$L, ""), ""))</f>
        <v/>
      </c>
      <c r="T1078" s="81">
        <f>IF(Q1078="Sin Factura",0,IFERROR(_xlfn.XLOOKUP(1, (Facturas_Odoo!$D:$D=A1078) * (Facturas_Odoo!$K:$K=I1078), Facturas_Odoo!$M:$M, 0), 0))</f>
        <v/>
      </c>
      <c r="U1078" s="79">
        <f>IF(Q1078="Sin Factura",0,IFERROR(_xlfn.XLOOKUP(1, (Facturas_Odoo!$D:$D=A1078) * (Facturas_Odoo!$K:$K=I1078), Facturas_Odoo!$N:$N, 0), 0))</f>
        <v/>
      </c>
      <c r="V1078" s="79">
        <f>IF(Q1078="Sin Factura",0,IFERROR(_xlfn.XLOOKUP(1, (Facturas_Odoo!$D:$D=A1078) * (Facturas_Odoo!$K:$K=I1078), Facturas_Odoo!$O:$O, 0), 0))</f>
        <v/>
      </c>
      <c r="W1078" s="81">
        <f>IF(Q1078="Sin Factura",0,IFERROR(_xlfn.XLOOKUP(1, (Facturas_Odoo!$D:$D=A1078) * (Facturas_Odoo!$K:$K=I1078), Facturas_Odoo!$Q:$Q, 0), 0))</f>
        <v/>
      </c>
      <c r="X1078" s="79">
        <f>IF(OR(Q1078="Sin Factura",Q1078=""),"",IFERROR(INDEX(Pagos_Odoo!$B:$B, MATCH(Q1078, Pagos_Odoo!$I:$I, 0)), "Sin Pago"))</f>
        <v/>
      </c>
      <c r="Y1078" s="79">
        <f>IF(X1078="Sin Pago","",IFERROR(INDEX(Pagos_Odoo!$C:$C, MATCH(X1078, Pagos_Odoo!$B:$B, 0)), ""))</f>
        <v/>
      </c>
      <c r="Z1078" s="80">
        <f>IF(X1078="Sin Pago","",IFERROR(INDEX(Pagos_Odoo!$A:$A, MATCH(X1078, Pagos_Odoo!$B:$B, 0)), ""))</f>
        <v/>
      </c>
      <c r="AA1078" s="79">
        <f>IF(X1078="Sin Pago","",IFERROR(INDEX(Pagos_Odoo!$F:$F, MATCH(X1078, Pagos_Odoo!$B:$B, 0)), ""))</f>
        <v/>
      </c>
      <c r="AB1078" s="81">
        <f>IF(X1078="Sin Pago",0,IFERROR(INDEX(Pagos_Odoo!$E:$E, MATCH(X1078, Pagos_Odoo!$B:$B, 0)), 0))</f>
        <v/>
      </c>
      <c r="AC1078" s="79">
        <f>IF(X1078="Sin Pago","",IFERROR(INDEX(Pagos_Odoo!$G:$G, MATCH(X1078, Pagos_Odoo!$B:$B, 0)), ""))</f>
        <v/>
      </c>
      <c r="AD1078" s="82" t="n">
        <v>0</v>
      </c>
      <c r="AE1078" s="82" t="n"/>
      <c r="AF1078" s="82" t="n"/>
      <c r="AG1078" s="82">
        <f>IF(AN1078="","",AD1078+AE1078+AF1078)</f>
        <v/>
      </c>
      <c r="AH1078" s="81">
        <f>IF(AN1078="","",P1078*(1-AG1078))</f>
        <v/>
      </c>
      <c r="AI1078" s="81">
        <f>IF(AN1078="","",IF(Q1078="Sin Factura",0,IFERROR(INDEX(Facturas_Odoo!$H:$H, MATCH(Q1078, Facturas_Odoo!$B:$B, 0)), 0)*(1-AG1078)))</f>
        <v/>
      </c>
      <c r="AJ1078" s="81">
        <f>IF(AN1078="","",_xlfn.LET(idVenta, AN1078&amp;"",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78" s="81">
        <f>IF(AN1078="","",AH1078-AJ1078)</f>
        <v/>
      </c>
      <c r="AL1078" s="81">
        <f>IF(AN1078="","",IF(Q1078="Sin Factura","",AI1078-AJ1078))</f>
        <v/>
      </c>
      <c r="AM1078" s="81">
        <f>IF(AN1078="","",IF(Q1078="Sin Factura",0,P1078-IFERROR(INDEX(Facturas_Odoo!$H:$H, MATCH(Q1078, Facturas_Odoo!$B:$B, 0)), 0)))</f>
        <v/>
      </c>
      <c r="AN1078" s="79">
        <f>IF(AND(A1078="", J1078=""), "", IF(A1078&lt;&gt;"", VALUE(MID(A1078,2,LEN(A1078))), AN1077))</f>
        <v/>
      </c>
      <c r="AO1078" s="79">
        <f>IF(AN1078="","",IF(AD1078=0,"OK",_xlfn.LET(monedaPago, IF(AA1078="","USD",AA1078), limitePermitido, IFERROR(VLOOKUP(monedaPago, Configuración!$A$2:$B$3, 2, FALSE), 0.15), IF(AD1078&gt;limitePermitido, "ALERTA: EXCESO (" &amp; TEXT(limitePermitido, "0%") &amp; " máx)", "OK"))))</f>
        <v/>
      </c>
      <c r="AP1078" s="79">
        <f>IF(AN1078="","",IF(AE1078=0,"OK",_xlfn.LET(fechaPago, Z1078, fechaFactura, R1078, diasCredito, IF(E1078="Pago inmediato", 0, IFERROR(VALUE(MID(E1078, 1, SEARCH(" ", E1078)-1)),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78" s="79">
        <f>IF(AN1078="","",IF(AND(N1078&gt;0, AG1078&gt;0), IF(Configuración!$K$2="NO", "ALERTA: DESCUENTO DOBLE NO PERMITIDO", "OK"), "OK"))</f>
        <v/>
      </c>
      <c r="AR1078" s="79">
        <f>IF(AN1078="","",IF(OR(AO1078&lt;&gt;"OK", AP1078&lt;&gt;"OK", AQ1078&lt;&gt;"OK"), "⚠️ REVISAR", "OK"))</f>
        <v/>
      </c>
    </row>
    <row r="1079">
      <c r="A1079" s="79">
        <f>IF('Ordenes_Odoo'!A1079="","",'Ordenes_Odoo'!A1079)</f>
        <v/>
      </c>
      <c r="B1079" s="80">
        <f>IF('Ordenes_Odoo'!B1079="","",'Ordenes_Odoo'!B1079)</f>
        <v/>
      </c>
      <c r="C1079" s="79">
        <f>IF('Ordenes_Odoo'!C1079="","",'Ordenes_Odoo'!C1079)</f>
        <v/>
      </c>
      <c r="D1079" s="79">
        <f>IF('Ordenes_Odoo'!D1079="","",'Ordenes_Odoo'!D1079)</f>
        <v/>
      </c>
      <c r="E1079" s="79">
        <f>IF('Ordenes_Odoo'!E1079="","",'Ordenes_Odoo'!E1079)</f>
        <v/>
      </c>
      <c r="F1079" s="79">
        <f>IF('Ordenes_Odoo'!F1079="","",'Ordenes_Odoo'!F1079)</f>
        <v/>
      </c>
      <c r="G1079" s="79">
        <f>IF('Ordenes_Odoo'!G1079="","",'Ordenes_Odoo'!G1079)</f>
        <v/>
      </c>
      <c r="H1079" s="79">
        <f>IF('Ordenes_Odoo'!H1079="","",'Ordenes_Odoo'!H1079)</f>
        <v/>
      </c>
      <c r="I1079" s="79">
        <f>IF('Ordenes_Odoo'!I1079="","",'Ordenes_Odoo'!I1079)</f>
        <v/>
      </c>
      <c r="J1079" s="79">
        <f>IF('Ordenes_Odoo'!J1079="","",'Ordenes_Odoo'!J1079)</f>
        <v/>
      </c>
      <c r="K1079" s="81">
        <f>IF('Ordenes_Odoo'!K1079="","",'Ordenes_Odoo'!K1079)</f>
        <v/>
      </c>
      <c r="L1079" s="81">
        <f>IF('Ordenes_Odoo'!L1079="","",'Ordenes_Odoo'!L1079)</f>
        <v/>
      </c>
      <c r="M1079" s="79">
        <f>IF('Ordenes_Odoo'!M1079="","",'Ordenes_Odoo'!M1079)</f>
        <v/>
      </c>
      <c r="N1079" s="79">
        <f>IF('Ordenes_Odoo'!N1079="","",'Ordenes_Odoo'!N1079)</f>
        <v/>
      </c>
      <c r="O1079" s="81">
        <f>IF('Ordenes_Odoo'!O1079="","",'Ordenes_Odoo'!O1079)</f>
        <v/>
      </c>
      <c r="P1079" s="81">
        <f>IF('Ordenes_Odoo'!P1079="","",'Ordenes_Odoo'!P1079)</f>
        <v/>
      </c>
      <c r="Q1079" s="79">
        <f>IF(A1079="","",IFERROR(INDEX(Facturas_Odoo!$B:$B, MATCH(A1079, Facturas_Odoo!$D:$D, 0)), "Sin Factura"))</f>
        <v/>
      </c>
      <c r="R1079" s="80">
        <f>IF(Q1079="Sin Factura","",IFERROR(INDEX(Facturas_Odoo!$A:$A, MATCH(Q1079, Facturas_Odoo!$B:$B, 0)), ""))</f>
        <v/>
      </c>
      <c r="S1079" s="79">
        <f>IF(Q1079="Sin Factura","",IFERROR(_xlfn.XLOOKUP(1, (Facturas_Odoo!$D:$D=A1079) * (Facturas_Odoo!$K:$K=I1079), Facturas_Odoo!$L:$L, ""), ""))</f>
        <v/>
      </c>
      <c r="T1079" s="81">
        <f>IF(Q1079="Sin Factura",0,IFERROR(_xlfn.XLOOKUP(1, (Facturas_Odoo!$D:$D=A1079) * (Facturas_Odoo!$K:$K=I1079), Facturas_Odoo!$M:$M, 0), 0))</f>
        <v/>
      </c>
      <c r="U1079" s="79">
        <f>IF(Q1079="Sin Factura",0,IFERROR(_xlfn.XLOOKUP(1, (Facturas_Odoo!$D:$D=A1079) * (Facturas_Odoo!$K:$K=I1079), Facturas_Odoo!$N:$N, 0), 0))</f>
        <v/>
      </c>
      <c r="V1079" s="79">
        <f>IF(Q1079="Sin Factura",0,IFERROR(_xlfn.XLOOKUP(1, (Facturas_Odoo!$D:$D=A1079) * (Facturas_Odoo!$K:$K=I1079), Facturas_Odoo!$O:$O, 0), 0))</f>
        <v/>
      </c>
      <c r="W1079" s="81">
        <f>IF(Q1079="Sin Factura",0,IFERROR(_xlfn.XLOOKUP(1, (Facturas_Odoo!$D:$D=A1079) * (Facturas_Odoo!$K:$K=I1079), Facturas_Odoo!$Q:$Q, 0), 0))</f>
        <v/>
      </c>
      <c r="X1079" s="79">
        <f>IF(OR(Q1079="Sin Factura",Q1079=""),"",IFERROR(INDEX(Pagos_Odoo!$B:$B, MATCH(Q1079, Pagos_Odoo!$I:$I, 0)), "Sin Pago"))</f>
        <v/>
      </c>
      <c r="Y1079" s="79">
        <f>IF(X1079="Sin Pago","",IFERROR(INDEX(Pagos_Odoo!$C:$C, MATCH(X1079, Pagos_Odoo!$B:$B, 0)), ""))</f>
        <v/>
      </c>
      <c r="Z1079" s="80">
        <f>IF(X1079="Sin Pago","",IFERROR(INDEX(Pagos_Odoo!$A:$A, MATCH(X1079, Pagos_Odoo!$B:$B, 0)), ""))</f>
        <v/>
      </c>
      <c r="AA1079" s="79">
        <f>IF(X1079="Sin Pago","",IFERROR(INDEX(Pagos_Odoo!$F:$F, MATCH(X1079, Pagos_Odoo!$B:$B, 0)), ""))</f>
        <v/>
      </c>
      <c r="AB1079" s="81">
        <f>IF(X1079="Sin Pago",0,IFERROR(INDEX(Pagos_Odoo!$E:$E, MATCH(X1079, Pagos_Odoo!$B:$B, 0)), 0))</f>
        <v/>
      </c>
      <c r="AC1079" s="79">
        <f>IF(X1079="Sin Pago","",IFERROR(INDEX(Pagos_Odoo!$G:$G, MATCH(X1079, Pagos_Odoo!$B:$B, 0)), ""))</f>
        <v/>
      </c>
      <c r="AD1079" s="82" t="n">
        <v>0</v>
      </c>
      <c r="AE1079" s="82" t="n"/>
      <c r="AF1079" s="82" t="n"/>
      <c r="AG1079" s="82">
        <f>IF(AN1079="","",AD1079+AE1079+AF1079)</f>
        <v/>
      </c>
      <c r="AH1079" s="81">
        <f>IF(AN1079="","",P1079*(1-AG1079))</f>
        <v/>
      </c>
      <c r="AI1079" s="81">
        <f>IF(AN1079="","",IF(Q1079="Sin Factura",0,IFERROR(INDEX(Facturas_Odoo!$H:$H, MATCH(Q1079, Facturas_Odoo!$B:$B, 0)), 0)*(1-AG1079)))</f>
        <v/>
      </c>
      <c r="AJ1079" s="81">
        <f>IF(AN1079="","",_xlfn.LET(idVenta, AN1079&amp;"",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79" s="81">
        <f>IF(AN1079="","",AH1079-AJ1079)</f>
        <v/>
      </c>
      <c r="AL1079" s="81">
        <f>IF(AN1079="","",IF(Q1079="Sin Factura","",AI1079-AJ1079))</f>
        <v/>
      </c>
      <c r="AM1079" s="81">
        <f>IF(AN1079="","",IF(Q1079="Sin Factura",0,P1079-IFERROR(INDEX(Facturas_Odoo!$H:$H, MATCH(Q1079, Facturas_Odoo!$B:$B, 0)), 0)))</f>
        <v/>
      </c>
      <c r="AN1079" s="79">
        <f>IF(AND(A1079="", J1079=""), "", IF(A1079&lt;&gt;"", VALUE(MID(A1079,2,LEN(A1079))), AN1078))</f>
        <v/>
      </c>
      <c r="AO1079" s="79">
        <f>IF(AN1079="","",IF(AD1079=0,"OK",_xlfn.LET(monedaPago, IF(AA1079="","USD",AA1079), limitePermitido, IFERROR(VLOOKUP(monedaPago, Configuración!$A$2:$B$3, 2, FALSE), 0.15), IF(AD1079&gt;limitePermitido, "ALERTA: EXCESO (" &amp; TEXT(limitePermitido, "0%") &amp; " máx)", "OK"))))</f>
        <v/>
      </c>
      <c r="AP1079" s="79">
        <f>IF(AN1079="","",IF(AE1079=0,"OK",_xlfn.LET(fechaPago, Z1079, fechaFactura, R1079, diasCredito, IF(E1079="Pago inmediato", 0, IFERROR(VALUE(MID(E1079, 1, SEARCH(" ", E1079)-1)),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79" s="79">
        <f>IF(AN1079="","",IF(AND(N1079&gt;0, AG1079&gt;0), IF(Configuración!$K$2="NO", "ALERTA: DESCUENTO DOBLE NO PERMITIDO", "OK"), "OK"))</f>
        <v/>
      </c>
      <c r="AR1079" s="79">
        <f>IF(AN1079="","",IF(OR(AO1079&lt;&gt;"OK", AP1079&lt;&gt;"OK", AQ1079&lt;&gt;"OK"), "⚠️ REVISAR", "OK"))</f>
        <v/>
      </c>
    </row>
    <row r="1080">
      <c r="A1080" s="79">
        <f>IF('Ordenes_Odoo'!A1080="","",'Ordenes_Odoo'!A1080)</f>
        <v/>
      </c>
      <c r="B1080" s="80">
        <f>IF('Ordenes_Odoo'!B1080="","",'Ordenes_Odoo'!B1080)</f>
        <v/>
      </c>
      <c r="C1080" s="79">
        <f>IF('Ordenes_Odoo'!C1080="","",'Ordenes_Odoo'!C1080)</f>
        <v/>
      </c>
      <c r="D1080" s="79">
        <f>IF('Ordenes_Odoo'!D1080="","",'Ordenes_Odoo'!D1080)</f>
        <v/>
      </c>
      <c r="E1080" s="79">
        <f>IF('Ordenes_Odoo'!E1080="","",'Ordenes_Odoo'!E1080)</f>
        <v/>
      </c>
      <c r="F1080" s="79">
        <f>IF('Ordenes_Odoo'!F1080="","",'Ordenes_Odoo'!F1080)</f>
        <v/>
      </c>
      <c r="G1080" s="79">
        <f>IF('Ordenes_Odoo'!G1080="","",'Ordenes_Odoo'!G1080)</f>
        <v/>
      </c>
      <c r="H1080" s="79">
        <f>IF('Ordenes_Odoo'!H1080="","",'Ordenes_Odoo'!H1080)</f>
        <v/>
      </c>
      <c r="I1080" s="79">
        <f>IF('Ordenes_Odoo'!I1080="","",'Ordenes_Odoo'!I1080)</f>
        <v/>
      </c>
      <c r="J1080" s="79">
        <f>IF('Ordenes_Odoo'!J1080="","",'Ordenes_Odoo'!J1080)</f>
        <v/>
      </c>
      <c r="K1080" s="81">
        <f>IF('Ordenes_Odoo'!K1080="","",'Ordenes_Odoo'!K1080)</f>
        <v/>
      </c>
      <c r="L1080" s="81">
        <f>IF('Ordenes_Odoo'!L1080="","",'Ordenes_Odoo'!L1080)</f>
        <v/>
      </c>
      <c r="M1080" s="79">
        <f>IF('Ordenes_Odoo'!M1080="","",'Ordenes_Odoo'!M1080)</f>
        <v/>
      </c>
      <c r="N1080" s="79">
        <f>IF('Ordenes_Odoo'!N1080="","",'Ordenes_Odoo'!N1080)</f>
        <v/>
      </c>
      <c r="O1080" s="81">
        <f>IF('Ordenes_Odoo'!O1080="","",'Ordenes_Odoo'!O1080)</f>
        <v/>
      </c>
      <c r="P1080" s="81">
        <f>IF('Ordenes_Odoo'!P1080="","",'Ordenes_Odoo'!P1080)</f>
        <v/>
      </c>
      <c r="Q1080" s="79">
        <f>IF(A1080="","",IFERROR(INDEX(Facturas_Odoo!$B:$B, MATCH(A1080, Facturas_Odoo!$D:$D, 0)), "Sin Factura"))</f>
        <v/>
      </c>
      <c r="R1080" s="80">
        <f>IF(Q1080="Sin Factura","",IFERROR(INDEX(Facturas_Odoo!$A:$A, MATCH(Q1080, Facturas_Odoo!$B:$B, 0)), ""))</f>
        <v/>
      </c>
      <c r="S1080" s="79">
        <f>IF(Q1080="Sin Factura","",IFERROR(_xlfn.XLOOKUP(1, (Facturas_Odoo!$D:$D=A1080) * (Facturas_Odoo!$K:$K=I1080), Facturas_Odoo!$L:$L, ""), ""))</f>
        <v/>
      </c>
      <c r="T1080" s="81">
        <f>IF(Q1080="Sin Factura",0,IFERROR(_xlfn.XLOOKUP(1, (Facturas_Odoo!$D:$D=A1080) * (Facturas_Odoo!$K:$K=I1080), Facturas_Odoo!$M:$M, 0), 0))</f>
        <v/>
      </c>
      <c r="U1080" s="79">
        <f>IF(Q1080="Sin Factura",0,IFERROR(_xlfn.XLOOKUP(1, (Facturas_Odoo!$D:$D=A1080) * (Facturas_Odoo!$K:$K=I1080), Facturas_Odoo!$N:$N, 0), 0))</f>
        <v/>
      </c>
      <c r="V1080" s="79">
        <f>IF(Q1080="Sin Factura",0,IFERROR(_xlfn.XLOOKUP(1, (Facturas_Odoo!$D:$D=A1080) * (Facturas_Odoo!$K:$K=I1080), Facturas_Odoo!$O:$O, 0), 0))</f>
        <v/>
      </c>
      <c r="W1080" s="81">
        <f>IF(Q1080="Sin Factura",0,IFERROR(_xlfn.XLOOKUP(1, (Facturas_Odoo!$D:$D=A1080) * (Facturas_Odoo!$K:$K=I1080), Facturas_Odoo!$Q:$Q, 0), 0))</f>
        <v/>
      </c>
      <c r="X1080" s="79">
        <f>IF(OR(Q1080="Sin Factura",Q1080=""),"",IFERROR(INDEX(Pagos_Odoo!$B:$B, MATCH(Q1080, Pagos_Odoo!$I:$I, 0)), "Sin Pago"))</f>
        <v/>
      </c>
      <c r="Y1080" s="79">
        <f>IF(X1080="Sin Pago","",IFERROR(INDEX(Pagos_Odoo!$C:$C, MATCH(X1080, Pagos_Odoo!$B:$B, 0)), ""))</f>
        <v/>
      </c>
      <c r="Z1080" s="80">
        <f>IF(X1080="Sin Pago","",IFERROR(INDEX(Pagos_Odoo!$A:$A, MATCH(X1080, Pagos_Odoo!$B:$B, 0)), ""))</f>
        <v/>
      </c>
      <c r="AA1080" s="79">
        <f>IF(X1080="Sin Pago","",IFERROR(INDEX(Pagos_Odoo!$F:$F, MATCH(X1080, Pagos_Odoo!$B:$B, 0)), ""))</f>
        <v/>
      </c>
      <c r="AB1080" s="81">
        <f>IF(X1080="Sin Pago",0,IFERROR(INDEX(Pagos_Odoo!$E:$E, MATCH(X1080, Pagos_Odoo!$B:$B, 0)), 0))</f>
        <v/>
      </c>
      <c r="AC1080" s="79">
        <f>IF(X1080="Sin Pago","",IFERROR(INDEX(Pagos_Odoo!$G:$G, MATCH(X1080, Pagos_Odoo!$B:$B, 0)), ""))</f>
        <v/>
      </c>
      <c r="AD1080" s="82" t="n">
        <v>0</v>
      </c>
      <c r="AE1080" s="82" t="n"/>
      <c r="AF1080" s="82" t="n"/>
      <c r="AG1080" s="82">
        <f>IF(AN1080="","",AD1080+AE1080+AF1080)</f>
        <v/>
      </c>
      <c r="AH1080" s="81">
        <f>IF(AN1080="","",P1080*(1-AG1080))</f>
        <v/>
      </c>
      <c r="AI1080" s="81">
        <f>IF(AN1080="","",IF(Q1080="Sin Factura",0,IFERROR(INDEX(Facturas_Odoo!$H:$H, MATCH(Q1080, Facturas_Odoo!$B:$B, 0)), 0)*(1-AG1080)))</f>
        <v/>
      </c>
      <c r="AJ1080" s="81">
        <f>IF(AN1080="","",_xlfn.LET(idVenta, AN1080&amp;"",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80" s="81">
        <f>IF(AN1080="","",AH1080-AJ1080)</f>
        <v/>
      </c>
      <c r="AL1080" s="81">
        <f>IF(AN1080="","",IF(Q1080="Sin Factura","",AI1080-AJ1080))</f>
        <v/>
      </c>
      <c r="AM1080" s="81">
        <f>IF(AN1080="","",IF(Q1080="Sin Factura",0,P1080-IFERROR(INDEX(Facturas_Odoo!$H:$H, MATCH(Q1080, Facturas_Odoo!$B:$B, 0)), 0)))</f>
        <v/>
      </c>
      <c r="AN1080" s="79">
        <f>IF(AND(A1080="", J1080=""), "", IF(A1080&lt;&gt;"", VALUE(MID(A1080,2,LEN(A1080))), AN1079))</f>
        <v/>
      </c>
      <c r="AO1080" s="79">
        <f>IF(AN1080="","",IF(AD1080=0,"OK",_xlfn.LET(monedaPago, IF(AA1080="","USD",AA1080), limitePermitido, IFERROR(VLOOKUP(monedaPago, Configuración!$A$2:$B$3, 2, FALSE), 0.15), IF(AD1080&gt;limitePermitido, "ALERTA: EXCESO (" &amp; TEXT(limitePermitido, "0%") &amp; " máx)", "OK"))))</f>
        <v/>
      </c>
      <c r="AP1080" s="79">
        <f>IF(AN1080="","",IF(AE1080=0,"OK",_xlfn.LET(fechaPago, Z1080, fechaFactura, R1080, diasCredito, IF(E1080="Pago inmediato", 0, IFERROR(VALUE(MID(E1080, 1, SEARCH(" ", E1080)-1)),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80" s="79">
        <f>IF(AN1080="","",IF(AND(N1080&gt;0, AG1080&gt;0), IF(Configuración!$K$2="NO", "ALERTA: DESCUENTO DOBLE NO PERMITIDO", "OK"), "OK"))</f>
        <v/>
      </c>
      <c r="AR1080" s="79">
        <f>IF(AN1080="","",IF(OR(AO1080&lt;&gt;"OK", AP1080&lt;&gt;"OK", AQ1080&lt;&gt;"OK"), "⚠️ REVISAR", "OK"))</f>
        <v/>
      </c>
    </row>
    <row r="1081">
      <c r="A1081" s="79">
        <f>IF('Ordenes_Odoo'!A1081="","",'Ordenes_Odoo'!A1081)</f>
        <v/>
      </c>
      <c r="B1081" s="80">
        <f>IF('Ordenes_Odoo'!B1081="","",'Ordenes_Odoo'!B1081)</f>
        <v/>
      </c>
      <c r="C1081" s="79">
        <f>IF('Ordenes_Odoo'!C1081="","",'Ordenes_Odoo'!C1081)</f>
        <v/>
      </c>
      <c r="D1081" s="79">
        <f>IF('Ordenes_Odoo'!D1081="","",'Ordenes_Odoo'!D1081)</f>
        <v/>
      </c>
      <c r="E1081" s="79">
        <f>IF('Ordenes_Odoo'!E1081="","",'Ordenes_Odoo'!E1081)</f>
        <v/>
      </c>
      <c r="F1081" s="79">
        <f>IF('Ordenes_Odoo'!F1081="","",'Ordenes_Odoo'!F1081)</f>
        <v/>
      </c>
      <c r="G1081" s="79">
        <f>IF('Ordenes_Odoo'!G1081="","",'Ordenes_Odoo'!G1081)</f>
        <v/>
      </c>
      <c r="H1081" s="79">
        <f>IF('Ordenes_Odoo'!H1081="","",'Ordenes_Odoo'!H1081)</f>
        <v/>
      </c>
      <c r="I1081" s="79">
        <f>IF('Ordenes_Odoo'!I1081="","",'Ordenes_Odoo'!I1081)</f>
        <v/>
      </c>
      <c r="J1081" s="79">
        <f>IF('Ordenes_Odoo'!J1081="","",'Ordenes_Odoo'!J1081)</f>
        <v/>
      </c>
      <c r="K1081" s="81">
        <f>IF('Ordenes_Odoo'!K1081="","",'Ordenes_Odoo'!K1081)</f>
        <v/>
      </c>
      <c r="L1081" s="81">
        <f>IF('Ordenes_Odoo'!L1081="","",'Ordenes_Odoo'!L1081)</f>
        <v/>
      </c>
      <c r="M1081" s="79">
        <f>IF('Ordenes_Odoo'!M1081="","",'Ordenes_Odoo'!M1081)</f>
        <v/>
      </c>
      <c r="N1081" s="79">
        <f>IF('Ordenes_Odoo'!N1081="","",'Ordenes_Odoo'!N1081)</f>
        <v/>
      </c>
      <c r="O1081" s="81">
        <f>IF('Ordenes_Odoo'!O1081="","",'Ordenes_Odoo'!O1081)</f>
        <v/>
      </c>
      <c r="P1081" s="81">
        <f>IF('Ordenes_Odoo'!P1081="","",'Ordenes_Odoo'!P1081)</f>
        <v/>
      </c>
      <c r="Q1081" s="79">
        <f>IF(A1081="","",IFERROR(INDEX(Facturas_Odoo!$B:$B, MATCH(A1081, Facturas_Odoo!$D:$D, 0)), "Sin Factura"))</f>
        <v/>
      </c>
      <c r="R1081" s="80">
        <f>IF(Q1081="Sin Factura","",IFERROR(INDEX(Facturas_Odoo!$A:$A, MATCH(Q1081, Facturas_Odoo!$B:$B, 0)), ""))</f>
        <v/>
      </c>
      <c r="S1081" s="79">
        <f>IF(Q1081="Sin Factura","",IFERROR(_xlfn.XLOOKUP(1, (Facturas_Odoo!$D:$D=A1081) * (Facturas_Odoo!$K:$K=I1081), Facturas_Odoo!$L:$L, ""), ""))</f>
        <v/>
      </c>
      <c r="T1081" s="81">
        <f>IF(Q1081="Sin Factura",0,IFERROR(_xlfn.XLOOKUP(1, (Facturas_Odoo!$D:$D=A1081) * (Facturas_Odoo!$K:$K=I1081), Facturas_Odoo!$M:$M, 0), 0))</f>
        <v/>
      </c>
      <c r="U1081" s="79">
        <f>IF(Q1081="Sin Factura",0,IFERROR(_xlfn.XLOOKUP(1, (Facturas_Odoo!$D:$D=A1081) * (Facturas_Odoo!$K:$K=I1081), Facturas_Odoo!$N:$N, 0), 0))</f>
        <v/>
      </c>
      <c r="V1081" s="79">
        <f>IF(Q1081="Sin Factura",0,IFERROR(_xlfn.XLOOKUP(1, (Facturas_Odoo!$D:$D=A1081) * (Facturas_Odoo!$K:$K=I1081), Facturas_Odoo!$O:$O, 0), 0))</f>
        <v/>
      </c>
      <c r="W1081" s="81">
        <f>IF(Q1081="Sin Factura",0,IFERROR(_xlfn.XLOOKUP(1, (Facturas_Odoo!$D:$D=A1081) * (Facturas_Odoo!$K:$K=I1081), Facturas_Odoo!$Q:$Q, 0), 0))</f>
        <v/>
      </c>
      <c r="X1081" s="79">
        <f>IF(OR(Q1081="Sin Factura",Q1081=""),"",IFERROR(INDEX(Pagos_Odoo!$B:$B, MATCH(Q1081, Pagos_Odoo!$I:$I, 0)), "Sin Pago"))</f>
        <v/>
      </c>
      <c r="Y1081" s="79">
        <f>IF(X1081="Sin Pago","",IFERROR(INDEX(Pagos_Odoo!$C:$C, MATCH(X1081, Pagos_Odoo!$B:$B, 0)), ""))</f>
        <v/>
      </c>
      <c r="Z1081" s="80">
        <f>IF(X1081="Sin Pago","",IFERROR(INDEX(Pagos_Odoo!$A:$A, MATCH(X1081, Pagos_Odoo!$B:$B, 0)), ""))</f>
        <v/>
      </c>
      <c r="AA1081" s="79">
        <f>IF(X1081="Sin Pago","",IFERROR(INDEX(Pagos_Odoo!$F:$F, MATCH(X1081, Pagos_Odoo!$B:$B, 0)), ""))</f>
        <v/>
      </c>
      <c r="AB1081" s="81">
        <f>IF(X1081="Sin Pago",0,IFERROR(INDEX(Pagos_Odoo!$E:$E, MATCH(X1081, Pagos_Odoo!$B:$B, 0)), 0))</f>
        <v/>
      </c>
      <c r="AC1081" s="79">
        <f>IF(X1081="Sin Pago","",IFERROR(INDEX(Pagos_Odoo!$G:$G, MATCH(X1081, Pagos_Odoo!$B:$B, 0)), ""))</f>
        <v/>
      </c>
      <c r="AD1081" s="82" t="n">
        <v>0</v>
      </c>
      <c r="AE1081" s="82" t="n"/>
      <c r="AF1081" s="82" t="n"/>
      <c r="AG1081" s="82">
        <f>IF(AN1081="","",AD1081+AE1081+AF1081)</f>
        <v/>
      </c>
      <c r="AH1081" s="81">
        <f>IF(AN1081="","",P1081*(1-AG1081))</f>
        <v/>
      </c>
      <c r="AI1081" s="81">
        <f>IF(AN1081="","",IF(Q1081="Sin Factura",0,IFERROR(INDEX(Facturas_Odoo!$H:$H, MATCH(Q1081, Facturas_Odoo!$B:$B, 0)), 0)*(1-AG1081)))</f>
        <v/>
      </c>
      <c r="AJ1081" s="81">
        <f>IF(AN1081="","",_xlfn.LET(idVenta, AN1081&amp;"",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81" s="81">
        <f>IF(AN1081="","",AH1081-AJ1081)</f>
        <v/>
      </c>
      <c r="AL1081" s="81">
        <f>IF(AN1081="","",IF(Q1081="Sin Factura","",AI1081-AJ1081))</f>
        <v/>
      </c>
      <c r="AM1081" s="81">
        <f>IF(AN1081="","",IF(Q1081="Sin Factura",0,P1081-IFERROR(INDEX(Facturas_Odoo!$H:$H, MATCH(Q1081, Facturas_Odoo!$B:$B, 0)), 0)))</f>
        <v/>
      </c>
      <c r="AN1081" s="79">
        <f>IF(AND(A1081="", J1081=""), "", IF(A1081&lt;&gt;"", VALUE(MID(A1081,2,LEN(A1081))), AN1080))</f>
        <v/>
      </c>
      <c r="AO1081" s="79">
        <f>IF(AN1081="","",IF(AD1081=0,"OK",_xlfn.LET(monedaPago, IF(AA1081="","USD",AA1081), limitePermitido, IFERROR(VLOOKUP(monedaPago, Configuración!$A$2:$B$3, 2, FALSE), 0.15), IF(AD1081&gt;limitePermitido, "ALERTA: EXCESO (" &amp; TEXT(limitePermitido, "0%") &amp; " máx)", "OK"))))</f>
        <v/>
      </c>
      <c r="AP1081" s="79">
        <f>IF(AN1081="","",IF(AE1081=0,"OK",_xlfn.LET(fechaPago, Z1081, fechaFactura, R1081, diasCredito, IF(E1081="Pago inmediato", 0, IFERROR(VALUE(MID(E1081, 1, SEARCH(" ", E1081)-1)),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81" s="79">
        <f>IF(AN1081="","",IF(AND(N1081&gt;0, AG1081&gt;0), IF(Configuración!$K$2="NO", "ALERTA: DESCUENTO DOBLE NO PERMITIDO", "OK"), "OK"))</f>
        <v/>
      </c>
      <c r="AR1081" s="79">
        <f>IF(AN1081="","",IF(OR(AO1081&lt;&gt;"OK", AP1081&lt;&gt;"OK", AQ1081&lt;&gt;"OK"), "⚠️ REVISAR", "OK"))</f>
        <v/>
      </c>
    </row>
    <row r="1082">
      <c r="A1082" s="79">
        <f>IF('Ordenes_Odoo'!A1082="","",'Ordenes_Odoo'!A1082)</f>
        <v/>
      </c>
      <c r="B1082" s="80">
        <f>IF('Ordenes_Odoo'!B1082="","",'Ordenes_Odoo'!B1082)</f>
        <v/>
      </c>
      <c r="C1082" s="79">
        <f>IF('Ordenes_Odoo'!C1082="","",'Ordenes_Odoo'!C1082)</f>
        <v/>
      </c>
      <c r="D1082" s="79">
        <f>IF('Ordenes_Odoo'!D1082="","",'Ordenes_Odoo'!D1082)</f>
        <v/>
      </c>
      <c r="E1082" s="79">
        <f>IF('Ordenes_Odoo'!E1082="","",'Ordenes_Odoo'!E1082)</f>
        <v/>
      </c>
      <c r="F1082" s="79">
        <f>IF('Ordenes_Odoo'!F1082="","",'Ordenes_Odoo'!F1082)</f>
        <v/>
      </c>
      <c r="G1082" s="79">
        <f>IF('Ordenes_Odoo'!G1082="","",'Ordenes_Odoo'!G1082)</f>
        <v/>
      </c>
      <c r="H1082" s="79">
        <f>IF('Ordenes_Odoo'!H1082="","",'Ordenes_Odoo'!H1082)</f>
        <v/>
      </c>
      <c r="I1082" s="79">
        <f>IF('Ordenes_Odoo'!I1082="","",'Ordenes_Odoo'!I1082)</f>
        <v/>
      </c>
      <c r="J1082" s="79">
        <f>IF('Ordenes_Odoo'!J1082="","",'Ordenes_Odoo'!J1082)</f>
        <v/>
      </c>
      <c r="K1082" s="81">
        <f>IF('Ordenes_Odoo'!K1082="","",'Ordenes_Odoo'!K1082)</f>
        <v/>
      </c>
      <c r="L1082" s="81">
        <f>IF('Ordenes_Odoo'!L1082="","",'Ordenes_Odoo'!L1082)</f>
        <v/>
      </c>
      <c r="M1082" s="79">
        <f>IF('Ordenes_Odoo'!M1082="","",'Ordenes_Odoo'!M1082)</f>
        <v/>
      </c>
      <c r="N1082" s="79">
        <f>IF('Ordenes_Odoo'!N1082="","",'Ordenes_Odoo'!N1082)</f>
        <v/>
      </c>
      <c r="O1082" s="81">
        <f>IF('Ordenes_Odoo'!O1082="","",'Ordenes_Odoo'!O1082)</f>
        <v/>
      </c>
      <c r="P1082" s="81">
        <f>IF('Ordenes_Odoo'!P1082="","",'Ordenes_Odoo'!P1082)</f>
        <v/>
      </c>
      <c r="Q1082" s="79">
        <f>IF(A1082="","",IFERROR(INDEX(Facturas_Odoo!$B:$B, MATCH(A1082, Facturas_Odoo!$D:$D, 0)), "Sin Factura"))</f>
        <v/>
      </c>
      <c r="R1082" s="80">
        <f>IF(Q1082="Sin Factura","",IFERROR(INDEX(Facturas_Odoo!$A:$A, MATCH(Q1082, Facturas_Odoo!$B:$B, 0)), ""))</f>
        <v/>
      </c>
      <c r="S1082" s="79">
        <f>IF(Q1082="Sin Factura","",IFERROR(_xlfn.XLOOKUP(1, (Facturas_Odoo!$D:$D=A1082) * (Facturas_Odoo!$K:$K=I1082), Facturas_Odoo!$L:$L, ""), ""))</f>
        <v/>
      </c>
      <c r="T1082" s="81">
        <f>IF(Q1082="Sin Factura",0,IFERROR(_xlfn.XLOOKUP(1, (Facturas_Odoo!$D:$D=A1082) * (Facturas_Odoo!$K:$K=I1082), Facturas_Odoo!$M:$M, 0), 0))</f>
        <v/>
      </c>
      <c r="U1082" s="79">
        <f>IF(Q1082="Sin Factura",0,IFERROR(_xlfn.XLOOKUP(1, (Facturas_Odoo!$D:$D=A1082) * (Facturas_Odoo!$K:$K=I1082), Facturas_Odoo!$N:$N, 0), 0))</f>
        <v/>
      </c>
      <c r="V1082" s="79">
        <f>IF(Q1082="Sin Factura",0,IFERROR(_xlfn.XLOOKUP(1, (Facturas_Odoo!$D:$D=A1082) * (Facturas_Odoo!$K:$K=I1082), Facturas_Odoo!$O:$O, 0), 0))</f>
        <v/>
      </c>
      <c r="W1082" s="81">
        <f>IF(Q1082="Sin Factura",0,IFERROR(_xlfn.XLOOKUP(1, (Facturas_Odoo!$D:$D=A1082) * (Facturas_Odoo!$K:$K=I1082), Facturas_Odoo!$Q:$Q, 0), 0))</f>
        <v/>
      </c>
      <c r="X1082" s="79">
        <f>IF(OR(Q1082="Sin Factura",Q1082=""),"",IFERROR(INDEX(Pagos_Odoo!$B:$B, MATCH(Q1082, Pagos_Odoo!$I:$I, 0)), "Sin Pago"))</f>
        <v/>
      </c>
      <c r="Y1082" s="79">
        <f>IF(X1082="Sin Pago","",IFERROR(INDEX(Pagos_Odoo!$C:$C, MATCH(X1082, Pagos_Odoo!$B:$B, 0)), ""))</f>
        <v/>
      </c>
      <c r="Z1082" s="80">
        <f>IF(X1082="Sin Pago","",IFERROR(INDEX(Pagos_Odoo!$A:$A, MATCH(X1082, Pagos_Odoo!$B:$B, 0)), ""))</f>
        <v/>
      </c>
      <c r="AA1082" s="79">
        <f>IF(X1082="Sin Pago","",IFERROR(INDEX(Pagos_Odoo!$F:$F, MATCH(X1082, Pagos_Odoo!$B:$B, 0)), ""))</f>
        <v/>
      </c>
      <c r="AB1082" s="81">
        <f>IF(X1082="Sin Pago",0,IFERROR(INDEX(Pagos_Odoo!$E:$E, MATCH(X1082, Pagos_Odoo!$B:$B, 0)), 0))</f>
        <v/>
      </c>
      <c r="AC1082" s="79">
        <f>IF(X1082="Sin Pago","",IFERROR(INDEX(Pagos_Odoo!$G:$G, MATCH(X1082, Pagos_Odoo!$B:$B, 0)), ""))</f>
        <v/>
      </c>
      <c r="AD1082" s="82" t="n">
        <v>0</v>
      </c>
      <c r="AE1082" s="82" t="n"/>
      <c r="AF1082" s="82" t="n"/>
      <c r="AG1082" s="82">
        <f>IF(AN1082="","",AD1082+AE1082+AF1082)</f>
        <v/>
      </c>
      <c r="AH1082" s="81">
        <f>IF(AN1082="","",P1082*(1-AG1082))</f>
        <v/>
      </c>
      <c r="AI1082" s="81">
        <f>IF(AN1082="","",IF(Q1082="Sin Factura",0,IFERROR(INDEX(Facturas_Odoo!$H:$H, MATCH(Q1082, Facturas_Odoo!$B:$B, 0)), 0)*(1-AG1082)))</f>
        <v/>
      </c>
      <c r="AJ1082" s="81">
        <f>IF(AN1082="","",_xlfn.LET(idVenta, AN1082&amp;"",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82" s="81">
        <f>IF(AN1082="","",AH1082-AJ1082)</f>
        <v/>
      </c>
      <c r="AL1082" s="81">
        <f>IF(AN1082="","",IF(Q1082="Sin Factura","",AI1082-AJ1082))</f>
        <v/>
      </c>
      <c r="AM1082" s="81">
        <f>IF(AN1082="","",IF(Q1082="Sin Factura",0,P1082-IFERROR(INDEX(Facturas_Odoo!$H:$H, MATCH(Q1082, Facturas_Odoo!$B:$B, 0)), 0)))</f>
        <v/>
      </c>
      <c r="AN1082" s="79">
        <f>IF(AND(A1082="", J1082=""), "", IF(A1082&lt;&gt;"", VALUE(MID(A1082,2,LEN(A1082))), AN1081))</f>
        <v/>
      </c>
      <c r="AO1082" s="79">
        <f>IF(AN1082="","",IF(AD1082=0,"OK",_xlfn.LET(monedaPago, IF(AA1082="","USD",AA1082), limitePermitido, IFERROR(VLOOKUP(monedaPago, Configuración!$A$2:$B$3, 2, FALSE), 0.15), IF(AD1082&gt;limitePermitido, "ALERTA: EXCESO (" &amp; TEXT(limitePermitido, "0%") &amp; " máx)", "OK"))))</f>
        <v/>
      </c>
      <c r="AP1082" s="79">
        <f>IF(AN1082="","",IF(AE1082=0,"OK",_xlfn.LET(fechaPago, Z1082, fechaFactura, R1082, diasCredito, IF(E1082="Pago inmediato", 0, IFERROR(VALUE(MID(E1082, 1, SEARCH(" ", E1082)-1)),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82" s="79">
        <f>IF(AN1082="","",IF(AND(N1082&gt;0, AG1082&gt;0), IF(Configuración!$K$2="NO", "ALERTA: DESCUENTO DOBLE NO PERMITIDO", "OK"), "OK"))</f>
        <v/>
      </c>
      <c r="AR1082" s="79">
        <f>IF(AN1082="","",IF(OR(AO1082&lt;&gt;"OK", AP1082&lt;&gt;"OK", AQ1082&lt;&gt;"OK"), "⚠️ REVISAR", "OK"))</f>
        <v/>
      </c>
    </row>
    <row r="1083">
      <c r="A1083" s="79">
        <f>IF('Ordenes_Odoo'!A1083="","",'Ordenes_Odoo'!A1083)</f>
        <v/>
      </c>
      <c r="B1083" s="80">
        <f>IF('Ordenes_Odoo'!B1083="","",'Ordenes_Odoo'!B1083)</f>
        <v/>
      </c>
      <c r="C1083" s="79">
        <f>IF('Ordenes_Odoo'!C1083="","",'Ordenes_Odoo'!C1083)</f>
        <v/>
      </c>
      <c r="D1083" s="79">
        <f>IF('Ordenes_Odoo'!D1083="","",'Ordenes_Odoo'!D1083)</f>
        <v/>
      </c>
      <c r="E1083" s="79">
        <f>IF('Ordenes_Odoo'!E1083="","",'Ordenes_Odoo'!E1083)</f>
        <v/>
      </c>
      <c r="F1083" s="79">
        <f>IF('Ordenes_Odoo'!F1083="","",'Ordenes_Odoo'!F1083)</f>
        <v/>
      </c>
      <c r="G1083" s="79">
        <f>IF('Ordenes_Odoo'!G1083="","",'Ordenes_Odoo'!G1083)</f>
        <v/>
      </c>
      <c r="H1083" s="79">
        <f>IF('Ordenes_Odoo'!H1083="","",'Ordenes_Odoo'!H1083)</f>
        <v/>
      </c>
      <c r="I1083" s="79">
        <f>IF('Ordenes_Odoo'!I1083="","",'Ordenes_Odoo'!I1083)</f>
        <v/>
      </c>
      <c r="J1083" s="79">
        <f>IF('Ordenes_Odoo'!J1083="","",'Ordenes_Odoo'!J1083)</f>
        <v/>
      </c>
      <c r="K1083" s="81">
        <f>IF('Ordenes_Odoo'!K1083="","",'Ordenes_Odoo'!K1083)</f>
        <v/>
      </c>
      <c r="L1083" s="81">
        <f>IF('Ordenes_Odoo'!L1083="","",'Ordenes_Odoo'!L1083)</f>
        <v/>
      </c>
      <c r="M1083" s="79">
        <f>IF('Ordenes_Odoo'!M1083="","",'Ordenes_Odoo'!M1083)</f>
        <v/>
      </c>
      <c r="N1083" s="79">
        <f>IF('Ordenes_Odoo'!N1083="","",'Ordenes_Odoo'!N1083)</f>
        <v/>
      </c>
      <c r="O1083" s="81">
        <f>IF('Ordenes_Odoo'!O1083="","",'Ordenes_Odoo'!O1083)</f>
        <v/>
      </c>
      <c r="P1083" s="81">
        <f>IF('Ordenes_Odoo'!P1083="","",'Ordenes_Odoo'!P1083)</f>
        <v/>
      </c>
      <c r="Q1083" s="79">
        <f>IF(A1083="","",IFERROR(INDEX(Facturas_Odoo!$B:$B, MATCH(A1083, Facturas_Odoo!$D:$D, 0)), "Sin Factura"))</f>
        <v/>
      </c>
      <c r="R1083" s="80">
        <f>IF(Q1083="Sin Factura","",IFERROR(INDEX(Facturas_Odoo!$A:$A, MATCH(Q1083, Facturas_Odoo!$B:$B, 0)), ""))</f>
        <v/>
      </c>
      <c r="S1083" s="79">
        <f>IF(Q1083="Sin Factura","",IFERROR(_xlfn.XLOOKUP(1, (Facturas_Odoo!$D:$D=A1083) * (Facturas_Odoo!$K:$K=I1083), Facturas_Odoo!$L:$L, ""), ""))</f>
        <v/>
      </c>
      <c r="T1083" s="81">
        <f>IF(Q1083="Sin Factura",0,IFERROR(_xlfn.XLOOKUP(1, (Facturas_Odoo!$D:$D=A1083) * (Facturas_Odoo!$K:$K=I1083), Facturas_Odoo!$M:$M, 0), 0))</f>
        <v/>
      </c>
      <c r="U1083" s="79">
        <f>IF(Q1083="Sin Factura",0,IFERROR(_xlfn.XLOOKUP(1, (Facturas_Odoo!$D:$D=A1083) * (Facturas_Odoo!$K:$K=I1083), Facturas_Odoo!$N:$N, 0), 0))</f>
        <v/>
      </c>
      <c r="V1083" s="79">
        <f>IF(Q1083="Sin Factura",0,IFERROR(_xlfn.XLOOKUP(1, (Facturas_Odoo!$D:$D=A1083) * (Facturas_Odoo!$K:$K=I1083), Facturas_Odoo!$O:$O, 0), 0))</f>
        <v/>
      </c>
      <c r="W1083" s="81">
        <f>IF(Q1083="Sin Factura",0,IFERROR(_xlfn.XLOOKUP(1, (Facturas_Odoo!$D:$D=A1083) * (Facturas_Odoo!$K:$K=I1083), Facturas_Odoo!$Q:$Q, 0), 0))</f>
        <v/>
      </c>
      <c r="X1083" s="79">
        <f>IF(OR(Q1083="Sin Factura",Q1083=""),"",IFERROR(INDEX(Pagos_Odoo!$B:$B, MATCH(Q1083, Pagos_Odoo!$I:$I, 0)), "Sin Pago"))</f>
        <v/>
      </c>
      <c r="Y1083" s="79">
        <f>IF(X1083="Sin Pago","",IFERROR(INDEX(Pagos_Odoo!$C:$C, MATCH(X1083, Pagos_Odoo!$B:$B, 0)), ""))</f>
        <v/>
      </c>
      <c r="Z1083" s="80">
        <f>IF(X1083="Sin Pago","",IFERROR(INDEX(Pagos_Odoo!$A:$A, MATCH(X1083, Pagos_Odoo!$B:$B, 0)), ""))</f>
        <v/>
      </c>
      <c r="AA1083" s="79">
        <f>IF(X1083="Sin Pago","",IFERROR(INDEX(Pagos_Odoo!$F:$F, MATCH(X1083, Pagos_Odoo!$B:$B, 0)), ""))</f>
        <v/>
      </c>
      <c r="AB1083" s="81">
        <f>IF(X1083="Sin Pago",0,IFERROR(INDEX(Pagos_Odoo!$E:$E, MATCH(X1083, Pagos_Odoo!$B:$B, 0)), 0))</f>
        <v/>
      </c>
      <c r="AC1083" s="79">
        <f>IF(X1083="Sin Pago","",IFERROR(INDEX(Pagos_Odoo!$G:$G, MATCH(X1083, Pagos_Odoo!$B:$B, 0)), ""))</f>
        <v/>
      </c>
      <c r="AD1083" s="82" t="n">
        <v>0</v>
      </c>
      <c r="AE1083" s="82" t="n"/>
      <c r="AF1083" s="82" t="n"/>
      <c r="AG1083" s="82">
        <f>IF(AN1083="","",AD1083+AE1083+AF1083)</f>
        <v/>
      </c>
      <c r="AH1083" s="81">
        <f>IF(AN1083="","",P1083*(1-AG1083))</f>
        <v/>
      </c>
      <c r="AI1083" s="81">
        <f>IF(AN1083="","",IF(Q1083="Sin Factura",0,IFERROR(INDEX(Facturas_Odoo!$H:$H, MATCH(Q1083, Facturas_Odoo!$B:$B, 0)), 0)*(1-AG1083)))</f>
        <v/>
      </c>
      <c r="AJ1083" s="81">
        <f>IF(AN1083="","",_xlfn.LET(idVenta, AN1083&amp;"",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83" s="81">
        <f>IF(AN1083="","",AH1083-AJ1083)</f>
        <v/>
      </c>
      <c r="AL1083" s="81">
        <f>IF(AN1083="","",IF(Q1083="Sin Factura","",AI1083-AJ1083))</f>
        <v/>
      </c>
      <c r="AM1083" s="81">
        <f>IF(AN1083="","",IF(Q1083="Sin Factura",0,P1083-IFERROR(INDEX(Facturas_Odoo!$H:$H, MATCH(Q1083, Facturas_Odoo!$B:$B, 0)), 0)))</f>
        <v/>
      </c>
      <c r="AN1083" s="79">
        <f>IF(AND(A1083="", J1083=""), "", IF(A1083&lt;&gt;"", VALUE(MID(A1083,2,LEN(A1083))), AN1082))</f>
        <v/>
      </c>
      <c r="AO1083" s="79">
        <f>IF(AN1083="","",IF(AD1083=0,"OK",_xlfn.LET(monedaPago, IF(AA1083="","USD",AA1083), limitePermitido, IFERROR(VLOOKUP(monedaPago, Configuración!$A$2:$B$3, 2, FALSE), 0.15), IF(AD1083&gt;limitePermitido, "ALERTA: EXCESO (" &amp; TEXT(limitePermitido, "0%") &amp; " máx)", "OK"))))</f>
        <v/>
      </c>
      <c r="AP1083" s="79">
        <f>IF(AN1083="","",IF(AE1083=0,"OK",_xlfn.LET(fechaPago, Z1083, fechaFactura, R1083, diasCredito, IF(E1083="Pago inmediato", 0, IFERROR(VALUE(MID(E1083, 1, SEARCH(" ", E1083)-1)),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83" s="79">
        <f>IF(AN1083="","",IF(AND(N1083&gt;0, AG1083&gt;0), IF(Configuración!$K$2="NO", "ALERTA: DESCUENTO DOBLE NO PERMITIDO", "OK"), "OK"))</f>
        <v/>
      </c>
      <c r="AR1083" s="79">
        <f>IF(AN1083="","",IF(OR(AO1083&lt;&gt;"OK", AP1083&lt;&gt;"OK", AQ1083&lt;&gt;"OK"), "⚠️ REVISAR", "OK"))</f>
        <v/>
      </c>
    </row>
    <row r="1084">
      <c r="A1084" s="79">
        <f>IF('Ordenes_Odoo'!A1084="","",'Ordenes_Odoo'!A1084)</f>
        <v/>
      </c>
      <c r="B1084" s="80">
        <f>IF('Ordenes_Odoo'!B1084="","",'Ordenes_Odoo'!B1084)</f>
        <v/>
      </c>
      <c r="C1084" s="79">
        <f>IF('Ordenes_Odoo'!C1084="","",'Ordenes_Odoo'!C1084)</f>
        <v/>
      </c>
      <c r="D1084" s="79">
        <f>IF('Ordenes_Odoo'!D1084="","",'Ordenes_Odoo'!D1084)</f>
        <v/>
      </c>
      <c r="E1084" s="79">
        <f>IF('Ordenes_Odoo'!E1084="","",'Ordenes_Odoo'!E1084)</f>
        <v/>
      </c>
      <c r="F1084" s="79">
        <f>IF('Ordenes_Odoo'!F1084="","",'Ordenes_Odoo'!F1084)</f>
        <v/>
      </c>
      <c r="G1084" s="79">
        <f>IF('Ordenes_Odoo'!G1084="","",'Ordenes_Odoo'!G1084)</f>
        <v/>
      </c>
      <c r="H1084" s="79">
        <f>IF('Ordenes_Odoo'!H1084="","",'Ordenes_Odoo'!H1084)</f>
        <v/>
      </c>
      <c r="I1084" s="79">
        <f>IF('Ordenes_Odoo'!I1084="","",'Ordenes_Odoo'!I1084)</f>
        <v/>
      </c>
      <c r="J1084" s="79">
        <f>IF('Ordenes_Odoo'!J1084="","",'Ordenes_Odoo'!J1084)</f>
        <v/>
      </c>
      <c r="K1084" s="81">
        <f>IF('Ordenes_Odoo'!K1084="","",'Ordenes_Odoo'!K1084)</f>
        <v/>
      </c>
      <c r="L1084" s="81">
        <f>IF('Ordenes_Odoo'!L1084="","",'Ordenes_Odoo'!L1084)</f>
        <v/>
      </c>
      <c r="M1084" s="79">
        <f>IF('Ordenes_Odoo'!M1084="","",'Ordenes_Odoo'!M1084)</f>
        <v/>
      </c>
      <c r="N1084" s="79">
        <f>IF('Ordenes_Odoo'!N1084="","",'Ordenes_Odoo'!N1084)</f>
        <v/>
      </c>
      <c r="O1084" s="81">
        <f>IF('Ordenes_Odoo'!O1084="","",'Ordenes_Odoo'!O1084)</f>
        <v/>
      </c>
      <c r="P1084" s="81">
        <f>IF('Ordenes_Odoo'!P1084="","",'Ordenes_Odoo'!P1084)</f>
        <v/>
      </c>
      <c r="Q1084" s="79">
        <f>IF(A1084="","",IFERROR(INDEX(Facturas_Odoo!$B:$B, MATCH(A1084, Facturas_Odoo!$D:$D, 0)), "Sin Factura"))</f>
        <v/>
      </c>
      <c r="R1084" s="80">
        <f>IF(Q1084="Sin Factura","",IFERROR(INDEX(Facturas_Odoo!$A:$A, MATCH(Q1084, Facturas_Odoo!$B:$B, 0)), ""))</f>
        <v/>
      </c>
      <c r="S1084" s="79">
        <f>IF(Q1084="Sin Factura","",IFERROR(_xlfn.XLOOKUP(1, (Facturas_Odoo!$D:$D=A1084) * (Facturas_Odoo!$K:$K=I1084), Facturas_Odoo!$L:$L, ""), ""))</f>
        <v/>
      </c>
      <c r="T1084" s="81">
        <f>IF(Q1084="Sin Factura",0,IFERROR(_xlfn.XLOOKUP(1, (Facturas_Odoo!$D:$D=A1084) * (Facturas_Odoo!$K:$K=I1084), Facturas_Odoo!$M:$M, 0), 0))</f>
        <v/>
      </c>
      <c r="U1084" s="79">
        <f>IF(Q1084="Sin Factura",0,IFERROR(_xlfn.XLOOKUP(1, (Facturas_Odoo!$D:$D=A1084) * (Facturas_Odoo!$K:$K=I1084), Facturas_Odoo!$N:$N, 0), 0))</f>
        <v/>
      </c>
      <c r="V1084" s="79">
        <f>IF(Q1084="Sin Factura",0,IFERROR(_xlfn.XLOOKUP(1, (Facturas_Odoo!$D:$D=A1084) * (Facturas_Odoo!$K:$K=I1084), Facturas_Odoo!$O:$O, 0), 0))</f>
        <v/>
      </c>
      <c r="W1084" s="81">
        <f>IF(Q1084="Sin Factura",0,IFERROR(_xlfn.XLOOKUP(1, (Facturas_Odoo!$D:$D=A1084) * (Facturas_Odoo!$K:$K=I1084), Facturas_Odoo!$Q:$Q, 0), 0))</f>
        <v/>
      </c>
      <c r="X1084" s="79">
        <f>IF(OR(Q1084="Sin Factura",Q1084=""),"",IFERROR(INDEX(Pagos_Odoo!$B:$B, MATCH(Q1084, Pagos_Odoo!$I:$I, 0)), "Sin Pago"))</f>
        <v/>
      </c>
      <c r="Y1084" s="79">
        <f>IF(X1084="Sin Pago","",IFERROR(INDEX(Pagos_Odoo!$C:$C, MATCH(X1084, Pagos_Odoo!$B:$B, 0)), ""))</f>
        <v/>
      </c>
      <c r="Z1084" s="80">
        <f>IF(X1084="Sin Pago","",IFERROR(INDEX(Pagos_Odoo!$A:$A, MATCH(X1084, Pagos_Odoo!$B:$B, 0)), ""))</f>
        <v/>
      </c>
      <c r="AA1084" s="79">
        <f>IF(X1084="Sin Pago","",IFERROR(INDEX(Pagos_Odoo!$F:$F, MATCH(X1084, Pagos_Odoo!$B:$B, 0)), ""))</f>
        <v/>
      </c>
      <c r="AB1084" s="81">
        <f>IF(X1084="Sin Pago",0,IFERROR(INDEX(Pagos_Odoo!$E:$E, MATCH(X1084, Pagos_Odoo!$B:$B, 0)), 0))</f>
        <v/>
      </c>
      <c r="AC1084" s="79">
        <f>IF(X1084="Sin Pago","",IFERROR(INDEX(Pagos_Odoo!$G:$G, MATCH(X1084, Pagos_Odoo!$B:$B, 0)), ""))</f>
        <v/>
      </c>
      <c r="AD1084" s="82" t="n">
        <v>0</v>
      </c>
      <c r="AE1084" s="82" t="n"/>
      <c r="AF1084" s="82" t="n"/>
      <c r="AG1084" s="82">
        <f>IF(AN1084="","",AD1084+AE1084+AF1084)</f>
        <v/>
      </c>
      <c r="AH1084" s="81">
        <f>IF(AN1084="","",P1084*(1-AG1084))</f>
        <v/>
      </c>
      <c r="AI1084" s="81">
        <f>IF(AN1084="","",IF(Q1084="Sin Factura",0,IFERROR(INDEX(Facturas_Odoo!$H:$H, MATCH(Q1084, Facturas_Odoo!$B:$B, 0)), 0)*(1-AG1084)))</f>
        <v/>
      </c>
      <c r="AJ1084" s="81">
        <f>IF(AN1084="","",_xlfn.LET(idVenta, AN1084&amp;"",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84" s="81">
        <f>IF(AN1084="","",AH1084-AJ1084)</f>
        <v/>
      </c>
      <c r="AL1084" s="81">
        <f>IF(AN1084="","",IF(Q1084="Sin Factura","",AI1084-AJ1084))</f>
        <v/>
      </c>
      <c r="AM1084" s="81">
        <f>IF(AN1084="","",IF(Q1084="Sin Factura",0,P1084-IFERROR(INDEX(Facturas_Odoo!$H:$H, MATCH(Q1084, Facturas_Odoo!$B:$B, 0)), 0)))</f>
        <v/>
      </c>
      <c r="AN1084" s="79">
        <f>IF(AND(A1084="", J1084=""), "", IF(A1084&lt;&gt;"", VALUE(MID(A1084,2,LEN(A1084))), AN1083))</f>
        <v/>
      </c>
      <c r="AO1084" s="79">
        <f>IF(AN1084="","",IF(AD1084=0,"OK",_xlfn.LET(monedaPago, IF(AA1084="","USD",AA1084), limitePermitido, IFERROR(VLOOKUP(monedaPago, Configuración!$A$2:$B$3, 2, FALSE), 0.15), IF(AD1084&gt;limitePermitido, "ALERTA: EXCESO (" &amp; TEXT(limitePermitido, "0%") &amp; " máx)", "OK"))))</f>
        <v/>
      </c>
      <c r="AP1084" s="79">
        <f>IF(AN1084="","",IF(AE1084=0,"OK",_xlfn.LET(fechaPago, Z1084, fechaFactura, R1084, diasCredito, IF(E1084="Pago inmediato", 0, IFERROR(VALUE(MID(E1084, 1, SEARCH(" ", E1084)-1)),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84" s="79">
        <f>IF(AN1084="","",IF(AND(N1084&gt;0, AG1084&gt;0), IF(Configuración!$K$2="NO", "ALERTA: DESCUENTO DOBLE NO PERMITIDO", "OK"), "OK"))</f>
        <v/>
      </c>
      <c r="AR1084" s="79">
        <f>IF(AN1084="","",IF(OR(AO1084&lt;&gt;"OK", AP1084&lt;&gt;"OK", AQ1084&lt;&gt;"OK"), "⚠️ REVISAR", "OK"))</f>
        <v/>
      </c>
    </row>
    <row r="1085">
      <c r="A1085" s="79">
        <f>IF('Ordenes_Odoo'!A1085="","",'Ordenes_Odoo'!A1085)</f>
        <v/>
      </c>
      <c r="B1085" s="80">
        <f>IF('Ordenes_Odoo'!B1085="","",'Ordenes_Odoo'!B1085)</f>
        <v/>
      </c>
      <c r="C1085" s="79">
        <f>IF('Ordenes_Odoo'!C1085="","",'Ordenes_Odoo'!C1085)</f>
        <v/>
      </c>
      <c r="D1085" s="79">
        <f>IF('Ordenes_Odoo'!D1085="","",'Ordenes_Odoo'!D1085)</f>
        <v/>
      </c>
      <c r="E1085" s="79">
        <f>IF('Ordenes_Odoo'!E1085="","",'Ordenes_Odoo'!E1085)</f>
        <v/>
      </c>
      <c r="F1085" s="79">
        <f>IF('Ordenes_Odoo'!F1085="","",'Ordenes_Odoo'!F1085)</f>
        <v/>
      </c>
      <c r="G1085" s="79">
        <f>IF('Ordenes_Odoo'!G1085="","",'Ordenes_Odoo'!G1085)</f>
        <v/>
      </c>
      <c r="H1085" s="79">
        <f>IF('Ordenes_Odoo'!H1085="","",'Ordenes_Odoo'!H1085)</f>
        <v/>
      </c>
      <c r="I1085" s="79">
        <f>IF('Ordenes_Odoo'!I1085="","",'Ordenes_Odoo'!I1085)</f>
        <v/>
      </c>
      <c r="J1085" s="79">
        <f>IF('Ordenes_Odoo'!J1085="","",'Ordenes_Odoo'!J1085)</f>
        <v/>
      </c>
      <c r="K1085" s="81">
        <f>IF('Ordenes_Odoo'!K1085="","",'Ordenes_Odoo'!K1085)</f>
        <v/>
      </c>
      <c r="L1085" s="81">
        <f>IF('Ordenes_Odoo'!L1085="","",'Ordenes_Odoo'!L1085)</f>
        <v/>
      </c>
      <c r="M1085" s="79">
        <f>IF('Ordenes_Odoo'!M1085="","",'Ordenes_Odoo'!M1085)</f>
        <v/>
      </c>
      <c r="N1085" s="79">
        <f>IF('Ordenes_Odoo'!N1085="","",'Ordenes_Odoo'!N1085)</f>
        <v/>
      </c>
      <c r="O1085" s="81">
        <f>IF('Ordenes_Odoo'!O1085="","",'Ordenes_Odoo'!O1085)</f>
        <v/>
      </c>
      <c r="P1085" s="81">
        <f>IF('Ordenes_Odoo'!P1085="","",'Ordenes_Odoo'!P1085)</f>
        <v/>
      </c>
      <c r="Q1085" s="79">
        <f>IF(A1085="","",IFERROR(INDEX(Facturas_Odoo!$B:$B, MATCH(A1085, Facturas_Odoo!$D:$D, 0)), "Sin Factura"))</f>
        <v/>
      </c>
      <c r="R1085" s="80">
        <f>IF(Q1085="Sin Factura","",IFERROR(INDEX(Facturas_Odoo!$A:$A, MATCH(Q1085, Facturas_Odoo!$B:$B, 0)), ""))</f>
        <v/>
      </c>
      <c r="S1085" s="79">
        <f>IF(Q1085="Sin Factura","",IFERROR(_xlfn.XLOOKUP(1, (Facturas_Odoo!$D:$D=A1085) * (Facturas_Odoo!$K:$K=I1085), Facturas_Odoo!$L:$L, ""), ""))</f>
        <v/>
      </c>
      <c r="T1085" s="81">
        <f>IF(Q1085="Sin Factura",0,IFERROR(_xlfn.XLOOKUP(1, (Facturas_Odoo!$D:$D=A1085) * (Facturas_Odoo!$K:$K=I1085), Facturas_Odoo!$M:$M, 0), 0))</f>
        <v/>
      </c>
      <c r="U1085" s="79">
        <f>IF(Q1085="Sin Factura",0,IFERROR(_xlfn.XLOOKUP(1, (Facturas_Odoo!$D:$D=A1085) * (Facturas_Odoo!$K:$K=I1085), Facturas_Odoo!$N:$N, 0), 0))</f>
        <v/>
      </c>
      <c r="V1085" s="79">
        <f>IF(Q1085="Sin Factura",0,IFERROR(_xlfn.XLOOKUP(1, (Facturas_Odoo!$D:$D=A1085) * (Facturas_Odoo!$K:$K=I1085), Facturas_Odoo!$O:$O, 0), 0))</f>
        <v/>
      </c>
      <c r="W1085" s="81">
        <f>IF(Q1085="Sin Factura",0,IFERROR(_xlfn.XLOOKUP(1, (Facturas_Odoo!$D:$D=A1085) * (Facturas_Odoo!$K:$K=I1085), Facturas_Odoo!$Q:$Q, 0), 0))</f>
        <v/>
      </c>
      <c r="X1085" s="79">
        <f>IF(OR(Q1085="Sin Factura",Q1085=""),"",IFERROR(INDEX(Pagos_Odoo!$B:$B, MATCH(Q1085, Pagos_Odoo!$I:$I, 0)), "Sin Pago"))</f>
        <v/>
      </c>
      <c r="Y1085" s="79">
        <f>IF(X1085="Sin Pago","",IFERROR(INDEX(Pagos_Odoo!$C:$C, MATCH(X1085, Pagos_Odoo!$B:$B, 0)), ""))</f>
        <v/>
      </c>
      <c r="Z1085" s="80">
        <f>IF(X1085="Sin Pago","",IFERROR(INDEX(Pagos_Odoo!$A:$A, MATCH(X1085, Pagos_Odoo!$B:$B, 0)), ""))</f>
        <v/>
      </c>
      <c r="AA1085" s="79">
        <f>IF(X1085="Sin Pago","",IFERROR(INDEX(Pagos_Odoo!$F:$F, MATCH(X1085, Pagos_Odoo!$B:$B, 0)), ""))</f>
        <v/>
      </c>
      <c r="AB1085" s="81">
        <f>IF(X1085="Sin Pago",0,IFERROR(INDEX(Pagos_Odoo!$E:$E, MATCH(X1085, Pagos_Odoo!$B:$B, 0)), 0))</f>
        <v/>
      </c>
      <c r="AC1085" s="79">
        <f>IF(X1085="Sin Pago","",IFERROR(INDEX(Pagos_Odoo!$G:$G, MATCH(X1085, Pagos_Odoo!$B:$B, 0)), ""))</f>
        <v/>
      </c>
      <c r="AD1085" s="82" t="n">
        <v>0</v>
      </c>
      <c r="AE1085" s="82" t="n"/>
      <c r="AF1085" s="82" t="n"/>
      <c r="AG1085" s="82">
        <f>IF(AN1085="","",AD1085+AE1085+AF1085)</f>
        <v/>
      </c>
      <c r="AH1085" s="81">
        <f>IF(AN1085="","",P1085*(1-AG1085))</f>
        <v/>
      </c>
      <c r="AI1085" s="81">
        <f>IF(AN1085="","",IF(Q1085="Sin Factura",0,IFERROR(INDEX(Facturas_Odoo!$H:$H, MATCH(Q1085, Facturas_Odoo!$B:$B, 0)), 0)*(1-AG1085)))</f>
        <v/>
      </c>
      <c r="AJ1085" s="81">
        <f>IF(AN1085="","",_xlfn.LET(idVenta, AN1085&amp;"",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85" s="81">
        <f>IF(AN1085="","",AH1085-AJ1085)</f>
        <v/>
      </c>
      <c r="AL1085" s="81">
        <f>IF(AN1085="","",IF(Q1085="Sin Factura","",AI1085-AJ1085))</f>
        <v/>
      </c>
      <c r="AM1085" s="81">
        <f>IF(AN1085="","",IF(Q1085="Sin Factura",0,P1085-IFERROR(INDEX(Facturas_Odoo!$H:$H, MATCH(Q1085, Facturas_Odoo!$B:$B, 0)), 0)))</f>
        <v/>
      </c>
      <c r="AN1085" s="79">
        <f>IF(AND(A1085="", J1085=""), "", IF(A1085&lt;&gt;"", VALUE(MID(A1085,2,LEN(A1085))), AN1084))</f>
        <v/>
      </c>
      <c r="AO1085" s="79">
        <f>IF(AN1085="","",IF(AD1085=0,"OK",_xlfn.LET(monedaPago, IF(AA1085="","USD",AA1085), limitePermitido, IFERROR(VLOOKUP(monedaPago, Configuración!$A$2:$B$3, 2, FALSE), 0.15), IF(AD1085&gt;limitePermitido, "ALERTA: EXCESO (" &amp; TEXT(limitePermitido, "0%") &amp; " máx)", "OK"))))</f>
        <v/>
      </c>
      <c r="AP1085" s="79">
        <f>IF(AN1085="","",IF(AE1085=0,"OK",_xlfn.LET(fechaPago, Z1085, fechaFactura, R1085, diasCredito, IF(E1085="Pago inmediato", 0, IFERROR(VALUE(MID(E1085, 1, SEARCH(" ", E1085)-1)),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85" s="79">
        <f>IF(AN1085="","",IF(AND(N1085&gt;0, AG1085&gt;0), IF(Configuración!$K$2="NO", "ALERTA: DESCUENTO DOBLE NO PERMITIDO", "OK"), "OK"))</f>
        <v/>
      </c>
      <c r="AR1085" s="79">
        <f>IF(AN1085="","",IF(OR(AO1085&lt;&gt;"OK", AP1085&lt;&gt;"OK", AQ1085&lt;&gt;"OK"), "⚠️ REVISAR", "OK"))</f>
        <v/>
      </c>
    </row>
    <row r="1086">
      <c r="A1086" s="79">
        <f>IF('Ordenes_Odoo'!A1086="","",'Ordenes_Odoo'!A1086)</f>
        <v/>
      </c>
      <c r="B1086" s="80">
        <f>IF('Ordenes_Odoo'!B1086="","",'Ordenes_Odoo'!B1086)</f>
        <v/>
      </c>
      <c r="C1086" s="79">
        <f>IF('Ordenes_Odoo'!C1086="","",'Ordenes_Odoo'!C1086)</f>
        <v/>
      </c>
      <c r="D1086" s="79">
        <f>IF('Ordenes_Odoo'!D1086="","",'Ordenes_Odoo'!D1086)</f>
        <v/>
      </c>
      <c r="E1086" s="79">
        <f>IF('Ordenes_Odoo'!E1086="","",'Ordenes_Odoo'!E1086)</f>
        <v/>
      </c>
      <c r="F1086" s="79">
        <f>IF('Ordenes_Odoo'!F1086="","",'Ordenes_Odoo'!F1086)</f>
        <v/>
      </c>
      <c r="G1086" s="79">
        <f>IF('Ordenes_Odoo'!G1086="","",'Ordenes_Odoo'!G1086)</f>
        <v/>
      </c>
      <c r="H1086" s="79">
        <f>IF('Ordenes_Odoo'!H1086="","",'Ordenes_Odoo'!H1086)</f>
        <v/>
      </c>
      <c r="I1086" s="79">
        <f>IF('Ordenes_Odoo'!I1086="","",'Ordenes_Odoo'!I1086)</f>
        <v/>
      </c>
      <c r="J1086" s="79">
        <f>IF('Ordenes_Odoo'!J1086="","",'Ordenes_Odoo'!J1086)</f>
        <v/>
      </c>
      <c r="K1086" s="81">
        <f>IF('Ordenes_Odoo'!K1086="","",'Ordenes_Odoo'!K1086)</f>
        <v/>
      </c>
      <c r="L1086" s="81">
        <f>IF('Ordenes_Odoo'!L1086="","",'Ordenes_Odoo'!L1086)</f>
        <v/>
      </c>
      <c r="M1086" s="79">
        <f>IF('Ordenes_Odoo'!M1086="","",'Ordenes_Odoo'!M1086)</f>
        <v/>
      </c>
      <c r="N1086" s="79">
        <f>IF('Ordenes_Odoo'!N1086="","",'Ordenes_Odoo'!N1086)</f>
        <v/>
      </c>
      <c r="O1086" s="81">
        <f>IF('Ordenes_Odoo'!O1086="","",'Ordenes_Odoo'!O1086)</f>
        <v/>
      </c>
      <c r="P1086" s="81">
        <f>IF('Ordenes_Odoo'!P1086="","",'Ordenes_Odoo'!P1086)</f>
        <v/>
      </c>
      <c r="Q1086" s="79">
        <f>IF(A1086="","",IFERROR(INDEX(Facturas_Odoo!$B:$B, MATCH(A1086, Facturas_Odoo!$D:$D, 0)), "Sin Factura"))</f>
        <v/>
      </c>
      <c r="R1086" s="80">
        <f>IF(Q1086="Sin Factura","",IFERROR(INDEX(Facturas_Odoo!$A:$A, MATCH(Q1086, Facturas_Odoo!$B:$B, 0)), ""))</f>
        <v/>
      </c>
      <c r="S1086" s="79">
        <f>IF(Q1086="Sin Factura","",IFERROR(_xlfn.XLOOKUP(1, (Facturas_Odoo!$D:$D=A1086) * (Facturas_Odoo!$K:$K=I1086), Facturas_Odoo!$L:$L, ""), ""))</f>
        <v/>
      </c>
      <c r="T1086" s="81">
        <f>IF(Q1086="Sin Factura",0,IFERROR(_xlfn.XLOOKUP(1, (Facturas_Odoo!$D:$D=A1086) * (Facturas_Odoo!$K:$K=I1086), Facturas_Odoo!$M:$M, 0), 0))</f>
        <v/>
      </c>
      <c r="U1086" s="79">
        <f>IF(Q1086="Sin Factura",0,IFERROR(_xlfn.XLOOKUP(1, (Facturas_Odoo!$D:$D=A1086) * (Facturas_Odoo!$K:$K=I1086), Facturas_Odoo!$N:$N, 0), 0))</f>
        <v/>
      </c>
      <c r="V1086" s="79">
        <f>IF(Q1086="Sin Factura",0,IFERROR(_xlfn.XLOOKUP(1, (Facturas_Odoo!$D:$D=A1086) * (Facturas_Odoo!$K:$K=I1086), Facturas_Odoo!$O:$O, 0), 0))</f>
        <v/>
      </c>
      <c r="W1086" s="81">
        <f>IF(Q1086="Sin Factura",0,IFERROR(_xlfn.XLOOKUP(1, (Facturas_Odoo!$D:$D=A1086) * (Facturas_Odoo!$K:$K=I1086), Facturas_Odoo!$Q:$Q, 0), 0))</f>
        <v/>
      </c>
      <c r="X1086" s="79">
        <f>IF(OR(Q1086="Sin Factura",Q1086=""),"",IFERROR(INDEX(Pagos_Odoo!$B:$B, MATCH(Q1086, Pagos_Odoo!$I:$I, 0)), "Sin Pago"))</f>
        <v/>
      </c>
      <c r="Y1086" s="79">
        <f>IF(X1086="Sin Pago","",IFERROR(INDEX(Pagos_Odoo!$C:$C, MATCH(X1086, Pagos_Odoo!$B:$B, 0)), ""))</f>
        <v/>
      </c>
      <c r="Z1086" s="80">
        <f>IF(X1086="Sin Pago","",IFERROR(INDEX(Pagos_Odoo!$A:$A, MATCH(X1086, Pagos_Odoo!$B:$B, 0)), ""))</f>
        <v/>
      </c>
      <c r="AA1086" s="79">
        <f>IF(X1086="Sin Pago","",IFERROR(INDEX(Pagos_Odoo!$F:$F, MATCH(X1086, Pagos_Odoo!$B:$B, 0)), ""))</f>
        <v/>
      </c>
      <c r="AB1086" s="81">
        <f>IF(X1086="Sin Pago",0,IFERROR(INDEX(Pagos_Odoo!$E:$E, MATCH(X1086, Pagos_Odoo!$B:$B, 0)), 0))</f>
        <v/>
      </c>
      <c r="AC1086" s="79">
        <f>IF(X1086="Sin Pago","",IFERROR(INDEX(Pagos_Odoo!$G:$G, MATCH(X1086, Pagos_Odoo!$B:$B, 0)), ""))</f>
        <v/>
      </c>
      <c r="AD1086" s="82" t="n">
        <v>0</v>
      </c>
      <c r="AE1086" s="82" t="n"/>
      <c r="AF1086" s="82" t="n"/>
      <c r="AG1086" s="82">
        <f>IF(AN1086="","",AD1086+AE1086+AF1086)</f>
        <v/>
      </c>
      <c r="AH1086" s="81">
        <f>IF(AN1086="","",P1086*(1-AG1086))</f>
        <v/>
      </c>
      <c r="AI1086" s="81">
        <f>IF(AN1086="","",IF(Q1086="Sin Factura",0,IFERROR(INDEX(Facturas_Odoo!$H:$H, MATCH(Q1086, Facturas_Odoo!$B:$B, 0)), 0)*(1-AG1086)))</f>
        <v/>
      </c>
      <c r="AJ1086" s="81">
        <f>IF(AN1086="","",_xlfn.LET(idVenta, AN1086&amp;"",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86" s="81">
        <f>IF(AN1086="","",AH1086-AJ1086)</f>
        <v/>
      </c>
      <c r="AL1086" s="81">
        <f>IF(AN1086="","",IF(Q1086="Sin Factura","",AI1086-AJ1086))</f>
        <v/>
      </c>
      <c r="AM1086" s="81">
        <f>IF(AN1086="","",IF(Q1086="Sin Factura",0,P1086-IFERROR(INDEX(Facturas_Odoo!$H:$H, MATCH(Q1086, Facturas_Odoo!$B:$B, 0)), 0)))</f>
        <v/>
      </c>
      <c r="AN1086" s="79">
        <f>IF(AND(A1086="", J1086=""), "", IF(A1086&lt;&gt;"", VALUE(MID(A1086,2,LEN(A1086))), AN1085))</f>
        <v/>
      </c>
      <c r="AO1086" s="79">
        <f>IF(AN1086="","",IF(AD1086=0,"OK",_xlfn.LET(monedaPago, IF(AA1086="","USD",AA1086), limitePermitido, IFERROR(VLOOKUP(monedaPago, Configuración!$A$2:$B$3, 2, FALSE), 0.15), IF(AD1086&gt;limitePermitido, "ALERTA: EXCESO (" &amp; TEXT(limitePermitido, "0%") &amp; " máx)", "OK"))))</f>
        <v/>
      </c>
      <c r="AP1086" s="79">
        <f>IF(AN1086="","",IF(AE1086=0,"OK",_xlfn.LET(fechaPago, Z1086, fechaFactura, R1086, diasCredito, IF(E1086="Pago inmediato", 0, IFERROR(VALUE(MID(E1086, 1, SEARCH(" ", E1086)-1)),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86" s="79">
        <f>IF(AN1086="","",IF(AND(N1086&gt;0, AG1086&gt;0), IF(Configuración!$K$2="NO", "ALERTA: DESCUENTO DOBLE NO PERMITIDO", "OK"), "OK"))</f>
        <v/>
      </c>
      <c r="AR1086" s="79">
        <f>IF(AN1086="","",IF(OR(AO1086&lt;&gt;"OK", AP1086&lt;&gt;"OK", AQ1086&lt;&gt;"OK"), "⚠️ REVISAR", "OK"))</f>
        <v/>
      </c>
    </row>
    <row r="1087">
      <c r="A1087" s="79">
        <f>IF('Ordenes_Odoo'!A1087="","",'Ordenes_Odoo'!A1087)</f>
        <v/>
      </c>
      <c r="B1087" s="80">
        <f>IF('Ordenes_Odoo'!B1087="","",'Ordenes_Odoo'!B1087)</f>
        <v/>
      </c>
      <c r="C1087" s="79">
        <f>IF('Ordenes_Odoo'!C1087="","",'Ordenes_Odoo'!C1087)</f>
        <v/>
      </c>
      <c r="D1087" s="79">
        <f>IF('Ordenes_Odoo'!D1087="","",'Ordenes_Odoo'!D1087)</f>
        <v/>
      </c>
      <c r="E1087" s="79">
        <f>IF('Ordenes_Odoo'!E1087="","",'Ordenes_Odoo'!E1087)</f>
        <v/>
      </c>
      <c r="F1087" s="79">
        <f>IF('Ordenes_Odoo'!F1087="","",'Ordenes_Odoo'!F1087)</f>
        <v/>
      </c>
      <c r="G1087" s="79">
        <f>IF('Ordenes_Odoo'!G1087="","",'Ordenes_Odoo'!G1087)</f>
        <v/>
      </c>
      <c r="H1087" s="79">
        <f>IF('Ordenes_Odoo'!H1087="","",'Ordenes_Odoo'!H1087)</f>
        <v/>
      </c>
      <c r="I1087" s="79">
        <f>IF('Ordenes_Odoo'!I1087="","",'Ordenes_Odoo'!I1087)</f>
        <v/>
      </c>
      <c r="J1087" s="79">
        <f>IF('Ordenes_Odoo'!J1087="","",'Ordenes_Odoo'!J1087)</f>
        <v/>
      </c>
      <c r="K1087" s="81">
        <f>IF('Ordenes_Odoo'!K1087="","",'Ordenes_Odoo'!K1087)</f>
        <v/>
      </c>
      <c r="L1087" s="81">
        <f>IF('Ordenes_Odoo'!L1087="","",'Ordenes_Odoo'!L1087)</f>
        <v/>
      </c>
      <c r="M1087" s="79">
        <f>IF('Ordenes_Odoo'!M1087="","",'Ordenes_Odoo'!M1087)</f>
        <v/>
      </c>
      <c r="N1087" s="79">
        <f>IF('Ordenes_Odoo'!N1087="","",'Ordenes_Odoo'!N1087)</f>
        <v/>
      </c>
      <c r="O1087" s="81">
        <f>IF('Ordenes_Odoo'!O1087="","",'Ordenes_Odoo'!O1087)</f>
        <v/>
      </c>
      <c r="P1087" s="81">
        <f>IF('Ordenes_Odoo'!P1087="","",'Ordenes_Odoo'!P1087)</f>
        <v/>
      </c>
      <c r="Q1087" s="79">
        <f>IF(A1087="","",IFERROR(INDEX(Facturas_Odoo!$B:$B, MATCH(A1087, Facturas_Odoo!$D:$D, 0)), "Sin Factura"))</f>
        <v/>
      </c>
      <c r="R1087" s="80">
        <f>IF(Q1087="Sin Factura","",IFERROR(INDEX(Facturas_Odoo!$A:$A, MATCH(Q1087, Facturas_Odoo!$B:$B, 0)), ""))</f>
        <v/>
      </c>
      <c r="S1087" s="79">
        <f>IF(Q1087="Sin Factura","",IFERROR(_xlfn.XLOOKUP(1, (Facturas_Odoo!$D:$D=A1087) * (Facturas_Odoo!$K:$K=I1087), Facturas_Odoo!$L:$L, ""), ""))</f>
        <v/>
      </c>
      <c r="T1087" s="81">
        <f>IF(Q1087="Sin Factura",0,IFERROR(_xlfn.XLOOKUP(1, (Facturas_Odoo!$D:$D=A1087) * (Facturas_Odoo!$K:$K=I1087), Facturas_Odoo!$M:$M, 0), 0))</f>
        <v/>
      </c>
      <c r="U1087" s="79">
        <f>IF(Q1087="Sin Factura",0,IFERROR(_xlfn.XLOOKUP(1, (Facturas_Odoo!$D:$D=A1087) * (Facturas_Odoo!$K:$K=I1087), Facturas_Odoo!$N:$N, 0), 0))</f>
        <v/>
      </c>
      <c r="V1087" s="79">
        <f>IF(Q1087="Sin Factura",0,IFERROR(_xlfn.XLOOKUP(1, (Facturas_Odoo!$D:$D=A1087) * (Facturas_Odoo!$K:$K=I1087), Facturas_Odoo!$O:$O, 0), 0))</f>
        <v/>
      </c>
      <c r="W1087" s="81">
        <f>IF(Q1087="Sin Factura",0,IFERROR(_xlfn.XLOOKUP(1, (Facturas_Odoo!$D:$D=A1087) * (Facturas_Odoo!$K:$K=I1087), Facturas_Odoo!$Q:$Q, 0), 0))</f>
        <v/>
      </c>
      <c r="X1087" s="79">
        <f>IF(OR(Q1087="Sin Factura",Q1087=""),"",IFERROR(INDEX(Pagos_Odoo!$B:$B, MATCH(Q1087, Pagos_Odoo!$I:$I, 0)), "Sin Pago"))</f>
        <v/>
      </c>
      <c r="Y1087" s="79">
        <f>IF(X1087="Sin Pago","",IFERROR(INDEX(Pagos_Odoo!$C:$C, MATCH(X1087, Pagos_Odoo!$B:$B, 0)), ""))</f>
        <v/>
      </c>
      <c r="Z1087" s="80">
        <f>IF(X1087="Sin Pago","",IFERROR(INDEX(Pagos_Odoo!$A:$A, MATCH(X1087, Pagos_Odoo!$B:$B, 0)), ""))</f>
        <v/>
      </c>
      <c r="AA1087" s="79">
        <f>IF(X1087="Sin Pago","",IFERROR(INDEX(Pagos_Odoo!$F:$F, MATCH(X1087, Pagos_Odoo!$B:$B, 0)), ""))</f>
        <v/>
      </c>
      <c r="AB1087" s="81">
        <f>IF(X1087="Sin Pago",0,IFERROR(INDEX(Pagos_Odoo!$E:$E, MATCH(X1087, Pagos_Odoo!$B:$B, 0)), 0))</f>
        <v/>
      </c>
      <c r="AC1087" s="79">
        <f>IF(X1087="Sin Pago","",IFERROR(INDEX(Pagos_Odoo!$G:$G, MATCH(X1087, Pagos_Odoo!$B:$B, 0)), ""))</f>
        <v/>
      </c>
      <c r="AD1087" s="82" t="n">
        <v>0</v>
      </c>
      <c r="AE1087" s="82" t="n"/>
      <c r="AF1087" s="82" t="n"/>
      <c r="AG1087" s="82">
        <f>IF(AN1087="","",AD1087+AE1087+AF1087)</f>
        <v/>
      </c>
      <c r="AH1087" s="81">
        <f>IF(AN1087="","",P1087*(1-AG1087))</f>
        <v/>
      </c>
      <c r="AI1087" s="81">
        <f>IF(AN1087="","",IF(Q1087="Sin Factura",0,IFERROR(INDEX(Facturas_Odoo!$H:$H, MATCH(Q1087, Facturas_Odoo!$B:$B, 0)), 0)*(1-AG1087)))</f>
        <v/>
      </c>
      <c r="AJ1087" s="81">
        <f>IF(AN1087="","",_xlfn.LET(idVenta, AN1087&amp;"",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87" s="81">
        <f>IF(AN1087="","",AH1087-AJ1087)</f>
        <v/>
      </c>
      <c r="AL1087" s="81">
        <f>IF(AN1087="","",IF(Q1087="Sin Factura","",AI1087-AJ1087))</f>
        <v/>
      </c>
      <c r="AM1087" s="81">
        <f>IF(AN1087="","",IF(Q1087="Sin Factura",0,P1087-IFERROR(INDEX(Facturas_Odoo!$H:$H, MATCH(Q1087, Facturas_Odoo!$B:$B, 0)), 0)))</f>
        <v/>
      </c>
      <c r="AN1087" s="79">
        <f>IF(AND(A1087="", J1087=""), "", IF(A1087&lt;&gt;"", VALUE(MID(A1087,2,LEN(A1087))), AN1086))</f>
        <v/>
      </c>
      <c r="AO1087" s="79">
        <f>IF(AN1087="","",IF(AD1087=0,"OK",_xlfn.LET(monedaPago, IF(AA1087="","USD",AA1087), limitePermitido, IFERROR(VLOOKUP(monedaPago, Configuración!$A$2:$B$3, 2, FALSE), 0.15), IF(AD1087&gt;limitePermitido, "ALERTA: EXCESO (" &amp; TEXT(limitePermitido, "0%") &amp; " máx)", "OK"))))</f>
        <v/>
      </c>
      <c r="AP1087" s="79">
        <f>IF(AN1087="","",IF(AE1087=0,"OK",_xlfn.LET(fechaPago, Z1087, fechaFactura, R1087, diasCredito, IF(E1087="Pago inmediato", 0, IFERROR(VALUE(MID(E1087, 1, SEARCH(" ", E1087)-1)),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87" s="79">
        <f>IF(AN1087="","",IF(AND(N1087&gt;0, AG1087&gt;0), IF(Configuración!$K$2="NO", "ALERTA: DESCUENTO DOBLE NO PERMITIDO", "OK"), "OK"))</f>
        <v/>
      </c>
      <c r="AR1087" s="79">
        <f>IF(AN1087="","",IF(OR(AO1087&lt;&gt;"OK", AP1087&lt;&gt;"OK", AQ1087&lt;&gt;"OK"), "⚠️ REVISAR", "OK"))</f>
        <v/>
      </c>
    </row>
    <row r="1088">
      <c r="A1088" s="79">
        <f>IF('Ordenes_Odoo'!A1088="","",'Ordenes_Odoo'!A1088)</f>
        <v/>
      </c>
      <c r="B1088" s="80">
        <f>IF('Ordenes_Odoo'!B1088="","",'Ordenes_Odoo'!B1088)</f>
        <v/>
      </c>
      <c r="C1088" s="79">
        <f>IF('Ordenes_Odoo'!C1088="","",'Ordenes_Odoo'!C1088)</f>
        <v/>
      </c>
      <c r="D1088" s="79">
        <f>IF('Ordenes_Odoo'!D1088="","",'Ordenes_Odoo'!D1088)</f>
        <v/>
      </c>
      <c r="E1088" s="79">
        <f>IF('Ordenes_Odoo'!E1088="","",'Ordenes_Odoo'!E1088)</f>
        <v/>
      </c>
      <c r="F1088" s="79">
        <f>IF('Ordenes_Odoo'!F1088="","",'Ordenes_Odoo'!F1088)</f>
        <v/>
      </c>
      <c r="G1088" s="79">
        <f>IF('Ordenes_Odoo'!G1088="","",'Ordenes_Odoo'!G1088)</f>
        <v/>
      </c>
      <c r="H1088" s="79">
        <f>IF('Ordenes_Odoo'!H1088="","",'Ordenes_Odoo'!H1088)</f>
        <v/>
      </c>
      <c r="I1088" s="79">
        <f>IF('Ordenes_Odoo'!I1088="","",'Ordenes_Odoo'!I1088)</f>
        <v/>
      </c>
      <c r="J1088" s="79">
        <f>IF('Ordenes_Odoo'!J1088="","",'Ordenes_Odoo'!J1088)</f>
        <v/>
      </c>
      <c r="K1088" s="81">
        <f>IF('Ordenes_Odoo'!K1088="","",'Ordenes_Odoo'!K1088)</f>
        <v/>
      </c>
      <c r="L1088" s="81">
        <f>IF('Ordenes_Odoo'!L1088="","",'Ordenes_Odoo'!L1088)</f>
        <v/>
      </c>
      <c r="M1088" s="79">
        <f>IF('Ordenes_Odoo'!M1088="","",'Ordenes_Odoo'!M1088)</f>
        <v/>
      </c>
      <c r="N1088" s="79">
        <f>IF('Ordenes_Odoo'!N1088="","",'Ordenes_Odoo'!N1088)</f>
        <v/>
      </c>
      <c r="O1088" s="81">
        <f>IF('Ordenes_Odoo'!O1088="","",'Ordenes_Odoo'!O1088)</f>
        <v/>
      </c>
      <c r="P1088" s="81">
        <f>IF('Ordenes_Odoo'!P1088="","",'Ordenes_Odoo'!P1088)</f>
        <v/>
      </c>
      <c r="Q1088" s="79">
        <f>IF(A1088="","",IFERROR(INDEX(Facturas_Odoo!$B:$B, MATCH(A1088, Facturas_Odoo!$D:$D, 0)), "Sin Factura"))</f>
        <v/>
      </c>
      <c r="R1088" s="80">
        <f>IF(Q1088="Sin Factura","",IFERROR(INDEX(Facturas_Odoo!$A:$A, MATCH(Q1088, Facturas_Odoo!$B:$B, 0)), ""))</f>
        <v/>
      </c>
      <c r="S1088" s="79">
        <f>IF(Q1088="Sin Factura","",IFERROR(_xlfn.XLOOKUP(1, (Facturas_Odoo!$D:$D=A1088) * (Facturas_Odoo!$K:$K=I1088), Facturas_Odoo!$L:$L, ""), ""))</f>
        <v/>
      </c>
      <c r="T1088" s="81">
        <f>IF(Q1088="Sin Factura",0,IFERROR(_xlfn.XLOOKUP(1, (Facturas_Odoo!$D:$D=A1088) * (Facturas_Odoo!$K:$K=I1088), Facturas_Odoo!$M:$M, 0), 0))</f>
        <v/>
      </c>
      <c r="U1088" s="79">
        <f>IF(Q1088="Sin Factura",0,IFERROR(_xlfn.XLOOKUP(1, (Facturas_Odoo!$D:$D=A1088) * (Facturas_Odoo!$K:$K=I1088), Facturas_Odoo!$N:$N, 0), 0))</f>
        <v/>
      </c>
      <c r="V1088" s="79">
        <f>IF(Q1088="Sin Factura",0,IFERROR(_xlfn.XLOOKUP(1, (Facturas_Odoo!$D:$D=A1088) * (Facturas_Odoo!$K:$K=I1088), Facturas_Odoo!$O:$O, 0), 0))</f>
        <v/>
      </c>
      <c r="W1088" s="81">
        <f>IF(Q1088="Sin Factura",0,IFERROR(_xlfn.XLOOKUP(1, (Facturas_Odoo!$D:$D=A1088) * (Facturas_Odoo!$K:$K=I1088), Facturas_Odoo!$Q:$Q, 0), 0))</f>
        <v/>
      </c>
      <c r="X1088" s="79">
        <f>IF(OR(Q1088="Sin Factura",Q1088=""),"",IFERROR(INDEX(Pagos_Odoo!$B:$B, MATCH(Q1088, Pagos_Odoo!$I:$I, 0)), "Sin Pago"))</f>
        <v/>
      </c>
      <c r="Y1088" s="79">
        <f>IF(X1088="Sin Pago","",IFERROR(INDEX(Pagos_Odoo!$C:$C, MATCH(X1088, Pagos_Odoo!$B:$B, 0)), ""))</f>
        <v/>
      </c>
      <c r="Z1088" s="80">
        <f>IF(X1088="Sin Pago","",IFERROR(INDEX(Pagos_Odoo!$A:$A, MATCH(X1088, Pagos_Odoo!$B:$B, 0)), ""))</f>
        <v/>
      </c>
      <c r="AA1088" s="79">
        <f>IF(X1088="Sin Pago","",IFERROR(INDEX(Pagos_Odoo!$F:$F, MATCH(X1088, Pagos_Odoo!$B:$B, 0)), ""))</f>
        <v/>
      </c>
      <c r="AB1088" s="81">
        <f>IF(X1088="Sin Pago",0,IFERROR(INDEX(Pagos_Odoo!$E:$E, MATCH(X1088, Pagos_Odoo!$B:$B, 0)), 0))</f>
        <v/>
      </c>
      <c r="AC1088" s="79">
        <f>IF(X1088="Sin Pago","",IFERROR(INDEX(Pagos_Odoo!$G:$G, MATCH(X1088, Pagos_Odoo!$B:$B, 0)), ""))</f>
        <v/>
      </c>
      <c r="AD1088" s="82" t="n">
        <v>0</v>
      </c>
      <c r="AE1088" s="82" t="n"/>
      <c r="AF1088" s="82" t="n"/>
      <c r="AG1088" s="82">
        <f>IF(AN1088="","",AD1088+AE1088+AF1088)</f>
        <v/>
      </c>
      <c r="AH1088" s="81">
        <f>IF(AN1088="","",P1088*(1-AG1088))</f>
        <v/>
      </c>
      <c r="AI1088" s="81">
        <f>IF(AN1088="","",IF(Q1088="Sin Factura",0,IFERROR(INDEX(Facturas_Odoo!$H:$H, MATCH(Q1088, Facturas_Odoo!$B:$B, 0)), 0)*(1-AG1088)))</f>
        <v/>
      </c>
      <c r="AJ1088" s="81">
        <f>IF(AN1088="","",_xlfn.LET(idVenta, AN1088&amp;"",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88" s="81">
        <f>IF(AN1088="","",AH1088-AJ1088)</f>
        <v/>
      </c>
      <c r="AL1088" s="81">
        <f>IF(AN1088="","",IF(Q1088="Sin Factura","",AI1088-AJ1088))</f>
        <v/>
      </c>
      <c r="AM1088" s="81">
        <f>IF(AN1088="","",IF(Q1088="Sin Factura",0,P1088-IFERROR(INDEX(Facturas_Odoo!$H:$H, MATCH(Q1088, Facturas_Odoo!$B:$B, 0)), 0)))</f>
        <v/>
      </c>
      <c r="AN1088" s="79">
        <f>IF(AND(A1088="", J1088=""), "", IF(A1088&lt;&gt;"", VALUE(MID(A1088,2,LEN(A1088))), AN1087))</f>
        <v/>
      </c>
      <c r="AO1088" s="79">
        <f>IF(AN1088="","",IF(AD1088=0,"OK",_xlfn.LET(monedaPago, IF(AA1088="","USD",AA1088), limitePermitido, IFERROR(VLOOKUP(monedaPago, Configuración!$A$2:$B$3, 2, FALSE), 0.15), IF(AD1088&gt;limitePermitido, "ALERTA: EXCESO (" &amp; TEXT(limitePermitido, "0%") &amp; " máx)", "OK"))))</f>
        <v/>
      </c>
      <c r="AP1088" s="79">
        <f>IF(AN1088="","",IF(AE1088=0,"OK",_xlfn.LET(fechaPago, Z1088, fechaFactura, R1088, diasCredito, IF(E1088="Pago inmediato", 0, IFERROR(VALUE(MID(E1088, 1, SEARCH(" ", E1088)-1)),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88" s="79">
        <f>IF(AN1088="","",IF(AND(N1088&gt;0, AG1088&gt;0), IF(Configuración!$K$2="NO", "ALERTA: DESCUENTO DOBLE NO PERMITIDO", "OK"), "OK"))</f>
        <v/>
      </c>
      <c r="AR1088" s="79">
        <f>IF(AN1088="","",IF(OR(AO1088&lt;&gt;"OK", AP1088&lt;&gt;"OK", AQ1088&lt;&gt;"OK"), "⚠️ REVISAR", "OK"))</f>
        <v/>
      </c>
    </row>
    <row r="1089">
      <c r="A1089" s="79">
        <f>IF('Ordenes_Odoo'!A1089="","",'Ordenes_Odoo'!A1089)</f>
        <v/>
      </c>
      <c r="B1089" s="80">
        <f>IF('Ordenes_Odoo'!B1089="","",'Ordenes_Odoo'!B1089)</f>
        <v/>
      </c>
      <c r="C1089" s="79">
        <f>IF('Ordenes_Odoo'!C1089="","",'Ordenes_Odoo'!C1089)</f>
        <v/>
      </c>
      <c r="D1089" s="79">
        <f>IF('Ordenes_Odoo'!D1089="","",'Ordenes_Odoo'!D1089)</f>
        <v/>
      </c>
      <c r="E1089" s="79">
        <f>IF('Ordenes_Odoo'!E1089="","",'Ordenes_Odoo'!E1089)</f>
        <v/>
      </c>
      <c r="F1089" s="79">
        <f>IF('Ordenes_Odoo'!F1089="","",'Ordenes_Odoo'!F1089)</f>
        <v/>
      </c>
      <c r="G1089" s="79">
        <f>IF('Ordenes_Odoo'!G1089="","",'Ordenes_Odoo'!G1089)</f>
        <v/>
      </c>
      <c r="H1089" s="79">
        <f>IF('Ordenes_Odoo'!H1089="","",'Ordenes_Odoo'!H1089)</f>
        <v/>
      </c>
      <c r="I1089" s="79">
        <f>IF('Ordenes_Odoo'!I1089="","",'Ordenes_Odoo'!I1089)</f>
        <v/>
      </c>
      <c r="J1089" s="79">
        <f>IF('Ordenes_Odoo'!J1089="","",'Ordenes_Odoo'!J1089)</f>
        <v/>
      </c>
      <c r="K1089" s="81">
        <f>IF('Ordenes_Odoo'!K1089="","",'Ordenes_Odoo'!K1089)</f>
        <v/>
      </c>
      <c r="L1089" s="81">
        <f>IF('Ordenes_Odoo'!L1089="","",'Ordenes_Odoo'!L1089)</f>
        <v/>
      </c>
      <c r="M1089" s="79">
        <f>IF('Ordenes_Odoo'!M1089="","",'Ordenes_Odoo'!M1089)</f>
        <v/>
      </c>
      <c r="N1089" s="79">
        <f>IF('Ordenes_Odoo'!N1089="","",'Ordenes_Odoo'!N1089)</f>
        <v/>
      </c>
      <c r="O1089" s="81">
        <f>IF('Ordenes_Odoo'!O1089="","",'Ordenes_Odoo'!O1089)</f>
        <v/>
      </c>
      <c r="P1089" s="81">
        <f>IF('Ordenes_Odoo'!P1089="","",'Ordenes_Odoo'!P1089)</f>
        <v/>
      </c>
      <c r="Q1089" s="79">
        <f>IF(A1089="","",IFERROR(INDEX(Facturas_Odoo!$B:$B, MATCH(A1089, Facturas_Odoo!$D:$D, 0)), "Sin Factura"))</f>
        <v/>
      </c>
      <c r="R1089" s="80">
        <f>IF(Q1089="Sin Factura","",IFERROR(INDEX(Facturas_Odoo!$A:$A, MATCH(Q1089, Facturas_Odoo!$B:$B, 0)), ""))</f>
        <v/>
      </c>
      <c r="S1089" s="79">
        <f>IF(Q1089="Sin Factura","",IFERROR(_xlfn.XLOOKUP(1, (Facturas_Odoo!$D:$D=A1089) * (Facturas_Odoo!$K:$K=I1089), Facturas_Odoo!$L:$L, ""), ""))</f>
        <v/>
      </c>
      <c r="T1089" s="81">
        <f>IF(Q1089="Sin Factura",0,IFERROR(_xlfn.XLOOKUP(1, (Facturas_Odoo!$D:$D=A1089) * (Facturas_Odoo!$K:$K=I1089), Facturas_Odoo!$M:$M, 0), 0))</f>
        <v/>
      </c>
      <c r="U1089" s="79">
        <f>IF(Q1089="Sin Factura",0,IFERROR(_xlfn.XLOOKUP(1, (Facturas_Odoo!$D:$D=A1089) * (Facturas_Odoo!$K:$K=I1089), Facturas_Odoo!$N:$N, 0), 0))</f>
        <v/>
      </c>
      <c r="V1089" s="79">
        <f>IF(Q1089="Sin Factura",0,IFERROR(_xlfn.XLOOKUP(1, (Facturas_Odoo!$D:$D=A1089) * (Facturas_Odoo!$K:$K=I1089), Facturas_Odoo!$O:$O, 0), 0))</f>
        <v/>
      </c>
      <c r="W1089" s="81">
        <f>IF(Q1089="Sin Factura",0,IFERROR(_xlfn.XLOOKUP(1, (Facturas_Odoo!$D:$D=A1089) * (Facturas_Odoo!$K:$K=I1089), Facturas_Odoo!$Q:$Q, 0), 0))</f>
        <v/>
      </c>
      <c r="X1089" s="79">
        <f>IF(OR(Q1089="Sin Factura",Q1089=""),"",IFERROR(INDEX(Pagos_Odoo!$B:$B, MATCH(Q1089, Pagos_Odoo!$I:$I, 0)), "Sin Pago"))</f>
        <v/>
      </c>
      <c r="Y1089" s="79">
        <f>IF(X1089="Sin Pago","",IFERROR(INDEX(Pagos_Odoo!$C:$C, MATCH(X1089, Pagos_Odoo!$B:$B, 0)), ""))</f>
        <v/>
      </c>
      <c r="Z1089" s="80">
        <f>IF(X1089="Sin Pago","",IFERROR(INDEX(Pagos_Odoo!$A:$A, MATCH(X1089, Pagos_Odoo!$B:$B, 0)), ""))</f>
        <v/>
      </c>
      <c r="AA1089" s="79">
        <f>IF(X1089="Sin Pago","",IFERROR(INDEX(Pagos_Odoo!$F:$F, MATCH(X1089, Pagos_Odoo!$B:$B, 0)), ""))</f>
        <v/>
      </c>
      <c r="AB1089" s="81">
        <f>IF(X1089="Sin Pago",0,IFERROR(INDEX(Pagos_Odoo!$E:$E, MATCH(X1089, Pagos_Odoo!$B:$B, 0)), 0))</f>
        <v/>
      </c>
      <c r="AC1089" s="79">
        <f>IF(X1089="Sin Pago","",IFERROR(INDEX(Pagos_Odoo!$G:$G, MATCH(X1089, Pagos_Odoo!$B:$B, 0)), ""))</f>
        <v/>
      </c>
      <c r="AD1089" s="82" t="n">
        <v>0</v>
      </c>
      <c r="AE1089" s="82" t="n"/>
      <c r="AF1089" s="82" t="n"/>
      <c r="AG1089" s="82">
        <f>IF(AN1089="","",AD1089+AE1089+AF1089)</f>
        <v/>
      </c>
      <c r="AH1089" s="81">
        <f>IF(AN1089="","",P1089*(1-AG1089))</f>
        <v/>
      </c>
      <c r="AI1089" s="81">
        <f>IF(AN1089="","",IF(Q1089="Sin Factura",0,IFERROR(INDEX(Facturas_Odoo!$H:$H, MATCH(Q1089, Facturas_Odoo!$B:$B, 0)), 0)*(1-AG1089)))</f>
        <v/>
      </c>
      <c r="AJ1089" s="81">
        <f>IF(AN1089="","",_xlfn.LET(idVenta, AN1089&amp;"",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89" s="81">
        <f>IF(AN1089="","",AH1089-AJ1089)</f>
        <v/>
      </c>
      <c r="AL1089" s="81">
        <f>IF(AN1089="","",IF(Q1089="Sin Factura","",AI1089-AJ1089))</f>
        <v/>
      </c>
      <c r="AM1089" s="81">
        <f>IF(AN1089="","",IF(Q1089="Sin Factura",0,P1089-IFERROR(INDEX(Facturas_Odoo!$H:$H, MATCH(Q1089, Facturas_Odoo!$B:$B, 0)), 0)))</f>
        <v/>
      </c>
      <c r="AN1089" s="79">
        <f>IF(AND(A1089="", J1089=""), "", IF(A1089&lt;&gt;"", VALUE(MID(A1089,2,LEN(A1089))), AN1088))</f>
        <v/>
      </c>
      <c r="AO1089" s="79">
        <f>IF(AN1089="","",IF(AD1089=0,"OK",_xlfn.LET(monedaPago, IF(AA1089="","USD",AA1089), limitePermitido, IFERROR(VLOOKUP(monedaPago, Configuración!$A$2:$B$3, 2, FALSE), 0.15), IF(AD1089&gt;limitePermitido, "ALERTA: EXCESO (" &amp; TEXT(limitePermitido, "0%") &amp; " máx)", "OK"))))</f>
        <v/>
      </c>
      <c r="AP1089" s="79">
        <f>IF(AN1089="","",IF(AE1089=0,"OK",_xlfn.LET(fechaPago, Z1089, fechaFactura, R1089, diasCredito, IF(E1089="Pago inmediato", 0, IFERROR(VALUE(MID(E1089, 1, SEARCH(" ", E1089)-1)),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89" s="79">
        <f>IF(AN1089="","",IF(AND(N1089&gt;0, AG1089&gt;0), IF(Configuración!$K$2="NO", "ALERTA: DESCUENTO DOBLE NO PERMITIDO", "OK"), "OK"))</f>
        <v/>
      </c>
      <c r="AR1089" s="79">
        <f>IF(AN1089="","",IF(OR(AO1089&lt;&gt;"OK", AP1089&lt;&gt;"OK", AQ1089&lt;&gt;"OK"), "⚠️ REVISAR", "OK"))</f>
        <v/>
      </c>
    </row>
    <row r="1090">
      <c r="A1090" s="79">
        <f>IF('Ordenes_Odoo'!A1090="","",'Ordenes_Odoo'!A1090)</f>
        <v/>
      </c>
      <c r="B1090" s="80">
        <f>IF('Ordenes_Odoo'!B1090="","",'Ordenes_Odoo'!B1090)</f>
        <v/>
      </c>
      <c r="C1090" s="79">
        <f>IF('Ordenes_Odoo'!C1090="","",'Ordenes_Odoo'!C1090)</f>
        <v/>
      </c>
      <c r="D1090" s="79">
        <f>IF('Ordenes_Odoo'!D1090="","",'Ordenes_Odoo'!D1090)</f>
        <v/>
      </c>
      <c r="E1090" s="79">
        <f>IF('Ordenes_Odoo'!E1090="","",'Ordenes_Odoo'!E1090)</f>
        <v/>
      </c>
      <c r="F1090" s="79">
        <f>IF('Ordenes_Odoo'!F1090="","",'Ordenes_Odoo'!F1090)</f>
        <v/>
      </c>
      <c r="G1090" s="79">
        <f>IF('Ordenes_Odoo'!G1090="","",'Ordenes_Odoo'!G1090)</f>
        <v/>
      </c>
      <c r="H1090" s="79">
        <f>IF('Ordenes_Odoo'!H1090="","",'Ordenes_Odoo'!H1090)</f>
        <v/>
      </c>
      <c r="I1090" s="79">
        <f>IF('Ordenes_Odoo'!I1090="","",'Ordenes_Odoo'!I1090)</f>
        <v/>
      </c>
      <c r="J1090" s="79">
        <f>IF('Ordenes_Odoo'!J1090="","",'Ordenes_Odoo'!J1090)</f>
        <v/>
      </c>
      <c r="K1090" s="81">
        <f>IF('Ordenes_Odoo'!K1090="","",'Ordenes_Odoo'!K1090)</f>
        <v/>
      </c>
      <c r="L1090" s="81">
        <f>IF('Ordenes_Odoo'!L1090="","",'Ordenes_Odoo'!L1090)</f>
        <v/>
      </c>
      <c r="M1090" s="79">
        <f>IF('Ordenes_Odoo'!M1090="","",'Ordenes_Odoo'!M1090)</f>
        <v/>
      </c>
      <c r="N1090" s="79">
        <f>IF('Ordenes_Odoo'!N1090="","",'Ordenes_Odoo'!N1090)</f>
        <v/>
      </c>
      <c r="O1090" s="81">
        <f>IF('Ordenes_Odoo'!O1090="","",'Ordenes_Odoo'!O1090)</f>
        <v/>
      </c>
      <c r="P1090" s="81">
        <f>IF('Ordenes_Odoo'!P1090="","",'Ordenes_Odoo'!P1090)</f>
        <v/>
      </c>
      <c r="Q1090" s="79">
        <f>IF(A1090="","",IFERROR(INDEX(Facturas_Odoo!$B:$B, MATCH(A1090, Facturas_Odoo!$D:$D, 0)), "Sin Factura"))</f>
        <v/>
      </c>
      <c r="R1090" s="80">
        <f>IF(Q1090="Sin Factura","",IFERROR(INDEX(Facturas_Odoo!$A:$A, MATCH(Q1090, Facturas_Odoo!$B:$B, 0)), ""))</f>
        <v/>
      </c>
      <c r="S1090" s="79">
        <f>IF(Q1090="Sin Factura","",IFERROR(_xlfn.XLOOKUP(1, (Facturas_Odoo!$D:$D=A1090) * (Facturas_Odoo!$K:$K=I1090), Facturas_Odoo!$L:$L, ""), ""))</f>
        <v/>
      </c>
      <c r="T1090" s="81">
        <f>IF(Q1090="Sin Factura",0,IFERROR(_xlfn.XLOOKUP(1, (Facturas_Odoo!$D:$D=A1090) * (Facturas_Odoo!$K:$K=I1090), Facturas_Odoo!$M:$M, 0), 0))</f>
        <v/>
      </c>
      <c r="U1090" s="79">
        <f>IF(Q1090="Sin Factura",0,IFERROR(_xlfn.XLOOKUP(1, (Facturas_Odoo!$D:$D=A1090) * (Facturas_Odoo!$K:$K=I1090), Facturas_Odoo!$N:$N, 0), 0))</f>
        <v/>
      </c>
      <c r="V1090" s="79">
        <f>IF(Q1090="Sin Factura",0,IFERROR(_xlfn.XLOOKUP(1, (Facturas_Odoo!$D:$D=A1090) * (Facturas_Odoo!$K:$K=I1090), Facturas_Odoo!$O:$O, 0), 0))</f>
        <v/>
      </c>
      <c r="W1090" s="81">
        <f>IF(Q1090="Sin Factura",0,IFERROR(_xlfn.XLOOKUP(1, (Facturas_Odoo!$D:$D=A1090) * (Facturas_Odoo!$K:$K=I1090), Facturas_Odoo!$Q:$Q, 0), 0))</f>
        <v/>
      </c>
      <c r="X1090" s="79">
        <f>IF(OR(Q1090="Sin Factura",Q1090=""),"",IFERROR(INDEX(Pagos_Odoo!$B:$B, MATCH(Q1090, Pagos_Odoo!$I:$I, 0)), "Sin Pago"))</f>
        <v/>
      </c>
      <c r="Y1090" s="79">
        <f>IF(X1090="Sin Pago","",IFERROR(INDEX(Pagos_Odoo!$C:$C, MATCH(X1090, Pagos_Odoo!$B:$B, 0)), ""))</f>
        <v/>
      </c>
      <c r="Z1090" s="80">
        <f>IF(X1090="Sin Pago","",IFERROR(INDEX(Pagos_Odoo!$A:$A, MATCH(X1090, Pagos_Odoo!$B:$B, 0)), ""))</f>
        <v/>
      </c>
      <c r="AA1090" s="79">
        <f>IF(X1090="Sin Pago","",IFERROR(INDEX(Pagos_Odoo!$F:$F, MATCH(X1090, Pagos_Odoo!$B:$B, 0)), ""))</f>
        <v/>
      </c>
      <c r="AB1090" s="81">
        <f>IF(X1090="Sin Pago",0,IFERROR(INDEX(Pagos_Odoo!$E:$E, MATCH(X1090, Pagos_Odoo!$B:$B, 0)), 0))</f>
        <v/>
      </c>
      <c r="AC1090" s="79">
        <f>IF(X1090="Sin Pago","",IFERROR(INDEX(Pagos_Odoo!$G:$G, MATCH(X1090, Pagos_Odoo!$B:$B, 0)), ""))</f>
        <v/>
      </c>
      <c r="AD1090" s="82" t="n">
        <v>0</v>
      </c>
      <c r="AE1090" s="82" t="n"/>
      <c r="AF1090" s="82" t="n"/>
      <c r="AG1090" s="82">
        <f>IF(AN1090="","",AD1090+AE1090+AF1090)</f>
        <v/>
      </c>
      <c r="AH1090" s="81">
        <f>IF(AN1090="","",P1090*(1-AG1090))</f>
        <v/>
      </c>
      <c r="AI1090" s="81">
        <f>IF(AN1090="","",IF(Q1090="Sin Factura",0,IFERROR(INDEX(Facturas_Odoo!$H:$H, MATCH(Q1090, Facturas_Odoo!$B:$B, 0)), 0)*(1-AG1090)))</f>
        <v/>
      </c>
      <c r="AJ1090" s="81">
        <f>IF(AN1090="","",_xlfn.LET(idVenta, AN1090&amp;"",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90" s="81">
        <f>IF(AN1090="","",AH1090-AJ1090)</f>
        <v/>
      </c>
      <c r="AL1090" s="81">
        <f>IF(AN1090="","",IF(Q1090="Sin Factura","",AI1090-AJ1090))</f>
        <v/>
      </c>
      <c r="AM1090" s="81">
        <f>IF(AN1090="","",IF(Q1090="Sin Factura",0,P1090-IFERROR(INDEX(Facturas_Odoo!$H:$H, MATCH(Q1090, Facturas_Odoo!$B:$B, 0)), 0)))</f>
        <v/>
      </c>
      <c r="AN1090" s="79">
        <f>IF(AND(A1090="", J1090=""), "", IF(A1090&lt;&gt;"", VALUE(MID(A1090,2,LEN(A1090))), AN1089))</f>
        <v/>
      </c>
      <c r="AO1090" s="79">
        <f>IF(AN1090="","",IF(AD1090=0,"OK",_xlfn.LET(monedaPago, IF(AA1090="","USD",AA1090), limitePermitido, IFERROR(VLOOKUP(monedaPago, Configuración!$A$2:$B$3, 2, FALSE), 0.15), IF(AD1090&gt;limitePermitido, "ALERTA: EXCESO (" &amp; TEXT(limitePermitido, "0%") &amp; " máx)", "OK"))))</f>
        <v/>
      </c>
      <c r="AP1090" s="79">
        <f>IF(AN1090="","",IF(AE1090=0,"OK",_xlfn.LET(fechaPago, Z1090, fechaFactura, R1090, diasCredito, IF(E1090="Pago inmediato", 0, IFERROR(VALUE(MID(E1090, 1, SEARCH(" ", E1090)-1)),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90" s="79">
        <f>IF(AN1090="","",IF(AND(N1090&gt;0, AG1090&gt;0), IF(Configuración!$K$2="NO", "ALERTA: DESCUENTO DOBLE NO PERMITIDO", "OK"), "OK"))</f>
        <v/>
      </c>
      <c r="AR1090" s="79">
        <f>IF(AN1090="","",IF(OR(AO1090&lt;&gt;"OK", AP1090&lt;&gt;"OK", AQ1090&lt;&gt;"OK"), "⚠️ REVISAR", "OK"))</f>
        <v/>
      </c>
    </row>
    <row r="1091">
      <c r="A1091" s="79">
        <f>IF('Ordenes_Odoo'!A1091="","",'Ordenes_Odoo'!A1091)</f>
        <v/>
      </c>
      <c r="B1091" s="80">
        <f>IF('Ordenes_Odoo'!B1091="","",'Ordenes_Odoo'!B1091)</f>
        <v/>
      </c>
      <c r="C1091" s="79">
        <f>IF('Ordenes_Odoo'!C1091="","",'Ordenes_Odoo'!C1091)</f>
        <v/>
      </c>
      <c r="D1091" s="79">
        <f>IF('Ordenes_Odoo'!D1091="","",'Ordenes_Odoo'!D1091)</f>
        <v/>
      </c>
      <c r="E1091" s="79">
        <f>IF('Ordenes_Odoo'!E1091="","",'Ordenes_Odoo'!E1091)</f>
        <v/>
      </c>
      <c r="F1091" s="79">
        <f>IF('Ordenes_Odoo'!F1091="","",'Ordenes_Odoo'!F1091)</f>
        <v/>
      </c>
      <c r="G1091" s="79">
        <f>IF('Ordenes_Odoo'!G1091="","",'Ordenes_Odoo'!G1091)</f>
        <v/>
      </c>
      <c r="H1091" s="79">
        <f>IF('Ordenes_Odoo'!H1091="","",'Ordenes_Odoo'!H1091)</f>
        <v/>
      </c>
      <c r="I1091" s="79">
        <f>IF('Ordenes_Odoo'!I1091="","",'Ordenes_Odoo'!I1091)</f>
        <v/>
      </c>
      <c r="J1091" s="79">
        <f>IF('Ordenes_Odoo'!J1091="","",'Ordenes_Odoo'!J1091)</f>
        <v/>
      </c>
      <c r="K1091" s="81">
        <f>IF('Ordenes_Odoo'!K1091="","",'Ordenes_Odoo'!K1091)</f>
        <v/>
      </c>
      <c r="L1091" s="81">
        <f>IF('Ordenes_Odoo'!L1091="","",'Ordenes_Odoo'!L1091)</f>
        <v/>
      </c>
      <c r="M1091" s="79">
        <f>IF('Ordenes_Odoo'!M1091="","",'Ordenes_Odoo'!M1091)</f>
        <v/>
      </c>
      <c r="N1091" s="79">
        <f>IF('Ordenes_Odoo'!N1091="","",'Ordenes_Odoo'!N1091)</f>
        <v/>
      </c>
      <c r="O1091" s="81">
        <f>IF('Ordenes_Odoo'!O1091="","",'Ordenes_Odoo'!O1091)</f>
        <v/>
      </c>
      <c r="P1091" s="81">
        <f>IF('Ordenes_Odoo'!P1091="","",'Ordenes_Odoo'!P1091)</f>
        <v/>
      </c>
      <c r="Q1091" s="79">
        <f>IF(A1091="","",IFERROR(INDEX(Facturas_Odoo!$B:$B, MATCH(A1091, Facturas_Odoo!$D:$D, 0)), "Sin Factura"))</f>
        <v/>
      </c>
      <c r="R1091" s="80">
        <f>IF(Q1091="Sin Factura","",IFERROR(INDEX(Facturas_Odoo!$A:$A, MATCH(Q1091, Facturas_Odoo!$B:$B, 0)), ""))</f>
        <v/>
      </c>
      <c r="S1091" s="79">
        <f>IF(Q1091="Sin Factura","",IFERROR(_xlfn.XLOOKUP(1, (Facturas_Odoo!$D:$D=A1091) * (Facturas_Odoo!$K:$K=I1091), Facturas_Odoo!$L:$L, ""), ""))</f>
        <v/>
      </c>
      <c r="T1091" s="81">
        <f>IF(Q1091="Sin Factura",0,IFERROR(_xlfn.XLOOKUP(1, (Facturas_Odoo!$D:$D=A1091) * (Facturas_Odoo!$K:$K=I1091), Facturas_Odoo!$M:$M, 0), 0))</f>
        <v/>
      </c>
      <c r="U1091" s="79">
        <f>IF(Q1091="Sin Factura",0,IFERROR(_xlfn.XLOOKUP(1, (Facturas_Odoo!$D:$D=A1091) * (Facturas_Odoo!$K:$K=I1091), Facturas_Odoo!$N:$N, 0), 0))</f>
        <v/>
      </c>
      <c r="V1091" s="79">
        <f>IF(Q1091="Sin Factura",0,IFERROR(_xlfn.XLOOKUP(1, (Facturas_Odoo!$D:$D=A1091) * (Facturas_Odoo!$K:$K=I1091), Facturas_Odoo!$O:$O, 0), 0))</f>
        <v/>
      </c>
      <c r="W1091" s="81">
        <f>IF(Q1091="Sin Factura",0,IFERROR(_xlfn.XLOOKUP(1, (Facturas_Odoo!$D:$D=A1091) * (Facturas_Odoo!$K:$K=I1091), Facturas_Odoo!$Q:$Q, 0), 0))</f>
        <v/>
      </c>
      <c r="X1091" s="79">
        <f>IF(OR(Q1091="Sin Factura",Q1091=""),"",IFERROR(INDEX(Pagos_Odoo!$B:$B, MATCH(Q1091, Pagos_Odoo!$I:$I, 0)), "Sin Pago"))</f>
        <v/>
      </c>
      <c r="Y1091" s="79">
        <f>IF(X1091="Sin Pago","",IFERROR(INDEX(Pagos_Odoo!$C:$C, MATCH(X1091, Pagos_Odoo!$B:$B, 0)), ""))</f>
        <v/>
      </c>
      <c r="Z1091" s="80">
        <f>IF(X1091="Sin Pago","",IFERROR(INDEX(Pagos_Odoo!$A:$A, MATCH(X1091, Pagos_Odoo!$B:$B, 0)), ""))</f>
        <v/>
      </c>
      <c r="AA1091" s="79">
        <f>IF(X1091="Sin Pago","",IFERROR(INDEX(Pagos_Odoo!$F:$F, MATCH(X1091, Pagos_Odoo!$B:$B, 0)), ""))</f>
        <v/>
      </c>
      <c r="AB1091" s="81">
        <f>IF(X1091="Sin Pago",0,IFERROR(INDEX(Pagos_Odoo!$E:$E, MATCH(X1091, Pagos_Odoo!$B:$B, 0)), 0))</f>
        <v/>
      </c>
      <c r="AC1091" s="79">
        <f>IF(X1091="Sin Pago","",IFERROR(INDEX(Pagos_Odoo!$G:$G, MATCH(X1091, Pagos_Odoo!$B:$B, 0)), ""))</f>
        <v/>
      </c>
      <c r="AD1091" s="82" t="n">
        <v>0</v>
      </c>
      <c r="AE1091" s="82" t="n"/>
      <c r="AF1091" s="82" t="n"/>
      <c r="AG1091" s="82">
        <f>IF(AN1091="","",AD1091+AE1091+AF1091)</f>
        <v/>
      </c>
      <c r="AH1091" s="81">
        <f>IF(AN1091="","",P1091*(1-AG1091))</f>
        <v/>
      </c>
      <c r="AI1091" s="81">
        <f>IF(AN1091="","",IF(Q1091="Sin Factura",0,IFERROR(INDEX(Facturas_Odoo!$H:$H, MATCH(Q1091, Facturas_Odoo!$B:$B, 0)), 0)*(1-AG1091)))</f>
        <v/>
      </c>
      <c r="AJ1091" s="81">
        <f>IF(AN1091="","",_xlfn.LET(idVenta, AN1091&amp;"",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91" s="81">
        <f>IF(AN1091="","",AH1091-AJ1091)</f>
        <v/>
      </c>
      <c r="AL1091" s="81">
        <f>IF(AN1091="","",IF(Q1091="Sin Factura","",AI1091-AJ1091))</f>
        <v/>
      </c>
      <c r="AM1091" s="81">
        <f>IF(AN1091="","",IF(Q1091="Sin Factura",0,P1091-IFERROR(INDEX(Facturas_Odoo!$H:$H, MATCH(Q1091, Facturas_Odoo!$B:$B, 0)), 0)))</f>
        <v/>
      </c>
      <c r="AN1091" s="79">
        <f>IF(AND(A1091="", J1091=""), "", IF(A1091&lt;&gt;"", VALUE(MID(A1091,2,LEN(A1091))), AN1090))</f>
        <v/>
      </c>
      <c r="AO1091" s="79">
        <f>IF(AN1091="","",IF(AD1091=0,"OK",_xlfn.LET(monedaPago, IF(AA1091="","USD",AA1091), limitePermitido, IFERROR(VLOOKUP(monedaPago, Configuración!$A$2:$B$3, 2, FALSE), 0.15), IF(AD1091&gt;limitePermitido, "ALERTA: EXCESO (" &amp; TEXT(limitePermitido, "0%") &amp; " máx)", "OK"))))</f>
        <v/>
      </c>
      <c r="AP1091" s="79">
        <f>IF(AN1091="","",IF(AE1091=0,"OK",_xlfn.LET(fechaPago, Z1091, fechaFactura, R1091, diasCredito, IF(E1091="Pago inmediato", 0, IFERROR(VALUE(MID(E1091, 1, SEARCH(" ", E1091)-1)),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91" s="79">
        <f>IF(AN1091="","",IF(AND(N1091&gt;0, AG1091&gt;0), IF(Configuración!$K$2="NO", "ALERTA: DESCUENTO DOBLE NO PERMITIDO", "OK"), "OK"))</f>
        <v/>
      </c>
      <c r="AR1091" s="79">
        <f>IF(AN1091="","",IF(OR(AO1091&lt;&gt;"OK", AP1091&lt;&gt;"OK", AQ1091&lt;&gt;"OK"), "⚠️ REVISAR", "OK"))</f>
        <v/>
      </c>
    </row>
    <row r="1092">
      <c r="A1092" s="79">
        <f>IF('Ordenes_Odoo'!A1092="","",'Ordenes_Odoo'!A1092)</f>
        <v/>
      </c>
      <c r="B1092" s="80">
        <f>IF('Ordenes_Odoo'!B1092="","",'Ordenes_Odoo'!B1092)</f>
        <v/>
      </c>
      <c r="C1092" s="79">
        <f>IF('Ordenes_Odoo'!C1092="","",'Ordenes_Odoo'!C1092)</f>
        <v/>
      </c>
      <c r="D1092" s="79">
        <f>IF('Ordenes_Odoo'!D1092="","",'Ordenes_Odoo'!D1092)</f>
        <v/>
      </c>
      <c r="E1092" s="79">
        <f>IF('Ordenes_Odoo'!E1092="","",'Ordenes_Odoo'!E1092)</f>
        <v/>
      </c>
      <c r="F1092" s="79">
        <f>IF('Ordenes_Odoo'!F1092="","",'Ordenes_Odoo'!F1092)</f>
        <v/>
      </c>
      <c r="G1092" s="79">
        <f>IF('Ordenes_Odoo'!G1092="","",'Ordenes_Odoo'!G1092)</f>
        <v/>
      </c>
      <c r="H1092" s="79">
        <f>IF('Ordenes_Odoo'!H1092="","",'Ordenes_Odoo'!H1092)</f>
        <v/>
      </c>
      <c r="I1092" s="79">
        <f>IF('Ordenes_Odoo'!I1092="","",'Ordenes_Odoo'!I1092)</f>
        <v/>
      </c>
      <c r="J1092" s="79">
        <f>IF('Ordenes_Odoo'!J1092="","",'Ordenes_Odoo'!J1092)</f>
        <v/>
      </c>
      <c r="K1092" s="81">
        <f>IF('Ordenes_Odoo'!K1092="","",'Ordenes_Odoo'!K1092)</f>
        <v/>
      </c>
      <c r="L1092" s="81">
        <f>IF('Ordenes_Odoo'!L1092="","",'Ordenes_Odoo'!L1092)</f>
        <v/>
      </c>
      <c r="M1092" s="79">
        <f>IF('Ordenes_Odoo'!M1092="","",'Ordenes_Odoo'!M1092)</f>
        <v/>
      </c>
      <c r="N1092" s="79">
        <f>IF('Ordenes_Odoo'!N1092="","",'Ordenes_Odoo'!N1092)</f>
        <v/>
      </c>
      <c r="O1092" s="81">
        <f>IF('Ordenes_Odoo'!O1092="","",'Ordenes_Odoo'!O1092)</f>
        <v/>
      </c>
      <c r="P1092" s="81">
        <f>IF('Ordenes_Odoo'!P1092="","",'Ordenes_Odoo'!P1092)</f>
        <v/>
      </c>
      <c r="Q1092" s="79">
        <f>IF(A1092="","",IFERROR(INDEX(Facturas_Odoo!$B:$B, MATCH(A1092, Facturas_Odoo!$D:$D, 0)), "Sin Factura"))</f>
        <v/>
      </c>
      <c r="R1092" s="80">
        <f>IF(Q1092="Sin Factura","",IFERROR(INDEX(Facturas_Odoo!$A:$A, MATCH(Q1092, Facturas_Odoo!$B:$B, 0)), ""))</f>
        <v/>
      </c>
      <c r="S1092" s="79">
        <f>IF(Q1092="Sin Factura","",IFERROR(_xlfn.XLOOKUP(1, (Facturas_Odoo!$D:$D=A1092) * (Facturas_Odoo!$K:$K=I1092), Facturas_Odoo!$L:$L, ""), ""))</f>
        <v/>
      </c>
      <c r="T1092" s="81">
        <f>IF(Q1092="Sin Factura",0,IFERROR(_xlfn.XLOOKUP(1, (Facturas_Odoo!$D:$D=A1092) * (Facturas_Odoo!$K:$K=I1092), Facturas_Odoo!$M:$M, 0), 0))</f>
        <v/>
      </c>
      <c r="U1092" s="79">
        <f>IF(Q1092="Sin Factura",0,IFERROR(_xlfn.XLOOKUP(1, (Facturas_Odoo!$D:$D=A1092) * (Facturas_Odoo!$K:$K=I1092), Facturas_Odoo!$N:$N, 0), 0))</f>
        <v/>
      </c>
      <c r="V1092" s="79">
        <f>IF(Q1092="Sin Factura",0,IFERROR(_xlfn.XLOOKUP(1, (Facturas_Odoo!$D:$D=A1092) * (Facturas_Odoo!$K:$K=I1092), Facturas_Odoo!$O:$O, 0), 0))</f>
        <v/>
      </c>
      <c r="W1092" s="81">
        <f>IF(Q1092="Sin Factura",0,IFERROR(_xlfn.XLOOKUP(1, (Facturas_Odoo!$D:$D=A1092) * (Facturas_Odoo!$K:$K=I1092), Facturas_Odoo!$Q:$Q, 0), 0))</f>
        <v/>
      </c>
      <c r="X1092" s="79">
        <f>IF(OR(Q1092="Sin Factura",Q1092=""),"",IFERROR(INDEX(Pagos_Odoo!$B:$B, MATCH(Q1092, Pagos_Odoo!$I:$I, 0)), "Sin Pago"))</f>
        <v/>
      </c>
      <c r="Y1092" s="79">
        <f>IF(X1092="Sin Pago","",IFERROR(INDEX(Pagos_Odoo!$C:$C, MATCH(X1092, Pagos_Odoo!$B:$B, 0)), ""))</f>
        <v/>
      </c>
      <c r="Z1092" s="80">
        <f>IF(X1092="Sin Pago","",IFERROR(INDEX(Pagos_Odoo!$A:$A, MATCH(X1092, Pagos_Odoo!$B:$B, 0)), ""))</f>
        <v/>
      </c>
      <c r="AA1092" s="79">
        <f>IF(X1092="Sin Pago","",IFERROR(INDEX(Pagos_Odoo!$F:$F, MATCH(X1092, Pagos_Odoo!$B:$B, 0)), ""))</f>
        <v/>
      </c>
      <c r="AB1092" s="81">
        <f>IF(X1092="Sin Pago",0,IFERROR(INDEX(Pagos_Odoo!$E:$E, MATCH(X1092, Pagos_Odoo!$B:$B, 0)), 0))</f>
        <v/>
      </c>
      <c r="AC1092" s="79">
        <f>IF(X1092="Sin Pago","",IFERROR(INDEX(Pagos_Odoo!$G:$G, MATCH(X1092, Pagos_Odoo!$B:$B, 0)), ""))</f>
        <v/>
      </c>
      <c r="AD1092" s="82" t="n">
        <v>0</v>
      </c>
      <c r="AE1092" s="82" t="n"/>
      <c r="AF1092" s="82" t="n"/>
      <c r="AG1092" s="82">
        <f>IF(AN1092="","",AD1092+AE1092+AF1092)</f>
        <v/>
      </c>
      <c r="AH1092" s="81">
        <f>IF(AN1092="","",P1092*(1-AG1092))</f>
        <v/>
      </c>
      <c r="AI1092" s="81">
        <f>IF(AN1092="","",IF(Q1092="Sin Factura",0,IFERROR(INDEX(Facturas_Odoo!$H:$H, MATCH(Q1092, Facturas_Odoo!$B:$B, 0)), 0)*(1-AG1092)))</f>
        <v/>
      </c>
      <c r="AJ1092" s="81">
        <f>IF(AN1092="","",_xlfn.LET(idVenta, AN1092&amp;"",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92" s="81">
        <f>IF(AN1092="","",AH1092-AJ1092)</f>
        <v/>
      </c>
      <c r="AL1092" s="81">
        <f>IF(AN1092="","",IF(Q1092="Sin Factura","",AI1092-AJ1092))</f>
        <v/>
      </c>
      <c r="AM1092" s="81">
        <f>IF(AN1092="","",IF(Q1092="Sin Factura",0,P1092-IFERROR(INDEX(Facturas_Odoo!$H:$H, MATCH(Q1092, Facturas_Odoo!$B:$B, 0)), 0)))</f>
        <v/>
      </c>
      <c r="AN1092" s="79">
        <f>IF(AND(A1092="", J1092=""), "", IF(A1092&lt;&gt;"", VALUE(MID(A1092,2,LEN(A1092))), AN1091))</f>
        <v/>
      </c>
      <c r="AO1092" s="79">
        <f>IF(AN1092="","",IF(AD1092=0,"OK",_xlfn.LET(monedaPago, IF(AA1092="","USD",AA1092), limitePermitido, IFERROR(VLOOKUP(monedaPago, Configuración!$A$2:$B$3, 2, FALSE), 0.15), IF(AD1092&gt;limitePermitido, "ALERTA: EXCESO (" &amp; TEXT(limitePermitido, "0%") &amp; " máx)", "OK"))))</f>
        <v/>
      </c>
      <c r="AP1092" s="79">
        <f>IF(AN1092="","",IF(AE1092=0,"OK",_xlfn.LET(fechaPago, Z1092, fechaFactura, R1092, diasCredito, IF(E1092="Pago inmediato", 0, IFERROR(VALUE(MID(E1092, 1, SEARCH(" ", E1092)-1)),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92" s="79">
        <f>IF(AN1092="","",IF(AND(N1092&gt;0, AG1092&gt;0), IF(Configuración!$K$2="NO", "ALERTA: DESCUENTO DOBLE NO PERMITIDO", "OK"), "OK"))</f>
        <v/>
      </c>
      <c r="AR1092" s="79">
        <f>IF(AN1092="","",IF(OR(AO1092&lt;&gt;"OK", AP1092&lt;&gt;"OK", AQ1092&lt;&gt;"OK"), "⚠️ REVISAR", "OK"))</f>
        <v/>
      </c>
    </row>
    <row r="1093">
      <c r="A1093" s="79">
        <f>IF('Ordenes_Odoo'!A1093="","",'Ordenes_Odoo'!A1093)</f>
        <v/>
      </c>
      <c r="B1093" s="80">
        <f>IF('Ordenes_Odoo'!B1093="","",'Ordenes_Odoo'!B1093)</f>
        <v/>
      </c>
      <c r="C1093" s="79">
        <f>IF('Ordenes_Odoo'!C1093="","",'Ordenes_Odoo'!C1093)</f>
        <v/>
      </c>
      <c r="D1093" s="79">
        <f>IF('Ordenes_Odoo'!D1093="","",'Ordenes_Odoo'!D1093)</f>
        <v/>
      </c>
      <c r="E1093" s="79">
        <f>IF('Ordenes_Odoo'!E1093="","",'Ordenes_Odoo'!E1093)</f>
        <v/>
      </c>
      <c r="F1093" s="79">
        <f>IF('Ordenes_Odoo'!F1093="","",'Ordenes_Odoo'!F1093)</f>
        <v/>
      </c>
      <c r="G1093" s="79">
        <f>IF('Ordenes_Odoo'!G1093="","",'Ordenes_Odoo'!G1093)</f>
        <v/>
      </c>
      <c r="H1093" s="79">
        <f>IF('Ordenes_Odoo'!H1093="","",'Ordenes_Odoo'!H1093)</f>
        <v/>
      </c>
      <c r="I1093" s="79">
        <f>IF('Ordenes_Odoo'!I1093="","",'Ordenes_Odoo'!I1093)</f>
        <v/>
      </c>
      <c r="J1093" s="79">
        <f>IF('Ordenes_Odoo'!J1093="","",'Ordenes_Odoo'!J1093)</f>
        <v/>
      </c>
      <c r="K1093" s="81">
        <f>IF('Ordenes_Odoo'!K1093="","",'Ordenes_Odoo'!K1093)</f>
        <v/>
      </c>
      <c r="L1093" s="81">
        <f>IF('Ordenes_Odoo'!L1093="","",'Ordenes_Odoo'!L1093)</f>
        <v/>
      </c>
      <c r="M1093" s="79">
        <f>IF('Ordenes_Odoo'!M1093="","",'Ordenes_Odoo'!M1093)</f>
        <v/>
      </c>
      <c r="N1093" s="79">
        <f>IF('Ordenes_Odoo'!N1093="","",'Ordenes_Odoo'!N1093)</f>
        <v/>
      </c>
      <c r="O1093" s="81">
        <f>IF('Ordenes_Odoo'!O1093="","",'Ordenes_Odoo'!O1093)</f>
        <v/>
      </c>
      <c r="P1093" s="81">
        <f>IF('Ordenes_Odoo'!P1093="","",'Ordenes_Odoo'!P1093)</f>
        <v/>
      </c>
      <c r="Q1093" s="79">
        <f>IF(A1093="","",IFERROR(INDEX(Facturas_Odoo!$B:$B, MATCH(A1093, Facturas_Odoo!$D:$D, 0)), "Sin Factura"))</f>
        <v/>
      </c>
      <c r="R1093" s="80">
        <f>IF(Q1093="Sin Factura","",IFERROR(INDEX(Facturas_Odoo!$A:$A, MATCH(Q1093, Facturas_Odoo!$B:$B, 0)), ""))</f>
        <v/>
      </c>
      <c r="S1093" s="79">
        <f>IF(Q1093="Sin Factura","",IFERROR(_xlfn.XLOOKUP(1, (Facturas_Odoo!$D:$D=A1093) * (Facturas_Odoo!$K:$K=I1093), Facturas_Odoo!$L:$L, ""), ""))</f>
        <v/>
      </c>
      <c r="T1093" s="81">
        <f>IF(Q1093="Sin Factura",0,IFERROR(_xlfn.XLOOKUP(1, (Facturas_Odoo!$D:$D=A1093) * (Facturas_Odoo!$K:$K=I1093), Facturas_Odoo!$M:$M, 0), 0))</f>
        <v/>
      </c>
      <c r="U1093" s="79">
        <f>IF(Q1093="Sin Factura",0,IFERROR(_xlfn.XLOOKUP(1, (Facturas_Odoo!$D:$D=A1093) * (Facturas_Odoo!$K:$K=I1093), Facturas_Odoo!$N:$N, 0), 0))</f>
        <v/>
      </c>
      <c r="V1093" s="79">
        <f>IF(Q1093="Sin Factura",0,IFERROR(_xlfn.XLOOKUP(1, (Facturas_Odoo!$D:$D=A1093) * (Facturas_Odoo!$K:$K=I1093), Facturas_Odoo!$O:$O, 0), 0))</f>
        <v/>
      </c>
      <c r="W1093" s="81">
        <f>IF(Q1093="Sin Factura",0,IFERROR(_xlfn.XLOOKUP(1, (Facturas_Odoo!$D:$D=A1093) * (Facturas_Odoo!$K:$K=I1093), Facturas_Odoo!$Q:$Q, 0), 0))</f>
        <v/>
      </c>
      <c r="X1093" s="79">
        <f>IF(OR(Q1093="Sin Factura",Q1093=""),"",IFERROR(INDEX(Pagos_Odoo!$B:$B, MATCH(Q1093, Pagos_Odoo!$I:$I, 0)), "Sin Pago"))</f>
        <v/>
      </c>
      <c r="Y1093" s="79">
        <f>IF(X1093="Sin Pago","",IFERROR(INDEX(Pagos_Odoo!$C:$C, MATCH(X1093, Pagos_Odoo!$B:$B, 0)), ""))</f>
        <v/>
      </c>
      <c r="Z1093" s="80">
        <f>IF(X1093="Sin Pago","",IFERROR(INDEX(Pagos_Odoo!$A:$A, MATCH(X1093, Pagos_Odoo!$B:$B, 0)), ""))</f>
        <v/>
      </c>
      <c r="AA1093" s="79">
        <f>IF(X1093="Sin Pago","",IFERROR(INDEX(Pagos_Odoo!$F:$F, MATCH(X1093, Pagos_Odoo!$B:$B, 0)), ""))</f>
        <v/>
      </c>
      <c r="AB1093" s="81">
        <f>IF(X1093="Sin Pago",0,IFERROR(INDEX(Pagos_Odoo!$E:$E, MATCH(X1093, Pagos_Odoo!$B:$B, 0)), 0))</f>
        <v/>
      </c>
      <c r="AC1093" s="79">
        <f>IF(X1093="Sin Pago","",IFERROR(INDEX(Pagos_Odoo!$G:$G, MATCH(X1093, Pagos_Odoo!$B:$B, 0)), ""))</f>
        <v/>
      </c>
      <c r="AD1093" s="82" t="n">
        <v>0</v>
      </c>
      <c r="AE1093" s="82" t="n"/>
      <c r="AF1093" s="82" t="n"/>
      <c r="AG1093" s="82">
        <f>IF(AN1093="","",AD1093+AE1093+AF1093)</f>
        <v/>
      </c>
      <c r="AH1093" s="81">
        <f>IF(AN1093="","",P1093*(1-AG1093))</f>
        <v/>
      </c>
      <c r="AI1093" s="81">
        <f>IF(AN1093="","",IF(Q1093="Sin Factura",0,IFERROR(INDEX(Facturas_Odoo!$H:$H, MATCH(Q1093, Facturas_Odoo!$B:$B, 0)), 0)*(1-AG1093)))</f>
        <v/>
      </c>
      <c r="AJ1093" s="81">
        <f>IF(AN1093="","",_xlfn.LET(idVenta, AN1093&amp;"",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93" s="81">
        <f>IF(AN1093="","",AH1093-AJ1093)</f>
        <v/>
      </c>
      <c r="AL1093" s="81">
        <f>IF(AN1093="","",IF(Q1093="Sin Factura","",AI1093-AJ1093))</f>
        <v/>
      </c>
      <c r="AM1093" s="81">
        <f>IF(AN1093="","",IF(Q1093="Sin Factura",0,P1093-IFERROR(INDEX(Facturas_Odoo!$H:$H, MATCH(Q1093, Facturas_Odoo!$B:$B, 0)), 0)))</f>
        <v/>
      </c>
      <c r="AN1093" s="79">
        <f>IF(AND(A1093="", J1093=""), "", IF(A1093&lt;&gt;"", VALUE(MID(A1093,2,LEN(A1093))), AN1092))</f>
        <v/>
      </c>
      <c r="AO1093" s="79">
        <f>IF(AN1093="","",IF(AD1093=0,"OK",_xlfn.LET(monedaPago, IF(AA1093="","USD",AA1093), limitePermitido, IFERROR(VLOOKUP(monedaPago, Configuración!$A$2:$B$3, 2, FALSE), 0.15), IF(AD1093&gt;limitePermitido, "ALERTA: EXCESO (" &amp; TEXT(limitePermitido, "0%") &amp; " máx)", "OK"))))</f>
        <v/>
      </c>
      <c r="AP1093" s="79">
        <f>IF(AN1093="","",IF(AE1093=0,"OK",_xlfn.LET(fechaPago, Z1093, fechaFactura, R1093, diasCredito, IF(E1093="Pago inmediato", 0, IFERROR(VALUE(MID(E1093, 1, SEARCH(" ", E1093)-1)),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93" s="79">
        <f>IF(AN1093="","",IF(AND(N1093&gt;0, AG1093&gt;0), IF(Configuración!$K$2="NO", "ALERTA: DESCUENTO DOBLE NO PERMITIDO", "OK"), "OK"))</f>
        <v/>
      </c>
      <c r="AR1093" s="79">
        <f>IF(AN1093="","",IF(OR(AO1093&lt;&gt;"OK", AP1093&lt;&gt;"OK", AQ1093&lt;&gt;"OK"), "⚠️ REVISAR", "OK"))</f>
        <v/>
      </c>
    </row>
    <row r="1094">
      <c r="A1094" s="79">
        <f>IF('Ordenes_Odoo'!A1094="","",'Ordenes_Odoo'!A1094)</f>
        <v/>
      </c>
      <c r="B1094" s="80">
        <f>IF('Ordenes_Odoo'!B1094="","",'Ordenes_Odoo'!B1094)</f>
        <v/>
      </c>
      <c r="C1094" s="79">
        <f>IF('Ordenes_Odoo'!C1094="","",'Ordenes_Odoo'!C1094)</f>
        <v/>
      </c>
      <c r="D1094" s="79">
        <f>IF('Ordenes_Odoo'!D1094="","",'Ordenes_Odoo'!D1094)</f>
        <v/>
      </c>
      <c r="E1094" s="79">
        <f>IF('Ordenes_Odoo'!E1094="","",'Ordenes_Odoo'!E1094)</f>
        <v/>
      </c>
      <c r="F1094" s="79">
        <f>IF('Ordenes_Odoo'!F1094="","",'Ordenes_Odoo'!F1094)</f>
        <v/>
      </c>
      <c r="G1094" s="79">
        <f>IF('Ordenes_Odoo'!G1094="","",'Ordenes_Odoo'!G1094)</f>
        <v/>
      </c>
      <c r="H1094" s="79">
        <f>IF('Ordenes_Odoo'!H1094="","",'Ordenes_Odoo'!H1094)</f>
        <v/>
      </c>
      <c r="I1094" s="79">
        <f>IF('Ordenes_Odoo'!I1094="","",'Ordenes_Odoo'!I1094)</f>
        <v/>
      </c>
      <c r="J1094" s="79">
        <f>IF('Ordenes_Odoo'!J1094="","",'Ordenes_Odoo'!J1094)</f>
        <v/>
      </c>
      <c r="K1094" s="81">
        <f>IF('Ordenes_Odoo'!K1094="","",'Ordenes_Odoo'!K1094)</f>
        <v/>
      </c>
      <c r="L1094" s="81">
        <f>IF('Ordenes_Odoo'!L1094="","",'Ordenes_Odoo'!L1094)</f>
        <v/>
      </c>
      <c r="M1094" s="79">
        <f>IF('Ordenes_Odoo'!M1094="","",'Ordenes_Odoo'!M1094)</f>
        <v/>
      </c>
      <c r="N1094" s="79">
        <f>IF('Ordenes_Odoo'!N1094="","",'Ordenes_Odoo'!N1094)</f>
        <v/>
      </c>
      <c r="O1094" s="81">
        <f>IF('Ordenes_Odoo'!O1094="","",'Ordenes_Odoo'!O1094)</f>
        <v/>
      </c>
      <c r="P1094" s="81">
        <f>IF('Ordenes_Odoo'!P1094="","",'Ordenes_Odoo'!P1094)</f>
        <v/>
      </c>
      <c r="Q1094" s="79">
        <f>IF(A1094="","",IFERROR(INDEX(Facturas_Odoo!$B:$B, MATCH(A1094, Facturas_Odoo!$D:$D, 0)), "Sin Factura"))</f>
        <v/>
      </c>
      <c r="R1094" s="80">
        <f>IF(Q1094="Sin Factura","",IFERROR(INDEX(Facturas_Odoo!$A:$A, MATCH(Q1094, Facturas_Odoo!$B:$B, 0)), ""))</f>
        <v/>
      </c>
      <c r="S1094" s="79">
        <f>IF(Q1094="Sin Factura","",IFERROR(_xlfn.XLOOKUP(1, (Facturas_Odoo!$D:$D=A1094) * (Facturas_Odoo!$K:$K=I1094), Facturas_Odoo!$L:$L, ""), ""))</f>
        <v/>
      </c>
      <c r="T1094" s="81">
        <f>IF(Q1094="Sin Factura",0,IFERROR(_xlfn.XLOOKUP(1, (Facturas_Odoo!$D:$D=A1094) * (Facturas_Odoo!$K:$K=I1094), Facturas_Odoo!$M:$M, 0), 0))</f>
        <v/>
      </c>
      <c r="U1094" s="79">
        <f>IF(Q1094="Sin Factura",0,IFERROR(_xlfn.XLOOKUP(1, (Facturas_Odoo!$D:$D=A1094) * (Facturas_Odoo!$K:$K=I1094), Facturas_Odoo!$N:$N, 0), 0))</f>
        <v/>
      </c>
      <c r="V1094" s="79">
        <f>IF(Q1094="Sin Factura",0,IFERROR(_xlfn.XLOOKUP(1, (Facturas_Odoo!$D:$D=A1094) * (Facturas_Odoo!$K:$K=I1094), Facturas_Odoo!$O:$O, 0), 0))</f>
        <v/>
      </c>
      <c r="W1094" s="81">
        <f>IF(Q1094="Sin Factura",0,IFERROR(_xlfn.XLOOKUP(1, (Facturas_Odoo!$D:$D=A1094) * (Facturas_Odoo!$K:$K=I1094), Facturas_Odoo!$Q:$Q, 0), 0))</f>
        <v/>
      </c>
      <c r="X1094" s="79">
        <f>IF(OR(Q1094="Sin Factura",Q1094=""),"",IFERROR(INDEX(Pagos_Odoo!$B:$B, MATCH(Q1094, Pagos_Odoo!$I:$I, 0)), "Sin Pago"))</f>
        <v/>
      </c>
      <c r="Y1094" s="79">
        <f>IF(X1094="Sin Pago","",IFERROR(INDEX(Pagos_Odoo!$C:$C, MATCH(X1094, Pagos_Odoo!$B:$B, 0)), ""))</f>
        <v/>
      </c>
      <c r="Z1094" s="80">
        <f>IF(X1094="Sin Pago","",IFERROR(INDEX(Pagos_Odoo!$A:$A, MATCH(X1094, Pagos_Odoo!$B:$B, 0)), ""))</f>
        <v/>
      </c>
      <c r="AA1094" s="79">
        <f>IF(X1094="Sin Pago","",IFERROR(INDEX(Pagos_Odoo!$F:$F, MATCH(X1094, Pagos_Odoo!$B:$B, 0)), ""))</f>
        <v/>
      </c>
      <c r="AB1094" s="81">
        <f>IF(X1094="Sin Pago",0,IFERROR(INDEX(Pagos_Odoo!$E:$E, MATCH(X1094, Pagos_Odoo!$B:$B, 0)), 0))</f>
        <v/>
      </c>
      <c r="AC1094" s="79">
        <f>IF(X1094="Sin Pago","",IFERROR(INDEX(Pagos_Odoo!$G:$G, MATCH(X1094, Pagos_Odoo!$B:$B, 0)), ""))</f>
        <v/>
      </c>
      <c r="AD1094" s="82" t="n">
        <v>0</v>
      </c>
      <c r="AE1094" s="82" t="n"/>
      <c r="AF1094" s="82" t="n"/>
      <c r="AG1094" s="82">
        <f>IF(AN1094="","",AD1094+AE1094+AF1094)</f>
        <v/>
      </c>
      <c r="AH1094" s="81">
        <f>IF(AN1094="","",P1094*(1-AG1094))</f>
        <v/>
      </c>
      <c r="AI1094" s="81">
        <f>IF(AN1094="","",IF(Q1094="Sin Factura",0,IFERROR(INDEX(Facturas_Odoo!$H:$H, MATCH(Q1094, Facturas_Odoo!$B:$B, 0)), 0)*(1-AG1094)))</f>
        <v/>
      </c>
      <c r="AJ1094" s="81">
        <f>IF(AN1094="","",_xlfn.LET(idVenta, AN1094&amp;"",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94" s="81">
        <f>IF(AN1094="","",AH1094-AJ1094)</f>
        <v/>
      </c>
      <c r="AL1094" s="81">
        <f>IF(AN1094="","",IF(Q1094="Sin Factura","",AI1094-AJ1094))</f>
        <v/>
      </c>
      <c r="AM1094" s="81">
        <f>IF(AN1094="","",IF(Q1094="Sin Factura",0,P1094-IFERROR(INDEX(Facturas_Odoo!$H:$H, MATCH(Q1094, Facturas_Odoo!$B:$B, 0)), 0)))</f>
        <v/>
      </c>
      <c r="AN1094" s="79">
        <f>IF(AND(A1094="", J1094=""), "", IF(A1094&lt;&gt;"", VALUE(MID(A1094,2,LEN(A1094))), AN1093))</f>
        <v/>
      </c>
      <c r="AO1094" s="79">
        <f>IF(AN1094="","",IF(AD1094=0,"OK",_xlfn.LET(monedaPago, IF(AA1094="","USD",AA1094), limitePermitido, IFERROR(VLOOKUP(monedaPago, Configuración!$A$2:$B$3, 2, FALSE), 0.15), IF(AD1094&gt;limitePermitido, "ALERTA: EXCESO (" &amp; TEXT(limitePermitido, "0%") &amp; " máx)", "OK"))))</f>
        <v/>
      </c>
      <c r="AP1094" s="79">
        <f>IF(AN1094="","",IF(AE1094=0,"OK",_xlfn.LET(fechaPago, Z1094, fechaFactura, R1094, diasCredito, IF(E1094="Pago inmediato", 0, IFERROR(VALUE(MID(E1094, 1, SEARCH(" ", E1094)-1)),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94" s="79">
        <f>IF(AN1094="","",IF(AND(N1094&gt;0, AG1094&gt;0), IF(Configuración!$K$2="NO", "ALERTA: DESCUENTO DOBLE NO PERMITIDO", "OK"), "OK"))</f>
        <v/>
      </c>
      <c r="AR1094" s="79">
        <f>IF(AN1094="","",IF(OR(AO1094&lt;&gt;"OK", AP1094&lt;&gt;"OK", AQ1094&lt;&gt;"OK"), "⚠️ REVISAR", "OK"))</f>
        <v/>
      </c>
    </row>
    <row r="1095">
      <c r="A1095" s="79">
        <f>IF('Ordenes_Odoo'!A1095="","",'Ordenes_Odoo'!A1095)</f>
        <v/>
      </c>
      <c r="B1095" s="80">
        <f>IF('Ordenes_Odoo'!B1095="","",'Ordenes_Odoo'!B1095)</f>
        <v/>
      </c>
      <c r="C1095" s="79">
        <f>IF('Ordenes_Odoo'!C1095="","",'Ordenes_Odoo'!C1095)</f>
        <v/>
      </c>
      <c r="D1095" s="79">
        <f>IF('Ordenes_Odoo'!D1095="","",'Ordenes_Odoo'!D1095)</f>
        <v/>
      </c>
      <c r="E1095" s="79">
        <f>IF('Ordenes_Odoo'!E1095="","",'Ordenes_Odoo'!E1095)</f>
        <v/>
      </c>
      <c r="F1095" s="79">
        <f>IF('Ordenes_Odoo'!F1095="","",'Ordenes_Odoo'!F1095)</f>
        <v/>
      </c>
      <c r="G1095" s="79">
        <f>IF('Ordenes_Odoo'!G1095="","",'Ordenes_Odoo'!G1095)</f>
        <v/>
      </c>
      <c r="H1095" s="79">
        <f>IF('Ordenes_Odoo'!H1095="","",'Ordenes_Odoo'!H1095)</f>
        <v/>
      </c>
      <c r="I1095" s="79">
        <f>IF('Ordenes_Odoo'!I1095="","",'Ordenes_Odoo'!I1095)</f>
        <v/>
      </c>
      <c r="J1095" s="79">
        <f>IF('Ordenes_Odoo'!J1095="","",'Ordenes_Odoo'!J1095)</f>
        <v/>
      </c>
      <c r="K1095" s="81">
        <f>IF('Ordenes_Odoo'!K1095="","",'Ordenes_Odoo'!K1095)</f>
        <v/>
      </c>
      <c r="L1095" s="81">
        <f>IF('Ordenes_Odoo'!L1095="","",'Ordenes_Odoo'!L1095)</f>
        <v/>
      </c>
      <c r="M1095" s="79">
        <f>IF('Ordenes_Odoo'!M1095="","",'Ordenes_Odoo'!M1095)</f>
        <v/>
      </c>
      <c r="N1095" s="79">
        <f>IF('Ordenes_Odoo'!N1095="","",'Ordenes_Odoo'!N1095)</f>
        <v/>
      </c>
      <c r="O1095" s="81">
        <f>IF('Ordenes_Odoo'!O1095="","",'Ordenes_Odoo'!O1095)</f>
        <v/>
      </c>
      <c r="P1095" s="81">
        <f>IF('Ordenes_Odoo'!P1095="","",'Ordenes_Odoo'!P1095)</f>
        <v/>
      </c>
      <c r="Q1095" s="79">
        <f>IF(A1095="","",IFERROR(INDEX(Facturas_Odoo!$B:$B, MATCH(A1095, Facturas_Odoo!$D:$D, 0)), "Sin Factura"))</f>
        <v/>
      </c>
      <c r="R1095" s="80">
        <f>IF(Q1095="Sin Factura","",IFERROR(INDEX(Facturas_Odoo!$A:$A, MATCH(Q1095, Facturas_Odoo!$B:$B, 0)), ""))</f>
        <v/>
      </c>
      <c r="S1095" s="79">
        <f>IF(Q1095="Sin Factura","",IFERROR(_xlfn.XLOOKUP(1, (Facturas_Odoo!$D:$D=A1095) * (Facturas_Odoo!$K:$K=I1095), Facturas_Odoo!$L:$L, ""), ""))</f>
        <v/>
      </c>
      <c r="T1095" s="81">
        <f>IF(Q1095="Sin Factura",0,IFERROR(_xlfn.XLOOKUP(1, (Facturas_Odoo!$D:$D=A1095) * (Facturas_Odoo!$K:$K=I1095), Facturas_Odoo!$M:$M, 0), 0))</f>
        <v/>
      </c>
      <c r="U1095" s="79">
        <f>IF(Q1095="Sin Factura",0,IFERROR(_xlfn.XLOOKUP(1, (Facturas_Odoo!$D:$D=A1095) * (Facturas_Odoo!$K:$K=I1095), Facturas_Odoo!$N:$N, 0), 0))</f>
        <v/>
      </c>
      <c r="V1095" s="79">
        <f>IF(Q1095="Sin Factura",0,IFERROR(_xlfn.XLOOKUP(1, (Facturas_Odoo!$D:$D=A1095) * (Facturas_Odoo!$K:$K=I1095), Facturas_Odoo!$O:$O, 0), 0))</f>
        <v/>
      </c>
      <c r="W1095" s="81">
        <f>IF(Q1095="Sin Factura",0,IFERROR(_xlfn.XLOOKUP(1, (Facturas_Odoo!$D:$D=A1095) * (Facturas_Odoo!$K:$K=I1095), Facturas_Odoo!$Q:$Q, 0), 0))</f>
        <v/>
      </c>
      <c r="X1095" s="79">
        <f>IF(OR(Q1095="Sin Factura",Q1095=""),"",IFERROR(INDEX(Pagos_Odoo!$B:$B, MATCH(Q1095, Pagos_Odoo!$I:$I, 0)), "Sin Pago"))</f>
        <v/>
      </c>
      <c r="Y1095" s="79">
        <f>IF(X1095="Sin Pago","",IFERROR(INDEX(Pagos_Odoo!$C:$C, MATCH(X1095, Pagos_Odoo!$B:$B, 0)), ""))</f>
        <v/>
      </c>
      <c r="Z1095" s="80">
        <f>IF(X1095="Sin Pago","",IFERROR(INDEX(Pagos_Odoo!$A:$A, MATCH(X1095, Pagos_Odoo!$B:$B, 0)), ""))</f>
        <v/>
      </c>
      <c r="AA1095" s="79">
        <f>IF(X1095="Sin Pago","",IFERROR(INDEX(Pagos_Odoo!$F:$F, MATCH(X1095, Pagos_Odoo!$B:$B, 0)), ""))</f>
        <v/>
      </c>
      <c r="AB1095" s="81">
        <f>IF(X1095="Sin Pago",0,IFERROR(INDEX(Pagos_Odoo!$E:$E, MATCH(X1095, Pagos_Odoo!$B:$B, 0)), 0))</f>
        <v/>
      </c>
      <c r="AC1095" s="79">
        <f>IF(X1095="Sin Pago","",IFERROR(INDEX(Pagos_Odoo!$G:$G, MATCH(X1095, Pagos_Odoo!$B:$B, 0)), ""))</f>
        <v/>
      </c>
      <c r="AD1095" s="82" t="n">
        <v>0</v>
      </c>
      <c r="AE1095" s="82" t="n"/>
      <c r="AF1095" s="82" t="n"/>
      <c r="AG1095" s="82">
        <f>IF(AN1095="","",AD1095+AE1095+AF1095)</f>
        <v/>
      </c>
      <c r="AH1095" s="81">
        <f>IF(AN1095="","",P1095*(1-AG1095))</f>
        <v/>
      </c>
      <c r="AI1095" s="81">
        <f>IF(AN1095="","",IF(Q1095="Sin Factura",0,IFERROR(INDEX(Facturas_Odoo!$H:$H, MATCH(Q1095, Facturas_Odoo!$B:$B, 0)), 0)*(1-AG1095)))</f>
        <v/>
      </c>
      <c r="AJ1095" s="81">
        <f>IF(AN1095="","",_xlfn.LET(idVenta, AN1095&amp;"",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95" s="81">
        <f>IF(AN1095="","",AH1095-AJ1095)</f>
        <v/>
      </c>
      <c r="AL1095" s="81">
        <f>IF(AN1095="","",IF(Q1095="Sin Factura","",AI1095-AJ1095))</f>
        <v/>
      </c>
      <c r="AM1095" s="81">
        <f>IF(AN1095="","",IF(Q1095="Sin Factura",0,P1095-IFERROR(INDEX(Facturas_Odoo!$H:$H, MATCH(Q1095, Facturas_Odoo!$B:$B, 0)), 0)))</f>
        <v/>
      </c>
      <c r="AN1095" s="79">
        <f>IF(AND(A1095="", J1095=""), "", IF(A1095&lt;&gt;"", VALUE(MID(A1095,2,LEN(A1095))), AN1094))</f>
        <v/>
      </c>
      <c r="AO1095" s="79">
        <f>IF(AN1095="","",IF(AD1095=0,"OK",_xlfn.LET(monedaPago, IF(AA1095="","USD",AA1095), limitePermitido, IFERROR(VLOOKUP(monedaPago, Configuración!$A$2:$B$3, 2, FALSE), 0.15), IF(AD1095&gt;limitePermitido, "ALERTA: EXCESO (" &amp; TEXT(limitePermitido, "0%") &amp; " máx)", "OK"))))</f>
        <v/>
      </c>
      <c r="AP1095" s="79">
        <f>IF(AN1095="","",IF(AE1095=0,"OK",_xlfn.LET(fechaPago, Z1095, fechaFactura, R1095, diasCredito, IF(E1095="Pago inmediato", 0, IFERROR(VALUE(MID(E1095, 1, SEARCH(" ", E1095)-1)),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95" s="79">
        <f>IF(AN1095="","",IF(AND(N1095&gt;0, AG1095&gt;0), IF(Configuración!$K$2="NO", "ALERTA: DESCUENTO DOBLE NO PERMITIDO", "OK"), "OK"))</f>
        <v/>
      </c>
      <c r="AR1095" s="79">
        <f>IF(AN1095="","",IF(OR(AO1095&lt;&gt;"OK", AP1095&lt;&gt;"OK", AQ1095&lt;&gt;"OK"), "⚠️ REVISAR", "OK"))</f>
        <v/>
      </c>
    </row>
    <row r="1096">
      <c r="A1096" s="79">
        <f>IF('Ordenes_Odoo'!A1096="","",'Ordenes_Odoo'!A1096)</f>
        <v/>
      </c>
      <c r="B1096" s="80">
        <f>IF('Ordenes_Odoo'!B1096="","",'Ordenes_Odoo'!B1096)</f>
        <v/>
      </c>
      <c r="C1096" s="79">
        <f>IF('Ordenes_Odoo'!C1096="","",'Ordenes_Odoo'!C1096)</f>
        <v/>
      </c>
      <c r="D1096" s="79">
        <f>IF('Ordenes_Odoo'!D1096="","",'Ordenes_Odoo'!D1096)</f>
        <v/>
      </c>
      <c r="E1096" s="79">
        <f>IF('Ordenes_Odoo'!E1096="","",'Ordenes_Odoo'!E1096)</f>
        <v/>
      </c>
      <c r="F1096" s="79">
        <f>IF('Ordenes_Odoo'!F1096="","",'Ordenes_Odoo'!F1096)</f>
        <v/>
      </c>
      <c r="G1096" s="79">
        <f>IF('Ordenes_Odoo'!G1096="","",'Ordenes_Odoo'!G1096)</f>
        <v/>
      </c>
      <c r="H1096" s="79">
        <f>IF('Ordenes_Odoo'!H1096="","",'Ordenes_Odoo'!H1096)</f>
        <v/>
      </c>
      <c r="I1096" s="79">
        <f>IF('Ordenes_Odoo'!I1096="","",'Ordenes_Odoo'!I1096)</f>
        <v/>
      </c>
      <c r="J1096" s="79">
        <f>IF('Ordenes_Odoo'!J1096="","",'Ordenes_Odoo'!J1096)</f>
        <v/>
      </c>
      <c r="K1096" s="81">
        <f>IF('Ordenes_Odoo'!K1096="","",'Ordenes_Odoo'!K1096)</f>
        <v/>
      </c>
      <c r="L1096" s="81">
        <f>IF('Ordenes_Odoo'!L1096="","",'Ordenes_Odoo'!L1096)</f>
        <v/>
      </c>
      <c r="M1096" s="79">
        <f>IF('Ordenes_Odoo'!M1096="","",'Ordenes_Odoo'!M1096)</f>
        <v/>
      </c>
      <c r="N1096" s="79">
        <f>IF('Ordenes_Odoo'!N1096="","",'Ordenes_Odoo'!N1096)</f>
        <v/>
      </c>
      <c r="O1096" s="81">
        <f>IF('Ordenes_Odoo'!O1096="","",'Ordenes_Odoo'!O1096)</f>
        <v/>
      </c>
      <c r="P1096" s="81">
        <f>IF('Ordenes_Odoo'!P1096="","",'Ordenes_Odoo'!P1096)</f>
        <v/>
      </c>
      <c r="Q1096" s="79">
        <f>IF(A1096="","",IFERROR(INDEX(Facturas_Odoo!$B:$B, MATCH(A1096, Facturas_Odoo!$D:$D, 0)), "Sin Factura"))</f>
        <v/>
      </c>
      <c r="R1096" s="80">
        <f>IF(Q1096="Sin Factura","",IFERROR(INDEX(Facturas_Odoo!$A:$A, MATCH(Q1096, Facturas_Odoo!$B:$B, 0)), ""))</f>
        <v/>
      </c>
      <c r="S1096" s="79">
        <f>IF(Q1096="Sin Factura","",IFERROR(_xlfn.XLOOKUP(1, (Facturas_Odoo!$D:$D=A1096) * (Facturas_Odoo!$K:$K=I1096), Facturas_Odoo!$L:$L, ""), ""))</f>
        <v/>
      </c>
      <c r="T1096" s="81">
        <f>IF(Q1096="Sin Factura",0,IFERROR(_xlfn.XLOOKUP(1, (Facturas_Odoo!$D:$D=A1096) * (Facturas_Odoo!$K:$K=I1096), Facturas_Odoo!$M:$M, 0), 0))</f>
        <v/>
      </c>
      <c r="U1096" s="79">
        <f>IF(Q1096="Sin Factura",0,IFERROR(_xlfn.XLOOKUP(1, (Facturas_Odoo!$D:$D=A1096) * (Facturas_Odoo!$K:$K=I1096), Facturas_Odoo!$N:$N, 0), 0))</f>
        <v/>
      </c>
      <c r="V1096" s="79">
        <f>IF(Q1096="Sin Factura",0,IFERROR(_xlfn.XLOOKUP(1, (Facturas_Odoo!$D:$D=A1096) * (Facturas_Odoo!$K:$K=I1096), Facturas_Odoo!$O:$O, 0), 0))</f>
        <v/>
      </c>
      <c r="W1096" s="81">
        <f>IF(Q1096="Sin Factura",0,IFERROR(_xlfn.XLOOKUP(1, (Facturas_Odoo!$D:$D=A1096) * (Facturas_Odoo!$K:$K=I1096), Facturas_Odoo!$Q:$Q, 0), 0))</f>
        <v/>
      </c>
      <c r="X1096" s="79">
        <f>IF(OR(Q1096="Sin Factura",Q1096=""),"",IFERROR(INDEX(Pagos_Odoo!$B:$B, MATCH(Q1096, Pagos_Odoo!$I:$I, 0)), "Sin Pago"))</f>
        <v/>
      </c>
      <c r="Y1096" s="79">
        <f>IF(X1096="Sin Pago","",IFERROR(INDEX(Pagos_Odoo!$C:$C, MATCH(X1096, Pagos_Odoo!$B:$B, 0)), ""))</f>
        <v/>
      </c>
      <c r="Z1096" s="80">
        <f>IF(X1096="Sin Pago","",IFERROR(INDEX(Pagos_Odoo!$A:$A, MATCH(X1096, Pagos_Odoo!$B:$B, 0)), ""))</f>
        <v/>
      </c>
      <c r="AA1096" s="79">
        <f>IF(X1096="Sin Pago","",IFERROR(INDEX(Pagos_Odoo!$F:$F, MATCH(X1096, Pagos_Odoo!$B:$B, 0)), ""))</f>
        <v/>
      </c>
      <c r="AB1096" s="81">
        <f>IF(X1096="Sin Pago",0,IFERROR(INDEX(Pagos_Odoo!$E:$E, MATCH(X1096, Pagos_Odoo!$B:$B, 0)), 0))</f>
        <v/>
      </c>
      <c r="AC1096" s="79">
        <f>IF(X1096="Sin Pago","",IFERROR(INDEX(Pagos_Odoo!$G:$G, MATCH(X1096, Pagos_Odoo!$B:$B, 0)), ""))</f>
        <v/>
      </c>
      <c r="AD1096" s="82" t="n">
        <v>0</v>
      </c>
      <c r="AE1096" s="82" t="n"/>
      <c r="AF1096" s="82" t="n"/>
      <c r="AG1096" s="82">
        <f>IF(AN1096="","",AD1096+AE1096+AF1096)</f>
        <v/>
      </c>
      <c r="AH1096" s="81">
        <f>IF(AN1096="","",P1096*(1-AG1096))</f>
        <v/>
      </c>
      <c r="AI1096" s="81">
        <f>IF(AN1096="","",IF(Q1096="Sin Factura",0,IFERROR(INDEX(Facturas_Odoo!$H:$H, MATCH(Q1096, Facturas_Odoo!$B:$B, 0)), 0)*(1-AG1096)))</f>
        <v/>
      </c>
      <c r="AJ1096" s="81">
        <f>IF(AN1096="","",_xlfn.LET(idVenta, AN1096&amp;"",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96" s="81">
        <f>IF(AN1096="","",AH1096-AJ1096)</f>
        <v/>
      </c>
      <c r="AL1096" s="81">
        <f>IF(AN1096="","",IF(Q1096="Sin Factura","",AI1096-AJ1096))</f>
        <v/>
      </c>
      <c r="AM1096" s="81">
        <f>IF(AN1096="","",IF(Q1096="Sin Factura",0,P1096-IFERROR(INDEX(Facturas_Odoo!$H:$H, MATCH(Q1096, Facturas_Odoo!$B:$B, 0)), 0)))</f>
        <v/>
      </c>
      <c r="AN1096" s="79">
        <f>IF(AND(A1096="", J1096=""), "", IF(A1096&lt;&gt;"", VALUE(MID(A1096,2,LEN(A1096))), AN1095))</f>
        <v/>
      </c>
      <c r="AO1096" s="79">
        <f>IF(AN1096="","",IF(AD1096=0,"OK",_xlfn.LET(monedaPago, IF(AA1096="","USD",AA1096), limitePermitido, IFERROR(VLOOKUP(monedaPago, Configuración!$A$2:$B$3, 2, FALSE), 0.15), IF(AD1096&gt;limitePermitido, "ALERTA: EXCESO (" &amp; TEXT(limitePermitido, "0%") &amp; " máx)", "OK"))))</f>
        <v/>
      </c>
      <c r="AP1096" s="79">
        <f>IF(AN1096="","",IF(AE1096=0,"OK",_xlfn.LET(fechaPago, Z1096, fechaFactura, R1096, diasCredito, IF(E1096="Pago inmediato", 0, IFERROR(VALUE(MID(E1096, 1, SEARCH(" ", E1096)-1)),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96" s="79">
        <f>IF(AN1096="","",IF(AND(N1096&gt;0, AG1096&gt;0), IF(Configuración!$K$2="NO", "ALERTA: DESCUENTO DOBLE NO PERMITIDO", "OK"), "OK"))</f>
        <v/>
      </c>
      <c r="AR1096" s="79">
        <f>IF(AN1096="","",IF(OR(AO1096&lt;&gt;"OK", AP1096&lt;&gt;"OK", AQ1096&lt;&gt;"OK"), "⚠️ REVISAR", "OK"))</f>
        <v/>
      </c>
    </row>
    <row r="1097">
      <c r="A1097" s="79">
        <f>IF('Ordenes_Odoo'!A1097="","",'Ordenes_Odoo'!A1097)</f>
        <v/>
      </c>
      <c r="B1097" s="80">
        <f>IF('Ordenes_Odoo'!B1097="","",'Ordenes_Odoo'!B1097)</f>
        <v/>
      </c>
      <c r="C1097" s="79">
        <f>IF('Ordenes_Odoo'!C1097="","",'Ordenes_Odoo'!C1097)</f>
        <v/>
      </c>
      <c r="D1097" s="79">
        <f>IF('Ordenes_Odoo'!D1097="","",'Ordenes_Odoo'!D1097)</f>
        <v/>
      </c>
      <c r="E1097" s="79">
        <f>IF('Ordenes_Odoo'!E1097="","",'Ordenes_Odoo'!E1097)</f>
        <v/>
      </c>
      <c r="F1097" s="79">
        <f>IF('Ordenes_Odoo'!F1097="","",'Ordenes_Odoo'!F1097)</f>
        <v/>
      </c>
      <c r="G1097" s="79">
        <f>IF('Ordenes_Odoo'!G1097="","",'Ordenes_Odoo'!G1097)</f>
        <v/>
      </c>
      <c r="H1097" s="79">
        <f>IF('Ordenes_Odoo'!H1097="","",'Ordenes_Odoo'!H1097)</f>
        <v/>
      </c>
      <c r="I1097" s="79">
        <f>IF('Ordenes_Odoo'!I1097="","",'Ordenes_Odoo'!I1097)</f>
        <v/>
      </c>
      <c r="J1097" s="79">
        <f>IF('Ordenes_Odoo'!J1097="","",'Ordenes_Odoo'!J1097)</f>
        <v/>
      </c>
      <c r="K1097" s="81">
        <f>IF('Ordenes_Odoo'!K1097="","",'Ordenes_Odoo'!K1097)</f>
        <v/>
      </c>
      <c r="L1097" s="81">
        <f>IF('Ordenes_Odoo'!L1097="","",'Ordenes_Odoo'!L1097)</f>
        <v/>
      </c>
      <c r="M1097" s="79">
        <f>IF('Ordenes_Odoo'!M1097="","",'Ordenes_Odoo'!M1097)</f>
        <v/>
      </c>
      <c r="N1097" s="79">
        <f>IF('Ordenes_Odoo'!N1097="","",'Ordenes_Odoo'!N1097)</f>
        <v/>
      </c>
      <c r="O1097" s="81">
        <f>IF('Ordenes_Odoo'!O1097="","",'Ordenes_Odoo'!O1097)</f>
        <v/>
      </c>
      <c r="P1097" s="81">
        <f>IF('Ordenes_Odoo'!P1097="","",'Ordenes_Odoo'!P1097)</f>
        <v/>
      </c>
      <c r="Q1097" s="79">
        <f>IF(A1097="","",IFERROR(INDEX(Facturas_Odoo!$B:$B, MATCH(A1097, Facturas_Odoo!$D:$D, 0)), "Sin Factura"))</f>
        <v/>
      </c>
      <c r="R1097" s="80">
        <f>IF(Q1097="Sin Factura","",IFERROR(INDEX(Facturas_Odoo!$A:$A, MATCH(Q1097, Facturas_Odoo!$B:$B, 0)), ""))</f>
        <v/>
      </c>
      <c r="S1097" s="79">
        <f>IF(Q1097="Sin Factura","",IFERROR(_xlfn.XLOOKUP(1, (Facturas_Odoo!$D:$D=A1097) * (Facturas_Odoo!$K:$K=I1097), Facturas_Odoo!$L:$L, ""), ""))</f>
        <v/>
      </c>
      <c r="T1097" s="81">
        <f>IF(Q1097="Sin Factura",0,IFERROR(_xlfn.XLOOKUP(1, (Facturas_Odoo!$D:$D=A1097) * (Facturas_Odoo!$K:$K=I1097), Facturas_Odoo!$M:$M, 0), 0))</f>
        <v/>
      </c>
      <c r="U1097" s="79">
        <f>IF(Q1097="Sin Factura",0,IFERROR(_xlfn.XLOOKUP(1, (Facturas_Odoo!$D:$D=A1097) * (Facturas_Odoo!$K:$K=I1097), Facturas_Odoo!$N:$N, 0), 0))</f>
        <v/>
      </c>
      <c r="V1097" s="79">
        <f>IF(Q1097="Sin Factura",0,IFERROR(_xlfn.XLOOKUP(1, (Facturas_Odoo!$D:$D=A1097) * (Facturas_Odoo!$K:$K=I1097), Facturas_Odoo!$O:$O, 0), 0))</f>
        <v/>
      </c>
      <c r="W1097" s="81">
        <f>IF(Q1097="Sin Factura",0,IFERROR(_xlfn.XLOOKUP(1, (Facturas_Odoo!$D:$D=A1097) * (Facturas_Odoo!$K:$K=I1097), Facturas_Odoo!$Q:$Q, 0), 0))</f>
        <v/>
      </c>
      <c r="X1097" s="79">
        <f>IF(OR(Q1097="Sin Factura",Q1097=""),"",IFERROR(INDEX(Pagos_Odoo!$B:$B, MATCH(Q1097, Pagos_Odoo!$I:$I, 0)), "Sin Pago"))</f>
        <v/>
      </c>
      <c r="Y1097" s="79">
        <f>IF(X1097="Sin Pago","",IFERROR(INDEX(Pagos_Odoo!$C:$C, MATCH(X1097, Pagos_Odoo!$B:$B, 0)), ""))</f>
        <v/>
      </c>
      <c r="Z1097" s="80">
        <f>IF(X1097="Sin Pago","",IFERROR(INDEX(Pagos_Odoo!$A:$A, MATCH(X1097, Pagos_Odoo!$B:$B, 0)), ""))</f>
        <v/>
      </c>
      <c r="AA1097" s="79">
        <f>IF(X1097="Sin Pago","",IFERROR(INDEX(Pagos_Odoo!$F:$F, MATCH(X1097, Pagos_Odoo!$B:$B, 0)), ""))</f>
        <v/>
      </c>
      <c r="AB1097" s="81">
        <f>IF(X1097="Sin Pago",0,IFERROR(INDEX(Pagos_Odoo!$E:$E, MATCH(X1097, Pagos_Odoo!$B:$B, 0)), 0))</f>
        <v/>
      </c>
      <c r="AC1097" s="79">
        <f>IF(X1097="Sin Pago","",IFERROR(INDEX(Pagos_Odoo!$G:$G, MATCH(X1097, Pagos_Odoo!$B:$B, 0)), ""))</f>
        <v/>
      </c>
      <c r="AD1097" s="82" t="n">
        <v>0</v>
      </c>
      <c r="AE1097" s="82" t="n"/>
      <c r="AF1097" s="82" t="n"/>
      <c r="AG1097" s="82">
        <f>IF(AN1097="","",AD1097+AE1097+AF1097)</f>
        <v/>
      </c>
      <c r="AH1097" s="81">
        <f>IF(AN1097="","",P1097*(1-AG1097))</f>
        <v/>
      </c>
      <c r="AI1097" s="81">
        <f>IF(AN1097="","",IF(Q1097="Sin Factura",0,IFERROR(INDEX(Facturas_Odoo!$H:$H, MATCH(Q1097, Facturas_Odoo!$B:$B, 0)), 0)*(1-AG1097)))</f>
        <v/>
      </c>
      <c r="AJ1097" s="81">
        <f>IF(AN1097="","",_xlfn.LET(idVenta, AN1097&amp;"",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97" s="81">
        <f>IF(AN1097="","",AH1097-AJ1097)</f>
        <v/>
      </c>
      <c r="AL1097" s="81">
        <f>IF(AN1097="","",IF(Q1097="Sin Factura","",AI1097-AJ1097))</f>
        <v/>
      </c>
      <c r="AM1097" s="81">
        <f>IF(AN1097="","",IF(Q1097="Sin Factura",0,P1097-IFERROR(INDEX(Facturas_Odoo!$H:$H, MATCH(Q1097, Facturas_Odoo!$B:$B, 0)), 0)))</f>
        <v/>
      </c>
      <c r="AN1097" s="79">
        <f>IF(AND(A1097="", J1097=""), "", IF(A1097&lt;&gt;"", VALUE(MID(A1097,2,LEN(A1097))), AN1096))</f>
        <v/>
      </c>
      <c r="AO1097" s="79">
        <f>IF(AN1097="","",IF(AD1097=0,"OK",_xlfn.LET(monedaPago, IF(AA1097="","USD",AA1097), limitePermitido, IFERROR(VLOOKUP(monedaPago, Configuración!$A$2:$B$3, 2, FALSE), 0.15), IF(AD1097&gt;limitePermitido, "ALERTA: EXCESO (" &amp; TEXT(limitePermitido, "0%") &amp; " máx)", "OK"))))</f>
        <v/>
      </c>
      <c r="AP1097" s="79">
        <f>IF(AN1097="","",IF(AE1097=0,"OK",_xlfn.LET(fechaPago, Z1097, fechaFactura, R1097, diasCredito, IF(E1097="Pago inmediato", 0, IFERROR(VALUE(MID(E1097, 1, SEARCH(" ", E1097)-1)),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97" s="79">
        <f>IF(AN1097="","",IF(AND(N1097&gt;0, AG1097&gt;0), IF(Configuración!$K$2="NO", "ALERTA: DESCUENTO DOBLE NO PERMITIDO", "OK"), "OK"))</f>
        <v/>
      </c>
      <c r="AR1097" s="79">
        <f>IF(AN1097="","",IF(OR(AO1097&lt;&gt;"OK", AP1097&lt;&gt;"OK", AQ1097&lt;&gt;"OK"), "⚠️ REVISAR", "OK"))</f>
        <v/>
      </c>
    </row>
    <row r="1098">
      <c r="A1098" s="79">
        <f>IF('Ordenes_Odoo'!A1098="","",'Ordenes_Odoo'!A1098)</f>
        <v/>
      </c>
      <c r="B1098" s="80">
        <f>IF('Ordenes_Odoo'!B1098="","",'Ordenes_Odoo'!B1098)</f>
        <v/>
      </c>
      <c r="C1098" s="79">
        <f>IF('Ordenes_Odoo'!C1098="","",'Ordenes_Odoo'!C1098)</f>
        <v/>
      </c>
      <c r="D1098" s="79">
        <f>IF('Ordenes_Odoo'!D1098="","",'Ordenes_Odoo'!D1098)</f>
        <v/>
      </c>
      <c r="E1098" s="79">
        <f>IF('Ordenes_Odoo'!E1098="","",'Ordenes_Odoo'!E1098)</f>
        <v/>
      </c>
      <c r="F1098" s="79">
        <f>IF('Ordenes_Odoo'!F1098="","",'Ordenes_Odoo'!F1098)</f>
        <v/>
      </c>
      <c r="G1098" s="79">
        <f>IF('Ordenes_Odoo'!G1098="","",'Ordenes_Odoo'!G1098)</f>
        <v/>
      </c>
      <c r="H1098" s="79">
        <f>IF('Ordenes_Odoo'!H1098="","",'Ordenes_Odoo'!H1098)</f>
        <v/>
      </c>
      <c r="I1098" s="79">
        <f>IF('Ordenes_Odoo'!I1098="","",'Ordenes_Odoo'!I1098)</f>
        <v/>
      </c>
      <c r="J1098" s="79">
        <f>IF('Ordenes_Odoo'!J1098="","",'Ordenes_Odoo'!J1098)</f>
        <v/>
      </c>
      <c r="K1098" s="81">
        <f>IF('Ordenes_Odoo'!K1098="","",'Ordenes_Odoo'!K1098)</f>
        <v/>
      </c>
      <c r="L1098" s="81">
        <f>IF('Ordenes_Odoo'!L1098="","",'Ordenes_Odoo'!L1098)</f>
        <v/>
      </c>
      <c r="M1098" s="79">
        <f>IF('Ordenes_Odoo'!M1098="","",'Ordenes_Odoo'!M1098)</f>
        <v/>
      </c>
      <c r="N1098" s="79">
        <f>IF('Ordenes_Odoo'!N1098="","",'Ordenes_Odoo'!N1098)</f>
        <v/>
      </c>
      <c r="O1098" s="81">
        <f>IF('Ordenes_Odoo'!O1098="","",'Ordenes_Odoo'!O1098)</f>
        <v/>
      </c>
      <c r="P1098" s="81">
        <f>IF('Ordenes_Odoo'!P1098="","",'Ordenes_Odoo'!P1098)</f>
        <v/>
      </c>
      <c r="Q1098" s="79">
        <f>IF(A1098="","",IFERROR(INDEX(Facturas_Odoo!$B:$B, MATCH(A1098, Facturas_Odoo!$D:$D, 0)), "Sin Factura"))</f>
        <v/>
      </c>
      <c r="R1098" s="80">
        <f>IF(Q1098="Sin Factura","",IFERROR(INDEX(Facturas_Odoo!$A:$A, MATCH(Q1098, Facturas_Odoo!$B:$B, 0)), ""))</f>
        <v/>
      </c>
      <c r="S1098" s="79">
        <f>IF(Q1098="Sin Factura","",IFERROR(_xlfn.XLOOKUP(1, (Facturas_Odoo!$D:$D=A1098) * (Facturas_Odoo!$K:$K=I1098), Facturas_Odoo!$L:$L, ""), ""))</f>
        <v/>
      </c>
      <c r="T1098" s="81">
        <f>IF(Q1098="Sin Factura",0,IFERROR(_xlfn.XLOOKUP(1, (Facturas_Odoo!$D:$D=A1098) * (Facturas_Odoo!$K:$K=I1098), Facturas_Odoo!$M:$M, 0), 0))</f>
        <v/>
      </c>
      <c r="U1098" s="79">
        <f>IF(Q1098="Sin Factura",0,IFERROR(_xlfn.XLOOKUP(1, (Facturas_Odoo!$D:$D=A1098) * (Facturas_Odoo!$K:$K=I1098), Facturas_Odoo!$N:$N, 0), 0))</f>
        <v/>
      </c>
      <c r="V1098" s="79">
        <f>IF(Q1098="Sin Factura",0,IFERROR(_xlfn.XLOOKUP(1, (Facturas_Odoo!$D:$D=A1098) * (Facturas_Odoo!$K:$K=I1098), Facturas_Odoo!$O:$O, 0), 0))</f>
        <v/>
      </c>
      <c r="W1098" s="81">
        <f>IF(Q1098="Sin Factura",0,IFERROR(_xlfn.XLOOKUP(1, (Facturas_Odoo!$D:$D=A1098) * (Facturas_Odoo!$K:$K=I1098), Facturas_Odoo!$Q:$Q, 0), 0))</f>
        <v/>
      </c>
      <c r="X1098" s="79">
        <f>IF(OR(Q1098="Sin Factura",Q1098=""),"",IFERROR(INDEX(Pagos_Odoo!$B:$B, MATCH(Q1098, Pagos_Odoo!$I:$I, 0)), "Sin Pago"))</f>
        <v/>
      </c>
      <c r="Y1098" s="79">
        <f>IF(X1098="Sin Pago","",IFERROR(INDEX(Pagos_Odoo!$C:$C, MATCH(X1098, Pagos_Odoo!$B:$B, 0)), ""))</f>
        <v/>
      </c>
      <c r="Z1098" s="80">
        <f>IF(X1098="Sin Pago","",IFERROR(INDEX(Pagos_Odoo!$A:$A, MATCH(X1098, Pagos_Odoo!$B:$B, 0)), ""))</f>
        <v/>
      </c>
      <c r="AA1098" s="79">
        <f>IF(X1098="Sin Pago","",IFERROR(INDEX(Pagos_Odoo!$F:$F, MATCH(X1098, Pagos_Odoo!$B:$B, 0)), ""))</f>
        <v/>
      </c>
      <c r="AB1098" s="81">
        <f>IF(X1098="Sin Pago",0,IFERROR(INDEX(Pagos_Odoo!$E:$E, MATCH(X1098, Pagos_Odoo!$B:$B, 0)), 0))</f>
        <v/>
      </c>
      <c r="AC1098" s="79">
        <f>IF(X1098="Sin Pago","",IFERROR(INDEX(Pagos_Odoo!$G:$G, MATCH(X1098, Pagos_Odoo!$B:$B, 0)), ""))</f>
        <v/>
      </c>
      <c r="AD1098" s="82" t="n">
        <v>0</v>
      </c>
      <c r="AE1098" s="82" t="n"/>
      <c r="AF1098" s="82" t="n"/>
      <c r="AG1098" s="82">
        <f>IF(AN1098="","",AD1098+AE1098+AF1098)</f>
        <v/>
      </c>
      <c r="AH1098" s="81">
        <f>IF(AN1098="","",P1098*(1-AG1098))</f>
        <v/>
      </c>
      <c r="AI1098" s="81">
        <f>IF(AN1098="","",IF(Q1098="Sin Factura",0,IFERROR(INDEX(Facturas_Odoo!$H:$H, MATCH(Q1098, Facturas_Odoo!$B:$B, 0)), 0)*(1-AG1098)))</f>
        <v/>
      </c>
      <c r="AJ1098" s="81">
        <f>IF(AN1098="","",_xlfn.LET(idVenta, AN1098&amp;"",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98" s="81">
        <f>IF(AN1098="","",AH1098-AJ1098)</f>
        <v/>
      </c>
      <c r="AL1098" s="81">
        <f>IF(AN1098="","",IF(Q1098="Sin Factura","",AI1098-AJ1098))</f>
        <v/>
      </c>
      <c r="AM1098" s="81">
        <f>IF(AN1098="","",IF(Q1098="Sin Factura",0,P1098-IFERROR(INDEX(Facturas_Odoo!$H:$H, MATCH(Q1098, Facturas_Odoo!$B:$B, 0)), 0)))</f>
        <v/>
      </c>
      <c r="AN1098" s="79">
        <f>IF(AND(A1098="", J1098=""), "", IF(A1098&lt;&gt;"", VALUE(MID(A1098,2,LEN(A1098))), AN1097))</f>
        <v/>
      </c>
      <c r="AO1098" s="79">
        <f>IF(AN1098="","",IF(AD1098=0,"OK",_xlfn.LET(monedaPago, IF(AA1098="","USD",AA1098), limitePermitido, IFERROR(VLOOKUP(monedaPago, Configuración!$A$2:$B$3, 2, FALSE), 0.15), IF(AD1098&gt;limitePermitido, "ALERTA: EXCESO (" &amp; TEXT(limitePermitido, "0%") &amp; " máx)", "OK"))))</f>
        <v/>
      </c>
      <c r="AP1098" s="79">
        <f>IF(AN1098="","",IF(AE1098=0,"OK",_xlfn.LET(fechaPago, Z1098, fechaFactura, R1098, diasCredito, IF(E1098="Pago inmediato", 0, IFERROR(VALUE(MID(E1098, 1, SEARCH(" ", E1098)-1)),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98" s="79">
        <f>IF(AN1098="","",IF(AND(N1098&gt;0, AG1098&gt;0), IF(Configuración!$K$2="NO", "ALERTA: DESCUENTO DOBLE NO PERMITIDO", "OK"), "OK"))</f>
        <v/>
      </c>
      <c r="AR1098" s="79">
        <f>IF(AN1098="","",IF(OR(AO1098&lt;&gt;"OK", AP1098&lt;&gt;"OK", AQ1098&lt;&gt;"OK"), "⚠️ REVISAR", "OK"))</f>
        <v/>
      </c>
    </row>
    <row r="1099">
      <c r="A1099" s="79">
        <f>IF('Ordenes_Odoo'!A1099="","",'Ordenes_Odoo'!A1099)</f>
        <v/>
      </c>
      <c r="B1099" s="80">
        <f>IF('Ordenes_Odoo'!B1099="","",'Ordenes_Odoo'!B1099)</f>
        <v/>
      </c>
      <c r="C1099" s="79">
        <f>IF('Ordenes_Odoo'!C1099="","",'Ordenes_Odoo'!C1099)</f>
        <v/>
      </c>
      <c r="D1099" s="79">
        <f>IF('Ordenes_Odoo'!D1099="","",'Ordenes_Odoo'!D1099)</f>
        <v/>
      </c>
      <c r="E1099" s="79">
        <f>IF('Ordenes_Odoo'!E1099="","",'Ordenes_Odoo'!E1099)</f>
        <v/>
      </c>
      <c r="F1099" s="79">
        <f>IF('Ordenes_Odoo'!F1099="","",'Ordenes_Odoo'!F1099)</f>
        <v/>
      </c>
      <c r="G1099" s="79">
        <f>IF('Ordenes_Odoo'!G1099="","",'Ordenes_Odoo'!G1099)</f>
        <v/>
      </c>
      <c r="H1099" s="79">
        <f>IF('Ordenes_Odoo'!H1099="","",'Ordenes_Odoo'!H1099)</f>
        <v/>
      </c>
      <c r="I1099" s="79">
        <f>IF('Ordenes_Odoo'!I1099="","",'Ordenes_Odoo'!I1099)</f>
        <v/>
      </c>
      <c r="J1099" s="79">
        <f>IF('Ordenes_Odoo'!J1099="","",'Ordenes_Odoo'!J1099)</f>
        <v/>
      </c>
      <c r="K1099" s="81">
        <f>IF('Ordenes_Odoo'!K1099="","",'Ordenes_Odoo'!K1099)</f>
        <v/>
      </c>
      <c r="L1099" s="81">
        <f>IF('Ordenes_Odoo'!L1099="","",'Ordenes_Odoo'!L1099)</f>
        <v/>
      </c>
      <c r="M1099" s="79">
        <f>IF('Ordenes_Odoo'!M1099="","",'Ordenes_Odoo'!M1099)</f>
        <v/>
      </c>
      <c r="N1099" s="79">
        <f>IF('Ordenes_Odoo'!N1099="","",'Ordenes_Odoo'!N1099)</f>
        <v/>
      </c>
      <c r="O1099" s="81">
        <f>IF('Ordenes_Odoo'!O1099="","",'Ordenes_Odoo'!O1099)</f>
        <v/>
      </c>
      <c r="P1099" s="81">
        <f>IF('Ordenes_Odoo'!P1099="","",'Ordenes_Odoo'!P1099)</f>
        <v/>
      </c>
      <c r="Q1099" s="79">
        <f>IF(A1099="","",IFERROR(INDEX(Facturas_Odoo!$B:$B, MATCH(A1099, Facturas_Odoo!$D:$D, 0)), "Sin Factura"))</f>
        <v/>
      </c>
      <c r="R1099" s="80">
        <f>IF(Q1099="Sin Factura","",IFERROR(INDEX(Facturas_Odoo!$A:$A, MATCH(Q1099, Facturas_Odoo!$B:$B, 0)), ""))</f>
        <v/>
      </c>
      <c r="S1099" s="79">
        <f>IF(Q1099="Sin Factura","",IFERROR(_xlfn.XLOOKUP(1, (Facturas_Odoo!$D:$D=A1099) * (Facturas_Odoo!$K:$K=I1099), Facturas_Odoo!$L:$L, ""), ""))</f>
        <v/>
      </c>
      <c r="T1099" s="81">
        <f>IF(Q1099="Sin Factura",0,IFERROR(_xlfn.XLOOKUP(1, (Facturas_Odoo!$D:$D=A1099) * (Facturas_Odoo!$K:$K=I1099), Facturas_Odoo!$M:$M, 0), 0))</f>
        <v/>
      </c>
      <c r="U1099" s="79">
        <f>IF(Q1099="Sin Factura",0,IFERROR(_xlfn.XLOOKUP(1, (Facturas_Odoo!$D:$D=A1099) * (Facturas_Odoo!$K:$K=I1099), Facturas_Odoo!$N:$N, 0), 0))</f>
        <v/>
      </c>
      <c r="V1099" s="79">
        <f>IF(Q1099="Sin Factura",0,IFERROR(_xlfn.XLOOKUP(1, (Facturas_Odoo!$D:$D=A1099) * (Facturas_Odoo!$K:$K=I1099), Facturas_Odoo!$O:$O, 0), 0))</f>
        <v/>
      </c>
      <c r="W1099" s="81">
        <f>IF(Q1099="Sin Factura",0,IFERROR(_xlfn.XLOOKUP(1, (Facturas_Odoo!$D:$D=A1099) * (Facturas_Odoo!$K:$K=I1099), Facturas_Odoo!$Q:$Q, 0), 0))</f>
        <v/>
      </c>
      <c r="X1099" s="79">
        <f>IF(OR(Q1099="Sin Factura",Q1099=""),"",IFERROR(INDEX(Pagos_Odoo!$B:$B, MATCH(Q1099, Pagos_Odoo!$I:$I, 0)), "Sin Pago"))</f>
        <v/>
      </c>
      <c r="Y1099" s="79">
        <f>IF(X1099="Sin Pago","",IFERROR(INDEX(Pagos_Odoo!$C:$C, MATCH(X1099, Pagos_Odoo!$B:$B, 0)), ""))</f>
        <v/>
      </c>
      <c r="Z1099" s="80">
        <f>IF(X1099="Sin Pago","",IFERROR(INDEX(Pagos_Odoo!$A:$A, MATCH(X1099, Pagos_Odoo!$B:$B, 0)), ""))</f>
        <v/>
      </c>
      <c r="AA1099" s="79">
        <f>IF(X1099="Sin Pago","",IFERROR(INDEX(Pagos_Odoo!$F:$F, MATCH(X1099, Pagos_Odoo!$B:$B, 0)), ""))</f>
        <v/>
      </c>
      <c r="AB1099" s="81">
        <f>IF(X1099="Sin Pago",0,IFERROR(INDEX(Pagos_Odoo!$E:$E, MATCH(X1099, Pagos_Odoo!$B:$B, 0)), 0))</f>
        <v/>
      </c>
      <c r="AC1099" s="79">
        <f>IF(X1099="Sin Pago","",IFERROR(INDEX(Pagos_Odoo!$G:$G, MATCH(X1099, Pagos_Odoo!$B:$B, 0)), ""))</f>
        <v/>
      </c>
      <c r="AD1099" s="82" t="n">
        <v>0</v>
      </c>
      <c r="AE1099" s="82" t="n"/>
      <c r="AF1099" s="82" t="n"/>
      <c r="AG1099" s="82">
        <f>IF(AN1099="","",AD1099+AE1099+AF1099)</f>
        <v/>
      </c>
      <c r="AH1099" s="81">
        <f>IF(AN1099="","",P1099*(1-AG1099))</f>
        <v/>
      </c>
      <c r="AI1099" s="81">
        <f>IF(AN1099="","",IF(Q1099="Sin Factura",0,IFERROR(INDEX(Facturas_Odoo!$H:$H, MATCH(Q1099, Facturas_Odoo!$B:$B, 0)), 0)*(1-AG1099)))</f>
        <v/>
      </c>
      <c r="AJ1099" s="81">
        <f>IF(AN1099="","",_xlfn.LET(idVenta, AN1099&amp;"",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099" s="81">
        <f>IF(AN1099="","",AH1099-AJ1099)</f>
        <v/>
      </c>
      <c r="AL1099" s="81">
        <f>IF(AN1099="","",IF(Q1099="Sin Factura","",AI1099-AJ1099))</f>
        <v/>
      </c>
      <c r="AM1099" s="81">
        <f>IF(AN1099="","",IF(Q1099="Sin Factura",0,P1099-IFERROR(INDEX(Facturas_Odoo!$H:$H, MATCH(Q1099, Facturas_Odoo!$B:$B, 0)), 0)))</f>
        <v/>
      </c>
      <c r="AN1099" s="79">
        <f>IF(AND(A1099="", J1099=""), "", IF(A1099&lt;&gt;"", VALUE(MID(A1099,2,LEN(A1099))), AN1098))</f>
        <v/>
      </c>
      <c r="AO1099" s="79">
        <f>IF(AN1099="","",IF(AD1099=0,"OK",_xlfn.LET(monedaPago, IF(AA1099="","USD",AA1099), limitePermitido, IFERROR(VLOOKUP(monedaPago, Configuración!$A$2:$B$3, 2, FALSE), 0.15), IF(AD1099&gt;limitePermitido, "ALERTA: EXCESO (" &amp; TEXT(limitePermitido, "0%") &amp; " máx)", "OK"))))</f>
        <v/>
      </c>
      <c r="AP1099" s="79">
        <f>IF(AN1099="","",IF(AE1099=0,"OK",_xlfn.LET(fechaPago, Z1099, fechaFactura, R1099, diasCredito, IF(E1099="Pago inmediato", 0, IFERROR(VALUE(MID(E1099, 1, SEARCH(" ", E1099)-1)),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099" s="79">
        <f>IF(AN1099="","",IF(AND(N1099&gt;0, AG1099&gt;0), IF(Configuración!$K$2="NO", "ALERTA: DESCUENTO DOBLE NO PERMITIDO", "OK"), "OK"))</f>
        <v/>
      </c>
      <c r="AR1099" s="79">
        <f>IF(AN1099="","",IF(OR(AO1099&lt;&gt;"OK", AP1099&lt;&gt;"OK", AQ1099&lt;&gt;"OK"), "⚠️ REVISAR", "OK"))</f>
        <v/>
      </c>
    </row>
    <row r="1100">
      <c r="A1100" s="79">
        <f>IF('Ordenes_Odoo'!A1100="","",'Ordenes_Odoo'!A1100)</f>
        <v/>
      </c>
      <c r="B1100" s="80">
        <f>IF('Ordenes_Odoo'!B1100="","",'Ordenes_Odoo'!B1100)</f>
        <v/>
      </c>
      <c r="C1100" s="79">
        <f>IF('Ordenes_Odoo'!C1100="","",'Ordenes_Odoo'!C1100)</f>
        <v/>
      </c>
      <c r="D1100" s="79">
        <f>IF('Ordenes_Odoo'!D1100="","",'Ordenes_Odoo'!D1100)</f>
        <v/>
      </c>
      <c r="E1100" s="79">
        <f>IF('Ordenes_Odoo'!E1100="","",'Ordenes_Odoo'!E1100)</f>
        <v/>
      </c>
      <c r="F1100" s="79">
        <f>IF('Ordenes_Odoo'!F1100="","",'Ordenes_Odoo'!F1100)</f>
        <v/>
      </c>
      <c r="G1100" s="79">
        <f>IF('Ordenes_Odoo'!G1100="","",'Ordenes_Odoo'!G1100)</f>
        <v/>
      </c>
      <c r="H1100" s="79">
        <f>IF('Ordenes_Odoo'!H1100="","",'Ordenes_Odoo'!H1100)</f>
        <v/>
      </c>
      <c r="I1100" s="79">
        <f>IF('Ordenes_Odoo'!I1100="","",'Ordenes_Odoo'!I1100)</f>
        <v/>
      </c>
      <c r="J1100" s="79">
        <f>IF('Ordenes_Odoo'!J1100="","",'Ordenes_Odoo'!J1100)</f>
        <v/>
      </c>
      <c r="K1100" s="81">
        <f>IF('Ordenes_Odoo'!K1100="","",'Ordenes_Odoo'!K1100)</f>
        <v/>
      </c>
      <c r="L1100" s="81">
        <f>IF('Ordenes_Odoo'!L1100="","",'Ordenes_Odoo'!L1100)</f>
        <v/>
      </c>
      <c r="M1100" s="79">
        <f>IF('Ordenes_Odoo'!M1100="","",'Ordenes_Odoo'!M1100)</f>
        <v/>
      </c>
      <c r="N1100" s="79">
        <f>IF('Ordenes_Odoo'!N1100="","",'Ordenes_Odoo'!N1100)</f>
        <v/>
      </c>
      <c r="O1100" s="81">
        <f>IF('Ordenes_Odoo'!O1100="","",'Ordenes_Odoo'!O1100)</f>
        <v/>
      </c>
      <c r="P1100" s="81">
        <f>IF('Ordenes_Odoo'!P1100="","",'Ordenes_Odoo'!P1100)</f>
        <v/>
      </c>
      <c r="Q1100" s="79">
        <f>IF(A1100="","",IFERROR(INDEX(Facturas_Odoo!$B:$B, MATCH(A1100, Facturas_Odoo!$D:$D, 0)), "Sin Factura"))</f>
        <v/>
      </c>
      <c r="R1100" s="80">
        <f>IF(Q1100="Sin Factura","",IFERROR(INDEX(Facturas_Odoo!$A:$A, MATCH(Q1100, Facturas_Odoo!$B:$B, 0)), ""))</f>
        <v/>
      </c>
      <c r="S1100" s="79">
        <f>IF(Q1100="Sin Factura","",IFERROR(_xlfn.XLOOKUP(1, (Facturas_Odoo!$D:$D=A1100) * (Facturas_Odoo!$K:$K=I1100), Facturas_Odoo!$L:$L, ""), ""))</f>
        <v/>
      </c>
      <c r="T1100" s="81">
        <f>IF(Q1100="Sin Factura",0,IFERROR(_xlfn.XLOOKUP(1, (Facturas_Odoo!$D:$D=A1100) * (Facturas_Odoo!$K:$K=I1100), Facturas_Odoo!$M:$M, 0), 0))</f>
        <v/>
      </c>
      <c r="U1100" s="79">
        <f>IF(Q1100="Sin Factura",0,IFERROR(_xlfn.XLOOKUP(1, (Facturas_Odoo!$D:$D=A1100) * (Facturas_Odoo!$K:$K=I1100), Facturas_Odoo!$N:$N, 0), 0))</f>
        <v/>
      </c>
      <c r="V1100" s="79">
        <f>IF(Q1100="Sin Factura",0,IFERROR(_xlfn.XLOOKUP(1, (Facturas_Odoo!$D:$D=A1100) * (Facturas_Odoo!$K:$K=I1100), Facturas_Odoo!$O:$O, 0), 0))</f>
        <v/>
      </c>
      <c r="W1100" s="81">
        <f>IF(Q1100="Sin Factura",0,IFERROR(_xlfn.XLOOKUP(1, (Facturas_Odoo!$D:$D=A1100) * (Facturas_Odoo!$K:$K=I1100), Facturas_Odoo!$Q:$Q, 0), 0))</f>
        <v/>
      </c>
      <c r="X1100" s="79">
        <f>IF(OR(Q1100="Sin Factura",Q1100=""),"",IFERROR(INDEX(Pagos_Odoo!$B:$B, MATCH(Q1100, Pagos_Odoo!$I:$I, 0)), "Sin Pago"))</f>
        <v/>
      </c>
      <c r="Y1100" s="79">
        <f>IF(X1100="Sin Pago","",IFERROR(INDEX(Pagos_Odoo!$C:$C, MATCH(X1100, Pagos_Odoo!$B:$B, 0)), ""))</f>
        <v/>
      </c>
      <c r="Z1100" s="80">
        <f>IF(X1100="Sin Pago","",IFERROR(INDEX(Pagos_Odoo!$A:$A, MATCH(X1100, Pagos_Odoo!$B:$B, 0)), ""))</f>
        <v/>
      </c>
      <c r="AA1100" s="79">
        <f>IF(X1100="Sin Pago","",IFERROR(INDEX(Pagos_Odoo!$F:$F, MATCH(X1100, Pagos_Odoo!$B:$B, 0)), ""))</f>
        <v/>
      </c>
      <c r="AB1100" s="81">
        <f>IF(X1100="Sin Pago",0,IFERROR(INDEX(Pagos_Odoo!$E:$E, MATCH(X1100, Pagos_Odoo!$B:$B, 0)), 0))</f>
        <v/>
      </c>
      <c r="AC1100" s="79">
        <f>IF(X1100="Sin Pago","",IFERROR(INDEX(Pagos_Odoo!$G:$G, MATCH(X1100, Pagos_Odoo!$B:$B, 0)), ""))</f>
        <v/>
      </c>
      <c r="AD1100" s="82" t="n">
        <v>0</v>
      </c>
      <c r="AE1100" s="82" t="n"/>
      <c r="AF1100" s="82" t="n"/>
      <c r="AG1100" s="82">
        <f>IF(AN1100="","",AD1100+AE1100+AF1100)</f>
        <v/>
      </c>
      <c r="AH1100" s="81">
        <f>IF(AN1100="","",P1100*(1-AG1100))</f>
        <v/>
      </c>
      <c r="AI1100" s="81">
        <f>IF(AN1100="","",IF(Q1100="Sin Factura",0,IFERROR(INDEX(Facturas_Odoo!$H:$H, MATCH(Q1100, Facturas_Odoo!$B:$B, 0)), 0)*(1-AG1100)))</f>
        <v/>
      </c>
      <c r="AJ1100" s="81">
        <f>IF(AN1100="","",_xlfn.LET(idVenta, AN1100&amp;"",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00" s="81">
        <f>IF(AN1100="","",AH1100-AJ1100)</f>
        <v/>
      </c>
      <c r="AL1100" s="81">
        <f>IF(AN1100="","",IF(Q1100="Sin Factura","",AI1100-AJ1100))</f>
        <v/>
      </c>
      <c r="AM1100" s="81">
        <f>IF(AN1100="","",IF(Q1100="Sin Factura",0,P1100-IFERROR(INDEX(Facturas_Odoo!$H:$H, MATCH(Q1100, Facturas_Odoo!$B:$B, 0)), 0)))</f>
        <v/>
      </c>
      <c r="AN1100" s="79">
        <f>IF(AND(A1100="", J1100=""), "", IF(A1100&lt;&gt;"", VALUE(MID(A1100,2,LEN(A1100))), AN1099))</f>
        <v/>
      </c>
      <c r="AO1100" s="79">
        <f>IF(AN1100="","",IF(AD1100=0,"OK",_xlfn.LET(monedaPago, IF(AA1100="","USD",AA1100), limitePermitido, IFERROR(VLOOKUP(monedaPago, Configuración!$A$2:$B$3, 2, FALSE), 0.15), IF(AD1100&gt;limitePermitido, "ALERTA: EXCESO (" &amp; TEXT(limitePermitido, "0%") &amp; " máx)", "OK"))))</f>
        <v/>
      </c>
      <c r="AP1100" s="79">
        <f>IF(AN1100="","",IF(AE1100=0,"OK",_xlfn.LET(fechaPago, Z1100, fechaFactura, R1100, diasCredito, IF(E1100="Pago inmediato", 0, IFERROR(VALUE(MID(E1100, 1, SEARCH(" ", E1100)-1)),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00" s="79">
        <f>IF(AN1100="","",IF(AND(N1100&gt;0, AG1100&gt;0), IF(Configuración!$K$2="NO", "ALERTA: DESCUENTO DOBLE NO PERMITIDO", "OK"), "OK"))</f>
        <v/>
      </c>
      <c r="AR1100" s="79">
        <f>IF(AN1100="","",IF(OR(AO1100&lt;&gt;"OK", AP1100&lt;&gt;"OK", AQ1100&lt;&gt;"OK"), "⚠️ REVISAR", "OK"))</f>
        <v/>
      </c>
    </row>
    <row r="1101">
      <c r="A1101" s="79">
        <f>IF('Ordenes_Odoo'!A1101="","",'Ordenes_Odoo'!A1101)</f>
        <v/>
      </c>
      <c r="B1101" s="80">
        <f>IF('Ordenes_Odoo'!B1101="","",'Ordenes_Odoo'!B1101)</f>
        <v/>
      </c>
      <c r="C1101" s="79">
        <f>IF('Ordenes_Odoo'!C1101="","",'Ordenes_Odoo'!C1101)</f>
        <v/>
      </c>
      <c r="D1101" s="79">
        <f>IF('Ordenes_Odoo'!D1101="","",'Ordenes_Odoo'!D1101)</f>
        <v/>
      </c>
      <c r="E1101" s="79">
        <f>IF('Ordenes_Odoo'!E1101="","",'Ordenes_Odoo'!E1101)</f>
        <v/>
      </c>
      <c r="F1101" s="79">
        <f>IF('Ordenes_Odoo'!F1101="","",'Ordenes_Odoo'!F1101)</f>
        <v/>
      </c>
      <c r="G1101" s="79">
        <f>IF('Ordenes_Odoo'!G1101="","",'Ordenes_Odoo'!G1101)</f>
        <v/>
      </c>
      <c r="H1101" s="79">
        <f>IF('Ordenes_Odoo'!H1101="","",'Ordenes_Odoo'!H1101)</f>
        <v/>
      </c>
      <c r="I1101" s="79">
        <f>IF('Ordenes_Odoo'!I1101="","",'Ordenes_Odoo'!I1101)</f>
        <v/>
      </c>
      <c r="J1101" s="79">
        <f>IF('Ordenes_Odoo'!J1101="","",'Ordenes_Odoo'!J1101)</f>
        <v/>
      </c>
      <c r="K1101" s="81">
        <f>IF('Ordenes_Odoo'!K1101="","",'Ordenes_Odoo'!K1101)</f>
        <v/>
      </c>
      <c r="L1101" s="81">
        <f>IF('Ordenes_Odoo'!L1101="","",'Ordenes_Odoo'!L1101)</f>
        <v/>
      </c>
      <c r="M1101" s="79">
        <f>IF('Ordenes_Odoo'!M1101="","",'Ordenes_Odoo'!M1101)</f>
        <v/>
      </c>
      <c r="N1101" s="79">
        <f>IF('Ordenes_Odoo'!N1101="","",'Ordenes_Odoo'!N1101)</f>
        <v/>
      </c>
      <c r="O1101" s="81">
        <f>IF('Ordenes_Odoo'!O1101="","",'Ordenes_Odoo'!O1101)</f>
        <v/>
      </c>
      <c r="P1101" s="81">
        <f>IF('Ordenes_Odoo'!P1101="","",'Ordenes_Odoo'!P1101)</f>
        <v/>
      </c>
      <c r="Q1101" s="79">
        <f>IF(A1101="","",IFERROR(INDEX(Facturas_Odoo!$B:$B, MATCH(A1101, Facturas_Odoo!$D:$D, 0)), "Sin Factura"))</f>
        <v/>
      </c>
      <c r="R1101" s="80">
        <f>IF(Q1101="Sin Factura","",IFERROR(INDEX(Facturas_Odoo!$A:$A, MATCH(Q1101, Facturas_Odoo!$B:$B, 0)), ""))</f>
        <v/>
      </c>
      <c r="S1101" s="79">
        <f>IF(Q1101="Sin Factura","",IFERROR(_xlfn.XLOOKUP(1, (Facturas_Odoo!$D:$D=A1101) * (Facturas_Odoo!$K:$K=I1101), Facturas_Odoo!$L:$L, ""), ""))</f>
        <v/>
      </c>
      <c r="T1101" s="81">
        <f>IF(Q1101="Sin Factura",0,IFERROR(_xlfn.XLOOKUP(1, (Facturas_Odoo!$D:$D=A1101) * (Facturas_Odoo!$K:$K=I1101), Facturas_Odoo!$M:$M, 0), 0))</f>
        <v/>
      </c>
      <c r="U1101" s="79">
        <f>IF(Q1101="Sin Factura",0,IFERROR(_xlfn.XLOOKUP(1, (Facturas_Odoo!$D:$D=A1101) * (Facturas_Odoo!$K:$K=I1101), Facturas_Odoo!$N:$N, 0), 0))</f>
        <v/>
      </c>
      <c r="V1101" s="79">
        <f>IF(Q1101="Sin Factura",0,IFERROR(_xlfn.XLOOKUP(1, (Facturas_Odoo!$D:$D=A1101) * (Facturas_Odoo!$K:$K=I1101), Facturas_Odoo!$O:$O, 0), 0))</f>
        <v/>
      </c>
      <c r="W1101" s="81">
        <f>IF(Q1101="Sin Factura",0,IFERROR(_xlfn.XLOOKUP(1, (Facturas_Odoo!$D:$D=A1101) * (Facturas_Odoo!$K:$K=I1101), Facturas_Odoo!$Q:$Q, 0), 0))</f>
        <v/>
      </c>
      <c r="X1101" s="79">
        <f>IF(OR(Q1101="Sin Factura",Q1101=""),"",IFERROR(INDEX(Pagos_Odoo!$B:$B, MATCH(Q1101, Pagos_Odoo!$I:$I, 0)), "Sin Pago"))</f>
        <v/>
      </c>
      <c r="Y1101" s="79">
        <f>IF(X1101="Sin Pago","",IFERROR(INDEX(Pagos_Odoo!$C:$C, MATCH(X1101, Pagos_Odoo!$B:$B, 0)), ""))</f>
        <v/>
      </c>
      <c r="Z1101" s="80">
        <f>IF(X1101="Sin Pago","",IFERROR(INDEX(Pagos_Odoo!$A:$A, MATCH(X1101, Pagos_Odoo!$B:$B, 0)), ""))</f>
        <v/>
      </c>
      <c r="AA1101" s="79">
        <f>IF(X1101="Sin Pago","",IFERROR(INDEX(Pagos_Odoo!$F:$F, MATCH(X1101, Pagos_Odoo!$B:$B, 0)), ""))</f>
        <v/>
      </c>
      <c r="AB1101" s="81">
        <f>IF(X1101="Sin Pago",0,IFERROR(INDEX(Pagos_Odoo!$E:$E, MATCH(X1101, Pagos_Odoo!$B:$B, 0)), 0))</f>
        <v/>
      </c>
      <c r="AC1101" s="79">
        <f>IF(X1101="Sin Pago","",IFERROR(INDEX(Pagos_Odoo!$G:$G, MATCH(X1101, Pagos_Odoo!$B:$B, 0)), ""))</f>
        <v/>
      </c>
      <c r="AD1101" s="82" t="n">
        <v>0</v>
      </c>
      <c r="AE1101" s="82" t="n"/>
      <c r="AF1101" s="82" t="n"/>
      <c r="AG1101" s="82">
        <f>IF(AN1101="","",AD1101+AE1101+AF1101)</f>
        <v/>
      </c>
      <c r="AH1101" s="81">
        <f>IF(AN1101="","",P1101*(1-AG1101))</f>
        <v/>
      </c>
      <c r="AI1101" s="81">
        <f>IF(AN1101="","",IF(Q1101="Sin Factura",0,IFERROR(INDEX(Facturas_Odoo!$H:$H, MATCH(Q1101, Facturas_Odoo!$B:$B, 0)), 0)*(1-AG1101)))</f>
        <v/>
      </c>
      <c r="AJ1101" s="81">
        <f>IF(AN1101="","",_xlfn.LET(idVenta, AN1101&amp;"",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01" s="81">
        <f>IF(AN1101="","",AH1101-AJ1101)</f>
        <v/>
      </c>
      <c r="AL1101" s="81">
        <f>IF(AN1101="","",IF(Q1101="Sin Factura","",AI1101-AJ1101))</f>
        <v/>
      </c>
      <c r="AM1101" s="81">
        <f>IF(AN1101="","",IF(Q1101="Sin Factura",0,P1101-IFERROR(INDEX(Facturas_Odoo!$H:$H, MATCH(Q1101, Facturas_Odoo!$B:$B, 0)), 0)))</f>
        <v/>
      </c>
      <c r="AN1101" s="79">
        <f>IF(AND(A1101="", J1101=""), "", IF(A1101&lt;&gt;"", VALUE(MID(A1101,2,LEN(A1101))), AN1100))</f>
        <v/>
      </c>
      <c r="AO1101" s="79">
        <f>IF(AN1101="","",IF(AD1101=0,"OK",_xlfn.LET(monedaPago, IF(AA1101="","USD",AA1101), limitePermitido, IFERROR(VLOOKUP(monedaPago, Configuración!$A$2:$B$3, 2, FALSE), 0.15), IF(AD1101&gt;limitePermitido, "ALERTA: EXCESO (" &amp; TEXT(limitePermitido, "0%") &amp; " máx)", "OK"))))</f>
        <v/>
      </c>
      <c r="AP1101" s="79">
        <f>IF(AN1101="","",IF(AE1101=0,"OK",_xlfn.LET(fechaPago, Z1101, fechaFactura, R1101, diasCredito, IF(E1101="Pago inmediato", 0, IFERROR(VALUE(MID(E1101, 1, SEARCH(" ", E1101)-1)),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01" s="79">
        <f>IF(AN1101="","",IF(AND(N1101&gt;0, AG1101&gt;0), IF(Configuración!$K$2="NO", "ALERTA: DESCUENTO DOBLE NO PERMITIDO", "OK"), "OK"))</f>
        <v/>
      </c>
      <c r="AR1101" s="79">
        <f>IF(AN1101="","",IF(OR(AO1101&lt;&gt;"OK", AP1101&lt;&gt;"OK", AQ1101&lt;&gt;"OK"), "⚠️ REVISAR", "OK"))</f>
        <v/>
      </c>
    </row>
    <row r="1102">
      <c r="A1102" s="79">
        <f>IF('Ordenes_Odoo'!A1102="","",'Ordenes_Odoo'!A1102)</f>
        <v/>
      </c>
      <c r="B1102" s="80">
        <f>IF('Ordenes_Odoo'!B1102="","",'Ordenes_Odoo'!B1102)</f>
        <v/>
      </c>
      <c r="C1102" s="79">
        <f>IF('Ordenes_Odoo'!C1102="","",'Ordenes_Odoo'!C1102)</f>
        <v/>
      </c>
      <c r="D1102" s="79">
        <f>IF('Ordenes_Odoo'!D1102="","",'Ordenes_Odoo'!D1102)</f>
        <v/>
      </c>
      <c r="E1102" s="79">
        <f>IF('Ordenes_Odoo'!E1102="","",'Ordenes_Odoo'!E1102)</f>
        <v/>
      </c>
      <c r="F1102" s="79">
        <f>IF('Ordenes_Odoo'!F1102="","",'Ordenes_Odoo'!F1102)</f>
        <v/>
      </c>
      <c r="G1102" s="79">
        <f>IF('Ordenes_Odoo'!G1102="","",'Ordenes_Odoo'!G1102)</f>
        <v/>
      </c>
      <c r="H1102" s="79">
        <f>IF('Ordenes_Odoo'!H1102="","",'Ordenes_Odoo'!H1102)</f>
        <v/>
      </c>
      <c r="I1102" s="79">
        <f>IF('Ordenes_Odoo'!I1102="","",'Ordenes_Odoo'!I1102)</f>
        <v/>
      </c>
      <c r="J1102" s="79">
        <f>IF('Ordenes_Odoo'!J1102="","",'Ordenes_Odoo'!J1102)</f>
        <v/>
      </c>
      <c r="K1102" s="81">
        <f>IF('Ordenes_Odoo'!K1102="","",'Ordenes_Odoo'!K1102)</f>
        <v/>
      </c>
      <c r="L1102" s="81">
        <f>IF('Ordenes_Odoo'!L1102="","",'Ordenes_Odoo'!L1102)</f>
        <v/>
      </c>
      <c r="M1102" s="79">
        <f>IF('Ordenes_Odoo'!M1102="","",'Ordenes_Odoo'!M1102)</f>
        <v/>
      </c>
      <c r="N1102" s="79">
        <f>IF('Ordenes_Odoo'!N1102="","",'Ordenes_Odoo'!N1102)</f>
        <v/>
      </c>
      <c r="O1102" s="81">
        <f>IF('Ordenes_Odoo'!O1102="","",'Ordenes_Odoo'!O1102)</f>
        <v/>
      </c>
      <c r="P1102" s="81">
        <f>IF('Ordenes_Odoo'!P1102="","",'Ordenes_Odoo'!P1102)</f>
        <v/>
      </c>
      <c r="Q1102" s="79">
        <f>IF(A1102="","",IFERROR(INDEX(Facturas_Odoo!$B:$B, MATCH(A1102, Facturas_Odoo!$D:$D, 0)), "Sin Factura"))</f>
        <v/>
      </c>
      <c r="R1102" s="80">
        <f>IF(Q1102="Sin Factura","",IFERROR(INDEX(Facturas_Odoo!$A:$A, MATCH(Q1102, Facturas_Odoo!$B:$B, 0)), ""))</f>
        <v/>
      </c>
      <c r="S1102" s="79">
        <f>IF(Q1102="Sin Factura","",IFERROR(_xlfn.XLOOKUP(1, (Facturas_Odoo!$D:$D=A1102) * (Facturas_Odoo!$K:$K=I1102), Facturas_Odoo!$L:$L, ""), ""))</f>
        <v/>
      </c>
      <c r="T1102" s="81">
        <f>IF(Q1102="Sin Factura",0,IFERROR(_xlfn.XLOOKUP(1, (Facturas_Odoo!$D:$D=A1102) * (Facturas_Odoo!$K:$K=I1102), Facturas_Odoo!$M:$M, 0), 0))</f>
        <v/>
      </c>
      <c r="U1102" s="79">
        <f>IF(Q1102="Sin Factura",0,IFERROR(_xlfn.XLOOKUP(1, (Facturas_Odoo!$D:$D=A1102) * (Facturas_Odoo!$K:$K=I1102), Facturas_Odoo!$N:$N, 0), 0))</f>
        <v/>
      </c>
      <c r="V1102" s="79">
        <f>IF(Q1102="Sin Factura",0,IFERROR(_xlfn.XLOOKUP(1, (Facturas_Odoo!$D:$D=A1102) * (Facturas_Odoo!$K:$K=I1102), Facturas_Odoo!$O:$O, 0), 0))</f>
        <v/>
      </c>
      <c r="W1102" s="81">
        <f>IF(Q1102="Sin Factura",0,IFERROR(_xlfn.XLOOKUP(1, (Facturas_Odoo!$D:$D=A1102) * (Facturas_Odoo!$K:$K=I1102), Facturas_Odoo!$Q:$Q, 0), 0))</f>
        <v/>
      </c>
      <c r="X1102" s="79">
        <f>IF(OR(Q1102="Sin Factura",Q1102=""),"",IFERROR(INDEX(Pagos_Odoo!$B:$B, MATCH(Q1102, Pagos_Odoo!$I:$I, 0)), "Sin Pago"))</f>
        <v/>
      </c>
      <c r="Y1102" s="79">
        <f>IF(X1102="Sin Pago","",IFERROR(INDEX(Pagos_Odoo!$C:$C, MATCH(X1102, Pagos_Odoo!$B:$B, 0)), ""))</f>
        <v/>
      </c>
      <c r="Z1102" s="80">
        <f>IF(X1102="Sin Pago","",IFERROR(INDEX(Pagos_Odoo!$A:$A, MATCH(X1102, Pagos_Odoo!$B:$B, 0)), ""))</f>
        <v/>
      </c>
      <c r="AA1102" s="79">
        <f>IF(X1102="Sin Pago","",IFERROR(INDEX(Pagos_Odoo!$F:$F, MATCH(X1102, Pagos_Odoo!$B:$B, 0)), ""))</f>
        <v/>
      </c>
      <c r="AB1102" s="81">
        <f>IF(X1102="Sin Pago",0,IFERROR(INDEX(Pagos_Odoo!$E:$E, MATCH(X1102, Pagos_Odoo!$B:$B, 0)), 0))</f>
        <v/>
      </c>
      <c r="AC1102" s="79">
        <f>IF(X1102="Sin Pago","",IFERROR(INDEX(Pagos_Odoo!$G:$G, MATCH(X1102, Pagos_Odoo!$B:$B, 0)), ""))</f>
        <v/>
      </c>
      <c r="AD1102" s="82" t="n">
        <v>0</v>
      </c>
      <c r="AE1102" s="82" t="n"/>
      <c r="AF1102" s="82" t="n"/>
      <c r="AG1102" s="82">
        <f>IF(AN1102="","",AD1102+AE1102+AF1102)</f>
        <v/>
      </c>
      <c r="AH1102" s="81">
        <f>IF(AN1102="","",P1102*(1-AG1102))</f>
        <v/>
      </c>
      <c r="AI1102" s="81">
        <f>IF(AN1102="","",IF(Q1102="Sin Factura",0,IFERROR(INDEX(Facturas_Odoo!$H:$H, MATCH(Q1102, Facturas_Odoo!$B:$B, 0)), 0)*(1-AG1102)))</f>
        <v/>
      </c>
      <c r="AJ1102" s="81">
        <f>IF(AN1102="","",_xlfn.LET(idVenta, AN1102&amp;"",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02" s="81">
        <f>IF(AN1102="","",AH1102-AJ1102)</f>
        <v/>
      </c>
      <c r="AL1102" s="81">
        <f>IF(AN1102="","",IF(Q1102="Sin Factura","",AI1102-AJ1102))</f>
        <v/>
      </c>
      <c r="AM1102" s="81">
        <f>IF(AN1102="","",IF(Q1102="Sin Factura",0,P1102-IFERROR(INDEX(Facturas_Odoo!$H:$H, MATCH(Q1102, Facturas_Odoo!$B:$B, 0)), 0)))</f>
        <v/>
      </c>
      <c r="AN1102" s="79">
        <f>IF(AND(A1102="", J1102=""), "", IF(A1102&lt;&gt;"", VALUE(MID(A1102,2,LEN(A1102))), AN1101))</f>
        <v/>
      </c>
      <c r="AO1102" s="79">
        <f>IF(AN1102="","",IF(AD1102=0,"OK",_xlfn.LET(monedaPago, IF(AA1102="","USD",AA1102), limitePermitido, IFERROR(VLOOKUP(monedaPago, Configuración!$A$2:$B$3, 2, FALSE), 0.15), IF(AD1102&gt;limitePermitido, "ALERTA: EXCESO (" &amp; TEXT(limitePermitido, "0%") &amp; " máx)", "OK"))))</f>
        <v/>
      </c>
      <c r="AP1102" s="79">
        <f>IF(AN1102="","",IF(AE1102=0,"OK",_xlfn.LET(fechaPago, Z1102, fechaFactura, R1102, diasCredito, IF(E1102="Pago inmediato", 0, IFERROR(VALUE(MID(E1102, 1, SEARCH(" ", E1102)-1)),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02" s="79">
        <f>IF(AN1102="","",IF(AND(N1102&gt;0, AG1102&gt;0), IF(Configuración!$K$2="NO", "ALERTA: DESCUENTO DOBLE NO PERMITIDO", "OK"), "OK"))</f>
        <v/>
      </c>
      <c r="AR1102" s="79">
        <f>IF(AN1102="","",IF(OR(AO1102&lt;&gt;"OK", AP1102&lt;&gt;"OK", AQ1102&lt;&gt;"OK"), "⚠️ REVISAR", "OK"))</f>
        <v/>
      </c>
    </row>
    <row r="1103">
      <c r="A1103" s="79">
        <f>IF('Ordenes_Odoo'!A1103="","",'Ordenes_Odoo'!A1103)</f>
        <v/>
      </c>
      <c r="B1103" s="80">
        <f>IF('Ordenes_Odoo'!B1103="","",'Ordenes_Odoo'!B1103)</f>
        <v/>
      </c>
      <c r="C1103" s="79">
        <f>IF('Ordenes_Odoo'!C1103="","",'Ordenes_Odoo'!C1103)</f>
        <v/>
      </c>
      <c r="D1103" s="79">
        <f>IF('Ordenes_Odoo'!D1103="","",'Ordenes_Odoo'!D1103)</f>
        <v/>
      </c>
      <c r="E1103" s="79">
        <f>IF('Ordenes_Odoo'!E1103="","",'Ordenes_Odoo'!E1103)</f>
        <v/>
      </c>
      <c r="F1103" s="79">
        <f>IF('Ordenes_Odoo'!F1103="","",'Ordenes_Odoo'!F1103)</f>
        <v/>
      </c>
      <c r="G1103" s="79">
        <f>IF('Ordenes_Odoo'!G1103="","",'Ordenes_Odoo'!G1103)</f>
        <v/>
      </c>
      <c r="H1103" s="79">
        <f>IF('Ordenes_Odoo'!H1103="","",'Ordenes_Odoo'!H1103)</f>
        <v/>
      </c>
      <c r="I1103" s="79">
        <f>IF('Ordenes_Odoo'!I1103="","",'Ordenes_Odoo'!I1103)</f>
        <v/>
      </c>
      <c r="J1103" s="79">
        <f>IF('Ordenes_Odoo'!J1103="","",'Ordenes_Odoo'!J1103)</f>
        <v/>
      </c>
      <c r="K1103" s="81">
        <f>IF('Ordenes_Odoo'!K1103="","",'Ordenes_Odoo'!K1103)</f>
        <v/>
      </c>
      <c r="L1103" s="81">
        <f>IF('Ordenes_Odoo'!L1103="","",'Ordenes_Odoo'!L1103)</f>
        <v/>
      </c>
      <c r="M1103" s="79">
        <f>IF('Ordenes_Odoo'!M1103="","",'Ordenes_Odoo'!M1103)</f>
        <v/>
      </c>
      <c r="N1103" s="79">
        <f>IF('Ordenes_Odoo'!N1103="","",'Ordenes_Odoo'!N1103)</f>
        <v/>
      </c>
      <c r="O1103" s="81">
        <f>IF('Ordenes_Odoo'!O1103="","",'Ordenes_Odoo'!O1103)</f>
        <v/>
      </c>
      <c r="P1103" s="81">
        <f>IF('Ordenes_Odoo'!P1103="","",'Ordenes_Odoo'!P1103)</f>
        <v/>
      </c>
      <c r="Q1103" s="79">
        <f>IF(A1103="","",IFERROR(INDEX(Facturas_Odoo!$B:$B, MATCH(A1103, Facturas_Odoo!$D:$D, 0)), "Sin Factura"))</f>
        <v/>
      </c>
      <c r="R1103" s="80">
        <f>IF(Q1103="Sin Factura","",IFERROR(INDEX(Facturas_Odoo!$A:$A, MATCH(Q1103, Facturas_Odoo!$B:$B, 0)), ""))</f>
        <v/>
      </c>
      <c r="S1103" s="79">
        <f>IF(Q1103="Sin Factura","",IFERROR(_xlfn.XLOOKUP(1, (Facturas_Odoo!$D:$D=A1103) * (Facturas_Odoo!$K:$K=I1103), Facturas_Odoo!$L:$L, ""), ""))</f>
        <v/>
      </c>
      <c r="T1103" s="81">
        <f>IF(Q1103="Sin Factura",0,IFERROR(_xlfn.XLOOKUP(1, (Facturas_Odoo!$D:$D=A1103) * (Facturas_Odoo!$K:$K=I1103), Facturas_Odoo!$M:$M, 0), 0))</f>
        <v/>
      </c>
      <c r="U1103" s="79">
        <f>IF(Q1103="Sin Factura",0,IFERROR(_xlfn.XLOOKUP(1, (Facturas_Odoo!$D:$D=A1103) * (Facturas_Odoo!$K:$K=I1103), Facturas_Odoo!$N:$N, 0), 0))</f>
        <v/>
      </c>
      <c r="V1103" s="79">
        <f>IF(Q1103="Sin Factura",0,IFERROR(_xlfn.XLOOKUP(1, (Facturas_Odoo!$D:$D=A1103) * (Facturas_Odoo!$K:$K=I1103), Facturas_Odoo!$O:$O, 0), 0))</f>
        <v/>
      </c>
      <c r="W1103" s="81">
        <f>IF(Q1103="Sin Factura",0,IFERROR(_xlfn.XLOOKUP(1, (Facturas_Odoo!$D:$D=A1103) * (Facturas_Odoo!$K:$K=I1103), Facturas_Odoo!$Q:$Q, 0), 0))</f>
        <v/>
      </c>
      <c r="X1103" s="79">
        <f>IF(OR(Q1103="Sin Factura",Q1103=""),"",IFERROR(INDEX(Pagos_Odoo!$B:$B, MATCH(Q1103, Pagos_Odoo!$I:$I, 0)), "Sin Pago"))</f>
        <v/>
      </c>
      <c r="Y1103" s="79">
        <f>IF(X1103="Sin Pago","",IFERROR(INDEX(Pagos_Odoo!$C:$C, MATCH(X1103, Pagos_Odoo!$B:$B, 0)), ""))</f>
        <v/>
      </c>
      <c r="Z1103" s="80">
        <f>IF(X1103="Sin Pago","",IFERROR(INDEX(Pagos_Odoo!$A:$A, MATCH(X1103, Pagos_Odoo!$B:$B, 0)), ""))</f>
        <v/>
      </c>
      <c r="AA1103" s="79">
        <f>IF(X1103="Sin Pago","",IFERROR(INDEX(Pagos_Odoo!$F:$F, MATCH(X1103, Pagos_Odoo!$B:$B, 0)), ""))</f>
        <v/>
      </c>
      <c r="AB1103" s="81">
        <f>IF(X1103="Sin Pago",0,IFERROR(INDEX(Pagos_Odoo!$E:$E, MATCH(X1103, Pagos_Odoo!$B:$B, 0)), 0))</f>
        <v/>
      </c>
      <c r="AC1103" s="79">
        <f>IF(X1103="Sin Pago","",IFERROR(INDEX(Pagos_Odoo!$G:$G, MATCH(X1103, Pagos_Odoo!$B:$B, 0)), ""))</f>
        <v/>
      </c>
      <c r="AD1103" s="82" t="n">
        <v>0</v>
      </c>
      <c r="AE1103" s="82" t="n"/>
      <c r="AF1103" s="82" t="n"/>
      <c r="AG1103" s="82">
        <f>IF(AN1103="","",AD1103+AE1103+AF1103)</f>
        <v/>
      </c>
      <c r="AH1103" s="81">
        <f>IF(AN1103="","",P1103*(1-AG1103))</f>
        <v/>
      </c>
      <c r="AI1103" s="81">
        <f>IF(AN1103="","",IF(Q1103="Sin Factura",0,IFERROR(INDEX(Facturas_Odoo!$H:$H, MATCH(Q1103, Facturas_Odoo!$B:$B, 0)), 0)*(1-AG1103)))</f>
        <v/>
      </c>
      <c r="AJ1103" s="81">
        <f>IF(AN1103="","",_xlfn.LET(idVenta, AN1103&amp;"",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03" s="81">
        <f>IF(AN1103="","",AH1103-AJ1103)</f>
        <v/>
      </c>
      <c r="AL1103" s="81">
        <f>IF(AN1103="","",IF(Q1103="Sin Factura","",AI1103-AJ1103))</f>
        <v/>
      </c>
      <c r="AM1103" s="81">
        <f>IF(AN1103="","",IF(Q1103="Sin Factura",0,P1103-IFERROR(INDEX(Facturas_Odoo!$H:$H, MATCH(Q1103, Facturas_Odoo!$B:$B, 0)), 0)))</f>
        <v/>
      </c>
      <c r="AN1103" s="79">
        <f>IF(AND(A1103="", J1103=""), "", IF(A1103&lt;&gt;"", VALUE(MID(A1103,2,LEN(A1103))), AN1102))</f>
        <v/>
      </c>
      <c r="AO1103" s="79">
        <f>IF(AN1103="","",IF(AD1103=0,"OK",_xlfn.LET(monedaPago, IF(AA1103="","USD",AA1103), limitePermitido, IFERROR(VLOOKUP(monedaPago, Configuración!$A$2:$B$3, 2, FALSE), 0.15), IF(AD1103&gt;limitePermitido, "ALERTA: EXCESO (" &amp; TEXT(limitePermitido, "0%") &amp; " máx)", "OK"))))</f>
        <v/>
      </c>
      <c r="AP1103" s="79">
        <f>IF(AN1103="","",IF(AE1103=0,"OK",_xlfn.LET(fechaPago, Z1103, fechaFactura, R1103, diasCredito, IF(E1103="Pago inmediato", 0, IFERROR(VALUE(MID(E1103, 1, SEARCH(" ", E1103)-1)),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03" s="79">
        <f>IF(AN1103="","",IF(AND(N1103&gt;0, AG1103&gt;0), IF(Configuración!$K$2="NO", "ALERTA: DESCUENTO DOBLE NO PERMITIDO", "OK"), "OK"))</f>
        <v/>
      </c>
      <c r="AR1103" s="79">
        <f>IF(AN1103="","",IF(OR(AO1103&lt;&gt;"OK", AP1103&lt;&gt;"OK", AQ1103&lt;&gt;"OK"), "⚠️ REVISAR", "OK"))</f>
        <v/>
      </c>
    </row>
    <row r="1104">
      <c r="A1104" s="79">
        <f>IF('Ordenes_Odoo'!A1104="","",'Ordenes_Odoo'!A1104)</f>
        <v/>
      </c>
      <c r="B1104" s="80">
        <f>IF('Ordenes_Odoo'!B1104="","",'Ordenes_Odoo'!B1104)</f>
        <v/>
      </c>
      <c r="C1104" s="79">
        <f>IF('Ordenes_Odoo'!C1104="","",'Ordenes_Odoo'!C1104)</f>
        <v/>
      </c>
      <c r="D1104" s="79">
        <f>IF('Ordenes_Odoo'!D1104="","",'Ordenes_Odoo'!D1104)</f>
        <v/>
      </c>
      <c r="E1104" s="79">
        <f>IF('Ordenes_Odoo'!E1104="","",'Ordenes_Odoo'!E1104)</f>
        <v/>
      </c>
      <c r="F1104" s="79">
        <f>IF('Ordenes_Odoo'!F1104="","",'Ordenes_Odoo'!F1104)</f>
        <v/>
      </c>
      <c r="G1104" s="79">
        <f>IF('Ordenes_Odoo'!G1104="","",'Ordenes_Odoo'!G1104)</f>
        <v/>
      </c>
      <c r="H1104" s="79">
        <f>IF('Ordenes_Odoo'!H1104="","",'Ordenes_Odoo'!H1104)</f>
        <v/>
      </c>
      <c r="I1104" s="79">
        <f>IF('Ordenes_Odoo'!I1104="","",'Ordenes_Odoo'!I1104)</f>
        <v/>
      </c>
      <c r="J1104" s="79">
        <f>IF('Ordenes_Odoo'!J1104="","",'Ordenes_Odoo'!J1104)</f>
        <v/>
      </c>
      <c r="K1104" s="81">
        <f>IF('Ordenes_Odoo'!K1104="","",'Ordenes_Odoo'!K1104)</f>
        <v/>
      </c>
      <c r="L1104" s="81">
        <f>IF('Ordenes_Odoo'!L1104="","",'Ordenes_Odoo'!L1104)</f>
        <v/>
      </c>
      <c r="M1104" s="79">
        <f>IF('Ordenes_Odoo'!M1104="","",'Ordenes_Odoo'!M1104)</f>
        <v/>
      </c>
      <c r="N1104" s="79">
        <f>IF('Ordenes_Odoo'!N1104="","",'Ordenes_Odoo'!N1104)</f>
        <v/>
      </c>
      <c r="O1104" s="81">
        <f>IF('Ordenes_Odoo'!O1104="","",'Ordenes_Odoo'!O1104)</f>
        <v/>
      </c>
      <c r="P1104" s="81">
        <f>IF('Ordenes_Odoo'!P1104="","",'Ordenes_Odoo'!P1104)</f>
        <v/>
      </c>
      <c r="Q1104" s="79">
        <f>IF(A1104="","",IFERROR(INDEX(Facturas_Odoo!$B:$B, MATCH(A1104, Facturas_Odoo!$D:$D, 0)), "Sin Factura"))</f>
        <v/>
      </c>
      <c r="R1104" s="80">
        <f>IF(Q1104="Sin Factura","",IFERROR(INDEX(Facturas_Odoo!$A:$A, MATCH(Q1104, Facturas_Odoo!$B:$B, 0)), ""))</f>
        <v/>
      </c>
      <c r="S1104" s="79">
        <f>IF(Q1104="Sin Factura","",IFERROR(_xlfn.XLOOKUP(1, (Facturas_Odoo!$D:$D=A1104) * (Facturas_Odoo!$K:$K=I1104), Facturas_Odoo!$L:$L, ""), ""))</f>
        <v/>
      </c>
      <c r="T1104" s="81">
        <f>IF(Q1104="Sin Factura",0,IFERROR(_xlfn.XLOOKUP(1, (Facturas_Odoo!$D:$D=A1104) * (Facturas_Odoo!$K:$K=I1104), Facturas_Odoo!$M:$M, 0), 0))</f>
        <v/>
      </c>
      <c r="U1104" s="79">
        <f>IF(Q1104="Sin Factura",0,IFERROR(_xlfn.XLOOKUP(1, (Facturas_Odoo!$D:$D=A1104) * (Facturas_Odoo!$K:$K=I1104), Facturas_Odoo!$N:$N, 0), 0))</f>
        <v/>
      </c>
      <c r="V1104" s="79">
        <f>IF(Q1104="Sin Factura",0,IFERROR(_xlfn.XLOOKUP(1, (Facturas_Odoo!$D:$D=A1104) * (Facturas_Odoo!$K:$K=I1104), Facturas_Odoo!$O:$O, 0), 0))</f>
        <v/>
      </c>
      <c r="W1104" s="81">
        <f>IF(Q1104="Sin Factura",0,IFERROR(_xlfn.XLOOKUP(1, (Facturas_Odoo!$D:$D=A1104) * (Facturas_Odoo!$K:$K=I1104), Facturas_Odoo!$Q:$Q, 0), 0))</f>
        <v/>
      </c>
      <c r="X1104" s="79">
        <f>IF(OR(Q1104="Sin Factura",Q1104=""),"",IFERROR(INDEX(Pagos_Odoo!$B:$B, MATCH(Q1104, Pagos_Odoo!$I:$I, 0)), "Sin Pago"))</f>
        <v/>
      </c>
      <c r="Y1104" s="79">
        <f>IF(X1104="Sin Pago","",IFERROR(INDEX(Pagos_Odoo!$C:$C, MATCH(X1104, Pagos_Odoo!$B:$B, 0)), ""))</f>
        <v/>
      </c>
      <c r="Z1104" s="80">
        <f>IF(X1104="Sin Pago","",IFERROR(INDEX(Pagos_Odoo!$A:$A, MATCH(X1104, Pagos_Odoo!$B:$B, 0)), ""))</f>
        <v/>
      </c>
      <c r="AA1104" s="79">
        <f>IF(X1104="Sin Pago","",IFERROR(INDEX(Pagos_Odoo!$F:$F, MATCH(X1104, Pagos_Odoo!$B:$B, 0)), ""))</f>
        <v/>
      </c>
      <c r="AB1104" s="81">
        <f>IF(X1104="Sin Pago",0,IFERROR(INDEX(Pagos_Odoo!$E:$E, MATCH(X1104, Pagos_Odoo!$B:$B, 0)), 0))</f>
        <v/>
      </c>
      <c r="AC1104" s="79">
        <f>IF(X1104="Sin Pago","",IFERROR(INDEX(Pagos_Odoo!$G:$G, MATCH(X1104, Pagos_Odoo!$B:$B, 0)), ""))</f>
        <v/>
      </c>
      <c r="AD1104" s="82" t="n">
        <v>0</v>
      </c>
      <c r="AE1104" s="82" t="n"/>
      <c r="AF1104" s="82" t="n"/>
      <c r="AG1104" s="82">
        <f>IF(AN1104="","",AD1104+AE1104+AF1104)</f>
        <v/>
      </c>
      <c r="AH1104" s="81">
        <f>IF(AN1104="","",P1104*(1-AG1104))</f>
        <v/>
      </c>
      <c r="AI1104" s="81">
        <f>IF(AN1104="","",IF(Q1104="Sin Factura",0,IFERROR(INDEX(Facturas_Odoo!$H:$H, MATCH(Q1104, Facturas_Odoo!$B:$B, 0)), 0)*(1-AG1104)))</f>
        <v/>
      </c>
      <c r="AJ1104" s="81">
        <f>IF(AN1104="","",_xlfn.LET(idVenta, AN1104&amp;"",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04" s="81">
        <f>IF(AN1104="","",AH1104-AJ1104)</f>
        <v/>
      </c>
      <c r="AL1104" s="81">
        <f>IF(AN1104="","",IF(Q1104="Sin Factura","",AI1104-AJ1104))</f>
        <v/>
      </c>
      <c r="AM1104" s="81">
        <f>IF(AN1104="","",IF(Q1104="Sin Factura",0,P1104-IFERROR(INDEX(Facturas_Odoo!$H:$H, MATCH(Q1104, Facturas_Odoo!$B:$B, 0)), 0)))</f>
        <v/>
      </c>
      <c r="AN1104" s="79">
        <f>IF(AND(A1104="", J1104=""), "", IF(A1104&lt;&gt;"", VALUE(MID(A1104,2,LEN(A1104))), AN1103))</f>
        <v/>
      </c>
      <c r="AO1104" s="79">
        <f>IF(AN1104="","",IF(AD1104=0,"OK",_xlfn.LET(monedaPago, IF(AA1104="","USD",AA1104), limitePermitido, IFERROR(VLOOKUP(monedaPago, Configuración!$A$2:$B$3, 2, FALSE), 0.15), IF(AD1104&gt;limitePermitido, "ALERTA: EXCESO (" &amp; TEXT(limitePermitido, "0%") &amp; " máx)", "OK"))))</f>
        <v/>
      </c>
      <c r="AP1104" s="79">
        <f>IF(AN1104="","",IF(AE1104=0,"OK",_xlfn.LET(fechaPago, Z1104, fechaFactura, R1104, diasCredito, IF(E1104="Pago inmediato", 0, IFERROR(VALUE(MID(E1104, 1, SEARCH(" ", E1104)-1)),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04" s="79">
        <f>IF(AN1104="","",IF(AND(N1104&gt;0, AG1104&gt;0), IF(Configuración!$K$2="NO", "ALERTA: DESCUENTO DOBLE NO PERMITIDO", "OK"), "OK"))</f>
        <v/>
      </c>
      <c r="AR1104" s="79">
        <f>IF(AN1104="","",IF(OR(AO1104&lt;&gt;"OK", AP1104&lt;&gt;"OK", AQ1104&lt;&gt;"OK"), "⚠️ REVISAR", "OK"))</f>
        <v/>
      </c>
    </row>
    <row r="1105">
      <c r="A1105" s="79">
        <f>IF('Ordenes_Odoo'!A1105="","",'Ordenes_Odoo'!A1105)</f>
        <v/>
      </c>
      <c r="B1105" s="80">
        <f>IF('Ordenes_Odoo'!B1105="","",'Ordenes_Odoo'!B1105)</f>
        <v/>
      </c>
      <c r="C1105" s="79">
        <f>IF('Ordenes_Odoo'!C1105="","",'Ordenes_Odoo'!C1105)</f>
        <v/>
      </c>
      <c r="D1105" s="79">
        <f>IF('Ordenes_Odoo'!D1105="","",'Ordenes_Odoo'!D1105)</f>
        <v/>
      </c>
      <c r="E1105" s="79">
        <f>IF('Ordenes_Odoo'!E1105="","",'Ordenes_Odoo'!E1105)</f>
        <v/>
      </c>
      <c r="F1105" s="79">
        <f>IF('Ordenes_Odoo'!F1105="","",'Ordenes_Odoo'!F1105)</f>
        <v/>
      </c>
      <c r="G1105" s="79">
        <f>IF('Ordenes_Odoo'!G1105="","",'Ordenes_Odoo'!G1105)</f>
        <v/>
      </c>
      <c r="H1105" s="79">
        <f>IF('Ordenes_Odoo'!H1105="","",'Ordenes_Odoo'!H1105)</f>
        <v/>
      </c>
      <c r="I1105" s="79">
        <f>IF('Ordenes_Odoo'!I1105="","",'Ordenes_Odoo'!I1105)</f>
        <v/>
      </c>
      <c r="J1105" s="79">
        <f>IF('Ordenes_Odoo'!J1105="","",'Ordenes_Odoo'!J1105)</f>
        <v/>
      </c>
      <c r="K1105" s="81">
        <f>IF('Ordenes_Odoo'!K1105="","",'Ordenes_Odoo'!K1105)</f>
        <v/>
      </c>
      <c r="L1105" s="81">
        <f>IF('Ordenes_Odoo'!L1105="","",'Ordenes_Odoo'!L1105)</f>
        <v/>
      </c>
      <c r="M1105" s="79">
        <f>IF('Ordenes_Odoo'!M1105="","",'Ordenes_Odoo'!M1105)</f>
        <v/>
      </c>
      <c r="N1105" s="79">
        <f>IF('Ordenes_Odoo'!N1105="","",'Ordenes_Odoo'!N1105)</f>
        <v/>
      </c>
      <c r="O1105" s="81">
        <f>IF('Ordenes_Odoo'!O1105="","",'Ordenes_Odoo'!O1105)</f>
        <v/>
      </c>
      <c r="P1105" s="81">
        <f>IF('Ordenes_Odoo'!P1105="","",'Ordenes_Odoo'!P1105)</f>
        <v/>
      </c>
      <c r="Q1105" s="79">
        <f>IF(A1105="","",IFERROR(INDEX(Facturas_Odoo!$B:$B, MATCH(A1105, Facturas_Odoo!$D:$D, 0)), "Sin Factura"))</f>
        <v/>
      </c>
      <c r="R1105" s="80">
        <f>IF(Q1105="Sin Factura","",IFERROR(INDEX(Facturas_Odoo!$A:$A, MATCH(Q1105, Facturas_Odoo!$B:$B, 0)), ""))</f>
        <v/>
      </c>
      <c r="S1105" s="79">
        <f>IF(Q1105="Sin Factura","",IFERROR(_xlfn.XLOOKUP(1, (Facturas_Odoo!$D:$D=A1105) * (Facturas_Odoo!$K:$K=I1105), Facturas_Odoo!$L:$L, ""), ""))</f>
        <v/>
      </c>
      <c r="T1105" s="81">
        <f>IF(Q1105="Sin Factura",0,IFERROR(_xlfn.XLOOKUP(1, (Facturas_Odoo!$D:$D=A1105) * (Facturas_Odoo!$K:$K=I1105), Facturas_Odoo!$M:$M, 0), 0))</f>
        <v/>
      </c>
      <c r="U1105" s="79">
        <f>IF(Q1105="Sin Factura",0,IFERROR(_xlfn.XLOOKUP(1, (Facturas_Odoo!$D:$D=A1105) * (Facturas_Odoo!$K:$K=I1105), Facturas_Odoo!$N:$N, 0), 0))</f>
        <v/>
      </c>
      <c r="V1105" s="79">
        <f>IF(Q1105="Sin Factura",0,IFERROR(_xlfn.XLOOKUP(1, (Facturas_Odoo!$D:$D=A1105) * (Facturas_Odoo!$K:$K=I1105), Facturas_Odoo!$O:$O, 0), 0))</f>
        <v/>
      </c>
      <c r="W1105" s="81">
        <f>IF(Q1105="Sin Factura",0,IFERROR(_xlfn.XLOOKUP(1, (Facturas_Odoo!$D:$D=A1105) * (Facturas_Odoo!$K:$K=I1105), Facturas_Odoo!$Q:$Q, 0), 0))</f>
        <v/>
      </c>
      <c r="X1105" s="79">
        <f>IF(OR(Q1105="Sin Factura",Q1105=""),"",IFERROR(INDEX(Pagos_Odoo!$B:$B, MATCH(Q1105, Pagos_Odoo!$I:$I, 0)), "Sin Pago"))</f>
        <v/>
      </c>
      <c r="Y1105" s="79">
        <f>IF(X1105="Sin Pago","",IFERROR(INDEX(Pagos_Odoo!$C:$C, MATCH(X1105, Pagos_Odoo!$B:$B, 0)), ""))</f>
        <v/>
      </c>
      <c r="Z1105" s="80">
        <f>IF(X1105="Sin Pago","",IFERROR(INDEX(Pagos_Odoo!$A:$A, MATCH(X1105, Pagos_Odoo!$B:$B, 0)), ""))</f>
        <v/>
      </c>
      <c r="AA1105" s="79">
        <f>IF(X1105="Sin Pago","",IFERROR(INDEX(Pagos_Odoo!$F:$F, MATCH(X1105, Pagos_Odoo!$B:$B, 0)), ""))</f>
        <v/>
      </c>
      <c r="AB1105" s="81">
        <f>IF(X1105="Sin Pago",0,IFERROR(INDEX(Pagos_Odoo!$E:$E, MATCH(X1105, Pagos_Odoo!$B:$B, 0)), 0))</f>
        <v/>
      </c>
      <c r="AC1105" s="79">
        <f>IF(X1105="Sin Pago","",IFERROR(INDEX(Pagos_Odoo!$G:$G, MATCH(X1105, Pagos_Odoo!$B:$B, 0)), ""))</f>
        <v/>
      </c>
      <c r="AD1105" s="82" t="n">
        <v>0</v>
      </c>
      <c r="AE1105" s="82" t="n"/>
      <c r="AF1105" s="82" t="n"/>
      <c r="AG1105" s="82">
        <f>IF(AN1105="","",AD1105+AE1105+AF1105)</f>
        <v/>
      </c>
      <c r="AH1105" s="81">
        <f>IF(AN1105="","",P1105*(1-AG1105))</f>
        <v/>
      </c>
      <c r="AI1105" s="81">
        <f>IF(AN1105="","",IF(Q1105="Sin Factura",0,IFERROR(INDEX(Facturas_Odoo!$H:$H, MATCH(Q1105, Facturas_Odoo!$B:$B, 0)), 0)*(1-AG1105)))</f>
        <v/>
      </c>
      <c r="AJ1105" s="81">
        <f>IF(AN1105="","",_xlfn.LET(idVenta, AN1105&amp;"",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05" s="81">
        <f>IF(AN1105="","",AH1105-AJ1105)</f>
        <v/>
      </c>
      <c r="AL1105" s="81">
        <f>IF(AN1105="","",IF(Q1105="Sin Factura","",AI1105-AJ1105))</f>
        <v/>
      </c>
      <c r="AM1105" s="81">
        <f>IF(AN1105="","",IF(Q1105="Sin Factura",0,P1105-IFERROR(INDEX(Facturas_Odoo!$H:$H, MATCH(Q1105, Facturas_Odoo!$B:$B, 0)), 0)))</f>
        <v/>
      </c>
      <c r="AN1105" s="79">
        <f>IF(AND(A1105="", J1105=""), "", IF(A1105&lt;&gt;"", VALUE(MID(A1105,2,LEN(A1105))), AN1104))</f>
        <v/>
      </c>
      <c r="AO1105" s="79">
        <f>IF(AN1105="","",IF(AD1105=0,"OK",_xlfn.LET(monedaPago, IF(AA1105="","USD",AA1105), limitePermitido, IFERROR(VLOOKUP(monedaPago, Configuración!$A$2:$B$3, 2, FALSE), 0.15), IF(AD1105&gt;limitePermitido, "ALERTA: EXCESO (" &amp; TEXT(limitePermitido, "0%") &amp; " máx)", "OK"))))</f>
        <v/>
      </c>
      <c r="AP1105" s="79">
        <f>IF(AN1105="","",IF(AE1105=0,"OK",_xlfn.LET(fechaPago, Z1105, fechaFactura, R1105, diasCredito, IF(E1105="Pago inmediato", 0, IFERROR(VALUE(MID(E1105, 1, SEARCH(" ", E1105)-1)),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05" s="79">
        <f>IF(AN1105="","",IF(AND(N1105&gt;0, AG1105&gt;0), IF(Configuración!$K$2="NO", "ALERTA: DESCUENTO DOBLE NO PERMITIDO", "OK"), "OK"))</f>
        <v/>
      </c>
      <c r="AR1105" s="79">
        <f>IF(AN1105="","",IF(OR(AO1105&lt;&gt;"OK", AP1105&lt;&gt;"OK", AQ1105&lt;&gt;"OK"), "⚠️ REVISAR", "OK"))</f>
        <v/>
      </c>
    </row>
    <row r="1106">
      <c r="A1106" s="79">
        <f>IF('Ordenes_Odoo'!A1106="","",'Ordenes_Odoo'!A1106)</f>
        <v/>
      </c>
      <c r="B1106" s="80">
        <f>IF('Ordenes_Odoo'!B1106="","",'Ordenes_Odoo'!B1106)</f>
        <v/>
      </c>
      <c r="C1106" s="79">
        <f>IF('Ordenes_Odoo'!C1106="","",'Ordenes_Odoo'!C1106)</f>
        <v/>
      </c>
      <c r="D1106" s="79">
        <f>IF('Ordenes_Odoo'!D1106="","",'Ordenes_Odoo'!D1106)</f>
        <v/>
      </c>
      <c r="E1106" s="79">
        <f>IF('Ordenes_Odoo'!E1106="","",'Ordenes_Odoo'!E1106)</f>
        <v/>
      </c>
      <c r="F1106" s="79">
        <f>IF('Ordenes_Odoo'!F1106="","",'Ordenes_Odoo'!F1106)</f>
        <v/>
      </c>
      <c r="G1106" s="79">
        <f>IF('Ordenes_Odoo'!G1106="","",'Ordenes_Odoo'!G1106)</f>
        <v/>
      </c>
      <c r="H1106" s="79">
        <f>IF('Ordenes_Odoo'!H1106="","",'Ordenes_Odoo'!H1106)</f>
        <v/>
      </c>
      <c r="I1106" s="79">
        <f>IF('Ordenes_Odoo'!I1106="","",'Ordenes_Odoo'!I1106)</f>
        <v/>
      </c>
      <c r="J1106" s="79">
        <f>IF('Ordenes_Odoo'!J1106="","",'Ordenes_Odoo'!J1106)</f>
        <v/>
      </c>
      <c r="K1106" s="81">
        <f>IF('Ordenes_Odoo'!K1106="","",'Ordenes_Odoo'!K1106)</f>
        <v/>
      </c>
      <c r="L1106" s="81">
        <f>IF('Ordenes_Odoo'!L1106="","",'Ordenes_Odoo'!L1106)</f>
        <v/>
      </c>
      <c r="M1106" s="79">
        <f>IF('Ordenes_Odoo'!M1106="","",'Ordenes_Odoo'!M1106)</f>
        <v/>
      </c>
      <c r="N1106" s="79">
        <f>IF('Ordenes_Odoo'!N1106="","",'Ordenes_Odoo'!N1106)</f>
        <v/>
      </c>
      <c r="O1106" s="81">
        <f>IF('Ordenes_Odoo'!O1106="","",'Ordenes_Odoo'!O1106)</f>
        <v/>
      </c>
      <c r="P1106" s="81">
        <f>IF('Ordenes_Odoo'!P1106="","",'Ordenes_Odoo'!P1106)</f>
        <v/>
      </c>
      <c r="Q1106" s="79">
        <f>IF(A1106="","",IFERROR(INDEX(Facturas_Odoo!$B:$B, MATCH(A1106, Facturas_Odoo!$D:$D, 0)), "Sin Factura"))</f>
        <v/>
      </c>
      <c r="R1106" s="80">
        <f>IF(Q1106="Sin Factura","",IFERROR(INDEX(Facturas_Odoo!$A:$A, MATCH(Q1106, Facturas_Odoo!$B:$B, 0)), ""))</f>
        <v/>
      </c>
      <c r="S1106" s="79">
        <f>IF(Q1106="Sin Factura","",IFERROR(_xlfn.XLOOKUP(1, (Facturas_Odoo!$D:$D=A1106) * (Facturas_Odoo!$K:$K=I1106), Facturas_Odoo!$L:$L, ""), ""))</f>
        <v/>
      </c>
      <c r="T1106" s="81">
        <f>IF(Q1106="Sin Factura",0,IFERROR(_xlfn.XLOOKUP(1, (Facturas_Odoo!$D:$D=A1106) * (Facturas_Odoo!$K:$K=I1106), Facturas_Odoo!$M:$M, 0), 0))</f>
        <v/>
      </c>
      <c r="U1106" s="79">
        <f>IF(Q1106="Sin Factura",0,IFERROR(_xlfn.XLOOKUP(1, (Facturas_Odoo!$D:$D=A1106) * (Facturas_Odoo!$K:$K=I1106), Facturas_Odoo!$N:$N, 0), 0))</f>
        <v/>
      </c>
      <c r="V1106" s="79">
        <f>IF(Q1106="Sin Factura",0,IFERROR(_xlfn.XLOOKUP(1, (Facturas_Odoo!$D:$D=A1106) * (Facturas_Odoo!$K:$K=I1106), Facturas_Odoo!$O:$O, 0), 0))</f>
        <v/>
      </c>
      <c r="W1106" s="81">
        <f>IF(Q1106="Sin Factura",0,IFERROR(_xlfn.XLOOKUP(1, (Facturas_Odoo!$D:$D=A1106) * (Facturas_Odoo!$K:$K=I1106), Facturas_Odoo!$Q:$Q, 0), 0))</f>
        <v/>
      </c>
      <c r="X1106" s="79">
        <f>IF(OR(Q1106="Sin Factura",Q1106=""),"",IFERROR(INDEX(Pagos_Odoo!$B:$B, MATCH(Q1106, Pagos_Odoo!$I:$I, 0)), "Sin Pago"))</f>
        <v/>
      </c>
      <c r="Y1106" s="79">
        <f>IF(X1106="Sin Pago","",IFERROR(INDEX(Pagos_Odoo!$C:$C, MATCH(X1106, Pagos_Odoo!$B:$B, 0)), ""))</f>
        <v/>
      </c>
      <c r="Z1106" s="80">
        <f>IF(X1106="Sin Pago","",IFERROR(INDEX(Pagos_Odoo!$A:$A, MATCH(X1106, Pagos_Odoo!$B:$B, 0)), ""))</f>
        <v/>
      </c>
      <c r="AA1106" s="79">
        <f>IF(X1106="Sin Pago","",IFERROR(INDEX(Pagos_Odoo!$F:$F, MATCH(X1106, Pagos_Odoo!$B:$B, 0)), ""))</f>
        <v/>
      </c>
      <c r="AB1106" s="81">
        <f>IF(X1106="Sin Pago",0,IFERROR(INDEX(Pagos_Odoo!$E:$E, MATCH(X1106, Pagos_Odoo!$B:$B, 0)), 0))</f>
        <v/>
      </c>
      <c r="AC1106" s="79">
        <f>IF(X1106="Sin Pago","",IFERROR(INDEX(Pagos_Odoo!$G:$G, MATCH(X1106, Pagos_Odoo!$B:$B, 0)), ""))</f>
        <v/>
      </c>
      <c r="AD1106" s="82" t="n">
        <v>0</v>
      </c>
      <c r="AE1106" s="82" t="n"/>
      <c r="AF1106" s="82" t="n"/>
      <c r="AG1106" s="82">
        <f>IF(AN1106="","",AD1106+AE1106+AF1106)</f>
        <v/>
      </c>
      <c r="AH1106" s="81">
        <f>IF(AN1106="","",P1106*(1-AG1106))</f>
        <v/>
      </c>
      <c r="AI1106" s="81">
        <f>IF(AN1106="","",IF(Q1106="Sin Factura",0,IFERROR(INDEX(Facturas_Odoo!$H:$H, MATCH(Q1106, Facturas_Odoo!$B:$B, 0)), 0)*(1-AG1106)))</f>
        <v/>
      </c>
      <c r="AJ1106" s="81">
        <f>IF(AN1106="","",_xlfn.LET(idVenta, AN1106&amp;"",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06" s="81">
        <f>IF(AN1106="","",AH1106-AJ1106)</f>
        <v/>
      </c>
      <c r="AL1106" s="81">
        <f>IF(AN1106="","",IF(Q1106="Sin Factura","",AI1106-AJ1106))</f>
        <v/>
      </c>
      <c r="AM1106" s="81">
        <f>IF(AN1106="","",IF(Q1106="Sin Factura",0,P1106-IFERROR(INDEX(Facturas_Odoo!$H:$H, MATCH(Q1106, Facturas_Odoo!$B:$B, 0)), 0)))</f>
        <v/>
      </c>
      <c r="AN1106" s="79">
        <f>IF(AND(A1106="", J1106=""), "", IF(A1106&lt;&gt;"", VALUE(MID(A1106,2,LEN(A1106))), AN1105))</f>
        <v/>
      </c>
      <c r="AO1106" s="79">
        <f>IF(AN1106="","",IF(AD1106=0,"OK",_xlfn.LET(monedaPago, IF(AA1106="","USD",AA1106), limitePermitido, IFERROR(VLOOKUP(monedaPago, Configuración!$A$2:$B$3, 2, FALSE), 0.15), IF(AD1106&gt;limitePermitido, "ALERTA: EXCESO (" &amp; TEXT(limitePermitido, "0%") &amp; " máx)", "OK"))))</f>
        <v/>
      </c>
      <c r="AP1106" s="79">
        <f>IF(AN1106="","",IF(AE1106=0,"OK",_xlfn.LET(fechaPago, Z1106, fechaFactura, R1106, diasCredito, IF(E1106="Pago inmediato", 0, IFERROR(VALUE(MID(E1106, 1, SEARCH(" ", E1106)-1)),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06" s="79">
        <f>IF(AN1106="","",IF(AND(N1106&gt;0, AG1106&gt;0), IF(Configuración!$K$2="NO", "ALERTA: DESCUENTO DOBLE NO PERMITIDO", "OK"), "OK"))</f>
        <v/>
      </c>
      <c r="AR1106" s="79">
        <f>IF(AN1106="","",IF(OR(AO1106&lt;&gt;"OK", AP1106&lt;&gt;"OK", AQ1106&lt;&gt;"OK"), "⚠️ REVISAR", "OK"))</f>
        <v/>
      </c>
    </row>
    <row r="1107">
      <c r="A1107" s="79">
        <f>IF('Ordenes_Odoo'!A1107="","",'Ordenes_Odoo'!A1107)</f>
        <v/>
      </c>
      <c r="B1107" s="80">
        <f>IF('Ordenes_Odoo'!B1107="","",'Ordenes_Odoo'!B1107)</f>
        <v/>
      </c>
      <c r="C1107" s="79">
        <f>IF('Ordenes_Odoo'!C1107="","",'Ordenes_Odoo'!C1107)</f>
        <v/>
      </c>
      <c r="D1107" s="79">
        <f>IF('Ordenes_Odoo'!D1107="","",'Ordenes_Odoo'!D1107)</f>
        <v/>
      </c>
      <c r="E1107" s="79">
        <f>IF('Ordenes_Odoo'!E1107="","",'Ordenes_Odoo'!E1107)</f>
        <v/>
      </c>
      <c r="F1107" s="79">
        <f>IF('Ordenes_Odoo'!F1107="","",'Ordenes_Odoo'!F1107)</f>
        <v/>
      </c>
      <c r="G1107" s="79">
        <f>IF('Ordenes_Odoo'!G1107="","",'Ordenes_Odoo'!G1107)</f>
        <v/>
      </c>
      <c r="H1107" s="79">
        <f>IF('Ordenes_Odoo'!H1107="","",'Ordenes_Odoo'!H1107)</f>
        <v/>
      </c>
      <c r="I1107" s="79">
        <f>IF('Ordenes_Odoo'!I1107="","",'Ordenes_Odoo'!I1107)</f>
        <v/>
      </c>
      <c r="J1107" s="79">
        <f>IF('Ordenes_Odoo'!J1107="","",'Ordenes_Odoo'!J1107)</f>
        <v/>
      </c>
      <c r="K1107" s="81">
        <f>IF('Ordenes_Odoo'!K1107="","",'Ordenes_Odoo'!K1107)</f>
        <v/>
      </c>
      <c r="L1107" s="81">
        <f>IF('Ordenes_Odoo'!L1107="","",'Ordenes_Odoo'!L1107)</f>
        <v/>
      </c>
      <c r="M1107" s="79">
        <f>IF('Ordenes_Odoo'!M1107="","",'Ordenes_Odoo'!M1107)</f>
        <v/>
      </c>
      <c r="N1107" s="79">
        <f>IF('Ordenes_Odoo'!N1107="","",'Ordenes_Odoo'!N1107)</f>
        <v/>
      </c>
      <c r="O1107" s="81">
        <f>IF('Ordenes_Odoo'!O1107="","",'Ordenes_Odoo'!O1107)</f>
        <v/>
      </c>
      <c r="P1107" s="81">
        <f>IF('Ordenes_Odoo'!P1107="","",'Ordenes_Odoo'!P1107)</f>
        <v/>
      </c>
      <c r="Q1107" s="79">
        <f>IF(A1107="","",IFERROR(INDEX(Facturas_Odoo!$B:$B, MATCH(A1107, Facturas_Odoo!$D:$D, 0)), "Sin Factura"))</f>
        <v/>
      </c>
      <c r="R1107" s="80">
        <f>IF(Q1107="Sin Factura","",IFERROR(INDEX(Facturas_Odoo!$A:$A, MATCH(Q1107, Facturas_Odoo!$B:$B, 0)), ""))</f>
        <v/>
      </c>
      <c r="S1107" s="79">
        <f>IF(Q1107="Sin Factura","",IFERROR(_xlfn.XLOOKUP(1, (Facturas_Odoo!$D:$D=A1107) * (Facturas_Odoo!$K:$K=I1107), Facturas_Odoo!$L:$L, ""), ""))</f>
        <v/>
      </c>
      <c r="T1107" s="81">
        <f>IF(Q1107="Sin Factura",0,IFERROR(_xlfn.XLOOKUP(1, (Facturas_Odoo!$D:$D=A1107) * (Facturas_Odoo!$K:$K=I1107), Facturas_Odoo!$M:$M, 0), 0))</f>
        <v/>
      </c>
      <c r="U1107" s="79">
        <f>IF(Q1107="Sin Factura",0,IFERROR(_xlfn.XLOOKUP(1, (Facturas_Odoo!$D:$D=A1107) * (Facturas_Odoo!$K:$K=I1107), Facturas_Odoo!$N:$N, 0), 0))</f>
        <v/>
      </c>
      <c r="V1107" s="79">
        <f>IF(Q1107="Sin Factura",0,IFERROR(_xlfn.XLOOKUP(1, (Facturas_Odoo!$D:$D=A1107) * (Facturas_Odoo!$K:$K=I1107), Facturas_Odoo!$O:$O, 0), 0))</f>
        <v/>
      </c>
      <c r="W1107" s="81">
        <f>IF(Q1107="Sin Factura",0,IFERROR(_xlfn.XLOOKUP(1, (Facturas_Odoo!$D:$D=A1107) * (Facturas_Odoo!$K:$K=I1107), Facturas_Odoo!$Q:$Q, 0), 0))</f>
        <v/>
      </c>
      <c r="X1107" s="79">
        <f>IF(OR(Q1107="Sin Factura",Q1107=""),"",IFERROR(INDEX(Pagos_Odoo!$B:$B, MATCH(Q1107, Pagos_Odoo!$I:$I, 0)), "Sin Pago"))</f>
        <v/>
      </c>
      <c r="Y1107" s="79">
        <f>IF(X1107="Sin Pago","",IFERROR(INDEX(Pagos_Odoo!$C:$C, MATCH(X1107, Pagos_Odoo!$B:$B, 0)), ""))</f>
        <v/>
      </c>
      <c r="Z1107" s="80">
        <f>IF(X1107="Sin Pago","",IFERROR(INDEX(Pagos_Odoo!$A:$A, MATCH(X1107, Pagos_Odoo!$B:$B, 0)), ""))</f>
        <v/>
      </c>
      <c r="AA1107" s="79">
        <f>IF(X1107="Sin Pago","",IFERROR(INDEX(Pagos_Odoo!$F:$F, MATCH(X1107, Pagos_Odoo!$B:$B, 0)), ""))</f>
        <v/>
      </c>
      <c r="AB1107" s="81">
        <f>IF(X1107="Sin Pago",0,IFERROR(INDEX(Pagos_Odoo!$E:$E, MATCH(X1107, Pagos_Odoo!$B:$B, 0)), 0))</f>
        <v/>
      </c>
      <c r="AC1107" s="79">
        <f>IF(X1107="Sin Pago","",IFERROR(INDEX(Pagos_Odoo!$G:$G, MATCH(X1107, Pagos_Odoo!$B:$B, 0)), ""))</f>
        <v/>
      </c>
      <c r="AD1107" s="82" t="n">
        <v>0</v>
      </c>
      <c r="AE1107" s="82" t="n"/>
      <c r="AF1107" s="82" t="n"/>
      <c r="AG1107" s="82">
        <f>IF(AN1107="","",AD1107+AE1107+AF1107)</f>
        <v/>
      </c>
      <c r="AH1107" s="81">
        <f>IF(AN1107="","",P1107*(1-AG1107))</f>
        <v/>
      </c>
      <c r="AI1107" s="81">
        <f>IF(AN1107="","",IF(Q1107="Sin Factura",0,IFERROR(INDEX(Facturas_Odoo!$H:$H, MATCH(Q1107, Facturas_Odoo!$B:$B, 0)), 0)*(1-AG1107)))</f>
        <v/>
      </c>
      <c r="AJ1107" s="81">
        <f>IF(AN1107="","",_xlfn.LET(idVenta, AN1107&amp;"",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07" s="81">
        <f>IF(AN1107="","",AH1107-AJ1107)</f>
        <v/>
      </c>
      <c r="AL1107" s="81">
        <f>IF(AN1107="","",IF(Q1107="Sin Factura","",AI1107-AJ1107))</f>
        <v/>
      </c>
      <c r="AM1107" s="81">
        <f>IF(AN1107="","",IF(Q1107="Sin Factura",0,P1107-IFERROR(INDEX(Facturas_Odoo!$H:$H, MATCH(Q1107, Facturas_Odoo!$B:$B, 0)), 0)))</f>
        <v/>
      </c>
      <c r="AN1107" s="79">
        <f>IF(AND(A1107="", J1107=""), "", IF(A1107&lt;&gt;"", VALUE(MID(A1107,2,LEN(A1107))), AN1106))</f>
        <v/>
      </c>
      <c r="AO1107" s="79">
        <f>IF(AN1107="","",IF(AD1107=0,"OK",_xlfn.LET(monedaPago, IF(AA1107="","USD",AA1107), limitePermitido, IFERROR(VLOOKUP(monedaPago, Configuración!$A$2:$B$3, 2, FALSE), 0.15), IF(AD1107&gt;limitePermitido, "ALERTA: EXCESO (" &amp; TEXT(limitePermitido, "0%") &amp; " máx)", "OK"))))</f>
        <v/>
      </c>
      <c r="AP1107" s="79">
        <f>IF(AN1107="","",IF(AE1107=0,"OK",_xlfn.LET(fechaPago, Z1107, fechaFactura, R1107, diasCredito, IF(E1107="Pago inmediato", 0, IFERROR(VALUE(MID(E1107, 1, SEARCH(" ", E1107)-1)),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07" s="79">
        <f>IF(AN1107="","",IF(AND(N1107&gt;0, AG1107&gt;0), IF(Configuración!$K$2="NO", "ALERTA: DESCUENTO DOBLE NO PERMITIDO", "OK"), "OK"))</f>
        <v/>
      </c>
      <c r="AR1107" s="79">
        <f>IF(AN1107="","",IF(OR(AO1107&lt;&gt;"OK", AP1107&lt;&gt;"OK", AQ1107&lt;&gt;"OK"), "⚠️ REVISAR", "OK"))</f>
        <v/>
      </c>
    </row>
    <row r="1108">
      <c r="A1108" s="79">
        <f>IF('Ordenes_Odoo'!A1108="","",'Ordenes_Odoo'!A1108)</f>
        <v/>
      </c>
      <c r="B1108" s="80">
        <f>IF('Ordenes_Odoo'!B1108="","",'Ordenes_Odoo'!B1108)</f>
        <v/>
      </c>
      <c r="C1108" s="79">
        <f>IF('Ordenes_Odoo'!C1108="","",'Ordenes_Odoo'!C1108)</f>
        <v/>
      </c>
      <c r="D1108" s="79">
        <f>IF('Ordenes_Odoo'!D1108="","",'Ordenes_Odoo'!D1108)</f>
        <v/>
      </c>
      <c r="E1108" s="79">
        <f>IF('Ordenes_Odoo'!E1108="","",'Ordenes_Odoo'!E1108)</f>
        <v/>
      </c>
      <c r="F1108" s="79">
        <f>IF('Ordenes_Odoo'!F1108="","",'Ordenes_Odoo'!F1108)</f>
        <v/>
      </c>
      <c r="G1108" s="79">
        <f>IF('Ordenes_Odoo'!G1108="","",'Ordenes_Odoo'!G1108)</f>
        <v/>
      </c>
      <c r="H1108" s="79">
        <f>IF('Ordenes_Odoo'!H1108="","",'Ordenes_Odoo'!H1108)</f>
        <v/>
      </c>
      <c r="I1108" s="79">
        <f>IF('Ordenes_Odoo'!I1108="","",'Ordenes_Odoo'!I1108)</f>
        <v/>
      </c>
      <c r="J1108" s="79">
        <f>IF('Ordenes_Odoo'!J1108="","",'Ordenes_Odoo'!J1108)</f>
        <v/>
      </c>
      <c r="K1108" s="81">
        <f>IF('Ordenes_Odoo'!K1108="","",'Ordenes_Odoo'!K1108)</f>
        <v/>
      </c>
      <c r="L1108" s="81">
        <f>IF('Ordenes_Odoo'!L1108="","",'Ordenes_Odoo'!L1108)</f>
        <v/>
      </c>
      <c r="M1108" s="79">
        <f>IF('Ordenes_Odoo'!M1108="","",'Ordenes_Odoo'!M1108)</f>
        <v/>
      </c>
      <c r="N1108" s="79">
        <f>IF('Ordenes_Odoo'!N1108="","",'Ordenes_Odoo'!N1108)</f>
        <v/>
      </c>
      <c r="O1108" s="81">
        <f>IF('Ordenes_Odoo'!O1108="","",'Ordenes_Odoo'!O1108)</f>
        <v/>
      </c>
      <c r="P1108" s="81">
        <f>IF('Ordenes_Odoo'!P1108="","",'Ordenes_Odoo'!P1108)</f>
        <v/>
      </c>
      <c r="Q1108" s="79">
        <f>IF(A1108="","",IFERROR(INDEX(Facturas_Odoo!$B:$B, MATCH(A1108, Facturas_Odoo!$D:$D, 0)), "Sin Factura"))</f>
        <v/>
      </c>
      <c r="R1108" s="80">
        <f>IF(Q1108="Sin Factura","",IFERROR(INDEX(Facturas_Odoo!$A:$A, MATCH(Q1108, Facturas_Odoo!$B:$B, 0)), ""))</f>
        <v/>
      </c>
      <c r="S1108" s="79">
        <f>IF(Q1108="Sin Factura","",IFERROR(_xlfn.XLOOKUP(1, (Facturas_Odoo!$D:$D=A1108) * (Facturas_Odoo!$K:$K=I1108), Facturas_Odoo!$L:$L, ""), ""))</f>
        <v/>
      </c>
      <c r="T1108" s="81">
        <f>IF(Q1108="Sin Factura",0,IFERROR(_xlfn.XLOOKUP(1, (Facturas_Odoo!$D:$D=A1108) * (Facturas_Odoo!$K:$K=I1108), Facturas_Odoo!$M:$M, 0), 0))</f>
        <v/>
      </c>
      <c r="U1108" s="79">
        <f>IF(Q1108="Sin Factura",0,IFERROR(_xlfn.XLOOKUP(1, (Facturas_Odoo!$D:$D=A1108) * (Facturas_Odoo!$K:$K=I1108), Facturas_Odoo!$N:$N, 0), 0))</f>
        <v/>
      </c>
      <c r="V1108" s="79">
        <f>IF(Q1108="Sin Factura",0,IFERROR(_xlfn.XLOOKUP(1, (Facturas_Odoo!$D:$D=A1108) * (Facturas_Odoo!$K:$K=I1108), Facturas_Odoo!$O:$O, 0), 0))</f>
        <v/>
      </c>
      <c r="W1108" s="81">
        <f>IF(Q1108="Sin Factura",0,IFERROR(_xlfn.XLOOKUP(1, (Facturas_Odoo!$D:$D=A1108) * (Facturas_Odoo!$K:$K=I1108), Facturas_Odoo!$Q:$Q, 0), 0))</f>
        <v/>
      </c>
      <c r="X1108" s="79">
        <f>IF(OR(Q1108="Sin Factura",Q1108=""),"",IFERROR(INDEX(Pagos_Odoo!$B:$B, MATCH(Q1108, Pagos_Odoo!$I:$I, 0)), "Sin Pago"))</f>
        <v/>
      </c>
      <c r="Y1108" s="79">
        <f>IF(X1108="Sin Pago","",IFERROR(INDEX(Pagos_Odoo!$C:$C, MATCH(X1108, Pagos_Odoo!$B:$B, 0)), ""))</f>
        <v/>
      </c>
      <c r="Z1108" s="80">
        <f>IF(X1108="Sin Pago","",IFERROR(INDEX(Pagos_Odoo!$A:$A, MATCH(X1108, Pagos_Odoo!$B:$B, 0)), ""))</f>
        <v/>
      </c>
      <c r="AA1108" s="79">
        <f>IF(X1108="Sin Pago","",IFERROR(INDEX(Pagos_Odoo!$F:$F, MATCH(X1108, Pagos_Odoo!$B:$B, 0)), ""))</f>
        <v/>
      </c>
      <c r="AB1108" s="81">
        <f>IF(X1108="Sin Pago",0,IFERROR(INDEX(Pagos_Odoo!$E:$E, MATCH(X1108, Pagos_Odoo!$B:$B, 0)), 0))</f>
        <v/>
      </c>
      <c r="AC1108" s="79">
        <f>IF(X1108="Sin Pago","",IFERROR(INDEX(Pagos_Odoo!$G:$G, MATCH(X1108, Pagos_Odoo!$B:$B, 0)), ""))</f>
        <v/>
      </c>
      <c r="AD1108" s="82" t="n">
        <v>0</v>
      </c>
      <c r="AE1108" s="82" t="n"/>
      <c r="AF1108" s="82" t="n"/>
      <c r="AG1108" s="82">
        <f>IF(AN1108="","",AD1108+AE1108+AF1108)</f>
        <v/>
      </c>
      <c r="AH1108" s="81">
        <f>IF(AN1108="","",P1108*(1-AG1108))</f>
        <v/>
      </c>
      <c r="AI1108" s="81">
        <f>IF(AN1108="","",IF(Q1108="Sin Factura",0,IFERROR(INDEX(Facturas_Odoo!$H:$H, MATCH(Q1108, Facturas_Odoo!$B:$B, 0)), 0)*(1-AG1108)))</f>
        <v/>
      </c>
      <c r="AJ1108" s="81">
        <f>IF(AN1108="","",_xlfn.LET(idVenta, AN1108&amp;"",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08" s="81">
        <f>IF(AN1108="","",AH1108-AJ1108)</f>
        <v/>
      </c>
      <c r="AL1108" s="81">
        <f>IF(AN1108="","",IF(Q1108="Sin Factura","",AI1108-AJ1108))</f>
        <v/>
      </c>
      <c r="AM1108" s="81">
        <f>IF(AN1108="","",IF(Q1108="Sin Factura",0,P1108-IFERROR(INDEX(Facturas_Odoo!$H:$H, MATCH(Q1108, Facturas_Odoo!$B:$B, 0)), 0)))</f>
        <v/>
      </c>
      <c r="AN1108" s="79">
        <f>IF(AND(A1108="", J1108=""), "", IF(A1108&lt;&gt;"", VALUE(MID(A1108,2,LEN(A1108))), AN1107))</f>
        <v/>
      </c>
      <c r="AO1108" s="79">
        <f>IF(AN1108="","",IF(AD1108=0,"OK",_xlfn.LET(monedaPago, IF(AA1108="","USD",AA1108), limitePermitido, IFERROR(VLOOKUP(monedaPago, Configuración!$A$2:$B$3, 2, FALSE), 0.15), IF(AD1108&gt;limitePermitido, "ALERTA: EXCESO (" &amp; TEXT(limitePermitido, "0%") &amp; " máx)", "OK"))))</f>
        <v/>
      </c>
      <c r="AP1108" s="79">
        <f>IF(AN1108="","",IF(AE1108=0,"OK",_xlfn.LET(fechaPago, Z1108, fechaFactura, R1108, diasCredito, IF(E1108="Pago inmediato", 0, IFERROR(VALUE(MID(E1108, 1, SEARCH(" ", E1108)-1)),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08" s="79">
        <f>IF(AN1108="","",IF(AND(N1108&gt;0, AG1108&gt;0), IF(Configuración!$K$2="NO", "ALERTA: DESCUENTO DOBLE NO PERMITIDO", "OK"), "OK"))</f>
        <v/>
      </c>
      <c r="AR1108" s="79">
        <f>IF(AN1108="","",IF(OR(AO1108&lt;&gt;"OK", AP1108&lt;&gt;"OK", AQ1108&lt;&gt;"OK"), "⚠️ REVISAR", "OK"))</f>
        <v/>
      </c>
    </row>
    <row r="1109">
      <c r="A1109" s="79">
        <f>IF('Ordenes_Odoo'!A1109="","",'Ordenes_Odoo'!A1109)</f>
        <v/>
      </c>
      <c r="B1109" s="80">
        <f>IF('Ordenes_Odoo'!B1109="","",'Ordenes_Odoo'!B1109)</f>
        <v/>
      </c>
      <c r="C1109" s="79">
        <f>IF('Ordenes_Odoo'!C1109="","",'Ordenes_Odoo'!C1109)</f>
        <v/>
      </c>
      <c r="D1109" s="79">
        <f>IF('Ordenes_Odoo'!D1109="","",'Ordenes_Odoo'!D1109)</f>
        <v/>
      </c>
      <c r="E1109" s="79">
        <f>IF('Ordenes_Odoo'!E1109="","",'Ordenes_Odoo'!E1109)</f>
        <v/>
      </c>
      <c r="F1109" s="79">
        <f>IF('Ordenes_Odoo'!F1109="","",'Ordenes_Odoo'!F1109)</f>
        <v/>
      </c>
      <c r="G1109" s="79">
        <f>IF('Ordenes_Odoo'!G1109="","",'Ordenes_Odoo'!G1109)</f>
        <v/>
      </c>
      <c r="H1109" s="79">
        <f>IF('Ordenes_Odoo'!H1109="","",'Ordenes_Odoo'!H1109)</f>
        <v/>
      </c>
      <c r="I1109" s="79">
        <f>IF('Ordenes_Odoo'!I1109="","",'Ordenes_Odoo'!I1109)</f>
        <v/>
      </c>
      <c r="J1109" s="79">
        <f>IF('Ordenes_Odoo'!J1109="","",'Ordenes_Odoo'!J1109)</f>
        <v/>
      </c>
      <c r="K1109" s="81">
        <f>IF('Ordenes_Odoo'!K1109="","",'Ordenes_Odoo'!K1109)</f>
        <v/>
      </c>
      <c r="L1109" s="81">
        <f>IF('Ordenes_Odoo'!L1109="","",'Ordenes_Odoo'!L1109)</f>
        <v/>
      </c>
      <c r="M1109" s="79">
        <f>IF('Ordenes_Odoo'!M1109="","",'Ordenes_Odoo'!M1109)</f>
        <v/>
      </c>
      <c r="N1109" s="79">
        <f>IF('Ordenes_Odoo'!N1109="","",'Ordenes_Odoo'!N1109)</f>
        <v/>
      </c>
      <c r="O1109" s="81">
        <f>IF('Ordenes_Odoo'!O1109="","",'Ordenes_Odoo'!O1109)</f>
        <v/>
      </c>
      <c r="P1109" s="81">
        <f>IF('Ordenes_Odoo'!P1109="","",'Ordenes_Odoo'!P1109)</f>
        <v/>
      </c>
      <c r="Q1109" s="79">
        <f>IF(A1109="","",IFERROR(INDEX(Facturas_Odoo!$B:$B, MATCH(A1109, Facturas_Odoo!$D:$D, 0)), "Sin Factura"))</f>
        <v/>
      </c>
      <c r="R1109" s="80">
        <f>IF(Q1109="Sin Factura","",IFERROR(INDEX(Facturas_Odoo!$A:$A, MATCH(Q1109, Facturas_Odoo!$B:$B, 0)), ""))</f>
        <v/>
      </c>
      <c r="S1109" s="79">
        <f>IF(Q1109="Sin Factura","",IFERROR(_xlfn.XLOOKUP(1, (Facturas_Odoo!$D:$D=A1109) * (Facturas_Odoo!$K:$K=I1109), Facturas_Odoo!$L:$L, ""), ""))</f>
        <v/>
      </c>
      <c r="T1109" s="81">
        <f>IF(Q1109="Sin Factura",0,IFERROR(_xlfn.XLOOKUP(1, (Facturas_Odoo!$D:$D=A1109) * (Facturas_Odoo!$K:$K=I1109), Facturas_Odoo!$M:$M, 0), 0))</f>
        <v/>
      </c>
      <c r="U1109" s="79">
        <f>IF(Q1109="Sin Factura",0,IFERROR(_xlfn.XLOOKUP(1, (Facturas_Odoo!$D:$D=A1109) * (Facturas_Odoo!$K:$K=I1109), Facturas_Odoo!$N:$N, 0), 0))</f>
        <v/>
      </c>
      <c r="V1109" s="79">
        <f>IF(Q1109="Sin Factura",0,IFERROR(_xlfn.XLOOKUP(1, (Facturas_Odoo!$D:$D=A1109) * (Facturas_Odoo!$K:$K=I1109), Facturas_Odoo!$O:$O, 0), 0))</f>
        <v/>
      </c>
      <c r="W1109" s="81">
        <f>IF(Q1109="Sin Factura",0,IFERROR(_xlfn.XLOOKUP(1, (Facturas_Odoo!$D:$D=A1109) * (Facturas_Odoo!$K:$K=I1109), Facturas_Odoo!$Q:$Q, 0), 0))</f>
        <v/>
      </c>
      <c r="X1109" s="79">
        <f>IF(OR(Q1109="Sin Factura",Q1109=""),"",IFERROR(INDEX(Pagos_Odoo!$B:$B, MATCH(Q1109, Pagos_Odoo!$I:$I, 0)), "Sin Pago"))</f>
        <v/>
      </c>
      <c r="Y1109" s="79">
        <f>IF(X1109="Sin Pago","",IFERROR(INDEX(Pagos_Odoo!$C:$C, MATCH(X1109, Pagos_Odoo!$B:$B, 0)), ""))</f>
        <v/>
      </c>
      <c r="Z1109" s="80">
        <f>IF(X1109="Sin Pago","",IFERROR(INDEX(Pagos_Odoo!$A:$A, MATCH(X1109, Pagos_Odoo!$B:$B, 0)), ""))</f>
        <v/>
      </c>
      <c r="AA1109" s="79">
        <f>IF(X1109="Sin Pago","",IFERROR(INDEX(Pagos_Odoo!$F:$F, MATCH(X1109, Pagos_Odoo!$B:$B, 0)), ""))</f>
        <v/>
      </c>
      <c r="AB1109" s="81">
        <f>IF(X1109="Sin Pago",0,IFERROR(INDEX(Pagos_Odoo!$E:$E, MATCH(X1109, Pagos_Odoo!$B:$B, 0)), 0))</f>
        <v/>
      </c>
      <c r="AC1109" s="79">
        <f>IF(X1109="Sin Pago","",IFERROR(INDEX(Pagos_Odoo!$G:$G, MATCH(X1109, Pagos_Odoo!$B:$B, 0)), ""))</f>
        <v/>
      </c>
      <c r="AD1109" s="82" t="n">
        <v>0</v>
      </c>
      <c r="AE1109" s="82" t="n"/>
      <c r="AF1109" s="82" t="n"/>
      <c r="AG1109" s="82">
        <f>IF(AN1109="","",AD1109+AE1109+AF1109)</f>
        <v/>
      </c>
      <c r="AH1109" s="81">
        <f>IF(AN1109="","",P1109*(1-AG1109))</f>
        <v/>
      </c>
      <c r="AI1109" s="81">
        <f>IF(AN1109="","",IF(Q1109="Sin Factura",0,IFERROR(INDEX(Facturas_Odoo!$H:$H, MATCH(Q1109, Facturas_Odoo!$B:$B, 0)), 0)*(1-AG1109)))</f>
        <v/>
      </c>
      <c r="AJ1109" s="81">
        <f>IF(AN1109="","",_xlfn.LET(idVenta, AN1109&amp;"",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09" s="81">
        <f>IF(AN1109="","",AH1109-AJ1109)</f>
        <v/>
      </c>
      <c r="AL1109" s="81">
        <f>IF(AN1109="","",IF(Q1109="Sin Factura","",AI1109-AJ1109))</f>
        <v/>
      </c>
      <c r="AM1109" s="81">
        <f>IF(AN1109="","",IF(Q1109="Sin Factura",0,P1109-IFERROR(INDEX(Facturas_Odoo!$H:$H, MATCH(Q1109, Facturas_Odoo!$B:$B, 0)), 0)))</f>
        <v/>
      </c>
      <c r="AN1109" s="79">
        <f>IF(AND(A1109="", J1109=""), "", IF(A1109&lt;&gt;"", VALUE(MID(A1109,2,LEN(A1109))), AN1108))</f>
        <v/>
      </c>
      <c r="AO1109" s="79">
        <f>IF(AN1109="","",IF(AD1109=0,"OK",_xlfn.LET(monedaPago, IF(AA1109="","USD",AA1109), limitePermitido, IFERROR(VLOOKUP(monedaPago, Configuración!$A$2:$B$3, 2, FALSE), 0.15), IF(AD1109&gt;limitePermitido, "ALERTA: EXCESO (" &amp; TEXT(limitePermitido, "0%") &amp; " máx)", "OK"))))</f>
        <v/>
      </c>
      <c r="AP1109" s="79">
        <f>IF(AN1109="","",IF(AE1109=0,"OK",_xlfn.LET(fechaPago, Z1109, fechaFactura, R1109, diasCredito, IF(E1109="Pago inmediato", 0, IFERROR(VALUE(MID(E1109, 1, SEARCH(" ", E1109)-1)),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09" s="79">
        <f>IF(AN1109="","",IF(AND(N1109&gt;0, AG1109&gt;0), IF(Configuración!$K$2="NO", "ALERTA: DESCUENTO DOBLE NO PERMITIDO", "OK"), "OK"))</f>
        <v/>
      </c>
      <c r="AR1109" s="79">
        <f>IF(AN1109="","",IF(OR(AO1109&lt;&gt;"OK", AP1109&lt;&gt;"OK", AQ1109&lt;&gt;"OK"), "⚠️ REVISAR", "OK"))</f>
        <v/>
      </c>
    </row>
    <row r="1110">
      <c r="A1110" s="79">
        <f>IF('Ordenes_Odoo'!A1110="","",'Ordenes_Odoo'!A1110)</f>
        <v/>
      </c>
      <c r="B1110" s="80">
        <f>IF('Ordenes_Odoo'!B1110="","",'Ordenes_Odoo'!B1110)</f>
        <v/>
      </c>
      <c r="C1110" s="79">
        <f>IF('Ordenes_Odoo'!C1110="","",'Ordenes_Odoo'!C1110)</f>
        <v/>
      </c>
      <c r="D1110" s="79">
        <f>IF('Ordenes_Odoo'!D1110="","",'Ordenes_Odoo'!D1110)</f>
        <v/>
      </c>
      <c r="E1110" s="79">
        <f>IF('Ordenes_Odoo'!E1110="","",'Ordenes_Odoo'!E1110)</f>
        <v/>
      </c>
      <c r="F1110" s="79">
        <f>IF('Ordenes_Odoo'!F1110="","",'Ordenes_Odoo'!F1110)</f>
        <v/>
      </c>
      <c r="G1110" s="79">
        <f>IF('Ordenes_Odoo'!G1110="","",'Ordenes_Odoo'!G1110)</f>
        <v/>
      </c>
      <c r="H1110" s="79">
        <f>IF('Ordenes_Odoo'!H1110="","",'Ordenes_Odoo'!H1110)</f>
        <v/>
      </c>
      <c r="I1110" s="79">
        <f>IF('Ordenes_Odoo'!I1110="","",'Ordenes_Odoo'!I1110)</f>
        <v/>
      </c>
      <c r="J1110" s="79">
        <f>IF('Ordenes_Odoo'!J1110="","",'Ordenes_Odoo'!J1110)</f>
        <v/>
      </c>
      <c r="K1110" s="81">
        <f>IF('Ordenes_Odoo'!K1110="","",'Ordenes_Odoo'!K1110)</f>
        <v/>
      </c>
      <c r="L1110" s="81">
        <f>IF('Ordenes_Odoo'!L1110="","",'Ordenes_Odoo'!L1110)</f>
        <v/>
      </c>
      <c r="M1110" s="79">
        <f>IF('Ordenes_Odoo'!M1110="","",'Ordenes_Odoo'!M1110)</f>
        <v/>
      </c>
      <c r="N1110" s="79">
        <f>IF('Ordenes_Odoo'!N1110="","",'Ordenes_Odoo'!N1110)</f>
        <v/>
      </c>
      <c r="O1110" s="81">
        <f>IF('Ordenes_Odoo'!O1110="","",'Ordenes_Odoo'!O1110)</f>
        <v/>
      </c>
      <c r="P1110" s="81">
        <f>IF('Ordenes_Odoo'!P1110="","",'Ordenes_Odoo'!P1110)</f>
        <v/>
      </c>
      <c r="Q1110" s="79">
        <f>IF(A1110="","",IFERROR(INDEX(Facturas_Odoo!$B:$B, MATCH(A1110, Facturas_Odoo!$D:$D, 0)), "Sin Factura"))</f>
        <v/>
      </c>
      <c r="R1110" s="80">
        <f>IF(Q1110="Sin Factura","",IFERROR(INDEX(Facturas_Odoo!$A:$A, MATCH(Q1110, Facturas_Odoo!$B:$B, 0)), ""))</f>
        <v/>
      </c>
      <c r="S1110" s="79">
        <f>IF(Q1110="Sin Factura","",IFERROR(_xlfn.XLOOKUP(1, (Facturas_Odoo!$D:$D=A1110) * (Facturas_Odoo!$K:$K=I1110), Facturas_Odoo!$L:$L, ""), ""))</f>
        <v/>
      </c>
      <c r="T1110" s="81">
        <f>IF(Q1110="Sin Factura",0,IFERROR(_xlfn.XLOOKUP(1, (Facturas_Odoo!$D:$D=A1110) * (Facturas_Odoo!$K:$K=I1110), Facturas_Odoo!$M:$M, 0), 0))</f>
        <v/>
      </c>
      <c r="U1110" s="79">
        <f>IF(Q1110="Sin Factura",0,IFERROR(_xlfn.XLOOKUP(1, (Facturas_Odoo!$D:$D=A1110) * (Facturas_Odoo!$K:$K=I1110), Facturas_Odoo!$N:$N, 0), 0))</f>
        <v/>
      </c>
      <c r="V1110" s="79">
        <f>IF(Q1110="Sin Factura",0,IFERROR(_xlfn.XLOOKUP(1, (Facturas_Odoo!$D:$D=A1110) * (Facturas_Odoo!$K:$K=I1110), Facturas_Odoo!$O:$O, 0), 0))</f>
        <v/>
      </c>
      <c r="W1110" s="81">
        <f>IF(Q1110="Sin Factura",0,IFERROR(_xlfn.XLOOKUP(1, (Facturas_Odoo!$D:$D=A1110) * (Facturas_Odoo!$K:$K=I1110), Facturas_Odoo!$Q:$Q, 0), 0))</f>
        <v/>
      </c>
      <c r="X1110" s="79">
        <f>IF(OR(Q1110="Sin Factura",Q1110=""),"",IFERROR(INDEX(Pagos_Odoo!$B:$B, MATCH(Q1110, Pagos_Odoo!$I:$I, 0)), "Sin Pago"))</f>
        <v/>
      </c>
      <c r="Y1110" s="79">
        <f>IF(X1110="Sin Pago","",IFERROR(INDEX(Pagos_Odoo!$C:$C, MATCH(X1110, Pagos_Odoo!$B:$B, 0)), ""))</f>
        <v/>
      </c>
      <c r="Z1110" s="80">
        <f>IF(X1110="Sin Pago","",IFERROR(INDEX(Pagos_Odoo!$A:$A, MATCH(X1110, Pagos_Odoo!$B:$B, 0)), ""))</f>
        <v/>
      </c>
      <c r="AA1110" s="79">
        <f>IF(X1110="Sin Pago","",IFERROR(INDEX(Pagos_Odoo!$F:$F, MATCH(X1110, Pagos_Odoo!$B:$B, 0)), ""))</f>
        <v/>
      </c>
      <c r="AB1110" s="81">
        <f>IF(X1110="Sin Pago",0,IFERROR(INDEX(Pagos_Odoo!$E:$E, MATCH(X1110, Pagos_Odoo!$B:$B, 0)), 0))</f>
        <v/>
      </c>
      <c r="AC1110" s="79">
        <f>IF(X1110="Sin Pago","",IFERROR(INDEX(Pagos_Odoo!$G:$G, MATCH(X1110, Pagos_Odoo!$B:$B, 0)), ""))</f>
        <v/>
      </c>
      <c r="AD1110" s="82" t="n">
        <v>0</v>
      </c>
      <c r="AE1110" s="82" t="n"/>
      <c r="AF1110" s="82" t="n"/>
      <c r="AG1110" s="82">
        <f>IF(AN1110="","",AD1110+AE1110+AF1110)</f>
        <v/>
      </c>
      <c r="AH1110" s="81">
        <f>IF(AN1110="","",P1110*(1-AG1110))</f>
        <v/>
      </c>
      <c r="AI1110" s="81">
        <f>IF(AN1110="","",IF(Q1110="Sin Factura",0,IFERROR(INDEX(Facturas_Odoo!$H:$H, MATCH(Q1110, Facturas_Odoo!$B:$B, 0)), 0)*(1-AG1110)))</f>
        <v/>
      </c>
      <c r="AJ1110" s="81">
        <f>IF(AN1110="","",_xlfn.LET(idVenta, AN1110&amp;"",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10" s="81">
        <f>IF(AN1110="","",AH1110-AJ1110)</f>
        <v/>
      </c>
      <c r="AL1110" s="81">
        <f>IF(AN1110="","",IF(Q1110="Sin Factura","",AI1110-AJ1110))</f>
        <v/>
      </c>
      <c r="AM1110" s="81">
        <f>IF(AN1110="","",IF(Q1110="Sin Factura",0,P1110-IFERROR(INDEX(Facturas_Odoo!$H:$H, MATCH(Q1110, Facturas_Odoo!$B:$B, 0)), 0)))</f>
        <v/>
      </c>
      <c r="AN1110" s="79">
        <f>IF(AND(A1110="", J1110=""), "", IF(A1110&lt;&gt;"", VALUE(MID(A1110,2,LEN(A1110))), AN1109))</f>
        <v/>
      </c>
      <c r="AO1110" s="79">
        <f>IF(AN1110="","",IF(AD1110=0,"OK",_xlfn.LET(monedaPago, IF(AA1110="","USD",AA1110), limitePermitido, IFERROR(VLOOKUP(monedaPago, Configuración!$A$2:$B$3, 2, FALSE), 0.15), IF(AD1110&gt;limitePermitido, "ALERTA: EXCESO (" &amp; TEXT(limitePermitido, "0%") &amp; " máx)", "OK"))))</f>
        <v/>
      </c>
      <c r="AP1110" s="79">
        <f>IF(AN1110="","",IF(AE1110=0,"OK",_xlfn.LET(fechaPago, Z1110, fechaFactura, R1110, diasCredito, IF(E1110="Pago inmediato", 0, IFERROR(VALUE(MID(E1110, 1, SEARCH(" ", E1110)-1)),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10" s="79">
        <f>IF(AN1110="","",IF(AND(N1110&gt;0, AG1110&gt;0), IF(Configuración!$K$2="NO", "ALERTA: DESCUENTO DOBLE NO PERMITIDO", "OK"), "OK"))</f>
        <v/>
      </c>
      <c r="AR1110" s="79">
        <f>IF(AN1110="","",IF(OR(AO1110&lt;&gt;"OK", AP1110&lt;&gt;"OK", AQ1110&lt;&gt;"OK"), "⚠️ REVISAR", "OK"))</f>
        <v/>
      </c>
    </row>
    <row r="1111">
      <c r="A1111" s="79">
        <f>IF('Ordenes_Odoo'!A1111="","",'Ordenes_Odoo'!A1111)</f>
        <v/>
      </c>
      <c r="B1111" s="80">
        <f>IF('Ordenes_Odoo'!B1111="","",'Ordenes_Odoo'!B1111)</f>
        <v/>
      </c>
      <c r="C1111" s="79">
        <f>IF('Ordenes_Odoo'!C1111="","",'Ordenes_Odoo'!C1111)</f>
        <v/>
      </c>
      <c r="D1111" s="79">
        <f>IF('Ordenes_Odoo'!D1111="","",'Ordenes_Odoo'!D1111)</f>
        <v/>
      </c>
      <c r="E1111" s="79">
        <f>IF('Ordenes_Odoo'!E1111="","",'Ordenes_Odoo'!E1111)</f>
        <v/>
      </c>
      <c r="F1111" s="79">
        <f>IF('Ordenes_Odoo'!F1111="","",'Ordenes_Odoo'!F1111)</f>
        <v/>
      </c>
      <c r="G1111" s="79">
        <f>IF('Ordenes_Odoo'!G1111="","",'Ordenes_Odoo'!G1111)</f>
        <v/>
      </c>
      <c r="H1111" s="79">
        <f>IF('Ordenes_Odoo'!H1111="","",'Ordenes_Odoo'!H1111)</f>
        <v/>
      </c>
      <c r="I1111" s="79">
        <f>IF('Ordenes_Odoo'!I1111="","",'Ordenes_Odoo'!I1111)</f>
        <v/>
      </c>
      <c r="J1111" s="79">
        <f>IF('Ordenes_Odoo'!J1111="","",'Ordenes_Odoo'!J1111)</f>
        <v/>
      </c>
      <c r="K1111" s="81">
        <f>IF('Ordenes_Odoo'!K1111="","",'Ordenes_Odoo'!K1111)</f>
        <v/>
      </c>
      <c r="L1111" s="81">
        <f>IF('Ordenes_Odoo'!L1111="","",'Ordenes_Odoo'!L1111)</f>
        <v/>
      </c>
      <c r="M1111" s="79">
        <f>IF('Ordenes_Odoo'!M1111="","",'Ordenes_Odoo'!M1111)</f>
        <v/>
      </c>
      <c r="N1111" s="79">
        <f>IF('Ordenes_Odoo'!N1111="","",'Ordenes_Odoo'!N1111)</f>
        <v/>
      </c>
      <c r="O1111" s="81">
        <f>IF('Ordenes_Odoo'!O1111="","",'Ordenes_Odoo'!O1111)</f>
        <v/>
      </c>
      <c r="P1111" s="81">
        <f>IF('Ordenes_Odoo'!P1111="","",'Ordenes_Odoo'!P1111)</f>
        <v/>
      </c>
      <c r="Q1111" s="79">
        <f>IF(A1111="","",IFERROR(INDEX(Facturas_Odoo!$B:$B, MATCH(A1111, Facturas_Odoo!$D:$D, 0)), "Sin Factura"))</f>
        <v/>
      </c>
      <c r="R1111" s="80">
        <f>IF(Q1111="Sin Factura","",IFERROR(INDEX(Facturas_Odoo!$A:$A, MATCH(Q1111, Facturas_Odoo!$B:$B, 0)), ""))</f>
        <v/>
      </c>
      <c r="S1111" s="79">
        <f>IF(Q1111="Sin Factura","",IFERROR(_xlfn.XLOOKUP(1, (Facturas_Odoo!$D:$D=A1111) * (Facturas_Odoo!$K:$K=I1111), Facturas_Odoo!$L:$L, ""), ""))</f>
        <v/>
      </c>
      <c r="T1111" s="81">
        <f>IF(Q1111="Sin Factura",0,IFERROR(_xlfn.XLOOKUP(1, (Facturas_Odoo!$D:$D=A1111) * (Facturas_Odoo!$K:$K=I1111), Facturas_Odoo!$M:$M, 0), 0))</f>
        <v/>
      </c>
      <c r="U1111" s="79">
        <f>IF(Q1111="Sin Factura",0,IFERROR(_xlfn.XLOOKUP(1, (Facturas_Odoo!$D:$D=A1111) * (Facturas_Odoo!$K:$K=I1111), Facturas_Odoo!$N:$N, 0), 0))</f>
        <v/>
      </c>
      <c r="V1111" s="79">
        <f>IF(Q1111="Sin Factura",0,IFERROR(_xlfn.XLOOKUP(1, (Facturas_Odoo!$D:$D=A1111) * (Facturas_Odoo!$K:$K=I1111), Facturas_Odoo!$O:$O, 0), 0))</f>
        <v/>
      </c>
      <c r="W1111" s="81">
        <f>IF(Q1111="Sin Factura",0,IFERROR(_xlfn.XLOOKUP(1, (Facturas_Odoo!$D:$D=A1111) * (Facturas_Odoo!$K:$K=I1111), Facturas_Odoo!$Q:$Q, 0), 0))</f>
        <v/>
      </c>
      <c r="X1111" s="79">
        <f>IF(OR(Q1111="Sin Factura",Q1111=""),"",IFERROR(INDEX(Pagos_Odoo!$B:$B, MATCH(Q1111, Pagos_Odoo!$I:$I, 0)), "Sin Pago"))</f>
        <v/>
      </c>
      <c r="Y1111" s="79">
        <f>IF(X1111="Sin Pago","",IFERROR(INDEX(Pagos_Odoo!$C:$C, MATCH(X1111, Pagos_Odoo!$B:$B, 0)), ""))</f>
        <v/>
      </c>
      <c r="Z1111" s="80">
        <f>IF(X1111="Sin Pago","",IFERROR(INDEX(Pagos_Odoo!$A:$A, MATCH(X1111, Pagos_Odoo!$B:$B, 0)), ""))</f>
        <v/>
      </c>
      <c r="AA1111" s="79">
        <f>IF(X1111="Sin Pago","",IFERROR(INDEX(Pagos_Odoo!$F:$F, MATCH(X1111, Pagos_Odoo!$B:$B, 0)), ""))</f>
        <v/>
      </c>
      <c r="AB1111" s="81">
        <f>IF(X1111="Sin Pago",0,IFERROR(INDEX(Pagos_Odoo!$E:$E, MATCH(X1111, Pagos_Odoo!$B:$B, 0)), 0))</f>
        <v/>
      </c>
      <c r="AC1111" s="79">
        <f>IF(X1111="Sin Pago","",IFERROR(INDEX(Pagos_Odoo!$G:$G, MATCH(X1111, Pagos_Odoo!$B:$B, 0)), ""))</f>
        <v/>
      </c>
      <c r="AD1111" s="82" t="n">
        <v>0</v>
      </c>
      <c r="AE1111" s="82" t="n"/>
      <c r="AF1111" s="82" t="n"/>
      <c r="AG1111" s="82">
        <f>IF(AN1111="","",AD1111+AE1111+AF1111)</f>
        <v/>
      </c>
      <c r="AH1111" s="81">
        <f>IF(AN1111="","",P1111*(1-AG1111))</f>
        <v/>
      </c>
      <c r="AI1111" s="81">
        <f>IF(AN1111="","",IF(Q1111="Sin Factura",0,IFERROR(INDEX(Facturas_Odoo!$H:$H, MATCH(Q1111, Facturas_Odoo!$B:$B, 0)), 0)*(1-AG1111)))</f>
        <v/>
      </c>
      <c r="AJ1111" s="81">
        <f>IF(AN1111="","",_xlfn.LET(idVenta, AN1111&amp;"",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11" s="81">
        <f>IF(AN1111="","",AH1111-AJ1111)</f>
        <v/>
      </c>
      <c r="AL1111" s="81">
        <f>IF(AN1111="","",IF(Q1111="Sin Factura","",AI1111-AJ1111))</f>
        <v/>
      </c>
      <c r="AM1111" s="81">
        <f>IF(AN1111="","",IF(Q1111="Sin Factura",0,P1111-IFERROR(INDEX(Facturas_Odoo!$H:$H, MATCH(Q1111, Facturas_Odoo!$B:$B, 0)), 0)))</f>
        <v/>
      </c>
      <c r="AN1111" s="79">
        <f>IF(AND(A1111="", J1111=""), "", IF(A1111&lt;&gt;"", VALUE(MID(A1111,2,LEN(A1111))), AN1110))</f>
        <v/>
      </c>
      <c r="AO1111" s="79">
        <f>IF(AN1111="","",IF(AD1111=0,"OK",_xlfn.LET(monedaPago, IF(AA1111="","USD",AA1111), limitePermitido, IFERROR(VLOOKUP(monedaPago, Configuración!$A$2:$B$3, 2, FALSE), 0.15), IF(AD1111&gt;limitePermitido, "ALERTA: EXCESO (" &amp; TEXT(limitePermitido, "0%") &amp; " máx)", "OK"))))</f>
        <v/>
      </c>
      <c r="AP1111" s="79">
        <f>IF(AN1111="","",IF(AE1111=0,"OK",_xlfn.LET(fechaPago, Z1111, fechaFactura, R1111, diasCredito, IF(E1111="Pago inmediato", 0, IFERROR(VALUE(MID(E1111, 1, SEARCH(" ", E1111)-1)),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11" s="79">
        <f>IF(AN1111="","",IF(AND(N1111&gt;0, AG1111&gt;0), IF(Configuración!$K$2="NO", "ALERTA: DESCUENTO DOBLE NO PERMITIDO", "OK"), "OK"))</f>
        <v/>
      </c>
      <c r="AR1111" s="79">
        <f>IF(AN1111="","",IF(OR(AO1111&lt;&gt;"OK", AP1111&lt;&gt;"OK", AQ1111&lt;&gt;"OK"), "⚠️ REVISAR", "OK"))</f>
        <v/>
      </c>
    </row>
    <row r="1112">
      <c r="A1112" s="79">
        <f>IF('Ordenes_Odoo'!A1112="","",'Ordenes_Odoo'!A1112)</f>
        <v/>
      </c>
      <c r="B1112" s="80">
        <f>IF('Ordenes_Odoo'!B1112="","",'Ordenes_Odoo'!B1112)</f>
        <v/>
      </c>
      <c r="C1112" s="79">
        <f>IF('Ordenes_Odoo'!C1112="","",'Ordenes_Odoo'!C1112)</f>
        <v/>
      </c>
      <c r="D1112" s="79">
        <f>IF('Ordenes_Odoo'!D1112="","",'Ordenes_Odoo'!D1112)</f>
        <v/>
      </c>
      <c r="E1112" s="79">
        <f>IF('Ordenes_Odoo'!E1112="","",'Ordenes_Odoo'!E1112)</f>
        <v/>
      </c>
      <c r="F1112" s="79">
        <f>IF('Ordenes_Odoo'!F1112="","",'Ordenes_Odoo'!F1112)</f>
        <v/>
      </c>
      <c r="G1112" s="79">
        <f>IF('Ordenes_Odoo'!G1112="","",'Ordenes_Odoo'!G1112)</f>
        <v/>
      </c>
      <c r="H1112" s="79">
        <f>IF('Ordenes_Odoo'!H1112="","",'Ordenes_Odoo'!H1112)</f>
        <v/>
      </c>
      <c r="I1112" s="79">
        <f>IF('Ordenes_Odoo'!I1112="","",'Ordenes_Odoo'!I1112)</f>
        <v/>
      </c>
      <c r="J1112" s="79">
        <f>IF('Ordenes_Odoo'!J1112="","",'Ordenes_Odoo'!J1112)</f>
        <v/>
      </c>
      <c r="K1112" s="81">
        <f>IF('Ordenes_Odoo'!K1112="","",'Ordenes_Odoo'!K1112)</f>
        <v/>
      </c>
      <c r="L1112" s="81">
        <f>IF('Ordenes_Odoo'!L1112="","",'Ordenes_Odoo'!L1112)</f>
        <v/>
      </c>
      <c r="M1112" s="79">
        <f>IF('Ordenes_Odoo'!M1112="","",'Ordenes_Odoo'!M1112)</f>
        <v/>
      </c>
      <c r="N1112" s="79">
        <f>IF('Ordenes_Odoo'!N1112="","",'Ordenes_Odoo'!N1112)</f>
        <v/>
      </c>
      <c r="O1112" s="81">
        <f>IF('Ordenes_Odoo'!O1112="","",'Ordenes_Odoo'!O1112)</f>
        <v/>
      </c>
      <c r="P1112" s="81">
        <f>IF('Ordenes_Odoo'!P1112="","",'Ordenes_Odoo'!P1112)</f>
        <v/>
      </c>
      <c r="Q1112" s="79">
        <f>IF(A1112="","",IFERROR(INDEX(Facturas_Odoo!$B:$B, MATCH(A1112, Facturas_Odoo!$D:$D, 0)), "Sin Factura"))</f>
        <v/>
      </c>
      <c r="R1112" s="80">
        <f>IF(Q1112="Sin Factura","",IFERROR(INDEX(Facturas_Odoo!$A:$A, MATCH(Q1112, Facturas_Odoo!$B:$B, 0)), ""))</f>
        <v/>
      </c>
      <c r="S1112" s="79">
        <f>IF(Q1112="Sin Factura","",IFERROR(_xlfn.XLOOKUP(1, (Facturas_Odoo!$D:$D=A1112) * (Facturas_Odoo!$K:$K=I1112), Facturas_Odoo!$L:$L, ""), ""))</f>
        <v/>
      </c>
      <c r="T1112" s="81">
        <f>IF(Q1112="Sin Factura",0,IFERROR(_xlfn.XLOOKUP(1, (Facturas_Odoo!$D:$D=A1112) * (Facturas_Odoo!$K:$K=I1112), Facturas_Odoo!$M:$M, 0), 0))</f>
        <v/>
      </c>
      <c r="U1112" s="79">
        <f>IF(Q1112="Sin Factura",0,IFERROR(_xlfn.XLOOKUP(1, (Facturas_Odoo!$D:$D=A1112) * (Facturas_Odoo!$K:$K=I1112), Facturas_Odoo!$N:$N, 0), 0))</f>
        <v/>
      </c>
      <c r="V1112" s="79">
        <f>IF(Q1112="Sin Factura",0,IFERROR(_xlfn.XLOOKUP(1, (Facturas_Odoo!$D:$D=A1112) * (Facturas_Odoo!$K:$K=I1112), Facturas_Odoo!$O:$O, 0), 0))</f>
        <v/>
      </c>
      <c r="W1112" s="81">
        <f>IF(Q1112="Sin Factura",0,IFERROR(_xlfn.XLOOKUP(1, (Facturas_Odoo!$D:$D=A1112) * (Facturas_Odoo!$K:$K=I1112), Facturas_Odoo!$Q:$Q, 0), 0))</f>
        <v/>
      </c>
      <c r="X1112" s="79">
        <f>IF(OR(Q1112="Sin Factura",Q1112=""),"",IFERROR(INDEX(Pagos_Odoo!$B:$B, MATCH(Q1112, Pagos_Odoo!$I:$I, 0)), "Sin Pago"))</f>
        <v/>
      </c>
      <c r="Y1112" s="79">
        <f>IF(X1112="Sin Pago","",IFERROR(INDEX(Pagos_Odoo!$C:$C, MATCH(X1112, Pagos_Odoo!$B:$B, 0)), ""))</f>
        <v/>
      </c>
      <c r="Z1112" s="80">
        <f>IF(X1112="Sin Pago","",IFERROR(INDEX(Pagos_Odoo!$A:$A, MATCH(X1112, Pagos_Odoo!$B:$B, 0)), ""))</f>
        <v/>
      </c>
      <c r="AA1112" s="79">
        <f>IF(X1112="Sin Pago","",IFERROR(INDEX(Pagos_Odoo!$F:$F, MATCH(X1112, Pagos_Odoo!$B:$B, 0)), ""))</f>
        <v/>
      </c>
      <c r="AB1112" s="81">
        <f>IF(X1112="Sin Pago",0,IFERROR(INDEX(Pagos_Odoo!$E:$E, MATCH(X1112, Pagos_Odoo!$B:$B, 0)), 0))</f>
        <v/>
      </c>
      <c r="AC1112" s="79">
        <f>IF(X1112="Sin Pago","",IFERROR(INDEX(Pagos_Odoo!$G:$G, MATCH(X1112, Pagos_Odoo!$B:$B, 0)), ""))</f>
        <v/>
      </c>
      <c r="AD1112" s="82" t="n">
        <v>0</v>
      </c>
      <c r="AE1112" s="82" t="n"/>
      <c r="AF1112" s="82" t="n"/>
      <c r="AG1112" s="82">
        <f>IF(AN1112="","",AD1112+AE1112+AF1112)</f>
        <v/>
      </c>
      <c r="AH1112" s="81">
        <f>IF(AN1112="","",P1112*(1-AG1112))</f>
        <v/>
      </c>
      <c r="AI1112" s="81">
        <f>IF(AN1112="","",IF(Q1112="Sin Factura",0,IFERROR(INDEX(Facturas_Odoo!$H:$H, MATCH(Q1112, Facturas_Odoo!$B:$B, 0)), 0)*(1-AG1112)))</f>
        <v/>
      </c>
      <c r="AJ1112" s="81">
        <f>IF(AN1112="","",_xlfn.LET(idVenta, AN1112&amp;"",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12" s="81">
        <f>IF(AN1112="","",AH1112-AJ1112)</f>
        <v/>
      </c>
      <c r="AL1112" s="81">
        <f>IF(AN1112="","",IF(Q1112="Sin Factura","",AI1112-AJ1112))</f>
        <v/>
      </c>
      <c r="AM1112" s="81">
        <f>IF(AN1112="","",IF(Q1112="Sin Factura",0,P1112-IFERROR(INDEX(Facturas_Odoo!$H:$H, MATCH(Q1112, Facturas_Odoo!$B:$B, 0)), 0)))</f>
        <v/>
      </c>
      <c r="AN1112" s="79">
        <f>IF(AND(A1112="", J1112=""), "", IF(A1112&lt;&gt;"", VALUE(MID(A1112,2,LEN(A1112))), AN1111))</f>
        <v/>
      </c>
      <c r="AO1112" s="79">
        <f>IF(AN1112="","",IF(AD1112=0,"OK",_xlfn.LET(monedaPago, IF(AA1112="","USD",AA1112), limitePermitido, IFERROR(VLOOKUP(monedaPago, Configuración!$A$2:$B$3, 2, FALSE), 0.15), IF(AD1112&gt;limitePermitido, "ALERTA: EXCESO (" &amp; TEXT(limitePermitido, "0%") &amp; " máx)", "OK"))))</f>
        <v/>
      </c>
      <c r="AP1112" s="79">
        <f>IF(AN1112="","",IF(AE1112=0,"OK",_xlfn.LET(fechaPago, Z1112, fechaFactura, R1112, diasCredito, IF(E1112="Pago inmediato", 0, IFERROR(VALUE(MID(E1112, 1, SEARCH(" ", E1112)-1)),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12" s="79">
        <f>IF(AN1112="","",IF(AND(N1112&gt;0, AG1112&gt;0), IF(Configuración!$K$2="NO", "ALERTA: DESCUENTO DOBLE NO PERMITIDO", "OK"), "OK"))</f>
        <v/>
      </c>
      <c r="AR1112" s="79">
        <f>IF(AN1112="","",IF(OR(AO1112&lt;&gt;"OK", AP1112&lt;&gt;"OK", AQ1112&lt;&gt;"OK"), "⚠️ REVISAR", "OK"))</f>
        <v/>
      </c>
    </row>
    <row r="1113">
      <c r="A1113" s="79">
        <f>IF('Ordenes_Odoo'!A1113="","",'Ordenes_Odoo'!A1113)</f>
        <v/>
      </c>
      <c r="B1113" s="80">
        <f>IF('Ordenes_Odoo'!B1113="","",'Ordenes_Odoo'!B1113)</f>
        <v/>
      </c>
      <c r="C1113" s="79">
        <f>IF('Ordenes_Odoo'!C1113="","",'Ordenes_Odoo'!C1113)</f>
        <v/>
      </c>
      <c r="D1113" s="79">
        <f>IF('Ordenes_Odoo'!D1113="","",'Ordenes_Odoo'!D1113)</f>
        <v/>
      </c>
      <c r="E1113" s="79">
        <f>IF('Ordenes_Odoo'!E1113="","",'Ordenes_Odoo'!E1113)</f>
        <v/>
      </c>
      <c r="F1113" s="79">
        <f>IF('Ordenes_Odoo'!F1113="","",'Ordenes_Odoo'!F1113)</f>
        <v/>
      </c>
      <c r="G1113" s="79">
        <f>IF('Ordenes_Odoo'!G1113="","",'Ordenes_Odoo'!G1113)</f>
        <v/>
      </c>
      <c r="H1113" s="79">
        <f>IF('Ordenes_Odoo'!H1113="","",'Ordenes_Odoo'!H1113)</f>
        <v/>
      </c>
      <c r="I1113" s="79">
        <f>IF('Ordenes_Odoo'!I1113="","",'Ordenes_Odoo'!I1113)</f>
        <v/>
      </c>
      <c r="J1113" s="79">
        <f>IF('Ordenes_Odoo'!J1113="","",'Ordenes_Odoo'!J1113)</f>
        <v/>
      </c>
      <c r="K1113" s="81">
        <f>IF('Ordenes_Odoo'!K1113="","",'Ordenes_Odoo'!K1113)</f>
        <v/>
      </c>
      <c r="L1113" s="81">
        <f>IF('Ordenes_Odoo'!L1113="","",'Ordenes_Odoo'!L1113)</f>
        <v/>
      </c>
      <c r="M1113" s="79">
        <f>IF('Ordenes_Odoo'!M1113="","",'Ordenes_Odoo'!M1113)</f>
        <v/>
      </c>
      <c r="N1113" s="79">
        <f>IF('Ordenes_Odoo'!N1113="","",'Ordenes_Odoo'!N1113)</f>
        <v/>
      </c>
      <c r="O1113" s="81">
        <f>IF('Ordenes_Odoo'!O1113="","",'Ordenes_Odoo'!O1113)</f>
        <v/>
      </c>
      <c r="P1113" s="81">
        <f>IF('Ordenes_Odoo'!P1113="","",'Ordenes_Odoo'!P1113)</f>
        <v/>
      </c>
      <c r="Q1113" s="79">
        <f>IF(A1113="","",IFERROR(INDEX(Facturas_Odoo!$B:$B, MATCH(A1113, Facturas_Odoo!$D:$D, 0)), "Sin Factura"))</f>
        <v/>
      </c>
      <c r="R1113" s="80">
        <f>IF(Q1113="Sin Factura","",IFERROR(INDEX(Facturas_Odoo!$A:$A, MATCH(Q1113, Facturas_Odoo!$B:$B, 0)), ""))</f>
        <v/>
      </c>
      <c r="S1113" s="79">
        <f>IF(Q1113="Sin Factura","",IFERROR(_xlfn.XLOOKUP(1, (Facturas_Odoo!$D:$D=A1113) * (Facturas_Odoo!$K:$K=I1113), Facturas_Odoo!$L:$L, ""), ""))</f>
        <v/>
      </c>
      <c r="T1113" s="81">
        <f>IF(Q1113="Sin Factura",0,IFERROR(_xlfn.XLOOKUP(1, (Facturas_Odoo!$D:$D=A1113) * (Facturas_Odoo!$K:$K=I1113), Facturas_Odoo!$M:$M, 0), 0))</f>
        <v/>
      </c>
      <c r="U1113" s="79">
        <f>IF(Q1113="Sin Factura",0,IFERROR(_xlfn.XLOOKUP(1, (Facturas_Odoo!$D:$D=A1113) * (Facturas_Odoo!$K:$K=I1113), Facturas_Odoo!$N:$N, 0), 0))</f>
        <v/>
      </c>
      <c r="V1113" s="79">
        <f>IF(Q1113="Sin Factura",0,IFERROR(_xlfn.XLOOKUP(1, (Facturas_Odoo!$D:$D=A1113) * (Facturas_Odoo!$K:$K=I1113), Facturas_Odoo!$O:$O, 0), 0))</f>
        <v/>
      </c>
      <c r="W1113" s="81">
        <f>IF(Q1113="Sin Factura",0,IFERROR(_xlfn.XLOOKUP(1, (Facturas_Odoo!$D:$D=A1113) * (Facturas_Odoo!$K:$K=I1113), Facturas_Odoo!$Q:$Q, 0), 0))</f>
        <v/>
      </c>
      <c r="X1113" s="79">
        <f>IF(OR(Q1113="Sin Factura",Q1113=""),"",IFERROR(INDEX(Pagos_Odoo!$B:$B, MATCH(Q1113, Pagos_Odoo!$I:$I, 0)), "Sin Pago"))</f>
        <v/>
      </c>
      <c r="Y1113" s="79">
        <f>IF(X1113="Sin Pago","",IFERROR(INDEX(Pagos_Odoo!$C:$C, MATCH(X1113, Pagos_Odoo!$B:$B, 0)), ""))</f>
        <v/>
      </c>
      <c r="Z1113" s="80">
        <f>IF(X1113="Sin Pago","",IFERROR(INDEX(Pagos_Odoo!$A:$A, MATCH(X1113, Pagos_Odoo!$B:$B, 0)), ""))</f>
        <v/>
      </c>
      <c r="AA1113" s="79">
        <f>IF(X1113="Sin Pago","",IFERROR(INDEX(Pagos_Odoo!$F:$F, MATCH(X1113, Pagos_Odoo!$B:$B, 0)), ""))</f>
        <v/>
      </c>
      <c r="AB1113" s="81">
        <f>IF(X1113="Sin Pago",0,IFERROR(INDEX(Pagos_Odoo!$E:$E, MATCH(X1113, Pagos_Odoo!$B:$B, 0)), 0))</f>
        <v/>
      </c>
      <c r="AC1113" s="79">
        <f>IF(X1113="Sin Pago","",IFERROR(INDEX(Pagos_Odoo!$G:$G, MATCH(X1113, Pagos_Odoo!$B:$B, 0)), ""))</f>
        <v/>
      </c>
      <c r="AD1113" s="82" t="n">
        <v>0</v>
      </c>
      <c r="AE1113" s="82" t="n"/>
      <c r="AF1113" s="82" t="n"/>
      <c r="AG1113" s="82">
        <f>IF(AN1113="","",AD1113+AE1113+AF1113)</f>
        <v/>
      </c>
      <c r="AH1113" s="81">
        <f>IF(AN1113="","",P1113*(1-AG1113))</f>
        <v/>
      </c>
      <c r="AI1113" s="81">
        <f>IF(AN1113="","",IF(Q1113="Sin Factura",0,IFERROR(INDEX(Facturas_Odoo!$H:$H, MATCH(Q1113, Facturas_Odoo!$B:$B, 0)), 0)*(1-AG1113)))</f>
        <v/>
      </c>
      <c r="AJ1113" s="81">
        <f>IF(AN1113="","",_xlfn.LET(idVenta, AN1113&amp;"",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13" s="81">
        <f>IF(AN1113="","",AH1113-AJ1113)</f>
        <v/>
      </c>
      <c r="AL1113" s="81">
        <f>IF(AN1113="","",IF(Q1113="Sin Factura","",AI1113-AJ1113))</f>
        <v/>
      </c>
      <c r="AM1113" s="81">
        <f>IF(AN1113="","",IF(Q1113="Sin Factura",0,P1113-IFERROR(INDEX(Facturas_Odoo!$H:$H, MATCH(Q1113, Facturas_Odoo!$B:$B, 0)), 0)))</f>
        <v/>
      </c>
      <c r="AN1113" s="79">
        <f>IF(AND(A1113="", J1113=""), "", IF(A1113&lt;&gt;"", VALUE(MID(A1113,2,LEN(A1113))), AN1112))</f>
        <v/>
      </c>
      <c r="AO1113" s="79">
        <f>IF(AN1113="","",IF(AD1113=0,"OK",_xlfn.LET(monedaPago, IF(AA1113="","USD",AA1113), limitePermitido, IFERROR(VLOOKUP(monedaPago, Configuración!$A$2:$B$3, 2, FALSE), 0.15), IF(AD1113&gt;limitePermitido, "ALERTA: EXCESO (" &amp; TEXT(limitePermitido, "0%") &amp; " máx)", "OK"))))</f>
        <v/>
      </c>
      <c r="AP1113" s="79">
        <f>IF(AN1113="","",IF(AE1113=0,"OK",_xlfn.LET(fechaPago, Z1113, fechaFactura, R1113, diasCredito, IF(E1113="Pago inmediato", 0, IFERROR(VALUE(MID(E1113, 1, SEARCH(" ", E1113)-1)),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13" s="79">
        <f>IF(AN1113="","",IF(AND(N1113&gt;0, AG1113&gt;0), IF(Configuración!$K$2="NO", "ALERTA: DESCUENTO DOBLE NO PERMITIDO", "OK"), "OK"))</f>
        <v/>
      </c>
      <c r="AR1113" s="79">
        <f>IF(AN1113="","",IF(OR(AO1113&lt;&gt;"OK", AP1113&lt;&gt;"OK", AQ1113&lt;&gt;"OK"), "⚠️ REVISAR", "OK"))</f>
        <v/>
      </c>
    </row>
    <row r="1114">
      <c r="A1114" s="79">
        <f>IF('Ordenes_Odoo'!A1114="","",'Ordenes_Odoo'!A1114)</f>
        <v/>
      </c>
      <c r="B1114" s="80">
        <f>IF('Ordenes_Odoo'!B1114="","",'Ordenes_Odoo'!B1114)</f>
        <v/>
      </c>
      <c r="C1114" s="79">
        <f>IF('Ordenes_Odoo'!C1114="","",'Ordenes_Odoo'!C1114)</f>
        <v/>
      </c>
      <c r="D1114" s="79">
        <f>IF('Ordenes_Odoo'!D1114="","",'Ordenes_Odoo'!D1114)</f>
        <v/>
      </c>
      <c r="E1114" s="79">
        <f>IF('Ordenes_Odoo'!E1114="","",'Ordenes_Odoo'!E1114)</f>
        <v/>
      </c>
      <c r="F1114" s="79">
        <f>IF('Ordenes_Odoo'!F1114="","",'Ordenes_Odoo'!F1114)</f>
        <v/>
      </c>
      <c r="G1114" s="79">
        <f>IF('Ordenes_Odoo'!G1114="","",'Ordenes_Odoo'!G1114)</f>
        <v/>
      </c>
      <c r="H1114" s="79">
        <f>IF('Ordenes_Odoo'!H1114="","",'Ordenes_Odoo'!H1114)</f>
        <v/>
      </c>
      <c r="I1114" s="79">
        <f>IF('Ordenes_Odoo'!I1114="","",'Ordenes_Odoo'!I1114)</f>
        <v/>
      </c>
      <c r="J1114" s="79">
        <f>IF('Ordenes_Odoo'!J1114="","",'Ordenes_Odoo'!J1114)</f>
        <v/>
      </c>
      <c r="K1114" s="81">
        <f>IF('Ordenes_Odoo'!K1114="","",'Ordenes_Odoo'!K1114)</f>
        <v/>
      </c>
      <c r="L1114" s="81">
        <f>IF('Ordenes_Odoo'!L1114="","",'Ordenes_Odoo'!L1114)</f>
        <v/>
      </c>
      <c r="M1114" s="79">
        <f>IF('Ordenes_Odoo'!M1114="","",'Ordenes_Odoo'!M1114)</f>
        <v/>
      </c>
      <c r="N1114" s="79">
        <f>IF('Ordenes_Odoo'!N1114="","",'Ordenes_Odoo'!N1114)</f>
        <v/>
      </c>
      <c r="O1114" s="81">
        <f>IF('Ordenes_Odoo'!O1114="","",'Ordenes_Odoo'!O1114)</f>
        <v/>
      </c>
      <c r="P1114" s="81">
        <f>IF('Ordenes_Odoo'!P1114="","",'Ordenes_Odoo'!P1114)</f>
        <v/>
      </c>
      <c r="Q1114" s="79">
        <f>IF(A1114="","",IFERROR(INDEX(Facturas_Odoo!$B:$B, MATCH(A1114, Facturas_Odoo!$D:$D, 0)), "Sin Factura"))</f>
        <v/>
      </c>
      <c r="R1114" s="80">
        <f>IF(Q1114="Sin Factura","",IFERROR(INDEX(Facturas_Odoo!$A:$A, MATCH(Q1114, Facturas_Odoo!$B:$B, 0)), ""))</f>
        <v/>
      </c>
      <c r="S1114" s="79">
        <f>IF(Q1114="Sin Factura","",IFERROR(_xlfn.XLOOKUP(1, (Facturas_Odoo!$D:$D=A1114) * (Facturas_Odoo!$K:$K=I1114), Facturas_Odoo!$L:$L, ""), ""))</f>
        <v/>
      </c>
      <c r="T1114" s="81">
        <f>IF(Q1114="Sin Factura",0,IFERROR(_xlfn.XLOOKUP(1, (Facturas_Odoo!$D:$D=A1114) * (Facturas_Odoo!$K:$K=I1114), Facturas_Odoo!$M:$M, 0), 0))</f>
        <v/>
      </c>
      <c r="U1114" s="79">
        <f>IF(Q1114="Sin Factura",0,IFERROR(_xlfn.XLOOKUP(1, (Facturas_Odoo!$D:$D=A1114) * (Facturas_Odoo!$K:$K=I1114), Facturas_Odoo!$N:$N, 0), 0))</f>
        <v/>
      </c>
      <c r="V1114" s="79">
        <f>IF(Q1114="Sin Factura",0,IFERROR(_xlfn.XLOOKUP(1, (Facturas_Odoo!$D:$D=A1114) * (Facturas_Odoo!$K:$K=I1114), Facturas_Odoo!$O:$O, 0), 0))</f>
        <v/>
      </c>
      <c r="W1114" s="81">
        <f>IF(Q1114="Sin Factura",0,IFERROR(_xlfn.XLOOKUP(1, (Facturas_Odoo!$D:$D=A1114) * (Facturas_Odoo!$K:$K=I1114), Facturas_Odoo!$Q:$Q, 0), 0))</f>
        <v/>
      </c>
      <c r="X1114" s="79">
        <f>IF(OR(Q1114="Sin Factura",Q1114=""),"",IFERROR(INDEX(Pagos_Odoo!$B:$B, MATCH(Q1114, Pagos_Odoo!$I:$I, 0)), "Sin Pago"))</f>
        <v/>
      </c>
      <c r="Y1114" s="79">
        <f>IF(X1114="Sin Pago","",IFERROR(INDEX(Pagos_Odoo!$C:$C, MATCH(X1114, Pagos_Odoo!$B:$B, 0)), ""))</f>
        <v/>
      </c>
      <c r="Z1114" s="80">
        <f>IF(X1114="Sin Pago","",IFERROR(INDEX(Pagos_Odoo!$A:$A, MATCH(X1114, Pagos_Odoo!$B:$B, 0)), ""))</f>
        <v/>
      </c>
      <c r="AA1114" s="79">
        <f>IF(X1114="Sin Pago","",IFERROR(INDEX(Pagos_Odoo!$F:$F, MATCH(X1114, Pagos_Odoo!$B:$B, 0)), ""))</f>
        <v/>
      </c>
      <c r="AB1114" s="81">
        <f>IF(X1114="Sin Pago",0,IFERROR(INDEX(Pagos_Odoo!$E:$E, MATCH(X1114, Pagos_Odoo!$B:$B, 0)), 0))</f>
        <v/>
      </c>
      <c r="AC1114" s="79">
        <f>IF(X1114="Sin Pago","",IFERROR(INDEX(Pagos_Odoo!$G:$G, MATCH(X1114, Pagos_Odoo!$B:$B, 0)), ""))</f>
        <v/>
      </c>
      <c r="AD1114" s="82" t="n">
        <v>0</v>
      </c>
      <c r="AE1114" s="82" t="n"/>
      <c r="AF1114" s="82" t="n"/>
      <c r="AG1114" s="82">
        <f>IF(AN1114="","",AD1114+AE1114+AF1114)</f>
        <v/>
      </c>
      <c r="AH1114" s="81">
        <f>IF(AN1114="","",P1114*(1-AG1114))</f>
        <v/>
      </c>
      <c r="AI1114" s="81">
        <f>IF(AN1114="","",IF(Q1114="Sin Factura",0,IFERROR(INDEX(Facturas_Odoo!$H:$H, MATCH(Q1114, Facturas_Odoo!$B:$B, 0)), 0)*(1-AG1114)))</f>
        <v/>
      </c>
      <c r="AJ1114" s="81">
        <f>IF(AN1114="","",_xlfn.LET(idVenta, AN1114&amp;"",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14" s="81">
        <f>IF(AN1114="","",AH1114-AJ1114)</f>
        <v/>
      </c>
      <c r="AL1114" s="81">
        <f>IF(AN1114="","",IF(Q1114="Sin Factura","",AI1114-AJ1114))</f>
        <v/>
      </c>
      <c r="AM1114" s="81">
        <f>IF(AN1114="","",IF(Q1114="Sin Factura",0,P1114-IFERROR(INDEX(Facturas_Odoo!$H:$H, MATCH(Q1114, Facturas_Odoo!$B:$B, 0)), 0)))</f>
        <v/>
      </c>
      <c r="AN1114" s="79">
        <f>IF(AND(A1114="", J1114=""), "", IF(A1114&lt;&gt;"", VALUE(MID(A1114,2,LEN(A1114))), AN1113))</f>
        <v/>
      </c>
      <c r="AO1114" s="79">
        <f>IF(AN1114="","",IF(AD1114=0,"OK",_xlfn.LET(monedaPago, IF(AA1114="","USD",AA1114), limitePermitido, IFERROR(VLOOKUP(monedaPago, Configuración!$A$2:$B$3, 2, FALSE), 0.15), IF(AD1114&gt;limitePermitido, "ALERTA: EXCESO (" &amp; TEXT(limitePermitido, "0%") &amp; " máx)", "OK"))))</f>
        <v/>
      </c>
      <c r="AP1114" s="79">
        <f>IF(AN1114="","",IF(AE1114=0,"OK",_xlfn.LET(fechaPago, Z1114, fechaFactura, R1114, diasCredito, IF(E1114="Pago inmediato", 0, IFERROR(VALUE(MID(E1114, 1, SEARCH(" ", E1114)-1)),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14" s="79">
        <f>IF(AN1114="","",IF(AND(N1114&gt;0, AG1114&gt;0), IF(Configuración!$K$2="NO", "ALERTA: DESCUENTO DOBLE NO PERMITIDO", "OK"), "OK"))</f>
        <v/>
      </c>
      <c r="AR1114" s="79">
        <f>IF(AN1114="","",IF(OR(AO1114&lt;&gt;"OK", AP1114&lt;&gt;"OK", AQ1114&lt;&gt;"OK"), "⚠️ REVISAR", "OK"))</f>
        <v/>
      </c>
    </row>
    <row r="1115">
      <c r="A1115" s="79">
        <f>IF('Ordenes_Odoo'!A1115="","",'Ordenes_Odoo'!A1115)</f>
        <v/>
      </c>
      <c r="B1115" s="80">
        <f>IF('Ordenes_Odoo'!B1115="","",'Ordenes_Odoo'!B1115)</f>
        <v/>
      </c>
      <c r="C1115" s="79">
        <f>IF('Ordenes_Odoo'!C1115="","",'Ordenes_Odoo'!C1115)</f>
        <v/>
      </c>
      <c r="D1115" s="79">
        <f>IF('Ordenes_Odoo'!D1115="","",'Ordenes_Odoo'!D1115)</f>
        <v/>
      </c>
      <c r="E1115" s="79">
        <f>IF('Ordenes_Odoo'!E1115="","",'Ordenes_Odoo'!E1115)</f>
        <v/>
      </c>
      <c r="F1115" s="79">
        <f>IF('Ordenes_Odoo'!F1115="","",'Ordenes_Odoo'!F1115)</f>
        <v/>
      </c>
      <c r="G1115" s="79">
        <f>IF('Ordenes_Odoo'!G1115="","",'Ordenes_Odoo'!G1115)</f>
        <v/>
      </c>
      <c r="H1115" s="79">
        <f>IF('Ordenes_Odoo'!H1115="","",'Ordenes_Odoo'!H1115)</f>
        <v/>
      </c>
      <c r="I1115" s="79">
        <f>IF('Ordenes_Odoo'!I1115="","",'Ordenes_Odoo'!I1115)</f>
        <v/>
      </c>
      <c r="J1115" s="79">
        <f>IF('Ordenes_Odoo'!J1115="","",'Ordenes_Odoo'!J1115)</f>
        <v/>
      </c>
      <c r="K1115" s="81">
        <f>IF('Ordenes_Odoo'!K1115="","",'Ordenes_Odoo'!K1115)</f>
        <v/>
      </c>
      <c r="L1115" s="81">
        <f>IF('Ordenes_Odoo'!L1115="","",'Ordenes_Odoo'!L1115)</f>
        <v/>
      </c>
      <c r="M1115" s="79">
        <f>IF('Ordenes_Odoo'!M1115="","",'Ordenes_Odoo'!M1115)</f>
        <v/>
      </c>
      <c r="N1115" s="79">
        <f>IF('Ordenes_Odoo'!N1115="","",'Ordenes_Odoo'!N1115)</f>
        <v/>
      </c>
      <c r="O1115" s="81">
        <f>IF('Ordenes_Odoo'!O1115="","",'Ordenes_Odoo'!O1115)</f>
        <v/>
      </c>
      <c r="P1115" s="81">
        <f>IF('Ordenes_Odoo'!P1115="","",'Ordenes_Odoo'!P1115)</f>
        <v/>
      </c>
      <c r="Q1115" s="79">
        <f>IF(A1115="","",IFERROR(INDEX(Facturas_Odoo!$B:$B, MATCH(A1115, Facturas_Odoo!$D:$D, 0)), "Sin Factura"))</f>
        <v/>
      </c>
      <c r="R1115" s="80">
        <f>IF(Q1115="Sin Factura","",IFERROR(INDEX(Facturas_Odoo!$A:$A, MATCH(Q1115, Facturas_Odoo!$B:$B, 0)), ""))</f>
        <v/>
      </c>
      <c r="S1115" s="79">
        <f>IF(Q1115="Sin Factura","",IFERROR(_xlfn.XLOOKUP(1, (Facturas_Odoo!$D:$D=A1115) * (Facturas_Odoo!$K:$K=I1115), Facturas_Odoo!$L:$L, ""), ""))</f>
        <v/>
      </c>
      <c r="T1115" s="81">
        <f>IF(Q1115="Sin Factura",0,IFERROR(_xlfn.XLOOKUP(1, (Facturas_Odoo!$D:$D=A1115) * (Facturas_Odoo!$K:$K=I1115), Facturas_Odoo!$M:$M, 0), 0))</f>
        <v/>
      </c>
      <c r="U1115" s="79">
        <f>IF(Q1115="Sin Factura",0,IFERROR(_xlfn.XLOOKUP(1, (Facturas_Odoo!$D:$D=A1115) * (Facturas_Odoo!$K:$K=I1115), Facturas_Odoo!$N:$N, 0), 0))</f>
        <v/>
      </c>
      <c r="V1115" s="79">
        <f>IF(Q1115="Sin Factura",0,IFERROR(_xlfn.XLOOKUP(1, (Facturas_Odoo!$D:$D=A1115) * (Facturas_Odoo!$K:$K=I1115), Facturas_Odoo!$O:$O, 0), 0))</f>
        <v/>
      </c>
      <c r="W1115" s="81">
        <f>IF(Q1115="Sin Factura",0,IFERROR(_xlfn.XLOOKUP(1, (Facturas_Odoo!$D:$D=A1115) * (Facturas_Odoo!$K:$K=I1115), Facturas_Odoo!$Q:$Q, 0), 0))</f>
        <v/>
      </c>
      <c r="X1115" s="79">
        <f>IF(OR(Q1115="Sin Factura",Q1115=""),"",IFERROR(INDEX(Pagos_Odoo!$B:$B, MATCH(Q1115, Pagos_Odoo!$I:$I, 0)), "Sin Pago"))</f>
        <v/>
      </c>
      <c r="Y1115" s="79">
        <f>IF(X1115="Sin Pago","",IFERROR(INDEX(Pagos_Odoo!$C:$C, MATCH(X1115, Pagos_Odoo!$B:$B, 0)), ""))</f>
        <v/>
      </c>
      <c r="Z1115" s="80">
        <f>IF(X1115="Sin Pago","",IFERROR(INDEX(Pagos_Odoo!$A:$A, MATCH(X1115, Pagos_Odoo!$B:$B, 0)), ""))</f>
        <v/>
      </c>
      <c r="AA1115" s="79">
        <f>IF(X1115="Sin Pago","",IFERROR(INDEX(Pagos_Odoo!$F:$F, MATCH(X1115, Pagos_Odoo!$B:$B, 0)), ""))</f>
        <v/>
      </c>
      <c r="AB1115" s="81">
        <f>IF(X1115="Sin Pago",0,IFERROR(INDEX(Pagos_Odoo!$E:$E, MATCH(X1115, Pagos_Odoo!$B:$B, 0)), 0))</f>
        <v/>
      </c>
      <c r="AC1115" s="79">
        <f>IF(X1115="Sin Pago","",IFERROR(INDEX(Pagos_Odoo!$G:$G, MATCH(X1115, Pagos_Odoo!$B:$B, 0)), ""))</f>
        <v/>
      </c>
      <c r="AD1115" s="82" t="n">
        <v>0</v>
      </c>
      <c r="AE1115" s="82" t="n"/>
      <c r="AF1115" s="82" t="n"/>
      <c r="AG1115" s="82">
        <f>IF(AN1115="","",AD1115+AE1115+AF1115)</f>
        <v/>
      </c>
      <c r="AH1115" s="81">
        <f>IF(AN1115="","",P1115*(1-AG1115))</f>
        <v/>
      </c>
      <c r="AI1115" s="81">
        <f>IF(AN1115="","",IF(Q1115="Sin Factura",0,IFERROR(INDEX(Facturas_Odoo!$H:$H, MATCH(Q1115, Facturas_Odoo!$B:$B, 0)), 0)*(1-AG1115)))</f>
        <v/>
      </c>
      <c r="AJ1115" s="81">
        <f>IF(AN1115="","",_xlfn.LET(idVenta, AN1115&amp;"",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15" s="81">
        <f>IF(AN1115="","",AH1115-AJ1115)</f>
        <v/>
      </c>
      <c r="AL1115" s="81">
        <f>IF(AN1115="","",IF(Q1115="Sin Factura","",AI1115-AJ1115))</f>
        <v/>
      </c>
      <c r="AM1115" s="81">
        <f>IF(AN1115="","",IF(Q1115="Sin Factura",0,P1115-IFERROR(INDEX(Facturas_Odoo!$H:$H, MATCH(Q1115, Facturas_Odoo!$B:$B, 0)), 0)))</f>
        <v/>
      </c>
      <c r="AN1115" s="79">
        <f>IF(AND(A1115="", J1115=""), "", IF(A1115&lt;&gt;"", VALUE(MID(A1115,2,LEN(A1115))), AN1114))</f>
        <v/>
      </c>
      <c r="AO1115" s="79">
        <f>IF(AN1115="","",IF(AD1115=0,"OK",_xlfn.LET(monedaPago, IF(AA1115="","USD",AA1115), limitePermitido, IFERROR(VLOOKUP(monedaPago, Configuración!$A$2:$B$3, 2, FALSE), 0.15), IF(AD1115&gt;limitePermitido, "ALERTA: EXCESO (" &amp; TEXT(limitePermitido, "0%") &amp; " máx)", "OK"))))</f>
        <v/>
      </c>
      <c r="AP1115" s="79">
        <f>IF(AN1115="","",IF(AE1115=0,"OK",_xlfn.LET(fechaPago, Z1115, fechaFactura, R1115, diasCredito, IF(E1115="Pago inmediato", 0, IFERROR(VALUE(MID(E1115, 1, SEARCH(" ", E1115)-1)),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15" s="79">
        <f>IF(AN1115="","",IF(AND(N1115&gt;0, AG1115&gt;0), IF(Configuración!$K$2="NO", "ALERTA: DESCUENTO DOBLE NO PERMITIDO", "OK"), "OK"))</f>
        <v/>
      </c>
      <c r="AR1115" s="79">
        <f>IF(AN1115="","",IF(OR(AO1115&lt;&gt;"OK", AP1115&lt;&gt;"OK", AQ1115&lt;&gt;"OK"), "⚠️ REVISAR", "OK"))</f>
        <v/>
      </c>
    </row>
    <row r="1116">
      <c r="A1116" s="79">
        <f>IF('Ordenes_Odoo'!A1116="","",'Ordenes_Odoo'!A1116)</f>
        <v/>
      </c>
      <c r="B1116" s="80">
        <f>IF('Ordenes_Odoo'!B1116="","",'Ordenes_Odoo'!B1116)</f>
        <v/>
      </c>
      <c r="C1116" s="79">
        <f>IF('Ordenes_Odoo'!C1116="","",'Ordenes_Odoo'!C1116)</f>
        <v/>
      </c>
      <c r="D1116" s="79">
        <f>IF('Ordenes_Odoo'!D1116="","",'Ordenes_Odoo'!D1116)</f>
        <v/>
      </c>
      <c r="E1116" s="79">
        <f>IF('Ordenes_Odoo'!E1116="","",'Ordenes_Odoo'!E1116)</f>
        <v/>
      </c>
      <c r="F1116" s="79">
        <f>IF('Ordenes_Odoo'!F1116="","",'Ordenes_Odoo'!F1116)</f>
        <v/>
      </c>
      <c r="G1116" s="79">
        <f>IF('Ordenes_Odoo'!G1116="","",'Ordenes_Odoo'!G1116)</f>
        <v/>
      </c>
      <c r="H1116" s="79">
        <f>IF('Ordenes_Odoo'!H1116="","",'Ordenes_Odoo'!H1116)</f>
        <v/>
      </c>
      <c r="I1116" s="79">
        <f>IF('Ordenes_Odoo'!I1116="","",'Ordenes_Odoo'!I1116)</f>
        <v/>
      </c>
      <c r="J1116" s="79">
        <f>IF('Ordenes_Odoo'!J1116="","",'Ordenes_Odoo'!J1116)</f>
        <v/>
      </c>
      <c r="K1116" s="81">
        <f>IF('Ordenes_Odoo'!K1116="","",'Ordenes_Odoo'!K1116)</f>
        <v/>
      </c>
      <c r="L1116" s="81">
        <f>IF('Ordenes_Odoo'!L1116="","",'Ordenes_Odoo'!L1116)</f>
        <v/>
      </c>
      <c r="M1116" s="79">
        <f>IF('Ordenes_Odoo'!M1116="","",'Ordenes_Odoo'!M1116)</f>
        <v/>
      </c>
      <c r="N1116" s="79">
        <f>IF('Ordenes_Odoo'!N1116="","",'Ordenes_Odoo'!N1116)</f>
        <v/>
      </c>
      <c r="O1116" s="81">
        <f>IF('Ordenes_Odoo'!O1116="","",'Ordenes_Odoo'!O1116)</f>
        <v/>
      </c>
      <c r="P1116" s="81">
        <f>IF('Ordenes_Odoo'!P1116="","",'Ordenes_Odoo'!P1116)</f>
        <v/>
      </c>
      <c r="Q1116" s="79">
        <f>IF(A1116="","",IFERROR(INDEX(Facturas_Odoo!$B:$B, MATCH(A1116, Facturas_Odoo!$D:$D, 0)), "Sin Factura"))</f>
        <v/>
      </c>
      <c r="R1116" s="80">
        <f>IF(Q1116="Sin Factura","",IFERROR(INDEX(Facturas_Odoo!$A:$A, MATCH(Q1116, Facturas_Odoo!$B:$B, 0)), ""))</f>
        <v/>
      </c>
      <c r="S1116" s="79">
        <f>IF(Q1116="Sin Factura","",IFERROR(_xlfn.XLOOKUP(1, (Facturas_Odoo!$D:$D=A1116) * (Facturas_Odoo!$K:$K=I1116), Facturas_Odoo!$L:$L, ""), ""))</f>
        <v/>
      </c>
      <c r="T1116" s="81">
        <f>IF(Q1116="Sin Factura",0,IFERROR(_xlfn.XLOOKUP(1, (Facturas_Odoo!$D:$D=A1116) * (Facturas_Odoo!$K:$K=I1116), Facturas_Odoo!$M:$M, 0), 0))</f>
        <v/>
      </c>
      <c r="U1116" s="79">
        <f>IF(Q1116="Sin Factura",0,IFERROR(_xlfn.XLOOKUP(1, (Facturas_Odoo!$D:$D=A1116) * (Facturas_Odoo!$K:$K=I1116), Facturas_Odoo!$N:$N, 0), 0))</f>
        <v/>
      </c>
      <c r="V1116" s="79">
        <f>IF(Q1116="Sin Factura",0,IFERROR(_xlfn.XLOOKUP(1, (Facturas_Odoo!$D:$D=A1116) * (Facturas_Odoo!$K:$K=I1116), Facturas_Odoo!$O:$O, 0), 0))</f>
        <v/>
      </c>
      <c r="W1116" s="81">
        <f>IF(Q1116="Sin Factura",0,IFERROR(_xlfn.XLOOKUP(1, (Facturas_Odoo!$D:$D=A1116) * (Facturas_Odoo!$K:$K=I1116), Facturas_Odoo!$Q:$Q, 0), 0))</f>
        <v/>
      </c>
      <c r="X1116" s="79">
        <f>IF(OR(Q1116="Sin Factura",Q1116=""),"",IFERROR(INDEX(Pagos_Odoo!$B:$B, MATCH(Q1116, Pagos_Odoo!$I:$I, 0)), "Sin Pago"))</f>
        <v/>
      </c>
      <c r="Y1116" s="79">
        <f>IF(X1116="Sin Pago","",IFERROR(INDEX(Pagos_Odoo!$C:$C, MATCH(X1116, Pagos_Odoo!$B:$B, 0)), ""))</f>
        <v/>
      </c>
      <c r="Z1116" s="80">
        <f>IF(X1116="Sin Pago","",IFERROR(INDEX(Pagos_Odoo!$A:$A, MATCH(X1116, Pagos_Odoo!$B:$B, 0)), ""))</f>
        <v/>
      </c>
      <c r="AA1116" s="79">
        <f>IF(X1116="Sin Pago","",IFERROR(INDEX(Pagos_Odoo!$F:$F, MATCH(X1116, Pagos_Odoo!$B:$B, 0)), ""))</f>
        <v/>
      </c>
      <c r="AB1116" s="81">
        <f>IF(X1116="Sin Pago",0,IFERROR(INDEX(Pagos_Odoo!$E:$E, MATCH(X1116, Pagos_Odoo!$B:$B, 0)), 0))</f>
        <v/>
      </c>
      <c r="AC1116" s="79">
        <f>IF(X1116="Sin Pago","",IFERROR(INDEX(Pagos_Odoo!$G:$G, MATCH(X1116, Pagos_Odoo!$B:$B, 0)), ""))</f>
        <v/>
      </c>
      <c r="AD1116" s="82" t="n">
        <v>0</v>
      </c>
      <c r="AE1116" s="82" t="n"/>
      <c r="AF1116" s="82" t="n"/>
      <c r="AG1116" s="82">
        <f>IF(AN1116="","",AD1116+AE1116+AF1116)</f>
        <v/>
      </c>
      <c r="AH1116" s="81">
        <f>IF(AN1116="","",P1116*(1-AG1116))</f>
        <v/>
      </c>
      <c r="AI1116" s="81">
        <f>IF(AN1116="","",IF(Q1116="Sin Factura",0,IFERROR(INDEX(Facturas_Odoo!$H:$H, MATCH(Q1116, Facturas_Odoo!$B:$B, 0)), 0)*(1-AG1116)))</f>
        <v/>
      </c>
      <c r="AJ1116" s="81">
        <f>IF(AN1116="","",_xlfn.LET(idVenta, AN1116&amp;"",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16" s="81">
        <f>IF(AN1116="","",AH1116-AJ1116)</f>
        <v/>
      </c>
      <c r="AL1116" s="81">
        <f>IF(AN1116="","",IF(Q1116="Sin Factura","",AI1116-AJ1116))</f>
        <v/>
      </c>
      <c r="AM1116" s="81">
        <f>IF(AN1116="","",IF(Q1116="Sin Factura",0,P1116-IFERROR(INDEX(Facturas_Odoo!$H:$H, MATCH(Q1116, Facturas_Odoo!$B:$B, 0)), 0)))</f>
        <v/>
      </c>
      <c r="AN1116" s="79">
        <f>IF(AND(A1116="", J1116=""), "", IF(A1116&lt;&gt;"", VALUE(MID(A1116,2,LEN(A1116))), AN1115))</f>
        <v/>
      </c>
      <c r="AO1116" s="79">
        <f>IF(AN1116="","",IF(AD1116=0,"OK",_xlfn.LET(monedaPago, IF(AA1116="","USD",AA1116), limitePermitido, IFERROR(VLOOKUP(monedaPago, Configuración!$A$2:$B$3, 2, FALSE), 0.15), IF(AD1116&gt;limitePermitido, "ALERTA: EXCESO (" &amp; TEXT(limitePermitido, "0%") &amp; " máx)", "OK"))))</f>
        <v/>
      </c>
      <c r="AP1116" s="79">
        <f>IF(AN1116="","",IF(AE1116=0,"OK",_xlfn.LET(fechaPago, Z1116, fechaFactura, R1116, diasCredito, IF(E1116="Pago inmediato", 0, IFERROR(VALUE(MID(E1116, 1, SEARCH(" ", E1116)-1)),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16" s="79">
        <f>IF(AN1116="","",IF(AND(N1116&gt;0, AG1116&gt;0), IF(Configuración!$K$2="NO", "ALERTA: DESCUENTO DOBLE NO PERMITIDO", "OK"), "OK"))</f>
        <v/>
      </c>
      <c r="AR1116" s="79">
        <f>IF(AN1116="","",IF(OR(AO1116&lt;&gt;"OK", AP1116&lt;&gt;"OK", AQ1116&lt;&gt;"OK"), "⚠️ REVISAR", "OK"))</f>
        <v/>
      </c>
    </row>
    <row r="1117">
      <c r="A1117" s="79">
        <f>IF('Ordenes_Odoo'!A1117="","",'Ordenes_Odoo'!A1117)</f>
        <v/>
      </c>
      <c r="B1117" s="80">
        <f>IF('Ordenes_Odoo'!B1117="","",'Ordenes_Odoo'!B1117)</f>
        <v/>
      </c>
      <c r="C1117" s="79">
        <f>IF('Ordenes_Odoo'!C1117="","",'Ordenes_Odoo'!C1117)</f>
        <v/>
      </c>
      <c r="D1117" s="79">
        <f>IF('Ordenes_Odoo'!D1117="","",'Ordenes_Odoo'!D1117)</f>
        <v/>
      </c>
      <c r="E1117" s="79">
        <f>IF('Ordenes_Odoo'!E1117="","",'Ordenes_Odoo'!E1117)</f>
        <v/>
      </c>
      <c r="F1117" s="79">
        <f>IF('Ordenes_Odoo'!F1117="","",'Ordenes_Odoo'!F1117)</f>
        <v/>
      </c>
      <c r="G1117" s="79">
        <f>IF('Ordenes_Odoo'!G1117="","",'Ordenes_Odoo'!G1117)</f>
        <v/>
      </c>
      <c r="H1117" s="79">
        <f>IF('Ordenes_Odoo'!H1117="","",'Ordenes_Odoo'!H1117)</f>
        <v/>
      </c>
      <c r="I1117" s="79">
        <f>IF('Ordenes_Odoo'!I1117="","",'Ordenes_Odoo'!I1117)</f>
        <v/>
      </c>
      <c r="J1117" s="79">
        <f>IF('Ordenes_Odoo'!J1117="","",'Ordenes_Odoo'!J1117)</f>
        <v/>
      </c>
      <c r="K1117" s="81">
        <f>IF('Ordenes_Odoo'!K1117="","",'Ordenes_Odoo'!K1117)</f>
        <v/>
      </c>
      <c r="L1117" s="81">
        <f>IF('Ordenes_Odoo'!L1117="","",'Ordenes_Odoo'!L1117)</f>
        <v/>
      </c>
      <c r="M1117" s="79">
        <f>IF('Ordenes_Odoo'!M1117="","",'Ordenes_Odoo'!M1117)</f>
        <v/>
      </c>
      <c r="N1117" s="79">
        <f>IF('Ordenes_Odoo'!N1117="","",'Ordenes_Odoo'!N1117)</f>
        <v/>
      </c>
      <c r="O1117" s="81">
        <f>IF('Ordenes_Odoo'!O1117="","",'Ordenes_Odoo'!O1117)</f>
        <v/>
      </c>
      <c r="P1117" s="81">
        <f>IF('Ordenes_Odoo'!P1117="","",'Ordenes_Odoo'!P1117)</f>
        <v/>
      </c>
      <c r="Q1117" s="79">
        <f>IF(A1117="","",IFERROR(INDEX(Facturas_Odoo!$B:$B, MATCH(A1117, Facturas_Odoo!$D:$D, 0)), "Sin Factura"))</f>
        <v/>
      </c>
      <c r="R1117" s="80">
        <f>IF(Q1117="Sin Factura","",IFERROR(INDEX(Facturas_Odoo!$A:$A, MATCH(Q1117, Facturas_Odoo!$B:$B, 0)), ""))</f>
        <v/>
      </c>
      <c r="S1117" s="79">
        <f>IF(Q1117="Sin Factura","",IFERROR(_xlfn.XLOOKUP(1, (Facturas_Odoo!$D:$D=A1117) * (Facturas_Odoo!$K:$K=I1117), Facturas_Odoo!$L:$L, ""), ""))</f>
        <v/>
      </c>
      <c r="T1117" s="81">
        <f>IF(Q1117="Sin Factura",0,IFERROR(_xlfn.XLOOKUP(1, (Facturas_Odoo!$D:$D=A1117) * (Facturas_Odoo!$K:$K=I1117), Facturas_Odoo!$M:$M, 0), 0))</f>
        <v/>
      </c>
      <c r="U1117" s="79">
        <f>IF(Q1117="Sin Factura",0,IFERROR(_xlfn.XLOOKUP(1, (Facturas_Odoo!$D:$D=A1117) * (Facturas_Odoo!$K:$K=I1117), Facturas_Odoo!$N:$N, 0), 0))</f>
        <v/>
      </c>
      <c r="V1117" s="79">
        <f>IF(Q1117="Sin Factura",0,IFERROR(_xlfn.XLOOKUP(1, (Facturas_Odoo!$D:$D=A1117) * (Facturas_Odoo!$K:$K=I1117), Facturas_Odoo!$O:$O, 0), 0))</f>
        <v/>
      </c>
      <c r="W1117" s="81">
        <f>IF(Q1117="Sin Factura",0,IFERROR(_xlfn.XLOOKUP(1, (Facturas_Odoo!$D:$D=A1117) * (Facturas_Odoo!$K:$K=I1117), Facturas_Odoo!$Q:$Q, 0), 0))</f>
        <v/>
      </c>
      <c r="X1117" s="79">
        <f>IF(OR(Q1117="Sin Factura",Q1117=""),"",IFERROR(INDEX(Pagos_Odoo!$B:$B, MATCH(Q1117, Pagos_Odoo!$I:$I, 0)), "Sin Pago"))</f>
        <v/>
      </c>
      <c r="Y1117" s="79">
        <f>IF(X1117="Sin Pago","",IFERROR(INDEX(Pagos_Odoo!$C:$C, MATCH(X1117, Pagos_Odoo!$B:$B, 0)), ""))</f>
        <v/>
      </c>
      <c r="Z1117" s="80">
        <f>IF(X1117="Sin Pago","",IFERROR(INDEX(Pagos_Odoo!$A:$A, MATCH(X1117, Pagos_Odoo!$B:$B, 0)), ""))</f>
        <v/>
      </c>
      <c r="AA1117" s="79">
        <f>IF(X1117="Sin Pago","",IFERROR(INDEX(Pagos_Odoo!$F:$F, MATCH(X1117, Pagos_Odoo!$B:$B, 0)), ""))</f>
        <v/>
      </c>
      <c r="AB1117" s="81">
        <f>IF(X1117="Sin Pago",0,IFERROR(INDEX(Pagos_Odoo!$E:$E, MATCH(X1117, Pagos_Odoo!$B:$B, 0)), 0))</f>
        <v/>
      </c>
      <c r="AC1117" s="79">
        <f>IF(X1117="Sin Pago","",IFERROR(INDEX(Pagos_Odoo!$G:$G, MATCH(X1117, Pagos_Odoo!$B:$B, 0)), ""))</f>
        <v/>
      </c>
      <c r="AD1117" s="82" t="n">
        <v>0</v>
      </c>
      <c r="AE1117" s="82" t="n"/>
      <c r="AF1117" s="82" t="n"/>
      <c r="AG1117" s="82">
        <f>IF(AN1117="","",AD1117+AE1117+AF1117)</f>
        <v/>
      </c>
      <c r="AH1117" s="81">
        <f>IF(AN1117="","",P1117*(1-AG1117))</f>
        <v/>
      </c>
      <c r="AI1117" s="81">
        <f>IF(AN1117="","",IF(Q1117="Sin Factura",0,IFERROR(INDEX(Facturas_Odoo!$H:$H, MATCH(Q1117, Facturas_Odoo!$B:$B, 0)), 0)*(1-AG1117)))</f>
        <v/>
      </c>
      <c r="AJ1117" s="81">
        <f>IF(AN1117="","",_xlfn.LET(idVenta, AN1117&amp;"",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17" s="81">
        <f>IF(AN1117="","",AH1117-AJ1117)</f>
        <v/>
      </c>
      <c r="AL1117" s="81">
        <f>IF(AN1117="","",IF(Q1117="Sin Factura","",AI1117-AJ1117))</f>
        <v/>
      </c>
      <c r="AM1117" s="81">
        <f>IF(AN1117="","",IF(Q1117="Sin Factura",0,P1117-IFERROR(INDEX(Facturas_Odoo!$H:$H, MATCH(Q1117, Facturas_Odoo!$B:$B, 0)), 0)))</f>
        <v/>
      </c>
      <c r="AN1117" s="79">
        <f>IF(AND(A1117="", J1117=""), "", IF(A1117&lt;&gt;"", VALUE(MID(A1117,2,LEN(A1117))), AN1116))</f>
        <v/>
      </c>
      <c r="AO1117" s="79">
        <f>IF(AN1117="","",IF(AD1117=0,"OK",_xlfn.LET(monedaPago, IF(AA1117="","USD",AA1117), limitePermitido, IFERROR(VLOOKUP(monedaPago, Configuración!$A$2:$B$3, 2, FALSE), 0.15), IF(AD1117&gt;limitePermitido, "ALERTA: EXCESO (" &amp; TEXT(limitePermitido, "0%") &amp; " máx)", "OK"))))</f>
        <v/>
      </c>
      <c r="AP1117" s="79">
        <f>IF(AN1117="","",IF(AE1117=0,"OK",_xlfn.LET(fechaPago, Z1117, fechaFactura, R1117, diasCredito, IF(E1117="Pago inmediato", 0, IFERROR(VALUE(MID(E1117, 1, SEARCH(" ", E1117)-1)),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17" s="79">
        <f>IF(AN1117="","",IF(AND(N1117&gt;0, AG1117&gt;0), IF(Configuración!$K$2="NO", "ALERTA: DESCUENTO DOBLE NO PERMITIDO", "OK"), "OK"))</f>
        <v/>
      </c>
      <c r="AR1117" s="79">
        <f>IF(AN1117="","",IF(OR(AO1117&lt;&gt;"OK", AP1117&lt;&gt;"OK", AQ1117&lt;&gt;"OK"), "⚠️ REVISAR", "OK"))</f>
        <v/>
      </c>
    </row>
    <row r="1118">
      <c r="A1118" s="79">
        <f>IF('Ordenes_Odoo'!A1118="","",'Ordenes_Odoo'!A1118)</f>
        <v/>
      </c>
      <c r="B1118" s="80">
        <f>IF('Ordenes_Odoo'!B1118="","",'Ordenes_Odoo'!B1118)</f>
        <v/>
      </c>
      <c r="C1118" s="79">
        <f>IF('Ordenes_Odoo'!C1118="","",'Ordenes_Odoo'!C1118)</f>
        <v/>
      </c>
      <c r="D1118" s="79">
        <f>IF('Ordenes_Odoo'!D1118="","",'Ordenes_Odoo'!D1118)</f>
        <v/>
      </c>
      <c r="E1118" s="79">
        <f>IF('Ordenes_Odoo'!E1118="","",'Ordenes_Odoo'!E1118)</f>
        <v/>
      </c>
      <c r="F1118" s="79">
        <f>IF('Ordenes_Odoo'!F1118="","",'Ordenes_Odoo'!F1118)</f>
        <v/>
      </c>
      <c r="G1118" s="79">
        <f>IF('Ordenes_Odoo'!G1118="","",'Ordenes_Odoo'!G1118)</f>
        <v/>
      </c>
      <c r="H1118" s="79">
        <f>IF('Ordenes_Odoo'!H1118="","",'Ordenes_Odoo'!H1118)</f>
        <v/>
      </c>
      <c r="I1118" s="79">
        <f>IF('Ordenes_Odoo'!I1118="","",'Ordenes_Odoo'!I1118)</f>
        <v/>
      </c>
      <c r="J1118" s="79">
        <f>IF('Ordenes_Odoo'!J1118="","",'Ordenes_Odoo'!J1118)</f>
        <v/>
      </c>
      <c r="K1118" s="81">
        <f>IF('Ordenes_Odoo'!K1118="","",'Ordenes_Odoo'!K1118)</f>
        <v/>
      </c>
      <c r="L1118" s="81">
        <f>IF('Ordenes_Odoo'!L1118="","",'Ordenes_Odoo'!L1118)</f>
        <v/>
      </c>
      <c r="M1118" s="79">
        <f>IF('Ordenes_Odoo'!M1118="","",'Ordenes_Odoo'!M1118)</f>
        <v/>
      </c>
      <c r="N1118" s="79">
        <f>IF('Ordenes_Odoo'!N1118="","",'Ordenes_Odoo'!N1118)</f>
        <v/>
      </c>
      <c r="O1118" s="81">
        <f>IF('Ordenes_Odoo'!O1118="","",'Ordenes_Odoo'!O1118)</f>
        <v/>
      </c>
      <c r="P1118" s="81">
        <f>IF('Ordenes_Odoo'!P1118="","",'Ordenes_Odoo'!P1118)</f>
        <v/>
      </c>
      <c r="Q1118" s="79">
        <f>IF(A1118="","",IFERROR(INDEX(Facturas_Odoo!$B:$B, MATCH(A1118, Facturas_Odoo!$D:$D, 0)), "Sin Factura"))</f>
        <v/>
      </c>
      <c r="R1118" s="80">
        <f>IF(Q1118="Sin Factura","",IFERROR(INDEX(Facturas_Odoo!$A:$A, MATCH(Q1118, Facturas_Odoo!$B:$B, 0)), ""))</f>
        <v/>
      </c>
      <c r="S1118" s="79">
        <f>IF(Q1118="Sin Factura","",IFERROR(_xlfn.XLOOKUP(1, (Facturas_Odoo!$D:$D=A1118) * (Facturas_Odoo!$K:$K=I1118), Facturas_Odoo!$L:$L, ""), ""))</f>
        <v/>
      </c>
      <c r="T1118" s="81">
        <f>IF(Q1118="Sin Factura",0,IFERROR(_xlfn.XLOOKUP(1, (Facturas_Odoo!$D:$D=A1118) * (Facturas_Odoo!$K:$K=I1118), Facturas_Odoo!$M:$M, 0), 0))</f>
        <v/>
      </c>
      <c r="U1118" s="79">
        <f>IF(Q1118="Sin Factura",0,IFERROR(_xlfn.XLOOKUP(1, (Facturas_Odoo!$D:$D=A1118) * (Facturas_Odoo!$K:$K=I1118), Facturas_Odoo!$N:$N, 0), 0))</f>
        <v/>
      </c>
      <c r="V1118" s="79">
        <f>IF(Q1118="Sin Factura",0,IFERROR(_xlfn.XLOOKUP(1, (Facturas_Odoo!$D:$D=A1118) * (Facturas_Odoo!$K:$K=I1118), Facturas_Odoo!$O:$O, 0), 0))</f>
        <v/>
      </c>
      <c r="W1118" s="81">
        <f>IF(Q1118="Sin Factura",0,IFERROR(_xlfn.XLOOKUP(1, (Facturas_Odoo!$D:$D=A1118) * (Facturas_Odoo!$K:$K=I1118), Facturas_Odoo!$Q:$Q, 0), 0))</f>
        <v/>
      </c>
      <c r="X1118" s="79">
        <f>IF(OR(Q1118="Sin Factura",Q1118=""),"",IFERROR(INDEX(Pagos_Odoo!$B:$B, MATCH(Q1118, Pagos_Odoo!$I:$I, 0)), "Sin Pago"))</f>
        <v/>
      </c>
      <c r="Y1118" s="79">
        <f>IF(X1118="Sin Pago","",IFERROR(INDEX(Pagos_Odoo!$C:$C, MATCH(X1118, Pagos_Odoo!$B:$B, 0)), ""))</f>
        <v/>
      </c>
      <c r="Z1118" s="80">
        <f>IF(X1118="Sin Pago","",IFERROR(INDEX(Pagos_Odoo!$A:$A, MATCH(X1118, Pagos_Odoo!$B:$B, 0)), ""))</f>
        <v/>
      </c>
      <c r="AA1118" s="79">
        <f>IF(X1118="Sin Pago","",IFERROR(INDEX(Pagos_Odoo!$F:$F, MATCH(X1118, Pagos_Odoo!$B:$B, 0)), ""))</f>
        <v/>
      </c>
      <c r="AB1118" s="81">
        <f>IF(X1118="Sin Pago",0,IFERROR(INDEX(Pagos_Odoo!$E:$E, MATCH(X1118, Pagos_Odoo!$B:$B, 0)), 0))</f>
        <v/>
      </c>
      <c r="AC1118" s="79">
        <f>IF(X1118="Sin Pago","",IFERROR(INDEX(Pagos_Odoo!$G:$G, MATCH(X1118, Pagos_Odoo!$B:$B, 0)), ""))</f>
        <v/>
      </c>
      <c r="AD1118" s="82" t="n">
        <v>0</v>
      </c>
      <c r="AE1118" s="82" t="n"/>
      <c r="AF1118" s="82" t="n"/>
      <c r="AG1118" s="82">
        <f>IF(AN1118="","",AD1118+AE1118+AF1118)</f>
        <v/>
      </c>
      <c r="AH1118" s="81">
        <f>IF(AN1118="","",P1118*(1-AG1118))</f>
        <v/>
      </c>
      <c r="AI1118" s="81">
        <f>IF(AN1118="","",IF(Q1118="Sin Factura",0,IFERROR(INDEX(Facturas_Odoo!$H:$H, MATCH(Q1118, Facturas_Odoo!$B:$B, 0)), 0)*(1-AG1118)))</f>
        <v/>
      </c>
      <c r="AJ1118" s="81">
        <f>IF(AN1118="","",_xlfn.LET(idVenta, AN1118&amp;"",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18" s="81">
        <f>IF(AN1118="","",AH1118-AJ1118)</f>
        <v/>
      </c>
      <c r="AL1118" s="81">
        <f>IF(AN1118="","",IF(Q1118="Sin Factura","",AI1118-AJ1118))</f>
        <v/>
      </c>
      <c r="AM1118" s="81">
        <f>IF(AN1118="","",IF(Q1118="Sin Factura",0,P1118-IFERROR(INDEX(Facturas_Odoo!$H:$H, MATCH(Q1118, Facturas_Odoo!$B:$B, 0)), 0)))</f>
        <v/>
      </c>
      <c r="AN1118" s="79">
        <f>IF(AND(A1118="", J1118=""), "", IF(A1118&lt;&gt;"", VALUE(MID(A1118,2,LEN(A1118))), AN1117))</f>
        <v/>
      </c>
      <c r="AO1118" s="79">
        <f>IF(AN1118="","",IF(AD1118=0,"OK",_xlfn.LET(monedaPago, IF(AA1118="","USD",AA1118), limitePermitido, IFERROR(VLOOKUP(monedaPago, Configuración!$A$2:$B$3, 2, FALSE), 0.15), IF(AD1118&gt;limitePermitido, "ALERTA: EXCESO (" &amp; TEXT(limitePermitido, "0%") &amp; " máx)", "OK"))))</f>
        <v/>
      </c>
      <c r="AP1118" s="79">
        <f>IF(AN1118="","",IF(AE1118=0,"OK",_xlfn.LET(fechaPago, Z1118, fechaFactura, R1118, diasCredito, IF(E1118="Pago inmediato", 0, IFERROR(VALUE(MID(E1118, 1, SEARCH(" ", E1118)-1)),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18" s="79">
        <f>IF(AN1118="","",IF(AND(N1118&gt;0, AG1118&gt;0), IF(Configuración!$K$2="NO", "ALERTA: DESCUENTO DOBLE NO PERMITIDO", "OK"), "OK"))</f>
        <v/>
      </c>
      <c r="AR1118" s="79">
        <f>IF(AN1118="","",IF(OR(AO1118&lt;&gt;"OK", AP1118&lt;&gt;"OK", AQ1118&lt;&gt;"OK"), "⚠️ REVISAR", "OK"))</f>
        <v/>
      </c>
    </row>
    <row r="1119">
      <c r="A1119" s="79">
        <f>IF('Ordenes_Odoo'!A1119="","",'Ordenes_Odoo'!A1119)</f>
        <v/>
      </c>
      <c r="B1119" s="80">
        <f>IF('Ordenes_Odoo'!B1119="","",'Ordenes_Odoo'!B1119)</f>
        <v/>
      </c>
      <c r="C1119" s="79">
        <f>IF('Ordenes_Odoo'!C1119="","",'Ordenes_Odoo'!C1119)</f>
        <v/>
      </c>
      <c r="D1119" s="79">
        <f>IF('Ordenes_Odoo'!D1119="","",'Ordenes_Odoo'!D1119)</f>
        <v/>
      </c>
      <c r="E1119" s="79">
        <f>IF('Ordenes_Odoo'!E1119="","",'Ordenes_Odoo'!E1119)</f>
        <v/>
      </c>
      <c r="F1119" s="79">
        <f>IF('Ordenes_Odoo'!F1119="","",'Ordenes_Odoo'!F1119)</f>
        <v/>
      </c>
      <c r="G1119" s="79">
        <f>IF('Ordenes_Odoo'!G1119="","",'Ordenes_Odoo'!G1119)</f>
        <v/>
      </c>
      <c r="H1119" s="79">
        <f>IF('Ordenes_Odoo'!H1119="","",'Ordenes_Odoo'!H1119)</f>
        <v/>
      </c>
      <c r="I1119" s="79">
        <f>IF('Ordenes_Odoo'!I1119="","",'Ordenes_Odoo'!I1119)</f>
        <v/>
      </c>
      <c r="J1119" s="79">
        <f>IF('Ordenes_Odoo'!J1119="","",'Ordenes_Odoo'!J1119)</f>
        <v/>
      </c>
      <c r="K1119" s="81">
        <f>IF('Ordenes_Odoo'!K1119="","",'Ordenes_Odoo'!K1119)</f>
        <v/>
      </c>
      <c r="L1119" s="81">
        <f>IF('Ordenes_Odoo'!L1119="","",'Ordenes_Odoo'!L1119)</f>
        <v/>
      </c>
      <c r="M1119" s="79">
        <f>IF('Ordenes_Odoo'!M1119="","",'Ordenes_Odoo'!M1119)</f>
        <v/>
      </c>
      <c r="N1119" s="79">
        <f>IF('Ordenes_Odoo'!N1119="","",'Ordenes_Odoo'!N1119)</f>
        <v/>
      </c>
      <c r="O1119" s="81">
        <f>IF('Ordenes_Odoo'!O1119="","",'Ordenes_Odoo'!O1119)</f>
        <v/>
      </c>
      <c r="P1119" s="81">
        <f>IF('Ordenes_Odoo'!P1119="","",'Ordenes_Odoo'!P1119)</f>
        <v/>
      </c>
      <c r="Q1119" s="79">
        <f>IF(A1119="","",IFERROR(INDEX(Facturas_Odoo!$B:$B, MATCH(A1119, Facturas_Odoo!$D:$D, 0)), "Sin Factura"))</f>
        <v/>
      </c>
      <c r="R1119" s="80">
        <f>IF(Q1119="Sin Factura","",IFERROR(INDEX(Facturas_Odoo!$A:$A, MATCH(Q1119, Facturas_Odoo!$B:$B, 0)), ""))</f>
        <v/>
      </c>
      <c r="S1119" s="79">
        <f>IF(Q1119="Sin Factura","",IFERROR(_xlfn.XLOOKUP(1, (Facturas_Odoo!$D:$D=A1119) * (Facturas_Odoo!$K:$K=I1119), Facturas_Odoo!$L:$L, ""), ""))</f>
        <v/>
      </c>
      <c r="T1119" s="81">
        <f>IF(Q1119="Sin Factura",0,IFERROR(_xlfn.XLOOKUP(1, (Facturas_Odoo!$D:$D=A1119) * (Facturas_Odoo!$K:$K=I1119), Facturas_Odoo!$M:$M, 0), 0))</f>
        <v/>
      </c>
      <c r="U1119" s="79">
        <f>IF(Q1119="Sin Factura",0,IFERROR(_xlfn.XLOOKUP(1, (Facturas_Odoo!$D:$D=A1119) * (Facturas_Odoo!$K:$K=I1119), Facturas_Odoo!$N:$N, 0), 0))</f>
        <v/>
      </c>
      <c r="V1119" s="79">
        <f>IF(Q1119="Sin Factura",0,IFERROR(_xlfn.XLOOKUP(1, (Facturas_Odoo!$D:$D=A1119) * (Facturas_Odoo!$K:$K=I1119), Facturas_Odoo!$O:$O, 0), 0))</f>
        <v/>
      </c>
      <c r="W1119" s="81">
        <f>IF(Q1119="Sin Factura",0,IFERROR(_xlfn.XLOOKUP(1, (Facturas_Odoo!$D:$D=A1119) * (Facturas_Odoo!$K:$K=I1119), Facturas_Odoo!$Q:$Q, 0), 0))</f>
        <v/>
      </c>
      <c r="X1119" s="79">
        <f>IF(OR(Q1119="Sin Factura",Q1119=""),"",IFERROR(INDEX(Pagos_Odoo!$B:$B, MATCH(Q1119, Pagos_Odoo!$I:$I, 0)), "Sin Pago"))</f>
        <v/>
      </c>
      <c r="Y1119" s="79">
        <f>IF(X1119="Sin Pago","",IFERROR(INDEX(Pagos_Odoo!$C:$C, MATCH(X1119, Pagos_Odoo!$B:$B, 0)), ""))</f>
        <v/>
      </c>
      <c r="Z1119" s="80">
        <f>IF(X1119="Sin Pago","",IFERROR(INDEX(Pagos_Odoo!$A:$A, MATCH(X1119, Pagos_Odoo!$B:$B, 0)), ""))</f>
        <v/>
      </c>
      <c r="AA1119" s="79">
        <f>IF(X1119="Sin Pago","",IFERROR(INDEX(Pagos_Odoo!$F:$F, MATCH(X1119, Pagos_Odoo!$B:$B, 0)), ""))</f>
        <v/>
      </c>
      <c r="AB1119" s="81">
        <f>IF(X1119="Sin Pago",0,IFERROR(INDEX(Pagos_Odoo!$E:$E, MATCH(X1119, Pagos_Odoo!$B:$B, 0)), 0))</f>
        <v/>
      </c>
      <c r="AC1119" s="79">
        <f>IF(X1119="Sin Pago","",IFERROR(INDEX(Pagos_Odoo!$G:$G, MATCH(X1119, Pagos_Odoo!$B:$B, 0)), ""))</f>
        <v/>
      </c>
      <c r="AD1119" s="82" t="n">
        <v>0</v>
      </c>
      <c r="AE1119" s="82" t="n"/>
      <c r="AF1119" s="82" t="n"/>
      <c r="AG1119" s="82">
        <f>IF(AN1119="","",AD1119+AE1119+AF1119)</f>
        <v/>
      </c>
      <c r="AH1119" s="81">
        <f>IF(AN1119="","",P1119*(1-AG1119))</f>
        <v/>
      </c>
      <c r="AI1119" s="81">
        <f>IF(AN1119="","",IF(Q1119="Sin Factura",0,IFERROR(INDEX(Facturas_Odoo!$H:$H, MATCH(Q1119, Facturas_Odoo!$B:$B, 0)), 0)*(1-AG1119)))</f>
        <v/>
      </c>
      <c r="AJ1119" s="81">
        <f>IF(AN1119="","",_xlfn.LET(idVenta, AN1119&amp;"",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19" s="81">
        <f>IF(AN1119="","",AH1119-AJ1119)</f>
        <v/>
      </c>
      <c r="AL1119" s="81">
        <f>IF(AN1119="","",IF(Q1119="Sin Factura","",AI1119-AJ1119))</f>
        <v/>
      </c>
      <c r="AM1119" s="81">
        <f>IF(AN1119="","",IF(Q1119="Sin Factura",0,P1119-IFERROR(INDEX(Facturas_Odoo!$H:$H, MATCH(Q1119, Facturas_Odoo!$B:$B, 0)), 0)))</f>
        <v/>
      </c>
      <c r="AN1119" s="79">
        <f>IF(AND(A1119="", J1119=""), "", IF(A1119&lt;&gt;"", VALUE(MID(A1119,2,LEN(A1119))), AN1118))</f>
        <v/>
      </c>
      <c r="AO1119" s="79">
        <f>IF(AN1119="","",IF(AD1119=0,"OK",_xlfn.LET(monedaPago, IF(AA1119="","USD",AA1119), limitePermitido, IFERROR(VLOOKUP(monedaPago, Configuración!$A$2:$B$3, 2, FALSE), 0.15), IF(AD1119&gt;limitePermitido, "ALERTA: EXCESO (" &amp; TEXT(limitePermitido, "0%") &amp; " máx)", "OK"))))</f>
        <v/>
      </c>
      <c r="AP1119" s="79">
        <f>IF(AN1119="","",IF(AE1119=0,"OK",_xlfn.LET(fechaPago, Z1119, fechaFactura, R1119, diasCredito, IF(E1119="Pago inmediato", 0, IFERROR(VALUE(MID(E1119, 1, SEARCH(" ", E1119)-1)),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19" s="79">
        <f>IF(AN1119="","",IF(AND(N1119&gt;0, AG1119&gt;0), IF(Configuración!$K$2="NO", "ALERTA: DESCUENTO DOBLE NO PERMITIDO", "OK"), "OK"))</f>
        <v/>
      </c>
      <c r="AR1119" s="79">
        <f>IF(AN1119="","",IF(OR(AO1119&lt;&gt;"OK", AP1119&lt;&gt;"OK", AQ1119&lt;&gt;"OK"), "⚠️ REVISAR", "OK"))</f>
        <v/>
      </c>
    </row>
    <row r="1120">
      <c r="A1120" s="79">
        <f>IF('Ordenes_Odoo'!A1120="","",'Ordenes_Odoo'!A1120)</f>
        <v/>
      </c>
      <c r="B1120" s="80">
        <f>IF('Ordenes_Odoo'!B1120="","",'Ordenes_Odoo'!B1120)</f>
        <v/>
      </c>
      <c r="C1120" s="79">
        <f>IF('Ordenes_Odoo'!C1120="","",'Ordenes_Odoo'!C1120)</f>
        <v/>
      </c>
      <c r="D1120" s="79">
        <f>IF('Ordenes_Odoo'!D1120="","",'Ordenes_Odoo'!D1120)</f>
        <v/>
      </c>
      <c r="E1120" s="79">
        <f>IF('Ordenes_Odoo'!E1120="","",'Ordenes_Odoo'!E1120)</f>
        <v/>
      </c>
      <c r="F1120" s="79">
        <f>IF('Ordenes_Odoo'!F1120="","",'Ordenes_Odoo'!F1120)</f>
        <v/>
      </c>
      <c r="G1120" s="79">
        <f>IF('Ordenes_Odoo'!G1120="","",'Ordenes_Odoo'!G1120)</f>
        <v/>
      </c>
      <c r="H1120" s="79">
        <f>IF('Ordenes_Odoo'!H1120="","",'Ordenes_Odoo'!H1120)</f>
        <v/>
      </c>
      <c r="I1120" s="79">
        <f>IF('Ordenes_Odoo'!I1120="","",'Ordenes_Odoo'!I1120)</f>
        <v/>
      </c>
      <c r="J1120" s="79">
        <f>IF('Ordenes_Odoo'!J1120="","",'Ordenes_Odoo'!J1120)</f>
        <v/>
      </c>
      <c r="K1120" s="81">
        <f>IF('Ordenes_Odoo'!K1120="","",'Ordenes_Odoo'!K1120)</f>
        <v/>
      </c>
      <c r="L1120" s="81">
        <f>IF('Ordenes_Odoo'!L1120="","",'Ordenes_Odoo'!L1120)</f>
        <v/>
      </c>
      <c r="M1120" s="79">
        <f>IF('Ordenes_Odoo'!M1120="","",'Ordenes_Odoo'!M1120)</f>
        <v/>
      </c>
      <c r="N1120" s="79">
        <f>IF('Ordenes_Odoo'!N1120="","",'Ordenes_Odoo'!N1120)</f>
        <v/>
      </c>
      <c r="O1120" s="81">
        <f>IF('Ordenes_Odoo'!O1120="","",'Ordenes_Odoo'!O1120)</f>
        <v/>
      </c>
      <c r="P1120" s="81">
        <f>IF('Ordenes_Odoo'!P1120="","",'Ordenes_Odoo'!P1120)</f>
        <v/>
      </c>
      <c r="Q1120" s="79">
        <f>IF(A1120="","",IFERROR(INDEX(Facturas_Odoo!$B:$B, MATCH(A1120, Facturas_Odoo!$D:$D, 0)), "Sin Factura"))</f>
        <v/>
      </c>
      <c r="R1120" s="80">
        <f>IF(Q1120="Sin Factura","",IFERROR(INDEX(Facturas_Odoo!$A:$A, MATCH(Q1120, Facturas_Odoo!$B:$B, 0)), ""))</f>
        <v/>
      </c>
      <c r="S1120" s="79">
        <f>IF(Q1120="Sin Factura","",IFERROR(_xlfn.XLOOKUP(1, (Facturas_Odoo!$D:$D=A1120) * (Facturas_Odoo!$K:$K=I1120), Facturas_Odoo!$L:$L, ""), ""))</f>
        <v/>
      </c>
      <c r="T1120" s="81">
        <f>IF(Q1120="Sin Factura",0,IFERROR(_xlfn.XLOOKUP(1, (Facturas_Odoo!$D:$D=A1120) * (Facturas_Odoo!$K:$K=I1120), Facturas_Odoo!$M:$M, 0), 0))</f>
        <v/>
      </c>
      <c r="U1120" s="79">
        <f>IF(Q1120="Sin Factura",0,IFERROR(_xlfn.XLOOKUP(1, (Facturas_Odoo!$D:$D=A1120) * (Facturas_Odoo!$K:$K=I1120), Facturas_Odoo!$N:$N, 0), 0))</f>
        <v/>
      </c>
      <c r="V1120" s="79">
        <f>IF(Q1120="Sin Factura",0,IFERROR(_xlfn.XLOOKUP(1, (Facturas_Odoo!$D:$D=A1120) * (Facturas_Odoo!$K:$K=I1120), Facturas_Odoo!$O:$O, 0), 0))</f>
        <v/>
      </c>
      <c r="W1120" s="81">
        <f>IF(Q1120="Sin Factura",0,IFERROR(_xlfn.XLOOKUP(1, (Facturas_Odoo!$D:$D=A1120) * (Facturas_Odoo!$K:$K=I1120), Facturas_Odoo!$Q:$Q, 0), 0))</f>
        <v/>
      </c>
      <c r="X1120" s="79">
        <f>IF(OR(Q1120="Sin Factura",Q1120=""),"",IFERROR(INDEX(Pagos_Odoo!$B:$B, MATCH(Q1120, Pagos_Odoo!$I:$I, 0)), "Sin Pago"))</f>
        <v/>
      </c>
      <c r="Y1120" s="79">
        <f>IF(X1120="Sin Pago","",IFERROR(INDEX(Pagos_Odoo!$C:$C, MATCH(X1120, Pagos_Odoo!$B:$B, 0)), ""))</f>
        <v/>
      </c>
      <c r="Z1120" s="80">
        <f>IF(X1120="Sin Pago","",IFERROR(INDEX(Pagos_Odoo!$A:$A, MATCH(X1120, Pagos_Odoo!$B:$B, 0)), ""))</f>
        <v/>
      </c>
      <c r="AA1120" s="79">
        <f>IF(X1120="Sin Pago","",IFERROR(INDEX(Pagos_Odoo!$F:$F, MATCH(X1120, Pagos_Odoo!$B:$B, 0)), ""))</f>
        <v/>
      </c>
      <c r="AB1120" s="81">
        <f>IF(X1120="Sin Pago",0,IFERROR(INDEX(Pagos_Odoo!$E:$E, MATCH(X1120, Pagos_Odoo!$B:$B, 0)), 0))</f>
        <v/>
      </c>
      <c r="AC1120" s="79">
        <f>IF(X1120="Sin Pago","",IFERROR(INDEX(Pagos_Odoo!$G:$G, MATCH(X1120, Pagos_Odoo!$B:$B, 0)), ""))</f>
        <v/>
      </c>
      <c r="AD1120" s="82" t="n">
        <v>0</v>
      </c>
      <c r="AE1120" s="82" t="n"/>
      <c r="AF1120" s="82" t="n"/>
      <c r="AG1120" s="82">
        <f>IF(AN1120="","",AD1120+AE1120+AF1120)</f>
        <v/>
      </c>
      <c r="AH1120" s="81">
        <f>IF(AN1120="","",P1120*(1-AG1120))</f>
        <v/>
      </c>
      <c r="AI1120" s="81">
        <f>IF(AN1120="","",IF(Q1120="Sin Factura",0,IFERROR(INDEX(Facturas_Odoo!$H:$H, MATCH(Q1120, Facturas_Odoo!$B:$B, 0)), 0)*(1-AG1120)))</f>
        <v/>
      </c>
      <c r="AJ1120" s="81">
        <f>IF(AN1120="","",_xlfn.LET(idVenta, AN1120&amp;"",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20" s="81">
        <f>IF(AN1120="","",AH1120-AJ1120)</f>
        <v/>
      </c>
      <c r="AL1120" s="81">
        <f>IF(AN1120="","",IF(Q1120="Sin Factura","",AI1120-AJ1120))</f>
        <v/>
      </c>
      <c r="AM1120" s="81">
        <f>IF(AN1120="","",IF(Q1120="Sin Factura",0,P1120-IFERROR(INDEX(Facturas_Odoo!$H:$H, MATCH(Q1120, Facturas_Odoo!$B:$B, 0)), 0)))</f>
        <v/>
      </c>
      <c r="AN1120" s="79">
        <f>IF(AND(A1120="", J1120=""), "", IF(A1120&lt;&gt;"", VALUE(MID(A1120,2,LEN(A1120))), AN1119))</f>
        <v/>
      </c>
      <c r="AO1120" s="79">
        <f>IF(AN1120="","",IF(AD1120=0,"OK",_xlfn.LET(monedaPago, IF(AA1120="","USD",AA1120), limitePermitido, IFERROR(VLOOKUP(monedaPago, Configuración!$A$2:$B$3, 2, FALSE), 0.15), IF(AD1120&gt;limitePermitido, "ALERTA: EXCESO (" &amp; TEXT(limitePermitido, "0%") &amp; " máx)", "OK"))))</f>
        <v/>
      </c>
      <c r="AP1120" s="79">
        <f>IF(AN1120="","",IF(AE1120=0,"OK",_xlfn.LET(fechaPago, Z1120, fechaFactura, R1120, diasCredito, IF(E1120="Pago inmediato", 0, IFERROR(VALUE(MID(E1120, 1, SEARCH(" ", E1120)-1)),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20" s="79">
        <f>IF(AN1120="","",IF(AND(N1120&gt;0, AG1120&gt;0), IF(Configuración!$K$2="NO", "ALERTA: DESCUENTO DOBLE NO PERMITIDO", "OK"), "OK"))</f>
        <v/>
      </c>
      <c r="AR1120" s="79">
        <f>IF(AN1120="","",IF(OR(AO1120&lt;&gt;"OK", AP1120&lt;&gt;"OK", AQ1120&lt;&gt;"OK"), "⚠️ REVISAR", "OK"))</f>
        <v/>
      </c>
    </row>
    <row r="1121">
      <c r="A1121" s="79">
        <f>IF('Ordenes_Odoo'!A1121="","",'Ordenes_Odoo'!A1121)</f>
        <v/>
      </c>
      <c r="B1121" s="80">
        <f>IF('Ordenes_Odoo'!B1121="","",'Ordenes_Odoo'!B1121)</f>
        <v/>
      </c>
      <c r="C1121" s="79">
        <f>IF('Ordenes_Odoo'!C1121="","",'Ordenes_Odoo'!C1121)</f>
        <v/>
      </c>
      <c r="D1121" s="79">
        <f>IF('Ordenes_Odoo'!D1121="","",'Ordenes_Odoo'!D1121)</f>
        <v/>
      </c>
      <c r="E1121" s="79">
        <f>IF('Ordenes_Odoo'!E1121="","",'Ordenes_Odoo'!E1121)</f>
        <v/>
      </c>
      <c r="F1121" s="79">
        <f>IF('Ordenes_Odoo'!F1121="","",'Ordenes_Odoo'!F1121)</f>
        <v/>
      </c>
      <c r="G1121" s="79">
        <f>IF('Ordenes_Odoo'!G1121="","",'Ordenes_Odoo'!G1121)</f>
        <v/>
      </c>
      <c r="H1121" s="79">
        <f>IF('Ordenes_Odoo'!H1121="","",'Ordenes_Odoo'!H1121)</f>
        <v/>
      </c>
      <c r="I1121" s="79">
        <f>IF('Ordenes_Odoo'!I1121="","",'Ordenes_Odoo'!I1121)</f>
        <v/>
      </c>
      <c r="J1121" s="79">
        <f>IF('Ordenes_Odoo'!J1121="","",'Ordenes_Odoo'!J1121)</f>
        <v/>
      </c>
      <c r="K1121" s="81">
        <f>IF('Ordenes_Odoo'!K1121="","",'Ordenes_Odoo'!K1121)</f>
        <v/>
      </c>
      <c r="L1121" s="81">
        <f>IF('Ordenes_Odoo'!L1121="","",'Ordenes_Odoo'!L1121)</f>
        <v/>
      </c>
      <c r="M1121" s="79">
        <f>IF('Ordenes_Odoo'!M1121="","",'Ordenes_Odoo'!M1121)</f>
        <v/>
      </c>
      <c r="N1121" s="79">
        <f>IF('Ordenes_Odoo'!N1121="","",'Ordenes_Odoo'!N1121)</f>
        <v/>
      </c>
      <c r="O1121" s="81">
        <f>IF('Ordenes_Odoo'!O1121="","",'Ordenes_Odoo'!O1121)</f>
        <v/>
      </c>
      <c r="P1121" s="81">
        <f>IF('Ordenes_Odoo'!P1121="","",'Ordenes_Odoo'!P1121)</f>
        <v/>
      </c>
      <c r="Q1121" s="79">
        <f>IF(A1121="","",IFERROR(INDEX(Facturas_Odoo!$B:$B, MATCH(A1121, Facturas_Odoo!$D:$D, 0)), "Sin Factura"))</f>
        <v/>
      </c>
      <c r="R1121" s="80">
        <f>IF(Q1121="Sin Factura","",IFERROR(INDEX(Facturas_Odoo!$A:$A, MATCH(Q1121, Facturas_Odoo!$B:$B, 0)), ""))</f>
        <v/>
      </c>
      <c r="S1121" s="79">
        <f>IF(Q1121="Sin Factura","",IFERROR(_xlfn.XLOOKUP(1, (Facturas_Odoo!$D:$D=A1121) * (Facturas_Odoo!$K:$K=I1121), Facturas_Odoo!$L:$L, ""), ""))</f>
        <v/>
      </c>
      <c r="T1121" s="81">
        <f>IF(Q1121="Sin Factura",0,IFERROR(_xlfn.XLOOKUP(1, (Facturas_Odoo!$D:$D=A1121) * (Facturas_Odoo!$K:$K=I1121), Facturas_Odoo!$M:$M, 0), 0))</f>
        <v/>
      </c>
      <c r="U1121" s="79">
        <f>IF(Q1121="Sin Factura",0,IFERROR(_xlfn.XLOOKUP(1, (Facturas_Odoo!$D:$D=A1121) * (Facturas_Odoo!$K:$K=I1121), Facturas_Odoo!$N:$N, 0), 0))</f>
        <v/>
      </c>
      <c r="V1121" s="79">
        <f>IF(Q1121="Sin Factura",0,IFERROR(_xlfn.XLOOKUP(1, (Facturas_Odoo!$D:$D=A1121) * (Facturas_Odoo!$K:$K=I1121), Facturas_Odoo!$O:$O, 0), 0))</f>
        <v/>
      </c>
      <c r="W1121" s="81">
        <f>IF(Q1121="Sin Factura",0,IFERROR(_xlfn.XLOOKUP(1, (Facturas_Odoo!$D:$D=A1121) * (Facturas_Odoo!$K:$K=I1121), Facturas_Odoo!$Q:$Q, 0), 0))</f>
        <v/>
      </c>
      <c r="X1121" s="79">
        <f>IF(OR(Q1121="Sin Factura",Q1121=""),"",IFERROR(INDEX(Pagos_Odoo!$B:$B, MATCH(Q1121, Pagos_Odoo!$I:$I, 0)), "Sin Pago"))</f>
        <v/>
      </c>
      <c r="Y1121" s="79">
        <f>IF(X1121="Sin Pago","",IFERROR(INDEX(Pagos_Odoo!$C:$C, MATCH(X1121, Pagos_Odoo!$B:$B, 0)), ""))</f>
        <v/>
      </c>
      <c r="Z1121" s="80">
        <f>IF(X1121="Sin Pago","",IFERROR(INDEX(Pagos_Odoo!$A:$A, MATCH(X1121, Pagos_Odoo!$B:$B, 0)), ""))</f>
        <v/>
      </c>
      <c r="AA1121" s="79">
        <f>IF(X1121="Sin Pago","",IFERROR(INDEX(Pagos_Odoo!$F:$F, MATCH(X1121, Pagos_Odoo!$B:$B, 0)), ""))</f>
        <v/>
      </c>
      <c r="AB1121" s="81">
        <f>IF(X1121="Sin Pago",0,IFERROR(INDEX(Pagos_Odoo!$E:$E, MATCH(X1121, Pagos_Odoo!$B:$B, 0)), 0))</f>
        <v/>
      </c>
      <c r="AC1121" s="79">
        <f>IF(X1121="Sin Pago","",IFERROR(INDEX(Pagos_Odoo!$G:$G, MATCH(X1121, Pagos_Odoo!$B:$B, 0)), ""))</f>
        <v/>
      </c>
      <c r="AD1121" s="82" t="n">
        <v>0</v>
      </c>
      <c r="AE1121" s="82" t="n"/>
      <c r="AF1121" s="82" t="n"/>
      <c r="AG1121" s="82">
        <f>IF(AN1121="","",AD1121+AE1121+AF1121)</f>
        <v/>
      </c>
      <c r="AH1121" s="81">
        <f>IF(AN1121="","",P1121*(1-AG1121))</f>
        <v/>
      </c>
      <c r="AI1121" s="81">
        <f>IF(AN1121="","",IF(Q1121="Sin Factura",0,IFERROR(INDEX(Facturas_Odoo!$H:$H, MATCH(Q1121, Facturas_Odoo!$B:$B, 0)), 0)*(1-AG1121)))</f>
        <v/>
      </c>
      <c r="AJ1121" s="81">
        <f>IF(AN1121="","",_xlfn.LET(idVenta, AN1121&amp;"",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21" s="81">
        <f>IF(AN1121="","",AH1121-AJ1121)</f>
        <v/>
      </c>
      <c r="AL1121" s="81">
        <f>IF(AN1121="","",IF(Q1121="Sin Factura","",AI1121-AJ1121))</f>
        <v/>
      </c>
      <c r="AM1121" s="81">
        <f>IF(AN1121="","",IF(Q1121="Sin Factura",0,P1121-IFERROR(INDEX(Facturas_Odoo!$H:$H, MATCH(Q1121, Facturas_Odoo!$B:$B, 0)), 0)))</f>
        <v/>
      </c>
      <c r="AN1121" s="79">
        <f>IF(AND(A1121="", J1121=""), "", IF(A1121&lt;&gt;"", VALUE(MID(A1121,2,LEN(A1121))), AN1120))</f>
        <v/>
      </c>
      <c r="AO1121" s="79">
        <f>IF(AN1121="","",IF(AD1121=0,"OK",_xlfn.LET(monedaPago, IF(AA1121="","USD",AA1121), limitePermitido, IFERROR(VLOOKUP(monedaPago, Configuración!$A$2:$B$3, 2, FALSE), 0.15), IF(AD1121&gt;limitePermitido, "ALERTA: EXCESO (" &amp; TEXT(limitePermitido, "0%") &amp; " máx)", "OK"))))</f>
        <v/>
      </c>
      <c r="AP1121" s="79">
        <f>IF(AN1121="","",IF(AE1121=0,"OK",_xlfn.LET(fechaPago, Z1121, fechaFactura, R1121, diasCredito, IF(E1121="Pago inmediato", 0, IFERROR(VALUE(MID(E1121, 1, SEARCH(" ", E1121)-1)),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21" s="79">
        <f>IF(AN1121="","",IF(AND(N1121&gt;0, AG1121&gt;0), IF(Configuración!$K$2="NO", "ALERTA: DESCUENTO DOBLE NO PERMITIDO", "OK"), "OK"))</f>
        <v/>
      </c>
      <c r="AR1121" s="79">
        <f>IF(AN1121="","",IF(OR(AO1121&lt;&gt;"OK", AP1121&lt;&gt;"OK", AQ1121&lt;&gt;"OK"), "⚠️ REVISAR", "OK"))</f>
        <v/>
      </c>
    </row>
    <row r="1122">
      <c r="A1122" s="79">
        <f>IF('Ordenes_Odoo'!A1122="","",'Ordenes_Odoo'!A1122)</f>
        <v/>
      </c>
      <c r="B1122" s="80">
        <f>IF('Ordenes_Odoo'!B1122="","",'Ordenes_Odoo'!B1122)</f>
        <v/>
      </c>
      <c r="C1122" s="79">
        <f>IF('Ordenes_Odoo'!C1122="","",'Ordenes_Odoo'!C1122)</f>
        <v/>
      </c>
      <c r="D1122" s="79">
        <f>IF('Ordenes_Odoo'!D1122="","",'Ordenes_Odoo'!D1122)</f>
        <v/>
      </c>
      <c r="E1122" s="79">
        <f>IF('Ordenes_Odoo'!E1122="","",'Ordenes_Odoo'!E1122)</f>
        <v/>
      </c>
      <c r="F1122" s="79">
        <f>IF('Ordenes_Odoo'!F1122="","",'Ordenes_Odoo'!F1122)</f>
        <v/>
      </c>
      <c r="G1122" s="79">
        <f>IF('Ordenes_Odoo'!G1122="","",'Ordenes_Odoo'!G1122)</f>
        <v/>
      </c>
      <c r="H1122" s="79">
        <f>IF('Ordenes_Odoo'!H1122="","",'Ordenes_Odoo'!H1122)</f>
        <v/>
      </c>
      <c r="I1122" s="79">
        <f>IF('Ordenes_Odoo'!I1122="","",'Ordenes_Odoo'!I1122)</f>
        <v/>
      </c>
      <c r="J1122" s="79">
        <f>IF('Ordenes_Odoo'!J1122="","",'Ordenes_Odoo'!J1122)</f>
        <v/>
      </c>
      <c r="K1122" s="81">
        <f>IF('Ordenes_Odoo'!K1122="","",'Ordenes_Odoo'!K1122)</f>
        <v/>
      </c>
      <c r="L1122" s="81">
        <f>IF('Ordenes_Odoo'!L1122="","",'Ordenes_Odoo'!L1122)</f>
        <v/>
      </c>
      <c r="M1122" s="79">
        <f>IF('Ordenes_Odoo'!M1122="","",'Ordenes_Odoo'!M1122)</f>
        <v/>
      </c>
      <c r="N1122" s="79">
        <f>IF('Ordenes_Odoo'!N1122="","",'Ordenes_Odoo'!N1122)</f>
        <v/>
      </c>
      <c r="O1122" s="81">
        <f>IF('Ordenes_Odoo'!O1122="","",'Ordenes_Odoo'!O1122)</f>
        <v/>
      </c>
      <c r="P1122" s="81">
        <f>IF('Ordenes_Odoo'!P1122="","",'Ordenes_Odoo'!P1122)</f>
        <v/>
      </c>
      <c r="Q1122" s="79">
        <f>IF(A1122="","",IFERROR(INDEX(Facturas_Odoo!$B:$B, MATCH(A1122, Facturas_Odoo!$D:$D, 0)), "Sin Factura"))</f>
        <v/>
      </c>
      <c r="R1122" s="80">
        <f>IF(Q1122="Sin Factura","",IFERROR(INDEX(Facturas_Odoo!$A:$A, MATCH(Q1122, Facturas_Odoo!$B:$B, 0)), ""))</f>
        <v/>
      </c>
      <c r="S1122" s="79">
        <f>IF(Q1122="Sin Factura","",IFERROR(_xlfn.XLOOKUP(1, (Facturas_Odoo!$D:$D=A1122) * (Facturas_Odoo!$K:$K=I1122), Facturas_Odoo!$L:$L, ""), ""))</f>
        <v/>
      </c>
      <c r="T1122" s="81">
        <f>IF(Q1122="Sin Factura",0,IFERROR(_xlfn.XLOOKUP(1, (Facturas_Odoo!$D:$D=A1122) * (Facturas_Odoo!$K:$K=I1122), Facturas_Odoo!$M:$M, 0), 0))</f>
        <v/>
      </c>
      <c r="U1122" s="79">
        <f>IF(Q1122="Sin Factura",0,IFERROR(_xlfn.XLOOKUP(1, (Facturas_Odoo!$D:$D=A1122) * (Facturas_Odoo!$K:$K=I1122), Facturas_Odoo!$N:$N, 0), 0))</f>
        <v/>
      </c>
      <c r="V1122" s="79">
        <f>IF(Q1122="Sin Factura",0,IFERROR(_xlfn.XLOOKUP(1, (Facturas_Odoo!$D:$D=A1122) * (Facturas_Odoo!$K:$K=I1122), Facturas_Odoo!$O:$O, 0), 0))</f>
        <v/>
      </c>
      <c r="W1122" s="81">
        <f>IF(Q1122="Sin Factura",0,IFERROR(_xlfn.XLOOKUP(1, (Facturas_Odoo!$D:$D=A1122) * (Facturas_Odoo!$K:$K=I1122), Facturas_Odoo!$Q:$Q, 0), 0))</f>
        <v/>
      </c>
      <c r="X1122" s="79">
        <f>IF(OR(Q1122="Sin Factura",Q1122=""),"",IFERROR(INDEX(Pagos_Odoo!$B:$B, MATCH(Q1122, Pagos_Odoo!$I:$I, 0)), "Sin Pago"))</f>
        <v/>
      </c>
      <c r="Y1122" s="79">
        <f>IF(X1122="Sin Pago","",IFERROR(INDEX(Pagos_Odoo!$C:$C, MATCH(X1122, Pagos_Odoo!$B:$B, 0)), ""))</f>
        <v/>
      </c>
      <c r="Z1122" s="80">
        <f>IF(X1122="Sin Pago","",IFERROR(INDEX(Pagos_Odoo!$A:$A, MATCH(X1122, Pagos_Odoo!$B:$B, 0)), ""))</f>
        <v/>
      </c>
      <c r="AA1122" s="79">
        <f>IF(X1122="Sin Pago","",IFERROR(INDEX(Pagos_Odoo!$F:$F, MATCH(X1122, Pagos_Odoo!$B:$B, 0)), ""))</f>
        <v/>
      </c>
      <c r="AB1122" s="81">
        <f>IF(X1122="Sin Pago",0,IFERROR(INDEX(Pagos_Odoo!$E:$E, MATCH(X1122, Pagos_Odoo!$B:$B, 0)), 0))</f>
        <v/>
      </c>
      <c r="AC1122" s="79">
        <f>IF(X1122="Sin Pago","",IFERROR(INDEX(Pagos_Odoo!$G:$G, MATCH(X1122, Pagos_Odoo!$B:$B, 0)), ""))</f>
        <v/>
      </c>
      <c r="AD1122" s="82" t="n">
        <v>0</v>
      </c>
      <c r="AE1122" s="82" t="n"/>
      <c r="AF1122" s="82" t="n"/>
      <c r="AG1122" s="82">
        <f>IF(AN1122="","",AD1122+AE1122+AF1122)</f>
        <v/>
      </c>
      <c r="AH1122" s="81">
        <f>IF(AN1122="","",P1122*(1-AG1122))</f>
        <v/>
      </c>
      <c r="AI1122" s="81">
        <f>IF(AN1122="","",IF(Q1122="Sin Factura",0,IFERROR(INDEX(Facturas_Odoo!$H:$H, MATCH(Q1122, Facturas_Odoo!$B:$B, 0)), 0)*(1-AG1122)))</f>
        <v/>
      </c>
      <c r="AJ1122" s="81">
        <f>IF(AN1122="","",_xlfn.LET(idVenta, AN1122&amp;"",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22" s="81">
        <f>IF(AN1122="","",AH1122-AJ1122)</f>
        <v/>
      </c>
      <c r="AL1122" s="81">
        <f>IF(AN1122="","",IF(Q1122="Sin Factura","",AI1122-AJ1122))</f>
        <v/>
      </c>
      <c r="AM1122" s="81">
        <f>IF(AN1122="","",IF(Q1122="Sin Factura",0,P1122-IFERROR(INDEX(Facturas_Odoo!$H:$H, MATCH(Q1122, Facturas_Odoo!$B:$B, 0)), 0)))</f>
        <v/>
      </c>
      <c r="AN1122" s="79">
        <f>IF(AND(A1122="", J1122=""), "", IF(A1122&lt;&gt;"", VALUE(MID(A1122,2,LEN(A1122))), AN1121))</f>
        <v/>
      </c>
      <c r="AO1122" s="79">
        <f>IF(AN1122="","",IF(AD1122=0,"OK",_xlfn.LET(monedaPago, IF(AA1122="","USD",AA1122), limitePermitido, IFERROR(VLOOKUP(monedaPago, Configuración!$A$2:$B$3, 2, FALSE), 0.15), IF(AD1122&gt;limitePermitido, "ALERTA: EXCESO (" &amp; TEXT(limitePermitido, "0%") &amp; " máx)", "OK"))))</f>
        <v/>
      </c>
      <c r="AP1122" s="79">
        <f>IF(AN1122="","",IF(AE1122=0,"OK",_xlfn.LET(fechaPago, Z1122, fechaFactura, R1122, diasCredito, IF(E1122="Pago inmediato", 0, IFERROR(VALUE(MID(E1122, 1, SEARCH(" ", E1122)-1)),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22" s="79">
        <f>IF(AN1122="","",IF(AND(N1122&gt;0, AG1122&gt;0), IF(Configuración!$K$2="NO", "ALERTA: DESCUENTO DOBLE NO PERMITIDO", "OK"), "OK"))</f>
        <v/>
      </c>
      <c r="AR1122" s="79">
        <f>IF(AN1122="","",IF(OR(AO1122&lt;&gt;"OK", AP1122&lt;&gt;"OK", AQ1122&lt;&gt;"OK"), "⚠️ REVISAR", "OK"))</f>
        <v/>
      </c>
    </row>
    <row r="1123">
      <c r="A1123" s="79">
        <f>IF('Ordenes_Odoo'!A1123="","",'Ordenes_Odoo'!A1123)</f>
        <v/>
      </c>
      <c r="B1123" s="80">
        <f>IF('Ordenes_Odoo'!B1123="","",'Ordenes_Odoo'!B1123)</f>
        <v/>
      </c>
      <c r="C1123" s="79">
        <f>IF('Ordenes_Odoo'!C1123="","",'Ordenes_Odoo'!C1123)</f>
        <v/>
      </c>
      <c r="D1123" s="79">
        <f>IF('Ordenes_Odoo'!D1123="","",'Ordenes_Odoo'!D1123)</f>
        <v/>
      </c>
      <c r="E1123" s="79">
        <f>IF('Ordenes_Odoo'!E1123="","",'Ordenes_Odoo'!E1123)</f>
        <v/>
      </c>
      <c r="F1123" s="79">
        <f>IF('Ordenes_Odoo'!F1123="","",'Ordenes_Odoo'!F1123)</f>
        <v/>
      </c>
      <c r="G1123" s="79">
        <f>IF('Ordenes_Odoo'!G1123="","",'Ordenes_Odoo'!G1123)</f>
        <v/>
      </c>
      <c r="H1123" s="79">
        <f>IF('Ordenes_Odoo'!H1123="","",'Ordenes_Odoo'!H1123)</f>
        <v/>
      </c>
      <c r="I1123" s="79">
        <f>IF('Ordenes_Odoo'!I1123="","",'Ordenes_Odoo'!I1123)</f>
        <v/>
      </c>
      <c r="J1123" s="79">
        <f>IF('Ordenes_Odoo'!J1123="","",'Ordenes_Odoo'!J1123)</f>
        <v/>
      </c>
      <c r="K1123" s="81">
        <f>IF('Ordenes_Odoo'!K1123="","",'Ordenes_Odoo'!K1123)</f>
        <v/>
      </c>
      <c r="L1123" s="81">
        <f>IF('Ordenes_Odoo'!L1123="","",'Ordenes_Odoo'!L1123)</f>
        <v/>
      </c>
      <c r="M1123" s="79">
        <f>IF('Ordenes_Odoo'!M1123="","",'Ordenes_Odoo'!M1123)</f>
        <v/>
      </c>
      <c r="N1123" s="79">
        <f>IF('Ordenes_Odoo'!N1123="","",'Ordenes_Odoo'!N1123)</f>
        <v/>
      </c>
      <c r="O1123" s="81">
        <f>IF('Ordenes_Odoo'!O1123="","",'Ordenes_Odoo'!O1123)</f>
        <v/>
      </c>
      <c r="P1123" s="81">
        <f>IF('Ordenes_Odoo'!P1123="","",'Ordenes_Odoo'!P1123)</f>
        <v/>
      </c>
      <c r="Q1123" s="79">
        <f>IF(A1123="","",IFERROR(INDEX(Facturas_Odoo!$B:$B, MATCH(A1123, Facturas_Odoo!$D:$D, 0)), "Sin Factura"))</f>
        <v/>
      </c>
      <c r="R1123" s="80">
        <f>IF(Q1123="Sin Factura","",IFERROR(INDEX(Facturas_Odoo!$A:$A, MATCH(Q1123, Facturas_Odoo!$B:$B, 0)), ""))</f>
        <v/>
      </c>
      <c r="S1123" s="79">
        <f>IF(Q1123="Sin Factura","",IFERROR(_xlfn.XLOOKUP(1, (Facturas_Odoo!$D:$D=A1123) * (Facturas_Odoo!$K:$K=I1123), Facturas_Odoo!$L:$L, ""), ""))</f>
        <v/>
      </c>
      <c r="T1123" s="81">
        <f>IF(Q1123="Sin Factura",0,IFERROR(_xlfn.XLOOKUP(1, (Facturas_Odoo!$D:$D=A1123) * (Facturas_Odoo!$K:$K=I1123), Facturas_Odoo!$M:$M, 0), 0))</f>
        <v/>
      </c>
      <c r="U1123" s="79">
        <f>IF(Q1123="Sin Factura",0,IFERROR(_xlfn.XLOOKUP(1, (Facturas_Odoo!$D:$D=A1123) * (Facturas_Odoo!$K:$K=I1123), Facturas_Odoo!$N:$N, 0), 0))</f>
        <v/>
      </c>
      <c r="V1123" s="79">
        <f>IF(Q1123="Sin Factura",0,IFERROR(_xlfn.XLOOKUP(1, (Facturas_Odoo!$D:$D=A1123) * (Facturas_Odoo!$K:$K=I1123), Facturas_Odoo!$O:$O, 0), 0))</f>
        <v/>
      </c>
      <c r="W1123" s="81">
        <f>IF(Q1123="Sin Factura",0,IFERROR(_xlfn.XLOOKUP(1, (Facturas_Odoo!$D:$D=A1123) * (Facturas_Odoo!$K:$K=I1123), Facturas_Odoo!$Q:$Q, 0), 0))</f>
        <v/>
      </c>
      <c r="X1123" s="79">
        <f>IF(OR(Q1123="Sin Factura",Q1123=""),"",IFERROR(INDEX(Pagos_Odoo!$B:$B, MATCH(Q1123, Pagos_Odoo!$I:$I, 0)), "Sin Pago"))</f>
        <v/>
      </c>
      <c r="Y1123" s="79">
        <f>IF(X1123="Sin Pago","",IFERROR(INDEX(Pagos_Odoo!$C:$C, MATCH(X1123, Pagos_Odoo!$B:$B, 0)), ""))</f>
        <v/>
      </c>
      <c r="Z1123" s="80">
        <f>IF(X1123="Sin Pago","",IFERROR(INDEX(Pagos_Odoo!$A:$A, MATCH(X1123, Pagos_Odoo!$B:$B, 0)), ""))</f>
        <v/>
      </c>
      <c r="AA1123" s="79">
        <f>IF(X1123="Sin Pago","",IFERROR(INDEX(Pagos_Odoo!$F:$F, MATCH(X1123, Pagos_Odoo!$B:$B, 0)), ""))</f>
        <v/>
      </c>
      <c r="AB1123" s="81">
        <f>IF(X1123="Sin Pago",0,IFERROR(INDEX(Pagos_Odoo!$E:$E, MATCH(X1123, Pagos_Odoo!$B:$B, 0)), 0))</f>
        <v/>
      </c>
      <c r="AC1123" s="79">
        <f>IF(X1123="Sin Pago","",IFERROR(INDEX(Pagos_Odoo!$G:$G, MATCH(X1123, Pagos_Odoo!$B:$B, 0)), ""))</f>
        <v/>
      </c>
      <c r="AD1123" s="82" t="n">
        <v>0</v>
      </c>
      <c r="AE1123" s="82" t="n"/>
      <c r="AF1123" s="82" t="n"/>
      <c r="AG1123" s="82">
        <f>IF(AN1123="","",AD1123+AE1123+AF1123)</f>
        <v/>
      </c>
      <c r="AH1123" s="81">
        <f>IF(AN1123="","",P1123*(1-AG1123))</f>
        <v/>
      </c>
      <c r="AI1123" s="81">
        <f>IF(AN1123="","",IF(Q1123="Sin Factura",0,IFERROR(INDEX(Facturas_Odoo!$H:$H, MATCH(Q1123, Facturas_Odoo!$B:$B, 0)), 0)*(1-AG1123)))</f>
        <v/>
      </c>
      <c r="AJ1123" s="81">
        <f>IF(AN1123="","",_xlfn.LET(idVenta, AN1123&amp;"",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23" s="81">
        <f>IF(AN1123="","",AH1123-AJ1123)</f>
        <v/>
      </c>
      <c r="AL1123" s="81">
        <f>IF(AN1123="","",IF(Q1123="Sin Factura","",AI1123-AJ1123))</f>
        <v/>
      </c>
      <c r="AM1123" s="81">
        <f>IF(AN1123="","",IF(Q1123="Sin Factura",0,P1123-IFERROR(INDEX(Facturas_Odoo!$H:$H, MATCH(Q1123, Facturas_Odoo!$B:$B, 0)), 0)))</f>
        <v/>
      </c>
      <c r="AN1123" s="79">
        <f>IF(AND(A1123="", J1123=""), "", IF(A1123&lt;&gt;"", VALUE(MID(A1123,2,LEN(A1123))), AN1122))</f>
        <v/>
      </c>
      <c r="AO1123" s="79">
        <f>IF(AN1123="","",IF(AD1123=0,"OK",_xlfn.LET(monedaPago, IF(AA1123="","USD",AA1123), limitePermitido, IFERROR(VLOOKUP(monedaPago, Configuración!$A$2:$B$3, 2, FALSE), 0.15), IF(AD1123&gt;limitePermitido, "ALERTA: EXCESO (" &amp; TEXT(limitePermitido, "0%") &amp; " máx)", "OK"))))</f>
        <v/>
      </c>
      <c r="AP1123" s="79">
        <f>IF(AN1123="","",IF(AE1123=0,"OK",_xlfn.LET(fechaPago, Z1123, fechaFactura, R1123, diasCredito, IF(E1123="Pago inmediato", 0, IFERROR(VALUE(MID(E1123, 1, SEARCH(" ", E1123)-1)),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23" s="79">
        <f>IF(AN1123="","",IF(AND(N1123&gt;0, AG1123&gt;0), IF(Configuración!$K$2="NO", "ALERTA: DESCUENTO DOBLE NO PERMITIDO", "OK"), "OK"))</f>
        <v/>
      </c>
      <c r="AR1123" s="79">
        <f>IF(AN1123="","",IF(OR(AO1123&lt;&gt;"OK", AP1123&lt;&gt;"OK", AQ1123&lt;&gt;"OK"), "⚠️ REVISAR", "OK"))</f>
        <v/>
      </c>
    </row>
    <row r="1124">
      <c r="A1124" s="79">
        <f>IF('Ordenes_Odoo'!A1124="","",'Ordenes_Odoo'!A1124)</f>
        <v/>
      </c>
      <c r="B1124" s="80">
        <f>IF('Ordenes_Odoo'!B1124="","",'Ordenes_Odoo'!B1124)</f>
        <v/>
      </c>
      <c r="C1124" s="79">
        <f>IF('Ordenes_Odoo'!C1124="","",'Ordenes_Odoo'!C1124)</f>
        <v/>
      </c>
      <c r="D1124" s="79">
        <f>IF('Ordenes_Odoo'!D1124="","",'Ordenes_Odoo'!D1124)</f>
        <v/>
      </c>
      <c r="E1124" s="79">
        <f>IF('Ordenes_Odoo'!E1124="","",'Ordenes_Odoo'!E1124)</f>
        <v/>
      </c>
      <c r="F1124" s="79">
        <f>IF('Ordenes_Odoo'!F1124="","",'Ordenes_Odoo'!F1124)</f>
        <v/>
      </c>
      <c r="G1124" s="79">
        <f>IF('Ordenes_Odoo'!G1124="","",'Ordenes_Odoo'!G1124)</f>
        <v/>
      </c>
      <c r="H1124" s="79">
        <f>IF('Ordenes_Odoo'!H1124="","",'Ordenes_Odoo'!H1124)</f>
        <v/>
      </c>
      <c r="I1124" s="79">
        <f>IF('Ordenes_Odoo'!I1124="","",'Ordenes_Odoo'!I1124)</f>
        <v/>
      </c>
      <c r="J1124" s="79">
        <f>IF('Ordenes_Odoo'!J1124="","",'Ordenes_Odoo'!J1124)</f>
        <v/>
      </c>
      <c r="K1124" s="81">
        <f>IF('Ordenes_Odoo'!K1124="","",'Ordenes_Odoo'!K1124)</f>
        <v/>
      </c>
      <c r="L1124" s="81">
        <f>IF('Ordenes_Odoo'!L1124="","",'Ordenes_Odoo'!L1124)</f>
        <v/>
      </c>
      <c r="M1124" s="79">
        <f>IF('Ordenes_Odoo'!M1124="","",'Ordenes_Odoo'!M1124)</f>
        <v/>
      </c>
      <c r="N1124" s="79">
        <f>IF('Ordenes_Odoo'!N1124="","",'Ordenes_Odoo'!N1124)</f>
        <v/>
      </c>
      <c r="O1124" s="81">
        <f>IF('Ordenes_Odoo'!O1124="","",'Ordenes_Odoo'!O1124)</f>
        <v/>
      </c>
      <c r="P1124" s="81">
        <f>IF('Ordenes_Odoo'!P1124="","",'Ordenes_Odoo'!P1124)</f>
        <v/>
      </c>
      <c r="Q1124" s="79">
        <f>IF(A1124="","",IFERROR(INDEX(Facturas_Odoo!$B:$B, MATCH(A1124, Facturas_Odoo!$D:$D, 0)), "Sin Factura"))</f>
        <v/>
      </c>
      <c r="R1124" s="80">
        <f>IF(Q1124="Sin Factura","",IFERROR(INDEX(Facturas_Odoo!$A:$A, MATCH(Q1124, Facturas_Odoo!$B:$B, 0)), ""))</f>
        <v/>
      </c>
      <c r="S1124" s="79">
        <f>IF(Q1124="Sin Factura","",IFERROR(_xlfn.XLOOKUP(1, (Facturas_Odoo!$D:$D=A1124) * (Facturas_Odoo!$K:$K=I1124), Facturas_Odoo!$L:$L, ""), ""))</f>
        <v/>
      </c>
      <c r="T1124" s="81">
        <f>IF(Q1124="Sin Factura",0,IFERROR(_xlfn.XLOOKUP(1, (Facturas_Odoo!$D:$D=A1124) * (Facturas_Odoo!$K:$K=I1124), Facturas_Odoo!$M:$M, 0), 0))</f>
        <v/>
      </c>
      <c r="U1124" s="79">
        <f>IF(Q1124="Sin Factura",0,IFERROR(_xlfn.XLOOKUP(1, (Facturas_Odoo!$D:$D=A1124) * (Facturas_Odoo!$K:$K=I1124), Facturas_Odoo!$N:$N, 0), 0))</f>
        <v/>
      </c>
      <c r="V1124" s="79">
        <f>IF(Q1124="Sin Factura",0,IFERROR(_xlfn.XLOOKUP(1, (Facturas_Odoo!$D:$D=A1124) * (Facturas_Odoo!$K:$K=I1124), Facturas_Odoo!$O:$O, 0), 0))</f>
        <v/>
      </c>
      <c r="W1124" s="81">
        <f>IF(Q1124="Sin Factura",0,IFERROR(_xlfn.XLOOKUP(1, (Facturas_Odoo!$D:$D=A1124) * (Facturas_Odoo!$K:$K=I1124), Facturas_Odoo!$Q:$Q, 0), 0))</f>
        <v/>
      </c>
      <c r="X1124" s="79">
        <f>IF(OR(Q1124="Sin Factura",Q1124=""),"",IFERROR(INDEX(Pagos_Odoo!$B:$B, MATCH(Q1124, Pagos_Odoo!$I:$I, 0)), "Sin Pago"))</f>
        <v/>
      </c>
      <c r="Y1124" s="79">
        <f>IF(X1124="Sin Pago","",IFERROR(INDEX(Pagos_Odoo!$C:$C, MATCH(X1124, Pagos_Odoo!$B:$B, 0)), ""))</f>
        <v/>
      </c>
      <c r="Z1124" s="80">
        <f>IF(X1124="Sin Pago","",IFERROR(INDEX(Pagos_Odoo!$A:$A, MATCH(X1124, Pagos_Odoo!$B:$B, 0)), ""))</f>
        <v/>
      </c>
      <c r="AA1124" s="79">
        <f>IF(X1124="Sin Pago","",IFERROR(INDEX(Pagos_Odoo!$F:$F, MATCH(X1124, Pagos_Odoo!$B:$B, 0)), ""))</f>
        <v/>
      </c>
      <c r="AB1124" s="81">
        <f>IF(X1124="Sin Pago",0,IFERROR(INDEX(Pagos_Odoo!$E:$E, MATCH(X1124, Pagos_Odoo!$B:$B, 0)), 0))</f>
        <v/>
      </c>
      <c r="AC1124" s="79">
        <f>IF(X1124="Sin Pago","",IFERROR(INDEX(Pagos_Odoo!$G:$G, MATCH(X1124, Pagos_Odoo!$B:$B, 0)), ""))</f>
        <v/>
      </c>
      <c r="AD1124" s="82" t="n">
        <v>0</v>
      </c>
      <c r="AE1124" s="82" t="n"/>
      <c r="AF1124" s="82" t="n"/>
      <c r="AG1124" s="82">
        <f>IF(AN1124="","",AD1124+AE1124+AF1124)</f>
        <v/>
      </c>
      <c r="AH1124" s="81">
        <f>IF(AN1124="","",P1124*(1-AG1124))</f>
        <v/>
      </c>
      <c r="AI1124" s="81">
        <f>IF(AN1124="","",IF(Q1124="Sin Factura",0,IFERROR(INDEX(Facturas_Odoo!$H:$H, MATCH(Q1124, Facturas_Odoo!$B:$B, 0)), 0)*(1-AG1124)))</f>
        <v/>
      </c>
      <c r="AJ1124" s="81">
        <f>IF(AN1124="","",_xlfn.LET(idVenta, AN1124&amp;"",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24" s="81">
        <f>IF(AN1124="","",AH1124-AJ1124)</f>
        <v/>
      </c>
      <c r="AL1124" s="81">
        <f>IF(AN1124="","",IF(Q1124="Sin Factura","",AI1124-AJ1124))</f>
        <v/>
      </c>
      <c r="AM1124" s="81">
        <f>IF(AN1124="","",IF(Q1124="Sin Factura",0,P1124-IFERROR(INDEX(Facturas_Odoo!$H:$H, MATCH(Q1124, Facturas_Odoo!$B:$B, 0)), 0)))</f>
        <v/>
      </c>
      <c r="AN1124" s="79">
        <f>IF(AND(A1124="", J1124=""), "", IF(A1124&lt;&gt;"", VALUE(MID(A1124,2,LEN(A1124))), AN1123))</f>
        <v/>
      </c>
      <c r="AO1124" s="79">
        <f>IF(AN1124="","",IF(AD1124=0,"OK",_xlfn.LET(monedaPago, IF(AA1124="","USD",AA1124), limitePermitido, IFERROR(VLOOKUP(monedaPago, Configuración!$A$2:$B$3, 2, FALSE), 0.15), IF(AD1124&gt;limitePermitido, "ALERTA: EXCESO (" &amp; TEXT(limitePermitido, "0%") &amp; " máx)", "OK"))))</f>
        <v/>
      </c>
      <c r="AP1124" s="79">
        <f>IF(AN1124="","",IF(AE1124=0,"OK",_xlfn.LET(fechaPago, Z1124, fechaFactura, R1124, diasCredito, IF(E1124="Pago inmediato", 0, IFERROR(VALUE(MID(E1124, 1, SEARCH(" ", E1124)-1)),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24" s="79">
        <f>IF(AN1124="","",IF(AND(N1124&gt;0, AG1124&gt;0), IF(Configuración!$K$2="NO", "ALERTA: DESCUENTO DOBLE NO PERMITIDO", "OK"), "OK"))</f>
        <v/>
      </c>
      <c r="AR1124" s="79">
        <f>IF(AN1124="","",IF(OR(AO1124&lt;&gt;"OK", AP1124&lt;&gt;"OK", AQ1124&lt;&gt;"OK"), "⚠️ REVISAR", "OK"))</f>
        <v/>
      </c>
    </row>
    <row r="1125">
      <c r="A1125" s="79">
        <f>IF('Ordenes_Odoo'!A1125="","",'Ordenes_Odoo'!A1125)</f>
        <v/>
      </c>
      <c r="B1125" s="80">
        <f>IF('Ordenes_Odoo'!B1125="","",'Ordenes_Odoo'!B1125)</f>
        <v/>
      </c>
      <c r="C1125" s="79">
        <f>IF('Ordenes_Odoo'!C1125="","",'Ordenes_Odoo'!C1125)</f>
        <v/>
      </c>
      <c r="D1125" s="79">
        <f>IF('Ordenes_Odoo'!D1125="","",'Ordenes_Odoo'!D1125)</f>
        <v/>
      </c>
      <c r="E1125" s="79">
        <f>IF('Ordenes_Odoo'!E1125="","",'Ordenes_Odoo'!E1125)</f>
        <v/>
      </c>
      <c r="F1125" s="79">
        <f>IF('Ordenes_Odoo'!F1125="","",'Ordenes_Odoo'!F1125)</f>
        <v/>
      </c>
      <c r="G1125" s="79">
        <f>IF('Ordenes_Odoo'!G1125="","",'Ordenes_Odoo'!G1125)</f>
        <v/>
      </c>
      <c r="H1125" s="79">
        <f>IF('Ordenes_Odoo'!H1125="","",'Ordenes_Odoo'!H1125)</f>
        <v/>
      </c>
      <c r="I1125" s="79">
        <f>IF('Ordenes_Odoo'!I1125="","",'Ordenes_Odoo'!I1125)</f>
        <v/>
      </c>
      <c r="J1125" s="79">
        <f>IF('Ordenes_Odoo'!J1125="","",'Ordenes_Odoo'!J1125)</f>
        <v/>
      </c>
      <c r="K1125" s="81">
        <f>IF('Ordenes_Odoo'!K1125="","",'Ordenes_Odoo'!K1125)</f>
        <v/>
      </c>
      <c r="L1125" s="81">
        <f>IF('Ordenes_Odoo'!L1125="","",'Ordenes_Odoo'!L1125)</f>
        <v/>
      </c>
      <c r="M1125" s="79">
        <f>IF('Ordenes_Odoo'!M1125="","",'Ordenes_Odoo'!M1125)</f>
        <v/>
      </c>
      <c r="N1125" s="79">
        <f>IF('Ordenes_Odoo'!N1125="","",'Ordenes_Odoo'!N1125)</f>
        <v/>
      </c>
      <c r="O1125" s="81">
        <f>IF('Ordenes_Odoo'!O1125="","",'Ordenes_Odoo'!O1125)</f>
        <v/>
      </c>
      <c r="P1125" s="81">
        <f>IF('Ordenes_Odoo'!P1125="","",'Ordenes_Odoo'!P1125)</f>
        <v/>
      </c>
      <c r="Q1125" s="79">
        <f>IF(A1125="","",IFERROR(INDEX(Facturas_Odoo!$B:$B, MATCH(A1125, Facturas_Odoo!$D:$D, 0)), "Sin Factura"))</f>
        <v/>
      </c>
      <c r="R1125" s="80">
        <f>IF(Q1125="Sin Factura","",IFERROR(INDEX(Facturas_Odoo!$A:$A, MATCH(Q1125, Facturas_Odoo!$B:$B, 0)), ""))</f>
        <v/>
      </c>
      <c r="S1125" s="79">
        <f>IF(Q1125="Sin Factura","",IFERROR(_xlfn.XLOOKUP(1, (Facturas_Odoo!$D:$D=A1125) * (Facturas_Odoo!$K:$K=I1125), Facturas_Odoo!$L:$L, ""), ""))</f>
        <v/>
      </c>
      <c r="T1125" s="81">
        <f>IF(Q1125="Sin Factura",0,IFERROR(_xlfn.XLOOKUP(1, (Facturas_Odoo!$D:$D=A1125) * (Facturas_Odoo!$K:$K=I1125), Facturas_Odoo!$M:$M, 0), 0))</f>
        <v/>
      </c>
      <c r="U1125" s="79">
        <f>IF(Q1125="Sin Factura",0,IFERROR(_xlfn.XLOOKUP(1, (Facturas_Odoo!$D:$D=A1125) * (Facturas_Odoo!$K:$K=I1125), Facturas_Odoo!$N:$N, 0), 0))</f>
        <v/>
      </c>
      <c r="V1125" s="79">
        <f>IF(Q1125="Sin Factura",0,IFERROR(_xlfn.XLOOKUP(1, (Facturas_Odoo!$D:$D=A1125) * (Facturas_Odoo!$K:$K=I1125), Facturas_Odoo!$O:$O, 0), 0))</f>
        <v/>
      </c>
      <c r="W1125" s="81">
        <f>IF(Q1125="Sin Factura",0,IFERROR(_xlfn.XLOOKUP(1, (Facturas_Odoo!$D:$D=A1125) * (Facturas_Odoo!$K:$K=I1125), Facturas_Odoo!$Q:$Q, 0), 0))</f>
        <v/>
      </c>
      <c r="X1125" s="79">
        <f>IF(OR(Q1125="Sin Factura",Q1125=""),"",IFERROR(INDEX(Pagos_Odoo!$B:$B, MATCH(Q1125, Pagos_Odoo!$I:$I, 0)), "Sin Pago"))</f>
        <v/>
      </c>
      <c r="Y1125" s="79">
        <f>IF(X1125="Sin Pago","",IFERROR(INDEX(Pagos_Odoo!$C:$C, MATCH(X1125, Pagos_Odoo!$B:$B, 0)), ""))</f>
        <v/>
      </c>
      <c r="Z1125" s="80">
        <f>IF(X1125="Sin Pago","",IFERROR(INDEX(Pagos_Odoo!$A:$A, MATCH(X1125, Pagos_Odoo!$B:$B, 0)), ""))</f>
        <v/>
      </c>
      <c r="AA1125" s="79">
        <f>IF(X1125="Sin Pago","",IFERROR(INDEX(Pagos_Odoo!$F:$F, MATCH(X1125, Pagos_Odoo!$B:$B, 0)), ""))</f>
        <v/>
      </c>
      <c r="AB1125" s="81">
        <f>IF(X1125="Sin Pago",0,IFERROR(INDEX(Pagos_Odoo!$E:$E, MATCH(X1125, Pagos_Odoo!$B:$B, 0)), 0))</f>
        <v/>
      </c>
      <c r="AC1125" s="79">
        <f>IF(X1125="Sin Pago","",IFERROR(INDEX(Pagos_Odoo!$G:$G, MATCH(X1125, Pagos_Odoo!$B:$B, 0)), ""))</f>
        <v/>
      </c>
      <c r="AD1125" s="82" t="n">
        <v>0</v>
      </c>
      <c r="AE1125" s="82" t="n"/>
      <c r="AF1125" s="82" t="n"/>
      <c r="AG1125" s="82">
        <f>IF(AN1125="","",AD1125+AE1125+AF1125)</f>
        <v/>
      </c>
      <c r="AH1125" s="81">
        <f>IF(AN1125="","",P1125*(1-AG1125))</f>
        <v/>
      </c>
      <c r="AI1125" s="81">
        <f>IF(AN1125="","",IF(Q1125="Sin Factura",0,IFERROR(INDEX(Facturas_Odoo!$H:$H, MATCH(Q1125, Facturas_Odoo!$B:$B, 0)), 0)*(1-AG1125)))</f>
        <v/>
      </c>
      <c r="AJ1125" s="81">
        <f>IF(AN1125="","",_xlfn.LET(idVenta, AN1125&amp;"",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25" s="81">
        <f>IF(AN1125="","",AH1125-AJ1125)</f>
        <v/>
      </c>
      <c r="AL1125" s="81">
        <f>IF(AN1125="","",IF(Q1125="Sin Factura","",AI1125-AJ1125))</f>
        <v/>
      </c>
      <c r="AM1125" s="81">
        <f>IF(AN1125="","",IF(Q1125="Sin Factura",0,P1125-IFERROR(INDEX(Facturas_Odoo!$H:$H, MATCH(Q1125, Facturas_Odoo!$B:$B, 0)), 0)))</f>
        <v/>
      </c>
      <c r="AN1125" s="79">
        <f>IF(AND(A1125="", J1125=""), "", IF(A1125&lt;&gt;"", VALUE(MID(A1125,2,LEN(A1125))), AN1124))</f>
        <v/>
      </c>
      <c r="AO1125" s="79">
        <f>IF(AN1125="","",IF(AD1125=0,"OK",_xlfn.LET(monedaPago, IF(AA1125="","USD",AA1125), limitePermitido, IFERROR(VLOOKUP(monedaPago, Configuración!$A$2:$B$3, 2, FALSE), 0.15), IF(AD1125&gt;limitePermitido, "ALERTA: EXCESO (" &amp; TEXT(limitePermitido, "0%") &amp; " máx)", "OK"))))</f>
        <v/>
      </c>
      <c r="AP1125" s="79">
        <f>IF(AN1125="","",IF(AE1125=0,"OK",_xlfn.LET(fechaPago, Z1125, fechaFactura, R1125, diasCredito, IF(E1125="Pago inmediato", 0, IFERROR(VALUE(MID(E1125, 1, SEARCH(" ", E1125)-1)),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25" s="79">
        <f>IF(AN1125="","",IF(AND(N1125&gt;0, AG1125&gt;0), IF(Configuración!$K$2="NO", "ALERTA: DESCUENTO DOBLE NO PERMITIDO", "OK"), "OK"))</f>
        <v/>
      </c>
      <c r="AR1125" s="79">
        <f>IF(AN1125="","",IF(OR(AO1125&lt;&gt;"OK", AP1125&lt;&gt;"OK", AQ1125&lt;&gt;"OK"), "⚠️ REVISAR", "OK"))</f>
        <v/>
      </c>
    </row>
    <row r="1126">
      <c r="A1126" s="79">
        <f>IF('Ordenes_Odoo'!A1126="","",'Ordenes_Odoo'!A1126)</f>
        <v/>
      </c>
      <c r="B1126" s="80">
        <f>IF('Ordenes_Odoo'!B1126="","",'Ordenes_Odoo'!B1126)</f>
        <v/>
      </c>
      <c r="C1126" s="79">
        <f>IF('Ordenes_Odoo'!C1126="","",'Ordenes_Odoo'!C1126)</f>
        <v/>
      </c>
      <c r="D1126" s="79">
        <f>IF('Ordenes_Odoo'!D1126="","",'Ordenes_Odoo'!D1126)</f>
        <v/>
      </c>
      <c r="E1126" s="79">
        <f>IF('Ordenes_Odoo'!E1126="","",'Ordenes_Odoo'!E1126)</f>
        <v/>
      </c>
      <c r="F1126" s="79">
        <f>IF('Ordenes_Odoo'!F1126="","",'Ordenes_Odoo'!F1126)</f>
        <v/>
      </c>
      <c r="G1126" s="79">
        <f>IF('Ordenes_Odoo'!G1126="","",'Ordenes_Odoo'!G1126)</f>
        <v/>
      </c>
      <c r="H1126" s="79">
        <f>IF('Ordenes_Odoo'!H1126="","",'Ordenes_Odoo'!H1126)</f>
        <v/>
      </c>
      <c r="I1126" s="79">
        <f>IF('Ordenes_Odoo'!I1126="","",'Ordenes_Odoo'!I1126)</f>
        <v/>
      </c>
      <c r="J1126" s="79">
        <f>IF('Ordenes_Odoo'!J1126="","",'Ordenes_Odoo'!J1126)</f>
        <v/>
      </c>
      <c r="K1126" s="81">
        <f>IF('Ordenes_Odoo'!K1126="","",'Ordenes_Odoo'!K1126)</f>
        <v/>
      </c>
      <c r="L1126" s="81">
        <f>IF('Ordenes_Odoo'!L1126="","",'Ordenes_Odoo'!L1126)</f>
        <v/>
      </c>
      <c r="M1126" s="79">
        <f>IF('Ordenes_Odoo'!M1126="","",'Ordenes_Odoo'!M1126)</f>
        <v/>
      </c>
      <c r="N1126" s="79">
        <f>IF('Ordenes_Odoo'!N1126="","",'Ordenes_Odoo'!N1126)</f>
        <v/>
      </c>
      <c r="O1126" s="81">
        <f>IF('Ordenes_Odoo'!O1126="","",'Ordenes_Odoo'!O1126)</f>
        <v/>
      </c>
      <c r="P1126" s="81">
        <f>IF('Ordenes_Odoo'!P1126="","",'Ordenes_Odoo'!P1126)</f>
        <v/>
      </c>
      <c r="Q1126" s="79">
        <f>IF(A1126="","",IFERROR(INDEX(Facturas_Odoo!$B:$B, MATCH(A1126, Facturas_Odoo!$D:$D, 0)), "Sin Factura"))</f>
        <v/>
      </c>
      <c r="R1126" s="80">
        <f>IF(Q1126="Sin Factura","",IFERROR(INDEX(Facturas_Odoo!$A:$A, MATCH(Q1126, Facturas_Odoo!$B:$B, 0)), ""))</f>
        <v/>
      </c>
      <c r="S1126" s="79">
        <f>IF(Q1126="Sin Factura","",IFERROR(_xlfn.XLOOKUP(1, (Facturas_Odoo!$D:$D=A1126) * (Facturas_Odoo!$K:$K=I1126), Facturas_Odoo!$L:$L, ""), ""))</f>
        <v/>
      </c>
      <c r="T1126" s="81">
        <f>IF(Q1126="Sin Factura",0,IFERROR(_xlfn.XLOOKUP(1, (Facturas_Odoo!$D:$D=A1126) * (Facturas_Odoo!$K:$K=I1126), Facturas_Odoo!$M:$M, 0), 0))</f>
        <v/>
      </c>
      <c r="U1126" s="79">
        <f>IF(Q1126="Sin Factura",0,IFERROR(_xlfn.XLOOKUP(1, (Facturas_Odoo!$D:$D=A1126) * (Facturas_Odoo!$K:$K=I1126), Facturas_Odoo!$N:$N, 0), 0))</f>
        <v/>
      </c>
      <c r="V1126" s="79">
        <f>IF(Q1126="Sin Factura",0,IFERROR(_xlfn.XLOOKUP(1, (Facturas_Odoo!$D:$D=A1126) * (Facturas_Odoo!$K:$K=I1126), Facturas_Odoo!$O:$O, 0), 0))</f>
        <v/>
      </c>
      <c r="W1126" s="81">
        <f>IF(Q1126="Sin Factura",0,IFERROR(_xlfn.XLOOKUP(1, (Facturas_Odoo!$D:$D=A1126) * (Facturas_Odoo!$K:$K=I1126), Facturas_Odoo!$Q:$Q, 0), 0))</f>
        <v/>
      </c>
      <c r="X1126" s="79">
        <f>IF(OR(Q1126="Sin Factura",Q1126=""),"",IFERROR(INDEX(Pagos_Odoo!$B:$B, MATCH(Q1126, Pagos_Odoo!$I:$I, 0)), "Sin Pago"))</f>
        <v/>
      </c>
      <c r="Y1126" s="79">
        <f>IF(X1126="Sin Pago","",IFERROR(INDEX(Pagos_Odoo!$C:$C, MATCH(X1126, Pagos_Odoo!$B:$B, 0)), ""))</f>
        <v/>
      </c>
      <c r="Z1126" s="80">
        <f>IF(X1126="Sin Pago","",IFERROR(INDEX(Pagos_Odoo!$A:$A, MATCH(X1126, Pagos_Odoo!$B:$B, 0)), ""))</f>
        <v/>
      </c>
      <c r="AA1126" s="79">
        <f>IF(X1126="Sin Pago","",IFERROR(INDEX(Pagos_Odoo!$F:$F, MATCH(X1126, Pagos_Odoo!$B:$B, 0)), ""))</f>
        <v/>
      </c>
      <c r="AB1126" s="81">
        <f>IF(X1126="Sin Pago",0,IFERROR(INDEX(Pagos_Odoo!$E:$E, MATCH(X1126, Pagos_Odoo!$B:$B, 0)), 0))</f>
        <v/>
      </c>
      <c r="AC1126" s="79">
        <f>IF(X1126="Sin Pago","",IFERROR(INDEX(Pagos_Odoo!$G:$G, MATCH(X1126, Pagos_Odoo!$B:$B, 0)), ""))</f>
        <v/>
      </c>
      <c r="AD1126" s="82" t="n">
        <v>0</v>
      </c>
      <c r="AE1126" s="82" t="n"/>
      <c r="AF1126" s="82" t="n"/>
      <c r="AG1126" s="82">
        <f>IF(AN1126="","",AD1126+AE1126+AF1126)</f>
        <v/>
      </c>
      <c r="AH1126" s="81">
        <f>IF(AN1126="","",P1126*(1-AG1126))</f>
        <v/>
      </c>
      <c r="AI1126" s="81">
        <f>IF(AN1126="","",IF(Q1126="Sin Factura",0,IFERROR(INDEX(Facturas_Odoo!$H:$H, MATCH(Q1126, Facturas_Odoo!$B:$B, 0)), 0)*(1-AG1126)))</f>
        <v/>
      </c>
      <c r="AJ1126" s="81">
        <f>IF(AN1126="","",_xlfn.LET(idVenta, AN1126&amp;"",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26" s="81">
        <f>IF(AN1126="","",AH1126-AJ1126)</f>
        <v/>
      </c>
      <c r="AL1126" s="81">
        <f>IF(AN1126="","",IF(Q1126="Sin Factura","",AI1126-AJ1126))</f>
        <v/>
      </c>
      <c r="AM1126" s="81">
        <f>IF(AN1126="","",IF(Q1126="Sin Factura",0,P1126-IFERROR(INDEX(Facturas_Odoo!$H:$H, MATCH(Q1126, Facturas_Odoo!$B:$B, 0)), 0)))</f>
        <v/>
      </c>
      <c r="AN1126" s="79">
        <f>IF(AND(A1126="", J1126=""), "", IF(A1126&lt;&gt;"", VALUE(MID(A1126,2,LEN(A1126))), AN1125))</f>
        <v/>
      </c>
      <c r="AO1126" s="79">
        <f>IF(AN1126="","",IF(AD1126=0,"OK",_xlfn.LET(monedaPago, IF(AA1126="","USD",AA1126), limitePermitido, IFERROR(VLOOKUP(monedaPago, Configuración!$A$2:$B$3, 2, FALSE), 0.15), IF(AD1126&gt;limitePermitido, "ALERTA: EXCESO (" &amp; TEXT(limitePermitido, "0%") &amp; " máx)", "OK"))))</f>
        <v/>
      </c>
      <c r="AP1126" s="79">
        <f>IF(AN1126="","",IF(AE1126=0,"OK",_xlfn.LET(fechaPago, Z1126, fechaFactura, R1126, diasCredito, IF(E1126="Pago inmediato", 0, IFERROR(VALUE(MID(E1126, 1, SEARCH(" ", E1126)-1)),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26" s="79">
        <f>IF(AN1126="","",IF(AND(N1126&gt;0, AG1126&gt;0), IF(Configuración!$K$2="NO", "ALERTA: DESCUENTO DOBLE NO PERMITIDO", "OK"), "OK"))</f>
        <v/>
      </c>
      <c r="AR1126" s="79">
        <f>IF(AN1126="","",IF(OR(AO1126&lt;&gt;"OK", AP1126&lt;&gt;"OK", AQ1126&lt;&gt;"OK"), "⚠️ REVISAR", "OK"))</f>
        <v/>
      </c>
    </row>
    <row r="1127">
      <c r="A1127" s="79">
        <f>IF('Ordenes_Odoo'!A1127="","",'Ordenes_Odoo'!A1127)</f>
        <v/>
      </c>
      <c r="B1127" s="80">
        <f>IF('Ordenes_Odoo'!B1127="","",'Ordenes_Odoo'!B1127)</f>
        <v/>
      </c>
      <c r="C1127" s="79">
        <f>IF('Ordenes_Odoo'!C1127="","",'Ordenes_Odoo'!C1127)</f>
        <v/>
      </c>
      <c r="D1127" s="79">
        <f>IF('Ordenes_Odoo'!D1127="","",'Ordenes_Odoo'!D1127)</f>
        <v/>
      </c>
      <c r="E1127" s="79">
        <f>IF('Ordenes_Odoo'!E1127="","",'Ordenes_Odoo'!E1127)</f>
        <v/>
      </c>
      <c r="F1127" s="79">
        <f>IF('Ordenes_Odoo'!F1127="","",'Ordenes_Odoo'!F1127)</f>
        <v/>
      </c>
      <c r="G1127" s="79">
        <f>IF('Ordenes_Odoo'!G1127="","",'Ordenes_Odoo'!G1127)</f>
        <v/>
      </c>
      <c r="H1127" s="79">
        <f>IF('Ordenes_Odoo'!H1127="","",'Ordenes_Odoo'!H1127)</f>
        <v/>
      </c>
      <c r="I1127" s="79">
        <f>IF('Ordenes_Odoo'!I1127="","",'Ordenes_Odoo'!I1127)</f>
        <v/>
      </c>
      <c r="J1127" s="79">
        <f>IF('Ordenes_Odoo'!J1127="","",'Ordenes_Odoo'!J1127)</f>
        <v/>
      </c>
      <c r="K1127" s="81">
        <f>IF('Ordenes_Odoo'!K1127="","",'Ordenes_Odoo'!K1127)</f>
        <v/>
      </c>
      <c r="L1127" s="81">
        <f>IF('Ordenes_Odoo'!L1127="","",'Ordenes_Odoo'!L1127)</f>
        <v/>
      </c>
      <c r="M1127" s="79">
        <f>IF('Ordenes_Odoo'!M1127="","",'Ordenes_Odoo'!M1127)</f>
        <v/>
      </c>
      <c r="N1127" s="79">
        <f>IF('Ordenes_Odoo'!N1127="","",'Ordenes_Odoo'!N1127)</f>
        <v/>
      </c>
      <c r="O1127" s="81">
        <f>IF('Ordenes_Odoo'!O1127="","",'Ordenes_Odoo'!O1127)</f>
        <v/>
      </c>
      <c r="P1127" s="81">
        <f>IF('Ordenes_Odoo'!P1127="","",'Ordenes_Odoo'!P1127)</f>
        <v/>
      </c>
      <c r="Q1127" s="79">
        <f>IF(A1127="","",IFERROR(INDEX(Facturas_Odoo!$B:$B, MATCH(A1127, Facturas_Odoo!$D:$D, 0)), "Sin Factura"))</f>
        <v/>
      </c>
      <c r="R1127" s="80">
        <f>IF(Q1127="Sin Factura","",IFERROR(INDEX(Facturas_Odoo!$A:$A, MATCH(Q1127, Facturas_Odoo!$B:$B, 0)), ""))</f>
        <v/>
      </c>
      <c r="S1127" s="79">
        <f>IF(Q1127="Sin Factura","",IFERROR(_xlfn.XLOOKUP(1, (Facturas_Odoo!$D:$D=A1127) * (Facturas_Odoo!$K:$K=I1127), Facturas_Odoo!$L:$L, ""), ""))</f>
        <v/>
      </c>
      <c r="T1127" s="81">
        <f>IF(Q1127="Sin Factura",0,IFERROR(_xlfn.XLOOKUP(1, (Facturas_Odoo!$D:$D=A1127) * (Facturas_Odoo!$K:$K=I1127), Facturas_Odoo!$M:$M, 0), 0))</f>
        <v/>
      </c>
      <c r="U1127" s="79">
        <f>IF(Q1127="Sin Factura",0,IFERROR(_xlfn.XLOOKUP(1, (Facturas_Odoo!$D:$D=A1127) * (Facturas_Odoo!$K:$K=I1127), Facturas_Odoo!$N:$N, 0), 0))</f>
        <v/>
      </c>
      <c r="V1127" s="79">
        <f>IF(Q1127="Sin Factura",0,IFERROR(_xlfn.XLOOKUP(1, (Facturas_Odoo!$D:$D=A1127) * (Facturas_Odoo!$K:$K=I1127), Facturas_Odoo!$O:$O, 0), 0))</f>
        <v/>
      </c>
      <c r="W1127" s="81">
        <f>IF(Q1127="Sin Factura",0,IFERROR(_xlfn.XLOOKUP(1, (Facturas_Odoo!$D:$D=A1127) * (Facturas_Odoo!$K:$K=I1127), Facturas_Odoo!$Q:$Q, 0), 0))</f>
        <v/>
      </c>
      <c r="X1127" s="79">
        <f>IF(OR(Q1127="Sin Factura",Q1127=""),"",IFERROR(INDEX(Pagos_Odoo!$B:$B, MATCH(Q1127, Pagos_Odoo!$I:$I, 0)), "Sin Pago"))</f>
        <v/>
      </c>
      <c r="Y1127" s="79">
        <f>IF(X1127="Sin Pago","",IFERROR(INDEX(Pagos_Odoo!$C:$C, MATCH(X1127, Pagos_Odoo!$B:$B, 0)), ""))</f>
        <v/>
      </c>
      <c r="Z1127" s="80">
        <f>IF(X1127="Sin Pago","",IFERROR(INDEX(Pagos_Odoo!$A:$A, MATCH(X1127, Pagos_Odoo!$B:$B, 0)), ""))</f>
        <v/>
      </c>
      <c r="AA1127" s="79">
        <f>IF(X1127="Sin Pago","",IFERROR(INDEX(Pagos_Odoo!$F:$F, MATCH(X1127, Pagos_Odoo!$B:$B, 0)), ""))</f>
        <v/>
      </c>
      <c r="AB1127" s="81">
        <f>IF(X1127="Sin Pago",0,IFERROR(INDEX(Pagos_Odoo!$E:$E, MATCH(X1127, Pagos_Odoo!$B:$B, 0)), 0))</f>
        <v/>
      </c>
      <c r="AC1127" s="79">
        <f>IF(X1127="Sin Pago","",IFERROR(INDEX(Pagos_Odoo!$G:$G, MATCH(X1127, Pagos_Odoo!$B:$B, 0)), ""))</f>
        <v/>
      </c>
      <c r="AD1127" s="82" t="n">
        <v>0</v>
      </c>
      <c r="AE1127" s="82" t="n"/>
      <c r="AF1127" s="82" t="n"/>
      <c r="AG1127" s="82">
        <f>IF(AN1127="","",AD1127+AE1127+AF1127)</f>
        <v/>
      </c>
      <c r="AH1127" s="81">
        <f>IF(AN1127="","",P1127*(1-AG1127))</f>
        <v/>
      </c>
      <c r="AI1127" s="81">
        <f>IF(AN1127="","",IF(Q1127="Sin Factura",0,IFERROR(INDEX(Facturas_Odoo!$H:$H, MATCH(Q1127, Facturas_Odoo!$B:$B, 0)), 0)*(1-AG1127)))</f>
        <v/>
      </c>
      <c r="AJ1127" s="81">
        <f>IF(AN1127="","",_xlfn.LET(idVenta, AN1127&amp;"",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27" s="81">
        <f>IF(AN1127="","",AH1127-AJ1127)</f>
        <v/>
      </c>
      <c r="AL1127" s="81">
        <f>IF(AN1127="","",IF(Q1127="Sin Factura","",AI1127-AJ1127))</f>
        <v/>
      </c>
      <c r="AM1127" s="81">
        <f>IF(AN1127="","",IF(Q1127="Sin Factura",0,P1127-IFERROR(INDEX(Facturas_Odoo!$H:$H, MATCH(Q1127, Facturas_Odoo!$B:$B, 0)), 0)))</f>
        <v/>
      </c>
      <c r="AN1127" s="79">
        <f>IF(AND(A1127="", J1127=""), "", IF(A1127&lt;&gt;"", VALUE(MID(A1127,2,LEN(A1127))), AN1126))</f>
        <v/>
      </c>
      <c r="AO1127" s="79">
        <f>IF(AN1127="","",IF(AD1127=0,"OK",_xlfn.LET(monedaPago, IF(AA1127="","USD",AA1127), limitePermitido, IFERROR(VLOOKUP(monedaPago, Configuración!$A$2:$B$3, 2, FALSE), 0.15), IF(AD1127&gt;limitePermitido, "ALERTA: EXCESO (" &amp; TEXT(limitePermitido, "0%") &amp; " máx)", "OK"))))</f>
        <v/>
      </c>
      <c r="AP1127" s="79">
        <f>IF(AN1127="","",IF(AE1127=0,"OK",_xlfn.LET(fechaPago, Z1127, fechaFactura, R1127, diasCredito, IF(E1127="Pago inmediato", 0, IFERROR(VALUE(MID(E1127, 1, SEARCH(" ", E1127)-1)),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27" s="79">
        <f>IF(AN1127="","",IF(AND(N1127&gt;0, AG1127&gt;0), IF(Configuración!$K$2="NO", "ALERTA: DESCUENTO DOBLE NO PERMITIDO", "OK"), "OK"))</f>
        <v/>
      </c>
      <c r="AR1127" s="79">
        <f>IF(AN1127="","",IF(OR(AO1127&lt;&gt;"OK", AP1127&lt;&gt;"OK", AQ1127&lt;&gt;"OK"), "⚠️ REVISAR", "OK"))</f>
        <v/>
      </c>
    </row>
    <row r="1128">
      <c r="A1128" s="79">
        <f>IF('Ordenes_Odoo'!A1128="","",'Ordenes_Odoo'!A1128)</f>
        <v/>
      </c>
      <c r="B1128" s="80">
        <f>IF('Ordenes_Odoo'!B1128="","",'Ordenes_Odoo'!B1128)</f>
        <v/>
      </c>
      <c r="C1128" s="79">
        <f>IF('Ordenes_Odoo'!C1128="","",'Ordenes_Odoo'!C1128)</f>
        <v/>
      </c>
      <c r="D1128" s="79">
        <f>IF('Ordenes_Odoo'!D1128="","",'Ordenes_Odoo'!D1128)</f>
        <v/>
      </c>
      <c r="E1128" s="79">
        <f>IF('Ordenes_Odoo'!E1128="","",'Ordenes_Odoo'!E1128)</f>
        <v/>
      </c>
      <c r="F1128" s="79">
        <f>IF('Ordenes_Odoo'!F1128="","",'Ordenes_Odoo'!F1128)</f>
        <v/>
      </c>
      <c r="G1128" s="79">
        <f>IF('Ordenes_Odoo'!G1128="","",'Ordenes_Odoo'!G1128)</f>
        <v/>
      </c>
      <c r="H1128" s="79">
        <f>IF('Ordenes_Odoo'!H1128="","",'Ordenes_Odoo'!H1128)</f>
        <v/>
      </c>
      <c r="I1128" s="79">
        <f>IF('Ordenes_Odoo'!I1128="","",'Ordenes_Odoo'!I1128)</f>
        <v/>
      </c>
      <c r="J1128" s="79">
        <f>IF('Ordenes_Odoo'!J1128="","",'Ordenes_Odoo'!J1128)</f>
        <v/>
      </c>
      <c r="K1128" s="81">
        <f>IF('Ordenes_Odoo'!K1128="","",'Ordenes_Odoo'!K1128)</f>
        <v/>
      </c>
      <c r="L1128" s="81">
        <f>IF('Ordenes_Odoo'!L1128="","",'Ordenes_Odoo'!L1128)</f>
        <v/>
      </c>
      <c r="M1128" s="79">
        <f>IF('Ordenes_Odoo'!M1128="","",'Ordenes_Odoo'!M1128)</f>
        <v/>
      </c>
      <c r="N1128" s="79">
        <f>IF('Ordenes_Odoo'!N1128="","",'Ordenes_Odoo'!N1128)</f>
        <v/>
      </c>
      <c r="O1128" s="81">
        <f>IF('Ordenes_Odoo'!O1128="","",'Ordenes_Odoo'!O1128)</f>
        <v/>
      </c>
      <c r="P1128" s="81">
        <f>IF('Ordenes_Odoo'!P1128="","",'Ordenes_Odoo'!P1128)</f>
        <v/>
      </c>
      <c r="Q1128" s="79">
        <f>IF(A1128="","",IFERROR(INDEX(Facturas_Odoo!$B:$B, MATCH(A1128, Facturas_Odoo!$D:$D, 0)), "Sin Factura"))</f>
        <v/>
      </c>
      <c r="R1128" s="80">
        <f>IF(Q1128="Sin Factura","",IFERROR(INDEX(Facturas_Odoo!$A:$A, MATCH(Q1128, Facturas_Odoo!$B:$B, 0)), ""))</f>
        <v/>
      </c>
      <c r="S1128" s="79">
        <f>IF(Q1128="Sin Factura","",IFERROR(_xlfn.XLOOKUP(1, (Facturas_Odoo!$D:$D=A1128) * (Facturas_Odoo!$K:$K=I1128), Facturas_Odoo!$L:$L, ""), ""))</f>
        <v/>
      </c>
      <c r="T1128" s="81">
        <f>IF(Q1128="Sin Factura",0,IFERROR(_xlfn.XLOOKUP(1, (Facturas_Odoo!$D:$D=A1128) * (Facturas_Odoo!$K:$K=I1128), Facturas_Odoo!$M:$M, 0), 0))</f>
        <v/>
      </c>
      <c r="U1128" s="79">
        <f>IF(Q1128="Sin Factura",0,IFERROR(_xlfn.XLOOKUP(1, (Facturas_Odoo!$D:$D=A1128) * (Facturas_Odoo!$K:$K=I1128), Facturas_Odoo!$N:$N, 0), 0))</f>
        <v/>
      </c>
      <c r="V1128" s="79">
        <f>IF(Q1128="Sin Factura",0,IFERROR(_xlfn.XLOOKUP(1, (Facturas_Odoo!$D:$D=A1128) * (Facturas_Odoo!$K:$K=I1128), Facturas_Odoo!$O:$O, 0), 0))</f>
        <v/>
      </c>
      <c r="W1128" s="81">
        <f>IF(Q1128="Sin Factura",0,IFERROR(_xlfn.XLOOKUP(1, (Facturas_Odoo!$D:$D=A1128) * (Facturas_Odoo!$K:$K=I1128), Facturas_Odoo!$Q:$Q, 0), 0))</f>
        <v/>
      </c>
      <c r="X1128" s="79">
        <f>IF(OR(Q1128="Sin Factura",Q1128=""),"",IFERROR(INDEX(Pagos_Odoo!$B:$B, MATCH(Q1128, Pagos_Odoo!$I:$I, 0)), "Sin Pago"))</f>
        <v/>
      </c>
      <c r="Y1128" s="79">
        <f>IF(X1128="Sin Pago","",IFERROR(INDEX(Pagos_Odoo!$C:$C, MATCH(X1128, Pagos_Odoo!$B:$B, 0)), ""))</f>
        <v/>
      </c>
      <c r="Z1128" s="80">
        <f>IF(X1128="Sin Pago","",IFERROR(INDEX(Pagos_Odoo!$A:$A, MATCH(X1128, Pagos_Odoo!$B:$B, 0)), ""))</f>
        <v/>
      </c>
      <c r="AA1128" s="79">
        <f>IF(X1128="Sin Pago","",IFERROR(INDEX(Pagos_Odoo!$F:$F, MATCH(X1128, Pagos_Odoo!$B:$B, 0)), ""))</f>
        <v/>
      </c>
      <c r="AB1128" s="81">
        <f>IF(X1128="Sin Pago",0,IFERROR(INDEX(Pagos_Odoo!$E:$E, MATCH(X1128, Pagos_Odoo!$B:$B, 0)), 0))</f>
        <v/>
      </c>
      <c r="AC1128" s="79">
        <f>IF(X1128="Sin Pago","",IFERROR(INDEX(Pagos_Odoo!$G:$G, MATCH(X1128, Pagos_Odoo!$B:$B, 0)), ""))</f>
        <v/>
      </c>
      <c r="AD1128" s="82" t="n">
        <v>0</v>
      </c>
      <c r="AE1128" s="82" t="n"/>
      <c r="AF1128" s="82" t="n"/>
      <c r="AG1128" s="82">
        <f>IF(AN1128="","",AD1128+AE1128+AF1128)</f>
        <v/>
      </c>
      <c r="AH1128" s="81">
        <f>IF(AN1128="","",P1128*(1-AG1128))</f>
        <v/>
      </c>
      <c r="AI1128" s="81">
        <f>IF(AN1128="","",IF(Q1128="Sin Factura",0,IFERROR(INDEX(Facturas_Odoo!$H:$H, MATCH(Q1128, Facturas_Odoo!$B:$B, 0)), 0)*(1-AG1128)))</f>
        <v/>
      </c>
      <c r="AJ1128" s="81">
        <f>IF(AN1128="","",_xlfn.LET(idVenta, AN1128&amp;"",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28" s="81">
        <f>IF(AN1128="","",AH1128-AJ1128)</f>
        <v/>
      </c>
      <c r="AL1128" s="81">
        <f>IF(AN1128="","",IF(Q1128="Sin Factura","",AI1128-AJ1128))</f>
        <v/>
      </c>
      <c r="AM1128" s="81">
        <f>IF(AN1128="","",IF(Q1128="Sin Factura",0,P1128-IFERROR(INDEX(Facturas_Odoo!$H:$H, MATCH(Q1128, Facturas_Odoo!$B:$B, 0)), 0)))</f>
        <v/>
      </c>
      <c r="AN1128" s="79">
        <f>IF(AND(A1128="", J1128=""), "", IF(A1128&lt;&gt;"", VALUE(MID(A1128,2,LEN(A1128))), AN1127))</f>
        <v/>
      </c>
      <c r="AO1128" s="79">
        <f>IF(AN1128="","",IF(AD1128=0,"OK",_xlfn.LET(monedaPago, IF(AA1128="","USD",AA1128), limitePermitido, IFERROR(VLOOKUP(monedaPago, Configuración!$A$2:$B$3, 2, FALSE), 0.15), IF(AD1128&gt;limitePermitido, "ALERTA: EXCESO (" &amp; TEXT(limitePermitido, "0%") &amp; " máx)", "OK"))))</f>
        <v/>
      </c>
      <c r="AP1128" s="79">
        <f>IF(AN1128="","",IF(AE1128=0,"OK",_xlfn.LET(fechaPago, Z1128, fechaFactura, R1128, diasCredito, IF(E1128="Pago inmediato", 0, IFERROR(VALUE(MID(E1128, 1, SEARCH(" ", E1128)-1)),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28" s="79">
        <f>IF(AN1128="","",IF(AND(N1128&gt;0, AG1128&gt;0), IF(Configuración!$K$2="NO", "ALERTA: DESCUENTO DOBLE NO PERMITIDO", "OK"), "OK"))</f>
        <v/>
      </c>
      <c r="AR1128" s="79">
        <f>IF(AN1128="","",IF(OR(AO1128&lt;&gt;"OK", AP1128&lt;&gt;"OK", AQ1128&lt;&gt;"OK"), "⚠️ REVISAR", "OK"))</f>
        <v/>
      </c>
    </row>
    <row r="1129">
      <c r="A1129" s="79">
        <f>IF('Ordenes_Odoo'!A1129="","",'Ordenes_Odoo'!A1129)</f>
        <v/>
      </c>
      <c r="B1129" s="80">
        <f>IF('Ordenes_Odoo'!B1129="","",'Ordenes_Odoo'!B1129)</f>
        <v/>
      </c>
      <c r="C1129" s="79">
        <f>IF('Ordenes_Odoo'!C1129="","",'Ordenes_Odoo'!C1129)</f>
        <v/>
      </c>
      <c r="D1129" s="79">
        <f>IF('Ordenes_Odoo'!D1129="","",'Ordenes_Odoo'!D1129)</f>
        <v/>
      </c>
      <c r="E1129" s="79">
        <f>IF('Ordenes_Odoo'!E1129="","",'Ordenes_Odoo'!E1129)</f>
        <v/>
      </c>
      <c r="F1129" s="79">
        <f>IF('Ordenes_Odoo'!F1129="","",'Ordenes_Odoo'!F1129)</f>
        <v/>
      </c>
      <c r="G1129" s="79">
        <f>IF('Ordenes_Odoo'!G1129="","",'Ordenes_Odoo'!G1129)</f>
        <v/>
      </c>
      <c r="H1129" s="79">
        <f>IF('Ordenes_Odoo'!H1129="","",'Ordenes_Odoo'!H1129)</f>
        <v/>
      </c>
      <c r="I1129" s="79">
        <f>IF('Ordenes_Odoo'!I1129="","",'Ordenes_Odoo'!I1129)</f>
        <v/>
      </c>
      <c r="J1129" s="79">
        <f>IF('Ordenes_Odoo'!J1129="","",'Ordenes_Odoo'!J1129)</f>
        <v/>
      </c>
      <c r="K1129" s="81">
        <f>IF('Ordenes_Odoo'!K1129="","",'Ordenes_Odoo'!K1129)</f>
        <v/>
      </c>
      <c r="L1129" s="81">
        <f>IF('Ordenes_Odoo'!L1129="","",'Ordenes_Odoo'!L1129)</f>
        <v/>
      </c>
      <c r="M1129" s="79">
        <f>IF('Ordenes_Odoo'!M1129="","",'Ordenes_Odoo'!M1129)</f>
        <v/>
      </c>
      <c r="N1129" s="79">
        <f>IF('Ordenes_Odoo'!N1129="","",'Ordenes_Odoo'!N1129)</f>
        <v/>
      </c>
      <c r="O1129" s="81">
        <f>IF('Ordenes_Odoo'!O1129="","",'Ordenes_Odoo'!O1129)</f>
        <v/>
      </c>
      <c r="P1129" s="81">
        <f>IF('Ordenes_Odoo'!P1129="","",'Ordenes_Odoo'!P1129)</f>
        <v/>
      </c>
      <c r="Q1129" s="79">
        <f>IF(A1129="","",IFERROR(INDEX(Facturas_Odoo!$B:$B, MATCH(A1129, Facturas_Odoo!$D:$D, 0)), "Sin Factura"))</f>
        <v/>
      </c>
      <c r="R1129" s="80">
        <f>IF(Q1129="Sin Factura","",IFERROR(INDEX(Facturas_Odoo!$A:$A, MATCH(Q1129, Facturas_Odoo!$B:$B, 0)), ""))</f>
        <v/>
      </c>
      <c r="S1129" s="79">
        <f>IF(Q1129="Sin Factura","",IFERROR(_xlfn.XLOOKUP(1, (Facturas_Odoo!$D:$D=A1129) * (Facturas_Odoo!$K:$K=I1129), Facturas_Odoo!$L:$L, ""), ""))</f>
        <v/>
      </c>
      <c r="T1129" s="81">
        <f>IF(Q1129="Sin Factura",0,IFERROR(_xlfn.XLOOKUP(1, (Facturas_Odoo!$D:$D=A1129) * (Facturas_Odoo!$K:$K=I1129), Facturas_Odoo!$M:$M, 0), 0))</f>
        <v/>
      </c>
      <c r="U1129" s="79">
        <f>IF(Q1129="Sin Factura",0,IFERROR(_xlfn.XLOOKUP(1, (Facturas_Odoo!$D:$D=A1129) * (Facturas_Odoo!$K:$K=I1129), Facturas_Odoo!$N:$N, 0), 0))</f>
        <v/>
      </c>
      <c r="V1129" s="79">
        <f>IF(Q1129="Sin Factura",0,IFERROR(_xlfn.XLOOKUP(1, (Facturas_Odoo!$D:$D=A1129) * (Facturas_Odoo!$K:$K=I1129), Facturas_Odoo!$O:$O, 0), 0))</f>
        <v/>
      </c>
      <c r="W1129" s="81">
        <f>IF(Q1129="Sin Factura",0,IFERROR(_xlfn.XLOOKUP(1, (Facturas_Odoo!$D:$D=A1129) * (Facturas_Odoo!$K:$K=I1129), Facturas_Odoo!$Q:$Q, 0), 0))</f>
        <v/>
      </c>
      <c r="X1129" s="79">
        <f>IF(OR(Q1129="Sin Factura",Q1129=""),"",IFERROR(INDEX(Pagos_Odoo!$B:$B, MATCH(Q1129, Pagos_Odoo!$I:$I, 0)), "Sin Pago"))</f>
        <v/>
      </c>
      <c r="Y1129" s="79">
        <f>IF(X1129="Sin Pago","",IFERROR(INDEX(Pagos_Odoo!$C:$C, MATCH(X1129, Pagos_Odoo!$B:$B, 0)), ""))</f>
        <v/>
      </c>
      <c r="Z1129" s="80">
        <f>IF(X1129="Sin Pago","",IFERROR(INDEX(Pagos_Odoo!$A:$A, MATCH(X1129, Pagos_Odoo!$B:$B, 0)), ""))</f>
        <v/>
      </c>
      <c r="AA1129" s="79">
        <f>IF(X1129="Sin Pago","",IFERROR(INDEX(Pagos_Odoo!$F:$F, MATCH(X1129, Pagos_Odoo!$B:$B, 0)), ""))</f>
        <v/>
      </c>
      <c r="AB1129" s="81">
        <f>IF(X1129="Sin Pago",0,IFERROR(INDEX(Pagos_Odoo!$E:$E, MATCH(X1129, Pagos_Odoo!$B:$B, 0)), 0))</f>
        <v/>
      </c>
      <c r="AC1129" s="79">
        <f>IF(X1129="Sin Pago","",IFERROR(INDEX(Pagos_Odoo!$G:$G, MATCH(X1129, Pagos_Odoo!$B:$B, 0)), ""))</f>
        <v/>
      </c>
      <c r="AD1129" s="82" t="n">
        <v>0</v>
      </c>
      <c r="AE1129" s="82" t="n"/>
      <c r="AF1129" s="82" t="n"/>
      <c r="AG1129" s="82">
        <f>IF(AN1129="","",AD1129+AE1129+AF1129)</f>
        <v/>
      </c>
      <c r="AH1129" s="81">
        <f>IF(AN1129="","",P1129*(1-AG1129))</f>
        <v/>
      </c>
      <c r="AI1129" s="81">
        <f>IF(AN1129="","",IF(Q1129="Sin Factura",0,IFERROR(INDEX(Facturas_Odoo!$H:$H, MATCH(Q1129, Facturas_Odoo!$B:$B, 0)), 0)*(1-AG1129)))</f>
        <v/>
      </c>
      <c r="AJ1129" s="81">
        <f>IF(AN1129="","",_xlfn.LET(idVenta, AN1129&amp;"",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29" s="81">
        <f>IF(AN1129="","",AH1129-AJ1129)</f>
        <v/>
      </c>
      <c r="AL1129" s="81">
        <f>IF(AN1129="","",IF(Q1129="Sin Factura","",AI1129-AJ1129))</f>
        <v/>
      </c>
      <c r="AM1129" s="81">
        <f>IF(AN1129="","",IF(Q1129="Sin Factura",0,P1129-IFERROR(INDEX(Facturas_Odoo!$H:$H, MATCH(Q1129, Facturas_Odoo!$B:$B, 0)), 0)))</f>
        <v/>
      </c>
      <c r="AN1129" s="79">
        <f>IF(AND(A1129="", J1129=""), "", IF(A1129&lt;&gt;"", VALUE(MID(A1129,2,LEN(A1129))), AN1128))</f>
        <v/>
      </c>
      <c r="AO1129" s="79">
        <f>IF(AN1129="","",IF(AD1129=0,"OK",_xlfn.LET(monedaPago, IF(AA1129="","USD",AA1129), limitePermitido, IFERROR(VLOOKUP(monedaPago, Configuración!$A$2:$B$3, 2, FALSE), 0.15), IF(AD1129&gt;limitePermitido, "ALERTA: EXCESO (" &amp; TEXT(limitePermitido, "0%") &amp; " máx)", "OK"))))</f>
        <v/>
      </c>
      <c r="AP1129" s="79">
        <f>IF(AN1129="","",IF(AE1129=0,"OK",_xlfn.LET(fechaPago, Z1129, fechaFactura, R1129, diasCredito, IF(E1129="Pago inmediato", 0, IFERROR(VALUE(MID(E1129, 1, SEARCH(" ", E1129)-1)),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29" s="79">
        <f>IF(AN1129="","",IF(AND(N1129&gt;0, AG1129&gt;0), IF(Configuración!$K$2="NO", "ALERTA: DESCUENTO DOBLE NO PERMITIDO", "OK"), "OK"))</f>
        <v/>
      </c>
      <c r="AR1129" s="79">
        <f>IF(AN1129="","",IF(OR(AO1129&lt;&gt;"OK", AP1129&lt;&gt;"OK", AQ1129&lt;&gt;"OK"), "⚠️ REVISAR", "OK"))</f>
        <v/>
      </c>
    </row>
    <row r="1130">
      <c r="A1130" s="79">
        <f>IF('Ordenes_Odoo'!A1130="","",'Ordenes_Odoo'!A1130)</f>
        <v/>
      </c>
      <c r="B1130" s="80">
        <f>IF('Ordenes_Odoo'!B1130="","",'Ordenes_Odoo'!B1130)</f>
        <v/>
      </c>
      <c r="C1130" s="79">
        <f>IF('Ordenes_Odoo'!C1130="","",'Ordenes_Odoo'!C1130)</f>
        <v/>
      </c>
      <c r="D1130" s="79">
        <f>IF('Ordenes_Odoo'!D1130="","",'Ordenes_Odoo'!D1130)</f>
        <v/>
      </c>
      <c r="E1130" s="79">
        <f>IF('Ordenes_Odoo'!E1130="","",'Ordenes_Odoo'!E1130)</f>
        <v/>
      </c>
      <c r="F1130" s="79">
        <f>IF('Ordenes_Odoo'!F1130="","",'Ordenes_Odoo'!F1130)</f>
        <v/>
      </c>
      <c r="G1130" s="79">
        <f>IF('Ordenes_Odoo'!G1130="","",'Ordenes_Odoo'!G1130)</f>
        <v/>
      </c>
      <c r="H1130" s="79">
        <f>IF('Ordenes_Odoo'!H1130="","",'Ordenes_Odoo'!H1130)</f>
        <v/>
      </c>
      <c r="I1130" s="79">
        <f>IF('Ordenes_Odoo'!I1130="","",'Ordenes_Odoo'!I1130)</f>
        <v/>
      </c>
      <c r="J1130" s="79">
        <f>IF('Ordenes_Odoo'!J1130="","",'Ordenes_Odoo'!J1130)</f>
        <v/>
      </c>
      <c r="K1130" s="81">
        <f>IF('Ordenes_Odoo'!K1130="","",'Ordenes_Odoo'!K1130)</f>
        <v/>
      </c>
      <c r="L1130" s="81">
        <f>IF('Ordenes_Odoo'!L1130="","",'Ordenes_Odoo'!L1130)</f>
        <v/>
      </c>
      <c r="M1130" s="79">
        <f>IF('Ordenes_Odoo'!M1130="","",'Ordenes_Odoo'!M1130)</f>
        <v/>
      </c>
      <c r="N1130" s="79">
        <f>IF('Ordenes_Odoo'!N1130="","",'Ordenes_Odoo'!N1130)</f>
        <v/>
      </c>
      <c r="O1130" s="81">
        <f>IF('Ordenes_Odoo'!O1130="","",'Ordenes_Odoo'!O1130)</f>
        <v/>
      </c>
      <c r="P1130" s="81">
        <f>IF('Ordenes_Odoo'!P1130="","",'Ordenes_Odoo'!P1130)</f>
        <v/>
      </c>
      <c r="Q1130" s="79">
        <f>IF(A1130="","",IFERROR(INDEX(Facturas_Odoo!$B:$B, MATCH(A1130, Facturas_Odoo!$D:$D, 0)), "Sin Factura"))</f>
        <v/>
      </c>
      <c r="R1130" s="80">
        <f>IF(Q1130="Sin Factura","",IFERROR(INDEX(Facturas_Odoo!$A:$A, MATCH(Q1130, Facturas_Odoo!$B:$B, 0)), ""))</f>
        <v/>
      </c>
      <c r="S1130" s="79">
        <f>IF(Q1130="Sin Factura","",IFERROR(_xlfn.XLOOKUP(1, (Facturas_Odoo!$D:$D=A1130) * (Facturas_Odoo!$K:$K=I1130), Facturas_Odoo!$L:$L, ""), ""))</f>
        <v/>
      </c>
      <c r="T1130" s="81">
        <f>IF(Q1130="Sin Factura",0,IFERROR(_xlfn.XLOOKUP(1, (Facturas_Odoo!$D:$D=A1130) * (Facturas_Odoo!$K:$K=I1130), Facturas_Odoo!$M:$M, 0), 0))</f>
        <v/>
      </c>
      <c r="U1130" s="79">
        <f>IF(Q1130="Sin Factura",0,IFERROR(_xlfn.XLOOKUP(1, (Facturas_Odoo!$D:$D=A1130) * (Facturas_Odoo!$K:$K=I1130), Facturas_Odoo!$N:$N, 0), 0))</f>
        <v/>
      </c>
      <c r="V1130" s="79">
        <f>IF(Q1130="Sin Factura",0,IFERROR(_xlfn.XLOOKUP(1, (Facturas_Odoo!$D:$D=A1130) * (Facturas_Odoo!$K:$K=I1130), Facturas_Odoo!$O:$O, 0), 0))</f>
        <v/>
      </c>
      <c r="W1130" s="81">
        <f>IF(Q1130="Sin Factura",0,IFERROR(_xlfn.XLOOKUP(1, (Facturas_Odoo!$D:$D=A1130) * (Facturas_Odoo!$K:$K=I1130), Facturas_Odoo!$Q:$Q, 0), 0))</f>
        <v/>
      </c>
      <c r="X1130" s="79">
        <f>IF(OR(Q1130="Sin Factura",Q1130=""),"",IFERROR(INDEX(Pagos_Odoo!$B:$B, MATCH(Q1130, Pagos_Odoo!$I:$I, 0)), "Sin Pago"))</f>
        <v/>
      </c>
      <c r="Y1130" s="79">
        <f>IF(X1130="Sin Pago","",IFERROR(INDEX(Pagos_Odoo!$C:$C, MATCH(X1130, Pagos_Odoo!$B:$B, 0)), ""))</f>
        <v/>
      </c>
      <c r="Z1130" s="80">
        <f>IF(X1130="Sin Pago","",IFERROR(INDEX(Pagos_Odoo!$A:$A, MATCH(X1130, Pagos_Odoo!$B:$B, 0)), ""))</f>
        <v/>
      </c>
      <c r="AA1130" s="79">
        <f>IF(X1130="Sin Pago","",IFERROR(INDEX(Pagos_Odoo!$F:$F, MATCH(X1130, Pagos_Odoo!$B:$B, 0)), ""))</f>
        <v/>
      </c>
      <c r="AB1130" s="81">
        <f>IF(X1130="Sin Pago",0,IFERROR(INDEX(Pagos_Odoo!$E:$E, MATCH(X1130, Pagos_Odoo!$B:$B, 0)), 0))</f>
        <v/>
      </c>
      <c r="AC1130" s="79">
        <f>IF(X1130="Sin Pago","",IFERROR(INDEX(Pagos_Odoo!$G:$G, MATCH(X1130, Pagos_Odoo!$B:$B, 0)), ""))</f>
        <v/>
      </c>
      <c r="AD1130" s="82" t="n">
        <v>0</v>
      </c>
      <c r="AE1130" s="82" t="n"/>
      <c r="AF1130" s="82" t="n"/>
      <c r="AG1130" s="82">
        <f>IF(AN1130="","",AD1130+AE1130+AF1130)</f>
        <v/>
      </c>
      <c r="AH1130" s="81">
        <f>IF(AN1130="","",P1130*(1-AG1130))</f>
        <v/>
      </c>
      <c r="AI1130" s="81">
        <f>IF(AN1130="","",IF(Q1130="Sin Factura",0,IFERROR(INDEX(Facturas_Odoo!$H:$H, MATCH(Q1130, Facturas_Odoo!$B:$B, 0)), 0)*(1-AG1130)))</f>
        <v/>
      </c>
      <c r="AJ1130" s="81">
        <f>IF(AN1130="","",_xlfn.LET(idVenta, AN1130&amp;"",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30" s="81">
        <f>IF(AN1130="","",AH1130-AJ1130)</f>
        <v/>
      </c>
      <c r="AL1130" s="81">
        <f>IF(AN1130="","",IF(Q1130="Sin Factura","",AI1130-AJ1130))</f>
        <v/>
      </c>
      <c r="AM1130" s="81">
        <f>IF(AN1130="","",IF(Q1130="Sin Factura",0,P1130-IFERROR(INDEX(Facturas_Odoo!$H:$H, MATCH(Q1130, Facturas_Odoo!$B:$B, 0)), 0)))</f>
        <v/>
      </c>
      <c r="AN1130" s="79">
        <f>IF(AND(A1130="", J1130=""), "", IF(A1130&lt;&gt;"", VALUE(MID(A1130,2,LEN(A1130))), AN1129))</f>
        <v/>
      </c>
      <c r="AO1130" s="79">
        <f>IF(AN1130="","",IF(AD1130=0,"OK",_xlfn.LET(monedaPago, IF(AA1130="","USD",AA1130), limitePermitido, IFERROR(VLOOKUP(monedaPago, Configuración!$A$2:$B$3, 2, FALSE), 0.15), IF(AD1130&gt;limitePermitido, "ALERTA: EXCESO (" &amp; TEXT(limitePermitido, "0%") &amp; " máx)", "OK"))))</f>
        <v/>
      </c>
      <c r="AP1130" s="79">
        <f>IF(AN1130="","",IF(AE1130=0,"OK",_xlfn.LET(fechaPago, Z1130, fechaFactura, R1130, diasCredito, IF(E1130="Pago inmediato", 0, IFERROR(VALUE(MID(E1130, 1, SEARCH(" ", E1130)-1)),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30" s="79">
        <f>IF(AN1130="","",IF(AND(N1130&gt;0, AG1130&gt;0), IF(Configuración!$K$2="NO", "ALERTA: DESCUENTO DOBLE NO PERMITIDO", "OK"), "OK"))</f>
        <v/>
      </c>
      <c r="AR1130" s="79">
        <f>IF(AN1130="","",IF(OR(AO1130&lt;&gt;"OK", AP1130&lt;&gt;"OK", AQ1130&lt;&gt;"OK"), "⚠️ REVISAR", "OK"))</f>
        <v/>
      </c>
    </row>
    <row r="1131">
      <c r="A1131" s="79">
        <f>IF('Ordenes_Odoo'!A1131="","",'Ordenes_Odoo'!A1131)</f>
        <v/>
      </c>
      <c r="B1131" s="80">
        <f>IF('Ordenes_Odoo'!B1131="","",'Ordenes_Odoo'!B1131)</f>
        <v/>
      </c>
      <c r="C1131" s="79">
        <f>IF('Ordenes_Odoo'!C1131="","",'Ordenes_Odoo'!C1131)</f>
        <v/>
      </c>
      <c r="D1131" s="79">
        <f>IF('Ordenes_Odoo'!D1131="","",'Ordenes_Odoo'!D1131)</f>
        <v/>
      </c>
      <c r="E1131" s="79">
        <f>IF('Ordenes_Odoo'!E1131="","",'Ordenes_Odoo'!E1131)</f>
        <v/>
      </c>
      <c r="F1131" s="79">
        <f>IF('Ordenes_Odoo'!F1131="","",'Ordenes_Odoo'!F1131)</f>
        <v/>
      </c>
      <c r="G1131" s="79">
        <f>IF('Ordenes_Odoo'!G1131="","",'Ordenes_Odoo'!G1131)</f>
        <v/>
      </c>
      <c r="H1131" s="79">
        <f>IF('Ordenes_Odoo'!H1131="","",'Ordenes_Odoo'!H1131)</f>
        <v/>
      </c>
      <c r="I1131" s="79">
        <f>IF('Ordenes_Odoo'!I1131="","",'Ordenes_Odoo'!I1131)</f>
        <v/>
      </c>
      <c r="J1131" s="79">
        <f>IF('Ordenes_Odoo'!J1131="","",'Ordenes_Odoo'!J1131)</f>
        <v/>
      </c>
      <c r="K1131" s="81">
        <f>IF('Ordenes_Odoo'!K1131="","",'Ordenes_Odoo'!K1131)</f>
        <v/>
      </c>
      <c r="L1131" s="81">
        <f>IF('Ordenes_Odoo'!L1131="","",'Ordenes_Odoo'!L1131)</f>
        <v/>
      </c>
      <c r="M1131" s="79">
        <f>IF('Ordenes_Odoo'!M1131="","",'Ordenes_Odoo'!M1131)</f>
        <v/>
      </c>
      <c r="N1131" s="79">
        <f>IF('Ordenes_Odoo'!N1131="","",'Ordenes_Odoo'!N1131)</f>
        <v/>
      </c>
      <c r="O1131" s="81">
        <f>IF('Ordenes_Odoo'!O1131="","",'Ordenes_Odoo'!O1131)</f>
        <v/>
      </c>
      <c r="P1131" s="81">
        <f>IF('Ordenes_Odoo'!P1131="","",'Ordenes_Odoo'!P1131)</f>
        <v/>
      </c>
      <c r="Q1131" s="79">
        <f>IF(A1131="","",IFERROR(INDEX(Facturas_Odoo!$B:$B, MATCH(A1131, Facturas_Odoo!$D:$D, 0)), "Sin Factura"))</f>
        <v/>
      </c>
      <c r="R1131" s="80">
        <f>IF(Q1131="Sin Factura","",IFERROR(INDEX(Facturas_Odoo!$A:$A, MATCH(Q1131, Facturas_Odoo!$B:$B, 0)), ""))</f>
        <v/>
      </c>
      <c r="S1131" s="79">
        <f>IF(Q1131="Sin Factura","",IFERROR(_xlfn.XLOOKUP(1, (Facturas_Odoo!$D:$D=A1131) * (Facturas_Odoo!$K:$K=I1131), Facturas_Odoo!$L:$L, ""), ""))</f>
        <v/>
      </c>
      <c r="T1131" s="81">
        <f>IF(Q1131="Sin Factura",0,IFERROR(_xlfn.XLOOKUP(1, (Facturas_Odoo!$D:$D=A1131) * (Facturas_Odoo!$K:$K=I1131), Facturas_Odoo!$M:$M, 0), 0))</f>
        <v/>
      </c>
      <c r="U1131" s="79">
        <f>IF(Q1131="Sin Factura",0,IFERROR(_xlfn.XLOOKUP(1, (Facturas_Odoo!$D:$D=A1131) * (Facturas_Odoo!$K:$K=I1131), Facturas_Odoo!$N:$N, 0), 0))</f>
        <v/>
      </c>
      <c r="V1131" s="79">
        <f>IF(Q1131="Sin Factura",0,IFERROR(_xlfn.XLOOKUP(1, (Facturas_Odoo!$D:$D=A1131) * (Facturas_Odoo!$K:$K=I1131), Facturas_Odoo!$O:$O, 0), 0))</f>
        <v/>
      </c>
      <c r="W1131" s="81">
        <f>IF(Q1131="Sin Factura",0,IFERROR(_xlfn.XLOOKUP(1, (Facturas_Odoo!$D:$D=A1131) * (Facturas_Odoo!$K:$K=I1131), Facturas_Odoo!$Q:$Q, 0), 0))</f>
        <v/>
      </c>
      <c r="X1131" s="79">
        <f>IF(OR(Q1131="Sin Factura",Q1131=""),"",IFERROR(INDEX(Pagos_Odoo!$B:$B, MATCH(Q1131, Pagos_Odoo!$I:$I, 0)), "Sin Pago"))</f>
        <v/>
      </c>
      <c r="Y1131" s="79">
        <f>IF(X1131="Sin Pago","",IFERROR(INDEX(Pagos_Odoo!$C:$C, MATCH(X1131, Pagos_Odoo!$B:$B, 0)), ""))</f>
        <v/>
      </c>
      <c r="Z1131" s="80">
        <f>IF(X1131="Sin Pago","",IFERROR(INDEX(Pagos_Odoo!$A:$A, MATCH(X1131, Pagos_Odoo!$B:$B, 0)), ""))</f>
        <v/>
      </c>
      <c r="AA1131" s="79">
        <f>IF(X1131="Sin Pago","",IFERROR(INDEX(Pagos_Odoo!$F:$F, MATCH(X1131, Pagos_Odoo!$B:$B, 0)), ""))</f>
        <v/>
      </c>
      <c r="AB1131" s="81">
        <f>IF(X1131="Sin Pago",0,IFERROR(INDEX(Pagos_Odoo!$E:$E, MATCH(X1131, Pagos_Odoo!$B:$B, 0)), 0))</f>
        <v/>
      </c>
      <c r="AC1131" s="79">
        <f>IF(X1131="Sin Pago","",IFERROR(INDEX(Pagos_Odoo!$G:$G, MATCH(X1131, Pagos_Odoo!$B:$B, 0)), ""))</f>
        <v/>
      </c>
      <c r="AD1131" s="82" t="n">
        <v>0</v>
      </c>
      <c r="AE1131" s="82" t="n"/>
      <c r="AF1131" s="82" t="n"/>
      <c r="AG1131" s="82">
        <f>IF(AN1131="","",AD1131+AE1131+AF1131)</f>
        <v/>
      </c>
      <c r="AH1131" s="81">
        <f>IF(AN1131="","",P1131*(1-AG1131))</f>
        <v/>
      </c>
      <c r="AI1131" s="81">
        <f>IF(AN1131="","",IF(Q1131="Sin Factura",0,IFERROR(INDEX(Facturas_Odoo!$H:$H, MATCH(Q1131, Facturas_Odoo!$B:$B, 0)), 0)*(1-AG1131)))</f>
        <v/>
      </c>
      <c r="AJ1131" s="81">
        <f>IF(AN1131="","",_xlfn.LET(idVenta, AN1131&amp;"",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31" s="81">
        <f>IF(AN1131="","",AH1131-AJ1131)</f>
        <v/>
      </c>
      <c r="AL1131" s="81">
        <f>IF(AN1131="","",IF(Q1131="Sin Factura","",AI1131-AJ1131))</f>
        <v/>
      </c>
      <c r="AM1131" s="81">
        <f>IF(AN1131="","",IF(Q1131="Sin Factura",0,P1131-IFERROR(INDEX(Facturas_Odoo!$H:$H, MATCH(Q1131, Facturas_Odoo!$B:$B, 0)), 0)))</f>
        <v/>
      </c>
      <c r="AN1131" s="79">
        <f>IF(AND(A1131="", J1131=""), "", IF(A1131&lt;&gt;"", VALUE(MID(A1131,2,LEN(A1131))), AN1130))</f>
        <v/>
      </c>
      <c r="AO1131" s="79">
        <f>IF(AN1131="","",IF(AD1131=0,"OK",_xlfn.LET(monedaPago, IF(AA1131="","USD",AA1131), limitePermitido, IFERROR(VLOOKUP(monedaPago, Configuración!$A$2:$B$3, 2, FALSE), 0.15), IF(AD1131&gt;limitePermitido, "ALERTA: EXCESO (" &amp; TEXT(limitePermitido, "0%") &amp; " máx)", "OK"))))</f>
        <v/>
      </c>
      <c r="AP1131" s="79">
        <f>IF(AN1131="","",IF(AE1131=0,"OK",_xlfn.LET(fechaPago, Z1131, fechaFactura, R1131, diasCredito, IF(E1131="Pago inmediato", 0, IFERROR(VALUE(MID(E1131, 1, SEARCH(" ", E1131)-1)),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31" s="79">
        <f>IF(AN1131="","",IF(AND(N1131&gt;0, AG1131&gt;0), IF(Configuración!$K$2="NO", "ALERTA: DESCUENTO DOBLE NO PERMITIDO", "OK"), "OK"))</f>
        <v/>
      </c>
      <c r="AR1131" s="79">
        <f>IF(AN1131="","",IF(OR(AO1131&lt;&gt;"OK", AP1131&lt;&gt;"OK", AQ1131&lt;&gt;"OK"), "⚠️ REVISAR", "OK"))</f>
        <v/>
      </c>
    </row>
    <row r="1132">
      <c r="A1132" s="79">
        <f>IF('Ordenes_Odoo'!A1132="","",'Ordenes_Odoo'!A1132)</f>
        <v/>
      </c>
      <c r="B1132" s="80">
        <f>IF('Ordenes_Odoo'!B1132="","",'Ordenes_Odoo'!B1132)</f>
        <v/>
      </c>
      <c r="C1132" s="79">
        <f>IF('Ordenes_Odoo'!C1132="","",'Ordenes_Odoo'!C1132)</f>
        <v/>
      </c>
      <c r="D1132" s="79">
        <f>IF('Ordenes_Odoo'!D1132="","",'Ordenes_Odoo'!D1132)</f>
        <v/>
      </c>
      <c r="E1132" s="79">
        <f>IF('Ordenes_Odoo'!E1132="","",'Ordenes_Odoo'!E1132)</f>
        <v/>
      </c>
      <c r="F1132" s="79">
        <f>IF('Ordenes_Odoo'!F1132="","",'Ordenes_Odoo'!F1132)</f>
        <v/>
      </c>
      <c r="G1132" s="79">
        <f>IF('Ordenes_Odoo'!G1132="","",'Ordenes_Odoo'!G1132)</f>
        <v/>
      </c>
      <c r="H1132" s="79">
        <f>IF('Ordenes_Odoo'!H1132="","",'Ordenes_Odoo'!H1132)</f>
        <v/>
      </c>
      <c r="I1132" s="79">
        <f>IF('Ordenes_Odoo'!I1132="","",'Ordenes_Odoo'!I1132)</f>
        <v/>
      </c>
      <c r="J1132" s="79">
        <f>IF('Ordenes_Odoo'!J1132="","",'Ordenes_Odoo'!J1132)</f>
        <v/>
      </c>
      <c r="K1132" s="81">
        <f>IF('Ordenes_Odoo'!K1132="","",'Ordenes_Odoo'!K1132)</f>
        <v/>
      </c>
      <c r="L1132" s="81">
        <f>IF('Ordenes_Odoo'!L1132="","",'Ordenes_Odoo'!L1132)</f>
        <v/>
      </c>
      <c r="M1132" s="79">
        <f>IF('Ordenes_Odoo'!M1132="","",'Ordenes_Odoo'!M1132)</f>
        <v/>
      </c>
      <c r="N1132" s="79">
        <f>IF('Ordenes_Odoo'!N1132="","",'Ordenes_Odoo'!N1132)</f>
        <v/>
      </c>
      <c r="O1132" s="81">
        <f>IF('Ordenes_Odoo'!O1132="","",'Ordenes_Odoo'!O1132)</f>
        <v/>
      </c>
      <c r="P1132" s="81">
        <f>IF('Ordenes_Odoo'!P1132="","",'Ordenes_Odoo'!P1132)</f>
        <v/>
      </c>
      <c r="Q1132" s="79">
        <f>IF(A1132="","",IFERROR(INDEX(Facturas_Odoo!$B:$B, MATCH(A1132, Facturas_Odoo!$D:$D, 0)), "Sin Factura"))</f>
        <v/>
      </c>
      <c r="R1132" s="80">
        <f>IF(Q1132="Sin Factura","",IFERROR(INDEX(Facturas_Odoo!$A:$A, MATCH(Q1132, Facturas_Odoo!$B:$B, 0)), ""))</f>
        <v/>
      </c>
      <c r="S1132" s="79">
        <f>IF(Q1132="Sin Factura","",IFERROR(_xlfn.XLOOKUP(1, (Facturas_Odoo!$D:$D=A1132) * (Facturas_Odoo!$K:$K=I1132), Facturas_Odoo!$L:$L, ""), ""))</f>
        <v/>
      </c>
      <c r="T1132" s="81">
        <f>IF(Q1132="Sin Factura",0,IFERROR(_xlfn.XLOOKUP(1, (Facturas_Odoo!$D:$D=A1132) * (Facturas_Odoo!$K:$K=I1132), Facturas_Odoo!$M:$M, 0), 0))</f>
        <v/>
      </c>
      <c r="U1132" s="79">
        <f>IF(Q1132="Sin Factura",0,IFERROR(_xlfn.XLOOKUP(1, (Facturas_Odoo!$D:$D=A1132) * (Facturas_Odoo!$K:$K=I1132), Facturas_Odoo!$N:$N, 0), 0))</f>
        <v/>
      </c>
      <c r="V1132" s="79">
        <f>IF(Q1132="Sin Factura",0,IFERROR(_xlfn.XLOOKUP(1, (Facturas_Odoo!$D:$D=A1132) * (Facturas_Odoo!$K:$K=I1132), Facturas_Odoo!$O:$O, 0), 0))</f>
        <v/>
      </c>
      <c r="W1132" s="81">
        <f>IF(Q1132="Sin Factura",0,IFERROR(_xlfn.XLOOKUP(1, (Facturas_Odoo!$D:$D=A1132) * (Facturas_Odoo!$K:$K=I1132), Facturas_Odoo!$Q:$Q, 0), 0))</f>
        <v/>
      </c>
      <c r="X1132" s="79">
        <f>IF(OR(Q1132="Sin Factura",Q1132=""),"",IFERROR(INDEX(Pagos_Odoo!$B:$B, MATCH(Q1132, Pagos_Odoo!$I:$I, 0)), "Sin Pago"))</f>
        <v/>
      </c>
      <c r="Y1132" s="79">
        <f>IF(X1132="Sin Pago","",IFERROR(INDEX(Pagos_Odoo!$C:$C, MATCH(X1132, Pagos_Odoo!$B:$B, 0)), ""))</f>
        <v/>
      </c>
      <c r="Z1132" s="80">
        <f>IF(X1132="Sin Pago","",IFERROR(INDEX(Pagos_Odoo!$A:$A, MATCH(X1132, Pagos_Odoo!$B:$B, 0)), ""))</f>
        <v/>
      </c>
      <c r="AA1132" s="79">
        <f>IF(X1132="Sin Pago","",IFERROR(INDEX(Pagos_Odoo!$F:$F, MATCH(X1132, Pagos_Odoo!$B:$B, 0)), ""))</f>
        <v/>
      </c>
      <c r="AB1132" s="81">
        <f>IF(X1132="Sin Pago",0,IFERROR(INDEX(Pagos_Odoo!$E:$E, MATCH(X1132, Pagos_Odoo!$B:$B, 0)), 0))</f>
        <v/>
      </c>
      <c r="AC1132" s="79">
        <f>IF(X1132="Sin Pago","",IFERROR(INDEX(Pagos_Odoo!$G:$G, MATCH(X1132, Pagos_Odoo!$B:$B, 0)), ""))</f>
        <v/>
      </c>
      <c r="AD1132" s="82" t="n">
        <v>0</v>
      </c>
      <c r="AE1132" s="82" t="n"/>
      <c r="AF1132" s="82" t="n"/>
      <c r="AG1132" s="82">
        <f>IF(AN1132="","",AD1132+AE1132+AF1132)</f>
        <v/>
      </c>
      <c r="AH1132" s="81">
        <f>IF(AN1132="","",P1132*(1-AG1132))</f>
        <v/>
      </c>
      <c r="AI1132" s="81">
        <f>IF(AN1132="","",IF(Q1132="Sin Factura",0,IFERROR(INDEX(Facturas_Odoo!$H:$H, MATCH(Q1132, Facturas_Odoo!$B:$B, 0)), 0)*(1-AG1132)))</f>
        <v/>
      </c>
      <c r="AJ1132" s="81">
        <f>IF(AN1132="","",_xlfn.LET(idVenta, AN1132&amp;"",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32" s="81">
        <f>IF(AN1132="","",AH1132-AJ1132)</f>
        <v/>
      </c>
      <c r="AL1132" s="81">
        <f>IF(AN1132="","",IF(Q1132="Sin Factura","",AI1132-AJ1132))</f>
        <v/>
      </c>
      <c r="AM1132" s="81">
        <f>IF(AN1132="","",IF(Q1132="Sin Factura",0,P1132-IFERROR(INDEX(Facturas_Odoo!$H:$H, MATCH(Q1132, Facturas_Odoo!$B:$B, 0)), 0)))</f>
        <v/>
      </c>
      <c r="AN1132" s="79">
        <f>IF(AND(A1132="", J1132=""), "", IF(A1132&lt;&gt;"", VALUE(MID(A1132,2,LEN(A1132))), AN1131))</f>
        <v/>
      </c>
      <c r="AO1132" s="79">
        <f>IF(AN1132="","",IF(AD1132=0,"OK",_xlfn.LET(monedaPago, IF(AA1132="","USD",AA1132), limitePermitido, IFERROR(VLOOKUP(monedaPago, Configuración!$A$2:$B$3, 2, FALSE), 0.15), IF(AD1132&gt;limitePermitido, "ALERTA: EXCESO (" &amp; TEXT(limitePermitido, "0%") &amp; " máx)", "OK"))))</f>
        <v/>
      </c>
      <c r="AP1132" s="79">
        <f>IF(AN1132="","",IF(AE1132=0,"OK",_xlfn.LET(fechaPago, Z1132, fechaFactura, R1132, diasCredito, IF(E1132="Pago inmediato", 0, IFERROR(VALUE(MID(E1132, 1, SEARCH(" ", E1132)-1)),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32" s="79">
        <f>IF(AN1132="","",IF(AND(N1132&gt;0, AG1132&gt;0), IF(Configuración!$K$2="NO", "ALERTA: DESCUENTO DOBLE NO PERMITIDO", "OK"), "OK"))</f>
        <v/>
      </c>
      <c r="AR1132" s="79">
        <f>IF(AN1132="","",IF(OR(AO1132&lt;&gt;"OK", AP1132&lt;&gt;"OK", AQ1132&lt;&gt;"OK"), "⚠️ REVISAR", "OK"))</f>
        <v/>
      </c>
    </row>
    <row r="1133">
      <c r="A1133" s="79">
        <f>IF('Ordenes_Odoo'!A1133="","",'Ordenes_Odoo'!A1133)</f>
        <v/>
      </c>
      <c r="B1133" s="80">
        <f>IF('Ordenes_Odoo'!B1133="","",'Ordenes_Odoo'!B1133)</f>
        <v/>
      </c>
      <c r="C1133" s="79">
        <f>IF('Ordenes_Odoo'!C1133="","",'Ordenes_Odoo'!C1133)</f>
        <v/>
      </c>
      <c r="D1133" s="79">
        <f>IF('Ordenes_Odoo'!D1133="","",'Ordenes_Odoo'!D1133)</f>
        <v/>
      </c>
      <c r="E1133" s="79">
        <f>IF('Ordenes_Odoo'!E1133="","",'Ordenes_Odoo'!E1133)</f>
        <v/>
      </c>
      <c r="F1133" s="79">
        <f>IF('Ordenes_Odoo'!F1133="","",'Ordenes_Odoo'!F1133)</f>
        <v/>
      </c>
      <c r="G1133" s="79">
        <f>IF('Ordenes_Odoo'!G1133="","",'Ordenes_Odoo'!G1133)</f>
        <v/>
      </c>
      <c r="H1133" s="79">
        <f>IF('Ordenes_Odoo'!H1133="","",'Ordenes_Odoo'!H1133)</f>
        <v/>
      </c>
      <c r="I1133" s="79">
        <f>IF('Ordenes_Odoo'!I1133="","",'Ordenes_Odoo'!I1133)</f>
        <v/>
      </c>
      <c r="J1133" s="79">
        <f>IF('Ordenes_Odoo'!J1133="","",'Ordenes_Odoo'!J1133)</f>
        <v/>
      </c>
      <c r="K1133" s="81">
        <f>IF('Ordenes_Odoo'!K1133="","",'Ordenes_Odoo'!K1133)</f>
        <v/>
      </c>
      <c r="L1133" s="81">
        <f>IF('Ordenes_Odoo'!L1133="","",'Ordenes_Odoo'!L1133)</f>
        <v/>
      </c>
      <c r="M1133" s="79">
        <f>IF('Ordenes_Odoo'!M1133="","",'Ordenes_Odoo'!M1133)</f>
        <v/>
      </c>
      <c r="N1133" s="79">
        <f>IF('Ordenes_Odoo'!N1133="","",'Ordenes_Odoo'!N1133)</f>
        <v/>
      </c>
      <c r="O1133" s="81">
        <f>IF('Ordenes_Odoo'!O1133="","",'Ordenes_Odoo'!O1133)</f>
        <v/>
      </c>
      <c r="P1133" s="81">
        <f>IF('Ordenes_Odoo'!P1133="","",'Ordenes_Odoo'!P1133)</f>
        <v/>
      </c>
      <c r="Q1133" s="79">
        <f>IF(A1133="","",IFERROR(INDEX(Facturas_Odoo!$B:$B, MATCH(A1133, Facturas_Odoo!$D:$D, 0)), "Sin Factura"))</f>
        <v/>
      </c>
      <c r="R1133" s="80">
        <f>IF(Q1133="Sin Factura","",IFERROR(INDEX(Facturas_Odoo!$A:$A, MATCH(Q1133, Facturas_Odoo!$B:$B, 0)), ""))</f>
        <v/>
      </c>
      <c r="S1133" s="79">
        <f>IF(Q1133="Sin Factura","",IFERROR(_xlfn.XLOOKUP(1, (Facturas_Odoo!$D:$D=A1133) * (Facturas_Odoo!$K:$K=I1133), Facturas_Odoo!$L:$L, ""), ""))</f>
        <v/>
      </c>
      <c r="T1133" s="81">
        <f>IF(Q1133="Sin Factura",0,IFERROR(_xlfn.XLOOKUP(1, (Facturas_Odoo!$D:$D=A1133) * (Facturas_Odoo!$K:$K=I1133), Facturas_Odoo!$M:$M, 0), 0))</f>
        <v/>
      </c>
      <c r="U1133" s="79">
        <f>IF(Q1133="Sin Factura",0,IFERROR(_xlfn.XLOOKUP(1, (Facturas_Odoo!$D:$D=A1133) * (Facturas_Odoo!$K:$K=I1133), Facturas_Odoo!$N:$N, 0), 0))</f>
        <v/>
      </c>
      <c r="V1133" s="79">
        <f>IF(Q1133="Sin Factura",0,IFERROR(_xlfn.XLOOKUP(1, (Facturas_Odoo!$D:$D=A1133) * (Facturas_Odoo!$K:$K=I1133), Facturas_Odoo!$O:$O, 0), 0))</f>
        <v/>
      </c>
      <c r="W1133" s="81">
        <f>IF(Q1133="Sin Factura",0,IFERROR(_xlfn.XLOOKUP(1, (Facturas_Odoo!$D:$D=A1133) * (Facturas_Odoo!$K:$K=I1133), Facturas_Odoo!$Q:$Q, 0), 0))</f>
        <v/>
      </c>
      <c r="X1133" s="79">
        <f>IF(OR(Q1133="Sin Factura",Q1133=""),"",IFERROR(INDEX(Pagos_Odoo!$B:$B, MATCH(Q1133, Pagos_Odoo!$I:$I, 0)), "Sin Pago"))</f>
        <v/>
      </c>
      <c r="Y1133" s="79">
        <f>IF(X1133="Sin Pago","",IFERROR(INDEX(Pagos_Odoo!$C:$C, MATCH(X1133, Pagos_Odoo!$B:$B, 0)), ""))</f>
        <v/>
      </c>
      <c r="Z1133" s="80">
        <f>IF(X1133="Sin Pago","",IFERROR(INDEX(Pagos_Odoo!$A:$A, MATCH(X1133, Pagos_Odoo!$B:$B, 0)), ""))</f>
        <v/>
      </c>
      <c r="AA1133" s="79">
        <f>IF(X1133="Sin Pago","",IFERROR(INDEX(Pagos_Odoo!$F:$F, MATCH(X1133, Pagos_Odoo!$B:$B, 0)), ""))</f>
        <v/>
      </c>
      <c r="AB1133" s="81">
        <f>IF(X1133="Sin Pago",0,IFERROR(INDEX(Pagos_Odoo!$E:$E, MATCH(X1133, Pagos_Odoo!$B:$B, 0)), 0))</f>
        <v/>
      </c>
      <c r="AC1133" s="79">
        <f>IF(X1133="Sin Pago","",IFERROR(INDEX(Pagos_Odoo!$G:$G, MATCH(X1133, Pagos_Odoo!$B:$B, 0)), ""))</f>
        <v/>
      </c>
      <c r="AD1133" s="82" t="n">
        <v>0</v>
      </c>
      <c r="AE1133" s="82" t="n"/>
      <c r="AF1133" s="82" t="n"/>
      <c r="AG1133" s="82">
        <f>IF(AN1133="","",AD1133+AE1133+AF1133)</f>
        <v/>
      </c>
      <c r="AH1133" s="81">
        <f>IF(AN1133="","",P1133*(1-AG1133))</f>
        <v/>
      </c>
      <c r="AI1133" s="81">
        <f>IF(AN1133="","",IF(Q1133="Sin Factura",0,IFERROR(INDEX(Facturas_Odoo!$H:$H, MATCH(Q1133, Facturas_Odoo!$B:$B, 0)), 0)*(1-AG1133)))</f>
        <v/>
      </c>
      <c r="AJ1133" s="81">
        <f>IF(AN1133="","",_xlfn.LET(idVenta, AN1133&amp;"",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33" s="81">
        <f>IF(AN1133="","",AH1133-AJ1133)</f>
        <v/>
      </c>
      <c r="AL1133" s="81">
        <f>IF(AN1133="","",IF(Q1133="Sin Factura","",AI1133-AJ1133))</f>
        <v/>
      </c>
      <c r="AM1133" s="81">
        <f>IF(AN1133="","",IF(Q1133="Sin Factura",0,P1133-IFERROR(INDEX(Facturas_Odoo!$H:$H, MATCH(Q1133, Facturas_Odoo!$B:$B, 0)), 0)))</f>
        <v/>
      </c>
      <c r="AN1133" s="79">
        <f>IF(AND(A1133="", J1133=""), "", IF(A1133&lt;&gt;"", VALUE(MID(A1133,2,LEN(A1133))), AN1132))</f>
        <v/>
      </c>
      <c r="AO1133" s="79">
        <f>IF(AN1133="","",IF(AD1133=0,"OK",_xlfn.LET(monedaPago, IF(AA1133="","USD",AA1133), limitePermitido, IFERROR(VLOOKUP(monedaPago, Configuración!$A$2:$B$3, 2, FALSE), 0.15), IF(AD1133&gt;limitePermitido, "ALERTA: EXCESO (" &amp; TEXT(limitePermitido, "0%") &amp; " máx)", "OK"))))</f>
        <v/>
      </c>
      <c r="AP1133" s="79">
        <f>IF(AN1133="","",IF(AE1133=0,"OK",_xlfn.LET(fechaPago, Z1133, fechaFactura, R1133, diasCredito, IF(E1133="Pago inmediato", 0, IFERROR(VALUE(MID(E1133, 1, SEARCH(" ", E1133)-1)),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33" s="79">
        <f>IF(AN1133="","",IF(AND(N1133&gt;0, AG1133&gt;0), IF(Configuración!$K$2="NO", "ALERTA: DESCUENTO DOBLE NO PERMITIDO", "OK"), "OK"))</f>
        <v/>
      </c>
      <c r="AR1133" s="79">
        <f>IF(AN1133="","",IF(OR(AO1133&lt;&gt;"OK", AP1133&lt;&gt;"OK", AQ1133&lt;&gt;"OK"), "⚠️ REVISAR", "OK"))</f>
        <v/>
      </c>
    </row>
    <row r="1134">
      <c r="A1134" s="79">
        <f>IF('Ordenes_Odoo'!A1134="","",'Ordenes_Odoo'!A1134)</f>
        <v/>
      </c>
      <c r="B1134" s="80">
        <f>IF('Ordenes_Odoo'!B1134="","",'Ordenes_Odoo'!B1134)</f>
        <v/>
      </c>
      <c r="C1134" s="79">
        <f>IF('Ordenes_Odoo'!C1134="","",'Ordenes_Odoo'!C1134)</f>
        <v/>
      </c>
      <c r="D1134" s="79">
        <f>IF('Ordenes_Odoo'!D1134="","",'Ordenes_Odoo'!D1134)</f>
        <v/>
      </c>
      <c r="E1134" s="79">
        <f>IF('Ordenes_Odoo'!E1134="","",'Ordenes_Odoo'!E1134)</f>
        <v/>
      </c>
      <c r="F1134" s="79">
        <f>IF('Ordenes_Odoo'!F1134="","",'Ordenes_Odoo'!F1134)</f>
        <v/>
      </c>
      <c r="G1134" s="79">
        <f>IF('Ordenes_Odoo'!G1134="","",'Ordenes_Odoo'!G1134)</f>
        <v/>
      </c>
      <c r="H1134" s="79">
        <f>IF('Ordenes_Odoo'!H1134="","",'Ordenes_Odoo'!H1134)</f>
        <v/>
      </c>
      <c r="I1134" s="79">
        <f>IF('Ordenes_Odoo'!I1134="","",'Ordenes_Odoo'!I1134)</f>
        <v/>
      </c>
      <c r="J1134" s="79">
        <f>IF('Ordenes_Odoo'!J1134="","",'Ordenes_Odoo'!J1134)</f>
        <v/>
      </c>
      <c r="K1134" s="81">
        <f>IF('Ordenes_Odoo'!K1134="","",'Ordenes_Odoo'!K1134)</f>
        <v/>
      </c>
      <c r="L1134" s="81">
        <f>IF('Ordenes_Odoo'!L1134="","",'Ordenes_Odoo'!L1134)</f>
        <v/>
      </c>
      <c r="M1134" s="79">
        <f>IF('Ordenes_Odoo'!M1134="","",'Ordenes_Odoo'!M1134)</f>
        <v/>
      </c>
      <c r="N1134" s="79">
        <f>IF('Ordenes_Odoo'!N1134="","",'Ordenes_Odoo'!N1134)</f>
        <v/>
      </c>
      <c r="O1134" s="81">
        <f>IF('Ordenes_Odoo'!O1134="","",'Ordenes_Odoo'!O1134)</f>
        <v/>
      </c>
      <c r="P1134" s="81">
        <f>IF('Ordenes_Odoo'!P1134="","",'Ordenes_Odoo'!P1134)</f>
        <v/>
      </c>
      <c r="Q1134" s="79">
        <f>IF(A1134="","",IFERROR(INDEX(Facturas_Odoo!$B:$B, MATCH(A1134, Facturas_Odoo!$D:$D, 0)), "Sin Factura"))</f>
        <v/>
      </c>
      <c r="R1134" s="80">
        <f>IF(Q1134="Sin Factura","",IFERROR(INDEX(Facturas_Odoo!$A:$A, MATCH(Q1134, Facturas_Odoo!$B:$B, 0)), ""))</f>
        <v/>
      </c>
      <c r="S1134" s="79">
        <f>IF(Q1134="Sin Factura","",IFERROR(_xlfn.XLOOKUP(1, (Facturas_Odoo!$D:$D=A1134) * (Facturas_Odoo!$K:$K=I1134), Facturas_Odoo!$L:$L, ""), ""))</f>
        <v/>
      </c>
      <c r="T1134" s="81">
        <f>IF(Q1134="Sin Factura",0,IFERROR(_xlfn.XLOOKUP(1, (Facturas_Odoo!$D:$D=A1134) * (Facturas_Odoo!$K:$K=I1134), Facturas_Odoo!$M:$M, 0), 0))</f>
        <v/>
      </c>
      <c r="U1134" s="79">
        <f>IF(Q1134="Sin Factura",0,IFERROR(_xlfn.XLOOKUP(1, (Facturas_Odoo!$D:$D=A1134) * (Facturas_Odoo!$K:$K=I1134), Facturas_Odoo!$N:$N, 0), 0))</f>
        <v/>
      </c>
      <c r="V1134" s="79">
        <f>IF(Q1134="Sin Factura",0,IFERROR(_xlfn.XLOOKUP(1, (Facturas_Odoo!$D:$D=A1134) * (Facturas_Odoo!$K:$K=I1134), Facturas_Odoo!$O:$O, 0), 0))</f>
        <v/>
      </c>
      <c r="W1134" s="81">
        <f>IF(Q1134="Sin Factura",0,IFERROR(_xlfn.XLOOKUP(1, (Facturas_Odoo!$D:$D=A1134) * (Facturas_Odoo!$K:$K=I1134), Facturas_Odoo!$Q:$Q, 0), 0))</f>
        <v/>
      </c>
      <c r="X1134" s="79">
        <f>IF(OR(Q1134="Sin Factura",Q1134=""),"",IFERROR(INDEX(Pagos_Odoo!$B:$B, MATCH(Q1134, Pagos_Odoo!$I:$I, 0)), "Sin Pago"))</f>
        <v/>
      </c>
      <c r="Y1134" s="79">
        <f>IF(X1134="Sin Pago","",IFERROR(INDEX(Pagos_Odoo!$C:$C, MATCH(X1134, Pagos_Odoo!$B:$B, 0)), ""))</f>
        <v/>
      </c>
      <c r="Z1134" s="80">
        <f>IF(X1134="Sin Pago","",IFERROR(INDEX(Pagos_Odoo!$A:$A, MATCH(X1134, Pagos_Odoo!$B:$B, 0)), ""))</f>
        <v/>
      </c>
      <c r="AA1134" s="79">
        <f>IF(X1134="Sin Pago","",IFERROR(INDEX(Pagos_Odoo!$F:$F, MATCH(X1134, Pagos_Odoo!$B:$B, 0)), ""))</f>
        <v/>
      </c>
      <c r="AB1134" s="81">
        <f>IF(X1134="Sin Pago",0,IFERROR(INDEX(Pagos_Odoo!$E:$E, MATCH(X1134, Pagos_Odoo!$B:$B, 0)), 0))</f>
        <v/>
      </c>
      <c r="AC1134" s="79">
        <f>IF(X1134="Sin Pago","",IFERROR(INDEX(Pagos_Odoo!$G:$G, MATCH(X1134, Pagos_Odoo!$B:$B, 0)), ""))</f>
        <v/>
      </c>
      <c r="AD1134" s="82" t="n">
        <v>0</v>
      </c>
      <c r="AE1134" s="82" t="n"/>
      <c r="AF1134" s="82" t="n"/>
      <c r="AG1134" s="82">
        <f>IF(AN1134="","",AD1134+AE1134+AF1134)</f>
        <v/>
      </c>
      <c r="AH1134" s="81">
        <f>IF(AN1134="","",P1134*(1-AG1134))</f>
        <v/>
      </c>
      <c r="AI1134" s="81">
        <f>IF(AN1134="","",IF(Q1134="Sin Factura",0,IFERROR(INDEX(Facturas_Odoo!$H:$H, MATCH(Q1134, Facturas_Odoo!$B:$B, 0)), 0)*(1-AG1134)))</f>
        <v/>
      </c>
      <c r="AJ1134" s="81">
        <f>IF(AN1134="","",_xlfn.LET(idVenta, AN1134&amp;"",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34" s="81">
        <f>IF(AN1134="","",AH1134-AJ1134)</f>
        <v/>
      </c>
      <c r="AL1134" s="81">
        <f>IF(AN1134="","",IF(Q1134="Sin Factura","",AI1134-AJ1134))</f>
        <v/>
      </c>
      <c r="AM1134" s="81">
        <f>IF(AN1134="","",IF(Q1134="Sin Factura",0,P1134-IFERROR(INDEX(Facturas_Odoo!$H:$H, MATCH(Q1134, Facturas_Odoo!$B:$B, 0)), 0)))</f>
        <v/>
      </c>
      <c r="AN1134" s="79">
        <f>IF(AND(A1134="", J1134=""), "", IF(A1134&lt;&gt;"", VALUE(MID(A1134,2,LEN(A1134))), AN1133))</f>
        <v/>
      </c>
      <c r="AO1134" s="79">
        <f>IF(AN1134="","",IF(AD1134=0,"OK",_xlfn.LET(monedaPago, IF(AA1134="","USD",AA1134), limitePermitido, IFERROR(VLOOKUP(monedaPago, Configuración!$A$2:$B$3, 2, FALSE), 0.15), IF(AD1134&gt;limitePermitido, "ALERTA: EXCESO (" &amp; TEXT(limitePermitido, "0%") &amp; " máx)", "OK"))))</f>
        <v/>
      </c>
      <c r="AP1134" s="79">
        <f>IF(AN1134="","",IF(AE1134=0,"OK",_xlfn.LET(fechaPago, Z1134, fechaFactura, R1134, diasCredito, IF(E1134="Pago inmediato", 0, IFERROR(VALUE(MID(E1134, 1, SEARCH(" ", E1134)-1)),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34" s="79">
        <f>IF(AN1134="","",IF(AND(N1134&gt;0, AG1134&gt;0), IF(Configuración!$K$2="NO", "ALERTA: DESCUENTO DOBLE NO PERMITIDO", "OK"), "OK"))</f>
        <v/>
      </c>
      <c r="AR1134" s="79">
        <f>IF(AN1134="","",IF(OR(AO1134&lt;&gt;"OK", AP1134&lt;&gt;"OK", AQ1134&lt;&gt;"OK"), "⚠️ REVISAR", "OK"))</f>
        <v/>
      </c>
    </row>
    <row r="1135">
      <c r="A1135" s="79">
        <f>IF('Ordenes_Odoo'!A1135="","",'Ordenes_Odoo'!A1135)</f>
        <v/>
      </c>
      <c r="B1135" s="80">
        <f>IF('Ordenes_Odoo'!B1135="","",'Ordenes_Odoo'!B1135)</f>
        <v/>
      </c>
      <c r="C1135" s="79">
        <f>IF('Ordenes_Odoo'!C1135="","",'Ordenes_Odoo'!C1135)</f>
        <v/>
      </c>
      <c r="D1135" s="79">
        <f>IF('Ordenes_Odoo'!D1135="","",'Ordenes_Odoo'!D1135)</f>
        <v/>
      </c>
      <c r="E1135" s="79">
        <f>IF('Ordenes_Odoo'!E1135="","",'Ordenes_Odoo'!E1135)</f>
        <v/>
      </c>
      <c r="F1135" s="79">
        <f>IF('Ordenes_Odoo'!F1135="","",'Ordenes_Odoo'!F1135)</f>
        <v/>
      </c>
      <c r="G1135" s="79">
        <f>IF('Ordenes_Odoo'!G1135="","",'Ordenes_Odoo'!G1135)</f>
        <v/>
      </c>
      <c r="H1135" s="79">
        <f>IF('Ordenes_Odoo'!H1135="","",'Ordenes_Odoo'!H1135)</f>
        <v/>
      </c>
      <c r="I1135" s="79">
        <f>IF('Ordenes_Odoo'!I1135="","",'Ordenes_Odoo'!I1135)</f>
        <v/>
      </c>
      <c r="J1135" s="79">
        <f>IF('Ordenes_Odoo'!J1135="","",'Ordenes_Odoo'!J1135)</f>
        <v/>
      </c>
      <c r="K1135" s="81">
        <f>IF('Ordenes_Odoo'!K1135="","",'Ordenes_Odoo'!K1135)</f>
        <v/>
      </c>
      <c r="L1135" s="81">
        <f>IF('Ordenes_Odoo'!L1135="","",'Ordenes_Odoo'!L1135)</f>
        <v/>
      </c>
      <c r="M1135" s="79">
        <f>IF('Ordenes_Odoo'!M1135="","",'Ordenes_Odoo'!M1135)</f>
        <v/>
      </c>
      <c r="N1135" s="79">
        <f>IF('Ordenes_Odoo'!N1135="","",'Ordenes_Odoo'!N1135)</f>
        <v/>
      </c>
      <c r="O1135" s="81">
        <f>IF('Ordenes_Odoo'!O1135="","",'Ordenes_Odoo'!O1135)</f>
        <v/>
      </c>
      <c r="P1135" s="81">
        <f>IF('Ordenes_Odoo'!P1135="","",'Ordenes_Odoo'!P1135)</f>
        <v/>
      </c>
      <c r="Q1135" s="79">
        <f>IF(A1135="","",IFERROR(INDEX(Facturas_Odoo!$B:$B, MATCH(A1135, Facturas_Odoo!$D:$D, 0)), "Sin Factura"))</f>
        <v/>
      </c>
      <c r="R1135" s="80">
        <f>IF(Q1135="Sin Factura","",IFERROR(INDEX(Facturas_Odoo!$A:$A, MATCH(Q1135, Facturas_Odoo!$B:$B, 0)), ""))</f>
        <v/>
      </c>
      <c r="S1135" s="79">
        <f>IF(Q1135="Sin Factura","",IFERROR(_xlfn.XLOOKUP(1, (Facturas_Odoo!$D:$D=A1135) * (Facturas_Odoo!$K:$K=I1135), Facturas_Odoo!$L:$L, ""), ""))</f>
        <v/>
      </c>
      <c r="T1135" s="81">
        <f>IF(Q1135="Sin Factura",0,IFERROR(_xlfn.XLOOKUP(1, (Facturas_Odoo!$D:$D=A1135) * (Facturas_Odoo!$K:$K=I1135), Facturas_Odoo!$M:$M, 0), 0))</f>
        <v/>
      </c>
      <c r="U1135" s="79">
        <f>IF(Q1135="Sin Factura",0,IFERROR(_xlfn.XLOOKUP(1, (Facturas_Odoo!$D:$D=A1135) * (Facturas_Odoo!$K:$K=I1135), Facturas_Odoo!$N:$N, 0), 0))</f>
        <v/>
      </c>
      <c r="V1135" s="79">
        <f>IF(Q1135="Sin Factura",0,IFERROR(_xlfn.XLOOKUP(1, (Facturas_Odoo!$D:$D=A1135) * (Facturas_Odoo!$K:$K=I1135), Facturas_Odoo!$O:$O, 0), 0))</f>
        <v/>
      </c>
      <c r="W1135" s="81">
        <f>IF(Q1135="Sin Factura",0,IFERROR(_xlfn.XLOOKUP(1, (Facturas_Odoo!$D:$D=A1135) * (Facturas_Odoo!$K:$K=I1135), Facturas_Odoo!$Q:$Q, 0), 0))</f>
        <v/>
      </c>
      <c r="X1135" s="79">
        <f>IF(OR(Q1135="Sin Factura",Q1135=""),"",IFERROR(INDEX(Pagos_Odoo!$B:$B, MATCH(Q1135, Pagos_Odoo!$I:$I, 0)), "Sin Pago"))</f>
        <v/>
      </c>
      <c r="Y1135" s="79">
        <f>IF(X1135="Sin Pago","",IFERROR(INDEX(Pagos_Odoo!$C:$C, MATCH(X1135, Pagos_Odoo!$B:$B, 0)), ""))</f>
        <v/>
      </c>
      <c r="Z1135" s="80">
        <f>IF(X1135="Sin Pago","",IFERROR(INDEX(Pagos_Odoo!$A:$A, MATCH(X1135, Pagos_Odoo!$B:$B, 0)), ""))</f>
        <v/>
      </c>
      <c r="AA1135" s="79">
        <f>IF(X1135="Sin Pago","",IFERROR(INDEX(Pagos_Odoo!$F:$F, MATCH(X1135, Pagos_Odoo!$B:$B, 0)), ""))</f>
        <v/>
      </c>
      <c r="AB1135" s="81">
        <f>IF(X1135="Sin Pago",0,IFERROR(INDEX(Pagos_Odoo!$E:$E, MATCH(X1135, Pagos_Odoo!$B:$B, 0)), 0))</f>
        <v/>
      </c>
      <c r="AC1135" s="79">
        <f>IF(X1135="Sin Pago","",IFERROR(INDEX(Pagos_Odoo!$G:$G, MATCH(X1135, Pagos_Odoo!$B:$B, 0)), ""))</f>
        <v/>
      </c>
      <c r="AD1135" s="82" t="n">
        <v>0</v>
      </c>
      <c r="AE1135" s="82" t="n"/>
      <c r="AF1135" s="82" t="n"/>
      <c r="AG1135" s="82">
        <f>IF(AN1135="","",AD1135+AE1135+AF1135)</f>
        <v/>
      </c>
      <c r="AH1135" s="81">
        <f>IF(AN1135="","",P1135*(1-AG1135))</f>
        <v/>
      </c>
      <c r="AI1135" s="81">
        <f>IF(AN1135="","",IF(Q1135="Sin Factura",0,IFERROR(INDEX(Facturas_Odoo!$H:$H, MATCH(Q1135, Facturas_Odoo!$B:$B, 0)), 0)*(1-AG1135)))</f>
        <v/>
      </c>
      <c r="AJ1135" s="81">
        <f>IF(AN1135="","",_xlfn.LET(idVenta, AN1135&amp;"",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35" s="81">
        <f>IF(AN1135="","",AH1135-AJ1135)</f>
        <v/>
      </c>
      <c r="AL1135" s="81">
        <f>IF(AN1135="","",IF(Q1135="Sin Factura","",AI1135-AJ1135))</f>
        <v/>
      </c>
      <c r="AM1135" s="81">
        <f>IF(AN1135="","",IF(Q1135="Sin Factura",0,P1135-IFERROR(INDEX(Facturas_Odoo!$H:$H, MATCH(Q1135, Facturas_Odoo!$B:$B, 0)), 0)))</f>
        <v/>
      </c>
      <c r="AN1135" s="79">
        <f>IF(AND(A1135="", J1135=""), "", IF(A1135&lt;&gt;"", VALUE(MID(A1135,2,LEN(A1135))), AN1134))</f>
        <v/>
      </c>
      <c r="AO1135" s="79">
        <f>IF(AN1135="","",IF(AD1135=0,"OK",_xlfn.LET(monedaPago, IF(AA1135="","USD",AA1135), limitePermitido, IFERROR(VLOOKUP(monedaPago, Configuración!$A$2:$B$3, 2, FALSE), 0.15), IF(AD1135&gt;limitePermitido, "ALERTA: EXCESO (" &amp; TEXT(limitePermitido, "0%") &amp; " máx)", "OK"))))</f>
        <v/>
      </c>
      <c r="AP1135" s="79">
        <f>IF(AN1135="","",IF(AE1135=0,"OK",_xlfn.LET(fechaPago, Z1135, fechaFactura, R1135, diasCredito, IF(E1135="Pago inmediato", 0, IFERROR(VALUE(MID(E1135, 1, SEARCH(" ", E1135)-1)),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35" s="79">
        <f>IF(AN1135="","",IF(AND(N1135&gt;0, AG1135&gt;0), IF(Configuración!$K$2="NO", "ALERTA: DESCUENTO DOBLE NO PERMITIDO", "OK"), "OK"))</f>
        <v/>
      </c>
      <c r="AR1135" s="79">
        <f>IF(AN1135="","",IF(OR(AO1135&lt;&gt;"OK", AP1135&lt;&gt;"OK", AQ1135&lt;&gt;"OK"), "⚠️ REVISAR", "OK"))</f>
        <v/>
      </c>
    </row>
    <row r="1136">
      <c r="A1136" s="79">
        <f>IF('Ordenes_Odoo'!A1136="","",'Ordenes_Odoo'!A1136)</f>
        <v/>
      </c>
      <c r="B1136" s="80">
        <f>IF('Ordenes_Odoo'!B1136="","",'Ordenes_Odoo'!B1136)</f>
        <v/>
      </c>
      <c r="C1136" s="79">
        <f>IF('Ordenes_Odoo'!C1136="","",'Ordenes_Odoo'!C1136)</f>
        <v/>
      </c>
      <c r="D1136" s="79">
        <f>IF('Ordenes_Odoo'!D1136="","",'Ordenes_Odoo'!D1136)</f>
        <v/>
      </c>
      <c r="E1136" s="79">
        <f>IF('Ordenes_Odoo'!E1136="","",'Ordenes_Odoo'!E1136)</f>
        <v/>
      </c>
      <c r="F1136" s="79">
        <f>IF('Ordenes_Odoo'!F1136="","",'Ordenes_Odoo'!F1136)</f>
        <v/>
      </c>
      <c r="G1136" s="79">
        <f>IF('Ordenes_Odoo'!G1136="","",'Ordenes_Odoo'!G1136)</f>
        <v/>
      </c>
      <c r="H1136" s="79">
        <f>IF('Ordenes_Odoo'!H1136="","",'Ordenes_Odoo'!H1136)</f>
        <v/>
      </c>
      <c r="I1136" s="79">
        <f>IF('Ordenes_Odoo'!I1136="","",'Ordenes_Odoo'!I1136)</f>
        <v/>
      </c>
      <c r="J1136" s="79">
        <f>IF('Ordenes_Odoo'!J1136="","",'Ordenes_Odoo'!J1136)</f>
        <v/>
      </c>
      <c r="K1136" s="81">
        <f>IF('Ordenes_Odoo'!K1136="","",'Ordenes_Odoo'!K1136)</f>
        <v/>
      </c>
      <c r="L1136" s="81">
        <f>IF('Ordenes_Odoo'!L1136="","",'Ordenes_Odoo'!L1136)</f>
        <v/>
      </c>
      <c r="M1136" s="79">
        <f>IF('Ordenes_Odoo'!M1136="","",'Ordenes_Odoo'!M1136)</f>
        <v/>
      </c>
      <c r="N1136" s="79">
        <f>IF('Ordenes_Odoo'!N1136="","",'Ordenes_Odoo'!N1136)</f>
        <v/>
      </c>
      <c r="O1136" s="81">
        <f>IF('Ordenes_Odoo'!O1136="","",'Ordenes_Odoo'!O1136)</f>
        <v/>
      </c>
      <c r="P1136" s="81">
        <f>IF('Ordenes_Odoo'!P1136="","",'Ordenes_Odoo'!P1136)</f>
        <v/>
      </c>
      <c r="Q1136" s="79">
        <f>IF(A1136="","",IFERROR(INDEX(Facturas_Odoo!$B:$B, MATCH(A1136, Facturas_Odoo!$D:$D, 0)), "Sin Factura"))</f>
        <v/>
      </c>
      <c r="R1136" s="80">
        <f>IF(Q1136="Sin Factura","",IFERROR(INDEX(Facturas_Odoo!$A:$A, MATCH(Q1136, Facturas_Odoo!$B:$B, 0)), ""))</f>
        <v/>
      </c>
      <c r="S1136" s="79">
        <f>IF(Q1136="Sin Factura","",IFERROR(_xlfn.XLOOKUP(1, (Facturas_Odoo!$D:$D=A1136) * (Facturas_Odoo!$K:$K=I1136), Facturas_Odoo!$L:$L, ""), ""))</f>
        <v/>
      </c>
      <c r="T1136" s="81">
        <f>IF(Q1136="Sin Factura",0,IFERROR(_xlfn.XLOOKUP(1, (Facturas_Odoo!$D:$D=A1136) * (Facturas_Odoo!$K:$K=I1136), Facturas_Odoo!$M:$M, 0), 0))</f>
        <v/>
      </c>
      <c r="U1136" s="79">
        <f>IF(Q1136="Sin Factura",0,IFERROR(_xlfn.XLOOKUP(1, (Facturas_Odoo!$D:$D=A1136) * (Facturas_Odoo!$K:$K=I1136), Facturas_Odoo!$N:$N, 0), 0))</f>
        <v/>
      </c>
      <c r="V1136" s="79">
        <f>IF(Q1136="Sin Factura",0,IFERROR(_xlfn.XLOOKUP(1, (Facturas_Odoo!$D:$D=A1136) * (Facturas_Odoo!$K:$K=I1136), Facturas_Odoo!$O:$O, 0), 0))</f>
        <v/>
      </c>
      <c r="W1136" s="81">
        <f>IF(Q1136="Sin Factura",0,IFERROR(_xlfn.XLOOKUP(1, (Facturas_Odoo!$D:$D=A1136) * (Facturas_Odoo!$K:$K=I1136), Facturas_Odoo!$Q:$Q, 0), 0))</f>
        <v/>
      </c>
      <c r="X1136" s="79">
        <f>IF(OR(Q1136="Sin Factura",Q1136=""),"",IFERROR(INDEX(Pagos_Odoo!$B:$B, MATCH(Q1136, Pagos_Odoo!$I:$I, 0)), "Sin Pago"))</f>
        <v/>
      </c>
      <c r="Y1136" s="79">
        <f>IF(X1136="Sin Pago","",IFERROR(INDEX(Pagos_Odoo!$C:$C, MATCH(X1136, Pagos_Odoo!$B:$B, 0)), ""))</f>
        <v/>
      </c>
      <c r="Z1136" s="80">
        <f>IF(X1136="Sin Pago","",IFERROR(INDEX(Pagos_Odoo!$A:$A, MATCH(X1136, Pagos_Odoo!$B:$B, 0)), ""))</f>
        <v/>
      </c>
      <c r="AA1136" s="79">
        <f>IF(X1136="Sin Pago","",IFERROR(INDEX(Pagos_Odoo!$F:$F, MATCH(X1136, Pagos_Odoo!$B:$B, 0)), ""))</f>
        <v/>
      </c>
      <c r="AB1136" s="81">
        <f>IF(X1136="Sin Pago",0,IFERROR(INDEX(Pagos_Odoo!$E:$E, MATCH(X1136, Pagos_Odoo!$B:$B, 0)), 0))</f>
        <v/>
      </c>
      <c r="AC1136" s="79">
        <f>IF(X1136="Sin Pago","",IFERROR(INDEX(Pagos_Odoo!$G:$G, MATCH(X1136, Pagos_Odoo!$B:$B, 0)), ""))</f>
        <v/>
      </c>
      <c r="AD1136" s="82" t="n">
        <v>0</v>
      </c>
      <c r="AE1136" s="82" t="n"/>
      <c r="AF1136" s="82" t="n"/>
      <c r="AG1136" s="82">
        <f>IF(AN1136="","",AD1136+AE1136+AF1136)</f>
        <v/>
      </c>
      <c r="AH1136" s="81">
        <f>IF(AN1136="","",P1136*(1-AG1136))</f>
        <v/>
      </c>
      <c r="AI1136" s="81">
        <f>IF(AN1136="","",IF(Q1136="Sin Factura",0,IFERROR(INDEX(Facturas_Odoo!$H:$H, MATCH(Q1136, Facturas_Odoo!$B:$B, 0)), 0)*(1-AG1136)))</f>
        <v/>
      </c>
      <c r="AJ1136" s="81">
        <f>IF(AN1136="","",_xlfn.LET(idVenta, AN1136&amp;"",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36" s="81">
        <f>IF(AN1136="","",AH1136-AJ1136)</f>
        <v/>
      </c>
      <c r="AL1136" s="81">
        <f>IF(AN1136="","",IF(Q1136="Sin Factura","",AI1136-AJ1136))</f>
        <v/>
      </c>
      <c r="AM1136" s="81">
        <f>IF(AN1136="","",IF(Q1136="Sin Factura",0,P1136-IFERROR(INDEX(Facturas_Odoo!$H:$H, MATCH(Q1136, Facturas_Odoo!$B:$B, 0)), 0)))</f>
        <v/>
      </c>
      <c r="AN1136" s="79">
        <f>IF(AND(A1136="", J1136=""), "", IF(A1136&lt;&gt;"", VALUE(MID(A1136,2,LEN(A1136))), AN1135))</f>
        <v/>
      </c>
      <c r="AO1136" s="79">
        <f>IF(AN1136="","",IF(AD1136=0,"OK",_xlfn.LET(monedaPago, IF(AA1136="","USD",AA1136), limitePermitido, IFERROR(VLOOKUP(monedaPago, Configuración!$A$2:$B$3, 2, FALSE), 0.15), IF(AD1136&gt;limitePermitido, "ALERTA: EXCESO (" &amp; TEXT(limitePermitido, "0%") &amp; " máx)", "OK"))))</f>
        <v/>
      </c>
      <c r="AP1136" s="79">
        <f>IF(AN1136="","",IF(AE1136=0,"OK",_xlfn.LET(fechaPago, Z1136, fechaFactura, R1136, diasCredito, IF(E1136="Pago inmediato", 0, IFERROR(VALUE(MID(E1136, 1, SEARCH(" ", E1136)-1)),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36" s="79">
        <f>IF(AN1136="","",IF(AND(N1136&gt;0, AG1136&gt;0), IF(Configuración!$K$2="NO", "ALERTA: DESCUENTO DOBLE NO PERMITIDO", "OK"), "OK"))</f>
        <v/>
      </c>
      <c r="AR1136" s="79">
        <f>IF(AN1136="","",IF(OR(AO1136&lt;&gt;"OK", AP1136&lt;&gt;"OK", AQ1136&lt;&gt;"OK"), "⚠️ REVISAR", "OK"))</f>
        <v/>
      </c>
    </row>
    <row r="1137">
      <c r="A1137" s="79">
        <f>IF('Ordenes_Odoo'!A1137="","",'Ordenes_Odoo'!A1137)</f>
        <v/>
      </c>
      <c r="B1137" s="80">
        <f>IF('Ordenes_Odoo'!B1137="","",'Ordenes_Odoo'!B1137)</f>
        <v/>
      </c>
      <c r="C1137" s="79">
        <f>IF('Ordenes_Odoo'!C1137="","",'Ordenes_Odoo'!C1137)</f>
        <v/>
      </c>
      <c r="D1137" s="79">
        <f>IF('Ordenes_Odoo'!D1137="","",'Ordenes_Odoo'!D1137)</f>
        <v/>
      </c>
      <c r="E1137" s="79">
        <f>IF('Ordenes_Odoo'!E1137="","",'Ordenes_Odoo'!E1137)</f>
        <v/>
      </c>
      <c r="F1137" s="79">
        <f>IF('Ordenes_Odoo'!F1137="","",'Ordenes_Odoo'!F1137)</f>
        <v/>
      </c>
      <c r="G1137" s="79">
        <f>IF('Ordenes_Odoo'!G1137="","",'Ordenes_Odoo'!G1137)</f>
        <v/>
      </c>
      <c r="H1137" s="79">
        <f>IF('Ordenes_Odoo'!H1137="","",'Ordenes_Odoo'!H1137)</f>
        <v/>
      </c>
      <c r="I1137" s="79">
        <f>IF('Ordenes_Odoo'!I1137="","",'Ordenes_Odoo'!I1137)</f>
        <v/>
      </c>
      <c r="J1137" s="79">
        <f>IF('Ordenes_Odoo'!J1137="","",'Ordenes_Odoo'!J1137)</f>
        <v/>
      </c>
      <c r="K1137" s="81">
        <f>IF('Ordenes_Odoo'!K1137="","",'Ordenes_Odoo'!K1137)</f>
        <v/>
      </c>
      <c r="L1137" s="81">
        <f>IF('Ordenes_Odoo'!L1137="","",'Ordenes_Odoo'!L1137)</f>
        <v/>
      </c>
      <c r="M1137" s="79">
        <f>IF('Ordenes_Odoo'!M1137="","",'Ordenes_Odoo'!M1137)</f>
        <v/>
      </c>
      <c r="N1137" s="79">
        <f>IF('Ordenes_Odoo'!N1137="","",'Ordenes_Odoo'!N1137)</f>
        <v/>
      </c>
      <c r="O1137" s="81">
        <f>IF('Ordenes_Odoo'!O1137="","",'Ordenes_Odoo'!O1137)</f>
        <v/>
      </c>
      <c r="P1137" s="81">
        <f>IF('Ordenes_Odoo'!P1137="","",'Ordenes_Odoo'!P1137)</f>
        <v/>
      </c>
      <c r="Q1137" s="79">
        <f>IF(A1137="","",IFERROR(INDEX(Facturas_Odoo!$B:$B, MATCH(A1137, Facturas_Odoo!$D:$D, 0)), "Sin Factura"))</f>
        <v/>
      </c>
      <c r="R1137" s="80">
        <f>IF(Q1137="Sin Factura","",IFERROR(INDEX(Facturas_Odoo!$A:$A, MATCH(Q1137, Facturas_Odoo!$B:$B, 0)), ""))</f>
        <v/>
      </c>
      <c r="S1137" s="79">
        <f>IF(Q1137="Sin Factura","",IFERROR(_xlfn.XLOOKUP(1, (Facturas_Odoo!$D:$D=A1137) * (Facturas_Odoo!$K:$K=I1137), Facturas_Odoo!$L:$L, ""), ""))</f>
        <v/>
      </c>
      <c r="T1137" s="81">
        <f>IF(Q1137="Sin Factura",0,IFERROR(_xlfn.XLOOKUP(1, (Facturas_Odoo!$D:$D=A1137) * (Facturas_Odoo!$K:$K=I1137), Facturas_Odoo!$M:$M, 0), 0))</f>
        <v/>
      </c>
      <c r="U1137" s="79">
        <f>IF(Q1137="Sin Factura",0,IFERROR(_xlfn.XLOOKUP(1, (Facturas_Odoo!$D:$D=A1137) * (Facturas_Odoo!$K:$K=I1137), Facturas_Odoo!$N:$N, 0), 0))</f>
        <v/>
      </c>
      <c r="V1137" s="79">
        <f>IF(Q1137="Sin Factura",0,IFERROR(_xlfn.XLOOKUP(1, (Facturas_Odoo!$D:$D=A1137) * (Facturas_Odoo!$K:$K=I1137), Facturas_Odoo!$O:$O, 0), 0))</f>
        <v/>
      </c>
      <c r="W1137" s="81">
        <f>IF(Q1137="Sin Factura",0,IFERROR(_xlfn.XLOOKUP(1, (Facturas_Odoo!$D:$D=A1137) * (Facturas_Odoo!$K:$K=I1137), Facturas_Odoo!$Q:$Q, 0), 0))</f>
        <v/>
      </c>
      <c r="X1137" s="79">
        <f>IF(OR(Q1137="Sin Factura",Q1137=""),"",IFERROR(INDEX(Pagos_Odoo!$B:$B, MATCH(Q1137, Pagos_Odoo!$I:$I, 0)), "Sin Pago"))</f>
        <v/>
      </c>
      <c r="Y1137" s="79">
        <f>IF(X1137="Sin Pago","",IFERROR(INDEX(Pagos_Odoo!$C:$C, MATCH(X1137, Pagos_Odoo!$B:$B, 0)), ""))</f>
        <v/>
      </c>
      <c r="Z1137" s="80">
        <f>IF(X1137="Sin Pago","",IFERROR(INDEX(Pagos_Odoo!$A:$A, MATCH(X1137, Pagos_Odoo!$B:$B, 0)), ""))</f>
        <v/>
      </c>
      <c r="AA1137" s="79">
        <f>IF(X1137="Sin Pago","",IFERROR(INDEX(Pagos_Odoo!$F:$F, MATCH(X1137, Pagos_Odoo!$B:$B, 0)), ""))</f>
        <v/>
      </c>
      <c r="AB1137" s="81">
        <f>IF(X1137="Sin Pago",0,IFERROR(INDEX(Pagos_Odoo!$E:$E, MATCH(X1137, Pagos_Odoo!$B:$B, 0)), 0))</f>
        <v/>
      </c>
      <c r="AC1137" s="79">
        <f>IF(X1137="Sin Pago","",IFERROR(INDEX(Pagos_Odoo!$G:$G, MATCH(X1137, Pagos_Odoo!$B:$B, 0)), ""))</f>
        <v/>
      </c>
      <c r="AD1137" s="82" t="n">
        <v>0</v>
      </c>
      <c r="AE1137" s="82" t="n"/>
      <c r="AF1137" s="82" t="n"/>
      <c r="AG1137" s="82">
        <f>IF(AN1137="","",AD1137+AE1137+AF1137)</f>
        <v/>
      </c>
      <c r="AH1137" s="81">
        <f>IF(AN1137="","",P1137*(1-AG1137))</f>
        <v/>
      </c>
      <c r="AI1137" s="81">
        <f>IF(AN1137="","",IF(Q1137="Sin Factura",0,IFERROR(INDEX(Facturas_Odoo!$H:$H, MATCH(Q1137, Facturas_Odoo!$B:$B, 0)), 0)*(1-AG1137)))</f>
        <v/>
      </c>
      <c r="AJ1137" s="81">
        <f>IF(AN1137="","",_xlfn.LET(idVenta, AN1137&amp;"",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37" s="81">
        <f>IF(AN1137="","",AH1137-AJ1137)</f>
        <v/>
      </c>
      <c r="AL1137" s="81">
        <f>IF(AN1137="","",IF(Q1137="Sin Factura","",AI1137-AJ1137))</f>
        <v/>
      </c>
      <c r="AM1137" s="81">
        <f>IF(AN1137="","",IF(Q1137="Sin Factura",0,P1137-IFERROR(INDEX(Facturas_Odoo!$H:$H, MATCH(Q1137, Facturas_Odoo!$B:$B, 0)), 0)))</f>
        <v/>
      </c>
      <c r="AN1137" s="79">
        <f>IF(AND(A1137="", J1137=""), "", IF(A1137&lt;&gt;"", VALUE(MID(A1137,2,LEN(A1137))), AN1136))</f>
        <v/>
      </c>
      <c r="AO1137" s="79">
        <f>IF(AN1137="","",IF(AD1137=0,"OK",_xlfn.LET(monedaPago, IF(AA1137="","USD",AA1137), limitePermitido, IFERROR(VLOOKUP(monedaPago, Configuración!$A$2:$B$3, 2, FALSE), 0.15), IF(AD1137&gt;limitePermitido, "ALERTA: EXCESO (" &amp; TEXT(limitePermitido, "0%") &amp; " máx)", "OK"))))</f>
        <v/>
      </c>
      <c r="AP1137" s="79">
        <f>IF(AN1137="","",IF(AE1137=0,"OK",_xlfn.LET(fechaPago, Z1137, fechaFactura, R1137, diasCredito, IF(E1137="Pago inmediato", 0, IFERROR(VALUE(MID(E1137, 1, SEARCH(" ", E1137)-1)),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37" s="79">
        <f>IF(AN1137="","",IF(AND(N1137&gt;0, AG1137&gt;0), IF(Configuración!$K$2="NO", "ALERTA: DESCUENTO DOBLE NO PERMITIDO", "OK"), "OK"))</f>
        <v/>
      </c>
      <c r="AR1137" s="79">
        <f>IF(AN1137="","",IF(OR(AO1137&lt;&gt;"OK", AP1137&lt;&gt;"OK", AQ1137&lt;&gt;"OK"), "⚠️ REVISAR", "OK"))</f>
        <v/>
      </c>
    </row>
    <row r="1138">
      <c r="A1138" s="79">
        <f>IF('Ordenes_Odoo'!A1138="","",'Ordenes_Odoo'!A1138)</f>
        <v/>
      </c>
      <c r="B1138" s="80">
        <f>IF('Ordenes_Odoo'!B1138="","",'Ordenes_Odoo'!B1138)</f>
        <v/>
      </c>
      <c r="C1138" s="79">
        <f>IF('Ordenes_Odoo'!C1138="","",'Ordenes_Odoo'!C1138)</f>
        <v/>
      </c>
      <c r="D1138" s="79">
        <f>IF('Ordenes_Odoo'!D1138="","",'Ordenes_Odoo'!D1138)</f>
        <v/>
      </c>
      <c r="E1138" s="79">
        <f>IF('Ordenes_Odoo'!E1138="","",'Ordenes_Odoo'!E1138)</f>
        <v/>
      </c>
      <c r="F1138" s="79">
        <f>IF('Ordenes_Odoo'!F1138="","",'Ordenes_Odoo'!F1138)</f>
        <v/>
      </c>
      <c r="G1138" s="79">
        <f>IF('Ordenes_Odoo'!G1138="","",'Ordenes_Odoo'!G1138)</f>
        <v/>
      </c>
      <c r="H1138" s="79">
        <f>IF('Ordenes_Odoo'!H1138="","",'Ordenes_Odoo'!H1138)</f>
        <v/>
      </c>
      <c r="I1138" s="79">
        <f>IF('Ordenes_Odoo'!I1138="","",'Ordenes_Odoo'!I1138)</f>
        <v/>
      </c>
      <c r="J1138" s="79">
        <f>IF('Ordenes_Odoo'!J1138="","",'Ordenes_Odoo'!J1138)</f>
        <v/>
      </c>
      <c r="K1138" s="81">
        <f>IF('Ordenes_Odoo'!K1138="","",'Ordenes_Odoo'!K1138)</f>
        <v/>
      </c>
      <c r="L1138" s="81">
        <f>IF('Ordenes_Odoo'!L1138="","",'Ordenes_Odoo'!L1138)</f>
        <v/>
      </c>
      <c r="M1138" s="79">
        <f>IF('Ordenes_Odoo'!M1138="","",'Ordenes_Odoo'!M1138)</f>
        <v/>
      </c>
      <c r="N1138" s="79">
        <f>IF('Ordenes_Odoo'!N1138="","",'Ordenes_Odoo'!N1138)</f>
        <v/>
      </c>
      <c r="O1138" s="81">
        <f>IF('Ordenes_Odoo'!O1138="","",'Ordenes_Odoo'!O1138)</f>
        <v/>
      </c>
      <c r="P1138" s="81">
        <f>IF('Ordenes_Odoo'!P1138="","",'Ordenes_Odoo'!P1138)</f>
        <v/>
      </c>
      <c r="Q1138" s="79">
        <f>IF(A1138="","",IFERROR(INDEX(Facturas_Odoo!$B:$B, MATCH(A1138, Facturas_Odoo!$D:$D, 0)), "Sin Factura"))</f>
        <v/>
      </c>
      <c r="R1138" s="80">
        <f>IF(Q1138="Sin Factura","",IFERROR(INDEX(Facturas_Odoo!$A:$A, MATCH(Q1138, Facturas_Odoo!$B:$B, 0)), ""))</f>
        <v/>
      </c>
      <c r="S1138" s="79">
        <f>IF(Q1138="Sin Factura","",IFERROR(_xlfn.XLOOKUP(1, (Facturas_Odoo!$D:$D=A1138) * (Facturas_Odoo!$K:$K=I1138), Facturas_Odoo!$L:$L, ""), ""))</f>
        <v/>
      </c>
      <c r="T1138" s="81">
        <f>IF(Q1138="Sin Factura",0,IFERROR(_xlfn.XLOOKUP(1, (Facturas_Odoo!$D:$D=A1138) * (Facturas_Odoo!$K:$K=I1138), Facturas_Odoo!$M:$M, 0), 0))</f>
        <v/>
      </c>
      <c r="U1138" s="79">
        <f>IF(Q1138="Sin Factura",0,IFERROR(_xlfn.XLOOKUP(1, (Facturas_Odoo!$D:$D=A1138) * (Facturas_Odoo!$K:$K=I1138), Facturas_Odoo!$N:$N, 0), 0))</f>
        <v/>
      </c>
      <c r="V1138" s="79">
        <f>IF(Q1138="Sin Factura",0,IFERROR(_xlfn.XLOOKUP(1, (Facturas_Odoo!$D:$D=A1138) * (Facturas_Odoo!$K:$K=I1138), Facturas_Odoo!$O:$O, 0), 0))</f>
        <v/>
      </c>
      <c r="W1138" s="81">
        <f>IF(Q1138="Sin Factura",0,IFERROR(_xlfn.XLOOKUP(1, (Facturas_Odoo!$D:$D=A1138) * (Facturas_Odoo!$K:$K=I1138), Facturas_Odoo!$Q:$Q, 0), 0))</f>
        <v/>
      </c>
      <c r="X1138" s="79">
        <f>IF(OR(Q1138="Sin Factura",Q1138=""),"",IFERROR(INDEX(Pagos_Odoo!$B:$B, MATCH(Q1138, Pagos_Odoo!$I:$I, 0)), "Sin Pago"))</f>
        <v/>
      </c>
      <c r="Y1138" s="79">
        <f>IF(X1138="Sin Pago","",IFERROR(INDEX(Pagos_Odoo!$C:$C, MATCH(X1138, Pagos_Odoo!$B:$B, 0)), ""))</f>
        <v/>
      </c>
      <c r="Z1138" s="80">
        <f>IF(X1138="Sin Pago","",IFERROR(INDEX(Pagos_Odoo!$A:$A, MATCH(X1138, Pagos_Odoo!$B:$B, 0)), ""))</f>
        <v/>
      </c>
      <c r="AA1138" s="79">
        <f>IF(X1138="Sin Pago","",IFERROR(INDEX(Pagos_Odoo!$F:$F, MATCH(X1138, Pagos_Odoo!$B:$B, 0)), ""))</f>
        <v/>
      </c>
      <c r="AB1138" s="81">
        <f>IF(X1138="Sin Pago",0,IFERROR(INDEX(Pagos_Odoo!$E:$E, MATCH(X1138, Pagos_Odoo!$B:$B, 0)), 0))</f>
        <v/>
      </c>
      <c r="AC1138" s="79">
        <f>IF(X1138="Sin Pago","",IFERROR(INDEX(Pagos_Odoo!$G:$G, MATCH(X1138, Pagos_Odoo!$B:$B, 0)), ""))</f>
        <v/>
      </c>
      <c r="AD1138" s="82" t="n">
        <v>0</v>
      </c>
      <c r="AE1138" s="82" t="n"/>
      <c r="AF1138" s="82" t="n"/>
      <c r="AG1138" s="82">
        <f>IF(AN1138="","",AD1138+AE1138+AF1138)</f>
        <v/>
      </c>
      <c r="AH1138" s="81">
        <f>IF(AN1138="","",P1138*(1-AG1138))</f>
        <v/>
      </c>
      <c r="AI1138" s="81">
        <f>IF(AN1138="","",IF(Q1138="Sin Factura",0,IFERROR(INDEX(Facturas_Odoo!$H:$H, MATCH(Q1138, Facturas_Odoo!$B:$B, 0)), 0)*(1-AG1138)))</f>
        <v/>
      </c>
      <c r="AJ1138" s="81">
        <f>IF(AN1138="","",_xlfn.LET(idVenta, AN1138&amp;"",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38" s="81">
        <f>IF(AN1138="","",AH1138-AJ1138)</f>
        <v/>
      </c>
      <c r="AL1138" s="81">
        <f>IF(AN1138="","",IF(Q1138="Sin Factura","",AI1138-AJ1138))</f>
        <v/>
      </c>
      <c r="AM1138" s="81">
        <f>IF(AN1138="","",IF(Q1138="Sin Factura",0,P1138-IFERROR(INDEX(Facturas_Odoo!$H:$H, MATCH(Q1138, Facturas_Odoo!$B:$B, 0)), 0)))</f>
        <v/>
      </c>
      <c r="AN1138" s="79">
        <f>IF(AND(A1138="", J1138=""), "", IF(A1138&lt;&gt;"", VALUE(MID(A1138,2,LEN(A1138))), AN1137))</f>
        <v/>
      </c>
      <c r="AO1138" s="79">
        <f>IF(AN1138="","",IF(AD1138=0,"OK",_xlfn.LET(monedaPago, IF(AA1138="","USD",AA1138), limitePermitido, IFERROR(VLOOKUP(monedaPago, Configuración!$A$2:$B$3, 2, FALSE), 0.15), IF(AD1138&gt;limitePermitido, "ALERTA: EXCESO (" &amp; TEXT(limitePermitido, "0%") &amp; " máx)", "OK"))))</f>
        <v/>
      </c>
      <c r="AP1138" s="79">
        <f>IF(AN1138="","",IF(AE1138=0,"OK",_xlfn.LET(fechaPago, Z1138, fechaFactura, R1138, diasCredito, IF(E1138="Pago inmediato", 0, IFERROR(VALUE(MID(E1138, 1, SEARCH(" ", E1138)-1)),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38" s="79">
        <f>IF(AN1138="","",IF(AND(N1138&gt;0, AG1138&gt;0), IF(Configuración!$K$2="NO", "ALERTA: DESCUENTO DOBLE NO PERMITIDO", "OK"), "OK"))</f>
        <v/>
      </c>
      <c r="AR1138" s="79">
        <f>IF(AN1138="","",IF(OR(AO1138&lt;&gt;"OK", AP1138&lt;&gt;"OK", AQ1138&lt;&gt;"OK"), "⚠️ REVISAR", "OK"))</f>
        <v/>
      </c>
    </row>
    <row r="1139">
      <c r="A1139" s="79">
        <f>IF('Ordenes_Odoo'!A1139="","",'Ordenes_Odoo'!A1139)</f>
        <v/>
      </c>
      <c r="B1139" s="80">
        <f>IF('Ordenes_Odoo'!B1139="","",'Ordenes_Odoo'!B1139)</f>
        <v/>
      </c>
      <c r="C1139" s="79">
        <f>IF('Ordenes_Odoo'!C1139="","",'Ordenes_Odoo'!C1139)</f>
        <v/>
      </c>
      <c r="D1139" s="79">
        <f>IF('Ordenes_Odoo'!D1139="","",'Ordenes_Odoo'!D1139)</f>
        <v/>
      </c>
      <c r="E1139" s="79">
        <f>IF('Ordenes_Odoo'!E1139="","",'Ordenes_Odoo'!E1139)</f>
        <v/>
      </c>
      <c r="F1139" s="79">
        <f>IF('Ordenes_Odoo'!F1139="","",'Ordenes_Odoo'!F1139)</f>
        <v/>
      </c>
      <c r="G1139" s="79">
        <f>IF('Ordenes_Odoo'!G1139="","",'Ordenes_Odoo'!G1139)</f>
        <v/>
      </c>
      <c r="H1139" s="79">
        <f>IF('Ordenes_Odoo'!H1139="","",'Ordenes_Odoo'!H1139)</f>
        <v/>
      </c>
      <c r="I1139" s="79">
        <f>IF('Ordenes_Odoo'!I1139="","",'Ordenes_Odoo'!I1139)</f>
        <v/>
      </c>
      <c r="J1139" s="79">
        <f>IF('Ordenes_Odoo'!J1139="","",'Ordenes_Odoo'!J1139)</f>
        <v/>
      </c>
      <c r="K1139" s="81">
        <f>IF('Ordenes_Odoo'!K1139="","",'Ordenes_Odoo'!K1139)</f>
        <v/>
      </c>
      <c r="L1139" s="81">
        <f>IF('Ordenes_Odoo'!L1139="","",'Ordenes_Odoo'!L1139)</f>
        <v/>
      </c>
      <c r="M1139" s="79">
        <f>IF('Ordenes_Odoo'!M1139="","",'Ordenes_Odoo'!M1139)</f>
        <v/>
      </c>
      <c r="N1139" s="79">
        <f>IF('Ordenes_Odoo'!N1139="","",'Ordenes_Odoo'!N1139)</f>
        <v/>
      </c>
      <c r="O1139" s="81">
        <f>IF('Ordenes_Odoo'!O1139="","",'Ordenes_Odoo'!O1139)</f>
        <v/>
      </c>
      <c r="P1139" s="81">
        <f>IF('Ordenes_Odoo'!P1139="","",'Ordenes_Odoo'!P1139)</f>
        <v/>
      </c>
      <c r="Q1139" s="79">
        <f>IF(A1139="","",IFERROR(INDEX(Facturas_Odoo!$B:$B, MATCH(A1139, Facturas_Odoo!$D:$D, 0)), "Sin Factura"))</f>
        <v/>
      </c>
      <c r="R1139" s="80">
        <f>IF(Q1139="Sin Factura","",IFERROR(INDEX(Facturas_Odoo!$A:$A, MATCH(Q1139, Facturas_Odoo!$B:$B, 0)), ""))</f>
        <v/>
      </c>
      <c r="S1139" s="79">
        <f>IF(Q1139="Sin Factura","",IFERROR(_xlfn.XLOOKUP(1, (Facturas_Odoo!$D:$D=A1139) * (Facturas_Odoo!$K:$K=I1139), Facturas_Odoo!$L:$L, ""), ""))</f>
        <v/>
      </c>
      <c r="T1139" s="81">
        <f>IF(Q1139="Sin Factura",0,IFERROR(_xlfn.XLOOKUP(1, (Facturas_Odoo!$D:$D=A1139) * (Facturas_Odoo!$K:$K=I1139), Facturas_Odoo!$M:$M, 0), 0))</f>
        <v/>
      </c>
      <c r="U1139" s="79">
        <f>IF(Q1139="Sin Factura",0,IFERROR(_xlfn.XLOOKUP(1, (Facturas_Odoo!$D:$D=A1139) * (Facturas_Odoo!$K:$K=I1139), Facturas_Odoo!$N:$N, 0), 0))</f>
        <v/>
      </c>
      <c r="V1139" s="79">
        <f>IF(Q1139="Sin Factura",0,IFERROR(_xlfn.XLOOKUP(1, (Facturas_Odoo!$D:$D=A1139) * (Facturas_Odoo!$K:$K=I1139), Facturas_Odoo!$O:$O, 0), 0))</f>
        <v/>
      </c>
      <c r="W1139" s="81">
        <f>IF(Q1139="Sin Factura",0,IFERROR(_xlfn.XLOOKUP(1, (Facturas_Odoo!$D:$D=A1139) * (Facturas_Odoo!$K:$K=I1139), Facturas_Odoo!$Q:$Q, 0), 0))</f>
        <v/>
      </c>
      <c r="X1139" s="79">
        <f>IF(OR(Q1139="Sin Factura",Q1139=""),"",IFERROR(INDEX(Pagos_Odoo!$B:$B, MATCH(Q1139, Pagos_Odoo!$I:$I, 0)), "Sin Pago"))</f>
        <v/>
      </c>
      <c r="Y1139" s="79">
        <f>IF(X1139="Sin Pago","",IFERROR(INDEX(Pagos_Odoo!$C:$C, MATCH(X1139, Pagos_Odoo!$B:$B, 0)), ""))</f>
        <v/>
      </c>
      <c r="Z1139" s="80">
        <f>IF(X1139="Sin Pago","",IFERROR(INDEX(Pagos_Odoo!$A:$A, MATCH(X1139, Pagos_Odoo!$B:$B, 0)), ""))</f>
        <v/>
      </c>
      <c r="AA1139" s="79">
        <f>IF(X1139="Sin Pago","",IFERROR(INDEX(Pagos_Odoo!$F:$F, MATCH(X1139, Pagos_Odoo!$B:$B, 0)), ""))</f>
        <v/>
      </c>
      <c r="AB1139" s="81">
        <f>IF(X1139="Sin Pago",0,IFERROR(INDEX(Pagos_Odoo!$E:$E, MATCH(X1139, Pagos_Odoo!$B:$B, 0)), 0))</f>
        <v/>
      </c>
      <c r="AC1139" s="79">
        <f>IF(X1139="Sin Pago","",IFERROR(INDEX(Pagos_Odoo!$G:$G, MATCH(X1139, Pagos_Odoo!$B:$B, 0)), ""))</f>
        <v/>
      </c>
      <c r="AD1139" s="82" t="n">
        <v>0</v>
      </c>
      <c r="AE1139" s="82" t="n"/>
      <c r="AF1139" s="82" t="n"/>
      <c r="AG1139" s="82">
        <f>IF(AN1139="","",AD1139+AE1139+AF1139)</f>
        <v/>
      </c>
      <c r="AH1139" s="81">
        <f>IF(AN1139="","",P1139*(1-AG1139))</f>
        <v/>
      </c>
      <c r="AI1139" s="81">
        <f>IF(AN1139="","",IF(Q1139="Sin Factura",0,IFERROR(INDEX(Facturas_Odoo!$H:$H, MATCH(Q1139, Facturas_Odoo!$B:$B, 0)), 0)*(1-AG1139)))</f>
        <v/>
      </c>
      <c r="AJ1139" s="81">
        <f>IF(AN1139="","",_xlfn.LET(idVenta, AN1139&amp;"",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39" s="81">
        <f>IF(AN1139="","",AH1139-AJ1139)</f>
        <v/>
      </c>
      <c r="AL1139" s="81">
        <f>IF(AN1139="","",IF(Q1139="Sin Factura","",AI1139-AJ1139))</f>
        <v/>
      </c>
      <c r="AM1139" s="81">
        <f>IF(AN1139="","",IF(Q1139="Sin Factura",0,P1139-IFERROR(INDEX(Facturas_Odoo!$H:$H, MATCH(Q1139, Facturas_Odoo!$B:$B, 0)), 0)))</f>
        <v/>
      </c>
      <c r="AN1139" s="79">
        <f>IF(AND(A1139="", J1139=""), "", IF(A1139&lt;&gt;"", VALUE(MID(A1139,2,LEN(A1139))), AN1138))</f>
        <v/>
      </c>
      <c r="AO1139" s="79">
        <f>IF(AN1139="","",IF(AD1139=0,"OK",_xlfn.LET(monedaPago, IF(AA1139="","USD",AA1139), limitePermitido, IFERROR(VLOOKUP(monedaPago, Configuración!$A$2:$B$3, 2, FALSE), 0.15), IF(AD1139&gt;limitePermitido, "ALERTA: EXCESO (" &amp; TEXT(limitePermitido, "0%") &amp; " máx)", "OK"))))</f>
        <v/>
      </c>
      <c r="AP1139" s="79">
        <f>IF(AN1139="","",IF(AE1139=0,"OK",_xlfn.LET(fechaPago, Z1139, fechaFactura, R1139, diasCredito, IF(E1139="Pago inmediato", 0, IFERROR(VALUE(MID(E1139, 1, SEARCH(" ", E1139)-1)),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39" s="79">
        <f>IF(AN1139="","",IF(AND(N1139&gt;0, AG1139&gt;0), IF(Configuración!$K$2="NO", "ALERTA: DESCUENTO DOBLE NO PERMITIDO", "OK"), "OK"))</f>
        <v/>
      </c>
      <c r="AR1139" s="79">
        <f>IF(AN1139="","",IF(OR(AO1139&lt;&gt;"OK", AP1139&lt;&gt;"OK", AQ1139&lt;&gt;"OK"), "⚠️ REVISAR", "OK"))</f>
        <v/>
      </c>
    </row>
    <row r="1140">
      <c r="A1140" s="79">
        <f>IF('Ordenes_Odoo'!A1140="","",'Ordenes_Odoo'!A1140)</f>
        <v/>
      </c>
      <c r="B1140" s="80">
        <f>IF('Ordenes_Odoo'!B1140="","",'Ordenes_Odoo'!B1140)</f>
        <v/>
      </c>
      <c r="C1140" s="79">
        <f>IF('Ordenes_Odoo'!C1140="","",'Ordenes_Odoo'!C1140)</f>
        <v/>
      </c>
      <c r="D1140" s="79">
        <f>IF('Ordenes_Odoo'!D1140="","",'Ordenes_Odoo'!D1140)</f>
        <v/>
      </c>
      <c r="E1140" s="79">
        <f>IF('Ordenes_Odoo'!E1140="","",'Ordenes_Odoo'!E1140)</f>
        <v/>
      </c>
      <c r="F1140" s="79">
        <f>IF('Ordenes_Odoo'!F1140="","",'Ordenes_Odoo'!F1140)</f>
        <v/>
      </c>
      <c r="G1140" s="79">
        <f>IF('Ordenes_Odoo'!G1140="","",'Ordenes_Odoo'!G1140)</f>
        <v/>
      </c>
      <c r="H1140" s="79">
        <f>IF('Ordenes_Odoo'!H1140="","",'Ordenes_Odoo'!H1140)</f>
        <v/>
      </c>
      <c r="I1140" s="79">
        <f>IF('Ordenes_Odoo'!I1140="","",'Ordenes_Odoo'!I1140)</f>
        <v/>
      </c>
      <c r="J1140" s="79">
        <f>IF('Ordenes_Odoo'!J1140="","",'Ordenes_Odoo'!J1140)</f>
        <v/>
      </c>
      <c r="K1140" s="81">
        <f>IF('Ordenes_Odoo'!K1140="","",'Ordenes_Odoo'!K1140)</f>
        <v/>
      </c>
      <c r="L1140" s="81">
        <f>IF('Ordenes_Odoo'!L1140="","",'Ordenes_Odoo'!L1140)</f>
        <v/>
      </c>
      <c r="M1140" s="79">
        <f>IF('Ordenes_Odoo'!M1140="","",'Ordenes_Odoo'!M1140)</f>
        <v/>
      </c>
      <c r="N1140" s="79">
        <f>IF('Ordenes_Odoo'!N1140="","",'Ordenes_Odoo'!N1140)</f>
        <v/>
      </c>
      <c r="O1140" s="81">
        <f>IF('Ordenes_Odoo'!O1140="","",'Ordenes_Odoo'!O1140)</f>
        <v/>
      </c>
      <c r="P1140" s="81">
        <f>IF('Ordenes_Odoo'!P1140="","",'Ordenes_Odoo'!P1140)</f>
        <v/>
      </c>
      <c r="Q1140" s="79">
        <f>IF(A1140="","",IFERROR(INDEX(Facturas_Odoo!$B:$B, MATCH(A1140, Facturas_Odoo!$D:$D, 0)), "Sin Factura"))</f>
        <v/>
      </c>
      <c r="R1140" s="80">
        <f>IF(Q1140="Sin Factura","",IFERROR(INDEX(Facturas_Odoo!$A:$A, MATCH(Q1140, Facturas_Odoo!$B:$B, 0)), ""))</f>
        <v/>
      </c>
      <c r="S1140" s="79">
        <f>IF(Q1140="Sin Factura","",IFERROR(_xlfn.XLOOKUP(1, (Facturas_Odoo!$D:$D=A1140) * (Facturas_Odoo!$K:$K=I1140), Facturas_Odoo!$L:$L, ""), ""))</f>
        <v/>
      </c>
      <c r="T1140" s="81">
        <f>IF(Q1140="Sin Factura",0,IFERROR(_xlfn.XLOOKUP(1, (Facturas_Odoo!$D:$D=A1140) * (Facturas_Odoo!$K:$K=I1140), Facturas_Odoo!$M:$M, 0), 0))</f>
        <v/>
      </c>
      <c r="U1140" s="79">
        <f>IF(Q1140="Sin Factura",0,IFERROR(_xlfn.XLOOKUP(1, (Facturas_Odoo!$D:$D=A1140) * (Facturas_Odoo!$K:$K=I1140), Facturas_Odoo!$N:$N, 0), 0))</f>
        <v/>
      </c>
      <c r="V1140" s="79">
        <f>IF(Q1140="Sin Factura",0,IFERROR(_xlfn.XLOOKUP(1, (Facturas_Odoo!$D:$D=A1140) * (Facturas_Odoo!$K:$K=I1140), Facturas_Odoo!$O:$O, 0), 0))</f>
        <v/>
      </c>
      <c r="W1140" s="81">
        <f>IF(Q1140="Sin Factura",0,IFERROR(_xlfn.XLOOKUP(1, (Facturas_Odoo!$D:$D=A1140) * (Facturas_Odoo!$K:$K=I1140), Facturas_Odoo!$Q:$Q, 0), 0))</f>
        <v/>
      </c>
      <c r="X1140" s="79">
        <f>IF(OR(Q1140="Sin Factura",Q1140=""),"",IFERROR(INDEX(Pagos_Odoo!$B:$B, MATCH(Q1140, Pagos_Odoo!$I:$I, 0)), "Sin Pago"))</f>
        <v/>
      </c>
      <c r="Y1140" s="79">
        <f>IF(X1140="Sin Pago","",IFERROR(INDEX(Pagos_Odoo!$C:$C, MATCH(X1140, Pagos_Odoo!$B:$B, 0)), ""))</f>
        <v/>
      </c>
      <c r="Z1140" s="80">
        <f>IF(X1140="Sin Pago","",IFERROR(INDEX(Pagos_Odoo!$A:$A, MATCH(X1140, Pagos_Odoo!$B:$B, 0)), ""))</f>
        <v/>
      </c>
      <c r="AA1140" s="79">
        <f>IF(X1140="Sin Pago","",IFERROR(INDEX(Pagos_Odoo!$F:$F, MATCH(X1140, Pagos_Odoo!$B:$B, 0)), ""))</f>
        <v/>
      </c>
      <c r="AB1140" s="81">
        <f>IF(X1140="Sin Pago",0,IFERROR(INDEX(Pagos_Odoo!$E:$E, MATCH(X1140, Pagos_Odoo!$B:$B, 0)), 0))</f>
        <v/>
      </c>
      <c r="AC1140" s="79">
        <f>IF(X1140="Sin Pago","",IFERROR(INDEX(Pagos_Odoo!$G:$G, MATCH(X1140, Pagos_Odoo!$B:$B, 0)), ""))</f>
        <v/>
      </c>
      <c r="AD1140" s="82" t="n">
        <v>0</v>
      </c>
      <c r="AE1140" s="82" t="n"/>
      <c r="AF1140" s="82" t="n"/>
      <c r="AG1140" s="82">
        <f>IF(AN1140="","",AD1140+AE1140+AF1140)</f>
        <v/>
      </c>
      <c r="AH1140" s="81">
        <f>IF(AN1140="","",P1140*(1-AG1140))</f>
        <v/>
      </c>
      <c r="AI1140" s="81">
        <f>IF(AN1140="","",IF(Q1140="Sin Factura",0,IFERROR(INDEX(Facturas_Odoo!$H:$H, MATCH(Q1140, Facturas_Odoo!$B:$B, 0)), 0)*(1-AG1140)))</f>
        <v/>
      </c>
      <c r="AJ1140" s="81">
        <f>IF(AN1140="","",_xlfn.LET(idVenta, AN1140&amp;"",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40" s="81">
        <f>IF(AN1140="","",AH1140-AJ1140)</f>
        <v/>
      </c>
      <c r="AL1140" s="81">
        <f>IF(AN1140="","",IF(Q1140="Sin Factura","",AI1140-AJ1140))</f>
        <v/>
      </c>
      <c r="AM1140" s="81">
        <f>IF(AN1140="","",IF(Q1140="Sin Factura",0,P1140-IFERROR(INDEX(Facturas_Odoo!$H:$H, MATCH(Q1140, Facturas_Odoo!$B:$B, 0)), 0)))</f>
        <v/>
      </c>
      <c r="AN1140" s="79">
        <f>IF(AND(A1140="", J1140=""), "", IF(A1140&lt;&gt;"", VALUE(MID(A1140,2,LEN(A1140))), AN1139))</f>
        <v/>
      </c>
      <c r="AO1140" s="79">
        <f>IF(AN1140="","",IF(AD1140=0,"OK",_xlfn.LET(monedaPago, IF(AA1140="","USD",AA1140), limitePermitido, IFERROR(VLOOKUP(monedaPago, Configuración!$A$2:$B$3, 2, FALSE), 0.15), IF(AD1140&gt;limitePermitido, "ALERTA: EXCESO (" &amp; TEXT(limitePermitido, "0%") &amp; " máx)", "OK"))))</f>
        <v/>
      </c>
      <c r="AP1140" s="79">
        <f>IF(AN1140="","",IF(AE1140=0,"OK",_xlfn.LET(fechaPago, Z1140, fechaFactura, R1140, diasCredito, IF(E1140="Pago inmediato", 0, IFERROR(VALUE(MID(E1140, 1, SEARCH(" ", E1140)-1)),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40" s="79">
        <f>IF(AN1140="","",IF(AND(N1140&gt;0, AG1140&gt;0), IF(Configuración!$K$2="NO", "ALERTA: DESCUENTO DOBLE NO PERMITIDO", "OK"), "OK"))</f>
        <v/>
      </c>
      <c r="AR1140" s="79">
        <f>IF(AN1140="","",IF(OR(AO1140&lt;&gt;"OK", AP1140&lt;&gt;"OK", AQ1140&lt;&gt;"OK"), "⚠️ REVISAR", "OK"))</f>
        <v/>
      </c>
    </row>
    <row r="1141">
      <c r="A1141" s="79">
        <f>IF('Ordenes_Odoo'!A1141="","",'Ordenes_Odoo'!A1141)</f>
        <v/>
      </c>
      <c r="B1141" s="80">
        <f>IF('Ordenes_Odoo'!B1141="","",'Ordenes_Odoo'!B1141)</f>
        <v/>
      </c>
      <c r="C1141" s="79">
        <f>IF('Ordenes_Odoo'!C1141="","",'Ordenes_Odoo'!C1141)</f>
        <v/>
      </c>
      <c r="D1141" s="79">
        <f>IF('Ordenes_Odoo'!D1141="","",'Ordenes_Odoo'!D1141)</f>
        <v/>
      </c>
      <c r="E1141" s="79">
        <f>IF('Ordenes_Odoo'!E1141="","",'Ordenes_Odoo'!E1141)</f>
        <v/>
      </c>
      <c r="F1141" s="79">
        <f>IF('Ordenes_Odoo'!F1141="","",'Ordenes_Odoo'!F1141)</f>
        <v/>
      </c>
      <c r="G1141" s="79">
        <f>IF('Ordenes_Odoo'!G1141="","",'Ordenes_Odoo'!G1141)</f>
        <v/>
      </c>
      <c r="H1141" s="79">
        <f>IF('Ordenes_Odoo'!H1141="","",'Ordenes_Odoo'!H1141)</f>
        <v/>
      </c>
      <c r="I1141" s="79">
        <f>IF('Ordenes_Odoo'!I1141="","",'Ordenes_Odoo'!I1141)</f>
        <v/>
      </c>
      <c r="J1141" s="79">
        <f>IF('Ordenes_Odoo'!J1141="","",'Ordenes_Odoo'!J1141)</f>
        <v/>
      </c>
      <c r="K1141" s="81">
        <f>IF('Ordenes_Odoo'!K1141="","",'Ordenes_Odoo'!K1141)</f>
        <v/>
      </c>
      <c r="L1141" s="81">
        <f>IF('Ordenes_Odoo'!L1141="","",'Ordenes_Odoo'!L1141)</f>
        <v/>
      </c>
      <c r="M1141" s="79">
        <f>IF('Ordenes_Odoo'!M1141="","",'Ordenes_Odoo'!M1141)</f>
        <v/>
      </c>
      <c r="N1141" s="79">
        <f>IF('Ordenes_Odoo'!N1141="","",'Ordenes_Odoo'!N1141)</f>
        <v/>
      </c>
      <c r="O1141" s="81">
        <f>IF('Ordenes_Odoo'!O1141="","",'Ordenes_Odoo'!O1141)</f>
        <v/>
      </c>
      <c r="P1141" s="81">
        <f>IF('Ordenes_Odoo'!P1141="","",'Ordenes_Odoo'!P1141)</f>
        <v/>
      </c>
      <c r="Q1141" s="79">
        <f>IF(A1141="","",IFERROR(INDEX(Facturas_Odoo!$B:$B, MATCH(A1141, Facturas_Odoo!$D:$D, 0)), "Sin Factura"))</f>
        <v/>
      </c>
      <c r="R1141" s="80">
        <f>IF(Q1141="Sin Factura","",IFERROR(INDEX(Facturas_Odoo!$A:$A, MATCH(Q1141, Facturas_Odoo!$B:$B, 0)), ""))</f>
        <v/>
      </c>
      <c r="S1141" s="79">
        <f>IF(Q1141="Sin Factura","",IFERROR(_xlfn.XLOOKUP(1, (Facturas_Odoo!$D:$D=A1141) * (Facturas_Odoo!$K:$K=I1141), Facturas_Odoo!$L:$L, ""), ""))</f>
        <v/>
      </c>
      <c r="T1141" s="81">
        <f>IF(Q1141="Sin Factura",0,IFERROR(_xlfn.XLOOKUP(1, (Facturas_Odoo!$D:$D=A1141) * (Facturas_Odoo!$K:$K=I1141), Facturas_Odoo!$M:$M, 0), 0))</f>
        <v/>
      </c>
      <c r="U1141" s="79">
        <f>IF(Q1141="Sin Factura",0,IFERROR(_xlfn.XLOOKUP(1, (Facturas_Odoo!$D:$D=A1141) * (Facturas_Odoo!$K:$K=I1141), Facturas_Odoo!$N:$N, 0), 0))</f>
        <v/>
      </c>
      <c r="V1141" s="79">
        <f>IF(Q1141="Sin Factura",0,IFERROR(_xlfn.XLOOKUP(1, (Facturas_Odoo!$D:$D=A1141) * (Facturas_Odoo!$K:$K=I1141), Facturas_Odoo!$O:$O, 0), 0))</f>
        <v/>
      </c>
      <c r="W1141" s="81">
        <f>IF(Q1141="Sin Factura",0,IFERROR(_xlfn.XLOOKUP(1, (Facturas_Odoo!$D:$D=A1141) * (Facturas_Odoo!$K:$K=I1141), Facturas_Odoo!$Q:$Q, 0), 0))</f>
        <v/>
      </c>
      <c r="X1141" s="79">
        <f>IF(OR(Q1141="Sin Factura",Q1141=""),"",IFERROR(INDEX(Pagos_Odoo!$B:$B, MATCH(Q1141, Pagos_Odoo!$I:$I, 0)), "Sin Pago"))</f>
        <v/>
      </c>
      <c r="Y1141" s="79">
        <f>IF(X1141="Sin Pago","",IFERROR(INDEX(Pagos_Odoo!$C:$C, MATCH(X1141, Pagos_Odoo!$B:$B, 0)), ""))</f>
        <v/>
      </c>
      <c r="Z1141" s="80">
        <f>IF(X1141="Sin Pago","",IFERROR(INDEX(Pagos_Odoo!$A:$A, MATCH(X1141, Pagos_Odoo!$B:$B, 0)), ""))</f>
        <v/>
      </c>
      <c r="AA1141" s="79">
        <f>IF(X1141="Sin Pago","",IFERROR(INDEX(Pagos_Odoo!$F:$F, MATCH(X1141, Pagos_Odoo!$B:$B, 0)), ""))</f>
        <v/>
      </c>
      <c r="AB1141" s="81">
        <f>IF(X1141="Sin Pago",0,IFERROR(INDEX(Pagos_Odoo!$E:$E, MATCH(X1141, Pagos_Odoo!$B:$B, 0)), 0))</f>
        <v/>
      </c>
      <c r="AC1141" s="79">
        <f>IF(X1141="Sin Pago","",IFERROR(INDEX(Pagos_Odoo!$G:$G, MATCH(X1141, Pagos_Odoo!$B:$B, 0)), ""))</f>
        <v/>
      </c>
      <c r="AD1141" s="82" t="n">
        <v>0</v>
      </c>
      <c r="AE1141" s="82" t="n"/>
      <c r="AF1141" s="82" t="n"/>
      <c r="AG1141" s="82">
        <f>IF(AN1141="","",AD1141+AE1141+AF1141)</f>
        <v/>
      </c>
      <c r="AH1141" s="81">
        <f>IF(AN1141="","",P1141*(1-AG1141))</f>
        <v/>
      </c>
      <c r="AI1141" s="81">
        <f>IF(AN1141="","",IF(Q1141="Sin Factura",0,IFERROR(INDEX(Facturas_Odoo!$H:$H, MATCH(Q1141, Facturas_Odoo!$B:$B, 0)), 0)*(1-AG1141)))</f>
        <v/>
      </c>
      <c r="AJ1141" s="81">
        <f>IF(AN1141="","",_xlfn.LET(idVenta, AN1141&amp;"",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41" s="81">
        <f>IF(AN1141="","",AH1141-AJ1141)</f>
        <v/>
      </c>
      <c r="AL1141" s="81">
        <f>IF(AN1141="","",IF(Q1141="Sin Factura","",AI1141-AJ1141))</f>
        <v/>
      </c>
      <c r="AM1141" s="81">
        <f>IF(AN1141="","",IF(Q1141="Sin Factura",0,P1141-IFERROR(INDEX(Facturas_Odoo!$H:$H, MATCH(Q1141, Facturas_Odoo!$B:$B, 0)), 0)))</f>
        <v/>
      </c>
      <c r="AN1141" s="79">
        <f>IF(AND(A1141="", J1141=""), "", IF(A1141&lt;&gt;"", VALUE(MID(A1141,2,LEN(A1141))), AN1140))</f>
        <v/>
      </c>
      <c r="AO1141" s="79">
        <f>IF(AN1141="","",IF(AD1141=0,"OK",_xlfn.LET(monedaPago, IF(AA1141="","USD",AA1141), limitePermitido, IFERROR(VLOOKUP(monedaPago, Configuración!$A$2:$B$3, 2, FALSE), 0.15), IF(AD1141&gt;limitePermitido, "ALERTA: EXCESO (" &amp; TEXT(limitePermitido, "0%") &amp; " máx)", "OK"))))</f>
        <v/>
      </c>
      <c r="AP1141" s="79">
        <f>IF(AN1141="","",IF(AE1141=0,"OK",_xlfn.LET(fechaPago, Z1141, fechaFactura, R1141, diasCredito, IF(E1141="Pago inmediato", 0, IFERROR(VALUE(MID(E1141, 1, SEARCH(" ", E1141)-1)),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41" s="79">
        <f>IF(AN1141="","",IF(AND(N1141&gt;0, AG1141&gt;0), IF(Configuración!$K$2="NO", "ALERTA: DESCUENTO DOBLE NO PERMITIDO", "OK"), "OK"))</f>
        <v/>
      </c>
      <c r="AR1141" s="79">
        <f>IF(AN1141="","",IF(OR(AO1141&lt;&gt;"OK", AP1141&lt;&gt;"OK", AQ1141&lt;&gt;"OK"), "⚠️ REVISAR", "OK"))</f>
        <v/>
      </c>
    </row>
    <row r="1142">
      <c r="A1142" s="79">
        <f>IF('Ordenes_Odoo'!A1142="","",'Ordenes_Odoo'!A1142)</f>
        <v/>
      </c>
      <c r="B1142" s="80">
        <f>IF('Ordenes_Odoo'!B1142="","",'Ordenes_Odoo'!B1142)</f>
        <v/>
      </c>
      <c r="C1142" s="79">
        <f>IF('Ordenes_Odoo'!C1142="","",'Ordenes_Odoo'!C1142)</f>
        <v/>
      </c>
      <c r="D1142" s="79">
        <f>IF('Ordenes_Odoo'!D1142="","",'Ordenes_Odoo'!D1142)</f>
        <v/>
      </c>
      <c r="E1142" s="79">
        <f>IF('Ordenes_Odoo'!E1142="","",'Ordenes_Odoo'!E1142)</f>
        <v/>
      </c>
      <c r="F1142" s="79">
        <f>IF('Ordenes_Odoo'!F1142="","",'Ordenes_Odoo'!F1142)</f>
        <v/>
      </c>
      <c r="G1142" s="79">
        <f>IF('Ordenes_Odoo'!G1142="","",'Ordenes_Odoo'!G1142)</f>
        <v/>
      </c>
      <c r="H1142" s="79">
        <f>IF('Ordenes_Odoo'!H1142="","",'Ordenes_Odoo'!H1142)</f>
        <v/>
      </c>
      <c r="I1142" s="79">
        <f>IF('Ordenes_Odoo'!I1142="","",'Ordenes_Odoo'!I1142)</f>
        <v/>
      </c>
      <c r="J1142" s="79">
        <f>IF('Ordenes_Odoo'!J1142="","",'Ordenes_Odoo'!J1142)</f>
        <v/>
      </c>
      <c r="K1142" s="81">
        <f>IF('Ordenes_Odoo'!K1142="","",'Ordenes_Odoo'!K1142)</f>
        <v/>
      </c>
      <c r="L1142" s="81">
        <f>IF('Ordenes_Odoo'!L1142="","",'Ordenes_Odoo'!L1142)</f>
        <v/>
      </c>
      <c r="M1142" s="79">
        <f>IF('Ordenes_Odoo'!M1142="","",'Ordenes_Odoo'!M1142)</f>
        <v/>
      </c>
      <c r="N1142" s="79">
        <f>IF('Ordenes_Odoo'!N1142="","",'Ordenes_Odoo'!N1142)</f>
        <v/>
      </c>
      <c r="O1142" s="81">
        <f>IF('Ordenes_Odoo'!O1142="","",'Ordenes_Odoo'!O1142)</f>
        <v/>
      </c>
      <c r="P1142" s="81">
        <f>IF('Ordenes_Odoo'!P1142="","",'Ordenes_Odoo'!P1142)</f>
        <v/>
      </c>
      <c r="Q1142" s="79">
        <f>IF(A1142="","",IFERROR(INDEX(Facturas_Odoo!$B:$B, MATCH(A1142, Facturas_Odoo!$D:$D, 0)), "Sin Factura"))</f>
        <v/>
      </c>
      <c r="R1142" s="80">
        <f>IF(Q1142="Sin Factura","",IFERROR(INDEX(Facturas_Odoo!$A:$A, MATCH(Q1142, Facturas_Odoo!$B:$B, 0)), ""))</f>
        <v/>
      </c>
      <c r="S1142" s="79">
        <f>IF(Q1142="Sin Factura","",IFERROR(_xlfn.XLOOKUP(1, (Facturas_Odoo!$D:$D=A1142) * (Facturas_Odoo!$K:$K=I1142), Facturas_Odoo!$L:$L, ""), ""))</f>
        <v/>
      </c>
      <c r="T1142" s="81">
        <f>IF(Q1142="Sin Factura",0,IFERROR(_xlfn.XLOOKUP(1, (Facturas_Odoo!$D:$D=A1142) * (Facturas_Odoo!$K:$K=I1142), Facturas_Odoo!$M:$M, 0), 0))</f>
        <v/>
      </c>
      <c r="U1142" s="79">
        <f>IF(Q1142="Sin Factura",0,IFERROR(_xlfn.XLOOKUP(1, (Facturas_Odoo!$D:$D=A1142) * (Facturas_Odoo!$K:$K=I1142), Facturas_Odoo!$N:$N, 0), 0))</f>
        <v/>
      </c>
      <c r="V1142" s="79">
        <f>IF(Q1142="Sin Factura",0,IFERROR(_xlfn.XLOOKUP(1, (Facturas_Odoo!$D:$D=A1142) * (Facturas_Odoo!$K:$K=I1142), Facturas_Odoo!$O:$O, 0), 0))</f>
        <v/>
      </c>
      <c r="W1142" s="81">
        <f>IF(Q1142="Sin Factura",0,IFERROR(_xlfn.XLOOKUP(1, (Facturas_Odoo!$D:$D=A1142) * (Facturas_Odoo!$K:$K=I1142), Facturas_Odoo!$Q:$Q, 0), 0))</f>
        <v/>
      </c>
      <c r="X1142" s="79">
        <f>IF(OR(Q1142="Sin Factura",Q1142=""),"",IFERROR(INDEX(Pagos_Odoo!$B:$B, MATCH(Q1142, Pagos_Odoo!$I:$I, 0)), "Sin Pago"))</f>
        <v/>
      </c>
      <c r="Y1142" s="79">
        <f>IF(X1142="Sin Pago","",IFERROR(INDEX(Pagos_Odoo!$C:$C, MATCH(X1142, Pagos_Odoo!$B:$B, 0)), ""))</f>
        <v/>
      </c>
      <c r="Z1142" s="80">
        <f>IF(X1142="Sin Pago","",IFERROR(INDEX(Pagos_Odoo!$A:$A, MATCH(X1142, Pagos_Odoo!$B:$B, 0)), ""))</f>
        <v/>
      </c>
      <c r="AA1142" s="79">
        <f>IF(X1142="Sin Pago","",IFERROR(INDEX(Pagos_Odoo!$F:$F, MATCH(X1142, Pagos_Odoo!$B:$B, 0)), ""))</f>
        <v/>
      </c>
      <c r="AB1142" s="81">
        <f>IF(X1142="Sin Pago",0,IFERROR(INDEX(Pagos_Odoo!$E:$E, MATCH(X1142, Pagos_Odoo!$B:$B, 0)), 0))</f>
        <v/>
      </c>
      <c r="AC1142" s="79">
        <f>IF(X1142="Sin Pago","",IFERROR(INDEX(Pagos_Odoo!$G:$G, MATCH(X1142, Pagos_Odoo!$B:$B, 0)), ""))</f>
        <v/>
      </c>
      <c r="AD1142" s="82" t="n">
        <v>0</v>
      </c>
      <c r="AE1142" s="82" t="n"/>
      <c r="AF1142" s="82" t="n"/>
      <c r="AG1142" s="82">
        <f>IF(AN1142="","",AD1142+AE1142+AF1142)</f>
        <v/>
      </c>
      <c r="AH1142" s="81">
        <f>IF(AN1142="","",P1142*(1-AG1142))</f>
        <v/>
      </c>
      <c r="AI1142" s="81">
        <f>IF(AN1142="","",IF(Q1142="Sin Factura",0,IFERROR(INDEX(Facturas_Odoo!$H:$H, MATCH(Q1142, Facturas_Odoo!$B:$B, 0)), 0)*(1-AG1142)))</f>
        <v/>
      </c>
      <c r="AJ1142" s="81">
        <f>IF(AN1142="","",_xlfn.LET(idVenta, AN1142&amp;"",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42" s="81">
        <f>IF(AN1142="","",AH1142-AJ1142)</f>
        <v/>
      </c>
      <c r="AL1142" s="81">
        <f>IF(AN1142="","",IF(Q1142="Sin Factura","",AI1142-AJ1142))</f>
        <v/>
      </c>
      <c r="AM1142" s="81">
        <f>IF(AN1142="","",IF(Q1142="Sin Factura",0,P1142-IFERROR(INDEX(Facturas_Odoo!$H:$H, MATCH(Q1142, Facturas_Odoo!$B:$B, 0)), 0)))</f>
        <v/>
      </c>
      <c r="AN1142" s="79">
        <f>IF(AND(A1142="", J1142=""), "", IF(A1142&lt;&gt;"", VALUE(MID(A1142,2,LEN(A1142))), AN1141))</f>
        <v/>
      </c>
      <c r="AO1142" s="79">
        <f>IF(AN1142="","",IF(AD1142=0,"OK",_xlfn.LET(monedaPago, IF(AA1142="","USD",AA1142), limitePermitido, IFERROR(VLOOKUP(monedaPago, Configuración!$A$2:$B$3, 2, FALSE), 0.15), IF(AD1142&gt;limitePermitido, "ALERTA: EXCESO (" &amp; TEXT(limitePermitido, "0%") &amp; " máx)", "OK"))))</f>
        <v/>
      </c>
      <c r="AP1142" s="79">
        <f>IF(AN1142="","",IF(AE1142=0,"OK",_xlfn.LET(fechaPago, Z1142, fechaFactura, R1142, diasCredito, IF(E1142="Pago inmediato", 0, IFERROR(VALUE(MID(E1142, 1, SEARCH(" ", E1142)-1)),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42" s="79">
        <f>IF(AN1142="","",IF(AND(N1142&gt;0, AG1142&gt;0), IF(Configuración!$K$2="NO", "ALERTA: DESCUENTO DOBLE NO PERMITIDO", "OK"), "OK"))</f>
        <v/>
      </c>
      <c r="AR1142" s="79">
        <f>IF(AN1142="","",IF(OR(AO1142&lt;&gt;"OK", AP1142&lt;&gt;"OK", AQ1142&lt;&gt;"OK"), "⚠️ REVISAR", "OK"))</f>
        <v/>
      </c>
    </row>
    <row r="1143">
      <c r="A1143" s="79">
        <f>IF('Ordenes_Odoo'!A1143="","",'Ordenes_Odoo'!A1143)</f>
        <v/>
      </c>
      <c r="B1143" s="80">
        <f>IF('Ordenes_Odoo'!B1143="","",'Ordenes_Odoo'!B1143)</f>
        <v/>
      </c>
      <c r="C1143" s="79">
        <f>IF('Ordenes_Odoo'!C1143="","",'Ordenes_Odoo'!C1143)</f>
        <v/>
      </c>
      <c r="D1143" s="79">
        <f>IF('Ordenes_Odoo'!D1143="","",'Ordenes_Odoo'!D1143)</f>
        <v/>
      </c>
      <c r="E1143" s="79">
        <f>IF('Ordenes_Odoo'!E1143="","",'Ordenes_Odoo'!E1143)</f>
        <v/>
      </c>
      <c r="F1143" s="79">
        <f>IF('Ordenes_Odoo'!F1143="","",'Ordenes_Odoo'!F1143)</f>
        <v/>
      </c>
      <c r="G1143" s="79">
        <f>IF('Ordenes_Odoo'!G1143="","",'Ordenes_Odoo'!G1143)</f>
        <v/>
      </c>
      <c r="H1143" s="79">
        <f>IF('Ordenes_Odoo'!H1143="","",'Ordenes_Odoo'!H1143)</f>
        <v/>
      </c>
      <c r="I1143" s="79">
        <f>IF('Ordenes_Odoo'!I1143="","",'Ordenes_Odoo'!I1143)</f>
        <v/>
      </c>
      <c r="J1143" s="79">
        <f>IF('Ordenes_Odoo'!J1143="","",'Ordenes_Odoo'!J1143)</f>
        <v/>
      </c>
      <c r="K1143" s="81">
        <f>IF('Ordenes_Odoo'!K1143="","",'Ordenes_Odoo'!K1143)</f>
        <v/>
      </c>
      <c r="L1143" s="81">
        <f>IF('Ordenes_Odoo'!L1143="","",'Ordenes_Odoo'!L1143)</f>
        <v/>
      </c>
      <c r="M1143" s="79">
        <f>IF('Ordenes_Odoo'!M1143="","",'Ordenes_Odoo'!M1143)</f>
        <v/>
      </c>
      <c r="N1143" s="79">
        <f>IF('Ordenes_Odoo'!N1143="","",'Ordenes_Odoo'!N1143)</f>
        <v/>
      </c>
      <c r="O1143" s="81">
        <f>IF('Ordenes_Odoo'!O1143="","",'Ordenes_Odoo'!O1143)</f>
        <v/>
      </c>
      <c r="P1143" s="81">
        <f>IF('Ordenes_Odoo'!P1143="","",'Ordenes_Odoo'!P1143)</f>
        <v/>
      </c>
      <c r="Q1143" s="79">
        <f>IF(A1143="","",IFERROR(INDEX(Facturas_Odoo!$B:$B, MATCH(A1143, Facturas_Odoo!$D:$D, 0)), "Sin Factura"))</f>
        <v/>
      </c>
      <c r="R1143" s="80">
        <f>IF(Q1143="Sin Factura","",IFERROR(INDEX(Facturas_Odoo!$A:$A, MATCH(Q1143, Facturas_Odoo!$B:$B, 0)), ""))</f>
        <v/>
      </c>
      <c r="S1143" s="79">
        <f>IF(Q1143="Sin Factura","",IFERROR(_xlfn.XLOOKUP(1, (Facturas_Odoo!$D:$D=A1143) * (Facturas_Odoo!$K:$K=I1143), Facturas_Odoo!$L:$L, ""), ""))</f>
        <v/>
      </c>
      <c r="T1143" s="81">
        <f>IF(Q1143="Sin Factura",0,IFERROR(_xlfn.XLOOKUP(1, (Facturas_Odoo!$D:$D=A1143) * (Facturas_Odoo!$K:$K=I1143), Facturas_Odoo!$M:$M, 0), 0))</f>
        <v/>
      </c>
      <c r="U1143" s="79">
        <f>IF(Q1143="Sin Factura",0,IFERROR(_xlfn.XLOOKUP(1, (Facturas_Odoo!$D:$D=A1143) * (Facturas_Odoo!$K:$K=I1143), Facturas_Odoo!$N:$N, 0), 0))</f>
        <v/>
      </c>
      <c r="V1143" s="79">
        <f>IF(Q1143="Sin Factura",0,IFERROR(_xlfn.XLOOKUP(1, (Facturas_Odoo!$D:$D=A1143) * (Facturas_Odoo!$K:$K=I1143), Facturas_Odoo!$O:$O, 0), 0))</f>
        <v/>
      </c>
      <c r="W1143" s="81">
        <f>IF(Q1143="Sin Factura",0,IFERROR(_xlfn.XLOOKUP(1, (Facturas_Odoo!$D:$D=A1143) * (Facturas_Odoo!$K:$K=I1143), Facturas_Odoo!$Q:$Q, 0), 0))</f>
        <v/>
      </c>
      <c r="X1143" s="79">
        <f>IF(OR(Q1143="Sin Factura",Q1143=""),"",IFERROR(INDEX(Pagos_Odoo!$B:$B, MATCH(Q1143, Pagos_Odoo!$I:$I, 0)), "Sin Pago"))</f>
        <v/>
      </c>
      <c r="Y1143" s="79">
        <f>IF(X1143="Sin Pago","",IFERROR(INDEX(Pagos_Odoo!$C:$C, MATCH(X1143, Pagos_Odoo!$B:$B, 0)), ""))</f>
        <v/>
      </c>
      <c r="Z1143" s="80">
        <f>IF(X1143="Sin Pago","",IFERROR(INDEX(Pagos_Odoo!$A:$A, MATCH(X1143, Pagos_Odoo!$B:$B, 0)), ""))</f>
        <v/>
      </c>
      <c r="AA1143" s="79">
        <f>IF(X1143="Sin Pago","",IFERROR(INDEX(Pagos_Odoo!$F:$F, MATCH(X1143, Pagos_Odoo!$B:$B, 0)), ""))</f>
        <v/>
      </c>
      <c r="AB1143" s="81">
        <f>IF(X1143="Sin Pago",0,IFERROR(INDEX(Pagos_Odoo!$E:$E, MATCH(X1143, Pagos_Odoo!$B:$B, 0)), 0))</f>
        <v/>
      </c>
      <c r="AC1143" s="79">
        <f>IF(X1143="Sin Pago","",IFERROR(INDEX(Pagos_Odoo!$G:$G, MATCH(X1143, Pagos_Odoo!$B:$B, 0)), ""))</f>
        <v/>
      </c>
      <c r="AD1143" s="82" t="n">
        <v>0</v>
      </c>
      <c r="AE1143" s="82" t="n"/>
      <c r="AF1143" s="82" t="n"/>
      <c r="AG1143" s="82">
        <f>IF(AN1143="","",AD1143+AE1143+AF1143)</f>
        <v/>
      </c>
      <c r="AH1143" s="81">
        <f>IF(AN1143="","",P1143*(1-AG1143))</f>
        <v/>
      </c>
      <c r="AI1143" s="81">
        <f>IF(AN1143="","",IF(Q1143="Sin Factura",0,IFERROR(INDEX(Facturas_Odoo!$H:$H, MATCH(Q1143, Facturas_Odoo!$B:$B, 0)), 0)*(1-AG1143)))</f>
        <v/>
      </c>
      <c r="AJ1143" s="81">
        <f>IF(AN1143="","",_xlfn.LET(idVenta, AN1143&amp;"",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43" s="81">
        <f>IF(AN1143="","",AH1143-AJ1143)</f>
        <v/>
      </c>
      <c r="AL1143" s="81">
        <f>IF(AN1143="","",IF(Q1143="Sin Factura","",AI1143-AJ1143))</f>
        <v/>
      </c>
      <c r="AM1143" s="81">
        <f>IF(AN1143="","",IF(Q1143="Sin Factura",0,P1143-IFERROR(INDEX(Facturas_Odoo!$H:$H, MATCH(Q1143, Facturas_Odoo!$B:$B, 0)), 0)))</f>
        <v/>
      </c>
      <c r="AN1143" s="79">
        <f>IF(AND(A1143="", J1143=""), "", IF(A1143&lt;&gt;"", VALUE(MID(A1143,2,LEN(A1143))), AN1142))</f>
        <v/>
      </c>
      <c r="AO1143" s="79">
        <f>IF(AN1143="","",IF(AD1143=0,"OK",_xlfn.LET(monedaPago, IF(AA1143="","USD",AA1143), limitePermitido, IFERROR(VLOOKUP(monedaPago, Configuración!$A$2:$B$3, 2, FALSE), 0.15), IF(AD1143&gt;limitePermitido, "ALERTA: EXCESO (" &amp; TEXT(limitePermitido, "0%") &amp; " máx)", "OK"))))</f>
        <v/>
      </c>
      <c r="AP1143" s="79">
        <f>IF(AN1143="","",IF(AE1143=0,"OK",_xlfn.LET(fechaPago, Z1143, fechaFactura, R1143, diasCredito, IF(E1143="Pago inmediato", 0, IFERROR(VALUE(MID(E1143, 1, SEARCH(" ", E1143)-1)),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43" s="79">
        <f>IF(AN1143="","",IF(AND(N1143&gt;0, AG1143&gt;0), IF(Configuración!$K$2="NO", "ALERTA: DESCUENTO DOBLE NO PERMITIDO", "OK"), "OK"))</f>
        <v/>
      </c>
      <c r="AR1143" s="79">
        <f>IF(AN1143="","",IF(OR(AO1143&lt;&gt;"OK", AP1143&lt;&gt;"OK", AQ1143&lt;&gt;"OK"), "⚠️ REVISAR", "OK"))</f>
        <v/>
      </c>
    </row>
    <row r="1144">
      <c r="A1144" s="79">
        <f>IF('Ordenes_Odoo'!A1144="","",'Ordenes_Odoo'!A1144)</f>
        <v/>
      </c>
      <c r="B1144" s="80">
        <f>IF('Ordenes_Odoo'!B1144="","",'Ordenes_Odoo'!B1144)</f>
        <v/>
      </c>
      <c r="C1144" s="79">
        <f>IF('Ordenes_Odoo'!C1144="","",'Ordenes_Odoo'!C1144)</f>
        <v/>
      </c>
      <c r="D1144" s="79">
        <f>IF('Ordenes_Odoo'!D1144="","",'Ordenes_Odoo'!D1144)</f>
        <v/>
      </c>
      <c r="E1144" s="79">
        <f>IF('Ordenes_Odoo'!E1144="","",'Ordenes_Odoo'!E1144)</f>
        <v/>
      </c>
      <c r="F1144" s="79">
        <f>IF('Ordenes_Odoo'!F1144="","",'Ordenes_Odoo'!F1144)</f>
        <v/>
      </c>
      <c r="G1144" s="79">
        <f>IF('Ordenes_Odoo'!G1144="","",'Ordenes_Odoo'!G1144)</f>
        <v/>
      </c>
      <c r="H1144" s="79">
        <f>IF('Ordenes_Odoo'!H1144="","",'Ordenes_Odoo'!H1144)</f>
        <v/>
      </c>
      <c r="I1144" s="79">
        <f>IF('Ordenes_Odoo'!I1144="","",'Ordenes_Odoo'!I1144)</f>
        <v/>
      </c>
      <c r="J1144" s="79">
        <f>IF('Ordenes_Odoo'!J1144="","",'Ordenes_Odoo'!J1144)</f>
        <v/>
      </c>
      <c r="K1144" s="81">
        <f>IF('Ordenes_Odoo'!K1144="","",'Ordenes_Odoo'!K1144)</f>
        <v/>
      </c>
      <c r="L1144" s="81">
        <f>IF('Ordenes_Odoo'!L1144="","",'Ordenes_Odoo'!L1144)</f>
        <v/>
      </c>
      <c r="M1144" s="79">
        <f>IF('Ordenes_Odoo'!M1144="","",'Ordenes_Odoo'!M1144)</f>
        <v/>
      </c>
      <c r="N1144" s="79">
        <f>IF('Ordenes_Odoo'!N1144="","",'Ordenes_Odoo'!N1144)</f>
        <v/>
      </c>
      <c r="O1144" s="81">
        <f>IF('Ordenes_Odoo'!O1144="","",'Ordenes_Odoo'!O1144)</f>
        <v/>
      </c>
      <c r="P1144" s="81">
        <f>IF('Ordenes_Odoo'!P1144="","",'Ordenes_Odoo'!P1144)</f>
        <v/>
      </c>
      <c r="Q1144" s="79">
        <f>IF(A1144="","",IFERROR(INDEX(Facturas_Odoo!$B:$B, MATCH(A1144, Facturas_Odoo!$D:$D, 0)), "Sin Factura"))</f>
        <v/>
      </c>
      <c r="R1144" s="80">
        <f>IF(Q1144="Sin Factura","",IFERROR(INDEX(Facturas_Odoo!$A:$A, MATCH(Q1144, Facturas_Odoo!$B:$B, 0)), ""))</f>
        <v/>
      </c>
      <c r="S1144" s="79">
        <f>IF(Q1144="Sin Factura","",IFERROR(_xlfn.XLOOKUP(1, (Facturas_Odoo!$D:$D=A1144) * (Facturas_Odoo!$K:$K=I1144), Facturas_Odoo!$L:$L, ""), ""))</f>
        <v/>
      </c>
      <c r="T1144" s="81">
        <f>IF(Q1144="Sin Factura",0,IFERROR(_xlfn.XLOOKUP(1, (Facturas_Odoo!$D:$D=A1144) * (Facturas_Odoo!$K:$K=I1144), Facturas_Odoo!$M:$M, 0), 0))</f>
        <v/>
      </c>
      <c r="U1144" s="79">
        <f>IF(Q1144="Sin Factura",0,IFERROR(_xlfn.XLOOKUP(1, (Facturas_Odoo!$D:$D=A1144) * (Facturas_Odoo!$K:$K=I1144), Facturas_Odoo!$N:$N, 0), 0))</f>
        <v/>
      </c>
      <c r="V1144" s="79">
        <f>IF(Q1144="Sin Factura",0,IFERROR(_xlfn.XLOOKUP(1, (Facturas_Odoo!$D:$D=A1144) * (Facturas_Odoo!$K:$K=I1144), Facturas_Odoo!$O:$O, 0), 0))</f>
        <v/>
      </c>
      <c r="W1144" s="81">
        <f>IF(Q1144="Sin Factura",0,IFERROR(_xlfn.XLOOKUP(1, (Facturas_Odoo!$D:$D=A1144) * (Facturas_Odoo!$K:$K=I1144), Facturas_Odoo!$Q:$Q, 0), 0))</f>
        <v/>
      </c>
      <c r="X1144" s="79">
        <f>IF(OR(Q1144="Sin Factura",Q1144=""),"",IFERROR(INDEX(Pagos_Odoo!$B:$B, MATCH(Q1144, Pagos_Odoo!$I:$I, 0)), "Sin Pago"))</f>
        <v/>
      </c>
      <c r="Y1144" s="79">
        <f>IF(X1144="Sin Pago","",IFERROR(INDEX(Pagos_Odoo!$C:$C, MATCH(X1144, Pagos_Odoo!$B:$B, 0)), ""))</f>
        <v/>
      </c>
      <c r="Z1144" s="80">
        <f>IF(X1144="Sin Pago","",IFERROR(INDEX(Pagos_Odoo!$A:$A, MATCH(X1144, Pagos_Odoo!$B:$B, 0)), ""))</f>
        <v/>
      </c>
      <c r="AA1144" s="79">
        <f>IF(X1144="Sin Pago","",IFERROR(INDEX(Pagos_Odoo!$F:$F, MATCH(X1144, Pagos_Odoo!$B:$B, 0)), ""))</f>
        <v/>
      </c>
      <c r="AB1144" s="81">
        <f>IF(X1144="Sin Pago",0,IFERROR(INDEX(Pagos_Odoo!$E:$E, MATCH(X1144, Pagos_Odoo!$B:$B, 0)), 0))</f>
        <v/>
      </c>
      <c r="AC1144" s="79">
        <f>IF(X1144="Sin Pago","",IFERROR(INDEX(Pagos_Odoo!$G:$G, MATCH(X1144, Pagos_Odoo!$B:$B, 0)), ""))</f>
        <v/>
      </c>
      <c r="AD1144" s="82" t="n">
        <v>0</v>
      </c>
      <c r="AE1144" s="82" t="n"/>
      <c r="AF1144" s="82" t="n"/>
      <c r="AG1144" s="82">
        <f>IF(AN1144="","",AD1144+AE1144+AF1144)</f>
        <v/>
      </c>
      <c r="AH1144" s="81">
        <f>IF(AN1144="","",P1144*(1-AG1144))</f>
        <v/>
      </c>
      <c r="AI1144" s="81">
        <f>IF(AN1144="","",IF(Q1144="Sin Factura",0,IFERROR(INDEX(Facturas_Odoo!$H:$H, MATCH(Q1144, Facturas_Odoo!$B:$B, 0)), 0)*(1-AG1144)))</f>
        <v/>
      </c>
      <c r="AJ1144" s="81">
        <f>IF(AN1144="","",_xlfn.LET(idVenta, AN1144&amp;"",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44" s="81">
        <f>IF(AN1144="","",AH1144-AJ1144)</f>
        <v/>
      </c>
      <c r="AL1144" s="81">
        <f>IF(AN1144="","",IF(Q1144="Sin Factura","",AI1144-AJ1144))</f>
        <v/>
      </c>
      <c r="AM1144" s="81">
        <f>IF(AN1144="","",IF(Q1144="Sin Factura",0,P1144-IFERROR(INDEX(Facturas_Odoo!$H:$H, MATCH(Q1144, Facturas_Odoo!$B:$B, 0)), 0)))</f>
        <v/>
      </c>
      <c r="AN1144" s="79">
        <f>IF(AND(A1144="", J1144=""), "", IF(A1144&lt;&gt;"", VALUE(MID(A1144,2,LEN(A1144))), AN1143))</f>
        <v/>
      </c>
      <c r="AO1144" s="79">
        <f>IF(AN1144="","",IF(AD1144=0,"OK",_xlfn.LET(monedaPago, IF(AA1144="","USD",AA1144), limitePermitido, IFERROR(VLOOKUP(monedaPago, Configuración!$A$2:$B$3, 2, FALSE), 0.15), IF(AD1144&gt;limitePermitido, "ALERTA: EXCESO (" &amp; TEXT(limitePermitido, "0%") &amp; " máx)", "OK"))))</f>
        <v/>
      </c>
      <c r="AP1144" s="79">
        <f>IF(AN1144="","",IF(AE1144=0,"OK",_xlfn.LET(fechaPago, Z1144, fechaFactura, R1144, diasCredito, IF(E1144="Pago inmediato", 0, IFERROR(VALUE(MID(E1144, 1, SEARCH(" ", E1144)-1)),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44" s="79">
        <f>IF(AN1144="","",IF(AND(N1144&gt;0, AG1144&gt;0), IF(Configuración!$K$2="NO", "ALERTA: DESCUENTO DOBLE NO PERMITIDO", "OK"), "OK"))</f>
        <v/>
      </c>
      <c r="AR1144" s="79">
        <f>IF(AN1144="","",IF(OR(AO1144&lt;&gt;"OK", AP1144&lt;&gt;"OK", AQ1144&lt;&gt;"OK"), "⚠️ REVISAR", "OK"))</f>
        <v/>
      </c>
    </row>
    <row r="1145">
      <c r="A1145" s="79">
        <f>IF('Ordenes_Odoo'!A1145="","",'Ordenes_Odoo'!A1145)</f>
        <v/>
      </c>
      <c r="B1145" s="80">
        <f>IF('Ordenes_Odoo'!B1145="","",'Ordenes_Odoo'!B1145)</f>
        <v/>
      </c>
      <c r="C1145" s="79">
        <f>IF('Ordenes_Odoo'!C1145="","",'Ordenes_Odoo'!C1145)</f>
        <v/>
      </c>
      <c r="D1145" s="79">
        <f>IF('Ordenes_Odoo'!D1145="","",'Ordenes_Odoo'!D1145)</f>
        <v/>
      </c>
      <c r="E1145" s="79">
        <f>IF('Ordenes_Odoo'!E1145="","",'Ordenes_Odoo'!E1145)</f>
        <v/>
      </c>
      <c r="F1145" s="79">
        <f>IF('Ordenes_Odoo'!F1145="","",'Ordenes_Odoo'!F1145)</f>
        <v/>
      </c>
      <c r="G1145" s="79">
        <f>IF('Ordenes_Odoo'!G1145="","",'Ordenes_Odoo'!G1145)</f>
        <v/>
      </c>
      <c r="H1145" s="79">
        <f>IF('Ordenes_Odoo'!H1145="","",'Ordenes_Odoo'!H1145)</f>
        <v/>
      </c>
      <c r="I1145" s="79">
        <f>IF('Ordenes_Odoo'!I1145="","",'Ordenes_Odoo'!I1145)</f>
        <v/>
      </c>
      <c r="J1145" s="79">
        <f>IF('Ordenes_Odoo'!J1145="","",'Ordenes_Odoo'!J1145)</f>
        <v/>
      </c>
      <c r="K1145" s="81">
        <f>IF('Ordenes_Odoo'!K1145="","",'Ordenes_Odoo'!K1145)</f>
        <v/>
      </c>
      <c r="L1145" s="81">
        <f>IF('Ordenes_Odoo'!L1145="","",'Ordenes_Odoo'!L1145)</f>
        <v/>
      </c>
      <c r="M1145" s="79">
        <f>IF('Ordenes_Odoo'!M1145="","",'Ordenes_Odoo'!M1145)</f>
        <v/>
      </c>
      <c r="N1145" s="79">
        <f>IF('Ordenes_Odoo'!N1145="","",'Ordenes_Odoo'!N1145)</f>
        <v/>
      </c>
      <c r="O1145" s="81">
        <f>IF('Ordenes_Odoo'!O1145="","",'Ordenes_Odoo'!O1145)</f>
        <v/>
      </c>
      <c r="P1145" s="81">
        <f>IF('Ordenes_Odoo'!P1145="","",'Ordenes_Odoo'!P1145)</f>
        <v/>
      </c>
      <c r="Q1145" s="79">
        <f>IF(A1145="","",IFERROR(INDEX(Facturas_Odoo!$B:$B, MATCH(A1145, Facturas_Odoo!$D:$D, 0)), "Sin Factura"))</f>
        <v/>
      </c>
      <c r="R1145" s="80">
        <f>IF(Q1145="Sin Factura","",IFERROR(INDEX(Facturas_Odoo!$A:$A, MATCH(Q1145, Facturas_Odoo!$B:$B, 0)), ""))</f>
        <v/>
      </c>
      <c r="S1145" s="79">
        <f>IF(Q1145="Sin Factura","",IFERROR(_xlfn.XLOOKUP(1, (Facturas_Odoo!$D:$D=A1145) * (Facturas_Odoo!$K:$K=I1145), Facturas_Odoo!$L:$L, ""), ""))</f>
        <v/>
      </c>
      <c r="T1145" s="81">
        <f>IF(Q1145="Sin Factura",0,IFERROR(_xlfn.XLOOKUP(1, (Facturas_Odoo!$D:$D=A1145) * (Facturas_Odoo!$K:$K=I1145), Facturas_Odoo!$M:$M, 0), 0))</f>
        <v/>
      </c>
      <c r="U1145" s="79">
        <f>IF(Q1145="Sin Factura",0,IFERROR(_xlfn.XLOOKUP(1, (Facturas_Odoo!$D:$D=A1145) * (Facturas_Odoo!$K:$K=I1145), Facturas_Odoo!$N:$N, 0), 0))</f>
        <v/>
      </c>
      <c r="V1145" s="79">
        <f>IF(Q1145="Sin Factura",0,IFERROR(_xlfn.XLOOKUP(1, (Facturas_Odoo!$D:$D=A1145) * (Facturas_Odoo!$K:$K=I1145), Facturas_Odoo!$O:$O, 0), 0))</f>
        <v/>
      </c>
      <c r="W1145" s="81">
        <f>IF(Q1145="Sin Factura",0,IFERROR(_xlfn.XLOOKUP(1, (Facturas_Odoo!$D:$D=A1145) * (Facturas_Odoo!$K:$K=I1145), Facturas_Odoo!$Q:$Q, 0), 0))</f>
        <v/>
      </c>
      <c r="X1145" s="79">
        <f>IF(OR(Q1145="Sin Factura",Q1145=""),"",IFERROR(INDEX(Pagos_Odoo!$B:$B, MATCH(Q1145, Pagos_Odoo!$I:$I, 0)), "Sin Pago"))</f>
        <v/>
      </c>
      <c r="Y1145" s="79">
        <f>IF(X1145="Sin Pago","",IFERROR(INDEX(Pagos_Odoo!$C:$C, MATCH(X1145, Pagos_Odoo!$B:$B, 0)), ""))</f>
        <v/>
      </c>
      <c r="Z1145" s="80">
        <f>IF(X1145="Sin Pago","",IFERROR(INDEX(Pagos_Odoo!$A:$A, MATCH(X1145, Pagos_Odoo!$B:$B, 0)), ""))</f>
        <v/>
      </c>
      <c r="AA1145" s="79">
        <f>IF(X1145="Sin Pago","",IFERROR(INDEX(Pagos_Odoo!$F:$F, MATCH(X1145, Pagos_Odoo!$B:$B, 0)), ""))</f>
        <v/>
      </c>
      <c r="AB1145" s="81">
        <f>IF(X1145="Sin Pago",0,IFERROR(INDEX(Pagos_Odoo!$E:$E, MATCH(X1145, Pagos_Odoo!$B:$B, 0)), 0))</f>
        <v/>
      </c>
      <c r="AC1145" s="79">
        <f>IF(X1145="Sin Pago","",IFERROR(INDEX(Pagos_Odoo!$G:$G, MATCH(X1145, Pagos_Odoo!$B:$B, 0)), ""))</f>
        <v/>
      </c>
      <c r="AD1145" s="82" t="n">
        <v>0</v>
      </c>
      <c r="AE1145" s="82" t="n"/>
      <c r="AF1145" s="82" t="n"/>
      <c r="AG1145" s="82">
        <f>IF(AN1145="","",AD1145+AE1145+AF1145)</f>
        <v/>
      </c>
      <c r="AH1145" s="81">
        <f>IF(AN1145="","",P1145*(1-AG1145))</f>
        <v/>
      </c>
      <c r="AI1145" s="81">
        <f>IF(AN1145="","",IF(Q1145="Sin Factura",0,IFERROR(INDEX(Facturas_Odoo!$H:$H, MATCH(Q1145, Facturas_Odoo!$B:$B, 0)), 0)*(1-AG1145)))</f>
        <v/>
      </c>
      <c r="AJ1145" s="81">
        <f>IF(AN1145="","",_xlfn.LET(idVenta, AN1145&amp;"",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45" s="81">
        <f>IF(AN1145="","",AH1145-AJ1145)</f>
        <v/>
      </c>
      <c r="AL1145" s="81">
        <f>IF(AN1145="","",IF(Q1145="Sin Factura","",AI1145-AJ1145))</f>
        <v/>
      </c>
      <c r="AM1145" s="81">
        <f>IF(AN1145="","",IF(Q1145="Sin Factura",0,P1145-IFERROR(INDEX(Facturas_Odoo!$H:$H, MATCH(Q1145, Facturas_Odoo!$B:$B, 0)), 0)))</f>
        <v/>
      </c>
      <c r="AN1145" s="79">
        <f>IF(AND(A1145="", J1145=""), "", IF(A1145&lt;&gt;"", VALUE(MID(A1145,2,LEN(A1145))), AN1144))</f>
        <v/>
      </c>
      <c r="AO1145" s="79">
        <f>IF(AN1145="","",IF(AD1145=0,"OK",_xlfn.LET(monedaPago, IF(AA1145="","USD",AA1145), limitePermitido, IFERROR(VLOOKUP(monedaPago, Configuración!$A$2:$B$3, 2, FALSE), 0.15), IF(AD1145&gt;limitePermitido, "ALERTA: EXCESO (" &amp; TEXT(limitePermitido, "0%") &amp; " máx)", "OK"))))</f>
        <v/>
      </c>
      <c r="AP1145" s="79">
        <f>IF(AN1145="","",IF(AE1145=0,"OK",_xlfn.LET(fechaPago, Z1145, fechaFactura, R1145, diasCredito, IF(E1145="Pago inmediato", 0, IFERROR(VALUE(MID(E1145, 1, SEARCH(" ", E1145)-1)),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45" s="79">
        <f>IF(AN1145="","",IF(AND(N1145&gt;0, AG1145&gt;0), IF(Configuración!$K$2="NO", "ALERTA: DESCUENTO DOBLE NO PERMITIDO", "OK"), "OK"))</f>
        <v/>
      </c>
      <c r="AR1145" s="79">
        <f>IF(AN1145="","",IF(OR(AO1145&lt;&gt;"OK", AP1145&lt;&gt;"OK", AQ1145&lt;&gt;"OK"), "⚠️ REVISAR", "OK"))</f>
        <v/>
      </c>
    </row>
    <row r="1146">
      <c r="A1146" s="79">
        <f>IF('Ordenes_Odoo'!A1146="","",'Ordenes_Odoo'!A1146)</f>
        <v/>
      </c>
      <c r="B1146" s="80">
        <f>IF('Ordenes_Odoo'!B1146="","",'Ordenes_Odoo'!B1146)</f>
        <v/>
      </c>
      <c r="C1146" s="79">
        <f>IF('Ordenes_Odoo'!C1146="","",'Ordenes_Odoo'!C1146)</f>
        <v/>
      </c>
      <c r="D1146" s="79">
        <f>IF('Ordenes_Odoo'!D1146="","",'Ordenes_Odoo'!D1146)</f>
        <v/>
      </c>
      <c r="E1146" s="79">
        <f>IF('Ordenes_Odoo'!E1146="","",'Ordenes_Odoo'!E1146)</f>
        <v/>
      </c>
      <c r="F1146" s="79">
        <f>IF('Ordenes_Odoo'!F1146="","",'Ordenes_Odoo'!F1146)</f>
        <v/>
      </c>
      <c r="G1146" s="79">
        <f>IF('Ordenes_Odoo'!G1146="","",'Ordenes_Odoo'!G1146)</f>
        <v/>
      </c>
      <c r="H1146" s="79">
        <f>IF('Ordenes_Odoo'!H1146="","",'Ordenes_Odoo'!H1146)</f>
        <v/>
      </c>
      <c r="I1146" s="79">
        <f>IF('Ordenes_Odoo'!I1146="","",'Ordenes_Odoo'!I1146)</f>
        <v/>
      </c>
      <c r="J1146" s="79">
        <f>IF('Ordenes_Odoo'!J1146="","",'Ordenes_Odoo'!J1146)</f>
        <v/>
      </c>
      <c r="K1146" s="81">
        <f>IF('Ordenes_Odoo'!K1146="","",'Ordenes_Odoo'!K1146)</f>
        <v/>
      </c>
      <c r="L1146" s="81">
        <f>IF('Ordenes_Odoo'!L1146="","",'Ordenes_Odoo'!L1146)</f>
        <v/>
      </c>
      <c r="M1146" s="79">
        <f>IF('Ordenes_Odoo'!M1146="","",'Ordenes_Odoo'!M1146)</f>
        <v/>
      </c>
      <c r="N1146" s="79">
        <f>IF('Ordenes_Odoo'!N1146="","",'Ordenes_Odoo'!N1146)</f>
        <v/>
      </c>
      <c r="O1146" s="81">
        <f>IF('Ordenes_Odoo'!O1146="","",'Ordenes_Odoo'!O1146)</f>
        <v/>
      </c>
      <c r="P1146" s="81">
        <f>IF('Ordenes_Odoo'!P1146="","",'Ordenes_Odoo'!P1146)</f>
        <v/>
      </c>
      <c r="Q1146" s="79">
        <f>IF(A1146="","",IFERROR(INDEX(Facturas_Odoo!$B:$B, MATCH(A1146, Facturas_Odoo!$D:$D, 0)), "Sin Factura"))</f>
        <v/>
      </c>
      <c r="R1146" s="80">
        <f>IF(Q1146="Sin Factura","",IFERROR(INDEX(Facturas_Odoo!$A:$A, MATCH(Q1146, Facturas_Odoo!$B:$B, 0)), ""))</f>
        <v/>
      </c>
      <c r="S1146" s="79">
        <f>IF(Q1146="Sin Factura","",IFERROR(_xlfn.XLOOKUP(1, (Facturas_Odoo!$D:$D=A1146) * (Facturas_Odoo!$K:$K=I1146), Facturas_Odoo!$L:$L, ""), ""))</f>
        <v/>
      </c>
      <c r="T1146" s="81">
        <f>IF(Q1146="Sin Factura",0,IFERROR(_xlfn.XLOOKUP(1, (Facturas_Odoo!$D:$D=A1146) * (Facturas_Odoo!$K:$K=I1146), Facturas_Odoo!$M:$M, 0), 0))</f>
        <v/>
      </c>
      <c r="U1146" s="79">
        <f>IF(Q1146="Sin Factura",0,IFERROR(_xlfn.XLOOKUP(1, (Facturas_Odoo!$D:$D=A1146) * (Facturas_Odoo!$K:$K=I1146), Facturas_Odoo!$N:$N, 0), 0))</f>
        <v/>
      </c>
      <c r="V1146" s="79">
        <f>IF(Q1146="Sin Factura",0,IFERROR(_xlfn.XLOOKUP(1, (Facturas_Odoo!$D:$D=A1146) * (Facturas_Odoo!$K:$K=I1146), Facturas_Odoo!$O:$O, 0), 0))</f>
        <v/>
      </c>
      <c r="W1146" s="81">
        <f>IF(Q1146="Sin Factura",0,IFERROR(_xlfn.XLOOKUP(1, (Facturas_Odoo!$D:$D=A1146) * (Facturas_Odoo!$K:$K=I1146), Facturas_Odoo!$Q:$Q, 0), 0))</f>
        <v/>
      </c>
      <c r="X1146" s="79">
        <f>IF(OR(Q1146="Sin Factura",Q1146=""),"",IFERROR(INDEX(Pagos_Odoo!$B:$B, MATCH(Q1146, Pagos_Odoo!$I:$I, 0)), "Sin Pago"))</f>
        <v/>
      </c>
      <c r="Y1146" s="79">
        <f>IF(X1146="Sin Pago","",IFERROR(INDEX(Pagos_Odoo!$C:$C, MATCH(X1146, Pagos_Odoo!$B:$B, 0)), ""))</f>
        <v/>
      </c>
      <c r="Z1146" s="80">
        <f>IF(X1146="Sin Pago","",IFERROR(INDEX(Pagos_Odoo!$A:$A, MATCH(X1146, Pagos_Odoo!$B:$B, 0)), ""))</f>
        <v/>
      </c>
      <c r="AA1146" s="79">
        <f>IF(X1146="Sin Pago","",IFERROR(INDEX(Pagos_Odoo!$F:$F, MATCH(X1146, Pagos_Odoo!$B:$B, 0)), ""))</f>
        <v/>
      </c>
      <c r="AB1146" s="81">
        <f>IF(X1146="Sin Pago",0,IFERROR(INDEX(Pagos_Odoo!$E:$E, MATCH(X1146, Pagos_Odoo!$B:$B, 0)), 0))</f>
        <v/>
      </c>
      <c r="AC1146" s="79">
        <f>IF(X1146="Sin Pago","",IFERROR(INDEX(Pagos_Odoo!$G:$G, MATCH(X1146, Pagos_Odoo!$B:$B, 0)), ""))</f>
        <v/>
      </c>
      <c r="AD1146" s="82" t="n">
        <v>0</v>
      </c>
      <c r="AE1146" s="82" t="n"/>
      <c r="AF1146" s="82" t="n"/>
      <c r="AG1146" s="82">
        <f>IF(AN1146="","",AD1146+AE1146+AF1146)</f>
        <v/>
      </c>
      <c r="AH1146" s="81">
        <f>IF(AN1146="","",P1146*(1-AG1146))</f>
        <v/>
      </c>
      <c r="AI1146" s="81">
        <f>IF(AN1146="","",IF(Q1146="Sin Factura",0,IFERROR(INDEX(Facturas_Odoo!$H:$H, MATCH(Q1146, Facturas_Odoo!$B:$B, 0)), 0)*(1-AG1146)))</f>
        <v/>
      </c>
      <c r="AJ1146" s="81">
        <f>IF(AN1146="","",_xlfn.LET(idVenta, AN1146&amp;"",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46" s="81">
        <f>IF(AN1146="","",AH1146-AJ1146)</f>
        <v/>
      </c>
      <c r="AL1146" s="81">
        <f>IF(AN1146="","",IF(Q1146="Sin Factura","",AI1146-AJ1146))</f>
        <v/>
      </c>
      <c r="AM1146" s="81">
        <f>IF(AN1146="","",IF(Q1146="Sin Factura",0,P1146-IFERROR(INDEX(Facturas_Odoo!$H:$H, MATCH(Q1146, Facturas_Odoo!$B:$B, 0)), 0)))</f>
        <v/>
      </c>
      <c r="AN1146" s="79">
        <f>IF(AND(A1146="", J1146=""), "", IF(A1146&lt;&gt;"", VALUE(MID(A1146,2,LEN(A1146))), AN1145))</f>
        <v/>
      </c>
      <c r="AO1146" s="79">
        <f>IF(AN1146="","",IF(AD1146=0,"OK",_xlfn.LET(monedaPago, IF(AA1146="","USD",AA1146), limitePermitido, IFERROR(VLOOKUP(monedaPago, Configuración!$A$2:$B$3, 2, FALSE), 0.15), IF(AD1146&gt;limitePermitido, "ALERTA: EXCESO (" &amp; TEXT(limitePermitido, "0%") &amp; " máx)", "OK"))))</f>
        <v/>
      </c>
      <c r="AP1146" s="79">
        <f>IF(AN1146="","",IF(AE1146=0,"OK",_xlfn.LET(fechaPago, Z1146, fechaFactura, R1146, diasCredito, IF(E1146="Pago inmediato", 0, IFERROR(VALUE(MID(E1146, 1, SEARCH(" ", E1146)-1)),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46" s="79">
        <f>IF(AN1146="","",IF(AND(N1146&gt;0, AG1146&gt;0), IF(Configuración!$K$2="NO", "ALERTA: DESCUENTO DOBLE NO PERMITIDO", "OK"), "OK"))</f>
        <v/>
      </c>
      <c r="AR1146" s="79">
        <f>IF(AN1146="","",IF(OR(AO1146&lt;&gt;"OK", AP1146&lt;&gt;"OK", AQ1146&lt;&gt;"OK"), "⚠️ REVISAR", "OK"))</f>
        <v/>
      </c>
    </row>
    <row r="1147">
      <c r="A1147" s="79">
        <f>IF('Ordenes_Odoo'!A1147="","",'Ordenes_Odoo'!A1147)</f>
        <v/>
      </c>
      <c r="B1147" s="80">
        <f>IF('Ordenes_Odoo'!B1147="","",'Ordenes_Odoo'!B1147)</f>
        <v/>
      </c>
      <c r="C1147" s="79">
        <f>IF('Ordenes_Odoo'!C1147="","",'Ordenes_Odoo'!C1147)</f>
        <v/>
      </c>
      <c r="D1147" s="79">
        <f>IF('Ordenes_Odoo'!D1147="","",'Ordenes_Odoo'!D1147)</f>
        <v/>
      </c>
      <c r="E1147" s="79">
        <f>IF('Ordenes_Odoo'!E1147="","",'Ordenes_Odoo'!E1147)</f>
        <v/>
      </c>
      <c r="F1147" s="79">
        <f>IF('Ordenes_Odoo'!F1147="","",'Ordenes_Odoo'!F1147)</f>
        <v/>
      </c>
      <c r="G1147" s="79">
        <f>IF('Ordenes_Odoo'!G1147="","",'Ordenes_Odoo'!G1147)</f>
        <v/>
      </c>
      <c r="H1147" s="79">
        <f>IF('Ordenes_Odoo'!H1147="","",'Ordenes_Odoo'!H1147)</f>
        <v/>
      </c>
      <c r="I1147" s="79">
        <f>IF('Ordenes_Odoo'!I1147="","",'Ordenes_Odoo'!I1147)</f>
        <v/>
      </c>
      <c r="J1147" s="79">
        <f>IF('Ordenes_Odoo'!J1147="","",'Ordenes_Odoo'!J1147)</f>
        <v/>
      </c>
      <c r="K1147" s="81">
        <f>IF('Ordenes_Odoo'!K1147="","",'Ordenes_Odoo'!K1147)</f>
        <v/>
      </c>
      <c r="L1147" s="81">
        <f>IF('Ordenes_Odoo'!L1147="","",'Ordenes_Odoo'!L1147)</f>
        <v/>
      </c>
      <c r="M1147" s="79">
        <f>IF('Ordenes_Odoo'!M1147="","",'Ordenes_Odoo'!M1147)</f>
        <v/>
      </c>
      <c r="N1147" s="79">
        <f>IF('Ordenes_Odoo'!N1147="","",'Ordenes_Odoo'!N1147)</f>
        <v/>
      </c>
      <c r="O1147" s="81">
        <f>IF('Ordenes_Odoo'!O1147="","",'Ordenes_Odoo'!O1147)</f>
        <v/>
      </c>
      <c r="P1147" s="81">
        <f>IF('Ordenes_Odoo'!P1147="","",'Ordenes_Odoo'!P1147)</f>
        <v/>
      </c>
      <c r="Q1147" s="79">
        <f>IF(A1147="","",IFERROR(INDEX(Facturas_Odoo!$B:$B, MATCH(A1147, Facturas_Odoo!$D:$D, 0)), "Sin Factura"))</f>
        <v/>
      </c>
      <c r="R1147" s="80">
        <f>IF(Q1147="Sin Factura","",IFERROR(INDEX(Facturas_Odoo!$A:$A, MATCH(Q1147, Facturas_Odoo!$B:$B, 0)), ""))</f>
        <v/>
      </c>
      <c r="S1147" s="79">
        <f>IF(Q1147="Sin Factura","",IFERROR(_xlfn.XLOOKUP(1, (Facturas_Odoo!$D:$D=A1147) * (Facturas_Odoo!$K:$K=I1147), Facturas_Odoo!$L:$L, ""), ""))</f>
        <v/>
      </c>
      <c r="T1147" s="81">
        <f>IF(Q1147="Sin Factura",0,IFERROR(_xlfn.XLOOKUP(1, (Facturas_Odoo!$D:$D=A1147) * (Facturas_Odoo!$K:$K=I1147), Facturas_Odoo!$M:$M, 0), 0))</f>
        <v/>
      </c>
      <c r="U1147" s="79">
        <f>IF(Q1147="Sin Factura",0,IFERROR(_xlfn.XLOOKUP(1, (Facturas_Odoo!$D:$D=A1147) * (Facturas_Odoo!$K:$K=I1147), Facturas_Odoo!$N:$N, 0), 0))</f>
        <v/>
      </c>
      <c r="V1147" s="79">
        <f>IF(Q1147="Sin Factura",0,IFERROR(_xlfn.XLOOKUP(1, (Facturas_Odoo!$D:$D=A1147) * (Facturas_Odoo!$K:$K=I1147), Facturas_Odoo!$O:$O, 0), 0))</f>
        <v/>
      </c>
      <c r="W1147" s="81">
        <f>IF(Q1147="Sin Factura",0,IFERROR(_xlfn.XLOOKUP(1, (Facturas_Odoo!$D:$D=A1147) * (Facturas_Odoo!$K:$K=I1147), Facturas_Odoo!$Q:$Q, 0), 0))</f>
        <v/>
      </c>
      <c r="X1147" s="79">
        <f>IF(OR(Q1147="Sin Factura",Q1147=""),"",IFERROR(INDEX(Pagos_Odoo!$B:$B, MATCH(Q1147, Pagos_Odoo!$I:$I, 0)), "Sin Pago"))</f>
        <v/>
      </c>
      <c r="Y1147" s="79">
        <f>IF(X1147="Sin Pago","",IFERROR(INDEX(Pagos_Odoo!$C:$C, MATCH(X1147, Pagos_Odoo!$B:$B, 0)), ""))</f>
        <v/>
      </c>
      <c r="Z1147" s="80">
        <f>IF(X1147="Sin Pago","",IFERROR(INDEX(Pagos_Odoo!$A:$A, MATCH(X1147, Pagos_Odoo!$B:$B, 0)), ""))</f>
        <v/>
      </c>
      <c r="AA1147" s="79">
        <f>IF(X1147="Sin Pago","",IFERROR(INDEX(Pagos_Odoo!$F:$F, MATCH(X1147, Pagos_Odoo!$B:$B, 0)), ""))</f>
        <v/>
      </c>
      <c r="AB1147" s="81">
        <f>IF(X1147="Sin Pago",0,IFERROR(INDEX(Pagos_Odoo!$E:$E, MATCH(X1147, Pagos_Odoo!$B:$B, 0)), 0))</f>
        <v/>
      </c>
      <c r="AC1147" s="79">
        <f>IF(X1147="Sin Pago","",IFERROR(INDEX(Pagos_Odoo!$G:$G, MATCH(X1147, Pagos_Odoo!$B:$B, 0)), ""))</f>
        <v/>
      </c>
      <c r="AD1147" s="82" t="n">
        <v>0</v>
      </c>
      <c r="AE1147" s="82" t="n"/>
      <c r="AF1147" s="82" t="n"/>
      <c r="AG1147" s="82">
        <f>IF(AN1147="","",AD1147+AE1147+AF1147)</f>
        <v/>
      </c>
      <c r="AH1147" s="81">
        <f>IF(AN1147="","",P1147*(1-AG1147))</f>
        <v/>
      </c>
      <c r="AI1147" s="81">
        <f>IF(AN1147="","",IF(Q1147="Sin Factura",0,IFERROR(INDEX(Facturas_Odoo!$H:$H, MATCH(Q1147, Facturas_Odoo!$B:$B, 0)), 0)*(1-AG1147)))</f>
        <v/>
      </c>
      <c r="AJ1147" s="81">
        <f>IF(AN1147="","",_xlfn.LET(idVenta, AN1147&amp;"",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47" s="81">
        <f>IF(AN1147="","",AH1147-AJ1147)</f>
        <v/>
      </c>
      <c r="AL1147" s="81">
        <f>IF(AN1147="","",IF(Q1147="Sin Factura","",AI1147-AJ1147))</f>
        <v/>
      </c>
      <c r="AM1147" s="81">
        <f>IF(AN1147="","",IF(Q1147="Sin Factura",0,P1147-IFERROR(INDEX(Facturas_Odoo!$H:$H, MATCH(Q1147, Facturas_Odoo!$B:$B, 0)), 0)))</f>
        <v/>
      </c>
      <c r="AN1147" s="79">
        <f>IF(AND(A1147="", J1147=""), "", IF(A1147&lt;&gt;"", VALUE(MID(A1147,2,LEN(A1147))), AN1146))</f>
        <v/>
      </c>
      <c r="AO1147" s="79">
        <f>IF(AN1147="","",IF(AD1147=0,"OK",_xlfn.LET(monedaPago, IF(AA1147="","USD",AA1147), limitePermitido, IFERROR(VLOOKUP(monedaPago, Configuración!$A$2:$B$3, 2, FALSE), 0.15), IF(AD1147&gt;limitePermitido, "ALERTA: EXCESO (" &amp; TEXT(limitePermitido, "0%") &amp; " máx)", "OK"))))</f>
        <v/>
      </c>
      <c r="AP1147" s="79">
        <f>IF(AN1147="","",IF(AE1147=0,"OK",_xlfn.LET(fechaPago, Z1147, fechaFactura, R1147, diasCredito, IF(E1147="Pago inmediato", 0, IFERROR(VALUE(MID(E1147, 1, SEARCH(" ", E1147)-1)),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47" s="79">
        <f>IF(AN1147="","",IF(AND(N1147&gt;0, AG1147&gt;0), IF(Configuración!$K$2="NO", "ALERTA: DESCUENTO DOBLE NO PERMITIDO", "OK"), "OK"))</f>
        <v/>
      </c>
      <c r="AR1147" s="79">
        <f>IF(AN1147="","",IF(OR(AO1147&lt;&gt;"OK", AP1147&lt;&gt;"OK", AQ1147&lt;&gt;"OK"), "⚠️ REVISAR", "OK"))</f>
        <v/>
      </c>
    </row>
    <row r="1148">
      <c r="A1148" s="79">
        <f>IF('Ordenes_Odoo'!A1148="","",'Ordenes_Odoo'!A1148)</f>
        <v/>
      </c>
      <c r="B1148" s="80">
        <f>IF('Ordenes_Odoo'!B1148="","",'Ordenes_Odoo'!B1148)</f>
        <v/>
      </c>
      <c r="C1148" s="79">
        <f>IF('Ordenes_Odoo'!C1148="","",'Ordenes_Odoo'!C1148)</f>
        <v/>
      </c>
      <c r="D1148" s="79">
        <f>IF('Ordenes_Odoo'!D1148="","",'Ordenes_Odoo'!D1148)</f>
        <v/>
      </c>
      <c r="E1148" s="79">
        <f>IF('Ordenes_Odoo'!E1148="","",'Ordenes_Odoo'!E1148)</f>
        <v/>
      </c>
      <c r="F1148" s="79">
        <f>IF('Ordenes_Odoo'!F1148="","",'Ordenes_Odoo'!F1148)</f>
        <v/>
      </c>
      <c r="G1148" s="79">
        <f>IF('Ordenes_Odoo'!G1148="","",'Ordenes_Odoo'!G1148)</f>
        <v/>
      </c>
      <c r="H1148" s="79">
        <f>IF('Ordenes_Odoo'!H1148="","",'Ordenes_Odoo'!H1148)</f>
        <v/>
      </c>
      <c r="I1148" s="79">
        <f>IF('Ordenes_Odoo'!I1148="","",'Ordenes_Odoo'!I1148)</f>
        <v/>
      </c>
      <c r="J1148" s="79">
        <f>IF('Ordenes_Odoo'!J1148="","",'Ordenes_Odoo'!J1148)</f>
        <v/>
      </c>
      <c r="K1148" s="81">
        <f>IF('Ordenes_Odoo'!K1148="","",'Ordenes_Odoo'!K1148)</f>
        <v/>
      </c>
      <c r="L1148" s="81">
        <f>IF('Ordenes_Odoo'!L1148="","",'Ordenes_Odoo'!L1148)</f>
        <v/>
      </c>
      <c r="M1148" s="79">
        <f>IF('Ordenes_Odoo'!M1148="","",'Ordenes_Odoo'!M1148)</f>
        <v/>
      </c>
      <c r="N1148" s="79">
        <f>IF('Ordenes_Odoo'!N1148="","",'Ordenes_Odoo'!N1148)</f>
        <v/>
      </c>
      <c r="O1148" s="81">
        <f>IF('Ordenes_Odoo'!O1148="","",'Ordenes_Odoo'!O1148)</f>
        <v/>
      </c>
      <c r="P1148" s="81">
        <f>IF('Ordenes_Odoo'!P1148="","",'Ordenes_Odoo'!P1148)</f>
        <v/>
      </c>
      <c r="Q1148" s="79">
        <f>IF(A1148="","",IFERROR(INDEX(Facturas_Odoo!$B:$B, MATCH(A1148, Facturas_Odoo!$D:$D, 0)), "Sin Factura"))</f>
        <v/>
      </c>
      <c r="R1148" s="80">
        <f>IF(Q1148="Sin Factura","",IFERROR(INDEX(Facturas_Odoo!$A:$A, MATCH(Q1148, Facturas_Odoo!$B:$B, 0)), ""))</f>
        <v/>
      </c>
      <c r="S1148" s="79">
        <f>IF(Q1148="Sin Factura","",IFERROR(_xlfn.XLOOKUP(1, (Facturas_Odoo!$D:$D=A1148) * (Facturas_Odoo!$K:$K=I1148), Facturas_Odoo!$L:$L, ""), ""))</f>
        <v/>
      </c>
      <c r="T1148" s="81">
        <f>IF(Q1148="Sin Factura",0,IFERROR(_xlfn.XLOOKUP(1, (Facturas_Odoo!$D:$D=A1148) * (Facturas_Odoo!$K:$K=I1148), Facturas_Odoo!$M:$M, 0), 0))</f>
        <v/>
      </c>
      <c r="U1148" s="79">
        <f>IF(Q1148="Sin Factura",0,IFERROR(_xlfn.XLOOKUP(1, (Facturas_Odoo!$D:$D=A1148) * (Facturas_Odoo!$K:$K=I1148), Facturas_Odoo!$N:$N, 0), 0))</f>
        <v/>
      </c>
      <c r="V1148" s="79">
        <f>IF(Q1148="Sin Factura",0,IFERROR(_xlfn.XLOOKUP(1, (Facturas_Odoo!$D:$D=A1148) * (Facturas_Odoo!$K:$K=I1148), Facturas_Odoo!$O:$O, 0), 0))</f>
        <v/>
      </c>
      <c r="W1148" s="81">
        <f>IF(Q1148="Sin Factura",0,IFERROR(_xlfn.XLOOKUP(1, (Facturas_Odoo!$D:$D=A1148) * (Facturas_Odoo!$K:$K=I1148), Facturas_Odoo!$Q:$Q, 0), 0))</f>
        <v/>
      </c>
      <c r="X1148" s="79">
        <f>IF(OR(Q1148="Sin Factura",Q1148=""),"",IFERROR(INDEX(Pagos_Odoo!$B:$B, MATCH(Q1148, Pagos_Odoo!$I:$I, 0)), "Sin Pago"))</f>
        <v/>
      </c>
      <c r="Y1148" s="79">
        <f>IF(X1148="Sin Pago","",IFERROR(INDEX(Pagos_Odoo!$C:$C, MATCH(X1148, Pagos_Odoo!$B:$B, 0)), ""))</f>
        <v/>
      </c>
      <c r="Z1148" s="80">
        <f>IF(X1148="Sin Pago","",IFERROR(INDEX(Pagos_Odoo!$A:$A, MATCH(X1148, Pagos_Odoo!$B:$B, 0)), ""))</f>
        <v/>
      </c>
      <c r="AA1148" s="79">
        <f>IF(X1148="Sin Pago","",IFERROR(INDEX(Pagos_Odoo!$F:$F, MATCH(X1148, Pagos_Odoo!$B:$B, 0)), ""))</f>
        <v/>
      </c>
      <c r="AB1148" s="81">
        <f>IF(X1148="Sin Pago",0,IFERROR(INDEX(Pagos_Odoo!$E:$E, MATCH(X1148, Pagos_Odoo!$B:$B, 0)), 0))</f>
        <v/>
      </c>
      <c r="AC1148" s="79">
        <f>IF(X1148="Sin Pago","",IFERROR(INDEX(Pagos_Odoo!$G:$G, MATCH(X1148, Pagos_Odoo!$B:$B, 0)), ""))</f>
        <v/>
      </c>
      <c r="AD1148" s="82" t="n">
        <v>0</v>
      </c>
      <c r="AE1148" s="82" t="n"/>
      <c r="AF1148" s="82" t="n"/>
      <c r="AG1148" s="82">
        <f>IF(AN1148="","",AD1148+AE1148+AF1148)</f>
        <v/>
      </c>
      <c r="AH1148" s="81">
        <f>IF(AN1148="","",P1148*(1-AG1148))</f>
        <v/>
      </c>
      <c r="AI1148" s="81">
        <f>IF(AN1148="","",IF(Q1148="Sin Factura",0,IFERROR(INDEX(Facturas_Odoo!$H:$H, MATCH(Q1148, Facturas_Odoo!$B:$B, 0)), 0)*(1-AG1148)))</f>
        <v/>
      </c>
      <c r="AJ1148" s="81">
        <f>IF(AN1148="","",_xlfn.LET(idVenta, AN1148&amp;"",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48" s="81">
        <f>IF(AN1148="","",AH1148-AJ1148)</f>
        <v/>
      </c>
      <c r="AL1148" s="81">
        <f>IF(AN1148="","",IF(Q1148="Sin Factura","",AI1148-AJ1148))</f>
        <v/>
      </c>
      <c r="AM1148" s="81">
        <f>IF(AN1148="","",IF(Q1148="Sin Factura",0,P1148-IFERROR(INDEX(Facturas_Odoo!$H:$H, MATCH(Q1148, Facturas_Odoo!$B:$B, 0)), 0)))</f>
        <v/>
      </c>
      <c r="AN1148" s="79">
        <f>IF(AND(A1148="", J1148=""), "", IF(A1148&lt;&gt;"", VALUE(MID(A1148,2,LEN(A1148))), AN1147))</f>
        <v/>
      </c>
      <c r="AO1148" s="79">
        <f>IF(AN1148="","",IF(AD1148=0,"OK",_xlfn.LET(monedaPago, IF(AA1148="","USD",AA1148), limitePermitido, IFERROR(VLOOKUP(monedaPago, Configuración!$A$2:$B$3, 2, FALSE), 0.15), IF(AD1148&gt;limitePermitido, "ALERTA: EXCESO (" &amp; TEXT(limitePermitido, "0%") &amp; " máx)", "OK"))))</f>
        <v/>
      </c>
      <c r="AP1148" s="79">
        <f>IF(AN1148="","",IF(AE1148=0,"OK",_xlfn.LET(fechaPago, Z1148, fechaFactura, R1148, diasCredito, IF(E1148="Pago inmediato", 0, IFERROR(VALUE(MID(E1148, 1, SEARCH(" ", E1148)-1)),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48" s="79">
        <f>IF(AN1148="","",IF(AND(N1148&gt;0, AG1148&gt;0), IF(Configuración!$K$2="NO", "ALERTA: DESCUENTO DOBLE NO PERMITIDO", "OK"), "OK"))</f>
        <v/>
      </c>
      <c r="AR1148" s="79">
        <f>IF(AN1148="","",IF(OR(AO1148&lt;&gt;"OK", AP1148&lt;&gt;"OK", AQ1148&lt;&gt;"OK"), "⚠️ REVISAR", "OK"))</f>
        <v/>
      </c>
    </row>
    <row r="1149">
      <c r="A1149" s="79">
        <f>IF('Ordenes_Odoo'!A1149="","",'Ordenes_Odoo'!A1149)</f>
        <v/>
      </c>
      <c r="B1149" s="80">
        <f>IF('Ordenes_Odoo'!B1149="","",'Ordenes_Odoo'!B1149)</f>
        <v/>
      </c>
      <c r="C1149" s="79">
        <f>IF('Ordenes_Odoo'!C1149="","",'Ordenes_Odoo'!C1149)</f>
        <v/>
      </c>
      <c r="D1149" s="79">
        <f>IF('Ordenes_Odoo'!D1149="","",'Ordenes_Odoo'!D1149)</f>
        <v/>
      </c>
      <c r="E1149" s="79">
        <f>IF('Ordenes_Odoo'!E1149="","",'Ordenes_Odoo'!E1149)</f>
        <v/>
      </c>
      <c r="F1149" s="79">
        <f>IF('Ordenes_Odoo'!F1149="","",'Ordenes_Odoo'!F1149)</f>
        <v/>
      </c>
      <c r="G1149" s="79">
        <f>IF('Ordenes_Odoo'!G1149="","",'Ordenes_Odoo'!G1149)</f>
        <v/>
      </c>
      <c r="H1149" s="79">
        <f>IF('Ordenes_Odoo'!H1149="","",'Ordenes_Odoo'!H1149)</f>
        <v/>
      </c>
      <c r="I1149" s="79">
        <f>IF('Ordenes_Odoo'!I1149="","",'Ordenes_Odoo'!I1149)</f>
        <v/>
      </c>
      <c r="J1149" s="79">
        <f>IF('Ordenes_Odoo'!J1149="","",'Ordenes_Odoo'!J1149)</f>
        <v/>
      </c>
      <c r="K1149" s="81">
        <f>IF('Ordenes_Odoo'!K1149="","",'Ordenes_Odoo'!K1149)</f>
        <v/>
      </c>
      <c r="L1149" s="81">
        <f>IF('Ordenes_Odoo'!L1149="","",'Ordenes_Odoo'!L1149)</f>
        <v/>
      </c>
      <c r="M1149" s="79">
        <f>IF('Ordenes_Odoo'!M1149="","",'Ordenes_Odoo'!M1149)</f>
        <v/>
      </c>
      <c r="N1149" s="79">
        <f>IF('Ordenes_Odoo'!N1149="","",'Ordenes_Odoo'!N1149)</f>
        <v/>
      </c>
      <c r="O1149" s="81">
        <f>IF('Ordenes_Odoo'!O1149="","",'Ordenes_Odoo'!O1149)</f>
        <v/>
      </c>
      <c r="P1149" s="81">
        <f>IF('Ordenes_Odoo'!P1149="","",'Ordenes_Odoo'!P1149)</f>
        <v/>
      </c>
      <c r="Q1149" s="79">
        <f>IF(A1149="","",IFERROR(INDEX(Facturas_Odoo!$B:$B, MATCH(A1149, Facturas_Odoo!$D:$D, 0)), "Sin Factura"))</f>
        <v/>
      </c>
      <c r="R1149" s="80">
        <f>IF(Q1149="Sin Factura","",IFERROR(INDEX(Facturas_Odoo!$A:$A, MATCH(Q1149, Facturas_Odoo!$B:$B, 0)), ""))</f>
        <v/>
      </c>
      <c r="S1149" s="79">
        <f>IF(Q1149="Sin Factura","",IFERROR(_xlfn.XLOOKUP(1, (Facturas_Odoo!$D:$D=A1149) * (Facturas_Odoo!$K:$K=I1149), Facturas_Odoo!$L:$L, ""), ""))</f>
        <v/>
      </c>
      <c r="T1149" s="81">
        <f>IF(Q1149="Sin Factura",0,IFERROR(_xlfn.XLOOKUP(1, (Facturas_Odoo!$D:$D=A1149) * (Facturas_Odoo!$K:$K=I1149), Facturas_Odoo!$M:$M, 0), 0))</f>
        <v/>
      </c>
      <c r="U1149" s="79">
        <f>IF(Q1149="Sin Factura",0,IFERROR(_xlfn.XLOOKUP(1, (Facturas_Odoo!$D:$D=A1149) * (Facturas_Odoo!$K:$K=I1149), Facturas_Odoo!$N:$N, 0), 0))</f>
        <v/>
      </c>
      <c r="V1149" s="79">
        <f>IF(Q1149="Sin Factura",0,IFERROR(_xlfn.XLOOKUP(1, (Facturas_Odoo!$D:$D=A1149) * (Facturas_Odoo!$K:$K=I1149), Facturas_Odoo!$O:$O, 0), 0))</f>
        <v/>
      </c>
      <c r="W1149" s="81">
        <f>IF(Q1149="Sin Factura",0,IFERROR(_xlfn.XLOOKUP(1, (Facturas_Odoo!$D:$D=A1149) * (Facturas_Odoo!$K:$K=I1149), Facturas_Odoo!$Q:$Q, 0), 0))</f>
        <v/>
      </c>
      <c r="X1149" s="79">
        <f>IF(OR(Q1149="Sin Factura",Q1149=""),"",IFERROR(INDEX(Pagos_Odoo!$B:$B, MATCH(Q1149, Pagos_Odoo!$I:$I, 0)), "Sin Pago"))</f>
        <v/>
      </c>
      <c r="Y1149" s="79">
        <f>IF(X1149="Sin Pago","",IFERROR(INDEX(Pagos_Odoo!$C:$C, MATCH(X1149, Pagos_Odoo!$B:$B, 0)), ""))</f>
        <v/>
      </c>
      <c r="Z1149" s="80">
        <f>IF(X1149="Sin Pago","",IFERROR(INDEX(Pagos_Odoo!$A:$A, MATCH(X1149, Pagos_Odoo!$B:$B, 0)), ""))</f>
        <v/>
      </c>
      <c r="AA1149" s="79">
        <f>IF(X1149="Sin Pago","",IFERROR(INDEX(Pagos_Odoo!$F:$F, MATCH(X1149, Pagos_Odoo!$B:$B, 0)), ""))</f>
        <v/>
      </c>
      <c r="AB1149" s="81">
        <f>IF(X1149="Sin Pago",0,IFERROR(INDEX(Pagos_Odoo!$E:$E, MATCH(X1149, Pagos_Odoo!$B:$B, 0)), 0))</f>
        <v/>
      </c>
      <c r="AC1149" s="79">
        <f>IF(X1149="Sin Pago","",IFERROR(INDEX(Pagos_Odoo!$G:$G, MATCH(X1149, Pagos_Odoo!$B:$B, 0)), ""))</f>
        <v/>
      </c>
      <c r="AD1149" s="82" t="n">
        <v>0</v>
      </c>
      <c r="AE1149" s="82" t="n"/>
      <c r="AF1149" s="82" t="n"/>
      <c r="AG1149" s="82">
        <f>IF(AN1149="","",AD1149+AE1149+AF1149)</f>
        <v/>
      </c>
      <c r="AH1149" s="81">
        <f>IF(AN1149="","",P1149*(1-AG1149))</f>
        <v/>
      </c>
      <c r="AI1149" s="81">
        <f>IF(AN1149="","",IF(Q1149="Sin Factura",0,IFERROR(INDEX(Facturas_Odoo!$H:$H, MATCH(Q1149, Facturas_Odoo!$B:$B, 0)), 0)*(1-AG1149)))</f>
        <v/>
      </c>
      <c r="AJ1149" s="81">
        <f>IF(AN1149="","",_xlfn.LET(idVenta, AN1149&amp;"",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49" s="81">
        <f>IF(AN1149="","",AH1149-AJ1149)</f>
        <v/>
      </c>
      <c r="AL1149" s="81">
        <f>IF(AN1149="","",IF(Q1149="Sin Factura","",AI1149-AJ1149))</f>
        <v/>
      </c>
      <c r="AM1149" s="81">
        <f>IF(AN1149="","",IF(Q1149="Sin Factura",0,P1149-IFERROR(INDEX(Facturas_Odoo!$H:$H, MATCH(Q1149, Facturas_Odoo!$B:$B, 0)), 0)))</f>
        <v/>
      </c>
      <c r="AN1149" s="79">
        <f>IF(AND(A1149="", J1149=""), "", IF(A1149&lt;&gt;"", VALUE(MID(A1149,2,LEN(A1149))), AN1148))</f>
        <v/>
      </c>
      <c r="AO1149" s="79">
        <f>IF(AN1149="","",IF(AD1149=0,"OK",_xlfn.LET(monedaPago, IF(AA1149="","USD",AA1149), limitePermitido, IFERROR(VLOOKUP(monedaPago, Configuración!$A$2:$B$3, 2, FALSE), 0.15), IF(AD1149&gt;limitePermitido, "ALERTA: EXCESO (" &amp; TEXT(limitePermitido, "0%") &amp; " máx)", "OK"))))</f>
        <v/>
      </c>
      <c r="AP1149" s="79">
        <f>IF(AN1149="","",IF(AE1149=0,"OK",_xlfn.LET(fechaPago, Z1149, fechaFactura, R1149, diasCredito, IF(E1149="Pago inmediato", 0, IFERROR(VALUE(MID(E1149, 1, SEARCH(" ", E1149)-1)),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49" s="79">
        <f>IF(AN1149="","",IF(AND(N1149&gt;0, AG1149&gt;0), IF(Configuración!$K$2="NO", "ALERTA: DESCUENTO DOBLE NO PERMITIDO", "OK"), "OK"))</f>
        <v/>
      </c>
      <c r="AR1149" s="79">
        <f>IF(AN1149="","",IF(OR(AO1149&lt;&gt;"OK", AP1149&lt;&gt;"OK", AQ1149&lt;&gt;"OK"), "⚠️ REVISAR", "OK"))</f>
        <v/>
      </c>
    </row>
    <row r="1150">
      <c r="A1150" s="79">
        <f>IF('Ordenes_Odoo'!A1150="","",'Ordenes_Odoo'!A1150)</f>
        <v/>
      </c>
      <c r="B1150" s="80">
        <f>IF('Ordenes_Odoo'!B1150="","",'Ordenes_Odoo'!B1150)</f>
        <v/>
      </c>
      <c r="C1150" s="79">
        <f>IF('Ordenes_Odoo'!C1150="","",'Ordenes_Odoo'!C1150)</f>
        <v/>
      </c>
      <c r="D1150" s="79">
        <f>IF('Ordenes_Odoo'!D1150="","",'Ordenes_Odoo'!D1150)</f>
        <v/>
      </c>
      <c r="E1150" s="79">
        <f>IF('Ordenes_Odoo'!E1150="","",'Ordenes_Odoo'!E1150)</f>
        <v/>
      </c>
      <c r="F1150" s="79">
        <f>IF('Ordenes_Odoo'!F1150="","",'Ordenes_Odoo'!F1150)</f>
        <v/>
      </c>
      <c r="G1150" s="79">
        <f>IF('Ordenes_Odoo'!G1150="","",'Ordenes_Odoo'!G1150)</f>
        <v/>
      </c>
      <c r="H1150" s="79">
        <f>IF('Ordenes_Odoo'!H1150="","",'Ordenes_Odoo'!H1150)</f>
        <v/>
      </c>
      <c r="I1150" s="79">
        <f>IF('Ordenes_Odoo'!I1150="","",'Ordenes_Odoo'!I1150)</f>
        <v/>
      </c>
      <c r="J1150" s="79">
        <f>IF('Ordenes_Odoo'!J1150="","",'Ordenes_Odoo'!J1150)</f>
        <v/>
      </c>
      <c r="K1150" s="81">
        <f>IF('Ordenes_Odoo'!K1150="","",'Ordenes_Odoo'!K1150)</f>
        <v/>
      </c>
      <c r="L1150" s="81">
        <f>IF('Ordenes_Odoo'!L1150="","",'Ordenes_Odoo'!L1150)</f>
        <v/>
      </c>
      <c r="M1150" s="79">
        <f>IF('Ordenes_Odoo'!M1150="","",'Ordenes_Odoo'!M1150)</f>
        <v/>
      </c>
      <c r="N1150" s="79">
        <f>IF('Ordenes_Odoo'!N1150="","",'Ordenes_Odoo'!N1150)</f>
        <v/>
      </c>
      <c r="O1150" s="81">
        <f>IF('Ordenes_Odoo'!O1150="","",'Ordenes_Odoo'!O1150)</f>
        <v/>
      </c>
      <c r="P1150" s="81">
        <f>IF('Ordenes_Odoo'!P1150="","",'Ordenes_Odoo'!P1150)</f>
        <v/>
      </c>
      <c r="Q1150" s="79">
        <f>IF(A1150="","",IFERROR(INDEX(Facturas_Odoo!$B:$B, MATCH(A1150, Facturas_Odoo!$D:$D, 0)), "Sin Factura"))</f>
        <v/>
      </c>
      <c r="R1150" s="80">
        <f>IF(Q1150="Sin Factura","",IFERROR(INDEX(Facturas_Odoo!$A:$A, MATCH(Q1150, Facturas_Odoo!$B:$B, 0)), ""))</f>
        <v/>
      </c>
      <c r="S1150" s="79">
        <f>IF(Q1150="Sin Factura","",IFERROR(_xlfn.XLOOKUP(1, (Facturas_Odoo!$D:$D=A1150) * (Facturas_Odoo!$K:$K=I1150), Facturas_Odoo!$L:$L, ""), ""))</f>
        <v/>
      </c>
      <c r="T1150" s="81">
        <f>IF(Q1150="Sin Factura",0,IFERROR(_xlfn.XLOOKUP(1, (Facturas_Odoo!$D:$D=A1150) * (Facturas_Odoo!$K:$K=I1150), Facturas_Odoo!$M:$M, 0), 0))</f>
        <v/>
      </c>
      <c r="U1150" s="79">
        <f>IF(Q1150="Sin Factura",0,IFERROR(_xlfn.XLOOKUP(1, (Facturas_Odoo!$D:$D=A1150) * (Facturas_Odoo!$K:$K=I1150), Facturas_Odoo!$N:$N, 0), 0))</f>
        <v/>
      </c>
      <c r="V1150" s="79">
        <f>IF(Q1150="Sin Factura",0,IFERROR(_xlfn.XLOOKUP(1, (Facturas_Odoo!$D:$D=A1150) * (Facturas_Odoo!$K:$K=I1150), Facturas_Odoo!$O:$O, 0), 0))</f>
        <v/>
      </c>
      <c r="W1150" s="81">
        <f>IF(Q1150="Sin Factura",0,IFERROR(_xlfn.XLOOKUP(1, (Facturas_Odoo!$D:$D=A1150) * (Facturas_Odoo!$K:$K=I1150), Facturas_Odoo!$Q:$Q, 0), 0))</f>
        <v/>
      </c>
      <c r="X1150" s="79">
        <f>IF(OR(Q1150="Sin Factura",Q1150=""),"",IFERROR(INDEX(Pagos_Odoo!$B:$B, MATCH(Q1150, Pagos_Odoo!$I:$I, 0)), "Sin Pago"))</f>
        <v/>
      </c>
      <c r="Y1150" s="79">
        <f>IF(X1150="Sin Pago","",IFERROR(INDEX(Pagos_Odoo!$C:$C, MATCH(X1150, Pagos_Odoo!$B:$B, 0)), ""))</f>
        <v/>
      </c>
      <c r="Z1150" s="80">
        <f>IF(X1150="Sin Pago","",IFERROR(INDEX(Pagos_Odoo!$A:$A, MATCH(X1150, Pagos_Odoo!$B:$B, 0)), ""))</f>
        <v/>
      </c>
      <c r="AA1150" s="79">
        <f>IF(X1150="Sin Pago","",IFERROR(INDEX(Pagos_Odoo!$F:$F, MATCH(X1150, Pagos_Odoo!$B:$B, 0)), ""))</f>
        <v/>
      </c>
      <c r="AB1150" s="81">
        <f>IF(X1150="Sin Pago",0,IFERROR(INDEX(Pagos_Odoo!$E:$E, MATCH(X1150, Pagos_Odoo!$B:$B, 0)), 0))</f>
        <v/>
      </c>
      <c r="AC1150" s="79">
        <f>IF(X1150="Sin Pago","",IFERROR(INDEX(Pagos_Odoo!$G:$G, MATCH(X1150, Pagos_Odoo!$B:$B, 0)), ""))</f>
        <v/>
      </c>
      <c r="AD1150" s="82" t="n">
        <v>0</v>
      </c>
      <c r="AE1150" s="82" t="n"/>
      <c r="AF1150" s="82" t="n"/>
      <c r="AG1150" s="82">
        <f>IF(AN1150="","",AD1150+AE1150+AF1150)</f>
        <v/>
      </c>
      <c r="AH1150" s="81">
        <f>IF(AN1150="","",P1150*(1-AG1150))</f>
        <v/>
      </c>
      <c r="AI1150" s="81">
        <f>IF(AN1150="","",IF(Q1150="Sin Factura",0,IFERROR(INDEX(Facturas_Odoo!$H:$H, MATCH(Q1150, Facturas_Odoo!$B:$B, 0)), 0)*(1-AG1150)))</f>
        <v/>
      </c>
      <c r="AJ1150" s="81">
        <f>IF(AN1150="","",_xlfn.LET(idVenta, AN1150&amp;"",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50" s="81">
        <f>IF(AN1150="","",AH1150-AJ1150)</f>
        <v/>
      </c>
      <c r="AL1150" s="81">
        <f>IF(AN1150="","",IF(Q1150="Sin Factura","",AI1150-AJ1150))</f>
        <v/>
      </c>
      <c r="AM1150" s="81">
        <f>IF(AN1150="","",IF(Q1150="Sin Factura",0,P1150-IFERROR(INDEX(Facturas_Odoo!$H:$H, MATCH(Q1150, Facturas_Odoo!$B:$B, 0)), 0)))</f>
        <v/>
      </c>
      <c r="AN1150" s="79">
        <f>IF(AND(A1150="", J1150=""), "", IF(A1150&lt;&gt;"", VALUE(MID(A1150,2,LEN(A1150))), AN1149))</f>
        <v/>
      </c>
      <c r="AO1150" s="79">
        <f>IF(AN1150="","",IF(AD1150=0,"OK",_xlfn.LET(monedaPago, IF(AA1150="","USD",AA1150), limitePermitido, IFERROR(VLOOKUP(monedaPago, Configuración!$A$2:$B$3, 2, FALSE), 0.15), IF(AD1150&gt;limitePermitido, "ALERTA: EXCESO (" &amp; TEXT(limitePermitido, "0%") &amp; " máx)", "OK"))))</f>
        <v/>
      </c>
      <c r="AP1150" s="79">
        <f>IF(AN1150="","",IF(AE1150=0,"OK",_xlfn.LET(fechaPago, Z1150, fechaFactura, R1150, diasCredito, IF(E1150="Pago inmediato", 0, IFERROR(VALUE(MID(E1150, 1, SEARCH(" ", E1150)-1)),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50" s="79">
        <f>IF(AN1150="","",IF(AND(N1150&gt;0, AG1150&gt;0), IF(Configuración!$K$2="NO", "ALERTA: DESCUENTO DOBLE NO PERMITIDO", "OK"), "OK"))</f>
        <v/>
      </c>
      <c r="AR1150" s="79">
        <f>IF(AN1150="","",IF(OR(AO1150&lt;&gt;"OK", AP1150&lt;&gt;"OK", AQ1150&lt;&gt;"OK"), "⚠️ REVISAR", "OK"))</f>
        <v/>
      </c>
    </row>
    <row r="1151">
      <c r="A1151" s="79">
        <f>IF('Ordenes_Odoo'!A1151="","",'Ordenes_Odoo'!A1151)</f>
        <v/>
      </c>
      <c r="B1151" s="80">
        <f>IF('Ordenes_Odoo'!B1151="","",'Ordenes_Odoo'!B1151)</f>
        <v/>
      </c>
      <c r="C1151" s="79">
        <f>IF('Ordenes_Odoo'!C1151="","",'Ordenes_Odoo'!C1151)</f>
        <v/>
      </c>
      <c r="D1151" s="79">
        <f>IF('Ordenes_Odoo'!D1151="","",'Ordenes_Odoo'!D1151)</f>
        <v/>
      </c>
      <c r="E1151" s="79">
        <f>IF('Ordenes_Odoo'!E1151="","",'Ordenes_Odoo'!E1151)</f>
        <v/>
      </c>
      <c r="F1151" s="79">
        <f>IF('Ordenes_Odoo'!F1151="","",'Ordenes_Odoo'!F1151)</f>
        <v/>
      </c>
      <c r="G1151" s="79">
        <f>IF('Ordenes_Odoo'!G1151="","",'Ordenes_Odoo'!G1151)</f>
        <v/>
      </c>
      <c r="H1151" s="79">
        <f>IF('Ordenes_Odoo'!H1151="","",'Ordenes_Odoo'!H1151)</f>
        <v/>
      </c>
      <c r="I1151" s="79">
        <f>IF('Ordenes_Odoo'!I1151="","",'Ordenes_Odoo'!I1151)</f>
        <v/>
      </c>
      <c r="J1151" s="79">
        <f>IF('Ordenes_Odoo'!J1151="","",'Ordenes_Odoo'!J1151)</f>
        <v/>
      </c>
      <c r="K1151" s="81">
        <f>IF('Ordenes_Odoo'!K1151="","",'Ordenes_Odoo'!K1151)</f>
        <v/>
      </c>
      <c r="L1151" s="81">
        <f>IF('Ordenes_Odoo'!L1151="","",'Ordenes_Odoo'!L1151)</f>
        <v/>
      </c>
      <c r="M1151" s="79">
        <f>IF('Ordenes_Odoo'!M1151="","",'Ordenes_Odoo'!M1151)</f>
        <v/>
      </c>
      <c r="N1151" s="79">
        <f>IF('Ordenes_Odoo'!N1151="","",'Ordenes_Odoo'!N1151)</f>
        <v/>
      </c>
      <c r="O1151" s="81">
        <f>IF('Ordenes_Odoo'!O1151="","",'Ordenes_Odoo'!O1151)</f>
        <v/>
      </c>
      <c r="P1151" s="81">
        <f>IF('Ordenes_Odoo'!P1151="","",'Ordenes_Odoo'!P1151)</f>
        <v/>
      </c>
      <c r="Q1151" s="79">
        <f>IF(A1151="","",IFERROR(INDEX(Facturas_Odoo!$B:$B, MATCH(A1151, Facturas_Odoo!$D:$D, 0)), "Sin Factura"))</f>
        <v/>
      </c>
      <c r="R1151" s="80">
        <f>IF(Q1151="Sin Factura","",IFERROR(INDEX(Facturas_Odoo!$A:$A, MATCH(Q1151, Facturas_Odoo!$B:$B, 0)), ""))</f>
        <v/>
      </c>
      <c r="S1151" s="79">
        <f>IF(Q1151="Sin Factura","",IFERROR(_xlfn.XLOOKUP(1, (Facturas_Odoo!$D:$D=A1151) * (Facturas_Odoo!$K:$K=I1151), Facturas_Odoo!$L:$L, ""), ""))</f>
        <v/>
      </c>
      <c r="T1151" s="81">
        <f>IF(Q1151="Sin Factura",0,IFERROR(_xlfn.XLOOKUP(1, (Facturas_Odoo!$D:$D=A1151) * (Facturas_Odoo!$K:$K=I1151), Facturas_Odoo!$M:$M, 0), 0))</f>
        <v/>
      </c>
      <c r="U1151" s="79">
        <f>IF(Q1151="Sin Factura",0,IFERROR(_xlfn.XLOOKUP(1, (Facturas_Odoo!$D:$D=A1151) * (Facturas_Odoo!$K:$K=I1151), Facturas_Odoo!$N:$N, 0), 0))</f>
        <v/>
      </c>
      <c r="V1151" s="79">
        <f>IF(Q1151="Sin Factura",0,IFERROR(_xlfn.XLOOKUP(1, (Facturas_Odoo!$D:$D=A1151) * (Facturas_Odoo!$K:$K=I1151), Facturas_Odoo!$O:$O, 0), 0))</f>
        <v/>
      </c>
      <c r="W1151" s="81">
        <f>IF(Q1151="Sin Factura",0,IFERROR(_xlfn.XLOOKUP(1, (Facturas_Odoo!$D:$D=A1151) * (Facturas_Odoo!$K:$K=I1151), Facturas_Odoo!$Q:$Q, 0), 0))</f>
        <v/>
      </c>
      <c r="X1151" s="79">
        <f>IF(OR(Q1151="Sin Factura",Q1151=""),"",IFERROR(INDEX(Pagos_Odoo!$B:$B, MATCH(Q1151, Pagos_Odoo!$I:$I, 0)), "Sin Pago"))</f>
        <v/>
      </c>
      <c r="Y1151" s="79">
        <f>IF(X1151="Sin Pago","",IFERROR(INDEX(Pagos_Odoo!$C:$C, MATCH(X1151, Pagos_Odoo!$B:$B, 0)), ""))</f>
        <v/>
      </c>
      <c r="Z1151" s="80">
        <f>IF(X1151="Sin Pago","",IFERROR(INDEX(Pagos_Odoo!$A:$A, MATCH(X1151, Pagos_Odoo!$B:$B, 0)), ""))</f>
        <v/>
      </c>
      <c r="AA1151" s="79">
        <f>IF(X1151="Sin Pago","",IFERROR(INDEX(Pagos_Odoo!$F:$F, MATCH(X1151, Pagos_Odoo!$B:$B, 0)), ""))</f>
        <v/>
      </c>
      <c r="AB1151" s="81">
        <f>IF(X1151="Sin Pago",0,IFERROR(INDEX(Pagos_Odoo!$E:$E, MATCH(X1151, Pagos_Odoo!$B:$B, 0)), 0))</f>
        <v/>
      </c>
      <c r="AC1151" s="79">
        <f>IF(X1151="Sin Pago","",IFERROR(INDEX(Pagos_Odoo!$G:$G, MATCH(X1151, Pagos_Odoo!$B:$B, 0)), ""))</f>
        <v/>
      </c>
      <c r="AD1151" s="82" t="n">
        <v>0</v>
      </c>
      <c r="AE1151" s="82" t="n"/>
      <c r="AF1151" s="82" t="n"/>
      <c r="AG1151" s="82">
        <f>IF(AN1151="","",AD1151+AE1151+AF1151)</f>
        <v/>
      </c>
      <c r="AH1151" s="81">
        <f>IF(AN1151="","",P1151*(1-AG1151))</f>
        <v/>
      </c>
      <c r="AI1151" s="81">
        <f>IF(AN1151="","",IF(Q1151="Sin Factura",0,IFERROR(INDEX(Facturas_Odoo!$H:$H, MATCH(Q1151, Facturas_Odoo!$B:$B, 0)), 0)*(1-AG1151)))</f>
        <v/>
      </c>
      <c r="AJ1151" s="81">
        <f>IF(AN1151="","",_xlfn.LET(idVenta, AN1151&amp;"",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51" s="81">
        <f>IF(AN1151="","",AH1151-AJ1151)</f>
        <v/>
      </c>
      <c r="AL1151" s="81">
        <f>IF(AN1151="","",IF(Q1151="Sin Factura","",AI1151-AJ1151))</f>
        <v/>
      </c>
      <c r="AM1151" s="81">
        <f>IF(AN1151="","",IF(Q1151="Sin Factura",0,P1151-IFERROR(INDEX(Facturas_Odoo!$H:$H, MATCH(Q1151, Facturas_Odoo!$B:$B, 0)), 0)))</f>
        <v/>
      </c>
      <c r="AN1151" s="79">
        <f>IF(AND(A1151="", J1151=""), "", IF(A1151&lt;&gt;"", VALUE(MID(A1151,2,LEN(A1151))), AN1150))</f>
        <v/>
      </c>
      <c r="AO1151" s="79">
        <f>IF(AN1151="","",IF(AD1151=0,"OK",_xlfn.LET(monedaPago, IF(AA1151="","USD",AA1151), limitePermitido, IFERROR(VLOOKUP(monedaPago, Configuración!$A$2:$B$3, 2, FALSE), 0.15), IF(AD1151&gt;limitePermitido, "ALERTA: EXCESO (" &amp; TEXT(limitePermitido, "0%") &amp; " máx)", "OK"))))</f>
        <v/>
      </c>
      <c r="AP1151" s="79">
        <f>IF(AN1151="","",IF(AE1151=0,"OK",_xlfn.LET(fechaPago, Z1151, fechaFactura, R1151, diasCredito, IF(E1151="Pago inmediato", 0, IFERROR(VALUE(MID(E1151, 1, SEARCH(" ", E1151)-1)),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51" s="79">
        <f>IF(AN1151="","",IF(AND(N1151&gt;0, AG1151&gt;0), IF(Configuración!$K$2="NO", "ALERTA: DESCUENTO DOBLE NO PERMITIDO", "OK"), "OK"))</f>
        <v/>
      </c>
      <c r="AR1151" s="79">
        <f>IF(AN1151="","",IF(OR(AO1151&lt;&gt;"OK", AP1151&lt;&gt;"OK", AQ1151&lt;&gt;"OK"), "⚠️ REVISAR", "OK"))</f>
        <v/>
      </c>
    </row>
    <row r="1152">
      <c r="A1152" s="79">
        <f>IF('Ordenes_Odoo'!A1152="","",'Ordenes_Odoo'!A1152)</f>
        <v/>
      </c>
      <c r="B1152" s="80">
        <f>IF('Ordenes_Odoo'!B1152="","",'Ordenes_Odoo'!B1152)</f>
        <v/>
      </c>
      <c r="C1152" s="79">
        <f>IF('Ordenes_Odoo'!C1152="","",'Ordenes_Odoo'!C1152)</f>
        <v/>
      </c>
      <c r="D1152" s="79">
        <f>IF('Ordenes_Odoo'!D1152="","",'Ordenes_Odoo'!D1152)</f>
        <v/>
      </c>
      <c r="E1152" s="79">
        <f>IF('Ordenes_Odoo'!E1152="","",'Ordenes_Odoo'!E1152)</f>
        <v/>
      </c>
      <c r="F1152" s="79">
        <f>IF('Ordenes_Odoo'!F1152="","",'Ordenes_Odoo'!F1152)</f>
        <v/>
      </c>
      <c r="G1152" s="79">
        <f>IF('Ordenes_Odoo'!G1152="","",'Ordenes_Odoo'!G1152)</f>
        <v/>
      </c>
      <c r="H1152" s="79">
        <f>IF('Ordenes_Odoo'!H1152="","",'Ordenes_Odoo'!H1152)</f>
        <v/>
      </c>
      <c r="I1152" s="79">
        <f>IF('Ordenes_Odoo'!I1152="","",'Ordenes_Odoo'!I1152)</f>
        <v/>
      </c>
      <c r="J1152" s="79">
        <f>IF('Ordenes_Odoo'!J1152="","",'Ordenes_Odoo'!J1152)</f>
        <v/>
      </c>
      <c r="K1152" s="81">
        <f>IF('Ordenes_Odoo'!K1152="","",'Ordenes_Odoo'!K1152)</f>
        <v/>
      </c>
      <c r="L1152" s="81">
        <f>IF('Ordenes_Odoo'!L1152="","",'Ordenes_Odoo'!L1152)</f>
        <v/>
      </c>
      <c r="M1152" s="79">
        <f>IF('Ordenes_Odoo'!M1152="","",'Ordenes_Odoo'!M1152)</f>
        <v/>
      </c>
      <c r="N1152" s="79">
        <f>IF('Ordenes_Odoo'!N1152="","",'Ordenes_Odoo'!N1152)</f>
        <v/>
      </c>
      <c r="O1152" s="81">
        <f>IF('Ordenes_Odoo'!O1152="","",'Ordenes_Odoo'!O1152)</f>
        <v/>
      </c>
      <c r="P1152" s="81">
        <f>IF('Ordenes_Odoo'!P1152="","",'Ordenes_Odoo'!P1152)</f>
        <v/>
      </c>
      <c r="Q1152" s="79">
        <f>IF(A1152="","",IFERROR(INDEX(Facturas_Odoo!$B:$B, MATCH(A1152, Facturas_Odoo!$D:$D, 0)), "Sin Factura"))</f>
        <v/>
      </c>
      <c r="R1152" s="80">
        <f>IF(Q1152="Sin Factura","",IFERROR(INDEX(Facturas_Odoo!$A:$A, MATCH(Q1152, Facturas_Odoo!$B:$B, 0)), ""))</f>
        <v/>
      </c>
      <c r="S1152" s="79">
        <f>IF(Q1152="Sin Factura","",IFERROR(_xlfn.XLOOKUP(1, (Facturas_Odoo!$D:$D=A1152) * (Facturas_Odoo!$K:$K=I1152), Facturas_Odoo!$L:$L, ""), ""))</f>
        <v/>
      </c>
      <c r="T1152" s="81">
        <f>IF(Q1152="Sin Factura",0,IFERROR(_xlfn.XLOOKUP(1, (Facturas_Odoo!$D:$D=A1152) * (Facturas_Odoo!$K:$K=I1152), Facturas_Odoo!$M:$M, 0), 0))</f>
        <v/>
      </c>
      <c r="U1152" s="79">
        <f>IF(Q1152="Sin Factura",0,IFERROR(_xlfn.XLOOKUP(1, (Facturas_Odoo!$D:$D=A1152) * (Facturas_Odoo!$K:$K=I1152), Facturas_Odoo!$N:$N, 0), 0))</f>
        <v/>
      </c>
      <c r="V1152" s="79">
        <f>IF(Q1152="Sin Factura",0,IFERROR(_xlfn.XLOOKUP(1, (Facturas_Odoo!$D:$D=A1152) * (Facturas_Odoo!$K:$K=I1152), Facturas_Odoo!$O:$O, 0), 0))</f>
        <v/>
      </c>
      <c r="W1152" s="81">
        <f>IF(Q1152="Sin Factura",0,IFERROR(_xlfn.XLOOKUP(1, (Facturas_Odoo!$D:$D=A1152) * (Facturas_Odoo!$K:$K=I1152), Facturas_Odoo!$Q:$Q, 0), 0))</f>
        <v/>
      </c>
      <c r="X1152" s="79">
        <f>IF(OR(Q1152="Sin Factura",Q1152=""),"",IFERROR(INDEX(Pagos_Odoo!$B:$B, MATCH(Q1152, Pagos_Odoo!$I:$I, 0)), "Sin Pago"))</f>
        <v/>
      </c>
      <c r="Y1152" s="79">
        <f>IF(X1152="Sin Pago","",IFERROR(INDEX(Pagos_Odoo!$C:$C, MATCH(X1152, Pagos_Odoo!$B:$B, 0)), ""))</f>
        <v/>
      </c>
      <c r="Z1152" s="80">
        <f>IF(X1152="Sin Pago","",IFERROR(INDEX(Pagos_Odoo!$A:$A, MATCH(X1152, Pagos_Odoo!$B:$B, 0)), ""))</f>
        <v/>
      </c>
      <c r="AA1152" s="79">
        <f>IF(X1152="Sin Pago","",IFERROR(INDEX(Pagos_Odoo!$F:$F, MATCH(X1152, Pagos_Odoo!$B:$B, 0)), ""))</f>
        <v/>
      </c>
      <c r="AB1152" s="81">
        <f>IF(X1152="Sin Pago",0,IFERROR(INDEX(Pagos_Odoo!$E:$E, MATCH(X1152, Pagos_Odoo!$B:$B, 0)), 0))</f>
        <v/>
      </c>
      <c r="AC1152" s="79">
        <f>IF(X1152="Sin Pago","",IFERROR(INDEX(Pagos_Odoo!$G:$G, MATCH(X1152, Pagos_Odoo!$B:$B, 0)), ""))</f>
        <v/>
      </c>
      <c r="AD1152" s="82" t="n">
        <v>0</v>
      </c>
      <c r="AE1152" s="82" t="n"/>
      <c r="AF1152" s="82" t="n"/>
      <c r="AG1152" s="82">
        <f>IF(AN1152="","",AD1152+AE1152+AF1152)</f>
        <v/>
      </c>
      <c r="AH1152" s="81">
        <f>IF(AN1152="","",P1152*(1-AG1152))</f>
        <v/>
      </c>
      <c r="AI1152" s="81">
        <f>IF(AN1152="","",IF(Q1152="Sin Factura",0,IFERROR(INDEX(Facturas_Odoo!$H:$H, MATCH(Q1152, Facturas_Odoo!$B:$B, 0)), 0)*(1-AG1152)))</f>
        <v/>
      </c>
      <c r="AJ1152" s="81">
        <f>IF(AN1152="","",_xlfn.LET(idVenta, AN1152&amp;"",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52" s="81">
        <f>IF(AN1152="","",AH1152-AJ1152)</f>
        <v/>
      </c>
      <c r="AL1152" s="81">
        <f>IF(AN1152="","",IF(Q1152="Sin Factura","",AI1152-AJ1152))</f>
        <v/>
      </c>
      <c r="AM1152" s="81">
        <f>IF(AN1152="","",IF(Q1152="Sin Factura",0,P1152-IFERROR(INDEX(Facturas_Odoo!$H:$H, MATCH(Q1152, Facturas_Odoo!$B:$B, 0)), 0)))</f>
        <v/>
      </c>
      <c r="AN1152" s="79">
        <f>IF(AND(A1152="", J1152=""), "", IF(A1152&lt;&gt;"", VALUE(MID(A1152,2,LEN(A1152))), AN1151))</f>
        <v/>
      </c>
      <c r="AO1152" s="79">
        <f>IF(AN1152="","",IF(AD1152=0,"OK",_xlfn.LET(monedaPago, IF(AA1152="","USD",AA1152), limitePermitido, IFERROR(VLOOKUP(monedaPago, Configuración!$A$2:$B$3, 2, FALSE), 0.15), IF(AD1152&gt;limitePermitido, "ALERTA: EXCESO (" &amp; TEXT(limitePermitido, "0%") &amp; " máx)", "OK"))))</f>
        <v/>
      </c>
      <c r="AP1152" s="79">
        <f>IF(AN1152="","",IF(AE1152=0,"OK",_xlfn.LET(fechaPago, Z1152, fechaFactura, R1152, diasCredito, IF(E1152="Pago inmediato", 0, IFERROR(VALUE(MID(E1152, 1, SEARCH(" ", E1152)-1)),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52" s="79">
        <f>IF(AN1152="","",IF(AND(N1152&gt;0, AG1152&gt;0), IF(Configuración!$K$2="NO", "ALERTA: DESCUENTO DOBLE NO PERMITIDO", "OK"), "OK"))</f>
        <v/>
      </c>
      <c r="AR1152" s="79">
        <f>IF(AN1152="","",IF(OR(AO1152&lt;&gt;"OK", AP1152&lt;&gt;"OK", AQ1152&lt;&gt;"OK"), "⚠️ REVISAR", "OK"))</f>
        <v/>
      </c>
    </row>
    <row r="1153">
      <c r="A1153" s="79">
        <f>IF('Ordenes_Odoo'!A1153="","",'Ordenes_Odoo'!A1153)</f>
        <v/>
      </c>
      <c r="B1153" s="80">
        <f>IF('Ordenes_Odoo'!B1153="","",'Ordenes_Odoo'!B1153)</f>
        <v/>
      </c>
      <c r="C1153" s="79">
        <f>IF('Ordenes_Odoo'!C1153="","",'Ordenes_Odoo'!C1153)</f>
        <v/>
      </c>
      <c r="D1153" s="79">
        <f>IF('Ordenes_Odoo'!D1153="","",'Ordenes_Odoo'!D1153)</f>
        <v/>
      </c>
      <c r="E1153" s="79">
        <f>IF('Ordenes_Odoo'!E1153="","",'Ordenes_Odoo'!E1153)</f>
        <v/>
      </c>
      <c r="F1153" s="79">
        <f>IF('Ordenes_Odoo'!F1153="","",'Ordenes_Odoo'!F1153)</f>
        <v/>
      </c>
      <c r="G1153" s="79">
        <f>IF('Ordenes_Odoo'!G1153="","",'Ordenes_Odoo'!G1153)</f>
        <v/>
      </c>
      <c r="H1153" s="79">
        <f>IF('Ordenes_Odoo'!H1153="","",'Ordenes_Odoo'!H1153)</f>
        <v/>
      </c>
      <c r="I1153" s="79">
        <f>IF('Ordenes_Odoo'!I1153="","",'Ordenes_Odoo'!I1153)</f>
        <v/>
      </c>
      <c r="J1153" s="79">
        <f>IF('Ordenes_Odoo'!J1153="","",'Ordenes_Odoo'!J1153)</f>
        <v/>
      </c>
      <c r="K1153" s="81">
        <f>IF('Ordenes_Odoo'!K1153="","",'Ordenes_Odoo'!K1153)</f>
        <v/>
      </c>
      <c r="L1153" s="81">
        <f>IF('Ordenes_Odoo'!L1153="","",'Ordenes_Odoo'!L1153)</f>
        <v/>
      </c>
      <c r="M1153" s="79">
        <f>IF('Ordenes_Odoo'!M1153="","",'Ordenes_Odoo'!M1153)</f>
        <v/>
      </c>
      <c r="N1153" s="79">
        <f>IF('Ordenes_Odoo'!N1153="","",'Ordenes_Odoo'!N1153)</f>
        <v/>
      </c>
      <c r="O1153" s="81">
        <f>IF('Ordenes_Odoo'!O1153="","",'Ordenes_Odoo'!O1153)</f>
        <v/>
      </c>
      <c r="P1153" s="81">
        <f>IF('Ordenes_Odoo'!P1153="","",'Ordenes_Odoo'!P1153)</f>
        <v/>
      </c>
      <c r="Q1153" s="79">
        <f>IF(A1153="","",IFERROR(INDEX(Facturas_Odoo!$B:$B, MATCH(A1153, Facturas_Odoo!$D:$D, 0)), "Sin Factura"))</f>
        <v/>
      </c>
      <c r="R1153" s="80">
        <f>IF(Q1153="Sin Factura","",IFERROR(INDEX(Facturas_Odoo!$A:$A, MATCH(Q1153, Facturas_Odoo!$B:$B, 0)), ""))</f>
        <v/>
      </c>
      <c r="S1153" s="79">
        <f>IF(Q1153="Sin Factura","",IFERROR(_xlfn.XLOOKUP(1, (Facturas_Odoo!$D:$D=A1153) * (Facturas_Odoo!$K:$K=I1153), Facturas_Odoo!$L:$L, ""), ""))</f>
        <v/>
      </c>
      <c r="T1153" s="81">
        <f>IF(Q1153="Sin Factura",0,IFERROR(_xlfn.XLOOKUP(1, (Facturas_Odoo!$D:$D=A1153) * (Facturas_Odoo!$K:$K=I1153), Facturas_Odoo!$M:$M, 0), 0))</f>
        <v/>
      </c>
      <c r="U1153" s="79">
        <f>IF(Q1153="Sin Factura",0,IFERROR(_xlfn.XLOOKUP(1, (Facturas_Odoo!$D:$D=A1153) * (Facturas_Odoo!$K:$K=I1153), Facturas_Odoo!$N:$N, 0), 0))</f>
        <v/>
      </c>
      <c r="V1153" s="79">
        <f>IF(Q1153="Sin Factura",0,IFERROR(_xlfn.XLOOKUP(1, (Facturas_Odoo!$D:$D=A1153) * (Facturas_Odoo!$K:$K=I1153), Facturas_Odoo!$O:$O, 0), 0))</f>
        <v/>
      </c>
      <c r="W1153" s="81">
        <f>IF(Q1153="Sin Factura",0,IFERROR(_xlfn.XLOOKUP(1, (Facturas_Odoo!$D:$D=A1153) * (Facturas_Odoo!$K:$K=I1153), Facturas_Odoo!$Q:$Q, 0), 0))</f>
        <v/>
      </c>
      <c r="X1153" s="79">
        <f>IF(OR(Q1153="Sin Factura",Q1153=""),"",IFERROR(INDEX(Pagos_Odoo!$B:$B, MATCH(Q1153, Pagos_Odoo!$I:$I, 0)), "Sin Pago"))</f>
        <v/>
      </c>
      <c r="Y1153" s="79">
        <f>IF(X1153="Sin Pago","",IFERROR(INDEX(Pagos_Odoo!$C:$C, MATCH(X1153, Pagos_Odoo!$B:$B, 0)), ""))</f>
        <v/>
      </c>
      <c r="Z1153" s="80">
        <f>IF(X1153="Sin Pago","",IFERROR(INDEX(Pagos_Odoo!$A:$A, MATCH(X1153, Pagos_Odoo!$B:$B, 0)), ""))</f>
        <v/>
      </c>
      <c r="AA1153" s="79">
        <f>IF(X1153="Sin Pago","",IFERROR(INDEX(Pagos_Odoo!$F:$F, MATCH(X1153, Pagos_Odoo!$B:$B, 0)), ""))</f>
        <v/>
      </c>
      <c r="AB1153" s="81">
        <f>IF(X1153="Sin Pago",0,IFERROR(INDEX(Pagos_Odoo!$E:$E, MATCH(X1153, Pagos_Odoo!$B:$B, 0)), 0))</f>
        <v/>
      </c>
      <c r="AC1153" s="79">
        <f>IF(X1153="Sin Pago","",IFERROR(INDEX(Pagos_Odoo!$G:$G, MATCH(X1153, Pagos_Odoo!$B:$B, 0)), ""))</f>
        <v/>
      </c>
      <c r="AD1153" s="82" t="n">
        <v>0</v>
      </c>
      <c r="AE1153" s="82" t="n"/>
      <c r="AF1153" s="82" t="n"/>
      <c r="AG1153" s="82">
        <f>IF(AN1153="","",AD1153+AE1153+AF1153)</f>
        <v/>
      </c>
      <c r="AH1153" s="81">
        <f>IF(AN1153="","",P1153*(1-AG1153))</f>
        <v/>
      </c>
      <c r="AI1153" s="81">
        <f>IF(AN1153="","",IF(Q1153="Sin Factura",0,IFERROR(INDEX(Facturas_Odoo!$H:$H, MATCH(Q1153, Facturas_Odoo!$B:$B, 0)), 0)*(1-AG1153)))</f>
        <v/>
      </c>
      <c r="AJ1153" s="81">
        <f>IF(AN1153="","",_xlfn.LET(idVenta, AN1153&amp;"",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53" s="81">
        <f>IF(AN1153="","",AH1153-AJ1153)</f>
        <v/>
      </c>
      <c r="AL1153" s="81">
        <f>IF(AN1153="","",IF(Q1153="Sin Factura","",AI1153-AJ1153))</f>
        <v/>
      </c>
      <c r="AM1153" s="81">
        <f>IF(AN1153="","",IF(Q1153="Sin Factura",0,P1153-IFERROR(INDEX(Facturas_Odoo!$H:$H, MATCH(Q1153, Facturas_Odoo!$B:$B, 0)), 0)))</f>
        <v/>
      </c>
      <c r="AN1153" s="79">
        <f>IF(AND(A1153="", J1153=""), "", IF(A1153&lt;&gt;"", VALUE(MID(A1153,2,LEN(A1153))), AN1152))</f>
        <v/>
      </c>
      <c r="AO1153" s="79">
        <f>IF(AN1153="","",IF(AD1153=0,"OK",_xlfn.LET(monedaPago, IF(AA1153="","USD",AA1153), limitePermitido, IFERROR(VLOOKUP(monedaPago, Configuración!$A$2:$B$3, 2, FALSE), 0.15), IF(AD1153&gt;limitePermitido, "ALERTA: EXCESO (" &amp; TEXT(limitePermitido, "0%") &amp; " máx)", "OK"))))</f>
        <v/>
      </c>
      <c r="AP1153" s="79">
        <f>IF(AN1153="","",IF(AE1153=0,"OK",_xlfn.LET(fechaPago, Z1153, fechaFactura, R1153, diasCredito, IF(E1153="Pago inmediato", 0, IFERROR(VALUE(MID(E1153, 1, SEARCH(" ", E1153)-1)),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53" s="79">
        <f>IF(AN1153="","",IF(AND(N1153&gt;0, AG1153&gt;0), IF(Configuración!$K$2="NO", "ALERTA: DESCUENTO DOBLE NO PERMITIDO", "OK"), "OK"))</f>
        <v/>
      </c>
      <c r="AR1153" s="79">
        <f>IF(AN1153="","",IF(OR(AO1153&lt;&gt;"OK", AP1153&lt;&gt;"OK", AQ1153&lt;&gt;"OK"), "⚠️ REVISAR", "OK"))</f>
        <v/>
      </c>
    </row>
    <row r="1154">
      <c r="A1154" s="79">
        <f>IF('Ordenes_Odoo'!A1154="","",'Ordenes_Odoo'!A1154)</f>
        <v/>
      </c>
      <c r="B1154" s="80">
        <f>IF('Ordenes_Odoo'!B1154="","",'Ordenes_Odoo'!B1154)</f>
        <v/>
      </c>
      <c r="C1154" s="79">
        <f>IF('Ordenes_Odoo'!C1154="","",'Ordenes_Odoo'!C1154)</f>
        <v/>
      </c>
      <c r="D1154" s="79">
        <f>IF('Ordenes_Odoo'!D1154="","",'Ordenes_Odoo'!D1154)</f>
        <v/>
      </c>
      <c r="E1154" s="79">
        <f>IF('Ordenes_Odoo'!E1154="","",'Ordenes_Odoo'!E1154)</f>
        <v/>
      </c>
      <c r="F1154" s="79">
        <f>IF('Ordenes_Odoo'!F1154="","",'Ordenes_Odoo'!F1154)</f>
        <v/>
      </c>
      <c r="G1154" s="79">
        <f>IF('Ordenes_Odoo'!G1154="","",'Ordenes_Odoo'!G1154)</f>
        <v/>
      </c>
      <c r="H1154" s="79">
        <f>IF('Ordenes_Odoo'!H1154="","",'Ordenes_Odoo'!H1154)</f>
        <v/>
      </c>
      <c r="I1154" s="79">
        <f>IF('Ordenes_Odoo'!I1154="","",'Ordenes_Odoo'!I1154)</f>
        <v/>
      </c>
      <c r="J1154" s="79">
        <f>IF('Ordenes_Odoo'!J1154="","",'Ordenes_Odoo'!J1154)</f>
        <v/>
      </c>
      <c r="K1154" s="81">
        <f>IF('Ordenes_Odoo'!K1154="","",'Ordenes_Odoo'!K1154)</f>
        <v/>
      </c>
      <c r="L1154" s="81">
        <f>IF('Ordenes_Odoo'!L1154="","",'Ordenes_Odoo'!L1154)</f>
        <v/>
      </c>
      <c r="M1154" s="79">
        <f>IF('Ordenes_Odoo'!M1154="","",'Ordenes_Odoo'!M1154)</f>
        <v/>
      </c>
      <c r="N1154" s="79">
        <f>IF('Ordenes_Odoo'!N1154="","",'Ordenes_Odoo'!N1154)</f>
        <v/>
      </c>
      <c r="O1154" s="81">
        <f>IF('Ordenes_Odoo'!O1154="","",'Ordenes_Odoo'!O1154)</f>
        <v/>
      </c>
      <c r="P1154" s="81">
        <f>IF('Ordenes_Odoo'!P1154="","",'Ordenes_Odoo'!P1154)</f>
        <v/>
      </c>
      <c r="Q1154" s="79">
        <f>IF(A1154="","",IFERROR(INDEX(Facturas_Odoo!$B:$B, MATCH(A1154, Facturas_Odoo!$D:$D, 0)), "Sin Factura"))</f>
        <v/>
      </c>
      <c r="R1154" s="80">
        <f>IF(Q1154="Sin Factura","",IFERROR(INDEX(Facturas_Odoo!$A:$A, MATCH(Q1154, Facturas_Odoo!$B:$B, 0)), ""))</f>
        <v/>
      </c>
      <c r="S1154" s="79">
        <f>IF(Q1154="Sin Factura","",IFERROR(_xlfn.XLOOKUP(1, (Facturas_Odoo!$D:$D=A1154) * (Facturas_Odoo!$K:$K=I1154), Facturas_Odoo!$L:$L, ""), ""))</f>
        <v/>
      </c>
      <c r="T1154" s="81">
        <f>IF(Q1154="Sin Factura",0,IFERROR(_xlfn.XLOOKUP(1, (Facturas_Odoo!$D:$D=A1154) * (Facturas_Odoo!$K:$K=I1154), Facturas_Odoo!$M:$M, 0), 0))</f>
        <v/>
      </c>
      <c r="U1154" s="79">
        <f>IF(Q1154="Sin Factura",0,IFERROR(_xlfn.XLOOKUP(1, (Facturas_Odoo!$D:$D=A1154) * (Facturas_Odoo!$K:$K=I1154), Facturas_Odoo!$N:$N, 0), 0))</f>
        <v/>
      </c>
      <c r="V1154" s="79">
        <f>IF(Q1154="Sin Factura",0,IFERROR(_xlfn.XLOOKUP(1, (Facturas_Odoo!$D:$D=A1154) * (Facturas_Odoo!$K:$K=I1154), Facturas_Odoo!$O:$O, 0), 0))</f>
        <v/>
      </c>
      <c r="W1154" s="81">
        <f>IF(Q1154="Sin Factura",0,IFERROR(_xlfn.XLOOKUP(1, (Facturas_Odoo!$D:$D=A1154) * (Facturas_Odoo!$K:$K=I1154), Facturas_Odoo!$Q:$Q, 0), 0))</f>
        <v/>
      </c>
      <c r="X1154" s="79">
        <f>IF(OR(Q1154="Sin Factura",Q1154=""),"",IFERROR(INDEX(Pagos_Odoo!$B:$B, MATCH(Q1154, Pagos_Odoo!$I:$I, 0)), "Sin Pago"))</f>
        <v/>
      </c>
      <c r="Y1154" s="79">
        <f>IF(X1154="Sin Pago","",IFERROR(INDEX(Pagos_Odoo!$C:$C, MATCH(X1154, Pagos_Odoo!$B:$B, 0)), ""))</f>
        <v/>
      </c>
      <c r="Z1154" s="80">
        <f>IF(X1154="Sin Pago","",IFERROR(INDEX(Pagos_Odoo!$A:$A, MATCH(X1154, Pagos_Odoo!$B:$B, 0)), ""))</f>
        <v/>
      </c>
      <c r="AA1154" s="79">
        <f>IF(X1154="Sin Pago","",IFERROR(INDEX(Pagos_Odoo!$F:$F, MATCH(X1154, Pagos_Odoo!$B:$B, 0)), ""))</f>
        <v/>
      </c>
      <c r="AB1154" s="81">
        <f>IF(X1154="Sin Pago",0,IFERROR(INDEX(Pagos_Odoo!$E:$E, MATCH(X1154, Pagos_Odoo!$B:$B, 0)), 0))</f>
        <v/>
      </c>
      <c r="AC1154" s="79">
        <f>IF(X1154="Sin Pago","",IFERROR(INDEX(Pagos_Odoo!$G:$G, MATCH(X1154, Pagos_Odoo!$B:$B, 0)), ""))</f>
        <v/>
      </c>
      <c r="AD1154" s="82" t="n">
        <v>0</v>
      </c>
      <c r="AE1154" s="82" t="n">
        <v>0.05</v>
      </c>
      <c r="AF1154" s="82" t="n"/>
      <c r="AG1154" s="82">
        <f>IF(AN1154="","",AD1154+AE1154+AF1154)</f>
        <v/>
      </c>
      <c r="AH1154" s="81">
        <f>IF(AN1154="","",P1154*(1-AG1154))</f>
        <v/>
      </c>
      <c r="AI1154" s="81">
        <f>IF(AN1154="","",IF(Q1154="Sin Factura",0,IFERROR(INDEX(Facturas_Odoo!$H:$H, MATCH(Q1154, Facturas_Odoo!$B:$B, 0)), 0)*(1-AG1154)))</f>
        <v/>
      </c>
      <c r="AJ1154" s="81">
        <f>IF(AN1154="","",_xlfn.LET(idVenta, AN1154&amp;"",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54" s="81">
        <f>IF(AN1154="","",AH1154-AJ1154)</f>
        <v/>
      </c>
      <c r="AL1154" s="81">
        <f>IF(AN1154="","",IF(Q1154="Sin Factura","",AI1154-AJ1154))</f>
        <v/>
      </c>
      <c r="AM1154" s="81">
        <f>IF(AN1154="","",IF(Q1154="Sin Factura",0,P1154-IFERROR(INDEX(Facturas_Odoo!$H:$H, MATCH(Q1154, Facturas_Odoo!$B:$B, 0)), 0)))</f>
        <v/>
      </c>
      <c r="AN1154" s="79">
        <f>IF(AND(A1154="", J1154=""), "", IF(A1154&lt;&gt;"", VALUE(MID(A1154,2,LEN(A1154))), AN1153))</f>
        <v/>
      </c>
      <c r="AO1154" s="79">
        <f>IF(AN1154="","",IF(AD1154=0,"OK",_xlfn.LET(monedaPago, IF(AA1154="","USD",AA1154), limitePermitido, IFERROR(VLOOKUP(monedaPago, Configuración!$A$2:$B$3, 2, FALSE), 0.15), IF(AD1154&gt;limitePermitido, "ALERTA: EXCESO (" &amp; TEXT(limitePermitido, "0%") &amp; " máx)", "OK"))))</f>
        <v/>
      </c>
      <c r="AP1154" s="79">
        <f>IF(AN1154="","",IF(AE1154=0,"OK",_xlfn.LET(fechaPago, Z1154, fechaFactura, R1154, diasCredito, IF(E1154="Pago inmediato", 0, IFERROR(VALUE(MID(E1154, 1, SEARCH(" ", E1154)-1)),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54" s="79">
        <f>IF(AN1154="","",IF(AND(N1154&gt;0, AG1154&gt;0), IF(Configuración!$K$2="NO", "ALERTA: DESCUENTO DOBLE NO PERMITIDO", "OK"), "OK"))</f>
        <v/>
      </c>
      <c r="AR1154" s="79">
        <f>IF(AN1154="","",IF(OR(AO1154&lt;&gt;"OK", AP1154&lt;&gt;"OK", AQ1154&lt;&gt;"OK"), "⚠️ REVISAR", "OK"))</f>
        <v/>
      </c>
    </row>
    <row r="1155">
      <c r="A1155" s="79">
        <f>IF('Ordenes_Odoo'!A1155="","",'Ordenes_Odoo'!A1155)</f>
        <v/>
      </c>
      <c r="B1155" s="80">
        <f>IF('Ordenes_Odoo'!B1155="","",'Ordenes_Odoo'!B1155)</f>
        <v/>
      </c>
      <c r="C1155" s="79">
        <f>IF('Ordenes_Odoo'!C1155="","",'Ordenes_Odoo'!C1155)</f>
        <v/>
      </c>
      <c r="D1155" s="79">
        <f>IF('Ordenes_Odoo'!D1155="","",'Ordenes_Odoo'!D1155)</f>
        <v/>
      </c>
      <c r="E1155" s="79">
        <f>IF('Ordenes_Odoo'!E1155="","",'Ordenes_Odoo'!E1155)</f>
        <v/>
      </c>
      <c r="F1155" s="79">
        <f>IF('Ordenes_Odoo'!F1155="","",'Ordenes_Odoo'!F1155)</f>
        <v/>
      </c>
      <c r="G1155" s="79">
        <f>IF('Ordenes_Odoo'!G1155="","",'Ordenes_Odoo'!G1155)</f>
        <v/>
      </c>
      <c r="H1155" s="79">
        <f>IF('Ordenes_Odoo'!H1155="","",'Ordenes_Odoo'!H1155)</f>
        <v/>
      </c>
      <c r="I1155" s="79">
        <f>IF('Ordenes_Odoo'!I1155="","",'Ordenes_Odoo'!I1155)</f>
        <v/>
      </c>
      <c r="J1155" s="79">
        <f>IF('Ordenes_Odoo'!J1155="","",'Ordenes_Odoo'!J1155)</f>
        <v/>
      </c>
      <c r="K1155" s="81">
        <f>IF('Ordenes_Odoo'!K1155="","",'Ordenes_Odoo'!K1155)</f>
        <v/>
      </c>
      <c r="L1155" s="81">
        <f>IF('Ordenes_Odoo'!L1155="","",'Ordenes_Odoo'!L1155)</f>
        <v/>
      </c>
      <c r="M1155" s="79">
        <f>IF('Ordenes_Odoo'!M1155="","",'Ordenes_Odoo'!M1155)</f>
        <v/>
      </c>
      <c r="N1155" s="79">
        <f>IF('Ordenes_Odoo'!N1155="","",'Ordenes_Odoo'!N1155)</f>
        <v/>
      </c>
      <c r="O1155" s="81">
        <f>IF('Ordenes_Odoo'!O1155="","",'Ordenes_Odoo'!O1155)</f>
        <v/>
      </c>
      <c r="P1155" s="81">
        <f>IF('Ordenes_Odoo'!P1155="","",'Ordenes_Odoo'!P1155)</f>
        <v/>
      </c>
      <c r="Q1155" s="79">
        <f>IF(A1155="","",IFERROR(INDEX(Facturas_Odoo!$B:$B, MATCH(A1155, Facturas_Odoo!$D:$D, 0)), "Sin Factura"))</f>
        <v/>
      </c>
      <c r="R1155" s="80">
        <f>IF(Q1155="Sin Factura","",IFERROR(INDEX(Facturas_Odoo!$A:$A, MATCH(Q1155, Facturas_Odoo!$B:$B, 0)), ""))</f>
        <v/>
      </c>
      <c r="S1155" s="79">
        <f>IF(Q1155="Sin Factura","",IFERROR(_xlfn.XLOOKUP(1, (Facturas_Odoo!$D:$D=A1155) * (Facturas_Odoo!$K:$K=I1155), Facturas_Odoo!$L:$L, ""), ""))</f>
        <v/>
      </c>
      <c r="T1155" s="81">
        <f>IF(Q1155="Sin Factura",0,IFERROR(_xlfn.XLOOKUP(1, (Facturas_Odoo!$D:$D=A1155) * (Facturas_Odoo!$K:$K=I1155), Facturas_Odoo!$M:$M, 0), 0))</f>
        <v/>
      </c>
      <c r="U1155" s="79">
        <f>IF(Q1155="Sin Factura",0,IFERROR(_xlfn.XLOOKUP(1, (Facturas_Odoo!$D:$D=A1155) * (Facturas_Odoo!$K:$K=I1155), Facturas_Odoo!$N:$N, 0), 0))</f>
        <v/>
      </c>
      <c r="V1155" s="79">
        <f>IF(Q1155="Sin Factura",0,IFERROR(_xlfn.XLOOKUP(1, (Facturas_Odoo!$D:$D=A1155) * (Facturas_Odoo!$K:$K=I1155), Facturas_Odoo!$O:$O, 0), 0))</f>
        <v/>
      </c>
      <c r="W1155" s="81">
        <f>IF(Q1155="Sin Factura",0,IFERROR(_xlfn.XLOOKUP(1, (Facturas_Odoo!$D:$D=A1155) * (Facturas_Odoo!$K:$K=I1155), Facturas_Odoo!$Q:$Q, 0), 0))</f>
        <v/>
      </c>
      <c r="X1155" s="79">
        <f>IF(OR(Q1155="Sin Factura",Q1155=""),"",IFERROR(INDEX(Pagos_Odoo!$B:$B, MATCH(Q1155, Pagos_Odoo!$I:$I, 0)), "Sin Pago"))</f>
        <v/>
      </c>
      <c r="Y1155" s="79">
        <f>IF(X1155="Sin Pago","",IFERROR(INDEX(Pagos_Odoo!$C:$C, MATCH(X1155, Pagos_Odoo!$B:$B, 0)), ""))</f>
        <v/>
      </c>
      <c r="Z1155" s="80">
        <f>IF(X1155="Sin Pago","",IFERROR(INDEX(Pagos_Odoo!$A:$A, MATCH(X1155, Pagos_Odoo!$B:$B, 0)), ""))</f>
        <v/>
      </c>
      <c r="AA1155" s="79">
        <f>IF(X1155="Sin Pago","",IFERROR(INDEX(Pagos_Odoo!$F:$F, MATCH(X1155, Pagos_Odoo!$B:$B, 0)), ""))</f>
        <v/>
      </c>
      <c r="AB1155" s="81">
        <f>IF(X1155="Sin Pago",0,IFERROR(INDEX(Pagos_Odoo!$E:$E, MATCH(X1155, Pagos_Odoo!$B:$B, 0)), 0))</f>
        <v/>
      </c>
      <c r="AC1155" s="79">
        <f>IF(X1155="Sin Pago","",IFERROR(INDEX(Pagos_Odoo!$G:$G, MATCH(X1155, Pagos_Odoo!$B:$B, 0)), ""))</f>
        <v/>
      </c>
      <c r="AD1155" s="82" t="n">
        <v>0</v>
      </c>
      <c r="AE1155" s="82" t="n"/>
      <c r="AF1155" s="82" t="n"/>
      <c r="AG1155" s="82">
        <f>IF(AN1155="","",AD1155+AE1155+AF1155)</f>
        <v/>
      </c>
      <c r="AH1155" s="81">
        <f>IF(AN1155="","",P1155*(1-AG1155))</f>
        <v/>
      </c>
      <c r="AI1155" s="81">
        <f>IF(AN1155="","",IF(Q1155="Sin Factura",0,IFERROR(INDEX(Facturas_Odoo!$H:$H, MATCH(Q1155, Facturas_Odoo!$B:$B, 0)), 0)*(1-AG1155)))</f>
        <v/>
      </c>
      <c r="AJ1155" s="81">
        <f>IF(AN1155="","",_xlfn.LET(idVenta, AN1155&amp;"",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55" s="81">
        <f>IF(AN1155="","",AH1155-AJ1155)</f>
        <v/>
      </c>
      <c r="AL1155" s="81">
        <f>IF(AN1155="","",IF(Q1155="Sin Factura","",AI1155-AJ1155))</f>
        <v/>
      </c>
      <c r="AM1155" s="81">
        <f>IF(AN1155="","",IF(Q1155="Sin Factura",0,P1155-IFERROR(INDEX(Facturas_Odoo!$H:$H, MATCH(Q1155, Facturas_Odoo!$B:$B, 0)), 0)))</f>
        <v/>
      </c>
      <c r="AN1155" s="79">
        <f>IF(AND(A1155="", J1155=""), "", IF(A1155&lt;&gt;"", VALUE(MID(A1155,2,LEN(A1155))), AN1154))</f>
        <v/>
      </c>
      <c r="AO1155" s="79">
        <f>IF(AN1155="","",IF(AD1155=0,"OK",_xlfn.LET(monedaPago, IF(AA1155="","USD",AA1155), limitePermitido, IFERROR(VLOOKUP(monedaPago, Configuración!$A$2:$B$3, 2, FALSE), 0.15), IF(AD1155&gt;limitePermitido, "ALERTA: EXCESO (" &amp; TEXT(limitePermitido, "0%") &amp; " máx)", "OK"))))</f>
        <v/>
      </c>
      <c r="AP1155" s="79">
        <f>IF(AN1155="","",IF(AE1155=0,"OK",_xlfn.LET(fechaPago, Z1155, fechaFactura, R1155, diasCredito, IF(E1155="Pago inmediato", 0, IFERROR(VALUE(MID(E1155, 1, SEARCH(" ", E1155)-1)),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55" s="79">
        <f>IF(AN1155="","",IF(AND(N1155&gt;0, AG1155&gt;0), IF(Configuración!$K$2="NO", "ALERTA: DESCUENTO DOBLE NO PERMITIDO", "OK"), "OK"))</f>
        <v/>
      </c>
      <c r="AR1155" s="79">
        <f>IF(AN1155="","",IF(OR(AO1155&lt;&gt;"OK", AP1155&lt;&gt;"OK", AQ1155&lt;&gt;"OK"), "⚠️ REVISAR", "OK"))</f>
        <v/>
      </c>
    </row>
    <row r="1156">
      <c r="A1156" s="79">
        <f>IF('Ordenes_Odoo'!A1156="","",'Ordenes_Odoo'!A1156)</f>
        <v/>
      </c>
      <c r="B1156" s="80">
        <f>IF('Ordenes_Odoo'!B1156="","",'Ordenes_Odoo'!B1156)</f>
        <v/>
      </c>
      <c r="C1156" s="79">
        <f>IF('Ordenes_Odoo'!C1156="","",'Ordenes_Odoo'!C1156)</f>
        <v/>
      </c>
      <c r="D1156" s="79">
        <f>IF('Ordenes_Odoo'!D1156="","",'Ordenes_Odoo'!D1156)</f>
        <v/>
      </c>
      <c r="E1156" s="79">
        <f>IF('Ordenes_Odoo'!E1156="","",'Ordenes_Odoo'!E1156)</f>
        <v/>
      </c>
      <c r="F1156" s="79">
        <f>IF('Ordenes_Odoo'!F1156="","",'Ordenes_Odoo'!F1156)</f>
        <v/>
      </c>
      <c r="G1156" s="79">
        <f>IF('Ordenes_Odoo'!G1156="","",'Ordenes_Odoo'!G1156)</f>
        <v/>
      </c>
      <c r="H1156" s="79">
        <f>IF('Ordenes_Odoo'!H1156="","",'Ordenes_Odoo'!H1156)</f>
        <v/>
      </c>
      <c r="I1156" s="79">
        <f>IF('Ordenes_Odoo'!I1156="","",'Ordenes_Odoo'!I1156)</f>
        <v/>
      </c>
      <c r="J1156" s="79">
        <f>IF('Ordenes_Odoo'!J1156="","",'Ordenes_Odoo'!J1156)</f>
        <v/>
      </c>
      <c r="K1156" s="81">
        <f>IF('Ordenes_Odoo'!K1156="","",'Ordenes_Odoo'!K1156)</f>
        <v/>
      </c>
      <c r="L1156" s="81">
        <f>IF('Ordenes_Odoo'!L1156="","",'Ordenes_Odoo'!L1156)</f>
        <v/>
      </c>
      <c r="M1156" s="79">
        <f>IF('Ordenes_Odoo'!M1156="","",'Ordenes_Odoo'!M1156)</f>
        <v/>
      </c>
      <c r="N1156" s="79">
        <f>IF('Ordenes_Odoo'!N1156="","",'Ordenes_Odoo'!N1156)</f>
        <v/>
      </c>
      <c r="O1156" s="81">
        <f>IF('Ordenes_Odoo'!O1156="","",'Ordenes_Odoo'!O1156)</f>
        <v/>
      </c>
      <c r="P1156" s="81">
        <f>IF('Ordenes_Odoo'!P1156="","",'Ordenes_Odoo'!P1156)</f>
        <v/>
      </c>
      <c r="Q1156" s="79">
        <f>IF(A1156="","",IFERROR(INDEX(Facturas_Odoo!$B:$B, MATCH(A1156, Facturas_Odoo!$D:$D, 0)), "Sin Factura"))</f>
        <v/>
      </c>
      <c r="R1156" s="80">
        <f>IF(Q1156="Sin Factura","",IFERROR(INDEX(Facturas_Odoo!$A:$A, MATCH(Q1156, Facturas_Odoo!$B:$B, 0)), ""))</f>
        <v/>
      </c>
      <c r="S1156" s="79">
        <f>IF(Q1156="Sin Factura","",IFERROR(_xlfn.XLOOKUP(1, (Facturas_Odoo!$D:$D=A1156) * (Facturas_Odoo!$K:$K=I1156), Facturas_Odoo!$L:$L, ""), ""))</f>
        <v/>
      </c>
      <c r="T1156" s="81">
        <f>IF(Q1156="Sin Factura",0,IFERROR(_xlfn.XLOOKUP(1, (Facturas_Odoo!$D:$D=A1156) * (Facturas_Odoo!$K:$K=I1156), Facturas_Odoo!$M:$M, 0), 0))</f>
        <v/>
      </c>
      <c r="U1156" s="79">
        <f>IF(Q1156="Sin Factura",0,IFERROR(_xlfn.XLOOKUP(1, (Facturas_Odoo!$D:$D=A1156) * (Facturas_Odoo!$K:$K=I1156), Facturas_Odoo!$N:$N, 0), 0))</f>
        <v/>
      </c>
      <c r="V1156" s="79">
        <f>IF(Q1156="Sin Factura",0,IFERROR(_xlfn.XLOOKUP(1, (Facturas_Odoo!$D:$D=A1156) * (Facturas_Odoo!$K:$K=I1156), Facturas_Odoo!$O:$O, 0), 0))</f>
        <v/>
      </c>
      <c r="W1156" s="81">
        <f>IF(Q1156="Sin Factura",0,IFERROR(_xlfn.XLOOKUP(1, (Facturas_Odoo!$D:$D=A1156) * (Facturas_Odoo!$K:$K=I1156), Facturas_Odoo!$Q:$Q, 0), 0))</f>
        <v/>
      </c>
      <c r="X1156" s="79">
        <f>IF(OR(Q1156="Sin Factura",Q1156=""),"",IFERROR(INDEX(Pagos_Odoo!$B:$B, MATCH(Q1156, Pagos_Odoo!$I:$I, 0)), "Sin Pago"))</f>
        <v/>
      </c>
      <c r="Y1156" s="79">
        <f>IF(X1156="Sin Pago","",IFERROR(INDEX(Pagos_Odoo!$C:$C, MATCH(X1156, Pagos_Odoo!$B:$B, 0)), ""))</f>
        <v/>
      </c>
      <c r="Z1156" s="80">
        <f>IF(X1156="Sin Pago","",IFERROR(INDEX(Pagos_Odoo!$A:$A, MATCH(X1156, Pagos_Odoo!$B:$B, 0)), ""))</f>
        <v/>
      </c>
      <c r="AA1156" s="79">
        <f>IF(X1156="Sin Pago","",IFERROR(INDEX(Pagos_Odoo!$F:$F, MATCH(X1156, Pagos_Odoo!$B:$B, 0)), ""))</f>
        <v/>
      </c>
      <c r="AB1156" s="81">
        <f>IF(X1156="Sin Pago",0,IFERROR(INDEX(Pagos_Odoo!$E:$E, MATCH(X1156, Pagos_Odoo!$B:$B, 0)), 0))</f>
        <v/>
      </c>
      <c r="AC1156" s="79">
        <f>IF(X1156="Sin Pago","",IFERROR(INDEX(Pagos_Odoo!$G:$G, MATCH(X1156, Pagos_Odoo!$B:$B, 0)), ""))</f>
        <v/>
      </c>
      <c r="AD1156" s="82" t="n">
        <v>0</v>
      </c>
      <c r="AE1156" s="82" t="n"/>
      <c r="AF1156" s="82" t="n"/>
      <c r="AG1156" s="82">
        <f>IF(AN1156="","",AD1156+AE1156+AF1156)</f>
        <v/>
      </c>
      <c r="AH1156" s="81">
        <f>IF(AN1156="","",P1156*(1-AG1156))</f>
        <v/>
      </c>
      <c r="AI1156" s="81">
        <f>IF(AN1156="","",IF(Q1156="Sin Factura",0,IFERROR(INDEX(Facturas_Odoo!$H:$H, MATCH(Q1156, Facturas_Odoo!$B:$B, 0)), 0)*(1-AG1156)))</f>
        <v/>
      </c>
      <c r="AJ1156" s="81">
        <f>IF(AN1156="","",_xlfn.LET(idVenta, AN1156&amp;"",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56" s="81">
        <f>IF(AN1156="","",AH1156-AJ1156)</f>
        <v/>
      </c>
      <c r="AL1156" s="81">
        <f>IF(AN1156="","",IF(Q1156="Sin Factura","",AI1156-AJ1156))</f>
        <v/>
      </c>
      <c r="AM1156" s="81">
        <f>IF(AN1156="","",IF(Q1156="Sin Factura",0,P1156-IFERROR(INDEX(Facturas_Odoo!$H:$H, MATCH(Q1156, Facturas_Odoo!$B:$B, 0)), 0)))</f>
        <v/>
      </c>
      <c r="AN1156" s="79">
        <f>IF(AND(A1156="", J1156=""), "", IF(A1156&lt;&gt;"", VALUE(MID(A1156,2,LEN(A1156))), AN1155))</f>
        <v/>
      </c>
      <c r="AO1156" s="79">
        <f>IF(AN1156="","",IF(AD1156=0,"OK",_xlfn.LET(monedaPago, IF(AA1156="","USD",AA1156), limitePermitido, IFERROR(VLOOKUP(monedaPago, Configuración!$A$2:$B$3, 2, FALSE), 0.15), IF(AD1156&gt;limitePermitido, "ALERTA: EXCESO (" &amp; TEXT(limitePermitido, "0%") &amp; " máx)", "OK"))))</f>
        <v/>
      </c>
      <c r="AP1156" s="79">
        <f>IF(AN1156="","",IF(AE1156=0,"OK",_xlfn.LET(fechaPago, Z1156, fechaFactura, R1156, diasCredito, IF(E1156="Pago inmediato", 0, IFERROR(VALUE(MID(E1156, 1, SEARCH(" ", E1156)-1)),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56" s="79">
        <f>IF(AN1156="","",IF(AND(N1156&gt;0, AG1156&gt;0), IF(Configuración!$K$2="NO", "ALERTA: DESCUENTO DOBLE NO PERMITIDO", "OK"), "OK"))</f>
        <v/>
      </c>
      <c r="AR1156" s="79">
        <f>IF(AN1156="","",IF(OR(AO1156&lt;&gt;"OK", AP1156&lt;&gt;"OK", AQ1156&lt;&gt;"OK"), "⚠️ REVISAR", "OK"))</f>
        <v/>
      </c>
    </row>
    <row r="1157">
      <c r="A1157" s="79">
        <f>IF('Ordenes_Odoo'!A1157="","",'Ordenes_Odoo'!A1157)</f>
        <v/>
      </c>
      <c r="B1157" s="80">
        <f>IF('Ordenes_Odoo'!B1157="","",'Ordenes_Odoo'!B1157)</f>
        <v/>
      </c>
      <c r="C1157" s="79">
        <f>IF('Ordenes_Odoo'!C1157="","",'Ordenes_Odoo'!C1157)</f>
        <v/>
      </c>
      <c r="D1157" s="79">
        <f>IF('Ordenes_Odoo'!D1157="","",'Ordenes_Odoo'!D1157)</f>
        <v/>
      </c>
      <c r="E1157" s="79">
        <f>IF('Ordenes_Odoo'!E1157="","",'Ordenes_Odoo'!E1157)</f>
        <v/>
      </c>
      <c r="F1157" s="79">
        <f>IF('Ordenes_Odoo'!F1157="","",'Ordenes_Odoo'!F1157)</f>
        <v/>
      </c>
      <c r="G1157" s="79">
        <f>IF('Ordenes_Odoo'!G1157="","",'Ordenes_Odoo'!G1157)</f>
        <v/>
      </c>
      <c r="H1157" s="79">
        <f>IF('Ordenes_Odoo'!H1157="","",'Ordenes_Odoo'!H1157)</f>
        <v/>
      </c>
      <c r="I1157" s="79">
        <f>IF('Ordenes_Odoo'!I1157="","",'Ordenes_Odoo'!I1157)</f>
        <v/>
      </c>
      <c r="J1157" s="79">
        <f>IF('Ordenes_Odoo'!J1157="","",'Ordenes_Odoo'!J1157)</f>
        <v/>
      </c>
      <c r="K1157" s="81">
        <f>IF('Ordenes_Odoo'!K1157="","",'Ordenes_Odoo'!K1157)</f>
        <v/>
      </c>
      <c r="L1157" s="81">
        <f>IF('Ordenes_Odoo'!L1157="","",'Ordenes_Odoo'!L1157)</f>
        <v/>
      </c>
      <c r="M1157" s="79">
        <f>IF('Ordenes_Odoo'!M1157="","",'Ordenes_Odoo'!M1157)</f>
        <v/>
      </c>
      <c r="N1157" s="79">
        <f>IF('Ordenes_Odoo'!N1157="","",'Ordenes_Odoo'!N1157)</f>
        <v/>
      </c>
      <c r="O1157" s="81">
        <f>IF('Ordenes_Odoo'!O1157="","",'Ordenes_Odoo'!O1157)</f>
        <v/>
      </c>
      <c r="P1157" s="81">
        <f>IF('Ordenes_Odoo'!P1157="","",'Ordenes_Odoo'!P1157)</f>
        <v/>
      </c>
      <c r="Q1157" s="79">
        <f>IF(A1157="","",IFERROR(INDEX(Facturas_Odoo!$B:$B, MATCH(A1157, Facturas_Odoo!$D:$D, 0)), "Sin Factura"))</f>
        <v/>
      </c>
      <c r="R1157" s="80">
        <f>IF(Q1157="Sin Factura","",IFERROR(INDEX(Facturas_Odoo!$A:$A, MATCH(Q1157, Facturas_Odoo!$B:$B, 0)), ""))</f>
        <v/>
      </c>
      <c r="S1157" s="79">
        <f>IF(Q1157="Sin Factura","",IFERROR(_xlfn.XLOOKUP(1, (Facturas_Odoo!$D:$D=A1157) * (Facturas_Odoo!$K:$K=I1157), Facturas_Odoo!$L:$L, ""), ""))</f>
        <v/>
      </c>
      <c r="T1157" s="81">
        <f>IF(Q1157="Sin Factura",0,IFERROR(_xlfn.XLOOKUP(1, (Facturas_Odoo!$D:$D=A1157) * (Facturas_Odoo!$K:$K=I1157), Facturas_Odoo!$M:$M, 0), 0))</f>
        <v/>
      </c>
      <c r="U1157" s="79">
        <f>IF(Q1157="Sin Factura",0,IFERROR(_xlfn.XLOOKUP(1, (Facturas_Odoo!$D:$D=A1157) * (Facturas_Odoo!$K:$K=I1157), Facturas_Odoo!$N:$N, 0), 0))</f>
        <v/>
      </c>
      <c r="V1157" s="79">
        <f>IF(Q1157="Sin Factura",0,IFERROR(_xlfn.XLOOKUP(1, (Facturas_Odoo!$D:$D=A1157) * (Facturas_Odoo!$K:$K=I1157), Facturas_Odoo!$O:$O, 0), 0))</f>
        <v/>
      </c>
      <c r="W1157" s="81">
        <f>IF(Q1157="Sin Factura",0,IFERROR(_xlfn.XLOOKUP(1, (Facturas_Odoo!$D:$D=A1157) * (Facturas_Odoo!$K:$K=I1157), Facturas_Odoo!$Q:$Q, 0), 0))</f>
        <v/>
      </c>
      <c r="X1157" s="79">
        <f>IF(OR(Q1157="Sin Factura",Q1157=""),"",IFERROR(INDEX(Pagos_Odoo!$B:$B, MATCH(Q1157, Pagos_Odoo!$I:$I, 0)), "Sin Pago"))</f>
        <v/>
      </c>
      <c r="Y1157" s="79">
        <f>IF(X1157="Sin Pago","",IFERROR(INDEX(Pagos_Odoo!$C:$C, MATCH(X1157, Pagos_Odoo!$B:$B, 0)), ""))</f>
        <v/>
      </c>
      <c r="Z1157" s="80">
        <f>IF(X1157="Sin Pago","",IFERROR(INDEX(Pagos_Odoo!$A:$A, MATCH(X1157, Pagos_Odoo!$B:$B, 0)), ""))</f>
        <v/>
      </c>
      <c r="AA1157" s="79">
        <f>IF(X1157="Sin Pago","",IFERROR(INDEX(Pagos_Odoo!$F:$F, MATCH(X1157, Pagos_Odoo!$B:$B, 0)), ""))</f>
        <v/>
      </c>
      <c r="AB1157" s="81">
        <f>IF(X1157="Sin Pago",0,IFERROR(INDEX(Pagos_Odoo!$E:$E, MATCH(X1157, Pagos_Odoo!$B:$B, 0)), 0))</f>
        <v/>
      </c>
      <c r="AC1157" s="79">
        <f>IF(X1157="Sin Pago","",IFERROR(INDEX(Pagos_Odoo!$G:$G, MATCH(X1157, Pagos_Odoo!$B:$B, 0)), ""))</f>
        <v/>
      </c>
      <c r="AD1157" s="82" t="n">
        <v>0</v>
      </c>
      <c r="AE1157" s="82" t="n"/>
      <c r="AF1157" s="82" t="n"/>
      <c r="AG1157" s="82">
        <f>IF(AN1157="","",AD1157+AE1157+AF1157)</f>
        <v/>
      </c>
      <c r="AH1157" s="81">
        <f>IF(AN1157="","",P1157*(1-AG1157))</f>
        <v/>
      </c>
      <c r="AI1157" s="81">
        <f>IF(AN1157="","",IF(Q1157="Sin Factura",0,IFERROR(INDEX(Facturas_Odoo!$H:$H, MATCH(Q1157, Facturas_Odoo!$B:$B, 0)), 0)*(1-AG1157)))</f>
        <v/>
      </c>
      <c r="AJ1157" s="81">
        <f>IF(AN1157="","",_xlfn.LET(idVenta, AN1157&amp;"",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57" s="81">
        <f>IF(AN1157="","",AH1157-AJ1157)</f>
        <v/>
      </c>
      <c r="AL1157" s="81">
        <f>IF(AN1157="","",IF(Q1157="Sin Factura","",AI1157-AJ1157))</f>
        <v/>
      </c>
      <c r="AM1157" s="81">
        <f>IF(AN1157="","",IF(Q1157="Sin Factura",0,P1157-IFERROR(INDEX(Facturas_Odoo!$H:$H, MATCH(Q1157, Facturas_Odoo!$B:$B, 0)), 0)))</f>
        <v/>
      </c>
      <c r="AN1157" s="79">
        <f>IF(AND(A1157="", J1157=""), "", IF(A1157&lt;&gt;"", VALUE(MID(A1157,2,LEN(A1157))), AN1156))</f>
        <v/>
      </c>
      <c r="AO1157" s="79">
        <f>IF(AN1157="","",IF(AD1157=0,"OK",_xlfn.LET(monedaPago, IF(AA1157="","USD",AA1157), limitePermitido, IFERROR(VLOOKUP(monedaPago, Configuración!$A$2:$B$3, 2, FALSE), 0.15), IF(AD1157&gt;limitePermitido, "ALERTA: EXCESO (" &amp; TEXT(limitePermitido, "0%") &amp; " máx)", "OK"))))</f>
        <v/>
      </c>
      <c r="AP1157" s="79">
        <f>IF(AN1157="","",IF(AE1157=0,"OK",_xlfn.LET(fechaPago, Z1157, fechaFactura, R1157, diasCredito, IF(E1157="Pago inmediato", 0, IFERROR(VALUE(MID(E1157, 1, SEARCH(" ", E1157)-1)),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57" s="79">
        <f>IF(AN1157="","",IF(AND(N1157&gt;0, AG1157&gt;0), IF(Configuración!$K$2="NO", "ALERTA: DESCUENTO DOBLE NO PERMITIDO", "OK"), "OK"))</f>
        <v/>
      </c>
      <c r="AR1157" s="79">
        <f>IF(AN1157="","",IF(OR(AO1157&lt;&gt;"OK", AP1157&lt;&gt;"OK", AQ1157&lt;&gt;"OK"), "⚠️ REVISAR", "OK"))</f>
        <v/>
      </c>
    </row>
    <row r="1158">
      <c r="A1158" s="79">
        <f>IF('Ordenes_Odoo'!A1158="","",'Ordenes_Odoo'!A1158)</f>
        <v/>
      </c>
      <c r="B1158" s="80">
        <f>IF('Ordenes_Odoo'!B1158="","",'Ordenes_Odoo'!B1158)</f>
        <v/>
      </c>
      <c r="C1158" s="79">
        <f>IF('Ordenes_Odoo'!C1158="","",'Ordenes_Odoo'!C1158)</f>
        <v/>
      </c>
      <c r="D1158" s="79">
        <f>IF('Ordenes_Odoo'!D1158="","",'Ordenes_Odoo'!D1158)</f>
        <v/>
      </c>
      <c r="E1158" s="79">
        <f>IF('Ordenes_Odoo'!E1158="","",'Ordenes_Odoo'!E1158)</f>
        <v/>
      </c>
      <c r="F1158" s="79">
        <f>IF('Ordenes_Odoo'!F1158="","",'Ordenes_Odoo'!F1158)</f>
        <v/>
      </c>
      <c r="G1158" s="79">
        <f>IF('Ordenes_Odoo'!G1158="","",'Ordenes_Odoo'!G1158)</f>
        <v/>
      </c>
      <c r="H1158" s="79">
        <f>IF('Ordenes_Odoo'!H1158="","",'Ordenes_Odoo'!H1158)</f>
        <v/>
      </c>
      <c r="I1158" s="79">
        <f>IF('Ordenes_Odoo'!I1158="","",'Ordenes_Odoo'!I1158)</f>
        <v/>
      </c>
      <c r="J1158" s="79">
        <f>IF('Ordenes_Odoo'!J1158="","",'Ordenes_Odoo'!J1158)</f>
        <v/>
      </c>
      <c r="K1158" s="81">
        <f>IF('Ordenes_Odoo'!K1158="","",'Ordenes_Odoo'!K1158)</f>
        <v/>
      </c>
      <c r="L1158" s="81">
        <f>IF('Ordenes_Odoo'!L1158="","",'Ordenes_Odoo'!L1158)</f>
        <v/>
      </c>
      <c r="M1158" s="79">
        <f>IF('Ordenes_Odoo'!M1158="","",'Ordenes_Odoo'!M1158)</f>
        <v/>
      </c>
      <c r="N1158" s="79">
        <f>IF('Ordenes_Odoo'!N1158="","",'Ordenes_Odoo'!N1158)</f>
        <v/>
      </c>
      <c r="O1158" s="81">
        <f>IF('Ordenes_Odoo'!O1158="","",'Ordenes_Odoo'!O1158)</f>
        <v/>
      </c>
      <c r="P1158" s="81">
        <f>IF('Ordenes_Odoo'!P1158="","",'Ordenes_Odoo'!P1158)</f>
        <v/>
      </c>
      <c r="Q1158" s="79">
        <f>IF(A1158="","",IFERROR(INDEX(Facturas_Odoo!$B:$B, MATCH(A1158, Facturas_Odoo!$D:$D, 0)), "Sin Factura"))</f>
        <v/>
      </c>
      <c r="R1158" s="80">
        <f>IF(Q1158="Sin Factura","",IFERROR(INDEX(Facturas_Odoo!$A:$A, MATCH(Q1158, Facturas_Odoo!$B:$B, 0)), ""))</f>
        <v/>
      </c>
      <c r="S1158" s="79">
        <f>IF(Q1158="Sin Factura","",IFERROR(_xlfn.XLOOKUP(1, (Facturas_Odoo!$D:$D=A1158) * (Facturas_Odoo!$K:$K=I1158), Facturas_Odoo!$L:$L, ""), ""))</f>
        <v/>
      </c>
      <c r="T1158" s="81">
        <f>IF(Q1158="Sin Factura",0,IFERROR(_xlfn.XLOOKUP(1, (Facturas_Odoo!$D:$D=A1158) * (Facturas_Odoo!$K:$K=I1158), Facturas_Odoo!$M:$M, 0), 0))</f>
        <v/>
      </c>
      <c r="U1158" s="79">
        <f>IF(Q1158="Sin Factura",0,IFERROR(_xlfn.XLOOKUP(1, (Facturas_Odoo!$D:$D=A1158) * (Facturas_Odoo!$K:$K=I1158), Facturas_Odoo!$N:$N, 0), 0))</f>
        <v/>
      </c>
      <c r="V1158" s="79">
        <f>IF(Q1158="Sin Factura",0,IFERROR(_xlfn.XLOOKUP(1, (Facturas_Odoo!$D:$D=A1158) * (Facturas_Odoo!$K:$K=I1158), Facturas_Odoo!$O:$O, 0), 0))</f>
        <v/>
      </c>
      <c r="W1158" s="81">
        <f>IF(Q1158="Sin Factura",0,IFERROR(_xlfn.XLOOKUP(1, (Facturas_Odoo!$D:$D=A1158) * (Facturas_Odoo!$K:$K=I1158), Facturas_Odoo!$Q:$Q, 0), 0))</f>
        <v/>
      </c>
      <c r="X1158" s="79">
        <f>IF(OR(Q1158="Sin Factura",Q1158=""),"",IFERROR(INDEX(Pagos_Odoo!$B:$B, MATCH(Q1158, Pagos_Odoo!$I:$I, 0)), "Sin Pago"))</f>
        <v/>
      </c>
      <c r="Y1158" s="79">
        <f>IF(X1158="Sin Pago","",IFERROR(INDEX(Pagos_Odoo!$C:$C, MATCH(X1158, Pagos_Odoo!$B:$B, 0)), ""))</f>
        <v/>
      </c>
      <c r="Z1158" s="80">
        <f>IF(X1158="Sin Pago","",IFERROR(INDEX(Pagos_Odoo!$A:$A, MATCH(X1158, Pagos_Odoo!$B:$B, 0)), ""))</f>
        <v/>
      </c>
      <c r="AA1158" s="79">
        <f>IF(X1158="Sin Pago","",IFERROR(INDEX(Pagos_Odoo!$F:$F, MATCH(X1158, Pagos_Odoo!$B:$B, 0)), ""))</f>
        <v/>
      </c>
      <c r="AB1158" s="81">
        <f>IF(X1158="Sin Pago",0,IFERROR(INDEX(Pagos_Odoo!$E:$E, MATCH(X1158, Pagos_Odoo!$B:$B, 0)), 0))</f>
        <v/>
      </c>
      <c r="AC1158" s="79">
        <f>IF(X1158="Sin Pago","",IFERROR(INDEX(Pagos_Odoo!$G:$G, MATCH(X1158, Pagos_Odoo!$B:$B, 0)), ""))</f>
        <v/>
      </c>
      <c r="AD1158" s="82" t="n">
        <v>0</v>
      </c>
      <c r="AE1158" s="82" t="n"/>
      <c r="AF1158" s="82" t="n"/>
      <c r="AG1158" s="82">
        <f>IF(AN1158="","",AD1158+AE1158+AF1158)</f>
        <v/>
      </c>
      <c r="AH1158" s="81">
        <f>IF(AN1158="","",P1158*(1-AG1158))</f>
        <v/>
      </c>
      <c r="AI1158" s="81">
        <f>IF(AN1158="","",IF(Q1158="Sin Factura",0,IFERROR(INDEX(Facturas_Odoo!$H:$H, MATCH(Q1158, Facturas_Odoo!$B:$B, 0)), 0)*(1-AG1158)))</f>
        <v/>
      </c>
      <c r="AJ1158" s="81">
        <f>IF(AN1158="","",_xlfn.LET(idVenta, AN1158&amp;"",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58" s="81">
        <f>IF(AN1158="","",AH1158-AJ1158)</f>
        <v/>
      </c>
      <c r="AL1158" s="81">
        <f>IF(AN1158="","",IF(Q1158="Sin Factura","",AI1158-AJ1158))</f>
        <v/>
      </c>
      <c r="AM1158" s="81">
        <f>IF(AN1158="","",IF(Q1158="Sin Factura",0,P1158-IFERROR(INDEX(Facturas_Odoo!$H:$H, MATCH(Q1158, Facturas_Odoo!$B:$B, 0)), 0)))</f>
        <v/>
      </c>
      <c r="AN1158" s="79">
        <f>IF(AND(A1158="", J1158=""), "", IF(A1158&lt;&gt;"", VALUE(MID(A1158,2,LEN(A1158))), AN1157))</f>
        <v/>
      </c>
      <c r="AO1158" s="79">
        <f>IF(AN1158="","",IF(AD1158=0,"OK",_xlfn.LET(monedaPago, IF(AA1158="","USD",AA1158), limitePermitido, IFERROR(VLOOKUP(monedaPago, Configuración!$A$2:$B$3, 2, FALSE), 0.15), IF(AD1158&gt;limitePermitido, "ALERTA: EXCESO (" &amp; TEXT(limitePermitido, "0%") &amp; " máx)", "OK"))))</f>
        <v/>
      </c>
      <c r="AP1158" s="79">
        <f>IF(AN1158="","",IF(AE1158=0,"OK",_xlfn.LET(fechaPago, Z1158, fechaFactura, R1158, diasCredito, IF(E1158="Pago inmediato", 0, IFERROR(VALUE(MID(E1158, 1, SEARCH(" ", E1158)-1)),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58" s="79">
        <f>IF(AN1158="","",IF(AND(N1158&gt;0, AG1158&gt;0), IF(Configuración!$K$2="NO", "ALERTA: DESCUENTO DOBLE NO PERMITIDO", "OK"), "OK"))</f>
        <v/>
      </c>
      <c r="AR1158" s="79">
        <f>IF(AN1158="","",IF(OR(AO1158&lt;&gt;"OK", AP1158&lt;&gt;"OK", AQ1158&lt;&gt;"OK"), "⚠️ REVISAR", "OK"))</f>
        <v/>
      </c>
    </row>
    <row r="1159">
      <c r="A1159" s="79">
        <f>IF('Ordenes_Odoo'!A1159="","",'Ordenes_Odoo'!A1159)</f>
        <v/>
      </c>
      <c r="B1159" s="80">
        <f>IF('Ordenes_Odoo'!B1159="","",'Ordenes_Odoo'!B1159)</f>
        <v/>
      </c>
      <c r="C1159" s="79">
        <f>IF('Ordenes_Odoo'!C1159="","",'Ordenes_Odoo'!C1159)</f>
        <v/>
      </c>
      <c r="D1159" s="79">
        <f>IF('Ordenes_Odoo'!D1159="","",'Ordenes_Odoo'!D1159)</f>
        <v/>
      </c>
      <c r="E1159" s="79">
        <f>IF('Ordenes_Odoo'!E1159="","",'Ordenes_Odoo'!E1159)</f>
        <v/>
      </c>
      <c r="F1159" s="79">
        <f>IF('Ordenes_Odoo'!F1159="","",'Ordenes_Odoo'!F1159)</f>
        <v/>
      </c>
      <c r="G1159" s="79">
        <f>IF('Ordenes_Odoo'!G1159="","",'Ordenes_Odoo'!G1159)</f>
        <v/>
      </c>
      <c r="H1159" s="79">
        <f>IF('Ordenes_Odoo'!H1159="","",'Ordenes_Odoo'!H1159)</f>
        <v/>
      </c>
      <c r="I1159" s="79">
        <f>IF('Ordenes_Odoo'!I1159="","",'Ordenes_Odoo'!I1159)</f>
        <v/>
      </c>
      <c r="J1159" s="79">
        <f>IF('Ordenes_Odoo'!J1159="","",'Ordenes_Odoo'!J1159)</f>
        <v/>
      </c>
      <c r="K1159" s="81">
        <f>IF('Ordenes_Odoo'!K1159="","",'Ordenes_Odoo'!K1159)</f>
        <v/>
      </c>
      <c r="L1159" s="81">
        <f>IF('Ordenes_Odoo'!L1159="","",'Ordenes_Odoo'!L1159)</f>
        <v/>
      </c>
      <c r="M1159" s="79">
        <f>IF('Ordenes_Odoo'!M1159="","",'Ordenes_Odoo'!M1159)</f>
        <v/>
      </c>
      <c r="N1159" s="79">
        <f>IF('Ordenes_Odoo'!N1159="","",'Ordenes_Odoo'!N1159)</f>
        <v/>
      </c>
      <c r="O1159" s="81">
        <f>IF('Ordenes_Odoo'!O1159="","",'Ordenes_Odoo'!O1159)</f>
        <v/>
      </c>
      <c r="P1159" s="81">
        <f>IF('Ordenes_Odoo'!P1159="","",'Ordenes_Odoo'!P1159)</f>
        <v/>
      </c>
      <c r="Q1159" s="79">
        <f>IF(A1159="","",IFERROR(INDEX(Facturas_Odoo!$B:$B, MATCH(A1159, Facturas_Odoo!$D:$D, 0)), "Sin Factura"))</f>
        <v/>
      </c>
      <c r="R1159" s="80">
        <f>IF(Q1159="Sin Factura","",IFERROR(INDEX(Facturas_Odoo!$A:$A, MATCH(Q1159, Facturas_Odoo!$B:$B, 0)), ""))</f>
        <v/>
      </c>
      <c r="S1159" s="79">
        <f>IF(Q1159="Sin Factura","",IFERROR(_xlfn.XLOOKUP(1, (Facturas_Odoo!$D:$D=A1159) * (Facturas_Odoo!$K:$K=I1159), Facturas_Odoo!$L:$L, ""), ""))</f>
        <v/>
      </c>
      <c r="T1159" s="81">
        <f>IF(Q1159="Sin Factura",0,IFERROR(_xlfn.XLOOKUP(1, (Facturas_Odoo!$D:$D=A1159) * (Facturas_Odoo!$K:$K=I1159), Facturas_Odoo!$M:$M, 0), 0))</f>
        <v/>
      </c>
      <c r="U1159" s="79">
        <f>IF(Q1159="Sin Factura",0,IFERROR(_xlfn.XLOOKUP(1, (Facturas_Odoo!$D:$D=A1159) * (Facturas_Odoo!$K:$K=I1159), Facturas_Odoo!$N:$N, 0), 0))</f>
        <v/>
      </c>
      <c r="V1159" s="79">
        <f>IF(Q1159="Sin Factura",0,IFERROR(_xlfn.XLOOKUP(1, (Facturas_Odoo!$D:$D=A1159) * (Facturas_Odoo!$K:$K=I1159), Facturas_Odoo!$O:$O, 0), 0))</f>
        <v/>
      </c>
      <c r="W1159" s="81">
        <f>IF(Q1159="Sin Factura",0,IFERROR(_xlfn.XLOOKUP(1, (Facturas_Odoo!$D:$D=A1159) * (Facturas_Odoo!$K:$K=I1159), Facturas_Odoo!$Q:$Q, 0), 0))</f>
        <v/>
      </c>
      <c r="X1159" s="79">
        <f>IF(OR(Q1159="Sin Factura",Q1159=""),"",IFERROR(INDEX(Pagos_Odoo!$B:$B, MATCH(Q1159, Pagos_Odoo!$I:$I, 0)), "Sin Pago"))</f>
        <v/>
      </c>
      <c r="Y1159" s="79">
        <f>IF(X1159="Sin Pago","",IFERROR(INDEX(Pagos_Odoo!$C:$C, MATCH(X1159, Pagos_Odoo!$B:$B, 0)), ""))</f>
        <v/>
      </c>
      <c r="Z1159" s="80">
        <f>IF(X1159="Sin Pago","",IFERROR(INDEX(Pagos_Odoo!$A:$A, MATCH(X1159, Pagos_Odoo!$B:$B, 0)), ""))</f>
        <v/>
      </c>
      <c r="AA1159" s="79">
        <f>IF(X1159="Sin Pago","",IFERROR(INDEX(Pagos_Odoo!$F:$F, MATCH(X1159, Pagos_Odoo!$B:$B, 0)), ""))</f>
        <v/>
      </c>
      <c r="AB1159" s="81">
        <f>IF(X1159="Sin Pago",0,IFERROR(INDEX(Pagos_Odoo!$E:$E, MATCH(X1159, Pagos_Odoo!$B:$B, 0)), 0))</f>
        <v/>
      </c>
      <c r="AC1159" s="79">
        <f>IF(X1159="Sin Pago","",IFERROR(INDEX(Pagos_Odoo!$G:$G, MATCH(X1159, Pagos_Odoo!$B:$B, 0)), ""))</f>
        <v/>
      </c>
      <c r="AD1159" s="82" t="n">
        <v>0</v>
      </c>
      <c r="AE1159" s="82" t="n"/>
      <c r="AF1159" s="82" t="n"/>
      <c r="AG1159" s="82">
        <f>IF(AN1159="","",AD1159+AE1159+AF1159)</f>
        <v/>
      </c>
      <c r="AH1159" s="81">
        <f>IF(AN1159="","",P1159*(1-AG1159))</f>
        <v/>
      </c>
      <c r="AI1159" s="81">
        <f>IF(AN1159="","",IF(Q1159="Sin Factura",0,IFERROR(INDEX(Facturas_Odoo!$H:$H, MATCH(Q1159, Facturas_Odoo!$B:$B, 0)), 0)*(1-AG1159)))</f>
        <v/>
      </c>
      <c r="AJ1159" s="81">
        <f>IF(AN1159="","",_xlfn.LET(idVenta, AN1159&amp;"",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59" s="81">
        <f>IF(AN1159="","",AH1159-AJ1159)</f>
        <v/>
      </c>
      <c r="AL1159" s="81">
        <f>IF(AN1159="","",IF(Q1159="Sin Factura","",AI1159-AJ1159))</f>
        <v/>
      </c>
      <c r="AM1159" s="81">
        <f>IF(AN1159="","",IF(Q1159="Sin Factura",0,P1159-IFERROR(INDEX(Facturas_Odoo!$H:$H, MATCH(Q1159, Facturas_Odoo!$B:$B, 0)), 0)))</f>
        <v/>
      </c>
      <c r="AN1159" s="79">
        <f>IF(AND(A1159="", J1159=""), "", IF(A1159&lt;&gt;"", VALUE(MID(A1159,2,LEN(A1159))), AN1158))</f>
        <v/>
      </c>
      <c r="AO1159" s="79">
        <f>IF(AN1159="","",IF(AD1159=0,"OK",_xlfn.LET(monedaPago, IF(AA1159="","USD",AA1159), limitePermitido, IFERROR(VLOOKUP(monedaPago, Configuración!$A$2:$B$3, 2, FALSE), 0.15), IF(AD1159&gt;limitePermitido, "ALERTA: EXCESO (" &amp; TEXT(limitePermitido, "0%") &amp; " máx)", "OK"))))</f>
        <v/>
      </c>
      <c r="AP1159" s="79">
        <f>IF(AN1159="","",IF(AE1159=0,"OK",_xlfn.LET(fechaPago, Z1159, fechaFactura, R1159, diasCredito, IF(E1159="Pago inmediato", 0, IFERROR(VALUE(MID(E1159, 1, SEARCH(" ", E1159)-1)),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59" s="79">
        <f>IF(AN1159="","",IF(AND(N1159&gt;0, AG1159&gt;0), IF(Configuración!$K$2="NO", "ALERTA: DESCUENTO DOBLE NO PERMITIDO", "OK"), "OK"))</f>
        <v/>
      </c>
      <c r="AR1159" s="79">
        <f>IF(AN1159="","",IF(OR(AO1159&lt;&gt;"OK", AP1159&lt;&gt;"OK", AQ1159&lt;&gt;"OK"), "⚠️ REVISAR", "OK"))</f>
        <v/>
      </c>
    </row>
    <row r="1160">
      <c r="A1160" s="79">
        <f>IF('Ordenes_Odoo'!A1160="","",'Ordenes_Odoo'!A1160)</f>
        <v/>
      </c>
      <c r="B1160" s="80">
        <f>IF('Ordenes_Odoo'!B1160="","",'Ordenes_Odoo'!B1160)</f>
        <v/>
      </c>
      <c r="C1160" s="79">
        <f>IF('Ordenes_Odoo'!C1160="","",'Ordenes_Odoo'!C1160)</f>
        <v/>
      </c>
      <c r="D1160" s="79">
        <f>IF('Ordenes_Odoo'!D1160="","",'Ordenes_Odoo'!D1160)</f>
        <v/>
      </c>
      <c r="E1160" s="79">
        <f>IF('Ordenes_Odoo'!E1160="","",'Ordenes_Odoo'!E1160)</f>
        <v/>
      </c>
      <c r="F1160" s="79">
        <f>IF('Ordenes_Odoo'!F1160="","",'Ordenes_Odoo'!F1160)</f>
        <v/>
      </c>
      <c r="G1160" s="79">
        <f>IF('Ordenes_Odoo'!G1160="","",'Ordenes_Odoo'!G1160)</f>
        <v/>
      </c>
      <c r="H1160" s="79">
        <f>IF('Ordenes_Odoo'!H1160="","",'Ordenes_Odoo'!H1160)</f>
        <v/>
      </c>
      <c r="I1160" s="79">
        <f>IF('Ordenes_Odoo'!I1160="","",'Ordenes_Odoo'!I1160)</f>
        <v/>
      </c>
      <c r="J1160" s="79">
        <f>IF('Ordenes_Odoo'!J1160="","",'Ordenes_Odoo'!J1160)</f>
        <v/>
      </c>
      <c r="K1160" s="81">
        <f>IF('Ordenes_Odoo'!K1160="","",'Ordenes_Odoo'!K1160)</f>
        <v/>
      </c>
      <c r="L1160" s="81">
        <f>IF('Ordenes_Odoo'!L1160="","",'Ordenes_Odoo'!L1160)</f>
        <v/>
      </c>
      <c r="M1160" s="79">
        <f>IF('Ordenes_Odoo'!M1160="","",'Ordenes_Odoo'!M1160)</f>
        <v/>
      </c>
      <c r="N1160" s="79">
        <f>IF('Ordenes_Odoo'!N1160="","",'Ordenes_Odoo'!N1160)</f>
        <v/>
      </c>
      <c r="O1160" s="81">
        <f>IF('Ordenes_Odoo'!O1160="","",'Ordenes_Odoo'!O1160)</f>
        <v/>
      </c>
      <c r="P1160" s="81">
        <f>IF('Ordenes_Odoo'!P1160="","",'Ordenes_Odoo'!P1160)</f>
        <v/>
      </c>
      <c r="Q1160" s="79">
        <f>IF(A1160="","",IFERROR(INDEX(Facturas_Odoo!$B:$B, MATCH(A1160, Facturas_Odoo!$D:$D, 0)), "Sin Factura"))</f>
        <v/>
      </c>
      <c r="R1160" s="80">
        <f>IF(Q1160="Sin Factura","",IFERROR(INDEX(Facturas_Odoo!$A:$A, MATCH(Q1160, Facturas_Odoo!$B:$B, 0)), ""))</f>
        <v/>
      </c>
      <c r="S1160" s="79">
        <f>IF(Q1160="Sin Factura","",IFERROR(_xlfn.XLOOKUP(1, (Facturas_Odoo!$D:$D=A1160) * (Facturas_Odoo!$K:$K=I1160), Facturas_Odoo!$L:$L, ""), ""))</f>
        <v/>
      </c>
      <c r="T1160" s="81">
        <f>IF(Q1160="Sin Factura",0,IFERROR(_xlfn.XLOOKUP(1, (Facturas_Odoo!$D:$D=A1160) * (Facturas_Odoo!$K:$K=I1160), Facturas_Odoo!$M:$M, 0), 0))</f>
        <v/>
      </c>
      <c r="U1160" s="79">
        <f>IF(Q1160="Sin Factura",0,IFERROR(_xlfn.XLOOKUP(1, (Facturas_Odoo!$D:$D=A1160) * (Facturas_Odoo!$K:$K=I1160), Facturas_Odoo!$N:$N, 0), 0))</f>
        <v/>
      </c>
      <c r="V1160" s="79">
        <f>IF(Q1160="Sin Factura",0,IFERROR(_xlfn.XLOOKUP(1, (Facturas_Odoo!$D:$D=A1160) * (Facturas_Odoo!$K:$K=I1160), Facturas_Odoo!$O:$O, 0), 0))</f>
        <v/>
      </c>
      <c r="W1160" s="81">
        <f>IF(Q1160="Sin Factura",0,IFERROR(_xlfn.XLOOKUP(1, (Facturas_Odoo!$D:$D=A1160) * (Facturas_Odoo!$K:$K=I1160), Facturas_Odoo!$Q:$Q, 0), 0))</f>
        <v/>
      </c>
      <c r="X1160" s="79">
        <f>IF(OR(Q1160="Sin Factura",Q1160=""),"",IFERROR(INDEX(Pagos_Odoo!$B:$B, MATCH(Q1160, Pagos_Odoo!$I:$I, 0)), "Sin Pago"))</f>
        <v/>
      </c>
      <c r="Y1160" s="79">
        <f>IF(X1160="Sin Pago","",IFERROR(INDEX(Pagos_Odoo!$C:$C, MATCH(X1160, Pagos_Odoo!$B:$B, 0)), ""))</f>
        <v/>
      </c>
      <c r="Z1160" s="80">
        <f>IF(X1160="Sin Pago","",IFERROR(INDEX(Pagos_Odoo!$A:$A, MATCH(X1160, Pagos_Odoo!$B:$B, 0)), ""))</f>
        <v/>
      </c>
      <c r="AA1160" s="79">
        <f>IF(X1160="Sin Pago","",IFERROR(INDEX(Pagos_Odoo!$F:$F, MATCH(X1160, Pagos_Odoo!$B:$B, 0)), ""))</f>
        <v/>
      </c>
      <c r="AB1160" s="81">
        <f>IF(X1160="Sin Pago",0,IFERROR(INDEX(Pagos_Odoo!$E:$E, MATCH(X1160, Pagos_Odoo!$B:$B, 0)), 0))</f>
        <v/>
      </c>
      <c r="AC1160" s="79">
        <f>IF(X1160="Sin Pago","",IFERROR(INDEX(Pagos_Odoo!$G:$G, MATCH(X1160, Pagos_Odoo!$B:$B, 0)), ""))</f>
        <v/>
      </c>
      <c r="AD1160" s="82" t="n">
        <v>0</v>
      </c>
      <c r="AE1160" s="82" t="n"/>
      <c r="AF1160" s="82" t="n"/>
      <c r="AG1160" s="82">
        <f>IF(AN1160="","",AD1160+AE1160+AF1160)</f>
        <v/>
      </c>
      <c r="AH1160" s="81">
        <f>IF(AN1160="","",P1160*(1-AG1160))</f>
        <v/>
      </c>
      <c r="AI1160" s="81">
        <f>IF(AN1160="","",IF(Q1160="Sin Factura",0,IFERROR(INDEX(Facturas_Odoo!$H:$H, MATCH(Q1160, Facturas_Odoo!$B:$B, 0)), 0)*(1-AG1160)))</f>
        <v/>
      </c>
      <c r="AJ1160" s="81">
        <f>IF(AN1160="","",_xlfn.LET(idVenta, AN1160&amp;"",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60" s="81">
        <f>IF(AN1160="","",AH1160-AJ1160)</f>
        <v/>
      </c>
      <c r="AL1160" s="81">
        <f>IF(AN1160="","",IF(Q1160="Sin Factura","",AI1160-AJ1160))</f>
        <v/>
      </c>
      <c r="AM1160" s="81">
        <f>IF(AN1160="","",IF(Q1160="Sin Factura",0,P1160-IFERROR(INDEX(Facturas_Odoo!$H:$H, MATCH(Q1160, Facturas_Odoo!$B:$B, 0)), 0)))</f>
        <v/>
      </c>
      <c r="AN1160" s="79">
        <f>IF(AND(A1160="", J1160=""), "", IF(A1160&lt;&gt;"", VALUE(MID(A1160,2,LEN(A1160))), AN1159))</f>
        <v/>
      </c>
      <c r="AO1160" s="79">
        <f>IF(AN1160="","",IF(AD1160=0,"OK",_xlfn.LET(monedaPago, IF(AA1160="","USD",AA1160), limitePermitido, IFERROR(VLOOKUP(monedaPago, Configuración!$A$2:$B$3, 2, FALSE), 0.15), IF(AD1160&gt;limitePermitido, "ALERTA: EXCESO (" &amp; TEXT(limitePermitido, "0%") &amp; " máx)", "OK"))))</f>
        <v/>
      </c>
      <c r="AP1160" s="79">
        <f>IF(AN1160="","",IF(AE1160=0,"OK",_xlfn.LET(fechaPago, Z1160, fechaFactura, R1160, diasCredito, IF(E1160="Pago inmediato", 0, IFERROR(VALUE(MID(E1160, 1, SEARCH(" ", E1160)-1)),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60" s="79">
        <f>IF(AN1160="","",IF(AND(N1160&gt;0, AG1160&gt;0), IF(Configuración!$K$2="NO", "ALERTA: DESCUENTO DOBLE NO PERMITIDO", "OK"), "OK"))</f>
        <v/>
      </c>
      <c r="AR1160" s="79">
        <f>IF(AN1160="","",IF(OR(AO1160&lt;&gt;"OK", AP1160&lt;&gt;"OK", AQ1160&lt;&gt;"OK"), "⚠️ REVISAR", "OK"))</f>
        <v/>
      </c>
    </row>
    <row r="1161">
      <c r="A1161" s="79">
        <f>IF('Ordenes_Odoo'!A1161="","",'Ordenes_Odoo'!A1161)</f>
        <v/>
      </c>
      <c r="B1161" s="80">
        <f>IF('Ordenes_Odoo'!B1161="","",'Ordenes_Odoo'!B1161)</f>
        <v/>
      </c>
      <c r="C1161" s="79">
        <f>IF('Ordenes_Odoo'!C1161="","",'Ordenes_Odoo'!C1161)</f>
        <v/>
      </c>
      <c r="D1161" s="79">
        <f>IF('Ordenes_Odoo'!D1161="","",'Ordenes_Odoo'!D1161)</f>
        <v/>
      </c>
      <c r="E1161" s="79">
        <f>IF('Ordenes_Odoo'!E1161="","",'Ordenes_Odoo'!E1161)</f>
        <v/>
      </c>
      <c r="F1161" s="79">
        <f>IF('Ordenes_Odoo'!F1161="","",'Ordenes_Odoo'!F1161)</f>
        <v/>
      </c>
      <c r="G1161" s="79">
        <f>IF('Ordenes_Odoo'!G1161="","",'Ordenes_Odoo'!G1161)</f>
        <v/>
      </c>
      <c r="H1161" s="79">
        <f>IF('Ordenes_Odoo'!H1161="","",'Ordenes_Odoo'!H1161)</f>
        <v/>
      </c>
      <c r="I1161" s="79">
        <f>IF('Ordenes_Odoo'!I1161="","",'Ordenes_Odoo'!I1161)</f>
        <v/>
      </c>
      <c r="J1161" s="79">
        <f>IF('Ordenes_Odoo'!J1161="","",'Ordenes_Odoo'!J1161)</f>
        <v/>
      </c>
      <c r="K1161" s="81">
        <f>IF('Ordenes_Odoo'!K1161="","",'Ordenes_Odoo'!K1161)</f>
        <v/>
      </c>
      <c r="L1161" s="81">
        <f>IF('Ordenes_Odoo'!L1161="","",'Ordenes_Odoo'!L1161)</f>
        <v/>
      </c>
      <c r="M1161" s="79">
        <f>IF('Ordenes_Odoo'!M1161="","",'Ordenes_Odoo'!M1161)</f>
        <v/>
      </c>
      <c r="N1161" s="79">
        <f>IF('Ordenes_Odoo'!N1161="","",'Ordenes_Odoo'!N1161)</f>
        <v/>
      </c>
      <c r="O1161" s="81">
        <f>IF('Ordenes_Odoo'!O1161="","",'Ordenes_Odoo'!O1161)</f>
        <v/>
      </c>
      <c r="P1161" s="81">
        <f>IF('Ordenes_Odoo'!P1161="","",'Ordenes_Odoo'!P1161)</f>
        <v/>
      </c>
      <c r="Q1161" s="79">
        <f>IF(A1161="","",IFERROR(INDEX(Facturas_Odoo!$B:$B, MATCH(A1161, Facturas_Odoo!$D:$D, 0)), "Sin Factura"))</f>
        <v/>
      </c>
      <c r="R1161" s="80">
        <f>IF(Q1161="Sin Factura","",IFERROR(INDEX(Facturas_Odoo!$A:$A, MATCH(Q1161, Facturas_Odoo!$B:$B, 0)), ""))</f>
        <v/>
      </c>
      <c r="S1161" s="79">
        <f>IF(Q1161="Sin Factura","",IFERROR(_xlfn.XLOOKUP(1, (Facturas_Odoo!$D:$D=A1161) * (Facturas_Odoo!$K:$K=I1161), Facturas_Odoo!$L:$L, ""), ""))</f>
        <v/>
      </c>
      <c r="T1161" s="81">
        <f>IF(Q1161="Sin Factura",0,IFERROR(_xlfn.XLOOKUP(1, (Facturas_Odoo!$D:$D=A1161) * (Facturas_Odoo!$K:$K=I1161), Facturas_Odoo!$M:$M, 0), 0))</f>
        <v/>
      </c>
      <c r="U1161" s="79">
        <f>IF(Q1161="Sin Factura",0,IFERROR(_xlfn.XLOOKUP(1, (Facturas_Odoo!$D:$D=A1161) * (Facturas_Odoo!$K:$K=I1161), Facturas_Odoo!$N:$N, 0), 0))</f>
        <v/>
      </c>
      <c r="V1161" s="79">
        <f>IF(Q1161="Sin Factura",0,IFERROR(_xlfn.XLOOKUP(1, (Facturas_Odoo!$D:$D=A1161) * (Facturas_Odoo!$K:$K=I1161), Facturas_Odoo!$O:$O, 0), 0))</f>
        <v/>
      </c>
      <c r="W1161" s="81">
        <f>IF(Q1161="Sin Factura",0,IFERROR(_xlfn.XLOOKUP(1, (Facturas_Odoo!$D:$D=A1161) * (Facturas_Odoo!$K:$K=I1161), Facturas_Odoo!$Q:$Q, 0), 0))</f>
        <v/>
      </c>
      <c r="X1161" s="79">
        <f>IF(OR(Q1161="Sin Factura",Q1161=""),"",IFERROR(INDEX(Pagos_Odoo!$B:$B, MATCH(Q1161, Pagos_Odoo!$I:$I, 0)), "Sin Pago"))</f>
        <v/>
      </c>
      <c r="Y1161" s="79">
        <f>IF(X1161="Sin Pago","",IFERROR(INDEX(Pagos_Odoo!$C:$C, MATCH(X1161, Pagos_Odoo!$B:$B, 0)), ""))</f>
        <v/>
      </c>
      <c r="Z1161" s="80">
        <f>IF(X1161="Sin Pago","",IFERROR(INDEX(Pagos_Odoo!$A:$A, MATCH(X1161, Pagos_Odoo!$B:$B, 0)), ""))</f>
        <v/>
      </c>
      <c r="AA1161" s="79">
        <f>IF(X1161="Sin Pago","",IFERROR(INDEX(Pagos_Odoo!$F:$F, MATCH(X1161, Pagos_Odoo!$B:$B, 0)), ""))</f>
        <v/>
      </c>
      <c r="AB1161" s="81">
        <f>IF(X1161="Sin Pago",0,IFERROR(INDEX(Pagos_Odoo!$E:$E, MATCH(X1161, Pagos_Odoo!$B:$B, 0)), 0))</f>
        <v/>
      </c>
      <c r="AC1161" s="79">
        <f>IF(X1161="Sin Pago","",IFERROR(INDEX(Pagos_Odoo!$G:$G, MATCH(X1161, Pagos_Odoo!$B:$B, 0)), ""))</f>
        <v/>
      </c>
      <c r="AD1161" s="82" t="n">
        <v>0</v>
      </c>
      <c r="AE1161" s="82" t="n"/>
      <c r="AF1161" s="82" t="n"/>
      <c r="AG1161" s="82">
        <f>IF(AN1161="","",AD1161+AE1161+AF1161)</f>
        <v/>
      </c>
      <c r="AH1161" s="81">
        <f>IF(AN1161="","",P1161*(1-AG1161))</f>
        <v/>
      </c>
      <c r="AI1161" s="81">
        <f>IF(AN1161="","",IF(Q1161="Sin Factura",0,IFERROR(INDEX(Facturas_Odoo!$H:$H, MATCH(Q1161, Facturas_Odoo!$B:$B, 0)), 0)*(1-AG1161)))</f>
        <v/>
      </c>
      <c r="AJ1161" s="81">
        <f>IF(AN1161="","",_xlfn.LET(idVenta, AN1161&amp;"",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61" s="81">
        <f>IF(AN1161="","",AH1161-AJ1161)</f>
        <v/>
      </c>
      <c r="AL1161" s="81">
        <f>IF(AN1161="","",IF(Q1161="Sin Factura","",AI1161-AJ1161))</f>
        <v/>
      </c>
      <c r="AM1161" s="81">
        <f>IF(AN1161="","",IF(Q1161="Sin Factura",0,P1161-IFERROR(INDEX(Facturas_Odoo!$H:$H, MATCH(Q1161, Facturas_Odoo!$B:$B, 0)), 0)))</f>
        <v/>
      </c>
      <c r="AN1161" s="79">
        <f>IF(AND(A1161="", J1161=""), "", IF(A1161&lt;&gt;"", VALUE(MID(A1161,2,LEN(A1161))), AN1160))</f>
        <v/>
      </c>
      <c r="AO1161" s="79">
        <f>IF(AN1161="","",IF(AD1161=0,"OK",_xlfn.LET(monedaPago, IF(AA1161="","USD",AA1161), limitePermitido, IFERROR(VLOOKUP(monedaPago, Configuración!$A$2:$B$3, 2, FALSE), 0.15), IF(AD1161&gt;limitePermitido, "ALERTA: EXCESO (" &amp; TEXT(limitePermitido, "0%") &amp; " máx)", "OK"))))</f>
        <v/>
      </c>
      <c r="AP1161" s="79">
        <f>IF(AN1161="","",IF(AE1161=0,"OK",_xlfn.LET(fechaPago, Z1161, fechaFactura, R1161, diasCredito, IF(E1161="Pago inmediato", 0, IFERROR(VALUE(MID(E1161, 1, SEARCH(" ", E1161)-1)),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61" s="79">
        <f>IF(AN1161="","",IF(AND(N1161&gt;0, AG1161&gt;0), IF(Configuración!$K$2="NO", "ALERTA: DESCUENTO DOBLE NO PERMITIDO", "OK"), "OK"))</f>
        <v/>
      </c>
      <c r="AR1161" s="79">
        <f>IF(AN1161="","",IF(OR(AO1161&lt;&gt;"OK", AP1161&lt;&gt;"OK", AQ1161&lt;&gt;"OK"), "⚠️ REVISAR", "OK"))</f>
        <v/>
      </c>
    </row>
    <row r="1162">
      <c r="A1162" s="79">
        <f>IF('Ordenes_Odoo'!A1162="","",'Ordenes_Odoo'!A1162)</f>
        <v/>
      </c>
      <c r="B1162" s="80">
        <f>IF('Ordenes_Odoo'!B1162="","",'Ordenes_Odoo'!B1162)</f>
        <v/>
      </c>
      <c r="C1162" s="79">
        <f>IF('Ordenes_Odoo'!C1162="","",'Ordenes_Odoo'!C1162)</f>
        <v/>
      </c>
      <c r="D1162" s="79">
        <f>IF('Ordenes_Odoo'!D1162="","",'Ordenes_Odoo'!D1162)</f>
        <v/>
      </c>
      <c r="E1162" s="79">
        <f>IF('Ordenes_Odoo'!E1162="","",'Ordenes_Odoo'!E1162)</f>
        <v/>
      </c>
      <c r="F1162" s="79">
        <f>IF('Ordenes_Odoo'!F1162="","",'Ordenes_Odoo'!F1162)</f>
        <v/>
      </c>
      <c r="G1162" s="79">
        <f>IF('Ordenes_Odoo'!G1162="","",'Ordenes_Odoo'!G1162)</f>
        <v/>
      </c>
      <c r="H1162" s="79">
        <f>IF('Ordenes_Odoo'!H1162="","",'Ordenes_Odoo'!H1162)</f>
        <v/>
      </c>
      <c r="I1162" s="79">
        <f>IF('Ordenes_Odoo'!I1162="","",'Ordenes_Odoo'!I1162)</f>
        <v/>
      </c>
      <c r="J1162" s="79">
        <f>IF('Ordenes_Odoo'!J1162="","",'Ordenes_Odoo'!J1162)</f>
        <v/>
      </c>
      <c r="K1162" s="81">
        <f>IF('Ordenes_Odoo'!K1162="","",'Ordenes_Odoo'!K1162)</f>
        <v/>
      </c>
      <c r="L1162" s="81">
        <f>IF('Ordenes_Odoo'!L1162="","",'Ordenes_Odoo'!L1162)</f>
        <v/>
      </c>
      <c r="M1162" s="79">
        <f>IF('Ordenes_Odoo'!M1162="","",'Ordenes_Odoo'!M1162)</f>
        <v/>
      </c>
      <c r="N1162" s="79">
        <f>IF('Ordenes_Odoo'!N1162="","",'Ordenes_Odoo'!N1162)</f>
        <v/>
      </c>
      <c r="O1162" s="81">
        <f>IF('Ordenes_Odoo'!O1162="","",'Ordenes_Odoo'!O1162)</f>
        <v/>
      </c>
      <c r="P1162" s="81">
        <f>IF('Ordenes_Odoo'!P1162="","",'Ordenes_Odoo'!P1162)</f>
        <v/>
      </c>
      <c r="Q1162" s="79">
        <f>IF(A1162="","",IFERROR(INDEX(Facturas_Odoo!$B:$B, MATCH(A1162, Facturas_Odoo!$D:$D, 0)), "Sin Factura"))</f>
        <v/>
      </c>
      <c r="R1162" s="80">
        <f>IF(Q1162="Sin Factura","",IFERROR(INDEX(Facturas_Odoo!$A:$A, MATCH(Q1162, Facturas_Odoo!$B:$B, 0)), ""))</f>
        <v/>
      </c>
      <c r="S1162" s="79">
        <f>IF(Q1162="Sin Factura","",IFERROR(_xlfn.XLOOKUP(1, (Facturas_Odoo!$D:$D=A1162) * (Facturas_Odoo!$K:$K=I1162), Facturas_Odoo!$L:$L, ""), ""))</f>
        <v/>
      </c>
      <c r="T1162" s="81">
        <f>IF(Q1162="Sin Factura",0,IFERROR(_xlfn.XLOOKUP(1, (Facturas_Odoo!$D:$D=A1162) * (Facturas_Odoo!$K:$K=I1162), Facturas_Odoo!$M:$M, 0), 0))</f>
        <v/>
      </c>
      <c r="U1162" s="79">
        <f>IF(Q1162="Sin Factura",0,IFERROR(_xlfn.XLOOKUP(1, (Facturas_Odoo!$D:$D=A1162) * (Facturas_Odoo!$K:$K=I1162), Facturas_Odoo!$N:$N, 0), 0))</f>
        <v/>
      </c>
      <c r="V1162" s="79">
        <f>IF(Q1162="Sin Factura",0,IFERROR(_xlfn.XLOOKUP(1, (Facturas_Odoo!$D:$D=A1162) * (Facturas_Odoo!$K:$K=I1162), Facturas_Odoo!$O:$O, 0), 0))</f>
        <v/>
      </c>
      <c r="W1162" s="81">
        <f>IF(Q1162="Sin Factura",0,IFERROR(_xlfn.XLOOKUP(1, (Facturas_Odoo!$D:$D=A1162) * (Facturas_Odoo!$K:$K=I1162), Facturas_Odoo!$Q:$Q, 0), 0))</f>
        <v/>
      </c>
      <c r="X1162" s="79">
        <f>IF(OR(Q1162="Sin Factura",Q1162=""),"",IFERROR(INDEX(Pagos_Odoo!$B:$B, MATCH(Q1162, Pagos_Odoo!$I:$I, 0)), "Sin Pago"))</f>
        <v/>
      </c>
      <c r="Y1162" s="79">
        <f>IF(X1162="Sin Pago","",IFERROR(INDEX(Pagos_Odoo!$C:$C, MATCH(X1162, Pagos_Odoo!$B:$B, 0)), ""))</f>
        <v/>
      </c>
      <c r="Z1162" s="80">
        <f>IF(X1162="Sin Pago","",IFERROR(INDEX(Pagos_Odoo!$A:$A, MATCH(X1162, Pagos_Odoo!$B:$B, 0)), ""))</f>
        <v/>
      </c>
      <c r="AA1162" s="79">
        <f>IF(X1162="Sin Pago","",IFERROR(INDEX(Pagos_Odoo!$F:$F, MATCH(X1162, Pagos_Odoo!$B:$B, 0)), ""))</f>
        <v/>
      </c>
      <c r="AB1162" s="81">
        <f>IF(X1162="Sin Pago",0,IFERROR(INDEX(Pagos_Odoo!$E:$E, MATCH(X1162, Pagos_Odoo!$B:$B, 0)), 0))</f>
        <v/>
      </c>
      <c r="AC1162" s="79">
        <f>IF(X1162="Sin Pago","",IFERROR(INDEX(Pagos_Odoo!$G:$G, MATCH(X1162, Pagos_Odoo!$B:$B, 0)), ""))</f>
        <v/>
      </c>
      <c r="AD1162" s="82" t="n">
        <v>0</v>
      </c>
      <c r="AE1162" s="82" t="n"/>
      <c r="AF1162" s="82" t="n"/>
      <c r="AG1162" s="82">
        <f>IF(AN1162="","",AD1162+AE1162+AF1162)</f>
        <v/>
      </c>
      <c r="AH1162" s="81">
        <f>IF(AN1162="","",P1162*(1-AG1162))</f>
        <v/>
      </c>
      <c r="AI1162" s="81">
        <f>IF(AN1162="","",IF(Q1162="Sin Factura",0,IFERROR(INDEX(Facturas_Odoo!$H:$H, MATCH(Q1162, Facturas_Odoo!$B:$B, 0)), 0)*(1-AG1162)))</f>
        <v/>
      </c>
      <c r="AJ1162" s="81">
        <f>IF(AN1162="","",_xlfn.LET(idVenta, AN1162&amp;"",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62" s="81">
        <f>IF(AN1162="","",AH1162-AJ1162)</f>
        <v/>
      </c>
      <c r="AL1162" s="81">
        <f>IF(AN1162="","",IF(Q1162="Sin Factura","",AI1162-AJ1162))</f>
        <v/>
      </c>
      <c r="AM1162" s="81">
        <f>IF(AN1162="","",IF(Q1162="Sin Factura",0,P1162-IFERROR(INDEX(Facturas_Odoo!$H:$H, MATCH(Q1162, Facturas_Odoo!$B:$B, 0)), 0)))</f>
        <v/>
      </c>
      <c r="AN1162" s="79">
        <f>IF(AND(A1162="", J1162=""), "", IF(A1162&lt;&gt;"", VALUE(MID(A1162,2,LEN(A1162))), AN1161))</f>
        <v/>
      </c>
      <c r="AO1162" s="79">
        <f>IF(AN1162="","",IF(AD1162=0,"OK",_xlfn.LET(monedaPago, IF(AA1162="","USD",AA1162), limitePermitido, IFERROR(VLOOKUP(monedaPago, Configuración!$A$2:$B$3, 2, FALSE), 0.15), IF(AD1162&gt;limitePermitido, "ALERTA: EXCESO (" &amp; TEXT(limitePermitido, "0%") &amp; " máx)", "OK"))))</f>
        <v/>
      </c>
      <c r="AP1162" s="79">
        <f>IF(AN1162="","",IF(AE1162=0,"OK",_xlfn.LET(fechaPago, Z1162, fechaFactura, R1162, diasCredito, IF(E1162="Pago inmediato", 0, IFERROR(VALUE(MID(E1162, 1, SEARCH(" ", E1162)-1)),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62" s="79">
        <f>IF(AN1162="","",IF(AND(N1162&gt;0, AG1162&gt;0), IF(Configuración!$K$2="NO", "ALERTA: DESCUENTO DOBLE NO PERMITIDO", "OK"), "OK"))</f>
        <v/>
      </c>
      <c r="AR1162" s="79">
        <f>IF(AN1162="","",IF(OR(AO1162&lt;&gt;"OK", AP1162&lt;&gt;"OK", AQ1162&lt;&gt;"OK"), "⚠️ REVISAR", "OK"))</f>
        <v/>
      </c>
    </row>
    <row r="1163">
      <c r="A1163" s="79">
        <f>IF('Ordenes_Odoo'!A1163="","",'Ordenes_Odoo'!A1163)</f>
        <v/>
      </c>
      <c r="B1163" s="80">
        <f>IF('Ordenes_Odoo'!B1163="","",'Ordenes_Odoo'!B1163)</f>
        <v/>
      </c>
      <c r="C1163" s="79">
        <f>IF('Ordenes_Odoo'!C1163="","",'Ordenes_Odoo'!C1163)</f>
        <v/>
      </c>
      <c r="D1163" s="79">
        <f>IF('Ordenes_Odoo'!D1163="","",'Ordenes_Odoo'!D1163)</f>
        <v/>
      </c>
      <c r="E1163" s="79">
        <f>IF('Ordenes_Odoo'!E1163="","",'Ordenes_Odoo'!E1163)</f>
        <v/>
      </c>
      <c r="F1163" s="79">
        <f>IF('Ordenes_Odoo'!F1163="","",'Ordenes_Odoo'!F1163)</f>
        <v/>
      </c>
      <c r="G1163" s="79">
        <f>IF('Ordenes_Odoo'!G1163="","",'Ordenes_Odoo'!G1163)</f>
        <v/>
      </c>
      <c r="H1163" s="79">
        <f>IF('Ordenes_Odoo'!H1163="","",'Ordenes_Odoo'!H1163)</f>
        <v/>
      </c>
      <c r="I1163" s="79">
        <f>IF('Ordenes_Odoo'!I1163="","",'Ordenes_Odoo'!I1163)</f>
        <v/>
      </c>
      <c r="J1163" s="79">
        <f>IF('Ordenes_Odoo'!J1163="","",'Ordenes_Odoo'!J1163)</f>
        <v/>
      </c>
      <c r="K1163" s="81">
        <f>IF('Ordenes_Odoo'!K1163="","",'Ordenes_Odoo'!K1163)</f>
        <v/>
      </c>
      <c r="L1163" s="81">
        <f>IF('Ordenes_Odoo'!L1163="","",'Ordenes_Odoo'!L1163)</f>
        <v/>
      </c>
      <c r="M1163" s="79">
        <f>IF('Ordenes_Odoo'!M1163="","",'Ordenes_Odoo'!M1163)</f>
        <v/>
      </c>
      <c r="N1163" s="79">
        <f>IF('Ordenes_Odoo'!N1163="","",'Ordenes_Odoo'!N1163)</f>
        <v/>
      </c>
      <c r="O1163" s="81">
        <f>IF('Ordenes_Odoo'!O1163="","",'Ordenes_Odoo'!O1163)</f>
        <v/>
      </c>
      <c r="P1163" s="81">
        <f>IF('Ordenes_Odoo'!P1163="","",'Ordenes_Odoo'!P1163)</f>
        <v/>
      </c>
      <c r="Q1163" s="79">
        <f>IF(A1163="","",IFERROR(INDEX(Facturas_Odoo!$B:$B, MATCH(A1163, Facturas_Odoo!$D:$D, 0)), "Sin Factura"))</f>
        <v/>
      </c>
      <c r="R1163" s="80">
        <f>IF(Q1163="Sin Factura","",IFERROR(INDEX(Facturas_Odoo!$A:$A, MATCH(Q1163, Facturas_Odoo!$B:$B, 0)), ""))</f>
        <v/>
      </c>
      <c r="S1163" s="79">
        <f>IF(Q1163="Sin Factura","",IFERROR(_xlfn.XLOOKUP(1, (Facturas_Odoo!$D:$D=A1163) * (Facturas_Odoo!$K:$K=I1163), Facturas_Odoo!$L:$L, ""), ""))</f>
        <v/>
      </c>
      <c r="T1163" s="81">
        <f>IF(Q1163="Sin Factura",0,IFERROR(_xlfn.XLOOKUP(1, (Facturas_Odoo!$D:$D=A1163) * (Facturas_Odoo!$K:$K=I1163), Facturas_Odoo!$M:$M, 0), 0))</f>
        <v/>
      </c>
      <c r="U1163" s="79">
        <f>IF(Q1163="Sin Factura",0,IFERROR(_xlfn.XLOOKUP(1, (Facturas_Odoo!$D:$D=A1163) * (Facturas_Odoo!$K:$K=I1163), Facturas_Odoo!$N:$N, 0), 0))</f>
        <v/>
      </c>
      <c r="V1163" s="79">
        <f>IF(Q1163="Sin Factura",0,IFERROR(_xlfn.XLOOKUP(1, (Facturas_Odoo!$D:$D=A1163) * (Facturas_Odoo!$K:$K=I1163), Facturas_Odoo!$O:$O, 0), 0))</f>
        <v/>
      </c>
      <c r="W1163" s="81">
        <f>IF(Q1163="Sin Factura",0,IFERROR(_xlfn.XLOOKUP(1, (Facturas_Odoo!$D:$D=A1163) * (Facturas_Odoo!$K:$K=I1163), Facturas_Odoo!$Q:$Q, 0), 0))</f>
        <v/>
      </c>
      <c r="X1163" s="79">
        <f>IF(OR(Q1163="Sin Factura",Q1163=""),"",IFERROR(INDEX(Pagos_Odoo!$B:$B, MATCH(Q1163, Pagos_Odoo!$I:$I, 0)), "Sin Pago"))</f>
        <v/>
      </c>
      <c r="Y1163" s="79">
        <f>IF(X1163="Sin Pago","",IFERROR(INDEX(Pagos_Odoo!$C:$C, MATCH(X1163, Pagos_Odoo!$B:$B, 0)), ""))</f>
        <v/>
      </c>
      <c r="Z1163" s="80">
        <f>IF(X1163="Sin Pago","",IFERROR(INDEX(Pagos_Odoo!$A:$A, MATCH(X1163, Pagos_Odoo!$B:$B, 0)), ""))</f>
        <v/>
      </c>
      <c r="AA1163" s="79">
        <f>IF(X1163="Sin Pago","",IFERROR(INDEX(Pagos_Odoo!$F:$F, MATCH(X1163, Pagos_Odoo!$B:$B, 0)), ""))</f>
        <v/>
      </c>
      <c r="AB1163" s="81">
        <f>IF(X1163="Sin Pago",0,IFERROR(INDEX(Pagos_Odoo!$E:$E, MATCH(X1163, Pagos_Odoo!$B:$B, 0)), 0))</f>
        <v/>
      </c>
      <c r="AC1163" s="79">
        <f>IF(X1163="Sin Pago","",IFERROR(INDEX(Pagos_Odoo!$G:$G, MATCH(X1163, Pagos_Odoo!$B:$B, 0)), ""))</f>
        <v/>
      </c>
      <c r="AD1163" s="82" t="n">
        <v>0</v>
      </c>
      <c r="AE1163" s="82" t="n"/>
      <c r="AF1163" s="82" t="n"/>
      <c r="AG1163" s="82">
        <f>IF(AN1163="","",AD1163+AE1163+AF1163)</f>
        <v/>
      </c>
      <c r="AH1163" s="81">
        <f>IF(AN1163="","",P1163*(1-AG1163))</f>
        <v/>
      </c>
      <c r="AI1163" s="81">
        <f>IF(AN1163="","",IF(Q1163="Sin Factura",0,IFERROR(INDEX(Facturas_Odoo!$H:$H, MATCH(Q1163, Facturas_Odoo!$B:$B, 0)), 0)*(1-AG1163)))</f>
        <v/>
      </c>
      <c r="AJ1163" s="81">
        <f>IF(AN1163="","",_xlfn.LET(idVenta, AN1163&amp;"",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63" s="81">
        <f>IF(AN1163="","",AH1163-AJ1163)</f>
        <v/>
      </c>
      <c r="AL1163" s="81">
        <f>IF(AN1163="","",IF(Q1163="Sin Factura","",AI1163-AJ1163))</f>
        <v/>
      </c>
      <c r="AM1163" s="81">
        <f>IF(AN1163="","",IF(Q1163="Sin Factura",0,P1163-IFERROR(INDEX(Facturas_Odoo!$H:$H, MATCH(Q1163, Facturas_Odoo!$B:$B, 0)), 0)))</f>
        <v/>
      </c>
      <c r="AN1163" s="79">
        <f>IF(AND(A1163="", J1163=""), "", IF(A1163&lt;&gt;"", VALUE(MID(A1163,2,LEN(A1163))), AN1162))</f>
        <v/>
      </c>
      <c r="AO1163" s="79">
        <f>IF(AN1163="","",IF(AD1163=0,"OK",_xlfn.LET(monedaPago, IF(AA1163="","USD",AA1163), limitePermitido, IFERROR(VLOOKUP(monedaPago, Configuración!$A$2:$B$3, 2, FALSE), 0.15), IF(AD1163&gt;limitePermitido, "ALERTA: EXCESO (" &amp; TEXT(limitePermitido, "0%") &amp; " máx)", "OK"))))</f>
        <v/>
      </c>
      <c r="AP1163" s="79">
        <f>IF(AN1163="","",IF(AE1163=0,"OK",_xlfn.LET(fechaPago, Z1163, fechaFactura, R1163, diasCredito, IF(E1163="Pago inmediato", 0, IFERROR(VALUE(MID(E1163, 1, SEARCH(" ", E1163)-1)),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63" s="79">
        <f>IF(AN1163="","",IF(AND(N1163&gt;0, AG1163&gt;0), IF(Configuración!$K$2="NO", "ALERTA: DESCUENTO DOBLE NO PERMITIDO", "OK"), "OK"))</f>
        <v/>
      </c>
      <c r="AR1163" s="79">
        <f>IF(AN1163="","",IF(OR(AO1163&lt;&gt;"OK", AP1163&lt;&gt;"OK", AQ1163&lt;&gt;"OK"), "⚠️ REVISAR", "OK"))</f>
        <v/>
      </c>
    </row>
    <row r="1164">
      <c r="A1164" s="79">
        <f>IF('Ordenes_Odoo'!A1164="","",'Ordenes_Odoo'!A1164)</f>
        <v/>
      </c>
      <c r="B1164" s="80">
        <f>IF('Ordenes_Odoo'!B1164="","",'Ordenes_Odoo'!B1164)</f>
        <v/>
      </c>
      <c r="C1164" s="79">
        <f>IF('Ordenes_Odoo'!C1164="","",'Ordenes_Odoo'!C1164)</f>
        <v/>
      </c>
      <c r="D1164" s="79">
        <f>IF('Ordenes_Odoo'!D1164="","",'Ordenes_Odoo'!D1164)</f>
        <v/>
      </c>
      <c r="E1164" s="79">
        <f>IF('Ordenes_Odoo'!E1164="","",'Ordenes_Odoo'!E1164)</f>
        <v/>
      </c>
      <c r="F1164" s="79">
        <f>IF('Ordenes_Odoo'!F1164="","",'Ordenes_Odoo'!F1164)</f>
        <v/>
      </c>
      <c r="G1164" s="79">
        <f>IF('Ordenes_Odoo'!G1164="","",'Ordenes_Odoo'!G1164)</f>
        <v/>
      </c>
      <c r="H1164" s="79">
        <f>IF('Ordenes_Odoo'!H1164="","",'Ordenes_Odoo'!H1164)</f>
        <v/>
      </c>
      <c r="I1164" s="79">
        <f>IF('Ordenes_Odoo'!I1164="","",'Ordenes_Odoo'!I1164)</f>
        <v/>
      </c>
      <c r="J1164" s="79">
        <f>IF('Ordenes_Odoo'!J1164="","",'Ordenes_Odoo'!J1164)</f>
        <v/>
      </c>
      <c r="K1164" s="81">
        <f>IF('Ordenes_Odoo'!K1164="","",'Ordenes_Odoo'!K1164)</f>
        <v/>
      </c>
      <c r="L1164" s="81">
        <f>IF('Ordenes_Odoo'!L1164="","",'Ordenes_Odoo'!L1164)</f>
        <v/>
      </c>
      <c r="M1164" s="79">
        <f>IF('Ordenes_Odoo'!M1164="","",'Ordenes_Odoo'!M1164)</f>
        <v/>
      </c>
      <c r="N1164" s="79">
        <f>IF('Ordenes_Odoo'!N1164="","",'Ordenes_Odoo'!N1164)</f>
        <v/>
      </c>
      <c r="O1164" s="81">
        <f>IF('Ordenes_Odoo'!O1164="","",'Ordenes_Odoo'!O1164)</f>
        <v/>
      </c>
      <c r="P1164" s="81">
        <f>IF('Ordenes_Odoo'!P1164="","",'Ordenes_Odoo'!P1164)</f>
        <v/>
      </c>
      <c r="Q1164" s="79">
        <f>IF(A1164="","",IFERROR(INDEX(Facturas_Odoo!$B:$B, MATCH(A1164, Facturas_Odoo!$D:$D, 0)), "Sin Factura"))</f>
        <v/>
      </c>
      <c r="R1164" s="80">
        <f>IF(Q1164="Sin Factura","",IFERROR(INDEX(Facturas_Odoo!$A:$A, MATCH(Q1164, Facturas_Odoo!$B:$B, 0)), ""))</f>
        <v/>
      </c>
      <c r="S1164" s="79">
        <f>IF(Q1164="Sin Factura","",IFERROR(_xlfn.XLOOKUP(1, (Facturas_Odoo!$D:$D=A1164) * (Facturas_Odoo!$K:$K=I1164), Facturas_Odoo!$L:$L, ""), ""))</f>
        <v/>
      </c>
      <c r="T1164" s="81">
        <f>IF(Q1164="Sin Factura",0,IFERROR(_xlfn.XLOOKUP(1, (Facturas_Odoo!$D:$D=A1164) * (Facturas_Odoo!$K:$K=I1164), Facturas_Odoo!$M:$M, 0), 0))</f>
        <v/>
      </c>
      <c r="U1164" s="79">
        <f>IF(Q1164="Sin Factura",0,IFERROR(_xlfn.XLOOKUP(1, (Facturas_Odoo!$D:$D=A1164) * (Facturas_Odoo!$K:$K=I1164), Facturas_Odoo!$N:$N, 0), 0))</f>
        <v/>
      </c>
      <c r="V1164" s="79">
        <f>IF(Q1164="Sin Factura",0,IFERROR(_xlfn.XLOOKUP(1, (Facturas_Odoo!$D:$D=A1164) * (Facturas_Odoo!$K:$K=I1164), Facturas_Odoo!$O:$O, 0), 0))</f>
        <v/>
      </c>
      <c r="W1164" s="81">
        <f>IF(Q1164="Sin Factura",0,IFERROR(_xlfn.XLOOKUP(1, (Facturas_Odoo!$D:$D=A1164) * (Facturas_Odoo!$K:$K=I1164), Facturas_Odoo!$Q:$Q, 0), 0))</f>
        <v/>
      </c>
      <c r="X1164" s="79">
        <f>IF(OR(Q1164="Sin Factura",Q1164=""),"",IFERROR(INDEX(Pagos_Odoo!$B:$B, MATCH(Q1164, Pagos_Odoo!$I:$I, 0)), "Sin Pago"))</f>
        <v/>
      </c>
      <c r="Y1164" s="79">
        <f>IF(X1164="Sin Pago","",IFERROR(INDEX(Pagos_Odoo!$C:$C, MATCH(X1164, Pagos_Odoo!$B:$B, 0)), ""))</f>
        <v/>
      </c>
      <c r="Z1164" s="80">
        <f>IF(X1164="Sin Pago","",IFERROR(INDEX(Pagos_Odoo!$A:$A, MATCH(X1164, Pagos_Odoo!$B:$B, 0)), ""))</f>
        <v/>
      </c>
      <c r="AA1164" s="79">
        <f>IF(X1164="Sin Pago","",IFERROR(INDEX(Pagos_Odoo!$F:$F, MATCH(X1164, Pagos_Odoo!$B:$B, 0)), ""))</f>
        <v/>
      </c>
      <c r="AB1164" s="81">
        <f>IF(X1164="Sin Pago",0,IFERROR(INDEX(Pagos_Odoo!$E:$E, MATCH(X1164, Pagos_Odoo!$B:$B, 0)), 0))</f>
        <v/>
      </c>
      <c r="AC1164" s="79">
        <f>IF(X1164="Sin Pago","",IFERROR(INDEX(Pagos_Odoo!$G:$G, MATCH(X1164, Pagos_Odoo!$B:$B, 0)), ""))</f>
        <v/>
      </c>
      <c r="AD1164" s="82" t="n">
        <v>0</v>
      </c>
      <c r="AE1164" s="82" t="n"/>
      <c r="AF1164" s="82" t="n"/>
      <c r="AG1164" s="82">
        <f>IF(AN1164="","",AD1164+AE1164+AF1164)</f>
        <v/>
      </c>
      <c r="AH1164" s="81">
        <f>IF(AN1164="","",P1164*(1-AG1164))</f>
        <v/>
      </c>
      <c r="AI1164" s="81">
        <f>IF(AN1164="","",IF(Q1164="Sin Factura",0,IFERROR(INDEX(Facturas_Odoo!$H:$H, MATCH(Q1164, Facturas_Odoo!$B:$B, 0)), 0)*(1-AG1164)))</f>
        <v/>
      </c>
      <c r="AJ1164" s="81">
        <f>IF(AN1164="","",_xlfn.LET(idVenta, AN1164&amp;"",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64" s="81">
        <f>IF(AN1164="","",AH1164-AJ1164)</f>
        <v/>
      </c>
      <c r="AL1164" s="81">
        <f>IF(AN1164="","",IF(Q1164="Sin Factura","",AI1164-AJ1164))</f>
        <v/>
      </c>
      <c r="AM1164" s="81">
        <f>IF(AN1164="","",IF(Q1164="Sin Factura",0,P1164-IFERROR(INDEX(Facturas_Odoo!$H:$H, MATCH(Q1164, Facturas_Odoo!$B:$B, 0)), 0)))</f>
        <v/>
      </c>
      <c r="AN1164" s="79">
        <f>IF(AND(A1164="", J1164=""), "", IF(A1164&lt;&gt;"", VALUE(MID(A1164,2,LEN(A1164))), AN1163))</f>
        <v/>
      </c>
      <c r="AO1164" s="79">
        <f>IF(AN1164="","",IF(AD1164=0,"OK",_xlfn.LET(monedaPago, IF(AA1164="","USD",AA1164), limitePermitido, IFERROR(VLOOKUP(monedaPago, Configuración!$A$2:$B$3, 2, FALSE), 0.15), IF(AD1164&gt;limitePermitido, "ALERTA: EXCESO (" &amp; TEXT(limitePermitido, "0%") &amp; " máx)", "OK"))))</f>
        <v/>
      </c>
      <c r="AP1164" s="79">
        <f>IF(AN1164="","",IF(AE1164=0,"OK",_xlfn.LET(fechaPago, Z1164, fechaFactura, R1164, diasCredito, IF(E1164="Pago inmediato", 0, IFERROR(VALUE(MID(E1164, 1, SEARCH(" ", E1164)-1)),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64" s="79">
        <f>IF(AN1164="","",IF(AND(N1164&gt;0, AG1164&gt;0), IF(Configuración!$K$2="NO", "ALERTA: DESCUENTO DOBLE NO PERMITIDO", "OK"), "OK"))</f>
        <v/>
      </c>
      <c r="AR1164" s="79">
        <f>IF(AN1164="","",IF(OR(AO1164&lt;&gt;"OK", AP1164&lt;&gt;"OK", AQ1164&lt;&gt;"OK"), "⚠️ REVISAR", "OK"))</f>
        <v/>
      </c>
    </row>
    <row r="1165">
      <c r="A1165" s="79">
        <f>IF('Ordenes_Odoo'!A1165="","",'Ordenes_Odoo'!A1165)</f>
        <v/>
      </c>
      <c r="B1165" s="80">
        <f>IF('Ordenes_Odoo'!B1165="","",'Ordenes_Odoo'!B1165)</f>
        <v/>
      </c>
      <c r="C1165" s="79">
        <f>IF('Ordenes_Odoo'!C1165="","",'Ordenes_Odoo'!C1165)</f>
        <v/>
      </c>
      <c r="D1165" s="79">
        <f>IF('Ordenes_Odoo'!D1165="","",'Ordenes_Odoo'!D1165)</f>
        <v/>
      </c>
      <c r="E1165" s="79">
        <f>IF('Ordenes_Odoo'!E1165="","",'Ordenes_Odoo'!E1165)</f>
        <v/>
      </c>
      <c r="F1165" s="79">
        <f>IF('Ordenes_Odoo'!F1165="","",'Ordenes_Odoo'!F1165)</f>
        <v/>
      </c>
      <c r="G1165" s="79">
        <f>IF('Ordenes_Odoo'!G1165="","",'Ordenes_Odoo'!G1165)</f>
        <v/>
      </c>
      <c r="H1165" s="79">
        <f>IF('Ordenes_Odoo'!H1165="","",'Ordenes_Odoo'!H1165)</f>
        <v/>
      </c>
      <c r="I1165" s="79">
        <f>IF('Ordenes_Odoo'!I1165="","",'Ordenes_Odoo'!I1165)</f>
        <v/>
      </c>
      <c r="J1165" s="79">
        <f>IF('Ordenes_Odoo'!J1165="","",'Ordenes_Odoo'!J1165)</f>
        <v/>
      </c>
      <c r="K1165" s="81">
        <f>IF('Ordenes_Odoo'!K1165="","",'Ordenes_Odoo'!K1165)</f>
        <v/>
      </c>
      <c r="L1165" s="81">
        <f>IF('Ordenes_Odoo'!L1165="","",'Ordenes_Odoo'!L1165)</f>
        <v/>
      </c>
      <c r="M1165" s="79">
        <f>IF('Ordenes_Odoo'!M1165="","",'Ordenes_Odoo'!M1165)</f>
        <v/>
      </c>
      <c r="N1165" s="79">
        <f>IF('Ordenes_Odoo'!N1165="","",'Ordenes_Odoo'!N1165)</f>
        <v/>
      </c>
      <c r="O1165" s="81">
        <f>IF('Ordenes_Odoo'!O1165="","",'Ordenes_Odoo'!O1165)</f>
        <v/>
      </c>
      <c r="P1165" s="81">
        <f>IF('Ordenes_Odoo'!P1165="","",'Ordenes_Odoo'!P1165)</f>
        <v/>
      </c>
      <c r="Q1165" s="79">
        <f>IF(A1165="","",IFERROR(INDEX(Facturas_Odoo!$B:$B, MATCH(A1165, Facturas_Odoo!$D:$D, 0)), "Sin Factura"))</f>
        <v/>
      </c>
      <c r="R1165" s="80">
        <f>IF(Q1165="Sin Factura","",IFERROR(INDEX(Facturas_Odoo!$A:$A, MATCH(Q1165, Facturas_Odoo!$B:$B, 0)), ""))</f>
        <v/>
      </c>
      <c r="S1165" s="79">
        <f>IF(Q1165="Sin Factura","",IFERROR(_xlfn.XLOOKUP(1, (Facturas_Odoo!$D:$D=A1165) * (Facturas_Odoo!$K:$K=I1165), Facturas_Odoo!$L:$L, ""), ""))</f>
        <v/>
      </c>
      <c r="T1165" s="81">
        <f>IF(Q1165="Sin Factura",0,IFERROR(_xlfn.XLOOKUP(1, (Facturas_Odoo!$D:$D=A1165) * (Facturas_Odoo!$K:$K=I1165), Facturas_Odoo!$M:$M, 0), 0))</f>
        <v/>
      </c>
      <c r="U1165" s="79">
        <f>IF(Q1165="Sin Factura",0,IFERROR(_xlfn.XLOOKUP(1, (Facturas_Odoo!$D:$D=A1165) * (Facturas_Odoo!$K:$K=I1165), Facturas_Odoo!$N:$N, 0), 0))</f>
        <v/>
      </c>
      <c r="V1165" s="79">
        <f>IF(Q1165="Sin Factura",0,IFERROR(_xlfn.XLOOKUP(1, (Facturas_Odoo!$D:$D=A1165) * (Facturas_Odoo!$K:$K=I1165), Facturas_Odoo!$O:$O, 0), 0))</f>
        <v/>
      </c>
      <c r="W1165" s="81">
        <f>IF(Q1165="Sin Factura",0,IFERROR(_xlfn.XLOOKUP(1, (Facturas_Odoo!$D:$D=A1165) * (Facturas_Odoo!$K:$K=I1165), Facturas_Odoo!$Q:$Q, 0), 0))</f>
        <v/>
      </c>
      <c r="X1165" s="79">
        <f>IF(OR(Q1165="Sin Factura",Q1165=""),"",IFERROR(INDEX(Pagos_Odoo!$B:$B, MATCH(Q1165, Pagos_Odoo!$I:$I, 0)), "Sin Pago"))</f>
        <v/>
      </c>
      <c r="Y1165" s="79">
        <f>IF(X1165="Sin Pago","",IFERROR(INDEX(Pagos_Odoo!$C:$C, MATCH(X1165, Pagos_Odoo!$B:$B, 0)), ""))</f>
        <v/>
      </c>
      <c r="Z1165" s="80">
        <f>IF(X1165="Sin Pago","",IFERROR(INDEX(Pagos_Odoo!$A:$A, MATCH(X1165, Pagos_Odoo!$B:$B, 0)), ""))</f>
        <v/>
      </c>
      <c r="AA1165" s="79">
        <f>IF(X1165="Sin Pago","",IFERROR(INDEX(Pagos_Odoo!$F:$F, MATCH(X1165, Pagos_Odoo!$B:$B, 0)), ""))</f>
        <v/>
      </c>
      <c r="AB1165" s="81">
        <f>IF(X1165="Sin Pago",0,IFERROR(INDEX(Pagos_Odoo!$E:$E, MATCH(X1165, Pagos_Odoo!$B:$B, 0)), 0))</f>
        <v/>
      </c>
      <c r="AC1165" s="79">
        <f>IF(X1165="Sin Pago","",IFERROR(INDEX(Pagos_Odoo!$G:$G, MATCH(X1165, Pagos_Odoo!$B:$B, 0)), ""))</f>
        <v/>
      </c>
      <c r="AD1165" s="82" t="n">
        <v>0</v>
      </c>
      <c r="AE1165" s="82" t="n"/>
      <c r="AF1165" s="82" t="n"/>
      <c r="AG1165" s="82">
        <f>IF(AN1165="","",AD1165+AE1165+AF1165)</f>
        <v/>
      </c>
      <c r="AH1165" s="81">
        <f>IF(AN1165="","",P1165*(1-AG1165))</f>
        <v/>
      </c>
      <c r="AI1165" s="81">
        <f>IF(AN1165="","",IF(Q1165="Sin Factura",0,IFERROR(INDEX(Facturas_Odoo!$H:$H, MATCH(Q1165, Facturas_Odoo!$B:$B, 0)), 0)*(1-AG1165)))</f>
        <v/>
      </c>
      <c r="AJ1165" s="81">
        <f>IF(AN1165="","",_xlfn.LET(idVenta, AN1165&amp;"",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65" s="81">
        <f>IF(AN1165="","",AH1165-AJ1165)</f>
        <v/>
      </c>
      <c r="AL1165" s="81">
        <f>IF(AN1165="","",IF(Q1165="Sin Factura","",AI1165-AJ1165))</f>
        <v/>
      </c>
      <c r="AM1165" s="81">
        <f>IF(AN1165="","",IF(Q1165="Sin Factura",0,P1165-IFERROR(INDEX(Facturas_Odoo!$H:$H, MATCH(Q1165, Facturas_Odoo!$B:$B, 0)), 0)))</f>
        <v/>
      </c>
      <c r="AN1165" s="79">
        <f>IF(AND(A1165="", J1165=""), "", IF(A1165&lt;&gt;"", VALUE(MID(A1165,2,LEN(A1165))), AN1164))</f>
        <v/>
      </c>
      <c r="AO1165" s="79">
        <f>IF(AN1165="","",IF(AD1165=0,"OK",_xlfn.LET(monedaPago, IF(AA1165="","USD",AA1165), limitePermitido, IFERROR(VLOOKUP(monedaPago, Configuración!$A$2:$B$3, 2, FALSE), 0.15), IF(AD1165&gt;limitePermitido, "ALERTA: EXCESO (" &amp; TEXT(limitePermitido, "0%") &amp; " máx)", "OK"))))</f>
        <v/>
      </c>
      <c r="AP1165" s="79">
        <f>IF(AN1165="","",IF(AE1165=0,"OK",_xlfn.LET(fechaPago, Z1165, fechaFactura, R1165, diasCredito, IF(E1165="Pago inmediato", 0, IFERROR(VALUE(MID(E1165, 1, SEARCH(" ", E1165)-1)),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65" s="79">
        <f>IF(AN1165="","",IF(AND(N1165&gt;0, AG1165&gt;0), IF(Configuración!$K$2="NO", "ALERTA: DESCUENTO DOBLE NO PERMITIDO", "OK"), "OK"))</f>
        <v/>
      </c>
      <c r="AR1165" s="79">
        <f>IF(AN1165="","",IF(OR(AO1165&lt;&gt;"OK", AP1165&lt;&gt;"OK", AQ1165&lt;&gt;"OK"), "⚠️ REVISAR", "OK"))</f>
        <v/>
      </c>
    </row>
    <row r="1166">
      <c r="A1166" s="79">
        <f>IF('Ordenes_Odoo'!A1166="","",'Ordenes_Odoo'!A1166)</f>
        <v/>
      </c>
      <c r="B1166" s="80">
        <f>IF('Ordenes_Odoo'!B1166="","",'Ordenes_Odoo'!B1166)</f>
        <v/>
      </c>
      <c r="C1166" s="79">
        <f>IF('Ordenes_Odoo'!C1166="","",'Ordenes_Odoo'!C1166)</f>
        <v/>
      </c>
      <c r="D1166" s="79">
        <f>IF('Ordenes_Odoo'!D1166="","",'Ordenes_Odoo'!D1166)</f>
        <v/>
      </c>
      <c r="E1166" s="79">
        <f>IF('Ordenes_Odoo'!E1166="","",'Ordenes_Odoo'!E1166)</f>
        <v/>
      </c>
      <c r="F1166" s="79">
        <f>IF('Ordenes_Odoo'!F1166="","",'Ordenes_Odoo'!F1166)</f>
        <v/>
      </c>
      <c r="G1166" s="79">
        <f>IF('Ordenes_Odoo'!G1166="","",'Ordenes_Odoo'!G1166)</f>
        <v/>
      </c>
      <c r="H1166" s="79">
        <f>IF('Ordenes_Odoo'!H1166="","",'Ordenes_Odoo'!H1166)</f>
        <v/>
      </c>
      <c r="I1166" s="79">
        <f>IF('Ordenes_Odoo'!I1166="","",'Ordenes_Odoo'!I1166)</f>
        <v/>
      </c>
      <c r="J1166" s="79">
        <f>IF('Ordenes_Odoo'!J1166="","",'Ordenes_Odoo'!J1166)</f>
        <v/>
      </c>
      <c r="K1166" s="81">
        <f>IF('Ordenes_Odoo'!K1166="","",'Ordenes_Odoo'!K1166)</f>
        <v/>
      </c>
      <c r="L1166" s="81">
        <f>IF('Ordenes_Odoo'!L1166="","",'Ordenes_Odoo'!L1166)</f>
        <v/>
      </c>
      <c r="M1166" s="79">
        <f>IF('Ordenes_Odoo'!M1166="","",'Ordenes_Odoo'!M1166)</f>
        <v/>
      </c>
      <c r="N1166" s="79">
        <f>IF('Ordenes_Odoo'!N1166="","",'Ordenes_Odoo'!N1166)</f>
        <v/>
      </c>
      <c r="O1166" s="81">
        <f>IF('Ordenes_Odoo'!O1166="","",'Ordenes_Odoo'!O1166)</f>
        <v/>
      </c>
      <c r="P1166" s="81">
        <f>IF('Ordenes_Odoo'!P1166="","",'Ordenes_Odoo'!P1166)</f>
        <v/>
      </c>
      <c r="Q1166" s="79">
        <f>IF(A1166="","",IFERROR(INDEX(Facturas_Odoo!$B:$B, MATCH(A1166, Facturas_Odoo!$D:$D, 0)), "Sin Factura"))</f>
        <v/>
      </c>
      <c r="R1166" s="80">
        <f>IF(Q1166="Sin Factura","",IFERROR(INDEX(Facturas_Odoo!$A:$A, MATCH(Q1166, Facturas_Odoo!$B:$B, 0)), ""))</f>
        <v/>
      </c>
      <c r="S1166" s="79">
        <f>IF(Q1166="Sin Factura","",IFERROR(_xlfn.XLOOKUP(1, (Facturas_Odoo!$D:$D=A1166) * (Facturas_Odoo!$K:$K=I1166), Facturas_Odoo!$L:$L, ""), ""))</f>
        <v/>
      </c>
      <c r="T1166" s="81">
        <f>IF(Q1166="Sin Factura",0,IFERROR(_xlfn.XLOOKUP(1, (Facturas_Odoo!$D:$D=A1166) * (Facturas_Odoo!$K:$K=I1166), Facturas_Odoo!$M:$M, 0), 0))</f>
        <v/>
      </c>
      <c r="U1166" s="79">
        <f>IF(Q1166="Sin Factura",0,IFERROR(_xlfn.XLOOKUP(1, (Facturas_Odoo!$D:$D=A1166) * (Facturas_Odoo!$K:$K=I1166), Facturas_Odoo!$N:$N, 0), 0))</f>
        <v/>
      </c>
      <c r="V1166" s="79">
        <f>IF(Q1166="Sin Factura",0,IFERROR(_xlfn.XLOOKUP(1, (Facturas_Odoo!$D:$D=A1166) * (Facturas_Odoo!$K:$K=I1166), Facturas_Odoo!$O:$O, 0), 0))</f>
        <v/>
      </c>
      <c r="W1166" s="81">
        <f>IF(Q1166="Sin Factura",0,IFERROR(_xlfn.XLOOKUP(1, (Facturas_Odoo!$D:$D=A1166) * (Facturas_Odoo!$K:$K=I1166), Facturas_Odoo!$Q:$Q, 0), 0))</f>
        <v/>
      </c>
      <c r="X1166" s="79">
        <f>IF(OR(Q1166="Sin Factura",Q1166=""),"",IFERROR(INDEX(Pagos_Odoo!$B:$B, MATCH(Q1166, Pagos_Odoo!$I:$I, 0)), "Sin Pago"))</f>
        <v/>
      </c>
      <c r="Y1166" s="79">
        <f>IF(X1166="Sin Pago","",IFERROR(INDEX(Pagos_Odoo!$C:$C, MATCH(X1166, Pagos_Odoo!$B:$B, 0)), ""))</f>
        <v/>
      </c>
      <c r="Z1166" s="80">
        <f>IF(X1166="Sin Pago","",IFERROR(INDEX(Pagos_Odoo!$A:$A, MATCH(X1166, Pagos_Odoo!$B:$B, 0)), ""))</f>
        <v/>
      </c>
      <c r="AA1166" s="79">
        <f>IF(X1166="Sin Pago","",IFERROR(INDEX(Pagos_Odoo!$F:$F, MATCH(X1166, Pagos_Odoo!$B:$B, 0)), ""))</f>
        <v/>
      </c>
      <c r="AB1166" s="81">
        <f>IF(X1166="Sin Pago",0,IFERROR(INDEX(Pagos_Odoo!$E:$E, MATCH(X1166, Pagos_Odoo!$B:$B, 0)), 0))</f>
        <v/>
      </c>
      <c r="AC1166" s="79">
        <f>IF(X1166="Sin Pago","",IFERROR(INDEX(Pagos_Odoo!$G:$G, MATCH(X1166, Pagos_Odoo!$B:$B, 0)), ""))</f>
        <v/>
      </c>
      <c r="AD1166" s="82" t="n">
        <v>0</v>
      </c>
      <c r="AE1166" s="82" t="n"/>
      <c r="AF1166" s="82" t="n"/>
      <c r="AG1166" s="82">
        <f>IF(AN1166="","",AD1166+AE1166+AF1166)</f>
        <v/>
      </c>
      <c r="AH1166" s="81">
        <f>IF(AN1166="","",P1166*(1-AG1166))</f>
        <v/>
      </c>
      <c r="AI1166" s="81">
        <f>IF(AN1166="","",IF(Q1166="Sin Factura",0,IFERROR(INDEX(Facturas_Odoo!$H:$H, MATCH(Q1166, Facturas_Odoo!$B:$B, 0)), 0)*(1-AG1166)))</f>
        <v/>
      </c>
      <c r="AJ1166" s="81">
        <f>IF(AN1166="","",_xlfn.LET(idVenta, AN1166&amp;"",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66" s="81">
        <f>IF(AN1166="","",AH1166-AJ1166)</f>
        <v/>
      </c>
      <c r="AL1166" s="81">
        <f>IF(AN1166="","",IF(Q1166="Sin Factura","",AI1166-AJ1166))</f>
        <v/>
      </c>
      <c r="AM1166" s="81">
        <f>IF(AN1166="","",IF(Q1166="Sin Factura",0,P1166-IFERROR(INDEX(Facturas_Odoo!$H:$H, MATCH(Q1166, Facturas_Odoo!$B:$B, 0)), 0)))</f>
        <v/>
      </c>
      <c r="AN1166" s="79">
        <f>IF(AND(A1166="", J1166=""), "", IF(A1166&lt;&gt;"", VALUE(MID(A1166,2,LEN(A1166))), AN1165))</f>
        <v/>
      </c>
      <c r="AO1166" s="79">
        <f>IF(AN1166="","",IF(AD1166=0,"OK",_xlfn.LET(monedaPago, IF(AA1166="","USD",AA1166), limitePermitido, IFERROR(VLOOKUP(monedaPago, Configuración!$A$2:$B$3, 2, FALSE), 0.15), IF(AD1166&gt;limitePermitido, "ALERTA: EXCESO (" &amp; TEXT(limitePermitido, "0%") &amp; " máx)", "OK"))))</f>
        <v/>
      </c>
      <c r="AP1166" s="79">
        <f>IF(AN1166="","",IF(AE1166=0,"OK",_xlfn.LET(fechaPago, Z1166, fechaFactura, R1166, diasCredito, IF(E1166="Pago inmediato", 0, IFERROR(VALUE(MID(E1166, 1, SEARCH(" ", E1166)-1)),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66" s="79">
        <f>IF(AN1166="","",IF(AND(N1166&gt;0, AG1166&gt;0), IF(Configuración!$K$2="NO", "ALERTA: DESCUENTO DOBLE NO PERMITIDO", "OK"), "OK"))</f>
        <v/>
      </c>
      <c r="AR1166" s="79">
        <f>IF(AN1166="","",IF(OR(AO1166&lt;&gt;"OK", AP1166&lt;&gt;"OK", AQ1166&lt;&gt;"OK"), "⚠️ REVISAR", "OK"))</f>
        <v/>
      </c>
    </row>
    <row r="1167">
      <c r="A1167" s="79">
        <f>IF('Ordenes_Odoo'!A1167="","",'Ordenes_Odoo'!A1167)</f>
        <v/>
      </c>
      <c r="B1167" s="80">
        <f>IF('Ordenes_Odoo'!B1167="","",'Ordenes_Odoo'!B1167)</f>
        <v/>
      </c>
      <c r="C1167" s="79">
        <f>IF('Ordenes_Odoo'!C1167="","",'Ordenes_Odoo'!C1167)</f>
        <v/>
      </c>
      <c r="D1167" s="79">
        <f>IF('Ordenes_Odoo'!D1167="","",'Ordenes_Odoo'!D1167)</f>
        <v/>
      </c>
      <c r="E1167" s="79">
        <f>IF('Ordenes_Odoo'!E1167="","",'Ordenes_Odoo'!E1167)</f>
        <v/>
      </c>
      <c r="F1167" s="79">
        <f>IF('Ordenes_Odoo'!F1167="","",'Ordenes_Odoo'!F1167)</f>
        <v/>
      </c>
      <c r="G1167" s="79">
        <f>IF('Ordenes_Odoo'!G1167="","",'Ordenes_Odoo'!G1167)</f>
        <v/>
      </c>
      <c r="H1167" s="79">
        <f>IF('Ordenes_Odoo'!H1167="","",'Ordenes_Odoo'!H1167)</f>
        <v/>
      </c>
      <c r="I1167" s="79">
        <f>IF('Ordenes_Odoo'!I1167="","",'Ordenes_Odoo'!I1167)</f>
        <v/>
      </c>
      <c r="J1167" s="79">
        <f>IF('Ordenes_Odoo'!J1167="","",'Ordenes_Odoo'!J1167)</f>
        <v/>
      </c>
      <c r="K1167" s="81">
        <f>IF('Ordenes_Odoo'!K1167="","",'Ordenes_Odoo'!K1167)</f>
        <v/>
      </c>
      <c r="L1167" s="81">
        <f>IF('Ordenes_Odoo'!L1167="","",'Ordenes_Odoo'!L1167)</f>
        <v/>
      </c>
      <c r="M1167" s="79">
        <f>IF('Ordenes_Odoo'!M1167="","",'Ordenes_Odoo'!M1167)</f>
        <v/>
      </c>
      <c r="N1167" s="79">
        <f>IF('Ordenes_Odoo'!N1167="","",'Ordenes_Odoo'!N1167)</f>
        <v/>
      </c>
      <c r="O1167" s="81">
        <f>IF('Ordenes_Odoo'!O1167="","",'Ordenes_Odoo'!O1167)</f>
        <v/>
      </c>
      <c r="P1167" s="81">
        <f>IF('Ordenes_Odoo'!P1167="","",'Ordenes_Odoo'!P1167)</f>
        <v/>
      </c>
      <c r="Q1167" s="79">
        <f>IF(A1167="","",IFERROR(INDEX(Facturas_Odoo!$B:$B, MATCH(A1167, Facturas_Odoo!$D:$D, 0)), "Sin Factura"))</f>
        <v/>
      </c>
      <c r="R1167" s="80">
        <f>IF(Q1167="Sin Factura","",IFERROR(INDEX(Facturas_Odoo!$A:$A, MATCH(Q1167, Facturas_Odoo!$B:$B, 0)), ""))</f>
        <v/>
      </c>
      <c r="S1167" s="79">
        <f>IF(Q1167="Sin Factura","",IFERROR(_xlfn.XLOOKUP(1, (Facturas_Odoo!$D:$D=A1167) * (Facturas_Odoo!$K:$K=I1167), Facturas_Odoo!$L:$L, ""), ""))</f>
        <v/>
      </c>
      <c r="T1167" s="81">
        <f>IF(Q1167="Sin Factura",0,IFERROR(_xlfn.XLOOKUP(1, (Facturas_Odoo!$D:$D=A1167) * (Facturas_Odoo!$K:$K=I1167), Facturas_Odoo!$M:$M, 0), 0))</f>
        <v/>
      </c>
      <c r="U1167" s="79">
        <f>IF(Q1167="Sin Factura",0,IFERROR(_xlfn.XLOOKUP(1, (Facturas_Odoo!$D:$D=A1167) * (Facturas_Odoo!$K:$K=I1167), Facturas_Odoo!$N:$N, 0), 0))</f>
        <v/>
      </c>
      <c r="V1167" s="79">
        <f>IF(Q1167="Sin Factura",0,IFERROR(_xlfn.XLOOKUP(1, (Facturas_Odoo!$D:$D=A1167) * (Facturas_Odoo!$K:$K=I1167), Facturas_Odoo!$O:$O, 0), 0))</f>
        <v/>
      </c>
      <c r="W1167" s="81">
        <f>IF(Q1167="Sin Factura",0,IFERROR(_xlfn.XLOOKUP(1, (Facturas_Odoo!$D:$D=A1167) * (Facturas_Odoo!$K:$K=I1167), Facturas_Odoo!$Q:$Q, 0), 0))</f>
        <v/>
      </c>
      <c r="X1167" s="79">
        <f>IF(OR(Q1167="Sin Factura",Q1167=""),"",IFERROR(INDEX(Pagos_Odoo!$B:$B, MATCH(Q1167, Pagos_Odoo!$I:$I, 0)), "Sin Pago"))</f>
        <v/>
      </c>
      <c r="Y1167" s="79">
        <f>IF(X1167="Sin Pago","",IFERROR(INDEX(Pagos_Odoo!$C:$C, MATCH(X1167, Pagos_Odoo!$B:$B, 0)), ""))</f>
        <v/>
      </c>
      <c r="Z1167" s="80">
        <f>IF(X1167="Sin Pago","",IFERROR(INDEX(Pagos_Odoo!$A:$A, MATCH(X1167, Pagos_Odoo!$B:$B, 0)), ""))</f>
        <v/>
      </c>
      <c r="AA1167" s="79">
        <f>IF(X1167="Sin Pago","",IFERROR(INDEX(Pagos_Odoo!$F:$F, MATCH(X1167, Pagos_Odoo!$B:$B, 0)), ""))</f>
        <v/>
      </c>
      <c r="AB1167" s="81">
        <f>IF(X1167="Sin Pago",0,IFERROR(INDEX(Pagos_Odoo!$E:$E, MATCH(X1167, Pagos_Odoo!$B:$B, 0)), 0))</f>
        <v/>
      </c>
      <c r="AC1167" s="79">
        <f>IF(X1167="Sin Pago","",IFERROR(INDEX(Pagos_Odoo!$G:$G, MATCH(X1167, Pagos_Odoo!$B:$B, 0)), ""))</f>
        <v/>
      </c>
      <c r="AD1167" s="82" t="n">
        <v>0</v>
      </c>
      <c r="AE1167" s="82" t="n"/>
      <c r="AF1167" s="82" t="n"/>
      <c r="AG1167" s="82">
        <f>IF(AN1167="","",AD1167+AE1167+AF1167)</f>
        <v/>
      </c>
      <c r="AH1167" s="81">
        <f>IF(AN1167="","",P1167*(1-AG1167))</f>
        <v/>
      </c>
      <c r="AI1167" s="81">
        <f>IF(AN1167="","",IF(Q1167="Sin Factura",0,IFERROR(INDEX(Facturas_Odoo!$H:$H, MATCH(Q1167, Facturas_Odoo!$B:$B, 0)), 0)*(1-AG1167)))</f>
        <v/>
      </c>
      <c r="AJ1167" s="81">
        <f>IF(AN1167="","",_xlfn.LET(idVenta, AN1167&amp;"",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67" s="81">
        <f>IF(AN1167="","",AH1167-AJ1167)</f>
        <v/>
      </c>
      <c r="AL1167" s="81">
        <f>IF(AN1167="","",IF(Q1167="Sin Factura","",AI1167-AJ1167))</f>
        <v/>
      </c>
      <c r="AM1167" s="81">
        <f>IF(AN1167="","",IF(Q1167="Sin Factura",0,P1167-IFERROR(INDEX(Facturas_Odoo!$H:$H, MATCH(Q1167, Facturas_Odoo!$B:$B, 0)), 0)))</f>
        <v/>
      </c>
      <c r="AN1167" s="79">
        <f>IF(AND(A1167="", J1167=""), "", IF(A1167&lt;&gt;"", VALUE(MID(A1167,2,LEN(A1167))), AN1166))</f>
        <v/>
      </c>
      <c r="AO1167" s="79">
        <f>IF(AN1167="","",IF(AD1167=0,"OK",_xlfn.LET(monedaPago, IF(AA1167="","USD",AA1167), limitePermitido, IFERROR(VLOOKUP(monedaPago, Configuración!$A$2:$B$3, 2, FALSE), 0.15), IF(AD1167&gt;limitePermitido, "ALERTA: EXCESO (" &amp; TEXT(limitePermitido, "0%") &amp; " máx)", "OK"))))</f>
        <v/>
      </c>
      <c r="AP1167" s="79">
        <f>IF(AN1167="","",IF(AE1167=0,"OK",_xlfn.LET(fechaPago, Z1167, fechaFactura, R1167, diasCredito, IF(E1167="Pago inmediato", 0, IFERROR(VALUE(MID(E1167, 1, SEARCH(" ", E1167)-1)),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67" s="79">
        <f>IF(AN1167="","",IF(AND(N1167&gt;0, AG1167&gt;0), IF(Configuración!$K$2="NO", "ALERTA: DESCUENTO DOBLE NO PERMITIDO", "OK"), "OK"))</f>
        <v/>
      </c>
      <c r="AR1167" s="79">
        <f>IF(AN1167="","",IF(OR(AO1167&lt;&gt;"OK", AP1167&lt;&gt;"OK", AQ1167&lt;&gt;"OK"), "⚠️ REVISAR", "OK"))</f>
        <v/>
      </c>
    </row>
    <row r="1168">
      <c r="A1168" s="79">
        <f>IF('Ordenes_Odoo'!A1168="","",'Ordenes_Odoo'!A1168)</f>
        <v/>
      </c>
      <c r="B1168" s="80">
        <f>IF('Ordenes_Odoo'!B1168="","",'Ordenes_Odoo'!B1168)</f>
        <v/>
      </c>
      <c r="C1168" s="79">
        <f>IF('Ordenes_Odoo'!C1168="","",'Ordenes_Odoo'!C1168)</f>
        <v/>
      </c>
      <c r="D1168" s="79">
        <f>IF('Ordenes_Odoo'!D1168="","",'Ordenes_Odoo'!D1168)</f>
        <v/>
      </c>
      <c r="E1168" s="79">
        <f>IF('Ordenes_Odoo'!E1168="","",'Ordenes_Odoo'!E1168)</f>
        <v/>
      </c>
      <c r="F1168" s="79">
        <f>IF('Ordenes_Odoo'!F1168="","",'Ordenes_Odoo'!F1168)</f>
        <v/>
      </c>
      <c r="G1168" s="79">
        <f>IF('Ordenes_Odoo'!G1168="","",'Ordenes_Odoo'!G1168)</f>
        <v/>
      </c>
      <c r="H1168" s="79">
        <f>IF('Ordenes_Odoo'!H1168="","",'Ordenes_Odoo'!H1168)</f>
        <v/>
      </c>
      <c r="I1168" s="79">
        <f>IF('Ordenes_Odoo'!I1168="","",'Ordenes_Odoo'!I1168)</f>
        <v/>
      </c>
      <c r="J1168" s="79">
        <f>IF('Ordenes_Odoo'!J1168="","",'Ordenes_Odoo'!J1168)</f>
        <v/>
      </c>
      <c r="K1168" s="81">
        <f>IF('Ordenes_Odoo'!K1168="","",'Ordenes_Odoo'!K1168)</f>
        <v/>
      </c>
      <c r="L1168" s="81">
        <f>IF('Ordenes_Odoo'!L1168="","",'Ordenes_Odoo'!L1168)</f>
        <v/>
      </c>
      <c r="M1168" s="79">
        <f>IF('Ordenes_Odoo'!M1168="","",'Ordenes_Odoo'!M1168)</f>
        <v/>
      </c>
      <c r="N1168" s="79">
        <f>IF('Ordenes_Odoo'!N1168="","",'Ordenes_Odoo'!N1168)</f>
        <v/>
      </c>
      <c r="O1168" s="81">
        <f>IF('Ordenes_Odoo'!O1168="","",'Ordenes_Odoo'!O1168)</f>
        <v/>
      </c>
      <c r="P1168" s="81">
        <f>IF('Ordenes_Odoo'!P1168="","",'Ordenes_Odoo'!P1168)</f>
        <v/>
      </c>
      <c r="Q1168" s="79">
        <f>IF(A1168="","",IFERROR(INDEX(Facturas_Odoo!$B:$B, MATCH(A1168, Facturas_Odoo!$D:$D, 0)), "Sin Factura"))</f>
        <v/>
      </c>
      <c r="R1168" s="80">
        <f>IF(Q1168="Sin Factura","",IFERROR(INDEX(Facturas_Odoo!$A:$A, MATCH(Q1168, Facturas_Odoo!$B:$B, 0)), ""))</f>
        <v/>
      </c>
      <c r="S1168" s="79">
        <f>IF(Q1168="Sin Factura","",IFERROR(_xlfn.XLOOKUP(1, (Facturas_Odoo!$D:$D=A1168) * (Facturas_Odoo!$K:$K=I1168), Facturas_Odoo!$L:$L, ""), ""))</f>
        <v/>
      </c>
      <c r="T1168" s="81">
        <f>IF(Q1168="Sin Factura",0,IFERROR(_xlfn.XLOOKUP(1, (Facturas_Odoo!$D:$D=A1168) * (Facturas_Odoo!$K:$K=I1168), Facturas_Odoo!$M:$M, 0), 0))</f>
        <v/>
      </c>
      <c r="U1168" s="79">
        <f>IF(Q1168="Sin Factura",0,IFERROR(_xlfn.XLOOKUP(1, (Facturas_Odoo!$D:$D=A1168) * (Facturas_Odoo!$K:$K=I1168), Facturas_Odoo!$N:$N, 0), 0))</f>
        <v/>
      </c>
      <c r="V1168" s="79">
        <f>IF(Q1168="Sin Factura",0,IFERROR(_xlfn.XLOOKUP(1, (Facturas_Odoo!$D:$D=A1168) * (Facturas_Odoo!$K:$K=I1168), Facturas_Odoo!$O:$O, 0), 0))</f>
        <v/>
      </c>
      <c r="W1168" s="81">
        <f>IF(Q1168="Sin Factura",0,IFERROR(_xlfn.XLOOKUP(1, (Facturas_Odoo!$D:$D=A1168) * (Facturas_Odoo!$K:$K=I1168), Facturas_Odoo!$Q:$Q, 0), 0))</f>
        <v/>
      </c>
      <c r="X1168" s="79">
        <f>IF(OR(Q1168="Sin Factura",Q1168=""),"",IFERROR(INDEX(Pagos_Odoo!$B:$B, MATCH(Q1168, Pagos_Odoo!$I:$I, 0)), "Sin Pago"))</f>
        <v/>
      </c>
      <c r="Y1168" s="79">
        <f>IF(X1168="Sin Pago","",IFERROR(INDEX(Pagos_Odoo!$C:$C, MATCH(X1168, Pagos_Odoo!$B:$B, 0)), ""))</f>
        <v/>
      </c>
      <c r="Z1168" s="80">
        <f>IF(X1168="Sin Pago","",IFERROR(INDEX(Pagos_Odoo!$A:$A, MATCH(X1168, Pagos_Odoo!$B:$B, 0)), ""))</f>
        <v/>
      </c>
      <c r="AA1168" s="79">
        <f>IF(X1168="Sin Pago","",IFERROR(INDEX(Pagos_Odoo!$F:$F, MATCH(X1168, Pagos_Odoo!$B:$B, 0)), ""))</f>
        <v/>
      </c>
      <c r="AB1168" s="81">
        <f>IF(X1168="Sin Pago",0,IFERROR(INDEX(Pagos_Odoo!$E:$E, MATCH(X1168, Pagos_Odoo!$B:$B, 0)), 0))</f>
        <v/>
      </c>
      <c r="AC1168" s="79">
        <f>IF(X1168="Sin Pago","",IFERROR(INDEX(Pagos_Odoo!$G:$G, MATCH(X1168, Pagos_Odoo!$B:$B, 0)), ""))</f>
        <v/>
      </c>
      <c r="AD1168" s="82" t="n">
        <v>0</v>
      </c>
      <c r="AE1168" s="82" t="n"/>
      <c r="AF1168" s="82" t="n"/>
      <c r="AG1168" s="82">
        <f>IF(AN1168="","",AD1168+AE1168+AF1168)</f>
        <v/>
      </c>
      <c r="AH1168" s="81">
        <f>IF(AN1168="","",P1168*(1-AG1168))</f>
        <v/>
      </c>
      <c r="AI1168" s="81">
        <f>IF(AN1168="","",IF(Q1168="Sin Factura",0,IFERROR(INDEX(Facturas_Odoo!$H:$H, MATCH(Q1168, Facturas_Odoo!$B:$B, 0)), 0)*(1-AG1168)))</f>
        <v/>
      </c>
      <c r="AJ1168" s="81">
        <f>IF(AN1168="","",_xlfn.LET(idVenta, AN1168&amp;"",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68" s="81">
        <f>IF(AN1168="","",AH1168-AJ1168)</f>
        <v/>
      </c>
      <c r="AL1168" s="81">
        <f>IF(AN1168="","",IF(Q1168="Sin Factura","",AI1168-AJ1168))</f>
        <v/>
      </c>
      <c r="AM1168" s="81">
        <f>IF(AN1168="","",IF(Q1168="Sin Factura",0,P1168-IFERROR(INDEX(Facturas_Odoo!$H:$H, MATCH(Q1168, Facturas_Odoo!$B:$B, 0)), 0)))</f>
        <v/>
      </c>
      <c r="AN1168" s="79">
        <f>IF(AND(A1168="", J1168=""), "", IF(A1168&lt;&gt;"", VALUE(MID(A1168,2,LEN(A1168))), AN1167))</f>
        <v/>
      </c>
      <c r="AO1168" s="79">
        <f>IF(AN1168="","",IF(AD1168=0,"OK",_xlfn.LET(monedaPago, IF(AA1168="","USD",AA1168), limitePermitido, IFERROR(VLOOKUP(monedaPago, Configuración!$A$2:$B$3, 2, FALSE), 0.15), IF(AD1168&gt;limitePermitido, "ALERTA: EXCESO (" &amp; TEXT(limitePermitido, "0%") &amp; " máx)", "OK"))))</f>
        <v/>
      </c>
      <c r="AP1168" s="79">
        <f>IF(AN1168="","",IF(AE1168=0,"OK",_xlfn.LET(fechaPago, Z1168, fechaFactura, R1168, diasCredito, IF(E1168="Pago inmediato", 0, IFERROR(VALUE(MID(E1168, 1, SEARCH(" ", E1168)-1)),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68" s="79">
        <f>IF(AN1168="","",IF(AND(N1168&gt;0, AG1168&gt;0), IF(Configuración!$K$2="NO", "ALERTA: DESCUENTO DOBLE NO PERMITIDO", "OK"), "OK"))</f>
        <v/>
      </c>
      <c r="AR1168" s="79">
        <f>IF(AN1168="","",IF(OR(AO1168&lt;&gt;"OK", AP1168&lt;&gt;"OK", AQ1168&lt;&gt;"OK"), "⚠️ REVISAR", "OK"))</f>
        <v/>
      </c>
    </row>
    <row r="1169">
      <c r="A1169" s="79">
        <f>IF('Ordenes_Odoo'!A1169="","",'Ordenes_Odoo'!A1169)</f>
        <v/>
      </c>
      <c r="B1169" s="80">
        <f>IF('Ordenes_Odoo'!B1169="","",'Ordenes_Odoo'!B1169)</f>
        <v/>
      </c>
      <c r="C1169" s="79">
        <f>IF('Ordenes_Odoo'!C1169="","",'Ordenes_Odoo'!C1169)</f>
        <v/>
      </c>
      <c r="D1169" s="79">
        <f>IF('Ordenes_Odoo'!D1169="","",'Ordenes_Odoo'!D1169)</f>
        <v/>
      </c>
      <c r="E1169" s="79">
        <f>IF('Ordenes_Odoo'!E1169="","",'Ordenes_Odoo'!E1169)</f>
        <v/>
      </c>
      <c r="F1169" s="79">
        <f>IF('Ordenes_Odoo'!F1169="","",'Ordenes_Odoo'!F1169)</f>
        <v/>
      </c>
      <c r="G1169" s="79">
        <f>IF('Ordenes_Odoo'!G1169="","",'Ordenes_Odoo'!G1169)</f>
        <v/>
      </c>
      <c r="H1169" s="79">
        <f>IF('Ordenes_Odoo'!H1169="","",'Ordenes_Odoo'!H1169)</f>
        <v/>
      </c>
      <c r="I1169" s="79">
        <f>IF('Ordenes_Odoo'!I1169="","",'Ordenes_Odoo'!I1169)</f>
        <v/>
      </c>
      <c r="J1169" s="79">
        <f>IF('Ordenes_Odoo'!J1169="","",'Ordenes_Odoo'!J1169)</f>
        <v/>
      </c>
      <c r="K1169" s="81">
        <f>IF('Ordenes_Odoo'!K1169="","",'Ordenes_Odoo'!K1169)</f>
        <v/>
      </c>
      <c r="L1169" s="81">
        <f>IF('Ordenes_Odoo'!L1169="","",'Ordenes_Odoo'!L1169)</f>
        <v/>
      </c>
      <c r="M1169" s="79">
        <f>IF('Ordenes_Odoo'!M1169="","",'Ordenes_Odoo'!M1169)</f>
        <v/>
      </c>
      <c r="N1169" s="79">
        <f>IF('Ordenes_Odoo'!N1169="","",'Ordenes_Odoo'!N1169)</f>
        <v/>
      </c>
      <c r="O1169" s="81">
        <f>IF('Ordenes_Odoo'!O1169="","",'Ordenes_Odoo'!O1169)</f>
        <v/>
      </c>
      <c r="P1169" s="81">
        <f>IF('Ordenes_Odoo'!P1169="","",'Ordenes_Odoo'!P1169)</f>
        <v/>
      </c>
      <c r="Q1169" s="79">
        <f>IF(A1169="","",IFERROR(INDEX(Facturas_Odoo!$B:$B, MATCH(A1169, Facturas_Odoo!$D:$D, 0)), "Sin Factura"))</f>
        <v/>
      </c>
      <c r="R1169" s="80">
        <f>IF(Q1169="Sin Factura","",IFERROR(INDEX(Facturas_Odoo!$A:$A, MATCH(Q1169, Facturas_Odoo!$B:$B, 0)), ""))</f>
        <v/>
      </c>
      <c r="S1169" s="79">
        <f>IF(Q1169="Sin Factura","",IFERROR(_xlfn.XLOOKUP(1, (Facturas_Odoo!$D:$D=A1169) * (Facturas_Odoo!$K:$K=I1169), Facturas_Odoo!$L:$L, ""), ""))</f>
        <v/>
      </c>
      <c r="T1169" s="81">
        <f>IF(Q1169="Sin Factura",0,IFERROR(_xlfn.XLOOKUP(1, (Facturas_Odoo!$D:$D=A1169) * (Facturas_Odoo!$K:$K=I1169), Facturas_Odoo!$M:$M, 0), 0))</f>
        <v/>
      </c>
      <c r="U1169" s="79">
        <f>IF(Q1169="Sin Factura",0,IFERROR(_xlfn.XLOOKUP(1, (Facturas_Odoo!$D:$D=A1169) * (Facturas_Odoo!$K:$K=I1169), Facturas_Odoo!$N:$N, 0), 0))</f>
        <v/>
      </c>
      <c r="V1169" s="79">
        <f>IF(Q1169="Sin Factura",0,IFERROR(_xlfn.XLOOKUP(1, (Facturas_Odoo!$D:$D=A1169) * (Facturas_Odoo!$K:$K=I1169), Facturas_Odoo!$O:$O, 0), 0))</f>
        <v/>
      </c>
      <c r="W1169" s="81">
        <f>IF(Q1169="Sin Factura",0,IFERROR(_xlfn.XLOOKUP(1, (Facturas_Odoo!$D:$D=A1169) * (Facturas_Odoo!$K:$K=I1169), Facturas_Odoo!$Q:$Q, 0), 0))</f>
        <v/>
      </c>
      <c r="X1169" s="79">
        <f>IF(OR(Q1169="Sin Factura",Q1169=""),"",IFERROR(INDEX(Pagos_Odoo!$B:$B, MATCH(Q1169, Pagos_Odoo!$I:$I, 0)), "Sin Pago"))</f>
        <v/>
      </c>
      <c r="Y1169" s="79">
        <f>IF(X1169="Sin Pago","",IFERROR(INDEX(Pagos_Odoo!$C:$C, MATCH(X1169, Pagos_Odoo!$B:$B, 0)), ""))</f>
        <v/>
      </c>
      <c r="Z1169" s="80">
        <f>IF(X1169="Sin Pago","",IFERROR(INDEX(Pagos_Odoo!$A:$A, MATCH(X1169, Pagos_Odoo!$B:$B, 0)), ""))</f>
        <v/>
      </c>
      <c r="AA1169" s="79">
        <f>IF(X1169="Sin Pago","",IFERROR(INDEX(Pagos_Odoo!$F:$F, MATCH(X1169, Pagos_Odoo!$B:$B, 0)), ""))</f>
        <v/>
      </c>
      <c r="AB1169" s="81">
        <f>IF(X1169="Sin Pago",0,IFERROR(INDEX(Pagos_Odoo!$E:$E, MATCH(X1169, Pagos_Odoo!$B:$B, 0)), 0))</f>
        <v/>
      </c>
      <c r="AC1169" s="79">
        <f>IF(X1169="Sin Pago","",IFERROR(INDEX(Pagos_Odoo!$G:$G, MATCH(X1169, Pagos_Odoo!$B:$B, 0)), ""))</f>
        <v/>
      </c>
      <c r="AD1169" s="82" t="n">
        <v>0</v>
      </c>
      <c r="AE1169" s="82" t="n"/>
      <c r="AF1169" s="82" t="n"/>
      <c r="AG1169" s="82">
        <f>IF(AN1169="","",AD1169+AE1169+AF1169)</f>
        <v/>
      </c>
      <c r="AH1169" s="81">
        <f>IF(AN1169="","",P1169*(1-AG1169))</f>
        <v/>
      </c>
      <c r="AI1169" s="81">
        <f>IF(AN1169="","",IF(Q1169="Sin Factura",0,IFERROR(INDEX(Facturas_Odoo!$H:$H, MATCH(Q1169, Facturas_Odoo!$B:$B, 0)), 0)*(1-AG1169)))</f>
        <v/>
      </c>
      <c r="AJ1169" s="81">
        <f>IF(AN1169="","",_xlfn.LET(idVenta, AN1169&amp;"",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69" s="81">
        <f>IF(AN1169="","",AH1169-AJ1169)</f>
        <v/>
      </c>
      <c r="AL1169" s="81">
        <f>IF(AN1169="","",IF(Q1169="Sin Factura","",AI1169-AJ1169))</f>
        <v/>
      </c>
      <c r="AM1169" s="81">
        <f>IF(AN1169="","",IF(Q1169="Sin Factura",0,P1169-IFERROR(INDEX(Facturas_Odoo!$H:$H, MATCH(Q1169, Facturas_Odoo!$B:$B, 0)), 0)))</f>
        <v/>
      </c>
      <c r="AN1169" s="79">
        <f>IF(AND(A1169="", J1169=""), "", IF(A1169&lt;&gt;"", VALUE(MID(A1169,2,LEN(A1169))), AN1168))</f>
        <v/>
      </c>
      <c r="AO1169" s="79">
        <f>IF(AN1169="","",IF(AD1169=0,"OK",_xlfn.LET(monedaPago, IF(AA1169="","USD",AA1169), limitePermitido, IFERROR(VLOOKUP(monedaPago, Configuración!$A$2:$B$3, 2, FALSE), 0.15), IF(AD1169&gt;limitePermitido, "ALERTA: EXCESO (" &amp; TEXT(limitePermitido, "0%") &amp; " máx)", "OK"))))</f>
        <v/>
      </c>
      <c r="AP1169" s="79">
        <f>IF(AN1169="","",IF(AE1169=0,"OK",_xlfn.LET(fechaPago, Z1169, fechaFactura, R1169, diasCredito, IF(E1169="Pago inmediato", 0, IFERROR(VALUE(MID(E1169, 1, SEARCH(" ", E1169)-1)),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69" s="79">
        <f>IF(AN1169="","",IF(AND(N1169&gt;0, AG1169&gt;0), IF(Configuración!$K$2="NO", "ALERTA: DESCUENTO DOBLE NO PERMITIDO", "OK"), "OK"))</f>
        <v/>
      </c>
      <c r="AR1169" s="79">
        <f>IF(AN1169="","",IF(OR(AO1169&lt;&gt;"OK", AP1169&lt;&gt;"OK", AQ1169&lt;&gt;"OK"), "⚠️ REVISAR", "OK"))</f>
        <v/>
      </c>
    </row>
    <row r="1170">
      <c r="A1170" s="79">
        <f>IF('Ordenes_Odoo'!A1170="","",'Ordenes_Odoo'!A1170)</f>
        <v/>
      </c>
      <c r="B1170" s="80">
        <f>IF('Ordenes_Odoo'!B1170="","",'Ordenes_Odoo'!B1170)</f>
        <v/>
      </c>
      <c r="C1170" s="79">
        <f>IF('Ordenes_Odoo'!C1170="","",'Ordenes_Odoo'!C1170)</f>
        <v/>
      </c>
      <c r="D1170" s="79">
        <f>IF('Ordenes_Odoo'!D1170="","",'Ordenes_Odoo'!D1170)</f>
        <v/>
      </c>
      <c r="E1170" s="79">
        <f>IF('Ordenes_Odoo'!E1170="","",'Ordenes_Odoo'!E1170)</f>
        <v/>
      </c>
      <c r="F1170" s="79">
        <f>IF('Ordenes_Odoo'!F1170="","",'Ordenes_Odoo'!F1170)</f>
        <v/>
      </c>
      <c r="G1170" s="79">
        <f>IF('Ordenes_Odoo'!G1170="","",'Ordenes_Odoo'!G1170)</f>
        <v/>
      </c>
      <c r="H1170" s="79">
        <f>IF('Ordenes_Odoo'!H1170="","",'Ordenes_Odoo'!H1170)</f>
        <v/>
      </c>
      <c r="I1170" s="79">
        <f>IF('Ordenes_Odoo'!I1170="","",'Ordenes_Odoo'!I1170)</f>
        <v/>
      </c>
      <c r="J1170" s="79">
        <f>IF('Ordenes_Odoo'!J1170="","",'Ordenes_Odoo'!J1170)</f>
        <v/>
      </c>
      <c r="K1170" s="81">
        <f>IF('Ordenes_Odoo'!K1170="","",'Ordenes_Odoo'!K1170)</f>
        <v/>
      </c>
      <c r="L1170" s="81">
        <f>IF('Ordenes_Odoo'!L1170="","",'Ordenes_Odoo'!L1170)</f>
        <v/>
      </c>
      <c r="M1170" s="79">
        <f>IF('Ordenes_Odoo'!M1170="","",'Ordenes_Odoo'!M1170)</f>
        <v/>
      </c>
      <c r="N1170" s="79">
        <f>IF('Ordenes_Odoo'!N1170="","",'Ordenes_Odoo'!N1170)</f>
        <v/>
      </c>
      <c r="O1170" s="81">
        <f>IF('Ordenes_Odoo'!O1170="","",'Ordenes_Odoo'!O1170)</f>
        <v/>
      </c>
      <c r="P1170" s="81">
        <f>IF('Ordenes_Odoo'!P1170="","",'Ordenes_Odoo'!P1170)</f>
        <v/>
      </c>
      <c r="Q1170" s="79">
        <f>IF(A1170="","",IFERROR(INDEX(Facturas_Odoo!$B:$B, MATCH(A1170, Facturas_Odoo!$D:$D, 0)), "Sin Factura"))</f>
        <v/>
      </c>
      <c r="R1170" s="80">
        <f>IF(Q1170="Sin Factura","",IFERROR(INDEX(Facturas_Odoo!$A:$A, MATCH(Q1170, Facturas_Odoo!$B:$B, 0)), ""))</f>
        <v/>
      </c>
      <c r="S1170" s="79">
        <f>IF(Q1170="Sin Factura","",IFERROR(_xlfn.XLOOKUP(1, (Facturas_Odoo!$D:$D=A1170) * (Facturas_Odoo!$K:$K=I1170), Facturas_Odoo!$L:$L, ""), ""))</f>
        <v/>
      </c>
      <c r="T1170" s="81">
        <f>IF(Q1170="Sin Factura",0,IFERROR(_xlfn.XLOOKUP(1, (Facturas_Odoo!$D:$D=A1170) * (Facturas_Odoo!$K:$K=I1170), Facturas_Odoo!$M:$M, 0), 0))</f>
        <v/>
      </c>
      <c r="U1170" s="79">
        <f>IF(Q1170="Sin Factura",0,IFERROR(_xlfn.XLOOKUP(1, (Facturas_Odoo!$D:$D=A1170) * (Facturas_Odoo!$K:$K=I1170), Facturas_Odoo!$N:$N, 0), 0))</f>
        <v/>
      </c>
      <c r="V1170" s="79">
        <f>IF(Q1170="Sin Factura",0,IFERROR(_xlfn.XLOOKUP(1, (Facturas_Odoo!$D:$D=A1170) * (Facturas_Odoo!$K:$K=I1170), Facturas_Odoo!$O:$O, 0), 0))</f>
        <v/>
      </c>
      <c r="W1170" s="81">
        <f>IF(Q1170="Sin Factura",0,IFERROR(_xlfn.XLOOKUP(1, (Facturas_Odoo!$D:$D=A1170) * (Facturas_Odoo!$K:$K=I1170), Facturas_Odoo!$Q:$Q, 0), 0))</f>
        <v/>
      </c>
      <c r="X1170" s="79">
        <f>IF(OR(Q1170="Sin Factura",Q1170=""),"",IFERROR(INDEX(Pagos_Odoo!$B:$B, MATCH(Q1170, Pagos_Odoo!$I:$I, 0)), "Sin Pago"))</f>
        <v/>
      </c>
      <c r="Y1170" s="79">
        <f>IF(X1170="Sin Pago","",IFERROR(INDEX(Pagos_Odoo!$C:$C, MATCH(X1170, Pagos_Odoo!$B:$B, 0)), ""))</f>
        <v/>
      </c>
      <c r="Z1170" s="80">
        <f>IF(X1170="Sin Pago","",IFERROR(INDEX(Pagos_Odoo!$A:$A, MATCH(X1170, Pagos_Odoo!$B:$B, 0)), ""))</f>
        <v/>
      </c>
      <c r="AA1170" s="79">
        <f>IF(X1170="Sin Pago","",IFERROR(INDEX(Pagos_Odoo!$F:$F, MATCH(X1170, Pagos_Odoo!$B:$B, 0)), ""))</f>
        <v/>
      </c>
      <c r="AB1170" s="81">
        <f>IF(X1170="Sin Pago",0,IFERROR(INDEX(Pagos_Odoo!$E:$E, MATCH(X1170, Pagos_Odoo!$B:$B, 0)), 0))</f>
        <v/>
      </c>
      <c r="AC1170" s="79">
        <f>IF(X1170="Sin Pago","",IFERROR(INDEX(Pagos_Odoo!$G:$G, MATCH(X1170, Pagos_Odoo!$B:$B, 0)), ""))</f>
        <v/>
      </c>
      <c r="AD1170" s="82" t="n">
        <v>0</v>
      </c>
      <c r="AE1170" s="82" t="n"/>
      <c r="AF1170" s="82" t="n"/>
      <c r="AG1170" s="82">
        <f>IF(AN1170="","",AD1170+AE1170+AF1170)</f>
        <v/>
      </c>
      <c r="AH1170" s="81">
        <f>IF(AN1170="","",P1170*(1-AG1170))</f>
        <v/>
      </c>
      <c r="AI1170" s="81">
        <f>IF(AN1170="","",IF(Q1170="Sin Factura",0,IFERROR(INDEX(Facturas_Odoo!$H:$H, MATCH(Q1170, Facturas_Odoo!$B:$B, 0)), 0)*(1-AG1170)))</f>
        <v/>
      </c>
      <c r="AJ1170" s="81">
        <f>IF(AN1170="","",_xlfn.LET(idVenta, AN1170&amp;"",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70" s="81">
        <f>IF(AN1170="","",AH1170-AJ1170)</f>
        <v/>
      </c>
      <c r="AL1170" s="81">
        <f>IF(AN1170="","",IF(Q1170="Sin Factura","",AI1170-AJ1170))</f>
        <v/>
      </c>
      <c r="AM1170" s="81">
        <f>IF(AN1170="","",IF(Q1170="Sin Factura",0,P1170-IFERROR(INDEX(Facturas_Odoo!$H:$H, MATCH(Q1170, Facturas_Odoo!$B:$B, 0)), 0)))</f>
        <v/>
      </c>
      <c r="AN1170" s="79">
        <f>IF(AND(A1170="", J1170=""), "", IF(A1170&lt;&gt;"", VALUE(MID(A1170,2,LEN(A1170))), AN1169))</f>
        <v/>
      </c>
      <c r="AO1170" s="79">
        <f>IF(AN1170="","",IF(AD1170=0,"OK",_xlfn.LET(monedaPago, IF(AA1170="","USD",AA1170), limitePermitido, IFERROR(VLOOKUP(monedaPago, Configuración!$A$2:$B$3, 2, FALSE), 0.15), IF(AD1170&gt;limitePermitido, "ALERTA: EXCESO (" &amp; TEXT(limitePermitido, "0%") &amp; " máx)", "OK"))))</f>
        <v/>
      </c>
      <c r="AP1170" s="79">
        <f>IF(AN1170="","",IF(AE1170=0,"OK",_xlfn.LET(fechaPago, Z1170, fechaFactura, R1170, diasCredito, IF(E1170="Pago inmediato", 0, IFERROR(VALUE(MID(E1170, 1, SEARCH(" ", E1170)-1)),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70" s="79">
        <f>IF(AN1170="","",IF(AND(N1170&gt;0, AG1170&gt;0), IF(Configuración!$K$2="NO", "ALERTA: DESCUENTO DOBLE NO PERMITIDO", "OK"), "OK"))</f>
        <v/>
      </c>
      <c r="AR1170" s="79">
        <f>IF(AN1170="","",IF(OR(AO1170&lt;&gt;"OK", AP1170&lt;&gt;"OK", AQ1170&lt;&gt;"OK"), "⚠️ REVISAR", "OK"))</f>
        <v/>
      </c>
    </row>
    <row r="1171">
      <c r="A1171" s="79">
        <f>IF('Ordenes_Odoo'!A1171="","",'Ordenes_Odoo'!A1171)</f>
        <v/>
      </c>
      <c r="B1171" s="80">
        <f>IF('Ordenes_Odoo'!B1171="","",'Ordenes_Odoo'!B1171)</f>
        <v/>
      </c>
      <c r="C1171" s="79">
        <f>IF('Ordenes_Odoo'!C1171="","",'Ordenes_Odoo'!C1171)</f>
        <v/>
      </c>
      <c r="D1171" s="79">
        <f>IF('Ordenes_Odoo'!D1171="","",'Ordenes_Odoo'!D1171)</f>
        <v/>
      </c>
      <c r="E1171" s="79">
        <f>IF('Ordenes_Odoo'!E1171="","",'Ordenes_Odoo'!E1171)</f>
        <v/>
      </c>
      <c r="F1171" s="79">
        <f>IF('Ordenes_Odoo'!F1171="","",'Ordenes_Odoo'!F1171)</f>
        <v/>
      </c>
      <c r="G1171" s="79">
        <f>IF('Ordenes_Odoo'!G1171="","",'Ordenes_Odoo'!G1171)</f>
        <v/>
      </c>
      <c r="H1171" s="79">
        <f>IF('Ordenes_Odoo'!H1171="","",'Ordenes_Odoo'!H1171)</f>
        <v/>
      </c>
      <c r="I1171" s="79">
        <f>IF('Ordenes_Odoo'!I1171="","",'Ordenes_Odoo'!I1171)</f>
        <v/>
      </c>
      <c r="J1171" s="79">
        <f>IF('Ordenes_Odoo'!J1171="","",'Ordenes_Odoo'!J1171)</f>
        <v/>
      </c>
      <c r="K1171" s="81">
        <f>IF('Ordenes_Odoo'!K1171="","",'Ordenes_Odoo'!K1171)</f>
        <v/>
      </c>
      <c r="L1171" s="81">
        <f>IF('Ordenes_Odoo'!L1171="","",'Ordenes_Odoo'!L1171)</f>
        <v/>
      </c>
      <c r="M1171" s="79">
        <f>IF('Ordenes_Odoo'!M1171="","",'Ordenes_Odoo'!M1171)</f>
        <v/>
      </c>
      <c r="N1171" s="79">
        <f>IF('Ordenes_Odoo'!N1171="","",'Ordenes_Odoo'!N1171)</f>
        <v/>
      </c>
      <c r="O1171" s="81">
        <f>IF('Ordenes_Odoo'!O1171="","",'Ordenes_Odoo'!O1171)</f>
        <v/>
      </c>
      <c r="P1171" s="81">
        <f>IF('Ordenes_Odoo'!P1171="","",'Ordenes_Odoo'!P1171)</f>
        <v/>
      </c>
      <c r="Q1171" s="79">
        <f>IF(A1171="","",IFERROR(INDEX(Facturas_Odoo!$B:$B, MATCH(A1171, Facturas_Odoo!$D:$D, 0)), "Sin Factura"))</f>
        <v/>
      </c>
      <c r="R1171" s="80">
        <f>IF(Q1171="Sin Factura","",IFERROR(INDEX(Facturas_Odoo!$A:$A, MATCH(Q1171, Facturas_Odoo!$B:$B, 0)), ""))</f>
        <v/>
      </c>
      <c r="S1171" s="79">
        <f>IF(Q1171="Sin Factura","",IFERROR(_xlfn.XLOOKUP(1, (Facturas_Odoo!$D:$D=A1171) * (Facturas_Odoo!$K:$K=I1171), Facturas_Odoo!$L:$L, ""), ""))</f>
        <v/>
      </c>
      <c r="T1171" s="81">
        <f>IF(Q1171="Sin Factura",0,IFERROR(_xlfn.XLOOKUP(1, (Facturas_Odoo!$D:$D=A1171) * (Facturas_Odoo!$K:$K=I1171), Facturas_Odoo!$M:$M, 0), 0))</f>
        <v/>
      </c>
      <c r="U1171" s="79">
        <f>IF(Q1171="Sin Factura",0,IFERROR(_xlfn.XLOOKUP(1, (Facturas_Odoo!$D:$D=A1171) * (Facturas_Odoo!$K:$K=I1171), Facturas_Odoo!$N:$N, 0), 0))</f>
        <v/>
      </c>
      <c r="V1171" s="79">
        <f>IF(Q1171="Sin Factura",0,IFERROR(_xlfn.XLOOKUP(1, (Facturas_Odoo!$D:$D=A1171) * (Facturas_Odoo!$K:$K=I1171), Facturas_Odoo!$O:$O, 0), 0))</f>
        <v/>
      </c>
      <c r="W1171" s="81">
        <f>IF(Q1171="Sin Factura",0,IFERROR(_xlfn.XLOOKUP(1, (Facturas_Odoo!$D:$D=A1171) * (Facturas_Odoo!$K:$K=I1171), Facturas_Odoo!$Q:$Q, 0), 0))</f>
        <v/>
      </c>
      <c r="X1171" s="79">
        <f>IF(OR(Q1171="Sin Factura",Q1171=""),"",IFERROR(INDEX(Pagos_Odoo!$B:$B, MATCH(Q1171, Pagos_Odoo!$I:$I, 0)), "Sin Pago"))</f>
        <v/>
      </c>
      <c r="Y1171" s="79">
        <f>IF(X1171="Sin Pago","",IFERROR(INDEX(Pagos_Odoo!$C:$C, MATCH(X1171, Pagos_Odoo!$B:$B, 0)), ""))</f>
        <v/>
      </c>
      <c r="Z1171" s="80">
        <f>IF(X1171="Sin Pago","",IFERROR(INDEX(Pagos_Odoo!$A:$A, MATCH(X1171, Pagos_Odoo!$B:$B, 0)), ""))</f>
        <v/>
      </c>
      <c r="AA1171" s="79">
        <f>IF(X1171="Sin Pago","",IFERROR(INDEX(Pagos_Odoo!$F:$F, MATCH(X1171, Pagos_Odoo!$B:$B, 0)), ""))</f>
        <v/>
      </c>
      <c r="AB1171" s="81">
        <f>IF(X1171="Sin Pago",0,IFERROR(INDEX(Pagos_Odoo!$E:$E, MATCH(X1171, Pagos_Odoo!$B:$B, 0)), 0))</f>
        <v/>
      </c>
      <c r="AC1171" s="79">
        <f>IF(X1171="Sin Pago","",IFERROR(INDEX(Pagos_Odoo!$G:$G, MATCH(X1171, Pagos_Odoo!$B:$B, 0)), ""))</f>
        <v/>
      </c>
      <c r="AD1171" s="82" t="n">
        <v>0</v>
      </c>
      <c r="AE1171" s="82" t="n"/>
      <c r="AF1171" s="82" t="n"/>
      <c r="AG1171" s="82">
        <f>IF(AN1171="","",AD1171+AE1171+AF1171)</f>
        <v/>
      </c>
      <c r="AH1171" s="81">
        <f>IF(AN1171="","",P1171*(1-AG1171))</f>
        <v/>
      </c>
      <c r="AI1171" s="81">
        <f>IF(AN1171="","",IF(Q1171="Sin Factura",0,IFERROR(INDEX(Facturas_Odoo!$H:$H, MATCH(Q1171, Facturas_Odoo!$B:$B, 0)), 0)*(1-AG1171)))</f>
        <v/>
      </c>
      <c r="AJ1171" s="81">
        <f>IF(AN1171="","",_xlfn.LET(idVenta, AN1171&amp;"",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71" s="81">
        <f>IF(AN1171="","",AH1171-AJ1171)</f>
        <v/>
      </c>
      <c r="AL1171" s="81">
        <f>IF(AN1171="","",IF(Q1171="Sin Factura","",AI1171-AJ1171))</f>
        <v/>
      </c>
      <c r="AM1171" s="81">
        <f>IF(AN1171="","",IF(Q1171="Sin Factura",0,P1171-IFERROR(INDEX(Facturas_Odoo!$H:$H, MATCH(Q1171, Facturas_Odoo!$B:$B, 0)), 0)))</f>
        <v/>
      </c>
      <c r="AN1171" s="79">
        <f>IF(AND(A1171="", J1171=""), "", IF(A1171&lt;&gt;"", VALUE(MID(A1171,2,LEN(A1171))), AN1170))</f>
        <v/>
      </c>
      <c r="AO1171" s="79">
        <f>IF(AN1171="","",IF(AD1171=0,"OK",_xlfn.LET(monedaPago, IF(AA1171="","USD",AA1171), limitePermitido, IFERROR(VLOOKUP(monedaPago, Configuración!$A$2:$B$3, 2, FALSE), 0.15), IF(AD1171&gt;limitePermitido, "ALERTA: EXCESO (" &amp; TEXT(limitePermitido, "0%") &amp; " máx)", "OK"))))</f>
        <v/>
      </c>
      <c r="AP1171" s="79">
        <f>IF(AN1171="","",IF(AE1171=0,"OK",_xlfn.LET(fechaPago, Z1171, fechaFactura, R1171, diasCredito, IF(E1171="Pago inmediato", 0, IFERROR(VALUE(MID(E1171, 1, SEARCH(" ", E1171)-1)),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71" s="79">
        <f>IF(AN1171="","",IF(AND(N1171&gt;0, AG1171&gt;0), IF(Configuración!$K$2="NO", "ALERTA: DESCUENTO DOBLE NO PERMITIDO", "OK"), "OK"))</f>
        <v/>
      </c>
      <c r="AR1171" s="79">
        <f>IF(AN1171="","",IF(OR(AO1171&lt;&gt;"OK", AP1171&lt;&gt;"OK", AQ1171&lt;&gt;"OK"), "⚠️ REVISAR", "OK"))</f>
        <v/>
      </c>
    </row>
    <row r="1172">
      <c r="A1172" s="79">
        <f>IF('Ordenes_Odoo'!A1172="","",'Ordenes_Odoo'!A1172)</f>
        <v/>
      </c>
      <c r="B1172" s="80">
        <f>IF('Ordenes_Odoo'!B1172="","",'Ordenes_Odoo'!B1172)</f>
        <v/>
      </c>
      <c r="C1172" s="79">
        <f>IF('Ordenes_Odoo'!C1172="","",'Ordenes_Odoo'!C1172)</f>
        <v/>
      </c>
      <c r="D1172" s="79">
        <f>IF('Ordenes_Odoo'!D1172="","",'Ordenes_Odoo'!D1172)</f>
        <v/>
      </c>
      <c r="E1172" s="79">
        <f>IF('Ordenes_Odoo'!E1172="","",'Ordenes_Odoo'!E1172)</f>
        <v/>
      </c>
      <c r="F1172" s="79">
        <f>IF('Ordenes_Odoo'!F1172="","",'Ordenes_Odoo'!F1172)</f>
        <v/>
      </c>
      <c r="G1172" s="79">
        <f>IF('Ordenes_Odoo'!G1172="","",'Ordenes_Odoo'!G1172)</f>
        <v/>
      </c>
      <c r="H1172" s="79">
        <f>IF('Ordenes_Odoo'!H1172="","",'Ordenes_Odoo'!H1172)</f>
        <v/>
      </c>
      <c r="I1172" s="79">
        <f>IF('Ordenes_Odoo'!I1172="","",'Ordenes_Odoo'!I1172)</f>
        <v/>
      </c>
      <c r="J1172" s="79">
        <f>IF('Ordenes_Odoo'!J1172="","",'Ordenes_Odoo'!J1172)</f>
        <v/>
      </c>
      <c r="K1172" s="81">
        <f>IF('Ordenes_Odoo'!K1172="","",'Ordenes_Odoo'!K1172)</f>
        <v/>
      </c>
      <c r="L1172" s="81">
        <f>IF('Ordenes_Odoo'!L1172="","",'Ordenes_Odoo'!L1172)</f>
        <v/>
      </c>
      <c r="M1172" s="79">
        <f>IF('Ordenes_Odoo'!M1172="","",'Ordenes_Odoo'!M1172)</f>
        <v/>
      </c>
      <c r="N1172" s="79">
        <f>IF('Ordenes_Odoo'!N1172="","",'Ordenes_Odoo'!N1172)</f>
        <v/>
      </c>
      <c r="O1172" s="81">
        <f>IF('Ordenes_Odoo'!O1172="","",'Ordenes_Odoo'!O1172)</f>
        <v/>
      </c>
      <c r="P1172" s="81">
        <f>IF('Ordenes_Odoo'!P1172="","",'Ordenes_Odoo'!P1172)</f>
        <v/>
      </c>
      <c r="Q1172" s="79">
        <f>IF(A1172="","",IFERROR(INDEX(Facturas_Odoo!$B:$B, MATCH(A1172, Facturas_Odoo!$D:$D, 0)), "Sin Factura"))</f>
        <v/>
      </c>
      <c r="R1172" s="80">
        <f>IF(Q1172="Sin Factura","",IFERROR(INDEX(Facturas_Odoo!$A:$A, MATCH(Q1172, Facturas_Odoo!$B:$B, 0)), ""))</f>
        <v/>
      </c>
      <c r="S1172" s="79">
        <f>IF(Q1172="Sin Factura","",IFERROR(_xlfn.XLOOKUP(1, (Facturas_Odoo!$D:$D=A1172) * (Facturas_Odoo!$K:$K=I1172), Facturas_Odoo!$L:$L, ""), ""))</f>
        <v/>
      </c>
      <c r="T1172" s="81">
        <f>IF(Q1172="Sin Factura",0,IFERROR(_xlfn.XLOOKUP(1, (Facturas_Odoo!$D:$D=A1172) * (Facturas_Odoo!$K:$K=I1172), Facturas_Odoo!$M:$M, 0), 0))</f>
        <v/>
      </c>
      <c r="U1172" s="79">
        <f>IF(Q1172="Sin Factura",0,IFERROR(_xlfn.XLOOKUP(1, (Facturas_Odoo!$D:$D=A1172) * (Facturas_Odoo!$K:$K=I1172), Facturas_Odoo!$N:$N, 0), 0))</f>
        <v/>
      </c>
      <c r="V1172" s="79">
        <f>IF(Q1172="Sin Factura",0,IFERROR(_xlfn.XLOOKUP(1, (Facturas_Odoo!$D:$D=A1172) * (Facturas_Odoo!$K:$K=I1172), Facturas_Odoo!$O:$O, 0), 0))</f>
        <v/>
      </c>
      <c r="W1172" s="81">
        <f>IF(Q1172="Sin Factura",0,IFERROR(_xlfn.XLOOKUP(1, (Facturas_Odoo!$D:$D=A1172) * (Facturas_Odoo!$K:$K=I1172), Facturas_Odoo!$Q:$Q, 0), 0))</f>
        <v/>
      </c>
      <c r="X1172" s="79">
        <f>IF(OR(Q1172="Sin Factura",Q1172=""),"",IFERROR(INDEX(Pagos_Odoo!$B:$B, MATCH(Q1172, Pagos_Odoo!$I:$I, 0)), "Sin Pago"))</f>
        <v/>
      </c>
      <c r="Y1172" s="79">
        <f>IF(X1172="Sin Pago","",IFERROR(INDEX(Pagos_Odoo!$C:$C, MATCH(X1172, Pagos_Odoo!$B:$B, 0)), ""))</f>
        <v/>
      </c>
      <c r="Z1172" s="80">
        <f>IF(X1172="Sin Pago","",IFERROR(INDEX(Pagos_Odoo!$A:$A, MATCH(X1172, Pagos_Odoo!$B:$B, 0)), ""))</f>
        <v/>
      </c>
      <c r="AA1172" s="79">
        <f>IF(X1172="Sin Pago","",IFERROR(INDEX(Pagos_Odoo!$F:$F, MATCH(X1172, Pagos_Odoo!$B:$B, 0)), ""))</f>
        <v/>
      </c>
      <c r="AB1172" s="81">
        <f>IF(X1172="Sin Pago",0,IFERROR(INDEX(Pagos_Odoo!$E:$E, MATCH(X1172, Pagos_Odoo!$B:$B, 0)), 0))</f>
        <v/>
      </c>
      <c r="AC1172" s="79">
        <f>IF(X1172="Sin Pago","",IFERROR(INDEX(Pagos_Odoo!$G:$G, MATCH(X1172, Pagos_Odoo!$B:$B, 0)), ""))</f>
        <v/>
      </c>
      <c r="AD1172" s="82" t="n">
        <v>0</v>
      </c>
      <c r="AE1172" s="82" t="n"/>
      <c r="AF1172" s="82" t="n"/>
      <c r="AG1172" s="82">
        <f>IF(AN1172="","",AD1172+AE1172+AF1172)</f>
        <v/>
      </c>
      <c r="AH1172" s="81">
        <f>IF(AN1172="","",P1172*(1-AG1172))</f>
        <v/>
      </c>
      <c r="AI1172" s="81">
        <f>IF(AN1172="","",IF(Q1172="Sin Factura",0,IFERROR(INDEX(Facturas_Odoo!$H:$H, MATCH(Q1172, Facturas_Odoo!$B:$B, 0)), 0)*(1-AG1172)))</f>
        <v/>
      </c>
      <c r="AJ1172" s="81">
        <f>IF(AN1172="","",_xlfn.LET(idVenta, AN1172&amp;"",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72" s="81">
        <f>IF(AN1172="","",AH1172-AJ1172)</f>
        <v/>
      </c>
      <c r="AL1172" s="81">
        <f>IF(AN1172="","",IF(Q1172="Sin Factura","",AI1172-AJ1172))</f>
        <v/>
      </c>
      <c r="AM1172" s="81">
        <f>IF(AN1172="","",IF(Q1172="Sin Factura",0,P1172-IFERROR(INDEX(Facturas_Odoo!$H:$H, MATCH(Q1172, Facturas_Odoo!$B:$B, 0)), 0)))</f>
        <v/>
      </c>
      <c r="AN1172" s="79">
        <f>IF(AND(A1172="", J1172=""), "", IF(A1172&lt;&gt;"", VALUE(MID(A1172,2,LEN(A1172))), AN1171))</f>
        <v/>
      </c>
      <c r="AO1172" s="79">
        <f>IF(AN1172="","",IF(AD1172=0,"OK",_xlfn.LET(monedaPago, IF(AA1172="","USD",AA1172), limitePermitido, IFERROR(VLOOKUP(monedaPago, Configuración!$A$2:$B$3, 2, FALSE), 0.15), IF(AD1172&gt;limitePermitido, "ALERTA: EXCESO (" &amp; TEXT(limitePermitido, "0%") &amp; " máx)", "OK"))))</f>
        <v/>
      </c>
      <c r="AP1172" s="79">
        <f>IF(AN1172="","",IF(AE1172=0,"OK",_xlfn.LET(fechaPago, Z1172, fechaFactura, R1172, diasCredito, IF(E1172="Pago inmediato", 0, IFERROR(VALUE(MID(E1172, 1, SEARCH(" ", E1172)-1)),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72" s="79">
        <f>IF(AN1172="","",IF(AND(N1172&gt;0, AG1172&gt;0), IF(Configuración!$K$2="NO", "ALERTA: DESCUENTO DOBLE NO PERMITIDO", "OK"), "OK"))</f>
        <v/>
      </c>
      <c r="AR1172" s="79">
        <f>IF(AN1172="","",IF(OR(AO1172&lt;&gt;"OK", AP1172&lt;&gt;"OK", AQ1172&lt;&gt;"OK"), "⚠️ REVISAR", "OK"))</f>
        <v/>
      </c>
    </row>
    <row r="1173">
      <c r="A1173" s="79">
        <f>IF('Ordenes_Odoo'!A1173="","",'Ordenes_Odoo'!A1173)</f>
        <v/>
      </c>
      <c r="B1173" s="80">
        <f>IF('Ordenes_Odoo'!B1173="","",'Ordenes_Odoo'!B1173)</f>
        <v/>
      </c>
      <c r="C1173" s="79">
        <f>IF('Ordenes_Odoo'!C1173="","",'Ordenes_Odoo'!C1173)</f>
        <v/>
      </c>
      <c r="D1173" s="79">
        <f>IF('Ordenes_Odoo'!D1173="","",'Ordenes_Odoo'!D1173)</f>
        <v/>
      </c>
      <c r="E1173" s="79">
        <f>IF('Ordenes_Odoo'!E1173="","",'Ordenes_Odoo'!E1173)</f>
        <v/>
      </c>
      <c r="F1173" s="79">
        <f>IF('Ordenes_Odoo'!F1173="","",'Ordenes_Odoo'!F1173)</f>
        <v/>
      </c>
      <c r="G1173" s="79">
        <f>IF('Ordenes_Odoo'!G1173="","",'Ordenes_Odoo'!G1173)</f>
        <v/>
      </c>
      <c r="H1173" s="79">
        <f>IF('Ordenes_Odoo'!H1173="","",'Ordenes_Odoo'!H1173)</f>
        <v/>
      </c>
      <c r="I1173" s="79">
        <f>IF('Ordenes_Odoo'!I1173="","",'Ordenes_Odoo'!I1173)</f>
        <v/>
      </c>
      <c r="J1173" s="79">
        <f>IF('Ordenes_Odoo'!J1173="","",'Ordenes_Odoo'!J1173)</f>
        <v/>
      </c>
      <c r="K1173" s="81">
        <f>IF('Ordenes_Odoo'!K1173="","",'Ordenes_Odoo'!K1173)</f>
        <v/>
      </c>
      <c r="L1173" s="81">
        <f>IF('Ordenes_Odoo'!L1173="","",'Ordenes_Odoo'!L1173)</f>
        <v/>
      </c>
      <c r="M1173" s="79">
        <f>IF('Ordenes_Odoo'!M1173="","",'Ordenes_Odoo'!M1173)</f>
        <v/>
      </c>
      <c r="N1173" s="79">
        <f>IF('Ordenes_Odoo'!N1173="","",'Ordenes_Odoo'!N1173)</f>
        <v/>
      </c>
      <c r="O1173" s="81">
        <f>IF('Ordenes_Odoo'!O1173="","",'Ordenes_Odoo'!O1173)</f>
        <v/>
      </c>
      <c r="P1173" s="81">
        <f>IF('Ordenes_Odoo'!P1173="","",'Ordenes_Odoo'!P1173)</f>
        <v/>
      </c>
      <c r="Q1173" s="79">
        <f>IF(A1173="","",IFERROR(INDEX(Facturas_Odoo!$B:$B, MATCH(A1173, Facturas_Odoo!$D:$D, 0)), "Sin Factura"))</f>
        <v/>
      </c>
      <c r="R1173" s="80">
        <f>IF(Q1173="Sin Factura","",IFERROR(INDEX(Facturas_Odoo!$A:$A, MATCH(Q1173, Facturas_Odoo!$B:$B, 0)), ""))</f>
        <v/>
      </c>
      <c r="S1173" s="79">
        <f>IF(Q1173="Sin Factura","",IFERROR(_xlfn.XLOOKUP(1, (Facturas_Odoo!$D:$D=A1173) * (Facturas_Odoo!$K:$K=I1173), Facturas_Odoo!$L:$L, ""), ""))</f>
        <v/>
      </c>
      <c r="T1173" s="81">
        <f>IF(Q1173="Sin Factura",0,IFERROR(_xlfn.XLOOKUP(1, (Facturas_Odoo!$D:$D=A1173) * (Facturas_Odoo!$K:$K=I1173), Facturas_Odoo!$M:$M, 0), 0))</f>
        <v/>
      </c>
      <c r="U1173" s="79">
        <f>IF(Q1173="Sin Factura",0,IFERROR(_xlfn.XLOOKUP(1, (Facturas_Odoo!$D:$D=A1173) * (Facturas_Odoo!$K:$K=I1173), Facturas_Odoo!$N:$N, 0), 0))</f>
        <v/>
      </c>
      <c r="V1173" s="79">
        <f>IF(Q1173="Sin Factura",0,IFERROR(_xlfn.XLOOKUP(1, (Facturas_Odoo!$D:$D=A1173) * (Facturas_Odoo!$K:$K=I1173), Facturas_Odoo!$O:$O, 0), 0))</f>
        <v/>
      </c>
      <c r="W1173" s="81">
        <f>IF(Q1173="Sin Factura",0,IFERROR(_xlfn.XLOOKUP(1, (Facturas_Odoo!$D:$D=A1173) * (Facturas_Odoo!$K:$K=I1173), Facturas_Odoo!$Q:$Q, 0), 0))</f>
        <v/>
      </c>
      <c r="X1173" s="79">
        <f>IF(OR(Q1173="Sin Factura",Q1173=""),"",IFERROR(INDEX(Pagos_Odoo!$B:$B, MATCH(Q1173, Pagos_Odoo!$I:$I, 0)), "Sin Pago"))</f>
        <v/>
      </c>
      <c r="Y1173" s="79">
        <f>IF(X1173="Sin Pago","",IFERROR(INDEX(Pagos_Odoo!$C:$C, MATCH(X1173, Pagos_Odoo!$B:$B, 0)), ""))</f>
        <v/>
      </c>
      <c r="Z1173" s="80">
        <f>IF(X1173="Sin Pago","",IFERROR(INDEX(Pagos_Odoo!$A:$A, MATCH(X1173, Pagos_Odoo!$B:$B, 0)), ""))</f>
        <v/>
      </c>
      <c r="AA1173" s="79">
        <f>IF(X1173="Sin Pago","",IFERROR(INDEX(Pagos_Odoo!$F:$F, MATCH(X1173, Pagos_Odoo!$B:$B, 0)), ""))</f>
        <v/>
      </c>
      <c r="AB1173" s="81">
        <f>IF(X1173="Sin Pago",0,IFERROR(INDEX(Pagos_Odoo!$E:$E, MATCH(X1173, Pagos_Odoo!$B:$B, 0)), 0))</f>
        <v/>
      </c>
      <c r="AC1173" s="79">
        <f>IF(X1173="Sin Pago","",IFERROR(INDEX(Pagos_Odoo!$G:$G, MATCH(X1173, Pagos_Odoo!$B:$B, 0)), ""))</f>
        <v/>
      </c>
      <c r="AD1173" s="82" t="n">
        <v>0</v>
      </c>
      <c r="AE1173" s="82" t="n"/>
      <c r="AF1173" s="82" t="n"/>
      <c r="AG1173" s="82">
        <f>IF(AN1173="","",AD1173+AE1173+AF1173)</f>
        <v/>
      </c>
      <c r="AH1173" s="81">
        <f>IF(AN1173="","",P1173*(1-AG1173))</f>
        <v/>
      </c>
      <c r="AI1173" s="81">
        <f>IF(AN1173="","",IF(Q1173="Sin Factura",0,IFERROR(INDEX(Facturas_Odoo!$H:$H, MATCH(Q1173, Facturas_Odoo!$B:$B, 0)), 0)*(1-AG1173)))</f>
        <v/>
      </c>
      <c r="AJ1173" s="81">
        <f>IF(AN1173="","",_xlfn.LET(idVenta, AN1173&amp;"",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73" s="81">
        <f>IF(AN1173="","",AH1173-AJ1173)</f>
        <v/>
      </c>
      <c r="AL1173" s="81">
        <f>IF(AN1173="","",IF(Q1173="Sin Factura","",AI1173-AJ1173))</f>
        <v/>
      </c>
      <c r="AM1173" s="81">
        <f>IF(AN1173="","",IF(Q1173="Sin Factura",0,P1173-IFERROR(INDEX(Facturas_Odoo!$H:$H, MATCH(Q1173, Facturas_Odoo!$B:$B, 0)), 0)))</f>
        <v/>
      </c>
      <c r="AN1173" s="79">
        <f>IF(AND(A1173="", J1173=""), "", IF(A1173&lt;&gt;"", VALUE(MID(A1173,2,LEN(A1173))), AN1172))</f>
        <v/>
      </c>
      <c r="AO1173" s="79">
        <f>IF(AN1173="","",IF(AD1173=0,"OK",_xlfn.LET(monedaPago, IF(AA1173="","USD",AA1173), limitePermitido, IFERROR(VLOOKUP(monedaPago, Configuración!$A$2:$B$3, 2, FALSE), 0.15), IF(AD1173&gt;limitePermitido, "ALERTA: EXCESO (" &amp; TEXT(limitePermitido, "0%") &amp; " máx)", "OK"))))</f>
        <v/>
      </c>
      <c r="AP1173" s="79">
        <f>IF(AN1173="","",IF(AE1173=0,"OK",_xlfn.LET(fechaPago, Z1173, fechaFactura, R1173, diasCredito, IF(E1173="Pago inmediato", 0, IFERROR(VALUE(MID(E1173, 1, SEARCH(" ", E1173)-1)),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73" s="79">
        <f>IF(AN1173="","",IF(AND(N1173&gt;0, AG1173&gt;0), IF(Configuración!$K$2="NO", "ALERTA: DESCUENTO DOBLE NO PERMITIDO", "OK"), "OK"))</f>
        <v/>
      </c>
      <c r="AR1173" s="79">
        <f>IF(AN1173="","",IF(OR(AO1173&lt;&gt;"OK", AP1173&lt;&gt;"OK", AQ1173&lt;&gt;"OK"), "⚠️ REVISAR", "OK"))</f>
        <v/>
      </c>
    </row>
    <row r="1174">
      <c r="A1174" s="79">
        <f>IF('Ordenes_Odoo'!A1174="","",'Ordenes_Odoo'!A1174)</f>
        <v/>
      </c>
      <c r="B1174" s="80">
        <f>IF('Ordenes_Odoo'!B1174="","",'Ordenes_Odoo'!B1174)</f>
        <v/>
      </c>
      <c r="C1174" s="79">
        <f>IF('Ordenes_Odoo'!C1174="","",'Ordenes_Odoo'!C1174)</f>
        <v/>
      </c>
      <c r="D1174" s="79">
        <f>IF('Ordenes_Odoo'!D1174="","",'Ordenes_Odoo'!D1174)</f>
        <v/>
      </c>
      <c r="E1174" s="79">
        <f>IF('Ordenes_Odoo'!E1174="","",'Ordenes_Odoo'!E1174)</f>
        <v/>
      </c>
      <c r="F1174" s="79">
        <f>IF('Ordenes_Odoo'!F1174="","",'Ordenes_Odoo'!F1174)</f>
        <v/>
      </c>
      <c r="G1174" s="79">
        <f>IF('Ordenes_Odoo'!G1174="","",'Ordenes_Odoo'!G1174)</f>
        <v/>
      </c>
      <c r="H1174" s="79">
        <f>IF('Ordenes_Odoo'!H1174="","",'Ordenes_Odoo'!H1174)</f>
        <v/>
      </c>
      <c r="I1174" s="79">
        <f>IF('Ordenes_Odoo'!I1174="","",'Ordenes_Odoo'!I1174)</f>
        <v/>
      </c>
      <c r="J1174" s="79">
        <f>IF('Ordenes_Odoo'!J1174="","",'Ordenes_Odoo'!J1174)</f>
        <v/>
      </c>
      <c r="K1174" s="81">
        <f>IF('Ordenes_Odoo'!K1174="","",'Ordenes_Odoo'!K1174)</f>
        <v/>
      </c>
      <c r="L1174" s="81">
        <f>IF('Ordenes_Odoo'!L1174="","",'Ordenes_Odoo'!L1174)</f>
        <v/>
      </c>
      <c r="M1174" s="79">
        <f>IF('Ordenes_Odoo'!M1174="","",'Ordenes_Odoo'!M1174)</f>
        <v/>
      </c>
      <c r="N1174" s="79">
        <f>IF('Ordenes_Odoo'!N1174="","",'Ordenes_Odoo'!N1174)</f>
        <v/>
      </c>
      <c r="O1174" s="81">
        <f>IF('Ordenes_Odoo'!O1174="","",'Ordenes_Odoo'!O1174)</f>
        <v/>
      </c>
      <c r="P1174" s="81">
        <f>IF('Ordenes_Odoo'!P1174="","",'Ordenes_Odoo'!P1174)</f>
        <v/>
      </c>
      <c r="Q1174" s="79">
        <f>IF(A1174="","",IFERROR(INDEX(Facturas_Odoo!$B:$B, MATCH(A1174, Facturas_Odoo!$D:$D, 0)), "Sin Factura"))</f>
        <v/>
      </c>
      <c r="R1174" s="80">
        <f>IF(Q1174="Sin Factura","",IFERROR(INDEX(Facturas_Odoo!$A:$A, MATCH(Q1174, Facturas_Odoo!$B:$B, 0)), ""))</f>
        <v/>
      </c>
      <c r="S1174" s="79">
        <f>IF(Q1174="Sin Factura","",IFERROR(_xlfn.XLOOKUP(1, (Facturas_Odoo!$D:$D=A1174) * (Facturas_Odoo!$K:$K=I1174), Facturas_Odoo!$L:$L, ""), ""))</f>
        <v/>
      </c>
      <c r="T1174" s="81">
        <f>IF(Q1174="Sin Factura",0,IFERROR(_xlfn.XLOOKUP(1, (Facturas_Odoo!$D:$D=A1174) * (Facturas_Odoo!$K:$K=I1174), Facturas_Odoo!$M:$M, 0), 0))</f>
        <v/>
      </c>
      <c r="U1174" s="79">
        <f>IF(Q1174="Sin Factura",0,IFERROR(_xlfn.XLOOKUP(1, (Facturas_Odoo!$D:$D=A1174) * (Facturas_Odoo!$K:$K=I1174), Facturas_Odoo!$N:$N, 0), 0))</f>
        <v/>
      </c>
      <c r="V1174" s="79">
        <f>IF(Q1174="Sin Factura",0,IFERROR(_xlfn.XLOOKUP(1, (Facturas_Odoo!$D:$D=A1174) * (Facturas_Odoo!$K:$K=I1174), Facturas_Odoo!$O:$O, 0), 0))</f>
        <v/>
      </c>
      <c r="W1174" s="81">
        <f>IF(Q1174="Sin Factura",0,IFERROR(_xlfn.XLOOKUP(1, (Facturas_Odoo!$D:$D=A1174) * (Facturas_Odoo!$K:$K=I1174), Facturas_Odoo!$Q:$Q, 0), 0))</f>
        <v/>
      </c>
      <c r="X1174" s="79">
        <f>IF(OR(Q1174="Sin Factura",Q1174=""),"",IFERROR(INDEX(Pagos_Odoo!$B:$B, MATCH(Q1174, Pagos_Odoo!$I:$I, 0)), "Sin Pago"))</f>
        <v/>
      </c>
      <c r="Y1174" s="79">
        <f>IF(X1174="Sin Pago","",IFERROR(INDEX(Pagos_Odoo!$C:$C, MATCH(X1174, Pagos_Odoo!$B:$B, 0)), ""))</f>
        <v/>
      </c>
      <c r="Z1174" s="80">
        <f>IF(X1174="Sin Pago","",IFERROR(INDEX(Pagos_Odoo!$A:$A, MATCH(X1174, Pagos_Odoo!$B:$B, 0)), ""))</f>
        <v/>
      </c>
      <c r="AA1174" s="79">
        <f>IF(X1174="Sin Pago","",IFERROR(INDEX(Pagos_Odoo!$F:$F, MATCH(X1174, Pagos_Odoo!$B:$B, 0)), ""))</f>
        <v/>
      </c>
      <c r="AB1174" s="81">
        <f>IF(X1174="Sin Pago",0,IFERROR(INDEX(Pagos_Odoo!$E:$E, MATCH(X1174, Pagos_Odoo!$B:$B, 0)), 0))</f>
        <v/>
      </c>
      <c r="AC1174" s="79">
        <f>IF(X1174="Sin Pago","",IFERROR(INDEX(Pagos_Odoo!$G:$G, MATCH(X1174, Pagos_Odoo!$B:$B, 0)), ""))</f>
        <v/>
      </c>
      <c r="AD1174" s="82" t="n">
        <v>0</v>
      </c>
      <c r="AE1174" s="82" t="n"/>
      <c r="AF1174" s="82" t="n"/>
      <c r="AG1174" s="82">
        <f>IF(AN1174="","",AD1174+AE1174+AF1174)</f>
        <v/>
      </c>
      <c r="AH1174" s="81">
        <f>IF(AN1174="","",P1174*(1-AG1174))</f>
        <v/>
      </c>
      <c r="AI1174" s="81">
        <f>IF(AN1174="","",IF(Q1174="Sin Factura",0,IFERROR(INDEX(Facturas_Odoo!$H:$H, MATCH(Q1174, Facturas_Odoo!$B:$B, 0)), 0)*(1-AG1174)))</f>
        <v/>
      </c>
      <c r="AJ1174" s="81">
        <f>IF(AN1174="","",_xlfn.LET(idVenta, AN1174&amp;"",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74" s="81">
        <f>IF(AN1174="","",AH1174-AJ1174)</f>
        <v/>
      </c>
      <c r="AL1174" s="81">
        <f>IF(AN1174="","",IF(Q1174="Sin Factura","",AI1174-AJ1174))</f>
        <v/>
      </c>
      <c r="AM1174" s="81">
        <f>IF(AN1174="","",IF(Q1174="Sin Factura",0,P1174-IFERROR(INDEX(Facturas_Odoo!$H:$H, MATCH(Q1174, Facturas_Odoo!$B:$B, 0)), 0)))</f>
        <v/>
      </c>
      <c r="AN1174" s="79">
        <f>IF(AND(A1174="", J1174=""), "", IF(A1174&lt;&gt;"", VALUE(MID(A1174,2,LEN(A1174))), AN1173))</f>
        <v/>
      </c>
      <c r="AO1174" s="79">
        <f>IF(AN1174="","",IF(AD1174=0,"OK",_xlfn.LET(monedaPago, IF(AA1174="","USD",AA1174), limitePermitido, IFERROR(VLOOKUP(monedaPago, Configuración!$A$2:$B$3, 2, FALSE), 0.15), IF(AD1174&gt;limitePermitido, "ALERTA: EXCESO (" &amp; TEXT(limitePermitido, "0%") &amp; " máx)", "OK"))))</f>
        <v/>
      </c>
      <c r="AP1174" s="79">
        <f>IF(AN1174="","",IF(AE1174=0,"OK",_xlfn.LET(fechaPago, Z1174, fechaFactura, R1174, diasCredito, IF(E1174="Pago inmediato", 0, IFERROR(VALUE(MID(E1174, 1, SEARCH(" ", E1174)-1)),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74" s="79">
        <f>IF(AN1174="","",IF(AND(N1174&gt;0, AG1174&gt;0), IF(Configuración!$K$2="NO", "ALERTA: DESCUENTO DOBLE NO PERMITIDO", "OK"), "OK"))</f>
        <v/>
      </c>
      <c r="AR1174" s="79">
        <f>IF(AN1174="","",IF(OR(AO1174&lt;&gt;"OK", AP1174&lt;&gt;"OK", AQ1174&lt;&gt;"OK"), "⚠️ REVISAR", "OK"))</f>
        <v/>
      </c>
    </row>
    <row r="1175">
      <c r="A1175" s="79">
        <f>IF('Ordenes_Odoo'!A1175="","",'Ordenes_Odoo'!A1175)</f>
        <v/>
      </c>
      <c r="B1175" s="80">
        <f>IF('Ordenes_Odoo'!B1175="","",'Ordenes_Odoo'!B1175)</f>
        <v/>
      </c>
      <c r="C1175" s="79">
        <f>IF('Ordenes_Odoo'!C1175="","",'Ordenes_Odoo'!C1175)</f>
        <v/>
      </c>
      <c r="D1175" s="79">
        <f>IF('Ordenes_Odoo'!D1175="","",'Ordenes_Odoo'!D1175)</f>
        <v/>
      </c>
      <c r="E1175" s="79">
        <f>IF('Ordenes_Odoo'!E1175="","",'Ordenes_Odoo'!E1175)</f>
        <v/>
      </c>
      <c r="F1175" s="79">
        <f>IF('Ordenes_Odoo'!F1175="","",'Ordenes_Odoo'!F1175)</f>
        <v/>
      </c>
      <c r="G1175" s="79">
        <f>IF('Ordenes_Odoo'!G1175="","",'Ordenes_Odoo'!G1175)</f>
        <v/>
      </c>
      <c r="H1175" s="79">
        <f>IF('Ordenes_Odoo'!H1175="","",'Ordenes_Odoo'!H1175)</f>
        <v/>
      </c>
      <c r="I1175" s="79">
        <f>IF('Ordenes_Odoo'!I1175="","",'Ordenes_Odoo'!I1175)</f>
        <v/>
      </c>
      <c r="J1175" s="79">
        <f>IF('Ordenes_Odoo'!J1175="","",'Ordenes_Odoo'!J1175)</f>
        <v/>
      </c>
      <c r="K1175" s="81">
        <f>IF('Ordenes_Odoo'!K1175="","",'Ordenes_Odoo'!K1175)</f>
        <v/>
      </c>
      <c r="L1175" s="81">
        <f>IF('Ordenes_Odoo'!L1175="","",'Ordenes_Odoo'!L1175)</f>
        <v/>
      </c>
      <c r="M1175" s="79">
        <f>IF('Ordenes_Odoo'!M1175="","",'Ordenes_Odoo'!M1175)</f>
        <v/>
      </c>
      <c r="N1175" s="79">
        <f>IF('Ordenes_Odoo'!N1175="","",'Ordenes_Odoo'!N1175)</f>
        <v/>
      </c>
      <c r="O1175" s="81">
        <f>IF('Ordenes_Odoo'!O1175="","",'Ordenes_Odoo'!O1175)</f>
        <v/>
      </c>
      <c r="P1175" s="81">
        <f>IF('Ordenes_Odoo'!P1175="","",'Ordenes_Odoo'!P1175)</f>
        <v/>
      </c>
      <c r="Q1175" s="79">
        <f>IF(A1175="","",IFERROR(INDEX(Facturas_Odoo!$B:$B, MATCH(A1175, Facturas_Odoo!$D:$D, 0)), "Sin Factura"))</f>
        <v/>
      </c>
      <c r="R1175" s="80">
        <f>IF(Q1175="Sin Factura","",IFERROR(INDEX(Facturas_Odoo!$A:$A, MATCH(Q1175, Facturas_Odoo!$B:$B, 0)), ""))</f>
        <v/>
      </c>
      <c r="S1175" s="79">
        <f>IF(Q1175="Sin Factura","",IFERROR(_xlfn.XLOOKUP(1, (Facturas_Odoo!$D:$D=A1175) * (Facturas_Odoo!$K:$K=I1175), Facturas_Odoo!$L:$L, ""), ""))</f>
        <v/>
      </c>
      <c r="T1175" s="81">
        <f>IF(Q1175="Sin Factura",0,IFERROR(_xlfn.XLOOKUP(1, (Facturas_Odoo!$D:$D=A1175) * (Facturas_Odoo!$K:$K=I1175), Facturas_Odoo!$M:$M, 0), 0))</f>
        <v/>
      </c>
      <c r="U1175" s="79">
        <f>IF(Q1175="Sin Factura",0,IFERROR(_xlfn.XLOOKUP(1, (Facturas_Odoo!$D:$D=A1175) * (Facturas_Odoo!$K:$K=I1175), Facturas_Odoo!$N:$N, 0), 0))</f>
        <v/>
      </c>
      <c r="V1175" s="79">
        <f>IF(Q1175="Sin Factura",0,IFERROR(_xlfn.XLOOKUP(1, (Facturas_Odoo!$D:$D=A1175) * (Facturas_Odoo!$K:$K=I1175), Facturas_Odoo!$O:$O, 0), 0))</f>
        <v/>
      </c>
      <c r="W1175" s="81">
        <f>IF(Q1175="Sin Factura",0,IFERROR(_xlfn.XLOOKUP(1, (Facturas_Odoo!$D:$D=A1175) * (Facturas_Odoo!$K:$K=I1175), Facturas_Odoo!$Q:$Q, 0), 0))</f>
        <v/>
      </c>
      <c r="X1175" s="79">
        <f>IF(OR(Q1175="Sin Factura",Q1175=""),"",IFERROR(INDEX(Pagos_Odoo!$B:$B, MATCH(Q1175, Pagos_Odoo!$I:$I, 0)), "Sin Pago"))</f>
        <v/>
      </c>
      <c r="Y1175" s="79">
        <f>IF(X1175="Sin Pago","",IFERROR(INDEX(Pagos_Odoo!$C:$C, MATCH(X1175, Pagos_Odoo!$B:$B, 0)), ""))</f>
        <v/>
      </c>
      <c r="Z1175" s="80">
        <f>IF(X1175="Sin Pago","",IFERROR(INDEX(Pagos_Odoo!$A:$A, MATCH(X1175, Pagos_Odoo!$B:$B, 0)), ""))</f>
        <v/>
      </c>
      <c r="AA1175" s="79">
        <f>IF(X1175="Sin Pago","",IFERROR(INDEX(Pagos_Odoo!$F:$F, MATCH(X1175, Pagos_Odoo!$B:$B, 0)), ""))</f>
        <v/>
      </c>
      <c r="AB1175" s="81">
        <f>IF(X1175="Sin Pago",0,IFERROR(INDEX(Pagos_Odoo!$E:$E, MATCH(X1175, Pagos_Odoo!$B:$B, 0)), 0))</f>
        <v/>
      </c>
      <c r="AC1175" s="79">
        <f>IF(X1175="Sin Pago","",IFERROR(INDEX(Pagos_Odoo!$G:$G, MATCH(X1175, Pagos_Odoo!$B:$B, 0)), ""))</f>
        <v/>
      </c>
      <c r="AD1175" s="82" t="n">
        <v>0</v>
      </c>
      <c r="AE1175" s="82" t="n"/>
      <c r="AF1175" s="82" t="n"/>
      <c r="AG1175" s="82">
        <f>IF(AN1175="","",AD1175+AE1175+AF1175)</f>
        <v/>
      </c>
      <c r="AH1175" s="81">
        <f>IF(AN1175="","",P1175*(1-AG1175))</f>
        <v/>
      </c>
      <c r="AI1175" s="81">
        <f>IF(AN1175="","",IF(Q1175="Sin Factura",0,IFERROR(INDEX(Facturas_Odoo!$H:$H, MATCH(Q1175, Facturas_Odoo!$B:$B, 0)), 0)*(1-AG1175)))</f>
        <v/>
      </c>
      <c r="AJ1175" s="81">
        <f>IF(AN1175="","",_xlfn.LET(idVenta, AN1175&amp;"",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75" s="81">
        <f>IF(AN1175="","",AH1175-AJ1175)</f>
        <v/>
      </c>
      <c r="AL1175" s="81">
        <f>IF(AN1175="","",IF(Q1175="Sin Factura","",AI1175-AJ1175))</f>
        <v/>
      </c>
      <c r="AM1175" s="81">
        <f>IF(AN1175="","",IF(Q1175="Sin Factura",0,P1175-IFERROR(INDEX(Facturas_Odoo!$H:$H, MATCH(Q1175, Facturas_Odoo!$B:$B, 0)), 0)))</f>
        <v/>
      </c>
      <c r="AN1175" s="79">
        <f>IF(AND(A1175="", J1175=""), "", IF(A1175&lt;&gt;"", VALUE(MID(A1175,2,LEN(A1175))), AN1174))</f>
        <v/>
      </c>
      <c r="AO1175" s="79">
        <f>IF(AN1175="","",IF(AD1175=0,"OK",_xlfn.LET(monedaPago, IF(AA1175="","USD",AA1175), limitePermitido, IFERROR(VLOOKUP(monedaPago, Configuración!$A$2:$B$3, 2, FALSE), 0.15), IF(AD1175&gt;limitePermitido, "ALERTA: EXCESO (" &amp; TEXT(limitePermitido, "0%") &amp; " máx)", "OK"))))</f>
        <v/>
      </c>
      <c r="AP1175" s="79">
        <f>IF(AN1175="","",IF(AE1175=0,"OK",_xlfn.LET(fechaPago, Z1175, fechaFactura, R1175, diasCredito, IF(E1175="Pago inmediato", 0, IFERROR(VALUE(MID(E1175, 1, SEARCH(" ", E1175)-1)),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75" s="79">
        <f>IF(AN1175="","",IF(AND(N1175&gt;0, AG1175&gt;0), IF(Configuración!$K$2="NO", "ALERTA: DESCUENTO DOBLE NO PERMITIDO", "OK"), "OK"))</f>
        <v/>
      </c>
      <c r="AR1175" s="79">
        <f>IF(AN1175="","",IF(OR(AO1175&lt;&gt;"OK", AP1175&lt;&gt;"OK", AQ1175&lt;&gt;"OK"), "⚠️ REVISAR", "OK"))</f>
        <v/>
      </c>
    </row>
    <row r="1176">
      <c r="A1176" s="79">
        <f>IF('Ordenes_Odoo'!A1176="","",'Ordenes_Odoo'!A1176)</f>
        <v/>
      </c>
      <c r="B1176" s="80">
        <f>IF('Ordenes_Odoo'!B1176="","",'Ordenes_Odoo'!B1176)</f>
        <v/>
      </c>
      <c r="C1176" s="79">
        <f>IF('Ordenes_Odoo'!C1176="","",'Ordenes_Odoo'!C1176)</f>
        <v/>
      </c>
      <c r="D1176" s="79">
        <f>IF('Ordenes_Odoo'!D1176="","",'Ordenes_Odoo'!D1176)</f>
        <v/>
      </c>
      <c r="E1176" s="79">
        <f>IF('Ordenes_Odoo'!E1176="","",'Ordenes_Odoo'!E1176)</f>
        <v/>
      </c>
      <c r="F1176" s="79">
        <f>IF('Ordenes_Odoo'!F1176="","",'Ordenes_Odoo'!F1176)</f>
        <v/>
      </c>
      <c r="G1176" s="79">
        <f>IF('Ordenes_Odoo'!G1176="","",'Ordenes_Odoo'!G1176)</f>
        <v/>
      </c>
      <c r="H1176" s="79">
        <f>IF('Ordenes_Odoo'!H1176="","",'Ordenes_Odoo'!H1176)</f>
        <v/>
      </c>
      <c r="I1176" s="79">
        <f>IF('Ordenes_Odoo'!I1176="","",'Ordenes_Odoo'!I1176)</f>
        <v/>
      </c>
      <c r="J1176" s="79">
        <f>IF('Ordenes_Odoo'!J1176="","",'Ordenes_Odoo'!J1176)</f>
        <v/>
      </c>
      <c r="K1176" s="81">
        <f>IF('Ordenes_Odoo'!K1176="","",'Ordenes_Odoo'!K1176)</f>
        <v/>
      </c>
      <c r="L1176" s="81">
        <f>IF('Ordenes_Odoo'!L1176="","",'Ordenes_Odoo'!L1176)</f>
        <v/>
      </c>
      <c r="M1176" s="79">
        <f>IF('Ordenes_Odoo'!M1176="","",'Ordenes_Odoo'!M1176)</f>
        <v/>
      </c>
      <c r="N1176" s="79">
        <f>IF('Ordenes_Odoo'!N1176="","",'Ordenes_Odoo'!N1176)</f>
        <v/>
      </c>
      <c r="O1176" s="81">
        <f>IF('Ordenes_Odoo'!O1176="","",'Ordenes_Odoo'!O1176)</f>
        <v/>
      </c>
      <c r="P1176" s="81">
        <f>IF('Ordenes_Odoo'!P1176="","",'Ordenes_Odoo'!P1176)</f>
        <v/>
      </c>
      <c r="Q1176" s="79">
        <f>IF(A1176="","",IFERROR(INDEX(Facturas_Odoo!$B:$B, MATCH(A1176, Facturas_Odoo!$D:$D, 0)), "Sin Factura"))</f>
        <v/>
      </c>
      <c r="R1176" s="80">
        <f>IF(Q1176="Sin Factura","",IFERROR(INDEX(Facturas_Odoo!$A:$A, MATCH(Q1176, Facturas_Odoo!$B:$B, 0)), ""))</f>
        <v/>
      </c>
      <c r="S1176" s="79">
        <f>IF(Q1176="Sin Factura","",IFERROR(_xlfn.XLOOKUP(1, (Facturas_Odoo!$D:$D=A1176) * (Facturas_Odoo!$K:$K=I1176), Facturas_Odoo!$L:$L, ""), ""))</f>
        <v/>
      </c>
      <c r="T1176" s="81">
        <f>IF(Q1176="Sin Factura",0,IFERROR(_xlfn.XLOOKUP(1, (Facturas_Odoo!$D:$D=A1176) * (Facturas_Odoo!$K:$K=I1176), Facturas_Odoo!$M:$M, 0), 0))</f>
        <v/>
      </c>
      <c r="U1176" s="79">
        <f>IF(Q1176="Sin Factura",0,IFERROR(_xlfn.XLOOKUP(1, (Facturas_Odoo!$D:$D=A1176) * (Facturas_Odoo!$K:$K=I1176), Facturas_Odoo!$N:$N, 0), 0))</f>
        <v/>
      </c>
      <c r="V1176" s="79">
        <f>IF(Q1176="Sin Factura",0,IFERROR(_xlfn.XLOOKUP(1, (Facturas_Odoo!$D:$D=A1176) * (Facturas_Odoo!$K:$K=I1176), Facturas_Odoo!$O:$O, 0), 0))</f>
        <v/>
      </c>
      <c r="W1176" s="81">
        <f>IF(Q1176="Sin Factura",0,IFERROR(_xlfn.XLOOKUP(1, (Facturas_Odoo!$D:$D=A1176) * (Facturas_Odoo!$K:$K=I1176), Facturas_Odoo!$Q:$Q, 0), 0))</f>
        <v/>
      </c>
      <c r="X1176" s="79">
        <f>IF(OR(Q1176="Sin Factura",Q1176=""),"",IFERROR(INDEX(Pagos_Odoo!$B:$B, MATCH(Q1176, Pagos_Odoo!$I:$I, 0)), "Sin Pago"))</f>
        <v/>
      </c>
      <c r="Y1176" s="79">
        <f>IF(X1176="Sin Pago","",IFERROR(INDEX(Pagos_Odoo!$C:$C, MATCH(X1176, Pagos_Odoo!$B:$B, 0)), ""))</f>
        <v/>
      </c>
      <c r="Z1176" s="80">
        <f>IF(X1176="Sin Pago","",IFERROR(INDEX(Pagos_Odoo!$A:$A, MATCH(X1176, Pagos_Odoo!$B:$B, 0)), ""))</f>
        <v/>
      </c>
      <c r="AA1176" s="79">
        <f>IF(X1176="Sin Pago","",IFERROR(INDEX(Pagos_Odoo!$F:$F, MATCH(X1176, Pagos_Odoo!$B:$B, 0)), ""))</f>
        <v/>
      </c>
      <c r="AB1176" s="81">
        <f>IF(X1176="Sin Pago",0,IFERROR(INDEX(Pagos_Odoo!$E:$E, MATCH(X1176, Pagos_Odoo!$B:$B, 0)), 0))</f>
        <v/>
      </c>
      <c r="AC1176" s="79">
        <f>IF(X1176="Sin Pago","",IFERROR(INDEX(Pagos_Odoo!$G:$G, MATCH(X1176, Pagos_Odoo!$B:$B, 0)), ""))</f>
        <v/>
      </c>
      <c r="AD1176" s="82" t="n">
        <v>0</v>
      </c>
      <c r="AE1176" s="82" t="n"/>
      <c r="AF1176" s="82" t="n"/>
      <c r="AG1176" s="82">
        <f>IF(AN1176="","",AD1176+AE1176+AF1176)</f>
        <v/>
      </c>
      <c r="AH1176" s="81">
        <f>IF(AN1176="","",P1176*(1-AG1176))</f>
        <v/>
      </c>
      <c r="AI1176" s="81">
        <f>IF(AN1176="","",IF(Q1176="Sin Factura",0,IFERROR(INDEX(Facturas_Odoo!$H:$H, MATCH(Q1176, Facturas_Odoo!$B:$B, 0)), 0)*(1-AG1176)))</f>
        <v/>
      </c>
      <c r="AJ1176" s="81">
        <f>IF(AN1176="","",_xlfn.LET(idVenta, AN1176&amp;"",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76" s="81">
        <f>IF(AN1176="","",AH1176-AJ1176)</f>
        <v/>
      </c>
      <c r="AL1176" s="81">
        <f>IF(AN1176="","",IF(Q1176="Sin Factura","",AI1176-AJ1176))</f>
        <v/>
      </c>
      <c r="AM1176" s="81">
        <f>IF(AN1176="","",IF(Q1176="Sin Factura",0,P1176-IFERROR(INDEX(Facturas_Odoo!$H:$H, MATCH(Q1176, Facturas_Odoo!$B:$B, 0)), 0)))</f>
        <v/>
      </c>
      <c r="AN1176" s="79">
        <f>IF(AND(A1176="", J1176=""), "", IF(A1176&lt;&gt;"", VALUE(MID(A1176,2,LEN(A1176))), AN1175))</f>
        <v/>
      </c>
      <c r="AO1176" s="79">
        <f>IF(AN1176="","",IF(AD1176=0,"OK",_xlfn.LET(monedaPago, IF(AA1176="","USD",AA1176), limitePermitido, IFERROR(VLOOKUP(monedaPago, Configuración!$A$2:$B$3, 2, FALSE), 0.15), IF(AD1176&gt;limitePermitido, "ALERTA: EXCESO (" &amp; TEXT(limitePermitido, "0%") &amp; " máx)", "OK"))))</f>
        <v/>
      </c>
      <c r="AP1176" s="79">
        <f>IF(AN1176="","",IF(AE1176=0,"OK",_xlfn.LET(fechaPago, Z1176, fechaFactura, R1176, diasCredito, IF(E1176="Pago inmediato", 0, IFERROR(VALUE(MID(E1176, 1, SEARCH(" ", E1176)-1)),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76" s="79">
        <f>IF(AN1176="","",IF(AND(N1176&gt;0, AG1176&gt;0), IF(Configuración!$K$2="NO", "ALERTA: DESCUENTO DOBLE NO PERMITIDO", "OK"), "OK"))</f>
        <v/>
      </c>
      <c r="AR1176" s="79">
        <f>IF(AN1176="","",IF(OR(AO1176&lt;&gt;"OK", AP1176&lt;&gt;"OK", AQ1176&lt;&gt;"OK"), "⚠️ REVISAR", "OK"))</f>
        <v/>
      </c>
    </row>
    <row r="1177">
      <c r="A1177" s="79">
        <f>IF('Ordenes_Odoo'!A1177="","",'Ordenes_Odoo'!A1177)</f>
        <v/>
      </c>
      <c r="B1177" s="80">
        <f>IF('Ordenes_Odoo'!B1177="","",'Ordenes_Odoo'!B1177)</f>
        <v/>
      </c>
      <c r="C1177" s="79">
        <f>IF('Ordenes_Odoo'!C1177="","",'Ordenes_Odoo'!C1177)</f>
        <v/>
      </c>
      <c r="D1177" s="79">
        <f>IF('Ordenes_Odoo'!D1177="","",'Ordenes_Odoo'!D1177)</f>
        <v/>
      </c>
      <c r="E1177" s="79">
        <f>IF('Ordenes_Odoo'!E1177="","",'Ordenes_Odoo'!E1177)</f>
        <v/>
      </c>
      <c r="F1177" s="79">
        <f>IF('Ordenes_Odoo'!F1177="","",'Ordenes_Odoo'!F1177)</f>
        <v/>
      </c>
      <c r="G1177" s="79">
        <f>IF('Ordenes_Odoo'!G1177="","",'Ordenes_Odoo'!G1177)</f>
        <v/>
      </c>
      <c r="H1177" s="79">
        <f>IF('Ordenes_Odoo'!H1177="","",'Ordenes_Odoo'!H1177)</f>
        <v/>
      </c>
      <c r="I1177" s="79">
        <f>IF('Ordenes_Odoo'!I1177="","",'Ordenes_Odoo'!I1177)</f>
        <v/>
      </c>
      <c r="J1177" s="79">
        <f>IF('Ordenes_Odoo'!J1177="","",'Ordenes_Odoo'!J1177)</f>
        <v/>
      </c>
      <c r="K1177" s="81">
        <f>IF('Ordenes_Odoo'!K1177="","",'Ordenes_Odoo'!K1177)</f>
        <v/>
      </c>
      <c r="L1177" s="81">
        <f>IF('Ordenes_Odoo'!L1177="","",'Ordenes_Odoo'!L1177)</f>
        <v/>
      </c>
      <c r="M1177" s="79">
        <f>IF('Ordenes_Odoo'!M1177="","",'Ordenes_Odoo'!M1177)</f>
        <v/>
      </c>
      <c r="N1177" s="79">
        <f>IF('Ordenes_Odoo'!N1177="","",'Ordenes_Odoo'!N1177)</f>
        <v/>
      </c>
      <c r="O1177" s="81">
        <f>IF('Ordenes_Odoo'!O1177="","",'Ordenes_Odoo'!O1177)</f>
        <v/>
      </c>
      <c r="P1177" s="81">
        <f>IF('Ordenes_Odoo'!P1177="","",'Ordenes_Odoo'!P1177)</f>
        <v/>
      </c>
      <c r="Q1177" s="79">
        <f>IF(A1177="","",IFERROR(INDEX(Facturas_Odoo!$B:$B, MATCH(A1177, Facturas_Odoo!$D:$D, 0)), "Sin Factura"))</f>
        <v/>
      </c>
      <c r="R1177" s="80">
        <f>IF(Q1177="Sin Factura","",IFERROR(INDEX(Facturas_Odoo!$A:$A, MATCH(Q1177, Facturas_Odoo!$B:$B, 0)), ""))</f>
        <v/>
      </c>
      <c r="S1177" s="79">
        <f>IF(Q1177="Sin Factura","",IFERROR(_xlfn.XLOOKUP(1, (Facturas_Odoo!$D:$D=A1177) * (Facturas_Odoo!$K:$K=I1177), Facturas_Odoo!$L:$L, ""), ""))</f>
        <v/>
      </c>
      <c r="T1177" s="81">
        <f>IF(Q1177="Sin Factura",0,IFERROR(_xlfn.XLOOKUP(1, (Facturas_Odoo!$D:$D=A1177) * (Facturas_Odoo!$K:$K=I1177), Facturas_Odoo!$M:$M, 0), 0))</f>
        <v/>
      </c>
      <c r="U1177" s="79">
        <f>IF(Q1177="Sin Factura",0,IFERROR(_xlfn.XLOOKUP(1, (Facturas_Odoo!$D:$D=A1177) * (Facturas_Odoo!$K:$K=I1177), Facturas_Odoo!$N:$N, 0), 0))</f>
        <v/>
      </c>
      <c r="V1177" s="79">
        <f>IF(Q1177="Sin Factura",0,IFERROR(_xlfn.XLOOKUP(1, (Facturas_Odoo!$D:$D=A1177) * (Facturas_Odoo!$K:$K=I1177), Facturas_Odoo!$O:$O, 0), 0))</f>
        <v/>
      </c>
      <c r="W1177" s="81">
        <f>IF(Q1177="Sin Factura",0,IFERROR(_xlfn.XLOOKUP(1, (Facturas_Odoo!$D:$D=A1177) * (Facturas_Odoo!$K:$K=I1177), Facturas_Odoo!$Q:$Q, 0), 0))</f>
        <v/>
      </c>
      <c r="X1177" s="79">
        <f>IF(OR(Q1177="Sin Factura",Q1177=""),"",IFERROR(INDEX(Pagos_Odoo!$B:$B, MATCH(Q1177, Pagos_Odoo!$I:$I, 0)), "Sin Pago"))</f>
        <v/>
      </c>
      <c r="Y1177" s="79">
        <f>IF(X1177="Sin Pago","",IFERROR(INDEX(Pagos_Odoo!$C:$C, MATCH(X1177, Pagos_Odoo!$B:$B, 0)), ""))</f>
        <v/>
      </c>
      <c r="Z1177" s="80">
        <f>IF(X1177="Sin Pago","",IFERROR(INDEX(Pagos_Odoo!$A:$A, MATCH(X1177, Pagos_Odoo!$B:$B, 0)), ""))</f>
        <v/>
      </c>
      <c r="AA1177" s="79">
        <f>IF(X1177="Sin Pago","",IFERROR(INDEX(Pagos_Odoo!$F:$F, MATCH(X1177, Pagos_Odoo!$B:$B, 0)), ""))</f>
        <v/>
      </c>
      <c r="AB1177" s="81">
        <f>IF(X1177="Sin Pago",0,IFERROR(INDEX(Pagos_Odoo!$E:$E, MATCH(X1177, Pagos_Odoo!$B:$B, 0)), 0))</f>
        <v/>
      </c>
      <c r="AC1177" s="79">
        <f>IF(X1177="Sin Pago","",IFERROR(INDEX(Pagos_Odoo!$G:$G, MATCH(X1177, Pagos_Odoo!$B:$B, 0)), ""))</f>
        <v/>
      </c>
      <c r="AD1177" s="82" t="n">
        <v>0</v>
      </c>
      <c r="AE1177" s="82" t="n"/>
      <c r="AF1177" s="82" t="n"/>
      <c r="AG1177" s="82">
        <f>IF(AN1177="","",AD1177+AE1177+AF1177)</f>
        <v/>
      </c>
      <c r="AH1177" s="81">
        <f>IF(AN1177="","",P1177*(1-AG1177))</f>
        <v/>
      </c>
      <c r="AI1177" s="81">
        <f>IF(AN1177="","",IF(Q1177="Sin Factura",0,IFERROR(INDEX(Facturas_Odoo!$H:$H, MATCH(Q1177, Facturas_Odoo!$B:$B, 0)), 0)*(1-AG1177)))</f>
        <v/>
      </c>
      <c r="AJ1177" s="81">
        <f>IF(AN1177="","",_xlfn.LET(idVenta, AN1177&amp;"",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77" s="81">
        <f>IF(AN1177="","",AH1177-AJ1177)</f>
        <v/>
      </c>
      <c r="AL1177" s="81">
        <f>IF(AN1177="","",IF(Q1177="Sin Factura","",AI1177-AJ1177))</f>
        <v/>
      </c>
      <c r="AM1177" s="81">
        <f>IF(AN1177="","",IF(Q1177="Sin Factura",0,P1177-IFERROR(INDEX(Facturas_Odoo!$H:$H, MATCH(Q1177, Facturas_Odoo!$B:$B, 0)), 0)))</f>
        <v/>
      </c>
      <c r="AN1177" s="79">
        <f>IF(AND(A1177="", J1177=""), "", IF(A1177&lt;&gt;"", VALUE(MID(A1177,2,LEN(A1177))), AN1176))</f>
        <v/>
      </c>
      <c r="AO1177" s="79">
        <f>IF(AN1177="","",IF(AD1177=0,"OK",_xlfn.LET(monedaPago, IF(AA1177="","USD",AA1177), limitePermitido, IFERROR(VLOOKUP(monedaPago, Configuración!$A$2:$B$3, 2, FALSE), 0.15), IF(AD1177&gt;limitePermitido, "ALERTA: EXCESO (" &amp; TEXT(limitePermitido, "0%") &amp; " máx)", "OK"))))</f>
        <v/>
      </c>
      <c r="AP1177" s="79">
        <f>IF(AN1177="","",IF(AE1177=0,"OK",_xlfn.LET(fechaPago, Z1177, fechaFactura, R1177, diasCredito, IF(E1177="Pago inmediato", 0, IFERROR(VALUE(MID(E1177, 1, SEARCH(" ", E1177)-1)),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77" s="79">
        <f>IF(AN1177="","",IF(AND(N1177&gt;0, AG1177&gt;0), IF(Configuración!$K$2="NO", "ALERTA: DESCUENTO DOBLE NO PERMITIDO", "OK"), "OK"))</f>
        <v/>
      </c>
      <c r="AR1177" s="79">
        <f>IF(AN1177="","",IF(OR(AO1177&lt;&gt;"OK", AP1177&lt;&gt;"OK", AQ1177&lt;&gt;"OK"), "⚠️ REVISAR", "OK"))</f>
        <v/>
      </c>
    </row>
    <row r="1178">
      <c r="A1178" s="79">
        <f>IF('Ordenes_Odoo'!A1178="","",'Ordenes_Odoo'!A1178)</f>
        <v/>
      </c>
      <c r="B1178" s="80">
        <f>IF('Ordenes_Odoo'!B1178="","",'Ordenes_Odoo'!B1178)</f>
        <v/>
      </c>
      <c r="C1178" s="79">
        <f>IF('Ordenes_Odoo'!C1178="","",'Ordenes_Odoo'!C1178)</f>
        <v/>
      </c>
      <c r="D1178" s="79">
        <f>IF('Ordenes_Odoo'!D1178="","",'Ordenes_Odoo'!D1178)</f>
        <v/>
      </c>
      <c r="E1178" s="79">
        <f>IF('Ordenes_Odoo'!E1178="","",'Ordenes_Odoo'!E1178)</f>
        <v/>
      </c>
      <c r="F1178" s="79">
        <f>IF('Ordenes_Odoo'!F1178="","",'Ordenes_Odoo'!F1178)</f>
        <v/>
      </c>
      <c r="G1178" s="79">
        <f>IF('Ordenes_Odoo'!G1178="","",'Ordenes_Odoo'!G1178)</f>
        <v/>
      </c>
      <c r="H1178" s="79">
        <f>IF('Ordenes_Odoo'!H1178="","",'Ordenes_Odoo'!H1178)</f>
        <v/>
      </c>
      <c r="I1178" s="79">
        <f>IF('Ordenes_Odoo'!I1178="","",'Ordenes_Odoo'!I1178)</f>
        <v/>
      </c>
      <c r="J1178" s="79">
        <f>IF('Ordenes_Odoo'!J1178="","",'Ordenes_Odoo'!J1178)</f>
        <v/>
      </c>
      <c r="K1178" s="81">
        <f>IF('Ordenes_Odoo'!K1178="","",'Ordenes_Odoo'!K1178)</f>
        <v/>
      </c>
      <c r="L1178" s="81">
        <f>IF('Ordenes_Odoo'!L1178="","",'Ordenes_Odoo'!L1178)</f>
        <v/>
      </c>
      <c r="M1178" s="79">
        <f>IF('Ordenes_Odoo'!M1178="","",'Ordenes_Odoo'!M1178)</f>
        <v/>
      </c>
      <c r="N1178" s="79">
        <f>IF('Ordenes_Odoo'!N1178="","",'Ordenes_Odoo'!N1178)</f>
        <v/>
      </c>
      <c r="O1178" s="81">
        <f>IF('Ordenes_Odoo'!O1178="","",'Ordenes_Odoo'!O1178)</f>
        <v/>
      </c>
      <c r="P1178" s="81">
        <f>IF('Ordenes_Odoo'!P1178="","",'Ordenes_Odoo'!P1178)</f>
        <v/>
      </c>
      <c r="Q1178" s="79">
        <f>IF(A1178="","",IFERROR(INDEX(Facturas_Odoo!$B:$B, MATCH(A1178, Facturas_Odoo!$D:$D, 0)), "Sin Factura"))</f>
        <v/>
      </c>
      <c r="R1178" s="80">
        <f>IF(Q1178="Sin Factura","",IFERROR(INDEX(Facturas_Odoo!$A:$A, MATCH(Q1178, Facturas_Odoo!$B:$B, 0)), ""))</f>
        <v/>
      </c>
      <c r="S1178" s="79">
        <f>IF(Q1178="Sin Factura","",IFERROR(_xlfn.XLOOKUP(1, (Facturas_Odoo!$D:$D=A1178) * (Facturas_Odoo!$K:$K=I1178), Facturas_Odoo!$L:$L, ""), ""))</f>
        <v/>
      </c>
      <c r="T1178" s="81">
        <f>IF(Q1178="Sin Factura",0,IFERROR(_xlfn.XLOOKUP(1, (Facturas_Odoo!$D:$D=A1178) * (Facturas_Odoo!$K:$K=I1178), Facturas_Odoo!$M:$M, 0), 0))</f>
        <v/>
      </c>
      <c r="U1178" s="79">
        <f>IF(Q1178="Sin Factura",0,IFERROR(_xlfn.XLOOKUP(1, (Facturas_Odoo!$D:$D=A1178) * (Facturas_Odoo!$K:$K=I1178), Facturas_Odoo!$N:$N, 0), 0))</f>
        <v/>
      </c>
      <c r="V1178" s="79">
        <f>IF(Q1178="Sin Factura",0,IFERROR(_xlfn.XLOOKUP(1, (Facturas_Odoo!$D:$D=A1178) * (Facturas_Odoo!$K:$K=I1178), Facturas_Odoo!$O:$O, 0), 0))</f>
        <v/>
      </c>
      <c r="W1178" s="81">
        <f>IF(Q1178="Sin Factura",0,IFERROR(_xlfn.XLOOKUP(1, (Facturas_Odoo!$D:$D=A1178) * (Facturas_Odoo!$K:$K=I1178), Facturas_Odoo!$Q:$Q, 0), 0))</f>
        <v/>
      </c>
      <c r="X1178" s="79">
        <f>IF(OR(Q1178="Sin Factura",Q1178=""),"",IFERROR(INDEX(Pagos_Odoo!$B:$B, MATCH(Q1178, Pagos_Odoo!$I:$I, 0)), "Sin Pago"))</f>
        <v/>
      </c>
      <c r="Y1178" s="79">
        <f>IF(X1178="Sin Pago","",IFERROR(INDEX(Pagos_Odoo!$C:$C, MATCH(X1178, Pagos_Odoo!$B:$B, 0)), ""))</f>
        <v/>
      </c>
      <c r="Z1178" s="80">
        <f>IF(X1178="Sin Pago","",IFERROR(INDEX(Pagos_Odoo!$A:$A, MATCH(X1178, Pagos_Odoo!$B:$B, 0)), ""))</f>
        <v/>
      </c>
      <c r="AA1178" s="79">
        <f>IF(X1178="Sin Pago","",IFERROR(INDEX(Pagos_Odoo!$F:$F, MATCH(X1178, Pagos_Odoo!$B:$B, 0)), ""))</f>
        <v/>
      </c>
      <c r="AB1178" s="81">
        <f>IF(X1178="Sin Pago",0,IFERROR(INDEX(Pagos_Odoo!$E:$E, MATCH(X1178, Pagos_Odoo!$B:$B, 0)), 0))</f>
        <v/>
      </c>
      <c r="AC1178" s="79">
        <f>IF(X1178="Sin Pago","",IFERROR(INDEX(Pagos_Odoo!$G:$G, MATCH(X1178, Pagos_Odoo!$B:$B, 0)), ""))</f>
        <v/>
      </c>
      <c r="AD1178" s="82" t="n">
        <v>0</v>
      </c>
      <c r="AE1178" s="82" t="n"/>
      <c r="AF1178" s="82" t="n"/>
      <c r="AG1178" s="82">
        <f>IF(AN1178="","",AD1178+AE1178+AF1178)</f>
        <v/>
      </c>
      <c r="AH1178" s="81">
        <f>IF(AN1178="","",P1178*(1-AG1178))</f>
        <v/>
      </c>
      <c r="AI1178" s="81">
        <f>IF(AN1178="","",IF(Q1178="Sin Factura",0,IFERROR(INDEX(Facturas_Odoo!$H:$H, MATCH(Q1178, Facturas_Odoo!$B:$B, 0)), 0)*(1-AG1178)))</f>
        <v/>
      </c>
      <c r="AJ1178" s="81">
        <f>IF(AN1178="","",_xlfn.LET(idVenta, AN1178&amp;"",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78" s="81">
        <f>IF(AN1178="","",AH1178-AJ1178)</f>
        <v/>
      </c>
      <c r="AL1178" s="81">
        <f>IF(AN1178="","",IF(Q1178="Sin Factura","",AI1178-AJ1178))</f>
        <v/>
      </c>
      <c r="AM1178" s="81">
        <f>IF(AN1178="","",IF(Q1178="Sin Factura",0,P1178-IFERROR(INDEX(Facturas_Odoo!$H:$H, MATCH(Q1178, Facturas_Odoo!$B:$B, 0)), 0)))</f>
        <v/>
      </c>
      <c r="AN1178" s="79">
        <f>IF(AND(A1178="", J1178=""), "", IF(A1178&lt;&gt;"", VALUE(MID(A1178,2,LEN(A1178))), AN1177))</f>
        <v/>
      </c>
      <c r="AO1178" s="79">
        <f>IF(AN1178="","",IF(AD1178=0,"OK",_xlfn.LET(monedaPago, IF(AA1178="","USD",AA1178), limitePermitido, IFERROR(VLOOKUP(monedaPago, Configuración!$A$2:$B$3, 2, FALSE), 0.15), IF(AD1178&gt;limitePermitido, "ALERTA: EXCESO (" &amp; TEXT(limitePermitido, "0%") &amp; " máx)", "OK"))))</f>
        <v/>
      </c>
      <c r="AP1178" s="79">
        <f>IF(AN1178="","",IF(AE1178=0,"OK",_xlfn.LET(fechaPago, Z1178, fechaFactura, R1178, diasCredito, IF(E1178="Pago inmediato", 0, IFERROR(VALUE(MID(E1178, 1, SEARCH(" ", E1178)-1)),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78" s="79">
        <f>IF(AN1178="","",IF(AND(N1178&gt;0, AG1178&gt;0), IF(Configuración!$K$2="NO", "ALERTA: DESCUENTO DOBLE NO PERMITIDO", "OK"), "OK"))</f>
        <v/>
      </c>
      <c r="AR1178" s="79">
        <f>IF(AN1178="","",IF(OR(AO1178&lt;&gt;"OK", AP1178&lt;&gt;"OK", AQ1178&lt;&gt;"OK"), "⚠️ REVISAR", "OK"))</f>
        <v/>
      </c>
    </row>
    <row r="1179">
      <c r="A1179" s="79">
        <f>IF('Ordenes_Odoo'!A1179="","",'Ordenes_Odoo'!A1179)</f>
        <v/>
      </c>
      <c r="B1179" s="80">
        <f>IF('Ordenes_Odoo'!B1179="","",'Ordenes_Odoo'!B1179)</f>
        <v/>
      </c>
      <c r="C1179" s="79">
        <f>IF('Ordenes_Odoo'!C1179="","",'Ordenes_Odoo'!C1179)</f>
        <v/>
      </c>
      <c r="D1179" s="79">
        <f>IF('Ordenes_Odoo'!D1179="","",'Ordenes_Odoo'!D1179)</f>
        <v/>
      </c>
      <c r="E1179" s="79">
        <f>IF('Ordenes_Odoo'!E1179="","",'Ordenes_Odoo'!E1179)</f>
        <v/>
      </c>
      <c r="F1179" s="79">
        <f>IF('Ordenes_Odoo'!F1179="","",'Ordenes_Odoo'!F1179)</f>
        <v/>
      </c>
      <c r="G1179" s="79">
        <f>IF('Ordenes_Odoo'!G1179="","",'Ordenes_Odoo'!G1179)</f>
        <v/>
      </c>
      <c r="H1179" s="79">
        <f>IF('Ordenes_Odoo'!H1179="","",'Ordenes_Odoo'!H1179)</f>
        <v/>
      </c>
      <c r="I1179" s="79">
        <f>IF('Ordenes_Odoo'!I1179="","",'Ordenes_Odoo'!I1179)</f>
        <v/>
      </c>
      <c r="J1179" s="79">
        <f>IF('Ordenes_Odoo'!J1179="","",'Ordenes_Odoo'!J1179)</f>
        <v/>
      </c>
      <c r="K1179" s="81">
        <f>IF('Ordenes_Odoo'!K1179="","",'Ordenes_Odoo'!K1179)</f>
        <v/>
      </c>
      <c r="L1179" s="81">
        <f>IF('Ordenes_Odoo'!L1179="","",'Ordenes_Odoo'!L1179)</f>
        <v/>
      </c>
      <c r="M1179" s="79">
        <f>IF('Ordenes_Odoo'!M1179="","",'Ordenes_Odoo'!M1179)</f>
        <v/>
      </c>
      <c r="N1179" s="79">
        <f>IF('Ordenes_Odoo'!N1179="","",'Ordenes_Odoo'!N1179)</f>
        <v/>
      </c>
      <c r="O1179" s="81">
        <f>IF('Ordenes_Odoo'!O1179="","",'Ordenes_Odoo'!O1179)</f>
        <v/>
      </c>
      <c r="P1179" s="81">
        <f>IF('Ordenes_Odoo'!P1179="","",'Ordenes_Odoo'!P1179)</f>
        <v/>
      </c>
      <c r="Q1179" s="79">
        <f>IF(A1179="","",IFERROR(INDEX(Facturas_Odoo!$B:$B, MATCH(A1179, Facturas_Odoo!$D:$D, 0)), "Sin Factura"))</f>
        <v/>
      </c>
      <c r="R1179" s="80">
        <f>IF(Q1179="Sin Factura","",IFERROR(INDEX(Facturas_Odoo!$A:$A, MATCH(Q1179, Facturas_Odoo!$B:$B, 0)), ""))</f>
        <v/>
      </c>
      <c r="S1179" s="79">
        <f>IF(Q1179="Sin Factura","",IFERROR(_xlfn.XLOOKUP(1, (Facturas_Odoo!$D:$D=A1179) * (Facturas_Odoo!$K:$K=I1179), Facturas_Odoo!$L:$L, ""), ""))</f>
        <v/>
      </c>
      <c r="T1179" s="81">
        <f>IF(Q1179="Sin Factura",0,IFERROR(_xlfn.XLOOKUP(1, (Facturas_Odoo!$D:$D=A1179) * (Facturas_Odoo!$K:$K=I1179), Facturas_Odoo!$M:$M, 0), 0))</f>
        <v/>
      </c>
      <c r="U1179" s="79">
        <f>IF(Q1179="Sin Factura",0,IFERROR(_xlfn.XLOOKUP(1, (Facturas_Odoo!$D:$D=A1179) * (Facturas_Odoo!$K:$K=I1179), Facturas_Odoo!$N:$N, 0), 0))</f>
        <v/>
      </c>
      <c r="V1179" s="79">
        <f>IF(Q1179="Sin Factura",0,IFERROR(_xlfn.XLOOKUP(1, (Facturas_Odoo!$D:$D=A1179) * (Facturas_Odoo!$K:$K=I1179), Facturas_Odoo!$O:$O, 0), 0))</f>
        <v/>
      </c>
      <c r="W1179" s="81">
        <f>IF(Q1179="Sin Factura",0,IFERROR(_xlfn.XLOOKUP(1, (Facturas_Odoo!$D:$D=A1179) * (Facturas_Odoo!$K:$K=I1179), Facturas_Odoo!$Q:$Q, 0), 0))</f>
        <v/>
      </c>
      <c r="X1179" s="79">
        <f>IF(OR(Q1179="Sin Factura",Q1179=""),"",IFERROR(INDEX(Pagos_Odoo!$B:$B, MATCH(Q1179, Pagos_Odoo!$I:$I, 0)), "Sin Pago"))</f>
        <v/>
      </c>
      <c r="Y1179" s="79">
        <f>IF(X1179="Sin Pago","",IFERROR(INDEX(Pagos_Odoo!$C:$C, MATCH(X1179, Pagos_Odoo!$B:$B, 0)), ""))</f>
        <v/>
      </c>
      <c r="Z1179" s="80">
        <f>IF(X1179="Sin Pago","",IFERROR(INDEX(Pagos_Odoo!$A:$A, MATCH(X1179, Pagos_Odoo!$B:$B, 0)), ""))</f>
        <v/>
      </c>
      <c r="AA1179" s="79">
        <f>IF(X1179="Sin Pago","",IFERROR(INDEX(Pagos_Odoo!$F:$F, MATCH(X1179, Pagos_Odoo!$B:$B, 0)), ""))</f>
        <v/>
      </c>
      <c r="AB1179" s="81">
        <f>IF(X1179="Sin Pago",0,IFERROR(INDEX(Pagos_Odoo!$E:$E, MATCH(X1179, Pagos_Odoo!$B:$B, 0)), 0))</f>
        <v/>
      </c>
      <c r="AC1179" s="79">
        <f>IF(X1179="Sin Pago","",IFERROR(INDEX(Pagos_Odoo!$G:$G, MATCH(X1179, Pagos_Odoo!$B:$B, 0)), ""))</f>
        <v/>
      </c>
      <c r="AD1179" s="82" t="n">
        <v>0</v>
      </c>
      <c r="AE1179" s="82" t="n"/>
      <c r="AF1179" s="82" t="n"/>
      <c r="AG1179" s="82">
        <f>IF(AN1179="","",AD1179+AE1179+AF1179)</f>
        <v/>
      </c>
      <c r="AH1179" s="81">
        <f>IF(AN1179="","",P1179*(1-AG1179))</f>
        <v/>
      </c>
      <c r="AI1179" s="81">
        <f>IF(AN1179="","",IF(Q1179="Sin Factura",0,IFERROR(INDEX(Facturas_Odoo!$H:$H, MATCH(Q1179, Facturas_Odoo!$B:$B, 0)), 0)*(1-AG1179)))</f>
        <v/>
      </c>
      <c r="AJ1179" s="81">
        <f>IF(AN1179="","",_xlfn.LET(idVenta, AN1179&amp;"",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79" s="81">
        <f>IF(AN1179="","",AH1179-AJ1179)</f>
        <v/>
      </c>
      <c r="AL1179" s="81">
        <f>IF(AN1179="","",IF(Q1179="Sin Factura","",AI1179-AJ1179))</f>
        <v/>
      </c>
      <c r="AM1179" s="81">
        <f>IF(AN1179="","",IF(Q1179="Sin Factura",0,P1179-IFERROR(INDEX(Facturas_Odoo!$H:$H, MATCH(Q1179, Facturas_Odoo!$B:$B, 0)), 0)))</f>
        <v/>
      </c>
      <c r="AN1179" s="79">
        <f>IF(AND(A1179="", J1179=""), "", IF(A1179&lt;&gt;"", VALUE(MID(A1179,2,LEN(A1179))), AN1178))</f>
        <v/>
      </c>
      <c r="AO1179" s="79">
        <f>IF(AN1179="","",IF(AD1179=0,"OK",_xlfn.LET(monedaPago, IF(AA1179="","USD",AA1179), limitePermitido, IFERROR(VLOOKUP(monedaPago, Configuración!$A$2:$B$3, 2, FALSE), 0.15), IF(AD1179&gt;limitePermitido, "ALERTA: EXCESO (" &amp; TEXT(limitePermitido, "0%") &amp; " máx)", "OK"))))</f>
        <v/>
      </c>
      <c r="AP1179" s="79">
        <f>IF(AN1179="","",IF(AE1179=0,"OK",_xlfn.LET(fechaPago, Z1179, fechaFactura, R1179, diasCredito, IF(E1179="Pago inmediato", 0, IFERROR(VALUE(MID(E1179, 1, SEARCH(" ", E1179)-1)),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79" s="79">
        <f>IF(AN1179="","",IF(AND(N1179&gt;0, AG1179&gt;0), IF(Configuración!$K$2="NO", "ALERTA: DESCUENTO DOBLE NO PERMITIDO", "OK"), "OK"))</f>
        <v/>
      </c>
      <c r="AR1179" s="79">
        <f>IF(AN1179="","",IF(OR(AO1179&lt;&gt;"OK", AP1179&lt;&gt;"OK", AQ1179&lt;&gt;"OK"), "⚠️ REVISAR", "OK"))</f>
        <v/>
      </c>
    </row>
    <row r="1180">
      <c r="A1180" s="79">
        <f>IF('Ordenes_Odoo'!A1180="","",'Ordenes_Odoo'!A1180)</f>
        <v/>
      </c>
      <c r="B1180" s="80">
        <f>IF('Ordenes_Odoo'!B1180="","",'Ordenes_Odoo'!B1180)</f>
        <v/>
      </c>
      <c r="C1180" s="79">
        <f>IF('Ordenes_Odoo'!C1180="","",'Ordenes_Odoo'!C1180)</f>
        <v/>
      </c>
      <c r="D1180" s="79">
        <f>IF('Ordenes_Odoo'!D1180="","",'Ordenes_Odoo'!D1180)</f>
        <v/>
      </c>
      <c r="E1180" s="79">
        <f>IF('Ordenes_Odoo'!E1180="","",'Ordenes_Odoo'!E1180)</f>
        <v/>
      </c>
      <c r="F1180" s="79">
        <f>IF('Ordenes_Odoo'!F1180="","",'Ordenes_Odoo'!F1180)</f>
        <v/>
      </c>
      <c r="G1180" s="79">
        <f>IF('Ordenes_Odoo'!G1180="","",'Ordenes_Odoo'!G1180)</f>
        <v/>
      </c>
      <c r="H1180" s="79">
        <f>IF('Ordenes_Odoo'!H1180="","",'Ordenes_Odoo'!H1180)</f>
        <v/>
      </c>
      <c r="I1180" s="79">
        <f>IF('Ordenes_Odoo'!I1180="","",'Ordenes_Odoo'!I1180)</f>
        <v/>
      </c>
      <c r="J1180" s="79">
        <f>IF('Ordenes_Odoo'!J1180="","",'Ordenes_Odoo'!J1180)</f>
        <v/>
      </c>
      <c r="K1180" s="81">
        <f>IF('Ordenes_Odoo'!K1180="","",'Ordenes_Odoo'!K1180)</f>
        <v/>
      </c>
      <c r="L1180" s="81">
        <f>IF('Ordenes_Odoo'!L1180="","",'Ordenes_Odoo'!L1180)</f>
        <v/>
      </c>
      <c r="M1180" s="79">
        <f>IF('Ordenes_Odoo'!M1180="","",'Ordenes_Odoo'!M1180)</f>
        <v/>
      </c>
      <c r="N1180" s="79">
        <f>IF('Ordenes_Odoo'!N1180="","",'Ordenes_Odoo'!N1180)</f>
        <v/>
      </c>
      <c r="O1180" s="81">
        <f>IF('Ordenes_Odoo'!O1180="","",'Ordenes_Odoo'!O1180)</f>
        <v/>
      </c>
      <c r="P1180" s="81">
        <f>IF('Ordenes_Odoo'!P1180="","",'Ordenes_Odoo'!P1180)</f>
        <v/>
      </c>
      <c r="Q1180" s="79">
        <f>IF(A1180="","",IFERROR(INDEX(Facturas_Odoo!$B:$B, MATCH(A1180, Facturas_Odoo!$D:$D, 0)), "Sin Factura"))</f>
        <v/>
      </c>
      <c r="R1180" s="80">
        <f>IF(Q1180="Sin Factura","",IFERROR(INDEX(Facturas_Odoo!$A:$A, MATCH(Q1180, Facturas_Odoo!$B:$B, 0)), ""))</f>
        <v/>
      </c>
      <c r="S1180" s="79">
        <f>IF(Q1180="Sin Factura","",IFERROR(_xlfn.XLOOKUP(1, (Facturas_Odoo!$D:$D=A1180) * (Facturas_Odoo!$K:$K=I1180), Facturas_Odoo!$L:$L, ""), ""))</f>
        <v/>
      </c>
      <c r="T1180" s="81">
        <f>IF(Q1180="Sin Factura",0,IFERROR(_xlfn.XLOOKUP(1, (Facturas_Odoo!$D:$D=A1180) * (Facturas_Odoo!$K:$K=I1180), Facturas_Odoo!$M:$M, 0), 0))</f>
        <v/>
      </c>
      <c r="U1180" s="79">
        <f>IF(Q1180="Sin Factura",0,IFERROR(_xlfn.XLOOKUP(1, (Facturas_Odoo!$D:$D=A1180) * (Facturas_Odoo!$K:$K=I1180), Facturas_Odoo!$N:$N, 0), 0))</f>
        <v/>
      </c>
      <c r="V1180" s="79">
        <f>IF(Q1180="Sin Factura",0,IFERROR(_xlfn.XLOOKUP(1, (Facturas_Odoo!$D:$D=A1180) * (Facturas_Odoo!$K:$K=I1180), Facturas_Odoo!$O:$O, 0), 0))</f>
        <v/>
      </c>
      <c r="W1180" s="81">
        <f>IF(Q1180="Sin Factura",0,IFERROR(_xlfn.XLOOKUP(1, (Facturas_Odoo!$D:$D=A1180) * (Facturas_Odoo!$K:$K=I1180), Facturas_Odoo!$Q:$Q, 0), 0))</f>
        <v/>
      </c>
      <c r="X1180" s="79">
        <f>IF(OR(Q1180="Sin Factura",Q1180=""),"",IFERROR(INDEX(Pagos_Odoo!$B:$B, MATCH(Q1180, Pagos_Odoo!$I:$I, 0)), "Sin Pago"))</f>
        <v/>
      </c>
      <c r="Y1180" s="79">
        <f>IF(X1180="Sin Pago","",IFERROR(INDEX(Pagos_Odoo!$C:$C, MATCH(X1180, Pagos_Odoo!$B:$B, 0)), ""))</f>
        <v/>
      </c>
      <c r="Z1180" s="80">
        <f>IF(X1180="Sin Pago","",IFERROR(INDEX(Pagos_Odoo!$A:$A, MATCH(X1180, Pagos_Odoo!$B:$B, 0)), ""))</f>
        <v/>
      </c>
      <c r="AA1180" s="79">
        <f>IF(X1180="Sin Pago","",IFERROR(INDEX(Pagos_Odoo!$F:$F, MATCH(X1180, Pagos_Odoo!$B:$B, 0)), ""))</f>
        <v/>
      </c>
      <c r="AB1180" s="81">
        <f>IF(X1180="Sin Pago",0,IFERROR(INDEX(Pagos_Odoo!$E:$E, MATCH(X1180, Pagos_Odoo!$B:$B, 0)), 0))</f>
        <v/>
      </c>
      <c r="AC1180" s="79">
        <f>IF(X1180="Sin Pago","",IFERROR(INDEX(Pagos_Odoo!$G:$G, MATCH(X1180, Pagos_Odoo!$B:$B, 0)), ""))</f>
        <v/>
      </c>
      <c r="AD1180" s="82" t="n">
        <v>0</v>
      </c>
      <c r="AE1180" s="82" t="n"/>
      <c r="AF1180" s="82" t="n"/>
      <c r="AG1180" s="82">
        <f>IF(AN1180="","",AD1180+AE1180+AF1180)</f>
        <v/>
      </c>
      <c r="AH1180" s="81">
        <f>IF(AN1180="","",P1180*(1-AG1180))</f>
        <v/>
      </c>
      <c r="AI1180" s="81">
        <f>IF(AN1180="","",IF(Q1180="Sin Factura",0,IFERROR(INDEX(Facturas_Odoo!$H:$H, MATCH(Q1180, Facturas_Odoo!$B:$B, 0)), 0)*(1-AG1180)))</f>
        <v/>
      </c>
      <c r="AJ1180" s="81">
        <f>IF(AN1180="","",_xlfn.LET(idVenta, AN1180&amp;"",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80" s="81">
        <f>IF(AN1180="","",AH1180-AJ1180)</f>
        <v/>
      </c>
      <c r="AL1180" s="81">
        <f>IF(AN1180="","",IF(Q1180="Sin Factura","",AI1180-AJ1180))</f>
        <v/>
      </c>
      <c r="AM1180" s="81">
        <f>IF(AN1180="","",IF(Q1180="Sin Factura",0,P1180-IFERROR(INDEX(Facturas_Odoo!$H:$H, MATCH(Q1180, Facturas_Odoo!$B:$B, 0)), 0)))</f>
        <v/>
      </c>
      <c r="AN1180" s="79">
        <f>IF(AND(A1180="", J1180=""), "", IF(A1180&lt;&gt;"", VALUE(MID(A1180,2,LEN(A1180))), AN1179))</f>
        <v/>
      </c>
      <c r="AO1180" s="79">
        <f>IF(AN1180="","",IF(AD1180=0,"OK",_xlfn.LET(monedaPago, IF(AA1180="","USD",AA1180), limitePermitido, IFERROR(VLOOKUP(monedaPago, Configuración!$A$2:$B$3, 2, FALSE), 0.15), IF(AD1180&gt;limitePermitido, "ALERTA: EXCESO (" &amp; TEXT(limitePermitido, "0%") &amp; " máx)", "OK"))))</f>
        <v/>
      </c>
      <c r="AP1180" s="79">
        <f>IF(AN1180="","",IF(AE1180=0,"OK",_xlfn.LET(fechaPago, Z1180, fechaFactura, R1180, diasCredito, IF(E1180="Pago inmediato", 0, IFERROR(VALUE(MID(E1180, 1, SEARCH(" ", E1180)-1)),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80" s="79">
        <f>IF(AN1180="","",IF(AND(N1180&gt;0, AG1180&gt;0), IF(Configuración!$K$2="NO", "ALERTA: DESCUENTO DOBLE NO PERMITIDO", "OK"), "OK"))</f>
        <v/>
      </c>
      <c r="AR1180" s="79">
        <f>IF(AN1180="","",IF(OR(AO1180&lt;&gt;"OK", AP1180&lt;&gt;"OK", AQ1180&lt;&gt;"OK"), "⚠️ REVISAR", "OK"))</f>
        <v/>
      </c>
    </row>
    <row r="1181">
      <c r="A1181" s="79">
        <f>IF('Ordenes_Odoo'!A1181="","",'Ordenes_Odoo'!A1181)</f>
        <v/>
      </c>
      <c r="B1181" s="80">
        <f>IF('Ordenes_Odoo'!B1181="","",'Ordenes_Odoo'!B1181)</f>
        <v/>
      </c>
      <c r="C1181" s="79">
        <f>IF('Ordenes_Odoo'!C1181="","",'Ordenes_Odoo'!C1181)</f>
        <v/>
      </c>
      <c r="D1181" s="79">
        <f>IF('Ordenes_Odoo'!D1181="","",'Ordenes_Odoo'!D1181)</f>
        <v/>
      </c>
      <c r="E1181" s="79">
        <f>IF('Ordenes_Odoo'!E1181="","",'Ordenes_Odoo'!E1181)</f>
        <v/>
      </c>
      <c r="F1181" s="79">
        <f>IF('Ordenes_Odoo'!F1181="","",'Ordenes_Odoo'!F1181)</f>
        <v/>
      </c>
      <c r="G1181" s="79">
        <f>IF('Ordenes_Odoo'!G1181="","",'Ordenes_Odoo'!G1181)</f>
        <v/>
      </c>
      <c r="H1181" s="79">
        <f>IF('Ordenes_Odoo'!H1181="","",'Ordenes_Odoo'!H1181)</f>
        <v/>
      </c>
      <c r="I1181" s="79">
        <f>IF('Ordenes_Odoo'!I1181="","",'Ordenes_Odoo'!I1181)</f>
        <v/>
      </c>
      <c r="J1181" s="79">
        <f>IF('Ordenes_Odoo'!J1181="","",'Ordenes_Odoo'!J1181)</f>
        <v/>
      </c>
      <c r="K1181" s="81">
        <f>IF('Ordenes_Odoo'!K1181="","",'Ordenes_Odoo'!K1181)</f>
        <v/>
      </c>
      <c r="L1181" s="81">
        <f>IF('Ordenes_Odoo'!L1181="","",'Ordenes_Odoo'!L1181)</f>
        <v/>
      </c>
      <c r="M1181" s="79">
        <f>IF('Ordenes_Odoo'!M1181="","",'Ordenes_Odoo'!M1181)</f>
        <v/>
      </c>
      <c r="N1181" s="79">
        <f>IF('Ordenes_Odoo'!N1181="","",'Ordenes_Odoo'!N1181)</f>
        <v/>
      </c>
      <c r="O1181" s="81">
        <f>IF('Ordenes_Odoo'!O1181="","",'Ordenes_Odoo'!O1181)</f>
        <v/>
      </c>
      <c r="P1181" s="81">
        <f>IF('Ordenes_Odoo'!P1181="","",'Ordenes_Odoo'!P1181)</f>
        <v/>
      </c>
      <c r="Q1181" s="79">
        <f>IF(A1181="","",IFERROR(INDEX(Facturas_Odoo!$B:$B, MATCH(A1181, Facturas_Odoo!$D:$D, 0)), "Sin Factura"))</f>
        <v/>
      </c>
      <c r="R1181" s="80">
        <f>IF(Q1181="Sin Factura","",IFERROR(INDEX(Facturas_Odoo!$A:$A, MATCH(Q1181, Facturas_Odoo!$B:$B, 0)), ""))</f>
        <v/>
      </c>
      <c r="S1181" s="79">
        <f>IF(Q1181="Sin Factura","",IFERROR(_xlfn.XLOOKUP(1, (Facturas_Odoo!$D:$D=A1181) * (Facturas_Odoo!$K:$K=I1181), Facturas_Odoo!$L:$L, ""), ""))</f>
        <v/>
      </c>
      <c r="T1181" s="81">
        <f>IF(Q1181="Sin Factura",0,IFERROR(_xlfn.XLOOKUP(1, (Facturas_Odoo!$D:$D=A1181) * (Facturas_Odoo!$K:$K=I1181), Facturas_Odoo!$M:$M, 0), 0))</f>
        <v/>
      </c>
      <c r="U1181" s="79">
        <f>IF(Q1181="Sin Factura",0,IFERROR(_xlfn.XLOOKUP(1, (Facturas_Odoo!$D:$D=A1181) * (Facturas_Odoo!$K:$K=I1181), Facturas_Odoo!$N:$N, 0), 0))</f>
        <v/>
      </c>
      <c r="V1181" s="79">
        <f>IF(Q1181="Sin Factura",0,IFERROR(_xlfn.XLOOKUP(1, (Facturas_Odoo!$D:$D=A1181) * (Facturas_Odoo!$K:$K=I1181), Facturas_Odoo!$O:$O, 0), 0))</f>
        <v/>
      </c>
      <c r="W1181" s="81">
        <f>IF(Q1181="Sin Factura",0,IFERROR(_xlfn.XLOOKUP(1, (Facturas_Odoo!$D:$D=A1181) * (Facturas_Odoo!$K:$K=I1181), Facturas_Odoo!$Q:$Q, 0), 0))</f>
        <v/>
      </c>
      <c r="X1181" s="79">
        <f>IF(OR(Q1181="Sin Factura",Q1181=""),"",IFERROR(INDEX(Pagos_Odoo!$B:$B, MATCH(Q1181, Pagos_Odoo!$I:$I, 0)), "Sin Pago"))</f>
        <v/>
      </c>
      <c r="Y1181" s="79">
        <f>IF(X1181="Sin Pago","",IFERROR(INDEX(Pagos_Odoo!$C:$C, MATCH(X1181, Pagos_Odoo!$B:$B, 0)), ""))</f>
        <v/>
      </c>
      <c r="Z1181" s="80">
        <f>IF(X1181="Sin Pago","",IFERROR(INDEX(Pagos_Odoo!$A:$A, MATCH(X1181, Pagos_Odoo!$B:$B, 0)), ""))</f>
        <v/>
      </c>
      <c r="AA1181" s="79">
        <f>IF(X1181="Sin Pago","",IFERROR(INDEX(Pagos_Odoo!$F:$F, MATCH(X1181, Pagos_Odoo!$B:$B, 0)), ""))</f>
        <v/>
      </c>
      <c r="AB1181" s="81">
        <f>IF(X1181="Sin Pago",0,IFERROR(INDEX(Pagos_Odoo!$E:$E, MATCH(X1181, Pagos_Odoo!$B:$B, 0)), 0))</f>
        <v/>
      </c>
      <c r="AC1181" s="79">
        <f>IF(X1181="Sin Pago","",IFERROR(INDEX(Pagos_Odoo!$G:$G, MATCH(X1181, Pagos_Odoo!$B:$B, 0)), ""))</f>
        <v/>
      </c>
      <c r="AD1181" s="82" t="n">
        <v>0</v>
      </c>
      <c r="AE1181" s="82" t="n"/>
      <c r="AF1181" s="82" t="n"/>
      <c r="AG1181" s="82">
        <f>IF(AN1181="","",AD1181+AE1181+AF1181)</f>
        <v/>
      </c>
      <c r="AH1181" s="81">
        <f>IF(AN1181="","",P1181*(1-AG1181))</f>
        <v/>
      </c>
      <c r="AI1181" s="81">
        <f>IF(AN1181="","",IF(Q1181="Sin Factura",0,IFERROR(INDEX(Facturas_Odoo!$H:$H, MATCH(Q1181, Facturas_Odoo!$B:$B, 0)), 0)*(1-AG1181)))</f>
        <v/>
      </c>
      <c r="AJ1181" s="81">
        <f>IF(AN1181="","",_xlfn.LET(idVenta, AN1181&amp;"",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81" s="81">
        <f>IF(AN1181="","",AH1181-AJ1181)</f>
        <v/>
      </c>
      <c r="AL1181" s="81">
        <f>IF(AN1181="","",IF(Q1181="Sin Factura","",AI1181-AJ1181))</f>
        <v/>
      </c>
      <c r="AM1181" s="81">
        <f>IF(AN1181="","",IF(Q1181="Sin Factura",0,P1181-IFERROR(INDEX(Facturas_Odoo!$H:$H, MATCH(Q1181, Facturas_Odoo!$B:$B, 0)), 0)))</f>
        <v/>
      </c>
      <c r="AN1181" s="79">
        <f>IF(AND(A1181="", J1181=""), "", IF(A1181&lt;&gt;"", VALUE(MID(A1181,2,LEN(A1181))), AN1180))</f>
        <v/>
      </c>
      <c r="AO1181" s="79">
        <f>IF(AN1181="","",IF(AD1181=0,"OK",_xlfn.LET(monedaPago, IF(AA1181="","USD",AA1181), limitePermitido, IFERROR(VLOOKUP(monedaPago, Configuración!$A$2:$B$3, 2, FALSE), 0.15), IF(AD1181&gt;limitePermitido, "ALERTA: EXCESO (" &amp; TEXT(limitePermitido, "0%") &amp; " máx)", "OK"))))</f>
        <v/>
      </c>
      <c r="AP1181" s="79">
        <f>IF(AN1181="","",IF(AE1181=0,"OK",_xlfn.LET(fechaPago, Z1181, fechaFactura, R1181, diasCredito, IF(E1181="Pago inmediato", 0, IFERROR(VALUE(MID(E1181, 1, SEARCH(" ", E1181)-1)),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81" s="79">
        <f>IF(AN1181="","",IF(AND(N1181&gt;0, AG1181&gt;0), IF(Configuración!$K$2="NO", "ALERTA: DESCUENTO DOBLE NO PERMITIDO", "OK"), "OK"))</f>
        <v/>
      </c>
      <c r="AR1181" s="79">
        <f>IF(AN1181="","",IF(OR(AO1181&lt;&gt;"OK", AP1181&lt;&gt;"OK", AQ1181&lt;&gt;"OK"), "⚠️ REVISAR", "OK"))</f>
        <v/>
      </c>
    </row>
    <row r="1182">
      <c r="A1182" s="79">
        <f>IF('Ordenes_Odoo'!A1182="","",'Ordenes_Odoo'!A1182)</f>
        <v/>
      </c>
      <c r="B1182" s="80">
        <f>IF('Ordenes_Odoo'!B1182="","",'Ordenes_Odoo'!B1182)</f>
        <v/>
      </c>
      <c r="C1182" s="79">
        <f>IF('Ordenes_Odoo'!C1182="","",'Ordenes_Odoo'!C1182)</f>
        <v/>
      </c>
      <c r="D1182" s="79">
        <f>IF('Ordenes_Odoo'!D1182="","",'Ordenes_Odoo'!D1182)</f>
        <v/>
      </c>
      <c r="E1182" s="79">
        <f>IF('Ordenes_Odoo'!E1182="","",'Ordenes_Odoo'!E1182)</f>
        <v/>
      </c>
      <c r="F1182" s="79">
        <f>IF('Ordenes_Odoo'!F1182="","",'Ordenes_Odoo'!F1182)</f>
        <v/>
      </c>
      <c r="G1182" s="79">
        <f>IF('Ordenes_Odoo'!G1182="","",'Ordenes_Odoo'!G1182)</f>
        <v/>
      </c>
      <c r="H1182" s="79">
        <f>IF('Ordenes_Odoo'!H1182="","",'Ordenes_Odoo'!H1182)</f>
        <v/>
      </c>
      <c r="I1182" s="79">
        <f>IF('Ordenes_Odoo'!I1182="","",'Ordenes_Odoo'!I1182)</f>
        <v/>
      </c>
      <c r="J1182" s="79">
        <f>IF('Ordenes_Odoo'!J1182="","",'Ordenes_Odoo'!J1182)</f>
        <v/>
      </c>
      <c r="K1182" s="81">
        <f>IF('Ordenes_Odoo'!K1182="","",'Ordenes_Odoo'!K1182)</f>
        <v/>
      </c>
      <c r="L1182" s="81">
        <f>IF('Ordenes_Odoo'!L1182="","",'Ordenes_Odoo'!L1182)</f>
        <v/>
      </c>
      <c r="M1182" s="79">
        <f>IF('Ordenes_Odoo'!M1182="","",'Ordenes_Odoo'!M1182)</f>
        <v/>
      </c>
      <c r="N1182" s="79">
        <f>IF('Ordenes_Odoo'!N1182="","",'Ordenes_Odoo'!N1182)</f>
        <v/>
      </c>
      <c r="O1182" s="81">
        <f>IF('Ordenes_Odoo'!O1182="","",'Ordenes_Odoo'!O1182)</f>
        <v/>
      </c>
      <c r="P1182" s="81">
        <f>IF('Ordenes_Odoo'!P1182="","",'Ordenes_Odoo'!P1182)</f>
        <v/>
      </c>
      <c r="Q1182" s="79">
        <f>IF(A1182="","",IFERROR(INDEX(Facturas_Odoo!$B:$B, MATCH(A1182, Facturas_Odoo!$D:$D, 0)), "Sin Factura"))</f>
        <v/>
      </c>
      <c r="R1182" s="80">
        <f>IF(Q1182="Sin Factura","",IFERROR(INDEX(Facturas_Odoo!$A:$A, MATCH(Q1182, Facturas_Odoo!$B:$B, 0)), ""))</f>
        <v/>
      </c>
      <c r="S1182" s="79">
        <f>IF(Q1182="Sin Factura","",IFERROR(_xlfn.XLOOKUP(1, (Facturas_Odoo!$D:$D=A1182) * (Facturas_Odoo!$K:$K=I1182), Facturas_Odoo!$L:$L, ""), ""))</f>
        <v/>
      </c>
      <c r="T1182" s="81">
        <f>IF(Q1182="Sin Factura",0,IFERROR(_xlfn.XLOOKUP(1, (Facturas_Odoo!$D:$D=A1182) * (Facturas_Odoo!$K:$K=I1182), Facturas_Odoo!$M:$M, 0), 0))</f>
        <v/>
      </c>
      <c r="U1182" s="79">
        <f>IF(Q1182="Sin Factura",0,IFERROR(_xlfn.XLOOKUP(1, (Facturas_Odoo!$D:$D=A1182) * (Facturas_Odoo!$K:$K=I1182), Facturas_Odoo!$N:$N, 0), 0))</f>
        <v/>
      </c>
      <c r="V1182" s="79">
        <f>IF(Q1182="Sin Factura",0,IFERROR(_xlfn.XLOOKUP(1, (Facturas_Odoo!$D:$D=A1182) * (Facturas_Odoo!$K:$K=I1182), Facturas_Odoo!$O:$O, 0), 0))</f>
        <v/>
      </c>
      <c r="W1182" s="81">
        <f>IF(Q1182="Sin Factura",0,IFERROR(_xlfn.XLOOKUP(1, (Facturas_Odoo!$D:$D=A1182) * (Facturas_Odoo!$K:$K=I1182), Facturas_Odoo!$Q:$Q, 0), 0))</f>
        <v/>
      </c>
      <c r="X1182" s="79">
        <f>IF(OR(Q1182="Sin Factura",Q1182=""),"",IFERROR(INDEX(Pagos_Odoo!$B:$B, MATCH(Q1182, Pagos_Odoo!$I:$I, 0)), "Sin Pago"))</f>
        <v/>
      </c>
      <c r="Y1182" s="79">
        <f>IF(X1182="Sin Pago","",IFERROR(INDEX(Pagos_Odoo!$C:$C, MATCH(X1182, Pagos_Odoo!$B:$B, 0)), ""))</f>
        <v/>
      </c>
      <c r="Z1182" s="80">
        <f>IF(X1182="Sin Pago","",IFERROR(INDEX(Pagos_Odoo!$A:$A, MATCH(X1182, Pagos_Odoo!$B:$B, 0)), ""))</f>
        <v/>
      </c>
      <c r="AA1182" s="79">
        <f>IF(X1182="Sin Pago","",IFERROR(INDEX(Pagos_Odoo!$F:$F, MATCH(X1182, Pagos_Odoo!$B:$B, 0)), ""))</f>
        <v/>
      </c>
      <c r="AB1182" s="81">
        <f>IF(X1182="Sin Pago",0,IFERROR(INDEX(Pagos_Odoo!$E:$E, MATCH(X1182, Pagos_Odoo!$B:$B, 0)), 0))</f>
        <v/>
      </c>
      <c r="AC1182" s="79">
        <f>IF(X1182="Sin Pago","",IFERROR(INDEX(Pagos_Odoo!$G:$G, MATCH(X1182, Pagos_Odoo!$B:$B, 0)), ""))</f>
        <v/>
      </c>
      <c r="AD1182" s="82" t="n">
        <v>0</v>
      </c>
      <c r="AE1182" s="82" t="n"/>
      <c r="AF1182" s="82" t="n"/>
      <c r="AG1182" s="82">
        <f>IF(AN1182="","",AD1182+AE1182+AF1182)</f>
        <v/>
      </c>
      <c r="AH1182" s="81">
        <f>IF(AN1182="","",P1182*(1-AG1182))</f>
        <v/>
      </c>
      <c r="AI1182" s="81">
        <f>IF(AN1182="","",IF(Q1182="Sin Factura",0,IFERROR(INDEX(Facturas_Odoo!$H:$H, MATCH(Q1182, Facturas_Odoo!$B:$B, 0)), 0)*(1-AG1182)))</f>
        <v/>
      </c>
      <c r="AJ1182" s="81">
        <f>IF(AN1182="","",_xlfn.LET(idVenta, AN1182&amp;"",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82" s="81">
        <f>IF(AN1182="","",AH1182-AJ1182)</f>
        <v/>
      </c>
      <c r="AL1182" s="81">
        <f>IF(AN1182="","",IF(Q1182="Sin Factura","",AI1182-AJ1182))</f>
        <v/>
      </c>
      <c r="AM1182" s="81">
        <f>IF(AN1182="","",IF(Q1182="Sin Factura",0,P1182-IFERROR(INDEX(Facturas_Odoo!$H:$H, MATCH(Q1182, Facturas_Odoo!$B:$B, 0)), 0)))</f>
        <v/>
      </c>
      <c r="AN1182" s="79">
        <f>IF(AND(A1182="", J1182=""), "", IF(A1182&lt;&gt;"", VALUE(MID(A1182,2,LEN(A1182))), AN1181))</f>
        <v/>
      </c>
      <c r="AO1182" s="79">
        <f>IF(AN1182="","",IF(AD1182=0,"OK",_xlfn.LET(monedaPago, IF(AA1182="","USD",AA1182), limitePermitido, IFERROR(VLOOKUP(monedaPago, Configuración!$A$2:$B$3, 2, FALSE), 0.15), IF(AD1182&gt;limitePermitido, "ALERTA: EXCESO (" &amp; TEXT(limitePermitido, "0%") &amp; " máx)", "OK"))))</f>
        <v/>
      </c>
      <c r="AP1182" s="79">
        <f>IF(AN1182="","",IF(AE1182=0,"OK",_xlfn.LET(fechaPago, Z1182, fechaFactura, R1182, diasCredito, IF(E1182="Pago inmediato", 0, IFERROR(VALUE(MID(E1182, 1, SEARCH(" ", E1182)-1)),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82" s="79">
        <f>IF(AN1182="","",IF(AND(N1182&gt;0, AG1182&gt;0), IF(Configuración!$K$2="NO", "ALERTA: DESCUENTO DOBLE NO PERMITIDO", "OK"), "OK"))</f>
        <v/>
      </c>
      <c r="AR1182" s="79">
        <f>IF(AN1182="","",IF(OR(AO1182&lt;&gt;"OK", AP1182&lt;&gt;"OK", AQ1182&lt;&gt;"OK"), "⚠️ REVISAR", "OK"))</f>
        <v/>
      </c>
    </row>
    <row r="1183">
      <c r="A1183" s="79">
        <f>IF('Ordenes_Odoo'!A1183="","",'Ordenes_Odoo'!A1183)</f>
        <v/>
      </c>
      <c r="B1183" s="80">
        <f>IF('Ordenes_Odoo'!B1183="","",'Ordenes_Odoo'!B1183)</f>
        <v/>
      </c>
      <c r="C1183" s="79">
        <f>IF('Ordenes_Odoo'!C1183="","",'Ordenes_Odoo'!C1183)</f>
        <v/>
      </c>
      <c r="D1183" s="79">
        <f>IF('Ordenes_Odoo'!D1183="","",'Ordenes_Odoo'!D1183)</f>
        <v/>
      </c>
      <c r="E1183" s="79">
        <f>IF('Ordenes_Odoo'!E1183="","",'Ordenes_Odoo'!E1183)</f>
        <v/>
      </c>
      <c r="F1183" s="79">
        <f>IF('Ordenes_Odoo'!F1183="","",'Ordenes_Odoo'!F1183)</f>
        <v/>
      </c>
      <c r="G1183" s="79">
        <f>IF('Ordenes_Odoo'!G1183="","",'Ordenes_Odoo'!G1183)</f>
        <v/>
      </c>
      <c r="H1183" s="79">
        <f>IF('Ordenes_Odoo'!H1183="","",'Ordenes_Odoo'!H1183)</f>
        <v/>
      </c>
      <c r="I1183" s="79">
        <f>IF('Ordenes_Odoo'!I1183="","",'Ordenes_Odoo'!I1183)</f>
        <v/>
      </c>
      <c r="J1183" s="79">
        <f>IF('Ordenes_Odoo'!J1183="","",'Ordenes_Odoo'!J1183)</f>
        <v/>
      </c>
      <c r="K1183" s="81">
        <f>IF('Ordenes_Odoo'!K1183="","",'Ordenes_Odoo'!K1183)</f>
        <v/>
      </c>
      <c r="L1183" s="81">
        <f>IF('Ordenes_Odoo'!L1183="","",'Ordenes_Odoo'!L1183)</f>
        <v/>
      </c>
      <c r="M1183" s="79">
        <f>IF('Ordenes_Odoo'!M1183="","",'Ordenes_Odoo'!M1183)</f>
        <v/>
      </c>
      <c r="N1183" s="79">
        <f>IF('Ordenes_Odoo'!N1183="","",'Ordenes_Odoo'!N1183)</f>
        <v/>
      </c>
      <c r="O1183" s="81">
        <f>IF('Ordenes_Odoo'!O1183="","",'Ordenes_Odoo'!O1183)</f>
        <v/>
      </c>
      <c r="P1183" s="81">
        <f>IF('Ordenes_Odoo'!P1183="","",'Ordenes_Odoo'!P1183)</f>
        <v/>
      </c>
      <c r="Q1183" s="79">
        <f>IF(A1183="","",IFERROR(INDEX(Facturas_Odoo!$B:$B, MATCH(A1183, Facturas_Odoo!$D:$D, 0)), "Sin Factura"))</f>
        <v/>
      </c>
      <c r="R1183" s="80">
        <f>IF(Q1183="Sin Factura","",IFERROR(INDEX(Facturas_Odoo!$A:$A, MATCH(Q1183, Facturas_Odoo!$B:$B, 0)), ""))</f>
        <v/>
      </c>
      <c r="S1183" s="79">
        <f>IF(Q1183="Sin Factura","",IFERROR(_xlfn.XLOOKUP(1, (Facturas_Odoo!$D:$D=A1183) * (Facturas_Odoo!$K:$K=I1183), Facturas_Odoo!$L:$L, ""), ""))</f>
        <v/>
      </c>
      <c r="T1183" s="81">
        <f>IF(Q1183="Sin Factura",0,IFERROR(_xlfn.XLOOKUP(1, (Facturas_Odoo!$D:$D=A1183) * (Facturas_Odoo!$K:$K=I1183), Facturas_Odoo!$M:$M, 0), 0))</f>
        <v/>
      </c>
      <c r="U1183" s="79">
        <f>IF(Q1183="Sin Factura",0,IFERROR(_xlfn.XLOOKUP(1, (Facturas_Odoo!$D:$D=A1183) * (Facturas_Odoo!$K:$K=I1183), Facturas_Odoo!$N:$N, 0), 0))</f>
        <v/>
      </c>
      <c r="V1183" s="79">
        <f>IF(Q1183="Sin Factura",0,IFERROR(_xlfn.XLOOKUP(1, (Facturas_Odoo!$D:$D=A1183) * (Facturas_Odoo!$K:$K=I1183), Facturas_Odoo!$O:$O, 0), 0))</f>
        <v/>
      </c>
      <c r="W1183" s="81">
        <f>IF(Q1183="Sin Factura",0,IFERROR(_xlfn.XLOOKUP(1, (Facturas_Odoo!$D:$D=A1183) * (Facturas_Odoo!$K:$K=I1183), Facturas_Odoo!$Q:$Q, 0), 0))</f>
        <v/>
      </c>
      <c r="X1183" s="79">
        <f>IF(OR(Q1183="Sin Factura",Q1183=""),"",IFERROR(INDEX(Pagos_Odoo!$B:$B, MATCH(Q1183, Pagos_Odoo!$I:$I, 0)), "Sin Pago"))</f>
        <v/>
      </c>
      <c r="Y1183" s="79">
        <f>IF(X1183="Sin Pago","",IFERROR(INDEX(Pagos_Odoo!$C:$C, MATCH(X1183, Pagos_Odoo!$B:$B, 0)), ""))</f>
        <v/>
      </c>
      <c r="Z1183" s="80">
        <f>IF(X1183="Sin Pago","",IFERROR(INDEX(Pagos_Odoo!$A:$A, MATCH(X1183, Pagos_Odoo!$B:$B, 0)), ""))</f>
        <v/>
      </c>
      <c r="AA1183" s="79">
        <f>IF(X1183="Sin Pago","",IFERROR(INDEX(Pagos_Odoo!$F:$F, MATCH(X1183, Pagos_Odoo!$B:$B, 0)), ""))</f>
        <v/>
      </c>
      <c r="AB1183" s="81">
        <f>IF(X1183="Sin Pago",0,IFERROR(INDEX(Pagos_Odoo!$E:$E, MATCH(X1183, Pagos_Odoo!$B:$B, 0)), 0))</f>
        <v/>
      </c>
      <c r="AC1183" s="79">
        <f>IF(X1183="Sin Pago","",IFERROR(INDEX(Pagos_Odoo!$G:$G, MATCH(X1183, Pagos_Odoo!$B:$B, 0)), ""))</f>
        <v/>
      </c>
      <c r="AD1183" s="82" t="n">
        <v>0</v>
      </c>
      <c r="AE1183" s="82" t="n"/>
      <c r="AF1183" s="82" t="n"/>
      <c r="AG1183" s="82">
        <f>IF(AN1183="","",AD1183+AE1183+AF1183)</f>
        <v/>
      </c>
      <c r="AH1183" s="81">
        <f>IF(AN1183="","",P1183*(1-AG1183))</f>
        <v/>
      </c>
      <c r="AI1183" s="81">
        <f>IF(AN1183="","",IF(Q1183="Sin Factura",0,IFERROR(INDEX(Facturas_Odoo!$H:$H, MATCH(Q1183, Facturas_Odoo!$B:$B, 0)), 0)*(1-AG1183)))</f>
        <v/>
      </c>
      <c r="AJ1183" s="81">
        <f>IF(AN1183="","",_xlfn.LET(idVenta, AN1183&amp;"",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83" s="81">
        <f>IF(AN1183="","",AH1183-AJ1183)</f>
        <v/>
      </c>
      <c r="AL1183" s="81">
        <f>IF(AN1183="","",IF(Q1183="Sin Factura","",AI1183-AJ1183))</f>
        <v/>
      </c>
      <c r="AM1183" s="81">
        <f>IF(AN1183="","",IF(Q1183="Sin Factura",0,P1183-IFERROR(INDEX(Facturas_Odoo!$H:$H, MATCH(Q1183, Facturas_Odoo!$B:$B, 0)), 0)))</f>
        <v/>
      </c>
      <c r="AN1183" s="79">
        <f>IF(AND(A1183="", J1183=""), "", IF(A1183&lt;&gt;"", VALUE(MID(A1183,2,LEN(A1183))), AN1182))</f>
        <v/>
      </c>
      <c r="AO1183" s="79">
        <f>IF(AN1183="","",IF(AD1183=0,"OK",_xlfn.LET(monedaPago, IF(AA1183="","USD",AA1183), limitePermitido, IFERROR(VLOOKUP(monedaPago, Configuración!$A$2:$B$3, 2, FALSE), 0.15), IF(AD1183&gt;limitePermitido, "ALERTA: EXCESO (" &amp; TEXT(limitePermitido, "0%") &amp; " máx)", "OK"))))</f>
        <v/>
      </c>
      <c r="AP1183" s="79">
        <f>IF(AN1183="","",IF(AE1183=0,"OK",_xlfn.LET(fechaPago, Z1183, fechaFactura, R1183, diasCredito, IF(E1183="Pago inmediato", 0, IFERROR(VALUE(MID(E1183, 1, SEARCH(" ", E1183)-1)),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83" s="79">
        <f>IF(AN1183="","",IF(AND(N1183&gt;0, AG1183&gt;0), IF(Configuración!$K$2="NO", "ALERTA: DESCUENTO DOBLE NO PERMITIDO", "OK"), "OK"))</f>
        <v/>
      </c>
      <c r="AR1183" s="79">
        <f>IF(AN1183="","",IF(OR(AO1183&lt;&gt;"OK", AP1183&lt;&gt;"OK", AQ1183&lt;&gt;"OK"), "⚠️ REVISAR", "OK"))</f>
        <v/>
      </c>
    </row>
    <row r="1184">
      <c r="A1184" s="79">
        <f>IF('Ordenes_Odoo'!A1184="","",'Ordenes_Odoo'!A1184)</f>
        <v/>
      </c>
      <c r="B1184" s="80">
        <f>IF('Ordenes_Odoo'!B1184="","",'Ordenes_Odoo'!B1184)</f>
        <v/>
      </c>
      <c r="C1184" s="79">
        <f>IF('Ordenes_Odoo'!C1184="","",'Ordenes_Odoo'!C1184)</f>
        <v/>
      </c>
      <c r="D1184" s="79">
        <f>IF('Ordenes_Odoo'!D1184="","",'Ordenes_Odoo'!D1184)</f>
        <v/>
      </c>
      <c r="E1184" s="79">
        <f>IF('Ordenes_Odoo'!E1184="","",'Ordenes_Odoo'!E1184)</f>
        <v/>
      </c>
      <c r="F1184" s="79">
        <f>IF('Ordenes_Odoo'!F1184="","",'Ordenes_Odoo'!F1184)</f>
        <v/>
      </c>
      <c r="G1184" s="79">
        <f>IF('Ordenes_Odoo'!G1184="","",'Ordenes_Odoo'!G1184)</f>
        <v/>
      </c>
      <c r="H1184" s="79">
        <f>IF('Ordenes_Odoo'!H1184="","",'Ordenes_Odoo'!H1184)</f>
        <v/>
      </c>
      <c r="I1184" s="79">
        <f>IF('Ordenes_Odoo'!I1184="","",'Ordenes_Odoo'!I1184)</f>
        <v/>
      </c>
      <c r="J1184" s="79">
        <f>IF('Ordenes_Odoo'!J1184="","",'Ordenes_Odoo'!J1184)</f>
        <v/>
      </c>
      <c r="K1184" s="81">
        <f>IF('Ordenes_Odoo'!K1184="","",'Ordenes_Odoo'!K1184)</f>
        <v/>
      </c>
      <c r="L1184" s="81">
        <f>IF('Ordenes_Odoo'!L1184="","",'Ordenes_Odoo'!L1184)</f>
        <v/>
      </c>
      <c r="M1184" s="79">
        <f>IF('Ordenes_Odoo'!M1184="","",'Ordenes_Odoo'!M1184)</f>
        <v/>
      </c>
      <c r="N1184" s="79">
        <f>IF('Ordenes_Odoo'!N1184="","",'Ordenes_Odoo'!N1184)</f>
        <v/>
      </c>
      <c r="O1184" s="81">
        <f>IF('Ordenes_Odoo'!O1184="","",'Ordenes_Odoo'!O1184)</f>
        <v/>
      </c>
      <c r="P1184" s="81">
        <f>IF('Ordenes_Odoo'!P1184="","",'Ordenes_Odoo'!P1184)</f>
        <v/>
      </c>
      <c r="Q1184" s="79">
        <f>IF(A1184="","",IFERROR(INDEX(Facturas_Odoo!$B:$B, MATCH(A1184, Facturas_Odoo!$D:$D, 0)), "Sin Factura"))</f>
        <v/>
      </c>
      <c r="R1184" s="80">
        <f>IF(Q1184="Sin Factura","",IFERROR(INDEX(Facturas_Odoo!$A:$A, MATCH(Q1184, Facturas_Odoo!$B:$B, 0)), ""))</f>
        <v/>
      </c>
      <c r="S1184" s="79">
        <f>IF(Q1184="Sin Factura","",IFERROR(_xlfn.XLOOKUP(1, (Facturas_Odoo!$D:$D=A1184) * (Facturas_Odoo!$K:$K=I1184), Facturas_Odoo!$L:$L, ""), ""))</f>
        <v/>
      </c>
      <c r="T1184" s="81">
        <f>IF(Q1184="Sin Factura",0,IFERROR(_xlfn.XLOOKUP(1, (Facturas_Odoo!$D:$D=A1184) * (Facturas_Odoo!$K:$K=I1184), Facturas_Odoo!$M:$M, 0), 0))</f>
        <v/>
      </c>
      <c r="U1184" s="79">
        <f>IF(Q1184="Sin Factura",0,IFERROR(_xlfn.XLOOKUP(1, (Facturas_Odoo!$D:$D=A1184) * (Facturas_Odoo!$K:$K=I1184), Facturas_Odoo!$N:$N, 0), 0))</f>
        <v/>
      </c>
      <c r="V1184" s="79">
        <f>IF(Q1184="Sin Factura",0,IFERROR(_xlfn.XLOOKUP(1, (Facturas_Odoo!$D:$D=A1184) * (Facturas_Odoo!$K:$K=I1184), Facturas_Odoo!$O:$O, 0), 0))</f>
        <v/>
      </c>
      <c r="W1184" s="81">
        <f>IF(Q1184="Sin Factura",0,IFERROR(_xlfn.XLOOKUP(1, (Facturas_Odoo!$D:$D=A1184) * (Facturas_Odoo!$K:$K=I1184), Facturas_Odoo!$Q:$Q, 0), 0))</f>
        <v/>
      </c>
      <c r="X1184" s="79">
        <f>IF(OR(Q1184="Sin Factura",Q1184=""),"",IFERROR(INDEX(Pagos_Odoo!$B:$B, MATCH(Q1184, Pagos_Odoo!$I:$I, 0)), "Sin Pago"))</f>
        <v/>
      </c>
      <c r="Y1184" s="79">
        <f>IF(X1184="Sin Pago","",IFERROR(INDEX(Pagos_Odoo!$C:$C, MATCH(X1184, Pagos_Odoo!$B:$B, 0)), ""))</f>
        <v/>
      </c>
      <c r="Z1184" s="80">
        <f>IF(X1184="Sin Pago","",IFERROR(INDEX(Pagos_Odoo!$A:$A, MATCH(X1184, Pagos_Odoo!$B:$B, 0)), ""))</f>
        <v/>
      </c>
      <c r="AA1184" s="79">
        <f>IF(X1184="Sin Pago","",IFERROR(INDEX(Pagos_Odoo!$F:$F, MATCH(X1184, Pagos_Odoo!$B:$B, 0)), ""))</f>
        <v/>
      </c>
      <c r="AB1184" s="81">
        <f>IF(X1184="Sin Pago",0,IFERROR(INDEX(Pagos_Odoo!$E:$E, MATCH(X1184, Pagos_Odoo!$B:$B, 0)), 0))</f>
        <v/>
      </c>
      <c r="AC1184" s="79">
        <f>IF(X1184="Sin Pago","",IFERROR(INDEX(Pagos_Odoo!$G:$G, MATCH(X1184, Pagos_Odoo!$B:$B, 0)), ""))</f>
        <v/>
      </c>
      <c r="AD1184" s="82" t="n">
        <v>0</v>
      </c>
      <c r="AE1184" s="82" t="n"/>
      <c r="AF1184" s="82" t="n"/>
      <c r="AG1184" s="82">
        <f>IF(AN1184="","",AD1184+AE1184+AF1184)</f>
        <v/>
      </c>
      <c r="AH1184" s="81">
        <f>IF(AN1184="","",P1184*(1-AG1184))</f>
        <v/>
      </c>
      <c r="AI1184" s="81">
        <f>IF(AN1184="","",IF(Q1184="Sin Factura",0,IFERROR(INDEX(Facturas_Odoo!$H:$H, MATCH(Q1184, Facturas_Odoo!$B:$B, 0)), 0)*(1-AG1184)))</f>
        <v/>
      </c>
      <c r="AJ1184" s="81">
        <f>IF(AN1184="","",_xlfn.LET(idVenta, AN1184&amp;"",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84" s="81">
        <f>IF(AN1184="","",AH1184-AJ1184)</f>
        <v/>
      </c>
      <c r="AL1184" s="81">
        <f>IF(AN1184="","",IF(Q1184="Sin Factura","",AI1184-AJ1184))</f>
        <v/>
      </c>
      <c r="AM1184" s="81">
        <f>IF(AN1184="","",IF(Q1184="Sin Factura",0,P1184-IFERROR(INDEX(Facturas_Odoo!$H:$H, MATCH(Q1184, Facturas_Odoo!$B:$B, 0)), 0)))</f>
        <v/>
      </c>
      <c r="AN1184" s="79">
        <f>IF(AND(A1184="", J1184=""), "", IF(A1184&lt;&gt;"", VALUE(MID(A1184,2,LEN(A1184))), AN1183))</f>
        <v/>
      </c>
      <c r="AO1184" s="79">
        <f>IF(AN1184="","",IF(AD1184=0,"OK",_xlfn.LET(monedaPago, IF(AA1184="","USD",AA1184), limitePermitido, IFERROR(VLOOKUP(monedaPago, Configuración!$A$2:$B$3, 2, FALSE), 0.15), IF(AD1184&gt;limitePermitido, "ALERTA: EXCESO (" &amp; TEXT(limitePermitido, "0%") &amp; " máx)", "OK"))))</f>
        <v/>
      </c>
      <c r="AP1184" s="79">
        <f>IF(AN1184="","",IF(AE1184=0,"OK",_xlfn.LET(fechaPago, Z1184, fechaFactura, R1184, diasCredito, IF(E1184="Pago inmediato", 0, IFERROR(VALUE(MID(E1184, 1, SEARCH(" ", E1184)-1)),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84" s="79">
        <f>IF(AN1184="","",IF(AND(N1184&gt;0, AG1184&gt;0), IF(Configuración!$K$2="NO", "ALERTA: DESCUENTO DOBLE NO PERMITIDO", "OK"), "OK"))</f>
        <v/>
      </c>
      <c r="AR1184" s="79">
        <f>IF(AN1184="","",IF(OR(AO1184&lt;&gt;"OK", AP1184&lt;&gt;"OK", AQ1184&lt;&gt;"OK"), "⚠️ REVISAR", "OK"))</f>
        <v/>
      </c>
    </row>
    <row r="1185">
      <c r="A1185" s="79">
        <f>IF('Ordenes_Odoo'!A1185="","",'Ordenes_Odoo'!A1185)</f>
        <v/>
      </c>
      <c r="B1185" s="80">
        <f>IF('Ordenes_Odoo'!B1185="","",'Ordenes_Odoo'!B1185)</f>
        <v/>
      </c>
      <c r="C1185" s="79">
        <f>IF('Ordenes_Odoo'!C1185="","",'Ordenes_Odoo'!C1185)</f>
        <v/>
      </c>
      <c r="D1185" s="79">
        <f>IF('Ordenes_Odoo'!D1185="","",'Ordenes_Odoo'!D1185)</f>
        <v/>
      </c>
      <c r="E1185" s="79">
        <f>IF('Ordenes_Odoo'!E1185="","",'Ordenes_Odoo'!E1185)</f>
        <v/>
      </c>
      <c r="F1185" s="79">
        <f>IF('Ordenes_Odoo'!F1185="","",'Ordenes_Odoo'!F1185)</f>
        <v/>
      </c>
      <c r="G1185" s="79">
        <f>IF('Ordenes_Odoo'!G1185="","",'Ordenes_Odoo'!G1185)</f>
        <v/>
      </c>
      <c r="H1185" s="79">
        <f>IF('Ordenes_Odoo'!H1185="","",'Ordenes_Odoo'!H1185)</f>
        <v/>
      </c>
      <c r="I1185" s="79">
        <f>IF('Ordenes_Odoo'!I1185="","",'Ordenes_Odoo'!I1185)</f>
        <v/>
      </c>
      <c r="J1185" s="79">
        <f>IF('Ordenes_Odoo'!J1185="","",'Ordenes_Odoo'!J1185)</f>
        <v/>
      </c>
      <c r="K1185" s="81">
        <f>IF('Ordenes_Odoo'!K1185="","",'Ordenes_Odoo'!K1185)</f>
        <v/>
      </c>
      <c r="L1185" s="81">
        <f>IF('Ordenes_Odoo'!L1185="","",'Ordenes_Odoo'!L1185)</f>
        <v/>
      </c>
      <c r="M1185" s="79">
        <f>IF('Ordenes_Odoo'!M1185="","",'Ordenes_Odoo'!M1185)</f>
        <v/>
      </c>
      <c r="N1185" s="79">
        <f>IF('Ordenes_Odoo'!N1185="","",'Ordenes_Odoo'!N1185)</f>
        <v/>
      </c>
      <c r="O1185" s="81">
        <f>IF('Ordenes_Odoo'!O1185="","",'Ordenes_Odoo'!O1185)</f>
        <v/>
      </c>
      <c r="P1185" s="81">
        <f>IF('Ordenes_Odoo'!P1185="","",'Ordenes_Odoo'!P1185)</f>
        <v/>
      </c>
      <c r="Q1185" s="79">
        <f>IF(A1185="","",IFERROR(INDEX(Facturas_Odoo!$B:$B, MATCH(A1185, Facturas_Odoo!$D:$D, 0)), "Sin Factura"))</f>
        <v/>
      </c>
      <c r="R1185" s="80">
        <f>IF(Q1185="Sin Factura","",IFERROR(INDEX(Facturas_Odoo!$A:$A, MATCH(Q1185, Facturas_Odoo!$B:$B, 0)), ""))</f>
        <v/>
      </c>
      <c r="S1185" s="79">
        <f>IF(Q1185="Sin Factura","",IFERROR(_xlfn.XLOOKUP(1, (Facturas_Odoo!$D:$D=A1185) * (Facturas_Odoo!$K:$K=I1185), Facturas_Odoo!$L:$L, ""), ""))</f>
        <v/>
      </c>
      <c r="T1185" s="81">
        <f>IF(Q1185="Sin Factura",0,IFERROR(_xlfn.XLOOKUP(1, (Facturas_Odoo!$D:$D=A1185) * (Facturas_Odoo!$K:$K=I1185), Facturas_Odoo!$M:$M, 0), 0))</f>
        <v/>
      </c>
      <c r="U1185" s="79">
        <f>IF(Q1185="Sin Factura",0,IFERROR(_xlfn.XLOOKUP(1, (Facturas_Odoo!$D:$D=A1185) * (Facturas_Odoo!$K:$K=I1185), Facturas_Odoo!$N:$N, 0), 0))</f>
        <v/>
      </c>
      <c r="V1185" s="79">
        <f>IF(Q1185="Sin Factura",0,IFERROR(_xlfn.XLOOKUP(1, (Facturas_Odoo!$D:$D=A1185) * (Facturas_Odoo!$K:$K=I1185), Facturas_Odoo!$O:$O, 0), 0))</f>
        <v/>
      </c>
      <c r="W1185" s="81">
        <f>IF(Q1185="Sin Factura",0,IFERROR(_xlfn.XLOOKUP(1, (Facturas_Odoo!$D:$D=A1185) * (Facturas_Odoo!$K:$K=I1185), Facturas_Odoo!$Q:$Q, 0), 0))</f>
        <v/>
      </c>
      <c r="X1185" s="79">
        <f>IF(OR(Q1185="Sin Factura",Q1185=""),"",IFERROR(INDEX(Pagos_Odoo!$B:$B, MATCH(Q1185, Pagos_Odoo!$I:$I, 0)), "Sin Pago"))</f>
        <v/>
      </c>
      <c r="Y1185" s="79">
        <f>IF(X1185="Sin Pago","",IFERROR(INDEX(Pagos_Odoo!$C:$C, MATCH(X1185, Pagos_Odoo!$B:$B, 0)), ""))</f>
        <v/>
      </c>
      <c r="Z1185" s="80">
        <f>IF(X1185="Sin Pago","",IFERROR(INDEX(Pagos_Odoo!$A:$A, MATCH(X1185, Pagos_Odoo!$B:$B, 0)), ""))</f>
        <v/>
      </c>
      <c r="AA1185" s="79">
        <f>IF(X1185="Sin Pago","",IFERROR(INDEX(Pagos_Odoo!$F:$F, MATCH(X1185, Pagos_Odoo!$B:$B, 0)), ""))</f>
        <v/>
      </c>
      <c r="AB1185" s="81">
        <f>IF(X1185="Sin Pago",0,IFERROR(INDEX(Pagos_Odoo!$E:$E, MATCH(X1185, Pagos_Odoo!$B:$B, 0)), 0))</f>
        <v/>
      </c>
      <c r="AC1185" s="79">
        <f>IF(X1185="Sin Pago","",IFERROR(INDEX(Pagos_Odoo!$G:$G, MATCH(X1185, Pagos_Odoo!$B:$B, 0)), ""))</f>
        <v/>
      </c>
      <c r="AD1185" s="82" t="n">
        <v>0</v>
      </c>
      <c r="AE1185" s="82" t="n"/>
      <c r="AF1185" s="82" t="n"/>
      <c r="AG1185" s="82">
        <f>IF(AN1185="","",AD1185+AE1185+AF1185)</f>
        <v/>
      </c>
      <c r="AH1185" s="81">
        <f>IF(AN1185="","",P1185*(1-AG1185))</f>
        <v/>
      </c>
      <c r="AI1185" s="81">
        <f>IF(AN1185="","",IF(Q1185="Sin Factura",0,IFERROR(INDEX(Facturas_Odoo!$H:$H, MATCH(Q1185, Facturas_Odoo!$B:$B, 0)), 0)*(1-AG1185)))</f>
        <v/>
      </c>
      <c r="AJ1185" s="81">
        <f>IF(AN1185="","",_xlfn.LET(idVenta, AN1185&amp;"",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85" s="81">
        <f>IF(AN1185="","",AH1185-AJ1185)</f>
        <v/>
      </c>
      <c r="AL1185" s="81">
        <f>IF(AN1185="","",IF(Q1185="Sin Factura","",AI1185-AJ1185))</f>
        <v/>
      </c>
      <c r="AM1185" s="81">
        <f>IF(AN1185="","",IF(Q1185="Sin Factura",0,P1185-IFERROR(INDEX(Facturas_Odoo!$H:$H, MATCH(Q1185, Facturas_Odoo!$B:$B, 0)), 0)))</f>
        <v/>
      </c>
      <c r="AN1185" s="79">
        <f>IF(AND(A1185="", J1185=""), "", IF(A1185&lt;&gt;"", VALUE(MID(A1185,2,LEN(A1185))), AN1184))</f>
        <v/>
      </c>
      <c r="AO1185" s="79">
        <f>IF(AN1185="","",IF(AD1185=0,"OK",_xlfn.LET(monedaPago, IF(AA1185="","USD",AA1185), limitePermitido, IFERROR(VLOOKUP(monedaPago, Configuración!$A$2:$B$3, 2, FALSE), 0.15), IF(AD1185&gt;limitePermitido, "ALERTA: EXCESO (" &amp; TEXT(limitePermitido, "0%") &amp; " máx)", "OK"))))</f>
        <v/>
      </c>
      <c r="AP1185" s="79">
        <f>IF(AN1185="","",IF(AE1185=0,"OK",_xlfn.LET(fechaPago, Z1185, fechaFactura, R1185, diasCredito, IF(E1185="Pago inmediato", 0, IFERROR(VALUE(MID(E1185, 1, SEARCH(" ", E1185)-1)),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85" s="79">
        <f>IF(AN1185="","",IF(AND(N1185&gt;0, AG1185&gt;0), IF(Configuración!$K$2="NO", "ALERTA: DESCUENTO DOBLE NO PERMITIDO", "OK"), "OK"))</f>
        <v/>
      </c>
      <c r="AR1185" s="79">
        <f>IF(AN1185="","",IF(OR(AO1185&lt;&gt;"OK", AP1185&lt;&gt;"OK", AQ1185&lt;&gt;"OK"), "⚠️ REVISAR", "OK"))</f>
        <v/>
      </c>
    </row>
    <row r="1186">
      <c r="A1186" s="79">
        <f>IF('Ordenes_Odoo'!A1186="","",'Ordenes_Odoo'!A1186)</f>
        <v/>
      </c>
      <c r="B1186" s="80">
        <f>IF('Ordenes_Odoo'!B1186="","",'Ordenes_Odoo'!B1186)</f>
        <v/>
      </c>
      <c r="C1186" s="79">
        <f>IF('Ordenes_Odoo'!C1186="","",'Ordenes_Odoo'!C1186)</f>
        <v/>
      </c>
      <c r="D1186" s="79">
        <f>IF('Ordenes_Odoo'!D1186="","",'Ordenes_Odoo'!D1186)</f>
        <v/>
      </c>
      <c r="E1186" s="79">
        <f>IF('Ordenes_Odoo'!E1186="","",'Ordenes_Odoo'!E1186)</f>
        <v/>
      </c>
      <c r="F1186" s="79">
        <f>IF('Ordenes_Odoo'!F1186="","",'Ordenes_Odoo'!F1186)</f>
        <v/>
      </c>
      <c r="G1186" s="79">
        <f>IF('Ordenes_Odoo'!G1186="","",'Ordenes_Odoo'!G1186)</f>
        <v/>
      </c>
      <c r="H1186" s="79">
        <f>IF('Ordenes_Odoo'!H1186="","",'Ordenes_Odoo'!H1186)</f>
        <v/>
      </c>
      <c r="I1186" s="79">
        <f>IF('Ordenes_Odoo'!I1186="","",'Ordenes_Odoo'!I1186)</f>
        <v/>
      </c>
      <c r="J1186" s="79">
        <f>IF('Ordenes_Odoo'!J1186="","",'Ordenes_Odoo'!J1186)</f>
        <v/>
      </c>
      <c r="K1186" s="81">
        <f>IF('Ordenes_Odoo'!K1186="","",'Ordenes_Odoo'!K1186)</f>
        <v/>
      </c>
      <c r="L1186" s="81">
        <f>IF('Ordenes_Odoo'!L1186="","",'Ordenes_Odoo'!L1186)</f>
        <v/>
      </c>
      <c r="M1186" s="79">
        <f>IF('Ordenes_Odoo'!M1186="","",'Ordenes_Odoo'!M1186)</f>
        <v/>
      </c>
      <c r="N1186" s="79">
        <f>IF('Ordenes_Odoo'!N1186="","",'Ordenes_Odoo'!N1186)</f>
        <v/>
      </c>
      <c r="O1186" s="81">
        <f>IF('Ordenes_Odoo'!O1186="","",'Ordenes_Odoo'!O1186)</f>
        <v/>
      </c>
      <c r="P1186" s="81">
        <f>IF('Ordenes_Odoo'!P1186="","",'Ordenes_Odoo'!P1186)</f>
        <v/>
      </c>
      <c r="Q1186" s="79">
        <f>IF(A1186="","",IFERROR(INDEX(Facturas_Odoo!$B:$B, MATCH(A1186, Facturas_Odoo!$D:$D, 0)), "Sin Factura"))</f>
        <v/>
      </c>
      <c r="R1186" s="80">
        <f>IF(Q1186="Sin Factura","",IFERROR(INDEX(Facturas_Odoo!$A:$A, MATCH(Q1186, Facturas_Odoo!$B:$B, 0)), ""))</f>
        <v/>
      </c>
      <c r="S1186" s="79">
        <f>IF(Q1186="Sin Factura","",IFERROR(_xlfn.XLOOKUP(1, (Facturas_Odoo!$D:$D=A1186) * (Facturas_Odoo!$K:$K=I1186), Facturas_Odoo!$L:$L, ""), ""))</f>
        <v/>
      </c>
      <c r="T1186" s="81">
        <f>IF(Q1186="Sin Factura",0,IFERROR(_xlfn.XLOOKUP(1, (Facturas_Odoo!$D:$D=A1186) * (Facturas_Odoo!$K:$K=I1186), Facturas_Odoo!$M:$M, 0), 0))</f>
        <v/>
      </c>
      <c r="U1186" s="79">
        <f>IF(Q1186="Sin Factura",0,IFERROR(_xlfn.XLOOKUP(1, (Facturas_Odoo!$D:$D=A1186) * (Facturas_Odoo!$K:$K=I1186), Facturas_Odoo!$N:$N, 0), 0))</f>
        <v/>
      </c>
      <c r="V1186" s="79">
        <f>IF(Q1186="Sin Factura",0,IFERROR(_xlfn.XLOOKUP(1, (Facturas_Odoo!$D:$D=A1186) * (Facturas_Odoo!$K:$K=I1186), Facturas_Odoo!$O:$O, 0), 0))</f>
        <v/>
      </c>
      <c r="W1186" s="81">
        <f>IF(Q1186="Sin Factura",0,IFERROR(_xlfn.XLOOKUP(1, (Facturas_Odoo!$D:$D=A1186) * (Facturas_Odoo!$K:$K=I1186), Facturas_Odoo!$Q:$Q, 0), 0))</f>
        <v/>
      </c>
      <c r="X1186" s="79">
        <f>IF(OR(Q1186="Sin Factura",Q1186=""),"",IFERROR(INDEX(Pagos_Odoo!$B:$B, MATCH(Q1186, Pagos_Odoo!$I:$I, 0)), "Sin Pago"))</f>
        <v/>
      </c>
      <c r="Y1186" s="79">
        <f>IF(X1186="Sin Pago","",IFERROR(INDEX(Pagos_Odoo!$C:$C, MATCH(X1186, Pagos_Odoo!$B:$B, 0)), ""))</f>
        <v/>
      </c>
      <c r="Z1186" s="80">
        <f>IF(X1186="Sin Pago","",IFERROR(INDEX(Pagos_Odoo!$A:$A, MATCH(X1186, Pagos_Odoo!$B:$B, 0)), ""))</f>
        <v/>
      </c>
      <c r="AA1186" s="79">
        <f>IF(X1186="Sin Pago","",IFERROR(INDEX(Pagos_Odoo!$F:$F, MATCH(X1186, Pagos_Odoo!$B:$B, 0)), ""))</f>
        <v/>
      </c>
      <c r="AB1186" s="81">
        <f>IF(X1186="Sin Pago",0,IFERROR(INDEX(Pagos_Odoo!$E:$E, MATCH(X1186, Pagos_Odoo!$B:$B, 0)), 0))</f>
        <v/>
      </c>
      <c r="AC1186" s="79">
        <f>IF(X1186="Sin Pago","",IFERROR(INDEX(Pagos_Odoo!$G:$G, MATCH(X1186, Pagos_Odoo!$B:$B, 0)), ""))</f>
        <v/>
      </c>
      <c r="AD1186" s="82" t="n">
        <v>0</v>
      </c>
      <c r="AE1186" s="82" t="n"/>
      <c r="AF1186" s="82" t="n"/>
      <c r="AG1186" s="82">
        <f>IF(AN1186="","",AD1186+AE1186+AF1186)</f>
        <v/>
      </c>
      <c r="AH1186" s="81">
        <f>IF(AN1186="","",P1186*(1-AG1186))</f>
        <v/>
      </c>
      <c r="AI1186" s="81">
        <f>IF(AN1186="","",IF(Q1186="Sin Factura",0,IFERROR(INDEX(Facturas_Odoo!$H:$H, MATCH(Q1186, Facturas_Odoo!$B:$B, 0)), 0)*(1-AG1186)))</f>
        <v/>
      </c>
      <c r="AJ1186" s="81">
        <f>IF(AN1186="","",_xlfn.LET(idVenta, AN1186&amp;"",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86" s="81">
        <f>IF(AN1186="","",AH1186-AJ1186)</f>
        <v/>
      </c>
      <c r="AL1186" s="81">
        <f>IF(AN1186="","",IF(Q1186="Sin Factura","",AI1186-AJ1186))</f>
        <v/>
      </c>
      <c r="AM1186" s="81">
        <f>IF(AN1186="","",IF(Q1186="Sin Factura",0,P1186-IFERROR(INDEX(Facturas_Odoo!$H:$H, MATCH(Q1186, Facturas_Odoo!$B:$B, 0)), 0)))</f>
        <v/>
      </c>
      <c r="AN1186" s="79">
        <f>IF(AND(A1186="", J1186=""), "", IF(A1186&lt;&gt;"", VALUE(MID(A1186,2,LEN(A1186))), AN1185))</f>
        <v/>
      </c>
      <c r="AO1186" s="79">
        <f>IF(AN1186="","",IF(AD1186=0,"OK",_xlfn.LET(monedaPago, IF(AA1186="","USD",AA1186), limitePermitido, IFERROR(VLOOKUP(monedaPago, Configuración!$A$2:$B$3, 2, FALSE), 0.15), IF(AD1186&gt;limitePermitido, "ALERTA: EXCESO (" &amp; TEXT(limitePermitido, "0%") &amp; " máx)", "OK"))))</f>
        <v/>
      </c>
      <c r="AP1186" s="79">
        <f>IF(AN1186="","",IF(AE1186=0,"OK",_xlfn.LET(fechaPago, Z1186, fechaFactura, R1186, diasCredito, IF(E1186="Pago inmediato", 0, IFERROR(VALUE(MID(E1186, 1, SEARCH(" ", E1186)-1)),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86" s="79">
        <f>IF(AN1186="","",IF(AND(N1186&gt;0, AG1186&gt;0), IF(Configuración!$K$2="NO", "ALERTA: DESCUENTO DOBLE NO PERMITIDO", "OK"), "OK"))</f>
        <v/>
      </c>
      <c r="AR1186" s="79">
        <f>IF(AN1186="","",IF(OR(AO1186&lt;&gt;"OK", AP1186&lt;&gt;"OK", AQ1186&lt;&gt;"OK"), "⚠️ REVISAR", "OK"))</f>
        <v/>
      </c>
    </row>
    <row r="1187">
      <c r="A1187" s="79">
        <f>IF('Ordenes_Odoo'!A1187="","",'Ordenes_Odoo'!A1187)</f>
        <v/>
      </c>
      <c r="B1187" s="80">
        <f>IF('Ordenes_Odoo'!B1187="","",'Ordenes_Odoo'!B1187)</f>
        <v/>
      </c>
      <c r="C1187" s="79">
        <f>IF('Ordenes_Odoo'!C1187="","",'Ordenes_Odoo'!C1187)</f>
        <v/>
      </c>
      <c r="D1187" s="79">
        <f>IF('Ordenes_Odoo'!D1187="","",'Ordenes_Odoo'!D1187)</f>
        <v/>
      </c>
      <c r="E1187" s="79">
        <f>IF('Ordenes_Odoo'!E1187="","",'Ordenes_Odoo'!E1187)</f>
        <v/>
      </c>
      <c r="F1187" s="79">
        <f>IF('Ordenes_Odoo'!F1187="","",'Ordenes_Odoo'!F1187)</f>
        <v/>
      </c>
      <c r="G1187" s="79">
        <f>IF('Ordenes_Odoo'!G1187="","",'Ordenes_Odoo'!G1187)</f>
        <v/>
      </c>
      <c r="H1187" s="79">
        <f>IF('Ordenes_Odoo'!H1187="","",'Ordenes_Odoo'!H1187)</f>
        <v/>
      </c>
      <c r="I1187" s="79">
        <f>IF('Ordenes_Odoo'!I1187="","",'Ordenes_Odoo'!I1187)</f>
        <v/>
      </c>
      <c r="J1187" s="79">
        <f>IF('Ordenes_Odoo'!J1187="","",'Ordenes_Odoo'!J1187)</f>
        <v/>
      </c>
      <c r="K1187" s="81">
        <f>IF('Ordenes_Odoo'!K1187="","",'Ordenes_Odoo'!K1187)</f>
        <v/>
      </c>
      <c r="L1187" s="81">
        <f>IF('Ordenes_Odoo'!L1187="","",'Ordenes_Odoo'!L1187)</f>
        <v/>
      </c>
      <c r="M1187" s="79">
        <f>IF('Ordenes_Odoo'!M1187="","",'Ordenes_Odoo'!M1187)</f>
        <v/>
      </c>
      <c r="N1187" s="79">
        <f>IF('Ordenes_Odoo'!N1187="","",'Ordenes_Odoo'!N1187)</f>
        <v/>
      </c>
      <c r="O1187" s="81">
        <f>IF('Ordenes_Odoo'!O1187="","",'Ordenes_Odoo'!O1187)</f>
        <v/>
      </c>
      <c r="P1187" s="81">
        <f>IF('Ordenes_Odoo'!P1187="","",'Ordenes_Odoo'!P1187)</f>
        <v/>
      </c>
      <c r="Q1187" s="79">
        <f>IF(A1187="","",IFERROR(INDEX(Facturas_Odoo!$B:$B, MATCH(A1187, Facturas_Odoo!$D:$D, 0)), "Sin Factura"))</f>
        <v/>
      </c>
      <c r="R1187" s="80">
        <f>IF(Q1187="Sin Factura","",IFERROR(INDEX(Facturas_Odoo!$A:$A, MATCH(Q1187, Facturas_Odoo!$B:$B, 0)), ""))</f>
        <v/>
      </c>
      <c r="S1187" s="79">
        <f>IF(Q1187="Sin Factura","",IFERROR(_xlfn.XLOOKUP(1, (Facturas_Odoo!$D:$D=A1187) * (Facturas_Odoo!$K:$K=I1187), Facturas_Odoo!$L:$L, ""), ""))</f>
        <v/>
      </c>
      <c r="T1187" s="81">
        <f>IF(Q1187="Sin Factura",0,IFERROR(_xlfn.XLOOKUP(1, (Facturas_Odoo!$D:$D=A1187) * (Facturas_Odoo!$K:$K=I1187), Facturas_Odoo!$M:$M, 0), 0))</f>
        <v/>
      </c>
      <c r="U1187" s="79">
        <f>IF(Q1187="Sin Factura",0,IFERROR(_xlfn.XLOOKUP(1, (Facturas_Odoo!$D:$D=A1187) * (Facturas_Odoo!$K:$K=I1187), Facturas_Odoo!$N:$N, 0), 0))</f>
        <v/>
      </c>
      <c r="V1187" s="79">
        <f>IF(Q1187="Sin Factura",0,IFERROR(_xlfn.XLOOKUP(1, (Facturas_Odoo!$D:$D=A1187) * (Facturas_Odoo!$K:$K=I1187), Facturas_Odoo!$O:$O, 0), 0))</f>
        <v/>
      </c>
      <c r="W1187" s="81">
        <f>IF(Q1187="Sin Factura",0,IFERROR(_xlfn.XLOOKUP(1, (Facturas_Odoo!$D:$D=A1187) * (Facturas_Odoo!$K:$K=I1187), Facturas_Odoo!$Q:$Q, 0), 0))</f>
        <v/>
      </c>
      <c r="X1187" s="79">
        <f>IF(OR(Q1187="Sin Factura",Q1187=""),"",IFERROR(INDEX(Pagos_Odoo!$B:$B, MATCH(Q1187, Pagos_Odoo!$I:$I, 0)), "Sin Pago"))</f>
        <v/>
      </c>
      <c r="Y1187" s="79">
        <f>IF(X1187="Sin Pago","",IFERROR(INDEX(Pagos_Odoo!$C:$C, MATCH(X1187, Pagos_Odoo!$B:$B, 0)), ""))</f>
        <v/>
      </c>
      <c r="Z1187" s="80">
        <f>IF(X1187="Sin Pago","",IFERROR(INDEX(Pagos_Odoo!$A:$A, MATCH(X1187, Pagos_Odoo!$B:$B, 0)), ""))</f>
        <v/>
      </c>
      <c r="AA1187" s="79">
        <f>IF(X1187="Sin Pago","",IFERROR(INDEX(Pagos_Odoo!$F:$F, MATCH(X1187, Pagos_Odoo!$B:$B, 0)), ""))</f>
        <v/>
      </c>
      <c r="AB1187" s="81">
        <f>IF(X1187="Sin Pago",0,IFERROR(INDEX(Pagos_Odoo!$E:$E, MATCH(X1187, Pagos_Odoo!$B:$B, 0)), 0))</f>
        <v/>
      </c>
      <c r="AC1187" s="79">
        <f>IF(X1187="Sin Pago","",IFERROR(INDEX(Pagos_Odoo!$G:$G, MATCH(X1187, Pagos_Odoo!$B:$B, 0)), ""))</f>
        <v/>
      </c>
      <c r="AD1187" s="82" t="n">
        <v>0</v>
      </c>
      <c r="AE1187" s="82" t="n"/>
      <c r="AF1187" s="82" t="n"/>
      <c r="AG1187" s="82">
        <f>IF(AN1187="","",AD1187+AE1187+AF1187)</f>
        <v/>
      </c>
      <c r="AH1187" s="81">
        <f>IF(AN1187="","",P1187*(1-AG1187))</f>
        <v/>
      </c>
      <c r="AI1187" s="81">
        <f>IF(AN1187="","",IF(Q1187="Sin Factura",0,IFERROR(INDEX(Facturas_Odoo!$H:$H, MATCH(Q1187, Facturas_Odoo!$B:$B, 0)), 0)*(1-AG1187)))</f>
        <v/>
      </c>
      <c r="AJ1187" s="81">
        <f>IF(AN1187="","",_xlfn.LET(idVenta, AN1187&amp;"",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87" s="81">
        <f>IF(AN1187="","",AH1187-AJ1187)</f>
        <v/>
      </c>
      <c r="AL1187" s="81">
        <f>IF(AN1187="","",IF(Q1187="Sin Factura","",AI1187-AJ1187))</f>
        <v/>
      </c>
      <c r="AM1187" s="81">
        <f>IF(AN1187="","",IF(Q1187="Sin Factura",0,P1187-IFERROR(INDEX(Facturas_Odoo!$H:$H, MATCH(Q1187, Facturas_Odoo!$B:$B, 0)), 0)))</f>
        <v/>
      </c>
      <c r="AN1187" s="79">
        <f>IF(AND(A1187="", J1187=""), "", IF(A1187&lt;&gt;"", VALUE(MID(A1187,2,LEN(A1187))), AN1186))</f>
        <v/>
      </c>
      <c r="AO1187" s="79">
        <f>IF(AN1187="","",IF(AD1187=0,"OK",_xlfn.LET(monedaPago, IF(AA1187="","USD",AA1187), limitePermitido, IFERROR(VLOOKUP(monedaPago, Configuración!$A$2:$B$3, 2, FALSE), 0.15), IF(AD1187&gt;limitePermitido, "ALERTA: EXCESO (" &amp; TEXT(limitePermitido, "0%") &amp; " máx)", "OK"))))</f>
        <v/>
      </c>
      <c r="AP1187" s="79">
        <f>IF(AN1187="","",IF(AE1187=0,"OK",_xlfn.LET(fechaPago, Z1187, fechaFactura, R1187, diasCredito, IF(E1187="Pago inmediato", 0, IFERROR(VALUE(MID(E1187, 1, SEARCH(" ", E1187)-1)),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87" s="79">
        <f>IF(AN1187="","",IF(AND(N1187&gt;0, AG1187&gt;0), IF(Configuración!$K$2="NO", "ALERTA: DESCUENTO DOBLE NO PERMITIDO", "OK"), "OK"))</f>
        <v/>
      </c>
      <c r="AR1187" s="79">
        <f>IF(AN1187="","",IF(OR(AO1187&lt;&gt;"OK", AP1187&lt;&gt;"OK", AQ1187&lt;&gt;"OK"), "⚠️ REVISAR", "OK"))</f>
        <v/>
      </c>
    </row>
    <row r="1188">
      <c r="A1188" s="79">
        <f>IF('Ordenes_Odoo'!A1188="","",'Ordenes_Odoo'!A1188)</f>
        <v/>
      </c>
      <c r="B1188" s="80">
        <f>IF('Ordenes_Odoo'!B1188="","",'Ordenes_Odoo'!B1188)</f>
        <v/>
      </c>
      <c r="C1188" s="79">
        <f>IF('Ordenes_Odoo'!C1188="","",'Ordenes_Odoo'!C1188)</f>
        <v/>
      </c>
      <c r="D1188" s="79">
        <f>IF('Ordenes_Odoo'!D1188="","",'Ordenes_Odoo'!D1188)</f>
        <v/>
      </c>
      <c r="E1188" s="79">
        <f>IF('Ordenes_Odoo'!E1188="","",'Ordenes_Odoo'!E1188)</f>
        <v/>
      </c>
      <c r="F1188" s="79">
        <f>IF('Ordenes_Odoo'!F1188="","",'Ordenes_Odoo'!F1188)</f>
        <v/>
      </c>
      <c r="G1188" s="79">
        <f>IF('Ordenes_Odoo'!G1188="","",'Ordenes_Odoo'!G1188)</f>
        <v/>
      </c>
      <c r="H1188" s="79">
        <f>IF('Ordenes_Odoo'!H1188="","",'Ordenes_Odoo'!H1188)</f>
        <v/>
      </c>
      <c r="I1188" s="79">
        <f>IF('Ordenes_Odoo'!I1188="","",'Ordenes_Odoo'!I1188)</f>
        <v/>
      </c>
      <c r="J1188" s="79">
        <f>IF('Ordenes_Odoo'!J1188="","",'Ordenes_Odoo'!J1188)</f>
        <v/>
      </c>
      <c r="K1188" s="81">
        <f>IF('Ordenes_Odoo'!K1188="","",'Ordenes_Odoo'!K1188)</f>
        <v/>
      </c>
      <c r="L1188" s="81">
        <f>IF('Ordenes_Odoo'!L1188="","",'Ordenes_Odoo'!L1188)</f>
        <v/>
      </c>
      <c r="M1188" s="79">
        <f>IF('Ordenes_Odoo'!M1188="","",'Ordenes_Odoo'!M1188)</f>
        <v/>
      </c>
      <c r="N1188" s="79">
        <f>IF('Ordenes_Odoo'!N1188="","",'Ordenes_Odoo'!N1188)</f>
        <v/>
      </c>
      <c r="O1188" s="81">
        <f>IF('Ordenes_Odoo'!O1188="","",'Ordenes_Odoo'!O1188)</f>
        <v/>
      </c>
      <c r="P1188" s="81">
        <f>IF('Ordenes_Odoo'!P1188="","",'Ordenes_Odoo'!P1188)</f>
        <v/>
      </c>
      <c r="Q1188" s="79">
        <f>IF(A1188="","",IFERROR(INDEX(Facturas_Odoo!$B:$B, MATCH(A1188, Facturas_Odoo!$D:$D, 0)), "Sin Factura"))</f>
        <v/>
      </c>
      <c r="R1188" s="80">
        <f>IF(Q1188="Sin Factura","",IFERROR(INDEX(Facturas_Odoo!$A:$A, MATCH(Q1188, Facturas_Odoo!$B:$B, 0)), ""))</f>
        <v/>
      </c>
      <c r="S1188" s="79">
        <f>IF(Q1188="Sin Factura","",IFERROR(_xlfn.XLOOKUP(1, (Facturas_Odoo!$D:$D=A1188) * (Facturas_Odoo!$K:$K=I1188), Facturas_Odoo!$L:$L, ""), ""))</f>
        <v/>
      </c>
      <c r="T1188" s="81">
        <f>IF(Q1188="Sin Factura",0,IFERROR(_xlfn.XLOOKUP(1, (Facturas_Odoo!$D:$D=A1188) * (Facturas_Odoo!$K:$K=I1188), Facturas_Odoo!$M:$M, 0), 0))</f>
        <v/>
      </c>
      <c r="U1188" s="79">
        <f>IF(Q1188="Sin Factura",0,IFERROR(_xlfn.XLOOKUP(1, (Facturas_Odoo!$D:$D=A1188) * (Facturas_Odoo!$K:$K=I1188), Facturas_Odoo!$N:$N, 0), 0))</f>
        <v/>
      </c>
      <c r="V1188" s="79">
        <f>IF(Q1188="Sin Factura",0,IFERROR(_xlfn.XLOOKUP(1, (Facturas_Odoo!$D:$D=A1188) * (Facturas_Odoo!$K:$K=I1188), Facturas_Odoo!$O:$O, 0), 0))</f>
        <v/>
      </c>
      <c r="W1188" s="81">
        <f>IF(Q1188="Sin Factura",0,IFERROR(_xlfn.XLOOKUP(1, (Facturas_Odoo!$D:$D=A1188) * (Facturas_Odoo!$K:$K=I1188), Facturas_Odoo!$Q:$Q, 0), 0))</f>
        <v/>
      </c>
      <c r="X1188" s="79">
        <f>IF(OR(Q1188="Sin Factura",Q1188=""),"",IFERROR(INDEX(Pagos_Odoo!$B:$B, MATCH(Q1188, Pagos_Odoo!$I:$I, 0)), "Sin Pago"))</f>
        <v/>
      </c>
      <c r="Y1188" s="79">
        <f>IF(X1188="Sin Pago","",IFERROR(INDEX(Pagos_Odoo!$C:$C, MATCH(X1188, Pagos_Odoo!$B:$B, 0)), ""))</f>
        <v/>
      </c>
      <c r="Z1188" s="80">
        <f>IF(X1188="Sin Pago","",IFERROR(INDEX(Pagos_Odoo!$A:$A, MATCH(X1188, Pagos_Odoo!$B:$B, 0)), ""))</f>
        <v/>
      </c>
      <c r="AA1188" s="79">
        <f>IF(X1188="Sin Pago","",IFERROR(INDEX(Pagos_Odoo!$F:$F, MATCH(X1188, Pagos_Odoo!$B:$B, 0)), ""))</f>
        <v/>
      </c>
      <c r="AB1188" s="81">
        <f>IF(X1188="Sin Pago",0,IFERROR(INDEX(Pagos_Odoo!$E:$E, MATCH(X1188, Pagos_Odoo!$B:$B, 0)), 0))</f>
        <v/>
      </c>
      <c r="AC1188" s="79">
        <f>IF(X1188="Sin Pago","",IFERROR(INDEX(Pagos_Odoo!$G:$G, MATCH(X1188, Pagos_Odoo!$B:$B, 0)), ""))</f>
        <v/>
      </c>
      <c r="AD1188" s="82" t="n">
        <v>0</v>
      </c>
      <c r="AE1188" s="82" t="n"/>
      <c r="AF1188" s="82" t="n"/>
      <c r="AG1188" s="82">
        <f>IF(AN1188="","",AD1188+AE1188+AF1188)</f>
        <v/>
      </c>
      <c r="AH1188" s="81">
        <f>IF(AN1188="","",P1188*(1-AG1188))</f>
        <v/>
      </c>
      <c r="AI1188" s="81">
        <f>IF(AN1188="","",IF(Q1188="Sin Factura",0,IFERROR(INDEX(Facturas_Odoo!$H:$H, MATCH(Q1188, Facturas_Odoo!$B:$B, 0)), 0)*(1-AG1188)))</f>
        <v/>
      </c>
      <c r="AJ1188" s="81">
        <f>IF(AN1188="","",_xlfn.LET(idVenta, AN1188&amp;"",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88" s="81">
        <f>IF(AN1188="","",AH1188-AJ1188)</f>
        <v/>
      </c>
      <c r="AL1188" s="81">
        <f>IF(AN1188="","",IF(Q1188="Sin Factura","",AI1188-AJ1188))</f>
        <v/>
      </c>
      <c r="AM1188" s="81">
        <f>IF(AN1188="","",IF(Q1188="Sin Factura",0,P1188-IFERROR(INDEX(Facturas_Odoo!$H:$H, MATCH(Q1188, Facturas_Odoo!$B:$B, 0)), 0)))</f>
        <v/>
      </c>
      <c r="AN1188" s="79">
        <f>IF(AND(A1188="", J1188=""), "", IF(A1188&lt;&gt;"", VALUE(MID(A1188,2,LEN(A1188))), AN1187))</f>
        <v/>
      </c>
      <c r="AO1188" s="79">
        <f>IF(AN1188="","",IF(AD1188=0,"OK",_xlfn.LET(monedaPago, IF(AA1188="","USD",AA1188), limitePermitido, IFERROR(VLOOKUP(monedaPago, Configuración!$A$2:$B$3, 2, FALSE), 0.15), IF(AD1188&gt;limitePermitido, "ALERTA: EXCESO (" &amp; TEXT(limitePermitido, "0%") &amp; " máx)", "OK"))))</f>
        <v/>
      </c>
      <c r="AP1188" s="79">
        <f>IF(AN1188="","",IF(AE1188=0,"OK",_xlfn.LET(fechaPago, Z1188, fechaFactura, R1188, diasCredito, IF(E1188="Pago inmediato", 0, IFERROR(VALUE(MID(E1188, 1, SEARCH(" ", E1188)-1)),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88" s="79">
        <f>IF(AN1188="","",IF(AND(N1188&gt;0, AG1188&gt;0), IF(Configuración!$K$2="NO", "ALERTA: DESCUENTO DOBLE NO PERMITIDO", "OK"), "OK"))</f>
        <v/>
      </c>
      <c r="AR1188" s="79">
        <f>IF(AN1188="","",IF(OR(AO1188&lt;&gt;"OK", AP1188&lt;&gt;"OK", AQ1188&lt;&gt;"OK"), "⚠️ REVISAR", "OK"))</f>
        <v/>
      </c>
    </row>
    <row r="1189">
      <c r="A1189" s="79">
        <f>IF('Ordenes_Odoo'!A1189="","",'Ordenes_Odoo'!A1189)</f>
        <v/>
      </c>
      <c r="B1189" s="80">
        <f>IF('Ordenes_Odoo'!B1189="","",'Ordenes_Odoo'!B1189)</f>
        <v/>
      </c>
      <c r="C1189" s="79">
        <f>IF('Ordenes_Odoo'!C1189="","",'Ordenes_Odoo'!C1189)</f>
        <v/>
      </c>
      <c r="D1189" s="79">
        <f>IF('Ordenes_Odoo'!D1189="","",'Ordenes_Odoo'!D1189)</f>
        <v/>
      </c>
      <c r="E1189" s="79">
        <f>IF('Ordenes_Odoo'!E1189="","",'Ordenes_Odoo'!E1189)</f>
        <v/>
      </c>
      <c r="F1189" s="79">
        <f>IF('Ordenes_Odoo'!F1189="","",'Ordenes_Odoo'!F1189)</f>
        <v/>
      </c>
      <c r="G1189" s="79">
        <f>IF('Ordenes_Odoo'!G1189="","",'Ordenes_Odoo'!G1189)</f>
        <v/>
      </c>
      <c r="H1189" s="79">
        <f>IF('Ordenes_Odoo'!H1189="","",'Ordenes_Odoo'!H1189)</f>
        <v/>
      </c>
      <c r="I1189" s="79">
        <f>IF('Ordenes_Odoo'!I1189="","",'Ordenes_Odoo'!I1189)</f>
        <v/>
      </c>
      <c r="J1189" s="79">
        <f>IF('Ordenes_Odoo'!J1189="","",'Ordenes_Odoo'!J1189)</f>
        <v/>
      </c>
      <c r="K1189" s="81">
        <f>IF('Ordenes_Odoo'!K1189="","",'Ordenes_Odoo'!K1189)</f>
        <v/>
      </c>
      <c r="L1189" s="81">
        <f>IF('Ordenes_Odoo'!L1189="","",'Ordenes_Odoo'!L1189)</f>
        <v/>
      </c>
      <c r="M1189" s="79">
        <f>IF('Ordenes_Odoo'!M1189="","",'Ordenes_Odoo'!M1189)</f>
        <v/>
      </c>
      <c r="N1189" s="79">
        <f>IF('Ordenes_Odoo'!N1189="","",'Ordenes_Odoo'!N1189)</f>
        <v/>
      </c>
      <c r="O1189" s="81">
        <f>IF('Ordenes_Odoo'!O1189="","",'Ordenes_Odoo'!O1189)</f>
        <v/>
      </c>
      <c r="P1189" s="81">
        <f>IF('Ordenes_Odoo'!P1189="","",'Ordenes_Odoo'!P1189)</f>
        <v/>
      </c>
      <c r="Q1189" s="79">
        <f>IF(A1189="","",IFERROR(INDEX(Facturas_Odoo!$B:$B, MATCH(A1189, Facturas_Odoo!$D:$D, 0)), "Sin Factura"))</f>
        <v/>
      </c>
      <c r="R1189" s="80">
        <f>IF(Q1189="Sin Factura","",IFERROR(INDEX(Facturas_Odoo!$A:$A, MATCH(Q1189, Facturas_Odoo!$B:$B, 0)), ""))</f>
        <v/>
      </c>
      <c r="S1189" s="79">
        <f>IF(Q1189="Sin Factura","",IFERROR(_xlfn.XLOOKUP(1, (Facturas_Odoo!$D:$D=A1189) * (Facturas_Odoo!$K:$K=I1189), Facturas_Odoo!$L:$L, ""), ""))</f>
        <v/>
      </c>
      <c r="T1189" s="81">
        <f>IF(Q1189="Sin Factura",0,IFERROR(_xlfn.XLOOKUP(1, (Facturas_Odoo!$D:$D=A1189) * (Facturas_Odoo!$K:$K=I1189), Facturas_Odoo!$M:$M, 0), 0))</f>
        <v/>
      </c>
      <c r="U1189" s="79">
        <f>IF(Q1189="Sin Factura",0,IFERROR(_xlfn.XLOOKUP(1, (Facturas_Odoo!$D:$D=A1189) * (Facturas_Odoo!$K:$K=I1189), Facturas_Odoo!$N:$N, 0), 0))</f>
        <v/>
      </c>
      <c r="V1189" s="79">
        <f>IF(Q1189="Sin Factura",0,IFERROR(_xlfn.XLOOKUP(1, (Facturas_Odoo!$D:$D=A1189) * (Facturas_Odoo!$K:$K=I1189), Facturas_Odoo!$O:$O, 0), 0))</f>
        <v/>
      </c>
      <c r="W1189" s="81">
        <f>IF(Q1189="Sin Factura",0,IFERROR(_xlfn.XLOOKUP(1, (Facturas_Odoo!$D:$D=A1189) * (Facturas_Odoo!$K:$K=I1189), Facturas_Odoo!$Q:$Q, 0), 0))</f>
        <v/>
      </c>
      <c r="X1189" s="79">
        <f>IF(OR(Q1189="Sin Factura",Q1189=""),"",IFERROR(INDEX(Pagos_Odoo!$B:$B, MATCH(Q1189, Pagos_Odoo!$I:$I, 0)), "Sin Pago"))</f>
        <v/>
      </c>
      <c r="Y1189" s="79">
        <f>IF(X1189="Sin Pago","",IFERROR(INDEX(Pagos_Odoo!$C:$C, MATCH(X1189, Pagos_Odoo!$B:$B, 0)), ""))</f>
        <v/>
      </c>
      <c r="Z1189" s="80">
        <f>IF(X1189="Sin Pago","",IFERROR(INDEX(Pagos_Odoo!$A:$A, MATCH(X1189, Pagos_Odoo!$B:$B, 0)), ""))</f>
        <v/>
      </c>
      <c r="AA1189" s="79">
        <f>IF(X1189="Sin Pago","",IFERROR(INDEX(Pagos_Odoo!$F:$F, MATCH(X1189, Pagos_Odoo!$B:$B, 0)), ""))</f>
        <v/>
      </c>
      <c r="AB1189" s="81">
        <f>IF(X1189="Sin Pago",0,IFERROR(INDEX(Pagos_Odoo!$E:$E, MATCH(X1189, Pagos_Odoo!$B:$B, 0)), 0))</f>
        <v/>
      </c>
      <c r="AC1189" s="79">
        <f>IF(X1189="Sin Pago","",IFERROR(INDEX(Pagos_Odoo!$G:$G, MATCH(X1189, Pagos_Odoo!$B:$B, 0)), ""))</f>
        <v/>
      </c>
      <c r="AD1189" s="82" t="n">
        <v>0</v>
      </c>
      <c r="AE1189" s="82" t="n"/>
      <c r="AF1189" s="82" t="n"/>
      <c r="AG1189" s="82">
        <f>IF(AN1189="","",AD1189+AE1189+AF1189)</f>
        <v/>
      </c>
      <c r="AH1189" s="81">
        <f>IF(AN1189="","",P1189*(1-AG1189))</f>
        <v/>
      </c>
      <c r="AI1189" s="81">
        <f>IF(AN1189="","",IF(Q1189="Sin Factura",0,IFERROR(INDEX(Facturas_Odoo!$H:$H, MATCH(Q1189, Facturas_Odoo!$B:$B, 0)), 0)*(1-AG1189)))</f>
        <v/>
      </c>
      <c r="AJ1189" s="81">
        <f>IF(AN1189="","",_xlfn.LET(idVenta, AN1189&amp;"",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89" s="81">
        <f>IF(AN1189="","",AH1189-AJ1189)</f>
        <v/>
      </c>
      <c r="AL1189" s="81">
        <f>IF(AN1189="","",IF(Q1189="Sin Factura","",AI1189-AJ1189))</f>
        <v/>
      </c>
      <c r="AM1189" s="81">
        <f>IF(AN1189="","",IF(Q1189="Sin Factura",0,P1189-IFERROR(INDEX(Facturas_Odoo!$H:$H, MATCH(Q1189, Facturas_Odoo!$B:$B, 0)), 0)))</f>
        <v/>
      </c>
      <c r="AN1189" s="79">
        <f>IF(AND(A1189="", J1189=""), "", IF(A1189&lt;&gt;"", VALUE(MID(A1189,2,LEN(A1189))), AN1188))</f>
        <v/>
      </c>
      <c r="AO1189" s="79">
        <f>IF(AN1189="","",IF(AD1189=0,"OK",_xlfn.LET(monedaPago, IF(AA1189="","USD",AA1189), limitePermitido, IFERROR(VLOOKUP(monedaPago, Configuración!$A$2:$B$3, 2, FALSE), 0.15), IF(AD1189&gt;limitePermitido, "ALERTA: EXCESO (" &amp; TEXT(limitePermitido, "0%") &amp; " máx)", "OK"))))</f>
        <v/>
      </c>
      <c r="AP1189" s="79">
        <f>IF(AN1189="","",IF(AE1189=0,"OK",_xlfn.LET(fechaPago, Z1189, fechaFactura, R1189, diasCredito, IF(E1189="Pago inmediato", 0, IFERROR(VALUE(MID(E1189, 1, SEARCH(" ", E1189)-1)),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89" s="79">
        <f>IF(AN1189="","",IF(AND(N1189&gt;0, AG1189&gt;0), IF(Configuración!$K$2="NO", "ALERTA: DESCUENTO DOBLE NO PERMITIDO", "OK"), "OK"))</f>
        <v/>
      </c>
      <c r="AR1189" s="79">
        <f>IF(AN1189="","",IF(OR(AO1189&lt;&gt;"OK", AP1189&lt;&gt;"OK", AQ1189&lt;&gt;"OK"), "⚠️ REVISAR", "OK"))</f>
        <v/>
      </c>
    </row>
    <row r="1190">
      <c r="A1190" s="79">
        <f>IF('Ordenes_Odoo'!A1190="","",'Ordenes_Odoo'!A1190)</f>
        <v/>
      </c>
      <c r="B1190" s="80">
        <f>IF('Ordenes_Odoo'!B1190="","",'Ordenes_Odoo'!B1190)</f>
        <v/>
      </c>
      <c r="C1190" s="79">
        <f>IF('Ordenes_Odoo'!C1190="","",'Ordenes_Odoo'!C1190)</f>
        <v/>
      </c>
      <c r="D1190" s="79">
        <f>IF('Ordenes_Odoo'!D1190="","",'Ordenes_Odoo'!D1190)</f>
        <v/>
      </c>
      <c r="E1190" s="79">
        <f>IF('Ordenes_Odoo'!E1190="","",'Ordenes_Odoo'!E1190)</f>
        <v/>
      </c>
      <c r="F1190" s="79">
        <f>IF('Ordenes_Odoo'!F1190="","",'Ordenes_Odoo'!F1190)</f>
        <v/>
      </c>
      <c r="G1190" s="79">
        <f>IF('Ordenes_Odoo'!G1190="","",'Ordenes_Odoo'!G1190)</f>
        <v/>
      </c>
      <c r="H1190" s="79">
        <f>IF('Ordenes_Odoo'!H1190="","",'Ordenes_Odoo'!H1190)</f>
        <v/>
      </c>
      <c r="I1190" s="79">
        <f>IF('Ordenes_Odoo'!I1190="","",'Ordenes_Odoo'!I1190)</f>
        <v/>
      </c>
      <c r="J1190" s="79">
        <f>IF('Ordenes_Odoo'!J1190="","",'Ordenes_Odoo'!J1190)</f>
        <v/>
      </c>
      <c r="K1190" s="81">
        <f>IF('Ordenes_Odoo'!K1190="","",'Ordenes_Odoo'!K1190)</f>
        <v/>
      </c>
      <c r="L1190" s="81">
        <f>IF('Ordenes_Odoo'!L1190="","",'Ordenes_Odoo'!L1190)</f>
        <v/>
      </c>
      <c r="M1190" s="79">
        <f>IF('Ordenes_Odoo'!M1190="","",'Ordenes_Odoo'!M1190)</f>
        <v/>
      </c>
      <c r="N1190" s="79">
        <f>IF('Ordenes_Odoo'!N1190="","",'Ordenes_Odoo'!N1190)</f>
        <v/>
      </c>
      <c r="O1190" s="81">
        <f>IF('Ordenes_Odoo'!O1190="","",'Ordenes_Odoo'!O1190)</f>
        <v/>
      </c>
      <c r="P1190" s="81">
        <f>IF('Ordenes_Odoo'!P1190="","",'Ordenes_Odoo'!P1190)</f>
        <v/>
      </c>
      <c r="Q1190" s="79">
        <f>IF(A1190="","",IFERROR(INDEX(Facturas_Odoo!$B:$B, MATCH(A1190, Facturas_Odoo!$D:$D, 0)), "Sin Factura"))</f>
        <v/>
      </c>
      <c r="R1190" s="80">
        <f>IF(Q1190="Sin Factura","",IFERROR(INDEX(Facturas_Odoo!$A:$A, MATCH(Q1190, Facturas_Odoo!$B:$B, 0)), ""))</f>
        <v/>
      </c>
      <c r="S1190" s="79">
        <f>IF(Q1190="Sin Factura","",IFERROR(_xlfn.XLOOKUP(1, (Facturas_Odoo!$D:$D=A1190) * (Facturas_Odoo!$K:$K=I1190), Facturas_Odoo!$L:$L, ""), ""))</f>
        <v/>
      </c>
      <c r="T1190" s="81">
        <f>IF(Q1190="Sin Factura",0,IFERROR(_xlfn.XLOOKUP(1, (Facturas_Odoo!$D:$D=A1190) * (Facturas_Odoo!$K:$K=I1190), Facturas_Odoo!$M:$M, 0), 0))</f>
        <v/>
      </c>
      <c r="U1190" s="79">
        <f>IF(Q1190="Sin Factura",0,IFERROR(_xlfn.XLOOKUP(1, (Facturas_Odoo!$D:$D=A1190) * (Facturas_Odoo!$K:$K=I1190), Facturas_Odoo!$N:$N, 0), 0))</f>
        <v/>
      </c>
      <c r="V1190" s="79">
        <f>IF(Q1190="Sin Factura",0,IFERROR(_xlfn.XLOOKUP(1, (Facturas_Odoo!$D:$D=A1190) * (Facturas_Odoo!$K:$K=I1190), Facturas_Odoo!$O:$O, 0), 0))</f>
        <v/>
      </c>
      <c r="W1190" s="81">
        <f>IF(Q1190="Sin Factura",0,IFERROR(_xlfn.XLOOKUP(1, (Facturas_Odoo!$D:$D=A1190) * (Facturas_Odoo!$K:$K=I1190), Facturas_Odoo!$Q:$Q, 0), 0))</f>
        <v/>
      </c>
      <c r="X1190" s="79">
        <f>IF(OR(Q1190="Sin Factura",Q1190=""),"",IFERROR(INDEX(Pagos_Odoo!$B:$B, MATCH(Q1190, Pagos_Odoo!$I:$I, 0)), "Sin Pago"))</f>
        <v/>
      </c>
      <c r="Y1190" s="79">
        <f>IF(X1190="Sin Pago","",IFERROR(INDEX(Pagos_Odoo!$C:$C, MATCH(X1190, Pagos_Odoo!$B:$B, 0)), ""))</f>
        <v/>
      </c>
      <c r="Z1190" s="80">
        <f>IF(X1190="Sin Pago","",IFERROR(INDEX(Pagos_Odoo!$A:$A, MATCH(X1190, Pagos_Odoo!$B:$B, 0)), ""))</f>
        <v/>
      </c>
      <c r="AA1190" s="79">
        <f>IF(X1190="Sin Pago","",IFERROR(INDEX(Pagos_Odoo!$F:$F, MATCH(X1190, Pagos_Odoo!$B:$B, 0)), ""))</f>
        <v/>
      </c>
      <c r="AB1190" s="81">
        <f>IF(X1190="Sin Pago",0,IFERROR(INDEX(Pagos_Odoo!$E:$E, MATCH(X1190, Pagos_Odoo!$B:$B, 0)), 0))</f>
        <v/>
      </c>
      <c r="AC1190" s="79">
        <f>IF(X1190="Sin Pago","",IFERROR(INDEX(Pagos_Odoo!$G:$G, MATCH(X1190, Pagos_Odoo!$B:$B, 0)), ""))</f>
        <v/>
      </c>
      <c r="AD1190" s="82" t="n">
        <v>0</v>
      </c>
      <c r="AE1190" s="82" t="n"/>
      <c r="AF1190" s="82" t="n"/>
      <c r="AG1190" s="82">
        <f>IF(AN1190="","",AD1190+AE1190+AF1190)</f>
        <v/>
      </c>
      <c r="AH1190" s="81">
        <f>IF(AN1190="","",P1190*(1-AG1190))</f>
        <v/>
      </c>
      <c r="AI1190" s="81">
        <f>IF(AN1190="","",IF(Q1190="Sin Factura",0,IFERROR(INDEX(Facturas_Odoo!$H:$H, MATCH(Q1190, Facturas_Odoo!$B:$B, 0)), 0)*(1-AG1190)))</f>
        <v/>
      </c>
      <c r="AJ1190" s="81">
        <f>IF(AN1190="","",_xlfn.LET(idVenta, AN1190&amp;"",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90" s="81">
        <f>IF(AN1190="","",AH1190-AJ1190)</f>
        <v/>
      </c>
      <c r="AL1190" s="81">
        <f>IF(AN1190="","",IF(Q1190="Sin Factura","",AI1190-AJ1190))</f>
        <v/>
      </c>
      <c r="AM1190" s="81">
        <f>IF(AN1190="","",IF(Q1190="Sin Factura",0,P1190-IFERROR(INDEX(Facturas_Odoo!$H:$H, MATCH(Q1190, Facturas_Odoo!$B:$B, 0)), 0)))</f>
        <v/>
      </c>
      <c r="AN1190" s="79">
        <f>IF(AND(A1190="", J1190=""), "", IF(A1190&lt;&gt;"", VALUE(MID(A1190,2,LEN(A1190))), AN1189))</f>
        <v/>
      </c>
      <c r="AO1190" s="79">
        <f>IF(AN1190="","",IF(AD1190=0,"OK",_xlfn.LET(monedaPago, IF(AA1190="","USD",AA1190), limitePermitido, IFERROR(VLOOKUP(monedaPago, Configuración!$A$2:$B$3, 2, FALSE), 0.15), IF(AD1190&gt;limitePermitido, "ALERTA: EXCESO (" &amp; TEXT(limitePermitido, "0%") &amp; " máx)", "OK"))))</f>
        <v/>
      </c>
      <c r="AP1190" s="79">
        <f>IF(AN1190="","",IF(AE1190=0,"OK",_xlfn.LET(fechaPago, Z1190, fechaFactura, R1190, diasCredito, IF(E1190="Pago inmediato", 0, IFERROR(VALUE(MID(E1190, 1, SEARCH(" ", E1190)-1)),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90" s="79">
        <f>IF(AN1190="","",IF(AND(N1190&gt;0, AG1190&gt;0), IF(Configuración!$K$2="NO", "ALERTA: DESCUENTO DOBLE NO PERMITIDO", "OK"), "OK"))</f>
        <v/>
      </c>
      <c r="AR1190" s="79">
        <f>IF(AN1190="","",IF(OR(AO1190&lt;&gt;"OK", AP1190&lt;&gt;"OK", AQ1190&lt;&gt;"OK"), "⚠️ REVISAR", "OK"))</f>
        <v/>
      </c>
    </row>
    <row r="1191">
      <c r="A1191" s="79">
        <f>IF('Ordenes_Odoo'!A1191="","",'Ordenes_Odoo'!A1191)</f>
        <v/>
      </c>
      <c r="B1191" s="80">
        <f>IF('Ordenes_Odoo'!B1191="","",'Ordenes_Odoo'!B1191)</f>
        <v/>
      </c>
      <c r="C1191" s="79">
        <f>IF('Ordenes_Odoo'!C1191="","",'Ordenes_Odoo'!C1191)</f>
        <v/>
      </c>
      <c r="D1191" s="79">
        <f>IF('Ordenes_Odoo'!D1191="","",'Ordenes_Odoo'!D1191)</f>
        <v/>
      </c>
      <c r="E1191" s="79">
        <f>IF('Ordenes_Odoo'!E1191="","",'Ordenes_Odoo'!E1191)</f>
        <v/>
      </c>
      <c r="F1191" s="79">
        <f>IF('Ordenes_Odoo'!F1191="","",'Ordenes_Odoo'!F1191)</f>
        <v/>
      </c>
      <c r="G1191" s="79">
        <f>IF('Ordenes_Odoo'!G1191="","",'Ordenes_Odoo'!G1191)</f>
        <v/>
      </c>
      <c r="H1191" s="79">
        <f>IF('Ordenes_Odoo'!H1191="","",'Ordenes_Odoo'!H1191)</f>
        <v/>
      </c>
      <c r="I1191" s="79">
        <f>IF('Ordenes_Odoo'!I1191="","",'Ordenes_Odoo'!I1191)</f>
        <v/>
      </c>
      <c r="J1191" s="79">
        <f>IF('Ordenes_Odoo'!J1191="","",'Ordenes_Odoo'!J1191)</f>
        <v/>
      </c>
      <c r="K1191" s="81">
        <f>IF('Ordenes_Odoo'!K1191="","",'Ordenes_Odoo'!K1191)</f>
        <v/>
      </c>
      <c r="L1191" s="81">
        <f>IF('Ordenes_Odoo'!L1191="","",'Ordenes_Odoo'!L1191)</f>
        <v/>
      </c>
      <c r="M1191" s="79">
        <f>IF('Ordenes_Odoo'!M1191="","",'Ordenes_Odoo'!M1191)</f>
        <v/>
      </c>
      <c r="N1191" s="79">
        <f>IF('Ordenes_Odoo'!N1191="","",'Ordenes_Odoo'!N1191)</f>
        <v/>
      </c>
      <c r="O1191" s="81">
        <f>IF('Ordenes_Odoo'!O1191="","",'Ordenes_Odoo'!O1191)</f>
        <v/>
      </c>
      <c r="P1191" s="81">
        <f>IF('Ordenes_Odoo'!P1191="","",'Ordenes_Odoo'!P1191)</f>
        <v/>
      </c>
      <c r="Q1191" s="79">
        <f>IF(A1191="","",IFERROR(INDEX(Facturas_Odoo!$B:$B, MATCH(A1191, Facturas_Odoo!$D:$D, 0)), "Sin Factura"))</f>
        <v/>
      </c>
      <c r="R1191" s="80">
        <f>IF(Q1191="Sin Factura","",IFERROR(INDEX(Facturas_Odoo!$A:$A, MATCH(Q1191, Facturas_Odoo!$B:$B, 0)), ""))</f>
        <v/>
      </c>
      <c r="S1191" s="79">
        <f>IF(Q1191="Sin Factura","",IFERROR(_xlfn.XLOOKUP(1, (Facturas_Odoo!$D:$D=A1191) * (Facturas_Odoo!$K:$K=I1191), Facturas_Odoo!$L:$L, ""), ""))</f>
        <v/>
      </c>
      <c r="T1191" s="81">
        <f>IF(Q1191="Sin Factura",0,IFERROR(_xlfn.XLOOKUP(1, (Facturas_Odoo!$D:$D=A1191) * (Facturas_Odoo!$K:$K=I1191), Facturas_Odoo!$M:$M, 0), 0))</f>
        <v/>
      </c>
      <c r="U1191" s="79">
        <f>IF(Q1191="Sin Factura",0,IFERROR(_xlfn.XLOOKUP(1, (Facturas_Odoo!$D:$D=A1191) * (Facturas_Odoo!$K:$K=I1191), Facturas_Odoo!$N:$N, 0), 0))</f>
        <v/>
      </c>
      <c r="V1191" s="79">
        <f>IF(Q1191="Sin Factura",0,IFERROR(_xlfn.XLOOKUP(1, (Facturas_Odoo!$D:$D=A1191) * (Facturas_Odoo!$K:$K=I1191), Facturas_Odoo!$O:$O, 0), 0))</f>
        <v/>
      </c>
      <c r="W1191" s="81">
        <f>IF(Q1191="Sin Factura",0,IFERROR(_xlfn.XLOOKUP(1, (Facturas_Odoo!$D:$D=A1191) * (Facturas_Odoo!$K:$K=I1191), Facturas_Odoo!$Q:$Q, 0), 0))</f>
        <v/>
      </c>
      <c r="X1191" s="79">
        <f>IF(OR(Q1191="Sin Factura",Q1191=""),"",IFERROR(INDEX(Pagos_Odoo!$B:$B, MATCH(Q1191, Pagos_Odoo!$I:$I, 0)), "Sin Pago"))</f>
        <v/>
      </c>
      <c r="Y1191" s="79">
        <f>IF(X1191="Sin Pago","",IFERROR(INDEX(Pagos_Odoo!$C:$C, MATCH(X1191, Pagos_Odoo!$B:$B, 0)), ""))</f>
        <v/>
      </c>
      <c r="Z1191" s="80">
        <f>IF(X1191="Sin Pago","",IFERROR(INDEX(Pagos_Odoo!$A:$A, MATCH(X1191, Pagos_Odoo!$B:$B, 0)), ""))</f>
        <v/>
      </c>
      <c r="AA1191" s="79">
        <f>IF(X1191="Sin Pago","",IFERROR(INDEX(Pagos_Odoo!$F:$F, MATCH(X1191, Pagos_Odoo!$B:$B, 0)), ""))</f>
        <v/>
      </c>
      <c r="AB1191" s="81">
        <f>IF(X1191="Sin Pago",0,IFERROR(INDEX(Pagos_Odoo!$E:$E, MATCH(X1191, Pagos_Odoo!$B:$B, 0)), 0))</f>
        <v/>
      </c>
      <c r="AC1191" s="79">
        <f>IF(X1191="Sin Pago","",IFERROR(INDEX(Pagos_Odoo!$G:$G, MATCH(X1191, Pagos_Odoo!$B:$B, 0)), ""))</f>
        <v/>
      </c>
      <c r="AD1191" s="82" t="n">
        <v>0</v>
      </c>
      <c r="AE1191" s="82" t="n"/>
      <c r="AF1191" s="82" t="n"/>
      <c r="AG1191" s="82">
        <f>IF(AN1191="","",AD1191+AE1191+AF1191)</f>
        <v/>
      </c>
      <c r="AH1191" s="81">
        <f>IF(AN1191="","",P1191*(1-AG1191))</f>
        <v/>
      </c>
      <c r="AI1191" s="81">
        <f>IF(AN1191="","",IF(Q1191="Sin Factura",0,IFERROR(INDEX(Facturas_Odoo!$H:$H, MATCH(Q1191, Facturas_Odoo!$B:$B, 0)), 0)*(1-AG1191)))</f>
        <v/>
      </c>
      <c r="AJ1191" s="81">
        <f>IF(AN1191="","",_xlfn.LET(idVenta, AN1191&amp;"",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91" s="81">
        <f>IF(AN1191="","",AH1191-AJ1191)</f>
        <v/>
      </c>
      <c r="AL1191" s="81">
        <f>IF(AN1191="","",IF(Q1191="Sin Factura","",AI1191-AJ1191))</f>
        <v/>
      </c>
      <c r="AM1191" s="81">
        <f>IF(AN1191="","",IF(Q1191="Sin Factura",0,P1191-IFERROR(INDEX(Facturas_Odoo!$H:$H, MATCH(Q1191, Facturas_Odoo!$B:$B, 0)), 0)))</f>
        <v/>
      </c>
      <c r="AN1191" s="79">
        <f>IF(AND(A1191="", J1191=""), "", IF(A1191&lt;&gt;"", VALUE(MID(A1191,2,LEN(A1191))), AN1190))</f>
        <v/>
      </c>
      <c r="AO1191" s="79">
        <f>IF(AN1191="","",IF(AD1191=0,"OK",_xlfn.LET(monedaPago, IF(AA1191="","USD",AA1191), limitePermitido, IFERROR(VLOOKUP(monedaPago, Configuración!$A$2:$B$3, 2, FALSE), 0.15), IF(AD1191&gt;limitePermitido, "ALERTA: EXCESO (" &amp; TEXT(limitePermitido, "0%") &amp; " máx)", "OK"))))</f>
        <v/>
      </c>
      <c r="AP1191" s="79">
        <f>IF(AN1191="","",IF(AE1191=0,"OK",_xlfn.LET(fechaPago, Z1191, fechaFactura, R1191, diasCredito, IF(E1191="Pago inmediato", 0, IFERROR(VALUE(MID(E1191, 1, SEARCH(" ", E1191)-1)),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91" s="79">
        <f>IF(AN1191="","",IF(AND(N1191&gt;0, AG1191&gt;0), IF(Configuración!$K$2="NO", "ALERTA: DESCUENTO DOBLE NO PERMITIDO", "OK"), "OK"))</f>
        <v/>
      </c>
      <c r="AR1191" s="79">
        <f>IF(AN1191="","",IF(OR(AO1191&lt;&gt;"OK", AP1191&lt;&gt;"OK", AQ1191&lt;&gt;"OK"), "⚠️ REVISAR", "OK"))</f>
        <v/>
      </c>
    </row>
    <row r="1192">
      <c r="A1192" s="79">
        <f>IF('Ordenes_Odoo'!A1192="","",'Ordenes_Odoo'!A1192)</f>
        <v/>
      </c>
      <c r="B1192" s="80">
        <f>IF('Ordenes_Odoo'!B1192="","",'Ordenes_Odoo'!B1192)</f>
        <v/>
      </c>
      <c r="C1192" s="79">
        <f>IF('Ordenes_Odoo'!C1192="","",'Ordenes_Odoo'!C1192)</f>
        <v/>
      </c>
      <c r="D1192" s="79">
        <f>IF('Ordenes_Odoo'!D1192="","",'Ordenes_Odoo'!D1192)</f>
        <v/>
      </c>
      <c r="E1192" s="79">
        <f>IF('Ordenes_Odoo'!E1192="","",'Ordenes_Odoo'!E1192)</f>
        <v/>
      </c>
      <c r="F1192" s="79">
        <f>IF('Ordenes_Odoo'!F1192="","",'Ordenes_Odoo'!F1192)</f>
        <v/>
      </c>
      <c r="G1192" s="79">
        <f>IF('Ordenes_Odoo'!G1192="","",'Ordenes_Odoo'!G1192)</f>
        <v/>
      </c>
      <c r="H1192" s="79">
        <f>IF('Ordenes_Odoo'!H1192="","",'Ordenes_Odoo'!H1192)</f>
        <v/>
      </c>
      <c r="I1192" s="79">
        <f>IF('Ordenes_Odoo'!I1192="","",'Ordenes_Odoo'!I1192)</f>
        <v/>
      </c>
      <c r="J1192" s="79">
        <f>IF('Ordenes_Odoo'!J1192="","",'Ordenes_Odoo'!J1192)</f>
        <v/>
      </c>
      <c r="K1192" s="81">
        <f>IF('Ordenes_Odoo'!K1192="","",'Ordenes_Odoo'!K1192)</f>
        <v/>
      </c>
      <c r="L1192" s="81">
        <f>IF('Ordenes_Odoo'!L1192="","",'Ordenes_Odoo'!L1192)</f>
        <v/>
      </c>
      <c r="M1192" s="79">
        <f>IF('Ordenes_Odoo'!M1192="","",'Ordenes_Odoo'!M1192)</f>
        <v/>
      </c>
      <c r="N1192" s="79">
        <f>IF('Ordenes_Odoo'!N1192="","",'Ordenes_Odoo'!N1192)</f>
        <v/>
      </c>
      <c r="O1192" s="81">
        <f>IF('Ordenes_Odoo'!O1192="","",'Ordenes_Odoo'!O1192)</f>
        <v/>
      </c>
      <c r="P1192" s="81">
        <f>IF('Ordenes_Odoo'!P1192="","",'Ordenes_Odoo'!P1192)</f>
        <v/>
      </c>
      <c r="Q1192" s="79">
        <f>IF(A1192="","",IFERROR(INDEX(Facturas_Odoo!$B:$B, MATCH(A1192, Facturas_Odoo!$D:$D, 0)), "Sin Factura"))</f>
        <v/>
      </c>
      <c r="R1192" s="80">
        <f>IF(Q1192="Sin Factura","",IFERROR(INDEX(Facturas_Odoo!$A:$A, MATCH(Q1192, Facturas_Odoo!$B:$B, 0)), ""))</f>
        <v/>
      </c>
      <c r="S1192" s="79">
        <f>IF(Q1192="Sin Factura","",IFERROR(_xlfn.XLOOKUP(1, (Facturas_Odoo!$D:$D=A1192) * (Facturas_Odoo!$K:$K=I1192), Facturas_Odoo!$L:$L, ""), ""))</f>
        <v/>
      </c>
      <c r="T1192" s="81">
        <f>IF(Q1192="Sin Factura",0,IFERROR(_xlfn.XLOOKUP(1, (Facturas_Odoo!$D:$D=A1192) * (Facturas_Odoo!$K:$K=I1192), Facturas_Odoo!$M:$M, 0), 0))</f>
        <v/>
      </c>
      <c r="U1192" s="79">
        <f>IF(Q1192="Sin Factura",0,IFERROR(_xlfn.XLOOKUP(1, (Facturas_Odoo!$D:$D=A1192) * (Facturas_Odoo!$K:$K=I1192), Facturas_Odoo!$N:$N, 0), 0))</f>
        <v/>
      </c>
      <c r="V1192" s="79">
        <f>IF(Q1192="Sin Factura",0,IFERROR(_xlfn.XLOOKUP(1, (Facturas_Odoo!$D:$D=A1192) * (Facturas_Odoo!$K:$K=I1192), Facturas_Odoo!$O:$O, 0), 0))</f>
        <v/>
      </c>
      <c r="W1192" s="81">
        <f>IF(Q1192="Sin Factura",0,IFERROR(_xlfn.XLOOKUP(1, (Facturas_Odoo!$D:$D=A1192) * (Facturas_Odoo!$K:$K=I1192), Facturas_Odoo!$Q:$Q, 0), 0))</f>
        <v/>
      </c>
      <c r="X1192" s="79">
        <f>IF(OR(Q1192="Sin Factura",Q1192=""),"",IFERROR(INDEX(Pagos_Odoo!$B:$B, MATCH(Q1192, Pagos_Odoo!$I:$I, 0)), "Sin Pago"))</f>
        <v/>
      </c>
      <c r="Y1192" s="79">
        <f>IF(X1192="Sin Pago","",IFERROR(INDEX(Pagos_Odoo!$C:$C, MATCH(X1192, Pagos_Odoo!$B:$B, 0)), ""))</f>
        <v/>
      </c>
      <c r="Z1192" s="80">
        <f>IF(X1192="Sin Pago","",IFERROR(INDEX(Pagos_Odoo!$A:$A, MATCH(X1192, Pagos_Odoo!$B:$B, 0)), ""))</f>
        <v/>
      </c>
      <c r="AA1192" s="79">
        <f>IF(X1192="Sin Pago","",IFERROR(INDEX(Pagos_Odoo!$F:$F, MATCH(X1192, Pagos_Odoo!$B:$B, 0)), ""))</f>
        <v/>
      </c>
      <c r="AB1192" s="81">
        <f>IF(X1192="Sin Pago",0,IFERROR(INDEX(Pagos_Odoo!$E:$E, MATCH(X1192, Pagos_Odoo!$B:$B, 0)), 0))</f>
        <v/>
      </c>
      <c r="AC1192" s="79">
        <f>IF(X1192="Sin Pago","",IFERROR(INDEX(Pagos_Odoo!$G:$G, MATCH(X1192, Pagos_Odoo!$B:$B, 0)), ""))</f>
        <v/>
      </c>
      <c r="AD1192" s="82" t="n">
        <v>0</v>
      </c>
      <c r="AE1192" s="82" t="n"/>
      <c r="AF1192" s="82" t="n"/>
      <c r="AG1192" s="82">
        <f>IF(AN1192="","",AD1192+AE1192+AF1192)</f>
        <v/>
      </c>
      <c r="AH1192" s="81">
        <f>IF(AN1192="","",P1192*(1-AG1192))</f>
        <v/>
      </c>
      <c r="AI1192" s="81">
        <f>IF(AN1192="","",IF(Q1192="Sin Factura",0,IFERROR(INDEX(Facturas_Odoo!$H:$H, MATCH(Q1192, Facturas_Odoo!$B:$B, 0)), 0)*(1-AG1192)))</f>
        <v/>
      </c>
      <c r="AJ1192" s="81">
        <f>IF(AN1192="","",_xlfn.LET(idVenta, AN1192&amp;"",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92" s="81">
        <f>IF(AN1192="","",AH1192-AJ1192)</f>
        <v/>
      </c>
      <c r="AL1192" s="81">
        <f>IF(AN1192="","",IF(Q1192="Sin Factura","",AI1192-AJ1192))</f>
        <v/>
      </c>
      <c r="AM1192" s="81">
        <f>IF(AN1192="","",IF(Q1192="Sin Factura",0,P1192-IFERROR(INDEX(Facturas_Odoo!$H:$H, MATCH(Q1192, Facturas_Odoo!$B:$B, 0)), 0)))</f>
        <v/>
      </c>
      <c r="AN1192" s="79">
        <f>IF(AND(A1192="", J1192=""), "", IF(A1192&lt;&gt;"", VALUE(MID(A1192,2,LEN(A1192))), AN1191))</f>
        <v/>
      </c>
      <c r="AO1192" s="79">
        <f>IF(AN1192="","",IF(AD1192=0,"OK",_xlfn.LET(monedaPago, IF(AA1192="","USD",AA1192), limitePermitido, IFERROR(VLOOKUP(monedaPago, Configuración!$A$2:$B$3, 2, FALSE), 0.15), IF(AD1192&gt;limitePermitido, "ALERTA: EXCESO (" &amp; TEXT(limitePermitido, "0%") &amp; " máx)", "OK"))))</f>
        <v/>
      </c>
      <c r="AP1192" s="79">
        <f>IF(AN1192="","",IF(AE1192=0,"OK",_xlfn.LET(fechaPago, Z1192, fechaFactura, R1192, diasCredito, IF(E1192="Pago inmediato", 0, IFERROR(VALUE(MID(E1192, 1, SEARCH(" ", E1192)-1)),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92" s="79">
        <f>IF(AN1192="","",IF(AND(N1192&gt;0, AG1192&gt;0), IF(Configuración!$K$2="NO", "ALERTA: DESCUENTO DOBLE NO PERMITIDO", "OK"), "OK"))</f>
        <v/>
      </c>
      <c r="AR1192" s="79">
        <f>IF(AN1192="","",IF(OR(AO1192&lt;&gt;"OK", AP1192&lt;&gt;"OK", AQ1192&lt;&gt;"OK"), "⚠️ REVISAR", "OK"))</f>
        <v/>
      </c>
    </row>
    <row r="1193">
      <c r="A1193" s="79">
        <f>IF('Ordenes_Odoo'!A1193="","",'Ordenes_Odoo'!A1193)</f>
        <v/>
      </c>
      <c r="B1193" s="80">
        <f>IF('Ordenes_Odoo'!B1193="","",'Ordenes_Odoo'!B1193)</f>
        <v/>
      </c>
      <c r="C1193" s="79">
        <f>IF('Ordenes_Odoo'!C1193="","",'Ordenes_Odoo'!C1193)</f>
        <v/>
      </c>
      <c r="D1193" s="79">
        <f>IF('Ordenes_Odoo'!D1193="","",'Ordenes_Odoo'!D1193)</f>
        <v/>
      </c>
      <c r="E1193" s="79">
        <f>IF('Ordenes_Odoo'!E1193="","",'Ordenes_Odoo'!E1193)</f>
        <v/>
      </c>
      <c r="F1193" s="79">
        <f>IF('Ordenes_Odoo'!F1193="","",'Ordenes_Odoo'!F1193)</f>
        <v/>
      </c>
      <c r="G1193" s="79">
        <f>IF('Ordenes_Odoo'!G1193="","",'Ordenes_Odoo'!G1193)</f>
        <v/>
      </c>
      <c r="H1193" s="79">
        <f>IF('Ordenes_Odoo'!H1193="","",'Ordenes_Odoo'!H1193)</f>
        <v/>
      </c>
      <c r="I1193" s="79">
        <f>IF('Ordenes_Odoo'!I1193="","",'Ordenes_Odoo'!I1193)</f>
        <v/>
      </c>
      <c r="J1193" s="79">
        <f>IF('Ordenes_Odoo'!J1193="","",'Ordenes_Odoo'!J1193)</f>
        <v/>
      </c>
      <c r="K1193" s="81">
        <f>IF('Ordenes_Odoo'!K1193="","",'Ordenes_Odoo'!K1193)</f>
        <v/>
      </c>
      <c r="L1193" s="81">
        <f>IF('Ordenes_Odoo'!L1193="","",'Ordenes_Odoo'!L1193)</f>
        <v/>
      </c>
      <c r="M1193" s="79">
        <f>IF('Ordenes_Odoo'!M1193="","",'Ordenes_Odoo'!M1193)</f>
        <v/>
      </c>
      <c r="N1193" s="79">
        <f>IF('Ordenes_Odoo'!N1193="","",'Ordenes_Odoo'!N1193)</f>
        <v/>
      </c>
      <c r="O1193" s="81">
        <f>IF('Ordenes_Odoo'!O1193="","",'Ordenes_Odoo'!O1193)</f>
        <v/>
      </c>
      <c r="P1193" s="81">
        <f>IF('Ordenes_Odoo'!P1193="","",'Ordenes_Odoo'!P1193)</f>
        <v/>
      </c>
      <c r="Q1193" s="79">
        <f>IF(A1193="","",IFERROR(INDEX(Facturas_Odoo!$B:$B, MATCH(A1193, Facturas_Odoo!$D:$D, 0)), "Sin Factura"))</f>
        <v/>
      </c>
      <c r="R1193" s="80">
        <f>IF(Q1193="Sin Factura","",IFERROR(INDEX(Facturas_Odoo!$A:$A, MATCH(Q1193, Facturas_Odoo!$B:$B, 0)), ""))</f>
        <v/>
      </c>
      <c r="S1193" s="79">
        <f>IF(Q1193="Sin Factura","",IFERROR(_xlfn.XLOOKUP(1, (Facturas_Odoo!$D:$D=A1193) * (Facturas_Odoo!$K:$K=I1193), Facturas_Odoo!$L:$L, ""), ""))</f>
        <v/>
      </c>
      <c r="T1193" s="81">
        <f>IF(Q1193="Sin Factura",0,IFERROR(_xlfn.XLOOKUP(1, (Facturas_Odoo!$D:$D=A1193) * (Facturas_Odoo!$K:$K=I1193), Facturas_Odoo!$M:$M, 0), 0))</f>
        <v/>
      </c>
      <c r="U1193" s="79">
        <f>IF(Q1193="Sin Factura",0,IFERROR(_xlfn.XLOOKUP(1, (Facturas_Odoo!$D:$D=A1193) * (Facturas_Odoo!$K:$K=I1193), Facturas_Odoo!$N:$N, 0), 0))</f>
        <v/>
      </c>
      <c r="V1193" s="79">
        <f>IF(Q1193="Sin Factura",0,IFERROR(_xlfn.XLOOKUP(1, (Facturas_Odoo!$D:$D=A1193) * (Facturas_Odoo!$K:$K=I1193), Facturas_Odoo!$O:$O, 0), 0))</f>
        <v/>
      </c>
      <c r="W1193" s="81">
        <f>IF(Q1193="Sin Factura",0,IFERROR(_xlfn.XLOOKUP(1, (Facturas_Odoo!$D:$D=A1193) * (Facturas_Odoo!$K:$K=I1193), Facturas_Odoo!$Q:$Q, 0), 0))</f>
        <v/>
      </c>
      <c r="X1193" s="79">
        <f>IF(OR(Q1193="Sin Factura",Q1193=""),"",IFERROR(INDEX(Pagos_Odoo!$B:$B, MATCH(Q1193, Pagos_Odoo!$I:$I, 0)), "Sin Pago"))</f>
        <v/>
      </c>
      <c r="Y1193" s="79">
        <f>IF(X1193="Sin Pago","",IFERROR(INDEX(Pagos_Odoo!$C:$C, MATCH(X1193, Pagos_Odoo!$B:$B, 0)), ""))</f>
        <v/>
      </c>
      <c r="Z1193" s="80">
        <f>IF(X1193="Sin Pago","",IFERROR(INDEX(Pagos_Odoo!$A:$A, MATCH(X1193, Pagos_Odoo!$B:$B, 0)), ""))</f>
        <v/>
      </c>
      <c r="AA1193" s="79">
        <f>IF(X1193="Sin Pago","",IFERROR(INDEX(Pagos_Odoo!$F:$F, MATCH(X1193, Pagos_Odoo!$B:$B, 0)), ""))</f>
        <v/>
      </c>
      <c r="AB1193" s="81">
        <f>IF(X1193="Sin Pago",0,IFERROR(INDEX(Pagos_Odoo!$E:$E, MATCH(X1193, Pagos_Odoo!$B:$B, 0)), 0))</f>
        <v/>
      </c>
      <c r="AC1193" s="79">
        <f>IF(X1193="Sin Pago","",IFERROR(INDEX(Pagos_Odoo!$G:$G, MATCH(X1193, Pagos_Odoo!$B:$B, 0)), ""))</f>
        <v/>
      </c>
      <c r="AD1193" s="82" t="n">
        <v>0</v>
      </c>
      <c r="AE1193" s="82" t="n"/>
      <c r="AF1193" s="82" t="n"/>
      <c r="AG1193" s="82">
        <f>IF(AN1193="","",AD1193+AE1193+AF1193)</f>
        <v/>
      </c>
      <c r="AH1193" s="81">
        <f>IF(AN1193="","",P1193*(1-AG1193))</f>
        <v/>
      </c>
      <c r="AI1193" s="81">
        <f>IF(AN1193="","",IF(Q1193="Sin Factura",0,IFERROR(INDEX(Facturas_Odoo!$H:$H, MATCH(Q1193, Facturas_Odoo!$B:$B, 0)), 0)*(1-AG1193)))</f>
        <v/>
      </c>
      <c r="AJ1193" s="81">
        <f>IF(AN1193="","",_xlfn.LET(idVenta, AN1193&amp;"",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93" s="81">
        <f>IF(AN1193="","",AH1193-AJ1193)</f>
        <v/>
      </c>
      <c r="AL1193" s="81">
        <f>IF(AN1193="","",IF(Q1193="Sin Factura","",AI1193-AJ1193))</f>
        <v/>
      </c>
      <c r="AM1193" s="81">
        <f>IF(AN1193="","",IF(Q1193="Sin Factura",0,P1193-IFERROR(INDEX(Facturas_Odoo!$H:$H, MATCH(Q1193, Facturas_Odoo!$B:$B, 0)), 0)))</f>
        <v/>
      </c>
      <c r="AN1193" s="79">
        <f>IF(AND(A1193="", J1193=""), "", IF(A1193&lt;&gt;"", VALUE(MID(A1193,2,LEN(A1193))), AN1192))</f>
        <v/>
      </c>
      <c r="AO1193" s="79">
        <f>IF(AN1193="","",IF(AD1193=0,"OK",_xlfn.LET(monedaPago, IF(AA1193="","USD",AA1193), limitePermitido, IFERROR(VLOOKUP(monedaPago, Configuración!$A$2:$B$3, 2, FALSE), 0.15), IF(AD1193&gt;limitePermitido, "ALERTA: EXCESO (" &amp; TEXT(limitePermitido, "0%") &amp; " máx)", "OK"))))</f>
        <v/>
      </c>
      <c r="AP1193" s="79">
        <f>IF(AN1193="","",IF(AE1193=0,"OK",_xlfn.LET(fechaPago, Z1193, fechaFactura, R1193, diasCredito, IF(E1193="Pago inmediato", 0, IFERROR(VALUE(MID(E1193, 1, SEARCH(" ", E1193)-1)),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93" s="79">
        <f>IF(AN1193="","",IF(AND(N1193&gt;0, AG1193&gt;0), IF(Configuración!$K$2="NO", "ALERTA: DESCUENTO DOBLE NO PERMITIDO", "OK"), "OK"))</f>
        <v/>
      </c>
      <c r="AR1193" s="79">
        <f>IF(AN1193="","",IF(OR(AO1193&lt;&gt;"OK", AP1193&lt;&gt;"OK", AQ1193&lt;&gt;"OK"), "⚠️ REVISAR", "OK"))</f>
        <v/>
      </c>
    </row>
    <row r="1194">
      <c r="A1194" s="79">
        <f>IF('Ordenes_Odoo'!A1194="","",'Ordenes_Odoo'!A1194)</f>
        <v/>
      </c>
      <c r="B1194" s="80">
        <f>IF('Ordenes_Odoo'!B1194="","",'Ordenes_Odoo'!B1194)</f>
        <v/>
      </c>
      <c r="C1194" s="79">
        <f>IF('Ordenes_Odoo'!C1194="","",'Ordenes_Odoo'!C1194)</f>
        <v/>
      </c>
      <c r="D1194" s="79">
        <f>IF('Ordenes_Odoo'!D1194="","",'Ordenes_Odoo'!D1194)</f>
        <v/>
      </c>
      <c r="E1194" s="79">
        <f>IF('Ordenes_Odoo'!E1194="","",'Ordenes_Odoo'!E1194)</f>
        <v/>
      </c>
      <c r="F1194" s="79">
        <f>IF('Ordenes_Odoo'!F1194="","",'Ordenes_Odoo'!F1194)</f>
        <v/>
      </c>
      <c r="G1194" s="79">
        <f>IF('Ordenes_Odoo'!G1194="","",'Ordenes_Odoo'!G1194)</f>
        <v/>
      </c>
      <c r="H1194" s="79">
        <f>IF('Ordenes_Odoo'!H1194="","",'Ordenes_Odoo'!H1194)</f>
        <v/>
      </c>
      <c r="I1194" s="79">
        <f>IF('Ordenes_Odoo'!I1194="","",'Ordenes_Odoo'!I1194)</f>
        <v/>
      </c>
      <c r="J1194" s="79">
        <f>IF('Ordenes_Odoo'!J1194="","",'Ordenes_Odoo'!J1194)</f>
        <v/>
      </c>
      <c r="K1194" s="81">
        <f>IF('Ordenes_Odoo'!K1194="","",'Ordenes_Odoo'!K1194)</f>
        <v/>
      </c>
      <c r="L1194" s="81">
        <f>IF('Ordenes_Odoo'!L1194="","",'Ordenes_Odoo'!L1194)</f>
        <v/>
      </c>
      <c r="M1194" s="79">
        <f>IF('Ordenes_Odoo'!M1194="","",'Ordenes_Odoo'!M1194)</f>
        <v/>
      </c>
      <c r="N1194" s="79">
        <f>IF('Ordenes_Odoo'!N1194="","",'Ordenes_Odoo'!N1194)</f>
        <v/>
      </c>
      <c r="O1194" s="81">
        <f>IF('Ordenes_Odoo'!O1194="","",'Ordenes_Odoo'!O1194)</f>
        <v/>
      </c>
      <c r="P1194" s="81">
        <f>IF('Ordenes_Odoo'!P1194="","",'Ordenes_Odoo'!P1194)</f>
        <v/>
      </c>
      <c r="Q1194" s="79">
        <f>IF(A1194="","",IFERROR(INDEX(Facturas_Odoo!$B:$B, MATCH(A1194, Facturas_Odoo!$D:$D, 0)), "Sin Factura"))</f>
        <v/>
      </c>
      <c r="R1194" s="80">
        <f>IF(Q1194="Sin Factura","",IFERROR(INDEX(Facturas_Odoo!$A:$A, MATCH(Q1194, Facturas_Odoo!$B:$B, 0)), ""))</f>
        <v/>
      </c>
      <c r="S1194" s="79">
        <f>IF(Q1194="Sin Factura","",IFERROR(_xlfn.XLOOKUP(1, (Facturas_Odoo!$D:$D=A1194) * (Facturas_Odoo!$K:$K=I1194), Facturas_Odoo!$L:$L, ""), ""))</f>
        <v/>
      </c>
      <c r="T1194" s="81">
        <f>IF(Q1194="Sin Factura",0,IFERROR(_xlfn.XLOOKUP(1, (Facturas_Odoo!$D:$D=A1194) * (Facturas_Odoo!$K:$K=I1194), Facturas_Odoo!$M:$M, 0), 0))</f>
        <v/>
      </c>
      <c r="U1194" s="79">
        <f>IF(Q1194="Sin Factura",0,IFERROR(_xlfn.XLOOKUP(1, (Facturas_Odoo!$D:$D=A1194) * (Facturas_Odoo!$K:$K=I1194), Facturas_Odoo!$N:$N, 0), 0))</f>
        <v/>
      </c>
      <c r="V1194" s="79">
        <f>IF(Q1194="Sin Factura",0,IFERROR(_xlfn.XLOOKUP(1, (Facturas_Odoo!$D:$D=A1194) * (Facturas_Odoo!$K:$K=I1194), Facturas_Odoo!$O:$O, 0), 0))</f>
        <v/>
      </c>
      <c r="W1194" s="81">
        <f>IF(Q1194="Sin Factura",0,IFERROR(_xlfn.XLOOKUP(1, (Facturas_Odoo!$D:$D=A1194) * (Facturas_Odoo!$K:$K=I1194), Facturas_Odoo!$Q:$Q, 0), 0))</f>
        <v/>
      </c>
      <c r="X1194" s="79">
        <f>IF(OR(Q1194="Sin Factura",Q1194=""),"",IFERROR(INDEX(Pagos_Odoo!$B:$B, MATCH(Q1194, Pagos_Odoo!$I:$I, 0)), "Sin Pago"))</f>
        <v/>
      </c>
      <c r="Y1194" s="79">
        <f>IF(X1194="Sin Pago","",IFERROR(INDEX(Pagos_Odoo!$C:$C, MATCH(X1194, Pagos_Odoo!$B:$B, 0)), ""))</f>
        <v/>
      </c>
      <c r="Z1194" s="80">
        <f>IF(X1194="Sin Pago","",IFERROR(INDEX(Pagos_Odoo!$A:$A, MATCH(X1194, Pagos_Odoo!$B:$B, 0)), ""))</f>
        <v/>
      </c>
      <c r="AA1194" s="79">
        <f>IF(X1194="Sin Pago","",IFERROR(INDEX(Pagos_Odoo!$F:$F, MATCH(X1194, Pagos_Odoo!$B:$B, 0)), ""))</f>
        <v/>
      </c>
      <c r="AB1194" s="81">
        <f>IF(X1194="Sin Pago",0,IFERROR(INDEX(Pagos_Odoo!$E:$E, MATCH(X1194, Pagos_Odoo!$B:$B, 0)), 0))</f>
        <v/>
      </c>
      <c r="AC1194" s="79">
        <f>IF(X1194="Sin Pago","",IFERROR(INDEX(Pagos_Odoo!$G:$G, MATCH(X1194, Pagos_Odoo!$B:$B, 0)), ""))</f>
        <v/>
      </c>
      <c r="AD1194" s="82" t="n">
        <v>0</v>
      </c>
      <c r="AE1194" s="82" t="n"/>
      <c r="AF1194" s="82" t="n"/>
      <c r="AG1194" s="82">
        <f>IF(AN1194="","",AD1194+AE1194+AF1194)</f>
        <v/>
      </c>
      <c r="AH1194" s="81">
        <f>IF(AN1194="","",P1194*(1-AG1194))</f>
        <v/>
      </c>
      <c r="AI1194" s="81">
        <f>IF(AN1194="","",IF(Q1194="Sin Factura",0,IFERROR(INDEX(Facturas_Odoo!$H:$H, MATCH(Q1194, Facturas_Odoo!$B:$B, 0)), 0)*(1-AG1194)))</f>
        <v/>
      </c>
      <c r="AJ1194" s="81">
        <f>IF(AN1194="","",_xlfn.LET(idVenta, AN1194&amp;"",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94" s="81">
        <f>IF(AN1194="","",AH1194-AJ1194)</f>
        <v/>
      </c>
      <c r="AL1194" s="81">
        <f>IF(AN1194="","",IF(Q1194="Sin Factura","",AI1194-AJ1194))</f>
        <v/>
      </c>
      <c r="AM1194" s="81">
        <f>IF(AN1194="","",IF(Q1194="Sin Factura",0,P1194-IFERROR(INDEX(Facturas_Odoo!$H:$H, MATCH(Q1194, Facturas_Odoo!$B:$B, 0)), 0)))</f>
        <v/>
      </c>
      <c r="AN1194" s="79">
        <f>IF(AND(A1194="", J1194=""), "", IF(A1194&lt;&gt;"", VALUE(MID(A1194,2,LEN(A1194))), AN1193))</f>
        <v/>
      </c>
      <c r="AO1194" s="79">
        <f>IF(AN1194="","",IF(AD1194=0,"OK",_xlfn.LET(monedaPago, IF(AA1194="","USD",AA1194), limitePermitido, IFERROR(VLOOKUP(monedaPago, Configuración!$A$2:$B$3, 2, FALSE), 0.15), IF(AD1194&gt;limitePermitido, "ALERTA: EXCESO (" &amp; TEXT(limitePermitido, "0%") &amp; " máx)", "OK"))))</f>
        <v/>
      </c>
      <c r="AP1194" s="79">
        <f>IF(AN1194="","",IF(AE1194=0,"OK",_xlfn.LET(fechaPago, Z1194, fechaFactura, R1194, diasCredito, IF(E1194="Pago inmediato", 0, IFERROR(VALUE(MID(E1194, 1, SEARCH(" ", E1194)-1)),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94" s="79">
        <f>IF(AN1194="","",IF(AND(N1194&gt;0, AG1194&gt;0), IF(Configuración!$K$2="NO", "ALERTA: DESCUENTO DOBLE NO PERMITIDO", "OK"), "OK"))</f>
        <v/>
      </c>
      <c r="AR1194" s="79">
        <f>IF(AN1194="","",IF(OR(AO1194&lt;&gt;"OK", AP1194&lt;&gt;"OK", AQ1194&lt;&gt;"OK"), "⚠️ REVISAR", "OK"))</f>
        <v/>
      </c>
    </row>
    <row r="1195">
      <c r="A1195" s="79">
        <f>IF('Ordenes_Odoo'!A1195="","",'Ordenes_Odoo'!A1195)</f>
        <v/>
      </c>
      <c r="B1195" s="80">
        <f>IF('Ordenes_Odoo'!B1195="","",'Ordenes_Odoo'!B1195)</f>
        <v/>
      </c>
      <c r="C1195" s="79">
        <f>IF('Ordenes_Odoo'!C1195="","",'Ordenes_Odoo'!C1195)</f>
        <v/>
      </c>
      <c r="D1195" s="79">
        <f>IF('Ordenes_Odoo'!D1195="","",'Ordenes_Odoo'!D1195)</f>
        <v/>
      </c>
      <c r="E1195" s="79">
        <f>IF('Ordenes_Odoo'!E1195="","",'Ordenes_Odoo'!E1195)</f>
        <v/>
      </c>
      <c r="F1195" s="79">
        <f>IF('Ordenes_Odoo'!F1195="","",'Ordenes_Odoo'!F1195)</f>
        <v/>
      </c>
      <c r="G1195" s="79">
        <f>IF('Ordenes_Odoo'!G1195="","",'Ordenes_Odoo'!G1195)</f>
        <v/>
      </c>
      <c r="H1195" s="79">
        <f>IF('Ordenes_Odoo'!H1195="","",'Ordenes_Odoo'!H1195)</f>
        <v/>
      </c>
      <c r="I1195" s="79">
        <f>IF('Ordenes_Odoo'!I1195="","",'Ordenes_Odoo'!I1195)</f>
        <v/>
      </c>
      <c r="J1195" s="79">
        <f>IF('Ordenes_Odoo'!J1195="","",'Ordenes_Odoo'!J1195)</f>
        <v/>
      </c>
      <c r="K1195" s="81">
        <f>IF('Ordenes_Odoo'!K1195="","",'Ordenes_Odoo'!K1195)</f>
        <v/>
      </c>
      <c r="L1195" s="81">
        <f>IF('Ordenes_Odoo'!L1195="","",'Ordenes_Odoo'!L1195)</f>
        <v/>
      </c>
      <c r="M1195" s="79">
        <f>IF('Ordenes_Odoo'!M1195="","",'Ordenes_Odoo'!M1195)</f>
        <v/>
      </c>
      <c r="N1195" s="79">
        <f>IF('Ordenes_Odoo'!N1195="","",'Ordenes_Odoo'!N1195)</f>
        <v/>
      </c>
      <c r="O1195" s="81">
        <f>IF('Ordenes_Odoo'!O1195="","",'Ordenes_Odoo'!O1195)</f>
        <v/>
      </c>
      <c r="P1195" s="81">
        <f>IF('Ordenes_Odoo'!P1195="","",'Ordenes_Odoo'!P1195)</f>
        <v/>
      </c>
      <c r="Q1195" s="79">
        <f>IF(A1195="","",IFERROR(INDEX(Facturas_Odoo!$B:$B, MATCH(A1195, Facturas_Odoo!$D:$D, 0)), "Sin Factura"))</f>
        <v/>
      </c>
      <c r="R1195" s="80">
        <f>IF(Q1195="Sin Factura","",IFERROR(INDEX(Facturas_Odoo!$A:$A, MATCH(Q1195, Facturas_Odoo!$B:$B, 0)), ""))</f>
        <v/>
      </c>
      <c r="S1195" s="79">
        <f>IF(Q1195="Sin Factura","",IFERROR(_xlfn.XLOOKUP(1, (Facturas_Odoo!$D:$D=A1195) * (Facturas_Odoo!$K:$K=I1195), Facturas_Odoo!$L:$L, ""), ""))</f>
        <v/>
      </c>
      <c r="T1195" s="81">
        <f>IF(Q1195="Sin Factura",0,IFERROR(_xlfn.XLOOKUP(1, (Facturas_Odoo!$D:$D=A1195) * (Facturas_Odoo!$K:$K=I1195), Facturas_Odoo!$M:$M, 0), 0))</f>
        <v/>
      </c>
      <c r="U1195" s="79">
        <f>IF(Q1195="Sin Factura",0,IFERROR(_xlfn.XLOOKUP(1, (Facturas_Odoo!$D:$D=A1195) * (Facturas_Odoo!$K:$K=I1195), Facturas_Odoo!$N:$N, 0), 0))</f>
        <v/>
      </c>
      <c r="V1195" s="79">
        <f>IF(Q1195="Sin Factura",0,IFERROR(_xlfn.XLOOKUP(1, (Facturas_Odoo!$D:$D=A1195) * (Facturas_Odoo!$K:$K=I1195), Facturas_Odoo!$O:$O, 0), 0))</f>
        <v/>
      </c>
      <c r="W1195" s="81">
        <f>IF(Q1195="Sin Factura",0,IFERROR(_xlfn.XLOOKUP(1, (Facturas_Odoo!$D:$D=A1195) * (Facturas_Odoo!$K:$K=I1195), Facturas_Odoo!$Q:$Q, 0), 0))</f>
        <v/>
      </c>
      <c r="X1195" s="79">
        <f>IF(OR(Q1195="Sin Factura",Q1195=""),"",IFERROR(INDEX(Pagos_Odoo!$B:$B, MATCH(Q1195, Pagos_Odoo!$I:$I, 0)), "Sin Pago"))</f>
        <v/>
      </c>
      <c r="Y1195" s="79">
        <f>IF(X1195="Sin Pago","",IFERROR(INDEX(Pagos_Odoo!$C:$C, MATCH(X1195, Pagos_Odoo!$B:$B, 0)), ""))</f>
        <v/>
      </c>
      <c r="Z1195" s="80">
        <f>IF(X1195="Sin Pago","",IFERROR(INDEX(Pagos_Odoo!$A:$A, MATCH(X1195, Pagos_Odoo!$B:$B, 0)), ""))</f>
        <v/>
      </c>
      <c r="AA1195" s="79">
        <f>IF(X1195="Sin Pago","",IFERROR(INDEX(Pagos_Odoo!$F:$F, MATCH(X1195, Pagos_Odoo!$B:$B, 0)), ""))</f>
        <v/>
      </c>
      <c r="AB1195" s="81">
        <f>IF(X1195="Sin Pago",0,IFERROR(INDEX(Pagos_Odoo!$E:$E, MATCH(X1195, Pagos_Odoo!$B:$B, 0)), 0))</f>
        <v/>
      </c>
      <c r="AC1195" s="79">
        <f>IF(X1195="Sin Pago","",IFERROR(INDEX(Pagos_Odoo!$G:$G, MATCH(X1195, Pagos_Odoo!$B:$B, 0)), ""))</f>
        <v/>
      </c>
      <c r="AD1195" s="82" t="n">
        <v>0</v>
      </c>
      <c r="AE1195" s="82" t="n"/>
      <c r="AF1195" s="82" t="n"/>
      <c r="AG1195" s="82">
        <f>IF(AN1195="","",AD1195+AE1195+AF1195)</f>
        <v/>
      </c>
      <c r="AH1195" s="81">
        <f>IF(AN1195="","",P1195*(1-AG1195))</f>
        <v/>
      </c>
      <c r="AI1195" s="81">
        <f>IF(AN1195="","",IF(Q1195="Sin Factura",0,IFERROR(INDEX(Facturas_Odoo!$H:$H, MATCH(Q1195, Facturas_Odoo!$B:$B, 0)), 0)*(1-AG1195)))</f>
        <v/>
      </c>
      <c r="AJ1195" s="81">
        <f>IF(AN1195="","",_xlfn.LET(idVenta, AN1195&amp;"",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95" s="81">
        <f>IF(AN1195="","",AH1195-AJ1195)</f>
        <v/>
      </c>
      <c r="AL1195" s="81">
        <f>IF(AN1195="","",IF(Q1195="Sin Factura","",AI1195-AJ1195))</f>
        <v/>
      </c>
      <c r="AM1195" s="81">
        <f>IF(AN1195="","",IF(Q1195="Sin Factura",0,P1195-IFERROR(INDEX(Facturas_Odoo!$H:$H, MATCH(Q1195, Facturas_Odoo!$B:$B, 0)), 0)))</f>
        <v/>
      </c>
      <c r="AN1195" s="79">
        <f>IF(AND(A1195="", J1195=""), "", IF(A1195&lt;&gt;"", VALUE(MID(A1195,2,LEN(A1195))), AN1194))</f>
        <v/>
      </c>
      <c r="AO1195" s="79">
        <f>IF(AN1195="","",IF(AD1195=0,"OK",_xlfn.LET(monedaPago, IF(AA1195="","USD",AA1195), limitePermitido, IFERROR(VLOOKUP(monedaPago, Configuración!$A$2:$B$3, 2, FALSE), 0.15), IF(AD1195&gt;limitePermitido, "ALERTA: EXCESO (" &amp; TEXT(limitePermitido, "0%") &amp; " máx)", "OK"))))</f>
        <v/>
      </c>
      <c r="AP1195" s="79">
        <f>IF(AN1195="","",IF(AE1195=0,"OK",_xlfn.LET(fechaPago, Z1195, fechaFactura, R1195, diasCredito, IF(E1195="Pago inmediato", 0, IFERROR(VALUE(MID(E1195, 1, SEARCH(" ", E1195)-1)),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95" s="79">
        <f>IF(AN1195="","",IF(AND(N1195&gt;0, AG1195&gt;0), IF(Configuración!$K$2="NO", "ALERTA: DESCUENTO DOBLE NO PERMITIDO", "OK"), "OK"))</f>
        <v/>
      </c>
      <c r="AR1195" s="79">
        <f>IF(AN1195="","",IF(OR(AO1195&lt;&gt;"OK", AP1195&lt;&gt;"OK", AQ1195&lt;&gt;"OK"), "⚠️ REVISAR", "OK"))</f>
        <v/>
      </c>
    </row>
    <row r="1196">
      <c r="A1196" s="79">
        <f>IF('Ordenes_Odoo'!A1196="","",'Ordenes_Odoo'!A1196)</f>
        <v/>
      </c>
      <c r="B1196" s="80">
        <f>IF('Ordenes_Odoo'!B1196="","",'Ordenes_Odoo'!B1196)</f>
        <v/>
      </c>
      <c r="C1196" s="79">
        <f>IF('Ordenes_Odoo'!C1196="","",'Ordenes_Odoo'!C1196)</f>
        <v/>
      </c>
      <c r="D1196" s="79">
        <f>IF('Ordenes_Odoo'!D1196="","",'Ordenes_Odoo'!D1196)</f>
        <v/>
      </c>
      <c r="E1196" s="79">
        <f>IF('Ordenes_Odoo'!E1196="","",'Ordenes_Odoo'!E1196)</f>
        <v/>
      </c>
      <c r="F1196" s="79">
        <f>IF('Ordenes_Odoo'!F1196="","",'Ordenes_Odoo'!F1196)</f>
        <v/>
      </c>
      <c r="G1196" s="79">
        <f>IF('Ordenes_Odoo'!G1196="","",'Ordenes_Odoo'!G1196)</f>
        <v/>
      </c>
      <c r="H1196" s="79">
        <f>IF('Ordenes_Odoo'!H1196="","",'Ordenes_Odoo'!H1196)</f>
        <v/>
      </c>
      <c r="I1196" s="79">
        <f>IF('Ordenes_Odoo'!I1196="","",'Ordenes_Odoo'!I1196)</f>
        <v/>
      </c>
      <c r="J1196" s="79">
        <f>IF('Ordenes_Odoo'!J1196="","",'Ordenes_Odoo'!J1196)</f>
        <v/>
      </c>
      <c r="K1196" s="81">
        <f>IF('Ordenes_Odoo'!K1196="","",'Ordenes_Odoo'!K1196)</f>
        <v/>
      </c>
      <c r="L1196" s="81">
        <f>IF('Ordenes_Odoo'!L1196="","",'Ordenes_Odoo'!L1196)</f>
        <v/>
      </c>
      <c r="M1196" s="79">
        <f>IF('Ordenes_Odoo'!M1196="","",'Ordenes_Odoo'!M1196)</f>
        <v/>
      </c>
      <c r="N1196" s="79">
        <f>IF('Ordenes_Odoo'!N1196="","",'Ordenes_Odoo'!N1196)</f>
        <v/>
      </c>
      <c r="O1196" s="81">
        <f>IF('Ordenes_Odoo'!O1196="","",'Ordenes_Odoo'!O1196)</f>
        <v/>
      </c>
      <c r="P1196" s="81">
        <f>IF('Ordenes_Odoo'!P1196="","",'Ordenes_Odoo'!P1196)</f>
        <v/>
      </c>
      <c r="Q1196" s="79">
        <f>IF(A1196="","",IFERROR(INDEX(Facturas_Odoo!$B:$B, MATCH(A1196, Facturas_Odoo!$D:$D, 0)), "Sin Factura"))</f>
        <v/>
      </c>
      <c r="R1196" s="80">
        <f>IF(Q1196="Sin Factura","",IFERROR(INDEX(Facturas_Odoo!$A:$A, MATCH(Q1196, Facturas_Odoo!$B:$B, 0)), ""))</f>
        <v/>
      </c>
      <c r="S1196" s="79">
        <f>IF(Q1196="Sin Factura","",IFERROR(_xlfn.XLOOKUP(1, (Facturas_Odoo!$D:$D=A1196) * (Facturas_Odoo!$K:$K=I1196), Facturas_Odoo!$L:$L, ""), ""))</f>
        <v/>
      </c>
      <c r="T1196" s="81">
        <f>IF(Q1196="Sin Factura",0,IFERROR(_xlfn.XLOOKUP(1, (Facturas_Odoo!$D:$D=A1196) * (Facturas_Odoo!$K:$K=I1196), Facturas_Odoo!$M:$M, 0), 0))</f>
        <v/>
      </c>
      <c r="U1196" s="79">
        <f>IF(Q1196="Sin Factura",0,IFERROR(_xlfn.XLOOKUP(1, (Facturas_Odoo!$D:$D=A1196) * (Facturas_Odoo!$K:$K=I1196), Facturas_Odoo!$N:$N, 0), 0))</f>
        <v/>
      </c>
      <c r="V1196" s="79">
        <f>IF(Q1196="Sin Factura",0,IFERROR(_xlfn.XLOOKUP(1, (Facturas_Odoo!$D:$D=A1196) * (Facturas_Odoo!$K:$K=I1196), Facturas_Odoo!$O:$O, 0), 0))</f>
        <v/>
      </c>
      <c r="W1196" s="81">
        <f>IF(Q1196="Sin Factura",0,IFERROR(_xlfn.XLOOKUP(1, (Facturas_Odoo!$D:$D=A1196) * (Facturas_Odoo!$K:$K=I1196), Facturas_Odoo!$Q:$Q, 0), 0))</f>
        <v/>
      </c>
      <c r="X1196" s="79">
        <f>IF(OR(Q1196="Sin Factura",Q1196=""),"",IFERROR(INDEX(Pagos_Odoo!$B:$B, MATCH(Q1196, Pagos_Odoo!$I:$I, 0)), "Sin Pago"))</f>
        <v/>
      </c>
      <c r="Y1196" s="79">
        <f>IF(X1196="Sin Pago","",IFERROR(INDEX(Pagos_Odoo!$C:$C, MATCH(X1196, Pagos_Odoo!$B:$B, 0)), ""))</f>
        <v/>
      </c>
      <c r="Z1196" s="80">
        <f>IF(X1196="Sin Pago","",IFERROR(INDEX(Pagos_Odoo!$A:$A, MATCH(X1196, Pagos_Odoo!$B:$B, 0)), ""))</f>
        <v/>
      </c>
      <c r="AA1196" s="79">
        <f>IF(X1196="Sin Pago","",IFERROR(INDEX(Pagos_Odoo!$F:$F, MATCH(X1196, Pagos_Odoo!$B:$B, 0)), ""))</f>
        <v/>
      </c>
      <c r="AB1196" s="81">
        <f>IF(X1196="Sin Pago",0,IFERROR(INDEX(Pagos_Odoo!$E:$E, MATCH(X1196, Pagos_Odoo!$B:$B, 0)), 0))</f>
        <v/>
      </c>
      <c r="AC1196" s="79">
        <f>IF(X1196="Sin Pago","",IFERROR(INDEX(Pagos_Odoo!$G:$G, MATCH(X1196, Pagos_Odoo!$B:$B, 0)), ""))</f>
        <v/>
      </c>
      <c r="AD1196" s="82" t="n">
        <v>0</v>
      </c>
      <c r="AE1196" s="82" t="n"/>
      <c r="AF1196" s="82" t="n"/>
      <c r="AG1196" s="82">
        <f>IF(AN1196="","",AD1196+AE1196+AF1196)</f>
        <v/>
      </c>
      <c r="AH1196" s="81">
        <f>IF(AN1196="","",P1196*(1-AG1196))</f>
        <v/>
      </c>
      <c r="AI1196" s="81">
        <f>IF(AN1196="","",IF(Q1196="Sin Factura",0,IFERROR(INDEX(Facturas_Odoo!$H:$H, MATCH(Q1196, Facturas_Odoo!$B:$B, 0)), 0)*(1-AG1196)))</f>
        <v/>
      </c>
      <c r="AJ1196" s="81">
        <f>IF(AN1196="","",_xlfn.LET(idVenta, AN1196&amp;"",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96" s="81">
        <f>IF(AN1196="","",AH1196-AJ1196)</f>
        <v/>
      </c>
      <c r="AL1196" s="81">
        <f>IF(AN1196="","",IF(Q1196="Sin Factura","",AI1196-AJ1196))</f>
        <v/>
      </c>
      <c r="AM1196" s="81">
        <f>IF(AN1196="","",IF(Q1196="Sin Factura",0,P1196-IFERROR(INDEX(Facturas_Odoo!$H:$H, MATCH(Q1196, Facturas_Odoo!$B:$B, 0)), 0)))</f>
        <v/>
      </c>
      <c r="AN1196" s="79">
        <f>IF(AND(A1196="", J1196=""), "", IF(A1196&lt;&gt;"", VALUE(MID(A1196,2,LEN(A1196))), AN1195))</f>
        <v/>
      </c>
      <c r="AO1196" s="79">
        <f>IF(AN1196="","",IF(AD1196=0,"OK",_xlfn.LET(monedaPago, IF(AA1196="","USD",AA1196), limitePermitido, IFERROR(VLOOKUP(monedaPago, Configuración!$A$2:$B$3, 2, FALSE), 0.15), IF(AD1196&gt;limitePermitido, "ALERTA: EXCESO (" &amp; TEXT(limitePermitido, "0%") &amp; " máx)", "OK"))))</f>
        <v/>
      </c>
      <c r="AP1196" s="79">
        <f>IF(AN1196="","",IF(AE1196=0,"OK",_xlfn.LET(fechaPago, Z1196, fechaFactura, R1196, diasCredito, IF(E1196="Pago inmediato", 0, IFERROR(VALUE(MID(E1196, 1, SEARCH(" ", E1196)-1)),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96" s="79">
        <f>IF(AN1196="","",IF(AND(N1196&gt;0, AG1196&gt;0), IF(Configuración!$K$2="NO", "ALERTA: DESCUENTO DOBLE NO PERMITIDO", "OK"), "OK"))</f>
        <v/>
      </c>
      <c r="AR1196" s="79">
        <f>IF(AN1196="","",IF(OR(AO1196&lt;&gt;"OK", AP1196&lt;&gt;"OK", AQ1196&lt;&gt;"OK"), "⚠️ REVISAR", "OK"))</f>
        <v/>
      </c>
    </row>
    <row r="1197">
      <c r="A1197" s="79">
        <f>IF('Ordenes_Odoo'!A1197="","",'Ordenes_Odoo'!A1197)</f>
        <v/>
      </c>
      <c r="B1197" s="80">
        <f>IF('Ordenes_Odoo'!B1197="","",'Ordenes_Odoo'!B1197)</f>
        <v/>
      </c>
      <c r="C1197" s="79">
        <f>IF('Ordenes_Odoo'!C1197="","",'Ordenes_Odoo'!C1197)</f>
        <v/>
      </c>
      <c r="D1197" s="79">
        <f>IF('Ordenes_Odoo'!D1197="","",'Ordenes_Odoo'!D1197)</f>
        <v/>
      </c>
      <c r="E1197" s="79">
        <f>IF('Ordenes_Odoo'!E1197="","",'Ordenes_Odoo'!E1197)</f>
        <v/>
      </c>
      <c r="F1197" s="79">
        <f>IF('Ordenes_Odoo'!F1197="","",'Ordenes_Odoo'!F1197)</f>
        <v/>
      </c>
      <c r="G1197" s="79">
        <f>IF('Ordenes_Odoo'!G1197="","",'Ordenes_Odoo'!G1197)</f>
        <v/>
      </c>
      <c r="H1197" s="79">
        <f>IF('Ordenes_Odoo'!H1197="","",'Ordenes_Odoo'!H1197)</f>
        <v/>
      </c>
      <c r="I1197" s="79">
        <f>IF('Ordenes_Odoo'!I1197="","",'Ordenes_Odoo'!I1197)</f>
        <v/>
      </c>
      <c r="J1197" s="79">
        <f>IF('Ordenes_Odoo'!J1197="","",'Ordenes_Odoo'!J1197)</f>
        <v/>
      </c>
      <c r="K1197" s="81">
        <f>IF('Ordenes_Odoo'!K1197="","",'Ordenes_Odoo'!K1197)</f>
        <v/>
      </c>
      <c r="L1197" s="81">
        <f>IF('Ordenes_Odoo'!L1197="","",'Ordenes_Odoo'!L1197)</f>
        <v/>
      </c>
      <c r="M1197" s="79">
        <f>IF('Ordenes_Odoo'!M1197="","",'Ordenes_Odoo'!M1197)</f>
        <v/>
      </c>
      <c r="N1197" s="79">
        <f>IF('Ordenes_Odoo'!N1197="","",'Ordenes_Odoo'!N1197)</f>
        <v/>
      </c>
      <c r="O1197" s="81">
        <f>IF('Ordenes_Odoo'!O1197="","",'Ordenes_Odoo'!O1197)</f>
        <v/>
      </c>
      <c r="P1197" s="81">
        <f>IF('Ordenes_Odoo'!P1197="","",'Ordenes_Odoo'!P1197)</f>
        <v/>
      </c>
      <c r="Q1197" s="79">
        <f>IF(A1197="","",IFERROR(INDEX(Facturas_Odoo!$B:$B, MATCH(A1197, Facturas_Odoo!$D:$D, 0)), "Sin Factura"))</f>
        <v/>
      </c>
      <c r="R1197" s="80">
        <f>IF(Q1197="Sin Factura","",IFERROR(INDEX(Facturas_Odoo!$A:$A, MATCH(Q1197, Facturas_Odoo!$B:$B, 0)), ""))</f>
        <v/>
      </c>
      <c r="S1197" s="79">
        <f>IF(Q1197="Sin Factura","",IFERROR(_xlfn.XLOOKUP(1, (Facturas_Odoo!$D:$D=A1197) * (Facturas_Odoo!$K:$K=I1197), Facturas_Odoo!$L:$L, ""), ""))</f>
        <v/>
      </c>
      <c r="T1197" s="81">
        <f>IF(Q1197="Sin Factura",0,IFERROR(_xlfn.XLOOKUP(1, (Facturas_Odoo!$D:$D=A1197) * (Facturas_Odoo!$K:$K=I1197), Facturas_Odoo!$M:$M, 0), 0))</f>
        <v/>
      </c>
      <c r="U1197" s="79">
        <f>IF(Q1197="Sin Factura",0,IFERROR(_xlfn.XLOOKUP(1, (Facturas_Odoo!$D:$D=A1197) * (Facturas_Odoo!$K:$K=I1197), Facturas_Odoo!$N:$N, 0), 0))</f>
        <v/>
      </c>
      <c r="V1197" s="79">
        <f>IF(Q1197="Sin Factura",0,IFERROR(_xlfn.XLOOKUP(1, (Facturas_Odoo!$D:$D=A1197) * (Facturas_Odoo!$K:$K=I1197), Facturas_Odoo!$O:$O, 0), 0))</f>
        <v/>
      </c>
      <c r="W1197" s="81">
        <f>IF(Q1197="Sin Factura",0,IFERROR(_xlfn.XLOOKUP(1, (Facturas_Odoo!$D:$D=A1197) * (Facturas_Odoo!$K:$K=I1197), Facturas_Odoo!$Q:$Q, 0), 0))</f>
        <v/>
      </c>
      <c r="X1197" s="79">
        <f>IF(OR(Q1197="Sin Factura",Q1197=""),"",IFERROR(INDEX(Pagos_Odoo!$B:$B, MATCH(Q1197, Pagos_Odoo!$I:$I, 0)), "Sin Pago"))</f>
        <v/>
      </c>
      <c r="Y1197" s="79">
        <f>IF(X1197="Sin Pago","",IFERROR(INDEX(Pagos_Odoo!$C:$C, MATCH(X1197, Pagos_Odoo!$B:$B, 0)), ""))</f>
        <v/>
      </c>
      <c r="Z1197" s="80">
        <f>IF(X1197="Sin Pago","",IFERROR(INDEX(Pagos_Odoo!$A:$A, MATCH(X1197, Pagos_Odoo!$B:$B, 0)), ""))</f>
        <v/>
      </c>
      <c r="AA1197" s="79">
        <f>IF(X1197="Sin Pago","",IFERROR(INDEX(Pagos_Odoo!$F:$F, MATCH(X1197, Pagos_Odoo!$B:$B, 0)), ""))</f>
        <v/>
      </c>
      <c r="AB1197" s="81">
        <f>IF(X1197="Sin Pago",0,IFERROR(INDEX(Pagos_Odoo!$E:$E, MATCH(X1197, Pagos_Odoo!$B:$B, 0)), 0))</f>
        <v/>
      </c>
      <c r="AC1197" s="79">
        <f>IF(X1197="Sin Pago","",IFERROR(INDEX(Pagos_Odoo!$G:$G, MATCH(X1197, Pagos_Odoo!$B:$B, 0)), ""))</f>
        <v/>
      </c>
      <c r="AD1197" s="82" t="n">
        <v>0</v>
      </c>
      <c r="AE1197" s="82" t="n"/>
      <c r="AF1197" s="82" t="n"/>
      <c r="AG1197" s="82">
        <f>IF(AN1197="","",AD1197+AE1197+AF1197)</f>
        <v/>
      </c>
      <c r="AH1197" s="81">
        <f>IF(AN1197="","",P1197*(1-AG1197))</f>
        <v/>
      </c>
      <c r="AI1197" s="81">
        <f>IF(AN1197="","",IF(Q1197="Sin Factura",0,IFERROR(INDEX(Facturas_Odoo!$H:$H, MATCH(Q1197, Facturas_Odoo!$B:$B, 0)), 0)*(1-AG1197)))</f>
        <v/>
      </c>
      <c r="AJ1197" s="81">
        <f>IF(AN1197="","",_xlfn.LET(idVenta, AN1197&amp;"",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97" s="81">
        <f>IF(AN1197="","",AH1197-AJ1197)</f>
        <v/>
      </c>
      <c r="AL1197" s="81">
        <f>IF(AN1197="","",IF(Q1197="Sin Factura","",AI1197-AJ1197))</f>
        <v/>
      </c>
      <c r="AM1197" s="81">
        <f>IF(AN1197="","",IF(Q1197="Sin Factura",0,P1197-IFERROR(INDEX(Facturas_Odoo!$H:$H, MATCH(Q1197, Facturas_Odoo!$B:$B, 0)), 0)))</f>
        <v/>
      </c>
      <c r="AN1197" s="79">
        <f>IF(AND(A1197="", J1197=""), "", IF(A1197&lt;&gt;"", VALUE(MID(A1197,2,LEN(A1197))), AN1196))</f>
        <v/>
      </c>
      <c r="AO1197" s="79">
        <f>IF(AN1197="","",IF(AD1197=0,"OK",_xlfn.LET(monedaPago, IF(AA1197="","USD",AA1197), limitePermitido, IFERROR(VLOOKUP(monedaPago, Configuración!$A$2:$B$3, 2, FALSE), 0.15), IF(AD1197&gt;limitePermitido, "ALERTA: EXCESO (" &amp; TEXT(limitePermitido, "0%") &amp; " máx)", "OK"))))</f>
        <v/>
      </c>
      <c r="AP1197" s="79">
        <f>IF(AN1197="","",IF(AE1197=0,"OK",_xlfn.LET(fechaPago, Z1197, fechaFactura, R1197, diasCredito, IF(E1197="Pago inmediato", 0, IFERROR(VALUE(MID(E1197, 1, SEARCH(" ", E1197)-1)),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97" s="79">
        <f>IF(AN1197="","",IF(AND(N1197&gt;0, AG1197&gt;0), IF(Configuración!$K$2="NO", "ALERTA: DESCUENTO DOBLE NO PERMITIDO", "OK"), "OK"))</f>
        <v/>
      </c>
      <c r="AR1197" s="79">
        <f>IF(AN1197="","",IF(OR(AO1197&lt;&gt;"OK", AP1197&lt;&gt;"OK", AQ1197&lt;&gt;"OK"), "⚠️ REVISAR", "OK"))</f>
        <v/>
      </c>
    </row>
    <row r="1198">
      <c r="A1198" s="79">
        <f>IF('Ordenes_Odoo'!A1198="","",'Ordenes_Odoo'!A1198)</f>
        <v/>
      </c>
      <c r="B1198" s="80">
        <f>IF('Ordenes_Odoo'!B1198="","",'Ordenes_Odoo'!B1198)</f>
        <v/>
      </c>
      <c r="C1198" s="79">
        <f>IF('Ordenes_Odoo'!C1198="","",'Ordenes_Odoo'!C1198)</f>
        <v/>
      </c>
      <c r="D1198" s="79">
        <f>IF('Ordenes_Odoo'!D1198="","",'Ordenes_Odoo'!D1198)</f>
        <v/>
      </c>
      <c r="E1198" s="79">
        <f>IF('Ordenes_Odoo'!E1198="","",'Ordenes_Odoo'!E1198)</f>
        <v/>
      </c>
      <c r="F1198" s="79">
        <f>IF('Ordenes_Odoo'!F1198="","",'Ordenes_Odoo'!F1198)</f>
        <v/>
      </c>
      <c r="G1198" s="79">
        <f>IF('Ordenes_Odoo'!G1198="","",'Ordenes_Odoo'!G1198)</f>
        <v/>
      </c>
      <c r="H1198" s="79">
        <f>IF('Ordenes_Odoo'!H1198="","",'Ordenes_Odoo'!H1198)</f>
        <v/>
      </c>
      <c r="I1198" s="79">
        <f>IF('Ordenes_Odoo'!I1198="","",'Ordenes_Odoo'!I1198)</f>
        <v/>
      </c>
      <c r="J1198" s="79">
        <f>IF('Ordenes_Odoo'!J1198="","",'Ordenes_Odoo'!J1198)</f>
        <v/>
      </c>
      <c r="K1198" s="81">
        <f>IF('Ordenes_Odoo'!K1198="","",'Ordenes_Odoo'!K1198)</f>
        <v/>
      </c>
      <c r="L1198" s="81">
        <f>IF('Ordenes_Odoo'!L1198="","",'Ordenes_Odoo'!L1198)</f>
        <v/>
      </c>
      <c r="M1198" s="79">
        <f>IF('Ordenes_Odoo'!M1198="","",'Ordenes_Odoo'!M1198)</f>
        <v/>
      </c>
      <c r="N1198" s="79">
        <f>IF('Ordenes_Odoo'!N1198="","",'Ordenes_Odoo'!N1198)</f>
        <v/>
      </c>
      <c r="O1198" s="81">
        <f>IF('Ordenes_Odoo'!O1198="","",'Ordenes_Odoo'!O1198)</f>
        <v/>
      </c>
      <c r="P1198" s="81">
        <f>IF('Ordenes_Odoo'!P1198="","",'Ordenes_Odoo'!P1198)</f>
        <v/>
      </c>
      <c r="Q1198" s="79">
        <f>IF(A1198="","",IFERROR(INDEX(Facturas_Odoo!$B:$B, MATCH(A1198, Facturas_Odoo!$D:$D, 0)), "Sin Factura"))</f>
        <v/>
      </c>
      <c r="R1198" s="80">
        <f>IF(Q1198="Sin Factura","",IFERROR(INDEX(Facturas_Odoo!$A:$A, MATCH(Q1198, Facturas_Odoo!$B:$B, 0)), ""))</f>
        <v/>
      </c>
      <c r="S1198" s="79">
        <f>IF(Q1198="Sin Factura","",IFERROR(_xlfn.XLOOKUP(1, (Facturas_Odoo!$D:$D=A1198) * (Facturas_Odoo!$K:$K=I1198), Facturas_Odoo!$L:$L, ""), ""))</f>
        <v/>
      </c>
      <c r="T1198" s="81">
        <f>IF(Q1198="Sin Factura",0,IFERROR(_xlfn.XLOOKUP(1, (Facturas_Odoo!$D:$D=A1198) * (Facturas_Odoo!$K:$K=I1198), Facturas_Odoo!$M:$M, 0), 0))</f>
        <v/>
      </c>
      <c r="U1198" s="79">
        <f>IF(Q1198="Sin Factura",0,IFERROR(_xlfn.XLOOKUP(1, (Facturas_Odoo!$D:$D=A1198) * (Facturas_Odoo!$K:$K=I1198), Facturas_Odoo!$N:$N, 0), 0))</f>
        <v/>
      </c>
      <c r="V1198" s="79">
        <f>IF(Q1198="Sin Factura",0,IFERROR(_xlfn.XLOOKUP(1, (Facturas_Odoo!$D:$D=A1198) * (Facturas_Odoo!$K:$K=I1198), Facturas_Odoo!$O:$O, 0), 0))</f>
        <v/>
      </c>
      <c r="W1198" s="81">
        <f>IF(Q1198="Sin Factura",0,IFERROR(_xlfn.XLOOKUP(1, (Facturas_Odoo!$D:$D=A1198) * (Facturas_Odoo!$K:$K=I1198), Facturas_Odoo!$Q:$Q, 0), 0))</f>
        <v/>
      </c>
      <c r="X1198" s="79">
        <f>IF(OR(Q1198="Sin Factura",Q1198=""),"",IFERROR(INDEX(Pagos_Odoo!$B:$B, MATCH(Q1198, Pagos_Odoo!$I:$I, 0)), "Sin Pago"))</f>
        <v/>
      </c>
      <c r="Y1198" s="79">
        <f>IF(X1198="Sin Pago","",IFERROR(INDEX(Pagos_Odoo!$C:$C, MATCH(X1198, Pagos_Odoo!$B:$B, 0)), ""))</f>
        <v/>
      </c>
      <c r="Z1198" s="80">
        <f>IF(X1198="Sin Pago","",IFERROR(INDEX(Pagos_Odoo!$A:$A, MATCH(X1198, Pagos_Odoo!$B:$B, 0)), ""))</f>
        <v/>
      </c>
      <c r="AA1198" s="79">
        <f>IF(X1198="Sin Pago","",IFERROR(INDEX(Pagos_Odoo!$F:$F, MATCH(X1198, Pagos_Odoo!$B:$B, 0)), ""))</f>
        <v/>
      </c>
      <c r="AB1198" s="81">
        <f>IF(X1198="Sin Pago",0,IFERROR(INDEX(Pagos_Odoo!$E:$E, MATCH(X1198, Pagos_Odoo!$B:$B, 0)), 0))</f>
        <v/>
      </c>
      <c r="AC1198" s="79">
        <f>IF(X1198="Sin Pago","",IFERROR(INDEX(Pagos_Odoo!$G:$G, MATCH(X1198, Pagos_Odoo!$B:$B, 0)), ""))</f>
        <v/>
      </c>
      <c r="AD1198" s="82" t="n">
        <v>0</v>
      </c>
      <c r="AE1198" s="82" t="n"/>
      <c r="AF1198" s="82" t="n"/>
      <c r="AG1198" s="82">
        <f>IF(AN1198="","",AD1198+AE1198+AF1198)</f>
        <v/>
      </c>
      <c r="AH1198" s="81">
        <f>IF(AN1198="","",P1198*(1-AG1198))</f>
        <v/>
      </c>
      <c r="AI1198" s="81">
        <f>IF(AN1198="","",IF(Q1198="Sin Factura",0,IFERROR(INDEX(Facturas_Odoo!$H:$H, MATCH(Q1198, Facturas_Odoo!$B:$B, 0)), 0)*(1-AG1198)))</f>
        <v/>
      </c>
      <c r="AJ1198" s="81">
        <f>IF(AN1198="","",_xlfn.LET(idVenta, AN1198&amp;"",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98" s="81">
        <f>IF(AN1198="","",AH1198-AJ1198)</f>
        <v/>
      </c>
      <c r="AL1198" s="81">
        <f>IF(AN1198="","",IF(Q1198="Sin Factura","",AI1198-AJ1198))</f>
        <v/>
      </c>
      <c r="AM1198" s="81">
        <f>IF(AN1198="","",IF(Q1198="Sin Factura",0,P1198-IFERROR(INDEX(Facturas_Odoo!$H:$H, MATCH(Q1198, Facturas_Odoo!$B:$B, 0)), 0)))</f>
        <v/>
      </c>
      <c r="AN1198" s="79">
        <f>IF(AND(A1198="", J1198=""), "", IF(A1198&lt;&gt;"", VALUE(MID(A1198,2,LEN(A1198))), AN1197))</f>
        <v/>
      </c>
      <c r="AO1198" s="79">
        <f>IF(AN1198="","",IF(AD1198=0,"OK",_xlfn.LET(monedaPago, IF(AA1198="","USD",AA1198), limitePermitido, IFERROR(VLOOKUP(monedaPago, Configuración!$A$2:$B$3, 2, FALSE), 0.15), IF(AD1198&gt;limitePermitido, "ALERTA: EXCESO (" &amp; TEXT(limitePermitido, "0%") &amp; " máx)", "OK"))))</f>
        <v/>
      </c>
      <c r="AP1198" s="79">
        <f>IF(AN1198="","",IF(AE1198=0,"OK",_xlfn.LET(fechaPago, Z1198, fechaFactura, R1198, diasCredito, IF(E1198="Pago inmediato", 0, IFERROR(VALUE(MID(E1198, 1, SEARCH(" ", E1198)-1)),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98" s="79">
        <f>IF(AN1198="","",IF(AND(N1198&gt;0, AG1198&gt;0), IF(Configuración!$K$2="NO", "ALERTA: DESCUENTO DOBLE NO PERMITIDO", "OK"), "OK"))</f>
        <v/>
      </c>
      <c r="AR1198" s="79">
        <f>IF(AN1198="","",IF(OR(AO1198&lt;&gt;"OK", AP1198&lt;&gt;"OK", AQ1198&lt;&gt;"OK"), "⚠️ REVISAR", "OK"))</f>
        <v/>
      </c>
    </row>
    <row r="1199">
      <c r="A1199" s="79">
        <f>IF('Ordenes_Odoo'!A1199="","",'Ordenes_Odoo'!A1199)</f>
        <v/>
      </c>
      <c r="B1199" s="80">
        <f>IF('Ordenes_Odoo'!B1199="","",'Ordenes_Odoo'!B1199)</f>
        <v/>
      </c>
      <c r="C1199" s="79">
        <f>IF('Ordenes_Odoo'!C1199="","",'Ordenes_Odoo'!C1199)</f>
        <v/>
      </c>
      <c r="D1199" s="79">
        <f>IF('Ordenes_Odoo'!D1199="","",'Ordenes_Odoo'!D1199)</f>
        <v/>
      </c>
      <c r="E1199" s="79">
        <f>IF('Ordenes_Odoo'!E1199="","",'Ordenes_Odoo'!E1199)</f>
        <v/>
      </c>
      <c r="F1199" s="79">
        <f>IF('Ordenes_Odoo'!F1199="","",'Ordenes_Odoo'!F1199)</f>
        <v/>
      </c>
      <c r="G1199" s="79">
        <f>IF('Ordenes_Odoo'!G1199="","",'Ordenes_Odoo'!G1199)</f>
        <v/>
      </c>
      <c r="H1199" s="79">
        <f>IF('Ordenes_Odoo'!H1199="","",'Ordenes_Odoo'!H1199)</f>
        <v/>
      </c>
      <c r="I1199" s="79">
        <f>IF('Ordenes_Odoo'!I1199="","",'Ordenes_Odoo'!I1199)</f>
        <v/>
      </c>
      <c r="J1199" s="79">
        <f>IF('Ordenes_Odoo'!J1199="","",'Ordenes_Odoo'!J1199)</f>
        <v/>
      </c>
      <c r="K1199" s="81">
        <f>IF('Ordenes_Odoo'!K1199="","",'Ordenes_Odoo'!K1199)</f>
        <v/>
      </c>
      <c r="L1199" s="81">
        <f>IF('Ordenes_Odoo'!L1199="","",'Ordenes_Odoo'!L1199)</f>
        <v/>
      </c>
      <c r="M1199" s="79">
        <f>IF('Ordenes_Odoo'!M1199="","",'Ordenes_Odoo'!M1199)</f>
        <v/>
      </c>
      <c r="N1199" s="79">
        <f>IF('Ordenes_Odoo'!N1199="","",'Ordenes_Odoo'!N1199)</f>
        <v/>
      </c>
      <c r="O1199" s="81">
        <f>IF('Ordenes_Odoo'!O1199="","",'Ordenes_Odoo'!O1199)</f>
        <v/>
      </c>
      <c r="P1199" s="81">
        <f>IF('Ordenes_Odoo'!P1199="","",'Ordenes_Odoo'!P1199)</f>
        <v/>
      </c>
      <c r="Q1199" s="79">
        <f>IF(A1199="","",IFERROR(INDEX(Facturas_Odoo!$B:$B, MATCH(A1199, Facturas_Odoo!$D:$D, 0)), "Sin Factura"))</f>
        <v/>
      </c>
      <c r="R1199" s="80">
        <f>IF(Q1199="Sin Factura","",IFERROR(INDEX(Facturas_Odoo!$A:$A, MATCH(Q1199, Facturas_Odoo!$B:$B, 0)), ""))</f>
        <v/>
      </c>
      <c r="S1199" s="79">
        <f>IF(Q1199="Sin Factura","",IFERROR(_xlfn.XLOOKUP(1, (Facturas_Odoo!$D:$D=A1199) * (Facturas_Odoo!$K:$K=I1199), Facturas_Odoo!$L:$L, ""), ""))</f>
        <v/>
      </c>
      <c r="T1199" s="81">
        <f>IF(Q1199="Sin Factura",0,IFERROR(_xlfn.XLOOKUP(1, (Facturas_Odoo!$D:$D=A1199) * (Facturas_Odoo!$K:$K=I1199), Facturas_Odoo!$M:$M, 0), 0))</f>
        <v/>
      </c>
      <c r="U1199" s="79">
        <f>IF(Q1199="Sin Factura",0,IFERROR(_xlfn.XLOOKUP(1, (Facturas_Odoo!$D:$D=A1199) * (Facturas_Odoo!$K:$K=I1199), Facturas_Odoo!$N:$N, 0), 0))</f>
        <v/>
      </c>
      <c r="V1199" s="79">
        <f>IF(Q1199="Sin Factura",0,IFERROR(_xlfn.XLOOKUP(1, (Facturas_Odoo!$D:$D=A1199) * (Facturas_Odoo!$K:$K=I1199), Facturas_Odoo!$O:$O, 0), 0))</f>
        <v/>
      </c>
      <c r="W1199" s="81">
        <f>IF(Q1199="Sin Factura",0,IFERROR(_xlfn.XLOOKUP(1, (Facturas_Odoo!$D:$D=A1199) * (Facturas_Odoo!$K:$K=I1199), Facturas_Odoo!$Q:$Q, 0), 0))</f>
        <v/>
      </c>
      <c r="X1199" s="79">
        <f>IF(OR(Q1199="Sin Factura",Q1199=""),"",IFERROR(INDEX(Pagos_Odoo!$B:$B, MATCH(Q1199, Pagos_Odoo!$I:$I, 0)), "Sin Pago"))</f>
        <v/>
      </c>
      <c r="Y1199" s="79">
        <f>IF(X1199="Sin Pago","",IFERROR(INDEX(Pagos_Odoo!$C:$C, MATCH(X1199, Pagos_Odoo!$B:$B, 0)), ""))</f>
        <v/>
      </c>
      <c r="Z1199" s="80">
        <f>IF(X1199="Sin Pago","",IFERROR(INDEX(Pagos_Odoo!$A:$A, MATCH(X1199, Pagos_Odoo!$B:$B, 0)), ""))</f>
        <v/>
      </c>
      <c r="AA1199" s="79">
        <f>IF(X1199="Sin Pago","",IFERROR(INDEX(Pagos_Odoo!$F:$F, MATCH(X1199, Pagos_Odoo!$B:$B, 0)), ""))</f>
        <v/>
      </c>
      <c r="AB1199" s="81">
        <f>IF(X1199="Sin Pago",0,IFERROR(INDEX(Pagos_Odoo!$E:$E, MATCH(X1199, Pagos_Odoo!$B:$B, 0)), 0))</f>
        <v/>
      </c>
      <c r="AC1199" s="79">
        <f>IF(X1199="Sin Pago","",IFERROR(INDEX(Pagos_Odoo!$G:$G, MATCH(X1199, Pagos_Odoo!$B:$B, 0)), ""))</f>
        <v/>
      </c>
      <c r="AD1199" s="82" t="n">
        <v>0</v>
      </c>
      <c r="AE1199" s="82" t="n"/>
      <c r="AF1199" s="82" t="n"/>
      <c r="AG1199" s="82">
        <f>IF(AN1199="","",AD1199+AE1199+AF1199)</f>
        <v/>
      </c>
      <c r="AH1199" s="81">
        <f>IF(AN1199="","",P1199*(1-AG1199))</f>
        <v/>
      </c>
      <c r="AI1199" s="81">
        <f>IF(AN1199="","",IF(Q1199="Sin Factura",0,IFERROR(INDEX(Facturas_Odoo!$H:$H, MATCH(Q1199, Facturas_Odoo!$B:$B, 0)), 0)*(1-AG1199)))</f>
        <v/>
      </c>
      <c r="AJ1199" s="81">
        <f>IF(AN1199="","",_xlfn.LET(idVenta, AN1199&amp;"",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199" s="81">
        <f>IF(AN1199="","",AH1199-AJ1199)</f>
        <v/>
      </c>
      <c r="AL1199" s="81">
        <f>IF(AN1199="","",IF(Q1199="Sin Factura","",AI1199-AJ1199))</f>
        <v/>
      </c>
      <c r="AM1199" s="81">
        <f>IF(AN1199="","",IF(Q1199="Sin Factura",0,P1199-IFERROR(INDEX(Facturas_Odoo!$H:$H, MATCH(Q1199, Facturas_Odoo!$B:$B, 0)), 0)))</f>
        <v/>
      </c>
      <c r="AN1199" s="79">
        <f>IF(AND(A1199="", J1199=""), "", IF(A1199&lt;&gt;"", VALUE(MID(A1199,2,LEN(A1199))), AN1198))</f>
        <v/>
      </c>
      <c r="AO1199" s="79">
        <f>IF(AN1199="","",IF(AD1199=0,"OK",_xlfn.LET(monedaPago, IF(AA1199="","USD",AA1199), limitePermitido, IFERROR(VLOOKUP(monedaPago, Configuración!$A$2:$B$3, 2, FALSE), 0.15), IF(AD1199&gt;limitePermitido, "ALERTA: EXCESO (" &amp; TEXT(limitePermitido, "0%") &amp; " máx)", "OK"))))</f>
        <v/>
      </c>
      <c r="AP1199" s="79">
        <f>IF(AN1199="","",IF(AE1199=0,"OK",_xlfn.LET(fechaPago, Z1199, fechaFactura, R1199, diasCredito, IF(E1199="Pago inmediato", 0, IFERROR(VALUE(MID(E1199, 1, SEARCH(" ", E1199)-1)),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199" s="79">
        <f>IF(AN1199="","",IF(AND(N1199&gt;0, AG1199&gt;0), IF(Configuración!$K$2="NO", "ALERTA: DESCUENTO DOBLE NO PERMITIDO", "OK"), "OK"))</f>
        <v/>
      </c>
      <c r="AR1199" s="79">
        <f>IF(AN1199="","",IF(OR(AO1199&lt;&gt;"OK", AP1199&lt;&gt;"OK", AQ1199&lt;&gt;"OK"), "⚠️ REVISAR", "OK"))</f>
        <v/>
      </c>
    </row>
    <row r="1200">
      <c r="A1200" s="79">
        <f>IF('Ordenes_Odoo'!A1200="","",'Ordenes_Odoo'!A1200)</f>
        <v/>
      </c>
      <c r="B1200" s="80">
        <f>IF('Ordenes_Odoo'!B1200="","",'Ordenes_Odoo'!B1200)</f>
        <v/>
      </c>
      <c r="C1200" s="79">
        <f>IF('Ordenes_Odoo'!C1200="","",'Ordenes_Odoo'!C1200)</f>
        <v/>
      </c>
      <c r="D1200" s="79">
        <f>IF('Ordenes_Odoo'!D1200="","",'Ordenes_Odoo'!D1200)</f>
        <v/>
      </c>
      <c r="E1200" s="79">
        <f>IF('Ordenes_Odoo'!E1200="","",'Ordenes_Odoo'!E1200)</f>
        <v/>
      </c>
      <c r="F1200" s="79">
        <f>IF('Ordenes_Odoo'!F1200="","",'Ordenes_Odoo'!F1200)</f>
        <v/>
      </c>
      <c r="G1200" s="79">
        <f>IF('Ordenes_Odoo'!G1200="","",'Ordenes_Odoo'!G1200)</f>
        <v/>
      </c>
      <c r="H1200" s="79">
        <f>IF('Ordenes_Odoo'!H1200="","",'Ordenes_Odoo'!H1200)</f>
        <v/>
      </c>
      <c r="I1200" s="79">
        <f>IF('Ordenes_Odoo'!I1200="","",'Ordenes_Odoo'!I1200)</f>
        <v/>
      </c>
      <c r="J1200" s="79">
        <f>IF('Ordenes_Odoo'!J1200="","",'Ordenes_Odoo'!J1200)</f>
        <v/>
      </c>
      <c r="K1200" s="81">
        <f>IF('Ordenes_Odoo'!K1200="","",'Ordenes_Odoo'!K1200)</f>
        <v/>
      </c>
      <c r="L1200" s="81">
        <f>IF('Ordenes_Odoo'!L1200="","",'Ordenes_Odoo'!L1200)</f>
        <v/>
      </c>
      <c r="M1200" s="79">
        <f>IF('Ordenes_Odoo'!M1200="","",'Ordenes_Odoo'!M1200)</f>
        <v/>
      </c>
      <c r="N1200" s="79">
        <f>IF('Ordenes_Odoo'!N1200="","",'Ordenes_Odoo'!N1200)</f>
        <v/>
      </c>
      <c r="O1200" s="81">
        <f>IF('Ordenes_Odoo'!O1200="","",'Ordenes_Odoo'!O1200)</f>
        <v/>
      </c>
      <c r="P1200" s="81">
        <f>IF('Ordenes_Odoo'!P1200="","",'Ordenes_Odoo'!P1200)</f>
        <v/>
      </c>
      <c r="Q1200" s="79">
        <f>IF(A1200="","",IFERROR(INDEX(Facturas_Odoo!$B:$B, MATCH(A1200, Facturas_Odoo!$D:$D, 0)), "Sin Factura"))</f>
        <v/>
      </c>
      <c r="R1200" s="80">
        <f>IF(Q1200="Sin Factura","",IFERROR(INDEX(Facturas_Odoo!$A:$A, MATCH(Q1200, Facturas_Odoo!$B:$B, 0)), ""))</f>
        <v/>
      </c>
      <c r="S1200" s="79">
        <f>IF(Q1200="Sin Factura","",IFERROR(_xlfn.XLOOKUP(1, (Facturas_Odoo!$D:$D=A1200) * (Facturas_Odoo!$K:$K=I1200), Facturas_Odoo!$L:$L, ""), ""))</f>
        <v/>
      </c>
      <c r="T1200" s="81">
        <f>IF(Q1200="Sin Factura",0,IFERROR(_xlfn.XLOOKUP(1, (Facturas_Odoo!$D:$D=A1200) * (Facturas_Odoo!$K:$K=I1200), Facturas_Odoo!$M:$M, 0), 0))</f>
        <v/>
      </c>
      <c r="U1200" s="79">
        <f>IF(Q1200="Sin Factura",0,IFERROR(_xlfn.XLOOKUP(1, (Facturas_Odoo!$D:$D=A1200) * (Facturas_Odoo!$K:$K=I1200), Facturas_Odoo!$N:$N, 0), 0))</f>
        <v/>
      </c>
      <c r="V1200" s="79">
        <f>IF(Q1200="Sin Factura",0,IFERROR(_xlfn.XLOOKUP(1, (Facturas_Odoo!$D:$D=A1200) * (Facturas_Odoo!$K:$K=I1200), Facturas_Odoo!$O:$O, 0), 0))</f>
        <v/>
      </c>
      <c r="W1200" s="81">
        <f>IF(Q1200="Sin Factura",0,IFERROR(_xlfn.XLOOKUP(1, (Facturas_Odoo!$D:$D=A1200) * (Facturas_Odoo!$K:$K=I1200), Facturas_Odoo!$Q:$Q, 0), 0))</f>
        <v/>
      </c>
      <c r="X1200" s="79">
        <f>IF(OR(Q1200="Sin Factura",Q1200=""),"",IFERROR(INDEX(Pagos_Odoo!$B:$B, MATCH(Q1200, Pagos_Odoo!$I:$I, 0)), "Sin Pago"))</f>
        <v/>
      </c>
      <c r="Y1200" s="79">
        <f>IF(X1200="Sin Pago","",IFERROR(INDEX(Pagos_Odoo!$C:$C, MATCH(X1200, Pagos_Odoo!$B:$B, 0)), ""))</f>
        <v/>
      </c>
      <c r="Z1200" s="80">
        <f>IF(X1200="Sin Pago","",IFERROR(INDEX(Pagos_Odoo!$A:$A, MATCH(X1200, Pagos_Odoo!$B:$B, 0)), ""))</f>
        <v/>
      </c>
      <c r="AA1200" s="79">
        <f>IF(X1200="Sin Pago","",IFERROR(INDEX(Pagos_Odoo!$F:$F, MATCH(X1200, Pagos_Odoo!$B:$B, 0)), ""))</f>
        <v/>
      </c>
      <c r="AB1200" s="81">
        <f>IF(X1200="Sin Pago",0,IFERROR(INDEX(Pagos_Odoo!$E:$E, MATCH(X1200, Pagos_Odoo!$B:$B, 0)), 0))</f>
        <v/>
      </c>
      <c r="AC1200" s="79">
        <f>IF(X1200="Sin Pago","",IFERROR(INDEX(Pagos_Odoo!$G:$G, MATCH(X1200, Pagos_Odoo!$B:$B, 0)), ""))</f>
        <v/>
      </c>
      <c r="AD1200" s="82" t="n">
        <v>0</v>
      </c>
      <c r="AE1200" s="82" t="n"/>
      <c r="AF1200" s="82" t="n"/>
      <c r="AG1200" s="82">
        <f>IF(AN1200="","",AD1200+AE1200+AF1200)</f>
        <v/>
      </c>
      <c r="AH1200" s="81">
        <f>IF(AN1200="","",P1200*(1-AG1200))</f>
        <v/>
      </c>
      <c r="AI1200" s="81">
        <f>IF(AN1200="","",IF(Q1200="Sin Factura",0,IFERROR(INDEX(Facturas_Odoo!$H:$H, MATCH(Q1200, Facturas_Odoo!$B:$B, 0)), 0)*(1-AG1200)))</f>
        <v/>
      </c>
      <c r="AJ1200" s="81">
        <f>IF(AN1200="","",_xlfn.LET(idVenta, AN1200&amp;"",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00" s="81">
        <f>IF(AN1200="","",AH1200-AJ1200)</f>
        <v/>
      </c>
      <c r="AL1200" s="81">
        <f>IF(AN1200="","",IF(Q1200="Sin Factura","",AI1200-AJ1200))</f>
        <v/>
      </c>
      <c r="AM1200" s="81">
        <f>IF(AN1200="","",IF(Q1200="Sin Factura",0,P1200-IFERROR(INDEX(Facturas_Odoo!$H:$H, MATCH(Q1200, Facturas_Odoo!$B:$B, 0)), 0)))</f>
        <v/>
      </c>
      <c r="AN1200" s="79">
        <f>IF(AND(A1200="", J1200=""), "", IF(A1200&lt;&gt;"", VALUE(MID(A1200,2,LEN(A1200))), AN1199))</f>
        <v/>
      </c>
      <c r="AO1200" s="79">
        <f>IF(AN1200="","",IF(AD1200=0,"OK",_xlfn.LET(monedaPago, IF(AA1200="","USD",AA1200), limitePermitido, IFERROR(VLOOKUP(monedaPago, Configuración!$A$2:$B$3, 2, FALSE), 0.15), IF(AD1200&gt;limitePermitido, "ALERTA: EXCESO (" &amp; TEXT(limitePermitido, "0%") &amp; " máx)", "OK"))))</f>
        <v/>
      </c>
      <c r="AP1200" s="79">
        <f>IF(AN1200="","",IF(AE1200=0,"OK",_xlfn.LET(fechaPago, Z1200, fechaFactura, R1200, diasCredito, IF(E1200="Pago inmediato", 0, IFERROR(VALUE(MID(E1200, 1, SEARCH(" ", E1200)-1)),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00" s="79">
        <f>IF(AN1200="","",IF(AND(N1200&gt;0, AG1200&gt;0), IF(Configuración!$K$2="NO", "ALERTA: DESCUENTO DOBLE NO PERMITIDO", "OK"), "OK"))</f>
        <v/>
      </c>
      <c r="AR1200" s="79">
        <f>IF(AN1200="","",IF(OR(AO1200&lt;&gt;"OK", AP1200&lt;&gt;"OK", AQ1200&lt;&gt;"OK"), "⚠️ REVISAR", "OK"))</f>
        <v/>
      </c>
    </row>
    <row r="1201">
      <c r="A1201" s="79">
        <f>IF('Ordenes_Odoo'!A1201="","",'Ordenes_Odoo'!A1201)</f>
        <v/>
      </c>
      <c r="B1201" s="80">
        <f>IF('Ordenes_Odoo'!B1201="","",'Ordenes_Odoo'!B1201)</f>
        <v/>
      </c>
      <c r="C1201" s="79">
        <f>IF('Ordenes_Odoo'!C1201="","",'Ordenes_Odoo'!C1201)</f>
        <v/>
      </c>
      <c r="D1201" s="79">
        <f>IF('Ordenes_Odoo'!D1201="","",'Ordenes_Odoo'!D1201)</f>
        <v/>
      </c>
      <c r="E1201" s="79">
        <f>IF('Ordenes_Odoo'!E1201="","",'Ordenes_Odoo'!E1201)</f>
        <v/>
      </c>
      <c r="F1201" s="79">
        <f>IF('Ordenes_Odoo'!F1201="","",'Ordenes_Odoo'!F1201)</f>
        <v/>
      </c>
      <c r="G1201" s="79">
        <f>IF('Ordenes_Odoo'!G1201="","",'Ordenes_Odoo'!G1201)</f>
        <v/>
      </c>
      <c r="H1201" s="79">
        <f>IF('Ordenes_Odoo'!H1201="","",'Ordenes_Odoo'!H1201)</f>
        <v/>
      </c>
      <c r="I1201" s="79">
        <f>IF('Ordenes_Odoo'!I1201="","",'Ordenes_Odoo'!I1201)</f>
        <v/>
      </c>
      <c r="J1201" s="79">
        <f>IF('Ordenes_Odoo'!J1201="","",'Ordenes_Odoo'!J1201)</f>
        <v/>
      </c>
      <c r="K1201" s="81">
        <f>IF('Ordenes_Odoo'!K1201="","",'Ordenes_Odoo'!K1201)</f>
        <v/>
      </c>
      <c r="L1201" s="81">
        <f>IF('Ordenes_Odoo'!L1201="","",'Ordenes_Odoo'!L1201)</f>
        <v/>
      </c>
      <c r="M1201" s="79">
        <f>IF('Ordenes_Odoo'!M1201="","",'Ordenes_Odoo'!M1201)</f>
        <v/>
      </c>
      <c r="N1201" s="79">
        <f>IF('Ordenes_Odoo'!N1201="","",'Ordenes_Odoo'!N1201)</f>
        <v/>
      </c>
      <c r="O1201" s="81">
        <f>IF('Ordenes_Odoo'!O1201="","",'Ordenes_Odoo'!O1201)</f>
        <v/>
      </c>
      <c r="P1201" s="81">
        <f>IF('Ordenes_Odoo'!P1201="","",'Ordenes_Odoo'!P1201)</f>
        <v/>
      </c>
      <c r="Q1201" s="79">
        <f>IF(A1201="","",IFERROR(INDEX(Facturas_Odoo!$B:$B, MATCH(A1201, Facturas_Odoo!$D:$D, 0)), "Sin Factura"))</f>
        <v/>
      </c>
      <c r="R1201" s="80">
        <f>IF(Q1201="Sin Factura","",IFERROR(INDEX(Facturas_Odoo!$A:$A, MATCH(Q1201, Facturas_Odoo!$B:$B, 0)), ""))</f>
        <v/>
      </c>
      <c r="S1201" s="79">
        <f>IF(Q1201="Sin Factura","",IFERROR(_xlfn.XLOOKUP(1, (Facturas_Odoo!$D:$D=A1201) * (Facturas_Odoo!$K:$K=I1201), Facturas_Odoo!$L:$L, ""), ""))</f>
        <v/>
      </c>
      <c r="T1201" s="81">
        <f>IF(Q1201="Sin Factura",0,IFERROR(_xlfn.XLOOKUP(1, (Facturas_Odoo!$D:$D=A1201) * (Facturas_Odoo!$K:$K=I1201), Facturas_Odoo!$M:$M, 0), 0))</f>
        <v/>
      </c>
      <c r="U1201" s="79">
        <f>IF(Q1201="Sin Factura",0,IFERROR(_xlfn.XLOOKUP(1, (Facturas_Odoo!$D:$D=A1201) * (Facturas_Odoo!$K:$K=I1201), Facturas_Odoo!$N:$N, 0), 0))</f>
        <v/>
      </c>
      <c r="V1201" s="79">
        <f>IF(Q1201="Sin Factura",0,IFERROR(_xlfn.XLOOKUP(1, (Facturas_Odoo!$D:$D=A1201) * (Facturas_Odoo!$K:$K=I1201), Facturas_Odoo!$O:$O, 0), 0))</f>
        <v/>
      </c>
      <c r="W1201" s="81">
        <f>IF(Q1201="Sin Factura",0,IFERROR(_xlfn.XLOOKUP(1, (Facturas_Odoo!$D:$D=A1201) * (Facturas_Odoo!$K:$K=I1201), Facturas_Odoo!$Q:$Q, 0), 0))</f>
        <v/>
      </c>
      <c r="X1201" s="79">
        <f>IF(OR(Q1201="Sin Factura",Q1201=""),"",IFERROR(INDEX(Pagos_Odoo!$B:$B, MATCH(Q1201, Pagos_Odoo!$I:$I, 0)), "Sin Pago"))</f>
        <v/>
      </c>
      <c r="Y1201" s="79">
        <f>IF(X1201="Sin Pago","",IFERROR(INDEX(Pagos_Odoo!$C:$C, MATCH(X1201, Pagos_Odoo!$B:$B, 0)), ""))</f>
        <v/>
      </c>
      <c r="Z1201" s="80">
        <f>IF(X1201="Sin Pago","",IFERROR(INDEX(Pagos_Odoo!$A:$A, MATCH(X1201, Pagos_Odoo!$B:$B, 0)), ""))</f>
        <v/>
      </c>
      <c r="AA1201" s="79">
        <f>IF(X1201="Sin Pago","",IFERROR(INDEX(Pagos_Odoo!$F:$F, MATCH(X1201, Pagos_Odoo!$B:$B, 0)), ""))</f>
        <v/>
      </c>
      <c r="AB1201" s="81">
        <f>IF(X1201="Sin Pago",0,IFERROR(INDEX(Pagos_Odoo!$E:$E, MATCH(X1201, Pagos_Odoo!$B:$B, 0)), 0))</f>
        <v/>
      </c>
      <c r="AC1201" s="79">
        <f>IF(X1201="Sin Pago","",IFERROR(INDEX(Pagos_Odoo!$G:$G, MATCH(X1201, Pagos_Odoo!$B:$B, 0)), ""))</f>
        <v/>
      </c>
      <c r="AD1201" s="82" t="n">
        <v>0</v>
      </c>
      <c r="AE1201" s="82" t="n"/>
      <c r="AF1201" s="82" t="n"/>
      <c r="AG1201" s="82">
        <f>IF(AN1201="","",AD1201+AE1201+AF1201)</f>
        <v/>
      </c>
      <c r="AH1201" s="81">
        <f>IF(AN1201="","",P1201*(1-AG1201))</f>
        <v/>
      </c>
      <c r="AI1201" s="81">
        <f>IF(AN1201="","",IF(Q1201="Sin Factura",0,IFERROR(INDEX(Facturas_Odoo!$H:$H, MATCH(Q1201, Facturas_Odoo!$B:$B, 0)), 0)*(1-AG1201)))</f>
        <v/>
      </c>
      <c r="AJ1201" s="81">
        <f>IF(AN1201="","",_xlfn.LET(idVenta, AN1201&amp;"",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01" s="81">
        <f>IF(AN1201="","",AH1201-AJ1201)</f>
        <v/>
      </c>
      <c r="AL1201" s="81">
        <f>IF(AN1201="","",IF(Q1201="Sin Factura","",AI1201-AJ1201))</f>
        <v/>
      </c>
      <c r="AM1201" s="81">
        <f>IF(AN1201="","",IF(Q1201="Sin Factura",0,P1201-IFERROR(INDEX(Facturas_Odoo!$H:$H, MATCH(Q1201, Facturas_Odoo!$B:$B, 0)), 0)))</f>
        <v/>
      </c>
      <c r="AN1201" s="79">
        <f>IF(AND(A1201="", J1201=""), "", IF(A1201&lt;&gt;"", VALUE(MID(A1201,2,LEN(A1201))), AN1200))</f>
        <v/>
      </c>
      <c r="AO1201" s="79">
        <f>IF(AN1201="","",IF(AD1201=0,"OK",_xlfn.LET(monedaPago, IF(AA1201="","USD",AA1201), limitePermitido, IFERROR(VLOOKUP(monedaPago, Configuración!$A$2:$B$3, 2, FALSE), 0.15), IF(AD1201&gt;limitePermitido, "ALERTA: EXCESO (" &amp; TEXT(limitePermitido, "0%") &amp; " máx)", "OK"))))</f>
        <v/>
      </c>
      <c r="AP1201" s="79">
        <f>IF(AN1201="","",IF(AE1201=0,"OK",_xlfn.LET(fechaPago, Z1201, fechaFactura, R1201, diasCredito, IF(E1201="Pago inmediato", 0, IFERROR(VALUE(MID(E1201, 1, SEARCH(" ", E1201)-1)),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01" s="79">
        <f>IF(AN1201="","",IF(AND(N1201&gt;0, AG1201&gt;0), IF(Configuración!$K$2="NO", "ALERTA: DESCUENTO DOBLE NO PERMITIDO", "OK"), "OK"))</f>
        <v/>
      </c>
      <c r="AR1201" s="79">
        <f>IF(AN1201="","",IF(OR(AO1201&lt;&gt;"OK", AP1201&lt;&gt;"OK", AQ1201&lt;&gt;"OK"), "⚠️ REVISAR", "OK"))</f>
        <v/>
      </c>
    </row>
    <row r="1202">
      <c r="A1202" s="79">
        <f>IF('Ordenes_Odoo'!A1202="","",'Ordenes_Odoo'!A1202)</f>
        <v/>
      </c>
      <c r="B1202" s="80">
        <f>IF('Ordenes_Odoo'!B1202="","",'Ordenes_Odoo'!B1202)</f>
        <v/>
      </c>
      <c r="C1202" s="79">
        <f>IF('Ordenes_Odoo'!C1202="","",'Ordenes_Odoo'!C1202)</f>
        <v/>
      </c>
      <c r="D1202" s="79">
        <f>IF('Ordenes_Odoo'!D1202="","",'Ordenes_Odoo'!D1202)</f>
        <v/>
      </c>
      <c r="E1202" s="79">
        <f>IF('Ordenes_Odoo'!E1202="","",'Ordenes_Odoo'!E1202)</f>
        <v/>
      </c>
      <c r="F1202" s="79">
        <f>IF('Ordenes_Odoo'!F1202="","",'Ordenes_Odoo'!F1202)</f>
        <v/>
      </c>
      <c r="G1202" s="79">
        <f>IF('Ordenes_Odoo'!G1202="","",'Ordenes_Odoo'!G1202)</f>
        <v/>
      </c>
      <c r="H1202" s="79">
        <f>IF('Ordenes_Odoo'!H1202="","",'Ordenes_Odoo'!H1202)</f>
        <v/>
      </c>
      <c r="I1202" s="79">
        <f>IF('Ordenes_Odoo'!I1202="","",'Ordenes_Odoo'!I1202)</f>
        <v/>
      </c>
      <c r="J1202" s="79">
        <f>IF('Ordenes_Odoo'!J1202="","",'Ordenes_Odoo'!J1202)</f>
        <v/>
      </c>
      <c r="K1202" s="81">
        <f>IF('Ordenes_Odoo'!K1202="","",'Ordenes_Odoo'!K1202)</f>
        <v/>
      </c>
      <c r="L1202" s="81">
        <f>IF('Ordenes_Odoo'!L1202="","",'Ordenes_Odoo'!L1202)</f>
        <v/>
      </c>
      <c r="M1202" s="79">
        <f>IF('Ordenes_Odoo'!M1202="","",'Ordenes_Odoo'!M1202)</f>
        <v/>
      </c>
      <c r="N1202" s="79">
        <f>IF('Ordenes_Odoo'!N1202="","",'Ordenes_Odoo'!N1202)</f>
        <v/>
      </c>
      <c r="O1202" s="81">
        <f>IF('Ordenes_Odoo'!O1202="","",'Ordenes_Odoo'!O1202)</f>
        <v/>
      </c>
      <c r="P1202" s="81">
        <f>IF('Ordenes_Odoo'!P1202="","",'Ordenes_Odoo'!P1202)</f>
        <v/>
      </c>
      <c r="Q1202" s="79">
        <f>IF(A1202="","",IFERROR(INDEX(Facturas_Odoo!$B:$B, MATCH(A1202, Facturas_Odoo!$D:$D, 0)), "Sin Factura"))</f>
        <v/>
      </c>
      <c r="R1202" s="80">
        <f>IF(Q1202="Sin Factura","",IFERROR(INDEX(Facturas_Odoo!$A:$A, MATCH(Q1202, Facturas_Odoo!$B:$B, 0)), ""))</f>
        <v/>
      </c>
      <c r="S1202" s="79">
        <f>IF(Q1202="Sin Factura","",IFERROR(_xlfn.XLOOKUP(1, (Facturas_Odoo!$D:$D=A1202) * (Facturas_Odoo!$K:$K=I1202), Facturas_Odoo!$L:$L, ""), ""))</f>
        <v/>
      </c>
      <c r="T1202" s="81">
        <f>IF(Q1202="Sin Factura",0,IFERROR(_xlfn.XLOOKUP(1, (Facturas_Odoo!$D:$D=A1202) * (Facturas_Odoo!$K:$K=I1202), Facturas_Odoo!$M:$M, 0), 0))</f>
        <v/>
      </c>
      <c r="U1202" s="79">
        <f>IF(Q1202="Sin Factura",0,IFERROR(_xlfn.XLOOKUP(1, (Facturas_Odoo!$D:$D=A1202) * (Facturas_Odoo!$K:$K=I1202), Facturas_Odoo!$N:$N, 0), 0))</f>
        <v/>
      </c>
      <c r="V1202" s="79">
        <f>IF(Q1202="Sin Factura",0,IFERROR(_xlfn.XLOOKUP(1, (Facturas_Odoo!$D:$D=A1202) * (Facturas_Odoo!$K:$K=I1202), Facturas_Odoo!$O:$O, 0), 0))</f>
        <v/>
      </c>
      <c r="W1202" s="81">
        <f>IF(Q1202="Sin Factura",0,IFERROR(_xlfn.XLOOKUP(1, (Facturas_Odoo!$D:$D=A1202) * (Facturas_Odoo!$K:$K=I1202), Facturas_Odoo!$Q:$Q, 0), 0))</f>
        <v/>
      </c>
      <c r="X1202" s="79">
        <f>IF(OR(Q1202="Sin Factura",Q1202=""),"",IFERROR(INDEX(Pagos_Odoo!$B:$B, MATCH(Q1202, Pagos_Odoo!$I:$I, 0)), "Sin Pago"))</f>
        <v/>
      </c>
      <c r="Y1202" s="79">
        <f>IF(X1202="Sin Pago","",IFERROR(INDEX(Pagos_Odoo!$C:$C, MATCH(X1202, Pagos_Odoo!$B:$B, 0)), ""))</f>
        <v/>
      </c>
      <c r="Z1202" s="80">
        <f>IF(X1202="Sin Pago","",IFERROR(INDEX(Pagos_Odoo!$A:$A, MATCH(X1202, Pagos_Odoo!$B:$B, 0)), ""))</f>
        <v/>
      </c>
      <c r="AA1202" s="79">
        <f>IF(X1202="Sin Pago","",IFERROR(INDEX(Pagos_Odoo!$F:$F, MATCH(X1202, Pagos_Odoo!$B:$B, 0)), ""))</f>
        <v/>
      </c>
      <c r="AB1202" s="81">
        <f>IF(X1202="Sin Pago",0,IFERROR(INDEX(Pagos_Odoo!$E:$E, MATCH(X1202, Pagos_Odoo!$B:$B, 0)), 0))</f>
        <v/>
      </c>
      <c r="AC1202" s="79">
        <f>IF(X1202="Sin Pago","",IFERROR(INDEX(Pagos_Odoo!$G:$G, MATCH(X1202, Pagos_Odoo!$B:$B, 0)), ""))</f>
        <v/>
      </c>
      <c r="AD1202" s="82" t="n">
        <v>0</v>
      </c>
      <c r="AE1202" s="82" t="n"/>
      <c r="AF1202" s="82" t="n"/>
      <c r="AG1202" s="82">
        <f>IF(AN1202="","",AD1202+AE1202+AF1202)</f>
        <v/>
      </c>
      <c r="AH1202" s="81">
        <f>IF(AN1202="","",P1202*(1-AG1202))</f>
        <v/>
      </c>
      <c r="AI1202" s="81">
        <f>IF(AN1202="","",IF(Q1202="Sin Factura",0,IFERROR(INDEX(Facturas_Odoo!$H:$H, MATCH(Q1202, Facturas_Odoo!$B:$B, 0)), 0)*(1-AG1202)))</f>
        <v/>
      </c>
      <c r="AJ1202" s="81">
        <f>IF(AN1202="","",_xlfn.LET(idVenta, AN1202&amp;"",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02" s="81">
        <f>IF(AN1202="","",AH1202-AJ1202)</f>
        <v/>
      </c>
      <c r="AL1202" s="81">
        <f>IF(AN1202="","",IF(Q1202="Sin Factura","",AI1202-AJ1202))</f>
        <v/>
      </c>
      <c r="AM1202" s="81">
        <f>IF(AN1202="","",IF(Q1202="Sin Factura",0,P1202-IFERROR(INDEX(Facturas_Odoo!$H:$H, MATCH(Q1202, Facturas_Odoo!$B:$B, 0)), 0)))</f>
        <v/>
      </c>
      <c r="AN1202" s="79">
        <f>IF(AND(A1202="", J1202=""), "", IF(A1202&lt;&gt;"", VALUE(MID(A1202,2,LEN(A1202))), AN1201))</f>
        <v/>
      </c>
      <c r="AO1202" s="79">
        <f>IF(AN1202="","",IF(AD1202=0,"OK",_xlfn.LET(monedaPago, IF(AA1202="","USD",AA1202), limitePermitido, IFERROR(VLOOKUP(monedaPago, Configuración!$A$2:$B$3, 2, FALSE), 0.15), IF(AD1202&gt;limitePermitido, "ALERTA: EXCESO (" &amp; TEXT(limitePermitido, "0%") &amp; " máx)", "OK"))))</f>
        <v/>
      </c>
      <c r="AP1202" s="79">
        <f>IF(AN1202="","",IF(AE1202=0,"OK",_xlfn.LET(fechaPago, Z1202, fechaFactura, R1202, diasCredito, IF(E1202="Pago inmediato", 0, IFERROR(VALUE(MID(E1202, 1, SEARCH(" ", E1202)-1)),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02" s="79">
        <f>IF(AN1202="","",IF(AND(N1202&gt;0, AG1202&gt;0), IF(Configuración!$K$2="NO", "ALERTA: DESCUENTO DOBLE NO PERMITIDO", "OK"), "OK"))</f>
        <v/>
      </c>
      <c r="AR1202" s="79">
        <f>IF(AN1202="","",IF(OR(AO1202&lt;&gt;"OK", AP1202&lt;&gt;"OK", AQ1202&lt;&gt;"OK"), "⚠️ REVISAR", "OK"))</f>
        <v/>
      </c>
    </row>
    <row r="1203">
      <c r="A1203" s="79">
        <f>IF('Ordenes_Odoo'!A1203="","",'Ordenes_Odoo'!A1203)</f>
        <v/>
      </c>
      <c r="B1203" s="80">
        <f>IF('Ordenes_Odoo'!B1203="","",'Ordenes_Odoo'!B1203)</f>
        <v/>
      </c>
      <c r="C1203" s="79">
        <f>IF('Ordenes_Odoo'!C1203="","",'Ordenes_Odoo'!C1203)</f>
        <v/>
      </c>
      <c r="D1203" s="79">
        <f>IF('Ordenes_Odoo'!D1203="","",'Ordenes_Odoo'!D1203)</f>
        <v/>
      </c>
      <c r="E1203" s="79">
        <f>IF('Ordenes_Odoo'!E1203="","",'Ordenes_Odoo'!E1203)</f>
        <v/>
      </c>
      <c r="F1203" s="79">
        <f>IF('Ordenes_Odoo'!F1203="","",'Ordenes_Odoo'!F1203)</f>
        <v/>
      </c>
      <c r="G1203" s="79">
        <f>IF('Ordenes_Odoo'!G1203="","",'Ordenes_Odoo'!G1203)</f>
        <v/>
      </c>
      <c r="H1203" s="79">
        <f>IF('Ordenes_Odoo'!H1203="","",'Ordenes_Odoo'!H1203)</f>
        <v/>
      </c>
      <c r="I1203" s="79">
        <f>IF('Ordenes_Odoo'!I1203="","",'Ordenes_Odoo'!I1203)</f>
        <v/>
      </c>
      <c r="J1203" s="79">
        <f>IF('Ordenes_Odoo'!J1203="","",'Ordenes_Odoo'!J1203)</f>
        <v/>
      </c>
      <c r="K1203" s="81">
        <f>IF('Ordenes_Odoo'!K1203="","",'Ordenes_Odoo'!K1203)</f>
        <v/>
      </c>
      <c r="L1203" s="81">
        <f>IF('Ordenes_Odoo'!L1203="","",'Ordenes_Odoo'!L1203)</f>
        <v/>
      </c>
      <c r="M1203" s="79">
        <f>IF('Ordenes_Odoo'!M1203="","",'Ordenes_Odoo'!M1203)</f>
        <v/>
      </c>
      <c r="N1203" s="79">
        <f>IF('Ordenes_Odoo'!N1203="","",'Ordenes_Odoo'!N1203)</f>
        <v/>
      </c>
      <c r="O1203" s="81">
        <f>IF('Ordenes_Odoo'!O1203="","",'Ordenes_Odoo'!O1203)</f>
        <v/>
      </c>
      <c r="P1203" s="81">
        <f>IF('Ordenes_Odoo'!P1203="","",'Ordenes_Odoo'!P1203)</f>
        <v/>
      </c>
      <c r="Q1203" s="79">
        <f>IF(A1203="","",IFERROR(INDEX(Facturas_Odoo!$B:$B, MATCH(A1203, Facturas_Odoo!$D:$D, 0)), "Sin Factura"))</f>
        <v/>
      </c>
      <c r="R1203" s="80">
        <f>IF(Q1203="Sin Factura","",IFERROR(INDEX(Facturas_Odoo!$A:$A, MATCH(Q1203, Facturas_Odoo!$B:$B, 0)), ""))</f>
        <v/>
      </c>
      <c r="S1203" s="79">
        <f>IF(Q1203="Sin Factura","",IFERROR(_xlfn.XLOOKUP(1, (Facturas_Odoo!$D:$D=A1203) * (Facturas_Odoo!$K:$K=I1203), Facturas_Odoo!$L:$L, ""), ""))</f>
        <v/>
      </c>
      <c r="T1203" s="81">
        <f>IF(Q1203="Sin Factura",0,IFERROR(_xlfn.XLOOKUP(1, (Facturas_Odoo!$D:$D=A1203) * (Facturas_Odoo!$K:$K=I1203), Facturas_Odoo!$M:$M, 0), 0))</f>
        <v/>
      </c>
      <c r="U1203" s="79">
        <f>IF(Q1203="Sin Factura",0,IFERROR(_xlfn.XLOOKUP(1, (Facturas_Odoo!$D:$D=A1203) * (Facturas_Odoo!$K:$K=I1203), Facturas_Odoo!$N:$N, 0), 0))</f>
        <v/>
      </c>
      <c r="V1203" s="79">
        <f>IF(Q1203="Sin Factura",0,IFERROR(_xlfn.XLOOKUP(1, (Facturas_Odoo!$D:$D=A1203) * (Facturas_Odoo!$K:$K=I1203), Facturas_Odoo!$O:$O, 0), 0))</f>
        <v/>
      </c>
      <c r="W1203" s="81">
        <f>IF(Q1203="Sin Factura",0,IFERROR(_xlfn.XLOOKUP(1, (Facturas_Odoo!$D:$D=A1203) * (Facturas_Odoo!$K:$K=I1203), Facturas_Odoo!$Q:$Q, 0), 0))</f>
        <v/>
      </c>
      <c r="X1203" s="79">
        <f>IF(OR(Q1203="Sin Factura",Q1203=""),"",IFERROR(INDEX(Pagos_Odoo!$B:$B, MATCH(Q1203, Pagos_Odoo!$I:$I, 0)), "Sin Pago"))</f>
        <v/>
      </c>
      <c r="Y1203" s="79">
        <f>IF(X1203="Sin Pago","",IFERROR(INDEX(Pagos_Odoo!$C:$C, MATCH(X1203, Pagos_Odoo!$B:$B, 0)), ""))</f>
        <v/>
      </c>
      <c r="Z1203" s="80">
        <f>IF(X1203="Sin Pago","",IFERROR(INDEX(Pagos_Odoo!$A:$A, MATCH(X1203, Pagos_Odoo!$B:$B, 0)), ""))</f>
        <v/>
      </c>
      <c r="AA1203" s="79">
        <f>IF(X1203="Sin Pago","",IFERROR(INDEX(Pagos_Odoo!$F:$F, MATCH(X1203, Pagos_Odoo!$B:$B, 0)), ""))</f>
        <v/>
      </c>
      <c r="AB1203" s="81">
        <f>IF(X1203="Sin Pago",0,IFERROR(INDEX(Pagos_Odoo!$E:$E, MATCH(X1203, Pagos_Odoo!$B:$B, 0)), 0))</f>
        <v/>
      </c>
      <c r="AC1203" s="79">
        <f>IF(X1203="Sin Pago","",IFERROR(INDEX(Pagos_Odoo!$G:$G, MATCH(X1203, Pagos_Odoo!$B:$B, 0)), ""))</f>
        <v/>
      </c>
      <c r="AD1203" s="82" t="n">
        <v>0</v>
      </c>
      <c r="AE1203" s="82" t="n"/>
      <c r="AF1203" s="82" t="n"/>
      <c r="AG1203" s="82">
        <f>IF(AN1203="","",AD1203+AE1203+AF1203)</f>
        <v/>
      </c>
      <c r="AH1203" s="81">
        <f>IF(AN1203="","",P1203*(1-AG1203))</f>
        <v/>
      </c>
      <c r="AI1203" s="81">
        <f>IF(AN1203="","",IF(Q1203="Sin Factura",0,IFERROR(INDEX(Facturas_Odoo!$H:$H, MATCH(Q1203, Facturas_Odoo!$B:$B, 0)), 0)*(1-AG1203)))</f>
        <v/>
      </c>
      <c r="AJ1203" s="81">
        <f>IF(AN1203="","",_xlfn.LET(idVenta, AN1203&amp;"",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03" s="81">
        <f>IF(AN1203="","",AH1203-AJ1203)</f>
        <v/>
      </c>
      <c r="AL1203" s="81">
        <f>IF(AN1203="","",IF(Q1203="Sin Factura","",AI1203-AJ1203))</f>
        <v/>
      </c>
      <c r="AM1203" s="81">
        <f>IF(AN1203="","",IF(Q1203="Sin Factura",0,P1203-IFERROR(INDEX(Facturas_Odoo!$H:$H, MATCH(Q1203, Facturas_Odoo!$B:$B, 0)), 0)))</f>
        <v/>
      </c>
      <c r="AN1203" s="79">
        <f>IF(AND(A1203="", J1203=""), "", IF(A1203&lt;&gt;"", VALUE(MID(A1203,2,LEN(A1203))), AN1202))</f>
        <v/>
      </c>
      <c r="AO1203" s="79">
        <f>IF(AN1203="","",IF(AD1203=0,"OK",_xlfn.LET(monedaPago, IF(AA1203="","USD",AA1203), limitePermitido, IFERROR(VLOOKUP(monedaPago, Configuración!$A$2:$B$3, 2, FALSE), 0.15), IF(AD1203&gt;limitePermitido, "ALERTA: EXCESO (" &amp; TEXT(limitePermitido, "0%") &amp; " máx)", "OK"))))</f>
        <v/>
      </c>
      <c r="AP1203" s="79">
        <f>IF(AN1203="","",IF(AE1203=0,"OK",_xlfn.LET(fechaPago, Z1203, fechaFactura, R1203, diasCredito, IF(E1203="Pago inmediato", 0, IFERROR(VALUE(MID(E1203, 1, SEARCH(" ", E1203)-1)),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03" s="79">
        <f>IF(AN1203="","",IF(AND(N1203&gt;0, AG1203&gt;0), IF(Configuración!$K$2="NO", "ALERTA: DESCUENTO DOBLE NO PERMITIDO", "OK"), "OK"))</f>
        <v/>
      </c>
      <c r="AR1203" s="79">
        <f>IF(AN1203="","",IF(OR(AO1203&lt;&gt;"OK", AP1203&lt;&gt;"OK", AQ1203&lt;&gt;"OK"), "⚠️ REVISAR", "OK"))</f>
        <v/>
      </c>
    </row>
    <row r="1204">
      <c r="A1204" s="79">
        <f>IF('Ordenes_Odoo'!A1204="","",'Ordenes_Odoo'!A1204)</f>
        <v/>
      </c>
      <c r="B1204" s="80">
        <f>IF('Ordenes_Odoo'!B1204="","",'Ordenes_Odoo'!B1204)</f>
        <v/>
      </c>
      <c r="C1204" s="79">
        <f>IF('Ordenes_Odoo'!C1204="","",'Ordenes_Odoo'!C1204)</f>
        <v/>
      </c>
      <c r="D1204" s="79">
        <f>IF('Ordenes_Odoo'!D1204="","",'Ordenes_Odoo'!D1204)</f>
        <v/>
      </c>
      <c r="E1204" s="79">
        <f>IF('Ordenes_Odoo'!E1204="","",'Ordenes_Odoo'!E1204)</f>
        <v/>
      </c>
      <c r="F1204" s="79">
        <f>IF('Ordenes_Odoo'!F1204="","",'Ordenes_Odoo'!F1204)</f>
        <v/>
      </c>
      <c r="G1204" s="79">
        <f>IF('Ordenes_Odoo'!G1204="","",'Ordenes_Odoo'!G1204)</f>
        <v/>
      </c>
      <c r="H1204" s="79">
        <f>IF('Ordenes_Odoo'!H1204="","",'Ordenes_Odoo'!H1204)</f>
        <v/>
      </c>
      <c r="I1204" s="79">
        <f>IF('Ordenes_Odoo'!I1204="","",'Ordenes_Odoo'!I1204)</f>
        <v/>
      </c>
      <c r="J1204" s="79">
        <f>IF('Ordenes_Odoo'!J1204="","",'Ordenes_Odoo'!J1204)</f>
        <v/>
      </c>
      <c r="K1204" s="81">
        <f>IF('Ordenes_Odoo'!K1204="","",'Ordenes_Odoo'!K1204)</f>
        <v/>
      </c>
      <c r="L1204" s="81">
        <f>IF('Ordenes_Odoo'!L1204="","",'Ordenes_Odoo'!L1204)</f>
        <v/>
      </c>
      <c r="M1204" s="79">
        <f>IF('Ordenes_Odoo'!M1204="","",'Ordenes_Odoo'!M1204)</f>
        <v/>
      </c>
      <c r="N1204" s="79">
        <f>IF('Ordenes_Odoo'!N1204="","",'Ordenes_Odoo'!N1204)</f>
        <v/>
      </c>
      <c r="O1204" s="81">
        <f>IF('Ordenes_Odoo'!O1204="","",'Ordenes_Odoo'!O1204)</f>
        <v/>
      </c>
      <c r="P1204" s="81">
        <f>IF('Ordenes_Odoo'!P1204="","",'Ordenes_Odoo'!P1204)</f>
        <v/>
      </c>
      <c r="Q1204" s="79">
        <f>IF(A1204="","",IFERROR(INDEX(Facturas_Odoo!$B:$B, MATCH(A1204, Facturas_Odoo!$D:$D, 0)), "Sin Factura"))</f>
        <v/>
      </c>
      <c r="R1204" s="80">
        <f>IF(Q1204="Sin Factura","",IFERROR(INDEX(Facturas_Odoo!$A:$A, MATCH(Q1204, Facturas_Odoo!$B:$B, 0)), ""))</f>
        <v/>
      </c>
      <c r="S1204" s="79">
        <f>IF(Q1204="Sin Factura","",IFERROR(_xlfn.XLOOKUP(1, (Facturas_Odoo!$D:$D=A1204) * (Facturas_Odoo!$K:$K=I1204), Facturas_Odoo!$L:$L, ""), ""))</f>
        <v/>
      </c>
      <c r="T1204" s="81">
        <f>IF(Q1204="Sin Factura",0,IFERROR(_xlfn.XLOOKUP(1, (Facturas_Odoo!$D:$D=A1204) * (Facturas_Odoo!$K:$K=I1204), Facturas_Odoo!$M:$M, 0), 0))</f>
        <v/>
      </c>
      <c r="U1204" s="79">
        <f>IF(Q1204="Sin Factura",0,IFERROR(_xlfn.XLOOKUP(1, (Facturas_Odoo!$D:$D=A1204) * (Facturas_Odoo!$K:$K=I1204), Facturas_Odoo!$N:$N, 0), 0))</f>
        <v/>
      </c>
      <c r="V1204" s="79">
        <f>IF(Q1204="Sin Factura",0,IFERROR(_xlfn.XLOOKUP(1, (Facturas_Odoo!$D:$D=A1204) * (Facturas_Odoo!$K:$K=I1204), Facturas_Odoo!$O:$O, 0), 0))</f>
        <v/>
      </c>
      <c r="W1204" s="81">
        <f>IF(Q1204="Sin Factura",0,IFERROR(_xlfn.XLOOKUP(1, (Facturas_Odoo!$D:$D=A1204) * (Facturas_Odoo!$K:$K=I1204), Facturas_Odoo!$Q:$Q, 0), 0))</f>
        <v/>
      </c>
      <c r="X1204" s="79">
        <f>IF(OR(Q1204="Sin Factura",Q1204=""),"",IFERROR(INDEX(Pagos_Odoo!$B:$B, MATCH(Q1204, Pagos_Odoo!$I:$I, 0)), "Sin Pago"))</f>
        <v/>
      </c>
      <c r="Y1204" s="79">
        <f>IF(X1204="Sin Pago","",IFERROR(INDEX(Pagos_Odoo!$C:$C, MATCH(X1204, Pagos_Odoo!$B:$B, 0)), ""))</f>
        <v/>
      </c>
      <c r="Z1204" s="80">
        <f>IF(X1204="Sin Pago","",IFERROR(INDEX(Pagos_Odoo!$A:$A, MATCH(X1204, Pagos_Odoo!$B:$B, 0)), ""))</f>
        <v/>
      </c>
      <c r="AA1204" s="79">
        <f>IF(X1204="Sin Pago","",IFERROR(INDEX(Pagos_Odoo!$F:$F, MATCH(X1204, Pagos_Odoo!$B:$B, 0)), ""))</f>
        <v/>
      </c>
      <c r="AB1204" s="81">
        <f>IF(X1204="Sin Pago",0,IFERROR(INDEX(Pagos_Odoo!$E:$E, MATCH(X1204, Pagos_Odoo!$B:$B, 0)), 0))</f>
        <v/>
      </c>
      <c r="AC1204" s="79">
        <f>IF(X1204="Sin Pago","",IFERROR(INDEX(Pagos_Odoo!$G:$G, MATCH(X1204, Pagos_Odoo!$B:$B, 0)), ""))</f>
        <v/>
      </c>
      <c r="AD1204" s="82" t="n">
        <v>0</v>
      </c>
      <c r="AE1204" s="82" t="n"/>
      <c r="AF1204" s="82" t="n"/>
      <c r="AG1204" s="82">
        <f>IF(AN1204="","",AD1204+AE1204+AF1204)</f>
        <v/>
      </c>
      <c r="AH1204" s="81">
        <f>IF(AN1204="","",P1204*(1-AG1204))</f>
        <v/>
      </c>
      <c r="AI1204" s="81">
        <f>IF(AN1204="","",IF(Q1204="Sin Factura",0,IFERROR(INDEX(Facturas_Odoo!$H:$H, MATCH(Q1204, Facturas_Odoo!$B:$B, 0)), 0)*(1-AG1204)))</f>
        <v/>
      </c>
      <c r="AJ1204" s="81">
        <f>IF(AN1204="","",_xlfn.LET(idVenta, AN1204&amp;"",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04" s="81">
        <f>IF(AN1204="","",AH1204-AJ1204)</f>
        <v/>
      </c>
      <c r="AL1204" s="81">
        <f>IF(AN1204="","",IF(Q1204="Sin Factura","",AI1204-AJ1204))</f>
        <v/>
      </c>
      <c r="AM1204" s="81">
        <f>IF(AN1204="","",IF(Q1204="Sin Factura",0,P1204-IFERROR(INDEX(Facturas_Odoo!$H:$H, MATCH(Q1204, Facturas_Odoo!$B:$B, 0)), 0)))</f>
        <v/>
      </c>
      <c r="AN1204" s="79">
        <f>IF(AND(A1204="", J1204=""), "", IF(A1204&lt;&gt;"", VALUE(MID(A1204,2,LEN(A1204))), AN1203))</f>
        <v/>
      </c>
      <c r="AO1204" s="79">
        <f>IF(AN1204="","",IF(AD1204=0,"OK",_xlfn.LET(monedaPago, IF(AA1204="","USD",AA1204), limitePermitido, IFERROR(VLOOKUP(monedaPago, Configuración!$A$2:$B$3, 2, FALSE), 0.15), IF(AD1204&gt;limitePermitido, "ALERTA: EXCESO (" &amp; TEXT(limitePermitido, "0%") &amp; " máx)", "OK"))))</f>
        <v/>
      </c>
      <c r="AP1204" s="79">
        <f>IF(AN1204="","",IF(AE1204=0,"OK",_xlfn.LET(fechaPago, Z1204, fechaFactura, R1204, diasCredito, IF(E1204="Pago inmediato", 0, IFERROR(VALUE(MID(E1204, 1, SEARCH(" ", E1204)-1)),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04" s="79">
        <f>IF(AN1204="","",IF(AND(N1204&gt;0, AG1204&gt;0), IF(Configuración!$K$2="NO", "ALERTA: DESCUENTO DOBLE NO PERMITIDO", "OK"), "OK"))</f>
        <v/>
      </c>
      <c r="AR1204" s="79">
        <f>IF(AN1204="","",IF(OR(AO1204&lt;&gt;"OK", AP1204&lt;&gt;"OK", AQ1204&lt;&gt;"OK"), "⚠️ REVISAR", "OK"))</f>
        <v/>
      </c>
    </row>
    <row r="1205">
      <c r="A1205" s="79">
        <f>IF('Ordenes_Odoo'!A1205="","",'Ordenes_Odoo'!A1205)</f>
        <v/>
      </c>
      <c r="B1205" s="80">
        <f>IF('Ordenes_Odoo'!B1205="","",'Ordenes_Odoo'!B1205)</f>
        <v/>
      </c>
      <c r="C1205" s="79">
        <f>IF('Ordenes_Odoo'!C1205="","",'Ordenes_Odoo'!C1205)</f>
        <v/>
      </c>
      <c r="D1205" s="79">
        <f>IF('Ordenes_Odoo'!D1205="","",'Ordenes_Odoo'!D1205)</f>
        <v/>
      </c>
      <c r="E1205" s="79">
        <f>IF('Ordenes_Odoo'!E1205="","",'Ordenes_Odoo'!E1205)</f>
        <v/>
      </c>
      <c r="F1205" s="79">
        <f>IF('Ordenes_Odoo'!F1205="","",'Ordenes_Odoo'!F1205)</f>
        <v/>
      </c>
      <c r="G1205" s="79">
        <f>IF('Ordenes_Odoo'!G1205="","",'Ordenes_Odoo'!G1205)</f>
        <v/>
      </c>
      <c r="H1205" s="79">
        <f>IF('Ordenes_Odoo'!H1205="","",'Ordenes_Odoo'!H1205)</f>
        <v/>
      </c>
      <c r="I1205" s="79">
        <f>IF('Ordenes_Odoo'!I1205="","",'Ordenes_Odoo'!I1205)</f>
        <v/>
      </c>
      <c r="J1205" s="79">
        <f>IF('Ordenes_Odoo'!J1205="","",'Ordenes_Odoo'!J1205)</f>
        <v/>
      </c>
      <c r="K1205" s="81">
        <f>IF('Ordenes_Odoo'!K1205="","",'Ordenes_Odoo'!K1205)</f>
        <v/>
      </c>
      <c r="L1205" s="81">
        <f>IF('Ordenes_Odoo'!L1205="","",'Ordenes_Odoo'!L1205)</f>
        <v/>
      </c>
      <c r="M1205" s="79">
        <f>IF('Ordenes_Odoo'!M1205="","",'Ordenes_Odoo'!M1205)</f>
        <v/>
      </c>
      <c r="N1205" s="79">
        <f>IF('Ordenes_Odoo'!N1205="","",'Ordenes_Odoo'!N1205)</f>
        <v/>
      </c>
      <c r="O1205" s="81">
        <f>IF('Ordenes_Odoo'!O1205="","",'Ordenes_Odoo'!O1205)</f>
        <v/>
      </c>
      <c r="P1205" s="81">
        <f>IF('Ordenes_Odoo'!P1205="","",'Ordenes_Odoo'!P1205)</f>
        <v/>
      </c>
      <c r="Q1205" s="79">
        <f>IF(A1205="","",IFERROR(INDEX(Facturas_Odoo!$B:$B, MATCH(A1205, Facturas_Odoo!$D:$D, 0)), "Sin Factura"))</f>
        <v/>
      </c>
      <c r="R1205" s="80">
        <f>IF(Q1205="Sin Factura","",IFERROR(INDEX(Facturas_Odoo!$A:$A, MATCH(Q1205, Facturas_Odoo!$B:$B, 0)), ""))</f>
        <v/>
      </c>
      <c r="S1205" s="79">
        <f>IF(Q1205="Sin Factura","",IFERROR(_xlfn.XLOOKUP(1, (Facturas_Odoo!$D:$D=A1205) * (Facturas_Odoo!$K:$K=I1205), Facturas_Odoo!$L:$L, ""), ""))</f>
        <v/>
      </c>
      <c r="T1205" s="81">
        <f>IF(Q1205="Sin Factura",0,IFERROR(_xlfn.XLOOKUP(1, (Facturas_Odoo!$D:$D=A1205) * (Facturas_Odoo!$K:$K=I1205), Facturas_Odoo!$M:$M, 0), 0))</f>
        <v/>
      </c>
      <c r="U1205" s="79">
        <f>IF(Q1205="Sin Factura",0,IFERROR(_xlfn.XLOOKUP(1, (Facturas_Odoo!$D:$D=A1205) * (Facturas_Odoo!$K:$K=I1205), Facturas_Odoo!$N:$N, 0), 0))</f>
        <v/>
      </c>
      <c r="V1205" s="79">
        <f>IF(Q1205="Sin Factura",0,IFERROR(_xlfn.XLOOKUP(1, (Facturas_Odoo!$D:$D=A1205) * (Facturas_Odoo!$K:$K=I1205), Facturas_Odoo!$O:$O, 0), 0))</f>
        <v/>
      </c>
      <c r="W1205" s="81">
        <f>IF(Q1205="Sin Factura",0,IFERROR(_xlfn.XLOOKUP(1, (Facturas_Odoo!$D:$D=A1205) * (Facturas_Odoo!$K:$K=I1205), Facturas_Odoo!$Q:$Q, 0), 0))</f>
        <v/>
      </c>
      <c r="X1205" s="79">
        <f>IF(OR(Q1205="Sin Factura",Q1205=""),"",IFERROR(INDEX(Pagos_Odoo!$B:$B, MATCH(Q1205, Pagos_Odoo!$I:$I, 0)), "Sin Pago"))</f>
        <v/>
      </c>
      <c r="Y1205" s="79">
        <f>IF(X1205="Sin Pago","",IFERROR(INDEX(Pagos_Odoo!$C:$C, MATCH(X1205, Pagos_Odoo!$B:$B, 0)), ""))</f>
        <v/>
      </c>
      <c r="Z1205" s="80">
        <f>IF(X1205="Sin Pago","",IFERROR(INDEX(Pagos_Odoo!$A:$A, MATCH(X1205, Pagos_Odoo!$B:$B, 0)), ""))</f>
        <v/>
      </c>
      <c r="AA1205" s="79">
        <f>IF(X1205="Sin Pago","",IFERROR(INDEX(Pagos_Odoo!$F:$F, MATCH(X1205, Pagos_Odoo!$B:$B, 0)), ""))</f>
        <v/>
      </c>
      <c r="AB1205" s="81">
        <f>IF(X1205="Sin Pago",0,IFERROR(INDEX(Pagos_Odoo!$E:$E, MATCH(X1205, Pagos_Odoo!$B:$B, 0)), 0))</f>
        <v/>
      </c>
      <c r="AC1205" s="79">
        <f>IF(X1205="Sin Pago","",IFERROR(INDEX(Pagos_Odoo!$G:$G, MATCH(X1205, Pagos_Odoo!$B:$B, 0)), ""))</f>
        <v/>
      </c>
      <c r="AD1205" s="82" t="n">
        <v>0</v>
      </c>
      <c r="AE1205" s="82" t="n"/>
      <c r="AF1205" s="82" t="n"/>
      <c r="AG1205" s="82">
        <f>IF(AN1205="","",AD1205+AE1205+AF1205)</f>
        <v/>
      </c>
      <c r="AH1205" s="81">
        <f>IF(AN1205="","",P1205*(1-AG1205))</f>
        <v/>
      </c>
      <c r="AI1205" s="81">
        <f>IF(AN1205="","",IF(Q1205="Sin Factura",0,IFERROR(INDEX(Facturas_Odoo!$H:$H, MATCH(Q1205, Facturas_Odoo!$B:$B, 0)), 0)*(1-AG1205)))</f>
        <v/>
      </c>
      <c r="AJ1205" s="81">
        <f>IF(AN1205="","",_xlfn.LET(idVenta, AN1205&amp;"",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05" s="81">
        <f>IF(AN1205="","",AH1205-AJ1205)</f>
        <v/>
      </c>
      <c r="AL1205" s="81">
        <f>IF(AN1205="","",IF(Q1205="Sin Factura","",AI1205-AJ1205))</f>
        <v/>
      </c>
      <c r="AM1205" s="81">
        <f>IF(AN1205="","",IF(Q1205="Sin Factura",0,P1205-IFERROR(INDEX(Facturas_Odoo!$H:$H, MATCH(Q1205, Facturas_Odoo!$B:$B, 0)), 0)))</f>
        <v/>
      </c>
      <c r="AN1205" s="79">
        <f>IF(AND(A1205="", J1205=""), "", IF(A1205&lt;&gt;"", VALUE(MID(A1205,2,LEN(A1205))), AN1204))</f>
        <v/>
      </c>
      <c r="AO1205" s="79">
        <f>IF(AN1205="","",IF(AD1205=0,"OK",_xlfn.LET(monedaPago, IF(AA1205="","USD",AA1205), limitePermitido, IFERROR(VLOOKUP(monedaPago, Configuración!$A$2:$B$3, 2, FALSE), 0.15), IF(AD1205&gt;limitePermitido, "ALERTA: EXCESO (" &amp; TEXT(limitePermitido, "0%") &amp; " máx)", "OK"))))</f>
        <v/>
      </c>
      <c r="AP1205" s="79">
        <f>IF(AN1205="","",IF(AE1205=0,"OK",_xlfn.LET(fechaPago, Z1205, fechaFactura, R1205, diasCredito, IF(E1205="Pago inmediato", 0, IFERROR(VALUE(MID(E1205, 1, SEARCH(" ", E1205)-1)),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05" s="79">
        <f>IF(AN1205="","",IF(AND(N1205&gt;0, AG1205&gt;0), IF(Configuración!$K$2="NO", "ALERTA: DESCUENTO DOBLE NO PERMITIDO", "OK"), "OK"))</f>
        <v/>
      </c>
      <c r="AR1205" s="79">
        <f>IF(AN1205="","",IF(OR(AO1205&lt;&gt;"OK", AP1205&lt;&gt;"OK", AQ1205&lt;&gt;"OK"), "⚠️ REVISAR", "OK"))</f>
        <v/>
      </c>
    </row>
    <row r="1206">
      <c r="A1206" s="79">
        <f>IF('Ordenes_Odoo'!A1206="","",'Ordenes_Odoo'!A1206)</f>
        <v/>
      </c>
      <c r="B1206" s="80">
        <f>IF('Ordenes_Odoo'!B1206="","",'Ordenes_Odoo'!B1206)</f>
        <v/>
      </c>
      <c r="C1206" s="79">
        <f>IF('Ordenes_Odoo'!C1206="","",'Ordenes_Odoo'!C1206)</f>
        <v/>
      </c>
      <c r="D1206" s="79">
        <f>IF('Ordenes_Odoo'!D1206="","",'Ordenes_Odoo'!D1206)</f>
        <v/>
      </c>
      <c r="E1206" s="79">
        <f>IF('Ordenes_Odoo'!E1206="","",'Ordenes_Odoo'!E1206)</f>
        <v/>
      </c>
      <c r="F1206" s="79">
        <f>IF('Ordenes_Odoo'!F1206="","",'Ordenes_Odoo'!F1206)</f>
        <v/>
      </c>
      <c r="G1206" s="79">
        <f>IF('Ordenes_Odoo'!G1206="","",'Ordenes_Odoo'!G1206)</f>
        <v/>
      </c>
      <c r="H1206" s="79">
        <f>IF('Ordenes_Odoo'!H1206="","",'Ordenes_Odoo'!H1206)</f>
        <v/>
      </c>
      <c r="I1206" s="79">
        <f>IF('Ordenes_Odoo'!I1206="","",'Ordenes_Odoo'!I1206)</f>
        <v/>
      </c>
      <c r="J1206" s="79">
        <f>IF('Ordenes_Odoo'!J1206="","",'Ordenes_Odoo'!J1206)</f>
        <v/>
      </c>
      <c r="K1206" s="81">
        <f>IF('Ordenes_Odoo'!K1206="","",'Ordenes_Odoo'!K1206)</f>
        <v/>
      </c>
      <c r="L1206" s="81">
        <f>IF('Ordenes_Odoo'!L1206="","",'Ordenes_Odoo'!L1206)</f>
        <v/>
      </c>
      <c r="M1206" s="79">
        <f>IF('Ordenes_Odoo'!M1206="","",'Ordenes_Odoo'!M1206)</f>
        <v/>
      </c>
      <c r="N1206" s="79">
        <f>IF('Ordenes_Odoo'!N1206="","",'Ordenes_Odoo'!N1206)</f>
        <v/>
      </c>
      <c r="O1206" s="81">
        <f>IF('Ordenes_Odoo'!O1206="","",'Ordenes_Odoo'!O1206)</f>
        <v/>
      </c>
      <c r="P1206" s="81">
        <f>IF('Ordenes_Odoo'!P1206="","",'Ordenes_Odoo'!P1206)</f>
        <v/>
      </c>
      <c r="Q1206" s="79">
        <f>IF(A1206="","",IFERROR(INDEX(Facturas_Odoo!$B:$B, MATCH(A1206, Facturas_Odoo!$D:$D, 0)), "Sin Factura"))</f>
        <v/>
      </c>
      <c r="R1206" s="80">
        <f>IF(Q1206="Sin Factura","",IFERROR(INDEX(Facturas_Odoo!$A:$A, MATCH(Q1206, Facturas_Odoo!$B:$B, 0)), ""))</f>
        <v/>
      </c>
      <c r="S1206" s="79">
        <f>IF(Q1206="Sin Factura","",IFERROR(_xlfn.XLOOKUP(1, (Facturas_Odoo!$D:$D=A1206) * (Facturas_Odoo!$K:$K=I1206), Facturas_Odoo!$L:$L, ""), ""))</f>
        <v/>
      </c>
      <c r="T1206" s="81">
        <f>IF(Q1206="Sin Factura",0,IFERROR(_xlfn.XLOOKUP(1, (Facturas_Odoo!$D:$D=A1206) * (Facturas_Odoo!$K:$K=I1206), Facturas_Odoo!$M:$M, 0), 0))</f>
        <v/>
      </c>
      <c r="U1206" s="79">
        <f>IF(Q1206="Sin Factura",0,IFERROR(_xlfn.XLOOKUP(1, (Facturas_Odoo!$D:$D=A1206) * (Facturas_Odoo!$K:$K=I1206), Facturas_Odoo!$N:$N, 0), 0))</f>
        <v/>
      </c>
      <c r="V1206" s="79">
        <f>IF(Q1206="Sin Factura",0,IFERROR(_xlfn.XLOOKUP(1, (Facturas_Odoo!$D:$D=A1206) * (Facturas_Odoo!$K:$K=I1206), Facturas_Odoo!$O:$O, 0), 0))</f>
        <v/>
      </c>
      <c r="W1206" s="81">
        <f>IF(Q1206="Sin Factura",0,IFERROR(_xlfn.XLOOKUP(1, (Facturas_Odoo!$D:$D=A1206) * (Facturas_Odoo!$K:$K=I1206), Facturas_Odoo!$Q:$Q, 0), 0))</f>
        <v/>
      </c>
      <c r="X1206" s="79">
        <f>IF(OR(Q1206="Sin Factura",Q1206=""),"",IFERROR(INDEX(Pagos_Odoo!$B:$B, MATCH(Q1206, Pagos_Odoo!$I:$I, 0)), "Sin Pago"))</f>
        <v/>
      </c>
      <c r="Y1206" s="79">
        <f>IF(X1206="Sin Pago","",IFERROR(INDEX(Pagos_Odoo!$C:$C, MATCH(X1206, Pagos_Odoo!$B:$B, 0)), ""))</f>
        <v/>
      </c>
      <c r="Z1206" s="80">
        <f>IF(X1206="Sin Pago","",IFERROR(INDEX(Pagos_Odoo!$A:$A, MATCH(X1206, Pagos_Odoo!$B:$B, 0)), ""))</f>
        <v/>
      </c>
      <c r="AA1206" s="79">
        <f>IF(X1206="Sin Pago","",IFERROR(INDEX(Pagos_Odoo!$F:$F, MATCH(X1206, Pagos_Odoo!$B:$B, 0)), ""))</f>
        <v/>
      </c>
      <c r="AB1206" s="81">
        <f>IF(X1206="Sin Pago",0,IFERROR(INDEX(Pagos_Odoo!$E:$E, MATCH(X1206, Pagos_Odoo!$B:$B, 0)), 0))</f>
        <v/>
      </c>
      <c r="AC1206" s="79">
        <f>IF(X1206="Sin Pago","",IFERROR(INDEX(Pagos_Odoo!$G:$G, MATCH(X1206, Pagos_Odoo!$B:$B, 0)), ""))</f>
        <v/>
      </c>
      <c r="AD1206" s="82" t="n">
        <v>0</v>
      </c>
      <c r="AE1206" s="82" t="n"/>
      <c r="AF1206" s="82" t="n"/>
      <c r="AG1206" s="82">
        <f>IF(AN1206="","",AD1206+AE1206+AF1206)</f>
        <v/>
      </c>
      <c r="AH1206" s="81">
        <f>IF(AN1206="","",P1206*(1-AG1206))</f>
        <v/>
      </c>
      <c r="AI1206" s="81">
        <f>IF(AN1206="","",IF(Q1206="Sin Factura",0,IFERROR(INDEX(Facturas_Odoo!$H:$H, MATCH(Q1206, Facturas_Odoo!$B:$B, 0)), 0)*(1-AG1206)))</f>
        <v/>
      </c>
      <c r="AJ1206" s="81">
        <f>IF(AN1206="","",_xlfn.LET(idVenta, AN1206&amp;"",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06" s="81">
        <f>IF(AN1206="","",AH1206-AJ1206)</f>
        <v/>
      </c>
      <c r="AL1206" s="81">
        <f>IF(AN1206="","",IF(Q1206="Sin Factura","",AI1206-AJ1206))</f>
        <v/>
      </c>
      <c r="AM1206" s="81">
        <f>IF(AN1206="","",IF(Q1206="Sin Factura",0,P1206-IFERROR(INDEX(Facturas_Odoo!$H:$H, MATCH(Q1206, Facturas_Odoo!$B:$B, 0)), 0)))</f>
        <v/>
      </c>
      <c r="AN1206" s="79">
        <f>IF(AND(A1206="", J1206=""), "", IF(A1206&lt;&gt;"", VALUE(MID(A1206,2,LEN(A1206))), AN1205))</f>
        <v/>
      </c>
      <c r="AO1206" s="79">
        <f>IF(AN1206="","",IF(AD1206=0,"OK",_xlfn.LET(monedaPago, IF(AA1206="","USD",AA1206), limitePermitido, IFERROR(VLOOKUP(monedaPago, Configuración!$A$2:$B$3, 2, FALSE), 0.15), IF(AD1206&gt;limitePermitido, "ALERTA: EXCESO (" &amp; TEXT(limitePermitido, "0%") &amp; " máx)", "OK"))))</f>
        <v/>
      </c>
      <c r="AP1206" s="79">
        <f>IF(AN1206="","",IF(AE1206=0,"OK",_xlfn.LET(fechaPago, Z1206, fechaFactura, R1206, diasCredito, IF(E1206="Pago inmediato", 0, IFERROR(VALUE(MID(E1206, 1, SEARCH(" ", E1206)-1)),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06" s="79">
        <f>IF(AN1206="","",IF(AND(N1206&gt;0, AG1206&gt;0), IF(Configuración!$K$2="NO", "ALERTA: DESCUENTO DOBLE NO PERMITIDO", "OK"), "OK"))</f>
        <v/>
      </c>
      <c r="AR1206" s="79">
        <f>IF(AN1206="","",IF(OR(AO1206&lt;&gt;"OK", AP1206&lt;&gt;"OK", AQ1206&lt;&gt;"OK"), "⚠️ REVISAR", "OK"))</f>
        <v/>
      </c>
    </row>
    <row r="1207">
      <c r="A1207" s="79">
        <f>IF('Ordenes_Odoo'!A1207="","",'Ordenes_Odoo'!A1207)</f>
        <v/>
      </c>
      <c r="B1207" s="80">
        <f>IF('Ordenes_Odoo'!B1207="","",'Ordenes_Odoo'!B1207)</f>
        <v/>
      </c>
      <c r="C1207" s="79">
        <f>IF('Ordenes_Odoo'!C1207="","",'Ordenes_Odoo'!C1207)</f>
        <v/>
      </c>
      <c r="D1207" s="79">
        <f>IF('Ordenes_Odoo'!D1207="","",'Ordenes_Odoo'!D1207)</f>
        <v/>
      </c>
      <c r="E1207" s="79">
        <f>IF('Ordenes_Odoo'!E1207="","",'Ordenes_Odoo'!E1207)</f>
        <v/>
      </c>
      <c r="F1207" s="79">
        <f>IF('Ordenes_Odoo'!F1207="","",'Ordenes_Odoo'!F1207)</f>
        <v/>
      </c>
      <c r="G1207" s="79">
        <f>IF('Ordenes_Odoo'!G1207="","",'Ordenes_Odoo'!G1207)</f>
        <v/>
      </c>
      <c r="H1207" s="79">
        <f>IF('Ordenes_Odoo'!H1207="","",'Ordenes_Odoo'!H1207)</f>
        <v/>
      </c>
      <c r="I1207" s="79">
        <f>IF('Ordenes_Odoo'!I1207="","",'Ordenes_Odoo'!I1207)</f>
        <v/>
      </c>
      <c r="J1207" s="79">
        <f>IF('Ordenes_Odoo'!J1207="","",'Ordenes_Odoo'!J1207)</f>
        <v/>
      </c>
      <c r="K1207" s="81">
        <f>IF('Ordenes_Odoo'!K1207="","",'Ordenes_Odoo'!K1207)</f>
        <v/>
      </c>
      <c r="L1207" s="81">
        <f>IF('Ordenes_Odoo'!L1207="","",'Ordenes_Odoo'!L1207)</f>
        <v/>
      </c>
      <c r="M1207" s="79">
        <f>IF('Ordenes_Odoo'!M1207="","",'Ordenes_Odoo'!M1207)</f>
        <v/>
      </c>
      <c r="N1207" s="79">
        <f>IF('Ordenes_Odoo'!N1207="","",'Ordenes_Odoo'!N1207)</f>
        <v/>
      </c>
      <c r="O1207" s="81">
        <f>IF('Ordenes_Odoo'!O1207="","",'Ordenes_Odoo'!O1207)</f>
        <v/>
      </c>
      <c r="P1207" s="81">
        <f>IF('Ordenes_Odoo'!P1207="","",'Ordenes_Odoo'!P1207)</f>
        <v/>
      </c>
      <c r="Q1207" s="79">
        <f>IF(A1207="","",IFERROR(INDEX(Facturas_Odoo!$B:$B, MATCH(A1207, Facturas_Odoo!$D:$D, 0)), "Sin Factura"))</f>
        <v/>
      </c>
      <c r="R1207" s="80">
        <f>IF(Q1207="Sin Factura","",IFERROR(INDEX(Facturas_Odoo!$A:$A, MATCH(Q1207, Facturas_Odoo!$B:$B, 0)), ""))</f>
        <v/>
      </c>
      <c r="S1207" s="79">
        <f>IF(Q1207="Sin Factura","",IFERROR(_xlfn.XLOOKUP(1, (Facturas_Odoo!$D:$D=A1207) * (Facturas_Odoo!$K:$K=I1207), Facturas_Odoo!$L:$L, ""), ""))</f>
        <v/>
      </c>
      <c r="T1207" s="81">
        <f>IF(Q1207="Sin Factura",0,IFERROR(_xlfn.XLOOKUP(1, (Facturas_Odoo!$D:$D=A1207) * (Facturas_Odoo!$K:$K=I1207), Facturas_Odoo!$M:$M, 0), 0))</f>
        <v/>
      </c>
      <c r="U1207" s="79">
        <f>IF(Q1207="Sin Factura",0,IFERROR(_xlfn.XLOOKUP(1, (Facturas_Odoo!$D:$D=A1207) * (Facturas_Odoo!$K:$K=I1207), Facturas_Odoo!$N:$N, 0), 0))</f>
        <v/>
      </c>
      <c r="V1207" s="79">
        <f>IF(Q1207="Sin Factura",0,IFERROR(_xlfn.XLOOKUP(1, (Facturas_Odoo!$D:$D=A1207) * (Facturas_Odoo!$K:$K=I1207), Facturas_Odoo!$O:$O, 0), 0))</f>
        <v/>
      </c>
      <c r="W1207" s="81">
        <f>IF(Q1207="Sin Factura",0,IFERROR(_xlfn.XLOOKUP(1, (Facturas_Odoo!$D:$D=A1207) * (Facturas_Odoo!$K:$K=I1207), Facturas_Odoo!$Q:$Q, 0), 0))</f>
        <v/>
      </c>
      <c r="X1207" s="79">
        <f>IF(OR(Q1207="Sin Factura",Q1207=""),"",IFERROR(INDEX(Pagos_Odoo!$B:$B, MATCH(Q1207, Pagos_Odoo!$I:$I, 0)), "Sin Pago"))</f>
        <v/>
      </c>
      <c r="Y1207" s="79">
        <f>IF(X1207="Sin Pago","",IFERROR(INDEX(Pagos_Odoo!$C:$C, MATCH(X1207, Pagos_Odoo!$B:$B, 0)), ""))</f>
        <v/>
      </c>
      <c r="Z1207" s="80">
        <f>IF(X1207="Sin Pago","",IFERROR(INDEX(Pagos_Odoo!$A:$A, MATCH(X1207, Pagos_Odoo!$B:$B, 0)), ""))</f>
        <v/>
      </c>
      <c r="AA1207" s="79">
        <f>IF(X1207="Sin Pago","",IFERROR(INDEX(Pagos_Odoo!$F:$F, MATCH(X1207, Pagos_Odoo!$B:$B, 0)), ""))</f>
        <v/>
      </c>
      <c r="AB1207" s="81">
        <f>IF(X1207="Sin Pago",0,IFERROR(INDEX(Pagos_Odoo!$E:$E, MATCH(X1207, Pagos_Odoo!$B:$B, 0)), 0))</f>
        <v/>
      </c>
      <c r="AC1207" s="79">
        <f>IF(X1207="Sin Pago","",IFERROR(INDEX(Pagos_Odoo!$G:$G, MATCH(X1207, Pagos_Odoo!$B:$B, 0)), ""))</f>
        <v/>
      </c>
      <c r="AD1207" s="82" t="n">
        <v>0</v>
      </c>
      <c r="AE1207" s="82" t="n"/>
      <c r="AF1207" s="82" t="n"/>
      <c r="AG1207" s="82">
        <f>IF(AN1207="","",AD1207+AE1207+AF1207)</f>
        <v/>
      </c>
      <c r="AH1207" s="81">
        <f>IF(AN1207="","",P1207*(1-AG1207))</f>
        <v/>
      </c>
      <c r="AI1207" s="81">
        <f>IF(AN1207="","",IF(Q1207="Sin Factura",0,IFERROR(INDEX(Facturas_Odoo!$H:$H, MATCH(Q1207, Facturas_Odoo!$B:$B, 0)), 0)*(1-AG1207)))</f>
        <v/>
      </c>
      <c r="AJ1207" s="81">
        <f>IF(AN1207="","",_xlfn.LET(idVenta, AN1207&amp;"",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07" s="81">
        <f>IF(AN1207="","",AH1207-AJ1207)</f>
        <v/>
      </c>
      <c r="AL1207" s="81">
        <f>IF(AN1207="","",IF(Q1207="Sin Factura","",AI1207-AJ1207))</f>
        <v/>
      </c>
      <c r="AM1207" s="81">
        <f>IF(AN1207="","",IF(Q1207="Sin Factura",0,P1207-IFERROR(INDEX(Facturas_Odoo!$H:$H, MATCH(Q1207, Facturas_Odoo!$B:$B, 0)), 0)))</f>
        <v/>
      </c>
      <c r="AN1207" s="79">
        <f>IF(AND(A1207="", J1207=""), "", IF(A1207&lt;&gt;"", VALUE(MID(A1207,2,LEN(A1207))), AN1206))</f>
        <v/>
      </c>
      <c r="AO1207" s="79">
        <f>IF(AN1207="","",IF(AD1207=0,"OK",_xlfn.LET(monedaPago, IF(AA1207="","USD",AA1207), limitePermitido, IFERROR(VLOOKUP(monedaPago, Configuración!$A$2:$B$3, 2, FALSE), 0.15), IF(AD1207&gt;limitePermitido, "ALERTA: EXCESO (" &amp; TEXT(limitePermitido, "0%") &amp; " máx)", "OK"))))</f>
        <v/>
      </c>
      <c r="AP1207" s="79">
        <f>IF(AN1207="","",IF(AE1207=0,"OK",_xlfn.LET(fechaPago, Z1207, fechaFactura, R1207, diasCredito, IF(E1207="Pago inmediato", 0, IFERROR(VALUE(MID(E1207, 1, SEARCH(" ", E1207)-1)),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07" s="79">
        <f>IF(AN1207="","",IF(AND(N1207&gt;0, AG1207&gt;0), IF(Configuración!$K$2="NO", "ALERTA: DESCUENTO DOBLE NO PERMITIDO", "OK"), "OK"))</f>
        <v/>
      </c>
      <c r="AR1207" s="79">
        <f>IF(AN1207="","",IF(OR(AO1207&lt;&gt;"OK", AP1207&lt;&gt;"OK", AQ1207&lt;&gt;"OK"), "⚠️ REVISAR", "OK"))</f>
        <v/>
      </c>
    </row>
    <row r="1208">
      <c r="A1208" s="79">
        <f>IF('Ordenes_Odoo'!A1208="","",'Ordenes_Odoo'!A1208)</f>
        <v/>
      </c>
      <c r="B1208" s="80">
        <f>IF('Ordenes_Odoo'!B1208="","",'Ordenes_Odoo'!B1208)</f>
        <v/>
      </c>
      <c r="C1208" s="79">
        <f>IF('Ordenes_Odoo'!C1208="","",'Ordenes_Odoo'!C1208)</f>
        <v/>
      </c>
      <c r="D1208" s="79">
        <f>IF('Ordenes_Odoo'!D1208="","",'Ordenes_Odoo'!D1208)</f>
        <v/>
      </c>
      <c r="E1208" s="79">
        <f>IF('Ordenes_Odoo'!E1208="","",'Ordenes_Odoo'!E1208)</f>
        <v/>
      </c>
      <c r="F1208" s="79">
        <f>IF('Ordenes_Odoo'!F1208="","",'Ordenes_Odoo'!F1208)</f>
        <v/>
      </c>
      <c r="G1208" s="79">
        <f>IF('Ordenes_Odoo'!G1208="","",'Ordenes_Odoo'!G1208)</f>
        <v/>
      </c>
      <c r="H1208" s="79">
        <f>IF('Ordenes_Odoo'!H1208="","",'Ordenes_Odoo'!H1208)</f>
        <v/>
      </c>
      <c r="I1208" s="79">
        <f>IF('Ordenes_Odoo'!I1208="","",'Ordenes_Odoo'!I1208)</f>
        <v/>
      </c>
      <c r="J1208" s="79">
        <f>IF('Ordenes_Odoo'!J1208="","",'Ordenes_Odoo'!J1208)</f>
        <v/>
      </c>
      <c r="K1208" s="81">
        <f>IF('Ordenes_Odoo'!K1208="","",'Ordenes_Odoo'!K1208)</f>
        <v/>
      </c>
      <c r="L1208" s="81">
        <f>IF('Ordenes_Odoo'!L1208="","",'Ordenes_Odoo'!L1208)</f>
        <v/>
      </c>
      <c r="M1208" s="79">
        <f>IF('Ordenes_Odoo'!M1208="","",'Ordenes_Odoo'!M1208)</f>
        <v/>
      </c>
      <c r="N1208" s="79">
        <f>IF('Ordenes_Odoo'!N1208="","",'Ordenes_Odoo'!N1208)</f>
        <v/>
      </c>
      <c r="O1208" s="81">
        <f>IF('Ordenes_Odoo'!O1208="","",'Ordenes_Odoo'!O1208)</f>
        <v/>
      </c>
      <c r="P1208" s="81">
        <f>IF('Ordenes_Odoo'!P1208="","",'Ordenes_Odoo'!P1208)</f>
        <v/>
      </c>
      <c r="Q1208" s="79">
        <f>IF(A1208="","",IFERROR(INDEX(Facturas_Odoo!$B:$B, MATCH(A1208, Facturas_Odoo!$D:$D, 0)), "Sin Factura"))</f>
        <v/>
      </c>
      <c r="R1208" s="80">
        <f>IF(Q1208="Sin Factura","",IFERROR(INDEX(Facturas_Odoo!$A:$A, MATCH(Q1208, Facturas_Odoo!$B:$B, 0)), ""))</f>
        <v/>
      </c>
      <c r="S1208" s="79">
        <f>IF(Q1208="Sin Factura","",IFERROR(_xlfn.XLOOKUP(1, (Facturas_Odoo!$D:$D=A1208) * (Facturas_Odoo!$K:$K=I1208), Facturas_Odoo!$L:$L, ""), ""))</f>
        <v/>
      </c>
      <c r="T1208" s="81">
        <f>IF(Q1208="Sin Factura",0,IFERROR(_xlfn.XLOOKUP(1, (Facturas_Odoo!$D:$D=A1208) * (Facturas_Odoo!$K:$K=I1208), Facturas_Odoo!$M:$M, 0), 0))</f>
        <v/>
      </c>
      <c r="U1208" s="79">
        <f>IF(Q1208="Sin Factura",0,IFERROR(_xlfn.XLOOKUP(1, (Facturas_Odoo!$D:$D=A1208) * (Facturas_Odoo!$K:$K=I1208), Facturas_Odoo!$N:$N, 0), 0))</f>
        <v/>
      </c>
      <c r="V1208" s="79">
        <f>IF(Q1208="Sin Factura",0,IFERROR(_xlfn.XLOOKUP(1, (Facturas_Odoo!$D:$D=A1208) * (Facturas_Odoo!$K:$K=I1208), Facturas_Odoo!$O:$O, 0), 0))</f>
        <v/>
      </c>
      <c r="W1208" s="81">
        <f>IF(Q1208="Sin Factura",0,IFERROR(_xlfn.XLOOKUP(1, (Facturas_Odoo!$D:$D=A1208) * (Facturas_Odoo!$K:$K=I1208), Facturas_Odoo!$Q:$Q, 0), 0))</f>
        <v/>
      </c>
      <c r="X1208" s="79">
        <f>IF(OR(Q1208="Sin Factura",Q1208=""),"",IFERROR(INDEX(Pagos_Odoo!$B:$B, MATCH(Q1208, Pagos_Odoo!$I:$I, 0)), "Sin Pago"))</f>
        <v/>
      </c>
      <c r="Y1208" s="79">
        <f>IF(X1208="Sin Pago","",IFERROR(INDEX(Pagos_Odoo!$C:$C, MATCH(X1208, Pagos_Odoo!$B:$B, 0)), ""))</f>
        <v/>
      </c>
      <c r="Z1208" s="80">
        <f>IF(X1208="Sin Pago","",IFERROR(INDEX(Pagos_Odoo!$A:$A, MATCH(X1208, Pagos_Odoo!$B:$B, 0)), ""))</f>
        <v/>
      </c>
      <c r="AA1208" s="79">
        <f>IF(X1208="Sin Pago","",IFERROR(INDEX(Pagos_Odoo!$F:$F, MATCH(X1208, Pagos_Odoo!$B:$B, 0)), ""))</f>
        <v/>
      </c>
      <c r="AB1208" s="81">
        <f>IF(X1208="Sin Pago",0,IFERROR(INDEX(Pagos_Odoo!$E:$E, MATCH(X1208, Pagos_Odoo!$B:$B, 0)), 0))</f>
        <v/>
      </c>
      <c r="AC1208" s="79">
        <f>IF(X1208="Sin Pago","",IFERROR(INDEX(Pagos_Odoo!$G:$G, MATCH(X1208, Pagos_Odoo!$B:$B, 0)), ""))</f>
        <v/>
      </c>
      <c r="AD1208" s="82" t="n">
        <v>0</v>
      </c>
      <c r="AE1208" s="82" t="n"/>
      <c r="AF1208" s="82" t="n"/>
      <c r="AG1208" s="82">
        <f>IF(AN1208="","",AD1208+AE1208+AF1208)</f>
        <v/>
      </c>
      <c r="AH1208" s="81">
        <f>IF(AN1208="","",P1208*(1-AG1208))</f>
        <v/>
      </c>
      <c r="AI1208" s="81">
        <f>IF(AN1208="","",IF(Q1208="Sin Factura",0,IFERROR(INDEX(Facturas_Odoo!$H:$H, MATCH(Q1208, Facturas_Odoo!$B:$B, 0)), 0)*(1-AG1208)))</f>
        <v/>
      </c>
      <c r="AJ1208" s="81">
        <f>IF(AN1208="","",_xlfn.LET(idVenta, AN1208&amp;"",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08" s="81">
        <f>IF(AN1208="","",AH1208-AJ1208)</f>
        <v/>
      </c>
      <c r="AL1208" s="81">
        <f>IF(AN1208="","",IF(Q1208="Sin Factura","",AI1208-AJ1208))</f>
        <v/>
      </c>
      <c r="AM1208" s="81">
        <f>IF(AN1208="","",IF(Q1208="Sin Factura",0,P1208-IFERROR(INDEX(Facturas_Odoo!$H:$H, MATCH(Q1208, Facturas_Odoo!$B:$B, 0)), 0)))</f>
        <v/>
      </c>
      <c r="AN1208" s="79">
        <f>IF(AND(A1208="", J1208=""), "", IF(A1208&lt;&gt;"", VALUE(MID(A1208,2,LEN(A1208))), AN1207))</f>
        <v/>
      </c>
      <c r="AO1208" s="79">
        <f>IF(AN1208="","",IF(AD1208=0,"OK",_xlfn.LET(monedaPago, IF(AA1208="","USD",AA1208), limitePermitido, IFERROR(VLOOKUP(monedaPago, Configuración!$A$2:$B$3, 2, FALSE), 0.15), IF(AD1208&gt;limitePermitido, "ALERTA: EXCESO (" &amp; TEXT(limitePermitido, "0%") &amp; " máx)", "OK"))))</f>
        <v/>
      </c>
      <c r="AP1208" s="79">
        <f>IF(AN1208="","",IF(AE1208=0,"OK",_xlfn.LET(fechaPago, Z1208, fechaFactura, R1208, diasCredito, IF(E1208="Pago inmediato", 0, IFERROR(VALUE(MID(E1208, 1, SEARCH(" ", E1208)-1)),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08" s="79">
        <f>IF(AN1208="","",IF(AND(N1208&gt;0, AG1208&gt;0), IF(Configuración!$K$2="NO", "ALERTA: DESCUENTO DOBLE NO PERMITIDO", "OK"), "OK"))</f>
        <v/>
      </c>
      <c r="AR1208" s="79">
        <f>IF(AN1208="","",IF(OR(AO1208&lt;&gt;"OK", AP1208&lt;&gt;"OK", AQ1208&lt;&gt;"OK"), "⚠️ REVISAR", "OK"))</f>
        <v/>
      </c>
    </row>
    <row r="1209">
      <c r="A1209" s="79">
        <f>IF('Ordenes_Odoo'!A1209="","",'Ordenes_Odoo'!A1209)</f>
        <v/>
      </c>
      <c r="B1209" s="80">
        <f>IF('Ordenes_Odoo'!B1209="","",'Ordenes_Odoo'!B1209)</f>
        <v/>
      </c>
      <c r="C1209" s="79">
        <f>IF('Ordenes_Odoo'!C1209="","",'Ordenes_Odoo'!C1209)</f>
        <v/>
      </c>
      <c r="D1209" s="79">
        <f>IF('Ordenes_Odoo'!D1209="","",'Ordenes_Odoo'!D1209)</f>
        <v/>
      </c>
      <c r="E1209" s="79">
        <f>IF('Ordenes_Odoo'!E1209="","",'Ordenes_Odoo'!E1209)</f>
        <v/>
      </c>
      <c r="F1209" s="79">
        <f>IF('Ordenes_Odoo'!F1209="","",'Ordenes_Odoo'!F1209)</f>
        <v/>
      </c>
      <c r="G1209" s="79">
        <f>IF('Ordenes_Odoo'!G1209="","",'Ordenes_Odoo'!G1209)</f>
        <v/>
      </c>
      <c r="H1209" s="79">
        <f>IF('Ordenes_Odoo'!H1209="","",'Ordenes_Odoo'!H1209)</f>
        <v/>
      </c>
      <c r="I1209" s="79">
        <f>IF('Ordenes_Odoo'!I1209="","",'Ordenes_Odoo'!I1209)</f>
        <v/>
      </c>
      <c r="J1209" s="79">
        <f>IF('Ordenes_Odoo'!J1209="","",'Ordenes_Odoo'!J1209)</f>
        <v/>
      </c>
      <c r="K1209" s="81">
        <f>IF('Ordenes_Odoo'!K1209="","",'Ordenes_Odoo'!K1209)</f>
        <v/>
      </c>
      <c r="L1209" s="81">
        <f>IF('Ordenes_Odoo'!L1209="","",'Ordenes_Odoo'!L1209)</f>
        <v/>
      </c>
      <c r="M1209" s="79">
        <f>IF('Ordenes_Odoo'!M1209="","",'Ordenes_Odoo'!M1209)</f>
        <v/>
      </c>
      <c r="N1209" s="79">
        <f>IF('Ordenes_Odoo'!N1209="","",'Ordenes_Odoo'!N1209)</f>
        <v/>
      </c>
      <c r="O1209" s="81">
        <f>IF('Ordenes_Odoo'!O1209="","",'Ordenes_Odoo'!O1209)</f>
        <v/>
      </c>
      <c r="P1209" s="81">
        <f>IF('Ordenes_Odoo'!P1209="","",'Ordenes_Odoo'!P1209)</f>
        <v/>
      </c>
      <c r="Q1209" s="79">
        <f>IF(A1209="","",IFERROR(INDEX(Facturas_Odoo!$B:$B, MATCH(A1209, Facturas_Odoo!$D:$D, 0)), "Sin Factura"))</f>
        <v/>
      </c>
      <c r="R1209" s="80">
        <f>IF(Q1209="Sin Factura","",IFERROR(INDEX(Facturas_Odoo!$A:$A, MATCH(Q1209, Facturas_Odoo!$B:$B, 0)), ""))</f>
        <v/>
      </c>
      <c r="S1209" s="79">
        <f>IF(Q1209="Sin Factura","",IFERROR(_xlfn.XLOOKUP(1, (Facturas_Odoo!$D:$D=A1209) * (Facturas_Odoo!$K:$K=I1209), Facturas_Odoo!$L:$L, ""), ""))</f>
        <v/>
      </c>
      <c r="T1209" s="81">
        <f>IF(Q1209="Sin Factura",0,IFERROR(_xlfn.XLOOKUP(1, (Facturas_Odoo!$D:$D=A1209) * (Facturas_Odoo!$K:$K=I1209), Facturas_Odoo!$M:$M, 0), 0))</f>
        <v/>
      </c>
      <c r="U1209" s="79">
        <f>IF(Q1209="Sin Factura",0,IFERROR(_xlfn.XLOOKUP(1, (Facturas_Odoo!$D:$D=A1209) * (Facturas_Odoo!$K:$K=I1209), Facturas_Odoo!$N:$N, 0), 0))</f>
        <v/>
      </c>
      <c r="V1209" s="79">
        <f>IF(Q1209="Sin Factura",0,IFERROR(_xlfn.XLOOKUP(1, (Facturas_Odoo!$D:$D=A1209) * (Facturas_Odoo!$K:$K=I1209), Facturas_Odoo!$O:$O, 0), 0))</f>
        <v/>
      </c>
      <c r="W1209" s="81">
        <f>IF(Q1209="Sin Factura",0,IFERROR(_xlfn.XLOOKUP(1, (Facturas_Odoo!$D:$D=A1209) * (Facturas_Odoo!$K:$K=I1209), Facturas_Odoo!$Q:$Q, 0), 0))</f>
        <v/>
      </c>
      <c r="X1209" s="79">
        <f>IF(OR(Q1209="Sin Factura",Q1209=""),"",IFERROR(INDEX(Pagos_Odoo!$B:$B, MATCH(Q1209, Pagos_Odoo!$I:$I, 0)), "Sin Pago"))</f>
        <v/>
      </c>
      <c r="Y1209" s="79">
        <f>IF(X1209="Sin Pago","",IFERROR(INDEX(Pagos_Odoo!$C:$C, MATCH(X1209, Pagos_Odoo!$B:$B, 0)), ""))</f>
        <v/>
      </c>
      <c r="Z1209" s="80">
        <f>IF(X1209="Sin Pago","",IFERROR(INDEX(Pagos_Odoo!$A:$A, MATCH(X1209, Pagos_Odoo!$B:$B, 0)), ""))</f>
        <v/>
      </c>
      <c r="AA1209" s="79">
        <f>IF(X1209="Sin Pago","",IFERROR(INDEX(Pagos_Odoo!$F:$F, MATCH(X1209, Pagos_Odoo!$B:$B, 0)), ""))</f>
        <v/>
      </c>
      <c r="AB1209" s="81">
        <f>IF(X1209="Sin Pago",0,IFERROR(INDEX(Pagos_Odoo!$E:$E, MATCH(X1209, Pagos_Odoo!$B:$B, 0)), 0))</f>
        <v/>
      </c>
      <c r="AC1209" s="79">
        <f>IF(X1209="Sin Pago","",IFERROR(INDEX(Pagos_Odoo!$G:$G, MATCH(X1209, Pagos_Odoo!$B:$B, 0)), ""))</f>
        <v/>
      </c>
      <c r="AD1209" s="82" t="n">
        <v>0</v>
      </c>
      <c r="AE1209" s="82" t="n"/>
      <c r="AF1209" s="82" t="n"/>
      <c r="AG1209" s="82">
        <f>IF(AN1209="","",AD1209+AE1209+AF1209)</f>
        <v/>
      </c>
      <c r="AH1209" s="81">
        <f>IF(AN1209="","",P1209*(1-AG1209))</f>
        <v/>
      </c>
      <c r="AI1209" s="81">
        <f>IF(AN1209="","",IF(Q1209="Sin Factura",0,IFERROR(INDEX(Facturas_Odoo!$H:$H, MATCH(Q1209, Facturas_Odoo!$B:$B, 0)), 0)*(1-AG1209)))</f>
        <v/>
      </c>
      <c r="AJ1209" s="81">
        <f>IF(AN1209="","",_xlfn.LET(idVenta, AN1209&amp;"",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09" s="81">
        <f>IF(AN1209="","",AH1209-AJ1209)</f>
        <v/>
      </c>
      <c r="AL1209" s="81">
        <f>IF(AN1209="","",IF(Q1209="Sin Factura","",AI1209-AJ1209))</f>
        <v/>
      </c>
      <c r="AM1209" s="81">
        <f>IF(AN1209="","",IF(Q1209="Sin Factura",0,P1209-IFERROR(INDEX(Facturas_Odoo!$H:$H, MATCH(Q1209, Facturas_Odoo!$B:$B, 0)), 0)))</f>
        <v/>
      </c>
      <c r="AN1209" s="79">
        <f>IF(AND(A1209="", J1209=""), "", IF(A1209&lt;&gt;"", VALUE(MID(A1209,2,LEN(A1209))), AN1208))</f>
        <v/>
      </c>
      <c r="AO1209" s="79">
        <f>IF(AN1209="","",IF(AD1209=0,"OK",_xlfn.LET(monedaPago, IF(AA1209="","USD",AA1209), limitePermitido, IFERROR(VLOOKUP(monedaPago, Configuración!$A$2:$B$3, 2, FALSE), 0.15), IF(AD1209&gt;limitePermitido, "ALERTA: EXCESO (" &amp; TEXT(limitePermitido, "0%") &amp; " máx)", "OK"))))</f>
        <v/>
      </c>
      <c r="AP1209" s="79">
        <f>IF(AN1209="","",IF(AE1209=0,"OK",_xlfn.LET(fechaPago, Z1209, fechaFactura, R1209, diasCredito, IF(E1209="Pago inmediato", 0, IFERROR(VALUE(MID(E1209, 1, SEARCH(" ", E1209)-1)),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09" s="79">
        <f>IF(AN1209="","",IF(AND(N1209&gt;0, AG1209&gt;0), IF(Configuración!$K$2="NO", "ALERTA: DESCUENTO DOBLE NO PERMITIDO", "OK"), "OK"))</f>
        <v/>
      </c>
      <c r="AR1209" s="79">
        <f>IF(AN1209="","",IF(OR(AO1209&lt;&gt;"OK", AP1209&lt;&gt;"OK", AQ1209&lt;&gt;"OK"), "⚠️ REVISAR", "OK"))</f>
        <v/>
      </c>
    </row>
    <row r="1210">
      <c r="A1210" s="79">
        <f>IF('Ordenes_Odoo'!A1210="","",'Ordenes_Odoo'!A1210)</f>
        <v/>
      </c>
      <c r="B1210" s="80">
        <f>IF('Ordenes_Odoo'!B1210="","",'Ordenes_Odoo'!B1210)</f>
        <v/>
      </c>
      <c r="C1210" s="79">
        <f>IF('Ordenes_Odoo'!C1210="","",'Ordenes_Odoo'!C1210)</f>
        <v/>
      </c>
      <c r="D1210" s="79">
        <f>IF('Ordenes_Odoo'!D1210="","",'Ordenes_Odoo'!D1210)</f>
        <v/>
      </c>
      <c r="E1210" s="79">
        <f>IF('Ordenes_Odoo'!E1210="","",'Ordenes_Odoo'!E1210)</f>
        <v/>
      </c>
      <c r="F1210" s="79">
        <f>IF('Ordenes_Odoo'!F1210="","",'Ordenes_Odoo'!F1210)</f>
        <v/>
      </c>
      <c r="G1210" s="79">
        <f>IF('Ordenes_Odoo'!G1210="","",'Ordenes_Odoo'!G1210)</f>
        <v/>
      </c>
      <c r="H1210" s="79">
        <f>IF('Ordenes_Odoo'!H1210="","",'Ordenes_Odoo'!H1210)</f>
        <v/>
      </c>
      <c r="I1210" s="79">
        <f>IF('Ordenes_Odoo'!I1210="","",'Ordenes_Odoo'!I1210)</f>
        <v/>
      </c>
      <c r="J1210" s="79">
        <f>IF('Ordenes_Odoo'!J1210="","",'Ordenes_Odoo'!J1210)</f>
        <v/>
      </c>
      <c r="K1210" s="81">
        <f>IF('Ordenes_Odoo'!K1210="","",'Ordenes_Odoo'!K1210)</f>
        <v/>
      </c>
      <c r="L1210" s="81">
        <f>IF('Ordenes_Odoo'!L1210="","",'Ordenes_Odoo'!L1210)</f>
        <v/>
      </c>
      <c r="M1210" s="79">
        <f>IF('Ordenes_Odoo'!M1210="","",'Ordenes_Odoo'!M1210)</f>
        <v/>
      </c>
      <c r="N1210" s="79">
        <f>IF('Ordenes_Odoo'!N1210="","",'Ordenes_Odoo'!N1210)</f>
        <v/>
      </c>
      <c r="O1210" s="81">
        <f>IF('Ordenes_Odoo'!O1210="","",'Ordenes_Odoo'!O1210)</f>
        <v/>
      </c>
      <c r="P1210" s="81">
        <f>IF('Ordenes_Odoo'!P1210="","",'Ordenes_Odoo'!P1210)</f>
        <v/>
      </c>
      <c r="Q1210" s="79">
        <f>IF(A1210="","",IFERROR(INDEX(Facturas_Odoo!$B:$B, MATCH(A1210, Facturas_Odoo!$D:$D, 0)), "Sin Factura"))</f>
        <v/>
      </c>
      <c r="R1210" s="80">
        <f>IF(Q1210="Sin Factura","",IFERROR(INDEX(Facturas_Odoo!$A:$A, MATCH(Q1210, Facturas_Odoo!$B:$B, 0)), ""))</f>
        <v/>
      </c>
      <c r="S1210" s="79">
        <f>IF(Q1210="Sin Factura","",IFERROR(_xlfn.XLOOKUP(1, (Facturas_Odoo!$D:$D=A1210) * (Facturas_Odoo!$K:$K=I1210), Facturas_Odoo!$L:$L, ""), ""))</f>
        <v/>
      </c>
      <c r="T1210" s="81">
        <f>IF(Q1210="Sin Factura",0,IFERROR(_xlfn.XLOOKUP(1, (Facturas_Odoo!$D:$D=A1210) * (Facturas_Odoo!$K:$K=I1210), Facturas_Odoo!$M:$M, 0), 0))</f>
        <v/>
      </c>
      <c r="U1210" s="79">
        <f>IF(Q1210="Sin Factura",0,IFERROR(_xlfn.XLOOKUP(1, (Facturas_Odoo!$D:$D=A1210) * (Facturas_Odoo!$K:$K=I1210), Facturas_Odoo!$N:$N, 0), 0))</f>
        <v/>
      </c>
      <c r="V1210" s="79">
        <f>IF(Q1210="Sin Factura",0,IFERROR(_xlfn.XLOOKUP(1, (Facturas_Odoo!$D:$D=A1210) * (Facturas_Odoo!$K:$K=I1210), Facturas_Odoo!$O:$O, 0), 0))</f>
        <v/>
      </c>
      <c r="W1210" s="81">
        <f>IF(Q1210="Sin Factura",0,IFERROR(_xlfn.XLOOKUP(1, (Facturas_Odoo!$D:$D=A1210) * (Facturas_Odoo!$K:$K=I1210), Facturas_Odoo!$Q:$Q, 0), 0))</f>
        <v/>
      </c>
      <c r="X1210" s="79">
        <f>IF(OR(Q1210="Sin Factura",Q1210=""),"",IFERROR(INDEX(Pagos_Odoo!$B:$B, MATCH(Q1210, Pagos_Odoo!$I:$I, 0)), "Sin Pago"))</f>
        <v/>
      </c>
      <c r="Y1210" s="79">
        <f>IF(X1210="Sin Pago","",IFERROR(INDEX(Pagos_Odoo!$C:$C, MATCH(X1210, Pagos_Odoo!$B:$B, 0)), ""))</f>
        <v/>
      </c>
      <c r="Z1210" s="80">
        <f>IF(X1210="Sin Pago","",IFERROR(INDEX(Pagos_Odoo!$A:$A, MATCH(X1210, Pagos_Odoo!$B:$B, 0)), ""))</f>
        <v/>
      </c>
      <c r="AA1210" s="79">
        <f>IF(X1210="Sin Pago","",IFERROR(INDEX(Pagos_Odoo!$F:$F, MATCH(X1210, Pagos_Odoo!$B:$B, 0)), ""))</f>
        <v/>
      </c>
      <c r="AB1210" s="81">
        <f>IF(X1210="Sin Pago",0,IFERROR(INDEX(Pagos_Odoo!$E:$E, MATCH(X1210, Pagos_Odoo!$B:$B, 0)), 0))</f>
        <v/>
      </c>
      <c r="AC1210" s="79">
        <f>IF(X1210="Sin Pago","",IFERROR(INDEX(Pagos_Odoo!$G:$G, MATCH(X1210, Pagos_Odoo!$B:$B, 0)), ""))</f>
        <v/>
      </c>
      <c r="AD1210" s="82" t="n">
        <v>0</v>
      </c>
      <c r="AE1210" s="82" t="n"/>
      <c r="AF1210" s="82" t="n"/>
      <c r="AG1210" s="82">
        <f>IF(AN1210="","",AD1210+AE1210+AF1210)</f>
        <v/>
      </c>
      <c r="AH1210" s="81">
        <f>IF(AN1210="","",P1210*(1-AG1210))</f>
        <v/>
      </c>
      <c r="AI1210" s="81">
        <f>IF(AN1210="","",IF(Q1210="Sin Factura",0,IFERROR(INDEX(Facturas_Odoo!$H:$H, MATCH(Q1210, Facturas_Odoo!$B:$B, 0)), 0)*(1-AG1210)))</f>
        <v/>
      </c>
      <c r="AJ1210" s="81">
        <f>IF(AN1210="","",_xlfn.LET(idVenta, AN1210&amp;"",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10" s="81">
        <f>IF(AN1210="","",AH1210-AJ1210)</f>
        <v/>
      </c>
      <c r="AL1210" s="81">
        <f>IF(AN1210="","",IF(Q1210="Sin Factura","",AI1210-AJ1210))</f>
        <v/>
      </c>
      <c r="AM1210" s="81">
        <f>IF(AN1210="","",IF(Q1210="Sin Factura",0,P1210-IFERROR(INDEX(Facturas_Odoo!$H:$H, MATCH(Q1210, Facturas_Odoo!$B:$B, 0)), 0)))</f>
        <v/>
      </c>
      <c r="AN1210" s="79">
        <f>IF(AND(A1210="", J1210=""), "", IF(A1210&lt;&gt;"", VALUE(MID(A1210,2,LEN(A1210))), AN1209))</f>
        <v/>
      </c>
      <c r="AO1210" s="79">
        <f>IF(AN1210="","",IF(AD1210=0,"OK",_xlfn.LET(monedaPago, IF(AA1210="","USD",AA1210), limitePermitido, IFERROR(VLOOKUP(monedaPago, Configuración!$A$2:$B$3, 2, FALSE), 0.15), IF(AD1210&gt;limitePermitido, "ALERTA: EXCESO (" &amp; TEXT(limitePermitido, "0%") &amp; " máx)", "OK"))))</f>
        <v/>
      </c>
      <c r="AP1210" s="79">
        <f>IF(AN1210="","",IF(AE1210=0,"OK",_xlfn.LET(fechaPago, Z1210, fechaFactura, R1210, diasCredito, IF(E1210="Pago inmediato", 0, IFERROR(VALUE(MID(E1210, 1, SEARCH(" ", E1210)-1)),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10" s="79">
        <f>IF(AN1210="","",IF(AND(N1210&gt;0, AG1210&gt;0), IF(Configuración!$K$2="NO", "ALERTA: DESCUENTO DOBLE NO PERMITIDO", "OK"), "OK"))</f>
        <v/>
      </c>
      <c r="AR1210" s="79">
        <f>IF(AN1210="","",IF(OR(AO1210&lt;&gt;"OK", AP1210&lt;&gt;"OK", AQ1210&lt;&gt;"OK"), "⚠️ REVISAR", "OK"))</f>
        <v/>
      </c>
    </row>
    <row r="1211">
      <c r="A1211" s="79">
        <f>IF('Ordenes_Odoo'!A1211="","",'Ordenes_Odoo'!A1211)</f>
        <v/>
      </c>
      <c r="B1211" s="80">
        <f>IF('Ordenes_Odoo'!B1211="","",'Ordenes_Odoo'!B1211)</f>
        <v/>
      </c>
      <c r="C1211" s="79">
        <f>IF('Ordenes_Odoo'!C1211="","",'Ordenes_Odoo'!C1211)</f>
        <v/>
      </c>
      <c r="D1211" s="79">
        <f>IF('Ordenes_Odoo'!D1211="","",'Ordenes_Odoo'!D1211)</f>
        <v/>
      </c>
      <c r="E1211" s="79">
        <f>IF('Ordenes_Odoo'!E1211="","",'Ordenes_Odoo'!E1211)</f>
        <v/>
      </c>
      <c r="F1211" s="79">
        <f>IF('Ordenes_Odoo'!F1211="","",'Ordenes_Odoo'!F1211)</f>
        <v/>
      </c>
      <c r="G1211" s="79">
        <f>IF('Ordenes_Odoo'!G1211="","",'Ordenes_Odoo'!G1211)</f>
        <v/>
      </c>
      <c r="H1211" s="79">
        <f>IF('Ordenes_Odoo'!H1211="","",'Ordenes_Odoo'!H1211)</f>
        <v/>
      </c>
      <c r="I1211" s="79">
        <f>IF('Ordenes_Odoo'!I1211="","",'Ordenes_Odoo'!I1211)</f>
        <v/>
      </c>
      <c r="J1211" s="79">
        <f>IF('Ordenes_Odoo'!J1211="","",'Ordenes_Odoo'!J1211)</f>
        <v/>
      </c>
      <c r="K1211" s="81">
        <f>IF('Ordenes_Odoo'!K1211="","",'Ordenes_Odoo'!K1211)</f>
        <v/>
      </c>
      <c r="L1211" s="81">
        <f>IF('Ordenes_Odoo'!L1211="","",'Ordenes_Odoo'!L1211)</f>
        <v/>
      </c>
      <c r="M1211" s="79">
        <f>IF('Ordenes_Odoo'!M1211="","",'Ordenes_Odoo'!M1211)</f>
        <v/>
      </c>
      <c r="N1211" s="79">
        <f>IF('Ordenes_Odoo'!N1211="","",'Ordenes_Odoo'!N1211)</f>
        <v/>
      </c>
      <c r="O1211" s="81">
        <f>IF('Ordenes_Odoo'!O1211="","",'Ordenes_Odoo'!O1211)</f>
        <v/>
      </c>
      <c r="P1211" s="81">
        <f>IF('Ordenes_Odoo'!P1211="","",'Ordenes_Odoo'!P1211)</f>
        <v/>
      </c>
      <c r="Q1211" s="79">
        <f>IF(A1211="","",IFERROR(INDEX(Facturas_Odoo!$B:$B, MATCH(A1211, Facturas_Odoo!$D:$D, 0)), "Sin Factura"))</f>
        <v/>
      </c>
      <c r="R1211" s="80">
        <f>IF(Q1211="Sin Factura","",IFERROR(INDEX(Facturas_Odoo!$A:$A, MATCH(Q1211, Facturas_Odoo!$B:$B, 0)), ""))</f>
        <v/>
      </c>
      <c r="S1211" s="79">
        <f>IF(Q1211="Sin Factura","",IFERROR(_xlfn.XLOOKUP(1, (Facturas_Odoo!$D:$D=A1211) * (Facturas_Odoo!$K:$K=I1211), Facturas_Odoo!$L:$L, ""), ""))</f>
        <v/>
      </c>
      <c r="T1211" s="81">
        <f>IF(Q1211="Sin Factura",0,IFERROR(_xlfn.XLOOKUP(1, (Facturas_Odoo!$D:$D=A1211) * (Facturas_Odoo!$K:$K=I1211), Facturas_Odoo!$M:$M, 0), 0))</f>
        <v/>
      </c>
      <c r="U1211" s="79">
        <f>IF(Q1211="Sin Factura",0,IFERROR(_xlfn.XLOOKUP(1, (Facturas_Odoo!$D:$D=A1211) * (Facturas_Odoo!$K:$K=I1211), Facturas_Odoo!$N:$N, 0), 0))</f>
        <v/>
      </c>
      <c r="V1211" s="79">
        <f>IF(Q1211="Sin Factura",0,IFERROR(_xlfn.XLOOKUP(1, (Facturas_Odoo!$D:$D=A1211) * (Facturas_Odoo!$K:$K=I1211), Facturas_Odoo!$O:$O, 0), 0))</f>
        <v/>
      </c>
      <c r="W1211" s="81">
        <f>IF(Q1211="Sin Factura",0,IFERROR(_xlfn.XLOOKUP(1, (Facturas_Odoo!$D:$D=A1211) * (Facturas_Odoo!$K:$K=I1211), Facturas_Odoo!$Q:$Q, 0), 0))</f>
        <v/>
      </c>
      <c r="X1211" s="79">
        <f>IF(OR(Q1211="Sin Factura",Q1211=""),"",IFERROR(INDEX(Pagos_Odoo!$B:$B, MATCH(Q1211, Pagos_Odoo!$I:$I, 0)), "Sin Pago"))</f>
        <v/>
      </c>
      <c r="Y1211" s="79">
        <f>IF(X1211="Sin Pago","",IFERROR(INDEX(Pagos_Odoo!$C:$C, MATCH(X1211, Pagos_Odoo!$B:$B, 0)), ""))</f>
        <v/>
      </c>
      <c r="Z1211" s="80">
        <f>IF(X1211="Sin Pago","",IFERROR(INDEX(Pagos_Odoo!$A:$A, MATCH(X1211, Pagos_Odoo!$B:$B, 0)), ""))</f>
        <v/>
      </c>
      <c r="AA1211" s="79">
        <f>IF(X1211="Sin Pago","",IFERROR(INDEX(Pagos_Odoo!$F:$F, MATCH(X1211, Pagos_Odoo!$B:$B, 0)), ""))</f>
        <v/>
      </c>
      <c r="AB1211" s="81">
        <f>IF(X1211="Sin Pago",0,IFERROR(INDEX(Pagos_Odoo!$E:$E, MATCH(X1211, Pagos_Odoo!$B:$B, 0)), 0))</f>
        <v/>
      </c>
      <c r="AC1211" s="79">
        <f>IF(X1211="Sin Pago","",IFERROR(INDEX(Pagos_Odoo!$G:$G, MATCH(X1211, Pagos_Odoo!$B:$B, 0)), ""))</f>
        <v/>
      </c>
      <c r="AD1211" s="82" t="n">
        <v>0</v>
      </c>
      <c r="AE1211" s="82" t="n"/>
      <c r="AF1211" s="82" t="n"/>
      <c r="AG1211" s="82">
        <f>IF(AN1211="","",AD1211+AE1211+AF1211)</f>
        <v/>
      </c>
      <c r="AH1211" s="81">
        <f>IF(AN1211="","",P1211*(1-AG1211))</f>
        <v/>
      </c>
      <c r="AI1211" s="81">
        <f>IF(AN1211="","",IF(Q1211="Sin Factura",0,IFERROR(INDEX(Facturas_Odoo!$H:$H, MATCH(Q1211, Facturas_Odoo!$B:$B, 0)), 0)*(1-AG1211)))</f>
        <v/>
      </c>
      <c r="AJ1211" s="81">
        <f>IF(AN1211="","",_xlfn.LET(idVenta, AN1211&amp;"",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11" s="81">
        <f>IF(AN1211="","",AH1211-AJ1211)</f>
        <v/>
      </c>
      <c r="AL1211" s="81">
        <f>IF(AN1211="","",IF(Q1211="Sin Factura","",AI1211-AJ1211))</f>
        <v/>
      </c>
      <c r="AM1211" s="81">
        <f>IF(AN1211="","",IF(Q1211="Sin Factura",0,P1211-IFERROR(INDEX(Facturas_Odoo!$H:$H, MATCH(Q1211, Facturas_Odoo!$B:$B, 0)), 0)))</f>
        <v/>
      </c>
      <c r="AN1211" s="79">
        <f>IF(AND(A1211="", J1211=""), "", IF(A1211&lt;&gt;"", VALUE(MID(A1211,2,LEN(A1211))), AN1210))</f>
        <v/>
      </c>
      <c r="AO1211" s="79">
        <f>IF(AN1211="","",IF(AD1211=0,"OK",_xlfn.LET(monedaPago, IF(AA1211="","USD",AA1211), limitePermitido, IFERROR(VLOOKUP(monedaPago, Configuración!$A$2:$B$3, 2, FALSE), 0.15), IF(AD1211&gt;limitePermitido, "ALERTA: EXCESO (" &amp; TEXT(limitePermitido, "0%") &amp; " máx)", "OK"))))</f>
        <v/>
      </c>
      <c r="AP1211" s="79">
        <f>IF(AN1211="","",IF(AE1211=0,"OK",_xlfn.LET(fechaPago, Z1211, fechaFactura, R1211, diasCredito, IF(E1211="Pago inmediato", 0, IFERROR(VALUE(MID(E1211, 1, SEARCH(" ", E1211)-1)),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11" s="79">
        <f>IF(AN1211="","",IF(AND(N1211&gt;0, AG1211&gt;0), IF(Configuración!$K$2="NO", "ALERTA: DESCUENTO DOBLE NO PERMITIDO", "OK"), "OK"))</f>
        <v/>
      </c>
      <c r="AR1211" s="79">
        <f>IF(AN1211="","",IF(OR(AO1211&lt;&gt;"OK", AP1211&lt;&gt;"OK", AQ1211&lt;&gt;"OK"), "⚠️ REVISAR", "OK"))</f>
        <v/>
      </c>
    </row>
    <row r="1212">
      <c r="A1212" s="79">
        <f>IF('Ordenes_Odoo'!A1212="","",'Ordenes_Odoo'!A1212)</f>
        <v/>
      </c>
      <c r="B1212" s="80">
        <f>IF('Ordenes_Odoo'!B1212="","",'Ordenes_Odoo'!B1212)</f>
        <v/>
      </c>
      <c r="C1212" s="79">
        <f>IF('Ordenes_Odoo'!C1212="","",'Ordenes_Odoo'!C1212)</f>
        <v/>
      </c>
      <c r="D1212" s="79">
        <f>IF('Ordenes_Odoo'!D1212="","",'Ordenes_Odoo'!D1212)</f>
        <v/>
      </c>
      <c r="E1212" s="79">
        <f>IF('Ordenes_Odoo'!E1212="","",'Ordenes_Odoo'!E1212)</f>
        <v/>
      </c>
      <c r="F1212" s="79">
        <f>IF('Ordenes_Odoo'!F1212="","",'Ordenes_Odoo'!F1212)</f>
        <v/>
      </c>
      <c r="G1212" s="79">
        <f>IF('Ordenes_Odoo'!G1212="","",'Ordenes_Odoo'!G1212)</f>
        <v/>
      </c>
      <c r="H1212" s="79">
        <f>IF('Ordenes_Odoo'!H1212="","",'Ordenes_Odoo'!H1212)</f>
        <v/>
      </c>
      <c r="I1212" s="79">
        <f>IF('Ordenes_Odoo'!I1212="","",'Ordenes_Odoo'!I1212)</f>
        <v/>
      </c>
      <c r="J1212" s="79">
        <f>IF('Ordenes_Odoo'!J1212="","",'Ordenes_Odoo'!J1212)</f>
        <v/>
      </c>
      <c r="K1212" s="81">
        <f>IF('Ordenes_Odoo'!K1212="","",'Ordenes_Odoo'!K1212)</f>
        <v/>
      </c>
      <c r="L1212" s="81">
        <f>IF('Ordenes_Odoo'!L1212="","",'Ordenes_Odoo'!L1212)</f>
        <v/>
      </c>
      <c r="M1212" s="79">
        <f>IF('Ordenes_Odoo'!M1212="","",'Ordenes_Odoo'!M1212)</f>
        <v/>
      </c>
      <c r="N1212" s="79">
        <f>IF('Ordenes_Odoo'!N1212="","",'Ordenes_Odoo'!N1212)</f>
        <v/>
      </c>
      <c r="O1212" s="81">
        <f>IF('Ordenes_Odoo'!O1212="","",'Ordenes_Odoo'!O1212)</f>
        <v/>
      </c>
      <c r="P1212" s="81">
        <f>IF('Ordenes_Odoo'!P1212="","",'Ordenes_Odoo'!P1212)</f>
        <v/>
      </c>
      <c r="Q1212" s="79">
        <f>IF(A1212="","",IFERROR(INDEX(Facturas_Odoo!$B:$B, MATCH(A1212, Facturas_Odoo!$D:$D, 0)), "Sin Factura"))</f>
        <v/>
      </c>
      <c r="R1212" s="80">
        <f>IF(Q1212="Sin Factura","",IFERROR(INDEX(Facturas_Odoo!$A:$A, MATCH(Q1212, Facturas_Odoo!$B:$B, 0)), ""))</f>
        <v/>
      </c>
      <c r="S1212" s="79">
        <f>IF(Q1212="Sin Factura","",IFERROR(_xlfn.XLOOKUP(1, (Facturas_Odoo!$D:$D=A1212) * (Facturas_Odoo!$K:$K=I1212), Facturas_Odoo!$L:$L, ""), ""))</f>
        <v/>
      </c>
      <c r="T1212" s="81">
        <f>IF(Q1212="Sin Factura",0,IFERROR(_xlfn.XLOOKUP(1, (Facturas_Odoo!$D:$D=A1212) * (Facturas_Odoo!$K:$K=I1212), Facturas_Odoo!$M:$M, 0), 0))</f>
        <v/>
      </c>
      <c r="U1212" s="79">
        <f>IF(Q1212="Sin Factura",0,IFERROR(_xlfn.XLOOKUP(1, (Facturas_Odoo!$D:$D=A1212) * (Facturas_Odoo!$K:$K=I1212), Facturas_Odoo!$N:$N, 0), 0))</f>
        <v/>
      </c>
      <c r="V1212" s="79">
        <f>IF(Q1212="Sin Factura",0,IFERROR(_xlfn.XLOOKUP(1, (Facturas_Odoo!$D:$D=A1212) * (Facturas_Odoo!$K:$K=I1212), Facturas_Odoo!$O:$O, 0), 0))</f>
        <v/>
      </c>
      <c r="W1212" s="81">
        <f>IF(Q1212="Sin Factura",0,IFERROR(_xlfn.XLOOKUP(1, (Facturas_Odoo!$D:$D=A1212) * (Facturas_Odoo!$K:$K=I1212), Facturas_Odoo!$Q:$Q, 0), 0))</f>
        <v/>
      </c>
      <c r="X1212" s="79">
        <f>IF(OR(Q1212="Sin Factura",Q1212=""),"",IFERROR(INDEX(Pagos_Odoo!$B:$B, MATCH(Q1212, Pagos_Odoo!$I:$I, 0)), "Sin Pago"))</f>
        <v/>
      </c>
      <c r="Y1212" s="79">
        <f>IF(X1212="Sin Pago","",IFERROR(INDEX(Pagos_Odoo!$C:$C, MATCH(X1212, Pagos_Odoo!$B:$B, 0)), ""))</f>
        <v/>
      </c>
      <c r="Z1212" s="80">
        <f>IF(X1212="Sin Pago","",IFERROR(INDEX(Pagos_Odoo!$A:$A, MATCH(X1212, Pagos_Odoo!$B:$B, 0)), ""))</f>
        <v/>
      </c>
      <c r="AA1212" s="79">
        <f>IF(X1212="Sin Pago","",IFERROR(INDEX(Pagos_Odoo!$F:$F, MATCH(X1212, Pagos_Odoo!$B:$B, 0)), ""))</f>
        <v/>
      </c>
      <c r="AB1212" s="81">
        <f>IF(X1212="Sin Pago",0,IFERROR(INDEX(Pagos_Odoo!$E:$E, MATCH(X1212, Pagos_Odoo!$B:$B, 0)), 0))</f>
        <v/>
      </c>
      <c r="AC1212" s="79">
        <f>IF(X1212="Sin Pago","",IFERROR(INDEX(Pagos_Odoo!$G:$G, MATCH(X1212, Pagos_Odoo!$B:$B, 0)), ""))</f>
        <v/>
      </c>
      <c r="AD1212" s="82" t="n">
        <v>0</v>
      </c>
      <c r="AE1212" s="82" t="n"/>
      <c r="AF1212" s="82" t="n"/>
      <c r="AG1212" s="82">
        <f>IF(AN1212="","",AD1212+AE1212+AF1212)</f>
        <v/>
      </c>
      <c r="AH1212" s="81">
        <f>IF(AN1212="","",P1212*(1-AG1212))</f>
        <v/>
      </c>
      <c r="AI1212" s="81">
        <f>IF(AN1212="","",IF(Q1212="Sin Factura",0,IFERROR(INDEX(Facturas_Odoo!$H:$H, MATCH(Q1212, Facturas_Odoo!$B:$B, 0)), 0)*(1-AG1212)))</f>
        <v/>
      </c>
      <c r="AJ1212" s="81">
        <f>IF(AN1212="","",_xlfn.LET(idVenta, AN1212&amp;"",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12" s="81">
        <f>IF(AN1212="","",AH1212-AJ1212)</f>
        <v/>
      </c>
      <c r="AL1212" s="81">
        <f>IF(AN1212="","",IF(Q1212="Sin Factura","",AI1212-AJ1212))</f>
        <v/>
      </c>
      <c r="AM1212" s="81">
        <f>IF(AN1212="","",IF(Q1212="Sin Factura",0,P1212-IFERROR(INDEX(Facturas_Odoo!$H:$H, MATCH(Q1212, Facturas_Odoo!$B:$B, 0)), 0)))</f>
        <v/>
      </c>
      <c r="AN1212" s="79">
        <f>IF(AND(A1212="", J1212=""), "", IF(A1212&lt;&gt;"", VALUE(MID(A1212,2,LEN(A1212))), AN1211))</f>
        <v/>
      </c>
      <c r="AO1212" s="79">
        <f>IF(AN1212="","",IF(AD1212=0,"OK",_xlfn.LET(monedaPago, IF(AA1212="","USD",AA1212), limitePermitido, IFERROR(VLOOKUP(monedaPago, Configuración!$A$2:$B$3, 2, FALSE), 0.15), IF(AD1212&gt;limitePermitido, "ALERTA: EXCESO (" &amp; TEXT(limitePermitido, "0%") &amp; " máx)", "OK"))))</f>
        <v/>
      </c>
      <c r="AP1212" s="79">
        <f>IF(AN1212="","",IF(AE1212=0,"OK",_xlfn.LET(fechaPago, Z1212, fechaFactura, R1212, diasCredito, IF(E1212="Pago inmediato", 0, IFERROR(VALUE(MID(E1212, 1, SEARCH(" ", E1212)-1)),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12" s="79">
        <f>IF(AN1212="","",IF(AND(N1212&gt;0, AG1212&gt;0), IF(Configuración!$K$2="NO", "ALERTA: DESCUENTO DOBLE NO PERMITIDO", "OK"), "OK"))</f>
        <v/>
      </c>
      <c r="AR1212" s="79">
        <f>IF(AN1212="","",IF(OR(AO1212&lt;&gt;"OK", AP1212&lt;&gt;"OK", AQ1212&lt;&gt;"OK"), "⚠️ REVISAR", "OK"))</f>
        <v/>
      </c>
    </row>
    <row r="1213">
      <c r="A1213" s="79">
        <f>IF('Ordenes_Odoo'!A1213="","",'Ordenes_Odoo'!A1213)</f>
        <v/>
      </c>
      <c r="B1213" s="80">
        <f>IF('Ordenes_Odoo'!B1213="","",'Ordenes_Odoo'!B1213)</f>
        <v/>
      </c>
      <c r="C1213" s="79">
        <f>IF('Ordenes_Odoo'!C1213="","",'Ordenes_Odoo'!C1213)</f>
        <v/>
      </c>
      <c r="D1213" s="79">
        <f>IF('Ordenes_Odoo'!D1213="","",'Ordenes_Odoo'!D1213)</f>
        <v/>
      </c>
      <c r="E1213" s="79">
        <f>IF('Ordenes_Odoo'!E1213="","",'Ordenes_Odoo'!E1213)</f>
        <v/>
      </c>
      <c r="F1213" s="79">
        <f>IF('Ordenes_Odoo'!F1213="","",'Ordenes_Odoo'!F1213)</f>
        <v/>
      </c>
      <c r="G1213" s="79">
        <f>IF('Ordenes_Odoo'!G1213="","",'Ordenes_Odoo'!G1213)</f>
        <v/>
      </c>
      <c r="H1213" s="79">
        <f>IF('Ordenes_Odoo'!H1213="","",'Ordenes_Odoo'!H1213)</f>
        <v/>
      </c>
      <c r="I1213" s="79">
        <f>IF('Ordenes_Odoo'!I1213="","",'Ordenes_Odoo'!I1213)</f>
        <v/>
      </c>
      <c r="J1213" s="79">
        <f>IF('Ordenes_Odoo'!J1213="","",'Ordenes_Odoo'!J1213)</f>
        <v/>
      </c>
      <c r="K1213" s="81">
        <f>IF('Ordenes_Odoo'!K1213="","",'Ordenes_Odoo'!K1213)</f>
        <v/>
      </c>
      <c r="L1213" s="81">
        <f>IF('Ordenes_Odoo'!L1213="","",'Ordenes_Odoo'!L1213)</f>
        <v/>
      </c>
      <c r="M1213" s="79">
        <f>IF('Ordenes_Odoo'!M1213="","",'Ordenes_Odoo'!M1213)</f>
        <v/>
      </c>
      <c r="N1213" s="79">
        <f>IF('Ordenes_Odoo'!N1213="","",'Ordenes_Odoo'!N1213)</f>
        <v/>
      </c>
      <c r="O1213" s="81">
        <f>IF('Ordenes_Odoo'!O1213="","",'Ordenes_Odoo'!O1213)</f>
        <v/>
      </c>
      <c r="P1213" s="81">
        <f>IF('Ordenes_Odoo'!P1213="","",'Ordenes_Odoo'!P1213)</f>
        <v/>
      </c>
      <c r="Q1213" s="79">
        <f>IF(A1213="","",IFERROR(INDEX(Facturas_Odoo!$B:$B, MATCH(A1213, Facturas_Odoo!$D:$D, 0)), "Sin Factura"))</f>
        <v/>
      </c>
      <c r="R1213" s="80">
        <f>IF(Q1213="Sin Factura","",IFERROR(INDEX(Facturas_Odoo!$A:$A, MATCH(Q1213, Facturas_Odoo!$B:$B, 0)), ""))</f>
        <v/>
      </c>
      <c r="S1213" s="79">
        <f>IF(Q1213="Sin Factura","",IFERROR(_xlfn.XLOOKUP(1, (Facturas_Odoo!$D:$D=A1213) * (Facturas_Odoo!$K:$K=I1213), Facturas_Odoo!$L:$L, ""), ""))</f>
        <v/>
      </c>
      <c r="T1213" s="81">
        <f>IF(Q1213="Sin Factura",0,IFERROR(_xlfn.XLOOKUP(1, (Facturas_Odoo!$D:$D=A1213) * (Facturas_Odoo!$K:$K=I1213), Facturas_Odoo!$M:$M, 0), 0))</f>
        <v/>
      </c>
      <c r="U1213" s="79">
        <f>IF(Q1213="Sin Factura",0,IFERROR(_xlfn.XLOOKUP(1, (Facturas_Odoo!$D:$D=A1213) * (Facturas_Odoo!$K:$K=I1213), Facturas_Odoo!$N:$N, 0), 0))</f>
        <v/>
      </c>
      <c r="V1213" s="79">
        <f>IF(Q1213="Sin Factura",0,IFERROR(_xlfn.XLOOKUP(1, (Facturas_Odoo!$D:$D=A1213) * (Facturas_Odoo!$K:$K=I1213), Facturas_Odoo!$O:$O, 0), 0))</f>
        <v/>
      </c>
      <c r="W1213" s="81">
        <f>IF(Q1213="Sin Factura",0,IFERROR(_xlfn.XLOOKUP(1, (Facturas_Odoo!$D:$D=A1213) * (Facturas_Odoo!$K:$K=I1213), Facturas_Odoo!$Q:$Q, 0), 0))</f>
        <v/>
      </c>
      <c r="X1213" s="79">
        <f>IF(OR(Q1213="Sin Factura",Q1213=""),"",IFERROR(INDEX(Pagos_Odoo!$B:$B, MATCH(Q1213, Pagos_Odoo!$I:$I, 0)), "Sin Pago"))</f>
        <v/>
      </c>
      <c r="Y1213" s="79">
        <f>IF(X1213="Sin Pago","",IFERROR(INDEX(Pagos_Odoo!$C:$C, MATCH(X1213, Pagos_Odoo!$B:$B, 0)), ""))</f>
        <v/>
      </c>
      <c r="Z1213" s="80">
        <f>IF(X1213="Sin Pago","",IFERROR(INDEX(Pagos_Odoo!$A:$A, MATCH(X1213, Pagos_Odoo!$B:$B, 0)), ""))</f>
        <v/>
      </c>
      <c r="AA1213" s="79">
        <f>IF(X1213="Sin Pago","",IFERROR(INDEX(Pagos_Odoo!$F:$F, MATCH(X1213, Pagos_Odoo!$B:$B, 0)), ""))</f>
        <v/>
      </c>
      <c r="AB1213" s="81">
        <f>IF(X1213="Sin Pago",0,IFERROR(INDEX(Pagos_Odoo!$E:$E, MATCH(X1213, Pagos_Odoo!$B:$B, 0)), 0))</f>
        <v/>
      </c>
      <c r="AC1213" s="79">
        <f>IF(X1213="Sin Pago","",IFERROR(INDEX(Pagos_Odoo!$G:$G, MATCH(X1213, Pagos_Odoo!$B:$B, 0)), ""))</f>
        <v/>
      </c>
      <c r="AD1213" s="82" t="n">
        <v>0</v>
      </c>
      <c r="AE1213" s="82" t="n"/>
      <c r="AF1213" s="82" t="n"/>
      <c r="AG1213" s="82">
        <f>IF(AN1213="","",AD1213+AE1213+AF1213)</f>
        <v/>
      </c>
      <c r="AH1213" s="81">
        <f>IF(AN1213="","",P1213*(1-AG1213))</f>
        <v/>
      </c>
      <c r="AI1213" s="81">
        <f>IF(AN1213="","",IF(Q1213="Sin Factura",0,IFERROR(INDEX(Facturas_Odoo!$H:$H, MATCH(Q1213, Facturas_Odoo!$B:$B, 0)), 0)*(1-AG1213)))</f>
        <v/>
      </c>
      <c r="AJ1213" s="81">
        <f>IF(AN1213="","",_xlfn.LET(idVenta, AN1213&amp;"",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13" s="81">
        <f>IF(AN1213="","",AH1213-AJ1213)</f>
        <v/>
      </c>
      <c r="AL1213" s="81">
        <f>IF(AN1213="","",IF(Q1213="Sin Factura","",AI1213-AJ1213))</f>
        <v/>
      </c>
      <c r="AM1213" s="81">
        <f>IF(AN1213="","",IF(Q1213="Sin Factura",0,P1213-IFERROR(INDEX(Facturas_Odoo!$H:$H, MATCH(Q1213, Facturas_Odoo!$B:$B, 0)), 0)))</f>
        <v/>
      </c>
      <c r="AN1213" s="79">
        <f>IF(AND(A1213="", J1213=""), "", IF(A1213&lt;&gt;"", VALUE(MID(A1213,2,LEN(A1213))), AN1212))</f>
        <v/>
      </c>
      <c r="AO1213" s="79">
        <f>IF(AN1213="","",IF(AD1213=0,"OK",_xlfn.LET(monedaPago, IF(AA1213="","USD",AA1213), limitePermitido, IFERROR(VLOOKUP(monedaPago, Configuración!$A$2:$B$3, 2, FALSE), 0.15), IF(AD1213&gt;limitePermitido, "ALERTA: EXCESO (" &amp; TEXT(limitePermitido, "0%") &amp; " máx)", "OK"))))</f>
        <v/>
      </c>
      <c r="AP1213" s="79">
        <f>IF(AN1213="","",IF(AE1213=0,"OK",_xlfn.LET(fechaPago, Z1213, fechaFactura, R1213, diasCredito, IF(E1213="Pago inmediato", 0, IFERROR(VALUE(MID(E1213, 1, SEARCH(" ", E1213)-1)),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13" s="79">
        <f>IF(AN1213="","",IF(AND(N1213&gt;0, AG1213&gt;0), IF(Configuración!$K$2="NO", "ALERTA: DESCUENTO DOBLE NO PERMITIDO", "OK"), "OK"))</f>
        <v/>
      </c>
      <c r="AR1213" s="79">
        <f>IF(AN1213="","",IF(OR(AO1213&lt;&gt;"OK", AP1213&lt;&gt;"OK", AQ1213&lt;&gt;"OK"), "⚠️ REVISAR", "OK"))</f>
        <v/>
      </c>
    </row>
    <row r="1214">
      <c r="A1214" s="79">
        <f>IF('Ordenes_Odoo'!A1214="","",'Ordenes_Odoo'!A1214)</f>
        <v/>
      </c>
      <c r="B1214" s="80">
        <f>IF('Ordenes_Odoo'!B1214="","",'Ordenes_Odoo'!B1214)</f>
        <v/>
      </c>
      <c r="C1214" s="79">
        <f>IF('Ordenes_Odoo'!C1214="","",'Ordenes_Odoo'!C1214)</f>
        <v/>
      </c>
      <c r="D1214" s="79">
        <f>IF('Ordenes_Odoo'!D1214="","",'Ordenes_Odoo'!D1214)</f>
        <v/>
      </c>
      <c r="E1214" s="79">
        <f>IF('Ordenes_Odoo'!E1214="","",'Ordenes_Odoo'!E1214)</f>
        <v/>
      </c>
      <c r="F1214" s="79">
        <f>IF('Ordenes_Odoo'!F1214="","",'Ordenes_Odoo'!F1214)</f>
        <v/>
      </c>
      <c r="G1214" s="79">
        <f>IF('Ordenes_Odoo'!G1214="","",'Ordenes_Odoo'!G1214)</f>
        <v/>
      </c>
      <c r="H1214" s="79">
        <f>IF('Ordenes_Odoo'!H1214="","",'Ordenes_Odoo'!H1214)</f>
        <v/>
      </c>
      <c r="I1214" s="79">
        <f>IF('Ordenes_Odoo'!I1214="","",'Ordenes_Odoo'!I1214)</f>
        <v/>
      </c>
      <c r="J1214" s="79">
        <f>IF('Ordenes_Odoo'!J1214="","",'Ordenes_Odoo'!J1214)</f>
        <v/>
      </c>
      <c r="K1214" s="81">
        <f>IF('Ordenes_Odoo'!K1214="","",'Ordenes_Odoo'!K1214)</f>
        <v/>
      </c>
      <c r="L1214" s="81">
        <f>IF('Ordenes_Odoo'!L1214="","",'Ordenes_Odoo'!L1214)</f>
        <v/>
      </c>
      <c r="M1214" s="79">
        <f>IF('Ordenes_Odoo'!M1214="","",'Ordenes_Odoo'!M1214)</f>
        <v/>
      </c>
      <c r="N1214" s="79">
        <f>IF('Ordenes_Odoo'!N1214="","",'Ordenes_Odoo'!N1214)</f>
        <v/>
      </c>
      <c r="O1214" s="81">
        <f>IF('Ordenes_Odoo'!O1214="","",'Ordenes_Odoo'!O1214)</f>
        <v/>
      </c>
      <c r="P1214" s="81">
        <f>IF('Ordenes_Odoo'!P1214="","",'Ordenes_Odoo'!P1214)</f>
        <v/>
      </c>
      <c r="Q1214" s="79">
        <f>IF(A1214="","",IFERROR(INDEX(Facturas_Odoo!$B:$B, MATCH(A1214, Facturas_Odoo!$D:$D, 0)), "Sin Factura"))</f>
        <v/>
      </c>
      <c r="R1214" s="80">
        <f>IF(Q1214="Sin Factura","",IFERROR(INDEX(Facturas_Odoo!$A:$A, MATCH(Q1214, Facturas_Odoo!$B:$B, 0)), ""))</f>
        <v/>
      </c>
      <c r="S1214" s="79">
        <f>IF(Q1214="Sin Factura","",IFERROR(_xlfn.XLOOKUP(1, (Facturas_Odoo!$D:$D=A1214) * (Facturas_Odoo!$K:$K=I1214), Facturas_Odoo!$L:$L, ""), ""))</f>
        <v/>
      </c>
      <c r="T1214" s="81">
        <f>IF(Q1214="Sin Factura",0,IFERROR(_xlfn.XLOOKUP(1, (Facturas_Odoo!$D:$D=A1214) * (Facturas_Odoo!$K:$K=I1214), Facturas_Odoo!$M:$M, 0), 0))</f>
        <v/>
      </c>
      <c r="U1214" s="79">
        <f>IF(Q1214="Sin Factura",0,IFERROR(_xlfn.XLOOKUP(1, (Facturas_Odoo!$D:$D=A1214) * (Facturas_Odoo!$K:$K=I1214), Facturas_Odoo!$N:$N, 0), 0))</f>
        <v/>
      </c>
      <c r="V1214" s="79">
        <f>IF(Q1214="Sin Factura",0,IFERROR(_xlfn.XLOOKUP(1, (Facturas_Odoo!$D:$D=A1214) * (Facturas_Odoo!$K:$K=I1214), Facturas_Odoo!$O:$O, 0), 0))</f>
        <v/>
      </c>
      <c r="W1214" s="81">
        <f>IF(Q1214="Sin Factura",0,IFERROR(_xlfn.XLOOKUP(1, (Facturas_Odoo!$D:$D=A1214) * (Facturas_Odoo!$K:$K=I1214), Facturas_Odoo!$Q:$Q, 0), 0))</f>
        <v/>
      </c>
      <c r="X1214" s="79">
        <f>IF(OR(Q1214="Sin Factura",Q1214=""),"",IFERROR(INDEX(Pagos_Odoo!$B:$B, MATCH(Q1214, Pagos_Odoo!$I:$I, 0)), "Sin Pago"))</f>
        <v/>
      </c>
      <c r="Y1214" s="79">
        <f>IF(X1214="Sin Pago","",IFERROR(INDEX(Pagos_Odoo!$C:$C, MATCH(X1214, Pagos_Odoo!$B:$B, 0)), ""))</f>
        <v/>
      </c>
      <c r="Z1214" s="80">
        <f>IF(X1214="Sin Pago","",IFERROR(INDEX(Pagos_Odoo!$A:$A, MATCH(X1214, Pagos_Odoo!$B:$B, 0)), ""))</f>
        <v/>
      </c>
      <c r="AA1214" s="79">
        <f>IF(X1214="Sin Pago","",IFERROR(INDEX(Pagos_Odoo!$F:$F, MATCH(X1214, Pagos_Odoo!$B:$B, 0)), ""))</f>
        <v/>
      </c>
      <c r="AB1214" s="81">
        <f>IF(X1214="Sin Pago",0,IFERROR(INDEX(Pagos_Odoo!$E:$E, MATCH(X1214, Pagos_Odoo!$B:$B, 0)), 0))</f>
        <v/>
      </c>
      <c r="AC1214" s="79">
        <f>IF(X1214="Sin Pago","",IFERROR(INDEX(Pagos_Odoo!$G:$G, MATCH(X1214, Pagos_Odoo!$B:$B, 0)), ""))</f>
        <v/>
      </c>
      <c r="AD1214" s="82" t="n">
        <v>0</v>
      </c>
      <c r="AE1214" s="82" t="n"/>
      <c r="AF1214" s="82" t="n"/>
      <c r="AG1214" s="82">
        <f>IF(AN1214="","",AD1214+AE1214+AF1214)</f>
        <v/>
      </c>
      <c r="AH1214" s="81">
        <f>IF(AN1214="","",P1214*(1-AG1214))</f>
        <v/>
      </c>
      <c r="AI1214" s="81">
        <f>IF(AN1214="","",IF(Q1214="Sin Factura",0,IFERROR(INDEX(Facturas_Odoo!$H:$H, MATCH(Q1214, Facturas_Odoo!$B:$B, 0)), 0)*(1-AG1214)))</f>
        <v/>
      </c>
      <c r="AJ1214" s="81">
        <f>IF(AN1214="","",_xlfn.LET(idVenta, AN1214&amp;"",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14" s="81">
        <f>IF(AN1214="","",AH1214-AJ1214)</f>
        <v/>
      </c>
      <c r="AL1214" s="81">
        <f>IF(AN1214="","",IF(Q1214="Sin Factura","",AI1214-AJ1214))</f>
        <v/>
      </c>
      <c r="AM1214" s="81">
        <f>IF(AN1214="","",IF(Q1214="Sin Factura",0,P1214-IFERROR(INDEX(Facturas_Odoo!$H:$H, MATCH(Q1214, Facturas_Odoo!$B:$B, 0)), 0)))</f>
        <v/>
      </c>
      <c r="AN1214" s="79">
        <f>IF(AND(A1214="", J1214=""), "", IF(A1214&lt;&gt;"", VALUE(MID(A1214,2,LEN(A1214))), AN1213))</f>
        <v/>
      </c>
      <c r="AO1214" s="79">
        <f>IF(AN1214="","",IF(AD1214=0,"OK",_xlfn.LET(monedaPago, IF(AA1214="","USD",AA1214), limitePermitido, IFERROR(VLOOKUP(monedaPago, Configuración!$A$2:$B$3, 2, FALSE), 0.15), IF(AD1214&gt;limitePermitido, "ALERTA: EXCESO (" &amp; TEXT(limitePermitido, "0%") &amp; " máx)", "OK"))))</f>
        <v/>
      </c>
      <c r="AP1214" s="79">
        <f>IF(AN1214="","",IF(AE1214=0,"OK",_xlfn.LET(fechaPago, Z1214, fechaFactura, R1214, diasCredito, IF(E1214="Pago inmediato", 0, IFERROR(VALUE(MID(E1214, 1, SEARCH(" ", E1214)-1)),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14" s="79">
        <f>IF(AN1214="","",IF(AND(N1214&gt;0, AG1214&gt;0), IF(Configuración!$K$2="NO", "ALERTA: DESCUENTO DOBLE NO PERMITIDO", "OK"), "OK"))</f>
        <v/>
      </c>
      <c r="AR1214" s="79">
        <f>IF(AN1214="","",IF(OR(AO1214&lt;&gt;"OK", AP1214&lt;&gt;"OK", AQ1214&lt;&gt;"OK"), "⚠️ REVISAR", "OK"))</f>
        <v/>
      </c>
    </row>
    <row r="1215">
      <c r="A1215" s="79">
        <f>IF('Ordenes_Odoo'!A1215="","",'Ordenes_Odoo'!A1215)</f>
        <v/>
      </c>
      <c r="B1215" s="80">
        <f>IF('Ordenes_Odoo'!B1215="","",'Ordenes_Odoo'!B1215)</f>
        <v/>
      </c>
      <c r="C1215" s="79">
        <f>IF('Ordenes_Odoo'!C1215="","",'Ordenes_Odoo'!C1215)</f>
        <v/>
      </c>
      <c r="D1215" s="79">
        <f>IF('Ordenes_Odoo'!D1215="","",'Ordenes_Odoo'!D1215)</f>
        <v/>
      </c>
      <c r="E1215" s="79">
        <f>IF('Ordenes_Odoo'!E1215="","",'Ordenes_Odoo'!E1215)</f>
        <v/>
      </c>
      <c r="F1215" s="79">
        <f>IF('Ordenes_Odoo'!F1215="","",'Ordenes_Odoo'!F1215)</f>
        <v/>
      </c>
      <c r="G1215" s="79">
        <f>IF('Ordenes_Odoo'!G1215="","",'Ordenes_Odoo'!G1215)</f>
        <v/>
      </c>
      <c r="H1215" s="79">
        <f>IF('Ordenes_Odoo'!H1215="","",'Ordenes_Odoo'!H1215)</f>
        <v/>
      </c>
      <c r="I1215" s="79">
        <f>IF('Ordenes_Odoo'!I1215="","",'Ordenes_Odoo'!I1215)</f>
        <v/>
      </c>
      <c r="J1215" s="79">
        <f>IF('Ordenes_Odoo'!J1215="","",'Ordenes_Odoo'!J1215)</f>
        <v/>
      </c>
      <c r="K1215" s="81">
        <f>IF('Ordenes_Odoo'!K1215="","",'Ordenes_Odoo'!K1215)</f>
        <v/>
      </c>
      <c r="L1215" s="81">
        <f>IF('Ordenes_Odoo'!L1215="","",'Ordenes_Odoo'!L1215)</f>
        <v/>
      </c>
      <c r="M1215" s="79">
        <f>IF('Ordenes_Odoo'!M1215="","",'Ordenes_Odoo'!M1215)</f>
        <v/>
      </c>
      <c r="N1215" s="79">
        <f>IF('Ordenes_Odoo'!N1215="","",'Ordenes_Odoo'!N1215)</f>
        <v/>
      </c>
      <c r="O1215" s="81">
        <f>IF('Ordenes_Odoo'!O1215="","",'Ordenes_Odoo'!O1215)</f>
        <v/>
      </c>
      <c r="P1215" s="81">
        <f>IF('Ordenes_Odoo'!P1215="","",'Ordenes_Odoo'!P1215)</f>
        <v/>
      </c>
      <c r="Q1215" s="79">
        <f>IF(A1215="","",IFERROR(INDEX(Facturas_Odoo!$B:$B, MATCH(A1215, Facturas_Odoo!$D:$D, 0)), "Sin Factura"))</f>
        <v/>
      </c>
      <c r="R1215" s="80">
        <f>IF(Q1215="Sin Factura","",IFERROR(INDEX(Facturas_Odoo!$A:$A, MATCH(Q1215, Facturas_Odoo!$B:$B, 0)), ""))</f>
        <v/>
      </c>
      <c r="S1215" s="79">
        <f>IF(Q1215="Sin Factura","",IFERROR(_xlfn.XLOOKUP(1, (Facturas_Odoo!$D:$D=A1215) * (Facturas_Odoo!$K:$K=I1215), Facturas_Odoo!$L:$L, ""), ""))</f>
        <v/>
      </c>
      <c r="T1215" s="81">
        <f>IF(Q1215="Sin Factura",0,IFERROR(_xlfn.XLOOKUP(1, (Facturas_Odoo!$D:$D=A1215) * (Facturas_Odoo!$K:$K=I1215), Facturas_Odoo!$M:$M, 0), 0))</f>
        <v/>
      </c>
      <c r="U1215" s="79">
        <f>IF(Q1215="Sin Factura",0,IFERROR(_xlfn.XLOOKUP(1, (Facturas_Odoo!$D:$D=A1215) * (Facturas_Odoo!$K:$K=I1215), Facturas_Odoo!$N:$N, 0), 0))</f>
        <v/>
      </c>
      <c r="V1215" s="79">
        <f>IF(Q1215="Sin Factura",0,IFERROR(_xlfn.XLOOKUP(1, (Facturas_Odoo!$D:$D=A1215) * (Facturas_Odoo!$K:$K=I1215), Facturas_Odoo!$O:$O, 0), 0))</f>
        <v/>
      </c>
      <c r="W1215" s="81">
        <f>IF(Q1215="Sin Factura",0,IFERROR(_xlfn.XLOOKUP(1, (Facturas_Odoo!$D:$D=A1215) * (Facturas_Odoo!$K:$K=I1215), Facturas_Odoo!$Q:$Q, 0), 0))</f>
        <v/>
      </c>
      <c r="X1215" s="79">
        <f>IF(OR(Q1215="Sin Factura",Q1215=""),"",IFERROR(INDEX(Pagos_Odoo!$B:$B, MATCH(Q1215, Pagos_Odoo!$I:$I, 0)), "Sin Pago"))</f>
        <v/>
      </c>
      <c r="Y1215" s="79">
        <f>IF(X1215="Sin Pago","",IFERROR(INDEX(Pagos_Odoo!$C:$C, MATCH(X1215, Pagos_Odoo!$B:$B, 0)), ""))</f>
        <v/>
      </c>
      <c r="Z1215" s="80">
        <f>IF(X1215="Sin Pago","",IFERROR(INDEX(Pagos_Odoo!$A:$A, MATCH(X1215, Pagos_Odoo!$B:$B, 0)), ""))</f>
        <v/>
      </c>
      <c r="AA1215" s="79">
        <f>IF(X1215="Sin Pago","",IFERROR(INDEX(Pagos_Odoo!$F:$F, MATCH(X1215, Pagos_Odoo!$B:$B, 0)), ""))</f>
        <v/>
      </c>
      <c r="AB1215" s="81">
        <f>IF(X1215="Sin Pago",0,IFERROR(INDEX(Pagos_Odoo!$E:$E, MATCH(X1215, Pagos_Odoo!$B:$B, 0)), 0))</f>
        <v/>
      </c>
      <c r="AC1215" s="79">
        <f>IF(X1215="Sin Pago","",IFERROR(INDEX(Pagos_Odoo!$G:$G, MATCH(X1215, Pagos_Odoo!$B:$B, 0)), ""))</f>
        <v/>
      </c>
      <c r="AD1215" s="82" t="n">
        <v>0</v>
      </c>
      <c r="AE1215" s="82" t="n"/>
      <c r="AF1215" s="82" t="n"/>
      <c r="AG1215" s="82">
        <f>IF(AN1215="","",AD1215+AE1215+AF1215)</f>
        <v/>
      </c>
      <c r="AH1215" s="81">
        <f>IF(AN1215="","",P1215*(1-AG1215))</f>
        <v/>
      </c>
      <c r="AI1215" s="81">
        <f>IF(AN1215="","",IF(Q1215="Sin Factura",0,IFERROR(INDEX(Facturas_Odoo!$H:$H, MATCH(Q1215, Facturas_Odoo!$B:$B, 0)), 0)*(1-AG1215)))</f>
        <v/>
      </c>
      <c r="AJ1215" s="81">
        <f>IF(AN1215="","",_xlfn.LET(idVenta, AN1215&amp;"",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15" s="81">
        <f>IF(AN1215="","",AH1215-AJ1215)</f>
        <v/>
      </c>
      <c r="AL1215" s="81">
        <f>IF(AN1215="","",IF(Q1215="Sin Factura","",AI1215-AJ1215))</f>
        <v/>
      </c>
      <c r="AM1215" s="81">
        <f>IF(AN1215="","",IF(Q1215="Sin Factura",0,P1215-IFERROR(INDEX(Facturas_Odoo!$H:$H, MATCH(Q1215, Facturas_Odoo!$B:$B, 0)), 0)))</f>
        <v/>
      </c>
      <c r="AN1215" s="79">
        <f>IF(AND(A1215="", J1215=""), "", IF(A1215&lt;&gt;"", VALUE(MID(A1215,2,LEN(A1215))), AN1214))</f>
        <v/>
      </c>
      <c r="AO1215" s="79">
        <f>IF(AN1215="","",IF(AD1215=0,"OK",_xlfn.LET(monedaPago, IF(AA1215="","USD",AA1215), limitePermitido, IFERROR(VLOOKUP(monedaPago, Configuración!$A$2:$B$3, 2, FALSE), 0.15), IF(AD1215&gt;limitePermitido, "ALERTA: EXCESO (" &amp; TEXT(limitePermitido, "0%") &amp; " máx)", "OK"))))</f>
        <v/>
      </c>
      <c r="AP1215" s="79">
        <f>IF(AN1215="","",IF(AE1215=0,"OK",_xlfn.LET(fechaPago, Z1215, fechaFactura, R1215, diasCredito, IF(E1215="Pago inmediato", 0, IFERROR(VALUE(MID(E1215, 1, SEARCH(" ", E1215)-1)),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15" s="79">
        <f>IF(AN1215="","",IF(AND(N1215&gt;0, AG1215&gt;0), IF(Configuración!$K$2="NO", "ALERTA: DESCUENTO DOBLE NO PERMITIDO", "OK"), "OK"))</f>
        <v/>
      </c>
      <c r="AR1215" s="79">
        <f>IF(AN1215="","",IF(OR(AO1215&lt;&gt;"OK", AP1215&lt;&gt;"OK", AQ1215&lt;&gt;"OK"), "⚠️ REVISAR", "OK"))</f>
        <v/>
      </c>
    </row>
    <row r="1216">
      <c r="A1216" s="79">
        <f>IF('Ordenes_Odoo'!A1216="","",'Ordenes_Odoo'!A1216)</f>
        <v/>
      </c>
      <c r="B1216" s="80">
        <f>IF('Ordenes_Odoo'!B1216="","",'Ordenes_Odoo'!B1216)</f>
        <v/>
      </c>
      <c r="C1216" s="79">
        <f>IF('Ordenes_Odoo'!C1216="","",'Ordenes_Odoo'!C1216)</f>
        <v/>
      </c>
      <c r="D1216" s="79">
        <f>IF('Ordenes_Odoo'!D1216="","",'Ordenes_Odoo'!D1216)</f>
        <v/>
      </c>
      <c r="E1216" s="79">
        <f>IF('Ordenes_Odoo'!E1216="","",'Ordenes_Odoo'!E1216)</f>
        <v/>
      </c>
      <c r="F1216" s="79">
        <f>IF('Ordenes_Odoo'!F1216="","",'Ordenes_Odoo'!F1216)</f>
        <v/>
      </c>
      <c r="G1216" s="79">
        <f>IF('Ordenes_Odoo'!G1216="","",'Ordenes_Odoo'!G1216)</f>
        <v/>
      </c>
      <c r="H1216" s="79">
        <f>IF('Ordenes_Odoo'!H1216="","",'Ordenes_Odoo'!H1216)</f>
        <v/>
      </c>
      <c r="I1216" s="79">
        <f>IF('Ordenes_Odoo'!I1216="","",'Ordenes_Odoo'!I1216)</f>
        <v/>
      </c>
      <c r="J1216" s="79">
        <f>IF('Ordenes_Odoo'!J1216="","",'Ordenes_Odoo'!J1216)</f>
        <v/>
      </c>
      <c r="K1216" s="81">
        <f>IF('Ordenes_Odoo'!K1216="","",'Ordenes_Odoo'!K1216)</f>
        <v/>
      </c>
      <c r="L1216" s="81">
        <f>IF('Ordenes_Odoo'!L1216="","",'Ordenes_Odoo'!L1216)</f>
        <v/>
      </c>
      <c r="M1216" s="79">
        <f>IF('Ordenes_Odoo'!M1216="","",'Ordenes_Odoo'!M1216)</f>
        <v/>
      </c>
      <c r="N1216" s="79">
        <f>IF('Ordenes_Odoo'!N1216="","",'Ordenes_Odoo'!N1216)</f>
        <v/>
      </c>
      <c r="O1216" s="81">
        <f>IF('Ordenes_Odoo'!O1216="","",'Ordenes_Odoo'!O1216)</f>
        <v/>
      </c>
      <c r="P1216" s="81">
        <f>IF('Ordenes_Odoo'!P1216="","",'Ordenes_Odoo'!P1216)</f>
        <v/>
      </c>
      <c r="Q1216" s="79">
        <f>IF(A1216="","",IFERROR(INDEX(Facturas_Odoo!$B:$B, MATCH(A1216, Facturas_Odoo!$D:$D, 0)), "Sin Factura"))</f>
        <v/>
      </c>
      <c r="R1216" s="80">
        <f>IF(Q1216="Sin Factura","",IFERROR(INDEX(Facturas_Odoo!$A:$A, MATCH(Q1216, Facturas_Odoo!$B:$B, 0)), ""))</f>
        <v/>
      </c>
      <c r="S1216" s="79">
        <f>IF(Q1216="Sin Factura","",IFERROR(_xlfn.XLOOKUP(1, (Facturas_Odoo!$D:$D=A1216) * (Facturas_Odoo!$K:$K=I1216), Facturas_Odoo!$L:$L, ""), ""))</f>
        <v/>
      </c>
      <c r="T1216" s="81">
        <f>IF(Q1216="Sin Factura",0,IFERROR(_xlfn.XLOOKUP(1, (Facturas_Odoo!$D:$D=A1216) * (Facturas_Odoo!$K:$K=I1216), Facturas_Odoo!$M:$M, 0), 0))</f>
        <v/>
      </c>
      <c r="U1216" s="79">
        <f>IF(Q1216="Sin Factura",0,IFERROR(_xlfn.XLOOKUP(1, (Facturas_Odoo!$D:$D=A1216) * (Facturas_Odoo!$K:$K=I1216), Facturas_Odoo!$N:$N, 0), 0))</f>
        <v/>
      </c>
      <c r="V1216" s="79">
        <f>IF(Q1216="Sin Factura",0,IFERROR(_xlfn.XLOOKUP(1, (Facturas_Odoo!$D:$D=A1216) * (Facturas_Odoo!$K:$K=I1216), Facturas_Odoo!$O:$O, 0), 0))</f>
        <v/>
      </c>
      <c r="W1216" s="81">
        <f>IF(Q1216="Sin Factura",0,IFERROR(_xlfn.XLOOKUP(1, (Facturas_Odoo!$D:$D=A1216) * (Facturas_Odoo!$K:$K=I1216), Facturas_Odoo!$Q:$Q, 0), 0))</f>
        <v/>
      </c>
      <c r="X1216" s="79">
        <f>IF(OR(Q1216="Sin Factura",Q1216=""),"",IFERROR(INDEX(Pagos_Odoo!$B:$B, MATCH(Q1216, Pagos_Odoo!$I:$I, 0)), "Sin Pago"))</f>
        <v/>
      </c>
      <c r="Y1216" s="79">
        <f>IF(X1216="Sin Pago","",IFERROR(INDEX(Pagos_Odoo!$C:$C, MATCH(X1216, Pagos_Odoo!$B:$B, 0)), ""))</f>
        <v/>
      </c>
      <c r="Z1216" s="80">
        <f>IF(X1216="Sin Pago","",IFERROR(INDEX(Pagos_Odoo!$A:$A, MATCH(X1216, Pagos_Odoo!$B:$B, 0)), ""))</f>
        <v/>
      </c>
      <c r="AA1216" s="79">
        <f>IF(X1216="Sin Pago","",IFERROR(INDEX(Pagos_Odoo!$F:$F, MATCH(X1216, Pagos_Odoo!$B:$B, 0)), ""))</f>
        <v/>
      </c>
      <c r="AB1216" s="81">
        <f>IF(X1216="Sin Pago",0,IFERROR(INDEX(Pagos_Odoo!$E:$E, MATCH(X1216, Pagos_Odoo!$B:$B, 0)), 0))</f>
        <v/>
      </c>
      <c r="AC1216" s="79">
        <f>IF(X1216="Sin Pago","",IFERROR(INDEX(Pagos_Odoo!$G:$G, MATCH(X1216, Pagos_Odoo!$B:$B, 0)), ""))</f>
        <v/>
      </c>
      <c r="AD1216" s="82" t="n">
        <v>0</v>
      </c>
      <c r="AE1216" s="82" t="n"/>
      <c r="AF1216" s="82" t="n"/>
      <c r="AG1216" s="82">
        <f>IF(AN1216="","",AD1216+AE1216+AF1216)</f>
        <v/>
      </c>
      <c r="AH1216" s="81">
        <f>IF(AN1216="","",P1216*(1-AG1216))</f>
        <v/>
      </c>
      <c r="AI1216" s="81">
        <f>IF(AN1216="","",IF(Q1216="Sin Factura",0,IFERROR(INDEX(Facturas_Odoo!$H:$H, MATCH(Q1216, Facturas_Odoo!$B:$B, 0)), 0)*(1-AG1216)))</f>
        <v/>
      </c>
      <c r="AJ1216" s="81">
        <f>IF(AN1216="","",_xlfn.LET(idVenta, AN1216&amp;"",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16" s="81">
        <f>IF(AN1216="","",AH1216-AJ1216)</f>
        <v/>
      </c>
      <c r="AL1216" s="81">
        <f>IF(AN1216="","",IF(Q1216="Sin Factura","",AI1216-AJ1216))</f>
        <v/>
      </c>
      <c r="AM1216" s="81">
        <f>IF(AN1216="","",IF(Q1216="Sin Factura",0,P1216-IFERROR(INDEX(Facturas_Odoo!$H:$H, MATCH(Q1216, Facturas_Odoo!$B:$B, 0)), 0)))</f>
        <v/>
      </c>
      <c r="AN1216" s="79">
        <f>IF(AND(A1216="", J1216=""), "", IF(A1216&lt;&gt;"", VALUE(MID(A1216,2,LEN(A1216))), AN1215))</f>
        <v/>
      </c>
      <c r="AO1216" s="79">
        <f>IF(AN1216="","",IF(AD1216=0,"OK",_xlfn.LET(monedaPago, IF(AA1216="","USD",AA1216), limitePermitido, IFERROR(VLOOKUP(monedaPago, Configuración!$A$2:$B$3, 2, FALSE), 0.15), IF(AD1216&gt;limitePermitido, "ALERTA: EXCESO (" &amp; TEXT(limitePermitido, "0%") &amp; " máx)", "OK"))))</f>
        <v/>
      </c>
      <c r="AP1216" s="79">
        <f>IF(AN1216="","",IF(AE1216=0,"OK",_xlfn.LET(fechaPago, Z1216, fechaFactura, R1216, diasCredito, IF(E1216="Pago inmediato", 0, IFERROR(VALUE(MID(E1216, 1, SEARCH(" ", E1216)-1)),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16" s="79">
        <f>IF(AN1216="","",IF(AND(N1216&gt;0, AG1216&gt;0), IF(Configuración!$K$2="NO", "ALERTA: DESCUENTO DOBLE NO PERMITIDO", "OK"), "OK"))</f>
        <v/>
      </c>
      <c r="AR1216" s="79">
        <f>IF(AN1216="","",IF(OR(AO1216&lt;&gt;"OK", AP1216&lt;&gt;"OK", AQ1216&lt;&gt;"OK"), "⚠️ REVISAR", "OK"))</f>
        <v/>
      </c>
    </row>
    <row r="1217">
      <c r="A1217" s="79">
        <f>IF('Ordenes_Odoo'!A1217="","",'Ordenes_Odoo'!A1217)</f>
        <v/>
      </c>
      <c r="B1217" s="80">
        <f>IF('Ordenes_Odoo'!B1217="","",'Ordenes_Odoo'!B1217)</f>
        <v/>
      </c>
      <c r="C1217" s="79">
        <f>IF('Ordenes_Odoo'!C1217="","",'Ordenes_Odoo'!C1217)</f>
        <v/>
      </c>
      <c r="D1217" s="79">
        <f>IF('Ordenes_Odoo'!D1217="","",'Ordenes_Odoo'!D1217)</f>
        <v/>
      </c>
      <c r="E1217" s="79">
        <f>IF('Ordenes_Odoo'!E1217="","",'Ordenes_Odoo'!E1217)</f>
        <v/>
      </c>
      <c r="F1217" s="79">
        <f>IF('Ordenes_Odoo'!F1217="","",'Ordenes_Odoo'!F1217)</f>
        <v/>
      </c>
      <c r="G1217" s="79">
        <f>IF('Ordenes_Odoo'!G1217="","",'Ordenes_Odoo'!G1217)</f>
        <v/>
      </c>
      <c r="H1217" s="79">
        <f>IF('Ordenes_Odoo'!H1217="","",'Ordenes_Odoo'!H1217)</f>
        <v/>
      </c>
      <c r="I1217" s="79">
        <f>IF('Ordenes_Odoo'!I1217="","",'Ordenes_Odoo'!I1217)</f>
        <v/>
      </c>
      <c r="J1217" s="79">
        <f>IF('Ordenes_Odoo'!J1217="","",'Ordenes_Odoo'!J1217)</f>
        <v/>
      </c>
      <c r="K1217" s="81">
        <f>IF('Ordenes_Odoo'!K1217="","",'Ordenes_Odoo'!K1217)</f>
        <v/>
      </c>
      <c r="L1217" s="81">
        <f>IF('Ordenes_Odoo'!L1217="","",'Ordenes_Odoo'!L1217)</f>
        <v/>
      </c>
      <c r="M1217" s="79">
        <f>IF('Ordenes_Odoo'!M1217="","",'Ordenes_Odoo'!M1217)</f>
        <v/>
      </c>
      <c r="N1217" s="79">
        <f>IF('Ordenes_Odoo'!N1217="","",'Ordenes_Odoo'!N1217)</f>
        <v/>
      </c>
      <c r="O1217" s="81">
        <f>IF('Ordenes_Odoo'!O1217="","",'Ordenes_Odoo'!O1217)</f>
        <v/>
      </c>
      <c r="P1217" s="81">
        <f>IF('Ordenes_Odoo'!P1217="","",'Ordenes_Odoo'!P1217)</f>
        <v/>
      </c>
      <c r="Q1217" s="79">
        <f>IF(A1217="","",IFERROR(INDEX(Facturas_Odoo!$B:$B, MATCH(A1217, Facturas_Odoo!$D:$D, 0)), "Sin Factura"))</f>
        <v/>
      </c>
      <c r="R1217" s="80">
        <f>IF(Q1217="Sin Factura","",IFERROR(INDEX(Facturas_Odoo!$A:$A, MATCH(Q1217, Facturas_Odoo!$B:$B, 0)), ""))</f>
        <v/>
      </c>
      <c r="S1217" s="79">
        <f>IF(Q1217="Sin Factura","",IFERROR(_xlfn.XLOOKUP(1, (Facturas_Odoo!$D:$D=A1217) * (Facturas_Odoo!$K:$K=I1217), Facturas_Odoo!$L:$L, ""), ""))</f>
        <v/>
      </c>
      <c r="T1217" s="81">
        <f>IF(Q1217="Sin Factura",0,IFERROR(_xlfn.XLOOKUP(1, (Facturas_Odoo!$D:$D=A1217) * (Facturas_Odoo!$K:$K=I1217), Facturas_Odoo!$M:$M, 0), 0))</f>
        <v/>
      </c>
      <c r="U1217" s="79">
        <f>IF(Q1217="Sin Factura",0,IFERROR(_xlfn.XLOOKUP(1, (Facturas_Odoo!$D:$D=A1217) * (Facturas_Odoo!$K:$K=I1217), Facturas_Odoo!$N:$N, 0), 0))</f>
        <v/>
      </c>
      <c r="V1217" s="79">
        <f>IF(Q1217="Sin Factura",0,IFERROR(_xlfn.XLOOKUP(1, (Facturas_Odoo!$D:$D=A1217) * (Facturas_Odoo!$K:$K=I1217), Facturas_Odoo!$O:$O, 0), 0))</f>
        <v/>
      </c>
      <c r="W1217" s="81">
        <f>IF(Q1217="Sin Factura",0,IFERROR(_xlfn.XLOOKUP(1, (Facturas_Odoo!$D:$D=A1217) * (Facturas_Odoo!$K:$K=I1217), Facturas_Odoo!$Q:$Q, 0), 0))</f>
        <v/>
      </c>
      <c r="X1217" s="79">
        <f>IF(OR(Q1217="Sin Factura",Q1217=""),"",IFERROR(INDEX(Pagos_Odoo!$B:$B, MATCH(Q1217, Pagos_Odoo!$I:$I, 0)), "Sin Pago"))</f>
        <v/>
      </c>
      <c r="Y1217" s="79">
        <f>IF(X1217="Sin Pago","",IFERROR(INDEX(Pagos_Odoo!$C:$C, MATCH(X1217, Pagos_Odoo!$B:$B, 0)), ""))</f>
        <v/>
      </c>
      <c r="Z1217" s="80">
        <f>IF(X1217="Sin Pago","",IFERROR(INDEX(Pagos_Odoo!$A:$A, MATCH(X1217, Pagos_Odoo!$B:$B, 0)), ""))</f>
        <v/>
      </c>
      <c r="AA1217" s="79">
        <f>IF(X1217="Sin Pago","",IFERROR(INDEX(Pagos_Odoo!$F:$F, MATCH(X1217, Pagos_Odoo!$B:$B, 0)), ""))</f>
        <v/>
      </c>
      <c r="AB1217" s="81">
        <f>IF(X1217="Sin Pago",0,IFERROR(INDEX(Pagos_Odoo!$E:$E, MATCH(X1217, Pagos_Odoo!$B:$B, 0)), 0))</f>
        <v/>
      </c>
      <c r="AC1217" s="79">
        <f>IF(X1217="Sin Pago","",IFERROR(INDEX(Pagos_Odoo!$G:$G, MATCH(X1217, Pagos_Odoo!$B:$B, 0)), ""))</f>
        <v/>
      </c>
      <c r="AD1217" s="82" t="n">
        <v>0</v>
      </c>
      <c r="AE1217" s="82" t="n"/>
      <c r="AF1217" s="82" t="n"/>
      <c r="AG1217" s="82">
        <f>IF(AN1217="","",AD1217+AE1217+AF1217)</f>
        <v/>
      </c>
      <c r="AH1217" s="81">
        <f>IF(AN1217="","",P1217*(1-AG1217))</f>
        <v/>
      </c>
      <c r="AI1217" s="81">
        <f>IF(AN1217="","",IF(Q1217="Sin Factura",0,IFERROR(INDEX(Facturas_Odoo!$H:$H, MATCH(Q1217, Facturas_Odoo!$B:$B, 0)), 0)*(1-AG1217)))</f>
        <v/>
      </c>
      <c r="AJ1217" s="81">
        <f>IF(AN1217="","",_xlfn.LET(idVenta, AN1217&amp;"",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17" s="81">
        <f>IF(AN1217="","",AH1217-AJ1217)</f>
        <v/>
      </c>
      <c r="AL1217" s="81">
        <f>IF(AN1217="","",IF(Q1217="Sin Factura","",AI1217-AJ1217))</f>
        <v/>
      </c>
      <c r="AM1217" s="81">
        <f>IF(AN1217="","",IF(Q1217="Sin Factura",0,P1217-IFERROR(INDEX(Facturas_Odoo!$H:$H, MATCH(Q1217, Facturas_Odoo!$B:$B, 0)), 0)))</f>
        <v/>
      </c>
      <c r="AN1217" s="79">
        <f>IF(AND(A1217="", J1217=""), "", IF(A1217&lt;&gt;"", VALUE(MID(A1217,2,LEN(A1217))), AN1216))</f>
        <v/>
      </c>
      <c r="AO1217" s="79">
        <f>IF(AN1217="","",IF(AD1217=0,"OK",_xlfn.LET(monedaPago, IF(AA1217="","USD",AA1217), limitePermitido, IFERROR(VLOOKUP(monedaPago, Configuración!$A$2:$B$3, 2, FALSE), 0.15), IF(AD1217&gt;limitePermitido, "ALERTA: EXCESO (" &amp; TEXT(limitePermitido, "0%") &amp; " máx)", "OK"))))</f>
        <v/>
      </c>
      <c r="AP1217" s="79">
        <f>IF(AN1217="","",IF(AE1217=0,"OK",_xlfn.LET(fechaPago, Z1217, fechaFactura, R1217, diasCredito, IF(E1217="Pago inmediato", 0, IFERROR(VALUE(MID(E1217, 1, SEARCH(" ", E1217)-1)),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17" s="79">
        <f>IF(AN1217="","",IF(AND(N1217&gt;0, AG1217&gt;0), IF(Configuración!$K$2="NO", "ALERTA: DESCUENTO DOBLE NO PERMITIDO", "OK"), "OK"))</f>
        <v/>
      </c>
      <c r="AR1217" s="79">
        <f>IF(AN1217="","",IF(OR(AO1217&lt;&gt;"OK", AP1217&lt;&gt;"OK", AQ1217&lt;&gt;"OK"), "⚠️ REVISAR", "OK"))</f>
        <v/>
      </c>
    </row>
    <row r="1218">
      <c r="A1218" s="79">
        <f>IF('Ordenes_Odoo'!A1218="","",'Ordenes_Odoo'!A1218)</f>
        <v/>
      </c>
      <c r="B1218" s="80">
        <f>IF('Ordenes_Odoo'!B1218="","",'Ordenes_Odoo'!B1218)</f>
        <v/>
      </c>
      <c r="C1218" s="79">
        <f>IF('Ordenes_Odoo'!C1218="","",'Ordenes_Odoo'!C1218)</f>
        <v/>
      </c>
      <c r="D1218" s="79">
        <f>IF('Ordenes_Odoo'!D1218="","",'Ordenes_Odoo'!D1218)</f>
        <v/>
      </c>
      <c r="E1218" s="79">
        <f>IF('Ordenes_Odoo'!E1218="","",'Ordenes_Odoo'!E1218)</f>
        <v/>
      </c>
      <c r="F1218" s="79">
        <f>IF('Ordenes_Odoo'!F1218="","",'Ordenes_Odoo'!F1218)</f>
        <v/>
      </c>
      <c r="G1218" s="79">
        <f>IF('Ordenes_Odoo'!G1218="","",'Ordenes_Odoo'!G1218)</f>
        <v/>
      </c>
      <c r="H1218" s="79">
        <f>IF('Ordenes_Odoo'!H1218="","",'Ordenes_Odoo'!H1218)</f>
        <v/>
      </c>
      <c r="I1218" s="79">
        <f>IF('Ordenes_Odoo'!I1218="","",'Ordenes_Odoo'!I1218)</f>
        <v/>
      </c>
      <c r="J1218" s="79">
        <f>IF('Ordenes_Odoo'!J1218="","",'Ordenes_Odoo'!J1218)</f>
        <v/>
      </c>
      <c r="K1218" s="81">
        <f>IF('Ordenes_Odoo'!K1218="","",'Ordenes_Odoo'!K1218)</f>
        <v/>
      </c>
      <c r="L1218" s="81">
        <f>IF('Ordenes_Odoo'!L1218="","",'Ordenes_Odoo'!L1218)</f>
        <v/>
      </c>
      <c r="M1218" s="79">
        <f>IF('Ordenes_Odoo'!M1218="","",'Ordenes_Odoo'!M1218)</f>
        <v/>
      </c>
      <c r="N1218" s="79">
        <f>IF('Ordenes_Odoo'!N1218="","",'Ordenes_Odoo'!N1218)</f>
        <v/>
      </c>
      <c r="O1218" s="81">
        <f>IF('Ordenes_Odoo'!O1218="","",'Ordenes_Odoo'!O1218)</f>
        <v/>
      </c>
      <c r="P1218" s="81">
        <f>IF('Ordenes_Odoo'!P1218="","",'Ordenes_Odoo'!P1218)</f>
        <v/>
      </c>
      <c r="Q1218" s="79">
        <f>IF(A1218="","",IFERROR(INDEX(Facturas_Odoo!$B:$B, MATCH(A1218, Facturas_Odoo!$D:$D, 0)), "Sin Factura"))</f>
        <v/>
      </c>
      <c r="R1218" s="80">
        <f>IF(Q1218="Sin Factura","",IFERROR(INDEX(Facturas_Odoo!$A:$A, MATCH(Q1218, Facturas_Odoo!$B:$B, 0)), ""))</f>
        <v/>
      </c>
      <c r="S1218" s="79">
        <f>IF(Q1218="Sin Factura","",IFERROR(_xlfn.XLOOKUP(1, (Facturas_Odoo!$D:$D=A1218) * (Facturas_Odoo!$K:$K=I1218), Facturas_Odoo!$L:$L, ""), ""))</f>
        <v/>
      </c>
      <c r="T1218" s="81">
        <f>IF(Q1218="Sin Factura",0,IFERROR(_xlfn.XLOOKUP(1, (Facturas_Odoo!$D:$D=A1218) * (Facturas_Odoo!$K:$K=I1218), Facturas_Odoo!$M:$M, 0), 0))</f>
        <v/>
      </c>
      <c r="U1218" s="79">
        <f>IF(Q1218="Sin Factura",0,IFERROR(_xlfn.XLOOKUP(1, (Facturas_Odoo!$D:$D=A1218) * (Facturas_Odoo!$K:$K=I1218), Facturas_Odoo!$N:$N, 0), 0))</f>
        <v/>
      </c>
      <c r="V1218" s="79">
        <f>IF(Q1218="Sin Factura",0,IFERROR(_xlfn.XLOOKUP(1, (Facturas_Odoo!$D:$D=A1218) * (Facturas_Odoo!$K:$K=I1218), Facturas_Odoo!$O:$O, 0), 0))</f>
        <v/>
      </c>
      <c r="W1218" s="81">
        <f>IF(Q1218="Sin Factura",0,IFERROR(_xlfn.XLOOKUP(1, (Facturas_Odoo!$D:$D=A1218) * (Facturas_Odoo!$K:$K=I1218), Facturas_Odoo!$Q:$Q, 0), 0))</f>
        <v/>
      </c>
      <c r="X1218" s="79">
        <f>IF(OR(Q1218="Sin Factura",Q1218=""),"",IFERROR(INDEX(Pagos_Odoo!$B:$B, MATCH(Q1218, Pagos_Odoo!$I:$I, 0)), "Sin Pago"))</f>
        <v/>
      </c>
      <c r="Y1218" s="79">
        <f>IF(X1218="Sin Pago","",IFERROR(INDEX(Pagos_Odoo!$C:$C, MATCH(X1218, Pagos_Odoo!$B:$B, 0)), ""))</f>
        <v/>
      </c>
      <c r="Z1218" s="80">
        <f>IF(X1218="Sin Pago","",IFERROR(INDEX(Pagos_Odoo!$A:$A, MATCH(X1218, Pagos_Odoo!$B:$B, 0)), ""))</f>
        <v/>
      </c>
      <c r="AA1218" s="79">
        <f>IF(X1218="Sin Pago","",IFERROR(INDEX(Pagos_Odoo!$F:$F, MATCH(X1218, Pagos_Odoo!$B:$B, 0)), ""))</f>
        <v/>
      </c>
      <c r="AB1218" s="81">
        <f>IF(X1218="Sin Pago",0,IFERROR(INDEX(Pagos_Odoo!$E:$E, MATCH(X1218, Pagos_Odoo!$B:$B, 0)), 0))</f>
        <v/>
      </c>
      <c r="AC1218" s="79">
        <f>IF(X1218="Sin Pago","",IFERROR(INDEX(Pagos_Odoo!$G:$G, MATCH(X1218, Pagos_Odoo!$B:$B, 0)), ""))</f>
        <v/>
      </c>
      <c r="AD1218" s="82" t="n">
        <v>0</v>
      </c>
      <c r="AE1218" s="82" t="n"/>
      <c r="AF1218" s="82" t="n"/>
      <c r="AG1218" s="82">
        <f>IF(AN1218="","",AD1218+AE1218+AF1218)</f>
        <v/>
      </c>
      <c r="AH1218" s="81">
        <f>IF(AN1218="","",P1218*(1-AG1218))</f>
        <v/>
      </c>
      <c r="AI1218" s="81">
        <f>IF(AN1218="","",IF(Q1218="Sin Factura",0,IFERROR(INDEX(Facturas_Odoo!$H:$H, MATCH(Q1218, Facturas_Odoo!$B:$B, 0)), 0)*(1-AG1218)))</f>
        <v/>
      </c>
      <c r="AJ1218" s="81">
        <f>IF(AN1218="","",_xlfn.LET(idVenta, AN1218&amp;"",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18" s="81">
        <f>IF(AN1218="","",AH1218-AJ1218)</f>
        <v/>
      </c>
      <c r="AL1218" s="81">
        <f>IF(AN1218="","",IF(Q1218="Sin Factura","",AI1218-AJ1218))</f>
        <v/>
      </c>
      <c r="AM1218" s="81">
        <f>IF(AN1218="","",IF(Q1218="Sin Factura",0,P1218-IFERROR(INDEX(Facturas_Odoo!$H:$H, MATCH(Q1218, Facturas_Odoo!$B:$B, 0)), 0)))</f>
        <v/>
      </c>
      <c r="AN1218" s="79">
        <f>IF(AND(A1218="", J1218=""), "", IF(A1218&lt;&gt;"", VALUE(MID(A1218,2,LEN(A1218))), AN1217))</f>
        <v/>
      </c>
      <c r="AO1218" s="79">
        <f>IF(AN1218="","",IF(AD1218=0,"OK",_xlfn.LET(monedaPago, IF(AA1218="","USD",AA1218), limitePermitido, IFERROR(VLOOKUP(monedaPago, Configuración!$A$2:$B$3, 2, FALSE), 0.15), IF(AD1218&gt;limitePermitido, "ALERTA: EXCESO (" &amp; TEXT(limitePermitido, "0%") &amp; " máx)", "OK"))))</f>
        <v/>
      </c>
      <c r="AP1218" s="79">
        <f>IF(AN1218="","",IF(AE1218=0,"OK",_xlfn.LET(fechaPago, Z1218, fechaFactura, R1218, diasCredito, IF(E1218="Pago inmediato", 0, IFERROR(VALUE(MID(E1218, 1, SEARCH(" ", E1218)-1)),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18" s="79">
        <f>IF(AN1218="","",IF(AND(N1218&gt;0, AG1218&gt;0), IF(Configuración!$K$2="NO", "ALERTA: DESCUENTO DOBLE NO PERMITIDO", "OK"), "OK"))</f>
        <v/>
      </c>
      <c r="AR1218" s="79">
        <f>IF(AN1218="","",IF(OR(AO1218&lt;&gt;"OK", AP1218&lt;&gt;"OK", AQ1218&lt;&gt;"OK"), "⚠️ REVISAR", "OK"))</f>
        <v/>
      </c>
    </row>
    <row r="1219">
      <c r="A1219" s="79">
        <f>IF('Ordenes_Odoo'!A1219="","",'Ordenes_Odoo'!A1219)</f>
        <v/>
      </c>
      <c r="B1219" s="80">
        <f>IF('Ordenes_Odoo'!B1219="","",'Ordenes_Odoo'!B1219)</f>
        <v/>
      </c>
      <c r="C1219" s="79">
        <f>IF('Ordenes_Odoo'!C1219="","",'Ordenes_Odoo'!C1219)</f>
        <v/>
      </c>
      <c r="D1219" s="79">
        <f>IF('Ordenes_Odoo'!D1219="","",'Ordenes_Odoo'!D1219)</f>
        <v/>
      </c>
      <c r="E1219" s="79">
        <f>IF('Ordenes_Odoo'!E1219="","",'Ordenes_Odoo'!E1219)</f>
        <v/>
      </c>
      <c r="F1219" s="79">
        <f>IF('Ordenes_Odoo'!F1219="","",'Ordenes_Odoo'!F1219)</f>
        <v/>
      </c>
      <c r="G1219" s="79">
        <f>IF('Ordenes_Odoo'!G1219="","",'Ordenes_Odoo'!G1219)</f>
        <v/>
      </c>
      <c r="H1219" s="79">
        <f>IF('Ordenes_Odoo'!H1219="","",'Ordenes_Odoo'!H1219)</f>
        <v/>
      </c>
      <c r="I1219" s="79">
        <f>IF('Ordenes_Odoo'!I1219="","",'Ordenes_Odoo'!I1219)</f>
        <v/>
      </c>
      <c r="J1219" s="79">
        <f>IF('Ordenes_Odoo'!J1219="","",'Ordenes_Odoo'!J1219)</f>
        <v/>
      </c>
      <c r="K1219" s="81">
        <f>IF('Ordenes_Odoo'!K1219="","",'Ordenes_Odoo'!K1219)</f>
        <v/>
      </c>
      <c r="L1219" s="81">
        <f>IF('Ordenes_Odoo'!L1219="","",'Ordenes_Odoo'!L1219)</f>
        <v/>
      </c>
      <c r="M1219" s="79">
        <f>IF('Ordenes_Odoo'!M1219="","",'Ordenes_Odoo'!M1219)</f>
        <v/>
      </c>
      <c r="N1219" s="79">
        <f>IF('Ordenes_Odoo'!N1219="","",'Ordenes_Odoo'!N1219)</f>
        <v/>
      </c>
      <c r="O1219" s="81">
        <f>IF('Ordenes_Odoo'!O1219="","",'Ordenes_Odoo'!O1219)</f>
        <v/>
      </c>
      <c r="P1219" s="81">
        <f>IF('Ordenes_Odoo'!P1219="","",'Ordenes_Odoo'!P1219)</f>
        <v/>
      </c>
      <c r="Q1219" s="79">
        <f>IF(A1219="","",IFERROR(INDEX(Facturas_Odoo!$B:$B, MATCH(A1219, Facturas_Odoo!$D:$D, 0)), "Sin Factura"))</f>
        <v/>
      </c>
      <c r="R1219" s="80">
        <f>IF(Q1219="Sin Factura","",IFERROR(INDEX(Facturas_Odoo!$A:$A, MATCH(Q1219, Facturas_Odoo!$B:$B, 0)), ""))</f>
        <v/>
      </c>
      <c r="S1219" s="79">
        <f>IF(Q1219="Sin Factura","",IFERROR(_xlfn.XLOOKUP(1, (Facturas_Odoo!$D:$D=A1219) * (Facturas_Odoo!$K:$K=I1219), Facturas_Odoo!$L:$L, ""), ""))</f>
        <v/>
      </c>
      <c r="T1219" s="81">
        <f>IF(Q1219="Sin Factura",0,IFERROR(_xlfn.XLOOKUP(1, (Facturas_Odoo!$D:$D=A1219) * (Facturas_Odoo!$K:$K=I1219), Facturas_Odoo!$M:$M, 0), 0))</f>
        <v/>
      </c>
      <c r="U1219" s="79">
        <f>IF(Q1219="Sin Factura",0,IFERROR(_xlfn.XLOOKUP(1, (Facturas_Odoo!$D:$D=A1219) * (Facturas_Odoo!$K:$K=I1219), Facturas_Odoo!$N:$N, 0), 0))</f>
        <v/>
      </c>
      <c r="V1219" s="79">
        <f>IF(Q1219="Sin Factura",0,IFERROR(_xlfn.XLOOKUP(1, (Facturas_Odoo!$D:$D=A1219) * (Facturas_Odoo!$K:$K=I1219), Facturas_Odoo!$O:$O, 0), 0))</f>
        <v/>
      </c>
      <c r="W1219" s="81">
        <f>IF(Q1219="Sin Factura",0,IFERROR(_xlfn.XLOOKUP(1, (Facturas_Odoo!$D:$D=A1219) * (Facturas_Odoo!$K:$K=I1219), Facturas_Odoo!$Q:$Q, 0), 0))</f>
        <v/>
      </c>
      <c r="X1219" s="79">
        <f>IF(OR(Q1219="Sin Factura",Q1219=""),"",IFERROR(INDEX(Pagos_Odoo!$B:$B, MATCH(Q1219, Pagos_Odoo!$I:$I, 0)), "Sin Pago"))</f>
        <v/>
      </c>
      <c r="Y1219" s="79">
        <f>IF(X1219="Sin Pago","",IFERROR(INDEX(Pagos_Odoo!$C:$C, MATCH(X1219, Pagos_Odoo!$B:$B, 0)), ""))</f>
        <v/>
      </c>
      <c r="Z1219" s="80">
        <f>IF(X1219="Sin Pago","",IFERROR(INDEX(Pagos_Odoo!$A:$A, MATCH(X1219, Pagos_Odoo!$B:$B, 0)), ""))</f>
        <v/>
      </c>
      <c r="AA1219" s="79">
        <f>IF(X1219="Sin Pago","",IFERROR(INDEX(Pagos_Odoo!$F:$F, MATCH(X1219, Pagos_Odoo!$B:$B, 0)), ""))</f>
        <v/>
      </c>
      <c r="AB1219" s="81">
        <f>IF(X1219="Sin Pago",0,IFERROR(INDEX(Pagos_Odoo!$E:$E, MATCH(X1219, Pagos_Odoo!$B:$B, 0)), 0))</f>
        <v/>
      </c>
      <c r="AC1219" s="79">
        <f>IF(X1219="Sin Pago","",IFERROR(INDEX(Pagos_Odoo!$G:$G, MATCH(X1219, Pagos_Odoo!$B:$B, 0)), ""))</f>
        <v/>
      </c>
      <c r="AD1219" s="82" t="n">
        <v>0</v>
      </c>
      <c r="AE1219" s="82" t="n"/>
      <c r="AF1219" s="82" t="n"/>
      <c r="AG1219" s="82">
        <f>IF(AN1219="","",AD1219+AE1219+AF1219)</f>
        <v/>
      </c>
      <c r="AH1219" s="81">
        <f>IF(AN1219="","",P1219*(1-AG1219))</f>
        <v/>
      </c>
      <c r="AI1219" s="81">
        <f>IF(AN1219="","",IF(Q1219="Sin Factura",0,IFERROR(INDEX(Facturas_Odoo!$H:$H, MATCH(Q1219, Facturas_Odoo!$B:$B, 0)), 0)*(1-AG1219)))</f>
        <v/>
      </c>
      <c r="AJ1219" s="81">
        <f>IF(AN1219="","",_xlfn.LET(idVenta, AN1219&amp;"",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19" s="81">
        <f>IF(AN1219="","",AH1219-AJ1219)</f>
        <v/>
      </c>
      <c r="AL1219" s="81">
        <f>IF(AN1219="","",IF(Q1219="Sin Factura","",AI1219-AJ1219))</f>
        <v/>
      </c>
      <c r="AM1219" s="81">
        <f>IF(AN1219="","",IF(Q1219="Sin Factura",0,P1219-IFERROR(INDEX(Facturas_Odoo!$H:$H, MATCH(Q1219, Facturas_Odoo!$B:$B, 0)), 0)))</f>
        <v/>
      </c>
      <c r="AN1219" s="79">
        <f>IF(AND(A1219="", J1219=""), "", IF(A1219&lt;&gt;"", VALUE(MID(A1219,2,LEN(A1219))), AN1218))</f>
        <v/>
      </c>
      <c r="AO1219" s="79">
        <f>IF(AN1219="","",IF(AD1219=0,"OK",_xlfn.LET(monedaPago, IF(AA1219="","USD",AA1219), limitePermitido, IFERROR(VLOOKUP(monedaPago, Configuración!$A$2:$B$3, 2, FALSE), 0.15), IF(AD1219&gt;limitePermitido, "ALERTA: EXCESO (" &amp; TEXT(limitePermitido, "0%") &amp; " máx)", "OK"))))</f>
        <v/>
      </c>
      <c r="AP1219" s="79">
        <f>IF(AN1219="","",IF(AE1219=0,"OK",_xlfn.LET(fechaPago, Z1219, fechaFactura, R1219, diasCredito, IF(E1219="Pago inmediato", 0, IFERROR(VALUE(MID(E1219, 1, SEARCH(" ", E1219)-1)),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19" s="79">
        <f>IF(AN1219="","",IF(AND(N1219&gt;0, AG1219&gt;0), IF(Configuración!$K$2="NO", "ALERTA: DESCUENTO DOBLE NO PERMITIDO", "OK"), "OK"))</f>
        <v/>
      </c>
      <c r="AR1219" s="79">
        <f>IF(AN1219="","",IF(OR(AO1219&lt;&gt;"OK", AP1219&lt;&gt;"OK", AQ1219&lt;&gt;"OK"), "⚠️ REVISAR", "OK"))</f>
        <v/>
      </c>
    </row>
    <row r="1220">
      <c r="A1220" s="79">
        <f>IF('Ordenes_Odoo'!A1220="","",'Ordenes_Odoo'!A1220)</f>
        <v/>
      </c>
      <c r="B1220" s="80">
        <f>IF('Ordenes_Odoo'!B1220="","",'Ordenes_Odoo'!B1220)</f>
        <v/>
      </c>
      <c r="C1220" s="79">
        <f>IF('Ordenes_Odoo'!C1220="","",'Ordenes_Odoo'!C1220)</f>
        <v/>
      </c>
      <c r="D1220" s="79">
        <f>IF('Ordenes_Odoo'!D1220="","",'Ordenes_Odoo'!D1220)</f>
        <v/>
      </c>
      <c r="E1220" s="79">
        <f>IF('Ordenes_Odoo'!E1220="","",'Ordenes_Odoo'!E1220)</f>
        <v/>
      </c>
      <c r="F1220" s="79">
        <f>IF('Ordenes_Odoo'!F1220="","",'Ordenes_Odoo'!F1220)</f>
        <v/>
      </c>
      <c r="G1220" s="79">
        <f>IF('Ordenes_Odoo'!G1220="","",'Ordenes_Odoo'!G1220)</f>
        <v/>
      </c>
      <c r="H1220" s="79">
        <f>IF('Ordenes_Odoo'!H1220="","",'Ordenes_Odoo'!H1220)</f>
        <v/>
      </c>
      <c r="I1220" s="79">
        <f>IF('Ordenes_Odoo'!I1220="","",'Ordenes_Odoo'!I1220)</f>
        <v/>
      </c>
      <c r="J1220" s="79">
        <f>IF('Ordenes_Odoo'!J1220="","",'Ordenes_Odoo'!J1220)</f>
        <v/>
      </c>
      <c r="K1220" s="81">
        <f>IF('Ordenes_Odoo'!K1220="","",'Ordenes_Odoo'!K1220)</f>
        <v/>
      </c>
      <c r="L1220" s="81">
        <f>IF('Ordenes_Odoo'!L1220="","",'Ordenes_Odoo'!L1220)</f>
        <v/>
      </c>
      <c r="M1220" s="79">
        <f>IF('Ordenes_Odoo'!M1220="","",'Ordenes_Odoo'!M1220)</f>
        <v/>
      </c>
      <c r="N1220" s="79">
        <f>IF('Ordenes_Odoo'!N1220="","",'Ordenes_Odoo'!N1220)</f>
        <v/>
      </c>
      <c r="O1220" s="81">
        <f>IF('Ordenes_Odoo'!O1220="","",'Ordenes_Odoo'!O1220)</f>
        <v/>
      </c>
      <c r="P1220" s="81">
        <f>IF('Ordenes_Odoo'!P1220="","",'Ordenes_Odoo'!P1220)</f>
        <v/>
      </c>
      <c r="Q1220" s="79">
        <f>IF(A1220="","",IFERROR(INDEX(Facturas_Odoo!$B:$B, MATCH(A1220, Facturas_Odoo!$D:$D, 0)), "Sin Factura"))</f>
        <v/>
      </c>
      <c r="R1220" s="80">
        <f>IF(Q1220="Sin Factura","",IFERROR(INDEX(Facturas_Odoo!$A:$A, MATCH(Q1220, Facturas_Odoo!$B:$B, 0)), ""))</f>
        <v/>
      </c>
      <c r="S1220" s="79">
        <f>IF(Q1220="Sin Factura","",IFERROR(_xlfn.XLOOKUP(1, (Facturas_Odoo!$D:$D=A1220) * (Facturas_Odoo!$K:$K=I1220), Facturas_Odoo!$L:$L, ""), ""))</f>
        <v/>
      </c>
      <c r="T1220" s="81">
        <f>IF(Q1220="Sin Factura",0,IFERROR(_xlfn.XLOOKUP(1, (Facturas_Odoo!$D:$D=A1220) * (Facturas_Odoo!$K:$K=I1220), Facturas_Odoo!$M:$M, 0), 0))</f>
        <v/>
      </c>
      <c r="U1220" s="79">
        <f>IF(Q1220="Sin Factura",0,IFERROR(_xlfn.XLOOKUP(1, (Facturas_Odoo!$D:$D=A1220) * (Facturas_Odoo!$K:$K=I1220), Facturas_Odoo!$N:$N, 0), 0))</f>
        <v/>
      </c>
      <c r="V1220" s="79">
        <f>IF(Q1220="Sin Factura",0,IFERROR(_xlfn.XLOOKUP(1, (Facturas_Odoo!$D:$D=A1220) * (Facturas_Odoo!$K:$K=I1220), Facturas_Odoo!$O:$O, 0), 0))</f>
        <v/>
      </c>
      <c r="W1220" s="81">
        <f>IF(Q1220="Sin Factura",0,IFERROR(_xlfn.XLOOKUP(1, (Facturas_Odoo!$D:$D=A1220) * (Facturas_Odoo!$K:$K=I1220), Facturas_Odoo!$Q:$Q, 0), 0))</f>
        <v/>
      </c>
      <c r="X1220" s="79">
        <f>IF(OR(Q1220="Sin Factura",Q1220=""),"",IFERROR(INDEX(Pagos_Odoo!$B:$B, MATCH(Q1220, Pagos_Odoo!$I:$I, 0)), "Sin Pago"))</f>
        <v/>
      </c>
      <c r="Y1220" s="79">
        <f>IF(X1220="Sin Pago","",IFERROR(INDEX(Pagos_Odoo!$C:$C, MATCH(X1220, Pagos_Odoo!$B:$B, 0)), ""))</f>
        <v/>
      </c>
      <c r="Z1220" s="80">
        <f>IF(X1220="Sin Pago","",IFERROR(INDEX(Pagos_Odoo!$A:$A, MATCH(X1220, Pagos_Odoo!$B:$B, 0)), ""))</f>
        <v/>
      </c>
      <c r="AA1220" s="79">
        <f>IF(X1220="Sin Pago","",IFERROR(INDEX(Pagos_Odoo!$F:$F, MATCH(X1220, Pagos_Odoo!$B:$B, 0)), ""))</f>
        <v/>
      </c>
      <c r="AB1220" s="81">
        <f>IF(X1220="Sin Pago",0,IFERROR(INDEX(Pagos_Odoo!$E:$E, MATCH(X1220, Pagos_Odoo!$B:$B, 0)), 0))</f>
        <v/>
      </c>
      <c r="AC1220" s="79">
        <f>IF(X1220="Sin Pago","",IFERROR(INDEX(Pagos_Odoo!$G:$G, MATCH(X1220, Pagos_Odoo!$B:$B, 0)), ""))</f>
        <v/>
      </c>
      <c r="AD1220" s="82" t="n">
        <v>0</v>
      </c>
      <c r="AE1220" s="82" t="n"/>
      <c r="AF1220" s="82" t="n"/>
      <c r="AG1220" s="82">
        <f>IF(AN1220="","",AD1220+AE1220+AF1220)</f>
        <v/>
      </c>
      <c r="AH1220" s="81">
        <f>IF(AN1220="","",P1220*(1-AG1220))</f>
        <v/>
      </c>
      <c r="AI1220" s="81">
        <f>IF(AN1220="","",IF(Q1220="Sin Factura",0,IFERROR(INDEX(Facturas_Odoo!$H:$H, MATCH(Q1220, Facturas_Odoo!$B:$B, 0)), 0)*(1-AG1220)))</f>
        <v/>
      </c>
      <c r="AJ1220" s="81">
        <f>IF(AN1220="","",_xlfn.LET(idVenta, AN1220&amp;"",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20" s="81">
        <f>IF(AN1220="","",AH1220-AJ1220)</f>
        <v/>
      </c>
      <c r="AL1220" s="81">
        <f>IF(AN1220="","",IF(Q1220="Sin Factura","",AI1220-AJ1220))</f>
        <v/>
      </c>
      <c r="AM1220" s="81">
        <f>IF(AN1220="","",IF(Q1220="Sin Factura",0,P1220-IFERROR(INDEX(Facturas_Odoo!$H:$H, MATCH(Q1220, Facturas_Odoo!$B:$B, 0)), 0)))</f>
        <v/>
      </c>
      <c r="AN1220" s="79">
        <f>IF(AND(A1220="", J1220=""), "", IF(A1220&lt;&gt;"", VALUE(MID(A1220,2,LEN(A1220))), AN1219))</f>
        <v/>
      </c>
      <c r="AO1220" s="79">
        <f>IF(AN1220="","",IF(AD1220=0,"OK",_xlfn.LET(monedaPago, IF(AA1220="","USD",AA1220), limitePermitido, IFERROR(VLOOKUP(monedaPago, Configuración!$A$2:$B$3, 2, FALSE), 0.15), IF(AD1220&gt;limitePermitido, "ALERTA: EXCESO (" &amp; TEXT(limitePermitido, "0%") &amp; " máx)", "OK"))))</f>
        <v/>
      </c>
      <c r="AP1220" s="79">
        <f>IF(AN1220="","",IF(AE1220=0,"OK",_xlfn.LET(fechaPago, Z1220, fechaFactura, R1220, diasCredito, IF(E1220="Pago inmediato", 0, IFERROR(VALUE(MID(E1220, 1, SEARCH(" ", E1220)-1)),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20" s="79">
        <f>IF(AN1220="","",IF(AND(N1220&gt;0, AG1220&gt;0), IF(Configuración!$K$2="NO", "ALERTA: DESCUENTO DOBLE NO PERMITIDO", "OK"), "OK"))</f>
        <v/>
      </c>
      <c r="AR1220" s="79">
        <f>IF(AN1220="","",IF(OR(AO1220&lt;&gt;"OK", AP1220&lt;&gt;"OK", AQ1220&lt;&gt;"OK"), "⚠️ REVISAR", "OK"))</f>
        <v/>
      </c>
    </row>
    <row r="1221">
      <c r="A1221" s="79">
        <f>IF('Ordenes_Odoo'!A1221="","",'Ordenes_Odoo'!A1221)</f>
        <v/>
      </c>
      <c r="B1221" s="80">
        <f>IF('Ordenes_Odoo'!B1221="","",'Ordenes_Odoo'!B1221)</f>
        <v/>
      </c>
      <c r="C1221" s="79">
        <f>IF('Ordenes_Odoo'!C1221="","",'Ordenes_Odoo'!C1221)</f>
        <v/>
      </c>
      <c r="D1221" s="79">
        <f>IF('Ordenes_Odoo'!D1221="","",'Ordenes_Odoo'!D1221)</f>
        <v/>
      </c>
      <c r="E1221" s="79">
        <f>IF('Ordenes_Odoo'!E1221="","",'Ordenes_Odoo'!E1221)</f>
        <v/>
      </c>
      <c r="F1221" s="79">
        <f>IF('Ordenes_Odoo'!F1221="","",'Ordenes_Odoo'!F1221)</f>
        <v/>
      </c>
      <c r="G1221" s="79">
        <f>IF('Ordenes_Odoo'!G1221="","",'Ordenes_Odoo'!G1221)</f>
        <v/>
      </c>
      <c r="H1221" s="79">
        <f>IF('Ordenes_Odoo'!H1221="","",'Ordenes_Odoo'!H1221)</f>
        <v/>
      </c>
      <c r="I1221" s="79">
        <f>IF('Ordenes_Odoo'!I1221="","",'Ordenes_Odoo'!I1221)</f>
        <v/>
      </c>
      <c r="J1221" s="79">
        <f>IF('Ordenes_Odoo'!J1221="","",'Ordenes_Odoo'!J1221)</f>
        <v/>
      </c>
      <c r="K1221" s="81">
        <f>IF('Ordenes_Odoo'!K1221="","",'Ordenes_Odoo'!K1221)</f>
        <v/>
      </c>
      <c r="L1221" s="81">
        <f>IF('Ordenes_Odoo'!L1221="","",'Ordenes_Odoo'!L1221)</f>
        <v/>
      </c>
      <c r="M1221" s="79">
        <f>IF('Ordenes_Odoo'!M1221="","",'Ordenes_Odoo'!M1221)</f>
        <v/>
      </c>
      <c r="N1221" s="79">
        <f>IF('Ordenes_Odoo'!N1221="","",'Ordenes_Odoo'!N1221)</f>
        <v/>
      </c>
      <c r="O1221" s="81">
        <f>IF('Ordenes_Odoo'!O1221="","",'Ordenes_Odoo'!O1221)</f>
        <v/>
      </c>
      <c r="P1221" s="81">
        <f>IF('Ordenes_Odoo'!P1221="","",'Ordenes_Odoo'!P1221)</f>
        <v/>
      </c>
      <c r="Q1221" s="79">
        <f>IF(A1221="","",IFERROR(INDEX(Facturas_Odoo!$B:$B, MATCH(A1221, Facturas_Odoo!$D:$D, 0)), "Sin Factura"))</f>
        <v/>
      </c>
      <c r="R1221" s="80">
        <f>IF(Q1221="Sin Factura","",IFERROR(INDEX(Facturas_Odoo!$A:$A, MATCH(Q1221, Facturas_Odoo!$B:$B, 0)), ""))</f>
        <v/>
      </c>
      <c r="S1221" s="79">
        <f>IF(Q1221="Sin Factura","",IFERROR(_xlfn.XLOOKUP(1, (Facturas_Odoo!$D:$D=A1221) * (Facturas_Odoo!$K:$K=I1221), Facturas_Odoo!$L:$L, ""), ""))</f>
        <v/>
      </c>
      <c r="T1221" s="81">
        <f>IF(Q1221="Sin Factura",0,IFERROR(_xlfn.XLOOKUP(1, (Facturas_Odoo!$D:$D=A1221) * (Facturas_Odoo!$K:$K=I1221), Facturas_Odoo!$M:$M, 0), 0))</f>
        <v/>
      </c>
      <c r="U1221" s="79">
        <f>IF(Q1221="Sin Factura",0,IFERROR(_xlfn.XLOOKUP(1, (Facturas_Odoo!$D:$D=A1221) * (Facturas_Odoo!$K:$K=I1221), Facturas_Odoo!$N:$N, 0), 0))</f>
        <v/>
      </c>
      <c r="V1221" s="79">
        <f>IF(Q1221="Sin Factura",0,IFERROR(_xlfn.XLOOKUP(1, (Facturas_Odoo!$D:$D=A1221) * (Facturas_Odoo!$K:$K=I1221), Facturas_Odoo!$O:$O, 0), 0))</f>
        <v/>
      </c>
      <c r="W1221" s="81">
        <f>IF(Q1221="Sin Factura",0,IFERROR(_xlfn.XLOOKUP(1, (Facturas_Odoo!$D:$D=A1221) * (Facturas_Odoo!$K:$K=I1221), Facturas_Odoo!$Q:$Q, 0), 0))</f>
        <v/>
      </c>
      <c r="X1221" s="79">
        <f>IF(OR(Q1221="Sin Factura",Q1221=""),"",IFERROR(INDEX(Pagos_Odoo!$B:$B, MATCH(Q1221, Pagos_Odoo!$I:$I, 0)), "Sin Pago"))</f>
        <v/>
      </c>
      <c r="Y1221" s="79">
        <f>IF(X1221="Sin Pago","",IFERROR(INDEX(Pagos_Odoo!$C:$C, MATCH(X1221, Pagos_Odoo!$B:$B, 0)), ""))</f>
        <v/>
      </c>
      <c r="Z1221" s="80">
        <f>IF(X1221="Sin Pago","",IFERROR(INDEX(Pagos_Odoo!$A:$A, MATCH(X1221, Pagos_Odoo!$B:$B, 0)), ""))</f>
        <v/>
      </c>
      <c r="AA1221" s="79">
        <f>IF(X1221="Sin Pago","",IFERROR(INDEX(Pagos_Odoo!$F:$F, MATCH(X1221, Pagos_Odoo!$B:$B, 0)), ""))</f>
        <v/>
      </c>
      <c r="AB1221" s="81">
        <f>IF(X1221="Sin Pago",0,IFERROR(INDEX(Pagos_Odoo!$E:$E, MATCH(X1221, Pagos_Odoo!$B:$B, 0)), 0))</f>
        <v/>
      </c>
      <c r="AC1221" s="79">
        <f>IF(X1221="Sin Pago","",IFERROR(INDEX(Pagos_Odoo!$G:$G, MATCH(X1221, Pagos_Odoo!$B:$B, 0)), ""))</f>
        <v/>
      </c>
      <c r="AD1221" s="82" t="n">
        <v>0</v>
      </c>
      <c r="AE1221" s="82" t="n"/>
      <c r="AF1221" s="82" t="n"/>
      <c r="AG1221" s="82">
        <f>IF(AN1221="","",AD1221+AE1221+AF1221)</f>
        <v/>
      </c>
      <c r="AH1221" s="81">
        <f>IF(AN1221="","",P1221*(1-AG1221))</f>
        <v/>
      </c>
      <c r="AI1221" s="81">
        <f>IF(AN1221="","",IF(Q1221="Sin Factura",0,IFERROR(INDEX(Facturas_Odoo!$H:$H, MATCH(Q1221, Facturas_Odoo!$B:$B, 0)), 0)*(1-AG1221)))</f>
        <v/>
      </c>
      <c r="AJ1221" s="81">
        <f>IF(AN1221="","",_xlfn.LET(idVenta, AN1221&amp;"",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21" s="81">
        <f>IF(AN1221="","",AH1221-AJ1221)</f>
        <v/>
      </c>
      <c r="AL1221" s="81">
        <f>IF(AN1221="","",IF(Q1221="Sin Factura","",AI1221-AJ1221))</f>
        <v/>
      </c>
      <c r="AM1221" s="81">
        <f>IF(AN1221="","",IF(Q1221="Sin Factura",0,P1221-IFERROR(INDEX(Facturas_Odoo!$H:$H, MATCH(Q1221, Facturas_Odoo!$B:$B, 0)), 0)))</f>
        <v/>
      </c>
      <c r="AN1221" s="79">
        <f>IF(AND(A1221="", J1221=""), "", IF(A1221&lt;&gt;"", VALUE(MID(A1221,2,LEN(A1221))), AN1220))</f>
        <v/>
      </c>
      <c r="AO1221" s="79">
        <f>IF(AN1221="","",IF(AD1221=0,"OK",_xlfn.LET(monedaPago, IF(AA1221="","USD",AA1221), limitePermitido, IFERROR(VLOOKUP(monedaPago, Configuración!$A$2:$B$3, 2, FALSE), 0.15), IF(AD1221&gt;limitePermitido, "ALERTA: EXCESO (" &amp; TEXT(limitePermitido, "0%") &amp; " máx)", "OK"))))</f>
        <v/>
      </c>
      <c r="AP1221" s="79">
        <f>IF(AN1221="","",IF(AE1221=0,"OK",_xlfn.LET(fechaPago, Z1221, fechaFactura, R1221, diasCredito, IF(E1221="Pago inmediato", 0, IFERROR(VALUE(MID(E1221, 1, SEARCH(" ", E1221)-1)),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21" s="79">
        <f>IF(AN1221="","",IF(AND(N1221&gt;0, AG1221&gt;0), IF(Configuración!$K$2="NO", "ALERTA: DESCUENTO DOBLE NO PERMITIDO", "OK"), "OK"))</f>
        <v/>
      </c>
      <c r="AR1221" s="79">
        <f>IF(AN1221="","",IF(OR(AO1221&lt;&gt;"OK", AP1221&lt;&gt;"OK", AQ1221&lt;&gt;"OK"), "⚠️ REVISAR", "OK"))</f>
        <v/>
      </c>
    </row>
    <row r="1222">
      <c r="A1222" s="79">
        <f>IF('Ordenes_Odoo'!A1222="","",'Ordenes_Odoo'!A1222)</f>
        <v/>
      </c>
      <c r="B1222" s="80">
        <f>IF('Ordenes_Odoo'!B1222="","",'Ordenes_Odoo'!B1222)</f>
        <v/>
      </c>
      <c r="C1222" s="79">
        <f>IF('Ordenes_Odoo'!C1222="","",'Ordenes_Odoo'!C1222)</f>
        <v/>
      </c>
      <c r="D1222" s="79">
        <f>IF('Ordenes_Odoo'!D1222="","",'Ordenes_Odoo'!D1222)</f>
        <v/>
      </c>
      <c r="E1222" s="79">
        <f>IF('Ordenes_Odoo'!E1222="","",'Ordenes_Odoo'!E1222)</f>
        <v/>
      </c>
      <c r="F1222" s="79">
        <f>IF('Ordenes_Odoo'!F1222="","",'Ordenes_Odoo'!F1222)</f>
        <v/>
      </c>
      <c r="G1222" s="79">
        <f>IF('Ordenes_Odoo'!G1222="","",'Ordenes_Odoo'!G1222)</f>
        <v/>
      </c>
      <c r="H1222" s="79">
        <f>IF('Ordenes_Odoo'!H1222="","",'Ordenes_Odoo'!H1222)</f>
        <v/>
      </c>
      <c r="I1222" s="79">
        <f>IF('Ordenes_Odoo'!I1222="","",'Ordenes_Odoo'!I1222)</f>
        <v/>
      </c>
      <c r="J1222" s="79">
        <f>IF('Ordenes_Odoo'!J1222="","",'Ordenes_Odoo'!J1222)</f>
        <v/>
      </c>
      <c r="K1222" s="81">
        <f>IF('Ordenes_Odoo'!K1222="","",'Ordenes_Odoo'!K1222)</f>
        <v/>
      </c>
      <c r="L1222" s="81">
        <f>IF('Ordenes_Odoo'!L1222="","",'Ordenes_Odoo'!L1222)</f>
        <v/>
      </c>
      <c r="M1222" s="79">
        <f>IF('Ordenes_Odoo'!M1222="","",'Ordenes_Odoo'!M1222)</f>
        <v/>
      </c>
      <c r="N1222" s="79">
        <f>IF('Ordenes_Odoo'!N1222="","",'Ordenes_Odoo'!N1222)</f>
        <v/>
      </c>
      <c r="O1222" s="81">
        <f>IF('Ordenes_Odoo'!O1222="","",'Ordenes_Odoo'!O1222)</f>
        <v/>
      </c>
      <c r="P1222" s="81">
        <f>IF('Ordenes_Odoo'!P1222="","",'Ordenes_Odoo'!P1222)</f>
        <v/>
      </c>
      <c r="Q1222" s="79">
        <f>IF(A1222="","",IFERROR(INDEX(Facturas_Odoo!$B:$B, MATCH(A1222, Facturas_Odoo!$D:$D, 0)), "Sin Factura"))</f>
        <v/>
      </c>
      <c r="R1222" s="80">
        <f>IF(Q1222="Sin Factura","",IFERROR(INDEX(Facturas_Odoo!$A:$A, MATCH(Q1222, Facturas_Odoo!$B:$B, 0)), ""))</f>
        <v/>
      </c>
      <c r="S1222" s="79">
        <f>IF(Q1222="Sin Factura","",IFERROR(_xlfn.XLOOKUP(1, (Facturas_Odoo!$D:$D=A1222) * (Facturas_Odoo!$K:$K=I1222), Facturas_Odoo!$L:$L, ""), ""))</f>
        <v/>
      </c>
      <c r="T1222" s="81">
        <f>IF(Q1222="Sin Factura",0,IFERROR(_xlfn.XLOOKUP(1, (Facturas_Odoo!$D:$D=A1222) * (Facturas_Odoo!$K:$K=I1222), Facturas_Odoo!$M:$M, 0), 0))</f>
        <v/>
      </c>
      <c r="U1222" s="79">
        <f>IF(Q1222="Sin Factura",0,IFERROR(_xlfn.XLOOKUP(1, (Facturas_Odoo!$D:$D=A1222) * (Facturas_Odoo!$K:$K=I1222), Facturas_Odoo!$N:$N, 0), 0))</f>
        <v/>
      </c>
      <c r="V1222" s="79">
        <f>IF(Q1222="Sin Factura",0,IFERROR(_xlfn.XLOOKUP(1, (Facturas_Odoo!$D:$D=A1222) * (Facturas_Odoo!$K:$K=I1222), Facturas_Odoo!$O:$O, 0), 0))</f>
        <v/>
      </c>
      <c r="W1222" s="81">
        <f>IF(Q1222="Sin Factura",0,IFERROR(_xlfn.XLOOKUP(1, (Facturas_Odoo!$D:$D=A1222) * (Facturas_Odoo!$K:$K=I1222), Facturas_Odoo!$Q:$Q, 0), 0))</f>
        <v/>
      </c>
      <c r="X1222" s="79">
        <f>IF(OR(Q1222="Sin Factura",Q1222=""),"",IFERROR(INDEX(Pagos_Odoo!$B:$B, MATCH(Q1222, Pagos_Odoo!$I:$I, 0)), "Sin Pago"))</f>
        <v/>
      </c>
      <c r="Y1222" s="79">
        <f>IF(X1222="Sin Pago","",IFERROR(INDEX(Pagos_Odoo!$C:$C, MATCH(X1222, Pagos_Odoo!$B:$B, 0)), ""))</f>
        <v/>
      </c>
      <c r="Z1222" s="80">
        <f>IF(X1222="Sin Pago","",IFERROR(INDEX(Pagos_Odoo!$A:$A, MATCH(X1222, Pagos_Odoo!$B:$B, 0)), ""))</f>
        <v/>
      </c>
      <c r="AA1222" s="79">
        <f>IF(X1222="Sin Pago","",IFERROR(INDEX(Pagos_Odoo!$F:$F, MATCH(X1222, Pagos_Odoo!$B:$B, 0)), ""))</f>
        <v/>
      </c>
      <c r="AB1222" s="81">
        <f>IF(X1222="Sin Pago",0,IFERROR(INDEX(Pagos_Odoo!$E:$E, MATCH(X1222, Pagos_Odoo!$B:$B, 0)), 0))</f>
        <v/>
      </c>
      <c r="AC1222" s="79">
        <f>IF(X1222="Sin Pago","",IFERROR(INDEX(Pagos_Odoo!$G:$G, MATCH(X1222, Pagos_Odoo!$B:$B, 0)), ""))</f>
        <v/>
      </c>
      <c r="AD1222" s="82" t="n">
        <v>0</v>
      </c>
      <c r="AE1222" s="82" t="n"/>
      <c r="AF1222" s="82" t="n"/>
      <c r="AG1222" s="82">
        <f>IF(AN1222="","",AD1222+AE1222+AF1222)</f>
        <v/>
      </c>
      <c r="AH1222" s="81">
        <f>IF(AN1222="","",P1222*(1-AG1222))</f>
        <v/>
      </c>
      <c r="AI1222" s="81">
        <f>IF(AN1222="","",IF(Q1222="Sin Factura",0,IFERROR(INDEX(Facturas_Odoo!$H:$H, MATCH(Q1222, Facturas_Odoo!$B:$B, 0)), 0)*(1-AG1222)))</f>
        <v/>
      </c>
      <c r="AJ1222" s="81">
        <f>IF(AN1222="","",_xlfn.LET(idVenta, AN1222&amp;"",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22" s="81">
        <f>IF(AN1222="","",AH1222-AJ1222)</f>
        <v/>
      </c>
      <c r="AL1222" s="81">
        <f>IF(AN1222="","",IF(Q1222="Sin Factura","",AI1222-AJ1222))</f>
        <v/>
      </c>
      <c r="AM1222" s="81">
        <f>IF(AN1222="","",IF(Q1222="Sin Factura",0,P1222-IFERROR(INDEX(Facturas_Odoo!$H:$H, MATCH(Q1222, Facturas_Odoo!$B:$B, 0)), 0)))</f>
        <v/>
      </c>
      <c r="AN1222" s="79">
        <f>IF(AND(A1222="", J1222=""), "", IF(A1222&lt;&gt;"", VALUE(MID(A1222,2,LEN(A1222))), AN1221))</f>
        <v/>
      </c>
      <c r="AO1222" s="79">
        <f>IF(AN1222="","",IF(AD1222=0,"OK",_xlfn.LET(monedaPago, IF(AA1222="","USD",AA1222), limitePermitido, IFERROR(VLOOKUP(monedaPago, Configuración!$A$2:$B$3, 2, FALSE), 0.15), IF(AD1222&gt;limitePermitido, "ALERTA: EXCESO (" &amp; TEXT(limitePermitido, "0%") &amp; " máx)", "OK"))))</f>
        <v/>
      </c>
      <c r="AP1222" s="79">
        <f>IF(AN1222="","",IF(AE1222=0,"OK",_xlfn.LET(fechaPago, Z1222, fechaFactura, R1222, diasCredito, IF(E1222="Pago inmediato", 0, IFERROR(VALUE(MID(E1222, 1, SEARCH(" ", E1222)-1)),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22" s="79">
        <f>IF(AN1222="","",IF(AND(N1222&gt;0, AG1222&gt;0), IF(Configuración!$K$2="NO", "ALERTA: DESCUENTO DOBLE NO PERMITIDO", "OK"), "OK"))</f>
        <v/>
      </c>
      <c r="AR1222" s="79">
        <f>IF(AN1222="","",IF(OR(AO1222&lt;&gt;"OK", AP1222&lt;&gt;"OK", AQ1222&lt;&gt;"OK"), "⚠️ REVISAR", "OK"))</f>
        <v/>
      </c>
    </row>
    <row r="1223">
      <c r="A1223" s="79">
        <f>IF('Ordenes_Odoo'!A1223="","",'Ordenes_Odoo'!A1223)</f>
        <v/>
      </c>
      <c r="B1223" s="80">
        <f>IF('Ordenes_Odoo'!B1223="","",'Ordenes_Odoo'!B1223)</f>
        <v/>
      </c>
      <c r="C1223" s="79">
        <f>IF('Ordenes_Odoo'!C1223="","",'Ordenes_Odoo'!C1223)</f>
        <v/>
      </c>
      <c r="D1223" s="79">
        <f>IF('Ordenes_Odoo'!D1223="","",'Ordenes_Odoo'!D1223)</f>
        <v/>
      </c>
      <c r="E1223" s="79">
        <f>IF('Ordenes_Odoo'!E1223="","",'Ordenes_Odoo'!E1223)</f>
        <v/>
      </c>
      <c r="F1223" s="79">
        <f>IF('Ordenes_Odoo'!F1223="","",'Ordenes_Odoo'!F1223)</f>
        <v/>
      </c>
      <c r="G1223" s="79">
        <f>IF('Ordenes_Odoo'!G1223="","",'Ordenes_Odoo'!G1223)</f>
        <v/>
      </c>
      <c r="H1223" s="79">
        <f>IF('Ordenes_Odoo'!H1223="","",'Ordenes_Odoo'!H1223)</f>
        <v/>
      </c>
      <c r="I1223" s="79">
        <f>IF('Ordenes_Odoo'!I1223="","",'Ordenes_Odoo'!I1223)</f>
        <v/>
      </c>
      <c r="J1223" s="79">
        <f>IF('Ordenes_Odoo'!J1223="","",'Ordenes_Odoo'!J1223)</f>
        <v/>
      </c>
      <c r="K1223" s="81">
        <f>IF('Ordenes_Odoo'!K1223="","",'Ordenes_Odoo'!K1223)</f>
        <v/>
      </c>
      <c r="L1223" s="81">
        <f>IF('Ordenes_Odoo'!L1223="","",'Ordenes_Odoo'!L1223)</f>
        <v/>
      </c>
      <c r="M1223" s="79">
        <f>IF('Ordenes_Odoo'!M1223="","",'Ordenes_Odoo'!M1223)</f>
        <v/>
      </c>
      <c r="N1223" s="79">
        <f>IF('Ordenes_Odoo'!N1223="","",'Ordenes_Odoo'!N1223)</f>
        <v/>
      </c>
      <c r="O1223" s="81">
        <f>IF('Ordenes_Odoo'!O1223="","",'Ordenes_Odoo'!O1223)</f>
        <v/>
      </c>
      <c r="P1223" s="81">
        <f>IF('Ordenes_Odoo'!P1223="","",'Ordenes_Odoo'!P1223)</f>
        <v/>
      </c>
      <c r="Q1223" s="79">
        <f>IF(A1223="","",IFERROR(INDEX(Facturas_Odoo!$B:$B, MATCH(A1223, Facturas_Odoo!$D:$D, 0)), "Sin Factura"))</f>
        <v/>
      </c>
      <c r="R1223" s="80">
        <f>IF(Q1223="Sin Factura","",IFERROR(INDEX(Facturas_Odoo!$A:$A, MATCH(Q1223, Facturas_Odoo!$B:$B, 0)), ""))</f>
        <v/>
      </c>
      <c r="S1223" s="79">
        <f>IF(Q1223="Sin Factura","",IFERROR(_xlfn.XLOOKUP(1, (Facturas_Odoo!$D:$D=A1223) * (Facturas_Odoo!$K:$K=I1223), Facturas_Odoo!$L:$L, ""), ""))</f>
        <v/>
      </c>
      <c r="T1223" s="81">
        <f>IF(Q1223="Sin Factura",0,IFERROR(_xlfn.XLOOKUP(1, (Facturas_Odoo!$D:$D=A1223) * (Facturas_Odoo!$K:$K=I1223), Facturas_Odoo!$M:$M, 0), 0))</f>
        <v/>
      </c>
      <c r="U1223" s="79">
        <f>IF(Q1223="Sin Factura",0,IFERROR(_xlfn.XLOOKUP(1, (Facturas_Odoo!$D:$D=A1223) * (Facturas_Odoo!$K:$K=I1223), Facturas_Odoo!$N:$N, 0), 0))</f>
        <v/>
      </c>
      <c r="V1223" s="79">
        <f>IF(Q1223="Sin Factura",0,IFERROR(_xlfn.XLOOKUP(1, (Facturas_Odoo!$D:$D=A1223) * (Facturas_Odoo!$K:$K=I1223), Facturas_Odoo!$O:$O, 0), 0))</f>
        <v/>
      </c>
      <c r="W1223" s="81">
        <f>IF(Q1223="Sin Factura",0,IFERROR(_xlfn.XLOOKUP(1, (Facturas_Odoo!$D:$D=A1223) * (Facturas_Odoo!$K:$K=I1223), Facturas_Odoo!$Q:$Q, 0), 0))</f>
        <v/>
      </c>
      <c r="X1223" s="79">
        <f>IF(OR(Q1223="Sin Factura",Q1223=""),"",IFERROR(INDEX(Pagos_Odoo!$B:$B, MATCH(Q1223, Pagos_Odoo!$I:$I, 0)), "Sin Pago"))</f>
        <v/>
      </c>
      <c r="Y1223" s="79">
        <f>IF(X1223="Sin Pago","",IFERROR(INDEX(Pagos_Odoo!$C:$C, MATCH(X1223, Pagos_Odoo!$B:$B, 0)), ""))</f>
        <v/>
      </c>
      <c r="Z1223" s="80">
        <f>IF(X1223="Sin Pago","",IFERROR(INDEX(Pagos_Odoo!$A:$A, MATCH(X1223, Pagos_Odoo!$B:$B, 0)), ""))</f>
        <v/>
      </c>
      <c r="AA1223" s="79">
        <f>IF(X1223="Sin Pago","",IFERROR(INDEX(Pagos_Odoo!$F:$F, MATCH(X1223, Pagos_Odoo!$B:$B, 0)), ""))</f>
        <v/>
      </c>
      <c r="AB1223" s="81">
        <f>IF(X1223="Sin Pago",0,IFERROR(INDEX(Pagos_Odoo!$E:$E, MATCH(X1223, Pagos_Odoo!$B:$B, 0)), 0))</f>
        <v/>
      </c>
      <c r="AC1223" s="79">
        <f>IF(X1223="Sin Pago","",IFERROR(INDEX(Pagos_Odoo!$G:$G, MATCH(X1223, Pagos_Odoo!$B:$B, 0)), ""))</f>
        <v/>
      </c>
      <c r="AD1223" s="82" t="n">
        <v>0</v>
      </c>
      <c r="AE1223" s="82" t="n"/>
      <c r="AF1223" s="82" t="n"/>
      <c r="AG1223" s="82">
        <f>IF(AN1223="","",AD1223+AE1223+AF1223)</f>
        <v/>
      </c>
      <c r="AH1223" s="81">
        <f>IF(AN1223="","",P1223*(1-AG1223))</f>
        <v/>
      </c>
      <c r="AI1223" s="81">
        <f>IF(AN1223="","",IF(Q1223="Sin Factura",0,IFERROR(INDEX(Facturas_Odoo!$H:$H, MATCH(Q1223, Facturas_Odoo!$B:$B, 0)), 0)*(1-AG1223)))</f>
        <v/>
      </c>
      <c r="AJ1223" s="81">
        <f>IF(AN1223="","",_xlfn.LET(idVenta, AN1223&amp;"",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23" s="81">
        <f>IF(AN1223="","",AH1223-AJ1223)</f>
        <v/>
      </c>
      <c r="AL1223" s="81">
        <f>IF(AN1223="","",IF(Q1223="Sin Factura","",AI1223-AJ1223))</f>
        <v/>
      </c>
      <c r="AM1223" s="81">
        <f>IF(AN1223="","",IF(Q1223="Sin Factura",0,P1223-IFERROR(INDEX(Facturas_Odoo!$H:$H, MATCH(Q1223, Facturas_Odoo!$B:$B, 0)), 0)))</f>
        <v/>
      </c>
      <c r="AN1223" s="79">
        <f>IF(AND(A1223="", J1223=""), "", IF(A1223&lt;&gt;"", VALUE(MID(A1223,2,LEN(A1223))), AN1222))</f>
        <v/>
      </c>
      <c r="AO1223" s="79">
        <f>IF(AN1223="","",IF(AD1223=0,"OK",_xlfn.LET(monedaPago, IF(AA1223="","USD",AA1223), limitePermitido, IFERROR(VLOOKUP(monedaPago, Configuración!$A$2:$B$3, 2, FALSE), 0.15), IF(AD1223&gt;limitePermitido, "ALERTA: EXCESO (" &amp; TEXT(limitePermitido, "0%") &amp; " máx)", "OK"))))</f>
        <v/>
      </c>
      <c r="AP1223" s="79">
        <f>IF(AN1223="","",IF(AE1223=0,"OK",_xlfn.LET(fechaPago, Z1223, fechaFactura, R1223, diasCredito, IF(E1223="Pago inmediato", 0, IFERROR(VALUE(MID(E1223, 1, SEARCH(" ", E1223)-1)),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23" s="79">
        <f>IF(AN1223="","",IF(AND(N1223&gt;0, AG1223&gt;0), IF(Configuración!$K$2="NO", "ALERTA: DESCUENTO DOBLE NO PERMITIDO", "OK"), "OK"))</f>
        <v/>
      </c>
      <c r="AR1223" s="79">
        <f>IF(AN1223="","",IF(OR(AO1223&lt;&gt;"OK", AP1223&lt;&gt;"OK", AQ1223&lt;&gt;"OK"), "⚠️ REVISAR", "OK"))</f>
        <v/>
      </c>
    </row>
    <row r="1224">
      <c r="A1224" s="79">
        <f>IF('Ordenes_Odoo'!A1224="","",'Ordenes_Odoo'!A1224)</f>
        <v/>
      </c>
      <c r="B1224" s="80">
        <f>IF('Ordenes_Odoo'!B1224="","",'Ordenes_Odoo'!B1224)</f>
        <v/>
      </c>
      <c r="C1224" s="79">
        <f>IF('Ordenes_Odoo'!C1224="","",'Ordenes_Odoo'!C1224)</f>
        <v/>
      </c>
      <c r="D1224" s="79">
        <f>IF('Ordenes_Odoo'!D1224="","",'Ordenes_Odoo'!D1224)</f>
        <v/>
      </c>
      <c r="E1224" s="79">
        <f>IF('Ordenes_Odoo'!E1224="","",'Ordenes_Odoo'!E1224)</f>
        <v/>
      </c>
      <c r="F1224" s="79">
        <f>IF('Ordenes_Odoo'!F1224="","",'Ordenes_Odoo'!F1224)</f>
        <v/>
      </c>
      <c r="G1224" s="79">
        <f>IF('Ordenes_Odoo'!G1224="","",'Ordenes_Odoo'!G1224)</f>
        <v/>
      </c>
      <c r="H1224" s="79">
        <f>IF('Ordenes_Odoo'!H1224="","",'Ordenes_Odoo'!H1224)</f>
        <v/>
      </c>
      <c r="I1224" s="79">
        <f>IF('Ordenes_Odoo'!I1224="","",'Ordenes_Odoo'!I1224)</f>
        <v/>
      </c>
      <c r="J1224" s="79">
        <f>IF('Ordenes_Odoo'!J1224="","",'Ordenes_Odoo'!J1224)</f>
        <v/>
      </c>
      <c r="K1224" s="81">
        <f>IF('Ordenes_Odoo'!K1224="","",'Ordenes_Odoo'!K1224)</f>
        <v/>
      </c>
      <c r="L1224" s="81">
        <f>IF('Ordenes_Odoo'!L1224="","",'Ordenes_Odoo'!L1224)</f>
        <v/>
      </c>
      <c r="M1224" s="79">
        <f>IF('Ordenes_Odoo'!M1224="","",'Ordenes_Odoo'!M1224)</f>
        <v/>
      </c>
      <c r="N1224" s="79">
        <f>IF('Ordenes_Odoo'!N1224="","",'Ordenes_Odoo'!N1224)</f>
        <v/>
      </c>
      <c r="O1224" s="81">
        <f>IF('Ordenes_Odoo'!O1224="","",'Ordenes_Odoo'!O1224)</f>
        <v/>
      </c>
      <c r="P1224" s="81">
        <f>IF('Ordenes_Odoo'!P1224="","",'Ordenes_Odoo'!P1224)</f>
        <v/>
      </c>
      <c r="Q1224" s="79">
        <f>IF(A1224="","",IFERROR(INDEX(Facturas_Odoo!$B:$B, MATCH(A1224, Facturas_Odoo!$D:$D, 0)), "Sin Factura"))</f>
        <v/>
      </c>
      <c r="R1224" s="80">
        <f>IF(Q1224="Sin Factura","",IFERROR(INDEX(Facturas_Odoo!$A:$A, MATCH(Q1224, Facturas_Odoo!$B:$B, 0)), ""))</f>
        <v/>
      </c>
      <c r="S1224" s="79">
        <f>IF(Q1224="Sin Factura","",IFERROR(_xlfn.XLOOKUP(1, (Facturas_Odoo!$D:$D=A1224) * (Facturas_Odoo!$K:$K=I1224), Facturas_Odoo!$L:$L, ""), ""))</f>
        <v/>
      </c>
      <c r="T1224" s="81">
        <f>IF(Q1224="Sin Factura",0,IFERROR(_xlfn.XLOOKUP(1, (Facturas_Odoo!$D:$D=A1224) * (Facturas_Odoo!$K:$K=I1224), Facturas_Odoo!$M:$M, 0), 0))</f>
        <v/>
      </c>
      <c r="U1224" s="79">
        <f>IF(Q1224="Sin Factura",0,IFERROR(_xlfn.XLOOKUP(1, (Facturas_Odoo!$D:$D=A1224) * (Facturas_Odoo!$K:$K=I1224), Facturas_Odoo!$N:$N, 0), 0))</f>
        <v/>
      </c>
      <c r="V1224" s="79">
        <f>IF(Q1224="Sin Factura",0,IFERROR(_xlfn.XLOOKUP(1, (Facturas_Odoo!$D:$D=A1224) * (Facturas_Odoo!$K:$K=I1224), Facturas_Odoo!$O:$O, 0), 0))</f>
        <v/>
      </c>
      <c r="W1224" s="81">
        <f>IF(Q1224="Sin Factura",0,IFERROR(_xlfn.XLOOKUP(1, (Facturas_Odoo!$D:$D=A1224) * (Facturas_Odoo!$K:$K=I1224), Facturas_Odoo!$Q:$Q, 0), 0))</f>
        <v/>
      </c>
      <c r="X1224" s="79">
        <f>IF(OR(Q1224="Sin Factura",Q1224=""),"",IFERROR(INDEX(Pagos_Odoo!$B:$B, MATCH(Q1224, Pagos_Odoo!$I:$I, 0)), "Sin Pago"))</f>
        <v/>
      </c>
      <c r="Y1224" s="79">
        <f>IF(X1224="Sin Pago","",IFERROR(INDEX(Pagos_Odoo!$C:$C, MATCH(X1224, Pagos_Odoo!$B:$B, 0)), ""))</f>
        <v/>
      </c>
      <c r="Z1224" s="80">
        <f>IF(X1224="Sin Pago","",IFERROR(INDEX(Pagos_Odoo!$A:$A, MATCH(X1224, Pagos_Odoo!$B:$B, 0)), ""))</f>
        <v/>
      </c>
      <c r="AA1224" s="79">
        <f>IF(X1224="Sin Pago","",IFERROR(INDEX(Pagos_Odoo!$F:$F, MATCH(X1224, Pagos_Odoo!$B:$B, 0)), ""))</f>
        <v/>
      </c>
      <c r="AB1224" s="81">
        <f>IF(X1224="Sin Pago",0,IFERROR(INDEX(Pagos_Odoo!$E:$E, MATCH(X1224, Pagos_Odoo!$B:$B, 0)), 0))</f>
        <v/>
      </c>
      <c r="AC1224" s="79">
        <f>IF(X1224="Sin Pago","",IFERROR(INDEX(Pagos_Odoo!$G:$G, MATCH(X1224, Pagos_Odoo!$B:$B, 0)), ""))</f>
        <v/>
      </c>
      <c r="AD1224" s="82" t="n">
        <v>0</v>
      </c>
      <c r="AE1224" s="82" t="n"/>
      <c r="AF1224" s="82" t="n"/>
      <c r="AG1224" s="82">
        <f>IF(AN1224="","",AD1224+AE1224+AF1224)</f>
        <v/>
      </c>
      <c r="AH1224" s="81">
        <f>IF(AN1224="","",P1224*(1-AG1224))</f>
        <v/>
      </c>
      <c r="AI1224" s="81">
        <f>IF(AN1224="","",IF(Q1224="Sin Factura",0,IFERROR(INDEX(Facturas_Odoo!$H:$H, MATCH(Q1224, Facturas_Odoo!$B:$B, 0)), 0)*(1-AG1224)))</f>
        <v/>
      </c>
      <c r="AJ1224" s="81">
        <f>IF(AN1224="","",_xlfn.LET(idVenta, AN1224&amp;"",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24" s="81">
        <f>IF(AN1224="","",AH1224-AJ1224)</f>
        <v/>
      </c>
      <c r="AL1224" s="81">
        <f>IF(AN1224="","",IF(Q1224="Sin Factura","",AI1224-AJ1224))</f>
        <v/>
      </c>
      <c r="AM1224" s="81">
        <f>IF(AN1224="","",IF(Q1224="Sin Factura",0,P1224-IFERROR(INDEX(Facturas_Odoo!$H:$H, MATCH(Q1224, Facturas_Odoo!$B:$B, 0)), 0)))</f>
        <v/>
      </c>
      <c r="AN1224" s="79">
        <f>IF(AND(A1224="", J1224=""), "", IF(A1224&lt;&gt;"", VALUE(MID(A1224,2,LEN(A1224))), AN1223))</f>
        <v/>
      </c>
      <c r="AO1224" s="79">
        <f>IF(AN1224="","",IF(AD1224=0,"OK",_xlfn.LET(monedaPago, IF(AA1224="","USD",AA1224), limitePermitido, IFERROR(VLOOKUP(monedaPago, Configuración!$A$2:$B$3, 2, FALSE), 0.15), IF(AD1224&gt;limitePermitido, "ALERTA: EXCESO (" &amp; TEXT(limitePermitido, "0%") &amp; " máx)", "OK"))))</f>
        <v/>
      </c>
      <c r="AP1224" s="79">
        <f>IF(AN1224="","",IF(AE1224=0,"OK",_xlfn.LET(fechaPago, Z1224, fechaFactura, R1224, diasCredito, IF(E1224="Pago inmediato", 0, IFERROR(VALUE(MID(E1224, 1, SEARCH(" ", E1224)-1)),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24" s="79">
        <f>IF(AN1224="","",IF(AND(N1224&gt;0, AG1224&gt;0), IF(Configuración!$K$2="NO", "ALERTA: DESCUENTO DOBLE NO PERMITIDO", "OK"), "OK"))</f>
        <v/>
      </c>
      <c r="AR1224" s="79">
        <f>IF(AN1224="","",IF(OR(AO1224&lt;&gt;"OK", AP1224&lt;&gt;"OK", AQ1224&lt;&gt;"OK"), "⚠️ REVISAR", "OK"))</f>
        <v/>
      </c>
    </row>
    <row r="1225">
      <c r="A1225" s="79">
        <f>IF('Ordenes_Odoo'!A1225="","",'Ordenes_Odoo'!A1225)</f>
        <v/>
      </c>
      <c r="B1225" s="80">
        <f>IF('Ordenes_Odoo'!B1225="","",'Ordenes_Odoo'!B1225)</f>
        <v/>
      </c>
      <c r="C1225" s="79">
        <f>IF('Ordenes_Odoo'!C1225="","",'Ordenes_Odoo'!C1225)</f>
        <v/>
      </c>
      <c r="D1225" s="79">
        <f>IF('Ordenes_Odoo'!D1225="","",'Ordenes_Odoo'!D1225)</f>
        <v/>
      </c>
      <c r="E1225" s="79">
        <f>IF('Ordenes_Odoo'!E1225="","",'Ordenes_Odoo'!E1225)</f>
        <v/>
      </c>
      <c r="F1225" s="79">
        <f>IF('Ordenes_Odoo'!F1225="","",'Ordenes_Odoo'!F1225)</f>
        <v/>
      </c>
      <c r="G1225" s="79">
        <f>IF('Ordenes_Odoo'!G1225="","",'Ordenes_Odoo'!G1225)</f>
        <v/>
      </c>
      <c r="H1225" s="79">
        <f>IF('Ordenes_Odoo'!H1225="","",'Ordenes_Odoo'!H1225)</f>
        <v/>
      </c>
      <c r="I1225" s="79">
        <f>IF('Ordenes_Odoo'!I1225="","",'Ordenes_Odoo'!I1225)</f>
        <v/>
      </c>
      <c r="J1225" s="79">
        <f>IF('Ordenes_Odoo'!J1225="","",'Ordenes_Odoo'!J1225)</f>
        <v/>
      </c>
      <c r="K1225" s="81">
        <f>IF('Ordenes_Odoo'!K1225="","",'Ordenes_Odoo'!K1225)</f>
        <v/>
      </c>
      <c r="L1225" s="81">
        <f>IF('Ordenes_Odoo'!L1225="","",'Ordenes_Odoo'!L1225)</f>
        <v/>
      </c>
      <c r="M1225" s="79">
        <f>IF('Ordenes_Odoo'!M1225="","",'Ordenes_Odoo'!M1225)</f>
        <v/>
      </c>
      <c r="N1225" s="79">
        <f>IF('Ordenes_Odoo'!N1225="","",'Ordenes_Odoo'!N1225)</f>
        <v/>
      </c>
      <c r="O1225" s="81">
        <f>IF('Ordenes_Odoo'!O1225="","",'Ordenes_Odoo'!O1225)</f>
        <v/>
      </c>
      <c r="P1225" s="81">
        <f>IF('Ordenes_Odoo'!P1225="","",'Ordenes_Odoo'!P1225)</f>
        <v/>
      </c>
      <c r="Q1225" s="79">
        <f>IF(A1225="","",IFERROR(INDEX(Facturas_Odoo!$B:$B, MATCH(A1225, Facturas_Odoo!$D:$D, 0)), "Sin Factura"))</f>
        <v/>
      </c>
      <c r="R1225" s="80">
        <f>IF(Q1225="Sin Factura","",IFERROR(INDEX(Facturas_Odoo!$A:$A, MATCH(Q1225, Facturas_Odoo!$B:$B, 0)), ""))</f>
        <v/>
      </c>
      <c r="S1225" s="79">
        <f>IF(Q1225="Sin Factura","",IFERROR(_xlfn.XLOOKUP(1, (Facturas_Odoo!$D:$D=A1225) * (Facturas_Odoo!$K:$K=I1225), Facturas_Odoo!$L:$L, ""), ""))</f>
        <v/>
      </c>
      <c r="T1225" s="81">
        <f>IF(Q1225="Sin Factura",0,IFERROR(_xlfn.XLOOKUP(1, (Facturas_Odoo!$D:$D=A1225) * (Facturas_Odoo!$K:$K=I1225), Facturas_Odoo!$M:$M, 0), 0))</f>
        <v/>
      </c>
      <c r="U1225" s="79">
        <f>IF(Q1225="Sin Factura",0,IFERROR(_xlfn.XLOOKUP(1, (Facturas_Odoo!$D:$D=A1225) * (Facturas_Odoo!$K:$K=I1225), Facturas_Odoo!$N:$N, 0), 0))</f>
        <v/>
      </c>
      <c r="V1225" s="79">
        <f>IF(Q1225="Sin Factura",0,IFERROR(_xlfn.XLOOKUP(1, (Facturas_Odoo!$D:$D=A1225) * (Facturas_Odoo!$K:$K=I1225), Facturas_Odoo!$O:$O, 0), 0))</f>
        <v/>
      </c>
      <c r="W1225" s="81">
        <f>IF(Q1225="Sin Factura",0,IFERROR(_xlfn.XLOOKUP(1, (Facturas_Odoo!$D:$D=A1225) * (Facturas_Odoo!$K:$K=I1225), Facturas_Odoo!$Q:$Q, 0), 0))</f>
        <v/>
      </c>
      <c r="X1225" s="79">
        <f>IF(OR(Q1225="Sin Factura",Q1225=""),"",IFERROR(INDEX(Pagos_Odoo!$B:$B, MATCH(Q1225, Pagos_Odoo!$I:$I, 0)), "Sin Pago"))</f>
        <v/>
      </c>
      <c r="Y1225" s="79">
        <f>IF(X1225="Sin Pago","",IFERROR(INDEX(Pagos_Odoo!$C:$C, MATCH(X1225, Pagos_Odoo!$B:$B, 0)), ""))</f>
        <v/>
      </c>
      <c r="Z1225" s="80">
        <f>IF(X1225="Sin Pago","",IFERROR(INDEX(Pagos_Odoo!$A:$A, MATCH(X1225, Pagos_Odoo!$B:$B, 0)), ""))</f>
        <v/>
      </c>
      <c r="AA1225" s="79">
        <f>IF(X1225="Sin Pago","",IFERROR(INDEX(Pagos_Odoo!$F:$F, MATCH(X1225, Pagos_Odoo!$B:$B, 0)), ""))</f>
        <v/>
      </c>
      <c r="AB1225" s="81">
        <f>IF(X1225="Sin Pago",0,IFERROR(INDEX(Pagos_Odoo!$E:$E, MATCH(X1225, Pagos_Odoo!$B:$B, 0)), 0))</f>
        <v/>
      </c>
      <c r="AC1225" s="79">
        <f>IF(X1225="Sin Pago","",IFERROR(INDEX(Pagos_Odoo!$G:$G, MATCH(X1225, Pagos_Odoo!$B:$B, 0)), ""))</f>
        <v/>
      </c>
      <c r="AD1225" s="82" t="n">
        <v>0</v>
      </c>
      <c r="AE1225" s="82" t="n"/>
      <c r="AF1225" s="82" t="n"/>
      <c r="AG1225" s="82">
        <f>IF(AN1225="","",AD1225+AE1225+AF1225)</f>
        <v/>
      </c>
      <c r="AH1225" s="81">
        <f>IF(AN1225="","",P1225*(1-AG1225))</f>
        <v/>
      </c>
      <c r="AI1225" s="81">
        <f>IF(AN1225="","",IF(Q1225="Sin Factura",0,IFERROR(INDEX(Facturas_Odoo!$H:$H, MATCH(Q1225, Facturas_Odoo!$B:$B, 0)), 0)*(1-AG1225)))</f>
        <v/>
      </c>
      <c r="AJ1225" s="81">
        <f>IF(AN1225="","",_xlfn.LET(idVenta, AN1225&amp;"",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25" s="81">
        <f>IF(AN1225="","",AH1225-AJ1225)</f>
        <v/>
      </c>
      <c r="AL1225" s="81">
        <f>IF(AN1225="","",IF(Q1225="Sin Factura","",AI1225-AJ1225))</f>
        <v/>
      </c>
      <c r="AM1225" s="81">
        <f>IF(AN1225="","",IF(Q1225="Sin Factura",0,P1225-IFERROR(INDEX(Facturas_Odoo!$H:$H, MATCH(Q1225, Facturas_Odoo!$B:$B, 0)), 0)))</f>
        <v/>
      </c>
      <c r="AN1225" s="79">
        <f>IF(AND(A1225="", J1225=""), "", IF(A1225&lt;&gt;"", VALUE(MID(A1225,2,LEN(A1225))), AN1224))</f>
        <v/>
      </c>
      <c r="AO1225" s="79">
        <f>IF(AN1225="","",IF(AD1225=0,"OK",_xlfn.LET(monedaPago, IF(AA1225="","USD",AA1225), limitePermitido, IFERROR(VLOOKUP(monedaPago, Configuración!$A$2:$B$3, 2, FALSE), 0.15), IF(AD1225&gt;limitePermitido, "ALERTA: EXCESO (" &amp; TEXT(limitePermitido, "0%") &amp; " máx)", "OK"))))</f>
        <v/>
      </c>
      <c r="AP1225" s="79">
        <f>IF(AN1225="","",IF(AE1225=0,"OK",_xlfn.LET(fechaPago, Z1225, fechaFactura, R1225, diasCredito, IF(E1225="Pago inmediato", 0, IFERROR(VALUE(MID(E1225, 1, SEARCH(" ", E1225)-1)),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25" s="79">
        <f>IF(AN1225="","",IF(AND(N1225&gt;0, AG1225&gt;0), IF(Configuración!$K$2="NO", "ALERTA: DESCUENTO DOBLE NO PERMITIDO", "OK"), "OK"))</f>
        <v/>
      </c>
      <c r="AR1225" s="79">
        <f>IF(AN1225="","",IF(OR(AO1225&lt;&gt;"OK", AP1225&lt;&gt;"OK", AQ1225&lt;&gt;"OK"), "⚠️ REVISAR", "OK"))</f>
        <v/>
      </c>
    </row>
    <row r="1226">
      <c r="A1226" s="79">
        <f>IF('Ordenes_Odoo'!A1226="","",'Ordenes_Odoo'!A1226)</f>
        <v/>
      </c>
      <c r="B1226" s="80">
        <f>IF('Ordenes_Odoo'!B1226="","",'Ordenes_Odoo'!B1226)</f>
        <v/>
      </c>
      <c r="C1226" s="79">
        <f>IF('Ordenes_Odoo'!C1226="","",'Ordenes_Odoo'!C1226)</f>
        <v/>
      </c>
      <c r="D1226" s="79">
        <f>IF('Ordenes_Odoo'!D1226="","",'Ordenes_Odoo'!D1226)</f>
        <v/>
      </c>
      <c r="E1226" s="79">
        <f>IF('Ordenes_Odoo'!E1226="","",'Ordenes_Odoo'!E1226)</f>
        <v/>
      </c>
      <c r="F1226" s="79">
        <f>IF('Ordenes_Odoo'!F1226="","",'Ordenes_Odoo'!F1226)</f>
        <v/>
      </c>
      <c r="G1226" s="79">
        <f>IF('Ordenes_Odoo'!G1226="","",'Ordenes_Odoo'!G1226)</f>
        <v/>
      </c>
      <c r="H1226" s="79">
        <f>IF('Ordenes_Odoo'!H1226="","",'Ordenes_Odoo'!H1226)</f>
        <v/>
      </c>
      <c r="I1226" s="79">
        <f>IF('Ordenes_Odoo'!I1226="","",'Ordenes_Odoo'!I1226)</f>
        <v/>
      </c>
      <c r="J1226" s="79">
        <f>IF('Ordenes_Odoo'!J1226="","",'Ordenes_Odoo'!J1226)</f>
        <v/>
      </c>
      <c r="K1226" s="81">
        <f>IF('Ordenes_Odoo'!K1226="","",'Ordenes_Odoo'!K1226)</f>
        <v/>
      </c>
      <c r="L1226" s="81">
        <f>IF('Ordenes_Odoo'!L1226="","",'Ordenes_Odoo'!L1226)</f>
        <v/>
      </c>
      <c r="M1226" s="79">
        <f>IF('Ordenes_Odoo'!M1226="","",'Ordenes_Odoo'!M1226)</f>
        <v/>
      </c>
      <c r="N1226" s="79">
        <f>IF('Ordenes_Odoo'!N1226="","",'Ordenes_Odoo'!N1226)</f>
        <v/>
      </c>
      <c r="O1226" s="81">
        <f>IF('Ordenes_Odoo'!O1226="","",'Ordenes_Odoo'!O1226)</f>
        <v/>
      </c>
      <c r="P1226" s="81">
        <f>IF('Ordenes_Odoo'!P1226="","",'Ordenes_Odoo'!P1226)</f>
        <v/>
      </c>
      <c r="Q1226" s="79">
        <f>IF(A1226="","",IFERROR(INDEX(Facturas_Odoo!$B:$B, MATCH(A1226, Facturas_Odoo!$D:$D, 0)), "Sin Factura"))</f>
        <v/>
      </c>
      <c r="R1226" s="80">
        <f>IF(Q1226="Sin Factura","",IFERROR(INDEX(Facturas_Odoo!$A:$A, MATCH(Q1226, Facturas_Odoo!$B:$B, 0)), ""))</f>
        <v/>
      </c>
      <c r="S1226" s="79">
        <f>IF(Q1226="Sin Factura","",IFERROR(_xlfn.XLOOKUP(1, (Facturas_Odoo!$D:$D=A1226) * (Facturas_Odoo!$K:$K=I1226), Facturas_Odoo!$L:$L, ""), ""))</f>
        <v/>
      </c>
      <c r="T1226" s="81">
        <f>IF(Q1226="Sin Factura",0,IFERROR(_xlfn.XLOOKUP(1, (Facturas_Odoo!$D:$D=A1226) * (Facturas_Odoo!$K:$K=I1226), Facturas_Odoo!$M:$M, 0), 0))</f>
        <v/>
      </c>
      <c r="U1226" s="79">
        <f>IF(Q1226="Sin Factura",0,IFERROR(_xlfn.XLOOKUP(1, (Facturas_Odoo!$D:$D=A1226) * (Facturas_Odoo!$K:$K=I1226), Facturas_Odoo!$N:$N, 0), 0))</f>
        <v/>
      </c>
      <c r="V1226" s="79">
        <f>IF(Q1226="Sin Factura",0,IFERROR(_xlfn.XLOOKUP(1, (Facturas_Odoo!$D:$D=A1226) * (Facturas_Odoo!$K:$K=I1226), Facturas_Odoo!$O:$O, 0), 0))</f>
        <v/>
      </c>
      <c r="W1226" s="81">
        <f>IF(Q1226="Sin Factura",0,IFERROR(_xlfn.XLOOKUP(1, (Facturas_Odoo!$D:$D=A1226) * (Facturas_Odoo!$K:$K=I1226), Facturas_Odoo!$Q:$Q, 0), 0))</f>
        <v/>
      </c>
      <c r="X1226" s="79">
        <f>IF(OR(Q1226="Sin Factura",Q1226=""),"",IFERROR(INDEX(Pagos_Odoo!$B:$B, MATCH(Q1226, Pagos_Odoo!$I:$I, 0)), "Sin Pago"))</f>
        <v/>
      </c>
      <c r="Y1226" s="79">
        <f>IF(X1226="Sin Pago","",IFERROR(INDEX(Pagos_Odoo!$C:$C, MATCH(X1226, Pagos_Odoo!$B:$B, 0)), ""))</f>
        <v/>
      </c>
      <c r="Z1226" s="80">
        <f>IF(X1226="Sin Pago","",IFERROR(INDEX(Pagos_Odoo!$A:$A, MATCH(X1226, Pagos_Odoo!$B:$B, 0)), ""))</f>
        <v/>
      </c>
      <c r="AA1226" s="79">
        <f>IF(X1226="Sin Pago","",IFERROR(INDEX(Pagos_Odoo!$F:$F, MATCH(X1226, Pagos_Odoo!$B:$B, 0)), ""))</f>
        <v/>
      </c>
      <c r="AB1226" s="81">
        <f>IF(X1226="Sin Pago",0,IFERROR(INDEX(Pagos_Odoo!$E:$E, MATCH(X1226, Pagos_Odoo!$B:$B, 0)), 0))</f>
        <v/>
      </c>
      <c r="AC1226" s="79">
        <f>IF(X1226="Sin Pago","",IFERROR(INDEX(Pagos_Odoo!$G:$G, MATCH(X1226, Pagos_Odoo!$B:$B, 0)), ""))</f>
        <v/>
      </c>
      <c r="AD1226" s="82" t="n">
        <v>0</v>
      </c>
      <c r="AE1226" s="82" t="n"/>
      <c r="AF1226" s="82" t="n"/>
      <c r="AG1226" s="82">
        <f>IF(AN1226="","",AD1226+AE1226+AF1226)</f>
        <v/>
      </c>
      <c r="AH1226" s="81">
        <f>IF(AN1226="","",P1226*(1-AG1226))</f>
        <v/>
      </c>
      <c r="AI1226" s="81">
        <f>IF(AN1226="","",IF(Q1226="Sin Factura",0,IFERROR(INDEX(Facturas_Odoo!$H:$H, MATCH(Q1226, Facturas_Odoo!$B:$B, 0)), 0)*(1-AG1226)))</f>
        <v/>
      </c>
      <c r="AJ1226" s="81">
        <f>IF(AN1226="","",_xlfn.LET(idVenta, AN1226&amp;"",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26" s="81">
        <f>IF(AN1226="","",AH1226-AJ1226)</f>
        <v/>
      </c>
      <c r="AL1226" s="81">
        <f>IF(AN1226="","",IF(Q1226="Sin Factura","",AI1226-AJ1226))</f>
        <v/>
      </c>
      <c r="AM1226" s="81">
        <f>IF(AN1226="","",IF(Q1226="Sin Factura",0,P1226-IFERROR(INDEX(Facturas_Odoo!$H:$H, MATCH(Q1226, Facturas_Odoo!$B:$B, 0)), 0)))</f>
        <v/>
      </c>
      <c r="AN1226" s="79">
        <f>IF(AND(A1226="", J1226=""), "", IF(A1226&lt;&gt;"", VALUE(MID(A1226,2,LEN(A1226))), AN1225))</f>
        <v/>
      </c>
      <c r="AO1226" s="79">
        <f>IF(AN1226="","",IF(AD1226=0,"OK",_xlfn.LET(monedaPago, IF(AA1226="","USD",AA1226), limitePermitido, IFERROR(VLOOKUP(monedaPago, Configuración!$A$2:$B$3, 2, FALSE), 0.15), IF(AD1226&gt;limitePermitido, "ALERTA: EXCESO (" &amp; TEXT(limitePermitido, "0%") &amp; " máx)", "OK"))))</f>
        <v/>
      </c>
      <c r="AP1226" s="79">
        <f>IF(AN1226="","",IF(AE1226=0,"OK",_xlfn.LET(fechaPago, Z1226, fechaFactura, R1226, diasCredito, IF(E1226="Pago inmediato", 0, IFERROR(VALUE(MID(E1226, 1, SEARCH(" ", E1226)-1)),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26" s="79">
        <f>IF(AN1226="","",IF(AND(N1226&gt;0, AG1226&gt;0), IF(Configuración!$K$2="NO", "ALERTA: DESCUENTO DOBLE NO PERMITIDO", "OK"), "OK"))</f>
        <v/>
      </c>
      <c r="AR1226" s="79">
        <f>IF(AN1226="","",IF(OR(AO1226&lt;&gt;"OK", AP1226&lt;&gt;"OK", AQ1226&lt;&gt;"OK"), "⚠️ REVISAR", "OK"))</f>
        <v/>
      </c>
    </row>
    <row r="1227">
      <c r="A1227" s="79">
        <f>IF('Ordenes_Odoo'!A1227="","",'Ordenes_Odoo'!A1227)</f>
        <v/>
      </c>
      <c r="B1227" s="80">
        <f>IF('Ordenes_Odoo'!B1227="","",'Ordenes_Odoo'!B1227)</f>
        <v/>
      </c>
      <c r="C1227" s="79">
        <f>IF('Ordenes_Odoo'!C1227="","",'Ordenes_Odoo'!C1227)</f>
        <v/>
      </c>
      <c r="D1227" s="79">
        <f>IF('Ordenes_Odoo'!D1227="","",'Ordenes_Odoo'!D1227)</f>
        <v/>
      </c>
      <c r="E1227" s="79">
        <f>IF('Ordenes_Odoo'!E1227="","",'Ordenes_Odoo'!E1227)</f>
        <v/>
      </c>
      <c r="F1227" s="79">
        <f>IF('Ordenes_Odoo'!F1227="","",'Ordenes_Odoo'!F1227)</f>
        <v/>
      </c>
      <c r="G1227" s="79">
        <f>IF('Ordenes_Odoo'!G1227="","",'Ordenes_Odoo'!G1227)</f>
        <v/>
      </c>
      <c r="H1227" s="79">
        <f>IF('Ordenes_Odoo'!H1227="","",'Ordenes_Odoo'!H1227)</f>
        <v/>
      </c>
      <c r="I1227" s="79">
        <f>IF('Ordenes_Odoo'!I1227="","",'Ordenes_Odoo'!I1227)</f>
        <v/>
      </c>
      <c r="J1227" s="79">
        <f>IF('Ordenes_Odoo'!J1227="","",'Ordenes_Odoo'!J1227)</f>
        <v/>
      </c>
      <c r="K1227" s="81">
        <f>IF('Ordenes_Odoo'!K1227="","",'Ordenes_Odoo'!K1227)</f>
        <v/>
      </c>
      <c r="L1227" s="81">
        <f>IF('Ordenes_Odoo'!L1227="","",'Ordenes_Odoo'!L1227)</f>
        <v/>
      </c>
      <c r="M1227" s="79">
        <f>IF('Ordenes_Odoo'!M1227="","",'Ordenes_Odoo'!M1227)</f>
        <v/>
      </c>
      <c r="N1227" s="79">
        <f>IF('Ordenes_Odoo'!N1227="","",'Ordenes_Odoo'!N1227)</f>
        <v/>
      </c>
      <c r="O1227" s="81">
        <f>IF('Ordenes_Odoo'!O1227="","",'Ordenes_Odoo'!O1227)</f>
        <v/>
      </c>
      <c r="P1227" s="81">
        <f>IF('Ordenes_Odoo'!P1227="","",'Ordenes_Odoo'!P1227)</f>
        <v/>
      </c>
      <c r="Q1227" s="79">
        <f>IF(A1227="","",IFERROR(INDEX(Facturas_Odoo!$B:$B, MATCH(A1227, Facturas_Odoo!$D:$D, 0)), "Sin Factura"))</f>
        <v/>
      </c>
      <c r="R1227" s="80">
        <f>IF(Q1227="Sin Factura","",IFERROR(INDEX(Facturas_Odoo!$A:$A, MATCH(Q1227, Facturas_Odoo!$B:$B, 0)), ""))</f>
        <v/>
      </c>
      <c r="S1227" s="79">
        <f>IF(Q1227="Sin Factura","",IFERROR(_xlfn.XLOOKUP(1, (Facturas_Odoo!$D:$D=A1227) * (Facturas_Odoo!$K:$K=I1227), Facturas_Odoo!$L:$L, ""), ""))</f>
        <v/>
      </c>
      <c r="T1227" s="81">
        <f>IF(Q1227="Sin Factura",0,IFERROR(_xlfn.XLOOKUP(1, (Facturas_Odoo!$D:$D=A1227) * (Facturas_Odoo!$K:$K=I1227), Facturas_Odoo!$M:$M, 0), 0))</f>
        <v/>
      </c>
      <c r="U1227" s="79">
        <f>IF(Q1227="Sin Factura",0,IFERROR(_xlfn.XLOOKUP(1, (Facturas_Odoo!$D:$D=A1227) * (Facturas_Odoo!$K:$K=I1227), Facturas_Odoo!$N:$N, 0), 0))</f>
        <v/>
      </c>
      <c r="V1227" s="79">
        <f>IF(Q1227="Sin Factura",0,IFERROR(_xlfn.XLOOKUP(1, (Facturas_Odoo!$D:$D=A1227) * (Facturas_Odoo!$K:$K=I1227), Facturas_Odoo!$O:$O, 0), 0))</f>
        <v/>
      </c>
      <c r="W1227" s="81">
        <f>IF(Q1227="Sin Factura",0,IFERROR(_xlfn.XLOOKUP(1, (Facturas_Odoo!$D:$D=A1227) * (Facturas_Odoo!$K:$K=I1227), Facturas_Odoo!$Q:$Q, 0), 0))</f>
        <v/>
      </c>
      <c r="X1227" s="79">
        <f>IF(OR(Q1227="Sin Factura",Q1227=""),"",IFERROR(INDEX(Pagos_Odoo!$B:$B, MATCH(Q1227, Pagos_Odoo!$I:$I, 0)), "Sin Pago"))</f>
        <v/>
      </c>
      <c r="Y1227" s="79">
        <f>IF(X1227="Sin Pago","",IFERROR(INDEX(Pagos_Odoo!$C:$C, MATCH(X1227, Pagos_Odoo!$B:$B, 0)), ""))</f>
        <v/>
      </c>
      <c r="Z1227" s="80">
        <f>IF(X1227="Sin Pago","",IFERROR(INDEX(Pagos_Odoo!$A:$A, MATCH(X1227, Pagos_Odoo!$B:$B, 0)), ""))</f>
        <v/>
      </c>
      <c r="AA1227" s="79">
        <f>IF(X1227="Sin Pago","",IFERROR(INDEX(Pagos_Odoo!$F:$F, MATCH(X1227, Pagos_Odoo!$B:$B, 0)), ""))</f>
        <v/>
      </c>
      <c r="AB1227" s="81">
        <f>IF(X1227="Sin Pago",0,IFERROR(INDEX(Pagos_Odoo!$E:$E, MATCH(X1227, Pagos_Odoo!$B:$B, 0)), 0))</f>
        <v/>
      </c>
      <c r="AC1227" s="79">
        <f>IF(X1227="Sin Pago","",IFERROR(INDEX(Pagos_Odoo!$G:$G, MATCH(X1227, Pagos_Odoo!$B:$B, 0)), ""))</f>
        <v/>
      </c>
      <c r="AD1227" s="82" t="n">
        <v>0</v>
      </c>
      <c r="AE1227" s="82" t="n"/>
      <c r="AF1227" s="82" t="n"/>
      <c r="AG1227" s="82">
        <f>IF(AN1227="","",AD1227+AE1227+AF1227)</f>
        <v/>
      </c>
      <c r="AH1227" s="81">
        <f>IF(AN1227="","",P1227*(1-AG1227))</f>
        <v/>
      </c>
      <c r="AI1227" s="81">
        <f>IF(AN1227="","",IF(Q1227="Sin Factura",0,IFERROR(INDEX(Facturas_Odoo!$H:$H, MATCH(Q1227, Facturas_Odoo!$B:$B, 0)), 0)*(1-AG1227)))</f>
        <v/>
      </c>
      <c r="AJ1227" s="81">
        <f>IF(AN1227="","",_xlfn.LET(idVenta, AN1227&amp;"",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27" s="81">
        <f>IF(AN1227="","",AH1227-AJ1227)</f>
        <v/>
      </c>
      <c r="AL1227" s="81">
        <f>IF(AN1227="","",IF(Q1227="Sin Factura","",AI1227-AJ1227))</f>
        <v/>
      </c>
      <c r="AM1227" s="81">
        <f>IF(AN1227="","",IF(Q1227="Sin Factura",0,P1227-IFERROR(INDEX(Facturas_Odoo!$H:$H, MATCH(Q1227, Facturas_Odoo!$B:$B, 0)), 0)))</f>
        <v/>
      </c>
      <c r="AN1227" s="79">
        <f>IF(AND(A1227="", J1227=""), "", IF(A1227&lt;&gt;"", VALUE(MID(A1227,2,LEN(A1227))), AN1226))</f>
        <v/>
      </c>
      <c r="AO1227" s="79">
        <f>IF(AN1227="","",IF(AD1227=0,"OK",_xlfn.LET(monedaPago, IF(AA1227="","USD",AA1227), limitePermitido, IFERROR(VLOOKUP(monedaPago, Configuración!$A$2:$B$3, 2, FALSE), 0.15), IF(AD1227&gt;limitePermitido, "ALERTA: EXCESO (" &amp; TEXT(limitePermitido, "0%") &amp; " máx)", "OK"))))</f>
        <v/>
      </c>
      <c r="AP1227" s="79">
        <f>IF(AN1227="","",IF(AE1227=0,"OK",_xlfn.LET(fechaPago, Z1227, fechaFactura, R1227, diasCredito, IF(E1227="Pago inmediato", 0, IFERROR(VALUE(MID(E1227, 1, SEARCH(" ", E1227)-1)),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27" s="79">
        <f>IF(AN1227="","",IF(AND(N1227&gt;0, AG1227&gt;0), IF(Configuración!$K$2="NO", "ALERTA: DESCUENTO DOBLE NO PERMITIDO", "OK"), "OK"))</f>
        <v/>
      </c>
      <c r="AR1227" s="79">
        <f>IF(AN1227="","",IF(OR(AO1227&lt;&gt;"OK", AP1227&lt;&gt;"OK", AQ1227&lt;&gt;"OK"), "⚠️ REVISAR", "OK"))</f>
        <v/>
      </c>
    </row>
    <row r="1228">
      <c r="A1228" s="79">
        <f>IF('Ordenes_Odoo'!A1228="","",'Ordenes_Odoo'!A1228)</f>
        <v/>
      </c>
      <c r="B1228" s="80">
        <f>IF('Ordenes_Odoo'!B1228="","",'Ordenes_Odoo'!B1228)</f>
        <v/>
      </c>
      <c r="C1228" s="79">
        <f>IF('Ordenes_Odoo'!C1228="","",'Ordenes_Odoo'!C1228)</f>
        <v/>
      </c>
      <c r="D1228" s="79">
        <f>IF('Ordenes_Odoo'!D1228="","",'Ordenes_Odoo'!D1228)</f>
        <v/>
      </c>
      <c r="E1228" s="79">
        <f>IF('Ordenes_Odoo'!E1228="","",'Ordenes_Odoo'!E1228)</f>
        <v/>
      </c>
      <c r="F1228" s="79">
        <f>IF('Ordenes_Odoo'!F1228="","",'Ordenes_Odoo'!F1228)</f>
        <v/>
      </c>
      <c r="G1228" s="79">
        <f>IF('Ordenes_Odoo'!G1228="","",'Ordenes_Odoo'!G1228)</f>
        <v/>
      </c>
      <c r="H1228" s="79">
        <f>IF('Ordenes_Odoo'!H1228="","",'Ordenes_Odoo'!H1228)</f>
        <v/>
      </c>
      <c r="I1228" s="79">
        <f>IF('Ordenes_Odoo'!I1228="","",'Ordenes_Odoo'!I1228)</f>
        <v/>
      </c>
      <c r="J1228" s="79">
        <f>IF('Ordenes_Odoo'!J1228="","",'Ordenes_Odoo'!J1228)</f>
        <v/>
      </c>
      <c r="K1228" s="81">
        <f>IF('Ordenes_Odoo'!K1228="","",'Ordenes_Odoo'!K1228)</f>
        <v/>
      </c>
      <c r="L1228" s="81">
        <f>IF('Ordenes_Odoo'!L1228="","",'Ordenes_Odoo'!L1228)</f>
        <v/>
      </c>
      <c r="M1228" s="79">
        <f>IF('Ordenes_Odoo'!M1228="","",'Ordenes_Odoo'!M1228)</f>
        <v/>
      </c>
      <c r="N1228" s="79">
        <f>IF('Ordenes_Odoo'!N1228="","",'Ordenes_Odoo'!N1228)</f>
        <v/>
      </c>
      <c r="O1228" s="81">
        <f>IF('Ordenes_Odoo'!O1228="","",'Ordenes_Odoo'!O1228)</f>
        <v/>
      </c>
      <c r="P1228" s="81">
        <f>IF('Ordenes_Odoo'!P1228="","",'Ordenes_Odoo'!P1228)</f>
        <v/>
      </c>
      <c r="Q1228" s="79">
        <f>IF(A1228="","",IFERROR(INDEX(Facturas_Odoo!$B:$B, MATCH(A1228, Facturas_Odoo!$D:$D, 0)), "Sin Factura"))</f>
        <v/>
      </c>
      <c r="R1228" s="80">
        <f>IF(Q1228="Sin Factura","",IFERROR(INDEX(Facturas_Odoo!$A:$A, MATCH(Q1228, Facturas_Odoo!$B:$B, 0)), ""))</f>
        <v/>
      </c>
      <c r="S1228" s="79">
        <f>IF(Q1228="Sin Factura","",IFERROR(_xlfn.XLOOKUP(1, (Facturas_Odoo!$D:$D=A1228) * (Facturas_Odoo!$K:$K=I1228), Facturas_Odoo!$L:$L, ""), ""))</f>
        <v/>
      </c>
      <c r="T1228" s="81">
        <f>IF(Q1228="Sin Factura",0,IFERROR(_xlfn.XLOOKUP(1, (Facturas_Odoo!$D:$D=A1228) * (Facturas_Odoo!$K:$K=I1228), Facturas_Odoo!$M:$M, 0), 0))</f>
        <v/>
      </c>
      <c r="U1228" s="79">
        <f>IF(Q1228="Sin Factura",0,IFERROR(_xlfn.XLOOKUP(1, (Facturas_Odoo!$D:$D=A1228) * (Facturas_Odoo!$K:$K=I1228), Facturas_Odoo!$N:$N, 0), 0))</f>
        <v/>
      </c>
      <c r="V1228" s="79">
        <f>IF(Q1228="Sin Factura",0,IFERROR(_xlfn.XLOOKUP(1, (Facturas_Odoo!$D:$D=A1228) * (Facturas_Odoo!$K:$K=I1228), Facturas_Odoo!$O:$O, 0), 0))</f>
        <v/>
      </c>
      <c r="W1228" s="81">
        <f>IF(Q1228="Sin Factura",0,IFERROR(_xlfn.XLOOKUP(1, (Facturas_Odoo!$D:$D=A1228) * (Facturas_Odoo!$K:$K=I1228), Facturas_Odoo!$Q:$Q, 0), 0))</f>
        <v/>
      </c>
      <c r="X1228" s="79">
        <f>IF(OR(Q1228="Sin Factura",Q1228=""),"",IFERROR(INDEX(Pagos_Odoo!$B:$B, MATCH(Q1228, Pagos_Odoo!$I:$I, 0)), "Sin Pago"))</f>
        <v/>
      </c>
      <c r="Y1228" s="79">
        <f>IF(X1228="Sin Pago","",IFERROR(INDEX(Pagos_Odoo!$C:$C, MATCH(X1228, Pagos_Odoo!$B:$B, 0)), ""))</f>
        <v/>
      </c>
      <c r="Z1228" s="80">
        <f>IF(X1228="Sin Pago","",IFERROR(INDEX(Pagos_Odoo!$A:$A, MATCH(X1228, Pagos_Odoo!$B:$B, 0)), ""))</f>
        <v/>
      </c>
      <c r="AA1228" s="79">
        <f>IF(X1228="Sin Pago","",IFERROR(INDEX(Pagos_Odoo!$F:$F, MATCH(X1228, Pagos_Odoo!$B:$B, 0)), ""))</f>
        <v/>
      </c>
      <c r="AB1228" s="81">
        <f>IF(X1228="Sin Pago",0,IFERROR(INDEX(Pagos_Odoo!$E:$E, MATCH(X1228, Pagos_Odoo!$B:$B, 0)), 0))</f>
        <v/>
      </c>
      <c r="AC1228" s="79">
        <f>IF(X1228="Sin Pago","",IFERROR(INDEX(Pagos_Odoo!$G:$G, MATCH(X1228, Pagos_Odoo!$B:$B, 0)), ""))</f>
        <v/>
      </c>
      <c r="AD1228" s="82" t="n">
        <v>0</v>
      </c>
      <c r="AE1228" s="82" t="n"/>
      <c r="AF1228" s="82" t="n"/>
      <c r="AG1228" s="82">
        <f>IF(AN1228="","",AD1228+AE1228+AF1228)</f>
        <v/>
      </c>
      <c r="AH1228" s="81">
        <f>IF(AN1228="","",P1228*(1-AG1228))</f>
        <v/>
      </c>
      <c r="AI1228" s="81">
        <f>IF(AN1228="","",IF(Q1228="Sin Factura",0,IFERROR(INDEX(Facturas_Odoo!$H:$H, MATCH(Q1228, Facturas_Odoo!$B:$B, 0)), 0)*(1-AG1228)))</f>
        <v/>
      </c>
      <c r="AJ1228" s="81">
        <f>IF(AN1228="","",_xlfn.LET(idVenta, AN1228&amp;"",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28" s="81">
        <f>IF(AN1228="","",AH1228-AJ1228)</f>
        <v/>
      </c>
      <c r="AL1228" s="81">
        <f>IF(AN1228="","",IF(Q1228="Sin Factura","",AI1228-AJ1228))</f>
        <v/>
      </c>
      <c r="AM1228" s="81">
        <f>IF(AN1228="","",IF(Q1228="Sin Factura",0,P1228-IFERROR(INDEX(Facturas_Odoo!$H:$H, MATCH(Q1228, Facturas_Odoo!$B:$B, 0)), 0)))</f>
        <v/>
      </c>
      <c r="AN1228" s="79">
        <f>IF(AND(A1228="", J1228=""), "", IF(A1228&lt;&gt;"", VALUE(MID(A1228,2,LEN(A1228))), AN1227))</f>
        <v/>
      </c>
      <c r="AO1228" s="79">
        <f>IF(AN1228="","",IF(AD1228=0,"OK",_xlfn.LET(monedaPago, IF(AA1228="","USD",AA1228), limitePermitido, IFERROR(VLOOKUP(monedaPago, Configuración!$A$2:$B$3, 2, FALSE), 0.15), IF(AD1228&gt;limitePermitido, "ALERTA: EXCESO (" &amp; TEXT(limitePermitido, "0%") &amp; " máx)", "OK"))))</f>
        <v/>
      </c>
      <c r="AP1228" s="79">
        <f>IF(AN1228="","",IF(AE1228=0,"OK",_xlfn.LET(fechaPago, Z1228, fechaFactura, R1228, diasCredito, IF(E1228="Pago inmediato", 0, IFERROR(VALUE(MID(E1228, 1, SEARCH(" ", E1228)-1)),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28" s="79">
        <f>IF(AN1228="","",IF(AND(N1228&gt;0, AG1228&gt;0), IF(Configuración!$K$2="NO", "ALERTA: DESCUENTO DOBLE NO PERMITIDO", "OK"), "OK"))</f>
        <v/>
      </c>
      <c r="AR1228" s="79">
        <f>IF(AN1228="","",IF(OR(AO1228&lt;&gt;"OK", AP1228&lt;&gt;"OK", AQ1228&lt;&gt;"OK"), "⚠️ REVISAR", "OK"))</f>
        <v/>
      </c>
    </row>
    <row r="1229">
      <c r="A1229" s="79">
        <f>IF('Ordenes_Odoo'!A1229="","",'Ordenes_Odoo'!A1229)</f>
        <v/>
      </c>
      <c r="B1229" s="80">
        <f>IF('Ordenes_Odoo'!B1229="","",'Ordenes_Odoo'!B1229)</f>
        <v/>
      </c>
      <c r="C1229" s="79">
        <f>IF('Ordenes_Odoo'!C1229="","",'Ordenes_Odoo'!C1229)</f>
        <v/>
      </c>
      <c r="D1229" s="79">
        <f>IF('Ordenes_Odoo'!D1229="","",'Ordenes_Odoo'!D1229)</f>
        <v/>
      </c>
      <c r="E1229" s="79">
        <f>IF('Ordenes_Odoo'!E1229="","",'Ordenes_Odoo'!E1229)</f>
        <v/>
      </c>
      <c r="F1229" s="79">
        <f>IF('Ordenes_Odoo'!F1229="","",'Ordenes_Odoo'!F1229)</f>
        <v/>
      </c>
      <c r="G1229" s="79">
        <f>IF('Ordenes_Odoo'!G1229="","",'Ordenes_Odoo'!G1229)</f>
        <v/>
      </c>
      <c r="H1229" s="79">
        <f>IF('Ordenes_Odoo'!H1229="","",'Ordenes_Odoo'!H1229)</f>
        <v/>
      </c>
      <c r="I1229" s="79">
        <f>IF('Ordenes_Odoo'!I1229="","",'Ordenes_Odoo'!I1229)</f>
        <v/>
      </c>
      <c r="J1229" s="79">
        <f>IF('Ordenes_Odoo'!J1229="","",'Ordenes_Odoo'!J1229)</f>
        <v/>
      </c>
      <c r="K1229" s="81">
        <f>IF('Ordenes_Odoo'!K1229="","",'Ordenes_Odoo'!K1229)</f>
        <v/>
      </c>
      <c r="L1229" s="81">
        <f>IF('Ordenes_Odoo'!L1229="","",'Ordenes_Odoo'!L1229)</f>
        <v/>
      </c>
      <c r="M1229" s="79">
        <f>IF('Ordenes_Odoo'!M1229="","",'Ordenes_Odoo'!M1229)</f>
        <v/>
      </c>
      <c r="N1229" s="79">
        <f>IF('Ordenes_Odoo'!N1229="","",'Ordenes_Odoo'!N1229)</f>
        <v/>
      </c>
      <c r="O1229" s="81">
        <f>IF('Ordenes_Odoo'!O1229="","",'Ordenes_Odoo'!O1229)</f>
        <v/>
      </c>
      <c r="P1229" s="81">
        <f>IF('Ordenes_Odoo'!P1229="","",'Ordenes_Odoo'!P1229)</f>
        <v/>
      </c>
      <c r="Q1229" s="79">
        <f>IF(A1229="","",IFERROR(INDEX(Facturas_Odoo!$B:$B, MATCH(A1229, Facturas_Odoo!$D:$D, 0)), "Sin Factura"))</f>
        <v/>
      </c>
      <c r="R1229" s="80">
        <f>IF(Q1229="Sin Factura","",IFERROR(INDEX(Facturas_Odoo!$A:$A, MATCH(Q1229, Facturas_Odoo!$B:$B, 0)), ""))</f>
        <v/>
      </c>
      <c r="S1229" s="79">
        <f>IF(Q1229="Sin Factura","",IFERROR(_xlfn.XLOOKUP(1, (Facturas_Odoo!$D:$D=A1229) * (Facturas_Odoo!$K:$K=I1229), Facturas_Odoo!$L:$L, ""), ""))</f>
        <v/>
      </c>
      <c r="T1229" s="81">
        <f>IF(Q1229="Sin Factura",0,IFERROR(_xlfn.XLOOKUP(1, (Facturas_Odoo!$D:$D=A1229) * (Facturas_Odoo!$K:$K=I1229), Facturas_Odoo!$M:$M, 0), 0))</f>
        <v/>
      </c>
      <c r="U1229" s="79">
        <f>IF(Q1229="Sin Factura",0,IFERROR(_xlfn.XLOOKUP(1, (Facturas_Odoo!$D:$D=A1229) * (Facturas_Odoo!$K:$K=I1229), Facturas_Odoo!$N:$N, 0), 0))</f>
        <v/>
      </c>
      <c r="V1229" s="79">
        <f>IF(Q1229="Sin Factura",0,IFERROR(_xlfn.XLOOKUP(1, (Facturas_Odoo!$D:$D=A1229) * (Facturas_Odoo!$K:$K=I1229), Facturas_Odoo!$O:$O, 0), 0))</f>
        <v/>
      </c>
      <c r="W1229" s="81">
        <f>IF(Q1229="Sin Factura",0,IFERROR(_xlfn.XLOOKUP(1, (Facturas_Odoo!$D:$D=A1229) * (Facturas_Odoo!$K:$K=I1229), Facturas_Odoo!$Q:$Q, 0), 0))</f>
        <v/>
      </c>
      <c r="X1229" s="79">
        <f>IF(OR(Q1229="Sin Factura",Q1229=""),"",IFERROR(INDEX(Pagos_Odoo!$B:$B, MATCH(Q1229, Pagos_Odoo!$I:$I, 0)), "Sin Pago"))</f>
        <v/>
      </c>
      <c r="Y1229" s="79">
        <f>IF(X1229="Sin Pago","",IFERROR(INDEX(Pagos_Odoo!$C:$C, MATCH(X1229, Pagos_Odoo!$B:$B, 0)), ""))</f>
        <v/>
      </c>
      <c r="Z1229" s="80">
        <f>IF(X1229="Sin Pago","",IFERROR(INDEX(Pagos_Odoo!$A:$A, MATCH(X1229, Pagos_Odoo!$B:$B, 0)), ""))</f>
        <v/>
      </c>
      <c r="AA1229" s="79">
        <f>IF(X1229="Sin Pago","",IFERROR(INDEX(Pagos_Odoo!$F:$F, MATCH(X1229, Pagos_Odoo!$B:$B, 0)), ""))</f>
        <v/>
      </c>
      <c r="AB1229" s="81">
        <f>IF(X1229="Sin Pago",0,IFERROR(INDEX(Pagos_Odoo!$E:$E, MATCH(X1229, Pagos_Odoo!$B:$B, 0)), 0))</f>
        <v/>
      </c>
      <c r="AC1229" s="79">
        <f>IF(X1229="Sin Pago","",IFERROR(INDEX(Pagos_Odoo!$G:$G, MATCH(X1229, Pagos_Odoo!$B:$B, 0)), ""))</f>
        <v/>
      </c>
      <c r="AD1229" s="82" t="n">
        <v>0</v>
      </c>
      <c r="AE1229" s="82" t="n"/>
      <c r="AF1229" s="82" t="n"/>
      <c r="AG1229" s="82">
        <f>IF(AN1229="","",AD1229+AE1229+AF1229)</f>
        <v/>
      </c>
      <c r="AH1229" s="81">
        <f>IF(AN1229="","",P1229*(1-AG1229))</f>
        <v/>
      </c>
      <c r="AI1229" s="81">
        <f>IF(AN1229="","",IF(Q1229="Sin Factura",0,IFERROR(INDEX(Facturas_Odoo!$H:$H, MATCH(Q1229, Facturas_Odoo!$B:$B, 0)), 0)*(1-AG1229)))</f>
        <v/>
      </c>
      <c r="AJ1229" s="81">
        <f>IF(AN1229="","",_xlfn.LET(idVenta, AN1229&amp;"",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29" s="81">
        <f>IF(AN1229="","",AH1229-AJ1229)</f>
        <v/>
      </c>
      <c r="AL1229" s="81">
        <f>IF(AN1229="","",IF(Q1229="Sin Factura","",AI1229-AJ1229))</f>
        <v/>
      </c>
      <c r="AM1229" s="81">
        <f>IF(AN1229="","",IF(Q1229="Sin Factura",0,P1229-IFERROR(INDEX(Facturas_Odoo!$H:$H, MATCH(Q1229, Facturas_Odoo!$B:$B, 0)), 0)))</f>
        <v/>
      </c>
      <c r="AN1229" s="79">
        <f>IF(AND(A1229="", J1229=""), "", IF(A1229&lt;&gt;"", VALUE(MID(A1229,2,LEN(A1229))), AN1228))</f>
        <v/>
      </c>
      <c r="AO1229" s="79">
        <f>IF(AN1229="","",IF(AD1229=0,"OK",_xlfn.LET(monedaPago, IF(AA1229="","USD",AA1229), limitePermitido, IFERROR(VLOOKUP(monedaPago, Configuración!$A$2:$B$3, 2, FALSE), 0.15), IF(AD1229&gt;limitePermitido, "ALERTA: EXCESO (" &amp; TEXT(limitePermitido, "0%") &amp; " máx)", "OK"))))</f>
        <v/>
      </c>
      <c r="AP1229" s="79">
        <f>IF(AN1229="","",IF(AE1229=0,"OK",_xlfn.LET(fechaPago, Z1229, fechaFactura, R1229, diasCredito, IF(E1229="Pago inmediato", 0, IFERROR(VALUE(MID(E1229, 1, SEARCH(" ", E1229)-1)),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29" s="79">
        <f>IF(AN1229="","",IF(AND(N1229&gt;0, AG1229&gt;0), IF(Configuración!$K$2="NO", "ALERTA: DESCUENTO DOBLE NO PERMITIDO", "OK"), "OK"))</f>
        <v/>
      </c>
      <c r="AR1229" s="79">
        <f>IF(AN1229="","",IF(OR(AO1229&lt;&gt;"OK", AP1229&lt;&gt;"OK", AQ1229&lt;&gt;"OK"), "⚠️ REVISAR", "OK"))</f>
        <v/>
      </c>
    </row>
    <row r="1230">
      <c r="A1230" s="79">
        <f>IF('Ordenes_Odoo'!A1230="","",'Ordenes_Odoo'!A1230)</f>
        <v/>
      </c>
      <c r="B1230" s="80">
        <f>IF('Ordenes_Odoo'!B1230="","",'Ordenes_Odoo'!B1230)</f>
        <v/>
      </c>
      <c r="C1230" s="79">
        <f>IF('Ordenes_Odoo'!C1230="","",'Ordenes_Odoo'!C1230)</f>
        <v/>
      </c>
      <c r="D1230" s="79">
        <f>IF('Ordenes_Odoo'!D1230="","",'Ordenes_Odoo'!D1230)</f>
        <v/>
      </c>
      <c r="E1230" s="79">
        <f>IF('Ordenes_Odoo'!E1230="","",'Ordenes_Odoo'!E1230)</f>
        <v/>
      </c>
      <c r="F1230" s="79">
        <f>IF('Ordenes_Odoo'!F1230="","",'Ordenes_Odoo'!F1230)</f>
        <v/>
      </c>
      <c r="G1230" s="79">
        <f>IF('Ordenes_Odoo'!G1230="","",'Ordenes_Odoo'!G1230)</f>
        <v/>
      </c>
      <c r="H1230" s="79">
        <f>IF('Ordenes_Odoo'!H1230="","",'Ordenes_Odoo'!H1230)</f>
        <v/>
      </c>
      <c r="I1230" s="79">
        <f>IF('Ordenes_Odoo'!I1230="","",'Ordenes_Odoo'!I1230)</f>
        <v/>
      </c>
      <c r="J1230" s="79">
        <f>IF('Ordenes_Odoo'!J1230="","",'Ordenes_Odoo'!J1230)</f>
        <v/>
      </c>
      <c r="K1230" s="81">
        <f>IF('Ordenes_Odoo'!K1230="","",'Ordenes_Odoo'!K1230)</f>
        <v/>
      </c>
      <c r="L1230" s="81">
        <f>IF('Ordenes_Odoo'!L1230="","",'Ordenes_Odoo'!L1230)</f>
        <v/>
      </c>
      <c r="M1230" s="79">
        <f>IF('Ordenes_Odoo'!M1230="","",'Ordenes_Odoo'!M1230)</f>
        <v/>
      </c>
      <c r="N1230" s="79">
        <f>IF('Ordenes_Odoo'!N1230="","",'Ordenes_Odoo'!N1230)</f>
        <v/>
      </c>
      <c r="O1230" s="81">
        <f>IF('Ordenes_Odoo'!O1230="","",'Ordenes_Odoo'!O1230)</f>
        <v/>
      </c>
      <c r="P1230" s="81">
        <f>IF('Ordenes_Odoo'!P1230="","",'Ordenes_Odoo'!P1230)</f>
        <v/>
      </c>
      <c r="Q1230" s="79">
        <f>IF(A1230="","",IFERROR(INDEX(Facturas_Odoo!$B:$B, MATCH(A1230, Facturas_Odoo!$D:$D, 0)), "Sin Factura"))</f>
        <v/>
      </c>
      <c r="R1230" s="80">
        <f>IF(Q1230="Sin Factura","",IFERROR(INDEX(Facturas_Odoo!$A:$A, MATCH(Q1230, Facturas_Odoo!$B:$B, 0)), ""))</f>
        <v/>
      </c>
      <c r="S1230" s="79">
        <f>IF(Q1230="Sin Factura","",IFERROR(_xlfn.XLOOKUP(1, (Facturas_Odoo!$D:$D=A1230) * (Facturas_Odoo!$K:$K=I1230), Facturas_Odoo!$L:$L, ""), ""))</f>
        <v/>
      </c>
      <c r="T1230" s="81">
        <f>IF(Q1230="Sin Factura",0,IFERROR(_xlfn.XLOOKUP(1, (Facturas_Odoo!$D:$D=A1230) * (Facturas_Odoo!$K:$K=I1230), Facturas_Odoo!$M:$M, 0), 0))</f>
        <v/>
      </c>
      <c r="U1230" s="79">
        <f>IF(Q1230="Sin Factura",0,IFERROR(_xlfn.XLOOKUP(1, (Facturas_Odoo!$D:$D=A1230) * (Facturas_Odoo!$K:$K=I1230), Facturas_Odoo!$N:$N, 0), 0))</f>
        <v/>
      </c>
      <c r="V1230" s="79">
        <f>IF(Q1230="Sin Factura",0,IFERROR(_xlfn.XLOOKUP(1, (Facturas_Odoo!$D:$D=A1230) * (Facturas_Odoo!$K:$K=I1230), Facturas_Odoo!$O:$O, 0), 0))</f>
        <v/>
      </c>
      <c r="W1230" s="81">
        <f>IF(Q1230="Sin Factura",0,IFERROR(_xlfn.XLOOKUP(1, (Facturas_Odoo!$D:$D=A1230) * (Facturas_Odoo!$K:$K=I1230), Facturas_Odoo!$Q:$Q, 0), 0))</f>
        <v/>
      </c>
      <c r="X1230" s="79">
        <f>IF(OR(Q1230="Sin Factura",Q1230=""),"",IFERROR(INDEX(Pagos_Odoo!$B:$B, MATCH(Q1230, Pagos_Odoo!$I:$I, 0)), "Sin Pago"))</f>
        <v/>
      </c>
      <c r="Y1230" s="79">
        <f>IF(X1230="Sin Pago","",IFERROR(INDEX(Pagos_Odoo!$C:$C, MATCH(X1230, Pagos_Odoo!$B:$B, 0)), ""))</f>
        <v/>
      </c>
      <c r="Z1230" s="80">
        <f>IF(X1230="Sin Pago","",IFERROR(INDEX(Pagos_Odoo!$A:$A, MATCH(X1230, Pagos_Odoo!$B:$B, 0)), ""))</f>
        <v/>
      </c>
      <c r="AA1230" s="79">
        <f>IF(X1230="Sin Pago","",IFERROR(INDEX(Pagos_Odoo!$F:$F, MATCH(X1230, Pagos_Odoo!$B:$B, 0)), ""))</f>
        <v/>
      </c>
      <c r="AB1230" s="81">
        <f>IF(X1230="Sin Pago",0,IFERROR(INDEX(Pagos_Odoo!$E:$E, MATCH(X1230, Pagos_Odoo!$B:$B, 0)), 0))</f>
        <v/>
      </c>
      <c r="AC1230" s="79">
        <f>IF(X1230="Sin Pago","",IFERROR(INDEX(Pagos_Odoo!$G:$G, MATCH(X1230, Pagos_Odoo!$B:$B, 0)), ""))</f>
        <v/>
      </c>
      <c r="AD1230" s="82" t="n">
        <v>0</v>
      </c>
      <c r="AE1230" s="82" t="n"/>
      <c r="AF1230" s="82" t="n"/>
      <c r="AG1230" s="82">
        <f>IF(AN1230="","",AD1230+AE1230+AF1230)</f>
        <v/>
      </c>
      <c r="AH1230" s="81">
        <f>IF(AN1230="","",P1230*(1-AG1230))</f>
        <v/>
      </c>
      <c r="AI1230" s="81">
        <f>IF(AN1230="","",IF(Q1230="Sin Factura",0,IFERROR(INDEX(Facturas_Odoo!$H:$H, MATCH(Q1230, Facturas_Odoo!$B:$B, 0)), 0)*(1-AG1230)))</f>
        <v/>
      </c>
      <c r="AJ1230" s="81">
        <f>IF(AN1230="","",_xlfn.LET(idVenta, AN1230&amp;"",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30" s="81">
        <f>IF(AN1230="","",AH1230-AJ1230)</f>
        <v/>
      </c>
      <c r="AL1230" s="81">
        <f>IF(AN1230="","",IF(Q1230="Sin Factura","",AI1230-AJ1230))</f>
        <v/>
      </c>
      <c r="AM1230" s="81">
        <f>IF(AN1230="","",IF(Q1230="Sin Factura",0,P1230-IFERROR(INDEX(Facturas_Odoo!$H:$H, MATCH(Q1230, Facturas_Odoo!$B:$B, 0)), 0)))</f>
        <v/>
      </c>
      <c r="AN1230" s="79">
        <f>IF(AND(A1230="", J1230=""), "", IF(A1230&lt;&gt;"", VALUE(MID(A1230,2,LEN(A1230))), AN1229))</f>
        <v/>
      </c>
      <c r="AO1230" s="79">
        <f>IF(AN1230="","",IF(AD1230=0,"OK",_xlfn.LET(monedaPago, IF(AA1230="","USD",AA1230), limitePermitido, IFERROR(VLOOKUP(monedaPago, Configuración!$A$2:$B$3, 2, FALSE), 0.15), IF(AD1230&gt;limitePermitido, "ALERTA: EXCESO (" &amp; TEXT(limitePermitido, "0%") &amp; " máx)", "OK"))))</f>
        <v/>
      </c>
      <c r="AP1230" s="79">
        <f>IF(AN1230="","",IF(AE1230=0,"OK",_xlfn.LET(fechaPago, Z1230, fechaFactura, R1230, diasCredito, IF(E1230="Pago inmediato", 0, IFERROR(VALUE(MID(E1230, 1, SEARCH(" ", E1230)-1)),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30" s="79">
        <f>IF(AN1230="","",IF(AND(N1230&gt;0, AG1230&gt;0), IF(Configuración!$K$2="NO", "ALERTA: DESCUENTO DOBLE NO PERMITIDO", "OK"), "OK"))</f>
        <v/>
      </c>
      <c r="AR1230" s="79">
        <f>IF(AN1230="","",IF(OR(AO1230&lt;&gt;"OK", AP1230&lt;&gt;"OK", AQ1230&lt;&gt;"OK"), "⚠️ REVISAR", "OK"))</f>
        <v/>
      </c>
    </row>
    <row r="1231">
      <c r="A1231" s="79">
        <f>IF('Ordenes_Odoo'!A1231="","",'Ordenes_Odoo'!A1231)</f>
        <v/>
      </c>
      <c r="B1231" s="80">
        <f>IF('Ordenes_Odoo'!B1231="","",'Ordenes_Odoo'!B1231)</f>
        <v/>
      </c>
      <c r="C1231" s="79">
        <f>IF('Ordenes_Odoo'!C1231="","",'Ordenes_Odoo'!C1231)</f>
        <v/>
      </c>
      <c r="D1231" s="79">
        <f>IF('Ordenes_Odoo'!D1231="","",'Ordenes_Odoo'!D1231)</f>
        <v/>
      </c>
      <c r="E1231" s="79">
        <f>IF('Ordenes_Odoo'!E1231="","",'Ordenes_Odoo'!E1231)</f>
        <v/>
      </c>
      <c r="F1231" s="79">
        <f>IF('Ordenes_Odoo'!F1231="","",'Ordenes_Odoo'!F1231)</f>
        <v/>
      </c>
      <c r="G1231" s="79">
        <f>IF('Ordenes_Odoo'!G1231="","",'Ordenes_Odoo'!G1231)</f>
        <v/>
      </c>
      <c r="H1231" s="79">
        <f>IF('Ordenes_Odoo'!H1231="","",'Ordenes_Odoo'!H1231)</f>
        <v/>
      </c>
      <c r="I1231" s="79">
        <f>IF('Ordenes_Odoo'!I1231="","",'Ordenes_Odoo'!I1231)</f>
        <v/>
      </c>
      <c r="J1231" s="79">
        <f>IF('Ordenes_Odoo'!J1231="","",'Ordenes_Odoo'!J1231)</f>
        <v/>
      </c>
      <c r="K1231" s="81">
        <f>IF('Ordenes_Odoo'!K1231="","",'Ordenes_Odoo'!K1231)</f>
        <v/>
      </c>
      <c r="L1231" s="81">
        <f>IF('Ordenes_Odoo'!L1231="","",'Ordenes_Odoo'!L1231)</f>
        <v/>
      </c>
      <c r="M1231" s="79">
        <f>IF('Ordenes_Odoo'!M1231="","",'Ordenes_Odoo'!M1231)</f>
        <v/>
      </c>
      <c r="N1231" s="79">
        <f>IF('Ordenes_Odoo'!N1231="","",'Ordenes_Odoo'!N1231)</f>
        <v/>
      </c>
      <c r="O1231" s="81">
        <f>IF('Ordenes_Odoo'!O1231="","",'Ordenes_Odoo'!O1231)</f>
        <v/>
      </c>
      <c r="P1231" s="81">
        <f>IF('Ordenes_Odoo'!P1231="","",'Ordenes_Odoo'!P1231)</f>
        <v/>
      </c>
      <c r="Q1231" s="79">
        <f>IF(A1231="","",IFERROR(INDEX(Facturas_Odoo!$B:$B, MATCH(A1231, Facturas_Odoo!$D:$D, 0)), "Sin Factura"))</f>
        <v/>
      </c>
      <c r="R1231" s="80">
        <f>IF(Q1231="Sin Factura","",IFERROR(INDEX(Facturas_Odoo!$A:$A, MATCH(Q1231, Facturas_Odoo!$B:$B, 0)), ""))</f>
        <v/>
      </c>
      <c r="S1231" s="79">
        <f>IF(Q1231="Sin Factura","",IFERROR(_xlfn.XLOOKUP(1, (Facturas_Odoo!$D:$D=A1231) * (Facturas_Odoo!$K:$K=I1231), Facturas_Odoo!$L:$L, ""), ""))</f>
        <v/>
      </c>
      <c r="T1231" s="81">
        <f>IF(Q1231="Sin Factura",0,IFERROR(_xlfn.XLOOKUP(1, (Facturas_Odoo!$D:$D=A1231) * (Facturas_Odoo!$K:$K=I1231), Facturas_Odoo!$M:$M, 0), 0))</f>
        <v/>
      </c>
      <c r="U1231" s="79">
        <f>IF(Q1231="Sin Factura",0,IFERROR(_xlfn.XLOOKUP(1, (Facturas_Odoo!$D:$D=A1231) * (Facturas_Odoo!$K:$K=I1231), Facturas_Odoo!$N:$N, 0), 0))</f>
        <v/>
      </c>
      <c r="V1231" s="79">
        <f>IF(Q1231="Sin Factura",0,IFERROR(_xlfn.XLOOKUP(1, (Facturas_Odoo!$D:$D=A1231) * (Facturas_Odoo!$K:$K=I1231), Facturas_Odoo!$O:$O, 0), 0))</f>
        <v/>
      </c>
      <c r="W1231" s="81">
        <f>IF(Q1231="Sin Factura",0,IFERROR(_xlfn.XLOOKUP(1, (Facturas_Odoo!$D:$D=A1231) * (Facturas_Odoo!$K:$K=I1231), Facturas_Odoo!$Q:$Q, 0), 0))</f>
        <v/>
      </c>
      <c r="X1231" s="79">
        <f>IF(OR(Q1231="Sin Factura",Q1231=""),"",IFERROR(INDEX(Pagos_Odoo!$B:$B, MATCH(Q1231, Pagos_Odoo!$I:$I, 0)), "Sin Pago"))</f>
        <v/>
      </c>
      <c r="Y1231" s="79">
        <f>IF(X1231="Sin Pago","",IFERROR(INDEX(Pagos_Odoo!$C:$C, MATCH(X1231, Pagos_Odoo!$B:$B, 0)), ""))</f>
        <v/>
      </c>
      <c r="Z1231" s="80">
        <f>IF(X1231="Sin Pago","",IFERROR(INDEX(Pagos_Odoo!$A:$A, MATCH(X1231, Pagos_Odoo!$B:$B, 0)), ""))</f>
        <v/>
      </c>
      <c r="AA1231" s="79">
        <f>IF(X1231="Sin Pago","",IFERROR(INDEX(Pagos_Odoo!$F:$F, MATCH(X1231, Pagos_Odoo!$B:$B, 0)), ""))</f>
        <v/>
      </c>
      <c r="AB1231" s="81">
        <f>IF(X1231="Sin Pago",0,IFERROR(INDEX(Pagos_Odoo!$E:$E, MATCH(X1231, Pagos_Odoo!$B:$B, 0)), 0))</f>
        <v/>
      </c>
      <c r="AC1231" s="79">
        <f>IF(X1231="Sin Pago","",IFERROR(INDEX(Pagos_Odoo!$G:$G, MATCH(X1231, Pagos_Odoo!$B:$B, 0)), ""))</f>
        <v/>
      </c>
      <c r="AD1231" s="82" t="n">
        <v>0</v>
      </c>
      <c r="AE1231" s="82" t="n"/>
      <c r="AF1231" s="82" t="n"/>
      <c r="AG1231" s="82">
        <f>IF(AN1231="","",AD1231+AE1231+AF1231)</f>
        <v/>
      </c>
      <c r="AH1231" s="81">
        <f>IF(AN1231="","",P1231*(1-AG1231))</f>
        <v/>
      </c>
      <c r="AI1231" s="81">
        <f>IF(AN1231="","",IF(Q1231="Sin Factura",0,IFERROR(INDEX(Facturas_Odoo!$H:$H, MATCH(Q1231, Facturas_Odoo!$B:$B, 0)), 0)*(1-AG1231)))</f>
        <v/>
      </c>
      <c r="AJ1231" s="81">
        <f>IF(AN1231="","",_xlfn.LET(idVenta, AN1231&amp;"",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31" s="81">
        <f>IF(AN1231="","",AH1231-AJ1231)</f>
        <v/>
      </c>
      <c r="AL1231" s="81">
        <f>IF(AN1231="","",IF(Q1231="Sin Factura","",AI1231-AJ1231))</f>
        <v/>
      </c>
      <c r="AM1231" s="81">
        <f>IF(AN1231="","",IF(Q1231="Sin Factura",0,P1231-IFERROR(INDEX(Facturas_Odoo!$H:$H, MATCH(Q1231, Facturas_Odoo!$B:$B, 0)), 0)))</f>
        <v/>
      </c>
      <c r="AN1231" s="79">
        <f>IF(AND(A1231="", J1231=""), "", IF(A1231&lt;&gt;"", VALUE(MID(A1231,2,LEN(A1231))), AN1230))</f>
        <v/>
      </c>
      <c r="AO1231" s="79">
        <f>IF(AN1231="","",IF(AD1231=0,"OK",_xlfn.LET(monedaPago, IF(AA1231="","USD",AA1231), limitePermitido, IFERROR(VLOOKUP(monedaPago, Configuración!$A$2:$B$3, 2, FALSE), 0.15), IF(AD1231&gt;limitePermitido, "ALERTA: EXCESO (" &amp; TEXT(limitePermitido, "0%") &amp; " máx)", "OK"))))</f>
        <v/>
      </c>
      <c r="AP1231" s="79">
        <f>IF(AN1231="","",IF(AE1231=0,"OK",_xlfn.LET(fechaPago, Z1231, fechaFactura, R1231, diasCredito, IF(E1231="Pago inmediato", 0, IFERROR(VALUE(MID(E1231, 1, SEARCH(" ", E1231)-1)),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31" s="79">
        <f>IF(AN1231="","",IF(AND(N1231&gt;0, AG1231&gt;0), IF(Configuración!$K$2="NO", "ALERTA: DESCUENTO DOBLE NO PERMITIDO", "OK"), "OK"))</f>
        <v/>
      </c>
      <c r="AR1231" s="79">
        <f>IF(AN1231="","",IF(OR(AO1231&lt;&gt;"OK", AP1231&lt;&gt;"OK", AQ1231&lt;&gt;"OK"), "⚠️ REVISAR", "OK"))</f>
        <v/>
      </c>
    </row>
    <row r="1232">
      <c r="A1232" s="79">
        <f>IF('Ordenes_Odoo'!A1232="","",'Ordenes_Odoo'!A1232)</f>
        <v/>
      </c>
      <c r="B1232" s="80">
        <f>IF('Ordenes_Odoo'!B1232="","",'Ordenes_Odoo'!B1232)</f>
        <v/>
      </c>
      <c r="C1232" s="79">
        <f>IF('Ordenes_Odoo'!C1232="","",'Ordenes_Odoo'!C1232)</f>
        <v/>
      </c>
      <c r="D1232" s="79">
        <f>IF('Ordenes_Odoo'!D1232="","",'Ordenes_Odoo'!D1232)</f>
        <v/>
      </c>
      <c r="E1232" s="79">
        <f>IF('Ordenes_Odoo'!E1232="","",'Ordenes_Odoo'!E1232)</f>
        <v/>
      </c>
      <c r="F1232" s="79">
        <f>IF('Ordenes_Odoo'!F1232="","",'Ordenes_Odoo'!F1232)</f>
        <v/>
      </c>
      <c r="G1232" s="79">
        <f>IF('Ordenes_Odoo'!G1232="","",'Ordenes_Odoo'!G1232)</f>
        <v/>
      </c>
      <c r="H1232" s="79">
        <f>IF('Ordenes_Odoo'!H1232="","",'Ordenes_Odoo'!H1232)</f>
        <v/>
      </c>
      <c r="I1232" s="79">
        <f>IF('Ordenes_Odoo'!I1232="","",'Ordenes_Odoo'!I1232)</f>
        <v/>
      </c>
      <c r="J1232" s="79">
        <f>IF('Ordenes_Odoo'!J1232="","",'Ordenes_Odoo'!J1232)</f>
        <v/>
      </c>
      <c r="K1232" s="81">
        <f>IF('Ordenes_Odoo'!K1232="","",'Ordenes_Odoo'!K1232)</f>
        <v/>
      </c>
      <c r="L1232" s="81">
        <f>IF('Ordenes_Odoo'!L1232="","",'Ordenes_Odoo'!L1232)</f>
        <v/>
      </c>
      <c r="M1232" s="79">
        <f>IF('Ordenes_Odoo'!M1232="","",'Ordenes_Odoo'!M1232)</f>
        <v/>
      </c>
      <c r="N1232" s="79">
        <f>IF('Ordenes_Odoo'!N1232="","",'Ordenes_Odoo'!N1232)</f>
        <v/>
      </c>
      <c r="O1232" s="81">
        <f>IF('Ordenes_Odoo'!O1232="","",'Ordenes_Odoo'!O1232)</f>
        <v/>
      </c>
      <c r="P1232" s="81">
        <f>IF('Ordenes_Odoo'!P1232="","",'Ordenes_Odoo'!P1232)</f>
        <v/>
      </c>
      <c r="Q1232" s="79">
        <f>IF(A1232="","",IFERROR(INDEX(Facturas_Odoo!$B:$B, MATCH(A1232, Facturas_Odoo!$D:$D, 0)), "Sin Factura"))</f>
        <v/>
      </c>
      <c r="R1232" s="80">
        <f>IF(Q1232="Sin Factura","",IFERROR(INDEX(Facturas_Odoo!$A:$A, MATCH(Q1232, Facturas_Odoo!$B:$B, 0)), ""))</f>
        <v/>
      </c>
      <c r="S1232" s="79">
        <f>IF(Q1232="Sin Factura","",IFERROR(_xlfn.XLOOKUP(1, (Facturas_Odoo!$D:$D=A1232) * (Facturas_Odoo!$K:$K=I1232), Facturas_Odoo!$L:$L, ""), ""))</f>
        <v/>
      </c>
      <c r="T1232" s="81">
        <f>IF(Q1232="Sin Factura",0,IFERROR(_xlfn.XLOOKUP(1, (Facturas_Odoo!$D:$D=A1232) * (Facturas_Odoo!$K:$K=I1232), Facturas_Odoo!$M:$M, 0), 0))</f>
        <v/>
      </c>
      <c r="U1232" s="79">
        <f>IF(Q1232="Sin Factura",0,IFERROR(_xlfn.XLOOKUP(1, (Facturas_Odoo!$D:$D=A1232) * (Facturas_Odoo!$K:$K=I1232), Facturas_Odoo!$N:$N, 0), 0))</f>
        <v/>
      </c>
      <c r="V1232" s="79">
        <f>IF(Q1232="Sin Factura",0,IFERROR(_xlfn.XLOOKUP(1, (Facturas_Odoo!$D:$D=A1232) * (Facturas_Odoo!$K:$K=I1232), Facturas_Odoo!$O:$O, 0), 0))</f>
        <v/>
      </c>
      <c r="W1232" s="81">
        <f>IF(Q1232="Sin Factura",0,IFERROR(_xlfn.XLOOKUP(1, (Facturas_Odoo!$D:$D=A1232) * (Facturas_Odoo!$K:$K=I1232), Facturas_Odoo!$Q:$Q, 0), 0))</f>
        <v/>
      </c>
      <c r="X1232" s="79">
        <f>IF(OR(Q1232="Sin Factura",Q1232=""),"",IFERROR(INDEX(Pagos_Odoo!$B:$B, MATCH(Q1232, Pagos_Odoo!$I:$I, 0)), "Sin Pago"))</f>
        <v/>
      </c>
      <c r="Y1232" s="79">
        <f>IF(X1232="Sin Pago","",IFERROR(INDEX(Pagos_Odoo!$C:$C, MATCH(X1232, Pagos_Odoo!$B:$B, 0)), ""))</f>
        <v/>
      </c>
      <c r="Z1232" s="80">
        <f>IF(X1232="Sin Pago","",IFERROR(INDEX(Pagos_Odoo!$A:$A, MATCH(X1232, Pagos_Odoo!$B:$B, 0)), ""))</f>
        <v/>
      </c>
      <c r="AA1232" s="79">
        <f>IF(X1232="Sin Pago","",IFERROR(INDEX(Pagos_Odoo!$F:$F, MATCH(X1232, Pagos_Odoo!$B:$B, 0)), ""))</f>
        <v/>
      </c>
      <c r="AB1232" s="81">
        <f>IF(X1232="Sin Pago",0,IFERROR(INDEX(Pagos_Odoo!$E:$E, MATCH(X1232, Pagos_Odoo!$B:$B, 0)), 0))</f>
        <v/>
      </c>
      <c r="AC1232" s="79">
        <f>IF(X1232="Sin Pago","",IFERROR(INDEX(Pagos_Odoo!$G:$G, MATCH(X1232, Pagos_Odoo!$B:$B, 0)), ""))</f>
        <v/>
      </c>
      <c r="AD1232" s="82" t="n">
        <v>0</v>
      </c>
      <c r="AE1232" s="82" t="n"/>
      <c r="AF1232" s="82" t="n"/>
      <c r="AG1232" s="82">
        <f>IF(AN1232="","",AD1232+AE1232+AF1232)</f>
        <v/>
      </c>
      <c r="AH1232" s="81">
        <f>IF(AN1232="","",P1232*(1-AG1232))</f>
        <v/>
      </c>
      <c r="AI1232" s="81">
        <f>IF(AN1232="","",IF(Q1232="Sin Factura",0,IFERROR(INDEX(Facturas_Odoo!$H:$H, MATCH(Q1232, Facturas_Odoo!$B:$B, 0)), 0)*(1-AG1232)))</f>
        <v/>
      </c>
      <c r="AJ1232" s="81">
        <f>IF(AN1232="","",_xlfn.LET(idVenta, AN1232&amp;"",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32" s="81">
        <f>IF(AN1232="","",AH1232-AJ1232)</f>
        <v/>
      </c>
      <c r="AL1232" s="81">
        <f>IF(AN1232="","",IF(Q1232="Sin Factura","",AI1232-AJ1232))</f>
        <v/>
      </c>
      <c r="AM1232" s="81">
        <f>IF(AN1232="","",IF(Q1232="Sin Factura",0,P1232-IFERROR(INDEX(Facturas_Odoo!$H:$H, MATCH(Q1232, Facturas_Odoo!$B:$B, 0)), 0)))</f>
        <v/>
      </c>
      <c r="AN1232" s="79">
        <f>IF(AND(A1232="", J1232=""), "", IF(A1232&lt;&gt;"", VALUE(MID(A1232,2,LEN(A1232))), AN1231))</f>
        <v/>
      </c>
      <c r="AO1232" s="79">
        <f>IF(AN1232="","",IF(AD1232=0,"OK",_xlfn.LET(monedaPago, IF(AA1232="","USD",AA1232), limitePermitido, IFERROR(VLOOKUP(monedaPago, Configuración!$A$2:$B$3, 2, FALSE), 0.15), IF(AD1232&gt;limitePermitido, "ALERTA: EXCESO (" &amp; TEXT(limitePermitido, "0%") &amp; " máx)", "OK"))))</f>
        <v/>
      </c>
      <c r="AP1232" s="79">
        <f>IF(AN1232="","",IF(AE1232=0,"OK",_xlfn.LET(fechaPago, Z1232, fechaFactura, R1232, diasCredito, IF(E1232="Pago inmediato", 0, IFERROR(VALUE(MID(E1232, 1, SEARCH(" ", E1232)-1)),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32" s="79">
        <f>IF(AN1232="","",IF(AND(N1232&gt;0, AG1232&gt;0), IF(Configuración!$K$2="NO", "ALERTA: DESCUENTO DOBLE NO PERMITIDO", "OK"), "OK"))</f>
        <v/>
      </c>
      <c r="AR1232" s="79">
        <f>IF(AN1232="","",IF(OR(AO1232&lt;&gt;"OK", AP1232&lt;&gt;"OK", AQ1232&lt;&gt;"OK"), "⚠️ REVISAR", "OK"))</f>
        <v/>
      </c>
    </row>
    <row r="1233">
      <c r="A1233" s="79">
        <f>IF('Ordenes_Odoo'!A1233="","",'Ordenes_Odoo'!A1233)</f>
        <v/>
      </c>
      <c r="B1233" s="80">
        <f>IF('Ordenes_Odoo'!B1233="","",'Ordenes_Odoo'!B1233)</f>
        <v/>
      </c>
      <c r="C1233" s="79">
        <f>IF('Ordenes_Odoo'!C1233="","",'Ordenes_Odoo'!C1233)</f>
        <v/>
      </c>
      <c r="D1233" s="79">
        <f>IF('Ordenes_Odoo'!D1233="","",'Ordenes_Odoo'!D1233)</f>
        <v/>
      </c>
      <c r="E1233" s="79">
        <f>IF('Ordenes_Odoo'!E1233="","",'Ordenes_Odoo'!E1233)</f>
        <v/>
      </c>
      <c r="F1233" s="79">
        <f>IF('Ordenes_Odoo'!F1233="","",'Ordenes_Odoo'!F1233)</f>
        <v/>
      </c>
      <c r="G1233" s="79">
        <f>IF('Ordenes_Odoo'!G1233="","",'Ordenes_Odoo'!G1233)</f>
        <v/>
      </c>
      <c r="H1233" s="79">
        <f>IF('Ordenes_Odoo'!H1233="","",'Ordenes_Odoo'!H1233)</f>
        <v/>
      </c>
      <c r="I1233" s="79">
        <f>IF('Ordenes_Odoo'!I1233="","",'Ordenes_Odoo'!I1233)</f>
        <v/>
      </c>
      <c r="J1233" s="79">
        <f>IF('Ordenes_Odoo'!J1233="","",'Ordenes_Odoo'!J1233)</f>
        <v/>
      </c>
      <c r="K1233" s="81">
        <f>IF('Ordenes_Odoo'!K1233="","",'Ordenes_Odoo'!K1233)</f>
        <v/>
      </c>
      <c r="L1233" s="81">
        <f>IF('Ordenes_Odoo'!L1233="","",'Ordenes_Odoo'!L1233)</f>
        <v/>
      </c>
      <c r="M1233" s="79">
        <f>IF('Ordenes_Odoo'!M1233="","",'Ordenes_Odoo'!M1233)</f>
        <v/>
      </c>
      <c r="N1233" s="79">
        <f>IF('Ordenes_Odoo'!N1233="","",'Ordenes_Odoo'!N1233)</f>
        <v/>
      </c>
      <c r="O1233" s="81">
        <f>IF('Ordenes_Odoo'!O1233="","",'Ordenes_Odoo'!O1233)</f>
        <v/>
      </c>
      <c r="P1233" s="81">
        <f>IF('Ordenes_Odoo'!P1233="","",'Ordenes_Odoo'!P1233)</f>
        <v/>
      </c>
      <c r="Q1233" s="79">
        <f>IF(A1233="","",IFERROR(INDEX(Facturas_Odoo!$B:$B, MATCH(A1233, Facturas_Odoo!$D:$D, 0)), "Sin Factura"))</f>
        <v/>
      </c>
      <c r="R1233" s="80">
        <f>IF(Q1233="Sin Factura","",IFERROR(INDEX(Facturas_Odoo!$A:$A, MATCH(Q1233, Facturas_Odoo!$B:$B, 0)), ""))</f>
        <v/>
      </c>
      <c r="S1233" s="79">
        <f>IF(Q1233="Sin Factura","",IFERROR(_xlfn.XLOOKUP(1, (Facturas_Odoo!$D:$D=A1233) * (Facturas_Odoo!$K:$K=I1233), Facturas_Odoo!$L:$L, ""), ""))</f>
        <v/>
      </c>
      <c r="T1233" s="81">
        <f>IF(Q1233="Sin Factura",0,IFERROR(_xlfn.XLOOKUP(1, (Facturas_Odoo!$D:$D=A1233) * (Facturas_Odoo!$K:$K=I1233), Facturas_Odoo!$M:$M, 0), 0))</f>
        <v/>
      </c>
      <c r="U1233" s="79">
        <f>IF(Q1233="Sin Factura",0,IFERROR(_xlfn.XLOOKUP(1, (Facturas_Odoo!$D:$D=A1233) * (Facturas_Odoo!$K:$K=I1233), Facturas_Odoo!$N:$N, 0), 0))</f>
        <v/>
      </c>
      <c r="V1233" s="79">
        <f>IF(Q1233="Sin Factura",0,IFERROR(_xlfn.XLOOKUP(1, (Facturas_Odoo!$D:$D=A1233) * (Facturas_Odoo!$K:$K=I1233), Facturas_Odoo!$O:$O, 0), 0))</f>
        <v/>
      </c>
      <c r="W1233" s="81">
        <f>IF(Q1233="Sin Factura",0,IFERROR(_xlfn.XLOOKUP(1, (Facturas_Odoo!$D:$D=A1233) * (Facturas_Odoo!$K:$K=I1233), Facturas_Odoo!$Q:$Q, 0), 0))</f>
        <v/>
      </c>
      <c r="X1233" s="79">
        <f>IF(OR(Q1233="Sin Factura",Q1233=""),"",IFERROR(INDEX(Pagos_Odoo!$B:$B, MATCH(Q1233, Pagos_Odoo!$I:$I, 0)), "Sin Pago"))</f>
        <v/>
      </c>
      <c r="Y1233" s="79">
        <f>IF(X1233="Sin Pago","",IFERROR(INDEX(Pagos_Odoo!$C:$C, MATCH(X1233, Pagos_Odoo!$B:$B, 0)), ""))</f>
        <v/>
      </c>
      <c r="Z1233" s="80">
        <f>IF(X1233="Sin Pago","",IFERROR(INDEX(Pagos_Odoo!$A:$A, MATCH(X1233, Pagos_Odoo!$B:$B, 0)), ""))</f>
        <v/>
      </c>
      <c r="AA1233" s="79">
        <f>IF(X1233="Sin Pago","",IFERROR(INDEX(Pagos_Odoo!$F:$F, MATCH(X1233, Pagos_Odoo!$B:$B, 0)), ""))</f>
        <v/>
      </c>
      <c r="AB1233" s="81">
        <f>IF(X1233="Sin Pago",0,IFERROR(INDEX(Pagos_Odoo!$E:$E, MATCH(X1233, Pagos_Odoo!$B:$B, 0)), 0))</f>
        <v/>
      </c>
      <c r="AC1233" s="79">
        <f>IF(X1233="Sin Pago","",IFERROR(INDEX(Pagos_Odoo!$G:$G, MATCH(X1233, Pagos_Odoo!$B:$B, 0)), ""))</f>
        <v/>
      </c>
      <c r="AD1233" s="82" t="n">
        <v>0</v>
      </c>
      <c r="AE1233" s="82" t="n"/>
      <c r="AF1233" s="82" t="n"/>
      <c r="AG1233" s="82">
        <f>IF(AN1233="","",AD1233+AE1233+AF1233)</f>
        <v/>
      </c>
      <c r="AH1233" s="81">
        <f>IF(AN1233="","",P1233*(1-AG1233))</f>
        <v/>
      </c>
      <c r="AI1233" s="81">
        <f>IF(AN1233="","",IF(Q1233="Sin Factura",0,IFERROR(INDEX(Facturas_Odoo!$H:$H, MATCH(Q1233, Facturas_Odoo!$B:$B, 0)), 0)*(1-AG1233)))</f>
        <v/>
      </c>
      <c r="AJ1233" s="81">
        <f>IF(AN1233="","",_xlfn.LET(idVenta, AN1233&amp;"",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33" s="81">
        <f>IF(AN1233="","",AH1233-AJ1233)</f>
        <v/>
      </c>
      <c r="AL1233" s="81">
        <f>IF(AN1233="","",IF(Q1233="Sin Factura","",AI1233-AJ1233))</f>
        <v/>
      </c>
      <c r="AM1233" s="81">
        <f>IF(AN1233="","",IF(Q1233="Sin Factura",0,P1233-IFERROR(INDEX(Facturas_Odoo!$H:$H, MATCH(Q1233, Facturas_Odoo!$B:$B, 0)), 0)))</f>
        <v/>
      </c>
      <c r="AN1233" s="79">
        <f>IF(AND(A1233="", J1233=""), "", IF(A1233&lt;&gt;"", VALUE(MID(A1233,2,LEN(A1233))), AN1232))</f>
        <v/>
      </c>
      <c r="AO1233" s="79">
        <f>IF(AN1233="","",IF(AD1233=0,"OK",_xlfn.LET(monedaPago, IF(AA1233="","USD",AA1233), limitePermitido, IFERROR(VLOOKUP(monedaPago, Configuración!$A$2:$B$3, 2, FALSE), 0.15), IF(AD1233&gt;limitePermitido, "ALERTA: EXCESO (" &amp; TEXT(limitePermitido, "0%") &amp; " máx)", "OK"))))</f>
        <v/>
      </c>
      <c r="AP1233" s="79">
        <f>IF(AN1233="","",IF(AE1233=0,"OK",_xlfn.LET(fechaPago, Z1233, fechaFactura, R1233, diasCredito, IF(E1233="Pago inmediato", 0, IFERROR(VALUE(MID(E1233, 1, SEARCH(" ", E1233)-1)),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33" s="79">
        <f>IF(AN1233="","",IF(AND(N1233&gt;0, AG1233&gt;0), IF(Configuración!$K$2="NO", "ALERTA: DESCUENTO DOBLE NO PERMITIDO", "OK"), "OK"))</f>
        <v/>
      </c>
      <c r="AR1233" s="79">
        <f>IF(AN1233="","",IF(OR(AO1233&lt;&gt;"OK", AP1233&lt;&gt;"OK", AQ1233&lt;&gt;"OK"), "⚠️ REVISAR", "OK"))</f>
        <v/>
      </c>
    </row>
    <row r="1234">
      <c r="A1234" s="79">
        <f>IF('Ordenes_Odoo'!A1234="","",'Ordenes_Odoo'!A1234)</f>
        <v/>
      </c>
      <c r="B1234" s="80">
        <f>IF('Ordenes_Odoo'!B1234="","",'Ordenes_Odoo'!B1234)</f>
        <v/>
      </c>
      <c r="C1234" s="79">
        <f>IF('Ordenes_Odoo'!C1234="","",'Ordenes_Odoo'!C1234)</f>
        <v/>
      </c>
      <c r="D1234" s="79">
        <f>IF('Ordenes_Odoo'!D1234="","",'Ordenes_Odoo'!D1234)</f>
        <v/>
      </c>
      <c r="E1234" s="79">
        <f>IF('Ordenes_Odoo'!E1234="","",'Ordenes_Odoo'!E1234)</f>
        <v/>
      </c>
      <c r="F1234" s="79">
        <f>IF('Ordenes_Odoo'!F1234="","",'Ordenes_Odoo'!F1234)</f>
        <v/>
      </c>
      <c r="G1234" s="79">
        <f>IF('Ordenes_Odoo'!G1234="","",'Ordenes_Odoo'!G1234)</f>
        <v/>
      </c>
      <c r="H1234" s="79">
        <f>IF('Ordenes_Odoo'!H1234="","",'Ordenes_Odoo'!H1234)</f>
        <v/>
      </c>
      <c r="I1234" s="79">
        <f>IF('Ordenes_Odoo'!I1234="","",'Ordenes_Odoo'!I1234)</f>
        <v/>
      </c>
      <c r="J1234" s="79">
        <f>IF('Ordenes_Odoo'!J1234="","",'Ordenes_Odoo'!J1234)</f>
        <v/>
      </c>
      <c r="K1234" s="81">
        <f>IF('Ordenes_Odoo'!K1234="","",'Ordenes_Odoo'!K1234)</f>
        <v/>
      </c>
      <c r="L1234" s="81">
        <f>IF('Ordenes_Odoo'!L1234="","",'Ordenes_Odoo'!L1234)</f>
        <v/>
      </c>
      <c r="M1234" s="79">
        <f>IF('Ordenes_Odoo'!M1234="","",'Ordenes_Odoo'!M1234)</f>
        <v/>
      </c>
      <c r="N1234" s="79">
        <f>IF('Ordenes_Odoo'!N1234="","",'Ordenes_Odoo'!N1234)</f>
        <v/>
      </c>
      <c r="O1234" s="81">
        <f>IF('Ordenes_Odoo'!O1234="","",'Ordenes_Odoo'!O1234)</f>
        <v/>
      </c>
      <c r="P1234" s="81">
        <f>IF('Ordenes_Odoo'!P1234="","",'Ordenes_Odoo'!P1234)</f>
        <v/>
      </c>
      <c r="Q1234" s="79">
        <f>IF(A1234="","",IFERROR(INDEX(Facturas_Odoo!$B:$B, MATCH(A1234, Facturas_Odoo!$D:$D, 0)), "Sin Factura"))</f>
        <v/>
      </c>
      <c r="R1234" s="80">
        <f>IF(Q1234="Sin Factura","",IFERROR(INDEX(Facturas_Odoo!$A:$A, MATCH(Q1234, Facturas_Odoo!$B:$B, 0)), ""))</f>
        <v/>
      </c>
      <c r="S1234" s="79">
        <f>IF(Q1234="Sin Factura","",IFERROR(_xlfn.XLOOKUP(1, (Facturas_Odoo!$D:$D=A1234) * (Facturas_Odoo!$K:$K=I1234), Facturas_Odoo!$L:$L, ""), ""))</f>
        <v/>
      </c>
      <c r="T1234" s="81">
        <f>IF(Q1234="Sin Factura",0,IFERROR(_xlfn.XLOOKUP(1, (Facturas_Odoo!$D:$D=A1234) * (Facturas_Odoo!$K:$K=I1234), Facturas_Odoo!$M:$M, 0), 0))</f>
        <v/>
      </c>
      <c r="U1234" s="79">
        <f>IF(Q1234="Sin Factura",0,IFERROR(_xlfn.XLOOKUP(1, (Facturas_Odoo!$D:$D=A1234) * (Facturas_Odoo!$K:$K=I1234), Facturas_Odoo!$N:$N, 0), 0))</f>
        <v/>
      </c>
      <c r="V1234" s="79">
        <f>IF(Q1234="Sin Factura",0,IFERROR(_xlfn.XLOOKUP(1, (Facturas_Odoo!$D:$D=A1234) * (Facturas_Odoo!$K:$K=I1234), Facturas_Odoo!$O:$O, 0), 0))</f>
        <v/>
      </c>
      <c r="W1234" s="81">
        <f>IF(Q1234="Sin Factura",0,IFERROR(_xlfn.XLOOKUP(1, (Facturas_Odoo!$D:$D=A1234) * (Facturas_Odoo!$K:$K=I1234), Facturas_Odoo!$Q:$Q, 0), 0))</f>
        <v/>
      </c>
      <c r="X1234" s="79">
        <f>IF(OR(Q1234="Sin Factura",Q1234=""),"",IFERROR(INDEX(Pagos_Odoo!$B:$B, MATCH(Q1234, Pagos_Odoo!$I:$I, 0)), "Sin Pago"))</f>
        <v/>
      </c>
      <c r="Y1234" s="79">
        <f>IF(X1234="Sin Pago","",IFERROR(INDEX(Pagos_Odoo!$C:$C, MATCH(X1234, Pagos_Odoo!$B:$B, 0)), ""))</f>
        <v/>
      </c>
      <c r="Z1234" s="80">
        <f>IF(X1234="Sin Pago","",IFERROR(INDEX(Pagos_Odoo!$A:$A, MATCH(X1234, Pagos_Odoo!$B:$B, 0)), ""))</f>
        <v/>
      </c>
      <c r="AA1234" s="79">
        <f>IF(X1234="Sin Pago","",IFERROR(INDEX(Pagos_Odoo!$F:$F, MATCH(X1234, Pagos_Odoo!$B:$B, 0)), ""))</f>
        <v/>
      </c>
      <c r="AB1234" s="81">
        <f>IF(X1234="Sin Pago",0,IFERROR(INDEX(Pagos_Odoo!$E:$E, MATCH(X1234, Pagos_Odoo!$B:$B, 0)), 0))</f>
        <v/>
      </c>
      <c r="AC1234" s="79">
        <f>IF(X1234="Sin Pago","",IFERROR(INDEX(Pagos_Odoo!$G:$G, MATCH(X1234, Pagos_Odoo!$B:$B, 0)), ""))</f>
        <v/>
      </c>
      <c r="AD1234" s="82" t="n">
        <v>0</v>
      </c>
      <c r="AE1234" s="82" t="n"/>
      <c r="AF1234" s="82" t="n"/>
      <c r="AG1234" s="82">
        <f>IF(AN1234="","",AD1234+AE1234+AF1234)</f>
        <v/>
      </c>
      <c r="AH1234" s="81">
        <f>IF(AN1234="","",P1234*(1-AG1234))</f>
        <v/>
      </c>
      <c r="AI1234" s="81">
        <f>IF(AN1234="","",IF(Q1234="Sin Factura",0,IFERROR(INDEX(Facturas_Odoo!$H:$H, MATCH(Q1234, Facturas_Odoo!$B:$B, 0)), 0)*(1-AG1234)))</f>
        <v/>
      </c>
      <c r="AJ1234" s="81">
        <f>IF(AN1234="","",_xlfn.LET(idVenta, AN1234&amp;"",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34" s="81">
        <f>IF(AN1234="","",AH1234-AJ1234)</f>
        <v/>
      </c>
      <c r="AL1234" s="81">
        <f>IF(AN1234="","",IF(Q1234="Sin Factura","",AI1234-AJ1234))</f>
        <v/>
      </c>
      <c r="AM1234" s="81">
        <f>IF(AN1234="","",IF(Q1234="Sin Factura",0,P1234-IFERROR(INDEX(Facturas_Odoo!$H:$H, MATCH(Q1234, Facturas_Odoo!$B:$B, 0)), 0)))</f>
        <v/>
      </c>
      <c r="AN1234" s="79">
        <f>IF(AND(A1234="", J1234=""), "", IF(A1234&lt;&gt;"", VALUE(MID(A1234,2,LEN(A1234))), AN1233))</f>
        <v/>
      </c>
      <c r="AO1234" s="79">
        <f>IF(AN1234="","",IF(AD1234=0,"OK",_xlfn.LET(monedaPago, IF(AA1234="","USD",AA1234), limitePermitido, IFERROR(VLOOKUP(monedaPago, Configuración!$A$2:$B$3, 2, FALSE), 0.15), IF(AD1234&gt;limitePermitido, "ALERTA: EXCESO (" &amp; TEXT(limitePermitido, "0%") &amp; " máx)", "OK"))))</f>
        <v/>
      </c>
      <c r="AP1234" s="79">
        <f>IF(AN1234="","",IF(AE1234=0,"OK",_xlfn.LET(fechaPago, Z1234, fechaFactura, R1234, diasCredito, IF(E1234="Pago inmediato", 0, IFERROR(VALUE(MID(E1234, 1, SEARCH(" ", E1234)-1)),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34" s="79">
        <f>IF(AN1234="","",IF(AND(N1234&gt;0, AG1234&gt;0), IF(Configuración!$K$2="NO", "ALERTA: DESCUENTO DOBLE NO PERMITIDO", "OK"), "OK"))</f>
        <v/>
      </c>
      <c r="AR1234" s="79">
        <f>IF(AN1234="","",IF(OR(AO1234&lt;&gt;"OK", AP1234&lt;&gt;"OK", AQ1234&lt;&gt;"OK"), "⚠️ REVISAR", "OK"))</f>
        <v/>
      </c>
    </row>
    <row r="1235">
      <c r="A1235" s="79">
        <f>IF('Ordenes_Odoo'!A1235="","",'Ordenes_Odoo'!A1235)</f>
        <v/>
      </c>
      <c r="B1235" s="80">
        <f>IF('Ordenes_Odoo'!B1235="","",'Ordenes_Odoo'!B1235)</f>
        <v/>
      </c>
      <c r="C1235" s="79">
        <f>IF('Ordenes_Odoo'!C1235="","",'Ordenes_Odoo'!C1235)</f>
        <v/>
      </c>
      <c r="D1235" s="79">
        <f>IF('Ordenes_Odoo'!D1235="","",'Ordenes_Odoo'!D1235)</f>
        <v/>
      </c>
      <c r="E1235" s="79">
        <f>IF('Ordenes_Odoo'!E1235="","",'Ordenes_Odoo'!E1235)</f>
        <v/>
      </c>
      <c r="F1235" s="79">
        <f>IF('Ordenes_Odoo'!F1235="","",'Ordenes_Odoo'!F1235)</f>
        <v/>
      </c>
      <c r="G1235" s="79">
        <f>IF('Ordenes_Odoo'!G1235="","",'Ordenes_Odoo'!G1235)</f>
        <v/>
      </c>
      <c r="H1235" s="79">
        <f>IF('Ordenes_Odoo'!H1235="","",'Ordenes_Odoo'!H1235)</f>
        <v/>
      </c>
      <c r="I1235" s="79">
        <f>IF('Ordenes_Odoo'!I1235="","",'Ordenes_Odoo'!I1235)</f>
        <v/>
      </c>
      <c r="J1235" s="79">
        <f>IF('Ordenes_Odoo'!J1235="","",'Ordenes_Odoo'!J1235)</f>
        <v/>
      </c>
      <c r="K1235" s="81">
        <f>IF('Ordenes_Odoo'!K1235="","",'Ordenes_Odoo'!K1235)</f>
        <v/>
      </c>
      <c r="L1235" s="81">
        <f>IF('Ordenes_Odoo'!L1235="","",'Ordenes_Odoo'!L1235)</f>
        <v/>
      </c>
      <c r="M1235" s="79">
        <f>IF('Ordenes_Odoo'!M1235="","",'Ordenes_Odoo'!M1235)</f>
        <v/>
      </c>
      <c r="N1235" s="79">
        <f>IF('Ordenes_Odoo'!N1235="","",'Ordenes_Odoo'!N1235)</f>
        <v/>
      </c>
      <c r="O1235" s="81">
        <f>IF('Ordenes_Odoo'!O1235="","",'Ordenes_Odoo'!O1235)</f>
        <v/>
      </c>
      <c r="P1235" s="81">
        <f>IF('Ordenes_Odoo'!P1235="","",'Ordenes_Odoo'!P1235)</f>
        <v/>
      </c>
      <c r="Q1235" s="79">
        <f>IF(A1235="","",IFERROR(INDEX(Facturas_Odoo!$B:$B, MATCH(A1235, Facturas_Odoo!$D:$D, 0)), "Sin Factura"))</f>
        <v/>
      </c>
      <c r="R1235" s="80">
        <f>IF(Q1235="Sin Factura","",IFERROR(INDEX(Facturas_Odoo!$A:$A, MATCH(Q1235, Facturas_Odoo!$B:$B, 0)), ""))</f>
        <v/>
      </c>
      <c r="S1235" s="79">
        <f>IF(Q1235="Sin Factura","",IFERROR(_xlfn.XLOOKUP(1, (Facturas_Odoo!$D:$D=A1235) * (Facturas_Odoo!$K:$K=I1235), Facturas_Odoo!$L:$L, ""), ""))</f>
        <v/>
      </c>
      <c r="T1235" s="81">
        <f>IF(Q1235="Sin Factura",0,IFERROR(_xlfn.XLOOKUP(1, (Facturas_Odoo!$D:$D=A1235) * (Facturas_Odoo!$K:$K=I1235), Facturas_Odoo!$M:$M, 0), 0))</f>
        <v/>
      </c>
      <c r="U1235" s="79">
        <f>IF(Q1235="Sin Factura",0,IFERROR(_xlfn.XLOOKUP(1, (Facturas_Odoo!$D:$D=A1235) * (Facturas_Odoo!$K:$K=I1235), Facturas_Odoo!$N:$N, 0), 0))</f>
        <v/>
      </c>
      <c r="V1235" s="79">
        <f>IF(Q1235="Sin Factura",0,IFERROR(_xlfn.XLOOKUP(1, (Facturas_Odoo!$D:$D=A1235) * (Facturas_Odoo!$K:$K=I1235), Facturas_Odoo!$O:$O, 0), 0))</f>
        <v/>
      </c>
      <c r="W1235" s="81">
        <f>IF(Q1235="Sin Factura",0,IFERROR(_xlfn.XLOOKUP(1, (Facturas_Odoo!$D:$D=A1235) * (Facturas_Odoo!$K:$K=I1235), Facturas_Odoo!$Q:$Q, 0), 0))</f>
        <v/>
      </c>
      <c r="X1235" s="79">
        <f>IF(OR(Q1235="Sin Factura",Q1235=""),"",IFERROR(INDEX(Pagos_Odoo!$B:$B, MATCH(Q1235, Pagos_Odoo!$I:$I, 0)), "Sin Pago"))</f>
        <v/>
      </c>
      <c r="Y1235" s="79">
        <f>IF(X1235="Sin Pago","",IFERROR(INDEX(Pagos_Odoo!$C:$C, MATCH(X1235, Pagos_Odoo!$B:$B, 0)), ""))</f>
        <v/>
      </c>
      <c r="Z1235" s="80">
        <f>IF(X1235="Sin Pago","",IFERROR(INDEX(Pagos_Odoo!$A:$A, MATCH(X1235, Pagos_Odoo!$B:$B, 0)), ""))</f>
        <v/>
      </c>
      <c r="AA1235" s="79">
        <f>IF(X1235="Sin Pago","",IFERROR(INDEX(Pagos_Odoo!$F:$F, MATCH(X1235, Pagos_Odoo!$B:$B, 0)), ""))</f>
        <v/>
      </c>
      <c r="AB1235" s="81">
        <f>IF(X1235="Sin Pago",0,IFERROR(INDEX(Pagos_Odoo!$E:$E, MATCH(X1235, Pagos_Odoo!$B:$B, 0)), 0))</f>
        <v/>
      </c>
      <c r="AC1235" s="79">
        <f>IF(X1235="Sin Pago","",IFERROR(INDEX(Pagos_Odoo!$G:$G, MATCH(X1235, Pagos_Odoo!$B:$B, 0)), ""))</f>
        <v/>
      </c>
      <c r="AD1235" s="82" t="n">
        <v>0</v>
      </c>
      <c r="AE1235" s="82" t="n"/>
      <c r="AF1235" s="82" t="n"/>
      <c r="AG1235" s="82">
        <f>IF(AN1235="","",AD1235+AE1235+AF1235)</f>
        <v/>
      </c>
      <c r="AH1235" s="81">
        <f>IF(AN1235="","",P1235*(1-AG1235))</f>
        <v/>
      </c>
      <c r="AI1235" s="81">
        <f>IF(AN1235="","",IF(Q1235="Sin Factura",0,IFERROR(INDEX(Facturas_Odoo!$H:$H, MATCH(Q1235, Facturas_Odoo!$B:$B, 0)), 0)*(1-AG1235)))</f>
        <v/>
      </c>
      <c r="AJ1235" s="81">
        <f>IF(AN1235="","",_xlfn.LET(idVenta, AN1235&amp;"",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35" s="81">
        <f>IF(AN1235="","",AH1235-AJ1235)</f>
        <v/>
      </c>
      <c r="AL1235" s="81">
        <f>IF(AN1235="","",IF(Q1235="Sin Factura","",AI1235-AJ1235))</f>
        <v/>
      </c>
      <c r="AM1235" s="81">
        <f>IF(AN1235="","",IF(Q1235="Sin Factura",0,P1235-IFERROR(INDEX(Facturas_Odoo!$H:$H, MATCH(Q1235, Facturas_Odoo!$B:$B, 0)), 0)))</f>
        <v/>
      </c>
      <c r="AN1235" s="79">
        <f>IF(AND(A1235="", J1235=""), "", IF(A1235&lt;&gt;"", VALUE(MID(A1235,2,LEN(A1235))), AN1234))</f>
        <v/>
      </c>
      <c r="AO1235" s="79">
        <f>IF(AN1235="","",IF(AD1235=0,"OK",_xlfn.LET(monedaPago, IF(AA1235="","USD",AA1235), limitePermitido, IFERROR(VLOOKUP(monedaPago, Configuración!$A$2:$B$3, 2, FALSE), 0.15), IF(AD1235&gt;limitePermitido, "ALERTA: EXCESO (" &amp; TEXT(limitePermitido, "0%") &amp; " máx)", "OK"))))</f>
        <v/>
      </c>
      <c r="AP1235" s="79">
        <f>IF(AN1235="","",IF(AE1235=0,"OK",_xlfn.LET(fechaPago, Z1235, fechaFactura, R1235, diasCredito, IF(E1235="Pago inmediato", 0, IFERROR(VALUE(MID(E1235, 1, SEARCH(" ", E1235)-1)),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35" s="79">
        <f>IF(AN1235="","",IF(AND(N1235&gt;0, AG1235&gt;0), IF(Configuración!$K$2="NO", "ALERTA: DESCUENTO DOBLE NO PERMITIDO", "OK"), "OK"))</f>
        <v/>
      </c>
      <c r="AR1235" s="79">
        <f>IF(AN1235="","",IF(OR(AO1235&lt;&gt;"OK", AP1235&lt;&gt;"OK", AQ1235&lt;&gt;"OK"), "⚠️ REVISAR", "OK"))</f>
        <v/>
      </c>
    </row>
    <row r="1236">
      <c r="A1236" s="79">
        <f>IF('Ordenes_Odoo'!A1236="","",'Ordenes_Odoo'!A1236)</f>
        <v/>
      </c>
      <c r="B1236" s="80">
        <f>IF('Ordenes_Odoo'!B1236="","",'Ordenes_Odoo'!B1236)</f>
        <v/>
      </c>
      <c r="C1236" s="79">
        <f>IF('Ordenes_Odoo'!C1236="","",'Ordenes_Odoo'!C1236)</f>
        <v/>
      </c>
      <c r="D1236" s="79">
        <f>IF('Ordenes_Odoo'!D1236="","",'Ordenes_Odoo'!D1236)</f>
        <v/>
      </c>
      <c r="E1236" s="79">
        <f>IF('Ordenes_Odoo'!E1236="","",'Ordenes_Odoo'!E1236)</f>
        <v/>
      </c>
      <c r="F1236" s="79">
        <f>IF('Ordenes_Odoo'!F1236="","",'Ordenes_Odoo'!F1236)</f>
        <v/>
      </c>
      <c r="G1236" s="79">
        <f>IF('Ordenes_Odoo'!G1236="","",'Ordenes_Odoo'!G1236)</f>
        <v/>
      </c>
      <c r="H1236" s="79">
        <f>IF('Ordenes_Odoo'!H1236="","",'Ordenes_Odoo'!H1236)</f>
        <v/>
      </c>
      <c r="I1236" s="79">
        <f>IF('Ordenes_Odoo'!I1236="","",'Ordenes_Odoo'!I1236)</f>
        <v/>
      </c>
      <c r="J1236" s="79">
        <f>IF('Ordenes_Odoo'!J1236="","",'Ordenes_Odoo'!J1236)</f>
        <v/>
      </c>
      <c r="K1236" s="81">
        <f>IF('Ordenes_Odoo'!K1236="","",'Ordenes_Odoo'!K1236)</f>
        <v/>
      </c>
      <c r="L1236" s="81">
        <f>IF('Ordenes_Odoo'!L1236="","",'Ordenes_Odoo'!L1236)</f>
        <v/>
      </c>
      <c r="M1236" s="79">
        <f>IF('Ordenes_Odoo'!M1236="","",'Ordenes_Odoo'!M1236)</f>
        <v/>
      </c>
      <c r="N1236" s="79">
        <f>IF('Ordenes_Odoo'!N1236="","",'Ordenes_Odoo'!N1236)</f>
        <v/>
      </c>
      <c r="O1236" s="81">
        <f>IF('Ordenes_Odoo'!O1236="","",'Ordenes_Odoo'!O1236)</f>
        <v/>
      </c>
      <c r="P1236" s="81">
        <f>IF('Ordenes_Odoo'!P1236="","",'Ordenes_Odoo'!P1236)</f>
        <v/>
      </c>
      <c r="Q1236" s="79">
        <f>IF(A1236="","",IFERROR(INDEX(Facturas_Odoo!$B:$B, MATCH(A1236, Facturas_Odoo!$D:$D, 0)), "Sin Factura"))</f>
        <v/>
      </c>
      <c r="R1236" s="80">
        <f>IF(Q1236="Sin Factura","",IFERROR(INDEX(Facturas_Odoo!$A:$A, MATCH(Q1236, Facturas_Odoo!$B:$B, 0)), ""))</f>
        <v/>
      </c>
      <c r="S1236" s="79">
        <f>IF(Q1236="Sin Factura","",IFERROR(_xlfn.XLOOKUP(1, (Facturas_Odoo!$D:$D=A1236) * (Facturas_Odoo!$K:$K=I1236), Facturas_Odoo!$L:$L, ""), ""))</f>
        <v/>
      </c>
      <c r="T1236" s="81">
        <f>IF(Q1236="Sin Factura",0,IFERROR(_xlfn.XLOOKUP(1, (Facturas_Odoo!$D:$D=A1236) * (Facturas_Odoo!$K:$K=I1236), Facturas_Odoo!$M:$M, 0), 0))</f>
        <v/>
      </c>
      <c r="U1236" s="79">
        <f>IF(Q1236="Sin Factura",0,IFERROR(_xlfn.XLOOKUP(1, (Facturas_Odoo!$D:$D=A1236) * (Facturas_Odoo!$K:$K=I1236), Facturas_Odoo!$N:$N, 0), 0))</f>
        <v/>
      </c>
      <c r="V1236" s="79">
        <f>IF(Q1236="Sin Factura",0,IFERROR(_xlfn.XLOOKUP(1, (Facturas_Odoo!$D:$D=A1236) * (Facturas_Odoo!$K:$K=I1236), Facturas_Odoo!$O:$O, 0), 0))</f>
        <v/>
      </c>
      <c r="W1236" s="81">
        <f>IF(Q1236="Sin Factura",0,IFERROR(_xlfn.XLOOKUP(1, (Facturas_Odoo!$D:$D=A1236) * (Facturas_Odoo!$K:$K=I1236), Facturas_Odoo!$Q:$Q, 0), 0))</f>
        <v/>
      </c>
      <c r="X1236" s="79">
        <f>IF(OR(Q1236="Sin Factura",Q1236=""),"",IFERROR(INDEX(Pagos_Odoo!$B:$B, MATCH(Q1236, Pagos_Odoo!$I:$I, 0)), "Sin Pago"))</f>
        <v/>
      </c>
      <c r="Y1236" s="79">
        <f>IF(X1236="Sin Pago","",IFERROR(INDEX(Pagos_Odoo!$C:$C, MATCH(X1236, Pagos_Odoo!$B:$B, 0)), ""))</f>
        <v/>
      </c>
      <c r="Z1236" s="80">
        <f>IF(X1236="Sin Pago","",IFERROR(INDEX(Pagos_Odoo!$A:$A, MATCH(X1236, Pagos_Odoo!$B:$B, 0)), ""))</f>
        <v/>
      </c>
      <c r="AA1236" s="79">
        <f>IF(X1236="Sin Pago","",IFERROR(INDEX(Pagos_Odoo!$F:$F, MATCH(X1236, Pagos_Odoo!$B:$B, 0)), ""))</f>
        <v/>
      </c>
      <c r="AB1236" s="81">
        <f>IF(X1236="Sin Pago",0,IFERROR(INDEX(Pagos_Odoo!$E:$E, MATCH(X1236, Pagos_Odoo!$B:$B, 0)), 0))</f>
        <v/>
      </c>
      <c r="AC1236" s="79">
        <f>IF(X1236="Sin Pago","",IFERROR(INDEX(Pagos_Odoo!$G:$G, MATCH(X1236, Pagos_Odoo!$B:$B, 0)), ""))</f>
        <v/>
      </c>
      <c r="AD1236" s="82" t="n">
        <v>0</v>
      </c>
      <c r="AE1236" s="82" t="n"/>
      <c r="AF1236" s="82" t="n"/>
      <c r="AG1236" s="82">
        <f>IF(AN1236="","",AD1236+AE1236+AF1236)</f>
        <v/>
      </c>
      <c r="AH1236" s="81">
        <f>IF(AN1236="","",P1236*(1-AG1236))</f>
        <v/>
      </c>
      <c r="AI1236" s="81">
        <f>IF(AN1236="","",IF(Q1236="Sin Factura",0,IFERROR(INDEX(Facturas_Odoo!$H:$H, MATCH(Q1236, Facturas_Odoo!$B:$B, 0)), 0)*(1-AG1236)))</f>
        <v/>
      </c>
      <c r="AJ1236" s="81">
        <f>IF(AN1236="","",_xlfn.LET(idVenta, AN1236&amp;"",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36" s="81">
        <f>IF(AN1236="","",AH1236-AJ1236)</f>
        <v/>
      </c>
      <c r="AL1236" s="81">
        <f>IF(AN1236="","",IF(Q1236="Sin Factura","",AI1236-AJ1236))</f>
        <v/>
      </c>
      <c r="AM1236" s="81">
        <f>IF(AN1236="","",IF(Q1236="Sin Factura",0,P1236-IFERROR(INDEX(Facturas_Odoo!$H:$H, MATCH(Q1236, Facturas_Odoo!$B:$B, 0)), 0)))</f>
        <v/>
      </c>
      <c r="AN1236" s="79">
        <f>IF(AND(A1236="", J1236=""), "", IF(A1236&lt;&gt;"", VALUE(MID(A1236,2,LEN(A1236))), AN1235))</f>
        <v/>
      </c>
      <c r="AO1236" s="79">
        <f>IF(AN1236="","",IF(AD1236=0,"OK",_xlfn.LET(monedaPago, IF(AA1236="","USD",AA1236), limitePermitido, IFERROR(VLOOKUP(monedaPago, Configuración!$A$2:$B$3, 2, FALSE), 0.15), IF(AD1236&gt;limitePermitido, "ALERTA: EXCESO (" &amp; TEXT(limitePermitido, "0%") &amp; " máx)", "OK"))))</f>
        <v/>
      </c>
      <c r="AP1236" s="79">
        <f>IF(AN1236="","",IF(AE1236=0,"OK",_xlfn.LET(fechaPago, Z1236, fechaFactura, R1236, diasCredito, IF(E1236="Pago inmediato", 0, IFERROR(VALUE(MID(E1236, 1, SEARCH(" ", E1236)-1)),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36" s="79">
        <f>IF(AN1236="","",IF(AND(N1236&gt;0, AG1236&gt;0), IF(Configuración!$K$2="NO", "ALERTA: DESCUENTO DOBLE NO PERMITIDO", "OK"), "OK"))</f>
        <v/>
      </c>
      <c r="AR1236" s="79">
        <f>IF(AN1236="","",IF(OR(AO1236&lt;&gt;"OK", AP1236&lt;&gt;"OK", AQ1236&lt;&gt;"OK"), "⚠️ REVISAR", "OK"))</f>
        <v/>
      </c>
    </row>
    <row r="1237">
      <c r="A1237" s="79">
        <f>IF('Ordenes_Odoo'!A1237="","",'Ordenes_Odoo'!A1237)</f>
        <v/>
      </c>
      <c r="B1237" s="80">
        <f>IF('Ordenes_Odoo'!B1237="","",'Ordenes_Odoo'!B1237)</f>
        <v/>
      </c>
      <c r="C1237" s="79">
        <f>IF('Ordenes_Odoo'!C1237="","",'Ordenes_Odoo'!C1237)</f>
        <v/>
      </c>
      <c r="D1237" s="79">
        <f>IF('Ordenes_Odoo'!D1237="","",'Ordenes_Odoo'!D1237)</f>
        <v/>
      </c>
      <c r="E1237" s="79">
        <f>IF('Ordenes_Odoo'!E1237="","",'Ordenes_Odoo'!E1237)</f>
        <v/>
      </c>
      <c r="F1237" s="79">
        <f>IF('Ordenes_Odoo'!F1237="","",'Ordenes_Odoo'!F1237)</f>
        <v/>
      </c>
      <c r="G1237" s="79">
        <f>IF('Ordenes_Odoo'!G1237="","",'Ordenes_Odoo'!G1237)</f>
        <v/>
      </c>
      <c r="H1237" s="79">
        <f>IF('Ordenes_Odoo'!H1237="","",'Ordenes_Odoo'!H1237)</f>
        <v/>
      </c>
      <c r="I1237" s="79">
        <f>IF('Ordenes_Odoo'!I1237="","",'Ordenes_Odoo'!I1237)</f>
        <v/>
      </c>
      <c r="J1237" s="79">
        <f>IF('Ordenes_Odoo'!J1237="","",'Ordenes_Odoo'!J1237)</f>
        <v/>
      </c>
      <c r="K1237" s="81">
        <f>IF('Ordenes_Odoo'!K1237="","",'Ordenes_Odoo'!K1237)</f>
        <v/>
      </c>
      <c r="L1237" s="81">
        <f>IF('Ordenes_Odoo'!L1237="","",'Ordenes_Odoo'!L1237)</f>
        <v/>
      </c>
      <c r="M1237" s="79">
        <f>IF('Ordenes_Odoo'!M1237="","",'Ordenes_Odoo'!M1237)</f>
        <v/>
      </c>
      <c r="N1237" s="79">
        <f>IF('Ordenes_Odoo'!N1237="","",'Ordenes_Odoo'!N1237)</f>
        <v/>
      </c>
      <c r="O1237" s="81">
        <f>IF('Ordenes_Odoo'!O1237="","",'Ordenes_Odoo'!O1237)</f>
        <v/>
      </c>
      <c r="P1237" s="81">
        <f>IF('Ordenes_Odoo'!P1237="","",'Ordenes_Odoo'!P1237)</f>
        <v/>
      </c>
      <c r="Q1237" s="79">
        <f>IF(A1237="","",IFERROR(INDEX(Facturas_Odoo!$B:$B, MATCH(A1237, Facturas_Odoo!$D:$D, 0)), "Sin Factura"))</f>
        <v/>
      </c>
      <c r="R1237" s="80">
        <f>IF(Q1237="Sin Factura","",IFERROR(INDEX(Facturas_Odoo!$A:$A, MATCH(Q1237, Facturas_Odoo!$B:$B, 0)), ""))</f>
        <v/>
      </c>
      <c r="S1237" s="79">
        <f>IF(Q1237="Sin Factura","",IFERROR(_xlfn.XLOOKUP(1, (Facturas_Odoo!$D:$D=A1237) * (Facturas_Odoo!$K:$K=I1237), Facturas_Odoo!$L:$L, ""), ""))</f>
        <v/>
      </c>
      <c r="T1237" s="81">
        <f>IF(Q1237="Sin Factura",0,IFERROR(_xlfn.XLOOKUP(1, (Facturas_Odoo!$D:$D=A1237) * (Facturas_Odoo!$K:$K=I1237), Facturas_Odoo!$M:$M, 0), 0))</f>
        <v/>
      </c>
      <c r="U1237" s="79">
        <f>IF(Q1237="Sin Factura",0,IFERROR(_xlfn.XLOOKUP(1, (Facturas_Odoo!$D:$D=A1237) * (Facturas_Odoo!$K:$K=I1237), Facturas_Odoo!$N:$N, 0), 0))</f>
        <v/>
      </c>
      <c r="V1237" s="79">
        <f>IF(Q1237="Sin Factura",0,IFERROR(_xlfn.XLOOKUP(1, (Facturas_Odoo!$D:$D=A1237) * (Facturas_Odoo!$K:$K=I1237), Facturas_Odoo!$O:$O, 0), 0))</f>
        <v/>
      </c>
      <c r="W1237" s="81">
        <f>IF(Q1237="Sin Factura",0,IFERROR(_xlfn.XLOOKUP(1, (Facturas_Odoo!$D:$D=A1237) * (Facturas_Odoo!$K:$K=I1237), Facturas_Odoo!$Q:$Q, 0), 0))</f>
        <v/>
      </c>
      <c r="X1237" s="79">
        <f>IF(OR(Q1237="Sin Factura",Q1237=""),"",IFERROR(INDEX(Pagos_Odoo!$B:$B, MATCH(Q1237, Pagos_Odoo!$I:$I, 0)), "Sin Pago"))</f>
        <v/>
      </c>
      <c r="Y1237" s="79">
        <f>IF(X1237="Sin Pago","",IFERROR(INDEX(Pagos_Odoo!$C:$C, MATCH(X1237, Pagos_Odoo!$B:$B, 0)), ""))</f>
        <v/>
      </c>
      <c r="Z1237" s="80">
        <f>IF(X1237="Sin Pago","",IFERROR(INDEX(Pagos_Odoo!$A:$A, MATCH(X1237, Pagos_Odoo!$B:$B, 0)), ""))</f>
        <v/>
      </c>
      <c r="AA1237" s="79">
        <f>IF(X1237="Sin Pago","",IFERROR(INDEX(Pagos_Odoo!$F:$F, MATCH(X1237, Pagos_Odoo!$B:$B, 0)), ""))</f>
        <v/>
      </c>
      <c r="AB1237" s="81">
        <f>IF(X1237="Sin Pago",0,IFERROR(INDEX(Pagos_Odoo!$E:$E, MATCH(X1237, Pagos_Odoo!$B:$B, 0)), 0))</f>
        <v/>
      </c>
      <c r="AC1237" s="79">
        <f>IF(X1237="Sin Pago","",IFERROR(INDEX(Pagos_Odoo!$G:$G, MATCH(X1237, Pagos_Odoo!$B:$B, 0)), ""))</f>
        <v/>
      </c>
      <c r="AD1237" s="82" t="n">
        <v>0</v>
      </c>
      <c r="AE1237" s="82" t="n"/>
      <c r="AF1237" s="82" t="n"/>
      <c r="AG1237" s="82">
        <f>IF(AN1237="","",AD1237+AE1237+AF1237)</f>
        <v/>
      </c>
      <c r="AH1237" s="81">
        <f>IF(AN1237="","",P1237*(1-AG1237))</f>
        <v/>
      </c>
      <c r="AI1237" s="81">
        <f>IF(AN1237="","",IF(Q1237="Sin Factura",0,IFERROR(INDEX(Facturas_Odoo!$H:$H, MATCH(Q1237, Facturas_Odoo!$B:$B, 0)), 0)*(1-AG1237)))</f>
        <v/>
      </c>
      <c r="AJ1237" s="81">
        <f>IF(AN1237="","",_xlfn.LET(idVenta, AN1237&amp;"",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37" s="81">
        <f>IF(AN1237="","",AH1237-AJ1237)</f>
        <v/>
      </c>
      <c r="AL1237" s="81">
        <f>IF(AN1237="","",IF(Q1237="Sin Factura","",AI1237-AJ1237))</f>
        <v/>
      </c>
      <c r="AM1237" s="81">
        <f>IF(AN1237="","",IF(Q1237="Sin Factura",0,P1237-IFERROR(INDEX(Facturas_Odoo!$H:$H, MATCH(Q1237, Facturas_Odoo!$B:$B, 0)), 0)))</f>
        <v/>
      </c>
      <c r="AN1237" s="79">
        <f>IF(AND(A1237="", J1237=""), "", IF(A1237&lt;&gt;"", VALUE(MID(A1237,2,LEN(A1237))), AN1236))</f>
        <v/>
      </c>
      <c r="AO1237" s="79">
        <f>IF(AN1237="","",IF(AD1237=0,"OK",_xlfn.LET(monedaPago, IF(AA1237="","USD",AA1237), limitePermitido, IFERROR(VLOOKUP(monedaPago, Configuración!$A$2:$B$3, 2, FALSE), 0.15), IF(AD1237&gt;limitePermitido, "ALERTA: EXCESO (" &amp; TEXT(limitePermitido, "0%") &amp; " máx)", "OK"))))</f>
        <v/>
      </c>
      <c r="AP1237" s="79">
        <f>IF(AN1237="","",IF(AE1237=0,"OK",_xlfn.LET(fechaPago, Z1237, fechaFactura, R1237, diasCredito, IF(E1237="Pago inmediato", 0, IFERROR(VALUE(MID(E1237, 1, SEARCH(" ", E1237)-1)),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37" s="79">
        <f>IF(AN1237="","",IF(AND(N1237&gt;0, AG1237&gt;0), IF(Configuración!$K$2="NO", "ALERTA: DESCUENTO DOBLE NO PERMITIDO", "OK"), "OK"))</f>
        <v/>
      </c>
      <c r="AR1237" s="79">
        <f>IF(AN1237="","",IF(OR(AO1237&lt;&gt;"OK", AP1237&lt;&gt;"OK", AQ1237&lt;&gt;"OK"), "⚠️ REVISAR", "OK"))</f>
        <v/>
      </c>
    </row>
    <row r="1238">
      <c r="A1238" s="79">
        <f>IF('Ordenes_Odoo'!A1238="","",'Ordenes_Odoo'!A1238)</f>
        <v/>
      </c>
      <c r="B1238" s="80">
        <f>IF('Ordenes_Odoo'!B1238="","",'Ordenes_Odoo'!B1238)</f>
        <v/>
      </c>
      <c r="C1238" s="79">
        <f>IF('Ordenes_Odoo'!C1238="","",'Ordenes_Odoo'!C1238)</f>
        <v/>
      </c>
      <c r="D1238" s="79">
        <f>IF('Ordenes_Odoo'!D1238="","",'Ordenes_Odoo'!D1238)</f>
        <v/>
      </c>
      <c r="E1238" s="79">
        <f>IF('Ordenes_Odoo'!E1238="","",'Ordenes_Odoo'!E1238)</f>
        <v/>
      </c>
      <c r="F1238" s="79">
        <f>IF('Ordenes_Odoo'!F1238="","",'Ordenes_Odoo'!F1238)</f>
        <v/>
      </c>
      <c r="G1238" s="79">
        <f>IF('Ordenes_Odoo'!G1238="","",'Ordenes_Odoo'!G1238)</f>
        <v/>
      </c>
      <c r="H1238" s="79">
        <f>IF('Ordenes_Odoo'!H1238="","",'Ordenes_Odoo'!H1238)</f>
        <v/>
      </c>
      <c r="I1238" s="79">
        <f>IF('Ordenes_Odoo'!I1238="","",'Ordenes_Odoo'!I1238)</f>
        <v/>
      </c>
      <c r="J1238" s="79">
        <f>IF('Ordenes_Odoo'!J1238="","",'Ordenes_Odoo'!J1238)</f>
        <v/>
      </c>
      <c r="K1238" s="81">
        <f>IF('Ordenes_Odoo'!K1238="","",'Ordenes_Odoo'!K1238)</f>
        <v/>
      </c>
      <c r="L1238" s="81">
        <f>IF('Ordenes_Odoo'!L1238="","",'Ordenes_Odoo'!L1238)</f>
        <v/>
      </c>
      <c r="M1238" s="79">
        <f>IF('Ordenes_Odoo'!M1238="","",'Ordenes_Odoo'!M1238)</f>
        <v/>
      </c>
      <c r="N1238" s="79">
        <f>IF('Ordenes_Odoo'!N1238="","",'Ordenes_Odoo'!N1238)</f>
        <v/>
      </c>
      <c r="O1238" s="81">
        <f>IF('Ordenes_Odoo'!O1238="","",'Ordenes_Odoo'!O1238)</f>
        <v/>
      </c>
      <c r="P1238" s="81">
        <f>IF('Ordenes_Odoo'!P1238="","",'Ordenes_Odoo'!P1238)</f>
        <v/>
      </c>
      <c r="Q1238" s="79">
        <f>IF(A1238="","",IFERROR(INDEX(Facturas_Odoo!$B:$B, MATCH(A1238, Facturas_Odoo!$D:$D, 0)), "Sin Factura"))</f>
        <v/>
      </c>
      <c r="R1238" s="80">
        <f>IF(Q1238="Sin Factura","",IFERROR(INDEX(Facturas_Odoo!$A:$A, MATCH(Q1238, Facturas_Odoo!$B:$B, 0)), ""))</f>
        <v/>
      </c>
      <c r="S1238" s="79">
        <f>IF(Q1238="Sin Factura","",IFERROR(_xlfn.XLOOKUP(1, (Facturas_Odoo!$D:$D=A1238) * (Facturas_Odoo!$K:$K=I1238), Facturas_Odoo!$L:$L, ""), ""))</f>
        <v/>
      </c>
      <c r="T1238" s="81">
        <f>IF(Q1238="Sin Factura",0,IFERROR(_xlfn.XLOOKUP(1, (Facturas_Odoo!$D:$D=A1238) * (Facturas_Odoo!$K:$K=I1238), Facturas_Odoo!$M:$M, 0), 0))</f>
        <v/>
      </c>
      <c r="U1238" s="79">
        <f>IF(Q1238="Sin Factura",0,IFERROR(_xlfn.XLOOKUP(1, (Facturas_Odoo!$D:$D=A1238) * (Facturas_Odoo!$K:$K=I1238), Facturas_Odoo!$N:$N, 0), 0))</f>
        <v/>
      </c>
      <c r="V1238" s="79">
        <f>IF(Q1238="Sin Factura",0,IFERROR(_xlfn.XLOOKUP(1, (Facturas_Odoo!$D:$D=A1238) * (Facturas_Odoo!$K:$K=I1238), Facturas_Odoo!$O:$O, 0), 0))</f>
        <v/>
      </c>
      <c r="W1238" s="81">
        <f>IF(Q1238="Sin Factura",0,IFERROR(_xlfn.XLOOKUP(1, (Facturas_Odoo!$D:$D=A1238) * (Facturas_Odoo!$K:$K=I1238), Facturas_Odoo!$Q:$Q, 0), 0))</f>
        <v/>
      </c>
      <c r="X1238" s="79">
        <f>IF(OR(Q1238="Sin Factura",Q1238=""),"",IFERROR(INDEX(Pagos_Odoo!$B:$B, MATCH(Q1238, Pagos_Odoo!$I:$I, 0)), "Sin Pago"))</f>
        <v/>
      </c>
      <c r="Y1238" s="79">
        <f>IF(X1238="Sin Pago","",IFERROR(INDEX(Pagos_Odoo!$C:$C, MATCH(X1238, Pagos_Odoo!$B:$B, 0)), ""))</f>
        <v/>
      </c>
      <c r="Z1238" s="80">
        <f>IF(X1238="Sin Pago","",IFERROR(INDEX(Pagos_Odoo!$A:$A, MATCH(X1238, Pagos_Odoo!$B:$B, 0)), ""))</f>
        <v/>
      </c>
      <c r="AA1238" s="79">
        <f>IF(X1238="Sin Pago","",IFERROR(INDEX(Pagos_Odoo!$F:$F, MATCH(X1238, Pagos_Odoo!$B:$B, 0)), ""))</f>
        <v/>
      </c>
      <c r="AB1238" s="81">
        <f>IF(X1238="Sin Pago",0,IFERROR(INDEX(Pagos_Odoo!$E:$E, MATCH(X1238, Pagos_Odoo!$B:$B, 0)), 0))</f>
        <v/>
      </c>
      <c r="AC1238" s="79">
        <f>IF(X1238="Sin Pago","",IFERROR(INDEX(Pagos_Odoo!$G:$G, MATCH(X1238, Pagos_Odoo!$B:$B, 0)), ""))</f>
        <v/>
      </c>
      <c r="AD1238" s="82" t="n">
        <v>0</v>
      </c>
      <c r="AE1238" s="82" t="n"/>
      <c r="AF1238" s="82" t="n"/>
      <c r="AG1238" s="82">
        <f>IF(AN1238="","",AD1238+AE1238+AF1238)</f>
        <v/>
      </c>
      <c r="AH1238" s="81">
        <f>IF(AN1238="","",P1238*(1-AG1238))</f>
        <v/>
      </c>
      <c r="AI1238" s="81">
        <f>IF(AN1238="","",IF(Q1238="Sin Factura",0,IFERROR(INDEX(Facturas_Odoo!$H:$H, MATCH(Q1238, Facturas_Odoo!$B:$B, 0)), 0)*(1-AG1238)))</f>
        <v/>
      </c>
      <c r="AJ1238" s="81">
        <f>IF(AN1238="","",_xlfn.LET(idVenta, AN1238&amp;"",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38" s="81">
        <f>IF(AN1238="","",AH1238-AJ1238)</f>
        <v/>
      </c>
      <c r="AL1238" s="81">
        <f>IF(AN1238="","",IF(Q1238="Sin Factura","",AI1238-AJ1238))</f>
        <v/>
      </c>
      <c r="AM1238" s="81">
        <f>IF(AN1238="","",IF(Q1238="Sin Factura",0,P1238-IFERROR(INDEX(Facturas_Odoo!$H:$H, MATCH(Q1238, Facturas_Odoo!$B:$B, 0)), 0)))</f>
        <v/>
      </c>
      <c r="AN1238" s="79">
        <f>IF(AND(A1238="", J1238=""), "", IF(A1238&lt;&gt;"", VALUE(MID(A1238,2,LEN(A1238))), AN1237))</f>
        <v/>
      </c>
      <c r="AO1238" s="79">
        <f>IF(AN1238="","",IF(AD1238=0,"OK",_xlfn.LET(monedaPago, IF(AA1238="","USD",AA1238), limitePermitido, IFERROR(VLOOKUP(monedaPago, Configuración!$A$2:$B$3, 2, FALSE), 0.15), IF(AD1238&gt;limitePermitido, "ALERTA: EXCESO (" &amp; TEXT(limitePermitido, "0%") &amp; " máx)", "OK"))))</f>
        <v/>
      </c>
      <c r="AP1238" s="79">
        <f>IF(AN1238="","",IF(AE1238=0,"OK",_xlfn.LET(fechaPago, Z1238, fechaFactura, R1238, diasCredito, IF(E1238="Pago inmediato", 0, IFERROR(VALUE(MID(E1238, 1, SEARCH(" ", E1238)-1)),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38" s="79">
        <f>IF(AN1238="","",IF(AND(N1238&gt;0, AG1238&gt;0), IF(Configuración!$K$2="NO", "ALERTA: DESCUENTO DOBLE NO PERMITIDO", "OK"), "OK"))</f>
        <v/>
      </c>
      <c r="AR1238" s="79">
        <f>IF(AN1238="","",IF(OR(AO1238&lt;&gt;"OK", AP1238&lt;&gt;"OK", AQ1238&lt;&gt;"OK"), "⚠️ REVISAR", "OK"))</f>
        <v/>
      </c>
    </row>
    <row r="1239">
      <c r="A1239" s="79">
        <f>IF('Ordenes_Odoo'!A1239="","",'Ordenes_Odoo'!A1239)</f>
        <v/>
      </c>
      <c r="B1239" s="80">
        <f>IF('Ordenes_Odoo'!B1239="","",'Ordenes_Odoo'!B1239)</f>
        <v/>
      </c>
      <c r="C1239" s="79">
        <f>IF('Ordenes_Odoo'!C1239="","",'Ordenes_Odoo'!C1239)</f>
        <v/>
      </c>
      <c r="D1239" s="79">
        <f>IF('Ordenes_Odoo'!D1239="","",'Ordenes_Odoo'!D1239)</f>
        <v/>
      </c>
      <c r="E1239" s="79">
        <f>IF('Ordenes_Odoo'!E1239="","",'Ordenes_Odoo'!E1239)</f>
        <v/>
      </c>
      <c r="F1239" s="79">
        <f>IF('Ordenes_Odoo'!F1239="","",'Ordenes_Odoo'!F1239)</f>
        <v/>
      </c>
      <c r="G1239" s="79">
        <f>IF('Ordenes_Odoo'!G1239="","",'Ordenes_Odoo'!G1239)</f>
        <v/>
      </c>
      <c r="H1239" s="79">
        <f>IF('Ordenes_Odoo'!H1239="","",'Ordenes_Odoo'!H1239)</f>
        <v/>
      </c>
      <c r="I1239" s="79">
        <f>IF('Ordenes_Odoo'!I1239="","",'Ordenes_Odoo'!I1239)</f>
        <v/>
      </c>
      <c r="J1239" s="79">
        <f>IF('Ordenes_Odoo'!J1239="","",'Ordenes_Odoo'!J1239)</f>
        <v/>
      </c>
      <c r="K1239" s="81">
        <f>IF('Ordenes_Odoo'!K1239="","",'Ordenes_Odoo'!K1239)</f>
        <v/>
      </c>
      <c r="L1239" s="81">
        <f>IF('Ordenes_Odoo'!L1239="","",'Ordenes_Odoo'!L1239)</f>
        <v/>
      </c>
      <c r="M1239" s="79">
        <f>IF('Ordenes_Odoo'!M1239="","",'Ordenes_Odoo'!M1239)</f>
        <v/>
      </c>
      <c r="N1239" s="79">
        <f>IF('Ordenes_Odoo'!N1239="","",'Ordenes_Odoo'!N1239)</f>
        <v/>
      </c>
      <c r="O1239" s="81">
        <f>IF('Ordenes_Odoo'!O1239="","",'Ordenes_Odoo'!O1239)</f>
        <v/>
      </c>
      <c r="P1239" s="81">
        <f>IF('Ordenes_Odoo'!P1239="","",'Ordenes_Odoo'!P1239)</f>
        <v/>
      </c>
      <c r="Q1239" s="79">
        <f>IF(A1239="","",IFERROR(INDEX(Facturas_Odoo!$B:$B, MATCH(A1239, Facturas_Odoo!$D:$D, 0)), "Sin Factura"))</f>
        <v/>
      </c>
      <c r="R1239" s="80">
        <f>IF(Q1239="Sin Factura","",IFERROR(INDEX(Facturas_Odoo!$A:$A, MATCH(Q1239, Facturas_Odoo!$B:$B, 0)), ""))</f>
        <v/>
      </c>
      <c r="S1239" s="79">
        <f>IF(Q1239="Sin Factura","",IFERROR(_xlfn.XLOOKUP(1, (Facturas_Odoo!$D:$D=A1239) * (Facturas_Odoo!$K:$K=I1239), Facturas_Odoo!$L:$L, ""), ""))</f>
        <v/>
      </c>
      <c r="T1239" s="81">
        <f>IF(Q1239="Sin Factura",0,IFERROR(_xlfn.XLOOKUP(1, (Facturas_Odoo!$D:$D=A1239) * (Facturas_Odoo!$K:$K=I1239), Facturas_Odoo!$M:$M, 0), 0))</f>
        <v/>
      </c>
      <c r="U1239" s="79">
        <f>IF(Q1239="Sin Factura",0,IFERROR(_xlfn.XLOOKUP(1, (Facturas_Odoo!$D:$D=A1239) * (Facturas_Odoo!$K:$K=I1239), Facturas_Odoo!$N:$N, 0), 0))</f>
        <v/>
      </c>
      <c r="V1239" s="79">
        <f>IF(Q1239="Sin Factura",0,IFERROR(_xlfn.XLOOKUP(1, (Facturas_Odoo!$D:$D=A1239) * (Facturas_Odoo!$K:$K=I1239), Facturas_Odoo!$O:$O, 0), 0))</f>
        <v/>
      </c>
      <c r="W1239" s="81">
        <f>IF(Q1239="Sin Factura",0,IFERROR(_xlfn.XLOOKUP(1, (Facturas_Odoo!$D:$D=A1239) * (Facturas_Odoo!$K:$K=I1239), Facturas_Odoo!$Q:$Q, 0), 0))</f>
        <v/>
      </c>
      <c r="X1239" s="79">
        <f>IF(OR(Q1239="Sin Factura",Q1239=""),"",IFERROR(INDEX(Pagos_Odoo!$B:$B, MATCH(Q1239, Pagos_Odoo!$I:$I, 0)), "Sin Pago"))</f>
        <v/>
      </c>
      <c r="Y1239" s="79">
        <f>IF(X1239="Sin Pago","",IFERROR(INDEX(Pagos_Odoo!$C:$C, MATCH(X1239, Pagos_Odoo!$B:$B, 0)), ""))</f>
        <v/>
      </c>
      <c r="Z1239" s="80">
        <f>IF(X1239="Sin Pago","",IFERROR(INDEX(Pagos_Odoo!$A:$A, MATCH(X1239, Pagos_Odoo!$B:$B, 0)), ""))</f>
        <v/>
      </c>
      <c r="AA1239" s="79">
        <f>IF(X1239="Sin Pago","",IFERROR(INDEX(Pagos_Odoo!$F:$F, MATCH(X1239, Pagos_Odoo!$B:$B, 0)), ""))</f>
        <v/>
      </c>
      <c r="AB1239" s="81">
        <f>IF(X1239="Sin Pago",0,IFERROR(INDEX(Pagos_Odoo!$E:$E, MATCH(X1239, Pagos_Odoo!$B:$B, 0)), 0))</f>
        <v/>
      </c>
      <c r="AC1239" s="79">
        <f>IF(X1239="Sin Pago","",IFERROR(INDEX(Pagos_Odoo!$G:$G, MATCH(X1239, Pagos_Odoo!$B:$B, 0)), ""))</f>
        <v/>
      </c>
      <c r="AD1239" s="82" t="n">
        <v>0</v>
      </c>
      <c r="AE1239" s="82" t="n"/>
      <c r="AF1239" s="82" t="n"/>
      <c r="AG1239" s="82">
        <f>IF(AN1239="","",AD1239+AE1239+AF1239)</f>
        <v/>
      </c>
      <c r="AH1239" s="81">
        <f>IF(AN1239="","",P1239*(1-AG1239))</f>
        <v/>
      </c>
      <c r="AI1239" s="81">
        <f>IF(AN1239="","",IF(Q1239="Sin Factura",0,IFERROR(INDEX(Facturas_Odoo!$H:$H, MATCH(Q1239, Facturas_Odoo!$B:$B, 0)), 0)*(1-AG1239)))</f>
        <v/>
      </c>
      <c r="AJ1239" s="81">
        <f>IF(AN1239="","",_xlfn.LET(idVenta, AN1239&amp;"",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39" s="81">
        <f>IF(AN1239="","",AH1239-AJ1239)</f>
        <v/>
      </c>
      <c r="AL1239" s="81">
        <f>IF(AN1239="","",IF(Q1239="Sin Factura","",AI1239-AJ1239))</f>
        <v/>
      </c>
      <c r="AM1239" s="81">
        <f>IF(AN1239="","",IF(Q1239="Sin Factura",0,P1239-IFERROR(INDEX(Facturas_Odoo!$H:$H, MATCH(Q1239, Facturas_Odoo!$B:$B, 0)), 0)))</f>
        <v/>
      </c>
      <c r="AN1239" s="79">
        <f>IF(AND(A1239="", J1239=""), "", IF(A1239&lt;&gt;"", VALUE(MID(A1239,2,LEN(A1239))), AN1238))</f>
        <v/>
      </c>
      <c r="AO1239" s="79">
        <f>IF(AN1239="","",IF(AD1239=0,"OK",_xlfn.LET(monedaPago, IF(AA1239="","USD",AA1239), limitePermitido, IFERROR(VLOOKUP(monedaPago, Configuración!$A$2:$B$3, 2, FALSE), 0.15), IF(AD1239&gt;limitePermitido, "ALERTA: EXCESO (" &amp; TEXT(limitePermitido, "0%") &amp; " máx)", "OK"))))</f>
        <v/>
      </c>
      <c r="AP1239" s="79">
        <f>IF(AN1239="","",IF(AE1239=0,"OK",_xlfn.LET(fechaPago, Z1239, fechaFactura, R1239, diasCredito, IF(E1239="Pago inmediato", 0, IFERROR(VALUE(MID(E1239, 1, SEARCH(" ", E1239)-1)),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39" s="79">
        <f>IF(AN1239="","",IF(AND(N1239&gt;0, AG1239&gt;0), IF(Configuración!$K$2="NO", "ALERTA: DESCUENTO DOBLE NO PERMITIDO", "OK"), "OK"))</f>
        <v/>
      </c>
      <c r="AR1239" s="79">
        <f>IF(AN1239="","",IF(OR(AO1239&lt;&gt;"OK", AP1239&lt;&gt;"OK", AQ1239&lt;&gt;"OK"), "⚠️ REVISAR", "OK"))</f>
        <v/>
      </c>
    </row>
    <row r="1240">
      <c r="A1240" s="79">
        <f>IF('Ordenes_Odoo'!A1240="","",'Ordenes_Odoo'!A1240)</f>
        <v/>
      </c>
      <c r="B1240" s="80">
        <f>IF('Ordenes_Odoo'!B1240="","",'Ordenes_Odoo'!B1240)</f>
        <v/>
      </c>
      <c r="C1240" s="79">
        <f>IF('Ordenes_Odoo'!C1240="","",'Ordenes_Odoo'!C1240)</f>
        <v/>
      </c>
      <c r="D1240" s="79">
        <f>IF('Ordenes_Odoo'!D1240="","",'Ordenes_Odoo'!D1240)</f>
        <v/>
      </c>
      <c r="E1240" s="79">
        <f>IF('Ordenes_Odoo'!E1240="","",'Ordenes_Odoo'!E1240)</f>
        <v/>
      </c>
      <c r="F1240" s="79">
        <f>IF('Ordenes_Odoo'!F1240="","",'Ordenes_Odoo'!F1240)</f>
        <v/>
      </c>
      <c r="G1240" s="79">
        <f>IF('Ordenes_Odoo'!G1240="","",'Ordenes_Odoo'!G1240)</f>
        <v/>
      </c>
      <c r="H1240" s="79">
        <f>IF('Ordenes_Odoo'!H1240="","",'Ordenes_Odoo'!H1240)</f>
        <v/>
      </c>
      <c r="I1240" s="79">
        <f>IF('Ordenes_Odoo'!I1240="","",'Ordenes_Odoo'!I1240)</f>
        <v/>
      </c>
      <c r="J1240" s="79">
        <f>IF('Ordenes_Odoo'!J1240="","",'Ordenes_Odoo'!J1240)</f>
        <v/>
      </c>
      <c r="K1240" s="81">
        <f>IF('Ordenes_Odoo'!K1240="","",'Ordenes_Odoo'!K1240)</f>
        <v/>
      </c>
      <c r="L1240" s="81">
        <f>IF('Ordenes_Odoo'!L1240="","",'Ordenes_Odoo'!L1240)</f>
        <v/>
      </c>
      <c r="M1240" s="79">
        <f>IF('Ordenes_Odoo'!M1240="","",'Ordenes_Odoo'!M1240)</f>
        <v/>
      </c>
      <c r="N1240" s="79">
        <f>IF('Ordenes_Odoo'!N1240="","",'Ordenes_Odoo'!N1240)</f>
        <v/>
      </c>
      <c r="O1240" s="81">
        <f>IF('Ordenes_Odoo'!O1240="","",'Ordenes_Odoo'!O1240)</f>
        <v/>
      </c>
      <c r="P1240" s="81">
        <f>IF('Ordenes_Odoo'!P1240="","",'Ordenes_Odoo'!P1240)</f>
        <v/>
      </c>
      <c r="Q1240" s="79">
        <f>IF(A1240="","",IFERROR(INDEX(Facturas_Odoo!$B:$B, MATCH(A1240, Facturas_Odoo!$D:$D, 0)), "Sin Factura"))</f>
        <v/>
      </c>
      <c r="R1240" s="80">
        <f>IF(Q1240="Sin Factura","",IFERROR(INDEX(Facturas_Odoo!$A:$A, MATCH(Q1240, Facturas_Odoo!$B:$B, 0)), ""))</f>
        <v/>
      </c>
      <c r="S1240" s="79">
        <f>IF(Q1240="Sin Factura","",IFERROR(_xlfn.XLOOKUP(1, (Facturas_Odoo!$D:$D=A1240) * (Facturas_Odoo!$K:$K=I1240), Facturas_Odoo!$L:$L, ""), ""))</f>
        <v/>
      </c>
      <c r="T1240" s="81">
        <f>IF(Q1240="Sin Factura",0,IFERROR(_xlfn.XLOOKUP(1, (Facturas_Odoo!$D:$D=A1240) * (Facturas_Odoo!$K:$K=I1240), Facturas_Odoo!$M:$M, 0), 0))</f>
        <v/>
      </c>
      <c r="U1240" s="79">
        <f>IF(Q1240="Sin Factura",0,IFERROR(_xlfn.XLOOKUP(1, (Facturas_Odoo!$D:$D=A1240) * (Facturas_Odoo!$K:$K=I1240), Facturas_Odoo!$N:$N, 0), 0))</f>
        <v/>
      </c>
      <c r="V1240" s="79">
        <f>IF(Q1240="Sin Factura",0,IFERROR(_xlfn.XLOOKUP(1, (Facturas_Odoo!$D:$D=A1240) * (Facturas_Odoo!$K:$K=I1240), Facturas_Odoo!$O:$O, 0), 0))</f>
        <v/>
      </c>
      <c r="W1240" s="81">
        <f>IF(Q1240="Sin Factura",0,IFERROR(_xlfn.XLOOKUP(1, (Facturas_Odoo!$D:$D=A1240) * (Facturas_Odoo!$K:$K=I1240), Facturas_Odoo!$Q:$Q, 0), 0))</f>
        <v/>
      </c>
      <c r="X1240" s="79">
        <f>IF(OR(Q1240="Sin Factura",Q1240=""),"",IFERROR(INDEX(Pagos_Odoo!$B:$B, MATCH(Q1240, Pagos_Odoo!$I:$I, 0)), "Sin Pago"))</f>
        <v/>
      </c>
      <c r="Y1240" s="79">
        <f>IF(X1240="Sin Pago","",IFERROR(INDEX(Pagos_Odoo!$C:$C, MATCH(X1240, Pagos_Odoo!$B:$B, 0)), ""))</f>
        <v/>
      </c>
      <c r="Z1240" s="80">
        <f>IF(X1240="Sin Pago","",IFERROR(INDEX(Pagos_Odoo!$A:$A, MATCH(X1240, Pagos_Odoo!$B:$B, 0)), ""))</f>
        <v/>
      </c>
      <c r="AA1240" s="79">
        <f>IF(X1240="Sin Pago","",IFERROR(INDEX(Pagos_Odoo!$F:$F, MATCH(X1240, Pagos_Odoo!$B:$B, 0)), ""))</f>
        <v/>
      </c>
      <c r="AB1240" s="81">
        <f>IF(X1240="Sin Pago",0,IFERROR(INDEX(Pagos_Odoo!$E:$E, MATCH(X1240, Pagos_Odoo!$B:$B, 0)), 0))</f>
        <v/>
      </c>
      <c r="AC1240" s="79">
        <f>IF(X1240="Sin Pago","",IFERROR(INDEX(Pagos_Odoo!$G:$G, MATCH(X1240, Pagos_Odoo!$B:$B, 0)), ""))</f>
        <v/>
      </c>
      <c r="AD1240" s="82" t="n">
        <v>0</v>
      </c>
      <c r="AE1240" s="82" t="n"/>
      <c r="AF1240" s="82" t="n"/>
      <c r="AG1240" s="82">
        <f>IF(AN1240="","",AD1240+AE1240+AF1240)</f>
        <v/>
      </c>
      <c r="AH1240" s="81">
        <f>IF(AN1240="","",P1240*(1-AG1240))</f>
        <v/>
      </c>
      <c r="AI1240" s="81">
        <f>IF(AN1240="","",IF(Q1240="Sin Factura",0,IFERROR(INDEX(Facturas_Odoo!$H:$H, MATCH(Q1240, Facturas_Odoo!$B:$B, 0)), 0)*(1-AG1240)))</f>
        <v/>
      </c>
      <c r="AJ1240" s="81">
        <f>IF(AN1240="","",_xlfn.LET(idVenta, AN1240&amp;"",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40" s="81">
        <f>IF(AN1240="","",AH1240-AJ1240)</f>
        <v/>
      </c>
      <c r="AL1240" s="81">
        <f>IF(AN1240="","",IF(Q1240="Sin Factura","",AI1240-AJ1240))</f>
        <v/>
      </c>
      <c r="AM1240" s="81">
        <f>IF(AN1240="","",IF(Q1240="Sin Factura",0,P1240-IFERROR(INDEX(Facturas_Odoo!$H:$H, MATCH(Q1240, Facturas_Odoo!$B:$B, 0)), 0)))</f>
        <v/>
      </c>
      <c r="AN1240" s="79">
        <f>IF(AND(A1240="", J1240=""), "", IF(A1240&lt;&gt;"", VALUE(MID(A1240,2,LEN(A1240))), AN1239))</f>
        <v/>
      </c>
      <c r="AO1240" s="79">
        <f>IF(AN1240="","",IF(AD1240=0,"OK",_xlfn.LET(monedaPago, IF(AA1240="","USD",AA1240), limitePermitido, IFERROR(VLOOKUP(monedaPago, Configuración!$A$2:$B$3, 2, FALSE), 0.15), IF(AD1240&gt;limitePermitido, "ALERTA: EXCESO (" &amp; TEXT(limitePermitido, "0%") &amp; " máx)", "OK"))))</f>
        <v/>
      </c>
      <c r="AP1240" s="79">
        <f>IF(AN1240="","",IF(AE1240=0,"OK",_xlfn.LET(fechaPago, Z1240, fechaFactura, R1240, diasCredito, IF(E1240="Pago inmediato", 0, IFERROR(VALUE(MID(E1240, 1, SEARCH(" ", E1240)-1)),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40" s="79">
        <f>IF(AN1240="","",IF(AND(N1240&gt;0, AG1240&gt;0), IF(Configuración!$K$2="NO", "ALERTA: DESCUENTO DOBLE NO PERMITIDO", "OK"), "OK"))</f>
        <v/>
      </c>
      <c r="AR1240" s="79">
        <f>IF(AN1240="","",IF(OR(AO1240&lt;&gt;"OK", AP1240&lt;&gt;"OK", AQ1240&lt;&gt;"OK"), "⚠️ REVISAR", "OK"))</f>
        <v/>
      </c>
    </row>
    <row r="1241">
      <c r="A1241" s="79">
        <f>IF('Ordenes_Odoo'!A1241="","",'Ordenes_Odoo'!A1241)</f>
        <v/>
      </c>
      <c r="B1241" s="80">
        <f>IF('Ordenes_Odoo'!B1241="","",'Ordenes_Odoo'!B1241)</f>
        <v/>
      </c>
      <c r="C1241" s="79">
        <f>IF('Ordenes_Odoo'!C1241="","",'Ordenes_Odoo'!C1241)</f>
        <v/>
      </c>
      <c r="D1241" s="79">
        <f>IF('Ordenes_Odoo'!D1241="","",'Ordenes_Odoo'!D1241)</f>
        <v/>
      </c>
      <c r="E1241" s="79">
        <f>IF('Ordenes_Odoo'!E1241="","",'Ordenes_Odoo'!E1241)</f>
        <v/>
      </c>
      <c r="F1241" s="79">
        <f>IF('Ordenes_Odoo'!F1241="","",'Ordenes_Odoo'!F1241)</f>
        <v/>
      </c>
      <c r="G1241" s="79">
        <f>IF('Ordenes_Odoo'!G1241="","",'Ordenes_Odoo'!G1241)</f>
        <v/>
      </c>
      <c r="H1241" s="79">
        <f>IF('Ordenes_Odoo'!H1241="","",'Ordenes_Odoo'!H1241)</f>
        <v/>
      </c>
      <c r="I1241" s="79">
        <f>IF('Ordenes_Odoo'!I1241="","",'Ordenes_Odoo'!I1241)</f>
        <v/>
      </c>
      <c r="J1241" s="79">
        <f>IF('Ordenes_Odoo'!J1241="","",'Ordenes_Odoo'!J1241)</f>
        <v/>
      </c>
      <c r="K1241" s="81">
        <f>IF('Ordenes_Odoo'!K1241="","",'Ordenes_Odoo'!K1241)</f>
        <v/>
      </c>
      <c r="L1241" s="81">
        <f>IF('Ordenes_Odoo'!L1241="","",'Ordenes_Odoo'!L1241)</f>
        <v/>
      </c>
      <c r="M1241" s="79">
        <f>IF('Ordenes_Odoo'!M1241="","",'Ordenes_Odoo'!M1241)</f>
        <v/>
      </c>
      <c r="N1241" s="79">
        <f>IF('Ordenes_Odoo'!N1241="","",'Ordenes_Odoo'!N1241)</f>
        <v/>
      </c>
      <c r="O1241" s="81">
        <f>IF('Ordenes_Odoo'!O1241="","",'Ordenes_Odoo'!O1241)</f>
        <v/>
      </c>
      <c r="P1241" s="81">
        <f>IF('Ordenes_Odoo'!P1241="","",'Ordenes_Odoo'!P1241)</f>
        <v/>
      </c>
      <c r="Q1241" s="79">
        <f>IF(A1241="","",IFERROR(INDEX(Facturas_Odoo!$B:$B, MATCH(A1241, Facturas_Odoo!$D:$D, 0)), "Sin Factura"))</f>
        <v/>
      </c>
      <c r="R1241" s="80">
        <f>IF(Q1241="Sin Factura","",IFERROR(INDEX(Facturas_Odoo!$A:$A, MATCH(Q1241, Facturas_Odoo!$B:$B, 0)), ""))</f>
        <v/>
      </c>
      <c r="S1241" s="79">
        <f>IF(Q1241="Sin Factura","",IFERROR(_xlfn.XLOOKUP(1, (Facturas_Odoo!$D:$D=A1241) * (Facturas_Odoo!$K:$K=I1241), Facturas_Odoo!$L:$L, ""), ""))</f>
        <v/>
      </c>
      <c r="T1241" s="81">
        <f>IF(Q1241="Sin Factura",0,IFERROR(_xlfn.XLOOKUP(1, (Facturas_Odoo!$D:$D=A1241) * (Facturas_Odoo!$K:$K=I1241), Facturas_Odoo!$M:$M, 0), 0))</f>
        <v/>
      </c>
      <c r="U1241" s="79">
        <f>IF(Q1241="Sin Factura",0,IFERROR(_xlfn.XLOOKUP(1, (Facturas_Odoo!$D:$D=A1241) * (Facturas_Odoo!$K:$K=I1241), Facturas_Odoo!$N:$N, 0), 0))</f>
        <v/>
      </c>
      <c r="V1241" s="79">
        <f>IF(Q1241="Sin Factura",0,IFERROR(_xlfn.XLOOKUP(1, (Facturas_Odoo!$D:$D=A1241) * (Facturas_Odoo!$K:$K=I1241), Facturas_Odoo!$O:$O, 0), 0))</f>
        <v/>
      </c>
      <c r="W1241" s="81">
        <f>IF(Q1241="Sin Factura",0,IFERROR(_xlfn.XLOOKUP(1, (Facturas_Odoo!$D:$D=A1241) * (Facturas_Odoo!$K:$K=I1241), Facturas_Odoo!$Q:$Q, 0), 0))</f>
        <v/>
      </c>
      <c r="X1241" s="79">
        <f>IF(OR(Q1241="Sin Factura",Q1241=""),"",IFERROR(INDEX(Pagos_Odoo!$B:$B, MATCH(Q1241, Pagos_Odoo!$I:$I, 0)), "Sin Pago"))</f>
        <v/>
      </c>
      <c r="Y1241" s="79">
        <f>IF(X1241="Sin Pago","",IFERROR(INDEX(Pagos_Odoo!$C:$C, MATCH(X1241, Pagos_Odoo!$B:$B, 0)), ""))</f>
        <v/>
      </c>
      <c r="Z1241" s="80">
        <f>IF(X1241="Sin Pago","",IFERROR(INDEX(Pagos_Odoo!$A:$A, MATCH(X1241, Pagos_Odoo!$B:$B, 0)), ""))</f>
        <v/>
      </c>
      <c r="AA1241" s="79">
        <f>IF(X1241="Sin Pago","",IFERROR(INDEX(Pagos_Odoo!$F:$F, MATCH(X1241, Pagos_Odoo!$B:$B, 0)), ""))</f>
        <v/>
      </c>
      <c r="AB1241" s="81">
        <f>IF(X1241="Sin Pago",0,IFERROR(INDEX(Pagos_Odoo!$E:$E, MATCH(X1241, Pagos_Odoo!$B:$B, 0)), 0))</f>
        <v/>
      </c>
      <c r="AC1241" s="79">
        <f>IF(X1241="Sin Pago","",IFERROR(INDEX(Pagos_Odoo!$G:$G, MATCH(X1241, Pagos_Odoo!$B:$B, 0)), ""))</f>
        <v/>
      </c>
      <c r="AD1241" s="82" t="n">
        <v>0</v>
      </c>
      <c r="AE1241" s="82" t="n"/>
      <c r="AF1241" s="82" t="n"/>
      <c r="AG1241" s="82">
        <f>IF(AN1241="","",AD1241+AE1241+AF1241)</f>
        <v/>
      </c>
      <c r="AH1241" s="81">
        <f>IF(AN1241="","",P1241*(1-AG1241))</f>
        <v/>
      </c>
      <c r="AI1241" s="81">
        <f>IF(AN1241="","",IF(Q1241="Sin Factura",0,IFERROR(INDEX(Facturas_Odoo!$H:$H, MATCH(Q1241, Facturas_Odoo!$B:$B, 0)), 0)*(1-AG1241)))</f>
        <v/>
      </c>
      <c r="AJ1241" s="81">
        <f>IF(AN1241="","",_xlfn.LET(idVenta, AN1241&amp;"",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41" s="81">
        <f>IF(AN1241="","",AH1241-AJ1241)</f>
        <v/>
      </c>
      <c r="AL1241" s="81">
        <f>IF(AN1241="","",IF(Q1241="Sin Factura","",AI1241-AJ1241))</f>
        <v/>
      </c>
      <c r="AM1241" s="81">
        <f>IF(AN1241="","",IF(Q1241="Sin Factura",0,P1241-IFERROR(INDEX(Facturas_Odoo!$H:$H, MATCH(Q1241, Facturas_Odoo!$B:$B, 0)), 0)))</f>
        <v/>
      </c>
      <c r="AN1241" s="79">
        <f>IF(AND(A1241="", J1241=""), "", IF(A1241&lt;&gt;"", VALUE(MID(A1241,2,LEN(A1241))), AN1240))</f>
        <v/>
      </c>
      <c r="AO1241" s="79">
        <f>IF(AN1241="","",IF(AD1241=0,"OK",_xlfn.LET(monedaPago, IF(AA1241="","USD",AA1241), limitePermitido, IFERROR(VLOOKUP(monedaPago, Configuración!$A$2:$B$3, 2, FALSE), 0.15), IF(AD1241&gt;limitePermitido, "ALERTA: EXCESO (" &amp; TEXT(limitePermitido, "0%") &amp; " máx)", "OK"))))</f>
        <v/>
      </c>
      <c r="AP1241" s="79">
        <f>IF(AN1241="","",IF(AE1241=0,"OK",_xlfn.LET(fechaPago, Z1241, fechaFactura, R1241, diasCredito, IF(E1241="Pago inmediato", 0, IFERROR(VALUE(MID(E1241, 1, SEARCH(" ", E1241)-1)),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41" s="79">
        <f>IF(AN1241="","",IF(AND(N1241&gt;0, AG1241&gt;0), IF(Configuración!$K$2="NO", "ALERTA: DESCUENTO DOBLE NO PERMITIDO", "OK"), "OK"))</f>
        <v/>
      </c>
      <c r="AR1241" s="79">
        <f>IF(AN1241="","",IF(OR(AO1241&lt;&gt;"OK", AP1241&lt;&gt;"OK", AQ1241&lt;&gt;"OK"), "⚠️ REVISAR", "OK"))</f>
        <v/>
      </c>
    </row>
    <row r="1242">
      <c r="A1242" s="79">
        <f>IF('Ordenes_Odoo'!A1242="","",'Ordenes_Odoo'!A1242)</f>
        <v/>
      </c>
      <c r="B1242" s="80">
        <f>IF('Ordenes_Odoo'!B1242="","",'Ordenes_Odoo'!B1242)</f>
        <v/>
      </c>
      <c r="C1242" s="79">
        <f>IF('Ordenes_Odoo'!C1242="","",'Ordenes_Odoo'!C1242)</f>
        <v/>
      </c>
      <c r="D1242" s="79">
        <f>IF('Ordenes_Odoo'!D1242="","",'Ordenes_Odoo'!D1242)</f>
        <v/>
      </c>
      <c r="E1242" s="79">
        <f>IF('Ordenes_Odoo'!E1242="","",'Ordenes_Odoo'!E1242)</f>
        <v/>
      </c>
      <c r="F1242" s="79">
        <f>IF('Ordenes_Odoo'!F1242="","",'Ordenes_Odoo'!F1242)</f>
        <v/>
      </c>
      <c r="G1242" s="79">
        <f>IF('Ordenes_Odoo'!G1242="","",'Ordenes_Odoo'!G1242)</f>
        <v/>
      </c>
      <c r="H1242" s="79">
        <f>IF('Ordenes_Odoo'!H1242="","",'Ordenes_Odoo'!H1242)</f>
        <v/>
      </c>
      <c r="I1242" s="79">
        <f>IF('Ordenes_Odoo'!I1242="","",'Ordenes_Odoo'!I1242)</f>
        <v/>
      </c>
      <c r="J1242" s="79">
        <f>IF('Ordenes_Odoo'!J1242="","",'Ordenes_Odoo'!J1242)</f>
        <v/>
      </c>
      <c r="K1242" s="81">
        <f>IF('Ordenes_Odoo'!K1242="","",'Ordenes_Odoo'!K1242)</f>
        <v/>
      </c>
      <c r="L1242" s="81">
        <f>IF('Ordenes_Odoo'!L1242="","",'Ordenes_Odoo'!L1242)</f>
        <v/>
      </c>
      <c r="M1242" s="79">
        <f>IF('Ordenes_Odoo'!M1242="","",'Ordenes_Odoo'!M1242)</f>
        <v/>
      </c>
      <c r="N1242" s="79">
        <f>IF('Ordenes_Odoo'!N1242="","",'Ordenes_Odoo'!N1242)</f>
        <v/>
      </c>
      <c r="O1242" s="81">
        <f>IF('Ordenes_Odoo'!O1242="","",'Ordenes_Odoo'!O1242)</f>
        <v/>
      </c>
      <c r="P1242" s="81">
        <f>IF('Ordenes_Odoo'!P1242="","",'Ordenes_Odoo'!P1242)</f>
        <v/>
      </c>
      <c r="Q1242" s="79">
        <f>IF(A1242="","",IFERROR(INDEX(Facturas_Odoo!$B:$B, MATCH(A1242, Facturas_Odoo!$D:$D, 0)), "Sin Factura"))</f>
        <v/>
      </c>
      <c r="R1242" s="80">
        <f>IF(Q1242="Sin Factura","",IFERROR(INDEX(Facturas_Odoo!$A:$A, MATCH(Q1242, Facturas_Odoo!$B:$B, 0)), ""))</f>
        <v/>
      </c>
      <c r="S1242" s="79">
        <f>IF(Q1242="Sin Factura","",IFERROR(_xlfn.XLOOKUP(1, (Facturas_Odoo!$D:$D=A1242) * (Facturas_Odoo!$K:$K=I1242), Facturas_Odoo!$L:$L, ""), ""))</f>
        <v/>
      </c>
      <c r="T1242" s="81">
        <f>IF(Q1242="Sin Factura",0,IFERROR(_xlfn.XLOOKUP(1, (Facturas_Odoo!$D:$D=A1242) * (Facturas_Odoo!$K:$K=I1242), Facturas_Odoo!$M:$M, 0), 0))</f>
        <v/>
      </c>
      <c r="U1242" s="79">
        <f>IF(Q1242="Sin Factura",0,IFERROR(_xlfn.XLOOKUP(1, (Facturas_Odoo!$D:$D=A1242) * (Facturas_Odoo!$K:$K=I1242), Facturas_Odoo!$N:$N, 0), 0))</f>
        <v/>
      </c>
      <c r="V1242" s="79">
        <f>IF(Q1242="Sin Factura",0,IFERROR(_xlfn.XLOOKUP(1, (Facturas_Odoo!$D:$D=A1242) * (Facturas_Odoo!$K:$K=I1242), Facturas_Odoo!$O:$O, 0), 0))</f>
        <v/>
      </c>
      <c r="W1242" s="81">
        <f>IF(Q1242="Sin Factura",0,IFERROR(_xlfn.XLOOKUP(1, (Facturas_Odoo!$D:$D=A1242) * (Facturas_Odoo!$K:$K=I1242), Facturas_Odoo!$Q:$Q, 0), 0))</f>
        <v/>
      </c>
      <c r="X1242" s="79">
        <f>IF(OR(Q1242="Sin Factura",Q1242=""),"",IFERROR(INDEX(Pagos_Odoo!$B:$B, MATCH(Q1242, Pagos_Odoo!$I:$I, 0)), "Sin Pago"))</f>
        <v/>
      </c>
      <c r="Y1242" s="79">
        <f>IF(X1242="Sin Pago","",IFERROR(INDEX(Pagos_Odoo!$C:$C, MATCH(X1242, Pagos_Odoo!$B:$B, 0)), ""))</f>
        <v/>
      </c>
      <c r="Z1242" s="80">
        <f>IF(X1242="Sin Pago","",IFERROR(INDEX(Pagos_Odoo!$A:$A, MATCH(X1242, Pagos_Odoo!$B:$B, 0)), ""))</f>
        <v/>
      </c>
      <c r="AA1242" s="79">
        <f>IF(X1242="Sin Pago","",IFERROR(INDEX(Pagos_Odoo!$F:$F, MATCH(X1242, Pagos_Odoo!$B:$B, 0)), ""))</f>
        <v/>
      </c>
      <c r="AB1242" s="81">
        <f>IF(X1242="Sin Pago",0,IFERROR(INDEX(Pagos_Odoo!$E:$E, MATCH(X1242, Pagos_Odoo!$B:$B, 0)), 0))</f>
        <v/>
      </c>
      <c r="AC1242" s="79">
        <f>IF(X1242="Sin Pago","",IFERROR(INDEX(Pagos_Odoo!$G:$G, MATCH(X1242, Pagos_Odoo!$B:$B, 0)), ""))</f>
        <v/>
      </c>
      <c r="AD1242" s="82" t="n">
        <v>0</v>
      </c>
      <c r="AE1242" s="82" t="n"/>
      <c r="AF1242" s="82" t="n"/>
      <c r="AG1242" s="82">
        <f>IF(AN1242="","",AD1242+AE1242+AF1242)</f>
        <v/>
      </c>
      <c r="AH1242" s="81">
        <f>IF(AN1242="","",P1242*(1-AG1242))</f>
        <v/>
      </c>
      <c r="AI1242" s="81">
        <f>IF(AN1242="","",IF(Q1242="Sin Factura",0,IFERROR(INDEX(Facturas_Odoo!$H:$H, MATCH(Q1242, Facturas_Odoo!$B:$B, 0)), 0)*(1-AG1242)))</f>
        <v/>
      </c>
      <c r="AJ1242" s="81">
        <f>IF(AN1242="","",_xlfn.LET(idVenta, AN1242&amp;"",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42" s="81">
        <f>IF(AN1242="","",AH1242-AJ1242)</f>
        <v/>
      </c>
      <c r="AL1242" s="81">
        <f>IF(AN1242="","",IF(Q1242="Sin Factura","",AI1242-AJ1242))</f>
        <v/>
      </c>
      <c r="AM1242" s="81">
        <f>IF(AN1242="","",IF(Q1242="Sin Factura",0,P1242-IFERROR(INDEX(Facturas_Odoo!$H:$H, MATCH(Q1242, Facturas_Odoo!$B:$B, 0)), 0)))</f>
        <v/>
      </c>
      <c r="AN1242" s="79">
        <f>IF(AND(A1242="", J1242=""), "", IF(A1242&lt;&gt;"", VALUE(MID(A1242,2,LEN(A1242))), AN1241))</f>
        <v/>
      </c>
      <c r="AO1242" s="79">
        <f>IF(AN1242="","",IF(AD1242=0,"OK",_xlfn.LET(monedaPago, IF(AA1242="","USD",AA1242), limitePermitido, IFERROR(VLOOKUP(monedaPago, Configuración!$A$2:$B$3, 2, FALSE), 0.15), IF(AD1242&gt;limitePermitido, "ALERTA: EXCESO (" &amp; TEXT(limitePermitido, "0%") &amp; " máx)", "OK"))))</f>
        <v/>
      </c>
      <c r="AP1242" s="79">
        <f>IF(AN1242="","",IF(AE1242=0,"OK",_xlfn.LET(fechaPago, Z1242, fechaFactura, R1242, diasCredito, IF(E1242="Pago inmediato", 0, IFERROR(VALUE(MID(E1242, 1, SEARCH(" ", E1242)-1)),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42" s="79">
        <f>IF(AN1242="","",IF(AND(N1242&gt;0, AG1242&gt;0), IF(Configuración!$K$2="NO", "ALERTA: DESCUENTO DOBLE NO PERMITIDO", "OK"), "OK"))</f>
        <v/>
      </c>
      <c r="AR1242" s="79">
        <f>IF(AN1242="","",IF(OR(AO1242&lt;&gt;"OK", AP1242&lt;&gt;"OK", AQ1242&lt;&gt;"OK"), "⚠️ REVISAR", "OK"))</f>
        <v/>
      </c>
    </row>
    <row r="1243">
      <c r="A1243" s="79">
        <f>IF('Ordenes_Odoo'!A1243="","",'Ordenes_Odoo'!A1243)</f>
        <v/>
      </c>
      <c r="B1243" s="80">
        <f>IF('Ordenes_Odoo'!B1243="","",'Ordenes_Odoo'!B1243)</f>
        <v/>
      </c>
      <c r="C1243" s="79">
        <f>IF('Ordenes_Odoo'!C1243="","",'Ordenes_Odoo'!C1243)</f>
        <v/>
      </c>
      <c r="D1243" s="79">
        <f>IF('Ordenes_Odoo'!D1243="","",'Ordenes_Odoo'!D1243)</f>
        <v/>
      </c>
      <c r="E1243" s="79">
        <f>IF('Ordenes_Odoo'!E1243="","",'Ordenes_Odoo'!E1243)</f>
        <v/>
      </c>
      <c r="F1243" s="79">
        <f>IF('Ordenes_Odoo'!F1243="","",'Ordenes_Odoo'!F1243)</f>
        <v/>
      </c>
      <c r="G1243" s="79">
        <f>IF('Ordenes_Odoo'!G1243="","",'Ordenes_Odoo'!G1243)</f>
        <v/>
      </c>
      <c r="H1243" s="79">
        <f>IF('Ordenes_Odoo'!H1243="","",'Ordenes_Odoo'!H1243)</f>
        <v/>
      </c>
      <c r="I1243" s="79">
        <f>IF('Ordenes_Odoo'!I1243="","",'Ordenes_Odoo'!I1243)</f>
        <v/>
      </c>
      <c r="J1243" s="79">
        <f>IF('Ordenes_Odoo'!J1243="","",'Ordenes_Odoo'!J1243)</f>
        <v/>
      </c>
      <c r="K1243" s="81">
        <f>IF('Ordenes_Odoo'!K1243="","",'Ordenes_Odoo'!K1243)</f>
        <v/>
      </c>
      <c r="L1243" s="81">
        <f>IF('Ordenes_Odoo'!L1243="","",'Ordenes_Odoo'!L1243)</f>
        <v/>
      </c>
      <c r="M1243" s="79">
        <f>IF('Ordenes_Odoo'!M1243="","",'Ordenes_Odoo'!M1243)</f>
        <v/>
      </c>
      <c r="N1243" s="79">
        <f>IF('Ordenes_Odoo'!N1243="","",'Ordenes_Odoo'!N1243)</f>
        <v/>
      </c>
      <c r="O1243" s="81">
        <f>IF('Ordenes_Odoo'!O1243="","",'Ordenes_Odoo'!O1243)</f>
        <v/>
      </c>
      <c r="P1243" s="81">
        <f>IF('Ordenes_Odoo'!P1243="","",'Ordenes_Odoo'!P1243)</f>
        <v/>
      </c>
      <c r="Q1243" s="79">
        <f>IF(A1243="","",IFERROR(INDEX(Facturas_Odoo!$B:$B, MATCH(A1243, Facturas_Odoo!$D:$D, 0)), "Sin Factura"))</f>
        <v/>
      </c>
      <c r="R1243" s="80">
        <f>IF(Q1243="Sin Factura","",IFERROR(INDEX(Facturas_Odoo!$A:$A, MATCH(Q1243, Facturas_Odoo!$B:$B, 0)), ""))</f>
        <v/>
      </c>
      <c r="S1243" s="79">
        <f>IF(Q1243="Sin Factura","",IFERROR(_xlfn.XLOOKUP(1, (Facturas_Odoo!$D:$D=A1243) * (Facturas_Odoo!$K:$K=I1243), Facturas_Odoo!$L:$L, ""), ""))</f>
        <v/>
      </c>
      <c r="T1243" s="81">
        <f>IF(Q1243="Sin Factura",0,IFERROR(_xlfn.XLOOKUP(1, (Facturas_Odoo!$D:$D=A1243) * (Facturas_Odoo!$K:$K=I1243), Facturas_Odoo!$M:$M, 0), 0))</f>
        <v/>
      </c>
      <c r="U1243" s="79">
        <f>IF(Q1243="Sin Factura",0,IFERROR(_xlfn.XLOOKUP(1, (Facturas_Odoo!$D:$D=A1243) * (Facturas_Odoo!$K:$K=I1243), Facturas_Odoo!$N:$N, 0), 0))</f>
        <v/>
      </c>
      <c r="V1243" s="79">
        <f>IF(Q1243="Sin Factura",0,IFERROR(_xlfn.XLOOKUP(1, (Facturas_Odoo!$D:$D=A1243) * (Facturas_Odoo!$K:$K=I1243), Facturas_Odoo!$O:$O, 0), 0))</f>
        <v/>
      </c>
      <c r="W1243" s="81">
        <f>IF(Q1243="Sin Factura",0,IFERROR(_xlfn.XLOOKUP(1, (Facturas_Odoo!$D:$D=A1243) * (Facturas_Odoo!$K:$K=I1243), Facturas_Odoo!$Q:$Q, 0), 0))</f>
        <v/>
      </c>
      <c r="X1243" s="79">
        <f>IF(OR(Q1243="Sin Factura",Q1243=""),"",IFERROR(INDEX(Pagos_Odoo!$B:$B, MATCH(Q1243, Pagos_Odoo!$I:$I, 0)), "Sin Pago"))</f>
        <v/>
      </c>
      <c r="Y1243" s="79">
        <f>IF(X1243="Sin Pago","",IFERROR(INDEX(Pagos_Odoo!$C:$C, MATCH(X1243, Pagos_Odoo!$B:$B, 0)), ""))</f>
        <v/>
      </c>
      <c r="Z1243" s="80">
        <f>IF(X1243="Sin Pago","",IFERROR(INDEX(Pagos_Odoo!$A:$A, MATCH(X1243, Pagos_Odoo!$B:$B, 0)), ""))</f>
        <v/>
      </c>
      <c r="AA1243" s="79">
        <f>IF(X1243="Sin Pago","",IFERROR(INDEX(Pagos_Odoo!$F:$F, MATCH(X1243, Pagos_Odoo!$B:$B, 0)), ""))</f>
        <v/>
      </c>
      <c r="AB1243" s="81">
        <f>IF(X1243="Sin Pago",0,IFERROR(INDEX(Pagos_Odoo!$E:$E, MATCH(X1243, Pagos_Odoo!$B:$B, 0)), 0))</f>
        <v/>
      </c>
      <c r="AC1243" s="79">
        <f>IF(X1243="Sin Pago","",IFERROR(INDEX(Pagos_Odoo!$G:$G, MATCH(X1243, Pagos_Odoo!$B:$B, 0)), ""))</f>
        <v/>
      </c>
      <c r="AD1243" s="82" t="n">
        <v>0</v>
      </c>
      <c r="AE1243" s="82" t="n"/>
      <c r="AF1243" s="82" t="n"/>
      <c r="AG1243" s="82">
        <f>IF(AN1243="","",AD1243+AE1243+AF1243)</f>
        <v/>
      </c>
      <c r="AH1243" s="81">
        <f>IF(AN1243="","",P1243*(1-AG1243))</f>
        <v/>
      </c>
      <c r="AI1243" s="81">
        <f>IF(AN1243="","",IF(Q1243="Sin Factura",0,IFERROR(INDEX(Facturas_Odoo!$H:$H, MATCH(Q1243, Facturas_Odoo!$B:$B, 0)), 0)*(1-AG1243)))</f>
        <v/>
      </c>
      <c r="AJ1243" s="81">
        <f>IF(AN1243="","",_xlfn.LET(idVenta, AN1243&amp;"",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43" s="81">
        <f>IF(AN1243="","",AH1243-AJ1243)</f>
        <v/>
      </c>
      <c r="AL1243" s="81">
        <f>IF(AN1243="","",IF(Q1243="Sin Factura","",AI1243-AJ1243))</f>
        <v/>
      </c>
      <c r="AM1243" s="81">
        <f>IF(AN1243="","",IF(Q1243="Sin Factura",0,P1243-IFERROR(INDEX(Facturas_Odoo!$H:$H, MATCH(Q1243, Facturas_Odoo!$B:$B, 0)), 0)))</f>
        <v/>
      </c>
      <c r="AN1243" s="79">
        <f>IF(AND(A1243="", J1243=""), "", IF(A1243&lt;&gt;"", VALUE(MID(A1243,2,LEN(A1243))), AN1242))</f>
        <v/>
      </c>
      <c r="AO1243" s="79">
        <f>IF(AN1243="","",IF(AD1243=0,"OK",_xlfn.LET(monedaPago, IF(AA1243="","USD",AA1243), limitePermitido, IFERROR(VLOOKUP(monedaPago, Configuración!$A$2:$B$3, 2, FALSE), 0.15), IF(AD1243&gt;limitePermitido, "ALERTA: EXCESO (" &amp; TEXT(limitePermitido, "0%") &amp; " máx)", "OK"))))</f>
        <v/>
      </c>
      <c r="AP1243" s="79">
        <f>IF(AN1243="","",IF(AE1243=0,"OK",_xlfn.LET(fechaPago, Z1243, fechaFactura, R1243, diasCredito, IF(E1243="Pago inmediato", 0, IFERROR(VALUE(MID(E1243, 1, SEARCH(" ", E1243)-1)),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43" s="79">
        <f>IF(AN1243="","",IF(AND(N1243&gt;0, AG1243&gt;0), IF(Configuración!$K$2="NO", "ALERTA: DESCUENTO DOBLE NO PERMITIDO", "OK"), "OK"))</f>
        <v/>
      </c>
      <c r="AR1243" s="79">
        <f>IF(AN1243="","",IF(OR(AO1243&lt;&gt;"OK", AP1243&lt;&gt;"OK", AQ1243&lt;&gt;"OK"), "⚠️ REVISAR", "OK"))</f>
        <v/>
      </c>
    </row>
    <row r="1244">
      <c r="A1244" s="79">
        <f>IF('Ordenes_Odoo'!A1244="","",'Ordenes_Odoo'!A1244)</f>
        <v/>
      </c>
      <c r="B1244" s="80">
        <f>IF('Ordenes_Odoo'!B1244="","",'Ordenes_Odoo'!B1244)</f>
        <v/>
      </c>
      <c r="C1244" s="79">
        <f>IF('Ordenes_Odoo'!C1244="","",'Ordenes_Odoo'!C1244)</f>
        <v/>
      </c>
      <c r="D1244" s="79">
        <f>IF('Ordenes_Odoo'!D1244="","",'Ordenes_Odoo'!D1244)</f>
        <v/>
      </c>
      <c r="E1244" s="79">
        <f>IF('Ordenes_Odoo'!E1244="","",'Ordenes_Odoo'!E1244)</f>
        <v/>
      </c>
      <c r="F1244" s="79">
        <f>IF('Ordenes_Odoo'!F1244="","",'Ordenes_Odoo'!F1244)</f>
        <v/>
      </c>
      <c r="G1244" s="79">
        <f>IF('Ordenes_Odoo'!G1244="","",'Ordenes_Odoo'!G1244)</f>
        <v/>
      </c>
      <c r="H1244" s="79">
        <f>IF('Ordenes_Odoo'!H1244="","",'Ordenes_Odoo'!H1244)</f>
        <v/>
      </c>
      <c r="I1244" s="79">
        <f>IF('Ordenes_Odoo'!I1244="","",'Ordenes_Odoo'!I1244)</f>
        <v/>
      </c>
      <c r="J1244" s="79">
        <f>IF('Ordenes_Odoo'!J1244="","",'Ordenes_Odoo'!J1244)</f>
        <v/>
      </c>
      <c r="K1244" s="81">
        <f>IF('Ordenes_Odoo'!K1244="","",'Ordenes_Odoo'!K1244)</f>
        <v/>
      </c>
      <c r="L1244" s="81">
        <f>IF('Ordenes_Odoo'!L1244="","",'Ordenes_Odoo'!L1244)</f>
        <v/>
      </c>
      <c r="M1244" s="79">
        <f>IF('Ordenes_Odoo'!M1244="","",'Ordenes_Odoo'!M1244)</f>
        <v/>
      </c>
      <c r="N1244" s="79">
        <f>IF('Ordenes_Odoo'!N1244="","",'Ordenes_Odoo'!N1244)</f>
        <v/>
      </c>
      <c r="O1244" s="81">
        <f>IF('Ordenes_Odoo'!O1244="","",'Ordenes_Odoo'!O1244)</f>
        <v/>
      </c>
      <c r="P1244" s="81">
        <f>IF('Ordenes_Odoo'!P1244="","",'Ordenes_Odoo'!P1244)</f>
        <v/>
      </c>
      <c r="Q1244" s="79">
        <f>IF(A1244="","",IFERROR(INDEX(Facturas_Odoo!$B:$B, MATCH(A1244, Facturas_Odoo!$D:$D, 0)), "Sin Factura"))</f>
        <v/>
      </c>
      <c r="R1244" s="80">
        <f>IF(Q1244="Sin Factura","",IFERROR(INDEX(Facturas_Odoo!$A:$A, MATCH(Q1244, Facturas_Odoo!$B:$B, 0)), ""))</f>
        <v/>
      </c>
      <c r="S1244" s="79">
        <f>IF(Q1244="Sin Factura","",IFERROR(_xlfn.XLOOKUP(1, (Facturas_Odoo!$D:$D=A1244) * (Facturas_Odoo!$K:$K=I1244), Facturas_Odoo!$L:$L, ""), ""))</f>
        <v/>
      </c>
      <c r="T1244" s="81">
        <f>IF(Q1244="Sin Factura",0,IFERROR(_xlfn.XLOOKUP(1, (Facturas_Odoo!$D:$D=A1244) * (Facturas_Odoo!$K:$K=I1244), Facturas_Odoo!$M:$M, 0), 0))</f>
        <v/>
      </c>
      <c r="U1244" s="79">
        <f>IF(Q1244="Sin Factura",0,IFERROR(_xlfn.XLOOKUP(1, (Facturas_Odoo!$D:$D=A1244) * (Facturas_Odoo!$K:$K=I1244), Facturas_Odoo!$N:$N, 0), 0))</f>
        <v/>
      </c>
      <c r="V1244" s="79">
        <f>IF(Q1244="Sin Factura",0,IFERROR(_xlfn.XLOOKUP(1, (Facturas_Odoo!$D:$D=A1244) * (Facturas_Odoo!$K:$K=I1244), Facturas_Odoo!$O:$O, 0), 0))</f>
        <v/>
      </c>
      <c r="W1244" s="81">
        <f>IF(Q1244="Sin Factura",0,IFERROR(_xlfn.XLOOKUP(1, (Facturas_Odoo!$D:$D=A1244) * (Facturas_Odoo!$K:$K=I1244), Facturas_Odoo!$Q:$Q, 0), 0))</f>
        <v/>
      </c>
      <c r="X1244" s="79">
        <f>IF(OR(Q1244="Sin Factura",Q1244=""),"",IFERROR(INDEX(Pagos_Odoo!$B:$B, MATCH(Q1244, Pagos_Odoo!$I:$I, 0)), "Sin Pago"))</f>
        <v/>
      </c>
      <c r="Y1244" s="79">
        <f>IF(X1244="Sin Pago","",IFERROR(INDEX(Pagos_Odoo!$C:$C, MATCH(X1244, Pagos_Odoo!$B:$B, 0)), ""))</f>
        <v/>
      </c>
      <c r="Z1244" s="80">
        <f>IF(X1244="Sin Pago","",IFERROR(INDEX(Pagos_Odoo!$A:$A, MATCH(X1244, Pagos_Odoo!$B:$B, 0)), ""))</f>
        <v/>
      </c>
      <c r="AA1244" s="79">
        <f>IF(X1244="Sin Pago","",IFERROR(INDEX(Pagos_Odoo!$F:$F, MATCH(X1244, Pagos_Odoo!$B:$B, 0)), ""))</f>
        <v/>
      </c>
      <c r="AB1244" s="81">
        <f>IF(X1244="Sin Pago",0,IFERROR(INDEX(Pagos_Odoo!$E:$E, MATCH(X1244, Pagos_Odoo!$B:$B, 0)), 0))</f>
        <v/>
      </c>
      <c r="AC1244" s="79">
        <f>IF(X1244="Sin Pago","",IFERROR(INDEX(Pagos_Odoo!$G:$G, MATCH(X1244, Pagos_Odoo!$B:$B, 0)), ""))</f>
        <v/>
      </c>
      <c r="AD1244" s="82" t="n">
        <v>0</v>
      </c>
      <c r="AE1244" s="82" t="n"/>
      <c r="AF1244" s="82" t="n"/>
      <c r="AG1244" s="82">
        <f>IF(AN1244="","",AD1244+AE1244+AF1244)</f>
        <v/>
      </c>
      <c r="AH1244" s="81">
        <f>IF(AN1244="","",P1244*(1-AG1244))</f>
        <v/>
      </c>
      <c r="AI1244" s="81">
        <f>IF(AN1244="","",IF(Q1244="Sin Factura",0,IFERROR(INDEX(Facturas_Odoo!$H:$H, MATCH(Q1244, Facturas_Odoo!$B:$B, 0)), 0)*(1-AG1244)))</f>
        <v/>
      </c>
      <c r="AJ1244" s="81">
        <f>IF(AN1244="","",_xlfn.LET(idVenta, AN1244&amp;"",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44" s="81">
        <f>IF(AN1244="","",AH1244-AJ1244)</f>
        <v/>
      </c>
      <c r="AL1244" s="81">
        <f>IF(AN1244="","",IF(Q1244="Sin Factura","",AI1244-AJ1244))</f>
        <v/>
      </c>
      <c r="AM1244" s="81">
        <f>IF(AN1244="","",IF(Q1244="Sin Factura",0,P1244-IFERROR(INDEX(Facturas_Odoo!$H:$H, MATCH(Q1244, Facturas_Odoo!$B:$B, 0)), 0)))</f>
        <v/>
      </c>
      <c r="AN1244" s="79">
        <f>IF(AND(A1244="", J1244=""), "", IF(A1244&lt;&gt;"", VALUE(MID(A1244,2,LEN(A1244))), AN1243))</f>
        <v/>
      </c>
      <c r="AO1244" s="79">
        <f>IF(AN1244="","",IF(AD1244=0,"OK",_xlfn.LET(monedaPago, IF(AA1244="","USD",AA1244), limitePermitido, IFERROR(VLOOKUP(monedaPago, Configuración!$A$2:$B$3, 2, FALSE), 0.15), IF(AD1244&gt;limitePermitido, "ALERTA: EXCESO (" &amp; TEXT(limitePermitido, "0%") &amp; " máx)", "OK"))))</f>
        <v/>
      </c>
      <c r="AP1244" s="79">
        <f>IF(AN1244="","",IF(AE1244=0,"OK",_xlfn.LET(fechaPago, Z1244, fechaFactura, R1244, diasCredito, IF(E1244="Pago inmediato", 0, IFERROR(VALUE(MID(E1244, 1, SEARCH(" ", E1244)-1)),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44" s="79">
        <f>IF(AN1244="","",IF(AND(N1244&gt;0, AG1244&gt;0), IF(Configuración!$K$2="NO", "ALERTA: DESCUENTO DOBLE NO PERMITIDO", "OK"), "OK"))</f>
        <v/>
      </c>
      <c r="AR1244" s="79">
        <f>IF(AN1244="","",IF(OR(AO1244&lt;&gt;"OK", AP1244&lt;&gt;"OK", AQ1244&lt;&gt;"OK"), "⚠️ REVISAR", "OK"))</f>
        <v/>
      </c>
    </row>
    <row r="1245">
      <c r="A1245" s="79">
        <f>IF('Ordenes_Odoo'!A1245="","",'Ordenes_Odoo'!A1245)</f>
        <v/>
      </c>
      <c r="B1245" s="80">
        <f>IF('Ordenes_Odoo'!B1245="","",'Ordenes_Odoo'!B1245)</f>
        <v/>
      </c>
      <c r="C1245" s="79">
        <f>IF('Ordenes_Odoo'!C1245="","",'Ordenes_Odoo'!C1245)</f>
        <v/>
      </c>
      <c r="D1245" s="79">
        <f>IF('Ordenes_Odoo'!D1245="","",'Ordenes_Odoo'!D1245)</f>
        <v/>
      </c>
      <c r="E1245" s="79">
        <f>IF('Ordenes_Odoo'!E1245="","",'Ordenes_Odoo'!E1245)</f>
        <v/>
      </c>
      <c r="F1245" s="79">
        <f>IF('Ordenes_Odoo'!F1245="","",'Ordenes_Odoo'!F1245)</f>
        <v/>
      </c>
      <c r="G1245" s="79">
        <f>IF('Ordenes_Odoo'!G1245="","",'Ordenes_Odoo'!G1245)</f>
        <v/>
      </c>
      <c r="H1245" s="79">
        <f>IF('Ordenes_Odoo'!H1245="","",'Ordenes_Odoo'!H1245)</f>
        <v/>
      </c>
      <c r="I1245" s="79">
        <f>IF('Ordenes_Odoo'!I1245="","",'Ordenes_Odoo'!I1245)</f>
        <v/>
      </c>
      <c r="J1245" s="79">
        <f>IF('Ordenes_Odoo'!J1245="","",'Ordenes_Odoo'!J1245)</f>
        <v/>
      </c>
      <c r="K1245" s="81">
        <f>IF('Ordenes_Odoo'!K1245="","",'Ordenes_Odoo'!K1245)</f>
        <v/>
      </c>
      <c r="L1245" s="81">
        <f>IF('Ordenes_Odoo'!L1245="","",'Ordenes_Odoo'!L1245)</f>
        <v/>
      </c>
      <c r="M1245" s="79">
        <f>IF('Ordenes_Odoo'!M1245="","",'Ordenes_Odoo'!M1245)</f>
        <v/>
      </c>
      <c r="N1245" s="79">
        <f>IF('Ordenes_Odoo'!N1245="","",'Ordenes_Odoo'!N1245)</f>
        <v/>
      </c>
      <c r="O1245" s="81">
        <f>IF('Ordenes_Odoo'!O1245="","",'Ordenes_Odoo'!O1245)</f>
        <v/>
      </c>
      <c r="P1245" s="81">
        <f>IF('Ordenes_Odoo'!P1245="","",'Ordenes_Odoo'!P1245)</f>
        <v/>
      </c>
      <c r="Q1245" s="79">
        <f>IF(A1245="","",IFERROR(INDEX(Facturas_Odoo!$B:$B, MATCH(A1245, Facturas_Odoo!$D:$D, 0)), "Sin Factura"))</f>
        <v/>
      </c>
      <c r="R1245" s="80">
        <f>IF(Q1245="Sin Factura","",IFERROR(INDEX(Facturas_Odoo!$A:$A, MATCH(Q1245, Facturas_Odoo!$B:$B, 0)), ""))</f>
        <v/>
      </c>
      <c r="S1245" s="79">
        <f>IF(Q1245="Sin Factura","",IFERROR(_xlfn.XLOOKUP(1, (Facturas_Odoo!$D:$D=A1245) * (Facturas_Odoo!$K:$K=I1245), Facturas_Odoo!$L:$L, ""), ""))</f>
        <v/>
      </c>
      <c r="T1245" s="81">
        <f>IF(Q1245="Sin Factura",0,IFERROR(_xlfn.XLOOKUP(1, (Facturas_Odoo!$D:$D=A1245) * (Facturas_Odoo!$K:$K=I1245), Facturas_Odoo!$M:$M, 0), 0))</f>
        <v/>
      </c>
      <c r="U1245" s="79">
        <f>IF(Q1245="Sin Factura",0,IFERROR(_xlfn.XLOOKUP(1, (Facturas_Odoo!$D:$D=A1245) * (Facturas_Odoo!$K:$K=I1245), Facturas_Odoo!$N:$N, 0), 0))</f>
        <v/>
      </c>
      <c r="V1245" s="79">
        <f>IF(Q1245="Sin Factura",0,IFERROR(_xlfn.XLOOKUP(1, (Facturas_Odoo!$D:$D=A1245) * (Facturas_Odoo!$K:$K=I1245), Facturas_Odoo!$O:$O, 0), 0))</f>
        <v/>
      </c>
      <c r="W1245" s="81">
        <f>IF(Q1245="Sin Factura",0,IFERROR(_xlfn.XLOOKUP(1, (Facturas_Odoo!$D:$D=A1245) * (Facturas_Odoo!$K:$K=I1245), Facturas_Odoo!$Q:$Q, 0), 0))</f>
        <v/>
      </c>
      <c r="X1245" s="79">
        <f>IF(OR(Q1245="Sin Factura",Q1245=""),"",IFERROR(INDEX(Pagos_Odoo!$B:$B, MATCH(Q1245, Pagos_Odoo!$I:$I, 0)), "Sin Pago"))</f>
        <v/>
      </c>
      <c r="Y1245" s="79">
        <f>IF(X1245="Sin Pago","",IFERROR(INDEX(Pagos_Odoo!$C:$C, MATCH(X1245, Pagos_Odoo!$B:$B, 0)), ""))</f>
        <v/>
      </c>
      <c r="Z1245" s="80">
        <f>IF(X1245="Sin Pago","",IFERROR(INDEX(Pagos_Odoo!$A:$A, MATCH(X1245, Pagos_Odoo!$B:$B, 0)), ""))</f>
        <v/>
      </c>
      <c r="AA1245" s="79">
        <f>IF(X1245="Sin Pago","",IFERROR(INDEX(Pagos_Odoo!$F:$F, MATCH(X1245, Pagos_Odoo!$B:$B, 0)), ""))</f>
        <v/>
      </c>
      <c r="AB1245" s="81">
        <f>IF(X1245="Sin Pago",0,IFERROR(INDEX(Pagos_Odoo!$E:$E, MATCH(X1245, Pagos_Odoo!$B:$B, 0)), 0))</f>
        <v/>
      </c>
      <c r="AC1245" s="79">
        <f>IF(X1245="Sin Pago","",IFERROR(INDEX(Pagos_Odoo!$G:$G, MATCH(X1245, Pagos_Odoo!$B:$B, 0)), ""))</f>
        <v/>
      </c>
      <c r="AD1245" s="82" t="n">
        <v>0</v>
      </c>
      <c r="AE1245" s="82" t="n"/>
      <c r="AF1245" s="82" t="n"/>
      <c r="AG1245" s="82">
        <f>IF(AN1245="","",AD1245+AE1245+AF1245)</f>
        <v/>
      </c>
      <c r="AH1245" s="81">
        <f>IF(AN1245="","",P1245*(1-AG1245))</f>
        <v/>
      </c>
      <c r="AI1245" s="81">
        <f>IF(AN1245="","",IF(Q1245="Sin Factura",0,IFERROR(INDEX(Facturas_Odoo!$H:$H, MATCH(Q1245, Facturas_Odoo!$B:$B, 0)), 0)*(1-AG1245)))</f>
        <v/>
      </c>
      <c r="AJ1245" s="81">
        <f>IF(AN1245="","",_xlfn.LET(idVenta, AN1245&amp;"",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45" s="81">
        <f>IF(AN1245="","",AH1245-AJ1245)</f>
        <v/>
      </c>
      <c r="AL1245" s="81">
        <f>IF(AN1245="","",IF(Q1245="Sin Factura","",AI1245-AJ1245))</f>
        <v/>
      </c>
      <c r="AM1245" s="81">
        <f>IF(AN1245="","",IF(Q1245="Sin Factura",0,P1245-IFERROR(INDEX(Facturas_Odoo!$H:$H, MATCH(Q1245, Facturas_Odoo!$B:$B, 0)), 0)))</f>
        <v/>
      </c>
      <c r="AN1245" s="79">
        <f>IF(AND(A1245="", J1245=""), "", IF(A1245&lt;&gt;"", VALUE(MID(A1245,2,LEN(A1245))), AN1244))</f>
        <v/>
      </c>
      <c r="AO1245" s="79">
        <f>IF(AN1245="","",IF(AD1245=0,"OK",_xlfn.LET(monedaPago, IF(AA1245="","USD",AA1245), limitePermitido, IFERROR(VLOOKUP(monedaPago, Configuración!$A$2:$B$3, 2, FALSE), 0.15), IF(AD1245&gt;limitePermitido, "ALERTA: EXCESO (" &amp; TEXT(limitePermitido, "0%") &amp; " máx)", "OK"))))</f>
        <v/>
      </c>
      <c r="AP1245" s="79">
        <f>IF(AN1245="","",IF(AE1245=0,"OK",_xlfn.LET(fechaPago, Z1245, fechaFactura, R1245, diasCredito, IF(E1245="Pago inmediato", 0, IFERROR(VALUE(MID(E1245, 1, SEARCH(" ", E1245)-1)),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45" s="79">
        <f>IF(AN1245="","",IF(AND(N1245&gt;0, AG1245&gt;0), IF(Configuración!$K$2="NO", "ALERTA: DESCUENTO DOBLE NO PERMITIDO", "OK"), "OK"))</f>
        <v/>
      </c>
      <c r="AR1245" s="79">
        <f>IF(AN1245="","",IF(OR(AO1245&lt;&gt;"OK", AP1245&lt;&gt;"OK", AQ1245&lt;&gt;"OK"), "⚠️ REVISAR", "OK"))</f>
        <v/>
      </c>
    </row>
    <row r="1246">
      <c r="A1246" s="79">
        <f>IF('Ordenes_Odoo'!A1246="","",'Ordenes_Odoo'!A1246)</f>
        <v/>
      </c>
      <c r="B1246" s="80">
        <f>IF('Ordenes_Odoo'!B1246="","",'Ordenes_Odoo'!B1246)</f>
        <v/>
      </c>
      <c r="C1246" s="79">
        <f>IF('Ordenes_Odoo'!C1246="","",'Ordenes_Odoo'!C1246)</f>
        <v/>
      </c>
      <c r="D1246" s="79">
        <f>IF('Ordenes_Odoo'!D1246="","",'Ordenes_Odoo'!D1246)</f>
        <v/>
      </c>
      <c r="E1246" s="79">
        <f>IF('Ordenes_Odoo'!E1246="","",'Ordenes_Odoo'!E1246)</f>
        <v/>
      </c>
      <c r="F1246" s="79">
        <f>IF('Ordenes_Odoo'!F1246="","",'Ordenes_Odoo'!F1246)</f>
        <v/>
      </c>
      <c r="G1246" s="79">
        <f>IF('Ordenes_Odoo'!G1246="","",'Ordenes_Odoo'!G1246)</f>
        <v/>
      </c>
      <c r="H1246" s="79">
        <f>IF('Ordenes_Odoo'!H1246="","",'Ordenes_Odoo'!H1246)</f>
        <v/>
      </c>
      <c r="I1246" s="79">
        <f>IF('Ordenes_Odoo'!I1246="","",'Ordenes_Odoo'!I1246)</f>
        <v/>
      </c>
      <c r="J1246" s="79">
        <f>IF('Ordenes_Odoo'!J1246="","",'Ordenes_Odoo'!J1246)</f>
        <v/>
      </c>
      <c r="K1246" s="81">
        <f>IF('Ordenes_Odoo'!K1246="","",'Ordenes_Odoo'!K1246)</f>
        <v/>
      </c>
      <c r="L1246" s="81">
        <f>IF('Ordenes_Odoo'!L1246="","",'Ordenes_Odoo'!L1246)</f>
        <v/>
      </c>
      <c r="M1246" s="79">
        <f>IF('Ordenes_Odoo'!M1246="","",'Ordenes_Odoo'!M1246)</f>
        <v/>
      </c>
      <c r="N1246" s="79">
        <f>IF('Ordenes_Odoo'!N1246="","",'Ordenes_Odoo'!N1246)</f>
        <v/>
      </c>
      <c r="O1246" s="81">
        <f>IF('Ordenes_Odoo'!O1246="","",'Ordenes_Odoo'!O1246)</f>
        <v/>
      </c>
      <c r="P1246" s="81">
        <f>IF('Ordenes_Odoo'!P1246="","",'Ordenes_Odoo'!P1246)</f>
        <v/>
      </c>
      <c r="Q1246" s="79">
        <f>IF(A1246="","",IFERROR(INDEX(Facturas_Odoo!$B:$B, MATCH(A1246, Facturas_Odoo!$D:$D, 0)), "Sin Factura"))</f>
        <v/>
      </c>
      <c r="R1246" s="80">
        <f>IF(Q1246="Sin Factura","",IFERROR(INDEX(Facturas_Odoo!$A:$A, MATCH(Q1246, Facturas_Odoo!$B:$B, 0)), ""))</f>
        <v/>
      </c>
      <c r="S1246" s="79">
        <f>IF(Q1246="Sin Factura","",IFERROR(_xlfn.XLOOKUP(1, (Facturas_Odoo!$D:$D=A1246) * (Facturas_Odoo!$K:$K=I1246), Facturas_Odoo!$L:$L, ""), ""))</f>
        <v/>
      </c>
      <c r="T1246" s="81">
        <f>IF(Q1246="Sin Factura",0,IFERROR(_xlfn.XLOOKUP(1, (Facturas_Odoo!$D:$D=A1246) * (Facturas_Odoo!$K:$K=I1246), Facturas_Odoo!$M:$M, 0), 0))</f>
        <v/>
      </c>
      <c r="U1246" s="79">
        <f>IF(Q1246="Sin Factura",0,IFERROR(_xlfn.XLOOKUP(1, (Facturas_Odoo!$D:$D=A1246) * (Facturas_Odoo!$K:$K=I1246), Facturas_Odoo!$N:$N, 0), 0))</f>
        <v/>
      </c>
      <c r="V1246" s="79">
        <f>IF(Q1246="Sin Factura",0,IFERROR(_xlfn.XLOOKUP(1, (Facturas_Odoo!$D:$D=A1246) * (Facturas_Odoo!$K:$K=I1246), Facturas_Odoo!$O:$O, 0), 0))</f>
        <v/>
      </c>
      <c r="W1246" s="81">
        <f>IF(Q1246="Sin Factura",0,IFERROR(_xlfn.XLOOKUP(1, (Facturas_Odoo!$D:$D=A1246) * (Facturas_Odoo!$K:$K=I1246), Facturas_Odoo!$Q:$Q, 0), 0))</f>
        <v/>
      </c>
      <c r="X1246" s="79">
        <f>IF(OR(Q1246="Sin Factura",Q1246=""),"",IFERROR(INDEX(Pagos_Odoo!$B:$B, MATCH(Q1246, Pagos_Odoo!$I:$I, 0)), "Sin Pago"))</f>
        <v/>
      </c>
      <c r="Y1246" s="79">
        <f>IF(X1246="Sin Pago","",IFERROR(INDEX(Pagos_Odoo!$C:$C, MATCH(X1246, Pagos_Odoo!$B:$B, 0)), ""))</f>
        <v/>
      </c>
      <c r="Z1246" s="80">
        <f>IF(X1246="Sin Pago","",IFERROR(INDEX(Pagos_Odoo!$A:$A, MATCH(X1246, Pagos_Odoo!$B:$B, 0)), ""))</f>
        <v/>
      </c>
      <c r="AA1246" s="79">
        <f>IF(X1246="Sin Pago","",IFERROR(INDEX(Pagos_Odoo!$F:$F, MATCH(X1246, Pagos_Odoo!$B:$B, 0)), ""))</f>
        <v/>
      </c>
      <c r="AB1246" s="81">
        <f>IF(X1246="Sin Pago",0,IFERROR(INDEX(Pagos_Odoo!$E:$E, MATCH(X1246, Pagos_Odoo!$B:$B, 0)), 0))</f>
        <v/>
      </c>
      <c r="AC1246" s="79">
        <f>IF(X1246="Sin Pago","",IFERROR(INDEX(Pagos_Odoo!$G:$G, MATCH(X1246, Pagos_Odoo!$B:$B, 0)), ""))</f>
        <v/>
      </c>
      <c r="AD1246" s="82" t="n">
        <v>0</v>
      </c>
      <c r="AE1246" s="82" t="n"/>
      <c r="AF1246" s="82" t="n"/>
      <c r="AG1246" s="82">
        <f>IF(AN1246="","",AD1246+AE1246+AF1246)</f>
        <v/>
      </c>
      <c r="AH1246" s="81">
        <f>IF(AN1246="","",P1246*(1-AG1246))</f>
        <v/>
      </c>
      <c r="AI1246" s="81">
        <f>IF(AN1246="","",IF(Q1246="Sin Factura",0,IFERROR(INDEX(Facturas_Odoo!$H:$H, MATCH(Q1246, Facturas_Odoo!$B:$B, 0)), 0)*(1-AG1246)))</f>
        <v/>
      </c>
      <c r="AJ1246" s="81">
        <f>IF(AN1246="","",_xlfn.LET(idVenta, AN1246&amp;"",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46" s="81">
        <f>IF(AN1246="","",AH1246-AJ1246)</f>
        <v/>
      </c>
      <c r="AL1246" s="81">
        <f>IF(AN1246="","",IF(Q1246="Sin Factura","",AI1246-AJ1246))</f>
        <v/>
      </c>
      <c r="AM1246" s="81">
        <f>IF(AN1246="","",IF(Q1246="Sin Factura",0,P1246-IFERROR(INDEX(Facturas_Odoo!$H:$H, MATCH(Q1246, Facturas_Odoo!$B:$B, 0)), 0)))</f>
        <v/>
      </c>
      <c r="AN1246" s="79">
        <f>IF(AND(A1246="", J1246=""), "", IF(A1246&lt;&gt;"", VALUE(MID(A1246,2,LEN(A1246))), AN1245))</f>
        <v/>
      </c>
      <c r="AO1246" s="79">
        <f>IF(AN1246="","",IF(AD1246=0,"OK",_xlfn.LET(monedaPago, IF(AA1246="","USD",AA1246), limitePermitido, IFERROR(VLOOKUP(monedaPago, Configuración!$A$2:$B$3, 2, FALSE), 0.15), IF(AD1246&gt;limitePermitido, "ALERTA: EXCESO (" &amp; TEXT(limitePermitido, "0%") &amp; " máx)", "OK"))))</f>
        <v/>
      </c>
      <c r="AP1246" s="79">
        <f>IF(AN1246="","",IF(AE1246=0,"OK",_xlfn.LET(fechaPago, Z1246, fechaFactura, R1246, diasCredito, IF(E1246="Pago inmediato", 0, IFERROR(VALUE(MID(E1246, 1, SEARCH(" ", E1246)-1)),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46" s="79">
        <f>IF(AN1246="","",IF(AND(N1246&gt;0, AG1246&gt;0), IF(Configuración!$K$2="NO", "ALERTA: DESCUENTO DOBLE NO PERMITIDO", "OK"), "OK"))</f>
        <v/>
      </c>
      <c r="AR1246" s="79">
        <f>IF(AN1246="","",IF(OR(AO1246&lt;&gt;"OK", AP1246&lt;&gt;"OK", AQ1246&lt;&gt;"OK"), "⚠️ REVISAR", "OK"))</f>
        <v/>
      </c>
    </row>
    <row r="1247">
      <c r="A1247" s="79">
        <f>IF('Ordenes_Odoo'!A1247="","",'Ordenes_Odoo'!A1247)</f>
        <v/>
      </c>
      <c r="B1247" s="80">
        <f>IF('Ordenes_Odoo'!B1247="","",'Ordenes_Odoo'!B1247)</f>
        <v/>
      </c>
      <c r="C1247" s="79">
        <f>IF('Ordenes_Odoo'!C1247="","",'Ordenes_Odoo'!C1247)</f>
        <v/>
      </c>
      <c r="D1247" s="79">
        <f>IF('Ordenes_Odoo'!D1247="","",'Ordenes_Odoo'!D1247)</f>
        <v/>
      </c>
      <c r="E1247" s="79">
        <f>IF('Ordenes_Odoo'!E1247="","",'Ordenes_Odoo'!E1247)</f>
        <v/>
      </c>
      <c r="F1247" s="79">
        <f>IF('Ordenes_Odoo'!F1247="","",'Ordenes_Odoo'!F1247)</f>
        <v/>
      </c>
      <c r="G1247" s="79">
        <f>IF('Ordenes_Odoo'!G1247="","",'Ordenes_Odoo'!G1247)</f>
        <v/>
      </c>
      <c r="H1247" s="79">
        <f>IF('Ordenes_Odoo'!H1247="","",'Ordenes_Odoo'!H1247)</f>
        <v/>
      </c>
      <c r="I1247" s="79">
        <f>IF('Ordenes_Odoo'!I1247="","",'Ordenes_Odoo'!I1247)</f>
        <v/>
      </c>
      <c r="J1247" s="79">
        <f>IF('Ordenes_Odoo'!J1247="","",'Ordenes_Odoo'!J1247)</f>
        <v/>
      </c>
      <c r="K1247" s="81">
        <f>IF('Ordenes_Odoo'!K1247="","",'Ordenes_Odoo'!K1247)</f>
        <v/>
      </c>
      <c r="L1247" s="81">
        <f>IF('Ordenes_Odoo'!L1247="","",'Ordenes_Odoo'!L1247)</f>
        <v/>
      </c>
      <c r="M1247" s="79">
        <f>IF('Ordenes_Odoo'!M1247="","",'Ordenes_Odoo'!M1247)</f>
        <v/>
      </c>
      <c r="N1247" s="79">
        <f>IF('Ordenes_Odoo'!N1247="","",'Ordenes_Odoo'!N1247)</f>
        <v/>
      </c>
      <c r="O1247" s="81">
        <f>IF('Ordenes_Odoo'!O1247="","",'Ordenes_Odoo'!O1247)</f>
        <v/>
      </c>
      <c r="P1247" s="81">
        <f>IF('Ordenes_Odoo'!P1247="","",'Ordenes_Odoo'!P1247)</f>
        <v/>
      </c>
      <c r="Q1247" s="79">
        <f>IF(A1247="","",IFERROR(INDEX(Facturas_Odoo!$B:$B, MATCH(A1247, Facturas_Odoo!$D:$D, 0)), "Sin Factura"))</f>
        <v/>
      </c>
      <c r="R1247" s="80">
        <f>IF(Q1247="Sin Factura","",IFERROR(INDEX(Facturas_Odoo!$A:$A, MATCH(Q1247, Facturas_Odoo!$B:$B, 0)), ""))</f>
        <v/>
      </c>
      <c r="S1247" s="79">
        <f>IF(Q1247="Sin Factura","",IFERROR(_xlfn.XLOOKUP(1, (Facturas_Odoo!$D:$D=A1247) * (Facturas_Odoo!$K:$K=I1247), Facturas_Odoo!$L:$L, ""), ""))</f>
        <v/>
      </c>
      <c r="T1247" s="81">
        <f>IF(Q1247="Sin Factura",0,IFERROR(_xlfn.XLOOKUP(1, (Facturas_Odoo!$D:$D=A1247) * (Facturas_Odoo!$K:$K=I1247), Facturas_Odoo!$M:$M, 0), 0))</f>
        <v/>
      </c>
      <c r="U1247" s="79">
        <f>IF(Q1247="Sin Factura",0,IFERROR(_xlfn.XLOOKUP(1, (Facturas_Odoo!$D:$D=A1247) * (Facturas_Odoo!$K:$K=I1247), Facturas_Odoo!$N:$N, 0), 0))</f>
        <v/>
      </c>
      <c r="V1247" s="79">
        <f>IF(Q1247="Sin Factura",0,IFERROR(_xlfn.XLOOKUP(1, (Facturas_Odoo!$D:$D=A1247) * (Facturas_Odoo!$K:$K=I1247), Facturas_Odoo!$O:$O, 0), 0))</f>
        <v/>
      </c>
      <c r="W1247" s="81">
        <f>IF(Q1247="Sin Factura",0,IFERROR(_xlfn.XLOOKUP(1, (Facturas_Odoo!$D:$D=A1247) * (Facturas_Odoo!$K:$K=I1247), Facturas_Odoo!$Q:$Q, 0), 0))</f>
        <v/>
      </c>
      <c r="X1247" s="79">
        <f>IF(OR(Q1247="Sin Factura",Q1247=""),"",IFERROR(INDEX(Pagos_Odoo!$B:$B, MATCH(Q1247, Pagos_Odoo!$I:$I, 0)), "Sin Pago"))</f>
        <v/>
      </c>
      <c r="Y1247" s="79">
        <f>IF(X1247="Sin Pago","",IFERROR(INDEX(Pagos_Odoo!$C:$C, MATCH(X1247, Pagos_Odoo!$B:$B, 0)), ""))</f>
        <v/>
      </c>
      <c r="Z1247" s="80">
        <f>IF(X1247="Sin Pago","",IFERROR(INDEX(Pagos_Odoo!$A:$A, MATCH(X1247, Pagos_Odoo!$B:$B, 0)), ""))</f>
        <v/>
      </c>
      <c r="AA1247" s="79">
        <f>IF(X1247="Sin Pago","",IFERROR(INDEX(Pagos_Odoo!$F:$F, MATCH(X1247, Pagos_Odoo!$B:$B, 0)), ""))</f>
        <v/>
      </c>
      <c r="AB1247" s="81">
        <f>IF(X1247="Sin Pago",0,IFERROR(INDEX(Pagos_Odoo!$E:$E, MATCH(X1247, Pagos_Odoo!$B:$B, 0)), 0))</f>
        <v/>
      </c>
      <c r="AC1247" s="79">
        <f>IF(X1247="Sin Pago","",IFERROR(INDEX(Pagos_Odoo!$G:$G, MATCH(X1247, Pagos_Odoo!$B:$B, 0)), ""))</f>
        <v/>
      </c>
      <c r="AD1247" s="82" t="n">
        <v>0</v>
      </c>
      <c r="AE1247" s="82" t="n"/>
      <c r="AF1247" s="82" t="n"/>
      <c r="AG1247" s="82">
        <f>IF(AN1247="","",AD1247+AE1247+AF1247)</f>
        <v/>
      </c>
      <c r="AH1247" s="81">
        <f>IF(AN1247="","",P1247*(1-AG1247))</f>
        <v/>
      </c>
      <c r="AI1247" s="81">
        <f>IF(AN1247="","",IF(Q1247="Sin Factura",0,IFERROR(INDEX(Facturas_Odoo!$H:$H, MATCH(Q1247, Facturas_Odoo!$B:$B, 0)), 0)*(1-AG1247)))</f>
        <v/>
      </c>
      <c r="AJ1247" s="81">
        <f>IF(AN1247="","",_xlfn.LET(idVenta, AN1247&amp;"",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47" s="81">
        <f>IF(AN1247="","",AH1247-AJ1247)</f>
        <v/>
      </c>
      <c r="AL1247" s="81">
        <f>IF(AN1247="","",IF(Q1247="Sin Factura","",AI1247-AJ1247))</f>
        <v/>
      </c>
      <c r="AM1247" s="81">
        <f>IF(AN1247="","",IF(Q1247="Sin Factura",0,P1247-IFERROR(INDEX(Facturas_Odoo!$H:$H, MATCH(Q1247, Facturas_Odoo!$B:$B, 0)), 0)))</f>
        <v/>
      </c>
      <c r="AN1247" s="79">
        <f>IF(AND(A1247="", J1247=""), "", IF(A1247&lt;&gt;"", VALUE(MID(A1247,2,LEN(A1247))), AN1246))</f>
        <v/>
      </c>
      <c r="AO1247" s="79">
        <f>IF(AN1247="","",IF(AD1247=0,"OK",_xlfn.LET(monedaPago, IF(AA1247="","USD",AA1247), limitePermitido, IFERROR(VLOOKUP(monedaPago, Configuración!$A$2:$B$3, 2, FALSE), 0.15), IF(AD1247&gt;limitePermitido, "ALERTA: EXCESO (" &amp; TEXT(limitePermitido, "0%") &amp; " máx)", "OK"))))</f>
        <v/>
      </c>
      <c r="AP1247" s="79">
        <f>IF(AN1247="","",IF(AE1247=0,"OK",_xlfn.LET(fechaPago, Z1247, fechaFactura, R1247, diasCredito, IF(E1247="Pago inmediato", 0, IFERROR(VALUE(MID(E1247, 1, SEARCH(" ", E1247)-1)),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47" s="79">
        <f>IF(AN1247="","",IF(AND(N1247&gt;0, AG1247&gt;0), IF(Configuración!$K$2="NO", "ALERTA: DESCUENTO DOBLE NO PERMITIDO", "OK"), "OK"))</f>
        <v/>
      </c>
      <c r="AR1247" s="79">
        <f>IF(AN1247="","",IF(OR(AO1247&lt;&gt;"OK", AP1247&lt;&gt;"OK", AQ1247&lt;&gt;"OK"), "⚠️ REVISAR", "OK"))</f>
        <v/>
      </c>
    </row>
    <row r="1248">
      <c r="A1248" s="79">
        <f>IF('Ordenes_Odoo'!A1248="","",'Ordenes_Odoo'!A1248)</f>
        <v/>
      </c>
      <c r="B1248" s="80">
        <f>IF('Ordenes_Odoo'!B1248="","",'Ordenes_Odoo'!B1248)</f>
        <v/>
      </c>
      <c r="C1248" s="79">
        <f>IF('Ordenes_Odoo'!C1248="","",'Ordenes_Odoo'!C1248)</f>
        <v/>
      </c>
      <c r="D1248" s="79">
        <f>IF('Ordenes_Odoo'!D1248="","",'Ordenes_Odoo'!D1248)</f>
        <v/>
      </c>
      <c r="E1248" s="79">
        <f>IF('Ordenes_Odoo'!E1248="","",'Ordenes_Odoo'!E1248)</f>
        <v/>
      </c>
      <c r="F1248" s="79">
        <f>IF('Ordenes_Odoo'!F1248="","",'Ordenes_Odoo'!F1248)</f>
        <v/>
      </c>
      <c r="G1248" s="79">
        <f>IF('Ordenes_Odoo'!G1248="","",'Ordenes_Odoo'!G1248)</f>
        <v/>
      </c>
      <c r="H1248" s="79">
        <f>IF('Ordenes_Odoo'!H1248="","",'Ordenes_Odoo'!H1248)</f>
        <v/>
      </c>
      <c r="I1248" s="79">
        <f>IF('Ordenes_Odoo'!I1248="","",'Ordenes_Odoo'!I1248)</f>
        <v/>
      </c>
      <c r="J1248" s="79">
        <f>IF('Ordenes_Odoo'!J1248="","",'Ordenes_Odoo'!J1248)</f>
        <v/>
      </c>
      <c r="K1248" s="81">
        <f>IF('Ordenes_Odoo'!K1248="","",'Ordenes_Odoo'!K1248)</f>
        <v/>
      </c>
      <c r="L1248" s="81">
        <f>IF('Ordenes_Odoo'!L1248="","",'Ordenes_Odoo'!L1248)</f>
        <v/>
      </c>
      <c r="M1248" s="79">
        <f>IF('Ordenes_Odoo'!M1248="","",'Ordenes_Odoo'!M1248)</f>
        <v/>
      </c>
      <c r="N1248" s="79">
        <f>IF('Ordenes_Odoo'!N1248="","",'Ordenes_Odoo'!N1248)</f>
        <v/>
      </c>
      <c r="O1248" s="81">
        <f>IF('Ordenes_Odoo'!O1248="","",'Ordenes_Odoo'!O1248)</f>
        <v/>
      </c>
      <c r="P1248" s="81">
        <f>IF('Ordenes_Odoo'!P1248="","",'Ordenes_Odoo'!P1248)</f>
        <v/>
      </c>
      <c r="Q1248" s="79">
        <f>IF(A1248="","",IFERROR(INDEX(Facturas_Odoo!$B:$B, MATCH(A1248, Facturas_Odoo!$D:$D, 0)), "Sin Factura"))</f>
        <v/>
      </c>
      <c r="R1248" s="80">
        <f>IF(Q1248="Sin Factura","",IFERROR(INDEX(Facturas_Odoo!$A:$A, MATCH(Q1248, Facturas_Odoo!$B:$B, 0)), ""))</f>
        <v/>
      </c>
      <c r="S1248" s="79">
        <f>IF(Q1248="Sin Factura","",IFERROR(_xlfn.XLOOKUP(1, (Facturas_Odoo!$D:$D=A1248) * (Facturas_Odoo!$K:$K=I1248), Facturas_Odoo!$L:$L, ""), ""))</f>
        <v/>
      </c>
      <c r="T1248" s="81">
        <f>IF(Q1248="Sin Factura",0,IFERROR(_xlfn.XLOOKUP(1, (Facturas_Odoo!$D:$D=A1248) * (Facturas_Odoo!$K:$K=I1248), Facturas_Odoo!$M:$M, 0), 0))</f>
        <v/>
      </c>
      <c r="U1248" s="79">
        <f>IF(Q1248="Sin Factura",0,IFERROR(_xlfn.XLOOKUP(1, (Facturas_Odoo!$D:$D=A1248) * (Facturas_Odoo!$K:$K=I1248), Facturas_Odoo!$N:$N, 0), 0))</f>
        <v/>
      </c>
      <c r="V1248" s="79">
        <f>IF(Q1248="Sin Factura",0,IFERROR(_xlfn.XLOOKUP(1, (Facturas_Odoo!$D:$D=A1248) * (Facturas_Odoo!$K:$K=I1248), Facturas_Odoo!$O:$O, 0), 0))</f>
        <v/>
      </c>
      <c r="W1248" s="81">
        <f>IF(Q1248="Sin Factura",0,IFERROR(_xlfn.XLOOKUP(1, (Facturas_Odoo!$D:$D=A1248) * (Facturas_Odoo!$K:$K=I1248), Facturas_Odoo!$Q:$Q, 0), 0))</f>
        <v/>
      </c>
      <c r="X1248" s="79">
        <f>IF(OR(Q1248="Sin Factura",Q1248=""),"",IFERROR(INDEX(Pagos_Odoo!$B:$B, MATCH(Q1248, Pagos_Odoo!$I:$I, 0)), "Sin Pago"))</f>
        <v/>
      </c>
      <c r="Y1248" s="79">
        <f>IF(X1248="Sin Pago","",IFERROR(INDEX(Pagos_Odoo!$C:$C, MATCH(X1248, Pagos_Odoo!$B:$B, 0)), ""))</f>
        <v/>
      </c>
      <c r="Z1248" s="80">
        <f>IF(X1248="Sin Pago","",IFERROR(INDEX(Pagos_Odoo!$A:$A, MATCH(X1248, Pagos_Odoo!$B:$B, 0)), ""))</f>
        <v/>
      </c>
      <c r="AA1248" s="79">
        <f>IF(X1248="Sin Pago","",IFERROR(INDEX(Pagos_Odoo!$F:$F, MATCH(X1248, Pagos_Odoo!$B:$B, 0)), ""))</f>
        <v/>
      </c>
      <c r="AB1248" s="81">
        <f>IF(X1248="Sin Pago",0,IFERROR(INDEX(Pagos_Odoo!$E:$E, MATCH(X1248, Pagos_Odoo!$B:$B, 0)), 0))</f>
        <v/>
      </c>
      <c r="AC1248" s="79">
        <f>IF(X1248="Sin Pago","",IFERROR(INDEX(Pagos_Odoo!$G:$G, MATCH(X1248, Pagos_Odoo!$B:$B, 0)), ""))</f>
        <v/>
      </c>
      <c r="AD1248" s="82" t="n">
        <v>0</v>
      </c>
      <c r="AE1248" s="82" t="n"/>
      <c r="AF1248" s="82" t="n"/>
      <c r="AG1248" s="82">
        <f>IF(AN1248="","",AD1248+AE1248+AF1248)</f>
        <v/>
      </c>
      <c r="AH1248" s="81">
        <f>IF(AN1248="","",P1248*(1-AG1248))</f>
        <v/>
      </c>
      <c r="AI1248" s="81">
        <f>IF(AN1248="","",IF(Q1248="Sin Factura",0,IFERROR(INDEX(Facturas_Odoo!$H:$H, MATCH(Q1248, Facturas_Odoo!$B:$B, 0)), 0)*(1-AG1248)))</f>
        <v/>
      </c>
      <c r="AJ1248" s="81">
        <f>IF(AN1248="","",_xlfn.LET(idVenta, AN1248&amp;"",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48" s="81">
        <f>IF(AN1248="","",AH1248-AJ1248)</f>
        <v/>
      </c>
      <c r="AL1248" s="81">
        <f>IF(AN1248="","",IF(Q1248="Sin Factura","",AI1248-AJ1248))</f>
        <v/>
      </c>
      <c r="AM1248" s="81">
        <f>IF(AN1248="","",IF(Q1248="Sin Factura",0,P1248-IFERROR(INDEX(Facturas_Odoo!$H:$H, MATCH(Q1248, Facturas_Odoo!$B:$B, 0)), 0)))</f>
        <v/>
      </c>
      <c r="AN1248" s="79">
        <f>IF(AND(A1248="", J1248=""), "", IF(A1248&lt;&gt;"", VALUE(MID(A1248,2,LEN(A1248))), AN1247))</f>
        <v/>
      </c>
      <c r="AO1248" s="79">
        <f>IF(AN1248="","",IF(AD1248=0,"OK",_xlfn.LET(monedaPago, IF(AA1248="","USD",AA1248), limitePermitido, IFERROR(VLOOKUP(monedaPago, Configuración!$A$2:$B$3, 2, FALSE), 0.15), IF(AD1248&gt;limitePermitido, "ALERTA: EXCESO (" &amp; TEXT(limitePermitido, "0%") &amp; " máx)", "OK"))))</f>
        <v/>
      </c>
      <c r="AP1248" s="79">
        <f>IF(AN1248="","",IF(AE1248=0,"OK",_xlfn.LET(fechaPago, Z1248, fechaFactura, R1248, diasCredito, IF(E1248="Pago inmediato", 0, IFERROR(VALUE(MID(E1248, 1, SEARCH(" ", E1248)-1)),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48" s="79">
        <f>IF(AN1248="","",IF(AND(N1248&gt;0, AG1248&gt;0), IF(Configuración!$K$2="NO", "ALERTA: DESCUENTO DOBLE NO PERMITIDO", "OK"), "OK"))</f>
        <v/>
      </c>
      <c r="AR1248" s="79">
        <f>IF(AN1248="","",IF(OR(AO1248&lt;&gt;"OK", AP1248&lt;&gt;"OK", AQ1248&lt;&gt;"OK"), "⚠️ REVISAR", "OK"))</f>
        <v/>
      </c>
    </row>
    <row r="1249">
      <c r="A1249" s="79">
        <f>IF('Ordenes_Odoo'!A1249="","",'Ordenes_Odoo'!A1249)</f>
        <v/>
      </c>
      <c r="B1249" s="80">
        <f>IF('Ordenes_Odoo'!B1249="","",'Ordenes_Odoo'!B1249)</f>
        <v/>
      </c>
      <c r="C1249" s="79">
        <f>IF('Ordenes_Odoo'!C1249="","",'Ordenes_Odoo'!C1249)</f>
        <v/>
      </c>
      <c r="D1249" s="79">
        <f>IF('Ordenes_Odoo'!D1249="","",'Ordenes_Odoo'!D1249)</f>
        <v/>
      </c>
      <c r="E1249" s="79">
        <f>IF('Ordenes_Odoo'!E1249="","",'Ordenes_Odoo'!E1249)</f>
        <v/>
      </c>
      <c r="F1249" s="79">
        <f>IF('Ordenes_Odoo'!F1249="","",'Ordenes_Odoo'!F1249)</f>
        <v/>
      </c>
      <c r="G1249" s="79">
        <f>IF('Ordenes_Odoo'!G1249="","",'Ordenes_Odoo'!G1249)</f>
        <v/>
      </c>
      <c r="H1249" s="79">
        <f>IF('Ordenes_Odoo'!H1249="","",'Ordenes_Odoo'!H1249)</f>
        <v/>
      </c>
      <c r="I1249" s="79">
        <f>IF('Ordenes_Odoo'!I1249="","",'Ordenes_Odoo'!I1249)</f>
        <v/>
      </c>
      <c r="J1249" s="79">
        <f>IF('Ordenes_Odoo'!J1249="","",'Ordenes_Odoo'!J1249)</f>
        <v/>
      </c>
      <c r="K1249" s="81">
        <f>IF('Ordenes_Odoo'!K1249="","",'Ordenes_Odoo'!K1249)</f>
        <v/>
      </c>
      <c r="L1249" s="81">
        <f>IF('Ordenes_Odoo'!L1249="","",'Ordenes_Odoo'!L1249)</f>
        <v/>
      </c>
      <c r="M1249" s="79">
        <f>IF('Ordenes_Odoo'!M1249="","",'Ordenes_Odoo'!M1249)</f>
        <v/>
      </c>
      <c r="N1249" s="79">
        <f>IF('Ordenes_Odoo'!N1249="","",'Ordenes_Odoo'!N1249)</f>
        <v/>
      </c>
      <c r="O1249" s="81">
        <f>IF('Ordenes_Odoo'!O1249="","",'Ordenes_Odoo'!O1249)</f>
        <v/>
      </c>
      <c r="P1249" s="81">
        <f>IF('Ordenes_Odoo'!P1249="","",'Ordenes_Odoo'!P1249)</f>
        <v/>
      </c>
      <c r="Q1249" s="79">
        <f>IF(A1249="","",IFERROR(INDEX(Facturas_Odoo!$B:$B, MATCH(A1249, Facturas_Odoo!$D:$D, 0)), "Sin Factura"))</f>
        <v/>
      </c>
      <c r="R1249" s="80">
        <f>IF(Q1249="Sin Factura","",IFERROR(INDEX(Facturas_Odoo!$A:$A, MATCH(Q1249, Facturas_Odoo!$B:$B, 0)), ""))</f>
        <v/>
      </c>
      <c r="S1249" s="79">
        <f>IF(Q1249="Sin Factura","",IFERROR(_xlfn.XLOOKUP(1, (Facturas_Odoo!$D:$D=A1249) * (Facturas_Odoo!$K:$K=I1249), Facturas_Odoo!$L:$L, ""), ""))</f>
        <v/>
      </c>
      <c r="T1249" s="81">
        <f>IF(Q1249="Sin Factura",0,IFERROR(_xlfn.XLOOKUP(1, (Facturas_Odoo!$D:$D=A1249) * (Facturas_Odoo!$K:$K=I1249), Facturas_Odoo!$M:$M, 0), 0))</f>
        <v/>
      </c>
      <c r="U1249" s="79">
        <f>IF(Q1249="Sin Factura",0,IFERROR(_xlfn.XLOOKUP(1, (Facturas_Odoo!$D:$D=A1249) * (Facturas_Odoo!$K:$K=I1249), Facturas_Odoo!$N:$N, 0), 0))</f>
        <v/>
      </c>
      <c r="V1249" s="79">
        <f>IF(Q1249="Sin Factura",0,IFERROR(_xlfn.XLOOKUP(1, (Facturas_Odoo!$D:$D=A1249) * (Facturas_Odoo!$K:$K=I1249), Facturas_Odoo!$O:$O, 0), 0))</f>
        <v/>
      </c>
      <c r="W1249" s="81">
        <f>IF(Q1249="Sin Factura",0,IFERROR(_xlfn.XLOOKUP(1, (Facturas_Odoo!$D:$D=A1249) * (Facturas_Odoo!$K:$K=I1249), Facturas_Odoo!$Q:$Q, 0), 0))</f>
        <v/>
      </c>
      <c r="X1249" s="79">
        <f>IF(OR(Q1249="Sin Factura",Q1249=""),"",IFERROR(INDEX(Pagos_Odoo!$B:$B, MATCH(Q1249, Pagos_Odoo!$I:$I, 0)), "Sin Pago"))</f>
        <v/>
      </c>
      <c r="Y1249" s="79">
        <f>IF(X1249="Sin Pago","",IFERROR(INDEX(Pagos_Odoo!$C:$C, MATCH(X1249, Pagos_Odoo!$B:$B, 0)), ""))</f>
        <v/>
      </c>
      <c r="Z1249" s="80">
        <f>IF(X1249="Sin Pago","",IFERROR(INDEX(Pagos_Odoo!$A:$A, MATCH(X1249, Pagos_Odoo!$B:$B, 0)), ""))</f>
        <v/>
      </c>
      <c r="AA1249" s="79">
        <f>IF(X1249="Sin Pago","",IFERROR(INDEX(Pagos_Odoo!$F:$F, MATCH(X1249, Pagos_Odoo!$B:$B, 0)), ""))</f>
        <v/>
      </c>
      <c r="AB1249" s="81">
        <f>IF(X1249="Sin Pago",0,IFERROR(INDEX(Pagos_Odoo!$E:$E, MATCH(X1249, Pagos_Odoo!$B:$B, 0)), 0))</f>
        <v/>
      </c>
      <c r="AC1249" s="79">
        <f>IF(X1249="Sin Pago","",IFERROR(INDEX(Pagos_Odoo!$G:$G, MATCH(X1249, Pagos_Odoo!$B:$B, 0)), ""))</f>
        <v/>
      </c>
      <c r="AD1249" s="82" t="n">
        <v>0</v>
      </c>
      <c r="AE1249" s="82" t="n"/>
      <c r="AF1249" s="82" t="n"/>
      <c r="AG1249" s="82">
        <f>IF(AN1249="","",AD1249+AE1249+AF1249)</f>
        <v/>
      </c>
      <c r="AH1249" s="81">
        <f>IF(AN1249="","",P1249*(1-AG1249))</f>
        <v/>
      </c>
      <c r="AI1249" s="81">
        <f>IF(AN1249="","",IF(Q1249="Sin Factura",0,IFERROR(INDEX(Facturas_Odoo!$H:$H, MATCH(Q1249, Facturas_Odoo!$B:$B, 0)), 0)*(1-AG1249)))</f>
        <v/>
      </c>
      <c r="AJ1249" s="81">
        <f>IF(AN1249="","",_xlfn.LET(idVenta, AN1249&amp;"",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49" s="81">
        <f>IF(AN1249="","",AH1249-AJ1249)</f>
        <v/>
      </c>
      <c r="AL1249" s="81">
        <f>IF(AN1249="","",IF(Q1249="Sin Factura","",AI1249-AJ1249))</f>
        <v/>
      </c>
      <c r="AM1249" s="81">
        <f>IF(AN1249="","",IF(Q1249="Sin Factura",0,P1249-IFERROR(INDEX(Facturas_Odoo!$H:$H, MATCH(Q1249, Facturas_Odoo!$B:$B, 0)), 0)))</f>
        <v/>
      </c>
      <c r="AN1249" s="79">
        <f>IF(AND(A1249="", J1249=""), "", IF(A1249&lt;&gt;"", VALUE(MID(A1249,2,LEN(A1249))), AN1248))</f>
        <v/>
      </c>
      <c r="AO1249" s="79">
        <f>IF(AN1249="","",IF(AD1249=0,"OK",_xlfn.LET(monedaPago, IF(AA1249="","USD",AA1249), limitePermitido, IFERROR(VLOOKUP(monedaPago, Configuración!$A$2:$B$3, 2, FALSE), 0.15), IF(AD1249&gt;limitePermitido, "ALERTA: EXCESO (" &amp; TEXT(limitePermitido, "0%") &amp; " máx)", "OK"))))</f>
        <v/>
      </c>
      <c r="AP1249" s="79">
        <f>IF(AN1249="","",IF(AE1249=0,"OK",_xlfn.LET(fechaPago, Z1249, fechaFactura, R1249, diasCredito, IF(E1249="Pago inmediato", 0, IFERROR(VALUE(MID(E1249, 1, SEARCH(" ", E1249)-1)),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49" s="79">
        <f>IF(AN1249="","",IF(AND(N1249&gt;0, AG1249&gt;0), IF(Configuración!$K$2="NO", "ALERTA: DESCUENTO DOBLE NO PERMITIDO", "OK"), "OK"))</f>
        <v/>
      </c>
      <c r="AR1249" s="79">
        <f>IF(AN1249="","",IF(OR(AO1249&lt;&gt;"OK", AP1249&lt;&gt;"OK", AQ1249&lt;&gt;"OK"), "⚠️ REVISAR", "OK"))</f>
        <v/>
      </c>
    </row>
    <row r="1250">
      <c r="A1250" s="79">
        <f>IF('Ordenes_Odoo'!A1250="","",'Ordenes_Odoo'!A1250)</f>
        <v/>
      </c>
      <c r="B1250" s="80">
        <f>IF('Ordenes_Odoo'!B1250="","",'Ordenes_Odoo'!B1250)</f>
        <v/>
      </c>
      <c r="C1250" s="79">
        <f>IF('Ordenes_Odoo'!C1250="","",'Ordenes_Odoo'!C1250)</f>
        <v/>
      </c>
      <c r="D1250" s="79">
        <f>IF('Ordenes_Odoo'!D1250="","",'Ordenes_Odoo'!D1250)</f>
        <v/>
      </c>
      <c r="E1250" s="79">
        <f>IF('Ordenes_Odoo'!E1250="","",'Ordenes_Odoo'!E1250)</f>
        <v/>
      </c>
      <c r="F1250" s="79">
        <f>IF('Ordenes_Odoo'!F1250="","",'Ordenes_Odoo'!F1250)</f>
        <v/>
      </c>
      <c r="G1250" s="79">
        <f>IF('Ordenes_Odoo'!G1250="","",'Ordenes_Odoo'!G1250)</f>
        <v/>
      </c>
      <c r="H1250" s="79">
        <f>IF('Ordenes_Odoo'!H1250="","",'Ordenes_Odoo'!H1250)</f>
        <v/>
      </c>
      <c r="I1250" s="79">
        <f>IF('Ordenes_Odoo'!I1250="","",'Ordenes_Odoo'!I1250)</f>
        <v/>
      </c>
      <c r="J1250" s="79">
        <f>IF('Ordenes_Odoo'!J1250="","",'Ordenes_Odoo'!J1250)</f>
        <v/>
      </c>
      <c r="K1250" s="81">
        <f>IF('Ordenes_Odoo'!K1250="","",'Ordenes_Odoo'!K1250)</f>
        <v/>
      </c>
      <c r="L1250" s="81">
        <f>IF('Ordenes_Odoo'!L1250="","",'Ordenes_Odoo'!L1250)</f>
        <v/>
      </c>
      <c r="M1250" s="79">
        <f>IF('Ordenes_Odoo'!M1250="","",'Ordenes_Odoo'!M1250)</f>
        <v/>
      </c>
      <c r="N1250" s="79">
        <f>IF('Ordenes_Odoo'!N1250="","",'Ordenes_Odoo'!N1250)</f>
        <v/>
      </c>
      <c r="O1250" s="81">
        <f>IF('Ordenes_Odoo'!O1250="","",'Ordenes_Odoo'!O1250)</f>
        <v/>
      </c>
      <c r="P1250" s="81">
        <f>IF('Ordenes_Odoo'!P1250="","",'Ordenes_Odoo'!P1250)</f>
        <v/>
      </c>
      <c r="Q1250" s="79">
        <f>IF(A1250="","",IFERROR(INDEX(Facturas_Odoo!$B:$B, MATCH(A1250, Facturas_Odoo!$D:$D, 0)), "Sin Factura"))</f>
        <v/>
      </c>
      <c r="R1250" s="80">
        <f>IF(Q1250="Sin Factura","",IFERROR(INDEX(Facturas_Odoo!$A:$A, MATCH(Q1250, Facturas_Odoo!$B:$B, 0)), ""))</f>
        <v/>
      </c>
      <c r="S1250" s="79">
        <f>IF(Q1250="Sin Factura","",IFERROR(_xlfn.XLOOKUP(1, (Facturas_Odoo!$D:$D=A1250) * (Facturas_Odoo!$K:$K=I1250), Facturas_Odoo!$L:$L, ""), ""))</f>
        <v/>
      </c>
      <c r="T1250" s="81">
        <f>IF(Q1250="Sin Factura",0,IFERROR(_xlfn.XLOOKUP(1, (Facturas_Odoo!$D:$D=A1250) * (Facturas_Odoo!$K:$K=I1250), Facturas_Odoo!$M:$M, 0), 0))</f>
        <v/>
      </c>
      <c r="U1250" s="79">
        <f>IF(Q1250="Sin Factura",0,IFERROR(_xlfn.XLOOKUP(1, (Facturas_Odoo!$D:$D=A1250) * (Facturas_Odoo!$K:$K=I1250), Facturas_Odoo!$N:$N, 0), 0))</f>
        <v/>
      </c>
      <c r="V1250" s="79">
        <f>IF(Q1250="Sin Factura",0,IFERROR(_xlfn.XLOOKUP(1, (Facturas_Odoo!$D:$D=A1250) * (Facturas_Odoo!$K:$K=I1250), Facturas_Odoo!$O:$O, 0), 0))</f>
        <v/>
      </c>
      <c r="W1250" s="81">
        <f>IF(Q1250="Sin Factura",0,IFERROR(_xlfn.XLOOKUP(1, (Facturas_Odoo!$D:$D=A1250) * (Facturas_Odoo!$K:$K=I1250), Facturas_Odoo!$Q:$Q, 0), 0))</f>
        <v/>
      </c>
      <c r="X1250" s="79">
        <f>IF(OR(Q1250="Sin Factura",Q1250=""),"",IFERROR(INDEX(Pagos_Odoo!$B:$B, MATCH(Q1250, Pagos_Odoo!$I:$I, 0)), "Sin Pago"))</f>
        <v/>
      </c>
      <c r="Y1250" s="79">
        <f>IF(X1250="Sin Pago","",IFERROR(INDEX(Pagos_Odoo!$C:$C, MATCH(X1250, Pagos_Odoo!$B:$B, 0)), ""))</f>
        <v/>
      </c>
      <c r="Z1250" s="80">
        <f>IF(X1250="Sin Pago","",IFERROR(INDEX(Pagos_Odoo!$A:$A, MATCH(X1250, Pagos_Odoo!$B:$B, 0)), ""))</f>
        <v/>
      </c>
      <c r="AA1250" s="79">
        <f>IF(X1250="Sin Pago","",IFERROR(INDEX(Pagos_Odoo!$F:$F, MATCH(X1250, Pagos_Odoo!$B:$B, 0)), ""))</f>
        <v/>
      </c>
      <c r="AB1250" s="81">
        <f>IF(X1250="Sin Pago",0,IFERROR(INDEX(Pagos_Odoo!$E:$E, MATCH(X1250, Pagos_Odoo!$B:$B, 0)), 0))</f>
        <v/>
      </c>
      <c r="AC1250" s="79">
        <f>IF(X1250="Sin Pago","",IFERROR(INDEX(Pagos_Odoo!$G:$G, MATCH(X1250, Pagos_Odoo!$B:$B, 0)), ""))</f>
        <v/>
      </c>
      <c r="AD1250" s="82" t="n">
        <v>0</v>
      </c>
      <c r="AE1250" s="82" t="n"/>
      <c r="AF1250" s="82" t="n"/>
      <c r="AG1250" s="82">
        <f>IF(AN1250="","",AD1250+AE1250+AF1250)</f>
        <v/>
      </c>
      <c r="AH1250" s="81">
        <f>IF(AN1250="","",P1250*(1-AG1250))</f>
        <v/>
      </c>
      <c r="AI1250" s="81">
        <f>IF(AN1250="","",IF(Q1250="Sin Factura",0,IFERROR(INDEX(Facturas_Odoo!$H:$H, MATCH(Q1250, Facturas_Odoo!$B:$B, 0)), 0)*(1-AG1250)))</f>
        <v/>
      </c>
      <c r="AJ1250" s="81">
        <f>IF(AN1250="","",_xlfn.LET(idVenta, AN1250&amp;"",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50" s="81">
        <f>IF(AN1250="","",AH1250-AJ1250)</f>
        <v/>
      </c>
      <c r="AL1250" s="81">
        <f>IF(AN1250="","",IF(Q1250="Sin Factura","",AI1250-AJ1250))</f>
        <v/>
      </c>
      <c r="AM1250" s="81">
        <f>IF(AN1250="","",IF(Q1250="Sin Factura",0,P1250-IFERROR(INDEX(Facturas_Odoo!$H:$H, MATCH(Q1250, Facturas_Odoo!$B:$B, 0)), 0)))</f>
        <v/>
      </c>
      <c r="AN1250" s="79">
        <f>IF(AND(A1250="", J1250=""), "", IF(A1250&lt;&gt;"", VALUE(MID(A1250,2,LEN(A1250))), AN1249))</f>
        <v/>
      </c>
      <c r="AO1250" s="79">
        <f>IF(AN1250="","",IF(AD1250=0,"OK",_xlfn.LET(monedaPago, IF(AA1250="","USD",AA1250), limitePermitido, IFERROR(VLOOKUP(monedaPago, Configuración!$A$2:$B$3, 2, FALSE), 0.15), IF(AD1250&gt;limitePermitido, "ALERTA: EXCESO (" &amp; TEXT(limitePermitido, "0%") &amp; " máx)", "OK"))))</f>
        <v/>
      </c>
      <c r="AP1250" s="79">
        <f>IF(AN1250="","",IF(AE1250=0,"OK",_xlfn.LET(fechaPago, Z1250, fechaFactura, R1250, diasCredito, IF(E1250="Pago inmediato", 0, IFERROR(VALUE(MID(E1250, 1, SEARCH(" ", E1250)-1)),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50" s="79">
        <f>IF(AN1250="","",IF(AND(N1250&gt;0, AG1250&gt;0), IF(Configuración!$K$2="NO", "ALERTA: DESCUENTO DOBLE NO PERMITIDO", "OK"), "OK"))</f>
        <v/>
      </c>
      <c r="AR1250" s="79">
        <f>IF(AN1250="","",IF(OR(AO1250&lt;&gt;"OK", AP1250&lt;&gt;"OK", AQ1250&lt;&gt;"OK"), "⚠️ REVISAR", "OK"))</f>
        <v/>
      </c>
    </row>
    <row r="1251">
      <c r="A1251" s="79">
        <f>IF('Ordenes_Odoo'!A1251="","",'Ordenes_Odoo'!A1251)</f>
        <v/>
      </c>
      <c r="B1251" s="80">
        <f>IF('Ordenes_Odoo'!B1251="","",'Ordenes_Odoo'!B1251)</f>
        <v/>
      </c>
      <c r="C1251" s="79">
        <f>IF('Ordenes_Odoo'!C1251="","",'Ordenes_Odoo'!C1251)</f>
        <v/>
      </c>
      <c r="D1251" s="79">
        <f>IF('Ordenes_Odoo'!D1251="","",'Ordenes_Odoo'!D1251)</f>
        <v/>
      </c>
      <c r="E1251" s="79">
        <f>IF('Ordenes_Odoo'!E1251="","",'Ordenes_Odoo'!E1251)</f>
        <v/>
      </c>
      <c r="F1251" s="79">
        <f>IF('Ordenes_Odoo'!F1251="","",'Ordenes_Odoo'!F1251)</f>
        <v/>
      </c>
      <c r="G1251" s="79">
        <f>IF('Ordenes_Odoo'!G1251="","",'Ordenes_Odoo'!G1251)</f>
        <v/>
      </c>
      <c r="H1251" s="79">
        <f>IF('Ordenes_Odoo'!H1251="","",'Ordenes_Odoo'!H1251)</f>
        <v/>
      </c>
      <c r="I1251" s="79">
        <f>IF('Ordenes_Odoo'!I1251="","",'Ordenes_Odoo'!I1251)</f>
        <v/>
      </c>
      <c r="J1251" s="79">
        <f>IF('Ordenes_Odoo'!J1251="","",'Ordenes_Odoo'!J1251)</f>
        <v/>
      </c>
      <c r="K1251" s="81">
        <f>IF('Ordenes_Odoo'!K1251="","",'Ordenes_Odoo'!K1251)</f>
        <v/>
      </c>
      <c r="L1251" s="81">
        <f>IF('Ordenes_Odoo'!L1251="","",'Ordenes_Odoo'!L1251)</f>
        <v/>
      </c>
      <c r="M1251" s="79">
        <f>IF('Ordenes_Odoo'!M1251="","",'Ordenes_Odoo'!M1251)</f>
        <v/>
      </c>
      <c r="N1251" s="79">
        <f>IF('Ordenes_Odoo'!N1251="","",'Ordenes_Odoo'!N1251)</f>
        <v/>
      </c>
      <c r="O1251" s="81">
        <f>IF('Ordenes_Odoo'!O1251="","",'Ordenes_Odoo'!O1251)</f>
        <v/>
      </c>
      <c r="P1251" s="81">
        <f>IF('Ordenes_Odoo'!P1251="","",'Ordenes_Odoo'!P1251)</f>
        <v/>
      </c>
      <c r="Q1251" s="79">
        <f>IF(A1251="","",IFERROR(INDEX(Facturas_Odoo!$B:$B, MATCH(A1251, Facturas_Odoo!$D:$D, 0)), "Sin Factura"))</f>
        <v/>
      </c>
      <c r="R1251" s="80">
        <f>IF(Q1251="Sin Factura","",IFERROR(INDEX(Facturas_Odoo!$A:$A, MATCH(Q1251, Facturas_Odoo!$B:$B, 0)), ""))</f>
        <v/>
      </c>
      <c r="S1251" s="79">
        <f>IF(Q1251="Sin Factura","",IFERROR(_xlfn.XLOOKUP(1, (Facturas_Odoo!$D:$D=A1251) * (Facturas_Odoo!$K:$K=I1251), Facturas_Odoo!$L:$L, ""), ""))</f>
        <v/>
      </c>
      <c r="T1251" s="81">
        <f>IF(Q1251="Sin Factura",0,IFERROR(_xlfn.XLOOKUP(1, (Facturas_Odoo!$D:$D=A1251) * (Facturas_Odoo!$K:$K=I1251), Facturas_Odoo!$M:$M, 0), 0))</f>
        <v/>
      </c>
      <c r="U1251" s="79">
        <f>IF(Q1251="Sin Factura",0,IFERROR(_xlfn.XLOOKUP(1, (Facturas_Odoo!$D:$D=A1251) * (Facturas_Odoo!$K:$K=I1251), Facturas_Odoo!$N:$N, 0), 0))</f>
        <v/>
      </c>
      <c r="V1251" s="79">
        <f>IF(Q1251="Sin Factura",0,IFERROR(_xlfn.XLOOKUP(1, (Facturas_Odoo!$D:$D=A1251) * (Facturas_Odoo!$K:$K=I1251), Facturas_Odoo!$O:$O, 0), 0))</f>
        <v/>
      </c>
      <c r="W1251" s="81">
        <f>IF(Q1251="Sin Factura",0,IFERROR(_xlfn.XLOOKUP(1, (Facturas_Odoo!$D:$D=A1251) * (Facturas_Odoo!$K:$K=I1251), Facturas_Odoo!$Q:$Q, 0), 0))</f>
        <v/>
      </c>
      <c r="X1251" s="79">
        <f>IF(OR(Q1251="Sin Factura",Q1251=""),"",IFERROR(INDEX(Pagos_Odoo!$B:$B, MATCH(Q1251, Pagos_Odoo!$I:$I, 0)), "Sin Pago"))</f>
        <v/>
      </c>
      <c r="Y1251" s="79">
        <f>IF(X1251="Sin Pago","",IFERROR(INDEX(Pagos_Odoo!$C:$C, MATCH(X1251, Pagos_Odoo!$B:$B, 0)), ""))</f>
        <v/>
      </c>
      <c r="Z1251" s="80">
        <f>IF(X1251="Sin Pago","",IFERROR(INDEX(Pagos_Odoo!$A:$A, MATCH(X1251, Pagos_Odoo!$B:$B, 0)), ""))</f>
        <v/>
      </c>
      <c r="AA1251" s="79">
        <f>IF(X1251="Sin Pago","",IFERROR(INDEX(Pagos_Odoo!$F:$F, MATCH(X1251, Pagos_Odoo!$B:$B, 0)), ""))</f>
        <v/>
      </c>
      <c r="AB1251" s="81">
        <f>IF(X1251="Sin Pago",0,IFERROR(INDEX(Pagos_Odoo!$E:$E, MATCH(X1251, Pagos_Odoo!$B:$B, 0)), 0))</f>
        <v/>
      </c>
      <c r="AC1251" s="79">
        <f>IF(X1251="Sin Pago","",IFERROR(INDEX(Pagos_Odoo!$G:$G, MATCH(X1251, Pagos_Odoo!$B:$B, 0)), ""))</f>
        <v/>
      </c>
      <c r="AD1251" s="82" t="n">
        <v>0</v>
      </c>
      <c r="AE1251" s="82" t="n"/>
      <c r="AF1251" s="82" t="n"/>
      <c r="AG1251" s="82">
        <f>IF(AN1251="","",AD1251+AE1251+AF1251)</f>
        <v/>
      </c>
      <c r="AH1251" s="81">
        <f>IF(AN1251="","",P1251*(1-AG1251))</f>
        <v/>
      </c>
      <c r="AI1251" s="81">
        <f>IF(AN1251="","",IF(Q1251="Sin Factura",0,IFERROR(INDEX(Facturas_Odoo!$H:$H, MATCH(Q1251, Facturas_Odoo!$B:$B, 0)), 0)*(1-AG1251)))</f>
        <v/>
      </c>
      <c r="AJ1251" s="81">
        <f>IF(AN1251="","",_xlfn.LET(idVenta, AN1251&amp;"",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51" s="81">
        <f>IF(AN1251="","",AH1251-AJ1251)</f>
        <v/>
      </c>
      <c r="AL1251" s="81">
        <f>IF(AN1251="","",IF(Q1251="Sin Factura","",AI1251-AJ1251))</f>
        <v/>
      </c>
      <c r="AM1251" s="81">
        <f>IF(AN1251="","",IF(Q1251="Sin Factura",0,P1251-IFERROR(INDEX(Facturas_Odoo!$H:$H, MATCH(Q1251, Facturas_Odoo!$B:$B, 0)), 0)))</f>
        <v/>
      </c>
      <c r="AN1251" s="79">
        <f>IF(AND(A1251="", J1251=""), "", IF(A1251&lt;&gt;"", VALUE(MID(A1251,2,LEN(A1251))), AN1250))</f>
        <v/>
      </c>
      <c r="AO1251" s="79">
        <f>IF(AN1251="","",IF(AD1251=0,"OK",_xlfn.LET(monedaPago, IF(AA1251="","USD",AA1251), limitePermitido, IFERROR(VLOOKUP(monedaPago, Configuración!$A$2:$B$3, 2, FALSE), 0.15), IF(AD1251&gt;limitePermitido, "ALERTA: EXCESO (" &amp; TEXT(limitePermitido, "0%") &amp; " máx)", "OK"))))</f>
        <v/>
      </c>
      <c r="AP1251" s="79">
        <f>IF(AN1251="","",IF(AE1251=0,"OK",_xlfn.LET(fechaPago, Z1251, fechaFactura, R1251, diasCredito, IF(E1251="Pago inmediato", 0, IFERROR(VALUE(MID(E1251, 1, SEARCH(" ", E1251)-1)),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51" s="79">
        <f>IF(AN1251="","",IF(AND(N1251&gt;0, AG1251&gt;0), IF(Configuración!$K$2="NO", "ALERTA: DESCUENTO DOBLE NO PERMITIDO", "OK"), "OK"))</f>
        <v/>
      </c>
      <c r="AR1251" s="79">
        <f>IF(AN1251="","",IF(OR(AO1251&lt;&gt;"OK", AP1251&lt;&gt;"OK", AQ1251&lt;&gt;"OK"), "⚠️ REVISAR", "OK"))</f>
        <v/>
      </c>
    </row>
    <row r="1252">
      <c r="A1252" s="79">
        <f>IF('Ordenes_Odoo'!A1252="","",'Ordenes_Odoo'!A1252)</f>
        <v/>
      </c>
      <c r="B1252" s="80">
        <f>IF('Ordenes_Odoo'!B1252="","",'Ordenes_Odoo'!B1252)</f>
        <v/>
      </c>
      <c r="C1252" s="79">
        <f>IF('Ordenes_Odoo'!C1252="","",'Ordenes_Odoo'!C1252)</f>
        <v/>
      </c>
      <c r="D1252" s="79">
        <f>IF('Ordenes_Odoo'!D1252="","",'Ordenes_Odoo'!D1252)</f>
        <v/>
      </c>
      <c r="E1252" s="79">
        <f>IF('Ordenes_Odoo'!E1252="","",'Ordenes_Odoo'!E1252)</f>
        <v/>
      </c>
      <c r="F1252" s="79">
        <f>IF('Ordenes_Odoo'!F1252="","",'Ordenes_Odoo'!F1252)</f>
        <v/>
      </c>
      <c r="G1252" s="79">
        <f>IF('Ordenes_Odoo'!G1252="","",'Ordenes_Odoo'!G1252)</f>
        <v/>
      </c>
      <c r="H1252" s="79">
        <f>IF('Ordenes_Odoo'!H1252="","",'Ordenes_Odoo'!H1252)</f>
        <v/>
      </c>
      <c r="I1252" s="79">
        <f>IF('Ordenes_Odoo'!I1252="","",'Ordenes_Odoo'!I1252)</f>
        <v/>
      </c>
      <c r="J1252" s="79">
        <f>IF('Ordenes_Odoo'!J1252="","",'Ordenes_Odoo'!J1252)</f>
        <v/>
      </c>
      <c r="K1252" s="81">
        <f>IF('Ordenes_Odoo'!K1252="","",'Ordenes_Odoo'!K1252)</f>
        <v/>
      </c>
      <c r="L1252" s="81">
        <f>IF('Ordenes_Odoo'!L1252="","",'Ordenes_Odoo'!L1252)</f>
        <v/>
      </c>
      <c r="M1252" s="79">
        <f>IF('Ordenes_Odoo'!M1252="","",'Ordenes_Odoo'!M1252)</f>
        <v/>
      </c>
      <c r="N1252" s="79">
        <f>IF('Ordenes_Odoo'!N1252="","",'Ordenes_Odoo'!N1252)</f>
        <v/>
      </c>
      <c r="O1252" s="81">
        <f>IF('Ordenes_Odoo'!O1252="","",'Ordenes_Odoo'!O1252)</f>
        <v/>
      </c>
      <c r="P1252" s="81">
        <f>IF('Ordenes_Odoo'!P1252="","",'Ordenes_Odoo'!P1252)</f>
        <v/>
      </c>
      <c r="Q1252" s="79">
        <f>IF(A1252="","",IFERROR(INDEX(Facturas_Odoo!$B:$B, MATCH(A1252, Facturas_Odoo!$D:$D, 0)), "Sin Factura"))</f>
        <v/>
      </c>
      <c r="R1252" s="80">
        <f>IF(Q1252="Sin Factura","",IFERROR(INDEX(Facturas_Odoo!$A:$A, MATCH(Q1252, Facturas_Odoo!$B:$B, 0)), ""))</f>
        <v/>
      </c>
      <c r="S1252" s="79">
        <f>IF(Q1252="Sin Factura","",IFERROR(_xlfn.XLOOKUP(1, (Facturas_Odoo!$D:$D=A1252) * (Facturas_Odoo!$K:$K=I1252), Facturas_Odoo!$L:$L, ""), ""))</f>
        <v/>
      </c>
      <c r="T1252" s="81">
        <f>IF(Q1252="Sin Factura",0,IFERROR(_xlfn.XLOOKUP(1, (Facturas_Odoo!$D:$D=A1252) * (Facturas_Odoo!$K:$K=I1252), Facturas_Odoo!$M:$M, 0), 0))</f>
        <v/>
      </c>
      <c r="U1252" s="79">
        <f>IF(Q1252="Sin Factura",0,IFERROR(_xlfn.XLOOKUP(1, (Facturas_Odoo!$D:$D=A1252) * (Facturas_Odoo!$K:$K=I1252), Facturas_Odoo!$N:$N, 0), 0))</f>
        <v/>
      </c>
      <c r="V1252" s="79">
        <f>IF(Q1252="Sin Factura",0,IFERROR(_xlfn.XLOOKUP(1, (Facturas_Odoo!$D:$D=A1252) * (Facturas_Odoo!$K:$K=I1252), Facturas_Odoo!$O:$O, 0), 0))</f>
        <v/>
      </c>
      <c r="W1252" s="81">
        <f>IF(Q1252="Sin Factura",0,IFERROR(_xlfn.XLOOKUP(1, (Facturas_Odoo!$D:$D=A1252) * (Facturas_Odoo!$K:$K=I1252), Facturas_Odoo!$Q:$Q, 0), 0))</f>
        <v/>
      </c>
      <c r="X1252" s="79">
        <f>IF(OR(Q1252="Sin Factura",Q1252=""),"",IFERROR(INDEX(Pagos_Odoo!$B:$B, MATCH(Q1252, Pagos_Odoo!$I:$I, 0)), "Sin Pago"))</f>
        <v/>
      </c>
      <c r="Y1252" s="79">
        <f>IF(X1252="Sin Pago","",IFERROR(INDEX(Pagos_Odoo!$C:$C, MATCH(X1252, Pagos_Odoo!$B:$B, 0)), ""))</f>
        <v/>
      </c>
      <c r="Z1252" s="80">
        <f>IF(X1252="Sin Pago","",IFERROR(INDEX(Pagos_Odoo!$A:$A, MATCH(X1252, Pagos_Odoo!$B:$B, 0)), ""))</f>
        <v/>
      </c>
      <c r="AA1252" s="79">
        <f>IF(X1252="Sin Pago","",IFERROR(INDEX(Pagos_Odoo!$F:$F, MATCH(X1252, Pagos_Odoo!$B:$B, 0)), ""))</f>
        <v/>
      </c>
      <c r="AB1252" s="81">
        <f>IF(X1252="Sin Pago",0,IFERROR(INDEX(Pagos_Odoo!$E:$E, MATCH(X1252, Pagos_Odoo!$B:$B, 0)), 0))</f>
        <v/>
      </c>
      <c r="AC1252" s="79">
        <f>IF(X1252="Sin Pago","",IFERROR(INDEX(Pagos_Odoo!$G:$G, MATCH(X1252, Pagos_Odoo!$B:$B, 0)), ""))</f>
        <v/>
      </c>
      <c r="AD1252" s="82" t="n">
        <v>0</v>
      </c>
      <c r="AE1252" s="82" t="n"/>
      <c r="AF1252" s="82" t="n"/>
      <c r="AG1252" s="82">
        <f>IF(AN1252="","",AD1252+AE1252+AF1252)</f>
        <v/>
      </c>
      <c r="AH1252" s="81">
        <f>IF(AN1252="","",P1252*(1-AG1252))</f>
        <v/>
      </c>
      <c r="AI1252" s="81">
        <f>IF(AN1252="","",IF(Q1252="Sin Factura",0,IFERROR(INDEX(Facturas_Odoo!$H:$H, MATCH(Q1252, Facturas_Odoo!$B:$B, 0)), 0)*(1-AG1252)))</f>
        <v/>
      </c>
      <c r="AJ1252" s="81">
        <f>IF(AN1252="","",_xlfn.LET(idVenta, AN1252&amp;"",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52" s="81">
        <f>IF(AN1252="","",AH1252-AJ1252)</f>
        <v/>
      </c>
      <c r="AL1252" s="81">
        <f>IF(AN1252="","",IF(Q1252="Sin Factura","",AI1252-AJ1252))</f>
        <v/>
      </c>
      <c r="AM1252" s="81">
        <f>IF(AN1252="","",IF(Q1252="Sin Factura",0,P1252-IFERROR(INDEX(Facturas_Odoo!$H:$H, MATCH(Q1252, Facturas_Odoo!$B:$B, 0)), 0)))</f>
        <v/>
      </c>
      <c r="AN1252" s="79">
        <f>IF(AND(A1252="", J1252=""), "", IF(A1252&lt;&gt;"", VALUE(MID(A1252,2,LEN(A1252))), AN1251))</f>
        <v/>
      </c>
      <c r="AO1252" s="79">
        <f>IF(AN1252="","",IF(AD1252=0,"OK",_xlfn.LET(monedaPago, IF(AA1252="","USD",AA1252), limitePermitido, IFERROR(VLOOKUP(monedaPago, Configuración!$A$2:$B$3, 2, FALSE), 0.15), IF(AD1252&gt;limitePermitido, "ALERTA: EXCESO (" &amp; TEXT(limitePermitido, "0%") &amp; " máx)", "OK"))))</f>
        <v/>
      </c>
      <c r="AP1252" s="79">
        <f>IF(AN1252="","",IF(AE1252=0,"OK",_xlfn.LET(fechaPago, Z1252, fechaFactura, R1252, diasCredito, IF(E1252="Pago inmediato", 0, IFERROR(VALUE(MID(E1252, 1, SEARCH(" ", E1252)-1)),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52" s="79">
        <f>IF(AN1252="","",IF(AND(N1252&gt;0, AG1252&gt;0), IF(Configuración!$K$2="NO", "ALERTA: DESCUENTO DOBLE NO PERMITIDO", "OK"), "OK"))</f>
        <v/>
      </c>
      <c r="AR1252" s="79">
        <f>IF(AN1252="","",IF(OR(AO1252&lt;&gt;"OK", AP1252&lt;&gt;"OK", AQ1252&lt;&gt;"OK"), "⚠️ REVISAR", "OK"))</f>
        <v/>
      </c>
    </row>
    <row r="1253">
      <c r="A1253" s="79">
        <f>IF('Ordenes_Odoo'!A1253="","",'Ordenes_Odoo'!A1253)</f>
        <v/>
      </c>
      <c r="B1253" s="80">
        <f>IF('Ordenes_Odoo'!B1253="","",'Ordenes_Odoo'!B1253)</f>
        <v/>
      </c>
      <c r="C1253" s="79">
        <f>IF('Ordenes_Odoo'!C1253="","",'Ordenes_Odoo'!C1253)</f>
        <v/>
      </c>
      <c r="D1253" s="79">
        <f>IF('Ordenes_Odoo'!D1253="","",'Ordenes_Odoo'!D1253)</f>
        <v/>
      </c>
      <c r="E1253" s="79">
        <f>IF('Ordenes_Odoo'!E1253="","",'Ordenes_Odoo'!E1253)</f>
        <v/>
      </c>
      <c r="F1253" s="79">
        <f>IF('Ordenes_Odoo'!F1253="","",'Ordenes_Odoo'!F1253)</f>
        <v/>
      </c>
      <c r="G1253" s="79">
        <f>IF('Ordenes_Odoo'!G1253="","",'Ordenes_Odoo'!G1253)</f>
        <v/>
      </c>
      <c r="H1253" s="79">
        <f>IF('Ordenes_Odoo'!H1253="","",'Ordenes_Odoo'!H1253)</f>
        <v/>
      </c>
      <c r="I1253" s="79">
        <f>IF('Ordenes_Odoo'!I1253="","",'Ordenes_Odoo'!I1253)</f>
        <v/>
      </c>
      <c r="J1253" s="79">
        <f>IF('Ordenes_Odoo'!J1253="","",'Ordenes_Odoo'!J1253)</f>
        <v/>
      </c>
      <c r="K1253" s="81">
        <f>IF('Ordenes_Odoo'!K1253="","",'Ordenes_Odoo'!K1253)</f>
        <v/>
      </c>
      <c r="L1253" s="81">
        <f>IF('Ordenes_Odoo'!L1253="","",'Ordenes_Odoo'!L1253)</f>
        <v/>
      </c>
      <c r="M1253" s="79">
        <f>IF('Ordenes_Odoo'!M1253="","",'Ordenes_Odoo'!M1253)</f>
        <v/>
      </c>
      <c r="N1253" s="79">
        <f>IF('Ordenes_Odoo'!N1253="","",'Ordenes_Odoo'!N1253)</f>
        <v/>
      </c>
      <c r="O1253" s="81">
        <f>IF('Ordenes_Odoo'!O1253="","",'Ordenes_Odoo'!O1253)</f>
        <v/>
      </c>
      <c r="P1253" s="81">
        <f>IF('Ordenes_Odoo'!P1253="","",'Ordenes_Odoo'!P1253)</f>
        <v/>
      </c>
      <c r="Q1253" s="79">
        <f>IF(A1253="","",IFERROR(INDEX(Facturas_Odoo!$B:$B, MATCH(A1253, Facturas_Odoo!$D:$D, 0)), "Sin Factura"))</f>
        <v/>
      </c>
      <c r="R1253" s="80">
        <f>IF(Q1253="Sin Factura","",IFERROR(INDEX(Facturas_Odoo!$A:$A, MATCH(Q1253, Facturas_Odoo!$B:$B, 0)), ""))</f>
        <v/>
      </c>
      <c r="S1253" s="79">
        <f>IF(Q1253="Sin Factura","",IFERROR(_xlfn.XLOOKUP(1, (Facturas_Odoo!$D:$D=A1253) * (Facturas_Odoo!$K:$K=I1253), Facturas_Odoo!$L:$L, ""), ""))</f>
        <v/>
      </c>
      <c r="T1253" s="81">
        <f>IF(Q1253="Sin Factura",0,IFERROR(_xlfn.XLOOKUP(1, (Facturas_Odoo!$D:$D=A1253) * (Facturas_Odoo!$K:$K=I1253), Facturas_Odoo!$M:$M, 0), 0))</f>
        <v/>
      </c>
      <c r="U1253" s="79">
        <f>IF(Q1253="Sin Factura",0,IFERROR(_xlfn.XLOOKUP(1, (Facturas_Odoo!$D:$D=A1253) * (Facturas_Odoo!$K:$K=I1253), Facturas_Odoo!$N:$N, 0), 0))</f>
        <v/>
      </c>
      <c r="V1253" s="79">
        <f>IF(Q1253="Sin Factura",0,IFERROR(_xlfn.XLOOKUP(1, (Facturas_Odoo!$D:$D=A1253) * (Facturas_Odoo!$K:$K=I1253), Facturas_Odoo!$O:$O, 0), 0))</f>
        <v/>
      </c>
      <c r="W1253" s="81">
        <f>IF(Q1253="Sin Factura",0,IFERROR(_xlfn.XLOOKUP(1, (Facturas_Odoo!$D:$D=A1253) * (Facturas_Odoo!$K:$K=I1253), Facturas_Odoo!$Q:$Q, 0), 0))</f>
        <v/>
      </c>
      <c r="X1253" s="79">
        <f>IF(OR(Q1253="Sin Factura",Q1253=""),"",IFERROR(INDEX(Pagos_Odoo!$B:$B, MATCH(Q1253, Pagos_Odoo!$I:$I, 0)), "Sin Pago"))</f>
        <v/>
      </c>
      <c r="Y1253" s="79">
        <f>IF(X1253="Sin Pago","",IFERROR(INDEX(Pagos_Odoo!$C:$C, MATCH(X1253, Pagos_Odoo!$B:$B, 0)), ""))</f>
        <v/>
      </c>
      <c r="Z1253" s="80">
        <f>IF(X1253="Sin Pago","",IFERROR(INDEX(Pagos_Odoo!$A:$A, MATCH(X1253, Pagos_Odoo!$B:$B, 0)), ""))</f>
        <v/>
      </c>
      <c r="AA1253" s="79">
        <f>IF(X1253="Sin Pago","",IFERROR(INDEX(Pagos_Odoo!$F:$F, MATCH(X1253, Pagos_Odoo!$B:$B, 0)), ""))</f>
        <v/>
      </c>
      <c r="AB1253" s="81">
        <f>IF(X1253="Sin Pago",0,IFERROR(INDEX(Pagos_Odoo!$E:$E, MATCH(X1253, Pagos_Odoo!$B:$B, 0)), 0))</f>
        <v/>
      </c>
      <c r="AC1253" s="79">
        <f>IF(X1253="Sin Pago","",IFERROR(INDEX(Pagos_Odoo!$G:$G, MATCH(X1253, Pagos_Odoo!$B:$B, 0)), ""))</f>
        <v/>
      </c>
      <c r="AD1253" s="82" t="n">
        <v>0</v>
      </c>
      <c r="AE1253" s="82" t="n"/>
      <c r="AF1253" s="82" t="n"/>
      <c r="AG1253" s="82">
        <f>IF(AN1253="","",AD1253+AE1253+AF1253)</f>
        <v/>
      </c>
      <c r="AH1253" s="81">
        <f>IF(AN1253="","",P1253*(1-AG1253))</f>
        <v/>
      </c>
      <c r="AI1253" s="81">
        <f>IF(AN1253="","",IF(Q1253="Sin Factura",0,IFERROR(INDEX(Facturas_Odoo!$H:$H, MATCH(Q1253, Facturas_Odoo!$B:$B, 0)), 0)*(1-AG1253)))</f>
        <v/>
      </c>
      <c r="AJ1253" s="81">
        <f>IF(AN1253="","",_xlfn.LET(idVenta, AN1253&amp;"",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53" s="81">
        <f>IF(AN1253="","",AH1253-AJ1253)</f>
        <v/>
      </c>
      <c r="AL1253" s="81">
        <f>IF(AN1253="","",IF(Q1253="Sin Factura","",AI1253-AJ1253))</f>
        <v/>
      </c>
      <c r="AM1253" s="81">
        <f>IF(AN1253="","",IF(Q1253="Sin Factura",0,P1253-IFERROR(INDEX(Facturas_Odoo!$H:$H, MATCH(Q1253, Facturas_Odoo!$B:$B, 0)), 0)))</f>
        <v/>
      </c>
      <c r="AN1253" s="79">
        <f>IF(AND(A1253="", J1253=""), "", IF(A1253&lt;&gt;"", VALUE(MID(A1253,2,LEN(A1253))), AN1252))</f>
        <v/>
      </c>
      <c r="AO1253" s="79">
        <f>IF(AN1253="","",IF(AD1253=0,"OK",_xlfn.LET(monedaPago, IF(AA1253="","USD",AA1253), limitePermitido, IFERROR(VLOOKUP(monedaPago, Configuración!$A$2:$B$3, 2, FALSE), 0.15), IF(AD1253&gt;limitePermitido, "ALERTA: EXCESO (" &amp; TEXT(limitePermitido, "0%") &amp; " máx)", "OK"))))</f>
        <v/>
      </c>
      <c r="AP1253" s="79">
        <f>IF(AN1253="","",IF(AE1253=0,"OK",_xlfn.LET(fechaPago, Z1253, fechaFactura, R1253, diasCredito, IF(E1253="Pago inmediato", 0, IFERROR(VALUE(MID(E1253, 1, SEARCH(" ", E1253)-1)),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53" s="79">
        <f>IF(AN1253="","",IF(AND(N1253&gt;0, AG1253&gt;0), IF(Configuración!$K$2="NO", "ALERTA: DESCUENTO DOBLE NO PERMITIDO", "OK"), "OK"))</f>
        <v/>
      </c>
      <c r="AR1253" s="79">
        <f>IF(AN1253="","",IF(OR(AO1253&lt;&gt;"OK", AP1253&lt;&gt;"OK", AQ1253&lt;&gt;"OK"), "⚠️ REVISAR", "OK"))</f>
        <v/>
      </c>
    </row>
    <row r="1254">
      <c r="A1254" s="79">
        <f>IF('Ordenes_Odoo'!A1254="","",'Ordenes_Odoo'!A1254)</f>
        <v/>
      </c>
      <c r="B1254" s="80">
        <f>IF('Ordenes_Odoo'!B1254="","",'Ordenes_Odoo'!B1254)</f>
        <v/>
      </c>
      <c r="C1254" s="79">
        <f>IF('Ordenes_Odoo'!C1254="","",'Ordenes_Odoo'!C1254)</f>
        <v/>
      </c>
      <c r="D1254" s="79">
        <f>IF('Ordenes_Odoo'!D1254="","",'Ordenes_Odoo'!D1254)</f>
        <v/>
      </c>
      <c r="E1254" s="79">
        <f>IF('Ordenes_Odoo'!E1254="","",'Ordenes_Odoo'!E1254)</f>
        <v/>
      </c>
      <c r="F1254" s="79">
        <f>IF('Ordenes_Odoo'!F1254="","",'Ordenes_Odoo'!F1254)</f>
        <v/>
      </c>
      <c r="G1254" s="79">
        <f>IF('Ordenes_Odoo'!G1254="","",'Ordenes_Odoo'!G1254)</f>
        <v/>
      </c>
      <c r="H1254" s="79">
        <f>IF('Ordenes_Odoo'!H1254="","",'Ordenes_Odoo'!H1254)</f>
        <v/>
      </c>
      <c r="I1254" s="79">
        <f>IF('Ordenes_Odoo'!I1254="","",'Ordenes_Odoo'!I1254)</f>
        <v/>
      </c>
      <c r="J1254" s="79">
        <f>IF('Ordenes_Odoo'!J1254="","",'Ordenes_Odoo'!J1254)</f>
        <v/>
      </c>
      <c r="K1254" s="81">
        <f>IF('Ordenes_Odoo'!K1254="","",'Ordenes_Odoo'!K1254)</f>
        <v/>
      </c>
      <c r="L1254" s="81">
        <f>IF('Ordenes_Odoo'!L1254="","",'Ordenes_Odoo'!L1254)</f>
        <v/>
      </c>
      <c r="M1254" s="79">
        <f>IF('Ordenes_Odoo'!M1254="","",'Ordenes_Odoo'!M1254)</f>
        <v/>
      </c>
      <c r="N1254" s="79">
        <f>IF('Ordenes_Odoo'!N1254="","",'Ordenes_Odoo'!N1254)</f>
        <v/>
      </c>
      <c r="O1254" s="81">
        <f>IF('Ordenes_Odoo'!O1254="","",'Ordenes_Odoo'!O1254)</f>
        <v/>
      </c>
      <c r="P1254" s="81">
        <f>IF('Ordenes_Odoo'!P1254="","",'Ordenes_Odoo'!P1254)</f>
        <v/>
      </c>
      <c r="Q1254" s="79">
        <f>IF(A1254="","",IFERROR(INDEX(Facturas_Odoo!$B:$B, MATCH(A1254, Facturas_Odoo!$D:$D, 0)), "Sin Factura"))</f>
        <v/>
      </c>
      <c r="R1254" s="80">
        <f>IF(Q1254="Sin Factura","",IFERROR(INDEX(Facturas_Odoo!$A:$A, MATCH(Q1254, Facturas_Odoo!$B:$B, 0)), ""))</f>
        <v/>
      </c>
      <c r="S1254" s="79">
        <f>IF(Q1254="Sin Factura","",IFERROR(_xlfn.XLOOKUP(1, (Facturas_Odoo!$D:$D=A1254) * (Facturas_Odoo!$K:$K=I1254), Facturas_Odoo!$L:$L, ""), ""))</f>
        <v/>
      </c>
      <c r="T1254" s="81">
        <f>IF(Q1254="Sin Factura",0,IFERROR(_xlfn.XLOOKUP(1, (Facturas_Odoo!$D:$D=A1254) * (Facturas_Odoo!$K:$K=I1254), Facturas_Odoo!$M:$M, 0), 0))</f>
        <v/>
      </c>
      <c r="U1254" s="79">
        <f>IF(Q1254="Sin Factura",0,IFERROR(_xlfn.XLOOKUP(1, (Facturas_Odoo!$D:$D=A1254) * (Facturas_Odoo!$K:$K=I1254), Facturas_Odoo!$N:$N, 0), 0))</f>
        <v/>
      </c>
      <c r="V1254" s="79">
        <f>IF(Q1254="Sin Factura",0,IFERROR(_xlfn.XLOOKUP(1, (Facturas_Odoo!$D:$D=A1254) * (Facturas_Odoo!$K:$K=I1254), Facturas_Odoo!$O:$O, 0), 0))</f>
        <v/>
      </c>
      <c r="W1254" s="81">
        <f>IF(Q1254="Sin Factura",0,IFERROR(_xlfn.XLOOKUP(1, (Facturas_Odoo!$D:$D=A1254) * (Facturas_Odoo!$K:$K=I1254), Facturas_Odoo!$Q:$Q, 0), 0))</f>
        <v/>
      </c>
      <c r="X1254" s="79">
        <f>IF(OR(Q1254="Sin Factura",Q1254=""),"",IFERROR(INDEX(Pagos_Odoo!$B:$B, MATCH(Q1254, Pagos_Odoo!$I:$I, 0)), "Sin Pago"))</f>
        <v/>
      </c>
      <c r="Y1254" s="79">
        <f>IF(X1254="Sin Pago","",IFERROR(INDEX(Pagos_Odoo!$C:$C, MATCH(X1254, Pagos_Odoo!$B:$B, 0)), ""))</f>
        <v/>
      </c>
      <c r="Z1254" s="80">
        <f>IF(X1254="Sin Pago","",IFERROR(INDEX(Pagos_Odoo!$A:$A, MATCH(X1254, Pagos_Odoo!$B:$B, 0)), ""))</f>
        <v/>
      </c>
      <c r="AA1254" s="79">
        <f>IF(X1254="Sin Pago","",IFERROR(INDEX(Pagos_Odoo!$F:$F, MATCH(X1254, Pagos_Odoo!$B:$B, 0)), ""))</f>
        <v/>
      </c>
      <c r="AB1254" s="81">
        <f>IF(X1254="Sin Pago",0,IFERROR(INDEX(Pagos_Odoo!$E:$E, MATCH(X1254, Pagos_Odoo!$B:$B, 0)), 0))</f>
        <v/>
      </c>
      <c r="AC1254" s="79">
        <f>IF(X1254="Sin Pago","",IFERROR(INDEX(Pagos_Odoo!$G:$G, MATCH(X1254, Pagos_Odoo!$B:$B, 0)), ""))</f>
        <v/>
      </c>
      <c r="AD1254" s="82" t="n">
        <v>0</v>
      </c>
      <c r="AE1254" s="82" t="n"/>
      <c r="AF1254" s="82" t="n"/>
      <c r="AG1254" s="82">
        <f>IF(AN1254="","",AD1254+AE1254+AF1254)</f>
        <v/>
      </c>
      <c r="AH1254" s="81">
        <f>IF(AN1254="","",P1254*(1-AG1254))</f>
        <v/>
      </c>
      <c r="AI1254" s="81">
        <f>IF(AN1254="","",IF(Q1254="Sin Factura",0,IFERROR(INDEX(Facturas_Odoo!$H:$H, MATCH(Q1254, Facturas_Odoo!$B:$B, 0)), 0)*(1-AG1254)))</f>
        <v/>
      </c>
      <c r="AJ1254" s="81">
        <f>IF(AN1254="","",_xlfn.LET(idVenta, AN1254&amp;"",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54" s="81">
        <f>IF(AN1254="","",AH1254-AJ1254)</f>
        <v/>
      </c>
      <c r="AL1254" s="81">
        <f>IF(AN1254="","",IF(Q1254="Sin Factura","",AI1254-AJ1254))</f>
        <v/>
      </c>
      <c r="AM1254" s="81">
        <f>IF(AN1254="","",IF(Q1254="Sin Factura",0,P1254-IFERROR(INDEX(Facturas_Odoo!$H:$H, MATCH(Q1254, Facturas_Odoo!$B:$B, 0)), 0)))</f>
        <v/>
      </c>
      <c r="AN1254" s="79">
        <f>IF(AND(A1254="", J1254=""), "", IF(A1254&lt;&gt;"", VALUE(MID(A1254,2,LEN(A1254))), AN1253))</f>
        <v/>
      </c>
      <c r="AO1254" s="79">
        <f>IF(AN1254="","",IF(AD1254=0,"OK",_xlfn.LET(monedaPago, IF(AA1254="","USD",AA1254), limitePermitido, IFERROR(VLOOKUP(monedaPago, Configuración!$A$2:$B$3, 2, FALSE), 0.15), IF(AD1254&gt;limitePermitido, "ALERTA: EXCESO (" &amp; TEXT(limitePermitido, "0%") &amp; " máx)", "OK"))))</f>
        <v/>
      </c>
      <c r="AP1254" s="79">
        <f>IF(AN1254="","",IF(AE1254=0,"OK",_xlfn.LET(fechaPago, Z1254, fechaFactura, R1254, diasCredito, IF(E1254="Pago inmediato", 0, IFERROR(VALUE(MID(E1254, 1, SEARCH(" ", E1254)-1)),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54" s="79">
        <f>IF(AN1254="","",IF(AND(N1254&gt;0, AG1254&gt;0), IF(Configuración!$K$2="NO", "ALERTA: DESCUENTO DOBLE NO PERMITIDO", "OK"), "OK"))</f>
        <v/>
      </c>
      <c r="AR1254" s="79">
        <f>IF(AN1254="","",IF(OR(AO1254&lt;&gt;"OK", AP1254&lt;&gt;"OK", AQ1254&lt;&gt;"OK"), "⚠️ REVISAR", "OK"))</f>
        <v/>
      </c>
    </row>
    <row r="1255">
      <c r="A1255" s="79">
        <f>IF('Ordenes_Odoo'!A1255="","",'Ordenes_Odoo'!A1255)</f>
        <v/>
      </c>
      <c r="B1255" s="80">
        <f>IF('Ordenes_Odoo'!B1255="","",'Ordenes_Odoo'!B1255)</f>
        <v/>
      </c>
      <c r="C1255" s="79">
        <f>IF('Ordenes_Odoo'!C1255="","",'Ordenes_Odoo'!C1255)</f>
        <v/>
      </c>
      <c r="D1255" s="79">
        <f>IF('Ordenes_Odoo'!D1255="","",'Ordenes_Odoo'!D1255)</f>
        <v/>
      </c>
      <c r="E1255" s="79">
        <f>IF('Ordenes_Odoo'!E1255="","",'Ordenes_Odoo'!E1255)</f>
        <v/>
      </c>
      <c r="F1255" s="79">
        <f>IF('Ordenes_Odoo'!F1255="","",'Ordenes_Odoo'!F1255)</f>
        <v/>
      </c>
      <c r="G1255" s="79">
        <f>IF('Ordenes_Odoo'!G1255="","",'Ordenes_Odoo'!G1255)</f>
        <v/>
      </c>
      <c r="H1255" s="79">
        <f>IF('Ordenes_Odoo'!H1255="","",'Ordenes_Odoo'!H1255)</f>
        <v/>
      </c>
      <c r="I1255" s="79">
        <f>IF('Ordenes_Odoo'!I1255="","",'Ordenes_Odoo'!I1255)</f>
        <v/>
      </c>
      <c r="J1255" s="79">
        <f>IF('Ordenes_Odoo'!J1255="","",'Ordenes_Odoo'!J1255)</f>
        <v/>
      </c>
      <c r="K1255" s="81">
        <f>IF('Ordenes_Odoo'!K1255="","",'Ordenes_Odoo'!K1255)</f>
        <v/>
      </c>
      <c r="L1255" s="81">
        <f>IF('Ordenes_Odoo'!L1255="","",'Ordenes_Odoo'!L1255)</f>
        <v/>
      </c>
      <c r="M1255" s="79">
        <f>IF('Ordenes_Odoo'!M1255="","",'Ordenes_Odoo'!M1255)</f>
        <v/>
      </c>
      <c r="N1255" s="79">
        <f>IF('Ordenes_Odoo'!N1255="","",'Ordenes_Odoo'!N1255)</f>
        <v/>
      </c>
      <c r="O1255" s="81">
        <f>IF('Ordenes_Odoo'!O1255="","",'Ordenes_Odoo'!O1255)</f>
        <v/>
      </c>
      <c r="P1255" s="81">
        <f>IF('Ordenes_Odoo'!P1255="","",'Ordenes_Odoo'!P1255)</f>
        <v/>
      </c>
      <c r="Q1255" s="79">
        <f>IF(A1255="","",IFERROR(INDEX(Facturas_Odoo!$B:$B, MATCH(A1255, Facturas_Odoo!$D:$D, 0)), "Sin Factura"))</f>
        <v/>
      </c>
      <c r="R1255" s="80">
        <f>IF(Q1255="Sin Factura","",IFERROR(INDEX(Facturas_Odoo!$A:$A, MATCH(Q1255, Facturas_Odoo!$B:$B, 0)), ""))</f>
        <v/>
      </c>
      <c r="S1255" s="79">
        <f>IF(Q1255="Sin Factura","",IFERROR(_xlfn.XLOOKUP(1, (Facturas_Odoo!$D:$D=A1255) * (Facturas_Odoo!$K:$K=I1255), Facturas_Odoo!$L:$L, ""), ""))</f>
        <v/>
      </c>
      <c r="T1255" s="81">
        <f>IF(Q1255="Sin Factura",0,IFERROR(_xlfn.XLOOKUP(1, (Facturas_Odoo!$D:$D=A1255) * (Facturas_Odoo!$K:$K=I1255), Facturas_Odoo!$M:$M, 0), 0))</f>
        <v/>
      </c>
      <c r="U1255" s="79">
        <f>IF(Q1255="Sin Factura",0,IFERROR(_xlfn.XLOOKUP(1, (Facturas_Odoo!$D:$D=A1255) * (Facturas_Odoo!$K:$K=I1255), Facturas_Odoo!$N:$N, 0), 0))</f>
        <v/>
      </c>
      <c r="V1255" s="79">
        <f>IF(Q1255="Sin Factura",0,IFERROR(_xlfn.XLOOKUP(1, (Facturas_Odoo!$D:$D=A1255) * (Facturas_Odoo!$K:$K=I1255), Facturas_Odoo!$O:$O, 0), 0))</f>
        <v/>
      </c>
      <c r="W1255" s="81">
        <f>IF(Q1255="Sin Factura",0,IFERROR(_xlfn.XLOOKUP(1, (Facturas_Odoo!$D:$D=A1255) * (Facturas_Odoo!$K:$K=I1255), Facturas_Odoo!$Q:$Q, 0), 0))</f>
        <v/>
      </c>
      <c r="X1255" s="79">
        <f>IF(OR(Q1255="Sin Factura",Q1255=""),"",IFERROR(INDEX(Pagos_Odoo!$B:$B, MATCH(Q1255, Pagos_Odoo!$I:$I, 0)), "Sin Pago"))</f>
        <v/>
      </c>
      <c r="Y1255" s="79">
        <f>IF(X1255="Sin Pago","",IFERROR(INDEX(Pagos_Odoo!$C:$C, MATCH(X1255, Pagos_Odoo!$B:$B, 0)), ""))</f>
        <v/>
      </c>
      <c r="Z1255" s="80">
        <f>IF(X1255="Sin Pago","",IFERROR(INDEX(Pagos_Odoo!$A:$A, MATCH(X1255, Pagos_Odoo!$B:$B, 0)), ""))</f>
        <v/>
      </c>
      <c r="AA1255" s="79">
        <f>IF(X1255="Sin Pago","",IFERROR(INDEX(Pagos_Odoo!$F:$F, MATCH(X1255, Pagos_Odoo!$B:$B, 0)), ""))</f>
        <v/>
      </c>
      <c r="AB1255" s="81">
        <f>IF(X1255="Sin Pago",0,IFERROR(INDEX(Pagos_Odoo!$E:$E, MATCH(X1255, Pagos_Odoo!$B:$B, 0)), 0))</f>
        <v/>
      </c>
      <c r="AC1255" s="79">
        <f>IF(X1255="Sin Pago","",IFERROR(INDEX(Pagos_Odoo!$G:$G, MATCH(X1255, Pagos_Odoo!$B:$B, 0)), ""))</f>
        <v/>
      </c>
      <c r="AD1255" s="82" t="n">
        <v>0</v>
      </c>
      <c r="AE1255" s="82" t="n"/>
      <c r="AF1255" s="82" t="n"/>
      <c r="AG1255" s="82">
        <f>IF(AN1255="","",AD1255+AE1255+AF1255)</f>
        <v/>
      </c>
      <c r="AH1255" s="81">
        <f>IF(AN1255="","",P1255*(1-AG1255))</f>
        <v/>
      </c>
      <c r="AI1255" s="81">
        <f>IF(AN1255="","",IF(Q1255="Sin Factura",0,IFERROR(INDEX(Facturas_Odoo!$H:$H, MATCH(Q1255, Facturas_Odoo!$B:$B, 0)), 0)*(1-AG1255)))</f>
        <v/>
      </c>
      <c r="AJ1255" s="81">
        <f>IF(AN1255="","",_xlfn.LET(idVenta, AN1255&amp;"",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55" s="81">
        <f>IF(AN1255="","",AH1255-AJ1255)</f>
        <v/>
      </c>
      <c r="AL1255" s="81">
        <f>IF(AN1255="","",IF(Q1255="Sin Factura","",AI1255-AJ1255))</f>
        <v/>
      </c>
      <c r="AM1255" s="81">
        <f>IF(AN1255="","",IF(Q1255="Sin Factura",0,P1255-IFERROR(INDEX(Facturas_Odoo!$H:$H, MATCH(Q1255, Facturas_Odoo!$B:$B, 0)), 0)))</f>
        <v/>
      </c>
      <c r="AN1255" s="79">
        <f>IF(AND(A1255="", J1255=""), "", IF(A1255&lt;&gt;"", VALUE(MID(A1255,2,LEN(A1255))), AN1254))</f>
        <v/>
      </c>
      <c r="AO1255" s="79">
        <f>IF(AN1255="","",IF(AD1255=0,"OK",_xlfn.LET(monedaPago, IF(AA1255="","USD",AA1255), limitePermitido, IFERROR(VLOOKUP(monedaPago, Configuración!$A$2:$B$3, 2, FALSE), 0.15), IF(AD1255&gt;limitePermitido, "ALERTA: EXCESO (" &amp; TEXT(limitePermitido, "0%") &amp; " máx)", "OK"))))</f>
        <v/>
      </c>
      <c r="AP1255" s="79">
        <f>IF(AN1255="","",IF(AE1255=0,"OK",_xlfn.LET(fechaPago, Z1255, fechaFactura, R1255, diasCredito, IF(E1255="Pago inmediato", 0, IFERROR(VALUE(MID(E1255, 1, SEARCH(" ", E1255)-1)),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55" s="79">
        <f>IF(AN1255="","",IF(AND(N1255&gt;0, AG1255&gt;0), IF(Configuración!$K$2="NO", "ALERTA: DESCUENTO DOBLE NO PERMITIDO", "OK"), "OK"))</f>
        <v/>
      </c>
      <c r="AR1255" s="79">
        <f>IF(AN1255="","",IF(OR(AO1255&lt;&gt;"OK", AP1255&lt;&gt;"OK", AQ1255&lt;&gt;"OK"), "⚠️ REVISAR", "OK"))</f>
        <v/>
      </c>
    </row>
    <row r="1256">
      <c r="A1256" s="79">
        <f>IF('Ordenes_Odoo'!A1256="","",'Ordenes_Odoo'!A1256)</f>
        <v/>
      </c>
      <c r="B1256" s="80">
        <f>IF('Ordenes_Odoo'!B1256="","",'Ordenes_Odoo'!B1256)</f>
        <v/>
      </c>
      <c r="C1256" s="79">
        <f>IF('Ordenes_Odoo'!C1256="","",'Ordenes_Odoo'!C1256)</f>
        <v/>
      </c>
      <c r="D1256" s="79">
        <f>IF('Ordenes_Odoo'!D1256="","",'Ordenes_Odoo'!D1256)</f>
        <v/>
      </c>
      <c r="E1256" s="79">
        <f>IF('Ordenes_Odoo'!E1256="","",'Ordenes_Odoo'!E1256)</f>
        <v/>
      </c>
      <c r="F1256" s="79">
        <f>IF('Ordenes_Odoo'!F1256="","",'Ordenes_Odoo'!F1256)</f>
        <v/>
      </c>
      <c r="G1256" s="79">
        <f>IF('Ordenes_Odoo'!G1256="","",'Ordenes_Odoo'!G1256)</f>
        <v/>
      </c>
      <c r="H1256" s="79">
        <f>IF('Ordenes_Odoo'!H1256="","",'Ordenes_Odoo'!H1256)</f>
        <v/>
      </c>
      <c r="I1256" s="79">
        <f>IF('Ordenes_Odoo'!I1256="","",'Ordenes_Odoo'!I1256)</f>
        <v/>
      </c>
      <c r="J1256" s="79">
        <f>IF('Ordenes_Odoo'!J1256="","",'Ordenes_Odoo'!J1256)</f>
        <v/>
      </c>
      <c r="K1256" s="81">
        <f>IF('Ordenes_Odoo'!K1256="","",'Ordenes_Odoo'!K1256)</f>
        <v/>
      </c>
      <c r="L1256" s="81">
        <f>IF('Ordenes_Odoo'!L1256="","",'Ordenes_Odoo'!L1256)</f>
        <v/>
      </c>
      <c r="M1256" s="79">
        <f>IF('Ordenes_Odoo'!M1256="","",'Ordenes_Odoo'!M1256)</f>
        <v/>
      </c>
      <c r="N1256" s="79">
        <f>IF('Ordenes_Odoo'!N1256="","",'Ordenes_Odoo'!N1256)</f>
        <v/>
      </c>
      <c r="O1256" s="81">
        <f>IF('Ordenes_Odoo'!O1256="","",'Ordenes_Odoo'!O1256)</f>
        <v/>
      </c>
      <c r="P1256" s="81">
        <f>IF('Ordenes_Odoo'!P1256="","",'Ordenes_Odoo'!P1256)</f>
        <v/>
      </c>
      <c r="Q1256" s="79">
        <f>IF(A1256="","",IFERROR(INDEX(Facturas_Odoo!$B:$B, MATCH(A1256, Facturas_Odoo!$D:$D, 0)), "Sin Factura"))</f>
        <v/>
      </c>
      <c r="R1256" s="80">
        <f>IF(Q1256="Sin Factura","",IFERROR(INDEX(Facturas_Odoo!$A:$A, MATCH(Q1256, Facturas_Odoo!$B:$B, 0)), ""))</f>
        <v/>
      </c>
      <c r="S1256" s="79">
        <f>IF(Q1256="Sin Factura","",IFERROR(_xlfn.XLOOKUP(1, (Facturas_Odoo!$D:$D=A1256) * (Facturas_Odoo!$K:$K=I1256), Facturas_Odoo!$L:$L, ""), ""))</f>
        <v/>
      </c>
      <c r="T1256" s="81">
        <f>IF(Q1256="Sin Factura",0,IFERROR(_xlfn.XLOOKUP(1, (Facturas_Odoo!$D:$D=A1256) * (Facturas_Odoo!$K:$K=I1256), Facturas_Odoo!$M:$M, 0), 0))</f>
        <v/>
      </c>
      <c r="U1256" s="79">
        <f>IF(Q1256="Sin Factura",0,IFERROR(_xlfn.XLOOKUP(1, (Facturas_Odoo!$D:$D=A1256) * (Facturas_Odoo!$K:$K=I1256), Facturas_Odoo!$N:$N, 0), 0))</f>
        <v/>
      </c>
      <c r="V1256" s="79">
        <f>IF(Q1256="Sin Factura",0,IFERROR(_xlfn.XLOOKUP(1, (Facturas_Odoo!$D:$D=A1256) * (Facturas_Odoo!$K:$K=I1256), Facturas_Odoo!$O:$O, 0), 0))</f>
        <v/>
      </c>
      <c r="W1256" s="81">
        <f>IF(Q1256="Sin Factura",0,IFERROR(_xlfn.XLOOKUP(1, (Facturas_Odoo!$D:$D=A1256) * (Facturas_Odoo!$K:$K=I1256), Facturas_Odoo!$Q:$Q, 0), 0))</f>
        <v/>
      </c>
      <c r="X1256" s="79">
        <f>IF(OR(Q1256="Sin Factura",Q1256=""),"",IFERROR(INDEX(Pagos_Odoo!$B:$B, MATCH(Q1256, Pagos_Odoo!$I:$I, 0)), "Sin Pago"))</f>
        <v/>
      </c>
      <c r="Y1256" s="79">
        <f>IF(X1256="Sin Pago","",IFERROR(INDEX(Pagos_Odoo!$C:$C, MATCH(X1256, Pagos_Odoo!$B:$B, 0)), ""))</f>
        <v/>
      </c>
      <c r="Z1256" s="80">
        <f>IF(X1256="Sin Pago","",IFERROR(INDEX(Pagos_Odoo!$A:$A, MATCH(X1256, Pagos_Odoo!$B:$B, 0)), ""))</f>
        <v/>
      </c>
      <c r="AA1256" s="79">
        <f>IF(X1256="Sin Pago","",IFERROR(INDEX(Pagos_Odoo!$F:$F, MATCH(X1256, Pagos_Odoo!$B:$B, 0)), ""))</f>
        <v/>
      </c>
      <c r="AB1256" s="81">
        <f>IF(X1256="Sin Pago",0,IFERROR(INDEX(Pagos_Odoo!$E:$E, MATCH(X1256, Pagos_Odoo!$B:$B, 0)), 0))</f>
        <v/>
      </c>
      <c r="AC1256" s="79">
        <f>IF(X1256="Sin Pago","",IFERROR(INDEX(Pagos_Odoo!$G:$G, MATCH(X1256, Pagos_Odoo!$B:$B, 0)), ""))</f>
        <v/>
      </c>
      <c r="AD1256" s="82" t="n">
        <v>0</v>
      </c>
      <c r="AE1256" s="82" t="n"/>
      <c r="AF1256" s="82" t="n"/>
      <c r="AG1256" s="82">
        <f>IF(AN1256="","",AD1256+AE1256+AF1256)</f>
        <v/>
      </c>
      <c r="AH1256" s="81">
        <f>IF(AN1256="","",P1256*(1-AG1256))</f>
        <v/>
      </c>
      <c r="AI1256" s="81">
        <f>IF(AN1256="","",IF(Q1256="Sin Factura",0,IFERROR(INDEX(Facturas_Odoo!$H:$H, MATCH(Q1256, Facturas_Odoo!$B:$B, 0)), 0)*(1-AG1256)))</f>
        <v/>
      </c>
      <c r="AJ1256" s="81">
        <f>IF(AN1256="","",_xlfn.LET(idVenta, AN1256&amp;"",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56" s="81">
        <f>IF(AN1256="","",AH1256-AJ1256)</f>
        <v/>
      </c>
      <c r="AL1256" s="81">
        <f>IF(AN1256="","",IF(Q1256="Sin Factura","",AI1256-AJ1256))</f>
        <v/>
      </c>
      <c r="AM1256" s="81">
        <f>IF(AN1256="","",IF(Q1256="Sin Factura",0,P1256-IFERROR(INDEX(Facturas_Odoo!$H:$H, MATCH(Q1256, Facturas_Odoo!$B:$B, 0)), 0)))</f>
        <v/>
      </c>
      <c r="AN1256" s="79">
        <f>IF(AND(A1256="", J1256=""), "", IF(A1256&lt;&gt;"", VALUE(MID(A1256,2,LEN(A1256))), AN1255))</f>
        <v/>
      </c>
      <c r="AO1256" s="79">
        <f>IF(AN1256="","",IF(AD1256=0,"OK",_xlfn.LET(monedaPago, IF(AA1256="","USD",AA1256), limitePermitido, IFERROR(VLOOKUP(monedaPago, Configuración!$A$2:$B$3, 2, FALSE), 0.15), IF(AD1256&gt;limitePermitido, "ALERTA: EXCESO (" &amp; TEXT(limitePermitido, "0%") &amp; " máx)", "OK"))))</f>
        <v/>
      </c>
      <c r="AP1256" s="79">
        <f>IF(AN1256="","",IF(AE1256=0,"OK",_xlfn.LET(fechaPago, Z1256, fechaFactura, R1256, diasCredito, IF(E1256="Pago inmediato", 0, IFERROR(VALUE(MID(E1256, 1, SEARCH(" ", E1256)-1)),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56" s="79">
        <f>IF(AN1256="","",IF(AND(N1256&gt;0, AG1256&gt;0), IF(Configuración!$K$2="NO", "ALERTA: DESCUENTO DOBLE NO PERMITIDO", "OK"), "OK"))</f>
        <v/>
      </c>
      <c r="AR1256" s="79">
        <f>IF(AN1256="","",IF(OR(AO1256&lt;&gt;"OK", AP1256&lt;&gt;"OK", AQ1256&lt;&gt;"OK"), "⚠️ REVISAR", "OK"))</f>
        <v/>
      </c>
    </row>
    <row r="1257">
      <c r="A1257" s="79">
        <f>IF('Ordenes_Odoo'!A1257="","",'Ordenes_Odoo'!A1257)</f>
        <v/>
      </c>
      <c r="B1257" s="80">
        <f>IF('Ordenes_Odoo'!B1257="","",'Ordenes_Odoo'!B1257)</f>
        <v/>
      </c>
      <c r="C1257" s="79">
        <f>IF('Ordenes_Odoo'!C1257="","",'Ordenes_Odoo'!C1257)</f>
        <v/>
      </c>
      <c r="D1257" s="79">
        <f>IF('Ordenes_Odoo'!D1257="","",'Ordenes_Odoo'!D1257)</f>
        <v/>
      </c>
      <c r="E1257" s="79">
        <f>IF('Ordenes_Odoo'!E1257="","",'Ordenes_Odoo'!E1257)</f>
        <v/>
      </c>
      <c r="F1257" s="79">
        <f>IF('Ordenes_Odoo'!F1257="","",'Ordenes_Odoo'!F1257)</f>
        <v/>
      </c>
      <c r="G1257" s="79">
        <f>IF('Ordenes_Odoo'!G1257="","",'Ordenes_Odoo'!G1257)</f>
        <v/>
      </c>
      <c r="H1257" s="79">
        <f>IF('Ordenes_Odoo'!H1257="","",'Ordenes_Odoo'!H1257)</f>
        <v/>
      </c>
      <c r="I1257" s="79">
        <f>IF('Ordenes_Odoo'!I1257="","",'Ordenes_Odoo'!I1257)</f>
        <v/>
      </c>
      <c r="J1257" s="79">
        <f>IF('Ordenes_Odoo'!J1257="","",'Ordenes_Odoo'!J1257)</f>
        <v/>
      </c>
      <c r="K1257" s="81">
        <f>IF('Ordenes_Odoo'!K1257="","",'Ordenes_Odoo'!K1257)</f>
        <v/>
      </c>
      <c r="L1257" s="81">
        <f>IF('Ordenes_Odoo'!L1257="","",'Ordenes_Odoo'!L1257)</f>
        <v/>
      </c>
      <c r="M1257" s="79">
        <f>IF('Ordenes_Odoo'!M1257="","",'Ordenes_Odoo'!M1257)</f>
        <v/>
      </c>
      <c r="N1257" s="79">
        <f>IF('Ordenes_Odoo'!N1257="","",'Ordenes_Odoo'!N1257)</f>
        <v/>
      </c>
      <c r="O1257" s="81">
        <f>IF('Ordenes_Odoo'!O1257="","",'Ordenes_Odoo'!O1257)</f>
        <v/>
      </c>
      <c r="P1257" s="81">
        <f>IF('Ordenes_Odoo'!P1257="","",'Ordenes_Odoo'!P1257)</f>
        <v/>
      </c>
      <c r="Q1257" s="79">
        <f>IF(A1257="","",IFERROR(INDEX(Facturas_Odoo!$B:$B, MATCH(A1257, Facturas_Odoo!$D:$D, 0)), "Sin Factura"))</f>
        <v/>
      </c>
      <c r="R1257" s="80">
        <f>IF(Q1257="Sin Factura","",IFERROR(INDEX(Facturas_Odoo!$A:$A, MATCH(Q1257, Facturas_Odoo!$B:$B, 0)), ""))</f>
        <v/>
      </c>
      <c r="S1257" s="79">
        <f>IF(Q1257="Sin Factura","",IFERROR(_xlfn.XLOOKUP(1, (Facturas_Odoo!$D:$D=A1257) * (Facturas_Odoo!$K:$K=I1257), Facturas_Odoo!$L:$L, ""), ""))</f>
        <v/>
      </c>
      <c r="T1257" s="81">
        <f>IF(Q1257="Sin Factura",0,IFERROR(_xlfn.XLOOKUP(1, (Facturas_Odoo!$D:$D=A1257) * (Facturas_Odoo!$K:$K=I1257), Facturas_Odoo!$M:$M, 0), 0))</f>
        <v/>
      </c>
      <c r="U1257" s="79">
        <f>IF(Q1257="Sin Factura",0,IFERROR(_xlfn.XLOOKUP(1, (Facturas_Odoo!$D:$D=A1257) * (Facturas_Odoo!$K:$K=I1257), Facturas_Odoo!$N:$N, 0), 0))</f>
        <v/>
      </c>
      <c r="V1257" s="79">
        <f>IF(Q1257="Sin Factura",0,IFERROR(_xlfn.XLOOKUP(1, (Facturas_Odoo!$D:$D=A1257) * (Facturas_Odoo!$K:$K=I1257), Facturas_Odoo!$O:$O, 0), 0))</f>
        <v/>
      </c>
      <c r="W1257" s="81">
        <f>IF(Q1257="Sin Factura",0,IFERROR(_xlfn.XLOOKUP(1, (Facturas_Odoo!$D:$D=A1257) * (Facturas_Odoo!$K:$K=I1257), Facturas_Odoo!$Q:$Q, 0), 0))</f>
        <v/>
      </c>
      <c r="X1257" s="79">
        <f>IF(OR(Q1257="Sin Factura",Q1257=""),"",IFERROR(INDEX(Pagos_Odoo!$B:$B, MATCH(Q1257, Pagos_Odoo!$I:$I, 0)), "Sin Pago"))</f>
        <v/>
      </c>
      <c r="Y1257" s="79">
        <f>IF(X1257="Sin Pago","",IFERROR(INDEX(Pagos_Odoo!$C:$C, MATCH(X1257, Pagos_Odoo!$B:$B, 0)), ""))</f>
        <v/>
      </c>
      <c r="Z1257" s="80">
        <f>IF(X1257="Sin Pago","",IFERROR(INDEX(Pagos_Odoo!$A:$A, MATCH(X1257, Pagos_Odoo!$B:$B, 0)), ""))</f>
        <v/>
      </c>
      <c r="AA1257" s="79">
        <f>IF(X1257="Sin Pago","",IFERROR(INDEX(Pagos_Odoo!$F:$F, MATCH(X1257, Pagos_Odoo!$B:$B, 0)), ""))</f>
        <v/>
      </c>
      <c r="AB1257" s="81">
        <f>IF(X1257="Sin Pago",0,IFERROR(INDEX(Pagos_Odoo!$E:$E, MATCH(X1257, Pagos_Odoo!$B:$B, 0)), 0))</f>
        <v/>
      </c>
      <c r="AC1257" s="79">
        <f>IF(X1257="Sin Pago","",IFERROR(INDEX(Pagos_Odoo!$G:$G, MATCH(X1257, Pagos_Odoo!$B:$B, 0)), ""))</f>
        <v/>
      </c>
      <c r="AD1257" s="82" t="n">
        <v>0</v>
      </c>
      <c r="AE1257" s="82" t="n"/>
      <c r="AF1257" s="82" t="n"/>
      <c r="AG1257" s="82">
        <f>IF(AN1257="","",AD1257+AE1257+AF1257)</f>
        <v/>
      </c>
      <c r="AH1257" s="81">
        <f>IF(AN1257="","",P1257*(1-AG1257))</f>
        <v/>
      </c>
      <c r="AI1257" s="81">
        <f>IF(AN1257="","",IF(Q1257="Sin Factura",0,IFERROR(INDEX(Facturas_Odoo!$H:$H, MATCH(Q1257, Facturas_Odoo!$B:$B, 0)), 0)*(1-AG1257)))</f>
        <v/>
      </c>
      <c r="AJ1257" s="81">
        <f>IF(AN1257="","",_xlfn.LET(idVenta, AN1257&amp;"",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57" s="81">
        <f>IF(AN1257="","",AH1257-AJ1257)</f>
        <v/>
      </c>
      <c r="AL1257" s="81">
        <f>IF(AN1257="","",IF(Q1257="Sin Factura","",AI1257-AJ1257))</f>
        <v/>
      </c>
      <c r="AM1257" s="81">
        <f>IF(AN1257="","",IF(Q1257="Sin Factura",0,P1257-IFERROR(INDEX(Facturas_Odoo!$H:$H, MATCH(Q1257, Facturas_Odoo!$B:$B, 0)), 0)))</f>
        <v/>
      </c>
      <c r="AN1257" s="79">
        <f>IF(AND(A1257="", J1257=""), "", IF(A1257&lt;&gt;"", VALUE(MID(A1257,2,LEN(A1257))), AN1256))</f>
        <v/>
      </c>
      <c r="AO1257" s="79">
        <f>IF(AN1257="","",IF(AD1257=0,"OK",_xlfn.LET(monedaPago, IF(AA1257="","USD",AA1257), limitePermitido, IFERROR(VLOOKUP(monedaPago, Configuración!$A$2:$B$3, 2, FALSE), 0.15), IF(AD1257&gt;limitePermitido, "ALERTA: EXCESO (" &amp; TEXT(limitePermitido, "0%") &amp; " máx)", "OK"))))</f>
        <v/>
      </c>
      <c r="AP1257" s="79">
        <f>IF(AN1257="","",IF(AE1257=0,"OK",_xlfn.LET(fechaPago, Z1257, fechaFactura, R1257, diasCredito, IF(E1257="Pago inmediato", 0, IFERROR(VALUE(MID(E1257, 1, SEARCH(" ", E1257)-1)),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57" s="79">
        <f>IF(AN1257="","",IF(AND(N1257&gt;0, AG1257&gt;0), IF(Configuración!$K$2="NO", "ALERTA: DESCUENTO DOBLE NO PERMITIDO", "OK"), "OK"))</f>
        <v/>
      </c>
      <c r="AR1257" s="79">
        <f>IF(AN1257="","",IF(OR(AO1257&lt;&gt;"OK", AP1257&lt;&gt;"OK", AQ1257&lt;&gt;"OK"), "⚠️ REVISAR", "OK"))</f>
        <v/>
      </c>
    </row>
    <row r="1258">
      <c r="A1258" s="79">
        <f>IF('Ordenes_Odoo'!A1258="","",'Ordenes_Odoo'!A1258)</f>
        <v/>
      </c>
      <c r="B1258" s="80">
        <f>IF('Ordenes_Odoo'!B1258="","",'Ordenes_Odoo'!B1258)</f>
        <v/>
      </c>
      <c r="C1258" s="79">
        <f>IF('Ordenes_Odoo'!C1258="","",'Ordenes_Odoo'!C1258)</f>
        <v/>
      </c>
      <c r="D1258" s="79">
        <f>IF('Ordenes_Odoo'!D1258="","",'Ordenes_Odoo'!D1258)</f>
        <v/>
      </c>
      <c r="E1258" s="79">
        <f>IF('Ordenes_Odoo'!E1258="","",'Ordenes_Odoo'!E1258)</f>
        <v/>
      </c>
      <c r="F1258" s="79">
        <f>IF('Ordenes_Odoo'!F1258="","",'Ordenes_Odoo'!F1258)</f>
        <v/>
      </c>
      <c r="G1258" s="79">
        <f>IF('Ordenes_Odoo'!G1258="","",'Ordenes_Odoo'!G1258)</f>
        <v/>
      </c>
      <c r="H1258" s="79">
        <f>IF('Ordenes_Odoo'!H1258="","",'Ordenes_Odoo'!H1258)</f>
        <v/>
      </c>
      <c r="I1258" s="79">
        <f>IF('Ordenes_Odoo'!I1258="","",'Ordenes_Odoo'!I1258)</f>
        <v/>
      </c>
      <c r="J1258" s="79">
        <f>IF('Ordenes_Odoo'!J1258="","",'Ordenes_Odoo'!J1258)</f>
        <v/>
      </c>
      <c r="K1258" s="81">
        <f>IF('Ordenes_Odoo'!K1258="","",'Ordenes_Odoo'!K1258)</f>
        <v/>
      </c>
      <c r="L1258" s="81">
        <f>IF('Ordenes_Odoo'!L1258="","",'Ordenes_Odoo'!L1258)</f>
        <v/>
      </c>
      <c r="M1258" s="79">
        <f>IF('Ordenes_Odoo'!M1258="","",'Ordenes_Odoo'!M1258)</f>
        <v/>
      </c>
      <c r="N1258" s="79">
        <f>IF('Ordenes_Odoo'!N1258="","",'Ordenes_Odoo'!N1258)</f>
        <v/>
      </c>
      <c r="O1258" s="81">
        <f>IF('Ordenes_Odoo'!O1258="","",'Ordenes_Odoo'!O1258)</f>
        <v/>
      </c>
      <c r="P1258" s="81">
        <f>IF('Ordenes_Odoo'!P1258="","",'Ordenes_Odoo'!P1258)</f>
        <v/>
      </c>
      <c r="Q1258" s="79">
        <f>IF(A1258="","",IFERROR(INDEX(Facturas_Odoo!$B:$B, MATCH(A1258, Facturas_Odoo!$D:$D, 0)), "Sin Factura"))</f>
        <v/>
      </c>
      <c r="R1258" s="80">
        <f>IF(Q1258="Sin Factura","",IFERROR(INDEX(Facturas_Odoo!$A:$A, MATCH(Q1258, Facturas_Odoo!$B:$B, 0)), ""))</f>
        <v/>
      </c>
      <c r="S1258" s="79">
        <f>IF(Q1258="Sin Factura","",IFERROR(_xlfn.XLOOKUP(1, (Facturas_Odoo!$D:$D=A1258) * (Facturas_Odoo!$K:$K=I1258), Facturas_Odoo!$L:$L, ""), ""))</f>
        <v/>
      </c>
      <c r="T1258" s="81">
        <f>IF(Q1258="Sin Factura",0,IFERROR(_xlfn.XLOOKUP(1, (Facturas_Odoo!$D:$D=A1258) * (Facturas_Odoo!$K:$K=I1258), Facturas_Odoo!$M:$M, 0), 0))</f>
        <v/>
      </c>
      <c r="U1258" s="79">
        <f>IF(Q1258="Sin Factura",0,IFERROR(_xlfn.XLOOKUP(1, (Facturas_Odoo!$D:$D=A1258) * (Facturas_Odoo!$K:$K=I1258), Facturas_Odoo!$N:$N, 0), 0))</f>
        <v/>
      </c>
      <c r="V1258" s="79">
        <f>IF(Q1258="Sin Factura",0,IFERROR(_xlfn.XLOOKUP(1, (Facturas_Odoo!$D:$D=A1258) * (Facturas_Odoo!$K:$K=I1258), Facturas_Odoo!$O:$O, 0), 0))</f>
        <v/>
      </c>
      <c r="W1258" s="81">
        <f>IF(Q1258="Sin Factura",0,IFERROR(_xlfn.XLOOKUP(1, (Facturas_Odoo!$D:$D=A1258) * (Facturas_Odoo!$K:$K=I1258), Facturas_Odoo!$Q:$Q, 0), 0))</f>
        <v/>
      </c>
      <c r="X1258" s="79">
        <f>IF(OR(Q1258="Sin Factura",Q1258=""),"",IFERROR(INDEX(Pagos_Odoo!$B:$B, MATCH(Q1258, Pagos_Odoo!$I:$I, 0)), "Sin Pago"))</f>
        <v/>
      </c>
      <c r="Y1258" s="79">
        <f>IF(X1258="Sin Pago","",IFERROR(INDEX(Pagos_Odoo!$C:$C, MATCH(X1258, Pagos_Odoo!$B:$B, 0)), ""))</f>
        <v/>
      </c>
      <c r="Z1258" s="80">
        <f>IF(X1258="Sin Pago","",IFERROR(INDEX(Pagos_Odoo!$A:$A, MATCH(X1258, Pagos_Odoo!$B:$B, 0)), ""))</f>
        <v/>
      </c>
      <c r="AA1258" s="79">
        <f>IF(X1258="Sin Pago","",IFERROR(INDEX(Pagos_Odoo!$F:$F, MATCH(X1258, Pagos_Odoo!$B:$B, 0)), ""))</f>
        <v/>
      </c>
      <c r="AB1258" s="81">
        <f>IF(X1258="Sin Pago",0,IFERROR(INDEX(Pagos_Odoo!$E:$E, MATCH(X1258, Pagos_Odoo!$B:$B, 0)), 0))</f>
        <v/>
      </c>
      <c r="AC1258" s="79">
        <f>IF(X1258="Sin Pago","",IFERROR(INDEX(Pagos_Odoo!$G:$G, MATCH(X1258, Pagos_Odoo!$B:$B, 0)), ""))</f>
        <v/>
      </c>
      <c r="AD1258" s="82" t="n">
        <v>0</v>
      </c>
      <c r="AE1258" s="82" t="n"/>
      <c r="AF1258" s="82" t="n"/>
      <c r="AG1258" s="82">
        <f>IF(AN1258="","",AD1258+AE1258+AF1258)</f>
        <v/>
      </c>
      <c r="AH1258" s="81">
        <f>IF(AN1258="","",P1258*(1-AG1258))</f>
        <v/>
      </c>
      <c r="AI1258" s="81">
        <f>IF(AN1258="","",IF(Q1258="Sin Factura",0,IFERROR(INDEX(Facturas_Odoo!$H:$H, MATCH(Q1258, Facturas_Odoo!$B:$B, 0)), 0)*(1-AG1258)))</f>
        <v/>
      </c>
      <c r="AJ1258" s="81">
        <f>IF(AN1258="","",_xlfn.LET(idVenta, AN1258&amp;"",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58" s="81">
        <f>IF(AN1258="","",AH1258-AJ1258)</f>
        <v/>
      </c>
      <c r="AL1258" s="81">
        <f>IF(AN1258="","",IF(Q1258="Sin Factura","",AI1258-AJ1258))</f>
        <v/>
      </c>
      <c r="AM1258" s="81">
        <f>IF(AN1258="","",IF(Q1258="Sin Factura",0,P1258-IFERROR(INDEX(Facturas_Odoo!$H:$H, MATCH(Q1258, Facturas_Odoo!$B:$B, 0)), 0)))</f>
        <v/>
      </c>
      <c r="AN1258" s="79">
        <f>IF(AND(A1258="", J1258=""), "", IF(A1258&lt;&gt;"", VALUE(MID(A1258,2,LEN(A1258))), AN1257))</f>
        <v/>
      </c>
      <c r="AO1258" s="79">
        <f>IF(AN1258="","",IF(AD1258=0,"OK",_xlfn.LET(monedaPago, IF(AA1258="","USD",AA1258), limitePermitido, IFERROR(VLOOKUP(monedaPago, Configuración!$A$2:$B$3, 2, FALSE), 0.15), IF(AD1258&gt;limitePermitido, "ALERTA: EXCESO (" &amp; TEXT(limitePermitido, "0%") &amp; " máx)", "OK"))))</f>
        <v/>
      </c>
      <c r="AP1258" s="79">
        <f>IF(AN1258="","",IF(AE1258=0,"OK",_xlfn.LET(fechaPago, Z1258, fechaFactura, R1258, diasCredito, IF(E1258="Pago inmediato", 0, IFERROR(VALUE(MID(E1258, 1, SEARCH(" ", E1258)-1)),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58" s="79">
        <f>IF(AN1258="","",IF(AND(N1258&gt;0, AG1258&gt;0), IF(Configuración!$K$2="NO", "ALERTA: DESCUENTO DOBLE NO PERMITIDO", "OK"), "OK"))</f>
        <v/>
      </c>
      <c r="AR1258" s="79">
        <f>IF(AN1258="","",IF(OR(AO1258&lt;&gt;"OK", AP1258&lt;&gt;"OK", AQ1258&lt;&gt;"OK"), "⚠️ REVISAR", "OK"))</f>
        <v/>
      </c>
    </row>
    <row r="1259">
      <c r="A1259" s="79">
        <f>IF('Ordenes_Odoo'!A1259="","",'Ordenes_Odoo'!A1259)</f>
        <v/>
      </c>
      <c r="B1259" s="80">
        <f>IF('Ordenes_Odoo'!B1259="","",'Ordenes_Odoo'!B1259)</f>
        <v/>
      </c>
      <c r="C1259" s="79">
        <f>IF('Ordenes_Odoo'!C1259="","",'Ordenes_Odoo'!C1259)</f>
        <v/>
      </c>
      <c r="D1259" s="79">
        <f>IF('Ordenes_Odoo'!D1259="","",'Ordenes_Odoo'!D1259)</f>
        <v/>
      </c>
      <c r="E1259" s="79">
        <f>IF('Ordenes_Odoo'!E1259="","",'Ordenes_Odoo'!E1259)</f>
        <v/>
      </c>
      <c r="F1259" s="79">
        <f>IF('Ordenes_Odoo'!F1259="","",'Ordenes_Odoo'!F1259)</f>
        <v/>
      </c>
      <c r="G1259" s="79">
        <f>IF('Ordenes_Odoo'!G1259="","",'Ordenes_Odoo'!G1259)</f>
        <v/>
      </c>
      <c r="H1259" s="79">
        <f>IF('Ordenes_Odoo'!H1259="","",'Ordenes_Odoo'!H1259)</f>
        <v/>
      </c>
      <c r="I1259" s="79">
        <f>IF('Ordenes_Odoo'!I1259="","",'Ordenes_Odoo'!I1259)</f>
        <v/>
      </c>
      <c r="J1259" s="79">
        <f>IF('Ordenes_Odoo'!J1259="","",'Ordenes_Odoo'!J1259)</f>
        <v/>
      </c>
      <c r="K1259" s="81">
        <f>IF('Ordenes_Odoo'!K1259="","",'Ordenes_Odoo'!K1259)</f>
        <v/>
      </c>
      <c r="L1259" s="81">
        <f>IF('Ordenes_Odoo'!L1259="","",'Ordenes_Odoo'!L1259)</f>
        <v/>
      </c>
      <c r="M1259" s="79">
        <f>IF('Ordenes_Odoo'!M1259="","",'Ordenes_Odoo'!M1259)</f>
        <v/>
      </c>
      <c r="N1259" s="79">
        <f>IF('Ordenes_Odoo'!N1259="","",'Ordenes_Odoo'!N1259)</f>
        <v/>
      </c>
      <c r="O1259" s="81">
        <f>IF('Ordenes_Odoo'!O1259="","",'Ordenes_Odoo'!O1259)</f>
        <v/>
      </c>
      <c r="P1259" s="81">
        <f>IF('Ordenes_Odoo'!P1259="","",'Ordenes_Odoo'!P1259)</f>
        <v/>
      </c>
      <c r="Q1259" s="79">
        <f>IF(A1259="","",IFERROR(INDEX(Facturas_Odoo!$B:$B, MATCH(A1259, Facturas_Odoo!$D:$D, 0)), "Sin Factura"))</f>
        <v/>
      </c>
      <c r="R1259" s="80">
        <f>IF(Q1259="Sin Factura","",IFERROR(INDEX(Facturas_Odoo!$A:$A, MATCH(Q1259, Facturas_Odoo!$B:$B, 0)), ""))</f>
        <v/>
      </c>
      <c r="S1259" s="79">
        <f>IF(Q1259="Sin Factura","",IFERROR(_xlfn.XLOOKUP(1, (Facturas_Odoo!$D:$D=A1259) * (Facturas_Odoo!$K:$K=I1259), Facturas_Odoo!$L:$L, ""), ""))</f>
        <v/>
      </c>
      <c r="T1259" s="81">
        <f>IF(Q1259="Sin Factura",0,IFERROR(_xlfn.XLOOKUP(1, (Facturas_Odoo!$D:$D=A1259) * (Facturas_Odoo!$K:$K=I1259), Facturas_Odoo!$M:$M, 0), 0))</f>
        <v/>
      </c>
      <c r="U1259" s="79">
        <f>IF(Q1259="Sin Factura",0,IFERROR(_xlfn.XLOOKUP(1, (Facturas_Odoo!$D:$D=A1259) * (Facturas_Odoo!$K:$K=I1259), Facturas_Odoo!$N:$N, 0), 0))</f>
        <v/>
      </c>
      <c r="V1259" s="79">
        <f>IF(Q1259="Sin Factura",0,IFERROR(_xlfn.XLOOKUP(1, (Facturas_Odoo!$D:$D=A1259) * (Facturas_Odoo!$K:$K=I1259), Facturas_Odoo!$O:$O, 0), 0))</f>
        <v/>
      </c>
      <c r="W1259" s="81">
        <f>IF(Q1259="Sin Factura",0,IFERROR(_xlfn.XLOOKUP(1, (Facturas_Odoo!$D:$D=A1259) * (Facturas_Odoo!$K:$K=I1259), Facturas_Odoo!$Q:$Q, 0), 0))</f>
        <v/>
      </c>
      <c r="X1259" s="79">
        <f>IF(OR(Q1259="Sin Factura",Q1259=""),"",IFERROR(INDEX(Pagos_Odoo!$B:$B, MATCH(Q1259, Pagos_Odoo!$I:$I, 0)), "Sin Pago"))</f>
        <v/>
      </c>
      <c r="Y1259" s="79">
        <f>IF(X1259="Sin Pago","",IFERROR(INDEX(Pagos_Odoo!$C:$C, MATCH(X1259, Pagos_Odoo!$B:$B, 0)), ""))</f>
        <v/>
      </c>
      <c r="Z1259" s="80">
        <f>IF(X1259="Sin Pago","",IFERROR(INDEX(Pagos_Odoo!$A:$A, MATCH(X1259, Pagos_Odoo!$B:$B, 0)), ""))</f>
        <v/>
      </c>
      <c r="AA1259" s="79">
        <f>IF(X1259="Sin Pago","",IFERROR(INDEX(Pagos_Odoo!$F:$F, MATCH(X1259, Pagos_Odoo!$B:$B, 0)), ""))</f>
        <v/>
      </c>
      <c r="AB1259" s="81">
        <f>IF(X1259="Sin Pago",0,IFERROR(INDEX(Pagos_Odoo!$E:$E, MATCH(X1259, Pagos_Odoo!$B:$B, 0)), 0))</f>
        <v/>
      </c>
      <c r="AC1259" s="79">
        <f>IF(X1259="Sin Pago","",IFERROR(INDEX(Pagos_Odoo!$G:$G, MATCH(X1259, Pagos_Odoo!$B:$B, 0)), ""))</f>
        <v/>
      </c>
      <c r="AD1259" s="82" t="n">
        <v>0</v>
      </c>
      <c r="AE1259" s="82" t="n"/>
      <c r="AF1259" s="82" t="n"/>
      <c r="AG1259" s="82">
        <f>IF(AN1259="","",AD1259+AE1259+AF1259)</f>
        <v/>
      </c>
      <c r="AH1259" s="81">
        <f>IF(AN1259="","",P1259*(1-AG1259))</f>
        <v/>
      </c>
      <c r="AI1259" s="81">
        <f>IF(AN1259="","",IF(Q1259="Sin Factura",0,IFERROR(INDEX(Facturas_Odoo!$H:$H, MATCH(Q1259, Facturas_Odoo!$B:$B, 0)), 0)*(1-AG1259)))</f>
        <v/>
      </c>
      <c r="AJ1259" s="81">
        <f>IF(AN1259="","",_xlfn.LET(idVenta, AN1259&amp;"",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59" s="81">
        <f>IF(AN1259="","",AH1259-AJ1259)</f>
        <v/>
      </c>
      <c r="AL1259" s="81">
        <f>IF(AN1259="","",IF(Q1259="Sin Factura","",AI1259-AJ1259))</f>
        <v/>
      </c>
      <c r="AM1259" s="81">
        <f>IF(AN1259="","",IF(Q1259="Sin Factura",0,P1259-IFERROR(INDEX(Facturas_Odoo!$H:$H, MATCH(Q1259, Facturas_Odoo!$B:$B, 0)), 0)))</f>
        <v/>
      </c>
      <c r="AN1259" s="79">
        <f>IF(AND(A1259="", J1259=""), "", IF(A1259&lt;&gt;"", VALUE(MID(A1259,2,LEN(A1259))), AN1258))</f>
        <v/>
      </c>
      <c r="AO1259" s="79">
        <f>IF(AN1259="","",IF(AD1259=0,"OK",_xlfn.LET(monedaPago, IF(AA1259="","USD",AA1259), limitePermitido, IFERROR(VLOOKUP(monedaPago, Configuración!$A$2:$B$3, 2, FALSE), 0.15), IF(AD1259&gt;limitePermitido, "ALERTA: EXCESO (" &amp; TEXT(limitePermitido, "0%") &amp; " máx)", "OK"))))</f>
        <v/>
      </c>
      <c r="AP1259" s="79">
        <f>IF(AN1259="","",IF(AE1259=0,"OK",_xlfn.LET(fechaPago, Z1259, fechaFactura, R1259, diasCredito, IF(E1259="Pago inmediato", 0, IFERROR(VALUE(MID(E1259, 1, SEARCH(" ", E1259)-1)),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59" s="79">
        <f>IF(AN1259="","",IF(AND(N1259&gt;0, AG1259&gt;0), IF(Configuración!$K$2="NO", "ALERTA: DESCUENTO DOBLE NO PERMITIDO", "OK"), "OK"))</f>
        <v/>
      </c>
      <c r="AR1259" s="79">
        <f>IF(AN1259="","",IF(OR(AO1259&lt;&gt;"OK", AP1259&lt;&gt;"OK", AQ1259&lt;&gt;"OK"), "⚠️ REVISAR", "OK"))</f>
        <v/>
      </c>
    </row>
    <row r="1260">
      <c r="A1260" s="79">
        <f>IF('Ordenes_Odoo'!A1260="","",'Ordenes_Odoo'!A1260)</f>
        <v/>
      </c>
      <c r="B1260" s="80">
        <f>IF('Ordenes_Odoo'!B1260="","",'Ordenes_Odoo'!B1260)</f>
        <v/>
      </c>
      <c r="C1260" s="79">
        <f>IF('Ordenes_Odoo'!C1260="","",'Ordenes_Odoo'!C1260)</f>
        <v/>
      </c>
      <c r="D1260" s="79">
        <f>IF('Ordenes_Odoo'!D1260="","",'Ordenes_Odoo'!D1260)</f>
        <v/>
      </c>
      <c r="E1260" s="79">
        <f>IF('Ordenes_Odoo'!E1260="","",'Ordenes_Odoo'!E1260)</f>
        <v/>
      </c>
      <c r="F1260" s="79">
        <f>IF('Ordenes_Odoo'!F1260="","",'Ordenes_Odoo'!F1260)</f>
        <v/>
      </c>
      <c r="G1260" s="79">
        <f>IF('Ordenes_Odoo'!G1260="","",'Ordenes_Odoo'!G1260)</f>
        <v/>
      </c>
      <c r="H1260" s="79">
        <f>IF('Ordenes_Odoo'!H1260="","",'Ordenes_Odoo'!H1260)</f>
        <v/>
      </c>
      <c r="I1260" s="79">
        <f>IF('Ordenes_Odoo'!I1260="","",'Ordenes_Odoo'!I1260)</f>
        <v/>
      </c>
      <c r="J1260" s="79">
        <f>IF('Ordenes_Odoo'!J1260="","",'Ordenes_Odoo'!J1260)</f>
        <v/>
      </c>
      <c r="K1260" s="81">
        <f>IF('Ordenes_Odoo'!K1260="","",'Ordenes_Odoo'!K1260)</f>
        <v/>
      </c>
      <c r="L1260" s="81">
        <f>IF('Ordenes_Odoo'!L1260="","",'Ordenes_Odoo'!L1260)</f>
        <v/>
      </c>
      <c r="M1260" s="79">
        <f>IF('Ordenes_Odoo'!M1260="","",'Ordenes_Odoo'!M1260)</f>
        <v/>
      </c>
      <c r="N1260" s="79">
        <f>IF('Ordenes_Odoo'!N1260="","",'Ordenes_Odoo'!N1260)</f>
        <v/>
      </c>
      <c r="O1260" s="81">
        <f>IF('Ordenes_Odoo'!O1260="","",'Ordenes_Odoo'!O1260)</f>
        <v/>
      </c>
      <c r="P1260" s="81">
        <f>IF('Ordenes_Odoo'!P1260="","",'Ordenes_Odoo'!P1260)</f>
        <v/>
      </c>
      <c r="Q1260" s="79">
        <f>IF(A1260="","",IFERROR(INDEX(Facturas_Odoo!$B:$B, MATCH(A1260, Facturas_Odoo!$D:$D, 0)), "Sin Factura"))</f>
        <v/>
      </c>
      <c r="R1260" s="80">
        <f>IF(Q1260="Sin Factura","",IFERROR(INDEX(Facturas_Odoo!$A:$A, MATCH(Q1260, Facturas_Odoo!$B:$B, 0)), ""))</f>
        <v/>
      </c>
      <c r="S1260" s="79">
        <f>IF(Q1260="Sin Factura","",IFERROR(_xlfn.XLOOKUP(1, (Facturas_Odoo!$D:$D=A1260) * (Facturas_Odoo!$K:$K=I1260), Facturas_Odoo!$L:$L, ""), ""))</f>
        <v/>
      </c>
      <c r="T1260" s="81">
        <f>IF(Q1260="Sin Factura",0,IFERROR(_xlfn.XLOOKUP(1, (Facturas_Odoo!$D:$D=A1260) * (Facturas_Odoo!$K:$K=I1260), Facturas_Odoo!$M:$M, 0), 0))</f>
        <v/>
      </c>
      <c r="U1260" s="79">
        <f>IF(Q1260="Sin Factura",0,IFERROR(_xlfn.XLOOKUP(1, (Facturas_Odoo!$D:$D=A1260) * (Facturas_Odoo!$K:$K=I1260), Facturas_Odoo!$N:$N, 0), 0))</f>
        <v/>
      </c>
      <c r="V1260" s="79">
        <f>IF(Q1260="Sin Factura",0,IFERROR(_xlfn.XLOOKUP(1, (Facturas_Odoo!$D:$D=A1260) * (Facturas_Odoo!$K:$K=I1260), Facturas_Odoo!$O:$O, 0), 0))</f>
        <v/>
      </c>
      <c r="W1260" s="81">
        <f>IF(Q1260="Sin Factura",0,IFERROR(_xlfn.XLOOKUP(1, (Facturas_Odoo!$D:$D=A1260) * (Facturas_Odoo!$K:$K=I1260), Facturas_Odoo!$Q:$Q, 0), 0))</f>
        <v/>
      </c>
      <c r="X1260" s="79">
        <f>IF(OR(Q1260="Sin Factura",Q1260=""),"",IFERROR(INDEX(Pagos_Odoo!$B:$B, MATCH(Q1260, Pagos_Odoo!$I:$I, 0)), "Sin Pago"))</f>
        <v/>
      </c>
      <c r="Y1260" s="79">
        <f>IF(X1260="Sin Pago","",IFERROR(INDEX(Pagos_Odoo!$C:$C, MATCH(X1260, Pagos_Odoo!$B:$B, 0)), ""))</f>
        <v/>
      </c>
      <c r="Z1260" s="80">
        <f>IF(X1260="Sin Pago","",IFERROR(INDEX(Pagos_Odoo!$A:$A, MATCH(X1260, Pagos_Odoo!$B:$B, 0)), ""))</f>
        <v/>
      </c>
      <c r="AA1260" s="79">
        <f>IF(X1260="Sin Pago","",IFERROR(INDEX(Pagos_Odoo!$F:$F, MATCH(X1260, Pagos_Odoo!$B:$B, 0)), ""))</f>
        <v/>
      </c>
      <c r="AB1260" s="81">
        <f>IF(X1260="Sin Pago",0,IFERROR(INDEX(Pagos_Odoo!$E:$E, MATCH(X1260, Pagos_Odoo!$B:$B, 0)), 0))</f>
        <v/>
      </c>
      <c r="AC1260" s="79">
        <f>IF(X1260="Sin Pago","",IFERROR(INDEX(Pagos_Odoo!$G:$G, MATCH(X1260, Pagos_Odoo!$B:$B, 0)), ""))</f>
        <v/>
      </c>
      <c r="AD1260" s="82" t="n">
        <v>0</v>
      </c>
      <c r="AE1260" s="82" t="n"/>
      <c r="AF1260" s="82" t="n"/>
      <c r="AG1260" s="82">
        <f>IF(AN1260="","",AD1260+AE1260+AF1260)</f>
        <v/>
      </c>
      <c r="AH1260" s="81">
        <f>IF(AN1260="","",P1260*(1-AG1260))</f>
        <v/>
      </c>
      <c r="AI1260" s="81">
        <f>IF(AN1260="","",IF(Q1260="Sin Factura",0,IFERROR(INDEX(Facturas_Odoo!$H:$H, MATCH(Q1260, Facturas_Odoo!$B:$B, 0)), 0)*(1-AG1260)))</f>
        <v/>
      </c>
      <c r="AJ1260" s="81">
        <f>IF(AN1260="","",_xlfn.LET(idVenta, AN1260&amp;"",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60" s="81">
        <f>IF(AN1260="","",AH1260-AJ1260)</f>
        <v/>
      </c>
      <c r="AL1260" s="81">
        <f>IF(AN1260="","",IF(Q1260="Sin Factura","",AI1260-AJ1260))</f>
        <v/>
      </c>
      <c r="AM1260" s="81">
        <f>IF(AN1260="","",IF(Q1260="Sin Factura",0,P1260-IFERROR(INDEX(Facturas_Odoo!$H:$H, MATCH(Q1260, Facturas_Odoo!$B:$B, 0)), 0)))</f>
        <v/>
      </c>
      <c r="AN1260" s="79">
        <f>IF(AND(A1260="", J1260=""), "", IF(A1260&lt;&gt;"", VALUE(MID(A1260,2,LEN(A1260))), AN1259))</f>
        <v/>
      </c>
      <c r="AO1260" s="79">
        <f>IF(AN1260="","",IF(AD1260=0,"OK",_xlfn.LET(monedaPago, IF(AA1260="","USD",AA1260), limitePermitido, IFERROR(VLOOKUP(monedaPago, Configuración!$A$2:$B$3, 2, FALSE), 0.15), IF(AD1260&gt;limitePermitido, "ALERTA: EXCESO (" &amp; TEXT(limitePermitido, "0%") &amp; " máx)", "OK"))))</f>
        <v/>
      </c>
      <c r="AP1260" s="79">
        <f>IF(AN1260="","",IF(AE1260=0,"OK",_xlfn.LET(fechaPago, Z1260, fechaFactura, R1260, diasCredito, IF(E1260="Pago inmediato", 0, IFERROR(VALUE(MID(E1260, 1, SEARCH(" ", E1260)-1)),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60" s="79">
        <f>IF(AN1260="","",IF(AND(N1260&gt;0, AG1260&gt;0), IF(Configuración!$K$2="NO", "ALERTA: DESCUENTO DOBLE NO PERMITIDO", "OK"), "OK"))</f>
        <v/>
      </c>
      <c r="AR1260" s="79">
        <f>IF(AN1260="","",IF(OR(AO1260&lt;&gt;"OK", AP1260&lt;&gt;"OK", AQ1260&lt;&gt;"OK"), "⚠️ REVISAR", "OK"))</f>
        <v/>
      </c>
    </row>
    <row r="1261">
      <c r="A1261" s="79">
        <f>IF('Ordenes_Odoo'!A1261="","",'Ordenes_Odoo'!A1261)</f>
        <v/>
      </c>
      <c r="B1261" s="80">
        <f>IF('Ordenes_Odoo'!B1261="","",'Ordenes_Odoo'!B1261)</f>
        <v/>
      </c>
      <c r="C1261" s="79">
        <f>IF('Ordenes_Odoo'!C1261="","",'Ordenes_Odoo'!C1261)</f>
        <v/>
      </c>
      <c r="D1261" s="79">
        <f>IF('Ordenes_Odoo'!D1261="","",'Ordenes_Odoo'!D1261)</f>
        <v/>
      </c>
      <c r="E1261" s="79">
        <f>IF('Ordenes_Odoo'!E1261="","",'Ordenes_Odoo'!E1261)</f>
        <v/>
      </c>
      <c r="F1261" s="79">
        <f>IF('Ordenes_Odoo'!F1261="","",'Ordenes_Odoo'!F1261)</f>
        <v/>
      </c>
      <c r="G1261" s="79">
        <f>IF('Ordenes_Odoo'!G1261="","",'Ordenes_Odoo'!G1261)</f>
        <v/>
      </c>
      <c r="H1261" s="79">
        <f>IF('Ordenes_Odoo'!H1261="","",'Ordenes_Odoo'!H1261)</f>
        <v/>
      </c>
      <c r="I1261" s="79">
        <f>IF('Ordenes_Odoo'!I1261="","",'Ordenes_Odoo'!I1261)</f>
        <v/>
      </c>
      <c r="J1261" s="79">
        <f>IF('Ordenes_Odoo'!J1261="","",'Ordenes_Odoo'!J1261)</f>
        <v/>
      </c>
      <c r="K1261" s="81">
        <f>IF('Ordenes_Odoo'!K1261="","",'Ordenes_Odoo'!K1261)</f>
        <v/>
      </c>
      <c r="L1261" s="81">
        <f>IF('Ordenes_Odoo'!L1261="","",'Ordenes_Odoo'!L1261)</f>
        <v/>
      </c>
      <c r="M1261" s="79">
        <f>IF('Ordenes_Odoo'!M1261="","",'Ordenes_Odoo'!M1261)</f>
        <v/>
      </c>
      <c r="N1261" s="79">
        <f>IF('Ordenes_Odoo'!N1261="","",'Ordenes_Odoo'!N1261)</f>
        <v/>
      </c>
      <c r="O1261" s="81">
        <f>IF('Ordenes_Odoo'!O1261="","",'Ordenes_Odoo'!O1261)</f>
        <v/>
      </c>
      <c r="P1261" s="81">
        <f>IF('Ordenes_Odoo'!P1261="","",'Ordenes_Odoo'!P1261)</f>
        <v/>
      </c>
      <c r="Q1261" s="79">
        <f>IF(A1261="","",IFERROR(INDEX(Facturas_Odoo!$B:$B, MATCH(A1261, Facturas_Odoo!$D:$D, 0)), "Sin Factura"))</f>
        <v/>
      </c>
      <c r="R1261" s="80">
        <f>IF(Q1261="Sin Factura","",IFERROR(INDEX(Facturas_Odoo!$A:$A, MATCH(Q1261, Facturas_Odoo!$B:$B, 0)), ""))</f>
        <v/>
      </c>
      <c r="S1261" s="79">
        <f>IF(Q1261="Sin Factura","",IFERROR(_xlfn.XLOOKUP(1, (Facturas_Odoo!$D:$D=A1261) * (Facturas_Odoo!$K:$K=I1261), Facturas_Odoo!$L:$L, ""), ""))</f>
        <v/>
      </c>
      <c r="T1261" s="81">
        <f>IF(Q1261="Sin Factura",0,IFERROR(_xlfn.XLOOKUP(1, (Facturas_Odoo!$D:$D=A1261) * (Facturas_Odoo!$K:$K=I1261), Facturas_Odoo!$M:$M, 0), 0))</f>
        <v/>
      </c>
      <c r="U1261" s="79">
        <f>IF(Q1261="Sin Factura",0,IFERROR(_xlfn.XLOOKUP(1, (Facturas_Odoo!$D:$D=A1261) * (Facturas_Odoo!$K:$K=I1261), Facturas_Odoo!$N:$N, 0), 0))</f>
        <v/>
      </c>
      <c r="V1261" s="79">
        <f>IF(Q1261="Sin Factura",0,IFERROR(_xlfn.XLOOKUP(1, (Facturas_Odoo!$D:$D=A1261) * (Facturas_Odoo!$K:$K=I1261), Facturas_Odoo!$O:$O, 0), 0))</f>
        <v/>
      </c>
      <c r="W1261" s="81">
        <f>IF(Q1261="Sin Factura",0,IFERROR(_xlfn.XLOOKUP(1, (Facturas_Odoo!$D:$D=A1261) * (Facturas_Odoo!$K:$K=I1261), Facturas_Odoo!$Q:$Q, 0), 0))</f>
        <v/>
      </c>
      <c r="X1261" s="79">
        <f>IF(OR(Q1261="Sin Factura",Q1261=""),"",IFERROR(INDEX(Pagos_Odoo!$B:$B, MATCH(Q1261, Pagos_Odoo!$I:$I, 0)), "Sin Pago"))</f>
        <v/>
      </c>
      <c r="Y1261" s="79">
        <f>IF(X1261="Sin Pago","",IFERROR(INDEX(Pagos_Odoo!$C:$C, MATCH(X1261, Pagos_Odoo!$B:$B, 0)), ""))</f>
        <v/>
      </c>
      <c r="Z1261" s="80">
        <f>IF(X1261="Sin Pago","",IFERROR(INDEX(Pagos_Odoo!$A:$A, MATCH(X1261, Pagos_Odoo!$B:$B, 0)), ""))</f>
        <v/>
      </c>
      <c r="AA1261" s="79">
        <f>IF(X1261="Sin Pago","",IFERROR(INDEX(Pagos_Odoo!$F:$F, MATCH(X1261, Pagos_Odoo!$B:$B, 0)), ""))</f>
        <v/>
      </c>
      <c r="AB1261" s="81">
        <f>IF(X1261="Sin Pago",0,IFERROR(INDEX(Pagos_Odoo!$E:$E, MATCH(X1261, Pagos_Odoo!$B:$B, 0)), 0))</f>
        <v/>
      </c>
      <c r="AC1261" s="79">
        <f>IF(X1261="Sin Pago","",IFERROR(INDEX(Pagos_Odoo!$G:$G, MATCH(X1261, Pagos_Odoo!$B:$B, 0)), ""))</f>
        <v/>
      </c>
      <c r="AD1261" s="82" t="n">
        <v>0</v>
      </c>
      <c r="AE1261" s="82" t="n"/>
      <c r="AF1261" s="82" t="n"/>
      <c r="AG1261" s="82">
        <f>IF(AN1261="","",AD1261+AE1261+AF1261)</f>
        <v/>
      </c>
      <c r="AH1261" s="81">
        <f>IF(AN1261="","",P1261*(1-AG1261))</f>
        <v/>
      </c>
      <c r="AI1261" s="81">
        <f>IF(AN1261="","",IF(Q1261="Sin Factura",0,IFERROR(INDEX(Facturas_Odoo!$H:$H, MATCH(Q1261, Facturas_Odoo!$B:$B, 0)), 0)*(1-AG1261)))</f>
        <v/>
      </c>
      <c r="AJ1261" s="81">
        <f>IF(AN1261="","",_xlfn.LET(idVenta, AN1261&amp;"",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61" s="81">
        <f>IF(AN1261="","",AH1261-AJ1261)</f>
        <v/>
      </c>
      <c r="AL1261" s="81">
        <f>IF(AN1261="","",IF(Q1261="Sin Factura","",AI1261-AJ1261))</f>
        <v/>
      </c>
      <c r="AM1261" s="81">
        <f>IF(AN1261="","",IF(Q1261="Sin Factura",0,P1261-IFERROR(INDEX(Facturas_Odoo!$H:$H, MATCH(Q1261, Facturas_Odoo!$B:$B, 0)), 0)))</f>
        <v/>
      </c>
      <c r="AN1261" s="79">
        <f>IF(AND(A1261="", J1261=""), "", IF(A1261&lt;&gt;"", VALUE(MID(A1261,2,LEN(A1261))), AN1260))</f>
        <v/>
      </c>
      <c r="AO1261" s="79">
        <f>IF(AN1261="","",IF(AD1261=0,"OK",_xlfn.LET(monedaPago, IF(AA1261="","USD",AA1261), limitePermitido, IFERROR(VLOOKUP(monedaPago, Configuración!$A$2:$B$3, 2, FALSE), 0.15), IF(AD1261&gt;limitePermitido, "ALERTA: EXCESO (" &amp; TEXT(limitePermitido, "0%") &amp; " máx)", "OK"))))</f>
        <v/>
      </c>
      <c r="AP1261" s="79">
        <f>IF(AN1261="","",IF(AE1261=0,"OK",_xlfn.LET(fechaPago, Z1261, fechaFactura, R1261, diasCredito, IF(E1261="Pago inmediato", 0, IFERROR(VALUE(MID(E1261, 1, SEARCH(" ", E1261)-1)),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61" s="79">
        <f>IF(AN1261="","",IF(AND(N1261&gt;0, AG1261&gt;0), IF(Configuración!$K$2="NO", "ALERTA: DESCUENTO DOBLE NO PERMITIDO", "OK"), "OK"))</f>
        <v/>
      </c>
      <c r="AR1261" s="79">
        <f>IF(AN1261="","",IF(OR(AO1261&lt;&gt;"OK", AP1261&lt;&gt;"OK", AQ1261&lt;&gt;"OK"), "⚠️ REVISAR", "OK"))</f>
        <v/>
      </c>
    </row>
    <row r="1262">
      <c r="A1262" s="79">
        <f>IF('Ordenes_Odoo'!A1262="","",'Ordenes_Odoo'!A1262)</f>
        <v/>
      </c>
      <c r="B1262" s="80">
        <f>IF('Ordenes_Odoo'!B1262="","",'Ordenes_Odoo'!B1262)</f>
        <v/>
      </c>
      <c r="C1262" s="79">
        <f>IF('Ordenes_Odoo'!C1262="","",'Ordenes_Odoo'!C1262)</f>
        <v/>
      </c>
      <c r="D1262" s="79">
        <f>IF('Ordenes_Odoo'!D1262="","",'Ordenes_Odoo'!D1262)</f>
        <v/>
      </c>
      <c r="E1262" s="79">
        <f>IF('Ordenes_Odoo'!E1262="","",'Ordenes_Odoo'!E1262)</f>
        <v/>
      </c>
      <c r="F1262" s="79">
        <f>IF('Ordenes_Odoo'!F1262="","",'Ordenes_Odoo'!F1262)</f>
        <v/>
      </c>
      <c r="G1262" s="79">
        <f>IF('Ordenes_Odoo'!G1262="","",'Ordenes_Odoo'!G1262)</f>
        <v/>
      </c>
      <c r="H1262" s="79">
        <f>IF('Ordenes_Odoo'!H1262="","",'Ordenes_Odoo'!H1262)</f>
        <v/>
      </c>
      <c r="I1262" s="79">
        <f>IF('Ordenes_Odoo'!I1262="","",'Ordenes_Odoo'!I1262)</f>
        <v/>
      </c>
      <c r="J1262" s="79">
        <f>IF('Ordenes_Odoo'!J1262="","",'Ordenes_Odoo'!J1262)</f>
        <v/>
      </c>
      <c r="K1262" s="81">
        <f>IF('Ordenes_Odoo'!K1262="","",'Ordenes_Odoo'!K1262)</f>
        <v/>
      </c>
      <c r="L1262" s="81">
        <f>IF('Ordenes_Odoo'!L1262="","",'Ordenes_Odoo'!L1262)</f>
        <v/>
      </c>
      <c r="M1262" s="79">
        <f>IF('Ordenes_Odoo'!M1262="","",'Ordenes_Odoo'!M1262)</f>
        <v/>
      </c>
      <c r="N1262" s="79">
        <f>IF('Ordenes_Odoo'!N1262="","",'Ordenes_Odoo'!N1262)</f>
        <v/>
      </c>
      <c r="O1262" s="81">
        <f>IF('Ordenes_Odoo'!O1262="","",'Ordenes_Odoo'!O1262)</f>
        <v/>
      </c>
      <c r="P1262" s="81">
        <f>IF('Ordenes_Odoo'!P1262="","",'Ordenes_Odoo'!P1262)</f>
        <v/>
      </c>
      <c r="Q1262" s="79">
        <f>IF(A1262="","",IFERROR(INDEX(Facturas_Odoo!$B:$B, MATCH(A1262, Facturas_Odoo!$D:$D, 0)), "Sin Factura"))</f>
        <v/>
      </c>
      <c r="R1262" s="80">
        <f>IF(Q1262="Sin Factura","",IFERROR(INDEX(Facturas_Odoo!$A:$A, MATCH(Q1262, Facturas_Odoo!$B:$B, 0)), ""))</f>
        <v/>
      </c>
      <c r="S1262" s="79">
        <f>IF(Q1262="Sin Factura","",IFERROR(_xlfn.XLOOKUP(1, (Facturas_Odoo!$D:$D=A1262) * (Facturas_Odoo!$K:$K=I1262), Facturas_Odoo!$L:$L, ""), ""))</f>
        <v/>
      </c>
      <c r="T1262" s="81">
        <f>IF(Q1262="Sin Factura",0,IFERROR(_xlfn.XLOOKUP(1, (Facturas_Odoo!$D:$D=A1262) * (Facturas_Odoo!$K:$K=I1262), Facturas_Odoo!$M:$M, 0), 0))</f>
        <v/>
      </c>
      <c r="U1262" s="79">
        <f>IF(Q1262="Sin Factura",0,IFERROR(_xlfn.XLOOKUP(1, (Facturas_Odoo!$D:$D=A1262) * (Facturas_Odoo!$K:$K=I1262), Facturas_Odoo!$N:$N, 0), 0))</f>
        <v/>
      </c>
      <c r="V1262" s="79">
        <f>IF(Q1262="Sin Factura",0,IFERROR(_xlfn.XLOOKUP(1, (Facturas_Odoo!$D:$D=A1262) * (Facturas_Odoo!$K:$K=I1262), Facturas_Odoo!$O:$O, 0), 0))</f>
        <v/>
      </c>
      <c r="W1262" s="81">
        <f>IF(Q1262="Sin Factura",0,IFERROR(_xlfn.XLOOKUP(1, (Facturas_Odoo!$D:$D=A1262) * (Facturas_Odoo!$K:$K=I1262), Facturas_Odoo!$Q:$Q, 0), 0))</f>
        <v/>
      </c>
      <c r="X1262" s="79">
        <f>IF(OR(Q1262="Sin Factura",Q1262=""),"",IFERROR(INDEX(Pagos_Odoo!$B:$B, MATCH(Q1262, Pagos_Odoo!$I:$I, 0)), "Sin Pago"))</f>
        <v/>
      </c>
      <c r="Y1262" s="79">
        <f>IF(X1262="Sin Pago","",IFERROR(INDEX(Pagos_Odoo!$C:$C, MATCH(X1262, Pagos_Odoo!$B:$B, 0)), ""))</f>
        <v/>
      </c>
      <c r="Z1262" s="80">
        <f>IF(X1262="Sin Pago","",IFERROR(INDEX(Pagos_Odoo!$A:$A, MATCH(X1262, Pagos_Odoo!$B:$B, 0)), ""))</f>
        <v/>
      </c>
      <c r="AA1262" s="79">
        <f>IF(X1262="Sin Pago","",IFERROR(INDEX(Pagos_Odoo!$F:$F, MATCH(X1262, Pagos_Odoo!$B:$B, 0)), ""))</f>
        <v/>
      </c>
      <c r="AB1262" s="81">
        <f>IF(X1262="Sin Pago",0,IFERROR(INDEX(Pagos_Odoo!$E:$E, MATCH(X1262, Pagos_Odoo!$B:$B, 0)), 0))</f>
        <v/>
      </c>
      <c r="AC1262" s="79">
        <f>IF(X1262="Sin Pago","",IFERROR(INDEX(Pagos_Odoo!$G:$G, MATCH(X1262, Pagos_Odoo!$B:$B, 0)), ""))</f>
        <v/>
      </c>
      <c r="AD1262" s="82" t="n">
        <v>0</v>
      </c>
      <c r="AE1262" s="82" t="n"/>
      <c r="AF1262" s="82" t="n"/>
      <c r="AG1262" s="82">
        <f>IF(AN1262="","",AD1262+AE1262+AF1262)</f>
        <v/>
      </c>
      <c r="AH1262" s="81">
        <f>IF(AN1262="","",P1262*(1-AG1262))</f>
        <v/>
      </c>
      <c r="AI1262" s="81">
        <f>IF(AN1262="","",IF(Q1262="Sin Factura",0,IFERROR(INDEX(Facturas_Odoo!$H:$H, MATCH(Q1262, Facturas_Odoo!$B:$B, 0)), 0)*(1-AG1262)))</f>
        <v/>
      </c>
      <c r="AJ1262" s="81">
        <f>IF(AN1262="","",_xlfn.LET(idVenta, AN1262&amp;"",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62" s="81">
        <f>IF(AN1262="","",AH1262-AJ1262)</f>
        <v/>
      </c>
      <c r="AL1262" s="81">
        <f>IF(AN1262="","",IF(Q1262="Sin Factura","",AI1262-AJ1262))</f>
        <v/>
      </c>
      <c r="AM1262" s="81">
        <f>IF(AN1262="","",IF(Q1262="Sin Factura",0,P1262-IFERROR(INDEX(Facturas_Odoo!$H:$H, MATCH(Q1262, Facturas_Odoo!$B:$B, 0)), 0)))</f>
        <v/>
      </c>
      <c r="AN1262" s="79">
        <f>IF(AND(A1262="", J1262=""), "", IF(A1262&lt;&gt;"", VALUE(MID(A1262,2,LEN(A1262))), AN1261))</f>
        <v/>
      </c>
      <c r="AO1262" s="79">
        <f>IF(AN1262="","",IF(AD1262=0,"OK",_xlfn.LET(monedaPago, IF(AA1262="","USD",AA1262), limitePermitido, IFERROR(VLOOKUP(monedaPago, Configuración!$A$2:$B$3, 2, FALSE), 0.15), IF(AD1262&gt;limitePermitido, "ALERTA: EXCESO (" &amp; TEXT(limitePermitido, "0%") &amp; " máx)", "OK"))))</f>
        <v/>
      </c>
      <c r="AP1262" s="79">
        <f>IF(AN1262="","",IF(AE1262=0,"OK",_xlfn.LET(fechaPago, Z1262, fechaFactura, R1262, diasCredito, IF(E1262="Pago inmediato", 0, IFERROR(VALUE(MID(E1262, 1, SEARCH(" ", E1262)-1)),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62" s="79">
        <f>IF(AN1262="","",IF(AND(N1262&gt;0, AG1262&gt;0), IF(Configuración!$K$2="NO", "ALERTA: DESCUENTO DOBLE NO PERMITIDO", "OK"), "OK"))</f>
        <v/>
      </c>
      <c r="AR1262" s="79">
        <f>IF(AN1262="","",IF(OR(AO1262&lt;&gt;"OK", AP1262&lt;&gt;"OK", AQ1262&lt;&gt;"OK"), "⚠️ REVISAR", "OK"))</f>
        <v/>
      </c>
    </row>
    <row r="1263">
      <c r="A1263" s="79">
        <f>IF('Ordenes_Odoo'!A1263="","",'Ordenes_Odoo'!A1263)</f>
        <v/>
      </c>
      <c r="B1263" s="80">
        <f>IF('Ordenes_Odoo'!B1263="","",'Ordenes_Odoo'!B1263)</f>
        <v/>
      </c>
      <c r="C1263" s="79">
        <f>IF('Ordenes_Odoo'!C1263="","",'Ordenes_Odoo'!C1263)</f>
        <v/>
      </c>
      <c r="D1263" s="79">
        <f>IF('Ordenes_Odoo'!D1263="","",'Ordenes_Odoo'!D1263)</f>
        <v/>
      </c>
      <c r="E1263" s="79">
        <f>IF('Ordenes_Odoo'!E1263="","",'Ordenes_Odoo'!E1263)</f>
        <v/>
      </c>
      <c r="F1263" s="79">
        <f>IF('Ordenes_Odoo'!F1263="","",'Ordenes_Odoo'!F1263)</f>
        <v/>
      </c>
      <c r="G1263" s="79">
        <f>IF('Ordenes_Odoo'!G1263="","",'Ordenes_Odoo'!G1263)</f>
        <v/>
      </c>
      <c r="H1263" s="79">
        <f>IF('Ordenes_Odoo'!H1263="","",'Ordenes_Odoo'!H1263)</f>
        <v/>
      </c>
      <c r="I1263" s="79">
        <f>IF('Ordenes_Odoo'!I1263="","",'Ordenes_Odoo'!I1263)</f>
        <v/>
      </c>
      <c r="J1263" s="79">
        <f>IF('Ordenes_Odoo'!J1263="","",'Ordenes_Odoo'!J1263)</f>
        <v/>
      </c>
      <c r="K1263" s="81">
        <f>IF('Ordenes_Odoo'!K1263="","",'Ordenes_Odoo'!K1263)</f>
        <v/>
      </c>
      <c r="L1263" s="81">
        <f>IF('Ordenes_Odoo'!L1263="","",'Ordenes_Odoo'!L1263)</f>
        <v/>
      </c>
      <c r="M1263" s="79">
        <f>IF('Ordenes_Odoo'!M1263="","",'Ordenes_Odoo'!M1263)</f>
        <v/>
      </c>
      <c r="N1263" s="79">
        <f>IF('Ordenes_Odoo'!N1263="","",'Ordenes_Odoo'!N1263)</f>
        <v/>
      </c>
      <c r="O1263" s="81">
        <f>IF('Ordenes_Odoo'!O1263="","",'Ordenes_Odoo'!O1263)</f>
        <v/>
      </c>
      <c r="P1263" s="81">
        <f>IF('Ordenes_Odoo'!P1263="","",'Ordenes_Odoo'!P1263)</f>
        <v/>
      </c>
      <c r="Q1263" s="79">
        <f>IF(A1263="","",IFERROR(INDEX(Facturas_Odoo!$B:$B, MATCH(A1263, Facturas_Odoo!$D:$D, 0)), "Sin Factura"))</f>
        <v/>
      </c>
      <c r="R1263" s="80">
        <f>IF(Q1263="Sin Factura","",IFERROR(INDEX(Facturas_Odoo!$A:$A, MATCH(Q1263, Facturas_Odoo!$B:$B, 0)), ""))</f>
        <v/>
      </c>
      <c r="S1263" s="79">
        <f>IF(Q1263="Sin Factura","",IFERROR(_xlfn.XLOOKUP(1, (Facturas_Odoo!$D:$D=A1263) * (Facturas_Odoo!$K:$K=I1263), Facturas_Odoo!$L:$L, ""), ""))</f>
        <v/>
      </c>
      <c r="T1263" s="81">
        <f>IF(Q1263="Sin Factura",0,IFERROR(_xlfn.XLOOKUP(1, (Facturas_Odoo!$D:$D=A1263) * (Facturas_Odoo!$K:$K=I1263), Facturas_Odoo!$M:$M, 0), 0))</f>
        <v/>
      </c>
      <c r="U1263" s="79">
        <f>IF(Q1263="Sin Factura",0,IFERROR(_xlfn.XLOOKUP(1, (Facturas_Odoo!$D:$D=A1263) * (Facturas_Odoo!$K:$K=I1263), Facturas_Odoo!$N:$N, 0), 0))</f>
        <v/>
      </c>
      <c r="V1263" s="79">
        <f>IF(Q1263="Sin Factura",0,IFERROR(_xlfn.XLOOKUP(1, (Facturas_Odoo!$D:$D=A1263) * (Facturas_Odoo!$K:$K=I1263), Facturas_Odoo!$O:$O, 0), 0))</f>
        <v/>
      </c>
      <c r="W1263" s="81">
        <f>IF(Q1263="Sin Factura",0,IFERROR(_xlfn.XLOOKUP(1, (Facturas_Odoo!$D:$D=A1263) * (Facturas_Odoo!$K:$K=I1263), Facturas_Odoo!$Q:$Q, 0), 0))</f>
        <v/>
      </c>
      <c r="X1263" s="79">
        <f>IF(OR(Q1263="Sin Factura",Q1263=""),"",IFERROR(INDEX(Pagos_Odoo!$B:$B, MATCH(Q1263, Pagos_Odoo!$I:$I, 0)), "Sin Pago"))</f>
        <v/>
      </c>
      <c r="Y1263" s="79">
        <f>IF(X1263="Sin Pago","",IFERROR(INDEX(Pagos_Odoo!$C:$C, MATCH(X1263, Pagos_Odoo!$B:$B, 0)), ""))</f>
        <v/>
      </c>
      <c r="Z1263" s="80">
        <f>IF(X1263="Sin Pago","",IFERROR(INDEX(Pagos_Odoo!$A:$A, MATCH(X1263, Pagos_Odoo!$B:$B, 0)), ""))</f>
        <v/>
      </c>
      <c r="AA1263" s="79">
        <f>IF(X1263="Sin Pago","",IFERROR(INDEX(Pagos_Odoo!$F:$F, MATCH(X1263, Pagos_Odoo!$B:$B, 0)), ""))</f>
        <v/>
      </c>
      <c r="AB1263" s="81">
        <f>IF(X1263="Sin Pago",0,IFERROR(INDEX(Pagos_Odoo!$E:$E, MATCH(X1263, Pagos_Odoo!$B:$B, 0)), 0))</f>
        <v/>
      </c>
      <c r="AC1263" s="79">
        <f>IF(X1263="Sin Pago","",IFERROR(INDEX(Pagos_Odoo!$G:$G, MATCH(X1263, Pagos_Odoo!$B:$B, 0)), ""))</f>
        <v/>
      </c>
      <c r="AD1263" s="82" t="n">
        <v>0</v>
      </c>
      <c r="AE1263" s="82" t="n"/>
      <c r="AF1263" s="82" t="n"/>
      <c r="AG1263" s="82">
        <f>IF(AN1263="","",AD1263+AE1263+AF1263)</f>
        <v/>
      </c>
      <c r="AH1263" s="81">
        <f>IF(AN1263="","",P1263*(1-AG1263))</f>
        <v/>
      </c>
      <c r="AI1263" s="81">
        <f>IF(AN1263="","",IF(Q1263="Sin Factura",0,IFERROR(INDEX(Facturas_Odoo!$H:$H, MATCH(Q1263, Facturas_Odoo!$B:$B, 0)), 0)*(1-AG1263)))</f>
        <v/>
      </c>
      <c r="AJ1263" s="81">
        <f>IF(AN1263="","",_xlfn.LET(idVenta, AN1263&amp;"",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63" s="81">
        <f>IF(AN1263="","",AH1263-AJ1263)</f>
        <v/>
      </c>
      <c r="AL1263" s="81">
        <f>IF(AN1263="","",IF(Q1263="Sin Factura","",AI1263-AJ1263))</f>
        <v/>
      </c>
      <c r="AM1263" s="81">
        <f>IF(AN1263="","",IF(Q1263="Sin Factura",0,P1263-IFERROR(INDEX(Facturas_Odoo!$H:$H, MATCH(Q1263, Facturas_Odoo!$B:$B, 0)), 0)))</f>
        <v/>
      </c>
      <c r="AN1263" s="79">
        <f>IF(AND(A1263="", J1263=""), "", IF(A1263&lt;&gt;"", VALUE(MID(A1263,2,LEN(A1263))), AN1262))</f>
        <v/>
      </c>
      <c r="AO1263" s="79">
        <f>IF(AN1263="","",IF(AD1263=0,"OK",_xlfn.LET(monedaPago, IF(AA1263="","USD",AA1263), limitePermitido, IFERROR(VLOOKUP(monedaPago, Configuración!$A$2:$B$3, 2, FALSE), 0.15), IF(AD1263&gt;limitePermitido, "ALERTA: EXCESO (" &amp; TEXT(limitePermitido, "0%") &amp; " máx)", "OK"))))</f>
        <v/>
      </c>
      <c r="AP1263" s="79">
        <f>IF(AN1263="","",IF(AE1263=0,"OK",_xlfn.LET(fechaPago, Z1263, fechaFactura, R1263, diasCredito, IF(E1263="Pago inmediato", 0, IFERROR(VALUE(MID(E1263, 1, SEARCH(" ", E1263)-1)),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63" s="79">
        <f>IF(AN1263="","",IF(AND(N1263&gt;0, AG1263&gt;0), IF(Configuración!$K$2="NO", "ALERTA: DESCUENTO DOBLE NO PERMITIDO", "OK"), "OK"))</f>
        <v/>
      </c>
      <c r="AR1263" s="79">
        <f>IF(AN1263="","",IF(OR(AO1263&lt;&gt;"OK", AP1263&lt;&gt;"OK", AQ1263&lt;&gt;"OK"), "⚠️ REVISAR", "OK"))</f>
        <v/>
      </c>
    </row>
    <row r="1264">
      <c r="A1264" s="79">
        <f>IF('Ordenes_Odoo'!A1264="","",'Ordenes_Odoo'!A1264)</f>
        <v/>
      </c>
      <c r="B1264" s="80">
        <f>IF('Ordenes_Odoo'!B1264="","",'Ordenes_Odoo'!B1264)</f>
        <v/>
      </c>
      <c r="C1264" s="79">
        <f>IF('Ordenes_Odoo'!C1264="","",'Ordenes_Odoo'!C1264)</f>
        <v/>
      </c>
      <c r="D1264" s="79">
        <f>IF('Ordenes_Odoo'!D1264="","",'Ordenes_Odoo'!D1264)</f>
        <v/>
      </c>
      <c r="E1264" s="79">
        <f>IF('Ordenes_Odoo'!E1264="","",'Ordenes_Odoo'!E1264)</f>
        <v/>
      </c>
      <c r="F1264" s="79">
        <f>IF('Ordenes_Odoo'!F1264="","",'Ordenes_Odoo'!F1264)</f>
        <v/>
      </c>
      <c r="G1264" s="79">
        <f>IF('Ordenes_Odoo'!G1264="","",'Ordenes_Odoo'!G1264)</f>
        <v/>
      </c>
      <c r="H1264" s="79">
        <f>IF('Ordenes_Odoo'!H1264="","",'Ordenes_Odoo'!H1264)</f>
        <v/>
      </c>
      <c r="I1264" s="79">
        <f>IF('Ordenes_Odoo'!I1264="","",'Ordenes_Odoo'!I1264)</f>
        <v/>
      </c>
      <c r="J1264" s="79">
        <f>IF('Ordenes_Odoo'!J1264="","",'Ordenes_Odoo'!J1264)</f>
        <v/>
      </c>
      <c r="K1264" s="81">
        <f>IF('Ordenes_Odoo'!K1264="","",'Ordenes_Odoo'!K1264)</f>
        <v/>
      </c>
      <c r="L1264" s="81">
        <f>IF('Ordenes_Odoo'!L1264="","",'Ordenes_Odoo'!L1264)</f>
        <v/>
      </c>
      <c r="M1264" s="79">
        <f>IF('Ordenes_Odoo'!M1264="","",'Ordenes_Odoo'!M1264)</f>
        <v/>
      </c>
      <c r="N1264" s="79">
        <f>IF('Ordenes_Odoo'!N1264="","",'Ordenes_Odoo'!N1264)</f>
        <v/>
      </c>
      <c r="O1264" s="81">
        <f>IF('Ordenes_Odoo'!O1264="","",'Ordenes_Odoo'!O1264)</f>
        <v/>
      </c>
      <c r="P1264" s="81">
        <f>IF('Ordenes_Odoo'!P1264="","",'Ordenes_Odoo'!P1264)</f>
        <v/>
      </c>
      <c r="Q1264" s="79">
        <f>IF(A1264="","",IFERROR(INDEX(Facturas_Odoo!$B:$B, MATCH(A1264, Facturas_Odoo!$D:$D, 0)), "Sin Factura"))</f>
        <v/>
      </c>
      <c r="R1264" s="80">
        <f>IF(Q1264="Sin Factura","",IFERROR(INDEX(Facturas_Odoo!$A:$A, MATCH(Q1264, Facturas_Odoo!$B:$B, 0)), ""))</f>
        <v/>
      </c>
      <c r="S1264" s="79">
        <f>IF(Q1264="Sin Factura","",IFERROR(_xlfn.XLOOKUP(1, (Facturas_Odoo!$D:$D=A1264) * (Facturas_Odoo!$K:$K=I1264), Facturas_Odoo!$L:$L, ""), ""))</f>
        <v/>
      </c>
      <c r="T1264" s="81">
        <f>IF(Q1264="Sin Factura",0,IFERROR(_xlfn.XLOOKUP(1, (Facturas_Odoo!$D:$D=A1264) * (Facturas_Odoo!$K:$K=I1264), Facturas_Odoo!$M:$M, 0), 0))</f>
        <v/>
      </c>
      <c r="U1264" s="79">
        <f>IF(Q1264="Sin Factura",0,IFERROR(_xlfn.XLOOKUP(1, (Facturas_Odoo!$D:$D=A1264) * (Facturas_Odoo!$K:$K=I1264), Facturas_Odoo!$N:$N, 0), 0))</f>
        <v/>
      </c>
      <c r="V1264" s="79">
        <f>IF(Q1264="Sin Factura",0,IFERROR(_xlfn.XLOOKUP(1, (Facturas_Odoo!$D:$D=A1264) * (Facturas_Odoo!$K:$K=I1264), Facturas_Odoo!$O:$O, 0), 0))</f>
        <v/>
      </c>
      <c r="W1264" s="81">
        <f>IF(Q1264="Sin Factura",0,IFERROR(_xlfn.XLOOKUP(1, (Facturas_Odoo!$D:$D=A1264) * (Facturas_Odoo!$K:$K=I1264), Facturas_Odoo!$Q:$Q, 0), 0))</f>
        <v/>
      </c>
      <c r="X1264" s="79">
        <f>IF(OR(Q1264="Sin Factura",Q1264=""),"",IFERROR(INDEX(Pagos_Odoo!$B:$B, MATCH(Q1264, Pagos_Odoo!$I:$I, 0)), "Sin Pago"))</f>
        <v/>
      </c>
      <c r="Y1264" s="79">
        <f>IF(X1264="Sin Pago","",IFERROR(INDEX(Pagos_Odoo!$C:$C, MATCH(X1264, Pagos_Odoo!$B:$B, 0)), ""))</f>
        <v/>
      </c>
      <c r="Z1264" s="80">
        <f>IF(X1264="Sin Pago","",IFERROR(INDEX(Pagos_Odoo!$A:$A, MATCH(X1264, Pagos_Odoo!$B:$B, 0)), ""))</f>
        <v/>
      </c>
      <c r="AA1264" s="79">
        <f>IF(X1264="Sin Pago","",IFERROR(INDEX(Pagos_Odoo!$F:$F, MATCH(X1264, Pagos_Odoo!$B:$B, 0)), ""))</f>
        <v/>
      </c>
      <c r="AB1264" s="81">
        <f>IF(X1264="Sin Pago",0,IFERROR(INDEX(Pagos_Odoo!$E:$E, MATCH(X1264, Pagos_Odoo!$B:$B, 0)), 0))</f>
        <v/>
      </c>
      <c r="AC1264" s="79">
        <f>IF(X1264="Sin Pago","",IFERROR(INDEX(Pagos_Odoo!$G:$G, MATCH(X1264, Pagos_Odoo!$B:$B, 0)), ""))</f>
        <v/>
      </c>
      <c r="AD1264" s="82" t="n">
        <v>0</v>
      </c>
      <c r="AE1264" s="82" t="n"/>
      <c r="AF1264" s="82" t="n"/>
      <c r="AG1264" s="82">
        <f>IF(AN1264="","",AD1264+AE1264+AF1264)</f>
        <v/>
      </c>
      <c r="AH1264" s="81">
        <f>IF(AN1264="","",P1264*(1-AG1264))</f>
        <v/>
      </c>
      <c r="AI1264" s="81">
        <f>IF(AN1264="","",IF(Q1264="Sin Factura",0,IFERROR(INDEX(Facturas_Odoo!$H:$H, MATCH(Q1264, Facturas_Odoo!$B:$B, 0)), 0)*(1-AG1264)))</f>
        <v/>
      </c>
      <c r="AJ1264" s="81">
        <f>IF(AN1264="","",_xlfn.LET(idVenta, AN1264&amp;"",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64" s="81">
        <f>IF(AN1264="","",AH1264-AJ1264)</f>
        <v/>
      </c>
      <c r="AL1264" s="81">
        <f>IF(AN1264="","",IF(Q1264="Sin Factura","",AI1264-AJ1264))</f>
        <v/>
      </c>
      <c r="AM1264" s="81">
        <f>IF(AN1264="","",IF(Q1264="Sin Factura",0,P1264-IFERROR(INDEX(Facturas_Odoo!$H:$H, MATCH(Q1264, Facturas_Odoo!$B:$B, 0)), 0)))</f>
        <v/>
      </c>
      <c r="AN1264" s="79">
        <f>IF(AND(A1264="", J1264=""), "", IF(A1264&lt;&gt;"", VALUE(MID(A1264,2,LEN(A1264))), AN1263))</f>
        <v/>
      </c>
      <c r="AO1264" s="79">
        <f>IF(AN1264="","",IF(AD1264=0,"OK",_xlfn.LET(monedaPago, IF(AA1264="","USD",AA1264), limitePermitido, IFERROR(VLOOKUP(monedaPago, Configuración!$A$2:$B$3, 2, FALSE), 0.15), IF(AD1264&gt;limitePermitido, "ALERTA: EXCESO (" &amp; TEXT(limitePermitido, "0%") &amp; " máx)", "OK"))))</f>
        <v/>
      </c>
      <c r="AP1264" s="79">
        <f>IF(AN1264="","",IF(AE1264=0,"OK",_xlfn.LET(fechaPago, Z1264, fechaFactura, R1264, diasCredito, IF(E1264="Pago inmediato", 0, IFERROR(VALUE(MID(E1264, 1, SEARCH(" ", E1264)-1)),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64" s="79">
        <f>IF(AN1264="","",IF(AND(N1264&gt;0, AG1264&gt;0), IF(Configuración!$K$2="NO", "ALERTA: DESCUENTO DOBLE NO PERMITIDO", "OK"), "OK"))</f>
        <v/>
      </c>
      <c r="AR1264" s="79">
        <f>IF(AN1264="","",IF(OR(AO1264&lt;&gt;"OK", AP1264&lt;&gt;"OK", AQ1264&lt;&gt;"OK"), "⚠️ REVISAR", "OK"))</f>
        <v/>
      </c>
    </row>
    <row r="1265">
      <c r="A1265" s="79">
        <f>IF('Ordenes_Odoo'!A1265="","",'Ordenes_Odoo'!A1265)</f>
        <v/>
      </c>
      <c r="B1265" s="80">
        <f>IF('Ordenes_Odoo'!B1265="","",'Ordenes_Odoo'!B1265)</f>
        <v/>
      </c>
      <c r="C1265" s="79">
        <f>IF('Ordenes_Odoo'!C1265="","",'Ordenes_Odoo'!C1265)</f>
        <v/>
      </c>
      <c r="D1265" s="79">
        <f>IF('Ordenes_Odoo'!D1265="","",'Ordenes_Odoo'!D1265)</f>
        <v/>
      </c>
      <c r="E1265" s="79">
        <f>IF('Ordenes_Odoo'!E1265="","",'Ordenes_Odoo'!E1265)</f>
        <v/>
      </c>
      <c r="F1265" s="79">
        <f>IF('Ordenes_Odoo'!F1265="","",'Ordenes_Odoo'!F1265)</f>
        <v/>
      </c>
      <c r="G1265" s="79">
        <f>IF('Ordenes_Odoo'!G1265="","",'Ordenes_Odoo'!G1265)</f>
        <v/>
      </c>
      <c r="H1265" s="79">
        <f>IF('Ordenes_Odoo'!H1265="","",'Ordenes_Odoo'!H1265)</f>
        <v/>
      </c>
      <c r="I1265" s="79">
        <f>IF('Ordenes_Odoo'!I1265="","",'Ordenes_Odoo'!I1265)</f>
        <v/>
      </c>
      <c r="J1265" s="79">
        <f>IF('Ordenes_Odoo'!J1265="","",'Ordenes_Odoo'!J1265)</f>
        <v/>
      </c>
      <c r="K1265" s="81">
        <f>IF('Ordenes_Odoo'!K1265="","",'Ordenes_Odoo'!K1265)</f>
        <v/>
      </c>
      <c r="L1265" s="81">
        <f>IF('Ordenes_Odoo'!L1265="","",'Ordenes_Odoo'!L1265)</f>
        <v/>
      </c>
      <c r="M1265" s="79">
        <f>IF('Ordenes_Odoo'!M1265="","",'Ordenes_Odoo'!M1265)</f>
        <v/>
      </c>
      <c r="N1265" s="79">
        <f>IF('Ordenes_Odoo'!N1265="","",'Ordenes_Odoo'!N1265)</f>
        <v/>
      </c>
      <c r="O1265" s="81">
        <f>IF('Ordenes_Odoo'!O1265="","",'Ordenes_Odoo'!O1265)</f>
        <v/>
      </c>
      <c r="P1265" s="81">
        <f>IF('Ordenes_Odoo'!P1265="","",'Ordenes_Odoo'!P1265)</f>
        <v/>
      </c>
      <c r="Q1265" s="79">
        <f>IF(A1265="","",IFERROR(INDEX(Facturas_Odoo!$B:$B, MATCH(A1265, Facturas_Odoo!$D:$D, 0)), "Sin Factura"))</f>
        <v/>
      </c>
      <c r="R1265" s="80">
        <f>IF(Q1265="Sin Factura","",IFERROR(INDEX(Facturas_Odoo!$A:$A, MATCH(Q1265, Facturas_Odoo!$B:$B, 0)), ""))</f>
        <v/>
      </c>
      <c r="S1265" s="79">
        <f>IF(Q1265="Sin Factura","",IFERROR(_xlfn.XLOOKUP(1, (Facturas_Odoo!$D:$D=A1265) * (Facturas_Odoo!$K:$K=I1265), Facturas_Odoo!$L:$L, ""), ""))</f>
        <v/>
      </c>
      <c r="T1265" s="81">
        <f>IF(Q1265="Sin Factura",0,IFERROR(_xlfn.XLOOKUP(1, (Facturas_Odoo!$D:$D=A1265) * (Facturas_Odoo!$K:$K=I1265), Facturas_Odoo!$M:$M, 0), 0))</f>
        <v/>
      </c>
      <c r="U1265" s="79">
        <f>IF(Q1265="Sin Factura",0,IFERROR(_xlfn.XLOOKUP(1, (Facturas_Odoo!$D:$D=A1265) * (Facturas_Odoo!$K:$K=I1265), Facturas_Odoo!$N:$N, 0), 0))</f>
        <v/>
      </c>
      <c r="V1265" s="79">
        <f>IF(Q1265="Sin Factura",0,IFERROR(_xlfn.XLOOKUP(1, (Facturas_Odoo!$D:$D=A1265) * (Facturas_Odoo!$K:$K=I1265), Facturas_Odoo!$O:$O, 0), 0))</f>
        <v/>
      </c>
      <c r="W1265" s="81">
        <f>IF(Q1265="Sin Factura",0,IFERROR(_xlfn.XLOOKUP(1, (Facturas_Odoo!$D:$D=A1265) * (Facturas_Odoo!$K:$K=I1265), Facturas_Odoo!$Q:$Q, 0), 0))</f>
        <v/>
      </c>
      <c r="X1265" s="79">
        <f>IF(OR(Q1265="Sin Factura",Q1265=""),"",IFERROR(INDEX(Pagos_Odoo!$B:$B, MATCH(Q1265, Pagos_Odoo!$I:$I, 0)), "Sin Pago"))</f>
        <v/>
      </c>
      <c r="Y1265" s="79">
        <f>IF(X1265="Sin Pago","",IFERROR(INDEX(Pagos_Odoo!$C:$C, MATCH(X1265, Pagos_Odoo!$B:$B, 0)), ""))</f>
        <v/>
      </c>
      <c r="Z1265" s="80">
        <f>IF(X1265="Sin Pago","",IFERROR(INDEX(Pagos_Odoo!$A:$A, MATCH(X1265, Pagos_Odoo!$B:$B, 0)), ""))</f>
        <v/>
      </c>
      <c r="AA1265" s="79">
        <f>IF(X1265="Sin Pago","",IFERROR(INDEX(Pagos_Odoo!$F:$F, MATCH(X1265, Pagos_Odoo!$B:$B, 0)), ""))</f>
        <v/>
      </c>
      <c r="AB1265" s="81">
        <f>IF(X1265="Sin Pago",0,IFERROR(INDEX(Pagos_Odoo!$E:$E, MATCH(X1265, Pagos_Odoo!$B:$B, 0)), 0))</f>
        <v/>
      </c>
      <c r="AC1265" s="79">
        <f>IF(X1265="Sin Pago","",IFERROR(INDEX(Pagos_Odoo!$G:$G, MATCH(X1265, Pagos_Odoo!$B:$B, 0)), ""))</f>
        <v/>
      </c>
      <c r="AD1265" s="82" t="n">
        <v>0</v>
      </c>
      <c r="AE1265" s="82" t="n"/>
      <c r="AF1265" s="82" t="n"/>
      <c r="AG1265" s="82">
        <f>IF(AN1265="","",AD1265+AE1265+AF1265)</f>
        <v/>
      </c>
      <c r="AH1265" s="81">
        <f>IF(AN1265="","",P1265*(1-AG1265))</f>
        <v/>
      </c>
      <c r="AI1265" s="81">
        <f>IF(AN1265="","",IF(Q1265="Sin Factura",0,IFERROR(INDEX(Facturas_Odoo!$H:$H, MATCH(Q1265, Facturas_Odoo!$B:$B, 0)), 0)*(1-AG1265)))</f>
        <v/>
      </c>
      <c r="AJ1265" s="81">
        <f>IF(AN1265="","",_xlfn.LET(idVenta, AN1265&amp;"",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65" s="81">
        <f>IF(AN1265="","",AH1265-AJ1265)</f>
        <v/>
      </c>
      <c r="AL1265" s="81">
        <f>IF(AN1265="","",IF(Q1265="Sin Factura","",AI1265-AJ1265))</f>
        <v/>
      </c>
      <c r="AM1265" s="81">
        <f>IF(AN1265="","",IF(Q1265="Sin Factura",0,P1265-IFERROR(INDEX(Facturas_Odoo!$H:$H, MATCH(Q1265, Facturas_Odoo!$B:$B, 0)), 0)))</f>
        <v/>
      </c>
      <c r="AN1265" s="79">
        <f>IF(AND(A1265="", J1265=""), "", IF(A1265&lt;&gt;"", VALUE(MID(A1265,2,LEN(A1265))), AN1264))</f>
        <v/>
      </c>
      <c r="AO1265" s="79">
        <f>IF(AN1265="","",IF(AD1265=0,"OK",_xlfn.LET(monedaPago, IF(AA1265="","USD",AA1265), limitePermitido, IFERROR(VLOOKUP(monedaPago, Configuración!$A$2:$B$3, 2, FALSE), 0.15), IF(AD1265&gt;limitePermitido, "ALERTA: EXCESO (" &amp; TEXT(limitePermitido, "0%") &amp; " máx)", "OK"))))</f>
        <v/>
      </c>
      <c r="AP1265" s="79">
        <f>IF(AN1265="","",IF(AE1265=0,"OK",_xlfn.LET(fechaPago, Z1265, fechaFactura, R1265, diasCredito, IF(E1265="Pago inmediato", 0, IFERROR(VALUE(MID(E1265, 1, SEARCH(" ", E1265)-1)),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65" s="79">
        <f>IF(AN1265="","",IF(AND(N1265&gt;0, AG1265&gt;0), IF(Configuración!$K$2="NO", "ALERTA: DESCUENTO DOBLE NO PERMITIDO", "OK"), "OK"))</f>
        <v/>
      </c>
      <c r="AR1265" s="79">
        <f>IF(AN1265="","",IF(OR(AO1265&lt;&gt;"OK", AP1265&lt;&gt;"OK", AQ1265&lt;&gt;"OK"), "⚠️ REVISAR", "OK"))</f>
        <v/>
      </c>
    </row>
    <row r="1266">
      <c r="A1266" s="79">
        <f>IF('Ordenes_Odoo'!A1266="","",'Ordenes_Odoo'!A1266)</f>
        <v/>
      </c>
      <c r="B1266" s="80">
        <f>IF('Ordenes_Odoo'!B1266="","",'Ordenes_Odoo'!B1266)</f>
        <v/>
      </c>
      <c r="C1266" s="79">
        <f>IF('Ordenes_Odoo'!C1266="","",'Ordenes_Odoo'!C1266)</f>
        <v/>
      </c>
      <c r="D1266" s="79">
        <f>IF('Ordenes_Odoo'!D1266="","",'Ordenes_Odoo'!D1266)</f>
        <v/>
      </c>
      <c r="E1266" s="79">
        <f>IF('Ordenes_Odoo'!E1266="","",'Ordenes_Odoo'!E1266)</f>
        <v/>
      </c>
      <c r="F1266" s="79">
        <f>IF('Ordenes_Odoo'!F1266="","",'Ordenes_Odoo'!F1266)</f>
        <v/>
      </c>
      <c r="G1266" s="79">
        <f>IF('Ordenes_Odoo'!G1266="","",'Ordenes_Odoo'!G1266)</f>
        <v/>
      </c>
      <c r="H1266" s="79">
        <f>IF('Ordenes_Odoo'!H1266="","",'Ordenes_Odoo'!H1266)</f>
        <v/>
      </c>
      <c r="I1266" s="79">
        <f>IF('Ordenes_Odoo'!I1266="","",'Ordenes_Odoo'!I1266)</f>
        <v/>
      </c>
      <c r="J1266" s="79">
        <f>IF('Ordenes_Odoo'!J1266="","",'Ordenes_Odoo'!J1266)</f>
        <v/>
      </c>
      <c r="K1266" s="81">
        <f>IF('Ordenes_Odoo'!K1266="","",'Ordenes_Odoo'!K1266)</f>
        <v/>
      </c>
      <c r="L1266" s="81">
        <f>IF('Ordenes_Odoo'!L1266="","",'Ordenes_Odoo'!L1266)</f>
        <v/>
      </c>
      <c r="M1266" s="79">
        <f>IF('Ordenes_Odoo'!M1266="","",'Ordenes_Odoo'!M1266)</f>
        <v/>
      </c>
      <c r="N1266" s="79">
        <f>IF('Ordenes_Odoo'!N1266="","",'Ordenes_Odoo'!N1266)</f>
        <v/>
      </c>
      <c r="O1266" s="81">
        <f>IF('Ordenes_Odoo'!O1266="","",'Ordenes_Odoo'!O1266)</f>
        <v/>
      </c>
      <c r="P1266" s="81">
        <f>IF('Ordenes_Odoo'!P1266="","",'Ordenes_Odoo'!P1266)</f>
        <v/>
      </c>
      <c r="Q1266" s="79">
        <f>IF(A1266="","",IFERROR(INDEX(Facturas_Odoo!$B:$B, MATCH(A1266, Facturas_Odoo!$D:$D, 0)), "Sin Factura"))</f>
        <v/>
      </c>
      <c r="R1266" s="80">
        <f>IF(Q1266="Sin Factura","",IFERROR(INDEX(Facturas_Odoo!$A:$A, MATCH(Q1266, Facturas_Odoo!$B:$B, 0)), ""))</f>
        <v/>
      </c>
      <c r="S1266" s="79">
        <f>IF(Q1266="Sin Factura","",IFERROR(_xlfn.XLOOKUP(1, (Facturas_Odoo!$D:$D=A1266) * (Facturas_Odoo!$K:$K=I1266), Facturas_Odoo!$L:$L, ""), ""))</f>
        <v/>
      </c>
      <c r="T1266" s="81">
        <f>IF(Q1266="Sin Factura",0,IFERROR(_xlfn.XLOOKUP(1, (Facturas_Odoo!$D:$D=A1266) * (Facturas_Odoo!$K:$K=I1266), Facturas_Odoo!$M:$M, 0), 0))</f>
        <v/>
      </c>
      <c r="U1266" s="79">
        <f>IF(Q1266="Sin Factura",0,IFERROR(_xlfn.XLOOKUP(1, (Facturas_Odoo!$D:$D=A1266) * (Facturas_Odoo!$K:$K=I1266), Facturas_Odoo!$N:$N, 0), 0))</f>
        <v/>
      </c>
      <c r="V1266" s="79">
        <f>IF(Q1266="Sin Factura",0,IFERROR(_xlfn.XLOOKUP(1, (Facturas_Odoo!$D:$D=A1266) * (Facturas_Odoo!$K:$K=I1266), Facturas_Odoo!$O:$O, 0), 0))</f>
        <v/>
      </c>
      <c r="W1266" s="81">
        <f>IF(Q1266="Sin Factura",0,IFERROR(_xlfn.XLOOKUP(1, (Facturas_Odoo!$D:$D=A1266) * (Facturas_Odoo!$K:$K=I1266), Facturas_Odoo!$Q:$Q, 0), 0))</f>
        <v/>
      </c>
      <c r="X1266" s="79">
        <f>IF(OR(Q1266="Sin Factura",Q1266=""),"",IFERROR(INDEX(Pagos_Odoo!$B:$B, MATCH(Q1266, Pagos_Odoo!$I:$I, 0)), "Sin Pago"))</f>
        <v/>
      </c>
      <c r="Y1266" s="79">
        <f>IF(X1266="Sin Pago","",IFERROR(INDEX(Pagos_Odoo!$C:$C, MATCH(X1266, Pagos_Odoo!$B:$B, 0)), ""))</f>
        <v/>
      </c>
      <c r="Z1266" s="80">
        <f>IF(X1266="Sin Pago","",IFERROR(INDEX(Pagos_Odoo!$A:$A, MATCH(X1266, Pagos_Odoo!$B:$B, 0)), ""))</f>
        <v/>
      </c>
      <c r="AA1266" s="79">
        <f>IF(X1266="Sin Pago","",IFERROR(INDEX(Pagos_Odoo!$F:$F, MATCH(X1266, Pagos_Odoo!$B:$B, 0)), ""))</f>
        <v/>
      </c>
      <c r="AB1266" s="81">
        <f>IF(X1266="Sin Pago",0,IFERROR(INDEX(Pagos_Odoo!$E:$E, MATCH(X1266, Pagos_Odoo!$B:$B, 0)), 0))</f>
        <v/>
      </c>
      <c r="AC1266" s="79">
        <f>IF(X1266="Sin Pago","",IFERROR(INDEX(Pagos_Odoo!$G:$G, MATCH(X1266, Pagos_Odoo!$B:$B, 0)), ""))</f>
        <v/>
      </c>
      <c r="AD1266" s="82" t="n">
        <v>0</v>
      </c>
      <c r="AE1266" s="82" t="n"/>
      <c r="AF1266" s="82" t="n"/>
      <c r="AG1266" s="82">
        <f>IF(AN1266="","",AD1266+AE1266+AF1266)</f>
        <v/>
      </c>
      <c r="AH1266" s="81">
        <f>IF(AN1266="","",P1266*(1-AG1266))</f>
        <v/>
      </c>
      <c r="AI1266" s="81">
        <f>IF(AN1266="","",IF(Q1266="Sin Factura",0,IFERROR(INDEX(Facturas_Odoo!$H:$H, MATCH(Q1266, Facturas_Odoo!$B:$B, 0)), 0)*(1-AG1266)))</f>
        <v/>
      </c>
      <c r="AJ1266" s="81">
        <f>IF(AN1266="","",_xlfn.LET(idVenta, AN1266&amp;"",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66" s="81">
        <f>IF(AN1266="","",AH1266-AJ1266)</f>
        <v/>
      </c>
      <c r="AL1266" s="81">
        <f>IF(AN1266="","",IF(Q1266="Sin Factura","",AI1266-AJ1266))</f>
        <v/>
      </c>
      <c r="AM1266" s="81">
        <f>IF(AN1266="","",IF(Q1266="Sin Factura",0,P1266-IFERROR(INDEX(Facturas_Odoo!$H:$H, MATCH(Q1266, Facturas_Odoo!$B:$B, 0)), 0)))</f>
        <v/>
      </c>
      <c r="AN1266" s="79">
        <f>IF(AND(A1266="", J1266=""), "", IF(A1266&lt;&gt;"", VALUE(MID(A1266,2,LEN(A1266))), AN1265))</f>
        <v/>
      </c>
      <c r="AO1266" s="79">
        <f>IF(AN1266="","",IF(AD1266=0,"OK",_xlfn.LET(monedaPago, IF(AA1266="","USD",AA1266), limitePermitido, IFERROR(VLOOKUP(monedaPago, Configuración!$A$2:$B$3, 2, FALSE), 0.15), IF(AD1266&gt;limitePermitido, "ALERTA: EXCESO (" &amp; TEXT(limitePermitido, "0%") &amp; " máx)", "OK"))))</f>
        <v/>
      </c>
      <c r="AP1266" s="79">
        <f>IF(AN1266="","",IF(AE1266=0,"OK",_xlfn.LET(fechaPago, Z1266, fechaFactura, R1266, diasCredito, IF(E1266="Pago inmediato", 0, IFERROR(VALUE(MID(E1266, 1, SEARCH(" ", E1266)-1)),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66" s="79">
        <f>IF(AN1266="","",IF(AND(N1266&gt;0, AG1266&gt;0), IF(Configuración!$K$2="NO", "ALERTA: DESCUENTO DOBLE NO PERMITIDO", "OK"), "OK"))</f>
        <v/>
      </c>
      <c r="AR1266" s="79">
        <f>IF(AN1266="","",IF(OR(AO1266&lt;&gt;"OK", AP1266&lt;&gt;"OK", AQ1266&lt;&gt;"OK"), "⚠️ REVISAR", "OK"))</f>
        <v/>
      </c>
    </row>
    <row r="1267">
      <c r="A1267" s="79">
        <f>IF('Ordenes_Odoo'!A1267="","",'Ordenes_Odoo'!A1267)</f>
        <v/>
      </c>
      <c r="B1267" s="80">
        <f>IF('Ordenes_Odoo'!B1267="","",'Ordenes_Odoo'!B1267)</f>
        <v/>
      </c>
      <c r="C1267" s="79">
        <f>IF('Ordenes_Odoo'!C1267="","",'Ordenes_Odoo'!C1267)</f>
        <v/>
      </c>
      <c r="D1267" s="79">
        <f>IF('Ordenes_Odoo'!D1267="","",'Ordenes_Odoo'!D1267)</f>
        <v/>
      </c>
      <c r="E1267" s="79">
        <f>IF('Ordenes_Odoo'!E1267="","",'Ordenes_Odoo'!E1267)</f>
        <v/>
      </c>
      <c r="F1267" s="79">
        <f>IF('Ordenes_Odoo'!F1267="","",'Ordenes_Odoo'!F1267)</f>
        <v/>
      </c>
      <c r="G1267" s="79">
        <f>IF('Ordenes_Odoo'!G1267="","",'Ordenes_Odoo'!G1267)</f>
        <v/>
      </c>
      <c r="H1267" s="79">
        <f>IF('Ordenes_Odoo'!H1267="","",'Ordenes_Odoo'!H1267)</f>
        <v/>
      </c>
      <c r="I1267" s="79">
        <f>IF('Ordenes_Odoo'!I1267="","",'Ordenes_Odoo'!I1267)</f>
        <v/>
      </c>
      <c r="J1267" s="79">
        <f>IF('Ordenes_Odoo'!J1267="","",'Ordenes_Odoo'!J1267)</f>
        <v/>
      </c>
      <c r="K1267" s="81">
        <f>IF('Ordenes_Odoo'!K1267="","",'Ordenes_Odoo'!K1267)</f>
        <v/>
      </c>
      <c r="L1267" s="81">
        <f>IF('Ordenes_Odoo'!L1267="","",'Ordenes_Odoo'!L1267)</f>
        <v/>
      </c>
      <c r="M1267" s="79">
        <f>IF('Ordenes_Odoo'!M1267="","",'Ordenes_Odoo'!M1267)</f>
        <v/>
      </c>
      <c r="N1267" s="79">
        <f>IF('Ordenes_Odoo'!N1267="","",'Ordenes_Odoo'!N1267)</f>
        <v/>
      </c>
      <c r="O1267" s="81">
        <f>IF('Ordenes_Odoo'!O1267="","",'Ordenes_Odoo'!O1267)</f>
        <v/>
      </c>
      <c r="P1267" s="81">
        <f>IF('Ordenes_Odoo'!P1267="","",'Ordenes_Odoo'!P1267)</f>
        <v/>
      </c>
      <c r="Q1267" s="79">
        <f>IF(A1267="","",IFERROR(INDEX(Facturas_Odoo!$B:$B, MATCH(A1267, Facturas_Odoo!$D:$D, 0)), "Sin Factura"))</f>
        <v/>
      </c>
      <c r="R1267" s="80">
        <f>IF(Q1267="Sin Factura","",IFERROR(INDEX(Facturas_Odoo!$A:$A, MATCH(Q1267, Facturas_Odoo!$B:$B, 0)), ""))</f>
        <v/>
      </c>
      <c r="S1267" s="79">
        <f>IF(Q1267="Sin Factura","",IFERROR(_xlfn.XLOOKUP(1, (Facturas_Odoo!$D:$D=A1267) * (Facturas_Odoo!$K:$K=I1267), Facturas_Odoo!$L:$L, ""), ""))</f>
        <v/>
      </c>
      <c r="T1267" s="81">
        <f>IF(Q1267="Sin Factura",0,IFERROR(_xlfn.XLOOKUP(1, (Facturas_Odoo!$D:$D=A1267) * (Facturas_Odoo!$K:$K=I1267), Facturas_Odoo!$M:$M, 0), 0))</f>
        <v/>
      </c>
      <c r="U1267" s="79">
        <f>IF(Q1267="Sin Factura",0,IFERROR(_xlfn.XLOOKUP(1, (Facturas_Odoo!$D:$D=A1267) * (Facturas_Odoo!$K:$K=I1267), Facturas_Odoo!$N:$N, 0), 0))</f>
        <v/>
      </c>
      <c r="V1267" s="79">
        <f>IF(Q1267="Sin Factura",0,IFERROR(_xlfn.XLOOKUP(1, (Facturas_Odoo!$D:$D=A1267) * (Facturas_Odoo!$K:$K=I1267), Facturas_Odoo!$O:$O, 0), 0))</f>
        <v/>
      </c>
      <c r="W1267" s="81">
        <f>IF(Q1267="Sin Factura",0,IFERROR(_xlfn.XLOOKUP(1, (Facturas_Odoo!$D:$D=A1267) * (Facturas_Odoo!$K:$K=I1267), Facturas_Odoo!$Q:$Q, 0), 0))</f>
        <v/>
      </c>
      <c r="X1267" s="79">
        <f>IF(OR(Q1267="Sin Factura",Q1267=""),"",IFERROR(INDEX(Pagos_Odoo!$B:$B, MATCH(Q1267, Pagos_Odoo!$I:$I, 0)), "Sin Pago"))</f>
        <v/>
      </c>
      <c r="Y1267" s="79">
        <f>IF(X1267="Sin Pago","",IFERROR(INDEX(Pagos_Odoo!$C:$C, MATCH(X1267, Pagos_Odoo!$B:$B, 0)), ""))</f>
        <v/>
      </c>
      <c r="Z1267" s="80">
        <f>IF(X1267="Sin Pago","",IFERROR(INDEX(Pagos_Odoo!$A:$A, MATCH(X1267, Pagos_Odoo!$B:$B, 0)), ""))</f>
        <v/>
      </c>
      <c r="AA1267" s="79">
        <f>IF(X1267="Sin Pago","",IFERROR(INDEX(Pagos_Odoo!$F:$F, MATCH(X1267, Pagos_Odoo!$B:$B, 0)), ""))</f>
        <v/>
      </c>
      <c r="AB1267" s="81">
        <f>IF(X1267="Sin Pago",0,IFERROR(INDEX(Pagos_Odoo!$E:$E, MATCH(X1267, Pagos_Odoo!$B:$B, 0)), 0))</f>
        <v/>
      </c>
      <c r="AC1267" s="79">
        <f>IF(X1267="Sin Pago","",IFERROR(INDEX(Pagos_Odoo!$G:$G, MATCH(X1267, Pagos_Odoo!$B:$B, 0)), ""))</f>
        <v/>
      </c>
      <c r="AD1267" s="82" t="n">
        <v>0</v>
      </c>
      <c r="AE1267" s="82" t="n"/>
      <c r="AF1267" s="82" t="n"/>
      <c r="AG1267" s="82">
        <f>IF(AN1267="","",AD1267+AE1267+AF1267)</f>
        <v/>
      </c>
      <c r="AH1267" s="81">
        <f>IF(AN1267="","",P1267*(1-AG1267))</f>
        <v/>
      </c>
      <c r="AI1267" s="81">
        <f>IF(AN1267="","",IF(Q1267="Sin Factura",0,IFERROR(INDEX(Facturas_Odoo!$H:$H, MATCH(Q1267, Facturas_Odoo!$B:$B, 0)), 0)*(1-AG1267)))</f>
        <v/>
      </c>
      <c r="AJ1267" s="81">
        <f>IF(AN1267="","",_xlfn.LET(idVenta, AN1267&amp;"",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67" s="81">
        <f>IF(AN1267="","",AH1267-AJ1267)</f>
        <v/>
      </c>
      <c r="AL1267" s="81">
        <f>IF(AN1267="","",IF(Q1267="Sin Factura","",AI1267-AJ1267))</f>
        <v/>
      </c>
      <c r="AM1267" s="81">
        <f>IF(AN1267="","",IF(Q1267="Sin Factura",0,P1267-IFERROR(INDEX(Facturas_Odoo!$H:$H, MATCH(Q1267, Facturas_Odoo!$B:$B, 0)), 0)))</f>
        <v/>
      </c>
      <c r="AN1267" s="79">
        <f>IF(AND(A1267="", J1267=""), "", IF(A1267&lt;&gt;"", VALUE(MID(A1267,2,LEN(A1267))), AN1266))</f>
        <v/>
      </c>
      <c r="AO1267" s="79">
        <f>IF(AN1267="","",IF(AD1267=0,"OK",_xlfn.LET(monedaPago, IF(AA1267="","USD",AA1267), limitePermitido, IFERROR(VLOOKUP(monedaPago, Configuración!$A$2:$B$3, 2, FALSE), 0.15), IF(AD1267&gt;limitePermitido, "ALERTA: EXCESO (" &amp; TEXT(limitePermitido, "0%") &amp; " máx)", "OK"))))</f>
        <v/>
      </c>
      <c r="AP1267" s="79">
        <f>IF(AN1267="","",IF(AE1267=0,"OK",_xlfn.LET(fechaPago, Z1267, fechaFactura, R1267, diasCredito, IF(E1267="Pago inmediato", 0, IFERROR(VALUE(MID(E1267, 1, SEARCH(" ", E1267)-1)),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67" s="79">
        <f>IF(AN1267="","",IF(AND(N1267&gt;0, AG1267&gt;0), IF(Configuración!$K$2="NO", "ALERTA: DESCUENTO DOBLE NO PERMITIDO", "OK"), "OK"))</f>
        <v/>
      </c>
      <c r="AR1267" s="79">
        <f>IF(AN1267="","",IF(OR(AO1267&lt;&gt;"OK", AP1267&lt;&gt;"OK", AQ1267&lt;&gt;"OK"), "⚠️ REVISAR", "OK"))</f>
        <v/>
      </c>
    </row>
    <row r="1268">
      <c r="A1268" s="79">
        <f>IF('Ordenes_Odoo'!A1268="","",'Ordenes_Odoo'!A1268)</f>
        <v/>
      </c>
      <c r="B1268" s="80">
        <f>IF('Ordenes_Odoo'!B1268="","",'Ordenes_Odoo'!B1268)</f>
        <v/>
      </c>
      <c r="C1268" s="79">
        <f>IF('Ordenes_Odoo'!C1268="","",'Ordenes_Odoo'!C1268)</f>
        <v/>
      </c>
      <c r="D1268" s="79">
        <f>IF('Ordenes_Odoo'!D1268="","",'Ordenes_Odoo'!D1268)</f>
        <v/>
      </c>
      <c r="E1268" s="79">
        <f>IF('Ordenes_Odoo'!E1268="","",'Ordenes_Odoo'!E1268)</f>
        <v/>
      </c>
      <c r="F1268" s="79">
        <f>IF('Ordenes_Odoo'!F1268="","",'Ordenes_Odoo'!F1268)</f>
        <v/>
      </c>
      <c r="G1268" s="79">
        <f>IF('Ordenes_Odoo'!G1268="","",'Ordenes_Odoo'!G1268)</f>
        <v/>
      </c>
      <c r="H1268" s="79">
        <f>IF('Ordenes_Odoo'!H1268="","",'Ordenes_Odoo'!H1268)</f>
        <v/>
      </c>
      <c r="I1268" s="79">
        <f>IF('Ordenes_Odoo'!I1268="","",'Ordenes_Odoo'!I1268)</f>
        <v/>
      </c>
      <c r="J1268" s="79">
        <f>IF('Ordenes_Odoo'!J1268="","",'Ordenes_Odoo'!J1268)</f>
        <v/>
      </c>
      <c r="K1268" s="81">
        <f>IF('Ordenes_Odoo'!K1268="","",'Ordenes_Odoo'!K1268)</f>
        <v/>
      </c>
      <c r="L1268" s="81">
        <f>IF('Ordenes_Odoo'!L1268="","",'Ordenes_Odoo'!L1268)</f>
        <v/>
      </c>
      <c r="M1268" s="79">
        <f>IF('Ordenes_Odoo'!M1268="","",'Ordenes_Odoo'!M1268)</f>
        <v/>
      </c>
      <c r="N1268" s="79">
        <f>IF('Ordenes_Odoo'!N1268="","",'Ordenes_Odoo'!N1268)</f>
        <v/>
      </c>
      <c r="O1268" s="81">
        <f>IF('Ordenes_Odoo'!O1268="","",'Ordenes_Odoo'!O1268)</f>
        <v/>
      </c>
      <c r="P1268" s="81">
        <f>IF('Ordenes_Odoo'!P1268="","",'Ordenes_Odoo'!P1268)</f>
        <v/>
      </c>
      <c r="Q1268" s="79">
        <f>IF(A1268="","",IFERROR(INDEX(Facturas_Odoo!$B:$B, MATCH(A1268, Facturas_Odoo!$D:$D, 0)), "Sin Factura"))</f>
        <v/>
      </c>
      <c r="R1268" s="80">
        <f>IF(Q1268="Sin Factura","",IFERROR(INDEX(Facturas_Odoo!$A:$A, MATCH(Q1268, Facturas_Odoo!$B:$B, 0)), ""))</f>
        <v/>
      </c>
      <c r="S1268" s="79">
        <f>IF(Q1268="Sin Factura","",IFERROR(_xlfn.XLOOKUP(1, (Facturas_Odoo!$D:$D=A1268) * (Facturas_Odoo!$K:$K=I1268), Facturas_Odoo!$L:$L, ""), ""))</f>
        <v/>
      </c>
      <c r="T1268" s="81">
        <f>IF(Q1268="Sin Factura",0,IFERROR(_xlfn.XLOOKUP(1, (Facturas_Odoo!$D:$D=A1268) * (Facturas_Odoo!$K:$K=I1268), Facturas_Odoo!$M:$M, 0), 0))</f>
        <v/>
      </c>
      <c r="U1268" s="79">
        <f>IF(Q1268="Sin Factura",0,IFERROR(_xlfn.XLOOKUP(1, (Facturas_Odoo!$D:$D=A1268) * (Facturas_Odoo!$K:$K=I1268), Facturas_Odoo!$N:$N, 0), 0))</f>
        <v/>
      </c>
      <c r="V1268" s="79">
        <f>IF(Q1268="Sin Factura",0,IFERROR(_xlfn.XLOOKUP(1, (Facturas_Odoo!$D:$D=A1268) * (Facturas_Odoo!$K:$K=I1268), Facturas_Odoo!$O:$O, 0), 0))</f>
        <v/>
      </c>
      <c r="W1268" s="81">
        <f>IF(Q1268="Sin Factura",0,IFERROR(_xlfn.XLOOKUP(1, (Facturas_Odoo!$D:$D=A1268) * (Facturas_Odoo!$K:$K=I1268), Facturas_Odoo!$Q:$Q, 0), 0))</f>
        <v/>
      </c>
      <c r="X1268" s="79">
        <f>IF(OR(Q1268="Sin Factura",Q1268=""),"",IFERROR(INDEX(Pagos_Odoo!$B:$B, MATCH(Q1268, Pagos_Odoo!$I:$I, 0)), "Sin Pago"))</f>
        <v/>
      </c>
      <c r="Y1268" s="79">
        <f>IF(X1268="Sin Pago","",IFERROR(INDEX(Pagos_Odoo!$C:$C, MATCH(X1268, Pagos_Odoo!$B:$B, 0)), ""))</f>
        <v/>
      </c>
      <c r="Z1268" s="80">
        <f>IF(X1268="Sin Pago","",IFERROR(INDEX(Pagos_Odoo!$A:$A, MATCH(X1268, Pagos_Odoo!$B:$B, 0)), ""))</f>
        <v/>
      </c>
      <c r="AA1268" s="79">
        <f>IF(X1268="Sin Pago","",IFERROR(INDEX(Pagos_Odoo!$F:$F, MATCH(X1268, Pagos_Odoo!$B:$B, 0)), ""))</f>
        <v/>
      </c>
      <c r="AB1268" s="81">
        <f>IF(X1268="Sin Pago",0,IFERROR(INDEX(Pagos_Odoo!$E:$E, MATCH(X1268, Pagos_Odoo!$B:$B, 0)), 0))</f>
        <v/>
      </c>
      <c r="AC1268" s="79">
        <f>IF(X1268="Sin Pago","",IFERROR(INDEX(Pagos_Odoo!$G:$G, MATCH(X1268, Pagos_Odoo!$B:$B, 0)), ""))</f>
        <v/>
      </c>
      <c r="AD1268" s="82" t="n">
        <v>0</v>
      </c>
      <c r="AE1268" s="82" t="n"/>
      <c r="AF1268" s="82" t="n"/>
      <c r="AG1268" s="82">
        <f>IF(AN1268="","",AD1268+AE1268+AF1268)</f>
        <v/>
      </c>
      <c r="AH1268" s="81">
        <f>IF(AN1268="","",P1268*(1-AG1268))</f>
        <v/>
      </c>
      <c r="AI1268" s="81">
        <f>IF(AN1268="","",IF(Q1268="Sin Factura",0,IFERROR(INDEX(Facturas_Odoo!$H:$H, MATCH(Q1268, Facturas_Odoo!$B:$B, 0)), 0)*(1-AG1268)))</f>
        <v/>
      </c>
      <c r="AJ1268" s="81">
        <f>IF(AN1268="","",_xlfn.LET(idVenta, AN1268&amp;"",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68" s="81">
        <f>IF(AN1268="","",AH1268-AJ1268)</f>
        <v/>
      </c>
      <c r="AL1268" s="81">
        <f>IF(AN1268="","",IF(Q1268="Sin Factura","",AI1268-AJ1268))</f>
        <v/>
      </c>
      <c r="AM1268" s="81">
        <f>IF(AN1268="","",IF(Q1268="Sin Factura",0,P1268-IFERROR(INDEX(Facturas_Odoo!$H:$H, MATCH(Q1268, Facturas_Odoo!$B:$B, 0)), 0)))</f>
        <v/>
      </c>
      <c r="AN1268" s="79">
        <f>IF(AND(A1268="", J1268=""), "", IF(A1268&lt;&gt;"", VALUE(MID(A1268,2,LEN(A1268))), AN1267))</f>
        <v/>
      </c>
      <c r="AO1268" s="79">
        <f>IF(AN1268="","",IF(AD1268=0,"OK",_xlfn.LET(monedaPago, IF(AA1268="","USD",AA1268), limitePermitido, IFERROR(VLOOKUP(monedaPago, Configuración!$A$2:$B$3, 2, FALSE), 0.15), IF(AD1268&gt;limitePermitido, "ALERTA: EXCESO (" &amp; TEXT(limitePermitido, "0%") &amp; " máx)", "OK"))))</f>
        <v/>
      </c>
      <c r="AP1268" s="79">
        <f>IF(AN1268="","",IF(AE1268=0,"OK",_xlfn.LET(fechaPago, Z1268, fechaFactura, R1268, diasCredito, IF(E1268="Pago inmediato", 0, IFERROR(VALUE(MID(E1268, 1, SEARCH(" ", E1268)-1)),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68" s="79">
        <f>IF(AN1268="","",IF(AND(N1268&gt;0, AG1268&gt;0), IF(Configuración!$K$2="NO", "ALERTA: DESCUENTO DOBLE NO PERMITIDO", "OK"), "OK"))</f>
        <v/>
      </c>
      <c r="AR1268" s="79">
        <f>IF(AN1268="","",IF(OR(AO1268&lt;&gt;"OK", AP1268&lt;&gt;"OK", AQ1268&lt;&gt;"OK"), "⚠️ REVISAR", "OK"))</f>
        <v/>
      </c>
    </row>
    <row r="1269">
      <c r="A1269" s="79">
        <f>IF('Ordenes_Odoo'!A1269="","",'Ordenes_Odoo'!A1269)</f>
        <v/>
      </c>
      <c r="B1269" s="80">
        <f>IF('Ordenes_Odoo'!B1269="","",'Ordenes_Odoo'!B1269)</f>
        <v/>
      </c>
      <c r="C1269" s="79">
        <f>IF('Ordenes_Odoo'!C1269="","",'Ordenes_Odoo'!C1269)</f>
        <v/>
      </c>
      <c r="D1269" s="79">
        <f>IF('Ordenes_Odoo'!D1269="","",'Ordenes_Odoo'!D1269)</f>
        <v/>
      </c>
      <c r="E1269" s="79">
        <f>IF('Ordenes_Odoo'!E1269="","",'Ordenes_Odoo'!E1269)</f>
        <v/>
      </c>
      <c r="F1269" s="79">
        <f>IF('Ordenes_Odoo'!F1269="","",'Ordenes_Odoo'!F1269)</f>
        <v/>
      </c>
      <c r="G1269" s="79">
        <f>IF('Ordenes_Odoo'!G1269="","",'Ordenes_Odoo'!G1269)</f>
        <v/>
      </c>
      <c r="H1269" s="79">
        <f>IF('Ordenes_Odoo'!H1269="","",'Ordenes_Odoo'!H1269)</f>
        <v/>
      </c>
      <c r="I1269" s="79">
        <f>IF('Ordenes_Odoo'!I1269="","",'Ordenes_Odoo'!I1269)</f>
        <v/>
      </c>
      <c r="J1269" s="79">
        <f>IF('Ordenes_Odoo'!J1269="","",'Ordenes_Odoo'!J1269)</f>
        <v/>
      </c>
      <c r="K1269" s="81">
        <f>IF('Ordenes_Odoo'!K1269="","",'Ordenes_Odoo'!K1269)</f>
        <v/>
      </c>
      <c r="L1269" s="81">
        <f>IF('Ordenes_Odoo'!L1269="","",'Ordenes_Odoo'!L1269)</f>
        <v/>
      </c>
      <c r="M1269" s="79">
        <f>IF('Ordenes_Odoo'!M1269="","",'Ordenes_Odoo'!M1269)</f>
        <v/>
      </c>
      <c r="N1269" s="79">
        <f>IF('Ordenes_Odoo'!N1269="","",'Ordenes_Odoo'!N1269)</f>
        <v/>
      </c>
      <c r="O1269" s="81">
        <f>IF('Ordenes_Odoo'!O1269="","",'Ordenes_Odoo'!O1269)</f>
        <v/>
      </c>
      <c r="P1269" s="81">
        <f>IF('Ordenes_Odoo'!P1269="","",'Ordenes_Odoo'!P1269)</f>
        <v/>
      </c>
      <c r="Q1269" s="79">
        <f>IF(A1269="","",IFERROR(INDEX(Facturas_Odoo!$B:$B, MATCH(A1269, Facturas_Odoo!$D:$D, 0)), "Sin Factura"))</f>
        <v/>
      </c>
      <c r="R1269" s="80">
        <f>IF(Q1269="Sin Factura","",IFERROR(INDEX(Facturas_Odoo!$A:$A, MATCH(Q1269, Facturas_Odoo!$B:$B, 0)), ""))</f>
        <v/>
      </c>
      <c r="S1269" s="79">
        <f>IF(Q1269="Sin Factura","",IFERROR(_xlfn.XLOOKUP(1, (Facturas_Odoo!$D:$D=A1269) * (Facturas_Odoo!$K:$K=I1269), Facturas_Odoo!$L:$L, ""), ""))</f>
        <v/>
      </c>
      <c r="T1269" s="81">
        <f>IF(Q1269="Sin Factura",0,IFERROR(_xlfn.XLOOKUP(1, (Facturas_Odoo!$D:$D=A1269) * (Facturas_Odoo!$K:$K=I1269), Facturas_Odoo!$M:$M, 0), 0))</f>
        <v/>
      </c>
      <c r="U1269" s="79">
        <f>IF(Q1269="Sin Factura",0,IFERROR(_xlfn.XLOOKUP(1, (Facturas_Odoo!$D:$D=A1269) * (Facturas_Odoo!$K:$K=I1269), Facturas_Odoo!$N:$N, 0), 0))</f>
        <v/>
      </c>
      <c r="V1269" s="79">
        <f>IF(Q1269="Sin Factura",0,IFERROR(_xlfn.XLOOKUP(1, (Facturas_Odoo!$D:$D=A1269) * (Facturas_Odoo!$K:$K=I1269), Facturas_Odoo!$O:$O, 0), 0))</f>
        <v/>
      </c>
      <c r="W1269" s="81">
        <f>IF(Q1269="Sin Factura",0,IFERROR(_xlfn.XLOOKUP(1, (Facturas_Odoo!$D:$D=A1269) * (Facturas_Odoo!$K:$K=I1269), Facturas_Odoo!$Q:$Q, 0), 0))</f>
        <v/>
      </c>
      <c r="X1269" s="79">
        <f>IF(OR(Q1269="Sin Factura",Q1269=""),"",IFERROR(INDEX(Pagos_Odoo!$B:$B, MATCH(Q1269, Pagos_Odoo!$I:$I, 0)), "Sin Pago"))</f>
        <v/>
      </c>
      <c r="Y1269" s="79">
        <f>IF(X1269="Sin Pago","",IFERROR(INDEX(Pagos_Odoo!$C:$C, MATCH(X1269, Pagos_Odoo!$B:$B, 0)), ""))</f>
        <v/>
      </c>
      <c r="Z1269" s="80">
        <f>IF(X1269="Sin Pago","",IFERROR(INDEX(Pagos_Odoo!$A:$A, MATCH(X1269, Pagos_Odoo!$B:$B, 0)), ""))</f>
        <v/>
      </c>
      <c r="AA1269" s="79">
        <f>IF(X1269="Sin Pago","",IFERROR(INDEX(Pagos_Odoo!$F:$F, MATCH(X1269, Pagos_Odoo!$B:$B, 0)), ""))</f>
        <v/>
      </c>
      <c r="AB1269" s="81">
        <f>IF(X1269="Sin Pago",0,IFERROR(INDEX(Pagos_Odoo!$E:$E, MATCH(X1269, Pagos_Odoo!$B:$B, 0)), 0))</f>
        <v/>
      </c>
      <c r="AC1269" s="79">
        <f>IF(X1269="Sin Pago","",IFERROR(INDEX(Pagos_Odoo!$G:$G, MATCH(X1269, Pagos_Odoo!$B:$B, 0)), ""))</f>
        <v/>
      </c>
      <c r="AD1269" s="82" t="n">
        <v>0</v>
      </c>
      <c r="AE1269" s="82" t="n"/>
      <c r="AF1269" s="82" t="n"/>
      <c r="AG1269" s="82">
        <f>IF(AN1269="","",AD1269+AE1269+AF1269)</f>
        <v/>
      </c>
      <c r="AH1269" s="81">
        <f>IF(AN1269="","",P1269*(1-AG1269))</f>
        <v/>
      </c>
      <c r="AI1269" s="81">
        <f>IF(AN1269="","",IF(Q1269="Sin Factura",0,IFERROR(INDEX(Facturas_Odoo!$H:$H, MATCH(Q1269, Facturas_Odoo!$B:$B, 0)), 0)*(1-AG1269)))</f>
        <v/>
      </c>
      <c r="AJ1269" s="81">
        <f>IF(AN1269="","",_xlfn.LET(idVenta, AN1269&amp;"",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69" s="81">
        <f>IF(AN1269="","",AH1269-AJ1269)</f>
        <v/>
      </c>
      <c r="AL1269" s="81">
        <f>IF(AN1269="","",IF(Q1269="Sin Factura","",AI1269-AJ1269))</f>
        <v/>
      </c>
      <c r="AM1269" s="81">
        <f>IF(AN1269="","",IF(Q1269="Sin Factura",0,P1269-IFERROR(INDEX(Facturas_Odoo!$H:$H, MATCH(Q1269, Facturas_Odoo!$B:$B, 0)), 0)))</f>
        <v/>
      </c>
      <c r="AN1269" s="79">
        <f>IF(AND(A1269="", J1269=""), "", IF(A1269&lt;&gt;"", VALUE(MID(A1269,2,LEN(A1269))), AN1268))</f>
        <v/>
      </c>
      <c r="AO1269" s="79">
        <f>IF(AN1269="","",IF(AD1269=0,"OK",_xlfn.LET(monedaPago, IF(AA1269="","USD",AA1269), limitePermitido, IFERROR(VLOOKUP(monedaPago, Configuración!$A$2:$B$3, 2, FALSE), 0.15), IF(AD1269&gt;limitePermitido, "ALERTA: EXCESO (" &amp; TEXT(limitePermitido, "0%") &amp; " máx)", "OK"))))</f>
        <v/>
      </c>
      <c r="AP1269" s="79">
        <f>IF(AN1269="","",IF(AE1269=0,"OK",_xlfn.LET(fechaPago, Z1269, fechaFactura, R1269, diasCredito, IF(E1269="Pago inmediato", 0, IFERROR(VALUE(MID(E1269, 1, SEARCH(" ", E1269)-1)),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69" s="79">
        <f>IF(AN1269="","",IF(AND(N1269&gt;0, AG1269&gt;0), IF(Configuración!$K$2="NO", "ALERTA: DESCUENTO DOBLE NO PERMITIDO", "OK"), "OK"))</f>
        <v/>
      </c>
      <c r="AR1269" s="79">
        <f>IF(AN1269="","",IF(OR(AO1269&lt;&gt;"OK", AP1269&lt;&gt;"OK", AQ1269&lt;&gt;"OK"), "⚠️ REVISAR", "OK"))</f>
        <v/>
      </c>
    </row>
    <row r="1270">
      <c r="A1270" s="79">
        <f>IF('Ordenes_Odoo'!A1270="","",'Ordenes_Odoo'!A1270)</f>
        <v/>
      </c>
      <c r="B1270" s="80">
        <f>IF('Ordenes_Odoo'!B1270="","",'Ordenes_Odoo'!B1270)</f>
        <v/>
      </c>
      <c r="C1270" s="79">
        <f>IF('Ordenes_Odoo'!C1270="","",'Ordenes_Odoo'!C1270)</f>
        <v/>
      </c>
      <c r="D1270" s="79">
        <f>IF('Ordenes_Odoo'!D1270="","",'Ordenes_Odoo'!D1270)</f>
        <v/>
      </c>
      <c r="E1270" s="79">
        <f>IF('Ordenes_Odoo'!E1270="","",'Ordenes_Odoo'!E1270)</f>
        <v/>
      </c>
      <c r="F1270" s="79">
        <f>IF('Ordenes_Odoo'!F1270="","",'Ordenes_Odoo'!F1270)</f>
        <v/>
      </c>
      <c r="G1270" s="79">
        <f>IF('Ordenes_Odoo'!G1270="","",'Ordenes_Odoo'!G1270)</f>
        <v/>
      </c>
      <c r="H1270" s="79">
        <f>IF('Ordenes_Odoo'!H1270="","",'Ordenes_Odoo'!H1270)</f>
        <v/>
      </c>
      <c r="I1270" s="79">
        <f>IF('Ordenes_Odoo'!I1270="","",'Ordenes_Odoo'!I1270)</f>
        <v/>
      </c>
      <c r="J1270" s="79">
        <f>IF('Ordenes_Odoo'!J1270="","",'Ordenes_Odoo'!J1270)</f>
        <v/>
      </c>
      <c r="K1270" s="81">
        <f>IF('Ordenes_Odoo'!K1270="","",'Ordenes_Odoo'!K1270)</f>
        <v/>
      </c>
      <c r="L1270" s="81">
        <f>IF('Ordenes_Odoo'!L1270="","",'Ordenes_Odoo'!L1270)</f>
        <v/>
      </c>
      <c r="M1270" s="79">
        <f>IF('Ordenes_Odoo'!M1270="","",'Ordenes_Odoo'!M1270)</f>
        <v/>
      </c>
      <c r="N1270" s="79">
        <f>IF('Ordenes_Odoo'!N1270="","",'Ordenes_Odoo'!N1270)</f>
        <v/>
      </c>
      <c r="O1270" s="81">
        <f>IF('Ordenes_Odoo'!O1270="","",'Ordenes_Odoo'!O1270)</f>
        <v/>
      </c>
      <c r="P1270" s="81">
        <f>IF('Ordenes_Odoo'!P1270="","",'Ordenes_Odoo'!P1270)</f>
        <v/>
      </c>
      <c r="Q1270" s="79">
        <f>IF(A1270="","",IFERROR(INDEX(Facturas_Odoo!$B:$B, MATCH(A1270, Facturas_Odoo!$D:$D, 0)), "Sin Factura"))</f>
        <v/>
      </c>
      <c r="R1270" s="80">
        <f>IF(Q1270="Sin Factura","",IFERROR(INDEX(Facturas_Odoo!$A:$A, MATCH(Q1270, Facturas_Odoo!$B:$B, 0)), ""))</f>
        <v/>
      </c>
      <c r="S1270" s="79">
        <f>IF(Q1270="Sin Factura","",IFERROR(_xlfn.XLOOKUP(1, (Facturas_Odoo!$D:$D=A1270) * (Facturas_Odoo!$K:$K=I1270), Facturas_Odoo!$L:$L, ""), ""))</f>
        <v/>
      </c>
      <c r="T1270" s="81">
        <f>IF(Q1270="Sin Factura",0,IFERROR(_xlfn.XLOOKUP(1, (Facturas_Odoo!$D:$D=A1270) * (Facturas_Odoo!$K:$K=I1270), Facturas_Odoo!$M:$M, 0), 0))</f>
        <v/>
      </c>
      <c r="U1270" s="79">
        <f>IF(Q1270="Sin Factura",0,IFERROR(_xlfn.XLOOKUP(1, (Facturas_Odoo!$D:$D=A1270) * (Facturas_Odoo!$K:$K=I1270), Facturas_Odoo!$N:$N, 0), 0))</f>
        <v/>
      </c>
      <c r="V1270" s="79">
        <f>IF(Q1270="Sin Factura",0,IFERROR(_xlfn.XLOOKUP(1, (Facturas_Odoo!$D:$D=A1270) * (Facturas_Odoo!$K:$K=I1270), Facturas_Odoo!$O:$O, 0), 0))</f>
        <v/>
      </c>
      <c r="W1270" s="81">
        <f>IF(Q1270="Sin Factura",0,IFERROR(_xlfn.XLOOKUP(1, (Facturas_Odoo!$D:$D=A1270) * (Facturas_Odoo!$K:$K=I1270), Facturas_Odoo!$Q:$Q, 0), 0))</f>
        <v/>
      </c>
      <c r="X1270" s="79">
        <f>IF(OR(Q1270="Sin Factura",Q1270=""),"",IFERROR(INDEX(Pagos_Odoo!$B:$B, MATCH(Q1270, Pagos_Odoo!$I:$I, 0)), "Sin Pago"))</f>
        <v/>
      </c>
      <c r="Y1270" s="79">
        <f>IF(X1270="Sin Pago","",IFERROR(INDEX(Pagos_Odoo!$C:$C, MATCH(X1270, Pagos_Odoo!$B:$B, 0)), ""))</f>
        <v/>
      </c>
      <c r="Z1270" s="80">
        <f>IF(X1270="Sin Pago","",IFERROR(INDEX(Pagos_Odoo!$A:$A, MATCH(X1270, Pagos_Odoo!$B:$B, 0)), ""))</f>
        <v/>
      </c>
      <c r="AA1270" s="79">
        <f>IF(X1270="Sin Pago","",IFERROR(INDEX(Pagos_Odoo!$F:$F, MATCH(X1270, Pagos_Odoo!$B:$B, 0)), ""))</f>
        <v/>
      </c>
      <c r="AB1270" s="81">
        <f>IF(X1270="Sin Pago",0,IFERROR(INDEX(Pagos_Odoo!$E:$E, MATCH(X1270, Pagos_Odoo!$B:$B, 0)), 0))</f>
        <v/>
      </c>
      <c r="AC1270" s="79">
        <f>IF(X1270="Sin Pago","",IFERROR(INDEX(Pagos_Odoo!$G:$G, MATCH(X1270, Pagos_Odoo!$B:$B, 0)), ""))</f>
        <v/>
      </c>
      <c r="AD1270" s="82" t="n">
        <v>0</v>
      </c>
      <c r="AE1270" s="82" t="n"/>
      <c r="AF1270" s="82" t="n"/>
      <c r="AG1270" s="82">
        <f>IF(AN1270="","",AD1270+AE1270+AF1270)</f>
        <v/>
      </c>
      <c r="AH1270" s="81">
        <f>IF(AN1270="","",P1270*(1-AG1270))</f>
        <v/>
      </c>
      <c r="AI1270" s="81">
        <f>IF(AN1270="","",IF(Q1270="Sin Factura",0,IFERROR(INDEX(Facturas_Odoo!$H:$H, MATCH(Q1270, Facturas_Odoo!$B:$B, 0)), 0)*(1-AG1270)))</f>
        <v/>
      </c>
      <c r="AJ1270" s="81">
        <f>IF(AN1270="","",_xlfn.LET(idVenta, AN1270&amp;"",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70" s="81">
        <f>IF(AN1270="","",AH1270-AJ1270)</f>
        <v/>
      </c>
      <c r="AL1270" s="81">
        <f>IF(AN1270="","",IF(Q1270="Sin Factura","",AI1270-AJ1270))</f>
        <v/>
      </c>
      <c r="AM1270" s="81">
        <f>IF(AN1270="","",IF(Q1270="Sin Factura",0,P1270-IFERROR(INDEX(Facturas_Odoo!$H:$H, MATCH(Q1270, Facturas_Odoo!$B:$B, 0)), 0)))</f>
        <v/>
      </c>
      <c r="AN1270" s="79">
        <f>IF(AND(A1270="", J1270=""), "", IF(A1270&lt;&gt;"", VALUE(MID(A1270,2,LEN(A1270))), AN1269))</f>
        <v/>
      </c>
      <c r="AO1270" s="79">
        <f>IF(AN1270="","",IF(AD1270=0,"OK",_xlfn.LET(monedaPago, IF(AA1270="","USD",AA1270), limitePermitido, IFERROR(VLOOKUP(monedaPago, Configuración!$A$2:$B$3, 2, FALSE), 0.15), IF(AD1270&gt;limitePermitido, "ALERTA: EXCESO (" &amp; TEXT(limitePermitido, "0%") &amp; " máx)", "OK"))))</f>
        <v/>
      </c>
      <c r="AP1270" s="79">
        <f>IF(AN1270="","",IF(AE1270=0,"OK",_xlfn.LET(fechaPago, Z1270, fechaFactura, R1270, diasCredito, IF(E1270="Pago inmediato", 0, IFERROR(VALUE(MID(E1270, 1, SEARCH(" ", E1270)-1)),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70" s="79">
        <f>IF(AN1270="","",IF(AND(N1270&gt;0, AG1270&gt;0), IF(Configuración!$K$2="NO", "ALERTA: DESCUENTO DOBLE NO PERMITIDO", "OK"), "OK"))</f>
        <v/>
      </c>
      <c r="AR1270" s="79">
        <f>IF(AN1270="","",IF(OR(AO1270&lt;&gt;"OK", AP1270&lt;&gt;"OK", AQ1270&lt;&gt;"OK"), "⚠️ REVISAR", "OK"))</f>
        <v/>
      </c>
    </row>
    <row r="1271">
      <c r="A1271" s="79">
        <f>IF('Ordenes_Odoo'!A1271="","",'Ordenes_Odoo'!A1271)</f>
        <v/>
      </c>
      <c r="B1271" s="80">
        <f>IF('Ordenes_Odoo'!B1271="","",'Ordenes_Odoo'!B1271)</f>
        <v/>
      </c>
      <c r="C1271" s="79">
        <f>IF('Ordenes_Odoo'!C1271="","",'Ordenes_Odoo'!C1271)</f>
        <v/>
      </c>
      <c r="D1271" s="79">
        <f>IF('Ordenes_Odoo'!D1271="","",'Ordenes_Odoo'!D1271)</f>
        <v/>
      </c>
      <c r="E1271" s="79">
        <f>IF('Ordenes_Odoo'!E1271="","",'Ordenes_Odoo'!E1271)</f>
        <v/>
      </c>
      <c r="F1271" s="79">
        <f>IF('Ordenes_Odoo'!F1271="","",'Ordenes_Odoo'!F1271)</f>
        <v/>
      </c>
      <c r="G1271" s="79">
        <f>IF('Ordenes_Odoo'!G1271="","",'Ordenes_Odoo'!G1271)</f>
        <v/>
      </c>
      <c r="H1271" s="79">
        <f>IF('Ordenes_Odoo'!H1271="","",'Ordenes_Odoo'!H1271)</f>
        <v/>
      </c>
      <c r="I1271" s="79">
        <f>IF('Ordenes_Odoo'!I1271="","",'Ordenes_Odoo'!I1271)</f>
        <v/>
      </c>
      <c r="J1271" s="79">
        <f>IF('Ordenes_Odoo'!J1271="","",'Ordenes_Odoo'!J1271)</f>
        <v/>
      </c>
      <c r="K1271" s="81">
        <f>IF('Ordenes_Odoo'!K1271="","",'Ordenes_Odoo'!K1271)</f>
        <v/>
      </c>
      <c r="L1271" s="81">
        <f>IF('Ordenes_Odoo'!L1271="","",'Ordenes_Odoo'!L1271)</f>
        <v/>
      </c>
      <c r="M1271" s="79">
        <f>IF('Ordenes_Odoo'!M1271="","",'Ordenes_Odoo'!M1271)</f>
        <v/>
      </c>
      <c r="N1271" s="79">
        <f>IF('Ordenes_Odoo'!N1271="","",'Ordenes_Odoo'!N1271)</f>
        <v/>
      </c>
      <c r="O1271" s="81">
        <f>IF('Ordenes_Odoo'!O1271="","",'Ordenes_Odoo'!O1271)</f>
        <v/>
      </c>
      <c r="P1271" s="81">
        <f>IF('Ordenes_Odoo'!P1271="","",'Ordenes_Odoo'!P1271)</f>
        <v/>
      </c>
      <c r="Q1271" s="79">
        <f>IF(A1271="","",IFERROR(INDEX(Facturas_Odoo!$B:$B, MATCH(A1271, Facturas_Odoo!$D:$D, 0)), "Sin Factura"))</f>
        <v/>
      </c>
      <c r="R1271" s="80">
        <f>IF(Q1271="Sin Factura","",IFERROR(INDEX(Facturas_Odoo!$A:$A, MATCH(Q1271, Facturas_Odoo!$B:$B, 0)), ""))</f>
        <v/>
      </c>
      <c r="S1271" s="79">
        <f>IF(Q1271="Sin Factura","",IFERROR(_xlfn.XLOOKUP(1, (Facturas_Odoo!$D:$D=A1271) * (Facturas_Odoo!$K:$K=I1271), Facturas_Odoo!$L:$L, ""), ""))</f>
        <v/>
      </c>
      <c r="T1271" s="81">
        <f>IF(Q1271="Sin Factura",0,IFERROR(_xlfn.XLOOKUP(1, (Facturas_Odoo!$D:$D=A1271) * (Facturas_Odoo!$K:$K=I1271), Facturas_Odoo!$M:$M, 0), 0))</f>
        <v/>
      </c>
      <c r="U1271" s="79">
        <f>IF(Q1271="Sin Factura",0,IFERROR(_xlfn.XLOOKUP(1, (Facturas_Odoo!$D:$D=A1271) * (Facturas_Odoo!$K:$K=I1271), Facturas_Odoo!$N:$N, 0), 0))</f>
        <v/>
      </c>
      <c r="V1271" s="79">
        <f>IF(Q1271="Sin Factura",0,IFERROR(_xlfn.XLOOKUP(1, (Facturas_Odoo!$D:$D=A1271) * (Facturas_Odoo!$K:$K=I1271), Facturas_Odoo!$O:$O, 0), 0))</f>
        <v/>
      </c>
      <c r="W1271" s="81">
        <f>IF(Q1271="Sin Factura",0,IFERROR(_xlfn.XLOOKUP(1, (Facturas_Odoo!$D:$D=A1271) * (Facturas_Odoo!$K:$K=I1271), Facturas_Odoo!$Q:$Q, 0), 0))</f>
        <v/>
      </c>
      <c r="X1271" s="79">
        <f>IF(OR(Q1271="Sin Factura",Q1271=""),"",IFERROR(INDEX(Pagos_Odoo!$B:$B, MATCH(Q1271, Pagos_Odoo!$I:$I, 0)), "Sin Pago"))</f>
        <v/>
      </c>
      <c r="Y1271" s="79">
        <f>IF(X1271="Sin Pago","",IFERROR(INDEX(Pagos_Odoo!$C:$C, MATCH(X1271, Pagos_Odoo!$B:$B, 0)), ""))</f>
        <v/>
      </c>
      <c r="Z1271" s="80">
        <f>IF(X1271="Sin Pago","",IFERROR(INDEX(Pagos_Odoo!$A:$A, MATCH(X1271, Pagos_Odoo!$B:$B, 0)), ""))</f>
        <v/>
      </c>
      <c r="AA1271" s="79">
        <f>IF(X1271="Sin Pago","",IFERROR(INDEX(Pagos_Odoo!$F:$F, MATCH(X1271, Pagos_Odoo!$B:$B, 0)), ""))</f>
        <v/>
      </c>
      <c r="AB1271" s="81">
        <f>IF(X1271="Sin Pago",0,IFERROR(INDEX(Pagos_Odoo!$E:$E, MATCH(X1271, Pagos_Odoo!$B:$B, 0)), 0))</f>
        <v/>
      </c>
      <c r="AC1271" s="79">
        <f>IF(X1271="Sin Pago","",IFERROR(INDEX(Pagos_Odoo!$G:$G, MATCH(X1271, Pagos_Odoo!$B:$B, 0)), ""))</f>
        <v/>
      </c>
      <c r="AD1271" s="82" t="n">
        <v>0</v>
      </c>
      <c r="AE1271" s="82" t="n"/>
      <c r="AF1271" s="82" t="n"/>
      <c r="AG1271" s="82">
        <f>IF(AN1271="","",AD1271+AE1271+AF1271)</f>
        <v/>
      </c>
      <c r="AH1271" s="81">
        <f>IF(AN1271="","",P1271*(1-AG1271))</f>
        <v/>
      </c>
      <c r="AI1271" s="81">
        <f>IF(AN1271="","",IF(Q1271="Sin Factura",0,IFERROR(INDEX(Facturas_Odoo!$H:$H, MATCH(Q1271, Facturas_Odoo!$B:$B, 0)), 0)*(1-AG1271)))</f>
        <v/>
      </c>
      <c r="AJ1271" s="81">
        <f>IF(AN1271="","",_xlfn.LET(idVenta, AN1271&amp;"",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71" s="81">
        <f>IF(AN1271="","",AH1271-AJ1271)</f>
        <v/>
      </c>
      <c r="AL1271" s="81">
        <f>IF(AN1271="","",IF(Q1271="Sin Factura","",AI1271-AJ1271))</f>
        <v/>
      </c>
      <c r="AM1271" s="81">
        <f>IF(AN1271="","",IF(Q1271="Sin Factura",0,P1271-IFERROR(INDEX(Facturas_Odoo!$H:$H, MATCH(Q1271, Facturas_Odoo!$B:$B, 0)), 0)))</f>
        <v/>
      </c>
      <c r="AN1271" s="79">
        <f>IF(AND(A1271="", J1271=""), "", IF(A1271&lt;&gt;"", VALUE(MID(A1271,2,LEN(A1271))), AN1270))</f>
        <v/>
      </c>
      <c r="AO1271" s="79">
        <f>IF(AN1271="","",IF(AD1271=0,"OK",_xlfn.LET(monedaPago, IF(AA1271="","USD",AA1271), limitePermitido, IFERROR(VLOOKUP(monedaPago, Configuración!$A$2:$B$3, 2, FALSE), 0.15), IF(AD1271&gt;limitePermitido, "ALERTA: EXCESO (" &amp; TEXT(limitePermitido, "0%") &amp; " máx)", "OK"))))</f>
        <v/>
      </c>
      <c r="AP1271" s="79">
        <f>IF(AN1271="","",IF(AE1271=0,"OK",_xlfn.LET(fechaPago, Z1271, fechaFactura, R1271, diasCredito, IF(E1271="Pago inmediato", 0, IFERROR(VALUE(MID(E1271, 1, SEARCH(" ", E1271)-1)),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71" s="79">
        <f>IF(AN1271="","",IF(AND(N1271&gt;0, AG1271&gt;0), IF(Configuración!$K$2="NO", "ALERTA: DESCUENTO DOBLE NO PERMITIDO", "OK"), "OK"))</f>
        <v/>
      </c>
      <c r="AR1271" s="79">
        <f>IF(AN1271="","",IF(OR(AO1271&lt;&gt;"OK", AP1271&lt;&gt;"OK", AQ1271&lt;&gt;"OK"), "⚠️ REVISAR", "OK"))</f>
        <v/>
      </c>
    </row>
    <row r="1272">
      <c r="A1272" s="79">
        <f>IF('Ordenes_Odoo'!A1272="","",'Ordenes_Odoo'!A1272)</f>
        <v/>
      </c>
      <c r="B1272" s="80">
        <f>IF('Ordenes_Odoo'!B1272="","",'Ordenes_Odoo'!B1272)</f>
        <v/>
      </c>
      <c r="C1272" s="79">
        <f>IF('Ordenes_Odoo'!C1272="","",'Ordenes_Odoo'!C1272)</f>
        <v/>
      </c>
      <c r="D1272" s="79">
        <f>IF('Ordenes_Odoo'!D1272="","",'Ordenes_Odoo'!D1272)</f>
        <v/>
      </c>
      <c r="E1272" s="79">
        <f>IF('Ordenes_Odoo'!E1272="","",'Ordenes_Odoo'!E1272)</f>
        <v/>
      </c>
      <c r="F1272" s="79">
        <f>IF('Ordenes_Odoo'!F1272="","",'Ordenes_Odoo'!F1272)</f>
        <v/>
      </c>
      <c r="G1272" s="79">
        <f>IF('Ordenes_Odoo'!G1272="","",'Ordenes_Odoo'!G1272)</f>
        <v/>
      </c>
      <c r="H1272" s="79">
        <f>IF('Ordenes_Odoo'!H1272="","",'Ordenes_Odoo'!H1272)</f>
        <v/>
      </c>
      <c r="I1272" s="79">
        <f>IF('Ordenes_Odoo'!I1272="","",'Ordenes_Odoo'!I1272)</f>
        <v/>
      </c>
      <c r="J1272" s="79">
        <f>IF('Ordenes_Odoo'!J1272="","",'Ordenes_Odoo'!J1272)</f>
        <v/>
      </c>
      <c r="K1272" s="81">
        <f>IF('Ordenes_Odoo'!K1272="","",'Ordenes_Odoo'!K1272)</f>
        <v/>
      </c>
      <c r="L1272" s="81">
        <f>IF('Ordenes_Odoo'!L1272="","",'Ordenes_Odoo'!L1272)</f>
        <v/>
      </c>
      <c r="M1272" s="79">
        <f>IF('Ordenes_Odoo'!M1272="","",'Ordenes_Odoo'!M1272)</f>
        <v/>
      </c>
      <c r="N1272" s="79">
        <f>IF('Ordenes_Odoo'!N1272="","",'Ordenes_Odoo'!N1272)</f>
        <v/>
      </c>
      <c r="O1272" s="81">
        <f>IF('Ordenes_Odoo'!O1272="","",'Ordenes_Odoo'!O1272)</f>
        <v/>
      </c>
      <c r="P1272" s="81">
        <f>IF('Ordenes_Odoo'!P1272="","",'Ordenes_Odoo'!P1272)</f>
        <v/>
      </c>
      <c r="Q1272" s="79">
        <f>IF(A1272="","",IFERROR(INDEX(Facturas_Odoo!$B:$B, MATCH(A1272, Facturas_Odoo!$D:$D, 0)), "Sin Factura"))</f>
        <v/>
      </c>
      <c r="R1272" s="80">
        <f>IF(Q1272="Sin Factura","",IFERROR(INDEX(Facturas_Odoo!$A:$A, MATCH(Q1272, Facturas_Odoo!$B:$B, 0)), ""))</f>
        <v/>
      </c>
      <c r="S1272" s="79">
        <f>IF(Q1272="Sin Factura","",IFERROR(_xlfn.XLOOKUP(1, (Facturas_Odoo!$D:$D=A1272) * (Facturas_Odoo!$K:$K=I1272), Facturas_Odoo!$L:$L, ""), ""))</f>
        <v/>
      </c>
      <c r="T1272" s="81">
        <f>IF(Q1272="Sin Factura",0,IFERROR(_xlfn.XLOOKUP(1, (Facturas_Odoo!$D:$D=A1272) * (Facturas_Odoo!$K:$K=I1272), Facturas_Odoo!$M:$M, 0), 0))</f>
        <v/>
      </c>
      <c r="U1272" s="79">
        <f>IF(Q1272="Sin Factura",0,IFERROR(_xlfn.XLOOKUP(1, (Facturas_Odoo!$D:$D=A1272) * (Facturas_Odoo!$K:$K=I1272), Facturas_Odoo!$N:$N, 0), 0))</f>
        <v/>
      </c>
      <c r="V1272" s="79">
        <f>IF(Q1272="Sin Factura",0,IFERROR(_xlfn.XLOOKUP(1, (Facturas_Odoo!$D:$D=A1272) * (Facturas_Odoo!$K:$K=I1272), Facturas_Odoo!$O:$O, 0), 0))</f>
        <v/>
      </c>
      <c r="W1272" s="81">
        <f>IF(Q1272="Sin Factura",0,IFERROR(_xlfn.XLOOKUP(1, (Facturas_Odoo!$D:$D=A1272) * (Facturas_Odoo!$K:$K=I1272), Facturas_Odoo!$Q:$Q, 0), 0))</f>
        <v/>
      </c>
      <c r="X1272" s="79">
        <f>IF(OR(Q1272="Sin Factura",Q1272=""),"",IFERROR(INDEX(Pagos_Odoo!$B:$B, MATCH(Q1272, Pagos_Odoo!$I:$I, 0)), "Sin Pago"))</f>
        <v/>
      </c>
      <c r="Y1272" s="79">
        <f>IF(X1272="Sin Pago","",IFERROR(INDEX(Pagos_Odoo!$C:$C, MATCH(X1272, Pagos_Odoo!$B:$B, 0)), ""))</f>
        <v/>
      </c>
      <c r="Z1272" s="80">
        <f>IF(X1272="Sin Pago","",IFERROR(INDEX(Pagos_Odoo!$A:$A, MATCH(X1272, Pagos_Odoo!$B:$B, 0)), ""))</f>
        <v/>
      </c>
      <c r="AA1272" s="79">
        <f>IF(X1272="Sin Pago","",IFERROR(INDEX(Pagos_Odoo!$F:$F, MATCH(X1272, Pagos_Odoo!$B:$B, 0)), ""))</f>
        <v/>
      </c>
      <c r="AB1272" s="81">
        <f>IF(X1272="Sin Pago",0,IFERROR(INDEX(Pagos_Odoo!$E:$E, MATCH(X1272, Pagos_Odoo!$B:$B, 0)), 0))</f>
        <v/>
      </c>
      <c r="AC1272" s="79">
        <f>IF(X1272="Sin Pago","",IFERROR(INDEX(Pagos_Odoo!$G:$G, MATCH(X1272, Pagos_Odoo!$B:$B, 0)), ""))</f>
        <v/>
      </c>
      <c r="AD1272" s="82" t="n">
        <v>0</v>
      </c>
      <c r="AE1272" s="82" t="n"/>
      <c r="AF1272" s="82" t="n"/>
      <c r="AG1272" s="82">
        <f>IF(AN1272="","",AD1272+AE1272+AF1272)</f>
        <v/>
      </c>
      <c r="AH1272" s="81">
        <f>IF(AN1272="","",P1272*(1-AG1272))</f>
        <v/>
      </c>
      <c r="AI1272" s="81">
        <f>IF(AN1272="","",IF(Q1272="Sin Factura",0,IFERROR(INDEX(Facturas_Odoo!$H:$H, MATCH(Q1272, Facturas_Odoo!$B:$B, 0)), 0)*(1-AG1272)))</f>
        <v/>
      </c>
      <c r="AJ1272" s="81">
        <f>IF(AN1272="","",_xlfn.LET(idVenta, AN1272&amp;"",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72" s="81">
        <f>IF(AN1272="","",AH1272-AJ1272)</f>
        <v/>
      </c>
      <c r="AL1272" s="81">
        <f>IF(AN1272="","",IF(Q1272="Sin Factura","",AI1272-AJ1272))</f>
        <v/>
      </c>
      <c r="AM1272" s="81">
        <f>IF(AN1272="","",IF(Q1272="Sin Factura",0,P1272-IFERROR(INDEX(Facturas_Odoo!$H:$H, MATCH(Q1272, Facturas_Odoo!$B:$B, 0)), 0)))</f>
        <v/>
      </c>
      <c r="AN1272" s="79">
        <f>IF(AND(A1272="", J1272=""), "", IF(A1272&lt;&gt;"", VALUE(MID(A1272,2,LEN(A1272))), AN1271))</f>
        <v/>
      </c>
      <c r="AO1272" s="79">
        <f>IF(AN1272="","",IF(AD1272=0,"OK",_xlfn.LET(monedaPago, IF(AA1272="","USD",AA1272), limitePermitido, IFERROR(VLOOKUP(monedaPago, Configuración!$A$2:$B$3, 2, FALSE), 0.15), IF(AD1272&gt;limitePermitido, "ALERTA: EXCESO (" &amp; TEXT(limitePermitido, "0%") &amp; " máx)", "OK"))))</f>
        <v/>
      </c>
      <c r="AP1272" s="79">
        <f>IF(AN1272="","",IF(AE1272=0,"OK",_xlfn.LET(fechaPago, Z1272, fechaFactura, R1272, diasCredito, IF(E1272="Pago inmediato", 0, IFERROR(VALUE(MID(E1272, 1, SEARCH(" ", E1272)-1)),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72" s="79">
        <f>IF(AN1272="","",IF(AND(N1272&gt;0, AG1272&gt;0), IF(Configuración!$K$2="NO", "ALERTA: DESCUENTO DOBLE NO PERMITIDO", "OK"), "OK"))</f>
        <v/>
      </c>
      <c r="AR1272" s="79">
        <f>IF(AN1272="","",IF(OR(AO1272&lt;&gt;"OK", AP1272&lt;&gt;"OK", AQ1272&lt;&gt;"OK"), "⚠️ REVISAR", "OK"))</f>
        <v/>
      </c>
    </row>
    <row r="1273">
      <c r="A1273" s="79">
        <f>IF('Ordenes_Odoo'!A1273="","",'Ordenes_Odoo'!A1273)</f>
        <v/>
      </c>
      <c r="B1273" s="80">
        <f>IF('Ordenes_Odoo'!B1273="","",'Ordenes_Odoo'!B1273)</f>
        <v/>
      </c>
      <c r="C1273" s="79">
        <f>IF('Ordenes_Odoo'!C1273="","",'Ordenes_Odoo'!C1273)</f>
        <v/>
      </c>
      <c r="D1273" s="79">
        <f>IF('Ordenes_Odoo'!D1273="","",'Ordenes_Odoo'!D1273)</f>
        <v/>
      </c>
      <c r="E1273" s="79">
        <f>IF('Ordenes_Odoo'!E1273="","",'Ordenes_Odoo'!E1273)</f>
        <v/>
      </c>
      <c r="F1273" s="79">
        <f>IF('Ordenes_Odoo'!F1273="","",'Ordenes_Odoo'!F1273)</f>
        <v/>
      </c>
      <c r="G1273" s="79">
        <f>IF('Ordenes_Odoo'!G1273="","",'Ordenes_Odoo'!G1273)</f>
        <v/>
      </c>
      <c r="H1273" s="79">
        <f>IF('Ordenes_Odoo'!H1273="","",'Ordenes_Odoo'!H1273)</f>
        <v/>
      </c>
      <c r="I1273" s="79">
        <f>IF('Ordenes_Odoo'!I1273="","",'Ordenes_Odoo'!I1273)</f>
        <v/>
      </c>
      <c r="J1273" s="79">
        <f>IF('Ordenes_Odoo'!J1273="","",'Ordenes_Odoo'!J1273)</f>
        <v/>
      </c>
      <c r="K1273" s="81">
        <f>IF('Ordenes_Odoo'!K1273="","",'Ordenes_Odoo'!K1273)</f>
        <v/>
      </c>
      <c r="L1273" s="81">
        <f>IF('Ordenes_Odoo'!L1273="","",'Ordenes_Odoo'!L1273)</f>
        <v/>
      </c>
      <c r="M1273" s="79">
        <f>IF('Ordenes_Odoo'!M1273="","",'Ordenes_Odoo'!M1273)</f>
        <v/>
      </c>
      <c r="N1273" s="79">
        <f>IF('Ordenes_Odoo'!N1273="","",'Ordenes_Odoo'!N1273)</f>
        <v/>
      </c>
      <c r="O1273" s="81">
        <f>IF('Ordenes_Odoo'!O1273="","",'Ordenes_Odoo'!O1273)</f>
        <v/>
      </c>
      <c r="P1273" s="81">
        <f>IF('Ordenes_Odoo'!P1273="","",'Ordenes_Odoo'!P1273)</f>
        <v/>
      </c>
      <c r="Q1273" s="79">
        <f>IF(A1273="","",IFERROR(INDEX(Facturas_Odoo!$B:$B, MATCH(A1273, Facturas_Odoo!$D:$D, 0)), "Sin Factura"))</f>
        <v/>
      </c>
      <c r="R1273" s="80">
        <f>IF(Q1273="Sin Factura","",IFERROR(INDEX(Facturas_Odoo!$A:$A, MATCH(Q1273, Facturas_Odoo!$B:$B, 0)), ""))</f>
        <v/>
      </c>
      <c r="S1273" s="79">
        <f>IF(Q1273="Sin Factura","",IFERROR(_xlfn.XLOOKUP(1, (Facturas_Odoo!$D:$D=A1273) * (Facturas_Odoo!$K:$K=I1273), Facturas_Odoo!$L:$L, ""), ""))</f>
        <v/>
      </c>
      <c r="T1273" s="81">
        <f>IF(Q1273="Sin Factura",0,IFERROR(_xlfn.XLOOKUP(1, (Facturas_Odoo!$D:$D=A1273) * (Facturas_Odoo!$K:$K=I1273), Facturas_Odoo!$M:$M, 0), 0))</f>
        <v/>
      </c>
      <c r="U1273" s="79">
        <f>IF(Q1273="Sin Factura",0,IFERROR(_xlfn.XLOOKUP(1, (Facturas_Odoo!$D:$D=A1273) * (Facturas_Odoo!$K:$K=I1273), Facturas_Odoo!$N:$N, 0), 0))</f>
        <v/>
      </c>
      <c r="V1273" s="79">
        <f>IF(Q1273="Sin Factura",0,IFERROR(_xlfn.XLOOKUP(1, (Facturas_Odoo!$D:$D=A1273) * (Facturas_Odoo!$K:$K=I1273), Facturas_Odoo!$O:$O, 0), 0))</f>
        <v/>
      </c>
      <c r="W1273" s="81">
        <f>IF(Q1273="Sin Factura",0,IFERROR(_xlfn.XLOOKUP(1, (Facturas_Odoo!$D:$D=A1273) * (Facturas_Odoo!$K:$K=I1273), Facturas_Odoo!$Q:$Q, 0), 0))</f>
        <v/>
      </c>
      <c r="X1273" s="79">
        <f>IF(OR(Q1273="Sin Factura",Q1273=""),"",IFERROR(INDEX(Pagos_Odoo!$B:$B, MATCH(Q1273, Pagos_Odoo!$I:$I, 0)), "Sin Pago"))</f>
        <v/>
      </c>
      <c r="Y1273" s="79">
        <f>IF(X1273="Sin Pago","",IFERROR(INDEX(Pagos_Odoo!$C:$C, MATCH(X1273, Pagos_Odoo!$B:$B, 0)), ""))</f>
        <v/>
      </c>
      <c r="Z1273" s="80">
        <f>IF(X1273="Sin Pago","",IFERROR(INDEX(Pagos_Odoo!$A:$A, MATCH(X1273, Pagos_Odoo!$B:$B, 0)), ""))</f>
        <v/>
      </c>
      <c r="AA1273" s="79">
        <f>IF(X1273="Sin Pago","",IFERROR(INDEX(Pagos_Odoo!$F:$F, MATCH(X1273, Pagos_Odoo!$B:$B, 0)), ""))</f>
        <v/>
      </c>
      <c r="AB1273" s="81">
        <f>IF(X1273="Sin Pago",0,IFERROR(INDEX(Pagos_Odoo!$E:$E, MATCH(X1273, Pagos_Odoo!$B:$B, 0)), 0))</f>
        <v/>
      </c>
      <c r="AC1273" s="79">
        <f>IF(X1273="Sin Pago","",IFERROR(INDEX(Pagos_Odoo!$G:$G, MATCH(X1273, Pagos_Odoo!$B:$B, 0)), ""))</f>
        <v/>
      </c>
      <c r="AD1273" s="82" t="n">
        <v>0</v>
      </c>
      <c r="AE1273" s="82" t="n"/>
      <c r="AF1273" s="82" t="n"/>
      <c r="AG1273" s="82">
        <f>IF(AN1273="","",AD1273+AE1273+AF1273)</f>
        <v/>
      </c>
      <c r="AH1273" s="81">
        <f>IF(AN1273="","",P1273*(1-AG1273))</f>
        <v/>
      </c>
      <c r="AI1273" s="81">
        <f>IF(AN1273="","",IF(Q1273="Sin Factura",0,IFERROR(INDEX(Facturas_Odoo!$H:$H, MATCH(Q1273, Facturas_Odoo!$B:$B, 0)), 0)*(1-AG1273)))</f>
        <v/>
      </c>
      <c r="AJ1273" s="81">
        <f>IF(AN1273="","",_xlfn.LET(idVenta, AN1273&amp;"",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73" s="81">
        <f>IF(AN1273="","",AH1273-AJ1273)</f>
        <v/>
      </c>
      <c r="AL1273" s="81">
        <f>IF(AN1273="","",IF(Q1273="Sin Factura","",AI1273-AJ1273))</f>
        <v/>
      </c>
      <c r="AM1273" s="81">
        <f>IF(AN1273="","",IF(Q1273="Sin Factura",0,P1273-IFERROR(INDEX(Facturas_Odoo!$H:$H, MATCH(Q1273, Facturas_Odoo!$B:$B, 0)), 0)))</f>
        <v/>
      </c>
      <c r="AN1273" s="79">
        <f>IF(AND(A1273="", J1273=""), "", IF(A1273&lt;&gt;"", VALUE(MID(A1273,2,LEN(A1273))), AN1272))</f>
        <v/>
      </c>
      <c r="AO1273" s="79">
        <f>IF(AN1273="","",IF(AD1273=0,"OK",_xlfn.LET(monedaPago, IF(AA1273="","USD",AA1273), limitePermitido, IFERROR(VLOOKUP(monedaPago, Configuración!$A$2:$B$3, 2, FALSE), 0.15), IF(AD1273&gt;limitePermitido, "ALERTA: EXCESO (" &amp; TEXT(limitePermitido, "0%") &amp; " máx)", "OK"))))</f>
        <v/>
      </c>
      <c r="AP1273" s="79">
        <f>IF(AN1273="","",IF(AE1273=0,"OK",_xlfn.LET(fechaPago, Z1273, fechaFactura, R1273, diasCredito, IF(E1273="Pago inmediato", 0, IFERROR(VALUE(MID(E1273, 1, SEARCH(" ", E1273)-1)),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73" s="79">
        <f>IF(AN1273="","",IF(AND(N1273&gt;0, AG1273&gt;0), IF(Configuración!$K$2="NO", "ALERTA: DESCUENTO DOBLE NO PERMITIDO", "OK"), "OK"))</f>
        <v/>
      </c>
      <c r="AR1273" s="79">
        <f>IF(AN1273="","",IF(OR(AO1273&lt;&gt;"OK", AP1273&lt;&gt;"OK", AQ1273&lt;&gt;"OK"), "⚠️ REVISAR", "OK"))</f>
        <v/>
      </c>
    </row>
    <row r="1274">
      <c r="A1274" s="79">
        <f>IF('Ordenes_Odoo'!A1274="","",'Ordenes_Odoo'!A1274)</f>
        <v/>
      </c>
      <c r="B1274" s="80">
        <f>IF('Ordenes_Odoo'!B1274="","",'Ordenes_Odoo'!B1274)</f>
        <v/>
      </c>
      <c r="C1274" s="79">
        <f>IF('Ordenes_Odoo'!C1274="","",'Ordenes_Odoo'!C1274)</f>
        <v/>
      </c>
      <c r="D1274" s="79">
        <f>IF('Ordenes_Odoo'!D1274="","",'Ordenes_Odoo'!D1274)</f>
        <v/>
      </c>
      <c r="E1274" s="79">
        <f>IF('Ordenes_Odoo'!E1274="","",'Ordenes_Odoo'!E1274)</f>
        <v/>
      </c>
      <c r="F1274" s="79">
        <f>IF('Ordenes_Odoo'!F1274="","",'Ordenes_Odoo'!F1274)</f>
        <v/>
      </c>
      <c r="G1274" s="79">
        <f>IF('Ordenes_Odoo'!G1274="","",'Ordenes_Odoo'!G1274)</f>
        <v/>
      </c>
      <c r="H1274" s="79">
        <f>IF('Ordenes_Odoo'!H1274="","",'Ordenes_Odoo'!H1274)</f>
        <v/>
      </c>
      <c r="I1274" s="79">
        <f>IF('Ordenes_Odoo'!I1274="","",'Ordenes_Odoo'!I1274)</f>
        <v/>
      </c>
      <c r="J1274" s="79">
        <f>IF('Ordenes_Odoo'!J1274="","",'Ordenes_Odoo'!J1274)</f>
        <v/>
      </c>
      <c r="K1274" s="81">
        <f>IF('Ordenes_Odoo'!K1274="","",'Ordenes_Odoo'!K1274)</f>
        <v/>
      </c>
      <c r="L1274" s="81">
        <f>IF('Ordenes_Odoo'!L1274="","",'Ordenes_Odoo'!L1274)</f>
        <v/>
      </c>
      <c r="M1274" s="79">
        <f>IF('Ordenes_Odoo'!M1274="","",'Ordenes_Odoo'!M1274)</f>
        <v/>
      </c>
      <c r="N1274" s="79">
        <f>IF('Ordenes_Odoo'!N1274="","",'Ordenes_Odoo'!N1274)</f>
        <v/>
      </c>
      <c r="O1274" s="81">
        <f>IF('Ordenes_Odoo'!O1274="","",'Ordenes_Odoo'!O1274)</f>
        <v/>
      </c>
      <c r="P1274" s="81">
        <f>IF('Ordenes_Odoo'!P1274="","",'Ordenes_Odoo'!P1274)</f>
        <v/>
      </c>
      <c r="Q1274" s="79">
        <f>IF(A1274="","",IFERROR(INDEX(Facturas_Odoo!$B:$B, MATCH(A1274, Facturas_Odoo!$D:$D, 0)), "Sin Factura"))</f>
        <v/>
      </c>
      <c r="R1274" s="80">
        <f>IF(Q1274="Sin Factura","",IFERROR(INDEX(Facturas_Odoo!$A:$A, MATCH(Q1274, Facturas_Odoo!$B:$B, 0)), ""))</f>
        <v/>
      </c>
      <c r="S1274" s="79">
        <f>IF(Q1274="Sin Factura","",IFERROR(_xlfn.XLOOKUP(1, (Facturas_Odoo!$D:$D=A1274) * (Facturas_Odoo!$K:$K=I1274), Facturas_Odoo!$L:$L, ""), ""))</f>
        <v/>
      </c>
      <c r="T1274" s="81">
        <f>IF(Q1274="Sin Factura",0,IFERROR(_xlfn.XLOOKUP(1, (Facturas_Odoo!$D:$D=A1274) * (Facturas_Odoo!$K:$K=I1274), Facturas_Odoo!$M:$M, 0), 0))</f>
        <v/>
      </c>
      <c r="U1274" s="79">
        <f>IF(Q1274="Sin Factura",0,IFERROR(_xlfn.XLOOKUP(1, (Facturas_Odoo!$D:$D=A1274) * (Facturas_Odoo!$K:$K=I1274), Facturas_Odoo!$N:$N, 0), 0))</f>
        <v/>
      </c>
      <c r="V1274" s="79">
        <f>IF(Q1274="Sin Factura",0,IFERROR(_xlfn.XLOOKUP(1, (Facturas_Odoo!$D:$D=A1274) * (Facturas_Odoo!$K:$K=I1274), Facturas_Odoo!$O:$O, 0), 0))</f>
        <v/>
      </c>
      <c r="W1274" s="81">
        <f>IF(Q1274="Sin Factura",0,IFERROR(_xlfn.XLOOKUP(1, (Facturas_Odoo!$D:$D=A1274) * (Facturas_Odoo!$K:$K=I1274), Facturas_Odoo!$Q:$Q, 0), 0))</f>
        <v/>
      </c>
      <c r="X1274" s="79">
        <f>IF(OR(Q1274="Sin Factura",Q1274=""),"",IFERROR(INDEX(Pagos_Odoo!$B:$B, MATCH(Q1274, Pagos_Odoo!$I:$I, 0)), "Sin Pago"))</f>
        <v/>
      </c>
      <c r="Y1274" s="79">
        <f>IF(X1274="Sin Pago","",IFERROR(INDEX(Pagos_Odoo!$C:$C, MATCH(X1274, Pagos_Odoo!$B:$B, 0)), ""))</f>
        <v/>
      </c>
      <c r="Z1274" s="80">
        <f>IF(X1274="Sin Pago","",IFERROR(INDEX(Pagos_Odoo!$A:$A, MATCH(X1274, Pagos_Odoo!$B:$B, 0)), ""))</f>
        <v/>
      </c>
      <c r="AA1274" s="79">
        <f>IF(X1274="Sin Pago","",IFERROR(INDEX(Pagos_Odoo!$F:$F, MATCH(X1274, Pagos_Odoo!$B:$B, 0)), ""))</f>
        <v/>
      </c>
      <c r="AB1274" s="81">
        <f>IF(X1274="Sin Pago",0,IFERROR(INDEX(Pagos_Odoo!$E:$E, MATCH(X1274, Pagos_Odoo!$B:$B, 0)), 0))</f>
        <v/>
      </c>
      <c r="AC1274" s="79">
        <f>IF(X1274="Sin Pago","",IFERROR(INDEX(Pagos_Odoo!$G:$G, MATCH(X1274, Pagos_Odoo!$B:$B, 0)), ""))</f>
        <v/>
      </c>
      <c r="AD1274" s="82" t="n">
        <v>0</v>
      </c>
      <c r="AE1274" s="82" t="n"/>
      <c r="AF1274" s="82" t="n"/>
      <c r="AG1274" s="82">
        <f>IF(AN1274="","",AD1274+AE1274+AF1274)</f>
        <v/>
      </c>
      <c r="AH1274" s="81">
        <f>IF(AN1274="","",P1274*(1-AG1274))</f>
        <v/>
      </c>
      <c r="AI1274" s="81">
        <f>IF(AN1274="","",IF(Q1274="Sin Factura",0,IFERROR(INDEX(Facturas_Odoo!$H:$H, MATCH(Q1274, Facturas_Odoo!$B:$B, 0)), 0)*(1-AG1274)))</f>
        <v/>
      </c>
      <c r="AJ1274" s="81">
        <f>IF(AN1274="","",_xlfn.LET(idVenta, AN1274&amp;"",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74" s="81">
        <f>IF(AN1274="","",AH1274-AJ1274)</f>
        <v/>
      </c>
      <c r="AL1274" s="81">
        <f>IF(AN1274="","",IF(Q1274="Sin Factura","",AI1274-AJ1274))</f>
        <v/>
      </c>
      <c r="AM1274" s="81">
        <f>IF(AN1274="","",IF(Q1274="Sin Factura",0,P1274-IFERROR(INDEX(Facturas_Odoo!$H:$H, MATCH(Q1274, Facturas_Odoo!$B:$B, 0)), 0)))</f>
        <v/>
      </c>
      <c r="AN1274" s="79">
        <f>IF(AND(A1274="", J1274=""), "", IF(A1274&lt;&gt;"", VALUE(MID(A1274,2,LEN(A1274))), AN1273))</f>
        <v/>
      </c>
      <c r="AO1274" s="79">
        <f>IF(AN1274="","",IF(AD1274=0,"OK",_xlfn.LET(monedaPago, IF(AA1274="","USD",AA1274), limitePermitido, IFERROR(VLOOKUP(monedaPago, Configuración!$A$2:$B$3, 2, FALSE), 0.15), IF(AD1274&gt;limitePermitido, "ALERTA: EXCESO (" &amp; TEXT(limitePermitido, "0%") &amp; " máx)", "OK"))))</f>
        <v/>
      </c>
      <c r="AP1274" s="79">
        <f>IF(AN1274="","",IF(AE1274=0,"OK",_xlfn.LET(fechaPago, Z1274, fechaFactura, R1274, diasCredito, IF(E1274="Pago inmediato", 0, IFERROR(VALUE(MID(E1274, 1, SEARCH(" ", E1274)-1)),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74" s="79">
        <f>IF(AN1274="","",IF(AND(N1274&gt;0, AG1274&gt;0), IF(Configuración!$K$2="NO", "ALERTA: DESCUENTO DOBLE NO PERMITIDO", "OK"), "OK"))</f>
        <v/>
      </c>
      <c r="AR1274" s="79">
        <f>IF(AN1274="","",IF(OR(AO1274&lt;&gt;"OK", AP1274&lt;&gt;"OK", AQ1274&lt;&gt;"OK"), "⚠️ REVISAR", "OK"))</f>
        <v/>
      </c>
    </row>
    <row r="1275">
      <c r="A1275" s="79">
        <f>IF('Ordenes_Odoo'!A1275="","",'Ordenes_Odoo'!A1275)</f>
        <v/>
      </c>
      <c r="B1275" s="80">
        <f>IF('Ordenes_Odoo'!B1275="","",'Ordenes_Odoo'!B1275)</f>
        <v/>
      </c>
      <c r="C1275" s="79">
        <f>IF('Ordenes_Odoo'!C1275="","",'Ordenes_Odoo'!C1275)</f>
        <v/>
      </c>
      <c r="D1275" s="79">
        <f>IF('Ordenes_Odoo'!D1275="","",'Ordenes_Odoo'!D1275)</f>
        <v/>
      </c>
      <c r="E1275" s="79">
        <f>IF('Ordenes_Odoo'!E1275="","",'Ordenes_Odoo'!E1275)</f>
        <v/>
      </c>
      <c r="F1275" s="79">
        <f>IF('Ordenes_Odoo'!F1275="","",'Ordenes_Odoo'!F1275)</f>
        <v/>
      </c>
      <c r="G1275" s="79">
        <f>IF('Ordenes_Odoo'!G1275="","",'Ordenes_Odoo'!G1275)</f>
        <v/>
      </c>
      <c r="H1275" s="79">
        <f>IF('Ordenes_Odoo'!H1275="","",'Ordenes_Odoo'!H1275)</f>
        <v/>
      </c>
      <c r="I1275" s="79">
        <f>IF('Ordenes_Odoo'!I1275="","",'Ordenes_Odoo'!I1275)</f>
        <v/>
      </c>
      <c r="J1275" s="79">
        <f>IF('Ordenes_Odoo'!J1275="","",'Ordenes_Odoo'!J1275)</f>
        <v/>
      </c>
      <c r="K1275" s="81">
        <f>IF('Ordenes_Odoo'!K1275="","",'Ordenes_Odoo'!K1275)</f>
        <v/>
      </c>
      <c r="L1275" s="81">
        <f>IF('Ordenes_Odoo'!L1275="","",'Ordenes_Odoo'!L1275)</f>
        <v/>
      </c>
      <c r="M1275" s="79">
        <f>IF('Ordenes_Odoo'!M1275="","",'Ordenes_Odoo'!M1275)</f>
        <v/>
      </c>
      <c r="N1275" s="79">
        <f>IF('Ordenes_Odoo'!N1275="","",'Ordenes_Odoo'!N1275)</f>
        <v/>
      </c>
      <c r="O1275" s="81">
        <f>IF('Ordenes_Odoo'!O1275="","",'Ordenes_Odoo'!O1275)</f>
        <v/>
      </c>
      <c r="P1275" s="81">
        <f>IF('Ordenes_Odoo'!P1275="","",'Ordenes_Odoo'!P1275)</f>
        <v/>
      </c>
      <c r="Q1275" s="79">
        <f>IF(A1275="","",IFERROR(INDEX(Facturas_Odoo!$B:$B, MATCH(A1275, Facturas_Odoo!$D:$D, 0)), "Sin Factura"))</f>
        <v/>
      </c>
      <c r="R1275" s="80">
        <f>IF(Q1275="Sin Factura","",IFERROR(INDEX(Facturas_Odoo!$A:$A, MATCH(Q1275, Facturas_Odoo!$B:$B, 0)), ""))</f>
        <v/>
      </c>
      <c r="S1275" s="79">
        <f>IF(Q1275="Sin Factura","",IFERROR(_xlfn.XLOOKUP(1, (Facturas_Odoo!$D:$D=A1275) * (Facturas_Odoo!$K:$K=I1275), Facturas_Odoo!$L:$L, ""), ""))</f>
        <v/>
      </c>
      <c r="T1275" s="81">
        <f>IF(Q1275="Sin Factura",0,IFERROR(_xlfn.XLOOKUP(1, (Facturas_Odoo!$D:$D=A1275) * (Facturas_Odoo!$K:$K=I1275), Facturas_Odoo!$M:$M, 0), 0))</f>
        <v/>
      </c>
      <c r="U1275" s="79">
        <f>IF(Q1275="Sin Factura",0,IFERROR(_xlfn.XLOOKUP(1, (Facturas_Odoo!$D:$D=A1275) * (Facturas_Odoo!$K:$K=I1275), Facturas_Odoo!$N:$N, 0), 0))</f>
        <v/>
      </c>
      <c r="V1275" s="79">
        <f>IF(Q1275="Sin Factura",0,IFERROR(_xlfn.XLOOKUP(1, (Facturas_Odoo!$D:$D=A1275) * (Facturas_Odoo!$K:$K=I1275), Facturas_Odoo!$O:$O, 0), 0))</f>
        <v/>
      </c>
      <c r="W1275" s="81">
        <f>IF(Q1275="Sin Factura",0,IFERROR(_xlfn.XLOOKUP(1, (Facturas_Odoo!$D:$D=A1275) * (Facturas_Odoo!$K:$K=I1275), Facturas_Odoo!$Q:$Q, 0), 0))</f>
        <v/>
      </c>
      <c r="X1275" s="79">
        <f>IF(OR(Q1275="Sin Factura",Q1275=""),"",IFERROR(INDEX(Pagos_Odoo!$B:$B, MATCH(Q1275, Pagos_Odoo!$I:$I, 0)), "Sin Pago"))</f>
        <v/>
      </c>
      <c r="Y1275" s="79">
        <f>IF(X1275="Sin Pago","",IFERROR(INDEX(Pagos_Odoo!$C:$C, MATCH(X1275, Pagos_Odoo!$B:$B, 0)), ""))</f>
        <v/>
      </c>
      <c r="Z1275" s="80">
        <f>IF(X1275="Sin Pago","",IFERROR(INDEX(Pagos_Odoo!$A:$A, MATCH(X1275, Pagos_Odoo!$B:$B, 0)), ""))</f>
        <v/>
      </c>
      <c r="AA1275" s="79">
        <f>IF(X1275="Sin Pago","",IFERROR(INDEX(Pagos_Odoo!$F:$F, MATCH(X1275, Pagos_Odoo!$B:$B, 0)), ""))</f>
        <v/>
      </c>
      <c r="AB1275" s="81">
        <f>IF(X1275="Sin Pago",0,IFERROR(INDEX(Pagos_Odoo!$E:$E, MATCH(X1275, Pagos_Odoo!$B:$B, 0)), 0))</f>
        <v/>
      </c>
      <c r="AC1275" s="79">
        <f>IF(X1275="Sin Pago","",IFERROR(INDEX(Pagos_Odoo!$G:$G, MATCH(X1275, Pagos_Odoo!$B:$B, 0)), ""))</f>
        <v/>
      </c>
      <c r="AD1275" s="82" t="n">
        <v>0</v>
      </c>
      <c r="AE1275" s="82" t="n"/>
      <c r="AF1275" s="82" t="n"/>
      <c r="AG1275" s="82">
        <f>IF(AN1275="","",AD1275+AE1275+AF1275)</f>
        <v/>
      </c>
      <c r="AH1275" s="81">
        <f>IF(AN1275="","",P1275*(1-AG1275))</f>
        <v/>
      </c>
      <c r="AI1275" s="81">
        <f>IF(AN1275="","",IF(Q1275="Sin Factura",0,IFERROR(INDEX(Facturas_Odoo!$H:$H, MATCH(Q1275, Facturas_Odoo!$B:$B, 0)), 0)*(1-AG1275)))</f>
        <v/>
      </c>
      <c r="AJ1275" s="81">
        <f>IF(AN1275="","",_xlfn.LET(idVenta, AN1275&amp;"",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75" s="81">
        <f>IF(AN1275="","",AH1275-AJ1275)</f>
        <v/>
      </c>
      <c r="AL1275" s="81">
        <f>IF(AN1275="","",IF(Q1275="Sin Factura","",AI1275-AJ1275))</f>
        <v/>
      </c>
      <c r="AM1275" s="81">
        <f>IF(AN1275="","",IF(Q1275="Sin Factura",0,P1275-IFERROR(INDEX(Facturas_Odoo!$H:$H, MATCH(Q1275, Facturas_Odoo!$B:$B, 0)), 0)))</f>
        <v/>
      </c>
      <c r="AN1275" s="79">
        <f>IF(AND(A1275="", J1275=""), "", IF(A1275&lt;&gt;"", VALUE(MID(A1275,2,LEN(A1275))), AN1274))</f>
        <v/>
      </c>
      <c r="AO1275" s="79">
        <f>IF(AN1275="","",IF(AD1275=0,"OK",_xlfn.LET(monedaPago, IF(AA1275="","USD",AA1275), limitePermitido, IFERROR(VLOOKUP(monedaPago, Configuración!$A$2:$B$3, 2, FALSE), 0.15), IF(AD1275&gt;limitePermitido, "ALERTA: EXCESO (" &amp; TEXT(limitePermitido, "0%") &amp; " máx)", "OK"))))</f>
        <v/>
      </c>
      <c r="AP1275" s="79">
        <f>IF(AN1275="","",IF(AE1275=0,"OK",_xlfn.LET(fechaPago, Z1275, fechaFactura, R1275, diasCredito, IF(E1275="Pago inmediato", 0, IFERROR(VALUE(MID(E1275, 1, SEARCH(" ", E1275)-1)),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75" s="79">
        <f>IF(AN1275="","",IF(AND(N1275&gt;0, AG1275&gt;0), IF(Configuración!$K$2="NO", "ALERTA: DESCUENTO DOBLE NO PERMITIDO", "OK"), "OK"))</f>
        <v/>
      </c>
      <c r="AR1275" s="79">
        <f>IF(AN1275="","",IF(OR(AO1275&lt;&gt;"OK", AP1275&lt;&gt;"OK", AQ1275&lt;&gt;"OK"), "⚠️ REVISAR", "OK"))</f>
        <v/>
      </c>
    </row>
    <row r="1276">
      <c r="A1276" s="79">
        <f>IF('Ordenes_Odoo'!A1276="","",'Ordenes_Odoo'!A1276)</f>
        <v/>
      </c>
      <c r="B1276" s="80">
        <f>IF('Ordenes_Odoo'!B1276="","",'Ordenes_Odoo'!B1276)</f>
        <v/>
      </c>
      <c r="C1276" s="79">
        <f>IF('Ordenes_Odoo'!C1276="","",'Ordenes_Odoo'!C1276)</f>
        <v/>
      </c>
      <c r="D1276" s="79">
        <f>IF('Ordenes_Odoo'!D1276="","",'Ordenes_Odoo'!D1276)</f>
        <v/>
      </c>
      <c r="E1276" s="79">
        <f>IF('Ordenes_Odoo'!E1276="","",'Ordenes_Odoo'!E1276)</f>
        <v/>
      </c>
      <c r="F1276" s="79">
        <f>IF('Ordenes_Odoo'!F1276="","",'Ordenes_Odoo'!F1276)</f>
        <v/>
      </c>
      <c r="G1276" s="79">
        <f>IF('Ordenes_Odoo'!G1276="","",'Ordenes_Odoo'!G1276)</f>
        <v/>
      </c>
      <c r="H1276" s="79">
        <f>IF('Ordenes_Odoo'!H1276="","",'Ordenes_Odoo'!H1276)</f>
        <v/>
      </c>
      <c r="I1276" s="79">
        <f>IF('Ordenes_Odoo'!I1276="","",'Ordenes_Odoo'!I1276)</f>
        <v/>
      </c>
      <c r="J1276" s="79">
        <f>IF('Ordenes_Odoo'!J1276="","",'Ordenes_Odoo'!J1276)</f>
        <v/>
      </c>
      <c r="K1276" s="81">
        <f>IF('Ordenes_Odoo'!K1276="","",'Ordenes_Odoo'!K1276)</f>
        <v/>
      </c>
      <c r="L1276" s="81">
        <f>IF('Ordenes_Odoo'!L1276="","",'Ordenes_Odoo'!L1276)</f>
        <v/>
      </c>
      <c r="M1276" s="79">
        <f>IF('Ordenes_Odoo'!M1276="","",'Ordenes_Odoo'!M1276)</f>
        <v/>
      </c>
      <c r="N1276" s="79">
        <f>IF('Ordenes_Odoo'!N1276="","",'Ordenes_Odoo'!N1276)</f>
        <v/>
      </c>
      <c r="O1276" s="81">
        <f>IF('Ordenes_Odoo'!O1276="","",'Ordenes_Odoo'!O1276)</f>
        <v/>
      </c>
      <c r="P1276" s="81">
        <f>IF('Ordenes_Odoo'!P1276="","",'Ordenes_Odoo'!P1276)</f>
        <v/>
      </c>
      <c r="Q1276" s="79">
        <f>IF(A1276="","",IFERROR(INDEX(Facturas_Odoo!$B:$B, MATCH(A1276, Facturas_Odoo!$D:$D, 0)), "Sin Factura"))</f>
        <v/>
      </c>
      <c r="R1276" s="80">
        <f>IF(Q1276="Sin Factura","",IFERROR(INDEX(Facturas_Odoo!$A:$A, MATCH(Q1276, Facturas_Odoo!$B:$B, 0)), ""))</f>
        <v/>
      </c>
      <c r="S1276" s="79">
        <f>IF(Q1276="Sin Factura","",IFERROR(_xlfn.XLOOKUP(1, (Facturas_Odoo!$D:$D=A1276) * (Facturas_Odoo!$K:$K=I1276), Facturas_Odoo!$L:$L, ""), ""))</f>
        <v/>
      </c>
      <c r="T1276" s="81">
        <f>IF(Q1276="Sin Factura",0,IFERROR(_xlfn.XLOOKUP(1, (Facturas_Odoo!$D:$D=A1276) * (Facturas_Odoo!$K:$K=I1276), Facturas_Odoo!$M:$M, 0), 0))</f>
        <v/>
      </c>
      <c r="U1276" s="79">
        <f>IF(Q1276="Sin Factura",0,IFERROR(_xlfn.XLOOKUP(1, (Facturas_Odoo!$D:$D=A1276) * (Facturas_Odoo!$K:$K=I1276), Facturas_Odoo!$N:$N, 0), 0))</f>
        <v/>
      </c>
      <c r="V1276" s="79">
        <f>IF(Q1276="Sin Factura",0,IFERROR(_xlfn.XLOOKUP(1, (Facturas_Odoo!$D:$D=A1276) * (Facturas_Odoo!$K:$K=I1276), Facturas_Odoo!$O:$O, 0), 0))</f>
        <v/>
      </c>
      <c r="W1276" s="81">
        <f>IF(Q1276="Sin Factura",0,IFERROR(_xlfn.XLOOKUP(1, (Facturas_Odoo!$D:$D=A1276) * (Facturas_Odoo!$K:$K=I1276), Facturas_Odoo!$Q:$Q, 0), 0))</f>
        <v/>
      </c>
      <c r="X1276" s="79">
        <f>IF(OR(Q1276="Sin Factura",Q1276=""),"",IFERROR(INDEX(Pagos_Odoo!$B:$B, MATCH(Q1276, Pagos_Odoo!$I:$I, 0)), "Sin Pago"))</f>
        <v/>
      </c>
      <c r="Y1276" s="79">
        <f>IF(X1276="Sin Pago","",IFERROR(INDEX(Pagos_Odoo!$C:$C, MATCH(X1276, Pagos_Odoo!$B:$B, 0)), ""))</f>
        <v/>
      </c>
      <c r="Z1276" s="80">
        <f>IF(X1276="Sin Pago","",IFERROR(INDEX(Pagos_Odoo!$A:$A, MATCH(X1276, Pagos_Odoo!$B:$B, 0)), ""))</f>
        <v/>
      </c>
      <c r="AA1276" s="79">
        <f>IF(X1276="Sin Pago","",IFERROR(INDEX(Pagos_Odoo!$F:$F, MATCH(X1276, Pagos_Odoo!$B:$B, 0)), ""))</f>
        <v/>
      </c>
      <c r="AB1276" s="81">
        <f>IF(X1276="Sin Pago",0,IFERROR(INDEX(Pagos_Odoo!$E:$E, MATCH(X1276, Pagos_Odoo!$B:$B, 0)), 0))</f>
        <v/>
      </c>
      <c r="AC1276" s="79">
        <f>IF(X1276="Sin Pago","",IFERROR(INDEX(Pagos_Odoo!$G:$G, MATCH(X1276, Pagos_Odoo!$B:$B, 0)), ""))</f>
        <v/>
      </c>
      <c r="AD1276" s="82" t="n">
        <v>0</v>
      </c>
      <c r="AE1276" s="82" t="n"/>
      <c r="AF1276" s="82" t="n"/>
      <c r="AG1276" s="82">
        <f>IF(AN1276="","",AD1276+AE1276+AF1276)</f>
        <v/>
      </c>
      <c r="AH1276" s="81">
        <f>IF(AN1276="","",P1276*(1-AG1276))</f>
        <v/>
      </c>
      <c r="AI1276" s="81">
        <f>IF(AN1276="","",IF(Q1276="Sin Factura",0,IFERROR(INDEX(Facturas_Odoo!$H:$H, MATCH(Q1276, Facturas_Odoo!$B:$B, 0)), 0)*(1-AG1276)))</f>
        <v/>
      </c>
      <c r="AJ1276" s="81">
        <f>IF(AN1276="","",_xlfn.LET(idVenta, AN1276&amp;"",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76" s="81">
        <f>IF(AN1276="","",AH1276-AJ1276)</f>
        <v/>
      </c>
      <c r="AL1276" s="81">
        <f>IF(AN1276="","",IF(Q1276="Sin Factura","",AI1276-AJ1276))</f>
        <v/>
      </c>
      <c r="AM1276" s="81">
        <f>IF(AN1276="","",IF(Q1276="Sin Factura",0,P1276-IFERROR(INDEX(Facturas_Odoo!$H:$H, MATCH(Q1276, Facturas_Odoo!$B:$B, 0)), 0)))</f>
        <v/>
      </c>
      <c r="AN1276" s="79">
        <f>IF(AND(A1276="", J1276=""), "", IF(A1276&lt;&gt;"", VALUE(MID(A1276,2,LEN(A1276))), AN1275))</f>
        <v/>
      </c>
      <c r="AO1276" s="79">
        <f>IF(AN1276="","",IF(AD1276=0,"OK",_xlfn.LET(monedaPago, IF(AA1276="","USD",AA1276), limitePermitido, IFERROR(VLOOKUP(monedaPago, Configuración!$A$2:$B$3, 2, FALSE), 0.15), IF(AD1276&gt;limitePermitido, "ALERTA: EXCESO (" &amp; TEXT(limitePermitido, "0%") &amp; " máx)", "OK"))))</f>
        <v/>
      </c>
      <c r="AP1276" s="79">
        <f>IF(AN1276="","",IF(AE1276=0,"OK",_xlfn.LET(fechaPago, Z1276, fechaFactura, R1276, diasCredito, IF(E1276="Pago inmediato", 0, IFERROR(VALUE(MID(E1276, 1, SEARCH(" ", E1276)-1)),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76" s="79">
        <f>IF(AN1276="","",IF(AND(N1276&gt;0, AG1276&gt;0), IF(Configuración!$K$2="NO", "ALERTA: DESCUENTO DOBLE NO PERMITIDO", "OK"), "OK"))</f>
        <v/>
      </c>
      <c r="AR1276" s="79">
        <f>IF(AN1276="","",IF(OR(AO1276&lt;&gt;"OK", AP1276&lt;&gt;"OK", AQ1276&lt;&gt;"OK"), "⚠️ REVISAR", "OK"))</f>
        <v/>
      </c>
    </row>
    <row r="1277">
      <c r="A1277" s="79">
        <f>IF('Ordenes_Odoo'!A1277="","",'Ordenes_Odoo'!A1277)</f>
        <v/>
      </c>
      <c r="B1277" s="80">
        <f>IF('Ordenes_Odoo'!B1277="","",'Ordenes_Odoo'!B1277)</f>
        <v/>
      </c>
      <c r="C1277" s="79">
        <f>IF('Ordenes_Odoo'!C1277="","",'Ordenes_Odoo'!C1277)</f>
        <v/>
      </c>
      <c r="D1277" s="79">
        <f>IF('Ordenes_Odoo'!D1277="","",'Ordenes_Odoo'!D1277)</f>
        <v/>
      </c>
      <c r="E1277" s="79">
        <f>IF('Ordenes_Odoo'!E1277="","",'Ordenes_Odoo'!E1277)</f>
        <v/>
      </c>
      <c r="F1277" s="79">
        <f>IF('Ordenes_Odoo'!F1277="","",'Ordenes_Odoo'!F1277)</f>
        <v/>
      </c>
      <c r="G1277" s="79">
        <f>IF('Ordenes_Odoo'!G1277="","",'Ordenes_Odoo'!G1277)</f>
        <v/>
      </c>
      <c r="H1277" s="79">
        <f>IF('Ordenes_Odoo'!H1277="","",'Ordenes_Odoo'!H1277)</f>
        <v/>
      </c>
      <c r="I1277" s="79">
        <f>IF('Ordenes_Odoo'!I1277="","",'Ordenes_Odoo'!I1277)</f>
        <v/>
      </c>
      <c r="J1277" s="79">
        <f>IF('Ordenes_Odoo'!J1277="","",'Ordenes_Odoo'!J1277)</f>
        <v/>
      </c>
      <c r="K1277" s="81">
        <f>IF('Ordenes_Odoo'!K1277="","",'Ordenes_Odoo'!K1277)</f>
        <v/>
      </c>
      <c r="L1277" s="81">
        <f>IF('Ordenes_Odoo'!L1277="","",'Ordenes_Odoo'!L1277)</f>
        <v/>
      </c>
      <c r="M1277" s="79">
        <f>IF('Ordenes_Odoo'!M1277="","",'Ordenes_Odoo'!M1277)</f>
        <v/>
      </c>
      <c r="N1277" s="79">
        <f>IF('Ordenes_Odoo'!N1277="","",'Ordenes_Odoo'!N1277)</f>
        <v/>
      </c>
      <c r="O1277" s="81">
        <f>IF('Ordenes_Odoo'!O1277="","",'Ordenes_Odoo'!O1277)</f>
        <v/>
      </c>
      <c r="P1277" s="81">
        <f>IF('Ordenes_Odoo'!P1277="","",'Ordenes_Odoo'!P1277)</f>
        <v/>
      </c>
      <c r="Q1277" s="79">
        <f>IF(A1277="","",IFERROR(INDEX(Facturas_Odoo!$B:$B, MATCH(A1277, Facturas_Odoo!$D:$D, 0)), "Sin Factura"))</f>
        <v/>
      </c>
      <c r="R1277" s="80">
        <f>IF(Q1277="Sin Factura","",IFERROR(INDEX(Facturas_Odoo!$A:$A, MATCH(Q1277, Facturas_Odoo!$B:$B, 0)), ""))</f>
        <v/>
      </c>
      <c r="S1277" s="79">
        <f>IF(Q1277="Sin Factura","",IFERROR(_xlfn.XLOOKUP(1, (Facturas_Odoo!$D:$D=A1277) * (Facturas_Odoo!$K:$K=I1277), Facturas_Odoo!$L:$L, ""), ""))</f>
        <v/>
      </c>
      <c r="T1277" s="81">
        <f>IF(Q1277="Sin Factura",0,IFERROR(_xlfn.XLOOKUP(1, (Facturas_Odoo!$D:$D=A1277) * (Facturas_Odoo!$K:$K=I1277), Facturas_Odoo!$M:$M, 0), 0))</f>
        <v/>
      </c>
      <c r="U1277" s="79">
        <f>IF(Q1277="Sin Factura",0,IFERROR(_xlfn.XLOOKUP(1, (Facturas_Odoo!$D:$D=A1277) * (Facturas_Odoo!$K:$K=I1277), Facturas_Odoo!$N:$N, 0), 0))</f>
        <v/>
      </c>
      <c r="V1277" s="79">
        <f>IF(Q1277="Sin Factura",0,IFERROR(_xlfn.XLOOKUP(1, (Facturas_Odoo!$D:$D=A1277) * (Facturas_Odoo!$K:$K=I1277), Facturas_Odoo!$O:$O, 0), 0))</f>
        <v/>
      </c>
      <c r="W1277" s="81">
        <f>IF(Q1277="Sin Factura",0,IFERROR(_xlfn.XLOOKUP(1, (Facturas_Odoo!$D:$D=A1277) * (Facturas_Odoo!$K:$K=I1277), Facturas_Odoo!$Q:$Q, 0), 0))</f>
        <v/>
      </c>
      <c r="X1277" s="79">
        <f>IF(OR(Q1277="Sin Factura",Q1277=""),"",IFERROR(INDEX(Pagos_Odoo!$B:$B, MATCH(Q1277, Pagos_Odoo!$I:$I, 0)), "Sin Pago"))</f>
        <v/>
      </c>
      <c r="Y1277" s="79">
        <f>IF(X1277="Sin Pago","",IFERROR(INDEX(Pagos_Odoo!$C:$C, MATCH(X1277, Pagos_Odoo!$B:$B, 0)), ""))</f>
        <v/>
      </c>
      <c r="Z1277" s="80">
        <f>IF(X1277="Sin Pago","",IFERROR(INDEX(Pagos_Odoo!$A:$A, MATCH(X1277, Pagos_Odoo!$B:$B, 0)), ""))</f>
        <v/>
      </c>
      <c r="AA1277" s="79">
        <f>IF(X1277="Sin Pago","",IFERROR(INDEX(Pagos_Odoo!$F:$F, MATCH(X1277, Pagos_Odoo!$B:$B, 0)), ""))</f>
        <v/>
      </c>
      <c r="AB1277" s="81">
        <f>IF(X1277="Sin Pago",0,IFERROR(INDEX(Pagos_Odoo!$E:$E, MATCH(X1277, Pagos_Odoo!$B:$B, 0)), 0))</f>
        <v/>
      </c>
      <c r="AC1277" s="79">
        <f>IF(X1277="Sin Pago","",IFERROR(INDEX(Pagos_Odoo!$G:$G, MATCH(X1277, Pagos_Odoo!$B:$B, 0)), ""))</f>
        <v/>
      </c>
      <c r="AD1277" s="82" t="n">
        <v>0</v>
      </c>
      <c r="AE1277" s="82" t="n"/>
      <c r="AF1277" s="82" t="n"/>
      <c r="AG1277" s="82">
        <f>IF(AN1277="","",AD1277+AE1277+AF1277)</f>
        <v/>
      </c>
      <c r="AH1277" s="81">
        <f>IF(AN1277="","",P1277*(1-AG1277))</f>
        <v/>
      </c>
      <c r="AI1277" s="81">
        <f>IF(AN1277="","",IF(Q1277="Sin Factura",0,IFERROR(INDEX(Facturas_Odoo!$H:$H, MATCH(Q1277, Facturas_Odoo!$B:$B, 0)), 0)*(1-AG1277)))</f>
        <v/>
      </c>
      <c r="AJ1277" s="81">
        <f>IF(AN1277="","",_xlfn.LET(idVenta, AN1277&amp;"",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77" s="81">
        <f>IF(AN1277="","",AH1277-AJ1277)</f>
        <v/>
      </c>
      <c r="AL1277" s="81">
        <f>IF(AN1277="","",IF(Q1277="Sin Factura","",AI1277-AJ1277))</f>
        <v/>
      </c>
      <c r="AM1277" s="81">
        <f>IF(AN1277="","",IF(Q1277="Sin Factura",0,P1277-IFERROR(INDEX(Facturas_Odoo!$H:$H, MATCH(Q1277, Facturas_Odoo!$B:$B, 0)), 0)))</f>
        <v/>
      </c>
      <c r="AN1277" s="79">
        <f>IF(AND(A1277="", J1277=""), "", IF(A1277&lt;&gt;"", VALUE(MID(A1277,2,LEN(A1277))), AN1276))</f>
        <v/>
      </c>
      <c r="AO1277" s="79">
        <f>IF(AN1277="","",IF(AD1277=0,"OK",_xlfn.LET(monedaPago, IF(AA1277="","USD",AA1277), limitePermitido, IFERROR(VLOOKUP(monedaPago, Configuración!$A$2:$B$3, 2, FALSE), 0.15), IF(AD1277&gt;limitePermitido, "ALERTA: EXCESO (" &amp; TEXT(limitePermitido, "0%") &amp; " máx)", "OK"))))</f>
        <v/>
      </c>
      <c r="AP1277" s="79">
        <f>IF(AN1277="","",IF(AE1277=0,"OK",_xlfn.LET(fechaPago, Z1277, fechaFactura, R1277, diasCredito, IF(E1277="Pago inmediato", 0, IFERROR(VALUE(MID(E1277, 1, SEARCH(" ", E1277)-1)),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77" s="79">
        <f>IF(AN1277="","",IF(AND(N1277&gt;0, AG1277&gt;0), IF(Configuración!$K$2="NO", "ALERTA: DESCUENTO DOBLE NO PERMITIDO", "OK"), "OK"))</f>
        <v/>
      </c>
      <c r="AR1277" s="79">
        <f>IF(AN1277="","",IF(OR(AO1277&lt;&gt;"OK", AP1277&lt;&gt;"OK", AQ1277&lt;&gt;"OK"), "⚠️ REVISAR", "OK"))</f>
        <v/>
      </c>
    </row>
    <row r="1278">
      <c r="A1278" s="79">
        <f>IF('Ordenes_Odoo'!A1278="","",'Ordenes_Odoo'!A1278)</f>
        <v/>
      </c>
      <c r="B1278" s="80">
        <f>IF('Ordenes_Odoo'!B1278="","",'Ordenes_Odoo'!B1278)</f>
        <v/>
      </c>
      <c r="C1278" s="79">
        <f>IF('Ordenes_Odoo'!C1278="","",'Ordenes_Odoo'!C1278)</f>
        <v/>
      </c>
      <c r="D1278" s="79">
        <f>IF('Ordenes_Odoo'!D1278="","",'Ordenes_Odoo'!D1278)</f>
        <v/>
      </c>
      <c r="E1278" s="79">
        <f>IF('Ordenes_Odoo'!E1278="","",'Ordenes_Odoo'!E1278)</f>
        <v/>
      </c>
      <c r="F1278" s="79">
        <f>IF('Ordenes_Odoo'!F1278="","",'Ordenes_Odoo'!F1278)</f>
        <v/>
      </c>
      <c r="G1278" s="79">
        <f>IF('Ordenes_Odoo'!G1278="","",'Ordenes_Odoo'!G1278)</f>
        <v/>
      </c>
      <c r="H1278" s="79">
        <f>IF('Ordenes_Odoo'!H1278="","",'Ordenes_Odoo'!H1278)</f>
        <v/>
      </c>
      <c r="I1278" s="79">
        <f>IF('Ordenes_Odoo'!I1278="","",'Ordenes_Odoo'!I1278)</f>
        <v/>
      </c>
      <c r="J1278" s="79">
        <f>IF('Ordenes_Odoo'!J1278="","",'Ordenes_Odoo'!J1278)</f>
        <v/>
      </c>
      <c r="K1278" s="81">
        <f>IF('Ordenes_Odoo'!K1278="","",'Ordenes_Odoo'!K1278)</f>
        <v/>
      </c>
      <c r="L1278" s="81">
        <f>IF('Ordenes_Odoo'!L1278="","",'Ordenes_Odoo'!L1278)</f>
        <v/>
      </c>
      <c r="M1278" s="79">
        <f>IF('Ordenes_Odoo'!M1278="","",'Ordenes_Odoo'!M1278)</f>
        <v/>
      </c>
      <c r="N1278" s="79">
        <f>IF('Ordenes_Odoo'!N1278="","",'Ordenes_Odoo'!N1278)</f>
        <v/>
      </c>
      <c r="O1278" s="81">
        <f>IF('Ordenes_Odoo'!O1278="","",'Ordenes_Odoo'!O1278)</f>
        <v/>
      </c>
      <c r="P1278" s="81">
        <f>IF('Ordenes_Odoo'!P1278="","",'Ordenes_Odoo'!P1278)</f>
        <v/>
      </c>
      <c r="Q1278" s="79">
        <f>IF(A1278="","",IFERROR(INDEX(Facturas_Odoo!$B:$B, MATCH(A1278, Facturas_Odoo!$D:$D, 0)), "Sin Factura"))</f>
        <v/>
      </c>
      <c r="R1278" s="80">
        <f>IF(Q1278="Sin Factura","",IFERROR(INDEX(Facturas_Odoo!$A:$A, MATCH(Q1278, Facturas_Odoo!$B:$B, 0)), ""))</f>
        <v/>
      </c>
      <c r="S1278" s="79">
        <f>IF(Q1278="Sin Factura","",IFERROR(_xlfn.XLOOKUP(1, (Facturas_Odoo!$D:$D=A1278) * (Facturas_Odoo!$K:$K=I1278), Facturas_Odoo!$L:$L, ""), ""))</f>
        <v/>
      </c>
      <c r="T1278" s="81">
        <f>IF(Q1278="Sin Factura",0,IFERROR(_xlfn.XLOOKUP(1, (Facturas_Odoo!$D:$D=A1278) * (Facturas_Odoo!$K:$K=I1278), Facturas_Odoo!$M:$M, 0), 0))</f>
        <v/>
      </c>
      <c r="U1278" s="79">
        <f>IF(Q1278="Sin Factura",0,IFERROR(_xlfn.XLOOKUP(1, (Facturas_Odoo!$D:$D=A1278) * (Facturas_Odoo!$K:$K=I1278), Facturas_Odoo!$N:$N, 0), 0))</f>
        <v/>
      </c>
      <c r="V1278" s="79">
        <f>IF(Q1278="Sin Factura",0,IFERROR(_xlfn.XLOOKUP(1, (Facturas_Odoo!$D:$D=A1278) * (Facturas_Odoo!$K:$K=I1278), Facturas_Odoo!$O:$O, 0), 0))</f>
        <v/>
      </c>
      <c r="W1278" s="81">
        <f>IF(Q1278="Sin Factura",0,IFERROR(_xlfn.XLOOKUP(1, (Facturas_Odoo!$D:$D=A1278) * (Facturas_Odoo!$K:$K=I1278), Facturas_Odoo!$Q:$Q, 0), 0))</f>
        <v/>
      </c>
      <c r="X1278" s="79">
        <f>IF(OR(Q1278="Sin Factura",Q1278=""),"",IFERROR(INDEX(Pagos_Odoo!$B:$B, MATCH(Q1278, Pagos_Odoo!$I:$I, 0)), "Sin Pago"))</f>
        <v/>
      </c>
      <c r="Y1278" s="79">
        <f>IF(X1278="Sin Pago","",IFERROR(INDEX(Pagos_Odoo!$C:$C, MATCH(X1278, Pagos_Odoo!$B:$B, 0)), ""))</f>
        <v/>
      </c>
      <c r="Z1278" s="80">
        <f>IF(X1278="Sin Pago","",IFERROR(INDEX(Pagos_Odoo!$A:$A, MATCH(X1278, Pagos_Odoo!$B:$B, 0)), ""))</f>
        <v/>
      </c>
      <c r="AA1278" s="79">
        <f>IF(X1278="Sin Pago","",IFERROR(INDEX(Pagos_Odoo!$F:$F, MATCH(X1278, Pagos_Odoo!$B:$B, 0)), ""))</f>
        <v/>
      </c>
      <c r="AB1278" s="81">
        <f>IF(X1278="Sin Pago",0,IFERROR(INDEX(Pagos_Odoo!$E:$E, MATCH(X1278, Pagos_Odoo!$B:$B, 0)), 0))</f>
        <v/>
      </c>
      <c r="AC1278" s="79">
        <f>IF(X1278="Sin Pago","",IFERROR(INDEX(Pagos_Odoo!$G:$G, MATCH(X1278, Pagos_Odoo!$B:$B, 0)), ""))</f>
        <v/>
      </c>
      <c r="AD1278" s="82" t="n">
        <v>0</v>
      </c>
      <c r="AE1278" s="82" t="n"/>
      <c r="AF1278" s="82" t="n"/>
      <c r="AG1278" s="82">
        <f>IF(AN1278="","",AD1278+AE1278+AF1278)</f>
        <v/>
      </c>
      <c r="AH1278" s="81">
        <f>IF(AN1278="","",P1278*(1-AG1278))</f>
        <v/>
      </c>
      <c r="AI1278" s="81">
        <f>IF(AN1278="","",IF(Q1278="Sin Factura",0,IFERROR(INDEX(Facturas_Odoo!$H:$H, MATCH(Q1278, Facturas_Odoo!$B:$B, 0)), 0)*(1-AG1278)))</f>
        <v/>
      </c>
      <c r="AJ1278" s="81">
        <f>IF(AN1278="","",_xlfn.LET(idVenta, AN1278&amp;"",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78" s="81">
        <f>IF(AN1278="","",AH1278-AJ1278)</f>
        <v/>
      </c>
      <c r="AL1278" s="81">
        <f>IF(AN1278="","",IF(Q1278="Sin Factura","",AI1278-AJ1278))</f>
        <v/>
      </c>
      <c r="AM1278" s="81">
        <f>IF(AN1278="","",IF(Q1278="Sin Factura",0,P1278-IFERROR(INDEX(Facturas_Odoo!$H:$H, MATCH(Q1278, Facturas_Odoo!$B:$B, 0)), 0)))</f>
        <v/>
      </c>
      <c r="AN1278" s="79">
        <f>IF(AND(A1278="", J1278=""), "", IF(A1278&lt;&gt;"", VALUE(MID(A1278,2,LEN(A1278))), AN1277))</f>
        <v/>
      </c>
      <c r="AO1278" s="79">
        <f>IF(AN1278="","",IF(AD1278=0,"OK",_xlfn.LET(monedaPago, IF(AA1278="","USD",AA1278), limitePermitido, IFERROR(VLOOKUP(monedaPago, Configuración!$A$2:$B$3, 2, FALSE), 0.15), IF(AD1278&gt;limitePermitido, "ALERTA: EXCESO (" &amp; TEXT(limitePermitido, "0%") &amp; " máx)", "OK"))))</f>
        <v/>
      </c>
      <c r="AP1278" s="79">
        <f>IF(AN1278="","",IF(AE1278=0,"OK",_xlfn.LET(fechaPago, Z1278, fechaFactura, R1278, diasCredito, IF(E1278="Pago inmediato", 0, IFERROR(VALUE(MID(E1278, 1, SEARCH(" ", E1278)-1)),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78" s="79">
        <f>IF(AN1278="","",IF(AND(N1278&gt;0, AG1278&gt;0), IF(Configuración!$K$2="NO", "ALERTA: DESCUENTO DOBLE NO PERMITIDO", "OK"), "OK"))</f>
        <v/>
      </c>
      <c r="AR1278" s="79">
        <f>IF(AN1278="","",IF(OR(AO1278&lt;&gt;"OK", AP1278&lt;&gt;"OK", AQ1278&lt;&gt;"OK"), "⚠️ REVISAR", "OK"))</f>
        <v/>
      </c>
    </row>
    <row r="1279">
      <c r="A1279" s="79">
        <f>IF('Ordenes_Odoo'!A1279="","",'Ordenes_Odoo'!A1279)</f>
        <v/>
      </c>
      <c r="B1279" s="80">
        <f>IF('Ordenes_Odoo'!B1279="","",'Ordenes_Odoo'!B1279)</f>
        <v/>
      </c>
      <c r="C1279" s="79">
        <f>IF('Ordenes_Odoo'!C1279="","",'Ordenes_Odoo'!C1279)</f>
        <v/>
      </c>
      <c r="D1279" s="79">
        <f>IF('Ordenes_Odoo'!D1279="","",'Ordenes_Odoo'!D1279)</f>
        <v/>
      </c>
      <c r="E1279" s="79">
        <f>IF('Ordenes_Odoo'!E1279="","",'Ordenes_Odoo'!E1279)</f>
        <v/>
      </c>
      <c r="F1279" s="79">
        <f>IF('Ordenes_Odoo'!F1279="","",'Ordenes_Odoo'!F1279)</f>
        <v/>
      </c>
      <c r="G1279" s="79">
        <f>IF('Ordenes_Odoo'!G1279="","",'Ordenes_Odoo'!G1279)</f>
        <v/>
      </c>
      <c r="H1279" s="79">
        <f>IF('Ordenes_Odoo'!H1279="","",'Ordenes_Odoo'!H1279)</f>
        <v/>
      </c>
      <c r="I1279" s="79">
        <f>IF('Ordenes_Odoo'!I1279="","",'Ordenes_Odoo'!I1279)</f>
        <v/>
      </c>
      <c r="J1279" s="79">
        <f>IF('Ordenes_Odoo'!J1279="","",'Ordenes_Odoo'!J1279)</f>
        <v/>
      </c>
      <c r="K1279" s="81">
        <f>IF('Ordenes_Odoo'!K1279="","",'Ordenes_Odoo'!K1279)</f>
        <v/>
      </c>
      <c r="L1279" s="81">
        <f>IF('Ordenes_Odoo'!L1279="","",'Ordenes_Odoo'!L1279)</f>
        <v/>
      </c>
      <c r="M1279" s="79">
        <f>IF('Ordenes_Odoo'!M1279="","",'Ordenes_Odoo'!M1279)</f>
        <v/>
      </c>
      <c r="N1279" s="79">
        <f>IF('Ordenes_Odoo'!N1279="","",'Ordenes_Odoo'!N1279)</f>
        <v/>
      </c>
      <c r="O1279" s="81">
        <f>IF('Ordenes_Odoo'!O1279="","",'Ordenes_Odoo'!O1279)</f>
        <v/>
      </c>
      <c r="P1279" s="81">
        <f>IF('Ordenes_Odoo'!P1279="","",'Ordenes_Odoo'!P1279)</f>
        <v/>
      </c>
      <c r="Q1279" s="79">
        <f>IF(A1279="","",IFERROR(INDEX(Facturas_Odoo!$B:$B, MATCH(A1279, Facturas_Odoo!$D:$D, 0)), "Sin Factura"))</f>
        <v/>
      </c>
      <c r="R1279" s="80">
        <f>IF(Q1279="Sin Factura","",IFERROR(INDEX(Facturas_Odoo!$A:$A, MATCH(Q1279, Facturas_Odoo!$B:$B, 0)), ""))</f>
        <v/>
      </c>
      <c r="S1279" s="79">
        <f>IF(Q1279="Sin Factura","",IFERROR(_xlfn.XLOOKUP(1, (Facturas_Odoo!$D:$D=A1279) * (Facturas_Odoo!$K:$K=I1279), Facturas_Odoo!$L:$L, ""), ""))</f>
        <v/>
      </c>
      <c r="T1279" s="81">
        <f>IF(Q1279="Sin Factura",0,IFERROR(_xlfn.XLOOKUP(1, (Facturas_Odoo!$D:$D=A1279) * (Facturas_Odoo!$K:$K=I1279), Facturas_Odoo!$M:$M, 0), 0))</f>
        <v/>
      </c>
      <c r="U1279" s="79">
        <f>IF(Q1279="Sin Factura",0,IFERROR(_xlfn.XLOOKUP(1, (Facturas_Odoo!$D:$D=A1279) * (Facturas_Odoo!$K:$K=I1279), Facturas_Odoo!$N:$N, 0), 0))</f>
        <v/>
      </c>
      <c r="V1279" s="79">
        <f>IF(Q1279="Sin Factura",0,IFERROR(_xlfn.XLOOKUP(1, (Facturas_Odoo!$D:$D=A1279) * (Facturas_Odoo!$K:$K=I1279), Facturas_Odoo!$O:$O, 0), 0))</f>
        <v/>
      </c>
      <c r="W1279" s="81">
        <f>IF(Q1279="Sin Factura",0,IFERROR(_xlfn.XLOOKUP(1, (Facturas_Odoo!$D:$D=A1279) * (Facturas_Odoo!$K:$K=I1279), Facturas_Odoo!$Q:$Q, 0), 0))</f>
        <v/>
      </c>
      <c r="X1279" s="79">
        <f>IF(OR(Q1279="Sin Factura",Q1279=""),"",IFERROR(INDEX(Pagos_Odoo!$B:$B, MATCH(Q1279, Pagos_Odoo!$I:$I, 0)), "Sin Pago"))</f>
        <v/>
      </c>
      <c r="Y1279" s="79">
        <f>IF(X1279="Sin Pago","",IFERROR(INDEX(Pagos_Odoo!$C:$C, MATCH(X1279, Pagos_Odoo!$B:$B, 0)), ""))</f>
        <v/>
      </c>
      <c r="Z1279" s="80">
        <f>IF(X1279="Sin Pago","",IFERROR(INDEX(Pagos_Odoo!$A:$A, MATCH(X1279, Pagos_Odoo!$B:$B, 0)), ""))</f>
        <v/>
      </c>
      <c r="AA1279" s="79">
        <f>IF(X1279="Sin Pago","",IFERROR(INDEX(Pagos_Odoo!$F:$F, MATCH(X1279, Pagos_Odoo!$B:$B, 0)), ""))</f>
        <v/>
      </c>
      <c r="AB1279" s="81">
        <f>IF(X1279="Sin Pago",0,IFERROR(INDEX(Pagos_Odoo!$E:$E, MATCH(X1279, Pagos_Odoo!$B:$B, 0)), 0))</f>
        <v/>
      </c>
      <c r="AC1279" s="79">
        <f>IF(X1279="Sin Pago","",IFERROR(INDEX(Pagos_Odoo!$G:$G, MATCH(X1279, Pagos_Odoo!$B:$B, 0)), ""))</f>
        <v/>
      </c>
      <c r="AD1279" s="82" t="n">
        <v>0</v>
      </c>
      <c r="AE1279" s="82" t="n"/>
      <c r="AF1279" s="82" t="n"/>
      <c r="AG1279" s="82">
        <f>IF(AN1279="","",AD1279+AE1279+AF1279)</f>
        <v/>
      </c>
      <c r="AH1279" s="81">
        <f>IF(AN1279="","",P1279*(1-AG1279))</f>
        <v/>
      </c>
      <c r="AI1279" s="81">
        <f>IF(AN1279="","",IF(Q1279="Sin Factura",0,IFERROR(INDEX(Facturas_Odoo!$H:$H, MATCH(Q1279, Facturas_Odoo!$B:$B, 0)), 0)*(1-AG1279)))</f>
        <v/>
      </c>
      <c r="AJ1279" s="81">
        <f>IF(AN1279="","",_xlfn.LET(idVenta, AN1279&amp;"",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79" s="81">
        <f>IF(AN1279="","",AH1279-AJ1279)</f>
        <v/>
      </c>
      <c r="AL1279" s="81">
        <f>IF(AN1279="","",IF(Q1279="Sin Factura","",AI1279-AJ1279))</f>
        <v/>
      </c>
      <c r="AM1279" s="81">
        <f>IF(AN1279="","",IF(Q1279="Sin Factura",0,P1279-IFERROR(INDEX(Facturas_Odoo!$H:$H, MATCH(Q1279, Facturas_Odoo!$B:$B, 0)), 0)))</f>
        <v/>
      </c>
      <c r="AN1279" s="79">
        <f>IF(AND(A1279="", J1279=""), "", IF(A1279&lt;&gt;"", VALUE(MID(A1279,2,LEN(A1279))), AN1278))</f>
        <v/>
      </c>
      <c r="AO1279" s="79">
        <f>IF(AN1279="","",IF(AD1279=0,"OK",_xlfn.LET(monedaPago, IF(AA1279="","USD",AA1279), limitePermitido, IFERROR(VLOOKUP(monedaPago, Configuración!$A$2:$B$3, 2, FALSE), 0.15), IF(AD1279&gt;limitePermitido, "ALERTA: EXCESO (" &amp; TEXT(limitePermitido, "0%") &amp; " máx)", "OK"))))</f>
        <v/>
      </c>
      <c r="AP1279" s="79">
        <f>IF(AN1279="","",IF(AE1279=0,"OK",_xlfn.LET(fechaPago, Z1279, fechaFactura, R1279, diasCredito, IF(E1279="Pago inmediato", 0, IFERROR(VALUE(MID(E1279, 1, SEARCH(" ", E1279)-1)),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79" s="79">
        <f>IF(AN1279="","",IF(AND(N1279&gt;0, AG1279&gt;0), IF(Configuración!$K$2="NO", "ALERTA: DESCUENTO DOBLE NO PERMITIDO", "OK"), "OK"))</f>
        <v/>
      </c>
      <c r="AR1279" s="79">
        <f>IF(AN1279="","",IF(OR(AO1279&lt;&gt;"OK", AP1279&lt;&gt;"OK", AQ1279&lt;&gt;"OK"), "⚠️ REVISAR", "OK"))</f>
        <v/>
      </c>
    </row>
    <row r="1280">
      <c r="A1280" s="79">
        <f>IF('Ordenes_Odoo'!A1280="","",'Ordenes_Odoo'!A1280)</f>
        <v/>
      </c>
      <c r="B1280" s="80">
        <f>IF('Ordenes_Odoo'!B1280="","",'Ordenes_Odoo'!B1280)</f>
        <v/>
      </c>
      <c r="C1280" s="79">
        <f>IF('Ordenes_Odoo'!C1280="","",'Ordenes_Odoo'!C1280)</f>
        <v/>
      </c>
      <c r="D1280" s="79">
        <f>IF('Ordenes_Odoo'!D1280="","",'Ordenes_Odoo'!D1280)</f>
        <v/>
      </c>
      <c r="E1280" s="79">
        <f>IF('Ordenes_Odoo'!E1280="","",'Ordenes_Odoo'!E1280)</f>
        <v/>
      </c>
      <c r="F1280" s="79">
        <f>IF('Ordenes_Odoo'!F1280="","",'Ordenes_Odoo'!F1280)</f>
        <v/>
      </c>
      <c r="G1280" s="79">
        <f>IF('Ordenes_Odoo'!G1280="","",'Ordenes_Odoo'!G1280)</f>
        <v/>
      </c>
      <c r="H1280" s="79">
        <f>IF('Ordenes_Odoo'!H1280="","",'Ordenes_Odoo'!H1280)</f>
        <v/>
      </c>
      <c r="I1280" s="79">
        <f>IF('Ordenes_Odoo'!I1280="","",'Ordenes_Odoo'!I1280)</f>
        <v/>
      </c>
      <c r="J1280" s="79">
        <f>IF('Ordenes_Odoo'!J1280="","",'Ordenes_Odoo'!J1280)</f>
        <v/>
      </c>
      <c r="K1280" s="81">
        <f>IF('Ordenes_Odoo'!K1280="","",'Ordenes_Odoo'!K1280)</f>
        <v/>
      </c>
      <c r="L1280" s="81">
        <f>IF('Ordenes_Odoo'!L1280="","",'Ordenes_Odoo'!L1280)</f>
        <v/>
      </c>
      <c r="M1280" s="79">
        <f>IF('Ordenes_Odoo'!M1280="","",'Ordenes_Odoo'!M1280)</f>
        <v/>
      </c>
      <c r="N1280" s="79">
        <f>IF('Ordenes_Odoo'!N1280="","",'Ordenes_Odoo'!N1280)</f>
        <v/>
      </c>
      <c r="O1280" s="81">
        <f>IF('Ordenes_Odoo'!O1280="","",'Ordenes_Odoo'!O1280)</f>
        <v/>
      </c>
      <c r="P1280" s="81">
        <f>IF('Ordenes_Odoo'!P1280="","",'Ordenes_Odoo'!P1280)</f>
        <v/>
      </c>
      <c r="Q1280" s="79">
        <f>IF(A1280="","",IFERROR(INDEX(Facturas_Odoo!$B:$B, MATCH(A1280, Facturas_Odoo!$D:$D, 0)), "Sin Factura"))</f>
        <v/>
      </c>
      <c r="R1280" s="80">
        <f>IF(Q1280="Sin Factura","",IFERROR(INDEX(Facturas_Odoo!$A:$A, MATCH(Q1280, Facturas_Odoo!$B:$B, 0)), ""))</f>
        <v/>
      </c>
      <c r="S1280" s="79">
        <f>IF(Q1280="Sin Factura","",IFERROR(_xlfn.XLOOKUP(1, (Facturas_Odoo!$D:$D=A1280) * (Facturas_Odoo!$K:$K=I1280), Facturas_Odoo!$L:$L, ""), ""))</f>
        <v/>
      </c>
      <c r="T1280" s="81">
        <f>IF(Q1280="Sin Factura",0,IFERROR(_xlfn.XLOOKUP(1, (Facturas_Odoo!$D:$D=A1280) * (Facturas_Odoo!$K:$K=I1280), Facturas_Odoo!$M:$M, 0), 0))</f>
        <v/>
      </c>
      <c r="U1280" s="79">
        <f>IF(Q1280="Sin Factura",0,IFERROR(_xlfn.XLOOKUP(1, (Facturas_Odoo!$D:$D=A1280) * (Facturas_Odoo!$K:$K=I1280), Facturas_Odoo!$N:$N, 0), 0))</f>
        <v/>
      </c>
      <c r="V1280" s="79">
        <f>IF(Q1280="Sin Factura",0,IFERROR(_xlfn.XLOOKUP(1, (Facturas_Odoo!$D:$D=A1280) * (Facturas_Odoo!$K:$K=I1280), Facturas_Odoo!$O:$O, 0), 0))</f>
        <v/>
      </c>
      <c r="W1280" s="81">
        <f>IF(Q1280="Sin Factura",0,IFERROR(_xlfn.XLOOKUP(1, (Facturas_Odoo!$D:$D=A1280) * (Facturas_Odoo!$K:$K=I1280), Facturas_Odoo!$Q:$Q, 0), 0))</f>
        <v/>
      </c>
      <c r="X1280" s="79">
        <f>IF(OR(Q1280="Sin Factura",Q1280=""),"",IFERROR(INDEX(Pagos_Odoo!$B:$B, MATCH(Q1280, Pagos_Odoo!$I:$I, 0)), "Sin Pago"))</f>
        <v/>
      </c>
      <c r="Y1280" s="79">
        <f>IF(X1280="Sin Pago","",IFERROR(INDEX(Pagos_Odoo!$C:$C, MATCH(X1280, Pagos_Odoo!$B:$B, 0)), ""))</f>
        <v/>
      </c>
      <c r="Z1280" s="80">
        <f>IF(X1280="Sin Pago","",IFERROR(INDEX(Pagos_Odoo!$A:$A, MATCH(X1280, Pagos_Odoo!$B:$B, 0)), ""))</f>
        <v/>
      </c>
      <c r="AA1280" s="79">
        <f>IF(X1280="Sin Pago","",IFERROR(INDEX(Pagos_Odoo!$F:$F, MATCH(X1280, Pagos_Odoo!$B:$B, 0)), ""))</f>
        <v/>
      </c>
      <c r="AB1280" s="81">
        <f>IF(X1280="Sin Pago",0,IFERROR(INDEX(Pagos_Odoo!$E:$E, MATCH(X1280, Pagos_Odoo!$B:$B, 0)), 0))</f>
        <v/>
      </c>
      <c r="AC1280" s="79">
        <f>IF(X1280="Sin Pago","",IFERROR(INDEX(Pagos_Odoo!$G:$G, MATCH(X1280, Pagos_Odoo!$B:$B, 0)), ""))</f>
        <v/>
      </c>
      <c r="AD1280" s="82" t="n">
        <v>0</v>
      </c>
      <c r="AE1280" s="82" t="n"/>
      <c r="AF1280" s="82" t="n"/>
      <c r="AG1280" s="82">
        <f>IF(AN1280="","",AD1280+AE1280+AF1280)</f>
        <v/>
      </c>
      <c r="AH1280" s="81">
        <f>IF(AN1280="","",P1280*(1-AG1280))</f>
        <v/>
      </c>
      <c r="AI1280" s="81">
        <f>IF(AN1280="","",IF(Q1280="Sin Factura",0,IFERROR(INDEX(Facturas_Odoo!$H:$H, MATCH(Q1280, Facturas_Odoo!$B:$B, 0)), 0)*(1-AG1280)))</f>
        <v/>
      </c>
      <c r="AJ1280" s="81">
        <f>IF(AN1280="","",_xlfn.LET(idVenta, AN1280&amp;"",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80" s="81">
        <f>IF(AN1280="","",AH1280-AJ1280)</f>
        <v/>
      </c>
      <c r="AL1280" s="81">
        <f>IF(AN1280="","",IF(Q1280="Sin Factura","",AI1280-AJ1280))</f>
        <v/>
      </c>
      <c r="AM1280" s="81">
        <f>IF(AN1280="","",IF(Q1280="Sin Factura",0,P1280-IFERROR(INDEX(Facturas_Odoo!$H:$H, MATCH(Q1280, Facturas_Odoo!$B:$B, 0)), 0)))</f>
        <v/>
      </c>
      <c r="AN1280" s="79">
        <f>IF(AND(A1280="", J1280=""), "", IF(A1280&lt;&gt;"", VALUE(MID(A1280,2,LEN(A1280))), AN1279))</f>
        <v/>
      </c>
      <c r="AO1280" s="79">
        <f>IF(AN1280="","",IF(AD1280=0,"OK",_xlfn.LET(monedaPago, IF(AA1280="","USD",AA1280), limitePermitido, IFERROR(VLOOKUP(monedaPago, Configuración!$A$2:$B$3, 2, FALSE), 0.15), IF(AD1280&gt;limitePermitido, "ALERTA: EXCESO (" &amp; TEXT(limitePermitido, "0%") &amp; " máx)", "OK"))))</f>
        <v/>
      </c>
      <c r="AP1280" s="79">
        <f>IF(AN1280="","",IF(AE1280=0,"OK",_xlfn.LET(fechaPago, Z1280, fechaFactura, R1280, diasCredito, IF(E1280="Pago inmediato", 0, IFERROR(VALUE(MID(E1280, 1, SEARCH(" ", E1280)-1)),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80" s="79">
        <f>IF(AN1280="","",IF(AND(N1280&gt;0, AG1280&gt;0), IF(Configuración!$K$2="NO", "ALERTA: DESCUENTO DOBLE NO PERMITIDO", "OK"), "OK"))</f>
        <v/>
      </c>
      <c r="AR1280" s="79">
        <f>IF(AN1280="","",IF(OR(AO1280&lt;&gt;"OK", AP1280&lt;&gt;"OK", AQ1280&lt;&gt;"OK"), "⚠️ REVISAR", "OK"))</f>
        <v/>
      </c>
    </row>
    <row r="1281">
      <c r="A1281" s="79">
        <f>IF('Ordenes_Odoo'!A1281="","",'Ordenes_Odoo'!A1281)</f>
        <v/>
      </c>
      <c r="B1281" s="80">
        <f>IF('Ordenes_Odoo'!B1281="","",'Ordenes_Odoo'!B1281)</f>
        <v/>
      </c>
      <c r="C1281" s="79">
        <f>IF('Ordenes_Odoo'!C1281="","",'Ordenes_Odoo'!C1281)</f>
        <v/>
      </c>
      <c r="D1281" s="79">
        <f>IF('Ordenes_Odoo'!D1281="","",'Ordenes_Odoo'!D1281)</f>
        <v/>
      </c>
      <c r="E1281" s="79">
        <f>IF('Ordenes_Odoo'!E1281="","",'Ordenes_Odoo'!E1281)</f>
        <v/>
      </c>
      <c r="F1281" s="79">
        <f>IF('Ordenes_Odoo'!F1281="","",'Ordenes_Odoo'!F1281)</f>
        <v/>
      </c>
      <c r="G1281" s="79">
        <f>IF('Ordenes_Odoo'!G1281="","",'Ordenes_Odoo'!G1281)</f>
        <v/>
      </c>
      <c r="H1281" s="79">
        <f>IF('Ordenes_Odoo'!H1281="","",'Ordenes_Odoo'!H1281)</f>
        <v/>
      </c>
      <c r="I1281" s="79">
        <f>IF('Ordenes_Odoo'!I1281="","",'Ordenes_Odoo'!I1281)</f>
        <v/>
      </c>
      <c r="J1281" s="79">
        <f>IF('Ordenes_Odoo'!J1281="","",'Ordenes_Odoo'!J1281)</f>
        <v/>
      </c>
      <c r="K1281" s="81">
        <f>IF('Ordenes_Odoo'!K1281="","",'Ordenes_Odoo'!K1281)</f>
        <v/>
      </c>
      <c r="L1281" s="81">
        <f>IF('Ordenes_Odoo'!L1281="","",'Ordenes_Odoo'!L1281)</f>
        <v/>
      </c>
      <c r="M1281" s="79">
        <f>IF('Ordenes_Odoo'!M1281="","",'Ordenes_Odoo'!M1281)</f>
        <v/>
      </c>
      <c r="N1281" s="79">
        <f>IF('Ordenes_Odoo'!N1281="","",'Ordenes_Odoo'!N1281)</f>
        <v/>
      </c>
      <c r="O1281" s="81">
        <f>IF('Ordenes_Odoo'!O1281="","",'Ordenes_Odoo'!O1281)</f>
        <v/>
      </c>
      <c r="P1281" s="81">
        <f>IF('Ordenes_Odoo'!P1281="","",'Ordenes_Odoo'!P1281)</f>
        <v/>
      </c>
      <c r="Q1281" s="79">
        <f>IF(A1281="","",IFERROR(INDEX(Facturas_Odoo!$B:$B, MATCH(A1281, Facturas_Odoo!$D:$D, 0)), "Sin Factura"))</f>
        <v/>
      </c>
      <c r="R1281" s="80">
        <f>IF(Q1281="Sin Factura","",IFERROR(INDEX(Facturas_Odoo!$A:$A, MATCH(Q1281, Facturas_Odoo!$B:$B, 0)), ""))</f>
        <v/>
      </c>
      <c r="S1281" s="79">
        <f>IF(Q1281="Sin Factura","",IFERROR(_xlfn.XLOOKUP(1, (Facturas_Odoo!$D:$D=A1281) * (Facturas_Odoo!$K:$K=I1281), Facturas_Odoo!$L:$L, ""), ""))</f>
        <v/>
      </c>
      <c r="T1281" s="81">
        <f>IF(Q1281="Sin Factura",0,IFERROR(_xlfn.XLOOKUP(1, (Facturas_Odoo!$D:$D=A1281) * (Facturas_Odoo!$K:$K=I1281), Facturas_Odoo!$M:$M, 0), 0))</f>
        <v/>
      </c>
      <c r="U1281" s="79">
        <f>IF(Q1281="Sin Factura",0,IFERROR(_xlfn.XLOOKUP(1, (Facturas_Odoo!$D:$D=A1281) * (Facturas_Odoo!$K:$K=I1281), Facturas_Odoo!$N:$N, 0), 0))</f>
        <v/>
      </c>
      <c r="V1281" s="79">
        <f>IF(Q1281="Sin Factura",0,IFERROR(_xlfn.XLOOKUP(1, (Facturas_Odoo!$D:$D=A1281) * (Facturas_Odoo!$K:$K=I1281), Facturas_Odoo!$O:$O, 0), 0))</f>
        <v/>
      </c>
      <c r="W1281" s="81">
        <f>IF(Q1281="Sin Factura",0,IFERROR(_xlfn.XLOOKUP(1, (Facturas_Odoo!$D:$D=A1281) * (Facturas_Odoo!$K:$K=I1281), Facturas_Odoo!$Q:$Q, 0), 0))</f>
        <v/>
      </c>
      <c r="X1281" s="79">
        <f>IF(OR(Q1281="Sin Factura",Q1281=""),"",IFERROR(INDEX(Pagos_Odoo!$B:$B, MATCH(Q1281, Pagos_Odoo!$I:$I, 0)), "Sin Pago"))</f>
        <v/>
      </c>
      <c r="Y1281" s="79">
        <f>IF(X1281="Sin Pago","",IFERROR(INDEX(Pagos_Odoo!$C:$C, MATCH(X1281, Pagos_Odoo!$B:$B, 0)), ""))</f>
        <v/>
      </c>
      <c r="Z1281" s="80">
        <f>IF(X1281="Sin Pago","",IFERROR(INDEX(Pagos_Odoo!$A:$A, MATCH(X1281, Pagos_Odoo!$B:$B, 0)), ""))</f>
        <v/>
      </c>
      <c r="AA1281" s="79">
        <f>IF(X1281="Sin Pago","",IFERROR(INDEX(Pagos_Odoo!$F:$F, MATCH(X1281, Pagos_Odoo!$B:$B, 0)), ""))</f>
        <v/>
      </c>
      <c r="AB1281" s="81">
        <f>IF(X1281="Sin Pago",0,IFERROR(INDEX(Pagos_Odoo!$E:$E, MATCH(X1281, Pagos_Odoo!$B:$B, 0)), 0))</f>
        <v/>
      </c>
      <c r="AC1281" s="79">
        <f>IF(X1281="Sin Pago","",IFERROR(INDEX(Pagos_Odoo!$G:$G, MATCH(X1281, Pagos_Odoo!$B:$B, 0)), ""))</f>
        <v/>
      </c>
      <c r="AD1281" s="82" t="n">
        <v>0</v>
      </c>
      <c r="AE1281" s="82" t="n"/>
      <c r="AF1281" s="82" t="n"/>
      <c r="AG1281" s="82">
        <f>IF(AN1281="","",AD1281+AE1281+AF1281)</f>
        <v/>
      </c>
      <c r="AH1281" s="81">
        <f>IF(AN1281="","",P1281*(1-AG1281))</f>
        <v/>
      </c>
      <c r="AI1281" s="81">
        <f>IF(AN1281="","",IF(Q1281="Sin Factura",0,IFERROR(INDEX(Facturas_Odoo!$H:$H, MATCH(Q1281, Facturas_Odoo!$B:$B, 0)), 0)*(1-AG1281)))</f>
        <v/>
      </c>
      <c r="AJ1281" s="81">
        <f>IF(AN1281="","",_xlfn.LET(idVenta, AN1281&amp;"",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81" s="81">
        <f>IF(AN1281="","",AH1281-AJ1281)</f>
        <v/>
      </c>
      <c r="AL1281" s="81">
        <f>IF(AN1281="","",IF(Q1281="Sin Factura","",AI1281-AJ1281))</f>
        <v/>
      </c>
      <c r="AM1281" s="81">
        <f>IF(AN1281="","",IF(Q1281="Sin Factura",0,P1281-IFERROR(INDEX(Facturas_Odoo!$H:$H, MATCH(Q1281, Facturas_Odoo!$B:$B, 0)), 0)))</f>
        <v/>
      </c>
      <c r="AN1281" s="79">
        <f>IF(AND(A1281="", J1281=""), "", IF(A1281&lt;&gt;"", VALUE(MID(A1281,2,LEN(A1281))), AN1280))</f>
        <v/>
      </c>
      <c r="AO1281" s="79">
        <f>IF(AN1281="","",IF(AD1281=0,"OK",_xlfn.LET(monedaPago, IF(AA1281="","USD",AA1281), limitePermitido, IFERROR(VLOOKUP(monedaPago, Configuración!$A$2:$B$3, 2, FALSE), 0.15), IF(AD1281&gt;limitePermitido, "ALERTA: EXCESO (" &amp; TEXT(limitePermitido, "0%") &amp; " máx)", "OK"))))</f>
        <v/>
      </c>
      <c r="AP1281" s="79">
        <f>IF(AN1281="","",IF(AE1281=0,"OK",_xlfn.LET(fechaPago, Z1281, fechaFactura, R1281, diasCredito, IF(E1281="Pago inmediato", 0, IFERROR(VALUE(MID(E1281, 1, SEARCH(" ", E1281)-1)),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81" s="79">
        <f>IF(AN1281="","",IF(AND(N1281&gt;0, AG1281&gt;0), IF(Configuración!$K$2="NO", "ALERTA: DESCUENTO DOBLE NO PERMITIDO", "OK"), "OK"))</f>
        <v/>
      </c>
      <c r="AR1281" s="79">
        <f>IF(AN1281="","",IF(OR(AO1281&lt;&gt;"OK", AP1281&lt;&gt;"OK", AQ1281&lt;&gt;"OK"), "⚠️ REVISAR", "OK"))</f>
        <v/>
      </c>
    </row>
    <row r="1282">
      <c r="A1282" s="79">
        <f>IF('Ordenes_Odoo'!A1282="","",'Ordenes_Odoo'!A1282)</f>
        <v/>
      </c>
      <c r="B1282" s="80">
        <f>IF('Ordenes_Odoo'!B1282="","",'Ordenes_Odoo'!B1282)</f>
        <v/>
      </c>
      <c r="C1282" s="79">
        <f>IF('Ordenes_Odoo'!C1282="","",'Ordenes_Odoo'!C1282)</f>
        <v/>
      </c>
      <c r="D1282" s="79">
        <f>IF('Ordenes_Odoo'!D1282="","",'Ordenes_Odoo'!D1282)</f>
        <v/>
      </c>
      <c r="E1282" s="79">
        <f>IF('Ordenes_Odoo'!E1282="","",'Ordenes_Odoo'!E1282)</f>
        <v/>
      </c>
      <c r="F1282" s="79">
        <f>IF('Ordenes_Odoo'!F1282="","",'Ordenes_Odoo'!F1282)</f>
        <v/>
      </c>
      <c r="G1282" s="79">
        <f>IF('Ordenes_Odoo'!G1282="","",'Ordenes_Odoo'!G1282)</f>
        <v/>
      </c>
      <c r="H1282" s="79">
        <f>IF('Ordenes_Odoo'!H1282="","",'Ordenes_Odoo'!H1282)</f>
        <v/>
      </c>
      <c r="I1282" s="79">
        <f>IF('Ordenes_Odoo'!I1282="","",'Ordenes_Odoo'!I1282)</f>
        <v/>
      </c>
      <c r="J1282" s="79">
        <f>IF('Ordenes_Odoo'!J1282="","",'Ordenes_Odoo'!J1282)</f>
        <v/>
      </c>
      <c r="K1282" s="81">
        <f>IF('Ordenes_Odoo'!K1282="","",'Ordenes_Odoo'!K1282)</f>
        <v/>
      </c>
      <c r="L1282" s="81">
        <f>IF('Ordenes_Odoo'!L1282="","",'Ordenes_Odoo'!L1282)</f>
        <v/>
      </c>
      <c r="M1282" s="79">
        <f>IF('Ordenes_Odoo'!M1282="","",'Ordenes_Odoo'!M1282)</f>
        <v/>
      </c>
      <c r="N1282" s="79">
        <f>IF('Ordenes_Odoo'!N1282="","",'Ordenes_Odoo'!N1282)</f>
        <v/>
      </c>
      <c r="O1282" s="81">
        <f>IF('Ordenes_Odoo'!O1282="","",'Ordenes_Odoo'!O1282)</f>
        <v/>
      </c>
      <c r="P1282" s="81">
        <f>IF('Ordenes_Odoo'!P1282="","",'Ordenes_Odoo'!P1282)</f>
        <v/>
      </c>
      <c r="Q1282" s="79">
        <f>IF(A1282="","",IFERROR(INDEX(Facturas_Odoo!$B:$B, MATCH(A1282, Facturas_Odoo!$D:$D, 0)), "Sin Factura"))</f>
        <v/>
      </c>
      <c r="R1282" s="80">
        <f>IF(Q1282="Sin Factura","",IFERROR(INDEX(Facturas_Odoo!$A:$A, MATCH(Q1282, Facturas_Odoo!$B:$B, 0)), ""))</f>
        <v/>
      </c>
      <c r="S1282" s="79">
        <f>IF(Q1282="Sin Factura","",IFERROR(_xlfn.XLOOKUP(1, (Facturas_Odoo!$D:$D=A1282) * (Facturas_Odoo!$K:$K=I1282), Facturas_Odoo!$L:$L, ""), ""))</f>
        <v/>
      </c>
      <c r="T1282" s="81">
        <f>IF(Q1282="Sin Factura",0,IFERROR(_xlfn.XLOOKUP(1, (Facturas_Odoo!$D:$D=A1282) * (Facturas_Odoo!$K:$K=I1282), Facturas_Odoo!$M:$M, 0), 0))</f>
        <v/>
      </c>
      <c r="U1282" s="79">
        <f>IF(Q1282="Sin Factura",0,IFERROR(_xlfn.XLOOKUP(1, (Facturas_Odoo!$D:$D=A1282) * (Facturas_Odoo!$K:$K=I1282), Facturas_Odoo!$N:$N, 0), 0))</f>
        <v/>
      </c>
      <c r="V1282" s="79">
        <f>IF(Q1282="Sin Factura",0,IFERROR(_xlfn.XLOOKUP(1, (Facturas_Odoo!$D:$D=A1282) * (Facturas_Odoo!$K:$K=I1282), Facturas_Odoo!$O:$O, 0), 0))</f>
        <v/>
      </c>
      <c r="W1282" s="81">
        <f>IF(Q1282="Sin Factura",0,IFERROR(_xlfn.XLOOKUP(1, (Facturas_Odoo!$D:$D=A1282) * (Facturas_Odoo!$K:$K=I1282), Facturas_Odoo!$Q:$Q, 0), 0))</f>
        <v/>
      </c>
      <c r="X1282" s="79">
        <f>IF(OR(Q1282="Sin Factura",Q1282=""),"",IFERROR(INDEX(Pagos_Odoo!$B:$B, MATCH(Q1282, Pagos_Odoo!$I:$I, 0)), "Sin Pago"))</f>
        <v/>
      </c>
      <c r="Y1282" s="79">
        <f>IF(X1282="Sin Pago","",IFERROR(INDEX(Pagos_Odoo!$C:$C, MATCH(X1282, Pagos_Odoo!$B:$B, 0)), ""))</f>
        <v/>
      </c>
      <c r="Z1282" s="80">
        <f>IF(X1282="Sin Pago","",IFERROR(INDEX(Pagos_Odoo!$A:$A, MATCH(X1282, Pagos_Odoo!$B:$B, 0)), ""))</f>
        <v/>
      </c>
      <c r="AA1282" s="79">
        <f>IF(X1282="Sin Pago","",IFERROR(INDEX(Pagos_Odoo!$F:$F, MATCH(X1282, Pagos_Odoo!$B:$B, 0)), ""))</f>
        <v/>
      </c>
      <c r="AB1282" s="81">
        <f>IF(X1282="Sin Pago",0,IFERROR(INDEX(Pagos_Odoo!$E:$E, MATCH(X1282, Pagos_Odoo!$B:$B, 0)), 0))</f>
        <v/>
      </c>
      <c r="AC1282" s="79">
        <f>IF(X1282="Sin Pago","",IFERROR(INDEX(Pagos_Odoo!$G:$G, MATCH(X1282, Pagos_Odoo!$B:$B, 0)), ""))</f>
        <v/>
      </c>
      <c r="AD1282" s="82" t="n">
        <v>0</v>
      </c>
      <c r="AE1282" s="82" t="n"/>
      <c r="AF1282" s="82" t="n"/>
      <c r="AG1282" s="82">
        <f>IF(AN1282="","",AD1282+AE1282+AF1282)</f>
        <v/>
      </c>
      <c r="AH1282" s="81">
        <f>IF(AN1282="","",P1282*(1-AG1282))</f>
        <v/>
      </c>
      <c r="AI1282" s="81">
        <f>IF(AN1282="","",IF(Q1282="Sin Factura",0,IFERROR(INDEX(Facturas_Odoo!$H:$H, MATCH(Q1282, Facturas_Odoo!$B:$B, 0)), 0)*(1-AG1282)))</f>
        <v/>
      </c>
      <c r="AJ1282" s="81">
        <f>IF(AN1282="","",_xlfn.LET(idVenta, AN1282&amp;"",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82" s="81">
        <f>IF(AN1282="","",AH1282-AJ1282)</f>
        <v/>
      </c>
      <c r="AL1282" s="81">
        <f>IF(AN1282="","",IF(Q1282="Sin Factura","",AI1282-AJ1282))</f>
        <v/>
      </c>
      <c r="AM1282" s="81">
        <f>IF(AN1282="","",IF(Q1282="Sin Factura",0,P1282-IFERROR(INDEX(Facturas_Odoo!$H:$H, MATCH(Q1282, Facturas_Odoo!$B:$B, 0)), 0)))</f>
        <v/>
      </c>
      <c r="AN1282" s="79">
        <f>IF(AND(A1282="", J1282=""), "", IF(A1282&lt;&gt;"", VALUE(MID(A1282,2,LEN(A1282))), AN1281))</f>
        <v/>
      </c>
      <c r="AO1282" s="79">
        <f>IF(AN1282="","",IF(AD1282=0,"OK",_xlfn.LET(monedaPago, IF(AA1282="","USD",AA1282), limitePermitido, IFERROR(VLOOKUP(monedaPago, Configuración!$A$2:$B$3, 2, FALSE), 0.15), IF(AD1282&gt;limitePermitido, "ALERTA: EXCESO (" &amp; TEXT(limitePermitido, "0%") &amp; " máx)", "OK"))))</f>
        <v/>
      </c>
      <c r="AP1282" s="79">
        <f>IF(AN1282="","",IF(AE1282=0,"OK",_xlfn.LET(fechaPago, Z1282, fechaFactura, R1282, diasCredito, IF(E1282="Pago inmediato", 0, IFERROR(VALUE(MID(E1282, 1, SEARCH(" ", E1282)-1)),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82" s="79">
        <f>IF(AN1282="","",IF(AND(N1282&gt;0, AG1282&gt;0), IF(Configuración!$K$2="NO", "ALERTA: DESCUENTO DOBLE NO PERMITIDO", "OK"), "OK"))</f>
        <v/>
      </c>
      <c r="AR1282" s="79">
        <f>IF(AN1282="","",IF(OR(AO1282&lt;&gt;"OK", AP1282&lt;&gt;"OK", AQ1282&lt;&gt;"OK"), "⚠️ REVISAR", "OK"))</f>
        <v/>
      </c>
    </row>
    <row r="1283">
      <c r="A1283" s="79">
        <f>IF('Ordenes_Odoo'!A1283="","",'Ordenes_Odoo'!A1283)</f>
        <v/>
      </c>
      <c r="B1283" s="80">
        <f>IF('Ordenes_Odoo'!B1283="","",'Ordenes_Odoo'!B1283)</f>
        <v/>
      </c>
      <c r="C1283" s="79">
        <f>IF('Ordenes_Odoo'!C1283="","",'Ordenes_Odoo'!C1283)</f>
        <v/>
      </c>
      <c r="D1283" s="79">
        <f>IF('Ordenes_Odoo'!D1283="","",'Ordenes_Odoo'!D1283)</f>
        <v/>
      </c>
      <c r="E1283" s="79">
        <f>IF('Ordenes_Odoo'!E1283="","",'Ordenes_Odoo'!E1283)</f>
        <v/>
      </c>
      <c r="F1283" s="79">
        <f>IF('Ordenes_Odoo'!F1283="","",'Ordenes_Odoo'!F1283)</f>
        <v/>
      </c>
      <c r="G1283" s="79">
        <f>IF('Ordenes_Odoo'!G1283="","",'Ordenes_Odoo'!G1283)</f>
        <v/>
      </c>
      <c r="H1283" s="79">
        <f>IF('Ordenes_Odoo'!H1283="","",'Ordenes_Odoo'!H1283)</f>
        <v/>
      </c>
      <c r="I1283" s="79">
        <f>IF('Ordenes_Odoo'!I1283="","",'Ordenes_Odoo'!I1283)</f>
        <v/>
      </c>
      <c r="J1283" s="79">
        <f>IF('Ordenes_Odoo'!J1283="","",'Ordenes_Odoo'!J1283)</f>
        <v/>
      </c>
      <c r="K1283" s="81">
        <f>IF('Ordenes_Odoo'!K1283="","",'Ordenes_Odoo'!K1283)</f>
        <v/>
      </c>
      <c r="L1283" s="81">
        <f>IF('Ordenes_Odoo'!L1283="","",'Ordenes_Odoo'!L1283)</f>
        <v/>
      </c>
      <c r="M1283" s="79">
        <f>IF('Ordenes_Odoo'!M1283="","",'Ordenes_Odoo'!M1283)</f>
        <v/>
      </c>
      <c r="N1283" s="79">
        <f>IF('Ordenes_Odoo'!N1283="","",'Ordenes_Odoo'!N1283)</f>
        <v/>
      </c>
      <c r="O1283" s="81">
        <f>IF('Ordenes_Odoo'!O1283="","",'Ordenes_Odoo'!O1283)</f>
        <v/>
      </c>
      <c r="P1283" s="81">
        <f>IF('Ordenes_Odoo'!P1283="","",'Ordenes_Odoo'!P1283)</f>
        <v/>
      </c>
      <c r="Q1283" s="79">
        <f>IF(A1283="","",IFERROR(INDEX(Facturas_Odoo!$B:$B, MATCH(A1283, Facturas_Odoo!$D:$D, 0)), "Sin Factura"))</f>
        <v/>
      </c>
      <c r="R1283" s="80">
        <f>IF(Q1283="Sin Factura","",IFERROR(INDEX(Facturas_Odoo!$A:$A, MATCH(Q1283, Facturas_Odoo!$B:$B, 0)), ""))</f>
        <v/>
      </c>
      <c r="S1283" s="79">
        <f>IF(Q1283="Sin Factura","",IFERROR(_xlfn.XLOOKUP(1, (Facturas_Odoo!$D:$D=A1283) * (Facturas_Odoo!$K:$K=I1283), Facturas_Odoo!$L:$L, ""), ""))</f>
        <v/>
      </c>
      <c r="T1283" s="81">
        <f>IF(Q1283="Sin Factura",0,IFERROR(_xlfn.XLOOKUP(1, (Facturas_Odoo!$D:$D=A1283) * (Facturas_Odoo!$K:$K=I1283), Facturas_Odoo!$M:$M, 0), 0))</f>
        <v/>
      </c>
      <c r="U1283" s="79">
        <f>IF(Q1283="Sin Factura",0,IFERROR(_xlfn.XLOOKUP(1, (Facturas_Odoo!$D:$D=A1283) * (Facturas_Odoo!$K:$K=I1283), Facturas_Odoo!$N:$N, 0), 0))</f>
        <v/>
      </c>
      <c r="V1283" s="79">
        <f>IF(Q1283="Sin Factura",0,IFERROR(_xlfn.XLOOKUP(1, (Facturas_Odoo!$D:$D=A1283) * (Facturas_Odoo!$K:$K=I1283), Facturas_Odoo!$O:$O, 0), 0))</f>
        <v/>
      </c>
      <c r="W1283" s="81">
        <f>IF(Q1283="Sin Factura",0,IFERROR(_xlfn.XLOOKUP(1, (Facturas_Odoo!$D:$D=A1283) * (Facturas_Odoo!$K:$K=I1283), Facturas_Odoo!$Q:$Q, 0), 0))</f>
        <v/>
      </c>
      <c r="X1283" s="79">
        <f>IF(OR(Q1283="Sin Factura",Q1283=""),"",IFERROR(INDEX(Pagos_Odoo!$B:$B, MATCH(Q1283, Pagos_Odoo!$I:$I, 0)), "Sin Pago"))</f>
        <v/>
      </c>
      <c r="Y1283" s="79">
        <f>IF(X1283="Sin Pago","",IFERROR(INDEX(Pagos_Odoo!$C:$C, MATCH(X1283, Pagos_Odoo!$B:$B, 0)), ""))</f>
        <v/>
      </c>
      <c r="Z1283" s="80">
        <f>IF(X1283="Sin Pago","",IFERROR(INDEX(Pagos_Odoo!$A:$A, MATCH(X1283, Pagos_Odoo!$B:$B, 0)), ""))</f>
        <v/>
      </c>
      <c r="AA1283" s="79">
        <f>IF(X1283="Sin Pago","",IFERROR(INDEX(Pagos_Odoo!$F:$F, MATCH(X1283, Pagos_Odoo!$B:$B, 0)), ""))</f>
        <v/>
      </c>
      <c r="AB1283" s="81">
        <f>IF(X1283="Sin Pago",0,IFERROR(INDEX(Pagos_Odoo!$E:$E, MATCH(X1283, Pagos_Odoo!$B:$B, 0)), 0))</f>
        <v/>
      </c>
      <c r="AC1283" s="79">
        <f>IF(X1283="Sin Pago","",IFERROR(INDEX(Pagos_Odoo!$G:$G, MATCH(X1283, Pagos_Odoo!$B:$B, 0)), ""))</f>
        <v/>
      </c>
      <c r="AD1283" s="82" t="n">
        <v>0</v>
      </c>
      <c r="AE1283" s="82" t="n"/>
      <c r="AF1283" s="82" t="n"/>
      <c r="AG1283" s="82">
        <f>IF(AN1283="","",AD1283+AE1283+AF1283)</f>
        <v/>
      </c>
      <c r="AH1283" s="81">
        <f>IF(AN1283="","",P1283*(1-AG1283))</f>
        <v/>
      </c>
      <c r="AI1283" s="81">
        <f>IF(AN1283="","",IF(Q1283="Sin Factura",0,IFERROR(INDEX(Facturas_Odoo!$H:$H, MATCH(Q1283, Facturas_Odoo!$B:$B, 0)), 0)*(1-AG1283)))</f>
        <v/>
      </c>
      <c r="AJ1283" s="81">
        <f>IF(AN1283="","",_xlfn.LET(idVenta, AN1283&amp;"",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83" s="81">
        <f>IF(AN1283="","",AH1283-AJ1283)</f>
        <v/>
      </c>
      <c r="AL1283" s="81">
        <f>IF(AN1283="","",IF(Q1283="Sin Factura","",AI1283-AJ1283))</f>
        <v/>
      </c>
      <c r="AM1283" s="81">
        <f>IF(AN1283="","",IF(Q1283="Sin Factura",0,P1283-IFERROR(INDEX(Facturas_Odoo!$H:$H, MATCH(Q1283, Facturas_Odoo!$B:$B, 0)), 0)))</f>
        <v/>
      </c>
      <c r="AN1283" s="79">
        <f>IF(AND(A1283="", J1283=""), "", IF(A1283&lt;&gt;"", VALUE(MID(A1283,2,LEN(A1283))), AN1282))</f>
        <v/>
      </c>
      <c r="AO1283" s="79">
        <f>IF(AN1283="","",IF(AD1283=0,"OK",_xlfn.LET(monedaPago, IF(AA1283="","USD",AA1283), limitePermitido, IFERROR(VLOOKUP(monedaPago, Configuración!$A$2:$B$3, 2, FALSE), 0.15), IF(AD1283&gt;limitePermitido, "ALERTA: EXCESO (" &amp; TEXT(limitePermitido, "0%") &amp; " máx)", "OK"))))</f>
        <v/>
      </c>
      <c r="AP1283" s="79">
        <f>IF(AN1283="","",IF(AE1283=0,"OK",_xlfn.LET(fechaPago, Z1283, fechaFactura, R1283, diasCredito, IF(E1283="Pago inmediato", 0, IFERROR(VALUE(MID(E1283, 1, SEARCH(" ", E1283)-1)),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83" s="79">
        <f>IF(AN1283="","",IF(AND(N1283&gt;0, AG1283&gt;0), IF(Configuración!$K$2="NO", "ALERTA: DESCUENTO DOBLE NO PERMITIDO", "OK"), "OK"))</f>
        <v/>
      </c>
      <c r="AR1283" s="79">
        <f>IF(AN1283="","",IF(OR(AO1283&lt;&gt;"OK", AP1283&lt;&gt;"OK", AQ1283&lt;&gt;"OK"), "⚠️ REVISAR", "OK"))</f>
        <v/>
      </c>
    </row>
    <row r="1284">
      <c r="A1284" s="79">
        <f>IF('Ordenes_Odoo'!A1284="","",'Ordenes_Odoo'!A1284)</f>
        <v/>
      </c>
      <c r="B1284" s="80">
        <f>IF('Ordenes_Odoo'!B1284="","",'Ordenes_Odoo'!B1284)</f>
        <v/>
      </c>
      <c r="C1284" s="79">
        <f>IF('Ordenes_Odoo'!C1284="","",'Ordenes_Odoo'!C1284)</f>
        <v/>
      </c>
      <c r="D1284" s="79">
        <f>IF('Ordenes_Odoo'!D1284="","",'Ordenes_Odoo'!D1284)</f>
        <v/>
      </c>
      <c r="E1284" s="79">
        <f>IF('Ordenes_Odoo'!E1284="","",'Ordenes_Odoo'!E1284)</f>
        <v/>
      </c>
      <c r="F1284" s="79">
        <f>IF('Ordenes_Odoo'!F1284="","",'Ordenes_Odoo'!F1284)</f>
        <v/>
      </c>
      <c r="G1284" s="79">
        <f>IF('Ordenes_Odoo'!G1284="","",'Ordenes_Odoo'!G1284)</f>
        <v/>
      </c>
      <c r="H1284" s="79">
        <f>IF('Ordenes_Odoo'!H1284="","",'Ordenes_Odoo'!H1284)</f>
        <v/>
      </c>
      <c r="I1284" s="79">
        <f>IF('Ordenes_Odoo'!I1284="","",'Ordenes_Odoo'!I1284)</f>
        <v/>
      </c>
      <c r="J1284" s="79">
        <f>IF('Ordenes_Odoo'!J1284="","",'Ordenes_Odoo'!J1284)</f>
        <v/>
      </c>
      <c r="K1284" s="81">
        <f>IF('Ordenes_Odoo'!K1284="","",'Ordenes_Odoo'!K1284)</f>
        <v/>
      </c>
      <c r="L1284" s="81">
        <f>IF('Ordenes_Odoo'!L1284="","",'Ordenes_Odoo'!L1284)</f>
        <v/>
      </c>
      <c r="M1284" s="79">
        <f>IF('Ordenes_Odoo'!M1284="","",'Ordenes_Odoo'!M1284)</f>
        <v/>
      </c>
      <c r="N1284" s="79">
        <f>IF('Ordenes_Odoo'!N1284="","",'Ordenes_Odoo'!N1284)</f>
        <v/>
      </c>
      <c r="O1284" s="81">
        <f>IF('Ordenes_Odoo'!O1284="","",'Ordenes_Odoo'!O1284)</f>
        <v/>
      </c>
      <c r="P1284" s="81">
        <f>IF('Ordenes_Odoo'!P1284="","",'Ordenes_Odoo'!P1284)</f>
        <v/>
      </c>
      <c r="Q1284" s="79">
        <f>IF(A1284="","",IFERROR(INDEX(Facturas_Odoo!$B:$B, MATCH(A1284, Facturas_Odoo!$D:$D, 0)), "Sin Factura"))</f>
        <v/>
      </c>
      <c r="R1284" s="80">
        <f>IF(Q1284="Sin Factura","",IFERROR(INDEX(Facturas_Odoo!$A:$A, MATCH(Q1284, Facturas_Odoo!$B:$B, 0)), ""))</f>
        <v/>
      </c>
      <c r="S1284" s="79">
        <f>IF(Q1284="Sin Factura","",IFERROR(_xlfn.XLOOKUP(1, (Facturas_Odoo!$D:$D=A1284) * (Facturas_Odoo!$K:$K=I1284), Facturas_Odoo!$L:$L, ""), ""))</f>
        <v/>
      </c>
      <c r="T1284" s="81">
        <f>IF(Q1284="Sin Factura",0,IFERROR(_xlfn.XLOOKUP(1, (Facturas_Odoo!$D:$D=A1284) * (Facturas_Odoo!$K:$K=I1284), Facturas_Odoo!$M:$M, 0), 0))</f>
        <v/>
      </c>
      <c r="U1284" s="79">
        <f>IF(Q1284="Sin Factura",0,IFERROR(_xlfn.XLOOKUP(1, (Facturas_Odoo!$D:$D=A1284) * (Facturas_Odoo!$K:$K=I1284), Facturas_Odoo!$N:$N, 0), 0))</f>
        <v/>
      </c>
      <c r="V1284" s="79">
        <f>IF(Q1284="Sin Factura",0,IFERROR(_xlfn.XLOOKUP(1, (Facturas_Odoo!$D:$D=A1284) * (Facturas_Odoo!$K:$K=I1284), Facturas_Odoo!$O:$O, 0), 0))</f>
        <v/>
      </c>
      <c r="W1284" s="81">
        <f>IF(Q1284="Sin Factura",0,IFERROR(_xlfn.XLOOKUP(1, (Facturas_Odoo!$D:$D=A1284) * (Facturas_Odoo!$K:$K=I1284), Facturas_Odoo!$Q:$Q, 0), 0))</f>
        <v/>
      </c>
      <c r="X1284" s="79">
        <f>IF(OR(Q1284="Sin Factura",Q1284=""),"",IFERROR(INDEX(Pagos_Odoo!$B:$B, MATCH(Q1284, Pagos_Odoo!$I:$I, 0)), "Sin Pago"))</f>
        <v/>
      </c>
      <c r="Y1284" s="79">
        <f>IF(X1284="Sin Pago","",IFERROR(INDEX(Pagos_Odoo!$C:$C, MATCH(X1284, Pagos_Odoo!$B:$B, 0)), ""))</f>
        <v/>
      </c>
      <c r="Z1284" s="80">
        <f>IF(X1284="Sin Pago","",IFERROR(INDEX(Pagos_Odoo!$A:$A, MATCH(X1284, Pagos_Odoo!$B:$B, 0)), ""))</f>
        <v/>
      </c>
      <c r="AA1284" s="79">
        <f>IF(X1284="Sin Pago","",IFERROR(INDEX(Pagos_Odoo!$F:$F, MATCH(X1284, Pagos_Odoo!$B:$B, 0)), ""))</f>
        <v/>
      </c>
      <c r="AB1284" s="81">
        <f>IF(X1284="Sin Pago",0,IFERROR(INDEX(Pagos_Odoo!$E:$E, MATCH(X1284, Pagos_Odoo!$B:$B, 0)), 0))</f>
        <v/>
      </c>
      <c r="AC1284" s="79">
        <f>IF(X1284="Sin Pago","",IFERROR(INDEX(Pagos_Odoo!$G:$G, MATCH(X1284, Pagos_Odoo!$B:$B, 0)), ""))</f>
        <v/>
      </c>
      <c r="AD1284" s="82" t="n">
        <v>0</v>
      </c>
      <c r="AE1284" s="82" t="n"/>
      <c r="AF1284" s="82" t="n"/>
      <c r="AG1284" s="82">
        <f>IF(AN1284="","",AD1284+AE1284+AF1284)</f>
        <v/>
      </c>
      <c r="AH1284" s="81">
        <f>IF(AN1284="","",P1284*(1-AG1284))</f>
        <v/>
      </c>
      <c r="AI1284" s="81">
        <f>IF(AN1284="","",IF(Q1284="Sin Factura",0,IFERROR(INDEX(Facturas_Odoo!$H:$H, MATCH(Q1284, Facturas_Odoo!$B:$B, 0)), 0)*(1-AG1284)))</f>
        <v/>
      </c>
      <c r="AJ1284" s="81">
        <f>IF(AN1284="","",_xlfn.LET(idVenta, AN1284&amp;"",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84" s="81">
        <f>IF(AN1284="","",AH1284-AJ1284)</f>
        <v/>
      </c>
      <c r="AL1284" s="81">
        <f>IF(AN1284="","",IF(Q1284="Sin Factura","",AI1284-AJ1284))</f>
        <v/>
      </c>
      <c r="AM1284" s="81">
        <f>IF(AN1284="","",IF(Q1284="Sin Factura",0,P1284-IFERROR(INDEX(Facturas_Odoo!$H:$H, MATCH(Q1284, Facturas_Odoo!$B:$B, 0)), 0)))</f>
        <v/>
      </c>
      <c r="AN1284" s="79">
        <f>IF(AND(A1284="", J1284=""), "", IF(A1284&lt;&gt;"", VALUE(MID(A1284,2,LEN(A1284))), AN1283))</f>
        <v/>
      </c>
      <c r="AO1284" s="79">
        <f>IF(AN1284="","",IF(AD1284=0,"OK",_xlfn.LET(monedaPago, IF(AA1284="","USD",AA1284), limitePermitido, IFERROR(VLOOKUP(monedaPago, Configuración!$A$2:$B$3, 2, FALSE), 0.15), IF(AD1284&gt;limitePermitido, "ALERTA: EXCESO (" &amp; TEXT(limitePermitido, "0%") &amp; " máx)", "OK"))))</f>
        <v/>
      </c>
      <c r="AP1284" s="79">
        <f>IF(AN1284="","",IF(AE1284=0,"OK",_xlfn.LET(fechaPago, Z1284, fechaFactura, R1284, diasCredito, IF(E1284="Pago inmediato", 0, IFERROR(VALUE(MID(E1284, 1, SEARCH(" ", E1284)-1)),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84" s="79">
        <f>IF(AN1284="","",IF(AND(N1284&gt;0, AG1284&gt;0), IF(Configuración!$K$2="NO", "ALERTA: DESCUENTO DOBLE NO PERMITIDO", "OK"), "OK"))</f>
        <v/>
      </c>
      <c r="AR1284" s="79">
        <f>IF(AN1284="","",IF(OR(AO1284&lt;&gt;"OK", AP1284&lt;&gt;"OK", AQ1284&lt;&gt;"OK"), "⚠️ REVISAR", "OK"))</f>
        <v/>
      </c>
    </row>
    <row r="1285">
      <c r="A1285" s="79">
        <f>IF('Ordenes_Odoo'!A1285="","",'Ordenes_Odoo'!A1285)</f>
        <v/>
      </c>
      <c r="B1285" s="80">
        <f>IF('Ordenes_Odoo'!B1285="","",'Ordenes_Odoo'!B1285)</f>
        <v/>
      </c>
      <c r="C1285" s="79">
        <f>IF('Ordenes_Odoo'!C1285="","",'Ordenes_Odoo'!C1285)</f>
        <v/>
      </c>
      <c r="D1285" s="79">
        <f>IF('Ordenes_Odoo'!D1285="","",'Ordenes_Odoo'!D1285)</f>
        <v/>
      </c>
      <c r="E1285" s="79">
        <f>IF('Ordenes_Odoo'!E1285="","",'Ordenes_Odoo'!E1285)</f>
        <v/>
      </c>
      <c r="F1285" s="79">
        <f>IF('Ordenes_Odoo'!F1285="","",'Ordenes_Odoo'!F1285)</f>
        <v/>
      </c>
      <c r="G1285" s="79">
        <f>IF('Ordenes_Odoo'!G1285="","",'Ordenes_Odoo'!G1285)</f>
        <v/>
      </c>
      <c r="H1285" s="79">
        <f>IF('Ordenes_Odoo'!H1285="","",'Ordenes_Odoo'!H1285)</f>
        <v/>
      </c>
      <c r="I1285" s="79">
        <f>IF('Ordenes_Odoo'!I1285="","",'Ordenes_Odoo'!I1285)</f>
        <v/>
      </c>
      <c r="J1285" s="79">
        <f>IF('Ordenes_Odoo'!J1285="","",'Ordenes_Odoo'!J1285)</f>
        <v/>
      </c>
      <c r="K1285" s="81">
        <f>IF('Ordenes_Odoo'!K1285="","",'Ordenes_Odoo'!K1285)</f>
        <v/>
      </c>
      <c r="L1285" s="81">
        <f>IF('Ordenes_Odoo'!L1285="","",'Ordenes_Odoo'!L1285)</f>
        <v/>
      </c>
      <c r="M1285" s="79">
        <f>IF('Ordenes_Odoo'!M1285="","",'Ordenes_Odoo'!M1285)</f>
        <v/>
      </c>
      <c r="N1285" s="79">
        <f>IF('Ordenes_Odoo'!N1285="","",'Ordenes_Odoo'!N1285)</f>
        <v/>
      </c>
      <c r="O1285" s="81">
        <f>IF('Ordenes_Odoo'!O1285="","",'Ordenes_Odoo'!O1285)</f>
        <v/>
      </c>
      <c r="P1285" s="81">
        <f>IF('Ordenes_Odoo'!P1285="","",'Ordenes_Odoo'!P1285)</f>
        <v/>
      </c>
      <c r="Q1285" s="79">
        <f>IF(A1285="","",IFERROR(INDEX(Facturas_Odoo!$B:$B, MATCH(A1285, Facturas_Odoo!$D:$D, 0)), "Sin Factura"))</f>
        <v/>
      </c>
      <c r="R1285" s="80">
        <f>IF(Q1285="Sin Factura","",IFERROR(INDEX(Facturas_Odoo!$A:$A, MATCH(Q1285, Facturas_Odoo!$B:$B, 0)), ""))</f>
        <v/>
      </c>
      <c r="S1285" s="79">
        <f>IF(Q1285="Sin Factura","",IFERROR(_xlfn.XLOOKUP(1, (Facturas_Odoo!$D:$D=A1285) * (Facturas_Odoo!$K:$K=I1285), Facturas_Odoo!$L:$L, ""), ""))</f>
        <v/>
      </c>
      <c r="T1285" s="81">
        <f>IF(Q1285="Sin Factura",0,IFERROR(_xlfn.XLOOKUP(1, (Facturas_Odoo!$D:$D=A1285) * (Facturas_Odoo!$K:$K=I1285), Facturas_Odoo!$M:$M, 0), 0))</f>
        <v/>
      </c>
      <c r="U1285" s="79">
        <f>IF(Q1285="Sin Factura",0,IFERROR(_xlfn.XLOOKUP(1, (Facturas_Odoo!$D:$D=A1285) * (Facturas_Odoo!$K:$K=I1285), Facturas_Odoo!$N:$N, 0), 0))</f>
        <v/>
      </c>
      <c r="V1285" s="79">
        <f>IF(Q1285="Sin Factura",0,IFERROR(_xlfn.XLOOKUP(1, (Facturas_Odoo!$D:$D=A1285) * (Facturas_Odoo!$K:$K=I1285), Facturas_Odoo!$O:$O, 0), 0))</f>
        <v/>
      </c>
      <c r="W1285" s="81">
        <f>IF(Q1285="Sin Factura",0,IFERROR(_xlfn.XLOOKUP(1, (Facturas_Odoo!$D:$D=A1285) * (Facturas_Odoo!$K:$K=I1285), Facturas_Odoo!$Q:$Q, 0), 0))</f>
        <v/>
      </c>
      <c r="X1285" s="79">
        <f>IF(OR(Q1285="Sin Factura",Q1285=""),"",IFERROR(INDEX(Pagos_Odoo!$B:$B, MATCH(Q1285, Pagos_Odoo!$I:$I, 0)), "Sin Pago"))</f>
        <v/>
      </c>
      <c r="Y1285" s="79">
        <f>IF(X1285="Sin Pago","",IFERROR(INDEX(Pagos_Odoo!$C:$C, MATCH(X1285, Pagos_Odoo!$B:$B, 0)), ""))</f>
        <v/>
      </c>
      <c r="Z1285" s="80">
        <f>IF(X1285="Sin Pago","",IFERROR(INDEX(Pagos_Odoo!$A:$A, MATCH(X1285, Pagos_Odoo!$B:$B, 0)), ""))</f>
        <v/>
      </c>
      <c r="AA1285" s="79">
        <f>IF(X1285="Sin Pago","",IFERROR(INDEX(Pagos_Odoo!$F:$F, MATCH(X1285, Pagos_Odoo!$B:$B, 0)), ""))</f>
        <v/>
      </c>
      <c r="AB1285" s="81">
        <f>IF(X1285="Sin Pago",0,IFERROR(INDEX(Pagos_Odoo!$E:$E, MATCH(X1285, Pagos_Odoo!$B:$B, 0)), 0))</f>
        <v/>
      </c>
      <c r="AC1285" s="79">
        <f>IF(X1285="Sin Pago","",IFERROR(INDEX(Pagos_Odoo!$G:$G, MATCH(X1285, Pagos_Odoo!$B:$B, 0)), ""))</f>
        <v/>
      </c>
      <c r="AD1285" s="82" t="n">
        <v>0</v>
      </c>
      <c r="AE1285" s="82" t="n"/>
      <c r="AF1285" s="82" t="n"/>
      <c r="AG1285" s="82">
        <f>IF(AN1285="","",AD1285+AE1285+AF1285)</f>
        <v/>
      </c>
      <c r="AH1285" s="81">
        <f>IF(AN1285="","",P1285*(1-AG1285))</f>
        <v/>
      </c>
      <c r="AI1285" s="81">
        <f>IF(AN1285="","",IF(Q1285="Sin Factura",0,IFERROR(INDEX(Facturas_Odoo!$H:$H, MATCH(Q1285, Facturas_Odoo!$B:$B, 0)), 0)*(1-AG1285)))</f>
        <v/>
      </c>
      <c r="AJ1285" s="81">
        <f>IF(AN1285="","",_xlfn.LET(idVenta, AN1285&amp;"",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85" s="81">
        <f>IF(AN1285="","",AH1285-AJ1285)</f>
        <v/>
      </c>
      <c r="AL1285" s="81">
        <f>IF(AN1285="","",IF(Q1285="Sin Factura","",AI1285-AJ1285))</f>
        <v/>
      </c>
      <c r="AM1285" s="81">
        <f>IF(AN1285="","",IF(Q1285="Sin Factura",0,P1285-IFERROR(INDEX(Facturas_Odoo!$H:$H, MATCH(Q1285, Facturas_Odoo!$B:$B, 0)), 0)))</f>
        <v/>
      </c>
      <c r="AN1285" s="79">
        <f>IF(AND(A1285="", J1285=""), "", IF(A1285&lt;&gt;"", VALUE(MID(A1285,2,LEN(A1285))), AN1284))</f>
        <v/>
      </c>
      <c r="AO1285" s="79">
        <f>IF(AN1285="","",IF(AD1285=0,"OK",_xlfn.LET(monedaPago, IF(AA1285="","USD",AA1285), limitePermitido, IFERROR(VLOOKUP(monedaPago, Configuración!$A$2:$B$3, 2, FALSE), 0.15), IF(AD1285&gt;limitePermitido, "ALERTA: EXCESO (" &amp; TEXT(limitePermitido, "0%") &amp; " máx)", "OK"))))</f>
        <v/>
      </c>
      <c r="AP1285" s="79">
        <f>IF(AN1285="","",IF(AE1285=0,"OK",_xlfn.LET(fechaPago, Z1285, fechaFactura, R1285, diasCredito, IF(E1285="Pago inmediato", 0, IFERROR(VALUE(MID(E1285, 1, SEARCH(" ", E1285)-1)),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85" s="79">
        <f>IF(AN1285="","",IF(AND(N1285&gt;0, AG1285&gt;0), IF(Configuración!$K$2="NO", "ALERTA: DESCUENTO DOBLE NO PERMITIDO", "OK"), "OK"))</f>
        <v/>
      </c>
      <c r="AR1285" s="79">
        <f>IF(AN1285="","",IF(OR(AO1285&lt;&gt;"OK", AP1285&lt;&gt;"OK", AQ1285&lt;&gt;"OK"), "⚠️ REVISAR", "OK"))</f>
        <v/>
      </c>
    </row>
    <row r="1286">
      <c r="A1286" s="79">
        <f>IF('Ordenes_Odoo'!A1286="","",'Ordenes_Odoo'!A1286)</f>
        <v/>
      </c>
      <c r="B1286" s="80">
        <f>IF('Ordenes_Odoo'!B1286="","",'Ordenes_Odoo'!B1286)</f>
        <v/>
      </c>
      <c r="C1286" s="79">
        <f>IF('Ordenes_Odoo'!C1286="","",'Ordenes_Odoo'!C1286)</f>
        <v/>
      </c>
      <c r="D1286" s="79">
        <f>IF('Ordenes_Odoo'!D1286="","",'Ordenes_Odoo'!D1286)</f>
        <v/>
      </c>
      <c r="E1286" s="79">
        <f>IF('Ordenes_Odoo'!E1286="","",'Ordenes_Odoo'!E1286)</f>
        <v/>
      </c>
      <c r="F1286" s="79">
        <f>IF('Ordenes_Odoo'!F1286="","",'Ordenes_Odoo'!F1286)</f>
        <v/>
      </c>
      <c r="G1286" s="79">
        <f>IF('Ordenes_Odoo'!G1286="","",'Ordenes_Odoo'!G1286)</f>
        <v/>
      </c>
      <c r="H1286" s="79">
        <f>IF('Ordenes_Odoo'!H1286="","",'Ordenes_Odoo'!H1286)</f>
        <v/>
      </c>
      <c r="I1286" s="79">
        <f>IF('Ordenes_Odoo'!I1286="","",'Ordenes_Odoo'!I1286)</f>
        <v/>
      </c>
      <c r="J1286" s="79">
        <f>IF('Ordenes_Odoo'!J1286="","",'Ordenes_Odoo'!J1286)</f>
        <v/>
      </c>
      <c r="K1286" s="81">
        <f>IF('Ordenes_Odoo'!K1286="","",'Ordenes_Odoo'!K1286)</f>
        <v/>
      </c>
      <c r="L1286" s="81">
        <f>IF('Ordenes_Odoo'!L1286="","",'Ordenes_Odoo'!L1286)</f>
        <v/>
      </c>
      <c r="M1286" s="79">
        <f>IF('Ordenes_Odoo'!M1286="","",'Ordenes_Odoo'!M1286)</f>
        <v/>
      </c>
      <c r="N1286" s="79">
        <f>IF('Ordenes_Odoo'!N1286="","",'Ordenes_Odoo'!N1286)</f>
        <v/>
      </c>
      <c r="O1286" s="81">
        <f>IF('Ordenes_Odoo'!O1286="","",'Ordenes_Odoo'!O1286)</f>
        <v/>
      </c>
      <c r="P1286" s="81">
        <f>IF('Ordenes_Odoo'!P1286="","",'Ordenes_Odoo'!P1286)</f>
        <v/>
      </c>
      <c r="Q1286" s="79">
        <f>IF(A1286="","",IFERROR(INDEX(Facturas_Odoo!$B:$B, MATCH(A1286, Facturas_Odoo!$D:$D, 0)), "Sin Factura"))</f>
        <v/>
      </c>
      <c r="R1286" s="80">
        <f>IF(Q1286="Sin Factura","",IFERROR(INDEX(Facturas_Odoo!$A:$A, MATCH(Q1286, Facturas_Odoo!$B:$B, 0)), ""))</f>
        <v/>
      </c>
      <c r="S1286" s="79">
        <f>IF(Q1286="Sin Factura","",IFERROR(_xlfn.XLOOKUP(1, (Facturas_Odoo!$D:$D=A1286) * (Facturas_Odoo!$K:$K=I1286), Facturas_Odoo!$L:$L, ""), ""))</f>
        <v/>
      </c>
      <c r="T1286" s="81">
        <f>IF(Q1286="Sin Factura",0,IFERROR(_xlfn.XLOOKUP(1, (Facturas_Odoo!$D:$D=A1286) * (Facturas_Odoo!$K:$K=I1286), Facturas_Odoo!$M:$M, 0), 0))</f>
        <v/>
      </c>
      <c r="U1286" s="79">
        <f>IF(Q1286="Sin Factura",0,IFERROR(_xlfn.XLOOKUP(1, (Facturas_Odoo!$D:$D=A1286) * (Facturas_Odoo!$K:$K=I1286), Facturas_Odoo!$N:$N, 0), 0))</f>
        <v/>
      </c>
      <c r="V1286" s="79">
        <f>IF(Q1286="Sin Factura",0,IFERROR(_xlfn.XLOOKUP(1, (Facturas_Odoo!$D:$D=A1286) * (Facturas_Odoo!$K:$K=I1286), Facturas_Odoo!$O:$O, 0), 0))</f>
        <v/>
      </c>
      <c r="W1286" s="81">
        <f>IF(Q1286="Sin Factura",0,IFERROR(_xlfn.XLOOKUP(1, (Facturas_Odoo!$D:$D=A1286) * (Facturas_Odoo!$K:$K=I1286), Facturas_Odoo!$Q:$Q, 0), 0))</f>
        <v/>
      </c>
      <c r="X1286" s="79">
        <f>IF(OR(Q1286="Sin Factura",Q1286=""),"",IFERROR(INDEX(Pagos_Odoo!$B:$B, MATCH(Q1286, Pagos_Odoo!$I:$I, 0)), "Sin Pago"))</f>
        <v/>
      </c>
      <c r="Y1286" s="79">
        <f>IF(X1286="Sin Pago","",IFERROR(INDEX(Pagos_Odoo!$C:$C, MATCH(X1286, Pagos_Odoo!$B:$B, 0)), ""))</f>
        <v/>
      </c>
      <c r="Z1286" s="80">
        <f>IF(X1286="Sin Pago","",IFERROR(INDEX(Pagos_Odoo!$A:$A, MATCH(X1286, Pagos_Odoo!$B:$B, 0)), ""))</f>
        <v/>
      </c>
      <c r="AA1286" s="79">
        <f>IF(X1286="Sin Pago","",IFERROR(INDEX(Pagos_Odoo!$F:$F, MATCH(X1286, Pagos_Odoo!$B:$B, 0)), ""))</f>
        <v/>
      </c>
      <c r="AB1286" s="81">
        <f>IF(X1286="Sin Pago",0,IFERROR(INDEX(Pagos_Odoo!$E:$E, MATCH(X1286, Pagos_Odoo!$B:$B, 0)), 0))</f>
        <v/>
      </c>
      <c r="AC1286" s="79">
        <f>IF(X1286="Sin Pago","",IFERROR(INDEX(Pagos_Odoo!$G:$G, MATCH(X1286, Pagos_Odoo!$B:$B, 0)), ""))</f>
        <v/>
      </c>
      <c r="AD1286" s="82" t="n">
        <v>0</v>
      </c>
      <c r="AE1286" s="82" t="n"/>
      <c r="AF1286" s="82" t="n"/>
      <c r="AG1286" s="82">
        <f>IF(AN1286="","",AD1286+AE1286+AF1286)</f>
        <v/>
      </c>
      <c r="AH1286" s="81">
        <f>IF(AN1286="","",P1286*(1-AG1286))</f>
        <v/>
      </c>
      <c r="AI1286" s="81">
        <f>IF(AN1286="","",IF(Q1286="Sin Factura",0,IFERROR(INDEX(Facturas_Odoo!$H:$H, MATCH(Q1286, Facturas_Odoo!$B:$B, 0)), 0)*(1-AG1286)))</f>
        <v/>
      </c>
      <c r="AJ1286" s="81">
        <f>IF(AN1286="","",_xlfn.LET(idVenta, AN1286&amp;"",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86" s="81">
        <f>IF(AN1286="","",AH1286-AJ1286)</f>
        <v/>
      </c>
      <c r="AL1286" s="81">
        <f>IF(AN1286="","",IF(Q1286="Sin Factura","",AI1286-AJ1286))</f>
        <v/>
      </c>
      <c r="AM1286" s="81">
        <f>IF(AN1286="","",IF(Q1286="Sin Factura",0,P1286-IFERROR(INDEX(Facturas_Odoo!$H:$H, MATCH(Q1286, Facturas_Odoo!$B:$B, 0)), 0)))</f>
        <v/>
      </c>
      <c r="AN1286" s="79">
        <f>IF(AND(A1286="", J1286=""), "", IF(A1286&lt;&gt;"", VALUE(MID(A1286,2,LEN(A1286))), AN1285))</f>
        <v/>
      </c>
      <c r="AO1286" s="79">
        <f>IF(AN1286="","",IF(AD1286=0,"OK",_xlfn.LET(monedaPago, IF(AA1286="","USD",AA1286), limitePermitido, IFERROR(VLOOKUP(monedaPago, Configuración!$A$2:$B$3, 2, FALSE), 0.15), IF(AD1286&gt;limitePermitido, "ALERTA: EXCESO (" &amp; TEXT(limitePermitido, "0%") &amp; " máx)", "OK"))))</f>
        <v/>
      </c>
      <c r="AP1286" s="79">
        <f>IF(AN1286="","",IF(AE1286=0,"OK",_xlfn.LET(fechaPago, Z1286, fechaFactura, R1286, diasCredito, IF(E1286="Pago inmediato", 0, IFERROR(VALUE(MID(E1286, 1, SEARCH(" ", E1286)-1)),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86" s="79">
        <f>IF(AN1286="","",IF(AND(N1286&gt;0, AG1286&gt;0), IF(Configuración!$K$2="NO", "ALERTA: DESCUENTO DOBLE NO PERMITIDO", "OK"), "OK"))</f>
        <v/>
      </c>
      <c r="AR1286" s="79">
        <f>IF(AN1286="","",IF(OR(AO1286&lt;&gt;"OK", AP1286&lt;&gt;"OK", AQ1286&lt;&gt;"OK"), "⚠️ REVISAR", "OK"))</f>
        <v/>
      </c>
    </row>
    <row r="1287">
      <c r="A1287" s="79">
        <f>IF('Ordenes_Odoo'!A1287="","",'Ordenes_Odoo'!A1287)</f>
        <v/>
      </c>
      <c r="B1287" s="80">
        <f>IF('Ordenes_Odoo'!B1287="","",'Ordenes_Odoo'!B1287)</f>
        <v/>
      </c>
      <c r="C1287" s="79">
        <f>IF('Ordenes_Odoo'!C1287="","",'Ordenes_Odoo'!C1287)</f>
        <v/>
      </c>
      <c r="D1287" s="79">
        <f>IF('Ordenes_Odoo'!D1287="","",'Ordenes_Odoo'!D1287)</f>
        <v/>
      </c>
      <c r="E1287" s="79">
        <f>IF('Ordenes_Odoo'!E1287="","",'Ordenes_Odoo'!E1287)</f>
        <v/>
      </c>
      <c r="F1287" s="79">
        <f>IF('Ordenes_Odoo'!F1287="","",'Ordenes_Odoo'!F1287)</f>
        <v/>
      </c>
      <c r="G1287" s="79">
        <f>IF('Ordenes_Odoo'!G1287="","",'Ordenes_Odoo'!G1287)</f>
        <v/>
      </c>
      <c r="H1287" s="79">
        <f>IF('Ordenes_Odoo'!H1287="","",'Ordenes_Odoo'!H1287)</f>
        <v/>
      </c>
      <c r="I1287" s="79">
        <f>IF('Ordenes_Odoo'!I1287="","",'Ordenes_Odoo'!I1287)</f>
        <v/>
      </c>
      <c r="J1287" s="79">
        <f>IF('Ordenes_Odoo'!J1287="","",'Ordenes_Odoo'!J1287)</f>
        <v/>
      </c>
      <c r="K1287" s="81">
        <f>IF('Ordenes_Odoo'!K1287="","",'Ordenes_Odoo'!K1287)</f>
        <v/>
      </c>
      <c r="L1287" s="81">
        <f>IF('Ordenes_Odoo'!L1287="","",'Ordenes_Odoo'!L1287)</f>
        <v/>
      </c>
      <c r="M1287" s="79">
        <f>IF('Ordenes_Odoo'!M1287="","",'Ordenes_Odoo'!M1287)</f>
        <v/>
      </c>
      <c r="N1287" s="79">
        <f>IF('Ordenes_Odoo'!N1287="","",'Ordenes_Odoo'!N1287)</f>
        <v/>
      </c>
      <c r="O1287" s="81">
        <f>IF('Ordenes_Odoo'!O1287="","",'Ordenes_Odoo'!O1287)</f>
        <v/>
      </c>
      <c r="P1287" s="81">
        <f>IF('Ordenes_Odoo'!P1287="","",'Ordenes_Odoo'!P1287)</f>
        <v/>
      </c>
      <c r="Q1287" s="79">
        <f>IF(A1287="","",IFERROR(INDEX(Facturas_Odoo!$B:$B, MATCH(A1287, Facturas_Odoo!$D:$D, 0)), "Sin Factura"))</f>
        <v/>
      </c>
      <c r="R1287" s="80">
        <f>IF(Q1287="Sin Factura","",IFERROR(INDEX(Facturas_Odoo!$A:$A, MATCH(Q1287, Facturas_Odoo!$B:$B, 0)), ""))</f>
        <v/>
      </c>
      <c r="S1287" s="79">
        <f>IF(Q1287="Sin Factura","",IFERROR(_xlfn.XLOOKUP(1, (Facturas_Odoo!$D:$D=A1287) * (Facturas_Odoo!$K:$K=I1287), Facturas_Odoo!$L:$L, ""), ""))</f>
        <v/>
      </c>
      <c r="T1287" s="81">
        <f>IF(Q1287="Sin Factura",0,IFERROR(_xlfn.XLOOKUP(1, (Facturas_Odoo!$D:$D=A1287) * (Facturas_Odoo!$K:$K=I1287), Facturas_Odoo!$M:$M, 0), 0))</f>
        <v/>
      </c>
      <c r="U1287" s="79">
        <f>IF(Q1287="Sin Factura",0,IFERROR(_xlfn.XLOOKUP(1, (Facturas_Odoo!$D:$D=A1287) * (Facturas_Odoo!$K:$K=I1287), Facturas_Odoo!$N:$N, 0), 0))</f>
        <v/>
      </c>
      <c r="V1287" s="79">
        <f>IF(Q1287="Sin Factura",0,IFERROR(_xlfn.XLOOKUP(1, (Facturas_Odoo!$D:$D=A1287) * (Facturas_Odoo!$K:$K=I1287), Facturas_Odoo!$O:$O, 0), 0))</f>
        <v/>
      </c>
      <c r="W1287" s="81">
        <f>IF(Q1287="Sin Factura",0,IFERROR(_xlfn.XLOOKUP(1, (Facturas_Odoo!$D:$D=A1287) * (Facturas_Odoo!$K:$K=I1287), Facturas_Odoo!$Q:$Q, 0), 0))</f>
        <v/>
      </c>
      <c r="X1287" s="79">
        <f>IF(OR(Q1287="Sin Factura",Q1287=""),"",IFERROR(INDEX(Pagos_Odoo!$B:$B, MATCH(Q1287, Pagos_Odoo!$I:$I, 0)), "Sin Pago"))</f>
        <v/>
      </c>
      <c r="Y1287" s="79">
        <f>IF(X1287="Sin Pago","",IFERROR(INDEX(Pagos_Odoo!$C:$C, MATCH(X1287, Pagos_Odoo!$B:$B, 0)), ""))</f>
        <v/>
      </c>
      <c r="Z1287" s="80">
        <f>IF(X1287="Sin Pago","",IFERROR(INDEX(Pagos_Odoo!$A:$A, MATCH(X1287, Pagos_Odoo!$B:$B, 0)), ""))</f>
        <v/>
      </c>
      <c r="AA1287" s="79">
        <f>IF(X1287="Sin Pago","",IFERROR(INDEX(Pagos_Odoo!$F:$F, MATCH(X1287, Pagos_Odoo!$B:$B, 0)), ""))</f>
        <v/>
      </c>
      <c r="AB1287" s="81">
        <f>IF(X1287="Sin Pago",0,IFERROR(INDEX(Pagos_Odoo!$E:$E, MATCH(X1287, Pagos_Odoo!$B:$B, 0)), 0))</f>
        <v/>
      </c>
      <c r="AC1287" s="79">
        <f>IF(X1287="Sin Pago","",IFERROR(INDEX(Pagos_Odoo!$G:$G, MATCH(X1287, Pagos_Odoo!$B:$B, 0)), ""))</f>
        <v/>
      </c>
      <c r="AD1287" s="82" t="n">
        <v>0</v>
      </c>
      <c r="AE1287" s="82" t="n"/>
      <c r="AF1287" s="82" t="n"/>
      <c r="AG1287" s="82">
        <f>IF(AN1287="","",AD1287+AE1287+AF1287)</f>
        <v/>
      </c>
      <c r="AH1287" s="81">
        <f>IF(AN1287="","",P1287*(1-AG1287))</f>
        <v/>
      </c>
      <c r="AI1287" s="81">
        <f>IF(AN1287="","",IF(Q1287="Sin Factura",0,IFERROR(INDEX(Facturas_Odoo!$H:$H, MATCH(Q1287, Facturas_Odoo!$B:$B, 0)), 0)*(1-AG1287)))</f>
        <v/>
      </c>
      <c r="AJ1287" s="81">
        <f>IF(AN1287="","",_xlfn.LET(idVenta, AN1287&amp;"",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87" s="81">
        <f>IF(AN1287="","",AH1287-AJ1287)</f>
        <v/>
      </c>
      <c r="AL1287" s="81">
        <f>IF(AN1287="","",IF(Q1287="Sin Factura","",AI1287-AJ1287))</f>
        <v/>
      </c>
      <c r="AM1287" s="81">
        <f>IF(AN1287="","",IF(Q1287="Sin Factura",0,P1287-IFERROR(INDEX(Facturas_Odoo!$H:$H, MATCH(Q1287, Facturas_Odoo!$B:$B, 0)), 0)))</f>
        <v/>
      </c>
      <c r="AN1287" s="79">
        <f>IF(AND(A1287="", J1287=""), "", IF(A1287&lt;&gt;"", VALUE(MID(A1287,2,LEN(A1287))), AN1286))</f>
        <v/>
      </c>
      <c r="AO1287" s="79">
        <f>IF(AN1287="","",IF(AD1287=0,"OK",_xlfn.LET(monedaPago, IF(AA1287="","USD",AA1287), limitePermitido, IFERROR(VLOOKUP(monedaPago, Configuración!$A$2:$B$3, 2, FALSE), 0.15), IF(AD1287&gt;limitePermitido, "ALERTA: EXCESO (" &amp; TEXT(limitePermitido, "0%") &amp; " máx)", "OK"))))</f>
        <v/>
      </c>
      <c r="AP1287" s="79">
        <f>IF(AN1287="","",IF(AE1287=0,"OK",_xlfn.LET(fechaPago, Z1287, fechaFactura, R1287, diasCredito, IF(E1287="Pago inmediato", 0, IFERROR(VALUE(MID(E1287, 1, SEARCH(" ", E1287)-1)),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87" s="79">
        <f>IF(AN1287="","",IF(AND(N1287&gt;0, AG1287&gt;0), IF(Configuración!$K$2="NO", "ALERTA: DESCUENTO DOBLE NO PERMITIDO", "OK"), "OK"))</f>
        <v/>
      </c>
      <c r="AR1287" s="79">
        <f>IF(AN1287="","",IF(OR(AO1287&lt;&gt;"OK", AP1287&lt;&gt;"OK", AQ1287&lt;&gt;"OK"), "⚠️ REVISAR", "OK"))</f>
        <v/>
      </c>
    </row>
    <row r="1288">
      <c r="A1288" s="79">
        <f>IF('Ordenes_Odoo'!A1288="","",'Ordenes_Odoo'!A1288)</f>
        <v/>
      </c>
      <c r="B1288" s="80">
        <f>IF('Ordenes_Odoo'!B1288="","",'Ordenes_Odoo'!B1288)</f>
        <v/>
      </c>
      <c r="C1288" s="79">
        <f>IF('Ordenes_Odoo'!C1288="","",'Ordenes_Odoo'!C1288)</f>
        <v/>
      </c>
      <c r="D1288" s="79">
        <f>IF('Ordenes_Odoo'!D1288="","",'Ordenes_Odoo'!D1288)</f>
        <v/>
      </c>
      <c r="E1288" s="79">
        <f>IF('Ordenes_Odoo'!E1288="","",'Ordenes_Odoo'!E1288)</f>
        <v/>
      </c>
      <c r="F1288" s="79">
        <f>IF('Ordenes_Odoo'!F1288="","",'Ordenes_Odoo'!F1288)</f>
        <v/>
      </c>
      <c r="G1288" s="79">
        <f>IF('Ordenes_Odoo'!G1288="","",'Ordenes_Odoo'!G1288)</f>
        <v/>
      </c>
      <c r="H1288" s="79">
        <f>IF('Ordenes_Odoo'!H1288="","",'Ordenes_Odoo'!H1288)</f>
        <v/>
      </c>
      <c r="I1288" s="79">
        <f>IF('Ordenes_Odoo'!I1288="","",'Ordenes_Odoo'!I1288)</f>
        <v/>
      </c>
      <c r="J1288" s="79">
        <f>IF('Ordenes_Odoo'!J1288="","",'Ordenes_Odoo'!J1288)</f>
        <v/>
      </c>
      <c r="K1288" s="81">
        <f>IF('Ordenes_Odoo'!K1288="","",'Ordenes_Odoo'!K1288)</f>
        <v/>
      </c>
      <c r="L1288" s="81">
        <f>IF('Ordenes_Odoo'!L1288="","",'Ordenes_Odoo'!L1288)</f>
        <v/>
      </c>
      <c r="M1288" s="79">
        <f>IF('Ordenes_Odoo'!M1288="","",'Ordenes_Odoo'!M1288)</f>
        <v/>
      </c>
      <c r="N1288" s="79">
        <f>IF('Ordenes_Odoo'!N1288="","",'Ordenes_Odoo'!N1288)</f>
        <v/>
      </c>
      <c r="O1288" s="81">
        <f>IF('Ordenes_Odoo'!O1288="","",'Ordenes_Odoo'!O1288)</f>
        <v/>
      </c>
      <c r="P1288" s="81">
        <f>IF('Ordenes_Odoo'!P1288="","",'Ordenes_Odoo'!P1288)</f>
        <v/>
      </c>
      <c r="Q1288" s="79">
        <f>IF(A1288="","",IFERROR(INDEX(Facturas_Odoo!$B:$B, MATCH(A1288, Facturas_Odoo!$D:$D, 0)), "Sin Factura"))</f>
        <v/>
      </c>
      <c r="R1288" s="80">
        <f>IF(Q1288="Sin Factura","",IFERROR(INDEX(Facturas_Odoo!$A:$A, MATCH(Q1288, Facturas_Odoo!$B:$B, 0)), ""))</f>
        <v/>
      </c>
      <c r="S1288" s="79">
        <f>IF(Q1288="Sin Factura","",IFERROR(_xlfn.XLOOKUP(1, (Facturas_Odoo!$D:$D=A1288) * (Facturas_Odoo!$K:$K=I1288), Facturas_Odoo!$L:$L, ""), ""))</f>
        <v/>
      </c>
      <c r="T1288" s="81">
        <f>IF(Q1288="Sin Factura",0,IFERROR(_xlfn.XLOOKUP(1, (Facturas_Odoo!$D:$D=A1288) * (Facturas_Odoo!$K:$K=I1288), Facturas_Odoo!$M:$M, 0), 0))</f>
        <v/>
      </c>
      <c r="U1288" s="79">
        <f>IF(Q1288="Sin Factura",0,IFERROR(_xlfn.XLOOKUP(1, (Facturas_Odoo!$D:$D=A1288) * (Facturas_Odoo!$K:$K=I1288), Facturas_Odoo!$N:$N, 0), 0))</f>
        <v/>
      </c>
      <c r="V1288" s="79">
        <f>IF(Q1288="Sin Factura",0,IFERROR(_xlfn.XLOOKUP(1, (Facturas_Odoo!$D:$D=A1288) * (Facturas_Odoo!$K:$K=I1288), Facturas_Odoo!$O:$O, 0), 0))</f>
        <v/>
      </c>
      <c r="W1288" s="81">
        <f>IF(Q1288="Sin Factura",0,IFERROR(_xlfn.XLOOKUP(1, (Facturas_Odoo!$D:$D=A1288) * (Facturas_Odoo!$K:$K=I1288), Facturas_Odoo!$Q:$Q, 0), 0))</f>
        <v/>
      </c>
      <c r="X1288" s="79">
        <f>IF(OR(Q1288="Sin Factura",Q1288=""),"",IFERROR(INDEX(Pagos_Odoo!$B:$B, MATCH(Q1288, Pagos_Odoo!$I:$I, 0)), "Sin Pago"))</f>
        <v/>
      </c>
      <c r="Y1288" s="79">
        <f>IF(X1288="Sin Pago","",IFERROR(INDEX(Pagos_Odoo!$C:$C, MATCH(X1288, Pagos_Odoo!$B:$B, 0)), ""))</f>
        <v/>
      </c>
      <c r="Z1288" s="80">
        <f>IF(X1288="Sin Pago","",IFERROR(INDEX(Pagos_Odoo!$A:$A, MATCH(X1288, Pagos_Odoo!$B:$B, 0)), ""))</f>
        <v/>
      </c>
      <c r="AA1288" s="79">
        <f>IF(X1288="Sin Pago","",IFERROR(INDEX(Pagos_Odoo!$F:$F, MATCH(X1288, Pagos_Odoo!$B:$B, 0)), ""))</f>
        <v/>
      </c>
      <c r="AB1288" s="81">
        <f>IF(X1288="Sin Pago",0,IFERROR(INDEX(Pagos_Odoo!$E:$E, MATCH(X1288, Pagos_Odoo!$B:$B, 0)), 0))</f>
        <v/>
      </c>
      <c r="AC1288" s="79">
        <f>IF(X1288="Sin Pago","",IFERROR(INDEX(Pagos_Odoo!$G:$G, MATCH(X1288, Pagos_Odoo!$B:$B, 0)), ""))</f>
        <v/>
      </c>
      <c r="AD1288" s="82" t="n">
        <v>0</v>
      </c>
      <c r="AE1288" s="82" t="n"/>
      <c r="AF1288" s="82" t="n"/>
      <c r="AG1288" s="82">
        <f>IF(AN1288="","",AD1288+AE1288+AF1288)</f>
        <v/>
      </c>
      <c r="AH1288" s="81">
        <f>IF(AN1288="","",P1288*(1-AG1288))</f>
        <v/>
      </c>
      <c r="AI1288" s="81">
        <f>IF(AN1288="","",IF(Q1288="Sin Factura",0,IFERROR(INDEX(Facturas_Odoo!$H:$H, MATCH(Q1288, Facturas_Odoo!$B:$B, 0)), 0)*(1-AG1288)))</f>
        <v/>
      </c>
      <c r="AJ1288" s="81">
        <f>IF(AN1288="","",_xlfn.LET(idVenta, AN1288&amp;"",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88" s="81">
        <f>IF(AN1288="","",AH1288-AJ1288)</f>
        <v/>
      </c>
      <c r="AL1288" s="81">
        <f>IF(AN1288="","",IF(Q1288="Sin Factura","",AI1288-AJ1288))</f>
        <v/>
      </c>
      <c r="AM1288" s="81">
        <f>IF(AN1288="","",IF(Q1288="Sin Factura",0,P1288-IFERROR(INDEX(Facturas_Odoo!$H:$H, MATCH(Q1288, Facturas_Odoo!$B:$B, 0)), 0)))</f>
        <v/>
      </c>
      <c r="AN1288" s="79">
        <f>IF(AND(A1288="", J1288=""), "", IF(A1288&lt;&gt;"", VALUE(MID(A1288,2,LEN(A1288))), AN1287))</f>
        <v/>
      </c>
      <c r="AO1288" s="79">
        <f>IF(AN1288="","",IF(AD1288=0,"OK",_xlfn.LET(monedaPago, IF(AA1288="","USD",AA1288), limitePermitido, IFERROR(VLOOKUP(monedaPago, Configuración!$A$2:$B$3, 2, FALSE), 0.15), IF(AD1288&gt;limitePermitido, "ALERTA: EXCESO (" &amp; TEXT(limitePermitido, "0%") &amp; " máx)", "OK"))))</f>
        <v/>
      </c>
      <c r="AP1288" s="79">
        <f>IF(AN1288="","",IF(AE1288=0,"OK",_xlfn.LET(fechaPago, Z1288, fechaFactura, R1288, diasCredito, IF(E1288="Pago inmediato", 0, IFERROR(VALUE(MID(E1288, 1, SEARCH(" ", E1288)-1)),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88" s="79">
        <f>IF(AN1288="","",IF(AND(N1288&gt;0, AG1288&gt;0), IF(Configuración!$K$2="NO", "ALERTA: DESCUENTO DOBLE NO PERMITIDO", "OK"), "OK"))</f>
        <v/>
      </c>
      <c r="AR1288" s="79">
        <f>IF(AN1288="","",IF(OR(AO1288&lt;&gt;"OK", AP1288&lt;&gt;"OK", AQ1288&lt;&gt;"OK"), "⚠️ REVISAR", "OK"))</f>
        <v/>
      </c>
    </row>
    <row r="1289">
      <c r="A1289" s="79">
        <f>IF('Ordenes_Odoo'!A1289="","",'Ordenes_Odoo'!A1289)</f>
        <v/>
      </c>
      <c r="B1289" s="80">
        <f>IF('Ordenes_Odoo'!B1289="","",'Ordenes_Odoo'!B1289)</f>
        <v/>
      </c>
      <c r="C1289" s="79">
        <f>IF('Ordenes_Odoo'!C1289="","",'Ordenes_Odoo'!C1289)</f>
        <v/>
      </c>
      <c r="D1289" s="79">
        <f>IF('Ordenes_Odoo'!D1289="","",'Ordenes_Odoo'!D1289)</f>
        <v/>
      </c>
      <c r="E1289" s="79">
        <f>IF('Ordenes_Odoo'!E1289="","",'Ordenes_Odoo'!E1289)</f>
        <v/>
      </c>
      <c r="F1289" s="79">
        <f>IF('Ordenes_Odoo'!F1289="","",'Ordenes_Odoo'!F1289)</f>
        <v/>
      </c>
      <c r="G1289" s="79">
        <f>IF('Ordenes_Odoo'!G1289="","",'Ordenes_Odoo'!G1289)</f>
        <v/>
      </c>
      <c r="H1289" s="79">
        <f>IF('Ordenes_Odoo'!H1289="","",'Ordenes_Odoo'!H1289)</f>
        <v/>
      </c>
      <c r="I1289" s="79">
        <f>IF('Ordenes_Odoo'!I1289="","",'Ordenes_Odoo'!I1289)</f>
        <v/>
      </c>
      <c r="J1289" s="79">
        <f>IF('Ordenes_Odoo'!J1289="","",'Ordenes_Odoo'!J1289)</f>
        <v/>
      </c>
      <c r="K1289" s="81">
        <f>IF('Ordenes_Odoo'!K1289="","",'Ordenes_Odoo'!K1289)</f>
        <v/>
      </c>
      <c r="L1289" s="81">
        <f>IF('Ordenes_Odoo'!L1289="","",'Ordenes_Odoo'!L1289)</f>
        <v/>
      </c>
      <c r="M1289" s="79">
        <f>IF('Ordenes_Odoo'!M1289="","",'Ordenes_Odoo'!M1289)</f>
        <v/>
      </c>
      <c r="N1289" s="79">
        <f>IF('Ordenes_Odoo'!N1289="","",'Ordenes_Odoo'!N1289)</f>
        <v/>
      </c>
      <c r="O1289" s="81">
        <f>IF('Ordenes_Odoo'!O1289="","",'Ordenes_Odoo'!O1289)</f>
        <v/>
      </c>
      <c r="P1289" s="81">
        <f>IF('Ordenes_Odoo'!P1289="","",'Ordenes_Odoo'!P1289)</f>
        <v/>
      </c>
      <c r="Q1289" s="79">
        <f>IF(A1289="","",IFERROR(INDEX(Facturas_Odoo!$B:$B, MATCH(A1289, Facturas_Odoo!$D:$D, 0)), "Sin Factura"))</f>
        <v/>
      </c>
      <c r="R1289" s="80">
        <f>IF(Q1289="Sin Factura","",IFERROR(INDEX(Facturas_Odoo!$A:$A, MATCH(Q1289, Facturas_Odoo!$B:$B, 0)), ""))</f>
        <v/>
      </c>
      <c r="S1289" s="79">
        <f>IF(Q1289="Sin Factura","",IFERROR(_xlfn.XLOOKUP(1, (Facturas_Odoo!$D:$D=A1289) * (Facturas_Odoo!$K:$K=I1289), Facturas_Odoo!$L:$L, ""), ""))</f>
        <v/>
      </c>
      <c r="T1289" s="81">
        <f>IF(Q1289="Sin Factura",0,IFERROR(_xlfn.XLOOKUP(1, (Facturas_Odoo!$D:$D=A1289) * (Facturas_Odoo!$K:$K=I1289), Facturas_Odoo!$M:$M, 0), 0))</f>
        <v/>
      </c>
      <c r="U1289" s="79">
        <f>IF(Q1289="Sin Factura",0,IFERROR(_xlfn.XLOOKUP(1, (Facturas_Odoo!$D:$D=A1289) * (Facturas_Odoo!$K:$K=I1289), Facturas_Odoo!$N:$N, 0), 0))</f>
        <v/>
      </c>
      <c r="V1289" s="79">
        <f>IF(Q1289="Sin Factura",0,IFERROR(_xlfn.XLOOKUP(1, (Facturas_Odoo!$D:$D=A1289) * (Facturas_Odoo!$K:$K=I1289), Facturas_Odoo!$O:$O, 0), 0))</f>
        <v/>
      </c>
      <c r="W1289" s="81">
        <f>IF(Q1289="Sin Factura",0,IFERROR(_xlfn.XLOOKUP(1, (Facturas_Odoo!$D:$D=A1289) * (Facturas_Odoo!$K:$K=I1289), Facturas_Odoo!$Q:$Q, 0), 0))</f>
        <v/>
      </c>
      <c r="X1289" s="79">
        <f>IF(OR(Q1289="Sin Factura",Q1289=""),"",IFERROR(INDEX(Pagos_Odoo!$B:$B, MATCH(Q1289, Pagos_Odoo!$I:$I, 0)), "Sin Pago"))</f>
        <v/>
      </c>
      <c r="Y1289" s="79">
        <f>IF(X1289="Sin Pago","",IFERROR(INDEX(Pagos_Odoo!$C:$C, MATCH(X1289, Pagos_Odoo!$B:$B, 0)), ""))</f>
        <v/>
      </c>
      <c r="Z1289" s="80">
        <f>IF(X1289="Sin Pago","",IFERROR(INDEX(Pagos_Odoo!$A:$A, MATCH(X1289, Pagos_Odoo!$B:$B, 0)), ""))</f>
        <v/>
      </c>
      <c r="AA1289" s="79">
        <f>IF(X1289="Sin Pago","",IFERROR(INDEX(Pagos_Odoo!$F:$F, MATCH(X1289, Pagos_Odoo!$B:$B, 0)), ""))</f>
        <v/>
      </c>
      <c r="AB1289" s="81">
        <f>IF(X1289="Sin Pago",0,IFERROR(INDEX(Pagos_Odoo!$E:$E, MATCH(X1289, Pagos_Odoo!$B:$B, 0)), 0))</f>
        <v/>
      </c>
      <c r="AC1289" s="79">
        <f>IF(X1289="Sin Pago","",IFERROR(INDEX(Pagos_Odoo!$G:$G, MATCH(X1289, Pagos_Odoo!$B:$B, 0)), ""))</f>
        <v/>
      </c>
      <c r="AD1289" s="82" t="n">
        <v>0</v>
      </c>
      <c r="AE1289" s="82" t="n"/>
      <c r="AF1289" s="82" t="n"/>
      <c r="AG1289" s="82">
        <f>IF(AN1289="","",AD1289+AE1289+AF1289)</f>
        <v/>
      </c>
      <c r="AH1289" s="81">
        <f>IF(AN1289="","",P1289*(1-AG1289))</f>
        <v/>
      </c>
      <c r="AI1289" s="81">
        <f>IF(AN1289="","",IF(Q1289="Sin Factura",0,IFERROR(INDEX(Facturas_Odoo!$H:$H, MATCH(Q1289, Facturas_Odoo!$B:$B, 0)), 0)*(1-AG1289)))</f>
        <v/>
      </c>
      <c r="AJ1289" s="81">
        <f>IF(AN1289="","",_xlfn.LET(idVenta, AN1289&amp;"",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89" s="81">
        <f>IF(AN1289="","",AH1289-AJ1289)</f>
        <v/>
      </c>
      <c r="AL1289" s="81">
        <f>IF(AN1289="","",IF(Q1289="Sin Factura","",AI1289-AJ1289))</f>
        <v/>
      </c>
      <c r="AM1289" s="81">
        <f>IF(AN1289="","",IF(Q1289="Sin Factura",0,P1289-IFERROR(INDEX(Facturas_Odoo!$H:$H, MATCH(Q1289, Facturas_Odoo!$B:$B, 0)), 0)))</f>
        <v/>
      </c>
      <c r="AN1289" s="79">
        <f>IF(AND(A1289="", J1289=""), "", IF(A1289&lt;&gt;"", VALUE(MID(A1289,2,LEN(A1289))), AN1288))</f>
        <v/>
      </c>
      <c r="AO1289" s="79">
        <f>IF(AN1289="","",IF(AD1289=0,"OK",_xlfn.LET(monedaPago, IF(AA1289="","USD",AA1289), limitePermitido, IFERROR(VLOOKUP(monedaPago, Configuración!$A$2:$B$3, 2, FALSE), 0.15), IF(AD1289&gt;limitePermitido, "ALERTA: EXCESO (" &amp; TEXT(limitePermitido, "0%") &amp; " máx)", "OK"))))</f>
        <v/>
      </c>
      <c r="AP1289" s="79">
        <f>IF(AN1289="","",IF(AE1289=0,"OK",_xlfn.LET(fechaPago, Z1289, fechaFactura, R1289, diasCredito, IF(E1289="Pago inmediato", 0, IFERROR(VALUE(MID(E1289, 1, SEARCH(" ", E1289)-1)),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89" s="79">
        <f>IF(AN1289="","",IF(AND(N1289&gt;0, AG1289&gt;0), IF(Configuración!$K$2="NO", "ALERTA: DESCUENTO DOBLE NO PERMITIDO", "OK"), "OK"))</f>
        <v/>
      </c>
      <c r="AR1289" s="79">
        <f>IF(AN1289="","",IF(OR(AO1289&lt;&gt;"OK", AP1289&lt;&gt;"OK", AQ1289&lt;&gt;"OK"), "⚠️ REVISAR", "OK"))</f>
        <v/>
      </c>
    </row>
    <row r="1290">
      <c r="A1290" s="79">
        <f>IF('Ordenes_Odoo'!A1290="","",'Ordenes_Odoo'!A1290)</f>
        <v/>
      </c>
      <c r="B1290" s="80">
        <f>IF('Ordenes_Odoo'!B1290="","",'Ordenes_Odoo'!B1290)</f>
        <v/>
      </c>
      <c r="C1290" s="79">
        <f>IF('Ordenes_Odoo'!C1290="","",'Ordenes_Odoo'!C1290)</f>
        <v/>
      </c>
      <c r="D1290" s="79">
        <f>IF('Ordenes_Odoo'!D1290="","",'Ordenes_Odoo'!D1290)</f>
        <v/>
      </c>
      <c r="E1290" s="79">
        <f>IF('Ordenes_Odoo'!E1290="","",'Ordenes_Odoo'!E1290)</f>
        <v/>
      </c>
      <c r="F1290" s="79">
        <f>IF('Ordenes_Odoo'!F1290="","",'Ordenes_Odoo'!F1290)</f>
        <v/>
      </c>
      <c r="G1290" s="79">
        <f>IF('Ordenes_Odoo'!G1290="","",'Ordenes_Odoo'!G1290)</f>
        <v/>
      </c>
      <c r="H1290" s="79">
        <f>IF('Ordenes_Odoo'!H1290="","",'Ordenes_Odoo'!H1290)</f>
        <v/>
      </c>
      <c r="I1290" s="79">
        <f>IF('Ordenes_Odoo'!I1290="","",'Ordenes_Odoo'!I1290)</f>
        <v/>
      </c>
      <c r="J1290" s="79">
        <f>IF('Ordenes_Odoo'!J1290="","",'Ordenes_Odoo'!J1290)</f>
        <v/>
      </c>
      <c r="K1290" s="81">
        <f>IF('Ordenes_Odoo'!K1290="","",'Ordenes_Odoo'!K1290)</f>
        <v/>
      </c>
      <c r="L1290" s="81">
        <f>IF('Ordenes_Odoo'!L1290="","",'Ordenes_Odoo'!L1290)</f>
        <v/>
      </c>
      <c r="M1290" s="79">
        <f>IF('Ordenes_Odoo'!M1290="","",'Ordenes_Odoo'!M1290)</f>
        <v/>
      </c>
      <c r="N1290" s="79">
        <f>IF('Ordenes_Odoo'!N1290="","",'Ordenes_Odoo'!N1290)</f>
        <v/>
      </c>
      <c r="O1290" s="81">
        <f>IF('Ordenes_Odoo'!O1290="","",'Ordenes_Odoo'!O1290)</f>
        <v/>
      </c>
      <c r="P1290" s="81">
        <f>IF('Ordenes_Odoo'!P1290="","",'Ordenes_Odoo'!P1290)</f>
        <v/>
      </c>
      <c r="Q1290" s="79">
        <f>IF(A1290="","",IFERROR(INDEX(Facturas_Odoo!$B:$B, MATCH(A1290, Facturas_Odoo!$D:$D, 0)), "Sin Factura"))</f>
        <v/>
      </c>
      <c r="R1290" s="80">
        <f>IF(Q1290="Sin Factura","",IFERROR(INDEX(Facturas_Odoo!$A:$A, MATCH(Q1290, Facturas_Odoo!$B:$B, 0)), ""))</f>
        <v/>
      </c>
      <c r="S1290" s="79">
        <f>IF(Q1290="Sin Factura","",IFERROR(_xlfn.XLOOKUP(1, (Facturas_Odoo!$D:$D=A1290) * (Facturas_Odoo!$K:$K=I1290), Facturas_Odoo!$L:$L, ""), ""))</f>
        <v/>
      </c>
      <c r="T1290" s="81">
        <f>IF(Q1290="Sin Factura",0,IFERROR(_xlfn.XLOOKUP(1, (Facturas_Odoo!$D:$D=A1290) * (Facturas_Odoo!$K:$K=I1290), Facturas_Odoo!$M:$M, 0), 0))</f>
        <v/>
      </c>
      <c r="U1290" s="79">
        <f>IF(Q1290="Sin Factura",0,IFERROR(_xlfn.XLOOKUP(1, (Facturas_Odoo!$D:$D=A1290) * (Facturas_Odoo!$K:$K=I1290), Facturas_Odoo!$N:$N, 0), 0))</f>
        <v/>
      </c>
      <c r="V1290" s="79">
        <f>IF(Q1290="Sin Factura",0,IFERROR(_xlfn.XLOOKUP(1, (Facturas_Odoo!$D:$D=A1290) * (Facturas_Odoo!$K:$K=I1290), Facturas_Odoo!$O:$O, 0), 0))</f>
        <v/>
      </c>
      <c r="W1290" s="81">
        <f>IF(Q1290="Sin Factura",0,IFERROR(_xlfn.XLOOKUP(1, (Facturas_Odoo!$D:$D=A1290) * (Facturas_Odoo!$K:$K=I1290), Facturas_Odoo!$Q:$Q, 0), 0))</f>
        <v/>
      </c>
      <c r="X1290" s="79">
        <f>IF(OR(Q1290="Sin Factura",Q1290=""),"",IFERROR(INDEX(Pagos_Odoo!$B:$B, MATCH(Q1290, Pagos_Odoo!$I:$I, 0)), "Sin Pago"))</f>
        <v/>
      </c>
      <c r="Y1290" s="79">
        <f>IF(X1290="Sin Pago","",IFERROR(INDEX(Pagos_Odoo!$C:$C, MATCH(X1290, Pagos_Odoo!$B:$B, 0)), ""))</f>
        <v/>
      </c>
      <c r="Z1290" s="80">
        <f>IF(X1290="Sin Pago","",IFERROR(INDEX(Pagos_Odoo!$A:$A, MATCH(X1290, Pagos_Odoo!$B:$B, 0)), ""))</f>
        <v/>
      </c>
      <c r="AA1290" s="79">
        <f>IF(X1290="Sin Pago","",IFERROR(INDEX(Pagos_Odoo!$F:$F, MATCH(X1290, Pagos_Odoo!$B:$B, 0)), ""))</f>
        <v/>
      </c>
      <c r="AB1290" s="81">
        <f>IF(X1290="Sin Pago",0,IFERROR(INDEX(Pagos_Odoo!$E:$E, MATCH(X1290, Pagos_Odoo!$B:$B, 0)), 0))</f>
        <v/>
      </c>
      <c r="AC1290" s="79">
        <f>IF(X1290="Sin Pago","",IFERROR(INDEX(Pagos_Odoo!$G:$G, MATCH(X1290, Pagos_Odoo!$B:$B, 0)), ""))</f>
        <v/>
      </c>
      <c r="AD1290" s="82" t="n">
        <v>0</v>
      </c>
      <c r="AE1290" s="82" t="n"/>
      <c r="AF1290" s="82" t="n"/>
      <c r="AG1290" s="82">
        <f>IF(AN1290="","",AD1290+AE1290+AF1290)</f>
        <v/>
      </c>
      <c r="AH1290" s="81">
        <f>IF(AN1290="","",P1290*(1-AG1290))</f>
        <v/>
      </c>
      <c r="AI1290" s="81">
        <f>IF(AN1290="","",IF(Q1290="Sin Factura",0,IFERROR(INDEX(Facturas_Odoo!$H:$H, MATCH(Q1290, Facturas_Odoo!$B:$B, 0)), 0)*(1-AG1290)))</f>
        <v/>
      </c>
      <c r="AJ1290" s="81">
        <f>IF(AN1290="","",_xlfn.LET(idVenta, AN1290&amp;"",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90" s="81">
        <f>IF(AN1290="","",AH1290-AJ1290)</f>
        <v/>
      </c>
      <c r="AL1290" s="81">
        <f>IF(AN1290="","",IF(Q1290="Sin Factura","",AI1290-AJ1290))</f>
        <v/>
      </c>
      <c r="AM1290" s="81">
        <f>IF(AN1290="","",IF(Q1290="Sin Factura",0,P1290-IFERROR(INDEX(Facturas_Odoo!$H:$H, MATCH(Q1290, Facturas_Odoo!$B:$B, 0)), 0)))</f>
        <v/>
      </c>
      <c r="AN1290" s="79">
        <f>IF(AND(A1290="", J1290=""), "", IF(A1290&lt;&gt;"", VALUE(MID(A1290,2,LEN(A1290))), AN1289))</f>
        <v/>
      </c>
      <c r="AO1290" s="79">
        <f>IF(AN1290="","",IF(AD1290=0,"OK",_xlfn.LET(monedaPago, IF(AA1290="","USD",AA1290), limitePermitido, IFERROR(VLOOKUP(monedaPago, Configuración!$A$2:$B$3, 2, FALSE), 0.15), IF(AD1290&gt;limitePermitido, "ALERTA: EXCESO (" &amp; TEXT(limitePermitido, "0%") &amp; " máx)", "OK"))))</f>
        <v/>
      </c>
      <c r="AP1290" s="79">
        <f>IF(AN1290="","",IF(AE1290=0,"OK",_xlfn.LET(fechaPago, Z1290, fechaFactura, R1290, diasCredito, IF(E1290="Pago inmediato", 0, IFERROR(VALUE(MID(E1290, 1, SEARCH(" ", E1290)-1)),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90" s="79">
        <f>IF(AN1290="","",IF(AND(N1290&gt;0, AG1290&gt;0), IF(Configuración!$K$2="NO", "ALERTA: DESCUENTO DOBLE NO PERMITIDO", "OK"), "OK"))</f>
        <v/>
      </c>
      <c r="AR1290" s="79">
        <f>IF(AN1290="","",IF(OR(AO1290&lt;&gt;"OK", AP1290&lt;&gt;"OK", AQ1290&lt;&gt;"OK"), "⚠️ REVISAR", "OK"))</f>
        <v/>
      </c>
    </row>
    <row r="1291">
      <c r="A1291" s="79">
        <f>IF('Ordenes_Odoo'!A1291="","",'Ordenes_Odoo'!A1291)</f>
        <v/>
      </c>
      <c r="B1291" s="80">
        <f>IF('Ordenes_Odoo'!B1291="","",'Ordenes_Odoo'!B1291)</f>
        <v/>
      </c>
      <c r="C1291" s="79">
        <f>IF('Ordenes_Odoo'!C1291="","",'Ordenes_Odoo'!C1291)</f>
        <v/>
      </c>
      <c r="D1291" s="79">
        <f>IF('Ordenes_Odoo'!D1291="","",'Ordenes_Odoo'!D1291)</f>
        <v/>
      </c>
      <c r="E1291" s="79">
        <f>IF('Ordenes_Odoo'!E1291="","",'Ordenes_Odoo'!E1291)</f>
        <v/>
      </c>
      <c r="F1291" s="79">
        <f>IF('Ordenes_Odoo'!F1291="","",'Ordenes_Odoo'!F1291)</f>
        <v/>
      </c>
      <c r="G1291" s="79">
        <f>IF('Ordenes_Odoo'!G1291="","",'Ordenes_Odoo'!G1291)</f>
        <v/>
      </c>
      <c r="H1291" s="79">
        <f>IF('Ordenes_Odoo'!H1291="","",'Ordenes_Odoo'!H1291)</f>
        <v/>
      </c>
      <c r="I1291" s="79">
        <f>IF('Ordenes_Odoo'!I1291="","",'Ordenes_Odoo'!I1291)</f>
        <v/>
      </c>
      <c r="J1291" s="79">
        <f>IF('Ordenes_Odoo'!J1291="","",'Ordenes_Odoo'!J1291)</f>
        <v/>
      </c>
      <c r="K1291" s="81">
        <f>IF('Ordenes_Odoo'!K1291="","",'Ordenes_Odoo'!K1291)</f>
        <v/>
      </c>
      <c r="L1291" s="81">
        <f>IF('Ordenes_Odoo'!L1291="","",'Ordenes_Odoo'!L1291)</f>
        <v/>
      </c>
      <c r="M1291" s="79">
        <f>IF('Ordenes_Odoo'!M1291="","",'Ordenes_Odoo'!M1291)</f>
        <v/>
      </c>
      <c r="N1291" s="79">
        <f>IF('Ordenes_Odoo'!N1291="","",'Ordenes_Odoo'!N1291)</f>
        <v/>
      </c>
      <c r="O1291" s="81">
        <f>IF('Ordenes_Odoo'!O1291="","",'Ordenes_Odoo'!O1291)</f>
        <v/>
      </c>
      <c r="P1291" s="81">
        <f>IF('Ordenes_Odoo'!P1291="","",'Ordenes_Odoo'!P1291)</f>
        <v/>
      </c>
      <c r="Q1291" s="79">
        <f>IF(A1291="","",IFERROR(INDEX(Facturas_Odoo!$B:$B, MATCH(A1291, Facturas_Odoo!$D:$D, 0)), "Sin Factura"))</f>
        <v/>
      </c>
      <c r="R1291" s="80">
        <f>IF(Q1291="Sin Factura","",IFERROR(INDEX(Facturas_Odoo!$A:$A, MATCH(Q1291, Facturas_Odoo!$B:$B, 0)), ""))</f>
        <v/>
      </c>
      <c r="S1291" s="79">
        <f>IF(Q1291="Sin Factura","",IFERROR(_xlfn.XLOOKUP(1, (Facturas_Odoo!$D:$D=A1291) * (Facturas_Odoo!$K:$K=I1291), Facturas_Odoo!$L:$L, ""), ""))</f>
        <v/>
      </c>
      <c r="T1291" s="81">
        <f>IF(Q1291="Sin Factura",0,IFERROR(_xlfn.XLOOKUP(1, (Facturas_Odoo!$D:$D=A1291) * (Facturas_Odoo!$K:$K=I1291), Facturas_Odoo!$M:$M, 0), 0))</f>
        <v/>
      </c>
      <c r="U1291" s="79">
        <f>IF(Q1291="Sin Factura",0,IFERROR(_xlfn.XLOOKUP(1, (Facturas_Odoo!$D:$D=A1291) * (Facturas_Odoo!$K:$K=I1291), Facturas_Odoo!$N:$N, 0), 0))</f>
        <v/>
      </c>
      <c r="V1291" s="79">
        <f>IF(Q1291="Sin Factura",0,IFERROR(_xlfn.XLOOKUP(1, (Facturas_Odoo!$D:$D=A1291) * (Facturas_Odoo!$K:$K=I1291), Facturas_Odoo!$O:$O, 0), 0))</f>
        <v/>
      </c>
      <c r="W1291" s="81">
        <f>IF(Q1291="Sin Factura",0,IFERROR(_xlfn.XLOOKUP(1, (Facturas_Odoo!$D:$D=A1291) * (Facturas_Odoo!$K:$K=I1291), Facturas_Odoo!$Q:$Q, 0), 0))</f>
        <v/>
      </c>
      <c r="X1291" s="79">
        <f>IF(OR(Q1291="Sin Factura",Q1291=""),"",IFERROR(INDEX(Pagos_Odoo!$B:$B, MATCH(Q1291, Pagos_Odoo!$I:$I, 0)), "Sin Pago"))</f>
        <v/>
      </c>
      <c r="Y1291" s="79">
        <f>IF(X1291="Sin Pago","",IFERROR(INDEX(Pagos_Odoo!$C:$C, MATCH(X1291, Pagos_Odoo!$B:$B, 0)), ""))</f>
        <v/>
      </c>
      <c r="Z1291" s="80">
        <f>IF(X1291="Sin Pago","",IFERROR(INDEX(Pagos_Odoo!$A:$A, MATCH(X1291, Pagos_Odoo!$B:$B, 0)), ""))</f>
        <v/>
      </c>
      <c r="AA1291" s="79">
        <f>IF(X1291="Sin Pago","",IFERROR(INDEX(Pagos_Odoo!$F:$F, MATCH(X1291, Pagos_Odoo!$B:$B, 0)), ""))</f>
        <v/>
      </c>
      <c r="AB1291" s="81">
        <f>IF(X1291="Sin Pago",0,IFERROR(INDEX(Pagos_Odoo!$E:$E, MATCH(X1291, Pagos_Odoo!$B:$B, 0)), 0))</f>
        <v/>
      </c>
      <c r="AC1291" s="79">
        <f>IF(X1291="Sin Pago","",IFERROR(INDEX(Pagos_Odoo!$G:$G, MATCH(X1291, Pagos_Odoo!$B:$B, 0)), ""))</f>
        <v/>
      </c>
      <c r="AD1291" s="82" t="n">
        <v>0</v>
      </c>
      <c r="AE1291" s="82" t="n"/>
      <c r="AF1291" s="82" t="n"/>
      <c r="AG1291" s="82">
        <f>IF(AN1291="","",AD1291+AE1291+AF1291)</f>
        <v/>
      </c>
      <c r="AH1291" s="81">
        <f>IF(AN1291="","",P1291*(1-AG1291))</f>
        <v/>
      </c>
      <c r="AI1291" s="81">
        <f>IF(AN1291="","",IF(Q1291="Sin Factura",0,IFERROR(INDEX(Facturas_Odoo!$H:$H, MATCH(Q1291, Facturas_Odoo!$B:$B, 0)), 0)*(1-AG1291)))</f>
        <v/>
      </c>
      <c r="AJ1291" s="81">
        <f>IF(AN1291="","",_xlfn.LET(idVenta, AN1291&amp;"",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91" s="81">
        <f>IF(AN1291="","",AH1291-AJ1291)</f>
        <v/>
      </c>
      <c r="AL1291" s="81">
        <f>IF(AN1291="","",IF(Q1291="Sin Factura","",AI1291-AJ1291))</f>
        <v/>
      </c>
      <c r="AM1291" s="81">
        <f>IF(AN1291="","",IF(Q1291="Sin Factura",0,P1291-IFERROR(INDEX(Facturas_Odoo!$H:$H, MATCH(Q1291, Facturas_Odoo!$B:$B, 0)), 0)))</f>
        <v/>
      </c>
      <c r="AN1291" s="79">
        <f>IF(AND(A1291="", J1291=""), "", IF(A1291&lt;&gt;"", VALUE(MID(A1291,2,LEN(A1291))), AN1290))</f>
        <v/>
      </c>
      <c r="AO1291" s="79">
        <f>IF(AN1291="","",IF(AD1291=0,"OK",_xlfn.LET(monedaPago, IF(AA1291="","USD",AA1291), limitePermitido, IFERROR(VLOOKUP(monedaPago, Configuración!$A$2:$B$3, 2, FALSE), 0.15), IF(AD1291&gt;limitePermitido, "ALERTA: EXCESO (" &amp; TEXT(limitePermitido, "0%") &amp; " máx)", "OK"))))</f>
        <v/>
      </c>
      <c r="AP1291" s="79">
        <f>IF(AN1291="","",IF(AE1291=0,"OK",_xlfn.LET(fechaPago, Z1291, fechaFactura, R1291, diasCredito, IF(E1291="Pago inmediato", 0, IFERROR(VALUE(MID(E1291, 1, SEARCH(" ", E1291)-1)),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91" s="79">
        <f>IF(AN1291="","",IF(AND(N1291&gt;0, AG1291&gt;0), IF(Configuración!$K$2="NO", "ALERTA: DESCUENTO DOBLE NO PERMITIDO", "OK"), "OK"))</f>
        <v/>
      </c>
      <c r="AR1291" s="79">
        <f>IF(AN1291="","",IF(OR(AO1291&lt;&gt;"OK", AP1291&lt;&gt;"OK", AQ1291&lt;&gt;"OK"), "⚠️ REVISAR", "OK"))</f>
        <v/>
      </c>
    </row>
    <row r="1292">
      <c r="A1292" s="79">
        <f>IF('Ordenes_Odoo'!A1292="","",'Ordenes_Odoo'!A1292)</f>
        <v/>
      </c>
      <c r="B1292" s="80">
        <f>IF('Ordenes_Odoo'!B1292="","",'Ordenes_Odoo'!B1292)</f>
        <v/>
      </c>
      <c r="C1292" s="79">
        <f>IF('Ordenes_Odoo'!C1292="","",'Ordenes_Odoo'!C1292)</f>
        <v/>
      </c>
      <c r="D1292" s="79">
        <f>IF('Ordenes_Odoo'!D1292="","",'Ordenes_Odoo'!D1292)</f>
        <v/>
      </c>
      <c r="E1292" s="79">
        <f>IF('Ordenes_Odoo'!E1292="","",'Ordenes_Odoo'!E1292)</f>
        <v/>
      </c>
      <c r="F1292" s="79">
        <f>IF('Ordenes_Odoo'!F1292="","",'Ordenes_Odoo'!F1292)</f>
        <v/>
      </c>
      <c r="G1292" s="79">
        <f>IF('Ordenes_Odoo'!G1292="","",'Ordenes_Odoo'!G1292)</f>
        <v/>
      </c>
      <c r="H1292" s="79">
        <f>IF('Ordenes_Odoo'!H1292="","",'Ordenes_Odoo'!H1292)</f>
        <v/>
      </c>
      <c r="I1292" s="79">
        <f>IF('Ordenes_Odoo'!I1292="","",'Ordenes_Odoo'!I1292)</f>
        <v/>
      </c>
      <c r="J1292" s="79">
        <f>IF('Ordenes_Odoo'!J1292="","",'Ordenes_Odoo'!J1292)</f>
        <v/>
      </c>
      <c r="K1292" s="81">
        <f>IF('Ordenes_Odoo'!K1292="","",'Ordenes_Odoo'!K1292)</f>
        <v/>
      </c>
      <c r="L1292" s="81">
        <f>IF('Ordenes_Odoo'!L1292="","",'Ordenes_Odoo'!L1292)</f>
        <v/>
      </c>
      <c r="M1292" s="79">
        <f>IF('Ordenes_Odoo'!M1292="","",'Ordenes_Odoo'!M1292)</f>
        <v/>
      </c>
      <c r="N1292" s="79">
        <f>IF('Ordenes_Odoo'!N1292="","",'Ordenes_Odoo'!N1292)</f>
        <v/>
      </c>
      <c r="O1292" s="81">
        <f>IF('Ordenes_Odoo'!O1292="","",'Ordenes_Odoo'!O1292)</f>
        <v/>
      </c>
      <c r="P1292" s="81">
        <f>IF('Ordenes_Odoo'!P1292="","",'Ordenes_Odoo'!P1292)</f>
        <v/>
      </c>
      <c r="Q1292" s="79">
        <f>IF(A1292="","",IFERROR(INDEX(Facturas_Odoo!$B:$B, MATCH(A1292, Facturas_Odoo!$D:$D, 0)), "Sin Factura"))</f>
        <v/>
      </c>
      <c r="R1292" s="80">
        <f>IF(Q1292="Sin Factura","",IFERROR(INDEX(Facturas_Odoo!$A:$A, MATCH(Q1292, Facturas_Odoo!$B:$B, 0)), ""))</f>
        <v/>
      </c>
      <c r="S1292" s="79">
        <f>IF(Q1292="Sin Factura","",IFERROR(_xlfn.XLOOKUP(1, (Facturas_Odoo!$D:$D=A1292) * (Facturas_Odoo!$K:$K=I1292), Facturas_Odoo!$L:$L, ""), ""))</f>
        <v/>
      </c>
      <c r="T1292" s="81">
        <f>IF(Q1292="Sin Factura",0,IFERROR(_xlfn.XLOOKUP(1, (Facturas_Odoo!$D:$D=A1292) * (Facturas_Odoo!$K:$K=I1292), Facturas_Odoo!$M:$M, 0), 0))</f>
        <v/>
      </c>
      <c r="U1292" s="79">
        <f>IF(Q1292="Sin Factura",0,IFERROR(_xlfn.XLOOKUP(1, (Facturas_Odoo!$D:$D=A1292) * (Facturas_Odoo!$K:$K=I1292), Facturas_Odoo!$N:$N, 0), 0))</f>
        <v/>
      </c>
      <c r="V1292" s="79">
        <f>IF(Q1292="Sin Factura",0,IFERROR(_xlfn.XLOOKUP(1, (Facturas_Odoo!$D:$D=A1292) * (Facturas_Odoo!$K:$K=I1292), Facturas_Odoo!$O:$O, 0), 0))</f>
        <v/>
      </c>
      <c r="W1292" s="81">
        <f>IF(Q1292="Sin Factura",0,IFERROR(_xlfn.XLOOKUP(1, (Facturas_Odoo!$D:$D=A1292) * (Facturas_Odoo!$K:$K=I1292), Facturas_Odoo!$Q:$Q, 0), 0))</f>
        <v/>
      </c>
      <c r="X1292" s="79">
        <f>IF(OR(Q1292="Sin Factura",Q1292=""),"",IFERROR(INDEX(Pagos_Odoo!$B:$B, MATCH(Q1292, Pagos_Odoo!$I:$I, 0)), "Sin Pago"))</f>
        <v/>
      </c>
      <c r="Y1292" s="79">
        <f>IF(X1292="Sin Pago","",IFERROR(INDEX(Pagos_Odoo!$C:$C, MATCH(X1292, Pagos_Odoo!$B:$B, 0)), ""))</f>
        <v/>
      </c>
      <c r="Z1292" s="80">
        <f>IF(X1292="Sin Pago","",IFERROR(INDEX(Pagos_Odoo!$A:$A, MATCH(X1292, Pagos_Odoo!$B:$B, 0)), ""))</f>
        <v/>
      </c>
      <c r="AA1292" s="79">
        <f>IF(X1292="Sin Pago","",IFERROR(INDEX(Pagos_Odoo!$F:$F, MATCH(X1292, Pagos_Odoo!$B:$B, 0)), ""))</f>
        <v/>
      </c>
      <c r="AB1292" s="81">
        <f>IF(X1292="Sin Pago",0,IFERROR(INDEX(Pagos_Odoo!$E:$E, MATCH(X1292, Pagos_Odoo!$B:$B, 0)), 0))</f>
        <v/>
      </c>
      <c r="AC1292" s="79">
        <f>IF(X1292="Sin Pago","",IFERROR(INDEX(Pagos_Odoo!$G:$G, MATCH(X1292, Pagos_Odoo!$B:$B, 0)), ""))</f>
        <v/>
      </c>
      <c r="AD1292" s="82" t="n">
        <v>0</v>
      </c>
      <c r="AE1292" s="82" t="n"/>
      <c r="AF1292" s="82" t="n"/>
      <c r="AG1292" s="82">
        <f>IF(AN1292="","",AD1292+AE1292+AF1292)</f>
        <v/>
      </c>
      <c r="AH1292" s="81">
        <f>IF(AN1292="","",P1292*(1-AG1292))</f>
        <v/>
      </c>
      <c r="AI1292" s="81">
        <f>IF(AN1292="","",IF(Q1292="Sin Factura",0,IFERROR(INDEX(Facturas_Odoo!$H:$H, MATCH(Q1292, Facturas_Odoo!$B:$B, 0)), 0)*(1-AG1292)))</f>
        <v/>
      </c>
      <c r="AJ1292" s="81">
        <f>IF(AN1292="","",_xlfn.LET(idVenta, AN1292&amp;"",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92" s="81">
        <f>IF(AN1292="","",AH1292-AJ1292)</f>
        <v/>
      </c>
      <c r="AL1292" s="81">
        <f>IF(AN1292="","",IF(Q1292="Sin Factura","",AI1292-AJ1292))</f>
        <v/>
      </c>
      <c r="AM1292" s="81">
        <f>IF(AN1292="","",IF(Q1292="Sin Factura",0,P1292-IFERROR(INDEX(Facturas_Odoo!$H:$H, MATCH(Q1292, Facturas_Odoo!$B:$B, 0)), 0)))</f>
        <v/>
      </c>
      <c r="AN1292" s="79">
        <f>IF(AND(A1292="", J1292=""), "", IF(A1292&lt;&gt;"", VALUE(MID(A1292,2,LEN(A1292))), AN1291))</f>
        <v/>
      </c>
      <c r="AO1292" s="79">
        <f>IF(AN1292="","",IF(AD1292=0,"OK",_xlfn.LET(monedaPago, IF(AA1292="","USD",AA1292), limitePermitido, IFERROR(VLOOKUP(monedaPago, Configuración!$A$2:$B$3, 2, FALSE), 0.15), IF(AD1292&gt;limitePermitido, "ALERTA: EXCESO (" &amp; TEXT(limitePermitido, "0%") &amp; " máx)", "OK"))))</f>
        <v/>
      </c>
      <c r="AP1292" s="79">
        <f>IF(AN1292="","",IF(AE1292=0,"OK",_xlfn.LET(fechaPago, Z1292, fechaFactura, R1292, diasCredito, IF(E1292="Pago inmediato", 0, IFERROR(VALUE(MID(E1292, 1, SEARCH(" ", E1292)-1)),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92" s="79">
        <f>IF(AN1292="","",IF(AND(N1292&gt;0, AG1292&gt;0), IF(Configuración!$K$2="NO", "ALERTA: DESCUENTO DOBLE NO PERMITIDO", "OK"), "OK"))</f>
        <v/>
      </c>
      <c r="AR1292" s="79">
        <f>IF(AN1292="","",IF(OR(AO1292&lt;&gt;"OK", AP1292&lt;&gt;"OK", AQ1292&lt;&gt;"OK"), "⚠️ REVISAR", "OK"))</f>
        <v/>
      </c>
    </row>
    <row r="1293">
      <c r="A1293" s="79">
        <f>IF('Ordenes_Odoo'!A1293="","",'Ordenes_Odoo'!A1293)</f>
        <v/>
      </c>
      <c r="B1293" s="80">
        <f>IF('Ordenes_Odoo'!B1293="","",'Ordenes_Odoo'!B1293)</f>
        <v/>
      </c>
      <c r="C1293" s="79">
        <f>IF('Ordenes_Odoo'!C1293="","",'Ordenes_Odoo'!C1293)</f>
        <v/>
      </c>
      <c r="D1293" s="79">
        <f>IF('Ordenes_Odoo'!D1293="","",'Ordenes_Odoo'!D1293)</f>
        <v/>
      </c>
      <c r="E1293" s="79">
        <f>IF('Ordenes_Odoo'!E1293="","",'Ordenes_Odoo'!E1293)</f>
        <v/>
      </c>
      <c r="F1293" s="79">
        <f>IF('Ordenes_Odoo'!F1293="","",'Ordenes_Odoo'!F1293)</f>
        <v/>
      </c>
      <c r="G1293" s="79">
        <f>IF('Ordenes_Odoo'!G1293="","",'Ordenes_Odoo'!G1293)</f>
        <v/>
      </c>
      <c r="H1293" s="79">
        <f>IF('Ordenes_Odoo'!H1293="","",'Ordenes_Odoo'!H1293)</f>
        <v/>
      </c>
      <c r="I1293" s="79">
        <f>IF('Ordenes_Odoo'!I1293="","",'Ordenes_Odoo'!I1293)</f>
        <v/>
      </c>
      <c r="J1293" s="79">
        <f>IF('Ordenes_Odoo'!J1293="","",'Ordenes_Odoo'!J1293)</f>
        <v/>
      </c>
      <c r="K1293" s="81">
        <f>IF('Ordenes_Odoo'!K1293="","",'Ordenes_Odoo'!K1293)</f>
        <v/>
      </c>
      <c r="L1293" s="81">
        <f>IF('Ordenes_Odoo'!L1293="","",'Ordenes_Odoo'!L1293)</f>
        <v/>
      </c>
      <c r="M1293" s="79">
        <f>IF('Ordenes_Odoo'!M1293="","",'Ordenes_Odoo'!M1293)</f>
        <v/>
      </c>
      <c r="N1293" s="79">
        <f>IF('Ordenes_Odoo'!N1293="","",'Ordenes_Odoo'!N1293)</f>
        <v/>
      </c>
      <c r="O1293" s="81">
        <f>IF('Ordenes_Odoo'!O1293="","",'Ordenes_Odoo'!O1293)</f>
        <v/>
      </c>
      <c r="P1293" s="81">
        <f>IF('Ordenes_Odoo'!P1293="","",'Ordenes_Odoo'!P1293)</f>
        <v/>
      </c>
      <c r="Q1293" s="79">
        <f>IF(A1293="","",IFERROR(INDEX(Facturas_Odoo!$B:$B, MATCH(A1293, Facturas_Odoo!$D:$D, 0)), "Sin Factura"))</f>
        <v/>
      </c>
      <c r="R1293" s="80">
        <f>IF(Q1293="Sin Factura","",IFERROR(INDEX(Facturas_Odoo!$A:$A, MATCH(Q1293, Facturas_Odoo!$B:$B, 0)), ""))</f>
        <v/>
      </c>
      <c r="S1293" s="79">
        <f>IF(Q1293="Sin Factura","",IFERROR(_xlfn.XLOOKUP(1, (Facturas_Odoo!$D:$D=A1293) * (Facturas_Odoo!$K:$K=I1293), Facturas_Odoo!$L:$L, ""), ""))</f>
        <v/>
      </c>
      <c r="T1293" s="81">
        <f>IF(Q1293="Sin Factura",0,IFERROR(_xlfn.XLOOKUP(1, (Facturas_Odoo!$D:$D=A1293) * (Facturas_Odoo!$K:$K=I1293), Facturas_Odoo!$M:$M, 0), 0))</f>
        <v/>
      </c>
      <c r="U1293" s="79">
        <f>IF(Q1293="Sin Factura",0,IFERROR(_xlfn.XLOOKUP(1, (Facturas_Odoo!$D:$D=A1293) * (Facturas_Odoo!$K:$K=I1293), Facturas_Odoo!$N:$N, 0), 0))</f>
        <v/>
      </c>
      <c r="V1293" s="79">
        <f>IF(Q1293="Sin Factura",0,IFERROR(_xlfn.XLOOKUP(1, (Facturas_Odoo!$D:$D=A1293) * (Facturas_Odoo!$K:$K=I1293), Facturas_Odoo!$O:$O, 0), 0))</f>
        <v/>
      </c>
      <c r="W1293" s="81">
        <f>IF(Q1293="Sin Factura",0,IFERROR(_xlfn.XLOOKUP(1, (Facturas_Odoo!$D:$D=A1293) * (Facturas_Odoo!$K:$K=I1293), Facturas_Odoo!$Q:$Q, 0), 0))</f>
        <v/>
      </c>
      <c r="X1293" s="79">
        <f>IF(OR(Q1293="Sin Factura",Q1293=""),"",IFERROR(INDEX(Pagos_Odoo!$B:$B, MATCH(Q1293, Pagos_Odoo!$I:$I, 0)), "Sin Pago"))</f>
        <v/>
      </c>
      <c r="Y1293" s="79">
        <f>IF(X1293="Sin Pago","",IFERROR(INDEX(Pagos_Odoo!$C:$C, MATCH(X1293, Pagos_Odoo!$B:$B, 0)), ""))</f>
        <v/>
      </c>
      <c r="Z1293" s="80">
        <f>IF(X1293="Sin Pago","",IFERROR(INDEX(Pagos_Odoo!$A:$A, MATCH(X1293, Pagos_Odoo!$B:$B, 0)), ""))</f>
        <v/>
      </c>
      <c r="AA1293" s="79">
        <f>IF(X1293="Sin Pago","",IFERROR(INDEX(Pagos_Odoo!$F:$F, MATCH(X1293, Pagos_Odoo!$B:$B, 0)), ""))</f>
        <v/>
      </c>
      <c r="AB1293" s="81">
        <f>IF(X1293="Sin Pago",0,IFERROR(INDEX(Pagos_Odoo!$E:$E, MATCH(X1293, Pagos_Odoo!$B:$B, 0)), 0))</f>
        <v/>
      </c>
      <c r="AC1293" s="79">
        <f>IF(X1293="Sin Pago","",IFERROR(INDEX(Pagos_Odoo!$G:$G, MATCH(X1293, Pagos_Odoo!$B:$B, 0)), ""))</f>
        <v/>
      </c>
      <c r="AD1293" s="82" t="n">
        <v>0</v>
      </c>
      <c r="AE1293" s="82" t="n"/>
      <c r="AF1293" s="82" t="n"/>
      <c r="AG1293" s="82">
        <f>IF(AN1293="","",AD1293+AE1293+AF1293)</f>
        <v/>
      </c>
      <c r="AH1293" s="81">
        <f>IF(AN1293="","",P1293*(1-AG1293))</f>
        <v/>
      </c>
      <c r="AI1293" s="81">
        <f>IF(AN1293="","",IF(Q1293="Sin Factura",0,IFERROR(INDEX(Facturas_Odoo!$H:$H, MATCH(Q1293, Facturas_Odoo!$B:$B, 0)), 0)*(1-AG1293)))</f>
        <v/>
      </c>
      <c r="AJ1293" s="81">
        <f>IF(AN1293="","",_xlfn.LET(idVenta, AN1293&amp;"",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93" s="81">
        <f>IF(AN1293="","",AH1293-AJ1293)</f>
        <v/>
      </c>
      <c r="AL1293" s="81">
        <f>IF(AN1293="","",IF(Q1293="Sin Factura","",AI1293-AJ1293))</f>
        <v/>
      </c>
      <c r="AM1293" s="81">
        <f>IF(AN1293="","",IF(Q1293="Sin Factura",0,P1293-IFERROR(INDEX(Facturas_Odoo!$H:$H, MATCH(Q1293, Facturas_Odoo!$B:$B, 0)), 0)))</f>
        <v/>
      </c>
      <c r="AN1293" s="79">
        <f>IF(AND(A1293="", J1293=""), "", IF(A1293&lt;&gt;"", VALUE(MID(A1293,2,LEN(A1293))), AN1292))</f>
        <v/>
      </c>
      <c r="AO1293" s="79">
        <f>IF(AN1293="","",IF(AD1293=0,"OK",_xlfn.LET(monedaPago, IF(AA1293="","USD",AA1293), limitePermitido, IFERROR(VLOOKUP(monedaPago, Configuración!$A$2:$B$3, 2, FALSE), 0.15), IF(AD1293&gt;limitePermitido, "ALERTA: EXCESO (" &amp; TEXT(limitePermitido, "0%") &amp; " máx)", "OK"))))</f>
        <v/>
      </c>
      <c r="AP1293" s="79">
        <f>IF(AN1293="","",IF(AE1293=0,"OK",_xlfn.LET(fechaPago, Z1293, fechaFactura, R1293, diasCredito, IF(E1293="Pago inmediato", 0, IFERROR(VALUE(MID(E1293, 1, SEARCH(" ", E1293)-1)),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93" s="79">
        <f>IF(AN1293="","",IF(AND(N1293&gt;0, AG1293&gt;0), IF(Configuración!$K$2="NO", "ALERTA: DESCUENTO DOBLE NO PERMITIDO", "OK"), "OK"))</f>
        <v/>
      </c>
      <c r="AR1293" s="79">
        <f>IF(AN1293="","",IF(OR(AO1293&lt;&gt;"OK", AP1293&lt;&gt;"OK", AQ1293&lt;&gt;"OK"), "⚠️ REVISAR", "OK"))</f>
        <v/>
      </c>
    </row>
    <row r="1294">
      <c r="A1294" s="79">
        <f>IF('Ordenes_Odoo'!A1294="","",'Ordenes_Odoo'!A1294)</f>
        <v/>
      </c>
      <c r="B1294" s="80">
        <f>IF('Ordenes_Odoo'!B1294="","",'Ordenes_Odoo'!B1294)</f>
        <v/>
      </c>
      <c r="C1294" s="79">
        <f>IF('Ordenes_Odoo'!C1294="","",'Ordenes_Odoo'!C1294)</f>
        <v/>
      </c>
      <c r="D1294" s="79">
        <f>IF('Ordenes_Odoo'!D1294="","",'Ordenes_Odoo'!D1294)</f>
        <v/>
      </c>
      <c r="E1294" s="79">
        <f>IF('Ordenes_Odoo'!E1294="","",'Ordenes_Odoo'!E1294)</f>
        <v/>
      </c>
      <c r="F1294" s="79">
        <f>IF('Ordenes_Odoo'!F1294="","",'Ordenes_Odoo'!F1294)</f>
        <v/>
      </c>
      <c r="G1294" s="79">
        <f>IF('Ordenes_Odoo'!G1294="","",'Ordenes_Odoo'!G1294)</f>
        <v/>
      </c>
      <c r="H1294" s="79">
        <f>IF('Ordenes_Odoo'!H1294="","",'Ordenes_Odoo'!H1294)</f>
        <v/>
      </c>
      <c r="I1294" s="79">
        <f>IF('Ordenes_Odoo'!I1294="","",'Ordenes_Odoo'!I1294)</f>
        <v/>
      </c>
      <c r="J1294" s="79">
        <f>IF('Ordenes_Odoo'!J1294="","",'Ordenes_Odoo'!J1294)</f>
        <v/>
      </c>
      <c r="K1294" s="81">
        <f>IF('Ordenes_Odoo'!K1294="","",'Ordenes_Odoo'!K1294)</f>
        <v/>
      </c>
      <c r="L1294" s="81">
        <f>IF('Ordenes_Odoo'!L1294="","",'Ordenes_Odoo'!L1294)</f>
        <v/>
      </c>
      <c r="M1294" s="79">
        <f>IF('Ordenes_Odoo'!M1294="","",'Ordenes_Odoo'!M1294)</f>
        <v/>
      </c>
      <c r="N1294" s="79">
        <f>IF('Ordenes_Odoo'!N1294="","",'Ordenes_Odoo'!N1294)</f>
        <v/>
      </c>
      <c r="O1294" s="81">
        <f>IF('Ordenes_Odoo'!O1294="","",'Ordenes_Odoo'!O1294)</f>
        <v/>
      </c>
      <c r="P1294" s="81">
        <f>IF('Ordenes_Odoo'!P1294="","",'Ordenes_Odoo'!P1294)</f>
        <v/>
      </c>
      <c r="Q1294" s="79">
        <f>IF(A1294="","",IFERROR(INDEX(Facturas_Odoo!$B:$B, MATCH(A1294, Facturas_Odoo!$D:$D, 0)), "Sin Factura"))</f>
        <v/>
      </c>
      <c r="R1294" s="80">
        <f>IF(Q1294="Sin Factura","",IFERROR(INDEX(Facturas_Odoo!$A:$A, MATCH(Q1294, Facturas_Odoo!$B:$B, 0)), ""))</f>
        <v/>
      </c>
      <c r="S1294" s="79">
        <f>IF(Q1294="Sin Factura","",IFERROR(_xlfn.XLOOKUP(1, (Facturas_Odoo!$D:$D=A1294) * (Facturas_Odoo!$K:$K=I1294), Facturas_Odoo!$L:$L, ""), ""))</f>
        <v/>
      </c>
      <c r="T1294" s="81">
        <f>IF(Q1294="Sin Factura",0,IFERROR(_xlfn.XLOOKUP(1, (Facturas_Odoo!$D:$D=A1294) * (Facturas_Odoo!$K:$K=I1294), Facturas_Odoo!$M:$M, 0), 0))</f>
        <v/>
      </c>
      <c r="U1294" s="79">
        <f>IF(Q1294="Sin Factura",0,IFERROR(_xlfn.XLOOKUP(1, (Facturas_Odoo!$D:$D=A1294) * (Facturas_Odoo!$K:$K=I1294), Facturas_Odoo!$N:$N, 0), 0))</f>
        <v/>
      </c>
      <c r="V1294" s="79">
        <f>IF(Q1294="Sin Factura",0,IFERROR(_xlfn.XLOOKUP(1, (Facturas_Odoo!$D:$D=A1294) * (Facturas_Odoo!$K:$K=I1294), Facturas_Odoo!$O:$O, 0), 0))</f>
        <v/>
      </c>
      <c r="W1294" s="81">
        <f>IF(Q1294="Sin Factura",0,IFERROR(_xlfn.XLOOKUP(1, (Facturas_Odoo!$D:$D=A1294) * (Facturas_Odoo!$K:$K=I1294), Facturas_Odoo!$Q:$Q, 0), 0))</f>
        <v/>
      </c>
      <c r="X1294" s="79">
        <f>IF(OR(Q1294="Sin Factura",Q1294=""),"",IFERROR(INDEX(Pagos_Odoo!$B:$B, MATCH(Q1294, Pagos_Odoo!$I:$I, 0)), "Sin Pago"))</f>
        <v/>
      </c>
      <c r="Y1294" s="79">
        <f>IF(X1294="Sin Pago","",IFERROR(INDEX(Pagos_Odoo!$C:$C, MATCH(X1294, Pagos_Odoo!$B:$B, 0)), ""))</f>
        <v/>
      </c>
      <c r="Z1294" s="80">
        <f>IF(X1294="Sin Pago","",IFERROR(INDEX(Pagos_Odoo!$A:$A, MATCH(X1294, Pagos_Odoo!$B:$B, 0)), ""))</f>
        <v/>
      </c>
      <c r="AA1294" s="79">
        <f>IF(X1294="Sin Pago","",IFERROR(INDEX(Pagos_Odoo!$F:$F, MATCH(X1294, Pagos_Odoo!$B:$B, 0)), ""))</f>
        <v/>
      </c>
      <c r="AB1294" s="81">
        <f>IF(X1294="Sin Pago",0,IFERROR(INDEX(Pagos_Odoo!$E:$E, MATCH(X1294, Pagos_Odoo!$B:$B, 0)), 0))</f>
        <v/>
      </c>
      <c r="AC1294" s="79">
        <f>IF(X1294="Sin Pago","",IFERROR(INDEX(Pagos_Odoo!$G:$G, MATCH(X1294, Pagos_Odoo!$B:$B, 0)), ""))</f>
        <v/>
      </c>
      <c r="AD1294" s="82" t="n">
        <v>0</v>
      </c>
      <c r="AE1294" s="82" t="n"/>
      <c r="AF1294" s="82" t="n"/>
      <c r="AG1294" s="82">
        <f>IF(AN1294="","",AD1294+AE1294+AF1294)</f>
        <v/>
      </c>
      <c r="AH1294" s="81">
        <f>IF(AN1294="","",P1294*(1-AG1294))</f>
        <v/>
      </c>
      <c r="AI1294" s="81">
        <f>IF(AN1294="","",IF(Q1294="Sin Factura",0,IFERROR(INDEX(Facturas_Odoo!$H:$H, MATCH(Q1294, Facturas_Odoo!$B:$B, 0)), 0)*(1-AG1294)))</f>
        <v/>
      </c>
      <c r="AJ1294" s="81">
        <f>IF(AN1294="","",_xlfn.LET(idVenta, AN1294&amp;"",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94" s="81">
        <f>IF(AN1294="","",AH1294-AJ1294)</f>
        <v/>
      </c>
      <c r="AL1294" s="81">
        <f>IF(AN1294="","",IF(Q1294="Sin Factura","",AI1294-AJ1294))</f>
        <v/>
      </c>
      <c r="AM1294" s="81">
        <f>IF(AN1294="","",IF(Q1294="Sin Factura",0,P1294-IFERROR(INDEX(Facturas_Odoo!$H:$H, MATCH(Q1294, Facturas_Odoo!$B:$B, 0)), 0)))</f>
        <v/>
      </c>
      <c r="AN1294" s="79">
        <f>IF(AND(A1294="", J1294=""), "", IF(A1294&lt;&gt;"", VALUE(MID(A1294,2,LEN(A1294))), AN1293))</f>
        <v/>
      </c>
      <c r="AO1294" s="79">
        <f>IF(AN1294="","",IF(AD1294=0,"OK",_xlfn.LET(monedaPago, IF(AA1294="","USD",AA1294), limitePermitido, IFERROR(VLOOKUP(monedaPago, Configuración!$A$2:$B$3, 2, FALSE), 0.15), IF(AD1294&gt;limitePermitido, "ALERTA: EXCESO (" &amp; TEXT(limitePermitido, "0%") &amp; " máx)", "OK"))))</f>
        <v/>
      </c>
      <c r="AP1294" s="79">
        <f>IF(AN1294="","",IF(AE1294=0,"OK",_xlfn.LET(fechaPago, Z1294, fechaFactura, R1294, diasCredito, IF(E1294="Pago inmediato", 0, IFERROR(VALUE(MID(E1294, 1, SEARCH(" ", E1294)-1)),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94" s="79">
        <f>IF(AN1294="","",IF(AND(N1294&gt;0, AG1294&gt;0), IF(Configuración!$K$2="NO", "ALERTA: DESCUENTO DOBLE NO PERMITIDO", "OK"), "OK"))</f>
        <v/>
      </c>
      <c r="AR1294" s="79">
        <f>IF(AN1294="","",IF(OR(AO1294&lt;&gt;"OK", AP1294&lt;&gt;"OK", AQ1294&lt;&gt;"OK"), "⚠️ REVISAR", "OK"))</f>
        <v/>
      </c>
    </row>
    <row r="1295">
      <c r="A1295" s="79">
        <f>IF('Ordenes_Odoo'!A1295="","",'Ordenes_Odoo'!A1295)</f>
        <v/>
      </c>
      <c r="B1295" s="80">
        <f>IF('Ordenes_Odoo'!B1295="","",'Ordenes_Odoo'!B1295)</f>
        <v/>
      </c>
      <c r="C1295" s="79">
        <f>IF('Ordenes_Odoo'!C1295="","",'Ordenes_Odoo'!C1295)</f>
        <v/>
      </c>
      <c r="D1295" s="79">
        <f>IF('Ordenes_Odoo'!D1295="","",'Ordenes_Odoo'!D1295)</f>
        <v/>
      </c>
      <c r="E1295" s="79">
        <f>IF('Ordenes_Odoo'!E1295="","",'Ordenes_Odoo'!E1295)</f>
        <v/>
      </c>
      <c r="F1295" s="79">
        <f>IF('Ordenes_Odoo'!F1295="","",'Ordenes_Odoo'!F1295)</f>
        <v/>
      </c>
      <c r="G1295" s="79">
        <f>IF('Ordenes_Odoo'!G1295="","",'Ordenes_Odoo'!G1295)</f>
        <v/>
      </c>
      <c r="H1295" s="79">
        <f>IF('Ordenes_Odoo'!H1295="","",'Ordenes_Odoo'!H1295)</f>
        <v/>
      </c>
      <c r="I1295" s="79">
        <f>IF('Ordenes_Odoo'!I1295="","",'Ordenes_Odoo'!I1295)</f>
        <v/>
      </c>
      <c r="J1295" s="79">
        <f>IF('Ordenes_Odoo'!J1295="","",'Ordenes_Odoo'!J1295)</f>
        <v/>
      </c>
      <c r="K1295" s="81">
        <f>IF('Ordenes_Odoo'!K1295="","",'Ordenes_Odoo'!K1295)</f>
        <v/>
      </c>
      <c r="L1295" s="81">
        <f>IF('Ordenes_Odoo'!L1295="","",'Ordenes_Odoo'!L1295)</f>
        <v/>
      </c>
      <c r="M1295" s="79">
        <f>IF('Ordenes_Odoo'!M1295="","",'Ordenes_Odoo'!M1295)</f>
        <v/>
      </c>
      <c r="N1295" s="79">
        <f>IF('Ordenes_Odoo'!N1295="","",'Ordenes_Odoo'!N1295)</f>
        <v/>
      </c>
      <c r="O1295" s="81">
        <f>IF('Ordenes_Odoo'!O1295="","",'Ordenes_Odoo'!O1295)</f>
        <v/>
      </c>
      <c r="P1295" s="81">
        <f>IF('Ordenes_Odoo'!P1295="","",'Ordenes_Odoo'!P1295)</f>
        <v/>
      </c>
      <c r="Q1295" s="79">
        <f>IF(A1295="","",IFERROR(INDEX(Facturas_Odoo!$B:$B, MATCH(A1295, Facturas_Odoo!$D:$D, 0)), "Sin Factura"))</f>
        <v/>
      </c>
      <c r="R1295" s="80">
        <f>IF(Q1295="Sin Factura","",IFERROR(INDEX(Facturas_Odoo!$A:$A, MATCH(Q1295, Facturas_Odoo!$B:$B, 0)), ""))</f>
        <v/>
      </c>
      <c r="S1295" s="79">
        <f>IF(Q1295="Sin Factura","",IFERROR(_xlfn.XLOOKUP(1, (Facturas_Odoo!$D:$D=A1295) * (Facturas_Odoo!$K:$K=I1295), Facturas_Odoo!$L:$L, ""), ""))</f>
        <v/>
      </c>
      <c r="T1295" s="81">
        <f>IF(Q1295="Sin Factura",0,IFERROR(_xlfn.XLOOKUP(1, (Facturas_Odoo!$D:$D=A1295) * (Facturas_Odoo!$K:$K=I1295), Facturas_Odoo!$M:$M, 0), 0))</f>
        <v/>
      </c>
      <c r="U1295" s="79">
        <f>IF(Q1295="Sin Factura",0,IFERROR(_xlfn.XLOOKUP(1, (Facturas_Odoo!$D:$D=A1295) * (Facturas_Odoo!$K:$K=I1295), Facturas_Odoo!$N:$N, 0), 0))</f>
        <v/>
      </c>
      <c r="V1295" s="79">
        <f>IF(Q1295="Sin Factura",0,IFERROR(_xlfn.XLOOKUP(1, (Facturas_Odoo!$D:$D=A1295) * (Facturas_Odoo!$K:$K=I1295), Facturas_Odoo!$O:$O, 0), 0))</f>
        <v/>
      </c>
      <c r="W1295" s="81">
        <f>IF(Q1295="Sin Factura",0,IFERROR(_xlfn.XLOOKUP(1, (Facturas_Odoo!$D:$D=A1295) * (Facturas_Odoo!$K:$K=I1295), Facturas_Odoo!$Q:$Q, 0), 0))</f>
        <v/>
      </c>
      <c r="X1295" s="79">
        <f>IF(OR(Q1295="Sin Factura",Q1295=""),"",IFERROR(INDEX(Pagos_Odoo!$B:$B, MATCH(Q1295, Pagos_Odoo!$I:$I, 0)), "Sin Pago"))</f>
        <v/>
      </c>
      <c r="Y1295" s="79">
        <f>IF(X1295="Sin Pago","",IFERROR(INDEX(Pagos_Odoo!$C:$C, MATCH(X1295, Pagos_Odoo!$B:$B, 0)), ""))</f>
        <v/>
      </c>
      <c r="Z1295" s="80">
        <f>IF(X1295="Sin Pago","",IFERROR(INDEX(Pagos_Odoo!$A:$A, MATCH(X1295, Pagos_Odoo!$B:$B, 0)), ""))</f>
        <v/>
      </c>
      <c r="AA1295" s="79">
        <f>IF(X1295="Sin Pago","",IFERROR(INDEX(Pagos_Odoo!$F:$F, MATCH(X1295, Pagos_Odoo!$B:$B, 0)), ""))</f>
        <v/>
      </c>
      <c r="AB1295" s="81">
        <f>IF(X1295="Sin Pago",0,IFERROR(INDEX(Pagos_Odoo!$E:$E, MATCH(X1295, Pagos_Odoo!$B:$B, 0)), 0))</f>
        <v/>
      </c>
      <c r="AC1295" s="79">
        <f>IF(X1295="Sin Pago","",IFERROR(INDEX(Pagos_Odoo!$G:$G, MATCH(X1295, Pagos_Odoo!$B:$B, 0)), ""))</f>
        <v/>
      </c>
      <c r="AD1295" s="82" t="n">
        <v>0</v>
      </c>
      <c r="AE1295" s="82" t="n"/>
      <c r="AF1295" s="82" t="n"/>
      <c r="AG1295" s="82">
        <f>IF(AN1295="","",AD1295+AE1295+AF1295)</f>
        <v/>
      </c>
      <c r="AH1295" s="81">
        <f>IF(AN1295="","",P1295*(1-AG1295))</f>
        <v/>
      </c>
      <c r="AI1295" s="81">
        <f>IF(AN1295="","",IF(Q1295="Sin Factura",0,IFERROR(INDEX(Facturas_Odoo!$H:$H, MATCH(Q1295, Facturas_Odoo!$B:$B, 0)), 0)*(1-AG1295)))</f>
        <v/>
      </c>
      <c r="AJ1295" s="81">
        <f>IF(AN1295="","",_xlfn.LET(idVenta, AN1295&amp;"",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95" s="81">
        <f>IF(AN1295="","",AH1295-AJ1295)</f>
        <v/>
      </c>
      <c r="AL1295" s="81">
        <f>IF(AN1295="","",IF(Q1295="Sin Factura","",AI1295-AJ1295))</f>
        <v/>
      </c>
      <c r="AM1295" s="81">
        <f>IF(AN1295="","",IF(Q1295="Sin Factura",0,P1295-IFERROR(INDEX(Facturas_Odoo!$H:$H, MATCH(Q1295, Facturas_Odoo!$B:$B, 0)), 0)))</f>
        <v/>
      </c>
      <c r="AN1295" s="79">
        <f>IF(AND(A1295="", J1295=""), "", IF(A1295&lt;&gt;"", VALUE(MID(A1295,2,LEN(A1295))), AN1294))</f>
        <v/>
      </c>
      <c r="AO1295" s="79">
        <f>IF(AN1295="","",IF(AD1295=0,"OK",_xlfn.LET(monedaPago, IF(AA1295="","USD",AA1295), limitePermitido, IFERROR(VLOOKUP(monedaPago, Configuración!$A$2:$B$3, 2, FALSE), 0.15), IF(AD1295&gt;limitePermitido, "ALERTA: EXCESO (" &amp; TEXT(limitePermitido, "0%") &amp; " máx)", "OK"))))</f>
        <v/>
      </c>
      <c r="AP1295" s="79">
        <f>IF(AN1295="","",IF(AE1295=0,"OK",_xlfn.LET(fechaPago, Z1295, fechaFactura, R1295, diasCredito, IF(E1295="Pago inmediato", 0, IFERROR(VALUE(MID(E1295, 1, SEARCH(" ", E1295)-1)),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95" s="79">
        <f>IF(AN1295="","",IF(AND(N1295&gt;0, AG1295&gt;0), IF(Configuración!$K$2="NO", "ALERTA: DESCUENTO DOBLE NO PERMITIDO", "OK"), "OK"))</f>
        <v/>
      </c>
      <c r="AR1295" s="79">
        <f>IF(AN1295="","",IF(OR(AO1295&lt;&gt;"OK", AP1295&lt;&gt;"OK", AQ1295&lt;&gt;"OK"), "⚠️ REVISAR", "OK"))</f>
        <v/>
      </c>
    </row>
    <row r="1296">
      <c r="A1296" s="79">
        <f>IF('Ordenes_Odoo'!A1296="","",'Ordenes_Odoo'!A1296)</f>
        <v/>
      </c>
      <c r="B1296" s="80">
        <f>IF('Ordenes_Odoo'!B1296="","",'Ordenes_Odoo'!B1296)</f>
        <v/>
      </c>
      <c r="C1296" s="79">
        <f>IF('Ordenes_Odoo'!C1296="","",'Ordenes_Odoo'!C1296)</f>
        <v/>
      </c>
      <c r="D1296" s="79">
        <f>IF('Ordenes_Odoo'!D1296="","",'Ordenes_Odoo'!D1296)</f>
        <v/>
      </c>
      <c r="E1296" s="79">
        <f>IF('Ordenes_Odoo'!E1296="","",'Ordenes_Odoo'!E1296)</f>
        <v/>
      </c>
      <c r="F1296" s="79">
        <f>IF('Ordenes_Odoo'!F1296="","",'Ordenes_Odoo'!F1296)</f>
        <v/>
      </c>
      <c r="G1296" s="79">
        <f>IF('Ordenes_Odoo'!G1296="","",'Ordenes_Odoo'!G1296)</f>
        <v/>
      </c>
      <c r="H1296" s="79">
        <f>IF('Ordenes_Odoo'!H1296="","",'Ordenes_Odoo'!H1296)</f>
        <v/>
      </c>
      <c r="I1296" s="79">
        <f>IF('Ordenes_Odoo'!I1296="","",'Ordenes_Odoo'!I1296)</f>
        <v/>
      </c>
      <c r="J1296" s="79">
        <f>IF('Ordenes_Odoo'!J1296="","",'Ordenes_Odoo'!J1296)</f>
        <v/>
      </c>
      <c r="K1296" s="81">
        <f>IF('Ordenes_Odoo'!K1296="","",'Ordenes_Odoo'!K1296)</f>
        <v/>
      </c>
      <c r="L1296" s="81">
        <f>IF('Ordenes_Odoo'!L1296="","",'Ordenes_Odoo'!L1296)</f>
        <v/>
      </c>
      <c r="M1296" s="79">
        <f>IF('Ordenes_Odoo'!M1296="","",'Ordenes_Odoo'!M1296)</f>
        <v/>
      </c>
      <c r="N1296" s="79">
        <f>IF('Ordenes_Odoo'!N1296="","",'Ordenes_Odoo'!N1296)</f>
        <v/>
      </c>
      <c r="O1296" s="81">
        <f>IF('Ordenes_Odoo'!O1296="","",'Ordenes_Odoo'!O1296)</f>
        <v/>
      </c>
      <c r="P1296" s="81">
        <f>IF('Ordenes_Odoo'!P1296="","",'Ordenes_Odoo'!P1296)</f>
        <v/>
      </c>
      <c r="Q1296" s="79">
        <f>IF(A1296="","",IFERROR(INDEX(Facturas_Odoo!$B:$B, MATCH(A1296, Facturas_Odoo!$D:$D, 0)), "Sin Factura"))</f>
        <v/>
      </c>
      <c r="R1296" s="80">
        <f>IF(Q1296="Sin Factura","",IFERROR(INDEX(Facturas_Odoo!$A:$A, MATCH(Q1296, Facturas_Odoo!$B:$B, 0)), ""))</f>
        <v/>
      </c>
      <c r="S1296" s="79">
        <f>IF(Q1296="Sin Factura","",IFERROR(_xlfn.XLOOKUP(1, (Facturas_Odoo!$D:$D=A1296) * (Facturas_Odoo!$K:$K=I1296), Facturas_Odoo!$L:$L, ""), ""))</f>
        <v/>
      </c>
      <c r="T1296" s="81">
        <f>IF(Q1296="Sin Factura",0,IFERROR(_xlfn.XLOOKUP(1, (Facturas_Odoo!$D:$D=A1296) * (Facturas_Odoo!$K:$K=I1296), Facturas_Odoo!$M:$M, 0), 0))</f>
        <v/>
      </c>
      <c r="U1296" s="79">
        <f>IF(Q1296="Sin Factura",0,IFERROR(_xlfn.XLOOKUP(1, (Facturas_Odoo!$D:$D=A1296) * (Facturas_Odoo!$K:$K=I1296), Facturas_Odoo!$N:$N, 0), 0))</f>
        <v/>
      </c>
      <c r="V1296" s="79">
        <f>IF(Q1296="Sin Factura",0,IFERROR(_xlfn.XLOOKUP(1, (Facturas_Odoo!$D:$D=A1296) * (Facturas_Odoo!$K:$K=I1296), Facturas_Odoo!$O:$O, 0), 0))</f>
        <v/>
      </c>
      <c r="W1296" s="81">
        <f>IF(Q1296="Sin Factura",0,IFERROR(_xlfn.XLOOKUP(1, (Facturas_Odoo!$D:$D=A1296) * (Facturas_Odoo!$K:$K=I1296), Facturas_Odoo!$Q:$Q, 0), 0))</f>
        <v/>
      </c>
      <c r="X1296" s="79">
        <f>IF(OR(Q1296="Sin Factura",Q1296=""),"",IFERROR(INDEX(Pagos_Odoo!$B:$B, MATCH(Q1296, Pagos_Odoo!$I:$I, 0)), "Sin Pago"))</f>
        <v/>
      </c>
      <c r="Y1296" s="79">
        <f>IF(X1296="Sin Pago","",IFERROR(INDEX(Pagos_Odoo!$C:$C, MATCH(X1296, Pagos_Odoo!$B:$B, 0)), ""))</f>
        <v/>
      </c>
      <c r="Z1296" s="80">
        <f>IF(X1296="Sin Pago","",IFERROR(INDEX(Pagos_Odoo!$A:$A, MATCH(X1296, Pagos_Odoo!$B:$B, 0)), ""))</f>
        <v/>
      </c>
      <c r="AA1296" s="79">
        <f>IF(X1296="Sin Pago","",IFERROR(INDEX(Pagos_Odoo!$F:$F, MATCH(X1296, Pagos_Odoo!$B:$B, 0)), ""))</f>
        <v/>
      </c>
      <c r="AB1296" s="81">
        <f>IF(X1296="Sin Pago",0,IFERROR(INDEX(Pagos_Odoo!$E:$E, MATCH(X1296, Pagos_Odoo!$B:$B, 0)), 0))</f>
        <v/>
      </c>
      <c r="AC1296" s="79">
        <f>IF(X1296="Sin Pago","",IFERROR(INDEX(Pagos_Odoo!$G:$G, MATCH(X1296, Pagos_Odoo!$B:$B, 0)), ""))</f>
        <v/>
      </c>
      <c r="AD1296" s="82" t="n">
        <v>0</v>
      </c>
      <c r="AE1296" s="82" t="n"/>
      <c r="AF1296" s="82" t="n"/>
      <c r="AG1296" s="82">
        <f>IF(AN1296="","",AD1296+AE1296+AF1296)</f>
        <v/>
      </c>
      <c r="AH1296" s="81">
        <f>IF(AN1296="","",P1296*(1-AG1296))</f>
        <v/>
      </c>
      <c r="AI1296" s="81">
        <f>IF(AN1296="","",IF(Q1296="Sin Factura",0,IFERROR(INDEX(Facturas_Odoo!$H:$H, MATCH(Q1296, Facturas_Odoo!$B:$B, 0)), 0)*(1-AG1296)))</f>
        <v/>
      </c>
      <c r="AJ1296" s="81">
        <f>IF(AN1296="","",_xlfn.LET(idVenta, AN1296&amp;"",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96" s="81">
        <f>IF(AN1296="","",AH1296-AJ1296)</f>
        <v/>
      </c>
      <c r="AL1296" s="81">
        <f>IF(AN1296="","",IF(Q1296="Sin Factura","",AI1296-AJ1296))</f>
        <v/>
      </c>
      <c r="AM1296" s="81">
        <f>IF(AN1296="","",IF(Q1296="Sin Factura",0,P1296-IFERROR(INDEX(Facturas_Odoo!$H:$H, MATCH(Q1296, Facturas_Odoo!$B:$B, 0)), 0)))</f>
        <v/>
      </c>
      <c r="AN1296" s="79">
        <f>IF(AND(A1296="", J1296=""), "", IF(A1296&lt;&gt;"", VALUE(MID(A1296,2,LEN(A1296))), AN1295))</f>
        <v/>
      </c>
      <c r="AO1296" s="79">
        <f>IF(AN1296="","",IF(AD1296=0,"OK",_xlfn.LET(monedaPago, IF(AA1296="","USD",AA1296), limitePermitido, IFERROR(VLOOKUP(monedaPago, Configuración!$A$2:$B$3, 2, FALSE), 0.15), IF(AD1296&gt;limitePermitido, "ALERTA: EXCESO (" &amp; TEXT(limitePermitido, "0%") &amp; " máx)", "OK"))))</f>
        <v/>
      </c>
      <c r="AP1296" s="79">
        <f>IF(AN1296="","",IF(AE1296=0,"OK",_xlfn.LET(fechaPago, Z1296, fechaFactura, R1296, diasCredito, IF(E1296="Pago inmediato", 0, IFERROR(VALUE(MID(E1296, 1, SEARCH(" ", E1296)-1)),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96" s="79">
        <f>IF(AN1296="","",IF(AND(N1296&gt;0, AG1296&gt;0), IF(Configuración!$K$2="NO", "ALERTA: DESCUENTO DOBLE NO PERMITIDO", "OK"), "OK"))</f>
        <v/>
      </c>
      <c r="AR1296" s="79">
        <f>IF(AN1296="","",IF(OR(AO1296&lt;&gt;"OK", AP1296&lt;&gt;"OK", AQ1296&lt;&gt;"OK"), "⚠️ REVISAR", "OK"))</f>
        <v/>
      </c>
    </row>
    <row r="1297">
      <c r="A1297" s="79">
        <f>IF('Ordenes_Odoo'!A1297="","",'Ordenes_Odoo'!A1297)</f>
        <v/>
      </c>
      <c r="B1297" s="80">
        <f>IF('Ordenes_Odoo'!B1297="","",'Ordenes_Odoo'!B1297)</f>
        <v/>
      </c>
      <c r="C1297" s="79">
        <f>IF('Ordenes_Odoo'!C1297="","",'Ordenes_Odoo'!C1297)</f>
        <v/>
      </c>
      <c r="D1297" s="79">
        <f>IF('Ordenes_Odoo'!D1297="","",'Ordenes_Odoo'!D1297)</f>
        <v/>
      </c>
      <c r="E1297" s="79">
        <f>IF('Ordenes_Odoo'!E1297="","",'Ordenes_Odoo'!E1297)</f>
        <v/>
      </c>
      <c r="F1297" s="79">
        <f>IF('Ordenes_Odoo'!F1297="","",'Ordenes_Odoo'!F1297)</f>
        <v/>
      </c>
      <c r="G1297" s="79">
        <f>IF('Ordenes_Odoo'!G1297="","",'Ordenes_Odoo'!G1297)</f>
        <v/>
      </c>
      <c r="H1297" s="79">
        <f>IF('Ordenes_Odoo'!H1297="","",'Ordenes_Odoo'!H1297)</f>
        <v/>
      </c>
      <c r="I1297" s="79">
        <f>IF('Ordenes_Odoo'!I1297="","",'Ordenes_Odoo'!I1297)</f>
        <v/>
      </c>
      <c r="J1297" s="79">
        <f>IF('Ordenes_Odoo'!J1297="","",'Ordenes_Odoo'!J1297)</f>
        <v/>
      </c>
      <c r="K1297" s="81">
        <f>IF('Ordenes_Odoo'!K1297="","",'Ordenes_Odoo'!K1297)</f>
        <v/>
      </c>
      <c r="L1297" s="81">
        <f>IF('Ordenes_Odoo'!L1297="","",'Ordenes_Odoo'!L1297)</f>
        <v/>
      </c>
      <c r="M1297" s="79">
        <f>IF('Ordenes_Odoo'!M1297="","",'Ordenes_Odoo'!M1297)</f>
        <v/>
      </c>
      <c r="N1297" s="79">
        <f>IF('Ordenes_Odoo'!N1297="","",'Ordenes_Odoo'!N1297)</f>
        <v/>
      </c>
      <c r="O1297" s="81">
        <f>IF('Ordenes_Odoo'!O1297="","",'Ordenes_Odoo'!O1297)</f>
        <v/>
      </c>
      <c r="P1297" s="81">
        <f>IF('Ordenes_Odoo'!P1297="","",'Ordenes_Odoo'!P1297)</f>
        <v/>
      </c>
      <c r="Q1297" s="79">
        <f>IF(A1297="","",IFERROR(INDEX(Facturas_Odoo!$B:$B, MATCH(A1297, Facturas_Odoo!$D:$D, 0)), "Sin Factura"))</f>
        <v/>
      </c>
      <c r="R1297" s="80">
        <f>IF(Q1297="Sin Factura","",IFERROR(INDEX(Facturas_Odoo!$A:$A, MATCH(Q1297, Facturas_Odoo!$B:$B, 0)), ""))</f>
        <v/>
      </c>
      <c r="S1297" s="79">
        <f>IF(Q1297="Sin Factura","",IFERROR(_xlfn.XLOOKUP(1, (Facturas_Odoo!$D:$D=A1297) * (Facturas_Odoo!$K:$K=I1297), Facturas_Odoo!$L:$L, ""), ""))</f>
        <v/>
      </c>
      <c r="T1297" s="81">
        <f>IF(Q1297="Sin Factura",0,IFERROR(_xlfn.XLOOKUP(1, (Facturas_Odoo!$D:$D=A1297) * (Facturas_Odoo!$K:$K=I1297), Facturas_Odoo!$M:$M, 0), 0))</f>
        <v/>
      </c>
      <c r="U1297" s="79">
        <f>IF(Q1297="Sin Factura",0,IFERROR(_xlfn.XLOOKUP(1, (Facturas_Odoo!$D:$D=A1297) * (Facturas_Odoo!$K:$K=I1297), Facturas_Odoo!$N:$N, 0), 0))</f>
        <v/>
      </c>
      <c r="V1297" s="79">
        <f>IF(Q1297="Sin Factura",0,IFERROR(_xlfn.XLOOKUP(1, (Facturas_Odoo!$D:$D=A1297) * (Facturas_Odoo!$K:$K=I1297), Facturas_Odoo!$O:$O, 0), 0))</f>
        <v/>
      </c>
      <c r="W1297" s="81">
        <f>IF(Q1297="Sin Factura",0,IFERROR(_xlfn.XLOOKUP(1, (Facturas_Odoo!$D:$D=A1297) * (Facturas_Odoo!$K:$K=I1297), Facturas_Odoo!$Q:$Q, 0), 0))</f>
        <v/>
      </c>
      <c r="X1297" s="79">
        <f>IF(OR(Q1297="Sin Factura",Q1297=""),"",IFERROR(INDEX(Pagos_Odoo!$B:$B, MATCH(Q1297, Pagos_Odoo!$I:$I, 0)), "Sin Pago"))</f>
        <v/>
      </c>
      <c r="Y1297" s="79">
        <f>IF(X1297="Sin Pago","",IFERROR(INDEX(Pagos_Odoo!$C:$C, MATCH(X1297, Pagos_Odoo!$B:$B, 0)), ""))</f>
        <v/>
      </c>
      <c r="Z1297" s="80">
        <f>IF(X1297="Sin Pago","",IFERROR(INDEX(Pagos_Odoo!$A:$A, MATCH(X1297, Pagos_Odoo!$B:$B, 0)), ""))</f>
        <v/>
      </c>
      <c r="AA1297" s="79">
        <f>IF(X1297="Sin Pago","",IFERROR(INDEX(Pagos_Odoo!$F:$F, MATCH(X1297, Pagos_Odoo!$B:$B, 0)), ""))</f>
        <v/>
      </c>
      <c r="AB1297" s="81">
        <f>IF(X1297="Sin Pago",0,IFERROR(INDEX(Pagos_Odoo!$E:$E, MATCH(X1297, Pagos_Odoo!$B:$B, 0)), 0))</f>
        <v/>
      </c>
      <c r="AC1297" s="79">
        <f>IF(X1297="Sin Pago","",IFERROR(INDEX(Pagos_Odoo!$G:$G, MATCH(X1297, Pagos_Odoo!$B:$B, 0)), ""))</f>
        <v/>
      </c>
      <c r="AD1297" s="82" t="n">
        <v>0</v>
      </c>
      <c r="AE1297" s="82" t="n"/>
      <c r="AF1297" s="82" t="n"/>
      <c r="AG1297" s="82">
        <f>IF(AN1297="","",AD1297+AE1297+AF1297)</f>
        <v/>
      </c>
      <c r="AH1297" s="81">
        <f>IF(AN1297="","",P1297*(1-AG1297))</f>
        <v/>
      </c>
      <c r="AI1297" s="81">
        <f>IF(AN1297="","",IF(Q1297="Sin Factura",0,IFERROR(INDEX(Facturas_Odoo!$H:$H, MATCH(Q1297, Facturas_Odoo!$B:$B, 0)), 0)*(1-AG1297)))</f>
        <v/>
      </c>
      <c r="AJ1297" s="81">
        <f>IF(AN1297="","",_xlfn.LET(idVenta, AN1297&amp;"",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97" s="81">
        <f>IF(AN1297="","",AH1297-AJ1297)</f>
        <v/>
      </c>
      <c r="AL1297" s="81">
        <f>IF(AN1297="","",IF(Q1297="Sin Factura","",AI1297-AJ1297))</f>
        <v/>
      </c>
      <c r="AM1297" s="81">
        <f>IF(AN1297="","",IF(Q1297="Sin Factura",0,P1297-IFERROR(INDEX(Facturas_Odoo!$H:$H, MATCH(Q1297, Facturas_Odoo!$B:$B, 0)), 0)))</f>
        <v/>
      </c>
      <c r="AN1297" s="79">
        <f>IF(AND(A1297="", J1297=""), "", IF(A1297&lt;&gt;"", VALUE(MID(A1297,2,LEN(A1297))), AN1296))</f>
        <v/>
      </c>
      <c r="AO1297" s="79">
        <f>IF(AN1297="","",IF(AD1297=0,"OK",_xlfn.LET(monedaPago, IF(AA1297="","USD",AA1297), limitePermitido, IFERROR(VLOOKUP(monedaPago, Configuración!$A$2:$B$3, 2, FALSE), 0.15), IF(AD1297&gt;limitePermitido, "ALERTA: EXCESO (" &amp; TEXT(limitePermitido, "0%") &amp; " máx)", "OK"))))</f>
        <v/>
      </c>
      <c r="AP1297" s="79">
        <f>IF(AN1297="","",IF(AE1297=0,"OK",_xlfn.LET(fechaPago, Z1297, fechaFactura, R1297, diasCredito, IF(E1297="Pago inmediato", 0, IFERROR(VALUE(MID(E1297, 1, SEARCH(" ", E1297)-1)),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97" s="79">
        <f>IF(AN1297="","",IF(AND(N1297&gt;0, AG1297&gt;0), IF(Configuración!$K$2="NO", "ALERTA: DESCUENTO DOBLE NO PERMITIDO", "OK"), "OK"))</f>
        <v/>
      </c>
      <c r="AR1297" s="79">
        <f>IF(AN1297="","",IF(OR(AO1297&lt;&gt;"OK", AP1297&lt;&gt;"OK", AQ1297&lt;&gt;"OK"), "⚠️ REVISAR", "OK"))</f>
        <v/>
      </c>
    </row>
    <row r="1298">
      <c r="A1298" s="79">
        <f>IF('Ordenes_Odoo'!A1298="","",'Ordenes_Odoo'!A1298)</f>
        <v/>
      </c>
      <c r="B1298" s="80">
        <f>IF('Ordenes_Odoo'!B1298="","",'Ordenes_Odoo'!B1298)</f>
        <v/>
      </c>
      <c r="C1298" s="79">
        <f>IF('Ordenes_Odoo'!C1298="","",'Ordenes_Odoo'!C1298)</f>
        <v/>
      </c>
      <c r="D1298" s="79">
        <f>IF('Ordenes_Odoo'!D1298="","",'Ordenes_Odoo'!D1298)</f>
        <v/>
      </c>
      <c r="E1298" s="79">
        <f>IF('Ordenes_Odoo'!E1298="","",'Ordenes_Odoo'!E1298)</f>
        <v/>
      </c>
      <c r="F1298" s="79">
        <f>IF('Ordenes_Odoo'!F1298="","",'Ordenes_Odoo'!F1298)</f>
        <v/>
      </c>
      <c r="G1298" s="79">
        <f>IF('Ordenes_Odoo'!G1298="","",'Ordenes_Odoo'!G1298)</f>
        <v/>
      </c>
      <c r="H1298" s="79">
        <f>IF('Ordenes_Odoo'!H1298="","",'Ordenes_Odoo'!H1298)</f>
        <v/>
      </c>
      <c r="I1298" s="79">
        <f>IF('Ordenes_Odoo'!I1298="","",'Ordenes_Odoo'!I1298)</f>
        <v/>
      </c>
      <c r="J1298" s="79">
        <f>IF('Ordenes_Odoo'!J1298="","",'Ordenes_Odoo'!J1298)</f>
        <v/>
      </c>
      <c r="K1298" s="81">
        <f>IF('Ordenes_Odoo'!K1298="","",'Ordenes_Odoo'!K1298)</f>
        <v/>
      </c>
      <c r="L1298" s="81">
        <f>IF('Ordenes_Odoo'!L1298="","",'Ordenes_Odoo'!L1298)</f>
        <v/>
      </c>
      <c r="M1298" s="79">
        <f>IF('Ordenes_Odoo'!M1298="","",'Ordenes_Odoo'!M1298)</f>
        <v/>
      </c>
      <c r="N1298" s="79">
        <f>IF('Ordenes_Odoo'!N1298="","",'Ordenes_Odoo'!N1298)</f>
        <v/>
      </c>
      <c r="O1298" s="81">
        <f>IF('Ordenes_Odoo'!O1298="","",'Ordenes_Odoo'!O1298)</f>
        <v/>
      </c>
      <c r="P1298" s="81">
        <f>IF('Ordenes_Odoo'!P1298="","",'Ordenes_Odoo'!P1298)</f>
        <v/>
      </c>
      <c r="Q1298" s="79">
        <f>IF(A1298="","",IFERROR(INDEX(Facturas_Odoo!$B:$B, MATCH(A1298, Facturas_Odoo!$D:$D, 0)), "Sin Factura"))</f>
        <v/>
      </c>
      <c r="R1298" s="80">
        <f>IF(Q1298="Sin Factura","",IFERROR(INDEX(Facturas_Odoo!$A:$A, MATCH(Q1298, Facturas_Odoo!$B:$B, 0)), ""))</f>
        <v/>
      </c>
      <c r="S1298" s="79">
        <f>IF(Q1298="Sin Factura","",IFERROR(_xlfn.XLOOKUP(1, (Facturas_Odoo!$D:$D=A1298) * (Facturas_Odoo!$K:$K=I1298), Facturas_Odoo!$L:$L, ""), ""))</f>
        <v/>
      </c>
      <c r="T1298" s="81">
        <f>IF(Q1298="Sin Factura",0,IFERROR(_xlfn.XLOOKUP(1, (Facturas_Odoo!$D:$D=A1298) * (Facturas_Odoo!$K:$K=I1298), Facturas_Odoo!$M:$M, 0), 0))</f>
        <v/>
      </c>
      <c r="U1298" s="79">
        <f>IF(Q1298="Sin Factura",0,IFERROR(_xlfn.XLOOKUP(1, (Facturas_Odoo!$D:$D=A1298) * (Facturas_Odoo!$K:$K=I1298), Facturas_Odoo!$N:$N, 0), 0))</f>
        <v/>
      </c>
      <c r="V1298" s="79">
        <f>IF(Q1298="Sin Factura",0,IFERROR(_xlfn.XLOOKUP(1, (Facturas_Odoo!$D:$D=A1298) * (Facturas_Odoo!$K:$K=I1298), Facturas_Odoo!$O:$O, 0), 0))</f>
        <v/>
      </c>
      <c r="W1298" s="81">
        <f>IF(Q1298="Sin Factura",0,IFERROR(_xlfn.XLOOKUP(1, (Facturas_Odoo!$D:$D=A1298) * (Facturas_Odoo!$K:$K=I1298), Facturas_Odoo!$Q:$Q, 0), 0))</f>
        <v/>
      </c>
      <c r="X1298" s="79">
        <f>IF(OR(Q1298="Sin Factura",Q1298=""),"",IFERROR(INDEX(Pagos_Odoo!$B:$B, MATCH(Q1298, Pagos_Odoo!$I:$I, 0)), "Sin Pago"))</f>
        <v/>
      </c>
      <c r="Y1298" s="79">
        <f>IF(X1298="Sin Pago","",IFERROR(INDEX(Pagos_Odoo!$C:$C, MATCH(X1298, Pagos_Odoo!$B:$B, 0)), ""))</f>
        <v/>
      </c>
      <c r="Z1298" s="80">
        <f>IF(X1298="Sin Pago","",IFERROR(INDEX(Pagos_Odoo!$A:$A, MATCH(X1298, Pagos_Odoo!$B:$B, 0)), ""))</f>
        <v/>
      </c>
      <c r="AA1298" s="79">
        <f>IF(X1298="Sin Pago","",IFERROR(INDEX(Pagos_Odoo!$F:$F, MATCH(X1298, Pagos_Odoo!$B:$B, 0)), ""))</f>
        <v/>
      </c>
      <c r="AB1298" s="81">
        <f>IF(X1298="Sin Pago",0,IFERROR(INDEX(Pagos_Odoo!$E:$E, MATCH(X1298, Pagos_Odoo!$B:$B, 0)), 0))</f>
        <v/>
      </c>
      <c r="AC1298" s="79">
        <f>IF(X1298="Sin Pago","",IFERROR(INDEX(Pagos_Odoo!$G:$G, MATCH(X1298, Pagos_Odoo!$B:$B, 0)), ""))</f>
        <v/>
      </c>
      <c r="AD1298" s="82" t="n">
        <v>0</v>
      </c>
      <c r="AE1298" s="82" t="n"/>
      <c r="AF1298" s="82" t="n"/>
      <c r="AG1298" s="82">
        <f>IF(AN1298="","",AD1298+AE1298+AF1298)</f>
        <v/>
      </c>
      <c r="AH1298" s="81">
        <f>IF(AN1298="","",P1298*(1-AG1298))</f>
        <v/>
      </c>
      <c r="AI1298" s="81">
        <f>IF(AN1298="","",IF(Q1298="Sin Factura",0,IFERROR(INDEX(Facturas_Odoo!$H:$H, MATCH(Q1298, Facturas_Odoo!$B:$B, 0)), 0)*(1-AG1298)))</f>
        <v/>
      </c>
      <c r="AJ1298" s="81">
        <f>IF(AN1298="","",_xlfn.LET(idVenta, AN1298&amp;"",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98" s="81">
        <f>IF(AN1298="","",AH1298-AJ1298)</f>
        <v/>
      </c>
      <c r="AL1298" s="81">
        <f>IF(AN1298="","",IF(Q1298="Sin Factura","",AI1298-AJ1298))</f>
        <v/>
      </c>
      <c r="AM1298" s="81">
        <f>IF(AN1298="","",IF(Q1298="Sin Factura",0,P1298-IFERROR(INDEX(Facturas_Odoo!$H:$H, MATCH(Q1298, Facturas_Odoo!$B:$B, 0)), 0)))</f>
        <v/>
      </c>
      <c r="AN1298" s="79">
        <f>IF(AND(A1298="", J1298=""), "", IF(A1298&lt;&gt;"", VALUE(MID(A1298,2,LEN(A1298))), AN1297))</f>
        <v/>
      </c>
      <c r="AO1298" s="79">
        <f>IF(AN1298="","",IF(AD1298=0,"OK",_xlfn.LET(monedaPago, IF(AA1298="","USD",AA1298), limitePermitido, IFERROR(VLOOKUP(monedaPago, Configuración!$A$2:$B$3, 2, FALSE), 0.15), IF(AD1298&gt;limitePermitido, "ALERTA: EXCESO (" &amp; TEXT(limitePermitido, "0%") &amp; " máx)", "OK"))))</f>
        <v/>
      </c>
      <c r="AP1298" s="79">
        <f>IF(AN1298="","",IF(AE1298=0,"OK",_xlfn.LET(fechaPago, Z1298, fechaFactura, R1298, diasCredito, IF(E1298="Pago inmediato", 0, IFERROR(VALUE(MID(E1298, 1, SEARCH(" ", E1298)-1)),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98" s="79">
        <f>IF(AN1298="","",IF(AND(N1298&gt;0, AG1298&gt;0), IF(Configuración!$K$2="NO", "ALERTA: DESCUENTO DOBLE NO PERMITIDO", "OK"), "OK"))</f>
        <v/>
      </c>
      <c r="AR1298" s="79">
        <f>IF(AN1298="","",IF(OR(AO1298&lt;&gt;"OK", AP1298&lt;&gt;"OK", AQ1298&lt;&gt;"OK"), "⚠️ REVISAR", "OK"))</f>
        <v/>
      </c>
    </row>
    <row r="1299">
      <c r="A1299" s="79">
        <f>IF('Ordenes_Odoo'!A1299="","",'Ordenes_Odoo'!A1299)</f>
        <v/>
      </c>
      <c r="B1299" s="80">
        <f>IF('Ordenes_Odoo'!B1299="","",'Ordenes_Odoo'!B1299)</f>
        <v/>
      </c>
      <c r="C1299" s="79">
        <f>IF('Ordenes_Odoo'!C1299="","",'Ordenes_Odoo'!C1299)</f>
        <v/>
      </c>
      <c r="D1299" s="79">
        <f>IF('Ordenes_Odoo'!D1299="","",'Ordenes_Odoo'!D1299)</f>
        <v/>
      </c>
      <c r="E1299" s="79">
        <f>IF('Ordenes_Odoo'!E1299="","",'Ordenes_Odoo'!E1299)</f>
        <v/>
      </c>
      <c r="F1299" s="79">
        <f>IF('Ordenes_Odoo'!F1299="","",'Ordenes_Odoo'!F1299)</f>
        <v/>
      </c>
      <c r="G1299" s="79">
        <f>IF('Ordenes_Odoo'!G1299="","",'Ordenes_Odoo'!G1299)</f>
        <v/>
      </c>
      <c r="H1299" s="79">
        <f>IF('Ordenes_Odoo'!H1299="","",'Ordenes_Odoo'!H1299)</f>
        <v/>
      </c>
      <c r="I1299" s="79">
        <f>IF('Ordenes_Odoo'!I1299="","",'Ordenes_Odoo'!I1299)</f>
        <v/>
      </c>
      <c r="J1299" s="79">
        <f>IF('Ordenes_Odoo'!J1299="","",'Ordenes_Odoo'!J1299)</f>
        <v/>
      </c>
      <c r="K1299" s="81">
        <f>IF('Ordenes_Odoo'!K1299="","",'Ordenes_Odoo'!K1299)</f>
        <v/>
      </c>
      <c r="L1299" s="81">
        <f>IF('Ordenes_Odoo'!L1299="","",'Ordenes_Odoo'!L1299)</f>
        <v/>
      </c>
      <c r="M1299" s="79">
        <f>IF('Ordenes_Odoo'!M1299="","",'Ordenes_Odoo'!M1299)</f>
        <v/>
      </c>
      <c r="N1299" s="79">
        <f>IF('Ordenes_Odoo'!N1299="","",'Ordenes_Odoo'!N1299)</f>
        <v/>
      </c>
      <c r="O1299" s="81">
        <f>IF('Ordenes_Odoo'!O1299="","",'Ordenes_Odoo'!O1299)</f>
        <v/>
      </c>
      <c r="P1299" s="81">
        <f>IF('Ordenes_Odoo'!P1299="","",'Ordenes_Odoo'!P1299)</f>
        <v/>
      </c>
      <c r="Q1299" s="79">
        <f>IF(A1299="","",IFERROR(INDEX(Facturas_Odoo!$B:$B, MATCH(A1299, Facturas_Odoo!$D:$D, 0)), "Sin Factura"))</f>
        <v/>
      </c>
      <c r="R1299" s="80">
        <f>IF(Q1299="Sin Factura","",IFERROR(INDEX(Facturas_Odoo!$A:$A, MATCH(Q1299, Facturas_Odoo!$B:$B, 0)), ""))</f>
        <v/>
      </c>
      <c r="S1299" s="79">
        <f>IF(Q1299="Sin Factura","",IFERROR(_xlfn.XLOOKUP(1, (Facturas_Odoo!$D:$D=A1299) * (Facturas_Odoo!$K:$K=I1299), Facturas_Odoo!$L:$L, ""), ""))</f>
        <v/>
      </c>
      <c r="T1299" s="81">
        <f>IF(Q1299="Sin Factura",0,IFERROR(_xlfn.XLOOKUP(1, (Facturas_Odoo!$D:$D=A1299) * (Facturas_Odoo!$K:$K=I1299), Facturas_Odoo!$M:$M, 0), 0))</f>
        <v/>
      </c>
      <c r="U1299" s="79">
        <f>IF(Q1299="Sin Factura",0,IFERROR(_xlfn.XLOOKUP(1, (Facturas_Odoo!$D:$D=A1299) * (Facturas_Odoo!$K:$K=I1299), Facturas_Odoo!$N:$N, 0), 0))</f>
        <v/>
      </c>
      <c r="V1299" s="79">
        <f>IF(Q1299="Sin Factura",0,IFERROR(_xlfn.XLOOKUP(1, (Facturas_Odoo!$D:$D=A1299) * (Facturas_Odoo!$K:$K=I1299), Facturas_Odoo!$O:$O, 0), 0))</f>
        <v/>
      </c>
      <c r="W1299" s="81">
        <f>IF(Q1299="Sin Factura",0,IFERROR(_xlfn.XLOOKUP(1, (Facturas_Odoo!$D:$D=A1299) * (Facturas_Odoo!$K:$K=I1299), Facturas_Odoo!$Q:$Q, 0), 0))</f>
        <v/>
      </c>
      <c r="X1299" s="79">
        <f>IF(OR(Q1299="Sin Factura",Q1299=""),"",IFERROR(INDEX(Pagos_Odoo!$B:$B, MATCH(Q1299, Pagos_Odoo!$I:$I, 0)), "Sin Pago"))</f>
        <v/>
      </c>
      <c r="Y1299" s="79">
        <f>IF(X1299="Sin Pago","",IFERROR(INDEX(Pagos_Odoo!$C:$C, MATCH(X1299, Pagos_Odoo!$B:$B, 0)), ""))</f>
        <v/>
      </c>
      <c r="Z1299" s="80">
        <f>IF(X1299="Sin Pago","",IFERROR(INDEX(Pagos_Odoo!$A:$A, MATCH(X1299, Pagos_Odoo!$B:$B, 0)), ""))</f>
        <v/>
      </c>
      <c r="AA1299" s="79">
        <f>IF(X1299="Sin Pago","",IFERROR(INDEX(Pagos_Odoo!$F:$F, MATCH(X1299, Pagos_Odoo!$B:$B, 0)), ""))</f>
        <v/>
      </c>
      <c r="AB1299" s="81">
        <f>IF(X1299="Sin Pago",0,IFERROR(INDEX(Pagos_Odoo!$E:$E, MATCH(X1299, Pagos_Odoo!$B:$B, 0)), 0))</f>
        <v/>
      </c>
      <c r="AC1299" s="79">
        <f>IF(X1299="Sin Pago","",IFERROR(INDEX(Pagos_Odoo!$G:$G, MATCH(X1299, Pagos_Odoo!$B:$B, 0)), ""))</f>
        <v/>
      </c>
      <c r="AD1299" s="82" t="n">
        <v>0</v>
      </c>
      <c r="AE1299" s="82" t="n"/>
      <c r="AF1299" s="82" t="n"/>
      <c r="AG1299" s="82">
        <f>IF(AN1299="","",AD1299+AE1299+AF1299)</f>
        <v/>
      </c>
      <c r="AH1299" s="81">
        <f>IF(AN1299="","",P1299*(1-AG1299))</f>
        <v/>
      </c>
      <c r="AI1299" s="81">
        <f>IF(AN1299="","",IF(Q1299="Sin Factura",0,IFERROR(INDEX(Facturas_Odoo!$H:$H, MATCH(Q1299, Facturas_Odoo!$B:$B, 0)), 0)*(1-AG1299)))</f>
        <v/>
      </c>
      <c r="AJ1299" s="81">
        <f>IF(AN1299="","",_xlfn.LET(idVenta, AN1299&amp;"",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299" s="81">
        <f>IF(AN1299="","",AH1299-AJ1299)</f>
        <v/>
      </c>
      <c r="AL1299" s="81">
        <f>IF(AN1299="","",IF(Q1299="Sin Factura","",AI1299-AJ1299))</f>
        <v/>
      </c>
      <c r="AM1299" s="81">
        <f>IF(AN1299="","",IF(Q1299="Sin Factura",0,P1299-IFERROR(INDEX(Facturas_Odoo!$H:$H, MATCH(Q1299, Facturas_Odoo!$B:$B, 0)), 0)))</f>
        <v/>
      </c>
      <c r="AN1299" s="79">
        <f>IF(AND(A1299="", J1299=""), "", IF(A1299&lt;&gt;"", VALUE(MID(A1299,2,LEN(A1299))), AN1298))</f>
        <v/>
      </c>
      <c r="AO1299" s="79">
        <f>IF(AN1299="","",IF(AD1299=0,"OK",_xlfn.LET(monedaPago, IF(AA1299="","USD",AA1299), limitePermitido, IFERROR(VLOOKUP(monedaPago, Configuración!$A$2:$B$3, 2, FALSE), 0.15), IF(AD1299&gt;limitePermitido, "ALERTA: EXCESO (" &amp; TEXT(limitePermitido, "0%") &amp; " máx)", "OK"))))</f>
        <v/>
      </c>
      <c r="AP1299" s="79">
        <f>IF(AN1299="","",IF(AE1299=0,"OK",_xlfn.LET(fechaPago, Z1299, fechaFactura, R1299, diasCredito, IF(E1299="Pago inmediato", 0, IFERROR(VALUE(MID(E1299, 1, SEARCH(" ", E1299)-1)),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299" s="79">
        <f>IF(AN1299="","",IF(AND(N1299&gt;0, AG1299&gt;0), IF(Configuración!$K$2="NO", "ALERTA: DESCUENTO DOBLE NO PERMITIDO", "OK"), "OK"))</f>
        <v/>
      </c>
      <c r="AR1299" s="79">
        <f>IF(AN1299="","",IF(OR(AO1299&lt;&gt;"OK", AP1299&lt;&gt;"OK", AQ1299&lt;&gt;"OK"), "⚠️ REVISAR", "OK"))</f>
        <v/>
      </c>
    </row>
    <row r="1300">
      <c r="A1300" s="79">
        <f>IF('Ordenes_Odoo'!A1300="","",'Ordenes_Odoo'!A1300)</f>
        <v/>
      </c>
      <c r="B1300" s="80">
        <f>IF('Ordenes_Odoo'!B1300="","",'Ordenes_Odoo'!B1300)</f>
        <v/>
      </c>
      <c r="C1300" s="79">
        <f>IF('Ordenes_Odoo'!C1300="","",'Ordenes_Odoo'!C1300)</f>
        <v/>
      </c>
      <c r="D1300" s="79">
        <f>IF('Ordenes_Odoo'!D1300="","",'Ordenes_Odoo'!D1300)</f>
        <v/>
      </c>
      <c r="E1300" s="79">
        <f>IF('Ordenes_Odoo'!E1300="","",'Ordenes_Odoo'!E1300)</f>
        <v/>
      </c>
      <c r="F1300" s="79">
        <f>IF('Ordenes_Odoo'!F1300="","",'Ordenes_Odoo'!F1300)</f>
        <v/>
      </c>
      <c r="G1300" s="79">
        <f>IF('Ordenes_Odoo'!G1300="","",'Ordenes_Odoo'!G1300)</f>
        <v/>
      </c>
      <c r="H1300" s="79">
        <f>IF('Ordenes_Odoo'!H1300="","",'Ordenes_Odoo'!H1300)</f>
        <v/>
      </c>
      <c r="I1300" s="79">
        <f>IF('Ordenes_Odoo'!I1300="","",'Ordenes_Odoo'!I1300)</f>
        <v/>
      </c>
      <c r="J1300" s="79">
        <f>IF('Ordenes_Odoo'!J1300="","",'Ordenes_Odoo'!J1300)</f>
        <v/>
      </c>
      <c r="K1300" s="81">
        <f>IF('Ordenes_Odoo'!K1300="","",'Ordenes_Odoo'!K1300)</f>
        <v/>
      </c>
      <c r="L1300" s="81">
        <f>IF('Ordenes_Odoo'!L1300="","",'Ordenes_Odoo'!L1300)</f>
        <v/>
      </c>
      <c r="M1300" s="79">
        <f>IF('Ordenes_Odoo'!M1300="","",'Ordenes_Odoo'!M1300)</f>
        <v/>
      </c>
      <c r="N1300" s="79">
        <f>IF('Ordenes_Odoo'!N1300="","",'Ordenes_Odoo'!N1300)</f>
        <v/>
      </c>
      <c r="O1300" s="81">
        <f>IF('Ordenes_Odoo'!O1300="","",'Ordenes_Odoo'!O1300)</f>
        <v/>
      </c>
      <c r="P1300" s="81">
        <f>IF('Ordenes_Odoo'!P1300="","",'Ordenes_Odoo'!P1300)</f>
        <v/>
      </c>
      <c r="Q1300" s="79">
        <f>IF(A1300="","",IFERROR(INDEX(Facturas_Odoo!$B:$B, MATCH(A1300, Facturas_Odoo!$D:$D, 0)), "Sin Factura"))</f>
        <v/>
      </c>
      <c r="R1300" s="80">
        <f>IF(Q1300="Sin Factura","",IFERROR(INDEX(Facturas_Odoo!$A:$A, MATCH(Q1300, Facturas_Odoo!$B:$B, 0)), ""))</f>
        <v/>
      </c>
      <c r="S1300" s="79">
        <f>IF(Q1300="Sin Factura","",IFERROR(_xlfn.XLOOKUP(1, (Facturas_Odoo!$D:$D=A1300) * (Facturas_Odoo!$K:$K=I1300), Facturas_Odoo!$L:$L, ""), ""))</f>
        <v/>
      </c>
      <c r="T1300" s="81">
        <f>IF(Q1300="Sin Factura",0,IFERROR(_xlfn.XLOOKUP(1, (Facturas_Odoo!$D:$D=A1300) * (Facturas_Odoo!$K:$K=I1300), Facturas_Odoo!$M:$M, 0), 0))</f>
        <v/>
      </c>
      <c r="U1300" s="79">
        <f>IF(Q1300="Sin Factura",0,IFERROR(_xlfn.XLOOKUP(1, (Facturas_Odoo!$D:$D=A1300) * (Facturas_Odoo!$K:$K=I1300), Facturas_Odoo!$N:$N, 0), 0))</f>
        <v/>
      </c>
      <c r="V1300" s="79">
        <f>IF(Q1300="Sin Factura",0,IFERROR(_xlfn.XLOOKUP(1, (Facturas_Odoo!$D:$D=A1300) * (Facturas_Odoo!$K:$K=I1300), Facturas_Odoo!$O:$O, 0), 0))</f>
        <v/>
      </c>
      <c r="W1300" s="81">
        <f>IF(Q1300="Sin Factura",0,IFERROR(_xlfn.XLOOKUP(1, (Facturas_Odoo!$D:$D=A1300) * (Facturas_Odoo!$K:$K=I1300), Facturas_Odoo!$Q:$Q, 0), 0))</f>
        <v/>
      </c>
      <c r="X1300" s="79">
        <f>IF(OR(Q1300="Sin Factura",Q1300=""),"",IFERROR(INDEX(Pagos_Odoo!$B:$B, MATCH(Q1300, Pagos_Odoo!$I:$I, 0)), "Sin Pago"))</f>
        <v/>
      </c>
      <c r="Y1300" s="79">
        <f>IF(X1300="Sin Pago","",IFERROR(INDEX(Pagos_Odoo!$C:$C, MATCH(X1300, Pagos_Odoo!$B:$B, 0)), ""))</f>
        <v/>
      </c>
      <c r="Z1300" s="80">
        <f>IF(X1300="Sin Pago","",IFERROR(INDEX(Pagos_Odoo!$A:$A, MATCH(X1300, Pagos_Odoo!$B:$B, 0)), ""))</f>
        <v/>
      </c>
      <c r="AA1300" s="79">
        <f>IF(X1300="Sin Pago","",IFERROR(INDEX(Pagos_Odoo!$F:$F, MATCH(X1300, Pagos_Odoo!$B:$B, 0)), ""))</f>
        <v/>
      </c>
      <c r="AB1300" s="81">
        <f>IF(X1300="Sin Pago",0,IFERROR(INDEX(Pagos_Odoo!$E:$E, MATCH(X1300, Pagos_Odoo!$B:$B, 0)), 0))</f>
        <v/>
      </c>
      <c r="AC1300" s="79">
        <f>IF(X1300="Sin Pago","",IFERROR(INDEX(Pagos_Odoo!$G:$G, MATCH(X1300, Pagos_Odoo!$B:$B, 0)), ""))</f>
        <v/>
      </c>
      <c r="AD1300" s="82" t="n">
        <v>0</v>
      </c>
      <c r="AE1300" s="82" t="n"/>
      <c r="AF1300" s="82" t="n"/>
      <c r="AG1300" s="82">
        <f>IF(AN1300="","",AD1300+AE1300+AF1300)</f>
        <v/>
      </c>
      <c r="AH1300" s="81">
        <f>IF(AN1300="","",P1300*(1-AG1300))</f>
        <v/>
      </c>
      <c r="AI1300" s="81">
        <f>IF(AN1300="","",IF(Q1300="Sin Factura",0,IFERROR(INDEX(Facturas_Odoo!$H:$H, MATCH(Q1300, Facturas_Odoo!$B:$B, 0)), 0)*(1-AG1300)))</f>
        <v/>
      </c>
      <c r="AJ1300" s="81">
        <f>IF(AN1300="","",_xlfn.LET(idVenta, AN1300&amp;"",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00" s="81">
        <f>IF(AN1300="","",AH1300-AJ1300)</f>
        <v/>
      </c>
      <c r="AL1300" s="81">
        <f>IF(AN1300="","",IF(Q1300="Sin Factura","",AI1300-AJ1300))</f>
        <v/>
      </c>
      <c r="AM1300" s="81">
        <f>IF(AN1300="","",IF(Q1300="Sin Factura",0,P1300-IFERROR(INDEX(Facturas_Odoo!$H:$H, MATCH(Q1300, Facturas_Odoo!$B:$B, 0)), 0)))</f>
        <v/>
      </c>
      <c r="AN1300" s="79">
        <f>IF(AND(A1300="", J1300=""), "", IF(A1300&lt;&gt;"", VALUE(MID(A1300,2,LEN(A1300))), AN1299))</f>
        <v/>
      </c>
      <c r="AO1300" s="79">
        <f>IF(AN1300="","",IF(AD1300=0,"OK",_xlfn.LET(monedaPago, IF(AA1300="","USD",AA1300), limitePermitido, IFERROR(VLOOKUP(monedaPago, Configuración!$A$2:$B$3, 2, FALSE), 0.15), IF(AD1300&gt;limitePermitido, "ALERTA: EXCESO (" &amp; TEXT(limitePermitido, "0%") &amp; " máx)", "OK"))))</f>
        <v/>
      </c>
      <c r="AP1300" s="79">
        <f>IF(AN1300="","",IF(AE1300=0,"OK",_xlfn.LET(fechaPago, Z1300, fechaFactura, R1300, diasCredito, IF(E1300="Pago inmediato", 0, IFERROR(VALUE(MID(E1300, 1, SEARCH(" ", E1300)-1)),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00" s="79">
        <f>IF(AN1300="","",IF(AND(N1300&gt;0, AG1300&gt;0), IF(Configuración!$K$2="NO", "ALERTA: DESCUENTO DOBLE NO PERMITIDO", "OK"), "OK"))</f>
        <v/>
      </c>
      <c r="AR1300" s="79">
        <f>IF(AN1300="","",IF(OR(AO1300&lt;&gt;"OK", AP1300&lt;&gt;"OK", AQ1300&lt;&gt;"OK"), "⚠️ REVISAR", "OK"))</f>
        <v/>
      </c>
    </row>
    <row r="1301">
      <c r="A1301" s="79">
        <f>IF('Ordenes_Odoo'!A1301="","",'Ordenes_Odoo'!A1301)</f>
        <v/>
      </c>
      <c r="B1301" s="80">
        <f>IF('Ordenes_Odoo'!B1301="","",'Ordenes_Odoo'!B1301)</f>
        <v/>
      </c>
      <c r="C1301" s="79">
        <f>IF('Ordenes_Odoo'!C1301="","",'Ordenes_Odoo'!C1301)</f>
        <v/>
      </c>
      <c r="D1301" s="79">
        <f>IF('Ordenes_Odoo'!D1301="","",'Ordenes_Odoo'!D1301)</f>
        <v/>
      </c>
      <c r="E1301" s="79">
        <f>IF('Ordenes_Odoo'!E1301="","",'Ordenes_Odoo'!E1301)</f>
        <v/>
      </c>
      <c r="F1301" s="79">
        <f>IF('Ordenes_Odoo'!F1301="","",'Ordenes_Odoo'!F1301)</f>
        <v/>
      </c>
      <c r="G1301" s="79">
        <f>IF('Ordenes_Odoo'!G1301="","",'Ordenes_Odoo'!G1301)</f>
        <v/>
      </c>
      <c r="H1301" s="79">
        <f>IF('Ordenes_Odoo'!H1301="","",'Ordenes_Odoo'!H1301)</f>
        <v/>
      </c>
      <c r="I1301" s="79">
        <f>IF('Ordenes_Odoo'!I1301="","",'Ordenes_Odoo'!I1301)</f>
        <v/>
      </c>
      <c r="J1301" s="79">
        <f>IF('Ordenes_Odoo'!J1301="","",'Ordenes_Odoo'!J1301)</f>
        <v/>
      </c>
      <c r="K1301" s="81">
        <f>IF('Ordenes_Odoo'!K1301="","",'Ordenes_Odoo'!K1301)</f>
        <v/>
      </c>
      <c r="L1301" s="81">
        <f>IF('Ordenes_Odoo'!L1301="","",'Ordenes_Odoo'!L1301)</f>
        <v/>
      </c>
      <c r="M1301" s="79">
        <f>IF('Ordenes_Odoo'!M1301="","",'Ordenes_Odoo'!M1301)</f>
        <v/>
      </c>
      <c r="N1301" s="79">
        <f>IF('Ordenes_Odoo'!N1301="","",'Ordenes_Odoo'!N1301)</f>
        <v/>
      </c>
      <c r="O1301" s="81">
        <f>IF('Ordenes_Odoo'!O1301="","",'Ordenes_Odoo'!O1301)</f>
        <v/>
      </c>
      <c r="P1301" s="81">
        <f>IF('Ordenes_Odoo'!P1301="","",'Ordenes_Odoo'!P1301)</f>
        <v/>
      </c>
      <c r="Q1301" s="79">
        <f>IF(A1301="","",IFERROR(INDEX(Facturas_Odoo!$B:$B, MATCH(A1301, Facturas_Odoo!$D:$D, 0)), "Sin Factura"))</f>
        <v/>
      </c>
      <c r="R1301" s="80">
        <f>IF(Q1301="Sin Factura","",IFERROR(INDEX(Facturas_Odoo!$A:$A, MATCH(Q1301, Facturas_Odoo!$B:$B, 0)), ""))</f>
        <v/>
      </c>
      <c r="S1301" s="79">
        <f>IF(Q1301="Sin Factura","",IFERROR(_xlfn.XLOOKUP(1, (Facturas_Odoo!$D:$D=A1301) * (Facturas_Odoo!$K:$K=I1301), Facturas_Odoo!$L:$L, ""), ""))</f>
        <v/>
      </c>
      <c r="T1301" s="81">
        <f>IF(Q1301="Sin Factura",0,IFERROR(_xlfn.XLOOKUP(1, (Facturas_Odoo!$D:$D=A1301) * (Facturas_Odoo!$K:$K=I1301), Facturas_Odoo!$M:$M, 0), 0))</f>
        <v/>
      </c>
      <c r="U1301" s="79">
        <f>IF(Q1301="Sin Factura",0,IFERROR(_xlfn.XLOOKUP(1, (Facturas_Odoo!$D:$D=A1301) * (Facturas_Odoo!$K:$K=I1301), Facturas_Odoo!$N:$N, 0), 0))</f>
        <v/>
      </c>
      <c r="V1301" s="79">
        <f>IF(Q1301="Sin Factura",0,IFERROR(_xlfn.XLOOKUP(1, (Facturas_Odoo!$D:$D=A1301) * (Facturas_Odoo!$K:$K=I1301), Facturas_Odoo!$O:$O, 0), 0))</f>
        <v/>
      </c>
      <c r="W1301" s="81">
        <f>IF(Q1301="Sin Factura",0,IFERROR(_xlfn.XLOOKUP(1, (Facturas_Odoo!$D:$D=A1301) * (Facturas_Odoo!$K:$K=I1301), Facturas_Odoo!$Q:$Q, 0), 0))</f>
        <v/>
      </c>
      <c r="X1301" s="79">
        <f>IF(OR(Q1301="Sin Factura",Q1301=""),"",IFERROR(INDEX(Pagos_Odoo!$B:$B, MATCH(Q1301, Pagos_Odoo!$I:$I, 0)), "Sin Pago"))</f>
        <v/>
      </c>
      <c r="Y1301" s="79">
        <f>IF(X1301="Sin Pago","",IFERROR(INDEX(Pagos_Odoo!$C:$C, MATCH(X1301, Pagos_Odoo!$B:$B, 0)), ""))</f>
        <v/>
      </c>
      <c r="Z1301" s="80">
        <f>IF(X1301="Sin Pago","",IFERROR(INDEX(Pagos_Odoo!$A:$A, MATCH(X1301, Pagos_Odoo!$B:$B, 0)), ""))</f>
        <v/>
      </c>
      <c r="AA1301" s="79">
        <f>IF(X1301="Sin Pago","",IFERROR(INDEX(Pagos_Odoo!$F:$F, MATCH(X1301, Pagos_Odoo!$B:$B, 0)), ""))</f>
        <v/>
      </c>
      <c r="AB1301" s="81">
        <f>IF(X1301="Sin Pago",0,IFERROR(INDEX(Pagos_Odoo!$E:$E, MATCH(X1301, Pagos_Odoo!$B:$B, 0)), 0))</f>
        <v/>
      </c>
      <c r="AC1301" s="79">
        <f>IF(X1301="Sin Pago","",IFERROR(INDEX(Pagos_Odoo!$G:$G, MATCH(X1301, Pagos_Odoo!$B:$B, 0)), ""))</f>
        <v/>
      </c>
      <c r="AD1301" s="82" t="n">
        <v>0</v>
      </c>
      <c r="AE1301" s="82" t="n"/>
      <c r="AF1301" s="82" t="n"/>
      <c r="AG1301" s="82">
        <f>IF(AN1301="","",AD1301+AE1301+AF1301)</f>
        <v/>
      </c>
      <c r="AH1301" s="81">
        <f>IF(AN1301="","",P1301*(1-AG1301))</f>
        <v/>
      </c>
      <c r="AI1301" s="81">
        <f>IF(AN1301="","",IF(Q1301="Sin Factura",0,IFERROR(INDEX(Facturas_Odoo!$H:$H, MATCH(Q1301, Facturas_Odoo!$B:$B, 0)), 0)*(1-AG1301)))</f>
        <v/>
      </c>
      <c r="AJ1301" s="81">
        <f>IF(AN1301="","",_xlfn.LET(idVenta, AN1301&amp;"",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01" s="81">
        <f>IF(AN1301="","",AH1301-AJ1301)</f>
        <v/>
      </c>
      <c r="AL1301" s="81">
        <f>IF(AN1301="","",IF(Q1301="Sin Factura","",AI1301-AJ1301))</f>
        <v/>
      </c>
      <c r="AM1301" s="81">
        <f>IF(AN1301="","",IF(Q1301="Sin Factura",0,P1301-IFERROR(INDEX(Facturas_Odoo!$H:$H, MATCH(Q1301, Facturas_Odoo!$B:$B, 0)), 0)))</f>
        <v/>
      </c>
      <c r="AN1301" s="79">
        <f>IF(AND(A1301="", J1301=""), "", IF(A1301&lt;&gt;"", VALUE(MID(A1301,2,LEN(A1301))), AN1300))</f>
        <v/>
      </c>
      <c r="AO1301" s="79">
        <f>IF(AN1301="","",IF(AD1301=0,"OK",_xlfn.LET(monedaPago, IF(AA1301="","USD",AA1301), limitePermitido, IFERROR(VLOOKUP(monedaPago, Configuración!$A$2:$B$3, 2, FALSE), 0.15), IF(AD1301&gt;limitePermitido, "ALERTA: EXCESO (" &amp; TEXT(limitePermitido, "0%") &amp; " máx)", "OK"))))</f>
        <v/>
      </c>
      <c r="AP1301" s="79">
        <f>IF(AN1301="","",IF(AE1301=0,"OK",_xlfn.LET(fechaPago, Z1301, fechaFactura, R1301, diasCredito, IF(E1301="Pago inmediato", 0, IFERROR(VALUE(MID(E1301, 1, SEARCH(" ", E1301)-1)),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01" s="79">
        <f>IF(AN1301="","",IF(AND(N1301&gt;0, AG1301&gt;0), IF(Configuración!$K$2="NO", "ALERTA: DESCUENTO DOBLE NO PERMITIDO", "OK"), "OK"))</f>
        <v/>
      </c>
      <c r="AR1301" s="79">
        <f>IF(AN1301="","",IF(OR(AO1301&lt;&gt;"OK", AP1301&lt;&gt;"OK", AQ1301&lt;&gt;"OK"), "⚠️ REVISAR", "OK"))</f>
        <v/>
      </c>
    </row>
    <row r="1302">
      <c r="A1302" s="79">
        <f>IF('Ordenes_Odoo'!A1302="","",'Ordenes_Odoo'!A1302)</f>
        <v/>
      </c>
      <c r="B1302" s="80">
        <f>IF('Ordenes_Odoo'!B1302="","",'Ordenes_Odoo'!B1302)</f>
        <v/>
      </c>
      <c r="C1302" s="79">
        <f>IF('Ordenes_Odoo'!C1302="","",'Ordenes_Odoo'!C1302)</f>
        <v/>
      </c>
      <c r="D1302" s="79">
        <f>IF('Ordenes_Odoo'!D1302="","",'Ordenes_Odoo'!D1302)</f>
        <v/>
      </c>
      <c r="E1302" s="79">
        <f>IF('Ordenes_Odoo'!E1302="","",'Ordenes_Odoo'!E1302)</f>
        <v/>
      </c>
      <c r="F1302" s="79">
        <f>IF('Ordenes_Odoo'!F1302="","",'Ordenes_Odoo'!F1302)</f>
        <v/>
      </c>
      <c r="G1302" s="79">
        <f>IF('Ordenes_Odoo'!G1302="","",'Ordenes_Odoo'!G1302)</f>
        <v/>
      </c>
      <c r="H1302" s="79">
        <f>IF('Ordenes_Odoo'!H1302="","",'Ordenes_Odoo'!H1302)</f>
        <v/>
      </c>
      <c r="I1302" s="79">
        <f>IF('Ordenes_Odoo'!I1302="","",'Ordenes_Odoo'!I1302)</f>
        <v/>
      </c>
      <c r="J1302" s="79">
        <f>IF('Ordenes_Odoo'!J1302="","",'Ordenes_Odoo'!J1302)</f>
        <v/>
      </c>
      <c r="K1302" s="81">
        <f>IF('Ordenes_Odoo'!K1302="","",'Ordenes_Odoo'!K1302)</f>
        <v/>
      </c>
      <c r="L1302" s="81">
        <f>IF('Ordenes_Odoo'!L1302="","",'Ordenes_Odoo'!L1302)</f>
        <v/>
      </c>
      <c r="M1302" s="79">
        <f>IF('Ordenes_Odoo'!M1302="","",'Ordenes_Odoo'!M1302)</f>
        <v/>
      </c>
      <c r="N1302" s="79">
        <f>IF('Ordenes_Odoo'!N1302="","",'Ordenes_Odoo'!N1302)</f>
        <v/>
      </c>
      <c r="O1302" s="81">
        <f>IF('Ordenes_Odoo'!O1302="","",'Ordenes_Odoo'!O1302)</f>
        <v/>
      </c>
      <c r="P1302" s="81">
        <f>IF('Ordenes_Odoo'!P1302="","",'Ordenes_Odoo'!P1302)</f>
        <v/>
      </c>
      <c r="Q1302" s="79">
        <f>IF(A1302="","",IFERROR(INDEX(Facturas_Odoo!$B:$B, MATCH(A1302, Facturas_Odoo!$D:$D, 0)), "Sin Factura"))</f>
        <v/>
      </c>
      <c r="R1302" s="80">
        <f>IF(Q1302="Sin Factura","",IFERROR(INDEX(Facturas_Odoo!$A:$A, MATCH(Q1302, Facturas_Odoo!$B:$B, 0)), ""))</f>
        <v/>
      </c>
      <c r="S1302" s="79">
        <f>IF(Q1302="Sin Factura","",IFERROR(_xlfn.XLOOKUP(1, (Facturas_Odoo!$D:$D=A1302) * (Facturas_Odoo!$K:$K=I1302), Facturas_Odoo!$L:$L, ""), ""))</f>
        <v/>
      </c>
      <c r="T1302" s="81">
        <f>IF(Q1302="Sin Factura",0,IFERROR(_xlfn.XLOOKUP(1, (Facturas_Odoo!$D:$D=A1302) * (Facturas_Odoo!$K:$K=I1302), Facturas_Odoo!$M:$M, 0), 0))</f>
        <v/>
      </c>
      <c r="U1302" s="79">
        <f>IF(Q1302="Sin Factura",0,IFERROR(_xlfn.XLOOKUP(1, (Facturas_Odoo!$D:$D=A1302) * (Facturas_Odoo!$K:$K=I1302), Facturas_Odoo!$N:$N, 0), 0))</f>
        <v/>
      </c>
      <c r="V1302" s="79">
        <f>IF(Q1302="Sin Factura",0,IFERROR(_xlfn.XLOOKUP(1, (Facturas_Odoo!$D:$D=A1302) * (Facturas_Odoo!$K:$K=I1302), Facturas_Odoo!$O:$O, 0), 0))</f>
        <v/>
      </c>
      <c r="W1302" s="81">
        <f>IF(Q1302="Sin Factura",0,IFERROR(_xlfn.XLOOKUP(1, (Facturas_Odoo!$D:$D=A1302) * (Facturas_Odoo!$K:$K=I1302), Facturas_Odoo!$Q:$Q, 0), 0))</f>
        <v/>
      </c>
      <c r="X1302" s="79">
        <f>IF(OR(Q1302="Sin Factura",Q1302=""),"",IFERROR(INDEX(Pagos_Odoo!$B:$B, MATCH(Q1302, Pagos_Odoo!$I:$I, 0)), "Sin Pago"))</f>
        <v/>
      </c>
      <c r="Y1302" s="79">
        <f>IF(X1302="Sin Pago","",IFERROR(INDEX(Pagos_Odoo!$C:$C, MATCH(X1302, Pagos_Odoo!$B:$B, 0)), ""))</f>
        <v/>
      </c>
      <c r="Z1302" s="80">
        <f>IF(X1302="Sin Pago","",IFERROR(INDEX(Pagos_Odoo!$A:$A, MATCH(X1302, Pagos_Odoo!$B:$B, 0)), ""))</f>
        <v/>
      </c>
      <c r="AA1302" s="79">
        <f>IF(X1302="Sin Pago","",IFERROR(INDEX(Pagos_Odoo!$F:$F, MATCH(X1302, Pagos_Odoo!$B:$B, 0)), ""))</f>
        <v/>
      </c>
      <c r="AB1302" s="81">
        <f>IF(X1302="Sin Pago",0,IFERROR(INDEX(Pagos_Odoo!$E:$E, MATCH(X1302, Pagos_Odoo!$B:$B, 0)), 0))</f>
        <v/>
      </c>
      <c r="AC1302" s="79">
        <f>IF(X1302="Sin Pago","",IFERROR(INDEX(Pagos_Odoo!$G:$G, MATCH(X1302, Pagos_Odoo!$B:$B, 0)), ""))</f>
        <v/>
      </c>
      <c r="AD1302" s="82" t="n">
        <v>0</v>
      </c>
      <c r="AE1302" s="82" t="n"/>
      <c r="AF1302" s="82" t="n"/>
      <c r="AG1302" s="82">
        <f>IF(AN1302="","",AD1302+AE1302+AF1302)</f>
        <v/>
      </c>
      <c r="AH1302" s="81">
        <f>IF(AN1302="","",P1302*(1-AG1302))</f>
        <v/>
      </c>
      <c r="AI1302" s="81">
        <f>IF(AN1302="","",IF(Q1302="Sin Factura",0,IFERROR(INDEX(Facturas_Odoo!$H:$H, MATCH(Q1302, Facturas_Odoo!$B:$B, 0)), 0)*(1-AG1302)))</f>
        <v/>
      </c>
      <c r="AJ1302" s="81">
        <f>IF(AN1302="","",_xlfn.LET(idVenta, AN1302&amp;"",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02" s="81">
        <f>IF(AN1302="","",AH1302-AJ1302)</f>
        <v/>
      </c>
      <c r="AL1302" s="81">
        <f>IF(AN1302="","",IF(Q1302="Sin Factura","",AI1302-AJ1302))</f>
        <v/>
      </c>
      <c r="AM1302" s="81">
        <f>IF(AN1302="","",IF(Q1302="Sin Factura",0,P1302-IFERROR(INDEX(Facturas_Odoo!$H:$H, MATCH(Q1302, Facturas_Odoo!$B:$B, 0)), 0)))</f>
        <v/>
      </c>
      <c r="AN1302" s="79">
        <f>IF(AND(A1302="", J1302=""), "", IF(A1302&lt;&gt;"", VALUE(MID(A1302,2,LEN(A1302))), AN1301))</f>
        <v/>
      </c>
      <c r="AO1302" s="79">
        <f>IF(AN1302="","",IF(AD1302=0,"OK",_xlfn.LET(monedaPago, IF(AA1302="","USD",AA1302), limitePermitido, IFERROR(VLOOKUP(monedaPago, Configuración!$A$2:$B$3, 2, FALSE), 0.15), IF(AD1302&gt;limitePermitido, "ALERTA: EXCESO (" &amp; TEXT(limitePermitido, "0%") &amp; " máx)", "OK"))))</f>
        <v/>
      </c>
      <c r="AP1302" s="79">
        <f>IF(AN1302="","",IF(AE1302=0,"OK",_xlfn.LET(fechaPago, Z1302, fechaFactura, R1302, diasCredito, IF(E1302="Pago inmediato", 0, IFERROR(VALUE(MID(E1302, 1, SEARCH(" ", E1302)-1)),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02" s="79">
        <f>IF(AN1302="","",IF(AND(N1302&gt;0, AG1302&gt;0), IF(Configuración!$K$2="NO", "ALERTA: DESCUENTO DOBLE NO PERMITIDO", "OK"), "OK"))</f>
        <v/>
      </c>
      <c r="AR1302" s="79">
        <f>IF(AN1302="","",IF(OR(AO1302&lt;&gt;"OK", AP1302&lt;&gt;"OK", AQ1302&lt;&gt;"OK"), "⚠️ REVISAR", "OK"))</f>
        <v/>
      </c>
    </row>
    <row r="1303">
      <c r="A1303" s="79">
        <f>IF('Ordenes_Odoo'!A1303="","",'Ordenes_Odoo'!A1303)</f>
        <v/>
      </c>
      <c r="B1303" s="80">
        <f>IF('Ordenes_Odoo'!B1303="","",'Ordenes_Odoo'!B1303)</f>
        <v/>
      </c>
      <c r="C1303" s="79">
        <f>IF('Ordenes_Odoo'!C1303="","",'Ordenes_Odoo'!C1303)</f>
        <v/>
      </c>
      <c r="D1303" s="79">
        <f>IF('Ordenes_Odoo'!D1303="","",'Ordenes_Odoo'!D1303)</f>
        <v/>
      </c>
      <c r="E1303" s="79">
        <f>IF('Ordenes_Odoo'!E1303="","",'Ordenes_Odoo'!E1303)</f>
        <v/>
      </c>
      <c r="F1303" s="79">
        <f>IF('Ordenes_Odoo'!F1303="","",'Ordenes_Odoo'!F1303)</f>
        <v/>
      </c>
      <c r="G1303" s="79">
        <f>IF('Ordenes_Odoo'!G1303="","",'Ordenes_Odoo'!G1303)</f>
        <v/>
      </c>
      <c r="H1303" s="79">
        <f>IF('Ordenes_Odoo'!H1303="","",'Ordenes_Odoo'!H1303)</f>
        <v/>
      </c>
      <c r="I1303" s="79">
        <f>IF('Ordenes_Odoo'!I1303="","",'Ordenes_Odoo'!I1303)</f>
        <v/>
      </c>
      <c r="J1303" s="79">
        <f>IF('Ordenes_Odoo'!J1303="","",'Ordenes_Odoo'!J1303)</f>
        <v/>
      </c>
      <c r="K1303" s="81">
        <f>IF('Ordenes_Odoo'!K1303="","",'Ordenes_Odoo'!K1303)</f>
        <v/>
      </c>
      <c r="L1303" s="81">
        <f>IF('Ordenes_Odoo'!L1303="","",'Ordenes_Odoo'!L1303)</f>
        <v/>
      </c>
      <c r="M1303" s="79">
        <f>IF('Ordenes_Odoo'!M1303="","",'Ordenes_Odoo'!M1303)</f>
        <v/>
      </c>
      <c r="N1303" s="79">
        <f>IF('Ordenes_Odoo'!N1303="","",'Ordenes_Odoo'!N1303)</f>
        <v/>
      </c>
      <c r="O1303" s="81">
        <f>IF('Ordenes_Odoo'!O1303="","",'Ordenes_Odoo'!O1303)</f>
        <v/>
      </c>
      <c r="P1303" s="81">
        <f>IF('Ordenes_Odoo'!P1303="","",'Ordenes_Odoo'!P1303)</f>
        <v/>
      </c>
      <c r="Q1303" s="79">
        <f>IF(A1303="","",IFERROR(INDEX(Facturas_Odoo!$B:$B, MATCH(A1303, Facturas_Odoo!$D:$D, 0)), "Sin Factura"))</f>
        <v/>
      </c>
      <c r="R1303" s="80">
        <f>IF(Q1303="Sin Factura","",IFERROR(INDEX(Facturas_Odoo!$A:$A, MATCH(Q1303, Facturas_Odoo!$B:$B, 0)), ""))</f>
        <v/>
      </c>
      <c r="S1303" s="79">
        <f>IF(Q1303="Sin Factura","",IFERROR(_xlfn.XLOOKUP(1, (Facturas_Odoo!$D:$D=A1303) * (Facturas_Odoo!$K:$K=I1303), Facturas_Odoo!$L:$L, ""), ""))</f>
        <v/>
      </c>
      <c r="T1303" s="81">
        <f>IF(Q1303="Sin Factura",0,IFERROR(_xlfn.XLOOKUP(1, (Facturas_Odoo!$D:$D=A1303) * (Facturas_Odoo!$K:$K=I1303), Facturas_Odoo!$M:$M, 0), 0))</f>
        <v/>
      </c>
      <c r="U1303" s="79">
        <f>IF(Q1303="Sin Factura",0,IFERROR(_xlfn.XLOOKUP(1, (Facturas_Odoo!$D:$D=A1303) * (Facturas_Odoo!$K:$K=I1303), Facturas_Odoo!$N:$N, 0), 0))</f>
        <v/>
      </c>
      <c r="V1303" s="79">
        <f>IF(Q1303="Sin Factura",0,IFERROR(_xlfn.XLOOKUP(1, (Facturas_Odoo!$D:$D=A1303) * (Facturas_Odoo!$K:$K=I1303), Facturas_Odoo!$O:$O, 0), 0))</f>
        <v/>
      </c>
      <c r="W1303" s="81">
        <f>IF(Q1303="Sin Factura",0,IFERROR(_xlfn.XLOOKUP(1, (Facturas_Odoo!$D:$D=A1303) * (Facturas_Odoo!$K:$K=I1303), Facturas_Odoo!$Q:$Q, 0), 0))</f>
        <v/>
      </c>
      <c r="X1303" s="79">
        <f>IF(OR(Q1303="Sin Factura",Q1303=""),"",IFERROR(INDEX(Pagos_Odoo!$B:$B, MATCH(Q1303, Pagos_Odoo!$I:$I, 0)), "Sin Pago"))</f>
        <v/>
      </c>
      <c r="Y1303" s="79">
        <f>IF(X1303="Sin Pago","",IFERROR(INDEX(Pagos_Odoo!$C:$C, MATCH(X1303, Pagos_Odoo!$B:$B, 0)), ""))</f>
        <v/>
      </c>
      <c r="Z1303" s="80">
        <f>IF(X1303="Sin Pago","",IFERROR(INDEX(Pagos_Odoo!$A:$A, MATCH(X1303, Pagos_Odoo!$B:$B, 0)), ""))</f>
        <v/>
      </c>
      <c r="AA1303" s="79">
        <f>IF(X1303="Sin Pago","",IFERROR(INDEX(Pagos_Odoo!$F:$F, MATCH(X1303, Pagos_Odoo!$B:$B, 0)), ""))</f>
        <v/>
      </c>
      <c r="AB1303" s="81">
        <f>IF(X1303="Sin Pago",0,IFERROR(INDEX(Pagos_Odoo!$E:$E, MATCH(X1303, Pagos_Odoo!$B:$B, 0)), 0))</f>
        <v/>
      </c>
      <c r="AC1303" s="79">
        <f>IF(X1303="Sin Pago","",IFERROR(INDEX(Pagos_Odoo!$G:$G, MATCH(X1303, Pagos_Odoo!$B:$B, 0)), ""))</f>
        <v/>
      </c>
      <c r="AD1303" s="82" t="n">
        <v>0</v>
      </c>
      <c r="AE1303" s="82" t="n"/>
      <c r="AF1303" s="82" t="n"/>
      <c r="AG1303" s="82">
        <f>IF(AN1303="","",AD1303+AE1303+AF1303)</f>
        <v/>
      </c>
      <c r="AH1303" s="81">
        <f>IF(AN1303="","",P1303*(1-AG1303))</f>
        <v/>
      </c>
      <c r="AI1303" s="81">
        <f>IF(AN1303="","",IF(Q1303="Sin Factura",0,IFERROR(INDEX(Facturas_Odoo!$H:$H, MATCH(Q1303, Facturas_Odoo!$B:$B, 0)), 0)*(1-AG1303)))</f>
        <v/>
      </c>
      <c r="AJ1303" s="81">
        <f>IF(AN1303="","",_xlfn.LET(idVenta, AN1303&amp;"",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03" s="81">
        <f>IF(AN1303="","",AH1303-AJ1303)</f>
        <v/>
      </c>
      <c r="AL1303" s="81">
        <f>IF(AN1303="","",IF(Q1303="Sin Factura","",AI1303-AJ1303))</f>
        <v/>
      </c>
      <c r="AM1303" s="81">
        <f>IF(AN1303="","",IF(Q1303="Sin Factura",0,P1303-IFERROR(INDEX(Facturas_Odoo!$H:$H, MATCH(Q1303, Facturas_Odoo!$B:$B, 0)), 0)))</f>
        <v/>
      </c>
      <c r="AN1303" s="79">
        <f>IF(AND(A1303="", J1303=""), "", IF(A1303&lt;&gt;"", VALUE(MID(A1303,2,LEN(A1303))), AN1302))</f>
        <v/>
      </c>
      <c r="AO1303" s="79">
        <f>IF(AN1303="","",IF(AD1303=0,"OK",_xlfn.LET(monedaPago, IF(AA1303="","USD",AA1303), limitePermitido, IFERROR(VLOOKUP(monedaPago, Configuración!$A$2:$B$3, 2, FALSE), 0.15), IF(AD1303&gt;limitePermitido, "ALERTA: EXCESO (" &amp; TEXT(limitePermitido, "0%") &amp; " máx)", "OK"))))</f>
        <v/>
      </c>
      <c r="AP1303" s="79">
        <f>IF(AN1303="","",IF(AE1303=0,"OK",_xlfn.LET(fechaPago, Z1303, fechaFactura, R1303, diasCredito, IF(E1303="Pago inmediato", 0, IFERROR(VALUE(MID(E1303, 1, SEARCH(" ", E1303)-1)),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03" s="79">
        <f>IF(AN1303="","",IF(AND(N1303&gt;0, AG1303&gt;0), IF(Configuración!$K$2="NO", "ALERTA: DESCUENTO DOBLE NO PERMITIDO", "OK"), "OK"))</f>
        <v/>
      </c>
      <c r="AR1303" s="79">
        <f>IF(AN1303="","",IF(OR(AO1303&lt;&gt;"OK", AP1303&lt;&gt;"OK", AQ1303&lt;&gt;"OK"), "⚠️ REVISAR", "OK"))</f>
        <v/>
      </c>
    </row>
    <row r="1304">
      <c r="A1304" s="79">
        <f>IF('Ordenes_Odoo'!A1304="","",'Ordenes_Odoo'!A1304)</f>
        <v/>
      </c>
      <c r="B1304" s="80">
        <f>IF('Ordenes_Odoo'!B1304="","",'Ordenes_Odoo'!B1304)</f>
        <v/>
      </c>
      <c r="C1304" s="79">
        <f>IF('Ordenes_Odoo'!C1304="","",'Ordenes_Odoo'!C1304)</f>
        <v/>
      </c>
      <c r="D1304" s="79">
        <f>IF('Ordenes_Odoo'!D1304="","",'Ordenes_Odoo'!D1304)</f>
        <v/>
      </c>
      <c r="E1304" s="79">
        <f>IF('Ordenes_Odoo'!E1304="","",'Ordenes_Odoo'!E1304)</f>
        <v/>
      </c>
      <c r="F1304" s="79">
        <f>IF('Ordenes_Odoo'!F1304="","",'Ordenes_Odoo'!F1304)</f>
        <v/>
      </c>
      <c r="G1304" s="79">
        <f>IF('Ordenes_Odoo'!G1304="","",'Ordenes_Odoo'!G1304)</f>
        <v/>
      </c>
      <c r="H1304" s="79">
        <f>IF('Ordenes_Odoo'!H1304="","",'Ordenes_Odoo'!H1304)</f>
        <v/>
      </c>
      <c r="I1304" s="79">
        <f>IF('Ordenes_Odoo'!I1304="","",'Ordenes_Odoo'!I1304)</f>
        <v/>
      </c>
      <c r="J1304" s="79">
        <f>IF('Ordenes_Odoo'!J1304="","",'Ordenes_Odoo'!J1304)</f>
        <v/>
      </c>
      <c r="K1304" s="81">
        <f>IF('Ordenes_Odoo'!K1304="","",'Ordenes_Odoo'!K1304)</f>
        <v/>
      </c>
      <c r="L1304" s="81">
        <f>IF('Ordenes_Odoo'!L1304="","",'Ordenes_Odoo'!L1304)</f>
        <v/>
      </c>
      <c r="M1304" s="79">
        <f>IF('Ordenes_Odoo'!M1304="","",'Ordenes_Odoo'!M1304)</f>
        <v/>
      </c>
      <c r="N1304" s="79">
        <f>IF('Ordenes_Odoo'!N1304="","",'Ordenes_Odoo'!N1304)</f>
        <v/>
      </c>
      <c r="O1304" s="81">
        <f>IF('Ordenes_Odoo'!O1304="","",'Ordenes_Odoo'!O1304)</f>
        <v/>
      </c>
      <c r="P1304" s="81">
        <f>IF('Ordenes_Odoo'!P1304="","",'Ordenes_Odoo'!P1304)</f>
        <v/>
      </c>
      <c r="Q1304" s="79">
        <f>IF(A1304="","",IFERROR(INDEX(Facturas_Odoo!$B:$B, MATCH(A1304, Facturas_Odoo!$D:$D, 0)), "Sin Factura"))</f>
        <v/>
      </c>
      <c r="R1304" s="80">
        <f>IF(Q1304="Sin Factura","",IFERROR(INDEX(Facturas_Odoo!$A:$A, MATCH(Q1304, Facturas_Odoo!$B:$B, 0)), ""))</f>
        <v/>
      </c>
      <c r="S1304" s="79">
        <f>IF(Q1304="Sin Factura","",IFERROR(_xlfn.XLOOKUP(1, (Facturas_Odoo!$D:$D=A1304) * (Facturas_Odoo!$K:$K=I1304), Facturas_Odoo!$L:$L, ""), ""))</f>
        <v/>
      </c>
      <c r="T1304" s="81">
        <f>IF(Q1304="Sin Factura",0,IFERROR(_xlfn.XLOOKUP(1, (Facturas_Odoo!$D:$D=A1304) * (Facturas_Odoo!$K:$K=I1304), Facturas_Odoo!$M:$M, 0), 0))</f>
        <v/>
      </c>
      <c r="U1304" s="79">
        <f>IF(Q1304="Sin Factura",0,IFERROR(_xlfn.XLOOKUP(1, (Facturas_Odoo!$D:$D=A1304) * (Facturas_Odoo!$K:$K=I1304), Facturas_Odoo!$N:$N, 0), 0))</f>
        <v/>
      </c>
      <c r="V1304" s="79">
        <f>IF(Q1304="Sin Factura",0,IFERROR(_xlfn.XLOOKUP(1, (Facturas_Odoo!$D:$D=A1304) * (Facturas_Odoo!$K:$K=I1304), Facturas_Odoo!$O:$O, 0), 0))</f>
        <v/>
      </c>
      <c r="W1304" s="81">
        <f>IF(Q1304="Sin Factura",0,IFERROR(_xlfn.XLOOKUP(1, (Facturas_Odoo!$D:$D=A1304) * (Facturas_Odoo!$K:$K=I1304), Facturas_Odoo!$Q:$Q, 0), 0))</f>
        <v/>
      </c>
      <c r="X1304" s="79">
        <f>IF(OR(Q1304="Sin Factura",Q1304=""),"",IFERROR(INDEX(Pagos_Odoo!$B:$B, MATCH(Q1304, Pagos_Odoo!$I:$I, 0)), "Sin Pago"))</f>
        <v/>
      </c>
      <c r="Y1304" s="79">
        <f>IF(X1304="Sin Pago","",IFERROR(INDEX(Pagos_Odoo!$C:$C, MATCH(X1304, Pagos_Odoo!$B:$B, 0)), ""))</f>
        <v/>
      </c>
      <c r="Z1304" s="80">
        <f>IF(X1304="Sin Pago","",IFERROR(INDEX(Pagos_Odoo!$A:$A, MATCH(X1304, Pagos_Odoo!$B:$B, 0)), ""))</f>
        <v/>
      </c>
      <c r="AA1304" s="79">
        <f>IF(X1304="Sin Pago","",IFERROR(INDEX(Pagos_Odoo!$F:$F, MATCH(X1304, Pagos_Odoo!$B:$B, 0)), ""))</f>
        <v/>
      </c>
      <c r="AB1304" s="81">
        <f>IF(X1304="Sin Pago",0,IFERROR(INDEX(Pagos_Odoo!$E:$E, MATCH(X1304, Pagos_Odoo!$B:$B, 0)), 0))</f>
        <v/>
      </c>
      <c r="AC1304" s="79">
        <f>IF(X1304="Sin Pago","",IFERROR(INDEX(Pagos_Odoo!$G:$G, MATCH(X1304, Pagos_Odoo!$B:$B, 0)), ""))</f>
        <v/>
      </c>
      <c r="AD1304" s="82" t="n">
        <v>0</v>
      </c>
      <c r="AE1304" s="82" t="n"/>
      <c r="AF1304" s="82" t="n"/>
      <c r="AG1304" s="82">
        <f>IF(AN1304="","",AD1304+AE1304+AF1304)</f>
        <v/>
      </c>
      <c r="AH1304" s="81">
        <f>IF(AN1304="","",P1304*(1-AG1304))</f>
        <v/>
      </c>
      <c r="AI1304" s="81">
        <f>IF(AN1304="","",IF(Q1304="Sin Factura",0,IFERROR(INDEX(Facturas_Odoo!$H:$H, MATCH(Q1304, Facturas_Odoo!$B:$B, 0)), 0)*(1-AG1304)))</f>
        <v/>
      </c>
      <c r="AJ1304" s="81">
        <f>IF(AN1304="","",_xlfn.LET(idVenta, AN1304&amp;"",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04" s="81">
        <f>IF(AN1304="","",AH1304-AJ1304)</f>
        <v/>
      </c>
      <c r="AL1304" s="81">
        <f>IF(AN1304="","",IF(Q1304="Sin Factura","",AI1304-AJ1304))</f>
        <v/>
      </c>
      <c r="AM1304" s="81">
        <f>IF(AN1304="","",IF(Q1304="Sin Factura",0,P1304-IFERROR(INDEX(Facturas_Odoo!$H:$H, MATCH(Q1304, Facturas_Odoo!$B:$B, 0)), 0)))</f>
        <v/>
      </c>
      <c r="AN1304" s="79">
        <f>IF(AND(A1304="", J1304=""), "", IF(A1304&lt;&gt;"", VALUE(MID(A1304,2,LEN(A1304))), AN1303))</f>
        <v/>
      </c>
      <c r="AO1304" s="79">
        <f>IF(AN1304="","",IF(AD1304=0,"OK",_xlfn.LET(monedaPago, IF(AA1304="","USD",AA1304), limitePermitido, IFERROR(VLOOKUP(monedaPago, Configuración!$A$2:$B$3, 2, FALSE), 0.15), IF(AD1304&gt;limitePermitido, "ALERTA: EXCESO (" &amp; TEXT(limitePermitido, "0%") &amp; " máx)", "OK"))))</f>
        <v/>
      </c>
      <c r="AP1304" s="79">
        <f>IF(AN1304="","",IF(AE1304=0,"OK",_xlfn.LET(fechaPago, Z1304, fechaFactura, R1304, diasCredito, IF(E1304="Pago inmediato", 0, IFERROR(VALUE(MID(E1304, 1, SEARCH(" ", E1304)-1)),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04" s="79">
        <f>IF(AN1304="","",IF(AND(N1304&gt;0, AG1304&gt;0), IF(Configuración!$K$2="NO", "ALERTA: DESCUENTO DOBLE NO PERMITIDO", "OK"), "OK"))</f>
        <v/>
      </c>
      <c r="AR1304" s="79">
        <f>IF(AN1304="","",IF(OR(AO1304&lt;&gt;"OK", AP1304&lt;&gt;"OK", AQ1304&lt;&gt;"OK"), "⚠️ REVISAR", "OK"))</f>
        <v/>
      </c>
    </row>
    <row r="1305">
      <c r="A1305" s="79">
        <f>IF('Ordenes_Odoo'!A1305="","",'Ordenes_Odoo'!A1305)</f>
        <v/>
      </c>
      <c r="B1305" s="80">
        <f>IF('Ordenes_Odoo'!B1305="","",'Ordenes_Odoo'!B1305)</f>
        <v/>
      </c>
      <c r="C1305" s="79">
        <f>IF('Ordenes_Odoo'!C1305="","",'Ordenes_Odoo'!C1305)</f>
        <v/>
      </c>
      <c r="D1305" s="79">
        <f>IF('Ordenes_Odoo'!D1305="","",'Ordenes_Odoo'!D1305)</f>
        <v/>
      </c>
      <c r="E1305" s="79">
        <f>IF('Ordenes_Odoo'!E1305="","",'Ordenes_Odoo'!E1305)</f>
        <v/>
      </c>
      <c r="F1305" s="79">
        <f>IF('Ordenes_Odoo'!F1305="","",'Ordenes_Odoo'!F1305)</f>
        <v/>
      </c>
      <c r="G1305" s="79">
        <f>IF('Ordenes_Odoo'!G1305="","",'Ordenes_Odoo'!G1305)</f>
        <v/>
      </c>
      <c r="H1305" s="79">
        <f>IF('Ordenes_Odoo'!H1305="","",'Ordenes_Odoo'!H1305)</f>
        <v/>
      </c>
      <c r="I1305" s="79">
        <f>IF('Ordenes_Odoo'!I1305="","",'Ordenes_Odoo'!I1305)</f>
        <v/>
      </c>
      <c r="J1305" s="79">
        <f>IF('Ordenes_Odoo'!J1305="","",'Ordenes_Odoo'!J1305)</f>
        <v/>
      </c>
      <c r="K1305" s="81">
        <f>IF('Ordenes_Odoo'!K1305="","",'Ordenes_Odoo'!K1305)</f>
        <v/>
      </c>
      <c r="L1305" s="81">
        <f>IF('Ordenes_Odoo'!L1305="","",'Ordenes_Odoo'!L1305)</f>
        <v/>
      </c>
      <c r="M1305" s="79">
        <f>IF('Ordenes_Odoo'!M1305="","",'Ordenes_Odoo'!M1305)</f>
        <v/>
      </c>
      <c r="N1305" s="79">
        <f>IF('Ordenes_Odoo'!N1305="","",'Ordenes_Odoo'!N1305)</f>
        <v/>
      </c>
      <c r="O1305" s="81">
        <f>IF('Ordenes_Odoo'!O1305="","",'Ordenes_Odoo'!O1305)</f>
        <v/>
      </c>
      <c r="P1305" s="81">
        <f>IF('Ordenes_Odoo'!P1305="","",'Ordenes_Odoo'!P1305)</f>
        <v/>
      </c>
      <c r="Q1305" s="79">
        <f>IF(A1305="","",IFERROR(INDEX(Facturas_Odoo!$B:$B, MATCH(A1305, Facturas_Odoo!$D:$D, 0)), "Sin Factura"))</f>
        <v/>
      </c>
      <c r="R1305" s="80">
        <f>IF(Q1305="Sin Factura","",IFERROR(INDEX(Facturas_Odoo!$A:$A, MATCH(Q1305, Facturas_Odoo!$B:$B, 0)), ""))</f>
        <v/>
      </c>
      <c r="S1305" s="79">
        <f>IF(Q1305="Sin Factura","",IFERROR(_xlfn.XLOOKUP(1, (Facturas_Odoo!$D:$D=A1305) * (Facturas_Odoo!$K:$K=I1305), Facturas_Odoo!$L:$L, ""), ""))</f>
        <v/>
      </c>
      <c r="T1305" s="81">
        <f>IF(Q1305="Sin Factura",0,IFERROR(_xlfn.XLOOKUP(1, (Facturas_Odoo!$D:$D=A1305) * (Facturas_Odoo!$K:$K=I1305), Facturas_Odoo!$M:$M, 0), 0))</f>
        <v/>
      </c>
      <c r="U1305" s="79">
        <f>IF(Q1305="Sin Factura",0,IFERROR(_xlfn.XLOOKUP(1, (Facturas_Odoo!$D:$D=A1305) * (Facturas_Odoo!$K:$K=I1305), Facturas_Odoo!$N:$N, 0), 0))</f>
        <v/>
      </c>
      <c r="V1305" s="79">
        <f>IF(Q1305="Sin Factura",0,IFERROR(_xlfn.XLOOKUP(1, (Facturas_Odoo!$D:$D=A1305) * (Facturas_Odoo!$K:$K=I1305), Facturas_Odoo!$O:$O, 0), 0))</f>
        <v/>
      </c>
      <c r="W1305" s="81">
        <f>IF(Q1305="Sin Factura",0,IFERROR(_xlfn.XLOOKUP(1, (Facturas_Odoo!$D:$D=A1305) * (Facturas_Odoo!$K:$K=I1305), Facturas_Odoo!$Q:$Q, 0), 0))</f>
        <v/>
      </c>
      <c r="X1305" s="79">
        <f>IF(OR(Q1305="Sin Factura",Q1305=""),"",IFERROR(INDEX(Pagos_Odoo!$B:$B, MATCH(Q1305, Pagos_Odoo!$I:$I, 0)), "Sin Pago"))</f>
        <v/>
      </c>
      <c r="Y1305" s="79">
        <f>IF(X1305="Sin Pago","",IFERROR(INDEX(Pagos_Odoo!$C:$C, MATCH(X1305, Pagos_Odoo!$B:$B, 0)), ""))</f>
        <v/>
      </c>
      <c r="Z1305" s="80">
        <f>IF(X1305="Sin Pago","",IFERROR(INDEX(Pagos_Odoo!$A:$A, MATCH(X1305, Pagos_Odoo!$B:$B, 0)), ""))</f>
        <v/>
      </c>
      <c r="AA1305" s="79">
        <f>IF(X1305="Sin Pago","",IFERROR(INDEX(Pagos_Odoo!$F:$F, MATCH(X1305, Pagos_Odoo!$B:$B, 0)), ""))</f>
        <v/>
      </c>
      <c r="AB1305" s="81">
        <f>IF(X1305="Sin Pago",0,IFERROR(INDEX(Pagos_Odoo!$E:$E, MATCH(X1305, Pagos_Odoo!$B:$B, 0)), 0))</f>
        <v/>
      </c>
      <c r="AC1305" s="79">
        <f>IF(X1305="Sin Pago","",IFERROR(INDEX(Pagos_Odoo!$G:$G, MATCH(X1305, Pagos_Odoo!$B:$B, 0)), ""))</f>
        <v/>
      </c>
      <c r="AD1305" s="82" t="n">
        <v>0</v>
      </c>
      <c r="AE1305" s="82" t="n"/>
      <c r="AF1305" s="82" t="n"/>
      <c r="AG1305" s="82">
        <f>IF(AN1305="","",AD1305+AE1305+AF1305)</f>
        <v/>
      </c>
      <c r="AH1305" s="81">
        <f>IF(AN1305="","",P1305*(1-AG1305))</f>
        <v/>
      </c>
      <c r="AI1305" s="81">
        <f>IF(AN1305="","",IF(Q1305="Sin Factura",0,IFERROR(INDEX(Facturas_Odoo!$H:$H, MATCH(Q1305, Facturas_Odoo!$B:$B, 0)), 0)*(1-AG1305)))</f>
        <v/>
      </c>
      <c r="AJ1305" s="81">
        <f>IF(AN1305="","",_xlfn.LET(idVenta, AN1305&amp;"",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05" s="81">
        <f>IF(AN1305="","",AH1305-AJ1305)</f>
        <v/>
      </c>
      <c r="AL1305" s="81">
        <f>IF(AN1305="","",IF(Q1305="Sin Factura","",AI1305-AJ1305))</f>
        <v/>
      </c>
      <c r="AM1305" s="81">
        <f>IF(AN1305="","",IF(Q1305="Sin Factura",0,P1305-IFERROR(INDEX(Facturas_Odoo!$H:$H, MATCH(Q1305, Facturas_Odoo!$B:$B, 0)), 0)))</f>
        <v/>
      </c>
      <c r="AN1305" s="79">
        <f>IF(AND(A1305="", J1305=""), "", IF(A1305&lt;&gt;"", VALUE(MID(A1305,2,LEN(A1305))), AN1304))</f>
        <v/>
      </c>
      <c r="AO1305" s="79">
        <f>IF(AN1305="","",IF(AD1305=0,"OK",_xlfn.LET(monedaPago, IF(AA1305="","USD",AA1305), limitePermitido, IFERROR(VLOOKUP(monedaPago, Configuración!$A$2:$B$3, 2, FALSE), 0.15), IF(AD1305&gt;limitePermitido, "ALERTA: EXCESO (" &amp; TEXT(limitePermitido, "0%") &amp; " máx)", "OK"))))</f>
        <v/>
      </c>
      <c r="AP1305" s="79">
        <f>IF(AN1305="","",IF(AE1305=0,"OK",_xlfn.LET(fechaPago, Z1305, fechaFactura, R1305, diasCredito, IF(E1305="Pago inmediato", 0, IFERROR(VALUE(MID(E1305, 1, SEARCH(" ", E1305)-1)),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05" s="79">
        <f>IF(AN1305="","",IF(AND(N1305&gt;0, AG1305&gt;0), IF(Configuración!$K$2="NO", "ALERTA: DESCUENTO DOBLE NO PERMITIDO", "OK"), "OK"))</f>
        <v/>
      </c>
      <c r="AR1305" s="79">
        <f>IF(AN1305="","",IF(OR(AO1305&lt;&gt;"OK", AP1305&lt;&gt;"OK", AQ1305&lt;&gt;"OK"), "⚠️ REVISAR", "OK"))</f>
        <v/>
      </c>
    </row>
    <row r="1306">
      <c r="A1306" s="79">
        <f>IF('Ordenes_Odoo'!A1306="","",'Ordenes_Odoo'!A1306)</f>
        <v/>
      </c>
      <c r="B1306" s="80">
        <f>IF('Ordenes_Odoo'!B1306="","",'Ordenes_Odoo'!B1306)</f>
        <v/>
      </c>
      <c r="C1306" s="79">
        <f>IF('Ordenes_Odoo'!C1306="","",'Ordenes_Odoo'!C1306)</f>
        <v/>
      </c>
      <c r="D1306" s="79">
        <f>IF('Ordenes_Odoo'!D1306="","",'Ordenes_Odoo'!D1306)</f>
        <v/>
      </c>
      <c r="E1306" s="79">
        <f>IF('Ordenes_Odoo'!E1306="","",'Ordenes_Odoo'!E1306)</f>
        <v/>
      </c>
      <c r="F1306" s="79">
        <f>IF('Ordenes_Odoo'!F1306="","",'Ordenes_Odoo'!F1306)</f>
        <v/>
      </c>
      <c r="G1306" s="79">
        <f>IF('Ordenes_Odoo'!G1306="","",'Ordenes_Odoo'!G1306)</f>
        <v/>
      </c>
      <c r="H1306" s="79">
        <f>IF('Ordenes_Odoo'!H1306="","",'Ordenes_Odoo'!H1306)</f>
        <v/>
      </c>
      <c r="I1306" s="79">
        <f>IF('Ordenes_Odoo'!I1306="","",'Ordenes_Odoo'!I1306)</f>
        <v/>
      </c>
      <c r="J1306" s="79">
        <f>IF('Ordenes_Odoo'!J1306="","",'Ordenes_Odoo'!J1306)</f>
        <v/>
      </c>
      <c r="K1306" s="81">
        <f>IF('Ordenes_Odoo'!K1306="","",'Ordenes_Odoo'!K1306)</f>
        <v/>
      </c>
      <c r="L1306" s="81">
        <f>IF('Ordenes_Odoo'!L1306="","",'Ordenes_Odoo'!L1306)</f>
        <v/>
      </c>
      <c r="M1306" s="79">
        <f>IF('Ordenes_Odoo'!M1306="","",'Ordenes_Odoo'!M1306)</f>
        <v/>
      </c>
      <c r="N1306" s="79">
        <f>IF('Ordenes_Odoo'!N1306="","",'Ordenes_Odoo'!N1306)</f>
        <v/>
      </c>
      <c r="O1306" s="81">
        <f>IF('Ordenes_Odoo'!O1306="","",'Ordenes_Odoo'!O1306)</f>
        <v/>
      </c>
      <c r="P1306" s="81">
        <f>IF('Ordenes_Odoo'!P1306="","",'Ordenes_Odoo'!P1306)</f>
        <v/>
      </c>
      <c r="Q1306" s="79">
        <f>IF(A1306="","",IFERROR(INDEX(Facturas_Odoo!$B:$B, MATCH(A1306, Facturas_Odoo!$D:$D, 0)), "Sin Factura"))</f>
        <v/>
      </c>
      <c r="R1306" s="80">
        <f>IF(Q1306="Sin Factura","",IFERROR(INDEX(Facturas_Odoo!$A:$A, MATCH(Q1306, Facturas_Odoo!$B:$B, 0)), ""))</f>
        <v/>
      </c>
      <c r="S1306" s="79">
        <f>IF(Q1306="Sin Factura","",IFERROR(_xlfn.XLOOKUP(1, (Facturas_Odoo!$D:$D=A1306) * (Facturas_Odoo!$K:$K=I1306), Facturas_Odoo!$L:$L, ""), ""))</f>
        <v/>
      </c>
      <c r="T1306" s="81">
        <f>IF(Q1306="Sin Factura",0,IFERROR(_xlfn.XLOOKUP(1, (Facturas_Odoo!$D:$D=A1306) * (Facturas_Odoo!$K:$K=I1306), Facturas_Odoo!$M:$M, 0), 0))</f>
        <v/>
      </c>
      <c r="U1306" s="79">
        <f>IF(Q1306="Sin Factura",0,IFERROR(_xlfn.XLOOKUP(1, (Facturas_Odoo!$D:$D=A1306) * (Facturas_Odoo!$K:$K=I1306), Facturas_Odoo!$N:$N, 0), 0))</f>
        <v/>
      </c>
      <c r="V1306" s="79">
        <f>IF(Q1306="Sin Factura",0,IFERROR(_xlfn.XLOOKUP(1, (Facturas_Odoo!$D:$D=A1306) * (Facturas_Odoo!$K:$K=I1306), Facturas_Odoo!$O:$O, 0), 0))</f>
        <v/>
      </c>
      <c r="W1306" s="81">
        <f>IF(Q1306="Sin Factura",0,IFERROR(_xlfn.XLOOKUP(1, (Facturas_Odoo!$D:$D=A1306) * (Facturas_Odoo!$K:$K=I1306), Facturas_Odoo!$Q:$Q, 0), 0))</f>
        <v/>
      </c>
      <c r="X1306" s="79">
        <f>IF(OR(Q1306="Sin Factura",Q1306=""),"",IFERROR(INDEX(Pagos_Odoo!$B:$B, MATCH(Q1306, Pagos_Odoo!$I:$I, 0)), "Sin Pago"))</f>
        <v/>
      </c>
      <c r="Y1306" s="79">
        <f>IF(X1306="Sin Pago","",IFERROR(INDEX(Pagos_Odoo!$C:$C, MATCH(X1306, Pagos_Odoo!$B:$B, 0)), ""))</f>
        <v/>
      </c>
      <c r="Z1306" s="80">
        <f>IF(X1306="Sin Pago","",IFERROR(INDEX(Pagos_Odoo!$A:$A, MATCH(X1306, Pagos_Odoo!$B:$B, 0)), ""))</f>
        <v/>
      </c>
      <c r="AA1306" s="79">
        <f>IF(X1306="Sin Pago","",IFERROR(INDEX(Pagos_Odoo!$F:$F, MATCH(X1306, Pagos_Odoo!$B:$B, 0)), ""))</f>
        <v/>
      </c>
      <c r="AB1306" s="81">
        <f>IF(X1306="Sin Pago",0,IFERROR(INDEX(Pagos_Odoo!$E:$E, MATCH(X1306, Pagos_Odoo!$B:$B, 0)), 0))</f>
        <v/>
      </c>
      <c r="AC1306" s="79">
        <f>IF(X1306="Sin Pago","",IFERROR(INDEX(Pagos_Odoo!$G:$G, MATCH(X1306, Pagos_Odoo!$B:$B, 0)), ""))</f>
        <v/>
      </c>
      <c r="AD1306" s="82" t="n">
        <v>0</v>
      </c>
      <c r="AE1306" s="82" t="n"/>
      <c r="AF1306" s="82" t="n"/>
      <c r="AG1306" s="82">
        <f>IF(AN1306="","",AD1306+AE1306+AF1306)</f>
        <v/>
      </c>
      <c r="AH1306" s="81">
        <f>IF(AN1306="","",P1306*(1-AG1306))</f>
        <v/>
      </c>
      <c r="AI1306" s="81">
        <f>IF(AN1306="","",IF(Q1306="Sin Factura",0,IFERROR(INDEX(Facturas_Odoo!$H:$H, MATCH(Q1306, Facturas_Odoo!$B:$B, 0)), 0)*(1-AG1306)))</f>
        <v/>
      </c>
      <c r="AJ1306" s="81">
        <f>IF(AN1306="","",_xlfn.LET(idVenta, AN1306&amp;"",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06" s="81">
        <f>IF(AN1306="","",AH1306-AJ1306)</f>
        <v/>
      </c>
      <c r="AL1306" s="81">
        <f>IF(AN1306="","",IF(Q1306="Sin Factura","",AI1306-AJ1306))</f>
        <v/>
      </c>
      <c r="AM1306" s="81">
        <f>IF(AN1306="","",IF(Q1306="Sin Factura",0,P1306-IFERROR(INDEX(Facturas_Odoo!$H:$H, MATCH(Q1306, Facturas_Odoo!$B:$B, 0)), 0)))</f>
        <v/>
      </c>
      <c r="AN1306" s="79">
        <f>IF(AND(A1306="", J1306=""), "", IF(A1306&lt;&gt;"", VALUE(MID(A1306,2,LEN(A1306))), AN1305))</f>
        <v/>
      </c>
      <c r="AO1306" s="79">
        <f>IF(AN1306="","",IF(AD1306=0,"OK",_xlfn.LET(monedaPago, IF(AA1306="","USD",AA1306), limitePermitido, IFERROR(VLOOKUP(monedaPago, Configuración!$A$2:$B$3, 2, FALSE), 0.15), IF(AD1306&gt;limitePermitido, "ALERTA: EXCESO (" &amp; TEXT(limitePermitido, "0%") &amp; " máx)", "OK"))))</f>
        <v/>
      </c>
      <c r="AP1306" s="79">
        <f>IF(AN1306="","",IF(AE1306=0,"OK",_xlfn.LET(fechaPago, Z1306, fechaFactura, R1306, diasCredito, IF(E1306="Pago inmediato", 0, IFERROR(VALUE(MID(E1306, 1, SEARCH(" ", E1306)-1)),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06" s="79">
        <f>IF(AN1306="","",IF(AND(N1306&gt;0, AG1306&gt;0), IF(Configuración!$K$2="NO", "ALERTA: DESCUENTO DOBLE NO PERMITIDO", "OK"), "OK"))</f>
        <v/>
      </c>
      <c r="AR1306" s="79">
        <f>IF(AN1306="","",IF(OR(AO1306&lt;&gt;"OK", AP1306&lt;&gt;"OK", AQ1306&lt;&gt;"OK"), "⚠️ REVISAR", "OK"))</f>
        <v/>
      </c>
    </row>
    <row r="1307">
      <c r="A1307" s="79">
        <f>IF('Ordenes_Odoo'!A1307="","",'Ordenes_Odoo'!A1307)</f>
        <v/>
      </c>
      <c r="B1307" s="80">
        <f>IF('Ordenes_Odoo'!B1307="","",'Ordenes_Odoo'!B1307)</f>
        <v/>
      </c>
      <c r="C1307" s="79">
        <f>IF('Ordenes_Odoo'!C1307="","",'Ordenes_Odoo'!C1307)</f>
        <v/>
      </c>
      <c r="D1307" s="79">
        <f>IF('Ordenes_Odoo'!D1307="","",'Ordenes_Odoo'!D1307)</f>
        <v/>
      </c>
      <c r="E1307" s="79">
        <f>IF('Ordenes_Odoo'!E1307="","",'Ordenes_Odoo'!E1307)</f>
        <v/>
      </c>
      <c r="F1307" s="79">
        <f>IF('Ordenes_Odoo'!F1307="","",'Ordenes_Odoo'!F1307)</f>
        <v/>
      </c>
      <c r="G1307" s="79">
        <f>IF('Ordenes_Odoo'!G1307="","",'Ordenes_Odoo'!G1307)</f>
        <v/>
      </c>
      <c r="H1307" s="79">
        <f>IF('Ordenes_Odoo'!H1307="","",'Ordenes_Odoo'!H1307)</f>
        <v/>
      </c>
      <c r="I1307" s="79">
        <f>IF('Ordenes_Odoo'!I1307="","",'Ordenes_Odoo'!I1307)</f>
        <v/>
      </c>
      <c r="J1307" s="79">
        <f>IF('Ordenes_Odoo'!J1307="","",'Ordenes_Odoo'!J1307)</f>
        <v/>
      </c>
      <c r="K1307" s="81">
        <f>IF('Ordenes_Odoo'!K1307="","",'Ordenes_Odoo'!K1307)</f>
        <v/>
      </c>
      <c r="L1307" s="81">
        <f>IF('Ordenes_Odoo'!L1307="","",'Ordenes_Odoo'!L1307)</f>
        <v/>
      </c>
      <c r="M1307" s="79">
        <f>IF('Ordenes_Odoo'!M1307="","",'Ordenes_Odoo'!M1307)</f>
        <v/>
      </c>
      <c r="N1307" s="79">
        <f>IF('Ordenes_Odoo'!N1307="","",'Ordenes_Odoo'!N1307)</f>
        <v/>
      </c>
      <c r="O1307" s="81">
        <f>IF('Ordenes_Odoo'!O1307="","",'Ordenes_Odoo'!O1307)</f>
        <v/>
      </c>
      <c r="P1307" s="81">
        <f>IF('Ordenes_Odoo'!P1307="","",'Ordenes_Odoo'!P1307)</f>
        <v/>
      </c>
      <c r="Q1307" s="79">
        <f>IF(A1307="","",IFERROR(INDEX(Facturas_Odoo!$B:$B, MATCH(A1307, Facturas_Odoo!$D:$D, 0)), "Sin Factura"))</f>
        <v/>
      </c>
      <c r="R1307" s="80">
        <f>IF(Q1307="Sin Factura","",IFERROR(INDEX(Facturas_Odoo!$A:$A, MATCH(Q1307, Facturas_Odoo!$B:$B, 0)), ""))</f>
        <v/>
      </c>
      <c r="S1307" s="79">
        <f>IF(Q1307="Sin Factura","",IFERROR(_xlfn.XLOOKUP(1, (Facturas_Odoo!$D:$D=A1307) * (Facturas_Odoo!$K:$K=I1307), Facturas_Odoo!$L:$L, ""), ""))</f>
        <v/>
      </c>
      <c r="T1307" s="81">
        <f>IF(Q1307="Sin Factura",0,IFERROR(_xlfn.XLOOKUP(1, (Facturas_Odoo!$D:$D=A1307) * (Facturas_Odoo!$K:$K=I1307), Facturas_Odoo!$M:$M, 0), 0))</f>
        <v/>
      </c>
      <c r="U1307" s="79">
        <f>IF(Q1307="Sin Factura",0,IFERROR(_xlfn.XLOOKUP(1, (Facturas_Odoo!$D:$D=A1307) * (Facturas_Odoo!$K:$K=I1307), Facturas_Odoo!$N:$N, 0), 0))</f>
        <v/>
      </c>
      <c r="V1307" s="79">
        <f>IF(Q1307="Sin Factura",0,IFERROR(_xlfn.XLOOKUP(1, (Facturas_Odoo!$D:$D=A1307) * (Facturas_Odoo!$K:$K=I1307), Facturas_Odoo!$O:$O, 0), 0))</f>
        <v/>
      </c>
      <c r="W1307" s="81">
        <f>IF(Q1307="Sin Factura",0,IFERROR(_xlfn.XLOOKUP(1, (Facturas_Odoo!$D:$D=A1307) * (Facturas_Odoo!$K:$K=I1307), Facturas_Odoo!$Q:$Q, 0), 0))</f>
        <v/>
      </c>
      <c r="X1307" s="79">
        <f>IF(OR(Q1307="Sin Factura",Q1307=""),"",IFERROR(INDEX(Pagos_Odoo!$B:$B, MATCH(Q1307, Pagos_Odoo!$I:$I, 0)), "Sin Pago"))</f>
        <v/>
      </c>
      <c r="Y1307" s="79">
        <f>IF(X1307="Sin Pago","",IFERROR(INDEX(Pagos_Odoo!$C:$C, MATCH(X1307, Pagos_Odoo!$B:$B, 0)), ""))</f>
        <v/>
      </c>
      <c r="Z1307" s="80">
        <f>IF(X1307="Sin Pago","",IFERROR(INDEX(Pagos_Odoo!$A:$A, MATCH(X1307, Pagos_Odoo!$B:$B, 0)), ""))</f>
        <v/>
      </c>
      <c r="AA1307" s="79">
        <f>IF(X1307="Sin Pago","",IFERROR(INDEX(Pagos_Odoo!$F:$F, MATCH(X1307, Pagos_Odoo!$B:$B, 0)), ""))</f>
        <v/>
      </c>
      <c r="AB1307" s="81">
        <f>IF(X1307="Sin Pago",0,IFERROR(INDEX(Pagos_Odoo!$E:$E, MATCH(X1307, Pagos_Odoo!$B:$B, 0)), 0))</f>
        <v/>
      </c>
      <c r="AC1307" s="79">
        <f>IF(X1307="Sin Pago","",IFERROR(INDEX(Pagos_Odoo!$G:$G, MATCH(X1307, Pagos_Odoo!$B:$B, 0)), ""))</f>
        <v/>
      </c>
      <c r="AD1307" s="82" t="n">
        <v>0</v>
      </c>
      <c r="AE1307" s="82" t="n"/>
      <c r="AF1307" s="82" t="n"/>
      <c r="AG1307" s="82">
        <f>IF(AN1307="","",AD1307+AE1307+AF1307)</f>
        <v/>
      </c>
      <c r="AH1307" s="81">
        <f>IF(AN1307="","",P1307*(1-AG1307))</f>
        <v/>
      </c>
      <c r="AI1307" s="81">
        <f>IF(AN1307="","",IF(Q1307="Sin Factura",0,IFERROR(INDEX(Facturas_Odoo!$H:$H, MATCH(Q1307, Facturas_Odoo!$B:$B, 0)), 0)*(1-AG1307)))</f>
        <v/>
      </c>
      <c r="AJ1307" s="81">
        <f>IF(AN1307="","",_xlfn.LET(idVenta, AN1307&amp;"",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07" s="81">
        <f>IF(AN1307="","",AH1307-AJ1307)</f>
        <v/>
      </c>
      <c r="AL1307" s="81">
        <f>IF(AN1307="","",IF(Q1307="Sin Factura","",AI1307-AJ1307))</f>
        <v/>
      </c>
      <c r="AM1307" s="81">
        <f>IF(AN1307="","",IF(Q1307="Sin Factura",0,P1307-IFERROR(INDEX(Facturas_Odoo!$H:$H, MATCH(Q1307, Facturas_Odoo!$B:$B, 0)), 0)))</f>
        <v/>
      </c>
      <c r="AN1307" s="79">
        <f>IF(AND(A1307="", J1307=""), "", IF(A1307&lt;&gt;"", VALUE(MID(A1307,2,LEN(A1307))), AN1306))</f>
        <v/>
      </c>
      <c r="AO1307" s="79">
        <f>IF(AN1307="","",IF(AD1307=0,"OK",_xlfn.LET(monedaPago, IF(AA1307="","USD",AA1307), limitePermitido, IFERROR(VLOOKUP(monedaPago, Configuración!$A$2:$B$3, 2, FALSE), 0.15), IF(AD1307&gt;limitePermitido, "ALERTA: EXCESO (" &amp; TEXT(limitePermitido, "0%") &amp; " máx)", "OK"))))</f>
        <v/>
      </c>
      <c r="AP1307" s="79">
        <f>IF(AN1307="","",IF(AE1307=0,"OK",_xlfn.LET(fechaPago, Z1307, fechaFactura, R1307, diasCredito, IF(E1307="Pago inmediato", 0, IFERROR(VALUE(MID(E1307, 1, SEARCH(" ", E1307)-1)),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07" s="79">
        <f>IF(AN1307="","",IF(AND(N1307&gt;0, AG1307&gt;0), IF(Configuración!$K$2="NO", "ALERTA: DESCUENTO DOBLE NO PERMITIDO", "OK"), "OK"))</f>
        <v/>
      </c>
      <c r="AR1307" s="79">
        <f>IF(AN1307="","",IF(OR(AO1307&lt;&gt;"OK", AP1307&lt;&gt;"OK", AQ1307&lt;&gt;"OK"), "⚠️ REVISAR", "OK"))</f>
        <v/>
      </c>
    </row>
    <row r="1308">
      <c r="A1308" s="79">
        <f>IF('Ordenes_Odoo'!A1308="","",'Ordenes_Odoo'!A1308)</f>
        <v/>
      </c>
      <c r="B1308" s="80">
        <f>IF('Ordenes_Odoo'!B1308="","",'Ordenes_Odoo'!B1308)</f>
        <v/>
      </c>
      <c r="C1308" s="79">
        <f>IF('Ordenes_Odoo'!C1308="","",'Ordenes_Odoo'!C1308)</f>
        <v/>
      </c>
      <c r="D1308" s="79">
        <f>IF('Ordenes_Odoo'!D1308="","",'Ordenes_Odoo'!D1308)</f>
        <v/>
      </c>
      <c r="E1308" s="79">
        <f>IF('Ordenes_Odoo'!E1308="","",'Ordenes_Odoo'!E1308)</f>
        <v/>
      </c>
      <c r="F1308" s="79">
        <f>IF('Ordenes_Odoo'!F1308="","",'Ordenes_Odoo'!F1308)</f>
        <v/>
      </c>
      <c r="G1308" s="79">
        <f>IF('Ordenes_Odoo'!G1308="","",'Ordenes_Odoo'!G1308)</f>
        <v/>
      </c>
      <c r="H1308" s="79">
        <f>IF('Ordenes_Odoo'!H1308="","",'Ordenes_Odoo'!H1308)</f>
        <v/>
      </c>
      <c r="I1308" s="79">
        <f>IF('Ordenes_Odoo'!I1308="","",'Ordenes_Odoo'!I1308)</f>
        <v/>
      </c>
      <c r="J1308" s="79">
        <f>IF('Ordenes_Odoo'!J1308="","",'Ordenes_Odoo'!J1308)</f>
        <v/>
      </c>
      <c r="K1308" s="81">
        <f>IF('Ordenes_Odoo'!K1308="","",'Ordenes_Odoo'!K1308)</f>
        <v/>
      </c>
      <c r="L1308" s="81">
        <f>IF('Ordenes_Odoo'!L1308="","",'Ordenes_Odoo'!L1308)</f>
        <v/>
      </c>
      <c r="M1308" s="79">
        <f>IF('Ordenes_Odoo'!M1308="","",'Ordenes_Odoo'!M1308)</f>
        <v/>
      </c>
      <c r="N1308" s="79">
        <f>IF('Ordenes_Odoo'!N1308="","",'Ordenes_Odoo'!N1308)</f>
        <v/>
      </c>
      <c r="O1308" s="81">
        <f>IF('Ordenes_Odoo'!O1308="","",'Ordenes_Odoo'!O1308)</f>
        <v/>
      </c>
      <c r="P1308" s="81">
        <f>IF('Ordenes_Odoo'!P1308="","",'Ordenes_Odoo'!P1308)</f>
        <v/>
      </c>
      <c r="Q1308" s="79">
        <f>IF(A1308="","",IFERROR(INDEX(Facturas_Odoo!$B:$B, MATCH(A1308, Facturas_Odoo!$D:$D, 0)), "Sin Factura"))</f>
        <v/>
      </c>
      <c r="R1308" s="80">
        <f>IF(Q1308="Sin Factura","",IFERROR(INDEX(Facturas_Odoo!$A:$A, MATCH(Q1308, Facturas_Odoo!$B:$B, 0)), ""))</f>
        <v/>
      </c>
      <c r="S1308" s="79">
        <f>IF(Q1308="Sin Factura","",IFERROR(_xlfn.XLOOKUP(1, (Facturas_Odoo!$D:$D=A1308) * (Facturas_Odoo!$K:$K=I1308), Facturas_Odoo!$L:$L, ""), ""))</f>
        <v/>
      </c>
      <c r="T1308" s="81">
        <f>IF(Q1308="Sin Factura",0,IFERROR(_xlfn.XLOOKUP(1, (Facturas_Odoo!$D:$D=A1308) * (Facturas_Odoo!$K:$K=I1308), Facturas_Odoo!$M:$M, 0), 0))</f>
        <v/>
      </c>
      <c r="U1308" s="79">
        <f>IF(Q1308="Sin Factura",0,IFERROR(_xlfn.XLOOKUP(1, (Facturas_Odoo!$D:$D=A1308) * (Facturas_Odoo!$K:$K=I1308), Facturas_Odoo!$N:$N, 0), 0))</f>
        <v/>
      </c>
      <c r="V1308" s="79">
        <f>IF(Q1308="Sin Factura",0,IFERROR(_xlfn.XLOOKUP(1, (Facturas_Odoo!$D:$D=A1308) * (Facturas_Odoo!$K:$K=I1308), Facturas_Odoo!$O:$O, 0), 0))</f>
        <v/>
      </c>
      <c r="W1308" s="81">
        <f>IF(Q1308="Sin Factura",0,IFERROR(_xlfn.XLOOKUP(1, (Facturas_Odoo!$D:$D=A1308) * (Facturas_Odoo!$K:$K=I1308), Facturas_Odoo!$Q:$Q, 0), 0))</f>
        <v/>
      </c>
      <c r="X1308" s="79">
        <f>IF(OR(Q1308="Sin Factura",Q1308=""),"",IFERROR(INDEX(Pagos_Odoo!$B:$B, MATCH(Q1308, Pagos_Odoo!$I:$I, 0)), "Sin Pago"))</f>
        <v/>
      </c>
      <c r="Y1308" s="79">
        <f>IF(X1308="Sin Pago","",IFERROR(INDEX(Pagos_Odoo!$C:$C, MATCH(X1308, Pagos_Odoo!$B:$B, 0)), ""))</f>
        <v/>
      </c>
      <c r="Z1308" s="80">
        <f>IF(X1308="Sin Pago","",IFERROR(INDEX(Pagos_Odoo!$A:$A, MATCH(X1308, Pagos_Odoo!$B:$B, 0)), ""))</f>
        <v/>
      </c>
      <c r="AA1308" s="79">
        <f>IF(X1308="Sin Pago","",IFERROR(INDEX(Pagos_Odoo!$F:$F, MATCH(X1308, Pagos_Odoo!$B:$B, 0)), ""))</f>
        <v/>
      </c>
      <c r="AB1308" s="81">
        <f>IF(X1308="Sin Pago",0,IFERROR(INDEX(Pagos_Odoo!$E:$E, MATCH(X1308, Pagos_Odoo!$B:$B, 0)), 0))</f>
        <v/>
      </c>
      <c r="AC1308" s="79">
        <f>IF(X1308="Sin Pago","",IFERROR(INDEX(Pagos_Odoo!$G:$G, MATCH(X1308, Pagos_Odoo!$B:$B, 0)), ""))</f>
        <v/>
      </c>
      <c r="AD1308" s="82" t="n">
        <v>0</v>
      </c>
      <c r="AE1308" s="82" t="n"/>
      <c r="AF1308" s="82" t="n"/>
      <c r="AG1308" s="82">
        <f>IF(AN1308="","",AD1308+AE1308+AF1308)</f>
        <v/>
      </c>
      <c r="AH1308" s="81">
        <f>IF(AN1308="","",P1308*(1-AG1308))</f>
        <v/>
      </c>
      <c r="AI1308" s="81">
        <f>IF(AN1308="","",IF(Q1308="Sin Factura",0,IFERROR(INDEX(Facturas_Odoo!$H:$H, MATCH(Q1308, Facturas_Odoo!$B:$B, 0)), 0)*(1-AG1308)))</f>
        <v/>
      </c>
      <c r="AJ1308" s="81">
        <f>IF(AN1308="","",_xlfn.LET(idVenta, AN1308&amp;"",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08" s="81">
        <f>IF(AN1308="","",AH1308-AJ1308)</f>
        <v/>
      </c>
      <c r="AL1308" s="81">
        <f>IF(AN1308="","",IF(Q1308="Sin Factura","",AI1308-AJ1308))</f>
        <v/>
      </c>
      <c r="AM1308" s="81">
        <f>IF(AN1308="","",IF(Q1308="Sin Factura",0,P1308-IFERROR(INDEX(Facturas_Odoo!$H:$H, MATCH(Q1308, Facturas_Odoo!$B:$B, 0)), 0)))</f>
        <v/>
      </c>
      <c r="AN1308" s="79">
        <f>IF(AND(A1308="", J1308=""), "", IF(A1308&lt;&gt;"", VALUE(MID(A1308,2,LEN(A1308))), AN1307))</f>
        <v/>
      </c>
      <c r="AO1308" s="79">
        <f>IF(AN1308="","",IF(AD1308=0,"OK",_xlfn.LET(monedaPago, IF(AA1308="","USD",AA1308), limitePermitido, IFERROR(VLOOKUP(monedaPago, Configuración!$A$2:$B$3, 2, FALSE), 0.15), IF(AD1308&gt;limitePermitido, "ALERTA: EXCESO (" &amp; TEXT(limitePermitido, "0%") &amp; " máx)", "OK"))))</f>
        <v/>
      </c>
      <c r="AP1308" s="79">
        <f>IF(AN1308="","",IF(AE1308=0,"OK",_xlfn.LET(fechaPago, Z1308, fechaFactura, R1308, diasCredito, IF(E1308="Pago inmediato", 0, IFERROR(VALUE(MID(E1308, 1, SEARCH(" ", E1308)-1)),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08" s="79">
        <f>IF(AN1308="","",IF(AND(N1308&gt;0, AG1308&gt;0), IF(Configuración!$K$2="NO", "ALERTA: DESCUENTO DOBLE NO PERMITIDO", "OK"), "OK"))</f>
        <v/>
      </c>
      <c r="AR1308" s="79">
        <f>IF(AN1308="","",IF(OR(AO1308&lt;&gt;"OK", AP1308&lt;&gt;"OK", AQ1308&lt;&gt;"OK"), "⚠️ REVISAR", "OK"))</f>
        <v/>
      </c>
    </row>
    <row r="1309">
      <c r="A1309" s="79">
        <f>IF('Ordenes_Odoo'!A1309="","",'Ordenes_Odoo'!A1309)</f>
        <v/>
      </c>
      <c r="B1309" s="80">
        <f>IF('Ordenes_Odoo'!B1309="","",'Ordenes_Odoo'!B1309)</f>
        <v/>
      </c>
      <c r="C1309" s="79">
        <f>IF('Ordenes_Odoo'!C1309="","",'Ordenes_Odoo'!C1309)</f>
        <v/>
      </c>
      <c r="D1309" s="79">
        <f>IF('Ordenes_Odoo'!D1309="","",'Ordenes_Odoo'!D1309)</f>
        <v/>
      </c>
      <c r="E1309" s="79">
        <f>IF('Ordenes_Odoo'!E1309="","",'Ordenes_Odoo'!E1309)</f>
        <v/>
      </c>
      <c r="F1309" s="79">
        <f>IF('Ordenes_Odoo'!F1309="","",'Ordenes_Odoo'!F1309)</f>
        <v/>
      </c>
      <c r="G1309" s="79">
        <f>IF('Ordenes_Odoo'!G1309="","",'Ordenes_Odoo'!G1309)</f>
        <v/>
      </c>
      <c r="H1309" s="79">
        <f>IF('Ordenes_Odoo'!H1309="","",'Ordenes_Odoo'!H1309)</f>
        <v/>
      </c>
      <c r="I1309" s="79">
        <f>IF('Ordenes_Odoo'!I1309="","",'Ordenes_Odoo'!I1309)</f>
        <v/>
      </c>
      <c r="J1309" s="79">
        <f>IF('Ordenes_Odoo'!J1309="","",'Ordenes_Odoo'!J1309)</f>
        <v/>
      </c>
      <c r="K1309" s="81">
        <f>IF('Ordenes_Odoo'!K1309="","",'Ordenes_Odoo'!K1309)</f>
        <v/>
      </c>
      <c r="L1309" s="81">
        <f>IF('Ordenes_Odoo'!L1309="","",'Ordenes_Odoo'!L1309)</f>
        <v/>
      </c>
      <c r="M1309" s="79">
        <f>IF('Ordenes_Odoo'!M1309="","",'Ordenes_Odoo'!M1309)</f>
        <v/>
      </c>
      <c r="N1309" s="79">
        <f>IF('Ordenes_Odoo'!N1309="","",'Ordenes_Odoo'!N1309)</f>
        <v/>
      </c>
      <c r="O1309" s="81">
        <f>IF('Ordenes_Odoo'!O1309="","",'Ordenes_Odoo'!O1309)</f>
        <v/>
      </c>
      <c r="P1309" s="81">
        <f>IF('Ordenes_Odoo'!P1309="","",'Ordenes_Odoo'!P1309)</f>
        <v/>
      </c>
      <c r="Q1309" s="79">
        <f>IF(A1309="","",IFERROR(INDEX(Facturas_Odoo!$B:$B, MATCH(A1309, Facturas_Odoo!$D:$D, 0)), "Sin Factura"))</f>
        <v/>
      </c>
      <c r="R1309" s="80">
        <f>IF(Q1309="Sin Factura","",IFERROR(INDEX(Facturas_Odoo!$A:$A, MATCH(Q1309, Facturas_Odoo!$B:$B, 0)), ""))</f>
        <v/>
      </c>
      <c r="S1309" s="79">
        <f>IF(Q1309="Sin Factura","",IFERROR(_xlfn.XLOOKUP(1, (Facturas_Odoo!$D:$D=A1309) * (Facturas_Odoo!$K:$K=I1309), Facturas_Odoo!$L:$L, ""), ""))</f>
        <v/>
      </c>
      <c r="T1309" s="81">
        <f>IF(Q1309="Sin Factura",0,IFERROR(_xlfn.XLOOKUP(1, (Facturas_Odoo!$D:$D=A1309) * (Facturas_Odoo!$K:$K=I1309), Facturas_Odoo!$M:$M, 0), 0))</f>
        <v/>
      </c>
      <c r="U1309" s="79">
        <f>IF(Q1309="Sin Factura",0,IFERROR(_xlfn.XLOOKUP(1, (Facturas_Odoo!$D:$D=A1309) * (Facturas_Odoo!$K:$K=I1309), Facturas_Odoo!$N:$N, 0), 0))</f>
        <v/>
      </c>
      <c r="V1309" s="79">
        <f>IF(Q1309="Sin Factura",0,IFERROR(_xlfn.XLOOKUP(1, (Facturas_Odoo!$D:$D=A1309) * (Facturas_Odoo!$K:$K=I1309), Facturas_Odoo!$O:$O, 0), 0))</f>
        <v/>
      </c>
      <c r="W1309" s="81">
        <f>IF(Q1309="Sin Factura",0,IFERROR(_xlfn.XLOOKUP(1, (Facturas_Odoo!$D:$D=A1309) * (Facturas_Odoo!$K:$K=I1309), Facturas_Odoo!$Q:$Q, 0), 0))</f>
        <v/>
      </c>
      <c r="X1309" s="79">
        <f>IF(OR(Q1309="Sin Factura",Q1309=""),"",IFERROR(INDEX(Pagos_Odoo!$B:$B, MATCH(Q1309, Pagos_Odoo!$I:$I, 0)), "Sin Pago"))</f>
        <v/>
      </c>
      <c r="Y1309" s="79">
        <f>IF(X1309="Sin Pago","",IFERROR(INDEX(Pagos_Odoo!$C:$C, MATCH(X1309, Pagos_Odoo!$B:$B, 0)), ""))</f>
        <v/>
      </c>
      <c r="Z1309" s="80">
        <f>IF(X1309="Sin Pago","",IFERROR(INDEX(Pagos_Odoo!$A:$A, MATCH(X1309, Pagos_Odoo!$B:$B, 0)), ""))</f>
        <v/>
      </c>
      <c r="AA1309" s="79">
        <f>IF(X1309="Sin Pago","",IFERROR(INDEX(Pagos_Odoo!$F:$F, MATCH(X1309, Pagos_Odoo!$B:$B, 0)), ""))</f>
        <v/>
      </c>
      <c r="AB1309" s="81">
        <f>IF(X1309="Sin Pago",0,IFERROR(INDEX(Pagos_Odoo!$E:$E, MATCH(X1309, Pagos_Odoo!$B:$B, 0)), 0))</f>
        <v/>
      </c>
      <c r="AC1309" s="79">
        <f>IF(X1309="Sin Pago","",IFERROR(INDEX(Pagos_Odoo!$G:$G, MATCH(X1309, Pagos_Odoo!$B:$B, 0)), ""))</f>
        <v/>
      </c>
      <c r="AD1309" s="82" t="n">
        <v>0</v>
      </c>
      <c r="AE1309" s="82" t="n"/>
      <c r="AF1309" s="82" t="n"/>
      <c r="AG1309" s="82">
        <f>IF(AN1309="","",AD1309+AE1309+AF1309)</f>
        <v/>
      </c>
      <c r="AH1309" s="81">
        <f>IF(AN1309="","",P1309*(1-AG1309))</f>
        <v/>
      </c>
      <c r="AI1309" s="81">
        <f>IF(AN1309="","",IF(Q1309="Sin Factura",0,IFERROR(INDEX(Facturas_Odoo!$H:$H, MATCH(Q1309, Facturas_Odoo!$B:$B, 0)), 0)*(1-AG1309)))</f>
        <v/>
      </c>
      <c r="AJ1309" s="81">
        <f>IF(AN1309="","",_xlfn.LET(idVenta, AN1309&amp;"",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09" s="81">
        <f>IF(AN1309="","",AH1309-AJ1309)</f>
        <v/>
      </c>
      <c r="AL1309" s="81">
        <f>IF(AN1309="","",IF(Q1309="Sin Factura","",AI1309-AJ1309))</f>
        <v/>
      </c>
      <c r="AM1309" s="81">
        <f>IF(AN1309="","",IF(Q1309="Sin Factura",0,P1309-IFERROR(INDEX(Facturas_Odoo!$H:$H, MATCH(Q1309, Facturas_Odoo!$B:$B, 0)), 0)))</f>
        <v/>
      </c>
      <c r="AN1309" s="79">
        <f>IF(AND(A1309="", J1309=""), "", IF(A1309&lt;&gt;"", VALUE(MID(A1309,2,LEN(A1309))), AN1308))</f>
        <v/>
      </c>
      <c r="AO1309" s="79">
        <f>IF(AN1309="","",IF(AD1309=0,"OK",_xlfn.LET(monedaPago, IF(AA1309="","USD",AA1309), limitePermitido, IFERROR(VLOOKUP(monedaPago, Configuración!$A$2:$B$3, 2, FALSE), 0.15), IF(AD1309&gt;limitePermitido, "ALERTA: EXCESO (" &amp; TEXT(limitePermitido, "0%") &amp; " máx)", "OK"))))</f>
        <v/>
      </c>
      <c r="AP1309" s="79">
        <f>IF(AN1309="","",IF(AE1309=0,"OK",_xlfn.LET(fechaPago, Z1309, fechaFactura, R1309, diasCredito, IF(E1309="Pago inmediato", 0, IFERROR(VALUE(MID(E1309, 1, SEARCH(" ", E1309)-1)),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09" s="79">
        <f>IF(AN1309="","",IF(AND(N1309&gt;0, AG1309&gt;0), IF(Configuración!$K$2="NO", "ALERTA: DESCUENTO DOBLE NO PERMITIDO", "OK"), "OK"))</f>
        <v/>
      </c>
      <c r="AR1309" s="79">
        <f>IF(AN1309="","",IF(OR(AO1309&lt;&gt;"OK", AP1309&lt;&gt;"OK", AQ1309&lt;&gt;"OK"), "⚠️ REVISAR", "OK"))</f>
        <v/>
      </c>
    </row>
    <row r="1310">
      <c r="A1310" s="79">
        <f>IF('Ordenes_Odoo'!A1310="","",'Ordenes_Odoo'!A1310)</f>
        <v/>
      </c>
      <c r="B1310" s="80">
        <f>IF('Ordenes_Odoo'!B1310="","",'Ordenes_Odoo'!B1310)</f>
        <v/>
      </c>
      <c r="C1310" s="79">
        <f>IF('Ordenes_Odoo'!C1310="","",'Ordenes_Odoo'!C1310)</f>
        <v/>
      </c>
      <c r="D1310" s="79">
        <f>IF('Ordenes_Odoo'!D1310="","",'Ordenes_Odoo'!D1310)</f>
        <v/>
      </c>
      <c r="E1310" s="79">
        <f>IF('Ordenes_Odoo'!E1310="","",'Ordenes_Odoo'!E1310)</f>
        <v/>
      </c>
      <c r="F1310" s="79">
        <f>IF('Ordenes_Odoo'!F1310="","",'Ordenes_Odoo'!F1310)</f>
        <v/>
      </c>
      <c r="G1310" s="79">
        <f>IF('Ordenes_Odoo'!G1310="","",'Ordenes_Odoo'!G1310)</f>
        <v/>
      </c>
      <c r="H1310" s="79">
        <f>IF('Ordenes_Odoo'!H1310="","",'Ordenes_Odoo'!H1310)</f>
        <v/>
      </c>
      <c r="I1310" s="79">
        <f>IF('Ordenes_Odoo'!I1310="","",'Ordenes_Odoo'!I1310)</f>
        <v/>
      </c>
      <c r="J1310" s="79">
        <f>IF('Ordenes_Odoo'!J1310="","",'Ordenes_Odoo'!J1310)</f>
        <v/>
      </c>
      <c r="K1310" s="81">
        <f>IF('Ordenes_Odoo'!K1310="","",'Ordenes_Odoo'!K1310)</f>
        <v/>
      </c>
      <c r="L1310" s="81">
        <f>IF('Ordenes_Odoo'!L1310="","",'Ordenes_Odoo'!L1310)</f>
        <v/>
      </c>
      <c r="M1310" s="79">
        <f>IF('Ordenes_Odoo'!M1310="","",'Ordenes_Odoo'!M1310)</f>
        <v/>
      </c>
      <c r="N1310" s="79">
        <f>IF('Ordenes_Odoo'!N1310="","",'Ordenes_Odoo'!N1310)</f>
        <v/>
      </c>
      <c r="O1310" s="81">
        <f>IF('Ordenes_Odoo'!O1310="","",'Ordenes_Odoo'!O1310)</f>
        <v/>
      </c>
      <c r="P1310" s="81">
        <f>IF('Ordenes_Odoo'!P1310="","",'Ordenes_Odoo'!P1310)</f>
        <v/>
      </c>
      <c r="Q1310" s="79">
        <f>IF(A1310="","",IFERROR(INDEX(Facturas_Odoo!$B:$B, MATCH(A1310, Facturas_Odoo!$D:$D, 0)), "Sin Factura"))</f>
        <v/>
      </c>
      <c r="R1310" s="80">
        <f>IF(Q1310="Sin Factura","",IFERROR(INDEX(Facturas_Odoo!$A:$A, MATCH(Q1310, Facturas_Odoo!$B:$B, 0)), ""))</f>
        <v/>
      </c>
      <c r="S1310" s="79">
        <f>IF(Q1310="Sin Factura","",IFERROR(_xlfn.XLOOKUP(1, (Facturas_Odoo!$D:$D=A1310) * (Facturas_Odoo!$K:$K=I1310), Facturas_Odoo!$L:$L, ""), ""))</f>
        <v/>
      </c>
      <c r="T1310" s="81">
        <f>IF(Q1310="Sin Factura",0,IFERROR(_xlfn.XLOOKUP(1, (Facturas_Odoo!$D:$D=A1310) * (Facturas_Odoo!$K:$K=I1310), Facturas_Odoo!$M:$M, 0), 0))</f>
        <v/>
      </c>
      <c r="U1310" s="79">
        <f>IF(Q1310="Sin Factura",0,IFERROR(_xlfn.XLOOKUP(1, (Facturas_Odoo!$D:$D=A1310) * (Facturas_Odoo!$K:$K=I1310), Facturas_Odoo!$N:$N, 0), 0))</f>
        <v/>
      </c>
      <c r="V1310" s="79">
        <f>IF(Q1310="Sin Factura",0,IFERROR(_xlfn.XLOOKUP(1, (Facturas_Odoo!$D:$D=A1310) * (Facturas_Odoo!$K:$K=I1310), Facturas_Odoo!$O:$O, 0), 0))</f>
        <v/>
      </c>
      <c r="W1310" s="81">
        <f>IF(Q1310="Sin Factura",0,IFERROR(_xlfn.XLOOKUP(1, (Facturas_Odoo!$D:$D=A1310) * (Facturas_Odoo!$K:$K=I1310), Facturas_Odoo!$Q:$Q, 0), 0))</f>
        <v/>
      </c>
      <c r="X1310" s="79">
        <f>IF(OR(Q1310="Sin Factura",Q1310=""),"",IFERROR(INDEX(Pagos_Odoo!$B:$B, MATCH(Q1310, Pagos_Odoo!$I:$I, 0)), "Sin Pago"))</f>
        <v/>
      </c>
      <c r="Y1310" s="79">
        <f>IF(X1310="Sin Pago","",IFERROR(INDEX(Pagos_Odoo!$C:$C, MATCH(X1310, Pagos_Odoo!$B:$B, 0)), ""))</f>
        <v/>
      </c>
      <c r="Z1310" s="80">
        <f>IF(X1310="Sin Pago","",IFERROR(INDEX(Pagos_Odoo!$A:$A, MATCH(X1310, Pagos_Odoo!$B:$B, 0)), ""))</f>
        <v/>
      </c>
      <c r="AA1310" s="79">
        <f>IF(X1310="Sin Pago","",IFERROR(INDEX(Pagos_Odoo!$F:$F, MATCH(X1310, Pagos_Odoo!$B:$B, 0)), ""))</f>
        <v/>
      </c>
      <c r="AB1310" s="81">
        <f>IF(X1310="Sin Pago",0,IFERROR(INDEX(Pagos_Odoo!$E:$E, MATCH(X1310, Pagos_Odoo!$B:$B, 0)), 0))</f>
        <v/>
      </c>
      <c r="AC1310" s="79">
        <f>IF(X1310="Sin Pago","",IFERROR(INDEX(Pagos_Odoo!$G:$G, MATCH(X1310, Pagos_Odoo!$B:$B, 0)), ""))</f>
        <v/>
      </c>
      <c r="AD1310" s="82" t="n">
        <v>0</v>
      </c>
      <c r="AE1310" s="82" t="n"/>
      <c r="AF1310" s="82" t="n"/>
      <c r="AG1310" s="82">
        <f>IF(AN1310="","",AD1310+AE1310+AF1310)</f>
        <v/>
      </c>
      <c r="AH1310" s="81">
        <f>IF(AN1310="","",P1310*(1-AG1310))</f>
        <v/>
      </c>
      <c r="AI1310" s="81">
        <f>IF(AN1310="","",IF(Q1310="Sin Factura",0,IFERROR(INDEX(Facturas_Odoo!$H:$H, MATCH(Q1310, Facturas_Odoo!$B:$B, 0)), 0)*(1-AG1310)))</f>
        <v/>
      </c>
      <c r="AJ1310" s="81">
        <f>IF(AN1310="","",_xlfn.LET(idVenta, AN1310&amp;"",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10" s="81">
        <f>IF(AN1310="","",AH1310-AJ1310)</f>
        <v/>
      </c>
      <c r="AL1310" s="81">
        <f>IF(AN1310="","",IF(Q1310="Sin Factura","",AI1310-AJ1310))</f>
        <v/>
      </c>
      <c r="AM1310" s="81">
        <f>IF(AN1310="","",IF(Q1310="Sin Factura",0,P1310-IFERROR(INDEX(Facturas_Odoo!$H:$H, MATCH(Q1310, Facturas_Odoo!$B:$B, 0)), 0)))</f>
        <v/>
      </c>
      <c r="AN1310" s="79">
        <f>IF(AND(A1310="", J1310=""), "", IF(A1310&lt;&gt;"", VALUE(MID(A1310,2,LEN(A1310))), AN1309))</f>
        <v/>
      </c>
      <c r="AO1310" s="79">
        <f>IF(AN1310="","",IF(AD1310=0,"OK",_xlfn.LET(monedaPago, IF(AA1310="","USD",AA1310), limitePermitido, IFERROR(VLOOKUP(monedaPago, Configuración!$A$2:$B$3, 2, FALSE), 0.15), IF(AD1310&gt;limitePermitido, "ALERTA: EXCESO (" &amp; TEXT(limitePermitido, "0%") &amp; " máx)", "OK"))))</f>
        <v/>
      </c>
      <c r="AP1310" s="79">
        <f>IF(AN1310="","",IF(AE1310=0,"OK",_xlfn.LET(fechaPago, Z1310, fechaFactura, R1310, diasCredito, IF(E1310="Pago inmediato", 0, IFERROR(VALUE(MID(E1310, 1, SEARCH(" ", E1310)-1)),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10" s="79">
        <f>IF(AN1310="","",IF(AND(N1310&gt;0, AG1310&gt;0), IF(Configuración!$K$2="NO", "ALERTA: DESCUENTO DOBLE NO PERMITIDO", "OK"), "OK"))</f>
        <v/>
      </c>
      <c r="AR1310" s="79">
        <f>IF(AN1310="","",IF(OR(AO1310&lt;&gt;"OK", AP1310&lt;&gt;"OK", AQ1310&lt;&gt;"OK"), "⚠️ REVISAR", "OK"))</f>
        <v/>
      </c>
    </row>
    <row r="1311">
      <c r="A1311" s="79">
        <f>IF('Ordenes_Odoo'!A1311="","",'Ordenes_Odoo'!A1311)</f>
        <v/>
      </c>
      <c r="B1311" s="80">
        <f>IF('Ordenes_Odoo'!B1311="","",'Ordenes_Odoo'!B1311)</f>
        <v/>
      </c>
      <c r="C1311" s="79">
        <f>IF('Ordenes_Odoo'!C1311="","",'Ordenes_Odoo'!C1311)</f>
        <v/>
      </c>
      <c r="D1311" s="79">
        <f>IF('Ordenes_Odoo'!D1311="","",'Ordenes_Odoo'!D1311)</f>
        <v/>
      </c>
      <c r="E1311" s="79">
        <f>IF('Ordenes_Odoo'!E1311="","",'Ordenes_Odoo'!E1311)</f>
        <v/>
      </c>
      <c r="F1311" s="79">
        <f>IF('Ordenes_Odoo'!F1311="","",'Ordenes_Odoo'!F1311)</f>
        <v/>
      </c>
      <c r="G1311" s="79">
        <f>IF('Ordenes_Odoo'!G1311="","",'Ordenes_Odoo'!G1311)</f>
        <v/>
      </c>
      <c r="H1311" s="79">
        <f>IF('Ordenes_Odoo'!H1311="","",'Ordenes_Odoo'!H1311)</f>
        <v/>
      </c>
      <c r="I1311" s="79">
        <f>IF('Ordenes_Odoo'!I1311="","",'Ordenes_Odoo'!I1311)</f>
        <v/>
      </c>
      <c r="J1311" s="79">
        <f>IF('Ordenes_Odoo'!J1311="","",'Ordenes_Odoo'!J1311)</f>
        <v/>
      </c>
      <c r="K1311" s="81">
        <f>IF('Ordenes_Odoo'!K1311="","",'Ordenes_Odoo'!K1311)</f>
        <v/>
      </c>
      <c r="L1311" s="81">
        <f>IF('Ordenes_Odoo'!L1311="","",'Ordenes_Odoo'!L1311)</f>
        <v/>
      </c>
      <c r="M1311" s="79">
        <f>IF('Ordenes_Odoo'!M1311="","",'Ordenes_Odoo'!M1311)</f>
        <v/>
      </c>
      <c r="N1311" s="79">
        <f>IF('Ordenes_Odoo'!N1311="","",'Ordenes_Odoo'!N1311)</f>
        <v/>
      </c>
      <c r="O1311" s="81">
        <f>IF('Ordenes_Odoo'!O1311="","",'Ordenes_Odoo'!O1311)</f>
        <v/>
      </c>
      <c r="P1311" s="81">
        <f>IF('Ordenes_Odoo'!P1311="","",'Ordenes_Odoo'!P1311)</f>
        <v/>
      </c>
      <c r="Q1311" s="79">
        <f>IF(A1311="","",IFERROR(INDEX(Facturas_Odoo!$B:$B, MATCH(A1311, Facturas_Odoo!$D:$D, 0)), "Sin Factura"))</f>
        <v/>
      </c>
      <c r="R1311" s="80">
        <f>IF(Q1311="Sin Factura","",IFERROR(INDEX(Facturas_Odoo!$A:$A, MATCH(Q1311, Facturas_Odoo!$B:$B, 0)), ""))</f>
        <v/>
      </c>
      <c r="S1311" s="79">
        <f>IF(Q1311="Sin Factura","",IFERROR(_xlfn.XLOOKUP(1, (Facturas_Odoo!$D:$D=A1311) * (Facturas_Odoo!$K:$K=I1311), Facturas_Odoo!$L:$L, ""), ""))</f>
        <v/>
      </c>
      <c r="T1311" s="81">
        <f>IF(Q1311="Sin Factura",0,IFERROR(_xlfn.XLOOKUP(1, (Facturas_Odoo!$D:$D=A1311) * (Facturas_Odoo!$K:$K=I1311), Facturas_Odoo!$M:$M, 0), 0))</f>
        <v/>
      </c>
      <c r="U1311" s="79">
        <f>IF(Q1311="Sin Factura",0,IFERROR(_xlfn.XLOOKUP(1, (Facturas_Odoo!$D:$D=A1311) * (Facturas_Odoo!$K:$K=I1311), Facturas_Odoo!$N:$N, 0), 0))</f>
        <v/>
      </c>
      <c r="V1311" s="79">
        <f>IF(Q1311="Sin Factura",0,IFERROR(_xlfn.XLOOKUP(1, (Facturas_Odoo!$D:$D=A1311) * (Facturas_Odoo!$K:$K=I1311), Facturas_Odoo!$O:$O, 0), 0))</f>
        <v/>
      </c>
      <c r="W1311" s="81">
        <f>IF(Q1311="Sin Factura",0,IFERROR(_xlfn.XLOOKUP(1, (Facturas_Odoo!$D:$D=A1311) * (Facturas_Odoo!$K:$K=I1311), Facturas_Odoo!$Q:$Q, 0), 0))</f>
        <v/>
      </c>
      <c r="X1311" s="79">
        <f>IF(OR(Q1311="Sin Factura",Q1311=""),"",IFERROR(INDEX(Pagos_Odoo!$B:$B, MATCH(Q1311, Pagos_Odoo!$I:$I, 0)), "Sin Pago"))</f>
        <v/>
      </c>
      <c r="Y1311" s="79">
        <f>IF(X1311="Sin Pago","",IFERROR(INDEX(Pagos_Odoo!$C:$C, MATCH(X1311, Pagos_Odoo!$B:$B, 0)), ""))</f>
        <v/>
      </c>
      <c r="Z1311" s="80">
        <f>IF(X1311="Sin Pago","",IFERROR(INDEX(Pagos_Odoo!$A:$A, MATCH(X1311, Pagos_Odoo!$B:$B, 0)), ""))</f>
        <v/>
      </c>
      <c r="AA1311" s="79">
        <f>IF(X1311="Sin Pago","",IFERROR(INDEX(Pagos_Odoo!$F:$F, MATCH(X1311, Pagos_Odoo!$B:$B, 0)), ""))</f>
        <v/>
      </c>
      <c r="AB1311" s="81">
        <f>IF(X1311="Sin Pago",0,IFERROR(INDEX(Pagos_Odoo!$E:$E, MATCH(X1311, Pagos_Odoo!$B:$B, 0)), 0))</f>
        <v/>
      </c>
      <c r="AC1311" s="79">
        <f>IF(X1311="Sin Pago","",IFERROR(INDEX(Pagos_Odoo!$G:$G, MATCH(X1311, Pagos_Odoo!$B:$B, 0)), ""))</f>
        <v/>
      </c>
      <c r="AD1311" s="82" t="n">
        <v>0</v>
      </c>
      <c r="AE1311" s="82" t="n"/>
      <c r="AF1311" s="82" t="n"/>
      <c r="AG1311" s="82">
        <f>IF(AN1311="","",AD1311+AE1311+AF1311)</f>
        <v/>
      </c>
      <c r="AH1311" s="81">
        <f>IF(AN1311="","",P1311*(1-AG1311))</f>
        <v/>
      </c>
      <c r="AI1311" s="81">
        <f>IF(AN1311="","",IF(Q1311="Sin Factura",0,IFERROR(INDEX(Facturas_Odoo!$H:$H, MATCH(Q1311, Facturas_Odoo!$B:$B, 0)), 0)*(1-AG1311)))</f>
        <v/>
      </c>
      <c r="AJ1311" s="81">
        <f>IF(AN1311="","",_xlfn.LET(idVenta, AN1311&amp;"",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11" s="81">
        <f>IF(AN1311="","",AH1311-AJ1311)</f>
        <v/>
      </c>
      <c r="AL1311" s="81">
        <f>IF(AN1311="","",IF(Q1311="Sin Factura","",AI1311-AJ1311))</f>
        <v/>
      </c>
      <c r="AM1311" s="81">
        <f>IF(AN1311="","",IF(Q1311="Sin Factura",0,P1311-IFERROR(INDEX(Facturas_Odoo!$H:$H, MATCH(Q1311, Facturas_Odoo!$B:$B, 0)), 0)))</f>
        <v/>
      </c>
      <c r="AN1311" s="79">
        <f>IF(AND(A1311="", J1311=""), "", IF(A1311&lt;&gt;"", VALUE(MID(A1311,2,LEN(A1311))), AN1310))</f>
        <v/>
      </c>
      <c r="AO1311" s="79">
        <f>IF(AN1311="","",IF(AD1311=0,"OK",_xlfn.LET(monedaPago, IF(AA1311="","USD",AA1311), limitePermitido, IFERROR(VLOOKUP(monedaPago, Configuración!$A$2:$B$3, 2, FALSE), 0.15), IF(AD1311&gt;limitePermitido, "ALERTA: EXCESO (" &amp; TEXT(limitePermitido, "0%") &amp; " máx)", "OK"))))</f>
        <v/>
      </c>
      <c r="AP1311" s="79">
        <f>IF(AN1311="","",IF(AE1311=0,"OK",_xlfn.LET(fechaPago, Z1311, fechaFactura, R1311, diasCredito, IF(E1311="Pago inmediato", 0, IFERROR(VALUE(MID(E1311, 1, SEARCH(" ", E1311)-1)),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11" s="79">
        <f>IF(AN1311="","",IF(AND(N1311&gt;0, AG1311&gt;0), IF(Configuración!$K$2="NO", "ALERTA: DESCUENTO DOBLE NO PERMITIDO", "OK"), "OK"))</f>
        <v/>
      </c>
      <c r="AR1311" s="79">
        <f>IF(AN1311="","",IF(OR(AO1311&lt;&gt;"OK", AP1311&lt;&gt;"OK", AQ1311&lt;&gt;"OK"), "⚠️ REVISAR", "OK"))</f>
        <v/>
      </c>
    </row>
    <row r="1312">
      <c r="A1312" s="79">
        <f>IF('Ordenes_Odoo'!A1312="","",'Ordenes_Odoo'!A1312)</f>
        <v/>
      </c>
      <c r="B1312" s="80">
        <f>IF('Ordenes_Odoo'!B1312="","",'Ordenes_Odoo'!B1312)</f>
        <v/>
      </c>
      <c r="C1312" s="79">
        <f>IF('Ordenes_Odoo'!C1312="","",'Ordenes_Odoo'!C1312)</f>
        <v/>
      </c>
      <c r="D1312" s="79">
        <f>IF('Ordenes_Odoo'!D1312="","",'Ordenes_Odoo'!D1312)</f>
        <v/>
      </c>
      <c r="E1312" s="79">
        <f>IF('Ordenes_Odoo'!E1312="","",'Ordenes_Odoo'!E1312)</f>
        <v/>
      </c>
      <c r="F1312" s="79">
        <f>IF('Ordenes_Odoo'!F1312="","",'Ordenes_Odoo'!F1312)</f>
        <v/>
      </c>
      <c r="G1312" s="79">
        <f>IF('Ordenes_Odoo'!G1312="","",'Ordenes_Odoo'!G1312)</f>
        <v/>
      </c>
      <c r="H1312" s="79">
        <f>IF('Ordenes_Odoo'!H1312="","",'Ordenes_Odoo'!H1312)</f>
        <v/>
      </c>
      <c r="I1312" s="79">
        <f>IF('Ordenes_Odoo'!I1312="","",'Ordenes_Odoo'!I1312)</f>
        <v/>
      </c>
      <c r="J1312" s="79">
        <f>IF('Ordenes_Odoo'!J1312="","",'Ordenes_Odoo'!J1312)</f>
        <v/>
      </c>
      <c r="K1312" s="81">
        <f>IF('Ordenes_Odoo'!K1312="","",'Ordenes_Odoo'!K1312)</f>
        <v/>
      </c>
      <c r="L1312" s="81">
        <f>IF('Ordenes_Odoo'!L1312="","",'Ordenes_Odoo'!L1312)</f>
        <v/>
      </c>
      <c r="M1312" s="79">
        <f>IF('Ordenes_Odoo'!M1312="","",'Ordenes_Odoo'!M1312)</f>
        <v/>
      </c>
      <c r="N1312" s="79">
        <f>IF('Ordenes_Odoo'!N1312="","",'Ordenes_Odoo'!N1312)</f>
        <v/>
      </c>
      <c r="O1312" s="81">
        <f>IF('Ordenes_Odoo'!O1312="","",'Ordenes_Odoo'!O1312)</f>
        <v/>
      </c>
      <c r="P1312" s="81">
        <f>IF('Ordenes_Odoo'!P1312="","",'Ordenes_Odoo'!P1312)</f>
        <v/>
      </c>
      <c r="Q1312" s="79">
        <f>IF(A1312="","",IFERROR(INDEX(Facturas_Odoo!$B:$B, MATCH(A1312, Facturas_Odoo!$D:$D, 0)), "Sin Factura"))</f>
        <v/>
      </c>
      <c r="R1312" s="80">
        <f>IF(Q1312="Sin Factura","",IFERROR(INDEX(Facturas_Odoo!$A:$A, MATCH(Q1312, Facturas_Odoo!$B:$B, 0)), ""))</f>
        <v/>
      </c>
      <c r="S1312" s="79">
        <f>IF(Q1312="Sin Factura","",IFERROR(_xlfn.XLOOKUP(1, (Facturas_Odoo!$D:$D=A1312) * (Facturas_Odoo!$K:$K=I1312), Facturas_Odoo!$L:$L, ""), ""))</f>
        <v/>
      </c>
      <c r="T1312" s="81">
        <f>IF(Q1312="Sin Factura",0,IFERROR(_xlfn.XLOOKUP(1, (Facturas_Odoo!$D:$D=A1312) * (Facturas_Odoo!$K:$K=I1312), Facturas_Odoo!$M:$M, 0), 0))</f>
        <v/>
      </c>
      <c r="U1312" s="79">
        <f>IF(Q1312="Sin Factura",0,IFERROR(_xlfn.XLOOKUP(1, (Facturas_Odoo!$D:$D=A1312) * (Facturas_Odoo!$K:$K=I1312), Facturas_Odoo!$N:$N, 0), 0))</f>
        <v/>
      </c>
      <c r="V1312" s="79">
        <f>IF(Q1312="Sin Factura",0,IFERROR(_xlfn.XLOOKUP(1, (Facturas_Odoo!$D:$D=A1312) * (Facturas_Odoo!$K:$K=I1312), Facturas_Odoo!$O:$O, 0), 0))</f>
        <v/>
      </c>
      <c r="W1312" s="81">
        <f>IF(Q1312="Sin Factura",0,IFERROR(_xlfn.XLOOKUP(1, (Facturas_Odoo!$D:$D=A1312) * (Facturas_Odoo!$K:$K=I1312), Facturas_Odoo!$Q:$Q, 0), 0))</f>
        <v/>
      </c>
      <c r="X1312" s="79">
        <f>IF(OR(Q1312="Sin Factura",Q1312=""),"",IFERROR(INDEX(Pagos_Odoo!$B:$B, MATCH(Q1312, Pagos_Odoo!$I:$I, 0)), "Sin Pago"))</f>
        <v/>
      </c>
      <c r="Y1312" s="79">
        <f>IF(X1312="Sin Pago","",IFERROR(INDEX(Pagos_Odoo!$C:$C, MATCH(X1312, Pagos_Odoo!$B:$B, 0)), ""))</f>
        <v/>
      </c>
      <c r="Z1312" s="80">
        <f>IF(X1312="Sin Pago","",IFERROR(INDEX(Pagos_Odoo!$A:$A, MATCH(X1312, Pagos_Odoo!$B:$B, 0)), ""))</f>
        <v/>
      </c>
      <c r="AA1312" s="79">
        <f>IF(X1312="Sin Pago","",IFERROR(INDEX(Pagos_Odoo!$F:$F, MATCH(X1312, Pagos_Odoo!$B:$B, 0)), ""))</f>
        <v/>
      </c>
      <c r="AB1312" s="81">
        <f>IF(X1312="Sin Pago",0,IFERROR(INDEX(Pagos_Odoo!$E:$E, MATCH(X1312, Pagos_Odoo!$B:$B, 0)), 0))</f>
        <v/>
      </c>
      <c r="AC1312" s="79">
        <f>IF(X1312="Sin Pago","",IFERROR(INDEX(Pagos_Odoo!$G:$G, MATCH(X1312, Pagos_Odoo!$B:$B, 0)), ""))</f>
        <v/>
      </c>
      <c r="AD1312" s="82" t="n">
        <v>0</v>
      </c>
      <c r="AE1312" s="82" t="n"/>
      <c r="AF1312" s="82" t="n"/>
      <c r="AG1312" s="82">
        <f>IF(AN1312="","",AD1312+AE1312+AF1312)</f>
        <v/>
      </c>
      <c r="AH1312" s="81">
        <f>IF(AN1312="","",P1312*(1-AG1312))</f>
        <v/>
      </c>
      <c r="AI1312" s="81">
        <f>IF(AN1312="","",IF(Q1312="Sin Factura",0,IFERROR(INDEX(Facturas_Odoo!$H:$H, MATCH(Q1312, Facturas_Odoo!$B:$B, 0)), 0)*(1-AG1312)))</f>
        <v/>
      </c>
      <c r="AJ1312" s="81">
        <f>IF(AN1312="","",_xlfn.LET(idVenta, AN1312&amp;"",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12" s="81">
        <f>IF(AN1312="","",AH1312-AJ1312)</f>
        <v/>
      </c>
      <c r="AL1312" s="81">
        <f>IF(AN1312="","",IF(Q1312="Sin Factura","",AI1312-AJ1312))</f>
        <v/>
      </c>
      <c r="AM1312" s="81">
        <f>IF(AN1312="","",IF(Q1312="Sin Factura",0,P1312-IFERROR(INDEX(Facturas_Odoo!$H:$H, MATCH(Q1312, Facturas_Odoo!$B:$B, 0)), 0)))</f>
        <v/>
      </c>
      <c r="AN1312" s="79">
        <f>IF(AND(A1312="", J1312=""), "", IF(A1312&lt;&gt;"", VALUE(MID(A1312,2,LEN(A1312))), AN1311))</f>
        <v/>
      </c>
      <c r="AO1312" s="79">
        <f>IF(AN1312="","",IF(AD1312=0,"OK",_xlfn.LET(monedaPago, IF(AA1312="","USD",AA1312), limitePermitido, IFERROR(VLOOKUP(monedaPago, Configuración!$A$2:$B$3, 2, FALSE), 0.15), IF(AD1312&gt;limitePermitido, "ALERTA: EXCESO (" &amp; TEXT(limitePermitido, "0%") &amp; " máx)", "OK"))))</f>
        <v/>
      </c>
      <c r="AP1312" s="79">
        <f>IF(AN1312="","",IF(AE1312=0,"OK",_xlfn.LET(fechaPago, Z1312, fechaFactura, R1312, diasCredito, IF(E1312="Pago inmediato", 0, IFERROR(VALUE(MID(E1312, 1, SEARCH(" ", E1312)-1)),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12" s="79">
        <f>IF(AN1312="","",IF(AND(N1312&gt;0, AG1312&gt;0), IF(Configuración!$K$2="NO", "ALERTA: DESCUENTO DOBLE NO PERMITIDO", "OK"), "OK"))</f>
        <v/>
      </c>
      <c r="AR1312" s="79">
        <f>IF(AN1312="","",IF(OR(AO1312&lt;&gt;"OK", AP1312&lt;&gt;"OK", AQ1312&lt;&gt;"OK"), "⚠️ REVISAR", "OK"))</f>
        <v/>
      </c>
    </row>
    <row r="1313">
      <c r="A1313" s="79">
        <f>IF('Ordenes_Odoo'!A1313="","",'Ordenes_Odoo'!A1313)</f>
        <v/>
      </c>
      <c r="B1313" s="80">
        <f>IF('Ordenes_Odoo'!B1313="","",'Ordenes_Odoo'!B1313)</f>
        <v/>
      </c>
      <c r="C1313" s="79">
        <f>IF('Ordenes_Odoo'!C1313="","",'Ordenes_Odoo'!C1313)</f>
        <v/>
      </c>
      <c r="D1313" s="79">
        <f>IF('Ordenes_Odoo'!D1313="","",'Ordenes_Odoo'!D1313)</f>
        <v/>
      </c>
      <c r="E1313" s="79">
        <f>IF('Ordenes_Odoo'!E1313="","",'Ordenes_Odoo'!E1313)</f>
        <v/>
      </c>
      <c r="F1313" s="79">
        <f>IF('Ordenes_Odoo'!F1313="","",'Ordenes_Odoo'!F1313)</f>
        <v/>
      </c>
      <c r="G1313" s="79">
        <f>IF('Ordenes_Odoo'!G1313="","",'Ordenes_Odoo'!G1313)</f>
        <v/>
      </c>
      <c r="H1313" s="79">
        <f>IF('Ordenes_Odoo'!H1313="","",'Ordenes_Odoo'!H1313)</f>
        <v/>
      </c>
      <c r="I1313" s="79">
        <f>IF('Ordenes_Odoo'!I1313="","",'Ordenes_Odoo'!I1313)</f>
        <v/>
      </c>
      <c r="J1313" s="79">
        <f>IF('Ordenes_Odoo'!J1313="","",'Ordenes_Odoo'!J1313)</f>
        <v/>
      </c>
      <c r="K1313" s="81">
        <f>IF('Ordenes_Odoo'!K1313="","",'Ordenes_Odoo'!K1313)</f>
        <v/>
      </c>
      <c r="L1313" s="81">
        <f>IF('Ordenes_Odoo'!L1313="","",'Ordenes_Odoo'!L1313)</f>
        <v/>
      </c>
      <c r="M1313" s="79">
        <f>IF('Ordenes_Odoo'!M1313="","",'Ordenes_Odoo'!M1313)</f>
        <v/>
      </c>
      <c r="N1313" s="79">
        <f>IF('Ordenes_Odoo'!N1313="","",'Ordenes_Odoo'!N1313)</f>
        <v/>
      </c>
      <c r="O1313" s="81">
        <f>IF('Ordenes_Odoo'!O1313="","",'Ordenes_Odoo'!O1313)</f>
        <v/>
      </c>
      <c r="P1313" s="81">
        <f>IF('Ordenes_Odoo'!P1313="","",'Ordenes_Odoo'!P1313)</f>
        <v/>
      </c>
      <c r="Q1313" s="79">
        <f>IF(A1313="","",IFERROR(INDEX(Facturas_Odoo!$B:$B, MATCH(A1313, Facturas_Odoo!$D:$D, 0)), "Sin Factura"))</f>
        <v/>
      </c>
      <c r="R1313" s="80">
        <f>IF(Q1313="Sin Factura","",IFERROR(INDEX(Facturas_Odoo!$A:$A, MATCH(Q1313, Facturas_Odoo!$B:$B, 0)), ""))</f>
        <v/>
      </c>
      <c r="S1313" s="79">
        <f>IF(Q1313="Sin Factura","",IFERROR(_xlfn.XLOOKUP(1, (Facturas_Odoo!$D:$D=A1313) * (Facturas_Odoo!$K:$K=I1313), Facturas_Odoo!$L:$L, ""), ""))</f>
        <v/>
      </c>
      <c r="T1313" s="81">
        <f>IF(Q1313="Sin Factura",0,IFERROR(_xlfn.XLOOKUP(1, (Facturas_Odoo!$D:$D=A1313) * (Facturas_Odoo!$K:$K=I1313), Facturas_Odoo!$M:$M, 0), 0))</f>
        <v/>
      </c>
      <c r="U1313" s="79">
        <f>IF(Q1313="Sin Factura",0,IFERROR(_xlfn.XLOOKUP(1, (Facturas_Odoo!$D:$D=A1313) * (Facturas_Odoo!$K:$K=I1313), Facturas_Odoo!$N:$N, 0), 0))</f>
        <v/>
      </c>
      <c r="V1313" s="79">
        <f>IF(Q1313="Sin Factura",0,IFERROR(_xlfn.XLOOKUP(1, (Facturas_Odoo!$D:$D=A1313) * (Facturas_Odoo!$K:$K=I1313), Facturas_Odoo!$O:$O, 0), 0))</f>
        <v/>
      </c>
      <c r="W1313" s="81">
        <f>IF(Q1313="Sin Factura",0,IFERROR(_xlfn.XLOOKUP(1, (Facturas_Odoo!$D:$D=A1313) * (Facturas_Odoo!$K:$K=I1313), Facturas_Odoo!$Q:$Q, 0), 0))</f>
        <v/>
      </c>
      <c r="X1313" s="79">
        <f>IF(OR(Q1313="Sin Factura",Q1313=""),"",IFERROR(INDEX(Pagos_Odoo!$B:$B, MATCH(Q1313, Pagos_Odoo!$I:$I, 0)), "Sin Pago"))</f>
        <v/>
      </c>
      <c r="Y1313" s="79">
        <f>IF(X1313="Sin Pago","",IFERROR(INDEX(Pagos_Odoo!$C:$C, MATCH(X1313, Pagos_Odoo!$B:$B, 0)), ""))</f>
        <v/>
      </c>
      <c r="Z1313" s="80">
        <f>IF(X1313="Sin Pago","",IFERROR(INDEX(Pagos_Odoo!$A:$A, MATCH(X1313, Pagos_Odoo!$B:$B, 0)), ""))</f>
        <v/>
      </c>
      <c r="AA1313" s="79">
        <f>IF(X1313="Sin Pago","",IFERROR(INDEX(Pagos_Odoo!$F:$F, MATCH(X1313, Pagos_Odoo!$B:$B, 0)), ""))</f>
        <v/>
      </c>
      <c r="AB1313" s="81">
        <f>IF(X1313="Sin Pago",0,IFERROR(INDEX(Pagos_Odoo!$E:$E, MATCH(X1313, Pagos_Odoo!$B:$B, 0)), 0))</f>
        <v/>
      </c>
      <c r="AC1313" s="79">
        <f>IF(X1313="Sin Pago","",IFERROR(INDEX(Pagos_Odoo!$G:$G, MATCH(X1313, Pagos_Odoo!$B:$B, 0)), ""))</f>
        <v/>
      </c>
      <c r="AD1313" s="82" t="n">
        <v>0</v>
      </c>
      <c r="AE1313" s="82" t="n"/>
      <c r="AF1313" s="82" t="n"/>
      <c r="AG1313" s="82">
        <f>IF(AN1313="","",AD1313+AE1313+AF1313)</f>
        <v/>
      </c>
      <c r="AH1313" s="81">
        <f>IF(AN1313="","",P1313*(1-AG1313))</f>
        <v/>
      </c>
      <c r="AI1313" s="81">
        <f>IF(AN1313="","",IF(Q1313="Sin Factura",0,IFERROR(INDEX(Facturas_Odoo!$H:$H, MATCH(Q1313, Facturas_Odoo!$B:$B, 0)), 0)*(1-AG1313)))</f>
        <v/>
      </c>
      <c r="AJ1313" s="81">
        <f>IF(AN1313="","",_xlfn.LET(idVenta, AN1313&amp;"",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13" s="81">
        <f>IF(AN1313="","",AH1313-AJ1313)</f>
        <v/>
      </c>
      <c r="AL1313" s="81">
        <f>IF(AN1313="","",IF(Q1313="Sin Factura","",AI1313-AJ1313))</f>
        <v/>
      </c>
      <c r="AM1313" s="81">
        <f>IF(AN1313="","",IF(Q1313="Sin Factura",0,P1313-IFERROR(INDEX(Facturas_Odoo!$H:$H, MATCH(Q1313, Facturas_Odoo!$B:$B, 0)), 0)))</f>
        <v/>
      </c>
      <c r="AN1313" s="79">
        <f>IF(AND(A1313="", J1313=""), "", IF(A1313&lt;&gt;"", VALUE(MID(A1313,2,LEN(A1313))), AN1312))</f>
        <v/>
      </c>
      <c r="AO1313" s="79">
        <f>IF(AN1313="","",IF(AD1313=0,"OK",_xlfn.LET(monedaPago, IF(AA1313="","USD",AA1313), limitePermitido, IFERROR(VLOOKUP(monedaPago, Configuración!$A$2:$B$3, 2, FALSE), 0.15), IF(AD1313&gt;limitePermitido, "ALERTA: EXCESO (" &amp; TEXT(limitePermitido, "0%") &amp; " máx)", "OK"))))</f>
        <v/>
      </c>
      <c r="AP1313" s="79">
        <f>IF(AN1313="","",IF(AE1313=0,"OK",_xlfn.LET(fechaPago, Z1313, fechaFactura, R1313, diasCredito, IF(E1313="Pago inmediato", 0, IFERROR(VALUE(MID(E1313, 1, SEARCH(" ", E1313)-1)),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13" s="79">
        <f>IF(AN1313="","",IF(AND(N1313&gt;0, AG1313&gt;0), IF(Configuración!$K$2="NO", "ALERTA: DESCUENTO DOBLE NO PERMITIDO", "OK"), "OK"))</f>
        <v/>
      </c>
      <c r="AR1313" s="79">
        <f>IF(AN1313="","",IF(OR(AO1313&lt;&gt;"OK", AP1313&lt;&gt;"OK", AQ1313&lt;&gt;"OK"), "⚠️ REVISAR", "OK"))</f>
        <v/>
      </c>
    </row>
    <row r="1314">
      <c r="A1314" s="79">
        <f>IF('Ordenes_Odoo'!A1314="","",'Ordenes_Odoo'!A1314)</f>
        <v/>
      </c>
      <c r="B1314" s="80">
        <f>IF('Ordenes_Odoo'!B1314="","",'Ordenes_Odoo'!B1314)</f>
        <v/>
      </c>
      <c r="C1314" s="79">
        <f>IF('Ordenes_Odoo'!C1314="","",'Ordenes_Odoo'!C1314)</f>
        <v/>
      </c>
      <c r="D1314" s="79">
        <f>IF('Ordenes_Odoo'!D1314="","",'Ordenes_Odoo'!D1314)</f>
        <v/>
      </c>
      <c r="E1314" s="79">
        <f>IF('Ordenes_Odoo'!E1314="","",'Ordenes_Odoo'!E1314)</f>
        <v/>
      </c>
      <c r="F1314" s="79">
        <f>IF('Ordenes_Odoo'!F1314="","",'Ordenes_Odoo'!F1314)</f>
        <v/>
      </c>
      <c r="G1314" s="79">
        <f>IF('Ordenes_Odoo'!G1314="","",'Ordenes_Odoo'!G1314)</f>
        <v/>
      </c>
      <c r="H1314" s="79">
        <f>IF('Ordenes_Odoo'!H1314="","",'Ordenes_Odoo'!H1314)</f>
        <v/>
      </c>
      <c r="I1314" s="79">
        <f>IF('Ordenes_Odoo'!I1314="","",'Ordenes_Odoo'!I1314)</f>
        <v/>
      </c>
      <c r="J1314" s="79">
        <f>IF('Ordenes_Odoo'!J1314="","",'Ordenes_Odoo'!J1314)</f>
        <v/>
      </c>
      <c r="K1314" s="81">
        <f>IF('Ordenes_Odoo'!K1314="","",'Ordenes_Odoo'!K1314)</f>
        <v/>
      </c>
      <c r="L1314" s="81">
        <f>IF('Ordenes_Odoo'!L1314="","",'Ordenes_Odoo'!L1314)</f>
        <v/>
      </c>
      <c r="M1314" s="79">
        <f>IF('Ordenes_Odoo'!M1314="","",'Ordenes_Odoo'!M1314)</f>
        <v/>
      </c>
      <c r="N1314" s="79">
        <f>IF('Ordenes_Odoo'!N1314="","",'Ordenes_Odoo'!N1314)</f>
        <v/>
      </c>
      <c r="O1314" s="81">
        <f>IF('Ordenes_Odoo'!O1314="","",'Ordenes_Odoo'!O1314)</f>
        <v/>
      </c>
      <c r="P1314" s="81">
        <f>IF('Ordenes_Odoo'!P1314="","",'Ordenes_Odoo'!P1314)</f>
        <v/>
      </c>
      <c r="Q1314" s="79">
        <f>IF(A1314="","",IFERROR(INDEX(Facturas_Odoo!$B:$B, MATCH(A1314, Facturas_Odoo!$D:$D, 0)), "Sin Factura"))</f>
        <v/>
      </c>
      <c r="R1314" s="80">
        <f>IF(Q1314="Sin Factura","",IFERROR(INDEX(Facturas_Odoo!$A:$A, MATCH(Q1314, Facturas_Odoo!$B:$B, 0)), ""))</f>
        <v/>
      </c>
      <c r="S1314" s="79">
        <f>IF(Q1314="Sin Factura","",IFERROR(_xlfn.XLOOKUP(1, (Facturas_Odoo!$D:$D=A1314) * (Facturas_Odoo!$K:$K=I1314), Facturas_Odoo!$L:$L, ""), ""))</f>
        <v/>
      </c>
      <c r="T1314" s="81">
        <f>IF(Q1314="Sin Factura",0,IFERROR(_xlfn.XLOOKUP(1, (Facturas_Odoo!$D:$D=A1314) * (Facturas_Odoo!$K:$K=I1314), Facturas_Odoo!$M:$M, 0), 0))</f>
        <v/>
      </c>
      <c r="U1314" s="79">
        <f>IF(Q1314="Sin Factura",0,IFERROR(_xlfn.XLOOKUP(1, (Facturas_Odoo!$D:$D=A1314) * (Facturas_Odoo!$K:$K=I1314), Facturas_Odoo!$N:$N, 0), 0))</f>
        <v/>
      </c>
      <c r="V1314" s="79">
        <f>IF(Q1314="Sin Factura",0,IFERROR(_xlfn.XLOOKUP(1, (Facturas_Odoo!$D:$D=A1314) * (Facturas_Odoo!$K:$K=I1314), Facturas_Odoo!$O:$O, 0), 0))</f>
        <v/>
      </c>
      <c r="W1314" s="81">
        <f>IF(Q1314="Sin Factura",0,IFERROR(_xlfn.XLOOKUP(1, (Facturas_Odoo!$D:$D=A1314) * (Facturas_Odoo!$K:$K=I1314), Facturas_Odoo!$Q:$Q, 0), 0))</f>
        <v/>
      </c>
      <c r="X1314" s="79">
        <f>IF(OR(Q1314="Sin Factura",Q1314=""),"",IFERROR(INDEX(Pagos_Odoo!$B:$B, MATCH(Q1314, Pagos_Odoo!$I:$I, 0)), "Sin Pago"))</f>
        <v/>
      </c>
      <c r="Y1314" s="79">
        <f>IF(X1314="Sin Pago","",IFERROR(INDEX(Pagos_Odoo!$C:$C, MATCH(X1314, Pagos_Odoo!$B:$B, 0)), ""))</f>
        <v/>
      </c>
      <c r="Z1314" s="80">
        <f>IF(X1314="Sin Pago","",IFERROR(INDEX(Pagos_Odoo!$A:$A, MATCH(X1314, Pagos_Odoo!$B:$B, 0)), ""))</f>
        <v/>
      </c>
      <c r="AA1314" s="79">
        <f>IF(X1314="Sin Pago","",IFERROR(INDEX(Pagos_Odoo!$F:$F, MATCH(X1314, Pagos_Odoo!$B:$B, 0)), ""))</f>
        <v/>
      </c>
      <c r="AB1314" s="81">
        <f>IF(X1314="Sin Pago",0,IFERROR(INDEX(Pagos_Odoo!$E:$E, MATCH(X1314, Pagos_Odoo!$B:$B, 0)), 0))</f>
        <v/>
      </c>
      <c r="AC1314" s="79">
        <f>IF(X1314="Sin Pago","",IFERROR(INDEX(Pagos_Odoo!$G:$G, MATCH(X1314, Pagos_Odoo!$B:$B, 0)), ""))</f>
        <v/>
      </c>
      <c r="AD1314" s="82" t="n">
        <v>0</v>
      </c>
      <c r="AE1314" s="82" t="n"/>
      <c r="AF1314" s="82" t="n"/>
      <c r="AG1314" s="82">
        <f>IF(AN1314="","",AD1314+AE1314+AF1314)</f>
        <v/>
      </c>
      <c r="AH1314" s="81">
        <f>IF(AN1314="","",P1314*(1-AG1314))</f>
        <v/>
      </c>
      <c r="AI1314" s="81">
        <f>IF(AN1314="","",IF(Q1314="Sin Factura",0,IFERROR(INDEX(Facturas_Odoo!$H:$H, MATCH(Q1314, Facturas_Odoo!$B:$B, 0)), 0)*(1-AG1314)))</f>
        <v/>
      </c>
      <c r="AJ1314" s="81">
        <f>IF(AN1314="","",_xlfn.LET(idVenta, AN1314&amp;"",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14" s="81">
        <f>IF(AN1314="","",AH1314-AJ1314)</f>
        <v/>
      </c>
      <c r="AL1314" s="81">
        <f>IF(AN1314="","",IF(Q1314="Sin Factura","",AI1314-AJ1314))</f>
        <v/>
      </c>
      <c r="AM1314" s="81">
        <f>IF(AN1314="","",IF(Q1314="Sin Factura",0,P1314-IFERROR(INDEX(Facturas_Odoo!$H:$H, MATCH(Q1314, Facturas_Odoo!$B:$B, 0)), 0)))</f>
        <v/>
      </c>
      <c r="AN1314" s="79">
        <f>IF(AND(A1314="", J1314=""), "", IF(A1314&lt;&gt;"", VALUE(MID(A1314,2,LEN(A1314))), AN1313))</f>
        <v/>
      </c>
      <c r="AO1314" s="79">
        <f>IF(AN1314="","",IF(AD1314=0,"OK",_xlfn.LET(monedaPago, IF(AA1314="","USD",AA1314), limitePermitido, IFERROR(VLOOKUP(monedaPago, Configuración!$A$2:$B$3, 2, FALSE), 0.15), IF(AD1314&gt;limitePermitido, "ALERTA: EXCESO (" &amp; TEXT(limitePermitido, "0%") &amp; " máx)", "OK"))))</f>
        <v/>
      </c>
      <c r="AP1314" s="79">
        <f>IF(AN1314="","",IF(AE1314=0,"OK",_xlfn.LET(fechaPago, Z1314, fechaFactura, R1314, diasCredito, IF(E1314="Pago inmediato", 0, IFERROR(VALUE(MID(E1314, 1, SEARCH(" ", E1314)-1)),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14" s="79">
        <f>IF(AN1314="","",IF(AND(N1314&gt;0, AG1314&gt;0), IF(Configuración!$K$2="NO", "ALERTA: DESCUENTO DOBLE NO PERMITIDO", "OK"), "OK"))</f>
        <v/>
      </c>
      <c r="AR1314" s="79">
        <f>IF(AN1314="","",IF(OR(AO1314&lt;&gt;"OK", AP1314&lt;&gt;"OK", AQ1314&lt;&gt;"OK"), "⚠️ REVISAR", "OK"))</f>
        <v/>
      </c>
    </row>
    <row r="1315">
      <c r="A1315" s="79">
        <f>IF('Ordenes_Odoo'!A1315="","",'Ordenes_Odoo'!A1315)</f>
        <v/>
      </c>
      <c r="B1315" s="80">
        <f>IF('Ordenes_Odoo'!B1315="","",'Ordenes_Odoo'!B1315)</f>
        <v/>
      </c>
      <c r="C1315" s="79">
        <f>IF('Ordenes_Odoo'!C1315="","",'Ordenes_Odoo'!C1315)</f>
        <v/>
      </c>
      <c r="D1315" s="79">
        <f>IF('Ordenes_Odoo'!D1315="","",'Ordenes_Odoo'!D1315)</f>
        <v/>
      </c>
      <c r="E1315" s="79">
        <f>IF('Ordenes_Odoo'!E1315="","",'Ordenes_Odoo'!E1315)</f>
        <v/>
      </c>
      <c r="F1315" s="79">
        <f>IF('Ordenes_Odoo'!F1315="","",'Ordenes_Odoo'!F1315)</f>
        <v/>
      </c>
      <c r="G1315" s="79">
        <f>IF('Ordenes_Odoo'!G1315="","",'Ordenes_Odoo'!G1315)</f>
        <v/>
      </c>
      <c r="H1315" s="79">
        <f>IF('Ordenes_Odoo'!H1315="","",'Ordenes_Odoo'!H1315)</f>
        <v/>
      </c>
      <c r="I1315" s="79">
        <f>IF('Ordenes_Odoo'!I1315="","",'Ordenes_Odoo'!I1315)</f>
        <v/>
      </c>
      <c r="J1315" s="79">
        <f>IF('Ordenes_Odoo'!J1315="","",'Ordenes_Odoo'!J1315)</f>
        <v/>
      </c>
      <c r="K1315" s="81">
        <f>IF('Ordenes_Odoo'!K1315="","",'Ordenes_Odoo'!K1315)</f>
        <v/>
      </c>
      <c r="L1315" s="81">
        <f>IF('Ordenes_Odoo'!L1315="","",'Ordenes_Odoo'!L1315)</f>
        <v/>
      </c>
      <c r="M1315" s="79">
        <f>IF('Ordenes_Odoo'!M1315="","",'Ordenes_Odoo'!M1315)</f>
        <v/>
      </c>
      <c r="N1315" s="79">
        <f>IF('Ordenes_Odoo'!N1315="","",'Ordenes_Odoo'!N1315)</f>
        <v/>
      </c>
      <c r="O1315" s="81">
        <f>IF('Ordenes_Odoo'!O1315="","",'Ordenes_Odoo'!O1315)</f>
        <v/>
      </c>
      <c r="P1315" s="81">
        <f>IF('Ordenes_Odoo'!P1315="","",'Ordenes_Odoo'!P1315)</f>
        <v/>
      </c>
      <c r="Q1315" s="79">
        <f>IF(A1315="","",IFERROR(INDEX(Facturas_Odoo!$B:$B, MATCH(A1315, Facturas_Odoo!$D:$D, 0)), "Sin Factura"))</f>
        <v/>
      </c>
      <c r="R1315" s="80">
        <f>IF(Q1315="Sin Factura","",IFERROR(INDEX(Facturas_Odoo!$A:$A, MATCH(Q1315, Facturas_Odoo!$B:$B, 0)), ""))</f>
        <v/>
      </c>
      <c r="S1315" s="79">
        <f>IF(Q1315="Sin Factura","",IFERROR(_xlfn.XLOOKUP(1, (Facturas_Odoo!$D:$D=A1315) * (Facturas_Odoo!$K:$K=I1315), Facturas_Odoo!$L:$L, ""), ""))</f>
        <v/>
      </c>
      <c r="T1315" s="81">
        <f>IF(Q1315="Sin Factura",0,IFERROR(_xlfn.XLOOKUP(1, (Facturas_Odoo!$D:$D=A1315) * (Facturas_Odoo!$K:$K=I1315), Facturas_Odoo!$M:$M, 0), 0))</f>
        <v/>
      </c>
      <c r="U1315" s="79">
        <f>IF(Q1315="Sin Factura",0,IFERROR(_xlfn.XLOOKUP(1, (Facturas_Odoo!$D:$D=A1315) * (Facturas_Odoo!$K:$K=I1315), Facturas_Odoo!$N:$N, 0), 0))</f>
        <v/>
      </c>
      <c r="V1315" s="79">
        <f>IF(Q1315="Sin Factura",0,IFERROR(_xlfn.XLOOKUP(1, (Facturas_Odoo!$D:$D=A1315) * (Facturas_Odoo!$K:$K=I1315), Facturas_Odoo!$O:$O, 0), 0))</f>
        <v/>
      </c>
      <c r="W1315" s="81">
        <f>IF(Q1315="Sin Factura",0,IFERROR(_xlfn.XLOOKUP(1, (Facturas_Odoo!$D:$D=A1315) * (Facturas_Odoo!$K:$K=I1315), Facturas_Odoo!$Q:$Q, 0), 0))</f>
        <v/>
      </c>
      <c r="X1315" s="79">
        <f>IF(OR(Q1315="Sin Factura",Q1315=""),"",IFERROR(INDEX(Pagos_Odoo!$B:$B, MATCH(Q1315, Pagos_Odoo!$I:$I, 0)), "Sin Pago"))</f>
        <v/>
      </c>
      <c r="Y1315" s="79">
        <f>IF(X1315="Sin Pago","",IFERROR(INDEX(Pagos_Odoo!$C:$C, MATCH(X1315, Pagos_Odoo!$B:$B, 0)), ""))</f>
        <v/>
      </c>
      <c r="Z1315" s="80">
        <f>IF(X1315="Sin Pago","",IFERROR(INDEX(Pagos_Odoo!$A:$A, MATCH(X1315, Pagos_Odoo!$B:$B, 0)), ""))</f>
        <v/>
      </c>
      <c r="AA1315" s="79">
        <f>IF(X1315="Sin Pago","",IFERROR(INDEX(Pagos_Odoo!$F:$F, MATCH(X1315, Pagos_Odoo!$B:$B, 0)), ""))</f>
        <v/>
      </c>
      <c r="AB1315" s="81">
        <f>IF(X1315="Sin Pago",0,IFERROR(INDEX(Pagos_Odoo!$E:$E, MATCH(X1315, Pagos_Odoo!$B:$B, 0)), 0))</f>
        <v/>
      </c>
      <c r="AC1315" s="79">
        <f>IF(X1315="Sin Pago","",IFERROR(INDEX(Pagos_Odoo!$G:$G, MATCH(X1315, Pagos_Odoo!$B:$B, 0)), ""))</f>
        <v/>
      </c>
      <c r="AD1315" s="82" t="n">
        <v>0</v>
      </c>
      <c r="AE1315" s="82" t="n"/>
      <c r="AF1315" s="82" t="n"/>
      <c r="AG1315" s="82">
        <f>IF(AN1315="","",AD1315+AE1315+AF1315)</f>
        <v/>
      </c>
      <c r="AH1315" s="81">
        <f>IF(AN1315="","",P1315*(1-AG1315))</f>
        <v/>
      </c>
      <c r="AI1315" s="81">
        <f>IF(AN1315="","",IF(Q1315="Sin Factura",0,IFERROR(INDEX(Facturas_Odoo!$H:$H, MATCH(Q1315, Facturas_Odoo!$B:$B, 0)), 0)*(1-AG1315)))</f>
        <v/>
      </c>
      <c r="AJ1315" s="81">
        <f>IF(AN1315="","",_xlfn.LET(idVenta, AN1315&amp;"",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15" s="81">
        <f>IF(AN1315="","",AH1315-AJ1315)</f>
        <v/>
      </c>
      <c r="AL1315" s="81">
        <f>IF(AN1315="","",IF(Q1315="Sin Factura","",AI1315-AJ1315))</f>
        <v/>
      </c>
      <c r="AM1315" s="81">
        <f>IF(AN1315="","",IF(Q1315="Sin Factura",0,P1315-IFERROR(INDEX(Facturas_Odoo!$H:$H, MATCH(Q1315, Facturas_Odoo!$B:$B, 0)), 0)))</f>
        <v/>
      </c>
      <c r="AN1315" s="79">
        <f>IF(AND(A1315="", J1315=""), "", IF(A1315&lt;&gt;"", VALUE(MID(A1315,2,LEN(A1315))), AN1314))</f>
        <v/>
      </c>
      <c r="AO1315" s="79">
        <f>IF(AN1315="","",IF(AD1315=0,"OK",_xlfn.LET(monedaPago, IF(AA1315="","USD",AA1315), limitePermitido, IFERROR(VLOOKUP(monedaPago, Configuración!$A$2:$B$3, 2, FALSE), 0.15), IF(AD1315&gt;limitePermitido, "ALERTA: EXCESO (" &amp; TEXT(limitePermitido, "0%") &amp; " máx)", "OK"))))</f>
        <v/>
      </c>
      <c r="AP1315" s="79">
        <f>IF(AN1315="","",IF(AE1315=0,"OK",_xlfn.LET(fechaPago, Z1315, fechaFactura, R1315, diasCredito, IF(E1315="Pago inmediato", 0, IFERROR(VALUE(MID(E1315, 1, SEARCH(" ", E1315)-1)),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15" s="79">
        <f>IF(AN1315="","",IF(AND(N1315&gt;0, AG1315&gt;0), IF(Configuración!$K$2="NO", "ALERTA: DESCUENTO DOBLE NO PERMITIDO", "OK"), "OK"))</f>
        <v/>
      </c>
      <c r="AR1315" s="79">
        <f>IF(AN1315="","",IF(OR(AO1315&lt;&gt;"OK", AP1315&lt;&gt;"OK", AQ1315&lt;&gt;"OK"), "⚠️ REVISAR", "OK"))</f>
        <v/>
      </c>
    </row>
    <row r="1316">
      <c r="A1316" s="79">
        <f>IF('Ordenes_Odoo'!A1316="","",'Ordenes_Odoo'!A1316)</f>
        <v/>
      </c>
      <c r="B1316" s="80">
        <f>IF('Ordenes_Odoo'!B1316="","",'Ordenes_Odoo'!B1316)</f>
        <v/>
      </c>
      <c r="C1316" s="79">
        <f>IF('Ordenes_Odoo'!C1316="","",'Ordenes_Odoo'!C1316)</f>
        <v/>
      </c>
      <c r="D1316" s="79">
        <f>IF('Ordenes_Odoo'!D1316="","",'Ordenes_Odoo'!D1316)</f>
        <v/>
      </c>
      <c r="E1316" s="79">
        <f>IF('Ordenes_Odoo'!E1316="","",'Ordenes_Odoo'!E1316)</f>
        <v/>
      </c>
      <c r="F1316" s="79">
        <f>IF('Ordenes_Odoo'!F1316="","",'Ordenes_Odoo'!F1316)</f>
        <v/>
      </c>
      <c r="G1316" s="79">
        <f>IF('Ordenes_Odoo'!G1316="","",'Ordenes_Odoo'!G1316)</f>
        <v/>
      </c>
      <c r="H1316" s="79">
        <f>IF('Ordenes_Odoo'!H1316="","",'Ordenes_Odoo'!H1316)</f>
        <v/>
      </c>
      <c r="I1316" s="79">
        <f>IF('Ordenes_Odoo'!I1316="","",'Ordenes_Odoo'!I1316)</f>
        <v/>
      </c>
      <c r="J1316" s="79">
        <f>IF('Ordenes_Odoo'!J1316="","",'Ordenes_Odoo'!J1316)</f>
        <v/>
      </c>
      <c r="K1316" s="81">
        <f>IF('Ordenes_Odoo'!K1316="","",'Ordenes_Odoo'!K1316)</f>
        <v/>
      </c>
      <c r="L1316" s="81">
        <f>IF('Ordenes_Odoo'!L1316="","",'Ordenes_Odoo'!L1316)</f>
        <v/>
      </c>
      <c r="M1316" s="79">
        <f>IF('Ordenes_Odoo'!M1316="","",'Ordenes_Odoo'!M1316)</f>
        <v/>
      </c>
      <c r="N1316" s="79">
        <f>IF('Ordenes_Odoo'!N1316="","",'Ordenes_Odoo'!N1316)</f>
        <v/>
      </c>
      <c r="O1316" s="81">
        <f>IF('Ordenes_Odoo'!O1316="","",'Ordenes_Odoo'!O1316)</f>
        <v/>
      </c>
      <c r="P1316" s="81">
        <f>IF('Ordenes_Odoo'!P1316="","",'Ordenes_Odoo'!P1316)</f>
        <v/>
      </c>
      <c r="Q1316" s="79">
        <f>IF(A1316="","",IFERROR(INDEX(Facturas_Odoo!$B:$B, MATCH(A1316, Facturas_Odoo!$D:$D, 0)), "Sin Factura"))</f>
        <v/>
      </c>
      <c r="R1316" s="80">
        <f>IF(Q1316="Sin Factura","",IFERROR(INDEX(Facturas_Odoo!$A:$A, MATCH(Q1316, Facturas_Odoo!$B:$B, 0)), ""))</f>
        <v/>
      </c>
      <c r="S1316" s="79">
        <f>IF(Q1316="Sin Factura","",IFERROR(_xlfn.XLOOKUP(1, (Facturas_Odoo!$D:$D=A1316) * (Facturas_Odoo!$K:$K=I1316), Facturas_Odoo!$L:$L, ""), ""))</f>
        <v/>
      </c>
      <c r="T1316" s="81">
        <f>IF(Q1316="Sin Factura",0,IFERROR(_xlfn.XLOOKUP(1, (Facturas_Odoo!$D:$D=A1316) * (Facturas_Odoo!$K:$K=I1316), Facturas_Odoo!$M:$M, 0), 0))</f>
        <v/>
      </c>
      <c r="U1316" s="79">
        <f>IF(Q1316="Sin Factura",0,IFERROR(_xlfn.XLOOKUP(1, (Facturas_Odoo!$D:$D=A1316) * (Facturas_Odoo!$K:$K=I1316), Facturas_Odoo!$N:$N, 0), 0))</f>
        <v/>
      </c>
      <c r="V1316" s="79">
        <f>IF(Q1316="Sin Factura",0,IFERROR(_xlfn.XLOOKUP(1, (Facturas_Odoo!$D:$D=A1316) * (Facturas_Odoo!$K:$K=I1316), Facturas_Odoo!$O:$O, 0), 0))</f>
        <v/>
      </c>
      <c r="W1316" s="81">
        <f>IF(Q1316="Sin Factura",0,IFERROR(_xlfn.XLOOKUP(1, (Facturas_Odoo!$D:$D=A1316) * (Facturas_Odoo!$K:$K=I1316), Facturas_Odoo!$Q:$Q, 0), 0))</f>
        <v/>
      </c>
      <c r="X1316" s="79">
        <f>IF(OR(Q1316="Sin Factura",Q1316=""),"",IFERROR(INDEX(Pagos_Odoo!$B:$B, MATCH(Q1316, Pagos_Odoo!$I:$I, 0)), "Sin Pago"))</f>
        <v/>
      </c>
      <c r="Y1316" s="79">
        <f>IF(X1316="Sin Pago","",IFERROR(INDEX(Pagos_Odoo!$C:$C, MATCH(X1316, Pagos_Odoo!$B:$B, 0)), ""))</f>
        <v/>
      </c>
      <c r="Z1316" s="80">
        <f>IF(X1316="Sin Pago","",IFERROR(INDEX(Pagos_Odoo!$A:$A, MATCH(X1316, Pagos_Odoo!$B:$B, 0)), ""))</f>
        <v/>
      </c>
      <c r="AA1316" s="79">
        <f>IF(X1316="Sin Pago","",IFERROR(INDEX(Pagos_Odoo!$F:$F, MATCH(X1316, Pagos_Odoo!$B:$B, 0)), ""))</f>
        <v/>
      </c>
      <c r="AB1316" s="81">
        <f>IF(X1316="Sin Pago",0,IFERROR(INDEX(Pagos_Odoo!$E:$E, MATCH(X1316, Pagos_Odoo!$B:$B, 0)), 0))</f>
        <v/>
      </c>
      <c r="AC1316" s="79">
        <f>IF(X1316="Sin Pago","",IFERROR(INDEX(Pagos_Odoo!$G:$G, MATCH(X1316, Pagos_Odoo!$B:$B, 0)), ""))</f>
        <v/>
      </c>
      <c r="AD1316" s="82" t="n">
        <v>0</v>
      </c>
      <c r="AE1316" s="82" t="n"/>
      <c r="AF1316" s="82" t="n"/>
      <c r="AG1316" s="82">
        <f>IF(AN1316="","",AD1316+AE1316+AF1316)</f>
        <v/>
      </c>
      <c r="AH1316" s="81">
        <f>IF(AN1316="","",P1316*(1-AG1316))</f>
        <v/>
      </c>
      <c r="AI1316" s="81">
        <f>IF(AN1316="","",IF(Q1316="Sin Factura",0,IFERROR(INDEX(Facturas_Odoo!$H:$H, MATCH(Q1316, Facturas_Odoo!$B:$B, 0)), 0)*(1-AG1316)))</f>
        <v/>
      </c>
      <c r="AJ1316" s="81">
        <f>IF(AN1316="","",_xlfn.LET(idVenta, AN1316&amp;"",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16" s="81">
        <f>IF(AN1316="","",AH1316-AJ1316)</f>
        <v/>
      </c>
      <c r="AL1316" s="81">
        <f>IF(AN1316="","",IF(Q1316="Sin Factura","",AI1316-AJ1316))</f>
        <v/>
      </c>
      <c r="AM1316" s="81">
        <f>IF(AN1316="","",IF(Q1316="Sin Factura",0,P1316-IFERROR(INDEX(Facturas_Odoo!$H:$H, MATCH(Q1316, Facturas_Odoo!$B:$B, 0)), 0)))</f>
        <v/>
      </c>
      <c r="AN1316" s="79">
        <f>IF(AND(A1316="", J1316=""), "", IF(A1316&lt;&gt;"", VALUE(MID(A1316,2,LEN(A1316))), AN1315))</f>
        <v/>
      </c>
      <c r="AO1316" s="79">
        <f>IF(AN1316="","",IF(AD1316=0,"OK",_xlfn.LET(monedaPago, IF(AA1316="","USD",AA1316), limitePermitido, IFERROR(VLOOKUP(monedaPago, Configuración!$A$2:$B$3, 2, FALSE), 0.15), IF(AD1316&gt;limitePermitido, "ALERTA: EXCESO (" &amp; TEXT(limitePermitido, "0%") &amp; " máx)", "OK"))))</f>
        <v/>
      </c>
      <c r="AP1316" s="79">
        <f>IF(AN1316="","",IF(AE1316=0,"OK",_xlfn.LET(fechaPago, Z1316, fechaFactura, R1316, diasCredito, IF(E1316="Pago inmediato", 0, IFERROR(VALUE(MID(E1316, 1, SEARCH(" ", E1316)-1)),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16" s="79">
        <f>IF(AN1316="","",IF(AND(N1316&gt;0, AG1316&gt;0), IF(Configuración!$K$2="NO", "ALERTA: DESCUENTO DOBLE NO PERMITIDO", "OK"), "OK"))</f>
        <v/>
      </c>
      <c r="AR1316" s="79">
        <f>IF(AN1316="","",IF(OR(AO1316&lt;&gt;"OK", AP1316&lt;&gt;"OK", AQ1316&lt;&gt;"OK"), "⚠️ REVISAR", "OK"))</f>
        <v/>
      </c>
    </row>
    <row r="1317">
      <c r="A1317" s="79">
        <f>IF('Ordenes_Odoo'!A1317="","",'Ordenes_Odoo'!A1317)</f>
        <v/>
      </c>
      <c r="B1317" s="80">
        <f>IF('Ordenes_Odoo'!B1317="","",'Ordenes_Odoo'!B1317)</f>
        <v/>
      </c>
      <c r="C1317" s="79">
        <f>IF('Ordenes_Odoo'!C1317="","",'Ordenes_Odoo'!C1317)</f>
        <v/>
      </c>
      <c r="D1317" s="79">
        <f>IF('Ordenes_Odoo'!D1317="","",'Ordenes_Odoo'!D1317)</f>
        <v/>
      </c>
      <c r="E1317" s="79">
        <f>IF('Ordenes_Odoo'!E1317="","",'Ordenes_Odoo'!E1317)</f>
        <v/>
      </c>
      <c r="F1317" s="79">
        <f>IF('Ordenes_Odoo'!F1317="","",'Ordenes_Odoo'!F1317)</f>
        <v/>
      </c>
      <c r="G1317" s="79">
        <f>IF('Ordenes_Odoo'!G1317="","",'Ordenes_Odoo'!G1317)</f>
        <v/>
      </c>
      <c r="H1317" s="79">
        <f>IF('Ordenes_Odoo'!H1317="","",'Ordenes_Odoo'!H1317)</f>
        <v/>
      </c>
      <c r="I1317" s="79">
        <f>IF('Ordenes_Odoo'!I1317="","",'Ordenes_Odoo'!I1317)</f>
        <v/>
      </c>
      <c r="J1317" s="79">
        <f>IF('Ordenes_Odoo'!J1317="","",'Ordenes_Odoo'!J1317)</f>
        <v/>
      </c>
      <c r="K1317" s="81">
        <f>IF('Ordenes_Odoo'!K1317="","",'Ordenes_Odoo'!K1317)</f>
        <v/>
      </c>
      <c r="L1317" s="81">
        <f>IF('Ordenes_Odoo'!L1317="","",'Ordenes_Odoo'!L1317)</f>
        <v/>
      </c>
      <c r="M1317" s="79">
        <f>IF('Ordenes_Odoo'!M1317="","",'Ordenes_Odoo'!M1317)</f>
        <v/>
      </c>
      <c r="N1317" s="79">
        <f>IF('Ordenes_Odoo'!N1317="","",'Ordenes_Odoo'!N1317)</f>
        <v/>
      </c>
      <c r="O1317" s="81">
        <f>IF('Ordenes_Odoo'!O1317="","",'Ordenes_Odoo'!O1317)</f>
        <v/>
      </c>
      <c r="P1317" s="81">
        <f>IF('Ordenes_Odoo'!P1317="","",'Ordenes_Odoo'!P1317)</f>
        <v/>
      </c>
      <c r="Q1317" s="79">
        <f>IF(A1317="","",IFERROR(INDEX(Facturas_Odoo!$B:$B, MATCH(A1317, Facturas_Odoo!$D:$D, 0)), "Sin Factura"))</f>
        <v/>
      </c>
      <c r="R1317" s="80">
        <f>IF(Q1317="Sin Factura","",IFERROR(INDEX(Facturas_Odoo!$A:$A, MATCH(Q1317, Facturas_Odoo!$B:$B, 0)), ""))</f>
        <v/>
      </c>
      <c r="S1317" s="79">
        <f>IF(Q1317="Sin Factura","",IFERROR(_xlfn.XLOOKUP(1, (Facturas_Odoo!$D:$D=A1317) * (Facturas_Odoo!$K:$K=I1317), Facturas_Odoo!$L:$L, ""), ""))</f>
        <v/>
      </c>
      <c r="T1317" s="81">
        <f>IF(Q1317="Sin Factura",0,IFERROR(_xlfn.XLOOKUP(1, (Facturas_Odoo!$D:$D=A1317) * (Facturas_Odoo!$K:$K=I1317), Facturas_Odoo!$M:$M, 0), 0))</f>
        <v/>
      </c>
      <c r="U1317" s="79">
        <f>IF(Q1317="Sin Factura",0,IFERROR(_xlfn.XLOOKUP(1, (Facturas_Odoo!$D:$D=A1317) * (Facturas_Odoo!$K:$K=I1317), Facturas_Odoo!$N:$N, 0), 0))</f>
        <v/>
      </c>
      <c r="V1317" s="79">
        <f>IF(Q1317="Sin Factura",0,IFERROR(_xlfn.XLOOKUP(1, (Facturas_Odoo!$D:$D=A1317) * (Facturas_Odoo!$K:$K=I1317), Facturas_Odoo!$O:$O, 0), 0))</f>
        <v/>
      </c>
      <c r="W1317" s="81">
        <f>IF(Q1317="Sin Factura",0,IFERROR(_xlfn.XLOOKUP(1, (Facturas_Odoo!$D:$D=A1317) * (Facturas_Odoo!$K:$K=I1317), Facturas_Odoo!$Q:$Q, 0), 0))</f>
        <v/>
      </c>
      <c r="X1317" s="79">
        <f>IF(OR(Q1317="Sin Factura",Q1317=""),"",IFERROR(INDEX(Pagos_Odoo!$B:$B, MATCH(Q1317, Pagos_Odoo!$I:$I, 0)), "Sin Pago"))</f>
        <v/>
      </c>
      <c r="Y1317" s="79">
        <f>IF(X1317="Sin Pago","",IFERROR(INDEX(Pagos_Odoo!$C:$C, MATCH(X1317, Pagos_Odoo!$B:$B, 0)), ""))</f>
        <v/>
      </c>
      <c r="Z1317" s="80">
        <f>IF(X1317="Sin Pago","",IFERROR(INDEX(Pagos_Odoo!$A:$A, MATCH(X1317, Pagos_Odoo!$B:$B, 0)), ""))</f>
        <v/>
      </c>
      <c r="AA1317" s="79">
        <f>IF(X1317="Sin Pago","",IFERROR(INDEX(Pagos_Odoo!$F:$F, MATCH(X1317, Pagos_Odoo!$B:$B, 0)), ""))</f>
        <v/>
      </c>
      <c r="AB1317" s="81">
        <f>IF(X1317="Sin Pago",0,IFERROR(INDEX(Pagos_Odoo!$E:$E, MATCH(X1317, Pagos_Odoo!$B:$B, 0)), 0))</f>
        <v/>
      </c>
      <c r="AC1317" s="79">
        <f>IF(X1317="Sin Pago","",IFERROR(INDEX(Pagos_Odoo!$G:$G, MATCH(X1317, Pagos_Odoo!$B:$B, 0)), ""))</f>
        <v/>
      </c>
      <c r="AD1317" s="82" t="n">
        <v>0</v>
      </c>
      <c r="AE1317" s="82" t="n"/>
      <c r="AF1317" s="82" t="n"/>
      <c r="AG1317" s="82">
        <f>IF(AN1317="","",AD1317+AE1317+AF1317)</f>
        <v/>
      </c>
      <c r="AH1317" s="81">
        <f>IF(AN1317="","",P1317*(1-AG1317))</f>
        <v/>
      </c>
      <c r="AI1317" s="81">
        <f>IF(AN1317="","",IF(Q1317="Sin Factura",0,IFERROR(INDEX(Facturas_Odoo!$H:$H, MATCH(Q1317, Facturas_Odoo!$B:$B, 0)), 0)*(1-AG1317)))</f>
        <v/>
      </c>
      <c r="AJ1317" s="81">
        <f>IF(AN1317="","",_xlfn.LET(idVenta, AN1317&amp;"",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17" s="81">
        <f>IF(AN1317="","",AH1317-AJ1317)</f>
        <v/>
      </c>
      <c r="AL1317" s="81">
        <f>IF(AN1317="","",IF(Q1317="Sin Factura","",AI1317-AJ1317))</f>
        <v/>
      </c>
      <c r="AM1317" s="81">
        <f>IF(AN1317="","",IF(Q1317="Sin Factura",0,P1317-IFERROR(INDEX(Facturas_Odoo!$H:$H, MATCH(Q1317, Facturas_Odoo!$B:$B, 0)), 0)))</f>
        <v/>
      </c>
      <c r="AN1317" s="79">
        <f>IF(AND(A1317="", J1317=""), "", IF(A1317&lt;&gt;"", VALUE(MID(A1317,2,LEN(A1317))), AN1316))</f>
        <v/>
      </c>
      <c r="AO1317" s="79">
        <f>IF(AN1317="","",IF(AD1317=0,"OK",_xlfn.LET(monedaPago, IF(AA1317="","USD",AA1317), limitePermitido, IFERROR(VLOOKUP(monedaPago, Configuración!$A$2:$B$3, 2, FALSE), 0.15), IF(AD1317&gt;limitePermitido, "ALERTA: EXCESO (" &amp; TEXT(limitePermitido, "0%") &amp; " máx)", "OK"))))</f>
        <v/>
      </c>
      <c r="AP1317" s="79">
        <f>IF(AN1317="","",IF(AE1317=0,"OK",_xlfn.LET(fechaPago, Z1317, fechaFactura, R1317, diasCredito, IF(E1317="Pago inmediato", 0, IFERROR(VALUE(MID(E1317, 1, SEARCH(" ", E1317)-1)),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17" s="79">
        <f>IF(AN1317="","",IF(AND(N1317&gt;0, AG1317&gt;0), IF(Configuración!$K$2="NO", "ALERTA: DESCUENTO DOBLE NO PERMITIDO", "OK"), "OK"))</f>
        <v/>
      </c>
      <c r="AR1317" s="79">
        <f>IF(AN1317="","",IF(OR(AO1317&lt;&gt;"OK", AP1317&lt;&gt;"OK", AQ1317&lt;&gt;"OK"), "⚠️ REVISAR", "OK"))</f>
        <v/>
      </c>
    </row>
    <row r="1318">
      <c r="A1318" s="79">
        <f>IF('Ordenes_Odoo'!A1318="","",'Ordenes_Odoo'!A1318)</f>
        <v/>
      </c>
      <c r="B1318" s="80">
        <f>IF('Ordenes_Odoo'!B1318="","",'Ordenes_Odoo'!B1318)</f>
        <v/>
      </c>
      <c r="C1318" s="79">
        <f>IF('Ordenes_Odoo'!C1318="","",'Ordenes_Odoo'!C1318)</f>
        <v/>
      </c>
      <c r="D1318" s="79">
        <f>IF('Ordenes_Odoo'!D1318="","",'Ordenes_Odoo'!D1318)</f>
        <v/>
      </c>
      <c r="E1318" s="79">
        <f>IF('Ordenes_Odoo'!E1318="","",'Ordenes_Odoo'!E1318)</f>
        <v/>
      </c>
      <c r="F1318" s="79">
        <f>IF('Ordenes_Odoo'!F1318="","",'Ordenes_Odoo'!F1318)</f>
        <v/>
      </c>
      <c r="G1318" s="79">
        <f>IF('Ordenes_Odoo'!G1318="","",'Ordenes_Odoo'!G1318)</f>
        <v/>
      </c>
      <c r="H1318" s="79">
        <f>IF('Ordenes_Odoo'!H1318="","",'Ordenes_Odoo'!H1318)</f>
        <v/>
      </c>
      <c r="I1318" s="79">
        <f>IF('Ordenes_Odoo'!I1318="","",'Ordenes_Odoo'!I1318)</f>
        <v/>
      </c>
      <c r="J1318" s="79">
        <f>IF('Ordenes_Odoo'!J1318="","",'Ordenes_Odoo'!J1318)</f>
        <v/>
      </c>
      <c r="K1318" s="81">
        <f>IF('Ordenes_Odoo'!K1318="","",'Ordenes_Odoo'!K1318)</f>
        <v/>
      </c>
      <c r="L1318" s="81">
        <f>IF('Ordenes_Odoo'!L1318="","",'Ordenes_Odoo'!L1318)</f>
        <v/>
      </c>
      <c r="M1318" s="79">
        <f>IF('Ordenes_Odoo'!M1318="","",'Ordenes_Odoo'!M1318)</f>
        <v/>
      </c>
      <c r="N1318" s="79">
        <f>IF('Ordenes_Odoo'!N1318="","",'Ordenes_Odoo'!N1318)</f>
        <v/>
      </c>
      <c r="O1318" s="81">
        <f>IF('Ordenes_Odoo'!O1318="","",'Ordenes_Odoo'!O1318)</f>
        <v/>
      </c>
      <c r="P1318" s="81">
        <f>IF('Ordenes_Odoo'!P1318="","",'Ordenes_Odoo'!P1318)</f>
        <v/>
      </c>
      <c r="Q1318" s="79">
        <f>IF(A1318="","",IFERROR(INDEX(Facturas_Odoo!$B:$B, MATCH(A1318, Facturas_Odoo!$D:$D, 0)), "Sin Factura"))</f>
        <v/>
      </c>
      <c r="R1318" s="80">
        <f>IF(Q1318="Sin Factura","",IFERROR(INDEX(Facturas_Odoo!$A:$A, MATCH(Q1318, Facturas_Odoo!$B:$B, 0)), ""))</f>
        <v/>
      </c>
      <c r="S1318" s="79">
        <f>IF(Q1318="Sin Factura","",IFERROR(_xlfn.XLOOKUP(1, (Facturas_Odoo!$D:$D=A1318) * (Facturas_Odoo!$K:$K=I1318), Facturas_Odoo!$L:$L, ""), ""))</f>
        <v/>
      </c>
      <c r="T1318" s="81">
        <f>IF(Q1318="Sin Factura",0,IFERROR(_xlfn.XLOOKUP(1, (Facturas_Odoo!$D:$D=A1318) * (Facturas_Odoo!$K:$K=I1318), Facturas_Odoo!$M:$M, 0), 0))</f>
        <v/>
      </c>
      <c r="U1318" s="79">
        <f>IF(Q1318="Sin Factura",0,IFERROR(_xlfn.XLOOKUP(1, (Facturas_Odoo!$D:$D=A1318) * (Facturas_Odoo!$K:$K=I1318), Facturas_Odoo!$N:$N, 0), 0))</f>
        <v/>
      </c>
      <c r="V1318" s="79">
        <f>IF(Q1318="Sin Factura",0,IFERROR(_xlfn.XLOOKUP(1, (Facturas_Odoo!$D:$D=A1318) * (Facturas_Odoo!$K:$K=I1318), Facturas_Odoo!$O:$O, 0), 0))</f>
        <v/>
      </c>
      <c r="W1318" s="81">
        <f>IF(Q1318="Sin Factura",0,IFERROR(_xlfn.XLOOKUP(1, (Facturas_Odoo!$D:$D=A1318) * (Facturas_Odoo!$K:$K=I1318), Facturas_Odoo!$Q:$Q, 0), 0))</f>
        <v/>
      </c>
      <c r="X1318" s="79">
        <f>IF(OR(Q1318="Sin Factura",Q1318=""),"",IFERROR(INDEX(Pagos_Odoo!$B:$B, MATCH(Q1318, Pagos_Odoo!$I:$I, 0)), "Sin Pago"))</f>
        <v/>
      </c>
      <c r="Y1318" s="79">
        <f>IF(X1318="Sin Pago","",IFERROR(INDEX(Pagos_Odoo!$C:$C, MATCH(X1318, Pagos_Odoo!$B:$B, 0)), ""))</f>
        <v/>
      </c>
      <c r="Z1318" s="80">
        <f>IF(X1318="Sin Pago","",IFERROR(INDEX(Pagos_Odoo!$A:$A, MATCH(X1318, Pagos_Odoo!$B:$B, 0)), ""))</f>
        <v/>
      </c>
      <c r="AA1318" s="79">
        <f>IF(X1318="Sin Pago","",IFERROR(INDEX(Pagos_Odoo!$F:$F, MATCH(X1318, Pagos_Odoo!$B:$B, 0)), ""))</f>
        <v/>
      </c>
      <c r="AB1318" s="81">
        <f>IF(X1318="Sin Pago",0,IFERROR(INDEX(Pagos_Odoo!$E:$E, MATCH(X1318, Pagos_Odoo!$B:$B, 0)), 0))</f>
        <v/>
      </c>
      <c r="AC1318" s="79">
        <f>IF(X1318="Sin Pago","",IFERROR(INDEX(Pagos_Odoo!$G:$G, MATCH(X1318, Pagos_Odoo!$B:$B, 0)), ""))</f>
        <v/>
      </c>
      <c r="AD1318" s="82" t="n">
        <v>0</v>
      </c>
      <c r="AE1318" s="82" t="n"/>
      <c r="AF1318" s="82" t="n"/>
      <c r="AG1318" s="82">
        <f>IF(AN1318="","",AD1318+AE1318+AF1318)</f>
        <v/>
      </c>
      <c r="AH1318" s="81">
        <f>IF(AN1318="","",P1318*(1-AG1318))</f>
        <v/>
      </c>
      <c r="AI1318" s="81">
        <f>IF(AN1318="","",IF(Q1318="Sin Factura",0,IFERROR(INDEX(Facturas_Odoo!$H:$H, MATCH(Q1318, Facturas_Odoo!$B:$B, 0)), 0)*(1-AG1318)))</f>
        <v/>
      </c>
      <c r="AJ1318" s="81">
        <f>IF(AN1318="","",_xlfn.LET(idVenta, AN1318&amp;"",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18" s="81">
        <f>IF(AN1318="","",AH1318-AJ1318)</f>
        <v/>
      </c>
      <c r="AL1318" s="81">
        <f>IF(AN1318="","",IF(Q1318="Sin Factura","",AI1318-AJ1318))</f>
        <v/>
      </c>
      <c r="AM1318" s="81">
        <f>IF(AN1318="","",IF(Q1318="Sin Factura",0,P1318-IFERROR(INDEX(Facturas_Odoo!$H:$H, MATCH(Q1318, Facturas_Odoo!$B:$B, 0)), 0)))</f>
        <v/>
      </c>
      <c r="AN1318" s="79">
        <f>IF(AND(A1318="", J1318=""), "", IF(A1318&lt;&gt;"", VALUE(MID(A1318,2,LEN(A1318))), AN1317))</f>
        <v/>
      </c>
      <c r="AO1318" s="79">
        <f>IF(AN1318="","",IF(AD1318=0,"OK",_xlfn.LET(monedaPago, IF(AA1318="","USD",AA1318), limitePermitido, IFERROR(VLOOKUP(monedaPago, Configuración!$A$2:$B$3, 2, FALSE), 0.15), IF(AD1318&gt;limitePermitido, "ALERTA: EXCESO (" &amp; TEXT(limitePermitido, "0%") &amp; " máx)", "OK"))))</f>
        <v/>
      </c>
      <c r="AP1318" s="79">
        <f>IF(AN1318="","",IF(AE1318=0,"OK",_xlfn.LET(fechaPago, Z1318, fechaFactura, R1318, diasCredito, IF(E1318="Pago inmediato", 0, IFERROR(VALUE(MID(E1318, 1, SEARCH(" ", E1318)-1)),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18" s="79">
        <f>IF(AN1318="","",IF(AND(N1318&gt;0, AG1318&gt;0), IF(Configuración!$K$2="NO", "ALERTA: DESCUENTO DOBLE NO PERMITIDO", "OK"), "OK"))</f>
        <v/>
      </c>
      <c r="AR1318" s="79">
        <f>IF(AN1318="","",IF(OR(AO1318&lt;&gt;"OK", AP1318&lt;&gt;"OK", AQ1318&lt;&gt;"OK"), "⚠️ REVISAR", "OK"))</f>
        <v/>
      </c>
    </row>
    <row r="1319">
      <c r="A1319" s="79">
        <f>IF('Ordenes_Odoo'!A1319="","",'Ordenes_Odoo'!A1319)</f>
        <v/>
      </c>
      <c r="B1319" s="80">
        <f>IF('Ordenes_Odoo'!B1319="","",'Ordenes_Odoo'!B1319)</f>
        <v/>
      </c>
      <c r="C1319" s="79">
        <f>IF('Ordenes_Odoo'!C1319="","",'Ordenes_Odoo'!C1319)</f>
        <v/>
      </c>
      <c r="D1319" s="79">
        <f>IF('Ordenes_Odoo'!D1319="","",'Ordenes_Odoo'!D1319)</f>
        <v/>
      </c>
      <c r="E1319" s="79">
        <f>IF('Ordenes_Odoo'!E1319="","",'Ordenes_Odoo'!E1319)</f>
        <v/>
      </c>
      <c r="F1319" s="79">
        <f>IF('Ordenes_Odoo'!F1319="","",'Ordenes_Odoo'!F1319)</f>
        <v/>
      </c>
      <c r="G1319" s="79">
        <f>IF('Ordenes_Odoo'!G1319="","",'Ordenes_Odoo'!G1319)</f>
        <v/>
      </c>
      <c r="H1319" s="79">
        <f>IF('Ordenes_Odoo'!H1319="","",'Ordenes_Odoo'!H1319)</f>
        <v/>
      </c>
      <c r="I1319" s="79">
        <f>IF('Ordenes_Odoo'!I1319="","",'Ordenes_Odoo'!I1319)</f>
        <v/>
      </c>
      <c r="J1319" s="79">
        <f>IF('Ordenes_Odoo'!J1319="","",'Ordenes_Odoo'!J1319)</f>
        <v/>
      </c>
      <c r="K1319" s="81">
        <f>IF('Ordenes_Odoo'!K1319="","",'Ordenes_Odoo'!K1319)</f>
        <v/>
      </c>
      <c r="L1319" s="81">
        <f>IF('Ordenes_Odoo'!L1319="","",'Ordenes_Odoo'!L1319)</f>
        <v/>
      </c>
      <c r="M1319" s="79">
        <f>IF('Ordenes_Odoo'!M1319="","",'Ordenes_Odoo'!M1319)</f>
        <v/>
      </c>
      <c r="N1319" s="79">
        <f>IF('Ordenes_Odoo'!N1319="","",'Ordenes_Odoo'!N1319)</f>
        <v/>
      </c>
      <c r="O1319" s="81">
        <f>IF('Ordenes_Odoo'!O1319="","",'Ordenes_Odoo'!O1319)</f>
        <v/>
      </c>
      <c r="P1319" s="81">
        <f>IF('Ordenes_Odoo'!P1319="","",'Ordenes_Odoo'!P1319)</f>
        <v/>
      </c>
      <c r="Q1319" s="79">
        <f>IF(A1319="","",IFERROR(INDEX(Facturas_Odoo!$B:$B, MATCH(A1319, Facturas_Odoo!$D:$D, 0)), "Sin Factura"))</f>
        <v/>
      </c>
      <c r="R1319" s="80">
        <f>IF(Q1319="Sin Factura","",IFERROR(INDEX(Facturas_Odoo!$A:$A, MATCH(Q1319, Facturas_Odoo!$B:$B, 0)), ""))</f>
        <v/>
      </c>
      <c r="S1319" s="79">
        <f>IF(Q1319="Sin Factura","",IFERROR(_xlfn.XLOOKUP(1, (Facturas_Odoo!$D:$D=A1319) * (Facturas_Odoo!$K:$K=I1319), Facturas_Odoo!$L:$L, ""), ""))</f>
        <v/>
      </c>
      <c r="T1319" s="81">
        <f>IF(Q1319="Sin Factura",0,IFERROR(_xlfn.XLOOKUP(1, (Facturas_Odoo!$D:$D=A1319) * (Facturas_Odoo!$K:$K=I1319), Facturas_Odoo!$M:$M, 0), 0))</f>
        <v/>
      </c>
      <c r="U1319" s="79">
        <f>IF(Q1319="Sin Factura",0,IFERROR(_xlfn.XLOOKUP(1, (Facturas_Odoo!$D:$D=A1319) * (Facturas_Odoo!$K:$K=I1319), Facturas_Odoo!$N:$N, 0), 0))</f>
        <v/>
      </c>
      <c r="V1319" s="79">
        <f>IF(Q1319="Sin Factura",0,IFERROR(_xlfn.XLOOKUP(1, (Facturas_Odoo!$D:$D=A1319) * (Facturas_Odoo!$K:$K=I1319), Facturas_Odoo!$O:$O, 0), 0))</f>
        <v/>
      </c>
      <c r="W1319" s="81">
        <f>IF(Q1319="Sin Factura",0,IFERROR(_xlfn.XLOOKUP(1, (Facturas_Odoo!$D:$D=A1319) * (Facturas_Odoo!$K:$K=I1319), Facturas_Odoo!$Q:$Q, 0), 0))</f>
        <v/>
      </c>
      <c r="X1319" s="79">
        <f>IF(OR(Q1319="Sin Factura",Q1319=""),"",IFERROR(INDEX(Pagos_Odoo!$B:$B, MATCH(Q1319, Pagos_Odoo!$I:$I, 0)), "Sin Pago"))</f>
        <v/>
      </c>
      <c r="Y1319" s="79">
        <f>IF(X1319="Sin Pago","",IFERROR(INDEX(Pagos_Odoo!$C:$C, MATCH(X1319, Pagos_Odoo!$B:$B, 0)), ""))</f>
        <v/>
      </c>
      <c r="Z1319" s="80">
        <f>IF(X1319="Sin Pago","",IFERROR(INDEX(Pagos_Odoo!$A:$A, MATCH(X1319, Pagos_Odoo!$B:$B, 0)), ""))</f>
        <v/>
      </c>
      <c r="AA1319" s="79">
        <f>IF(X1319="Sin Pago","",IFERROR(INDEX(Pagos_Odoo!$F:$F, MATCH(X1319, Pagos_Odoo!$B:$B, 0)), ""))</f>
        <v/>
      </c>
      <c r="AB1319" s="81">
        <f>IF(X1319="Sin Pago",0,IFERROR(INDEX(Pagos_Odoo!$E:$E, MATCH(X1319, Pagos_Odoo!$B:$B, 0)), 0))</f>
        <v/>
      </c>
      <c r="AC1319" s="79">
        <f>IF(X1319="Sin Pago","",IFERROR(INDEX(Pagos_Odoo!$G:$G, MATCH(X1319, Pagos_Odoo!$B:$B, 0)), ""))</f>
        <v/>
      </c>
      <c r="AD1319" s="82" t="n">
        <v>0</v>
      </c>
      <c r="AE1319" s="82" t="n"/>
      <c r="AF1319" s="82" t="n"/>
      <c r="AG1319" s="82">
        <f>IF(AN1319="","",AD1319+AE1319+AF1319)</f>
        <v/>
      </c>
      <c r="AH1319" s="81">
        <f>IF(AN1319="","",P1319*(1-AG1319))</f>
        <v/>
      </c>
      <c r="AI1319" s="81">
        <f>IF(AN1319="","",IF(Q1319="Sin Factura",0,IFERROR(INDEX(Facturas_Odoo!$H:$H, MATCH(Q1319, Facturas_Odoo!$B:$B, 0)), 0)*(1-AG1319)))</f>
        <v/>
      </c>
      <c r="AJ1319" s="81">
        <f>IF(AN1319="","",_xlfn.LET(idVenta, AN1319&amp;"",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19" s="81">
        <f>IF(AN1319="","",AH1319-AJ1319)</f>
        <v/>
      </c>
      <c r="AL1319" s="81">
        <f>IF(AN1319="","",IF(Q1319="Sin Factura","",AI1319-AJ1319))</f>
        <v/>
      </c>
      <c r="AM1319" s="81">
        <f>IF(AN1319="","",IF(Q1319="Sin Factura",0,P1319-IFERROR(INDEX(Facturas_Odoo!$H:$H, MATCH(Q1319, Facturas_Odoo!$B:$B, 0)), 0)))</f>
        <v/>
      </c>
      <c r="AN1319" s="79">
        <f>IF(AND(A1319="", J1319=""), "", IF(A1319&lt;&gt;"", VALUE(MID(A1319,2,LEN(A1319))), AN1318))</f>
        <v/>
      </c>
      <c r="AO1319" s="79">
        <f>IF(AN1319="","",IF(AD1319=0,"OK",_xlfn.LET(monedaPago, IF(AA1319="","USD",AA1319), limitePermitido, IFERROR(VLOOKUP(monedaPago, Configuración!$A$2:$B$3, 2, FALSE), 0.15), IF(AD1319&gt;limitePermitido, "ALERTA: EXCESO (" &amp; TEXT(limitePermitido, "0%") &amp; " máx)", "OK"))))</f>
        <v/>
      </c>
      <c r="AP1319" s="79">
        <f>IF(AN1319="","",IF(AE1319=0,"OK",_xlfn.LET(fechaPago, Z1319, fechaFactura, R1319, diasCredito, IF(E1319="Pago inmediato", 0, IFERROR(VALUE(MID(E1319, 1, SEARCH(" ", E1319)-1)),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19" s="79">
        <f>IF(AN1319="","",IF(AND(N1319&gt;0, AG1319&gt;0), IF(Configuración!$K$2="NO", "ALERTA: DESCUENTO DOBLE NO PERMITIDO", "OK"), "OK"))</f>
        <v/>
      </c>
      <c r="AR1319" s="79">
        <f>IF(AN1319="","",IF(OR(AO1319&lt;&gt;"OK", AP1319&lt;&gt;"OK", AQ1319&lt;&gt;"OK"), "⚠️ REVISAR", "OK"))</f>
        <v/>
      </c>
    </row>
    <row r="1320">
      <c r="A1320" s="79">
        <f>IF('Ordenes_Odoo'!A1320="","",'Ordenes_Odoo'!A1320)</f>
        <v/>
      </c>
      <c r="B1320" s="80">
        <f>IF('Ordenes_Odoo'!B1320="","",'Ordenes_Odoo'!B1320)</f>
        <v/>
      </c>
      <c r="C1320" s="79">
        <f>IF('Ordenes_Odoo'!C1320="","",'Ordenes_Odoo'!C1320)</f>
        <v/>
      </c>
      <c r="D1320" s="79">
        <f>IF('Ordenes_Odoo'!D1320="","",'Ordenes_Odoo'!D1320)</f>
        <v/>
      </c>
      <c r="E1320" s="79">
        <f>IF('Ordenes_Odoo'!E1320="","",'Ordenes_Odoo'!E1320)</f>
        <v/>
      </c>
      <c r="F1320" s="79">
        <f>IF('Ordenes_Odoo'!F1320="","",'Ordenes_Odoo'!F1320)</f>
        <v/>
      </c>
      <c r="G1320" s="79">
        <f>IF('Ordenes_Odoo'!G1320="","",'Ordenes_Odoo'!G1320)</f>
        <v/>
      </c>
      <c r="H1320" s="79">
        <f>IF('Ordenes_Odoo'!H1320="","",'Ordenes_Odoo'!H1320)</f>
        <v/>
      </c>
      <c r="I1320" s="79">
        <f>IF('Ordenes_Odoo'!I1320="","",'Ordenes_Odoo'!I1320)</f>
        <v/>
      </c>
      <c r="J1320" s="79">
        <f>IF('Ordenes_Odoo'!J1320="","",'Ordenes_Odoo'!J1320)</f>
        <v/>
      </c>
      <c r="K1320" s="81">
        <f>IF('Ordenes_Odoo'!K1320="","",'Ordenes_Odoo'!K1320)</f>
        <v/>
      </c>
      <c r="L1320" s="81">
        <f>IF('Ordenes_Odoo'!L1320="","",'Ordenes_Odoo'!L1320)</f>
        <v/>
      </c>
      <c r="M1320" s="79">
        <f>IF('Ordenes_Odoo'!M1320="","",'Ordenes_Odoo'!M1320)</f>
        <v/>
      </c>
      <c r="N1320" s="79">
        <f>IF('Ordenes_Odoo'!N1320="","",'Ordenes_Odoo'!N1320)</f>
        <v/>
      </c>
      <c r="O1320" s="81">
        <f>IF('Ordenes_Odoo'!O1320="","",'Ordenes_Odoo'!O1320)</f>
        <v/>
      </c>
      <c r="P1320" s="81">
        <f>IF('Ordenes_Odoo'!P1320="","",'Ordenes_Odoo'!P1320)</f>
        <v/>
      </c>
      <c r="Q1320" s="79">
        <f>IF(A1320="","",IFERROR(INDEX(Facturas_Odoo!$B:$B, MATCH(A1320, Facturas_Odoo!$D:$D, 0)), "Sin Factura"))</f>
        <v/>
      </c>
      <c r="R1320" s="80">
        <f>IF(Q1320="Sin Factura","",IFERROR(INDEX(Facturas_Odoo!$A:$A, MATCH(Q1320, Facturas_Odoo!$B:$B, 0)), ""))</f>
        <v/>
      </c>
      <c r="S1320" s="79">
        <f>IF(Q1320="Sin Factura","",IFERROR(_xlfn.XLOOKUP(1, (Facturas_Odoo!$D:$D=A1320) * (Facturas_Odoo!$K:$K=I1320), Facturas_Odoo!$L:$L, ""), ""))</f>
        <v/>
      </c>
      <c r="T1320" s="81">
        <f>IF(Q1320="Sin Factura",0,IFERROR(_xlfn.XLOOKUP(1, (Facturas_Odoo!$D:$D=A1320) * (Facturas_Odoo!$K:$K=I1320), Facturas_Odoo!$M:$M, 0), 0))</f>
        <v/>
      </c>
      <c r="U1320" s="79">
        <f>IF(Q1320="Sin Factura",0,IFERROR(_xlfn.XLOOKUP(1, (Facturas_Odoo!$D:$D=A1320) * (Facturas_Odoo!$K:$K=I1320), Facturas_Odoo!$N:$N, 0), 0))</f>
        <v/>
      </c>
      <c r="V1320" s="79">
        <f>IF(Q1320="Sin Factura",0,IFERROR(_xlfn.XLOOKUP(1, (Facturas_Odoo!$D:$D=A1320) * (Facturas_Odoo!$K:$K=I1320), Facturas_Odoo!$O:$O, 0), 0))</f>
        <v/>
      </c>
      <c r="W1320" s="81">
        <f>IF(Q1320="Sin Factura",0,IFERROR(_xlfn.XLOOKUP(1, (Facturas_Odoo!$D:$D=A1320) * (Facturas_Odoo!$K:$K=I1320), Facturas_Odoo!$Q:$Q, 0), 0))</f>
        <v/>
      </c>
      <c r="X1320" s="79">
        <f>IF(OR(Q1320="Sin Factura",Q1320=""),"",IFERROR(INDEX(Pagos_Odoo!$B:$B, MATCH(Q1320, Pagos_Odoo!$I:$I, 0)), "Sin Pago"))</f>
        <v/>
      </c>
      <c r="Y1320" s="79">
        <f>IF(X1320="Sin Pago","",IFERROR(INDEX(Pagos_Odoo!$C:$C, MATCH(X1320, Pagos_Odoo!$B:$B, 0)), ""))</f>
        <v/>
      </c>
      <c r="Z1320" s="80">
        <f>IF(X1320="Sin Pago","",IFERROR(INDEX(Pagos_Odoo!$A:$A, MATCH(X1320, Pagos_Odoo!$B:$B, 0)), ""))</f>
        <v/>
      </c>
      <c r="AA1320" s="79">
        <f>IF(X1320="Sin Pago","",IFERROR(INDEX(Pagos_Odoo!$F:$F, MATCH(X1320, Pagos_Odoo!$B:$B, 0)), ""))</f>
        <v/>
      </c>
      <c r="AB1320" s="81">
        <f>IF(X1320="Sin Pago",0,IFERROR(INDEX(Pagos_Odoo!$E:$E, MATCH(X1320, Pagos_Odoo!$B:$B, 0)), 0))</f>
        <v/>
      </c>
      <c r="AC1320" s="79">
        <f>IF(X1320="Sin Pago","",IFERROR(INDEX(Pagos_Odoo!$G:$G, MATCH(X1320, Pagos_Odoo!$B:$B, 0)), ""))</f>
        <v/>
      </c>
      <c r="AD1320" s="82" t="n">
        <v>0</v>
      </c>
      <c r="AE1320" s="82" t="n"/>
      <c r="AF1320" s="82" t="n"/>
      <c r="AG1320" s="82">
        <f>IF(AN1320="","",AD1320+AE1320+AF1320)</f>
        <v/>
      </c>
      <c r="AH1320" s="81">
        <f>IF(AN1320="","",P1320*(1-AG1320))</f>
        <v/>
      </c>
      <c r="AI1320" s="81">
        <f>IF(AN1320="","",IF(Q1320="Sin Factura",0,IFERROR(INDEX(Facturas_Odoo!$H:$H, MATCH(Q1320, Facturas_Odoo!$B:$B, 0)), 0)*(1-AG1320)))</f>
        <v/>
      </c>
      <c r="AJ1320" s="81">
        <f>IF(AN1320="","",_xlfn.LET(idVenta, AN1320&amp;"",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20" s="81">
        <f>IF(AN1320="","",AH1320-AJ1320)</f>
        <v/>
      </c>
      <c r="AL1320" s="81">
        <f>IF(AN1320="","",IF(Q1320="Sin Factura","",AI1320-AJ1320))</f>
        <v/>
      </c>
      <c r="AM1320" s="81">
        <f>IF(AN1320="","",IF(Q1320="Sin Factura",0,P1320-IFERROR(INDEX(Facturas_Odoo!$H:$H, MATCH(Q1320, Facturas_Odoo!$B:$B, 0)), 0)))</f>
        <v/>
      </c>
      <c r="AN1320" s="79">
        <f>IF(AND(A1320="", J1320=""), "", IF(A1320&lt;&gt;"", VALUE(MID(A1320,2,LEN(A1320))), AN1319))</f>
        <v/>
      </c>
      <c r="AO1320" s="79">
        <f>IF(AN1320="","",IF(AD1320=0,"OK",_xlfn.LET(monedaPago, IF(AA1320="","USD",AA1320), limitePermitido, IFERROR(VLOOKUP(monedaPago, Configuración!$A$2:$B$3, 2, FALSE), 0.15), IF(AD1320&gt;limitePermitido, "ALERTA: EXCESO (" &amp; TEXT(limitePermitido, "0%") &amp; " máx)", "OK"))))</f>
        <v/>
      </c>
      <c r="AP1320" s="79">
        <f>IF(AN1320="","",IF(AE1320=0,"OK",_xlfn.LET(fechaPago, Z1320, fechaFactura, R1320, diasCredito, IF(E1320="Pago inmediato", 0, IFERROR(VALUE(MID(E1320, 1, SEARCH(" ", E1320)-1)),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20" s="79">
        <f>IF(AN1320="","",IF(AND(N1320&gt;0, AG1320&gt;0), IF(Configuración!$K$2="NO", "ALERTA: DESCUENTO DOBLE NO PERMITIDO", "OK"), "OK"))</f>
        <v/>
      </c>
      <c r="AR1320" s="79">
        <f>IF(AN1320="","",IF(OR(AO1320&lt;&gt;"OK", AP1320&lt;&gt;"OK", AQ1320&lt;&gt;"OK"), "⚠️ REVISAR", "OK"))</f>
        <v/>
      </c>
    </row>
    <row r="1321">
      <c r="A1321" s="79">
        <f>IF('Ordenes_Odoo'!A1321="","",'Ordenes_Odoo'!A1321)</f>
        <v/>
      </c>
      <c r="B1321" s="80">
        <f>IF('Ordenes_Odoo'!B1321="","",'Ordenes_Odoo'!B1321)</f>
        <v/>
      </c>
      <c r="C1321" s="79">
        <f>IF('Ordenes_Odoo'!C1321="","",'Ordenes_Odoo'!C1321)</f>
        <v/>
      </c>
      <c r="D1321" s="79">
        <f>IF('Ordenes_Odoo'!D1321="","",'Ordenes_Odoo'!D1321)</f>
        <v/>
      </c>
      <c r="E1321" s="79">
        <f>IF('Ordenes_Odoo'!E1321="","",'Ordenes_Odoo'!E1321)</f>
        <v/>
      </c>
      <c r="F1321" s="79">
        <f>IF('Ordenes_Odoo'!F1321="","",'Ordenes_Odoo'!F1321)</f>
        <v/>
      </c>
      <c r="G1321" s="79">
        <f>IF('Ordenes_Odoo'!G1321="","",'Ordenes_Odoo'!G1321)</f>
        <v/>
      </c>
      <c r="H1321" s="79">
        <f>IF('Ordenes_Odoo'!H1321="","",'Ordenes_Odoo'!H1321)</f>
        <v/>
      </c>
      <c r="I1321" s="79">
        <f>IF('Ordenes_Odoo'!I1321="","",'Ordenes_Odoo'!I1321)</f>
        <v/>
      </c>
      <c r="J1321" s="79">
        <f>IF('Ordenes_Odoo'!J1321="","",'Ordenes_Odoo'!J1321)</f>
        <v/>
      </c>
      <c r="K1321" s="81">
        <f>IF('Ordenes_Odoo'!K1321="","",'Ordenes_Odoo'!K1321)</f>
        <v/>
      </c>
      <c r="L1321" s="81">
        <f>IF('Ordenes_Odoo'!L1321="","",'Ordenes_Odoo'!L1321)</f>
        <v/>
      </c>
      <c r="M1321" s="79">
        <f>IF('Ordenes_Odoo'!M1321="","",'Ordenes_Odoo'!M1321)</f>
        <v/>
      </c>
      <c r="N1321" s="79">
        <f>IF('Ordenes_Odoo'!N1321="","",'Ordenes_Odoo'!N1321)</f>
        <v/>
      </c>
      <c r="O1321" s="81">
        <f>IF('Ordenes_Odoo'!O1321="","",'Ordenes_Odoo'!O1321)</f>
        <v/>
      </c>
      <c r="P1321" s="81">
        <f>IF('Ordenes_Odoo'!P1321="","",'Ordenes_Odoo'!P1321)</f>
        <v/>
      </c>
      <c r="Q1321" s="79">
        <f>IF(A1321="","",IFERROR(INDEX(Facturas_Odoo!$B:$B, MATCH(A1321, Facturas_Odoo!$D:$D, 0)), "Sin Factura"))</f>
        <v/>
      </c>
      <c r="R1321" s="80">
        <f>IF(Q1321="Sin Factura","",IFERROR(INDEX(Facturas_Odoo!$A:$A, MATCH(Q1321, Facturas_Odoo!$B:$B, 0)), ""))</f>
        <v/>
      </c>
      <c r="S1321" s="79">
        <f>IF(Q1321="Sin Factura","",IFERROR(_xlfn.XLOOKUP(1, (Facturas_Odoo!$D:$D=A1321) * (Facturas_Odoo!$K:$K=I1321), Facturas_Odoo!$L:$L, ""), ""))</f>
        <v/>
      </c>
      <c r="T1321" s="81">
        <f>IF(Q1321="Sin Factura",0,IFERROR(_xlfn.XLOOKUP(1, (Facturas_Odoo!$D:$D=A1321) * (Facturas_Odoo!$K:$K=I1321), Facturas_Odoo!$M:$M, 0), 0))</f>
        <v/>
      </c>
      <c r="U1321" s="79">
        <f>IF(Q1321="Sin Factura",0,IFERROR(_xlfn.XLOOKUP(1, (Facturas_Odoo!$D:$D=A1321) * (Facturas_Odoo!$K:$K=I1321), Facturas_Odoo!$N:$N, 0), 0))</f>
        <v/>
      </c>
      <c r="V1321" s="79">
        <f>IF(Q1321="Sin Factura",0,IFERROR(_xlfn.XLOOKUP(1, (Facturas_Odoo!$D:$D=A1321) * (Facturas_Odoo!$K:$K=I1321), Facturas_Odoo!$O:$O, 0), 0))</f>
        <v/>
      </c>
      <c r="W1321" s="81">
        <f>IF(Q1321="Sin Factura",0,IFERROR(_xlfn.XLOOKUP(1, (Facturas_Odoo!$D:$D=A1321) * (Facturas_Odoo!$K:$K=I1321), Facturas_Odoo!$Q:$Q, 0), 0))</f>
        <v/>
      </c>
      <c r="X1321" s="79">
        <f>IF(OR(Q1321="Sin Factura",Q1321=""),"",IFERROR(INDEX(Pagos_Odoo!$B:$B, MATCH(Q1321, Pagos_Odoo!$I:$I, 0)), "Sin Pago"))</f>
        <v/>
      </c>
      <c r="Y1321" s="79">
        <f>IF(X1321="Sin Pago","",IFERROR(INDEX(Pagos_Odoo!$C:$C, MATCH(X1321, Pagos_Odoo!$B:$B, 0)), ""))</f>
        <v/>
      </c>
      <c r="Z1321" s="80">
        <f>IF(X1321="Sin Pago","",IFERROR(INDEX(Pagos_Odoo!$A:$A, MATCH(X1321, Pagos_Odoo!$B:$B, 0)), ""))</f>
        <v/>
      </c>
      <c r="AA1321" s="79">
        <f>IF(X1321="Sin Pago","",IFERROR(INDEX(Pagos_Odoo!$F:$F, MATCH(X1321, Pagos_Odoo!$B:$B, 0)), ""))</f>
        <v/>
      </c>
      <c r="AB1321" s="81">
        <f>IF(X1321="Sin Pago",0,IFERROR(INDEX(Pagos_Odoo!$E:$E, MATCH(X1321, Pagos_Odoo!$B:$B, 0)), 0))</f>
        <v/>
      </c>
      <c r="AC1321" s="79">
        <f>IF(X1321="Sin Pago","",IFERROR(INDEX(Pagos_Odoo!$G:$G, MATCH(X1321, Pagos_Odoo!$B:$B, 0)), ""))</f>
        <v/>
      </c>
      <c r="AD1321" s="82" t="n">
        <v>0</v>
      </c>
      <c r="AE1321" s="82" t="n"/>
      <c r="AF1321" s="82" t="n"/>
      <c r="AG1321" s="82">
        <f>IF(AN1321="","",AD1321+AE1321+AF1321)</f>
        <v/>
      </c>
      <c r="AH1321" s="81">
        <f>IF(AN1321="","",P1321*(1-AG1321))</f>
        <v/>
      </c>
      <c r="AI1321" s="81">
        <f>IF(AN1321="","",IF(Q1321="Sin Factura",0,IFERROR(INDEX(Facturas_Odoo!$H:$H, MATCH(Q1321, Facturas_Odoo!$B:$B, 0)), 0)*(1-AG1321)))</f>
        <v/>
      </c>
      <c r="AJ1321" s="81">
        <f>IF(AN1321="","",_xlfn.LET(idVenta, AN1321&amp;"",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21" s="81">
        <f>IF(AN1321="","",AH1321-AJ1321)</f>
        <v/>
      </c>
      <c r="AL1321" s="81">
        <f>IF(AN1321="","",IF(Q1321="Sin Factura","",AI1321-AJ1321))</f>
        <v/>
      </c>
      <c r="AM1321" s="81">
        <f>IF(AN1321="","",IF(Q1321="Sin Factura",0,P1321-IFERROR(INDEX(Facturas_Odoo!$H:$H, MATCH(Q1321, Facturas_Odoo!$B:$B, 0)), 0)))</f>
        <v/>
      </c>
      <c r="AN1321" s="79">
        <f>IF(AND(A1321="", J1321=""), "", IF(A1321&lt;&gt;"", VALUE(MID(A1321,2,LEN(A1321))), AN1320))</f>
        <v/>
      </c>
      <c r="AO1321" s="79">
        <f>IF(AN1321="","",IF(AD1321=0,"OK",_xlfn.LET(monedaPago, IF(AA1321="","USD",AA1321), limitePermitido, IFERROR(VLOOKUP(monedaPago, Configuración!$A$2:$B$3, 2, FALSE), 0.15), IF(AD1321&gt;limitePermitido, "ALERTA: EXCESO (" &amp; TEXT(limitePermitido, "0%") &amp; " máx)", "OK"))))</f>
        <v/>
      </c>
      <c r="AP1321" s="79">
        <f>IF(AN1321="","",IF(AE1321=0,"OK",_xlfn.LET(fechaPago, Z1321, fechaFactura, R1321, diasCredito, IF(E1321="Pago inmediato", 0, IFERROR(VALUE(MID(E1321, 1, SEARCH(" ", E1321)-1)),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21" s="79">
        <f>IF(AN1321="","",IF(AND(N1321&gt;0, AG1321&gt;0), IF(Configuración!$K$2="NO", "ALERTA: DESCUENTO DOBLE NO PERMITIDO", "OK"), "OK"))</f>
        <v/>
      </c>
      <c r="AR1321" s="79">
        <f>IF(AN1321="","",IF(OR(AO1321&lt;&gt;"OK", AP1321&lt;&gt;"OK", AQ1321&lt;&gt;"OK"), "⚠️ REVISAR", "OK"))</f>
        <v/>
      </c>
    </row>
    <row r="1322">
      <c r="A1322" s="79">
        <f>IF('Ordenes_Odoo'!A1322="","",'Ordenes_Odoo'!A1322)</f>
        <v/>
      </c>
      <c r="B1322" s="80">
        <f>IF('Ordenes_Odoo'!B1322="","",'Ordenes_Odoo'!B1322)</f>
        <v/>
      </c>
      <c r="C1322" s="79">
        <f>IF('Ordenes_Odoo'!C1322="","",'Ordenes_Odoo'!C1322)</f>
        <v/>
      </c>
      <c r="D1322" s="79">
        <f>IF('Ordenes_Odoo'!D1322="","",'Ordenes_Odoo'!D1322)</f>
        <v/>
      </c>
      <c r="E1322" s="79">
        <f>IF('Ordenes_Odoo'!E1322="","",'Ordenes_Odoo'!E1322)</f>
        <v/>
      </c>
      <c r="F1322" s="79">
        <f>IF('Ordenes_Odoo'!F1322="","",'Ordenes_Odoo'!F1322)</f>
        <v/>
      </c>
      <c r="G1322" s="79">
        <f>IF('Ordenes_Odoo'!G1322="","",'Ordenes_Odoo'!G1322)</f>
        <v/>
      </c>
      <c r="H1322" s="79">
        <f>IF('Ordenes_Odoo'!H1322="","",'Ordenes_Odoo'!H1322)</f>
        <v/>
      </c>
      <c r="I1322" s="79">
        <f>IF('Ordenes_Odoo'!I1322="","",'Ordenes_Odoo'!I1322)</f>
        <v/>
      </c>
      <c r="J1322" s="79">
        <f>IF('Ordenes_Odoo'!J1322="","",'Ordenes_Odoo'!J1322)</f>
        <v/>
      </c>
      <c r="K1322" s="81">
        <f>IF('Ordenes_Odoo'!K1322="","",'Ordenes_Odoo'!K1322)</f>
        <v/>
      </c>
      <c r="L1322" s="81">
        <f>IF('Ordenes_Odoo'!L1322="","",'Ordenes_Odoo'!L1322)</f>
        <v/>
      </c>
      <c r="M1322" s="79">
        <f>IF('Ordenes_Odoo'!M1322="","",'Ordenes_Odoo'!M1322)</f>
        <v/>
      </c>
      <c r="N1322" s="79">
        <f>IF('Ordenes_Odoo'!N1322="","",'Ordenes_Odoo'!N1322)</f>
        <v/>
      </c>
      <c r="O1322" s="81">
        <f>IF('Ordenes_Odoo'!O1322="","",'Ordenes_Odoo'!O1322)</f>
        <v/>
      </c>
      <c r="P1322" s="81">
        <f>IF('Ordenes_Odoo'!P1322="","",'Ordenes_Odoo'!P1322)</f>
        <v/>
      </c>
      <c r="Q1322" s="79">
        <f>IF(A1322="","",IFERROR(INDEX(Facturas_Odoo!$B:$B, MATCH(A1322, Facturas_Odoo!$D:$D, 0)), "Sin Factura"))</f>
        <v/>
      </c>
      <c r="R1322" s="80">
        <f>IF(Q1322="Sin Factura","",IFERROR(INDEX(Facturas_Odoo!$A:$A, MATCH(Q1322, Facturas_Odoo!$B:$B, 0)), ""))</f>
        <v/>
      </c>
      <c r="S1322" s="79">
        <f>IF(Q1322="Sin Factura","",IFERROR(_xlfn.XLOOKUP(1, (Facturas_Odoo!$D:$D=A1322) * (Facturas_Odoo!$K:$K=I1322), Facturas_Odoo!$L:$L, ""), ""))</f>
        <v/>
      </c>
      <c r="T1322" s="81">
        <f>IF(Q1322="Sin Factura",0,IFERROR(_xlfn.XLOOKUP(1, (Facturas_Odoo!$D:$D=A1322) * (Facturas_Odoo!$K:$K=I1322), Facturas_Odoo!$M:$M, 0), 0))</f>
        <v/>
      </c>
      <c r="U1322" s="79">
        <f>IF(Q1322="Sin Factura",0,IFERROR(_xlfn.XLOOKUP(1, (Facturas_Odoo!$D:$D=A1322) * (Facturas_Odoo!$K:$K=I1322), Facturas_Odoo!$N:$N, 0), 0))</f>
        <v/>
      </c>
      <c r="V1322" s="79">
        <f>IF(Q1322="Sin Factura",0,IFERROR(_xlfn.XLOOKUP(1, (Facturas_Odoo!$D:$D=A1322) * (Facturas_Odoo!$K:$K=I1322), Facturas_Odoo!$O:$O, 0), 0))</f>
        <v/>
      </c>
      <c r="W1322" s="81">
        <f>IF(Q1322="Sin Factura",0,IFERROR(_xlfn.XLOOKUP(1, (Facturas_Odoo!$D:$D=A1322) * (Facturas_Odoo!$K:$K=I1322), Facturas_Odoo!$Q:$Q, 0), 0))</f>
        <v/>
      </c>
      <c r="X1322" s="79">
        <f>IF(OR(Q1322="Sin Factura",Q1322=""),"",IFERROR(INDEX(Pagos_Odoo!$B:$B, MATCH(Q1322, Pagos_Odoo!$I:$I, 0)), "Sin Pago"))</f>
        <v/>
      </c>
      <c r="Y1322" s="79">
        <f>IF(X1322="Sin Pago","",IFERROR(INDEX(Pagos_Odoo!$C:$C, MATCH(X1322, Pagos_Odoo!$B:$B, 0)), ""))</f>
        <v/>
      </c>
      <c r="Z1322" s="80">
        <f>IF(X1322="Sin Pago","",IFERROR(INDEX(Pagos_Odoo!$A:$A, MATCH(X1322, Pagos_Odoo!$B:$B, 0)), ""))</f>
        <v/>
      </c>
      <c r="AA1322" s="79">
        <f>IF(X1322="Sin Pago","",IFERROR(INDEX(Pagos_Odoo!$F:$F, MATCH(X1322, Pagos_Odoo!$B:$B, 0)), ""))</f>
        <v/>
      </c>
      <c r="AB1322" s="81">
        <f>IF(X1322="Sin Pago",0,IFERROR(INDEX(Pagos_Odoo!$E:$E, MATCH(X1322, Pagos_Odoo!$B:$B, 0)), 0))</f>
        <v/>
      </c>
      <c r="AC1322" s="79">
        <f>IF(X1322="Sin Pago","",IFERROR(INDEX(Pagos_Odoo!$G:$G, MATCH(X1322, Pagos_Odoo!$B:$B, 0)), ""))</f>
        <v/>
      </c>
      <c r="AD1322" s="82" t="n">
        <v>0</v>
      </c>
      <c r="AE1322" s="82" t="n"/>
      <c r="AF1322" s="82" t="n"/>
      <c r="AG1322" s="82">
        <f>IF(AN1322="","",AD1322+AE1322+AF1322)</f>
        <v/>
      </c>
      <c r="AH1322" s="81">
        <f>IF(AN1322="","",P1322*(1-AG1322))</f>
        <v/>
      </c>
      <c r="AI1322" s="81">
        <f>IF(AN1322="","",IF(Q1322="Sin Factura",0,IFERROR(INDEX(Facturas_Odoo!$H:$H, MATCH(Q1322, Facturas_Odoo!$B:$B, 0)), 0)*(1-AG1322)))</f>
        <v/>
      </c>
      <c r="AJ1322" s="81">
        <f>IF(AN1322="","",_xlfn.LET(idVenta, AN1322&amp;"",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22" s="81">
        <f>IF(AN1322="","",AH1322-AJ1322)</f>
        <v/>
      </c>
      <c r="AL1322" s="81">
        <f>IF(AN1322="","",IF(Q1322="Sin Factura","",AI1322-AJ1322))</f>
        <v/>
      </c>
      <c r="AM1322" s="81">
        <f>IF(AN1322="","",IF(Q1322="Sin Factura",0,P1322-IFERROR(INDEX(Facturas_Odoo!$H:$H, MATCH(Q1322, Facturas_Odoo!$B:$B, 0)), 0)))</f>
        <v/>
      </c>
      <c r="AN1322" s="79">
        <f>IF(AND(A1322="", J1322=""), "", IF(A1322&lt;&gt;"", VALUE(MID(A1322,2,LEN(A1322))), AN1321))</f>
        <v/>
      </c>
      <c r="AO1322" s="79">
        <f>IF(AN1322="","",IF(AD1322=0,"OK",_xlfn.LET(monedaPago, IF(AA1322="","USD",AA1322), limitePermitido, IFERROR(VLOOKUP(monedaPago, Configuración!$A$2:$B$3, 2, FALSE), 0.15), IF(AD1322&gt;limitePermitido, "ALERTA: EXCESO (" &amp; TEXT(limitePermitido, "0%") &amp; " máx)", "OK"))))</f>
        <v/>
      </c>
      <c r="AP1322" s="79">
        <f>IF(AN1322="","",IF(AE1322=0,"OK",_xlfn.LET(fechaPago, Z1322, fechaFactura, R1322, diasCredito, IF(E1322="Pago inmediato", 0, IFERROR(VALUE(MID(E1322, 1, SEARCH(" ", E1322)-1)),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22" s="79">
        <f>IF(AN1322="","",IF(AND(N1322&gt;0, AG1322&gt;0), IF(Configuración!$K$2="NO", "ALERTA: DESCUENTO DOBLE NO PERMITIDO", "OK"), "OK"))</f>
        <v/>
      </c>
      <c r="AR1322" s="79">
        <f>IF(AN1322="","",IF(OR(AO1322&lt;&gt;"OK", AP1322&lt;&gt;"OK", AQ1322&lt;&gt;"OK"), "⚠️ REVISAR", "OK"))</f>
        <v/>
      </c>
    </row>
    <row r="1323">
      <c r="A1323" s="79">
        <f>IF('Ordenes_Odoo'!A1323="","",'Ordenes_Odoo'!A1323)</f>
        <v/>
      </c>
      <c r="B1323" s="80">
        <f>IF('Ordenes_Odoo'!B1323="","",'Ordenes_Odoo'!B1323)</f>
        <v/>
      </c>
      <c r="C1323" s="79">
        <f>IF('Ordenes_Odoo'!C1323="","",'Ordenes_Odoo'!C1323)</f>
        <v/>
      </c>
      <c r="D1323" s="79">
        <f>IF('Ordenes_Odoo'!D1323="","",'Ordenes_Odoo'!D1323)</f>
        <v/>
      </c>
      <c r="E1323" s="79">
        <f>IF('Ordenes_Odoo'!E1323="","",'Ordenes_Odoo'!E1323)</f>
        <v/>
      </c>
      <c r="F1323" s="79">
        <f>IF('Ordenes_Odoo'!F1323="","",'Ordenes_Odoo'!F1323)</f>
        <v/>
      </c>
      <c r="G1323" s="79">
        <f>IF('Ordenes_Odoo'!G1323="","",'Ordenes_Odoo'!G1323)</f>
        <v/>
      </c>
      <c r="H1323" s="79">
        <f>IF('Ordenes_Odoo'!H1323="","",'Ordenes_Odoo'!H1323)</f>
        <v/>
      </c>
      <c r="I1323" s="79">
        <f>IF('Ordenes_Odoo'!I1323="","",'Ordenes_Odoo'!I1323)</f>
        <v/>
      </c>
      <c r="J1323" s="79">
        <f>IF('Ordenes_Odoo'!J1323="","",'Ordenes_Odoo'!J1323)</f>
        <v/>
      </c>
      <c r="K1323" s="81">
        <f>IF('Ordenes_Odoo'!K1323="","",'Ordenes_Odoo'!K1323)</f>
        <v/>
      </c>
      <c r="L1323" s="81">
        <f>IF('Ordenes_Odoo'!L1323="","",'Ordenes_Odoo'!L1323)</f>
        <v/>
      </c>
      <c r="M1323" s="79">
        <f>IF('Ordenes_Odoo'!M1323="","",'Ordenes_Odoo'!M1323)</f>
        <v/>
      </c>
      <c r="N1323" s="79">
        <f>IF('Ordenes_Odoo'!N1323="","",'Ordenes_Odoo'!N1323)</f>
        <v/>
      </c>
      <c r="O1323" s="81">
        <f>IF('Ordenes_Odoo'!O1323="","",'Ordenes_Odoo'!O1323)</f>
        <v/>
      </c>
      <c r="P1323" s="81">
        <f>IF('Ordenes_Odoo'!P1323="","",'Ordenes_Odoo'!P1323)</f>
        <v/>
      </c>
      <c r="Q1323" s="79">
        <f>IF(A1323="","",IFERROR(INDEX(Facturas_Odoo!$B:$B, MATCH(A1323, Facturas_Odoo!$D:$D, 0)), "Sin Factura"))</f>
        <v/>
      </c>
      <c r="R1323" s="80">
        <f>IF(Q1323="Sin Factura","",IFERROR(INDEX(Facturas_Odoo!$A:$A, MATCH(Q1323, Facturas_Odoo!$B:$B, 0)), ""))</f>
        <v/>
      </c>
      <c r="S1323" s="79">
        <f>IF(Q1323="Sin Factura","",IFERROR(_xlfn.XLOOKUP(1, (Facturas_Odoo!$D:$D=A1323) * (Facturas_Odoo!$K:$K=I1323), Facturas_Odoo!$L:$L, ""), ""))</f>
        <v/>
      </c>
      <c r="T1323" s="81">
        <f>IF(Q1323="Sin Factura",0,IFERROR(_xlfn.XLOOKUP(1, (Facturas_Odoo!$D:$D=A1323) * (Facturas_Odoo!$K:$K=I1323), Facturas_Odoo!$M:$M, 0), 0))</f>
        <v/>
      </c>
      <c r="U1323" s="79">
        <f>IF(Q1323="Sin Factura",0,IFERROR(_xlfn.XLOOKUP(1, (Facturas_Odoo!$D:$D=A1323) * (Facturas_Odoo!$K:$K=I1323), Facturas_Odoo!$N:$N, 0), 0))</f>
        <v/>
      </c>
      <c r="V1323" s="79">
        <f>IF(Q1323="Sin Factura",0,IFERROR(_xlfn.XLOOKUP(1, (Facturas_Odoo!$D:$D=A1323) * (Facturas_Odoo!$K:$K=I1323), Facturas_Odoo!$O:$O, 0), 0))</f>
        <v/>
      </c>
      <c r="W1323" s="81">
        <f>IF(Q1323="Sin Factura",0,IFERROR(_xlfn.XLOOKUP(1, (Facturas_Odoo!$D:$D=A1323) * (Facturas_Odoo!$K:$K=I1323), Facturas_Odoo!$Q:$Q, 0), 0))</f>
        <v/>
      </c>
      <c r="X1323" s="79">
        <f>IF(OR(Q1323="Sin Factura",Q1323=""),"",IFERROR(INDEX(Pagos_Odoo!$B:$B, MATCH(Q1323, Pagos_Odoo!$I:$I, 0)), "Sin Pago"))</f>
        <v/>
      </c>
      <c r="Y1323" s="79">
        <f>IF(X1323="Sin Pago","",IFERROR(INDEX(Pagos_Odoo!$C:$C, MATCH(X1323, Pagos_Odoo!$B:$B, 0)), ""))</f>
        <v/>
      </c>
      <c r="Z1323" s="80">
        <f>IF(X1323="Sin Pago","",IFERROR(INDEX(Pagos_Odoo!$A:$A, MATCH(X1323, Pagos_Odoo!$B:$B, 0)), ""))</f>
        <v/>
      </c>
      <c r="AA1323" s="79">
        <f>IF(X1323="Sin Pago","",IFERROR(INDEX(Pagos_Odoo!$F:$F, MATCH(X1323, Pagos_Odoo!$B:$B, 0)), ""))</f>
        <v/>
      </c>
      <c r="AB1323" s="81">
        <f>IF(X1323="Sin Pago",0,IFERROR(INDEX(Pagos_Odoo!$E:$E, MATCH(X1323, Pagos_Odoo!$B:$B, 0)), 0))</f>
        <v/>
      </c>
      <c r="AC1323" s="79">
        <f>IF(X1323="Sin Pago","",IFERROR(INDEX(Pagos_Odoo!$G:$G, MATCH(X1323, Pagos_Odoo!$B:$B, 0)), ""))</f>
        <v/>
      </c>
      <c r="AD1323" s="82" t="n">
        <v>0</v>
      </c>
      <c r="AE1323" s="82" t="n"/>
      <c r="AF1323" s="82" t="n"/>
      <c r="AG1323" s="82">
        <f>IF(AN1323="","",AD1323+AE1323+AF1323)</f>
        <v/>
      </c>
      <c r="AH1323" s="81">
        <f>IF(AN1323="","",P1323*(1-AG1323))</f>
        <v/>
      </c>
      <c r="AI1323" s="81">
        <f>IF(AN1323="","",IF(Q1323="Sin Factura",0,IFERROR(INDEX(Facturas_Odoo!$H:$H, MATCH(Q1323, Facturas_Odoo!$B:$B, 0)), 0)*(1-AG1323)))</f>
        <v/>
      </c>
      <c r="AJ1323" s="81">
        <f>IF(AN1323="","",_xlfn.LET(idVenta, AN1323&amp;"",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23" s="81">
        <f>IF(AN1323="","",AH1323-AJ1323)</f>
        <v/>
      </c>
      <c r="AL1323" s="81">
        <f>IF(AN1323="","",IF(Q1323="Sin Factura","",AI1323-AJ1323))</f>
        <v/>
      </c>
      <c r="AM1323" s="81">
        <f>IF(AN1323="","",IF(Q1323="Sin Factura",0,P1323-IFERROR(INDEX(Facturas_Odoo!$H:$H, MATCH(Q1323, Facturas_Odoo!$B:$B, 0)), 0)))</f>
        <v/>
      </c>
      <c r="AN1323" s="79">
        <f>IF(AND(A1323="", J1323=""), "", IF(A1323&lt;&gt;"", VALUE(MID(A1323,2,LEN(A1323))), AN1322))</f>
        <v/>
      </c>
      <c r="AO1323" s="79">
        <f>IF(AN1323="","",IF(AD1323=0,"OK",_xlfn.LET(monedaPago, IF(AA1323="","USD",AA1323), limitePermitido, IFERROR(VLOOKUP(monedaPago, Configuración!$A$2:$B$3, 2, FALSE), 0.15), IF(AD1323&gt;limitePermitido, "ALERTA: EXCESO (" &amp; TEXT(limitePermitido, "0%") &amp; " máx)", "OK"))))</f>
        <v/>
      </c>
      <c r="AP1323" s="79">
        <f>IF(AN1323="","",IF(AE1323=0,"OK",_xlfn.LET(fechaPago, Z1323, fechaFactura, R1323, diasCredito, IF(E1323="Pago inmediato", 0, IFERROR(VALUE(MID(E1323, 1, SEARCH(" ", E1323)-1)),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23" s="79">
        <f>IF(AN1323="","",IF(AND(N1323&gt;0, AG1323&gt;0), IF(Configuración!$K$2="NO", "ALERTA: DESCUENTO DOBLE NO PERMITIDO", "OK"), "OK"))</f>
        <v/>
      </c>
      <c r="AR1323" s="79">
        <f>IF(AN1323="","",IF(OR(AO1323&lt;&gt;"OK", AP1323&lt;&gt;"OK", AQ1323&lt;&gt;"OK"), "⚠️ REVISAR", "OK"))</f>
        <v/>
      </c>
    </row>
    <row r="1324">
      <c r="A1324" s="79">
        <f>IF('Ordenes_Odoo'!A1324="","",'Ordenes_Odoo'!A1324)</f>
        <v/>
      </c>
      <c r="B1324" s="80">
        <f>IF('Ordenes_Odoo'!B1324="","",'Ordenes_Odoo'!B1324)</f>
        <v/>
      </c>
      <c r="C1324" s="79">
        <f>IF('Ordenes_Odoo'!C1324="","",'Ordenes_Odoo'!C1324)</f>
        <v/>
      </c>
      <c r="D1324" s="79">
        <f>IF('Ordenes_Odoo'!D1324="","",'Ordenes_Odoo'!D1324)</f>
        <v/>
      </c>
      <c r="E1324" s="79">
        <f>IF('Ordenes_Odoo'!E1324="","",'Ordenes_Odoo'!E1324)</f>
        <v/>
      </c>
      <c r="F1324" s="79">
        <f>IF('Ordenes_Odoo'!F1324="","",'Ordenes_Odoo'!F1324)</f>
        <v/>
      </c>
      <c r="G1324" s="79">
        <f>IF('Ordenes_Odoo'!G1324="","",'Ordenes_Odoo'!G1324)</f>
        <v/>
      </c>
      <c r="H1324" s="79">
        <f>IF('Ordenes_Odoo'!H1324="","",'Ordenes_Odoo'!H1324)</f>
        <v/>
      </c>
      <c r="I1324" s="79">
        <f>IF('Ordenes_Odoo'!I1324="","",'Ordenes_Odoo'!I1324)</f>
        <v/>
      </c>
      <c r="J1324" s="79">
        <f>IF('Ordenes_Odoo'!J1324="","",'Ordenes_Odoo'!J1324)</f>
        <v/>
      </c>
      <c r="K1324" s="81">
        <f>IF('Ordenes_Odoo'!K1324="","",'Ordenes_Odoo'!K1324)</f>
        <v/>
      </c>
      <c r="L1324" s="81">
        <f>IF('Ordenes_Odoo'!L1324="","",'Ordenes_Odoo'!L1324)</f>
        <v/>
      </c>
      <c r="M1324" s="79">
        <f>IF('Ordenes_Odoo'!M1324="","",'Ordenes_Odoo'!M1324)</f>
        <v/>
      </c>
      <c r="N1324" s="79">
        <f>IF('Ordenes_Odoo'!N1324="","",'Ordenes_Odoo'!N1324)</f>
        <v/>
      </c>
      <c r="O1324" s="81">
        <f>IF('Ordenes_Odoo'!O1324="","",'Ordenes_Odoo'!O1324)</f>
        <v/>
      </c>
      <c r="P1324" s="81">
        <f>IF('Ordenes_Odoo'!P1324="","",'Ordenes_Odoo'!P1324)</f>
        <v/>
      </c>
      <c r="Q1324" s="79">
        <f>IF(A1324="","",IFERROR(INDEX(Facturas_Odoo!$B:$B, MATCH(A1324, Facturas_Odoo!$D:$D, 0)), "Sin Factura"))</f>
        <v/>
      </c>
      <c r="R1324" s="80">
        <f>IF(Q1324="Sin Factura","",IFERROR(INDEX(Facturas_Odoo!$A:$A, MATCH(Q1324, Facturas_Odoo!$B:$B, 0)), ""))</f>
        <v/>
      </c>
      <c r="S1324" s="79">
        <f>IF(Q1324="Sin Factura","",IFERROR(_xlfn.XLOOKUP(1, (Facturas_Odoo!$D:$D=A1324) * (Facturas_Odoo!$K:$K=I1324), Facturas_Odoo!$L:$L, ""), ""))</f>
        <v/>
      </c>
      <c r="T1324" s="81">
        <f>IF(Q1324="Sin Factura",0,IFERROR(_xlfn.XLOOKUP(1, (Facturas_Odoo!$D:$D=A1324) * (Facturas_Odoo!$K:$K=I1324), Facturas_Odoo!$M:$M, 0), 0))</f>
        <v/>
      </c>
      <c r="U1324" s="79">
        <f>IF(Q1324="Sin Factura",0,IFERROR(_xlfn.XLOOKUP(1, (Facturas_Odoo!$D:$D=A1324) * (Facturas_Odoo!$K:$K=I1324), Facturas_Odoo!$N:$N, 0), 0))</f>
        <v/>
      </c>
      <c r="V1324" s="79">
        <f>IF(Q1324="Sin Factura",0,IFERROR(_xlfn.XLOOKUP(1, (Facturas_Odoo!$D:$D=A1324) * (Facturas_Odoo!$K:$K=I1324), Facturas_Odoo!$O:$O, 0), 0))</f>
        <v/>
      </c>
      <c r="W1324" s="81">
        <f>IF(Q1324="Sin Factura",0,IFERROR(_xlfn.XLOOKUP(1, (Facturas_Odoo!$D:$D=A1324) * (Facturas_Odoo!$K:$K=I1324), Facturas_Odoo!$Q:$Q, 0), 0))</f>
        <v/>
      </c>
      <c r="X1324" s="79">
        <f>IF(OR(Q1324="Sin Factura",Q1324=""),"",IFERROR(INDEX(Pagos_Odoo!$B:$B, MATCH(Q1324, Pagos_Odoo!$I:$I, 0)), "Sin Pago"))</f>
        <v/>
      </c>
      <c r="Y1324" s="79">
        <f>IF(X1324="Sin Pago","",IFERROR(INDEX(Pagos_Odoo!$C:$C, MATCH(X1324, Pagos_Odoo!$B:$B, 0)), ""))</f>
        <v/>
      </c>
      <c r="Z1324" s="80">
        <f>IF(X1324="Sin Pago","",IFERROR(INDEX(Pagos_Odoo!$A:$A, MATCH(X1324, Pagos_Odoo!$B:$B, 0)), ""))</f>
        <v/>
      </c>
      <c r="AA1324" s="79">
        <f>IF(X1324="Sin Pago","",IFERROR(INDEX(Pagos_Odoo!$F:$F, MATCH(X1324, Pagos_Odoo!$B:$B, 0)), ""))</f>
        <v/>
      </c>
      <c r="AB1324" s="81">
        <f>IF(X1324="Sin Pago",0,IFERROR(INDEX(Pagos_Odoo!$E:$E, MATCH(X1324, Pagos_Odoo!$B:$B, 0)), 0))</f>
        <v/>
      </c>
      <c r="AC1324" s="79">
        <f>IF(X1324="Sin Pago","",IFERROR(INDEX(Pagos_Odoo!$G:$G, MATCH(X1324, Pagos_Odoo!$B:$B, 0)), ""))</f>
        <v/>
      </c>
      <c r="AD1324" s="82" t="n">
        <v>0</v>
      </c>
      <c r="AE1324" s="82" t="n"/>
      <c r="AF1324" s="82" t="n"/>
      <c r="AG1324" s="82">
        <f>IF(AN1324="","",AD1324+AE1324+AF1324)</f>
        <v/>
      </c>
      <c r="AH1324" s="81">
        <f>IF(AN1324="","",P1324*(1-AG1324))</f>
        <v/>
      </c>
      <c r="AI1324" s="81">
        <f>IF(AN1324="","",IF(Q1324="Sin Factura",0,IFERROR(INDEX(Facturas_Odoo!$H:$H, MATCH(Q1324, Facturas_Odoo!$B:$B, 0)), 0)*(1-AG1324)))</f>
        <v/>
      </c>
      <c r="AJ1324" s="81">
        <f>IF(AN1324="","",_xlfn.LET(idVenta, AN1324&amp;"",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24" s="81">
        <f>IF(AN1324="","",AH1324-AJ1324)</f>
        <v/>
      </c>
      <c r="AL1324" s="81">
        <f>IF(AN1324="","",IF(Q1324="Sin Factura","",AI1324-AJ1324))</f>
        <v/>
      </c>
      <c r="AM1324" s="81">
        <f>IF(AN1324="","",IF(Q1324="Sin Factura",0,P1324-IFERROR(INDEX(Facturas_Odoo!$H:$H, MATCH(Q1324, Facturas_Odoo!$B:$B, 0)), 0)))</f>
        <v/>
      </c>
      <c r="AN1324" s="79">
        <f>IF(AND(A1324="", J1324=""), "", IF(A1324&lt;&gt;"", VALUE(MID(A1324,2,LEN(A1324))), AN1323))</f>
        <v/>
      </c>
      <c r="AO1324" s="79">
        <f>IF(AN1324="","",IF(AD1324=0,"OK",_xlfn.LET(monedaPago, IF(AA1324="","USD",AA1324), limitePermitido, IFERROR(VLOOKUP(monedaPago, Configuración!$A$2:$B$3, 2, FALSE), 0.15), IF(AD1324&gt;limitePermitido, "ALERTA: EXCESO (" &amp; TEXT(limitePermitido, "0%") &amp; " máx)", "OK"))))</f>
        <v/>
      </c>
      <c r="AP1324" s="79">
        <f>IF(AN1324="","",IF(AE1324=0,"OK",_xlfn.LET(fechaPago, Z1324, fechaFactura, R1324, diasCredito, IF(E1324="Pago inmediato", 0, IFERROR(VALUE(MID(E1324, 1, SEARCH(" ", E1324)-1)),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24" s="79">
        <f>IF(AN1324="","",IF(AND(N1324&gt;0, AG1324&gt;0), IF(Configuración!$K$2="NO", "ALERTA: DESCUENTO DOBLE NO PERMITIDO", "OK"), "OK"))</f>
        <v/>
      </c>
      <c r="AR1324" s="79">
        <f>IF(AN1324="","",IF(OR(AO1324&lt;&gt;"OK", AP1324&lt;&gt;"OK", AQ1324&lt;&gt;"OK"), "⚠️ REVISAR", "OK"))</f>
        <v/>
      </c>
    </row>
    <row r="1325">
      <c r="A1325" s="79">
        <f>IF('Ordenes_Odoo'!A1325="","",'Ordenes_Odoo'!A1325)</f>
        <v/>
      </c>
      <c r="B1325" s="80">
        <f>IF('Ordenes_Odoo'!B1325="","",'Ordenes_Odoo'!B1325)</f>
        <v/>
      </c>
      <c r="C1325" s="79">
        <f>IF('Ordenes_Odoo'!C1325="","",'Ordenes_Odoo'!C1325)</f>
        <v/>
      </c>
      <c r="D1325" s="79">
        <f>IF('Ordenes_Odoo'!D1325="","",'Ordenes_Odoo'!D1325)</f>
        <v/>
      </c>
      <c r="E1325" s="79">
        <f>IF('Ordenes_Odoo'!E1325="","",'Ordenes_Odoo'!E1325)</f>
        <v/>
      </c>
      <c r="F1325" s="79">
        <f>IF('Ordenes_Odoo'!F1325="","",'Ordenes_Odoo'!F1325)</f>
        <v/>
      </c>
      <c r="G1325" s="79">
        <f>IF('Ordenes_Odoo'!G1325="","",'Ordenes_Odoo'!G1325)</f>
        <v/>
      </c>
      <c r="H1325" s="79">
        <f>IF('Ordenes_Odoo'!H1325="","",'Ordenes_Odoo'!H1325)</f>
        <v/>
      </c>
      <c r="I1325" s="79">
        <f>IF('Ordenes_Odoo'!I1325="","",'Ordenes_Odoo'!I1325)</f>
        <v/>
      </c>
      <c r="J1325" s="79">
        <f>IF('Ordenes_Odoo'!J1325="","",'Ordenes_Odoo'!J1325)</f>
        <v/>
      </c>
      <c r="K1325" s="81">
        <f>IF('Ordenes_Odoo'!K1325="","",'Ordenes_Odoo'!K1325)</f>
        <v/>
      </c>
      <c r="L1325" s="81">
        <f>IF('Ordenes_Odoo'!L1325="","",'Ordenes_Odoo'!L1325)</f>
        <v/>
      </c>
      <c r="M1325" s="79">
        <f>IF('Ordenes_Odoo'!M1325="","",'Ordenes_Odoo'!M1325)</f>
        <v/>
      </c>
      <c r="N1325" s="79">
        <f>IF('Ordenes_Odoo'!N1325="","",'Ordenes_Odoo'!N1325)</f>
        <v/>
      </c>
      <c r="O1325" s="81">
        <f>IF('Ordenes_Odoo'!O1325="","",'Ordenes_Odoo'!O1325)</f>
        <v/>
      </c>
      <c r="P1325" s="81">
        <f>IF('Ordenes_Odoo'!P1325="","",'Ordenes_Odoo'!P1325)</f>
        <v/>
      </c>
      <c r="Q1325" s="79">
        <f>IF(A1325="","",IFERROR(INDEX(Facturas_Odoo!$B:$B, MATCH(A1325, Facturas_Odoo!$D:$D, 0)), "Sin Factura"))</f>
        <v/>
      </c>
      <c r="R1325" s="80">
        <f>IF(Q1325="Sin Factura","",IFERROR(INDEX(Facturas_Odoo!$A:$A, MATCH(Q1325, Facturas_Odoo!$B:$B, 0)), ""))</f>
        <v/>
      </c>
      <c r="S1325" s="79">
        <f>IF(Q1325="Sin Factura","",IFERROR(_xlfn.XLOOKUP(1, (Facturas_Odoo!$D:$D=A1325) * (Facturas_Odoo!$K:$K=I1325), Facturas_Odoo!$L:$L, ""), ""))</f>
        <v/>
      </c>
      <c r="T1325" s="81">
        <f>IF(Q1325="Sin Factura",0,IFERROR(_xlfn.XLOOKUP(1, (Facturas_Odoo!$D:$D=A1325) * (Facturas_Odoo!$K:$K=I1325), Facturas_Odoo!$M:$M, 0), 0))</f>
        <v/>
      </c>
      <c r="U1325" s="79">
        <f>IF(Q1325="Sin Factura",0,IFERROR(_xlfn.XLOOKUP(1, (Facturas_Odoo!$D:$D=A1325) * (Facturas_Odoo!$K:$K=I1325), Facturas_Odoo!$N:$N, 0), 0))</f>
        <v/>
      </c>
      <c r="V1325" s="79">
        <f>IF(Q1325="Sin Factura",0,IFERROR(_xlfn.XLOOKUP(1, (Facturas_Odoo!$D:$D=A1325) * (Facturas_Odoo!$K:$K=I1325), Facturas_Odoo!$O:$O, 0), 0))</f>
        <v/>
      </c>
      <c r="W1325" s="81">
        <f>IF(Q1325="Sin Factura",0,IFERROR(_xlfn.XLOOKUP(1, (Facturas_Odoo!$D:$D=A1325) * (Facturas_Odoo!$K:$K=I1325), Facturas_Odoo!$Q:$Q, 0), 0))</f>
        <v/>
      </c>
      <c r="X1325" s="79">
        <f>IF(OR(Q1325="Sin Factura",Q1325=""),"",IFERROR(INDEX(Pagos_Odoo!$B:$B, MATCH(Q1325, Pagos_Odoo!$I:$I, 0)), "Sin Pago"))</f>
        <v/>
      </c>
      <c r="Y1325" s="79">
        <f>IF(X1325="Sin Pago","",IFERROR(INDEX(Pagos_Odoo!$C:$C, MATCH(X1325, Pagos_Odoo!$B:$B, 0)), ""))</f>
        <v/>
      </c>
      <c r="Z1325" s="80">
        <f>IF(X1325="Sin Pago","",IFERROR(INDEX(Pagos_Odoo!$A:$A, MATCH(X1325, Pagos_Odoo!$B:$B, 0)), ""))</f>
        <v/>
      </c>
      <c r="AA1325" s="79">
        <f>IF(X1325="Sin Pago","",IFERROR(INDEX(Pagos_Odoo!$F:$F, MATCH(X1325, Pagos_Odoo!$B:$B, 0)), ""))</f>
        <v/>
      </c>
      <c r="AB1325" s="81">
        <f>IF(X1325="Sin Pago",0,IFERROR(INDEX(Pagos_Odoo!$E:$E, MATCH(X1325, Pagos_Odoo!$B:$B, 0)), 0))</f>
        <v/>
      </c>
      <c r="AC1325" s="79">
        <f>IF(X1325="Sin Pago","",IFERROR(INDEX(Pagos_Odoo!$G:$G, MATCH(X1325, Pagos_Odoo!$B:$B, 0)), ""))</f>
        <v/>
      </c>
      <c r="AD1325" s="82" t="n">
        <v>0</v>
      </c>
      <c r="AE1325" s="82" t="n"/>
      <c r="AF1325" s="82" t="n"/>
      <c r="AG1325" s="82">
        <f>IF(AN1325="","",AD1325+AE1325+AF1325)</f>
        <v/>
      </c>
      <c r="AH1325" s="81">
        <f>IF(AN1325="","",P1325*(1-AG1325))</f>
        <v/>
      </c>
      <c r="AI1325" s="81">
        <f>IF(AN1325="","",IF(Q1325="Sin Factura",0,IFERROR(INDEX(Facturas_Odoo!$H:$H, MATCH(Q1325, Facturas_Odoo!$B:$B, 0)), 0)*(1-AG1325)))</f>
        <v/>
      </c>
      <c r="AJ1325" s="81">
        <f>IF(AN1325="","",_xlfn.LET(idVenta, AN1325&amp;"",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25" s="81">
        <f>IF(AN1325="","",AH1325-AJ1325)</f>
        <v/>
      </c>
      <c r="AL1325" s="81">
        <f>IF(AN1325="","",IF(Q1325="Sin Factura","",AI1325-AJ1325))</f>
        <v/>
      </c>
      <c r="AM1325" s="81">
        <f>IF(AN1325="","",IF(Q1325="Sin Factura",0,P1325-IFERROR(INDEX(Facturas_Odoo!$H:$H, MATCH(Q1325, Facturas_Odoo!$B:$B, 0)), 0)))</f>
        <v/>
      </c>
      <c r="AN1325" s="79">
        <f>IF(AND(A1325="", J1325=""), "", IF(A1325&lt;&gt;"", VALUE(MID(A1325,2,LEN(A1325))), AN1324))</f>
        <v/>
      </c>
      <c r="AO1325" s="79">
        <f>IF(AN1325="","",IF(AD1325=0,"OK",_xlfn.LET(monedaPago, IF(AA1325="","USD",AA1325), limitePermitido, IFERROR(VLOOKUP(monedaPago, Configuración!$A$2:$B$3, 2, FALSE), 0.15), IF(AD1325&gt;limitePermitido, "ALERTA: EXCESO (" &amp; TEXT(limitePermitido, "0%") &amp; " máx)", "OK"))))</f>
        <v/>
      </c>
      <c r="AP1325" s="79">
        <f>IF(AN1325="","",IF(AE1325=0,"OK",_xlfn.LET(fechaPago, Z1325, fechaFactura, R1325, diasCredito, IF(E1325="Pago inmediato", 0, IFERROR(VALUE(MID(E1325, 1, SEARCH(" ", E1325)-1)),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25" s="79">
        <f>IF(AN1325="","",IF(AND(N1325&gt;0, AG1325&gt;0), IF(Configuración!$K$2="NO", "ALERTA: DESCUENTO DOBLE NO PERMITIDO", "OK"), "OK"))</f>
        <v/>
      </c>
      <c r="AR1325" s="79">
        <f>IF(AN1325="","",IF(OR(AO1325&lt;&gt;"OK", AP1325&lt;&gt;"OK", AQ1325&lt;&gt;"OK"), "⚠️ REVISAR", "OK"))</f>
        <v/>
      </c>
    </row>
    <row r="1326">
      <c r="A1326" s="79">
        <f>IF('Ordenes_Odoo'!A1326="","",'Ordenes_Odoo'!A1326)</f>
        <v/>
      </c>
      <c r="B1326" s="80">
        <f>IF('Ordenes_Odoo'!B1326="","",'Ordenes_Odoo'!B1326)</f>
        <v/>
      </c>
      <c r="C1326" s="79">
        <f>IF('Ordenes_Odoo'!C1326="","",'Ordenes_Odoo'!C1326)</f>
        <v/>
      </c>
      <c r="D1326" s="79">
        <f>IF('Ordenes_Odoo'!D1326="","",'Ordenes_Odoo'!D1326)</f>
        <v/>
      </c>
      <c r="E1326" s="79">
        <f>IF('Ordenes_Odoo'!E1326="","",'Ordenes_Odoo'!E1326)</f>
        <v/>
      </c>
      <c r="F1326" s="79">
        <f>IF('Ordenes_Odoo'!F1326="","",'Ordenes_Odoo'!F1326)</f>
        <v/>
      </c>
      <c r="G1326" s="79">
        <f>IF('Ordenes_Odoo'!G1326="","",'Ordenes_Odoo'!G1326)</f>
        <v/>
      </c>
      <c r="H1326" s="79">
        <f>IF('Ordenes_Odoo'!H1326="","",'Ordenes_Odoo'!H1326)</f>
        <v/>
      </c>
      <c r="I1326" s="79">
        <f>IF('Ordenes_Odoo'!I1326="","",'Ordenes_Odoo'!I1326)</f>
        <v/>
      </c>
      <c r="J1326" s="79">
        <f>IF('Ordenes_Odoo'!J1326="","",'Ordenes_Odoo'!J1326)</f>
        <v/>
      </c>
      <c r="K1326" s="81">
        <f>IF('Ordenes_Odoo'!K1326="","",'Ordenes_Odoo'!K1326)</f>
        <v/>
      </c>
      <c r="L1326" s="81">
        <f>IF('Ordenes_Odoo'!L1326="","",'Ordenes_Odoo'!L1326)</f>
        <v/>
      </c>
      <c r="M1326" s="79">
        <f>IF('Ordenes_Odoo'!M1326="","",'Ordenes_Odoo'!M1326)</f>
        <v/>
      </c>
      <c r="N1326" s="79">
        <f>IF('Ordenes_Odoo'!N1326="","",'Ordenes_Odoo'!N1326)</f>
        <v/>
      </c>
      <c r="O1326" s="81">
        <f>IF('Ordenes_Odoo'!O1326="","",'Ordenes_Odoo'!O1326)</f>
        <v/>
      </c>
      <c r="P1326" s="81">
        <f>IF('Ordenes_Odoo'!P1326="","",'Ordenes_Odoo'!P1326)</f>
        <v/>
      </c>
      <c r="Q1326" s="79">
        <f>IF(A1326="","",IFERROR(INDEX(Facturas_Odoo!$B:$B, MATCH(A1326, Facturas_Odoo!$D:$D, 0)), "Sin Factura"))</f>
        <v/>
      </c>
      <c r="R1326" s="80">
        <f>IF(Q1326="Sin Factura","",IFERROR(INDEX(Facturas_Odoo!$A:$A, MATCH(Q1326, Facturas_Odoo!$B:$B, 0)), ""))</f>
        <v/>
      </c>
      <c r="S1326" s="79">
        <f>IF(Q1326="Sin Factura","",IFERROR(_xlfn.XLOOKUP(1, (Facturas_Odoo!$D:$D=A1326) * (Facturas_Odoo!$K:$K=I1326), Facturas_Odoo!$L:$L, ""), ""))</f>
        <v/>
      </c>
      <c r="T1326" s="81">
        <f>IF(Q1326="Sin Factura",0,IFERROR(_xlfn.XLOOKUP(1, (Facturas_Odoo!$D:$D=A1326) * (Facturas_Odoo!$K:$K=I1326), Facturas_Odoo!$M:$M, 0), 0))</f>
        <v/>
      </c>
      <c r="U1326" s="79">
        <f>IF(Q1326="Sin Factura",0,IFERROR(_xlfn.XLOOKUP(1, (Facturas_Odoo!$D:$D=A1326) * (Facturas_Odoo!$K:$K=I1326), Facturas_Odoo!$N:$N, 0), 0))</f>
        <v/>
      </c>
      <c r="V1326" s="79">
        <f>IF(Q1326="Sin Factura",0,IFERROR(_xlfn.XLOOKUP(1, (Facturas_Odoo!$D:$D=A1326) * (Facturas_Odoo!$K:$K=I1326), Facturas_Odoo!$O:$O, 0), 0))</f>
        <v/>
      </c>
      <c r="W1326" s="81">
        <f>IF(Q1326="Sin Factura",0,IFERROR(_xlfn.XLOOKUP(1, (Facturas_Odoo!$D:$D=A1326) * (Facturas_Odoo!$K:$K=I1326), Facturas_Odoo!$Q:$Q, 0), 0))</f>
        <v/>
      </c>
      <c r="X1326" s="79">
        <f>IF(OR(Q1326="Sin Factura",Q1326=""),"",IFERROR(INDEX(Pagos_Odoo!$B:$B, MATCH(Q1326, Pagos_Odoo!$I:$I, 0)), "Sin Pago"))</f>
        <v/>
      </c>
      <c r="Y1326" s="79">
        <f>IF(X1326="Sin Pago","",IFERROR(INDEX(Pagos_Odoo!$C:$C, MATCH(X1326, Pagos_Odoo!$B:$B, 0)), ""))</f>
        <v/>
      </c>
      <c r="Z1326" s="80">
        <f>IF(X1326="Sin Pago","",IFERROR(INDEX(Pagos_Odoo!$A:$A, MATCH(X1326, Pagos_Odoo!$B:$B, 0)), ""))</f>
        <v/>
      </c>
      <c r="AA1326" s="79">
        <f>IF(X1326="Sin Pago","",IFERROR(INDEX(Pagos_Odoo!$F:$F, MATCH(X1326, Pagos_Odoo!$B:$B, 0)), ""))</f>
        <v/>
      </c>
      <c r="AB1326" s="81">
        <f>IF(X1326="Sin Pago",0,IFERROR(INDEX(Pagos_Odoo!$E:$E, MATCH(X1326, Pagos_Odoo!$B:$B, 0)), 0))</f>
        <v/>
      </c>
      <c r="AC1326" s="79">
        <f>IF(X1326="Sin Pago","",IFERROR(INDEX(Pagos_Odoo!$G:$G, MATCH(X1326, Pagos_Odoo!$B:$B, 0)), ""))</f>
        <v/>
      </c>
      <c r="AD1326" s="82" t="n">
        <v>0</v>
      </c>
      <c r="AE1326" s="82" t="n"/>
      <c r="AF1326" s="82" t="n"/>
      <c r="AG1326" s="82">
        <f>IF(AN1326="","",AD1326+AE1326+AF1326)</f>
        <v/>
      </c>
      <c r="AH1326" s="81">
        <f>IF(AN1326="","",P1326*(1-AG1326))</f>
        <v/>
      </c>
      <c r="AI1326" s="81">
        <f>IF(AN1326="","",IF(Q1326="Sin Factura",0,IFERROR(INDEX(Facturas_Odoo!$H:$H, MATCH(Q1326, Facturas_Odoo!$B:$B, 0)), 0)*(1-AG1326)))</f>
        <v/>
      </c>
      <c r="AJ1326" s="81">
        <f>IF(AN1326="","",_xlfn.LET(idVenta, AN1326&amp;"",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26" s="81">
        <f>IF(AN1326="","",AH1326-AJ1326)</f>
        <v/>
      </c>
      <c r="AL1326" s="81">
        <f>IF(AN1326="","",IF(Q1326="Sin Factura","",AI1326-AJ1326))</f>
        <v/>
      </c>
      <c r="AM1326" s="81">
        <f>IF(AN1326="","",IF(Q1326="Sin Factura",0,P1326-IFERROR(INDEX(Facturas_Odoo!$H:$H, MATCH(Q1326, Facturas_Odoo!$B:$B, 0)), 0)))</f>
        <v/>
      </c>
      <c r="AN1326" s="79">
        <f>IF(AND(A1326="", J1326=""), "", IF(A1326&lt;&gt;"", VALUE(MID(A1326,2,LEN(A1326))), AN1325))</f>
        <v/>
      </c>
      <c r="AO1326" s="79">
        <f>IF(AN1326="","",IF(AD1326=0,"OK",_xlfn.LET(monedaPago, IF(AA1326="","USD",AA1326), limitePermitido, IFERROR(VLOOKUP(monedaPago, Configuración!$A$2:$B$3, 2, FALSE), 0.15), IF(AD1326&gt;limitePermitido, "ALERTA: EXCESO (" &amp; TEXT(limitePermitido, "0%") &amp; " máx)", "OK"))))</f>
        <v/>
      </c>
      <c r="AP1326" s="79">
        <f>IF(AN1326="","",IF(AE1326=0,"OK",_xlfn.LET(fechaPago, Z1326, fechaFactura, R1326, diasCredito, IF(E1326="Pago inmediato", 0, IFERROR(VALUE(MID(E1326, 1, SEARCH(" ", E1326)-1)),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26" s="79">
        <f>IF(AN1326="","",IF(AND(N1326&gt;0, AG1326&gt;0), IF(Configuración!$K$2="NO", "ALERTA: DESCUENTO DOBLE NO PERMITIDO", "OK"), "OK"))</f>
        <v/>
      </c>
      <c r="AR1326" s="79">
        <f>IF(AN1326="","",IF(OR(AO1326&lt;&gt;"OK", AP1326&lt;&gt;"OK", AQ1326&lt;&gt;"OK"), "⚠️ REVISAR", "OK"))</f>
        <v/>
      </c>
    </row>
    <row r="1327">
      <c r="A1327" s="79">
        <f>IF('Ordenes_Odoo'!A1327="","",'Ordenes_Odoo'!A1327)</f>
        <v/>
      </c>
      <c r="B1327" s="80">
        <f>IF('Ordenes_Odoo'!B1327="","",'Ordenes_Odoo'!B1327)</f>
        <v/>
      </c>
      <c r="C1327" s="79">
        <f>IF('Ordenes_Odoo'!C1327="","",'Ordenes_Odoo'!C1327)</f>
        <v/>
      </c>
      <c r="D1327" s="79">
        <f>IF('Ordenes_Odoo'!D1327="","",'Ordenes_Odoo'!D1327)</f>
        <v/>
      </c>
      <c r="E1327" s="79">
        <f>IF('Ordenes_Odoo'!E1327="","",'Ordenes_Odoo'!E1327)</f>
        <v/>
      </c>
      <c r="F1327" s="79">
        <f>IF('Ordenes_Odoo'!F1327="","",'Ordenes_Odoo'!F1327)</f>
        <v/>
      </c>
      <c r="G1327" s="79">
        <f>IF('Ordenes_Odoo'!G1327="","",'Ordenes_Odoo'!G1327)</f>
        <v/>
      </c>
      <c r="H1327" s="79">
        <f>IF('Ordenes_Odoo'!H1327="","",'Ordenes_Odoo'!H1327)</f>
        <v/>
      </c>
      <c r="I1327" s="79">
        <f>IF('Ordenes_Odoo'!I1327="","",'Ordenes_Odoo'!I1327)</f>
        <v/>
      </c>
      <c r="J1327" s="79">
        <f>IF('Ordenes_Odoo'!J1327="","",'Ordenes_Odoo'!J1327)</f>
        <v/>
      </c>
      <c r="K1327" s="81">
        <f>IF('Ordenes_Odoo'!K1327="","",'Ordenes_Odoo'!K1327)</f>
        <v/>
      </c>
      <c r="L1327" s="81">
        <f>IF('Ordenes_Odoo'!L1327="","",'Ordenes_Odoo'!L1327)</f>
        <v/>
      </c>
      <c r="M1327" s="79">
        <f>IF('Ordenes_Odoo'!M1327="","",'Ordenes_Odoo'!M1327)</f>
        <v/>
      </c>
      <c r="N1327" s="79">
        <f>IF('Ordenes_Odoo'!N1327="","",'Ordenes_Odoo'!N1327)</f>
        <v/>
      </c>
      <c r="O1327" s="81">
        <f>IF('Ordenes_Odoo'!O1327="","",'Ordenes_Odoo'!O1327)</f>
        <v/>
      </c>
      <c r="P1327" s="81">
        <f>IF('Ordenes_Odoo'!P1327="","",'Ordenes_Odoo'!P1327)</f>
        <v/>
      </c>
      <c r="Q1327" s="79">
        <f>IF(A1327="","",IFERROR(INDEX(Facturas_Odoo!$B:$B, MATCH(A1327, Facturas_Odoo!$D:$D, 0)), "Sin Factura"))</f>
        <v/>
      </c>
      <c r="R1327" s="80">
        <f>IF(Q1327="Sin Factura","",IFERROR(INDEX(Facturas_Odoo!$A:$A, MATCH(Q1327, Facturas_Odoo!$B:$B, 0)), ""))</f>
        <v/>
      </c>
      <c r="S1327" s="79">
        <f>IF(Q1327="Sin Factura","",IFERROR(_xlfn.XLOOKUP(1, (Facturas_Odoo!$D:$D=A1327) * (Facturas_Odoo!$K:$K=I1327), Facturas_Odoo!$L:$L, ""), ""))</f>
        <v/>
      </c>
      <c r="T1327" s="81">
        <f>IF(Q1327="Sin Factura",0,IFERROR(_xlfn.XLOOKUP(1, (Facturas_Odoo!$D:$D=A1327) * (Facturas_Odoo!$K:$K=I1327), Facturas_Odoo!$M:$M, 0), 0))</f>
        <v/>
      </c>
      <c r="U1327" s="79">
        <f>IF(Q1327="Sin Factura",0,IFERROR(_xlfn.XLOOKUP(1, (Facturas_Odoo!$D:$D=A1327) * (Facturas_Odoo!$K:$K=I1327), Facturas_Odoo!$N:$N, 0), 0))</f>
        <v/>
      </c>
      <c r="V1327" s="79">
        <f>IF(Q1327="Sin Factura",0,IFERROR(_xlfn.XLOOKUP(1, (Facturas_Odoo!$D:$D=A1327) * (Facturas_Odoo!$K:$K=I1327), Facturas_Odoo!$O:$O, 0), 0))</f>
        <v/>
      </c>
      <c r="W1327" s="81">
        <f>IF(Q1327="Sin Factura",0,IFERROR(_xlfn.XLOOKUP(1, (Facturas_Odoo!$D:$D=A1327) * (Facturas_Odoo!$K:$K=I1327), Facturas_Odoo!$Q:$Q, 0), 0))</f>
        <v/>
      </c>
      <c r="X1327" s="79">
        <f>IF(OR(Q1327="Sin Factura",Q1327=""),"",IFERROR(INDEX(Pagos_Odoo!$B:$B, MATCH(Q1327, Pagos_Odoo!$I:$I, 0)), "Sin Pago"))</f>
        <v/>
      </c>
      <c r="Y1327" s="79">
        <f>IF(X1327="Sin Pago","",IFERROR(INDEX(Pagos_Odoo!$C:$C, MATCH(X1327, Pagos_Odoo!$B:$B, 0)), ""))</f>
        <v/>
      </c>
      <c r="Z1327" s="80">
        <f>IF(X1327="Sin Pago","",IFERROR(INDEX(Pagos_Odoo!$A:$A, MATCH(X1327, Pagos_Odoo!$B:$B, 0)), ""))</f>
        <v/>
      </c>
      <c r="AA1327" s="79">
        <f>IF(X1327="Sin Pago","",IFERROR(INDEX(Pagos_Odoo!$F:$F, MATCH(X1327, Pagos_Odoo!$B:$B, 0)), ""))</f>
        <v/>
      </c>
      <c r="AB1327" s="81">
        <f>IF(X1327="Sin Pago",0,IFERROR(INDEX(Pagos_Odoo!$E:$E, MATCH(X1327, Pagos_Odoo!$B:$B, 0)), 0))</f>
        <v/>
      </c>
      <c r="AC1327" s="79">
        <f>IF(X1327="Sin Pago","",IFERROR(INDEX(Pagos_Odoo!$G:$G, MATCH(X1327, Pagos_Odoo!$B:$B, 0)), ""))</f>
        <v/>
      </c>
      <c r="AD1327" s="82" t="n">
        <v>0</v>
      </c>
      <c r="AE1327" s="82" t="n"/>
      <c r="AF1327" s="82" t="n"/>
      <c r="AG1327" s="82">
        <f>IF(AN1327="","",AD1327+AE1327+AF1327)</f>
        <v/>
      </c>
      <c r="AH1327" s="81">
        <f>IF(AN1327="","",P1327*(1-AG1327))</f>
        <v/>
      </c>
      <c r="AI1327" s="81">
        <f>IF(AN1327="","",IF(Q1327="Sin Factura",0,IFERROR(INDEX(Facturas_Odoo!$H:$H, MATCH(Q1327, Facturas_Odoo!$B:$B, 0)), 0)*(1-AG1327)))</f>
        <v/>
      </c>
      <c r="AJ1327" s="81">
        <f>IF(AN1327="","",_xlfn.LET(idVenta, AN1327&amp;"",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27" s="81">
        <f>IF(AN1327="","",AH1327-AJ1327)</f>
        <v/>
      </c>
      <c r="AL1327" s="81">
        <f>IF(AN1327="","",IF(Q1327="Sin Factura","",AI1327-AJ1327))</f>
        <v/>
      </c>
      <c r="AM1327" s="81">
        <f>IF(AN1327="","",IF(Q1327="Sin Factura",0,P1327-IFERROR(INDEX(Facturas_Odoo!$H:$H, MATCH(Q1327, Facturas_Odoo!$B:$B, 0)), 0)))</f>
        <v/>
      </c>
      <c r="AN1327" s="79">
        <f>IF(AND(A1327="", J1327=""), "", IF(A1327&lt;&gt;"", VALUE(MID(A1327,2,LEN(A1327))), AN1326))</f>
        <v/>
      </c>
      <c r="AO1327" s="79">
        <f>IF(AN1327="","",IF(AD1327=0,"OK",_xlfn.LET(monedaPago, IF(AA1327="","USD",AA1327), limitePermitido, IFERROR(VLOOKUP(monedaPago, Configuración!$A$2:$B$3, 2, FALSE), 0.15), IF(AD1327&gt;limitePermitido, "ALERTA: EXCESO (" &amp; TEXT(limitePermitido, "0%") &amp; " máx)", "OK"))))</f>
        <v/>
      </c>
      <c r="AP1327" s="79">
        <f>IF(AN1327="","",IF(AE1327=0,"OK",_xlfn.LET(fechaPago, Z1327, fechaFactura, R1327, diasCredito, IF(E1327="Pago inmediato", 0, IFERROR(VALUE(MID(E1327, 1, SEARCH(" ", E1327)-1)),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27" s="79">
        <f>IF(AN1327="","",IF(AND(N1327&gt;0, AG1327&gt;0), IF(Configuración!$K$2="NO", "ALERTA: DESCUENTO DOBLE NO PERMITIDO", "OK"), "OK"))</f>
        <v/>
      </c>
      <c r="AR1327" s="79">
        <f>IF(AN1327="","",IF(OR(AO1327&lt;&gt;"OK", AP1327&lt;&gt;"OK", AQ1327&lt;&gt;"OK"), "⚠️ REVISAR", "OK"))</f>
        <v/>
      </c>
    </row>
    <row r="1328">
      <c r="A1328" s="79">
        <f>IF('Ordenes_Odoo'!A1328="","",'Ordenes_Odoo'!A1328)</f>
        <v/>
      </c>
      <c r="B1328" s="80">
        <f>IF('Ordenes_Odoo'!B1328="","",'Ordenes_Odoo'!B1328)</f>
        <v/>
      </c>
      <c r="C1328" s="79">
        <f>IF('Ordenes_Odoo'!C1328="","",'Ordenes_Odoo'!C1328)</f>
        <v/>
      </c>
      <c r="D1328" s="79">
        <f>IF('Ordenes_Odoo'!D1328="","",'Ordenes_Odoo'!D1328)</f>
        <v/>
      </c>
      <c r="E1328" s="79">
        <f>IF('Ordenes_Odoo'!E1328="","",'Ordenes_Odoo'!E1328)</f>
        <v/>
      </c>
      <c r="F1328" s="79">
        <f>IF('Ordenes_Odoo'!F1328="","",'Ordenes_Odoo'!F1328)</f>
        <v/>
      </c>
      <c r="G1328" s="79">
        <f>IF('Ordenes_Odoo'!G1328="","",'Ordenes_Odoo'!G1328)</f>
        <v/>
      </c>
      <c r="H1328" s="79">
        <f>IF('Ordenes_Odoo'!H1328="","",'Ordenes_Odoo'!H1328)</f>
        <v/>
      </c>
      <c r="I1328" s="79">
        <f>IF('Ordenes_Odoo'!I1328="","",'Ordenes_Odoo'!I1328)</f>
        <v/>
      </c>
      <c r="J1328" s="79">
        <f>IF('Ordenes_Odoo'!J1328="","",'Ordenes_Odoo'!J1328)</f>
        <v/>
      </c>
      <c r="K1328" s="81">
        <f>IF('Ordenes_Odoo'!K1328="","",'Ordenes_Odoo'!K1328)</f>
        <v/>
      </c>
      <c r="L1328" s="81">
        <f>IF('Ordenes_Odoo'!L1328="","",'Ordenes_Odoo'!L1328)</f>
        <v/>
      </c>
      <c r="M1328" s="79">
        <f>IF('Ordenes_Odoo'!M1328="","",'Ordenes_Odoo'!M1328)</f>
        <v/>
      </c>
      <c r="N1328" s="79">
        <f>IF('Ordenes_Odoo'!N1328="","",'Ordenes_Odoo'!N1328)</f>
        <v/>
      </c>
      <c r="O1328" s="81">
        <f>IF('Ordenes_Odoo'!O1328="","",'Ordenes_Odoo'!O1328)</f>
        <v/>
      </c>
      <c r="P1328" s="81">
        <f>IF('Ordenes_Odoo'!P1328="","",'Ordenes_Odoo'!P1328)</f>
        <v/>
      </c>
      <c r="Q1328" s="79">
        <f>IF(A1328="","",IFERROR(INDEX(Facturas_Odoo!$B:$B, MATCH(A1328, Facturas_Odoo!$D:$D, 0)), "Sin Factura"))</f>
        <v/>
      </c>
      <c r="R1328" s="80">
        <f>IF(Q1328="Sin Factura","",IFERROR(INDEX(Facturas_Odoo!$A:$A, MATCH(Q1328, Facturas_Odoo!$B:$B, 0)), ""))</f>
        <v/>
      </c>
      <c r="S1328" s="79">
        <f>IF(Q1328="Sin Factura","",IFERROR(_xlfn.XLOOKUP(1, (Facturas_Odoo!$D:$D=A1328) * (Facturas_Odoo!$K:$K=I1328), Facturas_Odoo!$L:$L, ""), ""))</f>
        <v/>
      </c>
      <c r="T1328" s="81">
        <f>IF(Q1328="Sin Factura",0,IFERROR(_xlfn.XLOOKUP(1, (Facturas_Odoo!$D:$D=A1328) * (Facturas_Odoo!$K:$K=I1328), Facturas_Odoo!$M:$M, 0), 0))</f>
        <v/>
      </c>
      <c r="U1328" s="79">
        <f>IF(Q1328="Sin Factura",0,IFERROR(_xlfn.XLOOKUP(1, (Facturas_Odoo!$D:$D=A1328) * (Facturas_Odoo!$K:$K=I1328), Facturas_Odoo!$N:$N, 0), 0))</f>
        <v/>
      </c>
      <c r="V1328" s="79">
        <f>IF(Q1328="Sin Factura",0,IFERROR(_xlfn.XLOOKUP(1, (Facturas_Odoo!$D:$D=A1328) * (Facturas_Odoo!$K:$K=I1328), Facturas_Odoo!$O:$O, 0), 0))</f>
        <v/>
      </c>
      <c r="W1328" s="81">
        <f>IF(Q1328="Sin Factura",0,IFERROR(_xlfn.XLOOKUP(1, (Facturas_Odoo!$D:$D=A1328) * (Facturas_Odoo!$K:$K=I1328), Facturas_Odoo!$Q:$Q, 0), 0))</f>
        <v/>
      </c>
      <c r="X1328" s="79">
        <f>IF(OR(Q1328="Sin Factura",Q1328=""),"",IFERROR(INDEX(Pagos_Odoo!$B:$B, MATCH(Q1328, Pagos_Odoo!$I:$I, 0)), "Sin Pago"))</f>
        <v/>
      </c>
      <c r="Y1328" s="79">
        <f>IF(X1328="Sin Pago","",IFERROR(INDEX(Pagos_Odoo!$C:$C, MATCH(X1328, Pagos_Odoo!$B:$B, 0)), ""))</f>
        <v/>
      </c>
      <c r="Z1328" s="80">
        <f>IF(X1328="Sin Pago","",IFERROR(INDEX(Pagos_Odoo!$A:$A, MATCH(X1328, Pagos_Odoo!$B:$B, 0)), ""))</f>
        <v/>
      </c>
      <c r="AA1328" s="79">
        <f>IF(X1328="Sin Pago","",IFERROR(INDEX(Pagos_Odoo!$F:$F, MATCH(X1328, Pagos_Odoo!$B:$B, 0)), ""))</f>
        <v/>
      </c>
      <c r="AB1328" s="81">
        <f>IF(X1328="Sin Pago",0,IFERROR(INDEX(Pagos_Odoo!$E:$E, MATCH(X1328, Pagos_Odoo!$B:$B, 0)), 0))</f>
        <v/>
      </c>
      <c r="AC1328" s="79">
        <f>IF(X1328="Sin Pago","",IFERROR(INDEX(Pagos_Odoo!$G:$G, MATCH(X1328, Pagos_Odoo!$B:$B, 0)), ""))</f>
        <v/>
      </c>
      <c r="AD1328" s="82" t="n">
        <v>0</v>
      </c>
      <c r="AE1328" s="82" t="n"/>
      <c r="AF1328" s="82" t="n"/>
      <c r="AG1328" s="82">
        <f>IF(AN1328="","",AD1328+AE1328+AF1328)</f>
        <v/>
      </c>
      <c r="AH1328" s="81">
        <f>IF(AN1328="","",P1328*(1-AG1328))</f>
        <v/>
      </c>
      <c r="AI1328" s="81">
        <f>IF(AN1328="","",IF(Q1328="Sin Factura",0,IFERROR(INDEX(Facturas_Odoo!$H:$H, MATCH(Q1328, Facturas_Odoo!$B:$B, 0)), 0)*(1-AG1328)))</f>
        <v/>
      </c>
      <c r="AJ1328" s="81">
        <f>IF(AN1328="","",_xlfn.LET(idVenta, AN1328&amp;"",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28" s="81">
        <f>IF(AN1328="","",AH1328-AJ1328)</f>
        <v/>
      </c>
      <c r="AL1328" s="81">
        <f>IF(AN1328="","",IF(Q1328="Sin Factura","",AI1328-AJ1328))</f>
        <v/>
      </c>
      <c r="AM1328" s="81">
        <f>IF(AN1328="","",IF(Q1328="Sin Factura",0,P1328-IFERROR(INDEX(Facturas_Odoo!$H:$H, MATCH(Q1328, Facturas_Odoo!$B:$B, 0)), 0)))</f>
        <v/>
      </c>
      <c r="AN1328" s="79">
        <f>IF(AND(A1328="", J1328=""), "", IF(A1328&lt;&gt;"", VALUE(MID(A1328,2,LEN(A1328))), AN1327))</f>
        <v/>
      </c>
      <c r="AO1328" s="79">
        <f>IF(AN1328="","",IF(AD1328=0,"OK",_xlfn.LET(monedaPago, IF(AA1328="","USD",AA1328), limitePermitido, IFERROR(VLOOKUP(monedaPago, Configuración!$A$2:$B$3, 2, FALSE), 0.15), IF(AD1328&gt;limitePermitido, "ALERTA: EXCESO (" &amp; TEXT(limitePermitido, "0%") &amp; " máx)", "OK"))))</f>
        <v/>
      </c>
      <c r="AP1328" s="79">
        <f>IF(AN1328="","",IF(AE1328=0,"OK",_xlfn.LET(fechaPago, Z1328, fechaFactura, R1328, diasCredito, IF(E1328="Pago inmediato", 0, IFERROR(VALUE(MID(E1328, 1, SEARCH(" ", E1328)-1)),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28" s="79">
        <f>IF(AN1328="","",IF(AND(N1328&gt;0, AG1328&gt;0), IF(Configuración!$K$2="NO", "ALERTA: DESCUENTO DOBLE NO PERMITIDO", "OK"), "OK"))</f>
        <v/>
      </c>
      <c r="AR1328" s="79">
        <f>IF(AN1328="","",IF(OR(AO1328&lt;&gt;"OK", AP1328&lt;&gt;"OK", AQ1328&lt;&gt;"OK"), "⚠️ REVISAR", "OK"))</f>
        <v/>
      </c>
    </row>
    <row r="1329">
      <c r="A1329" s="79">
        <f>IF('Ordenes_Odoo'!A1329="","",'Ordenes_Odoo'!A1329)</f>
        <v/>
      </c>
      <c r="B1329" s="80">
        <f>IF('Ordenes_Odoo'!B1329="","",'Ordenes_Odoo'!B1329)</f>
        <v/>
      </c>
      <c r="C1329" s="79">
        <f>IF('Ordenes_Odoo'!C1329="","",'Ordenes_Odoo'!C1329)</f>
        <v/>
      </c>
      <c r="D1329" s="79">
        <f>IF('Ordenes_Odoo'!D1329="","",'Ordenes_Odoo'!D1329)</f>
        <v/>
      </c>
      <c r="E1329" s="79">
        <f>IF('Ordenes_Odoo'!E1329="","",'Ordenes_Odoo'!E1329)</f>
        <v/>
      </c>
      <c r="F1329" s="79">
        <f>IF('Ordenes_Odoo'!F1329="","",'Ordenes_Odoo'!F1329)</f>
        <v/>
      </c>
      <c r="G1329" s="79">
        <f>IF('Ordenes_Odoo'!G1329="","",'Ordenes_Odoo'!G1329)</f>
        <v/>
      </c>
      <c r="H1329" s="79">
        <f>IF('Ordenes_Odoo'!H1329="","",'Ordenes_Odoo'!H1329)</f>
        <v/>
      </c>
      <c r="I1329" s="79">
        <f>IF('Ordenes_Odoo'!I1329="","",'Ordenes_Odoo'!I1329)</f>
        <v/>
      </c>
      <c r="J1329" s="79">
        <f>IF('Ordenes_Odoo'!J1329="","",'Ordenes_Odoo'!J1329)</f>
        <v/>
      </c>
      <c r="K1329" s="81">
        <f>IF('Ordenes_Odoo'!K1329="","",'Ordenes_Odoo'!K1329)</f>
        <v/>
      </c>
      <c r="L1329" s="81">
        <f>IF('Ordenes_Odoo'!L1329="","",'Ordenes_Odoo'!L1329)</f>
        <v/>
      </c>
      <c r="M1329" s="79">
        <f>IF('Ordenes_Odoo'!M1329="","",'Ordenes_Odoo'!M1329)</f>
        <v/>
      </c>
      <c r="N1329" s="79">
        <f>IF('Ordenes_Odoo'!N1329="","",'Ordenes_Odoo'!N1329)</f>
        <v/>
      </c>
      <c r="O1329" s="81">
        <f>IF('Ordenes_Odoo'!O1329="","",'Ordenes_Odoo'!O1329)</f>
        <v/>
      </c>
      <c r="P1329" s="81">
        <f>IF('Ordenes_Odoo'!P1329="","",'Ordenes_Odoo'!P1329)</f>
        <v/>
      </c>
      <c r="Q1329" s="79">
        <f>IF(A1329="","",IFERROR(INDEX(Facturas_Odoo!$B:$B, MATCH(A1329, Facturas_Odoo!$D:$D, 0)), "Sin Factura"))</f>
        <v/>
      </c>
      <c r="R1329" s="80">
        <f>IF(Q1329="Sin Factura","",IFERROR(INDEX(Facturas_Odoo!$A:$A, MATCH(Q1329, Facturas_Odoo!$B:$B, 0)), ""))</f>
        <v/>
      </c>
      <c r="S1329" s="79">
        <f>IF(Q1329="Sin Factura","",IFERROR(_xlfn.XLOOKUP(1, (Facturas_Odoo!$D:$D=A1329) * (Facturas_Odoo!$K:$K=I1329), Facturas_Odoo!$L:$L, ""), ""))</f>
        <v/>
      </c>
      <c r="T1329" s="81">
        <f>IF(Q1329="Sin Factura",0,IFERROR(_xlfn.XLOOKUP(1, (Facturas_Odoo!$D:$D=A1329) * (Facturas_Odoo!$K:$K=I1329), Facturas_Odoo!$M:$M, 0), 0))</f>
        <v/>
      </c>
      <c r="U1329" s="79">
        <f>IF(Q1329="Sin Factura",0,IFERROR(_xlfn.XLOOKUP(1, (Facturas_Odoo!$D:$D=A1329) * (Facturas_Odoo!$K:$K=I1329), Facturas_Odoo!$N:$N, 0), 0))</f>
        <v/>
      </c>
      <c r="V1329" s="79">
        <f>IF(Q1329="Sin Factura",0,IFERROR(_xlfn.XLOOKUP(1, (Facturas_Odoo!$D:$D=A1329) * (Facturas_Odoo!$K:$K=I1329), Facturas_Odoo!$O:$O, 0), 0))</f>
        <v/>
      </c>
      <c r="W1329" s="81">
        <f>IF(Q1329="Sin Factura",0,IFERROR(_xlfn.XLOOKUP(1, (Facturas_Odoo!$D:$D=A1329) * (Facturas_Odoo!$K:$K=I1329), Facturas_Odoo!$Q:$Q, 0), 0))</f>
        <v/>
      </c>
      <c r="X1329" s="79">
        <f>IF(OR(Q1329="Sin Factura",Q1329=""),"",IFERROR(INDEX(Pagos_Odoo!$B:$B, MATCH(Q1329, Pagos_Odoo!$I:$I, 0)), "Sin Pago"))</f>
        <v/>
      </c>
      <c r="Y1329" s="79">
        <f>IF(X1329="Sin Pago","",IFERROR(INDEX(Pagos_Odoo!$C:$C, MATCH(X1329, Pagos_Odoo!$B:$B, 0)), ""))</f>
        <v/>
      </c>
      <c r="Z1329" s="80">
        <f>IF(X1329="Sin Pago","",IFERROR(INDEX(Pagos_Odoo!$A:$A, MATCH(X1329, Pagos_Odoo!$B:$B, 0)), ""))</f>
        <v/>
      </c>
      <c r="AA1329" s="79">
        <f>IF(X1329="Sin Pago","",IFERROR(INDEX(Pagos_Odoo!$F:$F, MATCH(X1329, Pagos_Odoo!$B:$B, 0)), ""))</f>
        <v/>
      </c>
      <c r="AB1329" s="81">
        <f>IF(X1329="Sin Pago",0,IFERROR(INDEX(Pagos_Odoo!$E:$E, MATCH(X1329, Pagos_Odoo!$B:$B, 0)), 0))</f>
        <v/>
      </c>
      <c r="AC1329" s="79">
        <f>IF(X1329="Sin Pago","",IFERROR(INDEX(Pagos_Odoo!$G:$G, MATCH(X1329, Pagos_Odoo!$B:$B, 0)), ""))</f>
        <v/>
      </c>
      <c r="AD1329" s="82" t="n">
        <v>0</v>
      </c>
      <c r="AE1329" s="82" t="n"/>
      <c r="AF1329" s="82" t="n"/>
      <c r="AG1329" s="82">
        <f>IF(AN1329="","",AD1329+AE1329+AF1329)</f>
        <v/>
      </c>
      <c r="AH1329" s="81">
        <f>IF(AN1329="","",P1329*(1-AG1329))</f>
        <v/>
      </c>
      <c r="AI1329" s="81">
        <f>IF(AN1329="","",IF(Q1329="Sin Factura",0,IFERROR(INDEX(Facturas_Odoo!$H:$H, MATCH(Q1329, Facturas_Odoo!$B:$B, 0)), 0)*(1-AG1329)))</f>
        <v/>
      </c>
      <c r="AJ1329" s="81">
        <f>IF(AN1329="","",_xlfn.LET(idVenta, AN1329&amp;"",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29" s="81">
        <f>IF(AN1329="","",AH1329-AJ1329)</f>
        <v/>
      </c>
      <c r="AL1329" s="81">
        <f>IF(AN1329="","",IF(Q1329="Sin Factura","",AI1329-AJ1329))</f>
        <v/>
      </c>
      <c r="AM1329" s="81">
        <f>IF(AN1329="","",IF(Q1329="Sin Factura",0,P1329-IFERROR(INDEX(Facturas_Odoo!$H:$H, MATCH(Q1329, Facturas_Odoo!$B:$B, 0)), 0)))</f>
        <v/>
      </c>
      <c r="AN1329" s="79">
        <f>IF(AND(A1329="", J1329=""), "", IF(A1329&lt;&gt;"", VALUE(MID(A1329,2,LEN(A1329))), AN1328))</f>
        <v/>
      </c>
      <c r="AO1329" s="79">
        <f>IF(AN1329="","",IF(AD1329=0,"OK",_xlfn.LET(monedaPago, IF(AA1329="","USD",AA1329), limitePermitido, IFERROR(VLOOKUP(monedaPago, Configuración!$A$2:$B$3, 2, FALSE), 0.15), IF(AD1329&gt;limitePermitido, "ALERTA: EXCESO (" &amp; TEXT(limitePermitido, "0%") &amp; " máx)", "OK"))))</f>
        <v/>
      </c>
      <c r="AP1329" s="79">
        <f>IF(AN1329="","",IF(AE1329=0,"OK",_xlfn.LET(fechaPago, Z1329, fechaFactura, R1329, diasCredito, IF(E1329="Pago inmediato", 0, IFERROR(VALUE(MID(E1329, 1, SEARCH(" ", E1329)-1)),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29" s="79">
        <f>IF(AN1329="","",IF(AND(N1329&gt;0, AG1329&gt;0), IF(Configuración!$K$2="NO", "ALERTA: DESCUENTO DOBLE NO PERMITIDO", "OK"), "OK"))</f>
        <v/>
      </c>
      <c r="AR1329" s="79">
        <f>IF(AN1329="","",IF(OR(AO1329&lt;&gt;"OK", AP1329&lt;&gt;"OK", AQ1329&lt;&gt;"OK"), "⚠️ REVISAR", "OK"))</f>
        <v/>
      </c>
    </row>
    <row r="1330">
      <c r="A1330" s="79">
        <f>IF('Ordenes_Odoo'!A1330="","",'Ordenes_Odoo'!A1330)</f>
        <v/>
      </c>
      <c r="B1330" s="80">
        <f>IF('Ordenes_Odoo'!B1330="","",'Ordenes_Odoo'!B1330)</f>
        <v/>
      </c>
      <c r="C1330" s="79">
        <f>IF('Ordenes_Odoo'!C1330="","",'Ordenes_Odoo'!C1330)</f>
        <v/>
      </c>
      <c r="D1330" s="79">
        <f>IF('Ordenes_Odoo'!D1330="","",'Ordenes_Odoo'!D1330)</f>
        <v/>
      </c>
      <c r="E1330" s="79">
        <f>IF('Ordenes_Odoo'!E1330="","",'Ordenes_Odoo'!E1330)</f>
        <v/>
      </c>
      <c r="F1330" s="79">
        <f>IF('Ordenes_Odoo'!F1330="","",'Ordenes_Odoo'!F1330)</f>
        <v/>
      </c>
      <c r="G1330" s="79">
        <f>IF('Ordenes_Odoo'!G1330="","",'Ordenes_Odoo'!G1330)</f>
        <v/>
      </c>
      <c r="H1330" s="79">
        <f>IF('Ordenes_Odoo'!H1330="","",'Ordenes_Odoo'!H1330)</f>
        <v/>
      </c>
      <c r="I1330" s="79">
        <f>IF('Ordenes_Odoo'!I1330="","",'Ordenes_Odoo'!I1330)</f>
        <v/>
      </c>
      <c r="J1330" s="79">
        <f>IF('Ordenes_Odoo'!J1330="","",'Ordenes_Odoo'!J1330)</f>
        <v/>
      </c>
      <c r="K1330" s="81">
        <f>IF('Ordenes_Odoo'!K1330="","",'Ordenes_Odoo'!K1330)</f>
        <v/>
      </c>
      <c r="L1330" s="81">
        <f>IF('Ordenes_Odoo'!L1330="","",'Ordenes_Odoo'!L1330)</f>
        <v/>
      </c>
      <c r="M1330" s="79">
        <f>IF('Ordenes_Odoo'!M1330="","",'Ordenes_Odoo'!M1330)</f>
        <v/>
      </c>
      <c r="N1330" s="79">
        <f>IF('Ordenes_Odoo'!N1330="","",'Ordenes_Odoo'!N1330)</f>
        <v/>
      </c>
      <c r="O1330" s="81">
        <f>IF('Ordenes_Odoo'!O1330="","",'Ordenes_Odoo'!O1330)</f>
        <v/>
      </c>
      <c r="P1330" s="81">
        <f>IF('Ordenes_Odoo'!P1330="","",'Ordenes_Odoo'!P1330)</f>
        <v/>
      </c>
      <c r="Q1330" s="79">
        <f>IF(A1330="","",IFERROR(INDEX(Facturas_Odoo!$B:$B, MATCH(A1330, Facturas_Odoo!$D:$D, 0)), "Sin Factura"))</f>
        <v/>
      </c>
      <c r="R1330" s="80">
        <f>IF(Q1330="Sin Factura","",IFERROR(INDEX(Facturas_Odoo!$A:$A, MATCH(Q1330, Facturas_Odoo!$B:$B, 0)), ""))</f>
        <v/>
      </c>
      <c r="S1330" s="79">
        <f>IF(Q1330="Sin Factura","",IFERROR(_xlfn.XLOOKUP(1, (Facturas_Odoo!$D:$D=A1330) * (Facturas_Odoo!$K:$K=I1330), Facturas_Odoo!$L:$L, ""), ""))</f>
        <v/>
      </c>
      <c r="T1330" s="81">
        <f>IF(Q1330="Sin Factura",0,IFERROR(_xlfn.XLOOKUP(1, (Facturas_Odoo!$D:$D=A1330) * (Facturas_Odoo!$K:$K=I1330), Facturas_Odoo!$M:$M, 0), 0))</f>
        <v/>
      </c>
      <c r="U1330" s="79">
        <f>IF(Q1330="Sin Factura",0,IFERROR(_xlfn.XLOOKUP(1, (Facturas_Odoo!$D:$D=A1330) * (Facturas_Odoo!$K:$K=I1330), Facturas_Odoo!$N:$N, 0), 0))</f>
        <v/>
      </c>
      <c r="V1330" s="79">
        <f>IF(Q1330="Sin Factura",0,IFERROR(_xlfn.XLOOKUP(1, (Facturas_Odoo!$D:$D=A1330) * (Facturas_Odoo!$K:$K=I1330), Facturas_Odoo!$O:$O, 0), 0))</f>
        <v/>
      </c>
      <c r="W1330" s="81">
        <f>IF(Q1330="Sin Factura",0,IFERROR(_xlfn.XLOOKUP(1, (Facturas_Odoo!$D:$D=A1330) * (Facturas_Odoo!$K:$K=I1330), Facturas_Odoo!$Q:$Q, 0), 0))</f>
        <v/>
      </c>
      <c r="X1330" s="79">
        <f>IF(OR(Q1330="Sin Factura",Q1330=""),"",IFERROR(INDEX(Pagos_Odoo!$B:$B, MATCH(Q1330, Pagos_Odoo!$I:$I, 0)), "Sin Pago"))</f>
        <v/>
      </c>
      <c r="Y1330" s="79">
        <f>IF(X1330="Sin Pago","",IFERROR(INDEX(Pagos_Odoo!$C:$C, MATCH(X1330, Pagos_Odoo!$B:$B, 0)), ""))</f>
        <v/>
      </c>
      <c r="Z1330" s="80">
        <f>IF(X1330="Sin Pago","",IFERROR(INDEX(Pagos_Odoo!$A:$A, MATCH(X1330, Pagos_Odoo!$B:$B, 0)), ""))</f>
        <v/>
      </c>
      <c r="AA1330" s="79">
        <f>IF(X1330="Sin Pago","",IFERROR(INDEX(Pagos_Odoo!$F:$F, MATCH(X1330, Pagos_Odoo!$B:$B, 0)), ""))</f>
        <v/>
      </c>
      <c r="AB1330" s="81">
        <f>IF(X1330="Sin Pago",0,IFERROR(INDEX(Pagos_Odoo!$E:$E, MATCH(X1330, Pagos_Odoo!$B:$B, 0)), 0))</f>
        <v/>
      </c>
      <c r="AC1330" s="79">
        <f>IF(X1330="Sin Pago","",IFERROR(INDEX(Pagos_Odoo!$G:$G, MATCH(X1330, Pagos_Odoo!$B:$B, 0)), ""))</f>
        <v/>
      </c>
      <c r="AD1330" s="82" t="n">
        <v>0</v>
      </c>
      <c r="AE1330" s="82" t="n"/>
      <c r="AF1330" s="82" t="n"/>
      <c r="AG1330" s="82">
        <f>IF(AN1330="","",AD1330+AE1330+AF1330)</f>
        <v/>
      </c>
      <c r="AH1330" s="81">
        <f>IF(AN1330="","",P1330*(1-AG1330))</f>
        <v/>
      </c>
      <c r="AI1330" s="81">
        <f>IF(AN1330="","",IF(Q1330="Sin Factura",0,IFERROR(INDEX(Facturas_Odoo!$H:$H, MATCH(Q1330, Facturas_Odoo!$B:$B, 0)), 0)*(1-AG1330)))</f>
        <v/>
      </c>
      <c r="AJ1330" s="81">
        <f>IF(AN1330="","",_xlfn.LET(idVenta, AN1330&amp;"",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30" s="81">
        <f>IF(AN1330="","",AH1330-AJ1330)</f>
        <v/>
      </c>
      <c r="AL1330" s="81">
        <f>IF(AN1330="","",IF(Q1330="Sin Factura","",AI1330-AJ1330))</f>
        <v/>
      </c>
      <c r="AM1330" s="81">
        <f>IF(AN1330="","",IF(Q1330="Sin Factura",0,P1330-IFERROR(INDEX(Facturas_Odoo!$H:$H, MATCH(Q1330, Facturas_Odoo!$B:$B, 0)), 0)))</f>
        <v/>
      </c>
      <c r="AN1330" s="79">
        <f>IF(AND(A1330="", J1330=""), "", IF(A1330&lt;&gt;"", VALUE(MID(A1330,2,LEN(A1330))), AN1329))</f>
        <v/>
      </c>
      <c r="AO1330" s="79">
        <f>IF(AN1330="","",IF(AD1330=0,"OK",_xlfn.LET(monedaPago, IF(AA1330="","USD",AA1330), limitePermitido, IFERROR(VLOOKUP(monedaPago, Configuración!$A$2:$B$3, 2, FALSE), 0.15), IF(AD1330&gt;limitePermitido, "ALERTA: EXCESO (" &amp; TEXT(limitePermitido, "0%") &amp; " máx)", "OK"))))</f>
        <v/>
      </c>
      <c r="AP1330" s="79">
        <f>IF(AN1330="","",IF(AE1330=0,"OK",_xlfn.LET(fechaPago, Z1330, fechaFactura, R1330, diasCredito, IF(E1330="Pago inmediato", 0, IFERROR(VALUE(MID(E1330, 1, SEARCH(" ", E1330)-1)),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30" s="79">
        <f>IF(AN1330="","",IF(AND(N1330&gt;0, AG1330&gt;0), IF(Configuración!$K$2="NO", "ALERTA: DESCUENTO DOBLE NO PERMITIDO", "OK"), "OK"))</f>
        <v/>
      </c>
      <c r="AR1330" s="79">
        <f>IF(AN1330="","",IF(OR(AO1330&lt;&gt;"OK", AP1330&lt;&gt;"OK", AQ1330&lt;&gt;"OK"), "⚠️ REVISAR", "OK"))</f>
        <v/>
      </c>
    </row>
    <row r="1331">
      <c r="A1331" s="79">
        <f>IF('Ordenes_Odoo'!A1331="","",'Ordenes_Odoo'!A1331)</f>
        <v/>
      </c>
      <c r="B1331" s="80">
        <f>IF('Ordenes_Odoo'!B1331="","",'Ordenes_Odoo'!B1331)</f>
        <v/>
      </c>
      <c r="C1331" s="79">
        <f>IF('Ordenes_Odoo'!C1331="","",'Ordenes_Odoo'!C1331)</f>
        <v/>
      </c>
      <c r="D1331" s="79">
        <f>IF('Ordenes_Odoo'!D1331="","",'Ordenes_Odoo'!D1331)</f>
        <v/>
      </c>
      <c r="E1331" s="79">
        <f>IF('Ordenes_Odoo'!E1331="","",'Ordenes_Odoo'!E1331)</f>
        <v/>
      </c>
      <c r="F1331" s="79">
        <f>IF('Ordenes_Odoo'!F1331="","",'Ordenes_Odoo'!F1331)</f>
        <v/>
      </c>
      <c r="G1331" s="79">
        <f>IF('Ordenes_Odoo'!G1331="","",'Ordenes_Odoo'!G1331)</f>
        <v/>
      </c>
      <c r="H1331" s="79">
        <f>IF('Ordenes_Odoo'!H1331="","",'Ordenes_Odoo'!H1331)</f>
        <v/>
      </c>
      <c r="I1331" s="79">
        <f>IF('Ordenes_Odoo'!I1331="","",'Ordenes_Odoo'!I1331)</f>
        <v/>
      </c>
      <c r="J1331" s="79">
        <f>IF('Ordenes_Odoo'!J1331="","",'Ordenes_Odoo'!J1331)</f>
        <v/>
      </c>
      <c r="K1331" s="81">
        <f>IF('Ordenes_Odoo'!K1331="","",'Ordenes_Odoo'!K1331)</f>
        <v/>
      </c>
      <c r="L1331" s="81">
        <f>IF('Ordenes_Odoo'!L1331="","",'Ordenes_Odoo'!L1331)</f>
        <v/>
      </c>
      <c r="M1331" s="79">
        <f>IF('Ordenes_Odoo'!M1331="","",'Ordenes_Odoo'!M1331)</f>
        <v/>
      </c>
      <c r="N1331" s="79">
        <f>IF('Ordenes_Odoo'!N1331="","",'Ordenes_Odoo'!N1331)</f>
        <v/>
      </c>
      <c r="O1331" s="81">
        <f>IF('Ordenes_Odoo'!O1331="","",'Ordenes_Odoo'!O1331)</f>
        <v/>
      </c>
      <c r="P1331" s="81">
        <f>IF('Ordenes_Odoo'!P1331="","",'Ordenes_Odoo'!P1331)</f>
        <v/>
      </c>
      <c r="Q1331" s="79">
        <f>IF(A1331="","",IFERROR(INDEX(Facturas_Odoo!$B:$B, MATCH(A1331, Facturas_Odoo!$D:$D, 0)), "Sin Factura"))</f>
        <v/>
      </c>
      <c r="R1331" s="80">
        <f>IF(Q1331="Sin Factura","",IFERROR(INDEX(Facturas_Odoo!$A:$A, MATCH(Q1331, Facturas_Odoo!$B:$B, 0)), ""))</f>
        <v/>
      </c>
      <c r="S1331" s="79">
        <f>IF(Q1331="Sin Factura","",IFERROR(_xlfn.XLOOKUP(1, (Facturas_Odoo!$D:$D=A1331) * (Facturas_Odoo!$K:$K=I1331), Facturas_Odoo!$L:$L, ""), ""))</f>
        <v/>
      </c>
      <c r="T1331" s="81">
        <f>IF(Q1331="Sin Factura",0,IFERROR(_xlfn.XLOOKUP(1, (Facturas_Odoo!$D:$D=A1331) * (Facturas_Odoo!$K:$K=I1331), Facturas_Odoo!$M:$M, 0), 0))</f>
        <v/>
      </c>
      <c r="U1331" s="79">
        <f>IF(Q1331="Sin Factura",0,IFERROR(_xlfn.XLOOKUP(1, (Facturas_Odoo!$D:$D=A1331) * (Facturas_Odoo!$K:$K=I1331), Facturas_Odoo!$N:$N, 0), 0))</f>
        <v/>
      </c>
      <c r="V1331" s="79">
        <f>IF(Q1331="Sin Factura",0,IFERROR(_xlfn.XLOOKUP(1, (Facturas_Odoo!$D:$D=A1331) * (Facturas_Odoo!$K:$K=I1331), Facturas_Odoo!$O:$O, 0), 0))</f>
        <v/>
      </c>
      <c r="W1331" s="81">
        <f>IF(Q1331="Sin Factura",0,IFERROR(_xlfn.XLOOKUP(1, (Facturas_Odoo!$D:$D=A1331) * (Facturas_Odoo!$K:$K=I1331), Facturas_Odoo!$Q:$Q, 0), 0))</f>
        <v/>
      </c>
      <c r="X1331" s="79">
        <f>IF(OR(Q1331="Sin Factura",Q1331=""),"",IFERROR(INDEX(Pagos_Odoo!$B:$B, MATCH(Q1331, Pagos_Odoo!$I:$I, 0)), "Sin Pago"))</f>
        <v/>
      </c>
      <c r="Y1331" s="79">
        <f>IF(X1331="Sin Pago","",IFERROR(INDEX(Pagos_Odoo!$C:$C, MATCH(X1331, Pagos_Odoo!$B:$B, 0)), ""))</f>
        <v/>
      </c>
      <c r="Z1331" s="80">
        <f>IF(X1331="Sin Pago","",IFERROR(INDEX(Pagos_Odoo!$A:$A, MATCH(X1331, Pagos_Odoo!$B:$B, 0)), ""))</f>
        <v/>
      </c>
      <c r="AA1331" s="79">
        <f>IF(X1331="Sin Pago","",IFERROR(INDEX(Pagos_Odoo!$F:$F, MATCH(X1331, Pagos_Odoo!$B:$B, 0)), ""))</f>
        <v/>
      </c>
      <c r="AB1331" s="81">
        <f>IF(X1331="Sin Pago",0,IFERROR(INDEX(Pagos_Odoo!$E:$E, MATCH(X1331, Pagos_Odoo!$B:$B, 0)), 0))</f>
        <v/>
      </c>
      <c r="AC1331" s="79">
        <f>IF(X1331="Sin Pago","",IFERROR(INDEX(Pagos_Odoo!$G:$G, MATCH(X1331, Pagos_Odoo!$B:$B, 0)), ""))</f>
        <v/>
      </c>
      <c r="AD1331" s="82" t="n">
        <v>0</v>
      </c>
      <c r="AE1331" s="82" t="n"/>
      <c r="AF1331" s="82" t="n"/>
      <c r="AG1331" s="82">
        <f>IF(AN1331="","",AD1331+AE1331+AF1331)</f>
        <v/>
      </c>
      <c r="AH1331" s="81">
        <f>IF(AN1331="","",P1331*(1-AG1331))</f>
        <v/>
      </c>
      <c r="AI1331" s="81">
        <f>IF(AN1331="","",IF(Q1331="Sin Factura",0,IFERROR(INDEX(Facturas_Odoo!$H:$H, MATCH(Q1331, Facturas_Odoo!$B:$B, 0)), 0)*(1-AG1331)))</f>
        <v/>
      </c>
      <c r="AJ1331" s="81">
        <f>IF(AN1331="","",_xlfn.LET(idVenta, AN1331&amp;"",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31" s="81">
        <f>IF(AN1331="","",AH1331-AJ1331)</f>
        <v/>
      </c>
      <c r="AL1331" s="81">
        <f>IF(AN1331="","",IF(Q1331="Sin Factura","",AI1331-AJ1331))</f>
        <v/>
      </c>
      <c r="AM1331" s="81">
        <f>IF(AN1331="","",IF(Q1331="Sin Factura",0,P1331-IFERROR(INDEX(Facturas_Odoo!$H:$H, MATCH(Q1331, Facturas_Odoo!$B:$B, 0)), 0)))</f>
        <v/>
      </c>
      <c r="AN1331" s="79">
        <f>IF(AND(A1331="", J1331=""), "", IF(A1331&lt;&gt;"", VALUE(MID(A1331,2,LEN(A1331))), AN1330))</f>
        <v/>
      </c>
      <c r="AO1331" s="79">
        <f>IF(AN1331="","",IF(AD1331=0,"OK",_xlfn.LET(monedaPago, IF(AA1331="","USD",AA1331), limitePermitido, IFERROR(VLOOKUP(monedaPago, Configuración!$A$2:$B$3, 2, FALSE), 0.15), IF(AD1331&gt;limitePermitido, "ALERTA: EXCESO (" &amp; TEXT(limitePermitido, "0%") &amp; " máx)", "OK"))))</f>
        <v/>
      </c>
      <c r="AP1331" s="79">
        <f>IF(AN1331="","",IF(AE1331=0,"OK",_xlfn.LET(fechaPago, Z1331, fechaFactura, R1331, diasCredito, IF(E1331="Pago inmediato", 0, IFERROR(VALUE(MID(E1331, 1, SEARCH(" ", E1331)-1)),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31" s="79">
        <f>IF(AN1331="","",IF(AND(N1331&gt;0, AG1331&gt;0), IF(Configuración!$K$2="NO", "ALERTA: DESCUENTO DOBLE NO PERMITIDO", "OK"), "OK"))</f>
        <v/>
      </c>
      <c r="AR1331" s="79">
        <f>IF(AN1331="","",IF(OR(AO1331&lt;&gt;"OK", AP1331&lt;&gt;"OK", AQ1331&lt;&gt;"OK"), "⚠️ REVISAR", "OK"))</f>
        <v/>
      </c>
    </row>
    <row r="1332">
      <c r="A1332" s="79">
        <f>IF('Ordenes_Odoo'!A1332="","",'Ordenes_Odoo'!A1332)</f>
        <v/>
      </c>
      <c r="B1332" s="80">
        <f>IF('Ordenes_Odoo'!B1332="","",'Ordenes_Odoo'!B1332)</f>
        <v/>
      </c>
      <c r="C1332" s="79">
        <f>IF('Ordenes_Odoo'!C1332="","",'Ordenes_Odoo'!C1332)</f>
        <v/>
      </c>
      <c r="D1332" s="79">
        <f>IF('Ordenes_Odoo'!D1332="","",'Ordenes_Odoo'!D1332)</f>
        <v/>
      </c>
      <c r="E1332" s="79">
        <f>IF('Ordenes_Odoo'!E1332="","",'Ordenes_Odoo'!E1332)</f>
        <v/>
      </c>
      <c r="F1332" s="79">
        <f>IF('Ordenes_Odoo'!F1332="","",'Ordenes_Odoo'!F1332)</f>
        <v/>
      </c>
      <c r="G1332" s="79">
        <f>IF('Ordenes_Odoo'!G1332="","",'Ordenes_Odoo'!G1332)</f>
        <v/>
      </c>
      <c r="H1332" s="79">
        <f>IF('Ordenes_Odoo'!H1332="","",'Ordenes_Odoo'!H1332)</f>
        <v/>
      </c>
      <c r="I1332" s="79">
        <f>IF('Ordenes_Odoo'!I1332="","",'Ordenes_Odoo'!I1332)</f>
        <v/>
      </c>
      <c r="J1332" s="79">
        <f>IF('Ordenes_Odoo'!J1332="","",'Ordenes_Odoo'!J1332)</f>
        <v/>
      </c>
      <c r="K1332" s="81">
        <f>IF('Ordenes_Odoo'!K1332="","",'Ordenes_Odoo'!K1332)</f>
        <v/>
      </c>
      <c r="L1332" s="81">
        <f>IF('Ordenes_Odoo'!L1332="","",'Ordenes_Odoo'!L1332)</f>
        <v/>
      </c>
      <c r="M1332" s="79">
        <f>IF('Ordenes_Odoo'!M1332="","",'Ordenes_Odoo'!M1332)</f>
        <v/>
      </c>
      <c r="N1332" s="79">
        <f>IF('Ordenes_Odoo'!N1332="","",'Ordenes_Odoo'!N1332)</f>
        <v/>
      </c>
      <c r="O1332" s="81">
        <f>IF('Ordenes_Odoo'!O1332="","",'Ordenes_Odoo'!O1332)</f>
        <v/>
      </c>
      <c r="P1332" s="81">
        <f>IF('Ordenes_Odoo'!P1332="","",'Ordenes_Odoo'!P1332)</f>
        <v/>
      </c>
      <c r="Q1332" s="79">
        <f>IF(A1332="","",IFERROR(INDEX(Facturas_Odoo!$B:$B, MATCH(A1332, Facturas_Odoo!$D:$D, 0)), "Sin Factura"))</f>
        <v/>
      </c>
      <c r="R1332" s="80">
        <f>IF(Q1332="Sin Factura","",IFERROR(INDEX(Facturas_Odoo!$A:$A, MATCH(Q1332, Facturas_Odoo!$B:$B, 0)), ""))</f>
        <v/>
      </c>
      <c r="S1332" s="79">
        <f>IF(Q1332="Sin Factura","",IFERROR(_xlfn.XLOOKUP(1, (Facturas_Odoo!$D:$D=A1332) * (Facturas_Odoo!$K:$K=I1332), Facturas_Odoo!$L:$L, ""), ""))</f>
        <v/>
      </c>
      <c r="T1332" s="81">
        <f>IF(Q1332="Sin Factura",0,IFERROR(_xlfn.XLOOKUP(1, (Facturas_Odoo!$D:$D=A1332) * (Facturas_Odoo!$K:$K=I1332), Facturas_Odoo!$M:$M, 0), 0))</f>
        <v/>
      </c>
      <c r="U1332" s="79">
        <f>IF(Q1332="Sin Factura",0,IFERROR(_xlfn.XLOOKUP(1, (Facturas_Odoo!$D:$D=A1332) * (Facturas_Odoo!$K:$K=I1332), Facturas_Odoo!$N:$N, 0), 0))</f>
        <v/>
      </c>
      <c r="V1332" s="79">
        <f>IF(Q1332="Sin Factura",0,IFERROR(_xlfn.XLOOKUP(1, (Facturas_Odoo!$D:$D=A1332) * (Facturas_Odoo!$K:$K=I1332), Facturas_Odoo!$O:$O, 0), 0))</f>
        <v/>
      </c>
      <c r="W1332" s="81">
        <f>IF(Q1332="Sin Factura",0,IFERROR(_xlfn.XLOOKUP(1, (Facturas_Odoo!$D:$D=A1332) * (Facturas_Odoo!$K:$K=I1332), Facturas_Odoo!$Q:$Q, 0), 0))</f>
        <v/>
      </c>
      <c r="X1332" s="79">
        <f>IF(OR(Q1332="Sin Factura",Q1332=""),"",IFERROR(INDEX(Pagos_Odoo!$B:$B, MATCH(Q1332, Pagos_Odoo!$I:$I, 0)), "Sin Pago"))</f>
        <v/>
      </c>
      <c r="Y1332" s="79">
        <f>IF(X1332="Sin Pago","",IFERROR(INDEX(Pagos_Odoo!$C:$C, MATCH(X1332, Pagos_Odoo!$B:$B, 0)), ""))</f>
        <v/>
      </c>
      <c r="Z1332" s="80">
        <f>IF(X1332="Sin Pago","",IFERROR(INDEX(Pagos_Odoo!$A:$A, MATCH(X1332, Pagos_Odoo!$B:$B, 0)), ""))</f>
        <v/>
      </c>
      <c r="AA1332" s="79">
        <f>IF(X1332="Sin Pago","",IFERROR(INDEX(Pagos_Odoo!$F:$F, MATCH(X1332, Pagos_Odoo!$B:$B, 0)), ""))</f>
        <v/>
      </c>
      <c r="AB1332" s="81">
        <f>IF(X1332="Sin Pago",0,IFERROR(INDEX(Pagos_Odoo!$E:$E, MATCH(X1332, Pagos_Odoo!$B:$B, 0)), 0))</f>
        <v/>
      </c>
      <c r="AC1332" s="79">
        <f>IF(X1332="Sin Pago","",IFERROR(INDEX(Pagos_Odoo!$G:$G, MATCH(X1332, Pagos_Odoo!$B:$B, 0)), ""))</f>
        <v/>
      </c>
      <c r="AD1332" s="82" t="n">
        <v>0</v>
      </c>
      <c r="AE1332" s="82" t="n"/>
      <c r="AF1332" s="82" t="n"/>
      <c r="AG1332" s="82">
        <f>IF(AN1332="","",AD1332+AE1332+AF1332)</f>
        <v/>
      </c>
      <c r="AH1332" s="81">
        <f>IF(AN1332="","",P1332*(1-AG1332))</f>
        <v/>
      </c>
      <c r="AI1332" s="81">
        <f>IF(AN1332="","",IF(Q1332="Sin Factura",0,IFERROR(INDEX(Facturas_Odoo!$H:$H, MATCH(Q1332, Facturas_Odoo!$B:$B, 0)), 0)*(1-AG1332)))</f>
        <v/>
      </c>
      <c r="AJ1332" s="81">
        <f>IF(AN1332="","",_xlfn.LET(idVenta, AN1332&amp;"",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32" s="81">
        <f>IF(AN1332="","",AH1332-AJ1332)</f>
        <v/>
      </c>
      <c r="AL1332" s="81">
        <f>IF(AN1332="","",IF(Q1332="Sin Factura","",AI1332-AJ1332))</f>
        <v/>
      </c>
      <c r="AM1332" s="81">
        <f>IF(AN1332="","",IF(Q1332="Sin Factura",0,P1332-IFERROR(INDEX(Facturas_Odoo!$H:$H, MATCH(Q1332, Facturas_Odoo!$B:$B, 0)), 0)))</f>
        <v/>
      </c>
      <c r="AN1332" s="79">
        <f>IF(AND(A1332="", J1332=""), "", IF(A1332&lt;&gt;"", VALUE(MID(A1332,2,LEN(A1332))), AN1331))</f>
        <v/>
      </c>
      <c r="AO1332" s="79">
        <f>IF(AN1332="","",IF(AD1332=0,"OK",_xlfn.LET(monedaPago, IF(AA1332="","USD",AA1332), limitePermitido, IFERROR(VLOOKUP(monedaPago, Configuración!$A$2:$B$3, 2, FALSE), 0.15), IF(AD1332&gt;limitePermitido, "ALERTA: EXCESO (" &amp; TEXT(limitePermitido, "0%") &amp; " máx)", "OK"))))</f>
        <v/>
      </c>
      <c r="AP1332" s="79">
        <f>IF(AN1332="","",IF(AE1332=0,"OK",_xlfn.LET(fechaPago, Z1332, fechaFactura, R1332, diasCredito, IF(E1332="Pago inmediato", 0, IFERROR(VALUE(MID(E1332, 1, SEARCH(" ", E1332)-1)),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32" s="79">
        <f>IF(AN1332="","",IF(AND(N1332&gt;0, AG1332&gt;0), IF(Configuración!$K$2="NO", "ALERTA: DESCUENTO DOBLE NO PERMITIDO", "OK"), "OK"))</f>
        <v/>
      </c>
      <c r="AR1332" s="79">
        <f>IF(AN1332="","",IF(OR(AO1332&lt;&gt;"OK", AP1332&lt;&gt;"OK", AQ1332&lt;&gt;"OK"), "⚠️ REVISAR", "OK"))</f>
        <v/>
      </c>
    </row>
    <row r="1333">
      <c r="A1333" s="79">
        <f>IF('Ordenes_Odoo'!A1333="","",'Ordenes_Odoo'!A1333)</f>
        <v/>
      </c>
      <c r="B1333" s="80">
        <f>IF('Ordenes_Odoo'!B1333="","",'Ordenes_Odoo'!B1333)</f>
        <v/>
      </c>
      <c r="C1333" s="79">
        <f>IF('Ordenes_Odoo'!C1333="","",'Ordenes_Odoo'!C1333)</f>
        <v/>
      </c>
      <c r="D1333" s="79">
        <f>IF('Ordenes_Odoo'!D1333="","",'Ordenes_Odoo'!D1333)</f>
        <v/>
      </c>
      <c r="E1333" s="79">
        <f>IF('Ordenes_Odoo'!E1333="","",'Ordenes_Odoo'!E1333)</f>
        <v/>
      </c>
      <c r="F1333" s="79">
        <f>IF('Ordenes_Odoo'!F1333="","",'Ordenes_Odoo'!F1333)</f>
        <v/>
      </c>
      <c r="G1333" s="79">
        <f>IF('Ordenes_Odoo'!G1333="","",'Ordenes_Odoo'!G1333)</f>
        <v/>
      </c>
      <c r="H1333" s="79">
        <f>IF('Ordenes_Odoo'!H1333="","",'Ordenes_Odoo'!H1333)</f>
        <v/>
      </c>
      <c r="I1333" s="79">
        <f>IF('Ordenes_Odoo'!I1333="","",'Ordenes_Odoo'!I1333)</f>
        <v/>
      </c>
      <c r="J1333" s="79">
        <f>IF('Ordenes_Odoo'!J1333="","",'Ordenes_Odoo'!J1333)</f>
        <v/>
      </c>
      <c r="K1333" s="81">
        <f>IF('Ordenes_Odoo'!K1333="","",'Ordenes_Odoo'!K1333)</f>
        <v/>
      </c>
      <c r="L1333" s="81">
        <f>IF('Ordenes_Odoo'!L1333="","",'Ordenes_Odoo'!L1333)</f>
        <v/>
      </c>
      <c r="M1333" s="79">
        <f>IF('Ordenes_Odoo'!M1333="","",'Ordenes_Odoo'!M1333)</f>
        <v/>
      </c>
      <c r="N1333" s="79">
        <f>IF('Ordenes_Odoo'!N1333="","",'Ordenes_Odoo'!N1333)</f>
        <v/>
      </c>
      <c r="O1333" s="81">
        <f>IF('Ordenes_Odoo'!O1333="","",'Ordenes_Odoo'!O1333)</f>
        <v/>
      </c>
      <c r="P1333" s="81">
        <f>IF('Ordenes_Odoo'!P1333="","",'Ordenes_Odoo'!P1333)</f>
        <v/>
      </c>
      <c r="Q1333" s="79">
        <f>IF(A1333="","",IFERROR(INDEX(Facturas_Odoo!$B:$B, MATCH(A1333, Facturas_Odoo!$D:$D, 0)), "Sin Factura"))</f>
        <v/>
      </c>
      <c r="R1333" s="80">
        <f>IF(Q1333="Sin Factura","",IFERROR(INDEX(Facturas_Odoo!$A:$A, MATCH(Q1333, Facturas_Odoo!$B:$B, 0)), ""))</f>
        <v/>
      </c>
      <c r="S1333" s="79">
        <f>IF(Q1333="Sin Factura","",IFERROR(_xlfn.XLOOKUP(1, (Facturas_Odoo!$D:$D=A1333) * (Facturas_Odoo!$K:$K=I1333), Facturas_Odoo!$L:$L, ""), ""))</f>
        <v/>
      </c>
      <c r="T1333" s="81">
        <f>IF(Q1333="Sin Factura",0,IFERROR(_xlfn.XLOOKUP(1, (Facturas_Odoo!$D:$D=A1333) * (Facturas_Odoo!$K:$K=I1333), Facturas_Odoo!$M:$M, 0), 0))</f>
        <v/>
      </c>
      <c r="U1333" s="79">
        <f>IF(Q1333="Sin Factura",0,IFERROR(_xlfn.XLOOKUP(1, (Facturas_Odoo!$D:$D=A1333) * (Facturas_Odoo!$K:$K=I1333), Facturas_Odoo!$N:$N, 0), 0))</f>
        <v/>
      </c>
      <c r="V1333" s="79">
        <f>IF(Q1333="Sin Factura",0,IFERROR(_xlfn.XLOOKUP(1, (Facturas_Odoo!$D:$D=A1333) * (Facturas_Odoo!$K:$K=I1333), Facturas_Odoo!$O:$O, 0), 0))</f>
        <v/>
      </c>
      <c r="W1333" s="81">
        <f>IF(Q1333="Sin Factura",0,IFERROR(_xlfn.XLOOKUP(1, (Facturas_Odoo!$D:$D=A1333) * (Facturas_Odoo!$K:$K=I1333), Facturas_Odoo!$Q:$Q, 0), 0))</f>
        <v/>
      </c>
      <c r="X1333" s="79">
        <f>IF(OR(Q1333="Sin Factura",Q1333=""),"",IFERROR(INDEX(Pagos_Odoo!$B:$B, MATCH(Q1333, Pagos_Odoo!$I:$I, 0)), "Sin Pago"))</f>
        <v/>
      </c>
      <c r="Y1333" s="79">
        <f>IF(X1333="Sin Pago","",IFERROR(INDEX(Pagos_Odoo!$C:$C, MATCH(X1333, Pagos_Odoo!$B:$B, 0)), ""))</f>
        <v/>
      </c>
      <c r="Z1333" s="80">
        <f>IF(X1333="Sin Pago","",IFERROR(INDEX(Pagos_Odoo!$A:$A, MATCH(X1333, Pagos_Odoo!$B:$B, 0)), ""))</f>
        <v/>
      </c>
      <c r="AA1333" s="79">
        <f>IF(X1333="Sin Pago","",IFERROR(INDEX(Pagos_Odoo!$F:$F, MATCH(X1333, Pagos_Odoo!$B:$B, 0)), ""))</f>
        <v/>
      </c>
      <c r="AB1333" s="81">
        <f>IF(X1333="Sin Pago",0,IFERROR(INDEX(Pagos_Odoo!$E:$E, MATCH(X1333, Pagos_Odoo!$B:$B, 0)), 0))</f>
        <v/>
      </c>
      <c r="AC1333" s="79">
        <f>IF(X1333="Sin Pago","",IFERROR(INDEX(Pagos_Odoo!$G:$G, MATCH(X1333, Pagos_Odoo!$B:$B, 0)), ""))</f>
        <v/>
      </c>
      <c r="AD1333" s="82" t="n">
        <v>0</v>
      </c>
      <c r="AE1333" s="82" t="n"/>
      <c r="AF1333" s="82" t="n"/>
      <c r="AG1333" s="82">
        <f>IF(AN1333="","",AD1333+AE1333+AF1333)</f>
        <v/>
      </c>
      <c r="AH1333" s="81">
        <f>IF(AN1333="","",P1333*(1-AG1333))</f>
        <v/>
      </c>
      <c r="AI1333" s="81">
        <f>IF(AN1333="","",IF(Q1333="Sin Factura",0,IFERROR(INDEX(Facturas_Odoo!$H:$H, MATCH(Q1333, Facturas_Odoo!$B:$B, 0)), 0)*(1-AG1333)))</f>
        <v/>
      </c>
      <c r="AJ1333" s="81">
        <f>IF(AN1333="","",_xlfn.LET(idVenta, AN1333&amp;"",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33" s="81">
        <f>IF(AN1333="","",AH1333-AJ1333)</f>
        <v/>
      </c>
      <c r="AL1333" s="81">
        <f>IF(AN1333="","",IF(Q1333="Sin Factura","",AI1333-AJ1333))</f>
        <v/>
      </c>
      <c r="AM1333" s="81">
        <f>IF(AN1333="","",IF(Q1333="Sin Factura",0,P1333-IFERROR(INDEX(Facturas_Odoo!$H:$H, MATCH(Q1333, Facturas_Odoo!$B:$B, 0)), 0)))</f>
        <v/>
      </c>
      <c r="AN1333" s="79">
        <f>IF(AND(A1333="", J1333=""), "", IF(A1333&lt;&gt;"", VALUE(MID(A1333,2,LEN(A1333))), AN1332))</f>
        <v/>
      </c>
      <c r="AO1333" s="79">
        <f>IF(AN1333="","",IF(AD1333=0,"OK",_xlfn.LET(monedaPago, IF(AA1333="","USD",AA1333), limitePermitido, IFERROR(VLOOKUP(monedaPago, Configuración!$A$2:$B$3, 2, FALSE), 0.15), IF(AD1333&gt;limitePermitido, "ALERTA: EXCESO (" &amp; TEXT(limitePermitido, "0%") &amp; " máx)", "OK"))))</f>
        <v/>
      </c>
      <c r="AP1333" s="79">
        <f>IF(AN1333="","",IF(AE1333=0,"OK",_xlfn.LET(fechaPago, Z1333, fechaFactura, R1333, diasCredito, IF(E1333="Pago inmediato", 0, IFERROR(VALUE(MID(E1333, 1, SEARCH(" ", E1333)-1)),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33" s="79">
        <f>IF(AN1333="","",IF(AND(N1333&gt;0, AG1333&gt;0), IF(Configuración!$K$2="NO", "ALERTA: DESCUENTO DOBLE NO PERMITIDO", "OK"), "OK"))</f>
        <v/>
      </c>
      <c r="AR1333" s="79">
        <f>IF(AN1333="","",IF(OR(AO1333&lt;&gt;"OK", AP1333&lt;&gt;"OK", AQ1333&lt;&gt;"OK"), "⚠️ REVISAR", "OK"))</f>
        <v/>
      </c>
    </row>
    <row r="1334">
      <c r="A1334" s="79">
        <f>IF('Ordenes_Odoo'!A1334="","",'Ordenes_Odoo'!A1334)</f>
        <v/>
      </c>
      <c r="B1334" s="80">
        <f>IF('Ordenes_Odoo'!B1334="","",'Ordenes_Odoo'!B1334)</f>
        <v/>
      </c>
      <c r="C1334" s="79">
        <f>IF('Ordenes_Odoo'!C1334="","",'Ordenes_Odoo'!C1334)</f>
        <v/>
      </c>
      <c r="D1334" s="79">
        <f>IF('Ordenes_Odoo'!D1334="","",'Ordenes_Odoo'!D1334)</f>
        <v/>
      </c>
      <c r="E1334" s="79">
        <f>IF('Ordenes_Odoo'!E1334="","",'Ordenes_Odoo'!E1334)</f>
        <v/>
      </c>
      <c r="F1334" s="79">
        <f>IF('Ordenes_Odoo'!F1334="","",'Ordenes_Odoo'!F1334)</f>
        <v/>
      </c>
      <c r="G1334" s="79">
        <f>IF('Ordenes_Odoo'!G1334="","",'Ordenes_Odoo'!G1334)</f>
        <v/>
      </c>
      <c r="H1334" s="79">
        <f>IF('Ordenes_Odoo'!H1334="","",'Ordenes_Odoo'!H1334)</f>
        <v/>
      </c>
      <c r="I1334" s="79">
        <f>IF('Ordenes_Odoo'!I1334="","",'Ordenes_Odoo'!I1334)</f>
        <v/>
      </c>
      <c r="J1334" s="79">
        <f>IF('Ordenes_Odoo'!J1334="","",'Ordenes_Odoo'!J1334)</f>
        <v/>
      </c>
      <c r="K1334" s="81">
        <f>IF('Ordenes_Odoo'!K1334="","",'Ordenes_Odoo'!K1334)</f>
        <v/>
      </c>
      <c r="L1334" s="81">
        <f>IF('Ordenes_Odoo'!L1334="","",'Ordenes_Odoo'!L1334)</f>
        <v/>
      </c>
      <c r="M1334" s="79">
        <f>IF('Ordenes_Odoo'!M1334="","",'Ordenes_Odoo'!M1334)</f>
        <v/>
      </c>
      <c r="N1334" s="79">
        <f>IF('Ordenes_Odoo'!N1334="","",'Ordenes_Odoo'!N1334)</f>
        <v/>
      </c>
      <c r="O1334" s="81">
        <f>IF('Ordenes_Odoo'!O1334="","",'Ordenes_Odoo'!O1334)</f>
        <v/>
      </c>
      <c r="P1334" s="81">
        <f>IF('Ordenes_Odoo'!P1334="","",'Ordenes_Odoo'!P1334)</f>
        <v/>
      </c>
      <c r="Q1334" s="79">
        <f>IF(A1334="","",IFERROR(INDEX(Facturas_Odoo!$B:$B, MATCH(A1334, Facturas_Odoo!$D:$D, 0)), "Sin Factura"))</f>
        <v/>
      </c>
      <c r="R1334" s="80">
        <f>IF(Q1334="Sin Factura","",IFERROR(INDEX(Facturas_Odoo!$A:$A, MATCH(Q1334, Facturas_Odoo!$B:$B, 0)), ""))</f>
        <v/>
      </c>
      <c r="S1334" s="79">
        <f>IF(Q1334="Sin Factura","",IFERROR(_xlfn.XLOOKUP(1, (Facturas_Odoo!$D:$D=A1334) * (Facturas_Odoo!$K:$K=I1334), Facturas_Odoo!$L:$L, ""), ""))</f>
        <v/>
      </c>
      <c r="T1334" s="81">
        <f>IF(Q1334="Sin Factura",0,IFERROR(_xlfn.XLOOKUP(1, (Facturas_Odoo!$D:$D=A1334) * (Facturas_Odoo!$K:$K=I1334), Facturas_Odoo!$M:$M, 0), 0))</f>
        <v/>
      </c>
      <c r="U1334" s="79">
        <f>IF(Q1334="Sin Factura",0,IFERROR(_xlfn.XLOOKUP(1, (Facturas_Odoo!$D:$D=A1334) * (Facturas_Odoo!$K:$K=I1334), Facturas_Odoo!$N:$N, 0), 0))</f>
        <v/>
      </c>
      <c r="V1334" s="79">
        <f>IF(Q1334="Sin Factura",0,IFERROR(_xlfn.XLOOKUP(1, (Facturas_Odoo!$D:$D=A1334) * (Facturas_Odoo!$K:$K=I1334), Facturas_Odoo!$O:$O, 0), 0))</f>
        <v/>
      </c>
      <c r="W1334" s="81">
        <f>IF(Q1334="Sin Factura",0,IFERROR(_xlfn.XLOOKUP(1, (Facturas_Odoo!$D:$D=A1334) * (Facturas_Odoo!$K:$K=I1334), Facturas_Odoo!$Q:$Q, 0), 0))</f>
        <v/>
      </c>
      <c r="X1334" s="79">
        <f>IF(OR(Q1334="Sin Factura",Q1334=""),"",IFERROR(INDEX(Pagos_Odoo!$B:$B, MATCH(Q1334, Pagos_Odoo!$I:$I, 0)), "Sin Pago"))</f>
        <v/>
      </c>
      <c r="Y1334" s="79">
        <f>IF(X1334="Sin Pago","",IFERROR(INDEX(Pagos_Odoo!$C:$C, MATCH(X1334, Pagos_Odoo!$B:$B, 0)), ""))</f>
        <v/>
      </c>
      <c r="Z1334" s="80">
        <f>IF(X1334="Sin Pago","",IFERROR(INDEX(Pagos_Odoo!$A:$A, MATCH(X1334, Pagos_Odoo!$B:$B, 0)), ""))</f>
        <v/>
      </c>
      <c r="AA1334" s="79">
        <f>IF(X1334="Sin Pago","",IFERROR(INDEX(Pagos_Odoo!$F:$F, MATCH(X1334, Pagos_Odoo!$B:$B, 0)), ""))</f>
        <v/>
      </c>
      <c r="AB1334" s="81">
        <f>IF(X1334="Sin Pago",0,IFERROR(INDEX(Pagos_Odoo!$E:$E, MATCH(X1334, Pagos_Odoo!$B:$B, 0)), 0))</f>
        <v/>
      </c>
      <c r="AC1334" s="79">
        <f>IF(X1334="Sin Pago","",IFERROR(INDEX(Pagos_Odoo!$G:$G, MATCH(X1334, Pagos_Odoo!$B:$B, 0)), ""))</f>
        <v/>
      </c>
      <c r="AD1334" s="82" t="n">
        <v>0</v>
      </c>
      <c r="AE1334" s="82" t="n"/>
      <c r="AF1334" s="82" t="n"/>
      <c r="AG1334" s="82">
        <f>IF(AN1334="","",AD1334+AE1334+AF1334)</f>
        <v/>
      </c>
      <c r="AH1334" s="81">
        <f>IF(AN1334="","",P1334*(1-AG1334))</f>
        <v/>
      </c>
      <c r="AI1334" s="81">
        <f>IF(AN1334="","",IF(Q1334="Sin Factura",0,IFERROR(INDEX(Facturas_Odoo!$H:$H, MATCH(Q1334, Facturas_Odoo!$B:$B, 0)), 0)*(1-AG1334)))</f>
        <v/>
      </c>
      <c r="AJ1334" s="81">
        <f>IF(AN1334="","",_xlfn.LET(idVenta, AN1334&amp;"",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34" s="81">
        <f>IF(AN1334="","",AH1334-AJ1334)</f>
        <v/>
      </c>
      <c r="AL1334" s="81">
        <f>IF(AN1334="","",IF(Q1334="Sin Factura","",AI1334-AJ1334))</f>
        <v/>
      </c>
      <c r="AM1334" s="81">
        <f>IF(AN1334="","",IF(Q1334="Sin Factura",0,P1334-IFERROR(INDEX(Facturas_Odoo!$H:$H, MATCH(Q1334, Facturas_Odoo!$B:$B, 0)), 0)))</f>
        <v/>
      </c>
      <c r="AN1334" s="79">
        <f>IF(AND(A1334="", J1334=""), "", IF(A1334&lt;&gt;"", VALUE(MID(A1334,2,LEN(A1334))), AN1333))</f>
        <v/>
      </c>
      <c r="AO1334" s="79">
        <f>IF(AN1334="","",IF(AD1334=0,"OK",_xlfn.LET(monedaPago, IF(AA1334="","USD",AA1334), limitePermitido, IFERROR(VLOOKUP(monedaPago, Configuración!$A$2:$B$3, 2, FALSE), 0.15), IF(AD1334&gt;limitePermitido, "ALERTA: EXCESO (" &amp; TEXT(limitePermitido, "0%") &amp; " máx)", "OK"))))</f>
        <v/>
      </c>
      <c r="AP1334" s="79">
        <f>IF(AN1334="","",IF(AE1334=0,"OK",_xlfn.LET(fechaPago, Z1334, fechaFactura, R1334, diasCredito, IF(E1334="Pago inmediato", 0, IFERROR(VALUE(MID(E1334, 1, SEARCH(" ", E1334)-1)),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34" s="79">
        <f>IF(AN1334="","",IF(AND(N1334&gt;0, AG1334&gt;0), IF(Configuración!$K$2="NO", "ALERTA: DESCUENTO DOBLE NO PERMITIDO", "OK"), "OK"))</f>
        <v/>
      </c>
      <c r="AR1334" s="79">
        <f>IF(AN1334="","",IF(OR(AO1334&lt;&gt;"OK", AP1334&lt;&gt;"OK", AQ1334&lt;&gt;"OK"), "⚠️ REVISAR", "OK"))</f>
        <v/>
      </c>
    </row>
    <row r="1335">
      <c r="A1335" s="79">
        <f>IF('Ordenes_Odoo'!A1335="","",'Ordenes_Odoo'!A1335)</f>
        <v/>
      </c>
      <c r="B1335" s="80">
        <f>IF('Ordenes_Odoo'!B1335="","",'Ordenes_Odoo'!B1335)</f>
        <v/>
      </c>
      <c r="C1335" s="79">
        <f>IF('Ordenes_Odoo'!C1335="","",'Ordenes_Odoo'!C1335)</f>
        <v/>
      </c>
      <c r="D1335" s="79">
        <f>IF('Ordenes_Odoo'!D1335="","",'Ordenes_Odoo'!D1335)</f>
        <v/>
      </c>
      <c r="E1335" s="79">
        <f>IF('Ordenes_Odoo'!E1335="","",'Ordenes_Odoo'!E1335)</f>
        <v/>
      </c>
      <c r="F1335" s="79">
        <f>IF('Ordenes_Odoo'!F1335="","",'Ordenes_Odoo'!F1335)</f>
        <v/>
      </c>
      <c r="G1335" s="79">
        <f>IF('Ordenes_Odoo'!G1335="","",'Ordenes_Odoo'!G1335)</f>
        <v/>
      </c>
      <c r="H1335" s="79">
        <f>IF('Ordenes_Odoo'!H1335="","",'Ordenes_Odoo'!H1335)</f>
        <v/>
      </c>
      <c r="I1335" s="79">
        <f>IF('Ordenes_Odoo'!I1335="","",'Ordenes_Odoo'!I1335)</f>
        <v/>
      </c>
      <c r="J1335" s="79">
        <f>IF('Ordenes_Odoo'!J1335="","",'Ordenes_Odoo'!J1335)</f>
        <v/>
      </c>
      <c r="K1335" s="81">
        <f>IF('Ordenes_Odoo'!K1335="","",'Ordenes_Odoo'!K1335)</f>
        <v/>
      </c>
      <c r="L1335" s="81">
        <f>IF('Ordenes_Odoo'!L1335="","",'Ordenes_Odoo'!L1335)</f>
        <v/>
      </c>
      <c r="M1335" s="79">
        <f>IF('Ordenes_Odoo'!M1335="","",'Ordenes_Odoo'!M1335)</f>
        <v/>
      </c>
      <c r="N1335" s="79">
        <f>IF('Ordenes_Odoo'!N1335="","",'Ordenes_Odoo'!N1335)</f>
        <v/>
      </c>
      <c r="O1335" s="81">
        <f>IF('Ordenes_Odoo'!O1335="","",'Ordenes_Odoo'!O1335)</f>
        <v/>
      </c>
      <c r="P1335" s="81">
        <f>IF('Ordenes_Odoo'!P1335="","",'Ordenes_Odoo'!P1335)</f>
        <v/>
      </c>
      <c r="Q1335" s="79">
        <f>IF(A1335="","",IFERROR(INDEX(Facturas_Odoo!$B:$B, MATCH(A1335, Facturas_Odoo!$D:$D, 0)), "Sin Factura"))</f>
        <v/>
      </c>
      <c r="R1335" s="80">
        <f>IF(Q1335="Sin Factura","",IFERROR(INDEX(Facturas_Odoo!$A:$A, MATCH(Q1335, Facturas_Odoo!$B:$B, 0)), ""))</f>
        <v/>
      </c>
      <c r="S1335" s="79">
        <f>IF(Q1335="Sin Factura","",IFERROR(_xlfn.XLOOKUP(1, (Facturas_Odoo!$D:$D=A1335) * (Facturas_Odoo!$K:$K=I1335), Facturas_Odoo!$L:$L, ""), ""))</f>
        <v/>
      </c>
      <c r="T1335" s="81">
        <f>IF(Q1335="Sin Factura",0,IFERROR(_xlfn.XLOOKUP(1, (Facturas_Odoo!$D:$D=A1335) * (Facturas_Odoo!$K:$K=I1335), Facturas_Odoo!$M:$M, 0), 0))</f>
        <v/>
      </c>
      <c r="U1335" s="79">
        <f>IF(Q1335="Sin Factura",0,IFERROR(_xlfn.XLOOKUP(1, (Facturas_Odoo!$D:$D=A1335) * (Facturas_Odoo!$K:$K=I1335), Facturas_Odoo!$N:$N, 0), 0))</f>
        <v/>
      </c>
      <c r="V1335" s="79">
        <f>IF(Q1335="Sin Factura",0,IFERROR(_xlfn.XLOOKUP(1, (Facturas_Odoo!$D:$D=A1335) * (Facturas_Odoo!$K:$K=I1335), Facturas_Odoo!$O:$O, 0), 0))</f>
        <v/>
      </c>
      <c r="W1335" s="81">
        <f>IF(Q1335="Sin Factura",0,IFERROR(_xlfn.XLOOKUP(1, (Facturas_Odoo!$D:$D=A1335) * (Facturas_Odoo!$K:$K=I1335), Facturas_Odoo!$Q:$Q, 0), 0))</f>
        <v/>
      </c>
      <c r="X1335" s="79">
        <f>IF(OR(Q1335="Sin Factura",Q1335=""),"",IFERROR(INDEX(Pagos_Odoo!$B:$B, MATCH(Q1335, Pagos_Odoo!$I:$I, 0)), "Sin Pago"))</f>
        <v/>
      </c>
      <c r="Y1335" s="79">
        <f>IF(X1335="Sin Pago","",IFERROR(INDEX(Pagos_Odoo!$C:$C, MATCH(X1335, Pagos_Odoo!$B:$B, 0)), ""))</f>
        <v/>
      </c>
      <c r="Z1335" s="80">
        <f>IF(X1335="Sin Pago","",IFERROR(INDEX(Pagos_Odoo!$A:$A, MATCH(X1335, Pagos_Odoo!$B:$B, 0)), ""))</f>
        <v/>
      </c>
      <c r="AA1335" s="79">
        <f>IF(X1335="Sin Pago","",IFERROR(INDEX(Pagos_Odoo!$F:$F, MATCH(X1335, Pagos_Odoo!$B:$B, 0)), ""))</f>
        <v/>
      </c>
      <c r="AB1335" s="81">
        <f>IF(X1335="Sin Pago",0,IFERROR(INDEX(Pagos_Odoo!$E:$E, MATCH(X1335, Pagos_Odoo!$B:$B, 0)), 0))</f>
        <v/>
      </c>
      <c r="AC1335" s="79">
        <f>IF(X1335="Sin Pago","",IFERROR(INDEX(Pagos_Odoo!$G:$G, MATCH(X1335, Pagos_Odoo!$B:$B, 0)), ""))</f>
        <v/>
      </c>
      <c r="AD1335" s="82" t="n">
        <v>0</v>
      </c>
      <c r="AE1335" s="82" t="n"/>
      <c r="AF1335" s="82" t="n"/>
      <c r="AG1335" s="82">
        <f>IF(AN1335="","",AD1335+AE1335+AF1335)</f>
        <v/>
      </c>
      <c r="AH1335" s="81">
        <f>IF(AN1335="","",P1335*(1-AG1335))</f>
        <v/>
      </c>
      <c r="AI1335" s="81">
        <f>IF(AN1335="","",IF(Q1335="Sin Factura",0,IFERROR(INDEX(Facturas_Odoo!$H:$H, MATCH(Q1335, Facturas_Odoo!$B:$B, 0)), 0)*(1-AG1335)))</f>
        <v/>
      </c>
      <c r="AJ1335" s="81">
        <f>IF(AN1335="","",_xlfn.LET(idVenta, AN1335&amp;"",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35" s="81">
        <f>IF(AN1335="","",AH1335-AJ1335)</f>
        <v/>
      </c>
      <c r="AL1335" s="81">
        <f>IF(AN1335="","",IF(Q1335="Sin Factura","",AI1335-AJ1335))</f>
        <v/>
      </c>
      <c r="AM1335" s="81">
        <f>IF(AN1335="","",IF(Q1335="Sin Factura",0,P1335-IFERROR(INDEX(Facturas_Odoo!$H:$H, MATCH(Q1335, Facturas_Odoo!$B:$B, 0)), 0)))</f>
        <v/>
      </c>
      <c r="AN1335" s="79">
        <f>IF(AND(A1335="", J1335=""), "", IF(A1335&lt;&gt;"", VALUE(MID(A1335,2,LEN(A1335))), AN1334))</f>
        <v/>
      </c>
      <c r="AO1335" s="79">
        <f>IF(AN1335="","",IF(AD1335=0,"OK",_xlfn.LET(monedaPago, IF(AA1335="","USD",AA1335), limitePermitido, IFERROR(VLOOKUP(monedaPago, Configuración!$A$2:$B$3, 2, FALSE), 0.15), IF(AD1335&gt;limitePermitido, "ALERTA: EXCESO (" &amp; TEXT(limitePermitido, "0%") &amp; " máx)", "OK"))))</f>
        <v/>
      </c>
      <c r="AP1335" s="79">
        <f>IF(AN1335="","",IF(AE1335=0,"OK",_xlfn.LET(fechaPago, Z1335, fechaFactura, R1335, diasCredito, IF(E1335="Pago inmediato", 0, IFERROR(VALUE(MID(E1335, 1, SEARCH(" ", E1335)-1)),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35" s="79">
        <f>IF(AN1335="","",IF(AND(N1335&gt;0, AG1335&gt;0), IF(Configuración!$K$2="NO", "ALERTA: DESCUENTO DOBLE NO PERMITIDO", "OK"), "OK"))</f>
        <v/>
      </c>
      <c r="AR1335" s="79">
        <f>IF(AN1335="","",IF(OR(AO1335&lt;&gt;"OK", AP1335&lt;&gt;"OK", AQ1335&lt;&gt;"OK"), "⚠️ REVISAR", "OK"))</f>
        <v/>
      </c>
    </row>
    <row r="1336">
      <c r="A1336" s="79">
        <f>IF('Ordenes_Odoo'!A1336="","",'Ordenes_Odoo'!A1336)</f>
        <v/>
      </c>
      <c r="B1336" s="80">
        <f>IF('Ordenes_Odoo'!B1336="","",'Ordenes_Odoo'!B1336)</f>
        <v/>
      </c>
      <c r="C1336" s="79">
        <f>IF('Ordenes_Odoo'!C1336="","",'Ordenes_Odoo'!C1336)</f>
        <v/>
      </c>
      <c r="D1336" s="79">
        <f>IF('Ordenes_Odoo'!D1336="","",'Ordenes_Odoo'!D1336)</f>
        <v/>
      </c>
      <c r="E1336" s="79">
        <f>IF('Ordenes_Odoo'!E1336="","",'Ordenes_Odoo'!E1336)</f>
        <v/>
      </c>
      <c r="F1336" s="79">
        <f>IF('Ordenes_Odoo'!F1336="","",'Ordenes_Odoo'!F1336)</f>
        <v/>
      </c>
      <c r="G1336" s="79">
        <f>IF('Ordenes_Odoo'!G1336="","",'Ordenes_Odoo'!G1336)</f>
        <v/>
      </c>
      <c r="H1336" s="79">
        <f>IF('Ordenes_Odoo'!H1336="","",'Ordenes_Odoo'!H1336)</f>
        <v/>
      </c>
      <c r="I1336" s="79">
        <f>IF('Ordenes_Odoo'!I1336="","",'Ordenes_Odoo'!I1336)</f>
        <v/>
      </c>
      <c r="J1336" s="79">
        <f>IF('Ordenes_Odoo'!J1336="","",'Ordenes_Odoo'!J1336)</f>
        <v/>
      </c>
      <c r="K1336" s="81">
        <f>IF('Ordenes_Odoo'!K1336="","",'Ordenes_Odoo'!K1336)</f>
        <v/>
      </c>
      <c r="L1336" s="81">
        <f>IF('Ordenes_Odoo'!L1336="","",'Ordenes_Odoo'!L1336)</f>
        <v/>
      </c>
      <c r="M1336" s="79">
        <f>IF('Ordenes_Odoo'!M1336="","",'Ordenes_Odoo'!M1336)</f>
        <v/>
      </c>
      <c r="N1336" s="79">
        <f>IF('Ordenes_Odoo'!N1336="","",'Ordenes_Odoo'!N1336)</f>
        <v/>
      </c>
      <c r="O1336" s="81">
        <f>IF('Ordenes_Odoo'!O1336="","",'Ordenes_Odoo'!O1336)</f>
        <v/>
      </c>
      <c r="P1336" s="81">
        <f>IF('Ordenes_Odoo'!P1336="","",'Ordenes_Odoo'!P1336)</f>
        <v/>
      </c>
      <c r="Q1336" s="79">
        <f>IF(A1336="","",IFERROR(INDEX(Facturas_Odoo!$B:$B, MATCH(A1336, Facturas_Odoo!$D:$D, 0)), "Sin Factura"))</f>
        <v/>
      </c>
      <c r="R1336" s="80">
        <f>IF(Q1336="Sin Factura","",IFERROR(INDEX(Facturas_Odoo!$A:$A, MATCH(Q1336, Facturas_Odoo!$B:$B, 0)), ""))</f>
        <v/>
      </c>
      <c r="S1336" s="79">
        <f>IF(Q1336="Sin Factura","",IFERROR(_xlfn.XLOOKUP(1, (Facturas_Odoo!$D:$D=A1336) * (Facturas_Odoo!$K:$K=I1336), Facturas_Odoo!$L:$L, ""), ""))</f>
        <v/>
      </c>
      <c r="T1336" s="81">
        <f>IF(Q1336="Sin Factura",0,IFERROR(_xlfn.XLOOKUP(1, (Facturas_Odoo!$D:$D=A1336) * (Facturas_Odoo!$K:$K=I1336), Facturas_Odoo!$M:$M, 0), 0))</f>
        <v/>
      </c>
      <c r="U1336" s="79">
        <f>IF(Q1336="Sin Factura",0,IFERROR(_xlfn.XLOOKUP(1, (Facturas_Odoo!$D:$D=A1336) * (Facturas_Odoo!$K:$K=I1336), Facturas_Odoo!$N:$N, 0), 0))</f>
        <v/>
      </c>
      <c r="V1336" s="79">
        <f>IF(Q1336="Sin Factura",0,IFERROR(_xlfn.XLOOKUP(1, (Facturas_Odoo!$D:$D=A1336) * (Facturas_Odoo!$K:$K=I1336), Facturas_Odoo!$O:$O, 0), 0))</f>
        <v/>
      </c>
      <c r="W1336" s="81">
        <f>IF(Q1336="Sin Factura",0,IFERROR(_xlfn.XLOOKUP(1, (Facturas_Odoo!$D:$D=A1336) * (Facturas_Odoo!$K:$K=I1336), Facturas_Odoo!$Q:$Q, 0), 0))</f>
        <v/>
      </c>
      <c r="X1336" s="79">
        <f>IF(OR(Q1336="Sin Factura",Q1336=""),"",IFERROR(INDEX(Pagos_Odoo!$B:$B, MATCH(Q1336, Pagos_Odoo!$I:$I, 0)), "Sin Pago"))</f>
        <v/>
      </c>
      <c r="Y1336" s="79">
        <f>IF(X1336="Sin Pago","",IFERROR(INDEX(Pagos_Odoo!$C:$C, MATCH(X1336, Pagos_Odoo!$B:$B, 0)), ""))</f>
        <v/>
      </c>
      <c r="Z1336" s="80">
        <f>IF(X1336="Sin Pago","",IFERROR(INDEX(Pagos_Odoo!$A:$A, MATCH(X1336, Pagos_Odoo!$B:$B, 0)), ""))</f>
        <v/>
      </c>
      <c r="AA1336" s="79">
        <f>IF(X1336="Sin Pago","",IFERROR(INDEX(Pagos_Odoo!$F:$F, MATCH(X1336, Pagos_Odoo!$B:$B, 0)), ""))</f>
        <v/>
      </c>
      <c r="AB1336" s="81">
        <f>IF(X1336="Sin Pago",0,IFERROR(INDEX(Pagos_Odoo!$E:$E, MATCH(X1336, Pagos_Odoo!$B:$B, 0)), 0))</f>
        <v/>
      </c>
      <c r="AC1336" s="79">
        <f>IF(X1336="Sin Pago","",IFERROR(INDEX(Pagos_Odoo!$G:$G, MATCH(X1336, Pagos_Odoo!$B:$B, 0)), ""))</f>
        <v/>
      </c>
      <c r="AD1336" s="82" t="n">
        <v>0</v>
      </c>
      <c r="AE1336" s="82" t="n"/>
      <c r="AF1336" s="82" t="n"/>
      <c r="AG1336" s="82">
        <f>IF(AN1336="","",AD1336+AE1336+AF1336)</f>
        <v/>
      </c>
      <c r="AH1336" s="81">
        <f>IF(AN1336="","",P1336*(1-AG1336))</f>
        <v/>
      </c>
      <c r="AI1336" s="81">
        <f>IF(AN1336="","",IF(Q1336="Sin Factura",0,IFERROR(INDEX(Facturas_Odoo!$H:$H, MATCH(Q1336, Facturas_Odoo!$B:$B, 0)), 0)*(1-AG1336)))</f>
        <v/>
      </c>
      <c r="AJ1336" s="81">
        <f>IF(AN1336="","",_xlfn.LET(idVenta, AN1336&amp;"",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36" s="81">
        <f>IF(AN1336="","",AH1336-AJ1336)</f>
        <v/>
      </c>
      <c r="AL1336" s="81">
        <f>IF(AN1336="","",IF(Q1336="Sin Factura","",AI1336-AJ1336))</f>
        <v/>
      </c>
      <c r="AM1336" s="81">
        <f>IF(AN1336="","",IF(Q1336="Sin Factura",0,P1336-IFERROR(INDEX(Facturas_Odoo!$H:$H, MATCH(Q1336, Facturas_Odoo!$B:$B, 0)), 0)))</f>
        <v/>
      </c>
      <c r="AN1336" s="79">
        <f>IF(AND(A1336="", J1336=""), "", IF(A1336&lt;&gt;"", VALUE(MID(A1336,2,LEN(A1336))), AN1335))</f>
        <v/>
      </c>
      <c r="AO1336" s="79">
        <f>IF(AN1336="","",IF(AD1336=0,"OK",_xlfn.LET(monedaPago, IF(AA1336="","USD",AA1336), limitePermitido, IFERROR(VLOOKUP(monedaPago, Configuración!$A$2:$B$3, 2, FALSE), 0.15), IF(AD1336&gt;limitePermitido, "ALERTA: EXCESO (" &amp; TEXT(limitePermitido, "0%") &amp; " máx)", "OK"))))</f>
        <v/>
      </c>
      <c r="AP1336" s="79">
        <f>IF(AN1336="","",IF(AE1336=0,"OK",_xlfn.LET(fechaPago, Z1336, fechaFactura, R1336, diasCredito, IF(E1336="Pago inmediato", 0, IFERROR(VALUE(MID(E1336, 1, SEARCH(" ", E1336)-1)),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36" s="79">
        <f>IF(AN1336="","",IF(AND(N1336&gt;0, AG1336&gt;0), IF(Configuración!$K$2="NO", "ALERTA: DESCUENTO DOBLE NO PERMITIDO", "OK"), "OK"))</f>
        <v/>
      </c>
      <c r="AR1336" s="79">
        <f>IF(AN1336="","",IF(OR(AO1336&lt;&gt;"OK", AP1336&lt;&gt;"OK", AQ1336&lt;&gt;"OK"), "⚠️ REVISAR", "OK"))</f>
        <v/>
      </c>
    </row>
    <row r="1337">
      <c r="A1337" s="79">
        <f>IF('Ordenes_Odoo'!A1337="","",'Ordenes_Odoo'!A1337)</f>
        <v/>
      </c>
      <c r="B1337" s="80">
        <f>IF('Ordenes_Odoo'!B1337="","",'Ordenes_Odoo'!B1337)</f>
        <v/>
      </c>
      <c r="C1337" s="79">
        <f>IF('Ordenes_Odoo'!C1337="","",'Ordenes_Odoo'!C1337)</f>
        <v/>
      </c>
      <c r="D1337" s="79">
        <f>IF('Ordenes_Odoo'!D1337="","",'Ordenes_Odoo'!D1337)</f>
        <v/>
      </c>
      <c r="E1337" s="79">
        <f>IF('Ordenes_Odoo'!E1337="","",'Ordenes_Odoo'!E1337)</f>
        <v/>
      </c>
      <c r="F1337" s="79">
        <f>IF('Ordenes_Odoo'!F1337="","",'Ordenes_Odoo'!F1337)</f>
        <v/>
      </c>
      <c r="G1337" s="79">
        <f>IF('Ordenes_Odoo'!G1337="","",'Ordenes_Odoo'!G1337)</f>
        <v/>
      </c>
      <c r="H1337" s="79">
        <f>IF('Ordenes_Odoo'!H1337="","",'Ordenes_Odoo'!H1337)</f>
        <v/>
      </c>
      <c r="I1337" s="79">
        <f>IF('Ordenes_Odoo'!I1337="","",'Ordenes_Odoo'!I1337)</f>
        <v/>
      </c>
      <c r="J1337" s="79">
        <f>IF('Ordenes_Odoo'!J1337="","",'Ordenes_Odoo'!J1337)</f>
        <v/>
      </c>
      <c r="K1337" s="81">
        <f>IF('Ordenes_Odoo'!K1337="","",'Ordenes_Odoo'!K1337)</f>
        <v/>
      </c>
      <c r="L1337" s="81">
        <f>IF('Ordenes_Odoo'!L1337="","",'Ordenes_Odoo'!L1337)</f>
        <v/>
      </c>
      <c r="M1337" s="79">
        <f>IF('Ordenes_Odoo'!M1337="","",'Ordenes_Odoo'!M1337)</f>
        <v/>
      </c>
      <c r="N1337" s="79">
        <f>IF('Ordenes_Odoo'!N1337="","",'Ordenes_Odoo'!N1337)</f>
        <v/>
      </c>
      <c r="O1337" s="81">
        <f>IF('Ordenes_Odoo'!O1337="","",'Ordenes_Odoo'!O1337)</f>
        <v/>
      </c>
      <c r="P1337" s="81">
        <f>IF('Ordenes_Odoo'!P1337="","",'Ordenes_Odoo'!P1337)</f>
        <v/>
      </c>
      <c r="Q1337" s="79">
        <f>IF(A1337="","",IFERROR(INDEX(Facturas_Odoo!$B:$B, MATCH(A1337, Facturas_Odoo!$D:$D, 0)), "Sin Factura"))</f>
        <v/>
      </c>
      <c r="R1337" s="80">
        <f>IF(Q1337="Sin Factura","",IFERROR(INDEX(Facturas_Odoo!$A:$A, MATCH(Q1337, Facturas_Odoo!$B:$B, 0)), ""))</f>
        <v/>
      </c>
      <c r="S1337" s="79">
        <f>IF(Q1337="Sin Factura","",IFERROR(_xlfn.XLOOKUP(1, (Facturas_Odoo!$D:$D=A1337) * (Facturas_Odoo!$K:$K=I1337), Facturas_Odoo!$L:$L, ""), ""))</f>
        <v/>
      </c>
      <c r="T1337" s="81">
        <f>IF(Q1337="Sin Factura",0,IFERROR(_xlfn.XLOOKUP(1, (Facturas_Odoo!$D:$D=A1337) * (Facturas_Odoo!$K:$K=I1337), Facturas_Odoo!$M:$M, 0), 0))</f>
        <v/>
      </c>
      <c r="U1337" s="79">
        <f>IF(Q1337="Sin Factura",0,IFERROR(_xlfn.XLOOKUP(1, (Facturas_Odoo!$D:$D=A1337) * (Facturas_Odoo!$K:$K=I1337), Facturas_Odoo!$N:$N, 0), 0))</f>
        <v/>
      </c>
      <c r="V1337" s="79">
        <f>IF(Q1337="Sin Factura",0,IFERROR(_xlfn.XLOOKUP(1, (Facturas_Odoo!$D:$D=A1337) * (Facturas_Odoo!$K:$K=I1337), Facturas_Odoo!$O:$O, 0), 0))</f>
        <v/>
      </c>
      <c r="W1337" s="81">
        <f>IF(Q1337="Sin Factura",0,IFERROR(_xlfn.XLOOKUP(1, (Facturas_Odoo!$D:$D=A1337) * (Facturas_Odoo!$K:$K=I1337), Facturas_Odoo!$Q:$Q, 0), 0))</f>
        <v/>
      </c>
      <c r="X1337" s="79">
        <f>IF(OR(Q1337="Sin Factura",Q1337=""),"",IFERROR(INDEX(Pagos_Odoo!$B:$B, MATCH(Q1337, Pagos_Odoo!$I:$I, 0)), "Sin Pago"))</f>
        <v/>
      </c>
      <c r="Y1337" s="79">
        <f>IF(X1337="Sin Pago","",IFERROR(INDEX(Pagos_Odoo!$C:$C, MATCH(X1337, Pagos_Odoo!$B:$B, 0)), ""))</f>
        <v/>
      </c>
      <c r="Z1337" s="80">
        <f>IF(X1337="Sin Pago","",IFERROR(INDEX(Pagos_Odoo!$A:$A, MATCH(X1337, Pagos_Odoo!$B:$B, 0)), ""))</f>
        <v/>
      </c>
      <c r="AA1337" s="79">
        <f>IF(X1337="Sin Pago","",IFERROR(INDEX(Pagos_Odoo!$F:$F, MATCH(X1337, Pagos_Odoo!$B:$B, 0)), ""))</f>
        <v/>
      </c>
      <c r="AB1337" s="81">
        <f>IF(X1337="Sin Pago",0,IFERROR(INDEX(Pagos_Odoo!$E:$E, MATCH(X1337, Pagos_Odoo!$B:$B, 0)), 0))</f>
        <v/>
      </c>
      <c r="AC1337" s="79">
        <f>IF(X1337="Sin Pago","",IFERROR(INDEX(Pagos_Odoo!$G:$G, MATCH(X1337, Pagos_Odoo!$B:$B, 0)), ""))</f>
        <v/>
      </c>
      <c r="AD1337" s="82" t="n">
        <v>0</v>
      </c>
      <c r="AE1337" s="82" t="n"/>
      <c r="AF1337" s="82" t="n"/>
      <c r="AG1337" s="82">
        <f>IF(AN1337="","",AD1337+AE1337+AF1337)</f>
        <v/>
      </c>
      <c r="AH1337" s="81">
        <f>IF(AN1337="","",P1337*(1-AG1337))</f>
        <v/>
      </c>
      <c r="AI1337" s="81">
        <f>IF(AN1337="","",IF(Q1337="Sin Factura",0,IFERROR(INDEX(Facturas_Odoo!$H:$H, MATCH(Q1337, Facturas_Odoo!$B:$B, 0)), 0)*(1-AG1337)))</f>
        <v/>
      </c>
      <c r="AJ1337" s="81">
        <f>IF(AN1337="","",_xlfn.LET(idVenta, AN1337&amp;"",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37" s="81">
        <f>IF(AN1337="","",AH1337-AJ1337)</f>
        <v/>
      </c>
      <c r="AL1337" s="81">
        <f>IF(AN1337="","",IF(Q1337="Sin Factura","",AI1337-AJ1337))</f>
        <v/>
      </c>
      <c r="AM1337" s="81">
        <f>IF(AN1337="","",IF(Q1337="Sin Factura",0,P1337-IFERROR(INDEX(Facturas_Odoo!$H:$H, MATCH(Q1337, Facturas_Odoo!$B:$B, 0)), 0)))</f>
        <v/>
      </c>
      <c r="AN1337" s="79">
        <f>IF(AND(A1337="", J1337=""), "", IF(A1337&lt;&gt;"", VALUE(MID(A1337,2,LEN(A1337))), AN1336))</f>
        <v/>
      </c>
      <c r="AO1337" s="79">
        <f>IF(AN1337="","",IF(AD1337=0,"OK",_xlfn.LET(monedaPago, IF(AA1337="","USD",AA1337), limitePermitido, IFERROR(VLOOKUP(monedaPago, Configuración!$A$2:$B$3, 2, FALSE), 0.15), IF(AD1337&gt;limitePermitido, "ALERTA: EXCESO (" &amp; TEXT(limitePermitido, "0%") &amp; " máx)", "OK"))))</f>
        <v/>
      </c>
      <c r="AP1337" s="79">
        <f>IF(AN1337="","",IF(AE1337=0,"OK",_xlfn.LET(fechaPago, Z1337, fechaFactura, R1337, diasCredito, IF(E1337="Pago inmediato", 0, IFERROR(VALUE(MID(E1337, 1, SEARCH(" ", E1337)-1)),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37" s="79">
        <f>IF(AN1337="","",IF(AND(N1337&gt;0, AG1337&gt;0), IF(Configuración!$K$2="NO", "ALERTA: DESCUENTO DOBLE NO PERMITIDO", "OK"), "OK"))</f>
        <v/>
      </c>
      <c r="AR1337" s="79">
        <f>IF(AN1337="","",IF(OR(AO1337&lt;&gt;"OK", AP1337&lt;&gt;"OK", AQ1337&lt;&gt;"OK"), "⚠️ REVISAR", "OK"))</f>
        <v/>
      </c>
    </row>
    <row r="1338">
      <c r="A1338" s="79">
        <f>IF('Ordenes_Odoo'!A1338="","",'Ordenes_Odoo'!A1338)</f>
        <v/>
      </c>
      <c r="B1338" s="80">
        <f>IF('Ordenes_Odoo'!B1338="","",'Ordenes_Odoo'!B1338)</f>
        <v/>
      </c>
      <c r="C1338" s="79">
        <f>IF('Ordenes_Odoo'!C1338="","",'Ordenes_Odoo'!C1338)</f>
        <v/>
      </c>
      <c r="D1338" s="79">
        <f>IF('Ordenes_Odoo'!D1338="","",'Ordenes_Odoo'!D1338)</f>
        <v/>
      </c>
      <c r="E1338" s="79">
        <f>IF('Ordenes_Odoo'!E1338="","",'Ordenes_Odoo'!E1338)</f>
        <v/>
      </c>
      <c r="F1338" s="79">
        <f>IF('Ordenes_Odoo'!F1338="","",'Ordenes_Odoo'!F1338)</f>
        <v/>
      </c>
      <c r="G1338" s="79">
        <f>IF('Ordenes_Odoo'!G1338="","",'Ordenes_Odoo'!G1338)</f>
        <v/>
      </c>
      <c r="H1338" s="79">
        <f>IF('Ordenes_Odoo'!H1338="","",'Ordenes_Odoo'!H1338)</f>
        <v/>
      </c>
      <c r="I1338" s="79">
        <f>IF('Ordenes_Odoo'!I1338="","",'Ordenes_Odoo'!I1338)</f>
        <v/>
      </c>
      <c r="J1338" s="79">
        <f>IF('Ordenes_Odoo'!J1338="","",'Ordenes_Odoo'!J1338)</f>
        <v/>
      </c>
      <c r="K1338" s="81">
        <f>IF('Ordenes_Odoo'!K1338="","",'Ordenes_Odoo'!K1338)</f>
        <v/>
      </c>
      <c r="L1338" s="81">
        <f>IF('Ordenes_Odoo'!L1338="","",'Ordenes_Odoo'!L1338)</f>
        <v/>
      </c>
      <c r="M1338" s="79">
        <f>IF('Ordenes_Odoo'!M1338="","",'Ordenes_Odoo'!M1338)</f>
        <v/>
      </c>
      <c r="N1338" s="79">
        <f>IF('Ordenes_Odoo'!N1338="","",'Ordenes_Odoo'!N1338)</f>
        <v/>
      </c>
      <c r="O1338" s="81">
        <f>IF('Ordenes_Odoo'!O1338="","",'Ordenes_Odoo'!O1338)</f>
        <v/>
      </c>
      <c r="P1338" s="81">
        <f>IF('Ordenes_Odoo'!P1338="","",'Ordenes_Odoo'!P1338)</f>
        <v/>
      </c>
      <c r="Q1338" s="79">
        <f>IF(A1338="","",IFERROR(INDEX(Facturas_Odoo!$B:$B, MATCH(A1338, Facturas_Odoo!$D:$D, 0)), "Sin Factura"))</f>
        <v/>
      </c>
      <c r="R1338" s="80">
        <f>IF(Q1338="Sin Factura","",IFERROR(INDEX(Facturas_Odoo!$A:$A, MATCH(Q1338, Facturas_Odoo!$B:$B, 0)), ""))</f>
        <v/>
      </c>
      <c r="S1338" s="79">
        <f>IF(Q1338="Sin Factura","",IFERROR(_xlfn.XLOOKUP(1, (Facturas_Odoo!$D:$D=A1338) * (Facturas_Odoo!$K:$K=I1338), Facturas_Odoo!$L:$L, ""), ""))</f>
        <v/>
      </c>
      <c r="T1338" s="81">
        <f>IF(Q1338="Sin Factura",0,IFERROR(_xlfn.XLOOKUP(1, (Facturas_Odoo!$D:$D=A1338) * (Facturas_Odoo!$K:$K=I1338), Facturas_Odoo!$M:$M, 0), 0))</f>
        <v/>
      </c>
      <c r="U1338" s="79">
        <f>IF(Q1338="Sin Factura",0,IFERROR(_xlfn.XLOOKUP(1, (Facturas_Odoo!$D:$D=A1338) * (Facturas_Odoo!$K:$K=I1338), Facturas_Odoo!$N:$N, 0), 0))</f>
        <v/>
      </c>
      <c r="V1338" s="79">
        <f>IF(Q1338="Sin Factura",0,IFERROR(_xlfn.XLOOKUP(1, (Facturas_Odoo!$D:$D=A1338) * (Facturas_Odoo!$K:$K=I1338), Facturas_Odoo!$O:$O, 0), 0))</f>
        <v/>
      </c>
      <c r="W1338" s="81">
        <f>IF(Q1338="Sin Factura",0,IFERROR(_xlfn.XLOOKUP(1, (Facturas_Odoo!$D:$D=A1338) * (Facturas_Odoo!$K:$K=I1338), Facturas_Odoo!$Q:$Q, 0), 0))</f>
        <v/>
      </c>
      <c r="X1338" s="79">
        <f>IF(OR(Q1338="Sin Factura",Q1338=""),"",IFERROR(INDEX(Pagos_Odoo!$B:$B, MATCH(Q1338, Pagos_Odoo!$I:$I, 0)), "Sin Pago"))</f>
        <v/>
      </c>
      <c r="Y1338" s="79">
        <f>IF(X1338="Sin Pago","",IFERROR(INDEX(Pagos_Odoo!$C:$C, MATCH(X1338, Pagos_Odoo!$B:$B, 0)), ""))</f>
        <v/>
      </c>
      <c r="Z1338" s="80">
        <f>IF(X1338="Sin Pago","",IFERROR(INDEX(Pagos_Odoo!$A:$A, MATCH(X1338, Pagos_Odoo!$B:$B, 0)), ""))</f>
        <v/>
      </c>
      <c r="AA1338" s="79">
        <f>IF(X1338="Sin Pago","",IFERROR(INDEX(Pagos_Odoo!$F:$F, MATCH(X1338, Pagos_Odoo!$B:$B, 0)), ""))</f>
        <v/>
      </c>
      <c r="AB1338" s="81">
        <f>IF(X1338="Sin Pago",0,IFERROR(INDEX(Pagos_Odoo!$E:$E, MATCH(X1338, Pagos_Odoo!$B:$B, 0)), 0))</f>
        <v/>
      </c>
      <c r="AC1338" s="79">
        <f>IF(X1338="Sin Pago","",IFERROR(INDEX(Pagos_Odoo!$G:$G, MATCH(X1338, Pagos_Odoo!$B:$B, 0)), ""))</f>
        <v/>
      </c>
      <c r="AD1338" s="82" t="n">
        <v>0</v>
      </c>
      <c r="AE1338" s="82" t="n"/>
      <c r="AF1338" s="82" t="n"/>
      <c r="AG1338" s="82">
        <f>IF(AN1338="","",AD1338+AE1338+AF1338)</f>
        <v/>
      </c>
      <c r="AH1338" s="81">
        <f>IF(AN1338="","",P1338*(1-AG1338))</f>
        <v/>
      </c>
      <c r="AI1338" s="81">
        <f>IF(AN1338="","",IF(Q1338="Sin Factura",0,IFERROR(INDEX(Facturas_Odoo!$H:$H, MATCH(Q1338, Facturas_Odoo!$B:$B, 0)), 0)*(1-AG1338)))</f>
        <v/>
      </c>
      <c r="AJ1338" s="81">
        <f>IF(AN1338="","",_xlfn.LET(idVenta, AN1338&amp;"",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38" s="81">
        <f>IF(AN1338="","",AH1338-AJ1338)</f>
        <v/>
      </c>
      <c r="AL1338" s="81">
        <f>IF(AN1338="","",IF(Q1338="Sin Factura","",AI1338-AJ1338))</f>
        <v/>
      </c>
      <c r="AM1338" s="81">
        <f>IF(AN1338="","",IF(Q1338="Sin Factura",0,P1338-IFERROR(INDEX(Facturas_Odoo!$H:$H, MATCH(Q1338, Facturas_Odoo!$B:$B, 0)), 0)))</f>
        <v/>
      </c>
      <c r="AN1338" s="79">
        <f>IF(AND(A1338="", J1338=""), "", IF(A1338&lt;&gt;"", VALUE(MID(A1338,2,LEN(A1338))), AN1337))</f>
        <v/>
      </c>
      <c r="AO1338" s="79">
        <f>IF(AN1338="","",IF(AD1338=0,"OK",_xlfn.LET(monedaPago, IF(AA1338="","USD",AA1338), limitePermitido, IFERROR(VLOOKUP(monedaPago, Configuración!$A$2:$B$3, 2, FALSE), 0.15), IF(AD1338&gt;limitePermitido, "ALERTA: EXCESO (" &amp; TEXT(limitePermitido, "0%") &amp; " máx)", "OK"))))</f>
        <v/>
      </c>
      <c r="AP1338" s="79">
        <f>IF(AN1338="","",IF(AE1338=0,"OK",_xlfn.LET(fechaPago, Z1338, fechaFactura, R1338, diasCredito, IF(E1338="Pago inmediato", 0, IFERROR(VALUE(MID(E1338, 1, SEARCH(" ", E1338)-1)),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38" s="79">
        <f>IF(AN1338="","",IF(AND(N1338&gt;0, AG1338&gt;0), IF(Configuración!$K$2="NO", "ALERTA: DESCUENTO DOBLE NO PERMITIDO", "OK"), "OK"))</f>
        <v/>
      </c>
      <c r="AR1338" s="79">
        <f>IF(AN1338="","",IF(OR(AO1338&lt;&gt;"OK", AP1338&lt;&gt;"OK", AQ1338&lt;&gt;"OK"), "⚠️ REVISAR", "OK"))</f>
        <v/>
      </c>
    </row>
    <row r="1339">
      <c r="A1339" s="79">
        <f>IF('Ordenes_Odoo'!A1339="","",'Ordenes_Odoo'!A1339)</f>
        <v/>
      </c>
      <c r="B1339" s="80">
        <f>IF('Ordenes_Odoo'!B1339="","",'Ordenes_Odoo'!B1339)</f>
        <v/>
      </c>
      <c r="C1339" s="79">
        <f>IF('Ordenes_Odoo'!C1339="","",'Ordenes_Odoo'!C1339)</f>
        <v/>
      </c>
      <c r="D1339" s="79">
        <f>IF('Ordenes_Odoo'!D1339="","",'Ordenes_Odoo'!D1339)</f>
        <v/>
      </c>
      <c r="E1339" s="79">
        <f>IF('Ordenes_Odoo'!E1339="","",'Ordenes_Odoo'!E1339)</f>
        <v/>
      </c>
      <c r="F1339" s="79">
        <f>IF('Ordenes_Odoo'!F1339="","",'Ordenes_Odoo'!F1339)</f>
        <v/>
      </c>
      <c r="G1339" s="79">
        <f>IF('Ordenes_Odoo'!G1339="","",'Ordenes_Odoo'!G1339)</f>
        <v/>
      </c>
      <c r="H1339" s="79">
        <f>IF('Ordenes_Odoo'!H1339="","",'Ordenes_Odoo'!H1339)</f>
        <v/>
      </c>
      <c r="I1339" s="79">
        <f>IF('Ordenes_Odoo'!I1339="","",'Ordenes_Odoo'!I1339)</f>
        <v/>
      </c>
      <c r="J1339" s="79">
        <f>IF('Ordenes_Odoo'!J1339="","",'Ordenes_Odoo'!J1339)</f>
        <v/>
      </c>
      <c r="K1339" s="81">
        <f>IF('Ordenes_Odoo'!K1339="","",'Ordenes_Odoo'!K1339)</f>
        <v/>
      </c>
      <c r="L1339" s="81">
        <f>IF('Ordenes_Odoo'!L1339="","",'Ordenes_Odoo'!L1339)</f>
        <v/>
      </c>
      <c r="M1339" s="79">
        <f>IF('Ordenes_Odoo'!M1339="","",'Ordenes_Odoo'!M1339)</f>
        <v/>
      </c>
      <c r="N1339" s="79">
        <f>IF('Ordenes_Odoo'!N1339="","",'Ordenes_Odoo'!N1339)</f>
        <v/>
      </c>
      <c r="O1339" s="81">
        <f>IF('Ordenes_Odoo'!O1339="","",'Ordenes_Odoo'!O1339)</f>
        <v/>
      </c>
      <c r="P1339" s="81">
        <f>IF('Ordenes_Odoo'!P1339="","",'Ordenes_Odoo'!P1339)</f>
        <v/>
      </c>
      <c r="Q1339" s="79">
        <f>IF(A1339="","",IFERROR(INDEX(Facturas_Odoo!$B:$B, MATCH(A1339, Facturas_Odoo!$D:$D, 0)), "Sin Factura"))</f>
        <v/>
      </c>
      <c r="R1339" s="80">
        <f>IF(Q1339="Sin Factura","",IFERROR(INDEX(Facturas_Odoo!$A:$A, MATCH(Q1339, Facturas_Odoo!$B:$B, 0)), ""))</f>
        <v/>
      </c>
      <c r="S1339" s="79">
        <f>IF(Q1339="Sin Factura","",IFERROR(_xlfn.XLOOKUP(1, (Facturas_Odoo!$D:$D=A1339) * (Facturas_Odoo!$K:$K=I1339), Facturas_Odoo!$L:$L, ""), ""))</f>
        <v/>
      </c>
      <c r="T1339" s="81">
        <f>IF(Q1339="Sin Factura",0,IFERROR(_xlfn.XLOOKUP(1, (Facturas_Odoo!$D:$D=A1339) * (Facturas_Odoo!$K:$K=I1339), Facturas_Odoo!$M:$M, 0), 0))</f>
        <v/>
      </c>
      <c r="U1339" s="79">
        <f>IF(Q1339="Sin Factura",0,IFERROR(_xlfn.XLOOKUP(1, (Facturas_Odoo!$D:$D=A1339) * (Facturas_Odoo!$K:$K=I1339), Facturas_Odoo!$N:$N, 0), 0))</f>
        <v/>
      </c>
      <c r="V1339" s="79">
        <f>IF(Q1339="Sin Factura",0,IFERROR(_xlfn.XLOOKUP(1, (Facturas_Odoo!$D:$D=A1339) * (Facturas_Odoo!$K:$K=I1339), Facturas_Odoo!$O:$O, 0), 0))</f>
        <v/>
      </c>
      <c r="W1339" s="81">
        <f>IF(Q1339="Sin Factura",0,IFERROR(_xlfn.XLOOKUP(1, (Facturas_Odoo!$D:$D=A1339) * (Facturas_Odoo!$K:$K=I1339), Facturas_Odoo!$Q:$Q, 0), 0))</f>
        <v/>
      </c>
      <c r="X1339" s="79">
        <f>IF(OR(Q1339="Sin Factura",Q1339=""),"",IFERROR(INDEX(Pagos_Odoo!$B:$B, MATCH(Q1339, Pagos_Odoo!$I:$I, 0)), "Sin Pago"))</f>
        <v/>
      </c>
      <c r="Y1339" s="79">
        <f>IF(X1339="Sin Pago","",IFERROR(INDEX(Pagos_Odoo!$C:$C, MATCH(X1339, Pagos_Odoo!$B:$B, 0)), ""))</f>
        <v/>
      </c>
      <c r="Z1339" s="80">
        <f>IF(X1339="Sin Pago","",IFERROR(INDEX(Pagos_Odoo!$A:$A, MATCH(X1339, Pagos_Odoo!$B:$B, 0)), ""))</f>
        <v/>
      </c>
      <c r="AA1339" s="79">
        <f>IF(X1339="Sin Pago","",IFERROR(INDEX(Pagos_Odoo!$F:$F, MATCH(X1339, Pagos_Odoo!$B:$B, 0)), ""))</f>
        <v/>
      </c>
      <c r="AB1339" s="81">
        <f>IF(X1339="Sin Pago",0,IFERROR(INDEX(Pagos_Odoo!$E:$E, MATCH(X1339, Pagos_Odoo!$B:$B, 0)), 0))</f>
        <v/>
      </c>
      <c r="AC1339" s="79">
        <f>IF(X1339="Sin Pago","",IFERROR(INDEX(Pagos_Odoo!$G:$G, MATCH(X1339, Pagos_Odoo!$B:$B, 0)), ""))</f>
        <v/>
      </c>
      <c r="AD1339" s="82" t="n">
        <v>0</v>
      </c>
      <c r="AE1339" s="82" t="n"/>
      <c r="AF1339" s="82" t="n"/>
      <c r="AG1339" s="82">
        <f>IF(AN1339="","",AD1339+AE1339+AF1339)</f>
        <v/>
      </c>
      <c r="AH1339" s="81">
        <f>IF(AN1339="","",P1339*(1-AG1339))</f>
        <v/>
      </c>
      <c r="AI1339" s="81">
        <f>IF(AN1339="","",IF(Q1339="Sin Factura",0,IFERROR(INDEX(Facturas_Odoo!$H:$H, MATCH(Q1339, Facturas_Odoo!$B:$B, 0)), 0)*(1-AG1339)))</f>
        <v/>
      </c>
      <c r="AJ1339" s="81">
        <f>IF(AN1339="","",_xlfn.LET(idVenta, AN1339&amp;"",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39" s="81">
        <f>IF(AN1339="","",AH1339-AJ1339)</f>
        <v/>
      </c>
      <c r="AL1339" s="81">
        <f>IF(AN1339="","",IF(Q1339="Sin Factura","",AI1339-AJ1339))</f>
        <v/>
      </c>
      <c r="AM1339" s="81">
        <f>IF(AN1339="","",IF(Q1339="Sin Factura",0,P1339-IFERROR(INDEX(Facturas_Odoo!$H:$H, MATCH(Q1339, Facturas_Odoo!$B:$B, 0)), 0)))</f>
        <v/>
      </c>
      <c r="AN1339" s="79">
        <f>IF(AND(A1339="", J1339=""), "", IF(A1339&lt;&gt;"", VALUE(MID(A1339,2,LEN(A1339))), AN1338))</f>
        <v/>
      </c>
      <c r="AO1339" s="79">
        <f>IF(AN1339="","",IF(AD1339=0,"OK",_xlfn.LET(monedaPago, IF(AA1339="","USD",AA1339), limitePermitido, IFERROR(VLOOKUP(monedaPago, Configuración!$A$2:$B$3, 2, FALSE), 0.15), IF(AD1339&gt;limitePermitido, "ALERTA: EXCESO (" &amp; TEXT(limitePermitido, "0%") &amp; " máx)", "OK"))))</f>
        <v/>
      </c>
      <c r="AP1339" s="79">
        <f>IF(AN1339="","",IF(AE1339=0,"OK",_xlfn.LET(fechaPago, Z1339, fechaFactura, R1339, diasCredito, IF(E1339="Pago inmediato", 0, IFERROR(VALUE(MID(E1339, 1, SEARCH(" ", E1339)-1)),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39" s="79">
        <f>IF(AN1339="","",IF(AND(N1339&gt;0, AG1339&gt;0), IF(Configuración!$K$2="NO", "ALERTA: DESCUENTO DOBLE NO PERMITIDO", "OK"), "OK"))</f>
        <v/>
      </c>
      <c r="AR1339" s="79">
        <f>IF(AN1339="","",IF(OR(AO1339&lt;&gt;"OK", AP1339&lt;&gt;"OK", AQ1339&lt;&gt;"OK"), "⚠️ REVISAR", "OK"))</f>
        <v/>
      </c>
    </row>
    <row r="1340">
      <c r="A1340" s="79">
        <f>IF('Ordenes_Odoo'!A1340="","",'Ordenes_Odoo'!A1340)</f>
        <v/>
      </c>
      <c r="B1340" s="80">
        <f>IF('Ordenes_Odoo'!B1340="","",'Ordenes_Odoo'!B1340)</f>
        <v/>
      </c>
      <c r="C1340" s="79">
        <f>IF('Ordenes_Odoo'!C1340="","",'Ordenes_Odoo'!C1340)</f>
        <v/>
      </c>
      <c r="D1340" s="79">
        <f>IF('Ordenes_Odoo'!D1340="","",'Ordenes_Odoo'!D1340)</f>
        <v/>
      </c>
      <c r="E1340" s="79">
        <f>IF('Ordenes_Odoo'!E1340="","",'Ordenes_Odoo'!E1340)</f>
        <v/>
      </c>
      <c r="F1340" s="79">
        <f>IF('Ordenes_Odoo'!F1340="","",'Ordenes_Odoo'!F1340)</f>
        <v/>
      </c>
      <c r="G1340" s="79">
        <f>IF('Ordenes_Odoo'!G1340="","",'Ordenes_Odoo'!G1340)</f>
        <v/>
      </c>
      <c r="H1340" s="79">
        <f>IF('Ordenes_Odoo'!H1340="","",'Ordenes_Odoo'!H1340)</f>
        <v/>
      </c>
      <c r="I1340" s="79">
        <f>IF('Ordenes_Odoo'!I1340="","",'Ordenes_Odoo'!I1340)</f>
        <v/>
      </c>
      <c r="J1340" s="79">
        <f>IF('Ordenes_Odoo'!J1340="","",'Ordenes_Odoo'!J1340)</f>
        <v/>
      </c>
      <c r="K1340" s="81">
        <f>IF('Ordenes_Odoo'!K1340="","",'Ordenes_Odoo'!K1340)</f>
        <v/>
      </c>
      <c r="L1340" s="81">
        <f>IF('Ordenes_Odoo'!L1340="","",'Ordenes_Odoo'!L1340)</f>
        <v/>
      </c>
      <c r="M1340" s="79">
        <f>IF('Ordenes_Odoo'!M1340="","",'Ordenes_Odoo'!M1340)</f>
        <v/>
      </c>
      <c r="N1340" s="79">
        <f>IF('Ordenes_Odoo'!N1340="","",'Ordenes_Odoo'!N1340)</f>
        <v/>
      </c>
      <c r="O1340" s="81">
        <f>IF('Ordenes_Odoo'!O1340="","",'Ordenes_Odoo'!O1340)</f>
        <v/>
      </c>
      <c r="P1340" s="81">
        <f>IF('Ordenes_Odoo'!P1340="","",'Ordenes_Odoo'!P1340)</f>
        <v/>
      </c>
      <c r="Q1340" s="79">
        <f>IF(A1340="","",IFERROR(INDEX(Facturas_Odoo!$B:$B, MATCH(A1340, Facturas_Odoo!$D:$D, 0)), "Sin Factura"))</f>
        <v/>
      </c>
      <c r="R1340" s="80">
        <f>IF(Q1340="Sin Factura","",IFERROR(INDEX(Facturas_Odoo!$A:$A, MATCH(Q1340, Facturas_Odoo!$B:$B, 0)), ""))</f>
        <v/>
      </c>
      <c r="S1340" s="79">
        <f>IF(Q1340="Sin Factura","",IFERROR(_xlfn.XLOOKUP(1, (Facturas_Odoo!$D:$D=A1340) * (Facturas_Odoo!$K:$K=I1340), Facturas_Odoo!$L:$L, ""), ""))</f>
        <v/>
      </c>
      <c r="T1340" s="81">
        <f>IF(Q1340="Sin Factura",0,IFERROR(_xlfn.XLOOKUP(1, (Facturas_Odoo!$D:$D=A1340) * (Facturas_Odoo!$K:$K=I1340), Facturas_Odoo!$M:$M, 0), 0))</f>
        <v/>
      </c>
      <c r="U1340" s="79">
        <f>IF(Q1340="Sin Factura",0,IFERROR(_xlfn.XLOOKUP(1, (Facturas_Odoo!$D:$D=A1340) * (Facturas_Odoo!$K:$K=I1340), Facturas_Odoo!$N:$N, 0), 0))</f>
        <v/>
      </c>
      <c r="V1340" s="79">
        <f>IF(Q1340="Sin Factura",0,IFERROR(_xlfn.XLOOKUP(1, (Facturas_Odoo!$D:$D=A1340) * (Facturas_Odoo!$K:$K=I1340), Facturas_Odoo!$O:$O, 0), 0))</f>
        <v/>
      </c>
      <c r="W1340" s="81">
        <f>IF(Q1340="Sin Factura",0,IFERROR(_xlfn.XLOOKUP(1, (Facturas_Odoo!$D:$D=A1340) * (Facturas_Odoo!$K:$K=I1340), Facturas_Odoo!$Q:$Q, 0), 0))</f>
        <v/>
      </c>
      <c r="X1340" s="79">
        <f>IF(OR(Q1340="Sin Factura",Q1340=""),"",IFERROR(INDEX(Pagos_Odoo!$B:$B, MATCH(Q1340, Pagos_Odoo!$I:$I, 0)), "Sin Pago"))</f>
        <v/>
      </c>
      <c r="Y1340" s="79">
        <f>IF(X1340="Sin Pago","",IFERROR(INDEX(Pagos_Odoo!$C:$C, MATCH(X1340, Pagos_Odoo!$B:$B, 0)), ""))</f>
        <v/>
      </c>
      <c r="Z1340" s="80">
        <f>IF(X1340="Sin Pago","",IFERROR(INDEX(Pagos_Odoo!$A:$A, MATCH(X1340, Pagos_Odoo!$B:$B, 0)), ""))</f>
        <v/>
      </c>
      <c r="AA1340" s="79">
        <f>IF(X1340="Sin Pago","",IFERROR(INDEX(Pagos_Odoo!$F:$F, MATCH(X1340, Pagos_Odoo!$B:$B, 0)), ""))</f>
        <v/>
      </c>
      <c r="AB1340" s="81">
        <f>IF(X1340="Sin Pago",0,IFERROR(INDEX(Pagos_Odoo!$E:$E, MATCH(X1340, Pagos_Odoo!$B:$B, 0)), 0))</f>
        <v/>
      </c>
      <c r="AC1340" s="79">
        <f>IF(X1340="Sin Pago","",IFERROR(INDEX(Pagos_Odoo!$G:$G, MATCH(X1340, Pagos_Odoo!$B:$B, 0)), ""))</f>
        <v/>
      </c>
      <c r="AD1340" s="82" t="n">
        <v>0</v>
      </c>
      <c r="AE1340" s="82" t="n"/>
      <c r="AF1340" s="82" t="n"/>
      <c r="AG1340" s="82">
        <f>IF(AN1340="","",AD1340+AE1340+AF1340)</f>
        <v/>
      </c>
      <c r="AH1340" s="81">
        <f>IF(AN1340="","",P1340*(1-AG1340))</f>
        <v/>
      </c>
      <c r="AI1340" s="81">
        <f>IF(AN1340="","",IF(Q1340="Sin Factura",0,IFERROR(INDEX(Facturas_Odoo!$H:$H, MATCH(Q1340, Facturas_Odoo!$B:$B, 0)), 0)*(1-AG1340)))</f>
        <v/>
      </c>
      <c r="AJ1340" s="81">
        <f>IF(AN1340="","",_xlfn.LET(idVenta, AN1340&amp;"",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40" s="81">
        <f>IF(AN1340="","",AH1340-AJ1340)</f>
        <v/>
      </c>
      <c r="AL1340" s="81">
        <f>IF(AN1340="","",IF(Q1340="Sin Factura","",AI1340-AJ1340))</f>
        <v/>
      </c>
      <c r="AM1340" s="81">
        <f>IF(AN1340="","",IF(Q1340="Sin Factura",0,P1340-IFERROR(INDEX(Facturas_Odoo!$H:$H, MATCH(Q1340, Facturas_Odoo!$B:$B, 0)), 0)))</f>
        <v/>
      </c>
      <c r="AN1340" s="79">
        <f>IF(AND(A1340="", J1340=""), "", IF(A1340&lt;&gt;"", VALUE(MID(A1340,2,LEN(A1340))), AN1339))</f>
        <v/>
      </c>
      <c r="AO1340" s="79">
        <f>IF(AN1340="","",IF(AD1340=0,"OK",_xlfn.LET(monedaPago, IF(AA1340="","USD",AA1340), limitePermitido, IFERROR(VLOOKUP(monedaPago, Configuración!$A$2:$B$3, 2, FALSE), 0.15), IF(AD1340&gt;limitePermitido, "ALERTA: EXCESO (" &amp; TEXT(limitePermitido, "0%") &amp; " máx)", "OK"))))</f>
        <v/>
      </c>
      <c r="AP1340" s="79">
        <f>IF(AN1340="","",IF(AE1340=0,"OK",_xlfn.LET(fechaPago, Z1340, fechaFactura, R1340, diasCredito, IF(E1340="Pago inmediato", 0, IFERROR(VALUE(MID(E1340, 1, SEARCH(" ", E1340)-1)),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40" s="79">
        <f>IF(AN1340="","",IF(AND(N1340&gt;0, AG1340&gt;0), IF(Configuración!$K$2="NO", "ALERTA: DESCUENTO DOBLE NO PERMITIDO", "OK"), "OK"))</f>
        <v/>
      </c>
      <c r="AR1340" s="79">
        <f>IF(AN1340="","",IF(OR(AO1340&lt;&gt;"OK", AP1340&lt;&gt;"OK", AQ1340&lt;&gt;"OK"), "⚠️ REVISAR", "OK"))</f>
        <v/>
      </c>
    </row>
    <row r="1341">
      <c r="A1341" s="79">
        <f>IF('Ordenes_Odoo'!A1341="","",'Ordenes_Odoo'!A1341)</f>
        <v/>
      </c>
      <c r="B1341" s="80">
        <f>IF('Ordenes_Odoo'!B1341="","",'Ordenes_Odoo'!B1341)</f>
        <v/>
      </c>
      <c r="C1341" s="79">
        <f>IF('Ordenes_Odoo'!C1341="","",'Ordenes_Odoo'!C1341)</f>
        <v/>
      </c>
      <c r="D1341" s="79">
        <f>IF('Ordenes_Odoo'!D1341="","",'Ordenes_Odoo'!D1341)</f>
        <v/>
      </c>
      <c r="E1341" s="79">
        <f>IF('Ordenes_Odoo'!E1341="","",'Ordenes_Odoo'!E1341)</f>
        <v/>
      </c>
      <c r="F1341" s="79">
        <f>IF('Ordenes_Odoo'!F1341="","",'Ordenes_Odoo'!F1341)</f>
        <v/>
      </c>
      <c r="G1341" s="79">
        <f>IF('Ordenes_Odoo'!G1341="","",'Ordenes_Odoo'!G1341)</f>
        <v/>
      </c>
      <c r="H1341" s="79">
        <f>IF('Ordenes_Odoo'!H1341="","",'Ordenes_Odoo'!H1341)</f>
        <v/>
      </c>
      <c r="I1341" s="79">
        <f>IF('Ordenes_Odoo'!I1341="","",'Ordenes_Odoo'!I1341)</f>
        <v/>
      </c>
      <c r="J1341" s="79">
        <f>IF('Ordenes_Odoo'!J1341="","",'Ordenes_Odoo'!J1341)</f>
        <v/>
      </c>
      <c r="K1341" s="81">
        <f>IF('Ordenes_Odoo'!K1341="","",'Ordenes_Odoo'!K1341)</f>
        <v/>
      </c>
      <c r="L1341" s="81">
        <f>IF('Ordenes_Odoo'!L1341="","",'Ordenes_Odoo'!L1341)</f>
        <v/>
      </c>
      <c r="M1341" s="79">
        <f>IF('Ordenes_Odoo'!M1341="","",'Ordenes_Odoo'!M1341)</f>
        <v/>
      </c>
      <c r="N1341" s="79">
        <f>IF('Ordenes_Odoo'!N1341="","",'Ordenes_Odoo'!N1341)</f>
        <v/>
      </c>
      <c r="O1341" s="81">
        <f>IF('Ordenes_Odoo'!O1341="","",'Ordenes_Odoo'!O1341)</f>
        <v/>
      </c>
      <c r="P1341" s="81">
        <f>IF('Ordenes_Odoo'!P1341="","",'Ordenes_Odoo'!P1341)</f>
        <v/>
      </c>
      <c r="Q1341" s="79">
        <f>IF(A1341="","",IFERROR(INDEX(Facturas_Odoo!$B:$B, MATCH(A1341, Facturas_Odoo!$D:$D, 0)), "Sin Factura"))</f>
        <v/>
      </c>
      <c r="R1341" s="80">
        <f>IF(Q1341="Sin Factura","",IFERROR(INDEX(Facturas_Odoo!$A:$A, MATCH(Q1341, Facturas_Odoo!$B:$B, 0)), ""))</f>
        <v/>
      </c>
      <c r="S1341" s="79">
        <f>IF(Q1341="Sin Factura","",IFERROR(_xlfn.XLOOKUP(1, (Facturas_Odoo!$D:$D=A1341) * (Facturas_Odoo!$K:$K=I1341), Facturas_Odoo!$L:$L, ""), ""))</f>
        <v/>
      </c>
      <c r="T1341" s="81">
        <f>IF(Q1341="Sin Factura",0,IFERROR(_xlfn.XLOOKUP(1, (Facturas_Odoo!$D:$D=A1341) * (Facturas_Odoo!$K:$K=I1341), Facturas_Odoo!$M:$M, 0), 0))</f>
        <v/>
      </c>
      <c r="U1341" s="79">
        <f>IF(Q1341="Sin Factura",0,IFERROR(_xlfn.XLOOKUP(1, (Facturas_Odoo!$D:$D=A1341) * (Facturas_Odoo!$K:$K=I1341), Facturas_Odoo!$N:$N, 0), 0))</f>
        <v/>
      </c>
      <c r="V1341" s="79">
        <f>IF(Q1341="Sin Factura",0,IFERROR(_xlfn.XLOOKUP(1, (Facturas_Odoo!$D:$D=A1341) * (Facturas_Odoo!$K:$K=I1341), Facturas_Odoo!$O:$O, 0), 0))</f>
        <v/>
      </c>
      <c r="W1341" s="81">
        <f>IF(Q1341="Sin Factura",0,IFERROR(_xlfn.XLOOKUP(1, (Facturas_Odoo!$D:$D=A1341) * (Facturas_Odoo!$K:$K=I1341), Facturas_Odoo!$Q:$Q, 0), 0))</f>
        <v/>
      </c>
      <c r="X1341" s="79">
        <f>IF(OR(Q1341="Sin Factura",Q1341=""),"",IFERROR(INDEX(Pagos_Odoo!$B:$B, MATCH(Q1341, Pagos_Odoo!$I:$I, 0)), "Sin Pago"))</f>
        <v/>
      </c>
      <c r="Y1341" s="79">
        <f>IF(X1341="Sin Pago","",IFERROR(INDEX(Pagos_Odoo!$C:$C, MATCH(X1341, Pagos_Odoo!$B:$B, 0)), ""))</f>
        <v/>
      </c>
      <c r="Z1341" s="80">
        <f>IF(X1341="Sin Pago","",IFERROR(INDEX(Pagos_Odoo!$A:$A, MATCH(X1341, Pagos_Odoo!$B:$B, 0)), ""))</f>
        <v/>
      </c>
      <c r="AA1341" s="79">
        <f>IF(X1341="Sin Pago","",IFERROR(INDEX(Pagos_Odoo!$F:$F, MATCH(X1341, Pagos_Odoo!$B:$B, 0)), ""))</f>
        <v/>
      </c>
      <c r="AB1341" s="81">
        <f>IF(X1341="Sin Pago",0,IFERROR(INDEX(Pagos_Odoo!$E:$E, MATCH(X1341, Pagos_Odoo!$B:$B, 0)), 0))</f>
        <v/>
      </c>
      <c r="AC1341" s="79">
        <f>IF(X1341="Sin Pago","",IFERROR(INDEX(Pagos_Odoo!$G:$G, MATCH(X1341, Pagos_Odoo!$B:$B, 0)), ""))</f>
        <v/>
      </c>
      <c r="AD1341" s="82" t="n">
        <v>0</v>
      </c>
      <c r="AE1341" s="82" t="n"/>
      <c r="AF1341" s="82" t="n"/>
      <c r="AG1341" s="82">
        <f>IF(AN1341="","",AD1341+AE1341+AF1341)</f>
        <v/>
      </c>
      <c r="AH1341" s="81">
        <f>IF(AN1341="","",P1341*(1-AG1341))</f>
        <v/>
      </c>
      <c r="AI1341" s="81">
        <f>IF(AN1341="","",IF(Q1341="Sin Factura",0,IFERROR(INDEX(Facturas_Odoo!$H:$H, MATCH(Q1341, Facturas_Odoo!$B:$B, 0)), 0)*(1-AG1341)))</f>
        <v/>
      </c>
      <c r="AJ1341" s="81">
        <f>IF(AN1341="","",_xlfn.LET(idVenta, AN1341&amp;"",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41" s="81">
        <f>IF(AN1341="","",AH1341-AJ1341)</f>
        <v/>
      </c>
      <c r="AL1341" s="81">
        <f>IF(AN1341="","",IF(Q1341="Sin Factura","",AI1341-AJ1341))</f>
        <v/>
      </c>
      <c r="AM1341" s="81">
        <f>IF(AN1341="","",IF(Q1341="Sin Factura",0,P1341-IFERROR(INDEX(Facturas_Odoo!$H:$H, MATCH(Q1341, Facturas_Odoo!$B:$B, 0)), 0)))</f>
        <v/>
      </c>
      <c r="AN1341" s="79">
        <f>IF(AND(A1341="", J1341=""), "", IF(A1341&lt;&gt;"", VALUE(MID(A1341,2,LEN(A1341))), AN1340))</f>
        <v/>
      </c>
      <c r="AO1341" s="79">
        <f>IF(AN1341="","",IF(AD1341=0,"OK",_xlfn.LET(monedaPago, IF(AA1341="","USD",AA1341), limitePermitido, IFERROR(VLOOKUP(monedaPago, Configuración!$A$2:$B$3, 2, FALSE), 0.15), IF(AD1341&gt;limitePermitido, "ALERTA: EXCESO (" &amp; TEXT(limitePermitido, "0%") &amp; " máx)", "OK"))))</f>
        <v/>
      </c>
      <c r="AP1341" s="79">
        <f>IF(AN1341="","",IF(AE1341=0,"OK",_xlfn.LET(fechaPago, Z1341, fechaFactura, R1341, diasCredito, IF(E1341="Pago inmediato", 0, IFERROR(VALUE(MID(E1341, 1, SEARCH(" ", E1341)-1)),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41" s="79">
        <f>IF(AN1341="","",IF(AND(N1341&gt;0, AG1341&gt;0), IF(Configuración!$K$2="NO", "ALERTA: DESCUENTO DOBLE NO PERMITIDO", "OK"), "OK"))</f>
        <v/>
      </c>
      <c r="AR1341" s="79">
        <f>IF(AN1341="","",IF(OR(AO1341&lt;&gt;"OK", AP1341&lt;&gt;"OK", AQ1341&lt;&gt;"OK"), "⚠️ REVISAR", "OK"))</f>
        <v/>
      </c>
    </row>
    <row r="1342">
      <c r="A1342" s="79">
        <f>IF('Ordenes_Odoo'!A1342="","",'Ordenes_Odoo'!A1342)</f>
        <v/>
      </c>
      <c r="B1342" s="80">
        <f>IF('Ordenes_Odoo'!B1342="","",'Ordenes_Odoo'!B1342)</f>
        <v/>
      </c>
      <c r="C1342" s="79">
        <f>IF('Ordenes_Odoo'!C1342="","",'Ordenes_Odoo'!C1342)</f>
        <v/>
      </c>
      <c r="D1342" s="79">
        <f>IF('Ordenes_Odoo'!D1342="","",'Ordenes_Odoo'!D1342)</f>
        <v/>
      </c>
      <c r="E1342" s="79">
        <f>IF('Ordenes_Odoo'!E1342="","",'Ordenes_Odoo'!E1342)</f>
        <v/>
      </c>
      <c r="F1342" s="79">
        <f>IF('Ordenes_Odoo'!F1342="","",'Ordenes_Odoo'!F1342)</f>
        <v/>
      </c>
      <c r="G1342" s="79">
        <f>IF('Ordenes_Odoo'!G1342="","",'Ordenes_Odoo'!G1342)</f>
        <v/>
      </c>
      <c r="H1342" s="79">
        <f>IF('Ordenes_Odoo'!H1342="","",'Ordenes_Odoo'!H1342)</f>
        <v/>
      </c>
      <c r="I1342" s="79">
        <f>IF('Ordenes_Odoo'!I1342="","",'Ordenes_Odoo'!I1342)</f>
        <v/>
      </c>
      <c r="J1342" s="79">
        <f>IF('Ordenes_Odoo'!J1342="","",'Ordenes_Odoo'!J1342)</f>
        <v/>
      </c>
      <c r="K1342" s="81">
        <f>IF('Ordenes_Odoo'!K1342="","",'Ordenes_Odoo'!K1342)</f>
        <v/>
      </c>
      <c r="L1342" s="81">
        <f>IF('Ordenes_Odoo'!L1342="","",'Ordenes_Odoo'!L1342)</f>
        <v/>
      </c>
      <c r="M1342" s="79">
        <f>IF('Ordenes_Odoo'!M1342="","",'Ordenes_Odoo'!M1342)</f>
        <v/>
      </c>
      <c r="N1342" s="79">
        <f>IF('Ordenes_Odoo'!N1342="","",'Ordenes_Odoo'!N1342)</f>
        <v/>
      </c>
      <c r="O1342" s="81">
        <f>IF('Ordenes_Odoo'!O1342="","",'Ordenes_Odoo'!O1342)</f>
        <v/>
      </c>
      <c r="P1342" s="81">
        <f>IF('Ordenes_Odoo'!P1342="","",'Ordenes_Odoo'!P1342)</f>
        <v/>
      </c>
      <c r="Q1342" s="79">
        <f>IF(A1342="","",IFERROR(INDEX(Facturas_Odoo!$B:$B, MATCH(A1342, Facturas_Odoo!$D:$D, 0)), "Sin Factura"))</f>
        <v/>
      </c>
      <c r="R1342" s="80">
        <f>IF(Q1342="Sin Factura","",IFERROR(INDEX(Facturas_Odoo!$A:$A, MATCH(Q1342, Facturas_Odoo!$B:$B, 0)), ""))</f>
        <v/>
      </c>
      <c r="S1342" s="79">
        <f>IF(Q1342="Sin Factura","",IFERROR(_xlfn.XLOOKUP(1, (Facturas_Odoo!$D:$D=A1342) * (Facturas_Odoo!$K:$K=I1342), Facturas_Odoo!$L:$L, ""), ""))</f>
        <v/>
      </c>
      <c r="T1342" s="81">
        <f>IF(Q1342="Sin Factura",0,IFERROR(_xlfn.XLOOKUP(1, (Facturas_Odoo!$D:$D=A1342) * (Facturas_Odoo!$K:$K=I1342), Facturas_Odoo!$M:$M, 0), 0))</f>
        <v/>
      </c>
      <c r="U1342" s="79">
        <f>IF(Q1342="Sin Factura",0,IFERROR(_xlfn.XLOOKUP(1, (Facturas_Odoo!$D:$D=A1342) * (Facturas_Odoo!$K:$K=I1342), Facturas_Odoo!$N:$N, 0), 0))</f>
        <v/>
      </c>
      <c r="V1342" s="79">
        <f>IF(Q1342="Sin Factura",0,IFERROR(_xlfn.XLOOKUP(1, (Facturas_Odoo!$D:$D=A1342) * (Facturas_Odoo!$K:$K=I1342), Facturas_Odoo!$O:$O, 0), 0))</f>
        <v/>
      </c>
      <c r="W1342" s="81">
        <f>IF(Q1342="Sin Factura",0,IFERROR(_xlfn.XLOOKUP(1, (Facturas_Odoo!$D:$D=A1342) * (Facturas_Odoo!$K:$K=I1342), Facturas_Odoo!$Q:$Q, 0), 0))</f>
        <v/>
      </c>
      <c r="X1342" s="79">
        <f>IF(OR(Q1342="Sin Factura",Q1342=""),"",IFERROR(INDEX(Pagos_Odoo!$B:$B, MATCH(Q1342, Pagos_Odoo!$I:$I, 0)), "Sin Pago"))</f>
        <v/>
      </c>
      <c r="Y1342" s="79">
        <f>IF(X1342="Sin Pago","",IFERROR(INDEX(Pagos_Odoo!$C:$C, MATCH(X1342, Pagos_Odoo!$B:$B, 0)), ""))</f>
        <v/>
      </c>
      <c r="Z1342" s="80">
        <f>IF(X1342="Sin Pago","",IFERROR(INDEX(Pagos_Odoo!$A:$A, MATCH(X1342, Pagos_Odoo!$B:$B, 0)), ""))</f>
        <v/>
      </c>
      <c r="AA1342" s="79">
        <f>IF(X1342="Sin Pago","",IFERROR(INDEX(Pagos_Odoo!$F:$F, MATCH(X1342, Pagos_Odoo!$B:$B, 0)), ""))</f>
        <v/>
      </c>
      <c r="AB1342" s="81">
        <f>IF(X1342="Sin Pago",0,IFERROR(INDEX(Pagos_Odoo!$E:$E, MATCH(X1342, Pagos_Odoo!$B:$B, 0)), 0))</f>
        <v/>
      </c>
      <c r="AC1342" s="79">
        <f>IF(X1342="Sin Pago","",IFERROR(INDEX(Pagos_Odoo!$G:$G, MATCH(X1342, Pagos_Odoo!$B:$B, 0)), ""))</f>
        <v/>
      </c>
      <c r="AD1342" s="82" t="n">
        <v>0</v>
      </c>
      <c r="AE1342" s="82" t="n"/>
      <c r="AF1342" s="82" t="n"/>
      <c r="AG1342" s="82">
        <f>IF(AN1342="","",AD1342+AE1342+AF1342)</f>
        <v/>
      </c>
      <c r="AH1342" s="81">
        <f>IF(AN1342="","",P1342*(1-AG1342))</f>
        <v/>
      </c>
      <c r="AI1342" s="81">
        <f>IF(AN1342="","",IF(Q1342="Sin Factura",0,IFERROR(INDEX(Facturas_Odoo!$H:$H, MATCH(Q1342, Facturas_Odoo!$B:$B, 0)), 0)*(1-AG1342)))</f>
        <v/>
      </c>
      <c r="AJ1342" s="81">
        <f>IF(AN1342="","",_xlfn.LET(idVenta, AN1342&amp;"",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42" s="81">
        <f>IF(AN1342="","",AH1342-AJ1342)</f>
        <v/>
      </c>
      <c r="AL1342" s="81">
        <f>IF(AN1342="","",IF(Q1342="Sin Factura","",AI1342-AJ1342))</f>
        <v/>
      </c>
      <c r="AM1342" s="81">
        <f>IF(AN1342="","",IF(Q1342="Sin Factura",0,P1342-IFERROR(INDEX(Facturas_Odoo!$H:$H, MATCH(Q1342, Facturas_Odoo!$B:$B, 0)), 0)))</f>
        <v/>
      </c>
      <c r="AN1342" s="79">
        <f>IF(AND(A1342="", J1342=""), "", IF(A1342&lt;&gt;"", VALUE(MID(A1342,2,LEN(A1342))), AN1341))</f>
        <v/>
      </c>
      <c r="AO1342" s="79">
        <f>IF(AN1342="","",IF(AD1342=0,"OK",_xlfn.LET(monedaPago, IF(AA1342="","USD",AA1342), limitePermitido, IFERROR(VLOOKUP(monedaPago, Configuración!$A$2:$B$3, 2, FALSE), 0.15), IF(AD1342&gt;limitePermitido, "ALERTA: EXCESO (" &amp; TEXT(limitePermitido, "0%") &amp; " máx)", "OK"))))</f>
        <v/>
      </c>
      <c r="AP1342" s="79">
        <f>IF(AN1342="","",IF(AE1342=0,"OK",_xlfn.LET(fechaPago, Z1342, fechaFactura, R1342, diasCredito, IF(E1342="Pago inmediato", 0, IFERROR(VALUE(MID(E1342, 1, SEARCH(" ", E1342)-1)),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42" s="79">
        <f>IF(AN1342="","",IF(AND(N1342&gt;0, AG1342&gt;0), IF(Configuración!$K$2="NO", "ALERTA: DESCUENTO DOBLE NO PERMITIDO", "OK"), "OK"))</f>
        <v/>
      </c>
      <c r="AR1342" s="79">
        <f>IF(AN1342="","",IF(OR(AO1342&lt;&gt;"OK", AP1342&lt;&gt;"OK", AQ1342&lt;&gt;"OK"), "⚠️ REVISAR", "OK"))</f>
        <v/>
      </c>
    </row>
    <row r="1343">
      <c r="A1343" s="79">
        <f>IF('Ordenes_Odoo'!A1343="","",'Ordenes_Odoo'!A1343)</f>
        <v/>
      </c>
      <c r="B1343" s="80">
        <f>IF('Ordenes_Odoo'!B1343="","",'Ordenes_Odoo'!B1343)</f>
        <v/>
      </c>
      <c r="C1343" s="79">
        <f>IF('Ordenes_Odoo'!C1343="","",'Ordenes_Odoo'!C1343)</f>
        <v/>
      </c>
      <c r="D1343" s="79">
        <f>IF('Ordenes_Odoo'!D1343="","",'Ordenes_Odoo'!D1343)</f>
        <v/>
      </c>
      <c r="E1343" s="79">
        <f>IF('Ordenes_Odoo'!E1343="","",'Ordenes_Odoo'!E1343)</f>
        <v/>
      </c>
      <c r="F1343" s="79">
        <f>IF('Ordenes_Odoo'!F1343="","",'Ordenes_Odoo'!F1343)</f>
        <v/>
      </c>
      <c r="G1343" s="79">
        <f>IF('Ordenes_Odoo'!G1343="","",'Ordenes_Odoo'!G1343)</f>
        <v/>
      </c>
      <c r="H1343" s="79">
        <f>IF('Ordenes_Odoo'!H1343="","",'Ordenes_Odoo'!H1343)</f>
        <v/>
      </c>
      <c r="I1343" s="79">
        <f>IF('Ordenes_Odoo'!I1343="","",'Ordenes_Odoo'!I1343)</f>
        <v/>
      </c>
      <c r="J1343" s="79">
        <f>IF('Ordenes_Odoo'!J1343="","",'Ordenes_Odoo'!J1343)</f>
        <v/>
      </c>
      <c r="K1343" s="81">
        <f>IF('Ordenes_Odoo'!K1343="","",'Ordenes_Odoo'!K1343)</f>
        <v/>
      </c>
      <c r="L1343" s="81">
        <f>IF('Ordenes_Odoo'!L1343="","",'Ordenes_Odoo'!L1343)</f>
        <v/>
      </c>
      <c r="M1343" s="79">
        <f>IF('Ordenes_Odoo'!M1343="","",'Ordenes_Odoo'!M1343)</f>
        <v/>
      </c>
      <c r="N1343" s="79">
        <f>IF('Ordenes_Odoo'!N1343="","",'Ordenes_Odoo'!N1343)</f>
        <v/>
      </c>
      <c r="O1343" s="81">
        <f>IF('Ordenes_Odoo'!O1343="","",'Ordenes_Odoo'!O1343)</f>
        <v/>
      </c>
      <c r="P1343" s="81">
        <f>IF('Ordenes_Odoo'!P1343="","",'Ordenes_Odoo'!P1343)</f>
        <v/>
      </c>
      <c r="Q1343" s="79">
        <f>IF(A1343="","",IFERROR(INDEX(Facturas_Odoo!$B:$B, MATCH(A1343, Facturas_Odoo!$D:$D, 0)), "Sin Factura"))</f>
        <v/>
      </c>
      <c r="R1343" s="80">
        <f>IF(Q1343="Sin Factura","",IFERROR(INDEX(Facturas_Odoo!$A:$A, MATCH(Q1343, Facturas_Odoo!$B:$B, 0)), ""))</f>
        <v/>
      </c>
      <c r="S1343" s="79">
        <f>IF(Q1343="Sin Factura","",IFERROR(_xlfn.XLOOKUP(1, (Facturas_Odoo!$D:$D=A1343) * (Facturas_Odoo!$K:$K=I1343), Facturas_Odoo!$L:$L, ""), ""))</f>
        <v/>
      </c>
      <c r="T1343" s="81">
        <f>IF(Q1343="Sin Factura",0,IFERROR(_xlfn.XLOOKUP(1, (Facturas_Odoo!$D:$D=A1343) * (Facturas_Odoo!$K:$K=I1343), Facturas_Odoo!$M:$M, 0), 0))</f>
        <v/>
      </c>
      <c r="U1343" s="79">
        <f>IF(Q1343="Sin Factura",0,IFERROR(_xlfn.XLOOKUP(1, (Facturas_Odoo!$D:$D=A1343) * (Facturas_Odoo!$K:$K=I1343), Facturas_Odoo!$N:$N, 0), 0))</f>
        <v/>
      </c>
      <c r="V1343" s="79">
        <f>IF(Q1343="Sin Factura",0,IFERROR(_xlfn.XLOOKUP(1, (Facturas_Odoo!$D:$D=A1343) * (Facturas_Odoo!$K:$K=I1343), Facturas_Odoo!$O:$O, 0), 0))</f>
        <v/>
      </c>
      <c r="W1343" s="81">
        <f>IF(Q1343="Sin Factura",0,IFERROR(_xlfn.XLOOKUP(1, (Facturas_Odoo!$D:$D=A1343) * (Facturas_Odoo!$K:$K=I1343), Facturas_Odoo!$Q:$Q, 0), 0))</f>
        <v/>
      </c>
      <c r="X1343" s="79">
        <f>IF(OR(Q1343="Sin Factura",Q1343=""),"",IFERROR(INDEX(Pagos_Odoo!$B:$B, MATCH(Q1343, Pagos_Odoo!$I:$I, 0)), "Sin Pago"))</f>
        <v/>
      </c>
      <c r="Y1343" s="79">
        <f>IF(X1343="Sin Pago","",IFERROR(INDEX(Pagos_Odoo!$C:$C, MATCH(X1343, Pagos_Odoo!$B:$B, 0)), ""))</f>
        <v/>
      </c>
      <c r="Z1343" s="80">
        <f>IF(X1343="Sin Pago","",IFERROR(INDEX(Pagos_Odoo!$A:$A, MATCH(X1343, Pagos_Odoo!$B:$B, 0)), ""))</f>
        <v/>
      </c>
      <c r="AA1343" s="79">
        <f>IF(X1343="Sin Pago","",IFERROR(INDEX(Pagos_Odoo!$F:$F, MATCH(X1343, Pagos_Odoo!$B:$B, 0)), ""))</f>
        <v/>
      </c>
      <c r="AB1343" s="81">
        <f>IF(X1343="Sin Pago",0,IFERROR(INDEX(Pagos_Odoo!$E:$E, MATCH(X1343, Pagos_Odoo!$B:$B, 0)), 0))</f>
        <v/>
      </c>
      <c r="AC1343" s="79">
        <f>IF(X1343="Sin Pago","",IFERROR(INDEX(Pagos_Odoo!$G:$G, MATCH(X1343, Pagos_Odoo!$B:$B, 0)), ""))</f>
        <v/>
      </c>
      <c r="AD1343" s="82" t="n">
        <v>0</v>
      </c>
      <c r="AE1343" s="82" t="n"/>
      <c r="AF1343" s="82" t="n"/>
      <c r="AG1343" s="82">
        <f>IF(AN1343="","",AD1343+AE1343+AF1343)</f>
        <v/>
      </c>
      <c r="AH1343" s="81">
        <f>IF(AN1343="","",P1343*(1-AG1343))</f>
        <v/>
      </c>
      <c r="AI1343" s="81">
        <f>IF(AN1343="","",IF(Q1343="Sin Factura",0,IFERROR(INDEX(Facturas_Odoo!$H:$H, MATCH(Q1343, Facturas_Odoo!$B:$B, 0)), 0)*(1-AG1343)))</f>
        <v/>
      </c>
      <c r="AJ1343" s="81">
        <f>IF(AN1343="","",_xlfn.LET(idVenta, AN1343&amp;"",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43" s="81">
        <f>IF(AN1343="","",AH1343-AJ1343)</f>
        <v/>
      </c>
      <c r="AL1343" s="81">
        <f>IF(AN1343="","",IF(Q1343="Sin Factura","",AI1343-AJ1343))</f>
        <v/>
      </c>
      <c r="AM1343" s="81">
        <f>IF(AN1343="","",IF(Q1343="Sin Factura",0,P1343-IFERROR(INDEX(Facturas_Odoo!$H:$H, MATCH(Q1343, Facturas_Odoo!$B:$B, 0)), 0)))</f>
        <v/>
      </c>
      <c r="AN1343" s="79">
        <f>IF(AND(A1343="", J1343=""), "", IF(A1343&lt;&gt;"", VALUE(MID(A1343,2,LEN(A1343))), AN1342))</f>
        <v/>
      </c>
      <c r="AO1343" s="79">
        <f>IF(AN1343="","",IF(AD1343=0,"OK",_xlfn.LET(monedaPago, IF(AA1343="","USD",AA1343), limitePermitido, IFERROR(VLOOKUP(monedaPago, Configuración!$A$2:$B$3, 2, FALSE), 0.15), IF(AD1343&gt;limitePermitido, "ALERTA: EXCESO (" &amp; TEXT(limitePermitido, "0%") &amp; " máx)", "OK"))))</f>
        <v/>
      </c>
      <c r="AP1343" s="79">
        <f>IF(AN1343="","",IF(AE1343=0,"OK",_xlfn.LET(fechaPago, Z1343, fechaFactura, R1343, diasCredito, IF(E1343="Pago inmediato", 0, IFERROR(VALUE(MID(E1343, 1, SEARCH(" ", E1343)-1)),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43" s="79">
        <f>IF(AN1343="","",IF(AND(N1343&gt;0, AG1343&gt;0), IF(Configuración!$K$2="NO", "ALERTA: DESCUENTO DOBLE NO PERMITIDO", "OK"), "OK"))</f>
        <v/>
      </c>
      <c r="AR1343" s="79">
        <f>IF(AN1343="","",IF(OR(AO1343&lt;&gt;"OK", AP1343&lt;&gt;"OK", AQ1343&lt;&gt;"OK"), "⚠️ REVISAR", "OK"))</f>
        <v/>
      </c>
    </row>
    <row r="1344">
      <c r="A1344" s="79">
        <f>IF('Ordenes_Odoo'!A1344="","",'Ordenes_Odoo'!A1344)</f>
        <v/>
      </c>
      <c r="B1344" s="80">
        <f>IF('Ordenes_Odoo'!B1344="","",'Ordenes_Odoo'!B1344)</f>
        <v/>
      </c>
      <c r="C1344" s="79">
        <f>IF('Ordenes_Odoo'!C1344="","",'Ordenes_Odoo'!C1344)</f>
        <v/>
      </c>
      <c r="D1344" s="79">
        <f>IF('Ordenes_Odoo'!D1344="","",'Ordenes_Odoo'!D1344)</f>
        <v/>
      </c>
      <c r="E1344" s="79">
        <f>IF('Ordenes_Odoo'!E1344="","",'Ordenes_Odoo'!E1344)</f>
        <v/>
      </c>
      <c r="F1344" s="79">
        <f>IF('Ordenes_Odoo'!F1344="","",'Ordenes_Odoo'!F1344)</f>
        <v/>
      </c>
      <c r="G1344" s="79">
        <f>IF('Ordenes_Odoo'!G1344="","",'Ordenes_Odoo'!G1344)</f>
        <v/>
      </c>
      <c r="H1344" s="79">
        <f>IF('Ordenes_Odoo'!H1344="","",'Ordenes_Odoo'!H1344)</f>
        <v/>
      </c>
      <c r="I1344" s="79">
        <f>IF('Ordenes_Odoo'!I1344="","",'Ordenes_Odoo'!I1344)</f>
        <v/>
      </c>
      <c r="J1344" s="79">
        <f>IF('Ordenes_Odoo'!J1344="","",'Ordenes_Odoo'!J1344)</f>
        <v/>
      </c>
      <c r="K1344" s="81">
        <f>IF('Ordenes_Odoo'!K1344="","",'Ordenes_Odoo'!K1344)</f>
        <v/>
      </c>
      <c r="L1344" s="81">
        <f>IF('Ordenes_Odoo'!L1344="","",'Ordenes_Odoo'!L1344)</f>
        <v/>
      </c>
      <c r="M1344" s="79">
        <f>IF('Ordenes_Odoo'!M1344="","",'Ordenes_Odoo'!M1344)</f>
        <v/>
      </c>
      <c r="N1344" s="79">
        <f>IF('Ordenes_Odoo'!N1344="","",'Ordenes_Odoo'!N1344)</f>
        <v/>
      </c>
      <c r="O1344" s="81">
        <f>IF('Ordenes_Odoo'!O1344="","",'Ordenes_Odoo'!O1344)</f>
        <v/>
      </c>
      <c r="P1344" s="81">
        <f>IF('Ordenes_Odoo'!P1344="","",'Ordenes_Odoo'!P1344)</f>
        <v/>
      </c>
      <c r="Q1344" s="79">
        <f>IF(A1344="","",IFERROR(INDEX(Facturas_Odoo!$B:$B, MATCH(A1344, Facturas_Odoo!$D:$D, 0)), "Sin Factura"))</f>
        <v/>
      </c>
      <c r="R1344" s="80">
        <f>IF(Q1344="Sin Factura","",IFERROR(INDEX(Facturas_Odoo!$A:$A, MATCH(Q1344, Facturas_Odoo!$B:$B, 0)), ""))</f>
        <v/>
      </c>
      <c r="S1344" s="79">
        <f>IF(Q1344="Sin Factura","",IFERROR(_xlfn.XLOOKUP(1, (Facturas_Odoo!$D:$D=A1344) * (Facturas_Odoo!$K:$K=I1344), Facturas_Odoo!$L:$L, ""), ""))</f>
        <v/>
      </c>
      <c r="T1344" s="81">
        <f>IF(Q1344="Sin Factura",0,IFERROR(_xlfn.XLOOKUP(1, (Facturas_Odoo!$D:$D=A1344) * (Facturas_Odoo!$K:$K=I1344), Facturas_Odoo!$M:$M, 0), 0))</f>
        <v/>
      </c>
      <c r="U1344" s="79">
        <f>IF(Q1344="Sin Factura",0,IFERROR(_xlfn.XLOOKUP(1, (Facturas_Odoo!$D:$D=A1344) * (Facturas_Odoo!$K:$K=I1344), Facturas_Odoo!$N:$N, 0), 0))</f>
        <v/>
      </c>
      <c r="V1344" s="79">
        <f>IF(Q1344="Sin Factura",0,IFERROR(_xlfn.XLOOKUP(1, (Facturas_Odoo!$D:$D=A1344) * (Facturas_Odoo!$K:$K=I1344), Facturas_Odoo!$O:$O, 0), 0))</f>
        <v/>
      </c>
      <c r="W1344" s="81">
        <f>IF(Q1344="Sin Factura",0,IFERROR(_xlfn.XLOOKUP(1, (Facturas_Odoo!$D:$D=A1344) * (Facturas_Odoo!$K:$K=I1344), Facturas_Odoo!$Q:$Q, 0), 0))</f>
        <v/>
      </c>
      <c r="X1344" s="79">
        <f>IF(OR(Q1344="Sin Factura",Q1344=""),"",IFERROR(INDEX(Pagos_Odoo!$B:$B, MATCH(Q1344, Pagos_Odoo!$I:$I, 0)), "Sin Pago"))</f>
        <v/>
      </c>
      <c r="Y1344" s="79">
        <f>IF(X1344="Sin Pago","",IFERROR(INDEX(Pagos_Odoo!$C:$C, MATCH(X1344, Pagos_Odoo!$B:$B, 0)), ""))</f>
        <v/>
      </c>
      <c r="Z1344" s="80">
        <f>IF(X1344="Sin Pago","",IFERROR(INDEX(Pagos_Odoo!$A:$A, MATCH(X1344, Pagos_Odoo!$B:$B, 0)), ""))</f>
        <v/>
      </c>
      <c r="AA1344" s="79">
        <f>IF(X1344="Sin Pago","",IFERROR(INDEX(Pagos_Odoo!$F:$F, MATCH(X1344, Pagos_Odoo!$B:$B, 0)), ""))</f>
        <v/>
      </c>
      <c r="AB1344" s="81">
        <f>IF(X1344="Sin Pago",0,IFERROR(INDEX(Pagos_Odoo!$E:$E, MATCH(X1344, Pagos_Odoo!$B:$B, 0)), 0))</f>
        <v/>
      </c>
      <c r="AC1344" s="79">
        <f>IF(X1344="Sin Pago","",IFERROR(INDEX(Pagos_Odoo!$G:$G, MATCH(X1344, Pagos_Odoo!$B:$B, 0)), ""))</f>
        <v/>
      </c>
      <c r="AD1344" s="82" t="n">
        <v>0</v>
      </c>
      <c r="AE1344" s="82" t="n"/>
      <c r="AF1344" s="82" t="n"/>
      <c r="AG1344" s="82">
        <f>IF(AN1344="","",AD1344+AE1344+AF1344)</f>
        <v/>
      </c>
      <c r="AH1344" s="81">
        <f>IF(AN1344="","",P1344*(1-AG1344))</f>
        <v/>
      </c>
      <c r="AI1344" s="81">
        <f>IF(AN1344="","",IF(Q1344="Sin Factura",0,IFERROR(INDEX(Facturas_Odoo!$H:$H, MATCH(Q1344, Facturas_Odoo!$B:$B, 0)), 0)*(1-AG1344)))</f>
        <v/>
      </c>
      <c r="AJ1344" s="81">
        <f>IF(AN1344="","",_xlfn.LET(idVenta, AN1344&amp;"",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44" s="81">
        <f>IF(AN1344="","",AH1344-AJ1344)</f>
        <v/>
      </c>
      <c r="AL1344" s="81">
        <f>IF(AN1344="","",IF(Q1344="Sin Factura","",AI1344-AJ1344))</f>
        <v/>
      </c>
      <c r="AM1344" s="81">
        <f>IF(AN1344="","",IF(Q1344="Sin Factura",0,P1344-IFERROR(INDEX(Facturas_Odoo!$H:$H, MATCH(Q1344, Facturas_Odoo!$B:$B, 0)), 0)))</f>
        <v/>
      </c>
      <c r="AN1344" s="79">
        <f>IF(AND(A1344="", J1344=""), "", IF(A1344&lt;&gt;"", VALUE(MID(A1344,2,LEN(A1344))), AN1343))</f>
        <v/>
      </c>
      <c r="AO1344" s="79">
        <f>IF(AN1344="","",IF(AD1344=0,"OK",_xlfn.LET(monedaPago, IF(AA1344="","USD",AA1344), limitePermitido, IFERROR(VLOOKUP(monedaPago, Configuración!$A$2:$B$3, 2, FALSE), 0.15), IF(AD1344&gt;limitePermitido, "ALERTA: EXCESO (" &amp; TEXT(limitePermitido, "0%") &amp; " máx)", "OK"))))</f>
        <v/>
      </c>
      <c r="AP1344" s="79">
        <f>IF(AN1344="","",IF(AE1344=0,"OK",_xlfn.LET(fechaPago, Z1344, fechaFactura, R1344, diasCredito, IF(E1344="Pago inmediato", 0, IFERROR(VALUE(MID(E1344, 1, SEARCH(" ", E1344)-1)),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44" s="79">
        <f>IF(AN1344="","",IF(AND(N1344&gt;0, AG1344&gt;0), IF(Configuración!$K$2="NO", "ALERTA: DESCUENTO DOBLE NO PERMITIDO", "OK"), "OK"))</f>
        <v/>
      </c>
      <c r="AR1344" s="79">
        <f>IF(AN1344="","",IF(OR(AO1344&lt;&gt;"OK", AP1344&lt;&gt;"OK", AQ1344&lt;&gt;"OK"), "⚠️ REVISAR", "OK"))</f>
        <v/>
      </c>
    </row>
    <row r="1345">
      <c r="A1345" s="79">
        <f>IF('Ordenes_Odoo'!A1345="","",'Ordenes_Odoo'!A1345)</f>
        <v/>
      </c>
      <c r="B1345" s="80">
        <f>IF('Ordenes_Odoo'!B1345="","",'Ordenes_Odoo'!B1345)</f>
        <v/>
      </c>
      <c r="C1345" s="79">
        <f>IF('Ordenes_Odoo'!C1345="","",'Ordenes_Odoo'!C1345)</f>
        <v/>
      </c>
      <c r="D1345" s="79">
        <f>IF('Ordenes_Odoo'!D1345="","",'Ordenes_Odoo'!D1345)</f>
        <v/>
      </c>
      <c r="E1345" s="79">
        <f>IF('Ordenes_Odoo'!E1345="","",'Ordenes_Odoo'!E1345)</f>
        <v/>
      </c>
      <c r="F1345" s="79">
        <f>IF('Ordenes_Odoo'!F1345="","",'Ordenes_Odoo'!F1345)</f>
        <v/>
      </c>
      <c r="G1345" s="79">
        <f>IF('Ordenes_Odoo'!G1345="","",'Ordenes_Odoo'!G1345)</f>
        <v/>
      </c>
      <c r="H1345" s="79">
        <f>IF('Ordenes_Odoo'!H1345="","",'Ordenes_Odoo'!H1345)</f>
        <v/>
      </c>
      <c r="I1345" s="79">
        <f>IF('Ordenes_Odoo'!I1345="","",'Ordenes_Odoo'!I1345)</f>
        <v/>
      </c>
      <c r="J1345" s="79">
        <f>IF('Ordenes_Odoo'!J1345="","",'Ordenes_Odoo'!J1345)</f>
        <v/>
      </c>
      <c r="K1345" s="81">
        <f>IF('Ordenes_Odoo'!K1345="","",'Ordenes_Odoo'!K1345)</f>
        <v/>
      </c>
      <c r="L1345" s="81">
        <f>IF('Ordenes_Odoo'!L1345="","",'Ordenes_Odoo'!L1345)</f>
        <v/>
      </c>
      <c r="M1345" s="79">
        <f>IF('Ordenes_Odoo'!M1345="","",'Ordenes_Odoo'!M1345)</f>
        <v/>
      </c>
      <c r="N1345" s="79">
        <f>IF('Ordenes_Odoo'!N1345="","",'Ordenes_Odoo'!N1345)</f>
        <v/>
      </c>
      <c r="O1345" s="81">
        <f>IF('Ordenes_Odoo'!O1345="","",'Ordenes_Odoo'!O1345)</f>
        <v/>
      </c>
      <c r="P1345" s="81">
        <f>IF('Ordenes_Odoo'!P1345="","",'Ordenes_Odoo'!P1345)</f>
        <v/>
      </c>
      <c r="Q1345" s="79">
        <f>IF(A1345="","",IFERROR(INDEX(Facturas_Odoo!$B:$B, MATCH(A1345, Facturas_Odoo!$D:$D, 0)), "Sin Factura"))</f>
        <v/>
      </c>
      <c r="R1345" s="80">
        <f>IF(Q1345="Sin Factura","",IFERROR(INDEX(Facturas_Odoo!$A:$A, MATCH(Q1345, Facturas_Odoo!$B:$B, 0)), ""))</f>
        <v/>
      </c>
      <c r="S1345" s="79">
        <f>IF(Q1345="Sin Factura","",IFERROR(_xlfn.XLOOKUP(1, (Facturas_Odoo!$D:$D=A1345) * (Facturas_Odoo!$K:$K=I1345), Facturas_Odoo!$L:$L, ""), ""))</f>
        <v/>
      </c>
      <c r="T1345" s="81">
        <f>IF(Q1345="Sin Factura",0,IFERROR(_xlfn.XLOOKUP(1, (Facturas_Odoo!$D:$D=A1345) * (Facturas_Odoo!$K:$K=I1345), Facturas_Odoo!$M:$M, 0), 0))</f>
        <v/>
      </c>
      <c r="U1345" s="79">
        <f>IF(Q1345="Sin Factura",0,IFERROR(_xlfn.XLOOKUP(1, (Facturas_Odoo!$D:$D=A1345) * (Facturas_Odoo!$K:$K=I1345), Facturas_Odoo!$N:$N, 0), 0))</f>
        <v/>
      </c>
      <c r="V1345" s="79">
        <f>IF(Q1345="Sin Factura",0,IFERROR(_xlfn.XLOOKUP(1, (Facturas_Odoo!$D:$D=A1345) * (Facturas_Odoo!$K:$K=I1345), Facturas_Odoo!$O:$O, 0), 0))</f>
        <v/>
      </c>
      <c r="W1345" s="81">
        <f>IF(Q1345="Sin Factura",0,IFERROR(_xlfn.XLOOKUP(1, (Facturas_Odoo!$D:$D=A1345) * (Facturas_Odoo!$K:$K=I1345), Facturas_Odoo!$Q:$Q, 0), 0))</f>
        <v/>
      </c>
      <c r="X1345" s="79">
        <f>IF(OR(Q1345="Sin Factura",Q1345=""),"",IFERROR(INDEX(Pagos_Odoo!$B:$B, MATCH(Q1345, Pagos_Odoo!$I:$I, 0)), "Sin Pago"))</f>
        <v/>
      </c>
      <c r="Y1345" s="79">
        <f>IF(X1345="Sin Pago","",IFERROR(INDEX(Pagos_Odoo!$C:$C, MATCH(X1345, Pagos_Odoo!$B:$B, 0)), ""))</f>
        <v/>
      </c>
      <c r="Z1345" s="80">
        <f>IF(X1345="Sin Pago","",IFERROR(INDEX(Pagos_Odoo!$A:$A, MATCH(X1345, Pagos_Odoo!$B:$B, 0)), ""))</f>
        <v/>
      </c>
      <c r="AA1345" s="79">
        <f>IF(X1345="Sin Pago","",IFERROR(INDEX(Pagos_Odoo!$F:$F, MATCH(X1345, Pagos_Odoo!$B:$B, 0)), ""))</f>
        <v/>
      </c>
      <c r="AB1345" s="81">
        <f>IF(X1345="Sin Pago",0,IFERROR(INDEX(Pagos_Odoo!$E:$E, MATCH(X1345, Pagos_Odoo!$B:$B, 0)), 0))</f>
        <v/>
      </c>
      <c r="AC1345" s="79">
        <f>IF(X1345="Sin Pago","",IFERROR(INDEX(Pagos_Odoo!$G:$G, MATCH(X1345, Pagos_Odoo!$B:$B, 0)), ""))</f>
        <v/>
      </c>
      <c r="AD1345" s="82" t="n">
        <v>0</v>
      </c>
      <c r="AE1345" s="82" t="n">
        <v>0.02</v>
      </c>
      <c r="AF1345" s="82" t="n"/>
      <c r="AG1345" s="82">
        <f>IF(AN1345="","",AD1345+AE1345+AF1345)</f>
        <v/>
      </c>
      <c r="AH1345" s="81">
        <f>IF(AN1345="","",P1345*(1-AG1345))</f>
        <v/>
      </c>
      <c r="AI1345" s="81">
        <f>IF(AN1345="","",IF(Q1345="Sin Factura",0,IFERROR(INDEX(Facturas_Odoo!$H:$H, MATCH(Q1345, Facturas_Odoo!$B:$B, 0)), 0)*(1-AG1345)))</f>
        <v/>
      </c>
      <c r="AJ1345" s="81">
        <f>IF(AN1345="","",_xlfn.LET(idVenta, AN1345&amp;"",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45" s="81">
        <f>IF(AN1345="","",AH1345-AJ1345)</f>
        <v/>
      </c>
      <c r="AL1345" s="81">
        <f>IF(AN1345="","",IF(Q1345="Sin Factura","",AI1345-AJ1345))</f>
        <v/>
      </c>
      <c r="AM1345" s="81">
        <f>IF(AN1345="","",IF(Q1345="Sin Factura",0,P1345-IFERROR(INDEX(Facturas_Odoo!$H:$H, MATCH(Q1345, Facturas_Odoo!$B:$B, 0)), 0)))</f>
        <v/>
      </c>
      <c r="AN1345" s="79">
        <f>IF(AND(A1345="", J1345=""), "", IF(A1345&lt;&gt;"", VALUE(MID(A1345,2,LEN(A1345))), AN1344))</f>
        <v/>
      </c>
      <c r="AO1345" s="79">
        <f>IF(AN1345="","",IF(AD1345=0,"OK",_xlfn.LET(monedaPago, IF(AA1345="","USD",AA1345), limitePermitido, IFERROR(VLOOKUP(monedaPago, Configuración!$A$2:$B$3, 2, FALSE), 0.15), IF(AD1345&gt;limitePermitido, "ALERTA: EXCESO (" &amp; TEXT(limitePermitido, "0%") &amp; " máx)", "OK"))))</f>
        <v/>
      </c>
      <c r="AP1345" s="79">
        <f>IF(AN1345="","",IF(AE1345=0,"OK",_xlfn.LET(fechaPago, Z1345, fechaFactura, R1345, diasCredito, IF(E1345="Pago inmediato", 0, IFERROR(VALUE(MID(E1345, 1, SEARCH(" ", E1345)-1)),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45" s="79">
        <f>IF(AN1345="","",IF(AND(N1345&gt;0, AG1345&gt;0), IF(Configuración!$K$2="NO", "ALERTA: DESCUENTO DOBLE NO PERMITIDO", "OK"), "OK"))</f>
        <v/>
      </c>
      <c r="AR1345" s="79">
        <f>IF(AN1345="","",IF(OR(AO1345&lt;&gt;"OK", AP1345&lt;&gt;"OK", AQ1345&lt;&gt;"OK"), "⚠️ REVISAR", "OK"))</f>
        <v/>
      </c>
    </row>
    <row r="1346">
      <c r="A1346" s="79">
        <f>IF('Ordenes_Odoo'!A1346="","",'Ordenes_Odoo'!A1346)</f>
        <v/>
      </c>
      <c r="B1346" s="80">
        <f>IF('Ordenes_Odoo'!B1346="","",'Ordenes_Odoo'!B1346)</f>
        <v/>
      </c>
      <c r="C1346" s="79">
        <f>IF('Ordenes_Odoo'!C1346="","",'Ordenes_Odoo'!C1346)</f>
        <v/>
      </c>
      <c r="D1346" s="79">
        <f>IF('Ordenes_Odoo'!D1346="","",'Ordenes_Odoo'!D1346)</f>
        <v/>
      </c>
      <c r="E1346" s="79">
        <f>IF('Ordenes_Odoo'!E1346="","",'Ordenes_Odoo'!E1346)</f>
        <v/>
      </c>
      <c r="F1346" s="79">
        <f>IF('Ordenes_Odoo'!F1346="","",'Ordenes_Odoo'!F1346)</f>
        <v/>
      </c>
      <c r="G1346" s="79">
        <f>IF('Ordenes_Odoo'!G1346="","",'Ordenes_Odoo'!G1346)</f>
        <v/>
      </c>
      <c r="H1346" s="79">
        <f>IF('Ordenes_Odoo'!H1346="","",'Ordenes_Odoo'!H1346)</f>
        <v/>
      </c>
      <c r="I1346" s="79">
        <f>IF('Ordenes_Odoo'!I1346="","",'Ordenes_Odoo'!I1346)</f>
        <v/>
      </c>
      <c r="J1346" s="79">
        <f>IF('Ordenes_Odoo'!J1346="","",'Ordenes_Odoo'!J1346)</f>
        <v/>
      </c>
      <c r="K1346" s="81">
        <f>IF('Ordenes_Odoo'!K1346="","",'Ordenes_Odoo'!K1346)</f>
        <v/>
      </c>
      <c r="L1346" s="81">
        <f>IF('Ordenes_Odoo'!L1346="","",'Ordenes_Odoo'!L1346)</f>
        <v/>
      </c>
      <c r="M1346" s="79">
        <f>IF('Ordenes_Odoo'!M1346="","",'Ordenes_Odoo'!M1346)</f>
        <v/>
      </c>
      <c r="N1346" s="79">
        <f>IF('Ordenes_Odoo'!N1346="","",'Ordenes_Odoo'!N1346)</f>
        <v/>
      </c>
      <c r="O1346" s="81">
        <f>IF('Ordenes_Odoo'!O1346="","",'Ordenes_Odoo'!O1346)</f>
        <v/>
      </c>
      <c r="P1346" s="81">
        <f>IF('Ordenes_Odoo'!P1346="","",'Ordenes_Odoo'!P1346)</f>
        <v/>
      </c>
      <c r="Q1346" s="79">
        <f>IF(A1346="","",IFERROR(INDEX(Facturas_Odoo!$B:$B, MATCH(A1346, Facturas_Odoo!$D:$D, 0)), "Sin Factura"))</f>
        <v/>
      </c>
      <c r="R1346" s="80">
        <f>IF(Q1346="Sin Factura","",IFERROR(INDEX(Facturas_Odoo!$A:$A, MATCH(Q1346, Facturas_Odoo!$B:$B, 0)), ""))</f>
        <v/>
      </c>
      <c r="S1346" s="79">
        <f>IF(Q1346="Sin Factura","",IFERROR(_xlfn.XLOOKUP(1, (Facturas_Odoo!$D:$D=A1346) * (Facturas_Odoo!$K:$K=I1346), Facturas_Odoo!$L:$L, ""), ""))</f>
        <v/>
      </c>
      <c r="T1346" s="81">
        <f>IF(Q1346="Sin Factura",0,IFERROR(_xlfn.XLOOKUP(1, (Facturas_Odoo!$D:$D=A1346) * (Facturas_Odoo!$K:$K=I1346), Facturas_Odoo!$M:$M, 0), 0))</f>
        <v/>
      </c>
      <c r="U1346" s="79">
        <f>IF(Q1346="Sin Factura",0,IFERROR(_xlfn.XLOOKUP(1, (Facturas_Odoo!$D:$D=A1346) * (Facturas_Odoo!$K:$K=I1346), Facturas_Odoo!$N:$N, 0), 0))</f>
        <v/>
      </c>
      <c r="V1346" s="79">
        <f>IF(Q1346="Sin Factura",0,IFERROR(_xlfn.XLOOKUP(1, (Facturas_Odoo!$D:$D=A1346) * (Facturas_Odoo!$K:$K=I1346), Facturas_Odoo!$O:$O, 0), 0))</f>
        <v/>
      </c>
      <c r="W1346" s="81">
        <f>IF(Q1346="Sin Factura",0,IFERROR(_xlfn.XLOOKUP(1, (Facturas_Odoo!$D:$D=A1346) * (Facturas_Odoo!$K:$K=I1346), Facturas_Odoo!$Q:$Q, 0), 0))</f>
        <v/>
      </c>
      <c r="X1346" s="79">
        <f>IF(OR(Q1346="Sin Factura",Q1346=""),"",IFERROR(INDEX(Pagos_Odoo!$B:$B, MATCH(Q1346, Pagos_Odoo!$I:$I, 0)), "Sin Pago"))</f>
        <v/>
      </c>
      <c r="Y1346" s="79">
        <f>IF(X1346="Sin Pago","",IFERROR(INDEX(Pagos_Odoo!$C:$C, MATCH(X1346, Pagos_Odoo!$B:$B, 0)), ""))</f>
        <v/>
      </c>
      <c r="Z1346" s="80">
        <f>IF(X1346="Sin Pago","",IFERROR(INDEX(Pagos_Odoo!$A:$A, MATCH(X1346, Pagos_Odoo!$B:$B, 0)), ""))</f>
        <v/>
      </c>
      <c r="AA1346" s="79">
        <f>IF(X1346="Sin Pago","",IFERROR(INDEX(Pagos_Odoo!$F:$F, MATCH(X1346, Pagos_Odoo!$B:$B, 0)), ""))</f>
        <v/>
      </c>
      <c r="AB1346" s="81">
        <f>IF(X1346="Sin Pago",0,IFERROR(INDEX(Pagos_Odoo!$E:$E, MATCH(X1346, Pagos_Odoo!$B:$B, 0)), 0))</f>
        <v/>
      </c>
      <c r="AC1346" s="79">
        <f>IF(X1346="Sin Pago","",IFERROR(INDEX(Pagos_Odoo!$G:$G, MATCH(X1346, Pagos_Odoo!$B:$B, 0)), ""))</f>
        <v/>
      </c>
      <c r="AD1346" s="82" t="n">
        <v>0</v>
      </c>
      <c r="AE1346" s="82" t="n"/>
      <c r="AF1346" s="82" t="n"/>
      <c r="AG1346" s="82">
        <f>IF(AN1346="","",AD1346+AE1346+AF1346)</f>
        <v/>
      </c>
      <c r="AH1346" s="81">
        <f>IF(AN1346="","",P1346*(1-AG1346))</f>
        <v/>
      </c>
      <c r="AI1346" s="81">
        <f>IF(AN1346="","",IF(Q1346="Sin Factura",0,IFERROR(INDEX(Facturas_Odoo!$H:$H, MATCH(Q1346, Facturas_Odoo!$B:$B, 0)), 0)*(1-AG1346)))</f>
        <v/>
      </c>
      <c r="AJ1346" s="81">
        <f>IF(AN1346="","",_xlfn.LET(idVenta, AN1346&amp;"",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46" s="81">
        <f>IF(AN1346="","",AH1346-AJ1346)</f>
        <v/>
      </c>
      <c r="AL1346" s="81">
        <f>IF(AN1346="","",IF(Q1346="Sin Factura","",AI1346-AJ1346))</f>
        <v/>
      </c>
      <c r="AM1346" s="81">
        <f>IF(AN1346="","",IF(Q1346="Sin Factura",0,P1346-IFERROR(INDEX(Facturas_Odoo!$H:$H, MATCH(Q1346, Facturas_Odoo!$B:$B, 0)), 0)))</f>
        <v/>
      </c>
      <c r="AN1346" s="79">
        <f>IF(AND(A1346="", J1346=""), "", IF(A1346&lt;&gt;"", VALUE(MID(A1346,2,LEN(A1346))), AN1345))</f>
        <v/>
      </c>
      <c r="AO1346" s="79">
        <f>IF(AN1346="","",IF(AD1346=0,"OK",_xlfn.LET(monedaPago, IF(AA1346="","USD",AA1346), limitePermitido, IFERROR(VLOOKUP(monedaPago, Configuración!$A$2:$B$3, 2, FALSE), 0.15), IF(AD1346&gt;limitePermitido, "ALERTA: EXCESO (" &amp; TEXT(limitePermitido, "0%") &amp; " máx)", "OK"))))</f>
        <v/>
      </c>
      <c r="AP1346" s="79">
        <f>IF(AN1346="","",IF(AE1346=0,"OK",_xlfn.LET(fechaPago, Z1346, fechaFactura, R1346, diasCredito, IF(E1346="Pago inmediato", 0, IFERROR(VALUE(MID(E1346, 1, SEARCH(" ", E1346)-1)),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46" s="79">
        <f>IF(AN1346="","",IF(AND(N1346&gt;0, AG1346&gt;0), IF(Configuración!$K$2="NO", "ALERTA: DESCUENTO DOBLE NO PERMITIDO", "OK"), "OK"))</f>
        <v/>
      </c>
      <c r="AR1346" s="79">
        <f>IF(AN1346="","",IF(OR(AO1346&lt;&gt;"OK", AP1346&lt;&gt;"OK", AQ1346&lt;&gt;"OK"), "⚠️ REVISAR", "OK"))</f>
        <v/>
      </c>
    </row>
    <row r="1347">
      <c r="A1347" s="79">
        <f>IF('Ordenes_Odoo'!A1347="","",'Ordenes_Odoo'!A1347)</f>
        <v/>
      </c>
      <c r="B1347" s="80">
        <f>IF('Ordenes_Odoo'!B1347="","",'Ordenes_Odoo'!B1347)</f>
        <v/>
      </c>
      <c r="C1347" s="79">
        <f>IF('Ordenes_Odoo'!C1347="","",'Ordenes_Odoo'!C1347)</f>
        <v/>
      </c>
      <c r="D1347" s="79">
        <f>IF('Ordenes_Odoo'!D1347="","",'Ordenes_Odoo'!D1347)</f>
        <v/>
      </c>
      <c r="E1347" s="79">
        <f>IF('Ordenes_Odoo'!E1347="","",'Ordenes_Odoo'!E1347)</f>
        <v/>
      </c>
      <c r="F1347" s="79">
        <f>IF('Ordenes_Odoo'!F1347="","",'Ordenes_Odoo'!F1347)</f>
        <v/>
      </c>
      <c r="G1347" s="79">
        <f>IF('Ordenes_Odoo'!G1347="","",'Ordenes_Odoo'!G1347)</f>
        <v/>
      </c>
      <c r="H1347" s="79">
        <f>IF('Ordenes_Odoo'!H1347="","",'Ordenes_Odoo'!H1347)</f>
        <v/>
      </c>
      <c r="I1347" s="79">
        <f>IF('Ordenes_Odoo'!I1347="","",'Ordenes_Odoo'!I1347)</f>
        <v/>
      </c>
      <c r="J1347" s="79">
        <f>IF('Ordenes_Odoo'!J1347="","",'Ordenes_Odoo'!J1347)</f>
        <v/>
      </c>
      <c r="K1347" s="81">
        <f>IF('Ordenes_Odoo'!K1347="","",'Ordenes_Odoo'!K1347)</f>
        <v/>
      </c>
      <c r="L1347" s="81">
        <f>IF('Ordenes_Odoo'!L1347="","",'Ordenes_Odoo'!L1347)</f>
        <v/>
      </c>
      <c r="M1347" s="79">
        <f>IF('Ordenes_Odoo'!M1347="","",'Ordenes_Odoo'!M1347)</f>
        <v/>
      </c>
      <c r="N1347" s="79">
        <f>IF('Ordenes_Odoo'!N1347="","",'Ordenes_Odoo'!N1347)</f>
        <v/>
      </c>
      <c r="O1347" s="81">
        <f>IF('Ordenes_Odoo'!O1347="","",'Ordenes_Odoo'!O1347)</f>
        <v/>
      </c>
      <c r="P1347" s="81">
        <f>IF('Ordenes_Odoo'!P1347="","",'Ordenes_Odoo'!P1347)</f>
        <v/>
      </c>
      <c r="Q1347" s="79">
        <f>IF(A1347="","",IFERROR(INDEX(Facturas_Odoo!$B:$B, MATCH(A1347, Facturas_Odoo!$D:$D, 0)), "Sin Factura"))</f>
        <v/>
      </c>
      <c r="R1347" s="80">
        <f>IF(Q1347="Sin Factura","",IFERROR(INDEX(Facturas_Odoo!$A:$A, MATCH(Q1347, Facturas_Odoo!$B:$B, 0)), ""))</f>
        <v/>
      </c>
      <c r="S1347" s="79">
        <f>IF(Q1347="Sin Factura","",IFERROR(_xlfn.XLOOKUP(1, (Facturas_Odoo!$D:$D=A1347) * (Facturas_Odoo!$K:$K=I1347), Facturas_Odoo!$L:$L, ""), ""))</f>
        <v/>
      </c>
      <c r="T1347" s="81">
        <f>IF(Q1347="Sin Factura",0,IFERROR(_xlfn.XLOOKUP(1, (Facturas_Odoo!$D:$D=A1347) * (Facturas_Odoo!$K:$K=I1347), Facturas_Odoo!$M:$M, 0), 0))</f>
        <v/>
      </c>
      <c r="U1347" s="79">
        <f>IF(Q1347="Sin Factura",0,IFERROR(_xlfn.XLOOKUP(1, (Facturas_Odoo!$D:$D=A1347) * (Facturas_Odoo!$K:$K=I1347), Facturas_Odoo!$N:$N, 0), 0))</f>
        <v/>
      </c>
      <c r="V1347" s="79">
        <f>IF(Q1347="Sin Factura",0,IFERROR(_xlfn.XLOOKUP(1, (Facturas_Odoo!$D:$D=A1347) * (Facturas_Odoo!$K:$K=I1347), Facturas_Odoo!$O:$O, 0), 0))</f>
        <v/>
      </c>
      <c r="W1347" s="81">
        <f>IF(Q1347="Sin Factura",0,IFERROR(_xlfn.XLOOKUP(1, (Facturas_Odoo!$D:$D=A1347) * (Facturas_Odoo!$K:$K=I1347), Facturas_Odoo!$Q:$Q, 0), 0))</f>
        <v/>
      </c>
      <c r="X1347" s="79">
        <f>IF(OR(Q1347="Sin Factura",Q1347=""),"",IFERROR(INDEX(Pagos_Odoo!$B:$B, MATCH(Q1347, Pagos_Odoo!$I:$I, 0)), "Sin Pago"))</f>
        <v/>
      </c>
      <c r="Y1347" s="79">
        <f>IF(X1347="Sin Pago","",IFERROR(INDEX(Pagos_Odoo!$C:$C, MATCH(X1347, Pagos_Odoo!$B:$B, 0)), ""))</f>
        <v/>
      </c>
      <c r="Z1347" s="80">
        <f>IF(X1347="Sin Pago","",IFERROR(INDEX(Pagos_Odoo!$A:$A, MATCH(X1347, Pagos_Odoo!$B:$B, 0)), ""))</f>
        <v/>
      </c>
      <c r="AA1347" s="79">
        <f>IF(X1347="Sin Pago","",IFERROR(INDEX(Pagos_Odoo!$F:$F, MATCH(X1347, Pagos_Odoo!$B:$B, 0)), ""))</f>
        <v/>
      </c>
      <c r="AB1347" s="81">
        <f>IF(X1347="Sin Pago",0,IFERROR(INDEX(Pagos_Odoo!$E:$E, MATCH(X1347, Pagos_Odoo!$B:$B, 0)), 0))</f>
        <v/>
      </c>
      <c r="AC1347" s="79">
        <f>IF(X1347="Sin Pago","",IFERROR(INDEX(Pagos_Odoo!$G:$G, MATCH(X1347, Pagos_Odoo!$B:$B, 0)), ""))</f>
        <v/>
      </c>
      <c r="AD1347" s="82" t="n">
        <v>0</v>
      </c>
      <c r="AE1347" s="82" t="n"/>
      <c r="AF1347" s="82" t="n"/>
      <c r="AG1347" s="82">
        <f>IF(AN1347="","",AD1347+AE1347+AF1347)</f>
        <v/>
      </c>
      <c r="AH1347" s="81">
        <f>IF(AN1347="","",P1347*(1-AG1347))</f>
        <v/>
      </c>
      <c r="AI1347" s="81">
        <f>IF(AN1347="","",IF(Q1347="Sin Factura",0,IFERROR(INDEX(Facturas_Odoo!$H:$H, MATCH(Q1347, Facturas_Odoo!$B:$B, 0)), 0)*(1-AG1347)))</f>
        <v/>
      </c>
      <c r="AJ1347" s="81">
        <f>IF(AN1347="","",_xlfn.LET(idVenta, AN1347&amp;"",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47" s="81">
        <f>IF(AN1347="","",AH1347-AJ1347)</f>
        <v/>
      </c>
      <c r="AL1347" s="81">
        <f>IF(AN1347="","",IF(Q1347="Sin Factura","",AI1347-AJ1347))</f>
        <v/>
      </c>
      <c r="AM1347" s="81">
        <f>IF(AN1347="","",IF(Q1347="Sin Factura",0,P1347-IFERROR(INDEX(Facturas_Odoo!$H:$H, MATCH(Q1347, Facturas_Odoo!$B:$B, 0)), 0)))</f>
        <v/>
      </c>
      <c r="AN1347" s="79">
        <f>IF(AND(A1347="", J1347=""), "", IF(A1347&lt;&gt;"", VALUE(MID(A1347,2,LEN(A1347))), AN1346))</f>
        <v/>
      </c>
      <c r="AO1347" s="79">
        <f>IF(AN1347="","",IF(AD1347=0,"OK",_xlfn.LET(monedaPago, IF(AA1347="","USD",AA1347), limitePermitido, IFERROR(VLOOKUP(monedaPago, Configuración!$A$2:$B$3, 2, FALSE), 0.15), IF(AD1347&gt;limitePermitido, "ALERTA: EXCESO (" &amp; TEXT(limitePermitido, "0%") &amp; " máx)", "OK"))))</f>
        <v/>
      </c>
      <c r="AP1347" s="79">
        <f>IF(AN1347="","",IF(AE1347=0,"OK",_xlfn.LET(fechaPago, Z1347, fechaFactura, R1347, diasCredito, IF(E1347="Pago inmediato", 0, IFERROR(VALUE(MID(E1347, 1, SEARCH(" ", E1347)-1)),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47" s="79">
        <f>IF(AN1347="","",IF(AND(N1347&gt;0, AG1347&gt;0), IF(Configuración!$K$2="NO", "ALERTA: DESCUENTO DOBLE NO PERMITIDO", "OK"), "OK"))</f>
        <v/>
      </c>
      <c r="AR1347" s="79">
        <f>IF(AN1347="","",IF(OR(AO1347&lt;&gt;"OK", AP1347&lt;&gt;"OK", AQ1347&lt;&gt;"OK"), "⚠️ REVISAR", "OK"))</f>
        <v/>
      </c>
    </row>
    <row r="1348">
      <c r="A1348" s="79">
        <f>IF('Ordenes_Odoo'!A1348="","",'Ordenes_Odoo'!A1348)</f>
        <v/>
      </c>
      <c r="B1348" s="80">
        <f>IF('Ordenes_Odoo'!B1348="","",'Ordenes_Odoo'!B1348)</f>
        <v/>
      </c>
      <c r="C1348" s="79">
        <f>IF('Ordenes_Odoo'!C1348="","",'Ordenes_Odoo'!C1348)</f>
        <v/>
      </c>
      <c r="D1348" s="79">
        <f>IF('Ordenes_Odoo'!D1348="","",'Ordenes_Odoo'!D1348)</f>
        <v/>
      </c>
      <c r="E1348" s="79">
        <f>IF('Ordenes_Odoo'!E1348="","",'Ordenes_Odoo'!E1348)</f>
        <v/>
      </c>
      <c r="F1348" s="79">
        <f>IF('Ordenes_Odoo'!F1348="","",'Ordenes_Odoo'!F1348)</f>
        <v/>
      </c>
      <c r="G1348" s="79">
        <f>IF('Ordenes_Odoo'!G1348="","",'Ordenes_Odoo'!G1348)</f>
        <v/>
      </c>
      <c r="H1348" s="79">
        <f>IF('Ordenes_Odoo'!H1348="","",'Ordenes_Odoo'!H1348)</f>
        <v/>
      </c>
      <c r="I1348" s="79">
        <f>IF('Ordenes_Odoo'!I1348="","",'Ordenes_Odoo'!I1348)</f>
        <v/>
      </c>
      <c r="J1348" s="79">
        <f>IF('Ordenes_Odoo'!J1348="","",'Ordenes_Odoo'!J1348)</f>
        <v/>
      </c>
      <c r="K1348" s="81">
        <f>IF('Ordenes_Odoo'!K1348="","",'Ordenes_Odoo'!K1348)</f>
        <v/>
      </c>
      <c r="L1348" s="81">
        <f>IF('Ordenes_Odoo'!L1348="","",'Ordenes_Odoo'!L1348)</f>
        <v/>
      </c>
      <c r="M1348" s="79">
        <f>IF('Ordenes_Odoo'!M1348="","",'Ordenes_Odoo'!M1348)</f>
        <v/>
      </c>
      <c r="N1348" s="79">
        <f>IF('Ordenes_Odoo'!N1348="","",'Ordenes_Odoo'!N1348)</f>
        <v/>
      </c>
      <c r="O1348" s="81">
        <f>IF('Ordenes_Odoo'!O1348="","",'Ordenes_Odoo'!O1348)</f>
        <v/>
      </c>
      <c r="P1348" s="81">
        <f>IF('Ordenes_Odoo'!P1348="","",'Ordenes_Odoo'!P1348)</f>
        <v/>
      </c>
      <c r="Q1348" s="79">
        <f>IF(A1348="","",IFERROR(INDEX(Facturas_Odoo!$B:$B, MATCH(A1348, Facturas_Odoo!$D:$D, 0)), "Sin Factura"))</f>
        <v/>
      </c>
      <c r="R1348" s="80">
        <f>IF(Q1348="Sin Factura","",IFERROR(INDEX(Facturas_Odoo!$A:$A, MATCH(Q1348, Facturas_Odoo!$B:$B, 0)), ""))</f>
        <v/>
      </c>
      <c r="S1348" s="79">
        <f>IF(Q1348="Sin Factura","",IFERROR(_xlfn.XLOOKUP(1, (Facturas_Odoo!$D:$D=A1348) * (Facturas_Odoo!$K:$K=I1348), Facturas_Odoo!$L:$L, ""), ""))</f>
        <v/>
      </c>
      <c r="T1348" s="81">
        <f>IF(Q1348="Sin Factura",0,IFERROR(_xlfn.XLOOKUP(1, (Facturas_Odoo!$D:$D=A1348) * (Facturas_Odoo!$K:$K=I1348), Facturas_Odoo!$M:$M, 0), 0))</f>
        <v/>
      </c>
      <c r="U1348" s="79">
        <f>IF(Q1348="Sin Factura",0,IFERROR(_xlfn.XLOOKUP(1, (Facturas_Odoo!$D:$D=A1348) * (Facturas_Odoo!$K:$K=I1348), Facturas_Odoo!$N:$N, 0), 0))</f>
        <v/>
      </c>
      <c r="V1348" s="79">
        <f>IF(Q1348="Sin Factura",0,IFERROR(_xlfn.XLOOKUP(1, (Facturas_Odoo!$D:$D=A1348) * (Facturas_Odoo!$K:$K=I1348), Facturas_Odoo!$O:$O, 0), 0))</f>
        <v/>
      </c>
      <c r="W1348" s="81">
        <f>IF(Q1348="Sin Factura",0,IFERROR(_xlfn.XLOOKUP(1, (Facturas_Odoo!$D:$D=A1348) * (Facturas_Odoo!$K:$K=I1348), Facturas_Odoo!$Q:$Q, 0), 0))</f>
        <v/>
      </c>
      <c r="X1348" s="79">
        <f>IF(OR(Q1348="Sin Factura",Q1348=""),"",IFERROR(INDEX(Pagos_Odoo!$B:$B, MATCH(Q1348, Pagos_Odoo!$I:$I, 0)), "Sin Pago"))</f>
        <v/>
      </c>
      <c r="Y1348" s="79">
        <f>IF(X1348="Sin Pago","",IFERROR(INDEX(Pagos_Odoo!$C:$C, MATCH(X1348, Pagos_Odoo!$B:$B, 0)), ""))</f>
        <v/>
      </c>
      <c r="Z1348" s="80">
        <f>IF(X1348="Sin Pago","",IFERROR(INDEX(Pagos_Odoo!$A:$A, MATCH(X1348, Pagos_Odoo!$B:$B, 0)), ""))</f>
        <v/>
      </c>
      <c r="AA1348" s="79">
        <f>IF(X1348="Sin Pago","",IFERROR(INDEX(Pagos_Odoo!$F:$F, MATCH(X1348, Pagos_Odoo!$B:$B, 0)), ""))</f>
        <v/>
      </c>
      <c r="AB1348" s="81">
        <f>IF(X1348="Sin Pago",0,IFERROR(INDEX(Pagos_Odoo!$E:$E, MATCH(X1348, Pagos_Odoo!$B:$B, 0)), 0))</f>
        <v/>
      </c>
      <c r="AC1348" s="79">
        <f>IF(X1348="Sin Pago","",IFERROR(INDEX(Pagos_Odoo!$G:$G, MATCH(X1348, Pagos_Odoo!$B:$B, 0)), ""))</f>
        <v/>
      </c>
      <c r="AD1348" s="82" t="n">
        <v>0</v>
      </c>
      <c r="AE1348" s="82" t="n"/>
      <c r="AF1348" s="82" t="n"/>
      <c r="AG1348" s="82">
        <f>IF(AN1348="","",AD1348+AE1348+AF1348)</f>
        <v/>
      </c>
      <c r="AH1348" s="81">
        <f>IF(AN1348="","",P1348*(1-AG1348))</f>
        <v/>
      </c>
      <c r="AI1348" s="81">
        <f>IF(AN1348="","",IF(Q1348="Sin Factura",0,IFERROR(INDEX(Facturas_Odoo!$H:$H, MATCH(Q1348, Facturas_Odoo!$B:$B, 0)), 0)*(1-AG1348)))</f>
        <v/>
      </c>
      <c r="AJ1348" s="81">
        <f>IF(AN1348="","",_xlfn.LET(idVenta, AN1348&amp;"",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48" s="81">
        <f>IF(AN1348="","",AH1348-AJ1348)</f>
        <v/>
      </c>
      <c r="AL1348" s="81">
        <f>IF(AN1348="","",IF(Q1348="Sin Factura","",AI1348-AJ1348))</f>
        <v/>
      </c>
      <c r="AM1348" s="81">
        <f>IF(AN1348="","",IF(Q1348="Sin Factura",0,P1348-IFERROR(INDEX(Facturas_Odoo!$H:$H, MATCH(Q1348, Facturas_Odoo!$B:$B, 0)), 0)))</f>
        <v/>
      </c>
      <c r="AN1348" s="79">
        <f>IF(AND(A1348="", J1348=""), "", IF(A1348&lt;&gt;"", VALUE(MID(A1348,2,LEN(A1348))), AN1347))</f>
        <v/>
      </c>
      <c r="AO1348" s="79">
        <f>IF(AN1348="","",IF(AD1348=0,"OK",_xlfn.LET(monedaPago, IF(AA1348="","USD",AA1348), limitePermitido, IFERROR(VLOOKUP(monedaPago, Configuración!$A$2:$B$3, 2, FALSE), 0.15), IF(AD1348&gt;limitePermitido, "ALERTA: EXCESO (" &amp; TEXT(limitePermitido, "0%") &amp; " máx)", "OK"))))</f>
        <v/>
      </c>
      <c r="AP1348" s="79">
        <f>IF(AN1348="","",IF(AE1348=0,"OK",_xlfn.LET(fechaPago, Z1348, fechaFactura, R1348, diasCredito, IF(E1348="Pago inmediato", 0, IFERROR(VALUE(MID(E1348, 1, SEARCH(" ", E1348)-1)),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48" s="79">
        <f>IF(AN1348="","",IF(AND(N1348&gt;0, AG1348&gt;0), IF(Configuración!$K$2="NO", "ALERTA: DESCUENTO DOBLE NO PERMITIDO", "OK"), "OK"))</f>
        <v/>
      </c>
      <c r="AR1348" s="79">
        <f>IF(AN1348="","",IF(OR(AO1348&lt;&gt;"OK", AP1348&lt;&gt;"OK", AQ1348&lt;&gt;"OK"), "⚠️ REVISAR", "OK"))</f>
        <v/>
      </c>
    </row>
    <row r="1349">
      <c r="A1349" s="79">
        <f>IF('Ordenes_Odoo'!A1349="","",'Ordenes_Odoo'!A1349)</f>
        <v/>
      </c>
      <c r="B1349" s="80">
        <f>IF('Ordenes_Odoo'!B1349="","",'Ordenes_Odoo'!B1349)</f>
        <v/>
      </c>
      <c r="C1349" s="79">
        <f>IF('Ordenes_Odoo'!C1349="","",'Ordenes_Odoo'!C1349)</f>
        <v/>
      </c>
      <c r="D1349" s="79">
        <f>IF('Ordenes_Odoo'!D1349="","",'Ordenes_Odoo'!D1349)</f>
        <v/>
      </c>
      <c r="E1349" s="79">
        <f>IF('Ordenes_Odoo'!E1349="","",'Ordenes_Odoo'!E1349)</f>
        <v/>
      </c>
      <c r="F1349" s="79">
        <f>IF('Ordenes_Odoo'!F1349="","",'Ordenes_Odoo'!F1349)</f>
        <v/>
      </c>
      <c r="G1349" s="79">
        <f>IF('Ordenes_Odoo'!G1349="","",'Ordenes_Odoo'!G1349)</f>
        <v/>
      </c>
      <c r="H1349" s="79">
        <f>IF('Ordenes_Odoo'!H1349="","",'Ordenes_Odoo'!H1349)</f>
        <v/>
      </c>
      <c r="I1349" s="79">
        <f>IF('Ordenes_Odoo'!I1349="","",'Ordenes_Odoo'!I1349)</f>
        <v/>
      </c>
      <c r="J1349" s="79">
        <f>IF('Ordenes_Odoo'!J1349="","",'Ordenes_Odoo'!J1349)</f>
        <v/>
      </c>
      <c r="K1349" s="81">
        <f>IF('Ordenes_Odoo'!K1349="","",'Ordenes_Odoo'!K1349)</f>
        <v/>
      </c>
      <c r="L1349" s="81">
        <f>IF('Ordenes_Odoo'!L1349="","",'Ordenes_Odoo'!L1349)</f>
        <v/>
      </c>
      <c r="M1349" s="79">
        <f>IF('Ordenes_Odoo'!M1349="","",'Ordenes_Odoo'!M1349)</f>
        <v/>
      </c>
      <c r="N1349" s="79">
        <f>IF('Ordenes_Odoo'!N1349="","",'Ordenes_Odoo'!N1349)</f>
        <v/>
      </c>
      <c r="O1349" s="81">
        <f>IF('Ordenes_Odoo'!O1349="","",'Ordenes_Odoo'!O1349)</f>
        <v/>
      </c>
      <c r="P1349" s="81">
        <f>IF('Ordenes_Odoo'!P1349="","",'Ordenes_Odoo'!P1349)</f>
        <v/>
      </c>
      <c r="Q1349" s="79">
        <f>IF(A1349="","",IFERROR(INDEX(Facturas_Odoo!$B:$B, MATCH(A1349, Facturas_Odoo!$D:$D, 0)), "Sin Factura"))</f>
        <v/>
      </c>
      <c r="R1349" s="80">
        <f>IF(Q1349="Sin Factura","",IFERROR(INDEX(Facturas_Odoo!$A:$A, MATCH(Q1349, Facturas_Odoo!$B:$B, 0)), ""))</f>
        <v/>
      </c>
      <c r="S1349" s="79">
        <f>IF(Q1349="Sin Factura","",IFERROR(_xlfn.XLOOKUP(1, (Facturas_Odoo!$D:$D=A1349) * (Facturas_Odoo!$K:$K=I1349), Facturas_Odoo!$L:$L, ""), ""))</f>
        <v/>
      </c>
      <c r="T1349" s="81">
        <f>IF(Q1349="Sin Factura",0,IFERROR(_xlfn.XLOOKUP(1, (Facturas_Odoo!$D:$D=A1349) * (Facturas_Odoo!$K:$K=I1349), Facturas_Odoo!$M:$M, 0), 0))</f>
        <v/>
      </c>
      <c r="U1349" s="79">
        <f>IF(Q1349="Sin Factura",0,IFERROR(_xlfn.XLOOKUP(1, (Facturas_Odoo!$D:$D=A1349) * (Facturas_Odoo!$K:$K=I1349), Facturas_Odoo!$N:$N, 0), 0))</f>
        <v/>
      </c>
      <c r="V1349" s="79">
        <f>IF(Q1349="Sin Factura",0,IFERROR(_xlfn.XLOOKUP(1, (Facturas_Odoo!$D:$D=A1349) * (Facturas_Odoo!$K:$K=I1349), Facturas_Odoo!$O:$O, 0), 0))</f>
        <v/>
      </c>
      <c r="W1349" s="81">
        <f>IF(Q1349="Sin Factura",0,IFERROR(_xlfn.XLOOKUP(1, (Facturas_Odoo!$D:$D=A1349) * (Facturas_Odoo!$K:$K=I1349), Facturas_Odoo!$Q:$Q, 0), 0))</f>
        <v/>
      </c>
      <c r="X1349" s="79">
        <f>IF(OR(Q1349="Sin Factura",Q1349=""),"",IFERROR(INDEX(Pagos_Odoo!$B:$B, MATCH(Q1349, Pagos_Odoo!$I:$I, 0)), "Sin Pago"))</f>
        <v/>
      </c>
      <c r="Y1349" s="79">
        <f>IF(X1349="Sin Pago","",IFERROR(INDEX(Pagos_Odoo!$C:$C, MATCH(X1349, Pagos_Odoo!$B:$B, 0)), ""))</f>
        <v/>
      </c>
      <c r="Z1349" s="80">
        <f>IF(X1349="Sin Pago","",IFERROR(INDEX(Pagos_Odoo!$A:$A, MATCH(X1349, Pagos_Odoo!$B:$B, 0)), ""))</f>
        <v/>
      </c>
      <c r="AA1349" s="79">
        <f>IF(X1349="Sin Pago","",IFERROR(INDEX(Pagos_Odoo!$F:$F, MATCH(X1349, Pagos_Odoo!$B:$B, 0)), ""))</f>
        <v/>
      </c>
      <c r="AB1349" s="81">
        <f>IF(X1349="Sin Pago",0,IFERROR(INDEX(Pagos_Odoo!$E:$E, MATCH(X1349, Pagos_Odoo!$B:$B, 0)), 0))</f>
        <v/>
      </c>
      <c r="AC1349" s="79">
        <f>IF(X1349="Sin Pago","",IFERROR(INDEX(Pagos_Odoo!$G:$G, MATCH(X1349, Pagos_Odoo!$B:$B, 0)), ""))</f>
        <v/>
      </c>
      <c r="AD1349" s="82" t="n">
        <v>0</v>
      </c>
      <c r="AE1349" s="82" t="n"/>
      <c r="AF1349" s="82" t="n"/>
      <c r="AG1349" s="82">
        <f>IF(AN1349="","",AD1349+AE1349+AF1349)</f>
        <v/>
      </c>
      <c r="AH1349" s="81">
        <f>IF(AN1349="","",P1349*(1-AG1349))</f>
        <v/>
      </c>
      <c r="AI1349" s="81">
        <f>IF(AN1349="","",IF(Q1349="Sin Factura",0,IFERROR(INDEX(Facturas_Odoo!$H:$H, MATCH(Q1349, Facturas_Odoo!$B:$B, 0)), 0)*(1-AG1349)))</f>
        <v/>
      </c>
      <c r="AJ1349" s="81">
        <f>IF(AN1349="","",_xlfn.LET(idVenta, AN1349&amp;"",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49" s="81">
        <f>IF(AN1349="","",AH1349-AJ1349)</f>
        <v/>
      </c>
      <c r="AL1349" s="81">
        <f>IF(AN1349="","",IF(Q1349="Sin Factura","",AI1349-AJ1349))</f>
        <v/>
      </c>
      <c r="AM1349" s="81">
        <f>IF(AN1349="","",IF(Q1349="Sin Factura",0,P1349-IFERROR(INDEX(Facturas_Odoo!$H:$H, MATCH(Q1349, Facturas_Odoo!$B:$B, 0)), 0)))</f>
        <v/>
      </c>
      <c r="AN1349" s="79">
        <f>IF(AND(A1349="", J1349=""), "", IF(A1349&lt;&gt;"", VALUE(MID(A1349,2,LEN(A1349))), AN1348))</f>
        <v/>
      </c>
      <c r="AO1349" s="79">
        <f>IF(AN1349="","",IF(AD1349=0,"OK",_xlfn.LET(monedaPago, IF(AA1349="","USD",AA1349), limitePermitido, IFERROR(VLOOKUP(monedaPago, Configuración!$A$2:$B$3, 2, FALSE), 0.15), IF(AD1349&gt;limitePermitido, "ALERTA: EXCESO (" &amp; TEXT(limitePermitido, "0%") &amp; " máx)", "OK"))))</f>
        <v/>
      </c>
      <c r="AP1349" s="79">
        <f>IF(AN1349="","",IF(AE1349=0,"OK",_xlfn.LET(fechaPago, Z1349, fechaFactura, R1349, diasCredito, IF(E1349="Pago inmediato", 0, IFERROR(VALUE(MID(E1349, 1, SEARCH(" ", E1349)-1)),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49" s="79">
        <f>IF(AN1349="","",IF(AND(N1349&gt;0, AG1349&gt;0), IF(Configuración!$K$2="NO", "ALERTA: DESCUENTO DOBLE NO PERMITIDO", "OK"), "OK"))</f>
        <v/>
      </c>
      <c r="AR1349" s="79">
        <f>IF(AN1349="","",IF(OR(AO1349&lt;&gt;"OK", AP1349&lt;&gt;"OK", AQ1349&lt;&gt;"OK"), "⚠️ REVISAR", "OK"))</f>
        <v/>
      </c>
    </row>
    <row r="1350">
      <c r="A1350" s="79">
        <f>IF('Ordenes_Odoo'!A1350="","",'Ordenes_Odoo'!A1350)</f>
        <v/>
      </c>
      <c r="B1350" s="80">
        <f>IF('Ordenes_Odoo'!B1350="","",'Ordenes_Odoo'!B1350)</f>
        <v/>
      </c>
      <c r="C1350" s="79">
        <f>IF('Ordenes_Odoo'!C1350="","",'Ordenes_Odoo'!C1350)</f>
        <v/>
      </c>
      <c r="D1350" s="79">
        <f>IF('Ordenes_Odoo'!D1350="","",'Ordenes_Odoo'!D1350)</f>
        <v/>
      </c>
      <c r="E1350" s="79">
        <f>IF('Ordenes_Odoo'!E1350="","",'Ordenes_Odoo'!E1350)</f>
        <v/>
      </c>
      <c r="F1350" s="79">
        <f>IF('Ordenes_Odoo'!F1350="","",'Ordenes_Odoo'!F1350)</f>
        <v/>
      </c>
      <c r="G1350" s="79">
        <f>IF('Ordenes_Odoo'!G1350="","",'Ordenes_Odoo'!G1350)</f>
        <v/>
      </c>
      <c r="H1350" s="79">
        <f>IF('Ordenes_Odoo'!H1350="","",'Ordenes_Odoo'!H1350)</f>
        <v/>
      </c>
      <c r="I1350" s="79">
        <f>IF('Ordenes_Odoo'!I1350="","",'Ordenes_Odoo'!I1350)</f>
        <v/>
      </c>
      <c r="J1350" s="79">
        <f>IF('Ordenes_Odoo'!J1350="","",'Ordenes_Odoo'!J1350)</f>
        <v/>
      </c>
      <c r="K1350" s="81">
        <f>IF('Ordenes_Odoo'!K1350="","",'Ordenes_Odoo'!K1350)</f>
        <v/>
      </c>
      <c r="L1350" s="81">
        <f>IF('Ordenes_Odoo'!L1350="","",'Ordenes_Odoo'!L1350)</f>
        <v/>
      </c>
      <c r="M1350" s="79">
        <f>IF('Ordenes_Odoo'!M1350="","",'Ordenes_Odoo'!M1350)</f>
        <v/>
      </c>
      <c r="N1350" s="79">
        <f>IF('Ordenes_Odoo'!N1350="","",'Ordenes_Odoo'!N1350)</f>
        <v/>
      </c>
      <c r="O1350" s="81">
        <f>IF('Ordenes_Odoo'!O1350="","",'Ordenes_Odoo'!O1350)</f>
        <v/>
      </c>
      <c r="P1350" s="81">
        <f>IF('Ordenes_Odoo'!P1350="","",'Ordenes_Odoo'!P1350)</f>
        <v/>
      </c>
      <c r="Q1350" s="79">
        <f>IF(A1350="","",IFERROR(INDEX(Facturas_Odoo!$B:$B, MATCH(A1350, Facturas_Odoo!$D:$D, 0)), "Sin Factura"))</f>
        <v/>
      </c>
      <c r="R1350" s="80">
        <f>IF(Q1350="Sin Factura","",IFERROR(INDEX(Facturas_Odoo!$A:$A, MATCH(Q1350, Facturas_Odoo!$B:$B, 0)), ""))</f>
        <v/>
      </c>
      <c r="S1350" s="79">
        <f>IF(Q1350="Sin Factura","",IFERROR(_xlfn.XLOOKUP(1, (Facturas_Odoo!$D:$D=A1350) * (Facturas_Odoo!$K:$K=I1350), Facturas_Odoo!$L:$L, ""), ""))</f>
        <v/>
      </c>
      <c r="T1350" s="81">
        <f>IF(Q1350="Sin Factura",0,IFERROR(_xlfn.XLOOKUP(1, (Facturas_Odoo!$D:$D=A1350) * (Facturas_Odoo!$K:$K=I1350), Facturas_Odoo!$M:$M, 0), 0))</f>
        <v/>
      </c>
      <c r="U1350" s="79">
        <f>IF(Q1350="Sin Factura",0,IFERROR(_xlfn.XLOOKUP(1, (Facturas_Odoo!$D:$D=A1350) * (Facturas_Odoo!$K:$K=I1350), Facturas_Odoo!$N:$N, 0), 0))</f>
        <v/>
      </c>
      <c r="V1350" s="79">
        <f>IF(Q1350="Sin Factura",0,IFERROR(_xlfn.XLOOKUP(1, (Facturas_Odoo!$D:$D=A1350) * (Facturas_Odoo!$K:$K=I1350), Facturas_Odoo!$O:$O, 0), 0))</f>
        <v/>
      </c>
      <c r="W1350" s="81">
        <f>IF(Q1350="Sin Factura",0,IFERROR(_xlfn.XLOOKUP(1, (Facturas_Odoo!$D:$D=A1350) * (Facturas_Odoo!$K:$K=I1350), Facturas_Odoo!$Q:$Q, 0), 0))</f>
        <v/>
      </c>
      <c r="X1350" s="79">
        <f>IF(OR(Q1350="Sin Factura",Q1350=""),"",IFERROR(INDEX(Pagos_Odoo!$B:$B, MATCH(Q1350, Pagos_Odoo!$I:$I, 0)), "Sin Pago"))</f>
        <v/>
      </c>
      <c r="Y1350" s="79">
        <f>IF(X1350="Sin Pago","",IFERROR(INDEX(Pagos_Odoo!$C:$C, MATCH(X1350, Pagos_Odoo!$B:$B, 0)), ""))</f>
        <v/>
      </c>
      <c r="Z1350" s="80">
        <f>IF(X1350="Sin Pago","",IFERROR(INDEX(Pagos_Odoo!$A:$A, MATCH(X1350, Pagos_Odoo!$B:$B, 0)), ""))</f>
        <v/>
      </c>
      <c r="AA1350" s="79">
        <f>IF(X1350="Sin Pago","",IFERROR(INDEX(Pagos_Odoo!$F:$F, MATCH(X1350, Pagos_Odoo!$B:$B, 0)), ""))</f>
        <v/>
      </c>
      <c r="AB1350" s="81">
        <f>IF(X1350="Sin Pago",0,IFERROR(INDEX(Pagos_Odoo!$E:$E, MATCH(X1350, Pagos_Odoo!$B:$B, 0)), 0))</f>
        <v/>
      </c>
      <c r="AC1350" s="79">
        <f>IF(X1350="Sin Pago","",IFERROR(INDEX(Pagos_Odoo!$G:$G, MATCH(X1350, Pagos_Odoo!$B:$B, 0)), ""))</f>
        <v/>
      </c>
      <c r="AD1350" s="82" t="n">
        <v>0</v>
      </c>
      <c r="AE1350" s="82" t="n"/>
      <c r="AF1350" s="82" t="n"/>
      <c r="AG1350" s="82">
        <f>IF(AN1350="","",AD1350+AE1350+AF1350)</f>
        <v/>
      </c>
      <c r="AH1350" s="81">
        <f>IF(AN1350="","",P1350*(1-AG1350))</f>
        <v/>
      </c>
      <c r="AI1350" s="81">
        <f>IF(AN1350="","",IF(Q1350="Sin Factura",0,IFERROR(INDEX(Facturas_Odoo!$H:$H, MATCH(Q1350, Facturas_Odoo!$B:$B, 0)), 0)*(1-AG1350)))</f>
        <v/>
      </c>
      <c r="AJ1350" s="81">
        <f>IF(AN1350="","",_xlfn.LET(idVenta, AN1350&amp;"",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50" s="81">
        <f>IF(AN1350="","",AH1350-AJ1350)</f>
        <v/>
      </c>
      <c r="AL1350" s="81">
        <f>IF(AN1350="","",IF(Q1350="Sin Factura","",AI1350-AJ1350))</f>
        <v/>
      </c>
      <c r="AM1350" s="81">
        <f>IF(AN1350="","",IF(Q1350="Sin Factura",0,P1350-IFERROR(INDEX(Facturas_Odoo!$H:$H, MATCH(Q1350, Facturas_Odoo!$B:$B, 0)), 0)))</f>
        <v/>
      </c>
      <c r="AN1350" s="79">
        <f>IF(AND(A1350="", J1350=""), "", IF(A1350&lt;&gt;"", VALUE(MID(A1350,2,LEN(A1350))), AN1349))</f>
        <v/>
      </c>
      <c r="AO1350" s="79">
        <f>IF(AN1350="","",IF(AD1350=0,"OK",_xlfn.LET(monedaPago, IF(AA1350="","USD",AA1350), limitePermitido, IFERROR(VLOOKUP(monedaPago, Configuración!$A$2:$B$3, 2, FALSE), 0.15), IF(AD1350&gt;limitePermitido, "ALERTA: EXCESO (" &amp; TEXT(limitePermitido, "0%") &amp; " máx)", "OK"))))</f>
        <v/>
      </c>
      <c r="AP1350" s="79">
        <f>IF(AN1350="","",IF(AE1350=0,"OK",_xlfn.LET(fechaPago, Z1350, fechaFactura, R1350, diasCredito, IF(E1350="Pago inmediato", 0, IFERROR(VALUE(MID(E1350, 1, SEARCH(" ", E1350)-1)),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50" s="79">
        <f>IF(AN1350="","",IF(AND(N1350&gt;0, AG1350&gt;0), IF(Configuración!$K$2="NO", "ALERTA: DESCUENTO DOBLE NO PERMITIDO", "OK"), "OK"))</f>
        <v/>
      </c>
      <c r="AR1350" s="79">
        <f>IF(AN1350="","",IF(OR(AO1350&lt;&gt;"OK", AP1350&lt;&gt;"OK", AQ1350&lt;&gt;"OK"), "⚠️ REVISAR", "OK"))</f>
        <v/>
      </c>
    </row>
    <row r="1351">
      <c r="A1351" s="79">
        <f>IF('Ordenes_Odoo'!A1351="","",'Ordenes_Odoo'!A1351)</f>
        <v/>
      </c>
      <c r="B1351" s="80">
        <f>IF('Ordenes_Odoo'!B1351="","",'Ordenes_Odoo'!B1351)</f>
        <v/>
      </c>
      <c r="C1351" s="79">
        <f>IF('Ordenes_Odoo'!C1351="","",'Ordenes_Odoo'!C1351)</f>
        <v/>
      </c>
      <c r="D1351" s="79">
        <f>IF('Ordenes_Odoo'!D1351="","",'Ordenes_Odoo'!D1351)</f>
        <v/>
      </c>
      <c r="E1351" s="79">
        <f>IF('Ordenes_Odoo'!E1351="","",'Ordenes_Odoo'!E1351)</f>
        <v/>
      </c>
      <c r="F1351" s="79">
        <f>IF('Ordenes_Odoo'!F1351="","",'Ordenes_Odoo'!F1351)</f>
        <v/>
      </c>
      <c r="G1351" s="79">
        <f>IF('Ordenes_Odoo'!G1351="","",'Ordenes_Odoo'!G1351)</f>
        <v/>
      </c>
      <c r="H1351" s="79">
        <f>IF('Ordenes_Odoo'!H1351="","",'Ordenes_Odoo'!H1351)</f>
        <v/>
      </c>
      <c r="I1351" s="79">
        <f>IF('Ordenes_Odoo'!I1351="","",'Ordenes_Odoo'!I1351)</f>
        <v/>
      </c>
      <c r="J1351" s="79">
        <f>IF('Ordenes_Odoo'!J1351="","",'Ordenes_Odoo'!J1351)</f>
        <v/>
      </c>
      <c r="K1351" s="81">
        <f>IF('Ordenes_Odoo'!K1351="","",'Ordenes_Odoo'!K1351)</f>
        <v/>
      </c>
      <c r="L1351" s="81">
        <f>IF('Ordenes_Odoo'!L1351="","",'Ordenes_Odoo'!L1351)</f>
        <v/>
      </c>
      <c r="M1351" s="79">
        <f>IF('Ordenes_Odoo'!M1351="","",'Ordenes_Odoo'!M1351)</f>
        <v/>
      </c>
      <c r="N1351" s="79">
        <f>IF('Ordenes_Odoo'!N1351="","",'Ordenes_Odoo'!N1351)</f>
        <v/>
      </c>
      <c r="O1351" s="81">
        <f>IF('Ordenes_Odoo'!O1351="","",'Ordenes_Odoo'!O1351)</f>
        <v/>
      </c>
      <c r="P1351" s="81">
        <f>IF('Ordenes_Odoo'!P1351="","",'Ordenes_Odoo'!P1351)</f>
        <v/>
      </c>
      <c r="Q1351" s="79">
        <f>IF(A1351="","",IFERROR(INDEX(Facturas_Odoo!$B:$B, MATCH(A1351, Facturas_Odoo!$D:$D, 0)), "Sin Factura"))</f>
        <v/>
      </c>
      <c r="R1351" s="80">
        <f>IF(Q1351="Sin Factura","",IFERROR(INDEX(Facturas_Odoo!$A:$A, MATCH(Q1351, Facturas_Odoo!$B:$B, 0)), ""))</f>
        <v/>
      </c>
      <c r="S1351" s="79">
        <f>IF(Q1351="Sin Factura","",IFERROR(_xlfn.XLOOKUP(1, (Facturas_Odoo!$D:$D=A1351) * (Facturas_Odoo!$K:$K=I1351), Facturas_Odoo!$L:$L, ""), ""))</f>
        <v/>
      </c>
      <c r="T1351" s="81">
        <f>IF(Q1351="Sin Factura",0,IFERROR(_xlfn.XLOOKUP(1, (Facturas_Odoo!$D:$D=A1351) * (Facturas_Odoo!$K:$K=I1351), Facturas_Odoo!$M:$M, 0), 0))</f>
        <v/>
      </c>
      <c r="U1351" s="79">
        <f>IF(Q1351="Sin Factura",0,IFERROR(_xlfn.XLOOKUP(1, (Facturas_Odoo!$D:$D=A1351) * (Facturas_Odoo!$K:$K=I1351), Facturas_Odoo!$N:$N, 0), 0))</f>
        <v/>
      </c>
      <c r="V1351" s="79">
        <f>IF(Q1351="Sin Factura",0,IFERROR(_xlfn.XLOOKUP(1, (Facturas_Odoo!$D:$D=A1351) * (Facturas_Odoo!$K:$K=I1351), Facturas_Odoo!$O:$O, 0), 0))</f>
        <v/>
      </c>
      <c r="W1351" s="81">
        <f>IF(Q1351="Sin Factura",0,IFERROR(_xlfn.XLOOKUP(1, (Facturas_Odoo!$D:$D=A1351) * (Facturas_Odoo!$K:$K=I1351), Facturas_Odoo!$Q:$Q, 0), 0))</f>
        <v/>
      </c>
      <c r="X1351" s="79">
        <f>IF(OR(Q1351="Sin Factura",Q1351=""),"",IFERROR(INDEX(Pagos_Odoo!$B:$B, MATCH(Q1351, Pagos_Odoo!$I:$I, 0)), "Sin Pago"))</f>
        <v/>
      </c>
      <c r="Y1351" s="79">
        <f>IF(X1351="Sin Pago","",IFERROR(INDEX(Pagos_Odoo!$C:$C, MATCH(X1351, Pagos_Odoo!$B:$B, 0)), ""))</f>
        <v/>
      </c>
      <c r="Z1351" s="80">
        <f>IF(X1351="Sin Pago","",IFERROR(INDEX(Pagos_Odoo!$A:$A, MATCH(X1351, Pagos_Odoo!$B:$B, 0)), ""))</f>
        <v/>
      </c>
      <c r="AA1351" s="79">
        <f>IF(X1351="Sin Pago","",IFERROR(INDEX(Pagos_Odoo!$F:$F, MATCH(X1351, Pagos_Odoo!$B:$B, 0)), ""))</f>
        <v/>
      </c>
      <c r="AB1351" s="81">
        <f>IF(X1351="Sin Pago",0,IFERROR(INDEX(Pagos_Odoo!$E:$E, MATCH(X1351, Pagos_Odoo!$B:$B, 0)), 0))</f>
        <v/>
      </c>
      <c r="AC1351" s="79">
        <f>IF(X1351="Sin Pago","",IFERROR(INDEX(Pagos_Odoo!$G:$G, MATCH(X1351, Pagos_Odoo!$B:$B, 0)), ""))</f>
        <v/>
      </c>
      <c r="AD1351" s="82" t="n">
        <v>0</v>
      </c>
      <c r="AE1351" s="82" t="n"/>
      <c r="AF1351" s="82" t="n"/>
      <c r="AG1351" s="82">
        <f>IF(AN1351="","",AD1351+AE1351+AF1351)</f>
        <v/>
      </c>
      <c r="AH1351" s="81">
        <f>IF(AN1351="","",P1351*(1-AG1351))</f>
        <v/>
      </c>
      <c r="AI1351" s="81">
        <f>IF(AN1351="","",IF(Q1351="Sin Factura",0,IFERROR(INDEX(Facturas_Odoo!$H:$H, MATCH(Q1351, Facturas_Odoo!$B:$B, 0)), 0)*(1-AG1351)))</f>
        <v/>
      </c>
      <c r="AJ1351" s="81">
        <f>IF(AN1351="","",_xlfn.LET(idVenta, AN1351&amp;"",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51" s="81">
        <f>IF(AN1351="","",AH1351-AJ1351)</f>
        <v/>
      </c>
      <c r="AL1351" s="81">
        <f>IF(AN1351="","",IF(Q1351="Sin Factura","",AI1351-AJ1351))</f>
        <v/>
      </c>
      <c r="AM1351" s="81">
        <f>IF(AN1351="","",IF(Q1351="Sin Factura",0,P1351-IFERROR(INDEX(Facturas_Odoo!$H:$H, MATCH(Q1351, Facturas_Odoo!$B:$B, 0)), 0)))</f>
        <v/>
      </c>
      <c r="AN1351" s="79">
        <f>IF(AND(A1351="", J1351=""), "", IF(A1351&lt;&gt;"", VALUE(MID(A1351,2,LEN(A1351))), AN1350))</f>
        <v/>
      </c>
      <c r="AO1351" s="79">
        <f>IF(AN1351="","",IF(AD1351=0,"OK",_xlfn.LET(monedaPago, IF(AA1351="","USD",AA1351), limitePermitido, IFERROR(VLOOKUP(monedaPago, Configuración!$A$2:$B$3, 2, FALSE), 0.15), IF(AD1351&gt;limitePermitido, "ALERTA: EXCESO (" &amp; TEXT(limitePermitido, "0%") &amp; " máx)", "OK"))))</f>
        <v/>
      </c>
      <c r="AP1351" s="79">
        <f>IF(AN1351="","",IF(AE1351=0,"OK",_xlfn.LET(fechaPago, Z1351, fechaFactura, R1351, diasCredito, IF(E1351="Pago inmediato", 0, IFERROR(VALUE(MID(E1351, 1, SEARCH(" ", E1351)-1)),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51" s="79">
        <f>IF(AN1351="","",IF(AND(N1351&gt;0, AG1351&gt;0), IF(Configuración!$K$2="NO", "ALERTA: DESCUENTO DOBLE NO PERMITIDO", "OK"), "OK"))</f>
        <v/>
      </c>
      <c r="AR1351" s="79">
        <f>IF(AN1351="","",IF(OR(AO1351&lt;&gt;"OK", AP1351&lt;&gt;"OK", AQ1351&lt;&gt;"OK"), "⚠️ REVISAR", "OK"))</f>
        <v/>
      </c>
    </row>
    <row r="1352">
      <c r="A1352" s="79">
        <f>IF('Ordenes_Odoo'!A1352="","",'Ordenes_Odoo'!A1352)</f>
        <v/>
      </c>
      <c r="B1352" s="80">
        <f>IF('Ordenes_Odoo'!B1352="","",'Ordenes_Odoo'!B1352)</f>
        <v/>
      </c>
      <c r="C1352" s="79">
        <f>IF('Ordenes_Odoo'!C1352="","",'Ordenes_Odoo'!C1352)</f>
        <v/>
      </c>
      <c r="D1352" s="79">
        <f>IF('Ordenes_Odoo'!D1352="","",'Ordenes_Odoo'!D1352)</f>
        <v/>
      </c>
      <c r="E1352" s="79">
        <f>IF('Ordenes_Odoo'!E1352="","",'Ordenes_Odoo'!E1352)</f>
        <v/>
      </c>
      <c r="F1352" s="79">
        <f>IF('Ordenes_Odoo'!F1352="","",'Ordenes_Odoo'!F1352)</f>
        <v/>
      </c>
      <c r="G1352" s="79">
        <f>IF('Ordenes_Odoo'!G1352="","",'Ordenes_Odoo'!G1352)</f>
        <v/>
      </c>
      <c r="H1352" s="79">
        <f>IF('Ordenes_Odoo'!H1352="","",'Ordenes_Odoo'!H1352)</f>
        <v/>
      </c>
      <c r="I1352" s="79">
        <f>IF('Ordenes_Odoo'!I1352="","",'Ordenes_Odoo'!I1352)</f>
        <v/>
      </c>
      <c r="J1352" s="79">
        <f>IF('Ordenes_Odoo'!J1352="","",'Ordenes_Odoo'!J1352)</f>
        <v/>
      </c>
      <c r="K1352" s="81">
        <f>IF('Ordenes_Odoo'!K1352="","",'Ordenes_Odoo'!K1352)</f>
        <v/>
      </c>
      <c r="L1352" s="81">
        <f>IF('Ordenes_Odoo'!L1352="","",'Ordenes_Odoo'!L1352)</f>
        <v/>
      </c>
      <c r="M1352" s="79">
        <f>IF('Ordenes_Odoo'!M1352="","",'Ordenes_Odoo'!M1352)</f>
        <v/>
      </c>
      <c r="N1352" s="79">
        <f>IF('Ordenes_Odoo'!N1352="","",'Ordenes_Odoo'!N1352)</f>
        <v/>
      </c>
      <c r="O1352" s="81">
        <f>IF('Ordenes_Odoo'!O1352="","",'Ordenes_Odoo'!O1352)</f>
        <v/>
      </c>
      <c r="P1352" s="81">
        <f>IF('Ordenes_Odoo'!P1352="","",'Ordenes_Odoo'!P1352)</f>
        <v/>
      </c>
      <c r="Q1352" s="79">
        <f>IF(A1352="","",IFERROR(INDEX(Facturas_Odoo!$B:$B, MATCH(A1352, Facturas_Odoo!$D:$D, 0)), "Sin Factura"))</f>
        <v/>
      </c>
      <c r="R1352" s="80">
        <f>IF(Q1352="Sin Factura","",IFERROR(INDEX(Facturas_Odoo!$A:$A, MATCH(Q1352, Facturas_Odoo!$B:$B, 0)), ""))</f>
        <v/>
      </c>
      <c r="S1352" s="79">
        <f>IF(Q1352="Sin Factura","",IFERROR(_xlfn.XLOOKUP(1, (Facturas_Odoo!$D:$D=A1352) * (Facturas_Odoo!$K:$K=I1352), Facturas_Odoo!$L:$L, ""), ""))</f>
        <v/>
      </c>
      <c r="T1352" s="81">
        <f>IF(Q1352="Sin Factura",0,IFERROR(_xlfn.XLOOKUP(1, (Facturas_Odoo!$D:$D=A1352) * (Facturas_Odoo!$K:$K=I1352), Facturas_Odoo!$M:$M, 0), 0))</f>
        <v/>
      </c>
      <c r="U1352" s="79">
        <f>IF(Q1352="Sin Factura",0,IFERROR(_xlfn.XLOOKUP(1, (Facturas_Odoo!$D:$D=A1352) * (Facturas_Odoo!$K:$K=I1352), Facturas_Odoo!$N:$N, 0), 0))</f>
        <v/>
      </c>
      <c r="V1352" s="79">
        <f>IF(Q1352="Sin Factura",0,IFERROR(_xlfn.XLOOKUP(1, (Facturas_Odoo!$D:$D=A1352) * (Facturas_Odoo!$K:$K=I1352), Facturas_Odoo!$O:$O, 0), 0))</f>
        <v/>
      </c>
      <c r="W1352" s="81">
        <f>IF(Q1352="Sin Factura",0,IFERROR(_xlfn.XLOOKUP(1, (Facturas_Odoo!$D:$D=A1352) * (Facturas_Odoo!$K:$K=I1352), Facturas_Odoo!$Q:$Q, 0), 0))</f>
        <v/>
      </c>
      <c r="X1352" s="79">
        <f>IF(OR(Q1352="Sin Factura",Q1352=""),"",IFERROR(INDEX(Pagos_Odoo!$B:$B, MATCH(Q1352, Pagos_Odoo!$I:$I, 0)), "Sin Pago"))</f>
        <v/>
      </c>
      <c r="Y1352" s="79">
        <f>IF(X1352="Sin Pago","",IFERROR(INDEX(Pagos_Odoo!$C:$C, MATCH(X1352, Pagos_Odoo!$B:$B, 0)), ""))</f>
        <v/>
      </c>
      <c r="Z1352" s="80">
        <f>IF(X1352="Sin Pago","",IFERROR(INDEX(Pagos_Odoo!$A:$A, MATCH(X1352, Pagos_Odoo!$B:$B, 0)), ""))</f>
        <v/>
      </c>
      <c r="AA1352" s="79">
        <f>IF(X1352="Sin Pago","",IFERROR(INDEX(Pagos_Odoo!$F:$F, MATCH(X1352, Pagos_Odoo!$B:$B, 0)), ""))</f>
        <v/>
      </c>
      <c r="AB1352" s="81">
        <f>IF(X1352="Sin Pago",0,IFERROR(INDEX(Pagos_Odoo!$E:$E, MATCH(X1352, Pagos_Odoo!$B:$B, 0)), 0))</f>
        <v/>
      </c>
      <c r="AC1352" s="79">
        <f>IF(X1352="Sin Pago","",IFERROR(INDEX(Pagos_Odoo!$G:$G, MATCH(X1352, Pagos_Odoo!$B:$B, 0)), ""))</f>
        <v/>
      </c>
      <c r="AD1352" s="82" t="n">
        <v>0</v>
      </c>
      <c r="AE1352" s="82" t="n"/>
      <c r="AF1352" s="82" t="n"/>
      <c r="AG1352" s="82">
        <f>IF(AN1352="","",AD1352+AE1352+AF1352)</f>
        <v/>
      </c>
      <c r="AH1352" s="81">
        <f>IF(AN1352="","",P1352*(1-AG1352))</f>
        <v/>
      </c>
      <c r="AI1352" s="81">
        <f>IF(AN1352="","",IF(Q1352="Sin Factura",0,IFERROR(INDEX(Facturas_Odoo!$H:$H, MATCH(Q1352, Facturas_Odoo!$B:$B, 0)), 0)*(1-AG1352)))</f>
        <v/>
      </c>
      <c r="AJ1352" s="81">
        <f>IF(AN1352="","",_xlfn.LET(idVenta, AN1352&amp;"",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52" s="81">
        <f>IF(AN1352="","",AH1352-AJ1352)</f>
        <v/>
      </c>
      <c r="AL1352" s="81">
        <f>IF(AN1352="","",IF(Q1352="Sin Factura","",AI1352-AJ1352))</f>
        <v/>
      </c>
      <c r="AM1352" s="81">
        <f>IF(AN1352="","",IF(Q1352="Sin Factura",0,P1352-IFERROR(INDEX(Facturas_Odoo!$H:$H, MATCH(Q1352, Facturas_Odoo!$B:$B, 0)), 0)))</f>
        <v/>
      </c>
      <c r="AN1352" s="79">
        <f>IF(AND(A1352="", J1352=""), "", IF(A1352&lt;&gt;"", VALUE(MID(A1352,2,LEN(A1352))), AN1351))</f>
        <v/>
      </c>
      <c r="AO1352" s="79">
        <f>IF(AN1352="","",IF(AD1352=0,"OK",_xlfn.LET(monedaPago, IF(AA1352="","USD",AA1352), limitePermitido, IFERROR(VLOOKUP(monedaPago, Configuración!$A$2:$B$3, 2, FALSE), 0.15), IF(AD1352&gt;limitePermitido, "ALERTA: EXCESO (" &amp; TEXT(limitePermitido, "0%") &amp; " máx)", "OK"))))</f>
        <v/>
      </c>
      <c r="AP1352" s="79">
        <f>IF(AN1352="","",IF(AE1352=0,"OK",_xlfn.LET(fechaPago, Z1352, fechaFactura, R1352, diasCredito, IF(E1352="Pago inmediato", 0, IFERROR(VALUE(MID(E1352, 1, SEARCH(" ", E1352)-1)),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52" s="79">
        <f>IF(AN1352="","",IF(AND(N1352&gt;0, AG1352&gt;0), IF(Configuración!$K$2="NO", "ALERTA: DESCUENTO DOBLE NO PERMITIDO", "OK"), "OK"))</f>
        <v/>
      </c>
      <c r="AR1352" s="79">
        <f>IF(AN1352="","",IF(OR(AO1352&lt;&gt;"OK", AP1352&lt;&gt;"OK", AQ1352&lt;&gt;"OK"), "⚠️ REVISAR", "OK"))</f>
        <v/>
      </c>
    </row>
    <row r="1353">
      <c r="A1353" s="79">
        <f>IF('Ordenes_Odoo'!A1353="","",'Ordenes_Odoo'!A1353)</f>
        <v/>
      </c>
      <c r="B1353" s="80">
        <f>IF('Ordenes_Odoo'!B1353="","",'Ordenes_Odoo'!B1353)</f>
        <v/>
      </c>
      <c r="C1353" s="79">
        <f>IF('Ordenes_Odoo'!C1353="","",'Ordenes_Odoo'!C1353)</f>
        <v/>
      </c>
      <c r="D1353" s="79">
        <f>IF('Ordenes_Odoo'!D1353="","",'Ordenes_Odoo'!D1353)</f>
        <v/>
      </c>
      <c r="E1353" s="79">
        <f>IF('Ordenes_Odoo'!E1353="","",'Ordenes_Odoo'!E1353)</f>
        <v/>
      </c>
      <c r="F1353" s="79">
        <f>IF('Ordenes_Odoo'!F1353="","",'Ordenes_Odoo'!F1353)</f>
        <v/>
      </c>
      <c r="G1353" s="79">
        <f>IF('Ordenes_Odoo'!G1353="","",'Ordenes_Odoo'!G1353)</f>
        <v/>
      </c>
      <c r="H1353" s="79">
        <f>IF('Ordenes_Odoo'!H1353="","",'Ordenes_Odoo'!H1353)</f>
        <v/>
      </c>
      <c r="I1353" s="79">
        <f>IF('Ordenes_Odoo'!I1353="","",'Ordenes_Odoo'!I1353)</f>
        <v/>
      </c>
      <c r="J1353" s="79">
        <f>IF('Ordenes_Odoo'!J1353="","",'Ordenes_Odoo'!J1353)</f>
        <v/>
      </c>
      <c r="K1353" s="81">
        <f>IF('Ordenes_Odoo'!K1353="","",'Ordenes_Odoo'!K1353)</f>
        <v/>
      </c>
      <c r="L1353" s="81">
        <f>IF('Ordenes_Odoo'!L1353="","",'Ordenes_Odoo'!L1353)</f>
        <v/>
      </c>
      <c r="M1353" s="79">
        <f>IF('Ordenes_Odoo'!M1353="","",'Ordenes_Odoo'!M1353)</f>
        <v/>
      </c>
      <c r="N1353" s="79">
        <f>IF('Ordenes_Odoo'!N1353="","",'Ordenes_Odoo'!N1353)</f>
        <v/>
      </c>
      <c r="O1353" s="81">
        <f>IF('Ordenes_Odoo'!O1353="","",'Ordenes_Odoo'!O1353)</f>
        <v/>
      </c>
      <c r="P1353" s="81">
        <f>IF('Ordenes_Odoo'!P1353="","",'Ordenes_Odoo'!P1353)</f>
        <v/>
      </c>
      <c r="Q1353" s="79">
        <f>IF(A1353="","",IFERROR(INDEX(Facturas_Odoo!$B:$B, MATCH(A1353, Facturas_Odoo!$D:$D, 0)), "Sin Factura"))</f>
        <v/>
      </c>
      <c r="R1353" s="80">
        <f>IF(Q1353="Sin Factura","",IFERROR(INDEX(Facturas_Odoo!$A:$A, MATCH(Q1353, Facturas_Odoo!$B:$B, 0)), ""))</f>
        <v/>
      </c>
      <c r="S1353" s="79">
        <f>IF(Q1353="Sin Factura","",IFERROR(_xlfn.XLOOKUP(1, (Facturas_Odoo!$D:$D=A1353) * (Facturas_Odoo!$K:$K=I1353), Facturas_Odoo!$L:$L, ""), ""))</f>
        <v/>
      </c>
      <c r="T1353" s="81">
        <f>IF(Q1353="Sin Factura",0,IFERROR(_xlfn.XLOOKUP(1, (Facturas_Odoo!$D:$D=A1353) * (Facturas_Odoo!$K:$K=I1353), Facturas_Odoo!$M:$M, 0), 0))</f>
        <v/>
      </c>
      <c r="U1353" s="79">
        <f>IF(Q1353="Sin Factura",0,IFERROR(_xlfn.XLOOKUP(1, (Facturas_Odoo!$D:$D=A1353) * (Facturas_Odoo!$K:$K=I1353), Facturas_Odoo!$N:$N, 0), 0))</f>
        <v/>
      </c>
      <c r="V1353" s="79">
        <f>IF(Q1353="Sin Factura",0,IFERROR(_xlfn.XLOOKUP(1, (Facturas_Odoo!$D:$D=A1353) * (Facturas_Odoo!$K:$K=I1353), Facturas_Odoo!$O:$O, 0), 0))</f>
        <v/>
      </c>
      <c r="W1353" s="81">
        <f>IF(Q1353="Sin Factura",0,IFERROR(_xlfn.XLOOKUP(1, (Facturas_Odoo!$D:$D=A1353) * (Facturas_Odoo!$K:$K=I1353), Facturas_Odoo!$Q:$Q, 0), 0))</f>
        <v/>
      </c>
      <c r="X1353" s="79">
        <f>IF(OR(Q1353="Sin Factura",Q1353=""),"",IFERROR(INDEX(Pagos_Odoo!$B:$B, MATCH(Q1353, Pagos_Odoo!$I:$I, 0)), "Sin Pago"))</f>
        <v/>
      </c>
      <c r="Y1353" s="79">
        <f>IF(X1353="Sin Pago","",IFERROR(INDEX(Pagos_Odoo!$C:$C, MATCH(X1353, Pagos_Odoo!$B:$B, 0)), ""))</f>
        <v/>
      </c>
      <c r="Z1353" s="80">
        <f>IF(X1353="Sin Pago","",IFERROR(INDEX(Pagos_Odoo!$A:$A, MATCH(X1353, Pagos_Odoo!$B:$B, 0)), ""))</f>
        <v/>
      </c>
      <c r="AA1353" s="79">
        <f>IF(X1353="Sin Pago","",IFERROR(INDEX(Pagos_Odoo!$F:$F, MATCH(X1353, Pagos_Odoo!$B:$B, 0)), ""))</f>
        <v/>
      </c>
      <c r="AB1353" s="81">
        <f>IF(X1353="Sin Pago",0,IFERROR(INDEX(Pagos_Odoo!$E:$E, MATCH(X1353, Pagos_Odoo!$B:$B, 0)), 0))</f>
        <v/>
      </c>
      <c r="AC1353" s="79">
        <f>IF(X1353="Sin Pago","",IFERROR(INDEX(Pagos_Odoo!$G:$G, MATCH(X1353, Pagos_Odoo!$B:$B, 0)), ""))</f>
        <v/>
      </c>
      <c r="AD1353" s="82" t="n">
        <v>0</v>
      </c>
      <c r="AE1353" s="82" t="n"/>
      <c r="AF1353" s="82" t="n"/>
      <c r="AG1353" s="82">
        <f>IF(AN1353="","",AD1353+AE1353+AF1353)</f>
        <v/>
      </c>
      <c r="AH1353" s="81">
        <f>IF(AN1353="","",P1353*(1-AG1353))</f>
        <v/>
      </c>
      <c r="AI1353" s="81">
        <f>IF(AN1353="","",IF(Q1353="Sin Factura",0,IFERROR(INDEX(Facturas_Odoo!$H:$H, MATCH(Q1353, Facturas_Odoo!$B:$B, 0)), 0)*(1-AG1353)))</f>
        <v/>
      </c>
      <c r="AJ1353" s="81">
        <f>IF(AN1353="","",_xlfn.LET(idVenta, AN1353&amp;"",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53" s="81">
        <f>IF(AN1353="","",AH1353-AJ1353)</f>
        <v/>
      </c>
      <c r="AL1353" s="81">
        <f>IF(AN1353="","",IF(Q1353="Sin Factura","",AI1353-AJ1353))</f>
        <v/>
      </c>
      <c r="AM1353" s="81">
        <f>IF(AN1353="","",IF(Q1353="Sin Factura",0,P1353-IFERROR(INDEX(Facturas_Odoo!$H:$H, MATCH(Q1353, Facturas_Odoo!$B:$B, 0)), 0)))</f>
        <v/>
      </c>
      <c r="AN1353" s="79">
        <f>IF(AND(A1353="", J1353=""), "", IF(A1353&lt;&gt;"", VALUE(MID(A1353,2,LEN(A1353))), AN1352))</f>
        <v/>
      </c>
      <c r="AO1353" s="79">
        <f>IF(AN1353="","",IF(AD1353=0,"OK",_xlfn.LET(monedaPago, IF(AA1353="","USD",AA1353), limitePermitido, IFERROR(VLOOKUP(monedaPago, Configuración!$A$2:$B$3, 2, FALSE), 0.15), IF(AD1353&gt;limitePermitido, "ALERTA: EXCESO (" &amp; TEXT(limitePermitido, "0%") &amp; " máx)", "OK"))))</f>
        <v/>
      </c>
      <c r="AP1353" s="79">
        <f>IF(AN1353="","",IF(AE1353=0,"OK",_xlfn.LET(fechaPago, Z1353, fechaFactura, R1353, diasCredito, IF(E1353="Pago inmediato", 0, IFERROR(VALUE(MID(E1353, 1, SEARCH(" ", E1353)-1)),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53" s="79">
        <f>IF(AN1353="","",IF(AND(N1353&gt;0, AG1353&gt;0), IF(Configuración!$K$2="NO", "ALERTA: DESCUENTO DOBLE NO PERMITIDO", "OK"), "OK"))</f>
        <v/>
      </c>
      <c r="AR1353" s="79">
        <f>IF(AN1353="","",IF(OR(AO1353&lt;&gt;"OK", AP1353&lt;&gt;"OK", AQ1353&lt;&gt;"OK"), "⚠️ REVISAR", "OK"))</f>
        <v/>
      </c>
    </row>
    <row r="1354">
      <c r="A1354" s="79">
        <f>IF('Ordenes_Odoo'!A1354="","",'Ordenes_Odoo'!A1354)</f>
        <v/>
      </c>
      <c r="B1354" s="80">
        <f>IF('Ordenes_Odoo'!B1354="","",'Ordenes_Odoo'!B1354)</f>
        <v/>
      </c>
      <c r="C1354" s="79">
        <f>IF('Ordenes_Odoo'!C1354="","",'Ordenes_Odoo'!C1354)</f>
        <v/>
      </c>
      <c r="D1354" s="79">
        <f>IF('Ordenes_Odoo'!D1354="","",'Ordenes_Odoo'!D1354)</f>
        <v/>
      </c>
      <c r="E1354" s="79">
        <f>IF('Ordenes_Odoo'!E1354="","",'Ordenes_Odoo'!E1354)</f>
        <v/>
      </c>
      <c r="F1354" s="79">
        <f>IF('Ordenes_Odoo'!F1354="","",'Ordenes_Odoo'!F1354)</f>
        <v/>
      </c>
      <c r="G1354" s="79">
        <f>IF('Ordenes_Odoo'!G1354="","",'Ordenes_Odoo'!G1354)</f>
        <v/>
      </c>
      <c r="H1354" s="79">
        <f>IF('Ordenes_Odoo'!H1354="","",'Ordenes_Odoo'!H1354)</f>
        <v/>
      </c>
      <c r="I1354" s="79">
        <f>IF('Ordenes_Odoo'!I1354="","",'Ordenes_Odoo'!I1354)</f>
        <v/>
      </c>
      <c r="J1354" s="79">
        <f>IF('Ordenes_Odoo'!J1354="","",'Ordenes_Odoo'!J1354)</f>
        <v/>
      </c>
      <c r="K1354" s="81">
        <f>IF('Ordenes_Odoo'!K1354="","",'Ordenes_Odoo'!K1354)</f>
        <v/>
      </c>
      <c r="L1354" s="81">
        <f>IF('Ordenes_Odoo'!L1354="","",'Ordenes_Odoo'!L1354)</f>
        <v/>
      </c>
      <c r="M1354" s="79">
        <f>IF('Ordenes_Odoo'!M1354="","",'Ordenes_Odoo'!M1354)</f>
        <v/>
      </c>
      <c r="N1354" s="79">
        <f>IF('Ordenes_Odoo'!N1354="","",'Ordenes_Odoo'!N1354)</f>
        <v/>
      </c>
      <c r="O1354" s="81">
        <f>IF('Ordenes_Odoo'!O1354="","",'Ordenes_Odoo'!O1354)</f>
        <v/>
      </c>
      <c r="P1354" s="81">
        <f>IF('Ordenes_Odoo'!P1354="","",'Ordenes_Odoo'!P1354)</f>
        <v/>
      </c>
      <c r="Q1354" s="79">
        <f>IF(A1354="","",IFERROR(INDEX(Facturas_Odoo!$B:$B, MATCH(A1354, Facturas_Odoo!$D:$D, 0)), "Sin Factura"))</f>
        <v/>
      </c>
      <c r="R1354" s="80">
        <f>IF(Q1354="Sin Factura","",IFERROR(INDEX(Facturas_Odoo!$A:$A, MATCH(Q1354, Facturas_Odoo!$B:$B, 0)), ""))</f>
        <v/>
      </c>
      <c r="S1354" s="79">
        <f>IF(Q1354="Sin Factura","",IFERROR(_xlfn.XLOOKUP(1, (Facturas_Odoo!$D:$D=A1354) * (Facturas_Odoo!$K:$K=I1354), Facturas_Odoo!$L:$L, ""), ""))</f>
        <v/>
      </c>
      <c r="T1354" s="81">
        <f>IF(Q1354="Sin Factura",0,IFERROR(_xlfn.XLOOKUP(1, (Facturas_Odoo!$D:$D=A1354) * (Facturas_Odoo!$K:$K=I1354), Facturas_Odoo!$M:$M, 0), 0))</f>
        <v/>
      </c>
      <c r="U1354" s="79">
        <f>IF(Q1354="Sin Factura",0,IFERROR(_xlfn.XLOOKUP(1, (Facturas_Odoo!$D:$D=A1354) * (Facturas_Odoo!$K:$K=I1354), Facturas_Odoo!$N:$N, 0), 0))</f>
        <v/>
      </c>
      <c r="V1354" s="79">
        <f>IF(Q1354="Sin Factura",0,IFERROR(_xlfn.XLOOKUP(1, (Facturas_Odoo!$D:$D=A1354) * (Facturas_Odoo!$K:$K=I1354), Facturas_Odoo!$O:$O, 0), 0))</f>
        <v/>
      </c>
      <c r="W1354" s="81">
        <f>IF(Q1354="Sin Factura",0,IFERROR(_xlfn.XLOOKUP(1, (Facturas_Odoo!$D:$D=A1354) * (Facturas_Odoo!$K:$K=I1354), Facturas_Odoo!$Q:$Q, 0), 0))</f>
        <v/>
      </c>
      <c r="X1354" s="79">
        <f>IF(OR(Q1354="Sin Factura",Q1354=""),"",IFERROR(INDEX(Pagos_Odoo!$B:$B, MATCH(Q1354, Pagos_Odoo!$I:$I, 0)), "Sin Pago"))</f>
        <v/>
      </c>
      <c r="Y1354" s="79">
        <f>IF(X1354="Sin Pago","",IFERROR(INDEX(Pagos_Odoo!$C:$C, MATCH(X1354, Pagos_Odoo!$B:$B, 0)), ""))</f>
        <v/>
      </c>
      <c r="Z1354" s="80">
        <f>IF(X1354="Sin Pago","",IFERROR(INDEX(Pagos_Odoo!$A:$A, MATCH(X1354, Pagos_Odoo!$B:$B, 0)), ""))</f>
        <v/>
      </c>
      <c r="AA1354" s="79">
        <f>IF(X1354="Sin Pago","",IFERROR(INDEX(Pagos_Odoo!$F:$F, MATCH(X1354, Pagos_Odoo!$B:$B, 0)), ""))</f>
        <v/>
      </c>
      <c r="AB1354" s="81">
        <f>IF(X1354="Sin Pago",0,IFERROR(INDEX(Pagos_Odoo!$E:$E, MATCH(X1354, Pagos_Odoo!$B:$B, 0)), 0))</f>
        <v/>
      </c>
      <c r="AC1354" s="79">
        <f>IF(X1354="Sin Pago","",IFERROR(INDEX(Pagos_Odoo!$G:$G, MATCH(X1354, Pagos_Odoo!$B:$B, 0)), ""))</f>
        <v/>
      </c>
      <c r="AD1354" s="82" t="n">
        <v>0</v>
      </c>
      <c r="AE1354" s="82" t="n"/>
      <c r="AF1354" s="82" t="n"/>
      <c r="AG1354" s="82">
        <f>IF(AN1354="","",AD1354+AE1354+AF1354)</f>
        <v/>
      </c>
      <c r="AH1354" s="81">
        <f>IF(AN1354="","",P1354*(1-AG1354))</f>
        <v/>
      </c>
      <c r="AI1354" s="81">
        <f>IF(AN1354="","",IF(Q1354="Sin Factura",0,IFERROR(INDEX(Facturas_Odoo!$H:$H, MATCH(Q1354, Facturas_Odoo!$B:$B, 0)), 0)*(1-AG1354)))</f>
        <v/>
      </c>
      <c r="AJ1354" s="81">
        <f>IF(AN1354="","",_xlfn.LET(idVenta, AN1354&amp;"",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54" s="81">
        <f>IF(AN1354="","",AH1354-AJ1354)</f>
        <v/>
      </c>
      <c r="AL1354" s="81">
        <f>IF(AN1354="","",IF(Q1354="Sin Factura","",AI1354-AJ1354))</f>
        <v/>
      </c>
      <c r="AM1354" s="81">
        <f>IF(AN1354="","",IF(Q1354="Sin Factura",0,P1354-IFERROR(INDEX(Facturas_Odoo!$H:$H, MATCH(Q1354, Facturas_Odoo!$B:$B, 0)), 0)))</f>
        <v/>
      </c>
      <c r="AN1354" s="79">
        <f>IF(AND(A1354="", J1354=""), "", IF(A1354&lt;&gt;"", VALUE(MID(A1354,2,LEN(A1354))), AN1353))</f>
        <v/>
      </c>
      <c r="AO1354" s="79">
        <f>IF(AN1354="","",IF(AD1354=0,"OK",_xlfn.LET(monedaPago, IF(AA1354="","USD",AA1354), limitePermitido, IFERROR(VLOOKUP(monedaPago, Configuración!$A$2:$B$3, 2, FALSE), 0.15), IF(AD1354&gt;limitePermitido, "ALERTA: EXCESO (" &amp; TEXT(limitePermitido, "0%") &amp; " máx)", "OK"))))</f>
        <v/>
      </c>
      <c r="AP1354" s="79">
        <f>IF(AN1354="","",IF(AE1354=0,"OK",_xlfn.LET(fechaPago, Z1354, fechaFactura, R1354, diasCredito, IF(E1354="Pago inmediato", 0, IFERROR(VALUE(MID(E1354, 1, SEARCH(" ", E1354)-1)),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54" s="79">
        <f>IF(AN1354="","",IF(AND(N1354&gt;0, AG1354&gt;0), IF(Configuración!$K$2="NO", "ALERTA: DESCUENTO DOBLE NO PERMITIDO", "OK"), "OK"))</f>
        <v/>
      </c>
      <c r="AR1354" s="79">
        <f>IF(AN1354="","",IF(OR(AO1354&lt;&gt;"OK", AP1354&lt;&gt;"OK", AQ1354&lt;&gt;"OK"), "⚠️ REVISAR", "OK"))</f>
        <v/>
      </c>
    </row>
    <row r="1355">
      <c r="A1355" s="79">
        <f>IF('Ordenes_Odoo'!A1355="","",'Ordenes_Odoo'!A1355)</f>
        <v/>
      </c>
      <c r="B1355" s="80">
        <f>IF('Ordenes_Odoo'!B1355="","",'Ordenes_Odoo'!B1355)</f>
        <v/>
      </c>
      <c r="C1355" s="79">
        <f>IF('Ordenes_Odoo'!C1355="","",'Ordenes_Odoo'!C1355)</f>
        <v/>
      </c>
      <c r="D1355" s="79">
        <f>IF('Ordenes_Odoo'!D1355="","",'Ordenes_Odoo'!D1355)</f>
        <v/>
      </c>
      <c r="E1355" s="79">
        <f>IF('Ordenes_Odoo'!E1355="","",'Ordenes_Odoo'!E1355)</f>
        <v/>
      </c>
      <c r="F1355" s="79">
        <f>IF('Ordenes_Odoo'!F1355="","",'Ordenes_Odoo'!F1355)</f>
        <v/>
      </c>
      <c r="G1355" s="79">
        <f>IF('Ordenes_Odoo'!G1355="","",'Ordenes_Odoo'!G1355)</f>
        <v/>
      </c>
      <c r="H1355" s="79">
        <f>IF('Ordenes_Odoo'!H1355="","",'Ordenes_Odoo'!H1355)</f>
        <v/>
      </c>
      <c r="I1355" s="79">
        <f>IF('Ordenes_Odoo'!I1355="","",'Ordenes_Odoo'!I1355)</f>
        <v/>
      </c>
      <c r="J1355" s="79">
        <f>IF('Ordenes_Odoo'!J1355="","",'Ordenes_Odoo'!J1355)</f>
        <v/>
      </c>
      <c r="K1355" s="81">
        <f>IF('Ordenes_Odoo'!K1355="","",'Ordenes_Odoo'!K1355)</f>
        <v/>
      </c>
      <c r="L1355" s="81">
        <f>IF('Ordenes_Odoo'!L1355="","",'Ordenes_Odoo'!L1355)</f>
        <v/>
      </c>
      <c r="M1355" s="79">
        <f>IF('Ordenes_Odoo'!M1355="","",'Ordenes_Odoo'!M1355)</f>
        <v/>
      </c>
      <c r="N1355" s="79">
        <f>IF('Ordenes_Odoo'!N1355="","",'Ordenes_Odoo'!N1355)</f>
        <v/>
      </c>
      <c r="O1355" s="81">
        <f>IF('Ordenes_Odoo'!O1355="","",'Ordenes_Odoo'!O1355)</f>
        <v/>
      </c>
      <c r="P1355" s="81">
        <f>IF('Ordenes_Odoo'!P1355="","",'Ordenes_Odoo'!P1355)</f>
        <v/>
      </c>
      <c r="Q1355" s="79">
        <f>IF(A1355="","",IFERROR(INDEX(Facturas_Odoo!$B:$B, MATCH(A1355, Facturas_Odoo!$D:$D, 0)), "Sin Factura"))</f>
        <v/>
      </c>
      <c r="R1355" s="80">
        <f>IF(Q1355="Sin Factura","",IFERROR(INDEX(Facturas_Odoo!$A:$A, MATCH(Q1355, Facturas_Odoo!$B:$B, 0)), ""))</f>
        <v/>
      </c>
      <c r="S1355" s="79">
        <f>IF(Q1355="Sin Factura","",IFERROR(_xlfn.XLOOKUP(1, (Facturas_Odoo!$D:$D=A1355) * (Facturas_Odoo!$K:$K=I1355), Facturas_Odoo!$L:$L, ""), ""))</f>
        <v/>
      </c>
      <c r="T1355" s="81">
        <f>IF(Q1355="Sin Factura",0,IFERROR(_xlfn.XLOOKUP(1, (Facturas_Odoo!$D:$D=A1355) * (Facturas_Odoo!$K:$K=I1355), Facturas_Odoo!$M:$M, 0), 0))</f>
        <v/>
      </c>
      <c r="U1355" s="79">
        <f>IF(Q1355="Sin Factura",0,IFERROR(_xlfn.XLOOKUP(1, (Facturas_Odoo!$D:$D=A1355) * (Facturas_Odoo!$K:$K=I1355), Facturas_Odoo!$N:$N, 0), 0))</f>
        <v/>
      </c>
      <c r="V1355" s="79">
        <f>IF(Q1355="Sin Factura",0,IFERROR(_xlfn.XLOOKUP(1, (Facturas_Odoo!$D:$D=A1355) * (Facturas_Odoo!$K:$K=I1355), Facturas_Odoo!$O:$O, 0), 0))</f>
        <v/>
      </c>
      <c r="W1355" s="81">
        <f>IF(Q1355="Sin Factura",0,IFERROR(_xlfn.XLOOKUP(1, (Facturas_Odoo!$D:$D=A1355) * (Facturas_Odoo!$K:$K=I1355), Facturas_Odoo!$Q:$Q, 0), 0))</f>
        <v/>
      </c>
      <c r="X1355" s="79">
        <f>IF(OR(Q1355="Sin Factura",Q1355=""),"",IFERROR(INDEX(Pagos_Odoo!$B:$B, MATCH(Q1355, Pagos_Odoo!$I:$I, 0)), "Sin Pago"))</f>
        <v/>
      </c>
      <c r="Y1355" s="79">
        <f>IF(X1355="Sin Pago","",IFERROR(INDEX(Pagos_Odoo!$C:$C, MATCH(X1355, Pagos_Odoo!$B:$B, 0)), ""))</f>
        <v/>
      </c>
      <c r="Z1355" s="80">
        <f>IF(X1355="Sin Pago","",IFERROR(INDEX(Pagos_Odoo!$A:$A, MATCH(X1355, Pagos_Odoo!$B:$B, 0)), ""))</f>
        <v/>
      </c>
      <c r="AA1355" s="79">
        <f>IF(X1355="Sin Pago","",IFERROR(INDEX(Pagos_Odoo!$F:$F, MATCH(X1355, Pagos_Odoo!$B:$B, 0)), ""))</f>
        <v/>
      </c>
      <c r="AB1355" s="81">
        <f>IF(X1355="Sin Pago",0,IFERROR(INDEX(Pagos_Odoo!$E:$E, MATCH(X1355, Pagos_Odoo!$B:$B, 0)), 0))</f>
        <v/>
      </c>
      <c r="AC1355" s="79">
        <f>IF(X1355="Sin Pago","",IFERROR(INDEX(Pagos_Odoo!$G:$G, MATCH(X1355, Pagos_Odoo!$B:$B, 0)), ""))</f>
        <v/>
      </c>
      <c r="AD1355" s="82" t="n">
        <v>0</v>
      </c>
      <c r="AE1355" s="82" t="n"/>
      <c r="AF1355" s="82" t="n"/>
      <c r="AG1355" s="82">
        <f>IF(AN1355="","",AD1355+AE1355+AF1355)</f>
        <v/>
      </c>
      <c r="AH1355" s="81">
        <f>IF(AN1355="","",P1355*(1-AG1355))</f>
        <v/>
      </c>
      <c r="AI1355" s="81">
        <f>IF(AN1355="","",IF(Q1355="Sin Factura",0,IFERROR(INDEX(Facturas_Odoo!$H:$H, MATCH(Q1355, Facturas_Odoo!$B:$B, 0)), 0)*(1-AG1355)))</f>
        <v/>
      </c>
      <c r="AJ1355" s="81">
        <f>IF(AN1355="","",_xlfn.LET(idVenta, AN1355&amp;"",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55" s="81">
        <f>IF(AN1355="","",AH1355-AJ1355)</f>
        <v/>
      </c>
      <c r="AL1355" s="81">
        <f>IF(AN1355="","",IF(Q1355="Sin Factura","",AI1355-AJ1355))</f>
        <v/>
      </c>
      <c r="AM1355" s="81">
        <f>IF(AN1355="","",IF(Q1355="Sin Factura",0,P1355-IFERROR(INDEX(Facturas_Odoo!$H:$H, MATCH(Q1355, Facturas_Odoo!$B:$B, 0)), 0)))</f>
        <v/>
      </c>
      <c r="AN1355" s="79">
        <f>IF(AND(A1355="", J1355=""), "", IF(A1355&lt;&gt;"", VALUE(MID(A1355,2,LEN(A1355))), AN1354))</f>
        <v/>
      </c>
      <c r="AO1355" s="79">
        <f>IF(AN1355="","",IF(AD1355=0,"OK",_xlfn.LET(monedaPago, IF(AA1355="","USD",AA1355), limitePermitido, IFERROR(VLOOKUP(monedaPago, Configuración!$A$2:$B$3, 2, FALSE), 0.15), IF(AD1355&gt;limitePermitido, "ALERTA: EXCESO (" &amp; TEXT(limitePermitido, "0%") &amp; " máx)", "OK"))))</f>
        <v/>
      </c>
      <c r="AP1355" s="79">
        <f>IF(AN1355="","",IF(AE1355=0,"OK",_xlfn.LET(fechaPago, Z1355, fechaFactura, R1355, diasCredito, IF(E1355="Pago inmediato", 0, IFERROR(VALUE(MID(E1355, 1, SEARCH(" ", E1355)-1)),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55" s="79">
        <f>IF(AN1355="","",IF(AND(N1355&gt;0, AG1355&gt;0), IF(Configuración!$K$2="NO", "ALERTA: DESCUENTO DOBLE NO PERMITIDO", "OK"), "OK"))</f>
        <v/>
      </c>
      <c r="AR1355" s="79">
        <f>IF(AN1355="","",IF(OR(AO1355&lt;&gt;"OK", AP1355&lt;&gt;"OK", AQ1355&lt;&gt;"OK"), "⚠️ REVISAR", "OK"))</f>
        <v/>
      </c>
    </row>
    <row r="1356">
      <c r="A1356" s="79">
        <f>IF('Ordenes_Odoo'!A1356="","",'Ordenes_Odoo'!A1356)</f>
        <v/>
      </c>
      <c r="B1356" s="80">
        <f>IF('Ordenes_Odoo'!B1356="","",'Ordenes_Odoo'!B1356)</f>
        <v/>
      </c>
      <c r="C1356" s="79">
        <f>IF('Ordenes_Odoo'!C1356="","",'Ordenes_Odoo'!C1356)</f>
        <v/>
      </c>
      <c r="D1356" s="79">
        <f>IF('Ordenes_Odoo'!D1356="","",'Ordenes_Odoo'!D1356)</f>
        <v/>
      </c>
      <c r="E1356" s="79">
        <f>IF('Ordenes_Odoo'!E1356="","",'Ordenes_Odoo'!E1356)</f>
        <v/>
      </c>
      <c r="F1356" s="79">
        <f>IF('Ordenes_Odoo'!F1356="","",'Ordenes_Odoo'!F1356)</f>
        <v/>
      </c>
      <c r="G1356" s="79">
        <f>IF('Ordenes_Odoo'!G1356="","",'Ordenes_Odoo'!G1356)</f>
        <v/>
      </c>
      <c r="H1356" s="79">
        <f>IF('Ordenes_Odoo'!H1356="","",'Ordenes_Odoo'!H1356)</f>
        <v/>
      </c>
      <c r="I1356" s="79">
        <f>IF('Ordenes_Odoo'!I1356="","",'Ordenes_Odoo'!I1356)</f>
        <v/>
      </c>
      <c r="J1356" s="79">
        <f>IF('Ordenes_Odoo'!J1356="","",'Ordenes_Odoo'!J1356)</f>
        <v/>
      </c>
      <c r="K1356" s="81">
        <f>IF('Ordenes_Odoo'!K1356="","",'Ordenes_Odoo'!K1356)</f>
        <v/>
      </c>
      <c r="L1356" s="81">
        <f>IF('Ordenes_Odoo'!L1356="","",'Ordenes_Odoo'!L1356)</f>
        <v/>
      </c>
      <c r="M1356" s="79">
        <f>IF('Ordenes_Odoo'!M1356="","",'Ordenes_Odoo'!M1356)</f>
        <v/>
      </c>
      <c r="N1356" s="79">
        <f>IF('Ordenes_Odoo'!N1356="","",'Ordenes_Odoo'!N1356)</f>
        <v/>
      </c>
      <c r="O1356" s="81">
        <f>IF('Ordenes_Odoo'!O1356="","",'Ordenes_Odoo'!O1356)</f>
        <v/>
      </c>
      <c r="P1356" s="81">
        <f>IF('Ordenes_Odoo'!P1356="","",'Ordenes_Odoo'!P1356)</f>
        <v/>
      </c>
      <c r="Q1356" s="79">
        <f>IF(A1356="","",IFERROR(INDEX(Facturas_Odoo!$B:$B, MATCH(A1356, Facturas_Odoo!$D:$D, 0)), "Sin Factura"))</f>
        <v/>
      </c>
      <c r="R1356" s="80">
        <f>IF(Q1356="Sin Factura","",IFERROR(INDEX(Facturas_Odoo!$A:$A, MATCH(Q1356, Facturas_Odoo!$B:$B, 0)), ""))</f>
        <v/>
      </c>
      <c r="S1356" s="79">
        <f>IF(Q1356="Sin Factura","",IFERROR(_xlfn.XLOOKUP(1, (Facturas_Odoo!$D:$D=A1356) * (Facturas_Odoo!$K:$K=I1356), Facturas_Odoo!$L:$L, ""), ""))</f>
        <v/>
      </c>
      <c r="T1356" s="81">
        <f>IF(Q1356="Sin Factura",0,IFERROR(_xlfn.XLOOKUP(1, (Facturas_Odoo!$D:$D=A1356) * (Facturas_Odoo!$K:$K=I1356), Facturas_Odoo!$M:$M, 0), 0))</f>
        <v/>
      </c>
      <c r="U1356" s="79">
        <f>IF(Q1356="Sin Factura",0,IFERROR(_xlfn.XLOOKUP(1, (Facturas_Odoo!$D:$D=A1356) * (Facturas_Odoo!$K:$K=I1356), Facturas_Odoo!$N:$N, 0), 0))</f>
        <v/>
      </c>
      <c r="V1356" s="79">
        <f>IF(Q1356="Sin Factura",0,IFERROR(_xlfn.XLOOKUP(1, (Facturas_Odoo!$D:$D=A1356) * (Facturas_Odoo!$K:$K=I1356), Facturas_Odoo!$O:$O, 0), 0))</f>
        <v/>
      </c>
      <c r="W1356" s="81">
        <f>IF(Q1356="Sin Factura",0,IFERROR(_xlfn.XLOOKUP(1, (Facturas_Odoo!$D:$D=A1356) * (Facturas_Odoo!$K:$K=I1356), Facturas_Odoo!$Q:$Q, 0), 0))</f>
        <v/>
      </c>
      <c r="X1356" s="79">
        <f>IF(OR(Q1356="Sin Factura",Q1356=""),"",IFERROR(INDEX(Pagos_Odoo!$B:$B, MATCH(Q1356, Pagos_Odoo!$I:$I, 0)), "Sin Pago"))</f>
        <v/>
      </c>
      <c r="Y1356" s="79">
        <f>IF(X1356="Sin Pago","",IFERROR(INDEX(Pagos_Odoo!$C:$C, MATCH(X1356, Pagos_Odoo!$B:$B, 0)), ""))</f>
        <v/>
      </c>
      <c r="Z1356" s="80">
        <f>IF(X1356="Sin Pago","",IFERROR(INDEX(Pagos_Odoo!$A:$A, MATCH(X1356, Pagos_Odoo!$B:$B, 0)), ""))</f>
        <v/>
      </c>
      <c r="AA1356" s="79">
        <f>IF(X1356="Sin Pago","",IFERROR(INDEX(Pagos_Odoo!$F:$F, MATCH(X1356, Pagos_Odoo!$B:$B, 0)), ""))</f>
        <v/>
      </c>
      <c r="AB1356" s="81">
        <f>IF(X1356="Sin Pago",0,IFERROR(INDEX(Pagos_Odoo!$E:$E, MATCH(X1356, Pagos_Odoo!$B:$B, 0)), 0))</f>
        <v/>
      </c>
      <c r="AC1356" s="79">
        <f>IF(X1356="Sin Pago","",IFERROR(INDEX(Pagos_Odoo!$G:$G, MATCH(X1356, Pagos_Odoo!$B:$B, 0)), ""))</f>
        <v/>
      </c>
      <c r="AD1356" s="82" t="n">
        <v>0</v>
      </c>
      <c r="AE1356" s="82" t="n"/>
      <c r="AF1356" s="82" t="n"/>
      <c r="AG1356" s="82">
        <f>IF(AN1356="","",AD1356+AE1356+AF1356)</f>
        <v/>
      </c>
      <c r="AH1356" s="81">
        <f>IF(AN1356="","",P1356*(1-AG1356))</f>
        <v/>
      </c>
      <c r="AI1356" s="81">
        <f>IF(AN1356="","",IF(Q1356="Sin Factura",0,IFERROR(INDEX(Facturas_Odoo!$H:$H, MATCH(Q1356, Facturas_Odoo!$B:$B, 0)), 0)*(1-AG1356)))</f>
        <v/>
      </c>
      <c r="AJ1356" s="81">
        <f>IF(AN1356="","",_xlfn.LET(idVenta, AN1356&amp;"",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56" s="81">
        <f>IF(AN1356="","",AH1356-AJ1356)</f>
        <v/>
      </c>
      <c r="AL1356" s="81">
        <f>IF(AN1356="","",IF(Q1356="Sin Factura","",AI1356-AJ1356))</f>
        <v/>
      </c>
      <c r="AM1356" s="81">
        <f>IF(AN1356="","",IF(Q1356="Sin Factura",0,P1356-IFERROR(INDEX(Facturas_Odoo!$H:$H, MATCH(Q1356, Facturas_Odoo!$B:$B, 0)), 0)))</f>
        <v/>
      </c>
      <c r="AN1356" s="79">
        <f>IF(AND(A1356="", J1356=""), "", IF(A1356&lt;&gt;"", VALUE(MID(A1356,2,LEN(A1356))), AN1355))</f>
        <v/>
      </c>
      <c r="AO1356" s="79">
        <f>IF(AN1356="","",IF(AD1356=0,"OK",_xlfn.LET(monedaPago, IF(AA1356="","USD",AA1356), limitePermitido, IFERROR(VLOOKUP(monedaPago, Configuración!$A$2:$B$3, 2, FALSE), 0.15), IF(AD1356&gt;limitePermitido, "ALERTA: EXCESO (" &amp; TEXT(limitePermitido, "0%") &amp; " máx)", "OK"))))</f>
        <v/>
      </c>
      <c r="AP1356" s="79">
        <f>IF(AN1356="","",IF(AE1356=0,"OK",_xlfn.LET(fechaPago, Z1356, fechaFactura, R1356, diasCredito, IF(E1356="Pago inmediato", 0, IFERROR(VALUE(MID(E1356, 1, SEARCH(" ", E1356)-1)),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56" s="79">
        <f>IF(AN1356="","",IF(AND(N1356&gt;0, AG1356&gt;0), IF(Configuración!$K$2="NO", "ALERTA: DESCUENTO DOBLE NO PERMITIDO", "OK"), "OK"))</f>
        <v/>
      </c>
      <c r="AR1356" s="79">
        <f>IF(AN1356="","",IF(OR(AO1356&lt;&gt;"OK", AP1356&lt;&gt;"OK", AQ1356&lt;&gt;"OK"), "⚠️ REVISAR", "OK"))</f>
        <v/>
      </c>
    </row>
    <row r="1357">
      <c r="A1357" s="79">
        <f>IF('Ordenes_Odoo'!A1357="","",'Ordenes_Odoo'!A1357)</f>
        <v/>
      </c>
      <c r="B1357" s="80">
        <f>IF('Ordenes_Odoo'!B1357="","",'Ordenes_Odoo'!B1357)</f>
        <v/>
      </c>
      <c r="C1357" s="79">
        <f>IF('Ordenes_Odoo'!C1357="","",'Ordenes_Odoo'!C1357)</f>
        <v/>
      </c>
      <c r="D1357" s="79">
        <f>IF('Ordenes_Odoo'!D1357="","",'Ordenes_Odoo'!D1357)</f>
        <v/>
      </c>
      <c r="E1357" s="79">
        <f>IF('Ordenes_Odoo'!E1357="","",'Ordenes_Odoo'!E1357)</f>
        <v/>
      </c>
      <c r="F1357" s="79">
        <f>IF('Ordenes_Odoo'!F1357="","",'Ordenes_Odoo'!F1357)</f>
        <v/>
      </c>
      <c r="G1357" s="79">
        <f>IF('Ordenes_Odoo'!G1357="","",'Ordenes_Odoo'!G1357)</f>
        <v/>
      </c>
      <c r="H1357" s="79">
        <f>IF('Ordenes_Odoo'!H1357="","",'Ordenes_Odoo'!H1357)</f>
        <v/>
      </c>
      <c r="I1357" s="79">
        <f>IF('Ordenes_Odoo'!I1357="","",'Ordenes_Odoo'!I1357)</f>
        <v/>
      </c>
      <c r="J1357" s="79">
        <f>IF('Ordenes_Odoo'!J1357="","",'Ordenes_Odoo'!J1357)</f>
        <v/>
      </c>
      <c r="K1357" s="81">
        <f>IF('Ordenes_Odoo'!K1357="","",'Ordenes_Odoo'!K1357)</f>
        <v/>
      </c>
      <c r="L1357" s="81">
        <f>IF('Ordenes_Odoo'!L1357="","",'Ordenes_Odoo'!L1357)</f>
        <v/>
      </c>
      <c r="M1357" s="79">
        <f>IF('Ordenes_Odoo'!M1357="","",'Ordenes_Odoo'!M1357)</f>
        <v/>
      </c>
      <c r="N1357" s="79">
        <f>IF('Ordenes_Odoo'!N1357="","",'Ordenes_Odoo'!N1357)</f>
        <v/>
      </c>
      <c r="O1357" s="81">
        <f>IF('Ordenes_Odoo'!O1357="","",'Ordenes_Odoo'!O1357)</f>
        <v/>
      </c>
      <c r="P1357" s="81">
        <f>IF('Ordenes_Odoo'!P1357="","",'Ordenes_Odoo'!P1357)</f>
        <v/>
      </c>
      <c r="Q1357" s="79">
        <f>IF(A1357="","",IFERROR(INDEX(Facturas_Odoo!$B:$B, MATCH(A1357, Facturas_Odoo!$D:$D, 0)), "Sin Factura"))</f>
        <v/>
      </c>
      <c r="R1357" s="80">
        <f>IF(Q1357="Sin Factura","",IFERROR(INDEX(Facturas_Odoo!$A:$A, MATCH(Q1357, Facturas_Odoo!$B:$B, 0)), ""))</f>
        <v/>
      </c>
      <c r="S1357" s="79">
        <f>IF(Q1357="Sin Factura","",IFERROR(_xlfn.XLOOKUP(1, (Facturas_Odoo!$D:$D=A1357) * (Facturas_Odoo!$K:$K=I1357), Facturas_Odoo!$L:$L, ""), ""))</f>
        <v/>
      </c>
      <c r="T1357" s="81">
        <f>IF(Q1357="Sin Factura",0,IFERROR(_xlfn.XLOOKUP(1, (Facturas_Odoo!$D:$D=A1357) * (Facturas_Odoo!$K:$K=I1357), Facturas_Odoo!$M:$M, 0), 0))</f>
        <v/>
      </c>
      <c r="U1357" s="79">
        <f>IF(Q1357="Sin Factura",0,IFERROR(_xlfn.XLOOKUP(1, (Facturas_Odoo!$D:$D=A1357) * (Facturas_Odoo!$K:$K=I1357), Facturas_Odoo!$N:$N, 0), 0))</f>
        <v/>
      </c>
      <c r="V1357" s="79">
        <f>IF(Q1357="Sin Factura",0,IFERROR(_xlfn.XLOOKUP(1, (Facturas_Odoo!$D:$D=A1357) * (Facturas_Odoo!$K:$K=I1357), Facturas_Odoo!$O:$O, 0), 0))</f>
        <v/>
      </c>
      <c r="W1357" s="81">
        <f>IF(Q1357="Sin Factura",0,IFERROR(_xlfn.XLOOKUP(1, (Facturas_Odoo!$D:$D=A1357) * (Facturas_Odoo!$K:$K=I1357), Facturas_Odoo!$Q:$Q, 0), 0))</f>
        <v/>
      </c>
      <c r="X1357" s="79">
        <f>IF(OR(Q1357="Sin Factura",Q1357=""),"",IFERROR(INDEX(Pagos_Odoo!$B:$B, MATCH(Q1357, Pagos_Odoo!$I:$I, 0)), "Sin Pago"))</f>
        <v/>
      </c>
      <c r="Y1357" s="79">
        <f>IF(X1357="Sin Pago","",IFERROR(INDEX(Pagos_Odoo!$C:$C, MATCH(X1357, Pagos_Odoo!$B:$B, 0)), ""))</f>
        <v/>
      </c>
      <c r="Z1357" s="80">
        <f>IF(X1357="Sin Pago","",IFERROR(INDEX(Pagos_Odoo!$A:$A, MATCH(X1357, Pagos_Odoo!$B:$B, 0)), ""))</f>
        <v/>
      </c>
      <c r="AA1357" s="79">
        <f>IF(X1357="Sin Pago","",IFERROR(INDEX(Pagos_Odoo!$F:$F, MATCH(X1357, Pagos_Odoo!$B:$B, 0)), ""))</f>
        <v/>
      </c>
      <c r="AB1357" s="81">
        <f>IF(X1357="Sin Pago",0,IFERROR(INDEX(Pagos_Odoo!$E:$E, MATCH(X1357, Pagos_Odoo!$B:$B, 0)), 0))</f>
        <v/>
      </c>
      <c r="AC1357" s="79">
        <f>IF(X1357="Sin Pago","",IFERROR(INDEX(Pagos_Odoo!$G:$G, MATCH(X1357, Pagos_Odoo!$B:$B, 0)), ""))</f>
        <v/>
      </c>
      <c r="AD1357" s="82" t="n">
        <v>0</v>
      </c>
      <c r="AE1357" s="82" t="n"/>
      <c r="AF1357" s="82" t="n"/>
      <c r="AG1357" s="82">
        <f>IF(AN1357="","",AD1357+AE1357+AF1357)</f>
        <v/>
      </c>
      <c r="AH1357" s="81">
        <f>IF(AN1357="","",P1357*(1-AG1357))</f>
        <v/>
      </c>
      <c r="AI1357" s="81">
        <f>IF(AN1357="","",IF(Q1357="Sin Factura",0,IFERROR(INDEX(Facturas_Odoo!$H:$H, MATCH(Q1357, Facturas_Odoo!$B:$B, 0)), 0)*(1-AG1357)))</f>
        <v/>
      </c>
      <c r="AJ1357" s="81">
        <f>IF(AN1357="","",_xlfn.LET(idVenta, AN1357&amp;"",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57" s="81">
        <f>IF(AN1357="","",AH1357-AJ1357)</f>
        <v/>
      </c>
      <c r="AL1357" s="81">
        <f>IF(AN1357="","",IF(Q1357="Sin Factura","",AI1357-AJ1357))</f>
        <v/>
      </c>
      <c r="AM1357" s="81">
        <f>IF(AN1357="","",IF(Q1357="Sin Factura",0,P1357-IFERROR(INDEX(Facturas_Odoo!$H:$H, MATCH(Q1357, Facturas_Odoo!$B:$B, 0)), 0)))</f>
        <v/>
      </c>
      <c r="AN1357" s="79">
        <f>IF(AND(A1357="", J1357=""), "", IF(A1357&lt;&gt;"", VALUE(MID(A1357,2,LEN(A1357))), AN1356))</f>
        <v/>
      </c>
      <c r="AO1357" s="79">
        <f>IF(AN1357="","",IF(AD1357=0,"OK",_xlfn.LET(monedaPago, IF(AA1357="","USD",AA1357), limitePermitido, IFERROR(VLOOKUP(monedaPago, Configuración!$A$2:$B$3, 2, FALSE), 0.15), IF(AD1357&gt;limitePermitido, "ALERTA: EXCESO (" &amp; TEXT(limitePermitido, "0%") &amp; " máx)", "OK"))))</f>
        <v/>
      </c>
      <c r="AP1357" s="79">
        <f>IF(AN1357="","",IF(AE1357=0,"OK",_xlfn.LET(fechaPago, Z1357, fechaFactura, R1357, diasCredito, IF(E1357="Pago inmediato", 0, IFERROR(VALUE(MID(E1357, 1, SEARCH(" ", E1357)-1)),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57" s="79">
        <f>IF(AN1357="","",IF(AND(N1357&gt;0, AG1357&gt;0), IF(Configuración!$K$2="NO", "ALERTA: DESCUENTO DOBLE NO PERMITIDO", "OK"), "OK"))</f>
        <v/>
      </c>
      <c r="AR1357" s="79">
        <f>IF(AN1357="","",IF(OR(AO1357&lt;&gt;"OK", AP1357&lt;&gt;"OK", AQ1357&lt;&gt;"OK"), "⚠️ REVISAR", "OK"))</f>
        <v/>
      </c>
    </row>
    <row r="1358">
      <c r="A1358" s="79">
        <f>IF('Ordenes_Odoo'!A1358="","",'Ordenes_Odoo'!A1358)</f>
        <v/>
      </c>
      <c r="B1358" s="80">
        <f>IF('Ordenes_Odoo'!B1358="","",'Ordenes_Odoo'!B1358)</f>
        <v/>
      </c>
      <c r="C1358" s="79">
        <f>IF('Ordenes_Odoo'!C1358="","",'Ordenes_Odoo'!C1358)</f>
        <v/>
      </c>
      <c r="D1358" s="79">
        <f>IF('Ordenes_Odoo'!D1358="","",'Ordenes_Odoo'!D1358)</f>
        <v/>
      </c>
      <c r="E1358" s="79">
        <f>IF('Ordenes_Odoo'!E1358="","",'Ordenes_Odoo'!E1358)</f>
        <v/>
      </c>
      <c r="F1358" s="79">
        <f>IF('Ordenes_Odoo'!F1358="","",'Ordenes_Odoo'!F1358)</f>
        <v/>
      </c>
      <c r="G1358" s="79">
        <f>IF('Ordenes_Odoo'!G1358="","",'Ordenes_Odoo'!G1358)</f>
        <v/>
      </c>
      <c r="H1358" s="79">
        <f>IF('Ordenes_Odoo'!H1358="","",'Ordenes_Odoo'!H1358)</f>
        <v/>
      </c>
      <c r="I1358" s="79">
        <f>IF('Ordenes_Odoo'!I1358="","",'Ordenes_Odoo'!I1358)</f>
        <v/>
      </c>
      <c r="J1358" s="79">
        <f>IF('Ordenes_Odoo'!J1358="","",'Ordenes_Odoo'!J1358)</f>
        <v/>
      </c>
      <c r="K1358" s="81">
        <f>IF('Ordenes_Odoo'!K1358="","",'Ordenes_Odoo'!K1358)</f>
        <v/>
      </c>
      <c r="L1358" s="81">
        <f>IF('Ordenes_Odoo'!L1358="","",'Ordenes_Odoo'!L1358)</f>
        <v/>
      </c>
      <c r="M1358" s="79">
        <f>IF('Ordenes_Odoo'!M1358="","",'Ordenes_Odoo'!M1358)</f>
        <v/>
      </c>
      <c r="N1358" s="79">
        <f>IF('Ordenes_Odoo'!N1358="","",'Ordenes_Odoo'!N1358)</f>
        <v/>
      </c>
      <c r="O1358" s="81">
        <f>IF('Ordenes_Odoo'!O1358="","",'Ordenes_Odoo'!O1358)</f>
        <v/>
      </c>
      <c r="P1358" s="81">
        <f>IF('Ordenes_Odoo'!P1358="","",'Ordenes_Odoo'!P1358)</f>
        <v/>
      </c>
      <c r="Q1358" s="79">
        <f>IF(A1358="","",IFERROR(INDEX(Facturas_Odoo!$B:$B, MATCH(A1358, Facturas_Odoo!$D:$D, 0)), "Sin Factura"))</f>
        <v/>
      </c>
      <c r="R1358" s="80">
        <f>IF(Q1358="Sin Factura","",IFERROR(INDEX(Facturas_Odoo!$A:$A, MATCH(Q1358, Facturas_Odoo!$B:$B, 0)), ""))</f>
        <v/>
      </c>
      <c r="S1358" s="79">
        <f>IF(Q1358="Sin Factura","",IFERROR(_xlfn.XLOOKUP(1, (Facturas_Odoo!$D:$D=A1358) * (Facturas_Odoo!$K:$K=I1358), Facturas_Odoo!$L:$L, ""), ""))</f>
        <v/>
      </c>
      <c r="T1358" s="81">
        <f>IF(Q1358="Sin Factura",0,IFERROR(_xlfn.XLOOKUP(1, (Facturas_Odoo!$D:$D=A1358) * (Facturas_Odoo!$K:$K=I1358), Facturas_Odoo!$M:$M, 0), 0))</f>
        <v/>
      </c>
      <c r="U1358" s="79">
        <f>IF(Q1358="Sin Factura",0,IFERROR(_xlfn.XLOOKUP(1, (Facturas_Odoo!$D:$D=A1358) * (Facturas_Odoo!$K:$K=I1358), Facturas_Odoo!$N:$N, 0), 0))</f>
        <v/>
      </c>
      <c r="V1358" s="79">
        <f>IF(Q1358="Sin Factura",0,IFERROR(_xlfn.XLOOKUP(1, (Facturas_Odoo!$D:$D=A1358) * (Facturas_Odoo!$K:$K=I1358), Facturas_Odoo!$O:$O, 0), 0))</f>
        <v/>
      </c>
      <c r="W1358" s="81">
        <f>IF(Q1358="Sin Factura",0,IFERROR(_xlfn.XLOOKUP(1, (Facturas_Odoo!$D:$D=A1358) * (Facturas_Odoo!$K:$K=I1358), Facturas_Odoo!$Q:$Q, 0), 0))</f>
        <v/>
      </c>
      <c r="X1358" s="79">
        <f>IF(OR(Q1358="Sin Factura",Q1358=""),"",IFERROR(INDEX(Pagos_Odoo!$B:$B, MATCH(Q1358, Pagos_Odoo!$I:$I, 0)), "Sin Pago"))</f>
        <v/>
      </c>
      <c r="Y1358" s="79">
        <f>IF(X1358="Sin Pago","",IFERROR(INDEX(Pagos_Odoo!$C:$C, MATCH(X1358, Pagos_Odoo!$B:$B, 0)), ""))</f>
        <v/>
      </c>
      <c r="Z1358" s="80">
        <f>IF(X1358="Sin Pago","",IFERROR(INDEX(Pagos_Odoo!$A:$A, MATCH(X1358, Pagos_Odoo!$B:$B, 0)), ""))</f>
        <v/>
      </c>
      <c r="AA1358" s="79">
        <f>IF(X1358="Sin Pago","",IFERROR(INDEX(Pagos_Odoo!$F:$F, MATCH(X1358, Pagos_Odoo!$B:$B, 0)), ""))</f>
        <v/>
      </c>
      <c r="AB1358" s="81">
        <f>IF(X1358="Sin Pago",0,IFERROR(INDEX(Pagos_Odoo!$E:$E, MATCH(X1358, Pagos_Odoo!$B:$B, 0)), 0))</f>
        <v/>
      </c>
      <c r="AC1358" s="79">
        <f>IF(X1358="Sin Pago","",IFERROR(INDEX(Pagos_Odoo!$G:$G, MATCH(X1358, Pagos_Odoo!$B:$B, 0)), ""))</f>
        <v/>
      </c>
      <c r="AD1358" s="82" t="n">
        <v>0</v>
      </c>
      <c r="AE1358" s="82" t="n"/>
      <c r="AF1358" s="82" t="n"/>
      <c r="AG1358" s="82">
        <f>IF(AN1358="","",AD1358+AE1358+AF1358)</f>
        <v/>
      </c>
      <c r="AH1358" s="81">
        <f>IF(AN1358="","",P1358*(1-AG1358))</f>
        <v/>
      </c>
      <c r="AI1358" s="81">
        <f>IF(AN1358="","",IF(Q1358="Sin Factura",0,IFERROR(INDEX(Facturas_Odoo!$H:$H, MATCH(Q1358, Facturas_Odoo!$B:$B, 0)), 0)*(1-AG1358)))</f>
        <v/>
      </c>
      <c r="AJ1358" s="81">
        <f>IF(AN1358="","",_xlfn.LET(idVenta, AN1358&amp;"",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58" s="81">
        <f>IF(AN1358="","",AH1358-AJ1358)</f>
        <v/>
      </c>
      <c r="AL1358" s="81">
        <f>IF(AN1358="","",IF(Q1358="Sin Factura","",AI1358-AJ1358))</f>
        <v/>
      </c>
      <c r="AM1358" s="81">
        <f>IF(AN1358="","",IF(Q1358="Sin Factura",0,P1358-IFERROR(INDEX(Facturas_Odoo!$H:$H, MATCH(Q1358, Facturas_Odoo!$B:$B, 0)), 0)))</f>
        <v/>
      </c>
      <c r="AN1358" s="79">
        <f>IF(AND(A1358="", J1358=""), "", IF(A1358&lt;&gt;"", VALUE(MID(A1358,2,LEN(A1358))), AN1357))</f>
        <v/>
      </c>
      <c r="AO1358" s="79">
        <f>IF(AN1358="","",IF(AD1358=0,"OK",_xlfn.LET(monedaPago, IF(AA1358="","USD",AA1358), limitePermitido, IFERROR(VLOOKUP(monedaPago, Configuración!$A$2:$B$3, 2, FALSE), 0.15), IF(AD1358&gt;limitePermitido, "ALERTA: EXCESO (" &amp; TEXT(limitePermitido, "0%") &amp; " máx)", "OK"))))</f>
        <v/>
      </c>
      <c r="AP1358" s="79">
        <f>IF(AN1358="","",IF(AE1358=0,"OK",_xlfn.LET(fechaPago, Z1358, fechaFactura, R1358, diasCredito, IF(E1358="Pago inmediato", 0, IFERROR(VALUE(MID(E1358, 1, SEARCH(" ", E1358)-1)),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58" s="79">
        <f>IF(AN1358="","",IF(AND(N1358&gt;0, AG1358&gt;0), IF(Configuración!$K$2="NO", "ALERTA: DESCUENTO DOBLE NO PERMITIDO", "OK"), "OK"))</f>
        <v/>
      </c>
      <c r="AR1358" s="79">
        <f>IF(AN1358="","",IF(OR(AO1358&lt;&gt;"OK", AP1358&lt;&gt;"OK", AQ1358&lt;&gt;"OK"), "⚠️ REVISAR", "OK"))</f>
        <v/>
      </c>
    </row>
    <row r="1359">
      <c r="A1359" s="79">
        <f>IF('Ordenes_Odoo'!A1359="","",'Ordenes_Odoo'!A1359)</f>
        <v/>
      </c>
      <c r="B1359" s="80">
        <f>IF('Ordenes_Odoo'!B1359="","",'Ordenes_Odoo'!B1359)</f>
        <v/>
      </c>
      <c r="C1359" s="79">
        <f>IF('Ordenes_Odoo'!C1359="","",'Ordenes_Odoo'!C1359)</f>
        <v/>
      </c>
      <c r="D1359" s="79">
        <f>IF('Ordenes_Odoo'!D1359="","",'Ordenes_Odoo'!D1359)</f>
        <v/>
      </c>
      <c r="E1359" s="79">
        <f>IF('Ordenes_Odoo'!E1359="","",'Ordenes_Odoo'!E1359)</f>
        <v/>
      </c>
      <c r="F1359" s="79">
        <f>IF('Ordenes_Odoo'!F1359="","",'Ordenes_Odoo'!F1359)</f>
        <v/>
      </c>
      <c r="G1359" s="79">
        <f>IF('Ordenes_Odoo'!G1359="","",'Ordenes_Odoo'!G1359)</f>
        <v/>
      </c>
      <c r="H1359" s="79">
        <f>IF('Ordenes_Odoo'!H1359="","",'Ordenes_Odoo'!H1359)</f>
        <v/>
      </c>
      <c r="I1359" s="79">
        <f>IF('Ordenes_Odoo'!I1359="","",'Ordenes_Odoo'!I1359)</f>
        <v/>
      </c>
      <c r="J1359" s="79">
        <f>IF('Ordenes_Odoo'!J1359="","",'Ordenes_Odoo'!J1359)</f>
        <v/>
      </c>
      <c r="K1359" s="81">
        <f>IF('Ordenes_Odoo'!K1359="","",'Ordenes_Odoo'!K1359)</f>
        <v/>
      </c>
      <c r="L1359" s="81">
        <f>IF('Ordenes_Odoo'!L1359="","",'Ordenes_Odoo'!L1359)</f>
        <v/>
      </c>
      <c r="M1359" s="79">
        <f>IF('Ordenes_Odoo'!M1359="","",'Ordenes_Odoo'!M1359)</f>
        <v/>
      </c>
      <c r="N1359" s="79">
        <f>IF('Ordenes_Odoo'!N1359="","",'Ordenes_Odoo'!N1359)</f>
        <v/>
      </c>
      <c r="O1359" s="81">
        <f>IF('Ordenes_Odoo'!O1359="","",'Ordenes_Odoo'!O1359)</f>
        <v/>
      </c>
      <c r="P1359" s="81">
        <f>IF('Ordenes_Odoo'!P1359="","",'Ordenes_Odoo'!P1359)</f>
        <v/>
      </c>
      <c r="Q1359" s="79">
        <f>IF(A1359="","",IFERROR(INDEX(Facturas_Odoo!$B:$B, MATCH(A1359, Facturas_Odoo!$D:$D, 0)), "Sin Factura"))</f>
        <v/>
      </c>
      <c r="R1359" s="80">
        <f>IF(Q1359="Sin Factura","",IFERROR(INDEX(Facturas_Odoo!$A:$A, MATCH(Q1359, Facturas_Odoo!$B:$B, 0)), ""))</f>
        <v/>
      </c>
      <c r="S1359" s="79">
        <f>IF(Q1359="Sin Factura","",IFERROR(_xlfn.XLOOKUP(1, (Facturas_Odoo!$D:$D=A1359) * (Facturas_Odoo!$K:$K=I1359), Facturas_Odoo!$L:$L, ""), ""))</f>
        <v/>
      </c>
      <c r="T1359" s="81">
        <f>IF(Q1359="Sin Factura",0,IFERROR(_xlfn.XLOOKUP(1, (Facturas_Odoo!$D:$D=A1359) * (Facturas_Odoo!$K:$K=I1359), Facturas_Odoo!$M:$M, 0), 0))</f>
        <v/>
      </c>
      <c r="U1359" s="79">
        <f>IF(Q1359="Sin Factura",0,IFERROR(_xlfn.XLOOKUP(1, (Facturas_Odoo!$D:$D=A1359) * (Facturas_Odoo!$K:$K=I1359), Facturas_Odoo!$N:$N, 0), 0))</f>
        <v/>
      </c>
      <c r="V1359" s="79">
        <f>IF(Q1359="Sin Factura",0,IFERROR(_xlfn.XLOOKUP(1, (Facturas_Odoo!$D:$D=A1359) * (Facturas_Odoo!$K:$K=I1359), Facturas_Odoo!$O:$O, 0), 0))</f>
        <v/>
      </c>
      <c r="W1359" s="81">
        <f>IF(Q1359="Sin Factura",0,IFERROR(_xlfn.XLOOKUP(1, (Facturas_Odoo!$D:$D=A1359) * (Facturas_Odoo!$K:$K=I1359), Facturas_Odoo!$Q:$Q, 0), 0))</f>
        <v/>
      </c>
      <c r="X1359" s="79">
        <f>IF(OR(Q1359="Sin Factura",Q1359=""),"",IFERROR(INDEX(Pagos_Odoo!$B:$B, MATCH(Q1359, Pagos_Odoo!$I:$I, 0)), "Sin Pago"))</f>
        <v/>
      </c>
      <c r="Y1359" s="79">
        <f>IF(X1359="Sin Pago","",IFERROR(INDEX(Pagos_Odoo!$C:$C, MATCH(X1359, Pagos_Odoo!$B:$B, 0)), ""))</f>
        <v/>
      </c>
      <c r="Z1359" s="80">
        <f>IF(X1359="Sin Pago","",IFERROR(INDEX(Pagos_Odoo!$A:$A, MATCH(X1359, Pagos_Odoo!$B:$B, 0)), ""))</f>
        <v/>
      </c>
      <c r="AA1359" s="79">
        <f>IF(X1359="Sin Pago","",IFERROR(INDEX(Pagos_Odoo!$F:$F, MATCH(X1359, Pagos_Odoo!$B:$B, 0)), ""))</f>
        <v/>
      </c>
      <c r="AB1359" s="81">
        <f>IF(X1359="Sin Pago",0,IFERROR(INDEX(Pagos_Odoo!$E:$E, MATCH(X1359, Pagos_Odoo!$B:$B, 0)), 0))</f>
        <v/>
      </c>
      <c r="AC1359" s="79">
        <f>IF(X1359="Sin Pago","",IFERROR(INDEX(Pagos_Odoo!$G:$G, MATCH(X1359, Pagos_Odoo!$B:$B, 0)), ""))</f>
        <v/>
      </c>
      <c r="AD1359" s="82" t="n">
        <v>0</v>
      </c>
      <c r="AE1359" s="82" t="n"/>
      <c r="AF1359" s="82" t="n"/>
      <c r="AG1359" s="82">
        <f>IF(AN1359="","",AD1359+AE1359+AF1359)</f>
        <v/>
      </c>
      <c r="AH1359" s="81">
        <f>IF(AN1359="","",P1359*(1-AG1359))</f>
        <v/>
      </c>
      <c r="AI1359" s="81">
        <f>IF(AN1359="","",IF(Q1359="Sin Factura",0,IFERROR(INDEX(Facturas_Odoo!$H:$H, MATCH(Q1359, Facturas_Odoo!$B:$B, 0)), 0)*(1-AG1359)))</f>
        <v/>
      </c>
      <c r="AJ1359" s="81">
        <f>IF(AN1359="","",_xlfn.LET(idVenta, AN1359&amp;"",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59" s="81">
        <f>IF(AN1359="","",AH1359-AJ1359)</f>
        <v/>
      </c>
      <c r="AL1359" s="81">
        <f>IF(AN1359="","",IF(Q1359="Sin Factura","",AI1359-AJ1359))</f>
        <v/>
      </c>
      <c r="AM1359" s="81">
        <f>IF(AN1359="","",IF(Q1359="Sin Factura",0,P1359-IFERROR(INDEX(Facturas_Odoo!$H:$H, MATCH(Q1359, Facturas_Odoo!$B:$B, 0)), 0)))</f>
        <v/>
      </c>
      <c r="AN1359" s="79">
        <f>IF(AND(A1359="", J1359=""), "", IF(A1359&lt;&gt;"", VALUE(MID(A1359,2,LEN(A1359))), AN1358))</f>
        <v/>
      </c>
      <c r="AO1359" s="79">
        <f>IF(AN1359="","",IF(AD1359=0,"OK",_xlfn.LET(monedaPago, IF(AA1359="","USD",AA1359), limitePermitido, IFERROR(VLOOKUP(monedaPago, Configuración!$A$2:$B$3, 2, FALSE), 0.15), IF(AD1359&gt;limitePermitido, "ALERTA: EXCESO (" &amp; TEXT(limitePermitido, "0%") &amp; " máx)", "OK"))))</f>
        <v/>
      </c>
      <c r="AP1359" s="79">
        <f>IF(AN1359="","",IF(AE1359=0,"OK",_xlfn.LET(fechaPago, Z1359, fechaFactura, R1359, diasCredito, IF(E1359="Pago inmediato", 0, IFERROR(VALUE(MID(E1359, 1, SEARCH(" ", E1359)-1)),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59" s="79">
        <f>IF(AN1359="","",IF(AND(N1359&gt;0, AG1359&gt;0), IF(Configuración!$K$2="NO", "ALERTA: DESCUENTO DOBLE NO PERMITIDO", "OK"), "OK"))</f>
        <v/>
      </c>
      <c r="AR1359" s="79">
        <f>IF(AN1359="","",IF(OR(AO1359&lt;&gt;"OK", AP1359&lt;&gt;"OK", AQ1359&lt;&gt;"OK"), "⚠️ REVISAR", "OK"))</f>
        <v/>
      </c>
    </row>
    <row r="1360">
      <c r="A1360" s="79">
        <f>IF('Ordenes_Odoo'!A1360="","",'Ordenes_Odoo'!A1360)</f>
        <v/>
      </c>
      <c r="B1360" s="80">
        <f>IF('Ordenes_Odoo'!B1360="","",'Ordenes_Odoo'!B1360)</f>
        <v/>
      </c>
      <c r="C1360" s="79">
        <f>IF('Ordenes_Odoo'!C1360="","",'Ordenes_Odoo'!C1360)</f>
        <v/>
      </c>
      <c r="D1360" s="79">
        <f>IF('Ordenes_Odoo'!D1360="","",'Ordenes_Odoo'!D1360)</f>
        <v/>
      </c>
      <c r="E1360" s="79">
        <f>IF('Ordenes_Odoo'!E1360="","",'Ordenes_Odoo'!E1360)</f>
        <v/>
      </c>
      <c r="F1360" s="79">
        <f>IF('Ordenes_Odoo'!F1360="","",'Ordenes_Odoo'!F1360)</f>
        <v/>
      </c>
      <c r="G1360" s="79">
        <f>IF('Ordenes_Odoo'!G1360="","",'Ordenes_Odoo'!G1360)</f>
        <v/>
      </c>
      <c r="H1360" s="79">
        <f>IF('Ordenes_Odoo'!H1360="","",'Ordenes_Odoo'!H1360)</f>
        <v/>
      </c>
      <c r="I1360" s="79">
        <f>IF('Ordenes_Odoo'!I1360="","",'Ordenes_Odoo'!I1360)</f>
        <v/>
      </c>
      <c r="J1360" s="79">
        <f>IF('Ordenes_Odoo'!J1360="","",'Ordenes_Odoo'!J1360)</f>
        <v/>
      </c>
      <c r="K1360" s="81">
        <f>IF('Ordenes_Odoo'!K1360="","",'Ordenes_Odoo'!K1360)</f>
        <v/>
      </c>
      <c r="L1360" s="81">
        <f>IF('Ordenes_Odoo'!L1360="","",'Ordenes_Odoo'!L1360)</f>
        <v/>
      </c>
      <c r="M1360" s="79">
        <f>IF('Ordenes_Odoo'!M1360="","",'Ordenes_Odoo'!M1360)</f>
        <v/>
      </c>
      <c r="N1360" s="79">
        <f>IF('Ordenes_Odoo'!N1360="","",'Ordenes_Odoo'!N1360)</f>
        <v/>
      </c>
      <c r="O1360" s="81">
        <f>IF('Ordenes_Odoo'!O1360="","",'Ordenes_Odoo'!O1360)</f>
        <v/>
      </c>
      <c r="P1360" s="81">
        <f>IF('Ordenes_Odoo'!P1360="","",'Ordenes_Odoo'!P1360)</f>
        <v/>
      </c>
      <c r="Q1360" s="79">
        <f>IF(A1360="","",IFERROR(INDEX(Facturas_Odoo!$B:$B, MATCH(A1360, Facturas_Odoo!$D:$D, 0)), "Sin Factura"))</f>
        <v/>
      </c>
      <c r="R1360" s="80">
        <f>IF(Q1360="Sin Factura","",IFERROR(INDEX(Facturas_Odoo!$A:$A, MATCH(Q1360, Facturas_Odoo!$B:$B, 0)), ""))</f>
        <v/>
      </c>
      <c r="S1360" s="79">
        <f>IF(Q1360="Sin Factura","",IFERROR(_xlfn.XLOOKUP(1, (Facturas_Odoo!$D:$D=A1360) * (Facturas_Odoo!$K:$K=I1360), Facturas_Odoo!$L:$L, ""), ""))</f>
        <v/>
      </c>
      <c r="T1360" s="81">
        <f>IF(Q1360="Sin Factura",0,IFERROR(_xlfn.XLOOKUP(1, (Facturas_Odoo!$D:$D=A1360) * (Facturas_Odoo!$K:$K=I1360), Facturas_Odoo!$M:$M, 0), 0))</f>
        <v/>
      </c>
      <c r="U1360" s="79">
        <f>IF(Q1360="Sin Factura",0,IFERROR(_xlfn.XLOOKUP(1, (Facturas_Odoo!$D:$D=A1360) * (Facturas_Odoo!$K:$K=I1360), Facturas_Odoo!$N:$N, 0), 0))</f>
        <v/>
      </c>
      <c r="V1360" s="79">
        <f>IF(Q1360="Sin Factura",0,IFERROR(_xlfn.XLOOKUP(1, (Facturas_Odoo!$D:$D=A1360) * (Facturas_Odoo!$K:$K=I1360), Facturas_Odoo!$O:$O, 0), 0))</f>
        <v/>
      </c>
      <c r="W1360" s="81">
        <f>IF(Q1360="Sin Factura",0,IFERROR(_xlfn.XLOOKUP(1, (Facturas_Odoo!$D:$D=A1360) * (Facturas_Odoo!$K:$K=I1360), Facturas_Odoo!$Q:$Q, 0), 0))</f>
        <v/>
      </c>
      <c r="X1360" s="79">
        <f>IF(OR(Q1360="Sin Factura",Q1360=""),"",IFERROR(INDEX(Pagos_Odoo!$B:$B, MATCH(Q1360, Pagos_Odoo!$I:$I, 0)), "Sin Pago"))</f>
        <v/>
      </c>
      <c r="Y1360" s="79">
        <f>IF(X1360="Sin Pago","",IFERROR(INDEX(Pagos_Odoo!$C:$C, MATCH(X1360, Pagos_Odoo!$B:$B, 0)), ""))</f>
        <v/>
      </c>
      <c r="Z1360" s="80">
        <f>IF(X1360="Sin Pago","",IFERROR(INDEX(Pagos_Odoo!$A:$A, MATCH(X1360, Pagos_Odoo!$B:$B, 0)), ""))</f>
        <v/>
      </c>
      <c r="AA1360" s="79">
        <f>IF(X1360="Sin Pago","",IFERROR(INDEX(Pagos_Odoo!$F:$F, MATCH(X1360, Pagos_Odoo!$B:$B, 0)), ""))</f>
        <v/>
      </c>
      <c r="AB1360" s="81">
        <f>IF(X1360="Sin Pago",0,IFERROR(INDEX(Pagos_Odoo!$E:$E, MATCH(X1360, Pagos_Odoo!$B:$B, 0)), 0))</f>
        <v/>
      </c>
      <c r="AC1360" s="79">
        <f>IF(X1360="Sin Pago","",IFERROR(INDEX(Pagos_Odoo!$G:$G, MATCH(X1360, Pagos_Odoo!$B:$B, 0)), ""))</f>
        <v/>
      </c>
      <c r="AD1360" s="82" t="n">
        <v>0</v>
      </c>
      <c r="AE1360" s="82" t="n"/>
      <c r="AF1360" s="82" t="n"/>
      <c r="AG1360" s="82">
        <f>IF(AN1360="","",AD1360+AE1360+AF1360)</f>
        <v/>
      </c>
      <c r="AH1360" s="81">
        <f>IF(AN1360="","",P1360*(1-AG1360))</f>
        <v/>
      </c>
      <c r="AI1360" s="81">
        <f>IF(AN1360="","",IF(Q1360="Sin Factura",0,IFERROR(INDEX(Facturas_Odoo!$H:$H, MATCH(Q1360, Facturas_Odoo!$B:$B, 0)), 0)*(1-AG1360)))</f>
        <v/>
      </c>
      <c r="AJ1360" s="81">
        <f>IF(AN1360="","",_xlfn.LET(idVenta, AN1360&amp;"",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60" s="81">
        <f>IF(AN1360="","",AH1360-AJ1360)</f>
        <v/>
      </c>
      <c r="AL1360" s="81">
        <f>IF(AN1360="","",IF(Q1360="Sin Factura","",AI1360-AJ1360))</f>
        <v/>
      </c>
      <c r="AM1360" s="81">
        <f>IF(AN1360="","",IF(Q1360="Sin Factura",0,P1360-IFERROR(INDEX(Facturas_Odoo!$H:$H, MATCH(Q1360, Facturas_Odoo!$B:$B, 0)), 0)))</f>
        <v/>
      </c>
      <c r="AN1360" s="79">
        <f>IF(AND(A1360="", J1360=""), "", IF(A1360&lt;&gt;"", VALUE(MID(A1360,2,LEN(A1360))), AN1359))</f>
        <v/>
      </c>
      <c r="AO1360" s="79">
        <f>IF(AN1360="","",IF(AD1360=0,"OK",_xlfn.LET(monedaPago, IF(AA1360="","USD",AA1360), limitePermitido, IFERROR(VLOOKUP(monedaPago, Configuración!$A$2:$B$3, 2, FALSE), 0.15), IF(AD1360&gt;limitePermitido, "ALERTA: EXCESO (" &amp; TEXT(limitePermitido, "0%") &amp; " máx)", "OK"))))</f>
        <v/>
      </c>
      <c r="AP1360" s="79">
        <f>IF(AN1360="","",IF(AE1360=0,"OK",_xlfn.LET(fechaPago, Z1360, fechaFactura, R1360, diasCredito, IF(E1360="Pago inmediato", 0, IFERROR(VALUE(MID(E1360, 1, SEARCH(" ", E1360)-1)),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60" s="79">
        <f>IF(AN1360="","",IF(AND(N1360&gt;0, AG1360&gt;0), IF(Configuración!$K$2="NO", "ALERTA: DESCUENTO DOBLE NO PERMITIDO", "OK"), "OK"))</f>
        <v/>
      </c>
      <c r="AR1360" s="79">
        <f>IF(AN1360="","",IF(OR(AO1360&lt;&gt;"OK", AP1360&lt;&gt;"OK", AQ1360&lt;&gt;"OK"), "⚠️ REVISAR", "OK"))</f>
        <v/>
      </c>
    </row>
    <row r="1361">
      <c r="A1361" s="79">
        <f>IF('Ordenes_Odoo'!A1361="","",'Ordenes_Odoo'!A1361)</f>
        <v/>
      </c>
      <c r="B1361" s="80">
        <f>IF('Ordenes_Odoo'!B1361="","",'Ordenes_Odoo'!B1361)</f>
        <v/>
      </c>
      <c r="C1361" s="79">
        <f>IF('Ordenes_Odoo'!C1361="","",'Ordenes_Odoo'!C1361)</f>
        <v/>
      </c>
      <c r="D1361" s="79">
        <f>IF('Ordenes_Odoo'!D1361="","",'Ordenes_Odoo'!D1361)</f>
        <v/>
      </c>
      <c r="E1361" s="79">
        <f>IF('Ordenes_Odoo'!E1361="","",'Ordenes_Odoo'!E1361)</f>
        <v/>
      </c>
      <c r="F1361" s="79">
        <f>IF('Ordenes_Odoo'!F1361="","",'Ordenes_Odoo'!F1361)</f>
        <v/>
      </c>
      <c r="G1361" s="79">
        <f>IF('Ordenes_Odoo'!G1361="","",'Ordenes_Odoo'!G1361)</f>
        <v/>
      </c>
      <c r="H1361" s="79">
        <f>IF('Ordenes_Odoo'!H1361="","",'Ordenes_Odoo'!H1361)</f>
        <v/>
      </c>
      <c r="I1361" s="79">
        <f>IF('Ordenes_Odoo'!I1361="","",'Ordenes_Odoo'!I1361)</f>
        <v/>
      </c>
      <c r="J1361" s="79">
        <f>IF('Ordenes_Odoo'!J1361="","",'Ordenes_Odoo'!J1361)</f>
        <v/>
      </c>
      <c r="K1361" s="81">
        <f>IF('Ordenes_Odoo'!K1361="","",'Ordenes_Odoo'!K1361)</f>
        <v/>
      </c>
      <c r="L1361" s="81">
        <f>IF('Ordenes_Odoo'!L1361="","",'Ordenes_Odoo'!L1361)</f>
        <v/>
      </c>
      <c r="M1361" s="79">
        <f>IF('Ordenes_Odoo'!M1361="","",'Ordenes_Odoo'!M1361)</f>
        <v/>
      </c>
      <c r="N1361" s="79">
        <f>IF('Ordenes_Odoo'!N1361="","",'Ordenes_Odoo'!N1361)</f>
        <v/>
      </c>
      <c r="O1361" s="81">
        <f>IF('Ordenes_Odoo'!O1361="","",'Ordenes_Odoo'!O1361)</f>
        <v/>
      </c>
      <c r="P1361" s="81">
        <f>IF('Ordenes_Odoo'!P1361="","",'Ordenes_Odoo'!P1361)</f>
        <v/>
      </c>
      <c r="Q1361" s="79">
        <f>IF(A1361="","",IFERROR(INDEX(Facturas_Odoo!$B:$B, MATCH(A1361, Facturas_Odoo!$D:$D, 0)), "Sin Factura"))</f>
        <v/>
      </c>
      <c r="R1361" s="80">
        <f>IF(Q1361="Sin Factura","",IFERROR(INDEX(Facturas_Odoo!$A:$A, MATCH(Q1361, Facturas_Odoo!$B:$B, 0)), ""))</f>
        <v/>
      </c>
      <c r="S1361" s="79">
        <f>IF(Q1361="Sin Factura","",IFERROR(_xlfn.XLOOKUP(1, (Facturas_Odoo!$D:$D=A1361) * (Facturas_Odoo!$K:$K=I1361), Facturas_Odoo!$L:$L, ""), ""))</f>
        <v/>
      </c>
      <c r="T1361" s="81">
        <f>IF(Q1361="Sin Factura",0,IFERROR(_xlfn.XLOOKUP(1, (Facturas_Odoo!$D:$D=A1361) * (Facturas_Odoo!$K:$K=I1361), Facturas_Odoo!$M:$M, 0), 0))</f>
        <v/>
      </c>
      <c r="U1361" s="79">
        <f>IF(Q1361="Sin Factura",0,IFERROR(_xlfn.XLOOKUP(1, (Facturas_Odoo!$D:$D=A1361) * (Facturas_Odoo!$K:$K=I1361), Facturas_Odoo!$N:$N, 0), 0))</f>
        <v/>
      </c>
      <c r="V1361" s="79">
        <f>IF(Q1361="Sin Factura",0,IFERROR(_xlfn.XLOOKUP(1, (Facturas_Odoo!$D:$D=A1361) * (Facturas_Odoo!$K:$K=I1361), Facturas_Odoo!$O:$O, 0), 0))</f>
        <v/>
      </c>
      <c r="W1361" s="81">
        <f>IF(Q1361="Sin Factura",0,IFERROR(_xlfn.XLOOKUP(1, (Facturas_Odoo!$D:$D=A1361) * (Facturas_Odoo!$K:$K=I1361), Facturas_Odoo!$Q:$Q, 0), 0))</f>
        <v/>
      </c>
      <c r="X1361" s="79">
        <f>IF(OR(Q1361="Sin Factura",Q1361=""),"",IFERROR(INDEX(Pagos_Odoo!$B:$B, MATCH(Q1361, Pagos_Odoo!$I:$I, 0)), "Sin Pago"))</f>
        <v/>
      </c>
      <c r="Y1361" s="79">
        <f>IF(X1361="Sin Pago","",IFERROR(INDEX(Pagos_Odoo!$C:$C, MATCH(X1361, Pagos_Odoo!$B:$B, 0)), ""))</f>
        <v/>
      </c>
      <c r="Z1361" s="80">
        <f>IF(X1361="Sin Pago","",IFERROR(INDEX(Pagos_Odoo!$A:$A, MATCH(X1361, Pagos_Odoo!$B:$B, 0)), ""))</f>
        <v/>
      </c>
      <c r="AA1361" s="79">
        <f>IF(X1361="Sin Pago","",IFERROR(INDEX(Pagos_Odoo!$F:$F, MATCH(X1361, Pagos_Odoo!$B:$B, 0)), ""))</f>
        <v/>
      </c>
      <c r="AB1361" s="81">
        <f>IF(X1361="Sin Pago",0,IFERROR(INDEX(Pagos_Odoo!$E:$E, MATCH(X1361, Pagos_Odoo!$B:$B, 0)), 0))</f>
        <v/>
      </c>
      <c r="AC1361" s="79">
        <f>IF(X1361="Sin Pago","",IFERROR(INDEX(Pagos_Odoo!$G:$G, MATCH(X1361, Pagos_Odoo!$B:$B, 0)), ""))</f>
        <v/>
      </c>
      <c r="AD1361" s="82" t="n">
        <v>0</v>
      </c>
      <c r="AE1361" s="82" t="n"/>
      <c r="AF1361" s="82" t="n"/>
      <c r="AG1361" s="82">
        <f>IF(AN1361="","",AD1361+AE1361+AF1361)</f>
        <v/>
      </c>
      <c r="AH1361" s="81">
        <f>IF(AN1361="","",P1361*(1-AG1361))</f>
        <v/>
      </c>
      <c r="AI1361" s="81">
        <f>IF(AN1361="","",IF(Q1361="Sin Factura",0,IFERROR(INDEX(Facturas_Odoo!$H:$H, MATCH(Q1361, Facturas_Odoo!$B:$B, 0)), 0)*(1-AG1361)))</f>
        <v/>
      </c>
      <c r="AJ1361" s="81">
        <f>IF(AN1361="","",_xlfn.LET(idVenta, AN1361&amp;"",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61" s="81">
        <f>IF(AN1361="","",AH1361-AJ1361)</f>
        <v/>
      </c>
      <c r="AL1361" s="81">
        <f>IF(AN1361="","",IF(Q1361="Sin Factura","",AI1361-AJ1361))</f>
        <v/>
      </c>
      <c r="AM1361" s="81">
        <f>IF(AN1361="","",IF(Q1361="Sin Factura",0,P1361-IFERROR(INDEX(Facturas_Odoo!$H:$H, MATCH(Q1361, Facturas_Odoo!$B:$B, 0)), 0)))</f>
        <v/>
      </c>
      <c r="AN1361" s="79">
        <f>IF(AND(A1361="", J1361=""), "", IF(A1361&lt;&gt;"", VALUE(MID(A1361,2,LEN(A1361))), AN1360))</f>
        <v/>
      </c>
      <c r="AO1361" s="79">
        <f>IF(AN1361="","",IF(AD1361=0,"OK",_xlfn.LET(monedaPago, IF(AA1361="","USD",AA1361), limitePermitido, IFERROR(VLOOKUP(monedaPago, Configuración!$A$2:$B$3, 2, FALSE), 0.15), IF(AD1361&gt;limitePermitido, "ALERTA: EXCESO (" &amp; TEXT(limitePermitido, "0%") &amp; " máx)", "OK"))))</f>
        <v/>
      </c>
      <c r="AP1361" s="79">
        <f>IF(AN1361="","",IF(AE1361=0,"OK",_xlfn.LET(fechaPago, Z1361, fechaFactura, R1361, diasCredito, IF(E1361="Pago inmediato", 0, IFERROR(VALUE(MID(E1361, 1, SEARCH(" ", E1361)-1)),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61" s="79">
        <f>IF(AN1361="","",IF(AND(N1361&gt;0, AG1361&gt;0), IF(Configuración!$K$2="NO", "ALERTA: DESCUENTO DOBLE NO PERMITIDO", "OK"), "OK"))</f>
        <v/>
      </c>
      <c r="AR1361" s="79">
        <f>IF(AN1361="","",IF(OR(AO1361&lt;&gt;"OK", AP1361&lt;&gt;"OK", AQ1361&lt;&gt;"OK"), "⚠️ REVISAR", "OK"))</f>
        <v/>
      </c>
    </row>
    <row r="1362">
      <c r="A1362" s="79">
        <f>IF('Ordenes_Odoo'!A1362="","",'Ordenes_Odoo'!A1362)</f>
        <v/>
      </c>
      <c r="B1362" s="80">
        <f>IF('Ordenes_Odoo'!B1362="","",'Ordenes_Odoo'!B1362)</f>
        <v/>
      </c>
      <c r="C1362" s="79">
        <f>IF('Ordenes_Odoo'!C1362="","",'Ordenes_Odoo'!C1362)</f>
        <v/>
      </c>
      <c r="D1362" s="79">
        <f>IF('Ordenes_Odoo'!D1362="","",'Ordenes_Odoo'!D1362)</f>
        <v/>
      </c>
      <c r="E1362" s="79">
        <f>IF('Ordenes_Odoo'!E1362="","",'Ordenes_Odoo'!E1362)</f>
        <v/>
      </c>
      <c r="F1362" s="79">
        <f>IF('Ordenes_Odoo'!F1362="","",'Ordenes_Odoo'!F1362)</f>
        <v/>
      </c>
      <c r="G1362" s="79">
        <f>IF('Ordenes_Odoo'!G1362="","",'Ordenes_Odoo'!G1362)</f>
        <v/>
      </c>
      <c r="H1362" s="79">
        <f>IF('Ordenes_Odoo'!H1362="","",'Ordenes_Odoo'!H1362)</f>
        <v/>
      </c>
      <c r="I1362" s="79">
        <f>IF('Ordenes_Odoo'!I1362="","",'Ordenes_Odoo'!I1362)</f>
        <v/>
      </c>
      <c r="J1362" s="79">
        <f>IF('Ordenes_Odoo'!J1362="","",'Ordenes_Odoo'!J1362)</f>
        <v/>
      </c>
      <c r="K1362" s="81">
        <f>IF('Ordenes_Odoo'!K1362="","",'Ordenes_Odoo'!K1362)</f>
        <v/>
      </c>
      <c r="L1362" s="81">
        <f>IF('Ordenes_Odoo'!L1362="","",'Ordenes_Odoo'!L1362)</f>
        <v/>
      </c>
      <c r="M1362" s="79">
        <f>IF('Ordenes_Odoo'!M1362="","",'Ordenes_Odoo'!M1362)</f>
        <v/>
      </c>
      <c r="N1362" s="79">
        <f>IF('Ordenes_Odoo'!N1362="","",'Ordenes_Odoo'!N1362)</f>
        <v/>
      </c>
      <c r="O1362" s="81">
        <f>IF('Ordenes_Odoo'!O1362="","",'Ordenes_Odoo'!O1362)</f>
        <v/>
      </c>
      <c r="P1362" s="81">
        <f>IF('Ordenes_Odoo'!P1362="","",'Ordenes_Odoo'!P1362)</f>
        <v/>
      </c>
      <c r="Q1362" s="79">
        <f>IF(A1362="","",IFERROR(INDEX(Facturas_Odoo!$B:$B, MATCH(A1362, Facturas_Odoo!$D:$D, 0)), "Sin Factura"))</f>
        <v/>
      </c>
      <c r="R1362" s="80">
        <f>IF(Q1362="Sin Factura","",IFERROR(INDEX(Facturas_Odoo!$A:$A, MATCH(Q1362, Facturas_Odoo!$B:$B, 0)), ""))</f>
        <v/>
      </c>
      <c r="S1362" s="79">
        <f>IF(Q1362="Sin Factura","",IFERROR(_xlfn.XLOOKUP(1, (Facturas_Odoo!$D:$D=A1362) * (Facturas_Odoo!$K:$K=I1362), Facturas_Odoo!$L:$L, ""), ""))</f>
        <v/>
      </c>
      <c r="T1362" s="81">
        <f>IF(Q1362="Sin Factura",0,IFERROR(_xlfn.XLOOKUP(1, (Facturas_Odoo!$D:$D=A1362) * (Facturas_Odoo!$K:$K=I1362), Facturas_Odoo!$M:$M, 0), 0))</f>
        <v/>
      </c>
      <c r="U1362" s="79">
        <f>IF(Q1362="Sin Factura",0,IFERROR(_xlfn.XLOOKUP(1, (Facturas_Odoo!$D:$D=A1362) * (Facturas_Odoo!$K:$K=I1362), Facturas_Odoo!$N:$N, 0), 0))</f>
        <v/>
      </c>
      <c r="V1362" s="79">
        <f>IF(Q1362="Sin Factura",0,IFERROR(_xlfn.XLOOKUP(1, (Facturas_Odoo!$D:$D=A1362) * (Facturas_Odoo!$K:$K=I1362), Facturas_Odoo!$O:$O, 0), 0))</f>
        <v/>
      </c>
      <c r="W1362" s="81">
        <f>IF(Q1362="Sin Factura",0,IFERROR(_xlfn.XLOOKUP(1, (Facturas_Odoo!$D:$D=A1362) * (Facturas_Odoo!$K:$K=I1362), Facturas_Odoo!$Q:$Q, 0), 0))</f>
        <v/>
      </c>
      <c r="X1362" s="79">
        <f>IF(OR(Q1362="Sin Factura",Q1362=""),"",IFERROR(INDEX(Pagos_Odoo!$B:$B, MATCH(Q1362, Pagos_Odoo!$I:$I, 0)), "Sin Pago"))</f>
        <v/>
      </c>
      <c r="Y1362" s="79">
        <f>IF(X1362="Sin Pago","",IFERROR(INDEX(Pagos_Odoo!$C:$C, MATCH(X1362, Pagos_Odoo!$B:$B, 0)), ""))</f>
        <v/>
      </c>
      <c r="Z1362" s="80">
        <f>IF(X1362="Sin Pago","",IFERROR(INDEX(Pagos_Odoo!$A:$A, MATCH(X1362, Pagos_Odoo!$B:$B, 0)), ""))</f>
        <v/>
      </c>
      <c r="AA1362" s="79">
        <f>IF(X1362="Sin Pago","",IFERROR(INDEX(Pagos_Odoo!$F:$F, MATCH(X1362, Pagos_Odoo!$B:$B, 0)), ""))</f>
        <v/>
      </c>
      <c r="AB1362" s="81">
        <f>IF(X1362="Sin Pago",0,IFERROR(INDEX(Pagos_Odoo!$E:$E, MATCH(X1362, Pagos_Odoo!$B:$B, 0)), 0))</f>
        <v/>
      </c>
      <c r="AC1362" s="79">
        <f>IF(X1362="Sin Pago","",IFERROR(INDEX(Pagos_Odoo!$G:$G, MATCH(X1362, Pagos_Odoo!$B:$B, 0)), ""))</f>
        <v/>
      </c>
      <c r="AD1362" s="82" t="n">
        <v>0</v>
      </c>
      <c r="AE1362" s="82" t="n"/>
      <c r="AF1362" s="82" t="n"/>
      <c r="AG1362" s="82">
        <f>IF(AN1362="","",AD1362+AE1362+AF1362)</f>
        <v/>
      </c>
      <c r="AH1362" s="81">
        <f>IF(AN1362="","",P1362*(1-AG1362))</f>
        <v/>
      </c>
      <c r="AI1362" s="81">
        <f>IF(AN1362="","",IF(Q1362="Sin Factura",0,IFERROR(INDEX(Facturas_Odoo!$H:$H, MATCH(Q1362, Facturas_Odoo!$B:$B, 0)), 0)*(1-AG1362)))</f>
        <v/>
      </c>
      <c r="AJ1362" s="81">
        <f>IF(AN1362="","",_xlfn.LET(idVenta, AN1362&amp;"",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62" s="81">
        <f>IF(AN1362="","",AH1362-AJ1362)</f>
        <v/>
      </c>
      <c r="AL1362" s="81">
        <f>IF(AN1362="","",IF(Q1362="Sin Factura","",AI1362-AJ1362))</f>
        <v/>
      </c>
      <c r="AM1362" s="81">
        <f>IF(AN1362="","",IF(Q1362="Sin Factura",0,P1362-IFERROR(INDEX(Facturas_Odoo!$H:$H, MATCH(Q1362, Facturas_Odoo!$B:$B, 0)), 0)))</f>
        <v/>
      </c>
      <c r="AN1362" s="79">
        <f>IF(AND(A1362="", J1362=""), "", IF(A1362&lt;&gt;"", VALUE(MID(A1362,2,LEN(A1362))), AN1361))</f>
        <v/>
      </c>
      <c r="AO1362" s="79">
        <f>IF(AN1362="","",IF(AD1362=0,"OK",_xlfn.LET(monedaPago, IF(AA1362="","USD",AA1362), limitePermitido, IFERROR(VLOOKUP(monedaPago, Configuración!$A$2:$B$3, 2, FALSE), 0.15), IF(AD1362&gt;limitePermitido, "ALERTA: EXCESO (" &amp; TEXT(limitePermitido, "0%") &amp; " máx)", "OK"))))</f>
        <v/>
      </c>
      <c r="AP1362" s="79">
        <f>IF(AN1362="","",IF(AE1362=0,"OK",_xlfn.LET(fechaPago, Z1362, fechaFactura, R1362, diasCredito, IF(E1362="Pago inmediato", 0, IFERROR(VALUE(MID(E1362, 1, SEARCH(" ", E1362)-1)),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62" s="79">
        <f>IF(AN1362="","",IF(AND(N1362&gt;0, AG1362&gt;0), IF(Configuración!$K$2="NO", "ALERTA: DESCUENTO DOBLE NO PERMITIDO", "OK"), "OK"))</f>
        <v/>
      </c>
      <c r="AR1362" s="79">
        <f>IF(AN1362="","",IF(OR(AO1362&lt;&gt;"OK", AP1362&lt;&gt;"OK", AQ1362&lt;&gt;"OK"), "⚠️ REVISAR", "OK"))</f>
        <v/>
      </c>
    </row>
    <row r="1363">
      <c r="A1363" s="79">
        <f>IF('Ordenes_Odoo'!A1363="","",'Ordenes_Odoo'!A1363)</f>
        <v/>
      </c>
      <c r="B1363" s="80">
        <f>IF('Ordenes_Odoo'!B1363="","",'Ordenes_Odoo'!B1363)</f>
        <v/>
      </c>
      <c r="C1363" s="79">
        <f>IF('Ordenes_Odoo'!C1363="","",'Ordenes_Odoo'!C1363)</f>
        <v/>
      </c>
      <c r="D1363" s="79">
        <f>IF('Ordenes_Odoo'!D1363="","",'Ordenes_Odoo'!D1363)</f>
        <v/>
      </c>
      <c r="E1363" s="79">
        <f>IF('Ordenes_Odoo'!E1363="","",'Ordenes_Odoo'!E1363)</f>
        <v/>
      </c>
      <c r="F1363" s="79">
        <f>IF('Ordenes_Odoo'!F1363="","",'Ordenes_Odoo'!F1363)</f>
        <v/>
      </c>
      <c r="G1363" s="79">
        <f>IF('Ordenes_Odoo'!G1363="","",'Ordenes_Odoo'!G1363)</f>
        <v/>
      </c>
      <c r="H1363" s="79">
        <f>IF('Ordenes_Odoo'!H1363="","",'Ordenes_Odoo'!H1363)</f>
        <v/>
      </c>
      <c r="I1363" s="79">
        <f>IF('Ordenes_Odoo'!I1363="","",'Ordenes_Odoo'!I1363)</f>
        <v/>
      </c>
      <c r="J1363" s="79">
        <f>IF('Ordenes_Odoo'!J1363="","",'Ordenes_Odoo'!J1363)</f>
        <v/>
      </c>
      <c r="K1363" s="81">
        <f>IF('Ordenes_Odoo'!K1363="","",'Ordenes_Odoo'!K1363)</f>
        <v/>
      </c>
      <c r="L1363" s="81">
        <f>IF('Ordenes_Odoo'!L1363="","",'Ordenes_Odoo'!L1363)</f>
        <v/>
      </c>
      <c r="M1363" s="79">
        <f>IF('Ordenes_Odoo'!M1363="","",'Ordenes_Odoo'!M1363)</f>
        <v/>
      </c>
      <c r="N1363" s="79">
        <f>IF('Ordenes_Odoo'!N1363="","",'Ordenes_Odoo'!N1363)</f>
        <v/>
      </c>
      <c r="O1363" s="81">
        <f>IF('Ordenes_Odoo'!O1363="","",'Ordenes_Odoo'!O1363)</f>
        <v/>
      </c>
      <c r="P1363" s="81">
        <f>IF('Ordenes_Odoo'!P1363="","",'Ordenes_Odoo'!P1363)</f>
        <v/>
      </c>
      <c r="Q1363" s="79">
        <f>IF(A1363="","",IFERROR(INDEX(Facturas_Odoo!$B:$B, MATCH(A1363, Facturas_Odoo!$D:$D, 0)), "Sin Factura"))</f>
        <v/>
      </c>
      <c r="R1363" s="80">
        <f>IF(Q1363="Sin Factura","",IFERROR(INDEX(Facturas_Odoo!$A:$A, MATCH(Q1363, Facturas_Odoo!$B:$B, 0)), ""))</f>
        <v/>
      </c>
      <c r="S1363" s="79">
        <f>IF(Q1363="Sin Factura","",IFERROR(_xlfn.XLOOKUP(1, (Facturas_Odoo!$D:$D=A1363) * (Facturas_Odoo!$K:$K=I1363), Facturas_Odoo!$L:$L, ""), ""))</f>
        <v/>
      </c>
      <c r="T1363" s="81">
        <f>IF(Q1363="Sin Factura",0,IFERROR(_xlfn.XLOOKUP(1, (Facturas_Odoo!$D:$D=A1363) * (Facturas_Odoo!$K:$K=I1363), Facturas_Odoo!$M:$M, 0), 0))</f>
        <v/>
      </c>
      <c r="U1363" s="79">
        <f>IF(Q1363="Sin Factura",0,IFERROR(_xlfn.XLOOKUP(1, (Facturas_Odoo!$D:$D=A1363) * (Facturas_Odoo!$K:$K=I1363), Facturas_Odoo!$N:$N, 0), 0))</f>
        <v/>
      </c>
      <c r="V1363" s="79">
        <f>IF(Q1363="Sin Factura",0,IFERROR(_xlfn.XLOOKUP(1, (Facturas_Odoo!$D:$D=A1363) * (Facturas_Odoo!$K:$K=I1363), Facturas_Odoo!$O:$O, 0), 0))</f>
        <v/>
      </c>
      <c r="W1363" s="81">
        <f>IF(Q1363="Sin Factura",0,IFERROR(_xlfn.XLOOKUP(1, (Facturas_Odoo!$D:$D=A1363) * (Facturas_Odoo!$K:$K=I1363), Facturas_Odoo!$Q:$Q, 0), 0))</f>
        <v/>
      </c>
      <c r="X1363" s="79">
        <f>IF(OR(Q1363="Sin Factura",Q1363=""),"",IFERROR(INDEX(Pagos_Odoo!$B:$B, MATCH(Q1363, Pagos_Odoo!$I:$I, 0)), "Sin Pago"))</f>
        <v/>
      </c>
      <c r="Y1363" s="79">
        <f>IF(X1363="Sin Pago","",IFERROR(INDEX(Pagos_Odoo!$C:$C, MATCH(X1363, Pagos_Odoo!$B:$B, 0)), ""))</f>
        <v/>
      </c>
      <c r="Z1363" s="80">
        <f>IF(X1363="Sin Pago","",IFERROR(INDEX(Pagos_Odoo!$A:$A, MATCH(X1363, Pagos_Odoo!$B:$B, 0)), ""))</f>
        <v/>
      </c>
      <c r="AA1363" s="79">
        <f>IF(X1363="Sin Pago","",IFERROR(INDEX(Pagos_Odoo!$F:$F, MATCH(X1363, Pagos_Odoo!$B:$B, 0)), ""))</f>
        <v/>
      </c>
      <c r="AB1363" s="81">
        <f>IF(X1363="Sin Pago",0,IFERROR(INDEX(Pagos_Odoo!$E:$E, MATCH(X1363, Pagos_Odoo!$B:$B, 0)), 0))</f>
        <v/>
      </c>
      <c r="AC1363" s="79">
        <f>IF(X1363="Sin Pago","",IFERROR(INDEX(Pagos_Odoo!$G:$G, MATCH(X1363, Pagos_Odoo!$B:$B, 0)), ""))</f>
        <v/>
      </c>
      <c r="AD1363" s="82" t="n">
        <v>0</v>
      </c>
      <c r="AE1363" s="82" t="n"/>
      <c r="AF1363" s="82" t="n"/>
      <c r="AG1363" s="82">
        <f>IF(AN1363="","",AD1363+AE1363+AF1363)</f>
        <v/>
      </c>
      <c r="AH1363" s="81">
        <f>IF(AN1363="","",P1363*(1-AG1363))</f>
        <v/>
      </c>
      <c r="AI1363" s="81">
        <f>IF(AN1363="","",IF(Q1363="Sin Factura",0,IFERROR(INDEX(Facturas_Odoo!$H:$H, MATCH(Q1363, Facturas_Odoo!$B:$B, 0)), 0)*(1-AG1363)))</f>
        <v/>
      </c>
      <c r="AJ1363" s="81">
        <f>IF(AN1363="","",_xlfn.LET(idVenta, AN1363&amp;"",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63" s="81">
        <f>IF(AN1363="","",AH1363-AJ1363)</f>
        <v/>
      </c>
      <c r="AL1363" s="81">
        <f>IF(AN1363="","",IF(Q1363="Sin Factura","",AI1363-AJ1363))</f>
        <v/>
      </c>
      <c r="AM1363" s="81">
        <f>IF(AN1363="","",IF(Q1363="Sin Factura",0,P1363-IFERROR(INDEX(Facturas_Odoo!$H:$H, MATCH(Q1363, Facturas_Odoo!$B:$B, 0)), 0)))</f>
        <v/>
      </c>
      <c r="AN1363" s="79">
        <f>IF(AND(A1363="", J1363=""), "", IF(A1363&lt;&gt;"", VALUE(MID(A1363,2,LEN(A1363))), AN1362))</f>
        <v/>
      </c>
      <c r="AO1363" s="79">
        <f>IF(AN1363="","",IF(AD1363=0,"OK",_xlfn.LET(monedaPago, IF(AA1363="","USD",AA1363), limitePermitido, IFERROR(VLOOKUP(monedaPago, Configuración!$A$2:$B$3, 2, FALSE), 0.15), IF(AD1363&gt;limitePermitido, "ALERTA: EXCESO (" &amp; TEXT(limitePermitido, "0%") &amp; " máx)", "OK"))))</f>
        <v/>
      </c>
      <c r="AP1363" s="79">
        <f>IF(AN1363="","",IF(AE1363=0,"OK",_xlfn.LET(fechaPago, Z1363, fechaFactura, R1363, diasCredito, IF(E1363="Pago inmediato", 0, IFERROR(VALUE(MID(E1363, 1, SEARCH(" ", E1363)-1)),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63" s="79">
        <f>IF(AN1363="","",IF(AND(N1363&gt;0, AG1363&gt;0), IF(Configuración!$K$2="NO", "ALERTA: DESCUENTO DOBLE NO PERMITIDO", "OK"), "OK"))</f>
        <v/>
      </c>
      <c r="AR1363" s="79">
        <f>IF(AN1363="","",IF(OR(AO1363&lt;&gt;"OK", AP1363&lt;&gt;"OK", AQ1363&lt;&gt;"OK"), "⚠️ REVISAR", "OK"))</f>
        <v/>
      </c>
    </row>
    <row r="1364">
      <c r="A1364" s="79">
        <f>IF('Ordenes_Odoo'!A1364="","",'Ordenes_Odoo'!A1364)</f>
        <v/>
      </c>
      <c r="B1364" s="80">
        <f>IF('Ordenes_Odoo'!B1364="","",'Ordenes_Odoo'!B1364)</f>
        <v/>
      </c>
      <c r="C1364" s="79">
        <f>IF('Ordenes_Odoo'!C1364="","",'Ordenes_Odoo'!C1364)</f>
        <v/>
      </c>
      <c r="D1364" s="79">
        <f>IF('Ordenes_Odoo'!D1364="","",'Ordenes_Odoo'!D1364)</f>
        <v/>
      </c>
      <c r="E1364" s="79">
        <f>IF('Ordenes_Odoo'!E1364="","",'Ordenes_Odoo'!E1364)</f>
        <v/>
      </c>
      <c r="F1364" s="79">
        <f>IF('Ordenes_Odoo'!F1364="","",'Ordenes_Odoo'!F1364)</f>
        <v/>
      </c>
      <c r="G1364" s="79">
        <f>IF('Ordenes_Odoo'!G1364="","",'Ordenes_Odoo'!G1364)</f>
        <v/>
      </c>
      <c r="H1364" s="79">
        <f>IF('Ordenes_Odoo'!H1364="","",'Ordenes_Odoo'!H1364)</f>
        <v/>
      </c>
      <c r="I1364" s="79">
        <f>IF('Ordenes_Odoo'!I1364="","",'Ordenes_Odoo'!I1364)</f>
        <v/>
      </c>
      <c r="J1364" s="79">
        <f>IF('Ordenes_Odoo'!J1364="","",'Ordenes_Odoo'!J1364)</f>
        <v/>
      </c>
      <c r="K1364" s="81">
        <f>IF('Ordenes_Odoo'!K1364="","",'Ordenes_Odoo'!K1364)</f>
        <v/>
      </c>
      <c r="L1364" s="81">
        <f>IF('Ordenes_Odoo'!L1364="","",'Ordenes_Odoo'!L1364)</f>
        <v/>
      </c>
      <c r="M1364" s="79">
        <f>IF('Ordenes_Odoo'!M1364="","",'Ordenes_Odoo'!M1364)</f>
        <v/>
      </c>
      <c r="N1364" s="79">
        <f>IF('Ordenes_Odoo'!N1364="","",'Ordenes_Odoo'!N1364)</f>
        <v/>
      </c>
      <c r="O1364" s="81">
        <f>IF('Ordenes_Odoo'!O1364="","",'Ordenes_Odoo'!O1364)</f>
        <v/>
      </c>
      <c r="P1364" s="81">
        <f>IF('Ordenes_Odoo'!P1364="","",'Ordenes_Odoo'!P1364)</f>
        <v/>
      </c>
      <c r="Q1364" s="79">
        <f>IF(A1364="","",IFERROR(INDEX(Facturas_Odoo!$B:$B, MATCH(A1364, Facturas_Odoo!$D:$D, 0)), "Sin Factura"))</f>
        <v/>
      </c>
      <c r="R1364" s="80">
        <f>IF(Q1364="Sin Factura","",IFERROR(INDEX(Facturas_Odoo!$A:$A, MATCH(Q1364, Facturas_Odoo!$B:$B, 0)), ""))</f>
        <v/>
      </c>
      <c r="S1364" s="79">
        <f>IF(Q1364="Sin Factura","",IFERROR(_xlfn.XLOOKUP(1, (Facturas_Odoo!$D:$D=A1364) * (Facturas_Odoo!$K:$K=I1364), Facturas_Odoo!$L:$L, ""), ""))</f>
        <v/>
      </c>
      <c r="T1364" s="81">
        <f>IF(Q1364="Sin Factura",0,IFERROR(_xlfn.XLOOKUP(1, (Facturas_Odoo!$D:$D=A1364) * (Facturas_Odoo!$K:$K=I1364), Facturas_Odoo!$M:$M, 0), 0))</f>
        <v/>
      </c>
      <c r="U1364" s="79">
        <f>IF(Q1364="Sin Factura",0,IFERROR(_xlfn.XLOOKUP(1, (Facturas_Odoo!$D:$D=A1364) * (Facturas_Odoo!$K:$K=I1364), Facturas_Odoo!$N:$N, 0), 0))</f>
        <v/>
      </c>
      <c r="V1364" s="79">
        <f>IF(Q1364="Sin Factura",0,IFERROR(_xlfn.XLOOKUP(1, (Facturas_Odoo!$D:$D=A1364) * (Facturas_Odoo!$K:$K=I1364), Facturas_Odoo!$O:$O, 0), 0))</f>
        <v/>
      </c>
      <c r="W1364" s="81">
        <f>IF(Q1364="Sin Factura",0,IFERROR(_xlfn.XLOOKUP(1, (Facturas_Odoo!$D:$D=A1364) * (Facturas_Odoo!$K:$K=I1364), Facturas_Odoo!$Q:$Q, 0), 0))</f>
        <v/>
      </c>
      <c r="X1364" s="79">
        <f>IF(OR(Q1364="Sin Factura",Q1364=""),"",IFERROR(INDEX(Pagos_Odoo!$B:$B, MATCH(Q1364, Pagos_Odoo!$I:$I, 0)), "Sin Pago"))</f>
        <v/>
      </c>
      <c r="Y1364" s="79">
        <f>IF(X1364="Sin Pago","",IFERROR(INDEX(Pagos_Odoo!$C:$C, MATCH(X1364, Pagos_Odoo!$B:$B, 0)), ""))</f>
        <v/>
      </c>
      <c r="Z1364" s="80">
        <f>IF(X1364="Sin Pago","",IFERROR(INDEX(Pagos_Odoo!$A:$A, MATCH(X1364, Pagos_Odoo!$B:$B, 0)), ""))</f>
        <v/>
      </c>
      <c r="AA1364" s="79">
        <f>IF(X1364="Sin Pago","",IFERROR(INDEX(Pagos_Odoo!$F:$F, MATCH(X1364, Pagos_Odoo!$B:$B, 0)), ""))</f>
        <v/>
      </c>
      <c r="AB1364" s="81">
        <f>IF(X1364="Sin Pago",0,IFERROR(INDEX(Pagos_Odoo!$E:$E, MATCH(X1364, Pagos_Odoo!$B:$B, 0)), 0))</f>
        <v/>
      </c>
      <c r="AC1364" s="79">
        <f>IF(X1364="Sin Pago","",IFERROR(INDEX(Pagos_Odoo!$G:$G, MATCH(X1364, Pagos_Odoo!$B:$B, 0)), ""))</f>
        <v/>
      </c>
      <c r="AD1364" s="82" t="n">
        <v>0</v>
      </c>
      <c r="AE1364" s="82" t="n"/>
      <c r="AF1364" s="82" t="n"/>
      <c r="AG1364" s="82">
        <f>IF(AN1364="","",AD1364+AE1364+AF1364)</f>
        <v/>
      </c>
      <c r="AH1364" s="81">
        <f>IF(AN1364="","",P1364*(1-AG1364))</f>
        <v/>
      </c>
      <c r="AI1364" s="81">
        <f>IF(AN1364="","",IF(Q1364="Sin Factura",0,IFERROR(INDEX(Facturas_Odoo!$H:$H, MATCH(Q1364, Facturas_Odoo!$B:$B, 0)), 0)*(1-AG1364)))</f>
        <v/>
      </c>
      <c r="AJ1364" s="81">
        <f>IF(AN1364="","",_xlfn.LET(idVenta, AN1364&amp;"",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64" s="81">
        <f>IF(AN1364="","",AH1364-AJ1364)</f>
        <v/>
      </c>
      <c r="AL1364" s="81">
        <f>IF(AN1364="","",IF(Q1364="Sin Factura","",AI1364-AJ1364))</f>
        <v/>
      </c>
      <c r="AM1364" s="81">
        <f>IF(AN1364="","",IF(Q1364="Sin Factura",0,P1364-IFERROR(INDEX(Facturas_Odoo!$H:$H, MATCH(Q1364, Facturas_Odoo!$B:$B, 0)), 0)))</f>
        <v/>
      </c>
      <c r="AN1364" s="79">
        <f>IF(AND(A1364="", J1364=""), "", IF(A1364&lt;&gt;"", VALUE(MID(A1364,2,LEN(A1364))), AN1363))</f>
        <v/>
      </c>
      <c r="AO1364" s="79">
        <f>IF(AN1364="","",IF(AD1364=0,"OK",_xlfn.LET(monedaPago, IF(AA1364="","USD",AA1364), limitePermitido, IFERROR(VLOOKUP(monedaPago, Configuración!$A$2:$B$3, 2, FALSE), 0.15), IF(AD1364&gt;limitePermitido, "ALERTA: EXCESO (" &amp; TEXT(limitePermitido, "0%") &amp; " máx)", "OK"))))</f>
        <v/>
      </c>
      <c r="AP1364" s="79">
        <f>IF(AN1364="","",IF(AE1364=0,"OK",_xlfn.LET(fechaPago, Z1364, fechaFactura, R1364, diasCredito, IF(E1364="Pago inmediato", 0, IFERROR(VALUE(MID(E1364, 1, SEARCH(" ", E1364)-1)),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64" s="79">
        <f>IF(AN1364="","",IF(AND(N1364&gt;0, AG1364&gt;0), IF(Configuración!$K$2="NO", "ALERTA: DESCUENTO DOBLE NO PERMITIDO", "OK"), "OK"))</f>
        <v/>
      </c>
      <c r="AR1364" s="79">
        <f>IF(AN1364="","",IF(OR(AO1364&lt;&gt;"OK", AP1364&lt;&gt;"OK", AQ1364&lt;&gt;"OK"), "⚠️ REVISAR", "OK"))</f>
        <v/>
      </c>
    </row>
    <row r="1365">
      <c r="A1365" s="79">
        <f>IF('Ordenes_Odoo'!A1365="","",'Ordenes_Odoo'!A1365)</f>
        <v/>
      </c>
      <c r="B1365" s="80">
        <f>IF('Ordenes_Odoo'!B1365="","",'Ordenes_Odoo'!B1365)</f>
        <v/>
      </c>
      <c r="C1365" s="79">
        <f>IF('Ordenes_Odoo'!C1365="","",'Ordenes_Odoo'!C1365)</f>
        <v/>
      </c>
      <c r="D1365" s="79">
        <f>IF('Ordenes_Odoo'!D1365="","",'Ordenes_Odoo'!D1365)</f>
        <v/>
      </c>
      <c r="E1365" s="79">
        <f>IF('Ordenes_Odoo'!E1365="","",'Ordenes_Odoo'!E1365)</f>
        <v/>
      </c>
      <c r="F1365" s="79">
        <f>IF('Ordenes_Odoo'!F1365="","",'Ordenes_Odoo'!F1365)</f>
        <v/>
      </c>
      <c r="G1365" s="79">
        <f>IF('Ordenes_Odoo'!G1365="","",'Ordenes_Odoo'!G1365)</f>
        <v/>
      </c>
      <c r="H1365" s="79">
        <f>IF('Ordenes_Odoo'!H1365="","",'Ordenes_Odoo'!H1365)</f>
        <v/>
      </c>
      <c r="I1365" s="79">
        <f>IF('Ordenes_Odoo'!I1365="","",'Ordenes_Odoo'!I1365)</f>
        <v/>
      </c>
      <c r="J1365" s="79">
        <f>IF('Ordenes_Odoo'!J1365="","",'Ordenes_Odoo'!J1365)</f>
        <v/>
      </c>
      <c r="K1365" s="81">
        <f>IF('Ordenes_Odoo'!K1365="","",'Ordenes_Odoo'!K1365)</f>
        <v/>
      </c>
      <c r="L1365" s="81">
        <f>IF('Ordenes_Odoo'!L1365="","",'Ordenes_Odoo'!L1365)</f>
        <v/>
      </c>
      <c r="M1365" s="79">
        <f>IF('Ordenes_Odoo'!M1365="","",'Ordenes_Odoo'!M1365)</f>
        <v/>
      </c>
      <c r="N1365" s="79">
        <f>IF('Ordenes_Odoo'!N1365="","",'Ordenes_Odoo'!N1365)</f>
        <v/>
      </c>
      <c r="O1365" s="81">
        <f>IF('Ordenes_Odoo'!O1365="","",'Ordenes_Odoo'!O1365)</f>
        <v/>
      </c>
      <c r="P1365" s="81">
        <f>IF('Ordenes_Odoo'!P1365="","",'Ordenes_Odoo'!P1365)</f>
        <v/>
      </c>
      <c r="Q1365" s="79">
        <f>IF(A1365="","",IFERROR(INDEX(Facturas_Odoo!$B:$B, MATCH(A1365, Facturas_Odoo!$D:$D, 0)), "Sin Factura"))</f>
        <v/>
      </c>
      <c r="R1365" s="80">
        <f>IF(Q1365="Sin Factura","",IFERROR(INDEX(Facturas_Odoo!$A:$A, MATCH(Q1365, Facturas_Odoo!$B:$B, 0)), ""))</f>
        <v/>
      </c>
      <c r="S1365" s="79">
        <f>IF(Q1365="Sin Factura","",IFERROR(_xlfn.XLOOKUP(1, (Facturas_Odoo!$D:$D=A1365) * (Facturas_Odoo!$K:$K=I1365), Facturas_Odoo!$L:$L, ""), ""))</f>
        <v/>
      </c>
      <c r="T1365" s="81">
        <f>IF(Q1365="Sin Factura",0,IFERROR(_xlfn.XLOOKUP(1, (Facturas_Odoo!$D:$D=A1365) * (Facturas_Odoo!$K:$K=I1365), Facturas_Odoo!$M:$M, 0), 0))</f>
        <v/>
      </c>
      <c r="U1365" s="79">
        <f>IF(Q1365="Sin Factura",0,IFERROR(_xlfn.XLOOKUP(1, (Facturas_Odoo!$D:$D=A1365) * (Facturas_Odoo!$K:$K=I1365), Facturas_Odoo!$N:$N, 0), 0))</f>
        <v/>
      </c>
      <c r="V1365" s="79">
        <f>IF(Q1365="Sin Factura",0,IFERROR(_xlfn.XLOOKUP(1, (Facturas_Odoo!$D:$D=A1365) * (Facturas_Odoo!$K:$K=I1365), Facturas_Odoo!$O:$O, 0), 0))</f>
        <v/>
      </c>
      <c r="W1365" s="81">
        <f>IF(Q1365="Sin Factura",0,IFERROR(_xlfn.XLOOKUP(1, (Facturas_Odoo!$D:$D=A1365) * (Facturas_Odoo!$K:$K=I1365), Facturas_Odoo!$Q:$Q, 0), 0))</f>
        <v/>
      </c>
      <c r="X1365" s="79">
        <f>IF(OR(Q1365="Sin Factura",Q1365=""),"",IFERROR(INDEX(Pagos_Odoo!$B:$B, MATCH(Q1365, Pagos_Odoo!$I:$I, 0)), "Sin Pago"))</f>
        <v/>
      </c>
      <c r="Y1365" s="79">
        <f>IF(X1365="Sin Pago","",IFERROR(INDEX(Pagos_Odoo!$C:$C, MATCH(X1365, Pagos_Odoo!$B:$B, 0)), ""))</f>
        <v/>
      </c>
      <c r="Z1365" s="80">
        <f>IF(X1365="Sin Pago","",IFERROR(INDEX(Pagos_Odoo!$A:$A, MATCH(X1365, Pagos_Odoo!$B:$B, 0)), ""))</f>
        <v/>
      </c>
      <c r="AA1365" s="79">
        <f>IF(X1365="Sin Pago","",IFERROR(INDEX(Pagos_Odoo!$F:$F, MATCH(X1365, Pagos_Odoo!$B:$B, 0)), ""))</f>
        <v/>
      </c>
      <c r="AB1365" s="81">
        <f>IF(X1365="Sin Pago",0,IFERROR(INDEX(Pagos_Odoo!$E:$E, MATCH(X1365, Pagos_Odoo!$B:$B, 0)), 0))</f>
        <v/>
      </c>
      <c r="AC1365" s="79">
        <f>IF(X1365="Sin Pago","",IFERROR(INDEX(Pagos_Odoo!$G:$G, MATCH(X1365, Pagos_Odoo!$B:$B, 0)), ""))</f>
        <v/>
      </c>
      <c r="AD1365" s="82" t="n">
        <v>0</v>
      </c>
      <c r="AE1365" s="82" t="n"/>
      <c r="AF1365" s="82" t="n"/>
      <c r="AG1365" s="82">
        <f>IF(AN1365="","",AD1365+AE1365+AF1365)</f>
        <v/>
      </c>
      <c r="AH1365" s="81">
        <f>IF(AN1365="","",P1365*(1-AG1365))</f>
        <v/>
      </c>
      <c r="AI1365" s="81">
        <f>IF(AN1365="","",IF(Q1365="Sin Factura",0,IFERROR(INDEX(Facturas_Odoo!$H:$H, MATCH(Q1365, Facturas_Odoo!$B:$B, 0)), 0)*(1-AG1365)))</f>
        <v/>
      </c>
      <c r="AJ1365" s="81">
        <f>IF(AN1365="","",_xlfn.LET(idVenta, AN1365&amp;"",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65" s="81">
        <f>IF(AN1365="","",AH1365-AJ1365)</f>
        <v/>
      </c>
      <c r="AL1365" s="81">
        <f>IF(AN1365="","",IF(Q1365="Sin Factura","",AI1365-AJ1365))</f>
        <v/>
      </c>
      <c r="AM1365" s="81">
        <f>IF(AN1365="","",IF(Q1365="Sin Factura",0,P1365-IFERROR(INDEX(Facturas_Odoo!$H:$H, MATCH(Q1365, Facturas_Odoo!$B:$B, 0)), 0)))</f>
        <v/>
      </c>
      <c r="AN1365" s="79">
        <f>IF(AND(A1365="", J1365=""), "", IF(A1365&lt;&gt;"", VALUE(MID(A1365,2,LEN(A1365))), AN1364))</f>
        <v/>
      </c>
      <c r="AO1365" s="79">
        <f>IF(AN1365="","",IF(AD1365=0,"OK",_xlfn.LET(monedaPago, IF(AA1365="","USD",AA1365), limitePermitido, IFERROR(VLOOKUP(monedaPago, Configuración!$A$2:$B$3, 2, FALSE), 0.15), IF(AD1365&gt;limitePermitido, "ALERTA: EXCESO (" &amp; TEXT(limitePermitido, "0%") &amp; " máx)", "OK"))))</f>
        <v/>
      </c>
      <c r="AP1365" s="79">
        <f>IF(AN1365="","",IF(AE1365=0,"OK",_xlfn.LET(fechaPago, Z1365, fechaFactura, R1365, diasCredito, IF(E1365="Pago inmediato", 0, IFERROR(VALUE(MID(E1365, 1, SEARCH(" ", E1365)-1)),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65" s="79">
        <f>IF(AN1365="","",IF(AND(N1365&gt;0, AG1365&gt;0), IF(Configuración!$K$2="NO", "ALERTA: DESCUENTO DOBLE NO PERMITIDO", "OK"), "OK"))</f>
        <v/>
      </c>
      <c r="AR1365" s="79">
        <f>IF(AN1365="","",IF(OR(AO1365&lt;&gt;"OK", AP1365&lt;&gt;"OK", AQ1365&lt;&gt;"OK"), "⚠️ REVISAR", "OK"))</f>
        <v/>
      </c>
    </row>
    <row r="1366">
      <c r="A1366" s="79">
        <f>IF('Ordenes_Odoo'!A1366="","",'Ordenes_Odoo'!A1366)</f>
        <v/>
      </c>
      <c r="B1366" s="80">
        <f>IF('Ordenes_Odoo'!B1366="","",'Ordenes_Odoo'!B1366)</f>
        <v/>
      </c>
      <c r="C1366" s="79">
        <f>IF('Ordenes_Odoo'!C1366="","",'Ordenes_Odoo'!C1366)</f>
        <v/>
      </c>
      <c r="D1366" s="79">
        <f>IF('Ordenes_Odoo'!D1366="","",'Ordenes_Odoo'!D1366)</f>
        <v/>
      </c>
      <c r="E1366" s="79">
        <f>IF('Ordenes_Odoo'!E1366="","",'Ordenes_Odoo'!E1366)</f>
        <v/>
      </c>
      <c r="F1366" s="79">
        <f>IF('Ordenes_Odoo'!F1366="","",'Ordenes_Odoo'!F1366)</f>
        <v/>
      </c>
      <c r="G1366" s="79">
        <f>IF('Ordenes_Odoo'!G1366="","",'Ordenes_Odoo'!G1366)</f>
        <v/>
      </c>
      <c r="H1366" s="79">
        <f>IF('Ordenes_Odoo'!H1366="","",'Ordenes_Odoo'!H1366)</f>
        <v/>
      </c>
      <c r="I1366" s="79">
        <f>IF('Ordenes_Odoo'!I1366="","",'Ordenes_Odoo'!I1366)</f>
        <v/>
      </c>
      <c r="J1366" s="79">
        <f>IF('Ordenes_Odoo'!J1366="","",'Ordenes_Odoo'!J1366)</f>
        <v/>
      </c>
      <c r="K1366" s="81">
        <f>IF('Ordenes_Odoo'!K1366="","",'Ordenes_Odoo'!K1366)</f>
        <v/>
      </c>
      <c r="L1366" s="81">
        <f>IF('Ordenes_Odoo'!L1366="","",'Ordenes_Odoo'!L1366)</f>
        <v/>
      </c>
      <c r="M1366" s="79">
        <f>IF('Ordenes_Odoo'!M1366="","",'Ordenes_Odoo'!M1366)</f>
        <v/>
      </c>
      <c r="N1366" s="79">
        <f>IF('Ordenes_Odoo'!N1366="","",'Ordenes_Odoo'!N1366)</f>
        <v/>
      </c>
      <c r="O1366" s="81">
        <f>IF('Ordenes_Odoo'!O1366="","",'Ordenes_Odoo'!O1366)</f>
        <v/>
      </c>
      <c r="P1366" s="81">
        <f>IF('Ordenes_Odoo'!P1366="","",'Ordenes_Odoo'!P1366)</f>
        <v/>
      </c>
      <c r="Q1366" s="79">
        <f>IF(A1366="","",IFERROR(INDEX(Facturas_Odoo!$B:$B, MATCH(A1366, Facturas_Odoo!$D:$D, 0)), "Sin Factura"))</f>
        <v/>
      </c>
      <c r="R1366" s="80">
        <f>IF(Q1366="Sin Factura","",IFERROR(INDEX(Facturas_Odoo!$A:$A, MATCH(Q1366, Facturas_Odoo!$B:$B, 0)), ""))</f>
        <v/>
      </c>
      <c r="S1366" s="79">
        <f>IF(Q1366="Sin Factura","",IFERROR(_xlfn.XLOOKUP(1, (Facturas_Odoo!$D:$D=A1366) * (Facturas_Odoo!$K:$K=I1366), Facturas_Odoo!$L:$L, ""), ""))</f>
        <v/>
      </c>
      <c r="T1366" s="81">
        <f>IF(Q1366="Sin Factura",0,IFERROR(_xlfn.XLOOKUP(1, (Facturas_Odoo!$D:$D=A1366) * (Facturas_Odoo!$K:$K=I1366), Facturas_Odoo!$M:$M, 0), 0))</f>
        <v/>
      </c>
      <c r="U1366" s="79">
        <f>IF(Q1366="Sin Factura",0,IFERROR(_xlfn.XLOOKUP(1, (Facturas_Odoo!$D:$D=A1366) * (Facturas_Odoo!$K:$K=I1366), Facturas_Odoo!$N:$N, 0), 0))</f>
        <v/>
      </c>
      <c r="V1366" s="79">
        <f>IF(Q1366="Sin Factura",0,IFERROR(_xlfn.XLOOKUP(1, (Facturas_Odoo!$D:$D=A1366) * (Facturas_Odoo!$K:$K=I1366), Facturas_Odoo!$O:$O, 0), 0))</f>
        <v/>
      </c>
      <c r="W1366" s="81">
        <f>IF(Q1366="Sin Factura",0,IFERROR(_xlfn.XLOOKUP(1, (Facturas_Odoo!$D:$D=A1366) * (Facturas_Odoo!$K:$K=I1366), Facturas_Odoo!$Q:$Q, 0), 0))</f>
        <v/>
      </c>
      <c r="X1366" s="79">
        <f>IF(OR(Q1366="Sin Factura",Q1366=""),"",IFERROR(INDEX(Pagos_Odoo!$B:$B, MATCH(Q1366, Pagos_Odoo!$I:$I, 0)), "Sin Pago"))</f>
        <v/>
      </c>
      <c r="Y1366" s="79">
        <f>IF(X1366="Sin Pago","",IFERROR(INDEX(Pagos_Odoo!$C:$C, MATCH(X1366, Pagos_Odoo!$B:$B, 0)), ""))</f>
        <v/>
      </c>
      <c r="Z1366" s="80">
        <f>IF(X1366="Sin Pago","",IFERROR(INDEX(Pagos_Odoo!$A:$A, MATCH(X1366, Pagos_Odoo!$B:$B, 0)), ""))</f>
        <v/>
      </c>
      <c r="AA1366" s="79">
        <f>IF(X1366="Sin Pago","",IFERROR(INDEX(Pagos_Odoo!$F:$F, MATCH(X1366, Pagos_Odoo!$B:$B, 0)), ""))</f>
        <v/>
      </c>
      <c r="AB1366" s="81">
        <f>IF(X1366="Sin Pago",0,IFERROR(INDEX(Pagos_Odoo!$E:$E, MATCH(X1366, Pagos_Odoo!$B:$B, 0)), 0))</f>
        <v/>
      </c>
      <c r="AC1366" s="79">
        <f>IF(X1366="Sin Pago","",IFERROR(INDEX(Pagos_Odoo!$G:$G, MATCH(X1366, Pagos_Odoo!$B:$B, 0)), ""))</f>
        <v/>
      </c>
      <c r="AD1366" s="82" t="n">
        <v>0</v>
      </c>
      <c r="AE1366" s="82" t="n"/>
      <c r="AF1366" s="82" t="n"/>
      <c r="AG1366" s="82">
        <f>IF(AN1366="","",AD1366+AE1366+AF1366)</f>
        <v/>
      </c>
      <c r="AH1366" s="81">
        <f>IF(AN1366="","",P1366*(1-AG1366))</f>
        <v/>
      </c>
      <c r="AI1366" s="81">
        <f>IF(AN1366="","",IF(Q1366="Sin Factura",0,IFERROR(INDEX(Facturas_Odoo!$H:$H, MATCH(Q1366, Facturas_Odoo!$B:$B, 0)), 0)*(1-AG1366)))</f>
        <v/>
      </c>
      <c r="AJ1366" s="81">
        <f>IF(AN1366="","",_xlfn.LET(idVenta, AN1366&amp;"",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66" s="81">
        <f>IF(AN1366="","",AH1366-AJ1366)</f>
        <v/>
      </c>
      <c r="AL1366" s="81">
        <f>IF(AN1366="","",IF(Q1366="Sin Factura","",AI1366-AJ1366))</f>
        <v/>
      </c>
      <c r="AM1366" s="81">
        <f>IF(AN1366="","",IF(Q1366="Sin Factura",0,P1366-IFERROR(INDEX(Facturas_Odoo!$H:$H, MATCH(Q1366, Facturas_Odoo!$B:$B, 0)), 0)))</f>
        <v/>
      </c>
      <c r="AN1366" s="79">
        <f>IF(AND(A1366="", J1366=""), "", IF(A1366&lt;&gt;"", VALUE(MID(A1366,2,LEN(A1366))), AN1365))</f>
        <v/>
      </c>
      <c r="AO1366" s="79">
        <f>IF(AN1366="","",IF(AD1366=0,"OK",_xlfn.LET(monedaPago, IF(AA1366="","USD",AA1366), limitePermitido, IFERROR(VLOOKUP(monedaPago, Configuración!$A$2:$B$3, 2, FALSE), 0.15), IF(AD1366&gt;limitePermitido, "ALERTA: EXCESO (" &amp; TEXT(limitePermitido, "0%") &amp; " máx)", "OK"))))</f>
        <v/>
      </c>
      <c r="AP1366" s="79">
        <f>IF(AN1366="","",IF(AE1366=0,"OK",_xlfn.LET(fechaPago, Z1366, fechaFactura, R1366, diasCredito, IF(E1366="Pago inmediato", 0, IFERROR(VALUE(MID(E1366, 1, SEARCH(" ", E1366)-1)),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66" s="79">
        <f>IF(AN1366="","",IF(AND(N1366&gt;0, AG1366&gt;0), IF(Configuración!$K$2="NO", "ALERTA: DESCUENTO DOBLE NO PERMITIDO", "OK"), "OK"))</f>
        <v/>
      </c>
      <c r="AR1366" s="79">
        <f>IF(AN1366="","",IF(OR(AO1366&lt;&gt;"OK", AP1366&lt;&gt;"OK", AQ1366&lt;&gt;"OK"), "⚠️ REVISAR", "OK"))</f>
        <v/>
      </c>
    </row>
    <row r="1367">
      <c r="A1367" s="79">
        <f>IF('Ordenes_Odoo'!A1367="","",'Ordenes_Odoo'!A1367)</f>
        <v/>
      </c>
      <c r="B1367" s="80">
        <f>IF('Ordenes_Odoo'!B1367="","",'Ordenes_Odoo'!B1367)</f>
        <v/>
      </c>
      <c r="C1367" s="79">
        <f>IF('Ordenes_Odoo'!C1367="","",'Ordenes_Odoo'!C1367)</f>
        <v/>
      </c>
      <c r="D1367" s="79">
        <f>IF('Ordenes_Odoo'!D1367="","",'Ordenes_Odoo'!D1367)</f>
        <v/>
      </c>
      <c r="E1367" s="79">
        <f>IF('Ordenes_Odoo'!E1367="","",'Ordenes_Odoo'!E1367)</f>
        <v/>
      </c>
      <c r="F1367" s="79">
        <f>IF('Ordenes_Odoo'!F1367="","",'Ordenes_Odoo'!F1367)</f>
        <v/>
      </c>
      <c r="G1367" s="79">
        <f>IF('Ordenes_Odoo'!G1367="","",'Ordenes_Odoo'!G1367)</f>
        <v/>
      </c>
      <c r="H1367" s="79">
        <f>IF('Ordenes_Odoo'!H1367="","",'Ordenes_Odoo'!H1367)</f>
        <v/>
      </c>
      <c r="I1367" s="79">
        <f>IF('Ordenes_Odoo'!I1367="","",'Ordenes_Odoo'!I1367)</f>
        <v/>
      </c>
      <c r="J1367" s="79">
        <f>IF('Ordenes_Odoo'!J1367="","",'Ordenes_Odoo'!J1367)</f>
        <v/>
      </c>
      <c r="K1367" s="81">
        <f>IF('Ordenes_Odoo'!K1367="","",'Ordenes_Odoo'!K1367)</f>
        <v/>
      </c>
      <c r="L1367" s="81">
        <f>IF('Ordenes_Odoo'!L1367="","",'Ordenes_Odoo'!L1367)</f>
        <v/>
      </c>
      <c r="M1367" s="79">
        <f>IF('Ordenes_Odoo'!M1367="","",'Ordenes_Odoo'!M1367)</f>
        <v/>
      </c>
      <c r="N1367" s="79">
        <f>IF('Ordenes_Odoo'!N1367="","",'Ordenes_Odoo'!N1367)</f>
        <v/>
      </c>
      <c r="O1367" s="81">
        <f>IF('Ordenes_Odoo'!O1367="","",'Ordenes_Odoo'!O1367)</f>
        <v/>
      </c>
      <c r="P1367" s="81">
        <f>IF('Ordenes_Odoo'!P1367="","",'Ordenes_Odoo'!P1367)</f>
        <v/>
      </c>
      <c r="Q1367" s="79">
        <f>IF(A1367="","",IFERROR(INDEX(Facturas_Odoo!$B:$B, MATCH(A1367, Facturas_Odoo!$D:$D, 0)), "Sin Factura"))</f>
        <v/>
      </c>
      <c r="R1367" s="80">
        <f>IF(Q1367="Sin Factura","",IFERROR(INDEX(Facturas_Odoo!$A:$A, MATCH(Q1367, Facturas_Odoo!$B:$B, 0)), ""))</f>
        <v/>
      </c>
      <c r="S1367" s="79">
        <f>IF(Q1367="Sin Factura","",IFERROR(_xlfn.XLOOKUP(1, (Facturas_Odoo!$D:$D=A1367) * (Facturas_Odoo!$K:$K=I1367), Facturas_Odoo!$L:$L, ""), ""))</f>
        <v/>
      </c>
      <c r="T1367" s="81">
        <f>IF(Q1367="Sin Factura",0,IFERROR(_xlfn.XLOOKUP(1, (Facturas_Odoo!$D:$D=A1367) * (Facturas_Odoo!$K:$K=I1367), Facturas_Odoo!$M:$M, 0), 0))</f>
        <v/>
      </c>
      <c r="U1367" s="79">
        <f>IF(Q1367="Sin Factura",0,IFERROR(_xlfn.XLOOKUP(1, (Facturas_Odoo!$D:$D=A1367) * (Facturas_Odoo!$K:$K=I1367), Facturas_Odoo!$N:$N, 0), 0))</f>
        <v/>
      </c>
      <c r="V1367" s="79">
        <f>IF(Q1367="Sin Factura",0,IFERROR(_xlfn.XLOOKUP(1, (Facturas_Odoo!$D:$D=A1367) * (Facturas_Odoo!$K:$K=I1367), Facturas_Odoo!$O:$O, 0), 0))</f>
        <v/>
      </c>
      <c r="W1367" s="81">
        <f>IF(Q1367="Sin Factura",0,IFERROR(_xlfn.XLOOKUP(1, (Facturas_Odoo!$D:$D=A1367) * (Facturas_Odoo!$K:$K=I1367), Facturas_Odoo!$Q:$Q, 0), 0))</f>
        <v/>
      </c>
      <c r="X1367" s="79">
        <f>IF(OR(Q1367="Sin Factura",Q1367=""),"",IFERROR(INDEX(Pagos_Odoo!$B:$B, MATCH(Q1367, Pagos_Odoo!$I:$I, 0)), "Sin Pago"))</f>
        <v/>
      </c>
      <c r="Y1367" s="79">
        <f>IF(X1367="Sin Pago","",IFERROR(INDEX(Pagos_Odoo!$C:$C, MATCH(X1367, Pagos_Odoo!$B:$B, 0)), ""))</f>
        <v/>
      </c>
      <c r="Z1367" s="80">
        <f>IF(X1367="Sin Pago","",IFERROR(INDEX(Pagos_Odoo!$A:$A, MATCH(X1367, Pagos_Odoo!$B:$B, 0)), ""))</f>
        <v/>
      </c>
      <c r="AA1367" s="79">
        <f>IF(X1367="Sin Pago","",IFERROR(INDEX(Pagos_Odoo!$F:$F, MATCH(X1367, Pagos_Odoo!$B:$B, 0)), ""))</f>
        <v/>
      </c>
      <c r="AB1367" s="81">
        <f>IF(X1367="Sin Pago",0,IFERROR(INDEX(Pagos_Odoo!$E:$E, MATCH(X1367, Pagos_Odoo!$B:$B, 0)), 0))</f>
        <v/>
      </c>
      <c r="AC1367" s="79">
        <f>IF(X1367="Sin Pago","",IFERROR(INDEX(Pagos_Odoo!$G:$G, MATCH(X1367, Pagos_Odoo!$B:$B, 0)), ""))</f>
        <v/>
      </c>
      <c r="AD1367" s="82" t="n">
        <v>0</v>
      </c>
      <c r="AE1367" s="82" t="n"/>
      <c r="AF1367" s="82" t="n"/>
      <c r="AG1367" s="82">
        <f>IF(AN1367="","",AD1367+AE1367+AF1367)</f>
        <v/>
      </c>
      <c r="AH1367" s="81">
        <f>IF(AN1367="","",P1367*(1-AG1367))</f>
        <v/>
      </c>
      <c r="AI1367" s="81">
        <f>IF(AN1367="","",IF(Q1367="Sin Factura",0,IFERROR(INDEX(Facturas_Odoo!$H:$H, MATCH(Q1367, Facturas_Odoo!$B:$B, 0)), 0)*(1-AG1367)))</f>
        <v/>
      </c>
      <c r="AJ1367" s="81">
        <f>IF(AN1367="","",_xlfn.LET(idVenta, AN1367&amp;"",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67" s="81">
        <f>IF(AN1367="","",AH1367-AJ1367)</f>
        <v/>
      </c>
      <c r="AL1367" s="81">
        <f>IF(AN1367="","",IF(Q1367="Sin Factura","",AI1367-AJ1367))</f>
        <v/>
      </c>
      <c r="AM1367" s="81">
        <f>IF(AN1367="","",IF(Q1367="Sin Factura",0,P1367-IFERROR(INDEX(Facturas_Odoo!$H:$H, MATCH(Q1367, Facturas_Odoo!$B:$B, 0)), 0)))</f>
        <v/>
      </c>
      <c r="AN1367" s="79">
        <f>IF(AND(A1367="", J1367=""), "", IF(A1367&lt;&gt;"", VALUE(MID(A1367,2,LEN(A1367))), AN1366))</f>
        <v/>
      </c>
      <c r="AO1367" s="79">
        <f>IF(AN1367="","",IF(AD1367=0,"OK",_xlfn.LET(monedaPago, IF(AA1367="","USD",AA1367), limitePermitido, IFERROR(VLOOKUP(monedaPago, Configuración!$A$2:$B$3, 2, FALSE), 0.15), IF(AD1367&gt;limitePermitido, "ALERTA: EXCESO (" &amp; TEXT(limitePermitido, "0%") &amp; " máx)", "OK"))))</f>
        <v/>
      </c>
      <c r="AP1367" s="79">
        <f>IF(AN1367="","",IF(AE1367=0,"OK",_xlfn.LET(fechaPago, Z1367, fechaFactura, R1367, diasCredito, IF(E1367="Pago inmediato", 0, IFERROR(VALUE(MID(E1367, 1, SEARCH(" ", E1367)-1)),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67" s="79">
        <f>IF(AN1367="","",IF(AND(N1367&gt;0, AG1367&gt;0), IF(Configuración!$K$2="NO", "ALERTA: DESCUENTO DOBLE NO PERMITIDO", "OK"), "OK"))</f>
        <v/>
      </c>
      <c r="AR1367" s="79">
        <f>IF(AN1367="","",IF(OR(AO1367&lt;&gt;"OK", AP1367&lt;&gt;"OK", AQ1367&lt;&gt;"OK"), "⚠️ REVISAR", "OK"))</f>
        <v/>
      </c>
    </row>
    <row r="1368">
      <c r="A1368" s="79">
        <f>IF('Ordenes_Odoo'!A1368="","",'Ordenes_Odoo'!A1368)</f>
        <v/>
      </c>
      <c r="B1368" s="80">
        <f>IF('Ordenes_Odoo'!B1368="","",'Ordenes_Odoo'!B1368)</f>
        <v/>
      </c>
      <c r="C1368" s="79">
        <f>IF('Ordenes_Odoo'!C1368="","",'Ordenes_Odoo'!C1368)</f>
        <v/>
      </c>
      <c r="D1368" s="79">
        <f>IF('Ordenes_Odoo'!D1368="","",'Ordenes_Odoo'!D1368)</f>
        <v/>
      </c>
      <c r="E1368" s="79">
        <f>IF('Ordenes_Odoo'!E1368="","",'Ordenes_Odoo'!E1368)</f>
        <v/>
      </c>
      <c r="F1368" s="79">
        <f>IF('Ordenes_Odoo'!F1368="","",'Ordenes_Odoo'!F1368)</f>
        <v/>
      </c>
      <c r="G1368" s="79">
        <f>IF('Ordenes_Odoo'!G1368="","",'Ordenes_Odoo'!G1368)</f>
        <v/>
      </c>
      <c r="H1368" s="79">
        <f>IF('Ordenes_Odoo'!H1368="","",'Ordenes_Odoo'!H1368)</f>
        <v/>
      </c>
      <c r="I1368" s="79">
        <f>IF('Ordenes_Odoo'!I1368="","",'Ordenes_Odoo'!I1368)</f>
        <v/>
      </c>
      <c r="J1368" s="79">
        <f>IF('Ordenes_Odoo'!J1368="","",'Ordenes_Odoo'!J1368)</f>
        <v/>
      </c>
      <c r="K1368" s="81">
        <f>IF('Ordenes_Odoo'!K1368="","",'Ordenes_Odoo'!K1368)</f>
        <v/>
      </c>
      <c r="L1368" s="81">
        <f>IF('Ordenes_Odoo'!L1368="","",'Ordenes_Odoo'!L1368)</f>
        <v/>
      </c>
      <c r="M1368" s="79">
        <f>IF('Ordenes_Odoo'!M1368="","",'Ordenes_Odoo'!M1368)</f>
        <v/>
      </c>
      <c r="N1368" s="79">
        <f>IF('Ordenes_Odoo'!N1368="","",'Ordenes_Odoo'!N1368)</f>
        <v/>
      </c>
      <c r="O1368" s="81">
        <f>IF('Ordenes_Odoo'!O1368="","",'Ordenes_Odoo'!O1368)</f>
        <v/>
      </c>
      <c r="P1368" s="81">
        <f>IF('Ordenes_Odoo'!P1368="","",'Ordenes_Odoo'!P1368)</f>
        <v/>
      </c>
      <c r="Q1368" s="79">
        <f>IF(A1368="","",IFERROR(INDEX(Facturas_Odoo!$B:$B, MATCH(A1368, Facturas_Odoo!$D:$D, 0)), "Sin Factura"))</f>
        <v/>
      </c>
      <c r="R1368" s="80">
        <f>IF(Q1368="Sin Factura","",IFERROR(INDEX(Facturas_Odoo!$A:$A, MATCH(Q1368, Facturas_Odoo!$B:$B, 0)), ""))</f>
        <v/>
      </c>
      <c r="S1368" s="79">
        <f>IF(Q1368="Sin Factura","",IFERROR(_xlfn.XLOOKUP(1, (Facturas_Odoo!$D:$D=A1368) * (Facturas_Odoo!$K:$K=I1368), Facturas_Odoo!$L:$L, ""), ""))</f>
        <v/>
      </c>
      <c r="T1368" s="81">
        <f>IF(Q1368="Sin Factura",0,IFERROR(_xlfn.XLOOKUP(1, (Facturas_Odoo!$D:$D=A1368) * (Facturas_Odoo!$K:$K=I1368), Facturas_Odoo!$M:$M, 0), 0))</f>
        <v/>
      </c>
      <c r="U1368" s="79">
        <f>IF(Q1368="Sin Factura",0,IFERROR(_xlfn.XLOOKUP(1, (Facturas_Odoo!$D:$D=A1368) * (Facturas_Odoo!$K:$K=I1368), Facturas_Odoo!$N:$N, 0), 0))</f>
        <v/>
      </c>
      <c r="V1368" s="79">
        <f>IF(Q1368="Sin Factura",0,IFERROR(_xlfn.XLOOKUP(1, (Facturas_Odoo!$D:$D=A1368) * (Facturas_Odoo!$K:$K=I1368), Facturas_Odoo!$O:$O, 0), 0))</f>
        <v/>
      </c>
      <c r="W1368" s="81">
        <f>IF(Q1368="Sin Factura",0,IFERROR(_xlfn.XLOOKUP(1, (Facturas_Odoo!$D:$D=A1368) * (Facturas_Odoo!$K:$K=I1368), Facturas_Odoo!$Q:$Q, 0), 0))</f>
        <v/>
      </c>
      <c r="X1368" s="79">
        <f>IF(OR(Q1368="Sin Factura",Q1368=""),"",IFERROR(INDEX(Pagos_Odoo!$B:$B, MATCH(Q1368, Pagos_Odoo!$I:$I, 0)), "Sin Pago"))</f>
        <v/>
      </c>
      <c r="Y1368" s="79">
        <f>IF(X1368="Sin Pago","",IFERROR(INDEX(Pagos_Odoo!$C:$C, MATCH(X1368, Pagos_Odoo!$B:$B, 0)), ""))</f>
        <v/>
      </c>
      <c r="Z1368" s="80">
        <f>IF(X1368="Sin Pago","",IFERROR(INDEX(Pagos_Odoo!$A:$A, MATCH(X1368, Pagos_Odoo!$B:$B, 0)), ""))</f>
        <v/>
      </c>
      <c r="AA1368" s="79">
        <f>IF(X1368="Sin Pago","",IFERROR(INDEX(Pagos_Odoo!$F:$F, MATCH(X1368, Pagos_Odoo!$B:$B, 0)), ""))</f>
        <v/>
      </c>
      <c r="AB1368" s="81">
        <f>IF(X1368="Sin Pago",0,IFERROR(INDEX(Pagos_Odoo!$E:$E, MATCH(X1368, Pagos_Odoo!$B:$B, 0)), 0))</f>
        <v/>
      </c>
      <c r="AC1368" s="79">
        <f>IF(X1368="Sin Pago","",IFERROR(INDEX(Pagos_Odoo!$G:$G, MATCH(X1368, Pagos_Odoo!$B:$B, 0)), ""))</f>
        <v/>
      </c>
      <c r="AD1368" s="82" t="n">
        <v>0</v>
      </c>
      <c r="AE1368" s="82" t="n"/>
      <c r="AF1368" s="82" t="n"/>
      <c r="AG1368" s="82">
        <f>IF(AN1368="","",AD1368+AE1368+AF1368)</f>
        <v/>
      </c>
      <c r="AH1368" s="81">
        <f>IF(AN1368="","",P1368*(1-AG1368))</f>
        <v/>
      </c>
      <c r="AI1368" s="81">
        <f>IF(AN1368="","",IF(Q1368="Sin Factura",0,IFERROR(INDEX(Facturas_Odoo!$H:$H, MATCH(Q1368, Facturas_Odoo!$B:$B, 0)), 0)*(1-AG1368)))</f>
        <v/>
      </c>
      <c r="AJ1368" s="81">
        <f>IF(AN1368="","",_xlfn.LET(idVenta, AN1368&amp;"",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68" s="81">
        <f>IF(AN1368="","",AH1368-AJ1368)</f>
        <v/>
      </c>
      <c r="AL1368" s="81">
        <f>IF(AN1368="","",IF(Q1368="Sin Factura","",AI1368-AJ1368))</f>
        <v/>
      </c>
      <c r="AM1368" s="81">
        <f>IF(AN1368="","",IF(Q1368="Sin Factura",0,P1368-IFERROR(INDEX(Facturas_Odoo!$H:$H, MATCH(Q1368, Facturas_Odoo!$B:$B, 0)), 0)))</f>
        <v/>
      </c>
      <c r="AN1368" s="79">
        <f>IF(AND(A1368="", J1368=""), "", IF(A1368&lt;&gt;"", VALUE(MID(A1368,2,LEN(A1368))), AN1367))</f>
        <v/>
      </c>
      <c r="AO1368" s="79">
        <f>IF(AN1368="","",IF(AD1368=0,"OK",_xlfn.LET(monedaPago, IF(AA1368="","USD",AA1368), limitePermitido, IFERROR(VLOOKUP(monedaPago, Configuración!$A$2:$B$3, 2, FALSE), 0.15), IF(AD1368&gt;limitePermitido, "ALERTA: EXCESO (" &amp; TEXT(limitePermitido, "0%") &amp; " máx)", "OK"))))</f>
        <v/>
      </c>
      <c r="AP1368" s="79">
        <f>IF(AN1368="","",IF(AE1368=0,"OK",_xlfn.LET(fechaPago, Z1368, fechaFactura, R1368, diasCredito, IF(E1368="Pago inmediato", 0, IFERROR(VALUE(MID(E1368, 1, SEARCH(" ", E1368)-1)),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68" s="79">
        <f>IF(AN1368="","",IF(AND(N1368&gt;0, AG1368&gt;0), IF(Configuración!$K$2="NO", "ALERTA: DESCUENTO DOBLE NO PERMITIDO", "OK"), "OK"))</f>
        <v/>
      </c>
      <c r="AR1368" s="79">
        <f>IF(AN1368="","",IF(OR(AO1368&lt;&gt;"OK", AP1368&lt;&gt;"OK", AQ1368&lt;&gt;"OK"), "⚠️ REVISAR", "OK"))</f>
        <v/>
      </c>
    </row>
    <row r="1369">
      <c r="A1369" s="79">
        <f>IF('Ordenes_Odoo'!A1369="","",'Ordenes_Odoo'!A1369)</f>
        <v/>
      </c>
      <c r="B1369" s="80">
        <f>IF('Ordenes_Odoo'!B1369="","",'Ordenes_Odoo'!B1369)</f>
        <v/>
      </c>
      <c r="C1369" s="79">
        <f>IF('Ordenes_Odoo'!C1369="","",'Ordenes_Odoo'!C1369)</f>
        <v/>
      </c>
      <c r="D1369" s="79">
        <f>IF('Ordenes_Odoo'!D1369="","",'Ordenes_Odoo'!D1369)</f>
        <v/>
      </c>
      <c r="E1369" s="79">
        <f>IF('Ordenes_Odoo'!E1369="","",'Ordenes_Odoo'!E1369)</f>
        <v/>
      </c>
      <c r="F1369" s="79">
        <f>IF('Ordenes_Odoo'!F1369="","",'Ordenes_Odoo'!F1369)</f>
        <v/>
      </c>
      <c r="G1369" s="79">
        <f>IF('Ordenes_Odoo'!G1369="","",'Ordenes_Odoo'!G1369)</f>
        <v/>
      </c>
      <c r="H1369" s="79">
        <f>IF('Ordenes_Odoo'!H1369="","",'Ordenes_Odoo'!H1369)</f>
        <v/>
      </c>
      <c r="I1369" s="79">
        <f>IF('Ordenes_Odoo'!I1369="","",'Ordenes_Odoo'!I1369)</f>
        <v/>
      </c>
      <c r="J1369" s="79">
        <f>IF('Ordenes_Odoo'!J1369="","",'Ordenes_Odoo'!J1369)</f>
        <v/>
      </c>
      <c r="K1369" s="81">
        <f>IF('Ordenes_Odoo'!K1369="","",'Ordenes_Odoo'!K1369)</f>
        <v/>
      </c>
      <c r="L1369" s="81">
        <f>IF('Ordenes_Odoo'!L1369="","",'Ordenes_Odoo'!L1369)</f>
        <v/>
      </c>
      <c r="M1369" s="79">
        <f>IF('Ordenes_Odoo'!M1369="","",'Ordenes_Odoo'!M1369)</f>
        <v/>
      </c>
      <c r="N1369" s="79">
        <f>IF('Ordenes_Odoo'!N1369="","",'Ordenes_Odoo'!N1369)</f>
        <v/>
      </c>
      <c r="O1369" s="81">
        <f>IF('Ordenes_Odoo'!O1369="","",'Ordenes_Odoo'!O1369)</f>
        <v/>
      </c>
      <c r="P1369" s="81">
        <f>IF('Ordenes_Odoo'!P1369="","",'Ordenes_Odoo'!P1369)</f>
        <v/>
      </c>
      <c r="Q1369" s="79">
        <f>IF(A1369="","",IFERROR(INDEX(Facturas_Odoo!$B:$B, MATCH(A1369, Facturas_Odoo!$D:$D, 0)), "Sin Factura"))</f>
        <v/>
      </c>
      <c r="R1369" s="80">
        <f>IF(Q1369="Sin Factura","",IFERROR(INDEX(Facturas_Odoo!$A:$A, MATCH(Q1369, Facturas_Odoo!$B:$B, 0)), ""))</f>
        <v/>
      </c>
      <c r="S1369" s="79">
        <f>IF(Q1369="Sin Factura","",IFERROR(_xlfn.XLOOKUP(1, (Facturas_Odoo!$D:$D=A1369) * (Facturas_Odoo!$K:$K=I1369), Facturas_Odoo!$L:$L, ""), ""))</f>
        <v/>
      </c>
      <c r="T1369" s="81">
        <f>IF(Q1369="Sin Factura",0,IFERROR(_xlfn.XLOOKUP(1, (Facturas_Odoo!$D:$D=A1369) * (Facturas_Odoo!$K:$K=I1369), Facturas_Odoo!$M:$M, 0), 0))</f>
        <v/>
      </c>
      <c r="U1369" s="79">
        <f>IF(Q1369="Sin Factura",0,IFERROR(_xlfn.XLOOKUP(1, (Facturas_Odoo!$D:$D=A1369) * (Facturas_Odoo!$K:$K=I1369), Facturas_Odoo!$N:$N, 0), 0))</f>
        <v/>
      </c>
      <c r="V1369" s="79">
        <f>IF(Q1369="Sin Factura",0,IFERROR(_xlfn.XLOOKUP(1, (Facturas_Odoo!$D:$D=A1369) * (Facturas_Odoo!$K:$K=I1369), Facturas_Odoo!$O:$O, 0), 0))</f>
        <v/>
      </c>
      <c r="W1369" s="81">
        <f>IF(Q1369="Sin Factura",0,IFERROR(_xlfn.XLOOKUP(1, (Facturas_Odoo!$D:$D=A1369) * (Facturas_Odoo!$K:$K=I1369), Facturas_Odoo!$Q:$Q, 0), 0))</f>
        <v/>
      </c>
      <c r="X1369" s="79">
        <f>IF(OR(Q1369="Sin Factura",Q1369=""),"",IFERROR(INDEX(Pagos_Odoo!$B:$B, MATCH(Q1369, Pagos_Odoo!$I:$I, 0)), "Sin Pago"))</f>
        <v/>
      </c>
      <c r="Y1369" s="79">
        <f>IF(X1369="Sin Pago","",IFERROR(INDEX(Pagos_Odoo!$C:$C, MATCH(X1369, Pagos_Odoo!$B:$B, 0)), ""))</f>
        <v/>
      </c>
      <c r="Z1369" s="80">
        <f>IF(X1369="Sin Pago","",IFERROR(INDEX(Pagos_Odoo!$A:$A, MATCH(X1369, Pagos_Odoo!$B:$B, 0)), ""))</f>
        <v/>
      </c>
      <c r="AA1369" s="79">
        <f>IF(X1369="Sin Pago","",IFERROR(INDEX(Pagos_Odoo!$F:$F, MATCH(X1369, Pagos_Odoo!$B:$B, 0)), ""))</f>
        <v/>
      </c>
      <c r="AB1369" s="81">
        <f>IF(X1369="Sin Pago",0,IFERROR(INDEX(Pagos_Odoo!$E:$E, MATCH(X1369, Pagos_Odoo!$B:$B, 0)), 0))</f>
        <v/>
      </c>
      <c r="AC1369" s="79">
        <f>IF(X1369="Sin Pago","",IFERROR(INDEX(Pagos_Odoo!$G:$G, MATCH(X1369, Pagos_Odoo!$B:$B, 0)), ""))</f>
        <v/>
      </c>
      <c r="AD1369" s="82" t="n">
        <v>0</v>
      </c>
      <c r="AE1369" s="82" t="n"/>
      <c r="AF1369" s="82" t="n"/>
      <c r="AG1369" s="82">
        <f>IF(AN1369="","",AD1369+AE1369+AF1369)</f>
        <v/>
      </c>
      <c r="AH1369" s="81">
        <f>IF(AN1369="","",P1369*(1-AG1369))</f>
        <v/>
      </c>
      <c r="AI1369" s="81">
        <f>IF(AN1369="","",IF(Q1369="Sin Factura",0,IFERROR(INDEX(Facturas_Odoo!$H:$H, MATCH(Q1369, Facturas_Odoo!$B:$B, 0)), 0)*(1-AG1369)))</f>
        <v/>
      </c>
      <c r="AJ1369" s="81">
        <f>IF(AN1369="","",_xlfn.LET(idVenta, AN1369&amp;"",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69" s="81">
        <f>IF(AN1369="","",AH1369-AJ1369)</f>
        <v/>
      </c>
      <c r="AL1369" s="81">
        <f>IF(AN1369="","",IF(Q1369="Sin Factura","",AI1369-AJ1369))</f>
        <v/>
      </c>
      <c r="AM1369" s="81">
        <f>IF(AN1369="","",IF(Q1369="Sin Factura",0,P1369-IFERROR(INDEX(Facturas_Odoo!$H:$H, MATCH(Q1369, Facturas_Odoo!$B:$B, 0)), 0)))</f>
        <v/>
      </c>
      <c r="AN1369" s="79">
        <f>IF(AND(A1369="", J1369=""), "", IF(A1369&lt;&gt;"", VALUE(MID(A1369,2,LEN(A1369))), AN1368))</f>
        <v/>
      </c>
      <c r="AO1369" s="79">
        <f>IF(AN1369="","",IF(AD1369=0,"OK",_xlfn.LET(monedaPago, IF(AA1369="","USD",AA1369), limitePermitido, IFERROR(VLOOKUP(monedaPago, Configuración!$A$2:$B$3, 2, FALSE), 0.15), IF(AD1369&gt;limitePermitido, "ALERTA: EXCESO (" &amp; TEXT(limitePermitido, "0%") &amp; " máx)", "OK"))))</f>
        <v/>
      </c>
      <c r="AP1369" s="79">
        <f>IF(AN1369="","",IF(AE1369=0,"OK",_xlfn.LET(fechaPago, Z1369, fechaFactura, R1369, diasCredito, IF(E1369="Pago inmediato", 0, IFERROR(VALUE(MID(E1369, 1, SEARCH(" ", E1369)-1)),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69" s="79">
        <f>IF(AN1369="","",IF(AND(N1369&gt;0, AG1369&gt;0), IF(Configuración!$K$2="NO", "ALERTA: DESCUENTO DOBLE NO PERMITIDO", "OK"), "OK"))</f>
        <v/>
      </c>
      <c r="AR1369" s="79">
        <f>IF(AN1369="","",IF(OR(AO1369&lt;&gt;"OK", AP1369&lt;&gt;"OK", AQ1369&lt;&gt;"OK"), "⚠️ REVISAR", "OK"))</f>
        <v/>
      </c>
    </row>
    <row r="1370">
      <c r="A1370" s="79">
        <f>IF('Ordenes_Odoo'!A1370="","",'Ordenes_Odoo'!A1370)</f>
        <v/>
      </c>
      <c r="B1370" s="80">
        <f>IF('Ordenes_Odoo'!B1370="","",'Ordenes_Odoo'!B1370)</f>
        <v/>
      </c>
      <c r="C1370" s="79">
        <f>IF('Ordenes_Odoo'!C1370="","",'Ordenes_Odoo'!C1370)</f>
        <v/>
      </c>
      <c r="D1370" s="79">
        <f>IF('Ordenes_Odoo'!D1370="","",'Ordenes_Odoo'!D1370)</f>
        <v/>
      </c>
      <c r="E1370" s="79">
        <f>IF('Ordenes_Odoo'!E1370="","",'Ordenes_Odoo'!E1370)</f>
        <v/>
      </c>
      <c r="F1370" s="79">
        <f>IF('Ordenes_Odoo'!F1370="","",'Ordenes_Odoo'!F1370)</f>
        <v/>
      </c>
      <c r="G1370" s="79">
        <f>IF('Ordenes_Odoo'!G1370="","",'Ordenes_Odoo'!G1370)</f>
        <v/>
      </c>
      <c r="H1370" s="79">
        <f>IF('Ordenes_Odoo'!H1370="","",'Ordenes_Odoo'!H1370)</f>
        <v/>
      </c>
      <c r="I1370" s="79">
        <f>IF('Ordenes_Odoo'!I1370="","",'Ordenes_Odoo'!I1370)</f>
        <v/>
      </c>
      <c r="J1370" s="79">
        <f>IF('Ordenes_Odoo'!J1370="","",'Ordenes_Odoo'!J1370)</f>
        <v/>
      </c>
      <c r="K1370" s="81">
        <f>IF('Ordenes_Odoo'!K1370="","",'Ordenes_Odoo'!K1370)</f>
        <v/>
      </c>
      <c r="L1370" s="81">
        <f>IF('Ordenes_Odoo'!L1370="","",'Ordenes_Odoo'!L1370)</f>
        <v/>
      </c>
      <c r="M1370" s="79">
        <f>IF('Ordenes_Odoo'!M1370="","",'Ordenes_Odoo'!M1370)</f>
        <v/>
      </c>
      <c r="N1370" s="79">
        <f>IF('Ordenes_Odoo'!N1370="","",'Ordenes_Odoo'!N1370)</f>
        <v/>
      </c>
      <c r="O1370" s="81">
        <f>IF('Ordenes_Odoo'!O1370="","",'Ordenes_Odoo'!O1370)</f>
        <v/>
      </c>
      <c r="P1370" s="81">
        <f>IF('Ordenes_Odoo'!P1370="","",'Ordenes_Odoo'!P1370)</f>
        <v/>
      </c>
      <c r="Q1370" s="79">
        <f>IF(A1370="","",IFERROR(INDEX(Facturas_Odoo!$B:$B, MATCH(A1370, Facturas_Odoo!$D:$D, 0)), "Sin Factura"))</f>
        <v/>
      </c>
      <c r="R1370" s="80">
        <f>IF(Q1370="Sin Factura","",IFERROR(INDEX(Facturas_Odoo!$A:$A, MATCH(Q1370, Facturas_Odoo!$B:$B, 0)), ""))</f>
        <v/>
      </c>
      <c r="S1370" s="79">
        <f>IF(Q1370="Sin Factura","",IFERROR(_xlfn.XLOOKUP(1, (Facturas_Odoo!$D:$D=A1370) * (Facturas_Odoo!$K:$K=I1370), Facturas_Odoo!$L:$L, ""), ""))</f>
        <v/>
      </c>
      <c r="T1370" s="81">
        <f>IF(Q1370="Sin Factura",0,IFERROR(_xlfn.XLOOKUP(1, (Facturas_Odoo!$D:$D=A1370) * (Facturas_Odoo!$K:$K=I1370), Facturas_Odoo!$M:$M, 0), 0))</f>
        <v/>
      </c>
      <c r="U1370" s="79">
        <f>IF(Q1370="Sin Factura",0,IFERROR(_xlfn.XLOOKUP(1, (Facturas_Odoo!$D:$D=A1370) * (Facturas_Odoo!$K:$K=I1370), Facturas_Odoo!$N:$N, 0), 0))</f>
        <v/>
      </c>
      <c r="V1370" s="79">
        <f>IF(Q1370="Sin Factura",0,IFERROR(_xlfn.XLOOKUP(1, (Facturas_Odoo!$D:$D=A1370) * (Facturas_Odoo!$K:$K=I1370), Facturas_Odoo!$O:$O, 0), 0))</f>
        <v/>
      </c>
      <c r="W1370" s="81">
        <f>IF(Q1370="Sin Factura",0,IFERROR(_xlfn.XLOOKUP(1, (Facturas_Odoo!$D:$D=A1370) * (Facturas_Odoo!$K:$K=I1370), Facturas_Odoo!$Q:$Q, 0), 0))</f>
        <v/>
      </c>
      <c r="X1370" s="79">
        <f>IF(OR(Q1370="Sin Factura",Q1370=""),"",IFERROR(INDEX(Pagos_Odoo!$B:$B, MATCH(Q1370, Pagos_Odoo!$I:$I, 0)), "Sin Pago"))</f>
        <v/>
      </c>
      <c r="Y1370" s="79">
        <f>IF(X1370="Sin Pago","",IFERROR(INDEX(Pagos_Odoo!$C:$C, MATCH(X1370, Pagos_Odoo!$B:$B, 0)), ""))</f>
        <v/>
      </c>
      <c r="Z1370" s="80">
        <f>IF(X1370="Sin Pago","",IFERROR(INDEX(Pagos_Odoo!$A:$A, MATCH(X1370, Pagos_Odoo!$B:$B, 0)), ""))</f>
        <v/>
      </c>
      <c r="AA1370" s="79">
        <f>IF(X1370="Sin Pago","",IFERROR(INDEX(Pagos_Odoo!$F:$F, MATCH(X1370, Pagos_Odoo!$B:$B, 0)), ""))</f>
        <v/>
      </c>
      <c r="AB1370" s="81">
        <f>IF(X1370="Sin Pago",0,IFERROR(INDEX(Pagos_Odoo!$E:$E, MATCH(X1370, Pagos_Odoo!$B:$B, 0)), 0))</f>
        <v/>
      </c>
      <c r="AC1370" s="79">
        <f>IF(X1370="Sin Pago","",IFERROR(INDEX(Pagos_Odoo!$G:$G, MATCH(X1370, Pagos_Odoo!$B:$B, 0)), ""))</f>
        <v/>
      </c>
      <c r="AD1370" s="82" t="n">
        <v>0</v>
      </c>
      <c r="AE1370" s="82" t="n"/>
      <c r="AF1370" s="82" t="n"/>
      <c r="AG1370" s="82">
        <f>IF(AN1370="","",AD1370+AE1370+AF1370)</f>
        <v/>
      </c>
      <c r="AH1370" s="81">
        <f>IF(AN1370="","",P1370*(1-AG1370))</f>
        <v/>
      </c>
      <c r="AI1370" s="81">
        <f>IF(AN1370="","",IF(Q1370="Sin Factura",0,IFERROR(INDEX(Facturas_Odoo!$H:$H, MATCH(Q1370, Facturas_Odoo!$B:$B, 0)), 0)*(1-AG1370)))</f>
        <v/>
      </c>
      <c r="AJ1370" s="81">
        <f>IF(AN1370="","",_xlfn.LET(idVenta, AN1370&amp;"",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70" s="81">
        <f>IF(AN1370="","",AH1370-AJ1370)</f>
        <v/>
      </c>
      <c r="AL1370" s="81">
        <f>IF(AN1370="","",IF(Q1370="Sin Factura","",AI1370-AJ1370))</f>
        <v/>
      </c>
      <c r="AM1370" s="81">
        <f>IF(AN1370="","",IF(Q1370="Sin Factura",0,P1370-IFERROR(INDEX(Facturas_Odoo!$H:$H, MATCH(Q1370, Facturas_Odoo!$B:$B, 0)), 0)))</f>
        <v/>
      </c>
      <c r="AN1370" s="79">
        <f>IF(AND(A1370="", J1370=""), "", IF(A1370&lt;&gt;"", VALUE(MID(A1370,2,LEN(A1370))), AN1369))</f>
        <v/>
      </c>
      <c r="AO1370" s="79">
        <f>IF(AN1370="","",IF(AD1370=0,"OK",_xlfn.LET(monedaPago, IF(AA1370="","USD",AA1370), limitePermitido, IFERROR(VLOOKUP(monedaPago, Configuración!$A$2:$B$3, 2, FALSE), 0.15), IF(AD1370&gt;limitePermitido, "ALERTA: EXCESO (" &amp; TEXT(limitePermitido, "0%") &amp; " máx)", "OK"))))</f>
        <v/>
      </c>
      <c r="AP1370" s="79">
        <f>IF(AN1370="","",IF(AE1370=0,"OK",_xlfn.LET(fechaPago, Z1370, fechaFactura, R1370, diasCredito, IF(E1370="Pago inmediato", 0, IFERROR(VALUE(MID(E1370, 1, SEARCH(" ", E1370)-1)),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70" s="79">
        <f>IF(AN1370="","",IF(AND(N1370&gt;0, AG1370&gt;0), IF(Configuración!$K$2="NO", "ALERTA: DESCUENTO DOBLE NO PERMITIDO", "OK"), "OK"))</f>
        <v/>
      </c>
      <c r="AR1370" s="79">
        <f>IF(AN1370="","",IF(OR(AO1370&lt;&gt;"OK", AP1370&lt;&gt;"OK", AQ1370&lt;&gt;"OK"), "⚠️ REVISAR", "OK"))</f>
        <v/>
      </c>
    </row>
    <row r="1371">
      <c r="A1371" s="79">
        <f>IF('Ordenes_Odoo'!A1371="","",'Ordenes_Odoo'!A1371)</f>
        <v/>
      </c>
      <c r="B1371" s="80">
        <f>IF('Ordenes_Odoo'!B1371="","",'Ordenes_Odoo'!B1371)</f>
        <v/>
      </c>
      <c r="C1371" s="79">
        <f>IF('Ordenes_Odoo'!C1371="","",'Ordenes_Odoo'!C1371)</f>
        <v/>
      </c>
      <c r="D1371" s="79">
        <f>IF('Ordenes_Odoo'!D1371="","",'Ordenes_Odoo'!D1371)</f>
        <v/>
      </c>
      <c r="E1371" s="79">
        <f>IF('Ordenes_Odoo'!E1371="","",'Ordenes_Odoo'!E1371)</f>
        <v/>
      </c>
      <c r="F1371" s="79">
        <f>IF('Ordenes_Odoo'!F1371="","",'Ordenes_Odoo'!F1371)</f>
        <v/>
      </c>
      <c r="G1371" s="79">
        <f>IF('Ordenes_Odoo'!G1371="","",'Ordenes_Odoo'!G1371)</f>
        <v/>
      </c>
      <c r="H1371" s="79">
        <f>IF('Ordenes_Odoo'!H1371="","",'Ordenes_Odoo'!H1371)</f>
        <v/>
      </c>
      <c r="I1371" s="79">
        <f>IF('Ordenes_Odoo'!I1371="","",'Ordenes_Odoo'!I1371)</f>
        <v/>
      </c>
      <c r="J1371" s="79">
        <f>IF('Ordenes_Odoo'!J1371="","",'Ordenes_Odoo'!J1371)</f>
        <v/>
      </c>
      <c r="K1371" s="81">
        <f>IF('Ordenes_Odoo'!K1371="","",'Ordenes_Odoo'!K1371)</f>
        <v/>
      </c>
      <c r="L1371" s="81">
        <f>IF('Ordenes_Odoo'!L1371="","",'Ordenes_Odoo'!L1371)</f>
        <v/>
      </c>
      <c r="M1371" s="79">
        <f>IF('Ordenes_Odoo'!M1371="","",'Ordenes_Odoo'!M1371)</f>
        <v/>
      </c>
      <c r="N1371" s="79">
        <f>IF('Ordenes_Odoo'!N1371="","",'Ordenes_Odoo'!N1371)</f>
        <v/>
      </c>
      <c r="O1371" s="81">
        <f>IF('Ordenes_Odoo'!O1371="","",'Ordenes_Odoo'!O1371)</f>
        <v/>
      </c>
      <c r="P1371" s="81">
        <f>IF('Ordenes_Odoo'!P1371="","",'Ordenes_Odoo'!P1371)</f>
        <v/>
      </c>
      <c r="Q1371" s="79">
        <f>IF(A1371="","",IFERROR(INDEX(Facturas_Odoo!$B:$B, MATCH(A1371, Facturas_Odoo!$D:$D, 0)), "Sin Factura"))</f>
        <v/>
      </c>
      <c r="R1371" s="80">
        <f>IF(Q1371="Sin Factura","",IFERROR(INDEX(Facturas_Odoo!$A:$A, MATCH(Q1371, Facturas_Odoo!$B:$B, 0)), ""))</f>
        <v/>
      </c>
      <c r="S1371" s="79">
        <f>IF(Q1371="Sin Factura","",IFERROR(_xlfn.XLOOKUP(1, (Facturas_Odoo!$D:$D=A1371) * (Facturas_Odoo!$K:$K=I1371), Facturas_Odoo!$L:$L, ""), ""))</f>
        <v/>
      </c>
      <c r="T1371" s="81">
        <f>IF(Q1371="Sin Factura",0,IFERROR(_xlfn.XLOOKUP(1, (Facturas_Odoo!$D:$D=A1371) * (Facturas_Odoo!$K:$K=I1371), Facturas_Odoo!$M:$M, 0), 0))</f>
        <v/>
      </c>
      <c r="U1371" s="79">
        <f>IF(Q1371="Sin Factura",0,IFERROR(_xlfn.XLOOKUP(1, (Facturas_Odoo!$D:$D=A1371) * (Facturas_Odoo!$K:$K=I1371), Facturas_Odoo!$N:$N, 0), 0))</f>
        <v/>
      </c>
      <c r="V1371" s="79">
        <f>IF(Q1371="Sin Factura",0,IFERROR(_xlfn.XLOOKUP(1, (Facturas_Odoo!$D:$D=A1371) * (Facturas_Odoo!$K:$K=I1371), Facturas_Odoo!$O:$O, 0), 0))</f>
        <v/>
      </c>
      <c r="W1371" s="81">
        <f>IF(Q1371="Sin Factura",0,IFERROR(_xlfn.XLOOKUP(1, (Facturas_Odoo!$D:$D=A1371) * (Facturas_Odoo!$K:$K=I1371), Facturas_Odoo!$Q:$Q, 0), 0))</f>
        <v/>
      </c>
      <c r="X1371" s="79">
        <f>IF(OR(Q1371="Sin Factura",Q1371=""),"",IFERROR(INDEX(Pagos_Odoo!$B:$B, MATCH(Q1371, Pagos_Odoo!$I:$I, 0)), "Sin Pago"))</f>
        <v/>
      </c>
      <c r="Y1371" s="79">
        <f>IF(X1371="Sin Pago","",IFERROR(INDEX(Pagos_Odoo!$C:$C, MATCH(X1371, Pagos_Odoo!$B:$B, 0)), ""))</f>
        <v/>
      </c>
      <c r="Z1371" s="80">
        <f>IF(X1371="Sin Pago","",IFERROR(INDEX(Pagos_Odoo!$A:$A, MATCH(X1371, Pagos_Odoo!$B:$B, 0)), ""))</f>
        <v/>
      </c>
      <c r="AA1371" s="79">
        <f>IF(X1371="Sin Pago","",IFERROR(INDEX(Pagos_Odoo!$F:$F, MATCH(X1371, Pagos_Odoo!$B:$B, 0)), ""))</f>
        <v/>
      </c>
      <c r="AB1371" s="81">
        <f>IF(X1371="Sin Pago",0,IFERROR(INDEX(Pagos_Odoo!$E:$E, MATCH(X1371, Pagos_Odoo!$B:$B, 0)), 0))</f>
        <v/>
      </c>
      <c r="AC1371" s="79">
        <f>IF(X1371="Sin Pago","",IFERROR(INDEX(Pagos_Odoo!$G:$G, MATCH(X1371, Pagos_Odoo!$B:$B, 0)), ""))</f>
        <v/>
      </c>
      <c r="AD1371" s="82" t="n">
        <v>0</v>
      </c>
      <c r="AE1371" s="82" t="n"/>
      <c r="AF1371" s="82" t="n"/>
      <c r="AG1371" s="82">
        <f>IF(AN1371="","",AD1371+AE1371+AF1371)</f>
        <v/>
      </c>
      <c r="AH1371" s="81">
        <f>IF(AN1371="","",P1371*(1-AG1371))</f>
        <v/>
      </c>
      <c r="AI1371" s="81">
        <f>IF(AN1371="","",IF(Q1371="Sin Factura",0,IFERROR(INDEX(Facturas_Odoo!$H:$H, MATCH(Q1371, Facturas_Odoo!$B:$B, 0)), 0)*(1-AG1371)))</f>
        <v/>
      </c>
      <c r="AJ1371" s="81">
        <f>IF(AN1371="","",_xlfn.LET(idVenta, AN1371&amp;"",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71" s="81">
        <f>IF(AN1371="","",AH1371-AJ1371)</f>
        <v/>
      </c>
      <c r="AL1371" s="81">
        <f>IF(AN1371="","",IF(Q1371="Sin Factura","",AI1371-AJ1371))</f>
        <v/>
      </c>
      <c r="AM1371" s="81">
        <f>IF(AN1371="","",IF(Q1371="Sin Factura",0,P1371-IFERROR(INDEX(Facturas_Odoo!$H:$H, MATCH(Q1371, Facturas_Odoo!$B:$B, 0)), 0)))</f>
        <v/>
      </c>
      <c r="AN1371" s="79">
        <f>IF(AND(A1371="", J1371=""), "", IF(A1371&lt;&gt;"", VALUE(MID(A1371,2,LEN(A1371))), AN1370))</f>
        <v/>
      </c>
      <c r="AO1371" s="79">
        <f>IF(AN1371="","",IF(AD1371=0,"OK",_xlfn.LET(monedaPago, IF(AA1371="","USD",AA1371), limitePermitido, IFERROR(VLOOKUP(monedaPago, Configuración!$A$2:$B$3, 2, FALSE), 0.15), IF(AD1371&gt;limitePermitido, "ALERTA: EXCESO (" &amp; TEXT(limitePermitido, "0%") &amp; " máx)", "OK"))))</f>
        <v/>
      </c>
      <c r="AP1371" s="79">
        <f>IF(AN1371="","",IF(AE1371=0,"OK",_xlfn.LET(fechaPago, Z1371, fechaFactura, R1371, diasCredito, IF(E1371="Pago inmediato", 0, IFERROR(VALUE(MID(E1371, 1, SEARCH(" ", E1371)-1)),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71" s="79">
        <f>IF(AN1371="","",IF(AND(N1371&gt;0, AG1371&gt;0), IF(Configuración!$K$2="NO", "ALERTA: DESCUENTO DOBLE NO PERMITIDO", "OK"), "OK"))</f>
        <v/>
      </c>
      <c r="AR1371" s="79">
        <f>IF(AN1371="","",IF(OR(AO1371&lt;&gt;"OK", AP1371&lt;&gt;"OK", AQ1371&lt;&gt;"OK"), "⚠️ REVISAR", "OK"))</f>
        <v/>
      </c>
    </row>
    <row r="1372">
      <c r="A1372" s="79">
        <f>IF('Ordenes_Odoo'!A1372="","",'Ordenes_Odoo'!A1372)</f>
        <v/>
      </c>
      <c r="B1372" s="80">
        <f>IF('Ordenes_Odoo'!B1372="","",'Ordenes_Odoo'!B1372)</f>
        <v/>
      </c>
      <c r="C1372" s="79">
        <f>IF('Ordenes_Odoo'!C1372="","",'Ordenes_Odoo'!C1372)</f>
        <v/>
      </c>
      <c r="D1372" s="79">
        <f>IF('Ordenes_Odoo'!D1372="","",'Ordenes_Odoo'!D1372)</f>
        <v/>
      </c>
      <c r="E1372" s="79">
        <f>IF('Ordenes_Odoo'!E1372="","",'Ordenes_Odoo'!E1372)</f>
        <v/>
      </c>
      <c r="F1372" s="79">
        <f>IF('Ordenes_Odoo'!F1372="","",'Ordenes_Odoo'!F1372)</f>
        <v/>
      </c>
      <c r="G1372" s="79">
        <f>IF('Ordenes_Odoo'!G1372="","",'Ordenes_Odoo'!G1372)</f>
        <v/>
      </c>
      <c r="H1372" s="79">
        <f>IF('Ordenes_Odoo'!H1372="","",'Ordenes_Odoo'!H1372)</f>
        <v/>
      </c>
      <c r="I1372" s="79">
        <f>IF('Ordenes_Odoo'!I1372="","",'Ordenes_Odoo'!I1372)</f>
        <v/>
      </c>
      <c r="J1372" s="79">
        <f>IF('Ordenes_Odoo'!J1372="","",'Ordenes_Odoo'!J1372)</f>
        <v/>
      </c>
      <c r="K1372" s="81">
        <f>IF('Ordenes_Odoo'!K1372="","",'Ordenes_Odoo'!K1372)</f>
        <v/>
      </c>
      <c r="L1372" s="81">
        <f>IF('Ordenes_Odoo'!L1372="","",'Ordenes_Odoo'!L1372)</f>
        <v/>
      </c>
      <c r="M1372" s="79">
        <f>IF('Ordenes_Odoo'!M1372="","",'Ordenes_Odoo'!M1372)</f>
        <v/>
      </c>
      <c r="N1372" s="79">
        <f>IF('Ordenes_Odoo'!N1372="","",'Ordenes_Odoo'!N1372)</f>
        <v/>
      </c>
      <c r="O1372" s="81">
        <f>IF('Ordenes_Odoo'!O1372="","",'Ordenes_Odoo'!O1372)</f>
        <v/>
      </c>
      <c r="P1372" s="81">
        <f>IF('Ordenes_Odoo'!P1372="","",'Ordenes_Odoo'!P1372)</f>
        <v/>
      </c>
      <c r="Q1372" s="79">
        <f>IF(A1372="","",IFERROR(INDEX(Facturas_Odoo!$B:$B, MATCH(A1372, Facturas_Odoo!$D:$D, 0)), "Sin Factura"))</f>
        <v/>
      </c>
      <c r="R1372" s="80">
        <f>IF(Q1372="Sin Factura","",IFERROR(INDEX(Facturas_Odoo!$A:$A, MATCH(Q1372, Facturas_Odoo!$B:$B, 0)), ""))</f>
        <v/>
      </c>
      <c r="S1372" s="79">
        <f>IF(Q1372="Sin Factura","",IFERROR(_xlfn.XLOOKUP(1, (Facturas_Odoo!$D:$D=A1372) * (Facturas_Odoo!$K:$K=I1372), Facturas_Odoo!$L:$L, ""), ""))</f>
        <v/>
      </c>
      <c r="T1372" s="81">
        <f>IF(Q1372="Sin Factura",0,IFERROR(_xlfn.XLOOKUP(1, (Facturas_Odoo!$D:$D=A1372) * (Facturas_Odoo!$K:$K=I1372), Facturas_Odoo!$M:$M, 0), 0))</f>
        <v/>
      </c>
      <c r="U1372" s="79">
        <f>IF(Q1372="Sin Factura",0,IFERROR(_xlfn.XLOOKUP(1, (Facturas_Odoo!$D:$D=A1372) * (Facturas_Odoo!$K:$K=I1372), Facturas_Odoo!$N:$N, 0), 0))</f>
        <v/>
      </c>
      <c r="V1372" s="79">
        <f>IF(Q1372="Sin Factura",0,IFERROR(_xlfn.XLOOKUP(1, (Facturas_Odoo!$D:$D=A1372) * (Facturas_Odoo!$K:$K=I1372), Facturas_Odoo!$O:$O, 0), 0))</f>
        <v/>
      </c>
      <c r="W1372" s="81">
        <f>IF(Q1372="Sin Factura",0,IFERROR(_xlfn.XLOOKUP(1, (Facturas_Odoo!$D:$D=A1372) * (Facturas_Odoo!$K:$K=I1372), Facturas_Odoo!$Q:$Q, 0), 0))</f>
        <v/>
      </c>
      <c r="X1372" s="79">
        <f>IF(OR(Q1372="Sin Factura",Q1372=""),"",IFERROR(INDEX(Pagos_Odoo!$B:$B, MATCH(Q1372, Pagos_Odoo!$I:$I, 0)), "Sin Pago"))</f>
        <v/>
      </c>
      <c r="Y1372" s="79">
        <f>IF(X1372="Sin Pago","",IFERROR(INDEX(Pagos_Odoo!$C:$C, MATCH(X1372, Pagos_Odoo!$B:$B, 0)), ""))</f>
        <v/>
      </c>
      <c r="Z1372" s="80">
        <f>IF(X1372="Sin Pago","",IFERROR(INDEX(Pagos_Odoo!$A:$A, MATCH(X1372, Pagos_Odoo!$B:$B, 0)), ""))</f>
        <v/>
      </c>
      <c r="AA1372" s="79">
        <f>IF(X1372="Sin Pago","",IFERROR(INDEX(Pagos_Odoo!$F:$F, MATCH(X1372, Pagos_Odoo!$B:$B, 0)), ""))</f>
        <v/>
      </c>
      <c r="AB1372" s="81">
        <f>IF(X1372="Sin Pago",0,IFERROR(INDEX(Pagos_Odoo!$E:$E, MATCH(X1372, Pagos_Odoo!$B:$B, 0)), 0))</f>
        <v/>
      </c>
      <c r="AC1372" s="79">
        <f>IF(X1372="Sin Pago","",IFERROR(INDEX(Pagos_Odoo!$G:$G, MATCH(X1372, Pagos_Odoo!$B:$B, 0)), ""))</f>
        <v/>
      </c>
      <c r="AD1372" s="82" t="n">
        <v>0</v>
      </c>
      <c r="AE1372" s="82" t="n"/>
      <c r="AF1372" s="82" t="n"/>
      <c r="AG1372" s="82">
        <f>IF(AN1372="","",AD1372+AE1372+AF1372)</f>
        <v/>
      </c>
      <c r="AH1372" s="81">
        <f>IF(AN1372="","",P1372*(1-AG1372))</f>
        <v/>
      </c>
      <c r="AI1372" s="81">
        <f>IF(AN1372="","",IF(Q1372="Sin Factura",0,IFERROR(INDEX(Facturas_Odoo!$H:$H, MATCH(Q1372, Facturas_Odoo!$B:$B, 0)), 0)*(1-AG1372)))</f>
        <v/>
      </c>
      <c r="AJ1372" s="81">
        <f>IF(AN1372="","",_xlfn.LET(idVenta, AN1372&amp;"",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72" s="81">
        <f>IF(AN1372="","",AH1372-AJ1372)</f>
        <v/>
      </c>
      <c r="AL1372" s="81">
        <f>IF(AN1372="","",IF(Q1372="Sin Factura","",AI1372-AJ1372))</f>
        <v/>
      </c>
      <c r="AM1372" s="81">
        <f>IF(AN1372="","",IF(Q1372="Sin Factura",0,P1372-IFERROR(INDEX(Facturas_Odoo!$H:$H, MATCH(Q1372, Facturas_Odoo!$B:$B, 0)), 0)))</f>
        <v/>
      </c>
      <c r="AN1372" s="79">
        <f>IF(AND(A1372="", J1372=""), "", IF(A1372&lt;&gt;"", VALUE(MID(A1372,2,LEN(A1372))), AN1371))</f>
        <v/>
      </c>
      <c r="AO1372" s="79">
        <f>IF(AN1372="","",IF(AD1372=0,"OK",_xlfn.LET(monedaPago, IF(AA1372="","USD",AA1372), limitePermitido, IFERROR(VLOOKUP(monedaPago, Configuración!$A$2:$B$3, 2, FALSE), 0.15), IF(AD1372&gt;limitePermitido, "ALERTA: EXCESO (" &amp; TEXT(limitePermitido, "0%") &amp; " máx)", "OK"))))</f>
        <v/>
      </c>
      <c r="AP1372" s="79">
        <f>IF(AN1372="","",IF(AE1372=0,"OK",_xlfn.LET(fechaPago, Z1372, fechaFactura, R1372, diasCredito, IF(E1372="Pago inmediato", 0, IFERROR(VALUE(MID(E1372, 1, SEARCH(" ", E1372)-1)),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72" s="79">
        <f>IF(AN1372="","",IF(AND(N1372&gt;0, AG1372&gt;0), IF(Configuración!$K$2="NO", "ALERTA: DESCUENTO DOBLE NO PERMITIDO", "OK"), "OK"))</f>
        <v/>
      </c>
      <c r="AR1372" s="79">
        <f>IF(AN1372="","",IF(OR(AO1372&lt;&gt;"OK", AP1372&lt;&gt;"OK", AQ1372&lt;&gt;"OK"), "⚠️ REVISAR", "OK"))</f>
        <v/>
      </c>
    </row>
    <row r="1373">
      <c r="A1373" s="79">
        <f>IF('Ordenes_Odoo'!A1373="","",'Ordenes_Odoo'!A1373)</f>
        <v/>
      </c>
      <c r="B1373" s="80">
        <f>IF('Ordenes_Odoo'!B1373="","",'Ordenes_Odoo'!B1373)</f>
        <v/>
      </c>
      <c r="C1373" s="79">
        <f>IF('Ordenes_Odoo'!C1373="","",'Ordenes_Odoo'!C1373)</f>
        <v/>
      </c>
      <c r="D1373" s="79">
        <f>IF('Ordenes_Odoo'!D1373="","",'Ordenes_Odoo'!D1373)</f>
        <v/>
      </c>
      <c r="E1373" s="79">
        <f>IF('Ordenes_Odoo'!E1373="","",'Ordenes_Odoo'!E1373)</f>
        <v/>
      </c>
      <c r="F1373" s="79">
        <f>IF('Ordenes_Odoo'!F1373="","",'Ordenes_Odoo'!F1373)</f>
        <v/>
      </c>
      <c r="G1373" s="79">
        <f>IF('Ordenes_Odoo'!G1373="","",'Ordenes_Odoo'!G1373)</f>
        <v/>
      </c>
      <c r="H1373" s="79">
        <f>IF('Ordenes_Odoo'!H1373="","",'Ordenes_Odoo'!H1373)</f>
        <v/>
      </c>
      <c r="I1373" s="79">
        <f>IF('Ordenes_Odoo'!I1373="","",'Ordenes_Odoo'!I1373)</f>
        <v/>
      </c>
      <c r="J1373" s="79">
        <f>IF('Ordenes_Odoo'!J1373="","",'Ordenes_Odoo'!J1373)</f>
        <v/>
      </c>
      <c r="K1373" s="81">
        <f>IF('Ordenes_Odoo'!K1373="","",'Ordenes_Odoo'!K1373)</f>
        <v/>
      </c>
      <c r="L1373" s="81">
        <f>IF('Ordenes_Odoo'!L1373="","",'Ordenes_Odoo'!L1373)</f>
        <v/>
      </c>
      <c r="M1373" s="79">
        <f>IF('Ordenes_Odoo'!M1373="","",'Ordenes_Odoo'!M1373)</f>
        <v/>
      </c>
      <c r="N1373" s="79">
        <f>IF('Ordenes_Odoo'!N1373="","",'Ordenes_Odoo'!N1373)</f>
        <v/>
      </c>
      <c r="O1373" s="81">
        <f>IF('Ordenes_Odoo'!O1373="","",'Ordenes_Odoo'!O1373)</f>
        <v/>
      </c>
      <c r="P1373" s="81">
        <f>IF('Ordenes_Odoo'!P1373="","",'Ordenes_Odoo'!P1373)</f>
        <v/>
      </c>
      <c r="Q1373" s="79">
        <f>IF(A1373="","",IFERROR(INDEX(Facturas_Odoo!$B:$B, MATCH(A1373, Facturas_Odoo!$D:$D, 0)), "Sin Factura"))</f>
        <v/>
      </c>
      <c r="R1373" s="80">
        <f>IF(Q1373="Sin Factura","",IFERROR(INDEX(Facturas_Odoo!$A:$A, MATCH(Q1373, Facturas_Odoo!$B:$B, 0)), ""))</f>
        <v/>
      </c>
      <c r="S1373" s="79">
        <f>IF(Q1373="Sin Factura","",IFERROR(_xlfn.XLOOKUP(1, (Facturas_Odoo!$D:$D=A1373) * (Facturas_Odoo!$K:$K=I1373), Facturas_Odoo!$L:$L, ""), ""))</f>
        <v/>
      </c>
      <c r="T1373" s="81">
        <f>IF(Q1373="Sin Factura",0,IFERROR(_xlfn.XLOOKUP(1, (Facturas_Odoo!$D:$D=A1373) * (Facturas_Odoo!$K:$K=I1373), Facturas_Odoo!$M:$M, 0), 0))</f>
        <v/>
      </c>
      <c r="U1373" s="79">
        <f>IF(Q1373="Sin Factura",0,IFERROR(_xlfn.XLOOKUP(1, (Facturas_Odoo!$D:$D=A1373) * (Facturas_Odoo!$K:$K=I1373), Facturas_Odoo!$N:$N, 0), 0))</f>
        <v/>
      </c>
      <c r="V1373" s="79">
        <f>IF(Q1373="Sin Factura",0,IFERROR(_xlfn.XLOOKUP(1, (Facturas_Odoo!$D:$D=A1373) * (Facturas_Odoo!$K:$K=I1373), Facturas_Odoo!$O:$O, 0), 0))</f>
        <v/>
      </c>
      <c r="W1373" s="81">
        <f>IF(Q1373="Sin Factura",0,IFERROR(_xlfn.XLOOKUP(1, (Facturas_Odoo!$D:$D=A1373) * (Facturas_Odoo!$K:$K=I1373), Facturas_Odoo!$Q:$Q, 0), 0))</f>
        <v/>
      </c>
      <c r="X1373" s="79">
        <f>IF(OR(Q1373="Sin Factura",Q1373=""),"",IFERROR(INDEX(Pagos_Odoo!$B:$B, MATCH(Q1373, Pagos_Odoo!$I:$I, 0)), "Sin Pago"))</f>
        <v/>
      </c>
      <c r="Y1373" s="79">
        <f>IF(X1373="Sin Pago","",IFERROR(INDEX(Pagos_Odoo!$C:$C, MATCH(X1373, Pagos_Odoo!$B:$B, 0)), ""))</f>
        <v/>
      </c>
      <c r="Z1373" s="80">
        <f>IF(X1373="Sin Pago","",IFERROR(INDEX(Pagos_Odoo!$A:$A, MATCH(X1373, Pagos_Odoo!$B:$B, 0)), ""))</f>
        <v/>
      </c>
      <c r="AA1373" s="79">
        <f>IF(X1373="Sin Pago","",IFERROR(INDEX(Pagos_Odoo!$F:$F, MATCH(X1373, Pagos_Odoo!$B:$B, 0)), ""))</f>
        <v/>
      </c>
      <c r="AB1373" s="81">
        <f>IF(X1373="Sin Pago",0,IFERROR(INDEX(Pagos_Odoo!$E:$E, MATCH(X1373, Pagos_Odoo!$B:$B, 0)), 0))</f>
        <v/>
      </c>
      <c r="AC1373" s="79">
        <f>IF(X1373="Sin Pago","",IFERROR(INDEX(Pagos_Odoo!$G:$G, MATCH(X1373, Pagos_Odoo!$B:$B, 0)), ""))</f>
        <v/>
      </c>
      <c r="AD1373" s="82" t="n">
        <v>0</v>
      </c>
      <c r="AE1373" s="82" t="n"/>
      <c r="AF1373" s="82" t="n"/>
      <c r="AG1373" s="82">
        <f>IF(AN1373="","",AD1373+AE1373+AF1373)</f>
        <v/>
      </c>
      <c r="AH1373" s="81">
        <f>IF(AN1373="","",P1373*(1-AG1373))</f>
        <v/>
      </c>
      <c r="AI1373" s="81">
        <f>IF(AN1373="","",IF(Q1373="Sin Factura",0,IFERROR(INDEX(Facturas_Odoo!$H:$H, MATCH(Q1373, Facturas_Odoo!$B:$B, 0)), 0)*(1-AG1373)))</f>
        <v/>
      </c>
      <c r="AJ1373" s="81">
        <f>IF(AN1373="","",_xlfn.LET(idVenta, AN1373&amp;"",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73" s="81">
        <f>IF(AN1373="","",AH1373-AJ1373)</f>
        <v/>
      </c>
      <c r="AL1373" s="81">
        <f>IF(AN1373="","",IF(Q1373="Sin Factura","",AI1373-AJ1373))</f>
        <v/>
      </c>
      <c r="AM1373" s="81">
        <f>IF(AN1373="","",IF(Q1373="Sin Factura",0,P1373-IFERROR(INDEX(Facturas_Odoo!$H:$H, MATCH(Q1373, Facturas_Odoo!$B:$B, 0)), 0)))</f>
        <v/>
      </c>
      <c r="AN1373" s="79">
        <f>IF(AND(A1373="", J1373=""), "", IF(A1373&lt;&gt;"", VALUE(MID(A1373,2,LEN(A1373))), AN1372))</f>
        <v/>
      </c>
      <c r="AO1373" s="79">
        <f>IF(AN1373="","",IF(AD1373=0,"OK",_xlfn.LET(monedaPago, IF(AA1373="","USD",AA1373), limitePermitido, IFERROR(VLOOKUP(monedaPago, Configuración!$A$2:$B$3, 2, FALSE), 0.15), IF(AD1373&gt;limitePermitido, "ALERTA: EXCESO (" &amp; TEXT(limitePermitido, "0%") &amp; " máx)", "OK"))))</f>
        <v/>
      </c>
      <c r="AP1373" s="79">
        <f>IF(AN1373="","",IF(AE1373=0,"OK",_xlfn.LET(fechaPago, Z1373, fechaFactura, R1373, diasCredito, IF(E1373="Pago inmediato", 0, IFERROR(VALUE(MID(E1373, 1, SEARCH(" ", E1373)-1)),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73" s="79">
        <f>IF(AN1373="","",IF(AND(N1373&gt;0, AG1373&gt;0), IF(Configuración!$K$2="NO", "ALERTA: DESCUENTO DOBLE NO PERMITIDO", "OK"), "OK"))</f>
        <v/>
      </c>
      <c r="AR1373" s="79">
        <f>IF(AN1373="","",IF(OR(AO1373&lt;&gt;"OK", AP1373&lt;&gt;"OK", AQ1373&lt;&gt;"OK"), "⚠️ REVISAR", "OK"))</f>
        <v/>
      </c>
    </row>
    <row r="1374">
      <c r="A1374" s="79">
        <f>IF('Ordenes_Odoo'!A1374="","",'Ordenes_Odoo'!A1374)</f>
        <v/>
      </c>
      <c r="B1374" s="80">
        <f>IF('Ordenes_Odoo'!B1374="","",'Ordenes_Odoo'!B1374)</f>
        <v/>
      </c>
      <c r="C1374" s="79">
        <f>IF('Ordenes_Odoo'!C1374="","",'Ordenes_Odoo'!C1374)</f>
        <v/>
      </c>
      <c r="D1374" s="79">
        <f>IF('Ordenes_Odoo'!D1374="","",'Ordenes_Odoo'!D1374)</f>
        <v/>
      </c>
      <c r="E1374" s="79">
        <f>IF('Ordenes_Odoo'!E1374="","",'Ordenes_Odoo'!E1374)</f>
        <v/>
      </c>
      <c r="F1374" s="79">
        <f>IF('Ordenes_Odoo'!F1374="","",'Ordenes_Odoo'!F1374)</f>
        <v/>
      </c>
      <c r="G1374" s="79">
        <f>IF('Ordenes_Odoo'!G1374="","",'Ordenes_Odoo'!G1374)</f>
        <v/>
      </c>
      <c r="H1374" s="79">
        <f>IF('Ordenes_Odoo'!H1374="","",'Ordenes_Odoo'!H1374)</f>
        <v/>
      </c>
      <c r="I1374" s="79">
        <f>IF('Ordenes_Odoo'!I1374="","",'Ordenes_Odoo'!I1374)</f>
        <v/>
      </c>
      <c r="J1374" s="79">
        <f>IF('Ordenes_Odoo'!J1374="","",'Ordenes_Odoo'!J1374)</f>
        <v/>
      </c>
      <c r="K1374" s="81">
        <f>IF('Ordenes_Odoo'!K1374="","",'Ordenes_Odoo'!K1374)</f>
        <v/>
      </c>
      <c r="L1374" s="81">
        <f>IF('Ordenes_Odoo'!L1374="","",'Ordenes_Odoo'!L1374)</f>
        <v/>
      </c>
      <c r="M1374" s="79">
        <f>IF('Ordenes_Odoo'!M1374="","",'Ordenes_Odoo'!M1374)</f>
        <v/>
      </c>
      <c r="N1374" s="79">
        <f>IF('Ordenes_Odoo'!N1374="","",'Ordenes_Odoo'!N1374)</f>
        <v/>
      </c>
      <c r="O1374" s="81">
        <f>IF('Ordenes_Odoo'!O1374="","",'Ordenes_Odoo'!O1374)</f>
        <v/>
      </c>
      <c r="P1374" s="81">
        <f>IF('Ordenes_Odoo'!P1374="","",'Ordenes_Odoo'!P1374)</f>
        <v/>
      </c>
      <c r="Q1374" s="79">
        <f>IF(A1374="","",IFERROR(INDEX(Facturas_Odoo!$B:$B, MATCH(A1374, Facturas_Odoo!$D:$D, 0)), "Sin Factura"))</f>
        <v/>
      </c>
      <c r="R1374" s="80">
        <f>IF(Q1374="Sin Factura","",IFERROR(INDEX(Facturas_Odoo!$A:$A, MATCH(Q1374, Facturas_Odoo!$B:$B, 0)), ""))</f>
        <v/>
      </c>
      <c r="S1374" s="79">
        <f>IF(Q1374="Sin Factura","",IFERROR(_xlfn.XLOOKUP(1, (Facturas_Odoo!$D:$D=A1374) * (Facturas_Odoo!$K:$K=I1374), Facturas_Odoo!$L:$L, ""), ""))</f>
        <v/>
      </c>
      <c r="T1374" s="81">
        <f>IF(Q1374="Sin Factura",0,IFERROR(_xlfn.XLOOKUP(1, (Facturas_Odoo!$D:$D=A1374) * (Facturas_Odoo!$K:$K=I1374), Facturas_Odoo!$M:$M, 0), 0))</f>
        <v/>
      </c>
      <c r="U1374" s="79">
        <f>IF(Q1374="Sin Factura",0,IFERROR(_xlfn.XLOOKUP(1, (Facturas_Odoo!$D:$D=A1374) * (Facturas_Odoo!$K:$K=I1374), Facturas_Odoo!$N:$N, 0), 0))</f>
        <v/>
      </c>
      <c r="V1374" s="79">
        <f>IF(Q1374="Sin Factura",0,IFERROR(_xlfn.XLOOKUP(1, (Facturas_Odoo!$D:$D=A1374) * (Facturas_Odoo!$K:$K=I1374), Facturas_Odoo!$O:$O, 0), 0))</f>
        <v/>
      </c>
      <c r="W1374" s="81">
        <f>IF(Q1374="Sin Factura",0,IFERROR(_xlfn.XLOOKUP(1, (Facturas_Odoo!$D:$D=A1374) * (Facturas_Odoo!$K:$K=I1374), Facturas_Odoo!$Q:$Q, 0), 0))</f>
        <v/>
      </c>
      <c r="X1374" s="79">
        <f>IF(OR(Q1374="Sin Factura",Q1374=""),"",IFERROR(INDEX(Pagos_Odoo!$B:$B, MATCH(Q1374, Pagos_Odoo!$I:$I, 0)), "Sin Pago"))</f>
        <v/>
      </c>
      <c r="Y1374" s="79">
        <f>IF(X1374="Sin Pago","",IFERROR(INDEX(Pagos_Odoo!$C:$C, MATCH(X1374, Pagos_Odoo!$B:$B, 0)), ""))</f>
        <v/>
      </c>
      <c r="Z1374" s="80">
        <f>IF(X1374="Sin Pago","",IFERROR(INDEX(Pagos_Odoo!$A:$A, MATCH(X1374, Pagos_Odoo!$B:$B, 0)), ""))</f>
        <v/>
      </c>
      <c r="AA1374" s="79">
        <f>IF(X1374="Sin Pago","",IFERROR(INDEX(Pagos_Odoo!$F:$F, MATCH(X1374, Pagos_Odoo!$B:$B, 0)), ""))</f>
        <v/>
      </c>
      <c r="AB1374" s="81">
        <f>IF(X1374="Sin Pago",0,IFERROR(INDEX(Pagos_Odoo!$E:$E, MATCH(X1374, Pagos_Odoo!$B:$B, 0)), 0))</f>
        <v/>
      </c>
      <c r="AC1374" s="79">
        <f>IF(X1374="Sin Pago","",IFERROR(INDEX(Pagos_Odoo!$G:$G, MATCH(X1374, Pagos_Odoo!$B:$B, 0)), ""))</f>
        <v/>
      </c>
      <c r="AD1374" s="82" t="n">
        <v>0</v>
      </c>
      <c r="AE1374" s="82" t="n"/>
      <c r="AF1374" s="82" t="n"/>
      <c r="AG1374" s="82">
        <f>IF(AN1374="","",AD1374+AE1374+AF1374)</f>
        <v/>
      </c>
      <c r="AH1374" s="81">
        <f>IF(AN1374="","",P1374*(1-AG1374))</f>
        <v/>
      </c>
      <c r="AI1374" s="81">
        <f>IF(AN1374="","",IF(Q1374="Sin Factura",0,IFERROR(INDEX(Facturas_Odoo!$H:$H, MATCH(Q1374, Facturas_Odoo!$B:$B, 0)), 0)*(1-AG1374)))</f>
        <v/>
      </c>
      <c r="AJ1374" s="81">
        <f>IF(AN1374="","",_xlfn.LET(idVenta, AN1374&amp;"",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74" s="81">
        <f>IF(AN1374="","",AH1374-AJ1374)</f>
        <v/>
      </c>
      <c r="AL1374" s="81">
        <f>IF(AN1374="","",IF(Q1374="Sin Factura","",AI1374-AJ1374))</f>
        <v/>
      </c>
      <c r="AM1374" s="81">
        <f>IF(AN1374="","",IF(Q1374="Sin Factura",0,P1374-IFERROR(INDEX(Facturas_Odoo!$H:$H, MATCH(Q1374, Facturas_Odoo!$B:$B, 0)), 0)))</f>
        <v/>
      </c>
      <c r="AN1374" s="79">
        <f>IF(AND(A1374="", J1374=""), "", IF(A1374&lt;&gt;"", VALUE(MID(A1374,2,LEN(A1374))), AN1373))</f>
        <v/>
      </c>
      <c r="AO1374" s="79">
        <f>IF(AN1374="","",IF(AD1374=0,"OK",_xlfn.LET(monedaPago, IF(AA1374="","USD",AA1374), limitePermitido, IFERROR(VLOOKUP(monedaPago, Configuración!$A$2:$B$3, 2, FALSE), 0.15), IF(AD1374&gt;limitePermitido, "ALERTA: EXCESO (" &amp; TEXT(limitePermitido, "0%") &amp; " máx)", "OK"))))</f>
        <v/>
      </c>
      <c r="AP1374" s="79">
        <f>IF(AN1374="","",IF(AE1374=0,"OK",_xlfn.LET(fechaPago, Z1374, fechaFactura, R1374, diasCredito, IF(E1374="Pago inmediato", 0, IFERROR(VALUE(MID(E1374, 1, SEARCH(" ", E1374)-1)),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74" s="79">
        <f>IF(AN1374="","",IF(AND(N1374&gt;0, AG1374&gt;0), IF(Configuración!$K$2="NO", "ALERTA: DESCUENTO DOBLE NO PERMITIDO", "OK"), "OK"))</f>
        <v/>
      </c>
      <c r="AR1374" s="79">
        <f>IF(AN1374="","",IF(OR(AO1374&lt;&gt;"OK", AP1374&lt;&gt;"OK", AQ1374&lt;&gt;"OK"), "⚠️ REVISAR", "OK"))</f>
        <v/>
      </c>
    </row>
    <row r="1375">
      <c r="A1375" s="79">
        <f>IF('Ordenes_Odoo'!A1375="","",'Ordenes_Odoo'!A1375)</f>
        <v/>
      </c>
      <c r="B1375" s="80">
        <f>IF('Ordenes_Odoo'!B1375="","",'Ordenes_Odoo'!B1375)</f>
        <v/>
      </c>
      <c r="C1375" s="79">
        <f>IF('Ordenes_Odoo'!C1375="","",'Ordenes_Odoo'!C1375)</f>
        <v/>
      </c>
      <c r="D1375" s="79">
        <f>IF('Ordenes_Odoo'!D1375="","",'Ordenes_Odoo'!D1375)</f>
        <v/>
      </c>
      <c r="E1375" s="79">
        <f>IF('Ordenes_Odoo'!E1375="","",'Ordenes_Odoo'!E1375)</f>
        <v/>
      </c>
      <c r="F1375" s="79">
        <f>IF('Ordenes_Odoo'!F1375="","",'Ordenes_Odoo'!F1375)</f>
        <v/>
      </c>
      <c r="G1375" s="79">
        <f>IF('Ordenes_Odoo'!G1375="","",'Ordenes_Odoo'!G1375)</f>
        <v/>
      </c>
      <c r="H1375" s="79">
        <f>IF('Ordenes_Odoo'!H1375="","",'Ordenes_Odoo'!H1375)</f>
        <v/>
      </c>
      <c r="I1375" s="79">
        <f>IF('Ordenes_Odoo'!I1375="","",'Ordenes_Odoo'!I1375)</f>
        <v/>
      </c>
      <c r="J1375" s="79">
        <f>IF('Ordenes_Odoo'!J1375="","",'Ordenes_Odoo'!J1375)</f>
        <v/>
      </c>
      <c r="K1375" s="81">
        <f>IF('Ordenes_Odoo'!K1375="","",'Ordenes_Odoo'!K1375)</f>
        <v/>
      </c>
      <c r="L1375" s="81">
        <f>IF('Ordenes_Odoo'!L1375="","",'Ordenes_Odoo'!L1375)</f>
        <v/>
      </c>
      <c r="M1375" s="79">
        <f>IF('Ordenes_Odoo'!M1375="","",'Ordenes_Odoo'!M1375)</f>
        <v/>
      </c>
      <c r="N1375" s="79">
        <f>IF('Ordenes_Odoo'!N1375="","",'Ordenes_Odoo'!N1375)</f>
        <v/>
      </c>
      <c r="O1375" s="81">
        <f>IF('Ordenes_Odoo'!O1375="","",'Ordenes_Odoo'!O1375)</f>
        <v/>
      </c>
      <c r="P1375" s="81">
        <f>IF('Ordenes_Odoo'!P1375="","",'Ordenes_Odoo'!P1375)</f>
        <v/>
      </c>
      <c r="Q1375" s="79">
        <f>IF(A1375="","",IFERROR(INDEX(Facturas_Odoo!$B:$B, MATCH(A1375, Facturas_Odoo!$D:$D, 0)), "Sin Factura"))</f>
        <v/>
      </c>
      <c r="R1375" s="80">
        <f>IF(Q1375="Sin Factura","",IFERROR(INDEX(Facturas_Odoo!$A:$A, MATCH(Q1375, Facturas_Odoo!$B:$B, 0)), ""))</f>
        <v/>
      </c>
      <c r="S1375" s="79">
        <f>IF(Q1375="Sin Factura","",IFERROR(_xlfn.XLOOKUP(1, (Facturas_Odoo!$D:$D=A1375) * (Facturas_Odoo!$K:$K=I1375), Facturas_Odoo!$L:$L, ""), ""))</f>
        <v/>
      </c>
      <c r="T1375" s="81">
        <f>IF(Q1375="Sin Factura",0,IFERROR(_xlfn.XLOOKUP(1, (Facturas_Odoo!$D:$D=A1375) * (Facturas_Odoo!$K:$K=I1375), Facturas_Odoo!$M:$M, 0), 0))</f>
        <v/>
      </c>
      <c r="U1375" s="79">
        <f>IF(Q1375="Sin Factura",0,IFERROR(_xlfn.XLOOKUP(1, (Facturas_Odoo!$D:$D=A1375) * (Facturas_Odoo!$K:$K=I1375), Facturas_Odoo!$N:$N, 0), 0))</f>
        <v/>
      </c>
      <c r="V1375" s="79">
        <f>IF(Q1375="Sin Factura",0,IFERROR(_xlfn.XLOOKUP(1, (Facturas_Odoo!$D:$D=A1375) * (Facturas_Odoo!$K:$K=I1375), Facturas_Odoo!$O:$O, 0), 0))</f>
        <v/>
      </c>
      <c r="W1375" s="81">
        <f>IF(Q1375="Sin Factura",0,IFERROR(_xlfn.XLOOKUP(1, (Facturas_Odoo!$D:$D=A1375) * (Facturas_Odoo!$K:$K=I1375), Facturas_Odoo!$Q:$Q, 0), 0))</f>
        <v/>
      </c>
      <c r="X1375" s="79">
        <f>IF(OR(Q1375="Sin Factura",Q1375=""),"",IFERROR(INDEX(Pagos_Odoo!$B:$B, MATCH(Q1375, Pagos_Odoo!$I:$I, 0)), "Sin Pago"))</f>
        <v/>
      </c>
      <c r="Y1375" s="79">
        <f>IF(X1375="Sin Pago","",IFERROR(INDEX(Pagos_Odoo!$C:$C, MATCH(X1375, Pagos_Odoo!$B:$B, 0)), ""))</f>
        <v/>
      </c>
      <c r="Z1375" s="80">
        <f>IF(X1375="Sin Pago","",IFERROR(INDEX(Pagos_Odoo!$A:$A, MATCH(X1375, Pagos_Odoo!$B:$B, 0)), ""))</f>
        <v/>
      </c>
      <c r="AA1375" s="79">
        <f>IF(X1375="Sin Pago","",IFERROR(INDEX(Pagos_Odoo!$F:$F, MATCH(X1375, Pagos_Odoo!$B:$B, 0)), ""))</f>
        <v/>
      </c>
      <c r="AB1375" s="81">
        <f>IF(X1375="Sin Pago",0,IFERROR(INDEX(Pagos_Odoo!$E:$E, MATCH(X1375, Pagos_Odoo!$B:$B, 0)), 0))</f>
        <v/>
      </c>
      <c r="AC1375" s="79">
        <f>IF(X1375="Sin Pago","",IFERROR(INDEX(Pagos_Odoo!$G:$G, MATCH(X1375, Pagos_Odoo!$B:$B, 0)), ""))</f>
        <v/>
      </c>
      <c r="AD1375" s="82" t="n">
        <v>0</v>
      </c>
      <c r="AE1375" s="82" t="n"/>
      <c r="AF1375" s="82" t="n"/>
      <c r="AG1375" s="82">
        <f>IF(AN1375="","",AD1375+AE1375+AF1375)</f>
        <v/>
      </c>
      <c r="AH1375" s="81">
        <f>IF(AN1375="","",P1375*(1-AG1375))</f>
        <v/>
      </c>
      <c r="AI1375" s="81">
        <f>IF(AN1375="","",IF(Q1375="Sin Factura",0,IFERROR(INDEX(Facturas_Odoo!$H:$H, MATCH(Q1375, Facturas_Odoo!$B:$B, 0)), 0)*(1-AG1375)))</f>
        <v/>
      </c>
      <c r="AJ1375" s="81">
        <f>IF(AN1375="","",_xlfn.LET(idVenta, AN1375&amp;"",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75" s="81">
        <f>IF(AN1375="","",AH1375-AJ1375)</f>
        <v/>
      </c>
      <c r="AL1375" s="81">
        <f>IF(AN1375="","",IF(Q1375="Sin Factura","",AI1375-AJ1375))</f>
        <v/>
      </c>
      <c r="AM1375" s="81">
        <f>IF(AN1375="","",IF(Q1375="Sin Factura",0,P1375-IFERROR(INDEX(Facturas_Odoo!$H:$H, MATCH(Q1375, Facturas_Odoo!$B:$B, 0)), 0)))</f>
        <v/>
      </c>
      <c r="AN1375" s="79">
        <f>IF(AND(A1375="", J1375=""), "", IF(A1375&lt;&gt;"", VALUE(MID(A1375,2,LEN(A1375))), AN1374))</f>
        <v/>
      </c>
      <c r="AO1375" s="79">
        <f>IF(AN1375="","",IF(AD1375=0,"OK",_xlfn.LET(monedaPago, IF(AA1375="","USD",AA1375), limitePermitido, IFERROR(VLOOKUP(monedaPago, Configuración!$A$2:$B$3, 2, FALSE), 0.15), IF(AD1375&gt;limitePermitido, "ALERTA: EXCESO (" &amp; TEXT(limitePermitido, "0%") &amp; " máx)", "OK"))))</f>
        <v/>
      </c>
      <c r="AP1375" s="79">
        <f>IF(AN1375="","",IF(AE1375=0,"OK",_xlfn.LET(fechaPago, Z1375, fechaFactura, R1375, diasCredito, IF(E1375="Pago inmediato", 0, IFERROR(VALUE(MID(E1375, 1, SEARCH(" ", E1375)-1)),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75" s="79">
        <f>IF(AN1375="","",IF(AND(N1375&gt;0, AG1375&gt;0), IF(Configuración!$K$2="NO", "ALERTA: DESCUENTO DOBLE NO PERMITIDO", "OK"), "OK"))</f>
        <v/>
      </c>
      <c r="AR1375" s="79">
        <f>IF(AN1375="","",IF(OR(AO1375&lt;&gt;"OK", AP1375&lt;&gt;"OK", AQ1375&lt;&gt;"OK"), "⚠️ REVISAR", "OK"))</f>
        <v/>
      </c>
    </row>
    <row r="1376">
      <c r="A1376" s="79">
        <f>IF('Ordenes_Odoo'!A1376="","",'Ordenes_Odoo'!A1376)</f>
        <v/>
      </c>
      <c r="B1376" s="80">
        <f>IF('Ordenes_Odoo'!B1376="","",'Ordenes_Odoo'!B1376)</f>
        <v/>
      </c>
      <c r="C1376" s="79">
        <f>IF('Ordenes_Odoo'!C1376="","",'Ordenes_Odoo'!C1376)</f>
        <v/>
      </c>
      <c r="D1376" s="79">
        <f>IF('Ordenes_Odoo'!D1376="","",'Ordenes_Odoo'!D1376)</f>
        <v/>
      </c>
      <c r="E1376" s="79">
        <f>IF('Ordenes_Odoo'!E1376="","",'Ordenes_Odoo'!E1376)</f>
        <v/>
      </c>
      <c r="F1376" s="79">
        <f>IF('Ordenes_Odoo'!F1376="","",'Ordenes_Odoo'!F1376)</f>
        <v/>
      </c>
      <c r="G1376" s="79">
        <f>IF('Ordenes_Odoo'!G1376="","",'Ordenes_Odoo'!G1376)</f>
        <v/>
      </c>
      <c r="H1376" s="79">
        <f>IF('Ordenes_Odoo'!H1376="","",'Ordenes_Odoo'!H1376)</f>
        <v/>
      </c>
      <c r="I1376" s="79">
        <f>IF('Ordenes_Odoo'!I1376="","",'Ordenes_Odoo'!I1376)</f>
        <v/>
      </c>
      <c r="J1376" s="79">
        <f>IF('Ordenes_Odoo'!J1376="","",'Ordenes_Odoo'!J1376)</f>
        <v/>
      </c>
      <c r="K1376" s="81">
        <f>IF('Ordenes_Odoo'!K1376="","",'Ordenes_Odoo'!K1376)</f>
        <v/>
      </c>
      <c r="L1376" s="81">
        <f>IF('Ordenes_Odoo'!L1376="","",'Ordenes_Odoo'!L1376)</f>
        <v/>
      </c>
      <c r="M1376" s="79">
        <f>IF('Ordenes_Odoo'!M1376="","",'Ordenes_Odoo'!M1376)</f>
        <v/>
      </c>
      <c r="N1376" s="79">
        <f>IF('Ordenes_Odoo'!N1376="","",'Ordenes_Odoo'!N1376)</f>
        <v/>
      </c>
      <c r="O1376" s="81">
        <f>IF('Ordenes_Odoo'!O1376="","",'Ordenes_Odoo'!O1376)</f>
        <v/>
      </c>
      <c r="P1376" s="81">
        <f>IF('Ordenes_Odoo'!P1376="","",'Ordenes_Odoo'!P1376)</f>
        <v/>
      </c>
      <c r="Q1376" s="79">
        <f>IF(A1376="","",IFERROR(INDEX(Facturas_Odoo!$B:$B, MATCH(A1376, Facturas_Odoo!$D:$D, 0)), "Sin Factura"))</f>
        <v/>
      </c>
      <c r="R1376" s="80">
        <f>IF(Q1376="Sin Factura","",IFERROR(INDEX(Facturas_Odoo!$A:$A, MATCH(Q1376, Facturas_Odoo!$B:$B, 0)), ""))</f>
        <v/>
      </c>
      <c r="S1376" s="79">
        <f>IF(Q1376="Sin Factura","",IFERROR(_xlfn.XLOOKUP(1, (Facturas_Odoo!$D:$D=A1376) * (Facturas_Odoo!$K:$K=I1376), Facturas_Odoo!$L:$L, ""), ""))</f>
        <v/>
      </c>
      <c r="T1376" s="81">
        <f>IF(Q1376="Sin Factura",0,IFERROR(_xlfn.XLOOKUP(1, (Facturas_Odoo!$D:$D=A1376) * (Facturas_Odoo!$K:$K=I1376), Facturas_Odoo!$M:$M, 0), 0))</f>
        <v/>
      </c>
      <c r="U1376" s="79">
        <f>IF(Q1376="Sin Factura",0,IFERROR(_xlfn.XLOOKUP(1, (Facturas_Odoo!$D:$D=A1376) * (Facturas_Odoo!$K:$K=I1376), Facturas_Odoo!$N:$N, 0), 0))</f>
        <v/>
      </c>
      <c r="V1376" s="79">
        <f>IF(Q1376="Sin Factura",0,IFERROR(_xlfn.XLOOKUP(1, (Facturas_Odoo!$D:$D=A1376) * (Facturas_Odoo!$K:$K=I1376), Facturas_Odoo!$O:$O, 0), 0))</f>
        <v/>
      </c>
      <c r="W1376" s="81">
        <f>IF(Q1376="Sin Factura",0,IFERROR(_xlfn.XLOOKUP(1, (Facturas_Odoo!$D:$D=A1376) * (Facturas_Odoo!$K:$K=I1376), Facturas_Odoo!$Q:$Q, 0), 0))</f>
        <v/>
      </c>
      <c r="X1376" s="79">
        <f>IF(OR(Q1376="Sin Factura",Q1376=""),"",IFERROR(INDEX(Pagos_Odoo!$B:$B, MATCH(Q1376, Pagos_Odoo!$I:$I, 0)), "Sin Pago"))</f>
        <v/>
      </c>
      <c r="Y1376" s="79">
        <f>IF(X1376="Sin Pago","",IFERROR(INDEX(Pagos_Odoo!$C:$C, MATCH(X1376, Pagos_Odoo!$B:$B, 0)), ""))</f>
        <v/>
      </c>
      <c r="Z1376" s="80">
        <f>IF(X1376="Sin Pago","",IFERROR(INDEX(Pagos_Odoo!$A:$A, MATCH(X1376, Pagos_Odoo!$B:$B, 0)), ""))</f>
        <v/>
      </c>
      <c r="AA1376" s="79">
        <f>IF(X1376="Sin Pago","",IFERROR(INDEX(Pagos_Odoo!$F:$F, MATCH(X1376, Pagos_Odoo!$B:$B, 0)), ""))</f>
        <v/>
      </c>
      <c r="AB1376" s="81">
        <f>IF(X1376="Sin Pago",0,IFERROR(INDEX(Pagos_Odoo!$E:$E, MATCH(X1376, Pagos_Odoo!$B:$B, 0)), 0))</f>
        <v/>
      </c>
      <c r="AC1376" s="79">
        <f>IF(X1376="Sin Pago","",IFERROR(INDEX(Pagos_Odoo!$G:$G, MATCH(X1376, Pagos_Odoo!$B:$B, 0)), ""))</f>
        <v/>
      </c>
      <c r="AD1376" s="82" t="n">
        <v>0</v>
      </c>
      <c r="AE1376" s="82" t="n"/>
      <c r="AF1376" s="82" t="n"/>
      <c r="AG1376" s="82">
        <f>IF(AN1376="","",AD1376+AE1376+AF1376)</f>
        <v/>
      </c>
      <c r="AH1376" s="81">
        <f>IF(AN1376="","",P1376*(1-AG1376))</f>
        <v/>
      </c>
      <c r="AI1376" s="81">
        <f>IF(AN1376="","",IF(Q1376="Sin Factura",0,IFERROR(INDEX(Facturas_Odoo!$H:$H, MATCH(Q1376, Facturas_Odoo!$B:$B, 0)), 0)*(1-AG1376)))</f>
        <v/>
      </c>
      <c r="AJ1376" s="81">
        <f>IF(AN1376="","",_xlfn.LET(idVenta, AN1376&amp;"",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76" s="81">
        <f>IF(AN1376="","",AH1376-AJ1376)</f>
        <v/>
      </c>
      <c r="AL1376" s="81">
        <f>IF(AN1376="","",IF(Q1376="Sin Factura","",AI1376-AJ1376))</f>
        <v/>
      </c>
      <c r="AM1376" s="81">
        <f>IF(AN1376="","",IF(Q1376="Sin Factura",0,P1376-IFERROR(INDEX(Facturas_Odoo!$H:$H, MATCH(Q1376, Facturas_Odoo!$B:$B, 0)), 0)))</f>
        <v/>
      </c>
      <c r="AN1376" s="79">
        <f>IF(AND(A1376="", J1376=""), "", IF(A1376&lt;&gt;"", VALUE(MID(A1376,2,LEN(A1376))), AN1375))</f>
        <v/>
      </c>
      <c r="AO1376" s="79">
        <f>IF(AN1376="","",IF(AD1376=0,"OK",_xlfn.LET(monedaPago, IF(AA1376="","USD",AA1376), limitePermitido, IFERROR(VLOOKUP(monedaPago, Configuración!$A$2:$B$3, 2, FALSE), 0.15), IF(AD1376&gt;limitePermitido, "ALERTA: EXCESO (" &amp; TEXT(limitePermitido, "0%") &amp; " máx)", "OK"))))</f>
        <v/>
      </c>
      <c r="AP1376" s="79">
        <f>IF(AN1376="","",IF(AE1376=0,"OK",_xlfn.LET(fechaPago, Z1376, fechaFactura, R1376, diasCredito, IF(E1376="Pago inmediato", 0, IFERROR(VALUE(MID(E1376, 1, SEARCH(" ", E1376)-1)),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76" s="79">
        <f>IF(AN1376="","",IF(AND(N1376&gt;0, AG1376&gt;0), IF(Configuración!$K$2="NO", "ALERTA: DESCUENTO DOBLE NO PERMITIDO", "OK"), "OK"))</f>
        <v/>
      </c>
      <c r="AR1376" s="79">
        <f>IF(AN1376="","",IF(OR(AO1376&lt;&gt;"OK", AP1376&lt;&gt;"OK", AQ1376&lt;&gt;"OK"), "⚠️ REVISAR", "OK"))</f>
        <v/>
      </c>
    </row>
    <row r="1377">
      <c r="A1377" s="79">
        <f>IF('Ordenes_Odoo'!A1377="","",'Ordenes_Odoo'!A1377)</f>
        <v/>
      </c>
      <c r="B1377" s="80">
        <f>IF('Ordenes_Odoo'!B1377="","",'Ordenes_Odoo'!B1377)</f>
        <v/>
      </c>
      <c r="C1377" s="79">
        <f>IF('Ordenes_Odoo'!C1377="","",'Ordenes_Odoo'!C1377)</f>
        <v/>
      </c>
      <c r="D1377" s="79">
        <f>IF('Ordenes_Odoo'!D1377="","",'Ordenes_Odoo'!D1377)</f>
        <v/>
      </c>
      <c r="E1377" s="79">
        <f>IF('Ordenes_Odoo'!E1377="","",'Ordenes_Odoo'!E1377)</f>
        <v/>
      </c>
      <c r="F1377" s="79">
        <f>IF('Ordenes_Odoo'!F1377="","",'Ordenes_Odoo'!F1377)</f>
        <v/>
      </c>
      <c r="G1377" s="79">
        <f>IF('Ordenes_Odoo'!G1377="","",'Ordenes_Odoo'!G1377)</f>
        <v/>
      </c>
      <c r="H1377" s="79">
        <f>IF('Ordenes_Odoo'!H1377="","",'Ordenes_Odoo'!H1377)</f>
        <v/>
      </c>
      <c r="I1377" s="79">
        <f>IF('Ordenes_Odoo'!I1377="","",'Ordenes_Odoo'!I1377)</f>
        <v/>
      </c>
      <c r="J1377" s="79">
        <f>IF('Ordenes_Odoo'!J1377="","",'Ordenes_Odoo'!J1377)</f>
        <v/>
      </c>
      <c r="K1377" s="81">
        <f>IF('Ordenes_Odoo'!K1377="","",'Ordenes_Odoo'!K1377)</f>
        <v/>
      </c>
      <c r="L1377" s="81">
        <f>IF('Ordenes_Odoo'!L1377="","",'Ordenes_Odoo'!L1377)</f>
        <v/>
      </c>
      <c r="M1377" s="79">
        <f>IF('Ordenes_Odoo'!M1377="","",'Ordenes_Odoo'!M1377)</f>
        <v/>
      </c>
      <c r="N1377" s="79">
        <f>IF('Ordenes_Odoo'!N1377="","",'Ordenes_Odoo'!N1377)</f>
        <v/>
      </c>
      <c r="O1377" s="81">
        <f>IF('Ordenes_Odoo'!O1377="","",'Ordenes_Odoo'!O1377)</f>
        <v/>
      </c>
      <c r="P1377" s="81">
        <f>IF('Ordenes_Odoo'!P1377="","",'Ordenes_Odoo'!P1377)</f>
        <v/>
      </c>
      <c r="Q1377" s="79">
        <f>IF(A1377="","",IFERROR(INDEX(Facturas_Odoo!$B:$B, MATCH(A1377, Facturas_Odoo!$D:$D, 0)), "Sin Factura"))</f>
        <v/>
      </c>
      <c r="R1377" s="80">
        <f>IF(Q1377="Sin Factura","",IFERROR(INDEX(Facturas_Odoo!$A:$A, MATCH(Q1377, Facturas_Odoo!$B:$B, 0)), ""))</f>
        <v/>
      </c>
      <c r="S1377" s="79">
        <f>IF(Q1377="Sin Factura","",IFERROR(_xlfn.XLOOKUP(1, (Facturas_Odoo!$D:$D=A1377) * (Facturas_Odoo!$K:$K=I1377), Facturas_Odoo!$L:$L, ""), ""))</f>
        <v/>
      </c>
      <c r="T1377" s="81">
        <f>IF(Q1377="Sin Factura",0,IFERROR(_xlfn.XLOOKUP(1, (Facturas_Odoo!$D:$D=A1377) * (Facturas_Odoo!$K:$K=I1377), Facturas_Odoo!$M:$M, 0), 0))</f>
        <v/>
      </c>
      <c r="U1377" s="79">
        <f>IF(Q1377="Sin Factura",0,IFERROR(_xlfn.XLOOKUP(1, (Facturas_Odoo!$D:$D=A1377) * (Facturas_Odoo!$K:$K=I1377), Facturas_Odoo!$N:$N, 0), 0))</f>
        <v/>
      </c>
      <c r="V1377" s="79">
        <f>IF(Q1377="Sin Factura",0,IFERROR(_xlfn.XLOOKUP(1, (Facturas_Odoo!$D:$D=A1377) * (Facturas_Odoo!$K:$K=I1377), Facturas_Odoo!$O:$O, 0), 0))</f>
        <v/>
      </c>
      <c r="W1377" s="81">
        <f>IF(Q1377="Sin Factura",0,IFERROR(_xlfn.XLOOKUP(1, (Facturas_Odoo!$D:$D=A1377) * (Facturas_Odoo!$K:$K=I1377), Facturas_Odoo!$Q:$Q, 0), 0))</f>
        <v/>
      </c>
      <c r="X1377" s="79">
        <f>IF(OR(Q1377="Sin Factura",Q1377=""),"",IFERROR(INDEX(Pagos_Odoo!$B:$B, MATCH(Q1377, Pagos_Odoo!$I:$I, 0)), "Sin Pago"))</f>
        <v/>
      </c>
      <c r="Y1377" s="79">
        <f>IF(X1377="Sin Pago","",IFERROR(INDEX(Pagos_Odoo!$C:$C, MATCH(X1377, Pagos_Odoo!$B:$B, 0)), ""))</f>
        <v/>
      </c>
      <c r="Z1377" s="80">
        <f>IF(X1377="Sin Pago","",IFERROR(INDEX(Pagos_Odoo!$A:$A, MATCH(X1377, Pagos_Odoo!$B:$B, 0)), ""))</f>
        <v/>
      </c>
      <c r="AA1377" s="79">
        <f>IF(X1377="Sin Pago","",IFERROR(INDEX(Pagos_Odoo!$F:$F, MATCH(X1377, Pagos_Odoo!$B:$B, 0)), ""))</f>
        <v/>
      </c>
      <c r="AB1377" s="81">
        <f>IF(X1377="Sin Pago",0,IFERROR(INDEX(Pagos_Odoo!$E:$E, MATCH(X1377, Pagos_Odoo!$B:$B, 0)), 0))</f>
        <v/>
      </c>
      <c r="AC1377" s="79">
        <f>IF(X1377="Sin Pago","",IFERROR(INDEX(Pagos_Odoo!$G:$G, MATCH(X1377, Pagos_Odoo!$B:$B, 0)), ""))</f>
        <v/>
      </c>
      <c r="AD1377" s="82" t="n">
        <v>0</v>
      </c>
      <c r="AE1377" s="82" t="n"/>
      <c r="AF1377" s="82" t="n"/>
      <c r="AG1377" s="82">
        <f>IF(AN1377="","",AD1377+AE1377+AF1377)</f>
        <v/>
      </c>
      <c r="AH1377" s="81">
        <f>IF(AN1377="","",P1377*(1-AG1377))</f>
        <v/>
      </c>
      <c r="AI1377" s="81">
        <f>IF(AN1377="","",IF(Q1377="Sin Factura",0,IFERROR(INDEX(Facturas_Odoo!$H:$H, MATCH(Q1377, Facturas_Odoo!$B:$B, 0)), 0)*(1-AG1377)))</f>
        <v/>
      </c>
      <c r="AJ1377" s="81">
        <f>IF(AN1377="","",_xlfn.LET(idVenta, AN1377&amp;"",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77" s="81">
        <f>IF(AN1377="","",AH1377-AJ1377)</f>
        <v/>
      </c>
      <c r="AL1377" s="81">
        <f>IF(AN1377="","",IF(Q1377="Sin Factura","",AI1377-AJ1377))</f>
        <v/>
      </c>
      <c r="AM1377" s="81">
        <f>IF(AN1377="","",IF(Q1377="Sin Factura",0,P1377-IFERROR(INDEX(Facturas_Odoo!$H:$H, MATCH(Q1377, Facturas_Odoo!$B:$B, 0)), 0)))</f>
        <v/>
      </c>
      <c r="AN1377" s="79">
        <f>IF(AND(A1377="", J1377=""), "", IF(A1377&lt;&gt;"", VALUE(MID(A1377,2,LEN(A1377))), AN1376))</f>
        <v/>
      </c>
      <c r="AO1377" s="79">
        <f>IF(AN1377="","",IF(AD1377=0,"OK",_xlfn.LET(monedaPago, IF(AA1377="","USD",AA1377), limitePermitido, IFERROR(VLOOKUP(monedaPago, Configuración!$A$2:$B$3, 2, FALSE), 0.15), IF(AD1377&gt;limitePermitido, "ALERTA: EXCESO (" &amp; TEXT(limitePermitido, "0%") &amp; " máx)", "OK"))))</f>
        <v/>
      </c>
      <c r="AP1377" s="79">
        <f>IF(AN1377="","",IF(AE1377=0,"OK",_xlfn.LET(fechaPago, Z1377, fechaFactura, R1377, diasCredito, IF(E1377="Pago inmediato", 0, IFERROR(VALUE(MID(E1377, 1, SEARCH(" ", E1377)-1)),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77" s="79">
        <f>IF(AN1377="","",IF(AND(N1377&gt;0, AG1377&gt;0), IF(Configuración!$K$2="NO", "ALERTA: DESCUENTO DOBLE NO PERMITIDO", "OK"), "OK"))</f>
        <v/>
      </c>
      <c r="AR1377" s="79">
        <f>IF(AN1377="","",IF(OR(AO1377&lt;&gt;"OK", AP1377&lt;&gt;"OK", AQ1377&lt;&gt;"OK"), "⚠️ REVISAR", "OK"))</f>
        <v/>
      </c>
    </row>
    <row r="1378">
      <c r="A1378" s="79">
        <f>IF('Ordenes_Odoo'!A1378="","",'Ordenes_Odoo'!A1378)</f>
        <v/>
      </c>
      <c r="B1378" s="80">
        <f>IF('Ordenes_Odoo'!B1378="","",'Ordenes_Odoo'!B1378)</f>
        <v/>
      </c>
      <c r="C1378" s="79">
        <f>IF('Ordenes_Odoo'!C1378="","",'Ordenes_Odoo'!C1378)</f>
        <v/>
      </c>
      <c r="D1378" s="79">
        <f>IF('Ordenes_Odoo'!D1378="","",'Ordenes_Odoo'!D1378)</f>
        <v/>
      </c>
      <c r="E1378" s="79">
        <f>IF('Ordenes_Odoo'!E1378="","",'Ordenes_Odoo'!E1378)</f>
        <v/>
      </c>
      <c r="F1378" s="79">
        <f>IF('Ordenes_Odoo'!F1378="","",'Ordenes_Odoo'!F1378)</f>
        <v/>
      </c>
      <c r="G1378" s="79">
        <f>IF('Ordenes_Odoo'!G1378="","",'Ordenes_Odoo'!G1378)</f>
        <v/>
      </c>
      <c r="H1378" s="79">
        <f>IF('Ordenes_Odoo'!H1378="","",'Ordenes_Odoo'!H1378)</f>
        <v/>
      </c>
      <c r="I1378" s="79">
        <f>IF('Ordenes_Odoo'!I1378="","",'Ordenes_Odoo'!I1378)</f>
        <v/>
      </c>
      <c r="J1378" s="79">
        <f>IF('Ordenes_Odoo'!J1378="","",'Ordenes_Odoo'!J1378)</f>
        <v/>
      </c>
      <c r="K1378" s="81">
        <f>IF('Ordenes_Odoo'!K1378="","",'Ordenes_Odoo'!K1378)</f>
        <v/>
      </c>
      <c r="L1378" s="81">
        <f>IF('Ordenes_Odoo'!L1378="","",'Ordenes_Odoo'!L1378)</f>
        <v/>
      </c>
      <c r="M1378" s="79">
        <f>IF('Ordenes_Odoo'!M1378="","",'Ordenes_Odoo'!M1378)</f>
        <v/>
      </c>
      <c r="N1378" s="79">
        <f>IF('Ordenes_Odoo'!N1378="","",'Ordenes_Odoo'!N1378)</f>
        <v/>
      </c>
      <c r="O1378" s="81">
        <f>IF('Ordenes_Odoo'!O1378="","",'Ordenes_Odoo'!O1378)</f>
        <v/>
      </c>
      <c r="P1378" s="81">
        <f>IF('Ordenes_Odoo'!P1378="","",'Ordenes_Odoo'!P1378)</f>
        <v/>
      </c>
      <c r="Q1378" s="79">
        <f>IF(A1378="","",IFERROR(INDEX(Facturas_Odoo!$B:$B, MATCH(A1378, Facturas_Odoo!$D:$D, 0)), "Sin Factura"))</f>
        <v/>
      </c>
      <c r="R1378" s="80">
        <f>IF(Q1378="Sin Factura","",IFERROR(INDEX(Facturas_Odoo!$A:$A, MATCH(Q1378, Facturas_Odoo!$B:$B, 0)), ""))</f>
        <v/>
      </c>
      <c r="S1378" s="79">
        <f>IF(Q1378="Sin Factura","",IFERROR(_xlfn.XLOOKUP(1, (Facturas_Odoo!$D:$D=A1378) * (Facturas_Odoo!$K:$K=I1378), Facturas_Odoo!$L:$L, ""), ""))</f>
        <v/>
      </c>
      <c r="T1378" s="81">
        <f>IF(Q1378="Sin Factura",0,IFERROR(_xlfn.XLOOKUP(1, (Facturas_Odoo!$D:$D=A1378) * (Facturas_Odoo!$K:$K=I1378), Facturas_Odoo!$M:$M, 0), 0))</f>
        <v/>
      </c>
      <c r="U1378" s="79">
        <f>IF(Q1378="Sin Factura",0,IFERROR(_xlfn.XLOOKUP(1, (Facturas_Odoo!$D:$D=A1378) * (Facturas_Odoo!$K:$K=I1378), Facturas_Odoo!$N:$N, 0), 0))</f>
        <v/>
      </c>
      <c r="V1378" s="79">
        <f>IF(Q1378="Sin Factura",0,IFERROR(_xlfn.XLOOKUP(1, (Facturas_Odoo!$D:$D=A1378) * (Facturas_Odoo!$K:$K=I1378), Facturas_Odoo!$O:$O, 0), 0))</f>
        <v/>
      </c>
      <c r="W1378" s="81">
        <f>IF(Q1378="Sin Factura",0,IFERROR(_xlfn.XLOOKUP(1, (Facturas_Odoo!$D:$D=A1378) * (Facturas_Odoo!$K:$K=I1378), Facturas_Odoo!$Q:$Q, 0), 0))</f>
        <v/>
      </c>
      <c r="X1378" s="79">
        <f>IF(OR(Q1378="Sin Factura",Q1378=""),"",IFERROR(INDEX(Pagos_Odoo!$B:$B, MATCH(Q1378, Pagos_Odoo!$I:$I, 0)), "Sin Pago"))</f>
        <v/>
      </c>
      <c r="Y1378" s="79">
        <f>IF(X1378="Sin Pago","",IFERROR(INDEX(Pagos_Odoo!$C:$C, MATCH(X1378, Pagos_Odoo!$B:$B, 0)), ""))</f>
        <v/>
      </c>
      <c r="Z1378" s="80">
        <f>IF(X1378="Sin Pago","",IFERROR(INDEX(Pagos_Odoo!$A:$A, MATCH(X1378, Pagos_Odoo!$B:$B, 0)), ""))</f>
        <v/>
      </c>
      <c r="AA1378" s="79">
        <f>IF(X1378="Sin Pago","",IFERROR(INDEX(Pagos_Odoo!$F:$F, MATCH(X1378, Pagos_Odoo!$B:$B, 0)), ""))</f>
        <v/>
      </c>
      <c r="AB1378" s="81">
        <f>IF(X1378="Sin Pago",0,IFERROR(INDEX(Pagos_Odoo!$E:$E, MATCH(X1378, Pagos_Odoo!$B:$B, 0)), 0))</f>
        <v/>
      </c>
      <c r="AC1378" s="79">
        <f>IF(X1378="Sin Pago","",IFERROR(INDEX(Pagos_Odoo!$G:$G, MATCH(X1378, Pagos_Odoo!$B:$B, 0)), ""))</f>
        <v/>
      </c>
      <c r="AD1378" s="82" t="n">
        <v>0</v>
      </c>
      <c r="AE1378" s="82" t="n"/>
      <c r="AF1378" s="82" t="n"/>
      <c r="AG1378" s="82">
        <f>IF(AN1378="","",AD1378+AE1378+AF1378)</f>
        <v/>
      </c>
      <c r="AH1378" s="81">
        <f>IF(AN1378="","",P1378*(1-AG1378))</f>
        <v/>
      </c>
      <c r="AI1378" s="81">
        <f>IF(AN1378="","",IF(Q1378="Sin Factura",0,IFERROR(INDEX(Facturas_Odoo!$H:$H, MATCH(Q1378, Facturas_Odoo!$B:$B, 0)), 0)*(1-AG1378)))</f>
        <v/>
      </c>
      <c r="AJ1378" s="81">
        <f>IF(AN1378="","",_xlfn.LET(idVenta, AN1378&amp;"",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78" s="81">
        <f>IF(AN1378="","",AH1378-AJ1378)</f>
        <v/>
      </c>
      <c r="AL1378" s="81">
        <f>IF(AN1378="","",IF(Q1378="Sin Factura","",AI1378-AJ1378))</f>
        <v/>
      </c>
      <c r="AM1378" s="81">
        <f>IF(AN1378="","",IF(Q1378="Sin Factura",0,P1378-IFERROR(INDEX(Facturas_Odoo!$H:$H, MATCH(Q1378, Facturas_Odoo!$B:$B, 0)), 0)))</f>
        <v/>
      </c>
      <c r="AN1378" s="79">
        <f>IF(AND(A1378="", J1378=""), "", IF(A1378&lt;&gt;"", VALUE(MID(A1378,2,LEN(A1378))), AN1377))</f>
        <v/>
      </c>
      <c r="AO1378" s="79">
        <f>IF(AN1378="","",IF(AD1378=0,"OK",_xlfn.LET(monedaPago, IF(AA1378="","USD",AA1378), limitePermitido, IFERROR(VLOOKUP(monedaPago, Configuración!$A$2:$B$3, 2, FALSE), 0.15), IF(AD1378&gt;limitePermitido, "ALERTA: EXCESO (" &amp; TEXT(limitePermitido, "0%") &amp; " máx)", "OK"))))</f>
        <v/>
      </c>
      <c r="AP1378" s="79">
        <f>IF(AN1378="","",IF(AE1378=0,"OK",_xlfn.LET(fechaPago, Z1378, fechaFactura, R1378, diasCredito, IF(E1378="Pago inmediato", 0, IFERROR(VALUE(MID(E1378, 1, SEARCH(" ", E1378)-1)),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78" s="79">
        <f>IF(AN1378="","",IF(AND(N1378&gt;0, AG1378&gt;0), IF(Configuración!$K$2="NO", "ALERTA: DESCUENTO DOBLE NO PERMITIDO", "OK"), "OK"))</f>
        <v/>
      </c>
      <c r="AR1378" s="79">
        <f>IF(AN1378="","",IF(OR(AO1378&lt;&gt;"OK", AP1378&lt;&gt;"OK", AQ1378&lt;&gt;"OK"), "⚠️ REVISAR", "OK"))</f>
        <v/>
      </c>
    </row>
    <row r="1379">
      <c r="A1379" s="79">
        <f>IF('Ordenes_Odoo'!A1379="","",'Ordenes_Odoo'!A1379)</f>
        <v/>
      </c>
      <c r="B1379" s="80">
        <f>IF('Ordenes_Odoo'!B1379="","",'Ordenes_Odoo'!B1379)</f>
        <v/>
      </c>
      <c r="C1379" s="79">
        <f>IF('Ordenes_Odoo'!C1379="","",'Ordenes_Odoo'!C1379)</f>
        <v/>
      </c>
      <c r="D1379" s="79">
        <f>IF('Ordenes_Odoo'!D1379="","",'Ordenes_Odoo'!D1379)</f>
        <v/>
      </c>
      <c r="E1379" s="79">
        <f>IF('Ordenes_Odoo'!E1379="","",'Ordenes_Odoo'!E1379)</f>
        <v/>
      </c>
      <c r="F1379" s="79">
        <f>IF('Ordenes_Odoo'!F1379="","",'Ordenes_Odoo'!F1379)</f>
        <v/>
      </c>
      <c r="G1379" s="79">
        <f>IF('Ordenes_Odoo'!G1379="","",'Ordenes_Odoo'!G1379)</f>
        <v/>
      </c>
      <c r="H1379" s="79">
        <f>IF('Ordenes_Odoo'!H1379="","",'Ordenes_Odoo'!H1379)</f>
        <v/>
      </c>
      <c r="I1379" s="79">
        <f>IF('Ordenes_Odoo'!I1379="","",'Ordenes_Odoo'!I1379)</f>
        <v/>
      </c>
      <c r="J1379" s="79">
        <f>IF('Ordenes_Odoo'!J1379="","",'Ordenes_Odoo'!J1379)</f>
        <v/>
      </c>
      <c r="K1379" s="81">
        <f>IF('Ordenes_Odoo'!K1379="","",'Ordenes_Odoo'!K1379)</f>
        <v/>
      </c>
      <c r="L1379" s="81">
        <f>IF('Ordenes_Odoo'!L1379="","",'Ordenes_Odoo'!L1379)</f>
        <v/>
      </c>
      <c r="M1379" s="79">
        <f>IF('Ordenes_Odoo'!M1379="","",'Ordenes_Odoo'!M1379)</f>
        <v/>
      </c>
      <c r="N1379" s="79">
        <f>IF('Ordenes_Odoo'!N1379="","",'Ordenes_Odoo'!N1379)</f>
        <v/>
      </c>
      <c r="O1379" s="81">
        <f>IF('Ordenes_Odoo'!O1379="","",'Ordenes_Odoo'!O1379)</f>
        <v/>
      </c>
      <c r="P1379" s="81">
        <f>IF('Ordenes_Odoo'!P1379="","",'Ordenes_Odoo'!P1379)</f>
        <v/>
      </c>
      <c r="Q1379" s="79">
        <f>IF(A1379="","",IFERROR(INDEX(Facturas_Odoo!$B:$B, MATCH(A1379, Facturas_Odoo!$D:$D, 0)), "Sin Factura"))</f>
        <v/>
      </c>
      <c r="R1379" s="80">
        <f>IF(Q1379="Sin Factura","",IFERROR(INDEX(Facturas_Odoo!$A:$A, MATCH(Q1379, Facturas_Odoo!$B:$B, 0)), ""))</f>
        <v/>
      </c>
      <c r="S1379" s="79">
        <f>IF(Q1379="Sin Factura","",IFERROR(_xlfn.XLOOKUP(1, (Facturas_Odoo!$D:$D=A1379) * (Facturas_Odoo!$K:$K=I1379), Facturas_Odoo!$L:$L, ""), ""))</f>
        <v/>
      </c>
      <c r="T1379" s="81">
        <f>IF(Q1379="Sin Factura",0,IFERROR(_xlfn.XLOOKUP(1, (Facturas_Odoo!$D:$D=A1379) * (Facturas_Odoo!$K:$K=I1379), Facturas_Odoo!$M:$M, 0), 0))</f>
        <v/>
      </c>
      <c r="U1379" s="79">
        <f>IF(Q1379="Sin Factura",0,IFERROR(_xlfn.XLOOKUP(1, (Facturas_Odoo!$D:$D=A1379) * (Facturas_Odoo!$K:$K=I1379), Facturas_Odoo!$N:$N, 0), 0))</f>
        <v/>
      </c>
      <c r="V1379" s="79">
        <f>IF(Q1379="Sin Factura",0,IFERROR(_xlfn.XLOOKUP(1, (Facturas_Odoo!$D:$D=A1379) * (Facturas_Odoo!$K:$K=I1379), Facturas_Odoo!$O:$O, 0), 0))</f>
        <v/>
      </c>
      <c r="W1379" s="81">
        <f>IF(Q1379="Sin Factura",0,IFERROR(_xlfn.XLOOKUP(1, (Facturas_Odoo!$D:$D=A1379) * (Facturas_Odoo!$K:$K=I1379), Facturas_Odoo!$Q:$Q, 0), 0))</f>
        <v/>
      </c>
      <c r="X1379" s="79">
        <f>IF(OR(Q1379="Sin Factura",Q1379=""),"",IFERROR(INDEX(Pagos_Odoo!$B:$B, MATCH(Q1379, Pagos_Odoo!$I:$I, 0)), "Sin Pago"))</f>
        <v/>
      </c>
      <c r="Y1379" s="79">
        <f>IF(X1379="Sin Pago","",IFERROR(INDEX(Pagos_Odoo!$C:$C, MATCH(X1379, Pagos_Odoo!$B:$B, 0)), ""))</f>
        <v/>
      </c>
      <c r="Z1379" s="80">
        <f>IF(X1379="Sin Pago","",IFERROR(INDEX(Pagos_Odoo!$A:$A, MATCH(X1379, Pagos_Odoo!$B:$B, 0)), ""))</f>
        <v/>
      </c>
      <c r="AA1379" s="79">
        <f>IF(X1379="Sin Pago","",IFERROR(INDEX(Pagos_Odoo!$F:$F, MATCH(X1379, Pagos_Odoo!$B:$B, 0)), ""))</f>
        <v/>
      </c>
      <c r="AB1379" s="81">
        <f>IF(X1379="Sin Pago",0,IFERROR(INDEX(Pagos_Odoo!$E:$E, MATCH(X1379, Pagos_Odoo!$B:$B, 0)), 0))</f>
        <v/>
      </c>
      <c r="AC1379" s="79">
        <f>IF(X1379="Sin Pago","",IFERROR(INDEX(Pagos_Odoo!$G:$G, MATCH(X1379, Pagos_Odoo!$B:$B, 0)), ""))</f>
        <v/>
      </c>
      <c r="AD1379" s="82" t="n">
        <v>0</v>
      </c>
      <c r="AE1379" s="82" t="n"/>
      <c r="AF1379" s="82" t="n"/>
      <c r="AG1379" s="82">
        <f>IF(AN1379="","",AD1379+AE1379+AF1379)</f>
        <v/>
      </c>
      <c r="AH1379" s="81">
        <f>IF(AN1379="","",P1379*(1-AG1379))</f>
        <v/>
      </c>
      <c r="AI1379" s="81">
        <f>IF(AN1379="","",IF(Q1379="Sin Factura",0,IFERROR(INDEX(Facturas_Odoo!$H:$H, MATCH(Q1379, Facturas_Odoo!$B:$B, 0)), 0)*(1-AG1379)))</f>
        <v/>
      </c>
      <c r="AJ1379" s="81">
        <f>IF(AN1379="","",_xlfn.LET(idVenta, AN1379&amp;"",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79" s="81">
        <f>IF(AN1379="","",AH1379-AJ1379)</f>
        <v/>
      </c>
      <c r="AL1379" s="81">
        <f>IF(AN1379="","",IF(Q1379="Sin Factura","",AI1379-AJ1379))</f>
        <v/>
      </c>
      <c r="AM1379" s="81">
        <f>IF(AN1379="","",IF(Q1379="Sin Factura",0,P1379-IFERROR(INDEX(Facturas_Odoo!$H:$H, MATCH(Q1379, Facturas_Odoo!$B:$B, 0)), 0)))</f>
        <v/>
      </c>
      <c r="AN1379" s="79">
        <f>IF(AND(A1379="", J1379=""), "", IF(A1379&lt;&gt;"", VALUE(MID(A1379,2,LEN(A1379))), AN1378))</f>
        <v/>
      </c>
      <c r="AO1379" s="79">
        <f>IF(AN1379="","",IF(AD1379=0,"OK",_xlfn.LET(monedaPago, IF(AA1379="","USD",AA1379), limitePermitido, IFERROR(VLOOKUP(monedaPago, Configuración!$A$2:$B$3, 2, FALSE), 0.15), IF(AD1379&gt;limitePermitido, "ALERTA: EXCESO (" &amp; TEXT(limitePermitido, "0%") &amp; " máx)", "OK"))))</f>
        <v/>
      </c>
      <c r="AP1379" s="79">
        <f>IF(AN1379="","",IF(AE1379=0,"OK",_xlfn.LET(fechaPago, Z1379, fechaFactura, R1379, diasCredito, IF(E1379="Pago inmediato", 0, IFERROR(VALUE(MID(E1379, 1, SEARCH(" ", E1379)-1)),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79" s="79">
        <f>IF(AN1379="","",IF(AND(N1379&gt;0, AG1379&gt;0), IF(Configuración!$K$2="NO", "ALERTA: DESCUENTO DOBLE NO PERMITIDO", "OK"), "OK"))</f>
        <v/>
      </c>
      <c r="AR1379" s="79">
        <f>IF(AN1379="","",IF(OR(AO1379&lt;&gt;"OK", AP1379&lt;&gt;"OK", AQ1379&lt;&gt;"OK"), "⚠️ REVISAR", "OK"))</f>
        <v/>
      </c>
    </row>
    <row r="1380">
      <c r="A1380" s="79">
        <f>IF('Ordenes_Odoo'!A1380="","",'Ordenes_Odoo'!A1380)</f>
        <v/>
      </c>
      <c r="B1380" s="80">
        <f>IF('Ordenes_Odoo'!B1380="","",'Ordenes_Odoo'!B1380)</f>
        <v/>
      </c>
      <c r="C1380" s="79">
        <f>IF('Ordenes_Odoo'!C1380="","",'Ordenes_Odoo'!C1380)</f>
        <v/>
      </c>
      <c r="D1380" s="79">
        <f>IF('Ordenes_Odoo'!D1380="","",'Ordenes_Odoo'!D1380)</f>
        <v/>
      </c>
      <c r="E1380" s="79">
        <f>IF('Ordenes_Odoo'!E1380="","",'Ordenes_Odoo'!E1380)</f>
        <v/>
      </c>
      <c r="F1380" s="79">
        <f>IF('Ordenes_Odoo'!F1380="","",'Ordenes_Odoo'!F1380)</f>
        <v/>
      </c>
      <c r="G1380" s="79">
        <f>IF('Ordenes_Odoo'!G1380="","",'Ordenes_Odoo'!G1380)</f>
        <v/>
      </c>
      <c r="H1380" s="79">
        <f>IF('Ordenes_Odoo'!H1380="","",'Ordenes_Odoo'!H1380)</f>
        <v/>
      </c>
      <c r="I1380" s="79">
        <f>IF('Ordenes_Odoo'!I1380="","",'Ordenes_Odoo'!I1380)</f>
        <v/>
      </c>
      <c r="J1380" s="79">
        <f>IF('Ordenes_Odoo'!J1380="","",'Ordenes_Odoo'!J1380)</f>
        <v/>
      </c>
      <c r="K1380" s="81">
        <f>IF('Ordenes_Odoo'!K1380="","",'Ordenes_Odoo'!K1380)</f>
        <v/>
      </c>
      <c r="L1380" s="81">
        <f>IF('Ordenes_Odoo'!L1380="","",'Ordenes_Odoo'!L1380)</f>
        <v/>
      </c>
      <c r="M1380" s="79">
        <f>IF('Ordenes_Odoo'!M1380="","",'Ordenes_Odoo'!M1380)</f>
        <v/>
      </c>
      <c r="N1380" s="79">
        <f>IF('Ordenes_Odoo'!N1380="","",'Ordenes_Odoo'!N1380)</f>
        <v/>
      </c>
      <c r="O1380" s="81">
        <f>IF('Ordenes_Odoo'!O1380="","",'Ordenes_Odoo'!O1380)</f>
        <v/>
      </c>
      <c r="P1380" s="81">
        <f>IF('Ordenes_Odoo'!P1380="","",'Ordenes_Odoo'!P1380)</f>
        <v/>
      </c>
      <c r="Q1380" s="79">
        <f>IF(A1380="","",IFERROR(INDEX(Facturas_Odoo!$B:$B, MATCH(A1380, Facturas_Odoo!$D:$D, 0)), "Sin Factura"))</f>
        <v/>
      </c>
      <c r="R1380" s="80">
        <f>IF(Q1380="Sin Factura","",IFERROR(INDEX(Facturas_Odoo!$A:$A, MATCH(Q1380, Facturas_Odoo!$B:$B, 0)), ""))</f>
        <v/>
      </c>
      <c r="S1380" s="79">
        <f>IF(Q1380="Sin Factura","",IFERROR(_xlfn.XLOOKUP(1, (Facturas_Odoo!$D:$D=A1380) * (Facturas_Odoo!$K:$K=I1380), Facturas_Odoo!$L:$L, ""), ""))</f>
        <v/>
      </c>
      <c r="T1380" s="81">
        <f>IF(Q1380="Sin Factura",0,IFERROR(_xlfn.XLOOKUP(1, (Facturas_Odoo!$D:$D=A1380) * (Facturas_Odoo!$K:$K=I1380), Facturas_Odoo!$M:$M, 0), 0))</f>
        <v/>
      </c>
      <c r="U1380" s="79">
        <f>IF(Q1380="Sin Factura",0,IFERROR(_xlfn.XLOOKUP(1, (Facturas_Odoo!$D:$D=A1380) * (Facturas_Odoo!$K:$K=I1380), Facturas_Odoo!$N:$N, 0), 0))</f>
        <v/>
      </c>
      <c r="V1380" s="79">
        <f>IF(Q1380="Sin Factura",0,IFERROR(_xlfn.XLOOKUP(1, (Facturas_Odoo!$D:$D=A1380) * (Facturas_Odoo!$K:$K=I1380), Facturas_Odoo!$O:$O, 0), 0))</f>
        <v/>
      </c>
      <c r="W1380" s="81">
        <f>IF(Q1380="Sin Factura",0,IFERROR(_xlfn.XLOOKUP(1, (Facturas_Odoo!$D:$D=A1380) * (Facturas_Odoo!$K:$K=I1380), Facturas_Odoo!$Q:$Q, 0), 0))</f>
        <v/>
      </c>
      <c r="X1380" s="79">
        <f>IF(OR(Q1380="Sin Factura",Q1380=""),"",IFERROR(INDEX(Pagos_Odoo!$B:$B, MATCH(Q1380, Pagos_Odoo!$I:$I, 0)), "Sin Pago"))</f>
        <v/>
      </c>
      <c r="Y1380" s="79">
        <f>IF(X1380="Sin Pago","",IFERROR(INDEX(Pagos_Odoo!$C:$C, MATCH(X1380, Pagos_Odoo!$B:$B, 0)), ""))</f>
        <v/>
      </c>
      <c r="Z1380" s="80">
        <f>IF(X1380="Sin Pago","",IFERROR(INDEX(Pagos_Odoo!$A:$A, MATCH(X1380, Pagos_Odoo!$B:$B, 0)), ""))</f>
        <v/>
      </c>
      <c r="AA1380" s="79">
        <f>IF(X1380="Sin Pago","",IFERROR(INDEX(Pagos_Odoo!$F:$F, MATCH(X1380, Pagos_Odoo!$B:$B, 0)), ""))</f>
        <v/>
      </c>
      <c r="AB1380" s="81">
        <f>IF(X1380="Sin Pago",0,IFERROR(INDEX(Pagos_Odoo!$E:$E, MATCH(X1380, Pagos_Odoo!$B:$B, 0)), 0))</f>
        <v/>
      </c>
      <c r="AC1380" s="79">
        <f>IF(X1380="Sin Pago","",IFERROR(INDEX(Pagos_Odoo!$G:$G, MATCH(X1380, Pagos_Odoo!$B:$B, 0)), ""))</f>
        <v/>
      </c>
      <c r="AD1380" s="82" t="n">
        <v>0</v>
      </c>
      <c r="AE1380" s="82" t="n"/>
      <c r="AF1380" s="82" t="n"/>
      <c r="AG1380" s="82">
        <f>IF(AN1380="","",AD1380+AE1380+AF1380)</f>
        <v/>
      </c>
      <c r="AH1380" s="81">
        <f>IF(AN1380="","",P1380*(1-AG1380))</f>
        <v/>
      </c>
      <c r="AI1380" s="81">
        <f>IF(AN1380="","",IF(Q1380="Sin Factura",0,IFERROR(INDEX(Facturas_Odoo!$H:$H, MATCH(Q1380, Facturas_Odoo!$B:$B, 0)), 0)*(1-AG1380)))</f>
        <v/>
      </c>
      <c r="AJ1380" s="81">
        <f>IF(AN1380="","",_xlfn.LET(idVenta, AN1380&amp;"",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80" s="81">
        <f>IF(AN1380="","",AH1380-AJ1380)</f>
        <v/>
      </c>
      <c r="AL1380" s="81">
        <f>IF(AN1380="","",IF(Q1380="Sin Factura","",AI1380-AJ1380))</f>
        <v/>
      </c>
      <c r="AM1380" s="81">
        <f>IF(AN1380="","",IF(Q1380="Sin Factura",0,P1380-IFERROR(INDEX(Facturas_Odoo!$H:$H, MATCH(Q1380, Facturas_Odoo!$B:$B, 0)), 0)))</f>
        <v/>
      </c>
      <c r="AN1380" s="79">
        <f>IF(AND(A1380="", J1380=""), "", IF(A1380&lt;&gt;"", VALUE(MID(A1380,2,LEN(A1380))), AN1379))</f>
        <v/>
      </c>
      <c r="AO1380" s="79">
        <f>IF(AN1380="","",IF(AD1380=0,"OK",_xlfn.LET(monedaPago, IF(AA1380="","USD",AA1380), limitePermitido, IFERROR(VLOOKUP(monedaPago, Configuración!$A$2:$B$3, 2, FALSE), 0.15), IF(AD1380&gt;limitePermitido, "ALERTA: EXCESO (" &amp; TEXT(limitePermitido, "0%") &amp; " máx)", "OK"))))</f>
        <v/>
      </c>
      <c r="AP1380" s="79">
        <f>IF(AN1380="","",IF(AE1380=0,"OK",_xlfn.LET(fechaPago, Z1380, fechaFactura, R1380, diasCredito, IF(E1380="Pago inmediato", 0, IFERROR(VALUE(MID(E1380, 1, SEARCH(" ", E1380)-1)),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80" s="79">
        <f>IF(AN1380="","",IF(AND(N1380&gt;0, AG1380&gt;0), IF(Configuración!$K$2="NO", "ALERTA: DESCUENTO DOBLE NO PERMITIDO", "OK"), "OK"))</f>
        <v/>
      </c>
      <c r="AR1380" s="79">
        <f>IF(AN1380="","",IF(OR(AO1380&lt;&gt;"OK", AP1380&lt;&gt;"OK", AQ1380&lt;&gt;"OK"), "⚠️ REVISAR", "OK"))</f>
        <v/>
      </c>
    </row>
    <row r="1381">
      <c r="A1381" s="79">
        <f>IF('Ordenes_Odoo'!A1381="","",'Ordenes_Odoo'!A1381)</f>
        <v/>
      </c>
      <c r="B1381" s="80">
        <f>IF('Ordenes_Odoo'!B1381="","",'Ordenes_Odoo'!B1381)</f>
        <v/>
      </c>
      <c r="C1381" s="79">
        <f>IF('Ordenes_Odoo'!C1381="","",'Ordenes_Odoo'!C1381)</f>
        <v/>
      </c>
      <c r="D1381" s="79">
        <f>IF('Ordenes_Odoo'!D1381="","",'Ordenes_Odoo'!D1381)</f>
        <v/>
      </c>
      <c r="E1381" s="79">
        <f>IF('Ordenes_Odoo'!E1381="","",'Ordenes_Odoo'!E1381)</f>
        <v/>
      </c>
      <c r="F1381" s="79">
        <f>IF('Ordenes_Odoo'!F1381="","",'Ordenes_Odoo'!F1381)</f>
        <v/>
      </c>
      <c r="G1381" s="79">
        <f>IF('Ordenes_Odoo'!G1381="","",'Ordenes_Odoo'!G1381)</f>
        <v/>
      </c>
      <c r="H1381" s="79">
        <f>IF('Ordenes_Odoo'!H1381="","",'Ordenes_Odoo'!H1381)</f>
        <v/>
      </c>
      <c r="I1381" s="79">
        <f>IF('Ordenes_Odoo'!I1381="","",'Ordenes_Odoo'!I1381)</f>
        <v/>
      </c>
      <c r="J1381" s="79">
        <f>IF('Ordenes_Odoo'!J1381="","",'Ordenes_Odoo'!J1381)</f>
        <v/>
      </c>
      <c r="K1381" s="81">
        <f>IF('Ordenes_Odoo'!K1381="","",'Ordenes_Odoo'!K1381)</f>
        <v/>
      </c>
      <c r="L1381" s="81">
        <f>IF('Ordenes_Odoo'!L1381="","",'Ordenes_Odoo'!L1381)</f>
        <v/>
      </c>
      <c r="M1381" s="79">
        <f>IF('Ordenes_Odoo'!M1381="","",'Ordenes_Odoo'!M1381)</f>
        <v/>
      </c>
      <c r="N1381" s="79">
        <f>IF('Ordenes_Odoo'!N1381="","",'Ordenes_Odoo'!N1381)</f>
        <v/>
      </c>
      <c r="O1381" s="81">
        <f>IF('Ordenes_Odoo'!O1381="","",'Ordenes_Odoo'!O1381)</f>
        <v/>
      </c>
      <c r="P1381" s="81">
        <f>IF('Ordenes_Odoo'!P1381="","",'Ordenes_Odoo'!P1381)</f>
        <v/>
      </c>
      <c r="Q1381" s="79">
        <f>IF(A1381="","",IFERROR(INDEX(Facturas_Odoo!$B:$B, MATCH(A1381, Facturas_Odoo!$D:$D, 0)), "Sin Factura"))</f>
        <v/>
      </c>
      <c r="R1381" s="80">
        <f>IF(Q1381="Sin Factura","",IFERROR(INDEX(Facturas_Odoo!$A:$A, MATCH(Q1381, Facturas_Odoo!$B:$B, 0)), ""))</f>
        <v/>
      </c>
      <c r="S1381" s="79">
        <f>IF(Q1381="Sin Factura","",IFERROR(_xlfn.XLOOKUP(1, (Facturas_Odoo!$D:$D=A1381) * (Facturas_Odoo!$K:$K=I1381), Facturas_Odoo!$L:$L, ""), ""))</f>
        <v/>
      </c>
      <c r="T1381" s="81">
        <f>IF(Q1381="Sin Factura",0,IFERROR(_xlfn.XLOOKUP(1, (Facturas_Odoo!$D:$D=A1381) * (Facturas_Odoo!$K:$K=I1381), Facturas_Odoo!$M:$M, 0), 0))</f>
        <v/>
      </c>
      <c r="U1381" s="79">
        <f>IF(Q1381="Sin Factura",0,IFERROR(_xlfn.XLOOKUP(1, (Facturas_Odoo!$D:$D=A1381) * (Facturas_Odoo!$K:$K=I1381), Facturas_Odoo!$N:$N, 0), 0))</f>
        <v/>
      </c>
      <c r="V1381" s="79">
        <f>IF(Q1381="Sin Factura",0,IFERROR(_xlfn.XLOOKUP(1, (Facturas_Odoo!$D:$D=A1381) * (Facturas_Odoo!$K:$K=I1381), Facturas_Odoo!$O:$O, 0), 0))</f>
        <v/>
      </c>
      <c r="W1381" s="81">
        <f>IF(Q1381="Sin Factura",0,IFERROR(_xlfn.XLOOKUP(1, (Facturas_Odoo!$D:$D=A1381) * (Facturas_Odoo!$K:$K=I1381), Facturas_Odoo!$Q:$Q, 0), 0))</f>
        <v/>
      </c>
      <c r="X1381" s="79">
        <f>IF(OR(Q1381="Sin Factura",Q1381=""),"",IFERROR(INDEX(Pagos_Odoo!$B:$B, MATCH(Q1381, Pagos_Odoo!$I:$I, 0)), "Sin Pago"))</f>
        <v/>
      </c>
      <c r="Y1381" s="79">
        <f>IF(X1381="Sin Pago","",IFERROR(INDEX(Pagos_Odoo!$C:$C, MATCH(X1381, Pagos_Odoo!$B:$B, 0)), ""))</f>
        <v/>
      </c>
      <c r="Z1381" s="80">
        <f>IF(X1381="Sin Pago","",IFERROR(INDEX(Pagos_Odoo!$A:$A, MATCH(X1381, Pagos_Odoo!$B:$B, 0)), ""))</f>
        <v/>
      </c>
      <c r="AA1381" s="79">
        <f>IF(X1381="Sin Pago","",IFERROR(INDEX(Pagos_Odoo!$F:$F, MATCH(X1381, Pagos_Odoo!$B:$B, 0)), ""))</f>
        <v/>
      </c>
      <c r="AB1381" s="81">
        <f>IF(X1381="Sin Pago",0,IFERROR(INDEX(Pagos_Odoo!$E:$E, MATCH(X1381, Pagos_Odoo!$B:$B, 0)), 0))</f>
        <v/>
      </c>
      <c r="AC1381" s="79">
        <f>IF(X1381="Sin Pago","",IFERROR(INDEX(Pagos_Odoo!$G:$G, MATCH(X1381, Pagos_Odoo!$B:$B, 0)), ""))</f>
        <v/>
      </c>
      <c r="AD1381" s="82" t="n">
        <v>0</v>
      </c>
      <c r="AE1381" s="82" t="n"/>
      <c r="AF1381" s="82" t="n"/>
      <c r="AG1381" s="82">
        <f>IF(AN1381="","",AD1381+AE1381+AF1381)</f>
        <v/>
      </c>
      <c r="AH1381" s="81">
        <f>IF(AN1381="","",P1381*(1-AG1381))</f>
        <v/>
      </c>
      <c r="AI1381" s="81">
        <f>IF(AN1381="","",IF(Q1381="Sin Factura",0,IFERROR(INDEX(Facturas_Odoo!$H:$H, MATCH(Q1381, Facturas_Odoo!$B:$B, 0)), 0)*(1-AG1381)))</f>
        <v/>
      </c>
      <c r="AJ1381" s="81">
        <f>IF(AN1381="","",_xlfn.LET(idVenta, AN1381&amp;"",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81" s="81">
        <f>IF(AN1381="","",AH1381-AJ1381)</f>
        <v/>
      </c>
      <c r="AL1381" s="81">
        <f>IF(AN1381="","",IF(Q1381="Sin Factura","",AI1381-AJ1381))</f>
        <v/>
      </c>
      <c r="AM1381" s="81">
        <f>IF(AN1381="","",IF(Q1381="Sin Factura",0,P1381-IFERROR(INDEX(Facturas_Odoo!$H:$H, MATCH(Q1381, Facturas_Odoo!$B:$B, 0)), 0)))</f>
        <v/>
      </c>
      <c r="AN1381" s="79">
        <f>IF(AND(A1381="", J1381=""), "", IF(A1381&lt;&gt;"", VALUE(MID(A1381,2,LEN(A1381))), AN1380))</f>
        <v/>
      </c>
      <c r="AO1381" s="79">
        <f>IF(AN1381="","",IF(AD1381=0,"OK",_xlfn.LET(monedaPago, IF(AA1381="","USD",AA1381), limitePermitido, IFERROR(VLOOKUP(monedaPago, Configuración!$A$2:$B$3, 2, FALSE), 0.15), IF(AD1381&gt;limitePermitido, "ALERTA: EXCESO (" &amp; TEXT(limitePermitido, "0%") &amp; " máx)", "OK"))))</f>
        <v/>
      </c>
      <c r="AP1381" s="79">
        <f>IF(AN1381="","",IF(AE1381=0,"OK",_xlfn.LET(fechaPago, Z1381, fechaFactura, R1381, diasCredito, IF(E1381="Pago inmediato", 0, IFERROR(VALUE(MID(E1381, 1, SEARCH(" ", E1381)-1)),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81" s="79">
        <f>IF(AN1381="","",IF(AND(N1381&gt;0, AG1381&gt;0), IF(Configuración!$K$2="NO", "ALERTA: DESCUENTO DOBLE NO PERMITIDO", "OK"), "OK"))</f>
        <v/>
      </c>
      <c r="AR1381" s="79">
        <f>IF(AN1381="","",IF(OR(AO1381&lt;&gt;"OK", AP1381&lt;&gt;"OK", AQ1381&lt;&gt;"OK"), "⚠️ REVISAR", "OK"))</f>
        <v/>
      </c>
    </row>
    <row r="1382">
      <c r="A1382" s="79">
        <f>IF('Ordenes_Odoo'!A1382="","",'Ordenes_Odoo'!A1382)</f>
        <v/>
      </c>
      <c r="B1382" s="80">
        <f>IF('Ordenes_Odoo'!B1382="","",'Ordenes_Odoo'!B1382)</f>
        <v/>
      </c>
      <c r="C1382" s="79">
        <f>IF('Ordenes_Odoo'!C1382="","",'Ordenes_Odoo'!C1382)</f>
        <v/>
      </c>
      <c r="D1382" s="79">
        <f>IF('Ordenes_Odoo'!D1382="","",'Ordenes_Odoo'!D1382)</f>
        <v/>
      </c>
      <c r="E1382" s="79">
        <f>IF('Ordenes_Odoo'!E1382="","",'Ordenes_Odoo'!E1382)</f>
        <v/>
      </c>
      <c r="F1382" s="79">
        <f>IF('Ordenes_Odoo'!F1382="","",'Ordenes_Odoo'!F1382)</f>
        <v/>
      </c>
      <c r="G1382" s="79">
        <f>IF('Ordenes_Odoo'!G1382="","",'Ordenes_Odoo'!G1382)</f>
        <v/>
      </c>
      <c r="H1382" s="79">
        <f>IF('Ordenes_Odoo'!H1382="","",'Ordenes_Odoo'!H1382)</f>
        <v/>
      </c>
      <c r="I1382" s="79">
        <f>IF('Ordenes_Odoo'!I1382="","",'Ordenes_Odoo'!I1382)</f>
        <v/>
      </c>
      <c r="J1382" s="79">
        <f>IF('Ordenes_Odoo'!J1382="","",'Ordenes_Odoo'!J1382)</f>
        <v/>
      </c>
      <c r="K1382" s="81">
        <f>IF('Ordenes_Odoo'!K1382="","",'Ordenes_Odoo'!K1382)</f>
        <v/>
      </c>
      <c r="L1382" s="81">
        <f>IF('Ordenes_Odoo'!L1382="","",'Ordenes_Odoo'!L1382)</f>
        <v/>
      </c>
      <c r="M1382" s="79">
        <f>IF('Ordenes_Odoo'!M1382="","",'Ordenes_Odoo'!M1382)</f>
        <v/>
      </c>
      <c r="N1382" s="79">
        <f>IF('Ordenes_Odoo'!N1382="","",'Ordenes_Odoo'!N1382)</f>
        <v/>
      </c>
      <c r="O1382" s="81">
        <f>IF('Ordenes_Odoo'!O1382="","",'Ordenes_Odoo'!O1382)</f>
        <v/>
      </c>
      <c r="P1382" s="81">
        <f>IF('Ordenes_Odoo'!P1382="","",'Ordenes_Odoo'!P1382)</f>
        <v/>
      </c>
      <c r="Q1382" s="79">
        <f>IF(A1382="","",IFERROR(INDEX(Facturas_Odoo!$B:$B, MATCH(A1382, Facturas_Odoo!$D:$D, 0)), "Sin Factura"))</f>
        <v/>
      </c>
      <c r="R1382" s="80">
        <f>IF(Q1382="Sin Factura","",IFERROR(INDEX(Facturas_Odoo!$A:$A, MATCH(Q1382, Facturas_Odoo!$B:$B, 0)), ""))</f>
        <v/>
      </c>
      <c r="S1382" s="79">
        <f>IF(Q1382="Sin Factura","",IFERROR(_xlfn.XLOOKUP(1, (Facturas_Odoo!$D:$D=A1382) * (Facturas_Odoo!$K:$K=I1382), Facturas_Odoo!$L:$L, ""), ""))</f>
        <v/>
      </c>
      <c r="T1382" s="81">
        <f>IF(Q1382="Sin Factura",0,IFERROR(_xlfn.XLOOKUP(1, (Facturas_Odoo!$D:$D=A1382) * (Facturas_Odoo!$K:$K=I1382), Facturas_Odoo!$M:$M, 0), 0))</f>
        <v/>
      </c>
      <c r="U1382" s="79">
        <f>IF(Q1382="Sin Factura",0,IFERROR(_xlfn.XLOOKUP(1, (Facturas_Odoo!$D:$D=A1382) * (Facturas_Odoo!$K:$K=I1382), Facturas_Odoo!$N:$N, 0), 0))</f>
        <v/>
      </c>
      <c r="V1382" s="79">
        <f>IF(Q1382="Sin Factura",0,IFERROR(_xlfn.XLOOKUP(1, (Facturas_Odoo!$D:$D=A1382) * (Facturas_Odoo!$K:$K=I1382), Facturas_Odoo!$O:$O, 0), 0))</f>
        <v/>
      </c>
      <c r="W1382" s="81">
        <f>IF(Q1382="Sin Factura",0,IFERROR(_xlfn.XLOOKUP(1, (Facturas_Odoo!$D:$D=A1382) * (Facturas_Odoo!$K:$K=I1382), Facturas_Odoo!$Q:$Q, 0), 0))</f>
        <v/>
      </c>
      <c r="X1382" s="79">
        <f>IF(OR(Q1382="Sin Factura",Q1382=""),"",IFERROR(INDEX(Pagos_Odoo!$B:$B, MATCH(Q1382, Pagos_Odoo!$I:$I, 0)), "Sin Pago"))</f>
        <v/>
      </c>
      <c r="Y1382" s="79">
        <f>IF(X1382="Sin Pago","",IFERROR(INDEX(Pagos_Odoo!$C:$C, MATCH(X1382, Pagos_Odoo!$B:$B, 0)), ""))</f>
        <v/>
      </c>
      <c r="Z1382" s="80">
        <f>IF(X1382="Sin Pago","",IFERROR(INDEX(Pagos_Odoo!$A:$A, MATCH(X1382, Pagos_Odoo!$B:$B, 0)), ""))</f>
        <v/>
      </c>
      <c r="AA1382" s="79">
        <f>IF(X1382="Sin Pago","",IFERROR(INDEX(Pagos_Odoo!$F:$F, MATCH(X1382, Pagos_Odoo!$B:$B, 0)), ""))</f>
        <v/>
      </c>
      <c r="AB1382" s="81">
        <f>IF(X1382="Sin Pago",0,IFERROR(INDEX(Pagos_Odoo!$E:$E, MATCH(X1382, Pagos_Odoo!$B:$B, 0)), 0))</f>
        <v/>
      </c>
      <c r="AC1382" s="79">
        <f>IF(X1382="Sin Pago","",IFERROR(INDEX(Pagos_Odoo!$G:$G, MATCH(X1382, Pagos_Odoo!$B:$B, 0)), ""))</f>
        <v/>
      </c>
      <c r="AD1382" s="82" t="n">
        <v>0</v>
      </c>
      <c r="AE1382" s="82" t="n"/>
      <c r="AF1382" s="82" t="n"/>
      <c r="AG1382" s="82">
        <f>IF(AN1382="","",AD1382+AE1382+AF1382)</f>
        <v/>
      </c>
      <c r="AH1382" s="81">
        <f>IF(AN1382="","",P1382*(1-AG1382))</f>
        <v/>
      </c>
      <c r="AI1382" s="81">
        <f>IF(AN1382="","",IF(Q1382="Sin Factura",0,IFERROR(INDEX(Facturas_Odoo!$H:$H, MATCH(Q1382, Facturas_Odoo!$B:$B, 0)), 0)*(1-AG1382)))</f>
        <v/>
      </c>
      <c r="AJ1382" s="81">
        <f>IF(AN1382="","",_xlfn.LET(idVenta, AN1382&amp;"",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82" s="81">
        <f>IF(AN1382="","",AH1382-AJ1382)</f>
        <v/>
      </c>
      <c r="AL1382" s="81">
        <f>IF(AN1382="","",IF(Q1382="Sin Factura","",AI1382-AJ1382))</f>
        <v/>
      </c>
      <c r="AM1382" s="81">
        <f>IF(AN1382="","",IF(Q1382="Sin Factura",0,P1382-IFERROR(INDEX(Facturas_Odoo!$H:$H, MATCH(Q1382, Facturas_Odoo!$B:$B, 0)), 0)))</f>
        <v/>
      </c>
      <c r="AN1382" s="79">
        <f>IF(AND(A1382="", J1382=""), "", IF(A1382&lt;&gt;"", VALUE(MID(A1382,2,LEN(A1382))), AN1381))</f>
        <v/>
      </c>
      <c r="AO1382" s="79">
        <f>IF(AN1382="","",IF(AD1382=0,"OK",_xlfn.LET(monedaPago, IF(AA1382="","USD",AA1382), limitePermitido, IFERROR(VLOOKUP(monedaPago, Configuración!$A$2:$B$3, 2, FALSE), 0.15), IF(AD1382&gt;limitePermitido, "ALERTA: EXCESO (" &amp; TEXT(limitePermitido, "0%") &amp; " máx)", "OK"))))</f>
        <v/>
      </c>
      <c r="AP1382" s="79">
        <f>IF(AN1382="","",IF(AE1382=0,"OK",_xlfn.LET(fechaPago, Z1382, fechaFactura, R1382, diasCredito, IF(E1382="Pago inmediato", 0, IFERROR(VALUE(MID(E1382, 1, SEARCH(" ", E1382)-1)),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82" s="79">
        <f>IF(AN1382="","",IF(AND(N1382&gt;0, AG1382&gt;0), IF(Configuración!$K$2="NO", "ALERTA: DESCUENTO DOBLE NO PERMITIDO", "OK"), "OK"))</f>
        <v/>
      </c>
      <c r="AR1382" s="79">
        <f>IF(AN1382="","",IF(OR(AO1382&lt;&gt;"OK", AP1382&lt;&gt;"OK", AQ1382&lt;&gt;"OK"), "⚠️ REVISAR", "OK"))</f>
        <v/>
      </c>
    </row>
    <row r="1383">
      <c r="A1383" s="79">
        <f>IF('Ordenes_Odoo'!A1383="","",'Ordenes_Odoo'!A1383)</f>
        <v/>
      </c>
      <c r="B1383" s="80">
        <f>IF('Ordenes_Odoo'!B1383="","",'Ordenes_Odoo'!B1383)</f>
        <v/>
      </c>
      <c r="C1383" s="79">
        <f>IF('Ordenes_Odoo'!C1383="","",'Ordenes_Odoo'!C1383)</f>
        <v/>
      </c>
      <c r="D1383" s="79">
        <f>IF('Ordenes_Odoo'!D1383="","",'Ordenes_Odoo'!D1383)</f>
        <v/>
      </c>
      <c r="E1383" s="79">
        <f>IF('Ordenes_Odoo'!E1383="","",'Ordenes_Odoo'!E1383)</f>
        <v/>
      </c>
      <c r="F1383" s="79">
        <f>IF('Ordenes_Odoo'!F1383="","",'Ordenes_Odoo'!F1383)</f>
        <v/>
      </c>
      <c r="G1383" s="79">
        <f>IF('Ordenes_Odoo'!G1383="","",'Ordenes_Odoo'!G1383)</f>
        <v/>
      </c>
      <c r="H1383" s="79">
        <f>IF('Ordenes_Odoo'!H1383="","",'Ordenes_Odoo'!H1383)</f>
        <v/>
      </c>
      <c r="I1383" s="79">
        <f>IF('Ordenes_Odoo'!I1383="","",'Ordenes_Odoo'!I1383)</f>
        <v/>
      </c>
      <c r="J1383" s="79">
        <f>IF('Ordenes_Odoo'!J1383="","",'Ordenes_Odoo'!J1383)</f>
        <v/>
      </c>
      <c r="K1383" s="81">
        <f>IF('Ordenes_Odoo'!K1383="","",'Ordenes_Odoo'!K1383)</f>
        <v/>
      </c>
      <c r="L1383" s="81">
        <f>IF('Ordenes_Odoo'!L1383="","",'Ordenes_Odoo'!L1383)</f>
        <v/>
      </c>
      <c r="M1383" s="79">
        <f>IF('Ordenes_Odoo'!M1383="","",'Ordenes_Odoo'!M1383)</f>
        <v/>
      </c>
      <c r="N1383" s="79">
        <f>IF('Ordenes_Odoo'!N1383="","",'Ordenes_Odoo'!N1383)</f>
        <v/>
      </c>
      <c r="O1383" s="81">
        <f>IF('Ordenes_Odoo'!O1383="","",'Ordenes_Odoo'!O1383)</f>
        <v/>
      </c>
      <c r="P1383" s="81">
        <f>IF('Ordenes_Odoo'!P1383="","",'Ordenes_Odoo'!P1383)</f>
        <v/>
      </c>
      <c r="Q1383" s="79">
        <f>IF(A1383="","",IFERROR(INDEX(Facturas_Odoo!$B:$B, MATCH(A1383, Facturas_Odoo!$D:$D, 0)), "Sin Factura"))</f>
        <v/>
      </c>
      <c r="R1383" s="80">
        <f>IF(Q1383="Sin Factura","",IFERROR(INDEX(Facturas_Odoo!$A:$A, MATCH(Q1383, Facturas_Odoo!$B:$B, 0)), ""))</f>
        <v/>
      </c>
      <c r="S1383" s="79">
        <f>IF(Q1383="Sin Factura","",IFERROR(_xlfn.XLOOKUP(1, (Facturas_Odoo!$D:$D=A1383) * (Facturas_Odoo!$K:$K=I1383), Facturas_Odoo!$L:$L, ""), ""))</f>
        <v/>
      </c>
      <c r="T1383" s="81">
        <f>IF(Q1383="Sin Factura",0,IFERROR(_xlfn.XLOOKUP(1, (Facturas_Odoo!$D:$D=A1383) * (Facturas_Odoo!$K:$K=I1383), Facturas_Odoo!$M:$M, 0), 0))</f>
        <v/>
      </c>
      <c r="U1383" s="79">
        <f>IF(Q1383="Sin Factura",0,IFERROR(_xlfn.XLOOKUP(1, (Facturas_Odoo!$D:$D=A1383) * (Facturas_Odoo!$K:$K=I1383), Facturas_Odoo!$N:$N, 0), 0))</f>
        <v/>
      </c>
      <c r="V1383" s="79">
        <f>IF(Q1383="Sin Factura",0,IFERROR(_xlfn.XLOOKUP(1, (Facturas_Odoo!$D:$D=A1383) * (Facturas_Odoo!$K:$K=I1383), Facturas_Odoo!$O:$O, 0), 0))</f>
        <v/>
      </c>
      <c r="W1383" s="81">
        <f>IF(Q1383="Sin Factura",0,IFERROR(_xlfn.XLOOKUP(1, (Facturas_Odoo!$D:$D=A1383) * (Facturas_Odoo!$K:$K=I1383), Facturas_Odoo!$Q:$Q, 0), 0))</f>
        <v/>
      </c>
      <c r="X1383" s="79">
        <f>IF(OR(Q1383="Sin Factura",Q1383=""),"",IFERROR(INDEX(Pagos_Odoo!$B:$B, MATCH(Q1383, Pagos_Odoo!$I:$I, 0)), "Sin Pago"))</f>
        <v/>
      </c>
      <c r="Y1383" s="79">
        <f>IF(X1383="Sin Pago","",IFERROR(INDEX(Pagos_Odoo!$C:$C, MATCH(X1383, Pagos_Odoo!$B:$B, 0)), ""))</f>
        <v/>
      </c>
      <c r="Z1383" s="80">
        <f>IF(X1383="Sin Pago","",IFERROR(INDEX(Pagos_Odoo!$A:$A, MATCH(X1383, Pagos_Odoo!$B:$B, 0)), ""))</f>
        <v/>
      </c>
      <c r="AA1383" s="79">
        <f>IF(X1383="Sin Pago","",IFERROR(INDEX(Pagos_Odoo!$F:$F, MATCH(X1383, Pagos_Odoo!$B:$B, 0)), ""))</f>
        <v/>
      </c>
      <c r="AB1383" s="81">
        <f>IF(X1383="Sin Pago",0,IFERROR(INDEX(Pagos_Odoo!$E:$E, MATCH(X1383, Pagos_Odoo!$B:$B, 0)), 0))</f>
        <v/>
      </c>
      <c r="AC1383" s="79">
        <f>IF(X1383="Sin Pago","",IFERROR(INDEX(Pagos_Odoo!$G:$G, MATCH(X1383, Pagos_Odoo!$B:$B, 0)), ""))</f>
        <v/>
      </c>
      <c r="AD1383" s="82" t="n">
        <v>0</v>
      </c>
      <c r="AE1383" s="82" t="n"/>
      <c r="AF1383" s="82" t="n"/>
      <c r="AG1383" s="82">
        <f>IF(AN1383="","",AD1383+AE1383+AF1383)</f>
        <v/>
      </c>
      <c r="AH1383" s="81">
        <f>IF(AN1383="","",P1383*(1-AG1383))</f>
        <v/>
      </c>
      <c r="AI1383" s="81">
        <f>IF(AN1383="","",IF(Q1383="Sin Factura",0,IFERROR(INDEX(Facturas_Odoo!$H:$H, MATCH(Q1383, Facturas_Odoo!$B:$B, 0)), 0)*(1-AG1383)))</f>
        <v/>
      </c>
      <c r="AJ1383" s="81">
        <f>IF(AN1383="","",_xlfn.LET(idVenta, AN1383&amp;"",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83" s="81">
        <f>IF(AN1383="","",AH1383-AJ1383)</f>
        <v/>
      </c>
      <c r="AL1383" s="81">
        <f>IF(AN1383="","",IF(Q1383="Sin Factura","",AI1383-AJ1383))</f>
        <v/>
      </c>
      <c r="AM1383" s="81">
        <f>IF(AN1383="","",IF(Q1383="Sin Factura",0,P1383-IFERROR(INDEX(Facturas_Odoo!$H:$H, MATCH(Q1383, Facturas_Odoo!$B:$B, 0)), 0)))</f>
        <v/>
      </c>
      <c r="AN1383" s="79">
        <f>IF(AND(A1383="", J1383=""), "", IF(A1383&lt;&gt;"", VALUE(MID(A1383,2,LEN(A1383))), AN1382))</f>
        <v/>
      </c>
      <c r="AO1383" s="79">
        <f>IF(AN1383="","",IF(AD1383=0,"OK",_xlfn.LET(monedaPago, IF(AA1383="","USD",AA1383), limitePermitido, IFERROR(VLOOKUP(monedaPago, Configuración!$A$2:$B$3, 2, FALSE), 0.15), IF(AD1383&gt;limitePermitido, "ALERTA: EXCESO (" &amp; TEXT(limitePermitido, "0%") &amp; " máx)", "OK"))))</f>
        <v/>
      </c>
      <c r="AP1383" s="79">
        <f>IF(AN1383="","",IF(AE1383=0,"OK",_xlfn.LET(fechaPago, Z1383, fechaFactura, R1383, diasCredito, IF(E1383="Pago inmediato", 0, IFERROR(VALUE(MID(E1383, 1, SEARCH(" ", E1383)-1)),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83" s="79">
        <f>IF(AN1383="","",IF(AND(N1383&gt;0, AG1383&gt;0), IF(Configuración!$K$2="NO", "ALERTA: DESCUENTO DOBLE NO PERMITIDO", "OK"), "OK"))</f>
        <v/>
      </c>
      <c r="AR1383" s="79">
        <f>IF(AN1383="","",IF(OR(AO1383&lt;&gt;"OK", AP1383&lt;&gt;"OK", AQ1383&lt;&gt;"OK"), "⚠️ REVISAR", "OK"))</f>
        <v/>
      </c>
    </row>
    <row r="1384">
      <c r="A1384" s="79">
        <f>IF('Ordenes_Odoo'!A1384="","",'Ordenes_Odoo'!A1384)</f>
        <v/>
      </c>
      <c r="B1384" s="80">
        <f>IF('Ordenes_Odoo'!B1384="","",'Ordenes_Odoo'!B1384)</f>
        <v/>
      </c>
      <c r="C1384" s="79">
        <f>IF('Ordenes_Odoo'!C1384="","",'Ordenes_Odoo'!C1384)</f>
        <v/>
      </c>
      <c r="D1384" s="79">
        <f>IF('Ordenes_Odoo'!D1384="","",'Ordenes_Odoo'!D1384)</f>
        <v/>
      </c>
      <c r="E1384" s="79">
        <f>IF('Ordenes_Odoo'!E1384="","",'Ordenes_Odoo'!E1384)</f>
        <v/>
      </c>
      <c r="F1384" s="79">
        <f>IF('Ordenes_Odoo'!F1384="","",'Ordenes_Odoo'!F1384)</f>
        <v/>
      </c>
      <c r="G1384" s="79">
        <f>IF('Ordenes_Odoo'!G1384="","",'Ordenes_Odoo'!G1384)</f>
        <v/>
      </c>
      <c r="H1384" s="79">
        <f>IF('Ordenes_Odoo'!H1384="","",'Ordenes_Odoo'!H1384)</f>
        <v/>
      </c>
      <c r="I1384" s="79">
        <f>IF('Ordenes_Odoo'!I1384="","",'Ordenes_Odoo'!I1384)</f>
        <v/>
      </c>
      <c r="J1384" s="79">
        <f>IF('Ordenes_Odoo'!J1384="","",'Ordenes_Odoo'!J1384)</f>
        <v/>
      </c>
      <c r="K1384" s="81">
        <f>IF('Ordenes_Odoo'!K1384="","",'Ordenes_Odoo'!K1384)</f>
        <v/>
      </c>
      <c r="L1384" s="81">
        <f>IF('Ordenes_Odoo'!L1384="","",'Ordenes_Odoo'!L1384)</f>
        <v/>
      </c>
      <c r="M1384" s="79">
        <f>IF('Ordenes_Odoo'!M1384="","",'Ordenes_Odoo'!M1384)</f>
        <v/>
      </c>
      <c r="N1384" s="79">
        <f>IF('Ordenes_Odoo'!N1384="","",'Ordenes_Odoo'!N1384)</f>
        <v/>
      </c>
      <c r="O1384" s="81">
        <f>IF('Ordenes_Odoo'!O1384="","",'Ordenes_Odoo'!O1384)</f>
        <v/>
      </c>
      <c r="P1384" s="81">
        <f>IF('Ordenes_Odoo'!P1384="","",'Ordenes_Odoo'!P1384)</f>
        <v/>
      </c>
      <c r="Q1384" s="79">
        <f>IF(A1384="","",IFERROR(INDEX(Facturas_Odoo!$B:$B, MATCH(A1384, Facturas_Odoo!$D:$D, 0)), "Sin Factura"))</f>
        <v/>
      </c>
      <c r="R1384" s="80">
        <f>IF(Q1384="Sin Factura","",IFERROR(INDEX(Facturas_Odoo!$A:$A, MATCH(Q1384, Facturas_Odoo!$B:$B, 0)), ""))</f>
        <v/>
      </c>
      <c r="S1384" s="79">
        <f>IF(Q1384="Sin Factura","",IFERROR(_xlfn.XLOOKUP(1, (Facturas_Odoo!$D:$D=A1384) * (Facturas_Odoo!$K:$K=I1384), Facturas_Odoo!$L:$L, ""), ""))</f>
        <v/>
      </c>
      <c r="T1384" s="81">
        <f>IF(Q1384="Sin Factura",0,IFERROR(_xlfn.XLOOKUP(1, (Facturas_Odoo!$D:$D=A1384) * (Facturas_Odoo!$K:$K=I1384), Facturas_Odoo!$M:$M, 0), 0))</f>
        <v/>
      </c>
      <c r="U1384" s="79">
        <f>IF(Q1384="Sin Factura",0,IFERROR(_xlfn.XLOOKUP(1, (Facturas_Odoo!$D:$D=A1384) * (Facturas_Odoo!$K:$K=I1384), Facturas_Odoo!$N:$N, 0), 0))</f>
        <v/>
      </c>
      <c r="V1384" s="79">
        <f>IF(Q1384="Sin Factura",0,IFERROR(_xlfn.XLOOKUP(1, (Facturas_Odoo!$D:$D=A1384) * (Facturas_Odoo!$K:$K=I1384), Facturas_Odoo!$O:$O, 0), 0))</f>
        <v/>
      </c>
      <c r="W1384" s="81">
        <f>IF(Q1384="Sin Factura",0,IFERROR(_xlfn.XLOOKUP(1, (Facturas_Odoo!$D:$D=A1384) * (Facturas_Odoo!$K:$K=I1384), Facturas_Odoo!$Q:$Q, 0), 0))</f>
        <v/>
      </c>
      <c r="X1384" s="79">
        <f>IF(OR(Q1384="Sin Factura",Q1384=""),"",IFERROR(INDEX(Pagos_Odoo!$B:$B, MATCH(Q1384, Pagos_Odoo!$I:$I, 0)), "Sin Pago"))</f>
        <v/>
      </c>
      <c r="Y1384" s="79">
        <f>IF(X1384="Sin Pago","",IFERROR(INDEX(Pagos_Odoo!$C:$C, MATCH(X1384, Pagos_Odoo!$B:$B, 0)), ""))</f>
        <v/>
      </c>
      <c r="Z1384" s="80">
        <f>IF(X1384="Sin Pago","",IFERROR(INDEX(Pagos_Odoo!$A:$A, MATCH(X1384, Pagos_Odoo!$B:$B, 0)), ""))</f>
        <v/>
      </c>
      <c r="AA1384" s="79">
        <f>IF(X1384="Sin Pago","",IFERROR(INDEX(Pagos_Odoo!$F:$F, MATCH(X1384, Pagos_Odoo!$B:$B, 0)), ""))</f>
        <v/>
      </c>
      <c r="AB1384" s="81">
        <f>IF(X1384="Sin Pago",0,IFERROR(INDEX(Pagos_Odoo!$E:$E, MATCH(X1384, Pagos_Odoo!$B:$B, 0)), 0))</f>
        <v/>
      </c>
      <c r="AC1384" s="79">
        <f>IF(X1384="Sin Pago","",IFERROR(INDEX(Pagos_Odoo!$G:$G, MATCH(X1384, Pagos_Odoo!$B:$B, 0)), ""))</f>
        <v/>
      </c>
      <c r="AD1384" s="82" t="n">
        <v>0</v>
      </c>
      <c r="AE1384" s="82" t="n"/>
      <c r="AF1384" s="82" t="n"/>
      <c r="AG1384" s="82">
        <f>IF(AN1384="","",AD1384+AE1384+AF1384)</f>
        <v/>
      </c>
      <c r="AH1384" s="81">
        <f>IF(AN1384="","",P1384*(1-AG1384))</f>
        <v/>
      </c>
      <c r="AI1384" s="81">
        <f>IF(AN1384="","",IF(Q1384="Sin Factura",0,IFERROR(INDEX(Facturas_Odoo!$H:$H, MATCH(Q1384, Facturas_Odoo!$B:$B, 0)), 0)*(1-AG1384)))</f>
        <v/>
      </c>
      <c r="AJ1384" s="81">
        <f>IF(AN1384="","",_xlfn.LET(idVenta, AN1384&amp;"",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84" s="81">
        <f>IF(AN1384="","",AH1384-AJ1384)</f>
        <v/>
      </c>
      <c r="AL1384" s="81">
        <f>IF(AN1384="","",IF(Q1384="Sin Factura","",AI1384-AJ1384))</f>
        <v/>
      </c>
      <c r="AM1384" s="81">
        <f>IF(AN1384="","",IF(Q1384="Sin Factura",0,P1384-IFERROR(INDEX(Facturas_Odoo!$H:$H, MATCH(Q1384, Facturas_Odoo!$B:$B, 0)), 0)))</f>
        <v/>
      </c>
      <c r="AN1384" s="79">
        <f>IF(AND(A1384="", J1384=""), "", IF(A1384&lt;&gt;"", VALUE(MID(A1384,2,LEN(A1384))), AN1383))</f>
        <v/>
      </c>
      <c r="AO1384" s="79">
        <f>IF(AN1384="","",IF(AD1384=0,"OK",_xlfn.LET(monedaPago, IF(AA1384="","USD",AA1384), limitePermitido, IFERROR(VLOOKUP(monedaPago, Configuración!$A$2:$B$3, 2, FALSE), 0.15), IF(AD1384&gt;limitePermitido, "ALERTA: EXCESO (" &amp; TEXT(limitePermitido, "0%") &amp; " máx)", "OK"))))</f>
        <v/>
      </c>
      <c r="AP1384" s="79">
        <f>IF(AN1384="","",IF(AE1384=0,"OK",_xlfn.LET(fechaPago, Z1384, fechaFactura, R1384, diasCredito, IF(E1384="Pago inmediato", 0, IFERROR(VALUE(MID(E1384, 1, SEARCH(" ", E1384)-1)),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84" s="79">
        <f>IF(AN1384="","",IF(AND(N1384&gt;0, AG1384&gt;0), IF(Configuración!$K$2="NO", "ALERTA: DESCUENTO DOBLE NO PERMITIDO", "OK"), "OK"))</f>
        <v/>
      </c>
      <c r="AR1384" s="79">
        <f>IF(AN1384="","",IF(OR(AO1384&lt;&gt;"OK", AP1384&lt;&gt;"OK", AQ1384&lt;&gt;"OK"), "⚠️ REVISAR", "OK"))</f>
        <v/>
      </c>
    </row>
    <row r="1385">
      <c r="A1385" s="79">
        <f>IF('Ordenes_Odoo'!A1385="","",'Ordenes_Odoo'!A1385)</f>
        <v/>
      </c>
      <c r="B1385" s="80">
        <f>IF('Ordenes_Odoo'!B1385="","",'Ordenes_Odoo'!B1385)</f>
        <v/>
      </c>
      <c r="C1385" s="79">
        <f>IF('Ordenes_Odoo'!C1385="","",'Ordenes_Odoo'!C1385)</f>
        <v/>
      </c>
      <c r="D1385" s="79">
        <f>IF('Ordenes_Odoo'!D1385="","",'Ordenes_Odoo'!D1385)</f>
        <v/>
      </c>
      <c r="E1385" s="79">
        <f>IF('Ordenes_Odoo'!E1385="","",'Ordenes_Odoo'!E1385)</f>
        <v/>
      </c>
      <c r="F1385" s="79">
        <f>IF('Ordenes_Odoo'!F1385="","",'Ordenes_Odoo'!F1385)</f>
        <v/>
      </c>
      <c r="G1385" s="79">
        <f>IF('Ordenes_Odoo'!G1385="","",'Ordenes_Odoo'!G1385)</f>
        <v/>
      </c>
      <c r="H1385" s="79">
        <f>IF('Ordenes_Odoo'!H1385="","",'Ordenes_Odoo'!H1385)</f>
        <v/>
      </c>
      <c r="I1385" s="79">
        <f>IF('Ordenes_Odoo'!I1385="","",'Ordenes_Odoo'!I1385)</f>
        <v/>
      </c>
      <c r="J1385" s="79">
        <f>IF('Ordenes_Odoo'!J1385="","",'Ordenes_Odoo'!J1385)</f>
        <v/>
      </c>
      <c r="K1385" s="81">
        <f>IF('Ordenes_Odoo'!K1385="","",'Ordenes_Odoo'!K1385)</f>
        <v/>
      </c>
      <c r="L1385" s="81">
        <f>IF('Ordenes_Odoo'!L1385="","",'Ordenes_Odoo'!L1385)</f>
        <v/>
      </c>
      <c r="M1385" s="79">
        <f>IF('Ordenes_Odoo'!M1385="","",'Ordenes_Odoo'!M1385)</f>
        <v/>
      </c>
      <c r="N1385" s="79">
        <f>IF('Ordenes_Odoo'!N1385="","",'Ordenes_Odoo'!N1385)</f>
        <v/>
      </c>
      <c r="O1385" s="81">
        <f>IF('Ordenes_Odoo'!O1385="","",'Ordenes_Odoo'!O1385)</f>
        <v/>
      </c>
      <c r="P1385" s="81">
        <f>IF('Ordenes_Odoo'!P1385="","",'Ordenes_Odoo'!P1385)</f>
        <v/>
      </c>
      <c r="Q1385" s="79">
        <f>IF(A1385="","",IFERROR(INDEX(Facturas_Odoo!$B:$B, MATCH(A1385, Facturas_Odoo!$D:$D, 0)), "Sin Factura"))</f>
        <v/>
      </c>
      <c r="R1385" s="80">
        <f>IF(Q1385="Sin Factura","",IFERROR(INDEX(Facturas_Odoo!$A:$A, MATCH(Q1385, Facturas_Odoo!$B:$B, 0)), ""))</f>
        <v/>
      </c>
      <c r="S1385" s="79">
        <f>IF(Q1385="Sin Factura","",IFERROR(_xlfn.XLOOKUP(1, (Facturas_Odoo!$D:$D=A1385) * (Facturas_Odoo!$K:$K=I1385), Facturas_Odoo!$L:$L, ""), ""))</f>
        <v/>
      </c>
      <c r="T1385" s="81">
        <f>IF(Q1385="Sin Factura",0,IFERROR(_xlfn.XLOOKUP(1, (Facturas_Odoo!$D:$D=A1385) * (Facturas_Odoo!$K:$K=I1385), Facturas_Odoo!$M:$M, 0), 0))</f>
        <v/>
      </c>
      <c r="U1385" s="79">
        <f>IF(Q1385="Sin Factura",0,IFERROR(_xlfn.XLOOKUP(1, (Facturas_Odoo!$D:$D=A1385) * (Facturas_Odoo!$K:$K=I1385), Facturas_Odoo!$N:$N, 0), 0))</f>
        <v/>
      </c>
      <c r="V1385" s="79">
        <f>IF(Q1385="Sin Factura",0,IFERROR(_xlfn.XLOOKUP(1, (Facturas_Odoo!$D:$D=A1385) * (Facturas_Odoo!$K:$K=I1385), Facturas_Odoo!$O:$O, 0), 0))</f>
        <v/>
      </c>
      <c r="W1385" s="81">
        <f>IF(Q1385="Sin Factura",0,IFERROR(_xlfn.XLOOKUP(1, (Facturas_Odoo!$D:$D=A1385) * (Facturas_Odoo!$K:$K=I1385), Facturas_Odoo!$Q:$Q, 0), 0))</f>
        <v/>
      </c>
      <c r="X1385" s="79">
        <f>IF(OR(Q1385="Sin Factura",Q1385=""),"",IFERROR(INDEX(Pagos_Odoo!$B:$B, MATCH(Q1385, Pagos_Odoo!$I:$I, 0)), "Sin Pago"))</f>
        <v/>
      </c>
      <c r="Y1385" s="79">
        <f>IF(X1385="Sin Pago","",IFERROR(INDEX(Pagos_Odoo!$C:$C, MATCH(X1385, Pagos_Odoo!$B:$B, 0)), ""))</f>
        <v/>
      </c>
      <c r="Z1385" s="80">
        <f>IF(X1385="Sin Pago","",IFERROR(INDEX(Pagos_Odoo!$A:$A, MATCH(X1385, Pagos_Odoo!$B:$B, 0)), ""))</f>
        <v/>
      </c>
      <c r="AA1385" s="79">
        <f>IF(X1385="Sin Pago","",IFERROR(INDEX(Pagos_Odoo!$F:$F, MATCH(X1385, Pagos_Odoo!$B:$B, 0)), ""))</f>
        <v/>
      </c>
      <c r="AB1385" s="81">
        <f>IF(X1385="Sin Pago",0,IFERROR(INDEX(Pagos_Odoo!$E:$E, MATCH(X1385, Pagos_Odoo!$B:$B, 0)), 0))</f>
        <v/>
      </c>
      <c r="AC1385" s="79">
        <f>IF(X1385="Sin Pago","",IFERROR(INDEX(Pagos_Odoo!$G:$G, MATCH(X1385, Pagos_Odoo!$B:$B, 0)), ""))</f>
        <v/>
      </c>
      <c r="AD1385" s="82" t="n">
        <v>0</v>
      </c>
      <c r="AE1385" s="82" t="n"/>
      <c r="AF1385" s="82" t="n"/>
      <c r="AG1385" s="82">
        <f>IF(AN1385="","",AD1385+AE1385+AF1385)</f>
        <v/>
      </c>
      <c r="AH1385" s="81">
        <f>IF(AN1385="","",P1385*(1-AG1385))</f>
        <v/>
      </c>
      <c r="AI1385" s="81">
        <f>IF(AN1385="","",IF(Q1385="Sin Factura",0,IFERROR(INDEX(Facturas_Odoo!$H:$H, MATCH(Q1385, Facturas_Odoo!$B:$B, 0)), 0)*(1-AG1385)))</f>
        <v/>
      </c>
      <c r="AJ1385" s="81">
        <f>IF(AN1385="","",_xlfn.LET(idVenta, AN1385&amp;"",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85" s="81">
        <f>IF(AN1385="","",AH1385-AJ1385)</f>
        <v/>
      </c>
      <c r="AL1385" s="81">
        <f>IF(AN1385="","",IF(Q1385="Sin Factura","",AI1385-AJ1385))</f>
        <v/>
      </c>
      <c r="AM1385" s="81">
        <f>IF(AN1385="","",IF(Q1385="Sin Factura",0,P1385-IFERROR(INDEX(Facturas_Odoo!$H:$H, MATCH(Q1385, Facturas_Odoo!$B:$B, 0)), 0)))</f>
        <v/>
      </c>
      <c r="AN1385" s="79">
        <f>IF(AND(A1385="", J1385=""), "", IF(A1385&lt;&gt;"", VALUE(MID(A1385,2,LEN(A1385))), AN1384))</f>
        <v/>
      </c>
      <c r="AO1385" s="79">
        <f>IF(AN1385="","",IF(AD1385=0,"OK",_xlfn.LET(monedaPago, IF(AA1385="","USD",AA1385), limitePermitido, IFERROR(VLOOKUP(monedaPago, Configuración!$A$2:$B$3, 2, FALSE), 0.15), IF(AD1385&gt;limitePermitido, "ALERTA: EXCESO (" &amp; TEXT(limitePermitido, "0%") &amp; " máx)", "OK"))))</f>
        <v/>
      </c>
      <c r="AP1385" s="79">
        <f>IF(AN1385="","",IF(AE1385=0,"OK",_xlfn.LET(fechaPago, Z1385, fechaFactura, R1385, diasCredito, IF(E1385="Pago inmediato", 0, IFERROR(VALUE(MID(E1385, 1, SEARCH(" ", E1385)-1)),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85" s="79">
        <f>IF(AN1385="","",IF(AND(N1385&gt;0, AG1385&gt;0), IF(Configuración!$K$2="NO", "ALERTA: DESCUENTO DOBLE NO PERMITIDO", "OK"), "OK"))</f>
        <v/>
      </c>
      <c r="AR1385" s="79">
        <f>IF(AN1385="","",IF(OR(AO1385&lt;&gt;"OK", AP1385&lt;&gt;"OK", AQ1385&lt;&gt;"OK"), "⚠️ REVISAR", "OK"))</f>
        <v/>
      </c>
    </row>
    <row r="1386">
      <c r="A1386" s="79">
        <f>IF('Ordenes_Odoo'!A1386="","",'Ordenes_Odoo'!A1386)</f>
        <v/>
      </c>
      <c r="B1386" s="80">
        <f>IF('Ordenes_Odoo'!B1386="","",'Ordenes_Odoo'!B1386)</f>
        <v/>
      </c>
      <c r="C1386" s="79">
        <f>IF('Ordenes_Odoo'!C1386="","",'Ordenes_Odoo'!C1386)</f>
        <v/>
      </c>
      <c r="D1386" s="79">
        <f>IF('Ordenes_Odoo'!D1386="","",'Ordenes_Odoo'!D1386)</f>
        <v/>
      </c>
      <c r="E1386" s="79">
        <f>IF('Ordenes_Odoo'!E1386="","",'Ordenes_Odoo'!E1386)</f>
        <v/>
      </c>
      <c r="F1386" s="79">
        <f>IF('Ordenes_Odoo'!F1386="","",'Ordenes_Odoo'!F1386)</f>
        <v/>
      </c>
      <c r="G1386" s="79">
        <f>IF('Ordenes_Odoo'!G1386="","",'Ordenes_Odoo'!G1386)</f>
        <v/>
      </c>
      <c r="H1386" s="79">
        <f>IF('Ordenes_Odoo'!H1386="","",'Ordenes_Odoo'!H1386)</f>
        <v/>
      </c>
      <c r="I1386" s="79">
        <f>IF('Ordenes_Odoo'!I1386="","",'Ordenes_Odoo'!I1386)</f>
        <v/>
      </c>
      <c r="J1386" s="79">
        <f>IF('Ordenes_Odoo'!J1386="","",'Ordenes_Odoo'!J1386)</f>
        <v/>
      </c>
      <c r="K1386" s="81">
        <f>IF('Ordenes_Odoo'!K1386="","",'Ordenes_Odoo'!K1386)</f>
        <v/>
      </c>
      <c r="L1386" s="81">
        <f>IF('Ordenes_Odoo'!L1386="","",'Ordenes_Odoo'!L1386)</f>
        <v/>
      </c>
      <c r="M1386" s="79">
        <f>IF('Ordenes_Odoo'!M1386="","",'Ordenes_Odoo'!M1386)</f>
        <v/>
      </c>
      <c r="N1386" s="79">
        <f>IF('Ordenes_Odoo'!N1386="","",'Ordenes_Odoo'!N1386)</f>
        <v/>
      </c>
      <c r="O1386" s="81">
        <f>IF('Ordenes_Odoo'!O1386="","",'Ordenes_Odoo'!O1386)</f>
        <v/>
      </c>
      <c r="P1386" s="81">
        <f>IF('Ordenes_Odoo'!P1386="","",'Ordenes_Odoo'!P1386)</f>
        <v/>
      </c>
      <c r="Q1386" s="79">
        <f>IF(A1386="","",IFERROR(INDEX(Facturas_Odoo!$B:$B, MATCH(A1386, Facturas_Odoo!$D:$D, 0)), "Sin Factura"))</f>
        <v/>
      </c>
      <c r="R1386" s="80">
        <f>IF(Q1386="Sin Factura","",IFERROR(INDEX(Facturas_Odoo!$A:$A, MATCH(Q1386, Facturas_Odoo!$B:$B, 0)), ""))</f>
        <v/>
      </c>
      <c r="S1386" s="79">
        <f>IF(Q1386="Sin Factura","",IFERROR(_xlfn.XLOOKUP(1, (Facturas_Odoo!$D:$D=A1386) * (Facturas_Odoo!$K:$K=I1386), Facturas_Odoo!$L:$L, ""), ""))</f>
        <v/>
      </c>
      <c r="T1386" s="81">
        <f>IF(Q1386="Sin Factura",0,IFERROR(_xlfn.XLOOKUP(1, (Facturas_Odoo!$D:$D=A1386) * (Facturas_Odoo!$K:$K=I1386), Facturas_Odoo!$M:$M, 0), 0))</f>
        <v/>
      </c>
      <c r="U1386" s="79">
        <f>IF(Q1386="Sin Factura",0,IFERROR(_xlfn.XLOOKUP(1, (Facturas_Odoo!$D:$D=A1386) * (Facturas_Odoo!$K:$K=I1386), Facturas_Odoo!$N:$N, 0), 0))</f>
        <v/>
      </c>
      <c r="V1386" s="79">
        <f>IF(Q1386="Sin Factura",0,IFERROR(_xlfn.XLOOKUP(1, (Facturas_Odoo!$D:$D=A1386) * (Facturas_Odoo!$K:$K=I1386), Facturas_Odoo!$O:$O, 0), 0))</f>
        <v/>
      </c>
      <c r="W1386" s="81">
        <f>IF(Q1386="Sin Factura",0,IFERROR(_xlfn.XLOOKUP(1, (Facturas_Odoo!$D:$D=A1386) * (Facturas_Odoo!$K:$K=I1386), Facturas_Odoo!$Q:$Q, 0), 0))</f>
        <v/>
      </c>
      <c r="X1386" s="79">
        <f>IF(OR(Q1386="Sin Factura",Q1386=""),"",IFERROR(INDEX(Pagos_Odoo!$B:$B, MATCH(Q1386, Pagos_Odoo!$I:$I, 0)), "Sin Pago"))</f>
        <v/>
      </c>
      <c r="Y1386" s="79">
        <f>IF(X1386="Sin Pago","",IFERROR(INDEX(Pagos_Odoo!$C:$C, MATCH(X1386, Pagos_Odoo!$B:$B, 0)), ""))</f>
        <v/>
      </c>
      <c r="Z1386" s="80">
        <f>IF(X1386="Sin Pago","",IFERROR(INDEX(Pagos_Odoo!$A:$A, MATCH(X1386, Pagos_Odoo!$B:$B, 0)), ""))</f>
        <v/>
      </c>
      <c r="AA1386" s="79">
        <f>IF(X1386="Sin Pago","",IFERROR(INDEX(Pagos_Odoo!$F:$F, MATCH(X1386, Pagos_Odoo!$B:$B, 0)), ""))</f>
        <v/>
      </c>
      <c r="AB1386" s="81">
        <f>IF(X1386="Sin Pago",0,IFERROR(INDEX(Pagos_Odoo!$E:$E, MATCH(X1386, Pagos_Odoo!$B:$B, 0)), 0))</f>
        <v/>
      </c>
      <c r="AC1386" s="79">
        <f>IF(X1386="Sin Pago","",IFERROR(INDEX(Pagos_Odoo!$G:$G, MATCH(X1386, Pagos_Odoo!$B:$B, 0)), ""))</f>
        <v/>
      </c>
      <c r="AD1386" s="82" t="n">
        <v>0</v>
      </c>
      <c r="AE1386" s="82" t="n"/>
      <c r="AF1386" s="82" t="n"/>
      <c r="AG1386" s="82">
        <f>IF(AN1386="","",AD1386+AE1386+AF1386)</f>
        <v/>
      </c>
      <c r="AH1386" s="81">
        <f>IF(AN1386="","",P1386*(1-AG1386))</f>
        <v/>
      </c>
      <c r="AI1386" s="81">
        <f>IF(AN1386="","",IF(Q1386="Sin Factura",0,IFERROR(INDEX(Facturas_Odoo!$H:$H, MATCH(Q1386, Facturas_Odoo!$B:$B, 0)), 0)*(1-AG1386)))</f>
        <v/>
      </c>
      <c r="AJ1386" s="81">
        <f>IF(AN1386="","",_xlfn.LET(idVenta, AN1386&amp;"",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86" s="81">
        <f>IF(AN1386="","",AH1386-AJ1386)</f>
        <v/>
      </c>
      <c r="AL1386" s="81">
        <f>IF(AN1386="","",IF(Q1386="Sin Factura","",AI1386-AJ1386))</f>
        <v/>
      </c>
      <c r="AM1386" s="81">
        <f>IF(AN1386="","",IF(Q1386="Sin Factura",0,P1386-IFERROR(INDEX(Facturas_Odoo!$H:$H, MATCH(Q1386, Facturas_Odoo!$B:$B, 0)), 0)))</f>
        <v/>
      </c>
      <c r="AN1386" s="79">
        <f>IF(AND(A1386="", J1386=""), "", IF(A1386&lt;&gt;"", VALUE(MID(A1386,2,LEN(A1386))), AN1385))</f>
        <v/>
      </c>
      <c r="AO1386" s="79">
        <f>IF(AN1386="","",IF(AD1386=0,"OK",_xlfn.LET(monedaPago, IF(AA1386="","USD",AA1386), limitePermitido, IFERROR(VLOOKUP(monedaPago, Configuración!$A$2:$B$3, 2, FALSE), 0.15), IF(AD1386&gt;limitePermitido, "ALERTA: EXCESO (" &amp; TEXT(limitePermitido, "0%") &amp; " máx)", "OK"))))</f>
        <v/>
      </c>
      <c r="AP1386" s="79">
        <f>IF(AN1386="","",IF(AE1386=0,"OK",_xlfn.LET(fechaPago, Z1386, fechaFactura, R1386, diasCredito, IF(E1386="Pago inmediato", 0, IFERROR(VALUE(MID(E1386, 1, SEARCH(" ", E1386)-1)),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86" s="79">
        <f>IF(AN1386="","",IF(AND(N1386&gt;0, AG1386&gt;0), IF(Configuración!$K$2="NO", "ALERTA: DESCUENTO DOBLE NO PERMITIDO", "OK"), "OK"))</f>
        <v/>
      </c>
      <c r="AR1386" s="79">
        <f>IF(AN1386="","",IF(OR(AO1386&lt;&gt;"OK", AP1386&lt;&gt;"OK", AQ1386&lt;&gt;"OK"), "⚠️ REVISAR", "OK"))</f>
        <v/>
      </c>
    </row>
    <row r="1387">
      <c r="A1387" s="79">
        <f>IF('Ordenes_Odoo'!A1387="","",'Ordenes_Odoo'!A1387)</f>
        <v/>
      </c>
      <c r="B1387" s="80">
        <f>IF('Ordenes_Odoo'!B1387="","",'Ordenes_Odoo'!B1387)</f>
        <v/>
      </c>
      <c r="C1387" s="79">
        <f>IF('Ordenes_Odoo'!C1387="","",'Ordenes_Odoo'!C1387)</f>
        <v/>
      </c>
      <c r="D1387" s="79">
        <f>IF('Ordenes_Odoo'!D1387="","",'Ordenes_Odoo'!D1387)</f>
        <v/>
      </c>
      <c r="E1387" s="79">
        <f>IF('Ordenes_Odoo'!E1387="","",'Ordenes_Odoo'!E1387)</f>
        <v/>
      </c>
      <c r="F1387" s="79">
        <f>IF('Ordenes_Odoo'!F1387="","",'Ordenes_Odoo'!F1387)</f>
        <v/>
      </c>
      <c r="G1387" s="79">
        <f>IF('Ordenes_Odoo'!G1387="","",'Ordenes_Odoo'!G1387)</f>
        <v/>
      </c>
      <c r="H1387" s="79">
        <f>IF('Ordenes_Odoo'!H1387="","",'Ordenes_Odoo'!H1387)</f>
        <v/>
      </c>
      <c r="I1387" s="79">
        <f>IF('Ordenes_Odoo'!I1387="","",'Ordenes_Odoo'!I1387)</f>
        <v/>
      </c>
      <c r="J1387" s="79">
        <f>IF('Ordenes_Odoo'!J1387="","",'Ordenes_Odoo'!J1387)</f>
        <v/>
      </c>
      <c r="K1387" s="81">
        <f>IF('Ordenes_Odoo'!K1387="","",'Ordenes_Odoo'!K1387)</f>
        <v/>
      </c>
      <c r="L1387" s="81">
        <f>IF('Ordenes_Odoo'!L1387="","",'Ordenes_Odoo'!L1387)</f>
        <v/>
      </c>
      <c r="M1387" s="79">
        <f>IF('Ordenes_Odoo'!M1387="","",'Ordenes_Odoo'!M1387)</f>
        <v/>
      </c>
      <c r="N1387" s="79">
        <f>IF('Ordenes_Odoo'!N1387="","",'Ordenes_Odoo'!N1387)</f>
        <v/>
      </c>
      <c r="O1387" s="81">
        <f>IF('Ordenes_Odoo'!O1387="","",'Ordenes_Odoo'!O1387)</f>
        <v/>
      </c>
      <c r="P1387" s="81">
        <f>IF('Ordenes_Odoo'!P1387="","",'Ordenes_Odoo'!P1387)</f>
        <v/>
      </c>
      <c r="Q1387" s="79">
        <f>IF(A1387="","",IFERROR(INDEX(Facturas_Odoo!$B:$B, MATCH(A1387, Facturas_Odoo!$D:$D, 0)), "Sin Factura"))</f>
        <v/>
      </c>
      <c r="R1387" s="80">
        <f>IF(Q1387="Sin Factura","",IFERROR(INDEX(Facturas_Odoo!$A:$A, MATCH(Q1387, Facturas_Odoo!$B:$B, 0)), ""))</f>
        <v/>
      </c>
      <c r="S1387" s="79">
        <f>IF(Q1387="Sin Factura","",IFERROR(_xlfn.XLOOKUP(1, (Facturas_Odoo!$D:$D=A1387) * (Facturas_Odoo!$K:$K=I1387), Facturas_Odoo!$L:$L, ""), ""))</f>
        <v/>
      </c>
      <c r="T1387" s="81">
        <f>IF(Q1387="Sin Factura",0,IFERROR(_xlfn.XLOOKUP(1, (Facturas_Odoo!$D:$D=A1387) * (Facturas_Odoo!$K:$K=I1387), Facturas_Odoo!$M:$M, 0), 0))</f>
        <v/>
      </c>
      <c r="U1387" s="79">
        <f>IF(Q1387="Sin Factura",0,IFERROR(_xlfn.XLOOKUP(1, (Facturas_Odoo!$D:$D=A1387) * (Facturas_Odoo!$K:$K=I1387), Facturas_Odoo!$N:$N, 0), 0))</f>
        <v/>
      </c>
      <c r="V1387" s="79">
        <f>IF(Q1387="Sin Factura",0,IFERROR(_xlfn.XLOOKUP(1, (Facturas_Odoo!$D:$D=A1387) * (Facturas_Odoo!$K:$K=I1387), Facturas_Odoo!$O:$O, 0), 0))</f>
        <v/>
      </c>
      <c r="W1387" s="81">
        <f>IF(Q1387="Sin Factura",0,IFERROR(_xlfn.XLOOKUP(1, (Facturas_Odoo!$D:$D=A1387) * (Facturas_Odoo!$K:$K=I1387), Facturas_Odoo!$Q:$Q, 0), 0))</f>
        <v/>
      </c>
      <c r="X1387" s="79">
        <f>IF(OR(Q1387="Sin Factura",Q1387=""),"",IFERROR(INDEX(Pagos_Odoo!$B:$B, MATCH(Q1387, Pagos_Odoo!$I:$I, 0)), "Sin Pago"))</f>
        <v/>
      </c>
      <c r="Y1387" s="79">
        <f>IF(X1387="Sin Pago","",IFERROR(INDEX(Pagos_Odoo!$C:$C, MATCH(X1387, Pagos_Odoo!$B:$B, 0)), ""))</f>
        <v/>
      </c>
      <c r="Z1387" s="80">
        <f>IF(X1387="Sin Pago","",IFERROR(INDEX(Pagos_Odoo!$A:$A, MATCH(X1387, Pagos_Odoo!$B:$B, 0)), ""))</f>
        <v/>
      </c>
      <c r="AA1387" s="79">
        <f>IF(X1387="Sin Pago","",IFERROR(INDEX(Pagos_Odoo!$F:$F, MATCH(X1387, Pagos_Odoo!$B:$B, 0)), ""))</f>
        <v/>
      </c>
      <c r="AB1387" s="81">
        <f>IF(X1387="Sin Pago",0,IFERROR(INDEX(Pagos_Odoo!$E:$E, MATCH(X1387, Pagos_Odoo!$B:$B, 0)), 0))</f>
        <v/>
      </c>
      <c r="AC1387" s="79">
        <f>IF(X1387="Sin Pago","",IFERROR(INDEX(Pagos_Odoo!$G:$G, MATCH(X1387, Pagos_Odoo!$B:$B, 0)), ""))</f>
        <v/>
      </c>
      <c r="AD1387" s="82" t="n">
        <v>0</v>
      </c>
      <c r="AE1387" s="82" t="n"/>
      <c r="AF1387" s="82" t="n"/>
      <c r="AG1387" s="82">
        <f>IF(AN1387="","",AD1387+AE1387+AF1387)</f>
        <v/>
      </c>
      <c r="AH1387" s="81">
        <f>IF(AN1387="","",P1387*(1-AG1387))</f>
        <v/>
      </c>
      <c r="AI1387" s="81">
        <f>IF(AN1387="","",IF(Q1387="Sin Factura",0,IFERROR(INDEX(Facturas_Odoo!$H:$H, MATCH(Q1387, Facturas_Odoo!$B:$B, 0)), 0)*(1-AG1387)))</f>
        <v/>
      </c>
      <c r="AJ1387" s="81">
        <f>IF(AN1387="","",_xlfn.LET(idVenta, AN1387&amp;"",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87" s="81">
        <f>IF(AN1387="","",AH1387-AJ1387)</f>
        <v/>
      </c>
      <c r="AL1387" s="81">
        <f>IF(AN1387="","",IF(Q1387="Sin Factura","",AI1387-AJ1387))</f>
        <v/>
      </c>
      <c r="AM1387" s="81">
        <f>IF(AN1387="","",IF(Q1387="Sin Factura",0,P1387-IFERROR(INDEX(Facturas_Odoo!$H:$H, MATCH(Q1387, Facturas_Odoo!$B:$B, 0)), 0)))</f>
        <v/>
      </c>
      <c r="AN1387" s="79">
        <f>IF(AND(A1387="", J1387=""), "", IF(A1387&lt;&gt;"", VALUE(MID(A1387,2,LEN(A1387))), AN1386))</f>
        <v/>
      </c>
      <c r="AO1387" s="79">
        <f>IF(AN1387="","",IF(AD1387=0,"OK",_xlfn.LET(monedaPago, IF(AA1387="","USD",AA1387), limitePermitido, IFERROR(VLOOKUP(monedaPago, Configuración!$A$2:$B$3, 2, FALSE), 0.15), IF(AD1387&gt;limitePermitido, "ALERTA: EXCESO (" &amp; TEXT(limitePermitido, "0%") &amp; " máx)", "OK"))))</f>
        <v/>
      </c>
      <c r="AP1387" s="79">
        <f>IF(AN1387="","",IF(AE1387=0,"OK",_xlfn.LET(fechaPago, Z1387, fechaFactura, R1387, diasCredito, IF(E1387="Pago inmediato", 0, IFERROR(VALUE(MID(E1387, 1, SEARCH(" ", E1387)-1)),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87" s="79">
        <f>IF(AN1387="","",IF(AND(N1387&gt;0, AG1387&gt;0), IF(Configuración!$K$2="NO", "ALERTA: DESCUENTO DOBLE NO PERMITIDO", "OK"), "OK"))</f>
        <v/>
      </c>
      <c r="AR1387" s="79">
        <f>IF(AN1387="","",IF(OR(AO1387&lt;&gt;"OK", AP1387&lt;&gt;"OK", AQ1387&lt;&gt;"OK"), "⚠️ REVISAR", "OK"))</f>
        <v/>
      </c>
    </row>
    <row r="1388">
      <c r="A1388" s="79">
        <f>IF('Ordenes_Odoo'!A1388="","",'Ordenes_Odoo'!A1388)</f>
        <v/>
      </c>
      <c r="B1388" s="80">
        <f>IF('Ordenes_Odoo'!B1388="","",'Ordenes_Odoo'!B1388)</f>
        <v/>
      </c>
      <c r="C1388" s="79">
        <f>IF('Ordenes_Odoo'!C1388="","",'Ordenes_Odoo'!C1388)</f>
        <v/>
      </c>
      <c r="D1388" s="79">
        <f>IF('Ordenes_Odoo'!D1388="","",'Ordenes_Odoo'!D1388)</f>
        <v/>
      </c>
      <c r="E1388" s="79">
        <f>IF('Ordenes_Odoo'!E1388="","",'Ordenes_Odoo'!E1388)</f>
        <v/>
      </c>
      <c r="F1388" s="79">
        <f>IF('Ordenes_Odoo'!F1388="","",'Ordenes_Odoo'!F1388)</f>
        <v/>
      </c>
      <c r="G1388" s="79">
        <f>IF('Ordenes_Odoo'!G1388="","",'Ordenes_Odoo'!G1388)</f>
        <v/>
      </c>
      <c r="H1388" s="79">
        <f>IF('Ordenes_Odoo'!H1388="","",'Ordenes_Odoo'!H1388)</f>
        <v/>
      </c>
      <c r="I1388" s="79">
        <f>IF('Ordenes_Odoo'!I1388="","",'Ordenes_Odoo'!I1388)</f>
        <v/>
      </c>
      <c r="J1388" s="79">
        <f>IF('Ordenes_Odoo'!J1388="","",'Ordenes_Odoo'!J1388)</f>
        <v/>
      </c>
      <c r="K1388" s="81">
        <f>IF('Ordenes_Odoo'!K1388="","",'Ordenes_Odoo'!K1388)</f>
        <v/>
      </c>
      <c r="L1388" s="81">
        <f>IF('Ordenes_Odoo'!L1388="","",'Ordenes_Odoo'!L1388)</f>
        <v/>
      </c>
      <c r="M1388" s="79">
        <f>IF('Ordenes_Odoo'!M1388="","",'Ordenes_Odoo'!M1388)</f>
        <v/>
      </c>
      <c r="N1388" s="79">
        <f>IF('Ordenes_Odoo'!N1388="","",'Ordenes_Odoo'!N1388)</f>
        <v/>
      </c>
      <c r="O1388" s="81">
        <f>IF('Ordenes_Odoo'!O1388="","",'Ordenes_Odoo'!O1388)</f>
        <v/>
      </c>
      <c r="P1388" s="81">
        <f>IF('Ordenes_Odoo'!P1388="","",'Ordenes_Odoo'!P1388)</f>
        <v/>
      </c>
      <c r="Q1388" s="79">
        <f>IF(A1388="","",IFERROR(INDEX(Facturas_Odoo!$B:$B, MATCH(A1388, Facturas_Odoo!$D:$D, 0)), "Sin Factura"))</f>
        <v/>
      </c>
      <c r="R1388" s="80">
        <f>IF(Q1388="Sin Factura","",IFERROR(INDEX(Facturas_Odoo!$A:$A, MATCH(Q1388, Facturas_Odoo!$B:$B, 0)), ""))</f>
        <v/>
      </c>
      <c r="S1388" s="79">
        <f>IF(Q1388="Sin Factura","",IFERROR(_xlfn.XLOOKUP(1, (Facturas_Odoo!$D:$D=A1388) * (Facturas_Odoo!$K:$K=I1388), Facturas_Odoo!$L:$L, ""), ""))</f>
        <v/>
      </c>
      <c r="T1388" s="81">
        <f>IF(Q1388="Sin Factura",0,IFERROR(_xlfn.XLOOKUP(1, (Facturas_Odoo!$D:$D=A1388) * (Facturas_Odoo!$K:$K=I1388), Facturas_Odoo!$M:$M, 0), 0))</f>
        <v/>
      </c>
      <c r="U1388" s="79">
        <f>IF(Q1388="Sin Factura",0,IFERROR(_xlfn.XLOOKUP(1, (Facturas_Odoo!$D:$D=A1388) * (Facturas_Odoo!$K:$K=I1388), Facturas_Odoo!$N:$N, 0), 0))</f>
        <v/>
      </c>
      <c r="V1388" s="79">
        <f>IF(Q1388="Sin Factura",0,IFERROR(_xlfn.XLOOKUP(1, (Facturas_Odoo!$D:$D=A1388) * (Facturas_Odoo!$K:$K=I1388), Facturas_Odoo!$O:$O, 0), 0))</f>
        <v/>
      </c>
      <c r="W1388" s="81">
        <f>IF(Q1388="Sin Factura",0,IFERROR(_xlfn.XLOOKUP(1, (Facturas_Odoo!$D:$D=A1388) * (Facturas_Odoo!$K:$K=I1388), Facturas_Odoo!$Q:$Q, 0), 0))</f>
        <v/>
      </c>
      <c r="X1388" s="79">
        <f>IF(OR(Q1388="Sin Factura",Q1388=""),"",IFERROR(INDEX(Pagos_Odoo!$B:$B, MATCH(Q1388, Pagos_Odoo!$I:$I, 0)), "Sin Pago"))</f>
        <v/>
      </c>
      <c r="Y1388" s="79">
        <f>IF(X1388="Sin Pago","",IFERROR(INDEX(Pagos_Odoo!$C:$C, MATCH(X1388, Pagos_Odoo!$B:$B, 0)), ""))</f>
        <v/>
      </c>
      <c r="Z1388" s="80">
        <f>IF(X1388="Sin Pago","",IFERROR(INDEX(Pagos_Odoo!$A:$A, MATCH(X1388, Pagos_Odoo!$B:$B, 0)), ""))</f>
        <v/>
      </c>
      <c r="AA1388" s="79">
        <f>IF(X1388="Sin Pago","",IFERROR(INDEX(Pagos_Odoo!$F:$F, MATCH(X1388, Pagos_Odoo!$B:$B, 0)), ""))</f>
        <v/>
      </c>
      <c r="AB1388" s="81">
        <f>IF(X1388="Sin Pago",0,IFERROR(INDEX(Pagos_Odoo!$E:$E, MATCH(X1388, Pagos_Odoo!$B:$B, 0)), 0))</f>
        <v/>
      </c>
      <c r="AC1388" s="79">
        <f>IF(X1388="Sin Pago","",IFERROR(INDEX(Pagos_Odoo!$G:$G, MATCH(X1388, Pagos_Odoo!$B:$B, 0)), ""))</f>
        <v/>
      </c>
      <c r="AD1388" s="82" t="n">
        <v>0</v>
      </c>
      <c r="AE1388" s="82" t="n"/>
      <c r="AF1388" s="82" t="n"/>
      <c r="AG1388" s="82">
        <f>IF(AN1388="","",AD1388+AE1388+AF1388)</f>
        <v/>
      </c>
      <c r="AH1388" s="81">
        <f>IF(AN1388="","",P1388*(1-AG1388))</f>
        <v/>
      </c>
      <c r="AI1388" s="81">
        <f>IF(AN1388="","",IF(Q1388="Sin Factura",0,IFERROR(INDEX(Facturas_Odoo!$H:$H, MATCH(Q1388, Facturas_Odoo!$B:$B, 0)), 0)*(1-AG1388)))</f>
        <v/>
      </c>
      <c r="AJ1388" s="81">
        <f>IF(AN1388="","",_xlfn.LET(idVenta, AN1388&amp;"",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88" s="81">
        <f>IF(AN1388="","",AH1388-AJ1388)</f>
        <v/>
      </c>
      <c r="AL1388" s="81">
        <f>IF(AN1388="","",IF(Q1388="Sin Factura","",AI1388-AJ1388))</f>
        <v/>
      </c>
      <c r="AM1388" s="81">
        <f>IF(AN1388="","",IF(Q1388="Sin Factura",0,P1388-IFERROR(INDEX(Facturas_Odoo!$H:$H, MATCH(Q1388, Facturas_Odoo!$B:$B, 0)), 0)))</f>
        <v/>
      </c>
      <c r="AN1388" s="79">
        <f>IF(AND(A1388="", J1388=""), "", IF(A1388&lt;&gt;"", VALUE(MID(A1388,2,LEN(A1388))), AN1387))</f>
        <v/>
      </c>
      <c r="AO1388" s="79">
        <f>IF(AN1388="","",IF(AD1388=0,"OK",_xlfn.LET(monedaPago, IF(AA1388="","USD",AA1388), limitePermitido, IFERROR(VLOOKUP(monedaPago, Configuración!$A$2:$B$3, 2, FALSE), 0.15), IF(AD1388&gt;limitePermitido, "ALERTA: EXCESO (" &amp; TEXT(limitePermitido, "0%") &amp; " máx)", "OK"))))</f>
        <v/>
      </c>
      <c r="AP1388" s="79">
        <f>IF(AN1388="","",IF(AE1388=0,"OK",_xlfn.LET(fechaPago, Z1388, fechaFactura, R1388, diasCredito, IF(E1388="Pago inmediato", 0, IFERROR(VALUE(MID(E1388, 1, SEARCH(" ", E1388)-1)),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88" s="79">
        <f>IF(AN1388="","",IF(AND(N1388&gt;0, AG1388&gt;0), IF(Configuración!$K$2="NO", "ALERTA: DESCUENTO DOBLE NO PERMITIDO", "OK"), "OK"))</f>
        <v/>
      </c>
      <c r="AR1388" s="79">
        <f>IF(AN1388="","",IF(OR(AO1388&lt;&gt;"OK", AP1388&lt;&gt;"OK", AQ1388&lt;&gt;"OK"), "⚠️ REVISAR", "OK"))</f>
        <v/>
      </c>
    </row>
    <row r="1389">
      <c r="A1389" s="79">
        <f>IF('Ordenes_Odoo'!A1389="","",'Ordenes_Odoo'!A1389)</f>
        <v/>
      </c>
      <c r="B1389" s="80">
        <f>IF('Ordenes_Odoo'!B1389="","",'Ordenes_Odoo'!B1389)</f>
        <v/>
      </c>
      <c r="C1389" s="79">
        <f>IF('Ordenes_Odoo'!C1389="","",'Ordenes_Odoo'!C1389)</f>
        <v/>
      </c>
      <c r="D1389" s="79">
        <f>IF('Ordenes_Odoo'!D1389="","",'Ordenes_Odoo'!D1389)</f>
        <v/>
      </c>
      <c r="E1389" s="79">
        <f>IF('Ordenes_Odoo'!E1389="","",'Ordenes_Odoo'!E1389)</f>
        <v/>
      </c>
      <c r="F1389" s="79">
        <f>IF('Ordenes_Odoo'!F1389="","",'Ordenes_Odoo'!F1389)</f>
        <v/>
      </c>
      <c r="G1389" s="79">
        <f>IF('Ordenes_Odoo'!G1389="","",'Ordenes_Odoo'!G1389)</f>
        <v/>
      </c>
      <c r="H1389" s="79">
        <f>IF('Ordenes_Odoo'!H1389="","",'Ordenes_Odoo'!H1389)</f>
        <v/>
      </c>
      <c r="I1389" s="79">
        <f>IF('Ordenes_Odoo'!I1389="","",'Ordenes_Odoo'!I1389)</f>
        <v/>
      </c>
      <c r="J1389" s="79">
        <f>IF('Ordenes_Odoo'!J1389="","",'Ordenes_Odoo'!J1389)</f>
        <v/>
      </c>
      <c r="K1389" s="81">
        <f>IF('Ordenes_Odoo'!K1389="","",'Ordenes_Odoo'!K1389)</f>
        <v/>
      </c>
      <c r="L1389" s="81">
        <f>IF('Ordenes_Odoo'!L1389="","",'Ordenes_Odoo'!L1389)</f>
        <v/>
      </c>
      <c r="M1389" s="79">
        <f>IF('Ordenes_Odoo'!M1389="","",'Ordenes_Odoo'!M1389)</f>
        <v/>
      </c>
      <c r="N1389" s="79">
        <f>IF('Ordenes_Odoo'!N1389="","",'Ordenes_Odoo'!N1389)</f>
        <v/>
      </c>
      <c r="O1389" s="81">
        <f>IF('Ordenes_Odoo'!O1389="","",'Ordenes_Odoo'!O1389)</f>
        <v/>
      </c>
      <c r="P1389" s="81">
        <f>IF('Ordenes_Odoo'!P1389="","",'Ordenes_Odoo'!P1389)</f>
        <v/>
      </c>
      <c r="Q1389" s="79">
        <f>IF(A1389="","",IFERROR(INDEX(Facturas_Odoo!$B:$B, MATCH(A1389, Facturas_Odoo!$D:$D, 0)), "Sin Factura"))</f>
        <v/>
      </c>
      <c r="R1389" s="80">
        <f>IF(Q1389="Sin Factura","",IFERROR(INDEX(Facturas_Odoo!$A:$A, MATCH(Q1389, Facturas_Odoo!$B:$B, 0)), ""))</f>
        <v/>
      </c>
      <c r="S1389" s="79">
        <f>IF(Q1389="Sin Factura","",IFERROR(_xlfn.XLOOKUP(1, (Facturas_Odoo!$D:$D=A1389) * (Facturas_Odoo!$K:$K=I1389), Facturas_Odoo!$L:$L, ""), ""))</f>
        <v/>
      </c>
      <c r="T1389" s="81">
        <f>IF(Q1389="Sin Factura",0,IFERROR(_xlfn.XLOOKUP(1, (Facturas_Odoo!$D:$D=A1389) * (Facturas_Odoo!$K:$K=I1389), Facturas_Odoo!$M:$M, 0), 0))</f>
        <v/>
      </c>
      <c r="U1389" s="79">
        <f>IF(Q1389="Sin Factura",0,IFERROR(_xlfn.XLOOKUP(1, (Facturas_Odoo!$D:$D=A1389) * (Facturas_Odoo!$K:$K=I1389), Facturas_Odoo!$N:$N, 0), 0))</f>
        <v/>
      </c>
      <c r="V1389" s="79">
        <f>IF(Q1389="Sin Factura",0,IFERROR(_xlfn.XLOOKUP(1, (Facturas_Odoo!$D:$D=A1389) * (Facturas_Odoo!$K:$K=I1389), Facturas_Odoo!$O:$O, 0), 0))</f>
        <v/>
      </c>
      <c r="W1389" s="81">
        <f>IF(Q1389="Sin Factura",0,IFERROR(_xlfn.XLOOKUP(1, (Facturas_Odoo!$D:$D=A1389) * (Facturas_Odoo!$K:$K=I1389), Facturas_Odoo!$Q:$Q, 0), 0))</f>
        <v/>
      </c>
      <c r="X1389" s="79">
        <f>IF(OR(Q1389="Sin Factura",Q1389=""),"",IFERROR(INDEX(Pagos_Odoo!$B:$B, MATCH(Q1389, Pagos_Odoo!$I:$I, 0)), "Sin Pago"))</f>
        <v/>
      </c>
      <c r="Y1389" s="79">
        <f>IF(X1389="Sin Pago","",IFERROR(INDEX(Pagos_Odoo!$C:$C, MATCH(X1389, Pagos_Odoo!$B:$B, 0)), ""))</f>
        <v/>
      </c>
      <c r="Z1389" s="80">
        <f>IF(X1389="Sin Pago","",IFERROR(INDEX(Pagos_Odoo!$A:$A, MATCH(X1389, Pagos_Odoo!$B:$B, 0)), ""))</f>
        <v/>
      </c>
      <c r="AA1389" s="79">
        <f>IF(X1389="Sin Pago","",IFERROR(INDEX(Pagos_Odoo!$F:$F, MATCH(X1389, Pagos_Odoo!$B:$B, 0)), ""))</f>
        <v/>
      </c>
      <c r="AB1389" s="81">
        <f>IF(X1389="Sin Pago",0,IFERROR(INDEX(Pagos_Odoo!$E:$E, MATCH(X1389, Pagos_Odoo!$B:$B, 0)), 0))</f>
        <v/>
      </c>
      <c r="AC1389" s="79">
        <f>IF(X1389="Sin Pago","",IFERROR(INDEX(Pagos_Odoo!$G:$G, MATCH(X1389, Pagos_Odoo!$B:$B, 0)), ""))</f>
        <v/>
      </c>
      <c r="AD1389" s="82" t="n">
        <v>0</v>
      </c>
      <c r="AE1389" s="82" t="n"/>
      <c r="AF1389" s="82" t="n"/>
      <c r="AG1389" s="82">
        <f>IF(AN1389="","",AD1389+AE1389+AF1389)</f>
        <v/>
      </c>
      <c r="AH1389" s="81">
        <f>IF(AN1389="","",P1389*(1-AG1389))</f>
        <v/>
      </c>
      <c r="AI1389" s="81">
        <f>IF(AN1389="","",IF(Q1389="Sin Factura",0,IFERROR(INDEX(Facturas_Odoo!$H:$H, MATCH(Q1389, Facturas_Odoo!$B:$B, 0)), 0)*(1-AG1389)))</f>
        <v/>
      </c>
      <c r="AJ1389" s="81">
        <f>IF(AN1389="","",_xlfn.LET(idVenta, AN1389&amp;"",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89" s="81">
        <f>IF(AN1389="","",AH1389-AJ1389)</f>
        <v/>
      </c>
      <c r="AL1389" s="81">
        <f>IF(AN1389="","",IF(Q1389="Sin Factura","",AI1389-AJ1389))</f>
        <v/>
      </c>
      <c r="AM1389" s="81">
        <f>IF(AN1389="","",IF(Q1389="Sin Factura",0,P1389-IFERROR(INDEX(Facturas_Odoo!$H:$H, MATCH(Q1389, Facturas_Odoo!$B:$B, 0)), 0)))</f>
        <v/>
      </c>
      <c r="AN1389" s="79">
        <f>IF(AND(A1389="", J1389=""), "", IF(A1389&lt;&gt;"", VALUE(MID(A1389,2,LEN(A1389))), AN1388))</f>
        <v/>
      </c>
      <c r="AO1389" s="79">
        <f>IF(AN1389="","",IF(AD1389=0,"OK",_xlfn.LET(monedaPago, IF(AA1389="","USD",AA1389), limitePermitido, IFERROR(VLOOKUP(monedaPago, Configuración!$A$2:$B$3, 2, FALSE), 0.15), IF(AD1389&gt;limitePermitido, "ALERTA: EXCESO (" &amp; TEXT(limitePermitido, "0%") &amp; " máx)", "OK"))))</f>
        <v/>
      </c>
      <c r="AP1389" s="79">
        <f>IF(AN1389="","",IF(AE1389=0,"OK",_xlfn.LET(fechaPago, Z1389, fechaFactura, R1389, diasCredito, IF(E1389="Pago inmediato", 0, IFERROR(VALUE(MID(E1389, 1, SEARCH(" ", E1389)-1)),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89" s="79">
        <f>IF(AN1389="","",IF(AND(N1389&gt;0, AG1389&gt;0), IF(Configuración!$K$2="NO", "ALERTA: DESCUENTO DOBLE NO PERMITIDO", "OK"), "OK"))</f>
        <v/>
      </c>
      <c r="AR1389" s="79">
        <f>IF(AN1389="","",IF(OR(AO1389&lt;&gt;"OK", AP1389&lt;&gt;"OK", AQ1389&lt;&gt;"OK"), "⚠️ REVISAR", "OK"))</f>
        <v/>
      </c>
    </row>
    <row r="1390">
      <c r="A1390" s="79">
        <f>IF('Ordenes_Odoo'!A1390="","",'Ordenes_Odoo'!A1390)</f>
        <v/>
      </c>
      <c r="B1390" s="80">
        <f>IF('Ordenes_Odoo'!B1390="","",'Ordenes_Odoo'!B1390)</f>
        <v/>
      </c>
      <c r="C1390" s="79">
        <f>IF('Ordenes_Odoo'!C1390="","",'Ordenes_Odoo'!C1390)</f>
        <v/>
      </c>
      <c r="D1390" s="79">
        <f>IF('Ordenes_Odoo'!D1390="","",'Ordenes_Odoo'!D1390)</f>
        <v/>
      </c>
      <c r="E1390" s="79">
        <f>IF('Ordenes_Odoo'!E1390="","",'Ordenes_Odoo'!E1390)</f>
        <v/>
      </c>
      <c r="F1390" s="79">
        <f>IF('Ordenes_Odoo'!F1390="","",'Ordenes_Odoo'!F1390)</f>
        <v/>
      </c>
      <c r="G1390" s="79">
        <f>IF('Ordenes_Odoo'!G1390="","",'Ordenes_Odoo'!G1390)</f>
        <v/>
      </c>
      <c r="H1390" s="79">
        <f>IF('Ordenes_Odoo'!H1390="","",'Ordenes_Odoo'!H1390)</f>
        <v/>
      </c>
      <c r="I1390" s="79">
        <f>IF('Ordenes_Odoo'!I1390="","",'Ordenes_Odoo'!I1390)</f>
        <v/>
      </c>
      <c r="J1390" s="79">
        <f>IF('Ordenes_Odoo'!J1390="","",'Ordenes_Odoo'!J1390)</f>
        <v/>
      </c>
      <c r="K1390" s="81">
        <f>IF('Ordenes_Odoo'!K1390="","",'Ordenes_Odoo'!K1390)</f>
        <v/>
      </c>
      <c r="L1390" s="81">
        <f>IF('Ordenes_Odoo'!L1390="","",'Ordenes_Odoo'!L1390)</f>
        <v/>
      </c>
      <c r="M1390" s="79">
        <f>IF('Ordenes_Odoo'!M1390="","",'Ordenes_Odoo'!M1390)</f>
        <v/>
      </c>
      <c r="N1390" s="79">
        <f>IF('Ordenes_Odoo'!N1390="","",'Ordenes_Odoo'!N1390)</f>
        <v/>
      </c>
      <c r="O1390" s="81">
        <f>IF('Ordenes_Odoo'!O1390="","",'Ordenes_Odoo'!O1390)</f>
        <v/>
      </c>
      <c r="P1390" s="81">
        <f>IF('Ordenes_Odoo'!P1390="","",'Ordenes_Odoo'!P1390)</f>
        <v/>
      </c>
      <c r="Q1390" s="79">
        <f>IF(A1390="","",IFERROR(INDEX(Facturas_Odoo!$B:$B, MATCH(A1390, Facturas_Odoo!$D:$D, 0)), "Sin Factura"))</f>
        <v/>
      </c>
      <c r="R1390" s="80">
        <f>IF(Q1390="Sin Factura","",IFERROR(INDEX(Facturas_Odoo!$A:$A, MATCH(Q1390, Facturas_Odoo!$B:$B, 0)), ""))</f>
        <v/>
      </c>
      <c r="S1390" s="79">
        <f>IF(Q1390="Sin Factura","",IFERROR(_xlfn.XLOOKUP(1, (Facturas_Odoo!$D:$D=A1390) * (Facturas_Odoo!$K:$K=I1390), Facturas_Odoo!$L:$L, ""), ""))</f>
        <v/>
      </c>
      <c r="T1390" s="81">
        <f>IF(Q1390="Sin Factura",0,IFERROR(_xlfn.XLOOKUP(1, (Facturas_Odoo!$D:$D=A1390) * (Facturas_Odoo!$K:$K=I1390), Facturas_Odoo!$M:$M, 0), 0))</f>
        <v/>
      </c>
      <c r="U1390" s="79">
        <f>IF(Q1390="Sin Factura",0,IFERROR(_xlfn.XLOOKUP(1, (Facturas_Odoo!$D:$D=A1390) * (Facturas_Odoo!$K:$K=I1390), Facturas_Odoo!$N:$N, 0), 0))</f>
        <v/>
      </c>
      <c r="V1390" s="79">
        <f>IF(Q1390="Sin Factura",0,IFERROR(_xlfn.XLOOKUP(1, (Facturas_Odoo!$D:$D=A1390) * (Facturas_Odoo!$K:$K=I1390), Facturas_Odoo!$O:$O, 0), 0))</f>
        <v/>
      </c>
      <c r="W1390" s="81">
        <f>IF(Q1390="Sin Factura",0,IFERROR(_xlfn.XLOOKUP(1, (Facturas_Odoo!$D:$D=A1390) * (Facturas_Odoo!$K:$K=I1390), Facturas_Odoo!$Q:$Q, 0), 0))</f>
        <v/>
      </c>
      <c r="X1390" s="79">
        <f>IF(OR(Q1390="Sin Factura",Q1390=""),"",IFERROR(INDEX(Pagos_Odoo!$B:$B, MATCH(Q1390, Pagos_Odoo!$I:$I, 0)), "Sin Pago"))</f>
        <v/>
      </c>
      <c r="Y1390" s="79">
        <f>IF(X1390="Sin Pago","",IFERROR(INDEX(Pagos_Odoo!$C:$C, MATCH(X1390, Pagos_Odoo!$B:$B, 0)), ""))</f>
        <v/>
      </c>
      <c r="Z1390" s="80">
        <f>IF(X1390="Sin Pago","",IFERROR(INDEX(Pagos_Odoo!$A:$A, MATCH(X1390, Pagos_Odoo!$B:$B, 0)), ""))</f>
        <v/>
      </c>
      <c r="AA1390" s="79">
        <f>IF(X1390="Sin Pago","",IFERROR(INDEX(Pagos_Odoo!$F:$F, MATCH(X1390, Pagos_Odoo!$B:$B, 0)), ""))</f>
        <v/>
      </c>
      <c r="AB1390" s="81">
        <f>IF(X1390="Sin Pago",0,IFERROR(INDEX(Pagos_Odoo!$E:$E, MATCH(X1390, Pagos_Odoo!$B:$B, 0)), 0))</f>
        <v/>
      </c>
      <c r="AC1390" s="79">
        <f>IF(X1390="Sin Pago","",IFERROR(INDEX(Pagos_Odoo!$G:$G, MATCH(X1390, Pagos_Odoo!$B:$B, 0)), ""))</f>
        <v/>
      </c>
      <c r="AD1390" s="82" t="n">
        <v>0</v>
      </c>
      <c r="AE1390" s="82" t="n"/>
      <c r="AF1390" s="82" t="n"/>
      <c r="AG1390" s="82">
        <f>IF(AN1390="","",AD1390+AE1390+AF1390)</f>
        <v/>
      </c>
      <c r="AH1390" s="81">
        <f>IF(AN1390="","",P1390*(1-AG1390))</f>
        <v/>
      </c>
      <c r="AI1390" s="81">
        <f>IF(AN1390="","",IF(Q1390="Sin Factura",0,IFERROR(INDEX(Facturas_Odoo!$H:$H, MATCH(Q1390, Facturas_Odoo!$B:$B, 0)), 0)*(1-AG1390)))</f>
        <v/>
      </c>
      <c r="AJ1390" s="81">
        <f>IF(AN1390="","",_xlfn.LET(idVenta, AN1390&amp;"",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90" s="81">
        <f>IF(AN1390="","",AH1390-AJ1390)</f>
        <v/>
      </c>
      <c r="AL1390" s="81">
        <f>IF(AN1390="","",IF(Q1390="Sin Factura","",AI1390-AJ1390))</f>
        <v/>
      </c>
      <c r="AM1390" s="81">
        <f>IF(AN1390="","",IF(Q1390="Sin Factura",0,P1390-IFERROR(INDEX(Facturas_Odoo!$H:$H, MATCH(Q1390, Facturas_Odoo!$B:$B, 0)), 0)))</f>
        <v/>
      </c>
      <c r="AN1390" s="79">
        <f>IF(AND(A1390="", J1390=""), "", IF(A1390&lt;&gt;"", VALUE(MID(A1390,2,LEN(A1390))), AN1389))</f>
        <v/>
      </c>
      <c r="AO1390" s="79">
        <f>IF(AN1390="","",IF(AD1390=0,"OK",_xlfn.LET(monedaPago, IF(AA1390="","USD",AA1390), limitePermitido, IFERROR(VLOOKUP(monedaPago, Configuración!$A$2:$B$3, 2, FALSE), 0.15), IF(AD1390&gt;limitePermitido, "ALERTA: EXCESO (" &amp; TEXT(limitePermitido, "0%") &amp; " máx)", "OK"))))</f>
        <v/>
      </c>
      <c r="AP1390" s="79">
        <f>IF(AN1390="","",IF(AE1390=0,"OK",_xlfn.LET(fechaPago, Z1390, fechaFactura, R1390, diasCredito, IF(E1390="Pago inmediato", 0, IFERROR(VALUE(MID(E1390, 1, SEARCH(" ", E1390)-1)),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90" s="79">
        <f>IF(AN1390="","",IF(AND(N1390&gt;0, AG1390&gt;0), IF(Configuración!$K$2="NO", "ALERTA: DESCUENTO DOBLE NO PERMITIDO", "OK"), "OK"))</f>
        <v/>
      </c>
      <c r="AR1390" s="79">
        <f>IF(AN1390="","",IF(OR(AO1390&lt;&gt;"OK", AP1390&lt;&gt;"OK", AQ1390&lt;&gt;"OK"), "⚠️ REVISAR", "OK"))</f>
        <v/>
      </c>
    </row>
    <row r="1391">
      <c r="A1391" s="79">
        <f>IF('Ordenes_Odoo'!A1391="","",'Ordenes_Odoo'!A1391)</f>
        <v/>
      </c>
      <c r="B1391" s="80">
        <f>IF('Ordenes_Odoo'!B1391="","",'Ordenes_Odoo'!B1391)</f>
        <v/>
      </c>
      <c r="C1391" s="79">
        <f>IF('Ordenes_Odoo'!C1391="","",'Ordenes_Odoo'!C1391)</f>
        <v/>
      </c>
      <c r="D1391" s="79">
        <f>IF('Ordenes_Odoo'!D1391="","",'Ordenes_Odoo'!D1391)</f>
        <v/>
      </c>
      <c r="E1391" s="79">
        <f>IF('Ordenes_Odoo'!E1391="","",'Ordenes_Odoo'!E1391)</f>
        <v/>
      </c>
      <c r="F1391" s="79">
        <f>IF('Ordenes_Odoo'!F1391="","",'Ordenes_Odoo'!F1391)</f>
        <v/>
      </c>
      <c r="G1391" s="79">
        <f>IF('Ordenes_Odoo'!G1391="","",'Ordenes_Odoo'!G1391)</f>
        <v/>
      </c>
      <c r="H1391" s="79">
        <f>IF('Ordenes_Odoo'!H1391="","",'Ordenes_Odoo'!H1391)</f>
        <v/>
      </c>
      <c r="I1391" s="79">
        <f>IF('Ordenes_Odoo'!I1391="","",'Ordenes_Odoo'!I1391)</f>
        <v/>
      </c>
      <c r="J1391" s="79">
        <f>IF('Ordenes_Odoo'!J1391="","",'Ordenes_Odoo'!J1391)</f>
        <v/>
      </c>
      <c r="K1391" s="81">
        <f>IF('Ordenes_Odoo'!K1391="","",'Ordenes_Odoo'!K1391)</f>
        <v/>
      </c>
      <c r="L1391" s="81">
        <f>IF('Ordenes_Odoo'!L1391="","",'Ordenes_Odoo'!L1391)</f>
        <v/>
      </c>
      <c r="M1391" s="79">
        <f>IF('Ordenes_Odoo'!M1391="","",'Ordenes_Odoo'!M1391)</f>
        <v/>
      </c>
      <c r="N1391" s="79">
        <f>IF('Ordenes_Odoo'!N1391="","",'Ordenes_Odoo'!N1391)</f>
        <v/>
      </c>
      <c r="O1391" s="81">
        <f>IF('Ordenes_Odoo'!O1391="","",'Ordenes_Odoo'!O1391)</f>
        <v/>
      </c>
      <c r="P1391" s="81">
        <f>IF('Ordenes_Odoo'!P1391="","",'Ordenes_Odoo'!P1391)</f>
        <v/>
      </c>
      <c r="Q1391" s="79">
        <f>IF(A1391="","",IFERROR(INDEX(Facturas_Odoo!$B:$B, MATCH(A1391, Facturas_Odoo!$D:$D, 0)), "Sin Factura"))</f>
        <v/>
      </c>
      <c r="R1391" s="80">
        <f>IF(Q1391="Sin Factura","",IFERROR(INDEX(Facturas_Odoo!$A:$A, MATCH(Q1391, Facturas_Odoo!$B:$B, 0)), ""))</f>
        <v/>
      </c>
      <c r="S1391" s="79">
        <f>IF(Q1391="Sin Factura","",IFERROR(_xlfn.XLOOKUP(1, (Facturas_Odoo!$D:$D=A1391) * (Facturas_Odoo!$K:$K=I1391), Facturas_Odoo!$L:$L, ""), ""))</f>
        <v/>
      </c>
      <c r="T1391" s="81">
        <f>IF(Q1391="Sin Factura",0,IFERROR(_xlfn.XLOOKUP(1, (Facturas_Odoo!$D:$D=A1391) * (Facturas_Odoo!$K:$K=I1391), Facturas_Odoo!$M:$M, 0), 0))</f>
        <v/>
      </c>
      <c r="U1391" s="79">
        <f>IF(Q1391="Sin Factura",0,IFERROR(_xlfn.XLOOKUP(1, (Facturas_Odoo!$D:$D=A1391) * (Facturas_Odoo!$K:$K=I1391), Facturas_Odoo!$N:$N, 0), 0))</f>
        <v/>
      </c>
      <c r="V1391" s="79">
        <f>IF(Q1391="Sin Factura",0,IFERROR(_xlfn.XLOOKUP(1, (Facturas_Odoo!$D:$D=A1391) * (Facturas_Odoo!$K:$K=I1391), Facturas_Odoo!$O:$O, 0), 0))</f>
        <v/>
      </c>
      <c r="W1391" s="81">
        <f>IF(Q1391="Sin Factura",0,IFERROR(_xlfn.XLOOKUP(1, (Facturas_Odoo!$D:$D=A1391) * (Facturas_Odoo!$K:$K=I1391), Facturas_Odoo!$Q:$Q, 0), 0))</f>
        <v/>
      </c>
      <c r="X1391" s="79">
        <f>IF(OR(Q1391="Sin Factura",Q1391=""),"",IFERROR(INDEX(Pagos_Odoo!$B:$B, MATCH(Q1391, Pagos_Odoo!$I:$I, 0)), "Sin Pago"))</f>
        <v/>
      </c>
      <c r="Y1391" s="79">
        <f>IF(X1391="Sin Pago","",IFERROR(INDEX(Pagos_Odoo!$C:$C, MATCH(X1391, Pagos_Odoo!$B:$B, 0)), ""))</f>
        <v/>
      </c>
      <c r="Z1391" s="80">
        <f>IF(X1391="Sin Pago","",IFERROR(INDEX(Pagos_Odoo!$A:$A, MATCH(X1391, Pagos_Odoo!$B:$B, 0)), ""))</f>
        <v/>
      </c>
      <c r="AA1391" s="79">
        <f>IF(X1391="Sin Pago","",IFERROR(INDEX(Pagos_Odoo!$F:$F, MATCH(X1391, Pagos_Odoo!$B:$B, 0)), ""))</f>
        <v/>
      </c>
      <c r="AB1391" s="81">
        <f>IF(X1391="Sin Pago",0,IFERROR(INDEX(Pagos_Odoo!$E:$E, MATCH(X1391, Pagos_Odoo!$B:$B, 0)), 0))</f>
        <v/>
      </c>
      <c r="AC1391" s="79">
        <f>IF(X1391="Sin Pago","",IFERROR(INDEX(Pagos_Odoo!$G:$G, MATCH(X1391, Pagos_Odoo!$B:$B, 0)), ""))</f>
        <v/>
      </c>
      <c r="AD1391" s="82" t="n">
        <v>0</v>
      </c>
      <c r="AE1391" s="82" t="n"/>
      <c r="AF1391" s="82" t="n"/>
      <c r="AG1391" s="82">
        <f>IF(AN1391="","",AD1391+AE1391+AF1391)</f>
        <v/>
      </c>
      <c r="AH1391" s="81">
        <f>IF(AN1391="","",P1391*(1-AG1391))</f>
        <v/>
      </c>
      <c r="AI1391" s="81">
        <f>IF(AN1391="","",IF(Q1391="Sin Factura",0,IFERROR(INDEX(Facturas_Odoo!$H:$H, MATCH(Q1391, Facturas_Odoo!$B:$B, 0)), 0)*(1-AG1391)))</f>
        <v/>
      </c>
      <c r="AJ1391" s="81">
        <f>IF(AN1391="","",_xlfn.LET(idVenta, AN1391&amp;"",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91" s="81">
        <f>IF(AN1391="","",AH1391-AJ1391)</f>
        <v/>
      </c>
      <c r="AL1391" s="81">
        <f>IF(AN1391="","",IF(Q1391="Sin Factura","",AI1391-AJ1391))</f>
        <v/>
      </c>
      <c r="AM1391" s="81">
        <f>IF(AN1391="","",IF(Q1391="Sin Factura",0,P1391-IFERROR(INDEX(Facturas_Odoo!$H:$H, MATCH(Q1391, Facturas_Odoo!$B:$B, 0)), 0)))</f>
        <v/>
      </c>
      <c r="AN1391" s="79">
        <f>IF(AND(A1391="", J1391=""), "", IF(A1391&lt;&gt;"", VALUE(MID(A1391,2,LEN(A1391))), AN1390))</f>
        <v/>
      </c>
      <c r="AO1391" s="79">
        <f>IF(AN1391="","",IF(AD1391=0,"OK",_xlfn.LET(monedaPago, IF(AA1391="","USD",AA1391), limitePermitido, IFERROR(VLOOKUP(monedaPago, Configuración!$A$2:$B$3, 2, FALSE), 0.15), IF(AD1391&gt;limitePermitido, "ALERTA: EXCESO (" &amp; TEXT(limitePermitido, "0%") &amp; " máx)", "OK"))))</f>
        <v/>
      </c>
      <c r="AP1391" s="79">
        <f>IF(AN1391="","",IF(AE1391=0,"OK",_xlfn.LET(fechaPago, Z1391, fechaFactura, R1391, diasCredito, IF(E1391="Pago inmediato", 0, IFERROR(VALUE(MID(E1391, 1, SEARCH(" ", E1391)-1)),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91" s="79">
        <f>IF(AN1391="","",IF(AND(N1391&gt;0, AG1391&gt;0), IF(Configuración!$K$2="NO", "ALERTA: DESCUENTO DOBLE NO PERMITIDO", "OK"), "OK"))</f>
        <v/>
      </c>
      <c r="AR1391" s="79">
        <f>IF(AN1391="","",IF(OR(AO1391&lt;&gt;"OK", AP1391&lt;&gt;"OK", AQ1391&lt;&gt;"OK"), "⚠️ REVISAR", "OK"))</f>
        <v/>
      </c>
    </row>
    <row r="1392">
      <c r="A1392" s="79">
        <f>IF('Ordenes_Odoo'!A1392="","",'Ordenes_Odoo'!A1392)</f>
        <v/>
      </c>
      <c r="B1392" s="80">
        <f>IF('Ordenes_Odoo'!B1392="","",'Ordenes_Odoo'!B1392)</f>
        <v/>
      </c>
      <c r="C1392" s="79">
        <f>IF('Ordenes_Odoo'!C1392="","",'Ordenes_Odoo'!C1392)</f>
        <v/>
      </c>
      <c r="D1392" s="79">
        <f>IF('Ordenes_Odoo'!D1392="","",'Ordenes_Odoo'!D1392)</f>
        <v/>
      </c>
      <c r="E1392" s="79">
        <f>IF('Ordenes_Odoo'!E1392="","",'Ordenes_Odoo'!E1392)</f>
        <v/>
      </c>
      <c r="F1392" s="79">
        <f>IF('Ordenes_Odoo'!F1392="","",'Ordenes_Odoo'!F1392)</f>
        <v/>
      </c>
      <c r="G1392" s="79">
        <f>IF('Ordenes_Odoo'!G1392="","",'Ordenes_Odoo'!G1392)</f>
        <v/>
      </c>
      <c r="H1392" s="79">
        <f>IF('Ordenes_Odoo'!H1392="","",'Ordenes_Odoo'!H1392)</f>
        <v/>
      </c>
      <c r="I1392" s="79">
        <f>IF('Ordenes_Odoo'!I1392="","",'Ordenes_Odoo'!I1392)</f>
        <v/>
      </c>
      <c r="J1392" s="79">
        <f>IF('Ordenes_Odoo'!J1392="","",'Ordenes_Odoo'!J1392)</f>
        <v/>
      </c>
      <c r="K1392" s="81">
        <f>IF('Ordenes_Odoo'!K1392="","",'Ordenes_Odoo'!K1392)</f>
        <v/>
      </c>
      <c r="L1392" s="81">
        <f>IF('Ordenes_Odoo'!L1392="","",'Ordenes_Odoo'!L1392)</f>
        <v/>
      </c>
      <c r="M1392" s="79">
        <f>IF('Ordenes_Odoo'!M1392="","",'Ordenes_Odoo'!M1392)</f>
        <v/>
      </c>
      <c r="N1392" s="79">
        <f>IF('Ordenes_Odoo'!N1392="","",'Ordenes_Odoo'!N1392)</f>
        <v/>
      </c>
      <c r="O1392" s="81">
        <f>IF('Ordenes_Odoo'!O1392="","",'Ordenes_Odoo'!O1392)</f>
        <v/>
      </c>
      <c r="P1392" s="81">
        <f>IF('Ordenes_Odoo'!P1392="","",'Ordenes_Odoo'!P1392)</f>
        <v/>
      </c>
      <c r="Q1392" s="79">
        <f>IF(A1392="","",IFERROR(INDEX(Facturas_Odoo!$B:$B, MATCH(A1392, Facturas_Odoo!$D:$D, 0)), "Sin Factura"))</f>
        <v/>
      </c>
      <c r="R1392" s="80">
        <f>IF(Q1392="Sin Factura","",IFERROR(INDEX(Facturas_Odoo!$A:$A, MATCH(Q1392, Facturas_Odoo!$B:$B, 0)), ""))</f>
        <v/>
      </c>
      <c r="S1392" s="79">
        <f>IF(Q1392="Sin Factura","",IFERROR(_xlfn.XLOOKUP(1, (Facturas_Odoo!$D:$D=A1392) * (Facturas_Odoo!$K:$K=I1392), Facturas_Odoo!$L:$L, ""), ""))</f>
        <v/>
      </c>
      <c r="T1392" s="81">
        <f>IF(Q1392="Sin Factura",0,IFERROR(_xlfn.XLOOKUP(1, (Facturas_Odoo!$D:$D=A1392) * (Facturas_Odoo!$K:$K=I1392), Facturas_Odoo!$M:$M, 0), 0))</f>
        <v/>
      </c>
      <c r="U1392" s="79">
        <f>IF(Q1392="Sin Factura",0,IFERROR(_xlfn.XLOOKUP(1, (Facturas_Odoo!$D:$D=A1392) * (Facturas_Odoo!$K:$K=I1392), Facturas_Odoo!$N:$N, 0), 0))</f>
        <v/>
      </c>
      <c r="V1392" s="79">
        <f>IF(Q1392="Sin Factura",0,IFERROR(_xlfn.XLOOKUP(1, (Facturas_Odoo!$D:$D=A1392) * (Facturas_Odoo!$K:$K=I1392), Facturas_Odoo!$O:$O, 0), 0))</f>
        <v/>
      </c>
      <c r="W1392" s="81">
        <f>IF(Q1392="Sin Factura",0,IFERROR(_xlfn.XLOOKUP(1, (Facturas_Odoo!$D:$D=A1392) * (Facturas_Odoo!$K:$K=I1392), Facturas_Odoo!$Q:$Q, 0), 0))</f>
        <v/>
      </c>
      <c r="X1392" s="79">
        <f>IF(OR(Q1392="Sin Factura",Q1392=""),"",IFERROR(INDEX(Pagos_Odoo!$B:$B, MATCH(Q1392, Pagos_Odoo!$I:$I, 0)), "Sin Pago"))</f>
        <v/>
      </c>
      <c r="Y1392" s="79">
        <f>IF(X1392="Sin Pago","",IFERROR(INDEX(Pagos_Odoo!$C:$C, MATCH(X1392, Pagos_Odoo!$B:$B, 0)), ""))</f>
        <v/>
      </c>
      <c r="Z1392" s="80">
        <f>IF(X1392="Sin Pago","",IFERROR(INDEX(Pagos_Odoo!$A:$A, MATCH(X1392, Pagos_Odoo!$B:$B, 0)), ""))</f>
        <v/>
      </c>
      <c r="AA1392" s="79">
        <f>IF(X1392="Sin Pago","",IFERROR(INDEX(Pagos_Odoo!$F:$F, MATCH(X1392, Pagos_Odoo!$B:$B, 0)), ""))</f>
        <v/>
      </c>
      <c r="AB1392" s="81">
        <f>IF(X1392="Sin Pago",0,IFERROR(INDEX(Pagos_Odoo!$E:$E, MATCH(X1392, Pagos_Odoo!$B:$B, 0)), 0))</f>
        <v/>
      </c>
      <c r="AC1392" s="79">
        <f>IF(X1392="Sin Pago","",IFERROR(INDEX(Pagos_Odoo!$G:$G, MATCH(X1392, Pagos_Odoo!$B:$B, 0)), ""))</f>
        <v/>
      </c>
      <c r="AD1392" s="82" t="n">
        <v>0</v>
      </c>
      <c r="AE1392" s="82" t="n"/>
      <c r="AF1392" s="82" t="n"/>
      <c r="AG1392" s="82">
        <f>IF(AN1392="","",AD1392+AE1392+AF1392)</f>
        <v/>
      </c>
      <c r="AH1392" s="81">
        <f>IF(AN1392="","",P1392*(1-AG1392))</f>
        <v/>
      </c>
      <c r="AI1392" s="81">
        <f>IF(AN1392="","",IF(Q1392="Sin Factura",0,IFERROR(INDEX(Facturas_Odoo!$H:$H, MATCH(Q1392, Facturas_Odoo!$B:$B, 0)), 0)*(1-AG1392)))</f>
        <v/>
      </c>
      <c r="AJ1392" s="81">
        <f>IF(AN1392="","",_xlfn.LET(idVenta, AN1392&amp;"",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92" s="81">
        <f>IF(AN1392="","",AH1392-AJ1392)</f>
        <v/>
      </c>
      <c r="AL1392" s="81">
        <f>IF(AN1392="","",IF(Q1392="Sin Factura","",AI1392-AJ1392))</f>
        <v/>
      </c>
      <c r="AM1392" s="81">
        <f>IF(AN1392="","",IF(Q1392="Sin Factura",0,P1392-IFERROR(INDEX(Facturas_Odoo!$H:$H, MATCH(Q1392, Facturas_Odoo!$B:$B, 0)), 0)))</f>
        <v/>
      </c>
      <c r="AN1392" s="79">
        <f>IF(AND(A1392="", J1392=""), "", IF(A1392&lt;&gt;"", VALUE(MID(A1392,2,LEN(A1392))), AN1391))</f>
        <v/>
      </c>
      <c r="AO1392" s="79">
        <f>IF(AN1392="","",IF(AD1392=0,"OK",_xlfn.LET(monedaPago, IF(AA1392="","USD",AA1392), limitePermitido, IFERROR(VLOOKUP(monedaPago, Configuración!$A$2:$B$3, 2, FALSE), 0.15), IF(AD1392&gt;limitePermitido, "ALERTA: EXCESO (" &amp; TEXT(limitePermitido, "0%") &amp; " máx)", "OK"))))</f>
        <v/>
      </c>
      <c r="AP1392" s="79">
        <f>IF(AN1392="","",IF(AE1392=0,"OK",_xlfn.LET(fechaPago, Z1392, fechaFactura, R1392, diasCredito, IF(E1392="Pago inmediato", 0, IFERROR(VALUE(MID(E1392, 1, SEARCH(" ", E1392)-1)),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92" s="79">
        <f>IF(AN1392="","",IF(AND(N1392&gt;0, AG1392&gt;0), IF(Configuración!$K$2="NO", "ALERTA: DESCUENTO DOBLE NO PERMITIDO", "OK"), "OK"))</f>
        <v/>
      </c>
      <c r="AR1392" s="79">
        <f>IF(AN1392="","",IF(OR(AO1392&lt;&gt;"OK", AP1392&lt;&gt;"OK", AQ1392&lt;&gt;"OK"), "⚠️ REVISAR", "OK"))</f>
        <v/>
      </c>
    </row>
    <row r="1393">
      <c r="A1393" s="79">
        <f>IF('Ordenes_Odoo'!A1393="","",'Ordenes_Odoo'!A1393)</f>
        <v/>
      </c>
      <c r="B1393" s="80">
        <f>IF('Ordenes_Odoo'!B1393="","",'Ordenes_Odoo'!B1393)</f>
        <v/>
      </c>
      <c r="C1393" s="79">
        <f>IF('Ordenes_Odoo'!C1393="","",'Ordenes_Odoo'!C1393)</f>
        <v/>
      </c>
      <c r="D1393" s="79">
        <f>IF('Ordenes_Odoo'!D1393="","",'Ordenes_Odoo'!D1393)</f>
        <v/>
      </c>
      <c r="E1393" s="79">
        <f>IF('Ordenes_Odoo'!E1393="","",'Ordenes_Odoo'!E1393)</f>
        <v/>
      </c>
      <c r="F1393" s="79">
        <f>IF('Ordenes_Odoo'!F1393="","",'Ordenes_Odoo'!F1393)</f>
        <v/>
      </c>
      <c r="G1393" s="79">
        <f>IF('Ordenes_Odoo'!G1393="","",'Ordenes_Odoo'!G1393)</f>
        <v/>
      </c>
      <c r="H1393" s="79">
        <f>IF('Ordenes_Odoo'!H1393="","",'Ordenes_Odoo'!H1393)</f>
        <v/>
      </c>
      <c r="I1393" s="79">
        <f>IF('Ordenes_Odoo'!I1393="","",'Ordenes_Odoo'!I1393)</f>
        <v/>
      </c>
      <c r="J1393" s="79">
        <f>IF('Ordenes_Odoo'!J1393="","",'Ordenes_Odoo'!J1393)</f>
        <v/>
      </c>
      <c r="K1393" s="81">
        <f>IF('Ordenes_Odoo'!K1393="","",'Ordenes_Odoo'!K1393)</f>
        <v/>
      </c>
      <c r="L1393" s="81">
        <f>IF('Ordenes_Odoo'!L1393="","",'Ordenes_Odoo'!L1393)</f>
        <v/>
      </c>
      <c r="M1393" s="79">
        <f>IF('Ordenes_Odoo'!M1393="","",'Ordenes_Odoo'!M1393)</f>
        <v/>
      </c>
      <c r="N1393" s="79">
        <f>IF('Ordenes_Odoo'!N1393="","",'Ordenes_Odoo'!N1393)</f>
        <v/>
      </c>
      <c r="O1393" s="81">
        <f>IF('Ordenes_Odoo'!O1393="","",'Ordenes_Odoo'!O1393)</f>
        <v/>
      </c>
      <c r="P1393" s="81">
        <f>IF('Ordenes_Odoo'!P1393="","",'Ordenes_Odoo'!P1393)</f>
        <v/>
      </c>
      <c r="Q1393" s="79">
        <f>IF(A1393="","",IFERROR(INDEX(Facturas_Odoo!$B:$B, MATCH(A1393, Facturas_Odoo!$D:$D, 0)), "Sin Factura"))</f>
        <v/>
      </c>
      <c r="R1393" s="80">
        <f>IF(Q1393="Sin Factura","",IFERROR(INDEX(Facturas_Odoo!$A:$A, MATCH(Q1393, Facturas_Odoo!$B:$B, 0)), ""))</f>
        <v/>
      </c>
      <c r="S1393" s="79">
        <f>IF(Q1393="Sin Factura","",IFERROR(_xlfn.XLOOKUP(1, (Facturas_Odoo!$D:$D=A1393) * (Facturas_Odoo!$K:$K=I1393), Facturas_Odoo!$L:$L, ""), ""))</f>
        <v/>
      </c>
      <c r="T1393" s="81">
        <f>IF(Q1393="Sin Factura",0,IFERROR(_xlfn.XLOOKUP(1, (Facturas_Odoo!$D:$D=A1393) * (Facturas_Odoo!$K:$K=I1393), Facturas_Odoo!$M:$M, 0), 0))</f>
        <v/>
      </c>
      <c r="U1393" s="79">
        <f>IF(Q1393="Sin Factura",0,IFERROR(_xlfn.XLOOKUP(1, (Facturas_Odoo!$D:$D=A1393) * (Facturas_Odoo!$K:$K=I1393), Facturas_Odoo!$N:$N, 0), 0))</f>
        <v/>
      </c>
      <c r="V1393" s="79">
        <f>IF(Q1393="Sin Factura",0,IFERROR(_xlfn.XLOOKUP(1, (Facturas_Odoo!$D:$D=A1393) * (Facturas_Odoo!$K:$K=I1393), Facturas_Odoo!$O:$O, 0), 0))</f>
        <v/>
      </c>
      <c r="W1393" s="81">
        <f>IF(Q1393="Sin Factura",0,IFERROR(_xlfn.XLOOKUP(1, (Facturas_Odoo!$D:$D=A1393) * (Facturas_Odoo!$K:$K=I1393), Facturas_Odoo!$Q:$Q, 0), 0))</f>
        <v/>
      </c>
      <c r="X1393" s="79">
        <f>IF(OR(Q1393="Sin Factura",Q1393=""),"",IFERROR(INDEX(Pagos_Odoo!$B:$B, MATCH(Q1393, Pagos_Odoo!$I:$I, 0)), "Sin Pago"))</f>
        <v/>
      </c>
      <c r="Y1393" s="79">
        <f>IF(X1393="Sin Pago","",IFERROR(INDEX(Pagos_Odoo!$C:$C, MATCH(X1393, Pagos_Odoo!$B:$B, 0)), ""))</f>
        <v/>
      </c>
      <c r="Z1393" s="80">
        <f>IF(X1393="Sin Pago","",IFERROR(INDEX(Pagos_Odoo!$A:$A, MATCH(X1393, Pagos_Odoo!$B:$B, 0)), ""))</f>
        <v/>
      </c>
      <c r="AA1393" s="79">
        <f>IF(X1393="Sin Pago","",IFERROR(INDEX(Pagos_Odoo!$F:$F, MATCH(X1393, Pagos_Odoo!$B:$B, 0)), ""))</f>
        <v/>
      </c>
      <c r="AB1393" s="81">
        <f>IF(X1393="Sin Pago",0,IFERROR(INDEX(Pagos_Odoo!$E:$E, MATCH(X1393, Pagos_Odoo!$B:$B, 0)), 0))</f>
        <v/>
      </c>
      <c r="AC1393" s="79">
        <f>IF(X1393="Sin Pago","",IFERROR(INDEX(Pagos_Odoo!$G:$G, MATCH(X1393, Pagos_Odoo!$B:$B, 0)), ""))</f>
        <v/>
      </c>
      <c r="AD1393" s="82" t="n">
        <v>0</v>
      </c>
      <c r="AE1393" s="82" t="n"/>
      <c r="AF1393" s="82" t="n"/>
      <c r="AG1393" s="82">
        <f>IF(AN1393="","",AD1393+AE1393+AF1393)</f>
        <v/>
      </c>
      <c r="AH1393" s="81">
        <f>IF(AN1393="","",P1393*(1-AG1393))</f>
        <v/>
      </c>
      <c r="AI1393" s="81">
        <f>IF(AN1393="","",IF(Q1393="Sin Factura",0,IFERROR(INDEX(Facturas_Odoo!$H:$H, MATCH(Q1393, Facturas_Odoo!$B:$B, 0)), 0)*(1-AG1393)))</f>
        <v/>
      </c>
      <c r="AJ1393" s="81">
        <f>IF(AN1393="","",_xlfn.LET(idVenta, AN1393&amp;"",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93" s="81">
        <f>IF(AN1393="","",AH1393-AJ1393)</f>
        <v/>
      </c>
      <c r="AL1393" s="81">
        <f>IF(AN1393="","",IF(Q1393="Sin Factura","",AI1393-AJ1393))</f>
        <v/>
      </c>
      <c r="AM1393" s="81">
        <f>IF(AN1393="","",IF(Q1393="Sin Factura",0,P1393-IFERROR(INDEX(Facturas_Odoo!$H:$H, MATCH(Q1393, Facturas_Odoo!$B:$B, 0)), 0)))</f>
        <v/>
      </c>
      <c r="AN1393" s="79">
        <f>IF(AND(A1393="", J1393=""), "", IF(A1393&lt;&gt;"", VALUE(MID(A1393,2,LEN(A1393))), AN1392))</f>
        <v/>
      </c>
      <c r="AO1393" s="79">
        <f>IF(AN1393="","",IF(AD1393=0,"OK",_xlfn.LET(monedaPago, IF(AA1393="","USD",AA1393), limitePermitido, IFERROR(VLOOKUP(monedaPago, Configuración!$A$2:$B$3, 2, FALSE), 0.15), IF(AD1393&gt;limitePermitido, "ALERTA: EXCESO (" &amp; TEXT(limitePermitido, "0%") &amp; " máx)", "OK"))))</f>
        <v/>
      </c>
      <c r="AP1393" s="79">
        <f>IF(AN1393="","",IF(AE1393=0,"OK",_xlfn.LET(fechaPago, Z1393, fechaFactura, R1393, diasCredito, IF(E1393="Pago inmediato", 0, IFERROR(VALUE(MID(E1393, 1, SEARCH(" ", E1393)-1)),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93" s="79">
        <f>IF(AN1393="","",IF(AND(N1393&gt;0, AG1393&gt;0), IF(Configuración!$K$2="NO", "ALERTA: DESCUENTO DOBLE NO PERMITIDO", "OK"), "OK"))</f>
        <v/>
      </c>
      <c r="AR1393" s="79">
        <f>IF(AN1393="","",IF(OR(AO1393&lt;&gt;"OK", AP1393&lt;&gt;"OK", AQ1393&lt;&gt;"OK"), "⚠️ REVISAR", "OK"))</f>
        <v/>
      </c>
    </row>
    <row r="1394">
      <c r="A1394" s="79">
        <f>IF('Ordenes_Odoo'!A1394="","",'Ordenes_Odoo'!A1394)</f>
        <v/>
      </c>
      <c r="B1394" s="80">
        <f>IF('Ordenes_Odoo'!B1394="","",'Ordenes_Odoo'!B1394)</f>
        <v/>
      </c>
      <c r="C1394" s="79">
        <f>IF('Ordenes_Odoo'!C1394="","",'Ordenes_Odoo'!C1394)</f>
        <v/>
      </c>
      <c r="D1394" s="79">
        <f>IF('Ordenes_Odoo'!D1394="","",'Ordenes_Odoo'!D1394)</f>
        <v/>
      </c>
      <c r="E1394" s="79">
        <f>IF('Ordenes_Odoo'!E1394="","",'Ordenes_Odoo'!E1394)</f>
        <v/>
      </c>
      <c r="F1394" s="79">
        <f>IF('Ordenes_Odoo'!F1394="","",'Ordenes_Odoo'!F1394)</f>
        <v/>
      </c>
      <c r="G1394" s="79">
        <f>IF('Ordenes_Odoo'!G1394="","",'Ordenes_Odoo'!G1394)</f>
        <v/>
      </c>
      <c r="H1394" s="79">
        <f>IF('Ordenes_Odoo'!H1394="","",'Ordenes_Odoo'!H1394)</f>
        <v/>
      </c>
      <c r="I1394" s="79">
        <f>IF('Ordenes_Odoo'!I1394="","",'Ordenes_Odoo'!I1394)</f>
        <v/>
      </c>
      <c r="J1394" s="79">
        <f>IF('Ordenes_Odoo'!J1394="","",'Ordenes_Odoo'!J1394)</f>
        <v/>
      </c>
      <c r="K1394" s="81">
        <f>IF('Ordenes_Odoo'!K1394="","",'Ordenes_Odoo'!K1394)</f>
        <v/>
      </c>
      <c r="L1394" s="81">
        <f>IF('Ordenes_Odoo'!L1394="","",'Ordenes_Odoo'!L1394)</f>
        <v/>
      </c>
      <c r="M1394" s="79">
        <f>IF('Ordenes_Odoo'!M1394="","",'Ordenes_Odoo'!M1394)</f>
        <v/>
      </c>
      <c r="N1394" s="79">
        <f>IF('Ordenes_Odoo'!N1394="","",'Ordenes_Odoo'!N1394)</f>
        <v/>
      </c>
      <c r="O1394" s="81">
        <f>IF('Ordenes_Odoo'!O1394="","",'Ordenes_Odoo'!O1394)</f>
        <v/>
      </c>
      <c r="P1394" s="81">
        <f>IF('Ordenes_Odoo'!P1394="","",'Ordenes_Odoo'!P1394)</f>
        <v/>
      </c>
      <c r="Q1394" s="79">
        <f>IF(A1394="","",IFERROR(INDEX(Facturas_Odoo!$B:$B, MATCH(A1394, Facturas_Odoo!$D:$D, 0)), "Sin Factura"))</f>
        <v/>
      </c>
      <c r="R1394" s="80">
        <f>IF(Q1394="Sin Factura","",IFERROR(INDEX(Facturas_Odoo!$A:$A, MATCH(Q1394, Facturas_Odoo!$B:$B, 0)), ""))</f>
        <v/>
      </c>
      <c r="S1394" s="79">
        <f>IF(Q1394="Sin Factura","",IFERROR(_xlfn.XLOOKUP(1, (Facturas_Odoo!$D:$D=A1394) * (Facturas_Odoo!$K:$K=I1394), Facturas_Odoo!$L:$L, ""), ""))</f>
        <v/>
      </c>
      <c r="T1394" s="81">
        <f>IF(Q1394="Sin Factura",0,IFERROR(_xlfn.XLOOKUP(1, (Facturas_Odoo!$D:$D=A1394) * (Facturas_Odoo!$K:$K=I1394), Facturas_Odoo!$M:$M, 0), 0))</f>
        <v/>
      </c>
      <c r="U1394" s="79">
        <f>IF(Q1394="Sin Factura",0,IFERROR(_xlfn.XLOOKUP(1, (Facturas_Odoo!$D:$D=A1394) * (Facturas_Odoo!$K:$K=I1394), Facturas_Odoo!$N:$N, 0), 0))</f>
        <v/>
      </c>
      <c r="V1394" s="79">
        <f>IF(Q1394="Sin Factura",0,IFERROR(_xlfn.XLOOKUP(1, (Facturas_Odoo!$D:$D=A1394) * (Facturas_Odoo!$K:$K=I1394), Facturas_Odoo!$O:$O, 0), 0))</f>
        <v/>
      </c>
      <c r="W1394" s="81">
        <f>IF(Q1394="Sin Factura",0,IFERROR(_xlfn.XLOOKUP(1, (Facturas_Odoo!$D:$D=A1394) * (Facturas_Odoo!$K:$K=I1394), Facturas_Odoo!$Q:$Q, 0), 0))</f>
        <v/>
      </c>
      <c r="X1394" s="79">
        <f>IF(OR(Q1394="Sin Factura",Q1394=""),"",IFERROR(INDEX(Pagos_Odoo!$B:$B, MATCH(Q1394, Pagos_Odoo!$I:$I, 0)), "Sin Pago"))</f>
        <v/>
      </c>
      <c r="Y1394" s="79">
        <f>IF(X1394="Sin Pago","",IFERROR(INDEX(Pagos_Odoo!$C:$C, MATCH(X1394, Pagos_Odoo!$B:$B, 0)), ""))</f>
        <v/>
      </c>
      <c r="Z1394" s="80">
        <f>IF(X1394="Sin Pago","",IFERROR(INDEX(Pagos_Odoo!$A:$A, MATCH(X1394, Pagos_Odoo!$B:$B, 0)), ""))</f>
        <v/>
      </c>
      <c r="AA1394" s="79">
        <f>IF(X1394="Sin Pago","",IFERROR(INDEX(Pagos_Odoo!$F:$F, MATCH(X1394, Pagos_Odoo!$B:$B, 0)), ""))</f>
        <v/>
      </c>
      <c r="AB1394" s="81">
        <f>IF(X1394="Sin Pago",0,IFERROR(INDEX(Pagos_Odoo!$E:$E, MATCH(X1394, Pagos_Odoo!$B:$B, 0)), 0))</f>
        <v/>
      </c>
      <c r="AC1394" s="79">
        <f>IF(X1394="Sin Pago","",IFERROR(INDEX(Pagos_Odoo!$G:$G, MATCH(X1394, Pagos_Odoo!$B:$B, 0)), ""))</f>
        <v/>
      </c>
      <c r="AD1394" s="82" t="n">
        <v>0</v>
      </c>
      <c r="AE1394" s="82" t="n"/>
      <c r="AF1394" s="82" t="n"/>
      <c r="AG1394" s="82">
        <f>IF(AN1394="","",AD1394+AE1394+AF1394)</f>
        <v/>
      </c>
      <c r="AH1394" s="81">
        <f>IF(AN1394="","",P1394*(1-AG1394))</f>
        <v/>
      </c>
      <c r="AI1394" s="81">
        <f>IF(AN1394="","",IF(Q1394="Sin Factura",0,IFERROR(INDEX(Facturas_Odoo!$H:$H, MATCH(Q1394, Facturas_Odoo!$B:$B, 0)), 0)*(1-AG1394)))</f>
        <v/>
      </c>
      <c r="AJ1394" s="81">
        <f>IF(AN1394="","",_xlfn.LET(idVenta, AN1394&amp;"",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94" s="81">
        <f>IF(AN1394="","",AH1394-AJ1394)</f>
        <v/>
      </c>
      <c r="AL1394" s="81">
        <f>IF(AN1394="","",IF(Q1394="Sin Factura","",AI1394-AJ1394))</f>
        <v/>
      </c>
      <c r="AM1394" s="81">
        <f>IF(AN1394="","",IF(Q1394="Sin Factura",0,P1394-IFERROR(INDEX(Facturas_Odoo!$H:$H, MATCH(Q1394, Facturas_Odoo!$B:$B, 0)), 0)))</f>
        <v/>
      </c>
      <c r="AN1394" s="79">
        <f>IF(AND(A1394="", J1394=""), "", IF(A1394&lt;&gt;"", VALUE(MID(A1394,2,LEN(A1394))), AN1393))</f>
        <v/>
      </c>
      <c r="AO1394" s="79">
        <f>IF(AN1394="","",IF(AD1394=0,"OK",_xlfn.LET(monedaPago, IF(AA1394="","USD",AA1394), limitePermitido, IFERROR(VLOOKUP(monedaPago, Configuración!$A$2:$B$3, 2, FALSE), 0.15), IF(AD1394&gt;limitePermitido, "ALERTA: EXCESO (" &amp; TEXT(limitePermitido, "0%") &amp; " máx)", "OK"))))</f>
        <v/>
      </c>
      <c r="AP1394" s="79">
        <f>IF(AN1394="","",IF(AE1394=0,"OK",_xlfn.LET(fechaPago, Z1394, fechaFactura, R1394, diasCredito, IF(E1394="Pago inmediato", 0, IFERROR(VALUE(MID(E1394, 1, SEARCH(" ", E1394)-1)),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94" s="79">
        <f>IF(AN1394="","",IF(AND(N1394&gt;0, AG1394&gt;0), IF(Configuración!$K$2="NO", "ALERTA: DESCUENTO DOBLE NO PERMITIDO", "OK"), "OK"))</f>
        <v/>
      </c>
      <c r="AR1394" s="79">
        <f>IF(AN1394="","",IF(OR(AO1394&lt;&gt;"OK", AP1394&lt;&gt;"OK", AQ1394&lt;&gt;"OK"), "⚠️ REVISAR", "OK"))</f>
        <v/>
      </c>
    </row>
    <row r="1395">
      <c r="A1395" s="79">
        <f>IF('Ordenes_Odoo'!A1395="","",'Ordenes_Odoo'!A1395)</f>
        <v/>
      </c>
      <c r="B1395" s="80">
        <f>IF('Ordenes_Odoo'!B1395="","",'Ordenes_Odoo'!B1395)</f>
        <v/>
      </c>
      <c r="C1395" s="79">
        <f>IF('Ordenes_Odoo'!C1395="","",'Ordenes_Odoo'!C1395)</f>
        <v/>
      </c>
      <c r="D1395" s="79">
        <f>IF('Ordenes_Odoo'!D1395="","",'Ordenes_Odoo'!D1395)</f>
        <v/>
      </c>
      <c r="E1395" s="79">
        <f>IF('Ordenes_Odoo'!E1395="","",'Ordenes_Odoo'!E1395)</f>
        <v/>
      </c>
      <c r="F1395" s="79">
        <f>IF('Ordenes_Odoo'!F1395="","",'Ordenes_Odoo'!F1395)</f>
        <v/>
      </c>
      <c r="G1395" s="79">
        <f>IF('Ordenes_Odoo'!G1395="","",'Ordenes_Odoo'!G1395)</f>
        <v/>
      </c>
      <c r="H1395" s="79">
        <f>IF('Ordenes_Odoo'!H1395="","",'Ordenes_Odoo'!H1395)</f>
        <v/>
      </c>
      <c r="I1395" s="79">
        <f>IF('Ordenes_Odoo'!I1395="","",'Ordenes_Odoo'!I1395)</f>
        <v/>
      </c>
      <c r="J1395" s="79">
        <f>IF('Ordenes_Odoo'!J1395="","",'Ordenes_Odoo'!J1395)</f>
        <v/>
      </c>
      <c r="K1395" s="81">
        <f>IF('Ordenes_Odoo'!K1395="","",'Ordenes_Odoo'!K1395)</f>
        <v/>
      </c>
      <c r="L1395" s="81">
        <f>IF('Ordenes_Odoo'!L1395="","",'Ordenes_Odoo'!L1395)</f>
        <v/>
      </c>
      <c r="M1395" s="79">
        <f>IF('Ordenes_Odoo'!M1395="","",'Ordenes_Odoo'!M1395)</f>
        <v/>
      </c>
      <c r="N1395" s="79">
        <f>IF('Ordenes_Odoo'!N1395="","",'Ordenes_Odoo'!N1395)</f>
        <v/>
      </c>
      <c r="O1395" s="81">
        <f>IF('Ordenes_Odoo'!O1395="","",'Ordenes_Odoo'!O1395)</f>
        <v/>
      </c>
      <c r="P1395" s="81">
        <f>IF('Ordenes_Odoo'!P1395="","",'Ordenes_Odoo'!P1395)</f>
        <v/>
      </c>
      <c r="Q1395" s="79">
        <f>IF(A1395="","",IFERROR(INDEX(Facturas_Odoo!$B:$B, MATCH(A1395, Facturas_Odoo!$D:$D, 0)), "Sin Factura"))</f>
        <v/>
      </c>
      <c r="R1395" s="80">
        <f>IF(Q1395="Sin Factura","",IFERROR(INDEX(Facturas_Odoo!$A:$A, MATCH(Q1395, Facturas_Odoo!$B:$B, 0)), ""))</f>
        <v/>
      </c>
      <c r="S1395" s="79">
        <f>IF(Q1395="Sin Factura","",IFERROR(_xlfn.XLOOKUP(1, (Facturas_Odoo!$D:$D=A1395) * (Facturas_Odoo!$K:$K=I1395), Facturas_Odoo!$L:$L, ""), ""))</f>
        <v/>
      </c>
      <c r="T1395" s="81">
        <f>IF(Q1395="Sin Factura",0,IFERROR(_xlfn.XLOOKUP(1, (Facturas_Odoo!$D:$D=A1395) * (Facturas_Odoo!$K:$K=I1395), Facturas_Odoo!$M:$M, 0), 0))</f>
        <v/>
      </c>
      <c r="U1395" s="79">
        <f>IF(Q1395="Sin Factura",0,IFERROR(_xlfn.XLOOKUP(1, (Facturas_Odoo!$D:$D=A1395) * (Facturas_Odoo!$K:$K=I1395), Facturas_Odoo!$N:$N, 0), 0))</f>
        <v/>
      </c>
      <c r="V1395" s="79">
        <f>IF(Q1395="Sin Factura",0,IFERROR(_xlfn.XLOOKUP(1, (Facturas_Odoo!$D:$D=A1395) * (Facturas_Odoo!$K:$K=I1395), Facturas_Odoo!$O:$O, 0), 0))</f>
        <v/>
      </c>
      <c r="W1395" s="81">
        <f>IF(Q1395="Sin Factura",0,IFERROR(_xlfn.XLOOKUP(1, (Facturas_Odoo!$D:$D=A1395) * (Facturas_Odoo!$K:$K=I1395), Facturas_Odoo!$Q:$Q, 0), 0))</f>
        <v/>
      </c>
      <c r="X1395" s="79">
        <f>IF(OR(Q1395="Sin Factura",Q1395=""),"",IFERROR(INDEX(Pagos_Odoo!$B:$B, MATCH(Q1395, Pagos_Odoo!$I:$I, 0)), "Sin Pago"))</f>
        <v/>
      </c>
      <c r="Y1395" s="79">
        <f>IF(X1395="Sin Pago","",IFERROR(INDEX(Pagos_Odoo!$C:$C, MATCH(X1395, Pagos_Odoo!$B:$B, 0)), ""))</f>
        <v/>
      </c>
      <c r="Z1395" s="80">
        <f>IF(X1395="Sin Pago","",IFERROR(INDEX(Pagos_Odoo!$A:$A, MATCH(X1395, Pagos_Odoo!$B:$B, 0)), ""))</f>
        <v/>
      </c>
      <c r="AA1395" s="79">
        <f>IF(X1395="Sin Pago","",IFERROR(INDEX(Pagos_Odoo!$F:$F, MATCH(X1395, Pagos_Odoo!$B:$B, 0)), ""))</f>
        <v/>
      </c>
      <c r="AB1395" s="81">
        <f>IF(X1395="Sin Pago",0,IFERROR(INDEX(Pagos_Odoo!$E:$E, MATCH(X1395, Pagos_Odoo!$B:$B, 0)), 0))</f>
        <v/>
      </c>
      <c r="AC1395" s="79">
        <f>IF(X1395="Sin Pago","",IFERROR(INDEX(Pagos_Odoo!$G:$G, MATCH(X1395, Pagos_Odoo!$B:$B, 0)), ""))</f>
        <v/>
      </c>
      <c r="AD1395" s="82" t="n">
        <v>0</v>
      </c>
      <c r="AE1395" s="82" t="n"/>
      <c r="AF1395" s="82" t="n"/>
      <c r="AG1395" s="82">
        <f>IF(AN1395="","",AD1395+AE1395+AF1395)</f>
        <v/>
      </c>
      <c r="AH1395" s="81">
        <f>IF(AN1395="","",P1395*(1-AG1395))</f>
        <v/>
      </c>
      <c r="AI1395" s="81">
        <f>IF(AN1395="","",IF(Q1395="Sin Factura",0,IFERROR(INDEX(Facturas_Odoo!$H:$H, MATCH(Q1395, Facturas_Odoo!$B:$B, 0)), 0)*(1-AG1395)))</f>
        <v/>
      </c>
      <c r="AJ1395" s="81">
        <f>IF(AN1395="","",_xlfn.LET(idVenta, AN1395&amp;"",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95" s="81">
        <f>IF(AN1395="","",AH1395-AJ1395)</f>
        <v/>
      </c>
      <c r="AL1395" s="81">
        <f>IF(AN1395="","",IF(Q1395="Sin Factura","",AI1395-AJ1395))</f>
        <v/>
      </c>
      <c r="AM1395" s="81">
        <f>IF(AN1395="","",IF(Q1395="Sin Factura",0,P1395-IFERROR(INDEX(Facturas_Odoo!$H:$H, MATCH(Q1395, Facturas_Odoo!$B:$B, 0)), 0)))</f>
        <v/>
      </c>
      <c r="AN1395" s="79">
        <f>IF(AND(A1395="", J1395=""), "", IF(A1395&lt;&gt;"", VALUE(MID(A1395,2,LEN(A1395))), AN1394))</f>
        <v/>
      </c>
      <c r="AO1395" s="79">
        <f>IF(AN1395="","",IF(AD1395=0,"OK",_xlfn.LET(monedaPago, IF(AA1395="","USD",AA1395), limitePermitido, IFERROR(VLOOKUP(monedaPago, Configuración!$A$2:$B$3, 2, FALSE), 0.15), IF(AD1395&gt;limitePermitido, "ALERTA: EXCESO (" &amp; TEXT(limitePermitido, "0%") &amp; " máx)", "OK"))))</f>
        <v/>
      </c>
      <c r="AP1395" s="79">
        <f>IF(AN1395="","",IF(AE1395=0,"OK",_xlfn.LET(fechaPago, Z1395, fechaFactura, R1395, diasCredito, IF(E1395="Pago inmediato", 0, IFERROR(VALUE(MID(E1395, 1, SEARCH(" ", E1395)-1)),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95" s="79">
        <f>IF(AN1395="","",IF(AND(N1395&gt;0, AG1395&gt;0), IF(Configuración!$K$2="NO", "ALERTA: DESCUENTO DOBLE NO PERMITIDO", "OK"), "OK"))</f>
        <v/>
      </c>
      <c r="AR1395" s="79">
        <f>IF(AN1395="","",IF(OR(AO1395&lt;&gt;"OK", AP1395&lt;&gt;"OK", AQ1395&lt;&gt;"OK"), "⚠️ REVISAR", "OK"))</f>
        <v/>
      </c>
    </row>
    <row r="1396">
      <c r="A1396" s="79">
        <f>IF('Ordenes_Odoo'!A1396="","",'Ordenes_Odoo'!A1396)</f>
        <v/>
      </c>
      <c r="B1396" s="80">
        <f>IF('Ordenes_Odoo'!B1396="","",'Ordenes_Odoo'!B1396)</f>
        <v/>
      </c>
      <c r="C1396" s="79">
        <f>IF('Ordenes_Odoo'!C1396="","",'Ordenes_Odoo'!C1396)</f>
        <v/>
      </c>
      <c r="D1396" s="79">
        <f>IF('Ordenes_Odoo'!D1396="","",'Ordenes_Odoo'!D1396)</f>
        <v/>
      </c>
      <c r="E1396" s="79">
        <f>IF('Ordenes_Odoo'!E1396="","",'Ordenes_Odoo'!E1396)</f>
        <v/>
      </c>
      <c r="F1396" s="79">
        <f>IF('Ordenes_Odoo'!F1396="","",'Ordenes_Odoo'!F1396)</f>
        <v/>
      </c>
      <c r="G1396" s="79">
        <f>IF('Ordenes_Odoo'!G1396="","",'Ordenes_Odoo'!G1396)</f>
        <v/>
      </c>
      <c r="H1396" s="79">
        <f>IF('Ordenes_Odoo'!H1396="","",'Ordenes_Odoo'!H1396)</f>
        <v/>
      </c>
      <c r="I1396" s="79">
        <f>IF('Ordenes_Odoo'!I1396="","",'Ordenes_Odoo'!I1396)</f>
        <v/>
      </c>
      <c r="J1396" s="79">
        <f>IF('Ordenes_Odoo'!J1396="","",'Ordenes_Odoo'!J1396)</f>
        <v/>
      </c>
      <c r="K1396" s="81">
        <f>IF('Ordenes_Odoo'!K1396="","",'Ordenes_Odoo'!K1396)</f>
        <v/>
      </c>
      <c r="L1396" s="81">
        <f>IF('Ordenes_Odoo'!L1396="","",'Ordenes_Odoo'!L1396)</f>
        <v/>
      </c>
      <c r="M1396" s="79">
        <f>IF('Ordenes_Odoo'!M1396="","",'Ordenes_Odoo'!M1396)</f>
        <v/>
      </c>
      <c r="N1396" s="79">
        <f>IF('Ordenes_Odoo'!N1396="","",'Ordenes_Odoo'!N1396)</f>
        <v/>
      </c>
      <c r="O1396" s="81">
        <f>IF('Ordenes_Odoo'!O1396="","",'Ordenes_Odoo'!O1396)</f>
        <v/>
      </c>
      <c r="P1396" s="81">
        <f>IF('Ordenes_Odoo'!P1396="","",'Ordenes_Odoo'!P1396)</f>
        <v/>
      </c>
      <c r="Q1396" s="79">
        <f>IF(A1396="","",IFERROR(INDEX(Facturas_Odoo!$B:$B, MATCH(A1396, Facturas_Odoo!$D:$D, 0)), "Sin Factura"))</f>
        <v/>
      </c>
      <c r="R1396" s="80">
        <f>IF(Q1396="Sin Factura","",IFERROR(INDEX(Facturas_Odoo!$A:$A, MATCH(Q1396, Facturas_Odoo!$B:$B, 0)), ""))</f>
        <v/>
      </c>
      <c r="S1396" s="79">
        <f>IF(Q1396="Sin Factura","",IFERROR(_xlfn.XLOOKUP(1, (Facturas_Odoo!$D:$D=A1396) * (Facturas_Odoo!$K:$K=I1396), Facturas_Odoo!$L:$L, ""), ""))</f>
        <v/>
      </c>
      <c r="T1396" s="81">
        <f>IF(Q1396="Sin Factura",0,IFERROR(_xlfn.XLOOKUP(1, (Facturas_Odoo!$D:$D=A1396) * (Facturas_Odoo!$K:$K=I1396), Facturas_Odoo!$M:$M, 0), 0))</f>
        <v/>
      </c>
      <c r="U1396" s="79">
        <f>IF(Q1396="Sin Factura",0,IFERROR(_xlfn.XLOOKUP(1, (Facturas_Odoo!$D:$D=A1396) * (Facturas_Odoo!$K:$K=I1396), Facturas_Odoo!$N:$N, 0), 0))</f>
        <v/>
      </c>
      <c r="V1396" s="79">
        <f>IF(Q1396="Sin Factura",0,IFERROR(_xlfn.XLOOKUP(1, (Facturas_Odoo!$D:$D=A1396) * (Facturas_Odoo!$K:$K=I1396), Facturas_Odoo!$O:$O, 0), 0))</f>
        <v/>
      </c>
      <c r="W1396" s="81">
        <f>IF(Q1396="Sin Factura",0,IFERROR(_xlfn.XLOOKUP(1, (Facturas_Odoo!$D:$D=A1396) * (Facturas_Odoo!$K:$K=I1396), Facturas_Odoo!$Q:$Q, 0), 0))</f>
        <v/>
      </c>
      <c r="X1396" s="79">
        <f>IF(OR(Q1396="Sin Factura",Q1396=""),"",IFERROR(INDEX(Pagos_Odoo!$B:$B, MATCH(Q1396, Pagos_Odoo!$I:$I, 0)), "Sin Pago"))</f>
        <v/>
      </c>
      <c r="Y1396" s="79">
        <f>IF(X1396="Sin Pago","",IFERROR(INDEX(Pagos_Odoo!$C:$C, MATCH(X1396, Pagos_Odoo!$B:$B, 0)), ""))</f>
        <v/>
      </c>
      <c r="Z1396" s="80">
        <f>IF(X1396="Sin Pago","",IFERROR(INDEX(Pagos_Odoo!$A:$A, MATCH(X1396, Pagos_Odoo!$B:$B, 0)), ""))</f>
        <v/>
      </c>
      <c r="AA1396" s="79">
        <f>IF(X1396="Sin Pago","",IFERROR(INDEX(Pagos_Odoo!$F:$F, MATCH(X1396, Pagos_Odoo!$B:$B, 0)), ""))</f>
        <v/>
      </c>
      <c r="AB1396" s="81">
        <f>IF(X1396="Sin Pago",0,IFERROR(INDEX(Pagos_Odoo!$E:$E, MATCH(X1396, Pagos_Odoo!$B:$B, 0)), 0))</f>
        <v/>
      </c>
      <c r="AC1396" s="79">
        <f>IF(X1396="Sin Pago","",IFERROR(INDEX(Pagos_Odoo!$G:$G, MATCH(X1396, Pagos_Odoo!$B:$B, 0)), ""))</f>
        <v/>
      </c>
      <c r="AD1396" s="82" t="n">
        <v>0</v>
      </c>
      <c r="AE1396" s="82" t="n"/>
      <c r="AF1396" s="82" t="n"/>
      <c r="AG1396" s="82">
        <f>IF(AN1396="","",AD1396+AE1396+AF1396)</f>
        <v/>
      </c>
      <c r="AH1396" s="81">
        <f>IF(AN1396="","",P1396*(1-AG1396))</f>
        <v/>
      </c>
      <c r="AI1396" s="81">
        <f>IF(AN1396="","",IF(Q1396="Sin Factura",0,IFERROR(INDEX(Facturas_Odoo!$H:$H, MATCH(Q1396, Facturas_Odoo!$B:$B, 0)), 0)*(1-AG1396)))</f>
        <v/>
      </c>
      <c r="AJ1396" s="81">
        <f>IF(AN1396="","",_xlfn.LET(idVenta, AN1396&amp;"",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96" s="81">
        <f>IF(AN1396="","",AH1396-AJ1396)</f>
        <v/>
      </c>
      <c r="AL1396" s="81">
        <f>IF(AN1396="","",IF(Q1396="Sin Factura","",AI1396-AJ1396))</f>
        <v/>
      </c>
      <c r="AM1396" s="81">
        <f>IF(AN1396="","",IF(Q1396="Sin Factura",0,P1396-IFERROR(INDEX(Facturas_Odoo!$H:$H, MATCH(Q1396, Facturas_Odoo!$B:$B, 0)), 0)))</f>
        <v/>
      </c>
      <c r="AN1396" s="79">
        <f>IF(AND(A1396="", J1396=""), "", IF(A1396&lt;&gt;"", VALUE(MID(A1396,2,LEN(A1396))), AN1395))</f>
        <v/>
      </c>
      <c r="AO1396" s="79">
        <f>IF(AN1396="","",IF(AD1396=0,"OK",_xlfn.LET(monedaPago, IF(AA1396="","USD",AA1396), limitePermitido, IFERROR(VLOOKUP(monedaPago, Configuración!$A$2:$B$3, 2, FALSE), 0.15), IF(AD1396&gt;limitePermitido, "ALERTA: EXCESO (" &amp; TEXT(limitePermitido, "0%") &amp; " máx)", "OK"))))</f>
        <v/>
      </c>
      <c r="AP1396" s="79">
        <f>IF(AN1396="","",IF(AE1396=0,"OK",_xlfn.LET(fechaPago, Z1396, fechaFactura, R1396, diasCredito, IF(E1396="Pago inmediato", 0, IFERROR(VALUE(MID(E1396, 1, SEARCH(" ", E1396)-1)),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96" s="79">
        <f>IF(AN1396="","",IF(AND(N1396&gt;0, AG1396&gt;0), IF(Configuración!$K$2="NO", "ALERTA: DESCUENTO DOBLE NO PERMITIDO", "OK"), "OK"))</f>
        <v/>
      </c>
      <c r="AR1396" s="79">
        <f>IF(AN1396="","",IF(OR(AO1396&lt;&gt;"OK", AP1396&lt;&gt;"OK", AQ1396&lt;&gt;"OK"), "⚠️ REVISAR", "OK"))</f>
        <v/>
      </c>
    </row>
    <row r="1397">
      <c r="A1397" s="79">
        <f>IF('Ordenes_Odoo'!A1397="","",'Ordenes_Odoo'!A1397)</f>
        <v/>
      </c>
      <c r="B1397" s="80">
        <f>IF('Ordenes_Odoo'!B1397="","",'Ordenes_Odoo'!B1397)</f>
        <v/>
      </c>
      <c r="C1397" s="79">
        <f>IF('Ordenes_Odoo'!C1397="","",'Ordenes_Odoo'!C1397)</f>
        <v/>
      </c>
      <c r="D1397" s="79">
        <f>IF('Ordenes_Odoo'!D1397="","",'Ordenes_Odoo'!D1397)</f>
        <v/>
      </c>
      <c r="E1397" s="79">
        <f>IF('Ordenes_Odoo'!E1397="","",'Ordenes_Odoo'!E1397)</f>
        <v/>
      </c>
      <c r="F1397" s="79">
        <f>IF('Ordenes_Odoo'!F1397="","",'Ordenes_Odoo'!F1397)</f>
        <v/>
      </c>
      <c r="G1397" s="79">
        <f>IF('Ordenes_Odoo'!G1397="","",'Ordenes_Odoo'!G1397)</f>
        <v/>
      </c>
      <c r="H1397" s="79">
        <f>IF('Ordenes_Odoo'!H1397="","",'Ordenes_Odoo'!H1397)</f>
        <v/>
      </c>
      <c r="I1397" s="79">
        <f>IF('Ordenes_Odoo'!I1397="","",'Ordenes_Odoo'!I1397)</f>
        <v/>
      </c>
      <c r="J1397" s="79">
        <f>IF('Ordenes_Odoo'!J1397="","",'Ordenes_Odoo'!J1397)</f>
        <v/>
      </c>
      <c r="K1397" s="81">
        <f>IF('Ordenes_Odoo'!K1397="","",'Ordenes_Odoo'!K1397)</f>
        <v/>
      </c>
      <c r="L1397" s="81">
        <f>IF('Ordenes_Odoo'!L1397="","",'Ordenes_Odoo'!L1397)</f>
        <v/>
      </c>
      <c r="M1397" s="79">
        <f>IF('Ordenes_Odoo'!M1397="","",'Ordenes_Odoo'!M1397)</f>
        <v/>
      </c>
      <c r="N1397" s="79">
        <f>IF('Ordenes_Odoo'!N1397="","",'Ordenes_Odoo'!N1397)</f>
        <v/>
      </c>
      <c r="O1397" s="81">
        <f>IF('Ordenes_Odoo'!O1397="","",'Ordenes_Odoo'!O1397)</f>
        <v/>
      </c>
      <c r="P1397" s="81">
        <f>IF('Ordenes_Odoo'!P1397="","",'Ordenes_Odoo'!P1397)</f>
        <v/>
      </c>
      <c r="Q1397" s="79">
        <f>IF(A1397="","",IFERROR(INDEX(Facturas_Odoo!$B:$B, MATCH(A1397, Facturas_Odoo!$D:$D, 0)), "Sin Factura"))</f>
        <v/>
      </c>
      <c r="R1397" s="80">
        <f>IF(Q1397="Sin Factura","",IFERROR(INDEX(Facturas_Odoo!$A:$A, MATCH(Q1397, Facturas_Odoo!$B:$B, 0)), ""))</f>
        <v/>
      </c>
      <c r="S1397" s="79">
        <f>IF(Q1397="Sin Factura","",IFERROR(_xlfn.XLOOKUP(1, (Facturas_Odoo!$D:$D=A1397) * (Facturas_Odoo!$K:$K=I1397), Facturas_Odoo!$L:$L, ""), ""))</f>
        <v/>
      </c>
      <c r="T1397" s="81">
        <f>IF(Q1397="Sin Factura",0,IFERROR(_xlfn.XLOOKUP(1, (Facturas_Odoo!$D:$D=A1397) * (Facturas_Odoo!$K:$K=I1397), Facturas_Odoo!$M:$M, 0), 0))</f>
        <v/>
      </c>
      <c r="U1397" s="79">
        <f>IF(Q1397="Sin Factura",0,IFERROR(_xlfn.XLOOKUP(1, (Facturas_Odoo!$D:$D=A1397) * (Facturas_Odoo!$K:$K=I1397), Facturas_Odoo!$N:$N, 0), 0))</f>
        <v/>
      </c>
      <c r="V1397" s="79">
        <f>IF(Q1397="Sin Factura",0,IFERROR(_xlfn.XLOOKUP(1, (Facturas_Odoo!$D:$D=A1397) * (Facturas_Odoo!$K:$K=I1397), Facturas_Odoo!$O:$O, 0), 0))</f>
        <v/>
      </c>
      <c r="W1397" s="81">
        <f>IF(Q1397="Sin Factura",0,IFERROR(_xlfn.XLOOKUP(1, (Facturas_Odoo!$D:$D=A1397) * (Facturas_Odoo!$K:$K=I1397), Facturas_Odoo!$Q:$Q, 0), 0))</f>
        <v/>
      </c>
      <c r="X1397" s="79">
        <f>IF(OR(Q1397="Sin Factura",Q1397=""),"",IFERROR(INDEX(Pagos_Odoo!$B:$B, MATCH(Q1397, Pagos_Odoo!$I:$I, 0)), "Sin Pago"))</f>
        <v/>
      </c>
      <c r="Y1397" s="79">
        <f>IF(X1397="Sin Pago","",IFERROR(INDEX(Pagos_Odoo!$C:$C, MATCH(X1397, Pagos_Odoo!$B:$B, 0)), ""))</f>
        <v/>
      </c>
      <c r="Z1397" s="80">
        <f>IF(X1397="Sin Pago","",IFERROR(INDEX(Pagos_Odoo!$A:$A, MATCH(X1397, Pagos_Odoo!$B:$B, 0)), ""))</f>
        <v/>
      </c>
      <c r="AA1397" s="79">
        <f>IF(X1397="Sin Pago","",IFERROR(INDEX(Pagos_Odoo!$F:$F, MATCH(X1397, Pagos_Odoo!$B:$B, 0)), ""))</f>
        <v/>
      </c>
      <c r="AB1397" s="81">
        <f>IF(X1397="Sin Pago",0,IFERROR(INDEX(Pagos_Odoo!$E:$E, MATCH(X1397, Pagos_Odoo!$B:$B, 0)), 0))</f>
        <v/>
      </c>
      <c r="AC1397" s="79">
        <f>IF(X1397="Sin Pago","",IFERROR(INDEX(Pagos_Odoo!$G:$G, MATCH(X1397, Pagos_Odoo!$B:$B, 0)), ""))</f>
        <v/>
      </c>
      <c r="AD1397" s="82" t="n">
        <v>0</v>
      </c>
      <c r="AE1397" s="82" t="n"/>
      <c r="AF1397" s="82" t="n"/>
      <c r="AG1397" s="82">
        <f>IF(AN1397="","",AD1397+AE1397+AF1397)</f>
        <v/>
      </c>
      <c r="AH1397" s="81">
        <f>IF(AN1397="","",P1397*(1-AG1397))</f>
        <v/>
      </c>
      <c r="AI1397" s="81">
        <f>IF(AN1397="","",IF(Q1397="Sin Factura",0,IFERROR(INDEX(Facturas_Odoo!$H:$H, MATCH(Q1397, Facturas_Odoo!$B:$B, 0)), 0)*(1-AG1397)))</f>
        <v/>
      </c>
      <c r="AJ1397" s="81">
        <f>IF(AN1397="","",_xlfn.LET(idVenta, AN1397&amp;"",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97" s="81">
        <f>IF(AN1397="","",AH1397-AJ1397)</f>
        <v/>
      </c>
      <c r="AL1397" s="81">
        <f>IF(AN1397="","",IF(Q1397="Sin Factura","",AI1397-AJ1397))</f>
        <v/>
      </c>
      <c r="AM1397" s="81">
        <f>IF(AN1397="","",IF(Q1397="Sin Factura",0,P1397-IFERROR(INDEX(Facturas_Odoo!$H:$H, MATCH(Q1397, Facturas_Odoo!$B:$B, 0)), 0)))</f>
        <v/>
      </c>
      <c r="AN1397" s="79">
        <f>IF(AND(A1397="", J1397=""), "", IF(A1397&lt;&gt;"", VALUE(MID(A1397,2,LEN(A1397))), AN1396))</f>
        <v/>
      </c>
      <c r="AO1397" s="79">
        <f>IF(AN1397="","",IF(AD1397=0,"OK",_xlfn.LET(monedaPago, IF(AA1397="","USD",AA1397), limitePermitido, IFERROR(VLOOKUP(monedaPago, Configuración!$A$2:$B$3, 2, FALSE), 0.15), IF(AD1397&gt;limitePermitido, "ALERTA: EXCESO (" &amp; TEXT(limitePermitido, "0%") &amp; " máx)", "OK"))))</f>
        <v/>
      </c>
      <c r="AP1397" s="79">
        <f>IF(AN1397="","",IF(AE1397=0,"OK",_xlfn.LET(fechaPago, Z1397, fechaFactura, R1397, diasCredito, IF(E1397="Pago inmediato", 0, IFERROR(VALUE(MID(E1397, 1, SEARCH(" ", E1397)-1)),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97" s="79">
        <f>IF(AN1397="","",IF(AND(N1397&gt;0, AG1397&gt;0), IF(Configuración!$K$2="NO", "ALERTA: DESCUENTO DOBLE NO PERMITIDO", "OK"), "OK"))</f>
        <v/>
      </c>
      <c r="AR1397" s="79">
        <f>IF(AN1397="","",IF(OR(AO1397&lt;&gt;"OK", AP1397&lt;&gt;"OK", AQ1397&lt;&gt;"OK"), "⚠️ REVISAR", "OK"))</f>
        <v/>
      </c>
    </row>
    <row r="1398">
      <c r="A1398" s="79">
        <f>IF('Ordenes_Odoo'!A1398="","",'Ordenes_Odoo'!A1398)</f>
        <v/>
      </c>
      <c r="B1398" s="80">
        <f>IF('Ordenes_Odoo'!B1398="","",'Ordenes_Odoo'!B1398)</f>
        <v/>
      </c>
      <c r="C1398" s="79">
        <f>IF('Ordenes_Odoo'!C1398="","",'Ordenes_Odoo'!C1398)</f>
        <v/>
      </c>
      <c r="D1398" s="79">
        <f>IF('Ordenes_Odoo'!D1398="","",'Ordenes_Odoo'!D1398)</f>
        <v/>
      </c>
      <c r="E1398" s="79">
        <f>IF('Ordenes_Odoo'!E1398="","",'Ordenes_Odoo'!E1398)</f>
        <v/>
      </c>
      <c r="F1398" s="79">
        <f>IF('Ordenes_Odoo'!F1398="","",'Ordenes_Odoo'!F1398)</f>
        <v/>
      </c>
      <c r="G1398" s="79">
        <f>IF('Ordenes_Odoo'!G1398="","",'Ordenes_Odoo'!G1398)</f>
        <v/>
      </c>
      <c r="H1398" s="79">
        <f>IF('Ordenes_Odoo'!H1398="","",'Ordenes_Odoo'!H1398)</f>
        <v/>
      </c>
      <c r="I1398" s="79">
        <f>IF('Ordenes_Odoo'!I1398="","",'Ordenes_Odoo'!I1398)</f>
        <v/>
      </c>
      <c r="J1398" s="79">
        <f>IF('Ordenes_Odoo'!J1398="","",'Ordenes_Odoo'!J1398)</f>
        <v/>
      </c>
      <c r="K1398" s="81">
        <f>IF('Ordenes_Odoo'!K1398="","",'Ordenes_Odoo'!K1398)</f>
        <v/>
      </c>
      <c r="L1398" s="81">
        <f>IF('Ordenes_Odoo'!L1398="","",'Ordenes_Odoo'!L1398)</f>
        <v/>
      </c>
      <c r="M1398" s="79">
        <f>IF('Ordenes_Odoo'!M1398="","",'Ordenes_Odoo'!M1398)</f>
        <v/>
      </c>
      <c r="N1398" s="79">
        <f>IF('Ordenes_Odoo'!N1398="","",'Ordenes_Odoo'!N1398)</f>
        <v/>
      </c>
      <c r="O1398" s="81">
        <f>IF('Ordenes_Odoo'!O1398="","",'Ordenes_Odoo'!O1398)</f>
        <v/>
      </c>
      <c r="P1398" s="81">
        <f>IF('Ordenes_Odoo'!P1398="","",'Ordenes_Odoo'!P1398)</f>
        <v/>
      </c>
      <c r="Q1398" s="79">
        <f>IF(A1398="","",IFERROR(INDEX(Facturas_Odoo!$B:$B, MATCH(A1398, Facturas_Odoo!$D:$D, 0)), "Sin Factura"))</f>
        <v/>
      </c>
      <c r="R1398" s="80">
        <f>IF(Q1398="Sin Factura","",IFERROR(INDEX(Facturas_Odoo!$A:$A, MATCH(Q1398, Facturas_Odoo!$B:$B, 0)), ""))</f>
        <v/>
      </c>
      <c r="S1398" s="79">
        <f>IF(Q1398="Sin Factura","",IFERROR(_xlfn.XLOOKUP(1, (Facturas_Odoo!$D:$D=A1398) * (Facturas_Odoo!$K:$K=I1398), Facturas_Odoo!$L:$L, ""), ""))</f>
        <v/>
      </c>
      <c r="T1398" s="81">
        <f>IF(Q1398="Sin Factura",0,IFERROR(_xlfn.XLOOKUP(1, (Facturas_Odoo!$D:$D=A1398) * (Facturas_Odoo!$K:$K=I1398), Facturas_Odoo!$M:$M, 0), 0))</f>
        <v/>
      </c>
      <c r="U1398" s="79">
        <f>IF(Q1398="Sin Factura",0,IFERROR(_xlfn.XLOOKUP(1, (Facturas_Odoo!$D:$D=A1398) * (Facturas_Odoo!$K:$K=I1398), Facturas_Odoo!$N:$N, 0), 0))</f>
        <v/>
      </c>
      <c r="V1398" s="79">
        <f>IF(Q1398="Sin Factura",0,IFERROR(_xlfn.XLOOKUP(1, (Facturas_Odoo!$D:$D=A1398) * (Facturas_Odoo!$K:$K=I1398), Facturas_Odoo!$O:$O, 0), 0))</f>
        <v/>
      </c>
      <c r="W1398" s="81">
        <f>IF(Q1398="Sin Factura",0,IFERROR(_xlfn.XLOOKUP(1, (Facturas_Odoo!$D:$D=A1398) * (Facturas_Odoo!$K:$K=I1398), Facturas_Odoo!$Q:$Q, 0), 0))</f>
        <v/>
      </c>
      <c r="X1398" s="79">
        <f>IF(OR(Q1398="Sin Factura",Q1398=""),"",IFERROR(INDEX(Pagos_Odoo!$B:$B, MATCH(Q1398, Pagos_Odoo!$I:$I, 0)), "Sin Pago"))</f>
        <v/>
      </c>
      <c r="Y1398" s="79">
        <f>IF(X1398="Sin Pago","",IFERROR(INDEX(Pagos_Odoo!$C:$C, MATCH(X1398, Pagos_Odoo!$B:$B, 0)), ""))</f>
        <v/>
      </c>
      <c r="Z1398" s="80">
        <f>IF(X1398="Sin Pago","",IFERROR(INDEX(Pagos_Odoo!$A:$A, MATCH(X1398, Pagos_Odoo!$B:$B, 0)), ""))</f>
        <v/>
      </c>
      <c r="AA1398" s="79">
        <f>IF(X1398="Sin Pago","",IFERROR(INDEX(Pagos_Odoo!$F:$F, MATCH(X1398, Pagos_Odoo!$B:$B, 0)), ""))</f>
        <v/>
      </c>
      <c r="AB1398" s="81">
        <f>IF(X1398="Sin Pago",0,IFERROR(INDEX(Pagos_Odoo!$E:$E, MATCH(X1398, Pagos_Odoo!$B:$B, 0)), 0))</f>
        <v/>
      </c>
      <c r="AC1398" s="79">
        <f>IF(X1398="Sin Pago","",IFERROR(INDEX(Pagos_Odoo!$G:$G, MATCH(X1398, Pagos_Odoo!$B:$B, 0)), ""))</f>
        <v/>
      </c>
      <c r="AD1398" s="82" t="n">
        <v>0</v>
      </c>
      <c r="AE1398" s="82" t="n"/>
      <c r="AF1398" s="82" t="n"/>
      <c r="AG1398" s="82">
        <f>IF(AN1398="","",AD1398+AE1398+AF1398)</f>
        <v/>
      </c>
      <c r="AH1398" s="81">
        <f>IF(AN1398="","",P1398*(1-AG1398))</f>
        <v/>
      </c>
      <c r="AI1398" s="81">
        <f>IF(AN1398="","",IF(Q1398="Sin Factura",0,IFERROR(INDEX(Facturas_Odoo!$H:$H, MATCH(Q1398, Facturas_Odoo!$B:$B, 0)), 0)*(1-AG1398)))</f>
        <v/>
      </c>
      <c r="AJ1398" s="81">
        <f>IF(AN1398="","",_xlfn.LET(idVenta, AN1398&amp;"",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98" s="81">
        <f>IF(AN1398="","",AH1398-AJ1398)</f>
        <v/>
      </c>
      <c r="AL1398" s="81">
        <f>IF(AN1398="","",IF(Q1398="Sin Factura","",AI1398-AJ1398))</f>
        <v/>
      </c>
      <c r="AM1398" s="81">
        <f>IF(AN1398="","",IF(Q1398="Sin Factura",0,P1398-IFERROR(INDEX(Facturas_Odoo!$H:$H, MATCH(Q1398, Facturas_Odoo!$B:$B, 0)), 0)))</f>
        <v/>
      </c>
      <c r="AN1398" s="79">
        <f>IF(AND(A1398="", J1398=""), "", IF(A1398&lt;&gt;"", VALUE(MID(A1398,2,LEN(A1398))), AN1397))</f>
        <v/>
      </c>
      <c r="AO1398" s="79">
        <f>IF(AN1398="","",IF(AD1398=0,"OK",_xlfn.LET(monedaPago, IF(AA1398="","USD",AA1398), limitePermitido, IFERROR(VLOOKUP(monedaPago, Configuración!$A$2:$B$3, 2, FALSE), 0.15), IF(AD1398&gt;limitePermitido, "ALERTA: EXCESO (" &amp; TEXT(limitePermitido, "0%") &amp; " máx)", "OK"))))</f>
        <v/>
      </c>
      <c r="AP1398" s="79">
        <f>IF(AN1398="","",IF(AE1398=0,"OK",_xlfn.LET(fechaPago, Z1398, fechaFactura, R1398, diasCredito, IF(E1398="Pago inmediato", 0, IFERROR(VALUE(MID(E1398, 1, SEARCH(" ", E1398)-1)),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98" s="79">
        <f>IF(AN1398="","",IF(AND(N1398&gt;0, AG1398&gt;0), IF(Configuración!$K$2="NO", "ALERTA: DESCUENTO DOBLE NO PERMITIDO", "OK"), "OK"))</f>
        <v/>
      </c>
      <c r="AR1398" s="79">
        <f>IF(AN1398="","",IF(OR(AO1398&lt;&gt;"OK", AP1398&lt;&gt;"OK", AQ1398&lt;&gt;"OK"), "⚠️ REVISAR", "OK"))</f>
        <v/>
      </c>
    </row>
    <row r="1399">
      <c r="A1399" s="79">
        <f>IF('Ordenes_Odoo'!A1399="","",'Ordenes_Odoo'!A1399)</f>
        <v/>
      </c>
      <c r="B1399" s="80">
        <f>IF('Ordenes_Odoo'!B1399="","",'Ordenes_Odoo'!B1399)</f>
        <v/>
      </c>
      <c r="C1399" s="79">
        <f>IF('Ordenes_Odoo'!C1399="","",'Ordenes_Odoo'!C1399)</f>
        <v/>
      </c>
      <c r="D1399" s="79">
        <f>IF('Ordenes_Odoo'!D1399="","",'Ordenes_Odoo'!D1399)</f>
        <v/>
      </c>
      <c r="E1399" s="79">
        <f>IF('Ordenes_Odoo'!E1399="","",'Ordenes_Odoo'!E1399)</f>
        <v/>
      </c>
      <c r="F1399" s="79">
        <f>IF('Ordenes_Odoo'!F1399="","",'Ordenes_Odoo'!F1399)</f>
        <v/>
      </c>
      <c r="G1399" s="79">
        <f>IF('Ordenes_Odoo'!G1399="","",'Ordenes_Odoo'!G1399)</f>
        <v/>
      </c>
      <c r="H1399" s="79">
        <f>IF('Ordenes_Odoo'!H1399="","",'Ordenes_Odoo'!H1399)</f>
        <v/>
      </c>
      <c r="I1399" s="79">
        <f>IF('Ordenes_Odoo'!I1399="","",'Ordenes_Odoo'!I1399)</f>
        <v/>
      </c>
      <c r="J1399" s="79">
        <f>IF('Ordenes_Odoo'!J1399="","",'Ordenes_Odoo'!J1399)</f>
        <v/>
      </c>
      <c r="K1399" s="81">
        <f>IF('Ordenes_Odoo'!K1399="","",'Ordenes_Odoo'!K1399)</f>
        <v/>
      </c>
      <c r="L1399" s="81">
        <f>IF('Ordenes_Odoo'!L1399="","",'Ordenes_Odoo'!L1399)</f>
        <v/>
      </c>
      <c r="M1399" s="79">
        <f>IF('Ordenes_Odoo'!M1399="","",'Ordenes_Odoo'!M1399)</f>
        <v/>
      </c>
      <c r="N1399" s="79">
        <f>IF('Ordenes_Odoo'!N1399="","",'Ordenes_Odoo'!N1399)</f>
        <v/>
      </c>
      <c r="O1399" s="81">
        <f>IF('Ordenes_Odoo'!O1399="","",'Ordenes_Odoo'!O1399)</f>
        <v/>
      </c>
      <c r="P1399" s="81">
        <f>IF('Ordenes_Odoo'!P1399="","",'Ordenes_Odoo'!P1399)</f>
        <v/>
      </c>
      <c r="Q1399" s="79">
        <f>IF(A1399="","",IFERROR(INDEX(Facturas_Odoo!$B:$B, MATCH(A1399, Facturas_Odoo!$D:$D, 0)), "Sin Factura"))</f>
        <v/>
      </c>
      <c r="R1399" s="80">
        <f>IF(Q1399="Sin Factura","",IFERROR(INDEX(Facturas_Odoo!$A:$A, MATCH(Q1399, Facturas_Odoo!$B:$B, 0)), ""))</f>
        <v/>
      </c>
      <c r="S1399" s="79">
        <f>IF(Q1399="Sin Factura","",IFERROR(_xlfn.XLOOKUP(1, (Facturas_Odoo!$D:$D=A1399) * (Facturas_Odoo!$K:$K=I1399), Facturas_Odoo!$L:$L, ""), ""))</f>
        <v/>
      </c>
      <c r="T1399" s="81">
        <f>IF(Q1399="Sin Factura",0,IFERROR(_xlfn.XLOOKUP(1, (Facturas_Odoo!$D:$D=A1399) * (Facturas_Odoo!$K:$K=I1399), Facturas_Odoo!$M:$M, 0), 0))</f>
        <v/>
      </c>
      <c r="U1399" s="79">
        <f>IF(Q1399="Sin Factura",0,IFERROR(_xlfn.XLOOKUP(1, (Facturas_Odoo!$D:$D=A1399) * (Facturas_Odoo!$K:$K=I1399), Facturas_Odoo!$N:$N, 0), 0))</f>
        <v/>
      </c>
      <c r="V1399" s="79">
        <f>IF(Q1399="Sin Factura",0,IFERROR(_xlfn.XLOOKUP(1, (Facturas_Odoo!$D:$D=A1399) * (Facturas_Odoo!$K:$K=I1399), Facturas_Odoo!$O:$O, 0), 0))</f>
        <v/>
      </c>
      <c r="W1399" s="81">
        <f>IF(Q1399="Sin Factura",0,IFERROR(_xlfn.XLOOKUP(1, (Facturas_Odoo!$D:$D=A1399) * (Facturas_Odoo!$K:$K=I1399), Facturas_Odoo!$Q:$Q, 0), 0))</f>
        <v/>
      </c>
      <c r="X1399" s="79">
        <f>IF(OR(Q1399="Sin Factura",Q1399=""),"",IFERROR(INDEX(Pagos_Odoo!$B:$B, MATCH(Q1399, Pagos_Odoo!$I:$I, 0)), "Sin Pago"))</f>
        <v/>
      </c>
      <c r="Y1399" s="79">
        <f>IF(X1399="Sin Pago","",IFERROR(INDEX(Pagos_Odoo!$C:$C, MATCH(X1399, Pagos_Odoo!$B:$B, 0)), ""))</f>
        <v/>
      </c>
      <c r="Z1399" s="80">
        <f>IF(X1399="Sin Pago","",IFERROR(INDEX(Pagos_Odoo!$A:$A, MATCH(X1399, Pagos_Odoo!$B:$B, 0)), ""))</f>
        <v/>
      </c>
      <c r="AA1399" s="79">
        <f>IF(X1399="Sin Pago","",IFERROR(INDEX(Pagos_Odoo!$F:$F, MATCH(X1399, Pagos_Odoo!$B:$B, 0)), ""))</f>
        <v/>
      </c>
      <c r="AB1399" s="81">
        <f>IF(X1399="Sin Pago",0,IFERROR(INDEX(Pagos_Odoo!$E:$E, MATCH(X1399, Pagos_Odoo!$B:$B, 0)), 0))</f>
        <v/>
      </c>
      <c r="AC1399" s="79">
        <f>IF(X1399="Sin Pago","",IFERROR(INDEX(Pagos_Odoo!$G:$G, MATCH(X1399, Pagos_Odoo!$B:$B, 0)), ""))</f>
        <v/>
      </c>
      <c r="AD1399" s="82" t="n">
        <v>0</v>
      </c>
      <c r="AE1399" s="82" t="n"/>
      <c r="AF1399" s="82" t="n"/>
      <c r="AG1399" s="82">
        <f>IF(AN1399="","",AD1399+AE1399+AF1399)</f>
        <v/>
      </c>
      <c r="AH1399" s="81">
        <f>IF(AN1399="","",P1399*(1-AG1399))</f>
        <v/>
      </c>
      <c r="AI1399" s="81">
        <f>IF(AN1399="","",IF(Q1399="Sin Factura",0,IFERROR(INDEX(Facturas_Odoo!$H:$H, MATCH(Q1399, Facturas_Odoo!$B:$B, 0)), 0)*(1-AG1399)))</f>
        <v/>
      </c>
      <c r="AJ1399" s="81">
        <f>IF(AN1399="","",_xlfn.LET(idVenta, AN1399&amp;"",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399" s="81">
        <f>IF(AN1399="","",AH1399-AJ1399)</f>
        <v/>
      </c>
      <c r="AL1399" s="81">
        <f>IF(AN1399="","",IF(Q1399="Sin Factura","",AI1399-AJ1399))</f>
        <v/>
      </c>
      <c r="AM1399" s="81">
        <f>IF(AN1399="","",IF(Q1399="Sin Factura",0,P1399-IFERROR(INDEX(Facturas_Odoo!$H:$H, MATCH(Q1399, Facturas_Odoo!$B:$B, 0)), 0)))</f>
        <v/>
      </c>
      <c r="AN1399" s="79">
        <f>IF(AND(A1399="", J1399=""), "", IF(A1399&lt;&gt;"", VALUE(MID(A1399,2,LEN(A1399))), AN1398))</f>
        <v/>
      </c>
      <c r="AO1399" s="79">
        <f>IF(AN1399="","",IF(AD1399=0,"OK",_xlfn.LET(monedaPago, IF(AA1399="","USD",AA1399), limitePermitido, IFERROR(VLOOKUP(monedaPago, Configuración!$A$2:$B$3, 2, FALSE), 0.15), IF(AD1399&gt;limitePermitido, "ALERTA: EXCESO (" &amp; TEXT(limitePermitido, "0%") &amp; " máx)", "OK"))))</f>
        <v/>
      </c>
      <c r="AP1399" s="79">
        <f>IF(AN1399="","",IF(AE1399=0,"OK",_xlfn.LET(fechaPago, Z1399, fechaFactura, R1399, diasCredito, IF(E1399="Pago inmediato", 0, IFERROR(VALUE(MID(E1399, 1, SEARCH(" ", E1399)-1)),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399" s="79">
        <f>IF(AN1399="","",IF(AND(N1399&gt;0, AG1399&gt;0), IF(Configuración!$K$2="NO", "ALERTA: DESCUENTO DOBLE NO PERMITIDO", "OK"), "OK"))</f>
        <v/>
      </c>
      <c r="AR1399" s="79">
        <f>IF(AN1399="","",IF(OR(AO1399&lt;&gt;"OK", AP1399&lt;&gt;"OK", AQ1399&lt;&gt;"OK"), "⚠️ REVISAR", "OK"))</f>
        <v/>
      </c>
    </row>
    <row r="1400">
      <c r="A1400" s="79">
        <f>IF('Ordenes_Odoo'!A1400="","",'Ordenes_Odoo'!A1400)</f>
        <v/>
      </c>
      <c r="B1400" s="80">
        <f>IF('Ordenes_Odoo'!B1400="","",'Ordenes_Odoo'!B1400)</f>
        <v/>
      </c>
      <c r="C1400" s="79">
        <f>IF('Ordenes_Odoo'!C1400="","",'Ordenes_Odoo'!C1400)</f>
        <v/>
      </c>
      <c r="D1400" s="79">
        <f>IF('Ordenes_Odoo'!D1400="","",'Ordenes_Odoo'!D1400)</f>
        <v/>
      </c>
      <c r="E1400" s="79">
        <f>IF('Ordenes_Odoo'!E1400="","",'Ordenes_Odoo'!E1400)</f>
        <v/>
      </c>
      <c r="F1400" s="79">
        <f>IF('Ordenes_Odoo'!F1400="","",'Ordenes_Odoo'!F1400)</f>
        <v/>
      </c>
      <c r="G1400" s="79">
        <f>IF('Ordenes_Odoo'!G1400="","",'Ordenes_Odoo'!G1400)</f>
        <v/>
      </c>
      <c r="H1400" s="79">
        <f>IF('Ordenes_Odoo'!H1400="","",'Ordenes_Odoo'!H1400)</f>
        <v/>
      </c>
      <c r="I1400" s="79">
        <f>IF('Ordenes_Odoo'!I1400="","",'Ordenes_Odoo'!I1400)</f>
        <v/>
      </c>
      <c r="J1400" s="79">
        <f>IF('Ordenes_Odoo'!J1400="","",'Ordenes_Odoo'!J1400)</f>
        <v/>
      </c>
      <c r="K1400" s="81">
        <f>IF('Ordenes_Odoo'!K1400="","",'Ordenes_Odoo'!K1400)</f>
        <v/>
      </c>
      <c r="L1400" s="81">
        <f>IF('Ordenes_Odoo'!L1400="","",'Ordenes_Odoo'!L1400)</f>
        <v/>
      </c>
      <c r="M1400" s="79">
        <f>IF('Ordenes_Odoo'!M1400="","",'Ordenes_Odoo'!M1400)</f>
        <v/>
      </c>
      <c r="N1400" s="79">
        <f>IF('Ordenes_Odoo'!N1400="","",'Ordenes_Odoo'!N1400)</f>
        <v/>
      </c>
      <c r="O1400" s="81">
        <f>IF('Ordenes_Odoo'!O1400="","",'Ordenes_Odoo'!O1400)</f>
        <v/>
      </c>
      <c r="P1400" s="81">
        <f>IF('Ordenes_Odoo'!P1400="","",'Ordenes_Odoo'!P1400)</f>
        <v/>
      </c>
      <c r="Q1400" s="79">
        <f>IF(A1400="","",IFERROR(INDEX(Facturas_Odoo!$B:$B, MATCH(A1400, Facturas_Odoo!$D:$D, 0)), "Sin Factura"))</f>
        <v/>
      </c>
      <c r="R1400" s="80">
        <f>IF(Q1400="Sin Factura","",IFERROR(INDEX(Facturas_Odoo!$A:$A, MATCH(Q1400, Facturas_Odoo!$B:$B, 0)), ""))</f>
        <v/>
      </c>
      <c r="S1400" s="79">
        <f>IF(Q1400="Sin Factura","",IFERROR(_xlfn.XLOOKUP(1, (Facturas_Odoo!$D:$D=A1400) * (Facturas_Odoo!$K:$K=I1400), Facturas_Odoo!$L:$L, ""), ""))</f>
        <v/>
      </c>
      <c r="T1400" s="81">
        <f>IF(Q1400="Sin Factura",0,IFERROR(_xlfn.XLOOKUP(1, (Facturas_Odoo!$D:$D=A1400) * (Facturas_Odoo!$K:$K=I1400), Facturas_Odoo!$M:$M, 0), 0))</f>
        <v/>
      </c>
      <c r="U1400" s="79">
        <f>IF(Q1400="Sin Factura",0,IFERROR(_xlfn.XLOOKUP(1, (Facturas_Odoo!$D:$D=A1400) * (Facturas_Odoo!$K:$K=I1400), Facturas_Odoo!$N:$N, 0), 0))</f>
        <v/>
      </c>
      <c r="V1400" s="79">
        <f>IF(Q1400="Sin Factura",0,IFERROR(_xlfn.XLOOKUP(1, (Facturas_Odoo!$D:$D=A1400) * (Facturas_Odoo!$K:$K=I1400), Facturas_Odoo!$O:$O, 0), 0))</f>
        <v/>
      </c>
      <c r="W1400" s="81">
        <f>IF(Q1400="Sin Factura",0,IFERROR(_xlfn.XLOOKUP(1, (Facturas_Odoo!$D:$D=A1400) * (Facturas_Odoo!$K:$K=I1400), Facturas_Odoo!$Q:$Q, 0), 0))</f>
        <v/>
      </c>
      <c r="X1400" s="79">
        <f>IF(OR(Q1400="Sin Factura",Q1400=""),"",IFERROR(INDEX(Pagos_Odoo!$B:$B, MATCH(Q1400, Pagos_Odoo!$I:$I, 0)), "Sin Pago"))</f>
        <v/>
      </c>
      <c r="Y1400" s="79">
        <f>IF(X1400="Sin Pago","",IFERROR(INDEX(Pagos_Odoo!$C:$C, MATCH(X1400, Pagos_Odoo!$B:$B, 0)), ""))</f>
        <v/>
      </c>
      <c r="Z1400" s="80">
        <f>IF(X1400="Sin Pago","",IFERROR(INDEX(Pagos_Odoo!$A:$A, MATCH(X1400, Pagos_Odoo!$B:$B, 0)), ""))</f>
        <v/>
      </c>
      <c r="AA1400" s="79">
        <f>IF(X1400="Sin Pago","",IFERROR(INDEX(Pagos_Odoo!$F:$F, MATCH(X1400, Pagos_Odoo!$B:$B, 0)), ""))</f>
        <v/>
      </c>
      <c r="AB1400" s="81">
        <f>IF(X1400="Sin Pago",0,IFERROR(INDEX(Pagos_Odoo!$E:$E, MATCH(X1400, Pagos_Odoo!$B:$B, 0)), 0))</f>
        <v/>
      </c>
      <c r="AC1400" s="79">
        <f>IF(X1400="Sin Pago","",IFERROR(INDEX(Pagos_Odoo!$G:$G, MATCH(X1400, Pagos_Odoo!$B:$B, 0)), ""))</f>
        <v/>
      </c>
      <c r="AD1400" s="82" t="n">
        <v>0</v>
      </c>
      <c r="AE1400" s="82" t="n"/>
      <c r="AF1400" s="82" t="n"/>
      <c r="AG1400" s="82">
        <f>IF(AN1400="","",AD1400+AE1400+AF1400)</f>
        <v/>
      </c>
      <c r="AH1400" s="81">
        <f>IF(AN1400="","",P1400*(1-AG1400))</f>
        <v/>
      </c>
      <c r="AI1400" s="81">
        <f>IF(AN1400="","",IF(Q1400="Sin Factura",0,IFERROR(INDEX(Facturas_Odoo!$H:$H, MATCH(Q1400, Facturas_Odoo!$B:$B, 0)), 0)*(1-AG1400)))</f>
        <v/>
      </c>
      <c r="AJ1400" s="81">
        <f>IF(AN1400="","",_xlfn.LET(idVenta, AN1400&amp;"",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00" s="81">
        <f>IF(AN1400="","",AH1400-AJ1400)</f>
        <v/>
      </c>
      <c r="AL1400" s="81">
        <f>IF(AN1400="","",IF(Q1400="Sin Factura","",AI1400-AJ1400))</f>
        <v/>
      </c>
      <c r="AM1400" s="81">
        <f>IF(AN1400="","",IF(Q1400="Sin Factura",0,P1400-IFERROR(INDEX(Facturas_Odoo!$H:$H, MATCH(Q1400, Facturas_Odoo!$B:$B, 0)), 0)))</f>
        <v/>
      </c>
      <c r="AN1400" s="79">
        <f>IF(AND(A1400="", J1400=""), "", IF(A1400&lt;&gt;"", VALUE(MID(A1400,2,LEN(A1400))), AN1399))</f>
        <v/>
      </c>
      <c r="AO1400" s="79">
        <f>IF(AN1400="","",IF(AD1400=0,"OK",_xlfn.LET(monedaPago, IF(AA1400="","USD",AA1400), limitePermitido, IFERROR(VLOOKUP(monedaPago, Configuración!$A$2:$B$3, 2, FALSE), 0.15), IF(AD1400&gt;limitePermitido, "ALERTA: EXCESO (" &amp; TEXT(limitePermitido, "0%") &amp; " máx)", "OK"))))</f>
        <v/>
      </c>
      <c r="AP1400" s="79">
        <f>IF(AN1400="","",IF(AE1400=0,"OK",_xlfn.LET(fechaPago, Z1400, fechaFactura, R1400, diasCredito, IF(E1400="Pago inmediato", 0, IFERROR(VALUE(MID(E1400, 1, SEARCH(" ", E1400)-1)),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00" s="79">
        <f>IF(AN1400="","",IF(AND(N1400&gt;0, AG1400&gt;0), IF(Configuración!$K$2="NO", "ALERTA: DESCUENTO DOBLE NO PERMITIDO", "OK"), "OK"))</f>
        <v/>
      </c>
      <c r="AR1400" s="79">
        <f>IF(AN1400="","",IF(OR(AO1400&lt;&gt;"OK", AP1400&lt;&gt;"OK", AQ1400&lt;&gt;"OK"), "⚠️ REVISAR", "OK"))</f>
        <v/>
      </c>
    </row>
    <row r="1401">
      <c r="A1401" s="79">
        <f>IF('Ordenes_Odoo'!A1401="","",'Ordenes_Odoo'!A1401)</f>
        <v/>
      </c>
      <c r="B1401" s="80">
        <f>IF('Ordenes_Odoo'!B1401="","",'Ordenes_Odoo'!B1401)</f>
        <v/>
      </c>
      <c r="C1401" s="79">
        <f>IF('Ordenes_Odoo'!C1401="","",'Ordenes_Odoo'!C1401)</f>
        <v/>
      </c>
      <c r="D1401" s="79">
        <f>IF('Ordenes_Odoo'!D1401="","",'Ordenes_Odoo'!D1401)</f>
        <v/>
      </c>
      <c r="E1401" s="79">
        <f>IF('Ordenes_Odoo'!E1401="","",'Ordenes_Odoo'!E1401)</f>
        <v/>
      </c>
      <c r="F1401" s="79">
        <f>IF('Ordenes_Odoo'!F1401="","",'Ordenes_Odoo'!F1401)</f>
        <v/>
      </c>
      <c r="G1401" s="79">
        <f>IF('Ordenes_Odoo'!G1401="","",'Ordenes_Odoo'!G1401)</f>
        <v/>
      </c>
      <c r="H1401" s="79">
        <f>IF('Ordenes_Odoo'!H1401="","",'Ordenes_Odoo'!H1401)</f>
        <v/>
      </c>
      <c r="I1401" s="79">
        <f>IF('Ordenes_Odoo'!I1401="","",'Ordenes_Odoo'!I1401)</f>
        <v/>
      </c>
      <c r="J1401" s="79">
        <f>IF('Ordenes_Odoo'!J1401="","",'Ordenes_Odoo'!J1401)</f>
        <v/>
      </c>
      <c r="K1401" s="81">
        <f>IF('Ordenes_Odoo'!K1401="","",'Ordenes_Odoo'!K1401)</f>
        <v/>
      </c>
      <c r="L1401" s="81">
        <f>IF('Ordenes_Odoo'!L1401="","",'Ordenes_Odoo'!L1401)</f>
        <v/>
      </c>
      <c r="M1401" s="79">
        <f>IF('Ordenes_Odoo'!M1401="","",'Ordenes_Odoo'!M1401)</f>
        <v/>
      </c>
      <c r="N1401" s="79">
        <f>IF('Ordenes_Odoo'!N1401="","",'Ordenes_Odoo'!N1401)</f>
        <v/>
      </c>
      <c r="O1401" s="81">
        <f>IF('Ordenes_Odoo'!O1401="","",'Ordenes_Odoo'!O1401)</f>
        <v/>
      </c>
      <c r="P1401" s="81">
        <f>IF('Ordenes_Odoo'!P1401="","",'Ordenes_Odoo'!P1401)</f>
        <v/>
      </c>
      <c r="Q1401" s="79">
        <f>IF(A1401="","",IFERROR(INDEX(Facturas_Odoo!$B:$B, MATCH(A1401, Facturas_Odoo!$D:$D, 0)), "Sin Factura"))</f>
        <v/>
      </c>
      <c r="R1401" s="80">
        <f>IF(Q1401="Sin Factura","",IFERROR(INDEX(Facturas_Odoo!$A:$A, MATCH(Q1401, Facturas_Odoo!$B:$B, 0)), ""))</f>
        <v/>
      </c>
      <c r="S1401" s="79">
        <f>IF(Q1401="Sin Factura","",IFERROR(_xlfn.XLOOKUP(1, (Facturas_Odoo!$D:$D=A1401) * (Facturas_Odoo!$K:$K=I1401), Facturas_Odoo!$L:$L, ""), ""))</f>
        <v/>
      </c>
      <c r="T1401" s="81">
        <f>IF(Q1401="Sin Factura",0,IFERROR(_xlfn.XLOOKUP(1, (Facturas_Odoo!$D:$D=A1401) * (Facturas_Odoo!$K:$K=I1401), Facturas_Odoo!$M:$M, 0), 0))</f>
        <v/>
      </c>
      <c r="U1401" s="79">
        <f>IF(Q1401="Sin Factura",0,IFERROR(_xlfn.XLOOKUP(1, (Facturas_Odoo!$D:$D=A1401) * (Facturas_Odoo!$K:$K=I1401), Facturas_Odoo!$N:$N, 0), 0))</f>
        <v/>
      </c>
      <c r="V1401" s="79">
        <f>IF(Q1401="Sin Factura",0,IFERROR(_xlfn.XLOOKUP(1, (Facturas_Odoo!$D:$D=A1401) * (Facturas_Odoo!$K:$K=I1401), Facturas_Odoo!$O:$O, 0), 0))</f>
        <v/>
      </c>
      <c r="W1401" s="81">
        <f>IF(Q1401="Sin Factura",0,IFERROR(_xlfn.XLOOKUP(1, (Facturas_Odoo!$D:$D=A1401) * (Facturas_Odoo!$K:$K=I1401), Facturas_Odoo!$Q:$Q, 0), 0))</f>
        <v/>
      </c>
      <c r="X1401" s="79">
        <f>IF(OR(Q1401="Sin Factura",Q1401=""),"",IFERROR(INDEX(Pagos_Odoo!$B:$B, MATCH(Q1401, Pagos_Odoo!$I:$I, 0)), "Sin Pago"))</f>
        <v/>
      </c>
      <c r="Y1401" s="79">
        <f>IF(X1401="Sin Pago","",IFERROR(INDEX(Pagos_Odoo!$C:$C, MATCH(X1401, Pagos_Odoo!$B:$B, 0)), ""))</f>
        <v/>
      </c>
      <c r="Z1401" s="80">
        <f>IF(X1401="Sin Pago","",IFERROR(INDEX(Pagos_Odoo!$A:$A, MATCH(X1401, Pagos_Odoo!$B:$B, 0)), ""))</f>
        <v/>
      </c>
      <c r="AA1401" s="79">
        <f>IF(X1401="Sin Pago","",IFERROR(INDEX(Pagos_Odoo!$F:$F, MATCH(X1401, Pagos_Odoo!$B:$B, 0)), ""))</f>
        <v/>
      </c>
      <c r="AB1401" s="81">
        <f>IF(X1401="Sin Pago",0,IFERROR(INDEX(Pagos_Odoo!$E:$E, MATCH(X1401, Pagos_Odoo!$B:$B, 0)), 0))</f>
        <v/>
      </c>
      <c r="AC1401" s="79">
        <f>IF(X1401="Sin Pago","",IFERROR(INDEX(Pagos_Odoo!$G:$G, MATCH(X1401, Pagos_Odoo!$B:$B, 0)), ""))</f>
        <v/>
      </c>
      <c r="AD1401" s="82" t="n">
        <v>0</v>
      </c>
      <c r="AE1401" s="82" t="n"/>
      <c r="AF1401" s="82" t="n"/>
      <c r="AG1401" s="82">
        <f>IF(AN1401="","",AD1401+AE1401+AF1401)</f>
        <v/>
      </c>
      <c r="AH1401" s="81">
        <f>IF(AN1401="","",P1401*(1-AG1401))</f>
        <v/>
      </c>
      <c r="AI1401" s="81">
        <f>IF(AN1401="","",IF(Q1401="Sin Factura",0,IFERROR(INDEX(Facturas_Odoo!$H:$H, MATCH(Q1401, Facturas_Odoo!$B:$B, 0)), 0)*(1-AG1401)))</f>
        <v/>
      </c>
      <c r="AJ1401" s="81">
        <f>IF(AN1401="","",_xlfn.LET(idVenta, AN1401&amp;"",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01" s="81">
        <f>IF(AN1401="","",AH1401-AJ1401)</f>
        <v/>
      </c>
      <c r="AL1401" s="81">
        <f>IF(AN1401="","",IF(Q1401="Sin Factura","",AI1401-AJ1401))</f>
        <v/>
      </c>
      <c r="AM1401" s="81">
        <f>IF(AN1401="","",IF(Q1401="Sin Factura",0,P1401-IFERROR(INDEX(Facturas_Odoo!$H:$H, MATCH(Q1401, Facturas_Odoo!$B:$B, 0)), 0)))</f>
        <v/>
      </c>
      <c r="AN1401" s="79">
        <f>IF(AND(A1401="", J1401=""), "", IF(A1401&lt;&gt;"", VALUE(MID(A1401,2,LEN(A1401))), AN1400))</f>
        <v/>
      </c>
      <c r="AO1401" s="79">
        <f>IF(AN1401="","",IF(AD1401=0,"OK",_xlfn.LET(monedaPago, IF(AA1401="","USD",AA1401), limitePermitido, IFERROR(VLOOKUP(monedaPago, Configuración!$A$2:$B$3, 2, FALSE), 0.15), IF(AD1401&gt;limitePermitido, "ALERTA: EXCESO (" &amp; TEXT(limitePermitido, "0%") &amp; " máx)", "OK"))))</f>
        <v/>
      </c>
      <c r="AP1401" s="79">
        <f>IF(AN1401="","",IF(AE1401=0,"OK",_xlfn.LET(fechaPago, Z1401, fechaFactura, R1401, diasCredito, IF(E1401="Pago inmediato", 0, IFERROR(VALUE(MID(E1401, 1, SEARCH(" ", E1401)-1)),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01" s="79">
        <f>IF(AN1401="","",IF(AND(N1401&gt;0, AG1401&gt;0), IF(Configuración!$K$2="NO", "ALERTA: DESCUENTO DOBLE NO PERMITIDO", "OK"), "OK"))</f>
        <v/>
      </c>
      <c r="AR1401" s="79">
        <f>IF(AN1401="","",IF(OR(AO1401&lt;&gt;"OK", AP1401&lt;&gt;"OK", AQ1401&lt;&gt;"OK"), "⚠️ REVISAR", "OK"))</f>
        <v/>
      </c>
    </row>
    <row r="1402">
      <c r="A1402" s="79">
        <f>IF('Ordenes_Odoo'!A1402="","",'Ordenes_Odoo'!A1402)</f>
        <v/>
      </c>
      <c r="B1402" s="80">
        <f>IF('Ordenes_Odoo'!B1402="","",'Ordenes_Odoo'!B1402)</f>
        <v/>
      </c>
      <c r="C1402" s="79">
        <f>IF('Ordenes_Odoo'!C1402="","",'Ordenes_Odoo'!C1402)</f>
        <v/>
      </c>
      <c r="D1402" s="79">
        <f>IF('Ordenes_Odoo'!D1402="","",'Ordenes_Odoo'!D1402)</f>
        <v/>
      </c>
      <c r="E1402" s="79">
        <f>IF('Ordenes_Odoo'!E1402="","",'Ordenes_Odoo'!E1402)</f>
        <v/>
      </c>
      <c r="F1402" s="79">
        <f>IF('Ordenes_Odoo'!F1402="","",'Ordenes_Odoo'!F1402)</f>
        <v/>
      </c>
      <c r="G1402" s="79">
        <f>IF('Ordenes_Odoo'!G1402="","",'Ordenes_Odoo'!G1402)</f>
        <v/>
      </c>
      <c r="H1402" s="79">
        <f>IF('Ordenes_Odoo'!H1402="","",'Ordenes_Odoo'!H1402)</f>
        <v/>
      </c>
      <c r="I1402" s="79">
        <f>IF('Ordenes_Odoo'!I1402="","",'Ordenes_Odoo'!I1402)</f>
        <v/>
      </c>
      <c r="J1402" s="79">
        <f>IF('Ordenes_Odoo'!J1402="","",'Ordenes_Odoo'!J1402)</f>
        <v/>
      </c>
      <c r="K1402" s="81">
        <f>IF('Ordenes_Odoo'!K1402="","",'Ordenes_Odoo'!K1402)</f>
        <v/>
      </c>
      <c r="L1402" s="81">
        <f>IF('Ordenes_Odoo'!L1402="","",'Ordenes_Odoo'!L1402)</f>
        <v/>
      </c>
      <c r="M1402" s="79">
        <f>IF('Ordenes_Odoo'!M1402="","",'Ordenes_Odoo'!M1402)</f>
        <v/>
      </c>
      <c r="N1402" s="79">
        <f>IF('Ordenes_Odoo'!N1402="","",'Ordenes_Odoo'!N1402)</f>
        <v/>
      </c>
      <c r="O1402" s="81">
        <f>IF('Ordenes_Odoo'!O1402="","",'Ordenes_Odoo'!O1402)</f>
        <v/>
      </c>
      <c r="P1402" s="81">
        <f>IF('Ordenes_Odoo'!P1402="","",'Ordenes_Odoo'!P1402)</f>
        <v/>
      </c>
      <c r="Q1402" s="79">
        <f>IF(A1402="","",IFERROR(INDEX(Facturas_Odoo!$B:$B, MATCH(A1402, Facturas_Odoo!$D:$D, 0)), "Sin Factura"))</f>
        <v/>
      </c>
      <c r="R1402" s="80">
        <f>IF(Q1402="Sin Factura","",IFERROR(INDEX(Facturas_Odoo!$A:$A, MATCH(Q1402, Facturas_Odoo!$B:$B, 0)), ""))</f>
        <v/>
      </c>
      <c r="S1402" s="79">
        <f>IF(Q1402="Sin Factura","",IFERROR(_xlfn.XLOOKUP(1, (Facturas_Odoo!$D:$D=A1402) * (Facturas_Odoo!$K:$K=I1402), Facturas_Odoo!$L:$L, ""), ""))</f>
        <v/>
      </c>
      <c r="T1402" s="81">
        <f>IF(Q1402="Sin Factura",0,IFERROR(_xlfn.XLOOKUP(1, (Facturas_Odoo!$D:$D=A1402) * (Facturas_Odoo!$K:$K=I1402), Facturas_Odoo!$M:$M, 0), 0))</f>
        <v/>
      </c>
      <c r="U1402" s="79">
        <f>IF(Q1402="Sin Factura",0,IFERROR(_xlfn.XLOOKUP(1, (Facturas_Odoo!$D:$D=A1402) * (Facturas_Odoo!$K:$K=I1402), Facturas_Odoo!$N:$N, 0), 0))</f>
        <v/>
      </c>
      <c r="V1402" s="79">
        <f>IF(Q1402="Sin Factura",0,IFERROR(_xlfn.XLOOKUP(1, (Facturas_Odoo!$D:$D=A1402) * (Facturas_Odoo!$K:$K=I1402), Facturas_Odoo!$O:$O, 0), 0))</f>
        <v/>
      </c>
      <c r="W1402" s="81">
        <f>IF(Q1402="Sin Factura",0,IFERROR(_xlfn.XLOOKUP(1, (Facturas_Odoo!$D:$D=A1402) * (Facturas_Odoo!$K:$K=I1402), Facturas_Odoo!$Q:$Q, 0), 0))</f>
        <v/>
      </c>
      <c r="X1402" s="79">
        <f>IF(OR(Q1402="Sin Factura",Q1402=""),"",IFERROR(INDEX(Pagos_Odoo!$B:$B, MATCH(Q1402, Pagos_Odoo!$I:$I, 0)), "Sin Pago"))</f>
        <v/>
      </c>
      <c r="Y1402" s="79">
        <f>IF(X1402="Sin Pago","",IFERROR(INDEX(Pagos_Odoo!$C:$C, MATCH(X1402, Pagos_Odoo!$B:$B, 0)), ""))</f>
        <v/>
      </c>
      <c r="Z1402" s="80">
        <f>IF(X1402="Sin Pago","",IFERROR(INDEX(Pagos_Odoo!$A:$A, MATCH(X1402, Pagos_Odoo!$B:$B, 0)), ""))</f>
        <v/>
      </c>
      <c r="AA1402" s="79">
        <f>IF(X1402="Sin Pago","",IFERROR(INDEX(Pagos_Odoo!$F:$F, MATCH(X1402, Pagos_Odoo!$B:$B, 0)), ""))</f>
        <v/>
      </c>
      <c r="AB1402" s="81">
        <f>IF(X1402="Sin Pago",0,IFERROR(INDEX(Pagos_Odoo!$E:$E, MATCH(X1402, Pagos_Odoo!$B:$B, 0)), 0))</f>
        <v/>
      </c>
      <c r="AC1402" s="79">
        <f>IF(X1402="Sin Pago","",IFERROR(INDEX(Pagos_Odoo!$G:$G, MATCH(X1402, Pagos_Odoo!$B:$B, 0)), ""))</f>
        <v/>
      </c>
      <c r="AD1402" s="82" t="n">
        <v>0</v>
      </c>
      <c r="AE1402" s="82" t="n"/>
      <c r="AF1402" s="82" t="n"/>
      <c r="AG1402" s="82">
        <f>IF(AN1402="","",AD1402+AE1402+AF1402)</f>
        <v/>
      </c>
      <c r="AH1402" s="81">
        <f>IF(AN1402="","",P1402*(1-AG1402))</f>
        <v/>
      </c>
      <c r="AI1402" s="81">
        <f>IF(AN1402="","",IF(Q1402="Sin Factura",0,IFERROR(INDEX(Facturas_Odoo!$H:$H, MATCH(Q1402, Facturas_Odoo!$B:$B, 0)), 0)*(1-AG1402)))</f>
        <v/>
      </c>
      <c r="AJ1402" s="81">
        <f>IF(AN1402="","",_xlfn.LET(idVenta, AN1402&amp;"",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02" s="81">
        <f>IF(AN1402="","",AH1402-AJ1402)</f>
        <v/>
      </c>
      <c r="AL1402" s="81">
        <f>IF(AN1402="","",IF(Q1402="Sin Factura","",AI1402-AJ1402))</f>
        <v/>
      </c>
      <c r="AM1402" s="81">
        <f>IF(AN1402="","",IF(Q1402="Sin Factura",0,P1402-IFERROR(INDEX(Facturas_Odoo!$H:$H, MATCH(Q1402, Facturas_Odoo!$B:$B, 0)), 0)))</f>
        <v/>
      </c>
      <c r="AN1402" s="79">
        <f>IF(AND(A1402="", J1402=""), "", IF(A1402&lt;&gt;"", VALUE(MID(A1402,2,LEN(A1402))), AN1401))</f>
        <v/>
      </c>
      <c r="AO1402" s="79">
        <f>IF(AN1402="","",IF(AD1402=0,"OK",_xlfn.LET(monedaPago, IF(AA1402="","USD",AA1402), limitePermitido, IFERROR(VLOOKUP(monedaPago, Configuración!$A$2:$B$3, 2, FALSE), 0.15), IF(AD1402&gt;limitePermitido, "ALERTA: EXCESO (" &amp; TEXT(limitePermitido, "0%") &amp; " máx)", "OK"))))</f>
        <v/>
      </c>
      <c r="AP1402" s="79">
        <f>IF(AN1402="","",IF(AE1402=0,"OK",_xlfn.LET(fechaPago, Z1402, fechaFactura, R1402, diasCredito, IF(E1402="Pago inmediato", 0, IFERROR(VALUE(MID(E1402, 1, SEARCH(" ", E1402)-1)),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02" s="79">
        <f>IF(AN1402="","",IF(AND(N1402&gt;0, AG1402&gt;0), IF(Configuración!$K$2="NO", "ALERTA: DESCUENTO DOBLE NO PERMITIDO", "OK"), "OK"))</f>
        <v/>
      </c>
      <c r="AR1402" s="79">
        <f>IF(AN1402="","",IF(OR(AO1402&lt;&gt;"OK", AP1402&lt;&gt;"OK", AQ1402&lt;&gt;"OK"), "⚠️ REVISAR", "OK"))</f>
        <v/>
      </c>
    </row>
    <row r="1403">
      <c r="A1403" s="79">
        <f>IF('Ordenes_Odoo'!A1403="","",'Ordenes_Odoo'!A1403)</f>
        <v/>
      </c>
      <c r="B1403" s="80">
        <f>IF('Ordenes_Odoo'!B1403="","",'Ordenes_Odoo'!B1403)</f>
        <v/>
      </c>
      <c r="C1403" s="79">
        <f>IF('Ordenes_Odoo'!C1403="","",'Ordenes_Odoo'!C1403)</f>
        <v/>
      </c>
      <c r="D1403" s="79">
        <f>IF('Ordenes_Odoo'!D1403="","",'Ordenes_Odoo'!D1403)</f>
        <v/>
      </c>
      <c r="E1403" s="79">
        <f>IF('Ordenes_Odoo'!E1403="","",'Ordenes_Odoo'!E1403)</f>
        <v/>
      </c>
      <c r="F1403" s="79">
        <f>IF('Ordenes_Odoo'!F1403="","",'Ordenes_Odoo'!F1403)</f>
        <v/>
      </c>
      <c r="G1403" s="79">
        <f>IF('Ordenes_Odoo'!G1403="","",'Ordenes_Odoo'!G1403)</f>
        <v/>
      </c>
      <c r="H1403" s="79">
        <f>IF('Ordenes_Odoo'!H1403="","",'Ordenes_Odoo'!H1403)</f>
        <v/>
      </c>
      <c r="I1403" s="79">
        <f>IF('Ordenes_Odoo'!I1403="","",'Ordenes_Odoo'!I1403)</f>
        <v/>
      </c>
      <c r="J1403" s="79">
        <f>IF('Ordenes_Odoo'!J1403="","",'Ordenes_Odoo'!J1403)</f>
        <v/>
      </c>
      <c r="K1403" s="81">
        <f>IF('Ordenes_Odoo'!K1403="","",'Ordenes_Odoo'!K1403)</f>
        <v/>
      </c>
      <c r="L1403" s="81">
        <f>IF('Ordenes_Odoo'!L1403="","",'Ordenes_Odoo'!L1403)</f>
        <v/>
      </c>
      <c r="M1403" s="79">
        <f>IF('Ordenes_Odoo'!M1403="","",'Ordenes_Odoo'!M1403)</f>
        <v/>
      </c>
      <c r="N1403" s="79">
        <f>IF('Ordenes_Odoo'!N1403="","",'Ordenes_Odoo'!N1403)</f>
        <v/>
      </c>
      <c r="O1403" s="81">
        <f>IF('Ordenes_Odoo'!O1403="","",'Ordenes_Odoo'!O1403)</f>
        <v/>
      </c>
      <c r="P1403" s="81">
        <f>IF('Ordenes_Odoo'!P1403="","",'Ordenes_Odoo'!P1403)</f>
        <v/>
      </c>
      <c r="Q1403" s="79">
        <f>IF(A1403="","",IFERROR(INDEX(Facturas_Odoo!$B:$B, MATCH(A1403, Facturas_Odoo!$D:$D, 0)), "Sin Factura"))</f>
        <v/>
      </c>
      <c r="R1403" s="80">
        <f>IF(Q1403="Sin Factura","",IFERROR(INDEX(Facturas_Odoo!$A:$A, MATCH(Q1403, Facturas_Odoo!$B:$B, 0)), ""))</f>
        <v/>
      </c>
      <c r="S1403" s="79">
        <f>IF(Q1403="Sin Factura","",IFERROR(_xlfn.XLOOKUP(1, (Facturas_Odoo!$D:$D=A1403) * (Facturas_Odoo!$K:$K=I1403), Facturas_Odoo!$L:$L, ""), ""))</f>
        <v/>
      </c>
      <c r="T1403" s="81">
        <f>IF(Q1403="Sin Factura",0,IFERROR(_xlfn.XLOOKUP(1, (Facturas_Odoo!$D:$D=A1403) * (Facturas_Odoo!$K:$K=I1403), Facturas_Odoo!$M:$M, 0), 0))</f>
        <v/>
      </c>
      <c r="U1403" s="79">
        <f>IF(Q1403="Sin Factura",0,IFERROR(_xlfn.XLOOKUP(1, (Facturas_Odoo!$D:$D=A1403) * (Facturas_Odoo!$K:$K=I1403), Facturas_Odoo!$N:$N, 0), 0))</f>
        <v/>
      </c>
      <c r="V1403" s="79">
        <f>IF(Q1403="Sin Factura",0,IFERROR(_xlfn.XLOOKUP(1, (Facturas_Odoo!$D:$D=A1403) * (Facturas_Odoo!$K:$K=I1403), Facturas_Odoo!$O:$O, 0), 0))</f>
        <v/>
      </c>
      <c r="W1403" s="81">
        <f>IF(Q1403="Sin Factura",0,IFERROR(_xlfn.XLOOKUP(1, (Facturas_Odoo!$D:$D=A1403) * (Facturas_Odoo!$K:$K=I1403), Facturas_Odoo!$Q:$Q, 0), 0))</f>
        <v/>
      </c>
      <c r="X1403" s="79">
        <f>IF(OR(Q1403="Sin Factura",Q1403=""),"",IFERROR(INDEX(Pagos_Odoo!$B:$B, MATCH(Q1403, Pagos_Odoo!$I:$I, 0)), "Sin Pago"))</f>
        <v/>
      </c>
      <c r="Y1403" s="79">
        <f>IF(X1403="Sin Pago","",IFERROR(INDEX(Pagos_Odoo!$C:$C, MATCH(X1403, Pagos_Odoo!$B:$B, 0)), ""))</f>
        <v/>
      </c>
      <c r="Z1403" s="80">
        <f>IF(X1403="Sin Pago","",IFERROR(INDEX(Pagos_Odoo!$A:$A, MATCH(X1403, Pagos_Odoo!$B:$B, 0)), ""))</f>
        <v/>
      </c>
      <c r="AA1403" s="79">
        <f>IF(X1403="Sin Pago","",IFERROR(INDEX(Pagos_Odoo!$F:$F, MATCH(X1403, Pagos_Odoo!$B:$B, 0)), ""))</f>
        <v/>
      </c>
      <c r="AB1403" s="81">
        <f>IF(X1403="Sin Pago",0,IFERROR(INDEX(Pagos_Odoo!$E:$E, MATCH(X1403, Pagos_Odoo!$B:$B, 0)), 0))</f>
        <v/>
      </c>
      <c r="AC1403" s="79">
        <f>IF(X1403="Sin Pago","",IFERROR(INDEX(Pagos_Odoo!$G:$G, MATCH(X1403, Pagos_Odoo!$B:$B, 0)), ""))</f>
        <v/>
      </c>
      <c r="AD1403" s="82" t="n">
        <v>0</v>
      </c>
      <c r="AE1403" s="82" t="n"/>
      <c r="AF1403" s="82" t="n"/>
      <c r="AG1403" s="82">
        <f>IF(AN1403="","",AD1403+AE1403+AF1403)</f>
        <v/>
      </c>
      <c r="AH1403" s="81">
        <f>IF(AN1403="","",P1403*(1-AG1403))</f>
        <v/>
      </c>
      <c r="AI1403" s="81">
        <f>IF(AN1403="","",IF(Q1403="Sin Factura",0,IFERROR(INDEX(Facturas_Odoo!$H:$H, MATCH(Q1403, Facturas_Odoo!$B:$B, 0)), 0)*(1-AG1403)))</f>
        <v/>
      </c>
      <c r="AJ1403" s="81">
        <f>IF(AN1403="","",_xlfn.LET(idVenta, AN1403&amp;"",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03" s="81">
        <f>IF(AN1403="","",AH1403-AJ1403)</f>
        <v/>
      </c>
      <c r="AL1403" s="81">
        <f>IF(AN1403="","",IF(Q1403="Sin Factura","",AI1403-AJ1403))</f>
        <v/>
      </c>
      <c r="AM1403" s="81">
        <f>IF(AN1403="","",IF(Q1403="Sin Factura",0,P1403-IFERROR(INDEX(Facturas_Odoo!$H:$H, MATCH(Q1403, Facturas_Odoo!$B:$B, 0)), 0)))</f>
        <v/>
      </c>
      <c r="AN1403" s="79">
        <f>IF(AND(A1403="", J1403=""), "", IF(A1403&lt;&gt;"", VALUE(MID(A1403,2,LEN(A1403))), AN1402))</f>
        <v/>
      </c>
      <c r="AO1403" s="79">
        <f>IF(AN1403="","",IF(AD1403=0,"OK",_xlfn.LET(monedaPago, IF(AA1403="","USD",AA1403), limitePermitido, IFERROR(VLOOKUP(monedaPago, Configuración!$A$2:$B$3, 2, FALSE), 0.15), IF(AD1403&gt;limitePermitido, "ALERTA: EXCESO (" &amp; TEXT(limitePermitido, "0%") &amp; " máx)", "OK"))))</f>
        <v/>
      </c>
      <c r="AP1403" s="79">
        <f>IF(AN1403="","",IF(AE1403=0,"OK",_xlfn.LET(fechaPago, Z1403, fechaFactura, R1403, diasCredito, IF(E1403="Pago inmediato", 0, IFERROR(VALUE(MID(E1403, 1, SEARCH(" ", E1403)-1)),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03" s="79">
        <f>IF(AN1403="","",IF(AND(N1403&gt;0, AG1403&gt;0), IF(Configuración!$K$2="NO", "ALERTA: DESCUENTO DOBLE NO PERMITIDO", "OK"), "OK"))</f>
        <v/>
      </c>
      <c r="AR1403" s="79">
        <f>IF(AN1403="","",IF(OR(AO1403&lt;&gt;"OK", AP1403&lt;&gt;"OK", AQ1403&lt;&gt;"OK"), "⚠️ REVISAR", "OK"))</f>
        <v/>
      </c>
    </row>
    <row r="1404">
      <c r="A1404" s="79">
        <f>IF('Ordenes_Odoo'!A1404="","",'Ordenes_Odoo'!A1404)</f>
        <v/>
      </c>
      <c r="B1404" s="80">
        <f>IF('Ordenes_Odoo'!B1404="","",'Ordenes_Odoo'!B1404)</f>
        <v/>
      </c>
      <c r="C1404" s="79">
        <f>IF('Ordenes_Odoo'!C1404="","",'Ordenes_Odoo'!C1404)</f>
        <v/>
      </c>
      <c r="D1404" s="79">
        <f>IF('Ordenes_Odoo'!D1404="","",'Ordenes_Odoo'!D1404)</f>
        <v/>
      </c>
      <c r="E1404" s="79">
        <f>IF('Ordenes_Odoo'!E1404="","",'Ordenes_Odoo'!E1404)</f>
        <v/>
      </c>
      <c r="F1404" s="79">
        <f>IF('Ordenes_Odoo'!F1404="","",'Ordenes_Odoo'!F1404)</f>
        <v/>
      </c>
      <c r="G1404" s="79">
        <f>IF('Ordenes_Odoo'!G1404="","",'Ordenes_Odoo'!G1404)</f>
        <v/>
      </c>
      <c r="H1404" s="79">
        <f>IF('Ordenes_Odoo'!H1404="","",'Ordenes_Odoo'!H1404)</f>
        <v/>
      </c>
      <c r="I1404" s="79">
        <f>IF('Ordenes_Odoo'!I1404="","",'Ordenes_Odoo'!I1404)</f>
        <v/>
      </c>
      <c r="J1404" s="79">
        <f>IF('Ordenes_Odoo'!J1404="","",'Ordenes_Odoo'!J1404)</f>
        <v/>
      </c>
      <c r="K1404" s="81">
        <f>IF('Ordenes_Odoo'!K1404="","",'Ordenes_Odoo'!K1404)</f>
        <v/>
      </c>
      <c r="L1404" s="81">
        <f>IF('Ordenes_Odoo'!L1404="","",'Ordenes_Odoo'!L1404)</f>
        <v/>
      </c>
      <c r="M1404" s="79">
        <f>IF('Ordenes_Odoo'!M1404="","",'Ordenes_Odoo'!M1404)</f>
        <v/>
      </c>
      <c r="N1404" s="79">
        <f>IF('Ordenes_Odoo'!N1404="","",'Ordenes_Odoo'!N1404)</f>
        <v/>
      </c>
      <c r="O1404" s="81">
        <f>IF('Ordenes_Odoo'!O1404="","",'Ordenes_Odoo'!O1404)</f>
        <v/>
      </c>
      <c r="P1404" s="81">
        <f>IF('Ordenes_Odoo'!P1404="","",'Ordenes_Odoo'!P1404)</f>
        <v/>
      </c>
      <c r="Q1404" s="79">
        <f>IF(A1404="","",IFERROR(INDEX(Facturas_Odoo!$B:$B, MATCH(A1404, Facturas_Odoo!$D:$D, 0)), "Sin Factura"))</f>
        <v/>
      </c>
      <c r="R1404" s="80">
        <f>IF(Q1404="Sin Factura","",IFERROR(INDEX(Facturas_Odoo!$A:$A, MATCH(Q1404, Facturas_Odoo!$B:$B, 0)), ""))</f>
        <v/>
      </c>
      <c r="S1404" s="79">
        <f>IF(Q1404="Sin Factura","",IFERROR(_xlfn.XLOOKUP(1, (Facturas_Odoo!$D:$D=A1404) * (Facturas_Odoo!$K:$K=I1404), Facturas_Odoo!$L:$L, ""), ""))</f>
        <v/>
      </c>
      <c r="T1404" s="81">
        <f>IF(Q1404="Sin Factura",0,IFERROR(_xlfn.XLOOKUP(1, (Facturas_Odoo!$D:$D=A1404) * (Facturas_Odoo!$K:$K=I1404), Facturas_Odoo!$M:$M, 0), 0))</f>
        <v/>
      </c>
      <c r="U1404" s="79">
        <f>IF(Q1404="Sin Factura",0,IFERROR(_xlfn.XLOOKUP(1, (Facturas_Odoo!$D:$D=A1404) * (Facturas_Odoo!$K:$K=I1404), Facturas_Odoo!$N:$N, 0), 0))</f>
        <v/>
      </c>
      <c r="V1404" s="79">
        <f>IF(Q1404="Sin Factura",0,IFERROR(_xlfn.XLOOKUP(1, (Facturas_Odoo!$D:$D=A1404) * (Facturas_Odoo!$K:$K=I1404), Facturas_Odoo!$O:$O, 0), 0))</f>
        <v/>
      </c>
      <c r="W1404" s="81">
        <f>IF(Q1404="Sin Factura",0,IFERROR(_xlfn.XLOOKUP(1, (Facturas_Odoo!$D:$D=A1404) * (Facturas_Odoo!$K:$K=I1404), Facturas_Odoo!$Q:$Q, 0), 0))</f>
        <v/>
      </c>
      <c r="X1404" s="79">
        <f>IF(OR(Q1404="Sin Factura",Q1404=""),"",IFERROR(INDEX(Pagos_Odoo!$B:$B, MATCH(Q1404, Pagos_Odoo!$I:$I, 0)), "Sin Pago"))</f>
        <v/>
      </c>
      <c r="Y1404" s="79">
        <f>IF(X1404="Sin Pago","",IFERROR(INDEX(Pagos_Odoo!$C:$C, MATCH(X1404, Pagos_Odoo!$B:$B, 0)), ""))</f>
        <v/>
      </c>
      <c r="Z1404" s="80">
        <f>IF(X1404="Sin Pago","",IFERROR(INDEX(Pagos_Odoo!$A:$A, MATCH(X1404, Pagos_Odoo!$B:$B, 0)), ""))</f>
        <v/>
      </c>
      <c r="AA1404" s="79">
        <f>IF(X1404="Sin Pago","",IFERROR(INDEX(Pagos_Odoo!$F:$F, MATCH(X1404, Pagos_Odoo!$B:$B, 0)), ""))</f>
        <v/>
      </c>
      <c r="AB1404" s="81">
        <f>IF(X1404="Sin Pago",0,IFERROR(INDEX(Pagos_Odoo!$E:$E, MATCH(X1404, Pagos_Odoo!$B:$B, 0)), 0))</f>
        <v/>
      </c>
      <c r="AC1404" s="79">
        <f>IF(X1404="Sin Pago","",IFERROR(INDEX(Pagos_Odoo!$G:$G, MATCH(X1404, Pagos_Odoo!$B:$B, 0)), ""))</f>
        <v/>
      </c>
      <c r="AD1404" s="82" t="n">
        <v>0</v>
      </c>
      <c r="AE1404" s="82" t="n"/>
      <c r="AF1404" s="82" t="n"/>
      <c r="AG1404" s="82">
        <f>IF(AN1404="","",AD1404+AE1404+AF1404)</f>
        <v/>
      </c>
      <c r="AH1404" s="81">
        <f>IF(AN1404="","",P1404*(1-AG1404))</f>
        <v/>
      </c>
      <c r="AI1404" s="81">
        <f>IF(AN1404="","",IF(Q1404="Sin Factura",0,IFERROR(INDEX(Facturas_Odoo!$H:$H, MATCH(Q1404, Facturas_Odoo!$B:$B, 0)), 0)*(1-AG1404)))</f>
        <v/>
      </c>
      <c r="AJ1404" s="81">
        <f>IF(AN1404="","",_xlfn.LET(idVenta, AN1404&amp;"",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04" s="81">
        <f>IF(AN1404="","",AH1404-AJ1404)</f>
        <v/>
      </c>
      <c r="AL1404" s="81">
        <f>IF(AN1404="","",IF(Q1404="Sin Factura","",AI1404-AJ1404))</f>
        <v/>
      </c>
      <c r="AM1404" s="81">
        <f>IF(AN1404="","",IF(Q1404="Sin Factura",0,P1404-IFERROR(INDEX(Facturas_Odoo!$H:$H, MATCH(Q1404, Facturas_Odoo!$B:$B, 0)), 0)))</f>
        <v/>
      </c>
      <c r="AN1404" s="79">
        <f>IF(AND(A1404="", J1404=""), "", IF(A1404&lt;&gt;"", VALUE(MID(A1404,2,LEN(A1404))), AN1403))</f>
        <v/>
      </c>
      <c r="AO1404" s="79">
        <f>IF(AN1404="","",IF(AD1404=0,"OK",_xlfn.LET(monedaPago, IF(AA1404="","USD",AA1404), limitePermitido, IFERROR(VLOOKUP(monedaPago, Configuración!$A$2:$B$3, 2, FALSE), 0.15), IF(AD1404&gt;limitePermitido, "ALERTA: EXCESO (" &amp; TEXT(limitePermitido, "0%") &amp; " máx)", "OK"))))</f>
        <v/>
      </c>
      <c r="AP1404" s="79">
        <f>IF(AN1404="","",IF(AE1404=0,"OK",_xlfn.LET(fechaPago, Z1404, fechaFactura, R1404, diasCredito, IF(E1404="Pago inmediato", 0, IFERROR(VALUE(MID(E1404, 1, SEARCH(" ", E1404)-1)),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04" s="79">
        <f>IF(AN1404="","",IF(AND(N1404&gt;0, AG1404&gt;0), IF(Configuración!$K$2="NO", "ALERTA: DESCUENTO DOBLE NO PERMITIDO", "OK"), "OK"))</f>
        <v/>
      </c>
      <c r="AR1404" s="79">
        <f>IF(AN1404="","",IF(OR(AO1404&lt;&gt;"OK", AP1404&lt;&gt;"OK", AQ1404&lt;&gt;"OK"), "⚠️ REVISAR", "OK"))</f>
        <v/>
      </c>
    </row>
    <row r="1405">
      <c r="A1405" s="79">
        <f>IF('Ordenes_Odoo'!A1405="","",'Ordenes_Odoo'!A1405)</f>
        <v/>
      </c>
      <c r="B1405" s="80">
        <f>IF('Ordenes_Odoo'!B1405="","",'Ordenes_Odoo'!B1405)</f>
        <v/>
      </c>
      <c r="C1405" s="79">
        <f>IF('Ordenes_Odoo'!C1405="","",'Ordenes_Odoo'!C1405)</f>
        <v/>
      </c>
      <c r="D1405" s="79">
        <f>IF('Ordenes_Odoo'!D1405="","",'Ordenes_Odoo'!D1405)</f>
        <v/>
      </c>
      <c r="E1405" s="79">
        <f>IF('Ordenes_Odoo'!E1405="","",'Ordenes_Odoo'!E1405)</f>
        <v/>
      </c>
      <c r="F1405" s="79">
        <f>IF('Ordenes_Odoo'!F1405="","",'Ordenes_Odoo'!F1405)</f>
        <v/>
      </c>
      <c r="G1405" s="79">
        <f>IF('Ordenes_Odoo'!G1405="","",'Ordenes_Odoo'!G1405)</f>
        <v/>
      </c>
      <c r="H1405" s="79">
        <f>IF('Ordenes_Odoo'!H1405="","",'Ordenes_Odoo'!H1405)</f>
        <v/>
      </c>
      <c r="I1405" s="79">
        <f>IF('Ordenes_Odoo'!I1405="","",'Ordenes_Odoo'!I1405)</f>
        <v/>
      </c>
      <c r="J1405" s="79">
        <f>IF('Ordenes_Odoo'!J1405="","",'Ordenes_Odoo'!J1405)</f>
        <v/>
      </c>
      <c r="K1405" s="81">
        <f>IF('Ordenes_Odoo'!K1405="","",'Ordenes_Odoo'!K1405)</f>
        <v/>
      </c>
      <c r="L1405" s="81">
        <f>IF('Ordenes_Odoo'!L1405="","",'Ordenes_Odoo'!L1405)</f>
        <v/>
      </c>
      <c r="M1405" s="79">
        <f>IF('Ordenes_Odoo'!M1405="","",'Ordenes_Odoo'!M1405)</f>
        <v/>
      </c>
      <c r="N1405" s="79">
        <f>IF('Ordenes_Odoo'!N1405="","",'Ordenes_Odoo'!N1405)</f>
        <v/>
      </c>
      <c r="O1405" s="81">
        <f>IF('Ordenes_Odoo'!O1405="","",'Ordenes_Odoo'!O1405)</f>
        <v/>
      </c>
      <c r="P1405" s="81">
        <f>IF('Ordenes_Odoo'!P1405="","",'Ordenes_Odoo'!P1405)</f>
        <v/>
      </c>
      <c r="Q1405" s="79">
        <f>IF(A1405="","",IFERROR(INDEX(Facturas_Odoo!$B:$B, MATCH(A1405, Facturas_Odoo!$D:$D, 0)), "Sin Factura"))</f>
        <v/>
      </c>
      <c r="R1405" s="80">
        <f>IF(Q1405="Sin Factura","",IFERROR(INDEX(Facturas_Odoo!$A:$A, MATCH(Q1405, Facturas_Odoo!$B:$B, 0)), ""))</f>
        <v/>
      </c>
      <c r="S1405" s="79">
        <f>IF(Q1405="Sin Factura","",IFERROR(_xlfn.XLOOKUP(1, (Facturas_Odoo!$D:$D=A1405) * (Facturas_Odoo!$K:$K=I1405), Facturas_Odoo!$L:$L, ""), ""))</f>
        <v/>
      </c>
      <c r="T1405" s="81">
        <f>IF(Q1405="Sin Factura",0,IFERROR(_xlfn.XLOOKUP(1, (Facturas_Odoo!$D:$D=A1405) * (Facturas_Odoo!$K:$K=I1405), Facturas_Odoo!$M:$M, 0), 0))</f>
        <v/>
      </c>
      <c r="U1405" s="79">
        <f>IF(Q1405="Sin Factura",0,IFERROR(_xlfn.XLOOKUP(1, (Facturas_Odoo!$D:$D=A1405) * (Facturas_Odoo!$K:$K=I1405), Facturas_Odoo!$N:$N, 0), 0))</f>
        <v/>
      </c>
      <c r="V1405" s="79">
        <f>IF(Q1405="Sin Factura",0,IFERROR(_xlfn.XLOOKUP(1, (Facturas_Odoo!$D:$D=A1405) * (Facturas_Odoo!$K:$K=I1405), Facturas_Odoo!$O:$O, 0), 0))</f>
        <v/>
      </c>
      <c r="W1405" s="81">
        <f>IF(Q1405="Sin Factura",0,IFERROR(_xlfn.XLOOKUP(1, (Facturas_Odoo!$D:$D=A1405) * (Facturas_Odoo!$K:$K=I1405), Facturas_Odoo!$Q:$Q, 0), 0))</f>
        <v/>
      </c>
      <c r="X1405" s="79">
        <f>IF(OR(Q1405="Sin Factura",Q1405=""),"",IFERROR(INDEX(Pagos_Odoo!$B:$B, MATCH(Q1405, Pagos_Odoo!$I:$I, 0)), "Sin Pago"))</f>
        <v/>
      </c>
      <c r="Y1405" s="79">
        <f>IF(X1405="Sin Pago","",IFERROR(INDEX(Pagos_Odoo!$C:$C, MATCH(X1405, Pagos_Odoo!$B:$B, 0)), ""))</f>
        <v/>
      </c>
      <c r="Z1405" s="80">
        <f>IF(X1405="Sin Pago","",IFERROR(INDEX(Pagos_Odoo!$A:$A, MATCH(X1405, Pagos_Odoo!$B:$B, 0)), ""))</f>
        <v/>
      </c>
      <c r="AA1405" s="79">
        <f>IF(X1405="Sin Pago","",IFERROR(INDEX(Pagos_Odoo!$F:$F, MATCH(X1405, Pagos_Odoo!$B:$B, 0)), ""))</f>
        <v/>
      </c>
      <c r="AB1405" s="81">
        <f>IF(X1405="Sin Pago",0,IFERROR(INDEX(Pagos_Odoo!$E:$E, MATCH(X1405, Pagos_Odoo!$B:$B, 0)), 0))</f>
        <v/>
      </c>
      <c r="AC1405" s="79">
        <f>IF(X1405="Sin Pago","",IFERROR(INDEX(Pagos_Odoo!$G:$G, MATCH(X1405, Pagos_Odoo!$B:$B, 0)), ""))</f>
        <v/>
      </c>
      <c r="AD1405" s="82" t="n">
        <v>0</v>
      </c>
      <c r="AE1405" s="82" t="n"/>
      <c r="AF1405" s="82" t="n"/>
      <c r="AG1405" s="82">
        <f>IF(AN1405="","",AD1405+AE1405+AF1405)</f>
        <v/>
      </c>
      <c r="AH1405" s="81">
        <f>IF(AN1405="","",P1405*(1-AG1405))</f>
        <v/>
      </c>
      <c r="AI1405" s="81">
        <f>IF(AN1405="","",IF(Q1405="Sin Factura",0,IFERROR(INDEX(Facturas_Odoo!$H:$H, MATCH(Q1405, Facturas_Odoo!$B:$B, 0)), 0)*(1-AG1405)))</f>
        <v/>
      </c>
      <c r="AJ1405" s="81">
        <f>IF(AN1405="","",_xlfn.LET(idVenta, AN1405&amp;"",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05" s="81">
        <f>IF(AN1405="","",AH1405-AJ1405)</f>
        <v/>
      </c>
      <c r="AL1405" s="81">
        <f>IF(AN1405="","",IF(Q1405="Sin Factura","",AI1405-AJ1405))</f>
        <v/>
      </c>
      <c r="AM1405" s="81">
        <f>IF(AN1405="","",IF(Q1405="Sin Factura",0,P1405-IFERROR(INDEX(Facturas_Odoo!$H:$H, MATCH(Q1405, Facturas_Odoo!$B:$B, 0)), 0)))</f>
        <v/>
      </c>
      <c r="AN1405" s="79">
        <f>IF(AND(A1405="", J1405=""), "", IF(A1405&lt;&gt;"", VALUE(MID(A1405,2,LEN(A1405))), AN1404))</f>
        <v/>
      </c>
      <c r="AO1405" s="79">
        <f>IF(AN1405="","",IF(AD1405=0,"OK",_xlfn.LET(monedaPago, IF(AA1405="","USD",AA1405), limitePermitido, IFERROR(VLOOKUP(monedaPago, Configuración!$A$2:$B$3, 2, FALSE), 0.15), IF(AD1405&gt;limitePermitido, "ALERTA: EXCESO (" &amp; TEXT(limitePermitido, "0%") &amp; " máx)", "OK"))))</f>
        <v/>
      </c>
      <c r="AP1405" s="79">
        <f>IF(AN1405="","",IF(AE1405=0,"OK",_xlfn.LET(fechaPago, Z1405, fechaFactura, R1405, diasCredito, IF(E1405="Pago inmediato", 0, IFERROR(VALUE(MID(E1405, 1, SEARCH(" ", E1405)-1)),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05" s="79">
        <f>IF(AN1405="","",IF(AND(N1405&gt;0, AG1405&gt;0), IF(Configuración!$K$2="NO", "ALERTA: DESCUENTO DOBLE NO PERMITIDO", "OK"), "OK"))</f>
        <v/>
      </c>
      <c r="AR1405" s="79">
        <f>IF(AN1405="","",IF(OR(AO1405&lt;&gt;"OK", AP1405&lt;&gt;"OK", AQ1405&lt;&gt;"OK"), "⚠️ REVISAR", "OK"))</f>
        <v/>
      </c>
    </row>
    <row r="1406">
      <c r="A1406" s="79">
        <f>IF('Ordenes_Odoo'!A1406="","",'Ordenes_Odoo'!A1406)</f>
        <v/>
      </c>
      <c r="B1406" s="80">
        <f>IF('Ordenes_Odoo'!B1406="","",'Ordenes_Odoo'!B1406)</f>
        <v/>
      </c>
      <c r="C1406" s="79">
        <f>IF('Ordenes_Odoo'!C1406="","",'Ordenes_Odoo'!C1406)</f>
        <v/>
      </c>
      <c r="D1406" s="79">
        <f>IF('Ordenes_Odoo'!D1406="","",'Ordenes_Odoo'!D1406)</f>
        <v/>
      </c>
      <c r="E1406" s="79">
        <f>IF('Ordenes_Odoo'!E1406="","",'Ordenes_Odoo'!E1406)</f>
        <v/>
      </c>
      <c r="F1406" s="79">
        <f>IF('Ordenes_Odoo'!F1406="","",'Ordenes_Odoo'!F1406)</f>
        <v/>
      </c>
      <c r="G1406" s="79">
        <f>IF('Ordenes_Odoo'!G1406="","",'Ordenes_Odoo'!G1406)</f>
        <v/>
      </c>
      <c r="H1406" s="79">
        <f>IF('Ordenes_Odoo'!H1406="","",'Ordenes_Odoo'!H1406)</f>
        <v/>
      </c>
      <c r="I1406" s="79">
        <f>IF('Ordenes_Odoo'!I1406="","",'Ordenes_Odoo'!I1406)</f>
        <v/>
      </c>
      <c r="J1406" s="79">
        <f>IF('Ordenes_Odoo'!J1406="","",'Ordenes_Odoo'!J1406)</f>
        <v/>
      </c>
      <c r="K1406" s="81">
        <f>IF('Ordenes_Odoo'!K1406="","",'Ordenes_Odoo'!K1406)</f>
        <v/>
      </c>
      <c r="L1406" s="81">
        <f>IF('Ordenes_Odoo'!L1406="","",'Ordenes_Odoo'!L1406)</f>
        <v/>
      </c>
      <c r="M1406" s="79">
        <f>IF('Ordenes_Odoo'!M1406="","",'Ordenes_Odoo'!M1406)</f>
        <v/>
      </c>
      <c r="N1406" s="79">
        <f>IF('Ordenes_Odoo'!N1406="","",'Ordenes_Odoo'!N1406)</f>
        <v/>
      </c>
      <c r="O1406" s="81">
        <f>IF('Ordenes_Odoo'!O1406="","",'Ordenes_Odoo'!O1406)</f>
        <v/>
      </c>
      <c r="P1406" s="81">
        <f>IF('Ordenes_Odoo'!P1406="","",'Ordenes_Odoo'!P1406)</f>
        <v/>
      </c>
      <c r="Q1406" s="79">
        <f>IF(A1406="","",IFERROR(INDEX(Facturas_Odoo!$B:$B, MATCH(A1406, Facturas_Odoo!$D:$D, 0)), "Sin Factura"))</f>
        <v/>
      </c>
      <c r="R1406" s="80">
        <f>IF(Q1406="Sin Factura","",IFERROR(INDEX(Facturas_Odoo!$A:$A, MATCH(Q1406, Facturas_Odoo!$B:$B, 0)), ""))</f>
        <v/>
      </c>
      <c r="S1406" s="79">
        <f>IF(Q1406="Sin Factura","",IFERROR(_xlfn.XLOOKUP(1, (Facturas_Odoo!$D:$D=A1406) * (Facturas_Odoo!$K:$K=I1406), Facturas_Odoo!$L:$L, ""), ""))</f>
        <v/>
      </c>
      <c r="T1406" s="81">
        <f>IF(Q1406="Sin Factura",0,IFERROR(_xlfn.XLOOKUP(1, (Facturas_Odoo!$D:$D=A1406) * (Facturas_Odoo!$K:$K=I1406), Facturas_Odoo!$M:$M, 0), 0))</f>
        <v/>
      </c>
      <c r="U1406" s="79">
        <f>IF(Q1406="Sin Factura",0,IFERROR(_xlfn.XLOOKUP(1, (Facturas_Odoo!$D:$D=A1406) * (Facturas_Odoo!$K:$K=I1406), Facturas_Odoo!$N:$N, 0), 0))</f>
        <v/>
      </c>
      <c r="V1406" s="79">
        <f>IF(Q1406="Sin Factura",0,IFERROR(_xlfn.XLOOKUP(1, (Facturas_Odoo!$D:$D=A1406) * (Facturas_Odoo!$K:$K=I1406), Facturas_Odoo!$O:$O, 0), 0))</f>
        <v/>
      </c>
      <c r="W1406" s="81">
        <f>IF(Q1406="Sin Factura",0,IFERROR(_xlfn.XLOOKUP(1, (Facturas_Odoo!$D:$D=A1406) * (Facturas_Odoo!$K:$K=I1406), Facturas_Odoo!$Q:$Q, 0), 0))</f>
        <v/>
      </c>
      <c r="X1406" s="79">
        <f>IF(OR(Q1406="Sin Factura",Q1406=""),"",IFERROR(INDEX(Pagos_Odoo!$B:$B, MATCH(Q1406, Pagos_Odoo!$I:$I, 0)), "Sin Pago"))</f>
        <v/>
      </c>
      <c r="Y1406" s="79">
        <f>IF(X1406="Sin Pago","",IFERROR(INDEX(Pagos_Odoo!$C:$C, MATCH(X1406, Pagos_Odoo!$B:$B, 0)), ""))</f>
        <v/>
      </c>
      <c r="Z1406" s="80">
        <f>IF(X1406="Sin Pago","",IFERROR(INDEX(Pagos_Odoo!$A:$A, MATCH(X1406, Pagos_Odoo!$B:$B, 0)), ""))</f>
        <v/>
      </c>
      <c r="AA1406" s="79">
        <f>IF(X1406="Sin Pago","",IFERROR(INDEX(Pagos_Odoo!$F:$F, MATCH(X1406, Pagos_Odoo!$B:$B, 0)), ""))</f>
        <v/>
      </c>
      <c r="AB1406" s="81">
        <f>IF(X1406="Sin Pago",0,IFERROR(INDEX(Pagos_Odoo!$E:$E, MATCH(X1406, Pagos_Odoo!$B:$B, 0)), 0))</f>
        <v/>
      </c>
      <c r="AC1406" s="79">
        <f>IF(X1406="Sin Pago","",IFERROR(INDEX(Pagos_Odoo!$G:$G, MATCH(X1406, Pagos_Odoo!$B:$B, 0)), ""))</f>
        <v/>
      </c>
      <c r="AD1406" s="82" t="n">
        <v>0</v>
      </c>
      <c r="AE1406" s="82" t="n"/>
      <c r="AF1406" s="82" t="n"/>
      <c r="AG1406" s="82">
        <f>IF(AN1406="","",AD1406+AE1406+AF1406)</f>
        <v/>
      </c>
      <c r="AH1406" s="81">
        <f>IF(AN1406="","",P1406*(1-AG1406))</f>
        <v/>
      </c>
      <c r="AI1406" s="81">
        <f>IF(AN1406="","",IF(Q1406="Sin Factura",0,IFERROR(INDEX(Facturas_Odoo!$H:$H, MATCH(Q1406, Facturas_Odoo!$B:$B, 0)), 0)*(1-AG1406)))</f>
        <v/>
      </c>
      <c r="AJ1406" s="81">
        <f>IF(AN1406="","",_xlfn.LET(idVenta, AN1406&amp;"",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06" s="81">
        <f>IF(AN1406="","",AH1406-AJ1406)</f>
        <v/>
      </c>
      <c r="AL1406" s="81">
        <f>IF(AN1406="","",IF(Q1406="Sin Factura","",AI1406-AJ1406))</f>
        <v/>
      </c>
      <c r="AM1406" s="81">
        <f>IF(AN1406="","",IF(Q1406="Sin Factura",0,P1406-IFERROR(INDEX(Facturas_Odoo!$H:$H, MATCH(Q1406, Facturas_Odoo!$B:$B, 0)), 0)))</f>
        <v/>
      </c>
      <c r="AN1406" s="79">
        <f>IF(AND(A1406="", J1406=""), "", IF(A1406&lt;&gt;"", VALUE(MID(A1406,2,LEN(A1406))), AN1405))</f>
        <v/>
      </c>
      <c r="AO1406" s="79">
        <f>IF(AN1406="","",IF(AD1406=0,"OK",_xlfn.LET(monedaPago, IF(AA1406="","USD",AA1406), limitePermitido, IFERROR(VLOOKUP(monedaPago, Configuración!$A$2:$B$3, 2, FALSE), 0.15), IF(AD1406&gt;limitePermitido, "ALERTA: EXCESO (" &amp; TEXT(limitePermitido, "0%") &amp; " máx)", "OK"))))</f>
        <v/>
      </c>
      <c r="AP1406" s="79">
        <f>IF(AN1406="","",IF(AE1406=0,"OK",_xlfn.LET(fechaPago, Z1406, fechaFactura, R1406, diasCredito, IF(E1406="Pago inmediato", 0, IFERROR(VALUE(MID(E1406, 1, SEARCH(" ", E1406)-1)),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06" s="79">
        <f>IF(AN1406="","",IF(AND(N1406&gt;0, AG1406&gt;0), IF(Configuración!$K$2="NO", "ALERTA: DESCUENTO DOBLE NO PERMITIDO", "OK"), "OK"))</f>
        <v/>
      </c>
      <c r="AR1406" s="79">
        <f>IF(AN1406="","",IF(OR(AO1406&lt;&gt;"OK", AP1406&lt;&gt;"OK", AQ1406&lt;&gt;"OK"), "⚠️ REVISAR", "OK"))</f>
        <v/>
      </c>
    </row>
    <row r="1407">
      <c r="A1407" s="79">
        <f>IF('Ordenes_Odoo'!A1407="","",'Ordenes_Odoo'!A1407)</f>
        <v/>
      </c>
      <c r="B1407" s="80">
        <f>IF('Ordenes_Odoo'!B1407="","",'Ordenes_Odoo'!B1407)</f>
        <v/>
      </c>
      <c r="C1407" s="79">
        <f>IF('Ordenes_Odoo'!C1407="","",'Ordenes_Odoo'!C1407)</f>
        <v/>
      </c>
      <c r="D1407" s="79">
        <f>IF('Ordenes_Odoo'!D1407="","",'Ordenes_Odoo'!D1407)</f>
        <v/>
      </c>
      <c r="E1407" s="79">
        <f>IF('Ordenes_Odoo'!E1407="","",'Ordenes_Odoo'!E1407)</f>
        <v/>
      </c>
      <c r="F1407" s="79">
        <f>IF('Ordenes_Odoo'!F1407="","",'Ordenes_Odoo'!F1407)</f>
        <v/>
      </c>
      <c r="G1407" s="79">
        <f>IF('Ordenes_Odoo'!G1407="","",'Ordenes_Odoo'!G1407)</f>
        <v/>
      </c>
      <c r="H1407" s="79">
        <f>IF('Ordenes_Odoo'!H1407="","",'Ordenes_Odoo'!H1407)</f>
        <v/>
      </c>
      <c r="I1407" s="79">
        <f>IF('Ordenes_Odoo'!I1407="","",'Ordenes_Odoo'!I1407)</f>
        <v/>
      </c>
      <c r="J1407" s="79">
        <f>IF('Ordenes_Odoo'!J1407="","",'Ordenes_Odoo'!J1407)</f>
        <v/>
      </c>
      <c r="K1407" s="81">
        <f>IF('Ordenes_Odoo'!K1407="","",'Ordenes_Odoo'!K1407)</f>
        <v/>
      </c>
      <c r="L1407" s="81">
        <f>IF('Ordenes_Odoo'!L1407="","",'Ordenes_Odoo'!L1407)</f>
        <v/>
      </c>
      <c r="M1407" s="79">
        <f>IF('Ordenes_Odoo'!M1407="","",'Ordenes_Odoo'!M1407)</f>
        <v/>
      </c>
      <c r="N1407" s="79">
        <f>IF('Ordenes_Odoo'!N1407="","",'Ordenes_Odoo'!N1407)</f>
        <v/>
      </c>
      <c r="O1407" s="81">
        <f>IF('Ordenes_Odoo'!O1407="","",'Ordenes_Odoo'!O1407)</f>
        <v/>
      </c>
      <c r="P1407" s="81">
        <f>IF('Ordenes_Odoo'!P1407="","",'Ordenes_Odoo'!P1407)</f>
        <v/>
      </c>
      <c r="Q1407" s="79">
        <f>IF(A1407="","",IFERROR(INDEX(Facturas_Odoo!$B:$B, MATCH(A1407, Facturas_Odoo!$D:$D, 0)), "Sin Factura"))</f>
        <v/>
      </c>
      <c r="R1407" s="80">
        <f>IF(Q1407="Sin Factura","",IFERROR(INDEX(Facturas_Odoo!$A:$A, MATCH(Q1407, Facturas_Odoo!$B:$B, 0)), ""))</f>
        <v/>
      </c>
      <c r="S1407" s="79">
        <f>IF(Q1407="Sin Factura","",IFERROR(_xlfn.XLOOKUP(1, (Facturas_Odoo!$D:$D=A1407) * (Facturas_Odoo!$K:$K=I1407), Facturas_Odoo!$L:$L, ""), ""))</f>
        <v/>
      </c>
      <c r="T1407" s="81">
        <f>IF(Q1407="Sin Factura",0,IFERROR(_xlfn.XLOOKUP(1, (Facturas_Odoo!$D:$D=A1407) * (Facturas_Odoo!$K:$K=I1407), Facturas_Odoo!$M:$M, 0), 0))</f>
        <v/>
      </c>
      <c r="U1407" s="79">
        <f>IF(Q1407="Sin Factura",0,IFERROR(_xlfn.XLOOKUP(1, (Facturas_Odoo!$D:$D=A1407) * (Facturas_Odoo!$K:$K=I1407), Facturas_Odoo!$N:$N, 0), 0))</f>
        <v/>
      </c>
      <c r="V1407" s="79">
        <f>IF(Q1407="Sin Factura",0,IFERROR(_xlfn.XLOOKUP(1, (Facturas_Odoo!$D:$D=A1407) * (Facturas_Odoo!$K:$K=I1407), Facturas_Odoo!$O:$O, 0), 0))</f>
        <v/>
      </c>
      <c r="W1407" s="81">
        <f>IF(Q1407="Sin Factura",0,IFERROR(_xlfn.XLOOKUP(1, (Facturas_Odoo!$D:$D=A1407) * (Facturas_Odoo!$K:$K=I1407), Facturas_Odoo!$Q:$Q, 0), 0))</f>
        <v/>
      </c>
      <c r="X1407" s="79">
        <f>IF(OR(Q1407="Sin Factura",Q1407=""),"",IFERROR(INDEX(Pagos_Odoo!$B:$B, MATCH(Q1407, Pagos_Odoo!$I:$I, 0)), "Sin Pago"))</f>
        <v/>
      </c>
      <c r="Y1407" s="79">
        <f>IF(X1407="Sin Pago","",IFERROR(INDEX(Pagos_Odoo!$C:$C, MATCH(X1407, Pagos_Odoo!$B:$B, 0)), ""))</f>
        <v/>
      </c>
      <c r="Z1407" s="80">
        <f>IF(X1407="Sin Pago","",IFERROR(INDEX(Pagos_Odoo!$A:$A, MATCH(X1407, Pagos_Odoo!$B:$B, 0)), ""))</f>
        <v/>
      </c>
      <c r="AA1407" s="79">
        <f>IF(X1407="Sin Pago","",IFERROR(INDEX(Pagos_Odoo!$F:$F, MATCH(X1407, Pagos_Odoo!$B:$B, 0)), ""))</f>
        <v/>
      </c>
      <c r="AB1407" s="81">
        <f>IF(X1407="Sin Pago",0,IFERROR(INDEX(Pagos_Odoo!$E:$E, MATCH(X1407, Pagos_Odoo!$B:$B, 0)), 0))</f>
        <v/>
      </c>
      <c r="AC1407" s="79">
        <f>IF(X1407="Sin Pago","",IFERROR(INDEX(Pagos_Odoo!$G:$G, MATCH(X1407, Pagos_Odoo!$B:$B, 0)), ""))</f>
        <v/>
      </c>
      <c r="AD1407" s="82" t="n">
        <v>0</v>
      </c>
      <c r="AE1407" s="82" t="n"/>
      <c r="AF1407" s="82" t="n"/>
      <c r="AG1407" s="82">
        <f>IF(AN1407="","",AD1407+AE1407+AF1407)</f>
        <v/>
      </c>
      <c r="AH1407" s="81">
        <f>IF(AN1407="","",P1407*(1-AG1407))</f>
        <v/>
      </c>
      <c r="AI1407" s="81">
        <f>IF(AN1407="","",IF(Q1407="Sin Factura",0,IFERROR(INDEX(Facturas_Odoo!$H:$H, MATCH(Q1407, Facturas_Odoo!$B:$B, 0)), 0)*(1-AG1407)))</f>
        <v/>
      </c>
      <c r="AJ1407" s="81">
        <f>IF(AN1407="","",_xlfn.LET(idVenta, AN1407&amp;"",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07" s="81">
        <f>IF(AN1407="","",AH1407-AJ1407)</f>
        <v/>
      </c>
      <c r="AL1407" s="81">
        <f>IF(AN1407="","",IF(Q1407="Sin Factura","",AI1407-AJ1407))</f>
        <v/>
      </c>
      <c r="AM1407" s="81">
        <f>IF(AN1407="","",IF(Q1407="Sin Factura",0,P1407-IFERROR(INDEX(Facturas_Odoo!$H:$H, MATCH(Q1407, Facturas_Odoo!$B:$B, 0)), 0)))</f>
        <v/>
      </c>
      <c r="AN1407" s="79">
        <f>IF(AND(A1407="", J1407=""), "", IF(A1407&lt;&gt;"", VALUE(MID(A1407,2,LEN(A1407))), AN1406))</f>
        <v/>
      </c>
      <c r="AO1407" s="79">
        <f>IF(AN1407="","",IF(AD1407=0,"OK",_xlfn.LET(monedaPago, IF(AA1407="","USD",AA1407), limitePermitido, IFERROR(VLOOKUP(monedaPago, Configuración!$A$2:$B$3, 2, FALSE), 0.15), IF(AD1407&gt;limitePermitido, "ALERTA: EXCESO (" &amp; TEXT(limitePermitido, "0%") &amp; " máx)", "OK"))))</f>
        <v/>
      </c>
      <c r="AP1407" s="79">
        <f>IF(AN1407="","",IF(AE1407=0,"OK",_xlfn.LET(fechaPago, Z1407, fechaFactura, R1407, diasCredito, IF(E1407="Pago inmediato", 0, IFERROR(VALUE(MID(E1407, 1, SEARCH(" ", E1407)-1)),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07" s="79">
        <f>IF(AN1407="","",IF(AND(N1407&gt;0, AG1407&gt;0), IF(Configuración!$K$2="NO", "ALERTA: DESCUENTO DOBLE NO PERMITIDO", "OK"), "OK"))</f>
        <v/>
      </c>
      <c r="AR1407" s="79">
        <f>IF(AN1407="","",IF(OR(AO1407&lt;&gt;"OK", AP1407&lt;&gt;"OK", AQ1407&lt;&gt;"OK"), "⚠️ REVISAR", "OK"))</f>
        <v/>
      </c>
    </row>
    <row r="1408">
      <c r="A1408" s="79">
        <f>IF('Ordenes_Odoo'!A1408="","",'Ordenes_Odoo'!A1408)</f>
        <v/>
      </c>
      <c r="B1408" s="80">
        <f>IF('Ordenes_Odoo'!B1408="","",'Ordenes_Odoo'!B1408)</f>
        <v/>
      </c>
      <c r="C1408" s="79">
        <f>IF('Ordenes_Odoo'!C1408="","",'Ordenes_Odoo'!C1408)</f>
        <v/>
      </c>
      <c r="D1408" s="79">
        <f>IF('Ordenes_Odoo'!D1408="","",'Ordenes_Odoo'!D1408)</f>
        <v/>
      </c>
      <c r="E1408" s="79">
        <f>IF('Ordenes_Odoo'!E1408="","",'Ordenes_Odoo'!E1408)</f>
        <v/>
      </c>
      <c r="F1408" s="79">
        <f>IF('Ordenes_Odoo'!F1408="","",'Ordenes_Odoo'!F1408)</f>
        <v/>
      </c>
      <c r="G1408" s="79">
        <f>IF('Ordenes_Odoo'!G1408="","",'Ordenes_Odoo'!G1408)</f>
        <v/>
      </c>
      <c r="H1408" s="79">
        <f>IF('Ordenes_Odoo'!H1408="","",'Ordenes_Odoo'!H1408)</f>
        <v/>
      </c>
      <c r="I1408" s="79">
        <f>IF('Ordenes_Odoo'!I1408="","",'Ordenes_Odoo'!I1408)</f>
        <v/>
      </c>
      <c r="J1408" s="79">
        <f>IF('Ordenes_Odoo'!J1408="","",'Ordenes_Odoo'!J1408)</f>
        <v/>
      </c>
      <c r="K1408" s="81">
        <f>IF('Ordenes_Odoo'!K1408="","",'Ordenes_Odoo'!K1408)</f>
        <v/>
      </c>
      <c r="L1408" s="81">
        <f>IF('Ordenes_Odoo'!L1408="","",'Ordenes_Odoo'!L1408)</f>
        <v/>
      </c>
      <c r="M1408" s="79">
        <f>IF('Ordenes_Odoo'!M1408="","",'Ordenes_Odoo'!M1408)</f>
        <v/>
      </c>
      <c r="N1408" s="79">
        <f>IF('Ordenes_Odoo'!N1408="","",'Ordenes_Odoo'!N1408)</f>
        <v/>
      </c>
      <c r="O1408" s="81">
        <f>IF('Ordenes_Odoo'!O1408="","",'Ordenes_Odoo'!O1408)</f>
        <v/>
      </c>
      <c r="P1408" s="81">
        <f>IF('Ordenes_Odoo'!P1408="","",'Ordenes_Odoo'!P1408)</f>
        <v/>
      </c>
      <c r="Q1408" s="79">
        <f>IF(A1408="","",IFERROR(INDEX(Facturas_Odoo!$B:$B, MATCH(A1408, Facturas_Odoo!$D:$D, 0)), "Sin Factura"))</f>
        <v/>
      </c>
      <c r="R1408" s="80">
        <f>IF(Q1408="Sin Factura","",IFERROR(INDEX(Facturas_Odoo!$A:$A, MATCH(Q1408, Facturas_Odoo!$B:$B, 0)), ""))</f>
        <v/>
      </c>
      <c r="S1408" s="79">
        <f>IF(Q1408="Sin Factura","",IFERROR(_xlfn.XLOOKUP(1, (Facturas_Odoo!$D:$D=A1408) * (Facturas_Odoo!$K:$K=I1408), Facturas_Odoo!$L:$L, ""), ""))</f>
        <v/>
      </c>
      <c r="T1408" s="81">
        <f>IF(Q1408="Sin Factura",0,IFERROR(_xlfn.XLOOKUP(1, (Facturas_Odoo!$D:$D=A1408) * (Facturas_Odoo!$K:$K=I1408), Facturas_Odoo!$M:$M, 0), 0))</f>
        <v/>
      </c>
      <c r="U1408" s="79">
        <f>IF(Q1408="Sin Factura",0,IFERROR(_xlfn.XLOOKUP(1, (Facturas_Odoo!$D:$D=A1408) * (Facturas_Odoo!$K:$K=I1408), Facturas_Odoo!$N:$N, 0), 0))</f>
        <v/>
      </c>
      <c r="V1408" s="79">
        <f>IF(Q1408="Sin Factura",0,IFERROR(_xlfn.XLOOKUP(1, (Facturas_Odoo!$D:$D=A1408) * (Facturas_Odoo!$K:$K=I1408), Facturas_Odoo!$O:$O, 0), 0))</f>
        <v/>
      </c>
      <c r="W1408" s="81">
        <f>IF(Q1408="Sin Factura",0,IFERROR(_xlfn.XLOOKUP(1, (Facturas_Odoo!$D:$D=A1408) * (Facturas_Odoo!$K:$K=I1408), Facturas_Odoo!$Q:$Q, 0), 0))</f>
        <v/>
      </c>
      <c r="X1408" s="79">
        <f>IF(OR(Q1408="Sin Factura",Q1408=""),"",IFERROR(INDEX(Pagos_Odoo!$B:$B, MATCH(Q1408, Pagos_Odoo!$I:$I, 0)), "Sin Pago"))</f>
        <v/>
      </c>
      <c r="Y1408" s="79">
        <f>IF(X1408="Sin Pago","",IFERROR(INDEX(Pagos_Odoo!$C:$C, MATCH(X1408, Pagos_Odoo!$B:$B, 0)), ""))</f>
        <v/>
      </c>
      <c r="Z1408" s="80">
        <f>IF(X1408="Sin Pago","",IFERROR(INDEX(Pagos_Odoo!$A:$A, MATCH(X1408, Pagos_Odoo!$B:$B, 0)), ""))</f>
        <v/>
      </c>
      <c r="AA1408" s="79">
        <f>IF(X1408="Sin Pago","",IFERROR(INDEX(Pagos_Odoo!$F:$F, MATCH(X1408, Pagos_Odoo!$B:$B, 0)), ""))</f>
        <v/>
      </c>
      <c r="AB1408" s="81">
        <f>IF(X1408="Sin Pago",0,IFERROR(INDEX(Pagos_Odoo!$E:$E, MATCH(X1408, Pagos_Odoo!$B:$B, 0)), 0))</f>
        <v/>
      </c>
      <c r="AC1408" s="79">
        <f>IF(X1408="Sin Pago","",IFERROR(INDEX(Pagos_Odoo!$G:$G, MATCH(X1408, Pagos_Odoo!$B:$B, 0)), ""))</f>
        <v/>
      </c>
      <c r="AD1408" s="82" t="n">
        <v>0</v>
      </c>
      <c r="AE1408" s="82" t="n"/>
      <c r="AF1408" s="82" t="n"/>
      <c r="AG1408" s="82">
        <f>IF(AN1408="","",AD1408+AE1408+AF1408)</f>
        <v/>
      </c>
      <c r="AH1408" s="81">
        <f>IF(AN1408="","",P1408*(1-AG1408))</f>
        <v/>
      </c>
      <c r="AI1408" s="81">
        <f>IF(AN1408="","",IF(Q1408="Sin Factura",0,IFERROR(INDEX(Facturas_Odoo!$H:$H, MATCH(Q1408, Facturas_Odoo!$B:$B, 0)), 0)*(1-AG1408)))</f>
        <v/>
      </c>
      <c r="AJ1408" s="81">
        <f>IF(AN1408="","",_xlfn.LET(idVenta, AN1408&amp;"",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08" s="81">
        <f>IF(AN1408="","",AH1408-AJ1408)</f>
        <v/>
      </c>
      <c r="AL1408" s="81">
        <f>IF(AN1408="","",IF(Q1408="Sin Factura","",AI1408-AJ1408))</f>
        <v/>
      </c>
      <c r="AM1408" s="81">
        <f>IF(AN1408="","",IF(Q1408="Sin Factura",0,P1408-IFERROR(INDEX(Facturas_Odoo!$H:$H, MATCH(Q1408, Facturas_Odoo!$B:$B, 0)), 0)))</f>
        <v/>
      </c>
      <c r="AN1408" s="79">
        <f>IF(AND(A1408="", J1408=""), "", IF(A1408&lt;&gt;"", VALUE(MID(A1408,2,LEN(A1408))), AN1407))</f>
        <v/>
      </c>
      <c r="AO1408" s="79">
        <f>IF(AN1408="","",IF(AD1408=0,"OK",_xlfn.LET(monedaPago, IF(AA1408="","USD",AA1408), limitePermitido, IFERROR(VLOOKUP(monedaPago, Configuración!$A$2:$B$3, 2, FALSE), 0.15), IF(AD1408&gt;limitePermitido, "ALERTA: EXCESO (" &amp; TEXT(limitePermitido, "0%") &amp; " máx)", "OK"))))</f>
        <v/>
      </c>
      <c r="AP1408" s="79">
        <f>IF(AN1408="","",IF(AE1408=0,"OK",_xlfn.LET(fechaPago, Z1408, fechaFactura, R1408, diasCredito, IF(E1408="Pago inmediato", 0, IFERROR(VALUE(MID(E1408, 1, SEARCH(" ", E1408)-1)),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08" s="79">
        <f>IF(AN1408="","",IF(AND(N1408&gt;0, AG1408&gt;0), IF(Configuración!$K$2="NO", "ALERTA: DESCUENTO DOBLE NO PERMITIDO", "OK"), "OK"))</f>
        <v/>
      </c>
      <c r="AR1408" s="79">
        <f>IF(AN1408="","",IF(OR(AO1408&lt;&gt;"OK", AP1408&lt;&gt;"OK", AQ1408&lt;&gt;"OK"), "⚠️ REVISAR", "OK"))</f>
        <v/>
      </c>
    </row>
    <row r="1409">
      <c r="A1409" s="79">
        <f>IF('Ordenes_Odoo'!A1409="","",'Ordenes_Odoo'!A1409)</f>
        <v/>
      </c>
      <c r="B1409" s="80">
        <f>IF('Ordenes_Odoo'!B1409="","",'Ordenes_Odoo'!B1409)</f>
        <v/>
      </c>
      <c r="C1409" s="79">
        <f>IF('Ordenes_Odoo'!C1409="","",'Ordenes_Odoo'!C1409)</f>
        <v/>
      </c>
      <c r="D1409" s="79">
        <f>IF('Ordenes_Odoo'!D1409="","",'Ordenes_Odoo'!D1409)</f>
        <v/>
      </c>
      <c r="E1409" s="79">
        <f>IF('Ordenes_Odoo'!E1409="","",'Ordenes_Odoo'!E1409)</f>
        <v/>
      </c>
      <c r="F1409" s="79">
        <f>IF('Ordenes_Odoo'!F1409="","",'Ordenes_Odoo'!F1409)</f>
        <v/>
      </c>
      <c r="G1409" s="79">
        <f>IF('Ordenes_Odoo'!G1409="","",'Ordenes_Odoo'!G1409)</f>
        <v/>
      </c>
      <c r="H1409" s="79">
        <f>IF('Ordenes_Odoo'!H1409="","",'Ordenes_Odoo'!H1409)</f>
        <v/>
      </c>
      <c r="I1409" s="79">
        <f>IF('Ordenes_Odoo'!I1409="","",'Ordenes_Odoo'!I1409)</f>
        <v/>
      </c>
      <c r="J1409" s="79">
        <f>IF('Ordenes_Odoo'!J1409="","",'Ordenes_Odoo'!J1409)</f>
        <v/>
      </c>
      <c r="K1409" s="81">
        <f>IF('Ordenes_Odoo'!K1409="","",'Ordenes_Odoo'!K1409)</f>
        <v/>
      </c>
      <c r="L1409" s="81">
        <f>IF('Ordenes_Odoo'!L1409="","",'Ordenes_Odoo'!L1409)</f>
        <v/>
      </c>
      <c r="M1409" s="79">
        <f>IF('Ordenes_Odoo'!M1409="","",'Ordenes_Odoo'!M1409)</f>
        <v/>
      </c>
      <c r="N1409" s="79">
        <f>IF('Ordenes_Odoo'!N1409="","",'Ordenes_Odoo'!N1409)</f>
        <v/>
      </c>
      <c r="O1409" s="81">
        <f>IF('Ordenes_Odoo'!O1409="","",'Ordenes_Odoo'!O1409)</f>
        <v/>
      </c>
      <c r="P1409" s="81">
        <f>IF('Ordenes_Odoo'!P1409="","",'Ordenes_Odoo'!P1409)</f>
        <v/>
      </c>
      <c r="Q1409" s="79">
        <f>IF(A1409="","",IFERROR(INDEX(Facturas_Odoo!$B:$B, MATCH(A1409, Facturas_Odoo!$D:$D, 0)), "Sin Factura"))</f>
        <v/>
      </c>
      <c r="R1409" s="80">
        <f>IF(Q1409="Sin Factura","",IFERROR(INDEX(Facturas_Odoo!$A:$A, MATCH(Q1409, Facturas_Odoo!$B:$B, 0)), ""))</f>
        <v/>
      </c>
      <c r="S1409" s="79">
        <f>IF(Q1409="Sin Factura","",IFERROR(_xlfn.XLOOKUP(1, (Facturas_Odoo!$D:$D=A1409) * (Facturas_Odoo!$K:$K=I1409), Facturas_Odoo!$L:$L, ""), ""))</f>
        <v/>
      </c>
      <c r="T1409" s="81">
        <f>IF(Q1409="Sin Factura",0,IFERROR(_xlfn.XLOOKUP(1, (Facturas_Odoo!$D:$D=A1409) * (Facturas_Odoo!$K:$K=I1409), Facturas_Odoo!$M:$M, 0), 0))</f>
        <v/>
      </c>
      <c r="U1409" s="79">
        <f>IF(Q1409="Sin Factura",0,IFERROR(_xlfn.XLOOKUP(1, (Facturas_Odoo!$D:$D=A1409) * (Facturas_Odoo!$K:$K=I1409), Facturas_Odoo!$N:$N, 0), 0))</f>
        <v/>
      </c>
      <c r="V1409" s="79">
        <f>IF(Q1409="Sin Factura",0,IFERROR(_xlfn.XLOOKUP(1, (Facturas_Odoo!$D:$D=A1409) * (Facturas_Odoo!$K:$K=I1409), Facturas_Odoo!$O:$O, 0), 0))</f>
        <v/>
      </c>
      <c r="W1409" s="81">
        <f>IF(Q1409="Sin Factura",0,IFERROR(_xlfn.XLOOKUP(1, (Facturas_Odoo!$D:$D=A1409) * (Facturas_Odoo!$K:$K=I1409), Facturas_Odoo!$Q:$Q, 0), 0))</f>
        <v/>
      </c>
      <c r="X1409" s="79">
        <f>IF(OR(Q1409="Sin Factura",Q1409=""),"",IFERROR(INDEX(Pagos_Odoo!$B:$B, MATCH(Q1409, Pagos_Odoo!$I:$I, 0)), "Sin Pago"))</f>
        <v/>
      </c>
      <c r="Y1409" s="79">
        <f>IF(X1409="Sin Pago","",IFERROR(INDEX(Pagos_Odoo!$C:$C, MATCH(X1409, Pagos_Odoo!$B:$B, 0)), ""))</f>
        <v/>
      </c>
      <c r="Z1409" s="80">
        <f>IF(X1409="Sin Pago","",IFERROR(INDEX(Pagos_Odoo!$A:$A, MATCH(X1409, Pagos_Odoo!$B:$B, 0)), ""))</f>
        <v/>
      </c>
      <c r="AA1409" s="79">
        <f>IF(X1409="Sin Pago","",IFERROR(INDEX(Pagos_Odoo!$F:$F, MATCH(X1409, Pagos_Odoo!$B:$B, 0)), ""))</f>
        <v/>
      </c>
      <c r="AB1409" s="81">
        <f>IF(X1409="Sin Pago",0,IFERROR(INDEX(Pagos_Odoo!$E:$E, MATCH(X1409, Pagos_Odoo!$B:$B, 0)), 0))</f>
        <v/>
      </c>
      <c r="AC1409" s="79">
        <f>IF(X1409="Sin Pago","",IFERROR(INDEX(Pagos_Odoo!$G:$G, MATCH(X1409, Pagos_Odoo!$B:$B, 0)), ""))</f>
        <v/>
      </c>
      <c r="AD1409" s="82" t="n">
        <v>0</v>
      </c>
      <c r="AE1409" s="82" t="n"/>
      <c r="AF1409" s="82" t="n"/>
      <c r="AG1409" s="82">
        <f>IF(AN1409="","",AD1409+AE1409+AF1409)</f>
        <v/>
      </c>
      <c r="AH1409" s="81">
        <f>IF(AN1409="","",P1409*(1-AG1409))</f>
        <v/>
      </c>
      <c r="AI1409" s="81">
        <f>IF(AN1409="","",IF(Q1409="Sin Factura",0,IFERROR(INDEX(Facturas_Odoo!$H:$H, MATCH(Q1409, Facturas_Odoo!$B:$B, 0)), 0)*(1-AG1409)))</f>
        <v/>
      </c>
      <c r="AJ1409" s="81">
        <f>IF(AN1409="","",_xlfn.LET(idVenta, AN1409&amp;"",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09" s="81">
        <f>IF(AN1409="","",AH1409-AJ1409)</f>
        <v/>
      </c>
      <c r="AL1409" s="81">
        <f>IF(AN1409="","",IF(Q1409="Sin Factura","",AI1409-AJ1409))</f>
        <v/>
      </c>
      <c r="AM1409" s="81">
        <f>IF(AN1409="","",IF(Q1409="Sin Factura",0,P1409-IFERROR(INDEX(Facturas_Odoo!$H:$H, MATCH(Q1409, Facturas_Odoo!$B:$B, 0)), 0)))</f>
        <v/>
      </c>
      <c r="AN1409" s="79">
        <f>IF(AND(A1409="", J1409=""), "", IF(A1409&lt;&gt;"", VALUE(MID(A1409,2,LEN(A1409))), AN1408))</f>
        <v/>
      </c>
      <c r="AO1409" s="79">
        <f>IF(AN1409="","",IF(AD1409=0,"OK",_xlfn.LET(monedaPago, IF(AA1409="","USD",AA1409), limitePermitido, IFERROR(VLOOKUP(monedaPago, Configuración!$A$2:$B$3, 2, FALSE), 0.15), IF(AD1409&gt;limitePermitido, "ALERTA: EXCESO (" &amp; TEXT(limitePermitido, "0%") &amp; " máx)", "OK"))))</f>
        <v/>
      </c>
      <c r="AP1409" s="79">
        <f>IF(AN1409="","",IF(AE1409=0,"OK",_xlfn.LET(fechaPago, Z1409, fechaFactura, R1409, diasCredito, IF(E1409="Pago inmediato", 0, IFERROR(VALUE(MID(E1409, 1, SEARCH(" ", E1409)-1)),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09" s="79">
        <f>IF(AN1409="","",IF(AND(N1409&gt;0, AG1409&gt;0), IF(Configuración!$K$2="NO", "ALERTA: DESCUENTO DOBLE NO PERMITIDO", "OK"), "OK"))</f>
        <v/>
      </c>
      <c r="AR1409" s="79">
        <f>IF(AN1409="","",IF(OR(AO1409&lt;&gt;"OK", AP1409&lt;&gt;"OK", AQ1409&lt;&gt;"OK"), "⚠️ REVISAR", "OK"))</f>
        <v/>
      </c>
    </row>
    <row r="1410">
      <c r="A1410" s="79">
        <f>IF('Ordenes_Odoo'!A1410="","",'Ordenes_Odoo'!A1410)</f>
        <v/>
      </c>
      <c r="B1410" s="80">
        <f>IF('Ordenes_Odoo'!B1410="","",'Ordenes_Odoo'!B1410)</f>
        <v/>
      </c>
      <c r="C1410" s="79">
        <f>IF('Ordenes_Odoo'!C1410="","",'Ordenes_Odoo'!C1410)</f>
        <v/>
      </c>
      <c r="D1410" s="79">
        <f>IF('Ordenes_Odoo'!D1410="","",'Ordenes_Odoo'!D1410)</f>
        <v/>
      </c>
      <c r="E1410" s="79">
        <f>IF('Ordenes_Odoo'!E1410="","",'Ordenes_Odoo'!E1410)</f>
        <v/>
      </c>
      <c r="F1410" s="79">
        <f>IF('Ordenes_Odoo'!F1410="","",'Ordenes_Odoo'!F1410)</f>
        <v/>
      </c>
      <c r="G1410" s="79">
        <f>IF('Ordenes_Odoo'!G1410="","",'Ordenes_Odoo'!G1410)</f>
        <v/>
      </c>
      <c r="H1410" s="79">
        <f>IF('Ordenes_Odoo'!H1410="","",'Ordenes_Odoo'!H1410)</f>
        <v/>
      </c>
      <c r="I1410" s="79">
        <f>IF('Ordenes_Odoo'!I1410="","",'Ordenes_Odoo'!I1410)</f>
        <v/>
      </c>
      <c r="J1410" s="79">
        <f>IF('Ordenes_Odoo'!J1410="","",'Ordenes_Odoo'!J1410)</f>
        <v/>
      </c>
      <c r="K1410" s="81">
        <f>IF('Ordenes_Odoo'!K1410="","",'Ordenes_Odoo'!K1410)</f>
        <v/>
      </c>
      <c r="L1410" s="81">
        <f>IF('Ordenes_Odoo'!L1410="","",'Ordenes_Odoo'!L1410)</f>
        <v/>
      </c>
      <c r="M1410" s="79">
        <f>IF('Ordenes_Odoo'!M1410="","",'Ordenes_Odoo'!M1410)</f>
        <v/>
      </c>
      <c r="N1410" s="79">
        <f>IF('Ordenes_Odoo'!N1410="","",'Ordenes_Odoo'!N1410)</f>
        <v/>
      </c>
      <c r="O1410" s="81">
        <f>IF('Ordenes_Odoo'!O1410="","",'Ordenes_Odoo'!O1410)</f>
        <v/>
      </c>
      <c r="P1410" s="81">
        <f>IF('Ordenes_Odoo'!P1410="","",'Ordenes_Odoo'!P1410)</f>
        <v/>
      </c>
      <c r="Q1410" s="79">
        <f>IF(A1410="","",IFERROR(INDEX(Facturas_Odoo!$B:$B, MATCH(A1410, Facturas_Odoo!$D:$D, 0)), "Sin Factura"))</f>
        <v/>
      </c>
      <c r="R1410" s="80">
        <f>IF(Q1410="Sin Factura","",IFERROR(INDEX(Facturas_Odoo!$A:$A, MATCH(Q1410, Facturas_Odoo!$B:$B, 0)), ""))</f>
        <v/>
      </c>
      <c r="S1410" s="79">
        <f>IF(Q1410="Sin Factura","",IFERROR(_xlfn.XLOOKUP(1, (Facturas_Odoo!$D:$D=A1410) * (Facturas_Odoo!$K:$K=I1410), Facturas_Odoo!$L:$L, ""), ""))</f>
        <v/>
      </c>
      <c r="T1410" s="81">
        <f>IF(Q1410="Sin Factura",0,IFERROR(_xlfn.XLOOKUP(1, (Facturas_Odoo!$D:$D=A1410) * (Facturas_Odoo!$K:$K=I1410), Facturas_Odoo!$M:$M, 0), 0))</f>
        <v/>
      </c>
      <c r="U1410" s="79">
        <f>IF(Q1410="Sin Factura",0,IFERROR(_xlfn.XLOOKUP(1, (Facturas_Odoo!$D:$D=A1410) * (Facturas_Odoo!$K:$K=I1410), Facturas_Odoo!$N:$N, 0), 0))</f>
        <v/>
      </c>
      <c r="V1410" s="79">
        <f>IF(Q1410="Sin Factura",0,IFERROR(_xlfn.XLOOKUP(1, (Facturas_Odoo!$D:$D=A1410) * (Facturas_Odoo!$K:$K=I1410), Facturas_Odoo!$O:$O, 0), 0))</f>
        <v/>
      </c>
      <c r="W1410" s="81">
        <f>IF(Q1410="Sin Factura",0,IFERROR(_xlfn.XLOOKUP(1, (Facturas_Odoo!$D:$D=A1410) * (Facturas_Odoo!$K:$K=I1410), Facturas_Odoo!$Q:$Q, 0), 0))</f>
        <v/>
      </c>
      <c r="X1410" s="79">
        <f>IF(OR(Q1410="Sin Factura",Q1410=""),"",IFERROR(INDEX(Pagos_Odoo!$B:$B, MATCH(Q1410, Pagos_Odoo!$I:$I, 0)), "Sin Pago"))</f>
        <v/>
      </c>
      <c r="Y1410" s="79">
        <f>IF(X1410="Sin Pago","",IFERROR(INDEX(Pagos_Odoo!$C:$C, MATCH(X1410, Pagos_Odoo!$B:$B, 0)), ""))</f>
        <v/>
      </c>
      <c r="Z1410" s="80">
        <f>IF(X1410="Sin Pago","",IFERROR(INDEX(Pagos_Odoo!$A:$A, MATCH(X1410, Pagos_Odoo!$B:$B, 0)), ""))</f>
        <v/>
      </c>
      <c r="AA1410" s="79">
        <f>IF(X1410="Sin Pago","",IFERROR(INDEX(Pagos_Odoo!$F:$F, MATCH(X1410, Pagos_Odoo!$B:$B, 0)), ""))</f>
        <v/>
      </c>
      <c r="AB1410" s="81">
        <f>IF(X1410="Sin Pago",0,IFERROR(INDEX(Pagos_Odoo!$E:$E, MATCH(X1410, Pagos_Odoo!$B:$B, 0)), 0))</f>
        <v/>
      </c>
      <c r="AC1410" s="79">
        <f>IF(X1410="Sin Pago","",IFERROR(INDEX(Pagos_Odoo!$G:$G, MATCH(X1410, Pagos_Odoo!$B:$B, 0)), ""))</f>
        <v/>
      </c>
      <c r="AD1410" s="82" t="n">
        <v>0</v>
      </c>
      <c r="AE1410" s="82" t="n"/>
      <c r="AF1410" s="82" t="n"/>
      <c r="AG1410" s="82">
        <f>IF(AN1410="","",AD1410+AE1410+AF1410)</f>
        <v/>
      </c>
      <c r="AH1410" s="81">
        <f>IF(AN1410="","",P1410*(1-AG1410))</f>
        <v/>
      </c>
      <c r="AI1410" s="81">
        <f>IF(AN1410="","",IF(Q1410="Sin Factura",0,IFERROR(INDEX(Facturas_Odoo!$H:$H, MATCH(Q1410, Facturas_Odoo!$B:$B, 0)), 0)*(1-AG1410)))</f>
        <v/>
      </c>
      <c r="AJ1410" s="81">
        <f>IF(AN1410="","",_xlfn.LET(idVenta, AN1410&amp;"",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10" s="81">
        <f>IF(AN1410="","",AH1410-AJ1410)</f>
        <v/>
      </c>
      <c r="AL1410" s="81">
        <f>IF(AN1410="","",IF(Q1410="Sin Factura","",AI1410-AJ1410))</f>
        <v/>
      </c>
      <c r="AM1410" s="81">
        <f>IF(AN1410="","",IF(Q1410="Sin Factura",0,P1410-IFERROR(INDEX(Facturas_Odoo!$H:$H, MATCH(Q1410, Facturas_Odoo!$B:$B, 0)), 0)))</f>
        <v/>
      </c>
      <c r="AN1410" s="79">
        <f>IF(AND(A1410="", J1410=""), "", IF(A1410&lt;&gt;"", VALUE(MID(A1410,2,LEN(A1410))), AN1409))</f>
        <v/>
      </c>
      <c r="AO1410" s="79">
        <f>IF(AN1410="","",IF(AD1410=0,"OK",_xlfn.LET(monedaPago, IF(AA1410="","USD",AA1410), limitePermitido, IFERROR(VLOOKUP(monedaPago, Configuración!$A$2:$B$3, 2, FALSE), 0.15), IF(AD1410&gt;limitePermitido, "ALERTA: EXCESO (" &amp; TEXT(limitePermitido, "0%") &amp; " máx)", "OK"))))</f>
        <v/>
      </c>
      <c r="AP1410" s="79">
        <f>IF(AN1410="","",IF(AE1410=0,"OK",_xlfn.LET(fechaPago, Z1410, fechaFactura, R1410, diasCredito, IF(E1410="Pago inmediato", 0, IFERROR(VALUE(MID(E1410, 1, SEARCH(" ", E1410)-1)),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10" s="79">
        <f>IF(AN1410="","",IF(AND(N1410&gt;0, AG1410&gt;0), IF(Configuración!$K$2="NO", "ALERTA: DESCUENTO DOBLE NO PERMITIDO", "OK"), "OK"))</f>
        <v/>
      </c>
      <c r="AR1410" s="79">
        <f>IF(AN1410="","",IF(OR(AO1410&lt;&gt;"OK", AP1410&lt;&gt;"OK", AQ1410&lt;&gt;"OK"), "⚠️ REVISAR", "OK"))</f>
        <v/>
      </c>
    </row>
    <row r="1411">
      <c r="A1411" s="79">
        <f>IF('Ordenes_Odoo'!A1411="","",'Ordenes_Odoo'!A1411)</f>
        <v/>
      </c>
      <c r="B1411" s="80">
        <f>IF('Ordenes_Odoo'!B1411="","",'Ordenes_Odoo'!B1411)</f>
        <v/>
      </c>
      <c r="C1411" s="79">
        <f>IF('Ordenes_Odoo'!C1411="","",'Ordenes_Odoo'!C1411)</f>
        <v/>
      </c>
      <c r="D1411" s="79">
        <f>IF('Ordenes_Odoo'!D1411="","",'Ordenes_Odoo'!D1411)</f>
        <v/>
      </c>
      <c r="E1411" s="79">
        <f>IF('Ordenes_Odoo'!E1411="","",'Ordenes_Odoo'!E1411)</f>
        <v/>
      </c>
      <c r="F1411" s="79">
        <f>IF('Ordenes_Odoo'!F1411="","",'Ordenes_Odoo'!F1411)</f>
        <v/>
      </c>
      <c r="G1411" s="79">
        <f>IF('Ordenes_Odoo'!G1411="","",'Ordenes_Odoo'!G1411)</f>
        <v/>
      </c>
      <c r="H1411" s="79">
        <f>IF('Ordenes_Odoo'!H1411="","",'Ordenes_Odoo'!H1411)</f>
        <v/>
      </c>
      <c r="I1411" s="79">
        <f>IF('Ordenes_Odoo'!I1411="","",'Ordenes_Odoo'!I1411)</f>
        <v/>
      </c>
      <c r="J1411" s="79">
        <f>IF('Ordenes_Odoo'!J1411="","",'Ordenes_Odoo'!J1411)</f>
        <v/>
      </c>
      <c r="K1411" s="81">
        <f>IF('Ordenes_Odoo'!K1411="","",'Ordenes_Odoo'!K1411)</f>
        <v/>
      </c>
      <c r="L1411" s="81">
        <f>IF('Ordenes_Odoo'!L1411="","",'Ordenes_Odoo'!L1411)</f>
        <v/>
      </c>
      <c r="M1411" s="79">
        <f>IF('Ordenes_Odoo'!M1411="","",'Ordenes_Odoo'!M1411)</f>
        <v/>
      </c>
      <c r="N1411" s="79">
        <f>IF('Ordenes_Odoo'!N1411="","",'Ordenes_Odoo'!N1411)</f>
        <v/>
      </c>
      <c r="O1411" s="81">
        <f>IF('Ordenes_Odoo'!O1411="","",'Ordenes_Odoo'!O1411)</f>
        <v/>
      </c>
      <c r="P1411" s="81">
        <f>IF('Ordenes_Odoo'!P1411="","",'Ordenes_Odoo'!P1411)</f>
        <v/>
      </c>
      <c r="Q1411" s="79">
        <f>IF(A1411="","",IFERROR(INDEX(Facturas_Odoo!$B:$B, MATCH(A1411, Facturas_Odoo!$D:$D, 0)), "Sin Factura"))</f>
        <v/>
      </c>
      <c r="R1411" s="80">
        <f>IF(Q1411="Sin Factura","",IFERROR(INDEX(Facturas_Odoo!$A:$A, MATCH(Q1411, Facturas_Odoo!$B:$B, 0)), ""))</f>
        <v/>
      </c>
      <c r="S1411" s="79">
        <f>IF(Q1411="Sin Factura","",IFERROR(_xlfn.XLOOKUP(1, (Facturas_Odoo!$D:$D=A1411) * (Facturas_Odoo!$K:$K=I1411), Facturas_Odoo!$L:$L, ""), ""))</f>
        <v/>
      </c>
      <c r="T1411" s="81">
        <f>IF(Q1411="Sin Factura",0,IFERROR(_xlfn.XLOOKUP(1, (Facturas_Odoo!$D:$D=A1411) * (Facturas_Odoo!$K:$K=I1411), Facturas_Odoo!$M:$M, 0), 0))</f>
        <v/>
      </c>
      <c r="U1411" s="79">
        <f>IF(Q1411="Sin Factura",0,IFERROR(_xlfn.XLOOKUP(1, (Facturas_Odoo!$D:$D=A1411) * (Facturas_Odoo!$K:$K=I1411), Facturas_Odoo!$N:$N, 0), 0))</f>
        <v/>
      </c>
      <c r="V1411" s="79">
        <f>IF(Q1411="Sin Factura",0,IFERROR(_xlfn.XLOOKUP(1, (Facturas_Odoo!$D:$D=A1411) * (Facturas_Odoo!$K:$K=I1411), Facturas_Odoo!$O:$O, 0), 0))</f>
        <v/>
      </c>
      <c r="W1411" s="81">
        <f>IF(Q1411="Sin Factura",0,IFERROR(_xlfn.XLOOKUP(1, (Facturas_Odoo!$D:$D=A1411) * (Facturas_Odoo!$K:$K=I1411), Facturas_Odoo!$Q:$Q, 0), 0))</f>
        <v/>
      </c>
      <c r="X1411" s="79">
        <f>IF(OR(Q1411="Sin Factura",Q1411=""),"",IFERROR(INDEX(Pagos_Odoo!$B:$B, MATCH(Q1411, Pagos_Odoo!$I:$I, 0)), "Sin Pago"))</f>
        <v/>
      </c>
      <c r="Y1411" s="79">
        <f>IF(X1411="Sin Pago","",IFERROR(INDEX(Pagos_Odoo!$C:$C, MATCH(X1411, Pagos_Odoo!$B:$B, 0)), ""))</f>
        <v/>
      </c>
      <c r="Z1411" s="80">
        <f>IF(X1411="Sin Pago","",IFERROR(INDEX(Pagos_Odoo!$A:$A, MATCH(X1411, Pagos_Odoo!$B:$B, 0)), ""))</f>
        <v/>
      </c>
      <c r="AA1411" s="79">
        <f>IF(X1411="Sin Pago","",IFERROR(INDEX(Pagos_Odoo!$F:$F, MATCH(X1411, Pagos_Odoo!$B:$B, 0)), ""))</f>
        <v/>
      </c>
      <c r="AB1411" s="81">
        <f>IF(X1411="Sin Pago",0,IFERROR(INDEX(Pagos_Odoo!$E:$E, MATCH(X1411, Pagos_Odoo!$B:$B, 0)), 0))</f>
        <v/>
      </c>
      <c r="AC1411" s="79">
        <f>IF(X1411="Sin Pago","",IFERROR(INDEX(Pagos_Odoo!$G:$G, MATCH(X1411, Pagos_Odoo!$B:$B, 0)), ""))</f>
        <v/>
      </c>
      <c r="AD1411" s="82" t="n">
        <v>0</v>
      </c>
      <c r="AE1411" s="82" t="n"/>
      <c r="AF1411" s="82" t="n"/>
      <c r="AG1411" s="82">
        <f>IF(AN1411="","",AD1411+AE1411+AF1411)</f>
        <v/>
      </c>
      <c r="AH1411" s="81">
        <f>IF(AN1411="","",P1411*(1-AG1411))</f>
        <v/>
      </c>
      <c r="AI1411" s="81">
        <f>IF(AN1411="","",IF(Q1411="Sin Factura",0,IFERROR(INDEX(Facturas_Odoo!$H:$H, MATCH(Q1411, Facturas_Odoo!$B:$B, 0)), 0)*(1-AG1411)))</f>
        <v/>
      </c>
      <c r="AJ1411" s="81">
        <f>IF(AN1411="","",_xlfn.LET(idVenta, AN1411&amp;"",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11" s="81">
        <f>IF(AN1411="","",AH1411-AJ1411)</f>
        <v/>
      </c>
      <c r="AL1411" s="81">
        <f>IF(AN1411="","",IF(Q1411="Sin Factura","",AI1411-AJ1411))</f>
        <v/>
      </c>
      <c r="AM1411" s="81">
        <f>IF(AN1411="","",IF(Q1411="Sin Factura",0,P1411-IFERROR(INDEX(Facturas_Odoo!$H:$H, MATCH(Q1411, Facturas_Odoo!$B:$B, 0)), 0)))</f>
        <v/>
      </c>
      <c r="AN1411" s="79">
        <f>IF(AND(A1411="", J1411=""), "", IF(A1411&lt;&gt;"", VALUE(MID(A1411,2,LEN(A1411))), AN1410))</f>
        <v/>
      </c>
      <c r="AO1411" s="79">
        <f>IF(AN1411="","",IF(AD1411=0,"OK",_xlfn.LET(monedaPago, IF(AA1411="","USD",AA1411), limitePermitido, IFERROR(VLOOKUP(monedaPago, Configuración!$A$2:$B$3, 2, FALSE), 0.15), IF(AD1411&gt;limitePermitido, "ALERTA: EXCESO (" &amp; TEXT(limitePermitido, "0%") &amp; " máx)", "OK"))))</f>
        <v/>
      </c>
      <c r="AP1411" s="79">
        <f>IF(AN1411="","",IF(AE1411=0,"OK",_xlfn.LET(fechaPago, Z1411, fechaFactura, R1411, diasCredito, IF(E1411="Pago inmediato", 0, IFERROR(VALUE(MID(E1411, 1, SEARCH(" ", E1411)-1)),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11" s="79">
        <f>IF(AN1411="","",IF(AND(N1411&gt;0, AG1411&gt;0), IF(Configuración!$K$2="NO", "ALERTA: DESCUENTO DOBLE NO PERMITIDO", "OK"), "OK"))</f>
        <v/>
      </c>
      <c r="AR1411" s="79">
        <f>IF(AN1411="","",IF(OR(AO1411&lt;&gt;"OK", AP1411&lt;&gt;"OK", AQ1411&lt;&gt;"OK"), "⚠️ REVISAR", "OK"))</f>
        <v/>
      </c>
    </row>
    <row r="1412">
      <c r="A1412" s="79">
        <f>IF('Ordenes_Odoo'!A1412="","",'Ordenes_Odoo'!A1412)</f>
        <v/>
      </c>
      <c r="B1412" s="80">
        <f>IF('Ordenes_Odoo'!B1412="","",'Ordenes_Odoo'!B1412)</f>
        <v/>
      </c>
      <c r="C1412" s="79">
        <f>IF('Ordenes_Odoo'!C1412="","",'Ordenes_Odoo'!C1412)</f>
        <v/>
      </c>
      <c r="D1412" s="79">
        <f>IF('Ordenes_Odoo'!D1412="","",'Ordenes_Odoo'!D1412)</f>
        <v/>
      </c>
      <c r="E1412" s="79">
        <f>IF('Ordenes_Odoo'!E1412="","",'Ordenes_Odoo'!E1412)</f>
        <v/>
      </c>
      <c r="F1412" s="79">
        <f>IF('Ordenes_Odoo'!F1412="","",'Ordenes_Odoo'!F1412)</f>
        <v/>
      </c>
      <c r="G1412" s="79">
        <f>IF('Ordenes_Odoo'!G1412="","",'Ordenes_Odoo'!G1412)</f>
        <v/>
      </c>
      <c r="H1412" s="79">
        <f>IF('Ordenes_Odoo'!H1412="","",'Ordenes_Odoo'!H1412)</f>
        <v/>
      </c>
      <c r="I1412" s="79">
        <f>IF('Ordenes_Odoo'!I1412="","",'Ordenes_Odoo'!I1412)</f>
        <v/>
      </c>
      <c r="J1412" s="79">
        <f>IF('Ordenes_Odoo'!J1412="","",'Ordenes_Odoo'!J1412)</f>
        <v/>
      </c>
      <c r="K1412" s="81">
        <f>IF('Ordenes_Odoo'!K1412="","",'Ordenes_Odoo'!K1412)</f>
        <v/>
      </c>
      <c r="L1412" s="81">
        <f>IF('Ordenes_Odoo'!L1412="","",'Ordenes_Odoo'!L1412)</f>
        <v/>
      </c>
      <c r="M1412" s="79">
        <f>IF('Ordenes_Odoo'!M1412="","",'Ordenes_Odoo'!M1412)</f>
        <v/>
      </c>
      <c r="N1412" s="79">
        <f>IF('Ordenes_Odoo'!N1412="","",'Ordenes_Odoo'!N1412)</f>
        <v/>
      </c>
      <c r="O1412" s="81">
        <f>IF('Ordenes_Odoo'!O1412="","",'Ordenes_Odoo'!O1412)</f>
        <v/>
      </c>
      <c r="P1412" s="81">
        <f>IF('Ordenes_Odoo'!P1412="","",'Ordenes_Odoo'!P1412)</f>
        <v/>
      </c>
      <c r="Q1412" s="79">
        <f>IF(A1412="","",IFERROR(INDEX(Facturas_Odoo!$B:$B, MATCH(A1412, Facturas_Odoo!$D:$D, 0)), "Sin Factura"))</f>
        <v/>
      </c>
      <c r="R1412" s="80">
        <f>IF(Q1412="Sin Factura","",IFERROR(INDEX(Facturas_Odoo!$A:$A, MATCH(Q1412, Facturas_Odoo!$B:$B, 0)), ""))</f>
        <v/>
      </c>
      <c r="S1412" s="79">
        <f>IF(Q1412="Sin Factura","",IFERROR(_xlfn.XLOOKUP(1, (Facturas_Odoo!$D:$D=A1412) * (Facturas_Odoo!$K:$K=I1412), Facturas_Odoo!$L:$L, ""), ""))</f>
        <v/>
      </c>
      <c r="T1412" s="81">
        <f>IF(Q1412="Sin Factura",0,IFERROR(_xlfn.XLOOKUP(1, (Facturas_Odoo!$D:$D=A1412) * (Facturas_Odoo!$K:$K=I1412), Facturas_Odoo!$M:$M, 0), 0))</f>
        <v/>
      </c>
      <c r="U1412" s="79">
        <f>IF(Q1412="Sin Factura",0,IFERROR(_xlfn.XLOOKUP(1, (Facturas_Odoo!$D:$D=A1412) * (Facturas_Odoo!$K:$K=I1412), Facturas_Odoo!$N:$N, 0), 0))</f>
        <v/>
      </c>
      <c r="V1412" s="79">
        <f>IF(Q1412="Sin Factura",0,IFERROR(_xlfn.XLOOKUP(1, (Facturas_Odoo!$D:$D=A1412) * (Facturas_Odoo!$K:$K=I1412), Facturas_Odoo!$O:$O, 0), 0))</f>
        <v/>
      </c>
      <c r="W1412" s="81">
        <f>IF(Q1412="Sin Factura",0,IFERROR(_xlfn.XLOOKUP(1, (Facturas_Odoo!$D:$D=A1412) * (Facturas_Odoo!$K:$K=I1412), Facturas_Odoo!$Q:$Q, 0), 0))</f>
        <v/>
      </c>
      <c r="X1412" s="79">
        <f>IF(OR(Q1412="Sin Factura",Q1412=""),"",IFERROR(INDEX(Pagos_Odoo!$B:$B, MATCH(Q1412, Pagos_Odoo!$I:$I, 0)), "Sin Pago"))</f>
        <v/>
      </c>
      <c r="Y1412" s="79">
        <f>IF(X1412="Sin Pago","",IFERROR(INDEX(Pagos_Odoo!$C:$C, MATCH(X1412, Pagos_Odoo!$B:$B, 0)), ""))</f>
        <v/>
      </c>
      <c r="Z1412" s="80">
        <f>IF(X1412="Sin Pago","",IFERROR(INDEX(Pagos_Odoo!$A:$A, MATCH(X1412, Pagos_Odoo!$B:$B, 0)), ""))</f>
        <v/>
      </c>
      <c r="AA1412" s="79">
        <f>IF(X1412="Sin Pago","",IFERROR(INDEX(Pagos_Odoo!$F:$F, MATCH(X1412, Pagos_Odoo!$B:$B, 0)), ""))</f>
        <v/>
      </c>
      <c r="AB1412" s="81">
        <f>IF(X1412="Sin Pago",0,IFERROR(INDEX(Pagos_Odoo!$E:$E, MATCH(X1412, Pagos_Odoo!$B:$B, 0)), 0))</f>
        <v/>
      </c>
      <c r="AC1412" s="79">
        <f>IF(X1412="Sin Pago","",IFERROR(INDEX(Pagos_Odoo!$G:$G, MATCH(X1412, Pagos_Odoo!$B:$B, 0)), ""))</f>
        <v/>
      </c>
      <c r="AD1412" s="82" t="n">
        <v>0</v>
      </c>
      <c r="AE1412" s="82" t="n"/>
      <c r="AF1412" s="82" t="n"/>
      <c r="AG1412" s="82">
        <f>IF(AN1412="","",AD1412+AE1412+AF1412)</f>
        <v/>
      </c>
      <c r="AH1412" s="81">
        <f>IF(AN1412="","",P1412*(1-AG1412))</f>
        <v/>
      </c>
      <c r="AI1412" s="81">
        <f>IF(AN1412="","",IF(Q1412="Sin Factura",0,IFERROR(INDEX(Facturas_Odoo!$H:$H, MATCH(Q1412, Facturas_Odoo!$B:$B, 0)), 0)*(1-AG1412)))</f>
        <v/>
      </c>
      <c r="AJ1412" s="81">
        <f>IF(AN1412="","",_xlfn.LET(idVenta, AN1412&amp;"",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12" s="81">
        <f>IF(AN1412="","",AH1412-AJ1412)</f>
        <v/>
      </c>
      <c r="AL1412" s="81">
        <f>IF(AN1412="","",IF(Q1412="Sin Factura","",AI1412-AJ1412))</f>
        <v/>
      </c>
      <c r="AM1412" s="81">
        <f>IF(AN1412="","",IF(Q1412="Sin Factura",0,P1412-IFERROR(INDEX(Facturas_Odoo!$H:$H, MATCH(Q1412, Facturas_Odoo!$B:$B, 0)), 0)))</f>
        <v/>
      </c>
      <c r="AN1412" s="79">
        <f>IF(AND(A1412="", J1412=""), "", IF(A1412&lt;&gt;"", VALUE(MID(A1412,2,LEN(A1412))), AN1411))</f>
        <v/>
      </c>
      <c r="AO1412" s="79">
        <f>IF(AN1412="","",IF(AD1412=0,"OK",_xlfn.LET(monedaPago, IF(AA1412="","USD",AA1412), limitePermitido, IFERROR(VLOOKUP(monedaPago, Configuración!$A$2:$B$3, 2, FALSE), 0.15), IF(AD1412&gt;limitePermitido, "ALERTA: EXCESO (" &amp; TEXT(limitePermitido, "0%") &amp; " máx)", "OK"))))</f>
        <v/>
      </c>
      <c r="AP1412" s="79">
        <f>IF(AN1412="","",IF(AE1412=0,"OK",_xlfn.LET(fechaPago, Z1412, fechaFactura, R1412, diasCredito, IF(E1412="Pago inmediato", 0, IFERROR(VALUE(MID(E1412, 1, SEARCH(" ", E1412)-1)),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12" s="79">
        <f>IF(AN1412="","",IF(AND(N1412&gt;0, AG1412&gt;0), IF(Configuración!$K$2="NO", "ALERTA: DESCUENTO DOBLE NO PERMITIDO", "OK"), "OK"))</f>
        <v/>
      </c>
      <c r="AR1412" s="79">
        <f>IF(AN1412="","",IF(OR(AO1412&lt;&gt;"OK", AP1412&lt;&gt;"OK", AQ1412&lt;&gt;"OK"), "⚠️ REVISAR", "OK"))</f>
        <v/>
      </c>
    </row>
    <row r="1413">
      <c r="A1413" s="79">
        <f>IF('Ordenes_Odoo'!A1413="","",'Ordenes_Odoo'!A1413)</f>
        <v/>
      </c>
      <c r="B1413" s="80">
        <f>IF('Ordenes_Odoo'!B1413="","",'Ordenes_Odoo'!B1413)</f>
        <v/>
      </c>
      <c r="C1413" s="79">
        <f>IF('Ordenes_Odoo'!C1413="","",'Ordenes_Odoo'!C1413)</f>
        <v/>
      </c>
      <c r="D1413" s="79">
        <f>IF('Ordenes_Odoo'!D1413="","",'Ordenes_Odoo'!D1413)</f>
        <v/>
      </c>
      <c r="E1413" s="79">
        <f>IF('Ordenes_Odoo'!E1413="","",'Ordenes_Odoo'!E1413)</f>
        <v/>
      </c>
      <c r="F1413" s="79">
        <f>IF('Ordenes_Odoo'!F1413="","",'Ordenes_Odoo'!F1413)</f>
        <v/>
      </c>
      <c r="G1413" s="79">
        <f>IF('Ordenes_Odoo'!G1413="","",'Ordenes_Odoo'!G1413)</f>
        <v/>
      </c>
      <c r="H1413" s="79">
        <f>IF('Ordenes_Odoo'!H1413="","",'Ordenes_Odoo'!H1413)</f>
        <v/>
      </c>
      <c r="I1413" s="79">
        <f>IF('Ordenes_Odoo'!I1413="","",'Ordenes_Odoo'!I1413)</f>
        <v/>
      </c>
      <c r="J1413" s="79">
        <f>IF('Ordenes_Odoo'!J1413="","",'Ordenes_Odoo'!J1413)</f>
        <v/>
      </c>
      <c r="K1413" s="81">
        <f>IF('Ordenes_Odoo'!K1413="","",'Ordenes_Odoo'!K1413)</f>
        <v/>
      </c>
      <c r="L1413" s="81">
        <f>IF('Ordenes_Odoo'!L1413="","",'Ordenes_Odoo'!L1413)</f>
        <v/>
      </c>
      <c r="M1413" s="79">
        <f>IF('Ordenes_Odoo'!M1413="","",'Ordenes_Odoo'!M1413)</f>
        <v/>
      </c>
      <c r="N1413" s="79">
        <f>IF('Ordenes_Odoo'!N1413="","",'Ordenes_Odoo'!N1413)</f>
        <v/>
      </c>
      <c r="O1413" s="81">
        <f>IF('Ordenes_Odoo'!O1413="","",'Ordenes_Odoo'!O1413)</f>
        <v/>
      </c>
      <c r="P1413" s="81">
        <f>IF('Ordenes_Odoo'!P1413="","",'Ordenes_Odoo'!P1413)</f>
        <v/>
      </c>
      <c r="Q1413" s="79">
        <f>IF(A1413="","",IFERROR(INDEX(Facturas_Odoo!$B:$B, MATCH(A1413, Facturas_Odoo!$D:$D, 0)), "Sin Factura"))</f>
        <v/>
      </c>
      <c r="R1413" s="80">
        <f>IF(Q1413="Sin Factura","",IFERROR(INDEX(Facturas_Odoo!$A:$A, MATCH(Q1413, Facturas_Odoo!$B:$B, 0)), ""))</f>
        <v/>
      </c>
      <c r="S1413" s="79">
        <f>IF(Q1413="Sin Factura","",IFERROR(_xlfn.XLOOKUP(1, (Facturas_Odoo!$D:$D=A1413) * (Facturas_Odoo!$K:$K=I1413), Facturas_Odoo!$L:$L, ""), ""))</f>
        <v/>
      </c>
      <c r="T1413" s="81">
        <f>IF(Q1413="Sin Factura",0,IFERROR(_xlfn.XLOOKUP(1, (Facturas_Odoo!$D:$D=A1413) * (Facturas_Odoo!$K:$K=I1413), Facturas_Odoo!$M:$M, 0), 0))</f>
        <v/>
      </c>
      <c r="U1413" s="79">
        <f>IF(Q1413="Sin Factura",0,IFERROR(_xlfn.XLOOKUP(1, (Facturas_Odoo!$D:$D=A1413) * (Facturas_Odoo!$K:$K=I1413), Facturas_Odoo!$N:$N, 0), 0))</f>
        <v/>
      </c>
      <c r="V1413" s="79">
        <f>IF(Q1413="Sin Factura",0,IFERROR(_xlfn.XLOOKUP(1, (Facturas_Odoo!$D:$D=A1413) * (Facturas_Odoo!$K:$K=I1413), Facturas_Odoo!$O:$O, 0), 0))</f>
        <v/>
      </c>
      <c r="W1413" s="81">
        <f>IF(Q1413="Sin Factura",0,IFERROR(_xlfn.XLOOKUP(1, (Facturas_Odoo!$D:$D=A1413) * (Facturas_Odoo!$K:$K=I1413), Facturas_Odoo!$Q:$Q, 0), 0))</f>
        <v/>
      </c>
      <c r="X1413" s="79">
        <f>IF(OR(Q1413="Sin Factura",Q1413=""),"",IFERROR(INDEX(Pagos_Odoo!$B:$B, MATCH(Q1413, Pagos_Odoo!$I:$I, 0)), "Sin Pago"))</f>
        <v/>
      </c>
      <c r="Y1413" s="79">
        <f>IF(X1413="Sin Pago","",IFERROR(INDEX(Pagos_Odoo!$C:$C, MATCH(X1413, Pagos_Odoo!$B:$B, 0)), ""))</f>
        <v/>
      </c>
      <c r="Z1413" s="80">
        <f>IF(X1413="Sin Pago","",IFERROR(INDEX(Pagos_Odoo!$A:$A, MATCH(X1413, Pagos_Odoo!$B:$B, 0)), ""))</f>
        <v/>
      </c>
      <c r="AA1413" s="79">
        <f>IF(X1413="Sin Pago","",IFERROR(INDEX(Pagos_Odoo!$F:$F, MATCH(X1413, Pagos_Odoo!$B:$B, 0)), ""))</f>
        <v/>
      </c>
      <c r="AB1413" s="81">
        <f>IF(X1413="Sin Pago",0,IFERROR(INDEX(Pagos_Odoo!$E:$E, MATCH(X1413, Pagos_Odoo!$B:$B, 0)), 0))</f>
        <v/>
      </c>
      <c r="AC1413" s="79">
        <f>IF(X1413="Sin Pago","",IFERROR(INDEX(Pagos_Odoo!$G:$G, MATCH(X1413, Pagos_Odoo!$B:$B, 0)), ""))</f>
        <v/>
      </c>
      <c r="AD1413" s="82" t="n">
        <v>0</v>
      </c>
      <c r="AE1413" s="82" t="n"/>
      <c r="AF1413" s="82" t="n"/>
      <c r="AG1413" s="82">
        <f>IF(AN1413="","",AD1413+AE1413+AF1413)</f>
        <v/>
      </c>
      <c r="AH1413" s="81">
        <f>IF(AN1413="","",P1413*(1-AG1413))</f>
        <v/>
      </c>
      <c r="AI1413" s="81">
        <f>IF(AN1413="","",IF(Q1413="Sin Factura",0,IFERROR(INDEX(Facturas_Odoo!$H:$H, MATCH(Q1413, Facturas_Odoo!$B:$B, 0)), 0)*(1-AG1413)))</f>
        <v/>
      </c>
      <c r="AJ1413" s="81">
        <f>IF(AN1413="","",_xlfn.LET(idVenta, AN1413&amp;"",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13" s="81">
        <f>IF(AN1413="","",AH1413-AJ1413)</f>
        <v/>
      </c>
      <c r="AL1413" s="81">
        <f>IF(AN1413="","",IF(Q1413="Sin Factura","",AI1413-AJ1413))</f>
        <v/>
      </c>
      <c r="AM1413" s="81">
        <f>IF(AN1413="","",IF(Q1413="Sin Factura",0,P1413-IFERROR(INDEX(Facturas_Odoo!$H:$H, MATCH(Q1413, Facturas_Odoo!$B:$B, 0)), 0)))</f>
        <v/>
      </c>
      <c r="AN1413" s="79">
        <f>IF(AND(A1413="", J1413=""), "", IF(A1413&lt;&gt;"", VALUE(MID(A1413,2,LEN(A1413))), AN1412))</f>
        <v/>
      </c>
      <c r="AO1413" s="79">
        <f>IF(AN1413="","",IF(AD1413=0,"OK",_xlfn.LET(monedaPago, IF(AA1413="","USD",AA1413), limitePermitido, IFERROR(VLOOKUP(monedaPago, Configuración!$A$2:$B$3, 2, FALSE), 0.15), IF(AD1413&gt;limitePermitido, "ALERTA: EXCESO (" &amp; TEXT(limitePermitido, "0%") &amp; " máx)", "OK"))))</f>
        <v/>
      </c>
      <c r="AP1413" s="79">
        <f>IF(AN1413="","",IF(AE1413=0,"OK",_xlfn.LET(fechaPago, Z1413, fechaFactura, R1413, diasCredito, IF(E1413="Pago inmediato", 0, IFERROR(VALUE(MID(E1413, 1, SEARCH(" ", E1413)-1)),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13" s="79">
        <f>IF(AN1413="","",IF(AND(N1413&gt;0, AG1413&gt;0), IF(Configuración!$K$2="NO", "ALERTA: DESCUENTO DOBLE NO PERMITIDO", "OK"), "OK"))</f>
        <v/>
      </c>
      <c r="AR1413" s="79">
        <f>IF(AN1413="","",IF(OR(AO1413&lt;&gt;"OK", AP1413&lt;&gt;"OK", AQ1413&lt;&gt;"OK"), "⚠️ REVISAR", "OK"))</f>
        <v/>
      </c>
    </row>
    <row r="1414">
      <c r="A1414" s="79">
        <f>IF('Ordenes_Odoo'!A1414="","",'Ordenes_Odoo'!A1414)</f>
        <v/>
      </c>
      <c r="B1414" s="80">
        <f>IF('Ordenes_Odoo'!B1414="","",'Ordenes_Odoo'!B1414)</f>
        <v/>
      </c>
      <c r="C1414" s="79">
        <f>IF('Ordenes_Odoo'!C1414="","",'Ordenes_Odoo'!C1414)</f>
        <v/>
      </c>
      <c r="D1414" s="79">
        <f>IF('Ordenes_Odoo'!D1414="","",'Ordenes_Odoo'!D1414)</f>
        <v/>
      </c>
      <c r="E1414" s="79">
        <f>IF('Ordenes_Odoo'!E1414="","",'Ordenes_Odoo'!E1414)</f>
        <v/>
      </c>
      <c r="F1414" s="79">
        <f>IF('Ordenes_Odoo'!F1414="","",'Ordenes_Odoo'!F1414)</f>
        <v/>
      </c>
      <c r="G1414" s="79">
        <f>IF('Ordenes_Odoo'!G1414="","",'Ordenes_Odoo'!G1414)</f>
        <v/>
      </c>
      <c r="H1414" s="79">
        <f>IF('Ordenes_Odoo'!H1414="","",'Ordenes_Odoo'!H1414)</f>
        <v/>
      </c>
      <c r="I1414" s="79">
        <f>IF('Ordenes_Odoo'!I1414="","",'Ordenes_Odoo'!I1414)</f>
        <v/>
      </c>
      <c r="J1414" s="79">
        <f>IF('Ordenes_Odoo'!J1414="","",'Ordenes_Odoo'!J1414)</f>
        <v/>
      </c>
      <c r="K1414" s="81">
        <f>IF('Ordenes_Odoo'!K1414="","",'Ordenes_Odoo'!K1414)</f>
        <v/>
      </c>
      <c r="L1414" s="81">
        <f>IF('Ordenes_Odoo'!L1414="","",'Ordenes_Odoo'!L1414)</f>
        <v/>
      </c>
      <c r="M1414" s="79">
        <f>IF('Ordenes_Odoo'!M1414="","",'Ordenes_Odoo'!M1414)</f>
        <v/>
      </c>
      <c r="N1414" s="79">
        <f>IF('Ordenes_Odoo'!N1414="","",'Ordenes_Odoo'!N1414)</f>
        <v/>
      </c>
      <c r="O1414" s="81">
        <f>IF('Ordenes_Odoo'!O1414="","",'Ordenes_Odoo'!O1414)</f>
        <v/>
      </c>
      <c r="P1414" s="81">
        <f>IF('Ordenes_Odoo'!P1414="","",'Ordenes_Odoo'!P1414)</f>
        <v/>
      </c>
      <c r="Q1414" s="79">
        <f>IF(A1414="","",IFERROR(INDEX(Facturas_Odoo!$B:$B, MATCH(A1414, Facturas_Odoo!$D:$D, 0)), "Sin Factura"))</f>
        <v/>
      </c>
      <c r="R1414" s="80">
        <f>IF(Q1414="Sin Factura","",IFERROR(INDEX(Facturas_Odoo!$A:$A, MATCH(Q1414, Facturas_Odoo!$B:$B, 0)), ""))</f>
        <v/>
      </c>
      <c r="S1414" s="79">
        <f>IF(Q1414="Sin Factura","",IFERROR(_xlfn.XLOOKUP(1, (Facturas_Odoo!$D:$D=A1414) * (Facturas_Odoo!$K:$K=I1414), Facturas_Odoo!$L:$L, ""), ""))</f>
        <v/>
      </c>
      <c r="T1414" s="81">
        <f>IF(Q1414="Sin Factura",0,IFERROR(_xlfn.XLOOKUP(1, (Facturas_Odoo!$D:$D=A1414) * (Facturas_Odoo!$K:$K=I1414), Facturas_Odoo!$M:$M, 0), 0))</f>
        <v/>
      </c>
      <c r="U1414" s="79">
        <f>IF(Q1414="Sin Factura",0,IFERROR(_xlfn.XLOOKUP(1, (Facturas_Odoo!$D:$D=A1414) * (Facturas_Odoo!$K:$K=I1414), Facturas_Odoo!$N:$N, 0), 0))</f>
        <v/>
      </c>
      <c r="V1414" s="79">
        <f>IF(Q1414="Sin Factura",0,IFERROR(_xlfn.XLOOKUP(1, (Facturas_Odoo!$D:$D=A1414) * (Facturas_Odoo!$K:$K=I1414), Facturas_Odoo!$O:$O, 0), 0))</f>
        <v/>
      </c>
      <c r="W1414" s="81">
        <f>IF(Q1414="Sin Factura",0,IFERROR(_xlfn.XLOOKUP(1, (Facturas_Odoo!$D:$D=A1414) * (Facturas_Odoo!$K:$K=I1414), Facturas_Odoo!$Q:$Q, 0), 0))</f>
        <v/>
      </c>
      <c r="X1414" s="79">
        <f>IF(OR(Q1414="Sin Factura",Q1414=""),"",IFERROR(INDEX(Pagos_Odoo!$B:$B, MATCH(Q1414, Pagos_Odoo!$I:$I, 0)), "Sin Pago"))</f>
        <v/>
      </c>
      <c r="Y1414" s="79">
        <f>IF(X1414="Sin Pago","",IFERROR(INDEX(Pagos_Odoo!$C:$C, MATCH(X1414, Pagos_Odoo!$B:$B, 0)), ""))</f>
        <v/>
      </c>
      <c r="Z1414" s="80">
        <f>IF(X1414="Sin Pago","",IFERROR(INDEX(Pagos_Odoo!$A:$A, MATCH(X1414, Pagos_Odoo!$B:$B, 0)), ""))</f>
        <v/>
      </c>
      <c r="AA1414" s="79">
        <f>IF(X1414="Sin Pago","",IFERROR(INDEX(Pagos_Odoo!$F:$F, MATCH(X1414, Pagos_Odoo!$B:$B, 0)), ""))</f>
        <v/>
      </c>
      <c r="AB1414" s="81">
        <f>IF(X1414="Sin Pago",0,IFERROR(INDEX(Pagos_Odoo!$E:$E, MATCH(X1414, Pagos_Odoo!$B:$B, 0)), 0))</f>
        <v/>
      </c>
      <c r="AC1414" s="79">
        <f>IF(X1414="Sin Pago","",IFERROR(INDEX(Pagos_Odoo!$G:$G, MATCH(X1414, Pagos_Odoo!$B:$B, 0)), ""))</f>
        <v/>
      </c>
      <c r="AD1414" s="82" t="n">
        <v>0</v>
      </c>
      <c r="AE1414" s="82" t="n"/>
      <c r="AF1414" s="82" t="n"/>
      <c r="AG1414" s="82">
        <f>IF(AN1414="","",AD1414+AE1414+AF1414)</f>
        <v/>
      </c>
      <c r="AH1414" s="81">
        <f>IF(AN1414="","",P1414*(1-AG1414))</f>
        <v/>
      </c>
      <c r="AI1414" s="81">
        <f>IF(AN1414="","",IF(Q1414="Sin Factura",0,IFERROR(INDEX(Facturas_Odoo!$H:$H, MATCH(Q1414, Facturas_Odoo!$B:$B, 0)), 0)*(1-AG1414)))</f>
        <v/>
      </c>
      <c r="AJ1414" s="81">
        <f>IF(AN1414="","",_xlfn.LET(idVenta, AN1414&amp;"",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14" s="81">
        <f>IF(AN1414="","",AH1414-AJ1414)</f>
        <v/>
      </c>
      <c r="AL1414" s="81">
        <f>IF(AN1414="","",IF(Q1414="Sin Factura","",AI1414-AJ1414))</f>
        <v/>
      </c>
      <c r="AM1414" s="81">
        <f>IF(AN1414="","",IF(Q1414="Sin Factura",0,P1414-IFERROR(INDEX(Facturas_Odoo!$H:$H, MATCH(Q1414, Facturas_Odoo!$B:$B, 0)), 0)))</f>
        <v/>
      </c>
      <c r="AN1414" s="79">
        <f>IF(AND(A1414="", J1414=""), "", IF(A1414&lt;&gt;"", VALUE(MID(A1414,2,LEN(A1414))), AN1413))</f>
        <v/>
      </c>
      <c r="AO1414" s="79">
        <f>IF(AN1414="","",IF(AD1414=0,"OK",_xlfn.LET(monedaPago, IF(AA1414="","USD",AA1414), limitePermitido, IFERROR(VLOOKUP(monedaPago, Configuración!$A$2:$B$3, 2, FALSE), 0.15), IF(AD1414&gt;limitePermitido, "ALERTA: EXCESO (" &amp; TEXT(limitePermitido, "0%") &amp; " máx)", "OK"))))</f>
        <v/>
      </c>
      <c r="AP1414" s="79">
        <f>IF(AN1414="","",IF(AE1414=0,"OK",_xlfn.LET(fechaPago, Z1414, fechaFactura, R1414, diasCredito, IF(E1414="Pago inmediato", 0, IFERROR(VALUE(MID(E1414, 1, SEARCH(" ", E1414)-1)),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14" s="79">
        <f>IF(AN1414="","",IF(AND(N1414&gt;0, AG1414&gt;0), IF(Configuración!$K$2="NO", "ALERTA: DESCUENTO DOBLE NO PERMITIDO", "OK"), "OK"))</f>
        <v/>
      </c>
      <c r="AR1414" s="79">
        <f>IF(AN1414="","",IF(OR(AO1414&lt;&gt;"OK", AP1414&lt;&gt;"OK", AQ1414&lt;&gt;"OK"), "⚠️ REVISAR", "OK"))</f>
        <v/>
      </c>
    </row>
    <row r="1415">
      <c r="A1415" s="79">
        <f>IF('Ordenes_Odoo'!A1415="","",'Ordenes_Odoo'!A1415)</f>
        <v/>
      </c>
      <c r="B1415" s="80">
        <f>IF('Ordenes_Odoo'!B1415="","",'Ordenes_Odoo'!B1415)</f>
        <v/>
      </c>
      <c r="C1415" s="79">
        <f>IF('Ordenes_Odoo'!C1415="","",'Ordenes_Odoo'!C1415)</f>
        <v/>
      </c>
      <c r="D1415" s="79">
        <f>IF('Ordenes_Odoo'!D1415="","",'Ordenes_Odoo'!D1415)</f>
        <v/>
      </c>
      <c r="E1415" s="79">
        <f>IF('Ordenes_Odoo'!E1415="","",'Ordenes_Odoo'!E1415)</f>
        <v/>
      </c>
      <c r="F1415" s="79">
        <f>IF('Ordenes_Odoo'!F1415="","",'Ordenes_Odoo'!F1415)</f>
        <v/>
      </c>
      <c r="G1415" s="79">
        <f>IF('Ordenes_Odoo'!G1415="","",'Ordenes_Odoo'!G1415)</f>
        <v/>
      </c>
      <c r="H1415" s="79">
        <f>IF('Ordenes_Odoo'!H1415="","",'Ordenes_Odoo'!H1415)</f>
        <v/>
      </c>
      <c r="I1415" s="79">
        <f>IF('Ordenes_Odoo'!I1415="","",'Ordenes_Odoo'!I1415)</f>
        <v/>
      </c>
      <c r="J1415" s="79">
        <f>IF('Ordenes_Odoo'!J1415="","",'Ordenes_Odoo'!J1415)</f>
        <v/>
      </c>
      <c r="K1415" s="81">
        <f>IF('Ordenes_Odoo'!K1415="","",'Ordenes_Odoo'!K1415)</f>
        <v/>
      </c>
      <c r="L1415" s="81">
        <f>IF('Ordenes_Odoo'!L1415="","",'Ordenes_Odoo'!L1415)</f>
        <v/>
      </c>
      <c r="M1415" s="79">
        <f>IF('Ordenes_Odoo'!M1415="","",'Ordenes_Odoo'!M1415)</f>
        <v/>
      </c>
      <c r="N1415" s="79">
        <f>IF('Ordenes_Odoo'!N1415="","",'Ordenes_Odoo'!N1415)</f>
        <v/>
      </c>
      <c r="O1415" s="81">
        <f>IF('Ordenes_Odoo'!O1415="","",'Ordenes_Odoo'!O1415)</f>
        <v/>
      </c>
      <c r="P1415" s="81">
        <f>IF('Ordenes_Odoo'!P1415="","",'Ordenes_Odoo'!P1415)</f>
        <v/>
      </c>
      <c r="Q1415" s="79">
        <f>IF(A1415="","",IFERROR(INDEX(Facturas_Odoo!$B:$B, MATCH(A1415, Facturas_Odoo!$D:$D, 0)), "Sin Factura"))</f>
        <v/>
      </c>
      <c r="R1415" s="80">
        <f>IF(Q1415="Sin Factura","",IFERROR(INDEX(Facturas_Odoo!$A:$A, MATCH(Q1415, Facturas_Odoo!$B:$B, 0)), ""))</f>
        <v/>
      </c>
      <c r="S1415" s="79">
        <f>IF(Q1415="Sin Factura","",IFERROR(_xlfn.XLOOKUP(1, (Facturas_Odoo!$D:$D=A1415) * (Facturas_Odoo!$K:$K=I1415), Facturas_Odoo!$L:$L, ""), ""))</f>
        <v/>
      </c>
      <c r="T1415" s="81">
        <f>IF(Q1415="Sin Factura",0,IFERROR(_xlfn.XLOOKUP(1, (Facturas_Odoo!$D:$D=A1415) * (Facturas_Odoo!$K:$K=I1415), Facturas_Odoo!$M:$M, 0), 0))</f>
        <v/>
      </c>
      <c r="U1415" s="79">
        <f>IF(Q1415="Sin Factura",0,IFERROR(_xlfn.XLOOKUP(1, (Facturas_Odoo!$D:$D=A1415) * (Facturas_Odoo!$K:$K=I1415), Facturas_Odoo!$N:$N, 0), 0))</f>
        <v/>
      </c>
      <c r="V1415" s="79">
        <f>IF(Q1415="Sin Factura",0,IFERROR(_xlfn.XLOOKUP(1, (Facturas_Odoo!$D:$D=A1415) * (Facturas_Odoo!$K:$K=I1415), Facturas_Odoo!$O:$O, 0), 0))</f>
        <v/>
      </c>
      <c r="W1415" s="81">
        <f>IF(Q1415="Sin Factura",0,IFERROR(_xlfn.XLOOKUP(1, (Facturas_Odoo!$D:$D=A1415) * (Facturas_Odoo!$K:$K=I1415), Facturas_Odoo!$Q:$Q, 0), 0))</f>
        <v/>
      </c>
      <c r="X1415" s="79">
        <f>IF(OR(Q1415="Sin Factura",Q1415=""),"",IFERROR(INDEX(Pagos_Odoo!$B:$B, MATCH(Q1415, Pagos_Odoo!$I:$I, 0)), "Sin Pago"))</f>
        <v/>
      </c>
      <c r="Y1415" s="79">
        <f>IF(X1415="Sin Pago","",IFERROR(INDEX(Pagos_Odoo!$C:$C, MATCH(X1415, Pagos_Odoo!$B:$B, 0)), ""))</f>
        <v/>
      </c>
      <c r="Z1415" s="80">
        <f>IF(X1415="Sin Pago","",IFERROR(INDEX(Pagos_Odoo!$A:$A, MATCH(X1415, Pagos_Odoo!$B:$B, 0)), ""))</f>
        <v/>
      </c>
      <c r="AA1415" s="79">
        <f>IF(X1415="Sin Pago","",IFERROR(INDEX(Pagos_Odoo!$F:$F, MATCH(X1415, Pagos_Odoo!$B:$B, 0)), ""))</f>
        <v/>
      </c>
      <c r="AB1415" s="81">
        <f>IF(X1415="Sin Pago",0,IFERROR(INDEX(Pagos_Odoo!$E:$E, MATCH(X1415, Pagos_Odoo!$B:$B, 0)), 0))</f>
        <v/>
      </c>
      <c r="AC1415" s="79">
        <f>IF(X1415="Sin Pago","",IFERROR(INDEX(Pagos_Odoo!$G:$G, MATCH(X1415, Pagos_Odoo!$B:$B, 0)), ""))</f>
        <v/>
      </c>
      <c r="AD1415" s="82" t="n">
        <v>0</v>
      </c>
      <c r="AE1415" s="82" t="n"/>
      <c r="AF1415" s="82" t="n"/>
      <c r="AG1415" s="82">
        <f>IF(AN1415="","",AD1415+AE1415+AF1415)</f>
        <v/>
      </c>
      <c r="AH1415" s="81">
        <f>IF(AN1415="","",P1415*(1-AG1415))</f>
        <v/>
      </c>
      <c r="AI1415" s="81">
        <f>IF(AN1415="","",IF(Q1415="Sin Factura",0,IFERROR(INDEX(Facturas_Odoo!$H:$H, MATCH(Q1415, Facturas_Odoo!$B:$B, 0)), 0)*(1-AG1415)))</f>
        <v/>
      </c>
      <c r="AJ1415" s="81">
        <f>IF(AN1415="","",_xlfn.LET(idVenta, AN1415&amp;"",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15" s="81">
        <f>IF(AN1415="","",AH1415-AJ1415)</f>
        <v/>
      </c>
      <c r="AL1415" s="81">
        <f>IF(AN1415="","",IF(Q1415="Sin Factura","",AI1415-AJ1415))</f>
        <v/>
      </c>
      <c r="AM1415" s="81">
        <f>IF(AN1415="","",IF(Q1415="Sin Factura",0,P1415-IFERROR(INDEX(Facturas_Odoo!$H:$H, MATCH(Q1415, Facturas_Odoo!$B:$B, 0)), 0)))</f>
        <v/>
      </c>
      <c r="AN1415" s="79">
        <f>IF(AND(A1415="", J1415=""), "", IF(A1415&lt;&gt;"", VALUE(MID(A1415,2,LEN(A1415))), AN1414))</f>
        <v/>
      </c>
      <c r="AO1415" s="79">
        <f>IF(AN1415="","",IF(AD1415=0,"OK",_xlfn.LET(monedaPago, IF(AA1415="","USD",AA1415), limitePermitido, IFERROR(VLOOKUP(monedaPago, Configuración!$A$2:$B$3, 2, FALSE), 0.15), IF(AD1415&gt;limitePermitido, "ALERTA: EXCESO (" &amp; TEXT(limitePermitido, "0%") &amp; " máx)", "OK"))))</f>
        <v/>
      </c>
      <c r="AP1415" s="79">
        <f>IF(AN1415="","",IF(AE1415=0,"OK",_xlfn.LET(fechaPago, Z1415, fechaFactura, R1415, diasCredito, IF(E1415="Pago inmediato", 0, IFERROR(VALUE(MID(E1415, 1, SEARCH(" ", E1415)-1)),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15" s="79">
        <f>IF(AN1415="","",IF(AND(N1415&gt;0, AG1415&gt;0), IF(Configuración!$K$2="NO", "ALERTA: DESCUENTO DOBLE NO PERMITIDO", "OK"), "OK"))</f>
        <v/>
      </c>
      <c r="AR1415" s="79">
        <f>IF(AN1415="","",IF(OR(AO1415&lt;&gt;"OK", AP1415&lt;&gt;"OK", AQ1415&lt;&gt;"OK"), "⚠️ REVISAR", "OK"))</f>
        <v/>
      </c>
    </row>
    <row r="1416">
      <c r="A1416" s="79">
        <f>IF('Ordenes_Odoo'!A1416="","",'Ordenes_Odoo'!A1416)</f>
        <v/>
      </c>
      <c r="B1416" s="80">
        <f>IF('Ordenes_Odoo'!B1416="","",'Ordenes_Odoo'!B1416)</f>
        <v/>
      </c>
      <c r="C1416" s="79">
        <f>IF('Ordenes_Odoo'!C1416="","",'Ordenes_Odoo'!C1416)</f>
        <v/>
      </c>
      <c r="D1416" s="79">
        <f>IF('Ordenes_Odoo'!D1416="","",'Ordenes_Odoo'!D1416)</f>
        <v/>
      </c>
      <c r="E1416" s="79">
        <f>IF('Ordenes_Odoo'!E1416="","",'Ordenes_Odoo'!E1416)</f>
        <v/>
      </c>
      <c r="F1416" s="79">
        <f>IF('Ordenes_Odoo'!F1416="","",'Ordenes_Odoo'!F1416)</f>
        <v/>
      </c>
      <c r="G1416" s="79">
        <f>IF('Ordenes_Odoo'!G1416="","",'Ordenes_Odoo'!G1416)</f>
        <v/>
      </c>
      <c r="H1416" s="79">
        <f>IF('Ordenes_Odoo'!H1416="","",'Ordenes_Odoo'!H1416)</f>
        <v/>
      </c>
      <c r="I1416" s="79">
        <f>IF('Ordenes_Odoo'!I1416="","",'Ordenes_Odoo'!I1416)</f>
        <v/>
      </c>
      <c r="J1416" s="79">
        <f>IF('Ordenes_Odoo'!J1416="","",'Ordenes_Odoo'!J1416)</f>
        <v/>
      </c>
      <c r="K1416" s="81">
        <f>IF('Ordenes_Odoo'!K1416="","",'Ordenes_Odoo'!K1416)</f>
        <v/>
      </c>
      <c r="L1416" s="81">
        <f>IF('Ordenes_Odoo'!L1416="","",'Ordenes_Odoo'!L1416)</f>
        <v/>
      </c>
      <c r="M1416" s="79">
        <f>IF('Ordenes_Odoo'!M1416="","",'Ordenes_Odoo'!M1416)</f>
        <v/>
      </c>
      <c r="N1416" s="79">
        <f>IF('Ordenes_Odoo'!N1416="","",'Ordenes_Odoo'!N1416)</f>
        <v/>
      </c>
      <c r="O1416" s="81">
        <f>IF('Ordenes_Odoo'!O1416="","",'Ordenes_Odoo'!O1416)</f>
        <v/>
      </c>
      <c r="P1416" s="81">
        <f>IF('Ordenes_Odoo'!P1416="","",'Ordenes_Odoo'!P1416)</f>
        <v/>
      </c>
      <c r="Q1416" s="79">
        <f>IF(A1416="","",IFERROR(INDEX(Facturas_Odoo!$B:$B, MATCH(A1416, Facturas_Odoo!$D:$D, 0)), "Sin Factura"))</f>
        <v/>
      </c>
      <c r="R1416" s="80">
        <f>IF(Q1416="Sin Factura","",IFERROR(INDEX(Facturas_Odoo!$A:$A, MATCH(Q1416, Facturas_Odoo!$B:$B, 0)), ""))</f>
        <v/>
      </c>
      <c r="S1416" s="79">
        <f>IF(Q1416="Sin Factura","",IFERROR(_xlfn.XLOOKUP(1, (Facturas_Odoo!$D:$D=A1416) * (Facturas_Odoo!$K:$K=I1416), Facturas_Odoo!$L:$L, ""), ""))</f>
        <v/>
      </c>
      <c r="T1416" s="81">
        <f>IF(Q1416="Sin Factura",0,IFERROR(_xlfn.XLOOKUP(1, (Facturas_Odoo!$D:$D=A1416) * (Facturas_Odoo!$K:$K=I1416), Facturas_Odoo!$M:$M, 0), 0))</f>
        <v/>
      </c>
      <c r="U1416" s="79">
        <f>IF(Q1416="Sin Factura",0,IFERROR(_xlfn.XLOOKUP(1, (Facturas_Odoo!$D:$D=A1416) * (Facturas_Odoo!$K:$K=I1416), Facturas_Odoo!$N:$N, 0), 0))</f>
        <v/>
      </c>
      <c r="V1416" s="79">
        <f>IF(Q1416="Sin Factura",0,IFERROR(_xlfn.XLOOKUP(1, (Facturas_Odoo!$D:$D=A1416) * (Facturas_Odoo!$K:$K=I1416), Facturas_Odoo!$O:$O, 0), 0))</f>
        <v/>
      </c>
      <c r="W1416" s="81">
        <f>IF(Q1416="Sin Factura",0,IFERROR(_xlfn.XLOOKUP(1, (Facturas_Odoo!$D:$D=A1416) * (Facturas_Odoo!$K:$K=I1416), Facturas_Odoo!$Q:$Q, 0), 0))</f>
        <v/>
      </c>
      <c r="X1416" s="79">
        <f>IF(OR(Q1416="Sin Factura",Q1416=""),"",IFERROR(INDEX(Pagos_Odoo!$B:$B, MATCH(Q1416, Pagos_Odoo!$I:$I, 0)), "Sin Pago"))</f>
        <v/>
      </c>
      <c r="Y1416" s="79">
        <f>IF(X1416="Sin Pago","",IFERROR(INDEX(Pagos_Odoo!$C:$C, MATCH(X1416, Pagos_Odoo!$B:$B, 0)), ""))</f>
        <v/>
      </c>
      <c r="Z1416" s="80">
        <f>IF(X1416="Sin Pago","",IFERROR(INDEX(Pagos_Odoo!$A:$A, MATCH(X1416, Pagos_Odoo!$B:$B, 0)), ""))</f>
        <v/>
      </c>
      <c r="AA1416" s="79">
        <f>IF(X1416="Sin Pago","",IFERROR(INDEX(Pagos_Odoo!$F:$F, MATCH(X1416, Pagos_Odoo!$B:$B, 0)), ""))</f>
        <v/>
      </c>
      <c r="AB1416" s="81">
        <f>IF(X1416="Sin Pago",0,IFERROR(INDEX(Pagos_Odoo!$E:$E, MATCH(X1416, Pagos_Odoo!$B:$B, 0)), 0))</f>
        <v/>
      </c>
      <c r="AC1416" s="79">
        <f>IF(X1416="Sin Pago","",IFERROR(INDEX(Pagos_Odoo!$G:$G, MATCH(X1416, Pagos_Odoo!$B:$B, 0)), ""))</f>
        <v/>
      </c>
      <c r="AD1416" s="82" t="n">
        <v>0</v>
      </c>
      <c r="AE1416" s="82" t="n"/>
      <c r="AF1416" s="82" t="n"/>
      <c r="AG1416" s="82">
        <f>IF(AN1416="","",AD1416+AE1416+AF1416)</f>
        <v/>
      </c>
      <c r="AH1416" s="81">
        <f>IF(AN1416="","",P1416*(1-AG1416))</f>
        <v/>
      </c>
      <c r="AI1416" s="81">
        <f>IF(AN1416="","",IF(Q1416="Sin Factura",0,IFERROR(INDEX(Facturas_Odoo!$H:$H, MATCH(Q1416, Facturas_Odoo!$B:$B, 0)), 0)*(1-AG1416)))</f>
        <v/>
      </c>
      <c r="AJ1416" s="81">
        <f>IF(AN1416="","",_xlfn.LET(idVenta, AN1416&amp;"",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16" s="81">
        <f>IF(AN1416="","",AH1416-AJ1416)</f>
        <v/>
      </c>
      <c r="AL1416" s="81">
        <f>IF(AN1416="","",IF(Q1416="Sin Factura","",AI1416-AJ1416))</f>
        <v/>
      </c>
      <c r="AM1416" s="81">
        <f>IF(AN1416="","",IF(Q1416="Sin Factura",0,P1416-IFERROR(INDEX(Facturas_Odoo!$H:$H, MATCH(Q1416, Facturas_Odoo!$B:$B, 0)), 0)))</f>
        <v/>
      </c>
      <c r="AN1416" s="79">
        <f>IF(AND(A1416="", J1416=""), "", IF(A1416&lt;&gt;"", VALUE(MID(A1416,2,LEN(A1416))), AN1415))</f>
        <v/>
      </c>
      <c r="AO1416" s="79">
        <f>IF(AN1416="","",IF(AD1416=0,"OK",_xlfn.LET(monedaPago, IF(AA1416="","USD",AA1416), limitePermitido, IFERROR(VLOOKUP(monedaPago, Configuración!$A$2:$B$3, 2, FALSE), 0.15), IF(AD1416&gt;limitePermitido, "ALERTA: EXCESO (" &amp; TEXT(limitePermitido, "0%") &amp; " máx)", "OK"))))</f>
        <v/>
      </c>
      <c r="AP1416" s="79">
        <f>IF(AN1416="","",IF(AE1416=0,"OK",_xlfn.LET(fechaPago, Z1416, fechaFactura, R1416, diasCredito, IF(E1416="Pago inmediato", 0, IFERROR(VALUE(MID(E1416, 1, SEARCH(" ", E1416)-1)),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16" s="79">
        <f>IF(AN1416="","",IF(AND(N1416&gt;0, AG1416&gt;0), IF(Configuración!$K$2="NO", "ALERTA: DESCUENTO DOBLE NO PERMITIDO", "OK"), "OK"))</f>
        <v/>
      </c>
      <c r="AR1416" s="79">
        <f>IF(AN1416="","",IF(OR(AO1416&lt;&gt;"OK", AP1416&lt;&gt;"OK", AQ1416&lt;&gt;"OK"), "⚠️ REVISAR", "OK"))</f>
        <v/>
      </c>
    </row>
    <row r="1417">
      <c r="A1417" s="79">
        <f>IF('Ordenes_Odoo'!A1417="","",'Ordenes_Odoo'!A1417)</f>
        <v/>
      </c>
      <c r="B1417" s="80">
        <f>IF('Ordenes_Odoo'!B1417="","",'Ordenes_Odoo'!B1417)</f>
        <v/>
      </c>
      <c r="C1417" s="79">
        <f>IF('Ordenes_Odoo'!C1417="","",'Ordenes_Odoo'!C1417)</f>
        <v/>
      </c>
      <c r="D1417" s="79">
        <f>IF('Ordenes_Odoo'!D1417="","",'Ordenes_Odoo'!D1417)</f>
        <v/>
      </c>
      <c r="E1417" s="79">
        <f>IF('Ordenes_Odoo'!E1417="","",'Ordenes_Odoo'!E1417)</f>
        <v/>
      </c>
      <c r="F1417" s="79">
        <f>IF('Ordenes_Odoo'!F1417="","",'Ordenes_Odoo'!F1417)</f>
        <v/>
      </c>
      <c r="G1417" s="79">
        <f>IF('Ordenes_Odoo'!G1417="","",'Ordenes_Odoo'!G1417)</f>
        <v/>
      </c>
      <c r="H1417" s="79">
        <f>IF('Ordenes_Odoo'!H1417="","",'Ordenes_Odoo'!H1417)</f>
        <v/>
      </c>
      <c r="I1417" s="79">
        <f>IF('Ordenes_Odoo'!I1417="","",'Ordenes_Odoo'!I1417)</f>
        <v/>
      </c>
      <c r="J1417" s="79">
        <f>IF('Ordenes_Odoo'!J1417="","",'Ordenes_Odoo'!J1417)</f>
        <v/>
      </c>
      <c r="K1417" s="81">
        <f>IF('Ordenes_Odoo'!K1417="","",'Ordenes_Odoo'!K1417)</f>
        <v/>
      </c>
      <c r="L1417" s="81">
        <f>IF('Ordenes_Odoo'!L1417="","",'Ordenes_Odoo'!L1417)</f>
        <v/>
      </c>
      <c r="M1417" s="79">
        <f>IF('Ordenes_Odoo'!M1417="","",'Ordenes_Odoo'!M1417)</f>
        <v/>
      </c>
      <c r="N1417" s="79">
        <f>IF('Ordenes_Odoo'!N1417="","",'Ordenes_Odoo'!N1417)</f>
        <v/>
      </c>
      <c r="O1417" s="81">
        <f>IF('Ordenes_Odoo'!O1417="","",'Ordenes_Odoo'!O1417)</f>
        <v/>
      </c>
      <c r="P1417" s="81">
        <f>IF('Ordenes_Odoo'!P1417="","",'Ordenes_Odoo'!P1417)</f>
        <v/>
      </c>
      <c r="Q1417" s="79">
        <f>IF(A1417="","",IFERROR(INDEX(Facturas_Odoo!$B:$B, MATCH(A1417, Facturas_Odoo!$D:$D, 0)), "Sin Factura"))</f>
        <v/>
      </c>
      <c r="R1417" s="80">
        <f>IF(Q1417="Sin Factura","",IFERROR(INDEX(Facturas_Odoo!$A:$A, MATCH(Q1417, Facturas_Odoo!$B:$B, 0)), ""))</f>
        <v/>
      </c>
      <c r="S1417" s="79">
        <f>IF(Q1417="Sin Factura","",IFERROR(_xlfn.XLOOKUP(1, (Facturas_Odoo!$D:$D=A1417) * (Facturas_Odoo!$K:$K=I1417), Facturas_Odoo!$L:$L, ""), ""))</f>
        <v/>
      </c>
      <c r="T1417" s="81">
        <f>IF(Q1417="Sin Factura",0,IFERROR(_xlfn.XLOOKUP(1, (Facturas_Odoo!$D:$D=A1417) * (Facturas_Odoo!$K:$K=I1417), Facturas_Odoo!$M:$M, 0), 0))</f>
        <v/>
      </c>
      <c r="U1417" s="79">
        <f>IF(Q1417="Sin Factura",0,IFERROR(_xlfn.XLOOKUP(1, (Facturas_Odoo!$D:$D=A1417) * (Facturas_Odoo!$K:$K=I1417), Facturas_Odoo!$N:$N, 0), 0))</f>
        <v/>
      </c>
      <c r="V1417" s="79">
        <f>IF(Q1417="Sin Factura",0,IFERROR(_xlfn.XLOOKUP(1, (Facturas_Odoo!$D:$D=A1417) * (Facturas_Odoo!$K:$K=I1417), Facturas_Odoo!$O:$O, 0), 0))</f>
        <v/>
      </c>
      <c r="W1417" s="81">
        <f>IF(Q1417="Sin Factura",0,IFERROR(_xlfn.XLOOKUP(1, (Facturas_Odoo!$D:$D=A1417) * (Facturas_Odoo!$K:$K=I1417), Facturas_Odoo!$Q:$Q, 0), 0))</f>
        <v/>
      </c>
      <c r="X1417" s="79">
        <f>IF(OR(Q1417="Sin Factura",Q1417=""),"",IFERROR(INDEX(Pagos_Odoo!$B:$B, MATCH(Q1417, Pagos_Odoo!$I:$I, 0)), "Sin Pago"))</f>
        <v/>
      </c>
      <c r="Y1417" s="79">
        <f>IF(X1417="Sin Pago","",IFERROR(INDEX(Pagos_Odoo!$C:$C, MATCH(X1417, Pagos_Odoo!$B:$B, 0)), ""))</f>
        <v/>
      </c>
      <c r="Z1417" s="80">
        <f>IF(X1417="Sin Pago","",IFERROR(INDEX(Pagos_Odoo!$A:$A, MATCH(X1417, Pagos_Odoo!$B:$B, 0)), ""))</f>
        <v/>
      </c>
      <c r="AA1417" s="79">
        <f>IF(X1417="Sin Pago","",IFERROR(INDEX(Pagos_Odoo!$F:$F, MATCH(X1417, Pagos_Odoo!$B:$B, 0)), ""))</f>
        <v/>
      </c>
      <c r="AB1417" s="81">
        <f>IF(X1417="Sin Pago",0,IFERROR(INDEX(Pagos_Odoo!$E:$E, MATCH(X1417, Pagos_Odoo!$B:$B, 0)), 0))</f>
        <v/>
      </c>
      <c r="AC1417" s="79">
        <f>IF(X1417="Sin Pago","",IFERROR(INDEX(Pagos_Odoo!$G:$G, MATCH(X1417, Pagos_Odoo!$B:$B, 0)), ""))</f>
        <v/>
      </c>
      <c r="AD1417" s="82" t="n">
        <v>0</v>
      </c>
      <c r="AE1417" s="82" t="n"/>
      <c r="AF1417" s="82" t="n"/>
      <c r="AG1417" s="82">
        <f>IF(AN1417="","",AD1417+AE1417+AF1417)</f>
        <v/>
      </c>
      <c r="AH1417" s="81">
        <f>IF(AN1417="","",P1417*(1-AG1417))</f>
        <v/>
      </c>
      <c r="AI1417" s="81">
        <f>IF(AN1417="","",IF(Q1417="Sin Factura",0,IFERROR(INDEX(Facturas_Odoo!$H:$H, MATCH(Q1417, Facturas_Odoo!$B:$B, 0)), 0)*(1-AG1417)))</f>
        <v/>
      </c>
      <c r="AJ1417" s="81">
        <f>IF(AN1417="","",_xlfn.LET(idVenta, AN1417&amp;"",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17" s="81">
        <f>IF(AN1417="","",AH1417-AJ1417)</f>
        <v/>
      </c>
      <c r="AL1417" s="81">
        <f>IF(AN1417="","",IF(Q1417="Sin Factura","",AI1417-AJ1417))</f>
        <v/>
      </c>
      <c r="AM1417" s="81">
        <f>IF(AN1417="","",IF(Q1417="Sin Factura",0,P1417-IFERROR(INDEX(Facturas_Odoo!$H:$H, MATCH(Q1417, Facturas_Odoo!$B:$B, 0)), 0)))</f>
        <v/>
      </c>
      <c r="AN1417" s="79">
        <f>IF(AND(A1417="", J1417=""), "", IF(A1417&lt;&gt;"", VALUE(MID(A1417,2,LEN(A1417))), AN1416))</f>
        <v/>
      </c>
      <c r="AO1417" s="79">
        <f>IF(AN1417="","",IF(AD1417=0,"OK",_xlfn.LET(monedaPago, IF(AA1417="","USD",AA1417), limitePermitido, IFERROR(VLOOKUP(monedaPago, Configuración!$A$2:$B$3, 2, FALSE), 0.15), IF(AD1417&gt;limitePermitido, "ALERTA: EXCESO (" &amp; TEXT(limitePermitido, "0%") &amp; " máx)", "OK"))))</f>
        <v/>
      </c>
      <c r="AP1417" s="79">
        <f>IF(AN1417="","",IF(AE1417=0,"OK",_xlfn.LET(fechaPago, Z1417, fechaFactura, R1417, diasCredito, IF(E1417="Pago inmediato", 0, IFERROR(VALUE(MID(E1417, 1, SEARCH(" ", E1417)-1)),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17" s="79">
        <f>IF(AN1417="","",IF(AND(N1417&gt;0, AG1417&gt;0), IF(Configuración!$K$2="NO", "ALERTA: DESCUENTO DOBLE NO PERMITIDO", "OK"), "OK"))</f>
        <v/>
      </c>
      <c r="AR1417" s="79">
        <f>IF(AN1417="","",IF(OR(AO1417&lt;&gt;"OK", AP1417&lt;&gt;"OK", AQ1417&lt;&gt;"OK"), "⚠️ REVISAR", "OK"))</f>
        <v/>
      </c>
    </row>
    <row r="1418">
      <c r="A1418" s="79">
        <f>IF('Ordenes_Odoo'!A1418="","",'Ordenes_Odoo'!A1418)</f>
        <v/>
      </c>
      <c r="B1418" s="80">
        <f>IF('Ordenes_Odoo'!B1418="","",'Ordenes_Odoo'!B1418)</f>
        <v/>
      </c>
      <c r="C1418" s="79">
        <f>IF('Ordenes_Odoo'!C1418="","",'Ordenes_Odoo'!C1418)</f>
        <v/>
      </c>
      <c r="D1418" s="79">
        <f>IF('Ordenes_Odoo'!D1418="","",'Ordenes_Odoo'!D1418)</f>
        <v/>
      </c>
      <c r="E1418" s="79">
        <f>IF('Ordenes_Odoo'!E1418="","",'Ordenes_Odoo'!E1418)</f>
        <v/>
      </c>
      <c r="F1418" s="79">
        <f>IF('Ordenes_Odoo'!F1418="","",'Ordenes_Odoo'!F1418)</f>
        <v/>
      </c>
      <c r="G1418" s="79">
        <f>IF('Ordenes_Odoo'!G1418="","",'Ordenes_Odoo'!G1418)</f>
        <v/>
      </c>
      <c r="H1418" s="79">
        <f>IF('Ordenes_Odoo'!H1418="","",'Ordenes_Odoo'!H1418)</f>
        <v/>
      </c>
      <c r="I1418" s="79">
        <f>IF('Ordenes_Odoo'!I1418="","",'Ordenes_Odoo'!I1418)</f>
        <v/>
      </c>
      <c r="J1418" s="79">
        <f>IF('Ordenes_Odoo'!J1418="","",'Ordenes_Odoo'!J1418)</f>
        <v/>
      </c>
      <c r="K1418" s="81">
        <f>IF('Ordenes_Odoo'!K1418="","",'Ordenes_Odoo'!K1418)</f>
        <v/>
      </c>
      <c r="L1418" s="81">
        <f>IF('Ordenes_Odoo'!L1418="","",'Ordenes_Odoo'!L1418)</f>
        <v/>
      </c>
      <c r="M1418" s="79">
        <f>IF('Ordenes_Odoo'!M1418="","",'Ordenes_Odoo'!M1418)</f>
        <v/>
      </c>
      <c r="N1418" s="79">
        <f>IF('Ordenes_Odoo'!N1418="","",'Ordenes_Odoo'!N1418)</f>
        <v/>
      </c>
      <c r="O1418" s="81">
        <f>IF('Ordenes_Odoo'!O1418="","",'Ordenes_Odoo'!O1418)</f>
        <v/>
      </c>
      <c r="P1418" s="81">
        <f>IF('Ordenes_Odoo'!P1418="","",'Ordenes_Odoo'!P1418)</f>
        <v/>
      </c>
      <c r="Q1418" s="79">
        <f>IF(A1418="","",IFERROR(INDEX(Facturas_Odoo!$B:$B, MATCH(A1418, Facturas_Odoo!$D:$D, 0)), "Sin Factura"))</f>
        <v/>
      </c>
      <c r="R1418" s="80">
        <f>IF(Q1418="Sin Factura","",IFERROR(INDEX(Facturas_Odoo!$A:$A, MATCH(Q1418, Facturas_Odoo!$B:$B, 0)), ""))</f>
        <v/>
      </c>
      <c r="S1418" s="79">
        <f>IF(Q1418="Sin Factura","",IFERROR(_xlfn.XLOOKUP(1, (Facturas_Odoo!$D:$D=A1418) * (Facturas_Odoo!$K:$K=I1418), Facturas_Odoo!$L:$L, ""), ""))</f>
        <v/>
      </c>
      <c r="T1418" s="81">
        <f>IF(Q1418="Sin Factura",0,IFERROR(_xlfn.XLOOKUP(1, (Facturas_Odoo!$D:$D=A1418) * (Facturas_Odoo!$K:$K=I1418), Facturas_Odoo!$M:$M, 0), 0))</f>
        <v/>
      </c>
      <c r="U1418" s="79">
        <f>IF(Q1418="Sin Factura",0,IFERROR(_xlfn.XLOOKUP(1, (Facturas_Odoo!$D:$D=A1418) * (Facturas_Odoo!$K:$K=I1418), Facturas_Odoo!$N:$N, 0), 0))</f>
        <v/>
      </c>
      <c r="V1418" s="79">
        <f>IF(Q1418="Sin Factura",0,IFERROR(_xlfn.XLOOKUP(1, (Facturas_Odoo!$D:$D=A1418) * (Facturas_Odoo!$K:$K=I1418), Facturas_Odoo!$O:$O, 0), 0))</f>
        <v/>
      </c>
      <c r="W1418" s="81">
        <f>IF(Q1418="Sin Factura",0,IFERROR(_xlfn.XLOOKUP(1, (Facturas_Odoo!$D:$D=A1418) * (Facturas_Odoo!$K:$K=I1418), Facturas_Odoo!$Q:$Q, 0), 0))</f>
        <v/>
      </c>
      <c r="X1418" s="79">
        <f>IF(OR(Q1418="Sin Factura",Q1418=""),"",IFERROR(INDEX(Pagos_Odoo!$B:$B, MATCH(Q1418, Pagos_Odoo!$I:$I, 0)), "Sin Pago"))</f>
        <v/>
      </c>
      <c r="Y1418" s="79">
        <f>IF(X1418="Sin Pago","",IFERROR(INDEX(Pagos_Odoo!$C:$C, MATCH(X1418, Pagos_Odoo!$B:$B, 0)), ""))</f>
        <v/>
      </c>
      <c r="Z1418" s="80">
        <f>IF(X1418="Sin Pago","",IFERROR(INDEX(Pagos_Odoo!$A:$A, MATCH(X1418, Pagos_Odoo!$B:$B, 0)), ""))</f>
        <v/>
      </c>
      <c r="AA1418" s="79">
        <f>IF(X1418="Sin Pago","",IFERROR(INDEX(Pagos_Odoo!$F:$F, MATCH(X1418, Pagos_Odoo!$B:$B, 0)), ""))</f>
        <v/>
      </c>
      <c r="AB1418" s="81">
        <f>IF(X1418="Sin Pago",0,IFERROR(INDEX(Pagos_Odoo!$E:$E, MATCH(X1418, Pagos_Odoo!$B:$B, 0)), 0))</f>
        <v/>
      </c>
      <c r="AC1418" s="79">
        <f>IF(X1418="Sin Pago","",IFERROR(INDEX(Pagos_Odoo!$G:$G, MATCH(X1418, Pagos_Odoo!$B:$B, 0)), ""))</f>
        <v/>
      </c>
      <c r="AD1418" s="82" t="n">
        <v>0</v>
      </c>
      <c r="AE1418" s="82" t="n"/>
      <c r="AF1418" s="82" t="n"/>
      <c r="AG1418" s="82">
        <f>IF(AN1418="","",AD1418+AE1418+AF1418)</f>
        <v/>
      </c>
      <c r="AH1418" s="81">
        <f>IF(AN1418="","",P1418*(1-AG1418))</f>
        <v/>
      </c>
      <c r="AI1418" s="81">
        <f>IF(AN1418="","",IF(Q1418="Sin Factura",0,IFERROR(INDEX(Facturas_Odoo!$H:$H, MATCH(Q1418, Facturas_Odoo!$B:$B, 0)), 0)*(1-AG1418)))</f>
        <v/>
      </c>
      <c r="AJ1418" s="81">
        <f>IF(AN1418="","",_xlfn.LET(idVenta, AN1418&amp;"",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18" s="81">
        <f>IF(AN1418="","",AH1418-AJ1418)</f>
        <v/>
      </c>
      <c r="AL1418" s="81">
        <f>IF(AN1418="","",IF(Q1418="Sin Factura","",AI1418-AJ1418))</f>
        <v/>
      </c>
      <c r="AM1418" s="81">
        <f>IF(AN1418="","",IF(Q1418="Sin Factura",0,P1418-IFERROR(INDEX(Facturas_Odoo!$H:$H, MATCH(Q1418, Facturas_Odoo!$B:$B, 0)), 0)))</f>
        <v/>
      </c>
      <c r="AN1418" s="79">
        <f>IF(AND(A1418="", J1418=""), "", IF(A1418&lt;&gt;"", VALUE(MID(A1418,2,LEN(A1418))), AN1417))</f>
        <v/>
      </c>
      <c r="AO1418" s="79">
        <f>IF(AN1418="","",IF(AD1418=0,"OK",_xlfn.LET(monedaPago, IF(AA1418="","USD",AA1418), limitePermitido, IFERROR(VLOOKUP(monedaPago, Configuración!$A$2:$B$3, 2, FALSE), 0.15), IF(AD1418&gt;limitePermitido, "ALERTA: EXCESO (" &amp; TEXT(limitePermitido, "0%") &amp; " máx)", "OK"))))</f>
        <v/>
      </c>
      <c r="AP1418" s="79">
        <f>IF(AN1418="","",IF(AE1418=0,"OK",_xlfn.LET(fechaPago, Z1418, fechaFactura, R1418, diasCredito, IF(E1418="Pago inmediato", 0, IFERROR(VALUE(MID(E1418, 1, SEARCH(" ", E1418)-1)),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18" s="79">
        <f>IF(AN1418="","",IF(AND(N1418&gt;0, AG1418&gt;0), IF(Configuración!$K$2="NO", "ALERTA: DESCUENTO DOBLE NO PERMITIDO", "OK"), "OK"))</f>
        <v/>
      </c>
      <c r="AR1418" s="79">
        <f>IF(AN1418="","",IF(OR(AO1418&lt;&gt;"OK", AP1418&lt;&gt;"OK", AQ1418&lt;&gt;"OK"), "⚠️ REVISAR", "OK"))</f>
        <v/>
      </c>
    </row>
    <row r="1419">
      <c r="A1419" s="79">
        <f>IF('Ordenes_Odoo'!A1419="","",'Ordenes_Odoo'!A1419)</f>
        <v/>
      </c>
      <c r="B1419" s="80">
        <f>IF('Ordenes_Odoo'!B1419="","",'Ordenes_Odoo'!B1419)</f>
        <v/>
      </c>
      <c r="C1419" s="79">
        <f>IF('Ordenes_Odoo'!C1419="","",'Ordenes_Odoo'!C1419)</f>
        <v/>
      </c>
      <c r="D1419" s="79">
        <f>IF('Ordenes_Odoo'!D1419="","",'Ordenes_Odoo'!D1419)</f>
        <v/>
      </c>
      <c r="E1419" s="79">
        <f>IF('Ordenes_Odoo'!E1419="","",'Ordenes_Odoo'!E1419)</f>
        <v/>
      </c>
      <c r="F1419" s="79">
        <f>IF('Ordenes_Odoo'!F1419="","",'Ordenes_Odoo'!F1419)</f>
        <v/>
      </c>
      <c r="G1419" s="79">
        <f>IF('Ordenes_Odoo'!G1419="","",'Ordenes_Odoo'!G1419)</f>
        <v/>
      </c>
      <c r="H1419" s="79">
        <f>IF('Ordenes_Odoo'!H1419="","",'Ordenes_Odoo'!H1419)</f>
        <v/>
      </c>
      <c r="I1419" s="79">
        <f>IF('Ordenes_Odoo'!I1419="","",'Ordenes_Odoo'!I1419)</f>
        <v/>
      </c>
      <c r="J1419" s="79">
        <f>IF('Ordenes_Odoo'!J1419="","",'Ordenes_Odoo'!J1419)</f>
        <v/>
      </c>
      <c r="K1419" s="81">
        <f>IF('Ordenes_Odoo'!K1419="","",'Ordenes_Odoo'!K1419)</f>
        <v/>
      </c>
      <c r="L1419" s="81">
        <f>IF('Ordenes_Odoo'!L1419="","",'Ordenes_Odoo'!L1419)</f>
        <v/>
      </c>
      <c r="M1419" s="79">
        <f>IF('Ordenes_Odoo'!M1419="","",'Ordenes_Odoo'!M1419)</f>
        <v/>
      </c>
      <c r="N1419" s="79">
        <f>IF('Ordenes_Odoo'!N1419="","",'Ordenes_Odoo'!N1419)</f>
        <v/>
      </c>
      <c r="O1419" s="81">
        <f>IF('Ordenes_Odoo'!O1419="","",'Ordenes_Odoo'!O1419)</f>
        <v/>
      </c>
      <c r="P1419" s="81">
        <f>IF('Ordenes_Odoo'!P1419="","",'Ordenes_Odoo'!P1419)</f>
        <v/>
      </c>
      <c r="Q1419" s="79">
        <f>IF(A1419="","",IFERROR(INDEX(Facturas_Odoo!$B:$B, MATCH(A1419, Facturas_Odoo!$D:$D, 0)), "Sin Factura"))</f>
        <v/>
      </c>
      <c r="R1419" s="80">
        <f>IF(Q1419="Sin Factura","",IFERROR(INDEX(Facturas_Odoo!$A:$A, MATCH(Q1419, Facturas_Odoo!$B:$B, 0)), ""))</f>
        <v/>
      </c>
      <c r="S1419" s="79">
        <f>IF(Q1419="Sin Factura","",IFERROR(_xlfn.XLOOKUP(1, (Facturas_Odoo!$D:$D=A1419) * (Facturas_Odoo!$K:$K=I1419), Facturas_Odoo!$L:$L, ""), ""))</f>
        <v/>
      </c>
      <c r="T1419" s="81">
        <f>IF(Q1419="Sin Factura",0,IFERROR(_xlfn.XLOOKUP(1, (Facturas_Odoo!$D:$D=A1419) * (Facturas_Odoo!$K:$K=I1419), Facturas_Odoo!$M:$M, 0), 0))</f>
        <v/>
      </c>
      <c r="U1419" s="79">
        <f>IF(Q1419="Sin Factura",0,IFERROR(_xlfn.XLOOKUP(1, (Facturas_Odoo!$D:$D=A1419) * (Facturas_Odoo!$K:$K=I1419), Facturas_Odoo!$N:$N, 0), 0))</f>
        <v/>
      </c>
      <c r="V1419" s="79">
        <f>IF(Q1419="Sin Factura",0,IFERROR(_xlfn.XLOOKUP(1, (Facturas_Odoo!$D:$D=A1419) * (Facturas_Odoo!$K:$K=I1419), Facturas_Odoo!$O:$O, 0), 0))</f>
        <v/>
      </c>
      <c r="W1419" s="81">
        <f>IF(Q1419="Sin Factura",0,IFERROR(_xlfn.XLOOKUP(1, (Facturas_Odoo!$D:$D=A1419) * (Facturas_Odoo!$K:$K=I1419), Facturas_Odoo!$Q:$Q, 0), 0))</f>
        <v/>
      </c>
      <c r="X1419" s="79">
        <f>IF(OR(Q1419="Sin Factura",Q1419=""),"",IFERROR(INDEX(Pagos_Odoo!$B:$B, MATCH(Q1419, Pagos_Odoo!$I:$I, 0)), "Sin Pago"))</f>
        <v/>
      </c>
      <c r="Y1419" s="79">
        <f>IF(X1419="Sin Pago","",IFERROR(INDEX(Pagos_Odoo!$C:$C, MATCH(X1419, Pagos_Odoo!$B:$B, 0)), ""))</f>
        <v/>
      </c>
      <c r="Z1419" s="80">
        <f>IF(X1419="Sin Pago","",IFERROR(INDEX(Pagos_Odoo!$A:$A, MATCH(X1419, Pagos_Odoo!$B:$B, 0)), ""))</f>
        <v/>
      </c>
      <c r="AA1419" s="79">
        <f>IF(X1419="Sin Pago","",IFERROR(INDEX(Pagos_Odoo!$F:$F, MATCH(X1419, Pagos_Odoo!$B:$B, 0)), ""))</f>
        <v/>
      </c>
      <c r="AB1419" s="81">
        <f>IF(X1419="Sin Pago",0,IFERROR(INDEX(Pagos_Odoo!$E:$E, MATCH(X1419, Pagos_Odoo!$B:$B, 0)), 0))</f>
        <v/>
      </c>
      <c r="AC1419" s="79">
        <f>IF(X1419="Sin Pago","",IFERROR(INDEX(Pagos_Odoo!$G:$G, MATCH(X1419, Pagos_Odoo!$B:$B, 0)), ""))</f>
        <v/>
      </c>
      <c r="AD1419" s="82" t="n">
        <v>0</v>
      </c>
      <c r="AE1419" s="82" t="n"/>
      <c r="AF1419" s="82" t="n"/>
      <c r="AG1419" s="82">
        <f>IF(AN1419="","",AD1419+AE1419+AF1419)</f>
        <v/>
      </c>
      <c r="AH1419" s="81">
        <f>IF(AN1419="","",P1419*(1-AG1419))</f>
        <v/>
      </c>
      <c r="AI1419" s="81">
        <f>IF(AN1419="","",IF(Q1419="Sin Factura",0,IFERROR(INDEX(Facturas_Odoo!$H:$H, MATCH(Q1419, Facturas_Odoo!$B:$B, 0)), 0)*(1-AG1419)))</f>
        <v/>
      </c>
      <c r="AJ1419" s="81">
        <f>IF(AN1419="","",_xlfn.LET(idVenta, AN1419&amp;"",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19" s="81">
        <f>IF(AN1419="","",AH1419-AJ1419)</f>
        <v/>
      </c>
      <c r="AL1419" s="81">
        <f>IF(AN1419="","",IF(Q1419="Sin Factura","",AI1419-AJ1419))</f>
        <v/>
      </c>
      <c r="AM1419" s="81">
        <f>IF(AN1419="","",IF(Q1419="Sin Factura",0,P1419-IFERROR(INDEX(Facturas_Odoo!$H:$H, MATCH(Q1419, Facturas_Odoo!$B:$B, 0)), 0)))</f>
        <v/>
      </c>
      <c r="AN1419" s="79">
        <f>IF(AND(A1419="", J1419=""), "", IF(A1419&lt;&gt;"", VALUE(MID(A1419,2,LEN(A1419))), AN1418))</f>
        <v/>
      </c>
      <c r="AO1419" s="79">
        <f>IF(AN1419="","",IF(AD1419=0,"OK",_xlfn.LET(monedaPago, IF(AA1419="","USD",AA1419), limitePermitido, IFERROR(VLOOKUP(monedaPago, Configuración!$A$2:$B$3, 2, FALSE), 0.15), IF(AD1419&gt;limitePermitido, "ALERTA: EXCESO (" &amp; TEXT(limitePermitido, "0%") &amp; " máx)", "OK"))))</f>
        <v/>
      </c>
      <c r="AP1419" s="79">
        <f>IF(AN1419="","",IF(AE1419=0,"OK",_xlfn.LET(fechaPago, Z1419, fechaFactura, R1419, diasCredito, IF(E1419="Pago inmediato", 0, IFERROR(VALUE(MID(E1419, 1, SEARCH(" ", E1419)-1)),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19" s="79">
        <f>IF(AN1419="","",IF(AND(N1419&gt;0, AG1419&gt;0), IF(Configuración!$K$2="NO", "ALERTA: DESCUENTO DOBLE NO PERMITIDO", "OK"), "OK"))</f>
        <v/>
      </c>
      <c r="AR1419" s="79">
        <f>IF(AN1419="","",IF(OR(AO1419&lt;&gt;"OK", AP1419&lt;&gt;"OK", AQ1419&lt;&gt;"OK"), "⚠️ REVISAR", "OK"))</f>
        <v/>
      </c>
    </row>
    <row r="1420">
      <c r="A1420" s="79">
        <f>IF('Ordenes_Odoo'!A1420="","",'Ordenes_Odoo'!A1420)</f>
        <v/>
      </c>
      <c r="B1420" s="80">
        <f>IF('Ordenes_Odoo'!B1420="","",'Ordenes_Odoo'!B1420)</f>
        <v/>
      </c>
      <c r="C1420" s="79">
        <f>IF('Ordenes_Odoo'!C1420="","",'Ordenes_Odoo'!C1420)</f>
        <v/>
      </c>
      <c r="D1420" s="79">
        <f>IF('Ordenes_Odoo'!D1420="","",'Ordenes_Odoo'!D1420)</f>
        <v/>
      </c>
      <c r="E1420" s="79">
        <f>IF('Ordenes_Odoo'!E1420="","",'Ordenes_Odoo'!E1420)</f>
        <v/>
      </c>
      <c r="F1420" s="79">
        <f>IF('Ordenes_Odoo'!F1420="","",'Ordenes_Odoo'!F1420)</f>
        <v/>
      </c>
      <c r="G1420" s="79">
        <f>IF('Ordenes_Odoo'!G1420="","",'Ordenes_Odoo'!G1420)</f>
        <v/>
      </c>
      <c r="H1420" s="79">
        <f>IF('Ordenes_Odoo'!H1420="","",'Ordenes_Odoo'!H1420)</f>
        <v/>
      </c>
      <c r="I1420" s="79">
        <f>IF('Ordenes_Odoo'!I1420="","",'Ordenes_Odoo'!I1420)</f>
        <v/>
      </c>
      <c r="J1420" s="79">
        <f>IF('Ordenes_Odoo'!J1420="","",'Ordenes_Odoo'!J1420)</f>
        <v/>
      </c>
      <c r="K1420" s="81">
        <f>IF('Ordenes_Odoo'!K1420="","",'Ordenes_Odoo'!K1420)</f>
        <v/>
      </c>
      <c r="L1420" s="81">
        <f>IF('Ordenes_Odoo'!L1420="","",'Ordenes_Odoo'!L1420)</f>
        <v/>
      </c>
      <c r="M1420" s="79">
        <f>IF('Ordenes_Odoo'!M1420="","",'Ordenes_Odoo'!M1420)</f>
        <v/>
      </c>
      <c r="N1420" s="79">
        <f>IF('Ordenes_Odoo'!N1420="","",'Ordenes_Odoo'!N1420)</f>
        <v/>
      </c>
      <c r="O1420" s="81">
        <f>IF('Ordenes_Odoo'!O1420="","",'Ordenes_Odoo'!O1420)</f>
        <v/>
      </c>
      <c r="P1420" s="81">
        <f>IF('Ordenes_Odoo'!P1420="","",'Ordenes_Odoo'!P1420)</f>
        <v/>
      </c>
      <c r="Q1420" s="79">
        <f>IF(A1420="","",IFERROR(INDEX(Facturas_Odoo!$B:$B, MATCH(A1420, Facturas_Odoo!$D:$D, 0)), "Sin Factura"))</f>
        <v/>
      </c>
      <c r="R1420" s="80">
        <f>IF(Q1420="Sin Factura","",IFERROR(INDEX(Facturas_Odoo!$A:$A, MATCH(Q1420, Facturas_Odoo!$B:$B, 0)), ""))</f>
        <v/>
      </c>
      <c r="S1420" s="79">
        <f>IF(Q1420="Sin Factura","",IFERROR(_xlfn.XLOOKUP(1, (Facturas_Odoo!$D:$D=A1420) * (Facturas_Odoo!$K:$K=I1420), Facturas_Odoo!$L:$L, ""), ""))</f>
        <v/>
      </c>
      <c r="T1420" s="81">
        <f>IF(Q1420="Sin Factura",0,IFERROR(_xlfn.XLOOKUP(1, (Facturas_Odoo!$D:$D=A1420) * (Facturas_Odoo!$K:$K=I1420), Facturas_Odoo!$M:$M, 0), 0))</f>
        <v/>
      </c>
      <c r="U1420" s="79">
        <f>IF(Q1420="Sin Factura",0,IFERROR(_xlfn.XLOOKUP(1, (Facturas_Odoo!$D:$D=A1420) * (Facturas_Odoo!$K:$K=I1420), Facturas_Odoo!$N:$N, 0), 0))</f>
        <v/>
      </c>
      <c r="V1420" s="79">
        <f>IF(Q1420="Sin Factura",0,IFERROR(_xlfn.XLOOKUP(1, (Facturas_Odoo!$D:$D=A1420) * (Facturas_Odoo!$K:$K=I1420), Facturas_Odoo!$O:$O, 0), 0))</f>
        <v/>
      </c>
      <c r="W1420" s="81">
        <f>IF(Q1420="Sin Factura",0,IFERROR(_xlfn.XLOOKUP(1, (Facturas_Odoo!$D:$D=A1420) * (Facturas_Odoo!$K:$K=I1420), Facturas_Odoo!$Q:$Q, 0), 0))</f>
        <v/>
      </c>
      <c r="X1420" s="79">
        <f>IF(OR(Q1420="Sin Factura",Q1420=""),"",IFERROR(INDEX(Pagos_Odoo!$B:$B, MATCH(Q1420, Pagos_Odoo!$I:$I, 0)), "Sin Pago"))</f>
        <v/>
      </c>
      <c r="Y1420" s="79">
        <f>IF(X1420="Sin Pago","",IFERROR(INDEX(Pagos_Odoo!$C:$C, MATCH(X1420, Pagos_Odoo!$B:$B, 0)), ""))</f>
        <v/>
      </c>
      <c r="Z1420" s="80">
        <f>IF(X1420="Sin Pago","",IFERROR(INDEX(Pagos_Odoo!$A:$A, MATCH(X1420, Pagos_Odoo!$B:$B, 0)), ""))</f>
        <v/>
      </c>
      <c r="AA1420" s="79">
        <f>IF(X1420="Sin Pago","",IFERROR(INDEX(Pagos_Odoo!$F:$F, MATCH(X1420, Pagos_Odoo!$B:$B, 0)), ""))</f>
        <v/>
      </c>
      <c r="AB1420" s="81">
        <f>IF(X1420="Sin Pago",0,IFERROR(INDEX(Pagos_Odoo!$E:$E, MATCH(X1420, Pagos_Odoo!$B:$B, 0)), 0))</f>
        <v/>
      </c>
      <c r="AC1420" s="79">
        <f>IF(X1420="Sin Pago","",IFERROR(INDEX(Pagos_Odoo!$G:$G, MATCH(X1420, Pagos_Odoo!$B:$B, 0)), ""))</f>
        <v/>
      </c>
      <c r="AD1420" s="82" t="n">
        <v>0</v>
      </c>
      <c r="AE1420" s="82" t="n"/>
      <c r="AF1420" s="82" t="n"/>
      <c r="AG1420" s="82">
        <f>IF(AN1420="","",AD1420+AE1420+AF1420)</f>
        <v/>
      </c>
      <c r="AH1420" s="81">
        <f>IF(AN1420="","",P1420*(1-AG1420))</f>
        <v/>
      </c>
      <c r="AI1420" s="81">
        <f>IF(AN1420="","",IF(Q1420="Sin Factura",0,IFERROR(INDEX(Facturas_Odoo!$H:$H, MATCH(Q1420, Facturas_Odoo!$B:$B, 0)), 0)*(1-AG1420)))</f>
        <v/>
      </c>
      <c r="AJ1420" s="81">
        <f>IF(AN1420="","",_xlfn.LET(idVenta, AN1420&amp;"",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20" s="81">
        <f>IF(AN1420="","",AH1420-AJ1420)</f>
        <v/>
      </c>
      <c r="AL1420" s="81">
        <f>IF(AN1420="","",IF(Q1420="Sin Factura","",AI1420-AJ1420))</f>
        <v/>
      </c>
      <c r="AM1420" s="81">
        <f>IF(AN1420="","",IF(Q1420="Sin Factura",0,P1420-IFERROR(INDEX(Facturas_Odoo!$H:$H, MATCH(Q1420, Facturas_Odoo!$B:$B, 0)), 0)))</f>
        <v/>
      </c>
      <c r="AN1420" s="79">
        <f>IF(AND(A1420="", J1420=""), "", IF(A1420&lt;&gt;"", VALUE(MID(A1420,2,LEN(A1420))), AN1419))</f>
        <v/>
      </c>
      <c r="AO1420" s="79">
        <f>IF(AN1420="","",IF(AD1420=0,"OK",_xlfn.LET(monedaPago, IF(AA1420="","USD",AA1420), limitePermitido, IFERROR(VLOOKUP(monedaPago, Configuración!$A$2:$B$3, 2, FALSE), 0.15), IF(AD1420&gt;limitePermitido, "ALERTA: EXCESO (" &amp; TEXT(limitePermitido, "0%") &amp; " máx)", "OK"))))</f>
        <v/>
      </c>
      <c r="AP1420" s="79">
        <f>IF(AN1420="","",IF(AE1420=0,"OK",_xlfn.LET(fechaPago, Z1420, fechaFactura, R1420, diasCredito, IF(E1420="Pago inmediato", 0, IFERROR(VALUE(MID(E1420, 1, SEARCH(" ", E1420)-1)),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20" s="79">
        <f>IF(AN1420="","",IF(AND(N1420&gt;0, AG1420&gt;0), IF(Configuración!$K$2="NO", "ALERTA: DESCUENTO DOBLE NO PERMITIDO", "OK"), "OK"))</f>
        <v/>
      </c>
      <c r="AR1420" s="79">
        <f>IF(AN1420="","",IF(OR(AO1420&lt;&gt;"OK", AP1420&lt;&gt;"OK", AQ1420&lt;&gt;"OK"), "⚠️ REVISAR", "OK"))</f>
        <v/>
      </c>
    </row>
    <row r="1421">
      <c r="A1421" s="79">
        <f>IF('Ordenes_Odoo'!A1421="","",'Ordenes_Odoo'!A1421)</f>
        <v/>
      </c>
      <c r="B1421" s="80">
        <f>IF('Ordenes_Odoo'!B1421="","",'Ordenes_Odoo'!B1421)</f>
        <v/>
      </c>
      <c r="C1421" s="79">
        <f>IF('Ordenes_Odoo'!C1421="","",'Ordenes_Odoo'!C1421)</f>
        <v/>
      </c>
      <c r="D1421" s="79">
        <f>IF('Ordenes_Odoo'!D1421="","",'Ordenes_Odoo'!D1421)</f>
        <v/>
      </c>
      <c r="E1421" s="79">
        <f>IF('Ordenes_Odoo'!E1421="","",'Ordenes_Odoo'!E1421)</f>
        <v/>
      </c>
      <c r="F1421" s="79">
        <f>IF('Ordenes_Odoo'!F1421="","",'Ordenes_Odoo'!F1421)</f>
        <v/>
      </c>
      <c r="G1421" s="79">
        <f>IF('Ordenes_Odoo'!G1421="","",'Ordenes_Odoo'!G1421)</f>
        <v/>
      </c>
      <c r="H1421" s="79">
        <f>IF('Ordenes_Odoo'!H1421="","",'Ordenes_Odoo'!H1421)</f>
        <v/>
      </c>
      <c r="I1421" s="79">
        <f>IF('Ordenes_Odoo'!I1421="","",'Ordenes_Odoo'!I1421)</f>
        <v/>
      </c>
      <c r="J1421" s="79">
        <f>IF('Ordenes_Odoo'!J1421="","",'Ordenes_Odoo'!J1421)</f>
        <v/>
      </c>
      <c r="K1421" s="81">
        <f>IF('Ordenes_Odoo'!K1421="","",'Ordenes_Odoo'!K1421)</f>
        <v/>
      </c>
      <c r="L1421" s="81">
        <f>IF('Ordenes_Odoo'!L1421="","",'Ordenes_Odoo'!L1421)</f>
        <v/>
      </c>
      <c r="M1421" s="79">
        <f>IF('Ordenes_Odoo'!M1421="","",'Ordenes_Odoo'!M1421)</f>
        <v/>
      </c>
      <c r="N1421" s="79">
        <f>IF('Ordenes_Odoo'!N1421="","",'Ordenes_Odoo'!N1421)</f>
        <v/>
      </c>
      <c r="O1421" s="81">
        <f>IF('Ordenes_Odoo'!O1421="","",'Ordenes_Odoo'!O1421)</f>
        <v/>
      </c>
      <c r="P1421" s="81">
        <f>IF('Ordenes_Odoo'!P1421="","",'Ordenes_Odoo'!P1421)</f>
        <v/>
      </c>
      <c r="Q1421" s="79">
        <f>IF(A1421="","",IFERROR(INDEX(Facturas_Odoo!$B:$B, MATCH(A1421, Facturas_Odoo!$D:$D, 0)), "Sin Factura"))</f>
        <v/>
      </c>
      <c r="R1421" s="80">
        <f>IF(Q1421="Sin Factura","",IFERROR(INDEX(Facturas_Odoo!$A:$A, MATCH(Q1421, Facturas_Odoo!$B:$B, 0)), ""))</f>
        <v/>
      </c>
      <c r="S1421" s="79">
        <f>IF(Q1421="Sin Factura","",IFERROR(_xlfn.XLOOKUP(1, (Facturas_Odoo!$D:$D=A1421) * (Facturas_Odoo!$K:$K=I1421), Facturas_Odoo!$L:$L, ""), ""))</f>
        <v/>
      </c>
      <c r="T1421" s="81">
        <f>IF(Q1421="Sin Factura",0,IFERROR(_xlfn.XLOOKUP(1, (Facturas_Odoo!$D:$D=A1421) * (Facturas_Odoo!$K:$K=I1421), Facturas_Odoo!$M:$M, 0), 0))</f>
        <v/>
      </c>
      <c r="U1421" s="79">
        <f>IF(Q1421="Sin Factura",0,IFERROR(_xlfn.XLOOKUP(1, (Facturas_Odoo!$D:$D=A1421) * (Facturas_Odoo!$K:$K=I1421), Facturas_Odoo!$N:$N, 0), 0))</f>
        <v/>
      </c>
      <c r="V1421" s="79">
        <f>IF(Q1421="Sin Factura",0,IFERROR(_xlfn.XLOOKUP(1, (Facturas_Odoo!$D:$D=A1421) * (Facturas_Odoo!$K:$K=I1421), Facturas_Odoo!$O:$O, 0), 0))</f>
        <v/>
      </c>
      <c r="W1421" s="81">
        <f>IF(Q1421="Sin Factura",0,IFERROR(_xlfn.XLOOKUP(1, (Facturas_Odoo!$D:$D=A1421) * (Facturas_Odoo!$K:$K=I1421), Facturas_Odoo!$Q:$Q, 0), 0))</f>
        <v/>
      </c>
      <c r="X1421" s="79">
        <f>IF(OR(Q1421="Sin Factura",Q1421=""),"",IFERROR(INDEX(Pagos_Odoo!$B:$B, MATCH(Q1421, Pagos_Odoo!$I:$I, 0)), "Sin Pago"))</f>
        <v/>
      </c>
      <c r="Y1421" s="79">
        <f>IF(X1421="Sin Pago","",IFERROR(INDEX(Pagos_Odoo!$C:$C, MATCH(X1421, Pagos_Odoo!$B:$B, 0)), ""))</f>
        <v/>
      </c>
      <c r="Z1421" s="80">
        <f>IF(X1421="Sin Pago","",IFERROR(INDEX(Pagos_Odoo!$A:$A, MATCH(X1421, Pagos_Odoo!$B:$B, 0)), ""))</f>
        <v/>
      </c>
      <c r="AA1421" s="79">
        <f>IF(X1421="Sin Pago","",IFERROR(INDEX(Pagos_Odoo!$F:$F, MATCH(X1421, Pagos_Odoo!$B:$B, 0)), ""))</f>
        <v/>
      </c>
      <c r="AB1421" s="81">
        <f>IF(X1421="Sin Pago",0,IFERROR(INDEX(Pagos_Odoo!$E:$E, MATCH(X1421, Pagos_Odoo!$B:$B, 0)), 0))</f>
        <v/>
      </c>
      <c r="AC1421" s="79">
        <f>IF(X1421="Sin Pago","",IFERROR(INDEX(Pagos_Odoo!$G:$G, MATCH(X1421, Pagos_Odoo!$B:$B, 0)), ""))</f>
        <v/>
      </c>
      <c r="AD1421" s="82" t="n">
        <v>0</v>
      </c>
      <c r="AE1421" s="82" t="n"/>
      <c r="AF1421" s="82" t="n"/>
      <c r="AG1421" s="82">
        <f>IF(AN1421="","",AD1421+AE1421+AF1421)</f>
        <v/>
      </c>
      <c r="AH1421" s="81">
        <f>IF(AN1421="","",P1421*(1-AG1421))</f>
        <v/>
      </c>
      <c r="AI1421" s="81">
        <f>IF(AN1421="","",IF(Q1421="Sin Factura",0,IFERROR(INDEX(Facturas_Odoo!$H:$H, MATCH(Q1421, Facturas_Odoo!$B:$B, 0)), 0)*(1-AG1421)))</f>
        <v/>
      </c>
      <c r="AJ1421" s="81">
        <f>IF(AN1421="","",_xlfn.LET(idVenta, AN1421&amp;"",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21" s="81">
        <f>IF(AN1421="","",AH1421-AJ1421)</f>
        <v/>
      </c>
      <c r="AL1421" s="81">
        <f>IF(AN1421="","",IF(Q1421="Sin Factura","",AI1421-AJ1421))</f>
        <v/>
      </c>
      <c r="AM1421" s="81">
        <f>IF(AN1421="","",IF(Q1421="Sin Factura",0,P1421-IFERROR(INDEX(Facturas_Odoo!$H:$H, MATCH(Q1421, Facturas_Odoo!$B:$B, 0)), 0)))</f>
        <v/>
      </c>
      <c r="AN1421" s="79">
        <f>IF(AND(A1421="", J1421=""), "", IF(A1421&lt;&gt;"", VALUE(MID(A1421,2,LEN(A1421))), AN1420))</f>
        <v/>
      </c>
      <c r="AO1421" s="79">
        <f>IF(AN1421="","",IF(AD1421=0,"OK",_xlfn.LET(monedaPago, IF(AA1421="","USD",AA1421), limitePermitido, IFERROR(VLOOKUP(monedaPago, Configuración!$A$2:$B$3, 2, FALSE), 0.15), IF(AD1421&gt;limitePermitido, "ALERTA: EXCESO (" &amp; TEXT(limitePermitido, "0%") &amp; " máx)", "OK"))))</f>
        <v/>
      </c>
      <c r="AP1421" s="79">
        <f>IF(AN1421="","",IF(AE1421=0,"OK",_xlfn.LET(fechaPago, Z1421, fechaFactura, R1421, diasCredito, IF(E1421="Pago inmediato", 0, IFERROR(VALUE(MID(E1421, 1, SEARCH(" ", E1421)-1)),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21" s="79">
        <f>IF(AN1421="","",IF(AND(N1421&gt;0, AG1421&gt;0), IF(Configuración!$K$2="NO", "ALERTA: DESCUENTO DOBLE NO PERMITIDO", "OK"), "OK"))</f>
        <v/>
      </c>
      <c r="AR1421" s="79">
        <f>IF(AN1421="","",IF(OR(AO1421&lt;&gt;"OK", AP1421&lt;&gt;"OK", AQ1421&lt;&gt;"OK"), "⚠️ REVISAR", "OK"))</f>
        <v/>
      </c>
    </row>
    <row r="1422">
      <c r="A1422" s="79">
        <f>IF('Ordenes_Odoo'!A1422="","",'Ordenes_Odoo'!A1422)</f>
        <v/>
      </c>
      <c r="B1422" s="80">
        <f>IF('Ordenes_Odoo'!B1422="","",'Ordenes_Odoo'!B1422)</f>
        <v/>
      </c>
      <c r="C1422" s="79">
        <f>IF('Ordenes_Odoo'!C1422="","",'Ordenes_Odoo'!C1422)</f>
        <v/>
      </c>
      <c r="D1422" s="79">
        <f>IF('Ordenes_Odoo'!D1422="","",'Ordenes_Odoo'!D1422)</f>
        <v/>
      </c>
      <c r="E1422" s="79">
        <f>IF('Ordenes_Odoo'!E1422="","",'Ordenes_Odoo'!E1422)</f>
        <v/>
      </c>
      <c r="F1422" s="79">
        <f>IF('Ordenes_Odoo'!F1422="","",'Ordenes_Odoo'!F1422)</f>
        <v/>
      </c>
      <c r="G1422" s="79">
        <f>IF('Ordenes_Odoo'!G1422="","",'Ordenes_Odoo'!G1422)</f>
        <v/>
      </c>
      <c r="H1422" s="79">
        <f>IF('Ordenes_Odoo'!H1422="","",'Ordenes_Odoo'!H1422)</f>
        <v/>
      </c>
      <c r="I1422" s="79">
        <f>IF('Ordenes_Odoo'!I1422="","",'Ordenes_Odoo'!I1422)</f>
        <v/>
      </c>
      <c r="J1422" s="79">
        <f>IF('Ordenes_Odoo'!J1422="","",'Ordenes_Odoo'!J1422)</f>
        <v/>
      </c>
      <c r="K1422" s="81">
        <f>IF('Ordenes_Odoo'!K1422="","",'Ordenes_Odoo'!K1422)</f>
        <v/>
      </c>
      <c r="L1422" s="81">
        <f>IF('Ordenes_Odoo'!L1422="","",'Ordenes_Odoo'!L1422)</f>
        <v/>
      </c>
      <c r="M1422" s="79">
        <f>IF('Ordenes_Odoo'!M1422="","",'Ordenes_Odoo'!M1422)</f>
        <v/>
      </c>
      <c r="N1422" s="79">
        <f>IF('Ordenes_Odoo'!N1422="","",'Ordenes_Odoo'!N1422)</f>
        <v/>
      </c>
      <c r="O1422" s="81">
        <f>IF('Ordenes_Odoo'!O1422="","",'Ordenes_Odoo'!O1422)</f>
        <v/>
      </c>
      <c r="P1422" s="81">
        <f>IF('Ordenes_Odoo'!P1422="","",'Ordenes_Odoo'!P1422)</f>
        <v/>
      </c>
      <c r="Q1422" s="79">
        <f>IF(A1422="","",IFERROR(INDEX(Facturas_Odoo!$B:$B, MATCH(A1422, Facturas_Odoo!$D:$D, 0)), "Sin Factura"))</f>
        <v/>
      </c>
      <c r="R1422" s="80">
        <f>IF(Q1422="Sin Factura","",IFERROR(INDEX(Facturas_Odoo!$A:$A, MATCH(Q1422, Facturas_Odoo!$B:$B, 0)), ""))</f>
        <v/>
      </c>
      <c r="S1422" s="79">
        <f>IF(Q1422="Sin Factura","",IFERROR(_xlfn.XLOOKUP(1, (Facturas_Odoo!$D:$D=A1422) * (Facturas_Odoo!$K:$K=I1422), Facturas_Odoo!$L:$L, ""), ""))</f>
        <v/>
      </c>
      <c r="T1422" s="81">
        <f>IF(Q1422="Sin Factura",0,IFERROR(_xlfn.XLOOKUP(1, (Facturas_Odoo!$D:$D=A1422) * (Facturas_Odoo!$K:$K=I1422), Facturas_Odoo!$M:$M, 0), 0))</f>
        <v/>
      </c>
      <c r="U1422" s="79">
        <f>IF(Q1422="Sin Factura",0,IFERROR(_xlfn.XLOOKUP(1, (Facturas_Odoo!$D:$D=A1422) * (Facturas_Odoo!$K:$K=I1422), Facturas_Odoo!$N:$N, 0), 0))</f>
        <v/>
      </c>
      <c r="V1422" s="79">
        <f>IF(Q1422="Sin Factura",0,IFERROR(_xlfn.XLOOKUP(1, (Facturas_Odoo!$D:$D=A1422) * (Facturas_Odoo!$K:$K=I1422), Facturas_Odoo!$O:$O, 0), 0))</f>
        <v/>
      </c>
      <c r="W1422" s="81">
        <f>IF(Q1422="Sin Factura",0,IFERROR(_xlfn.XLOOKUP(1, (Facturas_Odoo!$D:$D=A1422) * (Facturas_Odoo!$K:$K=I1422), Facturas_Odoo!$Q:$Q, 0), 0))</f>
        <v/>
      </c>
      <c r="X1422" s="79">
        <f>IF(OR(Q1422="Sin Factura",Q1422=""),"",IFERROR(INDEX(Pagos_Odoo!$B:$B, MATCH(Q1422, Pagos_Odoo!$I:$I, 0)), "Sin Pago"))</f>
        <v/>
      </c>
      <c r="Y1422" s="79">
        <f>IF(X1422="Sin Pago","",IFERROR(INDEX(Pagos_Odoo!$C:$C, MATCH(X1422, Pagos_Odoo!$B:$B, 0)), ""))</f>
        <v/>
      </c>
      <c r="Z1422" s="80">
        <f>IF(X1422="Sin Pago","",IFERROR(INDEX(Pagos_Odoo!$A:$A, MATCH(X1422, Pagos_Odoo!$B:$B, 0)), ""))</f>
        <v/>
      </c>
      <c r="AA1422" s="79">
        <f>IF(X1422="Sin Pago","",IFERROR(INDEX(Pagos_Odoo!$F:$F, MATCH(X1422, Pagos_Odoo!$B:$B, 0)), ""))</f>
        <v/>
      </c>
      <c r="AB1422" s="81">
        <f>IF(X1422="Sin Pago",0,IFERROR(INDEX(Pagos_Odoo!$E:$E, MATCH(X1422, Pagos_Odoo!$B:$B, 0)), 0))</f>
        <v/>
      </c>
      <c r="AC1422" s="79">
        <f>IF(X1422="Sin Pago","",IFERROR(INDEX(Pagos_Odoo!$G:$G, MATCH(X1422, Pagos_Odoo!$B:$B, 0)), ""))</f>
        <v/>
      </c>
      <c r="AD1422" s="82" t="n">
        <v>0</v>
      </c>
      <c r="AE1422" s="82" t="n"/>
      <c r="AF1422" s="82" t="n"/>
      <c r="AG1422" s="82">
        <f>IF(AN1422="","",AD1422+AE1422+AF1422)</f>
        <v/>
      </c>
      <c r="AH1422" s="81">
        <f>IF(AN1422="","",P1422*(1-AG1422))</f>
        <v/>
      </c>
      <c r="AI1422" s="81">
        <f>IF(AN1422="","",IF(Q1422="Sin Factura",0,IFERROR(INDEX(Facturas_Odoo!$H:$H, MATCH(Q1422, Facturas_Odoo!$B:$B, 0)), 0)*(1-AG1422)))</f>
        <v/>
      </c>
      <c r="AJ1422" s="81">
        <f>IF(AN1422="","",_xlfn.LET(idVenta, AN1422&amp;"",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22" s="81">
        <f>IF(AN1422="","",AH1422-AJ1422)</f>
        <v/>
      </c>
      <c r="AL1422" s="81">
        <f>IF(AN1422="","",IF(Q1422="Sin Factura","",AI1422-AJ1422))</f>
        <v/>
      </c>
      <c r="AM1422" s="81">
        <f>IF(AN1422="","",IF(Q1422="Sin Factura",0,P1422-IFERROR(INDEX(Facturas_Odoo!$H:$H, MATCH(Q1422, Facturas_Odoo!$B:$B, 0)), 0)))</f>
        <v/>
      </c>
      <c r="AN1422" s="79">
        <f>IF(AND(A1422="", J1422=""), "", IF(A1422&lt;&gt;"", VALUE(MID(A1422,2,LEN(A1422))), AN1421))</f>
        <v/>
      </c>
      <c r="AO1422" s="79">
        <f>IF(AN1422="","",IF(AD1422=0,"OK",_xlfn.LET(monedaPago, IF(AA1422="","USD",AA1422), limitePermitido, IFERROR(VLOOKUP(monedaPago, Configuración!$A$2:$B$3, 2, FALSE), 0.15), IF(AD1422&gt;limitePermitido, "ALERTA: EXCESO (" &amp; TEXT(limitePermitido, "0%") &amp; " máx)", "OK"))))</f>
        <v/>
      </c>
      <c r="AP1422" s="79">
        <f>IF(AN1422="","",IF(AE1422=0,"OK",_xlfn.LET(fechaPago, Z1422, fechaFactura, R1422, diasCredito, IF(E1422="Pago inmediato", 0, IFERROR(VALUE(MID(E1422, 1, SEARCH(" ", E1422)-1)),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22" s="79">
        <f>IF(AN1422="","",IF(AND(N1422&gt;0, AG1422&gt;0), IF(Configuración!$K$2="NO", "ALERTA: DESCUENTO DOBLE NO PERMITIDO", "OK"), "OK"))</f>
        <v/>
      </c>
      <c r="AR1422" s="79">
        <f>IF(AN1422="","",IF(OR(AO1422&lt;&gt;"OK", AP1422&lt;&gt;"OK", AQ1422&lt;&gt;"OK"), "⚠️ REVISAR", "OK"))</f>
        <v/>
      </c>
    </row>
    <row r="1423">
      <c r="A1423" s="79">
        <f>IF('Ordenes_Odoo'!A1423="","",'Ordenes_Odoo'!A1423)</f>
        <v/>
      </c>
      <c r="B1423" s="80">
        <f>IF('Ordenes_Odoo'!B1423="","",'Ordenes_Odoo'!B1423)</f>
        <v/>
      </c>
      <c r="C1423" s="79">
        <f>IF('Ordenes_Odoo'!C1423="","",'Ordenes_Odoo'!C1423)</f>
        <v/>
      </c>
      <c r="D1423" s="79">
        <f>IF('Ordenes_Odoo'!D1423="","",'Ordenes_Odoo'!D1423)</f>
        <v/>
      </c>
      <c r="E1423" s="79">
        <f>IF('Ordenes_Odoo'!E1423="","",'Ordenes_Odoo'!E1423)</f>
        <v/>
      </c>
      <c r="F1423" s="79">
        <f>IF('Ordenes_Odoo'!F1423="","",'Ordenes_Odoo'!F1423)</f>
        <v/>
      </c>
      <c r="G1423" s="79">
        <f>IF('Ordenes_Odoo'!G1423="","",'Ordenes_Odoo'!G1423)</f>
        <v/>
      </c>
      <c r="H1423" s="79">
        <f>IF('Ordenes_Odoo'!H1423="","",'Ordenes_Odoo'!H1423)</f>
        <v/>
      </c>
      <c r="I1423" s="79">
        <f>IF('Ordenes_Odoo'!I1423="","",'Ordenes_Odoo'!I1423)</f>
        <v/>
      </c>
      <c r="J1423" s="79">
        <f>IF('Ordenes_Odoo'!J1423="","",'Ordenes_Odoo'!J1423)</f>
        <v/>
      </c>
      <c r="K1423" s="81">
        <f>IF('Ordenes_Odoo'!K1423="","",'Ordenes_Odoo'!K1423)</f>
        <v/>
      </c>
      <c r="L1423" s="81">
        <f>IF('Ordenes_Odoo'!L1423="","",'Ordenes_Odoo'!L1423)</f>
        <v/>
      </c>
      <c r="M1423" s="79">
        <f>IF('Ordenes_Odoo'!M1423="","",'Ordenes_Odoo'!M1423)</f>
        <v/>
      </c>
      <c r="N1423" s="79">
        <f>IF('Ordenes_Odoo'!N1423="","",'Ordenes_Odoo'!N1423)</f>
        <v/>
      </c>
      <c r="O1423" s="81">
        <f>IF('Ordenes_Odoo'!O1423="","",'Ordenes_Odoo'!O1423)</f>
        <v/>
      </c>
      <c r="P1423" s="81">
        <f>IF('Ordenes_Odoo'!P1423="","",'Ordenes_Odoo'!P1423)</f>
        <v/>
      </c>
      <c r="Q1423" s="79">
        <f>IF(A1423="","",IFERROR(INDEX(Facturas_Odoo!$B:$B, MATCH(A1423, Facturas_Odoo!$D:$D, 0)), "Sin Factura"))</f>
        <v/>
      </c>
      <c r="R1423" s="80">
        <f>IF(Q1423="Sin Factura","",IFERROR(INDEX(Facturas_Odoo!$A:$A, MATCH(Q1423, Facturas_Odoo!$B:$B, 0)), ""))</f>
        <v/>
      </c>
      <c r="S1423" s="79">
        <f>IF(Q1423="Sin Factura","",IFERROR(_xlfn.XLOOKUP(1, (Facturas_Odoo!$D:$D=A1423) * (Facturas_Odoo!$K:$K=I1423), Facturas_Odoo!$L:$L, ""), ""))</f>
        <v/>
      </c>
      <c r="T1423" s="81">
        <f>IF(Q1423="Sin Factura",0,IFERROR(_xlfn.XLOOKUP(1, (Facturas_Odoo!$D:$D=A1423) * (Facturas_Odoo!$K:$K=I1423), Facturas_Odoo!$M:$M, 0), 0))</f>
        <v/>
      </c>
      <c r="U1423" s="79">
        <f>IF(Q1423="Sin Factura",0,IFERROR(_xlfn.XLOOKUP(1, (Facturas_Odoo!$D:$D=A1423) * (Facturas_Odoo!$K:$K=I1423), Facturas_Odoo!$N:$N, 0), 0))</f>
        <v/>
      </c>
      <c r="V1423" s="79">
        <f>IF(Q1423="Sin Factura",0,IFERROR(_xlfn.XLOOKUP(1, (Facturas_Odoo!$D:$D=A1423) * (Facturas_Odoo!$K:$K=I1423), Facturas_Odoo!$O:$O, 0), 0))</f>
        <v/>
      </c>
      <c r="W1423" s="81">
        <f>IF(Q1423="Sin Factura",0,IFERROR(_xlfn.XLOOKUP(1, (Facturas_Odoo!$D:$D=A1423) * (Facturas_Odoo!$K:$K=I1423), Facturas_Odoo!$Q:$Q, 0), 0))</f>
        <v/>
      </c>
      <c r="X1423" s="79">
        <f>IF(OR(Q1423="Sin Factura",Q1423=""),"",IFERROR(INDEX(Pagos_Odoo!$B:$B, MATCH(Q1423, Pagos_Odoo!$I:$I, 0)), "Sin Pago"))</f>
        <v/>
      </c>
      <c r="Y1423" s="79">
        <f>IF(X1423="Sin Pago","",IFERROR(INDEX(Pagos_Odoo!$C:$C, MATCH(X1423, Pagos_Odoo!$B:$B, 0)), ""))</f>
        <v/>
      </c>
      <c r="Z1423" s="80">
        <f>IF(X1423="Sin Pago","",IFERROR(INDEX(Pagos_Odoo!$A:$A, MATCH(X1423, Pagos_Odoo!$B:$B, 0)), ""))</f>
        <v/>
      </c>
      <c r="AA1423" s="79">
        <f>IF(X1423="Sin Pago","",IFERROR(INDEX(Pagos_Odoo!$F:$F, MATCH(X1423, Pagos_Odoo!$B:$B, 0)), ""))</f>
        <v/>
      </c>
      <c r="AB1423" s="81">
        <f>IF(X1423="Sin Pago",0,IFERROR(INDEX(Pagos_Odoo!$E:$E, MATCH(X1423, Pagos_Odoo!$B:$B, 0)), 0))</f>
        <v/>
      </c>
      <c r="AC1423" s="79">
        <f>IF(X1423="Sin Pago","",IFERROR(INDEX(Pagos_Odoo!$G:$G, MATCH(X1423, Pagos_Odoo!$B:$B, 0)), ""))</f>
        <v/>
      </c>
      <c r="AD1423" s="82" t="n">
        <v>0</v>
      </c>
      <c r="AE1423" s="82" t="n"/>
      <c r="AF1423" s="82" t="n"/>
      <c r="AG1423" s="82">
        <f>IF(AN1423="","",AD1423+AE1423+AF1423)</f>
        <v/>
      </c>
      <c r="AH1423" s="81">
        <f>IF(AN1423="","",P1423*(1-AG1423))</f>
        <v/>
      </c>
      <c r="AI1423" s="81">
        <f>IF(AN1423="","",IF(Q1423="Sin Factura",0,IFERROR(INDEX(Facturas_Odoo!$H:$H, MATCH(Q1423, Facturas_Odoo!$B:$B, 0)), 0)*(1-AG1423)))</f>
        <v/>
      </c>
      <c r="AJ1423" s="81">
        <f>IF(AN1423="","",_xlfn.LET(idVenta, AN1423&amp;"",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23" s="81">
        <f>IF(AN1423="","",AH1423-AJ1423)</f>
        <v/>
      </c>
      <c r="AL1423" s="81">
        <f>IF(AN1423="","",IF(Q1423="Sin Factura","",AI1423-AJ1423))</f>
        <v/>
      </c>
      <c r="AM1423" s="81">
        <f>IF(AN1423="","",IF(Q1423="Sin Factura",0,P1423-IFERROR(INDEX(Facturas_Odoo!$H:$H, MATCH(Q1423, Facturas_Odoo!$B:$B, 0)), 0)))</f>
        <v/>
      </c>
      <c r="AN1423" s="79">
        <f>IF(AND(A1423="", J1423=""), "", IF(A1423&lt;&gt;"", VALUE(MID(A1423,2,LEN(A1423))), AN1422))</f>
        <v/>
      </c>
      <c r="AO1423" s="79">
        <f>IF(AN1423="","",IF(AD1423=0,"OK",_xlfn.LET(monedaPago, IF(AA1423="","USD",AA1423), limitePermitido, IFERROR(VLOOKUP(monedaPago, Configuración!$A$2:$B$3, 2, FALSE), 0.15), IF(AD1423&gt;limitePermitido, "ALERTA: EXCESO (" &amp; TEXT(limitePermitido, "0%") &amp; " máx)", "OK"))))</f>
        <v/>
      </c>
      <c r="AP1423" s="79">
        <f>IF(AN1423="","",IF(AE1423=0,"OK",_xlfn.LET(fechaPago, Z1423, fechaFactura, R1423, diasCredito, IF(E1423="Pago inmediato", 0, IFERROR(VALUE(MID(E1423, 1, SEARCH(" ", E1423)-1)),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23" s="79">
        <f>IF(AN1423="","",IF(AND(N1423&gt;0, AG1423&gt;0), IF(Configuración!$K$2="NO", "ALERTA: DESCUENTO DOBLE NO PERMITIDO", "OK"), "OK"))</f>
        <v/>
      </c>
      <c r="AR1423" s="79">
        <f>IF(AN1423="","",IF(OR(AO1423&lt;&gt;"OK", AP1423&lt;&gt;"OK", AQ1423&lt;&gt;"OK"), "⚠️ REVISAR", "OK"))</f>
        <v/>
      </c>
    </row>
    <row r="1424">
      <c r="A1424" s="79">
        <f>IF('Ordenes_Odoo'!A1424="","",'Ordenes_Odoo'!A1424)</f>
        <v/>
      </c>
      <c r="B1424" s="80">
        <f>IF('Ordenes_Odoo'!B1424="","",'Ordenes_Odoo'!B1424)</f>
        <v/>
      </c>
      <c r="C1424" s="79">
        <f>IF('Ordenes_Odoo'!C1424="","",'Ordenes_Odoo'!C1424)</f>
        <v/>
      </c>
      <c r="D1424" s="79">
        <f>IF('Ordenes_Odoo'!D1424="","",'Ordenes_Odoo'!D1424)</f>
        <v/>
      </c>
      <c r="E1424" s="79">
        <f>IF('Ordenes_Odoo'!E1424="","",'Ordenes_Odoo'!E1424)</f>
        <v/>
      </c>
      <c r="F1424" s="79">
        <f>IF('Ordenes_Odoo'!F1424="","",'Ordenes_Odoo'!F1424)</f>
        <v/>
      </c>
      <c r="G1424" s="79">
        <f>IF('Ordenes_Odoo'!G1424="","",'Ordenes_Odoo'!G1424)</f>
        <v/>
      </c>
      <c r="H1424" s="79">
        <f>IF('Ordenes_Odoo'!H1424="","",'Ordenes_Odoo'!H1424)</f>
        <v/>
      </c>
      <c r="I1424" s="79">
        <f>IF('Ordenes_Odoo'!I1424="","",'Ordenes_Odoo'!I1424)</f>
        <v/>
      </c>
      <c r="J1424" s="79">
        <f>IF('Ordenes_Odoo'!J1424="","",'Ordenes_Odoo'!J1424)</f>
        <v/>
      </c>
      <c r="K1424" s="81">
        <f>IF('Ordenes_Odoo'!K1424="","",'Ordenes_Odoo'!K1424)</f>
        <v/>
      </c>
      <c r="L1424" s="81">
        <f>IF('Ordenes_Odoo'!L1424="","",'Ordenes_Odoo'!L1424)</f>
        <v/>
      </c>
      <c r="M1424" s="79">
        <f>IF('Ordenes_Odoo'!M1424="","",'Ordenes_Odoo'!M1424)</f>
        <v/>
      </c>
      <c r="N1424" s="79">
        <f>IF('Ordenes_Odoo'!N1424="","",'Ordenes_Odoo'!N1424)</f>
        <v/>
      </c>
      <c r="O1424" s="81">
        <f>IF('Ordenes_Odoo'!O1424="","",'Ordenes_Odoo'!O1424)</f>
        <v/>
      </c>
      <c r="P1424" s="81">
        <f>IF('Ordenes_Odoo'!P1424="","",'Ordenes_Odoo'!P1424)</f>
        <v/>
      </c>
      <c r="Q1424" s="79">
        <f>IF(A1424="","",IFERROR(INDEX(Facturas_Odoo!$B:$B, MATCH(A1424, Facturas_Odoo!$D:$D, 0)), "Sin Factura"))</f>
        <v/>
      </c>
      <c r="R1424" s="80">
        <f>IF(Q1424="Sin Factura","",IFERROR(INDEX(Facturas_Odoo!$A:$A, MATCH(Q1424, Facturas_Odoo!$B:$B, 0)), ""))</f>
        <v/>
      </c>
      <c r="S1424" s="79">
        <f>IF(Q1424="Sin Factura","",IFERROR(_xlfn.XLOOKUP(1, (Facturas_Odoo!$D:$D=A1424) * (Facturas_Odoo!$K:$K=I1424), Facturas_Odoo!$L:$L, ""), ""))</f>
        <v/>
      </c>
      <c r="T1424" s="81">
        <f>IF(Q1424="Sin Factura",0,IFERROR(_xlfn.XLOOKUP(1, (Facturas_Odoo!$D:$D=A1424) * (Facturas_Odoo!$K:$K=I1424), Facturas_Odoo!$M:$M, 0), 0))</f>
        <v/>
      </c>
      <c r="U1424" s="79">
        <f>IF(Q1424="Sin Factura",0,IFERROR(_xlfn.XLOOKUP(1, (Facturas_Odoo!$D:$D=A1424) * (Facturas_Odoo!$K:$K=I1424), Facturas_Odoo!$N:$N, 0), 0))</f>
        <v/>
      </c>
      <c r="V1424" s="79">
        <f>IF(Q1424="Sin Factura",0,IFERROR(_xlfn.XLOOKUP(1, (Facturas_Odoo!$D:$D=A1424) * (Facturas_Odoo!$K:$K=I1424), Facturas_Odoo!$O:$O, 0), 0))</f>
        <v/>
      </c>
      <c r="W1424" s="81">
        <f>IF(Q1424="Sin Factura",0,IFERROR(_xlfn.XLOOKUP(1, (Facturas_Odoo!$D:$D=A1424) * (Facturas_Odoo!$K:$K=I1424), Facturas_Odoo!$Q:$Q, 0), 0))</f>
        <v/>
      </c>
      <c r="X1424" s="79">
        <f>IF(OR(Q1424="Sin Factura",Q1424=""),"",IFERROR(INDEX(Pagos_Odoo!$B:$B, MATCH(Q1424, Pagos_Odoo!$I:$I, 0)), "Sin Pago"))</f>
        <v/>
      </c>
      <c r="Y1424" s="79">
        <f>IF(X1424="Sin Pago","",IFERROR(INDEX(Pagos_Odoo!$C:$C, MATCH(X1424, Pagos_Odoo!$B:$B, 0)), ""))</f>
        <v/>
      </c>
      <c r="Z1424" s="80">
        <f>IF(X1424="Sin Pago","",IFERROR(INDEX(Pagos_Odoo!$A:$A, MATCH(X1424, Pagos_Odoo!$B:$B, 0)), ""))</f>
        <v/>
      </c>
      <c r="AA1424" s="79">
        <f>IF(X1424="Sin Pago","",IFERROR(INDEX(Pagos_Odoo!$F:$F, MATCH(X1424, Pagos_Odoo!$B:$B, 0)), ""))</f>
        <v/>
      </c>
      <c r="AB1424" s="81">
        <f>IF(X1424="Sin Pago",0,IFERROR(INDEX(Pagos_Odoo!$E:$E, MATCH(X1424, Pagos_Odoo!$B:$B, 0)), 0))</f>
        <v/>
      </c>
      <c r="AC1424" s="79">
        <f>IF(X1424="Sin Pago","",IFERROR(INDEX(Pagos_Odoo!$G:$G, MATCH(X1424, Pagos_Odoo!$B:$B, 0)), ""))</f>
        <v/>
      </c>
      <c r="AD1424" s="82" t="n">
        <v>0</v>
      </c>
      <c r="AE1424" s="82" t="n"/>
      <c r="AF1424" s="82" t="n"/>
      <c r="AG1424" s="82">
        <f>IF(AN1424="","",AD1424+AE1424+AF1424)</f>
        <v/>
      </c>
      <c r="AH1424" s="81">
        <f>IF(AN1424="","",P1424*(1-AG1424))</f>
        <v/>
      </c>
      <c r="AI1424" s="81">
        <f>IF(AN1424="","",IF(Q1424="Sin Factura",0,IFERROR(INDEX(Facturas_Odoo!$H:$H, MATCH(Q1424, Facturas_Odoo!$B:$B, 0)), 0)*(1-AG1424)))</f>
        <v/>
      </c>
      <c r="AJ1424" s="81">
        <f>IF(AN1424="","",_xlfn.LET(idVenta, AN1424&amp;"",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24" s="81">
        <f>IF(AN1424="","",AH1424-AJ1424)</f>
        <v/>
      </c>
      <c r="AL1424" s="81">
        <f>IF(AN1424="","",IF(Q1424="Sin Factura","",AI1424-AJ1424))</f>
        <v/>
      </c>
      <c r="AM1424" s="81">
        <f>IF(AN1424="","",IF(Q1424="Sin Factura",0,P1424-IFERROR(INDEX(Facturas_Odoo!$H:$H, MATCH(Q1424, Facturas_Odoo!$B:$B, 0)), 0)))</f>
        <v/>
      </c>
      <c r="AN1424" s="79">
        <f>IF(AND(A1424="", J1424=""), "", IF(A1424&lt;&gt;"", VALUE(MID(A1424,2,LEN(A1424))), AN1423))</f>
        <v/>
      </c>
      <c r="AO1424" s="79">
        <f>IF(AN1424="","",IF(AD1424=0,"OK",_xlfn.LET(monedaPago, IF(AA1424="","USD",AA1424), limitePermitido, IFERROR(VLOOKUP(monedaPago, Configuración!$A$2:$B$3, 2, FALSE), 0.15), IF(AD1424&gt;limitePermitido, "ALERTA: EXCESO (" &amp; TEXT(limitePermitido, "0%") &amp; " máx)", "OK"))))</f>
        <v/>
      </c>
      <c r="AP1424" s="79">
        <f>IF(AN1424="","",IF(AE1424=0,"OK",_xlfn.LET(fechaPago, Z1424, fechaFactura, R1424, diasCredito, IF(E1424="Pago inmediato", 0, IFERROR(VALUE(MID(E1424, 1, SEARCH(" ", E1424)-1)),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24" s="79">
        <f>IF(AN1424="","",IF(AND(N1424&gt;0, AG1424&gt;0), IF(Configuración!$K$2="NO", "ALERTA: DESCUENTO DOBLE NO PERMITIDO", "OK"), "OK"))</f>
        <v/>
      </c>
      <c r="AR1424" s="79">
        <f>IF(AN1424="","",IF(OR(AO1424&lt;&gt;"OK", AP1424&lt;&gt;"OK", AQ1424&lt;&gt;"OK"), "⚠️ REVISAR", "OK"))</f>
        <v/>
      </c>
    </row>
    <row r="1425">
      <c r="A1425" s="79">
        <f>IF('Ordenes_Odoo'!A1425="","",'Ordenes_Odoo'!A1425)</f>
        <v/>
      </c>
      <c r="B1425" s="80">
        <f>IF('Ordenes_Odoo'!B1425="","",'Ordenes_Odoo'!B1425)</f>
        <v/>
      </c>
      <c r="C1425" s="79">
        <f>IF('Ordenes_Odoo'!C1425="","",'Ordenes_Odoo'!C1425)</f>
        <v/>
      </c>
      <c r="D1425" s="79">
        <f>IF('Ordenes_Odoo'!D1425="","",'Ordenes_Odoo'!D1425)</f>
        <v/>
      </c>
      <c r="E1425" s="79">
        <f>IF('Ordenes_Odoo'!E1425="","",'Ordenes_Odoo'!E1425)</f>
        <v/>
      </c>
      <c r="F1425" s="79">
        <f>IF('Ordenes_Odoo'!F1425="","",'Ordenes_Odoo'!F1425)</f>
        <v/>
      </c>
      <c r="G1425" s="79">
        <f>IF('Ordenes_Odoo'!G1425="","",'Ordenes_Odoo'!G1425)</f>
        <v/>
      </c>
      <c r="H1425" s="79">
        <f>IF('Ordenes_Odoo'!H1425="","",'Ordenes_Odoo'!H1425)</f>
        <v/>
      </c>
      <c r="I1425" s="79">
        <f>IF('Ordenes_Odoo'!I1425="","",'Ordenes_Odoo'!I1425)</f>
        <v/>
      </c>
      <c r="J1425" s="79">
        <f>IF('Ordenes_Odoo'!J1425="","",'Ordenes_Odoo'!J1425)</f>
        <v/>
      </c>
      <c r="K1425" s="81">
        <f>IF('Ordenes_Odoo'!K1425="","",'Ordenes_Odoo'!K1425)</f>
        <v/>
      </c>
      <c r="L1425" s="81">
        <f>IF('Ordenes_Odoo'!L1425="","",'Ordenes_Odoo'!L1425)</f>
        <v/>
      </c>
      <c r="M1425" s="79">
        <f>IF('Ordenes_Odoo'!M1425="","",'Ordenes_Odoo'!M1425)</f>
        <v/>
      </c>
      <c r="N1425" s="79">
        <f>IF('Ordenes_Odoo'!N1425="","",'Ordenes_Odoo'!N1425)</f>
        <v/>
      </c>
      <c r="O1425" s="81">
        <f>IF('Ordenes_Odoo'!O1425="","",'Ordenes_Odoo'!O1425)</f>
        <v/>
      </c>
      <c r="P1425" s="81">
        <f>IF('Ordenes_Odoo'!P1425="","",'Ordenes_Odoo'!P1425)</f>
        <v/>
      </c>
      <c r="Q1425" s="79">
        <f>IF(A1425="","",IFERROR(INDEX(Facturas_Odoo!$B:$B, MATCH(A1425, Facturas_Odoo!$D:$D, 0)), "Sin Factura"))</f>
        <v/>
      </c>
      <c r="R1425" s="80">
        <f>IF(Q1425="Sin Factura","",IFERROR(INDEX(Facturas_Odoo!$A:$A, MATCH(Q1425, Facturas_Odoo!$B:$B, 0)), ""))</f>
        <v/>
      </c>
      <c r="S1425" s="79">
        <f>IF(Q1425="Sin Factura","",IFERROR(_xlfn.XLOOKUP(1, (Facturas_Odoo!$D:$D=A1425) * (Facturas_Odoo!$K:$K=I1425), Facturas_Odoo!$L:$L, ""), ""))</f>
        <v/>
      </c>
      <c r="T1425" s="81">
        <f>IF(Q1425="Sin Factura",0,IFERROR(_xlfn.XLOOKUP(1, (Facturas_Odoo!$D:$D=A1425) * (Facturas_Odoo!$K:$K=I1425), Facturas_Odoo!$M:$M, 0), 0))</f>
        <v/>
      </c>
      <c r="U1425" s="79">
        <f>IF(Q1425="Sin Factura",0,IFERROR(_xlfn.XLOOKUP(1, (Facturas_Odoo!$D:$D=A1425) * (Facturas_Odoo!$K:$K=I1425), Facturas_Odoo!$N:$N, 0), 0))</f>
        <v/>
      </c>
      <c r="V1425" s="79">
        <f>IF(Q1425="Sin Factura",0,IFERROR(_xlfn.XLOOKUP(1, (Facturas_Odoo!$D:$D=A1425) * (Facturas_Odoo!$K:$K=I1425), Facturas_Odoo!$O:$O, 0), 0))</f>
        <v/>
      </c>
      <c r="W1425" s="81">
        <f>IF(Q1425="Sin Factura",0,IFERROR(_xlfn.XLOOKUP(1, (Facturas_Odoo!$D:$D=A1425) * (Facturas_Odoo!$K:$K=I1425), Facturas_Odoo!$Q:$Q, 0), 0))</f>
        <v/>
      </c>
      <c r="X1425" s="79">
        <f>IF(OR(Q1425="Sin Factura",Q1425=""),"",IFERROR(INDEX(Pagos_Odoo!$B:$B, MATCH(Q1425, Pagos_Odoo!$I:$I, 0)), "Sin Pago"))</f>
        <v/>
      </c>
      <c r="Y1425" s="79">
        <f>IF(X1425="Sin Pago","",IFERROR(INDEX(Pagos_Odoo!$C:$C, MATCH(X1425, Pagos_Odoo!$B:$B, 0)), ""))</f>
        <v/>
      </c>
      <c r="Z1425" s="80">
        <f>IF(X1425="Sin Pago","",IFERROR(INDEX(Pagos_Odoo!$A:$A, MATCH(X1425, Pagos_Odoo!$B:$B, 0)), ""))</f>
        <v/>
      </c>
      <c r="AA1425" s="79">
        <f>IF(X1425="Sin Pago","",IFERROR(INDEX(Pagos_Odoo!$F:$F, MATCH(X1425, Pagos_Odoo!$B:$B, 0)), ""))</f>
        <v/>
      </c>
      <c r="AB1425" s="81">
        <f>IF(X1425="Sin Pago",0,IFERROR(INDEX(Pagos_Odoo!$E:$E, MATCH(X1425, Pagos_Odoo!$B:$B, 0)), 0))</f>
        <v/>
      </c>
      <c r="AC1425" s="79">
        <f>IF(X1425="Sin Pago","",IFERROR(INDEX(Pagos_Odoo!$G:$G, MATCH(X1425, Pagos_Odoo!$B:$B, 0)), ""))</f>
        <v/>
      </c>
      <c r="AD1425" s="82" t="n">
        <v>0</v>
      </c>
      <c r="AE1425" s="82" t="n"/>
      <c r="AF1425" s="82" t="n"/>
      <c r="AG1425" s="82">
        <f>IF(AN1425="","",AD1425+AE1425+AF1425)</f>
        <v/>
      </c>
      <c r="AH1425" s="81">
        <f>IF(AN1425="","",P1425*(1-AG1425))</f>
        <v/>
      </c>
      <c r="AI1425" s="81">
        <f>IF(AN1425="","",IF(Q1425="Sin Factura",0,IFERROR(INDEX(Facturas_Odoo!$H:$H, MATCH(Q1425, Facturas_Odoo!$B:$B, 0)), 0)*(1-AG1425)))</f>
        <v/>
      </c>
      <c r="AJ1425" s="81">
        <f>IF(AN1425="","",_xlfn.LET(idVenta, AN1425&amp;"",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25" s="81">
        <f>IF(AN1425="","",AH1425-AJ1425)</f>
        <v/>
      </c>
      <c r="AL1425" s="81">
        <f>IF(AN1425="","",IF(Q1425="Sin Factura","",AI1425-AJ1425))</f>
        <v/>
      </c>
      <c r="AM1425" s="81">
        <f>IF(AN1425="","",IF(Q1425="Sin Factura",0,P1425-IFERROR(INDEX(Facturas_Odoo!$H:$H, MATCH(Q1425, Facturas_Odoo!$B:$B, 0)), 0)))</f>
        <v/>
      </c>
      <c r="AN1425" s="79">
        <f>IF(AND(A1425="", J1425=""), "", IF(A1425&lt;&gt;"", VALUE(MID(A1425,2,LEN(A1425))), AN1424))</f>
        <v/>
      </c>
      <c r="AO1425" s="79">
        <f>IF(AN1425="","",IF(AD1425=0,"OK",_xlfn.LET(monedaPago, IF(AA1425="","USD",AA1425), limitePermitido, IFERROR(VLOOKUP(monedaPago, Configuración!$A$2:$B$3, 2, FALSE), 0.15), IF(AD1425&gt;limitePermitido, "ALERTA: EXCESO (" &amp; TEXT(limitePermitido, "0%") &amp; " máx)", "OK"))))</f>
        <v/>
      </c>
      <c r="AP1425" s="79">
        <f>IF(AN1425="","",IF(AE1425=0,"OK",_xlfn.LET(fechaPago, Z1425, fechaFactura, R1425, diasCredito, IF(E1425="Pago inmediato", 0, IFERROR(VALUE(MID(E1425, 1, SEARCH(" ", E1425)-1)),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25" s="79">
        <f>IF(AN1425="","",IF(AND(N1425&gt;0, AG1425&gt;0), IF(Configuración!$K$2="NO", "ALERTA: DESCUENTO DOBLE NO PERMITIDO", "OK"), "OK"))</f>
        <v/>
      </c>
      <c r="AR1425" s="79">
        <f>IF(AN1425="","",IF(OR(AO1425&lt;&gt;"OK", AP1425&lt;&gt;"OK", AQ1425&lt;&gt;"OK"), "⚠️ REVISAR", "OK"))</f>
        <v/>
      </c>
    </row>
    <row r="1426">
      <c r="A1426" s="79">
        <f>IF('Ordenes_Odoo'!A1426="","",'Ordenes_Odoo'!A1426)</f>
        <v/>
      </c>
      <c r="B1426" s="80">
        <f>IF('Ordenes_Odoo'!B1426="","",'Ordenes_Odoo'!B1426)</f>
        <v/>
      </c>
      <c r="C1426" s="79">
        <f>IF('Ordenes_Odoo'!C1426="","",'Ordenes_Odoo'!C1426)</f>
        <v/>
      </c>
      <c r="D1426" s="79">
        <f>IF('Ordenes_Odoo'!D1426="","",'Ordenes_Odoo'!D1426)</f>
        <v/>
      </c>
      <c r="E1426" s="79">
        <f>IF('Ordenes_Odoo'!E1426="","",'Ordenes_Odoo'!E1426)</f>
        <v/>
      </c>
      <c r="F1426" s="79">
        <f>IF('Ordenes_Odoo'!F1426="","",'Ordenes_Odoo'!F1426)</f>
        <v/>
      </c>
      <c r="G1426" s="79">
        <f>IF('Ordenes_Odoo'!G1426="","",'Ordenes_Odoo'!G1426)</f>
        <v/>
      </c>
      <c r="H1426" s="79">
        <f>IF('Ordenes_Odoo'!H1426="","",'Ordenes_Odoo'!H1426)</f>
        <v/>
      </c>
      <c r="I1426" s="79">
        <f>IF('Ordenes_Odoo'!I1426="","",'Ordenes_Odoo'!I1426)</f>
        <v/>
      </c>
      <c r="J1426" s="79">
        <f>IF('Ordenes_Odoo'!J1426="","",'Ordenes_Odoo'!J1426)</f>
        <v/>
      </c>
      <c r="K1426" s="81">
        <f>IF('Ordenes_Odoo'!K1426="","",'Ordenes_Odoo'!K1426)</f>
        <v/>
      </c>
      <c r="L1426" s="81">
        <f>IF('Ordenes_Odoo'!L1426="","",'Ordenes_Odoo'!L1426)</f>
        <v/>
      </c>
      <c r="M1426" s="79">
        <f>IF('Ordenes_Odoo'!M1426="","",'Ordenes_Odoo'!M1426)</f>
        <v/>
      </c>
      <c r="N1426" s="79">
        <f>IF('Ordenes_Odoo'!N1426="","",'Ordenes_Odoo'!N1426)</f>
        <v/>
      </c>
      <c r="O1426" s="81">
        <f>IF('Ordenes_Odoo'!O1426="","",'Ordenes_Odoo'!O1426)</f>
        <v/>
      </c>
      <c r="P1426" s="81">
        <f>IF('Ordenes_Odoo'!P1426="","",'Ordenes_Odoo'!P1426)</f>
        <v/>
      </c>
      <c r="Q1426" s="79">
        <f>IF(A1426="","",IFERROR(INDEX(Facturas_Odoo!$B:$B, MATCH(A1426, Facturas_Odoo!$D:$D, 0)), "Sin Factura"))</f>
        <v/>
      </c>
      <c r="R1426" s="80">
        <f>IF(Q1426="Sin Factura","",IFERROR(INDEX(Facturas_Odoo!$A:$A, MATCH(Q1426, Facturas_Odoo!$B:$B, 0)), ""))</f>
        <v/>
      </c>
      <c r="S1426" s="79">
        <f>IF(Q1426="Sin Factura","",IFERROR(_xlfn.XLOOKUP(1, (Facturas_Odoo!$D:$D=A1426) * (Facturas_Odoo!$K:$K=I1426), Facturas_Odoo!$L:$L, ""), ""))</f>
        <v/>
      </c>
      <c r="T1426" s="81">
        <f>IF(Q1426="Sin Factura",0,IFERROR(_xlfn.XLOOKUP(1, (Facturas_Odoo!$D:$D=A1426) * (Facturas_Odoo!$K:$K=I1426), Facturas_Odoo!$M:$M, 0), 0))</f>
        <v/>
      </c>
      <c r="U1426" s="79">
        <f>IF(Q1426="Sin Factura",0,IFERROR(_xlfn.XLOOKUP(1, (Facturas_Odoo!$D:$D=A1426) * (Facturas_Odoo!$K:$K=I1426), Facturas_Odoo!$N:$N, 0), 0))</f>
        <v/>
      </c>
      <c r="V1426" s="79">
        <f>IF(Q1426="Sin Factura",0,IFERROR(_xlfn.XLOOKUP(1, (Facturas_Odoo!$D:$D=A1426) * (Facturas_Odoo!$K:$K=I1426), Facturas_Odoo!$O:$O, 0), 0))</f>
        <v/>
      </c>
      <c r="W1426" s="81">
        <f>IF(Q1426="Sin Factura",0,IFERROR(_xlfn.XLOOKUP(1, (Facturas_Odoo!$D:$D=A1426) * (Facturas_Odoo!$K:$K=I1426), Facturas_Odoo!$Q:$Q, 0), 0))</f>
        <v/>
      </c>
      <c r="X1426" s="79">
        <f>IF(OR(Q1426="Sin Factura",Q1426=""),"",IFERROR(INDEX(Pagos_Odoo!$B:$B, MATCH(Q1426, Pagos_Odoo!$I:$I, 0)), "Sin Pago"))</f>
        <v/>
      </c>
      <c r="Y1426" s="79">
        <f>IF(X1426="Sin Pago","",IFERROR(INDEX(Pagos_Odoo!$C:$C, MATCH(X1426, Pagos_Odoo!$B:$B, 0)), ""))</f>
        <v/>
      </c>
      <c r="Z1426" s="80">
        <f>IF(X1426="Sin Pago","",IFERROR(INDEX(Pagos_Odoo!$A:$A, MATCH(X1426, Pagos_Odoo!$B:$B, 0)), ""))</f>
        <v/>
      </c>
      <c r="AA1426" s="79">
        <f>IF(X1426="Sin Pago","",IFERROR(INDEX(Pagos_Odoo!$F:$F, MATCH(X1426, Pagos_Odoo!$B:$B, 0)), ""))</f>
        <v/>
      </c>
      <c r="AB1426" s="81">
        <f>IF(X1426="Sin Pago",0,IFERROR(INDEX(Pagos_Odoo!$E:$E, MATCH(X1426, Pagos_Odoo!$B:$B, 0)), 0))</f>
        <v/>
      </c>
      <c r="AC1426" s="79">
        <f>IF(X1426="Sin Pago","",IFERROR(INDEX(Pagos_Odoo!$G:$G, MATCH(X1426, Pagos_Odoo!$B:$B, 0)), ""))</f>
        <v/>
      </c>
      <c r="AD1426" s="82" t="n">
        <v>0</v>
      </c>
      <c r="AE1426" s="82" t="n"/>
      <c r="AF1426" s="82" t="n"/>
      <c r="AG1426" s="82">
        <f>IF(AN1426="","",AD1426+AE1426+AF1426)</f>
        <v/>
      </c>
      <c r="AH1426" s="81">
        <f>IF(AN1426="","",P1426*(1-AG1426))</f>
        <v/>
      </c>
      <c r="AI1426" s="81">
        <f>IF(AN1426="","",IF(Q1426="Sin Factura",0,IFERROR(INDEX(Facturas_Odoo!$H:$H, MATCH(Q1426, Facturas_Odoo!$B:$B, 0)), 0)*(1-AG1426)))</f>
        <v/>
      </c>
      <c r="AJ1426" s="81">
        <f>IF(AN1426="","",_xlfn.LET(idVenta, AN1426&amp;"",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26" s="81">
        <f>IF(AN1426="","",AH1426-AJ1426)</f>
        <v/>
      </c>
      <c r="AL1426" s="81">
        <f>IF(AN1426="","",IF(Q1426="Sin Factura","",AI1426-AJ1426))</f>
        <v/>
      </c>
      <c r="AM1426" s="81">
        <f>IF(AN1426="","",IF(Q1426="Sin Factura",0,P1426-IFERROR(INDEX(Facturas_Odoo!$H:$H, MATCH(Q1426, Facturas_Odoo!$B:$B, 0)), 0)))</f>
        <v/>
      </c>
      <c r="AN1426" s="79">
        <f>IF(AND(A1426="", J1426=""), "", IF(A1426&lt;&gt;"", VALUE(MID(A1426,2,LEN(A1426))), AN1425))</f>
        <v/>
      </c>
      <c r="AO1426" s="79">
        <f>IF(AN1426="","",IF(AD1426=0,"OK",_xlfn.LET(monedaPago, IF(AA1426="","USD",AA1426), limitePermitido, IFERROR(VLOOKUP(monedaPago, Configuración!$A$2:$B$3, 2, FALSE), 0.15), IF(AD1426&gt;limitePermitido, "ALERTA: EXCESO (" &amp; TEXT(limitePermitido, "0%") &amp; " máx)", "OK"))))</f>
        <v/>
      </c>
      <c r="AP1426" s="79">
        <f>IF(AN1426="","",IF(AE1426=0,"OK",_xlfn.LET(fechaPago, Z1426, fechaFactura, R1426, diasCredito, IF(E1426="Pago inmediato", 0, IFERROR(VALUE(MID(E1426, 1, SEARCH(" ", E1426)-1)),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26" s="79">
        <f>IF(AN1426="","",IF(AND(N1426&gt;0, AG1426&gt;0), IF(Configuración!$K$2="NO", "ALERTA: DESCUENTO DOBLE NO PERMITIDO", "OK"), "OK"))</f>
        <v/>
      </c>
      <c r="AR1426" s="79">
        <f>IF(AN1426="","",IF(OR(AO1426&lt;&gt;"OK", AP1426&lt;&gt;"OK", AQ1426&lt;&gt;"OK"), "⚠️ REVISAR", "OK"))</f>
        <v/>
      </c>
    </row>
    <row r="1427">
      <c r="A1427" s="79">
        <f>IF('Ordenes_Odoo'!A1427="","",'Ordenes_Odoo'!A1427)</f>
        <v/>
      </c>
      <c r="B1427" s="80">
        <f>IF('Ordenes_Odoo'!B1427="","",'Ordenes_Odoo'!B1427)</f>
        <v/>
      </c>
      <c r="C1427" s="79">
        <f>IF('Ordenes_Odoo'!C1427="","",'Ordenes_Odoo'!C1427)</f>
        <v/>
      </c>
      <c r="D1427" s="79">
        <f>IF('Ordenes_Odoo'!D1427="","",'Ordenes_Odoo'!D1427)</f>
        <v/>
      </c>
      <c r="E1427" s="79">
        <f>IF('Ordenes_Odoo'!E1427="","",'Ordenes_Odoo'!E1427)</f>
        <v/>
      </c>
      <c r="F1427" s="79">
        <f>IF('Ordenes_Odoo'!F1427="","",'Ordenes_Odoo'!F1427)</f>
        <v/>
      </c>
      <c r="G1427" s="79">
        <f>IF('Ordenes_Odoo'!G1427="","",'Ordenes_Odoo'!G1427)</f>
        <v/>
      </c>
      <c r="H1427" s="79">
        <f>IF('Ordenes_Odoo'!H1427="","",'Ordenes_Odoo'!H1427)</f>
        <v/>
      </c>
      <c r="I1427" s="79">
        <f>IF('Ordenes_Odoo'!I1427="","",'Ordenes_Odoo'!I1427)</f>
        <v/>
      </c>
      <c r="J1427" s="79">
        <f>IF('Ordenes_Odoo'!J1427="","",'Ordenes_Odoo'!J1427)</f>
        <v/>
      </c>
      <c r="K1427" s="81">
        <f>IF('Ordenes_Odoo'!K1427="","",'Ordenes_Odoo'!K1427)</f>
        <v/>
      </c>
      <c r="L1427" s="81">
        <f>IF('Ordenes_Odoo'!L1427="","",'Ordenes_Odoo'!L1427)</f>
        <v/>
      </c>
      <c r="M1427" s="79">
        <f>IF('Ordenes_Odoo'!M1427="","",'Ordenes_Odoo'!M1427)</f>
        <v/>
      </c>
      <c r="N1427" s="79">
        <f>IF('Ordenes_Odoo'!N1427="","",'Ordenes_Odoo'!N1427)</f>
        <v/>
      </c>
      <c r="O1427" s="81">
        <f>IF('Ordenes_Odoo'!O1427="","",'Ordenes_Odoo'!O1427)</f>
        <v/>
      </c>
      <c r="P1427" s="81">
        <f>IF('Ordenes_Odoo'!P1427="","",'Ordenes_Odoo'!P1427)</f>
        <v/>
      </c>
      <c r="Q1427" s="79">
        <f>IF(A1427="","",IFERROR(INDEX(Facturas_Odoo!$B:$B, MATCH(A1427, Facturas_Odoo!$D:$D, 0)), "Sin Factura"))</f>
        <v/>
      </c>
      <c r="R1427" s="80">
        <f>IF(Q1427="Sin Factura","",IFERROR(INDEX(Facturas_Odoo!$A:$A, MATCH(Q1427, Facturas_Odoo!$B:$B, 0)), ""))</f>
        <v/>
      </c>
      <c r="S1427" s="79">
        <f>IF(Q1427="Sin Factura","",IFERROR(_xlfn.XLOOKUP(1, (Facturas_Odoo!$D:$D=A1427) * (Facturas_Odoo!$K:$K=I1427), Facturas_Odoo!$L:$L, ""), ""))</f>
        <v/>
      </c>
      <c r="T1427" s="81">
        <f>IF(Q1427="Sin Factura",0,IFERROR(_xlfn.XLOOKUP(1, (Facturas_Odoo!$D:$D=A1427) * (Facturas_Odoo!$K:$K=I1427), Facturas_Odoo!$M:$M, 0), 0))</f>
        <v/>
      </c>
      <c r="U1427" s="79">
        <f>IF(Q1427="Sin Factura",0,IFERROR(_xlfn.XLOOKUP(1, (Facturas_Odoo!$D:$D=A1427) * (Facturas_Odoo!$K:$K=I1427), Facturas_Odoo!$N:$N, 0), 0))</f>
        <v/>
      </c>
      <c r="V1427" s="79">
        <f>IF(Q1427="Sin Factura",0,IFERROR(_xlfn.XLOOKUP(1, (Facturas_Odoo!$D:$D=A1427) * (Facturas_Odoo!$K:$K=I1427), Facturas_Odoo!$O:$O, 0), 0))</f>
        <v/>
      </c>
      <c r="W1427" s="81">
        <f>IF(Q1427="Sin Factura",0,IFERROR(_xlfn.XLOOKUP(1, (Facturas_Odoo!$D:$D=A1427) * (Facturas_Odoo!$K:$K=I1427), Facturas_Odoo!$Q:$Q, 0), 0))</f>
        <v/>
      </c>
      <c r="X1427" s="79">
        <f>IF(OR(Q1427="Sin Factura",Q1427=""),"",IFERROR(INDEX(Pagos_Odoo!$B:$B, MATCH(Q1427, Pagos_Odoo!$I:$I, 0)), "Sin Pago"))</f>
        <v/>
      </c>
      <c r="Y1427" s="79">
        <f>IF(X1427="Sin Pago","",IFERROR(INDEX(Pagos_Odoo!$C:$C, MATCH(X1427, Pagos_Odoo!$B:$B, 0)), ""))</f>
        <v/>
      </c>
      <c r="Z1427" s="80">
        <f>IF(X1427="Sin Pago","",IFERROR(INDEX(Pagos_Odoo!$A:$A, MATCH(X1427, Pagos_Odoo!$B:$B, 0)), ""))</f>
        <v/>
      </c>
      <c r="AA1427" s="79">
        <f>IF(X1427="Sin Pago","",IFERROR(INDEX(Pagos_Odoo!$F:$F, MATCH(X1427, Pagos_Odoo!$B:$B, 0)), ""))</f>
        <v/>
      </c>
      <c r="AB1427" s="81">
        <f>IF(X1427="Sin Pago",0,IFERROR(INDEX(Pagos_Odoo!$E:$E, MATCH(X1427, Pagos_Odoo!$B:$B, 0)), 0))</f>
        <v/>
      </c>
      <c r="AC1427" s="79">
        <f>IF(X1427="Sin Pago","",IFERROR(INDEX(Pagos_Odoo!$G:$G, MATCH(X1427, Pagos_Odoo!$B:$B, 0)), ""))</f>
        <v/>
      </c>
      <c r="AD1427" s="82" t="n">
        <v>0</v>
      </c>
      <c r="AE1427" s="82" t="n"/>
      <c r="AF1427" s="82" t="n"/>
      <c r="AG1427" s="82">
        <f>IF(AN1427="","",AD1427+AE1427+AF1427)</f>
        <v/>
      </c>
      <c r="AH1427" s="81">
        <f>IF(AN1427="","",P1427*(1-AG1427))</f>
        <v/>
      </c>
      <c r="AI1427" s="81">
        <f>IF(AN1427="","",IF(Q1427="Sin Factura",0,IFERROR(INDEX(Facturas_Odoo!$H:$H, MATCH(Q1427, Facturas_Odoo!$B:$B, 0)), 0)*(1-AG1427)))</f>
        <v/>
      </c>
      <c r="AJ1427" s="81">
        <f>IF(AN1427="","",_xlfn.LET(idVenta, AN1427&amp;"",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27" s="81">
        <f>IF(AN1427="","",AH1427-AJ1427)</f>
        <v/>
      </c>
      <c r="AL1427" s="81">
        <f>IF(AN1427="","",IF(Q1427="Sin Factura","",AI1427-AJ1427))</f>
        <v/>
      </c>
      <c r="AM1427" s="81">
        <f>IF(AN1427="","",IF(Q1427="Sin Factura",0,P1427-IFERROR(INDEX(Facturas_Odoo!$H:$H, MATCH(Q1427, Facturas_Odoo!$B:$B, 0)), 0)))</f>
        <v/>
      </c>
      <c r="AN1427" s="79">
        <f>IF(AND(A1427="", J1427=""), "", IF(A1427&lt;&gt;"", VALUE(MID(A1427,2,LEN(A1427))), AN1426))</f>
        <v/>
      </c>
      <c r="AO1427" s="79">
        <f>IF(AN1427="","",IF(AD1427=0,"OK",_xlfn.LET(monedaPago, IF(AA1427="","USD",AA1427), limitePermitido, IFERROR(VLOOKUP(monedaPago, Configuración!$A$2:$B$3, 2, FALSE), 0.15), IF(AD1427&gt;limitePermitido, "ALERTA: EXCESO (" &amp; TEXT(limitePermitido, "0%") &amp; " máx)", "OK"))))</f>
        <v/>
      </c>
      <c r="AP1427" s="79">
        <f>IF(AN1427="","",IF(AE1427=0,"OK",_xlfn.LET(fechaPago, Z1427, fechaFactura, R1427, diasCredito, IF(E1427="Pago inmediato", 0, IFERROR(VALUE(MID(E1427, 1, SEARCH(" ", E1427)-1)),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27" s="79">
        <f>IF(AN1427="","",IF(AND(N1427&gt;0, AG1427&gt;0), IF(Configuración!$K$2="NO", "ALERTA: DESCUENTO DOBLE NO PERMITIDO", "OK"), "OK"))</f>
        <v/>
      </c>
      <c r="AR1427" s="79">
        <f>IF(AN1427="","",IF(OR(AO1427&lt;&gt;"OK", AP1427&lt;&gt;"OK", AQ1427&lt;&gt;"OK"), "⚠️ REVISAR", "OK"))</f>
        <v/>
      </c>
    </row>
    <row r="1428">
      <c r="A1428" s="79">
        <f>IF('Ordenes_Odoo'!A1428="","",'Ordenes_Odoo'!A1428)</f>
        <v/>
      </c>
      <c r="B1428" s="80">
        <f>IF('Ordenes_Odoo'!B1428="","",'Ordenes_Odoo'!B1428)</f>
        <v/>
      </c>
      <c r="C1428" s="79">
        <f>IF('Ordenes_Odoo'!C1428="","",'Ordenes_Odoo'!C1428)</f>
        <v/>
      </c>
      <c r="D1428" s="79">
        <f>IF('Ordenes_Odoo'!D1428="","",'Ordenes_Odoo'!D1428)</f>
        <v/>
      </c>
      <c r="E1428" s="79">
        <f>IF('Ordenes_Odoo'!E1428="","",'Ordenes_Odoo'!E1428)</f>
        <v/>
      </c>
      <c r="F1428" s="79">
        <f>IF('Ordenes_Odoo'!F1428="","",'Ordenes_Odoo'!F1428)</f>
        <v/>
      </c>
      <c r="G1428" s="79">
        <f>IF('Ordenes_Odoo'!G1428="","",'Ordenes_Odoo'!G1428)</f>
        <v/>
      </c>
      <c r="H1428" s="79">
        <f>IF('Ordenes_Odoo'!H1428="","",'Ordenes_Odoo'!H1428)</f>
        <v/>
      </c>
      <c r="I1428" s="79">
        <f>IF('Ordenes_Odoo'!I1428="","",'Ordenes_Odoo'!I1428)</f>
        <v/>
      </c>
      <c r="J1428" s="79">
        <f>IF('Ordenes_Odoo'!J1428="","",'Ordenes_Odoo'!J1428)</f>
        <v/>
      </c>
      <c r="K1428" s="81">
        <f>IF('Ordenes_Odoo'!K1428="","",'Ordenes_Odoo'!K1428)</f>
        <v/>
      </c>
      <c r="L1428" s="81">
        <f>IF('Ordenes_Odoo'!L1428="","",'Ordenes_Odoo'!L1428)</f>
        <v/>
      </c>
      <c r="M1428" s="79">
        <f>IF('Ordenes_Odoo'!M1428="","",'Ordenes_Odoo'!M1428)</f>
        <v/>
      </c>
      <c r="N1428" s="79">
        <f>IF('Ordenes_Odoo'!N1428="","",'Ordenes_Odoo'!N1428)</f>
        <v/>
      </c>
      <c r="O1428" s="81">
        <f>IF('Ordenes_Odoo'!O1428="","",'Ordenes_Odoo'!O1428)</f>
        <v/>
      </c>
      <c r="P1428" s="81">
        <f>IF('Ordenes_Odoo'!P1428="","",'Ordenes_Odoo'!P1428)</f>
        <v/>
      </c>
      <c r="Q1428" s="79">
        <f>IF(A1428="","",IFERROR(INDEX(Facturas_Odoo!$B:$B, MATCH(A1428, Facturas_Odoo!$D:$D, 0)), "Sin Factura"))</f>
        <v/>
      </c>
      <c r="R1428" s="80">
        <f>IF(Q1428="Sin Factura","",IFERROR(INDEX(Facturas_Odoo!$A:$A, MATCH(Q1428, Facturas_Odoo!$B:$B, 0)), ""))</f>
        <v/>
      </c>
      <c r="S1428" s="79">
        <f>IF(Q1428="Sin Factura","",IFERROR(_xlfn.XLOOKUP(1, (Facturas_Odoo!$D:$D=A1428) * (Facturas_Odoo!$K:$K=I1428), Facturas_Odoo!$L:$L, ""), ""))</f>
        <v/>
      </c>
      <c r="T1428" s="81">
        <f>IF(Q1428="Sin Factura",0,IFERROR(_xlfn.XLOOKUP(1, (Facturas_Odoo!$D:$D=A1428) * (Facturas_Odoo!$K:$K=I1428), Facturas_Odoo!$M:$M, 0), 0))</f>
        <v/>
      </c>
      <c r="U1428" s="79">
        <f>IF(Q1428="Sin Factura",0,IFERROR(_xlfn.XLOOKUP(1, (Facturas_Odoo!$D:$D=A1428) * (Facturas_Odoo!$K:$K=I1428), Facturas_Odoo!$N:$N, 0), 0))</f>
        <v/>
      </c>
      <c r="V1428" s="79">
        <f>IF(Q1428="Sin Factura",0,IFERROR(_xlfn.XLOOKUP(1, (Facturas_Odoo!$D:$D=A1428) * (Facturas_Odoo!$K:$K=I1428), Facturas_Odoo!$O:$O, 0), 0))</f>
        <v/>
      </c>
      <c r="W1428" s="81">
        <f>IF(Q1428="Sin Factura",0,IFERROR(_xlfn.XLOOKUP(1, (Facturas_Odoo!$D:$D=A1428) * (Facturas_Odoo!$K:$K=I1428), Facturas_Odoo!$Q:$Q, 0), 0))</f>
        <v/>
      </c>
      <c r="X1428" s="79">
        <f>IF(OR(Q1428="Sin Factura",Q1428=""),"",IFERROR(INDEX(Pagos_Odoo!$B:$B, MATCH(Q1428, Pagos_Odoo!$I:$I, 0)), "Sin Pago"))</f>
        <v/>
      </c>
      <c r="Y1428" s="79">
        <f>IF(X1428="Sin Pago","",IFERROR(INDEX(Pagos_Odoo!$C:$C, MATCH(X1428, Pagos_Odoo!$B:$B, 0)), ""))</f>
        <v/>
      </c>
      <c r="Z1428" s="80">
        <f>IF(X1428="Sin Pago","",IFERROR(INDEX(Pagos_Odoo!$A:$A, MATCH(X1428, Pagos_Odoo!$B:$B, 0)), ""))</f>
        <v/>
      </c>
      <c r="AA1428" s="79">
        <f>IF(X1428="Sin Pago","",IFERROR(INDEX(Pagos_Odoo!$F:$F, MATCH(X1428, Pagos_Odoo!$B:$B, 0)), ""))</f>
        <v/>
      </c>
      <c r="AB1428" s="81">
        <f>IF(X1428="Sin Pago",0,IFERROR(INDEX(Pagos_Odoo!$E:$E, MATCH(X1428, Pagos_Odoo!$B:$B, 0)), 0))</f>
        <v/>
      </c>
      <c r="AC1428" s="79">
        <f>IF(X1428="Sin Pago","",IFERROR(INDEX(Pagos_Odoo!$G:$G, MATCH(X1428, Pagos_Odoo!$B:$B, 0)), ""))</f>
        <v/>
      </c>
      <c r="AD1428" s="82" t="n">
        <v>0</v>
      </c>
      <c r="AE1428" s="82" t="n"/>
      <c r="AF1428" s="82" t="n"/>
      <c r="AG1428" s="82">
        <f>IF(AN1428="","",AD1428+AE1428+AF1428)</f>
        <v/>
      </c>
      <c r="AH1428" s="81">
        <f>IF(AN1428="","",P1428*(1-AG1428))</f>
        <v/>
      </c>
      <c r="AI1428" s="81">
        <f>IF(AN1428="","",IF(Q1428="Sin Factura",0,IFERROR(INDEX(Facturas_Odoo!$H:$H, MATCH(Q1428, Facturas_Odoo!$B:$B, 0)), 0)*(1-AG1428)))</f>
        <v/>
      </c>
      <c r="AJ1428" s="81">
        <f>IF(AN1428="","",_xlfn.LET(idVenta, AN1428&amp;"",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28" s="81">
        <f>IF(AN1428="","",AH1428-AJ1428)</f>
        <v/>
      </c>
      <c r="AL1428" s="81">
        <f>IF(AN1428="","",IF(Q1428="Sin Factura","",AI1428-AJ1428))</f>
        <v/>
      </c>
      <c r="AM1428" s="81">
        <f>IF(AN1428="","",IF(Q1428="Sin Factura",0,P1428-IFERROR(INDEX(Facturas_Odoo!$H:$H, MATCH(Q1428, Facturas_Odoo!$B:$B, 0)), 0)))</f>
        <v/>
      </c>
      <c r="AN1428" s="79">
        <f>IF(AND(A1428="", J1428=""), "", IF(A1428&lt;&gt;"", VALUE(MID(A1428,2,LEN(A1428))), AN1427))</f>
        <v/>
      </c>
      <c r="AO1428" s="79">
        <f>IF(AN1428="","",IF(AD1428=0,"OK",_xlfn.LET(monedaPago, IF(AA1428="","USD",AA1428), limitePermitido, IFERROR(VLOOKUP(monedaPago, Configuración!$A$2:$B$3, 2, FALSE), 0.15), IF(AD1428&gt;limitePermitido, "ALERTA: EXCESO (" &amp; TEXT(limitePermitido, "0%") &amp; " máx)", "OK"))))</f>
        <v/>
      </c>
      <c r="AP1428" s="79">
        <f>IF(AN1428="","",IF(AE1428=0,"OK",_xlfn.LET(fechaPago, Z1428, fechaFactura, R1428, diasCredito, IF(E1428="Pago inmediato", 0, IFERROR(VALUE(MID(E1428, 1, SEARCH(" ", E1428)-1)),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28" s="79">
        <f>IF(AN1428="","",IF(AND(N1428&gt;0, AG1428&gt;0), IF(Configuración!$K$2="NO", "ALERTA: DESCUENTO DOBLE NO PERMITIDO", "OK"), "OK"))</f>
        <v/>
      </c>
      <c r="AR1428" s="79">
        <f>IF(AN1428="","",IF(OR(AO1428&lt;&gt;"OK", AP1428&lt;&gt;"OK", AQ1428&lt;&gt;"OK"), "⚠️ REVISAR", "OK"))</f>
        <v/>
      </c>
    </row>
    <row r="1429">
      <c r="A1429" s="79">
        <f>IF('Ordenes_Odoo'!A1429="","",'Ordenes_Odoo'!A1429)</f>
        <v/>
      </c>
      <c r="B1429" s="80">
        <f>IF('Ordenes_Odoo'!B1429="","",'Ordenes_Odoo'!B1429)</f>
        <v/>
      </c>
      <c r="C1429" s="79">
        <f>IF('Ordenes_Odoo'!C1429="","",'Ordenes_Odoo'!C1429)</f>
        <v/>
      </c>
      <c r="D1429" s="79">
        <f>IF('Ordenes_Odoo'!D1429="","",'Ordenes_Odoo'!D1429)</f>
        <v/>
      </c>
      <c r="E1429" s="79">
        <f>IF('Ordenes_Odoo'!E1429="","",'Ordenes_Odoo'!E1429)</f>
        <v/>
      </c>
      <c r="F1429" s="79">
        <f>IF('Ordenes_Odoo'!F1429="","",'Ordenes_Odoo'!F1429)</f>
        <v/>
      </c>
      <c r="G1429" s="79">
        <f>IF('Ordenes_Odoo'!G1429="","",'Ordenes_Odoo'!G1429)</f>
        <v/>
      </c>
      <c r="H1429" s="79">
        <f>IF('Ordenes_Odoo'!H1429="","",'Ordenes_Odoo'!H1429)</f>
        <v/>
      </c>
      <c r="I1429" s="79">
        <f>IF('Ordenes_Odoo'!I1429="","",'Ordenes_Odoo'!I1429)</f>
        <v/>
      </c>
      <c r="J1429" s="79">
        <f>IF('Ordenes_Odoo'!J1429="","",'Ordenes_Odoo'!J1429)</f>
        <v/>
      </c>
      <c r="K1429" s="81">
        <f>IF('Ordenes_Odoo'!K1429="","",'Ordenes_Odoo'!K1429)</f>
        <v/>
      </c>
      <c r="L1429" s="81">
        <f>IF('Ordenes_Odoo'!L1429="","",'Ordenes_Odoo'!L1429)</f>
        <v/>
      </c>
      <c r="M1429" s="79">
        <f>IF('Ordenes_Odoo'!M1429="","",'Ordenes_Odoo'!M1429)</f>
        <v/>
      </c>
      <c r="N1429" s="79">
        <f>IF('Ordenes_Odoo'!N1429="","",'Ordenes_Odoo'!N1429)</f>
        <v/>
      </c>
      <c r="O1429" s="81">
        <f>IF('Ordenes_Odoo'!O1429="","",'Ordenes_Odoo'!O1429)</f>
        <v/>
      </c>
      <c r="P1429" s="81">
        <f>IF('Ordenes_Odoo'!P1429="","",'Ordenes_Odoo'!P1429)</f>
        <v/>
      </c>
      <c r="Q1429" s="79">
        <f>IF(A1429="","",IFERROR(INDEX(Facturas_Odoo!$B:$B, MATCH(A1429, Facturas_Odoo!$D:$D, 0)), "Sin Factura"))</f>
        <v/>
      </c>
      <c r="R1429" s="80">
        <f>IF(Q1429="Sin Factura","",IFERROR(INDEX(Facturas_Odoo!$A:$A, MATCH(Q1429, Facturas_Odoo!$B:$B, 0)), ""))</f>
        <v/>
      </c>
      <c r="S1429" s="79">
        <f>IF(Q1429="Sin Factura","",IFERROR(_xlfn.XLOOKUP(1, (Facturas_Odoo!$D:$D=A1429) * (Facturas_Odoo!$K:$K=I1429), Facturas_Odoo!$L:$L, ""), ""))</f>
        <v/>
      </c>
      <c r="T1429" s="81">
        <f>IF(Q1429="Sin Factura",0,IFERROR(_xlfn.XLOOKUP(1, (Facturas_Odoo!$D:$D=A1429) * (Facturas_Odoo!$K:$K=I1429), Facturas_Odoo!$M:$M, 0), 0))</f>
        <v/>
      </c>
      <c r="U1429" s="79">
        <f>IF(Q1429="Sin Factura",0,IFERROR(_xlfn.XLOOKUP(1, (Facturas_Odoo!$D:$D=A1429) * (Facturas_Odoo!$K:$K=I1429), Facturas_Odoo!$N:$N, 0), 0))</f>
        <v/>
      </c>
      <c r="V1429" s="79">
        <f>IF(Q1429="Sin Factura",0,IFERROR(_xlfn.XLOOKUP(1, (Facturas_Odoo!$D:$D=A1429) * (Facturas_Odoo!$K:$K=I1429), Facturas_Odoo!$O:$O, 0), 0))</f>
        <v/>
      </c>
      <c r="W1429" s="81">
        <f>IF(Q1429="Sin Factura",0,IFERROR(_xlfn.XLOOKUP(1, (Facturas_Odoo!$D:$D=A1429) * (Facturas_Odoo!$K:$K=I1429), Facturas_Odoo!$Q:$Q, 0), 0))</f>
        <v/>
      </c>
      <c r="X1429" s="79">
        <f>IF(OR(Q1429="Sin Factura",Q1429=""),"",IFERROR(INDEX(Pagos_Odoo!$B:$B, MATCH(Q1429, Pagos_Odoo!$I:$I, 0)), "Sin Pago"))</f>
        <v/>
      </c>
      <c r="Y1429" s="79">
        <f>IF(X1429="Sin Pago","",IFERROR(INDEX(Pagos_Odoo!$C:$C, MATCH(X1429, Pagos_Odoo!$B:$B, 0)), ""))</f>
        <v/>
      </c>
      <c r="Z1429" s="80">
        <f>IF(X1429="Sin Pago","",IFERROR(INDEX(Pagos_Odoo!$A:$A, MATCH(X1429, Pagos_Odoo!$B:$B, 0)), ""))</f>
        <v/>
      </c>
      <c r="AA1429" s="79">
        <f>IF(X1429="Sin Pago","",IFERROR(INDEX(Pagos_Odoo!$F:$F, MATCH(X1429, Pagos_Odoo!$B:$B, 0)), ""))</f>
        <v/>
      </c>
      <c r="AB1429" s="81">
        <f>IF(X1429="Sin Pago",0,IFERROR(INDEX(Pagos_Odoo!$E:$E, MATCH(X1429, Pagos_Odoo!$B:$B, 0)), 0))</f>
        <v/>
      </c>
      <c r="AC1429" s="79">
        <f>IF(X1429="Sin Pago","",IFERROR(INDEX(Pagos_Odoo!$G:$G, MATCH(X1429, Pagos_Odoo!$B:$B, 0)), ""))</f>
        <v/>
      </c>
      <c r="AD1429" s="82" t="n">
        <v>0</v>
      </c>
      <c r="AE1429" s="82" t="n"/>
      <c r="AF1429" s="82" t="n"/>
      <c r="AG1429" s="82">
        <f>IF(AN1429="","",AD1429+AE1429+AF1429)</f>
        <v/>
      </c>
      <c r="AH1429" s="81">
        <f>IF(AN1429="","",P1429*(1-AG1429))</f>
        <v/>
      </c>
      <c r="AI1429" s="81">
        <f>IF(AN1429="","",IF(Q1429="Sin Factura",0,IFERROR(INDEX(Facturas_Odoo!$H:$H, MATCH(Q1429, Facturas_Odoo!$B:$B, 0)), 0)*(1-AG1429)))</f>
        <v/>
      </c>
      <c r="AJ1429" s="81">
        <f>IF(AN1429="","",_xlfn.LET(idVenta, AN1429&amp;"",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29" s="81">
        <f>IF(AN1429="","",AH1429-AJ1429)</f>
        <v/>
      </c>
      <c r="AL1429" s="81">
        <f>IF(AN1429="","",IF(Q1429="Sin Factura","",AI1429-AJ1429))</f>
        <v/>
      </c>
      <c r="AM1429" s="81">
        <f>IF(AN1429="","",IF(Q1429="Sin Factura",0,P1429-IFERROR(INDEX(Facturas_Odoo!$H:$H, MATCH(Q1429, Facturas_Odoo!$B:$B, 0)), 0)))</f>
        <v/>
      </c>
      <c r="AN1429" s="79">
        <f>IF(AND(A1429="", J1429=""), "", IF(A1429&lt;&gt;"", VALUE(MID(A1429,2,LEN(A1429))), AN1428))</f>
        <v/>
      </c>
      <c r="AO1429" s="79">
        <f>IF(AN1429="","",IF(AD1429=0,"OK",_xlfn.LET(monedaPago, IF(AA1429="","USD",AA1429), limitePermitido, IFERROR(VLOOKUP(monedaPago, Configuración!$A$2:$B$3, 2, FALSE), 0.15), IF(AD1429&gt;limitePermitido, "ALERTA: EXCESO (" &amp; TEXT(limitePermitido, "0%") &amp; " máx)", "OK"))))</f>
        <v/>
      </c>
      <c r="AP1429" s="79">
        <f>IF(AN1429="","",IF(AE1429=0,"OK",_xlfn.LET(fechaPago, Z1429, fechaFactura, R1429, diasCredito, IF(E1429="Pago inmediato", 0, IFERROR(VALUE(MID(E1429, 1, SEARCH(" ", E1429)-1)),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29" s="79">
        <f>IF(AN1429="","",IF(AND(N1429&gt;0, AG1429&gt;0), IF(Configuración!$K$2="NO", "ALERTA: DESCUENTO DOBLE NO PERMITIDO", "OK"), "OK"))</f>
        <v/>
      </c>
      <c r="AR1429" s="79">
        <f>IF(AN1429="","",IF(OR(AO1429&lt;&gt;"OK", AP1429&lt;&gt;"OK", AQ1429&lt;&gt;"OK"), "⚠️ REVISAR", "OK"))</f>
        <v/>
      </c>
    </row>
    <row r="1430">
      <c r="A1430" s="79">
        <f>IF('Ordenes_Odoo'!A1430="","",'Ordenes_Odoo'!A1430)</f>
        <v/>
      </c>
      <c r="B1430" s="80">
        <f>IF('Ordenes_Odoo'!B1430="","",'Ordenes_Odoo'!B1430)</f>
        <v/>
      </c>
      <c r="C1430" s="79">
        <f>IF('Ordenes_Odoo'!C1430="","",'Ordenes_Odoo'!C1430)</f>
        <v/>
      </c>
      <c r="D1430" s="79">
        <f>IF('Ordenes_Odoo'!D1430="","",'Ordenes_Odoo'!D1430)</f>
        <v/>
      </c>
      <c r="E1430" s="79">
        <f>IF('Ordenes_Odoo'!E1430="","",'Ordenes_Odoo'!E1430)</f>
        <v/>
      </c>
      <c r="F1430" s="79">
        <f>IF('Ordenes_Odoo'!F1430="","",'Ordenes_Odoo'!F1430)</f>
        <v/>
      </c>
      <c r="G1430" s="79">
        <f>IF('Ordenes_Odoo'!G1430="","",'Ordenes_Odoo'!G1430)</f>
        <v/>
      </c>
      <c r="H1430" s="79">
        <f>IF('Ordenes_Odoo'!H1430="","",'Ordenes_Odoo'!H1430)</f>
        <v/>
      </c>
      <c r="I1430" s="79">
        <f>IF('Ordenes_Odoo'!I1430="","",'Ordenes_Odoo'!I1430)</f>
        <v/>
      </c>
      <c r="J1430" s="79">
        <f>IF('Ordenes_Odoo'!J1430="","",'Ordenes_Odoo'!J1430)</f>
        <v/>
      </c>
      <c r="K1430" s="81">
        <f>IF('Ordenes_Odoo'!K1430="","",'Ordenes_Odoo'!K1430)</f>
        <v/>
      </c>
      <c r="L1430" s="81">
        <f>IF('Ordenes_Odoo'!L1430="","",'Ordenes_Odoo'!L1430)</f>
        <v/>
      </c>
      <c r="M1430" s="79">
        <f>IF('Ordenes_Odoo'!M1430="","",'Ordenes_Odoo'!M1430)</f>
        <v/>
      </c>
      <c r="N1430" s="79">
        <f>IF('Ordenes_Odoo'!N1430="","",'Ordenes_Odoo'!N1430)</f>
        <v/>
      </c>
      <c r="O1430" s="81">
        <f>IF('Ordenes_Odoo'!O1430="","",'Ordenes_Odoo'!O1430)</f>
        <v/>
      </c>
      <c r="P1430" s="81">
        <f>IF('Ordenes_Odoo'!P1430="","",'Ordenes_Odoo'!P1430)</f>
        <v/>
      </c>
      <c r="Q1430" s="79">
        <f>IF(A1430="","",IFERROR(INDEX(Facturas_Odoo!$B:$B, MATCH(A1430, Facturas_Odoo!$D:$D, 0)), "Sin Factura"))</f>
        <v/>
      </c>
      <c r="R1430" s="80">
        <f>IF(Q1430="Sin Factura","",IFERROR(INDEX(Facturas_Odoo!$A:$A, MATCH(Q1430, Facturas_Odoo!$B:$B, 0)), ""))</f>
        <v/>
      </c>
      <c r="S1430" s="79">
        <f>IF(Q1430="Sin Factura","",IFERROR(_xlfn.XLOOKUP(1, (Facturas_Odoo!$D:$D=A1430) * (Facturas_Odoo!$K:$K=I1430), Facturas_Odoo!$L:$L, ""), ""))</f>
        <v/>
      </c>
      <c r="T1430" s="81">
        <f>IF(Q1430="Sin Factura",0,IFERROR(_xlfn.XLOOKUP(1, (Facturas_Odoo!$D:$D=A1430) * (Facturas_Odoo!$K:$K=I1430), Facturas_Odoo!$M:$M, 0), 0))</f>
        <v/>
      </c>
      <c r="U1430" s="79">
        <f>IF(Q1430="Sin Factura",0,IFERROR(_xlfn.XLOOKUP(1, (Facturas_Odoo!$D:$D=A1430) * (Facturas_Odoo!$K:$K=I1430), Facturas_Odoo!$N:$N, 0), 0))</f>
        <v/>
      </c>
      <c r="V1430" s="79">
        <f>IF(Q1430="Sin Factura",0,IFERROR(_xlfn.XLOOKUP(1, (Facturas_Odoo!$D:$D=A1430) * (Facturas_Odoo!$K:$K=I1430), Facturas_Odoo!$O:$O, 0), 0))</f>
        <v/>
      </c>
      <c r="W1430" s="81">
        <f>IF(Q1430="Sin Factura",0,IFERROR(_xlfn.XLOOKUP(1, (Facturas_Odoo!$D:$D=A1430) * (Facturas_Odoo!$K:$K=I1430), Facturas_Odoo!$Q:$Q, 0), 0))</f>
        <v/>
      </c>
      <c r="X1430" s="79">
        <f>IF(OR(Q1430="Sin Factura",Q1430=""),"",IFERROR(INDEX(Pagos_Odoo!$B:$B, MATCH(Q1430, Pagos_Odoo!$I:$I, 0)), "Sin Pago"))</f>
        <v/>
      </c>
      <c r="Y1430" s="79">
        <f>IF(X1430="Sin Pago","",IFERROR(INDEX(Pagos_Odoo!$C:$C, MATCH(X1430, Pagos_Odoo!$B:$B, 0)), ""))</f>
        <v/>
      </c>
      <c r="Z1430" s="80">
        <f>IF(X1430="Sin Pago","",IFERROR(INDEX(Pagos_Odoo!$A:$A, MATCH(X1430, Pagos_Odoo!$B:$B, 0)), ""))</f>
        <v/>
      </c>
      <c r="AA1430" s="79">
        <f>IF(X1430="Sin Pago","",IFERROR(INDEX(Pagos_Odoo!$F:$F, MATCH(X1430, Pagos_Odoo!$B:$B, 0)), ""))</f>
        <v/>
      </c>
      <c r="AB1430" s="81">
        <f>IF(X1430="Sin Pago",0,IFERROR(INDEX(Pagos_Odoo!$E:$E, MATCH(X1430, Pagos_Odoo!$B:$B, 0)), 0))</f>
        <v/>
      </c>
      <c r="AC1430" s="79">
        <f>IF(X1430="Sin Pago","",IFERROR(INDEX(Pagos_Odoo!$G:$G, MATCH(X1430, Pagos_Odoo!$B:$B, 0)), ""))</f>
        <v/>
      </c>
      <c r="AD1430" s="82" t="n">
        <v>0</v>
      </c>
      <c r="AE1430" s="82" t="n"/>
      <c r="AF1430" s="82" t="n"/>
      <c r="AG1430" s="82">
        <f>IF(AN1430="","",AD1430+AE1430+AF1430)</f>
        <v/>
      </c>
      <c r="AH1430" s="81">
        <f>IF(AN1430="","",P1430*(1-AG1430))</f>
        <v/>
      </c>
      <c r="AI1430" s="81">
        <f>IF(AN1430="","",IF(Q1430="Sin Factura",0,IFERROR(INDEX(Facturas_Odoo!$H:$H, MATCH(Q1430, Facturas_Odoo!$B:$B, 0)), 0)*(1-AG1430)))</f>
        <v/>
      </c>
      <c r="AJ1430" s="81">
        <f>IF(AN1430="","",_xlfn.LET(idVenta, AN1430&amp;"",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30" s="81">
        <f>IF(AN1430="","",AH1430-AJ1430)</f>
        <v/>
      </c>
      <c r="AL1430" s="81">
        <f>IF(AN1430="","",IF(Q1430="Sin Factura","",AI1430-AJ1430))</f>
        <v/>
      </c>
      <c r="AM1430" s="81">
        <f>IF(AN1430="","",IF(Q1430="Sin Factura",0,P1430-IFERROR(INDEX(Facturas_Odoo!$H:$H, MATCH(Q1430, Facturas_Odoo!$B:$B, 0)), 0)))</f>
        <v/>
      </c>
      <c r="AN1430" s="79">
        <f>IF(AND(A1430="", J1430=""), "", IF(A1430&lt;&gt;"", VALUE(MID(A1430,2,LEN(A1430))), AN1429))</f>
        <v/>
      </c>
      <c r="AO1430" s="79">
        <f>IF(AN1430="","",IF(AD1430=0,"OK",_xlfn.LET(monedaPago, IF(AA1430="","USD",AA1430), limitePermitido, IFERROR(VLOOKUP(monedaPago, Configuración!$A$2:$B$3, 2, FALSE), 0.15), IF(AD1430&gt;limitePermitido, "ALERTA: EXCESO (" &amp; TEXT(limitePermitido, "0%") &amp; " máx)", "OK"))))</f>
        <v/>
      </c>
      <c r="AP1430" s="79">
        <f>IF(AN1430="","",IF(AE1430=0,"OK",_xlfn.LET(fechaPago, Z1430, fechaFactura, R1430, diasCredito, IF(E1430="Pago inmediato", 0, IFERROR(VALUE(MID(E1430, 1, SEARCH(" ", E1430)-1)),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30" s="79">
        <f>IF(AN1430="","",IF(AND(N1430&gt;0, AG1430&gt;0), IF(Configuración!$K$2="NO", "ALERTA: DESCUENTO DOBLE NO PERMITIDO", "OK"), "OK"))</f>
        <v/>
      </c>
      <c r="AR1430" s="79">
        <f>IF(AN1430="","",IF(OR(AO1430&lt;&gt;"OK", AP1430&lt;&gt;"OK", AQ1430&lt;&gt;"OK"), "⚠️ REVISAR", "OK"))</f>
        <v/>
      </c>
    </row>
    <row r="1431">
      <c r="A1431" s="79">
        <f>IF('Ordenes_Odoo'!A1431="","",'Ordenes_Odoo'!A1431)</f>
        <v/>
      </c>
      <c r="B1431" s="80">
        <f>IF('Ordenes_Odoo'!B1431="","",'Ordenes_Odoo'!B1431)</f>
        <v/>
      </c>
      <c r="C1431" s="79">
        <f>IF('Ordenes_Odoo'!C1431="","",'Ordenes_Odoo'!C1431)</f>
        <v/>
      </c>
      <c r="D1431" s="79">
        <f>IF('Ordenes_Odoo'!D1431="","",'Ordenes_Odoo'!D1431)</f>
        <v/>
      </c>
      <c r="E1431" s="79">
        <f>IF('Ordenes_Odoo'!E1431="","",'Ordenes_Odoo'!E1431)</f>
        <v/>
      </c>
      <c r="F1431" s="79">
        <f>IF('Ordenes_Odoo'!F1431="","",'Ordenes_Odoo'!F1431)</f>
        <v/>
      </c>
      <c r="G1431" s="79">
        <f>IF('Ordenes_Odoo'!G1431="","",'Ordenes_Odoo'!G1431)</f>
        <v/>
      </c>
      <c r="H1431" s="79">
        <f>IF('Ordenes_Odoo'!H1431="","",'Ordenes_Odoo'!H1431)</f>
        <v/>
      </c>
      <c r="I1431" s="79">
        <f>IF('Ordenes_Odoo'!I1431="","",'Ordenes_Odoo'!I1431)</f>
        <v/>
      </c>
      <c r="J1431" s="79">
        <f>IF('Ordenes_Odoo'!J1431="","",'Ordenes_Odoo'!J1431)</f>
        <v/>
      </c>
      <c r="K1431" s="81">
        <f>IF('Ordenes_Odoo'!K1431="","",'Ordenes_Odoo'!K1431)</f>
        <v/>
      </c>
      <c r="L1431" s="81">
        <f>IF('Ordenes_Odoo'!L1431="","",'Ordenes_Odoo'!L1431)</f>
        <v/>
      </c>
      <c r="M1431" s="79">
        <f>IF('Ordenes_Odoo'!M1431="","",'Ordenes_Odoo'!M1431)</f>
        <v/>
      </c>
      <c r="N1431" s="79">
        <f>IF('Ordenes_Odoo'!N1431="","",'Ordenes_Odoo'!N1431)</f>
        <v/>
      </c>
      <c r="O1431" s="81">
        <f>IF('Ordenes_Odoo'!O1431="","",'Ordenes_Odoo'!O1431)</f>
        <v/>
      </c>
      <c r="P1431" s="81">
        <f>IF('Ordenes_Odoo'!P1431="","",'Ordenes_Odoo'!P1431)</f>
        <v/>
      </c>
      <c r="Q1431" s="79">
        <f>IF(A1431="","",IFERROR(INDEX(Facturas_Odoo!$B:$B, MATCH(A1431, Facturas_Odoo!$D:$D, 0)), "Sin Factura"))</f>
        <v/>
      </c>
      <c r="R1431" s="80">
        <f>IF(Q1431="Sin Factura","",IFERROR(INDEX(Facturas_Odoo!$A:$A, MATCH(Q1431, Facturas_Odoo!$B:$B, 0)), ""))</f>
        <v/>
      </c>
      <c r="S1431" s="79">
        <f>IF(Q1431="Sin Factura","",IFERROR(_xlfn.XLOOKUP(1, (Facturas_Odoo!$D:$D=A1431) * (Facturas_Odoo!$K:$K=I1431), Facturas_Odoo!$L:$L, ""), ""))</f>
        <v/>
      </c>
      <c r="T1431" s="81">
        <f>IF(Q1431="Sin Factura",0,IFERROR(_xlfn.XLOOKUP(1, (Facturas_Odoo!$D:$D=A1431) * (Facturas_Odoo!$K:$K=I1431), Facturas_Odoo!$M:$M, 0), 0))</f>
        <v/>
      </c>
      <c r="U1431" s="79">
        <f>IF(Q1431="Sin Factura",0,IFERROR(_xlfn.XLOOKUP(1, (Facturas_Odoo!$D:$D=A1431) * (Facturas_Odoo!$K:$K=I1431), Facturas_Odoo!$N:$N, 0), 0))</f>
        <v/>
      </c>
      <c r="V1431" s="79">
        <f>IF(Q1431="Sin Factura",0,IFERROR(_xlfn.XLOOKUP(1, (Facturas_Odoo!$D:$D=A1431) * (Facturas_Odoo!$K:$K=I1431), Facturas_Odoo!$O:$O, 0), 0))</f>
        <v/>
      </c>
      <c r="W1431" s="81">
        <f>IF(Q1431="Sin Factura",0,IFERROR(_xlfn.XLOOKUP(1, (Facturas_Odoo!$D:$D=A1431) * (Facturas_Odoo!$K:$K=I1431), Facturas_Odoo!$Q:$Q, 0), 0))</f>
        <v/>
      </c>
      <c r="X1431" s="79">
        <f>IF(OR(Q1431="Sin Factura",Q1431=""),"",IFERROR(INDEX(Pagos_Odoo!$B:$B, MATCH(Q1431, Pagos_Odoo!$I:$I, 0)), "Sin Pago"))</f>
        <v/>
      </c>
      <c r="Y1431" s="79">
        <f>IF(X1431="Sin Pago","",IFERROR(INDEX(Pagos_Odoo!$C:$C, MATCH(X1431, Pagos_Odoo!$B:$B, 0)), ""))</f>
        <v/>
      </c>
      <c r="Z1431" s="80">
        <f>IF(X1431="Sin Pago","",IFERROR(INDEX(Pagos_Odoo!$A:$A, MATCH(X1431, Pagos_Odoo!$B:$B, 0)), ""))</f>
        <v/>
      </c>
      <c r="AA1431" s="79">
        <f>IF(X1431="Sin Pago","",IFERROR(INDEX(Pagos_Odoo!$F:$F, MATCH(X1431, Pagos_Odoo!$B:$B, 0)), ""))</f>
        <v/>
      </c>
      <c r="AB1431" s="81">
        <f>IF(X1431="Sin Pago",0,IFERROR(INDEX(Pagos_Odoo!$E:$E, MATCH(X1431, Pagos_Odoo!$B:$B, 0)), 0))</f>
        <v/>
      </c>
      <c r="AC1431" s="79">
        <f>IF(X1431="Sin Pago","",IFERROR(INDEX(Pagos_Odoo!$G:$G, MATCH(X1431, Pagos_Odoo!$B:$B, 0)), ""))</f>
        <v/>
      </c>
      <c r="AD1431" s="82" t="n">
        <v>0</v>
      </c>
      <c r="AE1431" s="82" t="n"/>
      <c r="AF1431" s="82" t="n"/>
      <c r="AG1431" s="82">
        <f>IF(AN1431="","",AD1431+AE1431+AF1431)</f>
        <v/>
      </c>
      <c r="AH1431" s="81">
        <f>IF(AN1431="","",P1431*(1-AG1431))</f>
        <v/>
      </c>
      <c r="AI1431" s="81">
        <f>IF(AN1431="","",IF(Q1431="Sin Factura",0,IFERROR(INDEX(Facturas_Odoo!$H:$H, MATCH(Q1431, Facturas_Odoo!$B:$B, 0)), 0)*(1-AG1431)))</f>
        <v/>
      </c>
      <c r="AJ1431" s="81">
        <f>IF(AN1431="","",_xlfn.LET(idVenta, AN1431&amp;"",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31" s="81">
        <f>IF(AN1431="","",AH1431-AJ1431)</f>
        <v/>
      </c>
      <c r="AL1431" s="81">
        <f>IF(AN1431="","",IF(Q1431="Sin Factura","",AI1431-AJ1431))</f>
        <v/>
      </c>
      <c r="AM1431" s="81">
        <f>IF(AN1431="","",IF(Q1431="Sin Factura",0,P1431-IFERROR(INDEX(Facturas_Odoo!$H:$H, MATCH(Q1431, Facturas_Odoo!$B:$B, 0)), 0)))</f>
        <v/>
      </c>
      <c r="AN1431" s="79">
        <f>IF(AND(A1431="", J1431=""), "", IF(A1431&lt;&gt;"", VALUE(MID(A1431,2,LEN(A1431))), AN1430))</f>
        <v/>
      </c>
      <c r="AO1431" s="79">
        <f>IF(AN1431="","",IF(AD1431=0,"OK",_xlfn.LET(monedaPago, IF(AA1431="","USD",AA1431), limitePermitido, IFERROR(VLOOKUP(monedaPago, Configuración!$A$2:$B$3, 2, FALSE), 0.15), IF(AD1431&gt;limitePermitido, "ALERTA: EXCESO (" &amp; TEXT(limitePermitido, "0%") &amp; " máx)", "OK"))))</f>
        <v/>
      </c>
      <c r="AP1431" s="79">
        <f>IF(AN1431="","",IF(AE1431=0,"OK",_xlfn.LET(fechaPago, Z1431, fechaFactura, R1431, diasCredito, IF(E1431="Pago inmediato", 0, IFERROR(VALUE(MID(E1431, 1, SEARCH(" ", E1431)-1)),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31" s="79">
        <f>IF(AN1431="","",IF(AND(N1431&gt;0, AG1431&gt;0), IF(Configuración!$K$2="NO", "ALERTA: DESCUENTO DOBLE NO PERMITIDO", "OK"), "OK"))</f>
        <v/>
      </c>
      <c r="AR1431" s="79">
        <f>IF(AN1431="","",IF(OR(AO1431&lt;&gt;"OK", AP1431&lt;&gt;"OK", AQ1431&lt;&gt;"OK"), "⚠️ REVISAR", "OK"))</f>
        <v/>
      </c>
    </row>
    <row r="1432">
      <c r="A1432" s="79">
        <f>IF('Ordenes_Odoo'!A1432="","",'Ordenes_Odoo'!A1432)</f>
        <v/>
      </c>
      <c r="B1432" s="80">
        <f>IF('Ordenes_Odoo'!B1432="","",'Ordenes_Odoo'!B1432)</f>
        <v/>
      </c>
      <c r="C1432" s="79">
        <f>IF('Ordenes_Odoo'!C1432="","",'Ordenes_Odoo'!C1432)</f>
        <v/>
      </c>
      <c r="D1432" s="79">
        <f>IF('Ordenes_Odoo'!D1432="","",'Ordenes_Odoo'!D1432)</f>
        <v/>
      </c>
      <c r="E1432" s="79">
        <f>IF('Ordenes_Odoo'!E1432="","",'Ordenes_Odoo'!E1432)</f>
        <v/>
      </c>
      <c r="F1432" s="79">
        <f>IF('Ordenes_Odoo'!F1432="","",'Ordenes_Odoo'!F1432)</f>
        <v/>
      </c>
      <c r="G1432" s="79">
        <f>IF('Ordenes_Odoo'!G1432="","",'Ordenes_Odoo'!G1432)</f>
        <v/>
      </c>
      <c r="H1432" s="79">
        <f>IF('Ordenes_Odoo'!H1432="","",'Ordenes_Odoo'!H1432)</f>
        <v/>
      </c>
      <c r="I1432" s="79">
        <f>IF('Ordenes_Odoo'!I1432="","",'Ordenes_Odoo'!I1432)</f>
        <v/>
      </c>
      <c r="J1432" s="79">
        <f>IF('Ordenes_Odoo'!J1432="","",'Ordenes_Odoo'!J1432)</f>
        <v/>
      </c>
      <c r="K1432" s="81">
        <f>IF('Ordenes_Odoo'!K1432="","",'Ordenes_Odoo'!K1432)</f>
        <v/>
      </c>
      <c r="L1432" s="81">
        <f>IF('Ordenes_Odoo'!L1432="","",'Ordenes_Odoo'!L1432)</f>
        <v/>
      </c>
      <c r="M1432" s="79">
        <f>IF('Ordenes_Odoo'!M1432="","",'Ordenes_Odoo'!M1432)</f>
        <v/>
      </c>
      <c r="N1432" s="79">
        <f>IF('Ordenes_Odoo'!N1432="","",'Ordenes_Odoo'!N1432)</f>
        <v/>
      </c>
      <c r="O1432" s="81">
        <f>IF('Ordenes_Odoo'!O1432="","",'Ordenes_Odoo'!O1432)</f>
        <v/>
      </c>
      <c r="P1432" s="81">
        <f>IF('Ordenes_Odoo'!P1432="","",'Ordenes_Odoo'!P1432)</f>
        <v/>
      </c>
      <c r="Q1432" s="79">
        <f>IF(A1432="","",IFERROR(INDEX(Facturas_Odoo!$B:$B, MATCH(A1432, Facturas_Odoo!$D:$D, 0)), "Sin Factura"))</f>
        <v/>
      </c>
      <c r="R1432" s="80">
        <f>IF(Q1432="Sin Factura","",IFERROR(INDEX(Facturas_Odoo!$A:$A, MATCH(Q1432, Facturas_Odoo!$B:$B, 0)), ""))</f>
        <v/>
      </c>
      <c r="S1432" s="79">
        <f>IF(Q1432="Sin Factura","",IFERROR(_xlfn.XLOOKUP(1, (Facturas_Odoo!$D:$D=A1432) * (Facturas_Odoo!$K:$K=I1432), Facturas_Odoo!$L:$L, ""), ""))</f>
        <v/>
      </c>
      <c r="T1432" s="81">
        <f>IF(Q1432="Sin Factura",0,IFERROR(_xlfn.XLOOKUP(1, (Facturas_Odoo!$D:$D=A1432) * (Facturas_Odoo!$K:$K=I1432), Facturas_Odoo!$M:$M, 0), 0))</f>
        <v/>
      </c>
      <c r="U1432" s="79">
        <f>IF(Q1432="Sin Factura",0,IFERROR(_xlfn.XLOOKUP(1, (Facturas_Odoo!$D:$D=A1432) * (Facturas_Odoo!$K:$K=I1432), Facturas_Odoo!$N:$N, 0), 0))</f>
        <v/>
      </c>
      <c r="V1432" s="79">
        <f>IF(Q1432="Sin Factura",0,IFERROR(_xlfn.XLOOKUP(1, (Facturas_Odoo!$D:$D=A1432) * (Facturas_Odoo!$K:$K=I1432), Facturas_Odoo!$O:$O, 0), 0))</f>
        <v/>
      </c>
      <c r="W1432" s="81">
        <f>IF(Q1432="Sin Factura",0,IFERROR(_xlfn.XLOOKUP(1, (Facturas_Odoo!$D:$D=A1432) * (Facturas_Odoo!$K:$K=I1432), Facturas_Odoo!$Q:$Q, 0), 0))</f>
        <v/>
      </c>
      <c r="X1432" s="79">
        <f>IF(OR(Q1432="Sin Factura",Q1432=""),"",IFERROR(INDEX(Pagos_Odoo!$B:$B, MATCH(Q1432, Pagos_Odoo!$I:$I, 0)), "Sin Pago"))</f>
        <v/>
      </c>
      <c r="Y1432" s="79">
        <f>IF(X1432="Sin Pago","",IFERROR(INDEX(Pagos_Odoo!$C:$C, MATCH(X1432, Pagos_Odoo!$B:$B, 0)), ""))</f>
        <v/>
      </c>
      <c r="Z1432" s="80">
        <f>IF(X1432="Sin Pago","",IFERROR(INDEX(Pagos_Odoo!$A:$A, MATCH(X1432, Pagos_Odoo!$B:$B, 0)), ""))</f>
        <v/>
      </c>
      <c r="AA1432" s="79">
        <f>IF(X1432="Sin Pago","",IFERROR(INDEX(Pagos_Odoo!$F:$F, MATCH(X1432, Pagos_Odoo!$B:$B, 0)), ""))</f>
        <v/>
      </c>
      <c r="AB1432" s="81">
        <f>IF(X1432="Sin Pago",0,IFERROR(INDEX(Pagos_Odoo!$E:$E, MATCH(X1432, Pagos_Odoo!$B:$B, 0)), 0))</f>
        <v/>
      </c>
      <c r="AC1432" s="79">
        <f>IF(X1432="Sin Pago","",IFERROR(INDEX(Pagos_Odoo!$G:$G, MATCH(X1432, Pagos_Odoo!$B:$B, 0)), ""))</f>
        <v/>
      </c>
      <c r="AD1432" s="82" t="n">
        <v>0</v>
      </c>
      <c r="AE1432" s="82" t="n"/>
      <c r="AF1432" s="82" t="n"/>
      <c r="AG1432" s="82">
        <f>IF(AN1432="","",AD1432+AE1432+AF1432)</f>
        <v/>
      </c>
      <c r="AH1432" s="81">
        <f>IF(AN1432="","",P1432*(1-AG1432))</f>
        <v/>
      </c>
      <c r="AI1432" s="81">
        <f>IF(AN1432="","",IF(Q1432="Sin Factura",0,IFERROR(INDEX(Facturas_Odoo!$H:$H, MATCH(Q1432, Facturas_Odoo!$B:$B, 0)), 0)*(1-AG1432)))</f>
        <v/>
      </c>
      <c r="AJ1432" s="81">
        <f>IF(AN1432="","",_xlfn.LET(idVenta, AN1432&amp;"",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32" s="81">
        <f>IF(AN1432="","",AH1432-AJ1432)</f>
        <v/>
      </c>
      <c r="AL1432" s="81">
        <f>IF(AN1432="","",IF(Q1432="Sin Factura","",AI1432-AJ1432))</f>
        <v/>
      </c>
      <c r="AM1432" s="81">
        <f>IF(AN1432="","",IF(Q1432="Sin Factura",0,P1432-IFERROR(INDEX(Facturas_Odoo!$H:$H, MATCH(Q1432, Facturas_Odoo!$B:$B, 0)), 0)))</f>
        <v/>
      </c>
      <c r="AN1432" s="79">
        <f>IF(AND(A1432="", J1432=""), "", IF(A1432&lt;&gt;"", VALUE(MID(A1432,2,LEN(A1432))), AN1431))</f>
        <v/>
      </c>
      <c r="AO1432" s="79">
        <f>IF(AN1432="","",IF(AD1432=0,"OK",_xlfn.LET(monedaPago, IF(AA1432="","USD",AA1432), limitePermitido, IFERROR(VLOOKUP(monedaPago, Configuración!$A$2:$B$3, 2, FALSE), 0.15), IF(AD1432&gt;limitePermitido, "ALERTA: EXCESO (" &amp; TEXT(limitePermitido, "0%") &amp; " máx)", "OK"))))</f>
        <v/>
      </c>
      <c r="AP1432" s="79">
        <f>IF(AN1432="","",IF(AE1432=0,"OK",_xlfn.LET(fechaPago, Z1432, fechaFactura, R1432, diasCredito, IF(E1432="Pago inmediato", 0, IFERROR(VALUE(MID(E1432, 1, SEARCH(" ", E1432)-1)),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32" s="79">
        <f>IF(AN1432="","",IF(AND(N1432&gt;0, AG1432&gt;0), IF(Configuración!$K$2="NO", "ALERTA: DESCUENTO DOBLE NO PERMITIDO", "OK"), "OK"))</f>
        <v/>
      </c>
      <c r="AR1432" s="79">
        <f>IF(AN1432="","",IF(OR(AO1432&lt;&gt;"OK", AP1432&lt;&gt;"OK", AQ1432&lt;&gt;"OK"), "⚠️ REVISAR", "OK"))</f>
        <v/>
      </c>
    </row>
    <row r="1433">
      <c r="A1433" s="79">
        <f>IF('Ordenes_Odoo'!A1433="","",'Ordenes_Odoo'!A1433)</f>
        <v/>
      </c>
      <c r="B1433" s="80">
        <f>IF('Ordenes_Odoo'!B1433="","",'Ordenes_Odoo'!B1433)</f>
        <v/>
      </c>
      <c r="C1433" s="79">
        <f>IF('Ordenes_Odoo'!C1433="","",'Ordenes_Odoo'!C1433)</f>
        <v/>
      </c>
      <c r="D1433" s="79">
        <f>IF('Ordenes_Odoo'!D1433="","",'Ordenes_Odoo'!D1433)</f>
        <v/>
      </c>
      <c r="E1433" s="79">
        <f>IF('Ordenes_Odoo'!E1433="","",'Ordenes_Odoo'!E1433)</f>
        <v/>
      </c>
      <c r="F1433" s="79">
        <f>IF('Ordenes_Odoo'!F1433="","",'Ordenes_Odoo'!F1433)</f>
        <v/>
      </c>
      <c r="G1433" s="79">
        <f>IF('Ordenes_Odoo'!G1433="","",'Ordenes_Odoo'!G1433)</f>
        <v/>
      </c>
      <c r="H1433" s="79">
        <f>IF('Ordenes_Odoo'!H1433="","",'Ordenes_Odoo'!H1433)</f>
        <v/>
      </c>
      <c r="I1433" s="79">
        <f>IF('Ordenes_Odoo'!I1433="","",'Ordenes_Odoo'!I1433)</f>
        <v/>
      </c>
      <c r="J1433" s="79">
        <f>IF('Ordenes_Odoo'!J1433="","",'Ordenes_Odoo'!J1433)</f>
        <v/>
      </c>
      <c r="K1433" s="81">
        <f>IF('Ordenes_Odoo'!K1433="","",'Ordenes_Odoo'!K1433)</f>
        <v/>
      </c>
      <c r="L1433" s="81">
        <f>IF('Ordenes_Odoo'!L1433="","",'Ordenes_Odoo'!L1433)</f>
        <v/>
      </c>
      <c r="M1433" s="79">
        <f>IF('Ordenes_Odoo'!M1433="","",'Ordenes_Odoo'!M1433)</f>
        <v/>
      </c>
      <c r="N1433" s="79">
        <f>IF('Ordenes_Odoo'!N1433="","",'Ordenes_Odoo'!N1433)</f>
        <v/>
      </c>
      <c r="O1433" s="81">
        <f>IF('Ordenes_Odoo'!O1433="","",'Ordenes_Odoo'!O1433)</f>
        <v/>
      </c>
      <c r="P1433" s="81">
        <f>IF('Ordenes_Odoo'!P1433="","",'Ordenes_Odoo'!P1433)</f>
        <v/>
      </c>
      <c r="Q1433" s="79">
        <f>IF(A1433="","",IFERROR(INDEX(Facturas_Odoo!$B:$B, MATCH(A1433, Facturas_Odoo!$D:$D, 0)), "Sin Factura"))</f>
        <v/>
      </c>
      <c r="R1433" s="80">
        <f>IF(Q1433="Sin Factura","",IFERROR(INDEX(Facturas_Odoo!$A:$A, MATCH(Q1433, Facturas_Odoo!$B:$B, 0)), ""))</f>
        <v/>
      </c>
      <c r="S1433" s="79">
        <f>IF(Q1433="Sin Factura","",IFERROR(_xlfn.XLOOKUP(1, (Facturas_Odoo!$D:$D=A1433) * (Facturas_Odoo!$K:$K=I1433), Facturas_Odoo!$L:$L, ""), ""))</f>
        <v/>
      </c>
      <c r="T1433" s="81">
        <f>IF(Q1433="Sin Factura",0,IFERROR(_xlfn.XLOOKUP(1, (Facturas_Odoo!$D:$D=A1433) * (Facturas_Odoo!$K:$K=I1433), Facturas_Odoo!$M:$M, 0), 0))</f>
        <v/>
      </c>
      <c r="U1433" s="79">
        <f>IF(Q1433="Sin Factura",0,IFERROR(_xlfn.XLOOKUP(1, (Facturas_Odoo!$D:$D=A1433) * (Facturas_Odoo!$K:$K=I1433), Facturas_Odoo!$N:$N, 0), 0))</f>
        <v/>
      </c>
      <c r="V1433" s="79">
        <f>IF(Q1433="Sin Factura",0,IFERROR(_xlfn.XLOOKUP(1, (Facturas_Odoo!$D:$D=A1433) * (Facturas_Odoo!$K:$K=I1433), Facturas_Odoo!$O:$O, 0), 0))</f>
        <v/>
      </c>
      <c r="W1433" s="81">
        <f>IF(Q1433="Sin Factura",0,IFERROR(_xlfn.XLOOKUP(1, (Facturas_Odoo!$D:$D=A1433) * (Facturas_Odoo!$K:$K=I1433), Facturas_Odoo!$Q:$Q, 0), 0))</f>
        <v/>
      </c>
      <c r="X1433" s="79">
        <f>IF(OR(Q1433="Sin Factura",Q1433=""),"",IFERROR(INDEX(Pagos_Odoo!$B:$B, MATCH(Q1433, Pagos_Odoo!$I:$I, 0)), "Sin Pago"))</f>
        <v/>
      </c>
      <c r="Y1433" s="79">
        <f>IF(X1433="Sin Pago","",IFERROR(INDEX(Pagos_Odoo!$C:$C, MATCH(X1433, Pagos_Odoo!$B:$B, 0)), ""))</f>
        <v/>
      </c>
      <c r="Z1433" s="80">
        <f>IF(X1433="Sin Pago","",IFERROR(INDEX(Pagos_Odoo!$A:$A, MATCH(X1433, Pagos_Odoo!$B:$B, 0)), ""))</f>
        <v/>
      </c>
      <c r="AA1433" s="79">
        <f>IF(X1433="Sin Pago","",IFERROR(INDEX(Pagos_Odoo!$F:$F, MATCH(X1433, Pagos_Odoo!$B:$B, 0)), ""))</f>
        <v/>
      </c>
      <c r="AB1433" s="81">
        <f>IF(X1433="Sin Pago",0,IFERROR(INDEX(Pagos_Odoo!$E:$E, MATCH(X1433, Pagos_Odoo!$B:$B, 0)), 0))</f>
        <v/>
      </c>
      <c r="AC1433" s="79">
        <f>IF(X1433="Sin Pago","",IFERROR(INDEX(Pagos_Odoo!$G:$G, MATCH(X1433, Pagos_Odoo!$B:$B, 0)), ""))</f>
        <v/>
      </c>
      <c r="AD1433" s="82" t="n">
        <v>0</v>
      </c>
      <c r="AE1433" s="82" t="n"/>
      <c r="AF1433" s="82" t="n"/>
      <c r="AG1433" s="82">
        <f>IF(AN1433="","",AD1433+AE1433+AF1433)</f>
        <v/>
      </c>
      <c r="AH1433" s="81">
        <f>IF(AN1433="","",P1433*(1-AG1433))</f>
        <v/>
      </c>
      <c r="AI1433" s="81">
        <f>IF(AN1433="","",IF(Q1433="Sin Factura",0,IFERROR(INDEX(Facturas_Odoo!$H:$H, MATCH(Q1433, Facturas_Odoo!$B:$B, 0)), 0)*(1-AG1433)))</f>
        <v/>
      </c>
      <c r="AJ1433" s="81">
        <f>IF(AN1433="","",_xlfn.LET(idVenta, AN1433&amp;"",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33" s="81">
        <f>IF(AN1433="","",AH1433-AJ1433)</f>
        <v/>
      </c>
      <c r="AL1433" s="81">
        <f>IF(AN1433="","",IF(Q1433="Sin Factura","",AI1433-AJ1433))</f>
        <v/>
      </c>
      <c r="AM1433" s="81">
        <f>IF(AN1433="","",IF(Q1433="Sin Factura",0,P1433-IFERROR(INDEX(Facturas_Odoo!$H:$H, MATCH(Q1433, Facturas_Odoo!$B:$B, 0)), 0)))</f>
        <v/>
      </c>
      <c r="AN1433" s="79">
        <f>IF(AND(A1433="", J1433=""), "", IF(A1433&lt;&gt;"", VALUE(MID(A1433,2,LEN(A1433))), AN1432))</f>
        <v/>
      </c>
      <c r="AO1433" s="79">
        <f>IF(AN1433="","",IF(AD1433=0,"OK",_xlfn.LET(monedaPago, IF(AA1433="","USD",AA1433), limitePermitido, IFERROR(VLOOKUP(monedaPago, Configuración!$A$2:$B$3, 2, FALSE), 0.15), IF(AD1433&gt;limitePermitido, "ALERTA: EXCESO (" &amp; TEXT(limitePermitido, "0%") &amp; " máx)", "OK"))))</f>
        <v/>
      </c>
      <c r="AP1433" s="79">
        <f>IF(AN1433="","",IF(AE1433=0,"OK",_xlfn.LET(fechaPago, Z1433, fechaFactura, R1433, diasCredito, IF(E1433="Pago inmediato", 0, IFERROR(VALUE(MID(E1433, 1, SEARCH(" ", E1433)-1)),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33" s="79">
        <f>IF(AN1433="","",IF(AND(N1433&gt;0, AG1433&gt;0), IF(Configuración!$K$2="NO", "ALERTA: DESCUENTO DOBLE NO PERMITIDO", "OK"), "OK"))</f>
        <v/>
      </c>
      <c r="AR1433" s="79">
        <f>IF(AN1433="","",IF(OR(AO1433&lt;&gt;"OK", AP1433&lt;&gt;"OK", AQ1433&lt;&gt;"OK"), "⚠️ REVISAR", "OK"))</f>
        <v/>
      </c>
    </row>
    <row r="1434">
      <c r="A1434" s="79">
        <f>IF('Ordenes_Odoo'!A1434="","",'Ordenes_Odoo'!A1434)</f>
        <v/>
      </c>
      <c r="B1434" s="80">
        <f>IF('Ordenes_Odoo'!B1434="","",'Ordenes_Odoo'!B1434)</f>
        <v/>
      </c>
      <c r="C1434" s="79">
        <f>IF('Ordenes_Odoo'!C1434="","",'Ordenes_Odoo'!C1434)</f>
        <v/>
      </c>
      <c r="D1434" s="79">
        <f>IF('Ordenes_Odoo'!D1434="","",'Ordenes_Odoo'!D1434)</f>
        <v/>
      </c>
      <c r="E1434" s="79">
        <f>IF('Ordenes_Odoo'!E1434="","",'Ordenes_Odoo'!E1434)</f>
        <v/>
      </c>
      <c r="F1434" s="79">
        <f>IF('Ordenes_Odoo'!F1434="","",'Ordenes_Odoo'!F1434)</f>
        <v/>
      </c>
      <c r="G1434" s="79">
        <f>IF('Ordenes_Odoo'!G1434="","",'Ordenes_Odoo'!G1434)</f>
        <v/>
      </c>
      <c r="H1434" s="79">
        <f>IF('Ordenes_Odoo'!H1434="","",'Ordenes_Odoo'!H1434)</f>
        <v/>
      </c>
      <c r="I1434" s="79">
        <f>IF('Ordenes_Odoo'!I1434="","",'Ordenes_Odoo'!I1434)</f>
        <v/>
      </c>
      <c r="J1434" s="79">
        <f>IF('Ordenes_Odoo'!J1434="","",'Ordenes_Odoo'!J1434)</f>
        <v/>
      </c>
      <c r="K1434" s="81">
        <f>IF('Ordenes_Odoo'!K1434="","",'Ordenes_Odoo'!K1434)</f>
        <v/>
      </c>
      <c r="L1434" s="81">
        <f>IF('Ordenes_Odoo'!L1434="","",'Ordenes_Odoo'!L1434)</f>
        <v/>
      </c>
      <c r="M1434" s="79">
        <f>IF('Ordenes_Odoo'!M1434="","",'Ordenes_Odoo'!M1434)</f>
        <v/>
      </c>
      <c r="N1434" s="79">
        <f>IF('Ordenes_Odoo'!N1434="","",'Ordenes_Odoo'!N1434)</f>
        <v/>
      </c>
      <c r="O1434" s="81">
        <f>IF('Ordenes_Odoo'!O1434="","",'Ordenes_Odoo'!O1434)</f>
        <v/>
      </c>
      <c r="P1434" s="81">
        <f>IF('Ordenes_Odoo'!P1434="","",'Ordenes_Odoo'!P1434)</f>
        <v/>
      </c>
      <c r="Q1434" s="79">
        <f>IF(A1434="","",IFERROR(INDEX(Facturas_Odoo!$B:$B, MATCH(A1434, Facturas_Odoo!$D:$D, 0)), "Sin Factura"))</f>
        <v/>
      </c>
      <c r="R1434" s="80">
        <f>IF(Q1434="Sin Factura","",IFERROR(INDEX(Facturas_Odoo!$A:$A, MATCH(Q1434, Facturas_Odoo!$B:$B, 0)), ""))</f>
        <v/>
      </c>
      <c r="S1434" s="79">
        <f>IF(Q1434="Sin Factura","",IFERROR(_xlfn.XLOOKUP(1, (Facturas_Odoo!$D:$D=A1434) * (Facturas_Odoo!$K:$K=I1434), Facturas_Odoo!$L:$L, ""), ""))</f>
        <v/>
      </c>
      <c r="T1434" s="81">
        <f>IF(Q1434="Sin Factura",0,IFERROR(_xlfn.XLOOKUP(1, (Facturas_Odoo!$D:$D=A1434) * (Facturas_Odoo!$K:$K=I1434), Facturas_Odoo!$M:$M, 0), 0))</f>
        <v/>
      </c>
      <c r="U1434" s="79">
        <f>IF(Q1434="Sin Factura",0,IFERROR(_xlfn.XLOOKUP(1, (Facturas_Odoo!$D:$D=A1434) * (Facturas_Odoo!$K:$K=I1434), Facturas_Odoo!$N:$N, 0), 0))</f>
        <v/>
      </c>
      <c r="V1434" s="79">
        <f>IF(Q1434="Sin Factura",0,IFERROR(_xlfn.XLOOKUP(1, (Facturas_Odoo!$D:$D=A1434) * (Facturas_Odoo!$K:$K=I1434), Facturas_Odoo!$O:$O, 0), 0))</f>
        <v/>
      </c>
      <c r="W1434" s="81">
        <f>IF(Q1434="Sin Factura",0,IFERROR(_xlfn.XLOOKUP(1, (Facturas_Odoo!$D:$D=A1434) * (Facturas_Odoo!$K:$K=I1434), Facturas_Odoo!$Q:$Q, 0), 0))</f>
        <v/>
      </c>
      <c r="X1434" s="79">
        <f>IF(OR(Q1434="Sin Factura",Q1434=""),"",IFERROR(INDEX(Pagos_Odoo!$B:$B, MATCH(Q1434, Pagos_Odoo!$I:$I, 0)), "Sin Pago"))</f>
        <v/>
      </c>
      <c r="Y1434" s="79">
        <f>IF(X1434="Sin Pago","",IFERROR(INDEX(Pagos_Odoo!$C:$C, MATCH(X1434, Pagos_Odoo!$B:$B, 0)), ""))</f>
        <v/>
      </c>
      <c r="Z1434" s="80">
        <f>IF(X1434="Sin Pago","",IFERROR(INDEX(Pagos_Odoo!$A:$A, MATCH(X1434, Pagos_Odoo!$B:$B, 0)), ""))</f>
        <v/>
      </c>
      <c r="AA1434" s="79">
        <f>IF(X1434="Sin Pago","",IFERROR(INDEX(Pagos_Odoo!$F:$F, MATCH(X1434, Pagos_Odoo!$B:$B, 0)), ""))</f>
        <v/>
      </c>
      <c r="AB1434" s="81">
        <f>IF(X1434="Sin Pago",0,IFERROR(INDEX(Pagos_Odoo!$E:$E, MATCH(X1434, Pagos_Odoo!$B:$B, 0)), 0))</f>
        <v/>
      </c>
      <c r="AC1434" s="79">
        <f>IF(X1434="Sin Pago","",IFERROR(INDEX(Pagos_Odoo!$G:$G, MATCH(X1434, Pagos_Odoo!$B:$B, 0)), ""))</f>
        <v/>
      </c>
      <c r="AD1434" s="82" t="n">
        <v>0</v>
      </c>
      <c r="AE1434" s="82" t="n"/>
      <c r="AF1434" s="82" t="n"/>
      <c r="AG1434" s="82">
        <f>IF(AN1434="","",AD1434+AE1434+AF1434)</f>
        <v/>
      </c>
      <c r="AH1434" s="81">
        <f>IF(AN1434="","",P1434*(1-AG1434))</f>
        <v/>
      </c>
      <c r="AI1434" s="81">
        <f>IF(AN1434="","",IF(Q1434="Sin Factura",0,IFERROR(INDEX(Facturas_Odoo!$H:$H, MATCH(Q1434, Facturas_Odoo!$B:$B, 0)), 0)*(1-AG1434)))</f>
        <v/>
      </c>
      <c r="AJ1434" s="81">
        <f>IF(AN1434="","",_xlfn.LET(idVenta, AN1434&amp;"",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34" s="81">
        <f>IF(AN1434="","",AH1434-AJ1434)</f>
        <v/>
      </c>
      <c r="AL1434" s="81">
        <f>IF(AN1434="","",IF(Q1434="Sin Factura","",AI1434-AJ1434))</f>
        <v/>
      </c>
      <c r="AM1434" s="81">
        <f>IF(AN1434="","",IF(Q1434="Sin Factura",0,P1434-IFERROR(INDEX(Facturas_Odoo!$H:$H, MATCH(Q1434, Facturas_Odoo!$B:$B, 0)), 0)))</f>
        <v/>
      </c>
      <c r="AN1434" s="79">
        <f>IF(AND(A1434="", J1434=""), "", IF(A1434&lt;&gt;"", VALUE(MID(A1434,2,LEN(A1434))), AN1433))</f>
        <v/>
      </c>
      <c r="AO1434" s="79">
        <f>IF(AN1434="","",IF(AD1434=0,"OK",_xlfn.LET(monedaPago, IF(AA1434="","USD",AA1434), limitePermitido, IFERROR(VLOOKUP(monedaPago, Configuración!$A$2:$B$3, 2, FALSE), 0.15), IF(AD1434&gt;limitePermitido, "ALERTA: EXCESO (" &amp; TEXT(limitePermitido, "0%") &amp; " máx)", "OK"))))</f>
        <v/>
      </c>
      <c r="AP1434" s="79">
        <f>IF(AN1434="","",IF(AE1434=0,"OK",_xlfn.LET(fechaPago, Z1434, fechaFactura, R1434, diasCredito, IF(E1434="Pago inmediato", 0, IFERROR(VALUE(MID(E1434, 1, SEARCH(" ", E1434)-1)),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34" s="79">
        <f>IF(AN1434="","",IF(AND(N1434&gt;0, AG1434&gt;0), IF(Configuración!$K$2="NO", "ALERTA: DESCUENTO DOBLE NO PERMITIDO", "OK"), "OK"))</f>
        <v/>
      </c>
      <c r="AR1434" s="79">
        <f>IF(AN1434="","",IF(OR(AO1434&lt;&gt;"OK", AP1434&lt;&gt;"OK", AQ1434&lt;&gt;"OK"), "⚠️ REVISAR", "OK"))</f>
        <v/>
      </c>
    </row>
    <row r="1435">
      <c r="A1435" s="79">
        <f>IF('Ordenes_Odoo'!A1435="","",'Ordenes_Odoo'!A1435)</f>
        <v/>
      </c>
      <c r="B1435" s="80">
        <f>IF('Ordenes_Odoo'!B1435="","",'Ordenes_Odoo'!B1435)</f>
        <v/>
      </c>
      <c r="C1435" s="79">
        <f>IF('Ordenes_Odoo'!C1435="","",'Ordenes_Odoo'!C1435)</f>
        <v/>
      </c>
      <c r="D1435" s="79">
        <f>IF('Ordenes_Odoo'!D1435="","",'Ordenes_Odoo'!D1435)</f>
        <v/>
      </c>
      <c r="E1435" s="79">
        <f>IF('Ordenes_Odoo'!E1435="","",'Ordenes_Odoo'!E1435)</f>
        <v/>
      </c>
      <c r="F1435" s="79">
        <f>IF('Ordenes_Odoo'!F1435="","",'Ordenes_Odoo'!F1435)</f>
        <v/>
      </c>
      <c r="G1435" s="79">
        <f>IF('Ordenes_Odoo'!G1435="","",'Ordenes_Odoo'!G1435)</f>
        <v/>
      </c>
      <c r="H1435" s="79">
        <f>IF('Ordenes_Odoo'!H1435="","",'Ordenes_Odoo'!H1435)</f>
        <v/>
      </c>
      <c r="I1435" s="79">
        <f>IF('Ordenes_Odoo'!I1435="","",'Ordenes_Odoo'!I1435)</f>
        <v/>
      </c>
      <c r="J1435" s="79">
        <f>IF('Ordenes_Odoo'!J1435="","",'Ordenes_Odoo'!J1435)</f>
        <v/>
      </c>
      <c r="K1435" s="81">
        <f>IF('Ordenes_Odoo'!K1435="","",'Ordenes_Odoo'!K1435)</f>
        <v/>
      </c>
      <c r="L1435" s="81">
        <f>IF('Ordenes_Odoo'!L1435="","",'Ordenes_Odoo'!L1435)</f>
        <v/>
      </c>
      <c r="M1435" s="79">
        <f>IF('Ordenes_Odoo'!M1435="","",'Ordenes_Odoo'!M1435)</f>
        <v/>
      </c>
      <c r="N1435" s="79">
        <f>IF('Ordenes_Odoo'!N1435="","",'Ordenes_Odoo'!N1435)</f>
        <v/>
      </c>
      <c r="O1435" s="81">
        <f>IF('Ordenes_Odoo'!O1435="","",'Ordenes_Odoo'!O1435)</f>
        <v/>
      </c>
      <c r="P1435" s="81">
        <f>IF('Ordenes_Odoo'!P1435="","",'Ordenes_Odoo'!P1435)</f>
        <v/>
      </c>
      <c r="Q1435" s="79">
        <f>IF(A1435="","",IFERROR(INDEX(Facturas_Odoo!$B:$B, MATCH(A1435, Facturas_Odoo!$D:$D, 0)), "Sin Factura"))</f>
        <v/>
      </c>
      <c r="R1435" s="80">
        <f>IF(Q1435="Sin Factura","",IFERROR(INDEX(Facturas_Odoo!$A:$A, MATCH(Q1435, Facturas_Odoo!$B:$B, 0)), ""))</f>
        <v/>
      </c>
      <c r="S1435" s="79">
        <f>IF(Q1435="Sin Factura","",IFERROR(_xlfn.XLOOKUP(1, (Facturas_Odoo!$D:$D=A1435) * (Facturas_Odoo!$K:$K=I1435), Facturas_Odoo!$L:$L, ""), ""))</f>
        <v/>
      </c>
      <c r="T1435" s="81">
        <f>IF(Q1435="Sin Factura",0,IFERROR(_xlfn.XLOOKUP(1, (Facturas_Odoo!$D:$D=A1435) * (Facturas_Odoo!$K:$K=I1435), Facturas_Odoo!$M:$M, 0), 0))</f>
        <v/>
      </c>
      <c r="U1435" s="79">
        <f>IF(Q1435="Sin Factura",0,IFERROR(_xlfn.XLOOKUP(1, (Facturas_Odoo!$D:$D=A1435) * (Facturas_Odoo!$K:$K=I1435), Facturas_Odoo!$N:$N, 0), 0))</f>
        <v/>
      </c>
      <c r="V1435" s="79">
        <f>IF(Q1435="Sin Factura",0,IFERROR(_xlfn.XLOOKUP(1, (Facturas_Odoo!$D:$D=A1435) * (Facturas_Odoo!$K:$K=I1435), Facturas_Odoo!$O:$O, 0), 0))</f>
        <v/>
      </c>
      <c r="W1435" s="81">
        <f>IF(Q1435="Sin Factura",0,IFERROR(_xlfn.XLOOKUP(1, (Facturas_Odoo!$D:$D=A1435) * (Facturas_Odoo!$K:$K=I1435), Facturas_Odoo!$Q:$Q, 0), 0))</f>
        <v/>
      </c>
      <c r="X1435" s="79">
        <f>IF(OR(Q1435="Sin Factura",Q1435=""),"",IFERROR(INDEX(Pagos_Odoo!$B:$B, MATCH(Q1435, Pagos_Odoo!$I:$I, 0)), "Sin Pago"))</f>
        <v/>
      </c>
      <c r="Y1435" s="79">
        <f>IF(X1435="Sin Pago","",IFERROR(INDEX(Pagos_Odoo!$C:$C, MATCH(X1435, Pagos_Odoo!$B:$B, 0)), ""))</f>
        <v/>
      </c>
      <c r="Z1435" s="80">
        <f>IF(X1435="Sin Pago","",IFERROR(INDEX(Pagos_Odoo!$A:$A, MATCH(X1435, Pagos_Odoo!$B:$B, 0)), ""))</f>
        <v/>
      </c>
      <c r="AA1435" s="79">
        <f>IF(X1435="Sin Pago","",IFERROR(INDEX(Pagos_Odoo!$F:$F, MATCH(X1435, Pagos_Odoo!$B:$B, 0)), ""))</f>
        <v/>
      </c>
      <c r="AB1435" s="81">
        <f>IF(X1435="Sin Pago",0,IFERROR(INDEX(Pagos_Odoo!$E:$E, MATCH(X1435, Pagos_Odoo!$B:$B, 0)), 0))</f>
        <v/>
      </c>
      <c r="AC1435" s="79">
        <f>IF(X1435="Sin Pago","",IFERROR(INDEX(Pagos_Odoo!$G:$G, MATCH(X1435, Pagos_Odoo!$B:$B, 0)), ""))</f>
        <v/>
      </c>
      <c r="AD1435" s="82" t="n">
        <v>0</v>
      </c>
      <c r="AE1435" s="82" t="n"/>
      <c r="AF1435" s="82" t="n"/>
      <c r="AG1435" s="82">
        <f>IF(AN1435="","",AD1435+AE1435+AF1435)</f>
        <v/>
      </c>
      <c r="AH1435" s="81">
        <f>IF(AN1435="","",P1435*(1-AG1435))</f>
        <v/>
      </c>
      <c r="AI1435" s="81">
        <f>IF(AN1435="","",IF(Q1435="Sin Factura",0,IFERROR(INDEX(Facturas_Odoo!$H:$H, MATCH(Q1435, Facturas_Odoo!$B:$B, 0)), 0)*(1-AG1435)))</f>
        <v/>
      </c>
      <c r="AJ1435" s="81">
        <f>IF(AN1435="","",_xlfn.LET(idVenta, AN1435&amp;"",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35" s="81">
        <f>IF(AN1435="","",AH1435-AJ1435)</f>
        <v/>
      </c>
      <c r="AL1435" s="81">
        <f>IF(AN1435="","",IF(Q1435="Sin Factura","",AI1435-AJ1435))</f>
        <v/>
      </c>
      <c r="AM1435" s="81">
        <f>IF(AN1435="","",IF(Q1435="Sin Factura",0,P1435-IFERROR(INDEX(Facturas_Odoo!$H:$H, MATCH(Q1435, Facturas_Odoo!$B:$B, 0)), 0)))</f>
        <v/>
      </c>
      <c r="AN1435" s="79">
        <f>IF(AND(A1435="", J1435=""), "", IF(A1435&lt;&gt;"", VALUE(MID(A1435,2,LEN(A1435))), AN1434))</f>
        <v/>
      </c>
      <c r="AO1435" s="79">
        <f>IF(AN1435="","",IF(AD1435=0,"OK",_xlfn.LET(monedaPago, IF(AA1435="","USD",AA1435), limitePermitido, IFERROR(VLOOKUP(monedaPago, Configuración!$A$2:$B$3, 2, FALSE), 0.15), IF(AD1435&gt;limitePermitido, "ALERTA: EXCESO (" &amp; TEXT(limitePermitido, "0%") &amp; " máx)", "OK"))))</f>
        <v/>
      </c>
      <c r="AP1435" s="79">
        <f>IF(AN1435="","",IF(AE1435=0,"OK",_xlfn.LET(fechaPago, Z1435, fechaFactura, R1435, diasCredito, IF(E1435="Pago inmediato", 0, IFERROR(VALUE(MID(E1435, 1, SEARCH(" ", E1435)-1)),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35" s="79">
        <f>IF(AN1435="","",IF(AND(N1435&gt;0, AG1435&gt;0), IF(Configuración!$K$2="NO", "ALERTA: DESCUENTO DOBLE NO PERMITIDO", "OK"), "OK"))</f>
        <v/>
      </c>
      <c r="AR1435" s="79">
        <f>IF(AN1435="","",IF(OR(AO1435&lt;&gt;"OK", AP1435&lt;&gt;"OK", AQ1435&lt;&gt;"OK"), "⚠️ REVISAR", "OK"))</f>
        <v/>
      </c>
    </row>
    <row r="1436">
      <c r="A1436" s="79">
        <f>IF('Ordenes_Odoo'!A1436="","",'Ordenes_Odoo'!A1436)</f>
        <v/>
      </c>
      <c r="B1436" s="80">
        <f>IF('Ordenes_Odoo'!B1436="","",'Ordenes_Odoo'!B1436)</f>
        <v/>
      </c>
      <c r="C1436" s="79">
        <f>IF('Ordenes_Odoo'!C1436="","",'Ordenes_Odoo'!C1436)</f>
        <v/>
      </c>
      <c r="D1436" s="79">
        <f>IF('Ordenes_Odoo'!D1436="","",'Ordenes_Odoo'!D1436)</f>
        <v/>
      </c>
      <c r="E1436" s="79">
        <f>IF('Ordenes_Odoo'!E1436="","",'Ordenes_Odoo'!E1436)</f>
        <v/>
      </c>
      <c r="F1436" s="79">
        <f>IF('Ordenes_Odoo'!F1436="","",'Ordenes_Odoo'!F1436)</f>
        <v/>
      </c>
      <c r="G1436" s="79">
        <f>IF('Ordenes_Odoo'!G1436="","",'Ordenes_Odoo'!G1436)</f>
        <v/>
      </c>
      <c r="H1436" s="79">
        <f>IF('Ordenes_Odoo'!H1436="","",'Ordenes_Odoo'!H1436)</f>
        <v/>
      </c>
      <c r="I1436" s="79">
        <f>IF('Ordenes_Odoo'!I1436="","",'Ordenes_Odoo'!I1436)</f>
        <v/>
      </c>
      <c r="J1436" s="79">
        <f>IF('Ordenes_Odoo'!J1436="","",'Ordenes_Odoo'!J1436)</f>
        <v/>
      </c>
      <c r="K1436" s="81">
        <f>IF('Ordenes_Odoo'!K1436="","",'Ordenes_Odoo'!K1436)</f>
        <v/>
      </c>
      <c r="L1436" s="81">
        <f>IF('Ordenes_Odoo'!L1436="","",'Ordenes_Odoo'!L1436)</f>
        <v/>
      </c>
      <c r="M1436" s="79">
        <f>IF('Ordenes_Odoo'!M1436="","",'Ordenes_Odoo'!M1436)</f>
        <v/>
      </c>
      <c r="N1436" s="79">
        <f>IF('Ordenes_Odoo'!N1436="","",'Ordenes_Odoo'!N1436)</f>
        <v/>
      </c>
      <c r="O1436" s="81">
        <f>IF('Ordenes_Odoo'!O1436="","",'Ordenes_Odoo'!O1436)</f>
        <v/>
      </c>
      <c r="P1436" s="81">
        <f>IF('Ordenes_Odoo'!P1436="","",'Ordenes_Odoo'!P1436)</f>
        <v/>
      </c>
      <c r="Q1436" s="79">
        <f>IF(A1436="","",IFERROR(INDEX(Facturas_Odoo!$B:$B, MATCH(A1436, Facturas_Odoo!$D:$D, 0)), "Sin Factura"))</f>
        <v/>
      </c>
      <c r="R1436" s="80">
        <f>IF(Q1436="Sin Factura","",IFERROR(INDEX(Facturas_Odoo!$A:$A, MATCH(Q1436, Facturas_Odoo!$B:$B, 0)), ""))</f>
        <v/>
      </c>
      <c r="S1436" s="79">
        <f>IF(Q1436="Sin Factura","",IFERROR(_xlfn.XLOOKUP(1, (Facturas_Odoo!$D:$D=A1436) * (Facturas_Odoo!$K:$K=I1436), Facturas_Odoo!$L:$L, ""), ""))</f>
        <v/>
      </c>
      <c r="T1436" s="81">
        <f>IF(Q1436="Sin Factura",0,IFERROR(_xlfn.XLOOKUP(1, (Facturas_Odoo!$D:$D=A1436) * (Facturas_Odoo!$K:$K=I1436), Facturas_Odoo!$M:$M, 0), 0))</f>
        <v/>
      </c>
      <c r="U1436" s="79">
        <f>IF(Q1436="Sin Factura",0,IFERROR(_xlfn.XLOOKUP(1, (Facturas_Odoo!$D:$D=A1436) * (Facturas_Odoo!$K:$K=I1436), Facturas_Odoo!$N:$N, 0), 0))</f>
        <v/>
      </c>
      <c r="V1436" s="79">
        <f>IF(Q1436="Sin Factura",0,IFERROR(_xlfn.XLOOKUP(1, (Facturas_Odoo!$D:$D=A1436) * (Facturas_Odoo!$K:$K=I1436), Facturas_Odoo!$O:$O, 0), 0))</f>
        <v/>
      </c>
      <c r="W1436" s="81">
        <f>IF(Q1436="Sin Factura",0,IFERROR(_xlfn.XLOOKUP(1, (Facturas_Odoo!$D:$D=A1436) * (Facturas_Odoo!$K:$K=I1436), Facturas_Odoo!$Q:$Q, 0), 0))</f>
        <v/>
      </c>
      <c r="X1436" s="79">
        <f>IF(OR(Q1436="Sin Factura",Q1436=""),"",IFERROR(INDEX(Pagos_Odoo!$B:$B, MATCH(Q1436, Pagos_Odoo!$I:$I, 0)), "Sin Pago"))</f>
        <v/>
      </c>
      <c r="Y1436" s="79">
        <f>IF(X1436="Sin Pago","",IFERROR(INDEX(Pagos_Odoo!$C:$C, MATCH(X1436, Pagos_Odoo!$B:$B, 0)), ""))</f>
        <v/>
      </c>
      <c r="Z1436" s="80">
        <f>IF(X1436="Sin Pago","",IFERROR(INDEX(Pagos_Odoo!$A:$A, MATCH(X1436, Pagos_Odoo!$B:$B, 0)), ""))</f>
        <v/>
      </c>
      <c r="AA1436" s="79">
        <f>IF(X1436="Sin Pago","",IFERROR(INDEX(Pagos_Odoo!$F:$F, MATCH(X1436, Pagos_Odoo!$B:$B, 0)), ""))</f>
        <v/>
      </c>
      <c r="AB1436" s="81">
        <f>IF(X1436="Sin Pago",0,IFERROR(INDEX(Pagos_Odoo!$E:$E, MATCH(X1436, Pagos_Odoo!$B:$B, 0)), 0))</f>
        <v/>
      </c>
      <c r="AC1436" s="79">
        <f>IF(X1436="Sin Pago","",IFERROR(INDEX(Pagos_Odoo!$G:$G, MATCH(X1436, Pagos_Odoo!$B:$B, 0)), ""))</f>
        <v/>
      </c>
      <c r="AD1436" s="82" t="n">
        <v>0</v>
      </c>
      <c r="AE1436" s="82" t="n"/>
      <c r="AF1436" s="82" t="n"/>
      <c r="AG1436" s="82">
        <f>IF(AN1436="","",AD1436+AE1436+AF1436)</f>
        <v/>
      </c>
      <c r="AH1436" s="81">
        <f>IF(AN1436="","",P1436*(1-AG1436))</f>
        <v/>
      </c>
      <c r="AI1436" s="81">
        <f>IF(AN1436="","",IF(Q1436="Sin Factura",0,IFERROR(INDEX(Facturas_Odoo!$H:$H, MATCH(Q1436, Facturas_Odoo!$B:$B, 0)), 0)*(1-AG1436)))</f>
        <v/>
      </c>
      <c r="AJ1436" s="81">
        <f>IF(AN1436="","",_xlfn.LET(idVenta, AN1436&amp;"",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36" s="81">
        <f>IF(AN1436="","",AH1436-AJ1436)</f>
        <v/>
      </c>
      <c r="AL1436" s="81">
        <f>IF(AN1436="","",IF(Q1436="Sin Factura","",AI1436-AJ1436))</f>
        <v/>
      </c>
      <c r="AM1436" s="81">
        <f>IF(AN1436="","",IF(Q1436="Sin Factura",0,P1436-IFERROR(INDEX(Facturas_Odoo!$H:$H, MATCH(Q1436, Facturas_Odoo!$B:$B, 0)), 0)))</f>
        <v/>
      </c>
      <c r="AN1436" s="79">
        <f>IF(AND(A1436="", J1436=""), "", IF(A1436&lt;&gt;"", VALUE(MID(A1436,2,LEN(A1436))), AN1435))</f>
        <v/>
      </c>
      <c r="AO1436" s="79">
        <f>IF(AN1436="","",IF(AD1436=0,"OK",_xlfn.LET(monedaPago, IF(AA1436="","USD",AA1436), limitePermitido, IFERROR(VLOOKUP(monedaPago, Configuración!$A$2:$B$3, 2, FALSE), 0.15), IF(AD1436&gt;limitePermitido, "ALERTA: EXCESO (" &amp; TEXT(limitePermitido, "0%") &amp; " máx)", "OK"))))</f>
        <v/>
      </c>
      <c r="AP1436" s="79">
        <f>IF(AN1436="","",IF(AE1436=0,"OK",_xlfn.LET(fechaPago, Z1436, fechaFactura, R1436, diasCredito, IF(E1436="Pago inmediato", 0, IFERROR(VALUE(MID(E1436, 1, SEARCH(" ", E1436)-1)),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36" s="79">
        <f>IF(AN1436="","",IF(AND(N1436&gt;0, AG1436&gt;0), IF(Configuración!$K$2="NO", "ALERTA: DESCUENTO DOBLE NO PERMITIDO", "OK"), "OK"))</f>
        <v/>
      </c>
      <c r="AR1436" s="79">
        <f>IF(AN1436="","",IF(OR(AO1436&lt;&gt;"OK", AP1436&lt;&gt;"OK", AQ1436&lt;&gt;"OK"), "⚠️ REVISAR", "OK"))</f>
        <v/>
      </c>
    </row>
    <row r="1437">
      <c r="A1437" s="79">
        <f>IF('Ordenes_Odoo'!A1437="","",'Ordenes_Odoo'!A1437)</f>
        <v/>
      </c>
      <c r="B1437" s="80">
        <f>IF('Ordenes_Odoo'!B1437="","",'Ordenes_Odoo'!B1437)</f>
        <v/>
      </c>
      <c r="C1437" s="79">
        <f>IF('Ordenes_Odoo'!C1437="","",'Ordenes_Odoo'!C1437)</f>
        <v/>
      </c>
      <c r="D1437" s="79">
        <f>IF('Ordenes_Odoo'!D1437="","",'Ordenes_Odoo'!D1437)</f>
        <v/>
      </c>
      <c r="E1437" s="79">
        <f>IF('Ordenes_Odoo'!E1437="","",'Ordenes_Odoo'!E1437)</f>
        <v/>
      </c>
      <c r="F1437" s="79">
        <f>IF('Ordenes_Odoo'!F1437="","",'Ordenes_Odoo'!F1437)</f>
        <v/>
      </c>
      <c r="G1437" s="79">
        <f>IF('Ordenes_Odoo'!G1437="","",'Ordenes_Odoo'!G1437)</f>
        <v/>
      </c>
      <c r="H1437" s="79">
        <f>IF('Ordenes_Odoo'!H1437="","",'Ordenes_Odoo'!H1437)</f>
        <v/>
      </c>
      <c r="I1437" s="79">
        <f>IF('Ordenes_Odoo'!I1437="","",'Ordenes_Odoo'!I1437)</f>
        <v/>
      </c>
      <c r="J1437" s="79">
        <f>IF('Ordenes_Odoo'!J1437="","",'Ordenes_Odoo'!J1437)</f>
        <v/>
      </c>
      <c r="K1437" s="81">
        <f>IF('Ordenes_Odoo'!K1437="","",'Ordenes_Odoo'!K1437)</f>
        <v/>
      </c>
      <c r="L1437" s="81">
        <f>IF('Ordenes_Odoo'!L1437="","",'Ordenes_Odoo'!L1437)</f>
        <v/>
      </c>
      <c r="M1437" s="79">
        <f>IF('Ordenes_Odoo'!M1437="","",'Ordenes_Odoo'!M1437)</f>
        <v/>
      </c>
      <c r="N1437" s="79">
        <f>IF('Ordenes_Odoo'!N1437="","",'Ordenes_Odoo'!N1437)</f>
        <v/>
      </c>
      <c r="O1437" s="81">
        <f>IF('Ordenes_Odoo'!O1437="","",'Ordenes_Odoo'!O1437)</f>
        <v/>
      </c>
      <c r="P1437" s="81">
        <f>IF('Ordenes_Odoo'!P1437="","",'Ordenes_Odoo'!P1437)</f>
        <v/>
      </c>
      <c r="Q1437" s="79">
        <f>IF(A1437="","",IFERROR(INDEX(Facturas_Odoo!$B:$B, MATCH(A1437, Facturas_Odoo!$D:$D, 0)), "Sin Factura"))</f>
        <v/>
      </c>
      <c r="R1437" s="80">
        <f>IF(Q1437="Sin Factura","",IFERROR(INDEX(Facturas_Odoo!$A:$A, MATCH(Q1437, Facturas_Odoo!$B:$B, 0)), ""))</f>
        <v/>
      </c>
      <c r="S1437" s="79">
        <f>IF(Q1437="Sin Factura","",IFERROR(_xlfn.XLOOKUP(1, (Facturas_Odoo!$D:$D=A1437) * (Facturas_Odoo!$K:$K=I1437), Facturas_Odoo!$L:$L, ""), ""))</f>
        <v/>
      </c>
      <c r="T1437" s="81">
        <f>IF(Q1437="Sin Factura",0,IFERROR(_xlfn.XLOOKUP(1, (Facturas_Odoo!$D:$D=A1437) * (Facturas_Odoo!$K:$K=I1437), Facturas_Odoo!$M:$M, 0), 0))</f>
        <v/>
      </c>
      <c r="U1437" s="79">
        <f>IF(Q1437="Sin Factura",0,IFERROR(_xlfn.XLOOKUP(1, (Facturas_Odoo!$D:$D=A1437) * (Facturas_Odoo!$K:$K=I1437), Facturas_Odoo!$N:$N, 0), 0))</f>
        <v/>
      </c>
      <c r="V1437" s="79">
        <f>IF(Q1437="Sin Factura",0,IFERROR(_xlfn.XLOOKUP(1, (Facturas_Odoo!$D:$D=A1437) * (Facturas_Odoo!$K:$K=I1437), Facturas_Odoo!$O:$O, 0), 0))</f>
        <v/>
      </c>
      <c r="W1437" s="81">
        <f>IF(Q1437="Sin Factura",0,IFERROR(_xlfn.XLOOKUP(1, (Facturas_Odoo!$D:$D=A1437) * (Facturas_Odoo!$K:$K=I1437), Facturas_Odoo!$Q:$Q, 0), 0))</f>
        <v/>
      </c>
      <c r="X1437" s="79">
        <f>IF(OR(Q1437="Sin Factura",Q1437=""),"",IFERROR(INDEX(Pagos_Odoo!$B:$B, MATCH(Q1437, Pagos_Odoo!$I:$I, 0)), "Sin Pago"))</f>
        <v/>
      </c>
      <c r="Y1437" s="79">
        <f>IF(X1437="Sin Pago","",IFERROR(INDEX(Pagos_Odoo!$C:$C, MATCH(X1437, Pagos_Odoo!$B:$B, 0)), ""))</f>
        <v/>
      </c>
      <c r="Z1437" s="80">
        <f>IF(X1437="Sin Pago","",IFERROR(INDEX(Pagos_Odoo!$A:$A, MATCH(X1437, Pagos_Odoo!$B:$B, 0)), ""))</f>
        <v/>
      </c>
      <c r="AA1437" s="79">
        <f>IF(X1437="Sin Pago","",IFERROR(INDEX(Pagos_Odoo!$F:$F, MATCH(X1437, Pagos_Odoo!$B:$B, 0)), ""))</f>
        <v/>
      </c>
      <c r="AB1437" s="81">
        <f>IF(X1437="Sin Pago",0,IFERROR(INDEX(Pagos_Odoo!$E:$E, MATCH(X1437, Pagos_Odoo!$B:$B, 0)), 0))</f>
        <v/>
      </c>
      <c r="AC1437" s="79">
        <f>IF(X1437="Sin Pago","",IFERROR(INDEX(Pagos_Odoo!$G:$G, MATCH(X1437, Pagos_Odoo!$B:$B, 0)), ""))</f>
        <v/>
      </c>
      <c r="AD1437" s="82" t="n">
        <v>0</v>
      </c>
      <c r="AE1437" s="82" t="n"/>
      <c r="AF1437" s="82" t="n"/>
      <c r="AG1437" s="82">
        <f>IF(AN1437="","",AD1437+AE1437+AF1437)</f>
        <v/>
      </c>
      <c r="AH1437" s="81">
        <f>IF(AN1437="","",P1437*(1-AG1437))</f>
        <v/>
      </c>
      <c r="AI1437" s="81">
        <f>IF(AN1437="","",IF(Q1437="Sin Factura",0,IFERROR(INDEX(Facturas_Odoo!$H:$H, MATCH(Q1437, Facturas_Odoo!$B:$B, 0)), 0)*(1-AG1437)))</f>
        <v/>
      </c>
      <c r="AJ1437" s="81">
        <f>IF(AN1437="","",_xlfn.LET(idVenta, AN1437&amp;"",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37" s="81">
        <f>IF(AN1437="","",AH1437-AJ1437)</f>
        <v/>
      </c>
      <c r="AL1437" s="81">
        <f>IF(AN1437="","",IF(Q1437="Sin Factura","",AI1437-AJ1437))</f>
        <v/>
      </c>
      <c r="AM1437" s="81">
        <f>IF(AN1437="","",IF(Q1437="Sin Factura",0,P1437-IFERROR(INDEX(Facturas_Odoo!$H:$H, MATCH(Q1437, Facturas_Odoo!$B:$B, 0)), 0)))</f>
        <v/>
      </c>
      <c r="AN1437" s="79">
        <f>IF(AND(A1437="", J1437=""), "", IF(A1437&lt;&gt;"", VALUE(MID(A1437,2,LEN(A1437))), AN1436))</f>
        <v/>
      </c>
      <c r="AO1437" s="79">
        <f>IF(AN1437="","",IF(AD1437=0,"OK",_xlfn.LET(monedaPago, IF(AA1437="","USD",AA1437), limitePermitido, IFERROR(VLOOKUP(monedaPago, Configuración!$A$2:$B$3, 2, FALSE), 0.15), IF(AD1437&gt;limitePermitido, "ALERTA: EXCESO (" &amp; TEXT(limitePermitido, "0%") &amp; " máx)", "OK"))))</f>
        <v/>
      </c>
      <c r="AP1437" s="79">
        <f>IF(AN1437="","",IF(AE1437=0,"OK",_xlfn.LET(fechaPago, Z1437, fechaFactura, R1437, diasCredito, IF(E1437="Pago inmediato", 0, IFERROR(VALUE(MID(E1437, 1, SEARCH(" ", E1437)-1)),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37" s="79">
        <f>IF(AN1437="","",IF(AND(N1437&gt;0, AG1437&gt;0), IF(Configuración!$K$2="NO", "ALERTA: DESCUENTO DOBLE NO PERMITIDO", "OK"), "OK"))</f>
        <v/>
      </c>
      <c r="AR1437" s="79">
        <f>IF(AN1437="","",IF(OR(AO1437&lt;&gt;"OK", AP1437&lt;&gt;"OK", AQ1437&lt;&gt;"OK"), "⚠️ REVISAR", "OK"))</f>
        <v/>
      </c>
    </row>
    <row r="1438">
      <c r="A1438" s="79">
        <f>IF('Ordenes_Odoo'!A1438="","",'Ordenes_Odoo'!A1438)</f>
        <v/>
      </c>
      <c r="B1438" s="80">
        <f>IF('Ordenes_Odoo'!B1438="","",'Ordenes_Odoo'!B1438)</f>
        <v/>
      </c>
      <c r="C1438" s="79">
        <f>IF('Ordenes_Odoo'!C1438="","",'Ordenes_Odoo'!C1438)</f>
        <v/>
      </c>
      <c r="D1438" s="79">
        <f>IF('Ordenes_Odoo'!D1438="","",'Ordenes_Odoo'!D1438)</f>
        <v/>
      </c>
      <c r="E1438" s="79">
        <f>IF('Ordenes_Odoo'!E1438="","",'Ordenes_Odoo'!E1438)</f>
        <v/>
      </c>
      <c r="F1438" s="79">
        <f>IF('Ordenes_Odoo'!F1438="","",'Ordenes_Odoo'!F1438)</f>
        <v/>
      </c>
      <c r="G1438" s="79">
        <f>IF('Ordenes_Odoo'!G1438="","",'Ordenes_Odoo'!G1438)</f>
        <v/>
      </c>
      <c r="H1438" s="79">
        <f>IF('Ordenes_Odoo'!H1438="","",'Ordenes_Odoo'!H1438)</f>
        <v/>
      </c>
      <c r="I1438" s="79">
        <f>IF('Ordenes_Odoo'!I1438="","",'Ordenes_Odoo'!I1438)</f>
        <v/>
      </c>
      <c r="J1438" s="79">
        <f>IF('Ordenes_Odoo'!J1438="","",'Ordenes_Odoo'!J1438)</f>
        <v/>
      </c>
      <c r="K1438" s="81">
        <f>IF('Ordenes_Odoo'!K1438="","",'Ordenes_Odoo'!K1438)</f>
        <v/>
      </c>
      <c r="L1438" s="81">
        <f>IF('Ordenes_Odoo'!L1438="","",'Ordenes_Odoo'!L1438)</f>
        <v/>
      </c>
      <c r="M1438" s="79">
        <f>IF('Ordenes_Odoo'!M1438="","",'Ordenes_Odoo'!M1438)</f>
        <v/>
      </c>
      <c r="N1438" s="79">
        <f>IF('Ordenes_Odoo'!N1438="","",'Ordenes_Odoo'!N1438)</f>
        <v/>
      </c>
      <c r="O1438" s="81">
        <f>IF('Ordenes_Odoo'!O1438="","",'Ordenes_Odoo'!O1438)</f>
        <v/>
      </c>
      <c r="P1438" s="81">
        <f>IF('Ordenes_Odoo'!P1438="","",'Ordenes_Odoo'!P1438)</f>
        <v/>
      </c>
      <c r="Q1438" s="79">
        <f>IF(A1438="","",IFERROR(INDEX(Facturas_Odoo!$B:$B, MATCH(A1438, Facturas_Odoo!$D:$D, 0)), "Sin Factura"))</f>
        <v/>
      </c>
      <c r="R1438" s="80">
        <f>IF(Q1438="Sin Factura","",IFERROR(INDEX(Facturas_Odoo!$A:$A, MATCH(Q1438, Facturas_Odoo!$B:$B, 0)), ""))</f>
        <v/>
      </c>
      <c r="S1438" s="79">
        <f>IF(Q1438="Sin Factura","",IFERROR(_xlfn.XLOOKUP(1, (Facturas_Odoo!$D:$D=A1438) * (Facturas_Odoo!$K:$K=I1438), Facturas_Odoo!$L:$L, ""), ""))</f>
        <v/>
      </c>
      <c r="T1438" s="81">
        <f>IF(Q1438="Sin Factura",0,IFERROR(_xlfn.XLOOKUP(1, (Facturas_Odoo!$D:$D=A1438) * (Facturas_Odoo!$K:$K=I1438), Facturas_Odoo!$M:$M, 0), 0))</f>
        <v/>
      </c>
      <c r="U1438" s="79">
        <f>IF(Q1438="Sin Factura",0,IFERROR(_xlfn.XLOOKUP(1, (Facturas_Odoo!$D:$D=A1438) * (Facturas_Odoo!$K:$K=I1438), Facturas_Odoo!$N:$N, 0), 0))</f>
        <v/>
      </c>
      <c r="V1438" s="79">
        <f>IF(Q1438="Sin Factura",0,IFERROR(_xlfn.XLOOKUP(1, (Facturas_Odoo!$D:$D=A1438) * (Facturas_Odoo!$K:$K=I1438), Facturas_Odoo!$O:$O, 0), 0))</f>
        <v/>
      </c>
      <c r="W1438" s="81">
        <f>IF(Q1438="Sin Factura",0,IFERROR(_xlfn.XLOOKUP(1, (Facturas_Odoo!$D:$D=A1438) * (Facturas_Odoo!$K:$K=I1438), Facturas_Odoo!$Q:$Q, 0), 0))</f>
        <v/>
      </c>
      <c r="X1438" s="79">
        <f>IF(OR(Q1438="Sin Factura",Q1438=""),"",IFERROR(INDEX(Pagos_Odoo!$B:$B, MATCH(Q1438, Pagos_Odoo!$I:$I, 0)), "Sin Pago"))</f>
        <v/>
      </c>
      <c r="Y1438" s="79">
        <f>IF(X1438="Sin Pago","",IFERROR(INDEX(Pagos_Odoo!$C:$C, MATCH(X1438, Pagos_Odoo!$B:$B, 0)), ""))</f>
        <v/>
      </c>
      <c r="Z1438" s="80">
        <f>IF(X1438="Sin Pago","",IFERROR(INDEX(Pagos_Odoo!$A:$A, MATCH(X1438, Pagos_Odoo!$B:$B, 0)), ""))</f>
        <v/>
      </c>
      <c r="AA1438" s="79">
        <f>IF(X1438="Sin Pago","",IFERROR(INDEX(Pagos_Odoo!$F:$F, MATCH(X1438, Pagos_Odoo!$B:$B, 0)), ""))</f>
        <v/>
      </c>
      <c r="AB1438" s="81">
        <f>IF(X1438="Sin Pago",0,IFERROR(INDEX(Pagos_Odoo!$E:$E, MATCH(X1438, Pagos_Odoo!$B:$B, 0)), 0))</f>
        <v/>
      </c>
      <c r="AC1438" s="79">
        <f>IF(X1438="Sin Pago","",IFERROR(INDEX(Pagos_Odoo!$G:$G, MATCH(X1438, Pagos_Odoo!$B:$B, 0)), ""))</f>
        <v/>
      </c>
      <c r="AD1438" s="82" t="n">
        <v>0</v>
      </c>
      <c r="AE1438" s="82" t="n"/>
      <c r="AF1438" s="82" t="n"/>
      <c r="AG1438" s="82">
        <f>IF(AN1438="","",AD1438+AE1438+AF1438)</f>
        <v/>
      </c>
      <c r="AH1438" s="81">
        <f>IF(AN1438="","",P1438*(1-AG1438))</f>
        <v/>
      </c>
      <c r="AI1438" s="81">
        <f>IF(AN1438="","",IF(Q1438="Sin Factura",0,IFERROR(INDEX(Facturas_Odoo!$H:$H, MATCH(Q1438, Facturas_Odoo!$B:$B, 0)), 0)*(1-AG1438)))</f>
        <v/>
      </c>
      <c r="AJ1438" s="81">
        <f>IF(AN1438="","",_xlfn.LET(idVenta, AN1438&amp;"",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38" s="81">
        <f>IF(AN1438="","",AH1438-AJ1438)</f>
        <v/>
      </c>
      <c r="AL1438" s="81">
        <f>IF(AN1438="","",IF(Q1438="Sin Factura","",AI1438-AJ1438))</f>
        <v/>
      </c>
      <c r="AM1438" s="81">
        <f>IF(AN1438="","",IF(Q1438="Sin Factura",0,P1438-IFERROR(INDEX(Facturas_Odoo!$H:$H, MATCH(Q1438, Facturas_Odoo!$B:$B, 0)), 0)))</f>
        <v/>
      </c>
      <c r="AN1438" s="79">
        <f>IF(AND(A1438="", J1438=""), "", IF(A1438&lt;&gt;"", VALUE(MID(A1438,2,LEN(A1438))), AN1437))</f>
        <v/>
      </c>
      <c r="AO1438" s="79">
        <f>IF(AN1438="","",IF(AD1438=0,"OK",_xlfn.LET(monedaPago, IF(AA1438="","USD",AA1438), limitePermitido, IFERROR(VLOOKUP(monedaPago, Configuración!$A$2:$B$3, 2, FALSE), 0.15), IF(AD1438&gt;limitePermitido, "ALERTA: EXCESO (" &amp; TEXT(limitePermitido, "0%") &amp; " máx)", "OK"))))</f>
        <v/>
      </c>
      <c r="AP1438" s="79">
        <f>IF(AN1438="","",IF(AE1438=0,"OK",_xlfn.LET(fechaPago, Z1438, fechaFactura, R1438, diasCredito, IF(E1438="Pago inmediato", 0, IFERROR(VALUE(MID(E1438, 1, SEARCH(" ", E1438)-1)),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38" s="79">
        <f>IF(AN1438="","",IF(AND(N1438&gt;0, AG1438&gt;0), IF(Configuración!$K$2="NO", "ALERTA: DESCUENTO DOBLE NO PERMITIDO", "OK"), "OK"))</f>
        <v/>
      </c>
      <c r="AR1438" s="79">
        <f>IF(AN1438="","",IF(OR(AO1438&lt;&gt;"OK", AP1438&lt;&gt;"OK", AQ1438&lt;&gt;"OK"), "⚠️ REVISAR", "OK"))</f>
        <v/>
      </c>
    </row>
    <row r="1439">
      <c r="A1439" s="79">
        <f>IF('Ordenes_Odoo'!A1439="","",'Ordenes_Odoo'!A1439)</f>
        <v/>
      </c>
      <c r="B1439" s="80">
        <f>IF('Ordenes_Odoo'!B1439="","",'Ordenes_Odoo'!B1439)</f>
        <v/>
      </c>
      <c r="C1439" s="79">
        <f>IF('Ordenes_Odoo'!C1439="","",'Ordenes_Odoo'!C1439)</f>
        <v/>
      </c>
      <c r="D1439" s="79">
        <f>IF('Ordenes_Odoo'!D1439="","",'Ordenes_Odoo'!D1439)</f>
        <v/>
      </c>
      <c r="E1439" s="79">
        <f>IF('Ordenes_Odoo'!E1439="","",'Ordenes_Odoo'!E1439)</f>
        <v/>
      </c>
      <c r="F1439" s="79">
        <f>IF('Ordenes_Odoo'!F1439="","",'Ordenes_Odoo'!F1439)</f>
        <v/>
      </c>
      <c r="G1439" s="79">
        <f>IF('Ordenes_Odoo'!G1439="","",'Ordenes_Odoo'!G1439)</f>
        <v/>
      </c>
      <c r="H1439" s="79">
        <f>IF('Ordenes_Odoo'!H1439="","",'Ordenes_Odoo'!H1439)</f>
        <v/>
      </c>
      <c r="I1439" s="79">
        <f>IF('Ordenes_Odoo'!I1439="","",'Ordenes_Odoo'!I1439)</f>
        <v/>
      </c>
      <c r="J1439" s="79">
        <f>IF('Ordenes_Odoo'!J1439="","",'Ordenes_Odoo'!J1439)</f>
        <v/>
      </c>
      <c r="K1439" s="81">
        <f>IF('Ordenes_Odoo'!K1439="","",'Ordenes_Odoo'!K1439)</f>
        <v/>
      </c>
      <c r="L1439" s="81">
        <f>IF('Ordenes_Odoo'!L1439="","",'Ordenes_Odoo'!L1439)</f>
        <v/>
      </c>
      <c r="M1439" s="79">
        <f>IF('Ordenes_Odoo'!M1439="","",'Ordenes_Odoo'!M1439)</f>
        <v/>
      </c>
      <c r="N1439" s="79">
        <f>IF('Ordenes_Odoo'!N1439="","",'Ordenes_Odoo'!N1439)</f>
        <v/>
      </c>
      <c r="O1439" s="81">
        <f>IF('Ordenes_Odoo'!O1439="","",'Ordenes_Odoo'!O1439)</f>
        <v/>
      </c>
      <c r="P1439" s="81">
        <f>IF('Ordenes_Odoo'!P1439="","",'Ordenes_Odoo'!P1439)</f>
        <v/>
      </c>
      <c r="Q1439" s="79">
        <f>IF(A1439="","",IFERROR(INDEX(Facturas_Odoo!$B:$B, MATCH(A1439, Facturas_Odoo!$D:$D, 0)), "Sin Factura"))</f>
        <v/>
      </c>
      <c r="R1439" s="80">
        <f>IF(Q1439="Sin Factura","",IFERROR(INDEX(Facturas_Odoo!$A:$A, MATCH(Q1439, Facturas_Odoo!$B:$B, 0)), ""))</f>
        <v/>
      </c>
      <c r="S1439" s="79">
        <f>IF(Q1439="Sin Factura","",IFERROR(_xlfn.XLOOKUP(1, (Facturas_Odoo!$D:$D=A1439) * (Facturas_Odoo!$K:$K=I1439), Facturas_Odoo!$L:$L, ""), ""))</f>
        <v/>
      </c>
      <c r="T1439" s="81">
        <f>IF(Q1439="Sin Factura",0,IFERROR(_xlfn.XLOOKUP(1, (Facturas_Odoo!$D:$D=A1439) * (Facturas_Odoo!$K:$K=I1439), Facturas_Odoo!$M:$M, 0), 0))</f>
        <v/>
      </c>
      <c r="U1439" s="79">
        <f>IF(Q1439="Sin Factura",0,IFERROR(_xlfn.XLOOKUP(1, (Facturas_Odoo!$D:$D=A1439) * (Facturas_Odoo!$K:$K=I1439), Facturas_Odoo!$N:$N, 0), 0))</f>
        <v/>
      </c>
      <c r="V1439" s="79">
        <f>IF(Q1439="Sin Factura",0,IFERROR(_xlfn.XLOOKUP(1, (Facturas_Odoo!$D:$D=A1439) * (Facturas_Odoo!$K:$K=I1439), Facturas_Odoo!$O:$O, 0), 0))</f>
        <v/>
      </c>
      <c r="W1439" s="81">
        <f>IF(Q1439="Sin Factura",0,IFERROR(_xlfn.XLOOKUP(1, (Facturas_Odoo!$D:$D=A1439) * (Facturas_Odoo!$K:$K=I1439), Facturas_Odoo!$Q:$Q, 0), 0))</f>
        <v/>
      </c>
      <c r="X1439" s="79">
        <f>IF(OR(Q1439="Sin Factura",Q1439=""),"",IFERROR(INDEX(Pagos_Odoo!$B:$B, MATCH(Q1439, Pagos_Odoo!$I:$I, 0)), "Sin Pago"))</f>
        <v/>
      </c>
      <c r="Y1439" s="79">
        <f>IF(X1439="Sin Pago","",IFERROR(INDEX(Pagos_Odoo!$C:$C, MATCH(X1439, Pagos_Odoo!$B:$B, 0)), ""))</f>
        <v/>
      </c>
      <c r="Z1439" s="80">
        <f>IF(X1439="Sin Pago","",IFERROR(INDEX(Pagos_Odoo!$A:$A, MATCH(X1439, Pagos_Odoo!$B:$B, 0)), ""))</f>
        <v/>
      </c>
      <c r="AA1439" s="79">
        <f>IF(X1439="Sin Pago","",IFERROR(INDEX(Pagos_Odoo!$F:$F, MATCH(X1439, Pagos_Odoo!$B:$B, 0)), ""))</f>
        <v/>
      </c>
      <c r="AB1439" s="81">
        <f>IF(X1439="Sin Pago",0,IFERROR(INDEX(Pagos_Odoo!$E:$E, MATCH(X1439, Pagos_Odoo!$B:$B, 0)), 0))</f>
        <v/>
      </c>
      <c r="AC1439" s="79">
        <f>IF(X1439="Sin Pago","",IFERROR(INDEX(Pagos_Odoo!$G:$G, MATCH(X1439, Pagos_Odoo!$B:$B, 0)), ""))</f>
        <v/>
      </c>
      <c r="AD1439" s="82" t="n">
        <v>0</v>
      </c>
      <c r="AE1439" s="82" t="n"/>
      <c r="AF1439" s="82" t="n"/>
      <c r="AG1439" s="82">
        <f>IF(AN1439="","",AD1439+AE1439+AF1439)</f>
        <v/>
      </c>
      <c r="AH1439" s="81">
        <f>IF(AN1439="","",P1439*(1-AG1439))</f>
        <v/>
      </c>
      <c r="AI1439" s="81">
        <f>IF(AN1439="","",IF(Q1439="Sin Factura",0,IFERROR(INDEX(Facturas_Odoo!$H:$H, MATCH(Q1439, Facturas_Odoo!$B:$B, 0)), 0)*(1-AG1439)))</f>
        <v/>
      </c>
      <c r="AJ1439" s="81">
        <f>IF(AN1439="","",_xlfn.LET(idVenta, AN1439&amp;"",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39" s="81">
        <f>IF(AN1439="","",AH1439-AJ1439)</f>
        <v/>
      </c>
      <c r="AL1439" s="81">
        <f>IF(AN1439="","",IF(Q1439="Sin Factura","",AI1439-AJ1439))</f>
        <v/>
      </c>
      <c r="AM1439" s="81">
        <f>IF(AN1439="","",IF(Q1439="Sin Factura",0,P1439-IFERROR(INDEX(Facturas_Odoo!$H:$H, MATCH(Q1439, Facturas_Odoo!$B:$B, 0)), 0)))</f>
        <v/>
      </c>
      <c r="AN1439" s="79">
        <f>IF(AND(A1439="", J1439=""), "", IF(A1439&lt;&gt;"", VALUE(MID(A1439,2,LEN(A1439))), AN1438))</f>
        <v/>
      </c>
      <c r="AO1439" s="79">
        <f>IF(AN1439="","",IF(AD1439=0,"OK",_xlfn.LET(monedaPago, IF(AA1439="","USD",AA1439), limitePermitido, IFERROR(VLOOKUP(monedaPago, Configuración!$A$2:$B$3, 2, FALSE), 0.15), IF(AD1439&gt;limitePermitido, "ALERTA: EXCESO (" &amp; TEXT(limitePermitido, "0%") &amp; " máx)", "OK"))))</f>
        <v/>
      </c>
      <c r="AP1439" s="79">
        <f>IF(AN1439="","",IF(AE1439=0,"OK",_xlfn.LET(fechaPago, Z1439, fechaFactura, R1439, diasCredito, IF(E1439="Pago inmediato", 0, IFERROR(VALUE(MID(E1439, 1, SEARCH(" ", E1439)-1)),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39" s="79">
        <f>IF(AN1439="","",IF(AND(N1439&gt;0, AG1439&gt;0), IF(Configuración!$K$2="NO", "ALERTA: DESCUENTO DOBLE NO PERMITIDO", "OK"), "OK"))</f>
        <v/>
      </c>
      <c r="AR1439" s="79">
        <f>IF(AN1439="","",IF(OR(AO1439&lt;&gt;"OK", AP1439&lt;&gt;"OK", AQ1439&lt;&gt;"OK"), "⚠️ REVISAR", "OK"))</f>
        <v/>
      </c>
    </row>
    <row r="1440">
      <c r="A1440" s="79">
        <f>IF('Ordenes_Odoo'!A1440="","",'Ordenes_Odoo'!A1440)</f>
        <v/>
      </c>
      <c r="B1440" s="80">
        <f>IF('Ordenes_Odoo'!B1440="","",'Ordenes_Odoo'!B1440)</f>
        <v/>
      </c>
      <c r="C1440" s="79">
        <f>IF('Ordenes_Odoo'!C1440="","",'Ordenes_Odoo'!C1440)</f>
        <v/>
      </c>
      <c r="D1440" s="79">
        <f>IF('Ordenes_Odoo'!D1440="","",'Ordenes_Odoo'!D1440)</f>
        <v/>
      </c>
      <c r="E1440" s="79">
        <f>IF('Ordenes_Odoo'!E1440="","",'Ordenes_Odoo'!E1440)</f>
        <v/>
      </c>
      <c r="F1440" s="79">
        <f>IF('Ordenes_Odoo'!F1440="","",'Ordenes_Odoo'!F1440)</f>
        <v/>
      </c>
      <c r="G1440" s="79">
        <f>IF('Ordenes_Odoo'!G1440="","",'Ordenes_Odoo'!G1440)</f>
        <v/>
      </c>
      <c r="H1440" s="79">
        <f>IF('Ordenes_Odoo'!H1440="","",'Ordenes_Odoo'!H1440)</f>
        <v/>
      </c>
      <c r="I1440" s="79">
        <f>IF('Ordenes_Odoo'!I1440="","",'Ordenes_Odoo'!I1440)</f>
        <v/>
      </c>
      <c r="J1440" s="79">
        <f>IF('Ordenes_Odoo'!J1440="","",'Ordenes_Odoo'!J1440)</f>
        <v/>
      </c>
      <c r="K1440" s="81">
        <f>IF('Ordenes_Odoo'!K1440="","",'Ordenes_Odoo'!K1440)</f>
        <v/>
      </c>
      <c r="L1440" s="81">
        <f>IF('Ordenes_Odoo'!L1440="","",'Ordenes_Odoo'!L1440)</f>
        <v/>
      </c>
      <c r="M1440" s="79">
        <f>IF('Ordenes_Odoo'!M1440="","",'Ordenes_Odoo'!M1440)</f>
        <v/>
      </c>
      <c r="N1440" s="79">
        <f>IF('Ordenes_Odoo'!N1440="","",'Ordenes_Odoo'!N1440)</f>
        <v/>
      </c>
      <c r="O1440" s="81">
        <f>IF('Ordenes_Odoo'!O1440="","",'Ordenes_Odoo'!O1440)</f>
        <v/>
      </c>
      <c r="P1440" s="81">
        <f>IF('Ordenes_Odoo'!P1440="","",'Ordenes_Odoo'!P1440)</f>
        <v/>
      </c>
      <c r="Q1440" s="79">
        <f>IF(A1440="","",IFERROR(INDEX(Facturas_Odoo!$B:$B, MATCH(A1440, Facturas_Odoo!$D:$D, 0)), "Sin Factura"))</f>
        <v/>
      </c>
      <c r="R1440" s="80">
        <f>IF(Q1440="Sin Factura","",IFERROR(INDEX(Facturas_Odoo!$A:$A, MATCH(Q1440, Facturas_Odoo!$B:$B, 0)), ""))</f>
        <v/>
      </c>
      <c r="S1440" s="79">
        <f>IF(Q1440="Sin Factura","",IFERROR(_xlfn.XLOOKUP(1, (Facturas_Odoo!$D:$D=A1440) * (Facturas_Odoo!$K:$K=I1440), Facturas_Odoo!$L:$L, ""), ""))</f>
        <v/>
      </c>
      <c r="T1440" s="81">
        <f>IF(Q1440="Sin Factura",0,IFERROR(_xlfn.XLOOKUP(1, (Facturas_Odoo!$D:$D=A1440) * (Facturas_Odoo!$K:$K=I1440), Facturas_Odoo!$M:$M, 0), 0))</f>
        <v/>
      </c>
      <c r="U1440" s="79">
        <f>IF(Q1440="Sin Factura",0,IFERROR(_xlfn.XLOOKUP(1, (Facturas_Odoo!$D:$D=A1440) * (Facturas_Odoo!$K:$K=I1440), Facturas_Odoo!$N:$N, 0), 0))</f>
        <v/>
      </c>
      <c r="V1440" s="79">
        <f>IF(Q1440="Sin Factura",0,IFERROR(_xlfn.XLOOKUP(1, (Facturas_Odoo!$D:$D=A1440) * (Facturas_Odoo!$K:$K=I1440), Facturas_Odoo!$O:$O, 0), 0))</f>
        <v/>
      </c>
      <c r="W1440" s="81">
        <f>IF(Q1440="Sin Factura",0,IFERROR(_xlfn.XLOOKUP(1, (Facturas_Odoo!$D:$D=A1440) * (Facturas_Odoo!$K:$K=I1440), Facturas_Odoo!$Q:$Q, 0), 0))</f>
        <v/>
      </c>
      <c r="X1440" s="79">
        <f>IF(OR(Q1440="Sin Factura",Q1440=""),"",IFERROR(INDEX(Pagos_Odoo!$B:$B, MATCH(Q1440, Pagos_Odoo!$I:$I, 0)), "Sin Pago"))</f>
        <v/>
      </c>
      <c r="Y1440" s="79">
        <f>IF(X1440="Sin Pago","",IFERROR(INDEX(Pagos_Odoo!$C:$C, MATCH(X1440, Pagos_Odoo!$B:$B, 0)), ""))</f>
        <v/>
      </c>
      <c r="Z1440" s="80">
        <f>IF(X1440="Sin Pago","",IFERROR(INDEX(Pagos_Odoo!$A:$A, MATCH(X1440, Pagos_Odoo!$B:$B, 0)), ""))</f>
        <v/>
      </c>
      <c r="AA1440" s="79">
        <f>IF(X1440="Sin Pago","",IFERROR(INDEX(Pagos_Odoo!$F:$F, MATCH(X1440, Pagos_Odoo!$B:$B, 0)), ""))</f>
        <v/>
      </c>
      <c r="AB1440" s="81">
        <f>IF(X1440="Sin Pago",0,IFERROR(INDEX(Pagos_Odoo!$E:$E, MATCH(X1440, Pagos_Odoo!$B:$B, 0)), 0))</f>
        <v/>
      </c>
      <c r="AC1440" s="79">
        <f>IF(X1440="Sin Pago","",IFERROR(INDEX(Pagos_Odoo!$G:$G, MATCH(X1440, Pagos_Odoo!$B:$B, 0)), ""))</f>
        <v/>
      </c>
      <c r="AD1440" s="82" t="n">
        <v>0</v>
      </c>
      <c r="AE1440" s="82" t="n"/>
      <c r="AF1440" s="82" t="n"/>
      <c r="AG1440" s="82">
        <f>IF(AN1440="","",AD1440+AE1440+AF1440)</f>
        <v/>
      </c>
      <c r="AH1440" s="81">
        <f>IF(AN1440="","",P1440*(1-AG1440))</f>
        <v/>
      </c>
      <c r="AI1440" s="81">
        <f>IF(AN1440="","",IF(Q1440="Sin Factura",0,IFERROR(INDEX(Facturas_Odoo!$H:$H, MATCH(Q1440, Facturas_Odoo!$B:$B, 0)), 0)*(1-AG1440)))</f>
        <v/>
      </c>
      <c r="AJ1440" s="81">
        <f>IF(AN1440="","",_xlfn.LET(idVenta, AN1440&amp;"",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40" s="81">
        <f>IF(AN1440="","",AH1440-AJ1440)</f>
        <v/>
      </c>
      <c r="AL1440" s="81">
        <f>IF(AN1440="","",IF(Q1440="Sin Factura","",AI1440-AJ1440))</f>
        <v/>
      </c>
      <c r="AM1440" s="81">
        <f>IF(AN1440="","",IF(Q1440="Sin Factura",0,P1440-IFERROR(INDEX(Facturas_Odoo!$H:$H, MATCH(Q1440, Facturas_Odoo!$B:$B, 0)), 0)))</f>
        <v/>
      </c>
      <c r="AN1440" s="79">
        <f>IF(AND(A1440="", J1440=""), "", IF(A1440&lt;&gt;"", VALUE(MID(A1440,2,LEN(A1440))), AN1439))</f>
        <v/>
      </c>
      <c r="AO1440" s="79">
        <f>IF(AN1440="","",IF(AD1440=0,"OK",_xlfn.LET(monedaPago, IF(AA1440="","USD",AA1440), limitePermitido, IFERROR(VLOOKUP(monedaPago, Configuración!$A$2:$B$3, 2, FALSE), 0.15), IF(AD1440&gt;limitePermitido, "ALERTA: EXCESO (" &amp; TEXT(limitePermitido, "0%") &amp; " máx)", "OK"))))</f>
        <v/>
      </c>
      <c r="AP1440" s="79">
        <f>IF(AN1440="","",IF(AE1440=0,"OK",_xlfn.LET(fechaPago, Z1440, fechaFactura, R1440, diasCredito, IF(E1440="Pago inmediato", 0, IFERROR(VALUE(MID(E1440, 1, SEARCH(" ", E1440)-1)),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40" s="79">
        <f>IF(AN1440="","",IF(AND(N1440&gt;0, AG1440&gt;0), IF(Configuración!$K$2="NO", "ALERTA: DESCUENTO DOBLE NO PERMITIDO", "OK"), "OK"))</f>
        <v/>
      </c>
      <c r="AR1440" s="79">
        <f>IF(AN1440="","",IF(OR(AO1440&lt;&gt;"OK", AP1440&lt;&gt;"OK", AQ1440&lt;&gt;"OK"), "⚠️ REVISAR", "OK"))</f>
        <v/>
      </c>
    </row>
    <row r="1441">
      <c r="A1441" s="79">
        <f>IF('Ordenes_Odoo'!A1441="","",'Ordenes_Odoo'!A1441)</f>
        <v/>
      </c>
      <c r="B1441" s="80">
        <f>IF('Ordenes_Odoo'!B1441="","",'Ordenes_Odoo'!B1441)</f>
        <v/>
      </c>
      <c r="C1441" s="79">
        <f>IF('Ordenes_Odoo'!C1441="","",'Ordenes_Odoo'!C1441)</f>
        <v/>
      </c>
      <c r="D1441" s="79">
        <f>IF('Ordenes_Odoo'!D1441="","",'Ordenes_Odoo'!D1441)</f>
        <v/>
      </c>
      <c r="E1441" s="79">
        <f>IF('Ordenes_Odoo'!E1441="","",'Ordenes_Odoo'!E1441)</f>
        <v/>
      </c>
      <c r="F1441" s="79">
        <f>IF('Ordenes_Odoo'!F1441="","",'Ordenes_Odoo'!F1441)</f>
        <v/>
      </c>
      <c r="G1441" s="79">
        <f>IF('Ordenes_Odoo'!G1441="","",'Ordenes_Odoo'!G1441)</f>
        <v/>
      </c>
      <c r="H1441" s="79">
        <f>IF('Ordenes_Odoo'!H1441="","",'Ordenes_Odoo'!H1441)</f>
        <v/>
      </c>
      <c r="I1441" s="79">
        <f>IF('Ordenes_Odoo'!I1441="","",'Ordenes_Odoo'!I1441)</f>
        <v/>
      </c>
      <c r="J1441" s="79">
        <f>IF('Ordenes_Odoo'!J1441="","",'Ordenes_Odoo'!J1441)</f>
        <v/>
      </c>
      <c r="K1441" s="81">
        <f>IF('Ordenes_Odoo'!K1441="","",'Ordenes_Odoo'!K1441)</f>
        <v/>
      </c>
      <c r="L1441" s="81">
        <f>IF('Ordenes_Odoo'!L1441="","",'Ordenes_Odoo'!L1441)</f>
        <v/>
      </c>
      <c r="M1441" s="79">
        <f>IF('Ordenes_Odoo'!M1441="","",'Ordenes_Odoo'!M1441)</f>
        <v/>
      </c>
      <c r="N1441" s="79">
        <f>IF('Ordenes_Odoo'!N1441="","",'Ordenes_Odoo'!N1441)</f>
        <v/>
      </c>
      <c r="O1441" s="81">
        <f>IF('Ordenes_Odoo'!O1441="","",'Ordenes_Odoo'!O1441)</f>
        <v/>
      </c>
      <c r="P1441" s="81">
        <f>IF('Ordenes_Odoo'!P1441="","",'Ordenes_Odoo'!P1441)</f>
        <v/>
      </c>
      <c r="Q1441" s="79">
        <f>IF(A1441="","",IFERROR(INDEX(Facturas_Odoo!$B:$B, MATCH(A1441, Facturas_Odoo!$D:$D, 0)), "Sin Factura"))</f>
        <v/>
      </c>
      <c r="R1441" s="80">
        <f>IF(Q1441="Sin Factura","",IFERROR(INDEX(Facturas_Odoo!$A:$A, MATCH(Q1441, Facturas_Odoo!$B:$B, 0)), ""))</f>
        <v/>
      </c>
      <c r="S1441" s="79">
        <f>IF(Q1441="Sin Factura","",IFERROR(_xlfn.XLOOKUP(1, (Facturas_Odoo!$D:$D=A1441) * (Facturas_Odoo!$K:$K=I1441), Facturas_Odoo!$L:$L, ""), ""))</f>
        <v/>
      </c>
      <c r="T1441" s="81">
        <f>IF(Q1441="Sin Factura",0,IFERROR(_xlfn.XLOOKUP(1, (Facturas_Odoo!$D:$D=A1441) * (Facturas_Odoo!$K:$K=I1441), Facturas_Odoo!$M:$M, 0), 0))</f>
        <v/>
      </c>
      <c r="U1441" s="79">
        <f>IF(Q1441="Sin Factura",0,IFERROR(_xlfn.XLOOKUP(1, (Facturas_Odoo!$D:$D=A1441) * (Facturas_Odoo!$K:$K=I1441), Facturas_Odoo!$N:$N, 0), 0))</f>
        <v/>
      </c>
      <c r="V1441" s="79">
        <f>IF(Q1441="Sin Factura",0,IFERROR(_xlfn.XLOOKUP(1, (Facturas_Odoo!$D:$D=A1441) * (Facturas_Odoo!$K:$K=I1441), Facturas_Odoo!$O:$O, 0), 0))</f>
        <v/>
      </c>
      <c r="W1441" s="81">
        <f>IF(Q1441="Sin Factura",0,IFERROR(_xlfn.XLOOKUP(1, (Facturas_Odoo!$D:$D=A1441) * (Facturas_Odoo!$K:$K=I1441), Facturas_Odoo!$Q:$Q, 0), 0))</f>
        <v/>
      </c>
      <c r="X1441" s="79">
        <f>IF(OR(Q1441="Sin Factura",Q1441=""),"",IFERROR(INDEX(Pagos_Odoo!$B:$B, MATCH(Q1441, Pagos_Odoo!$I:$I, 0)), "Sin Pago"))</f>
        <v/>
      </c>
      <c r="Y1441" s="79">
        <f>IF(X1441="Sin Pago","",IFERROR(INDEX(Pagos_Odoo!$C:$C, MATCH(X1441, Pagos_Odoo!$B:$B, 0)), ""))</f>
        <v/>
      </c>
      <c r="Z1441" s="80">
        <f>IF(X1441="Sin Pago","",IFERROR(INDEX(Pagos_Odoo!$A:$A, MATCH(X1441, Pagos_Odoo!$B:$B, 0)), ""))</f>
        <v/>
      </c>
      <c r="AA1441" s="79">
        <f>IF(X1441="Sin Pago","",IFERROR(INDEX(Pagos_Odoo!$F:$F, MATCH(X1441, Pagos_Odoo!$B:$B, 0)), ""))</f>
        <v/>
      </c>
      <c r="AB1441" s="81">
        <f>IF(X1441="Sin Pago",0,IFERROR(INDEX(Pagos_Odoo!$E:$E, MATCH(X1441, Pagos_Odoo!$B:$B, 0)), 0))</f>
        <v/>
      </c>
      <c r="AC1441" s="79">
        <f>IF(X1441="Sin Pago","",IFERROR(INDEX(Pagos_Odoo!$G:$G, MATCH(X1441, Pagos_Odoo!$B:$B, 0)), ""))</f>
        <v/>
      </c>
      <c r="AD1441" s="82" t="n">
        <v>0</v>
      </c>
      <c r="AE1441" s="82" t="n"/>
      <c r="AF1441" s="82" t="n"/>
      <c r="AG1441" s="82">
        <f>IF(AN1441="","",AD1441+AE1441+AF1441)</f>
        <v/>
      </c>
      <c r="AH1441" s="81">
        <f>IF(AN1441="","",P1441*(1-AG1441))</f>
        <v/>
      </c>
      <c r="AI1441" s="81">
        <f>IF(AN1441="","",IF(Q1441="Sin Factura",0,IFERROR(INDEX(Facturas_Odoo!$H:$H, MATCH(Q1441, Facturas_Odoo!$B:$B, 0)), 0)*(1-AG1441)))</f>
        <v/>
      </c>
      <c r="AJ1441" s="81">
        <f>IF(AN1441="","",_xlfn.LET(idVenta, AN1441&amp;"",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41" s="81">
        <f>IF(AN1441="","",AH1441-AJ1441)</f>
        <v/>
      </c>
      <c r="AL1441" s="81">
        <f>IF(AN1441="","",IF(Q1441="Sin Factura","",AI1441-AJ1441))</f>
        <v/>
      </c>
      <c r="AM1441" s="81">
        <f>IF(AN1441="","",IF(Q1441="Sin Factura",0,P1441-IFERROR(INDEX(Facturas_Odoo!$H:$H, MATCH(Q1441, Facturas_Odoo!$B:$B, 0)), 0)))</f>
        <v/>
      </c>
      <c r="AN1441" s="79">
        <f>IF(AND(A1441="", J1441=""), "", IF(A1441&lt;&gt;"", VALUE(MID(A1441,2,LEN(A1441))), AN1440))</f>
        <v/>
      </c>
      <c r="AO1441" s="79">
        <f>IF(AN1441="","",IF(AD1441=0,"OK",_xlfn.LET(monedaPago, IF(AA1441="","USD",AA1441), limitePermitido, IFERROR(VLOOKUP(monedaPago, Configuración!$A$2:$B$3, 2, FALSE), 0.15), IF(AD1441&gt;limitePermitido, "ALERTA: EXCESO (" &amp; TEXT(limitePermitido, "0%") &amp; " máx)", "OK"))))</f>
        <v/>
      </c>
      <c r="AP1441" s="79">
        <f>IF(AN1441="","",IF(AE1441=0,"OK",_xlfn.LET(fechaPago, Z1441, fechaFactura, R1441, diasCredito, IF(E1441="Pago inmediato", 0, IFERROR(VALUE(MID(E1441, 1, SEARCH(" ", E1441)-1)),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41" s="79">
        <f>IF(AN1441="","",IF(AND(N1441&gt;0, AG1441&gt;0), IF(Configuración!$K$2="NO", "ALERTA: DESCUENTO DOBLE NO PERMITIDO", "OK"), "OK"))</f>
        <v/>
      </c>
      <c r="AR1441" s="79">
        <f>IF(AN1441="","",IF(OR(AO1441&lt;&gt;"OK", AP1441&lt;&gt;"OK", AQ1441&lt;&gt;"OK"), "⚠️ REVISAR", "OK"))</f>
        <v/>
      </c>
    </row>
    <row r="1442">
      <c r="A1442" s="79">
        <f>IF('Ordenes_Odoo'!A1442="","",'Ordenes_Odoo'!A1442)</f>
        <v/>
      </c>
      <c r="B1442" s="80">
        <f>IF('Ordenes_Odoo'!B1442="","",'Ordenes_Odoo'!B1442)</f>
        <v/>
      </c>
      <c r="C1442" s="79">
        <f>IF('Ordenes_Odoo'!C1442="","",'Ordenes_Odoo'!C1442)</f>
        <v/>
      </c>
      <c r="D1442" s="79">
        <f>IF('Ordenes_Odoo'!D1442="","",'Ordenes_Odoo'!D1442)</f>
        <v/>
      </c>
      <c r="E1442" s="79">
        <f>IF('Ordenes_Odoo'!E1442="","",'Ordenes_Odoo'!E1442)</f>
        <v/>
      </c>
      <c r="F1442" s="79">
        <f>IF('Ordenes_Odoo'!F1442="","",'Ordenes_Odoo'!F1442)</f>
        <v/>
      </c>
      <c r="G1442" s="79">
        <f>IF('Ordenes_Odoo'!G1442="","",'Ordenes_Odoo'!G1442)</f>
        <v/>
      </c>
      <c r="H1442" s="79">
        <f>IF('Ordenes_Odoo'!H1442="","",'Ordenes_Odoo'!H1442)</f>
        <v/>
      </c>
      <c r="I1442" s="79">
        <f>IF('Ordenes_Odoo'!I1442="","",'Ordenes_Odoo'!I1442)</f>
        <v/>
      </c>
      <c r="J1442" s="79">
        <f>IF('Ordenes_Odoo'!J1442="","",'Ordenes_Odoo'!J1442)</f>
        <v/>
      </c>
      <c r="K1442" s="81">
        <f>IF('Ordenes_Odoo'!K1442="","",'Ordenes_Odoo'!K1442)</f>
        <v/>
      </c>
      <c r="L1442" s="81">
        <f>IF('Ordenes_Odoo'!L1442="","",'Ordenes_Odoo'!L1442)</f>
        <v/>
      </c>
      <c r="M1442" s="79">
        <f>IF('Ordenes_Odoo'!M1442="","",'Ordenes_Odoo'!M1442)</f>
        <v/>
      </c>
      <c r="N1442" s="79">
        <f>IF('Ordenes_Odoo'!N1442="","",'Ordenes_Odoo'!N1442)</f>
        <v/>
      </c>
      <c r="O1442" s="81">
        <f>IF('Ordenes_Odoo'!O1442="","",'Ordenes_Odoo'!O1442)</f>
        <v/>
      </c>
      <c r="P1442" s="81">
        <f>IF('Ordenes_Odoo'!P1442="","",'Ordenes_Odoo'!P1442)</f>
        <v/>
      </c>
      <c r="Q1442" s="79">
        <f>IF(A1442="","",IFERROR(INDEX(Facturas_Odoo!$B:$B, MATCH(A1442, Facturas_Odoo!$D:$D, 0)), "Sin Factura"))</f>
        <v/>
      </c>
      <c r="R1442" s="80">
        <f>IF(Q1442="Sin Factura","",IFERROR(INDEX(Facturas_Odoo!$A:$A, MATCH(Q1442, Facturas_Odoo!$B:$B, 0)), ""))</f>
        <v/>
      </c>
      <c r="S1442" s="79">
        <f>IF(Q1442="Sin Factura","",IFERROR(_xlfn.XLOOKUP(1, (Facturas_Odoo!$D:$D=A1442) * (Facturas_Odoo!$K:$K=I1442), Facturas_Odoo!$L:$L, ""), ""))</f>
        <v/>
      </c>
      <c r="T1442" s="81">
        <f>IF(Q1442="Sin Factura",0,IFERROR(_xlfn.XLOOKUP(1, (Facturas_Odoo!$D:$D=A1442) * (Facturas_Odoo!$K:$K=I1442), Facturas_Odoo!$M:$M, 0), 0))</f>
        <v/>
      </c>
      <c r="U1442" s="79">
        <f>IF(Q1442="Sin Factura",0,IFERROR(_xlfn.XLOOKUP(1, (Facturas_Odoo!$D:$D=A1442) * (Facturas_Odoo!$K:$K=I1442), Facturas_Odoo!$N:$N, 0), 0))</f>
        <v/>
      </c>
      <c r="V1442" s="79">
        <f>IF(Q1442="Sin Factura",0,IFERROR(_xlfn.XLOOKUP(1, (Facturas_Odoo!$D:$D=A1442) * (Facturas_Odoo!$K:$K=I1442), Facturas_Odoo!$O:$O, 0), 0))</f>
        <v/>
      </c>
      <c r="W1442" s="81">
        <f>IF(Q1442="Sin Factura",0,IFERROR(_xlfn.XLOOKUP(1, (Facturas_Odoo!$D:$D=A1442) * (Facturas_Odoo!$K:$K=I1442), Facturas_Odoo!$Q:$Q, 0), 0))</f>
        <v/>
      </c>
      <c r="X1442" s="79">
        <f>IF(OR(Q1442="Sin Factura",Q1442=""),"",IFERROR(INDEX(Pagos_Odoo!$B:$B, MATCH(Q1442, Pagos_Odoo!$I:$I, 0)), "Sin Pago"))</f>
        <v/>
      </c>
      <c r="Y1442" s="79">
        <f>IF(X1442="Sin Pago","",IFERROR(INDEX(Pagos_Odoo!$C:$C, MATCH(X1442, Pagos_Odoo!$B:$B, 0)), ""))</f>
        <v/>
      </c>
      <c r="Z1442" s="80">
        <f>IF(X1442="Sin Pago","",IFERROR(INDEX(Pagos_Odoo!$A:$A, MATCH(X1442, Pagos_Odoo!$B:$B, 0)), ""))</f>
        <v/>
      </c>
      <c r="AA1442" s="79">
        <f>IF(X1442="Sin Pago","",IFERROR(INDEX(Pagos_Odoo!$F:$F, MATCH(X1442, Pagos_Odoo!$B:$B, 0)), ""))</f>
        <v/>
      </c>
      <c r="AB1442" s="81">
        <f>IF(X1442="Sin Pago",0,IFERROR(INDEX(Pagos_Odoo!$E:$E, MATCH(X1442, Pagos_Odoo!$B:$B, 0)), 0))</f>
        <v/>
      </c>
      <c r="AC1442" s="79">
        <f>IF(X1442="Sin Pago","",IFERROR(INDEX(Pagos_Odoo!$G:$G, MATCH(X1442, Pagos_Odoo!$B:$B, 0)), ""))</f>
        <v/>
      </c>
      <c r="AD1442" s="82" t="n">
        <v>0</v>
      </c>
      <c r="AE1442" s="82" t="n"/>
      <c r="AF1442" s="82" t="n"/>
      <c r="AG1442" s="82">
        <f>IF(AN1442="","",AD1442+AE1442+AF1442)</f>
        <v/>
      </c>
      <c r="AH1442" s="81">
        <f>IF(AN1442="","",P1442*(1-AG1442))</f>
        <v/>
      </c>
      <c r="AI1442" s="81">
        <f>IF(AN1442="","",IF(Q1442="Sin Factura",0,IFERROR(INDEX(Facturas_Odoo!$H:$H, MATCH(Q1442, Facturas_Odoo!$B:$B, 0)), 0)*(1-AG1442)))</f>
        <v/>
      </c>
      <c r="AJ1442" s="81">
        <f>IF(AN1442="","",_xlfn.LET(idVenta, AN1442&amp;"",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42" s="81">
        <f>IF(AN1442="","",AH1442-AJ1442)</f>
        <v/>
      </c>
      <c r="AL1442" s="81">
        <f>IF(AN1442="","",IF(Q1442="Sin Factura","",AI1442-AJ1442))</f>
        <v/>
      </c>
      <c r="AM1442" s="81">
        <f>IF(AN1442="","",IF(Q1442="Sin Factura",0,P1442-IFERROR(INDEX(Facturas_Odoo!$H:$H, MATCH(Q1442, Facturas_Odoo!$B:$B, 0)), 0)))</f>
        <v/>
      </c>
      <c r="AN1442" s="79">
        <f>IF(AND(A1442="", J1442=""), "", IF(A1442&lt;&gt;"", VALUE(MID(A1442,2,LEN(A1442))), AN1441))</f>
        <v/>
      </c>
      <c r="AO1442" s="79">
        <f>IF(AN1442="","",IF(AD1442=0,"OK",_xlfn.LET(monedaPago, IF(AA1442="","USD",AA1442), limitePermitido, IFERROR(VLOOKUP(monedaPago, Configuración!$A$2:$B$3, 2, FALSE), 0.15), IF(AD1442&gt;limitePermitido, "ALERTA: EXCESO (" &amp; TEXT(limitePermitido, "0%") &amp; " máx)", "OK"))))</f>
        <v/>
      </c>
      <c r="AP1442" s="79">
        <f>IF(AN1442="","",IF(AE1442=0,"OK",_xlfn.LET(fechaPago, Z1442, fechaFactura, R1442, diasCredito, IF(E1442="Pago inmediato", 0, IFERROR(VALUE(MID(E1442, 1, SEARCH(" ", E1442)-1)),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42" s="79">
        <f>IF(AN1442="","",IF(AND(N1442&gt;0, AG1442&gt;0), IF(Configuración!$K$2="NO", "ALERTA: DESCUENTO DOBLE NO PERMITIDO", "OK"), "OK"))</f>
        <v/>
      </c>
      <c r="AR1442" s="79">
        <f>IF(AN1442="","",IF(OR(AO1442&lt;&gt;"OK", AP1442&lt;&gt;"OK", AQ1442&lt;&gt;"OK"), "⚠️ REVISAR", "OK"))</f>
        <v/>
      </c>
    </row>
    <row r="1443">
      <c r="A1443" s="79">
        <f>IF('Ordenes_Odoo'!A1443="","",'Ordenes_Odoo'!A1443)</f>
        <v/>
      </c>
      <c r="B1443" s="80">
        <f>IF('Ordenes_Odoo'!B1443="","",'Ordenes_Odoo'!B1443)</f>
        <v/>
      </c>
      <c r="C1443" s="79">
        <f>IF('Ordenes_Odoo'!C1443="","",'Ordenes_Odoo'!C1443)</f>
        <v/>
      </c>
      <c r="D1443" s="79">
        <f>IF('Ordenes_Odoo'!D1443="","",'Ordenes_Odoo'!D1443)</f>
        <v/>
      </c>
      <c r="E1443" s="79">
        <f>IF('Ordenes_Odoo'!E1443="","",'Ordenes_Odoo'!E1443)</f>
        <v/>
      </c>
      <c r="F1443" s="79">
        <f>IF('Ordenes_Odoo'!F1443="","",'Ordenes_Odoo'!F1443)</f>
        <v/>
      </c>
      <c r="G1443" s="79">
        <f>IF('Ordenes_Odoo'!G1443="","",'Ordenes_Odoo'!G1443)</f>
        <v/>
      </c>
      <c r="H1443" s="79">
        <f>IF('Ordenes_Odoo'!H1443="","",'Ordenes_Odoo'!H1443)</f>
        <v/>
      </c>
      <c r="I1443" s="79">
        <f>IF('Ordenes_Odoo'!I1443="","",'Ordenes_Odoo'!I1443)</f>
        <v/>
      </c>
      <c r="J1443" s="79">
        <f>IF('Ordenes_Odoo'!J1443="","",'Ordenes_Odoo'!J1443)</f>
        <v/>
      </c>
      <c r="K1443" s="81">
        <f>IF('Ordenes_Odoo'!K1443="","",'Ordenes_Odoo'!K1443)</f>
        <v/>
      </c>
      <c r="L1443" s="81">
        <f>IF('Ordenes_Odoo'!L1443="","",'Ordenes_Odoo'!L1443)</f>
        <v/>
      </c>
      <c r="M1443" s="79">
        <f>IF('Ordenes_Odoo'!M1443="","",'Ordenes_Odoo'!M1443)</f>
        <v/>
      </c>
      <c r="N1443" s="79">
        <f>IF('Ordenes_Odoo'!N1443="","",'Ordenes_Odoo'!N1443)</f>
        <v/>
      </c>
      <c r="O1443" s="81">
        <f>IF('Ordenes_Odoo'!O1443="","",'Ordenes_Odoo'!O1443)</f>
        <v/>
      </c>
      <c r="P1443" s="81">
        <f>IF('Ordenes_Odoo'!P1443="","",'Ordenes_Odoo'!P1443)</f>
        <v/>
      </c>
      <c r="Q1443" s="79">
        <f>IF(A1443="","",IFERROR(INDEX(Facturas_Odoo!$B:$B, MATCH(A1443, Facturas_Odoo!$D:$D, 0)), "Sin Factura"))</f>
        <v/>
      </c>
      <c r="R1443" s="80">
        <f>IF(Q1443="Sin Factura","",IFERROR(INDEX(Facturas_Odoo!$A:$A, MATCH(Q1443, Facturas_Odoo!$B:$B, 0)), ""))</f>
        <v/>
      </c>
      <c r="S1443" s="79">
        <f>IF(Q1443="Sin Factura","",IFERROR(_xlfn.XLOOKUP(1, (Facturas_Odoo!$D:$D=A1443) * (Facturas_Odoo!$K:$K=I1443), Facturas_Odoo!$L:$L, ""), ""))</f>
        <v/>
      </c>
      <c r="T1443" s="81">
        <f>IF(Q1443="Sin Factura",0,IFERROR(_xlfn.XLOOKUP(1, (Facturas_Odoo!$D:$D=A1443) * (Facturas_Odoo!$K:$K=I1443), Facturas_Odoo!$M:$M, 0), 0))</f>
        <v/>
      </c>
      <c r="U1443" s="79">
        <f>IF(Q1443="Sin Factura",0,IFERROR(_xlfn.XLOOKUP(1, (Facturas_Odoo!$D:$D=A1443) * (Facturas_Odoo!$K:$K=I1443), Facturas_Odoo!$N:$N, 0), 0))</f>
        <v/>
      </c>
      <c r="V1443" s="79">
        <f>IF(Q1443="Sin Factura",0,IFERROR(_xlfn.XLOOKUP(1, (Facturas_Odoo!$D:$D=A1443) * (Facturas_Odoo!$K:$K=I1443), Facturas_Odoo!$O:$O, 0), 0))</f>
        <v/>
      </c>
      <c r="W1443" s="81">
        <f>IF(Q1443="Sin Factura",0,IFERROR(_xlfn.XLOOKUP(1, (Facturas_Odoo!$D:$D=A1443) * (Facturas_Odoo!$K:$K=I1443), Facturas_Odoo!$Q:$Q, 0), 0))</f>
        <v/>
      </c>
      <c r="X1443" s="79">
        <f>IF(OR(Q1443="Sin Factura",Q1443=""),"",IFERROR(INDEX(Pagos_Odoo!$B:$B, MATCH(Q1443, Pagos_Odoo!$I:$I, 0)), "Sin Pago"))</f>
        <v/>
      </c>
      <c r="Y1443" s="79">
        <f>IF(X1443="Sin Pago","",IFERROR(INDEX(Pagos_Odoo!$C:$C, MATCH(X1443, Pagos_Odoo!$B:$B, 0)), ""))</f>
        <v/>
      </c>
      <c r="Z1443" s="80">
        <f>IF(X1443="Sin Pago","",IFERROR(INDEX(Pagos_Odoo!$A:$A, MATCH(X1443, Pagos_Odoo!$B:$B, 0)), ""))</f>
        <v/>
      </c>
      <c r="AA1443" s="79">
        <f>IF(X1443="Sin Pago","",IFERROR(INDEX(Pagos_Odoo!$F:$F, MATCH(X1443, Pagos_Odoo!$B:$B, 0)), ""))</f>
        <v/>
      </c>
      <c r="AB1443" s="81">
        <f>IF(X1443="Sin Pago",0,IFERROR(INDEX(Pagos_Odoo!$E:$E, MATCH(X1443, Pagos_Odoo!$B:$B, 0)), 0))</f>
        <v/>
      </c>
      <c r="AC1443" s="79">
        <f>IF(X1443="Sin Pago","",IFERROR(INDEX(Pagos_Odoo!$G:$G, MATCH(X1443, Pagos_Odoo!$B:$B, 0)), ""))</f>
        <v/>
      </c>
      <c r="AD1443" s="82" t="n">
        <v>0</v>
      </c>
      <c r="AE1443" s="82" t="n"/>
      <c r="AF1443" s="82" t="n"/>
      <c r="AG1443" s="82">
        <f>IF(AN1443="","",AD1443+AE1443+AF1443)</f>
        <v/>
      </c>
      <c r="AH1443" s="81">
        <f>IF(AN1443="","",P1443*(1-AG1443))</f>
        <v/>
      </c>
      <c r="AI1443" s="81">
        <f>IF(AN1443="","",IF(Q1443="Sin Factura",0,IFERROR(INDEX(Facturas_Odoo!$H:$H, MATCH(Q1443, Facturas_Odoo!$B:$B, 0)), 0)*(1-AG1443)))</f>
        <v/>
      </c>
      <c r="AJ1443" s="81">
        <f>IF(AN1443="","",_xlfn.LET(idVenta, AN1443&amp;"",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43" s="81">
        <f>IF(AN1443="","",AH1443-AJ1443)</f>
        <v/>
      </c>
      <c r="AL1443" s="81">
        <f>IF(AN1443="","",IF(Q1443="Sin Factura","",AI1443-AJ1443))</f>
        <v/>
      </c>
      <c r="AM1443" s="81">
        <f>IF(AN1443="","",IF(Q1443="Sin Factura",0,P1443-IFERROR(INDEX(Facturas_Odoo!$H:$H, MATCH(Q1443, Facturas_Odoo!$B:$B, 0)), 0)))</f>
        <v/>
      </c>
      <c r="AN1443" s="79">
        <f>IF(AND(A1443="", J1443=""), "", IF(A1443&lt;&gt;"", VALUE(MID(A1443,2,LEN(A1443))), AN1442))</f>
        <v/>
      </c>
      <c r="AO1443" s="79">
        <f>IF(AN1443="","",IF(AD1443=0,"OK",_xlfn.LET(monedaPago, IF(AA1443="","USD",AA1443), limitePermitido, IFERROR(VLOOKUP(monedaPago, Configuración!$A$2:$B$3, 2, FALSE), 0.15), IF(AD1443&gt;limitePermitido, "ALERTA: EXCESO (" &amp; TEXT(limitePermitido, "0%") &amp; " máx)", "OK"))))</f>
        <v/>
      </c>
      <c r="AP1443" s="79">
        <f>IF(AN1443="","",IF(AE1443=0,"OK",_xlfn.LET(fechaPago, Z1443, fechaFactura, R1443, diasCredito, IF(E1443="Pago inmediato", 0, IFERROR(VALUE(MID(E1443, 1, SEARCH(" ", E1443)-1)),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43" s="79">
        <f>IF(AN1443="","",IF(AND(N1443&gt;0, AG1443&gt;0), IF(Configuración!$K$2="NO", "ALERTA: DESCUENTO DOBLE NO PERMITIDO", "OK"), "OK"))</f>
        <v/>
      </c>
      <c r="AR1443" s="79">
        <f>IF(AN1443="","",IF(OR(AO1443&lt;&gt;"OK", AP1443&lt;&gt;"OK", AQ1443&lt;&gt;"OK"), "⚠️ REVISAR", "OK"))</f>
        <v/>
      </c>
    </row>
    <row r="1444">
      <c r="A1444" s="79">
        <f>IF('Ordenes_Odoo'!A1444="","",'Ordenes_Odoo'!A1444)</f>
        <v/>
      </c>
      <c r="B1444" s="80">
        <f>IF('Ordenes_Odoo'!B1444="","",'Ordenes_Odoo'!B1444)</f>
        <v/>
      </c>
      <c r="C1444" s="79">
        <f>IF('Ordenes_Odoo'!C1444="","",'Ordenes_Odoo'!C1444)</f>
        <v/>
      </c>
      <c r="D1444" s="79">
        <f>IF('Ordenes_Odoo'!D1444="","",'Ordenes_Odoo'!D1444)</f>
        <v/>
      </c>
      <c r="E1444" s="79">
        <f>IF('Ordenes_Odoo'!E1444="","",'Ordenes_Odoo'!E1444)</f>
        <v/>
      </c>
      <c r="F1444" s="79">
        <f>IF('Ordenes_Odoo'!F1444="","",'Ordenes_Odoo'!F1444)</f>
        <v/>
      </c>
      <c r="G1444" s="79">
        <f>IF('Ordenes_Odoo'!G1444="","",'Ordenes_Odoo'!G1444)</f>
        <v/>
      </c>
      <c r="H1444" s="79">
        <f>IF('Ordenes_Odoo'!H1444="","",'Ordenes_Odoo'!H1444)</f>
        <v/>
      </c>
      <c r="I1444" s="79">
        <f>IF('Ordenes_Odoo'!I1444="","",'Ordenes_Odoo'!I1444)</f>
        <v/>
      </c>
      <c r="J1444" s="79">
        <f>IF('Ordenes_Odoo'!J1444="","",'Ordenes_Odoo'!J1444)</f>
        <v/>
      </c>
      <c r="K1444" s="81">
        <f>IF('Ordenes_Odoo'!K1444="","",'Ordenes_Odoo'!K1444)</f>
        <v/>
      </c>
      <c r="L1444" s="81">
        <f>IF('Ordenes_Odoo'!L1444="","",'Ordenes_Odoo'!L1444)</f>
        <v/>
      </c>
      <c r="M1444" s="79">
        <f>IF('Ordenes_Odoo'!M1444="","",'Ordenes_Odoo'!M1444)</f>
        <v/>
      </c>
      <c r="N1444" s="79">
        <f>IF('Ordenes_Odoo'!N1444="","",'Ordenes_Odoo'!N1444)</f>
        <v/>
      </c>
      <c r="O1444" s="81">
        <f>IF('Ordenes_Odoo'!O1444="","",'Ordenes_Odoo'!O1444)</f>
        <v/>
      </c>
      <c r="P1444" s="81">
        <f>IF('Ordenes_Odoo'!P1444="","",'Ordenes_Odoo'!P1444)</f>
        <v/>
      </c>
      <c r="Q1444" s="79">
        <f>IF(A1444="","",IFERROR(INDEX(Facturas_Odoo!$B:$B, MATCH(A1444, Facturas_Odoo!$D:$D, 0)), "Sin Factura"))</f>
        <v/>
      </c>
      <c r="R1444" s="80">
        <f>IF(Q1444="Sin Factura","",IFERROR(INDEX(Facturas_Odoo!$A:$A, MATCH(Q1444, Facturas_Odoo!$B:$B, 0)), ""))</f>
        <v/>
      </c>
      <c r="S1444" s="79">
        <f>IF(Q1444="Sin Factura","",IFERROR(_xlfn.XLOOKUP(1, (Facturas_Odoo!$D:$D=A1444) * (Facturas_Odoo!$K:$K=I1444), Facturas_Odoo!$L:$L, ""), ""))</f>
        <v/>
      </c>
      <c r="T1444" s="81">
        <f>IF(Q1444="Sin Factura",0,IFERROR(_xlfn.XLOOKUP(1, (Facturas_Odoo!$D:$D=A1444) * (Facturas_Odoo!$K:$K=I1444), Facturas_Odoo!$M:$M, 0), 0))</f>
        <v/>
      </c>
      <c r="U1444" s="79">
        <f>IF(Q1444="Sin Factura",0,IFERROR(_xlfn.XLOOKUP(1, (Facturas_Odoo!$D:$D=A1444) * (Facturas_Odoo!$K:$K=I1444), Facturas_Odoo!$N:$N, 0), 0))</f>
        <v/>
      </c>
      <c r="V1444" s="79">
        <f>IF(Q1444="Sin Factura",0,IFERROR(_xlfn.XLOOKUP(1, (Facturas_Odoo!$D:$D=A1444) * (Facturas_Odoo!$K:$K=I1444), Facturas_Odoo!$O:$O, 0), 0))</f>
        <v/>
      </c>
      <c r="W1444" s="81">
        <f>IF(Q1444="Sin Factura",0,IFERROR(_xlfn.XLOOKUP(1, (Facturas_Odoo!$D:$D=A1444) * (Facturas_Odoo!$K:$K=I1444), Facturas_Odoo!$Q:$Q, 0), 0))</f>
        <v/>
      </c>
      <c r="X1444" s="79">
        <f>IF(OR(Q1444="Sin Factura",Q1444=""),"",IFERROR(INDEX(Pagos_Odoo!$B:$B, MATCH(Q1444, Pagos_Odoo!$I:$I, 0)), "Sin Pago"))</f>
        <v/>
      </c>
      <c r="Y1444" s="79">
        <f>IF(X1444="Sin Pago","",IFERROR(INDEX(Pagos_Odoo!$C:$C, MATCH(X1444, Pagos_Odoo!$B:$B, 0)), ""))</f>
        <v/>
      </c>
      <c r="Z1444" s="80">
        <f>IF(X1444="Sin Pago","",IFERROR(INDEX(Pagos_Odoo!$A:$A, MATCH(X1444, Pagos_Odoo!$B:$B, 0)), ""))</f>
        <v/>
      </c>
      <c r="AA1444" s="79">
        <f>IF(X1444="Sin Pago","",IFERROR(INDEX(Pagos_Odoo!$F:$F, MATCH(X1444, Pagos_Odoo!$B:$B, 0)), ""))</f>
        <v/>
      </c>
      <c r="AB1444" s="81">
        <f>IF(X1444="Sin Pago",0,IFERROR(INDEX(Pagos_Odoo!$E:$E, MATCH(X1444, Pagos_Odoo!$B:$B, 0)), 0))</f>
        <v/>
      </c>
      <c r="AC1444" s="79">
        <f>IF(X1444="Sin Pago","",IFERROR(INDEX(Pagos_Odoo!$G:$G, MATCH(X1444, Pagos_Odoo!$B:$B, 0)), ""))</f>
        <v/>
      </c>
      <c r="AD1444" s="82" t="n">
        <v>0</v>
      </c>
      <c r="AE1444" s="82" t="n"/>
      <c r="AF1444" s="82" t="n"/>
      <c r="AG1444" s="82">
        <f>IF(AN1444="","",AD1444+AE1444+AF1444)</f>
        <v/>
      </c>
      <c r="AH1444" s="81">
        <f>IF(AN1444="","",P1444*(1-AG1444))</f>
        <v/>
      </c>
      <c r="AI1444" s="81">
        <f>IF(AN1444="","",IF(Q1444="Sin Factura",0,IFERROR(INDEX(Facturas_Odoo!$H:$H, MATCH(Q1444, Facturas_Odoo!$B:$B, 0)), 0)*(1-AG1444)))</f>
        <v/>
      </c>
      <c r="AJ1444" s="81">
        <f>IF(AN1444="","",_xlfn.LET(idVenta, AN1444&amp;"",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44" s="81">
        <f>IF(AN1444="","",AH1444-AJ1444)</f>
        <v/>
      </c>
      <c r="AL1444" s="81">
        <f>IF(AN1444="","",IF(Q1444="Sin Factura","",AI1444-AJ1444))</f>
        <v/>
      </c>
      <c r="AM1444" s="81">
        <f>IF(AN1444="","",IF(Q1444="Sin Factura",0,P1444-IFERROR(INDEX(Facturas_Odoo!$H:$H, MATCH(Q1444, Facturas_Odoo!$B:$B, 0)), 0)))</f>
        <v/>
      </c>
      <c r="AN1444" s="79">
        <f>IF(AND(A1444="", J1444=""), "", IF(A1444&lt;&gt;"", VALUE(MID(A1444,2,LEN(A1444))), AN1443))</f>
        <v/>
      </c>
      <c r="AO1444" s="79">
        <f>IF(AN1444="","",IF(AD1444=0,"OK",_xlfn.LET(monedaPago, IF(AA1444="","USD",AA1444), limitePermitido, IFERROR(VLOOKUP(monedaPago, Configuración!$A$2:$B$3, 2, FALSE), 0.15), IF(AD1444&gt;limitePermitido, "ALERTA: EXCESO (" &amp; TEXT(limitePermitido, "0%") &amp; " máx)", "OK"))))</f>
        <v/>
      </c>
      <c r="AP1444" s="79">
        <f>IF(AN1444="","",IF(AE1444=0,"OK",_xlfn.LET(fechaPago, Z1444, fechaFactura, R1444, diasCredito, IF(E1444="Pago inmediato", 0, IFERROR(VALUE(MID(E1444, 1, SEARCH(" ", E1444)-1)),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44" s="79">
        <f>IF(AN1444="","",IF(AND(N1444&gt;0, AG1444&gt;0), IF(Configuración!$K$2="NO", "ALERTA: DESCUENTO DOBLE NO PERMITIDO", "OK"), "OK"))</f>
        <v/>
      </c>
      <c r="AR1444" s="79">
        <f>IF(AN1444="","",IF(OR(AO1444&lt;&gt;"OK", AP1444&lt;&gt;"OK", AQ1444&lt;&gt;"OK"), "⚠️ REVISAR", "OK"))</f>
        <v/>
      </c>
    </row>
    <row r="1445">
      <c r="A1445" s="79">
        <f>IF('Ordenes_Odoo'!A1445="","",'Ordenes_Odoo'!A1445)</f>
        <v/>
      </c>
      <c r="B1445" s="80">
        <f>IF('Ordenes_Odoo'!B1445="","",'Ordenes_Odoo'!B1445)</f>
        <v/>
      </c>
      <c r="C1445" s="79">
        <f>IF('Ordenes_Odoo'!C1445="","",'Ordenes_Odoo'!C1445)</f>
        <v/>
      </c>
      <c r="D1445" s="79">
        <f>IF('Ordenes_Odoo'!D1445="","",'Ordenes_Odoo'!D1445)</f>
        <v/>
      </c>
      <c r="E1445" s="79">
        <f>IF('Ordenes_Odoo'!E1445="","",'Ordenes_Odoo'!E1445)</f>
        <v/>
      </c>
      <c r="F1445" s="79">
        <f>IF('Ordenes_Odoo'!F1445="","",'Ordenes_Odoo'!F1445)</f>
        <v/>
      </c>
      <c r="G1445" s="79">
        <f>IF('Ordenes_Odoo'!G1445="","",'Ordenes_Odoo'!G1445)</f>
        <v/>
      </c>
      <c r="H1445" s="79">
        <f>IF('Ordenes_Odoo'!H1445="","",'Ordenes_Odoo'!H1445)</f>
        <v/>
      </c>
      <c r="I1445" s="79">
        <f>IF('Ordenes_Odoo'!I1445="","",'Ordenes_Odoo'!I1445)</f>
        <v/>
      </c>
      <c r="J1445" s="79">
        <f>IF('Ordenes_Odoo'!J1445="","",'Ordenes_Odoo'!J1445)</f>
        <v/>
      </c>
      <c r="K1445" s="81">
        <f>IF('Ordenes_Odoo'!K1445="","",'Ordenes_Odoo'!K1445)</f>
        <v/>
      </c>
      <c r="L1445" s="81">
        <f>IF('Ordenes_Odoo'!L1445="","",'Ordenes_Odoo'!L1445)</f>
        <v/>
      </c>
      <c r="M1445" s="79">
        <f>IF('Ordenes_Odoo'!M1445="","",'Ordenes_Odoo'!M1445)</f>
        <v/>
      </c>
      <c r="N1445" s="79">
        <f>IF('Ordenes_Odoo'!N1445="","",'Ordenes_Odoo'!N1445)</f>
        <v/>
      </c>
      <c r="O1445" s="81">
        <f>IF('Ordenes_Odoo'!O1445="","",'Ordenes_Odoo'!O1445)</f>
        <v/>
      </c>
      <c r="P1445" s="81">
        <f>IF('Ordenes_Odoo'!P1445="","",'Ordenes_Odoo'!P1445)</f>
        <v/>
      </c>
      <c r="Q1445" s="79">
        <f>IF(A1445="","",IFERROR(INDEX(Facturas_Odoo!$B:$B, MATCH(A1445, Facturas_Odoo!$D:$D, 0)), "Sin Factura"))</f>
        <v/>
      </c>
      <c r="R1445" s="80">
        <f>IF(Q1445="Sin Factura","",IFERROR(INDEX(Facturas_Odoo!$A:$A, MATCH(Q1445, Facturas_Odoo!$B:$B, 0)), ""))</f>
        <v/>
      </c>
      <c r="S1445" s="79">
        <f>IF(Q1445="Sin Factura","",IFERROR(_xlfn.XLOOKUP(1, (Facturas_Odoo!$D:$D=A1445) * (Facturas_Odoo!$K:$K=I1445), Facturas_Odoo!$L:$L, ""), ""))</f>
        <v/>
      </c>
      <c r="T1445" s="81">
        <f>IF(Q1445="Sin Factura",0,IFERROR(_xlfn.XLOOKUP(1, (Facturas_Odoo!$D:$D=A1445) * (Facturas_Odoo!$K:$K=I1445), Facturas_Odoo!$M:$M, 0), 0))</f>
        <v/>
      </c>
      <c r="U1445" s="79">
        <f>IF(Q1445="Sin Factura",0,IFERROR(_xlfn.XLOOKUP(1, (Facturas_Odoo!$D:$D=A1445) * (Facturas_Odoo!$K:$K=I1445), Facturas_Odoo!$N:$N, 0), 0))</f>
        <v/>
      </c>
      <c r="V1445" s="79">
        <f>IF(Q1445="Sin Factura",0,IFERROR(_xlfn.XLOOKUP(1, (Facturas_Odoo!$D:$D=A1445) * (Facturas_Odoo!$K:$K=I1445), Facturas_Odoo!$O:$O, 0), 0))</f>
        <v/>
      </c>
      <c r="W1445" s="81">
        <f>IF(Q1445="Sin Factura",0,IFERROR(_xlfn.XLOOKUP(1, (Facturas_Odoo!$D:$D=A1445) * (Facturas_Odoo!$K:$K=I1445), Facturas_Odoo!$Q:$Q, 0), 0))</f>
        <v/>
      </c>
      <c r="X1445" s="79">
        <f>IF(OR(Q1445="Sin Factura",Q1445=""),"",IFERROR(INDEX(Pagos_Odoo!$B:$B, MATCH(Q1445, Pagos_Odoo!$I:$I, 0)), "Sin Pago"))</f>
        <v/>
      </c>
      <c r="Y1445" s="79">
        <f>IF(X1445="Sin Pago","",IFERROR(INDEX(Pagos_Odoo!$C:$C, MATCH(X1445, Pagos_Odoo!$B:$B, 0)), ""))</f>
        <v/>
      </c>
      <c r="Z1445" s="80">
        <f>IF(X1445="Sin Pago","",IFERROR(INDEX(Pagos_Odoo!$A:$A, MATCH(X1445, Pagos_Odoo!$B:$B, 0)), ""))</f>
        <v/>
      </c>
      <c r="AA1445" s="79">
        <f>IF(X1445="Sin Pago","",IFERROR(INDEX(Pagos_Odoo!$F:$F, MATCH(X1445, Pagos_Odoo!$B:$B, 0)), ""))</f>
        <v/>
      </c>
      <c r="AB1445" s="81">
        <f>IF(X1445="Sin Pago",0,IFERROR(INDEX(Pagos_Odoo!$E:$E, MATCH(X1445, Pagos_Odoo!$B:$B, 0)), 0))</f>
        <v/>
      </c>
      <c r="AC1445" s="79">
        <f>IF(X1445="Sin Pago","",IFERROR(INDEX(Pagos_Odoo!$G:$G, MATCH(X1445, Pagos_Odoo!$B:$B, 0)), ""))</f>
        <v/>
      </c>
      <c r="AD1445" s="82" t="n">
        <v>0</v>
      </c>
      <c r="AE1445" s="82" t="n"/>
      <c r="AF1445" s="82" t="n"/>
      <c r="AG1445" s="82">
        <f>IF(AN1445="","",AD1445+AE1445+AF1445)</f>
        <v/>
      </c>
      <c r="AH1445" s="81">
        <f>IF(AN1445="","",P1445*(1-AG1445))</f>
        <v/>
      </c>
      <c r="AI1445" s="81">
        <f>IF(AN1445="","",IF(Q1445="Sin Factura",0,IFERROR(INDEX(Facturas_Odoo!$H:$H, MATCH(Q1445, Facturas_Odoo!$B:$B, 0)), 0)*(1-AG1445)))</f>
        <v/>
      </c>
      <c r="AJ1445" s="81">
        <f>IF(AN1445="","",_xlfn.LET(idVenta, AN1445&amp;"",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45" s="81">
        <f>IF(AN1445="","",AH1445-AJ1445)</f>
        <v/>
      </c>
      <c r="AL1445" s="81">
        <f>IF(AN1445="","",IF(Q1445="Sin Factura","",AI1445-AJ1445))</f>
        <v/>
      </c>
      <c r="AM1445" s="81">
        <f>IF(AN1445="","",IF(Q1445="Sin Factura",0,P1445-IFERROR(INDEX(Facturas_Odoo!$H:$H, MATCH(Q1445, Facturas_Odoo!$B:$B, 0)), 0)))</f>
        <v/>
      </c>
      <c r="AN1445" s="79">
        <f>IF(AND(A1445="", J1445=""), "", IF(A1445&lt;&gt;"", VALUE(MID(A1445,2,LEN(A1445))), AN1444))</f>
        <v/>
      </c>
      <c r="AO1445" s="79">
        <f>IF(AN1445="","",IF(AD1445=0,"OK",_xlfn.LET(monedaPago, IF(AA1445="","USD",AA1445), limitePermitido, IFERROR(VLOOKUP(monedaPago, Configuración!$A$2:$B$3, 2, FALSE), 0.15), IF(AD1445&gt;limitePermitido, "ALERTA: EXCESO (" &amp; TEXT(limitePermitido, "0%") &amp; " máx)", "OK"))))</f>
        <v/>
      </c>
      <c r="AP1445" s="79">
        <f>IF(AN1445="","",IF(AE1445=0,"OK",_xlfn.LET(fechaPago, Z1445, fechaFactura, R1445, diasCredito, IF(E1445="Pago inmediato", 0, IFERROR(VALUE(MID(E1445, 1, SEARCH(" ", E1445)-1)),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45" s="79">
        <f>IF(AN1445="","",IF(AND(N1445&gt;0, AG1445&gt;0), IF(Configuración!$K$2="NO", "ALERTA: DESCUENTO DOBLE NO PERMITIDO", "OK"), "OK"))</f>
        <v/>
      </c>
      <c r="AR1445" s="79">
        <f>IF(AN1445="","",IF(OR(AO1445&lt;&gt;"OK", AP1445&lt;&gt;"OK", AQ1445&lt;&gt;"OK"), "⚠️ REVISAR", "OK"))</f>
        <v/>
      </c>
    </row>
    <row r="1446">
      <c r="A1446" s="79">
        <f>IF('Ordenes_Odoo'!A1446="","",'Ordenes_Odoo'!A1446)</f>
        <v/>
      </c>
      <c r="B1446" s="80">
        <f>IF('Ordenes_Odoo'!B1446="","",'Ordenes_Odoo'!B1446)</f>
        <v/>
      </c>
      <c r="C1446" s="79">
        <f>IF('Ordenes_Odoo'!C1446="","",'Ordenes_Odoo'!C1446)</f>
        <v/>
      </c>
      <c r="D1446" s="79">
        <f>IF('Ordenes_Odoo'!D1446="","",'Ordenes_Odoo'!D1446)</f>
        <v/>
      </c>
      <c r="E1446" s="79">
        <f>IF('Ordenes_Odoo'!E1446="","",'Ordenes_Odoo'!E1446)</f>
        <v/>
      </c>
      <c r="F1446" s="79">
        <f>IF('Ordenes_Odoo'!F1446="","",'Ordenes_Odoo'!F1446)</f>
        <v/>
      </c>
      <c r="G1446" s="79">
        <f>IF('Ordenes_Odoo'!G1446="","",'Ordenes_Odoo'!G1446)</f>
        <v/>
      </c>
      <c r="H1446" s="79">
        <f>IF('Ordenes_Odoo'!H1446="","",'Ordenes_Odoo'!H1446)</f>
        <v/>
      </c>
      <c r="I1446" s="79">
        <f>IF('Ordenes_Odoo'!I1446="","",'Ordenes_Odoo'!I1446)</f>
        <v/>
      </c>
      <c r="J1446" s="79">
        <f>IF('Ordenes_Odoo'!J1446="","",'Ordenes_Odoo'!J1446)</f>
        <v/>
      </c>
      <c r="K1446" s="81">
        <f>IF('Ordenes_Odoo'!K1446="","",'Ordenes_Odoo'!K1446)</f>
        <v/>
      </c>
      <c r="L1446" s="81">
        <f>IF('Ordenes_Odoo'!L1446="","",'Ordenes_Odoo'!L1446)</f>
        <v/>
      </c>
      <c r="M1446" s="79">
        <f>IF('Ordenes_Odoo'!M1446="","",'Ordenes_Odoo'!M1446)</f>
        <v/>
      </c>
      <c r="N1446" s="79">
        <f>IF('Ordenes_Odoo'!N1446="","",'Ordenes_Odoo'!N1446)</f>
        <v/>
      </c>
      <c r="O1446" s="81">
        <f>IF('Ordenes_Odoo'!O1446="","",'Ordenes_Odoo'!O1446)</f>
        <v/>
      </c>
      <c r="P1446" s="81">
        <f>IF('Ordenes_Odoo'!P1446="","",'Ordenes_Odoo'!P1446)</f>
        <v/>
      </c>
      <c r="Q1446" s="79">
        <f>IF(A1446="","",IFERROR(INDEX(Facturas_Odoo!$B:$B, MATCH(A1446, Facturas_Odoo!$D:$D, 0)), "Sin Factura"))</f>
        <v/>
      </c>
      <c r="R1446" s="80">
        <f>IF(Q1446="Sin Factura","",IFERROR(INDEX(Facturas_Odoo!$A:$A, MATCH(Q1446, Facturas_Odoo!$B:$B, 0)), ""))</f>
        <v/>
      </c>
      <c r="S1446" s="79">
        <f>IF(Q1446="Sin Factura","",IFERROR(_xlfn.XLOOKUP(1, (Facturas_Odoo!$D:$D=A1446) * (Facturas_Odoo!$K:$K=I1446), Facturas_Odoo!$L:$L, ""), ""))</f>
        <v/>
      </c>
      <c r="T1446" s="81">
        <f>IF(Q1446="Sin Factura",0,IFERROR(_xlfn.XLOOKUP(1, (Facturas_Odoo!$D:$D=A1446) * (Facturas_Odoo!$K:$K=I1446), Facturas_Odoo!$M:$M, 0), 0))</f>
        <v/>
      </c>
      <c r="U1446" s="79">
        <f>IF(Q1446="Sin Factura",0,IFERROR(_xlfn.XLOOKUP(1, (Facturas_Odoo!$D:$D=A1446) * (Facturas_Odoo!$K:$K=I1446), Facturas_Odoo!$N:$N, 0), 0))</f>
        <v/>
      </c>
      <c r="V1446" s="79">
        <f>IF(Q1446="Sin Factura",0,IFERROR(_xlfn.XLOOKUP(1, (Facturas_Odoo!$D:$D=A1446) * (Facturas_Odoo!$K:$K=I1446), Facturas_Odoo!$O:$O, 0), 0))</f>
        <v/>
      </c>
      <c r="W1446" s="81">
        <f>IF(Q1446="Sin Factura",0,IFERROR(_xlfn.XLOOKUP(1, (Facturas_Odoo!$D:$D=A1446) * (Facturas_Odoo!$K:$K=I1446), Facturas_Odoo!$Q:$Q, 0), 0))</f>
        <v/>
      </c>
      <c r="X1446" s="79">
        <f>IF(OR(Q1446="Sin Factura",Q1446=""),"",IFERROR(INDEX(Pagos_Odoo!$B:$B, MATCH(Q1446, Pagos_Odoo!$I:$I, 0)), "Sin Pago"))</f>
        <v/>
      </c>
      <c r="Y1446" s="79">
        <f>IF(X1446="Sin Pago","",IFERROR(INDEX(Pagos_Odoo!$C:$C, MATCH(X1446, Pagos_Odoo!$B:$B, 0)), ""))</f>
        <v/>
      </c>
      <c r="Z1446" s="80">
        <f>IF(X1446="Sin Pago","",IFERROR(INDEX(Pagos_Odoo!$A:$A, MATCH(X1446, Pagos_Odoo!$B:$B, 0)), ""))</f>
        <v/>
      </c>
      <c r="AA1446" s="79">
        <f>IF(X1446="Sin Pago","",IFERROR(INDEX(Pagos_Odoo!$F:$F, MATCH(X1446, Pagos_Odoo!$B:$B, 0)), ""))</f>
        <v/>
      </c>
      <c r="AB1446" s="81">
        <f>IF(X1446="Sin Pago",0,IFERROR(INDEX(Pagos_Odoo!$E:$E, MATCH(X1446, Pagos_Odoo!$B:$B, 0)), 0))</f>
        <v/>
      </c>
      <c r="AC1446" s="79">
        <f>IF(X1446="Sin Pago","",IFERROR(INDEX(Pagos_Odoo!$G:$G, MATCH(X1446, Pagos_Odoo!$B:$B, 0)), ""))</f>
        <v/>
      </c>
      <c r="AD1446" s="82" t="n">
        <v>0</v>
      </c>
      <c r="AE1446" s="82" t="n">
        <v>0.08</v>
      </c>
      <c r="AF1446" s="82" t="n"/>
      <c r="AG1446" s="82">
        <f>IF(AN1446="","",AD1446+AE1446+AF1446)</f>
        <v/>
      </c>
      <c r="AH1446" s="81">
        <f>IF(AN1446="","",P1446*(1-AG1446))</f>
        <v/>
      </c>
      <c r="AI1446" s="81">
        <f>IF(AN1446="","",IF(Q1446="Sin Factura",0,IFERROR(INDEX(Facturas_Odoo!$H:$H, MATCH(Q1446, Facturas_Odoo!$B:$B, 0)), 0)*(1-AG1446)))</f>
        <v/>
      </c>
      <c r="AJ1446" s="81">
        <f>IF(AN1446="","",_xlfn.LET(idVenta, AN1446&amp;"",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46" s="81">
        <f>IF(AN1446="","",AH1446-AJ1446)</f>
        <v/>
      </c>
      <c r="AL1446" s="81">
        <f>IF(AN1446="","",IF(Q1446="Sin Factura","",AI1446-AJ1446))</f>
        <v/>
      </c>
      <c r="AM1446" s="81">
        <f>IF(AN1446="","",IF(Q1446="Sin Factura",0,P1446-IFERROR(INDEX(Facturas_Odoo!$H:$H, MATCH(Q1446, Facturas_Odoo!$B:$B, 0)), 0)))</f>
        <v/>
      </c>
      <c r="AN1446" s="79">
        <f>IF(AND(A1446="", J1446=""), "", IF(A1446&lt;&gt;"", VALUE(MID(A1446,2,LEN(A1446))), AN1445))</f>
        <v/>
      </c>
      <c r="AO1446" s="79">
        <f>IF(AN1446="","",IF(AD1446=0,"OK",_xlfn.LET(monedaPago, IF(AA1446="","USD",AA1446), limitePermitido, IFERROR(VLOOKUP(monedaPago, Configuración!$A$2:$B$3, 2, FALSE), 0.15), IF(AD1446&gt;limitePermitido, "ALERTA: EXCESO (" &amp; TEXT(limitePermitido, "0%") &amp; " máx)", "OK"))))</f>
        <v/>
      </c>
      <c r="AP1446" s="79">
        <f>IF(AN1446="","",IF(AE1446=0,"OK",_xlfn.LET(fechaPago, Z1446, fechaFactura, R1446, diasCredito, IF(E1446="Pago inmediato", 0, IFERROR(VALUE(MID(E1446, 1, SEARCH(" ", E1446)-1)),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46" s="79">
        <f>IF(AN1446="","",IF(AND(N1446&gt;0, AG1446&gt;0), IF(Configuración!$K$2="NO", "ALERTA: DESCUENTO DOBLE NO PERMITIDO", "OK"), "OK"))</f>
        <v/>
      </c>
      <c r="AR1446" s="79">
        <f>IF(AN1446="","",IF(OR(AO1446&lt;&gt;"OK", AP1446&lt;&gt;"OK", AQ1446&lt;&gt;"OK"), "⚠️ REVISAR", "OK"))</f>
        <v/>
      </c>
    </row>
    <row r="1447">
      <c r="A1447" s="79">
        <f>IF('Ordenes_Odoo'!A1447="","",'Ordenes_Odoo'!A1447)</f>
        <v/>
      </c>
      <c r="B1447" s="80">
        <f>IF('Ordenes_Odoo'!B1447="","",'Ordenes_Odoo'!B1447)</f>
        <v/>
      </c>
      <c r="C1447" s="79">
        <f>IF('Ordenes_Odoo'!C1447="","",'Ordenes_Odoo'!C1447)</f>
        <v/>
      </c>
      <c r="D1447" s="79">
        <f>IF('Ordenes_Odoo'!D1447="","",'Ordenes_Odoo'!D1447)</f>
        <v/>
      </c>
      <c r="E1447" s="79">
        <f>IF('Ordenes_Odoo'!E1447="","",'Ordenes_Odoo'!E1447)</f>
        <v/>
      </c>
      <c r="F1447" s="79">
        <f>IF('Ordenes_Odoo'!F1447="","",'Ordenes_Odoo'!F1447)</f>
        <v/>
      </c>
      <c r="G1447" s="79">
        <f>IF('Ordenes_Odoo'!G1447="","",'Ordenes_Odoo'!G1447)</f>
        <v/>
      </c>
      <c r="H1447" s="79">
        <f>IF('Ordenes_Odoo'!H1447="","",'Ordenes_Odoo'!H1447)</f>
        <v/>
      </c>
      <c r="I1447" s="79">
        <f>IF('Ordenes_Odoo'!I1447="","",'Ordenes_Odoo'!I1447)</f>
        <v/>
      </c>
      <c r="J1447" s="79">
        <f>IF('Ordenes_Odoo'!J1447="","",'Ordenes_Odoo'!J1447)</f>
        <v/>
      </c>
      <c r="K1447" s="81">
        <f>IF('Ordenes_Odoo'!K1447="","",'Ordenes_Odoo'!K1447)</f>
        <v/>
      </c>
      <c r="L1447" s="81">
        <f>IF('Ordenes_Odoo'!L1447="","",'Ordenes_Odoo'!L1447)</f>
        <v/>
      </c>
      <c r="M1447" s="79">
        <f>IF('Ordenes_Odoo'!M1447="","",'Ordenes_Odoo'!M1447)</f>
        <v/>
      </c>
      <c r="N1447" s="79">
        <f>IF('Ordenes_Odoo'!N1447="","",'Ordenes_Odoo'!N1447)</f>
        <v/>
      </c>
      <c r="O1447" s="81">
        <f>IF('Ordenes_Odoo'!O1447="","",'Ordenes_Odoo'!O1447)</f>
        <v/>
      </c>
      <c r="P1447" s="81">
        <f>IF('Ordenes_Odoo'!P1447="","",'Ordenes_Odoo'!P1447)</f>
        <v/>
      </c>
      <c r="Q1447" s="79">
        <f>IF(A1447="","",IFERROR(INDEX(Facturas_Odoo!$B:$B, MATCH(A1447, Facturas_Odoo!$D:$D, 0)), "Sin Factura"))</f>
        <v/>
      </c>
      <c r="R1447" s="80">
        <f>IF(Q1447="Sin Factura","",IFERROR(INDEX(Facturas_Odoo!$A:$A, MATCH(Q1447, Facturas_Odoo!$B:$B, 0)), ""))</f>
        <v/>
      </c>
      <c r="S1447" s="79">
        <f>IF(Q1447="Sin Factura","",IFERROR(_xlfn.XLOOKUP(1, (Facturas_Odoo!$D:$D=A1447) * (Facturas_Odoo!$K:$K=I1447), Facturas_Odoo!$L:$L, ""), ""))</f>
        <v/>
      </c>
      <c r="T1447" s="81">
        <f>IF(Q1447="Sin Factura",0,IFERROR(_xlfn.XLOOKUP(1, (Facturas_Odoo!$D:$D=A1447) * (Facturas_Odoo!$K:$K=I1447), Facturas_Odoo!$M:$M, 0), 0))</f>
        <v/>
      </c>
      <c r="U1447" s="79">
        <f>IF(Q1447="Sin Factura",0,IFERROR(_xlfn.XLOOKUP(1, (Facturas_Odoo!$D:$D=A1447) * (Facturas_Odoo!$K:$K=I1447), Facturas_Odoo!$N:$N, 0), 0))</f>
        <v/>
      </c>
      <c r="V1447" s="79">
        <f>IF(Q1447="Sin Factura",0,IFERROR(_xlfn.XLOOKUP(1, (Facturas_Odoo!$D:$D=A1447) * (Facturas_Odoo!$K:$K=I1447), Facturas_Odoo!$O:$O, 0), 0))</f>
        <v/>
      </c>
      <c r="W1447" s="81">
        <f>IF(Q1447="Sin Factura",0,IFERROR(_xlfn.XLOOKUP(1, (Facturas_Odoo!$D:$D=A1447) * (Facturas_Odoo!$K:$K=I1447), Facturas_Odoo!$Q:$Q, 0), 0))</f>
        <v/>
      </c>
      <c r="X1447" s="79">
        <f>IF(OR(Q1447="Sin Factura",Q1447=""),"",IFERROR(INDEX(Pagos_Odoo!$B:$B, MATCH(Q1447, Pagos_Odoo!$I:$I, 0)), "Sin Pago"))</f>
        <v/>
      </c>
      <c r="Y1447" s="79">
        <f>IF(X1447="Sin Pago","",IFERROR(INDEX(Pagos_Odoo!$C:$C, MATCH(X1447, Pagos_Odoo!$B:$B, 0)), ""))</f>
        <v/>
      </c>
      <c r="Z1447" s="80">
        <f>IF(X1447="Sin Pago","",IFERROR(INDEX(Pagos_Odoo!$A:$A, MATCH(X1447, Pagos_Odoo!$B:$B, 0)), ""))</f>
        <v/>
      </c>
      <c r="AA1447" s="79">
        <f>IF(X1447="Sin Pago","",IFERROR(INDEX(Pagos_Odoo!$F:$F, MATCH(X1447, Pagos_Odoo!$B:$B, 0)), ""))</f>
        <v/>
      </c>
      <c r="AB1447" s="81">
        <f>IF(X1447="Sin Pago",0,IFERROR(INDEX(Pagos_Odoo!$E:$E, MATCH(X1447, Pagos_Odoo!$B:$B, 0)), 0))</f>
        <v/>
      </c>
      <c r="AC1447" s="79">
        <f>IF(X1447="Sin Pago","",IFERROR(INDEX(Pagos_Odoo!$G:$G, MATCH(X1447, Pagos_Odoo!$B:$B, 0)), ""))</f>
        <v/>
      </c>
      <c r="AD1447" s="82" t="n">
        <v>0</v>
      </c>
      <c r="AE1447" s="82" t="n"/>
      <c r="AF1447" s="82" t="n"/>
      <c r="AG1447" s="82">
        <f>IF(AN1447="","",AD1447+AE1447+AF1447)</f>
        <v/>
      </c>
      <c r="AH1447" s="81">
        <f>IF(AN1447="","",P1447*(1-AG1447))</f>
        <v/>
      </c>
      <c r="AI1447" s="81">
        <f>IF(AN1447="","",IF(Q1447="Sin Factura",0,IFERROR(INDEX(Facturas_Odoo!$H:$H, MATCH(Q1447, Facturas_Odoo!$B:$B, 0)), 0)*(1-AG1447)))</f>
        <v/>
      </c>
      <c r="AJ1447" s="81">
        <f>IF(AN1447="","",_xlfn.LET(idVenta, AN1447&amp;"",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47" s="81">
        <f>IF(AN1447="","",AH1447-AJ1447)</f>
        <v/>
      </c>
      <c r="AL1447" s="81">
        <f>IF(AN1447="","",IF(Q1447="Sin Factura","",AI1447-AJ1447))</f>
        <v/>
      </c>
      <c r="AM1447" s="81">
        <f>IF(AN1447="","",IF(Q1447="Sin Factura",0,P1447-IFERROR(INDEX(Facturas_Odoo!$H:$H, MATCH(Q1447, Facturas_Odoo!$B:$B, 0)), 0)))</f>
        <v/>
      </c>
      <c r="AN1447" s="79">
        <f>IF(AND(A1447="", J1447=""), "", IF(A1447&lt;&gt;"", VALUE(MID(A1447,2,LEN(A1447))), AN1446))</f>
        <v/>
      </c>
      <c r="AO1447" s="79">
        <f>IF(AN1447="","",IF(AD1447=0,"OK",_xlfn.LET(monedaPago, IF(AA1447="","USD",AA1447), limitePermitido, IFERROR(VLOOKUP(monedaPago, Configuración!$A$2:$B$3, 2, FALSE), 0.15), IF(AD1447&gt;limitePermitido, "ALERTA: EXCESO (" &amp; TEXT(limitePermitido, "0%") &amp; " máx)", "OK"))))</f>
        <v/>
      </c>
      <c r="AP1447" s="79">
        <f>IF(AN1447="","",IF(AE1447=0,"OK",_xlfn.LET(fechaPago, Z1447, fechaFactura, R1447, diasCredito, IF(E1447="Pago inmediato", 0, IFERROR(VALUE(MID(E1447, 1, SEARCH(" ", E1447)-1)),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47" s="79">
        <f>IF(AN1447="","",IF(AND(N1447&gt;0, AG1447&gt;0), IF(Configuración!$K$2="NO", "ALERTA: DESCUENTO DOBLE NO PERMITIDO", "OK"), "OK"))</f>
        <v/>
      </c>
      <c r="AR1447" s="79">
        <f>IF(AN1447="","",IF(OR(AO1447&lt;&gt;"OK", AP1447&lt;&gt;"OK", AQ1447&lt;&gt;"OK"), "⚠️ REVISAR", "OK"))</f>
        <v/>
      </c>
    </row>
    <row r="1448">
      <c r="A1448" s="79">
        <f>IF('Ordenes_Odoo'!A1448="","",'Ordenes_Odoo'!A1448)</f>
        <v/>
      </c>
      <c r="B1448" s="80">
        <f>IF('Ordenes_Odoo'!B1448="","",'Ordenes_Odoo'!B1448)</f>
        <v/>
      </c>
      <c r="C1448" s="79">
        <f>IF('Ordenes_Odoo'!C1448="","",'Ordenes_Odoo'!C1448)</f>
        <v/>
      </c>
      <c r="D1448" s="79">
        <f>IF('Ordenes_Odoo'!D1448="","",'Ordenes_Odoo'!D1448)</f>
        <v/>
      </c>
      <c r="E1448" s="79">
        <f>IF('Ordenes_Odoo'!E1448="","",'Ordenes_Odoo'!E1448)</f>
        <v/>
      </c>
      <c r="F1448" s="79">
        <f>IF('Ordenes_Odoo'!F1448="","",'Ordenes_Odoo'!F1448)</f>
        <v/>
      </c>
      <c r="G1448" s="79">
        <f>IF('Ordenes_Odoo'!G1448="","",'Ordenes_Odoo'!G1448)</f>
        <v/>
      </c>
      <c r="H1448" s="79">
        <f>IF('Ordenes_Odoo'!H1448="","",'Ordenes_Odoo'!H1448)</f>
        <v/>
      </c>
      <c r="I1448" s="79">
        <f>IF('Ordenes_Odoo'!I1448="","",'Ordenes_Odoo'!I1448)</f>
        <v/>
      </c>
      <c r="J1448" s="79">
        <f>IF('Ordenes_Odoo'!J1448="","",'Ordenes_Odoo'!J1448)</f>
        <v/>
      </c>
      <c r="K1448" s="81">
        <f>IF('Ordenes_Odoo'!K1448="","",'Ordenes_Odoo'!K1448)</f>
        <v/>
      </c>
      <c r="L1448" s="81">
        <f>IF('Ordenes_Odoo'!L1448="","",'Ordenes_Odoo'!L1448)</f>
        <v/>
      </c>
      <c r="M1448" s="79">
        <f>IF('Ordenes_Odoo'!M1448="","",'Ordenes_Odoo'!M1448)</f>
        <v/>
      </c>
      <c r="N1448" s="79">
        <f>IF('Ordenes_Odoo'!N1448="","",'Ordenes_Odoo'!N1448)</f>
        <v/>
      </c>
      <c r="O1448" s="81">
        <f>IF('Ordenes_Odoo'!O1448="","",'Ordenes_Odoo'!O1448)</f>
        <v/>
      </c>
      <c r="P1448" s="81">
        <f>IF('Ordenes_Odoo'!P1448="","",'Ordenes_Odoo'!P1448)</f>
        <v/>
      </c>
      <c r="Q1448" s="79">
        <f>IF(A1448="","",IFERROR(INDEX(Facturas_Odoo!$B:$B, MATCH(A1448, Facturas_Odoo!$D:$D, 0)), "Sin Factura"))</f>
        <v/>
      </c>
      <c r="R1448" s="80">
        <f>IF(Q1448="Sin Factura","",IFERROR(INDEX(Facturas_Odoo!$A:$A, MATCH(Q1448, Facturas_Odoo!$B:$B, 0)), ""))</f>
        <v/>
      </c>
      <c r="S1448" s="79">
        <f>IF(Q1448="Sin Factura","",IFERROR(_xlfn.XLOOKUP(1, (Facturas_Odoo!$D:$D=A1448) * (Facturas_Odoo!$K:$K=I1448), Facturas_Odoo!$L:$L, ""), ""))</f>
        <v/>
      </c>
      <c r="T1448" s="81">
        <f>IF(Q1448="Sin Factura",0,IFERROR(_xlfn.XLOOKUP(1, (Facturas_Odoo!$D:$D=A1448) * (Facturas_Odoo!$K:$K=I1448), Facturas_Odoo!$M:$M, 0), 0))</f>
        <v/>
      </c>
      <c r="U1448" s="79">
        <f>IF(Q1448="Sin Factura",0,IFERROR(_xlfn.XLOOKUP(1, (Facturas_Odoo!$D:$D=A1448) * (Facturas_Odoo!$K:$K=I1448), Facturas_Odoo!$N:$N, 0), 0))</f>
        <v/>
      </c>
      <c r="V1448" s="79">
        <f>IF(Q1448="Sin Factura",0,IFERROR(_xlfn.XLOOKUP(1, (Facturas_Odoo!$D:$D=A1448) * (Facturas_Odoo!$K:$K=I1448), Facturas_Odoo!$O:$O, 0), 0))</f>
        <v/>
      </c>
      <c r="W1448" s="81">
        <f>IF(Q1448="Sin Factura",0,IFERROR(_xlfn.XLOOKUP(1, (Facturas_Odoo!$D:$D=A1448) * (Facturas_Odoo!$K:$K=I1448), Facturas_Odoo!$Q:$Q, 0), 0))</f>
        <v/>
      </c>
      <c r="X1448" s="79">
        <f>IF(OR(Q1448="Sin Factura",Q1448=""),"",IFERROR(INDEX(Pagos_Odoo!$B:$B, MATCH(Q1448, Pagos_Odoo!$I:$I, 0)), "Sin Pago"))</f>
        <v/>
      </c>
      <c r="Y1448" s="79">
        <f>IF(X1448="Sin Pago","",IFERROR(INDEX(Pagos_Odoo!$C:$C, MATCH(X1448, Pagos_Odoo!$B:$B, 0)), ""))</f>
        <v/>
      </c>
      <c r="Z1448" s="80">
        <f>IF(X1448="Sin Pago","",IFERROR(INDEX(Pagos_Odoo!$A:$A, MATCH(X1448, Pagos_Odoo!$B:$B, 0)), ""))</f>
        <v/>
      </c>
      <c r="AA1448" s="79">
        <f>IF(X1448="Sin Pago","",IFERROR(INDEX(Pagos_Odoo!$F:$F, MATCH(X1448, Pagos_Odoo!$B:$B, 0)), ""))</f>
        <v/>
      </c>
      <c r="AB1448" s="81">
        <f>IF(X1448="Sin Pago",0,IFERROR(INDEX(Pagos_Odoo!$E:$E, MATCH(X1448, Pagos_Odoo!$B:$B, 0)), 0))</f>
        <v/>
      </c>
      <c r="AC1448" s="79">
        <f>IF(X1448="Sin Pago","",IFERROR(INDEX(Pagos_Odoo!$G:$G, MATCH(X1448, Pagos_Odoo!$B:$B, 0)), ""))</f>
        <v/>
      </c>
      <c r="AD1448" s="82" t="n">
        <v>0</v>
      </c>
      <c r="AE1448" s="82" t="n"/>
      <c r="AF1448" s="82" t="n"/>
      <c r="AG1448" s="82">
        <f>IF(AN1448="","",AD1448+AE1448+AF1448)</f>
        <v/>
      </c>
      <c r="AH1448" s="81">
        <f>IF(AN1448="","",P1448*(1-AG1448))</f>
        <v/>
      </c>
      <c r="AI1448" s="81">
        <f>IF(AN1448="","",IF(Q1448="Sin Factura",0,IFERROR(INDEX(Facturas_Odoo!$H:$H, MATCH(Q1448, Facturas_Odoo!$B:$B, 0)), 0)*(1-AG1448)))</f>
        <v/>
      </c>
      <c r="AJ1448" s="81">
        <f>IF(AN1448="","",_xlfn.LET(idVenta, AN1448&amp;"",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48" s="81">
        <f>IF(AN1448="","",AH1448-AJ1448)</f>
        <v/>
      </c>
      <c r="AL1448" s="81">
        <f>IF(AN1448="","",IF(Q1448="Sin Factura","",AI1448-AJ1448))</f>
        <v/>
      </c>
      <c r="AM1448" s="81">
        <f>IF(AN1448="","",IF(Q1448="Sin Factura",0,P1448-IFERROR(INDEX(Facturas_Odoo!$H:$H, MATCH(Q1448, Facturas_Odoo!$B:$B, 0)), 0)))</f>
        <v/>
      </c>
      <c r="AN1448" s="79">
        <f>IF(AND(A1448="", J1448=""), "", IF(A1448&lt;&gt;"", VALUE(MID(A1448,2,LEN(A1448))), AN1447))</f>
        <v/>
      </c>
      <c r="AO1448" s="79">
        <f>IF(AN1448="","",IF(AD1448=0,"OK",_xlfn.LET(monedaPago, IF(AA1448="","USD",AA1448), limitePermitido, IFERROR(VLOOKUP(monedaPago, Configuración!$A$2:$B$3, 2, FALSE), 0.15), IF(AD1448&gt;limitePermitido, "ALERTA: EXCESO (" &amp; TEXT(limitePermitido, "0%") &amp; " máx)", "OK"))))</f>
        <v/>
      </c>
      <c r="AP1448" s="79">
        <f>IF(AN1448="","",IF(AE1448=0,"OK",_xlfn.LET(fechaPago, Z1448, fechaFactura, R1448, diasCredito, IF(E1448="Pago inmediato", 0, IFERROR(VALUE(MID(E1448, 1, SEARCH(" ", E1448)-1)),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48" s="79">
        <f>IF(AN1448="","",IF(AND(N1448&gt;0, AG1448&gt;0), IF(Configuración!$K$2="NO", "ALERTA: DESCUENTO DOBLE NO PERMITIDO", "OK"), "OK"))</f>
        <v/>
      </c>
      <c r="AR1448" s="79">
        <f>IF(AN1448="","",IF(OR(AO1448&lt;&gt;"OK", AP1448&lt;&gt;"OK", AQ1448&lt;&gt;"OK"), "⚠️ REVISAR", "OK"))</f>
        <v/>
      </c>
    </row>
    <row r="1449">
      <c r="A1449" s="79">
        <f>IF('Ordenes_Odoo'!A1449="","",'Ordenes_Odoo'!A1449)</f>
        <v/>
      </c>
      <c r="B1449" s="80">
        <f>IF('Ordenes_Odoo'!B1449="","",'Ordenes_Odoo'!B1449)</f>
        <v/>
      </c>
      <c r="C1449" s="79">
        <f>IF('Ordenes_Odoo'!C1449="","",'Ordenes_Odoo'!C1449)</f>
        <v/>
      </c>
      <c r="D1449" s="79">
        <f>IF('Ordenes_Odoo'!D1449="","",'Ordenes_Odoo'!D1449)</f>
        <v/>
      </c>
      <c r="E1449" s="79">
        <f>IF('Ordenes_Odoo'!E1449="","",'Ordenes_Odoo'!E1449)</f>
        <v/>
      </c>
      <c r="F1449" s="79">
        <f>IF('Ordenes_Odoo'!F1449="","",'Ordenes_Odoo'!F1449)</f>
        <v/>
      </c>
      <c r="G1449" s="79">
        <f>IF('Ordenes_Odoo'!G1449="","",'Ordenes_Odoo'!G1449)</f>
        <v/>
      </c>
      <c r="H1449" s="79">
        <f>IF('Ordenes_Odoo'!H1449="","",'Ordenes_Odoo'!H1449)</f>
        <v/>
      </c>
      <c r="I1449" s="79">
        <f>IF('Ordenes_Odoo'!I1449="","",'Ordenes_Odoo'!I1449)</f>
        <v/>
      </c>
      <c r="J1449" s="79">
        <f>IF('Ordenes_Odoo'!J1449="","",'Ordenes_Odoo'!J1449)</f>
        <v/>
      </c>
      <c r="K1449" s="81">
        <f>IF('Ordenes_Odoo'!K1449="","",'Ordenes_Odoo'!K1449)</f>
        <v/>
      </c>
      <c r="L1449" s="81">
        <f>IF('Ordenes_Odoo'!L1449="","",'Ordenes_Odoo'!L1449)</f>
        <v/>
      </c>
      <c r="M1449" s="79">
        <f>IF('Ordenes_Odoo'!M1449="","",'Ordenes_Odoo'!M1449)</f>
        <v/>
      </c>
      <c r="N1449" s="79">
        <f>IF('Ordenes_Odoo'!N1449="","",'Ordenes_Odoo'!N1449)</f>
        <v/>
      </c>
      <c r="O1449" s="81">
        <f>IF('Ordenes_Odoo'!O1449="","",'Ordenes_Odoo'!O1449)</f>
        <v/>
      </c>
      <c r="P1449" s="81">
        <f>IF('Ordenes_Odoo'!P1449="","",'Ordenes_Odoo'!P1449)</f>
        <v/>
      </c>
      <c r="Q1449" s="79">
        <f>IF(A1449="","",IFERROR(INDEX(Facturas_Odoo!$B:$B, MATCH(A1449, Facturas_Odoo!$D:$D, 0)), "Sin Factura"))</f>
        <v/>
      </c>
      <c r="R1449" s="80">
        <f>IF(Q1449="Sin Factura","",IFERROR(INDEX(Facturas_Odoo!$A:$A, MATCH(Q1449, Facturas_Odoo!$B:$B, 0)), ""))</f>
        <v/>
      </c>
      <c r="S1449" s="79">
        <f>IF(Q1449="Sin Factura","",IFERROR(_xlfn.XLOOKUP(1, (Facturas_Odoo!$D:$D=A1449) * (Facturas_Odoo!$K:$K=I1449), Facturas_Odoo!$L:$L, ""), ""))</f>
        <v/>
      </c>
      <c r="T1449" s="81">
        <f>IF(Q1449="Sin Factura",0,IFERROR(_xlfn.XLOOKUP(1, (Facturas_Odoo!$D:$D=A1449) * (Facturas_Odoo!$K:$K=I1449), Facturas_Odoo!$M:$M, 0), 0))</f>
        <v/>
      </c>
      <c r="U1449" s="79">
        <f>IF(Q1449="Sin Factura",0,IFERROR(_xlfn.XLOOKUP(1, (Facturas_Odoo!$D:$D=A1449) * (Facturas_Odoo!$K:$K=I1449), Facturas_Odoo!$N:$N, 0), 0))</f>
        <v/>
      </c>
      <c r="V1449" s="79">
        <f>IF(Q1449="Sin Factura",0,IFERROR(_xlfn.XLOOKUP(1, (Facturas_Odoo!$D:$D=A1449) * (Facturas_Odoo!$K:$K=I1449), Facturas_Odoo!$O:$O, 0), 0))</f>
        <v/>
      </c>
      <c r="W1449" s="81">
        <f>IF(Q1449="Sin Factura",0,IFERROR(_xlfn.XLOOKUP(1, (Facturas_Odoo!$D:$D=A1449) * (Facturas_Odoo!$K:$K=I1449), Facturas_Odoo!$Q:$Q, 0), 0))</f>
        <v/>
      </c>
      <c r="X1449" s="79">
        <f>IF(OR(Q1449="Sin Factura",Q1449=""),"",IFERROR(INDEX(Pagos_Odoo!$B:$B, MATCH(Q1449, Pagos_Odoo!$I:$I, 0)), "Sin Pago"))</f>
        <v/>
      </c>
      <c r="Y1449" s="79">
        <f>IF(X1449="Sin Pago","",IFERROR(INDEX(Pagos_Odoo!$C:$C, MATCH(X1449, Pagos_Odoo!$B:$B, 0)), ""))</f>
        <v/>
      </c>
      <c r="Z1449" s="80">
        <f>IF(X1449="Sin Pago","",IFERROR(INDEX(Pagos_Odoo!$A:$A, MATCH(X1449, Pagos_Odoo!$B:$B, 0)), ""))</f>
        <v/>
      </c>
      <c r="AA1449" s="79">
        <f>IF(X1449="Sin Pago","",IFERROR(INDEX(Pagos_Odoo!$F:$F, MATCH(X1449, Pagos_Odoo!$B:$B, 0)), ""))</f>
        <v/>
      </c>
      <c r="AB1449" s="81">
        <f>IF(X1449="Sin Pago",0,IFERROR(INDEX(Pagos_Odoo!$E:$E, MATCH(X1449, Pagos_Odoo!$B:$B, 0)), 0))</f>
        <v/>
      </c>
      <c r="AC1449" s="79">
        <f>IF(X1449="Sin Pago","",IFERROR(INDEX(Pagos_Odoo!$G:$G, MATCH(X1449, Pagos_Odoo!$B:$B, 0)), ""))</f>
        <v/>
      </c>
      <c r="AD1449" s="82" t="n">
        <v>0</v>
      </c>
      <c r="AE1449" s="82" t="n"/>
      <c r="AF1449" s="82" t="n"/>
      <c r="AG1449" s="82">
        <f>IF(AN1449="","",AD1449+AE1449+AF1449)</f>
        <v/>
      </c>
      <c r="AH1449" s="81">
        <f>IF(AN1449="","",P1449*(1-AG1449))</f>
        <v/>
      </c>
      <c r="AI1449" s="81">
        <f>IF(AN1449="","",IF(Q1449="Sin Factura",0,IFERROR(INDEX(Facturas_Odoo!$H:$H, MATCH(Q1449, Facturas_Odoo!$B:$B, 0)), 0)*(1-AG1449)))</f>
        <v/>
      </c>
      <c r="AJ1449" s="81">
        <f>IF(AN1449="","",_xlfn.LET(idVenta, AN1449&amp;"",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49" s="81">
        <f>IF(AN1449="","",AH1449-AJ1449)</f>
        <v/>
      </c>
      <c r="AL1449" s="81">
        <f>IF(AN1449="","",IF(Q1449="Sin Factura","",AI1449-AJ1449))</f>
        <v/>
      </c>
      <c r="AM1449" s="81">
        <f>IF(AN1449="","",IF(Q1449="Sin Factura",0,P1449-IFERROR(INDEX(Facturas_Odoo!$H:$H, MATCH(Q1449, Facturas_Odoo!$B:$B, 0)), 0)))</f>
        <v/>
      </c>
      <c r="AN1449" s="79">
        <f>IF(AND(A1449="", J1449=""), "", IF(A1449&lt;&gt;"", VALUE(MID(A1449,2,LEN(A1449))), AN1448))</f>
        <v/>
      </c>
      <c r="AO1449" s="79">
        <f>IF(AN1449="","",IF(AD1449=0,"OK",_xlfn.LET(monedaPago, IF(AA1449="","USD",AA1449), limitePermitido, IFERROR(VLOOKUP(monedaPago, Configuración!$A$2:$B$3, 2, FALSE), 0.15), IF(AD1449&gt;limitePermitido, "ALERTA: EXCESO (" &amp; TEXT(limitePermitido, "0%") &amp; " máx)", "OK"))))</f>
        <v/>
      </c>
      <c r="AP1449" s="79">
        <f>IF(AN1449="","",IF(AE1449=0,"OK",_xlfn.LET(fechaPago, Z1449, fechaFactura, R1449, diasCredito, IF(E1449="Pago inmediato", 0, IFERROR(VALUE(MID(E1449, 1, SEARCH(" ", E1449)-1)),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49" s="79">
        <f>IF(AN1449="","",IF(AND(N1449&gt;0, AG1449&gt;0), IF(Configuración!$K$2="NO", "ALERTA: DESCUENTO DOBLE NO PERMITIDO", "OK"), "OK"))</f>
        <v/>
      </c>
      <c r="AR1449" s="79">
        <f>IF(AN1449="","",IF(OR(AO1449&lt;&gt;"OK", AP1449&lt;&gt;"OK", AQ1449&lt;&gt;"OK"), "⚠️ REVISAR", "OK"))</f>
        <v/>
      </c>
    </row>
    <row r="1450">
      <c r="A1450" s="79">
        <f>IF('Ordenes_Odoo'!A1450="","",'Ordenes_Odoo'!A1450)</f>
        <v/>
      </c>
      <c r="B1450" s="80">
        <f>IF('Ordenes_Odoo'!B1450="","",'Ordenes_Odoo'!B1450)</f>
        <v/>
      </c>
      <c r="C1450" s="79">
        <f>IF('Ordenes_Odoo'!C1450="","",'Ordenes_Odoo'!C1450)</f>
        <v/>
      </c>
      <c r="D1450" s="79">
        <f>IF('Ordenes_Odoo'!D1450="","",'Ordenes_Odoo'!D1450)</f>
        <v/>
      </c>
      <c r="E1450" s="79">
        <f>IF('Ordenes_Odoo'!E1450="","",'Ordenes_Odoo'!E1450)</f>
        <v/>
      </c>
      <c r="F1450" s="79">
        <f>IF('Ordenes_Odoo'!F1450="","",'Ordenes_Odoo'!F1450)</f>
        <v/>
      </c>
      <c r="G1450" s="79">
        <f>IF('Ordenes_Odoo'!G1450="","",'Ordenes_Odoo'!G1450)</f>
        <v/>
      </c>
      <c r="H1450" s="79">
        <f>IF('Ordenes_Odoo'!H1450="","",'Ordenes_Odoo'!H1450)</f>
        <v/>
      </c>
      <c r="I1450" s="79">
        <f>IF('Ordenes_Odoo'!I1450="","",'Ordenes_Odoo'!I1450)</f>
        <v/>
      </c>
      <c r="J1450" s="79">
        <f>IF('Ordenes_Odoo'!J1450="","",'Ordenes_Odoo'!J1450)</f>
        <v/>
      </c>
      <c r="K1450" s="81">
        <f>IF('Ordenes_Odoo'!K1450="","",'Ordenes_Odoo'!K1450)</f>
        <v/>
      </c>
      <c r="L1450" s="81">
        <f>IF('Ordenes_Odoo'!L1450="","",'Ordenes_Odoo'!L1450)</f>
        <v/>
      </c>
      <c r="M1450" s="79">
        <f>IF('Ordenes_Odoo'!M1450="","",'Ordenes_Odoo'!M1450)</f>
        <v/>
      </c>
      <c r="N1450" s="79">
        <f>IF('Ordenes_Odoo'!N1450="","",'Ordenes_Odoo'!N1450)</f>
        <v/>
      </c>
      <c r="O1450" s="81">
        <f>IF('Ordenes_Odoo'!O1450="","",'Ordenes_Odoo'!O1450)</f>
        <v/>
      </c>
      <c r="P1450" s="81">
        <f>IF('Ordenes_Odoo'!P1450="","",'Ordenes_Odoo'!P1450)</f>
        <v/>
      </c>
      <c r="Q1450" s="79">
        <f>IF(A1450="","",IFERROR(INDEX(Facturas_Odoo!$B:$B, MATCH(A1450, Facturas_Odoo!$D:$D, 0)), "Sin Factura"))</f>
        <v/>
      </c>
      <c r="R1450" s="80">
        <f>IF(Q1450="Sin Factura","",IFERROR(INDEX(Facturas_Odoo!$A:$A, MATCH(Q1450, Facturas_Odoo!$B:$B, 0)), ""))</f>
        <v/>
      </c>
      <c r="S1450" s="79">
        <f>IF(Q1450="Sin Factura","",IFERROR(_xlfn.XLOOKUP(1, (Facturas_Odoo!$D:$D=A1450) * (Facturas_Odoo!$K:$K=I1450), Facturas_Odoo!$L:$L, ""), ""))</f>
        <v/>
      </c>
      <c r="T1450" s="81">
        <f>IF(Q1450="Sin Factura",0,IFERROR(_xlfn.XLOOKUP(1, (Facturas_Odoo!$D:$D=A1450) * (Facturas_Odoo!$K:$K=I1450), Facturas_Odoo!$M:$M, 0), 0))</f>
        <v/>
      </c>
      <c r="U1450" s="79">
        <f>IF(Q1450="Sin Factura",0,IFERROR(_xlfn.XLOOKUP(1, (Facturas_Odoo!$D:$D=A1450) * (Facturas_Odoo!$K:$K=I1450), Facturas_Odoo!$N:$N, 0), 0))</f>
        <v/>
      </c>
      <c r="V1450" s="79">
        <f>IF(Q1450="Sin Factura",0,IFERROR(_xlfn.XLOOKUP(1, (Facturas_Odoo!$D:$D=A1450) * (Facturas_Odoo!$K:$K=I1450), Facturas_Odoo!$O:$O, 0), 0))</f>
        <v/>
      </c>
      <c r="W1450" s="81">
        <f>IF(Q1450="Sin Factura",0,IFERROR(_xlfn.XLOOKUP(1, (Facturas_Odoo!$D:$D=A1450) * (Facturas_Odoo!$K:$K=I1450), Facturas_Odoo!$Q:$Q, 0), 0))</f>
        <v/>
      </c>
      <c r="X1450" s="79">
        <f>IF(OR(Q1450="Sin Factura",Q1450=""),"",IFERROR(INDEX(Pagos_Odoo!$B:$B, MATCH(Q1450, Pagos_Odoo!$I:$I, 0)), "Sin Pago"))</f>
        <v/>
      </c>
      <c r="Y1450" s="79">
        <f>IF(X1450="Sin Pago","",IFERROR(INDEX(Pagos_Odoo!$C:$C, MATCH(X1450, Pagos_Odoo!$B:$B, 0)), ""))</f>
        <v/>
      </c>
      <c r="Z1450" s="80">
        <f>IF(X1450="Sin Pago","",IFERROR(INDEX(Pagos_Odoo!$A:$A, MATCH(X1450, Pagos_Odoo!$B:$B, 0)), ""))</f>
        <v/>
      </c>
      <c r="AA1450" s="79">
        <f>IF(X1450="Sin Pago","",IFERROR(INDEX(Pagos_Odoo!$F:$F, MATCH(X1450, Pagos_Odoo!$B:$B, 0)), ""))</f>
        <v/>
      </c>
      <c r="AB1450" s="81">
        <f>IF(X1450="Sin Pago",0,IFERROR(INDEX(Pagos_Odoo!$E:$E, MATCH(X1450, Pagos_Odoo!$B:$B, 0)), 0))</f>
        <v/>
      </c>
      <c r="AC1450" s="79">
        <f>IF(X1450="Sin Pago","",IFERROR(INDEX(Pagos_Odoo!$G:$G, MATCH(X1450, Pagos_Odoo!$B:$B, 0)), ""))</f>
        <v/>
      </c>
      <c r="AD1450" s="82" t="n">
        <v>0</v>
      </c>
      <c r="AE1450" s="82" t="n"/>
      <c r="AF1450" s="82" t="n"/>
      <c r="AG1450" s="82">
        <f>IF(AN1450="","",AD1450+AE1450+AF1450)</f>
        <v/>
      </c>
      <c r="AH1450" s="81">
        <f>IF(AN1450="","",P1450*(1-AG1450))</f>
        <v/>
      </c>
      <c r="AI1450" s="81">
        <f>IF(AN1450="","",IF(Q1450="Sin Factura",0,IFERROR(INDEX(Facturas_Odoo!$H:$H, MATCH(Q1450, Facturas_Odoo!$B:$B, 0)), 0)*(1-AG1450)))</f>
        <v/>
      </c>
      <c r="AJ1450" s="81">
        <f>IF(AN1450="","",_xlfn.LET(idVenta, AN1450&amp;"",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50" s="81">
        <f>IF(AN1450="","",AH1450-AJ1450)</f>
        <v/>
      </c>
      <c r="AL1450" s="81">
        <f>IF(AN1450="","",IF(Q1450="Sin Factura","",AI1450-AJ1450))</f>
        <v/>
      </c>
      <c r="AM1450" s="81">
        <f>IF(AN1450="","",IF(Q1450="Sin Factura",0,P1450-IFERROR(INDEX(Facturas_Odoo!$H:$H, MATCH(Q1450, Facturas_Odoo!$B:$B, 0)), 0)))</f>
        <v/>
      </c>
      <c r="AN1450" s="79">
        <f>IF(AND(A1450="", J1450=""), "", IF(A1450&lt;&gt;"", VALUE(MID(A1450,2,LEN(A1450))), AN1449))</f>
        <v/>
      </c>
      <c r="AO1450" s="79">
        <f>IF(AN1450="","",IF(AD1450=0,"OK",_xlfn.LET(monedaPago, IF(AA1450="","USD",AA1450), limitePermitido, IFERROR(VLOOKUP(monedaPago, Configuración!$A$2:$B$3, 2, FALSE), 0.15), IF(AD1450&gt;limitePermitido, "ALERTA: EXCESO (" &amp; TEXT(limitePermitido, "0%") &amp; " máx)", "OK"))))</f>
        <v/>
      </c>
      <c r="AP1450" s="79">
        <f>IF(AN1450="","",IF(AE1450=0,"OK",_xlfn.LET(fechaPago, Z1450, fechaFactura, R1450, diasCredito, IF(E1450="Pago inmediato", 0, IFERROR(VALUE(MID(E1450, 1, SEARCH(" ", E1450)-1)),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50" s="79">
        <f>IF(AN1450="","",IF(AND(N1450&gt;0, AG1450&gt;0), IF(Configuración!$K$2="NO", "ALERTA: DESCUENTO DOBLE NO PERMITIDO", "OK"), "OK"))</f>
        <v/>
      </c>
      <c r="AR1450" s="79">
        <f>IF(AN1450="","",IF(OR(AO1450&lt;&gt;"OK", AP1450&lt;&gt;"OK", AQ1450&lt;&gt;"OK"), "⚠️ REVISAR", "OK"))</f>
        <v/>
      </c>
    </row>
    <row r="1451">
      <c r="A1451" s="79">
        <f>IF('Ordenes_Odoo'!A1451="","",'Ordenes_Odoo'!A1451)</f>
        <v/>
      </c>
      <c r="B1451" s="80">
        <f>IF('Ordenes_Odoo'!B1451="","",'Ordenes_Odoo'!B1451)</f>
        <v/>
      </c>
      <c r="C1451" s="79">
        <f>IF('Ordenes_Odoo'!C1451="","",'Ordenes_Odoo'!C1451)</f>
        <v/>
      </c>
      <c r="D1451" s="79">
        <f>IF('Ordenes_Odoo'!D1451="","",'Ordenes_Odoo'!D1451)</f>
        <v/>
      </c>
      <c r="E1451" s="79">
        <f>IF('Ordenes_Odoo'!E1451="","",'Ordenes_Odoo'!E1451)</f>
        <v/>
      </c>
      <c r="F1451" s="79">
        <f>IF('Ordenes_Odoo'!F1451="","",'Ordenes_Odoo'!F1451)</f>
        <v/>
      </c>
      <c r="G1451" s="79">
        <f>IF('Ordenes_Odoo'!G1451="","",'Ordenes_Odoo'!G1451)</f>
        <v/>
      </c>
      <c r="H1451" s="79">
        <f>IF('Ordenes_Odoo'!H1451="","",'Ordenes_Odoo'!H1451)</f>
        <v/>
      </c>
      <c r="I1451" s="79">
        <f>IF('Ordenes_Odoo'!I1451="","",'Ordenes_Odoo'!I1451)</f>
        <v/>
      </c>
      <c r="J1451" s="79">
        <f>IF('Ordenes_Odoo'!J1451="","",'Ordenes_Odoo'!J1451)</f>
        <v/>
      </c>
      <c r="K1451" s="81">
        <f>IF('Ordenes_Odoo'!K1451="","",'Ordenes_Odoo'!K1451)</f>
        <v/>
      </c>
      <c r="L1451" s="81">
        <f>IF('Ordenes_Odoo'!L1451="","",'Ordenes_Odoo'!L1451)</f>
        <v/>
      </c>
      <c r="M1451" s="79">
        <f>IF('Ordenes_Odoo'!M1451="","",'Ordenes_Odoo'!M1451)</f>
        <v/>
      </c>
      <c r="N1451" s="79">
        <f>IF('Ordenes_Odoo'!N1451="","",'Ordenes_Odoo'!N1451)</f>
        <v/>
      </c>
      <c r="O1451" s="81">
        <f>IF('Ordenes_Odoo'!O1451="","",'Ordenes_Odoo'!O1451)</f>
        <v/>
      </c>
      <c r="P1451" s="81">
        <f>IF('Ordenes_Odoo'!P1451="","",'Ordenes_Odoo'!P1451)</f>
        <v/>
      </c>
      <c r="Q1451" s="79">
        <f>IF(A1451="","",IFERROR(INDEX(Facturas_Odoo!$B:$B, MATCH(A1451, Facturas_Odoo!$D:$D, 0)), "Sin Factura"))</f>
        <v/>
      </c>
      <c r="R1451" s="80">
        <f>IF(Q1451="Sin Factura","",IFERROR(INDEX(Facturas_Odoo!$A:$A, MATCH(Q1451, Facturas_Odoo!$B:$B, 0)), ""))</f>
        <v/>
      </c>
      <c r="S1451" s="79">
        <f>IF(Q1451="Sin Factura","",IFERROR(_xlfn.XLOOKUP(1, (Facturas_Odoo!$D:$D=A1451) * (Facturas_Odoo!$K:$K=I1451), Facturas_Odoo!$L:$L, ""), ""))</f>
        <v/>
      </c>
      <c r="T1451" s="81">
        <f>IF(Q1451="Sin Factura",0,IFERROR(_xlfn.XLOOKUP(1, (Facturas_Odoo!$D:$D=A1451) * (Facturas_Odoo!$K:$K=I1451), Facturas_Odoo!$M:$M, 0), 0))</f>
        <v/>
      </c>
      <c r="U1451" s="79">
        <f>IF(Q1451="Sin Factura",0,IFERROR(_xlfn.XLOOKUP(1, (Facturas_Odoo!$D:$D=A1451) * (Facturas_Odoo!$K:$K=I1451), Facturas_Odoo!$N:$N, 0), 0))</f>
        <v/>
      </c>
      <c r="V1451" s="79">
        <f>IF(Q1451="Sin Factura",0,IFERROR(_xlfn.XLOOKUP(1, (Facturas_Odoo!$D:$D=A1451) * (Facturas_Odoo!$K:$K=I1451), Facturas_Odoo!$O:$O, 0), 0))</f>
        <v/>
      </c>
      <c r="W1451" s="81">
        <f>IF(Q1451="Sin Factura",0,IFERROR(_xlfn.XLOOKUP(1, (Facturas_Odoo!$D:$D=A1451) * (Facturas_Odoo!$K:$K=I1451), Facturas_Odoo!$Q:$Q, 0), 0))</f>
        <v/>
      </c>
      <c r="X1451" s="79">
        <f>IF(OR(Q1451="Sin Factura",Q1451=""),"",IFERROR(INDEX(Pagos_Odoo!$B:$B, MATCH(Q1451, Pagos_Odoo!$I:$I, 0)), "Sin Pago"))</f>
        <v/>
      </c>
      <c r="Y1451" s="79">
        <f>IF(X1451="Sin Pago","",IFERROR(INDEX(Pagos_Odoo!$C:$C, MATCH(X1451, Pagos_Odoo!$B:$B, 0)), ""))</f>
        <v/>
      </c>
      <c r="Z1451" s="80">
        <f>IF(X1451="Sin Pago","",IFERROR(INDEX(Pagos_Odoo!$A:$A, MATCH(X1451, Pagos_Odoo!$B:$B, 0)), ""))</f>
        <v/>
      </c>
      <c r="AA1451" s="79">
        <f>IF(X1451="Sin Pago","",IFERROR(INDEX(Pagos_Odoo!$F:$F, MATCH(X1451, Pagos_Odoo!$B:$B, 0)), ""))</f>
        <v/>
      </c>
      <c r="AB1451" s="81">
        <f>IF(X1451="Sin Pago",0,IFERROR(INDEX(Pagos_Odoo!$E:$E, MATCH(X1451, Pagos_Odoo!$B:$B, 0)), 0))</f>
        <v/>
      </c>
      <c r="AC1451" s="79">
        <f>IF(X1451="Sin Pago","",IFERROR(INDEX(Pagos_Odoo!$G:$G, MATCH(X1451, Pagos_Odoo!$B:$B, 0)), ""))</f>
        <v/>
      </c>
      <c r="AD1451" s="82" t="n">
        <v>0</v>
      </c>
      <c r="AE1451" s="82" t="n"/>
      <c r="AF1451" s="82" t="n"/>
      <c r="AG1451" s="82">
        <f>IF(AN1451="","",AD1451+AE1451+AF1451)</f>
        <v/>
      </c>
      <c r="AH1451" s="81">
        <f>IF(AN1451="","",P1451*(1-AG1451))</f>
        <v/>
      </c>
      <c r="AI1451" s="81">
        <f>IF(AN1451="","",IF(Q1451="Sin Factura",0,IFERROR(INDEX(Facturas_Odoo!$H:$H, MATCH(Q1451, Facturas_Odoo!$B:$B, 0)), 0)*(1-AG1451)))</f>
        <v/>
      </c>
      <c r="AJ1451" s="81">
        <f>IF(AN1451="","",_xlfn.LET(idVenta, AN1451&amp;"",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51" s="81">
        <f>IF(AN1451="","",AH1451-AJ1451)</f>
        <v/>
      </c>
      <c r="AL1451" s="81">
        <f>IF(AN1451="","",IF(Q1451="Sin Factura","",AI1451-AJ1451))</f>
        <v/>
      </c>
      <c r="AM1451" s="81">
        <f>IF(AN1451="","",IF(Q1451="Sin Factura",0,P1451-IFERROR(INDEX(Facturas_Odoo!$H:$H, MATCH(Q1451, Facturas_Odoo!$B:$B, 0)), 0)))</f>
        <v/>
      </c>
      <c r="AN1451" s="79">
        <f>IF(AND(A1451="", J1451=""), "", IF(A1451&lt;&gt;"", VALUE(MID(A1451,2,LEN(A1451))), AN1450))</f>
        <v/>
      </c>
      <c r="AO1451" s="79">
        <f>IF(AN1451="","",IF(AD1451=0,"OK",_xlfn.LET(monedaPago, IF(AA1451="","USD",AA1451), limitePermitido, IFERROR(VLOOKUP(monedaPago, Configuración!$A$2:$B$3, 2, FALSE), 0.15), IF(AD1451&gt;limitePermitido, "ALERTA: EXCESO (" &amp; TEXT(limitePermitido, "0%") &amp; " máx)", "OK"))))</f>
        <v/>
      </c>
      <c r="AP1451" s="79">
        <f>IF(AN1451="","",IF(AE1451=0,"OK",_xlfn.LET(fechaPago, Z1451, fechaFactura, R1451, diasCredito, IF(E1451="Pago inmediato", 0, IFERROR(VALUE(MID(E1451, 1, SEARCH(" ", E1451)-1)),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51" s="79">
        <f>IF(AN1451="","",IF(AND(N1451&gt;0, AG1451&gt;0), IF(Configuración!$K$2="NO", "ALERTA: DESCUENTO DOBLE NO PERMITIDO", "OK"), "OK"))</f>
        <v/>
      </c>
      <c r="AR1451" s="79">
        <f>IF(AN1451="","",IF(OR(AO1451&lt;&gt;"OK", AP1451&lt;&gt;"OK", AQ1451&lt;&gt;"OK"), "⚠️ REVISAR", "OK"))</f>
        <v/>
      </c>
    </row>
    <row r="1452">
      <c r="A1452" s="79">
        <f>IF('Ordenes_Odoo'!A1452="","",'Ordenes_Odoo'!A1452)</f>
        <v/>
      </c>
      <c r="B1452" s="80">
        <f>IF('Ordenes_Odoo'!B1452="","",'Ordenes_Odoo'!B1452)</f>
        <v/>
      </c>
      <c r="C1452" s="79">
        <f>IF('Ordenes_Odoo'!C1452="","",'Ordenes_Odoo'!C1452)</f>
        <v/>
      </c>
      <c r="D1452" s="79">
        <f>IF('Ordenes_Odoo'!D1452="","",'Ordenes_Odoo'!D1452)</f>
        <v/>
      </c>
      <c r="E1452" s="79">
        <f>IF('Ordenes_Odoo'!E1452="","",'Ordenes_Odoo'!E1452)</f>
        <v/>
      </c>
      <c r="F1452" s="79">
        <f>IF('Ordenes_Odoo'!F1452="","",'Ordenes_Odoo'!F1452)</f>
        <v/>
      </c>
      <c r="G1452" s="79">
        <f>IF('Ordenes_Odoo'!G1452="","",'Ordenes_Odoo'!G1452)</f>
        <v/>
      </c>
      <c r="H1452" s="79">
        <f>IF('Ordenes_Odoo'!H1452="","",'Ordenes_Odoo'!H1452)</f>
        <v/>
      </c>
      <c r="I1452" s="79">
        <f>IF('Ordenes_Odoo'!I1452="","",'Ordenes_Odoo'!I1452)</f>
        <v/>
      </c>
      <c r="J1452" s="79">
        <f>IF('Ordenes_Odoo'!J1452="","",'Ordenes_Odoo'!J1452)</f>
        <v/>
      </c>
      <c r="K1452" s="81">
        <f>IF('Ordenes_Odoo'!K1452="","",'Ordenes_Odoo'!K1452)</f>
        <v/>
      </c>
      <c r="L1452" s="81">
        <f>IF('Ordenes_Odoo'!L1452="","",'Ordenes_Odoo'!L1452)</f>
        <v/>
      </c>
      <c r="M1452" s="79">
        <f>IF('Ordenes_Odoo'!M1452="","",'Ordenes_Odoo'!M1452)</f>
        <v/>
      </c>
      <c r="N1452" s="79">
        <f>IF('Ordenes_Odoo'!N1452="","",'Ordenes_Odoo'!N1452)</f>
        <v/>
      </c>
      <c r="O1452" s="81">
        <f>IF('Ordenes_Odoo'!O1452="","",'Ordenes_Odoo'!O1452)</f>
        <v/>
      </c>
      <c r="P1452" s="81">
        <f>IF('Ordenes_Odoo'!P1452="","",'Ordenes_Odoo'!P1452)</f>
        <v/>
      </c>
      <c r="Q1452" s="79">
        <f>IF(A1452="","",IFERROR(INDEX(Facturas_Odoo!$B:$B, MATCH(A1452, Facturas_Odoo!$D:$D, 0)), "Sin Factura"))</f>
        <v/>
      </c>
      <c r="R1452" s="80">
        <f>IF(Q1452="Sin Factura","",IFERROR(INDEX(Facturas_Odoo!$A:$A, MATCH(Q1452, Facturas_Odoo!$B:$B, 0)), ""))</f>
        <v/>
      </c>
      <c r="S1452" s="79">
        <f>IF(Q1452="Sin Factura","",IFERROR(_xlfn.XLOOKUP(1, (Facturas_Odoo!$D:$D=A1452) * (Facturas_Odoo!$K:$K=I1452), Facturas_Odoo!$L:$L, ""), ""))</f>
        <v/>
      </c>
      <c r="T1452" s="81">
        <f>IF(Q1452="Sin Factura",0,IFERROR(_xlfn.XLOOKUP(1, (Facturas_Odoo!$D:$D=A1452) * (Facturas_Odoo!$K:$K=I1452), Facturas_Odoo!$M:$M, 0), 0))</f>
        <v/>
      </c>
      <c r="U1452" s="79">
        <f>IF(Q1452="Sin Factura",0,IFERROR(_xlfn.XLOOKUP(1, (Facturas_Odoo!$D:$D=A1452) * (Facturas_Odoo!$K:$K=I1452), Facturas_Odoo!$N:$N, 0), 0))</f>
        <v/>
      </c>
      <c r="V1452" s="79">
        <f>IF(Q1452="Sin Factura",0,IFERROR(_xlfn.XLOOKUP(1, (Facturas_Odoo!$D:$D=A1452) * (Facturas_Odoo!$K:$K=I1452), Facturas_Odoo!$O:$O, 0), 0))</f>
        <v/>
      </c>
      <c r="W1452" s="81">
        <f>IF(Q1452="Sin Factura",0,IFERROR(_xlfn.XLOOKUP(1, (Facturas_Odoo!$D:$D=A1452) * (Facturas_Odoo!$K:$K=I1452), Facturas_Odoo!$Q:$Q, 0), 0))</f>
        <v/>
      </c>
      <c r="X1452" s="79">
        <f>IF(OR(Q1452="Sin Factura",Q1452=""),"",IFERROR(INDEX(Pagos_Odoo!$B:$B, MATCH(Q1452, Pagos_Odoo!$I:$I, 0)), "Sin Pago"))</f>
        <v/>
      </c>
      <c r="Y1452" s="79">
        <f>IF(X1452="Sin Pago","",IFERROR(INDEX(Pagos_Odoo!$C:$C, MATCH(X1452, Pagos_Odoo!$B:$B, 0)), ""))</f>
        <v/>
      </c>
      <c r="Z1452" s="80">
        <f>IF(X1452="Sin Pago","",IFERROR(INDEX(Pagos_Odoo!$A:$A, MATCH(X1452, Pagos_Odoo!$B:$B, 0)), ""))</f>
        <v/>
      </c>
      <c r="AA1452" s="79">
        <f>IF(X1452="Sin Pago","",IFERROR(INDEX(Pagos_Odoo!$F:$F, MATCH(X1452, Pagos_Odoo!$B:$B, 0)), ""))</f>
        <v/>
      </c>
      <c r="AB1452" s="81">
        <f>IF(X1452="Sin Pago",0,IFERROR(INDEX(Pagos_Odoo!$E:$E, MATCH(X1452, Pagos_Odoo!$B:$B, 0)), 0))</f>
        <v/>
      </c>
      <c r="AC1452" s="79">
        <f>IF(X1452="Sin Pago","",IFERROR(INDEX(Pagos_Odoo!$G:$G, MATCH(X1452, Pagos_Odoo!$B:$B, 0)), ""))</f>
        <v/>
      </c>
      <c r="AD1452" s="82" t="n">
        <v>0</v>
      </c>
      <c r="AE1452" s="82" t="n"/>
      <c r="AF1452" s="82" t="n"/>
      <c r="AG1452" s="82">
        <f>IF(AN1452="","",AD1452+AE1452+AF1452)</f>
        <v/>
      </c>
      <c r="AH1452" s="81">
        <f>IF(AN1452="","",P1452*(1-AG1452))</f>
        <v/>
      </c>
      <c r="AI1452" s="81">
        <f>IF(AN1452="","",IF(Q1452="Sin Factura",0,IFERROR(INDEX(Facturas_Odoo!$H:$H, MATCH(Q1452, Facturas_Odoo!$B:$B, 0)), 0)*(1-AG1452)))</f>
        <v/>
      </c>
      <c r="AJ1452" s="81">
        <f>IF(AN1452="","",_xlfn.LET(idVenta, AN1452&amp;"",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52" s="81">
        <f>IF(AN1452="","",AH1452-AJ1452)</f>
        <v/>
      </c>
      <c r="AL1452" s="81">
        <f>IF(AN1452="","",IF(Q1452="Sin Factura","",AI1452-AJ1452))</f>
        <v/>
      </c>
      <c r="AM1452" s="81">
        <f>IF(AN1452="","",IF(Q1452="Sin Factura",0,P1452-IFERROR(INDEX(Facturas_Odoo!$H:$H, MATCH(Q1452, Facturas_Odoo!$B:$B, 0)), 0)))</f>
        <v/>
      </c>
      <c r="AN1452" s="79">
        <f>IF(AND(A1452="", J1452=""), "", IF(A1452&lt;&gt;"", VALUE(MID(A1452,2,LEN(A1452))), AN1451))</f>
        <v/>
      </c>
      <c r="AO1452" s="79">
        <f>IF(AN1452="","",IF(AD1452=0,"OK",_xlfn.LET(monedaPago, IF(AA1452="","USD",AA1452), limitePermitido, IFERROR(VLOOKUP(monedaPago, Configuración!$A$2:$B$3, 2, FALSE), 0.15), IF(AD1452&gt;limitePermitido, "ALERTA: EXCESO (" &amp; TEXT(limitePermitido, "0%") &amp; " máx)", "OK"))))</f>
        <v/>
      </c>
      <c r="AP1452" s="79">
        <f>IF(AN1452="","",IF(AE1452=0,"OK",_xlfn.LET(fechaPago, Z1452, fechaFactura, R1452, diasCredito, IF(E1452="Pago inmediato", 0, IFERROR(VALUE(MID(E1452, 1, SEARCH(" ", E1452)-1)),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52" s="79">
        <f>IF(AN1452="","",IF(AND(N1452&gt;0, AG1452&gt;0), IF(Configuración!$K$2="NO", "ALERTA: DESCUENTO DOBLE NO PERMITIDO", "OK"), "OK"))</f>
        <v/>
      </c>
      <c r="AR1452" s="79">
        <f>IF(AN1452="","",IF(OR(AO1452&lt;&gt;"OK", AP1452&lt;&gt;"OK", AQ1452&lt;&gt;"OK"), "⚠️ REVISAR", "OK"))</f>
        <v/>
      </c>
    </row>
    <row r="1453">
      <c r="A1453" s="79">
        <f>IF('Ordenes_Odoo'!A1453="","",'Ordenes_Odoo'!A1453)</f>
        <v/>
      </c>
      <c r="B1453" s="80">
        <f>IF('Ordenes_Odoo'!B1453="","",'Ordenes_Odoo'!B1453)</f>
        <v/>
      </c>
      <c r="C1453" s="79">
        <f>IF('Ordenes_Odoo'!C1453="","",'Ordenes_Odoo'!C1453)</f>
        <v/>
      </c>
      <c r="D1453" s="79">
        <f>IF('Ordenes_Odoo'!D1453="","",'Ordenes_Odoo'!D1453)</f>
        <v/>
      </c>
      <c r="E1453" s="79">
        <f>IF('Ordenes_Odoo'!E1453="","",'Ordenes_Odoo'!E1453)</f>
        <v/>
      </c>
      <c r="F1453" s="79">
        <f>IF('Ordenes_Odoo'!F1453="","",'Ordenes_Odoo'!F1453)</f>
        <v/>
      </c>
      <c r="G1453" s="79">
        <f>IF('Ordenes_Odoo'!G1453="","",'Ordenes_Odoo'!G1453)</f>
        <v/>
      </c>
      <c r="H1453" s="79">
        <f>IF('Ordenes_Odoo'!H1453="","",'Ordenes_Odoo'!H1453)</f>
        <v/>
      </c>
      <c r="I1453" s="79">
        <f>IF('Ordenes_Odoo'!I1453="","",'Ordenes_Odoo'!I1453)</f>
        <v/>
      </c>
      <c r="J1453" s="79">
        <f>IF('Ordenes_Odoo'!J1453="","",'Ordenes_Odoo'!J1453)</f>
        <v/>
      </c>
      <c r="K1453" s="81">
        <f>IF('Ordenes_Odoo'!K1453="","",'Ordenes_Odoo'!K1453)</f>
        <v/>
      </c>
      <c r="L1453" s="81">
        <f>IF('Ordenes_Odoo'!L1453="","",'Ordenes_Odoo'!L1453)</f>
        <v/>
      </c>
      <c r="M1453" s="79">
        <f>IF('Ordenes_Odoo'!M1453="","",'Ordenes_Odoo'!M1453)</f>
        <v/>
      </c>
      <c r="N1453" s="79">
        <f>IF('Ordenes_Odoo'!N1453="","",'Ordenes_Odoo'!N1453)</f>
        <v/>
      </c>
      <c r="O1453" s="81">
        <f>IF('Ordenes_Odoo'!O1453="","",'Ordenes_Odoo'!O1453)</f>
        <v/>
      </c>
      <c r="P1453" s="81">
        <f>IF('Ordenes_Odoo'!P1453="","",'Ordenes_Odoo'!P1453)</f>
        <v/>
      </c>
      <c r="Q1453" s="79">
        <f>IF(A1453="","",IFERROR(INDEX(Facturas_Odoo!$B:$B, MATCH(A1453, Facturas_Odoo!$D:$D, 0)), "Sin Factura"))</f>
        <v/>
      </c>
      <c r="R1453" s="80">
        <f>IF(Q1453="Sin Factura","",IFERROR(INDEX(Facturas_Odoo!$A:$A, MATCH(Q1453, Facturas_Odoo!$B:$B, 0)), ""))</f>
        <v/>
      </c>
      <c r="S1453" s="79">
        <f>IF(Q1453="Sin Factura","",IFERROR(_xlfn.XLOOKUP(1, (Facturas_Odoo!$D:$D=A1453) * (Facturas_Odoo!$K:$K=I1453), Facturas_Odoo!$L:$L, ""), ""))</f>
        <v/>
      </c>
      <c r="T1453" s="81">
        <f>IF(Q1453="Sin Factura",0,IFERROR(_xlfn.XLOOKUP(1, (Facturas_Odoo!$D:$D=A1453) * (Facturas_Odoo!$K:$K=I1453), Facturas_Odoo!$M:$M, 0), 0))</f>
        <v/>
      </c>
      <c r="U1453" s="79">
        <f>IF(Q1453="Sin Factura",0,IFERROR(_xlfn.XLOOKUP(1, (Facturas_Odoo!$D:$D=A1453) * (Facturas_Odoo!$K:$K=I1453), Facturas_Odoo!$N:$N, 0), 0))</f>
        <v/>
      </c>
      <c r="V1453" s="79">
        <f>IF(Q1453="Sin Factura",0,IFERROR(_xlfn.XLOOKUP(1, (Facturas_Odoo!$D:$D=A1453) * (Facturas_Odoo!$K:$K=I1453), Facturas_Odoo!$O:$O, 0), 0))</f>
        <v/>
      </c>
      <c r="W1453" s="81">
        <f>IF(Q1453="Sin Factura",0,IFERROR(_xlfn.XLOOKUP(1, (Facturas_Odoo!$D:$D=A1453) * (Facturas_Odoo!$K:$K=I1453), Facturas_Odoo!$Q:$Q, 0), 0))</f>
        <v/>
      </c>
      <c r="X1453" s="79">
        <f>IF(OR(Q1453="Sin Factura",Q1453=""),"",IFERROR(INDEX(Pagos_Odoo!$B:$B, MATCH(Q1453, Pagos_Odoo!$I:$I, 0)), "Sin Pago"))</f>
        <v/>
      </c>
      <c r="Y1453" s="79">
        <f>IF(X1453="Sin Pago","",IFERROR(INDEX(Pagos_Odoo!$C:$C, MATCH(X1453, Pagos_Odoo!$B:$B, 0)), ""))</f>
        <v/>
      </c>
      <c r="Z1453" s="80">
        <f>IF(X1453="Sin Pago","",IFERROR(INDEX(Pagos_Odoo!$A:$A, MATCH(X1453, Pagos_Odoo!$B:$B, 0)), ""))</f>
        <v/>
      </c>
      <c r="AA1453" s="79">
        <f>IF(X1453="Sin Pago","",IFERROR(INDEX(Pagos_Odoo!$F:$F, MATCH(X1453, Pagos_Odoo!$B:$B, 0)), ""))</f>
        <v/>
      </c>
      <c r="AB1453" s="81">
        <f>IF(X1453="Sin Pago",0,IFERROR(INDEX(Pagos_Odoo!$E:$E, MATCH(X1453, Pagos_Odoo!$B:$B, 0)), 0))</f>
        <v/>
      </c>
      <c r="AC1453" s="79">
        <f>IF(X1453="Sin Pago","",IFERROR(INDEX(Pagos_Odoo!$G:$G, MATCH(X1453, Pagos_Odoo!$B:$B, 0)), ""))</f>
        <v/>
      </c>
      <c r="AD1453" s="82" t="n">
        <v>0</v>
      </c>
      <c r="AE1453" s="82" t="n"/>
      <c r="AF1453" s="82" t="n"/>
      <c r="AG1453" s="82">
        <f>IF(AN1453="","",AD1453+AE1453+AF1453)</f>
        <v/>
      </c>
      <c r="AH1453" s="81">
        <f>IF(AN1453="","",P1453*(1-AG1453))</f>
        <v/>
      </c>
      <c r="AI1453" s="81">
        <f>IF(AN1453="","",IF(Q1453="Sin Factura",0,IFERROR(INDEX(Facturas_Odoo!$H:$H, MATCH(Q1453, Facturas_Odoo!$B:$B, 0)), 0)*(1-AG1453)))</f>
        <v/>
      </c>
      <c r="AJ1453" s="81">
        <f>IF(AN1453="","",_xlfn.LET(idVenta, AN1453&amp;"",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53" s="81">
        <f>IF(AN1453="","",AH1453-AJ1453)</f>
        <v/>
      </c>
      <c r="AL1453" s="81">
        <f>IF(AN1453="","",IF(Q1453="Sin Factura","",AI1453-AJ1453))</f>
        <v/>
      </c>
      <c r="AM1453" s="81">
        <f>IF(AN1453="","",IF(Q1453="Sin Factura",0,P1453-IFERROR(INDEX(Facturas_Odoo!$H:$H, MATCH(Q1453, Facturas_Odoo!$B:$B, 0)), 0)))</f>
        <v/>
      </c>
      <c r="AN1453" s="79">
        <f>IF(AND(A1453="", J1453=""), "", IF(A1453&lt;&gt;"", VALUE(MID(A1453,2,LEN(A1453))), AN1452))</f>
        <v/>
      </c>
      <c r="AO1453" s="79">
        <f>IF(AN1453="","",IF(AD1453=0,"OK",_xlfn.LET(monedaPago, IF(AA1453="","USD",AA1453), limitePermitido, IFERROR(VLOOKUP(monedaPago, Configuración!$A$2:$B$3, 2, FALSE), 0.15), IF(AD1453&gt;limitePermitido, "ALERTA: EXCESO (" &amp; TEXT(limitePermitido, "0%") &amp; " máx)", "OK"))))</f>
        <v/>
      </c>
      <c r="AP1453" s="79">
        <f>IF(AN1453="","",IF(AE1453=0,"OK",_xlfn.LET(fechaPago, Z1453, fechaFactura, R1453, diasCredito, IF(E1453="Pago inmediato", 0, IFERROR(VALUE(MID(E1453, 1, SEARCH(" ", E1453)-1)),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53" s="79">
        <f>IF(AN1453="","",IF(AND(N1453&gt;0, AG1453&gt;0), IF(Configuración!$K$2="NO", "ALERTA: DESCUENTO DOBLE NO PERMITIDO", "OK"), "OK"))</f>
        <v/>
      </c>
      <c r="AR1453" s="79">
        <f>IF(AN1453="","",IF(OR(AO1453&lt;&gt;"OK", AP1453&lt;&gt;"OK", AQ1453&lt;&gt;"OK"), "⚠️ REVISAR", "OK"))</f>
        <v/>
      </c>
    </row>
    <row r="1454">
      <c r="A1454" s="79">
        <f>IF('Ordenes_Odoo'!A1454="","",'Ordenes_Odoo'!A1454)</f>
        <v/>
      </c>
      <c r="B1454" s="80">
        <f>IF('Ordenes_Odoo'!B1454="","",'Ordenes_Odoo'!B1454)</f>
        <v/>
      </c>
      <c r="C1454" s="79">
        <f>IF('Ordenes_Odoo'!C1454="","",'Ordenes_Odoo'!C1454)</f>
        <v/>
      </c>
      <c r="D1454" s="79">
        <f>IF('Ordenes_Odoo'!D1454="","",'Ordenes_Odoo'!D1454)</f>
        <v/>
      </c>
      <c r="E1454" s="79">
        <f>IF('Ordenes_Odoo'!E1454="","",'Ordenes_Odoo'!E1454)</f>
        <v/>
      </c>
      <c r="F1454" s="79">
        <f>IF('Ordenes_Odoo'!F1454="","",'Ordenes_Odoo'!F1454)</f>
        <v/>
      </c>
      <c r="G1454" s="79">
        <f>IF('Ordenes_Odoo'!G1454="","",'Ordenes_Odoo'!G1454)</f>
        <v/>
      </c>
      <c r="H1454" s="79">
        <f>IF('Ordenes_Odoo'!H1454="","",'Ordenes_Odoo'!H1454)</f>
        <v/>
      </c>
      <c r="I1454" s="79">
        <f>IF('Ordenes_Odoo'!I1454="","",'Ordenes_Odoo'!I1454)</f>
        <v/>
      </c>
      <c r="J1454" s="79">
        <f>IF('Ordenes_Odoo'!J1454="","",'Ordenes_Odoo'!J1454)</f>
        <v/>
      </c>
      <c r="K1454" s="81">
        <f>IF('Ordenes_Odoo'!K1454="","",'Ordenes_Odoo'!K1454)</f>
        <v/>
      </c>
      <c r="L1454" s="81">
        <f>IF('Ordenes_Odoo'!L1454="","",'Ordenes_Odoo'!L1454)</f>
        <v/>
      </c>
      <c r="M1454" s="79">
        <f>IF('Ordenes_Odoo'!M1454="","",'Ordenes_Odoo'!M1454)</f>
        <v/>
      </c>
      <c r="N1454" s="79">
        <f>IF('Ordenes_Odoo'!N1454="","",'Ordenes_Odoo'!N1454)</f>
        <v/>
      </c>
      <c r="O1454" s="81">
        <f>IF('Ordenes_Odoo'!O1454="","",'Ordenes_Odoo'!O1454)</f>
        <v/>
      </c>
      <c r="P1454" s="81">
        <f>IF('Ordenes_Odoo'!P1454="","",'Ordenes_Odoo'!P1454)</f>
        <v/>
      </c>
      <c r="Q1454" s="79">
        <f>IF(A1454="","",IFERROR(INDEX(Facturas_Odoo!$B:$B, MATCH(A1454, Facturas_Odoo!$D:$D, 0)), "Sin Factura"))</f>
        <v/>
      </c>
      <c r="R1454" s="80">
        <f>IF(Q1454="Sin Factura","",IFERROR(INDEX(Facturas_Odoo!$A:$A, MATCH(Q1454, Facturas_Odoo!$B:$B, 0)), ""))</f>
        <v/>
      </c>
      <c r="S1454" s="79">
        <f>IF(Q1454="Sin Factura","",IFERROR(_xlfn.XLOOKUP(1, (Facturas_Odoo!$D:$D=A1454) * (Facturas_Odoo!$K:$K=I1454), Facturas_Odoo!$L:$L, ""), ""))</f>
        <v/>
      </c>
      <c r="T1454" s="81">
        <f>IF(Q1454="Sin Factura",0,IFERROR(_xlfn.XLOOKUP(1, (Facturas_Odoo!$D:$D=A1454) * (Facturas_Odoo!$K:$K=I1454), Facturas_Odoo!$M:$M, 0), 0))</f>
        <v/>
      </c>
      <c r="U1454" s="79">
        <f>IF(Q1454="Sin Factura",0,IFERROR(_xlfn.XLOOKUP(1, (Facturas_Odoo!$D:$D=A1454) * (Facturas_Odoo!$K:$K=I1454), Facturas_Odoo!$N:$N, 0), 0))</f>
        <v/>
      </c>
      <c r="V1454" s="79">
        <f>IF(Q1454="Sin Factura",0,IFERROR(_xlfn.XLOOKUP(1, (Facturas_Odoo!$D:$D=A1454) * (Facturas_Odoo!$K:$K=I1454), Facturas_Odoo!$O:$O, 0), 0))</f>
        <v/>
      </c>
      <c r="W1454" s="81">
        <f>IF(Q1454="Sin Factura",0,IFERROR(_xlfn.XLOOKUP(1, (Facturas_Odoo!$D:$D=A1454) * (Facturas_Odoo!$K:$K=I1454), Facturas_Odoo!$Q:$Q, 0), 0))</f>
        <v/>
      </c>
      <c r="X1454" s="79">
        <f>IF(OR(Q1454="Sin Factura",Q1454=""),"",IFERROR(INDEX(Pagos_Odoo!$B:$B, MATCH(Q1454, Pagos_Odoo!$I:$I, 0)), "Sin Pago"))</f>
        <v/>
      </c>
      <c r="Y1454" s="79">
        <f>IF(X1454="Sin Pago","",IFERROR(INDEX(Pagos_Odoo!$C:$C, MATCH(X1454, Pagos_Odoo!$B:$B, 0)), ""))</f>
        <v/>
      </c>
      <c r="Z1454" s="80">
        <f>IF(X1454="Sin Pago","",IFERROR(INDEX(Pagos_Odoo!$A:$A, MATCH(X1454, Pagos_Odoo!$B:$B, 0)), ""))</f>
        <v/>
      </c>
      <c r="AA1454" s="79">
        <f>IF(X1454="Sin Pago","",IFERROR(INDEX(Pagos_Odoo!$F:$F, MATCH(X1454, Pagos_Odoo!$B:$B, 0)), ""))</f>
        <v/>
      </c>
      <c r="AB1454" s="81">
        <f>IF(X1454="Sin Pago",0,IFERROR(INDEX(Pagos_Odoo!$E:$E, MATCH(X1454, Pagos_Odoo!$B:$B, 0)), 0))</f>
        <v/>
      </c>
      <c r="AC1454" s="79">
        <f>IF(X1454="Sin Pago","",IFERROR(INDEX(Pagos_Odoo!$G:$G, MATCH(X1454, Pagos_Odoo!$B:$B, 0)), ""))</f>
        <v/>
      </c>
      <c r="AD1454" s="82" t="n">
        <v>0</v>
      </c>
      <c r="AE1454" s="82" t="n"/>
      <c r="AF1454" s="82" t="n"/>
      <c r="AG1454" s="82">
        <f>IF(AN1454="","",AD1454+AE1454+AF1454)</f>
        <v/>
      </c>
      <c r="AH1454" s="81">
        <f>IF(AN1454="","",P1454*(1-AG1454))</f>
        <v/>
      </c>
      <c r="AI1454" s="81">
        <f>IF(AN1454="","",IF(Q1454="Sin Factura",0,IFERROR(INDEX(Facturas_Odoo!$H:$H, MATCH(Q1454, Facturas_Odoo!$B:$B, 0)), 0)*(1-AG1454)))</f>
        <v/>
      </c>
      <c r="AJ1454" s="81">
        <f>IF(AN1454="","",_xlfn.LET(idVenta, AN1454&amp;"",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54" s="81">
        <f>IF(AN1454="","",AH1454-AJ1454)</f>
        <v/>
      </c>
      <c r="AL1454" s="81">
        <f>IF(AN1454="","",IF(Q1454="Sin Factura","",AI1454-AJ1454))</f>
        <v/>
      </c>
      <c r="AM1454" s="81">
        <f>IF(AN1454="","",IF(Q1454="Sin Factura",0,P1454-IFERROR(INDEX(Facturas_Odoo!$H:$H, MATCH(Q1454, Facturas_Odoo!$B:$B, 0)), 0)))</f>
        <v/>
      </c>
      <c r="AN1454" s="79">
        <f>IF(AND(A1454="", J1454=""), "", IF(A1454&lt;&gt;"", VALUE(MID(A1454,2,LEN(A1454))), AN1453))</f>
        <v/>
      </c>
      <c r="AO1454" s="79">
        <f>IF(AN1454="","",IF(AD1454=0,"OK",_xlfn.LET(monedaPago, IF(AA1454="","USD",AA1454), limitePermitido, IFERROR(VLOOKUP(monedaPago, Configuración!$A$2:$B$3, 2, FALSE), 0.15), IF(AD1454&gt;limitePermitido, "ALERTA: EXCESO (" &amp; TEXT(limitePermitido, "0%") &amp; " máx)", "OK"))))</f>
        <v/>
      </c>
      <c r="AP1454" s="79">
        <f>IF(AN1454="","",IF(AE1454=0,"OK",_xlfn.LET(fechaPago, Z1454, fechaFactura, R1454, diasCredito, IF(E1454="Pago inmediato", 0, IFERROR(VALUE(MID(E1454, 1, SEARCH(" ", E1454)-1)),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54" s="79">
        <f>IF(AN1454="","",IF(AND(N1454&gt;0, AG1454&gt;0), IF(Configuración!$K$2="NO", "ALERTA: DESCUENTO DOBLE NO PERMITIDO", "OK"), "OK"))</f>
        <v/>
      </c>
      <c r="AR1454" s="79">
        <f>IF(AN1454="","",IF(OR(AO1454&lt;&gt;"OK", AP1454&lt;&gt;"OK", AQ1454&lt;&gt;"OK"), "⚠️ REVISAR", "OK"))</f>
        <v/>
      </c>
    </row>
    <row r="1455">
      <c r="A1455" s="79">
        <f>IF('Ordenes_Odoo'!A1455="","",'Ordenes_Odoo'!A1455)</f>
        <v/>
      </c>
      <c r="B1455" s="80">
        <f>IF('Ordenes_Odoo'!B1455="","",'Ordenes_Odoo'!B1455)</f>
        <v/>
      </c>
      <c r="C1455" s="79">
        <f>IF('Ordenes_Odoo'!C1455="","",'Ordenes_Odoo'!C1455)</f>
        <v/>
      </c>
      <c r="D1455" s="79">
        <f>IF('Ordenes_Odoo'!D1455="","",'Ordenes_Odoo'!D1455)</f>
        <v/>
      </c>
      <c r="E1455" s="79">
        <f>IF('Ordenes_Odoo'!E1455="","",'Ordenes_Odoo'!E1455)</f>
        <v/>
      </c>
      <c r="F1455" s="79">
        <f>IF('Ordenes_Odoo'!F1455="","",'Ordenes_Odoo'!F1455)</f>
        <v/>
      </c>
      <c r="G1455" s="79">
        <f>IF('Ordenes_Odoo'!G1455="","",'Ordenes_Odoo'!G1455)</f>
        <v/>
      </c>
      <c r="H1455" s="79">
        <f>IF('Ordenes_Odoo'!H1455="","",'Ordenes_Odoo'!H1455)</f>
        <v/>
      </c>
      <c r="I1455" s="79">
        <f>IF('Ordenes_Odoo'!I1455="","",'Ordenes_Odoo'!I1455)</f>
        <v/>
      </c>
      <c r="J1455" s="79">
        <f>IF('Ordenes_Odoo'!J1455="","",'Ordenes_Odoo'!J1455)</f>
        <v/>
      </c>
      <c r="K1455" s="81">
        <f>IF('Ordenes_Odoo'!K1455="","",'Ordenes_Odoo'!K1455)</f>
        <v/>
      </c>
      <c r="L1455" s="81">
        <f>IF('Ordenes_Odoo'!L1455="","",'Ordenes_Odoo'!L1455)</f>
        <v/>
      </c>
      <c r="M1455" s="79">
        <f>IF('Ordenes_Odoo'!M1455="","",'Ordenes_Odoo'!M1455)</f>
        <v/>
      </c>
      <c r="N1455" s="79">
        <f>IF('Ordenes_Odoo'!N1455="","",'Ordenes_Odoo'!N1455)</f>
        <v/>
      </c>
      <c r="O1455" s="81">
        <f>IF('Ordenes_Odoo'!O1455="","",'Ordenes_Odoo'!O1455)</f>
        <v/>
      </c>
      <c r="P1455" s="81">
        <f>IF('Ordenes_Odoo'!P1455="","",'Ordenes_Odoo'!P1455)</f>
        <v/>
      </c>
      <c r="Q1455" s="79">
        <f>IF(A1455="","",IFERROR(INDEX(Facturas_Odoo!$B:$B, MATCH(A1455, Facturas_Odoo!$D:$D, 0)), "Sin Factura"))</f>
        <v/>
      </c>
      <c r="R1455" s="80">
        <f>IF(Q1455="Sin Factura","",IFERROR(INDEX(Facturas_Odoo!$A:$A, MATCH(Q1455, Facturas_Odoo!$B:$B, 0)), ""))</f>
        <v/>
      </c>
      <c r="S1455" s="79">
        <f>IF(Q1455="Sin Factura","",IFERROR(_xlfn.XLOOKUP(1, (Facturas_Odoo!$D:$D=A1455) * (Facturas_Odoo!$K:$K=I1455), Facturas_Odoo!$L:$L, ""), ""))</f>
        <v/>
      </c>
      <c r="T1455" s="81">
        <f>IF(Q1455="Sin Factura",0,IFERROR(_xlfn.XLOOKUP(1, (Facturas_Odoo!$D:$D=A1455) * (Facturas_Odoo!$K:$K=I1455), Facturas_Odoo!$M:$M, 0), 0))</f>
        <v/>
      </c>
      <c r="U1455" s="79">
        <f>IF(Q1455="Sin Factura",0,IFERROR(_xlfn.XLOOKUP(1, (Facturas_Odoo!$D:$D=A1455) * (Facturas_Odoo!$K:$K=I1455), Facturas_Odoo!$N:$N, 0), 0))</f>
        <v/>
      </c>
      <c r="V1455" s="79">
        <f>IF(Q1455="Sin Factura",0,IFERROR(_xlfn.XLOOKUP(1, (Facturas_Odoo!$D:$D=A1455) * (Facturas_Odoo!$K:$K=I1455), Facturas_Odoo!$O:$O, 0), 0))</f>
        <v/>
      </c>
      <c r="W1455" s="81">
        <f>IF(Q1455="Sin Factura",0,IFERROR(_xlfn.XLOOKUP(1, (Facturas_Odoo!$D:$D=A1455) * (Facturas_Odoo!$K:$K=I1455), Facturas_Odoo!$Q:$Q, 0), 0))</f>
        <v/>
      </c>
      <c r="X1455" s="79">
        <f>IF(OR(Q1455="Sin Factura",Q1455=""),"",IFERROR(INDEX(Pagos_Odoo!$B:$B, MATCH(Q1455, Pagos_Odoo!$I:$I, 0)), "Sin Pago"))</f>
        <v/>
      </c>
      <c r="Y1455" s="79">
        <f>IF(X1455="Sin Pago","",IFERROR(INDEX(Pagos_Odoo!$C:$C, MATCH(X1455, Pagos_Odoo!$B:$B, 0)), ""))</f>
        <v/>
      </c>
      <c r="Z1455" s="80">
        <f>IF(X1455="Sin Pago","",IFERROR(INDEX(Pagos_Odoo!$A:$A, MATCH(X1455, Pagos_Odoo!$B:$B, 0)), ""))</f>
        <v/>
      </c>
      <c r="AA1455" s="79">
        <f>IF(X1455="Sin Pago","",IFERROR(INDEX(Pagos_Odoo!$F:$F, MATCH(X1455, Pagos_Odoo!$B:$B, 0)), ""))</f>
        <v/>
      </c>
      <c r="AB1455" s="81">
        <f>IF(X1455="Sin Pago",0,IFERROR(INDEX(Pagos_Odoo!$E:$E, MATCH(X1455, Pagos_Odoo!$B:$B, 0)), 0))</f>
        <v/>
      </c>
      <c r="AC1455" s="79">
        <f>IF(X1455="Sin Pago","",IFERROR(INDEX(Pagos_Odoo!$G:$G, MATCH(X1455, Pagos_Odoo!$B:$B, 0)), ""))</f>
        <v/>
      </c>
      <c r="AD1455" s="82" t="n">
        <v>0</v>
      </c>
      <c r="AE1455" s="82" t="n"/>
      <c r="AF1455" s="82" t="n"/>
      <c r="AG1455" s="82">
        <f>IF(AN1455="","",AD1455+AE1455+AF1455)</f>
        <v/>
      </c>
      <c r="AH1455" s="81">
        <f>IF(AN1455="","",P1455*(1-AG1455))</f>
        <v/>
      </c>
      <c r="AI1455" s="81">
        <f>IF(AN1455="","",IF(Q1455="Sin Factura",0,IFERROR(INDEX(Facturas_Odoo!$H:$H, MATCH(Q1455, Facturas_Odoo!$B:$B, 0)), 0)*(1-AG1455)))</f>
        <v/>
      </c>
      <c r="AJ1455" s="81">
        <f>IF(AN1455="","",_xlfn.LET(idVenta, AN1455&amp;"",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55" s="81">
        <f>IF(AN1455="","",AH1455-AJ1455)</f>
        <v/>
      </c>
      <c r="AL1455" s="81">
        <f>IF(AN1455="","",IF(Q1455="Sin Factura","",AI1455-AJ1455))</f>
        <v/>
      </c>
      <c r="AM1455" s="81">
        <f>IF(AN1455="","",IF(Q1455="Sin Factura",0,P1455-IFERROR(INDEX(Facturas_Odoo!$H:$H, MATCH(Q1455, Facturas_Odoo!$B:$B, 0)), 0)))</f>
        <v/>
      </c>
      <c r="AN1455" s="79">
        <f>IF(AND(A1455="", J1455=""), "", IF(A1455&lt;&gt;"", VALUE(MID(A1455,2,LEN(A1455))), AN1454))</f>
        <v/>
      </c>
      <c r="AO1455" s="79">
        <f>IF(AN1455="","",IF(AD1455=0,"OK",_xlfn.LET(monedaPago, IF(AA1455="","USD",AA1455), limitePermitido, IFERROR(VLOOKUP(monedaPago, Configuración!$A$2:$B$3, 2, FALSE), 0.15), IF(AD1455&gt;limitePermitido, "ALERTA: EXCESO (" &amp; TEXT(limitePermitido, "0%") &amp; " máx)", "OK"))))</f>
        <v/>
      </c>
      <c r="AP1455" s="79">
        <f>IF(AN1455="","",IF(AE1455=0,"OK",_xlfn.LET(fechaPago, Z1455, fechaFactura, R1455, diasCredito, IF(E1455="Pago inmediato", 0, IFERROR(VALUE(MID(E1455, 1, SEARCH(" ", E1455)-1)),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55" s="79">
        <f>IF(AN1455="","",IF(AND(N1455&gt;0, AG1455&gt;0), IF(Configuración!$K$2="NO", "ALERTA: DESCUENTO DOBLE NO PERMITIDO", "OK"), "OK"))</f>
        <v/>
      </c>
      <c r="AR1455" s="79">
        <f>IF(AN1455="","",IF(OR(AO1455&lt;&gt;"OK", AP1455&lt;&gt;"OK", AQ1455&lt;&gt;"OK"), "⚠️ REVISAR", "OK"))</f>
        <v/>
      </c>
    </row>
    <row r="1456">
      <c r="A1456" s="79">
        <f>IF('Ordenes_Odoo'!A1456="","",'Ordenes_Odoo'!A1456)</f>
        <v/>
      </c>
      <c r="B1456" s="80">
        <f>IF('Ordenes_Odoo'!B1456="","",'Ordenes_Odoo'!B1456)</f>
        <v/>
      </c>
      <c r="C1456" s="79">
        <f>IF('Ordenes_Odoo'!C1456="","",'Ordenes_Odoo'!C1456)</f>
        <v/>
      </c>
      <c r="D1456" s="79">
        <f>IF('Ordenes_Odoo'!D1456="","",'Ordenes_Odoo'!D1456)</f>
        <v/>
      </c>
      <c r="E1456" s="79">
        <f>IF('Ordenes_Odoo'!E1456="","",'Ordenes_Odoo'!E1456)</f>
        <v/>
      </c>
      <c r="F1456" s="79">
        <f>IF('Ordenes_Odoo'!F1456="","",'Ordenes_Odoo'!F1456)</f>
        <v/>
      </c>
      <c r="G1456" s="79">
        <f>IF('Ordenes_Odoo'!G1456="","",'Ordenes_Odoo'!G1456)</f>
        <v/>
      </c>
      <c r="H1456" s="79">
        <f>IF('Ordenes_Odoo'!H1456="","",'Ordenes_Odoo'!H1456)</f>
        <v/>
      </c>
      <c r="I1456" s="79">
        <f>IF('Ordenes_Odoo'!I1456="","",'Ordenes_Odoo'!I1456)</f>
        <v/>
      </c>
      <c r="J1456" s="79">
        <f>IF('Ordenes_Odoo'!J1456="","",'Ordenes_Odoo'!J1456)</f>
        <v/>
      </c>
      <c r="K1456" s="81">
        <f>IF('Ordenes_Odoo'!K1456="","",'Ordenes_Odoo'!K1456)</f>
        <v/>
      </c>
      <c r="L1456" s="81">
        <f>IF('Ordenes_Odoo'!L1456="","",'Ordenes_Odoo'!L1456)</f>
        <v/>
      </c>
      <c r="M1456" s="79">
        <f>IF('Ordenes_Odoo'!M1456="","",'Ordenes_Odoo'!M1456)</f>
        <v/>
      </c>
      <c r="N1456" s="79">
        <f>IF('Ordenes_Odoo'!N1456="","",'Ordenes_Odoo'!N1456)</f>
        <v/>
      </c>
      <c r="O1456" s="81">
        <f>IF('Ordenes_Odoo'!O1456="","",'Ordenes_Odoo'!O1456)</f>
        <v/>
      </c>
      <c r="P1456" s="81">
        <f>IF('Ordenes_Odoo'!P1456="","",'Ordenes_Odoo'!P1456)</f>
        <v/>
      </c>
      <c r="Q1456" s="79">
        <f>IF(A1456="","",IFERROR(INDEX(Facturas_Odoo!$B:$B, MATCH(A1456, Facturas_Odoo!$D:$D, 0)), "Sin Factura"))</f>
        <v/>
      </c>
      <c r="R1456" s="80">
        <f>IF(Q1456="Sin Factura","",IFERROR(INDEX(Facturas_Odoo!$A:$A, MATCH(Q1456, Facturas_Odoo!$B:$B, 0)), ""))</f>
        <v/>
      </c>
      <c r="S1456" s="79">
        <f>IF(Q1456="Sin Factura","",IFERROR(_xlfn.XLOOKUP(1, (Facturas_Odoo!$D:$D=A1456) * (Facturas_Odoo!$K:$K=I1456), Facturas_Odoo!$L:$L, ""), ""))</f>
        <v/>
      </c>
      <c r="T1456" s="81">
        <f>IF(Q1456="Sin Factura",0,IFERROR(_xlfn.XLOOKUP(1, (Facturas_Odoo!$D:$D=A1456) * (Facturas_Odoo!$K:$K=I1456), Facturas_Odoo!$M:$M, 0), 0))</f>
        <v/>
      </c>
      <c r="U1456" s="79">
        <f>IF(Q1456="Sin Factura",0,IFERROR(_xlfn.XLOOKUP(1, (Facturas_Odoo!$D:$D=A1456) * (Facturas_Odoo!$K:$K=I1456), Facturas_Odoo!$N:$N, 0), 0))</f>
        <v/>
      </c>
      <c r="V1456" s="79">
        <f>IF(Q1456="Sin Factura",0,IFERROR(_xlfn.XLOOKUP(1, (Facturas_Odoo!$D:$D=A1456) * (Facturas_Odoo!$K:$K=I1456), Facturas_Odoo!$O:$O, 0), 0))</f>
        <v/>
      </c>
      <c r="W1456" s="81">
        <f>IF(Q1456="Sin Factura",0,IFERROR(_xlfn.XLOOKUP(1, (Facturas_Odoo!$D:$D=A1456) * (Facturas_Odoo!$K:$K=I1456), Facturas_Odoo!$Q:$Q, 0), 0))</f>
        <v/>
      </c>
      <c r="X1456" s="79">
        <f>IF(OR(Q1456="Sin Factura",Q1456=""),"",IFERROR(INDEX(Pagos_Odoo!$B:$B, MATCH(Q1456, Pagos_Odoo!$I:$I, 0)), "Sin Pago"))</f>
        <v/>
      </c>
      <c r="Y1456" s="79">
        <f>IF(X1456="Sin Pago","",IFERROR(INDEX(Pagos_Odoo!$C:$C, MATCH(X1456, Pagos_Odoo!$B:$B, 0)), ""))</f>
        <v/>
      </c>
      <c r="Z1456" s="80">
        <f>IF(X1456="Sin Pago","",IFERROR(INDEX(Pagos_Odoo!$A:$A, MATCH(X1456, Pagos_Odoo!$B:$B, 0)), ""))</f>
        <v/>
      </c>
      <c r="AA1456" s="79">
        <f>IF(X1456="Sin Pago","",IFERROR(INDEX(Pagos_Odoo!$F:$F, MATCH(X1456, Pagos_Odoo!$B:$B, 0)), ""))</f>
        <v/>
      </c>
      <c r="AB1456" s="81">
        <f>IF(X1456="Sin Pago",0,IFERROR(INDEX(Pagos_Odoo!$E:$E, MATCH(X1456, Pagos_Odoo!$B:$B, 0)), 0))</f>
        <v/>
      </c>
      <c r="AC1456" s="79">
        <f>IF(X1456="Sin Pago","",IFERROR(INDEX(Pagos_Odoo!$G:$G, MATCH(X1456, Pagos_Odoo!$B:$B, 0)), ""))</f>
        <v/>
      </c>
      <c r="AD1456" s="82" t="n">
        <v>0</v>
      </c>
      <c r="AE1456" s="82" t="n"/>
      <c r="AF1456" s="82" t="n"/>
      <c r="AG1456" s="82">
        <f>IF(AN1456="","",AD1456+AE1456+AF1456)</f>
        <v/>
      </c>
      <c r="AH1456" s="81">
        <f>IF(AN1456="","",P1456*(1-AG1456))</f>
        <v/>
      </c>
      <c r="AI1456" s="81">
        <f>IF(AN1456="","",IF(Q1456="Sin Factura",0,IFERROR(INDEX(Facturas_Odoo!$H:$H, MATCH(Q1456, Facturas_Odoo!$B:$B, 0)), 0)*(1-AG1456)))</f>
        <v/>
      </c>
      <c r="AJ1456" s="81">
        <f>IF(AN1456="","",_xlfn.LET(idVenta, AN1456&amp;"",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56" s="81">
        <f>IF(AN1456="","",AH1456-AJ1456)</f>
        <v/>
      </c>
      <c r="AL1456" s="81">
        <f>IF(AN1456="","",IF(Q1456="Sin Factura","",AI1456-AJ1456))</f>
        <v/>
      </c>
      <c r="AM1456" s="81">
        <f>IF(AN1456="","",IF(Q1456="Sin Factura",0,P1456-IFERROR(INDEX(Facturas_Odoo!$H:$H, MATCH(Q1456, Facturas_Odoo!$B:$B, 0)), 0)))</f>
        <v/>
      </c>
      <c r="AN1456" s="79">
        <f>IF(AND(A1456="", J1456=""), "", IF(A1456&lt;&gt;"", VALUE(MID(A1456,2,LEN(A1456))), AN1455))</f>
        <v/>
      </c>
      <c r="AO1456" s="79">
        <f>IF(AN1456="","",IF(AD1456=0,"OK",_xlfn.LET(monedaPago, IF(AA1456="","USD",AA1456), limitePermitido, IFERROR(VLOOKUP(monedaPago, Configuración!$A$2:$B$3, 2, FALSE), 0.15), IF(AD1456&gt;limitePermitido, "ALERTA: EXCESO (" &amp; TEXT(limitePermitido, "0%") &amp; " máx)", "OK"))))</f>
        <v/>
      </c>
      <c r="AP1456" s="79">
        <f>IF(AN1456="","",IF(AE1456=0,"OK",_xlfn.LET(fechaPago, Z1456, fechaFactura, R1456, diasCredito, IF(E1456="Pago inmediato", 0, IFERROR(VALUE(MID(E1456, 1, SEARCH(" ", E1456)-1)),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56" s="79">
        <f>IF(AN1456="","",IF(AND(N1456&gt;0, AG1456&gt;0), IF(Configuración!$K$2="NO", "ALERTA: DESCUENTO DOBLE NO PERMITIDO", "OK"), "OK"))</f>
        <v/>
      </c>
      <c r="AR1456" s="79">
        <f>IF(AN1456="","",IF(OR(AO1456&lt;&gt;"OK", AP1456&lt;&gt;"OK", AQ1456&lt;&gt;"OK"), "⚠️ REVISAR", "OK"))</f>
        <v/>
      </c>
    </row>
    <row r="1457">
      <c r="A1457" s="79">
        <f>IF('Ordenes_Odoo'!A1457="","",'Ordenes_Odoo'!A1457)</f>
        <v/>
      </c>
      <c r="B1457" s="80">
        <f>IF('Ordenes_Odoo'!B1457="","",'Ordenes_Odoo'!B1457)</f>
        <v/>
      </c>
      <c r="C1457" s="79">
        <f>IF('Ordenes_Odoo'!C1457="","",'Ordenes_Odoo'!C1457)</f>
        <v/>
      </c>
      <c r="D1457" s="79">
        <f>IF('Ordenes_Odoo'!D1457="","",'Ordenes_Odoo'!D1457)</f>
        <v/>
      </c>
      <c r="E1457" s="79">
        <f>IF('Ordenes_Odoo'!E1457="","",'Ordenes_Odoo'!E1457)</f>
        <v/>
      </c>
      <c r="F1457" s="79">
        <f>IF('Ordenes_Odoo'!F1457="","",'Ordenes_Odoo'!F1457)</f>
        <v/>
      </c>
      <c r="G1457" s="79">
        <f>IF('Ordenes_Odoo'!G1457="","",'Ordenes_Odoo'!G1457)</f>
        <v/>
      </c>
      <c r="H1457" s="79">
        <f>IF('Ordenes_Odoo'!H1457="","",'Ordenes_Odoo'!H1457)</f>
        <v/>
      </c>
      <c r="I1457" s="79">
        <f>IF('Ordenes_Odoo'!I1457="","",'Ordenes_Odoo'!I1457)</f>
        <v/>
      </c>
      <c r="J1457" s="79">
        <f>IF('Ordenes_Odoo'!J1457="","",'Ordenes_Odoo'!J1457)</f>
        <v/>
      </c>
      <c r="K1457" s="81">
        <f>IF('Ordenes_Odoo'!K1457="","",'Ordenes_Odoo'!K1457)</f>
        <v/>
      </c>
      <c r="L1457" s="81">
        <f>IF('Ordenes_Odoo'!L1457="","",'Ordenes_Odoo'!L1457)</f>
        <v/>
      </c>
      <c r="M1457" s="79">
        <f>IF('Ordenes_Odoo'!M1457="","",'Ordenes_Odoo'!M1457)</f>
        <v/>
      </c>
      <c r="N1457" s="79">
        <f>IF('Ordenes_Odoo'!N1457="","",'Ordenes_Odoo'!N1457)</f>
        <v/>
      </c>
      <c r="O1457" s="81">
        <f>IF('Ordenes_Odoo'!O1457="","",'Ordenes_Odoo'!O1457)</f>
        <v/>
      </c>
      <c r="P1457" s="81">
        <f>IF('Ordenes_Odoo'!P1457="","",'Ordenes_Odoo'!P1457)</f>
        <v/>
      </c>
      <c r="Q1457" s="79">
        <f>IF(A1457="","",IFERROR(INDEX(Facturas_Odoo!$B:$B, MATCH(A1457, Facturas_Odoo!$D:$D, 0)), "Sin Factura"))</f>
        <v/>
      </c>
      <c r="R1457" s="80">
        <f>IF(Q1457="Sin Factura","",IFERROR(INDEX(Facturas_Odoo!$A:$A, MATCH(Q1457, Facturas_Odoo!$B:$B, 0)), ""))</f>
        <v/>
      </c>
      <c r="S1457" s="79">
        <f>IF(Q1457="Sin Factura","",IFERROR(_xlfn.XLOOKUP(1, (Facturas_Odoo!$D:$D=A1457) * (Facturas_Odoo!$K:$K=I1457), Facturas_Odoo!$L:$L, ""), ""))</f>
        <v/>
      </c>
      <c r="T1457" s="81">
        <f>IF(Q1457="Sin Factura",0,IFERROR(_xlfn.XLOOKUP(1, (Facturas_Odoo!$D:$D=A1457) * (Facturas_Odoo!$K:$K=I1457), Facturas_Odoo!$M:$M, 0), 0))</f>
        <v/>
      </c>
      <c r="U1457" s="79">
        <f>IF(Q1457="Sin Factura",0,IFERROR(_xlfn.XLOOKUP(1, (Facturas_Odoo!$D:$D=A1457) * (Facturas_Odoo!$K:$K=I1457), Facturas_Odoo!$N:$N, 0), 0))</f>
        <v/>
      </c>
      <c r="V1457" s="79">
        <f>IF(Q1457="Sin Factura",0,IFERROR(_xlfn.XLOOKUP(1, (Facturas_Odoo!$D:$D=A1457) * (Facturas_Odoo!$K:$K=I1457), Facturas_Odoo!$O:$O, 0), 0))</f>
        <v/>
      </c>
      <c r="W1457" s="81">
        <f>IF(Q1457="Sin Factura",0,IFERROR(_xlfn.XLOOKUP(1, (Facturas_Odoo!$D:$D=A1457) * (Facturas_Odoo!$K:$K=I1457), Facturas_Odoo!$Q:$Q, 0), 0))</f>
        <v/>
      </c>
      <c r="X1457" s="79">
        <f>IF(OR(Q1457="Sin Factura",Q1457=""),"",IFERROR(INDEX(Pagos_Odoo!$B:$B, MATCH(Q1457, Pagos_Odoo!$I:$I, 0)), "Sin Pago"))</f>
        <v/>
      </c>
      <c r="Y1457" s="79">
        <f>IF(X1457="Sin Pago","",IFERROR(INDEX(Pagos_Odoo!$C:$C, MATCH(X1457, Pagos_Odoo!$B:$B, 0)), ""))</f>
        <v/>
      </c>
      <c r="Z1457" s="80">
        <f>IF(X1457="Sin Pago","",IFERROR(INDEX(Pagos_Odoo!$A:$A, MATCH(X1457, Pagos_Odoo!$B:$B, 0)), ""))</f>
        <v/>
      </c>
      <c r="AA1457" s="79">
        <f>IF(X1457="Sin Pago","",IFERROR(INDEX(Pagos_Odoo!$F:$F, MATCH(X1457, Pagos_Odoo!$B:$B, 0)), ""))</f>
        <v/>
      </c>
      <c r="AB1457" s="81">
        <f>IF(X1457="Sin Pago",0,IFERROR(INDEX(Pagos_Odoo!$E:$E, MATCH(X1457, Pagos_Odoo!$B:$B, 0)), 0))</f>
        <v/>
      </c>
      <c r="AC1457" s="79">
        <f>IF(X1457="Sin Pago","",IFERROR(INDEX(Pagos_Odoo!$G:$G, MATCH(X1457, Pagos_Odoo!$B:$B, 0)), ""))</f>
        <v/>
      </c>
      <c r="AD1457" s="82" t="n">
        <v>0</v>
      </c>
      <c r="AE1457" s="82" t="n"/>
      <c r="AF1457" s="82" t="n"/>
      <c r="AG1457" s="82">
        <f>IF(AN1457="","",AD1457+AE1457+AF1457)</f>
        <v/>
      </c>
      <c r="AH1457" s="81">
        <f>IF(AN1457="","",P1457*(1-AG1457))</f>
        <v/>
      </c>
      <c r="AI1457" s="81">
        <f>IF(AN1457="","",IF(Q1457="Sin Factura",0,IFERROR(INDEX(Facturas_Odoo!$H:$H, MATCH(Q1457, Facturas_Odoo!$B:$B, 0)), 0)*(1-AG1457)))</f>
        <v/>
      </c>
      <c r="AJ1457" s="81">
        <f>IF(AN1457="","",_xlfn.LET(idVenta, AN1457&amp;"",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57" s="81">
        <f>IF(AN1457="","",AH1457-AJ1457)</f>
        <v/>
      </c>
      <c r="AL1457" s="81">
        <f>IF(AN1457="","",IF(Q1457="Sin Factura","",AI1457-AJ1457))</f>
        <v/>
      </c>
      <c r="AM1457" s="81">
        <f>IF(AN1457="","",IF(Q1457="Sin Factura",0,P1457-IFERROR(INDEX(Facturas_Odoo!$H:$H, MATCH(Q1457, Facturas_Odoo!$B:$B, 0)), 0)))</f>
        <v/>
      </c>
      <c r="AN1457" s="79">
        <f>IF(AND(A1457="", J1457=""), "", IF(A1457&lt;&gt;"", VALUE(MID(A1457,2,LEN(A1457))), AN1456))</f>
        <v/>
      </c>
      <c r="AO1457" s="79">
        <f>IF(AN1457="","",IF(AD1457=0,"OK",_xlfn.LET(monedaPago, IF(AA1457="","USD",AA1457), limitePermitido, IFERROR(VLOOKUP(monedaPago, Configuración!$A$2:$B$3, 2, FALSE), 0.15), IF(AD1457&gt;limitePermitido, "ALERTA: EXCESO (" &amp; TEXT(limitePermitido, "0%") &amp; " máx)", "OK"))))</f>
        <v/>
      </c>
      <c r="AP1457" s="79">
        <f>IF(AN1457="","",IF(AE1457=0,"OK",_xlfn.LET(fechaPago, Z1457, fechaFactura, R1457, diasCredito, IF(E1457="Pago inmediato", 0, IFERROR(VALUE(MID(E1457, 1, SEARCH(" ", E1457)-1)),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57" s="79">
        <f>IF(AN1457="","",IF(AND(N1457&gt;0, AG1457&gt;0), IF(Configuración!$K$2="NO", "ALERTA: DESCUENTO DOBLE NO PERMITIDO", "OK"), "OK"))</f>
        <v/>
      </c>
      <c r="AR1457" s="79">
        <f>IF(AN1457="","",IF(OR(AO1457&lt;&gt;"OK", AP1457&lt;&gt;"OK", AQ1457&lt;&gt;"OK"), "⚠️ REVISAR", "OK"))</f>
        <v/>
      </c>
    </row>
    <row r="1458">
      <c r="A1458" s="79">
        <f>IF('Ordenes_Odoo'!A1458="","",'Ordenes_Odoo'!A1458)</f>
        <v/>
      </c>
      <c r="B1458" s="80">
        <f>IF('Ordenes_Odoo'!B1458="","",'Ordenes_Odoo'!B1458)</f>
        <v/>
      </c>
      <c r="C1458" s="79">
        <f>IF('Ordenes_Odoo'!C1458="","",'Ordenes_Odoo'!C1458)</f>
        <v/>
      </c>
      <c r="D1458" s="79">
        <f>IF('Ordenes_Odoo'!D1458="","",'Ordenes_Odoo'!D1458)</f>
        <v/>
      </c>
      <c r="E1458" s="79">
        <f>IF('Ordenes_Odoo'!E1458="","",'Ordenes_Odoo'!E1458)</f>
        <v/>
      </c>
      <c r="F1458" s="79">
        <f>IF('Ordenes_Odoo'!F1458="","",'Ordenes_Odoo'!F1458)</f>
        <v/>
      </c>
      <c r="G1458" s="79">
        <f>IF('Ordenes_Odoo'!G1458="","",'Ordenes_Odoo'!G1458)</f>
        <v/>
      </c>
      <c r="H1458" s="79">
        <f>IF('Ordenes_Odoo'!H1458="","",'Ordenes_Odoo'!H1458)</f>
        <v/>
      </c>
      <c r="I1458" s="79">
        <f>IF('Ordenes_Odoo'!I1458="","",'Ordenes_Odoo'!I1458)</f>
        <v/>
      </c>
      <c r="J1458" s="79">
        <f>IF('Ordenes_Odoo'!J1458="","",'Ordenes_Odoo'!J1458)</f>
        <v/>
      </c>
      <c r="K1458" s="81">
        <f>IF('Ordenes_Odoo'!K1458="","",'Ordenes_Odoo'!K1458)</f>
        <v/>
      </c>
      <c r="L1458" s="81">
        <f>IF('Ordenes_Odoo'!L1458="","",'Ordenes_Odoo'!L1458)</f>
        <v/>
      </c>
      <c r="M1458" s="79">
        <f>IF('Ordenes_Odoo'!M1458="","",'Ordenes_Odoo'!M1458)</f>
        <v/>
      </c>
      <c r="N1458" s="79">
        <f>IF('Ordenes_Odoo'!N1458="","",'Ordenes_Odoo'!N1458)</f>
        <v/>
      </c>
      <c r="O1458" s="81">
        <f>IF('Ordenes_Odoo'!O1458="","",'Ordenes_Odoo'!O1458)</f>
        <v/>
      </c>
      <c r="P1458" s="81">
        <f>IF('Ordenes_Odoo'!P1458="","",'Ordenes_Odoo'!P1458)</f>
        <v/>
      </c>
      <c r="Q1458" s="79">
        <f>IF(A1458="","",IFERROR(INDEX(Facturas_Odoo!$B:$B, MATCH(A1458, Facturas_Odoo!$D:$D, 0)), "Sin Factura"))</f>
        <v/>
      </c>
      <c r="R1458" s="80">
        <f>IF(Q1458="Sin Factura","",IFERROR(INDEX(Facturas_Odoo!$A:$A, MATCH(Q1458, Facturas_Odoo!$B:$B, 0)), ""))</f>
        <v/>
      </c>
      <c r="S1458" s="79">
        <f>IF(Q1458="Sin Factura","",IFERROR(_xlfn.XLOOKUP(1, (Facturas_Odoo!$D:$D=A1458) * (Facturas_Odoo!$K:$K=I1458), Facturas_Odoo!$L:$L, ""), ""))</f>
        <v/>
      </c>
      <c r="T1458" s="81">
        <f>IF(Q1458="Sin Factura",0,IFERROR(_xlfn.XLOOKUP(1, (Facturas_Odoo!$D:$D=A1458) * (Facturas_Odoo!$K:$K=I1458), Facturas_Odoo!$M:$M, 0), 0))</f>
        <v/>
      </c>
      <c r="U1458" s="79">
        <f>IF(Q1458="Sin Factura",0,IFERROR(_xlfn.XLOOKUP(1, (Facturas_Odoo!$D:$D=A1458) * (Facturas_Odoo!$K:$K=I1458), Facturas_Odoo!$N:$N, 0), 0))</f>
        <v/>
      </c>
      <c r="V1458" s="79">
        <f>IF(Q1458="Sin Factura",0,IFERROR(_xlfn.XLOOKUP(1, (Facturas_Odoo!$D:$D=A1458) * (Facturas_Odoo!$K:$K=I1458), Facturas_Odoo!$O:$O, 0), 0))</f>
        <v/>
      </c>
      <c r="W1458" s="81">
        <f>IF(Q1458="Sin Factura",0,IFERROR(_xlfn.XLOOKUP(1, (Facturas_Odoo!$D:$D=A1458) * (Facturas_Odoo!$K:$K=I1458), Facturas_Odoo!$Q:$Q, 0), 0))</f>
        <v/>
      </c>
      <c r="X1458" s="79">
        <f>IF(OR(Q1458="Sin Factura",Q1458=""),"",IFERROR(INDEX(Pagos_Odoo!$B:$B, MATCH(Q1458, Pagos_Odoo!$I:$I, 0)), "Sin Pago"))</f>
        <v/>
      </c>
      <c r="Y1458" s="79">
        <f>IF(X1458="Sin Pago","",IFERROR(INDEX(Pagos_Odoo!$C:$C, MATCH(X1458, Pagos_Odoo!$B:$B, 0)), ""))</f>
        <v/>
      </c>
      <c r="Z1458" s="80">
        <f>IF(X1458="Sin Pago","",IFERROR(INDEX(Pagos_Odoo!$A:$A, MATCH(X1458, Pagos_Odoo!$B:$B, 0)), ""))</f>
        <v/>
      </c>
      <c r="AA1458" s="79">
        <f>IF(X1458="Sin Pago","",IFERROR(INDEX(Pagos_Odoo!$F:$F, MATCH(X1458, Pagos_Odoo!$B:$B, 0)), ""))</f>
        <v/>
      </c>
      <c r="AB1458" s="81">
        <f>IF(X1458="Sin Pago",0,IFERROR(INDEX(Pagos_Odoo!$E:$E, MATCH(X1458, Pagos_Odoo!$B:$B, 0)), 0))</f>
        <v/>
      </c>
      <c r="AC1458" s="79">
        <f>IF(X1458="Sin Pago","",IFERROR(INDEX(Pagos_Odoo!$G:$G, MATCH(X1458, Pagos_Odoo!$B:$B, 0)), ""))</f>
        <v/>
      </c>
      <c r="AD1458" s="82" t="n">
        <v>0</v>
      </c>
      <c r="AE1458" s="82" t="n"/>
      <c r="AF1458" s="82" t="n"/>
      <c r="AG1458" s="82">
        <f>IF(AN1458="","",AD1458+AE1458+AF1458)</f>
        <v/>
      </c>
      <c r="AH1458" s="81">
        <f>IF(AN1458="","",P1458*(1-AG1458))</f>
        <v/>
      </c>
      <c r="AI1458" s="81">
        <f>IF(AN1458="","",IF(Q1458="Sin Factura",0,IFERROR(INDEX(Facturas_Odoo!$H:$H, MATCH(Q1458, Facturas_Odoo!$B:$B, 0)), 0)*(1-AG1458)))</f>
        <v/>
      </c>
      <c r="AJ1458" s="81">
        <f>IF(AN1458="","",_xlfn.LET(idVenta, AN1458&amp;"",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58" s="81">
        <f>IF(AN1458="","",AH1458-AJ1458)</f>
        <v/>
      </c>
      <c r="AL1458" s="81">
        <f>IF(AN1458="","",IF(Q1458="Sin Factura","",AI1458-AJ1458))</f>
        <v/>
      </c>
      <c r="AM1458" s="81">
        <f>IF(AN1458="","",IF(Q1458="Sin Factura",0,P1458-IFERROR(INDEX(Facturas_Odoo!$H:$H, MATCH(Q1458, Facturas_Odoo!$B:$B, 0)), 0)))</f>
        <v/>
      </c>
      <c r="AN1458" s="79">
        <f>IF(AND(A1458="", J1458=""), "", IF(A1458&lt;&gt;"", VALUE(MID(A1458,2,LEN(A1458))), AN1457))</f>
        <v/>
      </c>
      <c r="AO1458" s="79">
        <f>IF(AN1458="","",IF(AD1458=0,"OK",_xlfn.LET(monedaPago, IF(AA1458="","USD",AA1458), limitePermitido, IFERROR(VLOOKUP(monedaPago, Configuración!$A$2:$B$3, 2, FALSE), 0.15), IF(AD1458&gt;limitePermitido, "ALERTA: EXCESO (" &amp; TEXT(limitePermitido, "0%") &amp; " máx)", "OK"))))</f>
        <v/>
      </c>
      <c r="AP1458" s="79">
        <f>IF(AN1458="","",IF(AE1458=0,"OK",_xlfn.LET(fechaPago, Z1458, fechaFactura, R1458, diasCredito, IF(E1458="Pago inmediato", 0, IFERROR(VALUE(MID(E1458, 1, SEARCH(" ", E1458)-1)),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58" s="79">
        <f>IF(AN1458="","",IF(AND(N1458&gt;0, AG1458&gt;0), IF(Configuración!$K$2="NO", "ALERTA: DESCUENTO DOBLE NO PERMITIDO", "OK"), "OK"))</f>
        <v/>
      </c>
      <c r="AR1458" s="79">
        <f>IF(AN1458="","",IF(OR(AO1458&lt;&gt;"OK", AP1458&lt;&gt;"OK", AQ1458&lt;&gt;"OK"), "⚠️ REVISAR", "OK"))</f>
        <v/>
      </c>
    </row>
    <row r="1459">
      <c r="A1459" s="79">
        <f>IF('Ordenes_Odoo'!A1459="","",'Ordenes_Odoo'!A1459)</f>
        <v/>
      </c>
      <c r="B1459" s="80">
        <f>IF('Ordenes_Odoo'!B1459="","",'Ordenes_Odoo'!B1459)</f>
        <v/>
      </c>
      <c r="C1459" s="79">
        <f>IF('Ordenes_Odoo'!C1459="","",'Ordenes_Odoo'!C1459)</f>
        <v/>
      </c>
      <c r="D1459" s="79">
        <f>IF('Ordenes_Odoo'!D1459="","",'Ordenes_Odoo'!D1459)</f>
        <v/>
      </c>
      <c r="E1459" s="79">
        <f>IF('Ordenes_Odoo'!E1459="","",'Ordenes_Odoo'!E1459)</f>
        <v/>
      </c>
      <c r="F1459" s="79">
        <f>IF('Ordenes_Odoo'!F1459="","",'Ordenes_Odoo'!F1459)</f>
        <v/>
      </c>
      <c r="G1459" s="79">
        <f>IF('Ordenes_Odoo'!G1459="","",'Ordenes_Odoo'!G1459)</f>
        <v/>
      </c>
      <c r="H1459" s="79">
        <f>IF('Ordenes_Odoo'!H1459="","",'Ordenes_Odoo'!H1459)</f>
        <v/>
      </c>
      <c r="I1459" s="79">
        <f>IF('Ordenes_Odoo'!I1459="","",'Ordenes_Odoo'!I1459)</f>
        <v/>
      </c>
      <c r="J1459" s="79">
        <f>IF('Ordenes_Odoo'!J1459="","",'Ordenes_Odoo'!J1459)</f>
        <v/>
      </c>
      <c r="K1459" s="81">
        <f>IF('Ordenes_Odoo'!K1459="","",'Ordenes_Odoo'!K1459)</f>
        <v/>
      </c>
      <c r="L1459" s="81">
        <f>IF('Ordenes_Odoo'!L1459="","",'Ordenes_Odoo'!L1459)</f>
        <v/>
      </c>
      <c r="M1459" s="79">
        <f>IF('Ordenes_Odoo'!M1459="","",'Ordenes_Odoo'!M1459)</f>
        <v/>
      </c>
      <c r="N1459" s="79">
        <f>IF('Ordenes_Odoo'!N1459="","",'Ordenes_Odoo'!N1459)</f>
        <v/>
      </c>
      <c r="O1459" s="81">
        <f>IF('Ordenes_Odoo'!O1459="","",'Ordenes_Odoo'!O1459)</f>
        <v/>
      </c>
      <c r="P1459" s="81">
        <f>IF('Ordenes_Odoo'!P1459="","",'Ordenes_Odoo'!P1459)</f>
        <v/>
      </c>
      <c r="Q1459" s="79">
        <f>IF(A1459="","",IFERROR(INDEX(Facturas_Odoo!$B:$B, MATCH(A1459, Facturas_Odoo!$D:$D, 0)), "Sin Factura"))</f>
        <v/>
      </c>
      <c r="R1459" s="80">
        <f>IF(Q1459="Sin Factura","",IFERROR(INDEX(Facturas_Odoo!$A:$A, MATCH(Q1459, Facturas_Odoo!$B:$B, 0)), ""))</f>
        <v/>
      </c>
      <c r="S1459" s="79">
        <f>IF(Q1459="Sin Factura","",IFERROR(_xlfn.XLOOKUP(1, (Facturas_Odoo!$D:$D=A1459) * (Facturas_Odoo!$K:$K=I1459), Facturas_Odoo!$L:$L, ""), ""))</f>
        <v/>
      </c>
      <c r="T1459" s="81">
        <f>IF(Q1459="Sin Factura",0,IFERROR(_xlfn.XLOOKUP(1, (Facturas_Odoo!$D:$D=A1459) * (Facturas_Odoo!$K:$K=I1459), Facturas_Odoo!$M:$M, 0), 0))</f>
        <v/>
      </c>
      <c r="U1459" s="79">
        <f>IF(Q1459="Sin Factura",0,IFERROR(_xlfn.XLOOKUP(1, (Facturas_Odoo!$D:$D=A1459) * (Facturas_Odoo!$K:$K=I1459), Facturas_Odoo!$N:$N, 0), 0))</f>
        <v/>
      </c>
      <c r="V1459" s="79">
        <f>IF(Q1459="Sin Factura",0,IFERROR(_xlfn.XLOOKUP(1, (Facturas_Odoo!$D:$D=A1459) * (Facturas_Odoo!$K:$K=I1459), Facturas_Odoo!$O:$O, 0), 0))</f>
        <v/>
      </c>
      <c r="W1459" s="81">
        <f>IF(Q1459="Sin Factura",0,IFERROR(_xlfn.XLOOKUP(1, (Facturas_Odoo!$D:$D=A1459) * (Facturas_Odoo!$K:$K=I1459), Facturas_Odoo!$Q:$Q, 0), 0))</f>
        <v/>
      </c>
      <c r="X1459" s="79">
        <f>IF(OR(Q1459="Sin Factura",Q1459=""),"",IFERROR(INDEX(Pagos_Odoo!$B:$B, MATCH(Q1459, Pagos_Odoo!$I:$I, 0)), "Sin Pago"))</f>
        <v/>
      </c>
      <c r="Y1459" s="79">
        <f>IF(X1459="Sin Pago","",IFERROR(INDEX(Pagos_Odoo!$C:$C, MATCH(X1459, Pagos_Odoo!$B:$B, 0)), ""))</f>
        <v/>
      </c>
      <c r="Z1459" s="80">
        <f>IF(X1459="Sin Pago","",IFERROR(INDEX(Pagos_Odoo!$A:$A, MATCH(X1459, Pagos_Odoo!$B:$B, 0)), ""))</f>
        <v/>
      </c>
      <c r="AA1459" s="79">
        <f>IF(X1459="Sin Pago","",IFERROR(INDEX(Pagos_Odoo!$F:$F, MATCH(X1459, Pagos_Odoo!$B:$B, 0)), ""))</f>
        <v/>
      </c>
      <c r="AB1459" s="81">
        <f>IF(X1459="Sin Pago",0,IFERROR(INDEX(Pagos_Odoo!$E:$E, MATCH(X1459, Pagos_Odoo!$B:$B, 0)), 0))</f>
        <v/>
      </c>
      <c r="AC1459" s="79">
        <f>IF(X1459="Sin Pago","",IFERROR(INDEX(Pagos_Odoo!$G:$G, MATCH(X1459, Pagos_Odoo!$B:$B, 0)), ""))</f>
        <v/>
      </c>
      <c r="AD1459" s="82" t="n">
        <v>0</v>
      </c>
      <c r="AE1459" s="82" t="n"/>
      <c r="AF1459" s="82" t="n"/>
      <c r="AG1459" s="82">
        <f>IF(AN1459="","",AD1459+AE1459+AF1459)</f>
        <v/>
      </c>
      <c r="AH1459" s="81">
        <f>IF(AN1459="","",P1459*(1-AG1459))</f>
        <v/>
      </c>
      <c r="AI1459" s="81">
        <f>IF(AN1459="","",IF(Q1459="Sin Factura",0,IFERROR(INDEX(Facturas_Odoo!$H:$H, MATCH(Q1459, Facturas_Odoo!$B:$B, 0)), 0)*(1-AG1459)))</f>
        <v/>
      </c>
      <c r="AJ1459" s="81">
        <f>IF(AN1459="","",_xlfn.LET(idVenta, AN1459&amp;"",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59" s="81">
        <f>IF(AN1459="","",AH1459-AJ1459)</f>
        <v/>
      </c>
      <c r="AL1459" s="81">
        <f>IF(AN1459="","",IF(Q1459="Sin Factura","",AI1459-AJ1459))</f>
        <v/>
      </c>
      <c r="AM1459" s="81">
        <f>IF(AN1459="","",IF(Q1459="Sin Factura",0,P1459-IFERROR(INDEX(Facturas_Odoo!$H:$H, MATCH(Q1459, Facturas_Odoo!$B:$B, 0)), 0)))</f>
        <v/>
      </c>
      <c r="AN1459" s="79">
        <f>IF(AND(A1459="", J1459=""), "", IF(A1459&lt;&gt;"", VALUE(MID(A1459,2,LEN(A1459))), AN1458))</f>
        <v/>
      </c>
      <c r="AO1459" s="79">
        <f>IF(AN1459="","",IF(AD1459=0,"OK",_xlfn.LET(monedaPago, IF(AA1459="","USD",AA1459), limitePermitido, IFERROR(VLOOKUP(monedaPago, Configuración!$A$2:$B$3, 2, FALSE), 0.15), IF(AD1459&gt;limitePermitido, "ALERTA: EXCESO (" &amp; TEXT(limitePermitido, "0%") &amp; " máx)", "OK"))))</f>
        <v/>
      </c>
      <c r="AP1459" s="79">
        <f>IF(AN1459="","",IF(AE1459=0,"OK",_xlfn.LET(fechaPago, Z1459, fechaFactura, R1459, diasCredito, IF(E1459="Pago inmediato", 0, IFERROR(VALUE(MID(E1459, 1, SEARCH(" ", E1459)-1)),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59" s="79">
        <f>IF(AN1459="","",IF(AND(N1459&gt;0, AG1459&gt;0), IF(Configuración!$K$2="NO", "ALERTA: DESCUENTO DOBLE NO PERMITIDO", "OK"), "OK"))</f>
        <v/>
      </c>
      <c r="AR1459" s="79">
        <f>IF(AN1459="","",IF(OR(AO1459&lt;&gt;"OK", AP1459&lt;&gt;"OK", AQ1459&lt;&gt;"OK"), "⚠️ REVISAR", "OK"))</f>
        <v/>
      </c>
    </row>
    <row r="1460">
      <c r="A1460" s="79">
        <f>IF('Ordenes_Odoo'!A1460="","",'Ordenes_Odoo'!A1460)</f>
        <v/>
      </c>
      <c r="B1460" s="80">
        <f>IF('Ordenes_Odoo'!B1460="","",'Ordenes_Odoo'!B1460)</f>
        <v/>
      </c>
      <c r="C1460" s="79">
        <f>IF('Ordenes_Odoo'!C1460="","",'Ordenes_Odoo'!C1460)</f>
        <v/>
      </c>
      <c r="D1460" s="79">
        <f>IF('Ordenes_Odoo'!D1460="","",'Ordenes_Odoo'!D1460)</f>
        <v/>
      </c>
      <c r="E1460" s="79">
        <f>IF('Ordenes_Odoo'!E1460="","",'Ordenes_Odoo'!E1460)</f>
        <v/>
      </c>
      <c r="F1460" s="79">
        <f>IF('Ordenes_Odoo'!F1460="","",'Ordenes_Odoo'!F1460)</f>
        <v/>
      </c>
      <c r="G1460" s="79">
        <f>IF('Ordenes_Odoo'!G1460="","",'Ordenes_Odoo'!G1460)</f>
        <v/>
      </c>
      <c r="H1460" s="79">
        <f>IF('Ordenes_Odoo'!H1460="","",'Ordenes_Odoo'!H1460)</f>
        <v/>
      </c>
      <c r="I1460" s="79">
        <f>IF('Ordenes_Odoo'!I1460="","",'Ordenes_Odoo'!I1460)</f>
        <v/>
      </c>
      <c r="J1460" s="79">
        <f>IF('Ordenes_Odoo'!J1460="","",'Ordenes_Odoo'!J1460)</f>
        <v/>
      </c>
      <c r="K1460" s="81">
        <f>IF('Ordenes_Odoo'!K1460="","",'Ordenes_Odoo'!K1460)</f>
        <v/>
      </c>
      <c r="L1460" s="81">
        <f>IF('Ordenes_Odoo'!L1460="","",'Ordenes_Odoo'!L1460)</f>
        <v/>
      </c>
      <c r="M1460" s="79">
        <f>IF('Ordenes_Odoo'!M1460="","",'Ordenes_Odoo'!M1460)</f>
        <v/>
      </c>
      <c r="N1460" s="79">
        <f>IF('Ordenes_Odoo'!N1460="","",'Ordenes_Odoo'!N1460)</f>
        <v/>
      </c>
      <c r="O1460" s="81">
        <f>IF('Ordenes_Odoo'!O1460="","",'Ordenes_Odoo'!O1460)</f>
        <v/>
      </c>
      <c r="P1460" s="81">
        <f>IF('Ordenes_Odoo'!P1460="","",'Ordenes_Odoo'!P1460)</f>
        <v/>
      </c>
      <c r="Q1460" s="79">
        <f>IF(A1460="","",IFERROR(INDEX(Facturas_Odoo!$B:$B, MATCH(A1460, Facturas_Odoo!$D:$D, 0)), "Sin Factura"))</f>
        <v/>
      </c>
      <c r="R1460" s="80">
        <f>IF(Q1460="Sin Factura","",IFERROR(INDEX(Facturas_Odoo!$A:$A, MATCH(Q1460, Facturas_Odoo!$B:$B, 0)), ""))</f>
        <v/>
      </c>
      <c r="S1460" s="79">
        <f>IF(Q1460="Sin Factura","",IFERROR(_xlfn.XLOOKUP(1, (Facturas_Odoo!$D:$D=A1460) * (Facturas_Odoo!$K:$K=I1460), Facturas_Odoo!$L:$L, ""), ""))</f>
        <v/>
      </c>
      <c r="T1460" s="81">
        <f>IF(Q1460="Sin Factura",0,IFERROR(_xlfn.XLOOKUP(1, (Facturas_Odoo!$D:$D=A1460) * (Facturas_Odoo!$K:$K=I1460), Facturas_Odoo!$M:$M, 0), 0))</f>
        <v/>
      </c>
      <c r="U1460" s="79">
        <f>IF(Q1460="Sin Factura",0,IFERROR(_xlfn.XLOOKUP(1, (Facturas_Odoo!$D:$D=A1460) * (Facturas_Odoo!$K:$K=I1460), Facturas_Odoo!$N:$N, 0), 0))</f>
        <v/>
      </c>
      <c r="V1460" s="79">
        <f>IF(Q1460="Sin Factura",0,IFERROR(_xlfn.XLOOKUP(1, (Facturas_Odoo!$D:$D=A1460) * (Facturas_Odoo!$K:$K=I1460), Facturas_Odoo!$O:$O, 0), 0))</f>
        <v/>
      </c>
      <c r="W1460" s="81">
        <f>IF(Q1460="Sin Factura",0,IFERROR(_xlfn.XLOOKUP(1, (Facturas_Odoo!$D:$D=A1460) * (Facturas_Odoo!$K:$K=I1460), Facturas_Odoo!$Q:$Q, 0), 0))</f>
        <v/>
      </c>
      <c r="X1460" s="79">
        <f>IF(OR(Q1460="Sin Factura",Q1460=""),"",IFERROR(INDEX(Pagos_Odoo!$B:$B, MATCH(Q1460, Pagos_Odoo!$I:$I, 0)), "Sin Pago"))</f>
        <v/>
      </c>
      <c r="Y1460" s="79">
        <f>IF(X1460="Sin Pago","",IFERROR(INDEX(Pagos_Odoo!$C:$C, MATCH(X1460, Pagos_Odoo!$B:$B, 0)), ""))</f>
        <v/>
      </c>
      <c r="Z1460" s="80">
        <f>IF(X1460="Sin Pago","",IFERROR(INDEX(Pagos_Odoo!$A:$A, MATCH(X1460, Pagos_Odoo!$B:$B, 0)), ""))</f>
        <v/>
      </c>
      <c r="AA1460" s="79">
        <f>IF(X1460="Sin Pago","",IFERROR(INDEX(Pagos_Odoo!$F:$F, MATCH(X1460, Pagos_Odoo!$B:$B, 0)), ""))</f>
        <v/>
      </c>
      <c r="AB1460" s="81">
        <f>IF(X1460="Sin Pago",0,IFERROR(INDEX(Pagos_Odoo!$E:$E, MATCH(X1460, Pagos_Odoo!$B:$B, 0)), 0))</f>
        <v/>
      </c>
      <c r="AC1460" s="79">
        <f>IF(X1460="Sin Pago","",IFERROR(INDEX(Pagos_Odoo!$G:$G, MATCH(X1460, Pagos_Odoo!$B:$B, 0)), ""))</f>
        <v/>
      </c>
      <c r="AD1460" s="82" t="n">
        <v>0</v>
      </c>
      <c r="AE1460" s="82" t="n"/>
      <c r="AF1460" s="82" t="n"/>
      <c r="AG1460" s="82">
        <f>IF(AN1460="","",AD1460+AE1460+AF1460)</f>
        <v/>
      </c>
      <c r="AH1460" s="81">
        <f>IF(AN1460="","",P1460*(1-AG1460))</f>
        <v/>
      </c>
      <c r="AI1460" s="81">
        <f>IF(AN1460="","",IF(Q1460="Sin Factura",0,IFERROR(INDEX(Facturas_Odoo!$H:$H, MATCH(Q1460, Facturas_Odoo!$B:$B, 0)), 0)*(1-AG1460)))</f>
        <v/>
      </c>
      <c r="AJ1460" s="81">
        <f>IF(AN1460="","",_xlfn.LET(idVenta, AN1460&amp;"",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60" s="81">
        <f>IF(AN1460="","",AH1460-AJ1460)</f>
        <v/>
      </c>
      <c r="AL1460" s="81">
        <f>IF(AN1460="","",IF(Q1460="Sin Factura","",AI1460-AJ1460))</f>
        <v/>
      </c>
      <c r="AM1460" s="81">
        <f>IF(AN1460="","",IF(Q1460="Sin Factura",0,P1460-IFERROR(INDEX(Facturas_Odoo!$H:$H, MATCH(Q1460, Facturas_Odoo!$B:$B, 0)), 0)))</f>
        <v/>
      </c>
      <c r="AN1460" s="79">
        <f>IF(AND(A1460="", J1460=""), "", IF(A1460&lt;&gt;"", VALUE(MID(A1460,2,LEN(A1460))), AN1459))</f>
        <v/>
      </c>
      <c r="AO1460" s="79">
        <f>IF(AN1460="","",IF(AD1460=0,"OK",_xlfn.LET(monedaPago, IF(AA1460="","USD",AA1460), limitePermitido, IFERROR(VLOOKUP(monedaPago, Configuración!$A$2:$B$3, 2, FALSE), 0.15), IF(AD1460&gt;limitePermitido, "ALERTA: EXCESO (" &amp; TEXT(limitePermitido, "0%") &amp; " máx)", "OK"))))</f>
        <v/>
      </c>
      <c r="AP1460" s="79">
        <f>IF(AN1460="","",IF(AE1460=0,"OK",_xlfn.LET(fechaPago, Z1460, fechaFactura, R1460, diasCredito, IF(E1460="Pago inmediato", 0, IFERROR(VALUE(MID(E1460, 1, SEARCH(" ", E1460)-1)),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60" s="79">
        <f>IF(AN1460="","",IF(AND(N1460&gt;0, AG1460&gt;0), IF(Configuración!$K$2="NO", "ALERTA: DESCUENTO DOBLE NO PERMITIDO", "OK"), "OK"))</f>
        <v/>
      </c>
      <c r="AR1460" s="79">
        <f>IF(AN1460="","",IF(OR(AO1460&lt;&gt;"OK", AP1460&lt;&gt;"OK", AQ1460&lt;&gt;"OK"), "⚠️ REVISAR", "OK"))</f>
        <v/>
      </c>
    </row>
    <row r="1461">
      <c r="A1461" s="79">
        <f>IF('Ordenes_Odoo'!A1461="","",'Ordenes_Odoo'!A1461)</f>
        <v/>
      </c>
      <c r="B1461" s="80">
        <f>IF('Ordenes_Odoo'!B1461="","",'Ordenes_Odoo'!B1461)</f>
        <v/>
      </c>
      <c r="C1461" s="79">
        <f>IF('Ordenes_Odoo'!C1461="","",'Ordenes_Odoo'!C1461)</f>
        <v/>
      </c>
      <c r="D1461" s="79">
        <f>IF('Ordenes_Odoo'!D1461="","",'Ordenes_Odoo'!D1461)</f>
        <v/>
      </c>
      <c r="E1461" s="79">
        <f>IF('Ordenes_Odoo'!E1461="","",'Ordenes_Odoo'!E1461)</f>
        <v/>
      </c>
      <c r="F1461" s="79">
        <f>IF('Ordenes_Odoo'!F1461="","",'Ordenes_Odoo'!F1461)</f>
        <v/>
      </c>
      <c r="G1461" s="79">
        <f>IF('Ordenes_Odoo'!G1461="","",'Ordenes_Odoo'!G1461)</f>
        <v/>
      </c>
      <c r="H1461" s="79">
        <f>IF('Ordenes_Odoo'!H1461="","",'Ordenes_Odoo'!H1461)</f>
        <v/>
      </c>
      <c r="I1461" s="79">
        <f>IF('Ordenes_Odoo'!I1461="","",'Ordenes_Odoo'!I1461)</f>
        <v/>
      </c>
      <c r="J1461" s="79">
        <f>IF('Ordenes_Odoo'!J1461="","",'Ordenes_Odoo'!J1461)</f>
        <v/>
      </c>
      <c r="K1461" s="81">
        <f>IF('Ordenes_Odoo'!K1461="","",'Ordenes_Odoo'!K1461)</f>
        <v/>
      </c>
      <c r="L1461" s="81">
        <f>IF('Ordenes_Odoo'!L1461="","",'Ordenes_Odoo'!L1461)</f>
        <v/>
      </c>
      <c r="M1461" s="79">
        <f>IF('Ordenes_Odoo'!M1461="","",'Ordenes_Odoo'!M1461)</f>
        <v/>
      </c>
      <c r="N1461" s="79">
        <f>IF('Ordenes_Odoo'!N1461="","",'Ordenes_Odoo'!N1461)</f>
        <v/>
      </c>
      <c r="O1461" s="81">
        <f>IF('Ordenes_Odoo'!O1461="","",'Ordenes_Odoo'!O1461)</f>
        <v/>
      </c>
      <c r="P1461" s="81">
        <f>IF('Ordenes_Odoo'!P1461="","",'Ordenes_Odoo'!P1461)</f>
        <v/>
      </c>
      <c r="Q1461" s="79">
        <f>IF(A1461="","",IFERROR(INDEX(Facturas_Odoo!$B:$B, MATCH(A1461, Facturas_Odoo!$D:$D, 0)), "Sin Factura"))</f>
        <v/>
      </c>
      <c r="R1461" s="80">
        <f>IF(Q1461="Sin Factura","",IFERROR(INDEX(Facturas_Odoo!$A:$A, MATCH(Q1461, Facturas_Odoo!$B:$B, 0)), ""))</f>
        <v/>
      </c>
      <c r="S1461" s="79">
        <f>IF(Q1461="Sin Factura","",IFERROR(_xlfn.XLOOKUP(1, (Facturas_Odoo!$D:$D=A1461) * (Facturas_Odoo!$K:$K=I1461), Facturas_Odoo!$L:$L, ""), ""))</f>
        <v/>
      </c>
      <c r="T1461" s="81">
        <f>IF(Q1461="Sin Factura",0,IFERROR(_xlfn.XLOOKUP(1, (Facturas_Odoo!$D:$D=A1461) * (Facturas_Odoo!$K:$K=I1461), Facturas_Odoo!$M:$M, 0), 0))</f>
        <v/>
      </c>
      <c r="U1461" s="79">
        <f>IF(Q1461="Sin Factura",0,IFERROR(_xlfn.XLOOKUP(1, (Facturas_Odoo!$D:$D=A1461) * (Facturas_Odoo!$K:$K=I1461), Facturas_Odoo!$N:$N, 0), 0))</f>
        <v/>
      </c>
      <c r="V1461" s="79">
        <f>IF(Q1461="Sin Factura",0,IFERROR(_xlfn.XLOOKUP(1, (Facturas_Odoo!$D:$D=A1461) * (Facturas_Odoo!$K:$K=I1461), Facturas_Odoo!$O:$O, 0), 0))</f>
        <v/>
      </c>
      <c r="W1461" s="81">
        <f>IF(Q1461="Sin Factura",0,IFERROR(_xlfn.XLOOKUP(1, (Facturas_Odoo!$D:$D=A1461) * (Facturas_Odoo!$K:$K=I1461), Facturas_Odoo!$Q:$Q, 0), 0))</f>
        <v/>
      </c>
      <c r="X1461" s="79">
        <f>IF(OR(Q1461="Sin Factura",Q1461=""),"",IFERROR(INDEX(Pagos_Odoo!$B:$B, MATCH(Q1461, Pagos_Odoo!$I:$I, 0)), "Sin Pago"))</f>
        <v/>
      </c>
      <c r="Y1461" s="79">
        <f>IF(X1461="Sin Pago","",IFERROR(INDEX(Pagos_Odoo!$C:$C, MATCH(X1461, Pagos_Odoo!$B:$B, 0)), ""))</f>
        <v/>
      </c>
      <c r="Z1461" s="80">
        <f>IF(X1461="Sin Pago","",IFERROR(INDEX(Pagos_Odoo!$A:$A, MATCH(X1461, Pagos_Odoo!$B:$B, 0)), ""))</f>
        <v/>
      </c>
      <c r="AA1461" s="79">
        <f>IF(X1461="Sin Pago","",IFERROR(INDEX(Pagos_Odoo!$F:$F, MATCH(X1461, Pagos_Odoo!$B:$B, 0)), ""))</f>
        <v/>
      </c>
      <c r="AB1461" s="81">
        <f>IF(X1461="Sin Pago",0,IFERROR(INDEX(Pagos_Odoo!$E:$E, MATCH(X1461, Pagos_Odoo!$B:$B, 0)), 0))</f>
        <v/>
      </c>
      <c r="AC1461" s="79">
        <f>IF(X1461="Sin Pago","",IFERROR(INDEX(Pagos_Odoo!$G:$G, MATCH(X1461, Pagos_Odoo!$B:$B, 0)), ""))</f>
        <v/>
      </c>
      <c r="AD1461" s="82" t="n">
        <v>0</v>
      </c>
      <c r="AE1461" s="82" t="n"/>
      <c r="AF1461" s="82" t="n"/>
      <c r="AG1461" s="82">
        <f>IF(AN1461="","",AD1461+AE1461+AF1461)</f>
        <v/>
      </c>
      <c r="AH1461" s="81">
        <f>IF(AN1461="","",P1461*(1-AG1461))</f>
        <v/>
      </c>
      <c r="AI1461" s="81">
        <f>IF(AN1461="","",IF(Q1461="Sin Factura",0,IFERROR(INDEX(Facturas_Odoo!$H:$H, MATCH(Q1461, Facturas_Odoo!$B:$B, 0)), 0)*(1-AG1461)))</f>
        <v/>
      </c>
      <c r="AJ1461" s="81">
        <f>IF(AN1461="","",_xlfn.LET(idVenta, AN1461&amp;"",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61" s="81">
        <f>IF(AN1461="","",AH1461-AJ1461)</f>
        <v/>
      </c>
      <c r="AL1461" s="81">
        <f>IF(AN1461="","",IF(Q1461="Sin Factura","",AI1461-AJ1461))</f>
        <v/>
      </c>
      <c r="AM1461" s="81">
        <f>IF(AN1461="","",IF(Q1461="Sin Factura",0,P1461-IFERROR(INDEX(Facturas_Odoo!$H:$H, MATCH(Q1461, Facturas_Odoo!$B:$B, 0)), 0)))</f>
        <v/>
      </c>
      <c r="AN1461" s="79">
        <f>IF(AND(A1461="", J1461=""), "", IF(A1461&lt;&gt;"", VALUE(MID(A1461,2,LEN(A1461))), AN1460))</f>
        <v/>
      </c>
      <c r="AO1461" s="79">
        <f>IF(AN1461="","",IF(AD1461=0,"OK",_xlfn.LET(monedaPago, IF(AA1461="","USD",AA1461), limitePermitido, IFERROR(VLOOKUP(monedaPago, Configuración!$A$2:$B$3, 2, FALSE), 0.15), IF(AD1461&gt;limitePermitido, "ALERTA: EXCESO (" &amp; TEXT(limitePermitido, "0%") &amp; " máx)", "OK"))))</f>
        <v/>
      </c>
      <c r="AP1461" s="79">
        <f>IF(AN1461="","",IF(AE1461=0,"OK",_xlfn.LET(fechaPago, Z1461, fechaFactura, R1461, diasCredito, IF(E1461="Pago inmediato", 0, IFERROR(VALUE(MID(E1461, 1, SEARCH(" ", E1461)-1)),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61" s="79">
        <f>IF(AN1461="","",IF(AND(N1461&gt;0, AG1461&gt;0), IF(Configuración!$K$2="NO", "ALERTA: DESCUENTO DOBLE NO PERMITIDO", "OK"), "OK"))</f>
        <v/>
      </c>
      <c r="AR1461" s="79">
        <f>IF(AN1461="","",IF(OR(AO1461&lt;&gt;"OK", AP1461&lt;&gt;"OK", AQ1461&lt;&gt;"OK"), "⚠️ REVISAR", "OK"))</f>
        <v/>
      </c>
    </row>
    <row r="1462">
      <c r="A1462" s="79">
        <f>IF('Ordenes_Odoo'!A1462="","",'Ordenes_Odoo'!A1462)</f>
        <v/>
      </c>
      <c r="B1462" s="80">
        <f>IF('Ordenes_Odoo'!B1462="","",'Ordenes_Odoo'!B1462)</f>
        <v/>
      </c>
      <c r="C1462" s="79">
        <f>IF('Ordenes_Odoo'!C1462="","",'Ordenes_Odoo'!C1462)</f>
        <v/>
      </c>
      <c r="D1462" s="79">
        <f>IF('Ordenes_Odoo'!D1462="","",'Ordenes_Odoo'!D1462)</f>
        <v/>
      </c>
      <c r="E1462" s="79">
        <f>IF('Ordenes_Odoo'!E1462="","",'Ordenes_Odoo'!E1462)</f>
        <v/>
      </c>
      <c r="F1462" s="79">
        <f>IF('Ordenes_Odoo'!F1462="","",'Ordenes_Odoo'!F1462)</f>
        <v/>
      </c>
      <c r="G1462" s="79">
        <f>IF('Ordenes_Odoo'!G1462="","",'Ordenes_Odoo'!G1462)</f>
        <v/>
      </c>
      <c r="H1462" s="79">
        <f>IF('Ordenes_Odoo'!H1462="","",'Ordenes_Odoo'!H1462)</f>
        <v/>
      </c>
      <c r="I1462" s="79">
        <f>IF('Ordenes_Odoo'!I1462="","",'Ordenes_Odoo'!I1462)</f>
        <v/>
      </c>
      <c r="J1462" s="79">
        <f>IF('Ordenes_Odoo'!J1462="","",'Ordenes_Odoo'!J1462)</f>
        <v/>
      </c>
      <c r="K1462" s="81">
        <f>IF('Ordenes_Odoo'!K1462="","",'Ordenes_Odoo'!K1462)</f>
        <v/>
      </c>
      <c r="L1462" s="81">
        <f>IF('Ordenes_Odoo'!L1462="","",'Ordenes_Odoo'!L1462)</f>
        <v/>
      </c>
      <c r="M1462" s="79">
        <f>IF('Ordenes_Odoo'!M1462="","",'Ordenes_Odoo'!M1462)</f>
        <v/>
      </c>
      <c r="N1462" s="79">
        <f>IF('Ordenes_Odoo'!N1462="","",'Ordenes_Odoo'!N1462)</f>
        <v/>
      </c>
      <c r="O1462" s="81">
        <f>IF('Ordenes_Odoo'!O1462="","",'Ordenes_Odoo'!O1462)</f>
        <v/>
      </c>
      <c r="P1462" s="81">
        <f>IF('Ordenes_Odoo'!P1462="","",'Ordenes_Odoo'!P1462)</f>
        <v/>
      </c>
      <c r="Q1462" s="79">
        <f>IF(A1462="","",IFERROR(INDEX(Facturas_Odoo!$B:$B, MATCH(A1462, Facturas_Odoo!$D:$D, 0)), "Sin Factura"))</f>
        <v/>
      </c>
      <c r="R1462" s="80">
        <f>IF(Q1462="Sin Factura","",IFERROR(INDEX(Facturas_Odoo!$A:$A, MATCH(Q1462, Facturas_Odoo!$B:$B, 0)), ""))</f>
        <v/>
      </c>
      <c r="S1462" s="79">
        <f>IF(Q1462="Sin Factura","",IFERROR(_xlfn.XLOOKUP(1, (Facturas_Odoo!$D:$D=A1462) * (Facturas_Odoo!$K:$K=I1462), Facturas_Odoo!$L:$L, ""), ""))</f>
        <v/>
      </c>
      <c r="T1462" s="81">
        <f>IF(Q1462="Sin Factura",0,IFERROR(_xlfn.XLOOKUP(1, (Facturas_Odoo!$D:$D=A1462) * (Facturas_Odoo!$K:$K=I1462), Facturas_Odoo!$M:$M, 0), 0))</f>
        <v/>
      </c>
      <c r="U1462" s="79">
        <f>IF(Q1462="Sin Factura",0,IFERROR(_xlfn.XLOOKUP(1, (Facturas_Odoo!$D:$D=A1462) * (Facturas_Odoo!$K:$K=I1462), Facturas_Odoo!$N:$N, 0), 0))</f>
        <v/>
      </c>
      <c r="V1462" s="79">
        <f>IF(Q1462="Sin Factura",0,IFERROR(_xlfn.XLOOKUP(1, (Facturas_Odoo!$D:$D=A1462) * (Facturas_Odoo!$K:$K=I1462), Facturas_Odoo!$O:$O, 0), 0))</f>
        <v/>
      </c>
      <c r="W1462" s="81">
        <f>IF(Q1462="Sin Factura",0,IFERROR(_xlfn.XLOOKUP(1, (Facturas_Odoo!$D:$D=A1462) * (Facturas_Odoo!$K:$K=I1462), Facturas_Odoo!$Q:$Q, 0), 0))</f>
        <v/>
      </c>
      <c r="X1462" s="79">
        <f>IF(OR(Q1462="Sin Factura",Q1462=""),"",IFERROR(INDEX(Pagos_Odoo!$B:$B, MATCH(Q1462, Pagos_Odoo!$I:$I, 0)), "Sin Pago"))</f>
        <v/>
      </c>
      <c r="Y1462" s="79">
        <f>IF(X1462="Sin Pago","",IFERROR(INDEX(Pagos_Odoo!$C:$C, MATCH(X1462, Pagos_Odoo!$B:$B, 0)), ""))</f>
        <v/>
      </c>
      <c r="Z1462" s="80">
        <f>IF(X1462="Sin Pago","",IFERROR(INDEX(Pagos_Odoo!$A:$A, MATCH(X1462, Pagos_Odoo!$B:$B, 0)), ""))</f>
        <v/>
      </c>
      <c r="AA1462" s="79">
        <f>IF(X1462="Sin Pago","",IFERROR(INDEX(Pagos_Odoo!$F:$F, MATCH(X1462, Pagos_Odoo!$B:$B, 0)), ""))</f>
        <v/>
      </c>
      <c r="AB1462" s="81">
        <f>IF(X1462="Sin Pago",0,IFERROR(INDEX(Pagos_Odoo!$E:$E, MATCH(X1462, Pagos_Odoo!$B:$B, 0)), 0))</f>
        <v/>
      </c>
      <c r="AC1462" s="79">
        <f>IF(X1462="Sin Pago","",IFERROR(INDEX(Pagos_Odoo!$G:$G, MATCH(X1462, Pagos_Odoo!$B:$B, 0)), ""))</f>
        <v/>
      </c>
      <c r="AD1462" s="82" t="n">
        <v>0</v>
      </c>
      <c r="AE1462" s="82" t="n"/>
      <c r="AF1462" s="82" t="n"/>
      <c r="AG1462" s="82">
        <f>IF(AN1462="","",AD1462+AE1462+AF1462)</f>
        <v/>
      </c>
      <c r="AH1462" s="81">
        <f>IF(AN1462="","",P1462*(1-AG1462))</f>
        <v/>
      </c>
      <c r="AI1462" s="81">
        <f>IF(AN1462="","",IF(Q1462="Sin Factura",0,IFERROR(INDEX(Facturas_Odoo!$H:$H, MATCH(Q1462, Facturas_Odoo!$B:$B, 0)), 0)*(1-AG1462)))</f>
        <v/>
      </c>
      <c r="AJ1462" s="81">
        <f>IF(AN1462="","",_xlfn.LET(idVenta, AN1462&amp;"",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62" s="81">
        <f>IF(AN1462="","",AH1462-AJ1462)</f>
        <v/>
      </c>
      <c r="AL1462" s="81">
        <f>IF(AN1462="","",IF(Q1462="Sin Factura","",AI1462-AJ1462))</f>
        <v/>
      </c>
      <c r="AM1462" s="81">
        <f>IF(AN1462="","",IF(Q1462="Sin Factura",0,P1462-IFERROR(INDEX(Facturas_Odoo!$H:$H, MATCH(Q1462, Facturas_Odoo!$B:$B, 0)), 0)))</f>
        <v/>
      </c>
      <c r="AN1462" s="79">
        <f>IF(AND(A1462="", J1462=""), "", IF(A1462&lt;&gt;"", VALUE(MID(A1462,2,LEN(A1462))), AN1461))</f>
        <v/>
      </c>
      <c r="AO1462" s="79">
        <f>IF(AN1462="","",IF(AD1462=0,"OK",_xlfn.LET(monedaPago, IF(AA1462="","USD",AA1462), limitePermitido, IFERROR(VLOOKUP(monedaPago, Configuración!$A$2:$B$3, 2, FALSE), 0.15), IF(AD1462&gt;limitePermitido, "ALERTA: EXCESO (" &amp; TEXT(limitePermitido, "0%") &amp; " máx)", "OK"))))</f>
        <v/>
      </c>
      <c r="AP1462" s="79">
        <f>IF(AN1462="","",IF(AE1462=0,"OK",_xlfn.LET(fechaPago, Z1462, fechaFactura, R1462, diasCredito, IF(E1462="Pago inmediato", 0, IFERROR(VALUE(MID(E1462, 1, SEARCH(" ", E1462)-1)),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62" s="79">
        <f>IF(AN1462="","",IF(AND(N1462&gt;0, AG1462&gt;0), IF(Configuración!$K$2="NO", "ALERTA: DESCUENTO DOBLE NO PERMITIDO", "OK"), "OK"))</f>
        <v/>
      </c>
      <c r="AR1462" s="79">
        <f>IF(AN1462="","",IF(OR(AO1462&lt;&gt;"OK", AP1462&lt;&gt;"OK", AQ1462&lt;&gt;"OK"), "⚠️ REVISAR", "OK"))</f>
        <v/>
      </c>
    </row>
    <row r="1463">
      <c r="A1463" s="79">
        <f>IF('Ordenes_Odoo'!A1463="","",'Ordenes_Odoo'!A1463)</f>
        <v/>
      </c>
      <c r="B1463" s="80">
        <f>IF('Ordenes_Odoo'!B1463="","",'Ordenes_Odoo'!B1463)</f>
        <v/>
      </c>
      <c r="C1463" s="79">
        <f>IF('Ordenes_Odoo'!C1463="","",'Ordenes_Odoo'!C1463)</f>
        <v/>
      </c>
      <c r="D1463" s="79">
        <f>IF('Ordenes_Odoo'!D1463="","",'Ordenes_Odoo'!D1463)</f>
        <v/>
      </c>
      <c r="E1463" s="79">
        <f>IF('Ordenes_Odoo'!E1463="","",'Ordenes_Odoo'!E1463)</f>
        <v/>
      </c>
      <c r="F1463" s="79">
        <f>IF('Ordenes_Odoo'!F1463="","",'Ordenes_Odoo'!F1463)</f>
        <v/>
      </c>
      <c r="G1463" s="79">
        <f>IF('Ordenes_Odoo'!G1463="","",'Ordenes_Odoo'!G1463)</f>
        <v/>
      </c>
      <c r="H1463" s="79">
        <f>IF('Ordenes_Odoo'!H1463="","",'Ordenes_Odoo'!H1463)</f>
        <v/>
      </c>
      <c r="I1463" s="79">
        <f>IF('Ordenes_Odoo'!I1463="","",'Ordenes_Odoo'!I1463)</f>
        <v/>
      </c>
      <c r="J1463" s="79">
        <f>IF('Ordenes_Odoo'!J1463="","",'Ordenes_Odoo'!J1463)</f>
        <v/>
      </c>
      <c r="K1463" s="81">
        <f>IF('Ordenes_Odoo'!K1463="","",'Ordenes_Odoo'!K1463)</f>
        <v/>
      </c>
      <c r="L1463" s="81">
        <f>IF('Ordenes_Odoo'!L1463="","",'Ordenes_Odoo'!L1463)</f>
        <v/>
      </c>
      <c r="M1463" s="79">
        <f>IF('Ordenes_Odoo'!M1463="","",'Ordenes_Odoo'!M1463)</f>
        <v/>
      </c>
      <c r="N1463" s="79">
        <f>IF('Ordenes_Odoo'!N1463="","",'Ordenes_Odoo'!N1463)</f>
        <v/>
      </c>
      <c r="O1463" s="81">
        <f>IF('Ordenes_Odoo'!O1463="","",'Ordenes_Odoo'!O1463)</f>
        <v/>
      </c>
      <c r="P1463" s="81">
        <f>IF('Ordenes_Odoo'!P1463="","",'Ordenes_Odoo'!P1463)</f>
        <v/>
      </c>
      <c r="Q1463" s="79">
        <f>IF(A1463="","",IFERROR(INDEX(Facturas_Odoo!$B:$B, MATCH(A1463, Facturas_Odoo!$D:$D, 0)), "Sin Factura"))</f>
        <v/>
      </c>
      <c r="R1463" s="80">
        <f>IF(Q1463="Sin Factura","",IFERROR(INDEX(Facturas_Odoo!$A:$A, MATCH(Q1463, Facturas_Odoo!$B:$B, 0)), ""))</f>
        <v/>
      </c>
      <c r="S1463" s="79">
        <f>IF(Q1463="Sin Factura","",IFERROR(_xlfn.XLOOKUP(1, (Facturas_Odoo!$D:$D=A1463) * (Facturas_Odoo!$K:$K=I1463), Facturas_Odoo!$L:$L, ""), ""))</f>
        <v/>
      </c>
      <c r="T1463" s="81">
        <f>IF(Q1463="Sin Factura",0,IFERROR(_xlfn.XLOOKUP(1, (Facturas_Odoo!$D:$D=A1463) * (Facturas_Odoo!$K:$K=I1463), Facturas_Odoo!$M:$M, 0), 0))</f>
        <v/>
      </c>
      <c r="U1463" s="79">
        <f>IF(Q1463="Sin Factura",0,IFERROR(_xlfn.XLOOKUP(1, (Facturas_Odoo!$D:$D=A1463) * (Facturas_Odoo!$K:$K=I1463), Facturas_Odoo!$N:$N, 0), 0))</f>
        <v/>
      </c>
      <c r="V1463" s="79">
        <f>IF(Q1463="Sin Factura",0,IFERROR(_xlfn.XLOOKUP(1, (Facturas_Odoo!$D:$D=A1463) * (Facturas_Odoo!$K:$K=I1463), Facturas_Odoo!$O:$O, 0), 0))</f>
        <v/>
      </c>
      <c r="W1463" s="81">
        <f>IF(Q1463="Sin Factura",0,IFERROR(_xlfn.XLOOKUP(1, (Facturas_Odoo!$D:$D=A1463) * (Facturas_Odoo!$K:$K=I1463), Facturas_Odoo!$Q:$Q, 0), 0))</f>
        <v/>
      </c>
      <c r="X1463" s="79">
        <f>IF(OR(Q1463="Sin Factura",Q1463=""),"",IFERROR(INDEX(Pagos_Odoo!$B:$B, MATCH(Q1463, Pagos_Odoo!$I:$I, 0)), "Sin Pago"))</f>
        <v/>
      </c>
      <c r="Y1463" s="79">
        <f>IF(X1463="Sin Pago","",IFERROR(INDEX(Pagos_Odoo!$C:$C, MATCH(X1463, Pagos_Odoo!$B:$B, 0)), ""))</f>
        <v/>
      </c>
      <c r="Z1463" s="80">
        <f>IF(X1463="Sin Pago","",IFERROR(INDEX(Pagos_Odoo!$A:$A, MATCH(X1463, Pagos_Odoo!$B:$B, 0)), ""))</f>
        <v/>
      </c>
      <c r="AA1463" s="79">
        <f>IF(X1463="Sin Pago","",IFERROR(INDEX(Pagos_Odoo!$F:$F, MATCH(X1463, Pagos_Odoo!$B:$B, 0)), ""))</f>
        <v/>
      </c>
      <c r="AB1463" s="81">
        <f>IF(X1463="Sin Pago",0,IFERROR(INDEX(Pagos_Odoo!$E:$E, MATCH(X1463, Pagos_Odoo!$B:$B, 0)), 0))</f>
        <v/>
      </c>
      <c r="AC1463" s="79">
        <f>IF(X1463="Sin Pago","",IFERROR(INDEX(Pagos_Odoo!$G:$G, MATCH(X1463, Pagos_Odoo!$B:$B, 0)), ""))</f>
        <v/>
      </c>
      <c r="AD1463" s="82" t="n">
        <v>0</v>
      </c>
      <c r="AE1463" s="82" t="n"/>
      <c r="AF1463" s="82" t="n"/>
      <c r="AG1463" s="82">
        <f>IF(AN1463="","",AD1463+AE1463+AF1463)</f>
        <v/>
      </c>
      <c r="AH1463" s="81">
        <f>IF(AN1463="","",P1463*(1-AG1463))</f>
        <v/>
      </c>
      <c r="AI1463" s="81">
        <f>IF(AN1463="","",IF(Q1463="Sin Factura",0,IFERROR(INDEX(Facturas_Odoo!$H:$H, MATCH(Q1463, Facturas_Odoo!$B:$B, 0)), 0)*(1-AG1463)))</f>
        <v/>
      </c>
      <c r="AJ1463" s="81">
        <f>IF(AN1463="","",_xlfn.LET(idVenta, AN1463&amp;"",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63" s="81">
        <f>IF(AN1463="","",AH1463-AJ1463)</f>
        <v/>
      </c>
      <c r="AL1463" s="81">
        <f>IF(AN1463="","",IF(Q1463="Sin Factura","",AI1463-AJ1463))</f>
        <v/>
      </c>
      <c r="AM1463" s="81">
        <f>IF(AN1463="","",IF(Q1463="Sin Factura",0,P1463-IFERROR(INDEX(Facturas_Odoo!$H:$H, MATCH(Q1463, Facturas_Odoo!$B:$B, 0)), 0)))</f>
        <v/>
      </c>
      <c r="AN1463" s="79">
        <f>IF(AND(A1463="", J1463=""), "", IF(A1463&lt;&gt;"", VALUE(MID(A1463,2,LEN(A1463))), AN1462))</f>
        <v/>
      </c>
      <c r="AO1463" s="79">
        <f>IF(AN1463="","",IF(AD1463=0,"OK",_xlfn.LET(monedaPago, IF(AA1463="","USD",AA1463), limitePermitido, IFERROR(VLOOKUP(monedaPago, Configuración!$A$2:$B$3, 2, FALSE), 0.15), IF(AD1463&gt;limitePermitido, "ALERTA: EXCESO (" &amp; TEXT(limitePermitido, "0%") &amp; " máx)", "OK"))))</f>
        <v/>
      </c>
      <c r="AP1463" s="79">
        <f>IF(AN1463="","",IF(AE1463=0,"OK",_xlfn.LET(fechaPago, Z1463, fechaFactura, R1463, diasCredito, IF(E1463="Pago inmediato", 0, IFERROR(VALUE(MID(E1463, 1, SEARCH(" ", E1463)-1)),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63" s="79">
        <f>IF(AN1463="","",IF(AND(N1463&gt;0, AG1463&gt;0), IF(Configuración!$K$2="NO", "ALERTA: DESCUENTO DOBLE NO PERMITIDO", "OK"), "OK"))</f>
        <v/>
      </c>
      <c r="AR1463" s="79">
        <f>IF(AN1463="","",IF(OR(AO1463&lt;&gt;"OK", AP1463&lt;&gt;"OK", AQ1463&lt;&gt;"OK"), "⚠️ REVISAR", "OK"))</f>
        <v/>
      </c>
    </row>
    <row r="1464">
      <c r="A1464" s="79">
        <f>IF('Ordenes_Odoo'!A1464="","",'Ordenes_Odoo'!A1464)</f>
        <v/>
      </c>
      <c r="B1464" s="80">
        <f>IF('Ordenes_Odoo'!B1464="","",'Ordenes_Odoo'!B1464)</f>
        <v/>
      </c>
      <c r="C1464" s="79">
        <f>IF('Ordenes_Odoo'!C1464="","",'Ordenes_Odoo'!C1464)</f>
        <v/>
      </c>
      <c r="D1464" s="79">
        <f>IF('Ordenes_Odoo'!D1464="","",'Ordenes_Odoo'!D1464)</f>
        <v/>
      </c>
      <c r="E1464" s="79">
        <f>IF('Ordenes_Odoo'!E1464="","",'Ordenes_Odoo'!E1464)</f>
        <v/>
      </c>
      <c r="F1464" s="79">
        <f>IF('Ordenes_Odoo'!F1464="","",'Ordenes_Odoo'!F1464)</f>
        <v/>
      </c>
      <c r="G1464" s="79">
        <f>IF('Ordenes_Odoo'!G1464="","",'Ordenes_Odoo'!G1464)</f>
        <v/>
      </c>
      <c r="H1464" s="79">
        <f>IF('Ordenes_Odoo'!H1464="","",'Ordenes_Odoo'!H1464)</f>
        <v/>
      </c>
      <c r="I1464" s="79">
        <f>IF('Ordenes_Odoo'!I1464="","",'Ordenes_Odoo'!I1464)</f>
        <v/>
      </c>
      <c r="J1464" s="79">
        <f>IF('Ordenes_Odoo'!J1464="","",'Ordenes_Odoo'!J1464)</f>
        <v/>
      </c>
      <c r="K1464" s="81">
        <f>IF('Ordenes_Odoo'!K1464="","",'Ordenes_Odoo'!K1464)</f>
        <v/>
      </c>
      <c r="L1464" s="81">
        <f>IF('Ordenes_Odoo'!L1464="","",'Ordenes_Odoo'!L1464)</f>
        <v/>
      </c>
      <c r="M1464" s="79">
        <f>IF('Ordenes_Odoo'!M1464="","",'Ordenes_Odoo'!M1464)</f>
        <v/>
      </c>
      <c r="N1464" s="79">
        <f>IF('Ordenes_Odoo'!N1464="","",'Ordenes_Odoo'!N1464)</f>
        <v/>
      </c>
      <c r="O1464" s="81">
        <f>IF('Ordenes_Odoo'!O1464="","",'Ordenes_Odoo'!O1464)</f>
        <v/>
      </c>
      <c r="P1464" s="81">
        <f>IF('Ordenes_Odoo'!P1464="","",'Ordenes_Odoo'!P1464)</f>
        <v/>
      </c>
      <c r="Q1464" s="79">
        <f>IF(A1464="","",IFERROR(INDEX(Facturas_Odoo!$B:$B, MATCH(A1464, Facturas_Odoo!$D:$D, 0)), "Sin Factura"))</f>
        <v/>
      </c>
      <c r="R1464" s="80">
        <f>IF(Q1464="Sin Factura","",IFERROR(INDEX(Facturas_Odoo!$A:$A, MATCH(Q1464, Facturas_Odoo!$B:$B, 0)), ""))</f>
        <v/>
      </c>
      <c r="S1464" s="79">
        <f>IF(Q1464="Sin Factura","",IFERROR(_xlfn.XLOOKUP(1, (Facturas_Odoo!$D:$D=A1464) * (Facturas_Odoo!$K:$K=I1464), Facturas_Odoo!$L:$L, ""), ""))</f>
        <v/>
      </c>
      <c r="T1464" s="81">
        <f>IF(Q1464="Sin Factura",0,IFERROR(_xlfn.XLOOKUP(1, (Facturas_Odoo!$D:$D=A1464) * (Facturas_Odoo!$K:$K=I1464), Facturas_Odoo!$M:$M, 0), 0))</f>
        <v/>
      </c>
      <c r="U1464" s="79">
        <f>IF(Q1464="Sin Factura",0,IFERROR(_xlfn.XLOOKUP(1, (Facturas_Odoo!$D:$D=A1464) * (Facturas_Odoo!$K:$K=I1464), Facturas_Odoo!$N:$N, 0), 0))</f>
        <v/>
      </c>
      <c r="V1464" s="79">
        <f>IF(Q1464="Sin Factura",0,IFERROR(_xlfn.XLOOKUP(1, (Facturas_Odoo!$D:$D=A1464) * (Facturas_Odoo!$K:$K=I1464), Facturas_Odoo!$O:$O, 0), 0))</f>
        <v/>
      </c>
      <c r="W1464" s="81">
        <f>IF(Q1464="Sin Factura",0,IFERROR(_xlfn.XLOOKUP(1, (Facturas_Odoo!$D:$D=A1464) * (Facturas_Odoo!$K:$K=I1464), Facturas_Odoo!$Q:$Q, 0), 0))</f>
        <v/>
      </c>
      <c r="X1464" s="79">
        <f>IF(OR(Q1464="Sin Factura",Q1464=""),"",IFERROR(INDEX(Pagos_Odoo!$B:$B, MATCH(Q1464, Pagos_Odoo!$I:$I, 0)), "Sin Pago"))</f>
        <v/>
      </c>
      <c r="Y1464" s="79">
        <f>IF(X1464="Sin Pago","",IFERROR(INDEX(Pagos_Odoo!$C:$C, MATCH(X1464, Pagos_Odoo!$B:$B, 0)), ""))</f>
        <v/>
      </c>
      <c r="Z1464" s="80">
        <f>IF(X1464="Sin Pago","",IFERROR(INDEX(Pagos_Odoo!$A:$A, MATCH(X1464, Pagos_Odoo!$B:$B, 0)), ""))</f>
        <v/>
      </c>
      <c r="AA1464" s="79">
        <f>IF(X1464="Sin Pago","",IFERROR(INDEX(Pagos_Odoo!$F:$F, MATCH(X1464, Pagos_Odoo!$B:$B, 0)), ""))</f>
        <v/>
      </c>
      <c r="AB1464" s="81">
        <f>IF(X1464="Sin Pago",0,IFERROR(INDEX(Pagos_Odoo!$E:$E, MATCH(X1464, Pagos_Odoo!$B:$B, 0)), 0))</f>
        <v/>
      </c>
      <c r="AC1464" s="79">
        <f>IF(X1464="Sin Pago","",IFERROR(INDEX(Pagos_Odoo!$G:$G, MATCH(X1464, Pagos_Odoo!$B:$B, 0)), ""))</f>
        <v/>
      </c>
      <c r="AD1464" s="82" t="n">
        <v>0</v>
      </c>
      <c r="AE1464" s="82" t="n"/>
      <c r="AF1464" s="82" t="n"/>
      <c r="AG1464" s="82">
        <f>IF(AN1464="","",AD1464+AE1464+AF1464)</f>
        <v/>
      </c>
      <c r="AH1464" s="81">
        <f>IF(AN1464="","",P1464*(1-AG1464))</f>
        <v/>
      </c>
      <c r="AI1464" s="81">
        <f>IF(AN1464="","",IF(Q1464="Sin Factura",0,IFERROR(INDEX(Facturas_Odoo!$H:$H, MATCH(Q1464, Facturas_Odoo!$B:$B, 0)), 0)*(1-AG1464)))</f>
        <v/>
      </c>
      <c r="AJ1464" s="81">
        <f>IF(AN1464="","",_xlfn.LET(idVenta, AN1464&amp;"",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64" s="81">
        <f>IF(AN1464="","",AH1464-AJ1464)</f>
        <v/>
      </c>
      <c r="AL1464" s="81">
        <f>IF(AN1464="","",IF(Q1464="Sin Factura","",AI1464-AJ1464))</f>
        <v/>
      </c>
      <c r="AM1464" s="81">
        <f>IF(AN1464="","",IF(Q1464="Sin Factura",0,P1464-IFERROR(INDEX(Facturas_Odoo!$H:$H, MATCH(Q1464, Facturas_Odoo!$B:$B, 0)), 0)))</f>
        <v/>
      </c>
      <c r="AN1464" s="79">
        <f>IF(AND(A1464="", J1464=""), "", IF(A1464&lt;&gt;"", VALUE(MID(A1464,2,LEN(A1464))), AN1463))</f>
        <v/>
      </c>
      <c r="AO1464" s="79">
        <f>IF(AN1464="","",IF(AD1464=0,"OK",_xlfn.LET(monedaPago, IF(AA1464="","USD",AA1464), limitePermitido, IFERROR(VLOOKUP(monedaPago, Configuración!$A$2:$B$3, 2, FALSE), 0.15), IF(AD1464&gt;limitePermitido, "ALERTA: EXCESO (" &amp; TEXT(limitePermitido, "0%") &amp; " máx)", "OK"))))</f>
        <v/>
      </c>
      <c r="AP1464" s="79">
        <f>IF(AN1464="","",IF(AE1464=0,"OK",_xlfn.LET(fechaPago, Z1464, fechaFactura, R1464, diasCredito, IF(E1464="Pago inmediato", 0, IFERROR(VALUE(MID(E1464, 1, SEARCH(" ", E1464)-1)),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64" s="79">
        <f>IF(AN1464="","",IF(AND(N1464&gt;0, AG1464&gt;0), IF(Configuración!$K$2="NO", "ALERTA: DESCUENTO DOBLE NO PERMITIDO", "OK"), "OK"))</f>
        <v/>
      </c>
      <c r="AR1464" s="79">
        <f>IF(AN1464="","",IF(OR(AO1464&lt;&gt;"OK", AP1464&lt;&gt;"OK", AQ1464&lt;&gt;"OK"), "⚠️ REVISAR", "OK"))</f>
        <v/>
      </c>
    </row>
    <row r="1465">
      <c r="A1465" s="79">
        <f>IF('Ordenes_Odoo'!A1465="","",'Ordenes_Odoo'!A1465)</f>
        <v/>
      </c>
      <c r="B1465" s="80">
        <f>IF('Ordenes_Odoo'!B1465="","",'Ordenes_Odoo'!B1465)</f>
        <v/>
      </c>
      <c r="C1465" s="79">
        <f>IF('Ordenes_Odoo'!C1465="","",'Ordenes_Odoo'!C1465)</f>
        <v/>
      </c>
      <c r="D1465" s="79">
        <f>IF('Ordenes_Odoo'!D1465="","",'Ordenes_Odoo'!D1465)</f>
        <v/>
      </c>
      <c r="E1465" s="79">
        <f>IF('Ordenes_Odoo'!E1465="","",'Ordenes_Odoo'!E1465)</f>
        <v/>
      </c>
      <c r="F1465" s="79">
        <f>IF('Ordenes_Odoo'!F1465="","",'Ordenes_Odoo'!F1465)</f>
        <v/>
      </c>
      <c r="G1465" s="79">
        <f>IF('Ordenes_Odoo'!G1465="","",'Ordenes_Odoo'!G1465)</f>
        <v/>
      </c>
      <c r="H1465" s="79">
        <f>IF('Ordenes_Odoo'!H1465="","",'Ordenes_Odoo'!H1465)</f>
        <v/>
      </c>
      <c r="I1465" s="79">
        <f>IF('Ordenes_Odoo'!I1465="","",'Ordenes_Odoo'!I1465)</f>
        <v/>
      </c>
      <c r="J1465" s="79">
        <f>IF('Ordenes_Odoo'!J1465="","",'Ordenes_Odoo'!J1465)</f>
        <v/>
      </c>
      <c r="K1465" s="81">
        <f>IF('Ordenes_Odoo'!K1465="","",'Ordenes_Odoo'!K1465)</f>
        <v/>
      </c>
      <c r="L1465" s="81">
        <f>IF('Ordenes_Odoo'!L1465="","",'Ordenes_Odoo'!L1465)</f>
        <v/>
      </c>
      <c r="M1465" s="79">
        <f>IF('Ordenes_Odoo'!M1465="","",'Ordenes_Odoo'!M1465)</f>
        <v/>
      </c>
      <c r="N1465" s="79">
        <f>IF('Ordenes_Odoo'!N1465="","",'Ordenes_Odoo'!N1465)</f>
        <v/>
      </c>
      <c r="O1465" s="81">
        <f>IF('Ordenes_Odoo'!O1465="","",'Ordenes_Odoo'!O1465)</f>
        <v/>
      </c>
      <c r="P1465" s="81">
        <f>IF('Ordenes_Odoo'!P1465="","",'Ordenes_Odoo'!P1465)</f>
        <v/>
      </c>
      <c r="Q1465" s="79">
        <f>IF(A1465="","",IFERROR(INDEX(Facturas_Odoo!$B:$B, MATCH(A1465, Facturas_Odoo!$D:$D, 0)), "Sin Factura"))</f>
        <v/>
      </c>
      <c r="R1465" s="80">
        <f>IF(Q1465="Sin Factura","",IFERROR(INDEX(Facturas_Odoo!$A:$A, MATCH(Q1465, Facturas_Odoo!$B:$B, 0)), ""))</f>
        <v/>
      </c>
      <c r="S1465" s="79">
        <f>IF(Q1465="Sin Factura","",IFERROR(_xlfn.XLOOKUP(1, (Facturas_Odoo!$D:$D=A1465) * (Facturas_Odoo!$K:$K=I1465), Facturas_Odoo!$L:$L, ""), ""))</f>
        <v/>
      </c>
      <c r="T1465" s="81">
        <f>IF(Q1465="Sin Factura",0,IFERROR(_xlfn.XLOOKUP(1, (Facturas_Odoo!$D:$D=A1465) * (Facturas_Odoo!$K:$K=I1465), Facturas_Odoo!$M:$M, 0), 0))</f>
        <v/>
      </c>
      <c r="U1465" s="79">
        <f>IF(Q1465="Sin Factura",0,IFERROR(_xlfn.XLOOKUP(1, (Facturas_Odoo!$D:$D=A1465) * (Facturas_Odoo!$K:$K=I1465), Facturas_Odoo!$N:$N, 0), 0))</f>
        <v/>
      </c>
      <c r="V1465" s="79">
        <f>IF(Q1465="Sin Factura",0,IFERROR(_xlfn.XLOOKUP(1, (Facturas_Odoo!$D:$D=A1465) * (Facturas_Odoo!$K:$K=I1465), Facturas_Odoo!$O:$O, 0), 0))</f>
        <v/>
      </c>
      <c r="W1465" s="81">
        <f>IF(Q1465="Sin Factura",0,IFERROR(_xlfn.XLOOKUP(1, (Facturas_Odoo!$D:$D=A1465) * (Facturas_Odoo!$K:$K=I1465), Facturas_Odoo!$Q:$Q, 0), 0))</f>
        <v/>
      </c>
      <c r="X1465" s="79">
        <f>IF(OR(Q1465="Sin Factura",Q1465=""),"",IFERROR(INDEX(Pagos_Odoo!$B:$B, MATCH(Q1465, Pagos_Odoo!$I:$I, 0)), "Sin Pago"))</f>
        <v/>
      </c>
      <c r="Y1465" s="79">
        <f>IF(X1465="Sin Pago","",IFERROR(INDEX(Pagos_Odoo!$C:$C, MATCH(X1465, Pagos_Odoo!$B:$B, 0)), ""))</f>
        <v/>
      </c>
      <c r="Z1465" s="80">
        <f>IF(X1465="Sin Pago","",IFERROR(INDEX(Pagos_Odoo!$A:$A, MATCH(X1465, Pagos_Odoo!$B:$B, 0)), ""))</f>
        <v/>
      </c>
      <c r="AA1465" s="79">
        <f>IF(X1465="Sin Pago","",IFERROR(INDEX(Pagos_Odoo!$F:$F, MATCH(X1465, Pagos_Odoo!$B:$B, 0)), ""))</f>
        <v/>
      </c>
      <c r="AB1465" s="81">
        <f>IF(X1465="Sin Pago",0,IFERROR(INDEX(Pagos_Odoo!$E:$E, MATCH(X1465, Pagos_Odoo!$B:$B, 0)), 0))</f>
        <v/>
      </c>
      <c r="AC1465" s="79">
        <f>IF(X1465="Sin Pago","",IFERROR(INDEX(Pagos_Odoo!$G:$G, MATCH(X1465, Pagos_Odoo!$B:$B, 0)), ""))</f>
        <v/>
      </c>
      <c r="AD1465" s="82" t="n">
        <v>0</v>
      </c>
      <c r="AE1465" s="82" t="n"/>
      <c r="AF1465" s="82" t="n"/>
      <c r="AG1465" s="82">
        <f>IF(AN1465="","",AD1465+AE1465+AF1465)</f>
        <v/>
      </c>
      <c r="AH1465" s="81">
        <f>IF(AN1465="","",P1465*(1-AG1465))</f>
        <v/>
      </c>
      <c r="AI1465" s="81">
        <f>IF(AN1465="","",IF(Q1465="Sin Factura",0,IFERROR(INDEX(Facturas_Odoo!$H:$H, MATCH(Q1465, Facturas_Odoo!$B:$B, 0)), 0)*(1-AG1465)))</f>
        <v/>
      </c>
      <c r="AJ1465" s="81">
        <f>IF(AN1465="","",_xlfn.LET(idVenta, AN1465&amp;"",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65" s="81">
        <f>IF(AN1465="","",AH1465-AJ1465)</f>
        <v/>
      </c>
      <c r="AL1465" s="81">
        <f>IF(AN1465="","",IF(Q1465="Sin Factura","",AI1465-AJ1465))</f>
        <v/>
      </c>
      <c r="AM1465" s="81">
        <f>IF(AN1465="","",IF(Q1465="Sin Factura",0,P1465-IFERROR(INDEX(Facturas_Odoo!$H:$H, MATCH(Q1465, Facturas_Odoo!$B:$B, 0)), 0)))</f>
        <v/>
      </c>
      <c r="AN1465" s="79">
        <f>IF(AND(A1465="", J1465=""), "", IF(A1465&lt;&gt;"", VALUE(MID(A1465,2,LEN(A1465))), AN1464))</f>
        <v/>
      </c>
      <c r="AO1465" s="79">
        <f>IF(AN1465="","",IF(AD1465=0,"OK",_xlfn.LET(monedaPago, IF(AA1465="","USD",AA1465), limitePermitido, IFERROR(VLOOKUP(monedaPago, Configuración!$A$2:$B$3, 2, FALSE), 0.15), IF(AD1465&gt;limitePermitido, "ALERTA: EXCESO (" &amp; TEXT(limitePermitido, "0%") &amp; " máx)", "OK"))))</f>
        <v/>
      </c>
      <c r="AP1465" s="79">
        <f>IF(AN1465="","",IF(AE1465=0,"OK",_xlfn.LET(fechaPago, Z1465, fechaFactura, R1465, diasCredito, IF(E1465="Pago inmediato", 0, IFERROR(VALUE(MID(E1465, 1, SEARCH(" ", E1465)-1)),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65" s="79">
        <f>IF(AN1465="","",IF(AND(N1465&gt;0, AG1465&gt;0), IF(Configuración!$K$2="NO", "ALERTA: DESCUENTO DOBLE NO PERMITIDO", "OK"), "OK"))</f>
        <v/>
      </c>
      <c r="AR1465" s="79">
        <f>IF(AN1465="","",IF(OR(AO1465&lt;&gt;"OK", AP1465&lt;&gt;"OK", AQ1465&lt;&gt;"OK"), "⚠️ REVISAR", "OK"))</f>
        <v/>
      </c>
    </row>
    <row r="1466">
      <c r="A1466" s="79">
        <f>IF('Ordenes_Odoo'!A1466="","",'Ordenes_Odoo'!A1466)</f>
        <v/>
      </c>
      <c r="B1466" s="80">
        <f>IF('Ordenes_Odoo'!B1466="","",'Ordenes_Odoo'!B1466)</f>
        <v/>
      </c>
      <c r="C1466" s="79">
        <f>IF('Ordenes_Odoo'!C1466="","",'Ordenes_Odoo'!C1466)</f>
        <v/>
      </c>
      <c r="D1466" s="79">
        <f>IF('Ordenes_Odoo'!D1466="","",'Ordenes_Odoo'!D1466)</f>
        <v/>
      </c>
      <c r="E1466" s="79">
        <f>IF('Ordenes_Odoo'!E1466="","",'Ordenes_Odoo'!E1466)</f>
        <v/>
      </c>
      <c r="F1466" s="79">
        <f>IF('Ordenes_Odoo'!F1466="","",'Ordenes_Odoo'!F1466)</f>
        <v/>
      </c>
      <c r="G1466" s="79">
        <f>IF('Ordenes_Odoo'!G1466="","",'Ordenes_Odoo'!G1466)</f>
        <v/>
      </c>
      <c r="H1466" s="79">
        <f>IF('Ordenes_Odoo'!H1466="","",'Ordenes_Odoo'!H1466)</f>
        <v/>
      </c>
      <c r="I1466" s="79">
        <f>IF('Ordenes_Odoo'!I1466="","",'Ordenes_Odoo'!I1466)</f>
        <v/>
      </c>
      <c r="J1466" s="79">
        <f>IF('Ordenes_Odoo'!J1466="","",'Ordenes_Odoo'!J1466)</f>
        <v/>
      </c>
      <c r="K1466" s="81">
        <f>IF('Ordenes_Odoo'!K1466="","",'Ordenes_Odoo'!K1466)</f>
        <v/>
      </c>
      <c r="L1466" s="81">
        <f>IF('Ordenes_Odoo'!L1466="","",'Ordenes_Odoo'!L1466)</f>
        <v/>
      </c>
      <c r="M1466" s="79">
        <f>IF('Ordenes_Odoo'!M1466="","",'Ordenes_Odoo'!M1466)</f>
        <v/>
      </c>
      <c r="N1466" s="79">
        <f>IF('Ordenes_Odoo'!N1466="","",'Ordenes_Odoo'!N1466)</f>
        <v/>
      </c>
      <c r="O1466" s="81">
        <f>IF('Ordenes_Odoo'!O1466="","",'Ordenes_Odoo'!O1466)</f>
        <v/>
      </c>
      <c r="P1466" s="81">
        <f>IF('Ordenes_Odoo'!P1466="","",'Ordenes_Odoo'!P1466)</f>
        <v/>
      </c>
      <c r="Q1466" s="79">
        <f>IF(A1466="","",IFERROR(INDEX(Facturas_Odoo!$B:$B, MATCH(A1466, Facturas_Odoo!$D:$D, 0)), "Sin Factura"))</f>
        <v/>
      </c>
      <c r="R1466" s="80">
        <f>IF(Q1466="Sin Factura","",IFERROR(INDEX(Facturas_Odoo!$A:$A, MATCH(Q1466, Facturas_Odoo!$B:$B, 0)), ""))</f>
        <v/>
      </c>
      <c r="S1466" s="79">
        <f>IF(Q1466="Sin Factura","",IFERROR(_xlfn.XLOOKUP(1, (Facturas_Odoo!$D:$D=A1466) * (Facturas_Odoo!$K:$K=I1466), Facturas_Odoo!$L:$L, ""), ""))</f>
        <v/>
      </c>
      <c r="T1466" s="81">
        <f>IF(Q1466="Sin Factura",0,IFERROR(_xlfn.XLOOKUP(1, (Facturas_Odoo!$D:$D=A1466) * (Facturas_Odoo!$K:$K=I1466), Facturas_Odoo!$M:$M, 0), 0))</f>
        <v/>
      </c>
      <c r="U1466" s="79">
        <f>IF(Q1466="Sin Factura",0,IFERROR(_xlfn.XLOOKUP(1, (Facturas_Odoo!$D:$D=A1466) * (Facturas_Odoo!$K:$K=I1466), Facturas_Odoo!$N:$N, 0), 0))</f>
        <v/>
      </c>
      <c r="V1466" s="79">
        <f>IF(Q1466="Sin Factura",0,IFERROR(_xlfn.XLOOKUP(1, (Facturas_Odoo!$D:$D=A1466) * (Facturas_Odoo!$K:$K=I1466), Facturas_Odoo!$O:$O, 0), 0))</f>
        <v/>
      </c>
      <c r="W1466" s="81">
        <f>IF(Q1466="Sin Factura",0,IFERROR(_xlfn.XLOOKUP(1, (Facturas_Odoo!$D:$D=A1466) * (Facturas_Odoo!$K:$K=I1466), Facturas_Odoo!$Q:$Q, 0), 0))</f>
        <v/>
      </c>
      <c r="X1466" s="79">
        <f>IF(OR(Q1466="Sin Factura",Q1466=""),"",IFERROR(INDEX(Pagos_Odoo!$B:$B, MATCH(Q1466, Pagos_Odoo!$I:$I, 0)), "Sin Pago"))</f>
        <v/>
      </c>
      <c r="Y1466" s="79">
        <f>IF(X1466="Sin Pago","",IFERROR(INDEX(Pagos_Odoo!$C:$C, MATCH(X1466, Pagos_Odoo!$B:$B, 0)), ""))</f>
        <v/>
      </c>
      <c r="Z1466" s="80">
        <f>IF(X1466="Sin Pago","",IFERROR(INDEX(Pagos_Odoo!$A:$A, MATCH(X1466, Pagos_Odoo!$B:$B, 0)), ""))</f>
        <v/>
      </c>
      <c r="AA1466" s="79">
        <f>IF(X1466="Sin Pago","",IFERROR(INDEX(Pagos_Odoo!$F:$F, MATCH(X1466, Pagos_Odoo!$B:$B, 0)), ""))</f>
        <v/>
      </c>
      <c r="AB1466" s="81">
        <f>IF(X1466="Sin Pago",0,IFERROR(INDEX(Pagos_Odoo!$E:$E, MATCH(X1466, Pagos_Odoo!$B:$B, 0)), 0))</f>
        <v/>
      </c>
      <c r="AC1466" s="79">
        <f>IF(X1466="Sin Pago","",IFERROR(INDEX(Pagos_Odoo!$G:$G, MATCH(X1466, Pagos_Odoo!$B:$B, 0)), ""))</f>
        <v/>
      </c>
      <c r="AD1466" s="82" t="n">
        <v>0</v>
      </c>
      <c r="AE1466" s="82" t="n"/>
      <c r="AF1466" s="82" t="n"/>
      <c r="AG1466" s="82">
        <f>IF(AN1466="","",AD1466+AE1466+AF1466)</f>
        <v/>
      </c>
      <c r="AH1466" s="81">
        <f>IF(AN1466="","",P1466*(1-AG1466))</f>
        <v/>
      </c>
      <c r="AI1466" s="81">
        <f>IF(AN1466="","",IF(Q1466="Sin Factura",0,IFERROR(INDEX(Facturas_Odoo!$H:$H, MATCH(Q1466, Facturas_Odoo!$B:$B, 0)), 0)*(1-AG1466)))</f>
        <v/>
      </c>
      <c r="AJ1466" s="81">
        <f>IF(AN1466="","",_xlfn.LET(idVenta, AN1466&amp;"",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66" s="81">
        <f>IF(AN1466="","",AH1466-AJ1466)</f>
        <v/>
      </c>
      <c r="AL1466" s="81">
        <f>IF(AN1466="","",IF(Q1466="Sin Factura","",AI1466-AJ1466))</f>
        <v/>
      </c>
      <c r="AM1466" s="81">
        <f>IF(AN1466="","",IF(Q1466="Sin Factura",0,P1466-IFERROR(INDEX(Facturas_Odoo!$H:$H, MATCH(Q1466, Facturas_Odoo!$B:$B, 0)), 0)))</f>
        <v/>
      </c>
      <c r="AN1466" s="79">
        <f>IF(AND(A1466="", J1466=""), "", IF(A1466&lt;&gt;"", VALUE(MID(A1466,2,LEN(A1466))), AN1465))</f>
        <v/>
      </c>
      <c r="AO1466" s="79">
        <f>IF(AN1466="","",IF(AD1466=0,"OK",_xlfn.LET(monedaPago, IF(AA1466="","USD",AA1466), limitePermitido, IFERROR(VLOOKUP(monedaPago, Configuración!$A$2:$B$3, 2, FALSE), 0.15), IF(AD1466&gt;limitePermitido, "ALERTA: EXCESO (" &amp; TEXT(limitePermitido, "0%") &amp; " máx)", "OK"))))</f>
        <v/>
      </c>
      <c r="AP1466" s="79">
        <f>IF(AN1466="","",IF(AE1466=0,"OK",_xlfn.LET(fechaPago, Z1466, fechaFactura, R1466, diasCredito, IF(E1466="Pago inmediato", 0, IFERROR(VALUE(MID(E1466, 1, SEARCH(" ", E1466)-1)),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66" s="79">
        <f>IF(AN1466="","",IF(AND(N1466&gt;0, AG1466&gt;0), IF(Configuración!$K$2="NO", "ALERTA: DESCUENTO DOBLE NO PERMITIDO", "OK"), "OK"))</f>
        <v/>
      </c>
      <c r="AR1466" s="79">
        <f>IF(AN1466="","",IF(OR(AO1466&lt;&gt;"OK", AP1466&lt;&gt;"OK", AQ1466&lt;&gt;"OK"), "⚠️ REVISAR", "OK"))</f>
        <v/>
      </c>
    </row>
    <row r="1467">
      <c r="A1467" s="79">
        <f>IF('Ordenes_Odoo'!A1467="","",'Ordenes_Odoo'!A1467)</f>
        <v/>
      </c>
      <c r="B1467" s="80">
        <f>IF('Ordenes_Odoo'!B1467="","",'Ordenes_Odoo'!B1467)</f>
        <v/>
      </c>
      <c r="C1467" s="79">
        <f>IF('Ordenes_Odoo'!C1467="","",'Ordenes_Odoo'!C1467)</f>
        <v/>
      </c>
      <c r="D1467" s="79">
        <f>IF('Ordenes_Odoo'!D1467="","",'Ordenes_Odoo'!D1467)</f>
        <v/>
      </c>
      <c r="E1467" s="79">
        <f>IF('Ordenes_Odoo'!E1467="","",'Ordenes_Odoo'!E1467)</f>
        <v/>
      </c>
      <c r="F1467" s="79">
        <f>IF('Ordenes_Odoo'!F1467="","",'Ordenes_Odoo'!F1467)</f>
        <v/>
      </c>
      <c r="G1467" s="79">
        <f>IF('Ordenes_Odoo'!G1467="","",'Ordenes_Odoo'!G1467)</f>
        <v/>
      </c>
      <c r="H1467" s="79">
        <f>IF('Ordenes_Odoo'!H1467="","",'Ordenes_Odoo'!H1467)</f>
        <v/>
      </c>
      <c r="I1467" s="79">
        <f>IF('Ordenes_Odoo'!I1467="","",'Ordenes_Odoo'!I1467)</f>
        <v/>
      </c>
      <c r="J1467" s="79">
        <f>IF('Ordenes_Odoo'!J1467="","",'Ordenes_Odoo'!J1467)</f>
        <v/>
      </c>
      <c r="K1467" s="81">
        <f>IF('Ordenes_Odoo'!K1467="","",'Ordenes_Odoo'!K1467)</f>
        <v/>
      </c>
      <c r="L1467" s="81">
        <f>IF('Ordenes_Odoo'!L1467="","",'Ordenes_Odoo'!L1467)</f>
        <v/>
      </c>
      <c r="M1467" s="79">
        <f>IF('Ordenes_Odoo'!M1467="","",'Ordenes_Odoo'!M1467)</f>
        <v/>
      </c>
      <c r="N1467" s="79">
        <f>IF('Ordenes_Odoo'!N1467="","",'Ordenes_Odoo'!N1467)</f>
        <v/>
      </c>
      <c r="O1467" s="81">
        <f>IF('Ordenes_Odoo'!O1467="","",'Ordenes_Odoo'!O1467)</f>
        <v/>
      </c>
      <c r="P1467" s="81">
        <f>IF('Ordenes_Odoo'!P1467="","",'Ordenes_Odoo'!P1467)</f>
        <v/>
      </c>
      <c r="Q1467" s="79">
        <f>IF(A1467="","",IFERROR(INDEX(Facturas_Odoo!$B:$B, MATCH(A1467, Facturas_Odoo!$D:$D, 0)), "Sin Factura"))</f>
        <v/>
      </c>
      <c r="R1467" s="80">
        <f>IF(Q1467="Sin Factura","",IFERROR(INDEX(Facturas_Odoo!$A:$A, MATCH(Q1467, Facturas_Odoo!$B:$B, 0)), ""))</f>
        <v/>
      </c>
      <c r="S1467" s="79">
        <f>IF(Q1467="Sin Factura","",IFERROR(_xlfn.XLOOKUP(1, (Facturas_Odoo!$D:$D=A1467) * (Facturas_Odoo!$K:$K=I1467), Facturas_Odoo!$L:$L, ""), ""))</f>
        <v/>
      </c>
      <c r="T1467" s="81">
        <f>IF(Q1467="Sin Factura",0,IFERROR(_xlfn.XLOOKUP(1, (Facturas_Odoo!$D:$D=A1467) * (Facturas_Odoo!$K:$K=I1467), Facturas_Odoo!$M:$M, 0), 0))</f>
        <v/>
      </c>
      <c r="U1467" s="79">
        <f>IF(Q1467="Sin Factura",0,IFERROR(_xlfn.XLOOKUP(1, (Facturas_Odoo!$D:$D=A1467) * (Facturas_Odoo!$K:$K=I1467), Facturas_Odoo!$N:$N, 0), 0))</f>
        <v/>
      </c>
      <c r="V1467" s="79">
        <f>IF(Q1467="Sin Factura",0,IFERROR(_xlfn.XLOOKUP(1, (Facturas_Odoo!$D:$D=A1467) * (Facturas_Odoo!$K:$K=I1467), Facturas_Odoo!$O:$O, 0), 0))</f>
        <v/>
      </c>
      <c r="W1467" s="81">
        <f>IF(Q1467="Sin Factura",0,IFERROR(_xlfn.XLOOKUP(1, (Facturas_Odoo!$D:$D=A1467) * (Facturas_Odoo!$K:$K=I1467), Facturas_Odoo!$Q:$Q, 0), 0))</f>
        <v/>
      </c>
      <c r="X1467" s="79">
        <f>IF(OR(Q1467="Sin Factura",Q1467=""),"",IFERROR(INDEX(Pagos_Odoo!$B:$B, MATCH(Q1467, Pagos_Odoo!$I:$I, 0)), "Sin Pago"))</f>
        <v/>
      </c>
      <c r="Y1467" s="79">
        <f>IF(X1467="Sin Pago","",IFERROR(INDEX(Pagos_Odoo!$C:$C, MATCH(X1467, Pagos_Odoo!$B:$B, 0)), ""))</f>
        <v/>
      </c>
      <c r="Z1467" s="80">
        <f>IF(X1467="Sin Pago","",IFERROR(INDEX(Pagos_Odoo!$A:$A, MATCH(X1467, Pagos_Odoo!$B:$B, 0)), ""))</f>
        <v/>
      </c>
      <c r="AA1467" s="79">
        <f>IF(X1467="Sin Pago","",IFERROR(INDEX(Pagos_Odoo!$F:$F, MATCH(X1467, Pagos_Odoo!$B:$B, 0)), ""))</f>
        <v/>
      </c>
      <c r="AB1467" s="81">
        <f>IF(X1467="Sin Pago",0,IFERROR(INDEX(Pagos_Odoo!$E:$E, MATCH(X1467, Pagos_Odoo!$B:$B, 0)), 0))</f>
        <v/>
      </c>
      <c r="AC1467" s="79">
        <f>IF(X1467="Sin Pago","",IFERROR(INDEX(Pagos_Odoo!$G:$G, MATCH(X1467, Pagos_Odoo!$B:$B, 0)), ""))</f>
        <v/>
      </c>
      <c r="AD1467" s="82" t="n">
        <v>0</v>
      </c>
      <c r="AE1467" s="82" t="n"/>
      <c r="AF1467" s="82" t="n"/>
      <c r="AG1467" s="82">
        <f>IF(AN1467="","",AD1467+AE1467+AF1467)</f>
        <v/>
      </c>
      <c r="AH1467" s="81">
        <f>IF(AN1467="","",P1467*(1-AG1467))</f>
        <v/>
      </c>
      <c r="AI1467" s="81">
        <f>IF(AN1467="","",IF(Q1467="Sin Factura",0,IFERROR(INDEX(Facturas_Odoo!$H:$H, MATCH(Q1467, Facturas_Odoo!$B:$B, 0)), 0)*(1-AG1467)))</f>
        <v/>
      </c>
      <c r="AJ1467" s="81">
        <f>IF(AN1467="","",_xlfn.LET(idVenta, AN1467&amp;"",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67" s="81">
        <f>IF(AN1467="","",AH1467-AJ1467)</f>
        <v/>
      </c>
      <c r="AL1467" s="81">
        <f>IF(AN1467="","",IF(Q1467="Sin Factura","",AI1467-AJ1467))</f>
        <v/>
      </c>
      <c r="AM1467" s="81">
        <f>IF(AN1467="","",IF(Q1467="Sin Factura",0,P1467-IFERROR(INDEX(Facturas_Odoo!$H:$H, MATCH(Q1467, Facturas_Odoo!$B:$B, 0)), 0)))</f>
        <v/>
      </c>
      <c r="AN1467" s="79">
        <f>IF(AND(A1467="", J1467=""), "", IF(A1467&lt;&gt;"", VALUE(MID(A1467,2,LEN(A1467))), AN1466))</f>
        <v/>
      </c>
      <c r="AO1467" s="79">
        <f>IF(AN1467="","",IF(AD1467=0,"OK",_xlfn.LET(monedaPago, IF(AA1467="","USD",AA1467), limitePermitido, IFERROR(VLOOKUP(monedaPago, Configuración!$A$2:$B$3, 2, FALSE), 0.15), IF(AD1467&gt;limitePermitido, "ALERTA: EXCESO (" &amp; TEXT(limitePermitido, "0%") &amp; " máx)", "OK"))))</f>
        <v/>
      </c>
      <c r="AP1467" s="79">
        <f>IF(AN1467="","",IF(AE1467=0,"OK",_xlfn.LET(fechaPago, Z1467, fechaFactura, R1467, diasCredito, IF(E1467="Pago inmediato", 0, IFERROR(VALUE(MID(E1467, 1, SEARCH(" ", E1467)-1)),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67" s="79">
        <f>IF(AN1467="","",IF(AND(N1467&gt;0, AG1467&gt;0), IF(Configuración!$K$2="NO", "ALERTA: DESCUENTO DOBLE NO PERMITIDO", "OK"), "OK"))</f>
        <v/>
      </c>
      <c r="AR1467" s="79">
        <f>IF(AN1467="","",IF(OR(AO1467&lt;&gt;"OK", AP1467&lt;&gt;"OK", AQ1467&lt;&gt;"OK"), "⚠️ REVISAR", "OK"))</f>
        <v/>
      </c>
    </row>
    <row r="1468">
      <c r="A1468" s="79">
        <f>IF('Ordenes_Odoo'!A1468="","",'Ordenes_Odoo'!A1468)</f>
        <v/>
      </c>
      <c r="B1468" s="80">
        <f>IF('Ordenes_Odoo'!B1468="","",'Ordenes_Odoo'!B1468)</f>
        <v/>
      </c>
      <c r="C1468" s="79">
        <f>IF('Ordenes_Odoo'!C1468="","",'Ordenes_Odoo'!C1468)</f>
        <v/>
      </c>
      <c r="D1468" s="79">
        <f>IF('Ordenes_Odoo'!D1468="","",'Ordenes_Odoo'!D1468)</f>
        <v/>
      </c>
      <c r="E1468" s="79">
        <f>IF('Ordenes_Odoo'!E1468="","",'Ordenes_Odoo'!E1468)</f>
        <v/>
      </c>
      <c r="F1468" s="79">
        <f>IF('Ordenes_Odoo'!F1468="","",'Ordenes_Odoo'!F1468)</f>
        <v/>
      </c>
      <c r="G1468" s="79">
        <f>IF('Ordenes_Odoo'!G1468="","",'Ordenes_Odoo'!G1468)</f>
        <v/>
      </c>
      <c r="H1468" s="79">
        <f>IF('Ordenes_Odoo'!H1468="","",'Ordenes_Odoo'!H1468)</f>
        <v/>
      </c>
      <c r="I1468" s="79">
        <f>IF('Ordenes_Odoo'!I1468="","",'Ordenes_Odoo'!I1468)</f>
        <v/>
      </c>
      <c r="J1468" s="79">
        <f>IF('Ordenes_Odoo'!J1468="","",'Ordenes_Odoo'!J1468)</f>
        <v/>
      </c>
      <c r="K1468" s="81">
        <f>IF('Ordenes_Odoo'!K1468="","",'Ordenes_Odoo'!K1468)</f>
        <v/>
      </c>
      <c r="L1468" s="81">
        <f>IF('Ordenes_Odoo'!L1468="","",'Ordenes_Odoo'!L1468)</f>
        <v/>
      </c>
      <c r="M1468" s="79">
        <f>IF('Ordenes_Odoo'!M1468="","",'Ordenes_Odoo'!M1468)</f>
        <v/>
      </c>
      <c r="N1468" s="79">
        <f>IF('Ordenes_Odoo'!N1468="","",'Ordenes_Odoo'!N1468)</f>
        <v/>
      </c>
      <c r="O1468" s="81">
        <f>IF('Ordenes_Odoo'!O1468="","",'Ordenes_Odoo'!O1468)</f>
        <v/>
      </c>
      <c r="P1468" s="81">
        <f>IF('Ordenes_Odoo'!P1468="","",'Ordenes_Odoo'!P1468)</f>
        <v/>
      </c>
      <c r="Q1468" s="79">
        <f>IF(A1468="","",IFERROR(INDEX(Facturas_Odoo!$B:$B, MATCH(A1468, Facturas_Odoo!$D:$D, 0)), "Sin Factura"))</f>
        <v/>
      </c>
      <c r="R1468" s="80">
        <f>IF(Q1468="Sin Factura","",IFERROR(INDEX(Facturas_Odoo!$A:$A, MATCH(Q1468, Facturas_Odoo!$B:$B, 0)), ""))</f>
        <v/>
      </c>
      <c r="S1468" s="79">
        <f>IF(Q1468="Sin Factura","",IFERROR(_xlfn.XLOOKUP(1, (Facturas_Odoo!$D:$D=A1468) * (Facturas_Odoo!$K:$K=I1468), Facturas_Odoo!$L:$L, ""), ""))</f>
        <v/>
      </c>
      <c r="T1468" s="81">
        <f>IF(Q1468="Sin Factura",0,IFERROR(_xlfn.XLOOKUP(1, (Facturas_Odoo!$D:$D=A1468) * (Facturas_Odoo!$K:$K=I1468), Facturas_Odoo!$M:$M, 0), 0))</f>
        <v/>
      </c>
      <c r="U1468" s="79">
        <f>IF(Q1468="Sin Factura",0,IFERROR(_xlfn.XLOOKUP(1, (Facturas_Odoo!$D:$D=A1468) * (Facturas_Odoo!$K:$K=I1468), Facturas_Odoo!$N:$N, 0), 0))</f>
        <v/>
      </c>
      <c r="V1468" s="79">
        <f>IF(Q1468="Sin Factura",0,IFERROR(_xlfn.XLOOKUP(1, (Facturas_Odoo!$D:$D=A1468) * (Facturas_Odoo!$K:$K=I1468), Facturas_Odoo!$O:$O, 0), 0))</f>
        <v/>
      </c>
      <c r="W1468" s="81">
        <f>IF(Q1468="Sin Factura",0,IFERROR(_xlfn.XLOOKUP(1, (Facturas_Odoo!$D:$D=A1468) * (Facturas_Odoo!$K:$K=I1468), Facturas_Odoo!$Q:$Q, 0), 0))</f>
        <v/>
      </c>
      <c r="X1468" s="79">
        <f>IF(OR(Q1468="Sin Factura",Q1468=""),"",IFERROR(INDEX(Pagos_Odoo!$B:$B, MATCH(Q1468, Pagos_Odoo!$I:$I, 0)), "Sin Pago"))</f>
        <v/>
      </c>
      <c r="Y1468" s="79">
        <f>IF(X1468="Sin Pago","",IFERROR(INDEX(Pagos_Odoo!$C:$C, MATCH(X1468, Pagos_Odoo!$B:$B, 0)), ""))</f>
        <v/>
      </c>
      <c r="Z1468" s="80">
        <f>IF(X1468="Sin Pago","",IFERROR(INDEX(Pagos_Odoo!$A:$A, MATCH(X1468, Pagos_Odoo!$B:$B, 0)), ""))</f>
        <v/>
      </c>
      <c r="AA1468" s="79">
        <f>IF(X1468="Sin Pago","",IFERROR(INDEX(Pagos_Odoo!$F:$F, MATCH(X1468, Pagos_Odoo!$B:$B, 0)), ""))</f>
        <v/>
      </c>
      <c r="AB1468" s="81">
        <f>IF(X1468="Sin Pago",0,IFERROR(INDEX(Pagos_Odoo!$E:$E, MATCH(X1468, Pagos_Odoo!$B:$B, 0)), 0))</f>
        <v/>
      </c>
      <c r="AC1468" s="79">
        <f>IF(X1468="Sin Pago","",IFERROR(INDEX(Pagos_Odoo!$G:$G, MATCH(X1468, Pagos_Odoo!$B:$B, 0)), ""))</f>
        <v/>
      </c>
      <c r="AD1468" s="82" t="n">
        <v>0</v>
      </c>
      <c r="AE1468" s="82" t="n"/>
      <c r="AF1468" s="82" t="n"/>
      <c r="AG1468" s="82">
        <f>IF(AN1468="","",AD1468+AE1468+AF1468)</f>
        <v/>
      </c>
      <c r="AH1468" s="81">
        <f>IF(AN1468="","",P1468*(1-AG1468))</f>
        <v/>
      </c>
      <c r="AI1468" s="81">
        <f>IF(AN1468="","",IF(Q1468="Sin Factura",0,IFERROR(INDEX(Facturas_Odoo!$H:$H, MATCH(Q1468, Facturas_Odoo!$B:$B, 0)), 0)*(1-AG1468)))</f>
        <v/>
      </c>
      <c r="AJ1468" s="81">
        <f>IF(AN1468="","",_xlfn.LET(idVenta, AN1468&amp;"",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68" s="81">
        <f>IF(AN1468="","",AH1468-AJ1468)</f>
        <v/>
      </c>
      <c r="AL1468" s="81">
        <f>IF(AN1468="","",IF(Q1468="Sin Factura","",AI1468-AJ1468))</f>
        <v/>
      </c>
      <c r="AM1468" s="81">
        <f>IF(AN1468="","",IF(Q1468="Sin Factura",0,P1468-IFERROR(INDEX(Facturas_Odoo!$H:$H, MATCH(Q1468, Facturas_Odoo!$B:$B, 0)), 0)))</f>
        <v/>
      </c>
      <c r="AN1468" s="79">
        <f>IF(AND(A1468="", J1468=""), "", IF(A1468&lt;&gt;"", VALUE(MID(A1468,2,LEN(A1468))), AN1467))</f>
        <v/>
      </c>
      <c r="AO1468" s="79">
        <f>IF(AN1468="","",IF(AD1468=0,"OK",_xlfn.LET(monedaPago, IF(AA1468="","USD",AA1468), limitePermitido, IFERROR(VLOOKUP(monedaPago, Configuración!$A$2:$B$3, 2, FALSE), 0.15), IF(AD1468&gt;limitePermitido, "ALERTA: EXCESO (" &amp; TEXT(limitePermitido, "0%") &amp; " máx)", "OK"))))</f>
        <v/>
      </c>
      <c r="AP1468" s="79">
        <f>IF(AN1468="","",IF(AE1468=0,"OK",_xlfn.LET(fechaPago, Z1468, fechaFactura, R1468, diasCredito, IF(E1468="Pago inmediato", 0, IFERROR(VALUE(MID(E1468, 1, SEARCH(" ", E1468)-1)),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68" s="79">
        <f>IF(AN1468="","",IF(AND(N1468&gt;0, AG1468&gt;0), IF(Configuración!$K$2="NO", "ALERTA: DESCUENTO DOBLE NO PERMITIDO", "OK"), "OK"))</f>
        <v/>
      </c>
      <c r="AR1468" s="79">
        <f>IF(AN1468="","",IF(OR(AO1468&lt;&gt;"OK", AP1468&lt;&gt;"OK", AQ1468&lt;&gt;"OK"), "⚠️ REVISAR", "OK"))</f>
        <v/>
      </c>
    </row>
    <row r="1469">
      <c r="A1469" s="79">
        <f>IF('Ordenes_Odoo'!A1469="","",'Ordenes_Odoo'!A1469)</f>
        <v/>
      </c>
      <c r="B1469" s="80">
        <f>IF('Ordenes_Odoo'!B1469="","",'Ordenes_Odoo'!B1469)</f>
        <v/>
      </c>
      <c r="C1469" s="79">
        <f>IF('Ordenes_Odoo'!C1469="","",'Ordenes_Odoo'!C1469)</f>
        <v/>
      </c>
      <c r="D1469" s="79">
        <f>IF('Ordenes_Odoo'!D1469="","",'Ordenes_Odoo'!D1469)</f>
        <v/>
      </c>
      <c r="E1469" s="79">
        <f>IF('Ordenes_Odoo'!E1469="","",'Ordenes_Odoo'!E1469)</f>
        <v/>
      </c>
      <c r="F1469" s="79">
        <f>IF('Ordenes_Odoo'!F1469="","",'Ordenes_Odoo'!F1469)</f>
        <v/>
      </c>
      <c r="G1469" s="79">
        <f>IF('Ordenes_Odoo'!G1469="","",'Ordenes_Odoo'!G1469)</f>
        <v/>
      </c>
      <c r="H1469" s="79">
        <f>IF('Ordenes_Odoo'!H1469="","",'Ordenes_Odoo'!H1469)</f>
        <v/>
      </c>
      <c r="I1469" s="79">
        <f>IF('Ordenes_Odoo'!I1469="","",'Ordenes_Odoo'!I1469)</f>
        <v/>
      </c>
      <c r="J1469" s="79">
        <f>IF('Ordenes_Odoo'!J1469="","",'Ordenes_Odoo'!J1469)</f>
        <v/>
      </c>
      <c r="K1469" s="81">
        <f>IF('Ordenes_Odoo'!K1469="","",'Ordenes_Odoo'!K1469)</f>
        <v/>
      </c>
      <c r="L1469" s="81">
        <f>IF('Ordenes_Odoo'!L1469="","",'Ordenes_Odoo'!L1469)</f>
        <v/>
      </c>
      <c r="M1469" s="79">
        <f>IF('Ordenes_Odoo'!M1469="","",'Ordenes_Odoo'!M1469)</f>
        <v/>
      </c>
      <c r="N1469" s="79">
        <f>IF('Ordenes_Odoo'!N1469="","",'Ordenes_Odoo'!N1469)</f>
        <v/>
      </c>
      <c r="O1469" s="81">
        <f>IF('Ordenes_Odoo'!O1469="","",'Ordenes_Odoo'!O1469)</f>
        <v/>
      </c>
      <c r="P1469" s="81">
        <f>IF('Ordenes_Odoo'!P1469="","",'Ordenes_Odoo'!P1469)</f>
        <v/>
      </c>
      <c r="Q1469" s="79">
        <f>IF(A1469="","",IFERROR(INDEX(Facturas_Odoo!$B:$B, MATCH(A1469, Facturas_Odoo!$D:$D, 0)), "Sin Factura"))</f>
        <v/>
      </c>
      <c r="R1469" s="80">
        <f>IF(Q1469="Sin Factura","",IFERROR(INDEX(Facturas_Odoo!$A:$A, MATCH(Q1469, Facturas_Odoo!$B:$B, 0)), ""))</f>
        <v/>
      </c>
      <c r="S1469" s="79">
        <f>IF(Q1469="Sin Factura","",IFERROR(_xlfn.XLOOKUP(1, (Facturas_Odoo!$D:$D=A1469) * (Facturas_Odoo!$K:$K=I1469), Facturas_Odoo!$L:$L, ""), ""))</f>
        <v/>
      </c>
      <c r="T1469" s="81">
        <f>IF(Q1469="Sin Factura",0,IFERROR(_xlfn.XLOOKUP(1, (Facturas_Odoo!$D:$D=A1469) * (Facturas_Odoo!$K:$K=I1469), Facturas_Odoo!$M:$M, 0), 0))</f>
        <v/>
      </c>
      <c r="U1469" s="79">
        <f>IF(Q1469="Sin Factura",0,IFERROR(_xlfn.XLOOKUP(1, (Facturas_Odoo!$D:$D=A1469) * (Facturas_Odoo!$K:$K=I1469), Facturas_Odoo!$N:$N, 0), 0))</f>
        <v/>
      </c>
      <c r="V1469" s="79">
        <f>IF(Q1469="Sin Factura",0,IFERROR(_xlfn.XLOOKUP(1, (Facturas_Odoo!$D:$D=A1469) * (Facturas_Odoo!$K:$K=I1469), Facturas_Odoo!$O:$O, 0), 0))</f>
        <v/>
      </c>
      <c r="W1469" s="81">
        <f>IF(Q1469="Sin Factura",0,IFERROR(_xlfn.XLOOKUP(1, (Facturas_Odoo!$D:$D=A1469) * (Facturas_Odoo!$K:$K=I1469), Facturas_Odoo!$Q:$Q, 0), 0))</f>
        <v/>
      </c>
      <c r="X1469" s="79">
        <f>IF(OR(Q1469="Sin Factura",Q1469=""),"",IFERROR(INDEX(Pagos_Odoo!$B:$B, MATCH(Q1469, Pagos_Odoo!$I:$I, 0)), "Sin Pago"))</f>
        <v/>
      </c>
      <c r="Y1469" s="79">
        <f>IF(X1469="Sin Pago","",IFERROR(INDEX(Pagos_Odoo!$C:$C, MATCH(X1469, Pagos_Odoo!$B:$B, 0)), ""))</f>
        <v/>
      </c>
      <c r="Z1469" s="80">
        <f>IF(X1469="Sin Pago","",IFERROR(INDEX(Pagos_Odoo!$A:$A, MATCH(X1469, Pagos_Odoo!$B:$B, 0)), ""))</f>
        <v/>
      </c>
      <c r="AA1469" s="79">
        <f>IF(X1469="Sin Pago","",IFERROR(INDEX(Pagos_Odoo!$F:$F, MATCH(X1469, Pagos_Odoo!$B:$B, 0)), ""))</f>
        <v/>
      </c>
      <c r="AB1469" s="81">
        <f>IF(X1469="Sin Pago",0,IFERROR(INDEX(Pagos_Odoo!$E:$E, MATCH(X1469, Pagos_Odoo!$B:$B, 0)), 0))</f>
        <v/>
      </c>
      <c r="AC1469" s="79">
        <f>IF(X1469="Sin Pago","",IFERROR(INDEX(Pagos_Odoo!$G:$G, MATCH(X1469, Pagos_Odoo!$B:$B, 0)), ""))</f>
        <v/>
      </c>
      <c r="AD1469" s="82" t="n">
        <v>0</v>
      </c>
      <c r="AE1469" s="82" t="n"/>
      <c r="AF1469" s="82" t="n"/>
      <c r="AG1469" s="82">
        <f>IF(AN1469="","",AD1469+AE1469+AF1469)</f>
        <v/>
      </c>
      <c r="AH1469" s="81">
        <f>IF(AN1469="","",P1469*(1-AG1469))</f>
        <v/>
      </c>
      <c r="AI1469" s="81">
        <f>IF(AN1469="","",IF(Q1469="Sin Factura",0,IFERROR(INDEX(Facturas_Odoo!$H:$H, MATCH(Q1469, Facturas_Odoo!$B:$B, 0)), 0)*(1-AG1469)))</f>
        <v/>
      </c>
      <c r="AJ1469" s="81">
        <f>IF(AN1469="","",_xlfn.LET(idVenta, AN1469&amp;"",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69" s="81">
        <f>IF(AN1469="","",AH1469-AJ1469)</f>
        <v/>
      </c>
      <c r="AL1469" s="81">
        <f>IF(AN1469="","",IF(Q1469="Sin Factura","",AI1469-AJ1469))</f>
        <v/>
      </c>
      <c r="AM1469" s="81">
        <f>IF(AN1469="","",IF(Q1469="Sin Factura",0,P1469-IFERROR(INDEX(Facturas_Odoo!$H:$H, MATCH(Q1469, Facturas_Odoo!$B:$B, 0)), 0)))</f>
        <v/>
      </c>
      <c r="AN1469" s="79">
        <f>IF(AND(A1469="", J1469=""), "", IF(A1469&lt;&gt;"", VALUE(MID(A1469,2,LEN(A1469))), AN1468))</f>
        <v/>
      </c>
      <c r="AO1469" s="79">
        <f>IF(AN1469="","",IF(AD1469=0,"OK",_xlfn.LET(monedaPago, IF(AA1469="","USD",AA1469), limitePermitido, IFERROR(VLOOKUP(monedaPago, Configuración!$A$2:$B$3, 2, FALSE), 0.15), IF(AD1469&gt;limitePermitido, "ALERTA: EXCESO (" &amp; TEXT(limitePermitido, "0%") &amp; " máx)", "OK"))))</f>
        <v/>
      </c>
      <c r="AP1469" s="79">
        <f>IF(AN1469="","",IF(AE1469=0,"OK",_xlfn.LET(fechaPago, Z1469, fechaFactura, R1469, diasCredito, IF(E1469="Pago inmediato", 0, IFERROR(VALUE(MID(E1469, 1, SEARCH(" ", E1469)-1)),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69" s="79">
        <f>IF(AN1469="","",IF(AND(N1469&gt;0, AG1469&gt;0), IF(Configuración!$K$2="NO", "ALERTA: DESCUENTO DOBLE NO PERMITIDO", "OK"), "OK"))</f>
        <v/>
      </c>
      <c r="AR1469" s="79">
        <f>IF(AN1469="","",IF(OR(AO1469&lt;&gt;"OK", AP1469&lt;&gt;"OK", AQ1469&lt;&gt;"OK"), "⚠️ REVISAR", "OK"))</f>
        <v/>
      </c>
    </row>
    <row r="1470">
      <c r="A1470" s="79">
        <f>IF('Ordenes_Odoo'!A1470="","",'Ordenes_Odoo'!A1470)</f>
        <v/>
      </c>
      <c r="B1470" s="80">
        <f>IF('Ordenes_Odoo'!B1470="","",'Ordenes_Odoo'!B1470)</f>
        <v/>
      </c>
      <c r="C1470" s="79">
        <f>IF('Ordenes_Odoo'!C1470="","",'Ordenes_Odoo'!C1470)</f>
        <v/>
      </c>
      <c r="D1470" s="79">
        <f>IF('Ordenes_Odoo'!D1470="","",'Ordenes_Odoo'!D1470)</f>
        <v/>
      </c>
      <c r="E1470" s="79">
        <f>IF('Ordenes_Odoo'!E1470="","",'Ordenes_Odoo'!E1470)</f>
        <v/>
      </c>
      <c r="F1470" s="79">
        <f>IF('Ordenes_Odoo'!F1470="","",'Ordenes_Odoo'!F1470)</f>
        <v/>
      </c>
      <c r="G1470" s="79">
        <f>IF('Ordenes_Odoo'!G1470="","",'Ordenes_Odoo'!G1470)</f>
        <v/>
      </c>
      <c r="H1470" s="79">
        <f>IF('Ordenes_Odoo'!H1470="","",'Ordenes_Odoo'!H1470)</f>
        <v/>
      </c>
      <c r="I1470" s="79">
        <f>IF('Ordenes_Odoo'!I1470="","",'Ordenes_Odoo'!I1470)</f>
        <v/>
      </c>
      <c r="J1470" s="79">
        <f>IF('Ordenes_Odoo'!J1470="","",'Ordenes_Odoo'!J1470)</f>
        <v/>
      </c>
      <c r="K1470" s="81">
        <f>IF('Ordenes_Odoo'!K1470="","",'Ordenes_Odoo'!K1470)</f>
        <v/>
      </c>
      <c r="L1470" s="81">
        <f>IF('Ordenes_Odoo'!L1470="","",'Ordenes_Odoo'!L1470)</f>
        <v/>
      </c>
      <c r="M1470" s="79">
        <f>IF('Ordenes_Odoo'!M1470="","",'Ordenes_Odoo'!M1470)</f>
        <v/>
      </c>
      <c r="N1470" s="79">
        <f>IF('Ordenes_Odoo'!N1470="","",'Ordenes_Odoo'!N1470)</f>
        <v/>
      </c>
      <c r="O1470" s="81">
        <f>IF('Ordenes_Odoo'!O1470="","",'Ordenes_Odoo'!O1470)</f>
        <v/>
      </c>
      <c r="P1470" s="81">
        <f>IF('Ordenes_Odoo'!P1470="","",'Ordenes_Odoo'!P1470)</f>
        <v/>
      </c>
      <c r="Q1470" s="79">
        <f>IF(A1470="","",IFERROR(INDEX(Facturas_Odoo!$B:$B, MATCH(A1470, Facturas_Odoo!$D:$D, 0)), "Sin Factura"))</f>
        <v/>
      </c>
      <c r="R1470" s="80">
        <f>IF(Q1470="Sin Factura","",IFERROR(INDEX(Facturas_Odoo!$A:$A, MATCH(Q1470, Facturas_Odoo!$B:$B, 0)), ""))</f>
        <v/>
      </c>
      <c r="S1470" s="79">
        <f>IF(Q1470="Sin Factura","",IFERROR(_xlfn.XLOOKUP(1, (Facturas_Odoo!$D:$D=A1470) * (Facturas_Odoo!$K:$K=I1470), Facturas_Odoo!$L:$L, ""), ""))</f>
        <v/>
      </c>
      <c r="T1470" s="81">
        <f>IF(Q1470="Sin Factura",0,IFERROR(_xlfn.XLOOKUP(1, (Facturas_Odoo!$D:$D=A1470) * (Facturas_Odoo!$K:$K=I1470), Facturas_Odoo!$M:$M, 0), 0))</f>
        <v/>
      </c>
      <c r="U1470" s="79">
        <f>IF(Q1470="Sin Factura",0,IFERROR(_xlfn.XLOOKUP(1, (Facturas_Odoo!$D:$D=A1470) * (Facturas_Odoo!$K:$K=I1470), Facturas_Odoo!$N:$N, 0), 0))</f>
        <v/>
      </c>
      <c r="V1470" s="79">
        <f>IF(Q1470="Sin Factura",0,IFERROR(_xlfn.XLOOKUP(1, (Facturas_Odoo!$D:$D=A1470) * (Facturas_Odoo!$K:$K=I1470), Facturas_Odoo!$O:$O, 0), 0))</f>
        <v/>
      </c>
      <c r="W1470" s="81">
        <f>IF(Q1470="Sin Factura",0,IFERROR(_xlfn.XLOOKUP(1, (Facturas_Odoo!$D:$D=A1470) * (Facturas_Odoo!$K:$K=I1470), Facturas_Odoo!$Q:$Q, 0), 0))</f>
        <v/>
      </c>
      <c r="X1470" s="79">
        <f>IF(OR(Q1470="Sin Factura",Q1470=""),"",IFERROR(INDEX(Pagos_Odoo!$B:$B, MATCH(Q1470, Pagos_Odoo!$I:$I, 0)), "Sin Pago"))</f>
        <v/>
      </c>
      <c r="Y1470" s="79">
        <f>IF(X1470="Sin Pago","",IFERROR(INDEX(Pagos_Odoo!$C:$C, MATCH(X1470, Pagos_Odoo!$B:$B, 0)), ""))</f>
        <v/>
      </c>
      <c r="Z1470" s="80">
        <f>IF(X1470="Sin Pago","",IFERROR(INDEX(Pagos_Odoo!$A:$A, MATCH(X1470, Pagos_Odoo!$B:$B, 0)), ""))</f>
        <v/>
      </c>
      <c r="AA1470" s="79">
        <f>IF(X1470="Sin Pago","",IFERROR(INDEX(Pagos_Odoo!$F:$F, MATCH(X1470, Pagos_Odoo!$B:$B, 0)), ""))</f>
        <v/>
      </c>
      <c r="AB1470" s="81">
        <f>IF(X1470="Sin Pago",0,IFERROR(INDEX(Pagos_Odoo!$E:$E, MATCH(X1470, Pagos_Odoo!$B:$B, 0)), 0))</f>
        <v/>
      </c>
      <c r="AC1470" s="79">
        <f>IF(X1470="Sin Pago","",IFERROR(INDEX(Pagos_Odoo!$G:$G, MATCH(X1470, Pagos_Odoo!$B:$B, 0)), ""))</f>
        <v/>
      </c>
      <c r="AD1470" s="82" t="n">
        <v>0</v>
      </c>
      <c r="AE1470" s="82" t="n"/>
      <c r="AF1470" s="82" t="n"/>
      <c r="AG1470" s="82">
        <f>IF(AN1470="","",AD1470+AE1470+AF1470)</f>
        <v/>
      </c>
      <c r="AH1470" s="81">
        <f>IF(AN1470="","",P1470*(1-AG1470))</f>
        <v/>
      </c>
      <c r="AI1470" s="81">
        <f>IF(AN1470="","",IF(Q1470="Sin Factura",0,IFERROR(INDEX(Facturas_Odoo!$H:$H, MATCH(Q1470, Facturas_Odoo!$B:$B, 0)), 0)*(1-AG1470)))</f>
        <v/>
      </c>
      <c r="AJ1470" s="81">
        <f>IF(AN1470="","",_xlfn.LET(idVenta, AN1470&amp;"",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70" s="81">
        <f>IF(AN1470="","",AH1470-AJ1470)</f>
        <v/>
      </c>
      <c r="AL1470" s="81">
        <f>IF(AN1470="","",IF(Q1470="Sin Factura","",AI1470-AJ1470))</f>
        <v/>
      </c>
      <c r="AM1470" s="81">
        <f>IF(AN1470="","",IF(Q1470="Sin Factura",0,P1470-IFERROR(INDEX(Facturas_Odoo!$H:$H, MATCH(Q1470, Facturas_Odoo!$B:$B, 0)), 0)))</f>
        <v/>
      </c>
      <c r="AN1470" s="79">
        <f>IF(AND(A1470="", J1470=""), "", IF(A1470&lt;&gt;"", VALUE(MID(A1470,2,LEN(A1470))), AN1469))</f>
        <v/>
      </c>
      <c r="AO1470" s="79">
        <f>IF(AN1470="","",IF(AD1470=0,"OK",_xlfn.LET(monedaPago, IF(AA1470="","USD",AA1470), limitePermitido, IFERROR(VLOOKUP(monedaPago, Configuración!$A$2:$B$3, 2, FALSE), 0.15), IF(AD1470&gt;limitePermitido, "ALERTA: EXCESO (" &amp; TEXT(limitePermitido, "0%") &amp; " máx)", "OK"))))</f>
        <v/>
      </c>
      <c r="AP1470" s="79">
        <f>IF(AN1470="","",IF(AE1470=0,"OK",_xlfn.LET(fechaPago, Z1470, fechaFactura, R1470, diasCredito, IF(E1470="Pago inmediato", 0, IFERROR(VALUE(MID(E1470, 1, SEARCH(" ", E1470)-1)),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70" s="79">
        <f>IF(AN1470="","",IF(AND(N1470&gt;0, AG1470&gt;0), IF(Configuración!$K$2="NO", "ALERTA: DESCUENTO DOBLE NO PERMITIDO", "OK"), "OK"))</f>
        <v/>
      </c>
      <c r="AR1470" s="79">
        <f>IF(AN1470="","",IF(OR(AO1470&lt;&gt;"OK", AP1470&lt;&gt;"OK", AQ1470&lt;&gt;"OK"), "⚠️ REVISAR", "OK"))</f>
        <v/>
      </c>
    </row>
    <row r="1471">
      <c r="A1471" s="79">
        <f>IF('Ordenes_Odoo'!A1471="","",'Ordenes_Odoo'!A1471)</f>
        <v/>
      </c>
      <c r="B1471" s="80">
        <f>IF('Ordenes_Odoo'!B1471="","",'Ordenes_Odoo'!B1471)</f>
        <v/>
      </c>
      <c r="C1471" s="79">
        <f>IF('Ordenes_Odoo'!C1471="","",'Ordenes_Odoo'!C1471)</f>
        <v/>
      </c>
      <c r="D1471" s="79">
        <f>IF('Ordenes_Odoo'!D1471="","",'Ordenes_Odoo'!D1471)</f>
        <v/>
      </c>
      <c r="E1471" s="79">
        <f>IF('Ordenes_Odoo'!E1471="","",'Ordenes_Odoo'!E1471)</f>
        <v/>
      </c>
      <c r="F1471" s="79">
        <f>IF('Ordenes_Odoo'!F1471="","",'Ordenes_Odoo'!F1471)</f>
        <v/>
      </c>
      <c r="G1471" s="79">
        <f>IF('Ordenes_Odoo'!G1471="","",'Ordenes_Odoo'!G1471)</f>
        <v/>
      </c>
      <c r="H1471" s="79">
        <f>IF('Ordenes_Odoo'!H1471="","",'Ordenes_Odoo'!H1471)</f>
        <v/>
      </c>
      <c r="I1471" s="79">
        <f>IF('Ordenes_Odoo'!I1471="","",'Ordenes_Odoo'!I1471)</f>
        <v/>
      </c>
      <c r="J1471" s="79">
        <f>IF('Ordenes_Odoo'!J1471="","",'Ordenes_Odoo'!J1471)</f>
        <v/>
      </c>
      <c r="K1471" s="81">
        <f>IF('Ordenes_Odoo'!K1471="","",'Ordenes_Odoo'!K1471)</f>
        <v/>
      </c>
      <c r="L1471" s="81">
        <f>IF('Ordenes_Odoo'!L1471="","",'Ordenes_Odoo'!L1471)</f>
        <v/>
      </c>
      <c r="M1471" s="79">
        <f>IF('Ordenes_Odoo'!M1471="","",'Ordenes_Odoo'!M1471)</f>
        <v/>
      </c>
      <c r="N1471" s="79">
        <f>IF('Ordenes_Odoo'!N1471="","",'Ordenes_Odoo'!N1471)</f>
        <v/>
      </c>
      <c r="O1471" s="81">
        <f>IF('Ordenes_Odoo'!O1471="","",'Ordenes_Odoo'!O1471)</f>
        <v/>
      </c>
      <c r="P1471" s="81">
        <f>IF('Ordenes_Odoo'!P1471="","",'Ordenes_Odoo'!P1471)</f>
        <v/>
      </c>
      <c r="Q1471" s="79">
        <f>IF(A1471="","",IFERROR(INDEX(Facturas_Odoo!$B:$B, MATCH(A1471, Facturas_Odoo!$D:$D, 0)), "Sin Factura"))</f>
        <v/>
      </c>
      <c r="R1471" s="80">
        <f>IF(Q1471="Sin Factura","",IFERROR(INDEX(Facturas_Odoo!$A:$A, MATCH(Q1471, Facturas_Odoo!$B:$B, 0)), ""))</f>
        <v/>
      </c>
      <c r="S1471" s="79">
        <f>IF(Q1471="Sin Factura","",IFERROR(_xlfn.XLOOKUP(1, (Facturas_Odoo!$D:$D=A1471) * (Facturas_Odoo!$K:$K=I1471), Facturas_Odoo!$L:$L, ""), ""))</f>
        <v/>
      </c>
      <c r="T1471" s="81">
        <f>IF(Q1471="Sin Factura",0,IFERROR(_xlfn.XLOOKUP(1, (Facturas_Odoo!$D:$D=A1471) * (Facturas_Odoo!$K:$K=I1471), Facturas_Odoo!$M:$M, 0), 0))</f>
        <v/>
      </c>
      <c r="U1471" s="79">
        <f>IF(Q1471="Sin Factura",0,IFERROR(_xlfn.XLOOKUP(1, (Facturas_Odoo!$D:$D=A1471) * (Facturas_Odoo!$K:$K=I1471), Facturas_Odoo!$N:$N, 0), 0))</f>
        <v/>
      </c>
      <c r="V1471" s="79">
        <f>IF(Q1471="Sin Factura",0,IFERROR(_xlfn.XLOOKUP(1, (Facturas_Odoo!$D:$D=A1471) * (Facturas_Odoo!$K:$K=I1471), Facturas_Odoo!$O:$O, 0), 0))</f>
        <v/>
      </c>
      <c r="W1471" s="81">
        <f>IF(Q1471="Sin Factura",0,IFERROR(_xlfn.XLOOKUP(1, (Facturas_Odoo!$D:$D=A1471) * (Facturas_Odoo!$K:$K=I1471), Facturas_Odoo!$Q:$Q, 0), 0))</f>
        <v/>
      </c>
      <c r="X1471" s="79">
        <f>IF(OR(Q1471="Sin Factura",Q1471=""),"",IFERROR(INDEX(Pagos_Odoo!$B:$B, MATCH(Q1471, Pagos_Odoo!$I:$I, 0)), "Sin Pago"))</f>
        <v/>
      </c>
      <c r="Y1471" s="79">
        <f>IF(X1471="Sin Pago","",IFERROR(INDEX(Pagos_Odoo!$C:$C, MATCH(X1471, Pagos_Odoo!$B:$B, 0)), ""))</f>
        <v/>
      </c>
      <c r="Z1471" s="80">
        <f>IF(X1471="Sin Pago","",IFERROR(INDEX(Pagos_Odoo!$A:$A, MATCH(X1471, Pagos_Odoo!$B:$B, 0)), ""))</f>
        <v/>
      </c>
      <c r="AA1471" s="79">
        <f>IF(X1471="Sin Pago","",IFERROR(INDEX(Pagos_Odoo!$F:$F, MATCH(X1471, Pagos_Odoo!$B:$B, 0)), ""))</f>
        <v/>
      </c>
      <c r="AB1471" s="81">
        <f>IF(X1471="Sin Pago",0,IFERROR(INDEX(Pagos_Odoo!$E:$E, MATCH(X1471, Pagos_Odoo!$B:$B, 0)), 0))</f>
        <v/>
      </c>
      <c r="AC1471" s="79">
        <f>IF(X1471="Sin Pago","",IFERROR(INDEX(Pagos_Odoo!$G:$G, MATCH(X1471, Pagos_Odoo!$B:$B, 0)), ""))</f>
        <v/>
      </c>
      <c r="AD1471" s="82" t="n">
        <v>0</v>
      </c>
      <c r="AE1471" s="82" t="n"/>
      <c r="AF1471" s="82" t="n"/>
      <c r="AG1471" s="82">
        <f>IF(AN1471="","",AD1471+AE1471+AF1471)</f>
        <v/>
      </c>
      <c r="AH1471" s="81">
        <f>IF(AN1471="","",P1471*(1-AG1471))</f>
        <v/>
      </c>
      <c r="AI1471" s="81">
        <f>IF(AN1471="","",IF(Q1471="Sin Factura",0,IFERROR(INDEX(Facturas_Odoo!$H:$H, MATCH(Q1471, Facturas_Odoo!$B:$B, 0)), 0)*(1-AG1471)))</f>
        <v/>
      </c>
      <c r="AJ1471" s="81">
        <f>IF(AN1471="","",_xlfn.LET(idVenta, AN1471&amp;"",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71" s="81">
        <f>IF(AN1471="","",AH1471-AJ1471)</f>
        <v/>
      </c>
      <c r="AL1471" s="81">
        <f>IF(AN1471="","",IF(Q1471="Sin Factura","",AI1471-AJ1471))</f>
        <v/>
      </c>
      <c r="AM1471" s="81">
        <f>IF(AN1471="","",IF(Q1471="Sin Factura",0,P1471-IFERROR(INDEX(Facturas_Odoo!$H:$H, MATCH(Q1471, Facturas_Odoo!$B:$B, 0)), 0)))</f>
        <v/>
      </c>
      <c r="AN1471" s="79">
        <f>IF(AND(A1471="", J1471=""), "", IF(A1471&lt;&gt;"", VALUE(MID(A1471,2,LEN(A1471))), AN1470))</f>
        <v/>
      </c>
      <c r="AO1471" s="79">
        <f>IF(AN1471="","",IF(AD1471=0,"OK",_xlfn.LET(monedaPago, IF(AA1471="","USD",AA1471), limitePermitido, IFERROR(VLOOKUP(monedaPago, Configuración!$A$2:$B$3, 2, FALSE), 0.15), IF(AD1471&gt;limitePermitido, "ALERTA: EXCESO (" &amp; TEXT(limitePermitido, "0%") &amp; " máx)", "OK"))))</f>
        <v/>
      </c>
      <c r="AP1471" s="79">
        <f>IF(AN1471="","",IF(AE1471=0,"OK",_xlfn.LET(fechaPago, Z1471, fechaFactura, R1471, diasCredito, IF(E1471="Pago inmediato", 0, IFERROR(VALUE(MID(E1471, 1, SEARCH(" ", E1471)-1)),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71" s="79">
        <f>IF(AN1471="","",IF(AND(N1471&gt;0, AG1471&gt;0), IF(Configuración!$K$2="NO", "ALERTA: DESCUENTO DOBLE NO PERMITIDO", "OK"), "OK"))</f>
        <v/>
      </c>
      <c r="AR1471" s="79">
        <f>IF(AN1471="","",IF(OR(AO1471&lt;&gt;"OK", AP1471&lt;&gt;"OK", AQ1471&lt;&gt;"OK"), "⚠️ REVISAR", "OK"))</f>
        <v/>
      </c>
    </row>
    <row r="1472">
      <c r="A1472" s="79">
        <f>IF('Ordenes_Odoo'!A1472="","",'Ordenes_Odoo'!A1472)</f>
        <v/>
      </c>
      <c r="B1472" s="80">
        <f>IF('Ordenes_Odoo'!B1472="","",'Ordenes_Odoo'!B1472)</f>
        <v/>
      </c>
      <c r="C1472" s="79">
        <f>IF('Ordenes_Odoo'!C1472="","",'Ordenes_Odoo'!C1472)</f>
        <v/>
      </c>
      <c r="D1472" s="79">
        <f>IF('Ordenes_Odoo'!D1472="","",'Ordenes_Odoo'!D1472)</f>
        <v/>
      </c>
      <c r="E1472" s="79">
        <f>IF('Ordenes_Odoo'!E1472="","",'Ordenes_Odoo'!E1472)</f>
        <v/>
      </c>
      <c r="F1472" s="79">
        <f>IF('Ordenes_Odoo'!F1472="","",'Ordenes_Odoo'!F1472)</f>
        <v/>
      </c>
      <c r="G1472" s="79">
        <f>IF('Ordenes_Odoo'!G1472="","",'Ordenes_Odoo'!G1472)</f>
        <v/>
      </c>
      <c r="H1472" s="79">
        <f>IF('Ordenes_Odoo'!H1472="","",'Ordenes_Odoo'!H1472)</f>
        <v/>
      </c>
      <c r="I1472" s="79">
        <f>IF('Ordenes_Odoo'!I1472="","",'Ordenes_Odoo'!I1472)</f>
        <v/>
      </c>
      <c r="J1472" s="79">
        <f>IF('Ordenes_Odoo'!J1472="","",'Ordenes_Odoo'!J1472)</f>
        <v/>
      </c>
      <c r="K1472" s="81">
        <f>IF('Ordenes_Odoo'!K1472="","",'Ordenes_Odoo'!K1472)</f>
        <v/>
      </c>
      <c r="L1472" s="81">
        <f>IF('Ordenes_Odoo'!L1472="","",'Ordenes_Odoo'!L1472)</f>
        <v/>
      </c>
      <c r="M1472" s="79">
        <f>IF('Ordenes_Odoo'!M1472="","",'Ordenes_Odoo'!M1472)</f>
        <v/>
      </c>
      <c r="N1472" s="79">
        <f>IF('Ordenes_Odoo'!N1472="","",'Ordenes_Odoo'!N1472)</f>
        <v/>
      </c>
      <c r="O1472" s="81">
        <f>IF('Ordenes_Odoo'!O1472="","",'Ordenes_Odoo'!O1472)</f>
        <v/>
      </c>
      <c r="P1472" s="81">
        <f>IF('Ordenes_Odoo'!P1472="","",'Ordenes_Odoo'!P1472)</f>
        <v/>
      </c>
      <c r="Q1472" s="79">
        <f>IF(A1472="","",IFERROR(INDEX(Facturas_Odoo!$B:$B, MATCH(A1472, Facturas_Odoo!$D:$D, 0)), "Sin Factura"))</f>
        <v/>
      </c>
      <c r="R1472" s="80">
        <f>IF(Q1472="Sin Factura","",IFERROR(INDEX(Facturas_Odoo!$A:$A, MATCH(Q1472, Facturas_Odoo!$B:$B, 0)), ""))</f>
        <v/>
      </c>
      <c r="S1472" s="79">
        <f>IF(Q1472="Sin Factura","",IFERROR(_xlfn.XLOOKUP(1, (Facturas_Odoo!$D:$D=A1472) * (Facturas_Odoo!$K:$K=I1472), Facturas_Odoo!$L:$L, ""), ""))</f>
        <v/>
      </c>
      <c r="T1472" s="81">
        <f>IF(Q1472="Sin Factura",0,IFERROR(_xlfn.XLOOKUP(1, (Facturas_Odoo!$D:$D=A1472) * (Facturas_Odoo!$K:$K=I1472), Facturas_Odoo!$M:$M, 0), 0))</f>
        <v/>
      </c>
      <c r="U1472" s="79">
        <f>IF(Q1472="Sin Factura",0,IFERROR(_xlfn.XLOOKUP(1, (Facturas_Odoo!$D:$D=A1472) * (Facturas_Odoo!$K:$K=I1472), Facturas_Odoo!$N:$N, 0), 0))</f>
        <v/>
      </c>
      <c r="V1472" s="79">
        <f>IF(Q1472="Sin Factura",0,IFERROR(_xlfn.XLOOKUP(1, (Facturas_Odoo!$D:$D=A1472) * (Facturas_Odoo!$K:$K=I1472), Facturas_Odoo!$O:$O, 0), 0))</f>
        <v/>
      </c>
      <c r="W1472" s="81">
        <f>IF(Q1472="Sin Factura",0,IFERROR(_xlfn.XLOOKUP(1, (Facturas_Odoo!$D:$D=A1472) * (Facturas_Odoo!$K:$K=I1472), Facturas_Odoo!$Q:$Q, 0), 0))</f>
        <v/>
      </c>
      <c r="X1472" s="79">
        <f>IF(OR(Q1472="Sin Factura",Q1472=""),"",IFERROR(INDEX(Pagos_Odoo!$B:$B, MATCH(Q1472, Pagos_Odoo!$I:$I, 0)), "Sin Pago"))</f>
        <v/>
      </c>
      <c r="Y1472" s="79">
        <f>IF(X1472="Sin Pago","",IFERROR(INDEX(Pagos_Odoo!$C:$C, MATCH(X1472, Pagos_Odoo!$B:$B, 0)), ""))</f>
        <v/>
      </c>
      <c r="Z1472" s="80">
        <f>IF(X1472="Sin Pago","",IFERROR(INDEX(Pagos_Odoo!$A:$A, MATCH(X1472, Pagos_Odoo!$B:$B, 0)), ""))</f>
        <v/>
      </c>
      <c r="AA1472" s="79">
        <f>IF(X1472="Sin Pago","",IFERROR(INDEX(Pagos_Odoo!$F:$F, MATCH(X1472, Pagos_Odoo!$B:$B, 0)), ""))</f>
        <v/>
      </c>
      <c r="AB1472" s="81">
        <f>IF(X1472="Sin Pago",0,IFERROR(INDEX(Pagos_Odoo!$E:$E, MATCH(X1472, Pagos_Odoo!$B:$B, 0)), 0))</f>
        <v/>
      </c>
      <c r="AC1472" s="79">
        <f>IF(X1472="Sin Pago","",IFERROR(INDEX(Pagos_Odoo!$G:$G, MATCH(X1472, Pagos_Odoo!$B:$B, 0)), ""))</f>
        <v/>
      </c>
      <c r="AD1472" s="82" t="n">
        <v>0</v>
      </c>
      <c r="AE1472" s="82" t="n"/>
      <c r="AF1472" s="82" t="n"/>
      <c r="AG1472" s="82">
        <f>IF(AN1472="","",AD1472+AE1472+AF1472)</f>
        <v/>
      </c>
      <c r="AH1472" s="81">
        <f>IF(AN1472="","",P1472*(1-AG1472))</f>
        <v/>
      </c>
      <c r="AI1472" s="81">
        <f>IF(AN1472="","",IF(Q1472="Sin Factura",0,IFERROR(INDEX(Facturas_Odoo!$H:$H, MATCH(Q1472, Facturas_Odoo!$B:$B, 0)), 0)*(1-AG1472)))</f>
        <v/>
      </c>
      <c r="AJ1472" s="81">
        <f>IF(AN1472="","",_xlfn.LET(idVenta, AN1472&amp;"",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72" s="81">
        <f>IF(AN1472="","",AH1472-AJ1472)</f>
        <v/>
      </c>
      <c r="AL1472" s="81">
        <f>IF(AN1472="","",IF(Q1472="Sin Factura","",AI1472-AJ1472))</f>
        <v/>
      </c>
      <c r="AM1472" s="81">
        <f>IF(AN1472="","",IF(Q1472="Sin Factura",0,P1472-IFERROR(INDEX(Facturas_Odoo!$H:$H, MATCH(Q1472, Facturas_Odoo!$B:$B, 0)), 0)))</f>
        <v/>
      </c>
      <c r="AN1472" s="79">
        <f>IF(AND(A1472="", J1472=""), "", IF(A1472&lt;&gt;"", VALUE(MID(A1472,2,LEN(A1472))), AN1471))</f>
        <v/>
      </c>
      <c r="AO1472" s="79">
        <f>IF(AN1472="","",IF(AD1472=0,"OK",_xlfn.LET(monedaPago, IF(AA1472="","USD",AA1472), limitePermitido, IFERROR(VLOOKUP(monedaPago, Configuración!$A$2:$B$3, 2, FALSE), 0.15), IF(AD1472&gt;limitePermitido, "ALERTA: EXCESO (" &amp; TEXT(limitePermitido, "0%") &amp; " máx)", "OK"))))</f>
        <v/>
      </c>
      <c r="AP1472" s="79">
        <f>IF(AN1472="","",IF(AE1472=0,"OK",_xlfn.LET(fechaPago, Z1472, fechaFactura, R1472, diasCredito, IF(E1472="Pago inmediato", 0, IFERROR(VALUE(MID(E1472, 1, SEARCH(" ", E1472)-1)),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72" s="79">
        <f>IF(AN1472="","",IF(AND(N1472&gt;0, AG1472&gt;0), IF(Configuración!$K$2="NO", "ALERTA: DESCUENTO DOBLE NO PERMITIDO", "OK"), "OK"))</f>
        <v/>
      </c>
      <c r="AR1472" s="79">
        <f>IF(AN1472="","",IF(OR(AO1472&lt;&gt;"OK", AP1472&lt;&gt;"OK", AQ1472&lt;&gt;"OK"), "⚠️ REVISAR", "OK"))</f>
        <v/>
      </c>
    </row>
    <row r="1473">
      <c r="A1473" s="79">
        <f>IF('Ordenes_Odoo'!A1473="","",'Ordenes_Odoo'!A1473)</f>
        <v/>
      </c>
      <c r="B1473" s="80">
        <f>IF('Ordenes_Odoo'!B1473="","",'Ordenes_Odoo'!B1473)</f>
        <v/>
      </c>
      <c r="C1473" s="79">
        <f>IF('Ordenes_Odoo'!C1473="","",'Ordenes_Odoo'!C1473)</f>
        <v/>
      </c>
      <c r="D1473" s="79">
        <f>IF('Ordenes_Odoo'!D1473="","",'Ordenes_Odoo'!D1473)</f>
        <v/>
      </c>
      <c r="E1473" s="79">
        <f>IF('Ordenes_Odoo'!E1473="","",'Ordenes_Odoo'!E1473)</f>
        <v/>
      </c>
      <c r="F1473" s="79">
        <f>IF('Ordenes_Odoo'!F1473="","",'Ordenes_Odoo'!F1473)</f>
        <v/>
      </c>
      <c r="G1473" s="79">
        <f>IF('Ordenes_Odoo'!G1473="","",'Ordenes_Odoo'!G1473)</f>
        <v/>
      </c>
      <c r="H1473" s="79">
        <f>IF('Ordenes_Odoo'!H1473="","",'Ordenes_Odoo'!H1473)</f>
        <v/>
      </c>
      <c r="I1473" s="79">
        <f>IF('Ordenes_Odoo'!I1473="","",'Ordenes_Odoo'!I1473)</f>
        <v/>
      </c>
      <c r="J1473" s="79">
        <f>IF('Ordenes_Odoo'!J1473="","",'Ordenes_Odoo'!J1473)</f>
        <v/>
      </c>
      <c r="K1473" s="81">
        <f>IF('Ordenes_Odoo'!K1473="","",'Ordenes_Odoo'!K1473)</f>
        <v/>
      </c>
      <c r="L1473" s="81">
        <f>IF('Ordenes_Odoo'!L1473="","",'Ordenes_Odoo'!L1473)</f>
        <v/>
      </c>
      <c r="M1473" s="79">
        <f>IF('Ordenes_Odoo'!M1473="","",'Ordenes_Odoo'!M1473)</f>
        <v/>
      </c>
      <c r="N1473" s="79">
        <f>IF('Ordenes_Odoo'!N1473="","",'Ordenes_Odoo'!N1473)</f>
        <v/>
      </c>
      <c r="O1473" s="81">
        <f>IF('Ordenes_Odoo'!O1473="","",'Ordenes_Odoo'!O1473)</f>
        <v/>
      </c>
      <c r="P1473" s="81">
        <f>IF('Ordenes_Odoo'!P1473="","",'Ordenes_Odoo'!P1473)</f>
        <v/>
      </c>
      <c r="Q1473" s="79">
        <f>IF(A1473="","",IFERROR(INDEX(Facturas_Odoo!$B:$B, MATCH(A1473, Facturas_Odoo!$D:$D, 0)), "Sin Factura"))</f>
        <v/>
      </c>
      <c r="R1473" s="80">
        <f>IF(Q1473="Sin Factura","",IFERROR(INDEX(Facturas_Odoo!$A:$A, MATCH(Q1473, Facturas_Odoo!$B:$B, 0)), ""))</f>
        <v/>
      </c>
      <c r="S1473" s="79">
        <f>IF(Q1473="Sin Factura","",IFERROR(_xlfn.XLOOKUP(1, (Facturas_Odoo!$D:$D=A1473) * (Facturas_Odoo!$K:$K=I1473), Facturas_Odoo!$L:$L, ""), ""))</f>
        <v/>
      </c>
      <c r="T1473" s="81">
        <f>IF(Q1473="Sin Factura",0,IFERROR(_xlfn.XLOOKUP(1, (Facturas_Odoo!$D:$D=A1473) * (Facturas_Odoo!$K:$K=I1473), Facturas_Odoo!$M:$M, 0), 0))</f>
        <v/>
      </c>
      <c r="U1473" s="79">
        <f>IF(Q1473="Sin Factura",0,IFERROR(_xlfn.XLOOKUP(1, (Facturas_Odoo!$D:$D=A1473) * (Facturas_Odoo!$K:$K=I1473), Facturas_Odoo!$N:$N, 0), 0))</f>
        <v/>
      </c>
      <c r="V1473" s="79">
        <f>IF(Q1473="Sin Factura",0,IFERROR(_xlfn.XLOOKUP(1, (Facturas_Odoo!$D:$D=A1473) * (Facturas_Odoo!$K:$K=I1473), Facturas_Odoo!$O:$O, 0), 0))</f>
        <v/>
      </c>
      <c r="W1473" s="81">
        <f>IF(Q1473="Sin Factura",0,IFERROR(_xlfn.XLOOKUP(1, (Facturas_Odoo!$D:$D=A1473) * (Facturas_Odoo!$K:$K=I1473), Facturas_Odoo!$Q:$Q, 0), 0))</f>
        <v/>
      </c>
      <c r="X1473" s="79">
        <f>IF(OR(Q1473="Sin Factura",Q1473=""),"",IFERROR(INDEX(Pagos_Odoo!$B:$B, MATCH(Q1473, Pagos_Odoo!$I:$I, 0)), "Sin Pago"))</f>
        <v/>
      </c>
      <c r="Y1473" s="79">
        <f>IF(X1473="Sin Pago","",IFERROR(INDEX(Pagos_Odoo!$C:$C, MATCH(X1473, Pagos_Odoo!$B:$B, 0)), ""))</f>
        <v/>
      </c>
      <c r="Z1473" s="80">
        <f>IF(X1473="Sin Pago","",IFERROR(INDEX(Pagos_Odoo!$A:$A, MATCH(X1473, Pagos_Odoo!$B:$B, 0)), ""))</f>
        <v/>
      </c>
      <c r="AA1473" s="79">
        <f>IF(X1473="Sin Pago","",IFERROR(INDEX(Pagos_Odoo!$F:$F, MATCH(X1473, Pagos_Odoo!$B:$B, 0)), ""))</f>
        <v/>
      </c>
      <c r="AB1473" s="81">
        <f>IF(X1473="Sin Pago",0,IFERROR(INDEX(Pagos_Odoo!$E:$E, MATCH(X1473, Pagos_Odoo!$B:$B, 0)), 0))</f>
        <v/>
      </c>
      <c r="AC1473" s="79">
        <f>IF(X1473="Sin Pago","",IFERROR(INDEX(Pagos_Odoo!$G:$G, MATCH(X1473, Pagos_Odoo!$B:$B, 0)), ""))</f>
        <v/>
      </c>
      <c r="AD1473" s="82" t="n">
        <v>0</v>
      </c>
      <c r="AE1473" s="82" t="n"/>
      <c r="AF1473" s="82" t="n"/>
      <c r="AG1473" s="82">
        <f>IF(AN1473="","",AD1473+AE1473+AF1473)</f>
        <v/>
      </c>
      <c r="AH1473" s="81">
        <f>IF(AN1473="","",P1473*(1-AG1473))</f>
        <v/>
      </c>
      <c r="AI1473" s="81">
        <f>IF(AN1473="","",IF(Q1473="Sin Factura",0,IFERROR(INDEX(Facturas_Odoo!$H:$H, MATCH(Q1473, Facturas_Odoo!$B:$B, 0)), 0)*(1-AG1473)))</f>
        <v/>
      </c>
      <c r="AJ1473" s="81">
        <f>IF(AN1473="","",_xlfn.LET(idVenta, AN1473&amp;"",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73" s="81">
        <f>IF(AN1473="","",AH1473-AJ1473)</f>
        <v/>
      </c>
      <c r="AL1473" s="81">
        <f>IF(AN1473="","",IF(Q1473="Sin Factura","",AI1473-AJ1473))</f>
        <v/>
      </c>
      <c r="AM1473" s="81">
        <f>IF(AN1473="","",IF(Q1473="Sin Factura",0,P1473-IFERROR(INDEX(Facturas_Odoo!$H:$H, MATCH(Q1473, Facturas_Odoo!$B:$B, 0)), 0)))</f>
        <v/>
      </c>
      <c r="AN1473" s="79">
        <f>IF(AND(A1473="", J1473=""), "", IF(A1473&lt;&gt;"", VALUE(MID(A1473,2,LEN(A1473))), AN1472))</f>
        <v/>
      </c>
      <c r="AO1473" s="79">
        <f>IF(AN1473="","",IF(AD1473=0,"OK",_xlfn.LET(monedaPago, IF(AA1473="","USD",AA1473), limitePermitido, IFERROR(VLOOKUP(monedaPago, Configuración!$A$2:$B$3, 2, FALSE), 0.15), IF(AD1473&gt;limitePermitido, "ALERTA: EXCESO (" &amp; TEXT(limitePermitido, "0%") &amp; " máx)", "OK"))))</f>
        <v/>
      </c>
      <c r="AP1473" s="79">
        <f>IF(AN1473="","",IF(AE1473=0,"OK",_xlfn.LET(fechaPago, Z1473, fechaFactura, R1473, diasCredito, IF(E1473="Pago inmediato", 0, IFERROR(VALUE(MID(E1473, 1, SEARCH(" ", E1473)-1)),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73" s="79">
        <f>IF(AN1473="","",IF(AND(N1473&gt;0, AG1473&gt;0), IF(Configuración!$K$2="NO", "ALERTA: DESCUENTO DOBLE NO PERMITIDO", "OK"), "OK"))</f>
        <v/>
      </c>
      <c r="AR1473" s="79">
        <f>IF(AN1473="","",IF(OR(AO1473&lt;&gt;"OK", AP1473&lt;&gt;"OK", AQ1473&lt;&gt;"OK"), "⚠️ REVISAR", "OK"))</f>
        <v/>
      </c>
    </row>
    <row r="1474">
      <c r="A1474" s="79">
        <f>IF('Ordenes_Odoo'!A1474="","",'Ordenes_Odoo'!A1474)</f>
        <v/>
      </c>
      <c r="B1474" s="80">
        <f>IF('Ordenes_Odoo'!B1474="","",'Ordenes_Odoo'!B1474)</f>
        <v/>
      </c>
      <c r="C1474" s="79">
        <f>IF('Ordenes_Odoo'!C1474="","",'Ordenes_Odoo'!C1474)</f>
        <v/>
      </c>
      <c r="D1474" s="79">
        <f>IF('Ordenes_Odoo'!D1474="","",'Ordenes_Odoo'!D1474)</f>
        <v/>
      </c>
      <c r="E1474" s="79">
        <f>IF('Ordenes_Odoo'!E1474="","",'Ordenes_Odoo'!E1474)</f>
        <v/>
      </c>
      <c r="F1474" s="79">
        <f>IF('Ordenes_Odoo'!F1474="","",'Ordenes_Odoo'!F1474)</f>
        <v/>
      </c>
      <c r="G1474" s="79">
        <f>IF('Ordenes_Odoo'!G1474="","",'Ordenes_Odoo'!G1474)</f>
        <v/>
      </c>
      <c r="H1474" s="79">
        <f>IF('Ordenes_Odoo'!H1474="","",'Ordenes_Odoo'!H1474)</f>
        <v/>
      </c>
      <c r="I1474" s="79">
        <f>IF('Ordenes_Odoo'!I1474="","",'Ordenes_Odoo'!I1474)</f>
        <v/>
      </c>
      <c r="J1474" s="79">
        <f>IF('Ordenes_Odoo'!J1474="","",'Ordenes_Odoo'!J1474)</f>
        <v/>
      </c>
      <c r="K1474" s="81">
        <f>IF('Ordenes_Odoo'!K1474="","",'Ordenes_Odoo'!K1474)</f>
        <v/>
      </c>
      <c r="L1474" s="81">
        <f>IF('Ordenes_Odoo'!L1474="","",'Ordenes_Odoo'!L1474)</f>
        <v/>
      </c>
      <c r="M1474" s="79">
        <f>IF('Ordenes_Odoo'!M1474="","",'Ordenes_Odoo'!M1474)</f>
        <v/>
      </c>
      <c r="N1474" s="79">
        <f>IF('Ordenes_Odoo'!N1474="","",'Ordenes_Odoo'!N1474)</f>
        <v/>
      </c>
      <c r="O1474" s="81">
        <f>IF('Ordenes_Odoo'!O1474="","",'Ordenes_Odoo'!O1474)</f>
        <v/>
      </c>
      <c r="P1474" s="81">
        <f>IF('Ordenes_Odoo'!P1474="","",'Ordenes_Odoo'!P1474)</f>
        <v/>
      </c>
      <c r="Q1474" s="79">
        <f>IF(A1474="","",IFERROR(INDEX(Facturas_Odoo!$B:$B, MATCH(A1474, Facturas_Odoo!$D:$D, 0)), "Sin Factura"))</f>
        <v/>
      </c>
      <c r="R1474" s="80">
        <f>IF(Q1474="Sin Factura","",IFERROR(INDEX(Facturas_Odoo!$A:$A, MATCH(Q1474, Facturas_Odoo!$B:$B, 0)), ""))</f>
        <v/>
      </c>
      <c r="S1474" s="79">
        <f>IF(Q1474="Sin Factura","",IFERROR(_xlfn.XLOOKUP(1, (Facturas_Odoo!$D:$D=A1474) * (Facturas_Odoo!$K:$K=I1474), Facturas_Odoo!$L:$L, ""), ""))</f>
        <v/>
      </c>
      <c r="T1474" s="81">
        <f>IF(Q1474="Sin Factura",0,IFERROR(_xlfn.XLOOKUP(1, (Facturas_Odoo!$D:$D=A1474) * (Facturas_Odoo!$K:$K=I1474), Facturas_Odoo!$M:$M, 0), 0))</f>
        <v/>
      </c>
      <c r="U1474" s="79">
        <f>IF(Q1474="Sin Factura",0,IFERROR(_xlfn.XLOOKUP(1, (Facturas_Odoo!$D:$D=A1474) * (Facturas_Odoo!$K:$K=I1474), Facturas_Odoo!$N:$N, 0), 0))</f>
        <v/>
      </c>
      <c r="V1474" s="79">
        <f>IF(Q1474="Sin Factura",0,IFERROR(_xlfn.XLOOKUP(1, (Facturas_Odoo!$D:$D=A1474) * (Facturas_Odoo!$K:$K=I1474), Facturas_Odoo!$O:$O, 0), 0))</f>
        <v/>
      </c>
      <c r="W1474" s="81">
        <f>IF(Q1474="Sin Factura",0,IFERROR(_xlfn.XLOOKUP(1, (Facturas_Odoo!$D:$D=A1474) * (Facturas_Odoo!$K:$K=I1474), Facturas_Odoo!$Q:$Q, 0), 0))</f>
        <v/>
      </c>
      <c r="X1474" s="79">
        <f>IF(OR(Q1474="Sin Factura",Q1474=""),"",IFERROR(INDEX(Pagos_Odoo!$B:$B, MATCH(Q1474, Pagos_Odoo!$I:$I, 0)), "Sin Pago"))</f>
        <v/>
      </c>
      <c r="Y1474" s="79">
        <f>IF(X1474="Sin Pago","",IFERROR(INDEX(Pagos_Odoo!$C:$C, MATCH(X1474, Pagos_Odoo!$B:$B, 0)), ""))</f>
        <v/>
      </c>
      <c r="Z1474" s="80">
        <f>IF(X1474="Sin Pago","",IFERROR(INDEX(Pagos_Odoo!$A:$A, MATCH(X1474, Pagos_Odoo!$B:$B, 0)), ""))</f>
        <v/>
      </c>
      <c r="AA1474" s="79">
        <f>IF(X1474="Sin Pago","",IFERROR(INDEX(Pagos_Odoo!$F:$F, MATCH(X1474, Pagos_Odoo!$B:$B, 0)), ""))</f>
        <v/>
      </c>
      <c r="AB1474" s="81">
        <f>IF(X1474="Sin Pago",0,IFERROR(INDEX(Pagos_Odoo!$E:$E, MATCH(X1474, Pagos_Odoo!$B:$B, 0)), 0))</f>
        <v/>
      </c>
      <c r="AC1474" s="79">
        <f>IF(X1474="Sin Pago","",IFERROR(INDEX(Pagos_Odoo!$G:$G, MATCH(X1474, Pagos_Odoo!$B:$B, 0)), ""))</f>
        <v/>
      </c>
      <c r="AD1474" s="82" t="n">
        <v>0</v>
      </c>
      <c r="AE1474" s="82" t="n"/>
      <c r="AF1474" s="82" t="n"/>
      <c r="AG1474" s="82">
        <f>IF(AN1474="","",AD1474+AE1474+AF1474)</f>
        <v/>
      </c>
      <c r="AH1474" s="81">
        <f>IF(AN1474="","",P1474*(1-AG1474))</f>
        <v/>
      </c>
      <c r="AI1474" s="81">
        <f>IF(AN1474="","",IF(Q1474="Sin Factura",0,IFERROR(INDEX(Facturas_Odoo!$H:$H, MATCH(Q1474, Facturas_Odoo!$B:$B, 0)), 0)*(1-AG1474)))</f>
        <v/>
      </c>
      <c r="AJ1474" s="81">
        <f>IF(AN1474="","",_xlfn.LET(idVenta, AN1474&amp;"",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74" s="81">
        <f>IF(AN1474="","",AH1474-AJ1474)</f>
        <v/>
      </c>
      <c r="AL1474" s="81">
        <f>IF(AN1474="","",IF(Q1474="Sin Factura","",AI1474-AJ1474))</f>
        <v/>
      </c>
      <c r="AM1474" s="81">
        <f>IF(AN1474="","",IF(Q1474="Sin Factura",0,P1474-IFERROR(INDEX(Facturas_Odoo!$H:$H, MATCH(Q1474, Facturas_Odoo!$B:$B, 0)), 0)))</f>
        <v/>
      </c>
      <c r="AN1474" s="79">
        <f>IF(AND(A1474="", J1474=""), "", IF(A1474&lt;&gt;"", VALUE(MID(A1474,2,LEN(A1474))), AN1473))</f>
        <v/>
      </c>
      <c r="AO1474" s="79">
        <f>IF(AN1474="","",IF(AD1474=0,"OK",_xlfn.LET(monedaPago, IF(AA1474="","USD",AA1474), limitePermitido, IFERROR(VLOOKUP(monedaPago, Configuración!$A$2:$B$3, 2, FALSE), 0.15), IF(AD1474&gt;limitePermitido, "ALERTA: EXCESO (" &amp; TEXT(limitePermitido, "0%") &amp; " máx)", "OK"))))</f>
        <v/>
      </c>
      <c r="AP1474" s="79">
        <f>IF(AN1474="","",IF(AE1474=0,"OK",_xlfn.LET(fechaPago, Z1474, fechaFactura, R1474, diasCredito, IF(E1474="Pago inmediato", 0, IFERROR(VALUE(MID(E1474, 1, SEARCH(" ", E1474)-1)),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74" s="79">
        <f>IF(AN1474="","",IF(AND(N1474&gt;0, AG1474&gt;0), IF(Configuración!$K$2="NO", "ALERTA: DESCUENTO DOBLE NO PERMITIDO", "OK"), "OK"))</f>
        <v/>
      </c>
      <c r="AR1474" s="79">
        <f>IF(AN1474="","",IF(OR(AO1474&lt;&gt;"OK", AP1474&lt;&gt;"OK", AQ1474&lt;&gt;"OK"), "⚠️ REVISAR", "OK"))</f>
        <v/>
      </c>
    </row>
    <row r="1475">
      <c r="A1475" s="79">
        <f>IF('Ordenes_Odoo'!A1475="","",'Ordenes_Odoo'!A1475)</f>
        <v/>
      </c>
      <c r="B1475" s="80">
        <f>IF('Ordenes_Odoo'!B1475="","",'Ordenes_Odoo'!B1475)</f>
        <v/>
      </c>
      <c r="C1475" s="79">
        <f>IF('Ordenes_Odoo'!C1475="","",'Ordenes_Odoo'!C1475)</f>
        <v/>
      </c>
      <c r="D1475" s="79">
        <f>IF('Ordenes_Odoo'!D1475="","",'Ordenes_Odoo'!D1475)</f>
        <v/>
      </c>
      <c r="E1475" s="79">
        <f>IF('Ordenes_Odoo'!E1475="","",'Ordenes_Odoo'!E1475)</f>
        <v/>
      </c>
      <c r="F1475" s="79">
        <f>IF('Ordenes_Odoo'!F1475="","",'Ordenes_Odoo'!F1475)</f>
        <v/>
      </c>
      <c r="G1475" s="79">
        <f>IF('Ordenes_Odoo'!G1475="","",'Ordenes_Odoo'!G1475)</f>
        <v/>
      </c>
      <c r="H1475" s="79">
        <f>IF('Ordenes_Odoo'!H1475="","",'Ordenes_Odoo'!H1475)</f>
        <v/>
      </c>
      <c r="I1475" s="79">
        <f>IF('Ordenes_Odoo'!I1475="","",'Ordenes_Odoo'!I1475)</f>
        <v/>
      </c>
      <c r="J1475" s="79">
        <f>IF('Ordenes_Odoo'!J1475="","",'Ordenes_Odoo'!J1475)</f>
        <v/>
      </c>
      <c r="K1475" s="81">
        <f>IF('Ordenes_Odoo'!K1475="","",'Ordenes_Odoo'!K1475)</f>
        <v/>
      </c>
      <c r="L1475" s="81">
        <f>IF('Ordenes_Odoo'!L1475="","",'Ordenes_Odoo'!L1475)</f>
        <v/>
      </c>
      <c r="M1475" s="79">
        <f>IF('Ordenes_Odoo'!M1475="","",'Ordenes_Odoo'!M1475)</f>
        <v/>
      </c>
      <c r="N1475" s="79">
        <f>IF('Ordenes_Odoo'!N1475="","",'Ordenes_Odoo'!N1475)</f>
        <v/>
      </c>
      <c r="O1475" s="81">
        <f>IF('Ordenes_Odoo'!O1475="","",'Ordenes_Odoo'!O1475)</f>
        <v/>
      </c>
      <c r="P1475" s="81">
        <f>IF('Ordenes_Odoo'!P1475="","",'Ordenes_Odoo'!P1475)</f>
        <v/>
      </c>
      <c r="Q1475" s="79">
        <f>IF(A1475="","",IFERROR(INDEX(Facturas_Odoo!$B:$B, MATCH(A1475, Facturas_Odoo!$D:$D, 0)), "Sin Factura"))</f>
        <v/>
      </c>
      <c r="R1475" s="80">
        <f>IF(Q1475="Sin Factura","",IFERROR(INDEX(Facturas_Odoo!$A:$A, MATCH(Q1475, Facturas_Odoo!$B:$B, 0)), ""))</f>
        <v/>
      </c>
      <c r="S1475" s="79">
        <f>IF(Q1475="Sin Factura","",IFERROR(_xlfn.XLOOKUP(1, (Facturas_Odoo!$D:$D=A1475) * (Facturas_Odoo!$K:$K=I1475), Facturas_Odoo!$L:$L, ""), ""))</f>
        <v/>
      </c>
      <c r="T1475" s="81">
        <f>IF(Q1475="Sin Factura",0,IFERROR(_xlfn.XLOOKUP(1, (Facturas_Odoo!$D:$D=A1475) * (Facturas_Odoo!$K:$K=I1475), Facturas_Odoo!$M:$M, 0), 0))</f>
        <v/>
      </c>
      <c r="U1475" s="79">
        <f>IF(Q1475="Sin Factura",0,IFERROR(_xlfn.XLOOKUP(1, (Facturas_Odoo!$D:$D=A1475) * (Facturas_Odoo!$K:$K=I1475), Facturas_Odoo!$N:$N, 0), 0))</f>
        <v/>
      </c>
      <c r="V1475" s="79">
        <f>IF(Q1475="Sin Factura",0,IFERROR(_xlfn.XLOOKUP(1, (Facturas_Odoo!$D:$D=A1475) * (Facturas_Odoo!$K:$K=I1475), Facturas_Odoo!$O:$O, 0), 0))</f>
        <v/>
      </c>
      <c r="W1475" s="81">
        <f>IF(Q1475="Sin Factura",0,IFERROR(_xlfn.XLOOKUP(1, (Facturas_Odoo!$D:$D=A1475) * (Facturas_Odoo!$K:$K=I1475), Facturas_Odoo!$Q:$Q, 0), 0))</f>
        <v/>
      </c>
      <c r="X1475" s="79">
        <f>IF(OR(Q1475="Sin Factura",Q1475=""),"",IFERROR(INDEX(Pagos_Odoo!$B:$B, MATCH(Q1475, Pagos_Odoo!$I:$I, 0)), "Sin Pago"))</f>
        <v/>
      </c>
      <c r="Y1475" s="79">
        <f>IF(X1475="Sin Pago","",IFERROR(INDEX(Pagos_Odoo!$C:$C, MATCH(X1475, Pagos_Odoo!$B:$B, 0)), ""))</f>
        <v/>
      </c>
      <c r="Z1475" s="80">
        <f>IF(X1475="Sin Pago","",IFERROR(INDEX(Pagos_Odoo!$A:$A, MATCH(X1475, Pagos_Odoo!$B:$B, 0)), ""))</f>
        <v/>
      </c>
      <c r="AA1475" s="79">
        <f>IF(X1475="Sin Pago","",IFERROR(INDEX(Pagos_Odoo!$F:$F, MATCH(X1475, Pagos_Odoo!$B:$B, 0)), ""))</f>
        <v/>
      </c>
      <c r="AB1475" s="81">
        <f>IF(X1475="Sin Pago",0,IFERROR(INDEX(Pagos_Odoo!$E:$E, MATCH(X1475, Pagos_Odoo!$B:$B, 0)), 0))</f>
        <v/>
      </c>
      <c r="AC1475" s="79">
        <f>IF(X1475="Sin Pago","",IFERROR(INDEX(Pagos_Odoo!$G:$G, MATCH(X1475, Pagos_Odoo!$B:$B, 0)), ""))</f>
        <v/>
      </c>
      <c r="AD1475" s="82" t="n">
        <v>0</v>
      </c>
      <c r="AE1475" s="82" t="n"/>
      <c r="AF1475" s="82" t="n"/>
      <c r="AG1475" s="82">
        <f>IF(AN1475="","",AD1475+AE1475+AF1475)</f>
        <v/>
      </c>
      <c r="AH1475" s="81">
        <f>IF(AN1475="","",P1475*(1-AG1475))</f>
        <v/>
      </c>
      <c r="AI1475" s="81">
        <f>IF(AN1475="","",IF(Q1475="Sin Factura",0,IFERROR(INDEX(Facturas_Odoo!$H:$H, MATCH(Q1475, Facturas_Odoo!$B:$B, 0)), 0)*(1-AG1475)))</f>
        <v/>
      </c>
      <c r="AJ1475" s="81">
        <f>IF(AN1475="","",_xlfn.LET(idVenta, AN1475&amp;"",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75" s="81">
        <f>IF(AN1475="","",AH1475-AJ1475)</f>
        <v/>
      </c>
      <c r="AL1475" s="81">
        <f>IF(AN1475="","",IF(Q1475="Sin Factura","",AI1475-AJ1475))</f>
        <v/>
      </c>
      <c r="AM1475" s="81">
        <f>IF(AN1475="","",IF(Q1475="Sin Factura",0,P1475-IFERROR(INDEX(Facturas_Odoo!$H:$H, MATCH(Q1475, Facturas_Odoo!$B:$B, 0)), 0)))</f>
        <v/>
      </c>
      <c r="AN1475" s="79">
        <f>IF(AND(A1475="", J1475=""), "", IF(A1475&lt;&gt;"", VALUE(MID(A1475,2,LEN(A1475))), AN1474))</f>
        <v/>
      </c>
      <c r="AO1475" s="79">
        <f>IF(AN1475="","",IF(AD1475=0,"OK",_xlfn.LET(monedaPago, IF(AA1475="","USD",AA1475), limitePermitido, IFERROR(VLOOKUP(monedaPago, Configuración!$A$2:$B$3, 2, FALSE), 0.15), IF(AD1475&gt;limitePermitido, "ALERTA: EXCESO (" &amp; TEXT(limitePermitido, "0%") &amp; " máx)", "OK"))))</f>
        <v/>
      </c>
      <c r="AP1475" s="79">
        <f>IF(AN1475="","",IF(AE1475=0,"OK",_xlfn.LET(fechaPago, Z1475, fechaFactura, R1475, diasCredito, IF(E1475="Pago inmediato", 0, IFERROR(VALUE(MID(E1475, 1, SEARCH(" ", E1475)-1)),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75" s="79">
        <f>IF(AN1475="","",IF(AND(N1475&gt;0, AG1475&gt;0), IF(Configuración!$K$2="NO", "ALERTA: DESCUENTO DOBLE NO PERMITIDO", "OK"), "OK"))</f>
        <v/>
      </c>
      <c r="AR1475" s="79">
        <f>IF(AN1475="","",IF(OR(AO1475&lt;&gt;"OK", AP1475&lt;&gt;"OK", AQ1475&lt;&gt;"OK"), "⚠️ REVISAR", "OK"))</f>
        <v/>
      </c>
    </row>
    <row r="1476">
      <c r="A1476" s="79">
        <f>IF('Ordenes_Odoo'!A1476="","",'Ordenes_Odoo'!A1476)</f>
        <v/>
      </c>
      <c r="B1476" s="80">
        <f>IF('Ordenes_Odoo'!B1476="","",'Ordenes_Odoo'!B1476)</f>
        <v/>
      </c>
      <c r="C1476" s="79">
        <f>IF('Ordenes_Odoo'!C1476="","",'Ordenes_Odoo'!C1476)</f>
        <v/>
      </c>
      <c r="D1476" s="79">
        <f>IF('Ordenes_Odoo'!D1476="","",'Ordenes_Odoo'!D1476)</f>
        <v/>
      </c>
      <c r="E1476" s="79">
        <f>IF('Ordenes_Odoo'!E1476="","",'Ordenes_Odoo'!E1476)</f>
        <v/>
      </c>
      <c r="F1476" s="79">
        <f>IF('Ordenes_Odoo'!F1476="","",'Ordenes_Odoo'!F1476)</f>
        <v/>
      </c>
      <c r="G1476" s="79">
        <f>IF('Ordenes_Odoo'!G1476="","",'Ordenes_Odoo'!G1476)</f>
        <v/>
      </c>
      <c r="H1476" s="79">
        <f>IF('Ordenes_Odoo'!H1476="","",'Ordenes_Odoo'!H1476)</f>
        <v/>
      </c>
      <c r="I1476" s="79">
        <f>IF('Ordenes_Odoo'!I1476="","",'Ordenes_Odoo'!I1476)</f>
        <v/>
      </c>
      <c r="J1476" s="79">
        <f>IF('Ordenes_Odoo'!J1476="","",'Ordenes_Odoo'!J1476)</f>
        <v/>
      </c>
      <c r="K1476" s="81">
        <f>IF('Ordenes_Odoo'!K1476="","",'Ordenes_Odoo'!K1476)</f>
        <v/>
      </c>
      <c r="L1476" s="81">
        <f>IF('Ordenes_Odoo'!L1476="","",'Ordenes_Odoo'!L1476)</f>
        <v/>
      </c>
      <c r="M1476" s="79">
        <f>IF('Ordenes_Odoo'!M1476="","",'Ordenes_Odoo'!M1476)</f>
        <v/>
      </c>
      <c r="N1476" s="79">
        <f>IF('Ordenes_Odoo'!N1476="","",'Ordenes_Odoo'!N1476)</f>
        <v/>
      </c>
      <c r="O1476" s="81">
        <f>IF('Ordenes_Odoo'!O1476="","",'Ordenes_Odoo'!O1476)</f>
        <v/>
      </c>
      <c r="P1476" s="81">
        <f>IF('Ordenes_Odoo'!P1476="","",'Ordenes_Odoo'!P1476)</f>
        <v/>
      </c>
      <c r="Q1476" s="79">
        <f>IF(A1476="","",IFERROR(INDEX(Facturas_Odoo!$B:$B, MATCH(A1476, Facturas_Odoo!$D:$D, 0)), "Sin Factura"))</f>
        <v/>
      </c>
      <c r="R1476" s="80">
        <f>IF(Q1476="Sin Factura","",IFERROR(INDEX(Facturas_Odoo!$A:$A, MATCH(Q1476, Facturas_Odoo!$B:$B, 0)), ""))</f>
        <v/>
      </c>
      <c r="S1476" s="79">
        <f>IF(Q1476="Sin Factura","",IFERROR(_xlfn.XLOOKUP(1, (Facturas_Odoo!$D:$D=A1476) * (Facturas_Odoo!$K:$K=I1476), Facturas_Odoo!$L:$L, ""), ""))</f>
        <v/>
      </c>
      <c r="T1476" s="81">
        <f>IF(Q1476="Sin Factura",0,IFERROR(_xlfn.XLOOKUP(1, (Facturas_Odoo!$D:$D=A1476) * (Facturas_Odoo!$K:$K=I1476), Facturas_Odoo!$M:$M, 0), 0))</f>
        <v/>
      </c>
      <c r="U1476" s="79">
        <f>IF(Q1476="Sin Factura",0,IFERROR(_xlfn.XLOOKUP(1, (Facturas_Odoo!$D:$D=A1476) * (Facturas_Odoo!$K:$K=I1476), Facturas_Odoo!$N:$N, 0), 0))</f>
        <v/>
      </c>
      <c r="V1476" s="79">
        <f>IF(Q1476="Sin Factura",0,IFERROR(_xlfn.XLOOKUP(1, (Facturas_Odoo!$D:$D=A1476) * (Facturas_Odoo!$K:$K=I1476), Facturas_Odoo!$O:$O, 0), 0))</f>
        <v/>
      </c>
      <c r="W1476" s="81">
        <f>IF(Q1476="Sin Factura",0,IFERROR(_xlfn.XLOOKUP(1, (Facturas_Odoo!$D:$D=A1476) * (Facturas_Odoo!$K:$K=I1476), Facturas_Odoo!$Q:$Q, 0), 0))</f>
        <v/>
      </c>
      <c r="X1476" s="79">
        <f>IF(OR(Q1476="Sin Factura",Q1476=""),"",IFERROR(INDEX(Pagos_Odoo!$B:$B, MATCH(Q1476, Pagos_Odoo!$I:$I, 0)), "Sin Pago"))</f>
        <v/>
      </c>
      <c r="Y1476" s="79">
        <f>IF(X1476="Sin Pago","",IFERROR(INDEX(Pagos_Odoo!$C:$C, MATCH(X1476, Pagos_Odoo!$B:$B, 0)), ""))</f>
        <v/>
      </c>
      <c r="Z1476" s="80">
        <f>IF(X1476="Sin Pago","",IFERROR(INDEX(Pagos_Odoo!$A:$A, MATCH(X1476, Pagos_Odoo!$B:$B, 0)), ""))</f>
        <v/>
      </c>
      <c r="AA1476" s="79">
        <f>IF(X1476="Sin Pago","",IFERROR(INDEX(Pagos_Odoo!$F:$F, MATCH(X1476, Pagos_Odoo!$B:$B, 0)), ""))</f>
        <v/>
      </c>
      <c r="AB1476" s="81">
        <f>IF(X1476="Sin Pago",0,IFERROR(INDEX(Pagos_Odoo!$E:$E, MATCH(X1476, Pagos_Odoo!$B:$B, 0)), 0))</f>
        <v/>
      </c>
      <c r="AC1476" s="79">
        <f>IF(X1476="Sin Pago","",IFERROR(INDEX(Pagos_Odoo!$G:$G, MATCH(X1476, Pagos_Odoo!$B:$B, 0)), ""))</f>
        <v/>
      </c>
      <c r="AD1476" s="82" t="n">
        <v>0</v>
      </c>
      <c r="AE1476" s="82" t="n"/>
      <c r="AF1476" s="82" t="n"/>
      <c r="AG1476" s="82">
        <f>IF(AN1476="","",AD1476+AE1476+AF1476)</f>
        <v/>
      </c>
      <c r="AH1476" s="81">
        <f>IF(AN1476="","",P1476*(1-AG1476))</f>
        <v/>
      </c>
      <c r="AI1476" s="81">
        <f>IF(AN1476="","",IF(Q1476="Sin Factura",0,IFERROR(INDEX(Facturas_Odoo!$H:$H, MATCH(Q1476, Facturas_Odoo!$B:$B, 0)), 0)*(1-AG1476)))</f>
        <v/>
      </c>
      <c r="AJ1476" s="81">
        <f>IF(AN1476="","",_xlfn.LET(idVenta, AN1476&amp;"",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76" s="81">
        <f>IF(AN1476="","",AH1476-AJ1476)</f>
        <v/>
      </c>
      <c r="AL1476" s="81">
        <f>IF(AN1476="","",IF(Q1476="Sin Factura","",AI1476-AJ1476))</f>
        <v/>
      </c>
      <c r="AM1476" s="81">
        <f>IF(AN1476="","",IF(Q1476="Sin Factura",0,P1476-IFERROR(INDEX(Facturas_Odoo!$H:$H, MATCH(Q1476, Facturas_Odoo!$B:$B, 0)), 0)))</f>
        <v/>
      </c>
      <c r="AN1476" s="79">
        <f>IF(AND(A1476="", J1476=""), "", IF(A1476&lt;&gt;"", VALUE(MID(A1476,2,LEN(A1476))), AN1475))</f>
        <v/>
      </c>
      <c r="AO1476" s="79">
        <f>IF(AN1476="","",IF(AD1476=0,"OK",_xlfn.LET(monedaPago, IF(AA1476="","USD",AA1476), limitePermitido, IFERROR(VLOOKUP(monedaPago, Configuración!$A$2:$B$3, 2, FALSE), 0.15), IF(AD1476&gt;limitePermitido, "ALERTA: EXCESO (" &amp; TEXT(limitePermitido, "0%") &amp; " máx)", "OK"))))</f>
        <v/>
      </c>
      <c r="AP1476" s="79">
        <f>IF(AN1476="","",IF(AE1476=0,"OK",_xlfn.LET(fechaPago, Z1476, fechaFactura, R1476, diasCredito, IF(E1476="Pago inmediato", 0, IFERROR(VALUE(MID(E1476, 1, SEARCH(" ", E1476)-1)),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76" s="79">
        <f>IF(AN1476="","",IF(AND(N1476&gt;0, AG1476&gt;0), IF(Configuración!$K$2="NO", "ALERTA: DESCUENTO DOBLE NO PERMITIDO", "OK"), "OK"))</f>
        <v/>
      </c>
      <c r="AR1476" s="79">
        <f>IF(AN1476="","",IF(OR(AO1476&lt;&gt;"OK", AP1476&lt;&gt;"OK", AQ1476&lt;&gt;"OK"), "⚠️ REVISAR", "OK"))</f>
        <v/>
      </c>
    </row>
    <row r="1477">
      <c r="A1477" s="79">
        <f>IF('Ordenes_Odoo'!A1477="","",'Ordenes_Odoo'!A1477)</f>
        <v/>
      </c>
      <c r="B1477" s="80">
        <f>IF('Ordenes_Odoo'!B1477="","",'Ordenes_Odoo'!B1477)</f>
        <v/>
      </c>
      <c r="C1477" s="79">
        <f>IF('Ordenes_Odoo'!C1477="","",'Ordenes_Odoo'!C1477)</f>
        <v/>
      </c>
      <c r="D1477" s="79">
        <f>IF('Ordenes_Odoo'!D1477="","",'Ordenes_Odoo'!D1477)</f>
        <v/>
      </c>
      <c r="E1477" s="79">
        <f>IF('Ordenes_Odoo'!E1477="","",'Ordenes_Odoo'!E1477)</f>
        <v/>
      </c>
      <c r="F1477" s="79">
        <f>IF('Ordenes_Odoo'!F1477="","",'Ordenes_Odoo'!F1477)</f>
        <v/>
      </c>
      <c r="G1477" s="79">
        <f>IF('Ordenes_Odoo'!G1477="","",'Ordenes_Odoo'!G1477)</f>
        <v/>
      </c>
      <c r="H1477" s="79">
        <f>IF('Ordenes_Odoo'!H1477="","",'Ordenes_Odoo'!H1477)</f>
        <v/>
      </c>
      <c r="I1477" s="79">
        <f>IF('Ordenes_Odoo'!I1477="","",'Ordenes_Odoo'!I1477)</f>
        <v/>
      </c>
      <c r="J1477" s="79">
        <f>IF('Ordenes_Odoo'!J1477="","",'Ordenes_Odoo'!J1477)</f>
        <v/>
      </c>
      <c r="K1477" s="81">
        <f>IF('Ordenes_Odoo'!K1477="","",'Ordenes_Odoo'!K1477)</f>
        <v/>
      </c>
      <c r="L1477" s="81">
        <f>IF('Ordenes_Odoo'!L1477="","",'Ordenes_Odoo'!L1477)</f>
        <v/>
      </c>
      <c r="M1477" s="79">
        <f>IF('Ordenes_Odoo'!M1477="","",'Ordenes_Odoo'!M1477)</f>
        <v/>
      </c>
      <c r="N1477" s="79">
        <f>IF('Ordenes_Odoo'!N1477="","",'Ordenes_Odoo'!N1477)</f>
        <v/>
      </c>
      <c r="O1477" s="81">
        <f>IF('Ordenes_Odoo'!O1477="","",'Ordenes_Odoo'!O1477)</f>
        <v/>
      </c>
      <c r="P1477" s="81">
        <f>IF('Ordenes_Odoo'!P1477="","",'Ordenes_Odoo'!P1477)</f>
        <v/>
      </c>
      <c r="Q1477" s="79">
        <f>IF(A1477="","",IFERROR(INDEX(Facturas_Odoo!$B:$B, MATCH(A1477, Facturas_Odoo!$D:$D, 0)), "Sin Factura"))</f>
        <v/>
      </c>
      <c r="R1477" s="80">
        <f>IF(Q1477="Sin Factura","",IFERROR(INDEX(Facturas_Odoo!$A:$A, MATCH(Q1477, Facturas_Odoo!$B:$B, 0)), ""))</f>
        <v/>
      </c>
      <c r="S1477" s="79">
        <f>IF(Q1477="Sin Factura","",IFERROR(_xlfn.XLOOKUP(1, (Facturas_Odoo!$D:$D=A1477) * (Facturas_Odoo!$K:$K=I1477), Facturas_Odoo!$L:$L, ""), ""))</f>
        <v/>
      </c>
      <c r="T1477" s="81">
        <f>IF(Q1477="Sin Factura",0,IFERROR(_xlfn.XLOOKUP(1, (Facturas_Odoo!$D:$D=A1477) * (Facturas_Odoo!$K:$K=I1477), Facturas_Odoo!$M:$M, 0), 0))</f>
        <v/>
      </c>
      <c r="U1477" s="79">
        <f>IF(Q1477="Sin Factura",0,IFERROR(_xlfn.XLOOKUP(1, (Facturas_Odoo!$D:$D=A1477) * (Facturas_Odoo!$K:$K=I1477), Facturas_Odoo!$N:$N, 0), 0))</f>
        <v/>
      </c>
      <c r="V1477" s="79">
        <f>IF(Q1477="Sin Factura",0,IFERROR(_xlfn.XLOOKUP(1, (Facturas_Odoo!$D:$D=A1477) * (Facturas_Odoo!$K:$K=I1477), Facturas_Odoo!$O:$O, 0), 0))</f>
        <v/>
      </c>
      <c r="W1477" s="81">
        <f>IF(Q1477="Sin Factura",0,IFERROR(_xlfn.XLOOKUP(1, (Facturas_Odoo!$D:$D=A1477) * (Facturas_Odoo!$K:$K=I1477), Facturas_Odoo!$Q:$Q, 0), 0))</f>
        <v/>
      </c>
      <c r="X1477" s="79">
        <f>IF(OR(Q1477="Sin Factura",Q1477=""),"",IFERROR(INDEX(Pagos_Odoo!$B:$B, MATCH(Q1477, Pagos_Odoo!$I:$I, 0)), "Sin Pago"))</f>
        <v/>
      </c>
      <c r="Y1477" s="79">
        <f>IF(X1477="Sin Pago","",IFERROR(INDEX(Pagos_Odoo!$C:$C, MATCH(X1477, Pagos_Odoo!$B:$B, 0)), ""))</f>
        <v/>
      </c>
      <c r="Z1477" s="80">
        <f>IF(X1477="Sin Pago","",IFERROR(INDEX(Pagos_Odoo!$A:$A, MATCH(X1477, Pagos_Odoo!$B:$B, 0)), ""))</f>
        <v/>
      </c>
      <c r="AA1477" s="79">
        <f>IF(X1477="Sin Pago","",IFERROR(INDEX(Pagos_Odoo!$F:$F, MATCH(X1477, Pagos_Odoo!$B:$B, 0)), ""))</f>
        <v/>
      </c>
      <c r="AB1477" s="81">
        <f>IF(X1477="Sin Pago",0,IFERROR(INDEX(Pagos_Odoo!$E:$E, MATCH(X1477, Pagos_Odoo!$B:$B, 0)), 0))</f>
        <v/>
      </c>
      <c r="AC1477" s="79">
        <f>IF(X1477="Sin Pago","",IFERROR(INDEX(Pagos_Odoo!$G:$G, MATCH(X1477, Pagos_Odoo!$B:$B, 0)), ""))</f>
        <v/>
      </c>
      <c r="AD1477" s="82" t="n">
        <v>0</v>
      </c>
      <c r="AE1477" s="82" t="n"/>
      <c r="AF1477" s="82" t="n"/>
      <c r="AG1477" s="82">
        <f>IF(AN1477="","",AD1477+AE1477+AF1477)</f>
        <v/>
      </c>
      <c r="AH1477" s="81">
        <f>IF(AN1477="","",P1477*(1-AG1477))</f>
        <v/>
      </c>
      <c r="AI1477" s="81">
        <f>IF(AN1477="","",IF(Q1477="Sin Factura",0,IFERROR(INDEX(Facturas_Odoo!$H:$H, MATCH(Q1477, Facturas_Odoo!$B:$B, 0)), 0)*(1-AG1477)))</f>
        <v/>
      </c>
      <c r="AJ1477" s="81">
        <f>IF(AN1477="","",_xlfn.LET(idVenta, AN1477&amp;"",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77" s="81">
        <f>IF(AN1477="","",AH1477-AJ1477)</f>
        <v/>
      </c>
      <c r="AL1477" s="81">
        <f>IF(AN1477="","",IF(Q1477="Sin Factura","",AI1477-AJ1477))</f>
        <v/>
      </c>
      <c r="AM1477" s="81">
        <f>IF(AN1477="","",IF(Q1477="Sin Factura",0,P1477-IFERROR(INDEX(Facturas_Odoo!$H:$H, MATCH(Q1477, Facturas_Odoo!$B:$B, 0)), 0)))</f>
        <v/>
      </c>
      <c r="AN1477" s="79">
        <f>IF(AND(A1477="", J1477=""), "", IF(A1477&lt;&gt;"", VALUE(MID(A1477,2,LEN(A1477))), AN1476))</f>
        <v/>
      </c>
      <c r="AO1477" s="79">
        <f>IF(AN1477="","",IF(AD1477=0,"OK",_xlfn.LET(monedaPago, IF(AA1477="","USD",AA1477), limitePermitido, IFERROR(VLOOKUP(monedaPago, Configuración!$A$2:$B$3, 2, FALSE), 0.15), IF(AD1477&gt;limitePermitido, "ALERTA: EXCESO (" &amp; TEXT(limitePermitido, "0%") &amp; " máx)", "OK"))))</f>
        <v/>
      </c>
      <c r="AP1477" s="79">
        <f>IF(AN1477="","",IF(AE1477=0,"OK",_xlfn.LET(fechaPago, Z1477, fechaFactura, R1477, diasCredito, IF(E1477="Pago inmediato", 0, IFERROR(VALUE(MID(E1477, 1, SEARCH(" ", E1477)-1)),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77" s="79">
        <f>IF(AN1477="","",IF(AND(N1477&gt;0, AG1477&gt;0), IF(Configuración!$K$2="NO", "ALERTA: DESCUENTO DOBLE NO PERMITIDO", "OK"), "OK"))</f>
        <v/>
      </c>
      <c r="AR1477" s="79">
        <f>IF(AN1477="","",IF(OR(AO1477&lt;&gt;"OK", AP1477&lt;&gt;"OK", AQ1477&lt;&gt;"OK"), "⚠️ REVISAR", "OK"))</f>
        <v/>
      </c>
    </row>
    <row r="1478">
      <c r="A1478" s="79">
        <f>IF('Ordenes_Odoo'!A1478="","",'Ordenes_Odoo'!A1478)</f>
        <v/>
      </c>
      <c r="B1478" s="80">
        <f>IF('Ordenes_Odoo'!B1478="","",'Ordenes_Odoo'!B1478)</f>
        <v/>
      </c>
      <c r="C1478" s="79">
        <f>IF('Ordenes_Odoo'!C1478="","",'Ordenes_Odoo'!C1478)</f>
        <v/>
      </c>
      <c r="D1478" s="79">
        <f>IF('Ordenes_Odoo'!D1478="","",'Ordenes_Odoo'!D1478)</f>
        <v/>
      </c>
      <c r="E1478" s="79">
        <f>IF('Ordenes_Odoo'!E1478="","",'Ordenes_Odoo'!E1478)</f>
        <v/>
      </c>
      <c r="F1478" s="79">
        <f>IF('Ordenes_Odoo'!F1478="","",'Ordenes_Odoo'!F1478)</f>
        <v/>
      </c>
      <c r="G1478" s="79">
        <f>IF('Ordenes_Odoo'!G1478="","",'Ordenes_Odoo'!G1478)</f>
        <v/>
      </c>
      <c r="H1478" s="79">
        <f>IF('Ordenes_Odoo'!H1478="","",'Ordenes_Odoo'!H1478)</f>
        <v/>
      </c>
      <c r="I1478" s="79">
        <f>IF('Ordenes_Odoo'!I1478="","",'Ordenes_Odoo'!I1478)</f>
        <v/>
      </c>
      <c r="J1478" s="79">
        <f>IF('Ordenes_Odoo'!J1478="","",'Ordenes_Odoo'!J1478)</f>
        <v/>
      </c>
      <c r="K1478" s="81">
        <f>IF('Ordenes_Odoo'!K1478="","",'Ordenes_Odoo'!K1478)</f>
        <v/>
      </c>
      <c r="L1478" s="81">
        <f>IF('Ordenes_Odoo'!L1478="","",'Ordenes_Odoo'!L1478)</f>
        <v/>
      </c>
      <c r="M1478" s="79">
        <f>IF('Ordenes_Odoo'!M1478="","",'Ordenes_Odoo'!M1478)</f>
        <v/>
      </c>
      <c r="N1478" s="79">
        <f>IF('Ordenes_Odoo'!N1478="","",'Ordenes_Odoo'!N1478)</f>
        <v/>
      </c>
      <c r="O1478" s="81">
        <f>IF('Ordenes_Odoo'!O1478="","",'Ordenes_Odoo'!O1478)</f>
        <v/>
      </c>
      <c r="P1478" s="81">
        <f>IF('Ordenes_Odoo'!P1478="","",'Ordenes_Odoo'!P1478)</f>
        <v/>
      </c>
      <c r="Q1478" s="79">
        <f>IF(A1478="","",IFERROR(INDEX(Facturas_Odoo!$B:$B, MATCH(A1478, Facturas_Odoo!$D:$D, 0)), "Sin Factura"))</f>
        <v/>
      </c>
      <c r="R1478" s="80">
        <f>IF(Q1478="Sin Factura","",IFERROR(INDEX(Facturas_Odoo!$A:$A, MATCH(Q1478, Facturas_Odoo!$B:$B, 0)), ""))</f>
        <v/>
      </c>
      <c r="S1478" s="79">
        <f>IF(Q1478="Sin Factura","",IFERROR(_xlfn.XLOOKUP(1, (Facturas_Odoo!$D:$D=A1478) * (Facturas_Odoo!$K:$K=I1478), Facturas_Odoo!$L:$L, ""), ""))</f>
        <v/>
      </c>
      <c r="T1478" s="81">
        <f>IF(Q1478="Sin Factura",0,IFERROR(_xlfn.XLOOKUP(1, (Facturas_Odoo!$D:$D=A1478) * (Facturas_Odoo!$K:$K=I1478), Facturas_Odoo!$M:$M, 0), 0))</f>
        <v/>
      </c>
      <c r="U1478" s="79">
        <f>IF(Q1478="Sin Factura",0,IFERROR(_xlfn.XLOOKUP(1, (Facturas_Odoo!$D:$D=A1478) * (Facturas_Odoo!$K:$K=I1478), Facturas_Odoo!$N:$N, 0), 0))</f>
        <v/>
      </c>
      <c r="V1478" s="79">
        <f>IF(Q1478="Sin Factura",0,IFERROR(_xlfn.XLOOKUP(1, (Facturas_Odoo!$D:$D=A1478) * (Facturas_Odoo!$K:$K=I1478), Facturas_Odoo!$O:$O, 0), 0))</f>
        <v/>
      </c>
      <c r="W1478" s="81">
        <f>IF(Q1478="Sin Factura",0,IFERROR(_xlfn.XLOOKUP(1, (Facturas_Odoo!$D:$D=A1478) * (Facturas_Odoo!$K:$K=I1478), Facturas_Odoo!$Q:$Q, 0), 0))</f>
        <v/>
      </c>
      <c r="X1478" s="79">
        <f>IF(OR(Q1478="Sin Factura",Q1478=""),"",IFERROR(INDEX(Pagos_Odoo!$B:$B, MATCH(Q1478, Pagos_Odoo!$I:$I, 0)), "Sin Pago"))</f>
        <v/>
      </c>
      <c r="Y1478" s="79">
        <f>IF(X1478="Sin Pago","",IFERROR(INDEX(Pagos_Odoo!$C:$C, MATCH(X1478, Pagos_Odoo!$B:$B, 0)), ""))</f>
        <v/>
      </c>
      <c r="Z1478" s="80">
        <f>IF(X1478="Sin Pago","",IFERROR(INDEX(Pagos_Odoo!$A:$A, MATCH(X1478, Pagos_Odoo!$B:$B, 0)), ""))</f>
        <v/>
      </c>
      <c r="AA1478" s="79">
        <f>IF(X1478="Sin Pago","",IFERROR(INDEX(Pagos_Odoo!$F:$F, MATCH(X1478, Pagos_Odoo!$B:$B, 0)), ""))</f>
        <v/>
      </c>
      <c r="AB1478" s="81">
        <f>IF(X1478="Sin Pago",0,IFERROR(INDEX(Pagos_Odoo!$E:$E, MATCH(X1478, Pagos_Odoo!$B:$B, 0)), 0))</f>
        <v/>
      </c>
      <c r="AC1478" s="79">
        <f>IF(X1478="Sin Pago","",IFERROR(INDEX(Pagos_Odoo!$G:$G, MATCH(X1478, Pagos_Odoo!$B:$B, 0)), ""))</f>
        <v/>
      </c>
      <c r="AD1478" s="82" t="n">
        <v>0</v>
      </c>
      <c r="AE1478" s="82" t="n"/>
      <c r="AF1478" s="82" t="n"/>
      <c r="AG1478" s="82">
        <f>IF(AN1478="","",AD1478+AE1478+AF1478)</f>
        <v/>
      </c>
      <c r="AH1478" s="81">
        <f>IF(AN1478="","",P1478*(1-AG1478))</f>
        <v/>
      </c>
      <c r="AI1478" s="81">
        <f>IF(AN1478="","",IF(Q1478="Sin Factura",0,IFERROR(INDEX(Facturas_Odoo!$H:$H, MATCH(Q1478, Facturas_Odoo!$B:$B, 0)), 0)*(1-AG1478)))</f>
        <v/>
      </c>
      <c r="AJ1478" s="81">
        <f>IF(AN1478="","",_xlfn.LET(idVenta, AN1478&amp;"",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78" s="81">
        <f>IF(AN1478="","",AH1478-AJ1478)</f>
        <v/>
      </c>
      <c r="AL1478" s="81">
        <f>IF(AN1478="","",IF(Q1478="Sin Factura","",AI1478-AJ1478))</f>
        <v/>
      </c>
      <c r="AM1478" s="81">
        <f>IF(AN1478="","",IF(Q1478="Sin Factura",0,P1478-IFERROR(INDEX(Facturas_Odoo!$H:$H, MATCH(Q1478, Facturas_Odoo!$B:$B, 0)), 0)))</f>
        <v/>
      </c>
      <c r="AN1478" s="79">
        <f>IF(AND(A1478="", J1478=""), "", IF(A1478&lt;&gt;"", VALUE(MID(A1478,2,LEN(A1478))), AN1477))</f>
        <v/>
      </c>
      <c r="AO1478" s="79">
        <f>IF(AN1478="","",IF(AD1478=0,"OK",_xlfn.LET(monedaPago, IF(AA1478="","USD",AA1478), limitePermitido, IFERROR(VLOOKUP(monedaPago, Configuración!$A$2:$B$3, 2, FALSE), 0.15), IF(AD1478&gt;limitePermitido, "ALERTA: EXCESO (" &amp; TEXT(limitePermitido, "0%") &amp; " máx)", "OK"))))</f>
        <v/>
      </c>
      <c r="AP1478" s="79">
        <f>IF(AN1478="","",IF(AE1478=0,"OK",_xlfn.LET(fechaPago, Z1478, fechaFactura, R1478, diasCredito, IF(E1478="Pago inmediato", 0, IFERROR(VALUE(MID(E1478, 1, SEARCH(" ", E1478)-1)),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78" s="79">
        <f>IF(AN1478="","",IF(AND(N1478&gt;0, AG1478&gt;0), IF(Configuración!$K$2="NO", "ALERTA: DESCUENTO DOBLE NO PERMITIDO", "OK"), "OK"))</f>
        <v/>
      </c>
      <c r="AR1478" s="79">
        <f>IF(AN1478="","",IF(OR(AO1478&lt;&gt;"OK", AP1478&lt;&gt;"OK", AQ1478&lt;&gt;"OK"), "⚠️ REVISAR", "OK"))</f>
        <v/>
      </c>
    </row>
    <row r="1479">
      <c r="A1479" s="79">
        <f>IF('Ordenes_Odoo'!A1479="","",'Ordenes_Odoo'!A1479)</f>
        <v/>
      </c>
      <c r="B1479" s="80">
        <f>IF('Ordenes_Odoo'!B1479="","",'Ordenes_Odoo'!B1479)</f>
        <v/>
      </c>
      <c r="C1479" s="79">
        <f>IF('Ordenes_Odoo'!C1479="","",'Ordenes_Odoo'!C1479)</f>
        <v/>
      </c>
      <c r="D1479" s="79">
        <f>IF('Ordenes_Odoo'!D1479="","",'Ordenes_Odoo'!D1479)</f>
        <v/>
      </c>
      <c r="E1479" s="79">
        <f>IF('Ordenes_Odoo'!E1479="","",'Ordenes_Odoo'!E1479)</f>
        <v/>
      </c>
      <c r="F1479" s="79">
        <f>IF('Ordenes_Odoo'!F1479="","",'Ordenes_Odoo'!F1479)</f>
        <v/>
      </c>
      <c r="G1479" s="79">
        <f>IF('Ordenes_Odoo'!G1479="","",'Ordenes_Odoo'!G1479)</f>
        <v/>
      </c>
      <c r="H1479" s="79">
        <f>IF('Ordenes_Odoo'!H1479="","",'Ordenes_Odoo'!H1479)</f>
        <v/>
      </c>
      <c r="I1479" s="79">
        <f>IF('Ordenes_Odoo'!I1479="","",'Ordenes_Odoo'!I1479)</f>
        <v/>
      </c>
      <c r="J1479" s="79">
        <f>IF('Ordenes_Odoo'!J1479="","",'Ordenes_Odoo'!J1479)</f>
        <v/>
      </c>
      <c r="K1479" s="81">
        <f>IF('Ordenes_Odoo'!K1479="","",'Ordenes_Odoo'!K1479)</f>
        <v/>
      </c>
      <c r="L1479" s="81">
        <f>IF('Ordenes_Odoo'!L1479="","",'Ordenes_Odoo'!L1479)</f>
        <v/>
      </c>
      <c r="M1479" s="79">
        <f>IF('Ordenes_Odoo'!M1479="","",'Ordenes_Odoo'!M1479)</f>
        <v/>
      </c>
      <c r="N1479" s="79">
        <f>IF('Ordenes_Odoo'!N1479="","",'Ordenes_Odoo'!N1479)</f>
        <v/>
      </c>
      <c r="O1479" s="81">
        <f>IF('Ordenes_Odoo'!O1479="","",'Ordenes_Odoo'!O1479)</f>
        <v/>
      </c>
      <c r="P1479" s="81">
        <f>IF('Ordenes_Odoo'!P1479="","",'Ordenes_Odoo'!P1479)</f>
        <v/>
      </c>
      <c r="Q1479" s="79">
        <f>IF(A1479="","",IFERROR(INDEX(Facturas_Odoo!$B:$B, MATCH(A1479, Facturas_Odoo!$D:$D, 0)), "Sin Factura"))</f>
        <v/>
      </c>
      <c r="R1479" s="80">
        <f>IF(Q1479="Sin Factura","",IFERROR(INDEX(Facturas_Odoo!$A:$A, MATCH(Q1479, Facturas_Odoo!$B:$B, 0)), ""))</f>
        <v/>
      </c>
      <c r="S1479" s="79">
        <f>IF(Q1479="Sin Factura","",IFERROR(_xlfn.XLOOKUP(1, (Facturas_Odoo!$D:$D=A1479) * (Facturas_Odoo!$K:$K=I1479), Facturas_Odoo!$L:$L, ""), ""))</f>
        <v/>
      </c>
      <c r="T1479" s="81">
        <f>IF(Q1479="Sin Factura",0,IFERROR(_xlfn.XLOOKUP(1, (Facturas_Odoo!$D:$D=A1479) * (Facturas_Odoo!$K:$K=I1479), Facturas_Odoo!$M:$M, 0), 0))</f>
        <v/>
      </c>
      <c r="U1479" s="79">
        <f>IF(Q1479="Sin Factura",0,IFERROR(_xlfn.XLOOKUP(1, (Facturas_Odoo!$D:$D=A1479) * (Facturas_Odoo!$K:$K=I1479), Facturas_Odoo!$N:$N, 0), 0))</f>
        <v/>
      </c>
      <c r="V1479" s="79">
        <f>IF(Q1479="Sin Factura",0,IFERROR(_xlfn.XLOOKUP(1, (Facturas_Odoo!$D:$D=A1479) * (Facturas_Odoo!$K:$K=I1479), Facturas_Odoo!$O:$O, 0), 0))</f>
        <v/>
      </c>
      <c r="W1479" s="81">
        <f>IF(Q1479="Sin Factura",0,IFERROR(_xlfn.XLOOKUP(1, (Facturas_Odoo!$D:$D=A1479) * (Facturas_Odoo!$K:$K=I1479), Facturas_Odoo!$Q:$Q, 0), 0))</f>
        <v/>
      </c>
      <c r="X1479" s="79">
        <f>IF(OR(Q1479="Sin Factura",Q1479=""),"",IFERROR(INDEX(Pagos_Odoo!$B:$B, MATCH(Q1479, Pagos_Odoo!$I:$I, 0)), "Sin Pago"))</f>
        <v/>
      </c>
      <c r="Y1479" s="79">
        <f>IF(X1479="Sin Pago","",IFERROR(INDEX(Pagos_Odoo!$C:$C, MATCH(X1479, Pagos_Odoo!$B:$B, 0)), ""))</f>
        <v/>
      </c>
      <c r="Z1479" s="80">
        <f>IF(X1479="Sin Pago","",IFERROR(INDEX(Pagos_Odoo!$A:$A, MATCH(X1479, Pagos_Odoo!$B:$B, 0)), ""))</f>
        <v/>
      </c>
      <c r="AA1479" s="79">
        <f>IF(X1479="Sin Pago","",IFERROR(INDEX(Pagos_Odoo!$F:$F, MATCH(X1479, Pagos_Odoo!$B:$B, 0)), ""))</f>
        <v/>
      </c>
      <c r="AB1479" s="81">
        <f>IF(X1479="Sin Pago",0,IFERROR(INDEX(Pagos_Odoo!$E:$E, MATCH(X1479, Pagos_Odoo!$B:$B, 0)), 0))</f>
        <v/>
      </c>
      <c r="AC1479" s="79">
        <f>IF(X1479="Sin Pago","",IFERROR(INDEX(Pagos_Odoo!$G:$G, MATCH(X1479, Pagos_Odoo!$B:$B, 0)), ""))</f>
        <v/>
      </c>
      <c r="AD1479" s="82" t="n">
        <v>0</v>
      </c>
      <c r="AE1479" s="82" t="n"/>
      <c r="AF1479" s="82" t="n"/>
      <c r="AG1479" s="82">
        <f>IF(AN1479="","",AD1479+AE1479+AF1479)</f>
        <v/>
      </c>
      <c r="AH1479" s="81">
        <f>IF(AN1479="","",P1479*(1-AG1479))</f>
        <v/>
      </c>
      <c r="AI1479" s="81">
        <f>IF(AN1479="","",IF(Q1479="Sin Factura",0,IFERROR(INDEX(Facturas_Odoo!$H:$H, MATCH(Q1479, Facturas_Odoo!$B:$B, 0)), 0)*(1-AG1479)))</f>
        <v/>
      </c>
      <c r="AJ1479" s="81">
        <f>IF(AN1479="","",_xlfn.LET(idVenta, AN1479&amp;"",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79" s="81">
        <f>IF(AN1479="","",AH1479-AJ1479)</f>
        <v/>
      </c>
      <c r="AL1479" s="81">
        <f>IF(AN1479="","",IF(Q1479="Sin Factura","",AI1479-AJ1479))</f>
        <v/>
      </c>
      <c r="AM1479" s="81">
        <f>IF(AN1479="","",IF(Q1479="Sin Factura",0,P1479-IFERROR(INDEX(Facturas_Odoo!$H:$H, MATCH(Q1479, Facturas_Odoo!$B:$B, 0)), 0)))</f>
        <v/>
      </c>
      <c r="AN1479" s="79">
        <f>IF(AND(A1479="", J1479=""), "", IF(A1479&lt;&gt;"", VALUE(MID(A1479,2,LEN(A1479))), AN1478))</f>
        <v/>
      </c>
      <c r="AO1479" s="79">
        <f>IF(AN1479="","",IF(AD1479=0,"OK",_xlfn.LET(monedaPago, IF(AA1479="","USD",AA1479), limitePermitido, IFERROR(VLOOKUP(monedaPago, Configuración!$A$2:$B$3, 2, FALSE), 0.15), IF(AD1479&gt;limitePermitido, "ALERTA: EXCESO (" &amp; TEXT(limitePermitido, "0%") &amp; " máx)", "OK"))))</f>
        <v/>
      </c>
      <c r="AP1479" s="79">
        <f>IF(AN1479="","",IF(AE1479=0,"OK",_xlfn.LET(fechaPago, Z1479, fechaFactura, R1479, diasCredito, IF(E1479="Pago inmediato", 0, IFERROR(VALUE(MID(E1479, 1, SEARCH(" ", E1479)-1)),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79" s="79">
        <f>IF(AN1479="","",IF(AND(N1479&gt;0, AG1479&gt;0), IF(Configuración!$K$2="NO", "ALERTA: DESCUENTO DOBLE NO PERMITIDO", "OK"), "OK"))</f>
        <v/>
      </c>
      <c r="AR1479" s="79">
        <f>IF(AN1479="","",IF(OR(AO1479&lt;&gt;"OK", AP1479&lt;&gt;"OK", AQ1479&lt;&gt;"OK"), "⚠️ REVISAR", "OK"))</f>
        <v/>
      </c>
    </row>
    <row r="1480">
      <c r="A1480" s="79">
        <f>IF('Ordenes_Odoo'!A1480="","",'Ordenes_Odoo'!A1480)</f>
        <v/>
      </c>
      <c r="B1480" s="80">
        <f>IF('Ordenes_Odoo'!B1480="","",'Ordenes_Odoo'!B1480)</f>
        <v/>
      </c>
      <c r="C1480" s="79">
        <f>IF('Ordenes_Odoo'!C1480="","",'Ordenes_Odoo'!C1480)</f>
        <v/>
      </c>
      <c r="D1480" s="79">
        <f>IF('Ordenes_Odoo'!D1480="","",'Ordenes_Odoo'!D1480)</f>
        <v/>
      </c>
      <c r="E1480" s="79">
        <f>IF('Ordenes_Odoo'!E1480="","",'Ordenes_Odoo'!E1480)</f>
        <v/>
      </c>
      <c r="F1480" s="79">
        <f>IF('Ordenes_Odoo'!F1480="","",'Ordenes_Odoo'!F1480)</f>
        <v/>
      </c>
      <c r="G1480" s="79">
        <f>IF('Ordenes_Odoo'!G1480="","",'Ordenes_Odoo'!G1480)</f>
        <v/>
      </c>
      <c r="H1480" s="79">
        <f>IF('Ordenes_Odoo'!H1480="","",'Ordenes_Odoo'!H1480)</f>
        <v/>
      </c>
      <c r="I1480" s="79">
        <f>IF('Ordenes_Odoo'!I1480="","",'Ordenes_Odoo'!I1480)</f>
        <v/>
      </c>
      <c r="J1480" s="79">
        <f>IF('Ordenes_Odoo'!J1480="","",'Ordenes_Odoo'!J1480)</f>
        <v/>
      </c>
      <c r="K1480" s="81">
        <f>IF('Ordenes_Odoo'!K1480="","",'Ordenes_Odoo'!K1480)</f>
        <v/>
      </c>
      <c r="L1480" s="81">
        <f>IF('Ordenes_Odoo'!L1480="","",'Ordenes_Odoo'!L1480)</f>
        <v/>
      </c>
      <c r="M1480" s="79">
        <f>IF('Ordenes_Odoo'!M1480="","",'Ordenes_Odoo'!M1480)</f>
        <v/>
      </c>
      <c r="N1480" s="79">
        <f>IF('Ordenes_Odoo'!N1480="","",'Ordenes_Odoo'!N1480)</f>
        <v/>
      </c>
      <c r="O1480" s="81">
        <f>IF('Ordenes_Odoo'!O1480="","",'Ordenes_Odoo'!O1480)</f>
        <v/>
      </c>
      <c r="P1480" s="81">
        <f>IF('Ordenes_Odoo'!P1480="","",'Ordenes_Odoo'!P1480)</f>
        <v/>
      </c>
      <c r="Q1480" s="79">
        <f>IF(A1480="","",IFERROR(INDEX(Facturas_Odoo!$B:$B, MATCH(A1480, Facturas_Odoo!$D:$D, 0)), "Sin Factura"))</f>
        <v/>
      </c>
      <c r="R1480" s="80">
        <f>IF(Q1480="Sin Factura","",IFERROR(INDEX(Facturas_Odoo!$A:$A, MATCH(Q1480, Facturas_Odoo!$B:$B, 0)), ""))</f>
        <v/>
      </c>
      <c r="S1480" s="79">
        <f>IF(Q1480="Sin Factura","",IFERROR(_xlfn.XLOOKUP(1, (Facturas_Odoo!$D:$D=A1480) * (Facturas_Odoo!$K:$K=I1480), Facturas_Odoo!$L:$L, ""), ""))</f>
        <v/>
      </c>
      <c r="T1480" s="81">
        <f>IF(Q1480="Sin Factura",0,IFERROR(_xlfn.XLOOKUP(1, (Facturas_Odoo!$D:$D=A1480) * (Facturas_Odoo!$K:$K=I1480), Facturas_Odoo!$M:$M, 0), 0))</f>
        <v/>
      </c>
      <c r="U1480" s="79">
        <f>IF(Q1480="Sin Factura",0,IFERROR(_xlfn.XLOOKUP(1, (Facturas_Odoo!$D:$D=A1480) * (Facturas_Odoo!$K:$K=I1480), Facturas_Odoo!$N:$N, 0), 0))</f>
        <v/>
      </c>
      <c r="V1480" s="79">
        <f>IF(Q1480="Sin Factura",0,IFERROR(_xlfn.XLOOKUP(1, (Facturas_Odoo!$D:$D=A1480) * (Facturas_Odoo!$K:$K=I1480), Facturas_Odoo!$O:$O, 0), 0))</f>
        <v/>
      </c>
      <c r="W1480" s="81">
        <f>IF(Q1480="Sin Factura",0,IFERROR(_xlfn.XLOOKUP(1, (Facturas_Odoo!$D:$D=A1480) * (Facturas_Odoo!$K:$K=I1480), Facturas_Odoo!$Q:$Q, 0), 0))</f>
        <v/>
      </c>
      <c r="X1480" s="79">
        <f>IF(OR(Q1480="Sin Factura",Q1480=""),"",IFERROR(INDEX(Pagos_Odoo!$B:$B, MATCH(Q1480, Pagos_Odoo!$I:$I, 0)), "Sin Pago"))</f>
        <v/>
      </c>
      <c r="Y1480" s="79">
        <f>IF(X1480="Sin Pago","",IFERROR(INDEX(Pagos_Odoo!$C:$C, MATCH(X1480, Pagos_Odoo!$B:$B, 0)), ""))</f>
        <v/>
      </c>
      <c r="Z1480" s="80">
        <f>IF(X1480="Sin Pago","",IFERROR(INDEX(Pagos_Odoo!$A:$A, MATCH(X1480, Pagos_Odoo!$B:$B, 0)), ""))</f>
        <v/>
      </c>
      <c r="AA1480" s="79">
        <f>IF(X1480="Sin Pago","",IFERROR(INDEX(Pagos_Odoo!$F:$F, MATCH(X1480, Pagos_Odoo!$B:$B, 0)), ""))</f>
        <v/>
      </c>
      <c r="AB1480" s="81">
        <f>IF(X1480="Sin Pago",0,IFERROR(INDEX(Pagos_Odoo!$E:$E, MATCH(X1480, Pagos_Odoo!$B:$B, 0)), 0))</f>
        <v/>
      </c>
      <c r="AC1480" s="79">
        <f>IF(X1480="Sin Pago","",IFERROR(INDEX(Pagos_Odoo!$G:$G, MATCH(X1480, Pagos_Odoo!$B:$B, 0)), ""))</f>
        <v/>
      </c>
      <c r="AD1480" s="82" t="n">
        <v>0</v>
      </c>
      <c r="AE1480" s="82" t="n"/>
      <c r="AF1480" s="82" t="n"/>
      <c r="AG1480" s="82">
        <f>IF(AN1480="","",AD1480+AE1480+AF1480)</f>
        <v/>
      </c>
      <c r="AH1480" s="81">
        <f>IF(AN1480="","",P1480*(1-AG1480))</f>
        <v/>
      </c>
      <c r="AI1480" s="81">
        <f>IF(AN1480="","",IF(Q1480="Sin Factura",0,IFERROR(INDEX(Facturas_Odoo!$H:$H, MATCH(Q1480, Facturas_Odoo!$B:$B, 0)), 0)*(1-AG1480)))</f>
        <v/>
      </c>
      <c r="AJ1480" s="81">
        <f>IF(AN1480="","",_xlfn.LET(idVenta, AN1480&amp;"",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80" s="81">
        <f>IF(AN1480="","",AH1480-AJ1480)</f>
        <v/>
      </c>
      <c r="AL1480" s="81">
        <f>IF(AN1480="","",IF(Q1480="Sin Factura","",AI1480-AJ1480))</f>
        <v/>
      </c>
      <c r="AM1480" s="81">
        <f>IF(AN1480="","",IF(Q1480="Sin Factura",0,P1480-IFERROR(INDEX(Facturas_Odoo!$H:$H, MATCH(Q1480, Facturas_Odoo!$B:$B, 0)), 0)))</f>
        <v/>
      </c>
      <c r="AN1480" s="79">
        <f>IF(AND(A1480="", J1480=""), "", IF(A1480&lt;&gt;"", VALUE(MID(A1480,2,LEN(A1480))), AN1479))</f>
        <v/>
      </c>
      <c r="AO1480" s="79">
        <f>IF(AN1480="","",IF(AD1480=0,"OK",_xlfn.LET(monedaPago, IF(AA1480="","USD",AA1480), limitePermitido, IFERROR(VLOOKUP(monedaPago, Configuración!$A$2:$B$3, 2, FALSE), 0.15), IF(AD1480&gt;limitePermitido, "ALERTA: EXCESO (" &amp; TEXT(limitePermitido, "0%") &amp; " máx)", "OK"))))</f>
        <v/>
      </c>
      <c r="AP1480" s="79">
        <f>IF(AN1480="","",IF(AE1480=0,"OK",_xlfn.LET(fechaPago, Z1480, fechaFactura, R1480, diasCredito, IF(E1480="Pago inmediato", 0, IFERROR(VALUE(MID(E1480, 1, SEARCH(" ", E1480)-1)),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80" s="79">
        <f>IF(AN1480="","",IF(AND(N1480&gt;0, AG1480&gt;0), IF(Configuración!$K$2="NO", "ALERTA: DESCUENTO DOBLE NO PERMITIDO", "OK"), "OK"))</f>
        <v/>
      </c>
      <c r="AR1480" s="79">
        <f>IF(AN1480="","",IF(OR(AO1480&lt;&gt;"OK", AP1480&lt;&gt;"OK", AQ1480&lt;&gt;"OK"), "⚠️ REVISAR", "OK"))</f>
        <v/>
      </c>
    </row>
    <row r="1481">
      <c r="A1481" s="79">
        <f>IF('Ordenes_Odoo'!A1481="","",'Ordenes_Odoo'!A1481)</f>
        <v/>
      </c>
      <c r="B1481" s="80">
        <f>IF('Ordenes_Odoo'!B1481="","",'Ordenes_Odoo'!B1481)</f>
        <v/>
      </c>
      <c r="C1481" s="79">
        <f>IF('Ordenes_Odoo'!C1481="","",'Ordenes_Odoo'!C1481)</f>
        <v/>
      </c>
      <c r="D1481" s="79">
        <f>IF('Ordenes_Odoo'!D1481="","",'Ordenes_Odoo'!D1481)</f>
        <v/>
      </c>
      <c r="E1481" s="79">
        <f>IF('Ordenes_Odoo'!E1481="","",'Ordenes_Odoo'!E1481)</f>
        <v/>
      </c>
      <c r="F1481" s="79">
        <f>IF('Ordenes_Odoo'!F1481="","",'Ordenes_Odoo'!F1481)</f>
        <v/>
      </c>
      <c r="G1481" s="79">
        <f>IF('Ordenes_Odoo'!G1481="","",'Ordenes_Odoo'!G1481)</f>
        <v/>
      </c>
      <c r="H1481" s="79">
        <f>IF('Ordenes_Odoo'!H1481="","",'Ordenes_Odoo'!H1481)</f>
        <v/>
      </c>
      <c r="I1481" s="79">
        <f>IF('Ordenes_Odoo'!I1481="","",'Ordenes_Odoo'!I1481)</f>
        <v/>
      </c>
      <c r="J1481" s="79">
        <f>IF('Ordenes_Odoo'!J1481="","",'Ordenes_Odoo'!J1481)</f>
        <v/>
      </c>
      <c r="K1481" s="81">
        <f>IF('Ordenes_Odoo'!K1481="","",'Ordenes_Odoo'!K1481)</f>
        <v/>
      </c>
      <c r="L1481" s="81">
        <f>IF('Ordenes_Odoo'!L1481="","",'Ordenes_Odoo'!L1481)</f>
        <v/>
      </c>
      <c r="M1481" s="79">
        <f>IF('Ordenes_Odoo'!M1481="","",'Ordenes_Odoo'!M1481)</f>
        <v/>
      </c>
      <c r="N1481" s="79">
        <f>IF('Ordenes_Odoo'!N1481="","",'Ordenes_Odoo'!N1481)</f>
        <v/>
      </c>
      <c r="O1481" s="81">
        <f>IF('Ordenes_Odoo'!O1481="","",'Ordenes_Odoo'!O1481)</f>
        <v/>
      </c>
      <c r="P1481" s="81">
        <f>IF('Ordenes_Odoo'!P1481="","",'Ordenes_Odoo'!P1481)</f>
        <v/>
      </c>
      <c r="Q1481" s="79">
        <f>IF(A1481="","",IFERROR(INDEX(Facturas_Odoo!$B:$B, MATCH(A1481, Facturas_Odoo!$D:$D, 0)), "Sin Factura"))</f>
        <v/>
      </c>
      <c r="R1481" s="80">
        <f>IF(Q1481="Sin Factura","",IFERROR(INDEX(Facturas_Odoo!$A:$A, MATCH(Q1481, Facturas_Odoo!$B:$B, 0)), ""))</f>
        <v/>
      </c>
      <c r="S1481" s="79">
        <f>IF(Q1481="Sin Factura","",IFERROR(_xlfn.XLOOKUP(1, (Facturas_Odoo!$D:$D=A1481) * (Facturas_Odoo!$K:$K=I1481), Facturas_Odoo!$L:$L, ""), ""))</f>
        <v/>
      </c>
      <c r="T1481" s="81">
        <f>IF(Q1481="Sin Factura",0,IFERROR(_xlfn.XLOOKUP(1, (Facturas_Odoo!$D:$D=A1481) * (Facturas_Odoo!$K:$K=I1481), Facturas_Odoo!$M:$M, 0), 0))</f>
        <v/>
      </c>
      <c r="U1481" s="79">
        <f>IF(Q1481="Sin Factura",0,IFERROR(_xlfn.XLOOKUP(1, (Facturas_Odoo!$D:$D=A1481) * (Facturas_Odoo!$K:$K=I1481), Facturas_Odoo!$N:$N, 0), 0))</f>
        <v/>
      </c>
      <c r="V1481" s="79">
        <f>IF(Q1481="Sin Factura",0,IFERROR(_xlfn.XLOOKUP(1, (Facturas_Odoo!$D:$D=A1481) * (Facturas_Odoo!$K:$K=I1481), Facturas_Odoo!$O:$O, 0), 0))</f>
        <v/>
      </c>
      <c r="W1481" s="81">
        <f>IF(Q1481="Sin Factura",0,IFERROR(_xlfn.XLOOKUP(1, (Facturas_Odoo!$D:$D=A1481) * (Facturas_Odoo!$K:$K=I1481), Facturas_Odoo!$Q:$Q, 0), 0))</f>
        <v/>
      </c>
      <c r="X1481" s="79">
        <f>IF(OR(Q1481="Sin Factura",Q1481=""),"",IFERROR(INDEX(Pagos_Odoo!$B:$B, MATCH(Q1481, Pagos_Odoo!$I:$I, 0)), "Sin Pago"))</f>
        <v/>
      </c>
      <c r="Y1481" s="79">
        <f>IF(X1481="Sin Pago","",IFERROR(INDEX(Pagos_Odoo!$C:$C, MATCH(X1481, Pagos_Odoo!$B:$B, 0)), ""))</f>
        <v/>
      </c>
      <c r="Z1481" s="80">
        <f>IF(X1481="Sin Pago","",IFERROR(INDEX(Pagos_Odoo!$A:$A, MATCH(X1481, Pagos_Odoo!$B:$B, 0)), ""))</f>
        <v/>
      </c>
      <c r="AA1481" s="79">
        <f>IF(X1481="Sin Pago","",IFERROR(INDEX(Pagos_Odoo!$F:$F, MATCH(X1481, Pagos_Odoo!$B:$B, 0)), ""))</f>
        <v/>
      </c>
      <c r="AB1481" s="81">
        <f>IF(X1481="Sin Pago",0,IFERROR(INDEX(Pagos_Odoo!$E:$E, MATCH(X1481, Pagos_Odoo!$B:$B, 0)), 0))</f>
        <v/>
      </c>
      <c r="AC1481" s="79">
        <f>IF(X1481="Sin Pago","",IFERROR(INDEX(Pagos_Odoo!$G:$G, MATCH(X1481, Pagos_Odoo!$B:$B, 0)), ""))</f>
        <v/>
      </c>
      <c r="AD1481" s="82" t="n">
        <v>0</v>
      </c>
      <c r="AE1481" s="82" t="n"/>
      <c r="AF1481" s="82" t="n"/>
      <c r="AG1481" s="82">
        <f>IF(AN1481="","",AD1481+AE1481+AF1481)</f>
        <v/>
      </c>
      <c r="AH1481" s="81">
        <f>IF(AN1481="","",P1481*(1-AG1481))</f>
        <v/>
      </c>
      <c r="AI1481" s="81">
        <f>IF(AN1481="","",IF(Q1481="Sin Factura",0,IFERROR(INDEX(Facturas_Odoo!$H:$H, MATCH(Q1481, Facturas_Odoo!$B:$B, 0)), 0)*(1-AG1481)))</f>
        <v/>
      </c>
      <c r="AJ1481" s="81">
        <f>IF(AN1481="","",_xlfn.LET(idVenta, AN1481&amp;"",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81" s="81">
        <f>IF(AN1481="","",AH1481-AJ1481)</f>
        <v/>
      </c>
      <c r="AL1481" s="81">
        <f>IF(AN1481="","",IF(Q1481="Sin Factura","",AI1481-AJ1481))</f>
        <v/>
      </c>
      <c r="AM1481" s="81">
        <f>IF(AN1481="","",IF(Q1481="Sin Factura",0,P1481-IFERROR(INDEX(Facturas_Odoo!$H:$H, MATCH(Q1481, Facturas_Odoo!$B:$B, 0)), 0)))</f>
        <v/>
      </c>
      <c r="AN1481" s="79">
        <f>IF(AND(A1481="", J1481=""), "", IF(A1481&lt;&gt;"", VALUE(MID(A1481,2,LEN(A1481))), AN1480))</f>
        <v/>
      </c>
      <c r="AO1481" s="79">
        <f>IF(AN1481="","",IF(AD1481=0,"OK",_xlfn.LET(monedaPago, IF(AA1481="","USD",AA1481), limitePermitido, IFERROR(VLOOKUP(monedaPago, Configuración!$A$2:$B$3, 2, FALSE), 0.15), IF(AD1481&gt;limitePermitido, "ALERTA: EXCESO (" &amp; TEXT(limitePermitido, "0%") &amp; " máx)", "OK"))))</f>
        <v/>
      </c>
      <c r="AP1481" s="79">
        <f>IF(AN1481="","",IF(AE1481=0,"OK",_xlfn.LET(fechaPago, Z1481, fechaFactura, R1481, diasCredito, IF(E1481="Pago inmediato", 0, IFERROR(VALUE(MID(E1481, 1, SEARCH(" ", E1481)-1)),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81" s="79">
        <f>IF(AN1481="","",IF(AND(N1481&gt;0, AG1481&gt;0), IF(Configuración!$K$2="NO", "ALERTA: DESCUENTO DOBLE NO PERMITIDO", "OK"), "OK"))</f>
        <v/>
      </c>
      <c r="AR1481" s="79">
        <f>IF(AN1481="","",IF(OR(AO1481&lt;&gt;"OK", AP1481&lt;&gt;"OK", AQ1481&lt;&gt;"OK"), "⚠️ REVISAR", "OK"))</f>
        <v/>
      </c>
    </row>
    <row r="1482">
      <c r="A1482" s="79">
        <f>IF('Ordenes_Odoo'!A1482="","",'Ordenes_Odoo'!A1482)</f>
        <v/>
      </c>
      <c r="B1482" s="80">
        <f>IF('Ordenes_Odoo'!B1482="","",'Ordenes_Odoo'!B1482)</f>
        <v/>
      </c>
      <c r="C1482" s="79">
        <f>IF('Ordenes_Odoo'!C1482="","",'Ordenes_Odoo'!C1482)</f>
        <v/>
      </c>
      <c r="D1482" s="79">
        <f>IF('Ordenes_Odoo'!D1482="","",'Ordenes_Odoo'!D1482)</f>
        <v/>
      </c>
      <c r="E1482" s="79">
        <f>IF('Ordenes_Odoo'!E1482="","",'Ordenes_Odoo'!E1482)</f>
        <v/>
      </c>
      <c r="F1482" s="79">
        <f>IF('Ordenes_Odoo'!F1482="","",'Ordenes_Odoo'!F1482)</f>
        <v/>
      </c>
      <c r="G1482" s="79">
        <f>IF('Ordenes_Odoo'!G1482="","",'Ordenes_Odoo'!G1482)</f>
        <v/>
      </c>
      <c r="H1482" s="79">
        <f>IF('Ordenes_Odoo'!H1482="","",'Ordenes_Odoo'!H1482)</f>
        <v/>
      </c>
      <c r="I1482" s="79">
        <f>IF('Ordenes_Odoo'!I1482="","",'Ordenes_Odoo'!I1482)</f>
        <v/>
      </c>
      <c r="J1482" s="79">
        <f>IF('Ordenes_Odoo'!J1482="","",'Ordenes_Odoo'!J1482)</f>
        <v/>
      </c>
      <c r="K1482" s="81">
        <f>IF('Ordenes_Odoo'!K1482="","",'Ordenes_Odoo'!K1482)</f>
        <v/>
      </c>
      <c r="L1482" s="81">
        <f>IF('Ordenes_Odoo'!L1482="","",'Ordenes_Odoo'!L1482)</f>
        <v/>
      </c>
      <c r="M1482" s="79">
        <f>IF('Ordenes_Odoo'!M1482="","",'Ordenes_Odoo'!M1482)</f>
        <v/>
      </c>
      <c r="N1482" s="79">
        <f>IF('Ordenes_Odoo'!N1482="","",'Ordenes_Odoo'!N1482)</f>
        <v/>
      </c>
      <c r="O1482" s="81">
        <f>IF('Ordenes_Odoo'!O1482="","",'Ordenes_Odoo'!O1482)</f>
        <v/>
      </c>
      <c r="P1482" s="81">
        <f>IF('Ordenes_Odoo'!P1482="","",'Ordenes_Odoo'!P1482)</f>
        <v/>
      </c>
      <c r="Q1482" s="79">
        <f>IF(A1482="","",IFERROR(INDEX(Facturas_Odoo!$B:$B, MATCH(A1482, Facturas_Odoo!$D:$D, 0)), "Sin Factura"))</f>
        <v/>
      </c>
      <c r="R1482" s="80">
        <f>IF(Q1482="Sin Factura","",IFERROR(INDEX(Facturas_Odoo!$A:$A, MATCH(Q1482, Facturas_Odoo!$B:$B, 0)), ""))</f>
        <v/>
      </c>
      <c r="S1482" s="79">
        <f>IF(Q1482="Sin Factura","",IFERROR(_xlfn.XLOOKUP(1, (Facturas_Odoo!$D:$D=A1482) * (Facturas_Odoo!$K:$K=I1482), Facturas_Odoo!$L:$L, ""), ""))</f>
        <v/>
      </c>
      <c r="T1482" s="81">
        <f>IF(Q1482="Sin Factura",0,IFERROR(_xlfn.XLOOKUP(1, (Facturas_Odoo!$D:$D=A1482) * (Facturas_Odoo!$K:$K=I1482), Facturas_Odoo!$M:$M, 0), 0))</f>
        <v/>
      </c>
      <c r="U1482" s="79">
        <f>IF(Q1482="Sin Factura",0,IFERROR(_xlfn.XLOOKUP(1, (Facturas_Odoo!$D:$D=A1482) * (Facturas_Odoo!$K:$K=I1482), Facturas_Odoo!$N:$N, 0), 0))</f>
        <v/>
      </c>
      <c r="V1482" s="79">
        <f>IF(Q1482="Sin Factura",0,IFERROR(_xlfn.XLOOKUP(1, (Facturas_Odoo!$D:$D=A1482) * (Facturas_Odoo!$K:$K=I1482), Facturas_Odoo!$O:$O, 0), 0))</f>
        <v/>
      </c>
      <c r="W1482" s="81">
        <f>IF(Q1482="Sin Factura",0,IFERROR(_xlfn.XLOOKUP(1, (Facturas_Odoo!$D:$D=A1482) * (Facturas_Odoo!$K:$K=I1482), Facturas_Odoo!$Q:$Q, 0), 0))</f>
        <v/>
      </c>
      <c r="X1482" s="79">
        <f>IF(OR(Q1482="Sin Factura",Q1482=""),"",IFERROR(INDEX(Pagos_Odoo!$B:$B, MATCH(Q1482, Pagos_Odoo!$I:$I, 0)), "Sin Pago"))</f>
        <v/>
      </c>
      <c r="Y1482" s="79">
        <f>IF(X1482="Sin Pago","",IFERROR(INDEX(Pagos_Odoo!$C:$C, MATCH(X1482, Pagos_Odoo!$B:$B, 0)), ""))</f>
        <v/>
      </c>
      <c r="Z1482" s="80">
        <f>IF(X1482="Sin Pago","",IFERROR(INDEX(Pagos_Odoo!$A:$A, MATCH(X1482, Pagos_Odoo!$B:$B, 0)), ""))</f>
        <v/>
      </c>
      <c r="AA1482" s="79">
        <f>IF(X1482="Sin Pago","",IFERROR(INDEX(Pagos_Odoo!$F:$F, MATCH(X1482, Pagos_Odoo!$B:$B, 0)), ""))</f>
        <v/>
      </c>
      <c r="AB1482" s="81">
        <f>IF(X1482="Sin Pago",0,IFERROR(INDEX(Pagos_Odoo!$E:$E, MATCH(X1482, Pagos_Odoo!$B:$B, 0)), 0))</f>
        <v/>
      </c>
      <c r="AC1482" s="79">
        <f>IF(X1482="Sin Pago","",IFERROR(INDEX(Pagos_Odoo!$G:$G, MATCH(X1482, Pagos_Odoo!$B:$B, 0)), ""))</f>
        <v/>
      </c>
      <c r="AD1482" s="82" t="n">
        <v>0</v>
      </c>
      <c r="AE1482" s="82" t="n"/>
      <c r="AF1482" s="82" t="n"/>
      <c r="AG1482" s="82">
        <f>IF(AN1482="","",AD1482+AE1482+AF1482)</f>
        <v/>
      </c>
      <c r="AH1482" s="81">
        <f>IF(AN1482="","",P1482*(1-AG1482))</f>
        <v/>
      </c>
      <c r="AI1482" s="81">
        <f>IF(AN1482="","",IF(Q1482="Sin Factura",0,IFERROR(INDEX(Facturas_Odoo!$H:$H, MATCH(Q1482, Facturas_Odoo!$B:$B, 0)), 0)*(1-AG1482)))</f>
        <v/>
      </c>
      <c r="AJ1482" s="81">
        <f>IF(AN1482="","",_xlfn.LET(idVenta, AN1482&amp;"",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82" s="81">
        <f>IF(AN1482="","",AH1482-AJ1482)</f>
        <v/>
      </c>
      <c r="AL1482" s="81">
        <f>IF(AN1482="","",IF(Q1482="Sin Factura","",AI1482-AJ1482))</f>
        <v/>
      </c>
      <c r="AM1482" s="81">
        <f>IF(AN1482="","",IF(Q1482="Sin Factura",0,P1482-IFERROR(INDEX(Facturas_Odoo!$H:$H, MATCH(Q1482, Facturas_Odoo!$B:$B, 0)), 0)))</f>
        <v/>
      </c>
      <c r="AN1482" s="79">
        <f>IF(AND(A1482="", J1482=""), "", IF(A1482&lt;&gt;"", VALUE(MID(A1482,2,LEN(A1482))), AN1481))</f>
        <v/>
      </c>
      <c r="AO1482" s="79">
        <f>IF(AN1482="","",IF(AD1482=0,"OK",_xlfn.LET(monedaPago, IF(AA1482="","USD",AA1482), limitePermitido, IFERROR(VLOOKUP(monedaPago, Configuración!$A$2:$B$3, 2, FALSE), 0.15), IF(AD1482&gt;limitePermitido, "ALERTA: EXCESO (" &amp; TEXT(limitePermitido, "0%") &amp; " máx)", "OK"))))</f>
        <v/>
      </c>
      <c r="AP1482" s="79">
        <f>IF(AN1482="","",IF(AE1482=0,"OK",_xlfn.LET(fechaPago, Z1482, fechaFactura, R1482, diasCredito, IF(E1482="Pago inmediato", 0, IFERROR(VALUE(MID(E1482, 1, SEARCH(" ", E1482)-1)),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82" s="79">
        <f>IF(AN1482="","",IF(AND(N1482&gt;0, AG1482&gt;0), IF(Configuración!$K$2="NO", "ALERTA: DESCUENTO DOBLE NO PERMITIDO", "OK"), "OK"))</f>
        <v/>
      </c>
      <c r="AR1482" s="79">
        <f>IF(AN1482="","",IF(OR(AO1482&lt;&gt;"OK", AP1482&lt;&gt;"OK", AQ1482&lt;&gt;"OK"), "⚠️ REVISAR", "OK"))</f>
        <v/>
      </c>
    </row>
    <row r="1483">
      <c r="A1483" s="79">
        <f>IF('Ordenes_Odoo'!A1483="","",'Ordenes_Odoo'!A1483)</f>
        <v/>
      </c>
      <c r="B1483" s="80">
        <f>IF('Ordenes_Odoo'!B1483="","",'Ordenes_Odoo'!B1483)</f>
        <v/>
      </c>
      <c r="C1483" s="79">
        <f>IF('Ordenes_Odoo'!C1483="","",'Ordenes_Odoo'!C1483)</f>
        <v/>
      </c>
      <c r="D1483" s="79">
        <f>IF('Ordenes_Odoo'!D1483="","",'Ordenes_Odoo'!D1483)</f>
        <v/>
      </c>
      <c r="E1483" s="79">
        <f>IF('Ordenes_Odoo'!E1483="","",'Ordenes_Odoo'!E1483)</f>
        <v/>
      </c>
      <c r="F1483" s="79">
        <f>IF('Ordenes_Odoo'!F1483="","",'Ordenes_Odoo'!F1483)</f>
        <v/>
      </c>
      <c r="G1483" s="79">
        <f>IF('Ordenes_Odoo'!G1483="","",'Ordenes_Odoo'!G1483)</f>
        <v/>
      </c>
      <c r="H1483" s="79">
        <f>IF('Ordenes_Odoo'!H1483="","",'Ordenes_Odoo'!H1483)</f>
        <v/>
      </c>
      <c r="I1483" s="79">
        <f>IF('Ordenes_Odoo'!I1483="","",'Ordenes_Odoo'!I1483)</f>
        <v/>
      </c>
      <c r="J1483" s="79">
        <f>IF('Ordenes_Odoo'!J1483="","",'Ordenes_Odoo'!J1483)</f>
        <v/>
      </c>
      <c r="K1483" s="81">
        <f>IF('Ordenes_Odoo'!K1483="","",'Ordenes_Odoo'!K1483)</f>
        <v/>
      </c>
      <c r="L1483" s="81">
        <f>IF('Ordenes_Odoo'!L1483="","",'Ordenes_Odoo'!L1483)</f>
        <v/>
      </c>
      <c r="M1483" s="79">
        <f>IF('Ordenes_Odoo'!M1483="","",'Ordenes_Odoo'!M1483)</f>
        <v/>
      </c>
      <c r="N1483" s="79">
        <f>IF('Ordenes_Odoo'!N1483="","",'Ordenes_Odoo'!N1483)</f>
        <v/>
      </c>
      <c r="O1483" s="81">
        <f>IF('Ordenes_Odoo'!O1483="","",'Ordenes_Odoo'!O1483)</f>
        <v/>
      </c>
      <c r="P1483" s="81">
        <f>IF('Ordenes_Odoo'!P1483="","",'Ordenes_Odoo'!P1483)</f>
        <v/>
      </c>
      <c r="Q1483" s="79">
        <f>IF(A1483="","",IFERROR(INDEX(Facturas_Odoo!$B:$B, MATCH(A1483, Facturas_Odoo!$D:$D, 0)), "Sin Factura"))</f>
        <v/>
      </c>
      <c r="R1483" s="80">
        <f>IF(Q1483="Sin Factura","",IFERROR(INDEX(Facturas_Odoo!$A:$A, MATCH(Q1483, Facturas_Odoo!$B:$B, 0)), ""))</f>
        <v/>
      </c>
      <c r="S1483" s="79">
        <f>IF(Q1483="Sin Factura","",IFERROR(_xlfn.XLOOKUP(1, (Facturas_Odoo!$D:$D=A1483) * (Facturas_Odoo!$K:$K=I1483), Facturas_Odoo!$L:$L, ""), ""))</f>
        <v/>
      </c>
      <c r="T1483" s="81">
        <f>IF(Q1483="Sin Factura",0,IFERROR(_xlfn.XLOOKUP(1, (Facturas_Odoo!$D:$D=A1483) * (Facturas_Odoo!$K:$K=I1483), Facturas_Odoo!$M:$M, 0), 0))</f>
        <v/>
      </c>
      <c r="U1483" s="79">
        <f>IF(Q1483="Sin Factura",0,IFERROR(_xlfn.XLOOKUP(1, (Facturas_Odoo!$D:$D=A1483) * (Facturas_Odoo!$K:$K=I1483), Facturas_Odoo!$N:$N, 0), 0))</f>
        <v/>
      </c>
      <c r="V1483" s="79">
        <f>IF(Q1483="Sin Factura",0,IFERROR(_xlfn.XLOOKUP(1, (Facturas_Odoo!$D:$D=A1483) * (Facturas_Odoo!$K:$K=I1483), Facturas_Odoo!$O:$O, 0), 0))</f>
        <v/>
      </c>
      <c r="W1483" s="81">
        <f>IF(Q1483="Sin Factura",0,IFERROR(_xlfn.XLOOKUP(1, (Facturas_Odoo!$D:$D=A1483) * (Facturas_Odoo!$K:$K=I1483), Facturas_Odoo!$Q:$Q, 0), 0))</f>
        <v/>
      </c>
      <c r="X1483" s="79">
        <f>IF(OR(Q1483="Sin Factura",Q1483=""),"",IFERROR(INDEX(Pagos_Odoo!$B:$B, MATCH(Q1483, Pagos_Odoo!$I:$I, 0)), "Sin Pago"))</f>
        <v/>
      </c>
      <c r="Y1483" s="79">
        <f>IF(X1483="Sin Pago","",IFERROR(INDEX(Pagos_Odoo!$C:$C, MATCH(X1483, Pagos_Odoo!$B:$B, 0)), ""))</f>
        <v/>
      </c>
      <c r="Z1483" s="80">
        <f>IF(X1483="Sin Pago","",IFERROR(INDEX(Pagos_Odoo!$A:$A, MATCH(X1483, Pagos_Odoo!$B:$B, 0)), ""))</f>
        <v/>
      </c>
      <c r="AA1483" s="79">
        <f>IF(X1483="Sin Pago","",IFERROR(INDEX(Pagos_Odoo!$F:$F, MATCH(X1483, Pagos_Odoo!$B:$B, 0)), ""))</f>
        <v/>
      </c>
      <c r="AB1483" s="81">
        <f>IF(X1483="Sin Pago",0,IFERROR(INDEX(Pagos_Odoo!$E:$E, MATCH(X1483, Pagos_Odoo!$B:$B, 0)), 0))</f>
        <v/>
      </c>
      <c r="AC1483" s="79">
        <f>IF(X1483="Sin Pago","",IFERROR(INDEX(Pagos_Odoo!$G:$G, MATCH(X1483, Pagos_Odoo!$B:$B, 0)), ""))</f>
        <v/>
      </c>
      <c r="AD1483" s="82" t="n">
        <v>0</v>
      </c>
      <c r="AE1483" s="82" t="n"/>
      <c r="AF1483" s="82" t="n"/>
      <c r="AG1483" s="82">
        <f>IF(AN1483="","",AD1483+AE1483+AF1483)</f>
        <v/>
      </c>
      <c r="AH1483" s="81">
        <f>IF(AN1483="","",P1483*(1-AG1483))</f>
        <v/>
      </c>
      <c r="AI1483" s="81">
        <f>IF(AN1483="","",IF(Q1483="Sin Factura",0,IFERROR(INDEX(Facturas_Odoo!$H:$H, MATCH(Q1483, Facturas_Odoo!$B:$B, 0)), 0)*(1-AG1483)))</f>
        <v/>
      </c>
      <c r="AJ1483" s="81">
        <f>IF(AN1483="","",_xlfn.LET(idVenta, AN1483&amp;"",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83" s="81">
        <f>IF(AN1483="","",AH1483-AJ1483)</f>
        <v/>
      </c>
      <c r="AL1483" s="81">
        <f>IF(AN1483="","",IF(Q1483="Sin Factura","",AI1483-AJ1483))</f>
        <v/>
      </c>
      <c r="AM1483" s="81">
        <f>IF(AN1483="","",IF(Q1483="Sin Factura",0,P1483-IFERROR(INDEX(Facturas_Odoo!$H:$H, MATCH(Q1483, Facturas_Odoo!$B:$B, 0)), 0)))</f>
        <v/>
      </c>
      <c r="AN1483" s="79">
        <f>IF(AND(A1483="", J1483=""), "", IF(A1483&lt;&gt;"", VALUE(MID(A1483,2,LEN(A1483))), AN1482))</f>
        <v/>
      </c>
      <c r="AO1483" s="79">
        <f>IF(AN1483="","",IF(AD1483=0,"OK",_xlfn.LET(monedaPago, IF(AA1483="","USD",AA1483), limitePermitido, IFERROR(VLOOKUP(monedaPago, Configuración!$A$2:$B$3, 2, FALSE), 0.15), IF(AD1483&gt;limitePermitido, "ALERTA: EXCESO (" &amp; TEXT(limitePermitido, "0%") &amp; " máx)", "OK"))))</f>
        <v/>
      </c>
      <c r="AP1483" s="79">
        <f>IF(AN1483="","",IF(AE1483=0,"OK",_xlfn.LET(fechaPago, Z1483, fechaFactura, R1483, diasCredito, IF(E1483="Pago inmediato", 0, IFERROR(VALUE(MID(E1483, 1, SEARCH(" ", E1483)-1)),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83" s="79">
        <f>IF(AN1483="","",IF(AND(N1483&gt;0, AG1483&gt;0), IF(Configuración!$K$2="NO", "ALERTA: DESCUENTO DOBLE NO PERMITIDO", "OK"), "OK"))</f>
        <v/>
      </c>
      <c r="AR1483" s="79">
        <f>IF(AN1483="","",IF(OR(AO1483&lt;&gt;"OK", AP1483&lt;&gt;"OK", AQ1483&lt;&gt;"OK"), "⚠️ REVISAR", "OK"))</f>
        <v/>
      </c>
    </row>
    <row r="1484">
      <c r="A1484" s="79">
        <f>IF('Ordenes_Odoo'!A1484="","",'Ordenes_Odoo'!A1484)</f>
        <v/>
      </c>
      <c r="B1484" s="80">
        <f>IF('Ordenes_Odoo'!B1484="","",'Ordenes_Odoo'!B1484)</f>
        <v/>
      </c>
      <c r="C1484" s="79">
        <f>IF('Ordenes_Odoo'!C1484="","",'Ordenes_Odoo'!C1484)</f>
        <v/>
      </c>
      <c r="D1484" s="79">
        <f>IF('Ordenes_Odoo'!D1484="","",'Ordenes_Odoo'!D1484)</f>
        <v/>
      </c>
      <c r="E1484" s="79">
        <f>IF('Ordenes_Odoo'!E1484="","",'Ordenes_Odoo'!E1484)</f>
        <v/>
      </c>
      <c r="F1484" s="79">
        <f>IF('Ordenes_Odoo'!F1484="","",'Ordenes_Odoo'!F1484)</f>
        <v/>
      </c>
      <c r="G1484" s="79">
        <f>IF('Ordenes_Odoo'!G1484="","",'Ordenes_Odoo'!G1484)</f>
        <v/>
      </c>
      <c r="H1484" s="79">
        <f>IF('Ordenes_Odoo'!H1484="","",'Ordenes_Odoo'!H1484)</f>
        <v/>
      </c>
      <c r="I1484" s="79">
        <f>IF('Ordenes_Odoo'!I1484="","",'Ordenes_Odoo'!I1484)</f>
        <v/>
      </c>
      <c r="J1484" s="79">
        <f>IF('Ordenes_Odoo'!J1484="","",'Ordenes_Odoo'!J1484)</f>
        <v/>
      </c>
      <c r="K1484" s="81">
        <f>IF('Ordenes_Odoo'!K1484="","",'Ordenes_Odoo'!K1484)</f>
        <v/>
      </c>
      <c r="L1484" s="81">
        <f>IF('Ordenes_Odoo'!L1484="","",'Ordenes_Odoo'!L1484)</f>
        <v/>
      </c>
      <c r="M1484" s="79">
        <f>IF('Ordenes_Odoo'!M1484="","",'Ordenes_Odoo'!M1484)</f>
        <v/>
      </c>
      <c r="N1484" s="79">
        <f>IF('Ordenes_Odoo'!N1484="","",'Ordenes_Odoo'!N1484)</f>
        <v/>
      </c>
      <c r="O1484" s="81">
        <f>IF('Ordenes_Odoo'!O1484="","",'Ordenes_Odoo'!O1484)</f>
        <v/>
      </c>
      <c r="P1484" s="81">
        <f>IF('Ordenes_Odoo'!P1484="","",'Ordenes_Odoo'!P1484)</f>
        <v/>
      </c>
      <c r="Q1484" s="79">
        <f>IF(A1484="","",IFERROR(INDEX(Facturas_Odoo!$B:$B, MATCH(A1484, Facturas_Odoo!$D:$D, 0)), "Sin Factura"))</f>
        <v/>
      </c>
      <c r="R1484" s="80">
        <f>IF(Q1484="Sin Factura","",IFERROR(INDEX(Facturas_Odoo!$A:$A, MATCH(Q1484, Facturas_Odoo!$B:$B, 0)), ""))</f>
        <v/>
      </c>
      <c r="S1484" s="79">
        <f>IF(Q1484="Sin Factura","",IFERROR(_xlfn.XLOOKUP(1, (Facturas_Odoo!$D:$D=A1484) * (Facturas_Odoo!$K:$K=I1484), Facturas_Odoo!$L:$L, ""), ""))</f>
        <v/>
      </c>
      <c r="T1484" s="81">
        <f>IF(Q1484="Sin Factura",0,IFERROR(_xlfn.XLOOKUP(1, (Facturas_Odoo!$D:$D=A1484) * (Facturas_Odoo!$K:$K=I1484), Facturas_Odoo!$M:$M, 0), 0))</f>
        <v/>
      </c>
      <c r="U1484" s="79">
        <f>IF(Q1484="Sin Factura",0,IFERROR(_xlfn.XLOOKUP(1, (Facturas_Odoo!$D:$D=A1484) * (Facturas_Odoo!$K:$K=I1484), Facturas_Odoo!$N:$N, 0), 0))</f>
        <v/>
      </c>
      <c r="V1484" s="79">
        <f>IF(Q1484="Sin Factura",0,IFERROR(_xlfn.XLOOKUP(1, (Facturas_Odoo!$D:$D=A1484) * (Facturas_Odoo!$K:$K=I1484), Facturas_Odoo!$O:$O, 0), 0))</f>
        <v/>
      </c>
      <c r="W1484" s="81">
        <f>IF(Q1484="Sin Factura",0,IFERROR(_xlfn.XLOOKUP(1, (Facturas_Odoo!$D:$D=A1484) * (Facturas_Odoo!$K:$K=I1484), Facturas_Odoo!$Q:$Q, 0), 0))</f>
        <v/>
      </c>
      <c r="X1484" s="79">
        <f>IF(OR(Q1484="Sin Factura",Q1484=""),"",IFERROR(INDEX(Pagos_Odoo!$B:$B, MATCH(Q1484, Pagos_Odoo!$I:$I, 0)), "Sin Pago"))</f>
        <v/>
      </c>
      <c r="Y1484" s="79">
        <f>IF(X1484="Sin Pago","",IFERROR(INDEX(Pagos_Odoo!$C:$C, MATCH(X1484, Pagos_Odoo!$B:$B, 0)), ""))</f>
        <v/>
      </c>
      <c r="Z1484" s="80">
        <f>IF(X1484="Sin Pago","",IFERROR(INDEX(Pagos_Odoo!$A:$A, MATCH(X1484, Pagos_Odoo!$B:$B, 0)), ""))</f>
        <v/>
      </c>
      <c r="AA1484" s="79">
        <f>IF(X1484="Sin Pago","",IFERROR(INDEX(Pagos_Odoo!$F:$F, MATCH(X1484, Pagos_Odoo!$B:$B, 0)), ""))</f>
        <v/>
      </c>
      <c r="AB1484" s="81">
        <f>IF(X1484="Sin Pago",0,IFERROR(INDEX(Pagos_Odoo!$E:$E, MATCH(X1484, Pagos_Odoo!$B:$B, 0)), 0))</f>
        <v/>
      </c>
      <c r="AC1484" s="79">
        <f>IF(X1484="Sin Pago","",IFERROR(INDEX(Pagos_Odoo!$G:$G, MATCH(X1484, Pagos_Odoo!$B:$B, 0)), ""))</f>
        <v/>
      </c>
      <c r="AD1484" s="82" t="n">
        <v>0</v>
      </c>
      <c r="AE1484" s="82" t="n"/>
      <c r="AF1484" s="82" t="n"/>
      <c r="AG1484" s="82">
        <f>IF(AN1484="","",AD1484+AE1484+AF1484)</f>
        <v/>
      </c>
      <c r="AH1484" s="81">
        <f>IF(AN1484="","",P1484*(1-AG1484))</f>
        <v/>
      </c>
      <c r="AI1484" s="81">
        <f>IF(AN1484="","",IF(Q1484="Sin Factura",0,IFERROR(INDEX(Facturas_Odoo!$H:$H, MATCH(Q1484, Facturas_Odoo!$B:$B, 0)), 0)*(1-AG1484)))</f>
        <v/>
      </c>
      <c r="AJ1484" s="81">
        <f>IF(AN1484="","",_xlfn.LET(idVenta, AN1484&amp;"",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84" s="81">
        <f>IF(AN1484="","",AH1484-AJ1484)</f>
        <v/>
      </c>
      <c r="AL1484" s="81">
        <f>IF(AN1484="","",IF(Q1484="Sin Factura","",AI1484-AJ1484))</f>
        <v/>
      </c>
      <c r="AM1484" s="81">
        <f>IF(AN1484="","",IF(Q1484="Sin Factura",0,P1484-IFERROR(INDEX(Facturas_Odoo!$H:$H, MATCH(Q1484, Facturas_Odoo!$B:$B, 0)), 0)))</f>
        <v/>
      </c>
      <c r="AN1484" s="79">
        <f>IF(AND(A1484="", J1484=""), "", IF(A1484&lt;&gt;"", VALUE(MID(A1484,2,LEN(A1484))), AN1483))</f>
        <v/>
      </c>
      <c r="AO1484" s="79">
        <f>IF(AN1484="","",IF(AD1484=0,"OK",_xlfn.LET(monedaPago, IF(AA1484="","USD",AA1484), limitePermitido, IFERROR(VLOOKUP(monedaPago, Configuración!$A$2:$B$3, 2, FALSE), 0.15), IF(AD1484&gt;limitePermitido, "ALERTA: EXCESO (" &amp; TEXT(limitePermitido, "0%") &amp; " máx)", "OK"))))</f>
        <v/>
      </c>
      <c r="AP1484" s="79">
        <f>IF(AN1484="","",IF(AE1484=0,"OK",_xlfn.LET(fechaPago, Z1484, fechaFactura, R1484, diasCredito, IF(E1484="Pago inmediato", 0, IFERROR(VALUE(MID(E1484, 1, SEARCH(" ", E1484)-1)),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84" s="79">
        <f>IF(AN1484="","",IF(AND(N1484&gt;0, AG1484&gt;0), IF(Configuración!$K$2="NO", "ALERTA: DESCUENTO DOBLE NO PERMITIDO", "OK"), "OK"))</f>
        <v/>
      </c>
      <c r="AR1484" s="79">
        <f>IF(AN1484="","",IF(OR(AO1484&lt;&gt;"OK", AP1484&lt;&gt;"OK", AQ1484&lt;&gt;"OK"), "⚠️ REVISAR", "OK"))</f>
        <v/>
      </c>
    </row>
    <row r="1485">
      <c r="A1485" s="79">
        <f>IF('Ordenes_Odoo'!A1485="","",'Ordenes_Odoo'!A1485)</f>
        <v/>
      </c>
      <c r="B1485" s="80">
        <f>IF('Ordenes_Odoo'!B1485="","",'Ordenes_Odoo'!B1485)</f>
        <v/>
      </c>
      <c r="C1485" s="79">
        <f>IF('Ordenes_Odoo'!C1485="","",'Ordenes_Odoo'!C1485)</f>
        <v/>
      </c>
      <c r="D1485" s="79">
        <f>IF('Ordenes_Odoo'!D1485="","",'Ordenes_Odoo'!D1485)</f>
        <v/>
      </c>
      <c r="E1485" s="79">
        <f>IF('Ordenes_Odoo'!E1485="","",'Ordenes_Odoo'!E1485)</f>
        <v/>
      </c>
      <c r="F1485" s="79">
        <f>IF('Ordenes_Odoo'!F1485="","",'Ordenes_Odoo'!F1485)</f>
        <v/>
      </c>
      <c r="G1485" s="79">
        <f>IF('Ordenes_Odoo'!G1485="","",'Ordenes_Odoo'!G1485)</f>
        <v/>
      </c>
      <c r="H1485" s="79">
        <f>IF('Ordenes_Odoo'!H1485="","",'Ordenes_Odoo'!H1485)</f>
        <v/>
      </c>
      <c r="I1485" s="79">
        <f>IF('Ordenes_Odoo'!I1485="","",'Ordenes_Odoo'!I1485)</f>
        <v/>
      </c>
      <c r="J1485" s="79">
        <f>IF('Ordenes_Odoo'!J1485="","",'Ordenes_Odoo'!J1485)</f>
        <v/>
      </c>
      <c r="K1485" s="81">
        <f>IF('Ordenes_Odoo'!K1485="","",'Ordenes_Odoo'!K1485)</f>
        <v/>
      </c>
      <c r="L1485" s="81">
        <f>IF('Ordenes_Odoo'!L1485="","",'Ordenes_Odoo'!L1485)</f>
        <v/>
      </c>
      <c r="M1485" s="79">
        <f>IF('Ordenes_Odoo'!M1485="","",'Ordenes_Odoo'!M1485)</f>
        <v/>
      </c>
      <c r="N1485" s="79">
        <f>IF('Ordenes_Odoo'!N1485="","",'Ordenes_Odoo'!N1485)</f>
        <v/>
      </c>
      <c r="O1485" s="81">
        <f>IF('Ordenes_Odoo'!O1485="","",'Ordenes_Odoo'!O1485)</f>
        <v/>
      </c>
      <c r="P1485" s="81">
        <f>IF('Ordenes_Odoo'!P1485="","",'Ordenes_Odoo'!P1485)</f>
        <v/>
      </c>
      <c r="Q1485" s="79">
        <f>IF(A1485="","",IFERROR(INDEX(Facturas_Odoo!$B:$B, MATCH(A1485, Facturas_Odoo!$D:$D, 0)), "Sin Factura"))</f>
        <v/>
      </c>
      <c r="R1485" s="80">
        <f>IF(Q1485="Sin Factura","",IFERROR(INDEX(Facturas_Odoo!$A:$A, MATCH(Q1485, Facturas_Odoo!$B:$B, 0)), ""))</f>
        <v/>
      </c>
      <c r="S1485" s="79">
        <f>IF(Q1485="Sin Factura","",IFERROR(_xlfn.XLOOKUP(1, (Facturas_Odoo!$D:$D=A1485) * (Facturas_Odoo!$K:$K=I1485), Facturas_Odoo!$L:$L, ""), ""))</f>
        <v/>
      </c>
      <c r="T1485" s="81">
        <f>IF(Q1485="Sin Factura",0,IFERROR(_xlfn.XLOOKUP(1, (Facturas_Odoo!$D:$D=A1485) * (Facturas_Odoo!$K:$K=I1485), Facturas_Odoo!$M:$M, 0), 0))</f>
        <v/>
      </c>
      <c r="U1485" s="79">
        <f>IF(Q1485="Sin Factura",0,IFERROR(_xlfn.XLOOKUP(1, (Facturas_Odoo!$D:$D=A1485) * (Facturas_Odoo!$K:$K=I1485), Facturas_Odoo!$N:$N, 0), 0))</f>
        <v/>
      </c>
      <c r="V1485" s="79">
        <f>IF(Q1485="Sin Factura",0,IFERROR(_xlfn.XLOOKUP(1, (Facturas_Odoo!$D:$D=A1485) * (Facturas_Odoo!$K:$K=I1485), Facturas_Odoo!$O:$O, 0), 0))</f>
        <v/>
      </c>
      <c r="W1485" s="81">
        <f>IF(Q1485="Sin Factura",0,IFERROR(_xlfn.XLOOKUP(1, (Facturas_Odoo!$D:$D=A1485) * (Facturas_Odoo!$K:$K=I1485), Facturas_Odoo!$Q:$Q, 0), 0))</f>
        <v/>
      </c>
      <c r="X1485" s="79">
        <f>IF(OR(Q1485="Sin Factura",Q1485=""),"",IFERROR(INDEX(Pagos_Odoo!$B:$B, MATCH(Q1485, Pagos_Odoo!$I:$I, 0)), "Sin Pago"))</f>
        <v/>
      </c>
      <c r="Y1485" s="79">
        <f>IF(X1485="Sin Pago","",IFERROR(INDEX(Pagos_Odoo!$C:$C, MATCH(X1485, Pagos_Odoo!$B:$B, 0)), ""))</f>
        <v/>
      </c>
      <c r="Z1485" s="80">
        <f>IF(X1485="Sin Pago","",IFERROR(INDEX(Pagos_Odoo!$A:$A, MATCH(X1485, Pagos_Odoo!$B:$B, 0)), ""))</f>
        <v/>
      </c>
      <c r="AA1485" s="79">
        <f>IF(X1485="Sin Pago","",IFERROR(INDEX(Pagos_Odoo!$F:$F, MATCH(X1485, Pagos_Odoo!$B:$B, 0)), ""))</f>
        <v/>
      </c>
      <c r="AB1485" s="81">
        <f>IF(X1485="Sin Pago",0,IFERROR(INDEX(Pagos_Odoo!$E:$E, MATCH(X1485, Pagos_Odoo!$B:$B, 0)), 0))</f>
        <v/>
      </c>
      <c r="AC1485" s="79">
        <f>IF(X1485="Sin Pago","",IFERROR(INDEX(Pagos_Odoo!$G:$G, MATCH(X1485, Pagos_Odoo!$B:$B, 0)), ""))</f>
        <v/>
      </c>
      <c r="AD1485" s="82" t="n">
        <v>0</v>
      </c>
      <c r="AE1485" s="82" t="n"/>
      <c r="AF1485" s="82" t="n"/>
      <c r="AG1485" s="82">
        <f>IF(AN1485="","",AD1485+AE1485+AF1485)</f>
        <v/>
      </c>
      <c r="AH1485" s="81">
        <f>IF(AN1485="","",P1485*(1-AG1485))</f>
        <v/>
      </c>
      <c r="AI1485" s="81">
        <f>IF(AN1485="","",IF(Q1485="Sin Factura",0,IFERROR(INDEX(Facturas_Odoo!$H:$H, MATCH(Q1485, Facturas_Odoo!$B:$B, 0)), 0)*(1-AG1485)))</f>
        <v/>
      </c>
      <c r="AJ1485" s="81">
        <f>IF(AN1485="","",_xlfn.LET(idVenta, AN1485&amp;"",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85" s="81">
        <f>IF(AN1485="","",AH1485-AJ1485)</f>
        <v/>
      </c>
      <c r="AL1485" s="81">
        <f>IF(AN1485="","",IF(Q1485="Sin Factura","",AI1485-AJ1485))</f>
        <v/>
      </c>
      <c r="AM1485" s="81">
        <f>IF(AN1485="","",IF(Q1485="Sin Factura",0,P1485-IFERROR(INDEX(Facturas_Odoo!$H:$H, MATCH(Q1485, Facturas_Odoo!$B:$B, 0)), 0)))</f>
        <v/>
      </c>
      <c r="AN1485" s="79">
        <f>IF(AND(A1485="", J1485=""), "", IF(A1485&lt;&gt;"", VALUE(MID(A1485,2,LEN(A1485))), AN1484))</f>
        <v/>
      </c>
      <c r="AO1485" s="79">
        <f>IF(AN1485="","",IF(AD1485=0,"OK",_xlfn.LET(monedaPago, IF(AA1485="","USD",AA1485), limitePermitido, IFERROR(VLOOKUP(monedaPago, Configuración!$A$2:$B$3, 2, FALSE), 0.15), IF(AD1485&gt;limitePermitido, "ALERTA: EXCESO (" &amp; TEXT(limitePermitido, "0%") &amp; " máx)", "OK"))))</f>
        <v/>
      </c>
      <c r="AP1485" s="79">
        <f>IF(AN1485="","",IF(AE1485=0,"OK",_xlfn.LET(fechaPago, Z1485, fechaFactura, R1485, diasCredito, IF(E1485="Pago inmediato", 0, IFERROR(VALUE(MID(E1485, 1, SEARCH(" ", E1485)-1)),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85" s="79">
        <f>IF(AN1485="","",IF(AND(N1485&gt;0, AG1485&gt;0), IF(Configuración!$K$2="NO", "ALERTA: DESCUENTO DOBLE NO PERMITIDO", "OK"), "OK"))</f>
        <v/>
      </c>
      <c r="AR1485" s="79">
        <f>IF(AN1485="","",IF(OR(AO1485&lt;&gt;"OK", AP1485&lt;&gt;"OK", AQ1485&lt;&gt;"OK"), "⚠️ REVISAR", "OK"))</f>
        <v/>
      </c>
    </row>
    <row r="1486">
      <c r="A1486" s="79">
        <f>IF('Ordenes_Odoo'!A1486="","",'Ordenes_Odoo'!A1486)</f>
        <v/>
      </c>
      <c r="B1486" s="80">
        <f>IF('Ordenes_Odoo'!B1486="","",'Ordenes_Odoo'!B1486)</f>
        <v/>
      </c>
      <c r="C1486" s="79">
        <f>IF('Ordenes_Odoo'!C1486="","",'Ordenes_Odoo'!C1486)</f>
        <v/>
      </c>
      <c r="D1486" s="79">
        <f>IF('Ordenes_Odoo'!D1486="","",'Ordenes_Odoo'!D1486)</f>
        <v/>
      </c>
      <c r="E1486" s="79">
        <f>IF('Ordenes_Odoo'!E1486="","",'Ordenes_Odoo'!E1486)</f>
        <v/>
      </c>
      <c r="F1486" s="79">
        <f>IF('Ordenes_Odoo'!F1486="","",'Ordenes_Odoo'!F1486)</f>
        <v/>
      </c>
      <c r="G1486" s="79">
        <f>IF('Ordenes_Odoo'!G1486="","",'Ordenes_Odoo'!G1486)</f>
        <v/>
      </c>
      <c r="H1486" s="79">
        <f>IF('Ordenes_Odoo'!H1486="","",'Ordenes_Odoo'!H1486)</f>
        <v/>
      </c>
      <c r="I1486" s="79">
        <f>IF('Ordenes_Odoo'!I1486="","",'Ordenes_Odoo'!I1486)</f>
        <v/>
      </c>
      <c r="J1486" s="79">
        <f>IF('Ordenes_Odoo'!J1486="","",'Ordenes_Odoo'!J1486)</f>
        <v/>
      </c>
      <c r="K1486" s="81">
        <f>IF('Ordenes_Odoo'!K1486="","",'Ordenes_Odoo'!K1486)</f>
        <v/>
      </c>
      <c r="L1486" s="81">
        <f>IF('Ordenes_Odoo'!L1486="","",'Ordenes_Odoo'!L1486)</f>
        <v/>
      </c>
      <c r="M1486" s="79">
        <f>IF('Ordenes_Odoo'!M1486="","",'Ordenes_Odoo'!M1486)</f>
        <v/>
      </c>
      <c r="N1486" s="79">
        <f>IF('Ordenes_Odoo'!N1486="","",'Ordenes_Odoo'!N1486)</f>
        <v/>
      </c>
      <c r="O1486" s="81">
        <f>IF('Ordenes_Odoo'!O1486="","",'Ordenes_Odoo'!O1486)</f>
        <v/>
      </c>
      <c r="P1486" s="81">
        <f>IF('Ordenes_Odoo'!P1486="","",'Ordenes_Odoo'!P1486)</f>
        <v/>
      </c>
      <c r="Q1486" s="79">
        <f>IF(A1486="","",IFERROR(INDEX(Facturas_Odoo!$B:$B, MATCH(A1486, Facturas_Odoo!$D:$D, 0)), "Sin Factura"))</f>
        <v/>
      </c>
      <c r="R1486" s="80">
        <f>IF(Q1486="Sin Factura","",IFERROR(INDEX(Facturas_Odoo!$A:$A, MATCH(Q1486, Facturas_Odoo!$B:$B, 0)), ""))</f>
        <v/>
      </c>
      <c r="S1486" s="79">
        <f>IF(Q1486="Sin Factura","",IFERROR(_xlfn.XLOOKUP(1, (Facturas_Odoo!$D:$D=A1486) * (Facturas_Odoo!$K:$K=I1486), Facturas_Odoo!$L:$L, ""), ""))</f>
        <v/>
      </c>
      <c r="T1486" s="81">
        <f>IF(Q1486="Sin Factura",0,IFERROR(_xlfn.XLOOKUP(1, (Facturas_Odoo!$D:$D=A1486) * (Facturas_Odoo!$K:$K=I1486), Facturas_Odoo!$M:$M, 0), 0))</f>
        <v/>
      </c>
      <c r="U1486" s="79">
        <f>IF(Q1486="Sin Factura",0,IFERROR(_xlfn.XLOOKUP(1, (Facturas_Odoo!$D:$D=A1486) * (Facturas_Odoo!$K:$K=I1486), Facturas_Odoo!$N:$N, 0), 0))</f>
        <v/>
      </c>
      <c r="V1486" s="79">
        <f>IF(Q1486="Sin Factura",0,IFERROR(_xlfn.XLOOKUP(1, (Facturas_Odoo!$D:$D=A1486) * (Facturas_Odoo!$K:$K=I1486), Facturas_Odoo!$O:$O, 0), 0))</f>
        <v/>
      </c>
      <c r="W1486" s="81">
        <f>IF(Q1486="Sin Factura",0,IFERROR(_xlfn.XLOOKUP(1, (Facturas_Odoo!$D:$D=A1486) * (Facturas_Odoo!$K:$K=I1486), Facturas_Odoo!$Q:$Q, 0), 0))</f>
        <v/>
      </c>
      <c r="X1486" s="79">
        <f>IF(OR(Q1486="Sin Factura",Q1486=""),"",IFERROR(INDEX(Pagos_Odoo!$B:$B, MATCH(Q1486, Pagos_Odoo!$I:$I, 0)), "Sin Pago"))</f>
        <v/>
      </c>
      <c r="Y1486" s="79">
        <f>IF(X1486="Sin Pago","",IFERROR(INDEX(Pagos_Odoo!$C:$C, MATCH(X1486, Pagos_Odoo!$B:$B, 0)), ""))</f>
        <v/>
      </c>
      <c r="Z1486" s="80">
        <f>IF(X1486="Sin Pago","",IFERROR(INDEX(Pagos_Odoo!$A:$A, MATCH(X1486, Pagos_Odoo!$B:$B, 0)), ""))</f>
        <v/>
      </c>
      <c r="AA1486" s="79">
        <f>IF(X1486="Sin Pago","",IFERROR(INDEX(Pagos_Odoo!$F:$F, MATCH(X1486, Pagos_Odoo!$B:$B, 0)), ""))</f>
        <v/>
      </c>
      <c r="AB1486" s="81">
        <f>IF(X1486="Sin Pago",0,IFERROR(INDEX(Pagos_Odoo!$E:$E, MATCH(X1486, Pagos_Odoo!$B:$B, 0)), 0))</f>
        <v/>
      </c>
      <c r="AC1486" s="79">
        <f>IF(X1486="Sin Pago","",IFERROR(INDEX(Pagos_Odoo!$G:$G, MATCH(X1486, Pagos_Odoo!$B:$B, 0)), ""))</f>
        <v/>
      </c>
      <c r="AD1486" s="82" t="n">
        <v>0</v>
      </c>
      <c r="AE1486" s="82" t="n"/>
      <c r="AF1486" s="82" t="n"/>
      <c r="AG1486" s="82">
        <f>IF(AN1486="","",AD1486+AE1486+AF1486)</f>
        <v/>
      </c>
      <c r="AH1486" s="81">
        <f>IF(AN1486="","",P1486*(1-AG1486))</f>
        <v/>
      </c>
      <c r="AI1486" s="81">
        <f>IF(AN1486="","",IF(Q1486="Sin Factura",0,IFERROR(INDEX(Facturas_Odoo!$H:$H, MATCH(Q1486, Facturas_Odoo!$B:$B, 0)), 0)*(1-AG1486)))</f>
        <v/>
      </c>
      <c r="AJ1486" s="81">
        <f>IF(AN1486="","",_xlfn.LET(idVenta, AN1486&amp;"",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86" s="81">
        <f>IF(AN1486="","",AH1486-AJ1486)</f>
        <v/>
      </c>
      <c r="AL1486" s="81">
        <f>IF(AN1486="","",IF(Q1486="Sin Factura","",AI1486-AJ1486))</f>
        <v/>
      </c>
      <c r="AM1486" s="81">
        <f>IF(AN1486="","",IF(Q1486="Sin Factura",0,P1486-IFERROR(INDEX(Facturas_Odoo!$H:$H, MATCH(Q1486, Facturas_Odoo!$B:$B, 0)), 0)))</f>
        <v/>
      </c>
      <c r="AN1486" s="79">
        <f>IF(AND(A1486="", J1486=""), "", IF(A1486&lt;&gt;"", VALUE(MID(A1486,2,LEN(A1486))), AN1485))</f>
        <v/>
      </c>
      <c r="AO1486" s="79">
        <f>IF(AN1486="","",IF(AD1486=0,"OK",_xlfn.LET(monedaPago, IF(AA1486="","USD",AA1486), limitePermitido, IFERROR(VLOOKUP(monedaPago, Configuración!$A$2:$B$3, 2, FALSE), 0.15), IF(AD1486&gt;limitePermitido, "ALERTA: EXCESO (" &amp; TEXT(limitePermitido, "0%") &amp; " máx)", "OK"))))</f>
        <v/>
      </c>
      <c r="AP1486" s="79">
        <f>IF(AN1486="","",IF(AE1486=0,"OK",_xlfn.LET(fechaPago, Z1486, fechaFactura, R1486, diasCredito, IF(E1486="Pago inmediato", 0, IFERROR(VALUE(MID(E1486, 1, SEARCH(" ", E1486)-1)),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86" s="79">
        <f>IF(AN1486="","",IF(AND(N1486&gt;0, AG1486&gt;0), IF(Configuración!$K$2="NO", "ALERTA: DESCUENTO DOBLE NO PERMITIDO", "OK"), "OK"))</f>
        <v/>
      </c>
      <c r="AR1486" s="79">
        <f>IF(AN1486="","",IF(OR(AO1486&lt;&gt;"OK", AP1486&lt;&gt;"OK", AQ1486&lt;&gt;"OK"), "⚠️ REVISAR", "OK"))</f>
        <v/>
      </c>
    </row>
    <row r="1487">
      <c r="A1487" s="79">
        <f>IF('Ordenes_Odoo'!A1487="","",'Ordenes_Odoo'!A1487)</f>
        <v/>
      </c>
      <c r="B1487" s="80">
        <f>IF('Ordenes_Odoo'!B1487="","",'Ordenes_Odoo'!B1487)</f>
        <v/>
      </c>
      <c r="C1487" s="79">
        <f>IF('Ordenes_Odoo'!C1487="","",'Ordenes_Odoo'!C1487)</f>
        <v/>
      </c>
      <c r="D1487" s="79">
        <f>IF('Ordenes_Odoo'!D1487="","",'Ordenes_Odoo'!D1487)</f>
        <v/>
      </c>
      <c r="E1487" s="79">
        <f>IF('Ordenes_Odoo'!E1487="","",'Ordenes_Odoo'!E1487)</f>
        <v/>
      </c>
      <c r="F1487" s="79">
        <f>IF('Ordenes_Odoo'!F1487="","",'Ordenes_Odoo'!F1487)</f>
        <v/>
      </c>
      <c r="G1487" s="79">
        <f>IF('Ordenes_Odoo'!G1487="","",'Ordenes_Odoo'!G1487)</f>
        <v/>
      </c>
      <c r="H1487" s="79">
        <f>IF('Ordenes_Odoo'!H1487="","",'Ordenes_Odoo'!H1487)</f>
        <v/>
      </c>
      <c r="I1487" s="79">
        <f>IF('Ordenes_Odoo'!I1487="","",'Ordenes_Odoo'!I1487)</f>
        <v/>
      </c>
      <c r="J1487" s="79">
        <f>IF('Ordenes_Odoo'!J1487="","",'Ordenes_Odoo'!J1487)</f>
        <v/>
      </c>
      <c r="K1487" s="81">
        <f>IF('Ordenes_Odoo'!K1487="","",'Ordenes_Odoo'!K1487)</f>
        <v/>
      </c>
      <c r="L1487" s="81">
        <f>IF('Ordenes_Odoo'!L1487="","",'Ordenes_Odoo'!L1487)</f>
        <v/>
      </c>
      <c r="M1487" s="79">
        <f>IF('Ordenes_Odoo'!M1487="","",'Ordenes_Odoo'!M1487)</f>
        <v/>
      </c>
      <c r="N1487" s="79">
        <f>IF('Ordenes_Odoo'!N1487="","",'Ordenes_Odoo'!N1487)</f>
        <v/>
      </c>
      <c r="O1487" s="81">
        <f>IF('Ordenes_Odoo'!O1487="","",'Ordenes_Odoo'!O1487)</f>
        <v/>
      </c>
      <c r="P1487" s="81">
        <f>IF('Ordenes_Odoo'!P1487="","",'Ordenes_Odoo'!P1487)</f>
        <v/>
      </c>
      <c r="Q1487" s="79">
        <f>IF(A1487="","",IFERROR(INDEX(Facturas_Odoo!$B:$B, MATCH(A1487, Facturas_Odoo!$D:$D, 0)), "Sin Factura"))</f>
        <v/>
      </c>
      <c r="R1487" s="80">
        <f>IF(Q1487="Sin Factura","",IFERROR(INDEX(Facturas_Odoo!$A:$A, MATCH(Q1487, Facturas_Odoo!$B:$B, 0)), ""))</f>
        <v/>
      </c>
      <c r="S1487" s="79">
        <f>IF(Q1487="Sin Factura","",IFERROR(_xlfn.XLOOKUP(1, (Facturas_Odoo!$D:$D=A1487) * (Facturas_Odoo!$K:$K=I1487), Facturas_Odoo!$L:$L, ""), ""))</f>
        <v/>
      </c>
      <c r="T1487" s="81">
        <f>IF(Q1487="Sin Factura",0,IFERROR(_xlfn.XLOOKUP(1, (Facturas_Odoo!$D:$D=A1487) * (Facturas_Odoo!$K:$K=I1487), Facturas_Odoo!$M:$M, 0), 0))</f>
        <v/>
      </c>
      <c r="U1487" s="79">
        <f>IF(Q1487="Sin Factura",0,IFERROR(_xlfn.XLOOKUP(1, (Facturas_Odoo!$D:$D=A1487) * (Facturas_Odoo!$K:$K=I1487), Facturas_Odoo!$N:$N, 0), 0))</f>
        <v/>
      </c>
      <c r="V1487" s="79">
        <f>IF(Q1487="Sin Factura",0,IFERROR(_xlfn.XLOOKUP(1, (Facturas_Odoo!$D:$D=A1487) * (Facturas_Odoo!$K:$K=I1487), Facturas_Odoo!$O:$O, 0), 0))</f>
        <v/>
      </c>
      <c r="W1487" s="81">
        <f>IF(Q1487="Sin Factura",0,IFERROR(_xlfn.XLOOKUP(1, (Facturas_Odoo!$D:$D=A1487) * (Facturas_Odoo!$K:$K=I1487), Facturas_Odoo!$Q:$Q, 0), 0))</f>
        <v/>
      </c>
      <c r="X1487" s="79">
        <f>IF(OR(Q1487="Sin Factura",Q1487=""),"",IFERROR(INDEX(Pagos_Odoo!$B:$B, MATCH(Q1487, Pagos_Odoo!$I:$I, 0)), "Sin Pago"))</f>
        <v/>
      </c>
      <c r="Y1487" s="79">
        <f>IF(X1487="Sin Pago","",IFERROR(INDEX(Pagos_Odoo!$C:$C, MATCH(X1487, Pagos_Odoo!$B:$B, 0)), ""))</f>
        <v/>
      </c>
      <c r="Z1487" s="80">
        <f>IF(X1487="Sin Pago","",IFERROR(INDEX(Pagos_Odoo!$A:$A, MATCH(X1487, Pagos_Odoo!$B:$B, 0)), ""))</f>
        <v/>
      </c>
      <c r="AA1487" s="79">
        <f>IF(X1487="Sin Pago","",IFERROR(INDEX(Pagos_Odoo!$F:$F, MATCH(X1487, Pagos_Odoo!$B:$B, 0)), ""))</f>
        <v/>
      </c>
      <c r="AB1487" s="81">
        <f>IF(X1487="Sin Pago",0,IFERROR(INDEX(Pagos_Odoo!$E:$E, MATCH(X1487, Pagos_Odoo!$B:$B, 0)), 0))</f>
        <v/>
      </c>
      <c r="AC1487" s="79">
        <f>IF(X1487="Sin Pago","",IFERROR(INDEX(Pagos_Odoo!$G:$G, MATCH(X1487, Pagos_Odoo!$B:$B, 0)), ""))</f>
        <v/>
      </c>
      <c r="AD1487" s="82" t="n">
        <v>0</v>
      </c>
      <c r="AE1487" s="82" t="n"/>
      <c r="AF1487" s="82" t="n"/>
      <c r="AG1487" s="82">
        <f>IF(AN1487="","",AD1487+AE1487+AF1487)</f>
        <v/>
      </c>
      <c r="AH1487" s="81">
        <f>IF(AN1487="","",P1487*(1-AG1487))</f>
        <v/>
      </c>
      <c r="AI1487" s="81">
        <f>IF(AN1487="","",IF(Q1487="Sin Factura",0,IFERROR(INDEX(Facturas_Odoo!$H:$H, MATCH(Q1487, Facturas_Odoo!$B:$B, 0)), 0)*(1-AG1487)))</f>
        <v/>
      </c>
      <c r="AJ1487" s="81">
        <f>IF(AN1487="","",_xlfn.LET(idVenta, AN1487&amp;"",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87" s="81">
        <f>IF(AN1487="","",AH1487-AJ1487)</f>
        <v/>
      </c>
      <c r="AL1487" s="81">
        <f>IF(AN1487="","",IF(Q1487="Sin Factura","",AI1487-AJ1487))</f>
        <v/>
      </c>
      <c r="AM1487" s="81">
        <f>IF(AN1487="","",IF(Q1487="Sin Factura",0,P1487-IFERROR(INDEX(Facturas_Odoo!$H:$H, MATCH(Q1487, Facturas_Odoo!$B:$B, 0)), 0)))</f>
        <v/>
      </c>
      <c r="AN1487" s="79">
        <f>IF(AND(A1487="", J1487=""), "", IF(A1487&lt;&gt;"", VALUE(MID(A1487,2,LEN(A1487))), AN1486))</f>
        <v/>
      </c>
      <c r="AO1487" s="79">
        <f>IF(AN1487="","",IF(AD1487=0,"OK",_xlfn.LET(monedaPago, IF(AA1487="","USD",AA1487), limitePermitido, IFERROR(VLOOKUP(monedaPago, Configuración!$A$2:$B$3, 2, FALSE), 0.15), IF(AD1487&gt;limitePermitido, "ALERTA: EXCESO (" &amp; TEXT(limitePermitido, "0%") &amp; " máx)", "OK"))))</f>
        <v/>
      </c>
      <c r="AP1487" s="79">
        <f>IF(AN1487="","",IF(AE1487=0,"OK",_xlfn.LET(fechaPago, Z1487, fechaFactura, R1487, diasCredito, IF(E1487="Pago inmediato", 0, IFERROR(VALUE(MID(E1487, 1, SEARCH(" ", E1487)-1)),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87" s="79">
        <f>IF(AN1487="","",IF(AND(N1487&gt;0, AG1487&gt;0), IF(Configuración!$K$2="NO", "ALERTA: DESCUENTO DOBLE NO PERMITIDO", "OK"), "OK"))</f>
        <v/>
      </c>
      <c r="AR1487" s="79">
        <f>IF(AN1487="","",IF(OR(AO1487&lt;&gt;"OK", AP1487&lt;&gt;"OK", AQ1487&lt;&gt;"OK"), "⚠️ REVISAR", "OK"))</f>
        <v/>
      </c>
    </row>
    <row r="1488">
      <c r="A1488" s="79">
        <f>IF('Ordenes_Odoo'!A1488="","",'Ordenes_Odoo'!A1488)</f>
        <v/>
      </c>
      <c r="B1488" s="80">
        <f>IF('Ordenes_Odoo'!B1488="","",'Ordenes_Odoo'!B1488)</f>
        <v/>
      </c>
      <c r="C1488" s="79">
        <f>IF('Ordenes_Odoo'!C1488="","",'Ordenes_Odoo'!C1488)</f>
        <v/>
      </c>
      <c r="D1488" s="79">
        <f>IF('Ordenes_Odoo'!D1488="","",'Ordenes_Odoo'!D1488)</f>
        <v/>
      </c>
      <c r="E1488" s="79">
        <f>IF('Ordenes_Odoo'!E1488="","",'Ordenes_Odoo'!E1488)</f>
        <v/>
      </c>
      <c r="F1488" s="79">
        <f>IF('Ordenes_Odoo'!F1488="","",'Ordenes_Odoo'!F1488)</f>
        <v/>
      </c>
      <c r="G1488" s="79">
        <f>IF('Ordenes_Odoo'!G1488="","",'Ordenes_Odoo'!G1488)</f>
        <v/>
      </c>
      <c r="H1488" s="79">
        <f>IF('Ordenes_Odoo'!H1488="","",'Ordenes_Odoo'!H1488)</f>
        <v/>
      </c>
      <c r="I1488" s="79">
        <f>IF('Ordenes_Odoo'!I1488="","",'Ordenes_Odoo'!I1488)</f>
        <v/>
      </c>
      <c r="J1488" s="79">
        <f>IF('Ordenes_Odoo'!J1488="","",'Ordenes_Odoo'!J1488)</f>
        <v/>
      </c>
      <c r="K1488" s="81">
        <f>IF('Ordenes_Odoo'!K1488="","",'Ordenes_Odoo'!K1488)</f>
        <v/>
      </c>
      <c r="L1488" s="81">
        <f>IF('Ordenes_Odoo'!L1488="","",'Ordenes_Odoo'!L1488)</f>
        <v/>
      </c>
      <c r="M1488" s="79">
        <f>IF('Ordenes_Odoo'!M1488="","",'Ordenes_Odoo'!M1488)</f>
        <v/>
      </c>
      <c r="N1488" s="79">
        <f>IF('Ordenes_Odoo'!N1488="","",'Ordenes_Odoo'!N1488)</f>
        <v/>
      </c>
      <c r="O1488" s="81">
        <f>IF('Ordenes_Odoo'!O1488="","",'Ordenes_Odoo'!O1488)</f>
        <v/>
      </c>
      <c r="P1488" s="81">
        <f>IF('Ordenes_Odoo'!P1488="","",'Ordenes_Odoo'!P1488)</f>
        <v/>
      </c>
      <c r="Q1488" s="79">
        <f>IF(A1488="","",IFERROR(INDEX(Facturas_Odoo!$B:$B, MATCH(A1488, Facturas_Odoo!$D:$D, 0)), "Sin Factura"))</f>
        <v/>
      </c>
      <c r="R1488" s="80">
        <f>IF(Q1488="Sin Factura","",IFERROR(INDEX(Facturas_Odoo!$A:$A, MATCH(Q1488, Facturas_Odoo!$B:$B, 0)), ""))</f>
        <v/>
      </c>
      <c r="S1488" s="79">
        <f>IF(Q1488="Sin Factura","",IFERROR(_xlfn.XLOOKUP(1, (Facturas_Odoo!$D:$D=A1488) * (Facturas_Odoo!$K:$K=I1488), Facturas_Odoo!$L:$L, ""), ""))</f>
        <v/>
      </c>
      <c r="T1488" s="81">
        <f>IF(Q1488="Sin Factura",0,IFERROR(_xlfn.XLOOKUP(1, (Facturas_Odoo!$D:$D=A1488) * (Facturas_Odoo!$K:$K=I1488), Facturas_Odoo!$M:$M, 0), 0))</f>
        <v/>
      </c>
      <c r="U1488" s="79">
        <f>IF(Q1488="Sin Factura",0,IFERROR(_xlfn.XLOOKUP(1, (Facturas_Odoo!$D:$D=A1488) * (Facturas_Odoo!$K:$K=I1488), Facturas_Odoo!$N:$N, 0), 0))</f>
        <v/>
      </c>
      <c r="V1488" s="79">
        <f>IF(Q1488="Sin Factura",0,IFERROR(_xlfn.XLOOKUP(1, (Facturas_Odoo!$D:$D=A1488) * (Facturas_Odoo!$K:$K=I1488), Facturas_Odoo!$O:$O, 0), 0))</f>
        <v/>
      </c>
      <c r="W1488" s="81">
        <f>IF(Q1488="Sin Factura",0,IFERROR(_xlfn.XLOOKUP(1, (Facturas_Odoo!$D:$D=A1488) * (Facturas_Odoo!$K:$K=I1488), Facturas_Odoo!$Q:$Q, 0), 0))</f>
        <v/>
      </c>
      <c r="X1488" s="79">
        <f>IF(OR(Q1488="Sin Factura",Q1488=""),"",IFERROR(INDEX(Pagos_Odoo!$B:$B, MATCH(Q1488, Pagos_Odoo!$I:$I, 0)), "Sin Pago"))</f>
        <v/>
      </c>
      <c r="Y1488" s="79">
        <f>IF(X1488="Sin Pago","",IFERROR(INDEX(Pagos_Odoo!$C:$C, MATCH(X1488, Pagos_Odoo!$B:$B, 0)), ""))</f>
        <v/>
      </c>
      <c r="Z1488" s="80">
        <f>IF(X1488="Sin Pago","",IFERROR(INDEX(Pagos_Odoo!$A:$A, MATCH(X1488, Pagos_Odoo!$B:$B, 0)), ""))</f>
        <v/>
      </c>
      <c r="AA1488" s="79">
        <f>IF(X1488="Sin Pago","",IFERROR(INDEX(Pagos_Odoo!$F:$F, MATCH(X1488, Pagos_Odoo!$B:$B, 0)), ""))</f>
        <v/>
      </c>
      <c r="AB1488" s="81">
        <f>IF(X1488="Sin Pago",0,IFERROR(INDEX(Pagos_Odoo!$E:$E, MATCH(X1488, Pagos_Odoo!$B:$B, 0)), 0))</f>
        <v/>
      </c>
      <c r="AC1488" s="79">
        <f>IF(X1488="Sin Pago","",IFERROR(INDEX(Pagos_Odoo!$G:$G, MATCH(X1488, Pagos_Odoo!$B:$B, 0)), ""))</f>
        <v/>
      </c>
      <c r="AD1488" s="82" t="n">
        <v>0</v>
      </c>
      <c r="AE1488" s="82" t="n"/>
      <c r="AF1488" s="82" t="n"/>
      <c r="AG1488" s="82">
        <f>IF(AN1488="","",AD1488+AE1488+AF1488)</f>
        <v/>
      </c>
      <c r="AH1488" s="81">
        <f>IF(AN1488="","",P1488*(1-AG1488))</f>
        <v/>
      </c>
      <c r="AI1488" s="81">
        <f>IF(AN1488="","",IF(Q1488="Sin Factura",0,IFERROR(INDEX(Facturas_Odoo!$H:$H, MATCH(Q1488, Facturas_Odoo!$B:$B, 0)), 0)*(1-AG1488)))</f>
        <v/>
      </c>
      <c r="AJ1488" s="81">
        <f>IF(AN1488="","",_xlfn.LET(idVenta, AN1488&amp;"",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88" s="81">
        <f>IF(AN1488="","",AH1488-AJ1488)</f>
        <v/>
      </c>
      <c r="AL1488" s="81">
        <f>IF(AN1488="","",IF(Q1488="Sin Factura","",AI1488-AJ1488))</f>
        <v/>
      </c>
      <c r="AM1488" s="81">
        <f>IF(AN1488="","",IF(Q1488="Sin Factura",0,P1488-IFERROR(INDEX(Facturas_Odoo!$H:$H, MATCH(Q1488, Facturas_Odoo!$B:$B, 0)), 0)))</f>
        <v/>
      </c>
      <c r="AN1488" s="79">
        <f>IF(AND(A1488="", J1488=""), "", IF(A1488&lt;&gt;"", VALUE(MID(A1488,2,LEN(A1488))), AN1487))</f>
        <v/>
      </c>
      <c r="AO1488" s="79">
        <f>IF(AN1488="","",IF(AD1488=0,"OK",_xlfn.LET(monedaPago, IF(AA1488="","USD",AA1488), limitePermitido, IFERROR(VLOOKUP(monedaPago, Configuración!$A$2:$B$3, 2, FALSE), 0.15), IF(AD1488&gt;limitePermitido, "ALERTA: EXCESO (" &amp; TEXT(limitePermitido, "0%") &amp; " máx)", "OK"))))</f>
        <v/>
      </c>
      <c r="AP1488" s="79">
        <f>IF(AN1488="","",IF(AE1488=0,"OK",_xlfn.LET(fechaPago, Z1488, fechaFactura, R1488, diasCredito, IF(E1488="Pago inmediato", 0, IFERROR(VALUE(MID(E1488, 1, SEARCH(" ", E1488)-1)),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88" s="79">
        <f>IF(AN1488="","",IF(AND(N1488&gt;0, AG1488&gt;0), IF(Configuración!$K$2="NO", "ALERTA: DESCUENTO DOBLE NO PERMITIDO", "OK"), "OK"))</f>
        <v/>
      </c>
      <c r="AR1488" s="79">
        <f>IF(AN1488="","",IF(OR(AO1488&lt;&gt;"OK", AP1488&lt;&gt;"OK", AQ1488&lt;&gt;"OK"), "⚠️ REVISAR", "OK"))</f>
        <v/>
      </c>
    </row>
    <row r="1489">
      <c r="A1489" s="79">
        <f>IF('Ordenes_Odoo'!A1489="","",'Ordenes_Odoo'!A1489)</f>
        <v/>
      </c>
      <c r="B1489" s="80">
        <f>IF('Ordenes_Odoo'!B1489="","",'Ordenes_Odoo'!B1489)</f>
        <v/>
      </c>
      <c r="C1489" s="79">
        <f>IF('Ordenes_Odoo'!C1489="","",'Ordenes_Odoo'!C1489)</f>
        <v/>
      </c>
      <c r="D1489" s="79">
        <f>IF('Ordenes_Odoo'!D1489="","",'Ordenes_Odoo'!D1489)</f>
        <v/>
      </c>
      <c r="E1489" s="79">
        <f>IF('Ordenes_Odoo'!E1489="","",'Ordenes_Odoo'!E1489)</f>
        <v/>
      </c>
      <c r="F1489" s="79">
        <f>IF('Ordenes_Odoo'!F1489="","",'Ordenes_Odoo'!F1489)</f>
        <v/>
      </c>
      <c r="G1489" s="79">
        <f>IF('Ordenes_Odoo'!G1489="","",'Ordenes_Odoo'!G1489)</f>
        <v/>
      </c>
      <c r="H1489" s="79">
        <f>IF('Ordenes_Odoo'!H1489="","",'Ordenes_Odoo'!H1489)</f>
        <v/>
      </c>
      <c r="I1489" s="79">
        <f>IF('Ordenes_Odoo'!I1489="","",'Ordenes_Odoo'!I1489)</f>
        <v/>
      </c>
      <c r="J1489" s="79">
        <f>IF('Ordenes_Odoo'!J1489="","",'Ordenes_Odoo'!J1489)</f>
        <v/>
      </c>
      <c r="K1489" s="81">
        <f>IF('Ordenes_Odoo'!K1489="","",'Ordenes_Odoo'!K1489)</f>
        <v/>
      </c>
      <c r="L1489" s="81">
        <f>IF('Ordenes_Odoo'!L1489="","",'Ordenes_Odoo'!L1489)</f>
        <v/>
      </c>
      <c r="M1489" s="79">
        <f>IF('Ordenes_Odoo'!M1489="","",'Ordenes_Odoo'!M1489)</f>
        <v/>
      </c>
      <c r="N1489" s="79">
        <f>IF('Ordenes_Odoo'!N1489="","",'Ordenes_Odoo'!N1489)</f>
        <v/>
      </c>
      <c r="O1489" s="81">
        <f>IF('Ordenes_Odoo'!O1489="","",'Ordenes_Odoo'!O1489)</f>
        <v/>
      </c>
      <c r="P1489" s="81">
        <f>IF('Ordenes_Odoo'!P1489="","",'Ordenes_Odoo'!P1489)</f>
        <v/>
      </c>
      <c r="Q1489" s="79">
        <f>IF(A1489="","",IFERROR(INDEX(Facturas_Odoo!$B:$B, MATCH(A1489, Facturas_Odoo!$D:$D, 0)), "Sin Factura"))</f>
        <v/>
      </c>
      <c r="R1489" s="80">
        <f>IF(Q1489="Sin Factura","",IFERROR(INDEX(Facturas_Odoo!$A:$A, MATCH(Q1489, Facturas_Odoo!$B:$B, 0)), ""))</f>
        <v/>
      </c>
      <c r="S1489" s="79">
        <f>IF(Q1489="Sin Factura","",IFERROR(_xlfn.XLOOKUP(1, (Facturas_Odoo!$D:$D=A1489) * (Facturas_Odoo!$K:$K=I1489), Facturas_Odoo!$L:$L, ""), ""))</f>
        <v/>
      </c>
      <c r="T1489" s="81">
        <f>IF(Q1489="Sin Factura",0,IFERROR(_xlfn.XLOOKUP(1, (Facturas_Odoo!$D:$D=A1489) * (Facturas_Odoo!$K:$K=I1489), Facturas_Odoo!$M:$M, 0), 0))</f>
        <v/>
      </c>
      <c r="U1489" s="79">
        <f>IF(Q1489="Sin Factura",0,IFERROR(_xlfn.XLOOKUP(1, (Facturas_Odoo!$D:$D=A1489) * (Facturas_Odoo!$K:$K=I1489), Facturas_Odoo!$N:$N, 0), 0))</f>
        <v/>
      </c>
      <c r="V1489" s="79">
        <f>IF(Q1489="Sin Factura",0,IFERROR(_xlfn.XLOOKUP(1, (Facturas_Odoo!$D:$D=A1489) * (Facturas_Odoo!$K:$K=I1489), Facturas_Odoo!$O:$O, 0), 0))</f>
        <v/>
      </c>
      <c r="W1489" s="81">
        <f>IF(Q1489="Sin Factura",0,IFERROR(_xlfn.XLOOKUP(1, (Facturas_Odoo!$D:$D=A1489) * (Facturas_Odoo!$K:$K=I1489), Facturas_Odoo!$Q:$Q, 0), 0))</f>
        <v/>
      </c>
      <c r="X1489" s="79">
        <f>IF(OR(Q1489="Sin Factura",Q1489=""),"",IFERROR(INDEX(Pagos_Odoo!$B:$B, MATCH(Q1489, Pagos_Odoo!$I:$I, 0)), "Sin Pago"))</f>
        <v/>
      </c>
      <c r="Y1489" s="79">
        <f>IF(X1489="Sin Pago","",IFERROR(INDEX(Pagos_Odoo!$C:$C, MATCH(X1489, Pagos_Odoo!$B:$B, 0)), ""))</f>
        <v/>
      </c>
      <c r="Z1489" s="80">
        <f>IF(X1489="Sin Pago","",IFERROR(INDEX(Pagos_Odoo!$A:$A, MATCH(X1489, Pagos_Odoo!$B:$B, 0)), ""))</f>
        <v/>
      </c>
      <c r="AA1489" s="79">
        <f>IF(X1489="Sin Pago","",IFERROR(INDEX(Pagos_Odoo!$F:$F, MATCH(X1489, Pagos_Odoo!$B:$B, 0)), ""))</f>
        <v/>
      </c>
      <c r="AB1489" s="81">
        <f>IF(X1489="Sin Pago",0,IFERROR(INDEX(Pagos_Odoo!$E:$E, MATCH(X1489, Pagos_Odoo!$B:$B, 0)), 0))</f>
        <v/>
      </c>
      <c r="AC1489" s="79">
        <f>IF(X1489="Sin Pago","",IFERROR(INDEX(Pagos_Odoo!$G:$G, MATCH(X1489, Pagos_Odoo!$B:$B, 0)), ""))</f>
        <v/>
      </c>
      <c r="AD1489" s="82" t="n">
        <v>0</v>
      </c>
      <c r="AE1489" s="82" t="n"/>
      <c r="AF1489" s="82" t="n"/>
      <c r="AG1489" s="82">
        <f>IF(AN1489="","",AD1489+AE1489+AF1489)</f>
        <v/>
      </c>
      <c r="AH1489" s="81">
        <f>IF(AN1489="","",P1489*(1-AG1489))</f>
        <v/>
      </c>
      <c r="AI1489" s="81">
        <f>IF(AN1489="","",IF(Q1489="Sin Factura",0,IFERROR(INDEX(Facturas_Odoo!$H:$H, MATCH(Q1489, Facturas_Odoo!$B:$B, 0)), 0)*(1-AG1489)))</f>
        <v/>
      </c>
      <c r="AJ1489" s="81">
        <f>IF(AN1489="","",_xlfn.LET(idVenta, AN1489&amp;"",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89" s="81">
        <f>IF(AN1489="","",AH1489-AJ1489)</f>
        <v/>
      </c>
      <c r="AL1489" s="81">
        <f>IF(AN1489="","",IF(Q1489="Sin Factura","",AI1489-AJ1489))</f>
        <v/>
      </c>
      <c r="AM1489" s="81">
        <f>IF(AN1489="","",IF(Q1489="Sin Factura",0,P1489-IFERROR(INDEX(Facturas_Odoo!$H:$H, MATCH(Q1489, Facturas_Odoo!$B:$B, 0)), 0)))</f>
        <v/>
      </c>
      <c r="AN1489" s="79">
        <f>IF(AND(A1489="", J1489=""), "", IF(A1489&lt;&gt;"", VALUE(MID(A1489,2,LEN(A1489))), AN1488))</f>
        <v/>
      </c>
      <c r="AO1489" s="79">
        <f>IF(AN1489="","",IF(AD1489=0,"OK",_xlfn.LET(monedaPago, IF(AA1489="","USD",AA1489), limitePermitido, IFERROR(VLOOKUP(monedaPago, Configuración!$A$2:$B$3, 2, FALSE), 0.15), IF(AD1489&gt;limitePermitido, "ALERTA: EXCESO (" &amp; TEXT(limitePermitido, "0%") &amp; " máx)", "OK"))))</f>
        <v/>
      </c>
      <c r="AP1489" s="79">
        <f>IF(AN1489="","",IF(AE1489=0,"OK",_xlfn.LET(fechaPago, Z1489, fechaFactura, R1489, diasCredito, IF(E1489="Pago inmediato", 0, IFERROR(VALUE(MID(E1489, 1, SEARCH(" ", E1489)-1)),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89" s="79">
        <f>IF(AN1489="","",IF(AND(N1489&gt;0, AG1489&gt;0), IF(Configuración!$K$2="NO", "ALERTA: DESCUENTO DOBLE NO PERMITIDO", "OK"), "OK"))</f>
        <v/>
      </c>
      <c r="AR1489" s="79">
        <f>IF(AN1489="","",IF(OR(AO1489&lt;&gt;"OK", AP1489&lt;&gt;"OK", AQ1489&lt;&gt;"OK"), "⚠️ REVISAR", "OK"))</f>
        <v/>
      </c>
    </row>
    <row r="1490">
      <c r="A1490" s="79">
        <f>IF('Ordenes_Odoo'!A1490="","",'Ordenes_Odoo'!A1490)</f>
        <v/>
      </c>
      <c r="B1490" s="80">
        <f>IF('Ordenes_Odoo'!B1490="","",'Ordenes_Odoo'!B1490)</f>
        <v/>
      </c>
      <c r="C1490" s="79">
        <f>IF('Ordenes_Odoo'!C1490="","",'Ordenes_Odoo'!C1490)</f>
        <v/>
      </c>
      <c r="D1490" s="79">
        <f>IF('Ordenes_Odoo'!D1490="","",'Ordenes_Odoo'!D1490)</f>
        <v/>
      </c>
      <c r="E1490" s="79">
        <f>IF('Ordenes_Odoo'!E1490="","",'Ordenes_Odoo'!E1490)</f>
        <v/>
      </c>
      <c r="F1490" s="79">
        <f>IF('Ordenes_Odoo'!F1490="","",'Ordenes_Odoo'!F1490)</f>
        <v/>
      </c>
      <c r="G1490" s="79">
        <f>IF('Ordenes_Odoo'!G1490="","",'Ordenes_Odoo'!G1490)</f>
        <v/>
      </c>
      <c r="H1490" s="79">
        <f>IF('Ordenes_Odoo'!H1490="","",'Ordenes_Odoo'!H1490)</f>
        <v/>
      </c>
      <c r="I1490" s="79">
        <f>IF('Ordenes_Odoo'!I1490="","",'Ordenes_Odoo'!I1490)</f>
        <v/>
      </c>
      <c r="J1490" s="79">
        <f>IF('Ordenes_Odoo'!J1490="","",'Ordenes_Odoo'!J1490)</f>
        <v/>
      </c>
      <c r="K1490" s="81">
        <f>IF('Ordenes_Odoo'!K1490="","",'Ordenes_Odoo'!K1490)</f>
        <v/>
      </c>
      <c r="L1490" s="81">
        <f>IF('Ordenes_Odoo'!L1490="","",'Ordenes_Odoo'!L1490)</f>
        <v/>
      </c>
      <c r="M1490" s="79">
        <f>IF('Ordenes_Odoo'!M1490="","",'Ordenes_Odoo'!M1490)</f>
        <v/>
      </c>
      <c r="N1490" s="79">
        <f>IF('Ordenes_Odoo'!N1490="","",'Ordenes_Odoo'!N1490)</f>
        <v/>
      </c>
      <c r="O1490" s="81">
        <f>IF('Ordenes_Odoo'!O1490="","",'Ordenes_Odoo'!O1490)</f>
        <v/>
      </c>
      <c r="P1490" s="81">
        <f>IF('Ordenes_Odoo'!P1490="","",'Ordenes_Odoo'!P1490)</f>
        <v/>
      </c>
      <c r="Q1490" s="79">
        <f>IF(A1490="","",IFERROR(INDEX(Facturas_Odoo!$B:$B, MATCH(A1490, Facturas_Odoo!$D:$D, 0)), "Sin Factura"))</f>
        <v/>
      </c>
      <c r="R1490" s="80">
        <f>IF(Q1490="Sin Factura","",IFERROR(INDEX(Facturas_Odoo!$A:$A, MATCH(Q1490, Facturas_Odoo!$B:$B, 0)), ""))</f>
        <v/>
      </c>
      <c r="S1490" s="79">
        <f>IF(Q1490="Sin Factura","",IFERROR(_xlfn.XLOOKUP(1, (Facturas_Odoo!$D:$D=A1490) * (Facturas_Odoo!$K:$K=I1490), Facturas_Odoo!$L:$L, ""), ""))</f>
        <v/>
      </c>
      <c r="T1490" s="81">
        <f>IF(Q1490="Sin Factura",0,IFERROR(_xlfn.XLOOKUP(1, (Facturas_Odoo!$D:$D=A1490) * (Facturas_Odoo!$K:$K=I1490), Facturas_Odoo!$M:$M, 0), 0))</f>
        <v/>
      </c>
      <c r="U1490" s="79">
        <f>IF(Q1490="Sin Factura",0,IFERROR(_xlfn.XLOOKUP(1, (Facturas_Odoo!$D:$D=A1490) * (Facturas_Odoo!$K:$K=I1490), Facturas_Odoo!$N:$N, 0), 0))</f>
        <v/>
      </c>
      <c r="V1490" s="79">
        <f>IF(Q1490="Sin Factura",0,IFERROR(_xlfn.XLOOKUP(1, (Facturas_Odoo!$D:$D=A1490) * (Facturas_Odoo!$K:$K=I1490), Facturas_Odoo!$O:$O, 0), 0))</f>
        <v/>
      </c>
      <c r="W1490" s="81">
        <f>IF(Q1490="Sin Factura",0,IFERROR(_xlfn.XLOOKUP(1, (Facturas_Odoo!$D:$D=A1490) * (Facturas_Odoo!$K:$K=I1490), Facturas_Odoo!$Q:$Q, 0), 0))</f>
        <v/>
      </c>
      <c r="X1490" s="79">
        <f>IF(OR(Q1490="Sin Factura",Q1490=""),"",IFERROR(INDEX(Pagos_Odoo!$B:$B, MATCH(Q1490, Pagos_Odoo!$I:$I, 0)), "Sin Pago"))</f>
        <v/>
      </c>
      <c r="Y1490" s="79">
        <f>IF(X1490="Sin Pago","",IFERROR(INDEX(Pagos_Odoo!$C:$C, MATCH(X1490, Pagos_Odoo!$B:$B, 0)), ""))</f>
        <v/>
      </c>
      <c r="Z1490" s="80">
        <f>IF(X1490="Sin Pago","",IFERROR(INDEX(Pagos_Odoo!$A:$A, MATCH(X1490, Pagos_Odoo!$B:$B, 0)), ""))</f>
        <v/>
      </c>
      <c r="AA1490" s="79">
        <f>IF(X1490="Sin Pago","",IFERROR(INDEX(Pagos_Odoo!$F:$F, MATCH(X1490, Pagos_Odoo!$B:$B, 0)), ""))</f>
        <v/>
      </c>
      <c r="AB1490" s="81">
        <f>IF(X1490="Sin Pago",0,IFERROR(INDEX(Pagos_Odoo!$E:$E, MATCH(X1490, Pagos_Odoo!$B:$B, 0)), 0))</f>
        <v/>
      </c>
      <c r="AC1490" s="79">
        <f>IF(X1490="Sin Pago","",IFERROR(INDEX(Pagos_Odoo!$G:$G, MATCH(X1490, Pagos_Odoo!$B:$B, 0)), ""))</f>
        <v/>
      </c>
      <c r="AD1490" s="82" t="n">
        <v>0</v>
      </c>
      <c r="AE1490" s="82" t="n"/>
      <c r="AF1490" s="82" t="n"/>
      <c r="AG1490" s="82">
        <f>IF(AN1490="","",AD1490+AE1490+AF1490)</f>
        <v/>
      </c>
      <c r="AH1490" s="81">
        <f>IF(AN1490="","",P1490*(1-AG1490))</f>
        <v/>
      </c>
      <c r="AI1490" s="81">
        <f>IF(AN1490="","",IF(Q1490="Sin Factura",0,IFERROR(INDEX(Facturas_Odoo!$H:$H, MATCH(Q1490, Facturas_Odoo!$B:$B, 0)), 0)*(1-AG1490)))</f>
        <v/>
      </c>
      <c r="AJ1490" s="81">
        <f>IF(AN1490="","",_xlfn.LET(idVenta, AN1490&amp;"",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90" s="81">
        <f>IF(AN1490="","",AH1490-AJ1490)</f>
        <v/>
      </c>
      <c r="AL1490" s="81">
        <f>IF(AN1490="","",IF(Q1490="Sin Factura","",AI1490-AJ1490))</f>
        <v/>
      </c>
      <c r="AM1490" s="81">
        <f>IF(AN1490="","",IF(Q1490="Sin Factura",0,P1490-IFERROR(INDEX(Facturas_Odoo!$H:$H, MATCH(Q1490, Facturas_Odoo!$B:$B, 0)), 0)))</f>
        <v/>
      </c>
      <c r="AN1490" s="79">
        <f>IF(AND(A1490="", J1490=""), "", IF(A1490&lt;&gt;"", VALUE(MID(A1490,2,LEN(A1490))), AN1489))</f>
        <v/>
      </c>
      <c r="AO1490" s="79">
        <f>IF(AN1490="","",IF(AD1490=0,"OK",_xlfn.LET(monedaPago, IF(AA1490="","USD",AA1490), limitePermitido, IFERROR(VLOOKUP(monedaPago, Configuración!$A$2:$B$3, 2, FALSE), 0.15), IF(AD1490&gt;limitePermitido, "ALERTA: EXCESO (" &amp; TEXT(limitePermitido, "0%") &amp; " máx)", "OK"))))</f>
        <v/>
      </c>
      <c r="AP1490" s="79">
        <f>IF(AN1490="","",IF(AE1490=0,"OK",_xlfn.LET(fechaPago, Z1490, fechaFactura, R1490, diasCredito, IF(E1490="Pago inmediato", 0, IFERROR(VALUE(MID(E1490, 1, SEARCH(" ", E1490)-1)),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90" s="79">
        <f>IF(AN1490="","",IF(AND(N1490&gt;0, AG1490&gt;0), IF(Configuración!$K$2="NO", "ALERTA: DESCUENTO DOBLE NO PERMITIDO", "OK"), "OK"))</f>
        <v/>
      </c>
      <c r="AR1490" s="79">
        <f>IF(AN1490="","",IF(OR(AO1490&lt;&gt;"OK", AP1490&lt;&gt;"OK", AQ1490&lt;&gt;"OK"), "⚠️ REVISAR", "OK"))</f>
        <v/>
      </c>
    </row>
    <row r="1491">
      <c r="A1491" s="79">
        <f>IF('Ordenes_Odoo'!A1491="","",'Ordenes_Odoo'!A1491)</f>
        <v/>
      </c>
      <c r="B1491" s="80">
        <f>IF('Ordenes_Odoo'!B1491="","",'Ordenes_Odoo'!B1491)</f>
        <v/>
      </c>
      <c r="C1491" s="79">
        <f>IF('Ordenes_Odoo'!C1491="","",'Ordenes_Odoo'!C1491)</f>
        <v/>
      </c>
      <c r="D1491" s="79">
        <f>IF('Ordenes_Odoo'!D1491="","",'Ordenes_Odoo'!D1491)</f>
        <v/>
      </c>
      <c r="E1491" s="79">
        <f>IF('Ordenes_Odoo'!E1491="","",'Ordenes_Odoo'!E1491)</f>
        <v/>
      </c>
      <c r="F1491" s="79">
        <f>IF('Ordenes_Odoo'!F1491="","",'Ordenes_Odoo'!F1491)</f>
        <v/>
      </c>
      <c r="G1491" s="79">
        <f>IF('Ordenes_Odoo'!G1491="","",'Ordenes_Odoo'!G1491)</f>
        <v/>
      </c>
      <c r="H1491" s="79">
        <f>IF('Ordenes_Odoo'!H1491="","",'Ordenes_Odoo'!H1491)</f>
        <v/>
      </c>
      <c r="I1491" s="79">
        <f>IF('Ordenes_Odoo'!I1491="","",'Ordenes_Odoo'!I1491)</f>
        <v/>
      </c>
      <c r="J1491" s="79">
        <f>IF('Ordenes_Odoo'!J1491="","",'Ordenes_Odoo'!J1491)</f>
        <v/>
      </c>
      <c r="K1491" s="81">
        <f>IF('Ordenes_Odoo'!K1491="","",'Ordenes_Odoo'!K1491)</f>
        <v/>
      </c>
      <c r="L1491" s="81">
        <f>IF('Ordenes_Odoo'!L1491="","",'Ordenes_Odoo'!L1491)</f>
        <v/>
      </c>
      <c r="M1491" s="79">
        <f>IF('Ordenes_Odoo'!M1491="","",'Ordenes_Odoo'!M1491)</f>
        <v/>
      </c>
      <c r="N1491" s="79">
        <f>IF('Ordenes_Odoo'!N1491="","",'Ordenes_Odoo'!N1491)</f>
        <v/>
      </c>
      <c r="O1491" s="81">
        <f>IF('Ordenes_Odoo'!O1491="","",'Ordenes_Odoo'!O1491)</f>
        <v/>
      </c>
      <c r="P1491" s="81">
        <f>IF('Ordenes_Odoo'!P1491="","",'Ordenes_Odoo'!P1491)</f>
        <v/>
      </c>
      <c r="Q1491" s="79">
        <f>IF(A1491="","",IFERROR(INDEX(Facturas_Odoo!$B:$B, MATCH(A1491, Facturas_Odoo!$D:$D, 0)), "Sin Factura"))</f>
        <v/>
      </c>
      <c r="R1491" s="80">
        <f>IF(Q1491="Sin Factura","",IFERROR(INDEX(Facturas_Odoo!$A:$A, MATCH(Q1491, Facturas_Odoo!$B:$B, 0)), ""))</f>
        <v/>
      </c>
      <c r="S1491" s="79">
        <f>IF(Q1491="Sin Factura","",IFERROR(_xlfn.XLOOKUP(1, (Facturas_Odoo!$D:$D=A1491) * (Facturas_Odoo!$K:$K=I1491), Facturas_Odoo!$L:$L, ""), ""))</f>
        <v/>
      </c>
      <c r="T1491" s="81">
        <f>IF(Q1491="Sin Factura",0,IFERROR(_xlfn.XLOOKUP(1, (Facturas_Odoo!$D:$D=A1491) * (Facturas_Odoo!$K:$K=I1491), Facturas_Odoo!$M:$M, 0), 0))</f>
        <v/>
      </c>
      <c r="U1491" s="79">
        <f>IF(Q1491="Sin Factura",0,IFERROR(_xlfn.XLOOKUP(1, (Facturas_Odoo!$D:$D=A1491) * (Facturas_Odoo!$K:$K=I1491), Facturas_Odoo!$N:$N, 0), 0))</f>
        <v/>
      </c>
      <c r="V1491" s="79">
        <f>IF(Q1491="Sin Factura",0,IFERROR(_xlfn.XLOOKUP(1, (Facturas_Odoo!$D:$D=A1491) * (Facturas_Odoo!$K:$K=I1491), Facturas_Odoo!$O:$O, 0), 0))</f>
        <v/>
      </c>
      <c r="W1491" s="81">
        <f>IF(Q1491="Sin Factura",0,IFERROR(_xlfn.XLOOKUP(1, (Facturas_Odoo!$D:$D=A1491) * (Facturas_Odoo!$K:$K=I1491), Facturas_Odoo!$Q:$Q, 0), 0))</f>
        <v/>
      </c>
      <c r="X1491" s="79">
        <f>IF(OR(Q1491="Sin Factura",Q1491=""),"",IFERROR(INDEX(Pagos_Odoo!$B:$B, MATCH(Q1491, Pagos_Odoo!$I:$I, 0)), "Sin Pago"))</f>
        <v/>
      </c>
      <c r="Y1491" s="79">
        <f>IF(X1491="Sin Pago","",IFERROR(INDEX(Pagos_Odoo!$C:$C, MATCH(X1491, Pagos_Odoo!$B:$B, 0)), ""))</f>
        <v/>
      </c>
      <c r="Z1491" s="80">
        <f>IF(X1491="Sin Pago","",IFERROR(INDEX(Pagos_Odoo!$A:$A, MATCH(X1491, Pagos_Odoo!$B:$B, 0)), ""))</f>
        <v/>
      </c>
      <c r="AA1491" s="79">
        <f>IF(X1491="Sin Pago","",IFERROR(INDEX(Pagos_Odoo!$F:$F, MATCH(X1491, Pagos_Odoo!$B:$B, 0)), ""))</f>
        <v/>
      </c>
      <c r="AB1491" s="81">
        <f>IF(X1491="Sin Pago",0,IFERROR(INDEX(Pagos_Odoo!$E:$E, MATCH(X1491, Pagos_Odoo!$B:$B, 0)), 0))</f>
        <v/>
      </c>
      <c r="AC1491" s="79">
        <f>IF(X1491="Sin Pago","",IFERROR(INDEX(Pagos_Odoo!$G:$G, MATCH(X1491, Pagos_Odoo!$B:$B, 0)), ""))</f>
        <v/>
      </c>
      <c r="AD1491" s="82" t="n">
        <v>0</v>
      </c>
      <c r="AE1491" s="82" t="n"/>
      <c r="AF1491" s="82" t="n"/>
      <c r="AG1491" s="82">
        <f>IF(AN1491="","",AD1491+AE1491+AF1491)</f>
        <v/>
      </c>
      <c r="AH1491" s="81">
        <f>IF(AN1491="","",P1491*(1-AG1491))</f>
        <v/>
      </c>
      <c r="AI1491" s="81">
        <f>IF(AN1491="","",IF(Q1491="Sin Factura",0,IFERROR(INDEX(Facturas_Odoo!$H:$H, MATCH(Q1491, Facturas_Odoo!$B:$B, 0)), 0)*(1-AG1491)))</f>
        <v/>
      </c>
      <c r="AJ1491" s="81">
        <f>IF(AN1491="","",_xlfn.LET(idVenta, AN1491&amp;"",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91" s="81">
        <f>IF(AN1491="","",AH1491-AJ1491)</f>
        <v/>
      </c>
      <c r="AL1491" s="81">
        <f>IF(AN1491="","",IF(Q1491="Sin Factura","",AI1491-AJ1491))</f>
        <v/>
      </c>
      <c r="AM1491" s="81">
        <f>IF(AN1491="","",IF(Q1491="Sin Factura",0,P1491-IFERROR(INDEX(Facturas_Odoo!$H:$H, MATCH(Q1491, Facturas_Odoo!$B:$B, 0)), 0)))</f>
        <v/>
      </c>
      <c r="AN1491" s="79">
        <f>IF(AND(A1491="", J1491=""), "", IF(A1491&lt;&gt;"", VALUE(MID(A1491,2,LEN(A1491))), AN1490))</f>
        <v/>
      </c>
      <c r="AO1491" s="79">
        <f>IF(AN1491="","",IF(AD1491=0,"OK",_xlfn.LET(monedaPago, IF(AA1491="","USD",AA1491), limitePermitido, IFERROR(VLOOKUP(monedaPago, Configuración!$A$2:$B$3, 2, FALSE), 0.15), IF(AD1491&gt;limitePermitido, "ALERTA: EXCESO (" &amp; TEXT(limitePermitido, "0%") &amp; " máx)", "OK"))))</f>
        <v/>
      </c>
      <c r="AP1491" s="79">
        <f>IF(AN1491="","",IF(AE1491=0,"OK",_xlfn.LET(fechaPago, Z1491, fechaFactura, R1491, diasCredito, IF(E1491="Pago inmediato", 0, IFERROR(VALUE(MID(E1491, 1, SEARCH(" ", E1491)-1)),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91" s="79">
        <f>IF(AN1491="","",IF(AND(N1491&gt;0, AG1491&gt;0), IF(Configuración!$K$2="NO", "ALERTA: DESCUENTO DOBLE NO PERMITIDO", "OK"), "OK"))</f>
        <v/>
      </c>
      <c r="AR1491" s="79">
        <f>IF(AN1491="","",IF(OR(AO1491&lt;&gt;"OK", AP1491&lt;&gt;"OK", AQ1491&lt;&gt;"OK"), "⚠️ REVISAR", "OK"))</f>
        <v/>
      </c>
    </row>
    <row r="1492">
      <c r="A1492" s="79">
        <f>IF('Ordenes_Odoo'!A1492="","",'Ordenes_Odoo'!A1492)</f>
        <v/>
      </c>
      <c r="B1492" s="80">
        <f>IF('Ordenes_Odoo'!B1492="","",'Ordenes_Odoo'!B1492)</f>
        <v/>
      </c>
      <c r="C1492" s="79">
        <f>IF('Ordenes_Odoo'!C1492="","",'Ordenes_Odoo'!C1492)</f>
        <v/>
      </c>
      <c r="D1492" s="79">
        <f>IF('Ordenes_Odoo'!D1492="","",'Ordenes_Odoo'!D1492)</f>
        <v/>
      </c>
      <c r="E1492" s="79">
        <f>IF('Ordenes_Odoo'!E1492="","",'Ordenes_Odoo'!E1492)</f>
        <v/>
      </c>
      <c r="F1492" s="79">
        <f>IF('Ordenes_Odoo'!F1492="","",'Ordenes_Odoo'!F1492)</f>
        <v/>
      </c>
      <c r="G1492" s="79">
        <f>IF('Ordenes_Odoo'!G1492="","",'Ordenes_Odoo'!G1492)</f>
        <v/>
      </c>
      <c r="H1492" s="79">
        <f>IF('Ordenes_Odoo'!H1492="","",'Ordenes_Odoo'!H1492)</f>
        <v/>
      </c>
      <c r="I1492" s="79">
        <f>IF('Ordenes_Odoo'!I1492="","",'Ordenes_Odoo'!I1492)</f>
        <v/>
      </c>
      <c r="J1492" s="79">
        <f>IF('Ordenes_Odoo'!J1492="","",'Ordenes_Odoo'!J1492)</f>
        <v/>
      </c>
      <c r="K1492" s="81">
        <f>IF('Ordenes_Odoo'!K1492="","",'Ordenes_Odoo'!K1492)</f>
        <v/>
      </c>
      <c r="L1492" s="81">
        <f>IF('Ordenes_Odoo'!L1492="","",'Ordenes_Odoo'!L1492)</f>
        <v/>
      </c>
      <c r="M1492" s="79">
        <f>IF('Ordenes_Odoo'!M1492="","",'Ordenes_Odoo'!M1492)</f>
        <v/>
      </c>
      <c r="N1492" s="79">
        <f>IF('Ordenes_Odoo'!N1492="","",'Ordenes_Odoo'!N1492)</f>
        <v/>
      </c>
      <c r="O1492" s="81">
        <f>IF('Ordenes_Odoo'!O1492="","",'Ordenes_Odoo'!O1492)</f>
        <v/>
      </c>
      <c r="P1492" s="81">
        <f>IF('Ordenes_Odoo'!P1492="","",'Ordenes_Odoo'!P1492)</f>
        <v/>
      </c>
      <c r="Q1492" s="79">
        <f>IF(A1492="","",IFERROR(INDEX(Facturas_Odoo!$B:$B, MATCH(A1492, Facturas_Odoo!$D:$D, 0)), "Sin Factura"))</f>
        <v/>
      </c>
      <c r="R1492" s="80">
        <f>IF(Q1492="Sin Factura","",IFERROR(INDEX(Facturas_Odoo!$A:$A, MATCH(Q1492, Facturas_Odoo!$B:$B, 0)), ""))</f>
        <v/>
      </c>
      <c r="S1492" s="79">
        <f>IF(Q1492="Sin Factura","",IFERROR(_xlfn.XLOOKUP(1, (Facturas_Odoo!$D:$D=A1492) * (Facturas_Odoo!$K:$K=I1492), Facturas_Odoo!$L:$L, ""), ""))</f>
        <v/>
      </c>
      <c r="T1492" s="81">
        <f>IF(Q1492="Sin Factura",0,IFERROR(_xlfn.XLOOKUP(1, (Facturas_Odoo!$D:$D=A1492) * (Facturas_Odoo!$K:$K=I1492), Facturas_Odoo!$M:$M, 0), 0))</f>
        <v/>
      </c>
      <c r="U1492" s="79">
        <f>IF(Q1492="Sin Factura",0,IFERROR(_xlfn.XLOOKUP(1, (Facturas_Odoo!$D:$D=A1492) * (Facturas_Odoo!$K:$K=I1492), Facturas_Odoo!$N:$N, 0), 0))</f>
        <v/>
      </c>
      <c r="V1492" s="79">
        <f>IF(Q1492="Sin Factura",0,IFERROR(_xlfn.XLOOKUP(1, (Facturas_Odoo!$D:$D=A1492) * (Facturas_Odoo!$K:$K=I1492), Facturas_Odoo!$O:$O, 0), 0))</f>
        <v/>
      </c>
      <c r="W1492" s="81">
        <f>IF(Q1492="Sin Factura",0,IFERROR(_xlfn.XLOOKUP(1, (Facturas_Odoo!$D:$D=A1492) * (Facturas_Odoo!$K:$K=I1492), Facturas_Odoo!$Q:$Q, 0), 0))</f>
        <v/>
      </c>
      <c r="X1492" s="79">
        <f>IF(OR(Q1492="Sin Factura",Q1492=""),"",IFERROR(INDEX(Pagos_Odoo!$B:$B, MATCH(Q1492, Pagos_Odoo!$I:$I, 0)), "Sin Pago"))</f>
        <v/>
      </c>
      <c r="Y1492" s="79">
        <f>IF(X1492="Sin Pago","",IFERROR(INDEX(Pagos_Odoo!$C:$C, MATCH(X1492, Pagos_Odoo!$B:$B, 0)), ""))</f>
        <v/>
      </c>
      <c r="Z1492" s="80">
        <f>IF(X1492="Sin Pago","",IFERROR(INDEX(Pagos_Odoo!$A:$A, MATCH(X1492, Pagos_Odoo!$B:$B, 0)), ""))</f>
        <v/>
      </c>
      <c r="AA1492" s="79">
        <f>IF(X1492="Sin Pago","",IFERROR(INDEX(Pagos_Odoo!$F:$F, MATCH(X1492, Pagos_Odoo!$B:$B, 0)), ""))</f>
        <v/>
      </c>
      <c r="AB1492" s="81">
        <f>IF(X1492="Sin Pago",0,IFERROR(INDEX(Pagos_Odoo!$E:$E, MATCH(X1492, Pagos_Odoo!$B:$B, 0)), 0))</f>
        <v/>
      </c>
      <c r="AC1492" s="79">
        <f>IF(X1492="Sin Pago","",IFERROR(INDEX(Pagos_Odoo!$G:$G, MATCH(X1492, Pagos_Odoo!$B:$B, 0)), ""))</f>
        <v/>
      </c>
      <c r="AD1492" s="82" t="n">
        <v>0</v>
      </c>
      <c r="AE1492" s="82" t="n"/>
      <c r="AF1492" s="82" t="n"/>
      <c r="AG1492" s="82">
        <f>IF(AN1492="","",AD1492+AE1492+AF1492)</f>
        <v/>
      </c>
      <c r="AH1492" s="81">
        <f>IF(AN1492="","",P1492*(1-AG1492))</f>
        <v/>
      </c>
      <c r="AI1492" s="81">
        <f>IF(AN1492="","",IF(Q1492="Sin Factura",0,IFERROR(INDEX(Facturas_Odoo!$H:$H, MATCH(Q1492, Facturas_Odoo!$B:$B, 0)), 0)*(1-AG1492)))</f>
        <v/>
      </c>
      <c r="AJ1492" s="81">
        <f>IF(AN1492="","",_xlfn.LET(idVenta, AN1492&amp;"",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92" s="81">
        <f>IF(AN1492="","",AH1492-AJ1492)</f>
        <v/>
      </c>
      <c r="AL1492" s="81">
        <f>IF(AN1492="","",IF(Q1492="Sin Factura","",AI1492-AJ1492))</f>
        <v/>
      </c>
      <c r="AM1492" s="81">
        <f>IF(AN1492="","",IF(Q1492="Sin Factura",0,P1492-IFERROR(INDEX(Facturas_Odoo!$H:$H, MATCH(Q1492, Facturas_Odoo!$B:$B, 0)), 0)))</f>
        <v/>
      </c>
      <c r="AN1492" s="79">
        <f>IF(AND(A1492="", J1492=""), "", IF(A1492&lt;&gt;"", VALUE(MID(A1492,2,LEN(A1492))), AN1491))</f>
        <v/>
      </c>
      <c r="AO1492" s="79">
        <f>IF(AN1492="","",IF(AD1492=0,"OK",_xlfn.LET(monedaPago, IF(AA1492="","USD",AA1492), limitePermitido, IFERROR(VLOOKUP(monedaPago, Configuración!$A$2:$B$3, 2, FALSE), 0.15), IF(AD1492&gt;limitePermitido, "ALERTA: EXCESO (" &amp; TEXT(limitePermitido, "0%") &amp; " máx)", "OK"))))</f>
        <v/>
      </c>
      <c r="AP1492" s="79">
        <f>IF(AN1492="","",IF(AE1492=0,"OK",_xlfn.LET(fechaPago, Z1492, fechaFactura, R1492, diasCredito, IF(E1492="Pago inmediato", 0, IFERROR(VALUE(MID(E1492, 1, SEARCH(" ", E1492)-1)),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92" s="79">
        <f>IF(AN1492="","",IF(AND(N1492&gt;0, AG1492&gt;0), IF(Configuración!$K$2="NO", "ALERTA: DESCUENTO DOBLE NO PERMITIDO", "OK"), "OK"))</f>
        <v/>
      </c>
      <c r="AR1492" s="79">
        <f>IF(AN1492="","",IF(OR(AO1492&lt;&gt;"OK", AP1492&lt;&gt;"OK", AQ1492&lt;&gt;"OK"), "⚠️ REVISAR", "OK"))</f>
        <v/>
      </c>
    </row>
    <row r="1493">
      <c r="A1493" s="79">
        <f>IF('Ordenes_Odoo'!A1493="","",'Ordenes_Odoo'!A1493)</f>
        <v/>
      </c>
      <c r="B1493" s="80">
        <f>IF('Ordenes_Odoo'!B1493="","",'Ordenes_Odoo'!B1493)</f>
        <v/>
      </c>
      <c r="C1493" s="79">
        <f>IF('Ordenes_Odoo'!C1493="","",'Ordenes_Odoo'!C1493)</f>
        <v/>
      </c>
      <c r="D1493" s="79">
        <f>IF('Ordenes_Odoo'!D1493="","",'Ordenes_Odoo'!D1493)</f>
        <v/>
      </c>
      <c r="E1493" s="79">
        <f>IF('Ordenes_Odoo'!E1493="","",'Ordenes_Odoo'!E1493)</f>
        <v/>
      </c>
      <c r="F1493" s="79">
        <f>IF('Ordenes_Odoo'!F1493="","",'Ordenes_Odoo'!F1493)</f>
        <v/>
      </c>
      <c r="G1493" s="79">
        <f>IF('Ordenes_Odoo'!G1493="","",'Ordenes_Odoo'!G1493)</f>
        <v/>
      </c>
      <c r="H1493" s="79">
        <f>IF('Ordenes_Odoo'!H1493="","",'Ordenes_Odoo'!H1493)</f>
        <v/>
      </c>
      <c r="I1493" s="79">
        <f>IF('Ordenes_Odoo'!I1493="","",'Ordenes_Odoo'!I1493)</f>
        <v/>
      </c>
      <c r="J1493" s="79">
        <f>IF('Ordenes_Odoo'!J1493="","",'Ordenes_Odoo'!J1493)</f>
        <v/>
      </c>
      <c r="K1493" s="81">
        <f>IF('Ordenes_Odoo'!K1493="","",'Ordenes_Odoo'!K1493)</f>
        <v/>
      </c>
      <c r="L1493" s="81">
        <f>IF('Ordenes_Odoo'!L1493="","",'Ordenes_Odoo'!L1493)</f>
        <v/>
      </c>
      <c r="M1493" s="79">
        <f>IF('Ordenes_Odoo'!M1493="","",'Ordenes_Odoo'!M1493)</f>
        <v/>
      </c>
      <c r="N1493" s="79">
        <f>IF('Ordenes_Odoo'!N1493="","",'Ordenes_Odoo'!N1493)</f>
        <v/>
      </c>
      <c r="O1493" s="81">
        <f>IF('Ordenes_Odoo'!O1493="","",'Ordenes_Odoo'!O1493)</f>
        <v/>
      </c>
      <c r="P1493" s="81">
        <f>IF('Ordenes_Odoo'!P1493="","",'Ordenes_Odoo'!P1493)</f>
        <v/>
      </c>
      <c r="Q1493" s="79">
        <f>IF(A1493="","",IFERROR(INDEX(Facturas_Odoo!$B:$B, MATCH(A1493, Facturas_Odoo!$D:$D, 0)), "Sin Factura"))</f>
        <v/>
      </c>
      <c r="R1493" s="80">
        <f>IF(Q1493="Sin Factura","",IFERROR(INDEX(Facturas_Odoo!$A:$A, MATCH(Q1493, Facturas_Odoo!$B:$B, 0)), ""))</f>
        <v/>
      </c>
      <c r="S1493" s="79">
        <f>IF(Q1493="Sin Factura","",IFERROR(_xlfn.XLOOKUP(1, (Facturas_Odoo!$D:$D=A1493) * (Facturas_Odoo!$K:$K=I1493), Facturas_Odoo!$L:$L, ""), ""))</f>
        <v/>
      </c>
      <c r="T1493" s="81">
        <f>IF(Q1493="Sin Factura",0,IFERROR(_xlfn.XLOOKUP(1, (Facturas_Odoo!$D:$D=A1493) * (Facturas_Odoo!$K:$K=I1493), Facturas_Odoo!$M:$M, 0), 0))</f>
        <v/>
      </c>
      <c r="U1493" s="79">
        <f>IF(Q1493="Sin Factura",0,IFERROR(_xlfn.XLOOKUP(1, (Facturas_Odoo!$D:$D=A1493) * (Facturas_Odoo!$K:$K=I1493), Facturas_Odoo!$N:$N, 0), 0))</f>
        <v/>
      </c>
      <c r="V1493" s="79">
        <f>IF(Q1493="Sin Factura",0,IFERROR(_xlfn.XLOOKUP(1, (Facturas_Odoo!$D:$D=A1493) * (Facturas_Odoo!$K:$K=I1493), Facturas_Odoo!$O:$O, 0), 0))</f>
        <v/>
      </c>
      <c r="W1493" s="81">
        <f>IF(Q1493="Sin Factura",0,IFERROR(_xlfn.XLOOKUP(1, (Facturas_Odoo!$D:$D=A1493) * (Facturas_Odoo!$K:$K=I1493), Facturas_Odoo!$Q:$Q, 0), 0))</f>
        <v/>
      </c>
      <c r="X1493" s="79">
        <f>IF(OR(Q1493="Sin Factura",Q1493=""),"",IFERROR(INDEX(Pagos_Odoo!$B:$B, MATCH(Q1493, Pagos_Odoo!$I:$I, 0)), "Sin Pago"))</f>
        <v/>
      </c>
      <c r="Y1493" s="79">
        <f>IF(X1493="Sin Pago","",IFERROR(INDEX(Pagos_Odoo!$C:$C, MATCH(X1493, Pagos_Odoo!$B:$B, 0)), ""))</f>
        <v/>
      </c>
      <c r="Z1493" s="80">
        <f>IF(X1493="Sin Pago","",IFERROR(INDEX(Pagos_Odoo!$A:$A, MATCH(X1493, Pagos_Odoo!$B:$B, 0)), ""))</f>
        <v/>
      </c>
      <c r="AA1493" s="79">
        <f>IF(X1493="Sin Pago","",IFERROR(INDEX(Pagos_Odoo!$F:$F, MATCH(X1493, Pagos_Odoo!$B:$B, 0)), ""))</f>
        <v/>
      </c>
      <c r="AB1493" s="81">
        <f>IF(X1493="Sin Pago",0,IFERROR(INDEX(Pagos_Odoo!$E:$E, MATCH(X1493, Pagos_Odoo!$B:$B, 0)), 0))</f>
        <v/>
      </c>
      <c r="AC1493" s="79">
        <f>IF(X1493="Sin Pago","",IFERROR(INDEX(Pagos_Odoo!$G:$G, MATCH(X1493, Pagos_Odoo!$B:$B, 0)), ""))</f>
        <v/>
      </c>
      <c r="AD1493" s="82" t="n">
        <v>0</v>
      </c>
      <c r="AE1493" s="82" t="n"/>
      <c r="AF1493" s="82" t="n"/>
      <c r="AG1493" s="82">
        <f>IF(AN1493="","",AD1493+AE1493+AF1493)</f>
        <v/>
      </c>
      <c r="AH1493" s="81">
        <f>IF(AN1493="","",P1493*(1-AG1493))</f>
        <v/>
      </c>
      <c r="AI1493" s="81">
        <f>IF(AN1493="","",IF(Q1493="Sin Factura",0,IFERROR(INDEX(Facturas_Odoo!$H:$H, MATCH(Q1493, Facturas_Odoo!$B:$B, 0)), 0)*(1-AG1493)))</f>
        <v/>
      </c>
      <c r="AJ1493" s="81">
        <f>IF(AN1493="","",_xlfn.LET(idVenta, AN1493&amp;"",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93" s="81">
        <f>IF(AN1493="","",AH1493-AJ1493)</f>
        <v/>
      </c>
      <c r="AL1493" s="81">
        <f>IF(AN1493="","",IF(Q1493="Sin Factura","",AI1493-AJ1493))</f>
        <v/>
      </c>
      <c r="AM1493" s="81">
        <f>IF(AN1493="","",IF(Q1493="Sin Factura",0,P1493-IFERROR(INDEX(Facturas_Odoo!$H:$H, MATCH(Q1493, Facturas_Odoo!$B:$B, 0)), 0)))</f>
        <v/>
      </c>
      <c r="AN1493" s="79">
        <f>IF(AND(A1493="", J1493=""), "", IF(A1493&lt;&gt;"", VALUE(MID(A1493,2,LEN(A1493))), AN1492))</f>
        <v/>
      </c>
      <c r="AO1493" s="79">
        <f>IF(AN1493="","",IF(AD1493=0,"OK",_xlfn.LET(monedaPago, IF(AA1493="","USD",AA1493), limitePermitido, IFERROR(VLOOKUP(monedaPago, Configuración!$A$2:$B$3, 2, FALSE), 0.15), IF(AD1493&gt;limitePermitido, "ALERTA: EXCESO (" &amp; TEXT(limitePermitido, "0%") &amp; " máx)", "OK"))))</f>
        <v/>
      </c>
      <c r="AP1493" s="79">
        <f>IF(AN1493="","",IF(AE1493=0,"OK",_xlfn.LET(fechaPago, Z1493, fechaFactura, R1493, diasCredito, IF(E1493="Pago inmediato", 0, IFERROR(VALUE(MID(E1493, 1, SEARCH(" ", E1493)-1)),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93" s="79">
        <f>IF(AN1493="","",IF(AND(N1493&gt;0, AG1493&gt;0), IF(Configuración!$K$2="NO", "ALERTA: DESCUENTO DOBLE NO PERMITIDO", "OK"), "OK"))</f>
        <v/>
      </c>
      <c r="AR1493" s="79">
        <f>IF(AN1493="","",IF(OR(AO1493&lt;&gt;"OK", AP1493&lt;&gt;"OK", AQ1493&lt;&gt;"OK"), "⚠️ REVISAR", "OK"))</f>
        <v/>
      </c>
    </row>
    <row r="1494">
      <c r="A1494" s="79">
        <f>IF('Ordenes_Odoo'!A1494="","",'Ordenes_Odoo'!A1494)</f>
        <v/>
      </c>
      <c r="B1494" s="80">
        <f>IF('Ordenes_Odoo'!B1494="","",'Ordenes_Odoo'!B1494)</f>
        <v/>
      </c>
      <c r="C1494" s="79">
        <f>IF('Ordenes_Odoo'!C1494="","",'Ordenes_Odoo'!C1494)</f>
        <v/>
      </c>
      <c r="D1494" s="79">
        <f>IF('Ordenes_Odoo'!D1494="","",'Ordenes_Odoo'!D1494)</f>
        <v/>
      </c>
      <c r="E1494" s="79">
        <f>IF('Ordenes_Odoo'!E1494="","",'Ordenes_Odoo'!E1494)</f>
        <v/>
      </c>
      <c r="F1494" s="79">
        <f>IF('Ordenes_Odoo'!F1494="","",'Ordenes_Odoo'!F1494)</f>
        <v/>
      </c>
      <c r="G1494" s="79">
        <f>IF('Ordenes_Odoo'!G1494="","",'Ordenes_Odoo'!G1494)</f>
        <v/>
      </c>
      <c r="H1494" s="79">
        <f>IF('Ordenes_Odoo'!H1494="","",'Ordenes_Odoo'!H1494)</f>
        <v/>
      </c>
      <c r="I1494" s="79">
        <f>IF('Ordenes_Odoo'!I1494="","",'Ordenes_Odoo'!I1494)</f>
        <v/>
      </c>
      <c r="J1494" s="79">
        <f>IF('Ordenes_Odoo'!J1494="","",'Ordenes_Odoo'!J1494)</f>
        <v/>
      </c>
      <c r="K1494" s="81">
        <f>IF('Ordenes_Odoo'!K1494="","",'Ordenes_Odoo'!K1494)</f>
        <v/>
      </c>
      <c r="L1494" s="81">
        <f>IF('Ordenes_Odoo'!L1494="","",'Ordenes_Odoo'!L1494)</f>
        <v/>
      </c>
      <c r="M1494" s="79">
        <f>IF('Ordenes_Odoo'!M1494="","",'Ordenes_Odoo'!M1494)</f>
        <v/>
      </c>
      <c r="N1494" s="79">
        <f>IF('Ordenes_Odoo'!N1494="","",'Ordenes_Odoo'!N1494)</f>
        <v/>
      </c>
      <c r="O1494" s="81">
        <f>IF('Ordenes_Odoo'!O1494="","",'Ordenes_Odoo'!O1494)</f>
        <v/>
      </c>
      <c r="P1494" s="81">
        <f>IF('Ordenes_Odoo'!P1494="","",'Ordenes_Odoo'!P1494)</f>
        <v/>
      </c>
      <c r="Q1494" s="79">
        <f>IF(A1494="","",IFERROR(INDEX(Facturas_Odoo!$B:$B, MATCH(A1494, Facturas_Odoo!$D:$D, 0)), "Sin Factura"))</f>
        <v/>
      </c>
      <c r="R1494" s="80">
        <f>IF(Q1494="Sin Factura","",IFERROR(INDEX(Facturas_Odoo!$A:$A, MATCH(Q1494, Facturas_Odoo!$B:$B, 0)), ""))</f>
        <v/>
      </c>
      <c r="S1494" s="79">
        <f>IF(Q1494="Sin Factura","",IFERROR(_xlfn.XLOOKUP(1, (Facturas_Odoo!$D:$D=A1494) * (Facturas_Odoo!$K:$K=I1494), Facturas_Odoo!$L:$L, ""), ""))</f>
        <v/>
      </c>
      <c r="T1494" s="81">
        <f>IF(Q1494="Sin Factura",0,IFERROR(_xlfn.XLOOKUP(1, (Facturas_Odoo!$D:$D=A1494) * (Facturas_Odoo!$K:$K=I1494), Facturas_Odoo!$M:$M, 0), 0))</f>
        <v/>
      </c>
      <c r="U1494" s="79">
        <f>IF(Q1494="Sin Factura",0,IFERROR(_xlfn.XLOOKUP(1, (Facturas_Odoo!$D:$D=A1494) * (Facturas_Odoo!$K:$K=I1494), Facturas_Odoo!$N:$N, 0), 0))</f>
        <v/>
      </c>
      <c r="V1494" s="79">
        <f>IF(Q1494="Sin Factura",0,IFERROR(_xlfn.XLOOKUP(1, (Facturas_Odoo!$D:$D=A1494) * (Facturas_Odoo!$K:$K=I1494), Facturas_Odoo!$O:$O, 0), 0))</f>
        <v/>
      </c>
      <c r="W1494" s="81">
        <f>IF(Q1494="Sin Factura",0,IFERROR(_xlfn.XLOOKUP(1, (Facturas_Odoo!$D:$D=A1494) * (Facturas_Odoo!$K:$K=I1494), Facturas_Odoo!$Q:$Q, 0), 0))</f>
        <v/>
      </c>
      <c r="X1494" s="79">
        <f>IF(OR(Q1494="Sin Factura",Q1494=""),"",IFERROR(INDEX(Pagos_Odoo!$B:$B, MATCH(Q1494, Pagos_Odoo!$I:$I, 0)), "Sin Pago"))</f>
        <v/>
      </c>
      <c r="Y1494" s="79">
        <f>IF(X1494="Sin Pago","",IFERROR(INDEX(Pagos_Odoo!$C:$C, MATCH(X1494, Pagos_Odoo!$B:$B, 0)), ""))</f>
        <v/>
      </c>
      <c r="Z1494" s="80">
        <f>IF(X1494="Sin Pago","",IFERROR(INDEX(Pagos_Odoo!$A:$A, MATCH(X1494, Pagos_Odoo!$B:$B, 0)), ""))</f>
        <v/>
      </c>
      <c r="AA1494" s="79">
        <f>IF(X1494="Sin Pago","",IFERROR(INDEX(Pagos_Odoo!$F:$F, MATCH(X1494, Pagos_Odoo!$B:$B, 0)), ""))</f>
        <v/>
      </c>
      <c r="AB1494" s="81">
        <f>IF(X1494="Sin Pago",0,IFERROR(INDEX(Pagos_Odoo!$E:$E, MATCH(X1494, Pagos_Odoo!$B:$B, 0)), 0))</f>
        <v/>
      </c>
      <c r="AC1494" s="79">
        <f>IF(X1494="Sin Pago","",IFERROR(INDEX(Pagos_Odoo!$G:$G, MATCH(X1494, Pagos_Odoo!$B:$B, 0)), ""))</f>
        <v/>
      </c>
      <c r="AD1494" s="82" t="n">
        <v>0</v>
      </c>
      <c r="AE1494" s="82" t="n"/>
      <c r="AF1494" s="82" t="n"/>
      <c r="AG1494" s="82">
        <f>IF(AN1494="","",AD1494+AE1494+AF1494)</f>
        <v/>
      </c>
      <c r="AH1494" s="81">
        <f>IF(AN1494="","",P1494*(1-AG1494))</f>
        <v/>
      </c>
      <c r="AI1494" s="81">
        <f>IF(AN1494="","",IF(Q1494="Sin Factura",0,IFERROR(INDEX(Facturas_Odoo!$H:$H, MATCH(Q1494, Facturas_Odoo!$B:$B, 0)), 0)*(1-AG1494)))</f>
        <v/>
      </c>
      <c r="AJ1494" s="81">
        <f>IF(AN1494="","",_xlfn.LET(idVenta, AN1494&amp;"",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94" s="81">
        <f>IF(AN1494="","",AH1494-AJ1494)</f>
        <v/>
      </c>
      <c r="AL1494" s="81">
        <f>IF(AN1494="","",IF(Q1494="Sin Factura","",AI1494-AJ1494))</f>
        <v/>
      </c>
      <c r="AM1494" s="81">
        <f>IF(AN1494="","",IF(Q1494="Sin Factura",0,P1494-IFERROR(INDEX(Facturas_Odoo!$H:$H, MATCH(Q1494, Facturas_Odoo!$B:$B, 0)), 0)))</f>
        <v/>
      </c>
      <c r="AN1494" s="79">
        <f>IF(AND(A1494="", J1494=""), "", IF(A1494&lt;&gt;"", VALUE(MID(A1494,2,LEN(A1494))), AN1493))</f>
        <v/>
      </c>
      <c r="AO1494" s="79">
        <f>IF(AN1494="","",IF(AD1494=0,"OK",_xlfn.LET(monedaPago, IF(AA1494="","USD",AA1494), limitePermitido, IFERROR(VLOOKUP(monedaPago, Configuración!$A$2:$B$3, 2, FALSE), 0.15), IF(AD1494&gt;limitePermitido, "ALERTA: EXCESO (" &amp; TEXT(limitePermitido, "0%") &amp; " máx)", "OK"))))</f>
        <v/>
      </c>
      <c r="AP1494" s="79">
        <f>IF(AN1494="","",IF(AE1494=0,"OK",_xlfn.LET(fechaPago, Z1494, fechaFactura, R1494, diasCredito, IF(E1494="Pago inmediato", 0, IFERROR(VALUE(MID(E1494, 1, SEARCH(" ", E1494)-1)),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94" s="79">
        <f>IF(AN1494="","",IF(AND(N1494&gt;0, AG1494&gt;0), IF(Configuración!$K$2="NO", "ALERTA: DESCUENTO DOBLE NO PERMITIDO", "OK"), "OK"))</f>
        <v/>
      </c>
      <c r="AR1494" s="79">
        <f>IF(AN1494="","",IF(OR(AO1494&lt;&gt;"OK", AP1494&lt;&gt;"OK", AQ1494&lt;&gt;"OK"), "⚠️ REVISAR", "OK"))</f>
        <v/>
      </c>
    </row>
    <row r="1495">
      <c r="A1495" s="79">
        <f>IF('Ordenes_Odoo'!A1495="","",'Ordenes_Odoo'!A1495)</f>
        <v/>
      </c>
      <c r="B1495" s="80">
        <f>IF('Ordenes_Odoo'!B1495="","",'Ordenes_Odoo'!B1495)</f>
        <v/>
      </c>
      <c r="C1495" s="79">
        <f>IF('Ordenes_Odoo'!C1495="","",'Ordenes_Odoo'!C1495)</f>
        <v/>
      </c>
      <c r="D1495" s="79">
        <f>IF('Ordenes_Odoo'!D1495="","",'Ordenes_Odoo'!D1495)</f>
        <v/>
      </c>
      <c r="E1495" s="79">
        <f>IF('Ordenes_Odoo'!E1495="","",'Ordenes_Odoo'!E1495)</f>
        <v/>
      </c>
      <c r="F1495" s="79">
        <f>IF('Ordenes_Odoo'!F1495="","",'Ordenes_Odoo'!F1495)</f>
        <v/>
      </c>
      <c r="G1495" s="79">
        <f>IF('Ordenes_Odoo'!G1495="","",'Ordenes_Odoo'!G1495)</f>
        <v/>
      </c>
      <c r="H1495" s="79">
        <f>IF('Ordenes_Odoo'!H1495="","",'Ordenes_Odoo'!H1495)</f>
        <v/>
      </c>
      <c r="I1495" s="79">
        <f>IF('Ordenes_Odoo'!I1495="","",'Ordenes_Odoo'!I1495)</f>
        <v/>
      </c>
      <c r="J1495" s="79">
        <f>IF('Ordenes_Odoo'!J1495="","",'Ordenes_Odoo'!J1495)</f>
        <v/>
      </c>
      <c r="K1495" s="81">
        <f>IF('Ordenes_Odoo'!K1495="","",'Ordenes_Odoo'!K1495)</f>
        <v/>
      </c>
      <c r="L1495" s="81">
        <f>IF('Ordenes_Odoo'!L1495="","",'Ordenes_Odoo'!L1495)</f>
        <v/>
      </c>
      <c r="M1495" s="79">
        <f>IF('Ordenes_Odoo'!M1495="","",'Ordenes_Odoo'!M1495)</f>
        <v/>
      </c>
      <c r="N1495" s="79">
        <f>IF('Ordenes_Odoo'!N1495="","",'Ordenes_Odoo'!N1495)</f>
        <v/>
      </c>
      <c r="O1495" s="81">
        <f>IF('Ordenes_Odoo'!O1495="","",'Ordenes_Odoo'!O1495)</f>
        <v/>
      </c>
      <c r="P1495" s="81">
        <f>IF('Ordenes_Odoo'!P1495="","",'Ordenes_Odoo'!P1495)</f>
        <v/>
      </c>
      <c r="Q1495" s="79">
        <f>IF(A1495="","",IFERROR(INDEX(Facturas_Odoo!$B:$B, MATCH(A1495, Facturas_Odoo!$D:$D, 0)), "Sin Factura"))</f>
        <v/>
      </c>
      <c r="R1495" s="80">
        <f>IF(Q1495="Sin Factura","",IFERROR(INDEX(Facturas_Odoo!$A:$A, MATCH(Q1495, Facturas_Odoo!$B:$B, 0)), ""))</f>
        <v/>
      </c>
      <c r="S1495" s="79">
        <f>IF(Q1495="Sin Factura","",IFERROR(_xlfn.XLOOKUP(1, (Facturas_Odoo!$D:$D=A1495) * (Facturas_Odoo!$K:$K=I1495), Facturas_Odoo!$L:$L, ""), ""))</f>
        <v/>
      </c>
      <c r="T1495" s="81">
        <f>IF(Q1495="Sin Factura",0,IFERROR(_xlfn.XLOOKUP(1, (Facturas_Odoo!$D:$D=A1495) * (Facturas_Odoo!$K:$K=I1495), Facturas_Odoo!$M:$M, 0), 0))</f>
        <v/>
      </c>
      <c r="U1495" s="79">
        <f>IF(Q1495="Sin Factura",0,IFERROR(_xlfn.XLOOKUP(1, (Facturas_Odoo!$D:$D=A1495) * (Facturas_Odoo!$K:$K=I1495), Facturas_Odoo!$N:$N, 0), 0))</f>
        <v/>
      </c>
      <c r="V1495" s="79">
        <f>IF(Q1495="Sin Factura",0,IFERROR(_xlfn.XLOOKUP(1, (Facturas_Odoo!$D:$D=A1495) * (Facturas_Odoo!$K:$K=I1495), Facturas_Odoo!$O:$O, 0), 0))</f>
        <v/>
      </c>
      <c r="W1495" s="81">
        <f>IF(Q1495="Sin Factura",0,IFERROR(_xlfn.XLOOKUP(1, (Facturas_Odoo!$D:$D=A1495) * (Facturas_Odoo!$K:$K=I1495), Facturas_Odoo!$Q:$Q, 0), 0))</f>
        <v/>
      </c>
      <c r="X1495" s="79">
        <f>IF(OR(Q1495="Sin Factura",Q1495=""),"",IFERROR(INDEX(Pagos_Odoo!$B:$B, MATCH(Q1495, Pagos_Odoo!$I:$I, 0)), "Sin Pago"))</f>
        <v/>
      </c>
      <c r="Y1495" s="79">
        <f>IF(X1495="Sin Pago","",IFERROR(INDEX(Pagos_Odoo!$C:$C, MATCH(X1495, Pagos_Odoo!$B:$B, 0)), ""))</f>
        <v/>
      </c>
      <c r="Z1495" s="80">
        <f>IF(X1495="Sin Pago","",IFERROR(INDEX(Pagos_Odoo!$A:$A, MATCH(X1495, Pagos_Odoo!$B:$B, 0)), ""))</f>
        <v/>
      </c>
      <c r="AA1495" s="79">
        <f>IF(X1495="Sin Pago","",IFERROR(INDEX(Pagos_Odoo!$F:$F, MATCH(X1495, Pagos_Odoo!$B:$B, 0)), ""))</f>
        <v/>
      </c>
      <c r="AB1495" s="81">
        <f>IF(X1495="Sin Pago",0,IFERROR(INDEX(Pagos_Odoo!$E:$E, MATCH(X1495, Pagos_Odoo!$B:$B, 0)), 0))</f>
        <v/>
      </c>
      <c r="AC1495" s="79">
        <f>IF(X1495="Sin Pago","",IFERROR(INDEX(Pagos_Odoo!$G:$G, MATCH(X1495, Pagos_Odoo!$B:$B, 0)), ""))</f>
        <v/>
      </c>
      <c r="AD1495" s="82" t="n">
        <v>0</v>
      </c>
      <c r="AE1495" s="82" t="n"/>
      <c r="AF1495" s="82" t="n"/>
      <c r="AG1495" s="82">
        <f>IF(AN1495="","",AD1495+AE1495+AF1495)</f>
        <v/>
      </c>
      <c r="AH1495" s="81">
        <f>IF(AN1495="","",P1495*(1-AG1495))</f>
        <v/>
      </c>
      <c r="AI1495" s="81">
        <f>IF(AN1495="","",IF(Q1495="Sin Factura",0,IFERROR(INDEX(Facturas_Odoo!$H:$H, MATCH(Q1495, Facturas_Odoo!$B:$B, 0)), 0)*(1-AG1495)))</f>
        <v/>
      </c>
      <c r="AJ1495" s="81">
        <f>IF(AN1495="","",_xlfn.LET(idVenta, AN1495&amp;"",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95" s="81">
        <f>IF(AN1495="","",AH1495-AJ1495)</f>
        <v/>
      </c>
      <c r="AL1495" s="81">
        <f>IF(AN1495="","",IF(Q1495="Sin Factura","",AI1495-AJ1495))</f>
        <v/>
      </c>
      <c r="AM1495" s="81">
        <f>IF(AN1495="","",IF(Q1495="Sin Factura",0,P1495-IFERROR(INDEX(Facturas_Odoo!$H:$H, MATCH(Q1495, Facturas_Odoo!$B:$B, 0)), 0)))</f>
        <v/>
      </c>
      <c r="AN1495" s="79">
        <f>IF(AND(A1495="", J1495=""), "", IF(A1495&lt;&gt;"", VALUE(MID(A1495,2,LEN(A1495))), AN1494))</f>
        <v/>
      </c>
      <c r="AO1495" s="79">
        <f>IF(AN1495="","",IF(AD1495=0,"OK",_xlfn.LET(monedaPago, IF(AA1495="","USD",AA1495), limitePermitido, IFERROR(VLOOKUP(monedaPago, Configuración!$A$2:$B$3, 2, FALSE), 0.15), IF(AD1495&gt;limitePermitido, "ALERTA: EXCESO (" &amp; TEXT(limitePermitido, "0%") &amp; " máx)", "OK"))))</f>
        <v/>
      </c>
      <c r="AP1495" s="79">
        <f>IF(AN1495="","",IF(AE1495=0,"OK",_xlfn.LET(fechaPago, Z1495, fechaFactura, R1495, diasCredito, IF(E1495="Pago inmediato", 0, IFERROR(VALUE(MID(E1495, 1, SEARCH(" ", E1495)-1)),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95" s="79">
        <f>IF(AN1495="","",IF(AND(N1495&gt;0, AG1495&gt;0), IF(Configuración!$K$2="NO", "ALERTA: DESCUENTO DOBLE NO PERMITIDO", "OK"), "OK"))</f>
        <v/>
      </c>
      <c r="AR1495" s="79">
        <f>IF(AN1495="","",IF(OR(AO1495&lt;&gt;"OK", AP1495&lt;&gt;"OK", AQ1495&lt;&gt;"OK"), "⚠️ REVISAR", "OK"))</f>
        <v/>
      </c>
    </row>
    <row r="1496">
      <c r="A1496" s="79">
        <f>IF('Ordenes_Odoo'!A1496="","",'Ordenes_Odoo'!A1496)</f>
        <v/>
      </c>
      <c r="B1496" s="80">
        <f>IF('Ordenes_Odoo'!B1496="","",'Ordenes_Odoo'!B1496)</f>
        <v/>
      </c>
      <c r="C1496" s="79">
        <f>IF('Ordenes_Odoo'!C1496="","",'Ordenes_Odoo'!C1496)</f>
        <v/>
      </c>
      <c r="D1496" s="79">
        <f>IF('Ordenes_Odoo'!D1496="","",'Ordenes_Odoo'!D1496)</f>
        <v/>
      </c>
      <c r="E1496" s="79">
        <f>IF('Ordenes_Odoo'!E1496="","",'Ordenes_Odoo'!E1496)</f>
        <v/>
      </c>
      <c r="F1496" s="79">
        <f>IF('Ordenes_Odoo'!F1496="","",'Ordenes_Odoo'!F1496)</f>
        <v/>
      </c>
      <c r="G1496" s="79">
        <f>IF('Ordenes_Odoo'!G1496="","",'Ordenes_Odoo'!G1496)</f>
        <v/>
      </c>
      <c r="H1496" s="79">
        <f>IF('Ordenes_Odoo'!H1496="","",'Ordenes_Odoo'!H1496)</f>
        <v/>
      </c>
      <c r="I1496" s="79">
        <f>IF('Ordenes_Odoo'!I1496="","",'Ordenes_Odoo'!I1496)</f>
        <v/>
      </c>
      <c r="J1496" s="79">
        <f>IF('Ordenes_Odoo'!J1496="","",'Ordenes_Odoo'!J1496)</f>
        <v/>
      </c>
      <c r="K1496" s="81">
        <f>IF('Ordenes_Odoo'!K1496="","",'Ordenes_Odoo'!K1496)</f>
        <v/>
      </c>
      <c r="L1496" s="81">
        <f>IF('Ordenes_Odoo'!L1496="","",'Ordenes_Odoo'!L1496)</f>
        <v/>
      </c>
      <c r="M1496" s="79">
        <f>IF('Ordenes_Odoo'!M1496="","",'Ordenes_Odoo'!M1496)</f>
        <v/>
      </c>
      <c r="N1496" s="79">
        <f>IF('Ordenes_Odoo'!N1496="","",'Ordenes_Odoo'!N1496)</f>
        <v/>
      </c>
      <c r="O1496" s="81">
        <f>IF('Ordenes_Odoo'!O1496="","",'Ordenes_Odoo'!O1496)</f>
        <v/>
      </c>
      <c r="P1496" s="81">
        <f>IF('Ordenes_Odoo'!P1496="","",'Ordenes_Odoo'!P1496)</f>
        <v/>
      </c>
      <c r="Q1496" s="79">
        <f>IF(A1496="","",IFERROR(INDEX(Facturas_Odoo!$B:$B, MATCH(A1496, Facturas_Odoo!$D:$D, 0)), "Sin Factura"))</f>
        <v/>
      </c>
      <c r="R1496" s="80">
        <f>IF(Q1496="Sin Factura","",IFERROR(INDEX(Facturas_Odoo!$A:$A, MATCH(Q1496, Facturas_Odoo!$B:$B, 0)), ""))</f>
        <v/>
      </c>
      <c r="S1496" s="79">
        <f>IF(Q1496="Sin Factura","",IFERROR(_xlfn.XLOOKUP(1, (Facturas_Odoo!$D:$D=A1496) * (Facturas_Odoo!$K:$K=I1496), Facturas_Odoo!$L:$L, ""), ""))</f>
        <v/>
      </c>
      <c r="T1496" s="81">
        <f>IF(Q1496="Sin Factura",0,IFERROR(_xlfn.XLOOKUP(1, (Facturas_Odoo!$D:$D=A1496) * (Facturas_Odoo!$K:$K=I1496), Facturas_Odoo!$M:$M, 0), 0))</f>
        <v/>
      </c>
      <c r="U1496" s="79">
        <f>IF(Q1496="Sin Factura",0,IFERROR(_xlfn.XLOOKUP(1, (Facturas_Odoo!$D:$D=A1496) * (Facturas_Odoo!$K:$K=I1496), Facturas_Odoo!$N:$N, 0), 0))</f>
        <v/>
      </c>
      <c r="V1496" s="79">
        <f>IF(Q1496="Sin Factura",0,IFERROR(_xlfn.XLOOKUP(1, (Facturas_Odoo!$D:$D=A1496) * (Facturas_Odoo!$K:$K=I1496), Facturas_Odoo!$O:$O, 0), 0))</f>
        <v/>
      </c>
      <c r="W1496" s="81">
        <f>IF(Q1496="Sin Factura",0,IFERROR(_xlfn.XLOOKUP(1, (Facturas_Odoo!$D:$D=A1496) * (Facturas_Odoo!$K:$K=I1496), Facturas_Odoo!$Q:$Q, 0), 0))</f>
        <v/>
      </c>
      <c r="X1496" s="79">
        <f>IF(OR(Q1496="Sin Factura",Q1496=""),"",IFERROR(INDEX(Pagos_Odoo!$B:$B, MATCH(Q1496, Pagos_Odoo!$I:$I, 0)), "Sin Pago"))</f>
        <v/>
      </c>
      <c r="Y1496" s="79">
        <f>IF(X1496="Sin Pago","",IFERROR(INDEX(Pagos_Odoo!$C:$C, MATCH(X1496, Pagos_Odoo!$B:$B, 0)), ""))</f>
        <v/>
      </c>
      <c r="Z1496" s="80">
        <f>IF(X1496="Sin Pago","",IFERROR(INDEX(Pagos_Odoo!$A:$A, MATCH(X1496, Pagos_Odoo!$B:$B, 0)), ""))</f>
        <v/>
      </c>
      <c r="AA1496" s="79">
        <f>IF(X1496="Sin Pago","",IFERROR(INDEX(Pagos_Odoo!$F:$F, MATCH(X1496, Pagos_Odoo!$B:$B, 0)), ""))</f>
        <v/>
      </c>
      <c r="AB1496" s="81">
        <f>IF(X1496="Sin Pago",0,IFERROR(INDEX(Pagos_Odoo!$E:$E, MATCH(X1496, Pagos_Odoo!$B:$B, 0)), 0))</f>
        <v/>
      </c>
      <c r="AC1496" s="79">
        <f>IF(X1496="Sin Pago","",IFERROR(INDEX(Pagos_Odoo!$G:$G, MATCH(X1496, Pagos_Odoo!$B:$B, 0)), ""))</f>
        <v/>
      </c>
      <c r="AD1496" s="82" t="n">
        <v>0</v>
      </c>
      <c r="AE1496" s="82" t="n"/>
      <c r="AF1496" s="82" t="n"/>
      <c r="AG1496" s="82">
        <f>IF(AN1496="","",AD1496+AE1496+AF1496)</f>
        <v/>
      </c>
      <c r="AH1496" s="81">
        <f>IF(AN1496="","",P1496*(1-AG1496))</f>
        <v/>
      </c>
      <c r="AI1496" s="81">
        <f>IF(AN1496="","",IF(Q1496="Sin Factura",0,IFERROR(INDEX(Facturas_Odoo!$H:$H, MATCH(Q1496, Facturas_Odoo!$B:$B, 0)), 0)*(1-AG1496)))</f>
        <v/>
      </c>
      <c r="AJ1496" s="81">
        <f>IF(AN1496="","",_xlfn.LET(idVenta, AN1496&amp;"",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96" s="81">
        <f>IF(AN1496="","",AH1496-AJ1496)</f>
        <v/>
      </c>
      <c r="AL1496" s="81">
        <f>IF(AN1496="","",IF(Q1496="Sin Factura","",AI1496-AJ1496))</f>
        <v/>
      </c>
      <c r="AM1496" s="81">
        <f>IF(AN1496="","",IF(Q1496="Sin Factura",0,P1496-IFERROR(INDEX(Facturas_Odoo!$H:$H, MATCH(Q1496, Facturas_Odoo!$B:$B, 0)), 0)))</f>
        <v/>
      </c>
      <c r="AN1496" s="79">
        <f>IF(AND(A1496="", J1496=""), "", IF(A1496&lt;&gt;"", VALUE(MID(A1496,2,LEN(A1496))), AN1495))</f>
        <v/>
      </c>
      <c r="AO1496" s="79">
        <f>IF(AN1496="","",IF(AD1496=0,"OK",_xlfn.LET(monedaPago, IF(AA1496="","USD",AA1496), limitePermitido, IFERROR(VLOOKUP(monedaPago, Configuración!$A$2:$B$3, 2, FALSE), 0.15), IF(AD1496&gt;limitePermitido, "ALERTA: EXCESO (" &amp; TEXT(limitePermitido, "0%") &amp; " máx)", "OK"))))</f>
        <v/>
      </c>
      <c r="AP1496" s="79">
        <f>IF(AN1496="","",IF(AE1496=0,"OK",_xlfn.LET(fechaPago, Z1496, fechaFactura, R1496, diasCredito, IF(E1496="Pago inmediato", 0, IFERROR(VALUE(MID(E1496, 1, SEARCH(" ", E1496)-1)),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96" s="79">
        <f>IF(AN1496="","",IF(AND(N1496&gt;0, AG1496&gt;0), IF(Configuración!$K$2="NO", "ALERTA: DESCUENTO DOBLE NO PERMITIDO", "OK"), "OK"))</f>
        <v/>
      </c>
      <c r="AR1496" s="79">
        <f>IF(AN1496="","",IF(OR(AO1496&lt;&gt;"OK", AP1496&lt;&gt;"OK", AQ1496&lt;&gt;"OK"), "⚠️ REVISAR", "OK"))</f>
        <v/>
      </c>
    </row>
    <row r="1497">
      <c r="A1497" s="79">
        <f>IF('Ordenes_Odoo'!A1497="","",'Ordenes_Odoo'!A1497)</f>
        <v/>
      </c>
      <c r="B1497" s="80">
        <f>IF('Ordenes_Odoo'!B1497="","",'Ordenes_Odoo'!B1497)</f>
        <v/>
      </c>
      <c r="C1497" s="79">
        <f>IF('Ordenes_Odoo'!C1497="","",'Ordenes_Odoo'!C1497)</f>
        <v/>
      </c>
      <c r="D1497" s="79">
        <f>IF('Ordenes_Odoo'!D1497="","",'Ordenes_Odoo'!D1497)</f>
        <v/>
      </c>
      <c r="E1497" s="79">
        <f>IF('Ordenes_Odoo'!E1497="","",'Ordenes_Odoo'!E1497)</f>
        <v/>
      </c>
      <c r="F1497" s="79">
        <f>IF('Ordenes_Odoo'!F1497="","",'Ordenes_Odoo'!F1497)</f>
        <v/>
      </c>
      <c r="G1497" s="79">
        <f>IF('Ordenes_Odoo'!G1497="","",'Ordenes_Odoo'!G1497)</f>
        <v/>
      </c>
      <c r="H1497" s="79">
        <f>IF('Ordenes_Odoo'!H1497="","",'Ordenes_Odoo'!H1497)</f>
        <v/>
      </c>
      <c r="I1497" s="79">
        <f>IF('Ordenes_Odoo'!I1497="","",'Ordenes_Odoo'!I1497)</f>
        <v/>
      </c>
      <c r="J1497" s="79">
        <f>IF('Ordenes_Odoo'!J1497="","",'Ordenes_Odoo'!J1497)</f>
        <v/>
      </c>
      <c r="K1497" s="81">
        <f>IF('Ordenes_Odoo'!K1497="","",'Ordenes_Odoo'!K1497)</f>
        <v/>
      </c>
      <c r="L1497" s="81">
        <f>IF('Ordenes_Odoo'!L1497="","",'Ordenes_Odoo'!L1497)</f>
        <v/>
      </c>
      <c r="M1497" s="79">
        <f>IF('Ordenes_Odoo'!M1497="","",'Ordenes_Odoo'!M1497)</f>
        <v/>
      </c>
      <c r="N1497" s="79">
        <f>IF('Ordenes_Odoo'!N1497="","",'Ordenes_Odoo'!N1497)</f>
        <v/>
      </c>
      <c r="O1497" s="81">
        <f>IF('Ordenes_Odoo'!O1497="","",'Ordenes_Odoo'!O1497)</f>
        <v/>
      </c>
      <c r="P1497" s="81">
        <f>IF('Ordenes_Odoo'!P1497="","",'Ordenes_Odoo'!P1497)</f>
        <v/>
      </c>
      <c r="Q1497" s="79">
        <f>IF(A1497="","",IFERROR(INDEX(Facturas_Odoo!$B:$B, MATCH(A1497, Facturas_Odoo!$D:$D, 0)), "Sin Factura"))</f>
        <v/>
      </c>
      <c r="R1497" s="80">
        <f>IF(Q1497="Sin Factura","",IFERROR(INDEX(Facturas_Odoo!$A:$A, MATCH(Q1497, Facturas_Odoo!$B:$B, 0)), ""))</f>
        <v/>
      </c>
      <c r="S1497" s="79">
        <f>IF(Q1497="Sin Factura","",IFERROR(_xlfn.XLOOKUP(1, (Facturas_Odoo!$D:$D=A1497) * (Facturas_Odoo!$K:$K=I1497), Facturas_Odoo!$L:$L, ""), ""))</f>
        <v/>
      </c>
      <c r="T1497" s="81">
        <f>IF(Q1497="Sin Factura",0,IFERROR(_xlfn.XLOOKUP(1, (Facturas_Odoo!$D:$D=A1497) * (Facturas_Odoo!$K:$K=I1497), Facturas_Odoo!$M:$M, 0), 0))</f>
        <v/>
      </c>
      <c r="U1497" s="79">
        <f>IF(Q1497="Sin Factura",0,IFERROR(_xlfn.XLOOKUP(1, (Facturas_Odoo!$D:$D=A1497) * (Facturas_Odoo!$K:$K=I1497), Facturas_Odoo!$N:$N, 0), 0))</f>
        <v/>
      </c>
      <c r="V1497" s="79">
        <f>IF(Q1497="Sin Factura",0,IFERROR(_xlfn.XLOOKUP(1, (Facturas_Odoo!$D:$D=A1497) * (Facturas_Odoo!$K:$K=I1497), Facturas_Odoo!$O:$O, 0), 0))</f>
        <v/>
      </c>
      <c r="W1497" s="81">
        <f>IF(Q1497="Sin Factura",0,IFERROR(_xlfn.XLOOKUP(1, (Facturas_Odoo!$D:$D=A1497) * (Facturas_Odoo!$K:$K=I1497), Facturas_Odoo!$Q:$Q, 0), 0))</f>
        <v/>
      </c>
      <c r="X1497" s="79">
        <f>IF(OR(Q1497="Sin Factura",Q1497=""),"",IFERROR(INDEX(Pagos_Odoo!$B:$B, MATCH(Q1497, Pagos_Odoo!$I:$I, 0)), "Sin Pago"))</f>
        <v/>
      </c>
      <c r="Y1497" s="79">
        <f>IF(X1497="Sin Pago","",IFERROR(INDEX(Pagos_Odoo!$C:$C, MATCH(X1497, Pagos_Odoo!$B:$B, 0)), ""))</f>
        <v/>
      </c>
      <c r="Z1497" s="80">
        <f>IF(X1497="Sin Pago","",IFERROR(INDEX(Pagos_Odoo!$A:$A, MATCH(X1497, Pagos_Odoo!$B:$B, 0)), ""))</f>
        <v/>
      </c>
      <c r="AA1497" s="79">
        <f>IF(X1497="Sin Pago","",IFERROR(INDEX(Pagos_Odoo!$F:$F, MATCH(X1497, Pagos_Odoo!$B:$B, 0)), ""))</f>
        <v/>
      </c>
      <c r="AB1497" s="81">
        <f>IF(X1497="Sin Pago",0,IFERROR(INDEX(Pagos_Odoo!$E:$E, MATCH(X1497, Pagos_Odoo!$B:$B, 0)), 0))</f>
        <v/>
      </c>
      <c r="AC1497" s="79">
        <f>IF(X1497="Sin Pago","",IFERROR(INDEX(Pagos_Odoo!$G:$G, MATCH(X1497, Pagos_Odoo!$B:$B, 0)), ""))</f>
        <v/>
      </c>
      <c r="AD1497" s="82" t="n">
        <v>0</v>
      </c>
      <c r="AE1497" s="82" t="n"/>
      <c r="AF1497" s="82" t="n"/>
      <c r="AG1497" s="82">
        <f>IF(AN1497="","",AD1497+AE1497+AF1497)</f>
        <v/>
      </c>
      <c r="AH1497" s="81">
        <f>IF(AN1497="","",P1497*(1-AG1497))</f>
        <v/>
      </c>
      <c r="AI1497" s="81">
        <f>IF(AN1497="","",IF(Q1497="Sin Factura",0,IFERROR(INDEX(Facturas_Odoo!$H:$H, MATCH(Q1497, Facturas_Odoo!$B:$B, 0)), 0)*(1-AG1497)))</f>
        <v/>
      </c>
      <c r="AJ1497" s="81">
        <f>IF(AN1497="","",_xlfn.LET(idVenta, AN1497&amp;"",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97" s="81">
        <f>IF(AN1497="","",AH1497-AJ1497)</f>
        <v/>
      </c>
      <c r="AL1497" s="81">
        <f>IF(AN1497="","",IF(Q1497="Sin Factura","",AI1497-AJ1497))</f>
        <v/>
      </c>
      <c r="AM1497" s="81">
        <f>IF(AN1497="","",IF(Q1497="Sin Factura",0,P1497-IFERROR(INDEX(Facturas_Odoo!$H:$H, MATCH(Q1497, Facturas_Odoo!$B:$B, 0)), 0)))</f>
        <v/>
      </c>
      <c r="AN1497" s="79">
        <f>IF(AND(A1497="", J1497=""), "", IF(A1497&lt;&gt;"", VALUE(MID(A1497,2,LEN(A1497))), AN1496))</f>
        <v/>
      </c>
      <c r="AO1497" s="79">
        <f>IF(AN1497="","",IF(AD1497=0,"OK",_xlfn.LET(monedaPago, IF(AA1497="","USD",AA1497), limitePermitido, IFERROR(VLOOKUP(monedaPago, Configuración!$A$2:$B$3, 2, FALSE), 0.15), IF(AD1497&gt;limitePermitido, "ALERTA: EXCESO (" &amp; TEXT(limitePermitido, "0%") &amp; " máx)", "OK"))))</f>
        <v/>
      </c>
      <c r="AP1497" s="79">
        <f>IF(AN1497="","",IF(AE1497=0,"OK",_xlfn.LET(fechaPago, Z1497, fechaFactura, R1497, diasCredito, IF(E1497="Pago inmediato", 0, IFERROR(VALUE(MID(E1497, 1, SEARCH(" ", E1497)-1)),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97" s="79">
        <f>IF(AN1497="","",IF(AND(N1497&gt;0, AG1497&gt;0), IF(Configuración!$K$2="NO", "ALERTA: DESCUENTO DOBLE NO PERMITIDO", "OK"), "OK"))</f>
        <v/>
      </c>
      <c r="AR1497" s="79">
        <f>IF(AN1497="","",IF(OR(AO1497&lt;&gt;"OK", AP1497&lt;&gt;"OK", AQ1497&lt;&gt;"OK"), "⚠️ REVISAR", "OK"))</f>
        <v/>
      </c>
    </row>
    <row r="1498">
      <c r="A1498" s="79">
        <f>IF('Ordenes_Odoo'!A1498="","",'Ordenes_Odoo'!A1498)</f>
        <v/>
      </c>
      <c r="B1498" s="80">
        <f>IF('Ordenes_Odoo'!B1498="","",'Ordenes_Odoo'!B1498)</f>
        <v/>
      </c>
      <c r="C1498" s="79">
        <f>IF('Ordenes_Odoo'!C1498="","",'Ordenes_Odoo'!C1498)</f>
        <v/>
      </c>
      <c r="D1498" s="79">
        <f>IF('Ordenes_Odoo'!D1498="","",'Ordenes_Odoo'!D1498)</f>
        <v/>
      </c>
      <c r="E1498" s="79">
        <f>IF('Ordenes_Odoo'!E1498="","",'Ordenes_Odoo'!E1498)</f>
        <v/>
      </c>
      <c r="F1498" s="79">
        <f>IF('Ordenes_Odoo'!F1498="","",'Ordenes_Odoo'!F1498)</f>
        <v/>
      </c>
      <c r="G1498" s="79">
        <f>IF('Ordenes_Odoo'!G1498="","",'Ordenes_Odoo'!G1498)</f>
        <v/>
      </c>
      <c r="H1498" s="79">
        <f>IF('Ordenes_Odoo'!H1498="","",'Ordenes_Odoo'!H1498)</f>
        <v/>
      </c>
      <c r="I1498" s="79">
        <f>IF('Ordenes_Odoo'!I1498="","",'Ordenes_Odoo'!I1498)</f>
        <v/>
      </c>
      <c r="J1498" s="79">
        <f>IF('Ordenes_Odoo'!J1498="","",'Ordenes_Odoo'!J1498)</f>
        <v/>
      </c>
      <c r="K1498" s="81">
        <f>IF('Ordenes_Odoo'!K1498="","",'Ordenes_Odoo'!K1498)</f>
        <v/>
      </c>
      <c r="L1498" s="81">
        <f>IF('Ordenes_Odoo'!L1498="","",'Ordenes_Odoo'!L1498)</f>
        <v/>
      </c>
      <c r="M1498" s="79">
        <f>IF('Ordenes_Odoo'!M1498="","",'Ordenes_Odoo'!M1498)</f>
        <v/>
      </c>
      <c r="N1498" s="79">
        <f>IF('Ordenes_Odoo'!N1498="","",'Ordenes_Odoo'!N1498)</f>
        <v/>
      </c>
      <c r="O1498" s="81">
        <f>IF('Ordenes_Odoo'!O1498="","",'Ordenes_Odoo'!O1498)</f>
        <v/>
      </c>
      <c r="P1498" s="81">
        <f>IF('Ordenes_Odoo'!P1498="","",'Ordenes_Odoo'!P1498)</f>
        <v/>
      </c>
      <c r="Q1498" s="79">
        <f>IF(A1498="","",IFERROR(INDEX(Facturas_Odoo!$B:$B, MATCH(A1498, Facturas_Odoo!$D:$D, 0)), "Sin Factura"))</f>
        <v/>
      </c>
      <c r="R1498" s="80">
        <f>IF(Q1498="Sin Factura","",IFERROR(INDEX(Facturas_Odoo!$A:$A, MATCH(Q1498, Facturas_Odoo!$B:$B, 0)), ""))</f>
        <v/>
      </c>
      <c r="S1498" s="79">
        <f>IF(Q1498="Sin Factura","",IFERROR(_xlfn.XLOOKUP(1, (Facturas_Odoo!$D:$D=A1498) * (Facturas_Odoo!$K:$K=I1498), Facturas_Odoo!$L:$L, ""), ""))</f>
        <v/>
      </c>
      <c r="T1498" s="81">
        <f>IF(Q1498="Sin Factura",0,IFERROR(_xlfn.XLOOKUP(1, (Facturas_Odoo!$D:$D=A1498) * (Facturas_Odoo!$K:$K=I1498), Facturas_Odoo!$M:$M, 0), 0))</f>
        <v/>
      </c>
      <c r="U1498" s="79">
        <f>IF(Q1498="Sin Factura",0,IFERROR(_xlfn.XLOOKUP(1, (Facturas_Odoo!$D:$D=A1498) * (Facturas_Odoo!$K:$K=I1498), Facturas_Odoo!$N:$N, 0), 0))</f>
        <v/>
      </c>
      <c r="V1498" s="79">
        <f>IF(Q1498="Sin Factura",0,IFERROR(_xlfn.XLOOKUP(1, (Facturas_Odoo!$D:$D=A1498) * (Facturas_Odoo!$K:$K=I1498), Facturas_Odoo!$O:$O, 0), 0))</f>
        <v/>
      </c>
      <c r="W1498" s="81">
        <f>IF(Q1498="Sin Factura",0,IFERROR(_xlfn.XLOOKUP(1, (Facturas_Odoo!$D:$D=A1498) * (Facturas_Odoo!$K:$K=I1498), Facturas_Odoo!$Q:$Q, 0), 0))</f>
        <v/>
      </c>
      <c r="X1498" s="79">
        <f>IF(OR(Q1498="Sin Factura",Q1498=""),"",IFERROR(INDEX(Pagos_Odoo!$B:$B, MATCH(Q1498, Pagos_Odoo!$I:$I, 0)), "Sin Pago"))</f>
        <v/>
      </c>
      <c r="Y1498" s="79">
        <f>IF(X1498="Sin Pago","",IFERROR(INDEX(Pagos_Odoo!$C:$C, MATCH(X1498, Pagos_Odoo!$B:$B, 0)), ""))</f>
        <v/>
      </c>
      <c r="Z1498" s="80">
        <f>IF(X1498="Sin Pago","",IFERROR(INDEX(Pagos_Odoo!$A:$A, MATCH(X1498, Pagos_Odoo!$B:$B, 0)), ""))</f>
        <v/>
      </c>
      <c r="AA1498" s="79">
        <f>IF(X1498="Sin Pago","",IFERROR(INDEX(Pagos_Odoo!$F:$F, MATCH(X1498, Pagos_Odoo!$B:$B, 0)), ""))</f>
        <v/>
      </c>
      <c r="AB1498" s="81">
        <f>IF(X1498="Sin Pago",0,IFERROR(INDEX(Pagos_Odoo!$E:$E, MATCH(X1498, Pagos_Odoo!$B:$B, 0)), 0))</f>
        <v/>
      </c>
      <c r="AC1498" s="79">
        <f>IF(X1498="Sin Pago","",IFERROR(INDEX(Pagos_Odoo!$G:$G, MATCH(X1498, Pagos_Odoo!$B:$B, 0)), ""))</f>
        <v/>
      </c>
      <c r="AD1498" s="82" t="n">
        <v>0</v>
      </c>
      <c r="AE1498" s="82" t="n"/>
      <c r="AF1498" s="82" t="n"/>
      <c r="AG1498" s="82">
        <f>IF(AN1498="","",AD1498+AE1498+AF1498)</f>
        <v/>
      </c>
      <c r="AH1498" s="81">
        <f>IF(AN1498="","",P1498*(1-AG1498))</f>
        <v/>
      </c>
      <c r="AI1498" s="81">
        <f>IF(AN1498="","",IF(Q1498="Sin Factura",0,IFERROR(INDEX(Facturas_Odoo!$H:$H, MATCH(Q1498, Facturas_Odoo!$B:$B, 0)), 0)*(1-AG1498)))</f>
        <v/>
      </c>
      <c r="AJ1498" s="81">
        <f>IF(AN1498="","",_xlfn.LET(idVenta, AN1498&amp;"",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98" s="81">
        <f>IF(AN1498="","",AH1498-AJ1498)</f>
        <v/>
      </c>
      <c r="AL1498" s="81">
        <f>IF(AN1498="","",IF(Q1498="Sin Factura","",AI1498-AJ1498))</f>
        <v/>
      </c>
      <c r="AM1498" s="81">
        <f>IF(AN1498="","",IF(Q1498="Sin Factura",0,P1498-IFERROR(INDEX(Facturas_Odoo!$H:$H, MATCH(Q1498, Facturas_Odoo!$B:$B, 0)), 0)))</f>
        <v/>
      </c>
      <c r="AN1498" s="79">
        <f>IF(AND(A1498="", J1498=""), "", IF(A1498&lt;&gt;"", VALUE(MID(A1498,2,LEN(A1498))), AN1497))</f>
        <v/>
      </c>
      <c r="AO1498" s="79">
        <f>IF(AN1498="","",IF(AD1498=0,"OK",_xlfn.LET(monedaPago, IF(AA1498="","USD",AA1498), limitePermitido, IFERROR(VLOOKUP(monedaPago, Configuración!$A$2:$B$3, 2, FALSE), 0.15), IF(AD1498&gt;limitePermitido, "ALERTA: EXCESO (" &amp; TEXT(limitePermitido, "0%") &amp; " máx)", "OK"))))</f>
        <v/>
      </c>
      <c r="AP1498" s="79">
        <f>IF(AN1498="","",IF(AE1498=0,"OK",_xlfn.LET(fechaPago, Z1498, fechaFactura, R1498, diasCredito, IF(E1498="Pago inmediato", 0, IFERROR(VALUE(MID(E1498, 1, SEARCH(" ", E1498)-1)),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98" s="79">
        <f>IF(AN1498="","",IF(AND(N1498&gt;0, AG1498&gt;0), IF(Configuración!$K$2="NO", "ALERTA: DESCUENTO DOBLE NO PERMITIDO", "OK"), "OK"))</f>
        <v/>
      </c>
      <c r="AR1498" s="79">
        <f>IF(AN1498="","",IF(OR(AO1498&lt;&gt;"OK", AP1498&lt;&gt;"OK", AQ1498&lt;&gt;"OK"), "⚠️ REVISAR", "OK"))</f>
        <v/>
      </c>
    </row>
    <row r="1499">
      <c r="A1499" s="79">
        <f>IF('Ordenes_Odoo'!A1499="","",'Ordenes_Odoo'!A1499)</f>
        <v/>
      </c>
      <c r="B1499" s="80">
        <f>IF('Ordenes_Odoo'!B1499="","",'Ordenes_Odoo'!B1499)</f>
        <v/>
      </c>
      <c r="C1499" s="79">
        <f>IF('Ordenes_Odoo'!C1499="","",'Ordenes_Odoo'!C1499)</f>
        <v/>
      </c>
      <c r="D1499" s="79">
        <f>IF('Ordenes_Odoo'!D1499="","",'Ordenes_Odoo'!D1499)</f>
        <v/>
      </c>
      <c r="E1499" s="79">
        <f>IF('Ordenes_Odoo'!E1499="","",'Ordenes_Odoo'!E1499)</f>
        <v/>
      </c>
      <c r="F1499" s="79">
        <f>IF('Ordenes_Odoo'!F1499="","",'Ordenes_Odoo'!F1499)</f>
        <v/>
      </c>
      <c r="G1499" s="79">
        <f>IF('Ordenes_Odoo'!G1499="","",'Ordenes_Odoo'!G1499)</f>
        <v/>
      </c>
      <c r="H1499" s="79">
        <f>IF('Ordenes_Odoo'!H1499="","",'Ordenes_Odoo'!H1499)</f>
        <v/>
      </c>
      <c r="I1499" s="79">
        <f>IF('Ordenes_Odoo'!I1499="","",'Ordenes_Odoo'!I1499)</f>
        <v/>
      </c>
      <c r="J1499" s="79">
        <f>IF('Ordenes_Odoo'!J1499="","",'Ordenes_Odoo'!J1499)</f>
        <v/>
      </c>
      <c r="K1499" s="81">
        <f>IF('Ordenes_Odoo'!K1499="","",'Ordenes_Odoo'!K1499)</f>
        <v/>
      </c>
      <c r="L1499" s="81">
        <f>IF('Ordenes_Odoo'!L1499="","",'Ordenes_Odoo'!L1499)</f>
        <v/>
      </c>
      <c r="M1499" s="79">
        <f>IF('Ordenes_Odoo'!M1499="","",'Ordenes_Odoo'!M1499)</f>
        <v/>
      </c>
      <c r="N1499" s="79">
        <f>IF('Ordenes_Odoo'!N1499="","",'Ordenes_Odoo'!N1499)</f>
        <v/>
      </c>
      <c r="O1499" s="81">
        <f>IF('Ordenes_Odoo'!O1499="","",'Ordenes_Odoo'!O1499)</f>
        <v/>
      </c>
      <c r="P1499" s="81">
        <f>IF('Ordenes_Odoo'!P1499="","",'Ordenes_Odoo'!P1499)</f>
        <v/>
      </c>
      <c r="Q1499" s="79">
        <f>IF(A1499="","",IFERROR(INDEX(Facturas_Odoo!$B:$B, MATCH(A1499, Facturas_Odoo!$D:$D, 0)), "Sin Factura"))</f>
        <v/>
      </c>
      <c r="R1499" s="80">
        <f>IF(Q1499="Sin Factura","",IFERROR(INDEX(Facturas_Odoo!$A:$A, MATCH(Q1499, Facturas_Odoo!$B:$B, 0)), ""))</f>
        <v/>
      </c>
      <c r="S1499" s="79">
        <f>IF(Q1499="Sin Factura","",IFERROR(_xlfn.XLOOKUP(1, (Facturas_Odoo!$D:$D=A1499) * (Facturas_Odoo!$K:$K=I1499), Facturas_Odoo!$L:$L, ""), ""))</f>
        <v/>
      </c>
      <c r="T1499" s="81">
        <f>IF(Q1499="Sin Factura",0,IFERROR(_xlfn.XLOOKUP(1, (Facturas_Odoo!$D:$D=A1499) * (Facturas_Odoo!$K:$K=I1499), Facturas_Odoo!$M:$M, 0), 0))</f>
        <v/>
      </c>
      <c r="U1499" s="79">
        <f>IF(Q1499="Sin Factura",0,IFERROR(_xlfn.XLOOKUP(1, (Facturas_Odoo!$D:$D=A1499) * (Facturas_Odoo!$K:$K=I1499), Facturas_Odoo!$N:$N, 0), 0))</f>
        <v/>
      </c>
      <c r="V1499" s="79">
        <f>IF(Q1499="Sin Factura",0,IFERROR(_xlfn.XLOOKUP(1, (Facturas_Odoo!$D:$D=A1499) * (Facturas_Odoo!$K:$K=I1499), Facturas_Odoo!$O:$O, 0), 0))</f>
        <v/>
      </c>
      <c r="W1499" s="81">
        <f>IF(Q1499="Sin Factura",0,IFERROR(_xlfn.XLOOKUP(1, (Facturas_Odoo!$D:$D=A1499) * (Facturas_Odoo!$K:$K=I1499), Facturas_Odoo!$Q:$Q, 0), 0))</f>
        <v/>
      </c>
      <c r="X1499" s="79">
        <f>IF(OR(Q1499="Sin Factura",Q1499=""),"",IFERROR(INDEX(Pagos_Odoo!$B:$B, MATCH(Q1499, Pagos_Odoo!$I:$I, 0)), "Sin Pago"))</f>
        <v/>
      </c>
      <c r="Y1499" s="79">
        <f>IF(X1499="Sin Pago","",IFERROR(INDEX(Pagos_Odoo!$C:$C, MATCH(X1499, Pagos_Odoo!$B:$B, 0)), ""))</f>
        <v/>
      </c>
      <c r="Z1499" s="80">
        <f>IF(X1499="Sin Pago","",IFERROR(INDEX(Pagos_Odoo!$A:$A, MATCH(X1499, Pagos_Odoo!$B:$B, 0)), ""))</f>
        <v/>
      </c>
      <c r="AA1499" s="79">
        <f>IF(X1499="Sin Pago","",IFERROR(INDEX(Pagos_Odoo!$F:$F, MATCH(X1499, Pagos_Odoo!$B:$B, 0)), ""))</f>
        <v/>
      </c>
      <c r="AB1499" s="81">
        <f>IF(X1499="Sin Pago",0,IFERROR(INDEX(Pagos_Odoo!$E:$E, MATCH(X1499, Pagos_Odoo!$B:$B, 0)), 0))</f>
        <v/>
      </c>
      <c r="AC1499" s="79">
        <f>IF(X1499="Sin Pago","",IFERROR(INDEX(Pagos_Odoo!$G:$G, MATCH(X1499, Pagos_Odoo!$B:$B, 0)), ""))</f>
        <v/>
      </c>
      <c r="AD1499" s="82" t="n">
        <v>0</v>
      </c>
      <c r="AE1499" s="82" t="n"/>
      <c r="AF1499" s="82" t="n"/>
      <c r="AG1499" s="82">
        <f>IF(AN1499="","",AD1499+AE1499+AF1499)</f>
        <v/>
      </c>
      <c r="AH1499" s="81">
        <f>IF(AN1499="","",P1499*(1-AG1499))</f>
        <v/>
      </c>
      <c r="AI1499" s="81">
        <f>IF(AN1499="","",IF(Q1499="Sin Factura",0,IFERROR(INDEX(Facturas_Odoo!$H:$H, MATCH(Q1499, Facturas_Odoo!$B:$B, 0)), 0)*(1-AG1499)))</f>
        <v/>
      </c>
      <c r="AJ1499" s="81">
        <f>IF(AN1499="","",_xlfn.LET(idVenta, AN1499&amp;"",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499" s="81">
        <f>IF(AN1499="","",AH1499-AJ1499)</f>
        <v/>
      </c>
      <c r="AL1499" s="81">
        <f>IF(AN1499="","",IF(Q1499="Sin Factura","",AI1499-AJ1499))</f>
        <v/>
      </c>
      <c r="AM1499" s="81">
        <f>IF(AN1499="","",IF(Q1499="Sin Factura",0,P1499-IFERROR(INDEX(Facturas_Odoo!$H:$H, MATCH(Q1499, Facturas_Odoo!$B:$B, 0)), 0)))</f>
        <v/>
      </c>
      <c r="AN1499" s="79">
        <f>IF(AND(A1499="", J1499=""), "", IF(A1499&lt;&gt;"", VALUE(MID(A1499,2,LEN(A1499))), AN1498))</f>
        <v/>
      </c>
      <c r="AO1499" s="79">
        <f>IF(AN1499="","",IF(AD1499=0,"OK",_xlfn.LET(monedaPago, IF(AA1499="","USD",AA1499), limitePermitido, IFERROR(VLOOKUP(monedaPago, Configuración!$A$2:$B$3, 2, FALSE), 0.15), IF(AD1499&gt;limitePermitido, "ALERTA: EXCESO (" &amp; TEXT(limitePermitido, "0%") &amp; " máx)", "OK"))))</f>
        <v/>
      </c>
      <c r="AP1499" s="79">
        <f>IF(AN1499="","",IF(AE1499=0,"OK",_xlfn.LET(fechaPago, Z1499, fechaFactura, R1499, diasCredito, IF(E1499="Pago inmediato", 0, IFERROR(VALUE(MID(E1499, 1, SEARCH(" ", E1499)-1)),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499" s="79">
        <f>IF(AN1499="","",IF(AND(N1499&gt;0, AG1499&gt;0), IF(Configuración!$K$2="NO", "ALERTA: DESCUENTO DOBLE NO PERMITIDO", "OK"), "OK"))</f>
        <v/>
      </c>
      <c r="AR1499" s="79">
        <f>IF(AN1499="","",IF(OR(AO1499&lt;&gt;"OK", AP1499&lt;&gt;"OK", AQ1499&lt;&gt;"OK"), "⚠️ REVISAR", "OK"))</f>
        <v/>
      </c>
    </row>
    <row r="1500">
      <c r="A1500" s="79">
        <f>IF('Ordenes_Odoo'!A1500="","",'Ordenes_Odoo'!A1500)</f>
        <v/>
      </c>
      <c r="B1500" s="80">
        <f>IF('Ordenes_Odoo'!B1500="","",'Ordenes_Odoo'!B1500)</f>
        <v/>
      </c>
      <c r="C1500" s="79">
        <f>IF('Ordenes_Odoo'!C1500="","",'Ordenes_Odoo'!C1500)</f>
        <v/>
      </c>
      <c r="D1500" s="79">
        <f>IF('Ordenes_Odoo'!D1500="","",'Ordenes_Odoo'!D1500)</f>
        <v/>
      </c>
      <c r="E1500" s="79">
        <f>IF('Ordenes_Odoo'!E1500="","",'Ordenes_Odoo'!E1500)</f>
        <v/>
      </c>
      <c r="F1500" s="79">
        <f>IF('Ordenes_Odoo'!F1500="","",'Ordenes_Odoo'!F1500)</f>
        <v/>
      </c>
      <c r="G1500" s="79">
        <f>IF('Ordenes_Odoo'!G1500="","",'Ordenes_Odoo'!G1500)</f>
        <v/>
      </c>
      <c r="H1500" s="79">
        <f>IF('Ordenes_Odoo'!H1500="","",'Ordenes_Odoo'!H1500)</f>
        <v/>
      </c>
      <c r="I1500" s="79">
        <f>IF('Ordenes_Odoo'!I1500="","",'Ordenes_Odoo'!I1500)</f>
        <v/>
      </c>
      <c r="J1500" s="79">
        <f>IF('Ordenes_Odoo'!J1500="","",'Ordenes_Odoo'!J1500)</f>
        <v/>
      </c>
      <c r="K1500" s="81">
        <f>IF('Ordenes_Odoo'!K1500="","",'Ordenes_Odoo'!K1500)</f>
        <v/>
      </c>
      <c r="L1500" s="81">
        <f>IF('Ordenes_Odoo'!L1500="","",'Ordenes_Odoo'!L1500)</f>
        <v/>
      </c>
      <c r="M1500" s="79">
        <f>IF('Ordenes_Odoo'!M1500="","",'Ordenes_Odoo'!M1500)</f>
        <v/>
      </c>
      <c r="N1500" s="79">
        <f>IF('Ordenes_Odoo'!N1500="","",'Ordenes_Odoo'!N1500)</f>
        <v/>
      </c>
      <c r="O1500" s="81">
        <f>IF('Ordenes_Odoo'!O1500="","",'Ordenes_Odoo'!O1500)</f>
        <v/>
      </c>
      <c r="P1500" s="81">
        <f>IF('Ordenes_Odoo'!P1500="","",'Ordenes_Odoo'!P1500)</f>
        <v/>
      </c>
      <c r="Q1500" s="79">
        <f>IF(A1500="","",IFERROR(INDEX(Facturas_Odoo!$B:$B, MATCH(A1500, Facturas_Odoo!$D:$D, 0)), "Sin Factura"))</f>
        <v/>
      </c>
      <c r="R1500" s="80">
        <f>IF(Q1500="Sin Factura","",IFERROR(INDEX(Facturas_Odoo!$A:$A, MATCH(Q1500, Facturas_Odoo!$B:$B, 0)), ""))</f>
        <v/>
      </c>
      <c r="S1500" s="79">
        <f>IF(Q1500="Sin Factura","",IFERROR(_xlfn.XLOOKUP(1, (Facturas_Odoo!$D:$D=A1500) * (Facturas_Odoo!$K:$K=I1500), Facturas_Odoo!$L:$L, ""), ""))</f>
        <v/>
      </c>
      <c r="T1500" s="81">
        <f>IF(Q1500="Sin Factura",0,IFERROR(_xlfn.XLOOKUP(1, (Facturas_Odoo!$D:$D=A1500) * (Facturas_Odoo!$K:$K=I1500), Facturas_Odoo!$M:$M, 0), 0))</f>
        <v/>
      </c>
      <c r="U1500" s="79">
        <f>IF(Q1500="Sin Factura",0,IFERROR(_xlfn.XLOOKUP(1, (Facturas_Odoo!$D:$D=A1500) * (Facturas_Odoo!$K:$K=I1500), Facturas_Odoo!$N:$N, 0), 0))</f>
        <v/>
      </c>
      <c r="V1500" s="79">
        <f>IF(Q1500="Sin Factura",0,IFERROR(_xlfn.XLOOKUP(1, (Facturas_Odoo!$D:$D=A1500) * (Facturas_Odoo!$K:$K=I1500), Facturas_Odoo!$O:$O, 0), 0))</f>
        <v/>
      </c>
      <c r="W1500" s="81">
        <f>IF(Q1500="Sin Factura",0,IFERROR(_xlfn.XLOOKUP(1, (Facturas_Odoo!$D:$D=A1500) * (Facturas_Odoo!$K:$K=I1500), Facturas_Odoo!$Q:$Q, 0), 0))</f>
        <v/>
      </c>
      <c r="X1500" s="79">
        <f>IF(OR(Q1500="Sin Factura",Q1500=""),"",IFERROR(INDEX(Pagos_Odoo!$B:$B, MATCH(Q1500, Pagos_Odoo!$I:$I, 0)), "Sin Pago"))</f>
        <v/>
      </c>
      <c r="Y1500" s="79">
        <f>IF(X1500="Sin Pago","",IFERROR(INDEX(Pagos_Odoo!$C:$C, MATCH(X1500, Pagos_Odoo!$B:$B, 0)), ""))</f>
        <v/>
      </c>
      <c r="Z1500" s="80">
        <f>IF(X1500="Sin Pago","",IFERROR(INDEX(Pagos_Odoo!$A:$A, MATCH(X1500, Pagos_Odoo!$B:$B, 0)), ""))</f>
        <v/>
      </c>
      <c r="AA1500" s="79">
        <f>IF(X1500="Sin Pago","",IFERROR(INDEX(Pagos_Odoo!$F:$F, MATCH(X1500, Pagos_Odoo!$B:$B, 0)), ""))</f>
        <v/>
      </c>
      <c r="AB1500" s="81">
        <f>IF(X1500="Sin Pago",0,IFERROR(INDEX(Pagos_Odoo!$E:$E, MATCH(X1500, Pagos_Odoo!$B:$B, 0)), 0))</f>
        <v/>
      </c>
      <c r="AC1500" s="79">
        <f>IF(X1500="Sin Pago","",IFERROR(INDEX(Pagos_Odoo!$G:$G, MATCH(X1500, Pagos_Odoo!$B:$B, 0)), ""))</f>
        <v/>
      </c>
      <c r="AD1500" s="82" t="n">
        <v>0</v>
      </c>
      <c r="AE1500" s="82" t="n"/>
      <c r="AF1500" s="82" t="n"/>
      <c r="AG1500" s="82">
        <f>IF(AN1500="","",AD1500+AE1500+AF1500)</f>
        <v/>
      </c>
      <c r="AH1500" s="81">
        <f>IF(AN1500="","",P1500*(1-AG1500))</f>
        <v/>
      </c>
      <c r="AI1500" s="81">
        <f>IF(AN1500="","",IF(Q1500="Sin Factura",0,IFERROR(INDEX(Facturas_Odoo!$H:$H, MATCH(Q1500, Facturas_Odoo!$B:$B, 0)), 0)*(1-AG1500)))</f>
        <v/>
      </c>
      <c r="AJ1500" s="81">
        <f>IF(AN1500="","",_xlfn.LET(idVenta, AN1500&amp;"",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00" s="81">
        <f>IF(AN1500="","",AH1500-AJ1500)</f>
        <v/>
      </c>
      <c r="AL1500" s="81">
        <f>IF(AN1500="","",IF(Q1500="Sin Factura","",AI1500-AJ1500))</f>
        <v/>
      </c>
      <c r="AM1500" s="81">
        <f>IF(AN1500="","",IF(Q1500="Sin Factura",0,P1500-IFERROR(INDEX(Facturas_Odoo!$H:$H, MATCH(Q1500, Facturas_Odoo!$B:$B, 0)), 0)))</f>
        <v/>
      </c>
      <c r="AN1500" s="79">
        <f>IF(AND(A1500="", J1500=""), "", IF(A1500&lt;&gt;"", VALUE(MID(A1500,2,LEN(A1500))), AN1499))</f>
        <v/>
      </c>
      <c r="AO1500" s="79">
        <f>IF(AN1500="","",IF(AD1500=0,"OK",_xlfn.LET(monedaPago, IF(AA1500="","USD",AA1500), limitePermitido, IFERROR(VLOOKUP(monedaPago, Configuración!$A$2:$B$3, 2, FALSE), 0.15), IF(AD1500&gt;limitePermitido, "ALERTA: EXCESO (" &amp; TEXT(limitePermitido, "0%") &amp; " máx)", "OK"))))</f>
        <v/>
      </c>
      <c r="AP1500" s="79">
        <f>IF(AN1500="","",IF(AE1500=0,"OK",_xlfn.LET(fechaPago, Z1500, fechaFactura, R1500, diasCredito, IF(E1500="Pago inmediato", 0, IFERROR(VALUE(MID(E1500, 1, SEARCH(" ", E1500)-1)),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00" s="79">
        <f>IF(AN1500="","",IF(AND(N1500&gt;0, AG1500&gt;0), IF(Configuración!$K$2="NO", "ALERTA: DESCUENTO DOBLE NO PERMITIDO", "OK"), "OK"))</f>
        <v/>
      </c>
      <c r="AR1500" s="79">
        <f>IF(AN1500="","",IF(OR(AO1500&lt;&gt;"OK", AP1500&lt;&gt;"OK", AQ1500&lt;&gt;"OK"), "⚠️ REVISAR", "OK"))</f>
        <v/>
      </c>
    </row>
    <row r="1501">
      <c r="A1501" s="79">
        <f>IF('Ordenes_Odoo'!A1501="","",'Ordenes_Odoo'!A1501)</f>
        <v/>
      </c>
      <c r="B1501" s="80">
        <f>IF('Ordenes_Odoo'!B1501="","",'Ordenes_Odoo'!B1501)</f>
        <v/>
      </c>
      <c r="C1501" s="79">
        <f>IF('Ordenes_Odoo'!C1501="","",'Ordenes_Odoo'!C1501)</f>
        <v/>
      </c>
      <c r="D1501" s="79">
        <f>IF('Ordenes_Odoo'!D1501="","",'Ordenes_Odoo'!D1501)</f>
        <v/>
      </c>
      <c r="E1501" s="79">
        <f>IF('Ordenes_Odoo'!E1501="","",'Ordenes_Odoo'!E1501)</f>
        <v/>
      </c>
      <c r="F1501" s="79">
        <f>IF('Ordenes_Odoo'!F1501="","",'Ordenes_Odoo'!F1501)</f>
        <v/>
      </c>
      <c r="G1501" s="79">
        <f>IF('Ordenes_Odoo'!G1501="","",'Ordenes_Odoo'!G1501)</f>
        <v/>
      </c>
      <c r="H1501" s="79">
        <f>IF('Ordenes_Odoo'!H1501="","",'Ordenes_Odoo'!H1501)</f>
        <v/>
      </c>
      <c r="I1501" s="79">
        <f>IF('Ordenes_Odoo'!I1501="","",'Ordenes_Odoo'!I1501)</f>
        <v/>
      </c>
      <c r="J1501" s="79">
        <f>IF('Ordenes_Odoo'!J1501="","",'Ordenes_Odoo'!J1501)</f>
        <v/>
      </c>
      <c r="K1501" s="81">
        <f>IF('Ordenes_Odoo'!K1501="","",'Ordenes_Odoo'!K1501)</f>
        <v/>
      </c>
      <c r="L1501" s="81">
        <f>IF('Ordenes_Odoo'!L1501="","",'Ordenes_Odoo'!L1501)</f>
        <v/>
      </c>
      <c r="M1501" s="79">
        <f>IF('Ordenes_Odoo'!M1501="","",'Ordenes_Odoo'!M1501)</f>
        <v/>
      </c>
      <c r="N1501" s="79">
        <f>IF('Ordenes_Odoo'!N1501="","",'Ordenes_Odoo'!N1501)</f>
        <v/>
      </c>
      <c r="O1501" s="81">
        <f>IF('Ordenes_Odoo'!O1501="","",'Ordenes_Odoo'!O1501)</f>
        <v/>
      </c>
      <c r="P1501" s="81">
        <f>IF('Ordenes_Odoo'!P1501="","",'Ordenes_Odoo'!P1501)</f>
        <v/>
      </c>
      <c r="Q1501" s="79">
        <f>IF(A1501="","",IFERROR(INDEX(Facturas_Odoo!$B:$B, MATCH(A1501, Facturas_Odoo!$D:$D, 0)), "Sin Factura"))</f>
        <v/>
      </c>
      <c r="R1501" s="80">
        <f>IF(Q1501="Sin Factura","",IFERROR(INDEX(Facturas_Odoo!$A:$A, MATCH(Q1501, Facturas_Odoo!$B:$B, 0)), ""))</f>
        <v/>
      </c>
      <c r="S1501" s="79">
        <f>IF(Q1501="Sin Factura","",IFERROR(_xlfn.XLOOKUP(1, (Facturas_Odoo!$D:$D=A1501) * (Facturas_Odoo!$K:$K=I1501), Facturas_Odoo!$L:$L, ""), ""))</f>
        <v/>
      </c>
      <c r="T1501" s="81">
        <f>IF(Q1501="Sin Factura",0,IFERROR(_xlfn.XLOOKUP(1, (Facturas_Odoo!$D:$D=A1501) * (Facturas_Odoo!$K:$K=I1501), Facturas_Odoo!$M:$M, 0), 0))</f>
        <v/>
      </c>
      <c r="U1501" s="79">
        <f>IF(Q1501="Sin Factura",0,IFERROR(_xlfn.XLOOKUP(1, (Facturas_Odoo!$D:$D=A1501) * (Facturas_Odoo!$K:$K=I1501), Facturas_Odoo!$N:$N, 0), 0))</f>
        <v/>
      </c>
      <c r="V1501" s="79">
        <f>IF(Q1501="Sin Factura",0,IFERROR(_xlfn.XLOOKUP(1, (Facturas_Odoo!$D:$D=A1501) * (Facturas_Odoo!$K:$K=I1501), Facturas_Odoo!$O:$O, 0), 0))</f>
        <v/>
      </c>
      <c r="W1501" s="81">
        <f>IF(Q1501="Sin Factura",0,IFERROR(_xlfn.XLOOKUP(1, (Facturas_Odoo!$D:$D=A1501) * (Facturas_Odoo!$K:$K=I1501), Facturas_Odoo!$Q:$Q, 0), 0))</f>
        <v/>
      </c>
      <c r="X1501" s="79">
        <f>IF(OR(Q1501="Sin Factura",Q1501=""),"",IFERROR(INDEX(Pagos_Odoo!$B:$B, MATCH(Q1501, Pagos_Odoo!$I:$I, 0)), "Sin Pago"))</f>
        <v/>
      </c>
      <c r="Y1501" s="79">
        <f>IF(X1501="Sin Pago","",IFERROR(INDEX(Pagos_Odoo!$C:$C, MATCH(X1501, Pagos_Odoo!$B:$B, 0)), ""))</f>
        <v/>
      </c>
      <c r="Z1501" s="80">
        <f>IF(X1501="Sin Pago","",IFERROR(INDEX(Pagos_Odoo!$A:$A, MATCH(X1501, Pagos_Odoo!$B:$B, 0)), ""))</f>
        <v/>
      </c>
      <c r="AA1501" s="79">
        <f>IF(X1501="Sin Pago","",IFERROR(INDEX(Pagos_Odoo!$F:$F, MATCH(X1501, Pagos_Odoo!$B:$B, 0)), ""))</f>
        <v/>
      </c>
      <c r="AB1501" s="81">
        <f>IF(X1501="Sin Pago",0,IFERROR(INDEX(Pagos_Odoo!$E:$E, MATCH(X1501, Pagos_Odoo!$B:$B, 0)), 0))</f>
        <v/>
      </c>
      <c r="AC1501" s="79">
        <f>IF(X1501="Sin Pago","",IFERROR(INDEX(Pagos_Odoo!$G:$G, MATCH(X1501, Pagos_Odoo!$B:$B, 0)), ""))</f>
        <v/>
      </c>
      <c r="AD1501" s="82" t="n">
        <v>0</v>
      </c>
      <c r="AE1501" s="82" t="n"/>
      <c r="AF1501" s="82" t="n"/>
      <c r="AG1501" s="82">
        <f>IF(AN1501="","",AD1501+AE1501+AF1501)</f>
        <v/>
      </c>
      <c r="AH1501" s="81">
        <f>IF(AN1501="","",P1501*(1-AG1501))</f>
        <v/>
      </c>
      <c r="AI1501" s="81">
        <f>IF(AN1501="","",IF(Q1501="Sin Factura",0,IFERROR(INDEX(Facturas_Odoo!$H:$H, MATCH(Q1501, Facturas_Odoo!$B:$B, 0)), 0)*(1-AG1501)))</f>
        <v/>
      </c>
      <c r="AJ1501" s="81">
        <f>IF(AN1501="","",_xlfn.LET(idVenta, AN1501&amp;"",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01" s="81">
        <f>IF(AN1501="","",AH1501-AJ1501)</f>
        <v/>
      </c>
      <c r="AL1501" s="81">
        <f>IF(AN1501="","",IF(Q1501="Sin Factura","",AI1501-AJ1501))</f>
        <v/>
      </c>
      <c r="AM1501" s="81">
        <f>IF(AN1501="","",IF(Q1501="Sin Factura",0,P1501-IFERROR(INDEX(Facturas_Odoo!$H:$H, MATCH(Q1501, Facturas_Odoo!$B:$B, 0)), 0)))</f>
        <v/>
      </c>
      <c r="AN1501" s="79">
        <f>IF(AND(A1501="", J1501=""), "", IF(A1501&lt;&gt;"", VALUE(MID(A1501,2,LEN(A1501))), AN1500))</f>
        <v/>
      </c>
      <c r="AO1501" s="79">
        <f>IF(AN1501="","",IF(AD1501=0,"OK",_xlfn.LET(monedaPago, IF(AA1501="","USD",AA1501), limitePermitido, IFERROR(VLOOKUP(monedaPago, Configuración!$A$2:$B$3, 2, FALSE), 0.15), IF(AD1501&gt;limitePermitido, "ALERTA: EXCESO (" &amp; TEXT(limitePermitido, "0%") &amp; " máx)", "OK"))))</f>
        <v/>
      </c>
      <c r="AP1501" s="79">
        <f>IF(AN1501="","",IF(AE1501=0,"OK",_xlfn.LET(fechaPago, Z1501, fechaFactura, R1501, diasCredito, IF(E1501="Pago inmediato", 0, IFERROR(VALUE(MID(E1501, 1, SEARCH(" ", E1501)-1)),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01" s="79">
        <f>IF(AN1501="","",IF(AND(N1501&gt;0, AG1501&gt;0), IF(Configuración!$K$2="NO", "ALERTA: DESCUENTO DOBLE NO PERMITIDO", "OK"), "OK"))</f>
        <v/>
      </c>
      <c r="AR1501" s="79">
        <f>IF(AN1501="","",IF(OR(AO1501&lt;&gt;"OK", AP1501&lt;&gt;"OK", AQ1501&lt;&gt;"OK"), "⚠️ REVISAR", "OK"))</f>
        <v/>
      </c>
    </row>
    <row r="1502">
      <c r="A1502" s="79">
        <f>IF('Ordenes_Odoo'!A1502="","",'Ordenes_Odoo'!A1502)</f>
        <v/>
      </c>
      <c r="B1502" s="80">
        <f>IF('Ordenes_Odoo'!B1502="","",'Ordenes_Odoo'!B1502)</f>
        <v/>
      </c>
      <c r="C1502" s="79">
        <f>IF('Ordenes_Odoo'!C1502="","",'Ordenes_Odoo'!C1502)</f>
        <v/>
      </c>
      <c r="D1502" s="79">
        <f>IF('Ordenes_Odoo'!D1502="","",'Ordenes_Odoo'!D1502)</f>
        <v/>
      </c>
      <c r="E1502" s="79">
        <f>IF('Ordenes_Odoo'!E1502="","",'Ordenes_Odoo'!E1502)</f>
        <v/>
      </c>
      <c r="F1502" s="79">
        <f>IF('Ordenes_Odoo'!F1502="","",'Ordenes_Odoo'!F1502)</f>
        <v/>
      </c>
      <c r="G1502" s="79">
        <f>IF('Ordenes_Odoo'!G1502="","",'Ordenes_Odoo'!G1502)</f>
        <v/>
      </c>
      <c r="H1502" s="79">
        <f>IF('Ordenes_Odoo'!H1502="","",'Ordenes_Odoo'!H1502)</f>
        <v/>
      </c>
      <c r="I1502" s="79">
        <f>IF('Ordenes_Odoo'!I1502="","",'Ordenes_Odoo'!I1502)</f>
        <v/>
      </c>
      <c r="J1502" s="79">
        <f>IF('Ordenes_Odoo'!J1502="","",'Ordenes_Odoo'!J1502)</f>
        <v/>
      </c>
      <c r="K1502" s="81">
        <f>IF('Ordenes_Odoo'!K1502="","",'Ordenes_Odoo'!K1502)</f>
        <v/>
      </c>
      <c r="L1502" s="81">
        <f>IF('Ordenes_Odoo'!L1502="","",'Ordenes_Odoo'!L1502)</f>
        <v/>
      </c>
      <c r="M1502" s="79">
        <f>IF('Ordenes_Odoo'!M1502="","",'Ordenes_Odoo'!M1502)</f>
        <v/>
      </c>
      <c r="N1502" s="79">
        <f>IF('Ordenes_Odoo'!N1502="","",'Ordenes_Odoo'!N1502)</f>
        <v/>
      </c>
      <c r="O1502" s="81">
        <f>IF('Ordenes_Odoo'!O1502="","",'Ordenes_Odoo'!O1502)</f>
        <v/>
      </c>
      <c r="P1502" s="81">
        <f>IF('Ordenes_Odoo'!P1502="","",'Ordenes_Odoo'!P1502)</f>
        <v/>
      </c>
      <c r="Q1502" s="79">
        <f>IF(A1502="","",IFERROR(INDEX(Facturas_Odoo!$B:$B, MATCH(A1502, Facturas_Odoo!$D:$D, 0)), "Sin Factura"))</f>
        <v/>
      </c>
      <c r="R1502" s="80">
        <f>IF(Q1502="Sin Factura","",IFERROR(INDEX(Facturas_Odoo!$A:$A, MATCH(Q1502, Facturas_Odoo!$B:$B, 0)), ""))</f>
        <v/>
      </c>
      <c r="S1502" s="79">
        <f>IF(Q1502="Sin Factura","",IFERROR(_xlfn.XLOOKUP(1, (Facturas_Odoo!$D:$D=A1502) * (Facturas_Odoo!$K:$K=I1502), Facturas_Odoo!$L:$L, ""), ""))</f>
        <v/>
      </c>
      <c r="T1502" s="81">
        <f>IF(Q1502="Sin Factura",0,IFERROR(_xlfn.XLOOKUP(1, (Facturas_Odoo!$D:$D=A1502) * (Facturas_Odoo!$K:$K=I1502), Facturas_Odoo!$M:$M, 0), 0))</f>
        <v/>
      </c>
      <c r="U1502" s="79">
        <f>IF(Q1502="Sin Factura",0,IFERROR(_xlfn.XLOOKUP(1, (Facturas_Odoo!$D:$D=A1502) * (Facturas_Odoo!$K:$K=I1502), Facturas_Odoo!$N:$N, 0), 0))</f>
        <v/>
      </c>
      <c r="V1502" s="79">
        <f>IF(Q1502="Sin Factura",0,IFERROR(_xlfn.XLOOKUP(1, (Facturas_Odoo!$D:$D=A1502) * (Facturas_Odoo!$K:$K=I1502), Facturas_Odoo!$O:$O, 0), 0))</f>
        <v/>
      </c>
      <c r="W1502" s="81">
        <f>IF(Q1502="Sin Factura",0,IFERROR(_xlfn.XLOOKUP(1, (Facturas_Odoo!$D:$D=A1502) * (Facturas_Odoo!$K:$K=I1502), Facturas_Odoo!$Q:$Q, 0), 0))</f>
        <v/>
      </c>
      <c r="X1502" s="79">
        <f>IF(OR(Q1502="Sin Factura",Q1502=""),"",IFERROR(INDEX(Pagos_Odoo!$B:$B, MATCH(Q1502, Pagos_Odoo!$I:$I, 0)), "Sin Pago"))</f>
        <v/>
      </c>
      <c r="Y1502" s="79">
        <f>IF(X1502="Sin Pago","",IFERROR(INDEX(Pagos_Odoo!$C:$C, MATCH(X1502, Pagos_Odoo!$B:$B, 0)), ""))</f>
        <v/>
      </c>
      <c r="Z1502" s="80">
        <f>IF(X1502="Sin Pago","",IFERROR(INDEX(Pagos_Odoo!$A:$A, MATCH(X1502, Pagos_Odoo!$B:$B, 0)), ""))</f>
        <v/>
      </c>
      <c r="AA1502" s="79">
        <f>IF(X1502="Sin Pago","",IFERROR(INDEX(Pagos_Odoo!$F:$F, MATCH(X1502, Pagos_Odoo!$B:$B, 0)), ""))</f>
        <v/>
      </c>
      <c r="AB1502" s="81">
        <f>IF(X1502="Sin Pago",0,IFERROR(INDEX(Pagos_Odoo!$E:$E, MATCH(X1502, Pagos_Odoo!$B:$B, 0)), 0))</f>
        <v/>
      </c>
      <c r="AC1502" s="79">
        <f>IF(X1502="Sin Pago","",IFERROR(INDEX(Pagos_Odoo!$G:$G, MATCH(X1502, Pagos_Odoo!$B:$B, 0)), ""))</f>
        <v/>
      </c>
      <c r="AD1502" s="82" t="n">
        <v>0</v>
      </c>
      <c r="AE1502" s="82" t="n"/>
      <c r="AF1502" s="82" t="n"/>
      <c r="AG1502" s="82">
        <f>IF(AN1502="","",AD1502+AE1502+AF1502)</f>
        <v/>
      </c>
      <c r="AH1502" s="81">
        <f>IF(AN1502="","",P1502*(1-AG1502))</f>
        <v/>
      </c>
      <c r="AI1502" s="81">
        <f>IF(AN1502="","",IF(Q1502="Sin Factura",0,IFERROR(INDEX(Facturas_Odoo!$H:$H, MATCH(Q1502, Facturas_Odoo!$B:$B, 0)), 0)*(1-AG1502)))</f>
        <v/>
      </c>
      <c r="AJ1502" s="81">
        <f>IF(AN1502="","",_xlfn.LET(idVenta, AN1502&amp;"",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02" s="81">
        <f>IF(AN1502="","",AH1502-AJ1502)</f>
        <v/>
      </c>
      <c r="AL1502" s="81">
        <f>IF(AN1502="","",IF(Q1502="Sin Factura","",AI1502-AJ1502))</f>
        <v/>
      </c>
      <c r="AM1502" s="81">
        <f>IF(AN1502="","",IF(Q1502="Sin Factura",0,P1502-IFERROR(INDEX(Facturas_Odoo!$H:$H, MATCH(Q1502, Facturas_Odoo!$B:$B, 0)), 0)))</f>
        <v/>
      </c>
      <c r="AN1502" s="79">
        <f>IF(AND(A1502="", J1502=""), "", IF(A1502&lt;&gt;"", VALUE(MID(A1502,2,LEN(A1502))), AN1501))</f>
        <v/>
      </c>
      <c r="AO1502" s="79">
        <f>IF(AN1502="","",IF(AD1502=0,"OK",_xlfn.LET(monedaPago, IF(AA1502="","USD",AA1502), limitePermitido, IFERROR(VLOOKUP(monedaPago, Configuración!$A$2:$B$3, 2, FALSE), 0.15), IF(AD1502&gt;limitePermitido, "ALERTA: EXCESO (" &amp; TEXT(limitePermitido, "0%") &amp; " máx)", "OK"))))</f>
        <v/>
      </c>
      <c r="AP1502" s="79">
        <f>IF(AN1502="","",IF(AE1502=0,"OK",_xlfn.LET(fechaPago, Z1502, fechaFactura, R1502, diasCredito, IF(E1502="Pago inmediato", 0, IFERROR(VALUE(MID(E1502, 1, SEARCH(" ", E1502)-1)),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02" s="79">
        <f>IF(AN1502="","",IF(AND(N1502&gt;0, AG1502&gt;0), IF(Configuración!$K$2="NO", "ALERTA: DESCUENTO DOBLE NO PERMITIDO", "OK"), "OK"))</f>
        <v/>
      </c>
      <c r="AR1502" s="79">
        <f>IF(AN1502="","",IF(OR(AO1502&lt;&gt;"OK", AP1502&lt;&gt;"OK", AQ1502&lt;&gt;"OK"), "⚠️ REVISAR", "OK"))</f>
        <v/>
      </c>
    </row>
    <row r="1503">
      <c r="A1503" s="79">
        <f>IF('Ordenes_Odoo'!A1503="","",'Ordenes_Odoo'!A1503)</f>
        <v/>
      </c>
      <c r="B1503" s="80">
        <f>IF('Ordenes_Odoo'!B1503="","",'Ordenes_Odoo'!B1503)</f>
        <v/>
      </c>
      <c r="C1503" s="79">
        <f>IF('Ordenes_Odoo'!C1503="","",'Ordenes_Odoo'!C1503)</f>
        <v/>
      </c>
      <c r="D1503" s="79">
        <f>IF('Ordenes_Odoo'!D1503="","",'Ordenes_Odoo'!D1503)</f>
        <v/>
      </c>
      <c r="E1503" s="79">
        <f>IF('Ordenes_Odoo'!E1503="","",'Ordenes_Odoo'!E1503)</f>
        <v/>
      </c>
      <c r="F1503" s="79">
        <f>IF('Ordenes_Odoo'!F1503="","",'Ordenes_Odoo'!F1503)</f>
        <v/>
      </c>
      <c r="G1503" s="79">
        <f>IF('Ordenes_Odoo'!G1503="","",'Ordenes_Odoo'!G1503)</f>
        <v/>
      </c>
      <c r="H1503" s="79">
        <f>IF('Ordenes_Odoo'!H1503="","",'Ordenes_Odoo'!H1503)</f>
        <v/>
      </c>
      <c r="I1503" s="79">
        <f>IF('Ordenes_Odoo'!I1503="","",'Ordenes_Odoo'!I1503)</f>
        <v/>
      </c>
      <c r="J1503" s="79">
        <f>IF('Ordenes_Odoo'!J1503="","",'Ordenes_Odoo'!J1503)</f>
        <v/>
      </c>
      <c r="K1503" s="81">
        <f>IF('Ordenes_Odoo'!K1503="","",'Ordenes_Odoo'!K1503)</f>
        <v/>
      </c>
      <c r="L1503" s="81">
        <f>IF('Ordenes_Odoo'!L1503="","",'Ordenes_Odoo'!L1503)</f>
        <v/>
      </c>
      <c r="M1503" s="79">
        <f>IF('Ordenes_Odoo'!M1503="","",'Ordenes_Odoo'!M1503)</f>
        <v/>
      </c>
      <c r="N1503" s="79">
        <f>IF('Ordenes_Odoo'!N1503="","",'Ordenes_Odoo'!N1503)</f>
        <v/>
      </c>
      <c r="O1503" s="81">
        <f>IF('Ordenes_Odoo'!O1503="","",'Ordenes_Odoo'!O1503)</f>
        <v/>
      </c>
      <c r="P1503" s="81">
        <f>IF('Ordenes_Odoo'!P1503="","",'Ordenes_Odoo'!P1503)</f>
        <v/>
      </c>
      <c r="Q1503" s="79">
        <f>IF(A1503="","",IFERROR(INDEX(Facturas_Odoo!$B:$B, MATCH(A1503, Facturas_Odoo!$D:$D, 0)), "Sin Factura"))</f>
        <v/>
      </c>
      <c r="R1503" s="80">
        <f>IF(Q1503="Sin Factura","",IFERROR(INDEX(Facturas_Odoo!$A:$A, MATCH(Q1503, Facturas_Odoo!$B:$B, 0)), ""))</f>
        <v/>
      </c>
      <c r="S1503" s="79">
        <f>IF(Q1503="Sin Factura","",IFERROR(_xlfn.XLOOKUP(1, (Facturas_Odoo!$D:$D=A1503) * (Facturas_Odoo!$K:$K=I1503), Facturas_Odoo!$L:$L, ""), ""))</f>
        <v/>
      </c>
      <c r="T1503" s="81">
        <f>IF(Q1503="Sin Factura",0,IFERROR(_xlfn.XLOOKUP(1, (Facturas_Odoo!$D:$D=A1503) * (Facturas_Odoo!$K:$K=I1503), Facturas_Odoo!$M:$M, 0), 0))</f>
        <v/>
      </c>
      <c r="U1503" s="79">
        <f>IF(Q1503="Sin Factura",0,IFERROR(_xlfn.XLOOKUP(1, (Facturas_Odoo!$D:$D=A1503) * (Facturas_Odoo!$K:$K=I1503), Facturas_Odoo!$N:$N, 0), 0))</f>
        <v/>
      </c>
      <c r="V1503" s="79">
        <f>IF(Q1503="Sin Factura",0,IFERROR(_xlfn.XLOOKUP(1, (Facturas_Odoo!$D:$D=A1503) * (Facturas_Odoo!$K:$K=I1503), Facturas_Odoo!$O:$O, 0), 0))</f>
        <v/>
      </c>
      <c r="W1503" s="81">
        <f>IF(Q1503="Sin Factura",0,IFERROR(_xlfn.XLOOKUP(1, (Facturas_Odoo!$D:$D=A1503) * (Facturas_Odoo!$K:$K=I1503), Facturas_Odoo!$Q:$Q, 0), 0))</f>
        <v/>
      </c>
      <c r="X1503" s="79">
        <f>IF(OR(Q1503="Sin Factura",Q1503=""),"",IFERROR(INDEX(Pagos_Odoo!$B:$B, MATCH(Q1503, Pagos_Odoo!$I:$I, 0)), "Sin Pago"))</f>
        <v/>
      </c>
      <c r="Y1503" s="79">
        <f>IF(X1503="Sin Pago","",IFERROR(INDEX(Pagos_Odoo!$C:$C, MATCH(X1503, Pagos_Odoo!$B:$B, 0)), ""))</f>
        <v/>
      </c>
      <c r="Z1503" s="80">
        <f>IF(X1503="Sin Pago","",IFERROR(INDEX(Pagos_Odoo!$A:$A, MATCH(X1503, Pagos_Odoo!$B:$B, 0)), ""))</f>
        <v/>
      </c>
      <c r="AA1503" s="79">
        <f>IF(X1503="Sin Pago","",IFERROR(INDEX(Pagos_Odoo!$F:$F, MATCH(X1503, Pagos_Odoo!$B:$B, 0)), ""))</f>
        <v/>
      </c>
      <c r="AB1503" s="81">
        <f>IF(X1503="Sin Pago",0,IFERROR(INDEX(Pagos_Odoo!$E:$E, MATCH(X1503, Pagos_Odoo!$B:$B, 0)), 0))</f>
        <v/>
      </c>
      <c r="AC1503" s="79">
        <f>IF(X1503="Sin Pago","",IFERROR(INDEX(Pagos_Odoo!$G:$G, MATCH(X1503, Pagos_Odoo!$B:$B, 0)), ""))</f>
        <v/>
      </c>
      <c r="AD1503" s="82" t="n">
        <v>0</v>
      </c>
      <c r="AE1503" s="82" t="n"/>
      <c r="AF1503" s="82" t="n"/>
      <c r="AG1503" s="82">
        <f>IF(AN1503="","",AD1503+AE1503+AF1503)</f>
        <v/>
      </c>
      <c r="AH1503" s="81">
        <f>IF(AN1503="","",P1503*(1-AG1503))</f>
        <v/>
      </c>
      <c r="AI1503" s="81">
        <f>IF(AN1503="","",IF(Q1503="Sin Factura",0,IFERROR(INDEX(Facturas_Odoo!$H:$H, MATCH(Q1503, Facturas_Odoo!$B:$B, 0)), 0)*(1-AG1503)))</f>
        <v/>
      </c>
      <c r="AJ1503" s="81">
        <f>IF(AN1503="","",_xlfn.LET(idVenta, AN1503&amp;"",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03" s="81">
        <f>IF(AN1503="","",AH1503-AJ1503)</f>
        <v/>
      </c>
      <c r="AL1503" s="81">
        <f>IF(AN1503="","",IF(Q1503="Sin Factura","",AI1503-AJ1503))</f>
        <v/>
      </c>
      <c r="AM1503" s="81">
        <f>IF(AN1503="","",IF(Q1503="Sin Factura",0,P1503-IFERROR(INDEX(Facturas_Odoo!$H:$H, MATCH(Q1503, Facturas_Odoo!$B:$B, 0)), 0)))</f>
        <v/>
      </c>
      <c r="AN1503" s="79">
        <f>IF(AND(A1503="", J1503=""), "", IF(A1503&lt;&gt;"", VALUE(MID(A1503,2,LEN(A1503))), AN1502))</f>
        <v/>
      </c>
      <c r="AO1503" s="79">
        <f>IF(AN1503="","",IF(AD1503=0,"OK",_xlfn.LET(monedaPago, IF(AA1503="","USD",AA1503), limitePermitido, IFERROR(VLOOKUP(monedaPago, Configuración!$A$2:$B$3, 2, FALSE), 0.15), IF(AD1503&gt;limitePermitido, "ALERTA: EXCESO (" &amp; TEXT(limitePermitido, "0%") &amp; " máx)", "OK"))))</f>
        <v/>
      </c>
      <c r="AP1503" s="79">
        <f>IF(AN1503="","",IF(AE1503=0,"OK",_xlfn.LET(fechaPago, Z1503, fechaFactura, R1503, diasCredito, IF(E1503="Pago inmediato", 0, IFERROR(VALUE(MID(E1503, 1, SEARCH(" ", E1503)-1)),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03" s="79">
        <f>IF(AN1503="","",IF(AND(N1503&gt;0, AG1503&gt;0), IF(Configuración!$K$2="NO", "ALERTA: DESCUENTO DOBLE NO PERMITIDO", "OK"), "OK"))</f>
        <v/>
      </c>
      <c r="AR1503" s="79">
        <f>IF(AN1503="","",IF(OR(AO1503&lt;&gt;"OK", AP1503&lt;&gt;"OK", AQ1503&lt;&gt;"OK"), "⚠️ REVISAR", "OK"))</f>
        <v/>
      </c>
    </row>
    <row r="1504">
      <c r="A1504" s="79">
        <f>IF('Ordenes_Odoo'!A1504="","",'Ordenes_Odoo'!A1504)</f>
        <v/>
      </c>
      <c r="B1504" s="80">
        <f>IF('Ordenes_Odoo'!B1504="","",'Ordenes_Odoo'!B1504)</f>
        <v/>
      </c>
      <c r="C1504" s="79">
        <f>IF('Ordenes_Odoo'!C1504="","",'Ordenes_Odoo'!C1504)</f>
        <v/>
      </c>
      <c r="D1504" s="79">
        <f>IF('Ordenes_Odoo'!D1504="","",'Ordenes_Odoo'!D1504)</f>
        <v/>
      </c>
      <c r="E1504" s="79">
        <f>IF('Ordenes_Odoo'!E1504="","",'Ordenes_Odoo'!E1504)</f>
        <v/>
      </c>
      <c r="F1504" s="79">
        <f>IF('Ordenes_Odoo'!F1504="","",'Ordenes_Odoo'!F1504)</f>
        <v/>
      </c>
      <c r="G1504" s="79">
        <f>IF('Ordenes_Odoo'!G1504="","",'Ordenes_Odoo'!G1504)</f>
        <v/>
      </c>
      <c r="H1504" s="79">
        <f>IF('Ordenes_Odoo'!H1504="","",'Ordenes_Odoo'!H1504)</f>
        <v/>
      </c>
      <c r="I1504" s="79">
        <f>IF('Ordenes_Odoo'!I1504="","",'Ordenes_Odoo'!I1504)</f>
        <v/>
      </c>
      <c r="J1504" s="79">
        <f>IF('Ordenes_Odoo'!J1504="","",'Ordenes_Odoo'!J1504)</f>
        <v/>
      </c>
      <c r="K1504" s="81">
        <f>IF('Ordenes_Odoo'!K1504="","",'Ordenes_Odoo'!K1504)</f>
        <v/>
      </c>
      <c r="L1504" s="81">
        <f>IF('Ordenes_Odoo'!L1504="","",'Ordenes_Odoo'!L1504)</f>
        <v/>
      </c>
      <c r="M1504" s="79">
        <f>IF('Ordenes_Odoo'!M1504="","",'Ordenes_Odoo'!M1504)</f>
        <v/>
      </c>
      <c r="N1504" s="79">
        <f>IF('Ordenes_Odoo'!N1504="","",'Ordenes_Odoo'!N1504)</f>
        <v/>
      </c>
      <c r="O1504" s="81">
        <f>IF('Ordenes_Odoo'!O1504="","",'Ordenes_Odoo'!O1504)</f>
        <v/>
      </c>
      <c r="P1504" s="81">
        <f>IF('Ordenes_Odoo'!P1504="","",'Ordenes_Odoo'!P1504)</f>
        <v/>
      </c>
      <c r="Q1504" s="79">
        <f>IF(A1504="","",IFERROR(INDEX(Facturas_Odoo!$B:$B, MATCH(A1504, Facturas_Odoo!$D:$D, 0)), "Sin Factura"))</f>
        <v/>
      </c>
      <c r="R1504" s="80">
        <f>IF(Q1504="Sin Factura","",IFERROR(INDEX(Facturas_Odoo!$A:$A, MATCH(Q1504, Facturas_Odoo!$B:$B, 0)), ""))</f>
        <v/>
      </c>
      <c r="S1504" s="79">
        <f>IF(Q1504="Sin Factura","",IFERROR(_xlfn.XLOOKUP(1, (Facturas_Odoo!$D:$D=A1504) * (Facturas_Odoo!$K:$K=I1504), Facturas_Odoo!$L:$L, ""), ""))</f>
        <v/>
      </c>
      <c r="T1504" s="81">
        <f>IF(Q1504="Sin Factura",0,IFERROR(_xlfn.XLOOKUP(1, (Facturas_Odoo!$D:$D=A1504) * (Facturas_Odoo!$K:$K=I1504), Facturas_Odoo!$M:$M, 0), 0))</f>
        <v/>
      </c>
      <c r="U1504" s="79">
        <f>IF(Q1504="Sin Factura",0,IFERROR(_xlfn.XLOOKUP(1, (Facturas_Odoo!$D:$D=A1504) * (Facturas_Odoo!$K:$K=I1504), Facturas_Odoo!$N:$N, 0), 0))</f>
        <v/>
      </c>
      <c r="V1504" s="79">
        <f>IF(Q1504="Sin Factura",0,IFERROR(_xlfn.XLOOKUP(1, (Facturas_Odoo!$D:$D=A1504) * (Facturas_Odoo!$K:$K=I1504), Facturas_Odoo!$O:$O, 0), 0))</f>
        <v/>
      </c>
      <c r="W1504" s="81">
        <f>IF(Q1504="Sin Factura",0,IFERROR(_xlfn.XLOOKUP(1, (Facturas_Odoo!$D:$D=A1504) * (Facturas_Odoo!$K:$K=I1504), Facturas_Odoo!$Q:$Q, 0), 0))</f>
        <v/>
      </c>
      <c r="X1504" s="79">
        <f>IF(OR(Q1504="Sin Factura",Q1504=""),"",IFERROR(INDEX(Pagos_Odoo!$B:$B, MATCH(Q1504, Pagos_Odoo!$I:$I, 0)), "Sin Pago"))</f>
        <v/>
      </c>
      <c r="Y1504" s="79">
        <f>IF(X1504="Sin Pago","",IFERROR(INDEX(Pagos_Odoo!$C:$C, MATCH(X1504, Pagos_Odoo!$B:$B, 0)), ""))</f>
        <v/>
      </c>
      <c r="Z1504" s="80">
        <f>IF(X1504="Sin Pago","",IFERROR(INDEX(Pagos_Odoo!$A:$A, MATCH(X1504, Pagos_Odoo!$B:$B, 0)), ""))</f>
        <v/>
      </c>
      <c r="AA1504" s="79">
        <f>IF(X1504="Sin Pago","",IFERROR(INDEX(Pagos_Odoo!$F:$F, MATCH(X1504, Pagos_Odoo!$B:$B, 0)), ""))</f>
        <v/>
      </c>
      <c r="AB1504" s="81">
        <f>IF(X1504="Sin Pago",0,IFERROR(INDEX(Pagos_Odoo!$E:$E, MATCH(X1504, Pagos_Odoo!$B:$B, 0)), 0))</f>
        <v/>
      </c>
      <c r="AC1504" s="79">
        <f>IF(X1504="Sin Pago","",IFERROR(INDEX(Pagos_Odoo!$G:$G, MATCH(X1504, Pagos_Odoo!$B:$B, 0)), ""))</f>
        <v/>
      </c>
      <c r="AD1504" s="82" t="n">
        <v>0</v>
      </c>
      <c r="AE1504" s="82" t="n"/>
      <c r="AF1504" s="82" t="n"/>
      <c r="AG1504" s="82">
        <f>IF(AN1504="","",AD1504+AE1504+AF1504)</f>
        <v/>
      </c>
      <c r="AH1504" s="81">
        <f>IF(AN1504="","",P1504*(1-AG1504))</f>
        <v/>
      </c>
      <c r="AI1504" s="81">
        <f>IF(AN1504="","",IF(Q1504="Sin Factura",0,IFERROR(INDEX(Facturas_Odoo!$H:$H, MATCH(Q1504, Facturas_Odoo!$B:$B, 0)), 0)*(1-AG1504)))</f>
        <v/>
      </c>
      <c r="AJ1504" s="81">
        <f>IF(AN1504="","",_xlfn.LET(idVenta, AN1504&amp;"",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04" s="81">
        <f>IF(AN1504="","",AH1504-AJ1504)</f>
        <v/>
      </c>
      <c r="AL1504" s="81">
        <f>IF(AN1504="","",IF(Q1504="Sin Factura","",AI1504-AJ1504))</f>
        <v/>
      </c>
      <c r="AM1504" s="81">
        <f>IF(AN1504="","",IF(Q1504="Sin Factura",0,P1504-IFERROR(INDEX(Facturas_Odoo!$H:$H, MATCH(Q1504, Facturas_Odoo!$B:$B, 0)), 0)))</f>
        <v/>
      </c>
      <c r="AN1504" s="79">
        <f>IF(AND(A1504="", J1504=""), "", IF(A1504&lt;&gt;"", VALUE(MID(A1504,2,LEN(A1504))), AN1503))</f>
        <v/>
      </c>
      <c r="AO1504" s="79">
        <f>IF(AN1504="","",IF(AD1504=0,"OK",_xlfn.LET(monedaPago, IF(AA1504="","USD",AA1504), limitePermitido, IFERROR(VLOOKUP(monedaPago, Configuración!$A$2:$B$3, 2, FALSE), 0.15), IF(AD1504&gt;limitePermitido, "ALERTA: EXCESO (" &amp; TEXT(limitePermitido, "0%") &amp; " máx)", "OK"))))</f>
        <v/>
      </c>
      <c r="AP1504" s="79">
        <f>IF(AN1504="","",IF(AE1504=0,"OK",_xlfn.LET(fechaPago, Z1504, fechaFactura, R1504, diasCredito, IF(E1504="Pago inmediato", 0, IFERROR(VALUE(MID(E1504, 1, SEARCH(" ", E1504)-1)),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04" s="79">
        <f>IF(AN1504="","",IF(AND(N1504&gt;0, AG1504&gt;0), IF(Configuración!$K$2="NO", "ALERTA: DESCUENTO DOBLE NO PERMITIDO", "OK"), "OK"))</f>
        <v/>
      </c>
      <c r="AR1504" s="79">
        <f>IF(AN1504="","",IF(OR(AO1504&lt;&gt;"OK", AP1504&lt;&gt;"OK", AQ1504&lt;&gt;"OK"), "⚠️ REVISAR", "OK"))</f>
        <v/>
      </c>
    </row>
    <row r="1505">
      <c r="A1505" s="79">
        <f>IF('Ordenes_Odoo'!A1505="","",'Ordenes_Odoo'!A1505)</f>
        <v/>
      </c>
      <c r="B1505" s="80">
        <f>IF('Ordenes_Odoo'!B1505="","",'Ordenes_Odoo'!B1505)</f>
        <v/>
      </c>
      <c r="C1505" s="79">
        <f>IF('Ordenes_Odoo'!C1505="","",'Ordenes_Odoo'!C1505)</f>
        <v/>
      </c>
      <c r="D1505" s="79">
        <f>IF('Ordenes_Odoo'!D1505="","",'Ordenes_Odoo'!D1505)</f>
        <v/>
      </c>
      <c r="E1505" s="79">
        <f>IF('Ordenes_Odoo'!E1505="","",'Ordenes_Odoo'!E1505)</f>
        <v/>
      </c>
      <c r="F1505" s="79">
        <f>IF('Ordenes_Odoo'!F1505="","",'Ordenes_Odoo'!F1505)</f>
        <v/>
      </c>
      <c r="G1505" s="79">
        <f>IF('Ordenes_Odoo'!G1505="","",'Ordenes_Odoo'!G1505)</f>
        <v/>
      </c>
      <c r="H1505" s="79">
        <f>IF('Ordenes_Odoo'!H1505="","",'Ordenes_Odoo'!H1505)</f>
        <v/>
      </c>
      <c r="I1505" s="79">
        <f>IF('Ordenes_Odoo'!I1505="","",'Ordenes_Odoo'!I1505)</f>
        <v/>
      </c>
      <c r="J1505" s="79">
        <f>IF('Ordenes_Odoo'!J1505="","",'Ordenes_Odoo'!J1505)</f>
        <v/>
      </c>
      <c r="K1505" s="81">
        <f>IF('Ordenes_Odoo'!K1505="","",'Ordenes_Odoo'!K1505)</f>
        <v/>
      </c>
      <c r="L1505" s="81">
        <f>IF('Ordenes_Odoo'!L1505="","",'Ordenes_Odoo'!L1505)</f>
        <v/>
      </c>
      <c r="M1505" s="79">
        <f>IF('Ordenes_Odoo'!M1505="","",'Ordenes_Odoo'!M1505)</f>
        <v/>
      </c>
      <c r="N1505" s="79">
        <f>IF('Ordenes_Odoo'!N1505="","",'Ordenes_Odoo'!N1505)</f>
        <v/>
      </c>
      <c r="O1505" s="81">
        <f>IF('Ordenes_Odoo'!O1505="","",'Ordenes_Odoo'!O1505)</f>
        <v/>
      </c>
      <c r="P1505" s="81">
        <f>IF('Ordenes_Odoo'!P1505="","",'Ordenes_Odoo'!P1505)</f>
        <v/>
      </c>
      <c r="Q1505" s="79">
        <f>IF(A1505="","",IFERROR(INDEX(Facturas_Odoo!$B:$B, MATCH(A1505, Facturas_Odoo!$D:$D, 0)), "Sin Factura"))</f>
        <v/>
      </c>
      <c r="R1505" s="80">
        <f>IF(Q1505="Sin Factura","",IFERROR(INDEX(Facturas_Odoo!$A:$A, MATCH(Q1505, Facturas_Odoo!$B:$B, 0)), ""))</f>
        <v/>
      </c>
      <c r="S1505" s="79">
        <f>IF(Q1505="Sin Factura","",IFERROR(_xlfn.XLOOKUP(1, (Facturas_Odoo!$D:$D=A1505) * (Facturas_Odoo!$K:$K=I1505), Facturas_Odoo!$L:$L, ""), ""))</f>
        <v/>
      </c>
      <c r="T1505" s="81">
        <f>IF(Q1505="Sin Factura",0,IFERROR(_xlfn.XLOOKUP(1, (Facturas_Odoo!$D:$D=A1505) * (Facturas_Odoo!$K:$K=I1505), Facturas_Odoo!$M:$M, 0), 0))</f>
        <v/>
      </c>
      <c r="U1505" s="79">
        <f>IF(Q1505="Sin Factura",0,IFERROR(_xlfn.XLOOKUP(1, (Facturas_Odoo!$D:$D=A1505) * (Facturas_Odoo!$K:$K=I1505), Facturas_Odoo!$N:$N, 0), 0))</f>
        <v/>
      </c>
      <c r="V1505" s="79">
        <f>IF(Q1505="Sin Factura",0,IFERROR(_xlfn.XLOOKUP(1, (Facturas_Odoo!$D:$D=A1505) * (Facturas_Odoo!$K:$K=I1505), Facturas_Odoo!$O:$O, 0), 0))</f>
        <v/>
      </c>
      <c r="W1505" s="81">
        <f>IF(Q1505="Sin Factura",0,IFERROR(_xlfn.XLOOKUP(1, (Facturas_Odoo!$D:$D=A1505) * (Facturas_Odoo!$K:$K=I1505), Facturas_Odoo!$Q:$Q, 0), 0))</f>
        <v/>
      </c>
      <c r="X1505" s="79">
        <f>IF(OR(Q1505="Sin Factura",Q1505=""),"",IFERROR(INDEX(Pagos_Odoo!$B:$B, MATCH(Q1505, Pagos_Odoo!$I:$I, 0)), "Sin Pago"))</f>
        <v/>
      </c>
      <c r="Y1505" s="79">
        <f>IF(X1505="Sin Pago","",IFERROR(INDEX(Pagos_Odoo!$C:$C, MATCH(X1505, Pagos_Odoo!$B:$B, 0)), ""))</f>
        <v/>
      </c>
      <c r="Z1505" s="80">
        <f>IF(X1505="Sin Pago","",IFERROR(INDEX(Pagos_Odoo!$A:$A, MATCH(X1505, Pagos_Odoo!$B:$B, 0)), ""))</f>
        <v/>
      </c>
      <c r="AA1505" s="79">
        <f>IF(X1505="Sin Pago","",IFERROR(INDEX(Pagos_Odoo!$F:$F, MATCH(X1505, Pagos_Odoo!$B:$B, 0)), ""))</f>
        <v/>
      </c>
      <c r="AB1505" s="81">
        <f>IF(X1505="Sin Pago",0,IFERROR(INDEX(Pagos_Odoo!$E:$E, MATCH(X1505, Pagos_Odoo!$B:$B, 0)), 0))</f>
        <v/>
      </c>
      <c r="AC1505" s="79">
        <f>IF(X1505="Sin Pago","",IFERROR(INDEX(Pagos_Odoo!$G:$G, MATCH(X1505, Pagos_Odoo!$B:$B, 0)), ""))</f>
        <v/>
      </c>
      <c r="AD1505" s="82" t="n">
        <v>0</v>
      </c>
      <c r="AE1505" s="82" t="n"/>
      <c r="AF1505" s="82" t="n"/>
      <c r="AG1505" s="82">
        <f>IF(AN1505="","",AD1505+AE1505+AF1505)</f>
        <v/>
      </c>
      <c r="AH1505" s="81">
        <f>IF(AN1505="","",P1505*(1-AG1505))</f>
        <v/>
      </c>
      <c r="AI1505" s="81">
        <f>IF(AN1505="","",IF(Q1505="Sin Factura",0,IFERROR(INDEX(Facturas_Odoo!$H:$H, MATCH(Q1505, Facturas_Odoo!$B:$B, 0)), 0)*(1-AG1505)))</f>
        <v/>
      </c>
      <c r="AJ1505" s="81">
        <f>IF(AN1505="","",_xlfn.LET(idVenta, AN1505&amp;"",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05" s="81">
        <f>IF(AN1505="","",AH1505-AJ1505)</f>
        <v/>
      </c>
      <c r="AL1505" s="81">
        <f>IF(AN1505="","",IF(Q1505="Sin Factura","",AI1505-AJ1505))</f>
        <v/>
      </c>
      <c r="AM1505" s="81">
        <f>IF(AN1505="","",IF(Q1505="Sin Factura",0,P1505-IFERROR(INDEX(Facturas_Odoo!$H:$H, MATCH(Q1505, Facturas_Odoo!$B:$B, 0)), 0)))</f>
        <v/>
      </c>
      <c r="AN1505" s="79">
        <f>IF(AND(A1505="", J1505=""), "", IF(A1505&lt;&gt;"", VALUE(MID(A1505,2,LEN(A1505))), AN1504))</f>
        <v/>
      </c>
      <c r="AO1505" s="79">
        <f>IF(AN1505="","",IF(AD1505=0,"OK",_xlfn.LET(monedaPago, IF(AA1505="","USD",AA1505), limitePermitido, IFERROR(VLOOKUP(monedaPago, Configuración!$A$2:$B$3, 2, FALSE), 0.15), IF(AD1505&gt;limitePermitido, "ALERTA: EXCESO (" &amp; TEXT(limitePermitido, "0%") &amp; " máx)", "OK"))))</f>
        <v/>
      </c>
      <c r="AP1505" s="79">
        <f>IF(AN1505="","",IF(AE1505=0,"OK",_xlfn.LET(fechaPago, Z1505, fechaFactura, R1505, diasCredito, IF(E1505="Pago inmediato", 0, IFERROR(VALUE(MID(E1505, 1, SEARCH(" ", E1505)-1)),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05" s="79">
        <f>IF(AN1505="","",IF(AND(N1505&gt;0, AG1505&gt;0), IF(Configuración!$K$2="NO", "ALERTA: DESCUENTO DOBLE NO PERMITIDO", "OK"), "OK"))</f>
        <v/>
      </c>
      <c r="AR1505" s="79">
        <f>IF(AN1505="","",IF(OR(AO1505&lt;&gt;"OK", AP1505&lt;&gt;"OK", AQ1505&lt;&gt;"OK"), "⚠️ REVISAR", "OK"))</f>
        <v/>
      </c>
    </row>
    <row r="1506">
      <c r="A1506" s="79">
        <f>IF('Ordenes_Odoo'!A1506="","",'Ordenes_Odoo'!A1506)</f>
        <v/>
      </c>
      <c r="B1506" s="80">
        <f>IF('Ordenes_Odoo'!B1506="","",'Ordenes_Odoo'!B1506)</f>
        <v/>
      </c>
      <c r="C1506" s="79">
        <f>IF('Ordenes_Odoo'!C1506="","",'Ordenes_Odoo'!C1506)</f>
        <v/>
      </c>
      <c r="D1506" s="79">
        <f>IF('Ordenes_Odoo'!D1506="","",'Ordenes_Odoo'!D1506)</f>
        <v/>
      </c>
      <c r="E1506" s="79">
        <f>IF('Ordenes_Odoo'!E1506="","",'Ordenes_Odoo'!E1506)</f>
        <v/>
      </c>
      <c r="F1506" s="79">
        <f>IF('Ordenes_Odoo'!F1506="","",'Ordenes_Odoo'!F1506)</f>
        <v/>
      </c>
      <c r="G1506" s="79">
        <f>IF('Ordenes_Odoo'!G1506="","",'Ordenes_Odoo'!G1506)</f>
        <v/>
      </c>
      <c r="H1506" s="79">
        <f>IF('Ordenes_Odoo'!H1506="","",'Ordenes_Odoo'!H1506)</f>
        <v/>
      </c>
      <c r="I1506" s="79">
        <f>IF('Ordenes_Odoo'!I1506="","",'Ordenes_Odoo'!I1506)</f>
        <v/>
      </c>
      <c r="J1506" s="79">
        <f>IF('Ordenes_Odoo'!J1506="","",'Ordenes_Odoo'!J1506)</f>
        <v/>
      </c>
      <c r="K1506" s="81">
        <f>IF('Ordenes_Odoo'!K1506="","",'Ordenes_Odoo'!K1506)</f>
        <v/>
      </c>
      <c r="L1506" s="81">
        <f>IF('Ordenes_Odoo'!L1506="","",'Ordenes_Odoo'!L1506)</f>
        <v/>
      </c>
      <c r="M1506" s="79">
        <f>IF('Ordenes_Odoo'!M1506="","",'Ordenes_Odoo'!M1506)</f>
        <v/>
      </c>
      <c r="N1506" s="79">
        <f>IF('Ordenes_Odoo'!N1506="","",'Ordenes_Odoo'!N1506)</f>
        <v/>
      </c>
      <c r="O1506" s="81">
        <f>IF('Ordenes_Odoo'!O1506="","",'Ordenes_Odoo'!O1506)</f>
        <v/>
      </c>
      <c r="P1506" s="81">
        <f>IF('Ordenes_Odoo'!P1506="","",'Ordenes_Odoo'!P1506)</f>
        <v/>
      </c>
      <c r="Q1506" s="79">
        <f>IF(A1506="","",IFERROR(INDEX(Facturas_Odoo!$B:$B, MATCH(A1506, Facturas_Odoo!$D:$D, 0)), "Sin Factura"))</f>
        <v/>
      </c>
      <c r="R1506" s="80">
        <f>IF(Q1506="Sin Factura","",IFERROR(INDEX(Facturas_Odoo!$A:$A, MATCH(Q1506, Facturas_Odoo!$B:$B, 0)), ""))</f>
        <v/>
      </c>
      <c r="S1506" s="79">
        <f>IF(Q1506="Sin Factura","",IFERROR(_xlfn.XLOOKUP(1, (Facturas_Odoo!$D:$D=A1506) * (Facturas_Odoo!$K:$K=I1506), Facturas_Odoo!$L:$L, ""), ""))</f>
        <v/>
      </c>
      <c r="T1506" s="81">
        <f>IF(Q1506="Sin Factura",0,IFERROR(_xlfn.XLOOKUP(1, (Facturas_Odoo!$D:$D=A1506) * (Facturas_Odoo!$K:$K=I1506), Facturas_Odoo!$M:$M, 0), 0))</f>
        <v/>
      </c>
      <c r="U1506" s="79">
        <f>IF(Q1506="Sin Factura",0,IFERROR(_xlfn.XLOOKUP(1, (Facturas_Odoo!$D:$D=A1506) * (Facturas_Odoo!$K:$K=I1506), Facturas_Odoo!$N:$N, 0), 0))</f>
        <v/>
      </c>
      <c r="V1506" s="79">
        <f>IF(Q1506="Sin Factura",0,IFERROR(_xlfn.XLOOKUP(1, (Facturas_Odoo!$D:$D=A1506) * (Facturas_Odoo!$K:$K=I1506), Facturas_Odoo!$O:$O, 0), 0))</f>
        <v/>
      </c>
      <c r="W1506" s="81">
        <f>IF(Q1506="Sin Factura",0,IFERROR(_xlfn.XLOOKUP(1, (Facturas_Odoo!$D:$D=A1506) * (Facturas_Odoo!$K:$K=I1506), Facturas_Odoo!$Q:$Q, 0), 0))</f>
        <v/>
      </c>
      <c r="X1506" s="79">
        <f>IF(OR(Q1506="Sin Factura",Q1506=""),"",IFERROR(INDEX(Pagos_Odoo!$B:$B, MATCH(Q1506, Pagos_Odoo!$I:$I, 0)), "Sin Pago"))</f>
        <v/>
      </c>
      <c r="Y1506" s="79">
        <f>IF(X1506="Sin Pago","",IFERROR(INDEX(Pagos_Odoo!$C:$C, MATCH(X1506, Pagos_Odoo!$B:$B, 0)), ""))</f>
        <v/>
      </c>
      <c r="Z1506" s="80">
        <f>IF(X1506="Sin Pago","",IFERROR(INDEX(Pagos_Odoo!$A:$A, MATCH(X1506, Pagos_Odoo!$B:$B, 0)), ""))</f>
        <v/>
      </c>
      <c r="AA1506" s="79">
        <f>IF(X1506="Sin Pago","",IFERROR(INDEX(Pagos_Odoo!$F:$F, MATCH(X1506, Pagos_Odoo!$B:$B, 0)), ""))</f>
        <v/>
      </c>
      <c r="AB1506" s="81">
        <f>IF(X1506="Sin Pago",0,IFERROR(INDEX(Pagos_Odoo!$E:$E, MATCH(X1506, Pagos_Odoo!$B:$B, 0)), 0))</f>
        <v/>
      </c>
      <c r="AC1506" s="79">
        <f>IF(X1506="Sin Pago","",IFERROR(INDEX(Pagos_Odoo!$G:$G, MATCH(X1506, Pagos_Odoo!$B:$B, 0)), ""))</f>
        <v/>
      </c>
      <c r="AD1506" s="82" t="n">
        <v>0</v>
      </c>
      <c r="AE1506" s="82" t="n"/>
      <c r="AF1506" s="82" t="n"/>
      <c r="AG1506" s="82">
        <f>IF(AN1506="","",AD1506+AE1506+AF1506)</f>
        <v/>
      </c>
      <c r="AH1506" s="81">
        <f>IF(AN1506="","",P1506*(1-AG1506))</f>
        <v/>
      </c>
      <c r="AI1506" s="81">
        <f>IF(AN1506="","",IF(Q1506="Sin Factura",0,IFERROR(INDEX(Facturas_Odoo!$H:$H, MATCH(Q1506, Facturas_Odoo!$B:$B, 0)), 0)*(1-AG1506)))</f>
        <v/>
      </c>
      <c r="AJ1506" s="81">
        <f>IF(AN1506="","",_xlfn.LET(idVenta, AN1506&amp;"",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06" s="81">
        <f>IF(AN1506="","",AH1506-AJ1506)</f>
        <v/>
      </c>
      <c r="AL1506" s="81">
        <f>IF(AN1506="","",IF(Q1506="Sin Factura","",AI1506-AJ1506))</f>
        <v/>
      </c>
      <c r="AM1506" s="81">
        <f>IF(AN1506="","",IF(Q1506="Sin Factura",0,P1506-IFERROR(INDEX(Facturas_Odoo!$H:$H, MATCH(Q1506, Facturas_Odoo!$B:$B, 0)), 0)))</f>
        <v/>
      </c>
      <c r="AN1506" s="79">
        <f>IF(AND(A1506="", J1506=""), "", IF(A1506&lt;&gt;"", VALUE(MID(A1506,2,LEN(A1506))), AN1505))</f>
        <v/>
      </c>
      <c r="AO1506" s="79">
        <f>IF(AN1506="","",IF(AD1506=0,"OK",_xlfn.LET(monedaPago, IF(AA1506="","USD",AA1506), limitePermitido, IFERROR(VLOOKUP(monedaPago, Configuración!$A$2:$B$3, 2, FALSE), 0.15), IF(AD1506&gt;limitePermitido, "ALERTA: EXCESO (" &amp; TEXT(limitePermitido, "0%") &amp; " máx)", "OK"))))</f>
        <v/>
      </c>
      <c r="AP1506" s="79">
        <f>IF(AN1506="","",IF(AE1506=0,"OK",_xlfn.LET(fechaPago, Z1506, fechaFactura, R1506, diasCredito, IF(E1506="Pago inmediato", 0, IFERROR(VALUE(MID(E1506, 1, SEARCH(" ", E1506)-1)),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06" s="79">
        <f>IF(AN1506="","",IF(AND(N1506&gt;0, AG1506&gt;0), IF(Configuración!$K$2="NO", "ALERTA: DESCUENTO DOBLE NO PERMITIDO", "OK"), "OK"))</f>
        <v/>
      </c>
      <c r="AR1506" s="79">
        <f>IF(AN1506="","",IF(OR(AO1506&lt;&gt;"OK", AP1506&lt;&gt;"OK", AQ1506&lt;&gt;"OK"), "⚠️ REVISAR", "OK"))</f>
        <v/>
      </c>
    </row>
    <row r="1507">
      <c r="A1507" s="79">
        <f>IF('Ordenes_Odoo'!A1507="","",'Ordenes_Odoo'!A1507)</f>
        <v/>
      </c>
      <c r="B1507" s="80">
        <f>IF('Ordenes_Odoo'!B1507="","",'Ordenes_Odoo'!B1507)</f>
        <v/>
      </c>
      <c r="C1507" s="79">
        <f>IF('Ordenes_Odoo'!C1507="","",'Ordenes_Odoo'!C1507)</f>
        <v/>
      </c>
      <c r="D1507" s="79">
        <f>IF('Ordenes_Odoo'!D1507="","",'Ordenes_Odoo'!D1507)</f>
        <v/>
      </c>
      <c r="E1507" s="79">
        <f>IF('Ordenes_Odoo'!E1507="","",'Ordenes_Odoo'!E1507)</f>
        <v/>
      </c>
      <c r="F1507" s="79">
        <f>IF('Ordenes_Odoo'!F1507="","",'Ordenes_Odoo'!F1507)</f>
        <v/>
      </c>
      <c r="G1507" s="79">
        <f>IF('Ordenes_Odoo'!G1507="","",'Ordenes_Odoo'!G1507)</f>
        <v/>
      </c>
      <c r="H1507" s="79">
        <f>IF('Ordenes_Odoo'!H1507="","",'Ordenes_Odoo'!H1507)</f>
        <v/>
      </c>
      <c r="I1507" s="79">
        <f>IF('Ordenes_Odoo'!I1507="","",'Ordenes_Odoo'!I1507)</f>
        <v/>
      </c>
      <c r="J1507" s="79">
        <f>IF('Ordenes_Odoo'!J1507="","",'Ordenes_Odoo'!J1507)</f>
        <v/>
      </c>
      <c r="K1507" s="81">
        <f>IF('Ordenes_Odoo'!K1507="","",'Ordenes_Odoo'!K1507)</f>
        <v/>
      </c>
      <c r="L1507" s="81">
        <f>IF('Ordenes_Odoo'!L1507="","",'Ordenes_Odoo'!L1507)</f>
        <v/>
      </c>
      <c r="M1507" s="79">
        <f>IF('Ordenes_Odoo'!M1507="","",'Ordenes_Odoo'!M1507)</f>
        <v/>
      </c>
      <c r="N1507" s="79">
        <f>IF('Ordenes_Odoo'!N1507="","",'Ordenes_Odoo'!N1507)</f>
        <v/>
      </c>
      <c r="O1507" s="81">
        <f>IF('Ordenes_Odoo'!O1507="","",'Ordenes_Odoo'!O1507)</f>
        <v/>
      </c>
      <c r="P1507" s="81">
        <f>IF('Ordenes_Odoo'!P1507="","",'Ordenes_Odoo'!P1507)</f>
        <v/>
      </c>
      <c r="Q1507" s="79">
        <f>IF(A1507="","",IFERROR(INDEX(Facturas_Odoo!$B:$B, MATCH(A1507, Facturas_Odoo!$D:$D, 0)), "Sin Factura"))</f>
        <v/>
      </c>
      <c r="R1507" s="80">
        <f>IF(Q1507="Sin Factura","",IFERROR(INDEX(Facturas_Odoo!$A:$A, MATCH(Q1507, Facturas_Odoo!$B:$B, 0)), ""))</f>
        <v/>
      </c>
      <c r="S1507" s="79">
        <f>IF(Q1507="Sin Factura","",IFERROR(_xlfn.XLOOKUP(1, (Facturas_Odoo!$D:$D=A1507) * (Facturas_Odoo!$K:$K=I1507), Facturas_Odoo!$L:$L, ""), ""))</f>
        <v/>
      </c>
      <c r="T1507" s="81">
        <f>IF(Q1507="Sin Factura",0,IFERROR(_xlfn.XLOOKUP(1, (Facturas_Odoo!$D:$D=A1507) * (Facturas_Odoo!$K:$K=I1507), Facturas_Odoo!$M:$M, 0), 0))</f>
        <v/>
      </c>
      <c r="U1507" s="79">
        <f>IF(Q1507="Sin Factura",0,IFERROR(_xlfn.XLOOKUP(1, (Facturas_Odoo!$D:$D=A1507) * (Facturas_Odoo!$K:$K=I1507), Facturas_Odoo!$N:$N, 0), 0))</f>
        <v/>
      </c>
      <c r="V1507" s="79">
        <f>IF(Q1507="Sin Factura",0,IFERROR(_xlfn.XLOOKUP(1, (Facturas_Odoo!$D:$D=A1507) * (Facturas_Odoo!$K:$K=I1507), Facturas_Odoo!$O:$O, 0), 0))</f>
        <v/>
      </c>
      <c r="W1507" s="81">
        <f>IF(Q1507="Sin Factura",0,IFERROR(_xlfn.XLOOKUP(1, (Facturas_Odoo!$D:$D=A1507) * (Facturas_Odoo!$K:$K=I1507), Facturas_Odoo!$Q:$Q, 0), 0))</f>
        <v/>
      </c>
      <c r="X1507" s="79">
        <f>IF(OR(Q1507="Sin Factura",Q1507=""),"",IFERROR(INDEX(Pagos_Odoo!$B:$B, MATCH(Q1507, Pagos_Odoo!$I:$I, 0)), "Sin Pago"))</f>
        <v/>
      </c>
      <c r="Y1507" s="79">
        <f>IF(X1507="Sin Pago","",IFERROR(INDEX(Pagos_Odoo!$C:$C, MATCH(X1507, Pagos_Odoo!$B:$B, 0)), ""))</f>
        <v/>
      </c>
      <c r="Z1507" s="80">
        <f>IF(X1507="Sin Pago","",IFERROR(INDEX(Pagos_Odoo!$A:$A, MATCH(X1507, Pagos_Odoo!$B:$B, 0)), ""))</f>
        <v/>
      </c>
      <c r="AA1507" s="79">
        <f>IF(X1507="Sin Pago","",IFERROR(INDEX(Pagos_Odoo!$F:$F, MATCH(X1507, Pagos_Odoo!$B:$B, 0)), ""))</f>
        <v/>
      </c>
      <c r="AB1507" s="81">
        <f>IF(X1507="Sin Pago",0,IFERROR(INDEX(Pagos_Odoo!$E:$E, MATCH(X1507, Pagos_Odoo!$B:$B, 0)), 0))</f>
        <v/>
      </c>
      <c r="AC1507" s="79">
        <f>IF(X1507="Sin Pago","",IFERROR(INDEX(Pagos_Odoo!$G:$G, MATCH(X1507, Pagos_Odoo!$B:$B, 0)), ""))</f>
        <v/>
      </c>
      <c r="AD1507" s="82" t="n">
        <v>0</v>
      </c>
      <c r="AE1507" s="82" t="n"/>
      <c r="AF1507" s="82" t="n"/>
      <c r="AG1507" s="82">
        <f>IF(AN1507="","",AD1507+AE1507+AF1507)</f>
        <v/>
      </c>
      <c r="AH1507" s="81">
        <f>IF(AN1507="","",P1507*(1-AG1507))</f>
        <v/>
      </c>
      <c r="AI1507" s="81">
        <f>IF(AN1507="","",IF(Q1507="Sin Factura",0,IFERROR(INDEX(Facturas_Odoo!$H:$H, MATCH(Q1507, Facturas_Odoo!$B:$B, 0)), 0)*(1-AG1507)))</f>
        <v/>
      </c>
      <c r="AJ1507" s="81">
        <f>IF(AN1507="","",_xlfn.LET(idVenta, AN1507&amp;"",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07" s="81">
        <f>IF(AN1507="","",AH1507-AJ1507)</f>
        <v/>
      </c>
      <c r="AL1507" s="81">
        <f>IF(AN1507="","",IF(Q1507="Sin Factura","",AI1507-AJ1507))</f>
        <v/>
      </c>
      <c r="AM1507" s="81">
        <f>IF(AN1507="","",IF(Q1507="Sin Factura",0,P1507-IFERROR(INDEX(Facturas_Odoo!$H:$H, MATCH(Q1507, Facturas_Odoo!$B:$B, 0)), 0)))</f>
        <v/>
      </c>
      <c r="AN1507" s="79">
        <f>IF(AND(A1507="", J1507=""), "", IF(A1507&lt;&gt;"", VALUE(MID(A1507,2,LEN(A1507))), AN1506))</f>
        <v/>
      </c>
      <c r="AO1507" s="79">
        <f>IF(AN1507="","",IF(AD1507=0,"OK",_xlfn.LET(monedaPago, IF(AA1507="","USD",AA1507), limitePermitido, IFERROR(VLOOKUP(monedaPago, Configuración!$A$2:$B$3, 2, FALSE), 0.15), IF(AD1507&gt;limitePermitido, "ALERTA: EXCESO (" &amp; TEXT(limitePermitido, "0%") &amp; " máx)", "OK"))))</f>
        <v/>
      </c>
      <c r="AP1507" s="79">
        <f>IF(AN1507="","",IF(AE1507=0,"OK",_xlfn.LET(fechaPago, Z1507, fechaFactura, R1507, diasCredito, IF(E1507="Pago inmediato", 0, IFERROR(VALUE(MID(E1507, 1, SEARCH(" ", E1507)-1)),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07" s="79">
        <f>IF(AN1507="","",IF(AND(N1507&gt;0, AG1507&gt;0), IF(Configuración!$K$2="NO", "ALERTA: DESCUENTO DOBLE NO PERMITIDO", "OK"), "OK"))</f>
        <v/>
      </c>
      <c r="AR1507" s="79">
        <f>IF(AN1507="","",IF(OR(AO1507&lt;&gt;"OK", AP1507&lt;&gt;"OK", AQ1507&lt;&gt;"OK"), "⚠️ REVISAR", "OK"))</f>
        <v/>
      </c>
    </row>
    <row r="1508">
      <c r="A1508" s="79">
        <f>IF('Ordenes_Odoo'!A1508="","",'Ordenes_Odoo'!A1508)</f>
        <v/>
      </c>
      <c r="B1508" s="80">
        <f>IF('Ordenes_Odoo'!B1508="","",'Ordenes_Odoo'!B1508)</f>
        <v/>
      </c>
      <c r="C1508" s="79">
        <f>IF('Ordenes_Odoo'!C1508="","",'Ordenes_Odoo'!C1508)</f>
        <v/>
      </c>
      <c r="D1508" s="79">
        <f>IF('Ordenes_Odoo'!D1508="","",'Ordenes_Odoo'!D1508)</f>
        <v/>
      </c>
      <c r="E1508" s="79">
        <f>IF('Ordenes_Odoo'!E1508="","",'Ordenes_Odoo'!E1508)</f>
        <v/>
      </c>
      <c r="F1508" s="79">
        <f>IF('Ordenes_Odoo'!F1508="","",'Ordenes_Odoo'!F1508)</f>
        <v/>
      </c>
      <c r="G1508" s="79">
        <f>IF('Ordenes_Odoo'!G1508="","",'Ordenes_Odoo'!G1508)</f>
        <v/>
      </c>
      <c r="H1508" s="79">
        <f>IF('Ordenes_Odoo'!H1508="","",'Ordenes_Odoo'!H1508)</f>
        <v/>
      </c>
      <c r="I1508" s="79">
        <f>IF('Ordenes_Odoo'!I1508="","",'Ordenes_Odoo'!I1508)</f>
        <v/>
      </c>
      <c r="J1508" s="79">
        <f>IF('Ordenes_Odoo'!J1508="","",'Ordenes_Odoo'!J1508)</f>
        <v/>
      </c>
      <c r="K1508" s="81">
        <f>IF('Ordenes_Odoo'!K1508="","",'Ordenes_Odoo'!K1508)</f>
        <v/>
      </c>
      <c r="L1508" s="81">
        <f>IF('Ordenes_Odoo'!L1508="","",'Ordenes_Odoo'!L1508)</f>
        <v/>
      </c>
      <c r="M1508" s="79">
        <f>IF('Ordenes_Odoo'!M1508="","",'Ordenes_Odoo'!M1508)</f>
        <v/>
      </c>
      <c r="N1508" s="79">
        <f>IF('Ordenes_Odoo'!N1508="","",'Ordenes_Odoo'!N1508)</f>
        <v/>
      </c>
      <c r="O1508" s="81">
        <f>IF('Ordenes_Odoo'!O1508="","",'Ordenes_Odoo'!O1508)</f>
        <v/>
      </c>
      <c r="P1508" s="81">
        <f>IF('Ordenes_Odoo'!P1508="","",'Ordenes_Odoo'!P1508)</f>
        <v/>
      </c>
      <c r="Q1508" s="79">
        <f>IF(A1508="","",IFERROR(INDEX(Facturas_Odoo!$B:$B, MATCH(A1508, Facturas_Odoo!$D:$D, 0)), "Sin Factura"))</f>
        <v/>
      </c>
      <c r="R1508" s="80">
        <f>IF(Q1508="Sin Factura","",IFERROR(INDEX(Facturas_Odoo!$A:$A, MATCH(Q1508, Facturas_Odoo!$B:$B, 0)), ""))</f>
        <v/>
      </c>
      <c r="S1508" s="79">
        <f>IF(Q1508="Sin Factura","",IFERROR(_xlfn.XLOOKUP(1, (Facturas_Odoo!$D:$D=A1508) * (Facturas_Odoo!$K:$K=I1508), Facturas_Odoo!$L:$L, ""), ""))</f>
        <v/>
      </c>
      <c r="T1508" s="81">
        <f>IF(Q1508="Sin Factura",0,IFERROR(_xlfn.XLOOKUP(1, (Facturas_Odoo!$D:$D=A1508) * (Facturas_Odoo!$K:$K=I1508), Facturas_Odoo!$M:$M, 0), 0))</f>
        <v/>
      </c>
      <c r="U1508" s="79">
        <f>IF(Q1508="Sin Factura",0,IFERROR(_xlfn.XLOOKUP(1, (Facturas_Odoo!$D:$D=A1508) * (Facturas_Odoo!$K:$K=I1508), Facturas_Odoo!$N:$N, 0), 0))</f>
        <v/>
      </c>
      <c r="V1508" s="79">
        <f>IF(Q1508="Sin Factura",0,IFERROR(_xlfn.XLOOKUP(1, (Facturas_Odoo!$D:$D=A1508) * (Facturas_Odoo!$K:$K=I1508), Facturas_Odoo!$O:$O, 0), 0))</f>
        <v/>
      </c>
      <c r="W1508" s="81">
        <f>IF(Q1508="Sin Factura",0,IFERROR(_xlfn.XLOOKUP(1, (Facturas_Odoo!$D:$D=A1508) * (Facturas_Odoo!$K:$K=I1508), Facturas_Odoo!$Q:$Q, 0), 0))</f>
        <v/>
      </c>
      <c r="X1508" s="79">
        <f>IF(OR(Q1508="Sin Factura",Q1508=""),"",IFERROR(INDEX(Pagos_Odoo!$B:$B, MATCH(Q1508, Pagos_Odoo!$I:$I, 0)), "Sin Pago"))</f>
        <v/>
      </c>
      <c r="Y1508" s="79">
        <f>IF(X1508="Sin Pago","",IFERROR(INDEX(Pagos_Odoo!$C:$C, MATCH(X1508, Pagos_Odoo!$B:$B, 0)), ""))</f>
        <v/>
      </c>
      <c r="Z1508" s="80">
        <f>IF(X1508="Sin Pago","",IFERROR(INDEX(Pagos_Odoo!$A:$A, MATCH(X1508, Pagos_Odoo!$B:$B, 0)), ""))</f>
        <v/>
      </c>
      <c r="AA1508" s="79">
        <f>IF(X1508="Sin Pago","",IFERROR(INDEX(Pagos_Odoo!$F:$F, MATCH(X1508, Pagos_Odoo!$B:$B, 0)), ""))</f>
        <v/>
      </c>
      <c r="AB1508" s="81">
        <f>IF(X1508="Sin Pago",0,IFERROR(INDEX(Pagos_Odoo!$E:$E, MATCH(X1508, Pagos_Odoo!$B:$B, 0)), 0))</f>
        <v/>
      </c>
      <c r="AC1508" s="79">
        <f>IF(X1508="Sin Pago","",IFERROR(INDEX(Pagos_Odoo!$G:$G, MATCH(X1508, Pagos_Odoo!$B:$B, 0)), ""))</f>
        <v/>
      </c>
      <c r="AD1508" s="82" t="n">
        <v>0</v>
      </c>
      <c r="AE1508" s="82" t="n"/>
      <c r="AF1508" s="82" t="n"/>
      <c r="AG1508" s="82">
        <f>IF(AN1508="","",AD1508+AE1508+AF1508)</f>
        <v/>
      </c>
      <c r="AH1508" s="81">
        <f>IF(AN1508="","",P1508*(1-AG1508))</f>
        <v/>
      </c>
      <c r="AI1508" s="81">
        <f>IF(AN1508="","",IF(Q1508="Sin Factura",0,IFERROR(INDEX(Facturas_Odoo!$H:$H, MATCH(Q1508, Facturas_Odoo!$B:$B, 0)), 0)*(1-AG1508)))</f>
        <v/>
      </c>
      <c r="AJ1508" s="81">
        <f>IF(AN1508="","",_xlfn.LET(idVenta, AN1508&amp;"",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08" s="81">
        <f>IF(AN1508="","",AH1508-AJ1508)</f>
        <v/>
      </c>
      <c r="AL1508" s="81">
        <f>IF(AN1508="","",IF(Q1508="Sin Factura","",AI1508-AJ1508))</f>
        <v/>
      </c>
      <c r="AM1508" s="81">
        <f>IF(AN1508="","",IF(Q1508="Sin Factura",0,P1508-IFERROR(INDEX(Facturas_Odoo!$H:$H, MATCH(Q1508, Facturas_Odoo!$B:$B, 0)), 0)))</f>
        <v/>
      </c>
      <c r="AN1508" s="79">
        <f>IF(AND(A1508="", J1508=""), "", IF(A1508&lt;&gt;"", VALUE(MID(A1508,2,LEN(A1508))), AN1507))</f>
        <v/>
      </c>
      <c r="AO1508" s="79">
        <f>IF(AN1508="","",IF(AD1508=0,"OK",_xlfn.LET(monedaPago, IF(AA1508="","USD",AA1508), limitePermitido, IFERROR(VLOOKUP(monedaPago, Configuración!$A$2:$B$3, 2, FALSE), 0.15), IF(AD1508&gt;limitePermitido, "ALERTA: EXCESO (" &amp; TEXT(limitePermitido, "0%") &amp; " máx)", "OK"))))</f>
        <v/>
      </c>
      <c r="AP1508" s="79">
        <f>IF(AN1508="","",IF(AE1508=0,"OK",_xlfn.LET(fechaPago, Z1508, fechaFactura, R1508, diasCredito, IF(E1508="Pago inmediato", 0, IFERROR(VALUE(MID(E1508, 1, SEARCH(" ", E1508)-1)),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08" s="79">
        <f>IF(AN1508="","",IF(AND(N1508&gt;0, AG1508&gt;0), IF(Configuración!$K$2="NO", "ALERTA: DESCUENTO DOBLE NO PERMITIDO", "OK"), "OK"))</f>
        <v/>
      </c>
      <c r="AR1508" s="79">
        <f>IF(AN1508="","",IF(OR(AO1508&lt;&gt;"OK", AP1508&lt;&gt;"OK", AQ1508&lt;&gt;"OK"), "⚠️ REVISAR", "OK"))</f>
        <v/>
      </c>
    </row>
    <row r="1509">
      <c r="A1509" s="79">
        <f>IF('Ordenes_Odoo'!A1509="","",'Ordenes_Odoo'!A1509)</f>
        <v/>
      </c>
      <c r="B1509" s="80">
        <f>IF('Ordenes_Odoo'!B1509="","",'Ordenes_Odoo'!B1509)</f>
        <v/>
      </c>
      <c r="C1509" s="79">
        <f>IF('Ordenes_Odoo'!C1509="","",'Ordenes_Odoo'!C1509)</f>
        <v/>
      </c>
      <c r="D1509" s="79">
        <f>IF('Ordenes_Odoo'!D1509="","",'Ordenes_Odoo'!D1509)</f>
        <v/>
      </c>
      <c r="E1509" s="79">
        <f>IF('Ordenes_Odoo'!E1509="","",'Ordenes_Odoo'!E1509)</f>
        <v/>
      </c>
      <c r="F1509" s="79">
        <f>IF('Ordenes_Odoo'!F1509="","",'Ordenes_Odoo'!F1509)</f>
        <v/>
      </c>
      <c r="G1509" s="79">
        <f>IF('Ordenes_Odoo'!G1509="","",'Ordenes_Odoo'!G1509)</f>
        <v/>
      </c>
      <c r="H1509" s="79">
        <f>IF('Ordenes_Odoo'!H1509="","",'Ordenes_Odoo'!H1509)</f>
        <v/>
      </c>
      <c r="I1509" s="79">
        <f>IF('Ordenes_Odoo'!I1509="","",'Ordenes_Odoo'!I1509)</f>
        <v/>
      </c>
      <c r="J1509" s="79">
        <f>IF('Ordenes_Odoo'!J1509="","",'Ordenes_Odoo'!J1509)</f>
        <v/>
      </c>
      <c r="K1509" s="81">
        <f>IF('Ordenes_Odoo'!K1509="","",'Ordenes_Odoo'!K1509)</f>
        <v/>
      </c>
      <c r="L1509" s="81">
        <f>IF('Ordenes_Odoo'!L1509="","",'Ordenes_Odoo'!L1509)</f>
        <v/>
      </c>
      <c r="M1509" s="79">
        <f>IF('Ordenes_Odoo'!M1509="","",'Ordenes_Odoo'!M1509)</f>
        <v/>
      </c>
      <c r="N1509" s="79">
        <f>IF('Ordenes_Odoo'!N1509="","",'Ordenes_Odoo'!N1509)</f>
        <v/>
      </c>
      <c r="O1509" s="81">
        <f>IF('Ordenes_Odoo'!O1509="","",'Ordenes_Odoo'!O1509)</f>
        <v/>
      </c>
      <c r="P1509" s="81">
        <f>IF('Ordenes_Odoo'!P1509="","",'Ordenes_Odoo'!P1509)</f>
        <v/>
      </c>
      <c r="Q1509" s="79">
        <f>IF(A1509="","",IFERROR(INDEX(Facturas_Odoo!$B:$B, MATCH(A1509, Facturas_Odoo!$D:$D, 0)), "Sin Factura"))</f>
        <v/>
      </c>
      <c r="R1509" s="80">
        <f>IF(Q1509="Sin Factura","",IFERROR(INDEX(Facturas_Odoo!$A:$A, MATCH(Q1509, Facturas_Odoo!$B:$B, 0)), ""))</f>
        <v/>
      </c>
      <c r="S1509" s="79">
        <f>IF(Q1509="Sin Factura","",IFERROR(_xlfn.XLOOKUP(1, (Facturas_Odoo!$D:$D=A1509) * (Facturas_Odoo!$K:$K=I1509), Facturas_Odoo!$L:$L, ""), ""))</f>
        <v/>
      </c>
      <c r="T1509" s="81">
        <f>IF(Q1509="Sin Factura",0,IFERROR(_xlfn.XLOOKUP(1, (Facturas_Odoo!$D:$D=A1509) * (Facturas_Odoo!$K:$K=I1509), Facturas_Odoo!$M:$M, 0), 0))</f>
        <v/>
      </c>
      <c r="U1509" s="79">
        <f>IF(Q1509="Sin Factura",0,IFERROR(_xlfn.XLOOKUP(1, (Facturas_Odoo!$D:$D=A1509) * (Facturas_Odoo!$K:$K=I1509), Facturas_Odoo!$N:$N, 0), 0))</f>
        <v/>
      </c>
      <c r="V1509" s="79">
        <f>IF(Q1509="Sin Factura",0,IFERROR(_xlfn.XLOOKUP(1, (Facturas_Odoo!$D:$D=A1509) * (Facturas_Odoo!$K:$K=I1509), Facturas_Odoo!$O:$O, 0), 0))</f>
        <v/>
      </c>
      <c r="W1509" s="81">
        <f>IF(Q1509="Sin Factura",0,IFERROR(_xlfn.XLOOKUP(1, (Facturas_Odoo!$D:$D=A1509) * (Facturas_Odoo!$K:$K=I1509), Facturas_Odoo!$Q:$Q, 0), 0))</f>
        <v/>
      </c>
      <c r="X1509" s="79">
        <f>IF(OR(Q1509="Sin Factura",Q1509=""),"",IFERROR(INDEX(Pagos_Odoo!$B:$B, MATCH(Q1509, Pagos_Odoo!$I:$I, 0)), "Sin Pago"))</f>
        <v/>
      </c>
      <c r="Y1509" s="79">
        <f>IF(X1509="Sin Pago","",IFERROR(INDEX(Pagos_Odoo!$C:$C, MATCH(X1509, Pagos_Odoo!$B:$B, 0)), ""))</f>
        <v/>
      </c>
      <c r="Z1509" s="80">
        <f>IF(X1509="Sin Pago","",IFERROR(INDEX(Pagos_Odoo!$A:$A, MATCH(X1509, Pagos_Odoo!$B:$B, 0)), ""))</f>
        <v/>
      </c>
      <c r="AA1509" s="79">
        <f>IF(X1509="Sin Pago","",IFERROR(INDEX(Pagos_Odoo!$F:$F, MATCH(X1509, Pagos_Odoo!$B:$B, 0)), ""))</f>
        <v/>
      </c>
      <c r="AB1509" s="81">
        <f>IF(X1509="Sin Pago",0,IFERROR(INDEX(Pagos_Odoo!$E:$E, MATCH(X1509, Pagos_Odoo!$B:$B, 0)), 0))</f>
        <v/>
      </c>
      <c r="AC1509" s="79">
        <f>IF(X1509="Sin Pago","",IFERROR(INDEX(Pagos_Odoo!$G:$G, MATCH(X1509, Pagos_Odoo!$B:$B, 0)), ""))</f>
        <v/>
      </c>
      <c r="AD1509" s="82" t="n">
        <v>0</v>
      </c>
      <c r="AE1509" s="82" t="n"/>
      <c r="AF1509" s="82" t="n"/>
      <c r="AG1509" s="82">
        <f>IF(AN1509="","",AD1509+AE1509+AF1509)</f>
        <v/>
      </c>
      <c r="AH1509" s="81">
        <f>IF(AN1509="","",P1509*(1-AG1509))</f>
        <v/>
      </c>
      <c r="AI1509" s="81">
        <f>IF(AN1509="","",IF(Q1509="Sin Factura",0,IFERROR(INDEX(Facturas_Odoo!$H:$H, MATCH(Q1509, Facturas_Odoo!$B:$B, 0)), 0)*(1-AG1509)))</f>
        <v/>
      </c>
      <c r="AJ1509" s="81">
        <f>IF(AN1509="","",_xlfn.LET(idVenta, AN1509&amp;"",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09" s="81">
        <f>IF(AN1509="","",AH1509-AJ1509)</f>
        <v/>
      </c>
      <c r="AL1509" s="81">
        <f>IF(AN1509="","",IF(Q1509="Sin Factura","",AI1509-AJ1509))</f>
        <v/>
      </c>
      <c r="AM1509" s="81">
        <f>IF(AN1509="","",IF(Q1509="Sin Factura",0,P1509-IFERROR(INDEX(Facturas_Odoo!$H:$H, MATCH(Q1509, Facturas_Odoo!$B:$B, 0)), 0)))</f>
        <v/>
      </c>
      <c r="AN1509" s="79">
        <f>IF(AND(A1509="", J1509=""), "", IF(A1509&lt;&gt;"", VALUE(MID(A1509,2,LEN(A1509))), AN1508))</f>
        <v/>
      </c>
      <c r="AO1509" s="79">
        <f>IF(AN1509="","",IF(AD1509=0,"OK",_xlfn.LET(monedaPago, IF(AA1509="","USD",AA1509), limitePermitido, IFERROR(VLOOKUP(monedaPago, Configuración!$A$2:$B$3, 2, FALSE), 0.15), IF(AD1509&gt;limitePermitido, "ALERTA: EXCESO (" &amp; TEXT(limitePermitido, "0%") &amp; " máx)", "OK"))))</f>
        <v/>
      </c>
      <c r="AP1509" s="79">
        <f>IF(AN1509="","",IF(AE1509=0,"OK",_xlfn.LET(fechaPago, Z1509, fechaFactura, R1509, diasCredito, IF(E1509="Pago inmediato", 0, IFERROR(VALUE(MID(E1509, 1, SEARCH(" ", E1509)-1)),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09" s="79">
        <f>IF(AN1509="","",IF(AND(N1509&gt;0, AG1509&gt;0), IF(Configuración!$K$2="NO", "ALERTA: DESCUENTO DOBLE NO PERMITIDO", "OK"), "OK"))</f>
        <v/>
      </c>
      <c r="AR1509" s="79">
        <f>IF(AN1509="","",IF(OR(AO1509&lt;&gt;"OK", AP1509&lt;&gt;"OK", AQ1509&lt;&gt;"OK"), "⚠️ REVISAR", "OK"))</f>
        <v/>
      </c>
    </row>
    <row r="1510">
      <c r="A1510" s="79">
        <f>IF('Ordenes_Odoo'!A1510="","",'Ordenes_Odoo'!A1510)</f>
        <v/>
      </c>
      <c r="B1510" s="80">
        <f>IF('Ordenes_Odoo'!B1510="","",'Ordenes_Odoo'!B1510)</f>
        <v/>
      </c>
      <c r="C1510" s="79">
        <f>IF('Ordenes_Odoo'!C1510="","",'Ordenes_Odoo'!C1510)</f>
        <v/>
      </c>
      <c r="D1510" s="79">
        <f>IF('Ordenes_Odoo'!D1510="","",'Ordenes_Odoo'!D1510)</f>
        <v/>
      </c>
      <c r="E1510" s="79">
        <f>IF('Ordenes_Odoo'!E1510="","",'Ordenes_Odoo'!E1510)</f>
        <v/>
      </c>
      <c r="F1510" s="79">
        <f>IF('Ordenes_Odoo'!F1510="","",'Ordenes_Odoo'!F1510)</f>
        <v/>
      </c>
      <c r="G1510" s="79">
        <f>IF('Ordenes_Odoo'!G1510="","",'Ordenes_Odoo'!G1510)</f>
        <v/>
      </c>
      <c r="H1510" s="79">
        <f>IF('Ordenes_Odoo'!H1510="","",'Ordenes_Odoo'!H1510)</f>
        <v/>
      </c>
      <c r="I1510" s="79">
        <f>IF('Ordenes_Odoo'!I1510="","",'Ordenes_Odoo'!I1510)</f>
        <v/>
      </c>
      <c r="J1510" s="79">
        <f>IF('Ordenes_Odoo'!J1510="","",'Ordenes_Odoo'!J1510)</f>
        <v/>
      </c>
      <c r="K1510" s="81">
        <f>IF('Ordenes_Odoo'!K1510="","",'Ordenes_Odoo'!K1510)</f>
        <v/>
      </c>
      <c r="L1510" s="81">
        <f>IF('Ordenes_Odoo'!L1510="","",'Ordenes_Odoo'!L1510)</f>
        <v/>
      </c>
      <c r="M1510" s="79">
        <f>IF('Ordenes_Odoo'!M1510="","",'Ordenes_Odoo'!M1510)</f>
        <v/>
      </c>
      <c r="N1510" s="79">
        <f>IF('Ordenes_Odoo'!N1510="","",'Ordenes_Odoo'!N1510)</f>
        <v/>
      </c>
      <c r="O1510" s="81">
        <f>IF('Ordenes_Odoo'!O1510="","",'Ordenes_Odoo'!O1510)</f>
        <v/>
      </c>
      <c r="P1510" s="81">
        <f>IF('Ordenes_Odoo'!P1510="","",'Ordenes_Odoo'!P1510)</f>
        <v/>
      </c>
      <c r="Q1510" s="79">
        <f>IF(A1510="","",IFERROR(INDEX(Facturas_Odoo!$B:$B, MATCH(A1510, Facturas_Odoo!$D:$D, 0)), "Sin Factura"))</f>
        <v/>
      </c>
      <c r="R1510" s="80">
        <f>IF(Q1510="Sin Factura","",IFERROR(INDEX(Facturas_Odoo!$A:$A, MATCH(Q1510, Facturas_Odoo!$B:$B, 0)), ""))</f>
        <v/>
      </c>
      <c r="S1510" s="79">
        <f>IF(Q1510="Sin Factura","",IFERROR(_xlfn.XLOOKUP(1, (Facturas_Odoo!$D:$D=A1510) * (Facturas_Odoo!$K:$K=I1510), Facturas_Odoo!$L:$L, ""), ""))</f>
        <v/>
      </c>
      <c r="T1510" s="81">
        <f>IF(Q1510="Sin Factura",0,IFERROR(_xlfn.XLOOKUP(1, (Facturas_Odoo!$D:$D=A1510) * (Facturas_Odoo!$K:$K=I1510), Facturas_Odoo!$M:$M, 0), 0))</f>
        <v/>
      </c>
      <c r="U1510" s="79">
        <f>IF(Q1510="Sin Factura",0,IFERROR(_xlfn.XLOOKUP(1, (Facturas_Odoo!$D:$D=A1510) * (Facturas_Odoo!$K:$K=I1510), Facturas_Odoo!$N:$N, 0), 0))</f>
        <v/>
      </c>
      <c r="V1510" s="79">
        <f>IF(Q1510="Sin Factura",0,IFERROR(_xlfn.XLOOKUP(1, (Facturas_Odoo!$D:$D=A1510) * (Facturas_Odoo!$K:$K=I1510), Facturas_Odoo!$O:$O, 0), 0))</f>
        <v/>
      </c>
      <c r="W1510" s="81">
        <f>IF(Q1510="Sin Factura",0,IFERROR(_xlfn.XLOOKUP(1, (Facturas_Odoo!$D:$D=A1510) * (Facturas_Odoo!$K:$K=I1510), Facturas_Odoo!$Q:$Q, 0), 0))</f>
        <v/>
      </c>
      <c r="X1510" s="79">
        <f>IF(OR(Q1510="Sin Factura",Q1510=""),"",IFERROR(INDEX(Pagos_Odoo!$B:$B, MATCH(Q1510, Pagos_Odoo!$I:$I, 0)), "Sin Pago"))</f>
        <v/>
      </c>
      <c r="Y1510" s="79">
        <f>IF(X1510="Sin Pago","",IFERROR(INDEX(Pagos_Odoo!$C:$C, MATCH(X1510, Pagos_Odoo!$B:$B, 0)), ""))</f>
        <v/>
      </c>
      <c r="Z1510" s="80">
        <f>IF(X1510="Sin Pago","",IFERROR(INDEX(Pagos_Odoo!$A:$A, MATCH(X1510, Pagos_Odoo!$B:$B, 0)), ""))</f>
        <v/>
      </c>
      <c r="AA1510" s="79">
        <f>IF(X1510="Sin Pago","",IFERROR(INDEX(Pagos_Odoo!$F:$F, MATCH(X1510, Pagos_Odoo!$B:$B, 0)), ""))</f>
        <v/>
      </c>
      <c r="AB1510" s="81">
        <f>IF(X1510="Sin Pago",0,IFERROR(INDEX(Pagos_Odoo!$E:$E, MATCH(X1510, Pagos_Odoo!$B:$B, 0)), 0))</f>
        <v/>
      </c>
      <c r="AC1510" s="79">
        <f>IF(X1510="Sin Pago","",IFERROR(INDEX(Pagos_Odoo!$G:$G, MATCH(X1510, Pagos_Odoo!$B:$B, 0)), ""))</f>
        <v/>
      </c>
      <c r="AD1510" s="82" t="n">
        <v>0</v>
      </c>
      <c r="AE1510" s="82" t="n"/>
      <c r="AF1510" s="82" t="n"/>
      <c r="AG1510" s="82">
        <f>IF(AN1510="","",AD1510+AE1510+AF1510)</f>
        <v/>
      </c>
      <c r="AH1510" s="81">
        <f>IF(AN1510="","",P1510*(1-AG1510))</f>
        <v/>
      </c>
      <c r="AI1510" s="81">
        <f>IF(AN1510="","",IF(Q1510="Sin Factura",0,IFERROR(INDEX(Facturas_Odoo!$H:$H, MATCH(Q1510, Facturas_Odoo!$B:$B, 0)), 0)*(1-AG1510)))</f>
        <v/>
      </c>
      <c r="AJ1510" s="81">
        <f>IF(AN1510="","",_xlfn.LET(idVenta, AN1510&amp;"",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10" s="81">
        <f>IF(AN1510="","",AH1510-AJ1510)</f>
        <v/>
      </c>
      <c r="AL1510" s="81">
        <f>IF(AN1510="","",IF(Q1510="Sin Factura","",AI1510-AJ1510))</f>
        <v/>
      </c>
      <c r="AM1510" s="81">
        <f>IF(AN1510="","",IF(Q1510="Sin Factura",0,P1510-IFERROR(INDEX(Facturas_Odoo!$H:$H, MATCH(Q1510, Facturas_Odoo!$B:$B, 0)), 0)))</f>
        <v/>
      </c>
      <c r="AN1510" s="79">
        <f>IF(AND(A1510="", J1510=""), "", IF(A1510&lt;&gt;"", VALUE(MID(A1510,2,LEN(A1510))), AN1509))</f>
        <v/>
      </c>
      <c r="AO1510" s="79">
        <f>IF(AN1510="","",IF(AD1510=0,"OK",_xlfn.LET(monedaPago, IF(AA1510="","USD",AA1510), limitePermitido, IFERROR(VLOOKUP(monedaPago, Configuración!$A$2:$B$3, 2, FALSE), 0.15), IF(AD1510&gt;limitePermitido, "ALERTA: EXCESO (" &amp; TEXT(limitePermitido, "0%") &amp; " máx)", "OK"))))</f>
        <v/>
      </c>
      <c r="AP1510" s="79">
        <f>IF(AN1510="","",IF(AE1510=0,"OK",_xlfn.LET(fechaPago, Z1510, fechaFactura, R1510, diasCredito, IF(E1510="Pago inmediato", 0, IFERROR(VALUE(MID(E1510, 1, SEARCH(" ", E1510)-1)),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10" s="79">
        <f>IF(AN1510="","",IF(AND(N1510&gt;0, AG1510&gt;0), IF(Configuración!$K$2="NO", "ALERTA: DESCUENTO DOBLE NO PERMITIDO", "OK"), "OK"))</f>
        <v/>
      </c>
      <c r="AR1510" s="79">
        <f>IF(AN1510="","",IF(OR(AO1510&lt;&gt;"OK", AP1510&lt;&gt;"OK", AQ1510&lt;&gt;"OK"), "⚠️ REVISAR", "OK"))</f>
        <v/>
      </c>
    </row>
    <row r="1511">
      <c r="A1511" s="79">
        <f>IF('Ordenes_Odoo'!A1511="","",'Ordenes_Odoo'!A1511)</f>
        <v/>
      </c>
      <c r="B1511" s="80">
        <f>IF('Ordenes_Odoo'!B1511="","",'Ordenes_Odoo'!B1511)</f>
        <v/>
      </c>
      <c r="C1511" s="79">
        <f>IF('Ordenes_Odoo'!C1511="","",'Ordenes_Odoo'!C1511)</f>
        <v/>
      </c>
      <c r="D1511" s="79">
        <f>IF('Ordenes_Odoo'!D1511="","",'Ordenes_Odoo'!D1511)</f>
        <v/>
      </c>
      <c r="E1511" s="79">
        <f>IF('Ordenes_Odoo'!E1511="","",'Ordenes_Odoo'!E1511)</f>
        <v/>
      </c>
      <c r="F1511" s="79">
        <f>IF('Ordenes_Odoo'!F1511="","",'Ordenes_Odoo'!F1511)</f>
        <v/>
      </c>
      <c r="G1511" s="79">
        <f>IF('Ordenes_Odoo'!G1511="","",'Ordenes_Odoo'!G1511)</f>
        <v/>
      </c>
      <c r="H1511" s="79">
        <f>IF('Ordenes_Odoo'!H1511="","",'Ordenes_Odoo'!H1511)</f>
        <v/>
      </c>
      <c r="I1511" s="79">
        <f>IF('Ordenes_Odoo'!I1511="","",'Ordenes_Odoo'!I1511)</f>
        <v/>
      </c>
      <c r="J1511" s="79">
        <f>IF('Ordenes_Odoo'!J1511="","",'Ordenes_Odoo'!J1511)</f>
        <v/>
      </c>
      <c r="K1511" s="81">
        <f>IF('Ordenes_Odoo'!K1511="","",'Ordenes_Odoo'!K1511)</f>
        <v/>
      </c>
      <c r="L1511" s="81">
        <f>IF('Ordenes_Odoo'!L1511="","",'Ordenes_Odoo'!L1511)</f>
        <v/>
      </c>
      <c r="M1511" s="79">
        <f>IF('Ordenes_Odoo'!M1511="","",'Ordenes_Odoo'!M1511)</f>
        <v/>
      </c>
      <c r="N1511" s="79">
        <f>IF('Ordenes_Odoo'!N1511="","",'Ordenes_Odoo'!N1511)</f>
        <v/>
      </c>
      <c r="O1511" s="81">
        <f>IF('Ordenes_Odoo'!O1511="","",'Ordenes_Odoo'!O1511)</f>
        <v/>
      </c>
      <c r="P1511" s="81">
        <f>IF('Ordenes_Odoo'!P1511="","",'Ordenes_Odoo'!P1511)</f>
        <v/>
      </c>
      <c r="Q1511" s="79">
        <f>IF(A1511="","",IFERROR(INDEX(Facturas_Odoo!$B:$B, MATCH(A1511, Facturas_Odoo!$D:$D, 0)), "Sin Factura"))</f>
        <v/>
      </c>
      <c r="R1511" s="80">
        <f>IF(Q1511="Sin Factura","",IFERROR(INDEX(Facturas_Odoo!$A:$A, MATCH(Q1511, Facturas_Odoo!$B:$B, 0)), ""))</f>
        <v/>
      </c>
      <c r="S1511" s="79">
        <f>IF(Q1511="Sin Factura","",IFERROR(_xlfn.XLOOKUP(1, (Facturas_Odoo!$D:$D=A1511) * (Facturas_Odoo!$K:$K=I1511), Facturas_Odoo!$L:$L, ""), ""))</f>
        <v/>
      </c>
      <c r="T1511" s="81">
        <f>IF(Q1511="Sin Factura",0,IFERROR(_xlfn.XLOOKUP(1, (Facturas_Odoo!$D:$D=A1511) * (Facturas_Odoo!$K:$K=I1511), Facturas_Odoo!$M:$M, 0), 0))</f>
        <v/>
      </c>
      <c r="U1511" s="79">
        <f>IF(Q1511="Sin Factura",0,IFERROR(_xlfn.XLOOKUP(1, (Facturas_Odoo!$D:$D=A1511) * (Facturas_Odoo!$K:$K=I1511), Facturas_Odoo!$N:$N, 0), 0))</f>
        <v/>
      </c>
      <c r="V1511" s="79">
        <f>IF(Q1511="Sin Factura",0,IFERROR(_xlfn.XLOOKUP(1, (Facturas_Odoo!$D:$D=A1511) * (Facturas_Odoo!$K:$K=I1511), Facturas_Odoo!$O:$O, 0), 0))</f>
        <v/>
      </c>
      <c r="W1511" s="81">
        <f>IF(Q1511="Sin Factura",0,IFERROR(_xlfn.XLOOKUP(1, (Facturas_Odoo!$D:$D=A1511) * (Facturas_Odoo!$K:$K=I1511), Facturas_Odoo!$Q:$Q, 0), 0))</f>
        <v/>
      </c>
      <c r="X1511" s="79">
        <f>IF(OR(Q1511="Sin Factura",Q1511=""),"",IFERROR(INDEX(Pagos_Odoo!$B:$B, MATCH(Q1511, Pagos_Odoo!$I:$I, 0)), "Sin Pago"))</f>
        <v/>
      </c>
      <c r="Y1511" s="79">
        <f>IF(X1511="Sin Pago","",IFERROR(INDEX(Pagos_Odoo!$C:$C, MATCH(X1511, Pagos_Odoo!$B:$B, 0)), ""))</f>
        <v/>
      </c>
      <c r="Z1511" s="80">
        <f>IF(X1511="Sin Pago","",IFERROR(INDEX(Pagos_Odoo!$A:$A, MATCH(X1511, Pagos_Odoo!$B:$B, 0)), ""))</f>
        <v/>
      </c>
      <c r="AA1511" s="79">
        <f>IF(X1511="Sin Pago","",IFERROR(INDEX(Pagos_Odoo!$F:$F, MATCH(X1511, Pagos_Odoo!$B:$B, 0)), ""))</f>
        <v/>
      </c>
      <c r="AB1511" s="81">
        <f>IF(X1511="Sin Pago",0,IFERROR(INDEX(Pagos_Odoo!$E:$E, MATCH(X1511, Pagos_Odoo!$B:$B, 0)), 0))</f>
        <v/>
      </c>
      <c r="AC1511" s="79">
        <f>IF(X1511="Sin Pago","",IFERROR(INDEX(Pagos_Odoo!$G:$G, MATCH(X1511, Pagos_Odoo!$B:$B, 0)), ""))</f>
        <v/>
      </c>
      <c r="AD1511" s="82" t="n">
        <v>0</v>
      </c>
      <c r="AE1511" s="82" t="n"/>
      <c r="AF1511" s="82" t="n"/>
      <c r="AG1511" s="82">
        <f>IF(AN1511="","",AD1511+AE1511+AF1511)</f>
        <v/>
      </c>
      <c r="AH1511" s="81">
        <f>IF(AN1511="","",P1511*(1-AG1511))</f>
        <v/>
      </c>
      <c r="AI1511" s="81">
        <f>IF(AN1511="","",IF(Q1511="Sin Factura",0,IFERROR(INDEX(Facturas_Odoo!$H:$H, MATCH(Q1511, Facturas_Odoo!$B:$B, 0)), 0)*(1-AG1511)))</f>
        <v/>
      </c>
      <c r="AJ1511" s="81">
        <f>IF(AN1511="","",_xlfn.LET(idVenta, AN1511&amp;"",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11" s="81">
        <f>IF(AN1511="","",AH1511-AJ1511)</f>
        <v/>
      </c>
      <c r="AL1511" s="81">
        <f>IF(AN1511="","",IF(Q1511="Sin Factura","",AI1511-AJ1511))</f>
        <v/>
      </c>
      <c r="AM1511" s="81">
        <f>IF(AN1511="","",IF(Q1511="Sin Factura",0,P1511-IFERROR(INDEX(Facturas_Odoo!$H:$H, MATCH(Q1511, Facturas_Odoo!$B:$B, 0)), 0)))</f>
        <v/>
      </c>
      <c r="AN1511" s="79">
        <f>IF(AND(A1511="", J1511=""), "", IF(A1511&lt;&gt;"", VALUE(MID(A1511,2,LEN(A1511))), AN1510))</f>
        <v/>
      </c>
      <c r="AO1511" s="79">
        <f>IF(AN1511="","",IF(AD1511=0,"OK",_xlfn.LET(monedaPago, IF(AA1511="","USD",AA1511), limitePermitido, IFERROR(VLOOKUP(monedaPago, Configuración!$A$2:$B$3, 2, FALSE), 0.15), IF(AD1511&gt;limitePermitido, "ALERTA: EXCESO (" &amp; TEXT(limitePermitido, "0%") &amp; " máx)", "OK"))))</f>
        <v/>
      </c>
      <c r="AP1511" s="79">
        <f>IF(AN1511="","",IF(AE1511=0,"OK",_xlfn.LET(fechaPago, Z1511, fechaFactura, R1511, diasCredito, IF(E1511="Pago inmediato", 0, IFERROR(VALUE(MID(E1511, 1, SEARCH(" ", E1511)-1)),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11" s="79">
        <f>IF(AN1511="","",IF(AND(N1511&gt;0, AG1511&gt;0), IF(Configuración!$K$2="NO", "ALERTA: DESCUENTO DOBLE NO PERMITIDO", "OK"), "OK"))</f>
        <v/>
      </c>
      <c r="AR1511" s="79">
        <f>IF(AN1511="","",IF(OR(AO1511&lt;&gt;"OK", AP1511&lt;&gt;"OK", AQ1511&lt;&gt;"OK"), "⚠️ REVISAR", "OK"))</f>
        <v/>
      </c>
    </row>
    <row r="1512">
      <c r="A1512" s="79">
        <f>IF('Ordenes_Odoo'!A1512="","",'Ordenes_Odoo'!A1512)</f>
        <v/>
      </c>
      <c r="B1512" s="80">
        <f>IF('Ordenes_Odoo'!B1512="","",'Ordenes_Odoo'!B1512)</f>
        <v/>
      </c>
      <c r="C1512" s="79">
        <f>IF('Ordenes_Odoo'!C1512="","",'Ordenes_Odoo'!C1512)</f>
        <v/>
      </c>
      <c r="D1512" s="79">
        <f>IF('Ordenes_Odoo'!D1512="","",'Ordenes_Odoo'!D1512)</f>
        <v/>
      </c>
      <c r="E1512" s="79">
        <f>IF('Ordenes_Odoo'!E1512="","",'Ordenes_Odoo'!E1512)</f>
        <v/>
      </c>
      <c r="F1512" s="79">
        <f>IF('Ordenes_Odoo'!F1512="","",'Ordenes_Odoo'!F1512)</f>
        <v/>
      </c>
      <c r="G1512" s="79">
        <f>IF('Ordenes_Odoo'!G1512="","",'Ordenes_Odoo'!G1512)</f>
        <v/>
      </c>
      <c r="H1512" s="79">
        <f>IF('Ordenes_Odoo'!H1512="","",'Ordenes_Odoo'!H1512)</f>
        <v/>
      </c>
      <c r="I1512" s="79">
        <f>IF('Ordenes_Odoo'!I1512="","",'Ordenes_Odoo'!I1512)</f>
        <v/>
      </c>
      <c r="J1512" s="79">
        <f>IF('Ordenes_Odoo'!J1512="","",'Ordenes_Odoo'!J1512)</f>
        <v/>
      </c>
      <c r="K1512" s="81">
        <f>IF('Ordenes_Odoo'!K1512="","",'Ordenes_Odoo'!K1512)</f>
        <v/>
      </c>
      <c r="L1512" s="81">
        <f>IF('Ordenes_Odoo'!L1512="","",'Ordenes_Odoo'!L1512)</f>
        <v/>
      </c>
      <c r="M1512" s="79">
        <f>IF('Ordenes_Odoo'!M1512="","",'Ordenes_Odoo'!M1512)</f>
        <v/>
      </c>
      <c r="N1512" s="79">
        <f>IF('Ordenes_Odoo'!N1512="","",'Ordenes_Odoo'!N1512)</f>
        <v/>
      </c>
      <c r="O1512" s="81">
        <f>IF('Ordenes_Odoo'!O1512="","",'Ordenes_Odoo'!O1512)</f>
        <v/>
      </c>
      <c r="P1512" s="81">
        <f>IF('Ordenes_Odoo'!P1512="","",'Ordenes_Odoo'!P1512)</f>
        <v/>
      </c>
      <c r="Q1512" s="79">
        <f>IF(A1512="","",IFERROR(INDEX(Facturas_Odoo!$B:$B, MATCH(A1512, Facturas_Odoo!$D:$D, 0)), "Sin Factura"))</f>
        <v/>
      </c>
      <c r="R1512" s="80">
        <f>IF(Q1512="Sin Factura","",IFERROR(INDEX(Facturas_Odoo!$A:$A, MATCH(Q1512, Facturas_Odoo!$B:$B, 0)), ""))</f>
        <v/>
      </c>
      <c r="S1512" s="79">
        <f>IF(Q1512="Sin Factura","",IFERROR(_xlfn.XLOOKUP(1, (Facturas_Odoo!$D:$D=A1512) * (Facturas_Odoo!$K:$K=I1512), Facturas_Odoo!$L:$L, ""), ""))</f>
        <v/>
      </c>
      <c r="T1512" s="81">
        <f>IF(Q1512="Sin Factura",0,IFERROR(_xlfn.XLOOKUP(1, (Facturas_Odoo!$D:$D=A1512) * (Facturas_Odoo!$K:$K=I1512), Facturas_Odoo!$M:$M, 0), 0))</f>
        <v/>
      </c>
      <c r="U1512" s="79">
        <f>IF(Q1512="Sin Factura",0,IFERROR(_xlfn.XLOOKUP(1, (Facturas_Odoo!$D:$D=A1512) * (Facturas_Odoo!$K:$K=I1512), Facturas_Odoo!$N:$N, 0), 0))</f>
        <v/>
      </c>
      <c r="V1512" s="79">
        <f>IF(Q1512="Sin Factura",0,IFERROR(_xlfn.XLOOKUP(1, (Facturas_Odoo!$D:$D=A1512) * (Facturas_Odoo!$K:$K=I1512), Facturas_Odoo!$O:$O, 0), 0))</f>
        <v/>
      </c>
      <c r="W1512" s="81">
        <f>IF(Q1512="Sin Factura",0,IFERROR(_xlfn.XLOOKUP(1, (Facturas_Odoo!$D:$D=A1512) * (Facturas_Odoo!$K:$K=I1512), Facturas_Odoo!$Q:$Q, 0), 0))</f>
        <v/>
      </c>
      <c r="X1512" s="79">
        <f>IF(OR(Q1512="Sin Factura",Q1512=""),"",IFERROR(INDEX(Pagos_Odoo!$B:$B, MATCH(Q1512, Pagos_Odoo!$I:$I, 0)), "Sin Pago"))</f>
        <v/>
      </c>
      <c r="Y1512" s="79">
        <f>IF(X1512="Sin Pago","",IFERROR(INDEX(Pagos_Odoo!$C:$C, MATCH(X1512, Pagos_Odoo!$B:$B, 0)), ""))</f>
        <v/>
      </c>
      <c r="Z1512" s="80">
        <f>IF(X1512="Sin Pago","",IFERROR(INDEX(Pagos_Odoo!$A:$A, MATCH(X1512, Pagos_Odoo!$B:$B, 0)), ""))</f>
        <v/>
      </c>
      <c r="AA1512" s="79">
        <f>IF(X1512="Sin Pago","",IFERROR(INDEX(Pagos_Odoo!$F:$F, MATCH(X1512, Pagos_Odoo!$B:$B, 0)), ""))</f>
        <v/>
      </c>
      <c r="AB1512" s="81">
        <f>IF(X1512="Sin Pago",0,IFERROR(INDEX(Pagos_Odoo!$E:$E, MATCH(X1512, Pagos_Odoo!$B:$B, 0)), 0))</f>
        <v/>
      </c>
      <c r="AC1512" s="79">
        <f>IF(X1512="Sin Pago","",IFERROR(INDEX(Pagos_Odoo!$G:$G, MATCH(X1512, Pagos_Odoo!$B:$B, 0)), ""))</f>
        <v/>
      </c>
      <c r="AD1512" s="82" t="n">
        <v>0</v>
      </c>
      <c r="AE1512" s="82" t="n"/>
      <c r="AF1512" s="82" t="n"/>
      <c r="AG1512" s="82">
        <f>IF(AN1512="","",AD1512+AE1512+AF1512)</f>
        <v/>
      </c>
      <c r="AH1512" s="81">
        <f>IF(AN1512="","",P1512*(1-AG1512))</f>
        <v/>
      </c>
      <c r="AI1512" s="81">
        <f>IF(AN1512="","",IF(Q1512="Sin Factura",0,IFERROR(INDEX(Facturas_Odoo!$H:$H, MATCH(Q1512, Facturas_Odoo!$B:$B, 0)), 0)*(1-AG1512)))</f>
        <v/>
      </c>
      <c r="AJ1512" s="81">
        <f>IF(AN1512="","",_xlfn.LET(idVenta, AN1512&amp;"",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12" s="81">
        <f>IF(AN1512="","",AH1512-AJ1512)</f>
        <v/>
      </c>
      <c r="AL1512" s="81">
        <f>IF(AN1512="","",IF(Q1512="Sin Factura","",AI1512-AJ1512))</f>
        <v/>
      </c>
      <c r="AM1512" s="81">
        <f>IF(AN1512="","",IF(Q1512="Sin Factura",0,P1512-IFERROR(INDEX(Facturas_Odoo!$H:$H, MATCH(Q1512, Facturas_Odoo!$B:$B, 0)), 0)))</f>
        <v/>
      </c>
      <c r="AN1512" s="79">
        <f>IF(AND(A1512="", J1512=""), "", IF(A1512&lt;&gt;"", VALUE(MID(A1512,2,LEN(A1512))), AN1511))</f>
        <v/>
      </c>
      <c r="AO1512" s="79">
        <f>IF(AN1512="","",IF(AD1512=0,"OK",_xlfn.LET(monedaPago, IF(AA1512="","USD",AA1512), limitePermitido, IFERROR(VLOOKUP(monedaPago, Configuración!$A$2:$B$3, 2, FALSE), 0.15), IF(AD1512&gt;limitePermitido, "ALERTA: EXCESO (" &amp; TEXT(limitePermitido, "0%") &amp; " máx)", "OK"))))</f>
        <v/>
      </c>
      <c r="AP1512" s="79">
        <f>IF(AN1512="","",IF(AE1512=0,"OK",_xlfn.LET(fechaPago, Z1512, fechaFactura, R1512, diasCredito, IF(E1512="Pago inmediato", 0, IFERROR(VALUE(MID(E1512, 1, SEARCH(" ", E1512)-1)),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12" s="79">
        <f>IF(AN1512="","",IF(AND(N1512&gt;0, AG1512&gt;0), IF(Configuración!$K$2="NO", "ALERTA: DESCUENTO DOBLE NO PERMITIDO", "OK"), "OK"))</f>
        <v/>
      </c>
      <c r="AR1512" s="79">
        <f>IF(AN1512="","",IF(OR(AO1512&lt;&gt;"OK", AP1512&lt;&gt;"OK", AQ1512&lt;&gt;"OK"), "⚠️ REVISAR", "OK"))</f>
        <v/>
      </c>
    </row>
    <row r="1513">
      <c r="A1513" s="79">
        <f>IF('Ordenes_Odoo'!A1513="","",'Ordenes_Odoo'!A1513)</f>
        <v/>
      </c>
      <c r="B1513" s="80">
        <f>IF('Ordenes_Odoo'!B1513="","",'Ordenes_Odoo'!B1513)</f>
        <v/>
      </c>
      <c r="C1513" s="79">
        <f>IF('Ordenes_Odoo'!C1513="","",'Ordenes_Odoo'!C1513)</f>
        <v/>
      </c>
      <c r="D1513" s="79">
        <f>IF('Ordenes_Odoo'!D1513="","",'Ordenes_Odoo'!D1513)</f>
        <v/>
      </c>
      <c r="E1513" s="79">
        <f>IF('Ordenes_Odoo'!E1513="","",'Ordenes_Odoo'!E1513)</f>
        <v/>
      </c>
      <c r="F1513" s="79">
        <f>IF('Ordenes_Odoo'!F1513="","",'Ordenes_Odoo'!F1513)</f>
        <v/>
      </c>
      <c r="G1513" s="79">
        <f>IF('Ordenes_Odoo'!G1513="","",'Ordenes_Odoo'!G1513)</f>
        <v/>
      </c>
      <c r="H1513" s="79">
        <f>IF('Ordenes_Odoo'!H1513="","",'Ordenes_Odoo'!H1513)</f>
        <v/>
      </c>
      <c r="I1513" s="79">
        <f>IF('Ordenes_Odoo'!I1513="","",'Ordenes_Odoo'!I1513)</f>
        <v/>
      </c>
      <c r="J1513" s="79">
        <f>IF('Ordenes_Odoo'!J1513="","",'Ordenes_Odoo'!J1513)</f>
        <v/>
      </c>
      <c r="K1513" s="81">
        <f>IF('Ordenes_Odoo'!K1513="","",'Ordenes_Odoo'!K1513)</f>
        <v/>
      </c>
      <c r="L1513" s="81">
        <f>IF('Ordenes_Odoo'!L1513="","",'Ordenes_Odoo'!L1513)</f>
        <v/>
      </c>
      <c r="M1513" s="79">
        <f>IF('Ordenes_Odoo'!M1513="","",'Ordenes_Odoo'!M1513)</f>
        <v/>
      </c>
      <c r="N1513" s="79">
        <f>IF('Ordenes_Odoo'!N1513="","",'Ordenes_Odoo'!N1513)</f>
        <v/>
      </c>
      <c r="O1513" s="81">
        <f>IF('Ordenes_Odoo'!O1513="","",'Ordenes_Odoo'!O1513)</f>
        <v/>
      </c>
      <c r="P1513" s="81">
        <f>IF('Ordenes_Odoo'!P1513="","",'Ordenes_Odoo'!P1513)</f>
        <v/>
      </c>
      <c r="Q1513" s="79">
        <f>IF(A1513="","",IFERROR(INDEX(Facturas_Odoo!$B:$B, MATCH(A1513, Facturas_Odoo!$D:$D, 0)), "Sin Factura"))</f>
        <v/>
      </c>
      <c r="R1513" s="80">
        <f>IF(Q1513="Sin Factura","",IFERROR(INDEX(Facturas_Odoo!$A:$A, MATCH(Q1513, Facturas_Odoo!$B:$B, 0)), ""))</f>
        <v/>
      </c>
      <c r="S1513" s="79">
        <f>IF(Q1513="Sin Factura","",IFERROR(_xlfn.XLOOKUP(1, (Facturas_Odoo!$D:$D=A1513) * (Facturas_Odoo!$K:$K=I1513), Facturas_Odoo!$L:$L, ""), ""))</f>
        <v/>
      </c>
      <c r="T1513" s="81">
        <f>IF(Q1513="Sin Factura",0,IFERROR(_xlfn.XLOOKUP(1, (Facturas_Odoo!$D:$D=A1513) * (Facturas_Odoo!$K:$K=I1513), Facturas_Odoo!$M:$M, 0), 0))</f>
        <v/>
      </c>
      <c r="U1513" s="79">
        <f>IF(Q1513="Sin Factura",0,IFERROR(_xlfn.XLOOKUP(1, (Facturas_Odoo!$D:$D=A1513) * (Facturas_Odoo!$K:$K=I1513), Facturas_Odoo!$N:$N, 0), 0))</f>
        <v/>
      </c>
      <c r="V1513" s="79">
        <f>IF(Q1513="Sin Factura",0,IFERROR(_xlfn.XLOOKUP(1, (Facturas_Odoo!$D:$D=A1513) * (Facturas_Odoo!$K:$K=I1513), Facturas_Odoo!$O:$O, 0), 0))</f>
        <v/>
      </c>
      <c r="W1513" s="81">
        <f>IF(Q1513="Sin Factura",0,IFERROR(_xlfn.XLOOKUP(1, (Facturas_Odoo!$D:$D=A1513) * (Facturas_Odoo!$K:$K=I1513), Facturas_Odoo!$Q:$Q, 0), 0))</f>
        <v/>
      </c>
      <c r="X1513" s="79">
        <f>IF(OR(Q1513="Sin Factura",Q1513=""),"",IFERROR(INDEX(Pagos_Odoo!$B:$B, MATCH(Q1513, Pagos_Odoo!$I:$I, 0)), "Sin Pago"))</f>
        <v/>
      </c>
      <c r="Y1513" s="79">
        <f>IF(X1513="Sin Pago","",IFERROR(INDEX(Pagos_Odoo!$C:$C, MATCH(X1513, Pagos_Odoo!$B:$B, 0)), ""))</f>
        <v/>
      </c>
      <c r="Z1513" s="80">
        <f>IF(X1513="Sin Pago","",IFERROR(INDEX(Pagos_Odoo!$A:$A, MATCH(X1513, Pagos_Odoo!$B:$B, 0)), ""))</f>
        <v/>
      </c>
      <c r="AA1513" s="79">
        <f>IF(X1513="Sin Pago","",IFERROR(INDEX(Pagos_Odoo!$F:$F, MATCH(X1513, Pagos_Odoo!$B:$B, 0)), ""))</f>
        <v/>
      </c>
      <c r="AB1513" s="81">
        <f>IF(X1513="Sin Pago",0,IFERROR(INDEX(Pagos_Odoo!$E:$E, MATCH(X1513, Pagos_Odoo!$B:$B, 0)), 0))</f>
        <v/>
      </c>
      <c r="AC1513" s="79">
        <f>IF(X1513="Sin Pago","",IFERROR(INDEX(Pagos_Odoo!$G:$G, MATCH(X1513, Pagos_Odoo!$B:$B, 0)), ""))</f>
        <v/>
      </c>
      <c r="AD1513" s="82" t="n">
        <v>0</v>
      </c>
      <c r="AE1513" s="82" t="n"/>
      <c r="AF1513" s="82" t="n"/>
      <c r="AG1513" s="82">
        <f>IF(AN1513="","",AD1513+AE1513+AF1513)</f>
        <v/>
      </c>
      <c r="AH1513" s="81">
        <f>IF(AN1513="","",P1513*(1-AG1513))</f>
        <v/>
      </c>
      <c r="AI1513" s="81">
        <f>IF(AN1513="","",IF(Q1513="Sin Factura",0,IFERROR(INDEX(Facturas_Odoo!$H:$H, MATCH(Q1513, Facturas_Odoo!$B:$B, 0)), 0)*(1-AG1513)))</f>
        <v/>
      </c>
      <c r="AJ1513" s="81">
        <f>IF(AN1513="","",_xlfn.LET(idVenta, AN1513&amp;"",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13" s="81">
        <f>IF(AN1513="","",AH1513-AJ1513)</f>
        <v/>
      </c>
      <c r="AL1513" s="81">
        <f>IF(AN1513="","",IF(Q1513="Sin Factura","",AI1513-AJ1513))</f>
        <v/>
      </c>
      <c r="AM1513" s="81">
        <f>IF(AN1513="","",IF(Q1513="Sin Factura",0,P1513-IFERROR(INDEX(Facturas_Odoo!$H:$H, MATCH(Q1513, Facturas_Odoo!$B:$B, 0)), 0)))</f>
        <v/>
      </c>
      <c r="AN1513" s="79">
        <f>IF(AND(A1513="", J1513=""), "", IF(A1513&lt;&gt;"", VALUE(MID(A1513,2,LEN(A1513))), AN1512))</f>
        <v/>
      </c>
      <c r="AO1513" s="79">
        <f>IF(AN1513="","",IF(AD1513=0,"OK",_xlfn.LET(monedaPago, IF(AA1513="","USD",AA1513), limitePermitido, IFERROR(VLOOKUP(monedaPago, Configuración!$A$2:$B$3, 2, FALSE), 0.15), IF(AD1513&gt;limitePermitido, "ALERTA: EXCESO (" &amp; TEXT(limitePermitido, "0%") &amp; " máx)", "OK"))))</f>
        <v/>
      </c>
      <c r="AP1513" s="79">
        <f>IF(AN1513="","",IF(AE1513=0,"OK",_xlfn.LET(fechaPago, Z1513, fechaFactura, R1513, diasCredito, IF(E1513="Pago inmediato", 0, IFERROR(VALUE(MID(E1513, 1, SEARCH(" ", E1513)-1)),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13" s="79">
        <f>IF(AN1513="","",IF(AND(N1513&gt;0, AG1513&gt;0), IF(Configuración!$K$2="NO", "ALERTA: DESCUENTO DOBLE NO PERMITIDO", "OK"), "OK"))</f>
        <v/>
      </c>
      <c r="AR1513" s="79">
        <f>IF(AN1513="","",IF(OR(AO1513&lt;&gt;"OK", AP1513&lt;&gt;"OK", AQ1513&lt;&gt;"OK"), "⚠️ REVISAR", "OK"))</f>
        <v/>
      </c>
    </row>
    <row r="1514">
      <c r="A1514" s="79">
        <f>IF('Ordenes_Odoo'!A1514="","",'Ordenes_Odoo'!A1514)</f>
        <v/>
      </c>
      <c r="B1514" s="80">
        <f>IF('Ordenes_Odoo'!B1514="","",'Ordenes_Odoo'!B1514)</f>
        <v/>
      </c>
      <c r="C1514" s="79">
        <f>IF('Ordenes_Odoo'!C1514="","",'Ordenes_Odoo'!C1514)</f>
        <v/>
      </c>
      <c r="D1514" s="79">
        <f>IF('Ordenes_Odoo'!D1514="","",'Ordenes_Odoo'!D1514)</f>
        <v/>
      </c>
      <c r="E1514" s="79">
        <f>IF('Ordenes_Odoo'!E1514="","",'Ordenes_Odoo'!E1514)</f>
        <v/>
      </c>
      <c r="F1514" s="79">
        <f>IF('Ordenes_Odoo'!F1514="","",'Ordenes_Odoo'!F1514)</f>
        <v/>
      </c>
      <c r="G1514" s="79">
        <f>IF('Ordenes_Odoo'!G1514="","",'Ordenes_Odoo'!G1514)</f>
        <v/>
      </c>
      <c r="H1514" s="79">
        <f>IF('Ordenes_Odoo'!H1514="","",'Ordenes_Odoo'!H1514)</f>
        <v/>
      </c>
      <c r="I1514" s="79">
        <f>IF('Ordenes_Odoo'!I1514="","",'Ordenes_Odoo'!I1514)</f>
        <v/>
      </c>
      <c r="J1514" s="79">
        <f>IF('Ordenes_Odoo'!J1514="","",'Ordenes_Odoo'!J1514)</f>
        <v/>
      </c>
      <c r="K1514" s="81">
        <f>IF('Ordenes_Odoo'!K1514="","",'Ordenes_Odoo'!K1514)</f>
        <v/>
      </c>
      <c r="L1514" s="81">
        <f>IF('Ordenes_Odoo'!L1514="","",'Ordenes_Odoo'!L1514)</f>
        <v/>
      </c>
      <c r="M1514" s="79">
        <f>IF('Ordenes_Odoo'!M1514="","",'Ordenes_Odoo'!M1514)</f>
        <v/>
      </c>
      <c r="N1514" s="79">
        <f>IF('Ordenes_Odoo'!N1514="","",'Ordenes_Odoo'!N1514)</f>
        <v/>
      </c>
      <c r="O1514" s="81">
        <f>IF('Ordenes_Odoo'!O1514="","",'Ordenes_Odoo'!O1514)</f>
        <v/>
      </c>
      <c r="P1514" s="81">
        <f>IF('Ordenes_Odoo'!P1514="","",'Ordenes_Odoo'!P1514)</f>
        <v/>
      </c>
      <c r="Q1514" s="79">
        <f>IF(A1514="","",IFERROR(INDEX(Facturas_Odoo!$B:$B, MATCH(A1514, Facturas_Odoo!$D:$D, 0)), "Sin Factura"))</f>
        <v/>
      </c>
      <c r="R1514" s="80">
        <f>IF(Q1514="Sin Factura","",IFERROR(INDEX(Facturas_Odoo!$A:$A, MATCH(Q1514, Facturas_Odoo!$B:$B, 0)), ""))</f>
        <v/>
      </c>
      <c r="S1514" s="79">
        <f>IF(Q1514="Sin Factura","",IFERROR(_xlfn.XLOOKUP(1, (Facturas_Odoo!$D:$D=A1514) * (Facturas_Odoo!$K:$K=I1514), Facturas_Odoo!$L:$L, ""), ""))</f>
        <v/>
      </c>
      <c r="T1514" s="81">
        <f>IF(Q1514="Sin Factura",0,IFERROR(_xlfn.XLOOKUP(1, (Facturas_Odoo!$D:$D=A1514) * (Facturas_Odoo!$K:$K=I1514), Facturas_Odoo!$M:$M, 0), 0))</f>
        <v/>
      </c>
      <c r="U1514" s="79">
        <f>IF(Q1514="Sin Factura",0,IFERROR(_xlfn.XLOOKUP(1, (Facturas_Odoo!$D:$D=A1514) * (Facturas_Odoo!$K:$K=I1514), Facturas_Odoo!$N:$N, 0), 0))</f>
        <v/>
      </c>
      <c r="V1514" s="79">
        <f>IF(Q1514="Sin Factura",0,IFERROR(_xlfn.XLOOKUP(1, (Facturas_Odoo!$D:$D=A1514) * (Facturas_Odoo!$K:$K=I1514), Facturas_Odoo!$O:$O, 0), 0))</f>
        <v/>
      </c>
      <c r="W1514" s="81">
        <f>IF(Q1514="Sin Factura",0,IFERROR(_xlfn.XLOOKUP(1, (Facturas_Odoo!$D:$D=A1514) * (Facturas_Odoo!$K:$K=I1514), Facturas_Odoo!$Q:$Q, 0), 0))</f>
        <v/>
      </c>
      <c r="X1514" s="79">
        <f>IF(OR(Q1514="Sin Factura",Q1514=""),"",IFERROR(INDEX(Pagos_Odoo!$B:$B, MATCH(Q1514, Pagos_Odoo!$I:$I, 0)), "Sin Pago"))</f>
        <v/>
      </c>
      <c r="Y1514" s="79">
        <f>IF(X1514="Sin Pago","",IFERROR(INDEX(Pagos_Odoo!$C:$C, MATCH(X1514, Pagos_Odoo!$B:$B, 0)), ""))</f>
        <v/>
      </c>
      <c r="Z1514" s="80">
        <f>IF(X1514="Sin Pago","",IFERROR(INDEX(Pagos_Odoo!$A:$A, MATCH(X1514, Pagos_Odoo!$B:$B, 0)), ""))</f>
        <v/>
      </c>
      <c r="AA1514" s="79">
        <f>IF(X1514="Sin Pago","",IFERROR(INDEX(Pagos_Odoo!$F:$F, MATCH(X1514, Pagos_Odoo!$B:$B, 0)), ""))</f>
        <v/>
      </c>
      <c r="AB1514" s="81">
        <f>IF(X1514="Sin Pago",0,IFERROR(INDEX(Pagos_Odoo!$E:$E, MATCH(X1514, Pagos_Odoo!$B:$B, 0)), 0))</f>
        <v/>
      </c>
      <c r="AC1514" s="79">
        <f>IF(X1514="Sin Pago","",IFERROR(INDEX(Pagos_Odoo!$G:$G, MATCH(X1514, Pagos_Odoo!$B:$B, 0)), ""))</f>
        <v/>
      </c>
      <c r="AD1514" s="82" t="n">
        <v>0</v>
      </c>
      <c r="AE1514" s="82" t="n"/>
      <c r="AF1514" s="82" t="n"/>
      <c r="AG1514" s="82">
        <f>IF(AN1514="","",AD1514+AE1514+AF1514)</f>
        <v/>
      </c>
      <c r="AH1514" s="81">
        <f>IF(AN1514="","",P1514*(1-AG1514))</f>
        <v/>
      </c>
      <c r="AI1514" s="81">
        <f>IF(AN1514="","",IF(Q1514="Sin Factura",0,IFERROR(INDEX(Facturas_Odoo!$H:$H, MATCH(Q1514, Facturas_Odoo!$B:$B, 0)), 0)*(1-AG1514)))</f>
        <v/>
      </c>
      <c r="AJ1514" s="81">
        <f>IF(AN1514="","",_xlfn.LET(idVenta, AN1514&amp;"",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14" s="81">
        <f>IF(AN1514="","",AH1514-AJ1514)</f>
        <v/>
      </c>
      <c r="AL1514" s="81">
        <f>IF(AN1514="","",IF(Q1514="Sin Factura","",AI1514-AJ1514))</f>
        <v/>
      </c>
      <c r="AM1514" s="81">
        <f>IF(AN1514="","",IF(Q1514="Sin Factura",0,P1514-IFERROR(INDEX(Facturas_Odoo!$H:$H, MATCH(Q1514, Facturas_Odoo!$B:$B, 0)), 0)))</f>
        <v/>
      </c>
      <c r="AN1514" s="79">
        <f>IF(AND(A1514="", J1514=""), "", IF(A1514&lt;&gt;"", VALUE(MID(A1514,2,LEN(A1514))), AN1513))</f>
        <v/>
      </c>
      <c r="AO1514" s="79">
        <f>IF(AN1514="","",IF(AD1514=0,"OK",_xlfn.LET(monedaPago, IF(AA1514="","USD",AA1514), limitePermitido, IFERROR(VLOOKUP(monedaPago, Configuración!$A$2:$B$3, 2, FALSE), 0.15), IF(AD1514&gt;limitePermitido, "ALERTA: EXCESO (" &amp; TEXT(limitePermitido, "0%") &amp; " máx)", "OK"))))</f>
        <v/>
      </c>
      <c r="AP1514" s="79">
        <f>IF(AN1514="","",IF(AE1514=0,"OK",_xlfn.LET(fechaPago, Z1514, fechaFactura, R1514, diasCredito, IF(E1514="Pago inmediato", 0, IFERROR(VALUE(MID(E1514, 1, SEARCH(" ", E1514)-1)),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14" s="79">
        <f>IF(AN1514="","",IF(AND(N1514&gt;0, AG1514&gt;0), IF(Configuración!$K$2="NO", "ALERTA: DESCUENTO DOBLE NO PERMITIDO", "OK"), "OK"))</f>
        <v/>
      </c>
      <c r="AR1514" s="79">
        <f>IF(AN1514="","",IF(OR(AO1514&lt;&gt;"OK", AP1514&lt;&gt;"OK", AQ1514&lt;&gt;"OK"), "⚠️ REVISAR", "OK"))</f>
        <v/>
      </c>
    </row>
    <row r="1515">
      <c r="A1515" s="79">
        <f>IF('Ordenes_Odoo'!A1515="","",'Ordenes_Odoo'!A1515)</f>
        <v/>
      </c>
      <c r="B1515" s="80">
        <f>IF('Ordenes_Odoo'!B1515="","",'Ordenes_Odoo'!B1515)</f>
        <v/>
      </c>
      <c r="C1515" s="79">
        <f>IF('Ordenes_Odoo'!C1515="","",'Ordenes_Odoo'!C1515)</f>
        <v/>
      </c>
      <c r="D1515" s="79">
        <f>IF('Ordenes_Odoo'!D1515="","",'Ordenes_Odoo'!D1515)</f>
        <v/>
      </c>
      <c r="E1515" s="79">
        <f>IF('Ordenes_Odoo'!E1515="","",'Ordenes_Odoo'!E1515)</f>
        <v/>
      </c>
      <c r="F1515" s="79">
        <f>IF('Ordenes_Odoo'!F1515="","",'Ordenes_Odoo'!F1515)</f>
        <v/>
      </c>
      <c r="G1515" s="79">
        <f>IF('Ordenes_Odoo'!G1515="","",'Ordenes_Odoo'!G1515)</f>
        <v/>
      </c>
      <c r="H1515" s="79">
        <f>IF('Ordenes_Odoo'!H1515="","",'Ordenes_Odoo'!H1515)</f>
        <v/>
      </c>
      <c r="I1515" s="79">
        <f>IF('Ordenes_Odoo'!I1515="","",'Ordenes_Odoo'!I1515)</f>
        <v/>
      </c>
      <c r="J1515" s="79">
        <f>IF('Ordenes_Odoo'!J1515="","",'Ordenes_Odoo'!J1515)</f>
        <v/>
      </c>
      <c r="K1515" s="81">
        <f>IF('Ordenes_Odoo'!K1515="","",'Ordenes_Odoo'!K1515)</f>
        <v/>
      </c>
      <c r="L1515" s="81">
        <f>IF('Ordenes_Odoo'!L1515="","",'Ordenes_Odoo'!L1515)</f>
        <v/>
      </c>
      <c r="M1515" s="79">
        <f>IF('Ordenes_Odoo'!M1515="","",'Ordenes_Odoo'!M1515)</f>
        <v/>
      </c>
      <c r="N1515" s="79">
        <f>IF('Ordenes_Odoo'!N1515="","",'Ordenes_Odoo'!N1515)</f>
        <v/>
      </c>
      <c r="O1515" s="81">
        <f>IF('Ordenes_Odoo'!O1515="","",'Ordenes_Odoo'!O1515)</f>
        <v/>
      </c>
      <c r="P1515" s="81">
        <f>IF('Ordenes_Odoo'!P1515="","",'Ordenes_Odoo'!P1515)</f>
        <v/>
      </c>
      <c r="Q1515" s="79">
        <f>IF(A1515="","",IFERROR(INDEX(Facturas_Odoo!$B:$B, MATCH(A1515, Facturas_Odoo!$D:$D, 0)), "Sin Factura"))</f>
        <v/>
      </c>
      <c r="R1515" s="80">
        <f>IF(Q1515="Sin Factura","",IFERROR(INDEX(Facturas_Odoo!$A:$A, MATCH(Q1515, Facturas_Odoo!$B:$B, 0)), ""))</f>
        <v/>
      </c>
      <c r="S1515" s="79">
        <f>IF(Q1515="Sin Factura","",IFERROR(_xlfn.XLOOKUP(1, (Facturas_Odoo!$D:$D=A1515) * (Facturas_Odoo!$K:$K=I1515), Facturas_Odoo!$L:$L, ""), ""))</f>
        <v/>
      </c>
      <c r="T1515" s="81">
        <f>IF(Q1515="Sin Factura",0,IFERROR(_xlfn.XLOOKUP(1, (Facturas_Odoo!$D:$D=A1515) * (Facturas_Odoo!$K:$K=I1515), Facturas_Odoo!$M:$M, 0), 0))</f>
        <v/>
      </c>
      <c r="U1515" s="79">
        <f>IF(Q1515="Sin Factura",0,IFERROR(_xlfn.XLOOKUP(1, (Facturas_Odoo!$D:$D=A1515) * (Facturas_Odoo!$K:$K=I1515), Facturas_Odoo!$N:$N, 0), 0))</f>
        <v/>
      </c>
      <c r="V1515" s="79">
        <f>IF(Q1515="Sin Factura",0,IFERROR(_xlfn.XLOOKUP(1, (Facturas_Odoo!$D:$D=A1515) * (Facturas_Odoo!$K:$K=I1515), Facturas_Odoo!$O:$O, 0), 0))</f>
        <v/>
      </c>
      <c r="W1515" s="81">
        <f>IF(Q1515="Sin Factura",0,IFERROR(_xlfn.XLOOKUP(1, (Facturas_Odoo!$D:$D=A1515) * (Facturas_Odoo!$K:$K=I1515), Facturas_Odoo!$Q:$Q, 0), 0))</f>
        <v/>
      </c>
      <c r="X1515" s="79">
        <f>IF(OR(Q1515="Sin Factura",Q1515=""),"",IFERROR(INDEX(Pagos_Odoo!$B:$B, MATCH(Q1515, Pagos_Odoo!$I:$I, 0)), "Sin Pago"))</f>
        <v/>
      </c>
      <c r="Y1515" s="79">
        <f>IF(X1515="Sin Pago","",IFERROR(INDEX(Pagos_Odoo!$C:$C, MATCH(X1515, Pagos_Odoo!$B:$B, 0)), ""))</f>
        <v/>
      </c>
      <c r="Z1515" s="80">
        <f>IF(X1515="Sin Pago","",IFERROR(INDEX(Pagos_Odoo!$A:$A, MATCH(X1515, Pagos_Odoo!$B:$B, 0)), ""))</f>
        <v/>
      </c>
      <c r="AA1515" s="79">
        <f>IF(X1515="Sin Pago","",IFERROR(INDEX(Pagos_Odoo!$F:$F, MATCH(X1515, Pagos_Odoo!$B:$B, 0)), ""))</f>
        <v/>
      </c>
      <c r="AB1515" s="81">
        <f>IF(X1515="Sin Pago",0,IFERROR(INDEX(Pagos_Odoo!$E:$E, MATCH(X1515, Pagos_Odoo!$B:$B, 0)), 0))</f>
        <v/>
      </c>
      <c r="AC1515" s="79">
        <f>IF(X1515="Sin Pago","",IFERROR(INDEX(Pagos_Odoo!$G:$G, MATCH(X1515, Pagos_Odoo!$B:$B, 0)), ""))</f>
        <v/>
      </c>
      <c r="AD1515" s="82" t="n">
        <v>0</v>
      </c>
      <c r="AE1515" s="82" t="n"/>
      <c r="AF1515" s="82" t="n"/>
      <c r="AG1515" s="82">
        <f>IF(AN1515="","",AD1515+AE1515+AF1515)</f>
        <v/>
      </c>
      <c r="AH1515" s="81">
        <f>IF(AN1515="","",P1515*(1-AG1515))</f>
        <v/>
      </c>
      <c r="AI1515" s="81">
        <f>IF(AN1515="","",IF(Q1515="Sin Factura",0,IFERROR(INDEX(Facturas_Odoo!$H:$H, MATCH(Q1515, Facturas_Odoo!$B:$B, 0)), 0)*(1-AG1515)))</f>
        <v/>
      </c>
      <c r="AJ1515" s="81">
        <f>IF(AN1515="","",_xlfn.LET(idVenta, AN1515&amp;"",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15" s="81">
        <f>IF(AN1515="","",AH1515-AJ1515)</f>
        <v/>
      </c>
      <c r="AL1515" s="81">
        <f>IF(AN1515="","",IF(Q1515="Sin Factura","",AI1515-AJ1515))</f>
        <v/>
      </c>
      <c r="AM1515" s="81">
        <f>IF(AN1515="","",IF(Q1515="Sin Factura",0,P1515-IFERROR(INDEX(Facturas_Odoo!$H:$H, MATCH(Q1515, Facturas_Odoo!$B:$B, 0)), 0)))</f>
        <v/>
      </c>
      <c r="AN1515" s="79">
        <f>IF(AND(A1515="", J1515=""), "", IF(A1515&lt;&gt;"", VALUE(MID(A1515,2,LEN(A1515))), AN1514))</f>
        <v/>
      </c>
      <c r="AO1515" s="79">
        <f>IF(AN1515="","",IF(AD1515=0,"OK",_xlfn.LET(monedaPago, IF(AA1515="","USD",AA1515), limitePermitido, IFERROR(VLOOKUP(monedaPago, Configuración!$A$2:$B$3, 2, FALSE), 0.15), IF(AD1515&gt;limitePermitido, "ALERTA: EXCESO (" &amp; TEXT(limitePermitido, "0%") &amp; " máx)", "OK"))))</f>
        <v/>
      </c>
      <c r="AP1515" s="79">
        <f>IF(AN1515="","",IF(AE1515=0,"OK",_xlfn.LET(fechaPago, Z1515, fechaFactura, R1515, diasCredito, IF(E1515="Pago inmediato", 0, IFERROR(VALUE(MID(E1515, 1, SEARCH(" ", E1515)-1)),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15" s="79">
        <f>IF(AN1515="","",IF(AND(N1515&gt;0, AG1515&gt;0), IF(Configuración!$K$2="NO", "ALERTA: DESCUENTO DOBLE NO PERMITIDO", "OK"), "OK"))</f>
        <v/>
      </c>
      <c r="AR1515" s="79">
        <f>IF(AN1515="","",IF(OR(AO1515&lt;&gt;"OK", AP1515&lt;&gt;"OK", AQ1515&lt;&gt;"OK"), "⚠️ REVISAR", "OK"))</f>
        <v/>
      </c>
    </row>
    <row r="1516">
      <c r="A1516" s="79">
        <f>IF('Ordenes_Odoo'!A1516="","",'Ordenes_Odoo'!A1516)</f>
        <v/>
      </c>
      <c r="B1516" s="80">
        <f>IF('Ordenes_Odoo'!B1516="","",'Ordenes_Odoo'!B1516)</f>
        <v/>
      </c>
      <c r="C1516" s="79">
        <f>IF('Ordenes_Odoo'!C1516="","",'Ordenes_Odoo'!C1516)</f>
        <v/>
      </c>
      <c r="D1516" s="79">
        <f>IF('Ordenes_Odoo'!D1516="","",'Ordenes_Odoo'!D1516)</f>
        <v/>
      </c>
      <c r="E1516" s="79">
        <f>IF('Ordenes_Odoo'!E1516="","",'Ordenes_Odoo'!E1516)</f>
        <v/>
      </c>
      <c r="F1516" s="79">
        <f>IF('Ordenes_Odoo'!F1516="","",'Ordenes_Odoo'!F1516)</f>
        <v/>
      </c>
      <c r="G1516" s="79">
        <f>IF('Ordenes_Odoo'!G1516="","",'Ordenes_Odoo'!G1516)</f>
        <v/>
      </c>
      <c r="H1516" s="79">
        <f>IF('Ordenes_Odoo'!H1516="","",'Ordenes_Odoo'!H1516)</f>
        <v/>
      </c>
      <c r="I1516" s="79">
        <f>IF('Ordenes_Odoo'!I1516="","",'Ordenes_Odoo'!I1516)</f>
        <v/>
      </c>
      <c r="J1516" s="79">
        <f>IF('Ordenes_Odoo'!J1516="","",'Ordenes_Odoo'!J1516)</f>
        <v/>
      </c>
      <c r="K1516" s="81">
        <f>IF('Ordenes_Odoo'!K1516="","",'Ordenes_Odoo'!K1516)</f>
        <v/>
      </c>
      <c r="L1516" s="81">
        <f>IF('Ordenes_Odoo'!L1516="","",'Ordenes_Odoo'!L1516)</f>
        <v/>
      </c>
      <c r="M1516" s="79">
        <f>IF('Ordenes_Odoo'!M1516="","",'Ordenes_Odoo'!M1516)</f>
        <v/>
      </c>
      <c r="N1516" s="79">
        <f>IF('Ordenes_Odoo'!N1516="","",'Ordenes_Odoo'!N1516)</f>
        <v/>
      </c>
      <c r="O1516" s="81">
        <f>IF('Ordenes_Odoo'!O1516="","",'Ordenes_Odoo'!O1516)</f>
        <v/>
      </c>
      <c r="P1516" s="81">
        <f>IF('Ordenes_Odoo'!P1516="","",'Ordenes_Odoo'!P1516)</f>
        <v/>
      </c>
      <c r="Q1516" s="79">
        <f>IF(A1516="","",IFERROR(INDEX(Facturas_Odoo!$B:$B, MATCH(A1516, Facturas_Odoo!$D:$D, 0)), "Sin Factura"))</f>
        <v/>
      </c>
      <c r="R1516" s="80">
        <f>IF(Q1516="Sin Factura","",IFERROR(INDEX(Facturas_Odoo!$A:$A, MATCH(Q1516, Facturas_Odoo!$B:$B, 0)), ""))</f>
        <v/>
      </c>
      <c r="S1516" s="79">
        <f>IF(Q1516="Sin Factura","",IFERROR(_xlfn.XLOOKUP(1, (Facturas_Odoo!$D:$D=A1516) * (Facturas_Odoo!$K:$K=I1516), Facturas_Odoo!$L:$L, ""), ""))</f>
        <v/>
      </c>
      <c r="T1516" s="81">
        <f>IF(Q1516="Sin Factura",0,IFERROR(_xlfn.XLOOKUP(1, (Facturas_Odoo!$D:$D=A1516) * (Facturas_Odoo!$K:$K=I1516), Facturas_Odoo!$M:$M, 0), 0))</f>
        <v/>
      </c>
      <c r="U1516" s="79">
        <f>IF(Q1516="Sin Factura",0,IFERROR(_xlfn.XLOOKUP(1, (Facturas_Odoo!$D:$D=A1516) * (Facturas_Odoo!$K:$K=I1516), Facturas_Odoo!$N:$N, 0), 0))</f>
        <v/>
      </c>
      <c r="V1516" s="79">
        <f>IF(Q1516="Sin Factura",0,IFERROR(_xlfn.XLOOKUP(1, (Facturas_Odoo!$D:$D=A1516) * (Facturas_Odoo!$K:$K=I1516), Facturas_Odoo!$O:$O, 0), 0))</f>
        <v/>
      </c>
      <c r="W1516" s="81">
        <f>IF(Q1516="Sin Factura",0,IFERROR(_xlfn.XLOOKUP(1, (Facturas_Odoo!$D:$D=A1516) * (Facturas_Odoo!$K:$K=I1516), Facturas_Odoo!$Q:$Q, 0), 0))</f>
        <v/>
      </c>
      <c r="X1516" s="79">
        <f>IF(OR(Q1516="Sin Factura",Q1516=""),"",IFERROR(INDEX(Pagos_Odoo!$B:$B, MATCH(Q1516, Pagos_Odoo!$I:$I, 0)), "Sin Pago"))</f>
        <v/>
      </c>
      <c r="Y1516" s="79">
        <f>IF(X1516="Sin Pago","",IFERROR(INDEX(Pagos_Odoo!$C:$C, MATCH(X1516, Pagos_Odoo!$B:$B, 0)), ""))</f>
        <v/>
      </c>
      <c r="Z1516" s="80">
        <f>IF(X1516="Sin Pago","",IFERROR(INDEX(Pagos_Odoo!$A:$A, MATCH(X1516, Pagos_Odoo!$B:$B, 0)), ""))</f>
        <v/>
      </c>
      <c r="AA1516" s="79">
        <f>IF(X1516="Sin Pago","",IFERROR(INDEX(Pagos_Odoo!$F:$F, MATCH(X1516, Pagos_Odoo!$B:$B, 0)), ""))</f>
        <v/>
      </c>
      <c r="AB1516" s="81">
        <f>IF(X1516="Sin Pago",0,IFERROR(INDEX(Pagos_Odoo!$E:$E, MATCH(X1516, Pagos_Odoo!$B:$B, 0)), 0))</f>
        <v/>
      </c>
      <c r="AC1516" s="79">
        <f>IF(X1516="Sin Pago","",IFERROR(INDEX(Pagos_Odoo!$G:$G, MATCH(X1516, Pagos_Odoo!$B:$B, 0)), ""))</f>
        <v/>
      </c>
      <c r="AD1516" s="82" t="n">
        <v>0</v>
      </c>
      <c r="AE1516" s="82" t="n"/>
      <c r="AF1516" s="82" t="n"/>
      <c r="AG1516" s="82">
        <f>IF(AN1516="","",AD1516+AE1516+AF1516)</f>
        <v/>
      </c>
      <c r="AH1516" s="81">
        <f>IF(AN1516="","",P1516*(1-AG1516))</f>
        <v/>
      </c>
      <c r="AI1516" s="81">
        <f>IF(AN1516="","",IF(Q1516="Sin Factura",0,IFERROR(INDEX(Facturas_Odoo!$H:$H, MATCH(Q1516, Facturas_Odoo!$B:$B, 0)), 0)*(1-AG1516)))</f>
        <v/>
      </c>
      <c r="AJ1516" s="81">
        <f>IF(AN1516="","",_xlfn.LET(idVenta, AN1516&amp;"",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16" s="81">
        <f>IF(AN1516="","",AH1516-AJ1516)</f>
        <v/>
      </c>
      <c r="AL1516" s="81">
        <f>IF(AN1516="","",IF(Q1516="Sin Factura","",AI1516-AJ1516))</f>
        <v/>
      </c>
      <c r="AM1516" s="81">
        <f>IF(AN1516="","",IF(Q1516="Sin Factura",0,P1516-IFERROR(INDEX(Facturas_Odoo!$H:$H, MATCH(Q1516, Facturas_Odoo!$B:$B, 0)), 0)))</f>
        <v/>
      </c>
      <c r="AN1516" s="79">
        <f>IF(AND(A1516="", J1516=""), "", IF(A1516&lt;&gt;"", VALUE(MID(A1516,2,LEN(A1516))), AN1515))</f>
        <v/>
      </c>
      <c r="AO1516" s="79">
        <f>IF(AN1516="","",IF(AD1516=0,"OK",_xlfn.LET(monedaPago, IF(AA1516="","USD",AA1516), limitePermitido, IFERROR(VLOOKUP(monedaPago, Configuración!$A$2:$B$3, 2, FALSE), 0.15), IF(AD1516&gt;limitePermitido, "ALERTA: EXCESO (" &amp; TEXT(limitePermitido, "0%") &amp; " máx)", "OK"))))</f>
        <v/>
      </c>
      <c r="AP1516" s="79">
        <f>IF(AN1516="","",IF(AE1516=0,"OK",_xlfn.LET(fechaPago, Z1516, fechaFactura, R1516, diasCredito, IF(E1516="Pago inmediato", 0, IFERROR(VALUE(MID(E1516, 1, SEARCH(" ", E1516)-1)),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16" s="79">
        <f>IF(AN1516="","",IF(AND(N1516&gt;0, AG1516&gt;0), IF(Configuración!$K$2="NO", "ALERTA: DESCUENTO DOBLE NO PERMITIDO", "OK"), "OK"))</f>
        <v/>
      </c>
      <c r="AR1516" s="79">
        <f>IF(AN1516="","",IF(OR(AO1516&lt;&gt;"OK", AP1516&lt;&gt;"OK", AQ1516&lt;&gt;"OK"), "⚠️ REVISAR", "OK"))</f>
        <v/>
      </c>
    </row>
    <row r="1517">
      <c r="A1517" s="79">
        <f>IF('Ordenes_Odoo'!A1517="","",'Ordenes_Odoo'!A1517)</f>
        <v/>
      </c>
      <c r="B1517" s="80">
        <f>IF('Ordenes_Odoo'!B1517="","",'Ordenes_Odoo'!B1517)</f>
        <v/>
      </c>
      <c r="C1517" s="79">
        <f>IF('Ordenes_Odoo'!C1517="","",'Ordenes_Odoo'!C1517)</f>
        <v/>
      </c>
      <c r="D1517" s="79">
        <f>IF('Ordenes_Odoo'!D1517="","",'Ordenes_Odoo'!D1517)</f>
        <v/>
      </c>
      <c r="E1517" s="79">
        <f>IF('Ordenes_Odoo'!E1517="","",'Ordenes_Odoo'!E1517)</f>
        <v/>
      </c>
      <c r="F1517" s="79">
        <f>IF('Ordenes_Odoo'!F1517="","",'Ordenes_Odoo'!F1517)</f>
        <v/>
      </c>
      <c r="G1517" s="79">
        <f>IF('Ordenes_Odoo'!G1517="","",'Ordenes_Odoo'!G1517)</f>
        <v/>
      </c>
      <c r="H1517" s="79">
        <f>IF('Ordenes_Odoo'!H1517="","",'Ordenes_Odoo'!H1517)</f>
        <v/>
      </c>
      <c r="I1517" s="79">
        <f>IF('Ordenes_Odoo'!I1517="","",'Ordenes_Odoo'!I1517)</f>
        <v/>
      </c>
      <c r="J1517" s="79">
        <f>IF('Ordenes_Odoo'!J1517="","",'Ordenes_Odoo'!J1517)</f>
        <v/>
      </c>
      <c r="K1517" s="81">
        <f>IF('Ordenes_Odoo'!K1517="","",'Ordenes_Odoo'!K1517)</f>
        <v/>
      </c>
      <c r="L1517" s="81">
        <f>IF('Ordenes_Odoo'!L1517="","",'Ordenes_Odoo'!L1517)</f>
        <v/>
      </c>
      <c r="M1517" s="79">
        <f>IF('Ordenes_Odoo'!M1517="","",'Ordenes_Odoo'!M1517)</f>
        <v/>
      </c>
      <c r="N1517" s="79">
        <f>IF('Ordenes_Odoo'!N1517="","",'Ordenes_Odoo'!N1517)</f>
        <v/>
      </c>
      <c r="O1517" s="81">
        <f>IF('Ordenes_Odoo'!O1517="","",'Ordenes_Odoo'!O1517)</f>
        <v/>
      </c>
      <c r="P1517" s="81">
        <f>IF('Ordenes_Odoo'!P1517="","",'Ordenes_Odoo'!P1517)</f>
        <v/>
      </c>
      <c r="Q1517" s="79">
        <f>IF(A1517="","",IFERROR(INDEX(Facturas_Odoo!$B:$B, MATCH(A1517, Facturas_Odoo!$D:$D, 0)), "Sin Factura"))</f>
        <v/>
      </c>
      <c r="R1517" s="80">
        <f>IF(Q1517="Sin Factura","",IFERROR(INDEX(Facturas_Odoo!$A:$A, MATCH(Q1517, Facturas_Odoo!$B:$B, 0)), ""))</f>
        <v/>
      </c>
      <c r="S1517" s="79">
        <f>IF(Q1517="Sin Factura","",IFERROR(_xlfn.XLOOKUP(1, (Facturas_Odoo!$D:$D=A1517) * (Facturas_Odoo!$K:$K=I1517), Facturas_Odoo!$L:$L, ""), ""))</f>
        <v/>
      </c>
      <c r="T1517" s="81">
        <f>IF(Q1517="Sin Factura",0,IFERROR(_xlfn.XLOOKUP(1, (Facturas_Odoo!$D:$D=A1517) * (Facturas_Odoo!$K:$K=I1517), Facturas_Odoo!$M:$M, 0), 0))</f>
        <v/>
      </c>
      <c r="U1517" s="79">
        <f>IF(Q1517="Sin Factura",0,IFERROR(_xlfn.XLOOKUP(1, (Facturas_Odoo!$D:$D=A1517) * (Facturas_Odoo!$K:$K=I1517), Facturas_Odoo!$N:$N, 0), 0))</f>
        <v/>
      </c>
      <c r="V1517" s="79">
        <f>IF(Q1517="Sin Factura",0,IFERROR(_xlfn.XLOOKUP(1, (Facturas_Odoo!$D:$D=A1517) * (Facturas_Odoo!$K:$K=I1517), Facturas_Odoo!$O:$O, 0), 0))</f>
        <v/>
      </c>
      <c r="W1517" s="81">
        <f>IF(Q1517="Sin Factura",0,IFERROR(_xlfn.XLOOKUP(1, (Facturas_Odoo!$D:$D=A1517) * (Facturas_Odoo!$K:$K=I1517), Facturas_Odoo!$Q:$Q, 0), 0))</f>
        <v/>
      </c>
      <c r="X1517" s="79">
        <f>IF(OR(Q1517="Sin Factura",Q1517=""),"",IFERROR(INDEX(Pagos_Odoo!$B:$B, MATCH(Q1517, Pagos_Odoo!$I:$I, 0)), "Sin Pago"))</f>
        <v/>
      </c>
      <c r="Y1517" s="79">
        <f>IF(X1517="Sin Pago","",IFERROR(INDEX(Pagos_Odoo!$C:$C, MATCH(X1517, Pagos_Odoo!$B:$B, 0)), ""))</f>
        <v/>
      </c>
      <c r="Z1517" s="80">
        <f>IF(X1517="Sin Pago","",IFERROR(INDEX(Pagos_Odoo!$A:$A, MATCH(X1517, Pagos_Odoo!$B:$B, 0)), ""))</f>
        <v/>
      </c>
      <c r="AA1517" s="79">
        <f>IF(X1517="Sin Pago","",IFERROR(INDEX(Pagos_Odoo!$F:$F, MATCH(X1517, Pagos_Odoo!$B:$B, 0)), ""))</f>
        <v/>
      </c>
      <c r="AB1517" s="81">
        <f>IF(X1517="Sin Pago",0,IFERROR(INDEX(Pagos_Odoo!$E:$E, MATCH(X1517, Pagos_Odoo!$B:$B, 0)), 0))</f>
        <v/>
      </c>
      <c r="AC1517" s="79">
        <f>IF(X1517="Sin Pago","",IFERROR(INDEX(Pagos_Odoo!$G:$G, MATCH(X1517, Pagos_Odoo!$B:$B, 0)), ""))</f>
        <v/>
      </c>
      <c r="AD1517" s="82" t="n">
        <v>0</v>
      </c>
      <c r="AE1517" s="82" t="n"/>
      <c r="AF1517" s="82" t="n"/>
      <c r="AG1517" s="82">
        <f>IF(AN1517="","",AD1517+AE1517+AF1517)</f>
        <v/>
      </c>
      <c r="AH1517" s="81">
        <f>IF(AN1517="","",P1517*(1-AG1517))</f>
        <v/>
      </c>
      <c r="AI1517" s="81">
        <f>IF(AN1517="","",IF(Q1517="Sin Factura",0,IFERROR(INDEX(Facturas_Odoo!$H:$H, MATCH(Q1517, Facturas_Odoo!$B:$B, 0)), 0)*(1-AG1517)))</f>
        <v/>
      </c>
      <c r="AJ1517" s="81">
        <f>IF(AN1517="","",_xlfn.LET(idVenta, AN1517&amp;"",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17" s="81">
        <f>IF(AN1517="","",AH1517-AJ1517)</f>
        <v/>
      </c>
      <c r="AL1517" s="81">
        <f>IF(AN1517="","",IF(Q1517="Sin Factura","",AI1517-AJ1517))</f>
        <v/>
      </c>
      <c r="AM1517" s="81">
        <f>IF(AN1517="","",IF(Q1517="Sin Factura",0,P1517-IFERROR(INDEX(Facturas_Odoo!$H:$H, MATCH(Q1517, Facturas_Odoo!$B:$B, 0)), 0)))</f>
        <v/>
      </c>
      <c r="AN1517" s="79">
        <f>IF(AND(A1517="", J1517=""), "", IF(A1517&lt;&gt;"", VALUE(MID(A1517,2,LEN(A1517))), AN1516))</f>
        <v/>
      </c>
      <c r="AO1517" s="79">
        <f>IF(AN1517="","",IF(AD1517=0,"OK",_xlfn.LET(monedaPago, IF(AA1517="","USD",AA1517), limitePermitido, IFERROR(VLOOKUP(monedaPago, Configuración!$A$2:$B$3, 2, FALSE), 0.15), IF(AD1517&gt;limitePermitido, "ALERTA: EXCESO (" &amp; TEXT(limitePermitido, "0%") &amp; " máx)", "OK"))))</f>
        <v/>
      </c>
      <c r="AP1517" s="79">
        <f>IF(AN1517="","",IF(AE1517=0,"OK",_xlfn.LET(fechaPago, Z1517, fechaFactura, R1517, diasCredito, IF(E1517="Pago inmediato", 0, IFERROR(VALUE(MID(E1517, 1, SEARCH(" ", E1517)-1)),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17" s="79">
        <f>IF(AN1517="","",IF(AND(N1517&gt;0, AG1517&gt;0), IF(Configuración!$K$2="NO", "ALERTA: DESCUENTO DOBLE NO PERMITIDO", "OK"), "OK"))</f>
        <v/>
      </c>
      <c r="AR1517" s="79">
        <f>IF(AN1517="","",IF(OR(AO1517&lt;&gt;"OK", AP1517&lt;&gt;"OK", AQ1517&lt;&gt;"OK"), "⚠️ REVISAR", "OK"))</f>
        <v/>
      </c>
    </row>
    <row r="1518">
      <c r="A1518" s="79">
        <f>IF('Ordenes_Odoo'!A1518="","",'Ordenes_Odoo'!A1518)</f>
        <v/>
      </c>
      <c r="B1518" s="80">
        <f>IF('Ordenes_Odoo'!B1518="","",'Ordenes_Odoo'!B1518)</f>
        <v/>
      </c>
      <c r="C1518" s="79">
        <f>IF('Ordenes_Odoo'!C1518="","",'Ordenes_Odoo'!C1518)</f>
        <v/>
      </c>
      <c r="D1518" s="79">
        <f>IF('Ordenes_Odoo'!D1518="","",'Ordenes_Odoo'!D1518)</f>
        <v/>
      </c>
      <c r="E1518" s="79">
        <f>IF('Ordenes_Odoo'!E1518="","",'Ordenes_Odoo'!E1518)</f>
        <v/>
      </c>
      <c r="F1518" s="79">
        <f>IF('Ordenes_Odoo'!F1518="","",'Ordenes_Odoo'!F1518)</f>
        <v/>
      </c>
      <c r="G1518" s="79">
        <f>IF('Ordenes_Odoo'!G1518="","",'Ordenes_Odoo'!G1518)</f>
        <v/>
      </c>
      <c r="H1518" s="79">
        <f>IF('Ordenes_Odoo'!H1518="","",'Ordenes_Odoo'!H1518)</f>
        <v/>
      </c>
      <c r="I1518" s="79">
        <f>IF('Ordenes_Odoo'!I1518="","",'Ordenes_Odoo'!I1518)</f>
        <v/>
      </c>
      <c r="J1518" s="79">
        <f>IF('Ordenes_Odoo'!J1518="","",'Ordenes_Odoo'!J1518)</f>
        <v/>
      </c>
      <c r="K1518" s="81">
        <f>IF('Ordenes_Odoo'!K1518="","",'Ordenes_Odoo'!K1518)</f>
        <v/>
      </c>
      <c r="L1518" s="81">
        <f>IF('Ordenes_Odoo'!L1518="","",'Ordenes_Odoo'!L1518)</f>
        <v/>
      </c>
      <c r="M1518" s="79">
        <f>IF('Ordenes_Odoo'!M1518="","",'Ordenes_Odoo'!M1518)</f>
        <v/>
      </c>
      <c r="N1518" s="79">
        <f>IF('Ordenes_Odoo'!N1518="","",'Ordenes_Odoo'!N1518)</f>
        <v/>
      </c>
      <c r="O1518" s="81">
        <f>IF('Ordenes_Odoo'!O1518="","",'Ordenes_Odoo'!O1518)</f>
        <v/>
      </c>
      <c r="P1518" s="81">
        <f>IF('Ordenes_Odoo'!P1518="","",'Ordenes_Odoo'!P1518)</f>
        <v/>
      </c>
      <c r="Q1518" s="79">
        <f>IF(A1518="","",IFERROR(INDEX(Facturas_Odoo!$B:$B, MATCH(A1518, Facturas_Odoo!$D:$D, 0)), "Sin Factura"))</f>
        <v/>
      </c>
      <c r="R1518" s="80">
        <f>IF(Q1518="Sin Factura","",IFERROR(INDEX(Facturas_Odoo!$A:$A, MATCH(Q1518, Facturas_Odoo!$B:$B, 0)), ""))</f>
        <v/>
      </c>
      <c r="S1518" s="79">
        <f>IF(Q1518="Sin Factura","",IFERROR(_xlfn.XLOOKUP(1, (Facturas_Odoo!$D:$D=A1518) * (Facturas_Odoo!$K:$K=I1518), Facturas_Odoo!$L:$L, ""), ""))</f>
        <v/>
      </c>
      <c r="T1518" s="81">
        <f>IF(Q1518="Sin Factura",0,IFERROR(_xlfn.XLOOKUP(1, (Facturas_Odoo!$D:$D=A1518) * (Facturas_Odoo!$K:$K=I1518), Facturas_Odoo!$M:$M, 0), 0))</f>
        <v/>
      </c>
      <c r="U1518" s="79">
        <f>IF(Q1518="Sin Factura",0,IFERROR(_xlfn.XLOOKUP(1, (Facturas_Odoo!$D:$D=A1518) * (Facturas_Odoo!$K:$K=I1518), Facturas_Odoo!$N:$N, 0), 0))</f>
        <v/>
      </c>
      <c r="V1518" s="79">
        <f>IF(Q1518="Sin Factura",0,IFERROR(_xlfn.XLOOKUP(1, (Facturas_Odoo!$D:$D=A1518) * (Facturas_Odoo!$K:$K=I1518), Facturas_Odoo!$O:$O, 0), 0))</f>
        <v/>
      </c>
      <c r="W1518" s="81">
        <f>IF(Q1518="Sin Factura",0,IFERROR(_xlfn.XLOOKUP(1, (Facturas_Odoo!$D:$D=A1518) * (Facturas_Odoo!$K:$K=I1518), Facturas_Odoo!$Q:$Q, 0), 0))</f>
        <v/>
      </c>
      <c r="X1518" s="79">
        <f>IF(OR(Q1518="Sin Factura",Q1518=""),"",IFERROR(INDEX(Pagos_Odoo!$B:$B, MATCH(Q1518, Pagos_Odoo!$I:$I, 0)), "Sin Pago"))</f>
        <v/>
      </c>
      <c r="Y1518" s="79">
        <f>IF(X1518="Sin Pago","",IFERROR(INDEX(Pagos_Odoo!$C:$C, MATCH(X1518, Pagos_Odoo!$B:$B, 0)), ""))</f>
        <v/>
      </c>
      <c r="Z1518" s="80">
        <f>IF(X1518="Sin Pago","",IFERROR(INDEX(Pagos_Odoo!$A:$A, MATCH(X1518, Pagos_Odoo!$B:$B, 0)), ""))</f>
        <v/>
      </c>
      <c r="AA1518" s="79">
        <f>IF(X1518="Sin Pago","",IFERROR(INDEX(Pagos_Odoo!$F:$F, MATCH(X1518, Pagos_Odoo!$B:$B, 0)), ""))</f>
        <v/>
      </c>
      <c r="AB1518" s="81">
        <f>IF(X1518="Sin Pago",0,IFERROR(INDEX(Pagos_Odoo!$E:$E, MATCH(X1518, Pagos_Odoo!$B:$B, 0)), 0))</f>
        <v/>
      </c>
      <c r="AC1518" s="79">
        <f>IF(X1518="Sin Pago","",IFERROR(INDEX(Pagos_Odoo!$G:$G, MATCH(X1518, Pagos_Odoo!$B:$B, 0)), ""))</f>
        <v/>
      </c>
      <c r="AD1518" s="82" t="n">
        <v>0</v>
      </c>
      <c r="AE1518" s="82" t="n"/>
      <c r="AF1518" s="82" t="n"/>
      <c r="AG1518" s="82">
        <f>IF(AN1518="","",AD1518+AE1518+AF1518)</f>
        <v/>
      </c>
      <c r="AH1518" s="81">
        <f>IF(AN1518="","",P1518*(1-AG1518))</f>
        <v/>
      </c>
      <c r="AI1518" s="81">
        <f>IF(AN1518="","",IF(Q1518="Sin Factura",0,IFERROR(INDEX(Facturas_Odoo!$H:$H, MATCH(Q1518, Facturas_Odoo!$B:$B, 0)), 0)*(1-AG1518)))</f>
        <v/>
      </c>
      <c r="AJ1518" s="81">
        <f>IF(AN1518="","",_xlfn.LET(idVenta, AN1518&amp;"",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18" s="81">
        <f>IF(AN1518="","",AH1518-AJ1518)</f>
        <v/>
      </c>
      <c r="AL1518" s="81">
        <f>IF(AN1518="","",IF(Q1518="Sin Factura","",AI1518-AJ1518))</f>
        <v/>
      </c>
      <c r="AM1518" s="81">
        <f>IF(AN1518="","",IF(Q1518="Sin Factura",0,P1518-IFERROR(INDEX(Facturas_Odoo!$H:$H, MATCH(Q1518, Facturas_Odoo!$B:$B, 0)), 0)))</f>
        <v/>
      </c>
      <c r="AN1518" s="79">
        <f>IF(AND(A1518="", J1518=""), "", IF(A1518&lt;&gt;"", VALUE(MID(A1518,2,LEN(A1518))), AN1517))</f>
        <v/>
      </c>
      <c r="AO1518" s="79">
        <f>IF(AN1518="","",IF(AD1518=0,"OK",_xlfn.LET(monedaPago, IF(AA1518="","USD",AA1518), limitePermitido, IFERROR(VLOOKUP(monedaPago, Configuración!$A$2:$B$3, 2, FALSE), 0.15), IF(AD1518&gt;limitePermitido, "ALERTA: EXCESO (" &amp; TEXT(limitePermitido, "0%") &amp; " máx)", "OK"))))</f>
        <v/>
      </c>
      <c r="AP1518" s="79">
        <f>IF(AN1518="","",IF(AE1518=0,"OK",_xlfn.LET(fechaPago, Z1518, fechaFactura, R1518, diasCredito, IF(E1518="Pago inmediato", 0, IFERROR(VALUE(MID(E1518, 1, SEARCH(" ", E1518)-1)),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18" s="79">
        <f>IF(AN1518="","",IF(AND(N1518&gt;0, AG1518&gt;0), IF(Configuración!$K$2="NO", "ALERTA: DESCUENTO DOBLE NO PERMITIDO", "OK"), "OK"))</f>
        <v/>
      </c>
      <c r="AR1518" s="79">
        <f>IF(AN1518="","",IF(OR(AO1518&lt;&gt;"OK", AP1518&lt;&gt;"OK", AQ1518&lt;&gt;"OK"), "⚠️ REVISAR", "OK"))</f>
        <v/>
      </c>
    </row>
    <row r="1519">
      <c r="A1519" s="79">
        <f>IF('Ordenes_Odoo'!A1519="","",'Ordenes_Odoo'!A1519)</f>
        <v/>
      </c>
      <c r="B1519" s="80">
        <f>IF('Ordenes_Odoo'!B1519="","",'Ordenes_Odoo'!B1519)</f>
        <v/>
      </c>
      <c r="C1519" s="79">
        <f>IF('Ordenes_Odoo'!C1519="","",'Ordenes_Odoo'!C1519)</f>
        <v/>
      </c>
      <c r="D1519" s="79">
        <f>IF('Ordenes_Odoo'!D1519="","",'Ordenes_Odoo'!D1519)</f>
        <v/>
      </c>
      <c r="E1519" s="79">
        <f>IF('Ordenes_Odoo'!E1519="","",'Ordenes_Odoo'!E1519)</f>
        <v/>
      </c>
      <c r="F1519" s="79">
        <f>IF('Ordenes_Odoo'!F1519="","",'Ordenes_Odoo'!F1519)</f>
        <v/>
      </c>
      <c r="G1519" s="79">
        <f>IF('Ordenes_Odoo'!G1519="","",'Ordenes_Odoo'!G1519)</f>
        <v/>
      </c>
      <c r="H1519" s="79">
        <f>IF('Ordenes_Odoo'!H1519="","",'Ordenes_Odoo'!H1519)</f>
        <v/>
      </c>
      <c r="I1519" s="79">
        <f>IF('Ordenes_Odoo'!I1519="","",'Ordenes_Odoo'!I1519)</f>
        <v/>
      </c>
      <c r="J1519" s="79">
        <f>IF('Ordenes_Odoo'!J1519="","",'Ordenes_Odoo'!J1519)</f>
        <v/>
      </c>
      <c r="K1519" s="81">
        <f>IF('Ordenes_Odoo'!K1519="","",'Ordenes_Odoo'!K1519)</f>
        <v/>
      </c>
      <c r="L1519" s="81">
        <f>IF('Ordenes_Odoo'!L1519="","",'Ordenes_Odoo'!L1519)</f>
        <v/>
      </c>
      <c r="M1519" s="79">
        <f>IF('Ordenes_Odoo'!M1519="","",'Ordenes_Odoo'!M1519)</f>
        <v/>
      </c>
      <c r="N1519" s="79">
        <f>IF('Ordenes_Odoo'!N1519="","",'Ordenes_Odoo'!N1519)</f>
        <v/>
      </c>
      <c r="O1519" s="81">
        <f>IF('Ordenes_Odoo'!O1519="","",'Ordenes_Odoo'!O1519)</f>
        <v/>
      </c>
      <c r="P1519" s="81">
        <f>IF('Ordenes_Odoo'!P1519="","",'Ordenes_Odoo'!P1519)</f>
        <v/>
      </c>
      <c r="Q1519" s="79">
        <f>IF(A1519="","",IFERROR(INDEX(Facturas_Odoo!$B:$B, MATCH(A1519, Facturas_Odoo!$D:$D, 0)), "Sin Factura"))</f>
        <v/>
      </c>
      <c r="R1519" s="80">
        <f>IF(Q1519="Sin Factura","",IFERROR(INDEX(Facturas_Odoo!$A:$A, MATCH(Q1519, Facturas_Odoo!$B:$B, 0)), ""))</f>
        <v/>
      </c>
      <c r="S1519" s="79">
        <f>IF(Q1519="Sin Factura","",IFERROR(_xlfn.XLOOKUP(1, (Facturas_Odoo!$D:$D=A1519) * (Facturas_Odoo!$K:$K=I1519), Facturas_Odoo!$L:$L, ""), ""))</f>
        <v/>
      </c>
      <c r="T1519" s="81">
        <f>IF(Q1519="Sin Factura",0,IFERROR(_xlfn.XLOOKUP(1, (Facturas_Odoo!$D:$D=A1519) * (Facturas_Odoo!$K:$K=I1519), Facturas_Odoo!$M:$M, 0), 0))</f>
        <v/>
      </c>
      <c r="U1519" s="79">
        <f>IF(Q1519="Sin Factura",0,IFERROR(_xlfn.XLOOKUP(1, (Facturas_Odoo!$D:$D=A1519) * (Facturas_Odoo!$K:$K=I1519), Facturas_Odoo!$N:$N, 0), 0))</f>
        <v/>
      </c>
      <c r="V1519" s="79">
        <f>IF(Q1519="Sin Factura",0,IFERROR(_xlfn.XLOOKUP(1, (Facturas_Odoo!$D:$D=A1519) * (Facturas_Odoo!$K:$K=I1519), Facturas_Odoo!$O:$O, 0), 0))</f>
        <v/>
      </c>
      <c r="W1519" s="81">
        <f>IF(Q1519="Sin Factura",0,IFERROR(_xlfn.XLOOKUP(1, (Facturas_Odoo!$D:$D=A1519) * (Facturas_Odoo!$K:$K=I1519), Facturas_Odoo!$Q:$Q, 0), 0))</f>
        <v/>
      </c>
      <c r="X1519" s="79">
        <f>IF(OR(Q1519="Sin Factura",Q1519=""),"",IFERROR(INDEX(Pagos_Odoo!$B:$B, MATCH(Q1519, Pagos_Odoo!$I:$I, 0)), "Sin Pago"))</f>
        <v/>
      </c>
      <c r="Y1519" s="79">
        <f>IF(X1519="Sin Pago","",IFERROR(INDEX(Pagos_Odoo!$C:$C, MATCH(X1519, Pagos_Odoo!$B:$B, 0)), ""))</f>
        <v/>
      </c>
      <c r="Z1519" s="80">
        <f>IF(X1519="Sin Pago","",IFERROR(INDEX(Pagos_Odoo!$A:$A, MATCH(X1519, Pagos_Odoo!$B:$B, 0)), ""))</f>
        <v/>
      </c>
      <c r="AA1519" s="79">
        <f>IF(X1519="Sin Pago","",IFERROR(INDEX(Pagos_Odoo!$F:$F, MATCH(X1519, Pagos_Odoo!$B:$B, 0)), ""))</f>
        <v/>
      </c>
      <c r="AB1519" s="81">
        <f>IF(X1519="Sin Pago",0,IFERROR(INDEX(Pagos_Odoo!$E:$E, MATCH(X1519, Pagos_Odoo!$B:$B, 0)), 0))</f>
        <v/>
      </c>
      <c r="AC1519" s="79">
        <f>IF(X1519="Sin Pago","",IFERROR(INDEX(Pagos_Odoo!$G:$G, MATCH(X1519, Pagos_Odoo!$B:$B, 0)), ""))</f>
        <v/>
      </c>
      <c r="AD1519" s="82" t="n">
        <v>0</v>
      </c>
      <c r="AE1519" s="82" t="n"/>
      <c r="AF1519" s="82" t="n"/>
      <c r="AG1519" s="82">
        <f>IF(AN1519="","",AD1519+AE1519+AF1519)</f>
        <v/>
      </c>
      <c r="AH1519" s="81">
        <f>IF(AN1519="","",P1519*(1-AG1519))</f>
        <v/>
      </c>
      <c r="AI1519" s="81">
        <f>IF(AN1519="","",IF(Q1519="Sin Factura",0,IFERROR(INDEX(Facturas_Odoo!$H:$H, MATCH(Q1519, Facturas_Odoo!$B:$B, 0)), 0)*(1-AG1519)))</f>
        <v/>
      </c>
      <c r="AJ1519" s="81">
        <f>IF(AN1519="","",_xlfn.LET(idVenta, AN1519&amp;"",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19" s="81">
        <f>IF(AN1519="","",AH1519-AJ1519)</f>
        <v/>
      </c>
      <c r="AL1519" s="81">
        <f>IF(AN1519="","",IF(Q1519="Sin Factura","",AI1519-AJ1519))</f>
        <v/>
      </c>
      <c r="AM1519" s="81">
        <f>IF(AN1519="","",IF(Q1519="Sin Factura",0,P1519-IFERROR(INDEX(Facturas_Odoo!$H:$H, MATCH(Q1519, Facturas_Odoo!$B:$B, 0)), 0)))</f>
        <v/>
      </c>
      <c r="AN1519" s="79">
        <f>IF(AND(A1519="", J1519=""), "", IF(A1519&lt;&gt;"", VALUE(MID(A1519,2,LEN(A1519))), AN1518))</f>
        <v/>
      </c>
      <c r="AO1519" s="79">
        <f>IF(AN1519="","",IF(AD1519=0,"OK",_xlfn.LET(monedaPago, IF(AA1519="","USD",AA1519), limitePermitido, IFERROR(VLOOKUP(monedaPago, Configuración!$A$2:$B$3, 2, FALSE), 0.15), IF(AD1519&gt;limitePermitido, "ALERTA: EXCESO (" &amp; TEXT(limitePermitido, "0%") &amp; " máx)", "OK"))))</f>
        <v/>
      </c>
      <c r="AP1519" s="79">
        <f>IF(AN1519="","",IF(AE1519=0,"OK",_xlfn.LET(fechaPago, Z1519, fechaFactura, R1519, diasCredito, IF(E1519="Pago inmediato", 0, IFERROR(VALUE(MID(E1519, 1, SEARCH(" ", E1519)-1)),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19" s="79">
        <f>IF(AN1519="","",IF(AND(N1519&gt;0, AG1519&gt;0), IF(Configuración!$K$2="NO", "ALERTA: DESCUENTO DOBLE NO PERMITIDO", "OK"), "OK"))</f>
        <v/>
      </c>
      <c r="AR1519" s="79">
        <f>IF(AN1519="","",IF(OR(AO1519&lt;&gt;"OK", AP1519&lt;&gt;"OK", AQ1519&lt;&gt;"OK"), "⚠️ REVISAR", "OK"))</f>
        <v/>
      </c>
    </row>
    <row r="1520">
      <c r="A1520" s="79">
        <f>IF('Ordenes_Odoo'!A1520="","",'Ordenes_Odoo'!A1520)</f>
        <v/>
      </c>
      <c r="B1520" s="80">
        <f>IF('Ordenes_Odoo'!B1520="","",'Ordenes_Odoo'!B1520)</f>
        <v/>
      </c>
      <c r="C1520" s="79">
        <f>IF('Ordenes_Odoo'!C1520="","",'Ordenes_Odoo'!C1520)</f>
        <v/>
      </c>
      <c r="D1520" s="79">
        <f>IF('Ordenes_Odoo'!D1520="","",'Ordenes_Odoo'!D1520)</f>
        <v/>
      </c>
      <c r="E1520" s="79">
        <f>IF('Ordenes_Odoo'!E1520="","",'Ordenes_Odoo'!E1520)</f>
        <v/>
      </c>
      <c r="F1520" s="79">
        <f>IF('Ordenes_Odoo'!F1520="","",'Ordenes_Odoo'!F1520)</f>
        <v/>
      </c>
      <c r="G1520" s="79">
        <f>IF('Ordenes_Odoo'!G1520="","",'Ordenes_Odoo'!G1520)</f>
        <v/>
      </c>
      <c r="H1520" s="79">
        <f>IF('Ordenes_Odoo'!H1520="","",'Ordenes_Odoo'!H1520)</f>
        <v/>
      </c>
      <c r="I1520" s="79">
        <f>IF('Ordenes_Odoo'!I1520="","",'Ordenes_Odoo'!I1520)</f>
        <v/>
      </c>
      <c r="J1520" s="79">
        <f>IF('Ordenes_Odoo'!J1520="","",'Ordenes_Odoo'!J1520)</f>
        <v/>
      </c>
      <c r="K1520" s="81">
        <f>IF('Ordenes_Odoo'!K1520="","",'Ordenes_Odoo'!K1520)</f>
        <v/>
      </c>
      <c r="L1520" s="81">
        <f>IF('Ordenes_Odoo'!L1520="","",'Ordenes_Odoo'!L1520)</f>
        <v/>
      </c>
      <c r="M1520" s="79">
        <f>IF('Ordenes_Odoo'!M1520="","",'Ordenes_Odoo'!M1520)</f>
        <v/>
      </c>
      <c r="N1520" s="79">
        <f>IF('Ordenes_Odoo'!N1520="","",'Ordenes_Odoo'!N1520)</f>
        <v/>
      </c>
      <c r="O1520" s="81">
        <f>IF('Ordenes_Odoo'!O1520="","",'Ordenes_Odoo'!O1520)</f>
        <v/>
      </c>
      <c r="P1520" s="81">
        <f>IF('Ordenes_Odoo'!P1520="","",'Ordenes_Odoo'!P1520)</f>
        <v/>
      </c>
      <c r="Q1520" s="79">
        <f>IF(A1520="","",IFERROR(INDEX(Facturas_Odoo!$B:$B, MATCH(A1520, Facturas_Odoo!$D:$D, 0)), "Sin Factura"))</f>
        <v/>
      </c>
      <c r="R1520" s="80">
        <f>IF(Q1520="Sin Factura","",IFERROR(INDEX(Facturas_Odoo!$A:$A, MATCH(Q1520, Facturas_Odoo!$B:$B, 0)), ""))</f>
        <v/>
      </c>
      <c r="S1520" s="79">
        <f>IF(Q1520="Sin Factura","",IFERROR(_xlfn.XLOOKUP(1, (Facturas_Odoo!$D:$D=A1520) * (Facturas_Odoo!$K:$K=I1520), Facturas_Odoo!$L:$L, ""), ""))</f>
        <v/>
      </c>
      <c r="T1520" s="81">
        <f>IF(Q1520="Sin Factura",0,IFERROR(_xlfn.XLOOKUP(1, (Facturas_Odoo!$D:$D=A1520) * (Facturas_Odoo!$K:$K=I1520), Facturas_Odoo!$M:$M, 0), 0))</f>
        <v/>
      </c>
      <c r="U1520" s="79">
        <f>IF(Q1520="Sin Factura",0,IFERROR(_xlfn.XLOOKUP(1, (Facturas_Odoo!$D:$D=A1520) * (Facturas_Odoo!$K:$K=I1520), Facturas_Odoo!$N:$N, 0), 0))</f>
        <v/>
      </c>
      <c r="V1520" s="79">
        <f>IF(Q1520="Sin Factura",0,IFERROR(_xlfn.XLOOKUP(1, (Facturas_Odoo!$D:$D=A1520) * (Facturas_Odoo!$K:$K=I1520), Facturas_Odoo!$O:$O, 0), 0))</f>
        <v/>
      </c>
      <c r="W1520" s="81">
        <f>IF(Q1520="Sin Factura",0,IFERROR(_xlfn.XLOOKUP(1, (Facturas_Odoo!$D:$D=A1520) * (Facturas_Odoo!$K:$K=I1520), Facturas_Odoo!$Q:$Q, 0), 0))</f>
        <v/>
      </c>
      <c r="X1520" s="79">
        <f>IF(OR(Q1520="Sin Factura",Q1520=""),"",IFERROR(INDEX(Pagos_Odoo!$B:$B, MATCH(Q1520, Pagos_Odoo!$I:$I, 0)), "Sin Pago"))</f>
        <v/>
      </c>
      <c r="Y1520" s="79">
        <f>IF(X1520="Sin Pago","",IFERROR(INDEX(Pagos_Odoo!$C:$C, MATCH(X1520, Pagos_Odoo!$B:$B, 0)), ""))</f>
        <v/>
      </c>
      <c r="Z1520" s="80">
        <f>IF(X1520="Sin Pago","",IFERROR(INDEX(Pagos_Odoo!$A:$A, MATCH(X1520, Pagos_Odoo!$B:$B, 0)), ""))</f>
        <v/>
      </c>
      <c r="AA1520" s="79">
        <f>IF(X1520="Sin Pago","",IFERROR(INDEX(Pagos_Odoo!$F:$F, MATCH(X1520, Pagos_Odoo!$B:$B, 0)), ""))</f>
        <v/>
      </c>
      <c r="AB1520" s="81">
        <f>IF(X1520="Sin Pago",0,IFERROR(INDEX(Pagos_Odoo!$E:$E, MATCH(X1520, Pagos_Odoo!$B:$B, 0)), 0))</f>
        <v/>
      </c>
      <c r="AC1520" s="79">
        <f>IF(X1520="Sin Pago","",IFERROR(INDEX(Pagos_Odoo!$G:$G, MATCH(X1520, Pagos_Odoo!$B:$B, 0)), ""))</f>
        <v/>
      </c>
      <c r="AD1520" s="82" t="n">
        <v>0</v>
      </c>
      <c r="AE1520" s="82" t="n"/>
      <c r="AF1520" s="82" t="n"/>
      <c r="AG1520" s="82">
        <f>IF(AN1520="","",AD1520+AE1520+AF1520)</f>
        <v/>
      </c>
      <c r="AH1520" s="81">
        <f>IF(AN1520="","",P1520*(1-AG1520))</f>
        <v/>
      </c>
      <c r="AI1520" s="81">
        <f>IF(AN1520="","",IF(Q1520="Sin Factura",0,IFERROR(INDEX(Facturas_Odoo!$H:$H, MATCH(Q1520, Facturas_Odoo!$B:$B, 0)), 0)*(1-AG1520)))</f>
        <v/>
      </c>
      <c r="AJ1520" s="81">
        <f>IF(AN1520="","",_xlfn.LET(idVenta, AN1520&amp;"",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20" s="81">
        <f>IF(AN1520="","",AH1520-AJ1520)</f>
        <v/>
      </c>
      <c r="AL1520" s="81">
        <f>IF(AN1520="","",IF(Q1520="Sin Factura","",AI1520-AJ1520))</f>
        <v/>
      </c>
      <c r="AM1520" s="81">
        <f>IF(AN1520="","",IF(Q1520="Sin Factura",0,P1520-IFERROR(INDEX(Facturas_Odoo!$H:$H, MATCH(Q1520, Facturas_Odoo!$B:$B, 0)), 0)))</f>
        <v/>
      </c>
      <c r="AN1520" s="79">
        <f>IF(AND(A1520="", J1520=""), "", IF(A1520&lt;&gt;"", VALUE(MID(A1520,2,LEN(A1520))), AN1519))</f>
        <v/>
      </c>
      <c r="AO1520" s="79">
        <f>IF(AN1520="","",IF(AD1520=0,"OK",_xlfn.LET(monedaPago, IF(AA1520="","USD",AA1520), limitePermitido, IFERROR(VLOOKUP(monedaPago, Configuración!$A$2:$B$3, 2, FALSE), 0.15), IF(AD1520&gt;limitePermitido, "ALERTA: EXCESO (" &amp; TEXT(limitePermitido, "0%") &amp; " máx)", "OK"))))</f>
        <v/>
      </c>
      <c r="AP1520" s="79">
        <f>IF(AN1520="","",IF(AE1520=0,"OK",_xlfn.LET(fechaPago, Z1520, fechaFactura, R1520, diasCredito, IF(E1520="Pago inmediato", 0, IFERROR(VALUE(MID(E1520, 1, SEARCH(" ", E1520)-1)),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20" s="79">
        <f>IF(AN1520="","",IF(AND(N1520&gt;0, AG1520&gt;0), IF(Configuración!$K$2="NO", "ALERTA: DESCUENTO DOBLE NO PERMITIDO", "OK"), "OK"))</f>
        <v/>
      </c>
      <c r="AR1520" s="79">
        <f>IF(AN1520="","",IF(OR(AO1520&lt;&gt;"OK", AP1520&lt;&gt;"OK", AQ1520&lt;&gt;"OK"), "⚠️ REVISAR", "OK"))</f>
        <v/>
      </c>
    </row>
    <row r="1521">
      <c r="A1521" s="79">
        <f>IF('Ordenes_Odoo'!A1521="","",'Ordenes_Odoo'!A1521)</f>
        <v/>
      </c>
      <c r="B1521" s="80">
        <f>IF('Ordenes_Odoo'!B1521="","",'Ordenes_Odoo'!B1521)</f>
        <v/>
      </c>
      <c r="C1521" s="79">
        <f>IF('Ordenes_Odoo'!C1521="","",'Ordenes_Odoo'!C1521)</f>
        <v/>
      </c>
      <c r="D1521" s="79">
        <f>IF('Ordenes_Odoo'!D1521="","",'Ordenes_Odoo'!D1521)</f>
        <v/>
      </c>
      <c r="E1521" s="79">
        <f>IF('Ordenes_Odoo'!E1521="","",'Ordenes_Odoo'!E1521)</f>
        <v/>
      </c>
      <c r="F1521" s="79">
        <f>IF('Ordenes_Odoo'!F1521="","",'Ordenes_Odoo'!F1521)</f>
        <v/>
      </c>
      <c r="G1521" s="79">
        <f>IF('Ordenes_Odoo'!G1521="","",'Ordenes_Odoo'!G1521)</f>
        <v/>
      </c>
      <c r="H1521" s="79">
        <f>IF('Ordenes_Odoo'!H1521="","",'Ordenes_Odoo'!H1521)</f>
        <v/>
      </c>
      <c r="I1521" s="79">
        <f>IF('Ordenes_Odoo'!I1521="","",'Ordenes_Odoo'!I1521)</f>
        <v/>
      </c>
      <c r="J1521" s="79">
        <f>IF('Ordenes_Odoo'!J1521="","",'Ordenes_Odoo'!J1521)</f>
        <v/>
      </c>
      <c r="K1521" s="81">
        <f>IF('Ordenes_Odoo'!K1521="","",'Ordenes_Odoo'!K1521)</f>
        <v/>
      </c>
      <c r="L1521" s="81">
        <f>IF('Ordenes_Odoo'!L1521="","",'Ordenes_Odoo'!L1521)</f>
        <v/>
      </c>
      <c r="M1521" s="79">
        <f>IF('Ordenes_Odoo'!M1521="","",'Ordenes_Odoo'!M1521)</f>
        <v/>
      </c>
      <c r="N1521" s="79">
        <f>IF('Ordenes_Odoo'!N1521="","",'Ordenes_Odoo'!N1521)</f>
        <v/>
      </c>
      <c r="O1521" s="81">
        <f>IF('Ordenes_Odoo'!O1521="","",'Ordenes_Odoo'!O1521)</f>
        <v/>
      </c>
      <c r="P1521" s="81">
        <f>IF('Ordenes_Odoo'!P1521="","",'Ordenes_Odoo'!P1521)</f>
        <v/>
      </c>
      <c r="Q1521" s="79">
        <f>IF(A1521="","",IFERROR(INDEX(Facturas_Odoo!$B:$B, MATCH(A1521, Facturas_Odoo!$D:$D, 0)), "Sin Factura"))</f>
        <v/>
      </c>
      <c r="R1521" s="80">
        <f>IF(Q1521="Sin Factura","",IFERROR(INDEX(Facturas_Odoo!$A:$A, MATCH(Q1521, Facturas_Odoo!$B:$B, 0)), ""))</f>
        <v/>
      </c>
      <c r="S1521" s="79">
        <f>IF(Q1521="Sin Factura","",IFERROR(_xlfn.XLOOKUP(1, (Facturas_Odoo!$D:$D=A1521) * (Facturas_Odoo!$K:$K=I1521), Facturas_Odoo!$L:$L, ""), ""))</f>
        <v/>
      </c>
      <c r="T1521" s="81">
        <f>IF(Q1521="Sin Factura",0,IFERROR(_xlfn.XLOOKUP(1, (Facturas_Odoo!$D:$D=A1521) * (Facturas_Odoo!$K:$K=I1521), Facturas_Odoo!$M:$M, 0), 0))</f>
        <v/>
      </c>
      <c r="U1521" s="79">
        <f>IF(Q1521="Sin Factura",0,IFERROR(_xlfn.XLOOKUP(1, (Facturas_Odoo!$D:$D=A1521) * (Facturas_Odoo!$K:$K=I1521), Facturas_Odoo!$N:$N, 0), 0))</f>
        <v/>
      </c>
      <c r="V1521" s="79">
        <f>IF(Q1521="Sin Factura",0,IFERROR(_xlfn.XLOOKUP(1, (Facturas_Odoo!$D:$D=A1521) * (Facturas_Odoo!$K:$K=I1521), Facturas_Odoo!$O:$O, 0), 0))</f>
        <v/>
      </c>
      <c r="W1521" s="81">
        <f>IF(Q1521="Sin Factura",0,IFERROR(_xlfn.XLOOKUP(1, (Facturas_Odoo!$D:$D=A1521) * (Facturas_Odoo!$K:$K=I1521), Facturas_Odoo!$Q:$Q, 0), 0))</f>
        <v/>
      </c>
      <c r="X1521" s="79">
        <f>IF(OR(Q1521="Sin Factura",Q1521=""),"",IFERROR(INDEX(Pagos_Odoo!$B:$B, MATCH(Q1521, Pagos_Odoo!$I:$I, 0)), "Sin Pago"))</f>
        <v/>
      </c>
      <c r="Y1521" s="79">
        <f>IF(X1521="Sin Pago","",IFERROR(INDEX(Pagos_Odoo!$C:$C, MATCH(X1521, Pagos_Odoo!$B:$B, 0)), ""))</f>
        <v/>
      </c>
      <c r="Z1521" s="80">
        <f>IF(X1521="Sin Pago","",IFERROR(INDEX(Pagos_Odoo!$A:$A, MATCH(X1521, Pagos_Odoo!$B:$B, 0)), ""))</f>
        <v/>
      </c>
      <c r="AA1521" s="79">
        <f>IF(X1521="Sin Pago","",IFERROR(INDEX(Pagos_Odoo!$F:$F, MATCH(X1521, Pagos_Odoo!$B:$B, 0)), ""))</f>
        <v/>
      </c>
      <c r="AB1521" s="81">
        <f>IF(X1521="Sin Pago",0,IFERROR(INDEX(Pagos_Odoo!$E:$E, MATCH(X1521, Pagos_Odoo!$B:$B, 0)), 0))</f>
        <v/>
      </c>
      <c r="AC1521" s="79">
        <f>IF(X1521="Sin Pago","",IFERROR(INDEX(Pagos_Odoo!$G:$G, MATCH(X1521, Pagos_Odoo!$B:$B, 0)), ""))</f>
        <v/>
      </c>
      <c r="AD1521" s="82" t="n">
        <v>0</v>
      </c>
      <c r="AE1521" s="82" t="n"/>
      <c r="AF1521" s="82" t="n"/>
      <c r="AG1521" s="82">
        <f>IF(AN1521="","",AD1521+AE1521+AF1521)</f>
        <v/>
      </c>
      <c r="AH1521" s="81">
        <f>IF(AN1521="","",P1521*(1-AG1521))</f>
        <v/>
      </c>
      <c r="AI1521" s="81">
        <f>IF(AN1521="","",IF(Q1521="Sin Factura",0,IFERROR(INDEX(Facturas_Odoo!$H:$H, MATCH(Q1521, Facturas_Odoo!$B:$B, 0)), 0)*(1-AG1521)))</f>
        <v/>
      </c>
      <c r="AJ1521" s="81">
        <f>IF(AN1521="","",_xlfn.LET(idVenta, AN1521&amp;"",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21" s="81">
        <f>IF(AN1521="","",AH1521-AJ1521)</f>
        <v/>
      </c>
      <c r="AL1521" s="81">
        <f>IF(AN1521="","",IF(Q1521="Sin Factura","",AI1521-AJ1521))</f>
        <v/>
      </c>
      <c r="AM1521" s="81">
        <f>IF(AN1521="","",IF(Q1521="Sin Factura",0,P1521-IFERROR(INDEX(Facturas_Odoo!$H:$H, MATCH(Q1521, Facturas_Odoo!$B:$B, 0)), 0)))</f>
        <v/>
      </c>
      <c r="AN1521" s="79">
        <f>IF(AND(A1521="", J1521=""), "", IF(A1521&lt;&gt;"", VALUE(MID(A1521,2,LEN(A1521))), AN1520))</f>
        <v/>
      </c>
      <c r="AO1521" s="79">
        <f>IF(AN1521="","",IF(AD1521=0,"OK",_xlfn.LET(monedaPago, IF(AA1521="","USD",AA1521), limitePermitido, IFERROR(VLOOKUP(monedaPago, Configuración!$A$2:$B$3, 2, FALSE), 0.15), IF(AD1521&gt;limitePermitido, "ALERTA: EXCESO (" &amp; TEXT(limitePermitido, "0%") &amp; " máx)", "OK"))))</f>
        <v/>
      </c>
      <c r="AP1521" s="79">
        <f>IF(AN1521="","",IF(AE1521=0,"OK",_xlfn.LET(fechaPago, Z1521, fechaFactura, R1521, diasCredito, IF(E1521="Pago inmediato", 0, IFERROR(VALUE(MID(E1521, 1, SEARCH(" ", E1521)-1)),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21" s="79">
        <f>IF(AN1521="","",IF(AND(N1521&gt;0, AG1521&gt;0), IF(Configuración!$K$2="NO", "ALERTA: DESCUENTO DOBLE NO PERMITIDO", "OK"), "OK"))</f>
        <v/>
      </c>
      <c r="AR1521" s="79">
        <f>IF(AN1521="","",IF(OR(AO1521&lt;&gt;"OK", AP1521&lt;&gt;"OK", AQ1521&lt;&gt;"OK"), "⚠️ REVISAR", "OK"))</f>
        <v/>
      </c>
    </row>
    <row r="1522">
      <c r="A1522" s="79">
        <f>IF('Ordenes_Odoo'!A1522="","",'Ordenes_Odoo'!A1522)</f>
        <v/>
      </c>
      <c r="B1522" s="80">
        <f>IF('Ordenes_Odoo'!B1522="","",'Ordenes_Odoo'!B1522)</f>
        <v/>
      </c>
      <c r="C1522" s="79">
        <f>IF('Ordenes_Odoo'!C1522="","",'Ordenes_Odoo'!C1522)</f>
        <v/>
      </c>
      <c r="D1522" s="79">
        <f>IF('Ordenes_Odoo'!D1522="","",'Ordenes_Odoo'!D1522)</f>
        <v/>
      </c>
      <c r="E1522" s="79">
        <f>IF('Ordenes_Odoo'!E1522="","",'Ordenes_Odoo'!E1522)</f>
        <v/>
      </c>
      <c r="F1522" s="79">
        <f>IF('Ordenes_Odoo'!F1522="","",'Ordenes_Odoo'!F1522)</f>
        <v/>
      </c>
      <c r="G1522" s="79">
        <f>IF('Ordenes_Odoo'!G1522="","",'Ordenes_Odoo'!G1522)</f>
        <v/>
      </c>
      <c r="H1522" s="79">
        <f>IF('Ordenes_Odoo'!H1522="","",'Ordenes_Odoo'!H1522)</f>
        <v/>
      </c>
      <c r="I1522" s="79">
        <f>IF('Ordenes_Odoo'!I1522="","",'Ordenes_Odoo'!I1522)</f>
        <v/>
      </c>
      <c r="J1522" s="79">
        <f>IF('Ordenes_Odoo'!J1522="","",'Ordenes_Odoo'!J1522)</f>
        <v/>
      </c>
      <c r="K1522" s="81">
        <f>IF('Ordenes_Odoo'!K1522="","",'Ordenes_Odoo'!K1522)</f>
        <v/>
      </c>
      <c r="L1522" s="81">
        <f>IF('Ordenes_Odoo'!L1522="","",'Ordenes_Odoo'!L1522)</f>
        <v/>
      </c>
      <c r="M1522" s="79">
        <f>IF('Ordenes_Odoo'!M1522="","",'Ordenes_Odoo'!M1522)</f>
        <v/>
      </c>
      <c r="N1522" s="79">
        <f>IF('Ordenes_Odoo'!N1522="","",'Ordenes_Odoo'!N1522)</f>
        <v/>
      </c>
      <c r="O1522" s="81">
        <f>IF('Ordenes_Odoo'!O1522="","",'Ordenes_Odoo'!O1522)</f>
        <v/>
      </c>
      <c r="P1522" s="81">
        <f>IF('Ordenes_Odoo'!P1522="","",'Ordenes_Odoo'!P1522)</f>
        <v/>
      </c>
      <c r="Q1522" s="79">
        <f>IF(A1522="","",IFERROR(INDEX(Facturas_Odoo!$B:$B, MATCH(A1522, Facturas_Odoo!$D:$D, 0)), "Sin Factura"))</f>
        <v/>
      </c>
      <c r="R1522" s="80">
        <f>IF(Q1522="Sin Factura","",IFERROR(INDEX(Facturas_Odoo!$A:$A, MATCH(Q1522, Facturas_Odoo!$B:$B, 0)), ""))</f>
        <v/>
      </c>
      <c r="S1522" s="79">
        <f>IF(Q1522="Sin Factura","",IFERROR(_xlfn.XLOOKUP(1, (Facturas_Odoo!$D:$D=A1522) * (Facturas_Odoo!$K:$K=I1522), Facturas_Odoo!$L:$L, ""), ""))</f>
        <v/>
      </c>
      <c r="T1522" s="81">
        <f>IF(Q1522="Sin Factura",0,IFERROR(_xlfn.XLOOKUP(1, (Facturas_Odoo!$D:$D=A1522) * (Facturas_Odoo!$K:$K=I1522), Facturas_Odoo!$M:$M, 0), 0))</f>
        <v/>
      </c>
      <c r="U1522" s="79">
        <f>IF(Q1522="Sin Factura",0,IFERROR(_xlfn.XLOOKUP(1, (Facturas_Odoo!$D:$D=A1522) * (Facturas_Odoo!$K:$K=I1522), Facturas_Odoo!$N:$N, 0), 0))</f>
        <v/>
      </c>
      <c r="V1522" s="79">
        <f>IF(Q1522="Sin Factura",0,IFERROR(_xlfn.XLOOKUP(1, (Facturas_Odoo!$D:$D=A1522) * (Facturas_Odoo!$K:$K=I1522), Facturas_Odoo!$O:$O, 0), 0))</f>
        <v/>
      </c>
      <c r="W1522" s="81">
        <f>IF(Q1522="Sin Factura",0,IFERROR(_xlfn.XLOOKUP(1, (Facturas_Odoo!$D:$D=A1522) * (Facturas_Odoo!$K:$K=I1522), Facturas_Odoo!$Q:$Q, 0), 0))</f>
        <v/>
      </c>
      <c r="X1522" s="79">
        <f>IF(OR(Q1522="Sin Factura",Q1522=""),"",IFERROR(INDEX(Pagos_Odoo!$B:$B, MATCH(Q1522, Pagos_Odoo!$I:$I, 0)), "Sin Pago"))</f>
        <v/>
      </c>
      <c r="Y1522" s="79">
        <f>IF(X1522="Sin Pago","",IFERROR(INDEX(Pagos_Odoo!$C:$C, MATCH(X1522, Pagos_Odoo!$B:$B, 0)), ""))</f>
        <v/>
      </c>
      <c r="Z1522" s="80">
        <f>IF(X1522="Sin Pago","",IFERROR(INDEX(Pagos_Odoo!$A:$A, MATCH(X1522, Pagos_Odoo!$B:$B, 0)), ""))</f>
        <v/>
      </c>
      <c r="AA1522" s="79">
        <f>IF(X1522="Sin Pago","",IFERROR(INDEX(Pagos_Odoo!$F:$F, MATCH(X1522, Pagos_Odoo!$B:$B, 0)), ""))</f>
        <v/>
      </c>
      <c r="AB1522" s="81">
        <f>IF(X1522="Sin Pago",0,IFERROR(INDEX(Pagos_Odoo!$E:$E, MATCH(X1522, Pagos_Odoo!$B:$B, 0)), 0))</f>
        <v/>
      </c>
      <c r="AC1522" s="79">
        <f>IF(X1522="Sin Pago","",IFERROR(INDEX(Pagos_Odoo!$G:$G, MATCH(X1522, Pagos_Odoo!$B:$B, 0)), ""))</f>
        <v/>
      </c>
      <c r="AD1522" s="82" t="n">
        <v>0</v>
      </c>
      <c r="AE1522" s="82" t="n"/>
      <c r="AF1522" s="82" t="n"/>
      <c r="AG1522" s="82">
        <f>IF(AN1522="","",AD1522+AE1522+AF1522)</f>
        <v/>
      </c>
      <c r="AH1522" s="81">
        <f>IF(AN1522="","",P1522*(1-AG1522))</f>
        <v/>
      </c>
      <c r="AI1522" s="81">
        <f>IF(AN1522="","",IF(Q1522="Sin Factura",0,IFERROR(INDEX(Facturas_Odoo!$H:$H, MATCH(Q1522, Facturas_Odoo!$B:$B, 0)), 0)*(1-AG1522)))</f>
        <v/>
      </c>
      <c r="AJ1522" s="81">
        <f>IF(AN1522="","",_xlfn.LET(idVenta, AN1522&amp;"",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22" s="81">
        <f>IF(AN1522="","",AH1522-AJ1522)</f>
        <v/>
      </c>
      <c r="AL1522" s="81">
        <f>IF(AN1522="","",IF(Q1522="Sin Factura","",AI1522-AJ1522))</f>
        <v/>
      </c>
      <c r="AM1522" s="81">
        <f>IF(AN1522="","",IF(Q1522="Sin Factura",0,P1522-IFERROR(INDEX(Facturas_Odoo!$H:$H, MATCH(Q1522, Facturas_Odoo!$B:$B, 0)), 0)))</f>
        <v/>
      </c>
      <c r="AN1522" s="79">
        <f>IF(AND(A1522="", J1522=""), "", IF(A1522&lt;&gt;"", VALUE(MID(A1522,2,LEN(A1522))), AN1521))</f>
        <v/>
      </c>
      <c r="AO1522" s="79">
        <f>IF(AN1522="","",IF(AD1522=0,"OK",_xlfn.LET(monedaPago, IF(AA1522="","USD",AA1522), limitePermitido, IFERROR(VLOOKUP(monedaPago, Configuración!$A$2:$B$3, 2, FALSE), 0.15), IF(AD1522&gt;limitePermitido, "ALERTA: EXCESO (" &amp; TEXT(limitePermitido, "0%") &amp; " máx)", "OK"))))</f>
        <v/>
      </c>
      <c r="AP1522" s="79">
        <f>IF(AN1522="","",IF(AE1522=0,"OK",_xlfn.LET(fechaPago, Z1522, fechaFactura, R1522, diasCredito, IF(E1522="Pago inmediato", 0, IFERROR(VALUE(MID(E1522, 1, SEARCH(" ", E1522)-1)),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22" s="79">
        <f>IF(AN1522="","",IF(AND(N1522&gt;0, AG1522&gt;0), IF(Configuración!$K$2="NO", "ALERTA: DESCUENTO DOBLE NO PERMITIDO", "OK"), "OK"))</f>
        <v/>
      </c>
      <c r="AR1522" s="79">
        <f>IF(AN1522="","",IF(OR(AO1522&lt;&gt;"OK", AP1522&lt;&gt;"OK", AQ1522&lt;&gt;"OK"), "⚠️ REVISAR", "OK"))</f>
        <v/>
      </c>
    </row>
    <row r="1523">
      <c r="A1523" s="79">
        <f>IF('Ordenes_Odoo'!A1523="","",'Ordenes_Odoo'!A1523)</f>
        <v/>
      </c>
      <c r="B1523" s="80">
        <f>IF('Ordenes_Odoo'!B1523="","",'Ordenes_Odoo'!B1523)</f>
        <v/>
      </c>
      <c r="C1523" s="79">
        <f>IF('Ordenes_Odoo'!C1523="","",'Ordenes_Odoo'!C1523)</f>
        <v/>
      </c>
      <c r="D1523" s="79">
        <f>IF('Ordenes_Odoo'!D1523="","",'Ordenes_Odoo'!D1523)</f>
        <v/>
      </c>
      <c r="E1523" s="79">
        <f>IF('Ordenes_Odoo'!E1523="","",'Ordenes_Odoo'!E1523)</f>
        <v/>
      </c>
      <c r="F1523" s="79">
        <f>IF('Ordenes_Odoo'!F1523="","",'Ordenes_Odoo'!F1523)</f>
        <v/>
      </c>
      <c r="G1523" s="79">
        <f>IF('Ordenes_Odoo'!G1523="","",'Ordenes_Odoo'!G1523)</f>
        <v/>
      </c>
      <c r="H1523" s="79">
        <f>IF('Ordenes_Odoo'!H1523="","",'Ordenes_Odoo'!H1523)</f>
        <v/>
      </c>
      <c r="I1523" s="79">
        <f>IF('Ordenes_Odoo'!I1523="","",'Ordenes_Odoo'!I1523)</f>
        <v/>
      </c>
      <c r="J1523" s="79">
        <f>IF('Ordenes_Odoo'!J1523="","",'Ordenes_Odoo'!J1523)</f>
        <v/>
      </c>
      <c r="K1523" s="81">
        <f>IF('Ordenes_Odoo'!K1523="","",'Ordenes_Odoo'!K1523)</f>
        <v/>
      </c>
      <c r="L1523" s="81">
        <f>IF('Ordenes_Odoo'!L1523="","",'Ordenes_Odoo'!L1523)</f>
        <v/>
      </c>
      <c r="M1523" s="79">
        <f>IF('Ordenes_Odoo'!M1523="","",'Ordenes_Odoo'!M1523)</f>
        <v/>
      </c>
      <c r="N1523" s="79">
        <f>IF('Ordenes_Odoo'!N1523="","",'Ordenes_Odoo'!N1523)</f>
        <v/>
      </c>
      <c r="O1523" s="81">
        <f>IF('Ordenes_Odoo'!O1523="","",'Ordenes_Odoo'!O1523)</f>
        <v/>
      </c>
      <c r="P1523" s="81">
        <f>IF('Ordenes_Odoo'!P1523="","",'Ordenes_Odoo'!P1523)</f>
        <v/>
      </c>
      <c r="Q1523" s="79">
        <f>IF(A1523="","",IFERROR(INDEX(Facturas_Odoo!$B:$B, MATCH(A1523, Facturas_Odoo!$D:$D, 0)), "Sin Factura"))</f>
        <v/>
      </c>
      <c r="R1523" s="80">
        <f>IF(Q1523="Sin Factura","",IFERROR(INDEX(Facturas_Odoo!$A:$A, MATCH(Q1523, Facturas_Odoo!$B:$B, 0)), ""))</f>
        <v/>
      </c>
      <c r="S1523" s="79">
        <f>IF(Q1523="Sin Factura","",IFERROR(_xlfn.XLOOKUP(1, (Facturas_Odoo!$D:$D=A1523) * (Facturas_Odoo!$K:$K=I1523), Facturas_Odoo!$L:$L, ""), ""))</f>
        <v/>
      </c>
      <c r="T1523" s="81">
        <f>IF(Q1523="Sin Factura",0,IFERROR(_xlfn.XLOOKUP(1, (Facturas_Odoo!$D:$D=A1523) * (Facturas_Odoo!$K:$K=I1523), Facturas_Odoo!$M:$M, 0), 0))</f>
        <v/>
      </c>
      <c r="U1523" s="79">
        <f>IF(Q1523="Sin Factura",0,IFERROR(_xlfn.XLOOKUP(1, (Facturas_Odoo!$D:$D=A1523) * (Facturas_Odoo!$K:$K=I1523), Facturas_Odoo!$N:$N, 0), 0))</f>
        <v/>
      </c>
      <c r="V1523" s="79">
        <f>IF(Q1523="Sin Factura",0,IFERROR(_xlfn.XLOOKUP(1, (Facturas_Odoo!$D:$D=A1523) * (Facturas_Odoo!$K:$K=I1523), Facturas_Odoo!$O:$O, 0), 0))</f>
        <v/>
      </c>
      <c r="W1523" s="81">
        <f>IF(Q1523="Sin Factura",0,IFERROR(_xlfn.XLOOKUP(1, (Facturas_Odoo!$D:$D=A1523) * (Facturas_Odoo!$K:$K=I1523), Facturas_Odoo!$Q:$Q, 0), 0))</f>
        <v/>
      </c>
      <c r="X1523" s="79">
        <f>IF(OR(Q1523="Sin Factura",Q1523=""),"",IFERROR(INDEX(Pagos_Odoo!$B:$B, MATCH(Q1523, Pagos_Odoo!$I:$I, 0)), "Sin Pago"))</f>
        <v/>
      </c>
      <c r="Y1523" s="79">
        <f>IF(X1523="Sin Pago","",IFERROR(INDEX(Pagos_Odoo!$C:$C, MATCH(X1523, Pagos_Odoo!$B:$B, 0)), ""))</f>
        <v/>
      </c>
      <c r="Z1523" s="80">
        <f>IF(X1523="Sin Pago","",IFERROR(INDEX(Pagos_Odoo!$A:$A, MATCH(X1523, Pagos_Odoo!$B:$B, 0)), ""))</f>
        <v/>
      </c>
      <c r="AA1523" s="79">
        <f>IF(X1523="Sin Pago","",IFERROR(INDEX(Pagos_Odoo!$F:$F, MATCH(X1523, Pagos_Odoo!$B:$B, 0)), ""))</f>
        <v/>
      </c>
      <c r="AB1523" s="81">
        <f>IF(X1523="Sin Pago",0,IFERROR(INDEX(Pagos_Odoo!$E:$E, MATCH(X1523, Pagos_Odoo!$B:$B, 0)), 0))</f>
        <v/>
      </c>
      <c r="AC1523" s="79">
        <f>IF(X1523="Sin Pago","",IFERROR(INDEX(Pagos_Odoo!$G:$G, MATCH(X1523, Pagos_Odoo!$B:$B, 0)), ""))</f>
        <v/>
      </c>
      <c r="AD1523" s="82" t="n">
        <v>0</v>
      </c>
      <c r="AE1523" s="82" t="n"/>
      <c r="AF1523" s="82" t="n"/>
      <c r="AG1523" s="82">
        <f>IF(AN1523="","",AD1523+AE1523+AF1523)</f>
        <v/>
      </c>
      <c r="AH1523" s="81">
        <f>IF(AN1523="","",P1523*(1-AG1523))</f>
        <v/>
      </c>
      <c r="AI1523" s="81">
        <f>IF(AN1523="","",IF(Q1523="Sin Factura",0,IFERROR(INDEX(Facturas_Odoo!$H:$H, MATCH(Q1523, Facturas_Odoo!$B:$B, 0)), 0)*(1-AG1523)))</f>
        <v/>
      </c>
      <c r="AJ1523" s="81">
        <f>IF(AN1523="","",_xlfn.LET(idVenta, AN1523&amp;"",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23" s="81">
        <f>IF(AN1523="","",AH1523-AJ1523)</f>
        <v/>
      </c>
      <c r="AL1523" s="81">
        <f>IF(AN1523="","",IF(Q1523="Sin Factura","",AI1523-AJ1523))</f>
        <v/>
      </c>
      <c r="AM1523" s="81">
        <f>IF(AN1523="","",IF(Q1523="Sin Factura",0,P1523-IFERROR(INDEX(Facturas_Odoo!$H:$H, MATCH(Q1523, Facturas_Odoo!$B:$B, 0)), 0)))</f>
        <v/>
      </c>
      <c r="AN1523" s="79">
        <f>IF(AND(A1523="", J1523=""), "", IF(A1523&lt;&gt;"", VALUE(MID(A1523,2,LEN(A1523))), AN1522))</f>
        <v/>
      </c>
      <c r="AO1523" s="79">
        <f>IF(AN1523="","",IF(AD1523=0,"OK",_xlfn.LET(monedaPago, IF(AA1523="","USD",AA1523), limitePermitido, IFERROR(VLOOKUP(monedaPago, Configuración!$A$2:$B$3, 2, FALSE), 0.15), IF(AD1523&gt;limitePermitido, "ALERTA: EXCESO (" &amp; TEXT(limitePermitido, "0%") &amp; " máx)", "OK"))))</f>
        <v/>
      </c>
      <c r="AP1523" s="79">
        <f>IF(AN1523="","",IF(AE1523=0,"OK",_xlfn.LET(fechaPago, Z1523, fechaFactura, R1523, diasCredito, IF(E1523="Pago inmediato", 0, IFERROR(VALUE(MID(E1523, 1, SEARCH(" ", E1523)-1)),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23" s="79">
        <f>IF(AN1523="","",IF(AND(N1523&gt;0, AG1523&gt;0), IF(Configuración!$K$2="NO", "ALERTA: DESCUENTO DOBLE NO PERMITIDO", "OK"), "OK"))</f>
        <v/>
      </c>
      <c r="AR1523" s="79">
        <f>IF(AN1523="","",IF(OR(AO1523&lt;&gt;"OK", AP1523&lt;&gt;"OK", AQ1523&lt;&gt;"OK"), "⚠️ REVISAR", "OK"))</f>
        <v/>
      </c>
    </row>
    <row r="1524">
      <c r="A1524" s="79">
        <f>IF('Ordenes_Odoo'!A1524="","",'Ordenes_Odoo'!A1524)</f>
        <v/>
      </c>
      <c r="B1524" s="80">
        <f>IF('Ordenes_Odoo'!B1524="","",'Ordenes_Odoo'!B1524)</f>
        <v/>
      </c>
      <c r="C1524" s="79">
        <f>IF('Ordenes_Odoo'!C1524="","",'Ordenes_Odoo'!C1524)</f>
        <v/>
      </c>
      <c r="D1524" s="79">
        <f>IF('Ordenes_Odoo'!D1524="","",'Ordenes_Odoo'!D1524)</f>
        <v/>
      </c>
      <c r="E1524" s="79">
        <f>IF('Ordenes_Odoo'!E1524="","",'Ordenes_Odoo'!E1524)</f>
        <v/>
      </c>
      <c r="F1524" s="79">
        <f>IF('Ordenes_Odoo'!F1524="","",'Ordenes_Odoo'!F1524)</f>
        <v/>
      </c>
      <c r="G1524" s="79">
        <f>IF('Ordenes_Odoo'!G1524="","",'Ordenes_Odoo'!G1524)</f>
        <v/>
      </c>
      <c r="H1524" s="79">
        <f>IF('Ordenes_Odoo'!H1524="","",'Ordenes_Odoo'!H1524)</f>
        <v/>
      </c>
      <c r="I1524" s="79">
        <f>IF('Ordenes_Odoo'!I1524="","",'Ordenes_Odoo'!I1524)</f>
        <v/>
      </c>
      <c r="J1524" s="79">
        <f>IF('Ordenes_Odoo'!J1524="","",'Ordenes_Odoo'!J1524)</f>
        <v/>
      </c>
      <c r="K1524" s="81">
        <f>IF('Ordenes_Odoo'!K1524="","",'Ordenes_Odoo'!K1524)</f>
        <v/>
      </c>
      <c r="L1524" s="81">
        <f>IF('Ordenes_Odoo'!L1524="","",'Ordenes_Odoo'!L1524)</f>
        <v/>
      </c>
      <c r="M1524" s="79">
        <f>IF('Ordenes_Odoo'!M1524="","",'Ordenes_Odoo'!M1524)</f>
        <v/>
      </c>
      <c r="N1524" s="79">
        <f>IF('Ordenes_Odoo'!N1524="","",'Ordenes_Odoo'!N1524)</f>
        <v/>
      </c>
      <c r="O1524" s="81">
        <f>IF('Ordenes_Odoo'!O1524="","",'Ordenes_Odoo'!O1524)</f>
        <v/>
      </c>
      <c r="P1524" s="81">
        <f>IF('Ordenes_Odoo'!P1524="","",'Ordenes_Odoo'!P1524)</f>
        <v/>
      </c>
      <c r="Q1524" s="79">
        <f>IF(A1524="","",IFERROR(INDEX(Facturas_Odoo!$B:$B, MATCH(A1524, Facturas_Odoo!$D:$D, 0)), "Sin Factura"))</f>
        <v/>
      </c>
      <c r="R1524" s="80">
        <f>IF(Q1524="Sin Factura","",IFERROR(INDEX(Facturas_Odoo!$A:$A, MATCH(Q1524, Facturas_Odoo!$B:$B, 0)), ""))</f>
        <v/>
      </c>
      <c r="S1524" s="79">
        <f>IF(Q1524="Sin Factura","",IFERROR(_xlfn.XLOOKUP(1, (Facturas_Odoo!$D:$D=A1524) * (Facturas_Odoo!$K:$K=I1524), Facturas_Odoo!$L:$L, ""), ""))</f>
        <v/>
      </c>
      <c r="T1524" s="81">
        <f>IF(Q1524="Sin Factura",0,IFERROR(_xlfn.XLOOKUP(1, (Facturas_Odoo!$D:$D=A1524) * (Facturas_Odoo!$K:$K=I1524), Facturas_Odoo!$M:$M, 0), 0))</f>
        <v/>
      </c>
      <c r="U1524" s="79">
        <f>IF(Q1524="Sin Factura",0,IFERROR(_xlfn.XLOOKUP(1, (Facturas_Odoo!$D:$D=A1524) * (Facturas_Odoo!$K:$K=I1524), Facturas_Odoo!$N:$N, 0), 0))</f>
        <v/>
      </c>
      <c r="V1524" s="79">
        <f>IF(Q1524="Sin Factura",0,IFERROR(_xlfn.XLOOKUP(1, (Facturas_Odoo!$D:$D=A1524) * (Facturas_Odoo!$K:$K=I1524), Facturas_Odoo!$O:$O, 0), 0))</f>
        <v/>
      </c>
      <c r="W1524" s="81">
        <f>IF(Q1524="Sin Factura",0,IFERROR(_xlfn.XLOOKUP(1, (Facturas_Odoo!$D:$D=A1524) * (Facturas_Odoo!$K:$K=I1524), Facturas_Odoo!$Q:$Q, 0), 0))</f>
        <v/>
      </c>
      <c r="X1524" s="79">
        <f>IF(OR(Q1524="Sin Factura",Q1524=""),"",IFERROR(INDEX(Pagos_Odoo!$B:$B, MATCH(Q1524, Pagos_Odoo!$I:$I, 0)), "Sin Pago"))</f>
        <v/>
      </c>
      <c r="Y1524" s="79">
        <f>IF(X1524="Sin Pago","",IFERROR(INDEX(Pagos_Odoo!$C:$C, MATCH(X1524, Pagos_Odoo!$B:$B, 0)), ""))</f>
        <v/>
      </c>
      <c r="Z1524" s="80">
        <f>IF(X1524="Sin Pago","",IFERROR(INDEX(Pagos_Odoo!$A:$A, MATCH(X1524, Pagos_Odoo!$B:$B, 0)), ""))</f>
        <v/>
      </c>
      <c r="AA1524" s="79">
        <f>IF(X1524="Sin Pago","",IFERROR(INDEX(Pagos_Odoo!$F:$F, MATCH(X1524, Pagos_Odoo!$B:$B, 0)), ""))</f>
        <v/>
      </c>
      <c r="AB1524" s="81">
        <f>IF(X1524="Sin Pago",0,IFERROR(INDEX(Pagos_Odoo!$E:$E, MATCH(X1524, Pagos_Odoo!$B:$B, 0)), 0))</f>
        <v/>
      </c>
      <c r="AC1524" s="79">
        <f>IF(X1524="Sin Pago","",IFERROR(INDEX(Pagos_Odoo!$G:$G, MATCH(X1524, Pagos_Odoo!$B:$B, 0)), ""))</f>
        <v/>
      </c>
      <c r="AD1524" s="82" t="n">
        <v>0</v>
      </c>
      <c r="AE1524" s="82" t="n"/>
      <c r="AF1524" s="82" t="n"/>
      <c r="AG1524" s="82">
        <f>IF(AN1524="","",AD1524+AE1524+AF1524)</f>
        <v/>
      </c>
      <c r="AH1524" s="81">
        <f>IF(AN1524="","",P1524*(1-AG1524))</f>
        <v/>
      </c>
      <c r="AI1524" s="81">
        <f>IF(AN1524="","",IF(Q1524="Sin Factura",0,IFERROR(INDEX(Facturas_Odoo!$H:$H, MATCH(Q1524, Facturas_Odoo!$B:$B, 0)), 0)*(1-AG1524)))</f>
        <v/>
      </c>
      <c r="AJ1524" s="81">
        <f>IF(AN1524="","",_xlfn.LET(idVenta, AN1524&amp;"",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24" s="81">
        <f>IF(AN1524="","",AH1524-AJ1524)</f>
        <v/>
      </c>
      <c r="AL1524" s="81">
        <f>IF(AN1524="","",IF(Q1524="Sin Factura","",AI1524-AJ1524))</f>
        <v/>
      </c>
      <c r="AM1524" s="81">
        <f>IF(AN1524="","",IF(Q1524="Sin Factura",0,P1524-IFERROR(INDEX(Facturas_Odoo!$H:$H, MATCH(Q1524, Facturas_Odoo!$B:$B, 0)), 0)))</f>
        <v/>
      </c>
      <c r="AN1524" s="79">
        <f>IF(AND(A1524="", J1524=""), "", IF(A1524&lt;&gt;"", VALUE(MID(A1524,2,LEN(A1524))), AN1523))</f>
        <v/>
      </c>
      <c r="AO1524" s="79">
        <f>IF(AN1524="","",IF(AD1524=0,"OK",_xlfn.LET(monedaPago, IF(AA1524="","USD",AA1524), limitePermitido, IFERROR(VLOOKUP(monedaPago, Configuración!$A$2:$B$3, 2, FALSE), 0.15), IF(AD1524&gt;limitePermitido, "ALERTA: EXCESO (" &amp; TEXT(limitePermitido, "0%") &amp; " máx)", "OK"))))</f>
        <v/>
      </c>
      <c r="AP1524" s="79">
        <f>IF(AN1524="","",IF(AE1524=0,"OK",_xlfn.LET(fechaPago, Z1524, fechaFactura, R1524, diasCredito, IF(E1524="Pago inmediato", 0, IFERROR(VALUE(MID(E1524, 1, SEARCH(" ", E1524)-1)),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24" s="79">
        <f>IF(AN1524="","",IF(AND(N1524&gt;0, AG1524&gt;0), IF(Configuración!$K$2="NO", "ALERTA: DESCUENTO DOBLE NO PERMITIDO", "OK"), "OK"))</f>
        <v/>
      </c>
      <c r="AR1524" s="79">
        <f>IF(AN1524="","",IF(OR(AO1524&lt;&gt;"OK", AP1524&lt;&gt;"OK", AQ1524&lt;&gt;"OK"), "⚠️ REVISAR", "OK"))</f>
        <v/>
      </c>
    </row>
    <row r="1525">
      <c r="A1525" s="79">
        <f>IF('Ordenes_Odoo'!A1525="","",'Ordenes_Odoo'!A1525)</f>
        <v/>
      </c>
      <c r="B1525" s="80">
        <f>IF('Ordenes_Odoo'!B1525="","",'Ordenes_Odoo'!B1525)</f>
        <v/>
      </c>
      <c r="C1525" s="79">
        <f>IF('Ordenes_Odoo'!C1525="","",'Ordenes_Odoo'!C1525)</f>
        <v/>
      </c>
      <c r="D1525" s="79">
        <f>IF('Ordenes_Odoo'!D1525="","",'Ordenes_Odoo'!D1525)</f>
        <v/>
      </c>
      <c r="E1525" s="79">
        <f>IF('Ordenes_Odoo'!E1525="","",'Ordenes_Odoo'!E1525)</f>
        <v/>
      </c>
      <c r="F1525" s="79">
        <f>IF('Ordenes_Odoo'!F1525="","",'Ordenes_Odoo'!F1525)</f>
        <v/>
      </c>
      <c r="G1525" s="79">
        <f>IF('Ordenes_Odoo'!G1525="","",'Ordenes_Odoo'!G1525)</f>
        <v/>
      </c>
      <c r="H1525" s="79">
        <f>IF('Ordenes_Odoo'!H1525="","",'Ordenes_Odoo'!H1525)</f>
        <v/>
      </c>
      <c r="I1525" s="79">
        <f>IF('Ordenes_Odoo'!I1525="","",'Ordenes_Odoo'!I1525)</f>
        <v/>
      </c>
      <c r="J1525" s="79">
        <f>IF('Ordenes_Odoo'!J1525="","",'Ordenes_Odoo'!J1525)</f>
        <v/>
      </c>
      <c r="K1525" s="81">
        <f>IF('Ordenes_Odoo'!K1525="","",'Ordenes_Odoo'!K1525)</f>
        <v/>
      </c>
      <c r="L1525" s="81">
        <f>IF('Ordenes_Odoo'!L1525="","",'Ordenes_Odoo'!L1525)</f>
        <v/>
      </c>
      <c r="M1525" s="79">
        <f>IF('Ordenes_Odoo'!M1525="","",'Ordenes_Odoo'!M1525)</f>
        <v/>
      </c>
      <c r="N1525" s="79">
        <f>IF('Ordenes_Odoo'!N1525="","",'Ordenes_Odoo'!N1525)</f>
        <v/>
      </c>
      <c r="O1525" s="81">
        <f>IF('Ordenes_Odoo'!O1525="","",'Ordenes_Odoo'!O1525)</f>
        <v/>
      </c>
      <c r="P1525" s="81">
        <f>IF('Ordenes_Odoo'!P1525="","",'Ordenes_Odoo'!P1525)</f>
        <v/>
      </c>
      <c r="Q1525" s="79">
        <f>IF(A1525="","",IFERROR(INDEX(Facturas_Odoo!$B:$B, MATCH(A1525, Facturas_Odoo!$D:$D, 0)), "Sin Factura"))</f>
        <v/>
      </c>
      <c r="R1525" s="80">
        <f>IF(Q1525="Sin Factura","",IFERROR(INDEX(Facturas_Odoo!$A:$A, MATCH(Q1525, Facturas_Odoo!$B:$B, 0)), ""))</f>
        <v/>
      </c>
      <c r="S1525" s="79">
        <f>IF(Q1525="Sin Factura","",IFERROR(_xlfn.XLOOKUP(1, (Facturas_Odoo!$D:$D=A1525) * (Facturas_Odoo!$K:$K=I1525), Facturas_Odoo!$L:$L, ""), ""))</f>
        <v/>
      </c>
      <c r="T1525" s="81">
        <f>IF(Q1525="Sin Factura",0,IFERROR(_xlfn.XLOOKUP(1, (Facturas_Odoo!$D:$D=A1525) * (Facturas_Odoo!$K:$K=I1525), Facturas_Odoo!$M:$M, 0), 0))</f>
        <v/>
      </c>
      <c r="U1525" s="79">
        <f>IF(Q1525="Sin Factura",0,IFERROR(_xlfn.XLOOKUP(1, (Facturas_Odoo!$D:$D=A1525) * (Facturas_Odoo!$K:$K=I1525), Facturas_Odoo!$N:$N, 0), 0))</f>
        <v/>
      </c>
      <c r="V1525" s="79">
        <f>IF(Q1525="Sin Factura",0,IFERROR(_xlfn.XLOOKUP(1, (Facturas_Odoo!$D:$D=A1525) * (Facturas_Odoo!$K:$K=I1525), Facturas_Odoo!$O:$O, 0), 0))</f>
        <v/>
      </c>
      <c r="W1525" s="81">
        <f>IF(Q1525="Sin Factura",0,IFERROR(_xlfn.XLOOKUP(1, (Facturas_Odoo!$D:$D=A1525) * (Facturas_Odoo!$K:$K=I1525), Facturas_Odoo!$Q:$Q, 0), 0))</f>
        <v/>
      </c>
      <c r="X1525" s="79">
        <f>IF(OR(Q1525="Sin Factura",Q1525=""),"",IFERROR(INDEX(Pagos_Odoo!$B:$B, MATCH(Q1525, Pagos_Odoo!$I:$I, 0)), "Sin Pago"))</f>
        <v/>
      </c>
      <c r="Y1525" s="79">
        <f>IF(X1525="Sin Pago","",IFERROR(INDEX(Pagos_Odoo!$C:$C, MATCH(X1525, Pagos_Odoo!$B:$B, 0)), ""))</f>
        <v/>
      </c>
      <c r="Z1525" s="80">
        <f>IF(X1525="Sin Pago","",IFERROR(INDEX(Pagos_Odoo!$A:$A, MATCH(X1525, Pagos_Odoo!$B:$B, 0)), ""))</f>
        <v/>
      </c>
      <c r="AA1525" s="79">
        <f>IF(X1525="Sin Pago","",IFERROR(INDEX(Pagos_Odoo!$F:$F, MATCH(X1525, Pagos_Odoo!$B:$B, 0)), ""))</f>
        <v/>
      </c>
      <c r="AB1525" s="81">
        <f>IF(X1525="Sin Pago",0,IFERROR(INDEX(Pagos_Odoo!$E:$E, MATCH(X1525, Pagos_Odoo!$B:$B, 0)), 0))</f>
        <v/>
      </c>
      <c r="AC1525" s="79">
        <f>IF(X1525="Sin Pago","",IFERROR(INDEX(Pagos_Odoo!$G:$G, MATCH(X1525, Pagos_Odoo!$B:$B, 0)), ""))</f>
        <v/>
      </c>
      <c r="AD1525" s="82" t="n">
        <v>0</v>
      </c>
      <c r="AE1525" s="82" t="n"/>
      <c r="AF1525" s="82" t="n"/>
      <c r="AG1525" s="82">
        <f>IF(AN1525="","",AD1525+AE1525+AF1525)</f>
        <v/>
      </c>
      <c r="AH1525" s="81">
        <f>IF(AN1525="","",P1525*(1-AG1525))</f>
        <v/>
      </c>
      <c r="AI1525" s="81">
        <f>IF(AN1525="","",IF(Q1525="Sin Factura",0,IFERROR(INDEX(Facturas_Odoo!$H:$H, MATCH(Q1525, Facturas_Odoo!$B:$B, 0)), 0)*(1-AG1525)))</f>
        <v/>
      </c>
      <c r="AJ1525" s="81">
        <f>IF(AN1525="","",_xlfn.LET(idVenta, AN1525&amp;"",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25" s="81">
        <f>IF(AN1525="","",AH1525-AJ1525)</f>
        <v/>
      </c>
      <c r="AL1525" s="81">
        <f>IF(AN1525="","",IF(Q1525="Sin Factura","",AI1525-AJ1525))</f>
        <v/>
      </c>
      <c r="AM1525" s="81">
        <f>IF(AN1525="","",IF(Q1525="Sin Factura",0,P1525-IFERROR(INDEX(Facturas_Odoo!$H:$H, MATCH(Q1525, Facturas_Odoo!$B:$B, 0)), 0)))</f>
        <v/>
      </c>
      <c r="AN1525" s="79">
        <f>IF(AND(A1525="", J1525=""), "", IF(A1525&lt;&gt;"", VALUE(MID(A1525,2,LEN(A1525))), AN1524))</f>
        <v/>
      </c>
      <c r="AO1525" s="79">
        <f>IF(AN1525="","",IF(AD1525=0,"OK",_xlfn.LET(monedaPago, IF(AA1525="","USD",AA1525), limitePermitido, IFERROR(VLOOKUP(monedaPago, Configuración!$A$2:$B$3, 2, FALSE), 0.15), IF(AD1525&gt;limitePermitido, "ALERTA: EXCESO (" &amp; TEXT(limitePermitido, "0%") &amp; " máx)", "OK"))))</f>
        <v/>
      </c>
      <c r="AP1525" s="79">
        <f>IF(AN1525="","",IF(AE1525=0,"OK",_xlfn.LET(fechaPago, Z1525, fechaFactura, R1525, diasCredito, IF(E1525="Pago inmediato", 0, IFERROR(VALUE(MID(E1525, 1, SEARCH(" ", E1525)-1)),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25" s="79">
        <f>IF(AN1525="","",IF(AND(N1525&gt;0, AG1525&gt;0), IF(Configuración!$K$2="NO", "ALERTA: DESCUENTO DOBLE NO PERMITIDO", "OK"), "OK"))</f>
        <v/>
      </c>
      <c r="AR1525" s="79">
        <f>IF(AN1525="","",IF(OR(AO1525&lt;&gt;"OK", AP1525&lt;&gt;"OK", AQ1525&lt;&gt;"OK"), "⚠️ REVISAR", "OK"))</f>
        <v/>
      </c>
    </row>
    <row r="1526">
      <c r="A1526" s="79">
        <f>IF('Ordenes_Odoo'!A1526="","",'Ordenes_Odoo'!A1526)</f>
        <v/>
      </c>
      <c r="B1526" s="80">
        <f>IF('Ordenes_Odoo'!B1526="","",'Ordenes_Odoo'!B1526)</f>
        <v/>
      </c>
      <c r="C1526" s="79">
        <f>IF('Ordenes_Odoo'!C1526="","",'Ordenes_Odoo'!C1526)</f>
        <v/>
      </c>
      <c r="D1526" s="79">
        <f>IF('Ordenes_Odoo'!D1526="","",'Ordenes_Odoo'!D1526)</f>
        <v/>
      </c>
      <c r="E1526" s="79">
        <f>IF('Ordenes_Odoo'!E1526="","",'Ordenes_Odoo'!E1526)</f>
        <v/>
      </c>
      <c r="F1526" s="79">
        <f>IF('Ordenes_Odoo'!F1526="","",'Ordenes_Odoo'!F1526)</f>
        <v/>
      </c>
      <c r="G1526" s="79">
        <f>IF('Ordenes_Odoo'!G1526="","",'Ordenes_Odoo'!G1526)</f>
        <v/>
      </c>
      <c r="H1526" s="79">
        <f>IF('Ordenes_Odoo'!H1526="","",'Ordenes_Odoo'!H1526)</f>
        <v/>
      </c>
      <c r="I1526" s="79">
        <f>IF('Ordenes_Odoo'!I1526="","",'Ordenes_Odoo'!I1526)</f>
        <v/>
      </c>
      <c r="J1526" s="79">
        <f>IF('Ordenes_Odoo'!J1526="","",'Ordenes_Odoo'!J1526)</f>
        <v/>
      </c>
      <c r="K1526" s="81">
        <f>IF('Ordenes_Odoo'!K1526="","",'Ordenes_Odoo'!K1526)</f>
        <v/>
      </c>
      <c r="L1526" s="81">
        <f>IF('Ordenes_Odoo'!L1526="","",'Ordenes_Odoo'!L1526)</f>
        <v/>
      </c>
      <c r="M1526" s="79">
        <f>IF('Ordenes_Odoo'!M1526="","",'Ordenes_Odoo'!M1526)</f>
        <v/>
      </c>
      <c r="N1526" s="79">
        <f>IF('Ordenes_Odoo'!N1526="","",'Ordenes_Odoo'!N1526)</f>
        <v/>
      </c>
      <c r="O1526" s="81">
        <f>IF('Ordenes_Odoo'!O1526="","",'Ordenes_Odoo'!O1526)</f>
        <v/>
      </c>
      <c r="P1526" s="81">
        <f>IF('Ordenes_Odoo'!P1526="","",'Ordenes_Odoo'!P1526)</f>
        <v/>
      </c>
      <c r="Q1526" s="79">
        <f>IF(A1526="","",IFERROR(INDEX(Facturas_Odoo!$B:$B, MATCH(A1526, Facturas_Odoo!$D:$D, 0)), "Sin Factura"))</f>
        <v/>
      </c>
      <c r="R1526" s="80">
        <f>IF(Q1526="Sin Factura","",IFERROR(INDEX(Facturas_Odoo!$A:$A, MATCH(Q1526, Facturas_Odoo!$B:$B, 0)), ""))</f>
        <v/>
      </c>
      <c r="S1526" s="79">
        <f>IF(Q1526="Sin Factura","",IFERROR(_xlfn.XLOOKUP(1, (Facturas_Odoo!$D:$D=A1526) * (Facturas_Odoo!$K:$K=I1526), Facturas_Odoo!$L:$L, ""), ""))</f>
        <v/>
      </c>
      <c r="T1526" s="81">
        <f>IF(Q1526="Sin Factura",0,IFERROR(_xlfn.XLOOKUP(1, (Facturas_Odoo!$D:$D=A1526) * (Facturas_Odoo!$K:$K=I1526), Facturas_Odoo!$M:$M, 0), 0))</f>
        <v/>
      </c>
      <c r="U1526" s="79">
        <f>IF(Q1526="Sin Factura",0,IFERROR(_xlfn.XLOOKUP(1, (Facturas_Odoo!$D:$D=A1526) * (Facturas_Odoo!$K:$K=I1526), Facturas_Odoo!$N:$N, 0), 0))</f>
        <v/>
      </c>
      <c r="V1526" s="79">
        <f>IF(Q1526="Sin Factura",0,IFERROR(_xlfn.XLOOKUP(1, (Facturas_Odoo!$D:$D=A1526) * (Facturas_Odoo!$K:$K=I1526), Facturas_Odoo!$O:$O, 0), 0))</f>
        <v/>
      </c>
      <c r="W1526" s="81">
        <f>IF(Q1526="Sin Factura",0,IFERROR(_xlfn.XLOOKUP(1, (Facturas_Odoo!$D:$D=A1526) * (Facturas_Odoo!$K:$K=I1526), Facturas_Odoo!$Q:$Q, 0), 0))</f>
        <v/>
      </c>
      <c r="X1526" s="79">
        <f>IF(OR(Q1526="Sin Factura",Q1526=""),"",IFERROR(INDEX(Pagos_Odoo!$B:$B, MATCH(Q1526, Pagos_Odoo!$I:$I, 0)), "Sin Pago"))</f>
        <v/>
      </c>
      <c r="Y1526" s="79">
        <f>IF(X1526="Sin Pago","",IFERROR(INDEX(Pagos_Odoo!$C:$C, MATCH(X1526, Pagos_Odoo!$B:$B, 0)), ""))</f>
        <v/>
      </c>
      <c r="Z1526" s="80">
        <f>IF(X1526="Sin Pago","",IFERROR(INDEX(Pagos_Odoo!$A:$A, MATCH(X1526, Pagos_Odoo!$B:$B, 0)), ""))</f>
        <v/>
      </c>
      <c r="AA1526" s="79">
        <f>IF(X1526="Sin Pago","",IFERROR(INDEX(Pagos_Odoo!$F:$F, MATCH(X1526, Pagos_Odoo!$B:$B, 0)), ""))</f>
        <v/>
      </c>
      <c r="AB1526" s="81">
        <f>IF(X1526="Sin Pago",0,IFERROR(INDEX(Pagos_Odoo!$E:$E, MATCH(X1526, Pagos_Odoo!$B:$B, 0)), 0))</f>
        <v/>
      </c>
      <c r="AC1526" s="79">
        <f>IF(X1526="Sin Pago","",IFERROR(INDEX(Pagos_Odoo!$G:$G, MATCH(X1526, Pagos_Odoo!$B:$B, 0)), ""))</f>
        <v/>
      </c>
      <c r="AD1526" s="82" t="n">
        <v>0</v>
      </c>
      <c r="AE1526" s="82" t="n"/>
      <c r="AF1526" s="82" t="n"/>
      <c r="AG1526" s="82">
        <f>IF(AN1526="","",AD1526+AE1526+AF1526)</f>
        <v/>
      </c>
      <c r="AH1526" s="81">
        <f>IF(AN1526="","",P1526*(1-AG1526))</f>
        <v/>
      </c>
      <c r="AI1526" s="81">
        <f>IF(AN1526="","",IF(Q1526="Sin Factura",0,IFERROR(INDEX(Facturas_Odoo!$H:$H, MATCH(Q1526, Facturas_Odoo!$B:$B, 0)), 0)*(1-AG1526)))</f>
        <v/>
      </c>
      <c r="AJ1526" s="81">
        <f>IF(AN1526="","",_xlfn.LET(idVenta, AN1526&amp;"",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26" s="81">
        <f>IF(AN1526="","",AH1526-AJ1526)</f>
        <v/>
      </c>
      <c r="AL1526" s="81">
        <f>IF(AN1526="","",IF(Q1526="Sin Factura","",AI1526-AJ1526))</f>
        <v/>
      </c>
      <c r="AM1526" s="81">
        <f>IF(AN1526="","",IF(Q1526="Sin Factura",0,P1526-IFERROR(INDEX(Facturas_Odoo!$H:$H, MATCH(Q1526, Facturas_Odoo!$B:$B, 0)), 0)))</f>
        <v/>
      </c>
      <c r="AN1526" s="79">
        <f>IF(AND(A1526="", J1526=""), "", IF(A1526&lt;&gt;"", VALUE(MID(A1526,2,LEN(A1526))), AN1525))</f>
        <v/>
      </c>
      <c r="AO1526" s="79">
        <f>IF(AN1526="","",IF(AD1526=0,"OK",_xlfn.LET(monedaPago, IF(AA1526="","USD",AA1526), limitePermitido, IFERROR(VLOOKUP(monedaPago, Configuración!$A$2:$B$3, 2, FALSE), 0.15), IF(AD1526&gt;limitePermitido, "ALERTA: EXCESO (" &amp; TEXT(limitePermitido, "0%") &amp; " máx)", "OK"))))</f>
        <v/>
      </c>
      <c r="AP1526" s="79">
        <f>IF(AN1526="","",IF(AE1526=0,"OK",_xlfn.LET(fechaPago, Z1526, fechaFactura, R1526, diasCredito, IF(E1526="Pago inmediato", 0, IFERROR(VALUE(MID(E1526, 1, SEARCH(" ", E1526)-1)),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26" s="79">
        <f>IF(AN1526="","",IF(AND(N1526&gt;0, AG1526&gt;0), IF(Configuración!$K$2="NO", "ALERTA: DESCUENTO DOBLE NO PERMITIDO", "OK"), "OK"))</f>
        <v/>
      </c>
      <c r="AR1526" s="79">
        <f>IF(AN1526="","",IF(OR(AO1526&lt;&gt;"OK", AP1526&lt;&gt;"OK", AQ1526&lt;&gt;"OK"), "⚠️ REVISAR", "OK"))</f>
        <v/>
      </c>
    </row>
    <row r="1527">
      <c r="A1527" s="79">
        <f>IF('Ordenes_Odoo'!A1527="","",'Ordenes_Odoo'!A1527)</f>
        <v/>
      </c>
      <c r="B1527" s="80">
        <f>IF('Ordenes_Odoo'!B1527="","",'Ordenes_Odoo'!B1527)</f>
        <v/>
      </c>
      <c r="C1527" s="79">
        <f>IF('Ordenes_Odoo'!C1527="","",'Ordenes_Odoo'!C1527)</f>
        <v/>
      </c>
      <c r="D1527" s="79">
        <f>IF('Ordenes_Odoo'!D1527="","",'Ordenes_Odoo'!D1527)</f>
        <v/>
      </c>
      <c r="E1527" s="79">
        <f>IF('Ordenes_Odoo'!E1527="","",'Ordenes_Odoo'!E1527)</f>
        <v/>
      </c>
      <c r="F1527" s="79">
        <f>IF('Ordenes_Odoo'!F1527="","",'Ordenes_Odoo'!F1527)</f>
        <v/>
      </c>
      <c r="G1527" s="79">
        <f>IF('Ordenes_Odoo'!G1527="","",'Ordenes_Odoo'!G1527)</f>
        <v/>
      </c>
      <c r="H1527" s="79">
        <f>IF('Ordenes_Odoo'!H1527="","",'Ordenes_Odoo'!H1527)</f>
        <v/>
      </c>
      <c r="I1527" s="79">
        <f>IF('Ordenes_Odoo'!I1527="","",'Ordenes_Odoo'!I1527)</f>
        <v/>
      </c>
      <c r="J1527" s="79">
        <f>IF('Ordenes_Odoo'!J1527="","",'Ordenes_Odoo'!J1527)</f>
        <v/>
      </c>
      <c r="K1527" s="81">
        <f>IF('Ordenes_Odoo'!K1527="","",'Ordenes_Odoo'!K1527)</f>
        <v/>
      </c>
      <c r="L1527" s="81">
        <f>IF('Ordenes_Odoo'!L1527="","",'Ordenes_Odoo'!L1527)</f>
        <v/>
      </c>
      <c r="M1527" s="79">
        <f>IF('Ordenes_Odoo'!M1527="","",'Ordenes_Odoo'!M1527)</f>
        <v/>
      </c>
      <c r="N1527" s="79">
        <f>IF('Ordenes_Odoo'!N1527="","",'Ordenes_Odoo'!N1527)</f>
        <v/>
      </c>
      <c r="O1527" s="81">
        <f>IF('Ordenes_Odoo'!O1527="","",'Ordenes_Odoo'!O1527)</f>
        <v/>
      </c>
      <c r="P1527" s="81">
        <f>IF('Ordenes_Odoo'!P1527="","",'Ordenes_Odoo'!P1527)</f>
        <v/>
      </c>
      <c r="Q1527" s="79">
        <f>IF(A1527="","",IFERROR(INDEX(Facturas_Odoo!$B:$B, MATCH(A1527, Facturas_Odoo!$D:$D, 0)), "Sin Factura"))</f>
        <v/>
      </c>
      <c r="R1527" s="80">
        <f>IF(Q1527="Sin Factura","",IFERROR(INDEX(Facturas_Odoo!$A:$A, MATCH(Q1527, Facturas_Odoo!$B:$B, 0)), ""))</f>
        <v/>
      </c>
      <c r="S1527" s="79">
        <f>IF(Q1527="Sin Factura","",IFERROR(_xlfn.XLOOKUP(1, (Facturas_Odoo!$D:$D=A1527) * (Facturas_Odoo!$K:$K=I1527), Facturas_Odoo!$L:$L, ""), ""))</f>
        <v/>
      </c>
      <c r="T1527" s="81">
        <f>IF(Q1527="Sin Factura",0,IFERROR(_xlfn.XLOOKUP(1, (Facturas_Odoo!$D:$D=A1527) * (Facturas_Odoo!$K:$K=I1527), Facturas_Odoo!$M:$M, 0), 0))</f>
        <v/>
      </c>
      <c r="U1527" s="79">
        <f>IF(Q1527="Sin Factura",0,IFERROR(_xlfn.XLOOKUP(1, (Facturas_Odoo!$D:$D=A1527) * (Facturas_Odoo!$K:$K=I1527), Facturas_Odoo!$N:$N, 0), 0))</f>
        <v/>
      </c>
      <c r="V1527" s="79">
        <f>IF(Q1527="Sin Factura",0,IFERROR(_xlfn.XLOOKUP(1, (Facturas_Odoo!$D:$D=A1527) * (Facturas_Odoo!$K:$K=I1527), Facturas_Odoo!$O:$O, 0), 0))</f>
        <v/>
      </c>
      <c r="W1527" s="81">
        <f>IF(Q1527="Sin Factura",0,IFERROR(_xlfn.XLOOKUP(1, (Facturas_Odoo!$D:$D=A1527) * (Facturas_Odoo!$K:$K=I1527), Facturas_Odoo!$Q:$Q, 0), 0))</f>
        <v/>
      </c>
      <c r="X1527" s="79">
        <f>IF(OR(Q1527="Sin Factura",Q1527=""),"",IFERROR(INDEX(Pagos_Odoo!$B:$B, MATCH(Q1527, Pagos_Odoo!$I:$I, 0)), "Sin Pago"))</f>
        <v/>
      </c>
      <c r="Y1527" s="79">
        <f>IF(X1527="Sin Pago","",IFERROR(INDEX(Pagos_Odoo!$C:$C, MATCH(X1527, Pagos_Odoo!$B:$B, 0)), ""))</f>
        <v/>
      </c>
      <c r="Z1527" s="80">
        <f>IF(X1527="Sin Pago","",IFERROR(INDEX(Pagos_Odoo!$A:$A, MATCH(X1527, Pagos_Odoo!$B:$B, 0)), ""))</f>
        <v/>
      </c>
      <c r="AA1527" s="79">
        <f>IF(X1527="Sin Pago","",IFERROR(INDEX(Pagos_Odoo!$F:$F, MATCH(X1527, Pagos_Odoo!$B:$B, 0)), ""))</f>
        <v/>
      </c>
      <c r="AB1527" s="81">
        <f>IF(X1527="Sin Pago",0,IFERROR(INDEX(Pagos_Odoo!$E:$E, MATCH(X1527, Pagos_Odoo!$B:$B, 0)), 0))</f>
        <v/>
      </c>
      <c r="AC1527" s="79">
        <f>IF(X1527="Sin Pago","",IFERROR(INDEX(Pagos_Odoo!$G:$G, MATCH(X1527, Pagos_Odoo!$B:$B, 0)), ""))</f>
        <v/>
      </c>
      <c r="AD1527" s="82" t="n">
        <v>0</v>
      </c>
      <c r="AE1527" s="82" t="n"/>
      <c r="AF1527" s="82" t="n"/>
      <c r="AG1527" s="82">
        <f>IF(AN1527="","",AD1527+AE1527+AF1527)</f>
        <v/>
      </c>
      <c r="AH1527" s="81">
        <f>IF(AN1527="","",P1527*(1-AG1527))</f>
        <v/>
      </c>
      <c r="AI1527" s="81">
        <f>IF(AN1527="","",IF(Q1527="Sin Factura",0,IFERROR(INDEX(Facturas_Odoo!$H:$H, MATCH(Q1527, Facturas_Odoo!$B:$B, 0)), 0)*(1-AG1527)))</f>
        <v/>
      </c>
      <c r="AJ1527" s="81">
        <f>IF(AN1527="","",_xlfn.LET(idVenta, AN1527&amp;"",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27" s="81">
        <f>IF(AN1527="","",AH1527-AJ1527)</f>
        <v/>
      </c>
      <c r="AL1527" s="81">
        <f>IF(AN1527="","",IF(Q1527="Sin Factura","",AI1527-AJ1527))</f>
        <v/>
      </c>
      <c r="AM1527" s="81">
        <f>IF(AN1527="","",IF(Q1527="Sin Factura",0,P1527-IFERROR(INDEX(Facturas_Odoo!$H:$H, MATCH(Q1527, Facturas_Odoo!$B:$B, 0)), 0)))</f>
        <v/>
      </c>
      <c r="AN1527" s="79">
        <f>IF(AND(A1527="", J1527=""), "", IF(A1527&lt;&gt;"", VALUE(MID(A1527,2,LEN(A1527))), AN1526))</f>
        <v/>
      </c>
      <c r="AO1527" s="79">
        <f>IF(AN1527="","",IF(AD1527=0,"OK",_xlfn.LET(monedaPago, IF(AA1527="","USD",AA1527), limitePermitido, IFERROR(VLOOKUP(monedaPago, Configuración!$A$2:$B$3, 2, FALSE), 0.15), IF(AD1527&gt;limitePermitido, "ALERTA: EXCESO (" &amp; TEXT(limitePermitido, "0%") &amp; " máx)", "OK"))))</f>
        <v/>
      </c>
      <c r="AP1527" s="79">
        <f>IF(AN1527="","",IF(AE1527=0,"OK",_xlfn.LET(fechaPago, Z1527, fechaFactura, R1527, diasCredito, IF(E1527="Pago inmediato", 0, IFERROR(VALUE(MID(E1527, 1, SEARCH(" ", E1527)-1)),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27" s="79">
        <f>IF(AN1527="","",IF(AND(N1527&gt;0, AG1527&gt;0), IF(Configuración!$K$2="NO", "ALERTA: DESCUENTO DOBLE NO PERMITIDO", "OK"), "OK"))</f>
        <v/>
      </c>
      <c r="AR1527" s="79">
        <f>IF(AN1527="","",IF(OR(AO1527&lt;&gt;"OK", AP1527&lt;&gt;"OK", AQ1527&lt;&gt;"OK"), "⚠️ REVISAR", "OK"))</f>
        <v/>
      </c>
    </row>
    <row r="1528">
      <c r="A1528" s="79">
        <f>IF('Ordenes_Odoo'!A1528="","",'Ordenes_Odoo'!A1528)</f>
        <v/>
      </c>
      <c r="B1528" s="80">
        <f>IF('Ordenes_Odoo'!B1528="","",'Ordenes_Odoo'!B1528)</f>
        <v/>
      </c>
      <c r="C1528" s="79">
        <f>IF('Ordenes_Odoo'!C1528="","",'Ordenes_Odoo'!C1528)</f>
        <v/>
      </c>
      <c r="D1528" s="79">
        <f>IF('Ordenes_Odoo'!D1528="","",'Ordenes_Odoo'!D1528)</f>
        <v/>
      </c>
      <c r="E1528" s="79">
        <f>IF('Ordenes_Odoo'!E1528="","",'Ordenes_Odoo'!E1528)</f>
        <v/>
      </c>
      <c r="F1528" s="79">
        <f>IF('Ordenes_Odoo'!F1528="","",'Ordenes_Odoo'!F1528)</f>
        <v/>
      </c>
      <c r="G1528" s="79">
        <f>IF('Ordenes_Odoo'!G1528="","",'Ordenes_Odoo'!G1528)</f>
        <v/>
      </c>
      <c r="H1528" s="79">
        <f>IF('Ordenes_Odoo'!H1528="","",'Ordenes_Odoo'!H1528)</f>
        <v/>
      </c>
      <c r="I1528" s="79">
        <f>IF('Ordenes_Odoo'!I1528="","",'Ordenes_Odoo'!I1528)</f>
        <v/>
      </c>
      <c r="J1528" s="79">
        <f>IF('Ordenes_Odoo'!J1528="","",'Ordenes_Odoo'!J1528)</f>
        <v/>
      </c>
      <c r="K1528" s="81">
        <f>IF('Ordenes_Odoo'!K1528="","",'Ordenes_Odoo'!K1528)</f>
        <v/>
      </c>
      <c r="L1528" s="81">
        <f>IF('Ordenes_Odoo'!L1528="","",'Ordenes_Odoo'!L1528)</f>
        <v/>
      </c>
      <c r="M1528" s="79">
        <f>IF('Ordenes_Odoo'!M1528="","",'Ordenes_Odoo'!M1528)</f>
        <v/>
      </c>
      <c r="N1528" s="79">
        <f>IF('Ordenes_Odoo'!N1528="","",'Ordenes_Odoo'!N1528)</f>
        <v/>
      </c>
      <c r="O1528" s="81">
        <f>IF('Ordenes_Odoo'!O1528="","",'Ordenes_Odoo'!O1528)</f>
        <v/>
      </c>
      <c r="P1528" s="81">
        <f>IF('Ordenes_Odoo'!P1528="","",'Ordenes_Odoo'!P1528)</f>
        <v/>
      </c>
      <c r="Q1528" s="79">
        <f>IF(A1528="","",IFERROR(INDEX(Facturas_Odoo!$B:$B, MATCH(A1528, Facturas_Odoo!$D:$D, 0)), "Sin Factura"))</f>
        <v/>
      </c>
      <c r="R1528" s="80">
        <f>IF(Q1528="Sin Factura","",IFERROR(INDEX(Facturas_Odoo!$A:$A, MATCH(Q1528, Facturas_Odoo!$B:$B, 0)), ""))</f>
        <v/>
      </c>
      <c r="S1528" s="79">
        <f>IF(Q1528="Sin Factura","",IFERROR(_xlfn.XLOOKUP(1, (Facturas_Odoo!$D:$D=A1528) * (Facturas_Odoo!$K:$K=I1528), Facturas_Odoo!$L:$L, ""), ""))</f>
        <v/>
      </c>
      <c r="T1528" s="81">
        <f>IF(Q1528="Sin Factura",0,IFERROR(_xlfn.XLOOKUP(1, (Facturas_Odoo!$D:$D=A1528) * (Facturas_Odoo!$K:$K=I1528), Facturas_Odoo!$M:$M, 0), 0))</f>
        <v/>
      </c>
      <c r="U1528" s="79">
        <f>IF(Q1528="Sin Factura",0,IFERROR(_xlfn.XLOOKUP(1, (Facturas_Odoo!$D:$D=A1528) * (Facturas_Odoo!$K:$K=I1528), Facturas_Odoo!$N:$N, 0), 0))</f>
        <v/>
      </c>
      <c r="V1528" s="79">
        <f>IF(Q1528="Sin Factura",0,IFERROR(_xlfn.XLOOKUP(1, (Facturas_Odoo!$D:$D=A1528) * (Facturas_Odoo!$K:$K=I1528), Facturas_Odoo!$O:$O, 0), 0))</f>
        <v/>
      </c>
      <c r="W1528" s="81">
        <f>IF(Q1528="Sin Factura",0,IFERROR(_xlfn.XLOOKUP(1, (Facturas_Odoo!$D:$D=A1528) * (Facturas_Odoo!$K:$K=I1528), Facturas_Odoo!$Q:$Q, 0), 0))</f>
        <v/>
      </c>
      <c r="X1528" s="79">
        <f>IF(OR(Q1528="Sin Factura",Q1528=""),"",IFERROR(INDEX(Pagos_Odoo!$B:$B, MATCH(Q1528, Pagos_Odoo!$I:$I, 0)), "Sin Pago"))</f>
        <v/>
      </c>
      <c r="Y1528" s="79">
        <f>IF(X1528="Sin Pago","",IFERROR(INDEX(Pagos_Odoo!$C:$C, MATCH(X1528, Pagos_Odoo!$B:$B, 0)), ""))</f>
        <v/>
      </c>
      <c r="Z1528" s="80">
        <f>IF(X1528="Sin Pago","",IFERROR(INDEX(Pagos_Odoo!$A:$A, MATCH(X1528, Pagos_Odoo!$B:$B, 0)), ""))</f>
        <v/>
      </c>
      <c r="AA1528" s="79">
        <f>IF(X1528="Sin Pago","",IFERROR(INDEX(Pagos_Odoo!$F:$F, MATCH(X1528, Pagos_Odoo!$B:$B, 0)), ""))</f>
        <v/>
      </c>
      <c r="AB1528" s="81">
        <f>IF(X1528="Sin Pago",0,IFERROR(INDEX(Pagos_Odoo!$E:$E, MATCH(X1528, Pagos_Odoo!$B:$B, 0)), 0))</f>
        <v/>
      </c>
      <c r="AC1528" s="79">
        <f>IF(X1528="Sin Pago","",IFERROR(INDEX(Pagos_Odoo!$G:$G, MATCH(X1528, Pagos_Odoo!$B:$B, 0)), ""))</f>
        <v/>
      </c>
      <c r="AD1528" s="82" t="n">
        <v>0</v>
      </c>
      <c r="AE1528" s="82" t="n"/>
      <c r="AF1528" s="82" t="n"/>
      <c r="AG1528" s="82">
        <f>IF(AN1528="","",AD1528+AE1528+AF1528)</f>
        <v/>
      </c>
      <c r="AH1528" s="81">
        <f>IF(AN1528="","",P1528*(1-AG1528))</f>
        <v/>
      </c>
      <c r="AI1528" s="81">
        <f>IF(AN1528="","",IF(Q1528="Sin Factura",0,IFERROR(INDEX(Facturas_Odoo!$H:$H, MATCH(Q1528, Facturas_Odoo!$B:$B, 0)), 0)*(1-AG1528)))</f>
        <v/>
      </c>
      <c r="AJ1528" s="81">
        <f>IF(AN1528="","",_xlfn.LET(idVenta, AN1528&amp;"",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28" s="81">
        <f>IF(AN1528="","",AH1528-AJ1528)</f>
        <v/>
      </c>
      <c r="AL1528" s="81">
        <f>IF(AN1528="","",IF(Q1528="Sin Factura","",AI1528-AJ1528))</f>
        <v/>
      </c>
      <c r="AM1528" s="81">
        <f>IF(AN1528="","",IF(Q1528="Sin Factura",0,P1528-IFERROR(INDEX(Facturas_Odoo!$H:$H, MATCH(Q1528, Facturas_Odoo!$B:$B, 0)), 0)))</f>
        <v/>
      </c>
      <c r="AN1528" s="79">
        <f>IF(AND(A1528="", J1528=""), "", IF(A1528&lt;&gt;"", VALUE(MID(A1528,2,LEN(A1528))), AN1527))</f>
        <v/>
      </c>
      <c r="AO1528" s="79">
        <f>IF(AN1528="","",IF(AD1528=0,"OK",_xlfn.LET(monedaPago, IF(AA1528="","USD",AA1528), limitePermitido, IFERROR(VLOOKUP(monedaPago, Configuración!$A$2:$B$3, 2, FALSE), 0.15), IF(AD1528&gt;limitePermitido, "ALERTA: EXCESO (" &amp; TEXT(limitePermitido, "0%") &amp; " máx)", "OK"))))</f>
        <v/>
      </c>
      <c r="AP1528" s="79">
        <f>IF(AN1528="","",IF(AE1528=0,"OK",_xlfn.LET(fechaPago, Z1528, fechaFactura, R1528, diasCredito, IF(E1528="Pago inmediato", 0, IFERROR(VALUE(MID(E1528, 1, SEARCH(" ", E1528)-1)),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28" s="79">
        <f>IF(AN1528="","",IF(AND(N1528&gt;0, AG1528&gt;0), IF(Configuración!$K$2="NO", "ALERTA: DESCUENTO DOBLE NO PERMITIDO", "OK"), "OK"))</f>
        <v/>
      </c>
      <c r="AR1528" s="79">
        <f>IF(AN1528="","",IF(OR(AO1528&lt;&gt;"OK", AP1528&lt;&gt;"OK", AQ1528&lt;&gt;"OK"), "⚠️ REVISAR", "OK"))</f>
        <v/>
      </c>
    </row>
    <row r="1529">
      <c r="A1529" s="79">
        <f>IF('Ordenes_Odoo'!A1529="","",'Ordenes_Odoo'!A1529)</f>
        <v/>
      </c>
      <c r="B1529" s="80">
        <f>IF('Ordenes_Odoo'!B1529="","",'Ordenes_Odoo'!B1529)</f>
        <v/>
      </c>
      <c r="C1529" s="79">
        <f>IF('Ordenes_Odoo'!C1529="","",'Ordenes_Odoo'!C1529)</f>
        <v/>
      </c>
      <c r="D1529" s="79">
        <f>IF('Ordenes_Odoo'!D1529="","",'Ordenes_Odoo'!D1529)</f>
        <v/>
      </c>
      <c r="E1529" s="79">
        <f>IF('Ordenes_Odoo'!E1529="","",'Ordenes_Odoo'!E1529)</f>
        <v/>
      </c>
      <c r="F1529" s="79">
        <f>IF('Ordenes_Odoo'!F1529="","",'Ordenes_Odoo'!F1529)</f>
        <v/>
      </c>
      <c r="G1529" s="79">
        <f>IF('Ordenes_Odoo'!G1529="","",'Ordenes_Odoo'!G1529)</f>
        <v/>
      </c>
      <c r="H1529" s="79">
        <f>IF('Ordenes_Odoo'!H1529="","",'Ordenes_Odoo'!H1529)</f>
        <v/>
      </c>
      <c r="I1529" s="79">
        <f>IF('Ordenes_Odoo'!I1529="","",'Ordenes_Odoo'!I1529)</f>
        <v/>
      </c>
      <c r="J1529" s="79">
        <f>IF('Ordenes_Odoo'!J1529="","",'Ordenes_Odoo'!J1529)</f>
        <v/>
      </c>
      <c r="K1529" s="81">
        <f>IF('Ordenes_Odoo'!K1529="","",'Ordenes_Odoo'!K1529)</f>
        <v/>
      </c>
      <c r="L1529" s="81">
        <f>IF('Ordenes_Odoo'!L1529="","",'Ordenes_Odoo'!L1529)</f>
        <v/>
      </c>
      <c r="M1529" s="79">
        <f>IF('Ordenes_Odoo'!M1529="","",'Ordenes_Odoo'!M1529)</f>
        <v/>
      </c>
      <c r="N1529" s="79">
        <f>IF('Ordenes_Odoo'!N1529="","",'Ordenes_Odoo'!N1529)</f>
        <v/>
      </c>
      <c r="O1529" s="81">
        <f>IF('Ordenes_Odoo'!O1529="","",'Ordenes_Odoo'!O1529)</f>
        <v/>
      </c>
      <c r="P1529" s="81">
        <f>IF('Ordenes_Odoo'!P1529="","",'Ordenes_Odoo'!P1529)</f>
        <v/>
      </c>
      <c r="Q1529" s="79">
        <f>IF(A1529="","",IFERROR(INDEX(Facturas_Odoo!$B:$B, MATCH(A1529, Facturas_Odoo!$D:$D, 0)), "Sin Factura"))</f>
        <v/>
      </c>
      <c r="R1529" s="80">
        <f>IF(Q1529="Sin Factura","",IFERROR(INDEX(Facturas_Odoo!$A:$A, MATCH(Q1529, Facturas_Odoo!$B:$B, 0)), ""))</f>
        <v/>
      </c>
      <c r="S1529" s="79">
        <f>IF(Q1529="Sin Factura","",IFERROR(_xlfn.XLOOKUP(1, (Facturas_Odoo!$D:$D=A1529) * (Facturas_Odoo!$K:$K=I1529), Facturas_Odoo!$L:$L, ""), ""))</f>
        <v/>
      </c>
      <c r="T1529" s="81">
        <f>IF(Q1529="Sin Factura",0,IFERROR(_xlfn.XLOOKUP(1, (Facturas_Odoo!$D:$D=A1529) * (Facturas_Odoo!$K:$K=I1529), Facturas_Odoo!$M:$M, 0), 0))</f>
        <v/>
      </c>
      <c r="U1529" s="79">
        <f>IF(Q1529="Sin Factura",0,IFERROR(_xlfn.XLOOKUP(1, (Facturas_Odoo!$D:$D=A1529) * (Facturas_Odoo!$K:$K=I1529), Facturas_Odoo!$N:$N, 0), 0))</f>
        <v/>
      </c>
      <c r="V1529" s="79">
        <f>IF(Q1529="Sin Factura",0,IFERROR(_xlfn.XLOOKUP(1, (Facturas_Odoo!$D:$D=A1529) * (Facturas_Odoo!$K:$K=I1529), Facturas_Odoo!$O:$O, 0), 0))</f>
        <v/>
      </c>
      <c r="W1529" s="81">
        <f>IF(Q1529="Sin Factura",0,IFERROR(_xlfn.XLOOKUP(1, (Facturas_Odoo!$D:$D=A1529) * (Facturas_Odoo!$K:$K=I1529), Facturas_Odoo!$Q:$Q, 0), 0))</f>
        <v/>
      </c>
      <c r="X1529" s="79">
        <f>IF(OR(Q1529="Sin Factura",Q1529=""),"",IFERROR(INDEX(Pagos_Odoo!$B:$B, MATCH(Q1529, Pagos_Odoo!$I:$I, 0)), "Sin Pago"))</f>
        <v/>
      </c>
      <c r="Y1529" s="79">
        <f>IF(X1529="Sin Pago","",IFERROR(INDEX(Pagos_Odoo!$C:$C, MATCH(X1529, Pagos_Odoo!$B:$B, 0)), ""))</f>
        <v/>
      </c>
      <c r="Z1529" s="80">
        <f>IF(X1529="Sin Pago","",IFERROR(INDEX(Pagos_Odoo!$A:$A, MATCH(X1529, Pagos_Odoo!$B:$B, 0)), ""))</f>
        <v/>
      </c>
      <c r="AA1529" s="79">
        <f>IF(X1529="Sin Pago","",IFERROR(INDEX(Pagos_Odoo!$F:$F, MATCH(X1529, Pagos_Odoo!$B:$B, 0)), ""))</f>
        <v/>
      </c>
      <c r="AB1529" s="81">
        <f>IF(X1529="Sin Pago",0,IFERROR(INDEX(Pagos_Odoo!$E:$E, MATCH(X1529, Pagos_Odoo!$B:$B, 0)), 0))</f>
        <v/>
      </c>
      <c r="AC1529" s="79">
        <f>IF(X1529="Sin Pago","",IFERROR(INDEX(Pagos_Odoo!$G:$G, MATCH(X1529, Pagos_Odoo!$B:$B, 0)), ""))</f>
        <v/>
      </c>
      <c r="AD1529" s="82" t="n">
        <v>0</v>
      </c>
      <c r="AE1529" s="82" t="n"/>
      <c r="AF1529" s="82" t="n"/>
      <c r="AG1529" s="82">
        <f>IF(AN1529="","",AD1529+AE1529+AF1529)</f>
        <v/>
      </c>
      <c r="AH1529" s="81">
        <f>IF(AN1529="","",P1529*(1-AG1529))</f>
        <v/>
      </c>
      <c r="AI1529" s="81">
        <f>IF(AN1529="","",IF(Q1529="Sin Factura",0,IFERROR(INDEX(Facturas_Odoo!$H:$H, MATCH(Q1529, Facturas_Odoo!$B:$B, 0)), 0)*(1-AG1529)))</f>
        <v/>
      </c>
      <c r="AJ1529" s="81">
        <f>IF(AN1529="","",_xlfn.LET(idVenta, AN1529&amp;"",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29" s="81">
        <f>IF(AN1529="","",AH1529-AJ1529)</f>
        <v/>
      </c>
      <c r="AL1529" s="81">
        <f>IF(AN1529="","",IF(Q1529="Sin Factura","",AI1529-AJ1529))</f>
        <v/>
      </c>
      <c r="AM1529" s="81">
        <f>IF(AN1529="","",IF(Q1529="Sin Factura",0,P1529-IFERROR(INDEX(Facturas_Odoo!$H:$H, MATCH(Q1529, Facturas_Odoo!$B:$B, 0)), 0)))</f>
        <v/>
      </c>
      <c r="AN1529" s="79">
        <f>IF(AND(A1529="", J1529=""), "", IF(A1529&lt;&gt;"", VALUE(MID(A1529,2,LEN(A1529))), AN1528))</f>
        <v/>
      </c>
      <c r="AO1529" s="79">
        <f>IF(AN1529="","",IF(AD1529=0,"OK",_xlfn.LET(monedaPago, IF(AA1529="","USD",AA1529), limitePermitido, IFERROR(VLOOKUP(monedaPago, Configuración!$A$2:$B$3, 2, FALSE), 0.15), IF(AD1529&gt;limitePermitido, "ALERTA: EXCESO (" &amp; TEXT(limitePermitido, "0%") &amp; " máx)", "OK"))))</f>
        <v/>
      </c>
      <c r="AP1529" s="79">
        <f>IF(AN1529="","",IF(AE1529=0,"OK",_xlfn.LET(fechaPago, Z1529, fechaFactura, R1529, diasCredito, IF(E1529="Pago inmediato", 0, IFERROR(VALUE(MID(E1529, 1, SEARCH(" ", E1529)-1)),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29" s="79">
        <f>IF(AN1529="","",IF(AND(N1529&gt;0, AG1529&gt;0), IF(Configuración!$K$2="NO", "ALERTA: DESCUENTO DOBLE NO PERMITIDO", "OK"), "OK"))</f>
        <v/>
      </c>
      <c r="AR1529" s="79">
        <f>IF(AN1529="","",IF(OR(AO1529&lt;&gt;"OK", AP1529&lt;&gt;"OK", AQ1529&lt;&gt;"OK"), "⚠️ REVISAR", "OK"))</f>
        <v/>
      </c>
    </row>
    <row r="1530">
      <c r="A1530" s="79">
        <f>IF('Ordenes_Odoo'!A1530="","",'Ordenes_Odoo'!A1530)</f>
        <v/>
      </c>
      <c r="B1530" s="80">
        <f>IF('Ordenes_Odoo'!B1530="","",'Ordenes_Odoo'!B1530)</f>
        <v/>
      </c>
      <c r="C1530" s="79">
        <f>IF('Ordenes_Odoo'!C1530="","",'Ordenes_Odoo'!C1530)</f>
        <v/>
      </c>
      <c r="D1530" s="79">
        <f>IF('Ordenes_Odoo'!D1530="","",'Ordenes_Odoo'!D1530)</f>
        <v/>
      </c>
      <c r="E1530" s="79">
        <f>IF('Ordenes_Odoo'!E1530="","",'Ordenes_Odoo'!E1530)</f>
        <v/>
      </c>
      <c r="F1530" s="79">
        <f>IF('Ordenes_Odoo'!F1530="","",'Ordenes_Odoo'!F1530)</f>
        <v/>
      </c>
      <c r="G1530" s="79">
        <f>IF('Ordenes_Odoo'!G1530="","",'Ordenes_Odoo'!G1530)</f>
        <v/>
      </c>
      <c r="H1530" s="79">
        <f>IF('Ordenes_Odoo'!H1530="","",'Ordenes_Odoo'!H1530)</f>
        <v/>
      </c>
      <c r="I1530" s="79">
        <f>IF('Ordenes_Odoo'!I1530="","",'Ordenes_Odoo'!I1530)</f>
        <v/>
      </c>
      <c r="J1530" s="79">
        <f>IF('Ordenes_Odoo'!J1530="","",'Ordenes_Odoo'!J1530)</f>
        <v/>
      </c>
      <c r="K1530" s="81">
        <f>IF('Ordenes_Odoo'!K1530="","",'Ordenes_Odoo'!K1530)</f>
        <v/>
      </c>
      <c r="L1530" s="81">
        <f>IF('Ordenes_Odoo'!L1530="","",'Ordenes_Odoo'!L1530)</f>
        <v/>
      </c>
      <c r="M1530" s="79">
        <f>IF('Ordenes_Odoo'!M1530="","",'Ordenes_Odoo'!M1530)</f>
        <v/>
      </c>
      <c r="N1530" s="79">
        <f>IF('Ordenes_Odoo'!N1530="","",'Ordenes_Odoo'!N1530)</f>
        <v/>
      </c>
      <c r="O1530" s="81">
        <f>IF('Ordenes_Odoo'!O1530="","",'Ordenes_Odoo'!O1530)</f>
        <v/>
      </c>
      <c r="P1530" s="81">
        <f>IF('Ordenes_Odoo'!P1530="","",'Ordenes_Odoo'!P1530)</f>
        <v/>
      </c>
      <c r="Q1530" s="79">
        <f>IF(A1530="","",IFERROR(INDEX(Facturas_Odoo!$B:$B, MATCH(A1530, Facturas_Odoo!$D:$D, 0)), "Sin Factura"))</f>
        <v/>
      </c>
      <c r="R1530" s="80">
        <f>IF(Q1530="Sin Factura","",IFERROR(INDEX(Facturas_Odoo!$A:$A, MATCH(Q1530, Facturas_Odoo!$B:$B, 0)), ""))</f>
        <v/>
      </c>
      <c r="S1530" s="79">
        <f>IF(Q1530="Sin Factura","",IFERROR(_xlfn.XLOOKUP(1, (Facturas_Odoo!$D:$D=A1530) * (Facturas_Odoo!$K:$K=I1530), Facturas_Odoo!$L:$L, ""), ""))</f>
        <v/>
      </c>
      <c r="T1530" s="81">
        <f>IF(Q1530="Sin Factura",0,IFERROR(_xlfn.XLOOKUP(1, (Facturas_Odoo!$D:$D=A1530) * (Facturas_Odoo!$K:$K=I1530), Facturas_Odoo!$M:$M, 0), 0))</f>
        <v/>
      </c>
      <c r="U1530" s="79">
        <f>IF(Q1530="Sin Factura",0,IFERROR(_xlfn.XLOOKUP(1, (Facturas_Odoo!$D:$D=A1530) * (Facturas_Odoo!$K:$K=I1530), Facturas_Odoo!$N:$N, 0), 0))</f>
        <v/>
      </c>
      <c r="V1530" s="79">
        <f>IF(Q1530="Sin Factura",0,IFERROR(_xlfn.XLOOKUP(1, (Facturas_Odoo!$D:$D=A1530) * (Facturas_Odoo!$K:$K=I1530), Facturas_Odoo!$O:$O, 0), 0))</f>
        <v/>
      </c>
      <c r="W1530" s="81">
        <f>IF(Q1530="Sin Factura",0,IFERROR(_xlfn.XLOOKUP(1, (Facturas_Odoo!$D:$D=A1530) * (Facturas_Odoo!$K:$K=I1530), Facturas_Odoo!$Q:$Q, 0), 0))</f>
        <v/>
      </c>
      <c r="X1530" s="79">
        <f>IF(OR(Q1530="Sin Factura",Q1530=""),"",IFERROR(INDEX(Pagos_Odoo!$B:$B, MATCH(Q1530, Pagos_Odoo!$I:$I, 0)), "Sin Pago"))</f>
        <v/>
      </c>
      <c r="Y1530" s="79">
        <f>IF(X1530="Sin Pago","",IFERROR(INDEX(Pagos_Odoo!$C:$C, MATCH(X1530, Pagos_Odoo!$B:$B, 0)), ""))</f>
        <v/>
      </c>
      <c r="Z1530" s="80">
        <f>IF(X1530="Sin Pago","",IFERROR(INDEX(Pagos_Odoo!$A:$A, MATCH(X1530, Pagos_Odoo!$B:$B, 0)), ""))</f>
        <v/>
      </c>
      <c r="AA1530" s="79">
        <f>IF(X1530="Sin Pago","",IFERROR(INDEX(Pagos_Odoo!$F:$F, MATCH(X1530, Pagos_Odoo!$B:$B, 0)), ""))</f>
        <v/>
      </c>
      <c r="AB1530" s="81">
        <f>IF(X1530="Sin Pago",0,IFERROR(INDEX(Pagos_Odoo!$E:$E, MATCH(X1530, Pagos_Odoo!$B:$B, 0)), 0))</f>
        <v/>
      </c>
      <c r="AC1530" s="79">
        <f>IF(X1530="Sin Pago","",IFERROR(INDEX(Pagos_Odoo!$G:$G, MATCH(X1530, Pagos_Odoo!$B:$B, 0)), ""))</f>
        <v/>
      </c>
      <c r="AD1530" s="82" t="n">
        <v>0</v>
      </c>
      <c r="AE1530" s="82" t="n"/>
      <c r="AF1530" s="82" t="n"/>
      <c r="AG1530" s="82">
        <f>IF(AN1530="","",AD1530+AE1530+AF1530)</f>
        <v/>
      </c>
      <c r="AH1530" s="81">
        <f>IF(AN1530="","",P1530*(1-AG1530))</f>
        <v/>
      </c>
      <c r="AI1530" s="81">
        <f>IF(AN1530="","",IF(Q1530="Sin Factura",0,IFERROR(INDEX(Facturas_Odoo!$H:$H, MATCH(Q1530, Facturas_Odoo!$B:$B, 0)), 0)*(1-AG1530)))</f>
        <v/>
      </c>
      <c r="AJ1530" s="81">
        <f>IF(AN1530="","",_xlfn.LET(idVenta, AN1530&amp;"",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30" s="81">
        <f>IF(AN1530="","",AH1530-AJ1530)</f>
        <v/>
      </c>
      <c r="AL1530" s="81">
        <f>IF(AN1530="","",IF(Q1530="Sin Factura","",AI1530-AJ1530))</f>
        <v/>
      </c>
      <c r="AM1530" s="81">
        <f>IF(AN1530="","",IF(Q1530="Sin Factura",0,P1530-IFERROR(INDEX(Facturas_Odoo!$H:$H, MATCH(Q1530, Facturas_Odoo!$B:$B, 0)), 0)))</f>
        <v/>
      </c>
      <c r="AN1530" s="79">
        <f>IF(AND(A1530="", J1530=""), "", IF(A1530&lt;&gt;"", VALUE(MID(A1530,2,LEN(A1530))), AN1529))</f>
        <v/>
      </c>
      <c r="AO1530" s="79">
        <f>IF(AN1530="","",IF(AD1530=0,"OK",_xlfn.LET(monedaPago, IF(AA1530="","USD",AA1530), limitePermitido, IFERROR(VLOOKUP(monedaPago, Configuración!$A$2:$B$3, 2, FALSE), 0.15), IF(AD1530&gt;limitePermitido, "ALERTA: EXCESO (" &amp; TEXT(limitePermitido, "0%") &amp; " máx)", "OK"))))</f>
        <v/>
      </c>
      <c r="AP1530" s="79">
        <f>IF(AN1530="","",IF(AE1530=0,"OK",_xlfn.LET(fechaPago, Z1530, fechaFactura, R1530, diasCredito, IF(E1530="Pago inmediato", 0, IFERROR(VALUE(MID(E1530, 1, SEARCH(" ", E1530)-1)),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30" s="79">
        <f>IF(AN1530="","",IF(AND(N1530&gt;0, AG1530&gt;0), IF(Configuración!$K$2="NO", "ALERTA: DESCUENTO DOBLE NO PERMITIDO", "OK"), "OK"))</f>
        <v/>
      </c>
      <c r="AR1530" s="79">
        <f>IF(AN1530="","",IF(OR(AO1530&lt;&gt;"OK", AP1530&lt;&gt;"OK", AQ1530&lt;&gt;"OK"), "⚠️ REVISAR", "OK"))</f>
        <v/>
      </c>
    </row>
    <row r="1531">
      <c r="A1531" s="79">
        <f>IF('Ordenes_Odoo'!A1531="","",'Ordenes_Odoo'!A1531)</f>
        <v/>
      </c>
      <c r="B1531" s="80">
        <f>IF('Ordenes_Odoo'!B1531="","",'Ordenes_Odoo'!B1531)</f>
        <v/>
      </c>
      <c r="C1531" s="79">
        <f>IF('Ordenes_Odoo'!C1531="","",'Ordenes_Odoo'!C1531)</f>
        <v/>
      </c>
      <c r="D1531" s="79">
        <f>IF('Ordenes_Odoo'!D1531="","",'Ordenes_Odoo'!D1531)</f>
        <v/>
      </c>
      <c r="E1531" s="79">
        <f>IF('Ordenes_Odoo'!E1531="","",'Ordenes_Odoo'!E1531)</f>
        <v/>
      </c>
      <c r="F1531" s="79">
        <f>IF('Ordenes_Odoo'!F1531="","",'Ordenes_Odoo'!F1531)</f>
        <v/>
      </c>
      <c r="G1531" s="79">
        <f>IF('Ordenes_Odoo'!G1531="","",'Ordenes_Odoo'!G1531)</f>
        <v/>
      </c>
      <c r="H1531" s="79">
        <f>IF('Ordenes_Odoo'!H1531="","",'Ordenes_Odoo'!H1531)</f>
        <v/>
      </c>
      <c r="I1531" s="79">
        <f>IF('Ordenes_Odoo'!I1531="","",'Ordenes_Odoo'!I1531)</f>
        <v/>
      </c>
      <c r="J1531" s="79">
        <f>IF('Ordenes_Odoo'!J1531="","",'Ordenes_Odoo'!J1531)</f>
        <v/>
      </c>
      <c r="K1531" s="81">
        <f>IF('Ordenes_Odoo'!K1531="","",'Ordenes_Odoo'!K1531)</f>
        <v/>
      </c>
      <c r="L1531" s="81">
        <f>IF('Ordenes_Odoo'!L1531="","",'Ordenes_Odoo'!L1531)</f>
        <v/>
      </c>
      <c r="M1531" s="79">
        <f>IF('Ordenes_Odoo'!M1531="","",'Ordenes_Odoo'!M1531)</f>
        <v/>
      </c>
      <c r="N1531" s="79">
        <f>IF('Ordenes_Odoo'!N1531="","",'Ordenes_Odoo'!N1531)</f>
        <v/>
      </c>
      <c r="O1531" s="81">
        <f>IF('Ordenes_Odoo'!O1531="","",'Ordenes_Odoo'!O1531)</f>
        <v/>
      </c>
      <c r="P1531" s="81">
        <f>IF('Ordenes_Odoo'!P1531="","",'Ordenes_Odoo'!P1531)</f>
        <v/>
      </c>
      <c r="Q1531" s="79">
        <f>IF(A1531="","",IFERROR(INDEX(Facturas_Odoo!$B:$B, MATCH(A1531, Facturas_Odoo!$D:$D, 0)), "Sin Factura"))</f>
        <v/>
      </c>
      <c r="R1531" s="80">
        <f>IF(Q1531="Sin Factura","",IFERROR(INDEX(Facturas_Odoo!$A:$A, MATCH(Q1531, Facturas_Odoo!$B:$B, 0)), ""))</f>
        <v/>
      </c>
      <c r="S1531" s="79">
        <f>IF(Q1531="Sin Factura","",IFERROR(_xlfn.XLOOKUP(1, (Facturas_Odoo!$D:$D=A1531) * (Facturas_Odoo!$K:$K=I1531), Facturas_Odoo!$L:$L, ""), ""))</f>
        <v/>
      </c>
      <c r="T1531" s="81">
        <f>IF(Q1531="Sin Factura",0,IFERROR(_xlfn.XLOOKUP(1, (Facturas_Odoo!$D:$D=A1531) * (Facturas_Odoo!$K:$K=I1531), Facturas_Odoo!$M:$M, 0), 0))</f>
        <v/>
      </c>
      <c r="U1531" s="79">
        <f>IF(Q1531="Sin Factura",0,IFERROR(_xlfn.XLOOKUP(1, (Facturas_Odoo!$D:$D=A1531) * (Facturas_Odoo!$K:$K=I1531), Facturas_Odoo!$N:$N, 0), 0))</f>
        <v/>
      </c>
      <c r="V1531" s="79">
        <f>IF(Q1531="Sin Factura",0,IFERROR(_xlfn.XLOOKUP(1, (Facturas_Odoo!$D:$D=A1531) * (Facturas_Odoo!$K:$K=I1531), Facturas_Odoo!$O:$O, 0), 0))</f>
        <v/>
      </c>
      <c r="W1531" s="81">
        <f>IF(Q1531="Sin Factura",0,IFERROR(_xlfn.XLOOKUP(1, (Facturas_Odoo!$D:$D=A1531) * (Facturas_Odoo!$K:$K=I1531), Facturas_Odoo!$Q:$Q, 0), 0))</f>
        <v/>
      </c>
      <c r="X1531" s="79">
        <f>IF(OR(Q1531="Sin Factura",Q1531=""),"",IFERROR(INDEX(Pagos_Odoo!$B:$B, MATCH(Q1531, Pagos_Odoo!$I:$I, 0)), "Sin Pago"))</f>
        <v/>
      </c>
      <c r="Y1531" s="79">
        <f>IF(X1531="Sin Pago","",IFERROR(INDEX(Pagos_Odoo!$C:$C, MATCH(X1531, Pagos_Odoo!$B:$B, 0)), ""))</f>
        <v/>
      </c>
      <c r="Z1531" s="80">
        <f>IF(X1531="Sin Pago","",IFERROR(INDEX(Pagos_Odoo!$A:$A, MATCH(X1531, Pagos_Odoo!$B:$B, 0)), ""))</f>
        <v/>
      </c>
      <c r="AA1531" s="79">
        <f>IF(X1531="Sin Pago","",IFERROR(INDEX(Pagos_Odoo!$F:$F, MATCH(X1531, Pagos_Odoo!$B:$B, 0)), ""))</f>
        <v/>
      </c>
      <c r="AB1531" s="81">
        <f>IF(X1531="Sin Pago",0,IFERROR(INDEX(Pagos_Odoo!$E:$E, MATCH(X1531, Pagos_Odoo!$B:$B, 0)), 0))</f>
        <v/>
      </c>
      <c r="AC1531" s="79">
        <f>IF(X1531="Sin Pago","",IFERROR(INDEX(Pagos_Odoo!$G:$G, MATCH(X1531, Pagos_Odoo!$B:$B, 0)), ""))</f>
        <v/>
      </c>
      <c r="AD1531" s="82" t="n">
        <v>0</v>
      </c>
      <c r="AE1531" s="82" t="n"/>
      <c r="AF1531" s="82" t="n"/>
      <c r="AG1531" s="82">
        <f>IF(AN1531="","",AD1531+AE1531+AF1531)</f>
        <v/>
      </c>
      <c r="AH1531" s="81">
        <f>IF(AN1531="","",P1531*(1-AG1531))</f>
        <v/>
      </c>
      <c r="AI1531" s="81">
        <f>IF(AN1531="","",IF(Q1531="Sin Factura",0,IFERROR(INDEX(Facturas_Odoo!$H:$H, MATCH(Q1531, Facturas_Odoo!$B:$B, 0)), 0)*(1-AG1531)))</f>
        <v/>
      </c>
      <c r="AJ1531" s="81">
        <f>IF(AN1531="","",_xlfn.LET(idVenta, AN1531&amp;"",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31" s="81">
        <f>IF(AN1531="","",AH1531-AJ1531)</f>
        <v/>
      </c>
      <c r="AL1531" s="81">
        <f>IF(AN1531="","",IF(Q1531="Sin Factura","",AI1531-AJ1531))</f>
        <v/>
      </c>
      <c r="AM1531" s="81">
        <f>IF(AN1531="","",IF(Q1531="Sin Factura",0,P1531-IFERROR(INDEX(Facturas_Odoo!$H:$H, MATCH(Q1531, Facturas_Odoo!$B:$B, 0)), 0)))</f>
        <v/>
      </c>
      <c r="AN1531" s="79">
        <f>IF(AND(A1531="", J1531=""), "", IF(A1531&lt;&gt;"", VALUE(MID(A1531,2,LEN(A1531))), AN1530))</f>
        <v/>
      </c>
      <c r="AO1531" s="79">
        <f>IF(AN1531="","",IF(AD1531=0,"OK",_xlfn.LET(monedaPago, IF(AA1531="","USD",AA1531), limitePermitido, IFERROR(VLOOKUP(monedaPago, Configuración!$A$2:$B$3, 2, FALSE), 0.15), IF(AD1531&gt;limitePermitido, "ALERTA: EXCESO (" &amp; TEXT(limitePermitido, "0%") &amp; " máx)", "OK"))))</f>
        <v/>
      </c>
      <c r="AP1531" s="79">
        <f>IF(AN1531="","",IF(AE1531=0,"OK",_xlfn.LET(fechaPago, Z1531, fechaFactura, R1531, diasCredito, IF(E1531="Pago inmediato", 0, IFERROR(VALUE(MID(E1531, 1, SEARCH(" ", E1531)-1)),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31" s="79">
        <f>IF(AN1531="","",IF(AND(N1531&gt;0, AG1531&gt;0), IF(Configuración!$K$2="NO", "ALERTA: DESCUENTO DOBLE NO PERMITIDO", "OK"), "OK"))</f>
        <v/>
      </c>
      <c r="AR1531" s="79">
        <f>IF(AN1531="","",IF(OR(AO1531&lt;&gt;"OK", AP1531&lt;&gt;"OK", AQ1531&lt;&gt;"OK"), "⚠️ REVISAR", "OK"))</f>
        <v/>
      </c>
    </row>
    <row r="1532">
      <c r="A1532" s="79">
        <f>IF('Ordenes_Odoo'!A1532="","",'Ordenes_Odoo'!A1532)</f>
        <v/>
      </c>
      <c r="B1532" s="80">
        <f>IF('Ordenes_Odoo'!B1532="","",'Ordenes_Odoo'!B1532)</f>
        <v/>
      </c>
      <c r="C1532" s="79">
        <f>IF('Ordenes_Odoo'!C1532="","",'Ordenes_Odoo'!C1532)</f>
        <v/>
      </c>
      <c r="D1532" s="79">
        <f>IF('Ordenes_Odoo'!D1532="","",'Ordenes_Odoo'!D1532)</f>
        <v/>
      </c>
      <c r="E1532" s="79">
        <f>IF('Ordenes_Odoo'!E1532="","",'Ordenes_Odoo'!E1532)</f>
        <v/>
      </c>
      <c r="F1532" s="79">
        <f>IF('Ordenes_Odoo'!F1532="","",'Ordenes_Odoo'!F1532)</f>
        <v/>
      </c>
      <c r="G1532" s="79">
        <f>IF('Ordenes_Odoo'!G1532="","",'Ordenes_Odoo'!G1532)</f>
        <v/>
      </c>
      <c r="H1532" s="79">
        <f>IF('Ordenes_Odoo'!H1532="","",'Ordenes_Odoo'!H1532)</f>
        <v/>
      </c>
      <c r="I1532" s="79">
        <f>IF('Ordenes_Odoo'!I1532="","",'Ordenes_Odoo'!I1532)</f>
        <v/>
      </c>
      <c r="J1532" s="79">
        <f>IF('Ordenes_Odoo'!J1532="","",'Ordenes_Odoo'!J1532)</f>
        <v/>
      </c>
      <c r="K1532" s="81">
        <f>IF('Ordenes_Odoo'!K1532="","",'Ordenes_Odoo'!K1532)</f>
        <v/>
      </c>
      <c r="L1532" s="81">
        <f>IF('Ordenes_Odoo'!L1532="","",'Ordenes_Odoo'!L1532)</f>
        <v/>
      </c>
      <c r="M1532" s="79">
        <f>IF('Ordenes_Odoo'!M1532="","",'Ordenes_Odoo'!M1532)</f>
        <v/>
      </c>
      <c r="N1532" s="79">
        <f>IF('Ordenes_Odoo'!N1532="","",'Ordenes_Odoo'!N1532)</f>
        <v/>
      </c>
      <c r="O1532" s="81">
        <f>IF('Ordenes_Odoo'!O1532="","",'Ordenes_Odoo'!O1532)</f>
        <v/>
      </c>
      <c r="P1532" s="81">
        <f>IF('Ordenes_Odoo'!P1532="","",'Ordenes_Odoo'!P1532)</f>
        <v/>
      </c>
      <c r="Q1532" s="79">
        <f>IF(A1532="","",IFERROR(INDEX(Facturas_Odoo!$B:$B, MATCH(A1532, Facturas_Odoo!$D:$D, 0)), "Sin Factura"))</f>
        <v/>
      </c>
      <c r="R1532" s="80">
        <f>IF(Q1532="Sin Factura","",IFERROR(INDEX(Facturas_Odoo!$A:$A, MATCH(Q1532, Facturas_Odoo!$B:$B, 0)), ""))</f>
        <v/>
      </c>
      <c r="S1532" s="79">
        <f>IF(Q1532="Sin Factura","",IFERROR(_xlfn.XLOOKUP(1, (Facturas_Odoo!$D:$D=A1532) * (Facturas_Odoo!$K:$K=I1532), Facturas_Odoo!$L:$L, ""), ""))</f>
        <v/>
      </c>
      <c r="T1532" s="81">
        <f>IF(Q1532="Sin Factura",0,IFERROR(_xlfn.XLOOKUP(1, (Facturas_Odoo!$D:$D=A1532) * (Facturas_Odoo!$K:$K=I1532), Facturas_Odoo!$M:$M, 0), 0))</f>
        <v/>
      </c>
      <c r="U1532" s="79">
        <f>IF(Q1532="Sin Factura",0,IFERROR(_xlfn.XLOOKUP(1, (Facturas_Odoo!$D:$D=A1532) * (Facturas_Odoo!$K:$K=I1532), Facturas_Odoo!$N:$N, 0), 0))</f>
        <v/>
      </c>
      <c r="V1532" s="79">
        <f>IF(Q1532="Sin Factura",0,IFERROR(_xlfn.XLOOKUP(1, (Facturas_Odoo!$D:$D=A1532) * (Facturas_Odoo!$K:$K=I1532), Facturas_Odoo!$O:$O, 0), 0))</f>
        <v/>
      </c>
      <c r="W1532" s="81">
        <f>IF(Q1532="Sin Factura",0,IFERROR(_xlfn.XLOOKUP(1, (Facturas_Odoo!$D:$D=A1532) * (Facturas_Odoo!$K:$K=I1532), Facturas_Odoo!$Q:$Q, 0), 0))</f>
        <v/>
      </c>
      <c r="X1532" s="79">
        <f>IF(OR(Q1532="Sin Factura",Q1532=""),"",IFERROR(INDEX(Pagos_Odoo!$B:$B, MATCH(Q1532, Pagos_Odoo!$I:$I, 0)), "Sin Pago"))</f>
        <v/>
      </c>
      <c r="Y1532" s="79">
        <f>IF(X1532="Sin Pago","",IFERROR(INDEX(Pagos_Odoo!$C:$C, MATCH(X1532, Pagos_Odoo!$B:$B, 0)), ""))</f>
        <v/>
      </c>
      <c r="Z1532" s="80">
        <f>IF(X1532="Sin Pago","",IFERROR(INDEX(Pagos_Odoo!$A:$A, MATCH(X1532, Pagos_Odoo!$B:$B, 0)), ""))</f>
        <v/>
      </c>
      <c r="AA1532" s="79">
        <f>IF(X1532="Sin Pago","",IFERROR(INDEX(Pagos_Odoo!$F:$F, MATCH(X1532, Pagos_Odoo!$B:$B, 0)), ""))</f>
        <v/>
      </c>
      <c r="AB1532" s="81">
        <f>IF(X1532="Sin Pago",0,IFERROR(INDEX(Pagos_Odoo!$E:$E, MATCH(X1532, Pagos_Odoo!$B:$B, 0)), 0))</f>
        <v/>
      </c>
      <c r="AC1532" s="79">
        <f>IF(X1532="Sin Pago","",IFERROR(INDEX(Pagos_Odoo!$G:$G, MATCH(X1532, Pagos_Odoo!$B:$B, 0)), ""))</f>
        <v/>
      </c>
      <c r="AD1532" s="82" t="n">
        <v>0</v>
      </c>
      <c r="AE1532" s="82" t="n"/>
      <c r="AF1532" s="82" t="n"/>
      <c r="AG1532" s="82">
        <f>IF(AN1532="","",AD1532+AE1532+AF1532)</f>
        <v/>
      </c>
      <c r="AH1532" s="81">
        <f>IF(AN1532="","",P1532*(1-AG1532))</f>
        <v/>
      </c>
      <c r="AI1532" s="81">
        <f>IF(AN1532="","",IF(Q1532="Sin Factura",0,IFERROR(INDEX(Facturas_Odoo!$H:$H, MATCH(Q1532, Facturas_Odoo!$B:$B, 0)), 0)*(1-AG1532)))</f>
        <v/>
      </c>
      <c r="AJ1532" s="81">
        <f>IF(AN1532="","",_xlfn.LET(idVenta, AN1532&amp;"",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32" s="81">
        <f>IF(AN1532="","",AH1532-AJ1532)</f>
        <v/>
      </c>
      <c r="AL1532" s="81">
        <f>IF(AN1532="","",IF(Q1532="Sin Factura","",AI1532-AJ1532))</f>
        <v/>
      </c>
      <c r="AM1532" s="81">
        <f>IF(AN1532="","",IF(Q1532="Sin Factura",0,P1532-IFERROR(INDEX(Facturas_Odoo!$H:$H, MATCH(Q1532, Facturas_Odoo!$B:$B, 0)), 0)))</f>
        <v/>
      </c>
      <c r="AN1532" s="79">
        <f>IF(AND(A1532="", J1532=""), "", IF(A1532&lt;&gt;"", VALUE(MID(A1532,2,LEN(A1532))), AN1531))</f>
        <v/>
      </c>
      <c r="AO1532" s="79">
        <f>IF(AN1532="","",IF(AD1532=0,"OK",_xlfn.LET(monedaPago, IF(AA1532="","USD",AA1532), limitePermitido, IFERROR(VLOOKUP(monedaPago, Configuración!$A$2:$B$3, 2, FALSE), 0.15), IF(AD1532&gt;limitePermitido, "ALERTA: EXCESO (" &amp; TEXT(limitePermitido, "0%") &amp; " máx)", "OK"))))</f>
        <v/>
      </c>
      <c r="AP1532" s="79">
        <f>IF(AN1532="","",IF(AE1532=0,"OK",_xlfn.LET(fechaPago, Z1532, fechaFactura, R1532, diasCredito, IF(E1532="Pago inmediato", 0, IFERROR(VALUE(MID(E1532, 1, SEARCH(" ", E1532)-1)),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32" s="79">
        <f>IF(AN1532="","",IF(AND(N1532&gt;0, AG1532&gt;0), IF(Configuración!$K$2="NO", "ALERTA: DESCUENTO DOBLE NO PERMITIDO", "OK"), "OK"))</f>
        <v/>
      </c>
      <c r="AR1532" s="79">
        <f>IF(AN1532="","",IF(OR(AO1532&lt;&gt;"OK", AP1532&lt;&gt;"OK", AQ1532&lt;&gt;"OK"), "⚠️ REVISAR", "OK"))</f>
        <v/>
      </c>
    </row>
    <row r="1533">
      <c r="A1533" s="79">
        <f>IF('Ordenes_Odoo'!A1533="","",'Ordenes_Odoo'!A1533)</f>
        <v/>
      </c>
      <c r="B1533" s="80">
        <f>IF('Ordenes_Odoo'!B1533="","",'Ordenes_Odoo'!B1533)</f>
        <v/>
      </c>
      <c r="C1533" s="79">
        <f>IF('Ordenes_Odoo'!C1533="","",'Ordenes_Odoo'!C1533)</f>
        <v/>
      </c>
      <c r="D1533" s="79">
        <f>IF('Ordenes_Odoo'!D1533="","",'Ordenes_Odoo'!D1533)</f>
        <v/>
      </c>
      <c r="E1533" s="79">
        <f>IF('Ordenes_Odoo'!E1533="","",'Ordenes_Odoo'!E1533)</f>
        <v/>
      </c>
      <c r="F1533" s="79">
        <f>IF('Ordenes_Odoo'!F1533="","",'Ordenes_Odoo'!F1533)</f>
        <v/>
      </c>
      <c r="G1533" s="79">
        <f>IF('Ordenes_Odoo'!G1533="","",'Ordenes_Odoo'!G1533)</f>
        <v/>
      </c>
      <c r="H1533" s="79">
        <f>IF('Ordenes_Odoo'!H1533="","",'Ordenes_Odoo'!H1533)</f>
        <v/>
      </c>
      <c r="I1533" s="79">
        <f>IF('Ordenes_Odoo'!I1533="","",'Ordenes_Odoo'!I1533)</f>
        <v/>
      </c>
      <c r="J1533" s="79">
        <f>IF('Ordenes_Odoo'!J1533="","",'Ordenes_Odoo'!J1533)</f>
        <v/>
      </c>
      <c r="K1533" s="81">
        <f>IF('Ordenes_Odoo'!K1533="","",'Ordenes_Odoo'!K1533)</f>
        <v/>
      </c>
      <c r="L1533" s="81">
        <f>IF('Ordenes_Odoo'!L1533="","",'Ordenes_Odoo'!L1533)</f>
        <v/>
      </c>
      <c r="M1533" s="79">
        <f>IF('Ordenes_Odoo'!M1533="","",'Ordenes_Odoo'!M1533)</f>
        <v/>
      </c>
      <c r="N1533" s="79">
        <f>IF('Ordenes_Odoo'!N1533="","",'Ordenes_Odoo'!N1533)</f>
        <v/>
      </c>
      <c r="O1533" s="81">
        <f>IF('Ordenes_Odoo'!O1533="","",'Ordenes_Odoo'!O1533)</f>
        <v/>
      </c>
      <c r="P1533" s="81">
        <f>IF('Ordenes_Odoo'!P1533="","",'Ordenes_Odoo'!P1533)</f>
        <v/>
      </c>
      <c r="Q1533" s="79">
        <f>IF(A1533="","",IFERROR(INDEX(Facturas_Odoo!$B:$B, MATCH(A1533, Facturas_Odoo!$D:$D, 0)), "Sin Factura"))</f>
        <v/>
      </c>
      <c r="R1533" s="80">
        <f>IF(Q1533="Sin Factura","",IFERROR(INDEX(Facturas_Odoo!$A:$A, MATCH(Q1533, Facturas_Odoo!$B:$B, 0)), ""))</f>
        <v/>
      </c>
      <c r="S1533" s="79">
        <f>IF(Q1533="Sin Factura","",IFERROR(_xlfn.XLOOKUP(1, (Facturas_Odoo!$D:$D=A1533) * (Facturas_Odoo!$K:$K=I1533), Facturas_Odoo!$L:$L, ""), ""))</f>
        <v/>
      </c>
      <c r="T1533" s="81">
        <f>IF(Q1533="Sin Factura",0,IFERROR(_xlfn.XLOOKUP(1, (Facturas_Odoo!$D:$D=A1533) * (Facturas_Odoo!$K:$K=I1533), Facturas_Odoo!$M:$M, 0), 0))</f>
        <v/>
      </c>
      <c r="U1533" s="79">
        <f>IF(Q1533="Sin Factura",0,IFERROR(_xlfn.XLOOKUP(1, (Facturas_Odoo!$D:$D=A1533) * (Facturas_Odoo!$K:$K=I1533), Facturas_Odoo!$N:$N, 0), 0))</f>
        <v/>
      </c>
      <c r="V1533" s="79">
        <f>IF(Q1533="Sin Factura",0,IFERROR(_xlfn.XLOOKUP(1, (Facturas_Odoo!$D:$D=A1533) * (Facturas_Odoo!$K:$K=I1533), Facturas_Odoo!$O:$O, 0), 0))</f>
        <v/>
      </c>
      <c r="W1533" s="81">
        <f>IF(Q1533="Sin Factura",0,IFERROR(_xlfn.XLOOKUP(1, (Facturas_Odoo!$D:$D=A1533) * (Facturas_Odoo!$K:$K=I1533), Facturas_Odoo!$Q:$Q, 0), 0))</f>
        <v/>
      </c>
      <c r="X1533" s="79">
        <f>IF(OR(Q1533="Sin Factura",Q1533=""),"",IFERROR(INDEX(Pagos_Odoo!$B:$B, MATCH(Q1533, Pagos_Odoo!$I:$I, 0)), "Sin Pago"))</f>
        <v/>
      </c>
      <c r="Y1533" s="79">
        <f>IF(X1533="Sin Pago","",IFERROR(INDEX(Pagos_Odoo!$C:$C, MATCH(X1533, Pagos_Odoo!$B:$B, 0)), ""))</f>
        <v/>
      </c>
      <c r="Z1533" s="80">
        <f>IF(X1533="Sin Pago","",IFERROR(INDEX(Pagos_Odoo!$A:$A, MATCH(X1533, Pagos_Odoo!$B:$B, 0)), ""))</f>
        <v/>
      </c>
      <c r="AA1533" s="79">
        <f>IF(X1533="Sin Pago","",IFERROR(INDEX(Pagos_Odoo!$F:$F, MATCH(X1533, Pagos_Odoo!$B:$B, 0)), ""))</f>
        <v/>
      </c>
      <c r="AB1533" s="81">
        <f>IF(X1533="Sin Pago",0,IFERROR(INDEX(Pagos_Odoo!$E:$E, MATCH(X1533, Pagos_Odoo!$B:$B, 0)), 0))</f>
        <v/>
      </c>
      <c r="AC1533" s="79">
        <f>IF(X1533="Sin Pago","",IFERROR(INDEX(Pagos_Odoo!$G:$G, MATCH(X1533, Pagos_Odoo!$B:$B, 0)), ""))</f>
        <v/>
      </c>
      <c r="AD1533" s="82" t="n">
        <v>0</v>
      </c>
      <c r="AE1533" s="82" t="n"/>
      <c r="AF1533" s="82" t="n"/>
      <c r="AG1533" s="82">
        <f>IF(AN1533="","",AD1533+AE1533+AF1533)</f>
        <v/>
      </c>
      <c r="AH1533" s="81">
        <f>IF(AN1533="","",P1533*(1-AG1533))</f>
        <v/>
      </c>
      <c r="AI1533" s="81">
        <f>IF(AN1533="","",IF(Q1533="Sin Factura",0,IFERROR(INDEX(Facturas_Odoo!$H:$H, MATCH(Q1533, Facturas_Odoo!$B:$B, 0)), 0)*(1-AG1533)))</f>
        <v/>
      </c>
      <c r="AJ1533" s="81">
        <f>IF(AN1533="","",_xlfn.LET(idVenta, AN1533&amp;"",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33" s="81">
        <f>IF(AN1533="","",AH1533-AJ1533)</f>
        <v/>
      </c>
      <c r="AL1533" s="81">
        <f>IF(AN1533="","",IF(Q1533="Sin Factura","",AI1533-AJ1533))</f>
        <v/>
      </c>
      <c r="AM1533" s="81">
        <f>IF(AN1533="","",IF(Q1533="Sin Factura",0,P1533-IFERROR(INDEX(Facturas_Odoo!$H:$H, MATCH(Q1533, Facturas_Odoo!$B:$B, 0)), 0)))</f>
        <v/>
      </c>
      <c r="AN1533" s="79">
        <f>IF(AND(A1533="", J1533=""), "", IF(A1533&lt;&gt;"", VALUE(MID(A1533,2,LEN(A1533))), AN1532))</f>
        <v/>
      </c>
      <c r="AO1533" s="79">
        <f>IF(AN1533="","",IF(AD1533=0,"OK",_xlfn.LET(monedaPago, IF(AA1533="","USD",AA1533), limitePermitido, IFERROR(VLOOKUP(monedaPago, Configuración!$A$2:$B$3, 2, FALSE), 0.15), IF(AD1533&gt;limitePermitido, "ALERTA: EXCESO (" &amp; TEXT(limitePermitido, "0%") &amp; " máx)", "OK"))))</f>
        <v/>
      </c>
      <c r="AP1533" s="79">
        <f>IF(AN1533="","",IF(AE1533=0,"OK",_xlfn.LET(fechaPago, Z1533, fechaFactura, R1533, diasCredito, IF(E1533="Pago inmediato", 0, IFERROR(VALUE(MID(E1533, 1, SEARCH(" ", E1533)-1)),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33" s="79">
        <f>IF(AN1533="","",IF(AND(N1533&gt;0, AG1533&gt;0), IF(Configuración!$K$2="NO", "ALERTA: DESCUENTO DOBLE NO PERMITIDO", "OK"), "OK"))</f>
        <v/>
      </c>
      <c r="AR1533" s="79">
        <f>IF(AN1533="","",IF(OR(AO1533&lt;&gt;"OK", AP1533&lt;&gt;"OK", AQ1533&lt;&gt;"OK"), "⚠️ REVISAR", "OK"))</f>
        <v/>
      </c>
    </row>
    <row r="1534">
      <c r="A1534" s="79">
        <f>IF('Ordenes_Odoo'!A1534="","",'Ordenes_Odoo'!A1534)</f>
        <v/>
      </c>
      <c r="B1534" s="80">
        <f>IF('Ordenes_Odoo'!B1534="","",'Ordenes_Odoo'!B1534)</f>
        <v/>
      </c>
      <c r="C1534" s="79">
        <f>IF('Ordenes_Odoo'!C1534="","",'Ordenes_Odoo'!C1534)</f>
        <v/>
      </c>
      <c r="D1534" s="79">
        <f>IF('Ordenes_Odoo'!D1534="","",'Ordenes_Odoo'!D1534)</f>
        <v/>
      </c>
      <c r="E1534" s="79">
        <f>IF('Ordenes_Odoo'!E1534="","",'Ordenes_Odoo'!E1534)</f>
        <v/>
      </c>
      <c r="F1534" s="79">
        <f>IF('Ordenes_Odoo'!F1534="","",'Ordenes_Odoo'!F1534)</f>
        <v/>
      </c>
      <c r="G1534" s="79">
        <f>IF('Ordenes_Odoo'!G1534="","",'Ordenes_Odoo'!G1534)</f>
        <v/>
      </c>
      <c r="H1534" s="79">
        <f>IF('Ordenes_Odoo'!H1534="","",'Ordenes_Odoo'!H1534)</f>
        <v/>
      </c>
      <c r="I1534" s="79">
        <f>IF('Ordenes_Odoo'!I1534="","",'Ordenes_Odoo'!I1534)</f>
        <v/>
      </c>
      <c r="J1534" s="79">
        <f>IF('Ordenes_Odoo'!J1534="","",'Ordenes_Odoo'!J1534)</f>
        <v/>
      </c>
      <c r="K1534" s="81">
        <f>IF('Ordenes_Odoo'!K1534="","",'Ordenes_Odoo'!K1534)</f>
        <v/>
      </c>
      <c r="L1534" s="81">
        <f>IF('Ordenes_Odoo'!L1534="","",'Ordenes_Odoo'!L1534)</f>
        <v/>
      </c>
      <c r="M1534" s="79">
        <f>IF('Ordenes_Odoo'!M1534="","",'Ordenes_Odoo'!M1534)</f>
        <v/>
      </c>
      <c r="N1534" s="79">
        <f>IF('Ordenes_Odoo'!N1534="","",'Ordenes_Odoo'!N1534)</f>
        <v/>
      </c>
      <c r="O1534" s="81">
        <f>IF('Ordenes_Odoo'!O1534="","",'Ordenes_Odoo'!O1534)</f>
        <v/>
      </c>
      <c r="P1534" s="81">
        <f>IF('Ordenes_Odoo'!P1534="","",'Ordenes_Odoo'!P1534)</f>
        <v/>
      </c>
      <c r="Q1534" s="79">
        <f>IF(A1534="","",IFERROR(INDEX(Facturas_Odoo!$B:$B, MATCH(A1534, Facturas_Odoo!$D:$D, 0)), "Sin Factura"))</f>
        <v/>
      </c>
      <c r="R1534" s="80">
        <f>IF(Q1534="Sin Factura","",IFERROR(INDEX(Facturas_Odoo!$A:$A, MATCH(Q1534, Facturas_Odoo!$B:$B, 0)), ""))</f>
        <v/>
      </c>
      <c r="S1534" s="79">
        <f>IF(Q1534="Sin Factura","",IFERROR(_xlfn.XLOOKUP(1, (Facturas_Odoo!$D:$D=A1534) * (Facturas_Odoo!$K:$K=I1534), Facturas_Odoo!$L:$L, ""), ""))</f>
        <v/>
      </c>
      <c r="T1534" s="81">
        <f>IF(Q1534="Sin Factura",0,IFERROR(_xlfn.XLOOKUP(1, (Facturas_Odoo!$D:$D=A1534) * (Facturas_Odoo!$K:$K=I1534), Facturas_Odoo!$M:$M, 0), 0))</f>
        <v/>
      </c>
      <c r="U1534" s="79">
        <f>IF(Q1534="Sin Factura",0,IFERROR(_xlfn.XLOOKUP(1, (Facturas_Odoo!$D:$D=A1534) * (Facturas_Odoo!$K:$K=I1534), Facturas_Odoo!$N:$N, 0), 0))</f>
        <v/>
      </c>
      <c r="V1534" s="79">
        <f>IF(Q1534="Sin Factura",0,IFERROR(_xlfn.XLOOKUP(1, (Facturas_Odoo!$D:$D=A1534) * (Facturas_Odoo!$K:$K=I1534), Facturas_Odoo!$O:$O, 0), 0))</f>
        <v/>
      </c>
      <c r="W1534" s="81">
        <f>IF(Q1534="Sin Factura",0,IFERROR(_xlfn.XLOOKUP(1, (Facturas_Odoo!$D:$D=A1534) * (Facturas_Odoo!$K:$K=I1534), Facturas_Odoo!$Q:$Q, 0), 0))</f>
        <v/>
      </c>
      <c r="X1534" s="79">
        <f>IF(OR(Q1534="Sin Factura",Q1534=""),"",IFERROR(INDEX(Pagos_Odoo!$B:$B, MATCH(Q1534, Pagos_Odoo!$I:$I, 0)), "Sin Pago"))</f>
        <v/>
      </c>
      <c r="Y1534" s="79">
        <f>IF(X1534="Sin Pago","",IFERROR(INDEX(Pagos_Odoo!$C:$C, MATCH(X1534, Pagos_Odoo!$B:$B, 0)), ""))</f>
        <v/>
      </c>
      <c r="Z1534" s="80">
        <f>IF(X1534="Sin Pago","",IFERROR(INDEX(Pagos_Odoo!$A:$A, MATCH(X1534, Pagos_Odoo!$B:$B, 0)), ""))</f>
        <v/>
      </c>
      <c r="AA1534" s="79">
        <f>IF(X1534="Sin Pago","",IFERROR(INDEX(Pagos_Odoo!$F:$F, MATCH(X1534, Pagos_Odoo!$B:$B, 0)), ""))</f>
        <v/>
      </c>
      <c r="AB1534" s="81">
        <f>IF(X1534="Sin Pago",0,IFERROR(INDEX(Pagos_Odoo!$E:$E, MATCH(X1534, Pagos_Odoo!$B:$B, 0)), 0))</f>
        <v/>
      </c>
      <c r="AC1534" s="79">
        <f>IF(X1534="Sin Pago","",IFERROR(INDEX(Pagos_Odoo!$G:$G, MATCH(X1534, Pagos_Odoo!$B:$B, 0)), ""))</f>
        <v/>
      </c>
      <c r="AD1534" s="82" t="n">
        <v>0</v>
      </c>
      <c r="AE1534" s="82" t="n"/>
      <c r="AF1534" s="82" t="n"/>
      <c r="AG1534" s="82">
        <f>IF(AN1534="","",AD1534+AE1534+AF1534)</f>
        <v/>
      </c>
      <c r="AH1534" s="81">
        <f>IF(AN1534="","",P1534*(1-AG1534))</f>
        <v/>
      </c>
      <c r="AI1534" s="81">
        <f>IF(AN1534="","",IF(Q1534="Sin Factura",0,IFERROR(INDEX(Facturas_Odoo!$H:$H, MATCH(Q1534, Facturas_Odoo!$B:$B, 0)), 0)*(1-AG1534)))</f>
        <v/>
      </c>
      <c r="AJ1534" s="81">
        <f>IF(AN1534="","",_xlfn.LET(idVenta, AN1534&amp;"",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34" s="81">
        <f>IF(AN1534="","",AH1534-AJ1534)</f>
        <v/>
      </c>
      <c r="AL1534" s="81">
        <f>IF(AN1534="","",IF(Q1534="Sin Factura","",AI1534-AJ1534))</f>
        <v/>
      </c>
      <c r="AM1534" s="81">
        <f>IF(AN1534="","",IF(Q1534="Sin Factura",0,P1534-IFERROR(INDEX(Facturas_Odoo!$H:$H, MATCH(Q1534, Facturas_Odoo!$B:$B, 0)), 0)))</f>
        <v/>
      </c>
      <c r="AN1534" s="79">
        <f>IF(AND(A1534="", J1534=""), "", IF(A1534&lt;&gt;"", VALUE(MID(A1534,2,LEN(A1534))), AN1533))</f>
        <v/>
      </c>
      <c r="AO1534" s="79">
        <f>IF(AN1534="","",IF(AD1534=0,"OK",_xlfn.LET(monedaPago, IF(AA1534="","USD",AA1534), limitePermitido, IFERROR(VLOOKUP(monedaPago, Configuración!$A$2:$B$3, 2, FALSE), 0.15), IF(AD1534&gt;limitePermitido, "ALERTA: EXCESO (" &amp; TEXT(limitePermitido, "0%") &amp; " máx)", "OK"))))</f>
        <v/>
      </c>
      <c r="AP1534" s="79">
        <f>IF(AN1534="","",IF(AE1534=0,"OK",_xlfn.LET(fechaPago, Z1534, fechaFactura, R1534, diasCredito, IF(E1534="Pago inmediato", 0, IFERROR(VALUE(MID(E1534, 1, SEARCH(" ", E1534)-1)),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34" s="79">
        <f>IF(AN1534="","",IF(AND(N1534&gt;0, AG1534&gt;0), IF(Configuración!$K$2="NO", "ALERTA: DESCUENTO DOBLE NO PERMITIDO", "OK"), "OK"))</f>
        <v/>
      </c>
      <c r="AR1534" s="79">
        <f>IF(AN1534="","",IF(OR(AO1534&lt;&gt;"OK", AP1534&lt;&gt;"OK", AQ1534&lt;&gt;"OK"), "⚠️ REVISAR", "OK"))</f>
        <v/>
      </c>
    </row>
    <row r="1535">
      <c r="A1535" s="79">
        <f>IF('Ordenes_Odoo'!A1535="","",'Ordenes_Odoo'!A1535)</f>
        <v/>
      </c>
      <c r="B1535" s="80">
        <f>IF('Ordenes_Odoo'!B1535="","",'Ordenes_Odoo'!B1535)</f>
        <v/>
      </c>
      <c r="C1535" s="79">
        <f>IF('Ordenes_Odoo'!C1535="","",'Ordenes_Odoo'!C1535)</f>
        <v/>
      </c>
      <c r="D1535" s="79">
        <f>IF('Ordenes_Odoo'!D1535="","",'Ordenes_Odoo'!D1535)</f>
        <v/>
      </c>
      <c r="E1535" s="79">
        <f>IF('Ordenes_Odoo'!E1535="","",'Ordenes_Odoo'!E1535)</f>
        <v/>
      </c>
      <c r="F1535" s="79">
        <f>IF('Ordenes_Odoo'!F1535="","",'Ordenes_Odoo'!F1535)</f>
        <v/>
      </c>
      <c r="G1535" s="79">
        <f>IF('Ordenes_Odoo'!G1535="","",'Ordenes_Odoo'!G1535)</f>
        <v/>
      </c>
      <c r="H1535" s="79">
        <f>IF('Ordenes_Odoo'!H1535="","",'Ordenes_Odoo'!H1535)</f>
        <v/>
      </c>
      <c r="I1535" s="79">
        <f>IF('Ordenes_Odoo'!I1535="","",'Ordenes_Odoo'!I1535)</f>
        <v/>
      </c>
      <c r="J1535" s="79">
        <f>IF('Ordenes_Odoo'!J1535="","",'Ordenes_Odoo'!J1535)</f>
        <v/>
      </c>
      <c r="K1535" s="81">
        <f>IF('Ordenes_Odoo'!K1535="","",'Ordenes_Odoo'!K1535)</f>
        <v/>
      </c>
      <c r="L1535" s="81">
        <f>IF('Ordenes_Odoo'!L1535="","",'Ordenes_Odoo'!L1535)</f>
        <v/>
      </c>
      <c r="M1535" s="79">
        <f>IF('Ordenes_Odoo'!M1535="","",'Ordenes_Odoo'!M1535)</f>
        <v/>
      </c>
      <c r="N1535" s="79">
        <f>IF('Ordenes_Odoo'!N1535="","",'Ordenes_Odoo'!N1535)</f>
        <v/>
      </c>
      <c r="O1535" s="81">
        <f>IF('Ordenes_Odoo'!O1535="","",'Ordenes_Odoo'!O1535)</f>
        <v/>
      </c>
      <c r="P1535" s="81">
        <f>IF('Ordenes_Odoo'!P1535="","",'Ordenes_Odoo'!P1535)</f>
        <v/>
      </c>
      <c r="Q1535" s="79">
        <f>IF(A1535="","",IFERROR(INDEX(Facturas_Odoo!$B:$B, MATCH(A1535, Facturas_Odoo!$D:$D, 0)), "Sin Factura"))</f>
        <v/>
      </c>
      <c r="R1535" s="80">
        <f>IF(Q1535="Sin Factura","",IFERROR(INDEX(Facturas_Odoo!$A:$A, MATCH(Q1535, Facturas_Odoo!$B:$B, 0)), ""))</f>
        <v/>
      </c>
      <c r="S1535" s="79">
        <f>IF(Q1535="Sin Factura","",IFERROR(_xlfn.XLOOKUP(1, (Facturas_Odoo!$D:$D=A1535) * (Facturas_Odoo!$K:$K=I1535), Facturas_Odoo!$L:$L, ""), ""))</f>
        <v/>
      </c>
      <c r="T1535" s="81">
        <f>IF(Q1535="Sin Factura",0,IFERROR(_xlfn.XLOOKUP(1, (Facturas_Odoo!$D:$D=A1535) * (Facturas_Odoo!$K:$K=I1535), Facturas_Odoo!$M:$M, 0), 0))</f>
        <v/>
      </c>
      <c r="U1535" s="79">
        <f>IF(Q1535="Sin Factura",0,IFERROR(_xlfn.XLOOKUP(1, (Facturas_Odoo!$D:$D=A1535) * (Facturas_Odoo!$K:$K=I1535), Facturas_Odoo!$N:$N, 0), 0))</f>
        <v/>
      </c>
      <c r="V1535" s="79">
        <f>IF(Q1535="Sin Factura",0,IFERROR(_xlfn.XLOOKUP(1, (Facturas_Odoo!$D:$D=A1535) * (Facturas_Odoo!$K:$K=I1535), Facturas_Odoo!$O:$O, 0), 0))</f>
        <v/>
      </c>
      <c r="W1535" s="81">
        <f>IF(Q1535="Sin Factura",0,IFERROR(_xlfn.XLOOKUP(1, (Facturas_Odoo!$D:$D=A1535) * (Facturas_Odoo!$K:$K=I1535), Facturas_Odoo!$Q:$Q, 0), 0))</f>
        <v/>
      </c>
      <c r="X1535" s="79">
        <f>IF(OR(Q1535="Sin Factura",Q1535=""),"",IFERROR(INDEX(Pagos_Odoo!$B:$B, MATCH(Q1535, Pagos_Odoo!$I:$I, 0)), "Sin Pago"))</f>
        <v/>
      </c>
      <c r="Y1535" s="79">
        <f>IF(X1535="Sin Pago","",IFERROR(INDEX(Pagos_Odoo!$C:$C, MATCH(X1535, Pagos_Odoo!$B:$B, 0)), ""))</f>
        <v/>
      </c>
      <c r="Z1535" s="80">
        <f>IF(X1535="Sin Pago","",IFERROR(INDEX(Pagos_Odoo!$A:$A, MATCH(X1535, Pagos_Odoo!$B:$B, 0)), ""))</f>
        <v/>
      </c>
      <c r="AA1535" s="79">
        <f>IF(X1535="Sin Pago","",IFERROR(INDEX(Pagos_Odoo!$F:$F, MATCH(X1535, Pagos_Odoo!$B:$B, 0)), ""))</f>
        <v/>
      </c>
      <c r="AB1535" s="81">
        <f>IF(X1535="Sin Pago",0,IFERROR(INDEX(Pagos_Odoo!$E:$E, MATCH(X1535, Pagos_Odoo!$B:$B, 0)), 0))</f>
        <v/>
      </c>
      <c r="AC1535" s="79">
        <f>IF(X1535="Sin Pago","",IFERROR(INDEX(Pagos_Odoo!$G:$G, MATCH(X1535, Pagos_Odoo!$B:$B, 0)), ""))</f>
        <v/>
      </c>
      <c r="AD1535" s="82" t="n">
        <v>0</v>
      </c>
      <c r="AE1535" s="82" t="n"/>
      <c r="AF1535" s="82" t="n"/>
      <c r="AG1535" s="82">
        <f>IF(AN1535="","",AD1535+AE1535+AF1535)</f>
        <v/>
      </c>
      <c r="AH1535" s="81">
        <f>IF(AN1535="","",P1535*(1-AG1535))</f>
        <v/>
      </c>
      <c r="AI1535" s="81">
        <f>IF(AN1535="","",IF(Q1535="Sin Factura",0,IFERROR(INDEX(Facturas_Odoo!$H:$H, MATCH(Q1535, Facturas_Odoo!$B:$B, 0)), 0)*(1-AG1535)))</f>
        <v/>
      </c>
      <c r="AJ1535" s="81">
        <f>IF(AN1535="","",_xlfn.LET(idVenta, AN1535&amp;"",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35" s="81">
        <f>IF(AN1535="","",AH1535-AJ1535)</f>
        <v/>
      </c>
      <c r="AL1535" s="81">
        <f>IF(AN1535="","",IF(Q1535="Sin Factura","",AI1535-AJ1535))</f>
        <v/>
      </c>
      <c r="AM1535" s="81">
        <f>IF(AN1535="","",IF(Q1535="Sin Factura",0,P1535-IFERROR(INDEX(Facturas_Odoo!$H:$H, MATCH(Q1535, Facturas_Odoo!$B:$B, 0)), 0)))</f>
        <v/>
      </c>
      <c r="AN1535" s="79">
        <f>IF(AND(A1535="", J1535=""), "", IF(A1535&lt;&gt;"", VALUE(MID(A1535,2,LEN(A1535))), AN1534))</f>
        <v/>
      </c>
      <c r="AO1535" s="79">
        <f>IF(AN1535="","",IF(AD1535=0,"OK",_xlfn.LET(monedaPago, IF(AA1535="","USD",AA1535), limitePermitido, IFERROR(VLOOKUP(monedaPago, Configuración!$A$2:$B$3, 2, FALSE), 0.15), IF(AD1535&gt;limitePermitido, "ALERTA: EXCESO (" &amp; TEXT(limitePermitido, "0%") &amp; " máx)", "OK"))))</f>
        <v/>
      </c>
      <c r="AP1535" s="79">
        <f>IF(AN1535="","",IF(AE1535=0,"OK",_xlfn.LET(fechaPago, Z1535, fechaFactura, R1535, diasCredito, IF(E1535="Pago inmediato", 0, IFERROR(VALUE(MID(E1535, 1, SEARCH(" ", E1535)-1)),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35" s="79">
        <f>IF(AN1535="","",IF(AND(N1535&gt;0, AG1535&gt;0), IF(Configuración!$K$2="NO", "ALERTA: DESCUENTO DOBLE NO PERMITIDO", "OK"), "OK"))</f>
        <v/>
      </c>
      <c r="AR1535" s="79">
        <f>IF(AN1535="","",IF(OR(AO1535&lt;&gt;"OK", AP1535&lt;&gt;"OK", AQ1535&lt;&gt;"OK"), "⚠️ REVISAR", "OK"))</f>
        <v/>
      </c>
    </row>
    <row r="1536">
      <c r="A1536" s="79">
        <f>IF('Ordenes_Odoo'!A1536="","",'Ordenes_Odoo'!A1536)</f>
        <v/>
      </c>
      <c r="B1536" s="80">
        <f>IF('Ordenes_Odoo'!B1536="","",'Ordenes_Odoo'!B1536)</f>
        <v/>
      </c>
      <c r="C1536" s="79">
        <f>IF('Ordenes_Odoo'!C1536="","",'Ordenes_Odoo'!C1536)</f>
        <v/>
      </c>
      <c r="D1536" s="79">
        <f>IF('Ordenes_Odoo'!D1536="","",'Ordenes_Odoo'!D1536)</f>
        <v/>
      </c>
      <c r="E1536" s="79">
        <f>IF('Ordenes_Odoo'!E1536="","",'Ordenes_Odoo'!E1536)</f>
        <v/>
      </c>
      <c r="F1536" s="79">
        <f>IF('Ordenes_Odoo'!F1536="","",'Ordenes_Odoo'!F1536)</f>
        <v/>
      </c>
      <c r="G1536" s="79">
        <f>IF('Ordenes_Odoo'!G1536="","",'Ordenes_Odoo'!G1536)</f>
        <v/>
      </c>
      <c r="H1536" s="79">
        <f>IF('Ordenes_Odoo'!H1536="","",'Ordenes_Odoo'!H1536)</f>
        <v/>
      </c>
      <c r="I1536" s="79">
        <f>IF('Ordenes_Odoo'!I1536="","",'Ordenes_Odoo'!I1536)</f>
        <v/>
      </c>
      <c r="J1536" s="79">
        <f>IF('Ordenes_Odoo'!J1536="","",'Ordenes_Odoo'!J1536)</f>
        <v/>
      </c>
      <c r="K1536" s="81">
        <f>IF('Ordenes_Odoo'!K1536="","",'Ordenes_Odoo'!K1536)</f>
        <v/>
      </c>
      <c r="L1536" s="81">
        <f>IF('Ordenes_Odoo'!L1536="","",'Ordenes_Odoo'!L1536)</f>
        <v/>
      </c>
      <c r="M1536" s="79">
        <f>IF('Ordenes_Odoo'!M1536="","",'Ordenes_Odoo'!M1536)</f>
        <v/>
      </c>
      <c r="N1536" s="79">
        <f>IF('Ordenes_Odoo'!N1536="","",'Ordenes_Odoo'!N1536)</f>
        <v/>
      </c>
      <c r="O1536" s="81">
        <f>IF('Ordenes_Odoo'!O1536="","",'Ordenes_Odoo'!O1536)</f>
        <v/>
      </c>
      <c r="P1536" s="81">
        <f>IF('Ordenes_Odoo'!P1536="","",'Ordenes_Odoo'!P1536)</f>
        <v/>
      </c>
      <c r="Q1536" s="79">
        <f>IF(A1536="","",IFERROR(INDEX(Facturas_Odoo!$B:$B, MATCH(A1536, Facturas_Odoo!$D:$D, 0)), "Sin Factura"))</f>
        <v/>
      </c>
      <c r="R1536" s="80">
        <f>IF(Q1536="Sin Factura","",IFERROR(INDEX(Facturas_Odoo!$A:$A, MATCH(Q1536, Facturas_Odoo!$B:$B, 0)), ""))</f>
        <v/>
      </c>
      <c r="S1536" s="79">
        <f>IF(Q1536="Sin Factura","",IFERROR(_xlfn.XLOOKUP(1, (Facturas_Odoo!$D:$D=A1536) * (Facturas_Odoo!$K:$K=I1536), Facturas_Odoo!$L:$L, ""), ""))</f>
        <v/>
      </c>
      <c r="T1536" s="81">
        <f>IF(Q1536="Sin Factura",0,IFERROR(_xlfn.XLOOKUP(1, (Facturas_Odoo!$D:$D=A1536) * (Facturas_Odoo!$K:$K=I1536), Facturas_Odoo!$M:$M, 0), 0))</f>
        <v/>
      </c>
      <c r="U1536" s="79">
        <f>IF(Q1536="Sin Factura",0,IFERROR(_xlfn.XLOOKUP(1, (Facturas_Odoo!$D:$D=A1536) * (Facturas_Odoo!$K:$K=I1536), Facturas_Odoo!$N:$N, 0), 0))</f>
        <v/>
      </c>
      <c r="V1536" s="79">
        <f>IF(Q1536="Sin Factura",0,IFERROR(_xlfn.XLOOKUP(1, (Facturas_Odoo!$D:$D=A1536) * (Facturas_Odoo!$K:$K=I1536), Facturas_Odoo!$O:$O, 0), 0))</f>
        <v/>
      </c>
      <c r="W1536" s="81">
        <f>IF(Q1536="Sin Factura",0,IFERROR(_xlfn.XLOOKUP(1, (Facturas_Odoo!$D:$D=A1536) * (Facturas_Odoo!$K:$K=I1536), Facturas_Odoo!$Q:$Q, 0), 0))</f>
        <v/>
      </c>
      <c r="X1536" s="79">
        <f>IF(OR(Q1536="Sin Factura",Q1536=""),"",IFERROR(INDEX(Pagos_Odoo!$B:$B, MATCH(Q1536, Pagos_Odoo!$I:$I, 0)), "Sin Pago"))</f>
        <v/>
      </c>
      <c r="Y1536" s="79">
        <f>IF(X1536="Sin Pago","",IFERROR(INDEX(Pagos_Odoo!$C:$C, MATCH(X1536, Pagos_Odoo!$B:$B, 0)), ""))</f>
        <v/>
      </c>
      <c r="Z1536" s="80">
        <f>IF(X1536="Sin Pago","",IFERROR(INDEX(Pagos_Odoo!$A:$A, MATCH(X1536, Pagos_Odoo!$B:$B, 0)), ""))</f>
        <v/>
      </c>
      <c r="AA1536" s="79">
        <f>IF(X1536="Sin Pago","",IFERROR(INDEX(Pagos_Odoo!$F:$F, MATCH(X1536, Pagos_Odoo!$B:$B, 0)), ""))</f>
        <v/>
      </c>
      <c r="AB1536" s="81">
        <f>IF(X1536="Sin Pago",0,IFERROR(INDEX(Pagos_Odoo!$E:$E, MATCH(X1536, Pagos_Odoo!$B:$B, 0)), 0))</f>
        <v/>
      </c>
      <c r="AC1536" s="79">
        <f>IF(X1536="Sin Pago","",IFERROR(INDEX(Pagos_Odoo!$G:$G, MATCH(X1536, Pagos_Odoo!$B:$B, 0)), ""))</f>
        <v/>
      </c>
      <c r="AD1536" s="82" t="n">
        <v>0</v>
      </c>
      <c r="AE1536" s="82" t="n"/>
      <c r="AF1536" s="82" t="n"/>
      <c r="AG1536" s="82">
        <f>IF(AN1536="","",AD1536+AE1536+AF1536)</f>
        <v/>
      </c>
      <c r="AH1536" s="81">
        <f>IF(AN1536="","",P1536*(1-AG1536))</f>
        <v/>
      </c>
      <c r="AI1536" s="81">
        <f>IF(AN1536="","",IF(Q1536="Sin Factura",0,IFERROR(INDEX(Facturas_Odoo!$H:$H, MATCH(Q1536, Facturas_Odoo!$B:$B, 0)), 0)*(1-AG1536)))</f>
        <v/>
      </c>
      <c r="AJ1536" s="81">
        <f>IF(AN1536="","",_xlfn.LET(idVenta, AN1536&amp;"",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36" s="81">
        <f>IF(AN1536="","",AH1536-AJ1536)</f>
        <v/>
      </c>
      <c r="AL1536" s="81">
        <f>IF(AN1536="","",IF(Q1536="Sin Factura","",AI1536-AJ1536))</f>
        <v/>
      </c>
      <c r="AM1536" s="81">
        <f>IF(AN1536="","",IF(Q1536="Sin Factura",0,P1536-IFERROR(INDEX(Facturas_Odoo!$H:$H, MATCH(Q1536, Facturas_Odoo!$B:$B, 0)), 0)))</f>
        <v/>
      </c>
      <c r="AN1536" s="79">
        <f>IF(AND(A1536="", J1536=""), "", IF(A1536&lt;&gt;"", VALUE(MID(A1536,2,LEN(A1536))), AN1535))</f>
        <v/>
      </c>
      <c r="AO1536" s="79">
        <f>IF(AN1536="","",IF(AD1536=0,"OK",_xlfn.LET(monedaPago, IF(AA1536="","USD",AA1536), limitePermitido, IFERROR(VLOOKUP(monedaPago, Configuración!$A$2:$B$3, 2, FALSE), 0.15), IF(AD1536&gt;limitePermitido, "ALERTA: EXCESO (" &amp; TEXT(limitePermitido, "0%") &amp; " máx)", "OK"))))</f>
        <v/>
      </c>
      <c r="AP1536" s="79">
        <f>IF(AN1536="","",IF(AE1536=0,"OK",_xlfn.LET(fechaPago, Z1536, fechaFactura, R1536, diasCredito, IF(E1536="Pago inmediato", 0, IFERROR(VALUE(MID(E1536, 1, SEARCH(" ", E1536)-1)),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36" s="79">
        <f>IF(AN1536="","",IF(AND(N1536&gt;0, AG1536&gt;0), IF(Configuración!$K$2="NO", "ALERTA: DESCUENTO DOBLE NO PERMITIDO", "OK"), "OK"))</f>
        <v/>
      </c>
      <c r="AR1536" s="79">
        <f>IF(AN1536="","",IF(OR(AO1536&lt;&gt;"OK", AP1536&lt;&gt;"OK", AQ1536&lt;&gt;"OK"), "⚠️ REVISAR", "OK"))</f>
        <v/>
      </c>
    </row>
    <row r="1537">
      <c r="A1537" s="79">
        <f>IF('Ordenes_Odoo'!A1537="","",'Ordenes_Odoo'!A1537)</f>
        <v/>
      </c>
      <c r="B1537" s="80">
        <f>IF('Ordenes_Odoo'!B1537="","",'Ordenes_Odoo'!B1537)</f>
        <v/>
      </c>
      <c r="C1537" s="79">
        <f>IF('Ordenes_Odoo'!C1537="","",'Ordenes_Odoo'!C1537)</f>
        <v/>
      </c>
      <c r="D1537" s="79">
        <f>IF('Ordenes_Odoo'!D1537="","",'Ordenes_Odoo'!D1537)</f>
        <v/>
      </c>
      <c r="E1537" s="79">
        <f>IF('Ordenes_Odoo'!E1537="","",'Ordenes_Odoo'!E1537)</f>
        <v/>
      </c>
      <c r="F1537" s="79">
        <f>IF('Ordenes_Odoo'!F1537="","",'Ordenes_Odoo'!F1537)</f>
        <v/>
      </c>
      <c r="G1537" s="79">
        <f>IF('Ordenes_Odoo'!G1537="","",'Ordenes_Odoo'!G1537)</f>
        <v/>
      </c>
      <c r="H1537" s="79">
        <f>IF('Ordenes_Odoo'!H1537="","",'Ordenes_Odoo'!H1537)</f>
        <v/>
      </c>
      <c r="I1537" s="79">
        <f>IF('Ordenes_Odoo'!I1537="","",'Ordenes_Odoo'!I1537)</f>
        <v/>
      </c>
      <c r="J1537" s="79">
        <f>IF('Ordenes_Odoo'!J1537="","",'Ordenes_Odoo'!J1537)</f>
        <v/>
      </c>
      <c r="K1537" s="81">
        <f>IF('Ordenes_Odoo'!K1537="","",'Ordenes_Odoo'!K1537)</f>
        <v/>
      </c>
      <c r="L1537" s="81">
        <f>IF('Ordenes_Odoo'!L1537="","",'Ordenes_Odoo'!L1537)</f>
        <v/>
      </c>
      <c r="M1537" s="79">
        <f>IF('Ordenes_Odoo'!M1537="","",'Ordenes_Odoo'!M1537)</f>
        <v/>
      </c>
      <c r="N1537" s="79">
        <f>IF('Ordenes_Odoo'!N1537="","",'Ordenes_Odoo'!N1537)</f>
        <v/>
      </c>
      <c r="O1537" s="81">
        <f>IF('Ordenes_Odoo'!O1537="","",'Ordenes_Odoo'!O1537)</f>
        <v/>
      </c>
      <c r="P1537" s="81">
        <f>IF('Ordenes_Odoo'!P1537="","",'Ordenes_Odoo'!P1537)</f>
        <v/>
      </c>
      <c r="Q1537" s="79">
        <f>IF(A1537="","",IFERROR(INDEX(Facturas_Odoo!$B:$B, MATCH(A1537, Facturas_Odoo!$D:$D, 0)), "Sin Factura"))</f>
        <v/>
      </c>
      <c r="R1537" s="80">
        <f>IF(Q1537="Sin Factura","",IFERROR(INDEX(Facturas_Odoo!$A:$A, MATCH(Q1537, Facturas_Odoo!$B:$B, 0)), ""))</f>
        <v/>
      </c>
      <c r="S1537" s="79">
        <f>IF(Q1537="Sin Factura","",IFERROR(_xlfn.XLOOKUP(1, (Facturas_Odoo!$D:$D=A1537) * (Facturas_Odoo!$K:$K=I1537), Facturas_Odoo!$L:$L, ""), ""))</f>
        <v/>
      </c>
      <c r="T1537" s="81">
        <f>IF(Q1537="Sin Factura",0,IFERROR(_xlfn.XLOOKUP(1, (Facturas_Odoo!$D:$D=A1537) * (Facturas_Odoo!$K:$K=I1537), Facturas_Odoo!$M:$M, 0), 0))</f>
        <v/>
      </c>
      <c r="U1537" s="79">
        <f>IF(Q1537="Sin Factura",0,IFERROR(_xlfn.XLOOKUP(1, (Facturas_Odoo!$D:$D=A1537) * (Facturas_Odoo!$K:$K=I1537), Facturas_Odoo!$N:$N, 0), 0))</f>
        <v/>
      </c>
      <c r="V1537" s="79">
        <f>IF(Q1537="Sin Factura",0,IFERROR(_xlfn.XLOOKUP(1, (Facturas_Odoo!$D:$D=A1537) * (Facturas_Odoo!$K:$K=I1537), Facturas_Odoo!$O:$O, 0), 0))</f>
        <v/>
      </c>
      <c r="W1537" s="81">
        <f>IF(Q1537="Sin Factura",0,IFERROR(_xlfn.XLOOKUP(1, (Facturas_Odoo!$D:$D=A1537) * (Facturas_Odoo!$K:$K=I1537), Facturas_Odoo!$Q:$Q, 0), 0))</f>
        <v/>
      </c>
      <c r="X1537" s="79">
        <f>IF(OR(Q1537="Sin Factura",Q1537=""),"",IFERROR(INDEX(Pagos_Odoo!$B:$B, MATCH(Q1537, Pagos_Odoo!$I:$I, 0)), "Sin Pago"))</f>
        <v/>
      </c>
      <c r="Y1537" s="79">
        <f>IF(X1537="Sin Pago","",IFERROR(INDEX(Pagos_Odoo!$C:$C, MATCH(X1537, Pagos_Odoo!$B:$B, 0)), ""))</f>
        <v/>
      </c>
      <c r="Z1537" s="80">
        <f>IF(X1537="Sin Pago","",IFERROR(INDEX(Pagos_Odoo!$A:$A, MATCH(X1537, Pagos_Odoo!$B:$B, 0)), ""))</f>
        <v/>
      </c>
      <c r="AA1537" s="79">
        <f>IF(X1537="Sin Pago","",IFERROR(INDEX(Pagos_Odoo!$F:$F, MATCH(X1537, Pagos_Odoo!$B:$B, 0)), ""))</f>
        <v/>
      </c>
      <c r="AB1537" s="81">
        <f>IF(X1537="Sin Pago",0,IFERROR(INDEX(Pagos_Odoo!$E:$E, MATCH(X1537, Pagos_Odoo!$B:$B, 0)), 0))</f>
        <v/>
      </c>
      <c r="AC1537" s="79">
        <f>IF(X1537="Sin Pago","",IFERROR(INDEX(Pagos_Odoo!$G:$G, MATCH(X1537, Pagos_Odoo!$B:$B, 0)), ""))</f>
        <v/>
      </c>
      <c r="AD1537" s="82" t="n">
        <v>0</v>
      </c>
      <c r="AE1537" s="82" t="n"/>
      <c r="AF1537" s="82" t="n"/>
      <c r="AG1537" s="82">
        <f>IF(AN1537="","",AD1537+AE1537+AF1537)</f>
        <v/>
      </c>
      <c r="AH1537" s="81">
        <f>IF(AN1537="","",P1537*(1-AG1537))</f>
        <v/>
      </c>
      <c r="AI1537" s="81">
        <f>IF(AN1537="","",IF(Q1537="Sin Factura",0,IFERROR(INDEX(Facturas_Odoo!$H:$H, MATCH(Q1537, Facturas_Odoo!$B:$B, 0)), 0)*(1-AG1537)))</f>
        <v/>
      </c>
      <c r="AJ1537" s="81">
        <f>IF(AN1537="","",_xlfn.LET(idVenta, AN1537&amp;"",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37" s="81">
        <f>IF(AN1537="","",AH1537-AJ1537)</f>
        <v/>
      </c>
      <c r="AL1537" s="81">
        <f>IF(AN1537="","",IF(Q1537="Sin Factura","",AI1537-AJ1537))</f>
        <v/>
      </c>
      <c r="AM1537" s="81">
        <f>IF(AN1537="","",IF(Q1537="Sin Factura",0,P1537-IFERROR(INDEX(Facturas_Odoo!$H:$H, MATCH(Q1537, Facturas_Odoo!$B:$B, 0)), 0)))</f>
        <v/>
      </c>
      <c r="AN1537" s="79">
        <f>IF(AND(A1537="", J1537=""), "", IF(A1537&lt;&gt;"", VALUE(MID(A1537,2,LEN(A1537))), AN1536))</f>
        <v/>
      </c>
      <c r="AO1537" s="79">
        <f>IF(AN1537="","",IF(AD1537=0,"OK",_xlfn.LET(monedaPago, IF(AA1537="","USD",AA1537), limitePermitido, IFERROR(VLOOKUP(monedaPago, Configuración!$A$2:$B$3, 2, FALSE), 0.15), IF(AD1537&gt;limitePermitido, "ALERTA: EXCESO (" &amp; TEXT(limitePermitido, "0%") &amp; " máx)", "OK"))))</f>
        <v/>
      </c>
      <c r="AP1537" s="79">
        <f>IF(AN1537="","",IF(AE1537=0,"OK",_xlfn.LET(fechaPago, Z1537, fechaFactura, R1537, diasCredito, IF(E1537="Pago inmediato", 0, IFERROR(VALUE(MID(E1537, 1, SEARCH(" ", E1537)-1)),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37" s="79">
        <f>IF(AN1537="","",IF(AND(N1537&gt;0, AG1537&gt;0), IF(Configuración!$K$2="NO", "ALERTA: DESCUENTO DOBLE NO PERMITIDO", "OK"), "OK"))</f>
        <v/>
      </c>
      <c r="AR1537" s="79">
        <f>IF(AN1537="","",IF(OR(AO1537&lt;&gt;"OK", AP1537&lt;&gt;"OK", AQ1537&lt;&gt;"OK"), "⚠️ REVISAR", "OK"))</f>
        <v/>
      </c>
    </row>
    <row r="1538">
      <c r="A1538" s="79">
        <f>IF('Ordenes_Odoo'!A1538="","",'Ordenes_Odoo'!A1538)</f>
        <v/>
      </c>
      <c r="B1538" s="80">
        <f>IF('Ordenes_Odoo'!B1538="","",'Ordenes_Odoo'!B1538)</f>
        <v/>
      </c>
      <c r="C1538" s="79">
        <f>IF('Ordenes_Odoo'!C1538="","",'Ordenes_Odoo'!C1538)</f>
        <v/>
      </c>
      <c r="D1538" s="79">
        <f>IF('Ordenes_Odoo'!D1538="","",'Ordenes_Odoo'!D1538)</f>
        <v/>
      </c>
      <c r="E1538" s="79">
        <f>IF('Ordenes_Odoo'!E1538="","",'Ordenes_Odoo'!E1538)</f>
        <v/>
      </c>
      <c r="F1538" s="79">
        <f>IF('Ordenes_Odoo'!F1538="","",'Ordenes_Odoo'!F1538)</f>
        <v/>
      </c>
      <c r="G1538" s="79">
        <f>IF('Ordenes_Odoo'!G1538="","",'Ordenes_Odoo'!G1538)</f>
        <v/>
      </c>
      <c r="H1538" s="79">
        <f>IF('Ordenes_Odoo'!H1538="","",'Ordenes_Odoo'!H1538)</f>
        <v/>
      </c>
      <c r="I1538" s="79">
        <f>IF('Ordenes_Odoo'!I1538="","",'Ordenes_Odoo'!I1538)</f>
        <v/>
      </c>
      <c r="J1538" s="79">
        <f>IF('Ordenes_Odoo'!J1538="","",'Ordenes_Odoo'!J1538)</f>
        <v/>
      </c>
      <c r="K1538" s="81">
        <f>IF('Ordenes_Odoo'!K1538="","",'Ordenes_Odoo'!K1538)</f>
        <v/>
      </c>
      <c r="L1538" s="81">
        <f>IF('Ordenes_Odoo'!L1538="","",'Ordenes_Odoo'!L1538)</f>
        <v/>
      </c>
      <c r="M1538" s="79">
        <f>IF('Ordenes_Odoo'!M1538="","",'Ordenes_Odoo'!M1538)</f>
        <v/>
      </c>
      <c r="N1538" s="79">
        <f>IF('Ordenes_Odoo'!N1538="","",'Ordenes_Odoo'!N1538)</f>
        <v/>
      </c>
      <c r="O1538" s="81">
        <f>IF('Ordenes_Odoo'!O1538="","",'Ordenes_Odoo'!O1538)</f>
        <v/>
      </c>
      <c r="P1538" s="81">
        <f>IF('Ordenes_Odoo'!P1538="","",'Ordenes_Odoo'!P1538)</f>
        <v/>
      </c>
      <c r="Q1538" s="79">
        <f>IF(A1538="","",IFERROR(INDEX(Facturas_Odoo!$B:$B, MATCH(A1538, Facturas_Odoo!$D:$D, 0)), "Sin Factura"))</f>
        <v/>
      </c>
      <c r="R1538" s="80">
        <f>IF(Q1538="Sin Factura","",IFERROR(INDEX(Facturas_Odoo!$A:$A, MATCH(Q1538, Facturas_Odoo!$B:$B, 0)), ""))</f>
        <v/>
      </c>
      <c r="S1538" s="79">
        <f>IF(Q1538="Sin Factura","",IFERROR(_xlfn.XLOOKUP(1, (Facturas_Odoo!$D:$D=A1538) * (Facturas_Odoo!$K:$K=I1538), Facturas_Odoo!$L:$L, ""), ""))</f>
        <v/>
      </c>
      <c r="T1538" s="81">
        <f>IF(Q1538="Sin Factura",0,IFERROR(_xlfn.XLOOKUP(1, (Facturas_Odoo!$D:$D=A1538) * (Facturas_Odoo!$K:$K=I1538), Facturas_Odoo!$M:$M, 0), 0))</f>
        <v/>
      </c>
      <c r="U1538" s="79">
        <f>IF(Q1538="Sin Factura",0,IFERROR(_xlfn.XLOOKUP(1, (Facturas_Odoo!$D:$D=A1538) * (Facturas_Odoo!$K:$K=I1538), Facturas_Odoo!$N:$N, 0), 0))</f>
        <v/>
      </c>
      <c r="V1538" s="79">
        <f>IF(Q1538="Sin Factura",0,IFERROR(_xlfn.XLOOKUP(1, (Facturas_Odoo!$D:$D=A1538) * (Facturas_Odoo!$K:$K=I1538), Facturas_Odoo!$O:$O, 0), 0))</f>
        <v/>
      </c>
      <c r="W1538" s="81">
        <f>IF(Q1538="Sin Factura",0,IFERROR(_xlfn.XLOOKUP(1, (Facturas_Odoo!$D:$D=A1538) * (Facturas_Odoo!$K:$K=I1538), Facturas_Odoo!$Q:$Q, 0), 0))</f>
        <v/>
      </c>
      <c r="X1538" s="79">
        <f>IF(OR(Q1538="Sin Factura",Q1538=""),"",IFERROR(INDEX(Pagos_Odoo!$B:$B, MATCH(Q1538, Pagos_Odoo!$I:$I, 0)), "Sin Pago"))</f>
        <v/>
      </c>
      <c r="Y1538" s="79">
        <f>IF(X1538="Sin Pago","",IFERROR(INDEX(Pagos_Odoo!$C:$C, MATCH(X1538, Pagos_Odoo!$B:$B, 0)), ""))</f>
        <v/>
      </c>
      <c r="Z1538" s="80">
        <f>IF(X1538="Sin Pago","",IFERROR(INDEX(Pagos_Odoo!$A:$A, MATCH(X1538, Pagos_Odoo!$B:$B, 0)), ""))</f>
        <v/>
      </c>
      <c r="AA1538" s="79">
        <f>IF(X1538="Sin Pago","",IFERROR(INDEX(Pagos_Odoo!$F:$F, MATCH(X1538, Pagos_Odoo!$B:$B, 0)), ""))</f>
        <v/>
      </c>
      <c r="AB1538" s="81">
        <f>IF(X1538="Sin Pago",0,IFERROR(INDEX(Pagos_Odoo!$E:$E, MATCH(X1538, Pagos_Odoo!$B:$B, 0)), 0))</f>
        <v/>
      </c>
      <c r="AC1538" s="79">
        <f>IF(X1538="Sin Pago","",IFERROR(INDEX(Pagos_Odoo!$G:$G, MATCH(X1538, Pagos_Odoo!$B:$B, 0)), ""))</f>
        <v/>
      </c>
      <c r="AD1538" s="82" t="n">
        <v>0</v>
      </c>
      <c r="AE1538" s="82" t="n"/>
      <c r="AF1538" s="82" t="n"/>
      <c r="AG1538" s="82">
        <f>IF(AN1538="","",AD1538+AE1538+AF1538)</f>
        <v/>
      </c>
      <c r="AH1538" s="81">
        <f>IF(AN1538="","",P1538*(1-AG1538))</f>
        <v/>
      </c>
      <c r="AI1538" s="81">
        <f>IF(AN1538="","",IF(Q1538="Sin Factura",0,IFERROR(INDEX(Facturas_Odoo!$H:$H, MATCH(Q1538, Facturas_Odoo!$B:$B, 0)), 0)*(1-AG1538)))</f>
        <v/>
      </c>
      <c r="AJ1538" s="81">
        <f>IF(AN1538="","",_xlfn.LET(idVenta, AN1538&amp;"",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38" s="81">
        <f>IF(AN1538="","",AH1538-AJ1538)</f>
        <v/>
      </c>
      <c r="AL1538" s="81">
        <f>IF(AN1538="","",IF(Q1538="Sin Factura","",AI1538-AJ1538))</f>
        <v/>
      </c>
      <c r="AM1538" s="81">
        <f>IF(AN1538="","",IF(Q1538="Sin Factura",0,P1538-IFERROR(INDEX(Facturas_Odoo!$H:$H, MATCH(Q1538, Facturas_Odoo!$B:$B, 0)), 0)))</f>
        <v/>
      </c>
      <c r="AN1538" s="79">
        <f>IF(AND(A1538="", J1538=""), "", IF(A1538&lt;&gt;"", VALUE(MID(A1538,2,LEN(A1538))), AN1537))</f>
        <v/>
      </c>
      <c r="AO1538" s="79">
        <f>IF(AN1538="","",IF(AD1538=0,"OK",_xlfn.LET(monedaPago, IF(AA1538="","USD",AA1538), limitePermitido, IFERROR(VLOOKUP(monedaPago, Configuración!$A$2:$B$3, 2, FALSE), 0.15), IF(AD1538&gt;limitePermitido, "ALERTA: EXCESO (" &amp; TEXT(limitePermitido, "0%") &amp; " máx)", "OK"))))</f>
        <v/>
      </c>
      <c r="AP1538" s="79">
        <f>IF(AN1538="","",IF(AE1538=0,"OK",_xlfn.LET(fechaPago, Z1538, fechaFactura, R1538, diasCredito, IF(E1538="Pago inmediato", 0, IFERROR(VALUE(MID(E1538, 1, SEARCH(" ", E1538)-1)),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38" s="79">
        <f>IF(AN1538="","",IF(AND(N1538&gt;0, AG1538&gt;0), IF(Configuración!$K$2="NO", "ALERTA: DESCUENTO DOBLE NO PERMITIDO", "OK"), "OK"))</f>
        <v/>
      </c>
      <c r="AR1538" s="79">
        <f>IF(AN1538="","",IF(OR(AO1538&lt;&gt;"OK", AP1538&lt;&gt;"OK", AQ1538&lt;&gt;"OK"), "⚠️ REVISAR", "OK"))</f>
        <v/>
      </c>
    </row>
    <row r="1539">
      <c r="A1539" s="79">
        <f>IF('Ordenes_Odoo'!A1539="","",'Ordenes_Odoo'!A1539)</f>
        <v/>
      </c>
      <c r="B1539" s="80">
        <f>IF('Ordenes_Odoo'!B1539="","",'Ordenes_Odoo'!B1539)</f>
        <v/>
      </c>
      <c r="C1539" s="79">
        <f>IF('Ordenes_Odoo'!C1539="","",'Ordenes_Odoo'!C1539)</f>
        <v/>
      </c>
      <c r="D1539" s="79">
        <f>IF('Ordenes_Odoo'!D1539="","",'Ordenes_Odoo'!D1539)</f>
        <v/>
      </c>
      <c r="E1539" s="79">
        <f>IF('Ordenes_Odoo'!E1539="","",'Ordenes_Odoo'!E1539)</f>
        <v/>
      </c>
      <c r="F1539" s="79">
        <f>IF('Ordenes_Odoo'!F1539="","",'Ordenes_Odoo'!F1539)</f>
        <v/>
      </c>
      <c r="G1539" s="79">
        <f>IF('Ordenes_Odoo'!G1539="","",'Ordenes_Odoo'!G1539)</f>
        <v/>
      </c>
      <c r="H1539" s="79">
        <f>IF('Ordenes_Odoo'!H1539="","",'Ordenes_Odoo'!H1539)</f>
        <v/>
      </c>
      <c r="I1539" s="79">
        <f>IF('Ordenes_Odoo'!I1539="","",'Ordenes_Odoo'!I1539)</f>
        <v/>
      </c>
      <c r="J1539" s="79">
        <f>IF('Ordenes_Odoo'!J1539="","",'Ordenes_Odoo'!J1539)</f>
        <v/>
      </c>
      <c r="K1539" s="81">
        <f>IF('Ordenes_Odoo'!K1539="","",'Ordenes_Odoo'!K1539)</f>
        <v/>
      </c>
      <c r="L1539" s="81">
        <f>IF('Ordenes_Odoo'!L1539="","",'Ordenes_Odoo'!L1539)</f>
        <v/>
      </c>
      <c r="M1539" s="79">
        <f>IF('Ordenes_Odoo'!M1539="","",'Ordenes_Odoo'!M1539)</f>
        <v/>
      </c>
      <c r="N1539" s="79">
        <f>IF('Ordenes_Odoo'!N1539="","",'Ordenes_Odoo'!N1539)</f>
        <v/>
      </c>
      <c r="O1539" s="81">
        <f>IF('Ordenes_Odoo'!O1539="","",'Ordenes_Odoo'!O1539)</f>
        <v/>
      </c>
      <c r="P1539" s="81">
        <f>IF('Ordenes_Odoo'!P1539="","",'Ordenes_Odoo'!P1539)</f>
        <v/>
      </c>
      <c r="Q1539" s="79">
        <f>IF(A1539="","",IFERROR(INDEX(Facturas_Odoo!$B:$B, MATCH(A1539, Facturas_Odoo!$D:$D, 0)), "Sin Factura"))</f>
        <v/>
      </c>
      <c r="R1539" s="80">
        <f>IF(Q1539="Sin Factura","",IFERROR(INDEX(Facturas_Odoo!$A:$A, MATCH(Q1539, Facturas_Odoo!$B:$B, 0)), ""))</f>
        <v/>
      </c>
      <c r="S1539" s="79">
        <f>IF(Q1539="Sin Factura","",IFERROR(_xlfn.XLOOKUP(1, (Facturas_Odoo!$D:$D=A1539) * (Facturas_Odoo!$K:$K=I1539), Facturas_Odoo!$L:$L, ""), ""))</f>
        <v/>
      </c>
      <c r="T1539" s="81">
        <f>IF(Q1539="Sin Factura",0,IFERROR(_xlfn.XLOOKUP(1, (Facturas_Odoo!$D:$D=A1539) * (Facturas_Odoo!$K:$K=I1539), Facturas_Odoo!$M:$M, 0), 0))</f>
        <v/>
      </c>
      <c r="U1539" s="79">
        <f>IF(Q1539="Sin Factura",0,IFERROR(_xlfn.XLOOKUP(1, (Facturas_Odoo!$D:$D=A1539) * (Facturas_Odoo!$K:$K=I1539), Facturas_Odoo!$N:$N, 0), 0))</f>
        <v/>
      </c>
      <c r="V1539" s="79">
        <f>IF(Q1539="Sin Factura",0,IFERROR(_xlfn.XLOOKUP(1, (Facturas_Odoo!$D:$D=A1539) * (Facturas_Odoo!$K:$K=I1539), Facturas_Odoo!$O:$O, 0), 0))</f>
        <v/>
      </c>
      <c r="W1539" s="81">
        <f>IF(Q1539="Sin Factura",0,IFERROR(_xlfn.XLOOKUP(1, (Facturas_Odoo!$D:$D=A1539) * (Facturas_Odoo!$K:$K=I1539), Facturas_Odoo!$Q:$Q, 0), 0))</f>
        <v/>
      </c>
      <c r="X1539" s="79">
        <f>IF(OR(Q1539="Sin Factura",Q1539=""),"",IFERROR(INDEX(Pagos_Odoo!$B:$B, MATCH(Q1539, Pagos_Odoo!$I:$I, 0)), "Sin Pago"))</f>
        <v/>
      </c>
      <c r="Y1539" s="79">
        <f>IF(X1539="Sin Pago","",IFERROR(INDEX(Pagos_Odoo!$C:$C, MATCH(X1539, Pagos_Odoo!$B:$B, 0)), ""))</f>
        <v/>
      </c>
      <c r="Z1539" s="80">
        <f>IF(X1539="Sin Pago","",IFERROR(INDEX(Pagos_Odoo!$A:$A, MATCH(X1539, Pagos_Odoo!$B:$B, 0)), ""))</f>
        <v/>
      </c>
      <c r="AA1539" s="79">
        <f>IF(X1539="Sin Pago","",IFERROR(INDEX(Pagos_Odoo!$F:$F, MATCH(X1539, Pagos_Odoo!$B:$B, 0)), ""))</f>
        <v/>
      </c>
      <c r="AB1539" s="81">
        <f>IF(X1539="Sin Pago",0,IFERROR(INDEX(Pagos_Odoo!$E:$E, MATCH(X1539, Pagos_Odoo!$B:$B, 0)), 0))</f>
        <v/>
      </c>
      <c r="AC1539" s="79">
        <f>IF(X1539="Sin Pago","",IFERROR(INDEX(Pagos_Odoo!$G:$G, MATCH(X1539, Pagos_Odoo!$B:$B, 0)), ""))</f>
        <v/>
      </c>
      <c r="AD1539" s="82" t="n">
        <v>0</v>
      </c>
      <c r="AE1539" s="82" t="n"/>
      <c r="AF1539" s="82" t="n"/>
      <c r="AG1539" s="82">
        <f>IF(AN1539="","",AD1539+AE1539+AF1539)</f>
        <v/>
      </c>
      <c r="AH1539" s="81">
        <f>IF(AN1539="","",P1539*(1-AG1539))</f>
        <v/>
      </c>
      <c r="AI1539" s="81">
        <f>IF(AN1539="","",IF(Q1539="Sin Factura",0,IFERROR(INDEX(Facturas_Odoo!$H:$H, MATCH(Q1539, Facturas_Odoo!$B:$B, 0)), 0)*(1-AG1539)))</f>
        <v/>
      </c>
      <c r="AJ1539" s="81">
        <f>IF(AN1539="","",_xlfn.LET(idVenta, AN1539&amp;"",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39" s="81">
        <f>IF(AN1539="","",AH1539-AJ1539)</f>
        <v/>
      </c>
      <c r="AL1539" s="81">
        <f>IF(AN1539="","",IF(Q1539="Sin Factura","",AI1539-AJ1539))</f>
        <v/>
      </c>
      <c r="AM1539" s="81">
        <f>IF(AN1539="","",IF(Q1539="Sin Factura",0,P1539-IFERROR(INDEX(Facturas_Odoo!$H:$H, MATCH(Q1539, Facturas_Odoo!$B:$B, 0)), 0)))</f>
        <v/>
      </c>
      <c r="AN1539" s="79">
        <f>IF(AND(A1539="", J1539=""), "", IF(A1539&lt;&gt;"", VALUE(MID(A1539,2,LEN(A1539))), AN1538))</f>
        <v/>
      </c>
      <c r="AO1539" s="79">
        <f>IF(AN1539="","",IF(AD1539=0,"OK",_xlfn.LET(monedaPago, IF(AA1539="","USD",AA1539), limitePermitido, IFERROR(VLOOKUP(monedaPago, Configuración!$A$2:$B$3, 2, FALSE), 0.15), IF(AD1539&gt;limitePermitido, "ALERTA: EXCESO (" &amp; TEXT(limitePermitido, "0%") &amp; " máx)", "OK"))))</f>
        <v/>
      </c>
      <c r="AP1539" s="79">
        <f>IF(AN1539="","",IF(AE1539=0,"OK",_xlfn.LET(fechaPago, Z1539, fechaFactura, R1539, diasCredito, IF(E1539="Pago inmediato", 0, IFERROR(VALUE(MID(E1539, 1, SEARCH(" ", E1539)-1)),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39" s="79">
        <f>IF(AN1539="","",IF(AND(N1539&gt;0, AG1539&gt;0), IF(Configuración!$K$2="NO", "ALERTA: DESCUENTO DOBLE NO PERMITIDO", "OK"), "OK"))</f>
        <v/>
      </c>
      <c r="AR1539" s="79">
        <f>IF(AN1539="","",IF(OR(AO1539&lt;&gt;"OK", AP1539&lt;&gt;"OK", AQ1539&lt;&gt;"OK"), "⚠️ REVISAR", "OK"))</f>
        <v/>
      </c>
    </row>
    <row r="1540">
      <c r="A1540" s="79">
        <f>IF('Ordenes_Odoo'!A1540="","",'Ordenes_Odoo'!A1540)</f>
        <v/>
      </c>
      <c r="B1540" s="80">
        <f>IF('Ordenes_Odoo'!B1540="","",'Ordenes_Odoo'!B1540)</f>
        <v/>
      </c>
      <c r="C1540" s="79">
        <f>IF('Ordenes_Odoo'!C1540="","",'Ordenes_Odoo'!C1540)</f>
        <v/>
      </c>
      <c r="D1540" s="79">
        <f>IF('Ordenes_Odoo'!D1540="","",'Ordenes_Odoo'!D1540)</f>
        <v/>
      </c>
      <c r="E1540" s="79">
        <f>IF('Ordenes_Odoo'!E1540="","",'Ordenes_Odoo'!E1540)</f>
        <v/>
      </c>
      <c r="F1540" s="79">
        <f>IF('Ordenes_Odoo'!F1540="","",'Ordenes_Odoo'!F1540)</f>
        <v/>
      </c>
      <c r="G1540" s="79">
        <f>IF('Ordenes_Odoo'!G1540="","",'Ordenes_Odoo'!G1540)</f>
        <v/>
      </c>
      <c r="H1540" s="79">
        <f>IF('Ordenes_Odoo'!H1540="","",'Ordenes_Odoo'!H1540)</f>
        <v/>
      </c>
      <c r="I1540" s="79">
        <f>IF('Ordenes_Odoo'!I1540="","",'Ordenes_Odoo'!I1540)</f>
        <v/>
      </c>
      <c r="J1540" s="79">
        <f>IF('Ordenes_Odoo'!J1540="","",'Ordenes_Odoo'!J1540)</f>
        <v/>
      </c>
      <c r="K1540" s="81">
        <f>IF('Ordenes_Odoo'!K1540="","",'Ordenes_Odoo'!K1540)</f>
        <v/>
      </c>
      <c r="L1540" s="81">
        <f>IF('Ordenes_Odoo'!L1540="","",'Ordenes_Odoo'!L1540)</f>
        <v/>
      </c>
      <c r="M1540" s="79">
        <f>IF('Ordenes_Odoo'!M1540="","",'Ordenes_Odoo'!M1540)</f>
        <v/>
      </c>
      <c r="N1540" s="79">
        <f>IF('Ordenes_Odoo'!N1540="","",'Ordenes_Odoo'!N1540)</f>
        <v/>
      </c>
      <c r="O1540" s="81">
        <f>IF('Ordenes_Odoo'!O1540="","",'Ordenes_Odoo'!O1540)</f>
        <v/>
      </c>
      <c r="P1540" s="81">
        <f>IF('Ordenes_Odoo'!P1540="","",'Ordenes_Odoo'!P1540)</f>
        <v/>
      </c>
      <c r="Q1540" s="79">
        <f>IF(A1540="","",IFERROR(INDEX(Facturas_Odoo!$B:$B, MATCH(A1540, Facturas_Odoo!$D:$D, 0)), "Sin Factura"))</f>
        <v/>
      </c>
      <c r="R1540" s="80">
        <f>IF(Q1540="Sin Factura","",IFERROR(INDEX(Facturas_Odoo!$A:$A, MATCH(Q1540, Facturas_Odoo!$B:$B, 0)), ""))</f>
        <v/>
      </c>
      <c r="S1540" s="79">
        <f>IF(Q1540="Sin Factura","",IFERROR(_xlfn.XLOOKUP(1, (Facturas_Odoo!$D:$D=A1540) * (Facturas_Odoo!$K:$K=I1540), Facturas_Odoo!$L:$L, ""), ""))</f>
        <v/>
      </c>
      <c r="T1540" s="81">
        <f>IF(Q1540="Sin Factura",0,IFERROR(_xlfn.XLOOKUP(1, (Facturas_Odoo!$D:$D=A1540) * (Facturas_Odoo!$K:$K=I1540), Facturas_Odoo!$M:$M, 0), 0))</f>
        <v/>
      </c>
      <c r="U1540" s="79">
        <f>IF(Q1540="Sin Factura",0,IFERROR(_xlfn.XLOOKUP(1, (Facturas_Odoo!$D:$D=A1540) * (Facturas_Odoo!$K:$K=I1540), Facturas_Odoo!$N:$N, 0), 0))</f>
        <v/>
      </c>
      <c r="V1540" s="79">
        <f>IF(Q1540="Sin Factura",0,IFERROR(_xlfn.XLOOKUP(1, (Facturas_Odoo!$D:$D=A1540) * (Facturas_Odoo!$K:$K=I1540), Facturas_Odoo!$O:$O, 0), 0))</f>
        <v/>
      </c>
      <c r="W1540" s="81">
        <f>IF(Q1540="Sin Factura",0,IFERROR(_xlfn.XLOOKUP(1, (Facturas_Odoo!$D:$D=A1540) * (Facturas_Odoo!$K:$K=I1540), Facturas_Odoo!$Q:$Q, 0), 0))</f>
        <v/>
      </c>
      <c r="X1540" s="79">
        <f>IF(OR(Q1540="Sin Factura",Q1540=""),"",IFERROR(INDEX(Pagos_Odoo!$B:$B, MATCH(Q1540, Pagos_Odoo!$I:$I, 0)), "Sin Pago"))</f>
        <v/>
      </c>
      <c r="Y1540" s="79">
        <f>IF(X1540="Sin Pago","",IFERROR(INDEX(Pagos_Odoo!$C:$C, MATCH(X1540, Pagos_Odoo!$B:$B, 0)), ""))</f>
        <v/>
      </c>
      <c r="Z1540" s="80">
        <f>IF(X1540="Sin Pago","",IFERROR(INDEX(Pagos_Odoo!$A:$A, MATCH(X1540, Pagos_Odoo!$B:$B, 0)), ""))</f>
        <v/>
      </c>
      <c r="AA1540" s="79">
        <f>IF(X1540="Sin Pago","",IFERROR(INDEX(Pagos_Odoo!$F:$F, MATCH(X1540, Pagos_Odoo!$B:$B, 0)), ""))</f>
        <v/>
      </c>
      <c r="AB1540" s="81">
        <f>IF(X1540="Sin Pago",0,IFERROR(INDEX(Pagos_Odoo!$E:$E, MATCH(X1540, Pagos_Odoo!$B:$B, 0)), 0))</f>
        <v/>
      </c>
      <c r="AC1540" s="79">
        <f>IF(X1540="Sin Pago","",IFERROR(INDEX(Pagos_Odoo!$G:$G, MATCH(X1540, Pagos_Odoo!$B:$B, 0)), ""))</f>
        <v/>
      </c>
      <c r="AD1540" s="82" t="n">
        <v>0</v>
      </c>
      <c r="AE1540" s="82" t="n"/>
      <c r="AF1540" s="82" t="n"/>
      <c r="AG1540" s="82">
        <f>IF(AN1540="","",AD1540+AE1540+AF1540)</f>
        <v/>
      </c>
      <c r="AH1540" s="81">
        <f>IF(AN1540="","",P1540*(1-AG1540))</f>
        <v/>
      </c>
      <c r="AI1540" s="81">
        <f>IF(AN1540="","",IF(Q1540="Sin Factura",0,IFERROR(INDEX(Facturas_Odoo!$H:$H, MATCH(Q1540, Facturas_Odoo!$B:$B, 0)), 0)*(1-AG1540)))</f>
        <v/>
      </c>
      <c r="AJ1540" s="81">
        <f>IF(AN1540="","",_xlfn.LET(idVenta, AN1540&amp;"",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40" s="81">
        <f>IF(AN1540="","",AH1540-AJ1540)</f>
        <v/>
      </c>
      <c r="AL1540" s="81">
        <f>IF(AN1540="","",IF(Q1540="Sin Factura","",AI1540-AJ1540))</f>
        <v/>
      </c>
      <c r="AM1540" s="81">
        <f>IF(AN1540="","",IF(Q1540="Sin Factura",0,P1540-IFERROR(INDEX(Facturas_Odoo!$H:$H, MATCH(Q1540, Facturas_Odoo!$B:$B, 0)), 0)))</f>
        <v/>
      </c>
      <c r="AN1540" s="79">
        <f>IF(AND(A1540="", J1540=""), "", IF(A1540&lt;&gt;"", VALUE(MID(A1540,2,LEN(A1540))), AN1539))</f>
        <v/>
      </c>
      <c r="AO1540" s="79">
        <f>IF(AN1540="","",IF(AD1540=0,"OK",_xlfn.LET(monedaPago, IF(AA1540="","USD",AA1540), limitePermitido, IFERROR(VLOOKUP(monedaPago, Configuración!$A$2:$B$3, 2, FALSE), 0.15), IF(AD1540&gt;limitePermitido, "ALERTA: EXCESO (" &amp; TEXT(limitePermitido, "0%") &amp; " máx)", "OK"))))</f>
        <v/>
      </c>
      <c r="AP1540" s="79">
        <f>IF(AN1540="","",IF(AE1540=0,"OK",_xlfn.LET(fechaPago, Z1540, fechaFactura, R1540, diasCredito, IF(E1540="Pago inmediato", 0, IFERROR(VALUE(MID(E1540, 1, SEARCH(" ", E1540)-1)),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40" s="79">
        <f>IF(AN1540="","",IF(AND(N1540&gt;0, AG1540&gt;0), IF(Configuración!$K$2="NO", "ALERTA: DESCUENTO DOBLE NO PERMITIDO", "OK"), "OK"))</f>
        <v/>
      </c>
      <c r="AR1540" s="79">
        <f>IF(AN1540="","",IF(OR(AO1540&lt;&gt;"OK", AP1540&lt;&gt;"OK", AQ1540&lt;&gt;"OK"), "⚠️ REVISAR", "OK"))</f>
        <v/>
      </c>
    </row>
    <row r="1541">
      <c r="A1541" s="79">
        <f>IF('Ordenes_Odoo'!A1541="","",'Ordenes_Odoo'!A1541)</f>
        <v/>
      </c>
      <c r="B1541" s="80">
        <f>IF('Ordenes_Odoo'!B1541="","",'Ordenes_Odoo'!B1541)</f>
        <v/>
      </c>
      <c r="C1541" s="79">
        <f>IF('Ordenes_Odoo'!C1541="","",'Ordenes_Odoo'!C1541)</f>
        <v/>
      </c>
      <c r="D1541" s="79">
        <f>IF('Ordenes_Odoo'!D1541="","",'Ordenes_Odoo'!D1541)</f>
        <v/>
      </c>
      <c r="E1541" s="79">
        <f>IF('Ordenes_Odoo'!E1541="","",'Ordenes_Odoo'!E1541)</f>
        <v/>
      </c>
      <c r="F1541" s="79">
        <f>IF('Ordenes_Odoo'!F1541="","",'Ordenes_Odoo'!F1541)</f>
        <v/>
      </c>
      <c r="G1541" s="79">
        <f>IF('Ordenes_Odoo'!G1541="","",'Ordenes_Odoo'!G1541)</f>
        <v/>
      </c>
      <c r="H1541" s="79">
        <f>IF('Ordenes_Odoo'!H1541="","",'Ordenes_Odoo'!H1541)</f>
        <v/>
      </c>
      <c r="I1541" s="79">
        <f>IF('Ordenes_Odoo'!I1541="","",'Ordenes_Odoo'!I1541)</f>
        <v/>
      </c>
      <c r="J1541" s="79">
        <f>IF('Ordenes_Odoo'!J1541="","",'Ordenes_Odoo'!J1541)</f>
        <v/>
      </c>
      <c r="K1541" s="81">
        <f>IF('Ordenes_Odoo'!K1541="","",'Ordenes_Odoo'!K1541)</f>
        <v/>
      </c>
      <c r="L1541" s="81">
        <f>IF('Ordenes_Odoo'!L1541="","",'Ordenes_Odoo'!L1541)</f>
        <v/>
      </c>
      <c r="M1541" s="79">
        <f>IF('Ordenes_Odoo'!M1541="","",'Ordenes_Odoo'!M1541)</f>
        <v/>
      </c>
      <c r="N1541" s="79">
        <f>IF('Ordenes_Odoo'!N1541="","",'Ordenes_Odoo'!N1541)</f>
        <v/>
      </c>
      <c r="O1541" s="81">
        <f>IF('Ordenes_Odoo'!O1541="","",'Ordenes_Odoo'!O1541)</f>
        <v/>
      </c>
      <c r="P1541" s="81">
        <f>IF('Ordenes_Odoo'!P1541="","",'Ordenes_Odoo'!P1541)</f>
        <v/>
      </c>
      <c r="Q1541" s="79">
        <f>IF(A1541="","",IFERROR(INDEX(Facturas_Odoo!$B:$B, MATCH(A1541, Facturas_Odoo!$D:$D, 0)), "Sin Factura"))</f>
        <v/>
      </c>
      <c r="R1541" s="80">
        <f>IF(Q1541="Sin Factura","",IFERROR(INDEX(Facturas_Odoo!$A:$A, MATCH(Q1541, Facturas_Odoo!$B:$B, 0)), ""))</f>
        <v/>
      </c>
      <c r="S1541" s="79">
        <f>IF(Q1541="Sin Factura","",IFERROR(_xlfn.XLOOKUP(1, (Facturas_Odoo!$D:$D=A1541) * (Facturas_Odoo!$K:$K=I1541), Facturas_Odoo!$L:$L, ""), ""))</f>
        <v/>
      </c>
      <c r="T1541" s="81">
        <f>IF(Q1541="Sin Factura",0,IFERROR(_xlfn.XLOOKUP(1, (Facturas_Odoo!$D:$D=A1541) * (Facturas_Odoo!$K:$K=I1541), Facturas_Odoo!$M:$M, 0), 0))</f>
        <v/>
      </c>
      <c r="U1541" s="79">
        <f>IF(Q1541="Sin Factura",0,IFERROR(_xlfn.XLOOKUP(1, (Facturas_Odoo!$D:$D=A1541) * (Facturas_Odoo!$K:$K=I1541), Facturas_Odoo!$N:$N, 0), 0))</f>
        <v/>
      </c>
      <c r="V1541" s="79">
        <f>IF(Q1541="Sin Factura",0,IFERROR(_xlfn.XLOOKUP(1, (Facturas_Odoo!$D:$D=A1541) * (Facturas_Odoo!$K:$K=I1541), Facturas_Odoo!$O:$O, 0), 0))</f>
        <v/>
      </c>
      <c r="W1541" s="81">
        <f>IF(Q1541="Sin Factura",0,IFERROR(_xlfn.XLOOKUP(1, (Facturas_Odoo!$D:$D=A1541) * (Facturas_Odoo!$K:$K=I1541), Facturas_Odoo!$Q:$Q, 0), 0))</f>
        <v/>
      </c>
      <c r="X1541" s="79">
        <f>IF(OR(Q1541="Sin Factura",Q1541=""),"",IFERROR(INDEX(Pagos_Odoo!$B:$B, MATCH(Q1541, Pagos_Odoo!$I:$I, 0)), "Sin Pago"))</f>
        <v/>
      </c>
      <c r="Y1541" s="79">
        <f>IF(X1541="Sin Pago","",IFERROR(INDEX(Pagos_Odoo!$C:$C, MATCH(X1541, Pagos_Odoo!$B:$B, 0)), ""))</f>
        <v/>
      </c>
      <c r="Z1541" s="80">
        <f>IF(X1541="Sin Pago","",IFERROR(INDEX(Pagos_Odoo!$A:$A, MATCH(X1541, Pagos_Odoo!$B:$B, 0)), ""))</f>
        <v/>
      </c>
      <c r="AA1541" s="79">
        <f>IF(X1541="Sin Pago","",IFERROR(INDEX(Pagos_Odoo!$F:$F, MATCH(X1541, Pagos_Odoo!$B:$B, 0)), ""))</f>
        <v/>
      </c>
      <c r="AB1541" s="81">
        <f>IF(X1541="Sin Pago",0,IFERROR(INDEX(Pagos_Odoo!$E:$E, MATCH(X1541, Pagos_Odoo!$B:$B, 0)), 0))</f>
        <v/>
      </c>
      <c r="AC1541" s="79">
        <f>IF(X1541="Sin Pago","",IFERROR(INDEX(Pagos_Odoo!$G:$G, MATCH(X1541, Pagos_Odoo!$B:$B, 0)), ""))</f>
        <v/>
      </c>
      <c r="AD1541" s="82" t="n">
        <v>0</v>
      </c>
      <c r="AE1541" s="82" t="n"/>
      <c r="AF1541" s="82" t="n"/>
      <c r="AG1541" s="82">
        <f>IF(AN1541="","",AD1541+AE1541+AF1541)</f>
        <v/>
      </c>
      <c r="AH1541" s="81">
        <f>IF(AN1541="","",P1541*(1-AG1541))</f>
        <v/>
      </c>
      <c r="AI1541" s="81">
        <f>IF(AN1541="","",IF(Q1541="Sin Factura",0,IFERROR(INDEX(Facturas_Odoo!$H:$H, MATCH(Q1541, Facturas_Odoo!$B:$B, 0)), 0)*(1-AG1541)))</f>
        <v/>
      </c>
      <c r="AJ1541" s="81">
        <f>IF(AN1541="","",_xlfn.LET(idVenta, AN1541&amp;"",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41" s="81">
        <f>IF(AN1541="","",AH1541-AJ1541)</f>
        <v/>
      </c>
      <c r="AL1541" s="81">
        <f>IF(AN1541="","",IF(Q1541="Sin Factura","",AI1541-AJ1541))</f>
        <v/>
      </c>
      <c r="AM1541" s="81">
        <f>IF(AN1541="","",IF(Q1541="Sin Factura",0,P1541-IFERROR(INDEX(Facturas_Odoo!$H:$H, MATCH(Q1541, Facturas_Odoo!$B:$B, 0)), 0)))</f>
        <v/>
      </c>
      <c r="AN1541" s="79">
        <f>IF(AND(A1541="", J1541=""), "", IF(A1541&lt;&gt;"", VALUE(MID(A1541,2,LEN(A1541))), AN1540))</f>
        <v/>
      </c>
      <c r="AO1541" s="79">
        <f>IF(AN1541="","",IF(AD1541=0,"OK",_xlfn.LET(monedaPago, IF(AA1541="","USD",AA1541), limitePermitido, IFERROR(VLOOKUP(monedaPago, Configuración!$A$2:$B$3, 2, FALSE), 0.15), IF(AD1541&gt;limitePermitido, "ALERTA: EXCESO (" &amp; TEXT(limitePermitido, "0%") &amp; " máx)", "OK"))))</f>
        <v/>
      </c>
      <c r="AP1541" s="79">
        <f>IF(AN1541="","",IF(AE1541=0,"OK",_xlfn.LET(fechaPago, Z1541, fechaFactura, R1541, diasCredito, IF(E1541="Pago inmediato", 0, IFERROR(VALUE(MID(E1541, 1, SEARCH(" ", E1541)-1)),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41" s="79">
        <f>IF(AN1541="","",IF(AND(N1541&gt;0, AG1541&gt;0), IF(Configuración!$K$2="NO", "ALERTA: DESCUENTO DOBLE NO PERMITIDO", "OK"), "OK"))</f>
        <v/>
      </c>
      <c r="AR1541" s="79">
        <f>IF(AN1541="","",IF(OR(AO1541&lt;&gt;"OK", AP1541&lt;&gt;"OK", AQ1541&lt;&gt;"OK"), "⚠️ REVISAR", "OK"))</f>
        <v/>
      </c>
    </row>
    <row r="1542">
      <c r="A1542" s="79">
        <f>IF('Ordenes_Odoo'!A1542="","",'Ordenes_Odoo'!A1542)</f>
        <v/>
      </c>
      <c r="B1542" s="80">
        <f>IF('Ordenes_Odoo'!B1542="","",'Ordenes_Odoo'!B1542)</f>
        <v/>
      </c>
      <c r="C1542" s="79">
        <f>IF('Ordenes_Odoo'!C1542="","",'Ordenes_Odoo'!C1542)</f>
        <v/>
      </c>
      <c r="D1542" s="79">
        <f>IF('Ordenes_Odoo'!D1542="","",'Ordenes_Odoo'!D1542)</f>
        <v/>
      </c>
      <c r="E1542" s="79">
        <f>IF('Ordenes_Odoo'!E1542="","",'Ordenes_Odoo'!E1542)</f>
        <v/>
      </c>
      <c r="F1542" s="79">
        <f>IF('Ordenes_Odoo'!F1542="","",'Ordenes_Odoo'!F1542)</f>
        <v/>
      </c>
      <c r="G1542" s="79">
        <f>IF('Ordenes_Odoo'!G1542="","",'Ordenes_Odoo'!G1542)</f>
        <v/>
      </c>
      <c r="H1542" s="79">
        <f>IF('Ordenes_Odoo'!H1542="","",'Ordenes_Odoo'!H1542)</f>
        <v/>
      </c>
      <c r="I1542" s="79">
        <f>IF('Ordenes_Odoo'!I1542="","",'Ordenes_Odoo'!I1542)</f>
        <v/>
      </c>
      <c r="J1542" s="79">
        <f>IF('Ordenes_Odoo'!J1542="","",'Ordenes_Odoo'!J1542)</f>
        <v/>
      </c>
      <c r="K1542" s="81">
        <f>IF('Ordenes_Odoo'!K1542="","",'Ordenes_Odoo'!K1542)</f>
        <v/>
      </c>
      <c r="L1542" s="81">
        <f>IF('Ordenes_Odoo'!L1542="","",'Ordenes_Odoo'!L1542)</f>
        <v/>
      </c>
      <c r="M1542" s="79">
        <f>IF('Ordenes_Odoo'!M1542="","",'Ordenes_Odoo'!M1542)</f>
        <v/>
      </c>
      <c r="N1542" s="79">
        <f>IF('Ordenes_Odoo'!N1542="","",'Ordenes_Odoo'!N1542)</f>
        <v/>
      </c>
      <c r="O1542" s="81">
        <f>IF('Ordenes_Odoo'!O1542="","",'Ordenes_Odoo'!O1542)</f>
        <v/>
      </c>
      <c r="P1542" s="81">
        <f>IF('Ordenes_Odoo'!P1542="","",'Ordenes_Odoo'!P1542)</f>
        <v/>
      </c>
      <c r="Q1542" s="79">
        <f>IF(A1542="","",IFERROR(INDEX(Facturas_Odoo!$B:$B, MATCH(A1542, Facturas_Odoo!$D:$D, 0)), "Sin Factura"))</f>
        <v/>
      </c>
      <c r="R1542" s="80">
        <f>IF(Q1542="Sin Factura","",IFERROR(INDEX(Facturas_Odoo!$A:$A, MATCH(Q1542, Facturas_Odoo!$B:$B, 0)), ""))</f>
        <v/>
      </c>
      <c r="S1542" s="79">
        <f>IF(Q1542="Sin Factura","",IFERROR(_xlfn.XLOOKUP(1, (Facturas_Odoo!$D:$D=A1542) * (Facturas_Odoo!$K:$K=I1542), Facturas_Odoo!$L:$L, ""), ""))</f>
        <v/>
      </c>
      <c r="T1542" s="81">
        <f>IF(Q1542="Sin Factura",0,IFERROR(_xlfn.XLOOKUP(1, (Facturas_Odoo!$D:$D=A1542) * (Facturas_Odoo!$K:$K=I1542), Facturas_Odoo!$M:$M, 0), 0))</f>
        <v/>
      </c>
      <c r="U1542" s="79">
        <f>IF(Q1542="Sin Factura",0,IFERROR(_xlfn.XLOOKUP(1, (Facturas_Odoo!$D:$D=A1542) * (Facturas_Odoo!$K:$K=I1542), Facturas_Odoo!$N:$N, 0), 0))</f>
        <v/>
      </c>
      <c r="V1542" s="79">
        <f>IF(Q1542="Sin Factura",0,IFERROR(_xlfn.XLOOKUP(1, (Facturas_Odoo!$D:$D=A1542) * (Facturas_Odoo!$K:$K=I1542), Facturas_Odoo!$O:$O, 0), 0))</f>
        <v/>
      </c>
      <c r="W1542" s="81">
        <f>IF(Q1542="Sin Factura",0,IFERROR(_xlfn.XLOOKUP(1, (Facturas_Odoo!$D:$D=A1542) * (Facturas_Odoo!$K:$K=I1542), Facturas_Odoo!$Q:$Q, 0), 0))</f>
        <v/>
      </c>
      <c r="X1542" s="79">
        <f>IF(OR(Q1542="Sin Factura",Q1542=""),"",IFERROR(INDEX(Pagos_Odoo!$B:$B, MATCH(Q1542, Pagos_Odoo!$I:$I, 0)), "Sin Pago"))</f>
        <v/>
      </c>
      <c r="Y1542" s="79">
        <f>IF(X1542="Sin Pago","",IFERROR(INDEX(Pagos_Odoo!$C:$C, MATCH(X1542, Pagos_Odoo!$B:$B, 0)), ""))</f>
        <v/>
      </c>
      <c r="Z1542" s="80">
        <f>IF(X1542="Sin Pago","",IFERROR(INDEX(Pagos_Odoo!$A:$A, MATCH(X1542, Pagos_Odoo!$B:$B, 0)), ""))</f>
        <v/>
      </c>
      <c r="AA1542" s="79">
        <f>IF(X1542="Sin Pago","",IFERROR(INDEX(Pagos_Odoo!$F:$F, MATCH(X1542, Pagos_Odoo!$B:$B, 0)), ""))</f>
        <v/>
      </c>
      <c r="AB1542" s="81">
        <f>IF(X1542="Sin Pago",0,IFERROR(INDEX(Pagos_Odoo!$E:$E, MATCH(X1542, Pagos_Odoo!$B:$B, 0)), 0))</f>
        <v/>
      </c>
      <c r="AC1542" s="79">
        <f>IF(X1542="Sin Pago","",IFERROR(INDEX(Pagos_Odoo!$G:$G, MATCH(X1542, Pagos_Odoo!$B:$B, 0)), ""))</f>
        <v/>
      </c>
      <c r="AD1542" s="82" t="n">
        <v>0</v>
      </c>
      <c r="AE1542" s="82" t="n"/>
      <c r="AF1542" s="82" t="n"/>
      <c r="AG1542" s="82">
        <f>IF(AN1542="","",AD1542+AE1542+AF1542)</f>
        <v/>
      </c>
      <c r="AH1542" s="81">
        <f>IF(AN1542="","",P1542*(1-AG1542))</f>
        <v/>
      </c>
      <c r="AI1542" s="81">
        <f>IF(AN1542="","",IF(Q1542="Sin Factura",0,IFERROR(INDEX(Facturas_Odoo!$H:$H, MATCH(Q1542, Facturas_Odoo!$B:$B, 0)), 0)*(1-AG1542)))</f>
        <v/>
      </c>
      <c r="AJ1542" s="81">
        <f>IF(AN1542="","",_xlfn.LET(idVenta, AN1542&amp;"",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42" s="81">
        <f>IF(AN1542="","",AH1542-AJ1542)</f>
        <v/>
      </c>
      <c r="AL1542" s="81">
        <f>IF(AN1542="","",IF(Q1542="Sin Factura","",AI1542-AJ1542))</f>
        <v/>
      </c>
      <c r="AM1542" s="81">
        <f>IF(AN1542="","",IF(Q1542="Sin Factura",0,P1542-IFERROR(INDEX(Facturas_Odoo!$H:$H, MATCH(Q1542, Facturas_Odoo!$B:$B, 0)), 0)))</f>
        <v/>
      </c>
      <c r="AN1542" s="79">
        <f>IF(AND(A1542="", J1542=""), "", IF(A1542&lt;&gt;"", VALUE(MID(A1542,2,LEN(A1542))), AN1541))</f>
        <v/>
      </c>
      <c r="AO1542" s="79">
        <f>IF(AN1542="","",IF(AD1542=0,"OK",_xlfn.LET(monedaPago, IF(AA1542="","USD",AA1542), limitePermitido, IFERROR(VLOOKUP(monedaPago, Configuración!$A$2:$B$3, 2, FALSE), 0.15), IF(AD1542&gt;limitePermitido, "ALERTA: EXCESO (" &amp; TEXT(limitePermitido, "0%") &amp; " máx)", "OK"))))</f>
        <v/>
      </c>
      <c r="AP1542" s="79">
        <f>IF(AN1542="","",IF(AE1542=0,"OK",_xlfn.LET(fechaPago, Z1542, fechaFactura, R1542, diasCredito, IF(E1542="Pago inmediato", 0, IFERROR(VALUE(MID(E1542, 1, SEARCH(" ", E1542)-1)),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42" s="79">
        <f>IF(AN1542="","",IF(AND(N1542&gt;0, AG1542&gt;0), IF(Configuración!$K$2="NO", "ALERTA: DESCUENTO DOBLE NO PERMITIDO", "OK"), "OK"))</f>
        <v/>
      </c>
      <c r="AR1542" s="79">
        <f>IF(AN1542="","",IF(OR(AO1542&lt;&gt;"OK", AP1542&lt;&gt;"OK", AQ1542&lt;&gt;"OK"), "⚠️ REVISAR", "OK"))</f>
        <v/>
      </c>
    </row>
    <row r="1543">
      <c r="A1543" s="79">
        <f>IF('Ordenes_Odoo'!A1543="","",'Ordenes_Odoo'!A1543)</f>
        <v/>
      </c>
      <c r="B1543" s="80">
        <f>IF('Ordenes_Odoo'!B1543="","",'Ordenes_Odoo'!B1543)</f>
        <v/>
      </c>
      <c r="C1543" s="79">
        <f>IF('Ordenes_Odoo'!C1543="","",'Ordenes_Odoo'!C1543)</f>
        <v/>
      </c>
      <c r="D1543" s="79">
        <f>IF('Ordenes_Odoo'!D1543="","",'Ordenes_Odoo'!D1543)</f>
        <v/>
      </c>
      <c r="E1543" s="79">
        <f>IF('Ordenes_Odoo'!E1543="","",'Ordenes_Odoo'!E1543)</f>
        <v/>
      </c>
      <c r="F1543" s="79">
        <f>IF('Ordenes_Odoo'!F1543="","",'Ordenes_Odoo'!F1543)</f>
        <v/>
      </c>
      <c r="G1543" s="79">
        <f>IF('Ordenes_Odoo'!G1543="","",'Ordenes_Odoo'!G1543)</f>
        <v/>
      </c>
      <c r="H1543" s="79">
        <f>IF('Ordenes_Odoo'!H1543="","",'Ordenes_Odoo'!H1543)</f>
        <v/>
      </c>
      <c r="I1543" s="79">
        <f>IF('Ordenes_Odoo'!I1543="","",'Ordenes_Odoo'!I1543)</f>
        <v/>
      </c>
      <c r="J1543" s="79">
        <f>IF('Ordenes_Odoo'!J1543="","",'Ordenes_Odoo'!J1543)</f>
        <v/>
      </c>
      <c r="K1543" s="81">
        <f>IF('Ordenes_Odoo'!K1543="","",'Ordenes_Odoo'!K1543)</f>
        <v/>
      </c>
      <c r="L1543" s="81">
        <f>IF('Ordenes_Odoo'!L1543="","",'Ordenes_Odoo'!L1543)</f>
        <v/>
      </c>
      <c r="M1543" s="79">
        <f>IF('Ordenes_Odoo'!M1543="","",'Ordenes_Odoo'!M1543)</f>
        <v/>
      </c>
      <c r="N1543" s="79">
        <f>IF('Ordenes_Odoo'!N1543="","",'Ordenes_Odoo'!N1543)</f>
        <v/>
      </c>
      <c r="O1543" s="81">
        <f>IF('Ordenes_Odoo'!O1543="","",'Ordenes_Odoo'!O1543)</f>
        <v/>
      </c>
      <c r="P1543" s="81">
        <f>IF('Ordenes_Odoo'!P1543="","",'Ordenes_Odoo'!P1543)</f>
        <v/>
      </c>
      <c r="Q1543" s="79">
        <f>IF(A1543="","",IFERROR(INDEX(Facturas_Odoo!$B:$B, MATCH(A1543, Facturas_Odoo!$D:$D, 0)), "Sin Factura"))</f>
        <v/>
      </c>
      <c r="R1543" s="80">
        <f>IF(Q1543="Sin Factura","",IFERROR(INDEX(Facturas_Odoo!$A:$A, MATCH(Q1543, Facturas_Odoo!$B:$B, 0)), ""))</f>
        <v/>
      </c>
      <c r="S1543" s="79">
        <f>IF(Q1543="Sin Factura","",IFERROR(_xlfn.XLOOKUP(1, (Facturas_Odoo!$D:$D=A1543) * (Facturas_Odoo!$K:$K=I1543), Facturas_Odoo!$L:$L, ""), ""))</f>
        <v/>
      </c>
      <c r="T1543" s="81">
        <f>IF(Q1543="Sin Factura",0,IFERROR(_xlfn.XLOOKUP(1, (Facturas_Odoo!$D:$D=A1543) * (Facturas_Odoo!$K:$K=I1543), Facturas_Odoo!$M:$M, 0), 0))</f>
        <v/>
      </c>
      <c r="U1543" s="79">
        <f>IF(Q1543="Sin Factura",0,IFERROR(_xlfn.XLOOKUP(1, (Facturas_Odoo!$D:$D=A1543) * (Facturas_Odoo!$K:$K=I1543), Facturas_Odoo!$N:$N, 0), 0))</f>
        <v/>
      </c>
      <c r="V1543" s="79">
        <f>IF(Q1543="Sin Factura",0,IFERROR(_xlfn.XLOOKUP(1, (Facturas_Odoo!$D:$D=A1543) * (Facturas_Odoo!$K:$K=I1543), Facturas_Odoo!$O:$O, 0), 0))</f>
        <v/>
      </c>
      <c r="W1543" s="81">
        <f>IF(Q1543="Sin Factura",0,IFERROR(_xlfn.XLOOKUP(1, (Facturas_Odoo!$D:$D=A1543) * (Facturas_Odoo!$K:$K=I1543), Facturas_Odoo!$Q:$Q, 0), 0))</f>
        <v/>
      </c>
      <c r="X1543" s="79">
        <f>IF(OR(Q1543="Sin Factura",Q1543=""),"",IFERROR(INDEX(Pagos_Odoo!$B:$B, MATCH(Q1543, Pagos_Odoo!$I:$I, 0)), "Sin Pago"))</f>
        <v/>
      </c>
      <c r="Y1543" s="79">
        <f>IF(X1543="Sin Pago","",IFERROR(INDEX(Pagos_Odoo!$C:$C, MATCH(X1543, Pagos_Odoo!$B:$B, 0)), ""))</f>
        <v/>
      </c>
      <c r="Z1543" s="80">
        <f>IF(X1543="Sin Pago","",IFERROR(INDEX(Pagos_Odoo!$A:$A, MATCH(X1543, Pagos_Odoo!$B:$B, 0)), ""))</f>
        <v/>
      </c>
      <c r="AA1543" s="79">
        <f>IF(X1543="Sin Pago","",IFERROR(INDEX(Pagos_Odoo!$F:$F, MATCH(X1543, Pagos_Odoo!$B:$B, 0)), ""))</f>
        <v/>
      </c>
      <c r="AB1543" s="81">
        <f>IF(X1543="Sin Pago",0,IFERROR(INDEX(Pagos_Odoo!$E:$E, MATCH(X1543, Pagos_Odoo!$B:$B, 0)), 0))</f>
        <v/>
      </c>
      <c r="AC1543" s="79">
        <f>IF(X1543="Sin Pago","",IFERROR(INDEX(Pagos_Odoo!$G:$G, MATCH(X1543, Pagos_Odoo!$B:$B, 0)), ""))</f>
        <v/>
      </c>
      <c r="AD1543" s="82" t="n">
        <v>0</v>
      </c>
      <c r="AE1543" s="82" t="n"/>
      <c r="AF1543" s="82" t="n"/>
      <c r="AG1543" s="82">
        <f>IF(AN1543="","",AD1543+AE1543+AF1543)</f>
        <v/>
      </c>
      <c r="AH1543" s="81">
        <f>IF(AN1543="","",P1543*(1-AG1543))</f>
        <v/>
      </c>
      <c r="AI1543" s="81">
        <f>IF(AN1543="","",IF(Q1543="Sin Factura",0,IFERROR(INDEX(Facturas_Odoo!$H:$H, MATCH(Q1543, Facturas_Odoo!$B:$B, 0)), 0)*(1-AG1543)))</f>
        <v/>
      </c>
      <c r="AJ1543" s="81">
        <f>IF(AN1543="","",_xlfn.LET(idVenta, AN1543&amp;"",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43" s="81">
        <f>IF(AN1543="","",AH1543-AJ1543)</f>
        <v/>
      </c>
      <c r="AL1543" s="81">
        <f>IF(AN1543="","",IF(Q1543="Sin Factura","",AI1543-AJ1543))</f>
        <v/>
      </c>
      <c r="AM1543" s="81">
        <f>IF(AN1543="","",IF(Q1543="Sin Factura",0,P1543-IFERROR(INDEX(Facturas_Odoo!$H:$H, MATCH(Q1543, Facturas_Odoo!$B:$B, 0)), 0)))</f>
        <v/>
      </c>
      <c r="AN1543" s="79">
        <f>IF(AND(A1543="", J1543=""), "", IF(A1543&lt;&gt;"", VALUE(MID(A1543,2,LEN(A1543))), AN1542))</f>
        <v/>
      </c>
      <c r="AO1543" s="79">
        <f>IF(AN1543="","",IF(AD1543=0,"OK",_xlfn.LET(monedaPago, IF(AA1543="","USD",AA1543), limitePermitido, IFERROR(VLOOKUP(monedaPago, Configuración!$A$2:$B$3, 2, FALSE), 0.15), IF(AD1543&gt;limitePermitido, "ALERTA: EXCESO (" &amp; TEXT(limitePermitido, "0%") &amp; " máx)", "OK"))))</f>
        <v/>
      </c>
      <c r="AP1543" s="79">
        <f>IF(AN1543="","",IF(AE1543=0,"OK",_xlfn.LET(fechaPago, Z1543, fechaFactura, R1543, diasCredito, IF(E1543="Pago inmediato", 0, IFERROR(VALUE(MID(E1543, 1, SEARCH(" ", E1543)-1)),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43" s="79">
        <f>IF(AN1543="","",IF(AND(N1543&gt;0, AG1543&gt;0), IF(Configuración!$K$2="NO", "ALERTA: DESCUENTO DOBLE NO PERMITIDO", "OK"), "OK"))</f>
        <v/>
      </c>
      <c r="AR1543" s="79">
        <f>IF(AN1543="","",IF(OR(AO1543&lt;&gt;"OK", AP1543&lt;&gt;"OK", AQ1543&lt;&gt;"OK"), "⚠️ REVISAR", "OK"))</f>
        <v/>
      </c>
    </row>
    <row r="1544">
      <c r="A1544" s="79">
        <f>IF('Ordenes_Odoo'!A1544="","",'Ordenes_Odoo'!A1544)</f>
        <v/>
      </c>
      <c r="B1544" s="80">
        <f>IF('Ordenes_Odoo'!B1544="","",'Ordenes_Odoo'!B1544)</f>
        <v/>
      </c>
      <c r="C1544" s="79">
        <f>IF('Ordenes_Odoo'!C1544="","",'Ordenes_Odoo'!C1544)</f>
        <v/>
      </c>
      <c r="D1544" s="79">
        <f>IF('Ordenes_Odoo'!D1544="","",'Ordenes_Odoo'!D1544)</f>
        <v/>
      </c>
      <c r="E1544" s="79">
        <f>IF('Ordenes_Odoo'!E1544="","",'Ordenes_Odoo'!E1544)</f>
        <v/>
      </c>
      <c r="F1544" s="79">
        <f>IF('Ordenes_Odoo'!F1544="","",'Ordenes_Odoo'!F1544)</f>
        <v/>
      </c>
      <c r="G1544" s="79">
        <f>IF('Ordenes_Odoo'!G1544="","",'Ordenes_Odoo'!G1544)</f>
        <v/>
      </c>
      <c r="H1544" s="79">
        <f>IF('Ordenes_Odoo'!H1544="","",'Ordenes_Odoo'!H1544)</f>
        <v/>
      </c>
      <c r="I1544" s="79">
        <f>IF('Ordenes_Odoo'!I1544="","",'Ordenes_Odoo'!I1544)</f>
        <v/>
      </c>
      <c r="J1544" s="79">
        <f>IF('Ordenes_Odoo'!J1544="","",'Ordenes_Odoo'!J1544)</f>
        <v/>
      </c>
      <c r="K1544" s="81">
        <f>IF('Ordenes_Odoo'!K1544="","",'Ordenes_Odoo'!K1544)</f>
        <v/>
      </c>
      <c r="L1544" s="81">
        <f>IF('Ordenes_Odoo'!L1544="","",'Ordenes_Odoo'!L1544)</f>
        <v/>
      </c>
      <c r="M1544" s="79">
        <f>IF('Ordenes_Odoo'!M1544="","",'Ordenes_Odoo'!M1544)</f>
        <v/>
      </c>
      <c r="N1544" s="79">
        <f>IF('Ordenes_Odoo'!N1544="","",'Ordenes_Odoo'!N1544)</f>
        <v/>
      </c>
      <c r="O1544" s="81">
        <f>IF('Ordenes_Odoo'!O1544="","",'Ordenes_Odoo'!O1544)</f>
        <v/>
      </c>
      <c r="P1544" s="81">
        <f>IF('Ordenes_Odoo'!P1544="","",'Ordenes_Odoo'!P1544)</f>
        <v/>
      </c>
      <c r="Q1544" s="79">
        <f>IF(A1544="","",IFERROR(INDEX(Facturas_Odoo!$B:$B, MATCH(A1544, Facturas_Odoo!$D:$D, 0)), "Sin Factura"))</f>
        <v/>
      </c>
      <c r="R1544" s="80">
        <f>IF(Q1544="Sin Factura","",IFERROR(INDEX(Facturas_Odoo!$A:$A, MATCH(Q1544, Facturas_Odoo!$B:$B, 0)), ""))</f>
        <v/>
      </c>
      <c r="S1544" s="79">
        <f>IF(Q1544="Sin Factura","",IFERROR(_xlfn.XLOOKUP(1, (Facturas_Odoo!$D:$D=A1544) * (Facturas_Odoo!$K:$K=I1544), Facturas_Odoo!$L:$L, ""), ""))</f>
        <v/>
      </c>
      <c r="T1544" s="81">
        <f>IF(Q1544="Sin Factura",0,IFERROR(_xlfn.XLOOKUP(1, (Facturas_Odoo!$D:$D=A1544) * (Facturas_Odoo!$K:$K=I1544), Facturas_Odoo!$M:$M, 0), 0))</f>
        <v/>
      </c>
      <c r="U1544" s="79">
        <f>IF(Q1544="Sin Factura",0,IFERROR(_xlfn.XLOOKUP(1, (Facturas_Odoo!$D:$D=A1544) * (Facturas_Odoo!$K:$K=I1544), Facturas_Odoo!$N:$N, 0), 0))</f>
        <v/>
      </c>
      <c r="V1544" s="79">
        <f>IF(Q1544="Sin Factura",0,IFERROR(_xlfn.XLOOKUP(1, (Facturas_Odoo!$D:$D=A1544) * (Facturas_Odoo!$K:$K=I1544), Facturas_Odoo!$O:$O, 0), 0))</f>
        <v/>
      </c>
      <c r="W1544" s="81">
        <f>IF(Q1544="Sin Factura",0,IFERROR(_xlfn.XLOOKUP(1, (Facturas_Odoo!$D:$D=A1544) * (Facturas_Odoo!$K:$K=I1544), Facturas_Odoo!$Q:$Q, 0), 0))</f>
        <v/>
      </c>
      <c r="X1544" s="79">
        <f>IF(OR(Q1544="Sin Factura",Q1544=""),"",IFERROR(INDEX(Pagos_Odoo!$B:$B, MATCH(Q1544, Pagos_Odoo!$I:$I, 0)), "Sin Pago"))</f>
        <v/>
      </c>
      <c r="Y1544" s="79">
        <f>IF(X1544="Sin Pago","",IFERROR(INDEX(Pagos_Odoo!$C:$C, MATCH(X1544, Pagos_Odoo!$B:$B, 0)), ""))</f>
        <v/>
      </c>
      <c r="Z1544" s="80">
        <f>IF(X1544="Sin Pago","",IFERROR(INDEX(Pagos_Odoo!$A:$A, MATCH(X1544, Pagos_Odoo!$B:$B, 0)), ""))</f>
        <v/>
      </c>
      <c r="AA1544" s="79">
        <f>IF(X1544="Sin Pago","",IFERROR(INDEX(Pagos_Odoo!$F:$F, MATCH(X1544, Pagos_Odoo!$B:$B, 0)), ""))</f>
        <v/>
      </c>
      <c r="AB1544" s="81">
        <f>IF(X1544="Sin Pago",0,IFERROR(INDEX(Pagos_Odoo!$E:$E, MATCH(X1544, Pagos_Odoo!$B:$B, 0)), 0))</f>
        <v/>
      </c>
      <c r="AC1544" s="79">
        <f>IF(X1544="Sin Pago","",IFERROR(INDEX(Pagos_Odoo!$G:$G, MATCH(X1544, Pagos_Odoo!$B:$B, 0)), ""))</f>
        <v/>
      </c>
      <c r="AD1544" s="82" t="n">
        <v>0</v>
      </c>
      <c r="AE1544" s="82" t="n"/>
      <c r="AF1544" s="82" t="n"/>
      <c r="AG1544" s="82">
        <f>IF(AN1544="","",AD1544+AE1544+AF1544)</f>
        <v/>
      </c>
      <c r="AH1544" s="81">
        <f>IF(AN1544="","",P1544*(1-AG1544))</f>
        <v/>
      </c>
      <c r="AI1544" s="81">
        <f>IF(AN1544="","",IF(Q1544="Sin Factura",0,IFERROR(INDEX(Facturas_Odoo!$H:$H, MATCH(Q1544, Facturas_Odoo!$B:$B, 0)), 0)*(1-AG1544)))</f>
        <v/>
      </c>
      <c r="AJ1544" s="81">
        <f>IF(AN1544="","",_xlfn.LET(idVenta, AN1544&amp;"",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44" s="81">
        <f>IF(AN1544="","",AH1544-AJ1544)</f>
        <v/>
      </c>
      <c r="AL1544" s="81">
        <f>IF(AN1544="","",IF(Q1544="Sin Factura","",AI1544-AJ1544))</f>
        <v/>
      </c>
      <c r="AM1544" s="81">
        <f>IF(AN1544="","",IF(Q1544="Sin Factura",0,P1544-IFERROR(INDEX(Facturas_Odoo!$H:$H, MATCH(Q1544, Facturas_Odoo!$B:$B, 0)), 0)))</f>
        <v/>
      </c>
      <c r="AN1544" s="79">
        <f>IF(AND(A1544="", J1544=""), "", IF(A1544&lt;&gt;"", VALUE(MID(A1544,2,LEN(A1544))), AN1543))</f>
        <v/>
      </c>
      <c r="AO1544" s="79">
        <f>IF(AN1544="","",IF(AD1544=0,"OK",_xlfn.LET(monedaPago, IF(AA1544="","USD",AA1544), limitePermitido, IFERROR(VLOOKUP(monedaPago, Configuración!$A$2:$B$3, 2, FALSE), 0.15), IF(AD1544&gt;limitePermitido, "ALERTA: EXCESO (" &amp; TEXT(limitePermitido, "0%") &amp; " máx)", "OK"))))</f>
        <v/>
      </c>
      <c r="AP1544" s="79">
        <f>IF(AN1544="","",IF(AE1544=0,"OK",_xlfn.LET(fechaPago, Z1544, fechaFactura, R1544, diasCredito, IF(E1544="Pago inmediato", 0, IFERROR(VALUE(MID(E1544, 1, SEARCH(" ", E1544)-1)),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44" s="79">
        <f>IF(AN1544="","",IF(AND(N1544&gt;0, AG1544&gt;0), IF(Configuración!$K$2="NO", "ALERTA: DESCUENTO DOBLE NO PERMITIDO", "OK"), "OK"))</f>
        <v/>
      </c>
      <c r="AR1544" s="79">
        <f>IF(AN1544="","",IF(OR(AO1544&lt;&gt;"OK", AP1544&lt;&gt;"OK", AQ1544&lt;&gt;"OK"), "⚠️ REVISAR", "OK"))</f>
        <v/>
      </c>
    </row>
    <row r="1545">
      <c r="A1545" s="79">
        <f>IF('Ordenes_Odoo'!A1545="","",'Ordenes_Odoo'!A1545)</f>
        <v/>
      </c>
      <c r="B1545" s="80">
        <f>IF('Ordenes_Odoo'!B1545="","",'Ordenes_Odoo'!B1545)</f>
        <v/>
      </c>
      <c r="C1545" s="79">
        <f>IF('Ordenes_Odoo'!C1545="","",'Ordenes_Odoo'!C1545)</f>
        <v/>
      </c>
      <c r="D1545" s="79">
        <f>IF('Ordenes_Odoo'!D1545="","",'Ordenes_Odoo'!D1545)</f>
        <v/>
      </c>
      <c r="E1545" s="79">
        <f>IF('Ordenes_Odoo'!E1545="","",'Ordenes_Odoo'!E1545)</f>
        <v/>
      </c>
      <c r="F1545" s="79">
        <f>IF('Ordenes_Odoo'!F1545="","",'Ordenes_Odoo'!F1545)</f>
        <v/>
      </c>
      <c r="G1545" s="79">
        <f>IF('Ordenes_Odoo'!G1545="","",'Ordenes_Odoo'!G1545)</f>
        <v/>
      </c>
      <c r="H1545" s="79">
        <f>IF('Ordenes_Odoo'!H1545="","",'Ordenes_Odoo'!H1545)</f>
        <v/>
      </c>
      <c r="I1545" s="79">
        <f>IF('Ordenes_Odoo'!I1545="","",'Ordenes_Odoo'!I1545)</f>
        <v/>
      </c>
      <c r="J1545" s="79">
        <f>IF('Ordenes_Odoo'!J1545="","",'Ordenes_Odoo'!J1545)</f>
        <v/>
      </c>
      <c r="K1545" s="81">
        <f>IF('Ordenes_Odoo'!K1545="","",'Ordenes_Odoo'!K1545)</f>
        <v/>
      </c>
      <c r="L1545" s="81">
        <f>IF('Ordenes_Odoo'!L1545="","",'Ordenes_Odoo'!L1545)</f>
        <v/>
      </c>
      <c r="M1545" s="79">
        <f>IF('Ordenes_Odoo'!M1545="","",'Ordenes_Odoo'!M1545)</f>
        <v/>
      </c>
      <c r="N1545" s="79">
        <f>IF('Ordenes_Odoo'!N1545="","",'Ordenes_Odoo'!N1545)</f>
        <v/>
      </c>
      <c r="O1545" s="81">
        <f>IF('Ordenes_Odoo'!O1545="","",'Ordenes_Odoo'!O1545)</f>
        <v/>
      </c>
      <c r="P1545" s="81">
        <f>IF('Ordenes_Odoo'!P1545="","",'Ordenes_Odoo'!P1545)</f>
        <v/>
      </c>
      <c r="Q1545" s="79">
        <f>IF(A1545="","",IFERROR(INDEX(Facturas_Odoo!$B:$B, MATCH(A1545, Facturas_Odoo!$D:$D, 0)), "Sin Factura"))</f>
        <v/>
      </c>
      <c r="R1545" s="80">
        <f>IF(Q1545="Sin Factura","",IFERROR(INDEX(Facturas_Odoo!$A:$A, MATCH(Q1545, Facturas_Odoo!$B:$B, 0)), ""))</f>
        <v/>
      </c>
      <c r="S1545" s="79">
        <f>IF(Q1545="Sin Factura","",IFERROR(_xlfn.XLOOKUP(1, (Facturas_Odoo!$D:$D=A1545) * (Facturas_Odoo!$K:$K=I1545), Facturas_Odoo!$L:$L, ""), ""))</f>
        <v/>
      </c>
      <c r="T1545" s="81">
        <f>IF(Q1545="Sin Factura",0,IFERROR(_xlfn.XLOOKUP(1, (Facturas_Odoo!$D:$D=A1545) * (Facturas_Odoo!$K:$K=I1545), Facturas_Odoo!$M:$M, 0), 0))</f>
        <v/>
      </c>
      <c r="U1545" s="79">
        <f>IF(Q1545="Sin Factura",0,IFERROR(_xlfn.XLOOKUP(1, (Facturas_Odoo!$D:$D=A1545) * (Facturas_Odoo!$K:$K=I1545), Facturas_Odoo!$N:$N, 0), 0))</f>
        <v/>
      </c>
      <c r="V1545" s="79">
        <f>IF(Q1545="Sin Factura",0,IFERROR(_xlfn.XLOOKUP(1, (Facturas_Odoo!$D:$D=A1545) * (Facturas_Odoo!$K:$K=I1545), Facturas_Odoo!$O:$O, 0), 0))</f>
        <v/>
      </c>
      <c r="W1545" s="81">
        <f>IF(Q1545="Sin Factura",0,IFERROR(_xlfn.XLOOKUP(1, (Facturas_Odoo!$D:$D=A1545) * (Facturas_Odoo!$K:$K=I1545), Facturas_Odoo!$Q:$Q, 0), 0))</f>
        <v/>
      </c>
      <c r="X1545" s="79">
        <f>IF(OR(Q1545="Sin Factura",Q1545=""),"",IFERROR(INDEX(Pagos_Odoo!$B:$B, MATCH(Q1545, Pagos_Odoo!$I:$I, 0)), "Sin Pago"))</f>
        <v/>
      </c>
      <c r="Y1545" s="79">
        <f>IF(X1545="Sin Pago","",IFERROR(INDEX(Pagos_Odoo!$C:$C, MATCH(X1545, Pagos_Odoo!$B:$B, 0)), ""))</f>
        <v/>
      </c>
      <c r="Z1545" s="80">
        <f>IF(X1545="Sin Pago","",IFERROR(INDEX(Pagos_Odoo!$A:$A, MATCH(X1545, Pagos_Odoo!$B:$B, 0)), ""))</f>
        <v/>
      </c>
      <c r="AA1545" s="79">
        <f>IF(X1545="Sin Pago","",IFERROR(INDEX(Pagos_Odoo!$F:$F, MATCH(X1545, Pagos_Odoo!$B:$B, 0)), ""))</f>
        <v/>
      </c>
      <c r="AB1545" s="81">
        <f>IF(X1545="Sin Pago",0,IFERROR(INDEX(Pagos_Odoo!$E:$E, MATCH(X1545, Pagos_Odoo!$B:$B, 0)), 0))</f>
        <v/>
      </c>
      <c r="AC1545" s="79">
        <f>IF(X1545="Sin Pago","",IFERROR(INDEX(Pagos_Odoo!$G:$G, MATCH(X1545, Pagos_Odoo!$B:$B, 0)), ""))</f>
        <v/>
      </c>
      <c r="AD1545" s="82" t="n">
        <v>0</v>
      </c>
      <c r="AE1545" s="82" t="n"/>
      <c r="AF1545" s="82" t="n"/>
      <c r="AG1545" s="82">
        <f>IF(AN1545="","",AD1545+AE1545+AF1545)</f>
        <v/>
      </c>
      <c r="AH1545" s="81">
        <f>IF(AN1545="","",P1545*(1-AG1545))</f>
        <v/>
      </c>
      <c r="AI1545" s="81">
        <f>IF(AN1545="","",IF(Q1545="Sin Factura",0,IFERROR(INDEX(Facturas_Odoo!$H:$H, MATCH(Q1545, Facturas_Odoo!$B:$B, 0)), 0)*(1-AG1545)))</f>
        <v/>
      </c>
      <c r="AJ1545" s="81">
        <f>IF(AN1545="","",_xlfn.LET(idVenta, AN1545&amp;"",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45" s="81">
        <f>IF(AN1545="","",AH1545-AJ1545)</f>
        <v/>
      </c>
      <c r="AL1545" s="81">
        <f>IF(AN1545="","",IF(Q1545="Sin Factura","",AI1545-AJ1545))</f>
        <v/>
      </c>
      <c r="AM1545" s="81">
        <f>IF(AN1545="","",IF(Q1545="Sin Factura",0,P1545-IFERROR(INDEX(Facturas_Odoo!$H:$H, MATCH(Q1545, Facturas_Odoo!$B:$B, 0)), 0)))</f>
        <v/>
      </c>
      <c r="AN1545" s="79">
        <f>IF(AND(A1545="", J1545=""), "", IF(A1545&lt;&gt;"", VALUE(MID(A1545,2,LEN(A1545))), AN1544))</f>
        <v/>
      </c>
      <c r="AO1545" s="79">
        <f>IF(AN1545="","",IF(AD1545=0,"OK",_xlfn.LET(monedaPago, IF(AA1545="","USD",AA1545), limitePermitido, IFERROR(VLOOKUP(monedaPago, Configuración!$A$2:$B$3, 2, FALSE), 0.15), IF(AD1545&gt;limitePermitido, "ALERTA: EXCESO (" &amp; TEXT(limitePermitido, "0%") &amp; " máx)", "OK"))))</f>
        <v/>
      </c>
      <c r="AP1545" s="79">
        <f>IF(AN1545="","",IF(AE1545=0,"OK",_xlfn.LET(fechaPago, Z1545, fechaFactura, R1545, diasCredito, IF(E1545="Pago inmediato", 0, IFERROR(VALUE(MID(E1545, 1, SEARCH(" ", E1545)-1)),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45" s="79">
        <f>IF(AN1545="","",IF(AND(N1545&gt;0, AG1545&gt;0), IF(Configuración!$K$2="NO", "ALERTA: DESCUENTO DOBLE NO PERMITIDO", "OK"), "OK"))</f>
        <v/>
      </c>
      <c r="AR1545" s="79">
        <f>IF(AN1545="","",IF(OR(AO1545&lt;&gt;"OK", AP1545&lt;&gt;"OK", AQ1545&lt;&gt;"OK"), "⚠️ REVISAR", "OK"))</f>
        <v/>
      </c>
    </row>
    <row r="1546">
      <c r="A1546" s="79">
        <f>IF('Ordenes_Odoo'!A1546="","",'Ordenes_Odoo'!A1546)</f>
        <v/>
      </c>
      <c r="B1546" s="80">
        <f>IF('Ordenes_Odoo'!B1546="","",'Ordenes_Odoo'!B1546)</f>
        <v/>
      </c>
      <c r="C1546" s="79">
        <f>IF('Ordenes_Odoo'!C1546="","",'Ordenes_Odoo'!C1546)</f>
        <v/>
      </c>
      <c r="D1546" s="79">
        <f>IF('Ordenes_Odoo'!D1546="","",'Ordenes_Odoo'!D1546)</f>
        <v/>
      </c>
      <c r="E1546" s="79">
        <f>IF('Ordenes_Odoo'!E1546="","",'Ordenes_Odoo'!E1546)</f>
        <v/>
      </c>
      <c r="F1546" s="79">
        <f>IF('Ordenes_Odoo'!F1546="","",'Ordenes_Odoo'!F1546)</f>
        <v/>
      </c>
      <c r="G1546" s="79">
        <f>IF('Ordenes_Odoo'!G1546="","",'Ordenes_Odoo'!G1546)</f>
        <v/>
      </c>
      <c r="H1546" s="79">
        <f>IF('Ordenes_Odoo'!H1546="","",'Ordenes_Odoo'!H1546)</f>
        <v/>
      </c>
      <c r="I1546" s="79">
        <f>IF('Ordenes_Odoo'!I1546="","",'Ordenes_Odoo'!I1546)</f>
        <v/>
      </c>
      <c r="J1546" s="79">
        <f>IF('Ordenes_Odoo'!J1546="","",'Ordenes_Odoo'!J1546)</f>
        <v/>
      </c>
      <c r="K1546" s="81">
        <f>IF('Ordenes_Odoo'!K1546="","",'Ordenes_Odoo'!K1546)</f>
        <v/>
      </c>
      <c r="L1546" s="81">
        <f>IF('Ordenes_Odoo'!L1546="","",'Ordenes_Odoo'!L1546)</f>
        <v/>
      </c>
      <c r="M1546" s="79">
        <f>IF('Ordenes_Odoo'!M1546="","",'Ordenes_Odoo'!M1546)</f>
        <v/>
      </c>
      <c r="N1546" s="79">
        <f>IF('Ordenes_Odoo'!N1546="","",'Ordenes_Odoo'!N1546)</f>
        <v/>
      </c>
      <c r="O1546" s="81">
        <f>IF('Ordenes_Odoo'!O1546="","",'Ordenes_Odoo'!O1546)</f>
        <v/>
      </c>
      <c r="P1546" s="81">
        <f>IF('Ordenes_Odoo'!P1546="","",'Ordenes_Odoo'!P1546)</f>
        <v/>
      </c>
      <c r="Q1546" s="79">
        <f>IF(A1546="","",IFERROR(INDEX(Facturas_Odoo!$B:$B, MATCH(A1546, Facturas_Odoo!$D:$D, 0)), "Sin Factura"))</f>
        <v/>
      </c>
      <c r="R1546" s="80">
        <f>IF(Q1546="Sin Factura","",IFERROR(INDEX(Facturas_Odoo!$A:$A, MATCH(Q1546, Facturas_Odoo!$B:$B, 0)), ""))</f>
        <v/>
      </c>
      <c r="S1546" s="79">
        <f>IF(Q1546="Sin Factura","",IFERROR(_xlfn.XLOOKUP(1, (Facturas_Odoo!$D:$D=A1546) * (Facturas_Odoo!$K:$K=I1546), Facturas_Odoo!$L:$L, ""), ""))</f>
        <v/>
      </c>
      <c r="T1546" s="81">
        <f>IF(Q1546="Sin Factura",0,IFERROR(_xlfn.XLOOKUP(1, (Facturas_Odoo!$D:$D=A1546) * (Facturas_Odoo!$K:$K=I1546), Facturas_Odoo!$M:$M, 0), 0))</f>
        <v/>
      </c>
      <c r="U1546" s="79">
        <f>IF(Q1546="Sin Factura",0,IFERROR(_xlfn.XLOOKUP(1, (Facturas_Odoo!$D:$D=A1546) * (Facturas_Odoo!$K:$K=I1546), Facturas_Odoo!$N:$N, 0), 0))</f>
        <v/>
      </c>
      <c r="V1546" s="79">
        <f>IF(Q1546="Sin Factura",0,IFERROR(_xlfn.XLOOKUP(1, (Facturas_Odoo!$D:$D=A1546) * (Facturas_Odoo!$K:$K=I1546), Facturas_Odoo!$O:$O, 0), 0))</f>
        <v/>
      </c>
      <c r="W1546" s="81">
        <f>IF(Q1546="Sin Factura",0,IFERROR(_xlfn.XLOOKUP(1, (Facturas_Odoo!$D:$D=A1546) * (Facturas_Odoo!$K:$K=I1546), Facturas_Odoo!$Q:$Q, 0), 0))</f>
        <v/>
      </c>
      <c r="X1546" s="79">
        <f>IF(OR(Q1546="Sin Factura",Q1546=""),"",IFERROR(INDEX(Pagos_Odoo!$B:$B, MATCH(Q1546, Pagos_Odoo!$I:$I, 0)), "Sin Pago"))</f>
        <v/>
      </c>
      <c r="Y1546" s="79">
        <f>IF(X1546="Sin Pago","",IFERROR(INDEX(Pagos_Odoo!$C:$C, MATCH(X1546, Pagos_Odoo!$B:$B, 0)), ""))</f>
        <v/>
      </c>
      <c r="Z1546" s="80">
        <f>IF(X1546="Sin Pago","",IFERROR(INDEX(Pagos_Odoo!$A:$A, MATCH(X1546, Pagos_Odoo!$B:$B, 0)), ""))</f>
        <v/>
      </c>
      <c r="AA1546" s="79">
        <f>IF(X1546="Sin Pago","",IFERROR(INDEX(Pagos_Odoo!$F:$F, MATCH(X1546, Pagos_Odoo!$B:$B, 0)), ""))</f>
        <v/>
      </c>
      <c r="AB1546" s="81">
        <f>IF(X1546="Sin Pago",0,IFERROR(INDEX(Pagos_Odoo!$E:$E, MATCH(X1546, Pagos_Odoo!$B:$B, 0)), 0))</f>
        <v/>
      </c>
      <c r="AC1546" s="79">
        <f>IF(X1546="Sin Pago","",IFERROR(INDEX(Pagos_Odoo!$G:$G, MATCH(X1546, Pagos_Odoo!$B:$B, 0)), ""))</f>
        <v/>
      </c>
      <c r="AD1546" s="82" t="n">
        <v>0</v>
      </c>
      <c r="AE1546" s="82" t="n"/>
      <c r="AF1546" s="82" t="n"/>
      <c r="AG1546" s="82">
        <f>IF(AN1546="","",AD1546+AE1546+AF1546)</f>
        <v/>
      </c>
      <c r="AH1546" s="81">
        <f>IF(AN1546="","",P1546*(1-AG1546))</f>
        <v/>
      </c>
      <c r="AI1546" s="81">
        <f>IF(AN1546="","",IF(Q1546="Sin Factura",0,IFERROR(INDEX(Facturas_Odoo!$H:$H, MATCH(Q1546, Facturas_Odoo!$B:$B, 0)), 0)*(1-AG1546)))</f>
        <v/>
      </c>
      <c r="AJ1546" s="81">
        <f>IF(AN1546="","",_xlfn.LET(idVenta, AN1546&amp;"",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46" s="81">
        <f>IF(AN1546="","",AH1546-AJ1546)</f>
        <v/>
      </c>
      <c r="AL1546" s="81">
        <f>IF(AN1546="","",IF(Q1546="Sin Factura","",AI1546-AJ1546))</f>
        <v/>
      </c>
      <c r="AM1546" s="81">
        <f>IF(AN1546="","",IF(Q1546="Sin Factura",0,P1546-IFERROR(INDEX(Facturas_Odoo!$H:$H, MATCH(Q1546, Facturas_Odoo!$B:$B, 0)), 0)))</f>
        <v/>
      </c>
      <c r="AN1546" s="79">
        <f>IF(AND(A1546="", J1546=""), "", IF(A1546&lt;&gt;"", VALUE(MID(A1546,2,LEN(A1546))), AN1545))</f>
        <v/>
      </c>
      <c r="AO1546" s="79">
        <f>IF(AN1546="","",IF(AD1546=0,"OK",_xlfn.LET(monedaPago, IF(AA1546="","USD",AA1546), limitePermitido, IFERROR(VLOOKUP(monedaPago, Configuración!$A$2:$B$3, 2, FALSE), 0.15), IF(AD1546&gt;limitePermitido, "ALERTA: EXCESO (" &amp; TEXT(limitePermitido, "0%") &amp; " máx)", "OK"))))</f>
        <v/>
      </c>
      <c r="AP1546" s="79">
        <f>IF(AN1546="","",IF(AE1546=0,"OK",_xlfn.LET(fechaPago, Z1546, fechaFactura, R1546, diasCredito, IF(E1546="Pago inmediato", 0, IFERROR(VALUE(MID(E1546, 1, SEARCH(" ", E1546)-1)),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46" s="79">
        <f>IF(AN1546="","",IF(AND(N1546&gt;0, AG1546&gt;0), IF(Configuración!$K$2="NO", "ALERTA: DESCUENTO DOBLE NO PERMITIDO", "OK"), "OK"))</f>
        <v/>
      </c>
      <c r="AR1546" s="79">
        <f>IF(AN1546="","",IF(OR(AO1546&lt;&gt;"OK", AP1546&lt;&gt;"OK", AQ1546&lt;&gt;"OK"), "⚠️ REVISAR", "OK"))</f>
        <v/>
      </c>
    </row>
    <row r="1547">
      <c r="A1547" s="79">
        <f>IF('Ordenes_Odoo'!A1547="","",'Ordenes_Odoo'!A1547)</f>
        <v/>
      </c>
      <c r="B1547" s="80">
        <f>IF('Ordenes_Odoo'!B1547="","",'Ordenes_Odoo'!B1547)</f>
        <v/>
      </c>
      <c r="C1547" s="79">
        <f>IF('Ordenes_Odoo'!C1547="","",'Ordenes_Odoo'!C1547)</f>
        <v/>
      </c>
      <c r="D1547" s="79">
        <f>IF('Ordenes_Odoo'!D1547="","",'Ordenes_Odoo'!D1547)</f>
        <v/>
      </c>
      <c r="E1547" s="79">
        <f>IF('Ordenes_Odoo'!E1547="","",'Ordenes_Odoo'!E1547)</f>
        <v/>
      </c>
      <c r="F1547" s="79">
        <f>IF('Ordenes_Odoo'!F1547="","",'Ordenes_Odoo'!F1547)</f>
        <v/>
      </c>
      <c r="G1547" s="79">
        <f>IF('Ordenes_Odoo'!G1547="","",'Ordenes_Odoo'!G1547)</f>
        <v/>
      </c>
      <c r="H1547" s="79">
        <f>IF('Ordenes_Odoo'!H1547="","",'Ordenes_Odoo'!H1547)</f>
        <v/>
      </c>
      <c r="I1547" s="79">
        <f>IF('Ordenes_Odoo'!I1547="","",'Ordenes_Odoo'!I1547)</f>
        <v/>
      </c>
      <c r="J1547" s="79">
        <f>IF('Ordenes_Odoo'!J1547="","",'Ordenes_Odoo'!J1547)</f>
        <v/>
      </c>
      <c r="K1547" s="81">
        <f>IF('Ordenes_Odoo'!K1547="","",'Ordenes_Odoo'!K1547)</f>
        <v/>
      </c>
      <c r="L1547" s="81">
        <f>IF('Ordenes_Odoo'!L1547="","",'Ordenes_Odoo'!L1547)</f>
        <v/>
      </c>
      <c r="M1547" s="79">
        <f>IF('Ordenes_Odoo'!M1547="","",'Ordenes_Odoo'!M1547)</f>
        <v/>
      </c>
      <c r="N1547" s="79">
        <f>IF('Ordenes_Odoo'!N1547="","",'Ordenes_Odoo'!N1547)</f>
        <v/>
      </c>
      <c r="O1547" s="81">
        <f>IF('Ordenes_Odoo'!O1547="","",'Ordenes_Odoo'!O1547)</f>
        <v/>
      </c>
      <c r="P1547" s="81">
        <f>IF('Ordenes_Odoo'!P1547="","",'Ordenes_Odoo'!P1547)</f>
        <v/>
      </c>
      <c r="Q1547" s="79">
        <f>IF(A1547="","",IFERROR(INDEX(Facturas_Odoo!$B:$B, MATCH(A1547, Facturas_Odoo!$D:$D, 0)), "Sin Factura"))</f>
        <v/>
      </c>
      <c r="R1547" s="80">
        <f>IF(Q1547="Sin Factura","",IFERROR(INDEX(Facturas_Odoo!$A:$A, MATCH(Q1547, Facturas_Odoo!$B:$B, 0)), ""))</f>
        <v/>
      </c>
      <c r="S1547" s="79">
        <f>IF(Q1547="Sin Factura","",IFERROR(_xlfn.XLOOKUP(1, (Facturas_Odoo!$D:$D=A1547) * (Facturas_Odoo!$K:$K=I1547), Facturas_Odoo!$L:$L, ""), ""))</f>
        <v/>
      </c>
      <c r="T1547" s="81">
        <f>IF(Q1547="Sin Factura",0,IFERROR(_xlfn.XLOOKUP(1, (Facturas_Odoo!$D:$D=A1547) * (Facturas_Odoo!$K:$K=I1547), Facturas_Odoo!$M:$M, 0), 0))</f>
        <v/>
      </c>
      <c r="U1547" s="79">
        <f>IF(Q1547="Sin Factura",0,IFERROR(_xlfn.XLOOKUP(1, (Facturas_Odoo!$D:$D=A1547) * (Facturas_Odoo!$K:$K=I1547), Facturas_Odoo!$N:$N, 0), 0))</f>
        <v/>
      </c>
      <c r="V1547" s="79">
        <f>IF(Q1547="Sin Factura",0,IFERROR(_xlfn.XLOOKUP(1, (Facturas_Odoo!$D:$D=A1547) * (Facturas_Odoo!$K:$K=I1547), Facturas_Odoo!$O:$O, 0), 0))</f>
        <v/>
      </c>
      <c r="W1547" s="81">
        <f>IF(Q1547="Sin Factura",0,IFERROR(_xlfn.XLOOKUP(1, (Facturas_Odoo!$D:$D=A1547) * (Facturas_Odoo!$K:$K=I1547), Facturas_Odoo!$Q:$Q, 0), 0))</f>
        <v/>
      </c>
      <c r="X1547" s="79">
        <f>IF(OR(Q1547="Sin Factura",Q1547=""),"",IFERROR(INDEX(Pagos_Odoo!$B:$B, MATCH(Q1547, Pagos_Odoo!$I:$I, 0)), "Sin Pago"))</f>
        <v/>
      </c>
      <c r="Y1547" s="79">
        <f>IF(X1547="Sin Pago","",IFERROR(INDEX(Pagos_Odoo!$C:$C, MATCH(X1547, Pagos_Odoo!$B:$B, 0)), ""))</f>
        <v/>
      </c>
      <c r="Z1547" s="80">
        <f>IF(X1547="Sin Pago","",IFERROR(INDEX(Pagos_Odoo!$A:$A, MATCH(X1547, Pagos_Odoo!$B:$B, 0)), ""))</f>
        <v/>
      </c>
      <c r="AA1547" s="79">
        <f>IF(X1547="Sin Pago","",IFERROR(INDEX(Pagos_Odoo!$F:$F, MATCH(X1547, Pagos_Odoo!$B:$B, 0)), ""))</f>
        <v/>
      </c>
      <c r="AB1547" s="81">
        <f>IF(X1547="Sin Pago",0,IFERROR(INDEX(Pagos_Odoo!$E:$E, MATCH(X1547, Pagos_Odoo!$B:$B, 0)), 0))</f>
        <v/>
      </c>
      <c r="AC1547" s="79">
        <f>IF(X1547="Sin Pago","",IFERROR(INDEX(Pagos_Odoo!$G:$G, MATCH(X1547, Pagos_Odoo!$B:$B, 0)), ""))</f>
        <v/>
      </c>
      <c r="AD1547" s="82" t="n">
        <v>0</v>
      </c>
      <c r="AE1547" s="82" t="n"/>
      <c r="AF1547" s="82" t="n"/>
      <c r="AG1547" s="82">
        <f>IF(AN1547="","",AD1547+AE1547+AF1547)</f>
        <v/>
      </c>
      <c r="AH1547" s="81">
        <f>IF(AN1547="","",P1547*(1-AG1547))</f>
        <v/>
      </c>
      <c r="AI1547" s="81">
        <f>IF(AN1547="","",IF(Q1547="Sin Factura",0,IFERROR(INDEX(Facturas_Odoo!$H:$H, MATCH(Q1547, Facturas_Odoo!$B:$B, 0)), 0)*(1-AG1547)))</f>
        <v/>
      </c>
      <c r="AJ1547" s="81">
        <f>IF(AN1547="","",_xlfn.LET(idVenta, AN1547&amp;"",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47" s="81">
        <f>IF(AN1547="","",AH1547-AJ1547)</f>
        <v/>
      </c>
      <c r="AL1547" s="81">
        <f>IF(AN1547="","",IF(Q1547="Sin Factura","",AI1547-AJ1547))</f>
        <v/>
      </c>
      <c r="AM1547" s="81">
        <f>IF(AN1547="","",IF(Q1547="Sin Factura",0,P1547-IFERROR(INDEX(Facturas_Odoo!$H:$H, MATCH(Q1547, Facturas_Odoo!$B:$B, 0)), 0)))</f>
        <v/>
      </c>
      <c r="AN1547" s="79">
        <f>IF(AND(A1547="", J1547=""), "", IF(A1547&lt;&gt;"", VALUE(MID(A1547,2,LEN(A1547))), AN1546))</f>
        <v/>
      </c>
      <c r="AO1547" s="79">
        <f>IF(AN1547="","",IF(AD1547=0,"OK",_xlfn.LET(monedaPago, IF(AA1547="","USD",AA1547), limitePermitido, IFERROR(VLOOKUP(monedaPago, Configuración!$A$2:$B$3, 2, FALSE), 0.15), IF(AD1547&gt;limitePermitido, "ALERTA: EXCESO (" &amp; TEXT(limitePermitido, "0%") &amp; " máx)", "OK"))))</f>
        <v/>
      </c>
      <c r="AP1547" s="79">
        <f>IF(AN1547="","",IF(AE1547=0,"OK",_xlfn.LET(fechaPago, Z1547, fechaFactura, R1547, diasCredito, IF(E1547="Pago inmediato", 0, IFERROR(VALUE(MID(E1547, 1, SEARCH(" ", E1547)-1)),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47" s="79">
        <f>IF(AN1547="","",IF(AND(N1547&gt;0, AG1547&gt;0), IF(Configuración!$K$2="NO", "ALERTA: DESCUENTO DOBLE NO PERMITIDO", "OK"), "OK"))</f>
        <v/>
      </c>
      <c r="AR1547" s="79">
        <f>IF(AN1547="","",IF(OR(AO1547&lt;&gt;"OK", AP1547&lt;&gt;"OK", AQ1547&lt;&gt;"OK"), "⚠️ REVISAR", "OK"))</f>
        <v/>
      </c>
    </row>
    <row r="1548">
      <c r="A1548" s="79">
        <f>IF('Ordenes_Odoo'!A1548="","",'Ordenes_Odoo'!A1548)</f>
        <v/>
      </c>
      <c r="B1548" s="80">
        <f>IF('Ordenes_Odoo'!B1548="","",'Ordenes_Odoo'!B1548)</f>
        <v/>
      </c>
      <c r="C1548" s="79">
        <f>IF('Ordenes_Odoo'!C1548="","",'Ordenes_Odoo'!C1548)</f>
        <v/>
      </c>
      <c r="D1548" s="79">
        <f>IF('Ordenes_Odoo'!D1548="","",'Ordenes_Odoo'!D1548)</f>
        <v/>
      </c>
      <c r="E1548" s="79">
        <f>IF('Ordenes_Odoo'!E1548="","",'Ordenes_Odoo'!E1548)</f>
        <v/>
      </c>
      <c r="F1548" s="79">
        <f>IF('Ordenes_Odoo'!F1548="","",'Ordenes_Odoo'!F1548)</f>
        <v/>
      </c>
      <c r="G1548" s="79">
        <f>IF('Ordenes_Odoo'!G1548="","",'Ordenes_Odoo'!G1548)</f>
        <v/>
      </c>
      <c r="H1548" s="79">
        <f>IF('Ordenes_Odoo'!H1548="","",'Ordenes_Odoo'!H1548)</f>
        <v/>
      </c>
      <c r="I1548" s="79">
        <f>IF('Ordenes_Odoo'!I1548="","",'Ordenes_Odoo'!I1548)</f>
        <v/>
      </c>
      <c r="J1548" s="79">
        <f>IF('Ordenes_Odoo'!J1548="","",'Ordenes_Odoo'!J1548)</f>
        <v/>
      </c>
      <c r="K1548" s="81">
        <f>IF('Ordenes_Odoo'!K1548="","",'Ordenes_Odoo'!K1548)</f>
        <v/>
      </c>
      <c r="L1548" s="81">
        <f>IF('Ordenes_Odoo'!L1548="","",'Ordenes_Odoo'!L1548)</f>
        <v/>
      </c>
      <c r="M1548" s="79">
        <f>IF('Ordenes_Odoo'!M1548="","",'Ordenes_Odoo'!M1548)</f>
        <v/>
      </c>
      <c r="N1548" s="79">
        <f>IF('Ordenes_Odoo'!N1548="","",'Ordenes_Odoo'!N1548)</f>
        <v/>
      </c>
      <c r="O1548" s="81">
        <f>IF('Ordenes_Odoo'!O1548="","",'Ordenes_Odoo'!O1548)</f>
        <v/>
      </c>
      <c r="P1548" s="81">
        <f>IF('Ordenes_Odoo'!P1548="","",'Ordenes_Odoo'!P1548)</f>
        <v/>
      </c>
      <c r="Q1548" s="79">
        <f>IF(A1548="","",IFERROR(INDEX(Facturas_Odoo!$B:$B, MATCH(A1548, Facturas_Odoo!$D:$D, 0)), "Sin Factura"))</f>
        <v/>
      </c>
      <c r="R1548" s="80">
        <f>IF(Q1548="Sin Factura","",IFERROR(INDEX(Facturas_Odoo!$A:$A, MATCH(Q1548, Facturas_Odoo!$B:$B, 0)), ""))</f>
        <v/>
      </c>
      <c r="S1548" s="79">
        <f>IF(Q1548="Sin Factura","",IFERROR(_xlfn.XLOOKUP(1, (Facturas_Odoo!$D:$D=A1548) * (Facturas_Odoo!$K:$K=I1548), Facturas_Odoo!$L:$L, ""), ""))</f>
        <v/>
      </c>
      <c r="T1548" s="81">
        <f>IF(Q1548="Sin Factura",0,IFERROR(_xlfn.XLOOKUP(1, (Facturas_Odoo!$D:$D=A1548) * (Facturas_Odoo!$K:$K=I1548), Facturas_Odoo!$M:$M, 0), 0))</f>
        <v/>
      </c>
      <c r="U1548" s="79">
        <f>IF(Q1548="Sin Factura",0,IFERROR(_xlfn.XLOOKUP(1, (Facturas_Odoo!$D:$D=A1548) * (Facturas_Odoo!$K:$K=I1548), Facturas_Odoo!$N:$N, 0), 0))</f>
        <v/>
      </c>
      <c r="V1548" s="79">
        <f>IF(Q1548="Sin Factura",0,IFERROR(_xlfn.XLOOKUP(1, (Facturas_Odoo!$D:$D=A1548) * (Facturas_Odoo!$K:$K=I1548), Facturas_Odoo!$O:$O, 0), 0))</f>
        <v/>
      </c>
      <c r="W1548" s="81">
        <f>IF(Q1548="Sin Factura",0,IFERROR(_xlfn.XLOOKUP(1, (Facturas_Odoo!$D:$D=A1548) * (Facturas_Odoo!$K:$K=I1548), Facturas_Odoo!$Q:$Q, 0), 0))</f>
        <v/>
      </c>
      <c r="X1548" s="79">
        <f>IF(OR(Q1548="Sin Factura",Q1548=""),"",IFERROR(INDEX(Pagos_Odoo!$B:$B, MATCH(Q1548, Pagos_Odoo!$I:$I, 0)), "Sin Pago"))</f>
        <v/>
      </c>
      <c r="Y1548" s="79">
        <f>IF(X1548="Sin Pago","",IFERROR(INDEX(Pagos_Odoo!$C:$C, MATCH(X1548, Pagos_Odoo!$B:$B, 0)), ""))</f>
        <v/>
      </c>
      <c r="Z1548" s="80">
        <f>IF(X1548="Sin Pago","",IFERROR(INDEX(Pagos_Odoo!$A:$A, MATCH(X1548, Pagos_Odoo!$B:$B, 0)), ""))</f>
        <v/>
      </c>
      <c r="AA1548" s="79">
        <f>IF(X1548="Sin Pago","",IFERROR(INDEX(Pagos_Odoo!$F:$F, MATCH(X1548, Pagos_Odoo!$B:$B, 0)), ""))</f>
        <v/>
      </c>
      <c r="AB1548" s="81">
        <f>IF(X1548="Sin Pago",0,IFERROR(INDEX(Pagos_Odoo!$E:$E, MATCH(X1548, Pagos_Odoo!$B:$B, 0)), 0))</f>
        <v/>
      </c>
      <c r="AC1548" s="79">
        <f>IF(X1548="Sin Pago","",IFERROR(INDEX(Pagos_Odoo!$G:$G, MATCH(X1548, Pagos_Odoo!$B:$B, 0)), ""))</f>
        <v/>
      </c>
      <c r="AD1548" s="82" t="n">
        <v>0</v>
      </c>
      <c r="AE1548" s="82" t="n"/>
      <c r="AF1548" s="82" t="n"/>
      <c r="AG1548" s="82">
        <f>IF(AN1548="","",AD1548+AE1548+AF1548)</f>
        <v/>
      </c>
      <c r="AH1548" s="81">
        <f>IF(AN1548="","",P1548*(1-AG1548))</f>
        <v/>
      </c>
      <c r="AI1548" s="81">
        <f>IF(AN1548="","",IF(Q1548="Sin Factura",0,IFERROR(INDEX(Facturas_Odoo!$H:$H, MATCH(Q1548, Facturas_Odoo!$B:$B, 0)), 0)*(1-AG1548)))</f>
        <v/>
      </c>
      <c r="AJ1548" s="81">
        <f>IF(AN1548="","",_xlfn.LET(idVenta, AN1548&amp;"",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48" s="81">
        <f>IF(AN1548="","",AH1548-AJ1548)</f>
        <v/>
      </c>
      <c r="AL1548" s="81">
        <f>IF(AN1548="","",IF(Q1548="Sin Factura","",AI1548-AJ1548))</f>
        <v/>
      </c>
      <c r="AM1548" s="81">
        <f>IF(AN1548="","",IF(Q1548="Sin Factura",0,P1548-IFERROR(INDEX(Facturas_Odoo!$H:$H, MATCH(Q1548, Facturas_Odoo!$B:$B, 0)), 0)))</f>
        <v/>
      </c>
      <c r="AN1548" s="79">
        <f>IF(AND(A1548="", J1548=""), "", IF(A1548&lt;&gt;"", VALUE(MID(A1548,2,LEN(A1548))), AN1547))</f>
        <v/>
      </c>
      <c r="AO1548" s="79">
        <f>IF(AN1548="","",IF(AD1548=0,"OK",_xlfn.LET(monedaPago, IF(AA1548="","USD",AA1548), limitePermitido, IFERROR(VLOOKUP(monedaPago, Configuración!$A$2:$B$3, 2, FALSE), 0.15), IF(AD1548&gt;limitePermitido, "ALERTA: EXCESO (" &amp; TEXT(limitePermitido, "0%") &amp; " máx)", "OK"))))</f>
        <v/>
      </c>
      <c r="AP1548" s="79">
        <f>IF(AN1548="","",IF(AE1548=0,"OK",_xlfn.LET(fechaPago, Z1548, fechaFactura, R1548, diasCredito, IF(E1548="Pago inmediato", 0, IFERROR(VALUE(MID(E1548, 1, SEARCH(" ", E1548)-1)),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48" s="79">
        <f>IF(AN1548="","",IF(AND(N1548&gt;0, AG1548&gt;0), IF(Configuración!$K$2="NO", "ALERTA: DESCUENTO DOBLE NO PERMITIDO", "OK"), "OK"))</f>
        <v/>
      </c>
      <c r="AR1548" s="79">
        <f>IF(AN1548="","",IF(OR(AO1548&lt;&gt;"OK", AP1548&lt;&gt;"OK", AQ1548&lt;&gt;"OK"), "⚠️ REVISAR", "OK"))</f>
        <v/>
      </c>
    </row>
    <row r="1549">
      <c r="A1549" s="79">
        <f>IF('Ordenes_Odoo'!A1549="","",'Ordenes_Odoo'!A1549)</f>
        <v/>
      </c>
      <c r="B1549" s="80">
        <f>IF('Ordenes_Odoo'!B1549="","",'Ordenes_Odoo'!B1549)</f>
        <v/>
      </c>
      <c r="C1549" s="79">
        <f>IF('Ordenes_Odoo'!C1549="","",'Ordenes_Odoo'!C1549)</f>
        <v/>
      </c>
      <c r="D1549" s="79">
        <f>IF('Ordenes_Odoo'!D1549="","",'Ordenes_Odoo'!D1549)</f>
        <v/>
      </c>
      <c r="E1549" s="79">
        <f>IF('Ordenes_Odoo'!E1549="","",'Ordenes_Odoo'!E1549)</f>
        <v/>
      </c>
      <c r="F1549" s="79">
        <f>IF('Ordenes_Odoo'!F1549="","",'Ordenes_Odoo'!F1549)</f>
        <v/>
      </c>
      <c r="G1549" s="79">
        <f>IF('Ordenes_Odoo'!G1549="","",'Ordenes_Odoo'!G1549)</f>
        <v/>
      </c>
      <c r="H1549" s="79">
        <f>IF('Ordenes_Odoo'!H1549="","",'Ordenes_Odoo'!H1549)</f>
        <v/>
      </c>
      <c r="I1549" s="79">
        <f>IF('Ordenes_Odoo'!I1549="","",'Ordenes_Odoo'!I1549)</f>
        <v/>
      </c>
      <c r="J1549" s="79">
        <f>IF('Ordenes_Odoo'!J1549="","",'Ordenes_Odoo'!J1549)</f>
        <v/>
      </c>
      <c r="K1549" s="81">
        <f>IF('Ordenes_Odoo'!K1549="","",'Ordenes_Odoo'!K1549)</f>
        <v/>
      </c>
      <c r="L1549" s="81">
        <f>IF('Ordenes_Odoo'!L1549="","",'Ordenes_Odoo'!L1549)</f>
        <v/>
      </c>
      <c r="M1549" s="79">
        <f>IF('Ordenes_Odoo'!M1549="","",'Ordenes_Odoo'!M1549)</f>
        <v/>
      </c>
      <c r="N1549" s="79">
        <f>IF('Ordenes_Odoo'!N1549="","",'Ordenes_Odoo'!N1549)</f>
        <v/>
      </c>
      <c r="O1549" s="81">
        <f>IF('Ordenes_Odoo'!O1549="","",'Ordenes_Odoo'!O1549)</f>
        <v/>
      </c>
      <c r="P1549" s="81">
        <f>IF('Ordenes_Odoo'!P1549="","",'Ordenes_Odoo'!P1549)</f>
        <v/>
      </c>
      <c r="Q1549" s="79">
        <f>IF(A1549="","",IFERROR(INDEX(Facturas_Odoo!$B:$B, MATCH(A1549, Facturas_Odoo!$D:$D, 0)), "Sin Factura"))</f>
        <v/>
      </c>
      <c r="R1549" s="80">
        <f>IF(Q1549="Sin Factura","",IFERROR(INDEX(Facturas_Odoo!$A:$A, MATCH(Q1549, Facturas_Odoo!$B:$B, 0)), ""))</f>
        <v/>
      </c>
      <c r="S1549" s="79">
        <f>IF(Q1549="Sin Factura","",IFERROR(_xlfn.XLOOKUP(1, (Facturas_Odoo!$D:$D=A1549) * (Facturas_Odoo!$K:$K=I1549), Facturas_Odoo!$L:$L, ""), ""))</f>
        <v/>
      </c>
      <c r="T1549" s="81">
        <f>IF(Q1549="Sin Factura",0,IFERROR(_xlfn.XLOOKUP(1, (Facturas_Odoo!$D:$D=A1549) * (Facturas_Odoo!$K:$K=I1549), Facturas_Odoo!$M:$M, 0), 0))</f>
        <v/>
      </c>
      <c r="U1549" s="79">
        <f>IF(Q1549="Sin Factura",0,IFERROR(_xlfn.XLOOKUP(1, (Facturas_Odoo!$D:$D=A1549) * (Facturas_Odoo!$K:$K=I1549), Facturas_Odoo!$N:$N, 0), 0))</f>
        <v/>
      </c>
      <c r="V1549" s="79">
        <f>IF(Q1549="Sin Factura",0,IFERROR(_xlfn.XLOOKUP(1, (Facturas_Odoo!$D:$D=A1549) * (Facturas_Odoo!$K:$K=I1549), Facturas_Odoo!$O:$O, 0), 0))</f>
        <v/>
      </c>
      <c r="W1549" s="81">
        <f>IF(Q1549="Sin Factura",0,IFERROR(_xlfn.XLOOKUP(1, (Facturas_Odoo!$D:$D=A1549) * (Facturas_Odoo!$K:$K=I1549), Facturas_Odoo!$Q:$Q, 0), 0))</f>
        <v/>
      </c>
      <c r="X1549" s="79">
        <f>IF(OR(Q1549="Sin Factura",Q1549=""),"",IFERROR(INDEX(Pagos_Odoo!$B:$B, MATCH(Q1549, Pagos_Odoo!$I:$I, 0)), "Sin Pago"))</f>
        <v/>
      </c>
      <c r="Y1549" s="79">
        <f>IF(X1549="Sin Pago","",IFERROR(INDEX(Pagos_Odoo!$C:$C, MATCH(X1549, Pagos_Odoo!$B:$B, 0)), ""))</f>
        <v/>
      </c>
      <c r="Z1549" s="80">
        <f>IF(X1549="Sin Pago","",IFERROR(INDEX(Pagos_Odoo!$A:$A, MATCH(X1549, Pagos_Odoo!$B:$B, 0)), ""))</f>
        <v/>
      </c>
      <c r="AA1549" s="79">
        <f>IF(X1549="Sin Pago","",IFERROR(INDEX(Pagos_Odoo!$F:$F, MATCH(X1549, Pagos_Odoo!$B:$B, 0)), ""))</f>
        <v/>
      </c>
      <c r="AB1549" s="81">
        <f>IF(X1549="Sin Pago",0,IFERROR(INDEX(Pagos_Odoo!$E:$E, MATCH(X1549, Pagos_Odoo!$B:$B, 0)), 0))</f>
        <v/>
      </c>
      <c r="AC1549" s="79">
        <f>IF(X1549="Sin Pago","",IFERROR(INDEX(Pagos_Odoo!$G:$G, MATCH(X1549, Pagos_Odoo!$B:$B, 0)), ""))</f>
        <v/>
      </c>
      <c r="AD1549" s="82" t="n">
        <v>0</v>
      </c>
      <c r="AE1549" s="82" t="n"/>
      <c r="AF1549" s="82" t="n"/>
      <c r="AG1549" s="82">
        <f>IF(AN1549="","",AD1549+AE1549+AF1549)</f>
        <v/>
      </c>
      <c r="AH1549" s="81">
        <f>IF(AN1549="","",P1549*(1-AG1549))</f>
        <v/>
      </c>
      <c r="AI1549" s="81">
        <f>IF(AN1549="","",IF(Q1549="Sin Factura",0,IFERROR(INDEX(Facturas_Odoo!$H:$H, MATCH(Q1549, Facturas_Odoo!$B:$B, 0)), 0)*(1-AG1549)))</f>
        <v/>
      </c>
      <c r="AJ1549" s="81">
        <f>IF(AN1549="","",_xlfn.LET(idVenta, AN1549&amp;"",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49" s="81">
        <f>IF(AN1549="","",AH1549-AJ1549)</f>
        <v/>
      </c>
      <c r="AL1549" s="81">
        <f>IF(AN1549="","",IF(Q1549="Sin Factura","",AI1549-AJ1549))</f>
        <v/>
      </c>
      <c r="AM1549" s="81">
        <f>IF(AN1549="","",IF(Q1549="Sin Factura",0,P1549-IFERROR(INDEX(Facturas_Odoo!$H:$H, MATCH(Q1549, Facturas_Odoo!$B:$B, 0)), 0)))</f>
        <v/>
      </c>
      <c r="AN1549" s="79">
        <f>IF(AND(A1549="", J1549=""), "", IF(A1549&lt;&gt;"", VALUE(MID(A1549,2,LEN(A1549))), AN1548))</f>
        <v/>
      </c>
      <c r="AO1549" s="79">
        <f>IF(AN1549="","",IF(AD1549=0,"OK",_xlfn.LET(monedaPago, IF(AA1549="","USD",AA1549), limitePermitido, IFERROR(VLOOKUP(monedaPago, Configuración!$A$2:$B$3, 2, FALSE), 0.15), IF(AD1549&gt;limitePermitido, "ALERTA: EXCESO (" &amp; TEXT(limitePermitido, "0%") &amp; " máx)", "OK"))))</f>
        <v/>
      </c>
      <c r="AP1549" s="79">
        <f>IF(AN1549="","",IF(AE1549=0,"OK",_xlfn.LET(fechaPago, Z1549, fechaFactura, R1549, diasCredito, IF(E1549="Pago inmediato", 0, IFERROR(VALUE(MID(E1549, 1, SEARCH(" ", E1549)-1)),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49" s="79">
        <f>IF(AN1549="","",IF(AND(N1549&gt;0, AG1549&gt;0), IF(Configuración!$K$2="NO", "ALERTA: DESCUENTO DOBLE NO PERMITIDO", "OK"), "OK"))</f>
        <v/>
      </c>
      <c r="AR1549" s="79">
        <f>IF(AN1549="","",IF(OR(AO1549&lt;&gt;"OK", AP1549&lt;&gt;"OK", AQ1549&lt;&gt;"OK"), "⚠️ REVISAR", "OK"))</f>
        <v/>
      </c>
    </row>
    <row r="1550">
      <c r="A1550" s="79">
        <f>IF('Ordenes_Odoo'!A1550="","",'Ordenes_Odoo'!A1550)</f>
        <v/>
      </c>
      <c r="B1550" s="80">
        <f>IF('Ordenes_Odoo'!B1550="","",'Ordenes_Odoo'!B1550)</f>
        <v/>
      </c>
      <c r="C1550" s="79">
        <f>IF('Ordenes_Odoo'!C1550="","",'Ordenes_Odoo'!C1550)</f>
        <v/>
      </c>
      <c r="D1550" s="79">
        <f>IF('Ordenes_Odoo'!D1550="","",'Ordenes_Odoo'!D1550)</f>
        <v/>
      </c>
      <c r="E1550" s="79">
        <f>IF('Ordenes_Odoo'!E1550="","",'Ordenes_Odoo'!E1550)</f>
        <v/>
      </c>
      <c r="F1550" s="79">
        <f>IF('Ordenes_Odoo'!F1550="","",'Ordenes_Odoo'!F1550)</f>
        <v/>
      </c>
      <c r="G1550" s="79">
        <f>IF('Ordenes_Odoo'!G1550="","",'Ordenes_Odoo'!G1550)</f>
        <v/>
      </c>
      <c r="H1550" s="79">
        <f>IF('Ordenes_Odoo'!H1550="","",'Ordenes_Odoo'!H1550)</f>
        <v/>
      </c>
      <c r="I1550" s="79">
        <f>IF('Ordenes_Odoo'!I1550="","",'Ordenes_Odoo'!I1550)</f>
        <v/>
      </c>
      <c r="J1550" s="79">
        <f>IF('Ordenes_Odoo'!J1550="","",'Ordenes_Odoo'!J1550)</f>
        <v/>
      </c>
      <c r="K1550" s="81">
        <f>IF('Ordenes_Odoo'!K1550="","",'Ordenes_Odoo'!K1550)</f>
        <v/>
      </c>
      <c r="L1550" s="81">
        <f>IF('Ordenes_Odoo'!L1550="","",'Ordenes_Odoo'!L1550)</f>
        <v/>
      </c>
      <c r="M1550" s="79">
        <f>IF('Ordenes_Odoo'!M1550="","",'Ordenes_Odoo'!M1550)</f>
        <v/>
      </c>
      <c r="N1550" s="79">
        <f>IF('Ordenes_Odoo'!N1550="","",'Ordenes_Odoo'!N1550)</f>
        <v/>
      </c>
      <c r="O1550" s="81">
        <f>IF('Ordenes_Odoo'!O1550="","",'Ordenes_Odoo'!O1550)</f>
        <v/>
      </c>
      <c r="P1550" s="81">
        <f>IF('Ordenes_Odoo'!P1550="","",'Ordenes_Odoo'!P1550)</f>
        <v/>
      </c>
      <c r="Q1550" s="79">
        <f>IF(A1550="","",IFERROR(INDEX(Facturas_Odoo!$B:$B, MATCH(A1550, Facturas_Odoo!$D:$D, 0)), "Sin Factura"))</f>
        <v/>
      </c>
      <c r="R1550" s="80">
        <f>IF(Q1550="Sin Factura","",IFERROR(INDEX(Facturas_Odoo!$A:$A, MATCH(Q1550, Facturas_Odoo!$B:$B, 0)), ""))</f>
        <v/>
      </c>
      <c r="S1550" s="79">
        <f>IF(Q1550="Sin Factura","",IFERROR(_xlfn.XLOOKUP(1, (Facturas_Odoo!$D:$D=A1550) * (Facturas_Odoo!$K:$K=I1550), Facturas_Odoo!$L:$L, ""), ""))</f>
        <v/>
      </c>
      <c r="T1550" s="81">
        <f>IF(Q1550="Sin Factura",0,IFERROR(_xlfn.XLOOKUP(1, (Facturas_Odoo!$D:$D=A1550) * (Facturas_Odoo!$K:$K=I1550), Facturas_Odoo!$M:$M, 0), 0))</f>
        <v/>
      </c>
      <c r="U1550" s="79">
        <f>IF(Q1550="Sin Factura",0,IFERROR(_xlfn.XLOOKUP(1, (Facturas_Odoo!$D:$D=A1550) * (Facturas_Odoo!$K:$K=I1550), Facturas_Odoo!$N:$N, 0), 0))</f>
        <v/>
      </c>
      <c r="V1550" s="79">
        <f>IF(Q1550="Sin Factura",0,IFERROR(_xlfn.XLOOKUP(1, (Facturas_Odoo!$D:$D=A1550) * (Facturas_Odoo!$K:$K=I1550), Facturas_Odoo!$O:$O, 0), 0))</f>
        <v/>
      </c>
      <c r="W1550" s="81">
        <f>IF(Q1550="Sin Factura",0,IFERROR(_xlfn.XLOOKUP(1, (Facturas_Odoo!$D:$D=A1550) * (Facturas_Odoo!$K:$K=I1550), Facturas_Odoo!$Q:$Q, 0), 0))</f>
        <v/>
      </c>
      <c r="X1550" s="79">
        <f>IF(OR(Q1550="Sin Factura",Q1550=""),"",IFERROR(INDEX(Pagos_Odoo!$B:$B, MATCH(Q1550, Pagos_Odoo!$I:$I, 0)), "Sin Pago"))</f>
        <v/>
      </c>
      <c r="Y1550" s="79">
        <f>IF(X1550="Sin Pago","",IFERROR(INDEX(Pagos_Odoo!$C:$C, MATCH(X1550, Pagos_Odoo!$B:$B, 0)), ""))</f>
        <v/>
      </c>
      <c r="Z1550" s="80">
        <f>IF(X1550="Sin Pago","",IFERROR(INDEX(Pagos_Odoo!$A:$A, MATCH(X1550, Pagos_Odoo!$B:$B, 0)), ""))</f>
        <v/>
      </c>
      <c r="AA1550" s="79">
        <f>IF(X1550="Sin Pago","",IFERROR(INDEX(Pagos_Odoo!$F:$F, MATCH(X1550, Pagos_Odoo!$B:$B, 0)), ""))</f>
        <v/>
      </c>
      <c r="AB1550" s="81">
        <f>IF(X1550="Sin Pago",0,IFERROR(INDEX(Pagos_Odoo!$E:$E, MATCH(X1550, Pagos_Odoo!$B:$B, 0)), 0))</f>
        <v/>
      </c>
      <c r="AC1550" s="79">
        <f>IF(X1550="Sin Pago","",IFERROR(INDEX(Pagos_Odoo!$G:$G, MATCH(X1550, Pagos_Odoo!$B:$B, 0)), ""))</f>
        <v/>
      </c>
      <c r="AD1550" s="82" t="n">
        <v>0</v>
      </c>
      <c r="AE1550" s="82" t="n"/>
      <c r="AF1550" s="82" t="n"/>
      <c r="AG1550" s="82">
        <f>IF(AN1550="","",AD1550+AE1550+AF1550)</f>
        <v/>
      </c>
      <c r="AH1550" s="81">
        <f>IF(AN1550="","",P1550*(1-AG1550))</f>
        <v/>
      </c>
      <c r="AI1550" s="81">
        <f>IF(AN1550="","",IF(Q1550="Sin Factura",0,IFERROR(INDEX(Facturas_Odoo!$H:$H, MATCH(Q1550, Facturas_Odoo!$B:$B, 0)), 0)*(1-AG1550)))</f>
        <v/>
      </c>
      <c r="AJ1550" s="81">
        <f>IF(AN1550="","",_xlfn.LET(idVenta, AN1550&amp;"",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50" s="81">
        <f>IF(AN1550="","",AH1550-AJ1550)</f>
        <v/>
      </c>
      <c r="AL1550" s="81">
        <f>IF(AN1550="","",IF(Q1550="Sin Factura","",AI1550-AJ1550))</f>
        <v/>
      </c>
      <c r="AM1550" s="81">
        <f>IF(AN1550="","",IF(Q1550="Sin Factura",0,P1550-IFERROR(INDEX(Facturas_Odoo!$H:$H, MATCH(Q1550, Facturas_Odoo!$B:$B, 0)), 0)))</f>
        <v/>
      </c>
      <c r="AN1550" s="79">
        <f>IF(AND(A1550="", J1550=""), "", IF(A1550&lt;&gt;"", VALUE(MID(A1550,2,LEN(A1550))), AN1549))</f>
        <v/>
      </c>
      <c r="AO1550" s="79">
        <f>IF(AN1550="","",IF(AD1550=0,"OK",_xlfn.LET(monedaPago, IF(AA1550="","USD",AA1550), limitePermitido, IFERROR(VLOOKUP(monedaPago, Configuración!$A$2:$B$3, 2, FALSE), 0.15), IF(AD1550&gt;limitePermitido, "ALERTA: EXCESO (" &amp; TEXT(limitePermitido, "0%") &amp; " máx)", "OK"))))</f>
        <v/>
      </c>
      <c r="AP1550" s="79">
        <f>IF(AN1550="","",IF(AE1550=0,"OK",_xlfn.LET(fechaPago, Z1550, fechaFactura, R1550, diasCredito, IF(E1550="Pago inmediato", 0, IFERROR(VALUE(MID(E1550, 1, SEARCH(" ", E1550)-1)),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50" s="79">
        <f>IF(AN1550="","",IF(AND(N1550&gt;0, AG1550&gt;0), IF(Configuración!$K$2="NO", "ALERTA: DESCUENTO DOBLE NO PERMITIDO", "OK"), "OK"))</f>
        <v/>
      </c>
      <c r="AR1550" s="79">
        <f>IF(AN1550="","",IF(OR(AO1550&lt;&gt;"OK", AP1550&lt;&gt;"OK", AQ1550&lt;&gt;"OK"), "⚠️ REVISAR", "OK"))</f>
        <v/>
      </c>
    </row>
    <row r="1551">
      <c r="A1551" s="79">
        <f>IF('Ordenes_Odoo'!A1551="","",'Ordenes_Odoo'!A1551)</f>
        <v/>
      </c>
      <c r="B1551" s="80">
        <f>IF('Ordenes_Odoo'!B1551="","",'Ordenes_Odoo'!B1551)</f>
        <v/>
      </c>
      <c r="C1551" s="79">
        <f>IF('Ordenes_Odoo'!C1551="","",'Ordenes_Odoo'!C1551)</f>
        <v/>
      </c>
      <c r="D1551" s="79">
        <f>IF('Ordenes_Odoo'!D1551="","",'Ordenes_Odoo'!D1551)</f>
        <v/>
      </c>
      <c r="E1551" s="79">
        <f>IF('Ordenes_Odoo'!E1551="","",'Ordenes_Odoo'!E1551)</f>
        <v/>
      </c>
      <c r="F1551" s="79">
        <f>IF('Ordenes_Odoo'!F1551="","",'Ordenes_Odoo'!F1551)</f>
        <v/>
      </c>
      <c r="G1551" s="79">
        <f>IF('Ordenes_Odoo'!G1551="","",'Ordenes_Odoo'!G1551)</f>
        <v/>
      </c>
      <c r="H1551" s="79">
        <f>IF('Ordenes_Odoo'!H1551="","",'Ordenes_Odoo'!H1551)</f>
        <v/>
      </c>
      <c r="I1551" s="79">
        <f>IF('Ordenes_Odoo'!I1551="","",'Ordenes_Odoo'!I1551)</f>
        <v/>
      </c>
      <c r="J1551" s="79">
        <f>IF('Ordenes_Odoo'!J1551="","",'Ordenes_Odoo'!J1551)</f>
        <v/>
      </c>
      <c r="K1551" s="81">
        <f>IF('Ordenes_Odoo'!K1551="","",'Ordenes_Odoo'!K1551)</f>
        <v/>
      </c>
      <c r="L1551" s="81">
        <f>IF('Ordenes_Odoo'!L1551="","",'Ordenes_Odoo'!L1551)</f>
        <v/>
      </c>
      <c r="M1551" s="79">
        <f>IF('Ordenes_Odoo'!M1551="","",'Ordenes_Odoo'!M1551)</f>
        <v/>
      </c>
      <c r="N1551" s="79">
        <f>IF('Ordenes_Odoo'!N1551="","",'Ordenes_Odoo'!N1551)</f>
        <v/>
      </c>
      <c r="O1551" s="81">
        <f>IF('Ordenes_Odoo'!O1551="","",'Ordenes_Odoo'!O1551)</f>
        <v/>
      </c>
      <c r="P1551" s="81">
        <f>IF('Ordenes_Odoo'!P1551="","",'Ordenes_Odoo'!P1551)</f>
        <v/>
      </c>
      <c r="Q1551" s="79">
        <f>IF(A1551="","",IFERROR(INDEX(Facturas_Odoo!$B:$B, MATCH(A1551, Facturas_Odoo!$D:$D, 0)), "Sin Factura"))</f>
        <v/>
      </c>
      <c r="R1551" s="80">
        <f>IF(Q1551="Sin Factura","",IFERROR(INDEX(Facturas_Odoo!$A:$A, MATCH(Q1551, Facturas_Odoo!$B:$B, 0)), ""))</f>
        <v/>
      </c>
      <c r="S1551" s="79">
        <f>IF(Q1551="Sin Factura","",IFERROR(_xlfn.XLOOKUP(1, (Facturas_Odoo!$D:$D=A1551) * (Facturas_Odoo!$K:$K=I1551), Facturas_Odoo!$L:$L, ""), ""))</f>
        <v/>
      </c>
      <c r="T1551" s="81">
        <f>IF(Q1551="Sin Factura",0,IFERROR(_xlfn.XLOOKUP(1, (Facturas_Odoo!$D:$D=A1551) * (Facturas_Odoo!$K:$K=I1551), Facturas_Odoo!$M:$M, 0), 0))</f>
        <v/>
      </c>
      <c r="U1551" s="79">
        <f>IF(Q1551="Sin Factura",0,IFERROR(_xlfn.XLOOKUP(1, (Facturas_Odoo!$D:$D=A1551) * (Facturas_Odoo!$K:$K=I1551), Facturas_Odoo!$N:$N, 0), 0))</f>
        <v/>
      </c>
      <c r="V1551" s="79">
        <f>IF(Q1551="Sin Factura",0,IFERROR(_xlfn.XLOOKUP(1, (Facturas_Odoo!$D:$D=A1551) * (Facturas_Odoo!$K:$K=I1551), Facturas_Odoo!$O:$O, 0), 0))</f>
        <v/>
      </c>
      <c r="W1551" s="81">
        <f>IF(Q1551="Sin Factura",0,IFERROR(_xlfn.XLOOKUP(1, (Facturas_Odoo!$D:$D=A1551) * (Facturas_Odoo!$K:$K=I1551), Facturas_Odoo!$Q:$Q, 0), 0))</f>
        <v/>
      </c>
      <c r="X1551" s="79">
        <f>IF(OR(Q1551="Sin Factura",Q1551=""),"",IFERROR(INDEX(Pagos_Odoo!$B:$B, MATCH(Q1551, Pagos_Odoo!$I:$I, 0)), "Sin Pago"))</f>
        <v/>
      </c>
      <c r="Y1551" s="79">
        <f>IF(X1551="Sin Pago","",IFERROR(INDEX(Pagos_Odoo!$C:$C, MATCH(X1551, Pagos_Odoo!$B:$B, 0)), ""))</f>
        <v/>
      </c>
      <c r="Z1551" s="80">
        <f>IF(X1551="Sin Pago","",IFERROR(INDEX(Pagos_Odoo!$A:$A, MATCH(X1551, Pagos_Odoo!$B:$B, 0)), ""))</f>
        <v/>
      </c>
      <c r="AA1551" s="79">
        <f>IF(X1551="Sin Pago","",IFERROR(INDEX(Pagos_Odoo!$F:$F, MATCH(X1551, Pagos_Odoo!$B:$B, 0)), ""))</f>
        <v/>
      </c>
      <c r="AB1551" s="81">
        <f>IF(X1551="Sin Pago",0,IFERROR(INDEX(Pagos_Odoo!$E:$E, MATCH(X1551, Pagos_Odoo!$B:$B, 0)), 0))</f>
        <v/>
      </c>
      <c r="AC1551" s="79">
        <f>IF(X1551="Sin Pago","",IFERROR(INDEX(Pagos_Odoo!$G:$G, MATCH(X1551, Pagos_Odoo!$B:$B, 0)), ""))</f>
        <v/>
      </c>
      <c r="AD1551" s="82" t="n">
        <v>0</v>
      </c>
      <c r="AE1551" s="82" t="n"/>
      <c r="AF1551" s="82" t="n"/>
      <c r="AG1551" s="82">
        <f>IF(AN1551="","",AD1551+AE1551+AF1551)</f>
        <v/>
      </c>
      <c r="AH1551" s="81">
        <f>IF(AN1551="","",P1551*(1-AG1551))</f>
        <v/>
      </c>
      <c r="AI1551" s="81">
        <f>IF(AN1551="","",IF(Q1551="Sin Factura",0,IFERROR(INDEX(Facturas_Odoo!$H:$H, MATCH(Q1551, Facturas_Odoo!$B:$B, 0)), 0)*(1-AG1551)))</f>
        <v/>
      </c>
      <c r="AJ1551" s="81">
        <f>IF(AN1551="","",_xlfn.LET(idVenta, AN1551&amp;"",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51" s="81">
        <f>IF(AN1551="","",AH1551-AJ1551)</f>
        <v/>
      </c>
      <c r="AL1551" s="81">
        <f>IF(AN1551="","",IF(Q1551="Sin Factura","",AI1551-AJ1551))</f>
        <v/>
      </c>
      <c r="AM1551" s="81">
        <f>IF(AN1551="","",IF(Q1551="Sin Factura",0,P1551-IFERROR(INDEX(Facturas_Odoo!$H:$H, MATCH(Q1551, Facturas_Odoo!$B:$B, 0)), 0)))</f>
        <v/>
      </c>
      <c r="AN1551" s="79">
        <f>IF(AND(A1551="", J1551=""), "", IF(A1551&lt;&gt;"", VALUE(MID(A1551,2,LEN(A1551))), AN1550))</f>
        <v/>
      </c>
      <c r="AO1551" s="79">
        <f>IF(AN1551="","",IF(AD1551=0,"OK",_xlfn.LET(monedaPago, IF(AA1551="","USD",AA1551), limitePermitido, IFERROR(VLOOKUP(monedaPago, Configuración!$A$2:$B$3, 2, FALSE), 0.15), IF(AD1551&gt;limitePermitido, "ALERTA: EXCESO (" &amp; TEXT(limitePermitido, "0%") &amp; " máx)", "OK"))))</f>
        <v/>
      </c>
      <c r="AP1551" s="79">
        <f>IF(AN1551="","",IF(AE1551=0,"OK",_xlfn.LET(fechaPago, Z1551, fechaFactura, R1551, diasCredito, IF(E1551="Pago inmediato", 0, IFERROR(VALUE(MID(E1551, 1, SEARCH(" ", E1551)-1)),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51" s="79">
        <f>IF(AN1551="","",IF(AND(N1551&gt;0, AG1551&gt;0), IF(Configuración!$K$2="NO", "ALERTA: DESCUENTO DOBLE NO PERMITIDO", "OK"), "OK"))</f>
        <v/>
      </c>
      <c r="AR1551" s="79">
        <f>IF(AN1551="","",IF(OR(AO1551&lt;&gt;"OK", AP1551&lt;&gt;"OK", AQ1551&lt;&gt;"OK"), "⚠️ REVISAR", "OK"))</f>
        <v/>
      </c>
    </row>
    <row r="1552">
      <c r="A1552" s="79">
        <f>IF('Ordenes_Odoo'!A1552="","",'Ordenes_Odoo'!A1552)</f>
        <v/>
      </c>
      <c r="B1552" s="80">
        <f>IF('Ordenes_Odoo'!B1552="","",'Ordenes_Odoo'!B1552)</f>
        <v/>
      </c>
      <c r="C1552" s="79">
        <f>IF('Ordenes_Odoo'!C1552="","",'Ordenes_Odoo'!C1552)</f>
        <v/>
      </c>
      <c r="D1552" s="79">
        <f>IF('Ordenes_Odoo'!D1552="","",'Ordenes_Odoo'!D1552)</f>
        <v/>
      </c>
      <c r="E1552" s="79">
        <f>IF('Ordenes_Odoo'!E1552="","",'Ordenes_Odoo'!E1552)</f>
        <v/>
      </c>
      <c r="F1552" s="79">
        <f>IF('Ordenes_Odoo'!F1552="","",'Ordenes_Odoo'!F1552)</f>
        <v/>
      </c>
      <c r="G1552" s="79">
        <f>IF('Ordenes_Odoo'!G1552="","",'Ordenes_Odoo'!G1552)</f>
        <v/>
      </c>
      <c r="H1552" s="79">
        <f>IF('Ordenes_Odoo'!H1552="","",'Ordenes_Odoo'!H1552)</f>
        <v/>
      </c>
      <c r="I1552" s="79">
        <f>IF('Ordenes_Odoo'!I1552="","",'Ordenes_Odoo'!I1552)</f>
        <v/>
      </c>
      <c r="J1552" s="79">
        <f>IF('Ordenes_Odoo'!J1552="","",'Ordenes_Odoo'!J1552)</f>
        <v/>
      </c>
      <c r="K1552" s="81">
        <f>IF('Ordenes_Odoo'!K1552="","",'Ordenes_Odoo'!K1552)</f>
        <v/>
      </c>
      <c r="L1552" s="81">
        <f>IF('Ordenes_Odoo'!L1552="","",'Ordenes_Odoo'!L1552)</f>
        <v/>
      </c>
      <c r="M1552" s="79">
        <f>IF('Ordenes_Odoo'!M1552="","",'Ordenes_Odoo'!M1552)</f>
        <v/>
      </c>
      <c r="N1552" s="79">
        <f>IF('Ordenes_Odoo'!N1552="","",'Ordenes_Odoo'!N1552)</f>
        <v/>
      </c>
      <c r="O1552" s="81">
        <f>IF('Ordenes_Odoo'!O1552="","",'Ordenes_Odoo'!O1552)</f>
        <v/>
      </c>
      <c r="P1552" s="81">
        <f>IF('Ordenes_Odoo'!P1552="","",'Ordenes_Odoo'!P1552)</f>
        <v/>
      </c>
      <c r="Q1552" s="79">
        <f>IF(A1552="","",IFERROR(INDEX(Facturas_Odoo!$B:$B, MATCH(A1552, Facturas_Odoo!$D:$D, 0)), "Sin Factura"))</f>
        <v/>
      </c>
      <c r="R1552" s="80">
        <f>IF(Q1552="Sin Factura","",IFERROR(INDEX(Facturas_Odoo!$A:$A, MATCH(Q1552, Facturas_Odoo!$B:$B, 0)), ""))</f>
        <v/>
      </c>
      <c r="S1552" s="79">
        <f>IF(Q1552="Sin Factura","",IFERROR(_xlfn.XLOOKUP(1, (Facturas_Odoo!$D:$D=A1552) * (Facturas_Odoo!$K:$K=I1552), Facturas_Odoo!$L:$L, ""), ""))</f>
        <v/>
      </c>
      <c r="T1552" s="81">
        <f>IF(Q1552="Sin Factura",0,IFERROR(_xlfn.XLOOKUP(1, (Facturas_Odoo!$D:$D=A1552) * (Facturas_Odoo!$K:$K=I1552), Facturas_Odoo!$M:$M, 0), 0))</f>
        <v/>
      </c>
      <c r="U1552" s="79">
        <f>IF(Q1552="Sin Factura",0,IFERROR(_xlfn.XLOOKUP(1, (Facturas_Odoo!$D:$D=A1552) * (Facturas_Odoo!$K:$K=I1552), Facturas_Odoo!$N:$N, 0), 0))</f>
        <v/>
      </c>
      <c r="V1552" s="79">
        <f>IF(Q1552="Sin Factura",0,IFERROR(_xlfn.XLOOKUP(1, (Facturas_Odoo!$D:$D=A1552) * (Facturas_Odoo!$K:$K=I1552), Facturas_Odoo!$O:$O, 0), 0))</f>
        <v/>
      </c>
      <c r="W1552" s="81">
        <f>IF(Q1552="Sin Factura",0,IFERROR(_xlfn.XLOOKUP(1, (Facturas_Odoo!$D:$D=A1552) * (Facturas_Odoo!$K:$K=I1552), Facturas_Odoo!$Q:$Q, 0), 0))</f>
        <v/>
      </c>
      <c r="X1552" s="79">
        <f>IF(OR(Q1552="Sin Factura",Q1552=""),"",IFERROR(INDEX(Pagos_Odoo!$B:$B, MATCH(Q1552, Pagos_Odoo!$I:$I, 0)), "Sin Pago"))</f>
        <v/>
      </c>
      <c r="Y1552" s="79">
        <f>IF(X1552="Sin Pago","",IFERROR(INDEX(Pagos_Odoo!$C:$C, MATCH(X1552, Pagos_Odoo!$B:$B, 0)), ""))</f>
        <v/>
      </c>
      <c r="Z1552" s="80">
        <f>IF(X1552="Sin Pago","",IFERROR(INDEX(Pagos_Odoo!$A:$A, MATCH(X1552, Pagos_Odoo!$B:$B, 0)), ""))</f>
        <v/>
      </c>
      <c r="AA1552" s="79">
        <f>IF(X1552="Sin Pago","",IFERROR(INDEX(Pagos_Odoo!$F:$F, MATCH(X1552, Pagos_Odoo!$B:$B, 0)), ""))</f>
        <v/>
      </c>
      <c r="AB1552" s="81">
        <f>IF(X1552="Sin Pago",0,IFERROR(INDEX(Pagos_Odoo!$E:$E, MATCH(X1552, Pagos_Odoo!$B:$B, 0)), 0))</f>
        <v/>
      </c>
      <c r="AC1552" s="79">
        <f>IF(X1552="Sin Pago","",IFERROR(INDEX(Pagos_Odoo!$G:$G, MATCH(X1552, Pagos_Odoo!$B:$B, 0)), ""))</f>
        <v/>
      </c>
      <c r="AD1552" s="82" t="n">
        <v>0</v>
      </c>
      <c r="AE1552" s="82" t="n"/>
      <c r="AF1552" s="82" t="n"/>
      <c r="AG1552" s="82">
        <f>IF(AN1552="","",AD1552+AE1552+AF1552)</f>
        <v/>
      </c>
      <c r="AH1552" s="81">
        <f>IF(AN1552="","",P1552*(1-AG1552))</f>
        <v/>
      </c>
      <c r="AI1552" s="81">
        <f>IF(AN1552="","",IF(Q1552="Sin Factura",0,IFERROR(INDEX(Facturas_Odoo!$H:$H, MATCH(Q1552, Facturas_Odoo!$B:$B, 0)), 0)*(1-AG1552)))</f>
        <v/>
      </c>
      <c r="AJ1552" s="81">
        <f>IF(AN1552="","",_xlfn.LET(idVenta, AN1552&amp;"",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52" s="81">
        <f>IF(AN1552="","",AH1552-AJ1552)</f>
        <v/>
      </c>
      <c r="AL1552" s="81">
        <f>IF(AN1552="","",IF(Q1552="Sin Factura","",AI1552-AJ1552))</f>
        <v/>
      </c>
      <c r="AM1552" s="81">
        <f>IF(AN1552="","",IF(Q1552="Sin Factura",0,P1552-IFERROR(INDEX(Facturas_Odoo!$H:$H, MATCH(Q1552, Facturas_Odoo!$B:$B, 0)), 0)))</f>
        <v/>
      </c>
      <c r="AN1552" s="79">
        <f>IF(AND(A1552="", J1552=""), "", IF(A1552&lt;&gt;"", VALUE(MID(A1552,2,LEN(A1552))), AN1551))</f>
        <v/>
      </c>
      <c r="AO1552" s="79">
        <f>IF(AN1552="","",IF(AD1552=0,"OK",_xlfn.LET(monedaPago, IF(AA1552="","USD",AA1552), limitePermitido, IFERROR(VLOOKUP(monedaPago, Configuración!$A$2:$B$3, 2, FALSE), 0.15), IF(AD1552&gt;limitePermitido, "ALERTA: EXCESO (" &amp; TEXT(limitePermitido, "0%") &amp; " máx)", "OK"))))</f>
        <v/>
      </c>
      <c r="AP1552" s="79">
        <f>IF(AN1552="","",IF(AE1552=0,"OK",_xlfn.LET(fechaPago, Z1552, fechaFactura, R1552, diasCredito, IF(E1552="Pago inmediato", 0, IFERROR(VALUE(MID(E1552, 1, SEARCH(" ", E1552)-1)),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52" s="79">
        <f>IF(AN1552="","",IF(AND(N1552&gt;0, AG1552&gt;0), IF(Configuración!$K$2="NO", "ALERTA: DESCUENTO DOBLE NO PERMITIDO", "OK"), "OK"))</f>
        <v/>
      </c>
      <c r="AR1552" s="79">
        <f>IF(AN1552="","",IF(OR(AO1552&lt;&gt;"OK", AP1552&lt;&gt;"OK", AQ1552&lt;&gt;"OK"), "⚠️ REVISAR", "OK"))</f>
        <v/>
      </c>
    </row>
    <row r="1553">
      <c r="A1553" s="79">
        <f>IF('Ordenes_Odoo'!A1553="","",'Ordenes_Odoo'!A1553)</f>
        <v/>
      </c>
      <c r="B1553" s="80">
        <f>IF('Ordenes_Odoo'!B1553="","",'Ordenes_Odoo'!B1553)</f>
        <v/>
      </c>
      <c r="C1553" s="79">
        <f>IF('Ordenes_Odoo'!C1553="","",'Ordenes_Odoo'!C1553)</f>
        <v/>
      </c>
      <c r="D1553" s="79">
        <f>IF('Ordenes_Odoo'!D1553="","",'Ordenes_Odoo'!D1553)</f>
        <v/>
      </c>
      <c r="E1553" s="79">
        <f>IF('Ordenes_Odoo'!E1553="","",'Ordenes_Odoo'!E1553)</f>
        <v/>
      </c>
      <c r="F1553" s="79">
        <f>IF('Ordenes_Odoo'!F1553="","",'Ordenes_Odoo'!F1553)</f>
        <v/>
      </c>
      <c r="G1553" s="79">
        <f>IF('Ordenes_Odoo'!G1553="","",'Ordenes_Odoo'!G1553)</f>
        <v/>
      </c>
      <c r="H1553" s="79">
        <f>IF('Ordenes_Odoo'!H1553="","",'Ordenes_Odoo'!H1553)</f>
        <v/>
      </c>
      <c r="I1553" s="79">
        <f>IF('Ordenes_Odoo'!I1553="","",'Ordenes_Odoo'!I1553)</f>
        <v/>
      </c>
      <c r="J1553" s="79">
        <f>IF('Ordenes_Odoo'!J1553="","",'Ordenes_Odoo'!J1553)</f>
        <v/>
      </c>
      <c r="K1553" s="81">
        <f>IF('Ordenes_Odoo'!K1553="","",'Ordenes_Odoo'!K1553)</f>
        <v/>
      </c>
      <c r="L1553" s="81">
        <f>IF('Ordenes_Odoo'!L1553="","",'Ordenes_Odoo'!L1553)</f>
        <v/>
      </c>
      <c r="M1553" s="79">
        <f>IF('Ordenes_Odoo'!M1553="","",'Ordenes_Odoo'!M1553)</f>
        <v/>
      </c>
      <c r="N1553" s="79">
        <f>IF('Ordenes_Odoo'!N1553="","",'Ordenes_Odoo'!N1553)</f>
        <v/>
      </c>
      <c r="O1553" s="81">
        <f>IF('Ordenes_Odoo'!O1553="","",'Ordenes_Odoo'!O1553)</f>
        <v/>
      </c>
      <c r="P1553" s="81">
        <f>IF('Ordenes_Odoo'!P1553="","",'Ordenes_Odoo'!P1553)</f>
        <v/>
      </c>
      <c r="Q1553" s="79">
        <f>IF(A1553="","",IFERROR(INDEX(Facturas_Odoo!$B:$B, MATCH(A1553, Facturas_Odoo!$D:$D, 0)), "Sin Factura"))</f>
        <v/>
      </c>
      <c r="R1553" s="80">
        <f>IF(Q1553="Sin Factura","",IFERROR(INDEX(Facturas_Odoo!$A:$A, MATCH(Q1553, Facturas_Odoo!$B:$B, 0)), ""))</f>
        <v/>
      </c>
      <c r="S1553" s="79">
        <f>IF(Q1553="Sin Factura","",IFERROR(_xlfn.XLOOKUP(1, (Facturas_Odoo!$D:$D=A1553) * (Facturas_Odoo!$K:$K=I1553), Facturas_Odoo!$L:$L, ""), ""))</f>
        <v/>
      </c>
      <c r="T1553" s="81">
        <f>IF(Q1553="Sin Factura",0,IFERROR(_xlfn.XLOOKUP(1, (Facturas_Odoo!$D:$D=A1553) * (Facturas_Odoo!$K:$K=I1553), Facturas_Odoo!$M:$M, 0), 0))</f>
        <v/>
      </c>
      <c r="U1553" s="79">
        <f>IF(Q1553="Sin Factura",0,IFERROR(_xlfn.XLOOKUP(1, (Facturas_Odoo!$D:$D=A1553) * (Facturas_Odoo!$K:$K=I1553), Facturas_Odoo!$N:$N, 0), 0))</f>
        <v/>
      </c>
      <c r="V1553" s="79">
        <f>IF(Q1553="Sin Factura",0,IFERROR(_xlfn.XLOOKUP(1, (Facturas_Odoo!$D:$D=A1553) * (Facturas_Odoo!$K:$K=I1553), Facturas_Odoo!$O:$O, 0), 0))</f>
        <v/>
      </c>
      <c r="W1553" s="81">
        <f>IF(Q1553="Sin Factura",0,IFERROR(_xlfn.XLOOKUP(1, (Facturas_Odoo!$D:$D=A1553) * (Facturas_Odoo!$K:$K=I1553), Facturas_Odoo!$Q:$Q, 0), 0))</f>
        <v/>
      </c>
      <c r="X1553" s="79">
        <f>IF(OR(Q1553="Sin Factura",Q1553=""),"",IFERROR(INDEX(Pagos_Odoo!$B:$B, MATCH(Q1553, Pagos_Odoo!$I:$I, 0)), "Sin Pago"))</f>
        <v/>
      </c>
      <c r="Y1553" s="79">
        <f>IF(X1553="Sin Pago","",IFERROR(INDEX(Pagos_Odoo!$C:$C, MATCH(X1553, Pagos_Odoo!$B:$B, 0)), ""))</f>
        <v/>
      </c>
      <c r="Z1553" s="80">
        <f>IF(X1553="Sin Pago","",IFERROR(INDEX(Pagos_Odoo!$A:$A, MATCH(X1553, Pagos_Odoo!$B:$B, 0)), ""))</f>
        <v/>
      </c>
      <c r="AA1553" s="79">
        <f>IF(X1553="Sin Pago","",IFERROR(INDEX(Pagos_Odoo!$F:$F, MATCH(X1553, Pagos_Odoo!$B:$B, 0)), ""))</f>
        <v/>
      </c>
      <c r="AB1553" s="81">
        <f>IF(X1553="Sin Pago",0,IFERROR(INDEX(Pagos_Odoo!$E:$E, MATCH(X1553, Pagos_Odoo!$B:$B, 0)), 0))</f>
        <v/>
      </c>
      <c r="AC1553" s="79">
        <f>IF(X1553="Sin Pago","",IFERROR(INDEX(Pagos_Odoo!$G:$G, MATCH(X1553, Pagos_Odoo!$B:$B, 0)), ""))</f>
        <v/>
      </c>
      <c r="AD1553" s="82" t="n">
        <v>0</v>
      </c>
      <c r="AE1553" s="82" t="n"/>
      <c r="AF1553" s="82" t="n"/>
      <c r="AG1553" s="82">
        <f>IF(AN1553="","",AD1553+AE1553+AF1553)</f>
        <v/>
      </c>
      <c r="AH1553" s="81">
        <f>IF(AN1553="","",P1553*(1-AG1553))</f>
        <v/>
      </c>
      <c r="AI1553" s="81">
        <f>IF(AN1553="","",IF(Q1553="Sin Factura",0,IFERROR(INDEX(Facturas_Odoo!$H:$H, MATCH(Q1553, Facturas_Odoo!$B:$B, 0)), 0)*(1-AG1553)))</f>
        <v/>
      </c>
      <c r="AJ1553" s="81">
        <f>IF(AN1553="","",_xlfn.LET(idVenta, AN1553&amp;"",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53" s="81">
        <f>IF(AN1553="","",AH1553-AJ1553)</f>
        <v/>
      </c>
      <c r="AL1553" s="81">
        <f>IF(AN1553="","",IF(Q1553="Sin Factura","",AI1553-AJ1553))</f>
        <v/>
      </c>
      <c r="AM1553" s="81">
        <f>IF(AN1553="","",IF(Q1553="Sin Factura",0,P1553-IFERROR(INDEX(Facturas_Odoo!$H:$H, MATCH(Q1553, Facturas_Odoo!$B:$B, 0)), 0)))</f>
        <v/>
      </c>
      <c r="AN1553" s="79">
        <f>IF(AND(A1553="", J1553=""), "", IF(A1553&lt;&gt;"", VALUE(MID(A1553,2,LEN(A1553))), AN1552))</f>
        <v/>
      </c>
      <c r="AO1553" s="79">
        <f>IF(AN1553="","",IF(AD1553=0,"OK",_xlfn.LET(monedaPago, IF(AA1553="","USD",AA1553), limitePermitido, IFERROR(VLOOKUP(monedaPago, Configuración!$A$2:$B$3, 2, FALSE), 0.15), IF(AD1553&gt;limitePermitido, "ALERTA: EXCESO (" &amp; TEXT(limitePermitido, "0%") &amp; " máx)", "OK"))))</f>
        <v/>
      </c>
      <c r="AP1553" s="79">
        <f>IF(AN1553="","",IF(AE1553=0,"OK",_xlfn.LET(fechaPago, Z1553, fechaFactura, R1553, diasCredito, IF(E1553="Pago inmediato", 0, IFERROR(VALUE(MID(E1553, 1, SEARCH(" ", E1553)-1)),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53" s="79">
        <f>IF(AN1553="","",IF(AND(N1553&gt;0, AG1553&gt;0), IF(Configuración!$K$2="NO", "ALERTA: DESCUENTO DOBLE NO PERMITIDO", "OK"), "OK"))</f>
        <v/>
      </c>
      <c r="AR1553" s="79">
        <f>IF(AN1553="","",IF(OR(AO1553&lt;&gt;"OK", AP1553&lt;&gt;"OK", AQ1553&lt;&gt;"OK"), "⚠️ REVISAR", "OK"))</f>
        <v/>
      </c>
    </row>
    <row r="1554">
      <c r="A1554" s="79">
        <f>IF('Ordenes_Odoo'!A1554="","",'Ordenes_Odoo'!A1554)</f>
        <v/>
      </c>
      <c r="B1554" s="80">
        <f>IF('Ordenes_Odoo'!B1554="","",'Ordenes_Odoo'!B1554)</f>
        <v/>
      </c>
      <c r="C1554" s="79">
        <f>IF('Ordenes_Odoo'!C1554="","",'Ordenes_Odoo'!C1554)</f>
        <v/>
      </c>
      <c r="D1554" s="79">
        <f>IF('Ordenes_Odoo'!D1554="","",'Ordenes_Odoo'!D1554)</f>
        <v/>
      </c>
      <c r="E1554" s="79">
        <f>IF('Ordenes_Odoo'!E1554="","",'Ordenes_Odoo'!E1554)</f>
        <v/>
      </c>
      <c r="F1554" s="79">
        <f>IF('Ordenes_Odoo'!F1554="","",'Ordenes_Odoo'!F1554)</f>
        <v/>
      </c>
      <c r="G1554" s="79">
        <f>IF('Ordenes_Odoo'!G1554="","",'Ordenes_Odoo'!G1554)</f>
        <v/>
      </c>
      <c r="H1554" s="79">
        <f>IF('Ordenes_Odoo'!H1554="","",'Ordenes_Odoo'!H1554)</f>
        <v/>
      </c>
      <c r="I1554" s="79">
        <f>IF('Ordenes_Odoo'!I1554="","",'Ordenes_Odoo'!I1554)</f>
        <v/>
      </c>
      <c r="J1554" s="79">
        <f>IF('Ordenes_Odoo'!J1554="","",'Ordenes_Odoo'!J1554)</f>
        <v/>
      </c>
      <c r="K1554" s="81">
        <f>IF('Ordenes_Odoo'!K1554="","",'Ordenes_Odoo'!K1554)</f>
        <v/>
      </c>
      <c r="L1554" s="81">
        <f>IF('Ordenes_Odoo'!L1554="","",'Ordenes_Odoo'!L1554)</f>
        <v/>
      </c>
      <c r="M1554" s="79">
        <f>IF('Ordenes_Odoo'!M1554="","",'Ordenes_Odoo'!M1554)</f>
        <v/>
      </c>
      <c r="N1554" s="79">
        <f>IF('Ordenes_Odoo'!N1554="","",'Ordenes_Odoo'!N1554)</f>
        <v/>
      </c>
      <c r="O1554" s="81">
        <f>IF('Ordenes_Odoo'!O1554="","",'Ordenes_Odoo'!O1554)</f>
        <v/>
      </c>
      <c r="P1554" s="81">
        <f>IF('Ordenes_Odoo'!P1554="","",'Ordenes_Odoo'!P1554)</f>
        <v/>
      </c>
      <c r="Q1554" s="79">
        <f>IF(A1554="","",IFERROR(INDEX(Facturas_Odoo!$B:$B, MATCH(A1554, Facturas_Odoo!$D:$D, 0)), "Sin Factura"))</f>
        <v/>
      </c>
      <c r="R1554" s="80">
        <f>IF(Q1554="Sin Factura","",IFERROR(INDEX(Facturas_Odoo!$A:$A, MATCH(Q1554, Facturas_Odoo!$B:$B, 0)), ""))</f>
        <v/>
      </c>
      <c r="S1554" s="79">
        <f>IF(Q1554="Sin Factura","",IFERROR(_xlfn.XLOOKUP(1, (Facturas_Odoo!$D:$D=A1554) * (Facturas_Odoo!$K:$K=I1554), Facturas_Odoo!$L:$L, ""), ""))</f>
        <v/>
      </c>
      <c r="T1554" s="81">
        <f>IF(Q1554="Sin Factura",0,IFERROR(_xlfn.XLOOKUP(1, (Facturas_Odoo!$D:$D=A1554) * (Facturas_Odoo!$K:$K=I1554), Facturas_Odoo!$M:$M, 0), 0))</f>
        <v/>
      </c>
      <c r="U1554" s="79">
        <f>IF(Q1554="Sin Factura",0,IFERROR(_xlfn.XLOOKUP(1, (Facturas_Odoo!$D:$D=A1554) * (Facturas_Odoo!$K:$K=I1554), Facturas_Odoo!$N:$N, 0), 0))</f>
        <v/>
      </c>
      <c r="V1554" s="79">
        <f>IF(Q1554="Sin Factura",0,IFERROR(_xlfn.XLOOKUP(1, (Facturas_Odoo!$D:$D=A1554) * (Facturas_Odoo!$K:$K=I1554), Facturas_Odoo!$O:$O, 0), 0))</f>
        <v/>
      </c>
      <c r="W1554" s="81">
        <f>IF(Q1554="Sin Factura",0,IFERROR(_xlfn.XLOOKUP(1, (Facturas_Odoo!$D:$D=A1554) * (Facturas_Odoo!$K:$K=I1554), Facturas_Odoo!$Q:$Q, 0), 0))</f>
        <v/>
      </c>
      <c r="X1554" s="79">
        <f>IF(OR(Q1554="Sin Factura",Q1554=""),"",IFERROR(INDEX(Pagos_Odoo!$B:$B, MATCH(Q1554, Pagos_Odoo!$I:$I, 0)), "Sin Pago"))</f>
        <v/>
      </c>
      <c r="Y1554" s="79">
        <f>IF(X1554="Sin Pago","",IFERROR(INDEX(Pagos_Odoo!$C:$C, MATCH(X1554, Pagos_Odoo!$B:$B, 0)), ""))</f>
        <v/>
      </c>
      <c r="Z1554" s="80">
        <f>IF(X1554="Sin Pago","",IFERROR(INDEX(Pagos_Odoo!$A:$A, MATCH(X1554, Pagos_Odoo!$B:$B, 0)), ""))</f>
        <v/>
      </c>
      <c r="AA1554" s="79">
        <f>IF(X1554="Sin Pago","",IFERROR(INDEX(Pagos_Odoo!$F:$F, MATCH(X1554, Pagos_Odoo!$B:$B, 0)), ""))</f>
        <v/>
      </c>
      <c r="AB1554" s="81">
        <f>IF(X1554="Sin Pago",0,IFERROR(INDEX(Pagos_Odoo!$E:$E, MATCH(X1554, Pagos_Odoo!$B:$B, 0)), 0))</f>
        <v/>
      </c>
      <c r="AC1554" s="79">
        <f>IF(X1554="Sin Pago","",IFERROR(INDEX(Pagos_Odoo!$G:$G, MATCH(X1554, Pagos_Odoo!$B:$B, 0)), ""))</f>
        <v/>
      </c>
      <c r="AD1554" s="82" t="n">
        <v>0</v>
      </c>
      <c r="AE1554" s="82" t="n"/>
      <c r="AF1554" s="82" t="n"/>
      <c r="AG1554" s="82">
        <f>IF(AN1554="","",AD1554+AE1554+AF1554)</f>
        <v/>
      </c>
      <c r="AH1554" s="81">
        <f>IF(AN1554="","",P1554*(1-AG1554))</f>
        <v/>
      </c>
      <c r="AI1554" s="81">
        <f>IF(AN1554="","",IF(Q1554="Sin Factura",0,IFERROR(INDEX(Facturas_Odoo!$H:$H, MATCH(Q1554, Facturas_Odoo!$B:$B, 0)), 0)*(1-AG1554)))</f>
        <v/>
      </c>
      <c r="AJ1554" s="81">
        <f>IF(AN1554="","",_xlfn.LET(idVenta, AN1554&amp;"",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54" s="81">
        <f>IF(AN1554="","",AH1554-AJ1554)</f>
        <v/>
      </c>
      <c r="AL1554" s="81">
        <f>IF(AN1554="","",IF(Q1554="Sin Factura","",AI1554-AJ1554))</f>
        <v/>
      </c>
      <c r="AM1554" s="81">
        <f>IF(AN1554="","",IF(Q1554="Sin Factura",0,P1554-IFERROR(INDEX(Facturas_Odoo!$H:$H, MATCH(Q1554, Facturas_Odoo!$B:$B, 0)), 0)))</f>
        <v/>
      </c>
      <c r="AN1554" s="79">
        <f>IF(AND(A1554="", J1554=""), "", IF(A1554&lt;&gt;"", VALUE(MID(A1554,2,LEN(A1554))), AN1553))</f>
        <v/>
      </c>
      <c r="AO1554" s="79">
        <f>IF(AN1554="","",IF(AD1554=0,"OK",_xlfn.LET(monedaPago, IF(AA1554="","USD",AA1554), limitePermitido, IFERROR(VLOOKUP(monedaPago, Configuración!$A$2:$B$3, 2, FALSE), 0.15), IF(AD1554&gt;limitePermitido, "ALERTA: EXCESO (" &amp; TEXT(limitePermitido, "0%") &amp; " máx)", "OK"))))</f>
        <v/>
      </c>
      <c r="AP1554" s="79">
        <f>IF(AN1554="","",IF(AE1554=0,"OK",_xlfn.LET(fechaPago, Z1554, fechaFactura, R1554, diasCredito, IF(E1554="Pago inmediato", 0, IFERROR(VALUE(MID(E1554, 1, SEARCH(" ", E1554)-1)),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54" s="79">
        <f>IF(AN1554="","",IF(AND(N1554&gt;0, AG1554&gt;0), IF(Configuración!$K$2="NO", "ALERTA: DESCUENTO DOBLE NO PERMITIDO", "OK"), "OK"))</f>
        <v/>
      </c>
      <c r="AR1554" s="79">
        <f>IF(AN1554="","",IF(OR(AO1554&lt;&gt;"OK", AP1554&lt;&gt;"OK", AQ1554&lt;&gt;"OK"), "⚠️ REVISAR", "OK"))</f>
        <v/>
      </c>
    </row>
    <row r="1555">
      <c r="A1555" s="79">
        <f>IF('Ordenes_Odoo'!A1555="","",'Ordenes_Odoo'!A1555)</f>
        <v/>
      </c>
      <c r="B1555" s="80">
        <f>IF('Ordenes_Odoo'!B1555="","",'Ordenes_Odoo'!B1555)</f>
        <v/>
      </c>
      <c r="C1555" s="79">
        <f>IF('Ordenes_Odoo'!C1555="","",'Ordenes_Odoo'!C1555)</f>
        <v/>
      </c>
      <c r="D1555" s="79">
        <f>IF('Ordenes_Odoo'!D1555="","",'Ordenes_Odoo'!D1555)</f>
        <v/>
      </c>
      <c r="E1555" s="79">
        <f>IF('Ordenes_Odoo'!E1555="","",'Ordenes_Odoo'!E1555)</f>
        <v/>
      </c>
      <c r="F1555" s="79">
        <f>IF('Ordenes_Odoo'!F1555="","",'Ordenes_Odoo'!F1555)</f>
        <v/>
      </c>
      <c r="G1555" s="79">
        <f>IF('Ordenes_Odoo'!G1555="","",'Ordenes_Odoo'!G1555)</f>
        <v/>
      </c>
      <c r="H1555" s="79">
        <f>IF('Ordenes_Odoo'!H1555="","",'Ordenes_Odoo'!H1555)</f>
        <v/>
      </c>
      <c r="I1555" s="79">
        <f>IF('Ordenes_Odoo'!I1555="","",'Ordenes_Odoo'!I1555)</f>
        <v/>
      </c>
      <c r="J1555" s="79">
        <f>IF('Ordenes_Odoo'!J1555="","",'Ordenes_Odoo'!J1555)</f>
        <v/>
      </c>
      <c r="K1555" s="81">
        <f>IF('Ordenes_Odoo'!K1555="","",'Ordenes_Odoo'!K1555)</f>
        <v/>
      </c>
      <c r="L1555" s="81">
        <f>IF('Ordenes_Odoo'!L1555="","",'Ordenes_Odoo'!L1555)</f>
        <v/>
      </c>
      <c r="M1555" s="79">
        <f>IF('Ordenes_Odoo'!M1555="","",'Ordenes_Odoo'!M1555)</f>
        <v/>
      </c>
      <c r="N1555" s="79">
        <f>IF('Ordenes_Odoo'!N1555="","",'Ordenes_Odoo'!N1555)</f>
        <v/>
      </c>
      <c r="O1555" s="81">
        <f>IF('Ordenes_Odoo'!O1555="","",'Ordenes_Odoo'!O1555)</f>
        <v/>
      </c>
      <c r="P1555" s="81">
        <f>IF('Ordenes_Odoo'!P1555="","",'Ordenes_Odoo'!P1555)</f>
        <v/>
      </c>
      <c r="Q1555" s="79">
        <f>IF(A1555="","",IFERROR(INDEX(Facturas_Odoo!$B:$B, MATCH(A1555, Facturas_Odoo!$D:$D, 0)), "Sin Factura"))</f>
        <v/>
      </c>
      <c r="R1555" s="80">
        <f>IF(Q1555="Sin Factura","",IFERROR(INDEX(Facturas_Odoo!$A:$A, MATCH(Q1555, Facturas_Odoo!$B:$B, 0)), ""))</f>
        <v/>
      </c>
      <c r="S1555" s="79">
        <f>IF(Q1555="Sin Factura","",IFERROR(_xlfn.XLOOKUP(1, (Facturas_Odoo!$D:$D=A1555) * (Facturas_Odoo!$K:$K=I1555), Facturas_Odoo!$L:$L, ""), ""))</f>
        <v/>
      </c>
      <c r="T1555" s="81">
        <f>IF(Q1555="Sin Factura",0,IFERROR(_xlfn.XLOOKUP(1, (Facturas_Odoo!$D:$D=A1555) * (Facturas_Odoo!$K:$K=I1555), Facturas_Odoo!$M:$M, 0), 0))</f>
        <v/>
      </c>
      <c r="U1555" s="79">
        <f>IF(Q1555="Sin Factura",0,IFERROR(_xlfn.XLOOKUP(1, (Facturas_Odoo!$D:$D=A1555) * (Facturas_Odoo!$K:$K=I1555), Facturas_Odoo!$N:$N, 0), 0))</f>
        <v/>
      </c>
      <c r="V1555" s="79">
        <f>IF(Q1555="Sin Factura",0,IFERROR(_xlfn.XLOOKUP(1, (Facturas_Odoo!$D:$D=A1555) * (Facturas_Odoo!$K:$K=I1555), Facturas_Odoo!$O:$O, 0), 0))</f>
        <v/>
      </c>
      <c r="W1555" s="81">
        <f>IF(Q1555="Sin Factura",0,IFERROR(_xlfn.XLOOKUP(1, (Facturas_Odoo!$D:$D=A1555) * (Facturas_Odoo!$K:$K=I1555), Facturas_Odoo!$Q:$Q, 0), 0))</f>
        <v/>
      </c>
      <c r="X1555" s="79">
        <f>IF(OR(Q1555="Sin Factura",Q1555=""),"",IFERROR(INDEX(Pagos_Odoo!$B:$B, MATCH(Q1555, Pagos_Odoo!$I:$I, 0)), "Sin Pago"))</f>
        <v/>
      </c>
      <c r="Y1555" s="79">
        <f>IF(X1555="Sin Pago","",IFERROR(INDEX(Pagos_Odoo!$C:$C, MATCH(X1555, Pagos_Odoo!$B:$B, 0)), ""))</f>
        <v/>
      </c>
      <c r="Z1555" s="80">
        <f>IF(X1555="Sin Pago","",IFERROR(INDEX(Pagos_Odoo!$A:$A, MATCH(X1555, Pagos_Odoo!$B:$B, 0)), ""))</f>
        <v/>
      </c>
      <c r="AA1555" s="79">
        <f>IF(X1555="Sin Pago","",IFERROR(INDEX(Pagos_Odoo!$F:$F, MATCH(X1555, Pagos_Odoo!$B:$B, 0)), ""))</f>
        <v/>
      </c>
      <c r="AB1555" s="81">
        <f>IF(X1555="Sin Pago",0,IFERROR(INDEX(Pagos_Odoo!$E:$E, MATCH(X1555, Pagos_Odoo!$B:$B, 0)), 0))</f>
        <v/>
      </c>
      <c r="AC1555" s="79">
        <f>IF(X1555="Sin Pago","",IFERROR(INDEX(Pagos_Odoo!$G:$G, MATCH(X1555, Pagos_Odoo!$B:$B, 0)), ""))</f>
        <v/>
      </c>
      <c r="AD1555" s="82" t="n">
        <v>0</v>
      </c>
      <c r="AE1555" s="82" t="n"/>
      <c r="AF1555" s="82" t="n"/>
      <c r="AG1555" s="82">
        <f>IF(AN1555="","",AD1555+AE1555+AF1555)</f>
        <v/>
      </c>
      <c r="AH1555" s="81">
        <f>IF(AN1555="","",P1555*(1-AG1555))</f>
        <v/>
      </c>
      <c r="AI1555" s="81">
        <f>IF(AN1555="","",IF(Q1555="Sin Factura",0,IFERROR(INDEX(Facturas_Odoo!$H:$H, MATCH(Q1555, Facturas_Odoo!$B:$B, 0)), 0)*(1-AG1555)))</f>
        <v/>
      </c>
      <c r="AJ1555" s="81">
        <f>IF(AN1555="","",_xlfn.LET(idVenta, AN1555&amp;"",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55" s="81">
        <f>IF(AN1555="","",AH1555-AJ1555)</f>
        <v/>
      </c>
      <c r="AL1555" s="81">
        <f>IF(AN1555="","",IF(Q1555="Sin Factura","",AI1555-AJ1555))</f>
        <v/>
      </c>
      <c r="AM1555" s="81">
        <f>IF(AN1555="","",IF(Q1555="Sin Factura",0,P1555-IFERROR(INDEX(Facturas_Odoo!$H:$H, MATCH(Q1555, Facturas_Odoo!$B:$B, 0)), 0)))</f>
        <v/>
      </c>
      <c r="AN1555" s="79">
        <f>IF(AND(A1555="", J1555=""), "", IF(A1555&lt;&gt;"", VALUE(MID(A1555,2,LEN(A1555))), AN1554))</f>
        <v/>
      </c>
      <c r="AO1555" s="79">
        <f>IF(AN1555="","",IF(AD1555=0,"OK",_xlfn.LET(monedaPago, IF(AA1555="","USD",AA1555), limitePermitido, IFERROR(VLOOKUP(monedaPago, Configuración!$A$2:$B$3, 2, FALSE), 0.15), IF(AD1555&gt;limitePermitido, "ALERTA: EXCESO (" &amp; TEXT(limitePermitido, "0%") &amp; " máx)", "OK"))))</f>
        <v/>
      </c>
      <c r="AP1555" s="79">
        <f>IF(AN1555="","",IF(AE1555=0,"OK",_xlfn.LET(fechaPago, Z1555, fechaFactura, R1555, diasCredito, IF(E1555="Pago inmediato", 0, IFERROR(VALUE(MID(E1555, 1, SEARCH(" ", E1555)-1)),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55" s="79">
        <f>IF(AN1555="","",IF(AND(N1555&gt;0, AG1555&gt;0), IF(Configuración!$K$2="NO", "ALERTA: DESCUENTO DOBLE NO PERMITIDO", "OK"), "OK"))</f>
        <v/>
      </c>
      <c r="AR1555" s="79">
        <f>IF(AN1555="","",IF(OR(AO1555&lt;&gt;"OK", AP1555&lt;&gt;"OK", AQ1555&lt;&gt;"OK"), "⚠️ REVISAR", "OK"))</f>
        <v/>
      </c>
    </row>
    <row r="1556">
      <c r="A1556" s="79">
        <f>IF('Ordenes_Odoo'!A1556="","",'Ordenes_Odoo'!A1556)</f>
        <v/>
      </c>
      <c r="B1556" s="80">
        <f>IF('Ordenes_Odoo'!B1556="","",'Ordenes_Odoo'!B1556)</f>
        <v/>
      </c>
      <c r="C1556" s="79">
        <f>IF('Ordenes_Odoo'!C1556="","",'Ordenes_Odoo'!C1556)</f>
        <v/>
      </c>
      <c r="D1556" s="79">
        <f>IF('Ordenes_Odoo'!D1556="","",'Ordenes_Odoo'!D1556)</f>
        <v/>
      </c>
      <c r="E1556" s="79">
        <f>IF('Ordenes_Odoo'!E1556="","",'Ordenes_Odoo'!E1556)</f>
        <v/>
      </c>
      <c r="F1556" s="79">
        <f>IF('Ordenes_Odoo'!F1556="","",'Ordenes_Odoo'!F1556)</f>
        <v/>
      </c>
      <c r="G1556" s="79">
        <f>IF('Ordenes_Odoo'!G1556="","",'Ordenes_Odoo'!G1556)</f>
        <v/>
      </c>
      <c r="H1556" s="79">
        <f>IF('Ordenes_Odoo'!H1556="","",'Ordenes_Odoo'!H1556)</f>
        <v/>
      </c>
      <c r="I1556" s="79">
        <f>IF('Ordenes_Odoo'!I1556="","",'Ordenes_Odoo'!I1556)</f>
        <v/>
      </c>
      <c r="J1556" s="79">
        <f>IF('Ordenes_Odoo'!J1556="","",'Ordenes_Odoo'!J1556)</f>
        <v/>
      </c>
      <c r="K1556" s="81">
        <f>IF('Ordenes_Odoo'!K1556="","",'Ordenes_Odoo'!K1556)</f>
        <v/>
      </c>
      <c r="L1556" s="81">
        <f>IF('Ordenes_Odoo'!L1556="","",'Ordenes_Odoo'!L1556)</f>
        <v/>
      </c>
      <c r="M1556" s="79">
        <f>IF('Ordenes_Odoo'!M1556="","",'Ordenes_Odoo'!M1556)</f>
        <v/>
      </c>
      <c r="N1556" s="79">
        <f>IF('Ordenes_Odoo'!N1556="","",'Ordenes_Odoo'!N1556)</f>
        <v/>
      </c>
      <c r="O1556" s="81">
        <f>IF('Ordenes_Odoo'!O1556="","",'Ordenes_Odoo'!O1556)</f>
        <v/>
      </c>
      <c r="P1556" s="81">
        <f>IF('Ordenes_Odoo'!P1556="","",'Ordenes_Odoo'!P1556)</f>
        <v/>
      </c>
      <c r="Q1556" s="79">
        <f>IF(A1556="","",IFERROR(INDEX(Facturas_Odoo!$B:$B, MATCH(A1556, Facturas_Odoo!$D:$D, 0)), "Sin Factura"))</f>
        <v/>
      </c>
      <c r="R1556" s="80">
        <f>IF(Q1556="Sin Factura","",IFERROR(INDEX(Facturas_Odoo!$A:$A, MATCH(Q1556, Facturas_Odoo!$B:$B, 0)), ""))</f>
        <v/>
      </c>
      <c r="S1556" s="79">
        <f>IF(Q1556="Sin Factura","",IFERROR(_xlfn.XLOOKUP(1, (Facturas_Odoo!$D:$D=A1556) * (Facturas_Odoo!$K:$K=I1556), Facturas_Odoo!$L:$L, ""), ""))</f>
        <v/>
      </c>
      <c r="T1556" s="81">
        <f>IF(Q1556="Sin Factura",0,IFERROR(_xlfn.XLOOKUP(1, (Facturas_Odoo!$D:$D=A1556) * (Facturas_Odoo!$K:$K=I1556), Facturas_Odoo!$M:$M, 0), 0))</f>
        <v/>
      </c>
      <c r="U1556" s="79">
        <f>IF(Q1556="Sin Factura",0,IFERROR(_xlfn.XLOOKUP(1, (Facturas_Odoo!$D:$D=A1556) * (Facturas_Odoo!$K:$K=I1556), Facturas_Odoo!$N:$N, 0), 0))</f>
        <v/>
      </c>
      <c r="V1556" s="79">
        <f>IF(Q1556="Sin Factura",0,IFERROR(_xlfn.XLOOKUP(1, (Facturas_Odoo!$D:$D=A1556) * (Facturas_Odoo!$K:$K=I1556), Facturas_Odoo!$O:$O, 0), 0))</f>
        <v/>
      </c>
      <c r="W1556" s="81">
        <f>IF(Q1556="Sin Factura",0,IFERROR(_xlfn.XLOOKUP(1, (Facturas_Odoo!$D:$D=A1556) * (Facturas_Odoo!$K:$K=I1556), Facturas_Odoo!$Q:$Q, 0), 0))</f>
        <v/>
      </c>
      <c r="X1556" s="79">
        <f>IF(OR(Q1556="Sin Factura",Q1556=""),"",IFERROR(INDEX(Pagos_Odoo!$B:$B, MATCH(Q1556, Pagos_Odoo!$I:$I, 0)), "Sin Pago"))</f>
        <v/>
      </c>
      <c r="Y1556" s="79">
        <f>IF(X1556="Sin Pago","",IFERROR(INDEX(Pagos_Odoo!$C:$C, MATCH(X1556, Pagos_Odoo!$B:$B, 0)), ""))</f>
        <v/>
      </c>
      <c r="Z1556" s="80">
        <f>IF(X1556="Sin Pago","",IFERROR(INDEX(Pagos_Odoo!$A:$A, MATCH(X1556, Pagos_Odoo!$B:$B, 0)), ""))</f>
        <v/>
      </c>
      <c r="AA1556" s="79">
        <f>IF(X1556="Sin Pago","",IFERROR(INDEX(Pagos_Odoo!$F:$F, MATCH(X1556, Pagos_Odoo!$B:$B, 0)), ""))</f>
        <v/>
      </c>
      <c r="AB1556" s="81">
        <f>IF(X1556="Sin Pago",0,IFERROR(INDEX(Pagos_Odoo!$E:$E, MATCH(X1556, Pagos_Odoo!$B:$B, 0)), 0))</f>
        <v/>
      </c>
      <c r="AC1556" s="79">
        <f>IF(X1556="Sin Pago","",IFERROR(INDEX(Pagos_Odoo!$G:$G, MATCH(X1556, Pagos_Odoo!$B:$B, 0)), ""))</f>
        <v/>
      </c>
      <c r="AD1556" s="82" t="n">
        <v>0</v>
      </c>
      <c r="AE1556" s="82" t="n"/>
      <c r="AF1556" s="82" t="n"/>
      <c r="AG1556" s="82">
        <f>IF(AN1556="","",AD1556+AE1556+AF1556)</f>
        <v/>
      </c>
      <c r="AH1556" s="81">
        <f>IF(AN1556="","",P1556*(1-AG1556))</f>
        <v/>
      </c>
      <c r="AI1556" s="81">
        <f>IF(AN1556="","",IF(Q1556="Sin Factura",0,IFERROR(INDEX(Facturas_Odoo!$H:$H, MATCH(Q1556, Facturas_Odoo!$B:$B, 0)), 0)*(1-AG1556)))</f>
        <v/>
      </c>
      <c r="AJ1556" s="81">
        <f>IF(AN1556="","",_xlfn.LET(idVenta, AN1556&amp;"",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56" s="81">
        <f>IF(AN1556="","",AH1556-AJ1556)</f>
        <v/>
      </c>
      <c r="AL1556" s="81">
        <f>IF(AN1556="","",IF(Q1556="Sin Factura","",AI1556-AJ1556))</f>
        <v/>
      </c>
      <c r="AM1556" s="81">
        <f>IF(AN1556="","",IF(Q1556="Sin Factura",0,P1556-IFERROR(INDEX(Facturas_Odoo!$H:$H, MATCH(Q1556, Facturas_Odoo!$B:$B, 0)), 0)))</f>
        <v/>
      </c>
      <c r="AN1556" s="79">
        <f>IF(AND(A1556="", J1556=""), "", IF(A1556&lt;&gt;"", VALUE(MID(A1556,2,LEN(A1556))), AN1555))</f>
        <v/>
      </c>
      <c r="AO1556" s="79">
        <f>IF(AN1556="","",IF(AD1556=0,"OK",_xlfn.LET(monedaPago, IF(AA1556="","USD",AA1556), limitePermitido, IFERROR(VLOOKUP(monedaPago, Configuración!$A$2:$B$3, 2, FALSE), 0.15), IF(AD1556&gt;limitePermitido, "ALERTA: EXCESO (" &amp; TEXT(limitePermitido, "0%") &amp; " máx)", "OK"))))</f>
        <v/>
      </c>
      <c r="AP1556" s="79">
        <f>IF(AN1556="","",IF(AE1556=0,"OK",_xlfn.LET(fechaPago, Z1556, fechaFactura, R1556, diasCredito, IF(E1556="Pago inmediato", 0, IFERROR(VALUE(MID(E1556, 1, SEARCH(" ", E1556)-1)),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56" s="79">
        <f>IF(AN1556="","",IF(AND(N1556&gt;0, AG1556&gt;0), IF(Configuración!$K$2="NO", "ALERTA: DESCUENTO DOBLE NO PERMITIDO", "OK"), "OK"))</f>
        <v/>
      </c>
      <c r="AR1556" s="79">
        <f>IF(AN1556="","",IF(OR(AO1556&lt;&gt;"OK", AP1556&lt;&gt;"OK", AQ1556&lt;&gt;"OK"), "⚠️ REVISAR", "OK"))</f>
        <v/>
      </c>
    </row>
    <row r="1557">
      <c r="A1557" s="79">
        <f>IF('Ordenes_Odoo'!A1557="","",'Ordenes_Odoo'!A1557)</f>
        <v/>
      </c>
      <c r="B1557" s="80">
        <f>IF('Ordenes_Odoo'!B1557="","",'Ordenes_Odoo'!B1557)</f>
        <v/>
      </c>
      <c r="C1557" s="79">
        <f>IF('Ordenes_Odoo'!C1557="","",'Ordenes_Odoo'!C1557)</f>
        <v/>
      </c>
      <c r="D1557" s="79">
        <f>IF('Ordenes_Odoo'!D1557="","",'Ordenes_Odoo'!D1557)</f>
        <v/>
      </c>
      <c r="E1557" s="79">
        <f>IF('Ordenes_Odoo'!E1557="","",'Ordenes_Odoo'!E1557)</f>
        <v/>
      </c>
      <c r="F1557" s="79">
        <f>IF('Ordenes_Odoo'!F1557="","",'Ordenes_Odoo'!F1557)</f>
        <v/>
      </c>
      <c r="G1557" s="79">
        <f>IF('Ordenes_Odoo'!G1557="","",'Ordenes_Odoo'!G1557)</f>
        <v/>
      </c>
      <c r="H1557" s="79">
        <f>IF('Ordenes_Odoo'!H1557="","",'Ordenes_Odoo'!H1557)</f>
        <v/>
      </c>
      <c r="I1557" s="79">
        <f>IF('Ordenes_Odoo'!I1557="","",'Ordenes_Odoo'!I1557)</f>
        <v/>
      </c>
      <c r="J1557" s="79">
        <f>IF('Ordenes_Odoo'!J1557="","",'Ordenes_Odoo'!J1557)</f>
        <v/>
      </c>
      <c r="K1557" s="81">
        <f>IF('Ordenes_Odoo'!K1557="","",'Ordenes_Odoo'!K1557)</f>
        <v/>
      </c>
      <c r="L1557" s="81">
        <f>IF('Ordenes_Odoo'!L1557="","",'Ordenes_Odoo'!L1557)</f>
        <v/>
      </c>
      <c r="M1557" s="79">
        <f>IF('Ordenes_Odoo'!M1557="","",'Ordenes_Odoo'!M1557)</f>
        <v/>
      </c>
      <c r="N1557" s="79">
        <f>IF('Ordenes_Odoo'!N1557="","",'Ordenes_Odoo'!N1557)</f>
        <v/>
      </c>
      <c r="O1557" s="81">
        <f>IF('Ordenes_Odoo'!O1557="","",'Ordenes_Odoo'!O1557)</f>
        <v/>
      </c>
      <c r="P1557" s="81">
        <f>IF('Ordenes_Odoo'!P1557="","",'Ordenes_Odoo'!P1557)</f>
        <v/>
      </c>
      <c r="Q1557" s="79">
        <f>IF(A1557="","",IFERROR(INDEX(Facturas_Odoo!$B:$B, MATCH(A1557, Facturas_Odoo!$D:$D, 0)), "Sin Factura"))</f>
        <v/>
      </c>
      <c r="R1557" s="80">
        <f>IF(Q1557="Sin Factura","",IFERROR(INDEX(Facturas_Odoo!$A:$A, MATCH(Q1557, Facturas_Odoo!$B:$B, 0)), ""))</f>
        <v/>
      </c>
      <c r="S1557" s="79">
        <f>IF(Q1557="Sin Factura","",IFERROR(_xlfn.XLOOKUP(1, (Facturas_Odoo!$D:$D=A1557) * (Facturas_Odoo!$K:$K=I1557), Facturas_Odoo!$L:$L, ""), ""))</f>
        <v/>
      </c>
      <c r="T1557" s="81">
        <f>IF(Q1557="Sin Factura",0,IFERROR(_xlfn.XLOOKUP(1, (Facturas_Odoo!$D:$D=A1557) * (Facturas_Odoo!$K:$K=I1557), Facturas_Odoo!$M:$M, 0), 0))</f>
        <v/>
      </c>
      <c r="U1557" s="79">
        <f>IF(Q1557="Sin Factura",0,IFERROR(_xlfn.XLOOKUP(1, (Facturas_Odoo!$D:$D=A1557) * (Facturas_Odoo!$K:$K=I1557), Facturas_Odoo!$N:$N, 0), 0))</f>
        <v/>
      </c>
      <c r="V1557" s="79">
        <f>IF(Q1557="Sin Factura",0,IFERROR(_xlfn.XLOOKUP(1, (Facturas_Odoo!$D:$D=A1557) * (Facturas_Odoo!$K:$K=I1557), Facturas_Odoo!$O:$O, 0), 0))</f>
        <v/>
      </c>
      <c r="W1557" s="81">
        <f>IF(Q1557="Sin Factura",0,IFERROR(_xlfn.XLOOKUP(1, (Facturas_Odoo!$D:$D=A1557) * (Facturas_Odoo!$K:$K=I1557), Facturas_Odoo!$Q:$Q, 0), 0))</f>
        <v/>
      </c>
      <c r="X1557" s="79">
        <f>IF(OR(Q1557="Sin Factura",Q1557=""),"",IFERROR(INDEX(Pagos_Odoo!$B:$B, MATCH(Q1557, Pagos_Odoo!$I:$I, 0)), "Sin Pago"))</f>
        <v/>
      </c>
      <c r="Y1557" s="79">
        <f>IF(X1557="Sin Pago","",IFERROR(INDEX(Pagos_Odoo!$C:$C, MATCH(X1557, Pagos_Odoo!$B:$B, 0)), ""))</f>
        <v/>
      </c>
      <c r="Z1557" s="80">
        <f>IF(X1557="Sin Pago","",IFERROR(INDEX(Pagos_Odoo!$A:$A, MATCH(X1557, Pagos_Odoo!$B:$B, 0)), ""))</f>
        <v/>
      </c>
      <c r="AA1557" s="79">
        <f>IF(X1557="Sin Pago","",IFERROR(INDEX(Pagos_Odoo!$F:$F, MATCH(X1557, Pagos_Odoo!$B:$B, 0)), ""))</f>
        <v/>
      </c>
      <c r="AB1557" s="81">
        <f>IF(X1557="Sin Pago",0,IFERROR(INDEX(Pagos_Odoo!$E:$E, MATCH(X1557, Pagos_Odoo!$B:$B, 0)), 0))</f>
        <v/>
      </c>
      <c r="AC1557" s="79">
        <f>IF(X1557="Sin Pago","",IFERROR(INDEX(Pagos_Odoo!$G:$G, MATCH(X1557, Pagos_Odoo!$B:$B, 0)), ""))</f>
        <v/>
      </c>
      <c r="AD1557" s="82" t="n">
        <v>0</v>
      </c>
      <c r="AE1557" s="82" t="n"/>
      <c r="AF1557" s="82" t="n"/>
      <c r="AG1557" s="82">
        <f>IF(AN1557="","",AD1557+AE1557+AF1557)</f>
        <v/>
      </c>
      <c r="AH1557" s="81">
        <f>IF(AN1557="","",P1557*(1-AG1557))</f>
        <v/>
      </c>
      <c r="AI1557" s="81">
        <f>IF(AN1557="","",IF(Q1557="Sin Factura",0,IFERROR(INDEX(Facturas_Odoo!$H:$H, MATCH(Q1557, Facturas_Odoo!$B:$B, 0)), 0)*(1-AG1557)))</f>
        <v/>
      </c>
      <c r="AJ1557" s="81">
        <f>IF(AN1557="","",_xlfn.LET(idVenta, AN1557&amp;"",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57" s="81">
        <f>IF(AN1557="","",AH1557-AJ1557)</f>
        <v/>
      </c>
      <c r="AL1557" s="81">
        <f>IF(AN1557="","",IF(Q1557="Sin Factura","",AI1557-AJ1557))</f>
        <v/>
      </c>
      <c r="AM1557" s="81">
        <f>IF(AN1557="","",IF(Q1557="Sin Factura",0,P1557-IFERROR(INDEX(Facturas_Odoo!$H:$H, MATCH(Q1557, Facturas_Odoo!$B:$B, 0)), 0)))</f>
        <v/>
      </c>
      <c r="AN1557" s="79">
        <f>IF(AND(A1557="", J1557=""), "", IF(A1557&lt;&gt;"", VALUE(MID(A1557,2,LEN(A1557))), AN1556))</f>
        <v/>
      </c>
      <c r="AO1557" s="79">
        <f>IF(AN1557="","",IF(AD1557=0,"OK",_xlfn.LET(monedaPago, IF(AA1557="","USD",AA1557), limitePermitido, IFERROR(VLOOKUP(monedaPago, Configuración!$A$2:$B$3, 2, FALSE), 0.15), IF(AD1557&gt;limitePermitido, "ALERTA: EXCESO (" &amp; TEXT(limitePermitido, "0%") &amp; " máx)", "OK"))))</f>
        <v/>
      </c>
      <c r="AP1557" s="79">
        <f>IF(AN1557="","",IF(AE1557=0,"OK",_xlfn.LET(fechaPago, Z1557, fechaFactura, R1557, diasCredito, IF(E1557="Pago inmediato", 0, IFERROR(VALUE(MID(E1557, 1, SEARCH(" ", E1557)-1)),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57" s="79">
        <f>IF(AN1557="","",IF(AND(N1557&gt;0, AG1557&gt;0), IF(Configuración!$K$2="NO", "ALERTA: DESCUENTO DOBLE NO PERMITIDO", "OK"), "OK"))</f>
        <v/>
      </c>
      <c r="AR1557" s="79">
        <f>IF(AN1557="","",IF(OR(AO1557&lt;&gt;"OK", AP1557&lt;&gt;"OK", AQ1557&lt;&gt;"OK"), "⚠️ REVISAR", "OK"))</f>
        <v/>
      </c>
    </row>
    <row r="1558">
      <c r="A1558" s="79">
        <f>IF('Ordenes_Odoo'!A1558="","",'Ordenes_Odoo'!A1558)</f>
        <v/>
      </c>
      <c r="B1558" s="80">
        <f>IF('Ordenes_Odoo'!B1558="","",'Ordenes_Odoo'!B1558)</f>
        <v/>
      </c>
      <c r="C1558" s="79">
        <f>IF('Ordenes_Odoo'!C1558="","",'Ordenes_Odoo'!C1558)</f>
        <v/>
      </c>
      <c r="D1558" s="79">
        <f>IF('Ordenes_Odoo'!D1558="","",'Ordenes_Odoo'!D1558)</f>
        <v/>
      </c>
      <c r="E1558" s="79">
        <f>IF('Ordenes_Odoo'!E1558="","",'Ordenes_Odoo'!E1558)</f>
        <v/>
      </c>
      <c r="F1558" s="79">
        <f>IF('Ordenes_Odoo'!F1558="","",'Ordenes_Odoo'!F1558)</f>
        <v/>
      </c>
      <c r="G1558" s="79">
        <f>IF('Ordenes_Odoo'!G1558="","",'Ordenes_Odoo'!G1558)</f>
        <v/>
      </c>
      <c r="H1558" s="79">
        <f>IF('Ordenes_Odoo'!H1558="","",'Ordenes_Odoo'!H1558)</f>
        <v/>
      </c>
      <c r="I1558" s="79">
        <f>IF('Ordenes_Odoo'!I1558="","",'Ordenes_Odoo'!I1558)</f>
        <v/>
      </c>
      <c r="J1558" s="79">
        <f>IF('Ordenes_Odoo'!J1558="","",'Ordenes_Odoo'!J1558)</f>
        <v/>
      </c>
      <c r="K1558" s="81">
        <f>IF('Ordenes_Odoo'!K1558="","",'Ordenes_Odoo'!K1558)</f>
        <v/>
      </c>
      <c r="L1558" s="81">
        <f>IF('Ordenes_Odoo'!L1558="","",'Ordenes_Odoo'!L1558)</f>
        <v/>
      </c>
      <c r="M1558" s="79">
        <f>IF('Ordenes_Odoo'!M1558="","",'Ordenes_Odoo'!M1558)</f>
        <v/>
      </c>
      <c r="N1558" s="79">
        <f>IF('Ordenes_Odoo'!N1558="","",'Ordenes_Odoo'!N1558)</f>
        <v/>
      </c>
      <c r="O1558" s="81">
        <f>IF('Ordenes_Odoo'!O1558="","",'Ordenes_Odoo'!O1558)</f>
        <v/>
      </c>
      <c r="P1558" s="81">
        <f>IF('Ordenes_Odoo'!P1558="","",'Ordenes_Odoo'!P1558)</f>
        <v/>
      </c>
      <c r="Q1558" s="79">
        <f>IF(A1558="","",IFERROR(INDEX(Facturas_Odoo!$B:$B, MATCH(A1558, Facturas_Odoo!$D:$D, 0)), "Sin Factura"))</f>
        <v/>
      </c>
      <c r="R1558" s="80">
        <f>IF(Q1558="Sin Factura","",IFERROR(INDEX(Facturas_Odoo!$A:$A, MATCH(Q1558, Facturas_Odoo!$B:$B, 0)), ""))</f>
        <v/>
      </c>
      <c r="S1558" s="79">
        <f>IF(Q1558="Sin Factura","",IFERROR(_xlfn.XLOOKUP(1, (Facturas_Odoo!$D:$D=A1558) * (Facturas_Odoo!$K:$K=I1558), Facturas_Odoo!$L:$L, ""), ""))</f>
        <v/>
      </c>
      <c r="T1558" s="81">
        <f>IF(Q1558="Sin Factura",0,IFERROR(_xlfn.XLOOKUP(1, (Facturas_Odoo!$D:$D=A1558) * (Facturas_Odoo!$K:$K=I1558), Facturas_Odoo!$M:$M, 0), 0))</f>
        <v/>
      </c>
      <c r="U1558" s="79">
        <f>IF(Q1558="Sin Factura",0,IFERROR(_xlfn.XLOOKUP(1, (Facturas_Odoo!$D:$D=A1558) * (Facturas_Odoo!$K:$K=I1558), Facturas_Odoo!$N:$N, 0), 0))</f>
        <v/>
      </c>
      <c r="V1558" s="79">
        <f>IF(Q1558="Sin Factura",0,IFERROR(_xlfn.XLOOKUP(1, (Facturas_Odoo!$D:$D=A1558) * (Facturas_Odoo!$K:$K=I1558), Facturas_Odoo!$O:$O, 0), 0))</f>
        <v/>
      </c>
      <c r="W1558" s="81">
        <f>IF(Q1558="Sin Factura",0,IFERROR(_xlfn.XLOOKUP(1, (Facturas_Odoo!$D:$D=A1558) * (Facturas_Odoo!$K:$K=I1558), Facturas_Odoo!$Q:$Q, 0), 0))</f>
        <v/>
      </c>
      <c r="X1558" s="79">
        <f>IF(OR(Q1558="Sin Factura",Q1558=""),"",IFERROR(INDEX(Pagos_Odoo!$B:$B, MATCH(Q1558, Pagos_Odoo!$I:$I, 0)), "Sin Pago"))</f>
        <v/>
      </c>
      <c r="Y1558" s="79">
        <f>IF(X1558="Sin Pago","",IFERROR(INDEX(Pagos_Odoo!$C:$C, MATCH(X1558, Pagos_Odoo!$B:$B, 0)), ""))</f>
        <v/>
      </c>
      <c r="Z1558" s="80">
        <f>IF(X1558="Sin Pago","",IFERROR(INDEX(Pagos_Odoo!$A:$A, MATCH(X1558, Pagos_Odoo!$B:$B, 0)), ""))</f>
        <v/>
      </c>
      <c r="AA1558" s="79">
        <f>IF(X1558="Sin Pago","",IFERROR(INDEX(Pagos_Odoo!$F:$F, MATCH(X1558, Pagos_Odoo!$B:$B, 0)), ""))</f>
        <v/>
      </c>
      <c r="AB1558" s="81">
        <f>IF(X1558="Sin Pago",0,IFERROR(INDEX(Pagos_Odoo!$E:$E, MATCH(X1558, Pagos_Odoo!$B:$B, 0)), 0))</f>
        <v/>
      </c>
      <c r="AC1558" s="79">
        <f>IF(X1558="Sin Pago","",IFERROR(INDEX(Pagos_Odoo!$G:$G, MATCH(X1558, Pagos_Odoo!$B:$B, 0)), ""))</f>
        <v/>
      </c>
      <c r="AD1558" s="82" t="n">
        <v>0</v>
      </c>
      <c r="AE1558" s="82" t="n"/>
      <c r="AF1558" s="82" t="n"/>
      <c r="AG1558" s="82">
        <f>IF(AN1558="","",AD1558+AE1558+AF1558)</f>
        <v/>
      </c>
      <c r="AH1558" s="81">
        <f>IF(AN1558="","",P1558*(1-AG1558))</f>
        <v/>
      </c>
      <c r="AI1558" s="81">
        <f>IF(AN1558="","",IF(Q1558="Sin Factura",0,IFERROR(INDEX(Facturas_Odoo!$H:$H, MATCH(Q1558, Facturas_Odoo!$B:$B, 0)), 0)*(1-AG1558)))</f>
        <v/>
      </c>
      <c r="AJ1558" s="81">
        <f>IF(AN1558="","",_xlfn.LET(idVenta, AN1558&amp;"",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58" s="81">
        <f>IF(AN1558="","",AH1558-AJ1558)</f>
        <v/>
      </c>
      <c r="AL1558" s="81">
        <f>IF(AN1558="","",IF(Q1558="Sin Factura","",AI1558-AJ1558))</f>
        <v/>
      </c>
      <c r="AM1558" s="81">
        <f>IF(AN1558="","",IF(Q1558="Sin Factura",0,P1558-IFERROR(INDEX(Facturas_Odoo!$H:$H, MATCH(Q1558, Facturas_Odoo!$B:$B, 0)), 0)))</f>
        <v/>
      </c>
      <c r="AN1558" s="79">
        <f>IF(AND(A1558="", J1558=""), "", IF(A1558&lt;&gt;"", VALUE(MID(A1558,2,LEN(A1558))), AN1557))</f>
        <v/>
      </c>
      <c r="AO1558" s="79">
        <f>IF(AN1558="","",IF(AD1558=0,"OK",_xlfn.LET(monedaPago, IF(AA1558="","USD",AA1558), limitePermitido, IFERROR(VLOOKUP(monedaPago, Configuración!$A$2:$B$3, 2, FALSE), 0.15), IF(AD1558&gt;limitePermitido, "ALERTA: EXCESO (" &amp; TEXT(limitePermitido, "0%") &amp; " máx)", "OK"))))</f>
        <v/>
      </c>
      <c r="AP1558" s="79">
        <f>IF(AN1558="","",IF(AE1558=0,"OK",_xlfn.LET(fechaPago, Z1558, fechaFactura, R1558, diasCredito, IF(E1558="Pago inmediato", 0, IFERROR(VALUE(MID(E1558, 1, SEARCH(" ", E1558)-1)),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58" s="79">
        <f>IF(AN1558="","",IF(AND(N1558&gt;0, AG1558&gt;0), IF(Configuración!$K$2="NO", "ALERTA: DESCUENTO DOBLE NO PERMITIDO", "OK"), "OK"))</f>
        <v/>
      </c>
      <c r="AR1558" s="79">
        <f>IF(AN1558="","",IF(OR(AO1558&lt;&gt;"OK", AP1558&lt;&gt;"OK", AQ1558&lt;&gt;"OK"), "⚠️ REVISAR", "OK"))</f>
        <v/>
      </c>
    </row>
    <row r="1559">
      <c r="A1559" s="79">
        <f>IF('Ordenes_Odoo'!A1559="","",'Ordenes_Odoo'!A1559)</f>
        <v/>
      </c>
      <c r="B1559" s="80">
        <f>IF('Ordenes_Odoo'!B1559="","",'Ordenes_Odoo'!B1559)</f>
        <v/>
      </c>
      <c r="C1559" s="79">
        <f>IF('Ordenes_Odoo'!C1559="","",'Ordenes_Odoo'!C1559)</f>
        <v/>
      </c>
      <c r="D1559" s="79">
        <f>IF('Ordenes_Odoo'!D1559="","",'Ordenes_Odoo'!D1559)</f>
        <v/>
      </c>
      <c r="E1559" s="79">
        <f>IF('Ordenes_Odoo'!E1559="","",'Ordenes_Odoo'!E1559)</f>
        <v/>
      </c>
      <c r="F1559" s="79">
        <f>IF('Ordenes_Odoo'!F1559="","",'Ordenes_Odoo'!F1559)</f>
        <v/>
      </c>
      <c r="G1559" s="79">
        <f>IF('Ordenes_Odoo'!G1559="","",'Ordenes_Odoo'!G1559)</f>
        <v/>
      </c>
      <c r="H1559" s="79">
        <f>IF('Ordenes_Odoo'!H1559="","",'Ordenes_Odoo'!H1559)</f>
        <v/>
      </c>
      <c r="I1559" s="79">
        <f>IF('Ordenes_Odoo'!I1559="","",'Ordenes_Odoo'!I1559)</f>
        <v/>
      </c>
      <c r="J1559" s="79">
        <f>IF('Ordenes_Odoo'!J1559="","",'Ordenes_Odoo'!J1559)</f>
        <v/>
      </c>
      <c r="K1559" s="81">
        <f>IF('Ordenes_Odoo'!K1559="","",'Ordenes_Odoo'!K1559)</f>
        <v/>
      </c>
      <c r="L1559" s="81">
        <f>IF('Ordenes_Odoo'!L1559="","",'Ordenes_Odoo'!L1559)</f>
        <v/>
      </c>
      <c r="M1559" s="79">
        <f>IF('Ordenes_Odoo'!M1559="","",'Ordenes_Odoo'!M1559)</f>
        <v/>
      </c>
      <c r="N1559" s="79">
        <f>IF('Ordenes_Odoo'!N1559="","",'Ordenes_Odoo'!N1559)</f>
        <v/>
      </c>
      <c r="O1559" s="81">
        <f>IF('Ordenes_Odoo'!O1559="","",'Ordenes_Odoo'!O1559)</f>
        <v/>
      </c>
      <c r="P1559" s="81">
        <f>IF('Ordenes_Odoo'!P1559="","",'Ordenes_Odoo'!P1559)</f>
        <v/>
      </c>
      <c r="Q1559" s="79">
        <f>IF(A1559="","",IFERROR(INDEX(Facturas_Odoo!$B:$B, MATCH(A1559, Facturas_Odoo!$D:$D, 0)), "Sin Factura"))</f>
        <v/>
      </c>
      <c r="R1559" s="80">
        <f>IF(Q1559="Sin Factura","",IFERROR(INDEX(Facturas_Odoo!$A:$A, MATCH(Q1559, Facturas_Odoo!$B:$B, 0)), ""))</f>
        <v/>
      </c>
      <c r="S1559" s="79">
        <f>IF(Q1559="Sin Factura","",IFERROR(_xlfn.XLOOKUP(1, (Facturas_Odoo!$D:$D=A1559) * (Facturas_Odoo!$K:$K=I1559), Facturas_Odoo!$L:$L, ""), ""))</f>
        <v/>
      </c>
      <c r="T1559" s="81">
        <f>IF(Q1559="Sin Factura",0,IFERROR(_xlfn.XLOOKUP(1, (Facturas_Odoo!$D:$D=A1559) * (Facturas_Odoo!$K:$K=I1559), Facturas_Odoo!$M:$M, 0), 0))</f>
        <v/>
      </c>
      <c r="U1559" s="79">
        <f>IF(Q1559="Sin Factura",0,IFERROR(_xlfn.XLOOKUP(1, (Facturas_Odoo!$D:$D=A1559) * (Facturas_Odoo!$K:$K=I1559), Facturas_Odoo!$N:$N, 0), 0))</f>
        <v/>
      </c>
      <c r="V1559" s="79">
        <f>IF(Q1559="Sin Factura",0,IFERROR(_xlfn.XLOOKUP(1, (Facturas_Odoo!$D:$D=A1559) * (Facturas_Odoo!$K:$K=I1559), Facturas_Odoo!$O:$O, 0), 0))</f>
        <v/>
      </c>
      <c r="W1559" s="81">
        <f>IF(Q1559="Sin Factura",0,IFERROR(_xlfn.XLOOKUP(1, (Facturas_Odoo!$D:$D=A1559) * (Facturas_Odoo!$K:$K=I1559), Facturas_Odoo!$Q:$Q, 0), 0))</f>
        <v/>
      </c>
      <c r="X1559" s="79">
        <f>IF(OR(Q1559="Sin Factura",Q1559=""),"",IFERROR(INDEX(Pagos_Odoo!$B:$B, MATCH(Q1559, Pagos_Odoo!$I:$I, 0)), "Sin Pago"))</f>
        <v/>
      </c>
      <c r="Y1559" s="79">
        <f>IF(X1559="Sin Pago","",IFERROR(INDEX(Pagos_Odoo!$C:$C, MATCH(X1559, Pagos_Odoo!$B:$B, 0)), ""))</f>
        <v/>
      </c>
      <c r="Z1559" s="80">
        <f>IF(X1559="Sin Pago","",IFERROR(INDEX(Pagos_Odoo!$A:$A, MATCH(X1559, Pagos_Odoo!$B:$B, 0)), ""))</f>
        <v/>
      </c>
      <c r="AA1559" s="79">
        <f>IF(X1559="Sin Pago","",IFERROR(INDEX(Pagos_Odoo!$F:$F, MATCH(X1559, Pagos_Odoo!$B:$B, 0)), ""))</f>
        <v/>
      </c>
      <c r="AB1559" s="81">
        <f>IF(X1559="Sin Pago",0,IFERROR(INDEX(Pagos_Odoo!$E:$E, MATCH(X1559, Pagos_Odoo!$B:$B, 0)), 0))</f>
        <v/>
      </c>
      <c r="AC1559" s="79">
        <f>IF(X1559="Sin Pago","",IFERROR(INDEX(Pagos_Odoo!$G:$G, MATCH(X1559, Pagos_Odoo!$B:$B, 0)), ""))</f>
        <v/>
      </c>
      <c r="AD1559" s="82" t="n">
        <v>0</v>
      </c>
      <c r="AE1559" s="82" t="n"/>
      <c r="AF1559" s="82" t="n"/>
      <c r="AG1559" s="82">
        <f>IF(AN1559="","",AD1559+AE1559+AF1559)</f>
        <v/>
      </c>
      <c r="AH1559" s="81">
        <f>IF(AN1559="","",P1559*(1-AG1559))</f>
        <v/>
      </c>
      <c r="AI1559" s="81">
        <f>IF(AN1559="","",IF(Q1559="Sin Factura",0,IFERROR(INDEX(Facturas_Odoo!$H:$H, MATCH(Q1559, Facturas_Odoo!$B:$B, 0)), 0)*(1-AG1559)))</f>
        <v/>
      </c>
      <c r="AJ1559" s="81">
        <f>IF(AN1559="","",_xlfn.LET(idVenta, AN1559&amp;"",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59" s="81">
        <f>IF(AN1559="","",AH1559-AJ1559)</f>
        <v/>
      </c>
      <c r="AL1559" s="81">
        <f>IF(AN1559="","",IF(Q1559="Sin Factura","",AI1559-AJ1559))</f>
        <v/>
      </c>
      <c r="AM1559" s="81">
        <f>IF(AN1559="","",IF(Q1559="Sin Factura",0,P1559-IFERROR(INDEX(Facturas_Odoo!$H:$H, MATCH(Q1559, Facturas_Odoo!$B:$B, 0)), 0)))</f>
        <v/>
      </c>
      <c r="AN1559" s="79">
        <f>IF(AND(A1559="", J1559=""), "", IF(A1559&lt;&gt;"", VALUE(MID(A1559,2,LEN(A1559))), AN1558))</f>
        <v/>
      </c>
      <c r="AO1559" s="79">
        <f>IF(AN1559="","",IF(AD1559=0,"OK",_xlfn.LET(monedaPago, IF(AA1559="","USD",AA1559), limitePermitido, IFERROR(VLOOKUP(monedaPago, Configuración!$A$2:$B$3, 2, FALSE), 0.15), IF(AD1559&gt;limitePermitido, "ALERTA: EXCESO (" &amp; TEXT(limitePermitido, "0%") &amp; " máx)", "OK"))))</f>
        <v/>
      </c>
      <c r="AP1559" s="79">
        <f>IF(AN1559="","",IF(AE1559=0,"OK",_xlfn.LET(fechaPago, Z1559, fechaFactura, R1559, diasCredito, IF(E1559="Pago inmediato", 0, IFERROR(VALUE(MID(E1559, 1, SEARCH(" ", E1559)-1)),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59" s="79">
        <f>IF(AN1559="","",IF(AND(N1559&gt;0, AG1559&gt;0), IF(Configuración!$K$2="NO", "ALERTA: DESCUENTO DOBLE NO PERMITIDO", "OK"), "OK"))</f>
        <v/>
      </c>
      <c r="AR1559" s="79">
        <f>IF(AN1559="","",IF(OR(AO1559&lt;&gt;"OK", AP1559&lt;&gt;"OK", AQ1559&lt;&gt;"OK"), "⚠️ REVISAR", "OK"))</f>
        <v/>
      </c>
    </row>
    <row r="1560">
      <c r="A1560" s="79">
        <f>IF('Ordenes_Odoo'!A1560="","",'Ordenes_Odoo'!A1560)</f>
        <v/>
      </c>
      <c r="B1560" s="80">
        <f>IF('Ordenes_Odoo'!B1560="","",'Ordenes_Odoo'!B1560)</f>
        <v/>
      </c>
      <c r="C1560" s="79">
        <f>IF('Ordenes_Odoo'!C1560="","",'Ordenes_Odoo'!C1560)</f>
        <v/>
      </c>
      <c r="D1560" s="79">
        <f>IF('Ordenes_Odoo'!D1560="","",'Ordenes_Odoo'!D1560)</f>
        <v/>
      </c>
      <c r="E1560" s="79">
        <f>IF('Ordenes_Odoo'!E1560="","",'Ordenes_Odoo'!E1560)</f>
        <v/>
      </c>
      <c r="F1560" s="79">
        <f>IF('Ordenes_Odoo'!F1560="","",'Ordenes_Odoo'!F1560)</f>
        <v/>
      </c>
      <c r="G1560" s="79">
        <f>IF('Ordenes_Odoo'!G1560="","",'Ordenes_Odoo'!G1560)</f>
        <v/>
      </c>
      <c r="H1560" s="79">
        <f>IF('Ordenes_Odoo'!H1560="","",'Ordenes_Odoo'!H1560)</f>
        <v/>
      </c>
      <c r="I1560" s="79">
        <f>IF('Ordenes_Odoo'!I1560="","",'Ordenes_Odoo'!I1560)</f>
        <v/>
      </c>
      <c r="J1560" s="79">
        <f>IF('Ordenes_Odoo'!J1560="","",'Ordenes_Odoo'!J1560)</f>
        <v/>
      </c>
      <c r="K1560" s="81">
        <f>IF('Ordenes_Odoo'!K1560="","",'Ordenes_Odoo'!K1560)</f>
        <v/>
      </c>
      <c r="L1560" s="81">
        <f>IF('Ordenes_Odoo'!L1560="","",'Ordenes_Odoo'!L1560)</f>
        <v/>
      </c>
      <c r="M1560" s="79">
        <f>IF('Ordenes_Odoo'!M1560="","",'Ordenes_Odoo'!M1560)</f>
        <v/>
      </c>
      <c r="N1560" s="79">
        <f>IF('Ordenes_Odoo'!N1560="","",'Ordenes_Odoo'!N1560)</f>
        <v/>
      </c>
      <c r="O1560" s="81">
        <f>IF('Ordenes_Odoo'!O1560="","",'Ordenes_Odoo'!O1560)</f>
        <v/>
      </c>
      <c r="P1560" s="81">
        <f>IF('Ordenes_Odoo'!P1560="","",'Ordenes_Odoo'!P1560)</f>
        <v/>
      </c>
      <c r="Q1560" s="79">
        <f>IF(A1560="","",IFERROR(INDEX(Facturas_Odoo!$B:$B, MATCH(A1560, Facturas_Odoo!$D:$D, 0)), "Sin Factura"))</f>
        <v/>
      </c>
      <c r="R1560" s="80">
        <f>IF(Q1560="Sin Factura","",IFERROR(INDEX(Facturas_Odoo!$A:$A, MATCH(Q1560, Facturas_Odoo!$B:$B, 0)), ""))</f>
        <v/>
      </c>
      <c r="S1560" s="79">
        <f>IF(Q1560="Sin Factura","",IFERROR(_xlfn.XLOOKUP(1, (Facturas_Odoo!$D:$D=A1560) * (Facturas_Odoo!$K:$K=I1560), Facturas_Odoo!$L:$L, ""), ""))</f>
        <v/>
      </c>
      <c r="T1560" s="81">
        <f>IF(Q1560="Sin Factura",0,IFERROR(_xlfn.XLOOKUP(1, (Facturas_Odoo!$D:$D=A1560) * (Facturas_Odoo!$K:$K=I1560), Facturas_Odoo!$M:$M, 0), 0))</f>
        <v/>
      </c>
      <c r="U1560" s="79">
        <f>IF(Q1560="Sin Factura",0,IFERROR(_xlfn.XLOOKUP(1, (Facturas_Odoo!$D:$D=A1560) * (Facturas_Odoo!$K:$K=I1560), Facturas_Odoo!$N:$N, 0), 0))</f>
        <v/>
      </c>
      <c r="V1560" s="79">
        <f>IF(Q1560="Sin Factura",0,IFERROR(_xlfn.XLOOKUP(1, (Facturas_Odoo!$D:$D=A1560) * (Facturas_Odoo!$K:$K=I1560), Facturas_Odoo!$O:$O, 0), 0))</f>
        <v/>
      </c>
      <c r="W1560" s="81">
        <f>IF(Q1560="Sin Factura",0,IFERROR(_xlfn.XLOOKUP(1, (Facturas_Odoo!$D:$D=A1560) * (Facturas_Odoo!$K:$K=I1560), Facturas_Odoo!$Q:$Q, 0), 0))</f>
        <v/>
      </c>
      <c r="X1560" s="79">
        <f>IF(OR(Q1560="Sin Factura",Q1560=""),"",IFERROR(INDEX(Pagos_Odoo!$B:$B, MATCH(Q1560, Pagos_Odoo!$I:$I, 0)), "Sin Pago"))</f>
        <v/>
      </c>
      <c r="Y1560" s="79">
        <f>IF(X1560="Sin Pago","",IFERROR(INDEX(Pagos_Odoo!$C:$C, MATCH(X1560, Pagos_Odoo!$B:$B, 0)), ""))</f>
        <v/>
      </c>
      <c r="Z1560" s="80">
        <f>IF(X1560="Sin Pago","",IFERROR(INDEX(Pagos_Odoo!$A:$A, MATCH(X1560, Pagos_Odoo!$B:$B, 0)), ""))</f>
        <v/>
      </c>
      <c r="AA1560" s="79">
        <f>IF(X1560="Sin Pago","",IFERROR(INDEX(Pagos_Odoo!$F:$F, MATCH(X1560, Pagos_Odoo!$B:$B, 0)), ""))</f>
        <v/>
      </c>
      <c r="AB1560" s="81">
        <f>IF(X1560="Sin Pago",0,IFERROR(INDEX(Pagos_Odoo!$E:$E, MATCH(X1560, Pagos_Odoo!$B:$B, 0)), 0))</f>
        <v/>
      </c>
      <c r="AC1560" s="79">
        <f>IF(X1560="Sin Pago","",IFERROR(INDEX(Pagos_Odoo!$G:$G, MATCH(X1560, Pagos_Odoo!$B:$B, 0)), ""))</f>
        <v/>
      </c>
      <c r="AD1560" s="82" t="n">
        <v>0</v>
      </c>
      <c r="AE1560" s="82" t="n"/>
      <c r="AF1560" s="82" t="n"/>
      <c r="AG1560" s="82">
        <f>IF(AN1560="","",AD1560+AE1560+AF1560)</f>
        <v/>
      </c>
      <c r="AH1560" s="81">
        <f>IF(AN1560="","",P1560*(1-AG1560))</f>
        <v/>
      </c>
      <c r="AI1560" s="81">
        <f>IF(AN1560="","",IF(Q1560="Sin Factura",0,IFERROR(INDEX(Facturas_Odoo!$H:$H, MATCH(Q1560, Facturas_Odoo!$B:$B, 0)), 0)*(1-AG1560)))</f>
        <v/>
      </c>
      <c r="AJ1560" s="81">
        <f>IF(AN1560="","",_xlfn.LET(idVenta, AN1560&amp;"",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60" s="81">
        <f>IF(AN1560="","",AH1560-AJ1560)</f>
        <v/>
      </c>
      <c r="AL1560" s="81">
        <f>IF(AN1560="","",IF(Q1560="Sin Factura","",AI1560-AJ1560))</f>
        <v/>
      </c>
      <c r="AM1560" s="81">
        <f>IF(AN1560="","",IF(Q1560="Sin Factura",0,P1560-IFERROR(INDEX(Facturas_Odoo!$H:$H, MATCH(Q1560, Facturas_Odoo!$B:$B, 0)), 0)))</f>
        <v/>
      </c>
      <c r="AN1560" s="79">
        <f>IF(AND(A1560="", J1560=""), "", IF(A1560&lt;&gt;"", VALUE(MID(A1560,2,LEN(A1560))), AN1559))</f>
        <v/>
      </c>
      <c r="AO1560" s="79">
        <f>IF(AN1560="","",IF(AD1560=0,"OK",_xlfn.LET(monedaPago, IF(AA1560="","USD",AA1560), limitePermitido, IFERROR(VLOOKUP(monedaPago, Configuración!$A$2:$B$3, 2, FALSE), 0.15), IF(AD1560&gt;limitePermitido, "ALERTA: EXCESO (" &amp; TEXT(limitePermitido, "0%") &amp; " máx)", "OK"))))</f>
        <v/>
      </c>
      <c r="AP1560" s="79">
        <f>IF(AN1560="","",IF(AE1560=0,"OK",_xlfn.LET(fechaPago, Z1560, fechaFactura, R1560, diasCredito, IF(E1560="Pago inmediato", 0, IFERROR(VALUE(MID(E1560, 1, SEARCH(" ", E1560)-1)),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60" s="79">
        <f>IF(AN1560="","",IF(AND(N1560&gt;0, AG1560&gt;0), IF(Configuración!$K$2="NO", "ALERTA: DESCUENTO DOBLE NO PERMITIDO", "OK"), "OK"))</f>
        <v/>
      </c>
      <c r="AR1560" s="79">
        <f>IF(AN1560="","",IF(OR(AO1560&lt;&gt;"OK", AP1560&lt;&gt;"OK", AQ1560&lt;&gt;"OK"), "⚠️ REVISAR", "OK"))</f>
        <v/>
      </c>
    </row>
    <row r="1561">
      <c r="A1561" s="79">
        <f>IF('Ordenes_Odoo'!A1561="","",'Ordenes_Odoo'!A1561)</f>
        <v/>
      </c>
      <c r="B1561" s="80">
        <f>IF('Ordenes_Odoo'!B1561="","",'Ordenes_Odoo'!B1561)</f>
        <v/>
      </c>
      <c r="C1561" s="79">
        <f>IF('Ordenes_Odoo'!C1561="","",'Ordenes_Odoo'!C1561)</f>
        <v/>
      </c>
      <c r="D1561" s="79">
        <f>IF('Ordenes_Odoo'!D1561="","",'Ordenes_Odoo'!D1561)</f>
        <v/>
      </c>
      <c r="E1561" s="79">
        <f>IF('Ordenes_Odoo'!E1561="","",'Ordenes_Odoo'!E1561)</f>
        <v/>
      </c>
      <c r="F1561" s="79">
        <f>IF('Ordenes_Odoo'!F1561="","",'Ordenes_Odoo'!F1561)</f>
        <v/>
      </c>
      <c r="G1561" s="79">
        <f>IF('Ordenes_Odoo'!G1561="","",'Ordenes_Odoo'!G1561)</f>
        <v/>
      </c>
      <c r="H1561" s="79">
        <f>IF('Ordenes_Odoo'!H1561="","",'Ordenes_Odoo'!H1561)</f>
        <v/>
      </c>
      <c r="I1561" s="79">
        <f>IF('Ordenes_Odoo'!I1561="","",'Ordenes_Odoo'!I1561)</f>
        <v/>
      </c>
      <c r="J1561" s="79">
        <f>IF('Ordenes_Odoo'!J1561="","",'Ordenes_Odoo'!J1561)</f>
        <v/>
      </c>
      <c r="K1561" s="81">
        <f>IF('Ordenes_Odoo'!K1561="","",'Ordenes_Odoo'!K1561)</f>
        <v/>
      </c>
      <c r="L1561" s="81">
        <f>IF('Ordenes_Odoo'!L1561="","",'Ordenes_Odoo'!L1561)</f>
        <v/>
      </c>
      <c r="M1561" s="79">
        <f>IF('Ordenes_Odoo'!M1561="","",'Ordenes_Odoo'!M1561)</f>
        <v/>
      </c>
      <c r="N1561" s="79">
        <f>IF('Ordenes_Odoo'!N1561="","",'Ordenes_Odoo'!N1561)</f>
        <v/>
      </c>
      <c r="O1561" s="81">
        <f>IF('Ordenes_Odoo'!O1561="","",'Ordenes_Odoo'!O1561)</f>
        <v/>
      </c>
      <c r="P1561" s="81">
        <f>IF('Ordenes_Odoo'!P1561="","",'Ordenes_Odoo'!P1561)</f>
        <v/>
      </c>
      <c r="Q1561" s="79">
        <f>IF(A1561="","",IFERROR(INDEX(Facturas_Odoo!$B:$B, MATCH(A1561, Facturas_Odoo!$D:$D, 0)), "Sin Factura"))</f>
        <v/>
      </c>
      <c r="R1561" s="80">
        <f>IF(Q1561="Sin Factura","",IFERROR(INDEX(Facturas_Odoo!$A:$A, MATCH(Q1561, Facturas_Odoo!$B:$B, 0)), ""))</f>
        <v/>
      </c>
      <c r="S1561" s="79">
        <f>IF(Q1561="Sin Factura","",IFERROR(_xlfn.XLOOKUP(1, (Facturas_Odoo!$D:$D=A1561) * (Facturas_Odoo!$K:$K=I1561), Facturas_Odoo!$L:$L, ""), ""))</f>
        <v/>
      </c>
      <c r="T1561" s="81">
        <f>IF(Q1561="Sin Factura",0,IFERROR(_xlfn.XLOOKUP(1, (Facturas_Odoo!$D:$D=A1561) * (Facturas_Odoo!$K:$K=I1561), Facturas_Odoo!$M:$M, 0), 0))</f>
        <v/>
      </c>
      <c r="U1561" s="79">
        <f>IF(Q1561="Sin Factura",0,IFERROR(_xlfn.XLOOKUP(1, (Facturas_Odoo!$D:$D=A1561) * (Facturas_Odoo!$K:$K=I1561), Facturas_Odoo!$N:$N, 0), 0))</f>
        <v/>
      </c>
      <c r="V1561" s="79">
        <f>IF(Q1561="Sin Factura",0,IFERROR(_xlfn.XLOOKUP(1, (Facturas_Odoo!$D:$D=A1561) * (Facturas_Odoo!$K:$K=I1561), Facturas_Odoo!$O:$O, 0), 0))</f>
        <v/>
      </c>
      <c r="W1561" s="81">
        <f>IF(Q1561="Sin Factura",0,IFERROR(_xlfn.XLOOKUP(1, (Facturas_Odoo!$D:$D=A1561) * (Facturas_Odoo!$K:$K=I1561), Facturas_Odoo!$Q:$Q, 0), 0))</f>
        <v/>
      </c>
      <c r="X1561" s="79">
        <f>IF(OR(Q1561="Sin Factura",Q1561=""),"",IFERROR(INDEX(Pagos_Odoo!$B:$B, MATCH(Q1561, Pagos_Odoo!$I:$I, 0)), "Sin Pago"))</f>
        <v/>
      </c>
      <c r="Y1561" s="79">
        <f>IF(X1561="Sin Pago","",IFERROR(INDEX(Pagos_Odoo!$C:$C, MATCH(X1561, Pagos_Odoo!$B:$B, 0)), ""))</f>
        <v/>
      </c>
      <c r="Z1561" s="80">
        <f>IF(X1561="Sin Pago","",IFERROR(INDEX(Pagos_Odoo!$A:$A, MATCH(X1561, Pagos_Odoo!$B:$B, 0)), ""))</f>
        <v/>
      </c>
      <c r="AA1561" s="79">
        <f>IF(X1561="Sin Pago","",IFERROR(INDEX(Pagos_Odoo!$F:$F, MATCH(X1561, Pagos_Odoo!$B:$B, 0)), ""))</f>
        <v/>
      </c>
      <c r="AB1561" s="81">
        <f>IF(X1561="Sin Pago",0,IFERROR(INDEX(Pagos_Odoo!$E:$E, MATCH(X1561, Pagos_Odoo!$B:$B, 0)), 0))</f>
        <v/>
      </c>
      <c r="AC1561" s="79">
        <f>IF(X1561="Sin Pago","",IFERROR(INDEX(Pagos_Odoo!$G:$G, MATCH(X1561, Pagos_Odoo!$B:$B, 0)), ""))</f>
        <v/>
      </c>
      <c r="AD1561" s="82" t="n">
        <v>0</v>
      </c>
      <c r="AE1561" s="82" t="n"/>
      <c r="AF1561" s="82" t="n"/>
      <c r="AG1561" s="82">
        <f>IF(AN1561="","",AD1561+AE1561+AF1561)</f>
        <v/>
      </c>
      <c r="AH1561" s="81">
        <f>IF(AN1561="","",P1561*(1-AG1561))</f>
        <v/>
      </c>
      <c r="AI1561" s="81">
        <f>IF(AN1561="","",IF(Q1561="Sin Factura",0,IFERROR(INDEX(Facturas_Odoo!$H:$H, MATCH(Q1561, Facturas_Odoo!$B:$B, 0)), 0)*(1-AG1561)))</f>
        <v/>
      </c>
      <c r="AJ1561" s="81">
        <f>IF(AN1561="","",_xlfn.LET(idVenta, AN1561&amp;"",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61" s="81">
        <f>IF(AN1561="","",AH1561-AJ1561)</f>
        <v/>
      </c>
      <c r="AL1561" s="81">
        <f>IF(AN1561="","",IF(Q1561="Sin Factura","",AI1561-AJ1561))</f>
        <v/>
      </c>
      <c r="AM1561" s="81">
        <f>IF(AN1561="","",IF(Q1561="Sin Factura",0,P1561-IFERROR(INDEX(Facturas_Odoo!$H:$H, MATCH(Q1561, Facturas_Odoo!$B:$B, 0)), 0)))</f>
        <v/>
      </c>
      <c r="AN1561" s="79">
        <f>IF(AND(A1561="", J1561=""), "", IF(A1561&lt;&gt;"", VALUE(MID(A1561,2,LEN(A1561))), AN1560))</f>
        <v/>
      </c>
      <c r="AO1561" s="79">
        <f>IF(AN1561="","",IF(AD1561=0,"OK",_xlfn.LET(monedaPago, IF(AA1561="","USD",AA1561), limitePermitido, IFERROR(VLOOKUP(monedaPago, Configuración!$A$2:$B$3, 2, FALSE), 0.15), IF(AD1561&gt;limitePermitido, "ALERTA: EXCESO (" &amp; TEXT(limitePermitido, "0%") &amp; " máx)", "OK"))))</f>
        <v/>
      </c>
      <c r="AP1561" s="79">
        <f>IF(AN1561="","",IF(AE1561=0,"OK",_xlfn.LET(fechaPago, Z1561, fechaFactura, R1561, diasCredito, IF(E1561="Pago inmediato", 0, IFERROR(VALUE(MID(E1561, 1, SEARCH(" ", E1561)-1)),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61" s="79">
        <f>IF(AN1561="","",IF(AND(N1561&gt;0, AG1561&gt;0), IF(Configuración!$K$2="NO", "ALERTA: DESCUENTO DOBLE NO PERMITIDO", "OK"), "OK"))</f>
        <v/>
      </c>
      <c r="AR1561" s="79">
        <f>IF(AN1561="","",IF(OR(AO1561&lt;&gt;"OK", AP1561&lt;&gt;"OK", AQ1561&lt;&gt;"OK"), "⚠️ REVISAR", "OK"))</f>
        <v/>
      </c>
    </row>
    <row r="1562">
      <c r="A1562" s="79">
        <f>IF('Ordenes_Odoo'!A1562="","",'Ordenes_Odoo'!A1562)</f>
        <v/>
      </c>
      <c r="B1562" s="80">
        <f>IF('Ordenes_Odoo'!B1562="","",'Ordenes_Odoo'!B1562)</f>
        <v/>
      </c>
      <c r="C1562" s="79">
        <f>IF('Ordenes_Odoo'!C1562="","",'Ordenes_Odoo'!C1562)</f>
        <v/>
      </c>
      <c r="D1562" s="79">
        <f>IF('Ordenes_Odoo'!D1562="","",'Ordenes_Odoo'!D1562)</f>
        <v/>
      </c>
      <c r="E1562" s="79">
        <f>IF('Ordenes_Odoo'!E1562="","",'Ordenes_Odoo'!E1562)</f>
        <v/>
      </c>
      <c r="F1562" s="79">
        <f>IF('Ordenes_Odoo'!F1562="","",'Ordenes_Odoo'!F1562)</f>
        <v/>
      </c>
      <c r="G1562" s="79">
        <f>IF('Ordenes_Odoo'!G1562="","",'Ordenes_Odoo'!G1562)</f>
        <v/>
      </c>
      <c r="H1562" s="79">
        <f>IF('Ordenes_Odoo'!H1562="","",'Ordenes_Odoo'!H1562)</f>
        <v/>
      </c>
      <c r="I1562" s="79">
        <f>IF('Ordenes_Odoo'!I1562="","",'Ordenes_Odoo'!I1562)</f>
        <v/>
      </c>
      <c r="J1562" s="79">
        <f>IF('Ordenes_Odoo'!J1562="","",'Ordenes_Odoo'!J1562)</f>
        <v/>
      </c>
      <c r="K1562" s="81">
        <f>IF('Ordenes_Odoo'!K1562="","",'Ordenes_Odoo'!K1562)</f>
        <v/>
      </c>
      <c r="L1562" s="81">
        <f>IF('Ordenes_Odoo'!L1562="","",'Ordenes_Odoo'!L1562)</f>
        <v/>
      </c>
      <c r="M1562" s="79">
        <f>IF('Ordenes_Odoo'!M1562="","",'Ordenes_Odoo'!M1562)</f>
        <v/>
      </c>
      <c r="N1562" s="79">
        <f>IF('Ordenes_Odoo'!N1562="","",'Ordenes_Odoo'!N1562)</f>
        <v/>
      </c>
      <c r="O1562" s="81">
        <f>IF('Ordenes_Odoo'!O1562="","",'Ordenes_Odoo'!O1562)</f>
        <v/>
      </c>
      <c r="P1562" s="81">
        <f>IF('Ordenes_Odoo'!P1562="","",'Ordenes_Odoo'!P1562)</f>
        <v/>
      </c>
      <c r="Q1562" s="79">
        <f>IF(A1562="","",IFERROR(INDEX(Facturas_Odoo!$B:$B, MATCH(A1562, Facturas_Odoo!$D:$D, 0)), "Sin Factura"))</f>
        <v/>
      </c>
      <c r="R1562" s="80">
        <f>IF(Q1562="Sin Factura","",IFERROR(INDEX(Facturas_Odoo!$A:$A, MATCH(Q1562, Facturas_Odoo!$B:$B, 0)), ""))</f>
        <v/>
      </c>
      <c r="S1562" s="79">
        <f>IF(Q1562="Sin Factura","",IFERROR(_xlfn.XLOOKUP(1, (Facturas_Odoo!$D:$D=A1562) * (Facturas_Odoo!$K:$K=I1562), Facturas_Odoo!$L:$L, ""), ""))</f>
        <v/>
      </c>
      <c r="T1562" s="81">
        <f>IF(Q1562="Sin Factura",0,IFERROR(_xlfn.XLOOKUP(1, (Facturas_Odoo!$D:$D=A1562) * (Facturas_Odoo!$K:$K=I1562), Facturas_Odoo!$M:$M, 0), 0))</f>
        <v/>
      </c>
      <c r="U1562" s="79">
        <f>IF(Q1562="Sin Factura",0,IFERROR(_xlfn.XLOOKUP(1, (Facturas_Odoo!$D:$D=A1562) * (Facturas_Odoo!$K:$K=I1562), Facturas_Odoo!$N:$N, 0), 0))</f>
        <v/>
      </c>
      <c r="V1562" s="79">
        <f>IF(Q1562="Sin Factura",0,IFERROR(_xlfn.XLOOKUP(1, (Facturas_Odoo!$D:$D=A1562) * (Facturas_Odoo!$K:$K=I1562), Facturas_Odoo!$O:$O, 0), 0))</f>
        <v/>
      </c>
      <c r="W1562" s="81">
        <f>IF(Q1562="Sin Factura",0,IFERROR(_xlfn.XLOOKUP(1, (Facturas_Odoo!$D:$D=A1562) * (Facturas_Odoo!$K:$K=I1562), Facturas_Odoo!$Q:$Q, 0), 0))</f>
        <v/>
      </c>
      <c r="X1562" s="79">
        <f>IF(OR(Q1562="Sin Factura",Q1562=""),"",IFERROR(INDEX(Pagos_Odoo!$B:$B, MATCH(Q1562, Pagos_Odoo!$I:$I, 0)), "Sin Pago"))</f>
        <v/>
      </c>
      <c r="Y1562" s="79">
        <f>IF(X1562="Sin Pago","",IFERROR(INDEX(Pagos_Odoo!$C:$C, MATCH(X1562, Pagos_Odoo!$B:$B, 0)), ""))</f>
        <v/>
      </c>
      <c r="Z1562" s="80">
        <f>IF(X1562="Sin Pago","",IFERROR(INDEX(Pagos_Odoo!$A:$A, MATCH(X1562, Pagos_Odoo!$B:$B, 0)), ""))</f>
        <v/>
      </c>
      <c r="AA1562" s="79">
        <f>IF(X1562="Sin Pago","",IFERROR(INDEX(Pagos_Odoo!$F:$F, MATCH(X1562, Pagos_Odoo!$B:$B, 0)), ""))</f>
        <v/>
      </c>
      <c r="AB1562" s="81">
        <f>IF(X1562="Sin Pago",0,IFERROR(INDEX(Pagos_Odoo!$E:$E, MATCH(X1562, Pagos_Odoo!$B:$B, 0)), 0))</f>
        <v/>
      </c>
      <c r="AC1562" s="79">
        <f>IF(X1562="Sin Pago","",IFERROR(INDEX(Pagos_Odoo!$G:$G, MATCH(X1562, Pagos_Odoo!$B:$B, 0)), ""))</f>
        <v/>
      </c>
      <c r="AD1562" s="82" t="n">
        <v>0</v>
      </c>
      <c r="AE1562" s="82" t="n"/>
      <c r="AF1562" s="82" t="n"/>
      <c r="AG1562" s="82">
        <f>IF(AN1562="","",AD1562+AE1562+AF1562)</f>
        <v/>
      </c>
      <c r="AH1562" s="81">
        <f>IF(AN1562="","",P1562*(1-AG1562))</f>
        <v/>
      </c>
      <c r="AI1562" s="81">
        <f>IF(AN1562="","",IF(Q1562="Sin Factura",0,IFERROR(INDEX(Facturas_Odoo!$H:$H, MATCH(Q1562, Facturas_Odoo!$B:$B, 0)), 0)*(1-AG1562)))</f>
        <v/>
      </c>
      <c r="AJ1562" s="81">
        <f>IF(AN1562="","",_xlfn.LET(idVenta, AN1562&amp;"",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62" s="81">
        <f>IF(AN1562="","",AH1562-AJ1562)</f>
        <v/>
      </c>
      <c r="AL1562" s="81">
        <f>IF(AN1562="","",IF(Q1562="Sin Factura","",AI1562-AJ1562))</f>
        <v/>
      </c>
      <c r="AM1562" s="81">
        <f>IF(AN1562="","",IF(Q1562="Sin Factura",0,P1562-IFERROR(INDEX(Facturas_Odoo!$H:$H, MATCH(Q1562, Facturas_Odoo!$B:$B, 0)), 0)))</f>
        <v/>
      </c>
      <c r="AN1562" s="79">
        <f>IF(AND(A1562="", J1562=""), "", IF(A1562&lt;&gt;"", VALUE(MID(A1562,2,LEN(A1562))), AN1561))</f>
        <v/>
      </c>
      <c r="AO1562" s="79">
        <f>IF(AN1562="","",IF(AD1562=0,"OK",_xlfn.LET(monedaPago, IF(AA1562="","USD",AA1562), limitePermitido, IFERROR(VLOOKUP(monedaPago, Configuración!$A$2:$B$3, 2, FALSE), 0.15), IF(AD1562&gt;limitePermitido, "ALERTA: EXCESO (" &amp; TEXT(limitePermitido, "0%") &amp; " máx)", "OK"))))</f>
        <v/>
      </c>
      <c r="AP1562" s="79">
        <f>IF(AN1562="","",IF(AE1562=0,"OK",_xlfn.LET(fechaPago, Z1562, fechaFactura, R1562, diasCredito, IF(E1562="Pago inmediato", 0, IFERROR(VALUE(MID(E1562, 1, SEARCH(" ", E1562)-1)),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62" s="79">
        <f>IF(AN1562="","",IF(AND(N1562&gt;0, AG1562&gt;0), IF(Configuración!$K$2="NO", "ALERTA: DESCUENTO DOBLE NO PERMITIDO", "OK"), "OK"))</f>
        <v/>
      </c>
      <c r="AR1562" s="79">
        <f>IF(AN1562="","",IF(OR(AO1562&lt;&gt;"OK", AP1562&lt;&gt;"OK", AQ1562&lt;&gt;"OK"), "⚠️ REVISAR", "OK"))</f>
        <v/>
      </c>
    </row>
    <row r="1563">
      <c r="A1563" s="79">
        <f>IF('Ordenes_Odoo'!A1563="","",'Ordenes_Odoo'!A1563)</f>
        <v/>
      </c>
      <c r="B1563" s="80">
        <f>IF('Ordenes_Odoo'!B1563="","",'Ordenes_Odoo'!B1563)</f>
        <v/>
      </c>
      <c r="C1563" s="79">
        <f>IF('Ordenes_Odoo'!C1563="","",'Ordenes_Odoo'!C1563)</f>
        <v/>
      </c>
      <c r="D1563" s="79">
        <f>IF('Ordenes_Odoo'!D1563="","",'Ordenes_Odoo'!D1563)</f>
        <v/>
      </c>
      <c r="E1563" s="79">
        <f>IF('Ordenes_Odoo'!E1563="","",'Ordenes_Odoo'!E1563)</f>
        <v/>
      </c>
      <c r="F1563" s="79">
        <f>IF('Ordenes_Odoo'!F1563="","",'Ordenes_Odoo'!F1563)</f>
        <v/>
      </c>
      <c r="G1563" s="79">
        <f>IF('Ordenes_Odoo'!G1563="","",'Ordenes_Odoo'!G1563)</f>
        <v/>
      </c>
      <c r="H1563" s="79">
        <f>IF('Ordenes_Odoo'!H1563="","",'Ordenes_Odoo'!H1563)</f>
        <v/>
      </c>
      <c r="I1563" s="79">
        <f>IF('Ordenes_Odoo'!I1563="","",'Ordenes_Odoo'!I1563)</f>
        <v/>
      </c>
      <c r="J1563" s="79">
        <f>IF('Ordenes_Odoo'!J1563="","",'Ordenes_Odoo'!J1563)</f>
        <v/>
      </c>
      <c r="K1563" s="81">
        <f>IF('Ordenes_Odoo'!K1563="","",'Ordenes_Odoo'!K1563)</f>
        <v/>
      </c>
      <c r="L1563" s="81">
        <f>IF('Ordenes_Odoo'!L1563="","",'Ordenes_Odoo'!L1563)</f>
        <v/>
      </c>
      <c r="M1563" s="79">
        <f>IF('Ordenes_Odoo'!M1563="","",'Ordenes_Odoo'!M1563)</f>
        <v/>
      </c>
      <c r="N1563" s="79">
        <f>IF('Ordenes_Odoo'!N1563="","",'Ordenes_Odoo'!N1563)</f>
        <v/>
      </c>
      <c r="O1563" s="81">
        <f>IF('Ordenes_Odoo'!O1563="","",'Ordenes_Odoo'!O1563)</f>
        <v/>
      </c>
      <c r="P1563" s="81">
        <f>IF('Ordenes_Odoo'!P1563="","",'Ordenes_Odoo'!P1563)</f>
        <v/>
      </c>
      <c r="Q1563" s="79">
        <f>IF(A1563="","",IFERROR(INDEX(Facturas_Odoo!$B:$B, MATCH(A1563, Facturas_Odoo!$D:$D, 0)), "Sin Factura"))</f>
        <v/>
      </c>
      <c r="R1563" s="80">
        <f>IF(Q1563="Sin Factura","",IFERROR(INDEX(Facturas_Odoo!$A:$A, MATCH(Q1563, Facturas_Odoo!$B:$B, 0)), ""))</f>
        <v/>
      </c>
      <c r="S1563" s="79">
        <f>IF(Q1563="Sin Factura","",IFERROR(_xlfn.XLOOKUP(1, (Facturas_Odoo!$D:$D=A1563) * (Facturas_Odoo!$K:$K=I1563), Facturas_Odoo!$L:$L, ""), ""))</f>
        <v/>
      </c>
      <c r="T1563" s="81">
        <f>IF(Q1563="Sin Factura",0,IFERROR(_xlfn.XLOOKUP(1, (Facturas_Odoo!$D:$D=A1563) * (Facturas_Odoo!$K:$K=I1563), Facturas_Odoo!$M:$M, 0), 0))</f>
        <v/>
      </c>
      <c r="U1563" s="79">
        <f>IF(Q1563="Sin Factura",0,IFERROR(_xlfn.XLOOKUP(1, (Facturas_Odoo!$D:$D=A1563) * (Facturas_Odoo!$K:$K=I1563), Facturas_Odoo!$N:$N, 0), 0))</f>
        <v/>
      </c>
      <c r="V1563" s="79">
        <f>IF(Q1563="Sin Factura",0,IFERROR(_xlfn.XLOOKUP(1, (Facturas_Odoo!$D:$D=A1563) * (Facturas_Odoo!$K:$K=I1563), Facturas_Odoo!$O:$O, 0), 0))</f>
        <v/>
      </c>
      <c r="W1563" s="81">
        <f>IF(Q1563="Sin Factura",0,IFERROR(_xlfn.XLOOKUP(1, (Facturas_Odoo!$D:$D=A1563) * (Facturas_Odoo!$K:$K=I1563), Facturas_Odoo!$Q:$Q, 0), 0))</f>
        <v/>
      </c>
      <c r="X1563" s="79">
        <f>IF(OR(Q1563="Sin Factura",Q1563=""),"",IFERROR(INDEX(Pagos_Odoo!$B:$B, MATCH(Q1563, Pagos_Odoo!$I:$I, 0)), "Sin Pago"))</f>
        <v/>
      </c>
      <c r="Y1563" s="79">
        <f>IF(X1563="Sin Pago","",IFERROR(INDEX(Pagos_Odoo!$C:$C, MATCH(X1563, Pagos_Odoo!$B:$B, 0)), ""))</f>
        <v/>
      </c>
      <c r="Z1563" s="80">
        <f>IF(X1563="Sin Pago","",IFERROR(INDEX(Pagos_Odoo!$A:$A, MATCH(X1563, Pagos_Odoo!$B:$B, 0)), ""))</f>
        <v/>
      </c>
      <c r="AA1563" s="79">
        <f>IF(X1563="Sin Pago","",IFERROR(INDEX(Pagos_Odoo!$F:$F, MATCH(X1563, Pagos_Odoo!$B:$B, 0)), ""))</f>
        <v/>
      </c>
      <c r="AB1563" s="81">
        <f>IF(X1563="Sin Pago",0,IFERROR(INDEX(Pagos_Odoo!$E:$E, MATCH(X1563, Pagos_Odoo!$B:$B, 0)), 0))</f>
        <v/>
      </c>
      <c r="AC1563" s="79">
        <f>IF(X1563="Sin Pago","",IFERROR(INDEX(Pagos_Odoo!$G:$G, MATCH(X1563, Pagos_Odoo!$B:$B, 0)), ""))</f>
        <v/>
      </c>
      <c r="AD1563" s="82" t="n">
        <v>0</v>
      </c>
      <c r="AE1563" s="82" t="n"/>
      <c r="AF1563" s="82" t="n"/>
      <c r="AG1563" s="82">
        <f>IF(AN1563="","",AD1563+AE1563+AF1563)</f>
        <v/>
      </c>
      <c r="AH1563" s="81">
        <f>IF(AN1563="","",P1563*(1-AG1563))</f>
        <v/>
      </c>
      <c r="AI1563" s="81">
        <f>IF(AN1563="","",IF(Q1563="Sin Factura",0,IFERROR(INDEX(Facturas_Odoo!$H:$H, MATCH(Q1563, Facturas_Odoo!$B:$B, 0)), 0)*(1-AG1563)))</f>
        <v/>
      </c>
      <c r="AJ1563" s="81">
        <f>IF(AN1563="","",_xlfn.LET(idVenta, AN1563&amp;"",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63" s="81">
        <f>IF(AN1563="","",AH1563-AJ1563)</f>
        <v/>
      </c>
      <c r="AL1563" s="81">
        <f>IF(AN1563="","",IF(Q1563="Sin Factura","",AI1563-AJ1563))</f>
        <v/>
      </c>
      <c r="AM1563" s="81">
        <f>IF(AN1563="","",IF(Q1563="Sin Factura",0,P1563-IFERROR(INDEX(Facturas_Odoo!$H:$H, MATCH(Q1563, Facturas_Odoo!$B:$B, 0)), 0)))</f>
        <v/>
      </c>
      <c r="AN1563" s="79">
        <f>IF(AND(A1563="", J1563=""), "", IF(A1563&lt;&gt;"", VALUE(MID(A1563,2,LEN(A1563))), AN1562))</f>
        <v/>
      </c>
      <c r="AO1563" s="79">
        <f>IF(AN1563="","",IF(AD1563=0,"OK",_xlfn.LET(monedaPago, IF(AA1563="","USD",AA1563), limitePermitido, IFERROR(VLOOKUP(monedaPago, Configuración!$A$2:$B$3, 2, FALSE), 0.15), IF(AD1563&gt;limitePermitido, "ALERTA: EXCESO (" &amp; TEXT(limitePermitido, "0%") &amp; " máx)", "OK"))))</f>
        <v/>
      </c>
      <c r="AP1563" s="79">
        <f>IF(AN1563="","",IF(AE1563=0,"OK",_xlfn.LET(fechaPago, Z1563, fechaFactura, R1563, diasCredito, IF(E1563="Pago inmediato", 0, IFERROR(VALUE(MID(E1563, 1, SEARCH(" ", E1563)-1)),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63" s="79">
        <f>IF(AN1563="","",IF(AND(N1563&gt;0, AG1563&gt;0), IF(Configuración!$K$2="NO", "ALERTA: DESCUENTO DOBLE NO PERMITIDO", "OK"), "OK"))</f>
        <v/>
      </c>
      <c r="AR1563" s="79">
        <f>IF(AN1563="","",IF(OR(AO1563&lt;&gt;"OK", AP1563&lt;&gt;"OK", AQ1563&lt;&gt;"OK"), "⚠️ REVISAR", "OK"))</f>
        <v/>
      </c>
    </row>
    <row r="1564">
      <c r="A1564" s="79">
        <f>IF('Ordenes_Odoo'!A1564="","",'Ordenes_Odoo'!A1564)</f>
        <v/>
      </c>
      <c r="B1564" s="80">
        <f>IF('Ordenes_Odoo'!B1564="","",'Ordenes_Odoo'!B1564)</f>
        <v/>
      </c>
      <c r="C1564" s="79">
        <f>IF('Ordenes_Odoo'!C1564="","",'Ordenes_Odoo'!C1564)</f>
        <v/>
      </c>
      <c r="D1564" s="79">
        <f>IF('Ordenes_Odoo'!D1564="","",'Ordenes_Odoo'!D1564)</f>
        <v/>
      </c>
      <c r="E1564" s="79">
        <f>IF('Ordenes_Odoo'!E1564="","",'Ordenes_Odoo'!E1564)</f>
        <v/>
      </c>
      <c r="F1564" s="79">
        <f>IF('Ordenes_Odoo'!F1564="","",'Ordenes_Odoo'!F1564)</f>
        <v/>
      </c>
      <c r="G1564" s="79">
        <f>IF('Ordenes_Odoo'!G1564="","",'Ordenes_Odoo'!G1564)</f>
        <v/>
      </c>
      <c r="H1564" s="79">
        <f>IF('Ordenes_Odoo'!H1564="","",'Ordenes_Odoo'!H1564)</f>
        <v/>
      </c>
      <c r="I1564" s="79">
        <f>IF('Ordenes_Odoo'!I1564="","",'Ordenes_Odoo'!I1564)</f>
        <v/>
      </c>
      <c r="J1564" s="79">
        <f>IF('Ordenes_Odoo'!J1564="","",'Ordenes_Odoo'!J1564)</f>
        <v/>
      </c>
      <c r="K1564" s="81">
        <f>IF('Ordenes_Odoo'!K1564="","",'Ordenes_Odoo'!K1564)</f>
        <v/>
      </c>
      <c r="L1564" s="81">
        <f>IF('Ordenes_Odoo'!L1564="","",'Ordenes_Odoo'!L1564)</f>
        <v/>
      </c>
      <c r="M1564" s="79">
        <f>IF('Ordenes_Odoo'!M1564="","",'Ordenes_Odoo'!M1564)</f>
        <v/>
      </c>
      <c r="N1564" s="79">
        <f>IF('Ordenes_Odoo'!N1564="","",'Ordenes_Odoo'!N1564)</f>
        <v/>
      </c>
      <c r="O1564" s="81">
        <f>IF('Ordenes_Odoo'!O1564="","",'Ordenes_Odoo'!O1564)</f>
        <v/>
      </c>
      <c r="P1564" s="81">
        <f>IF('Ordenes_Odoo'!P1564="","",'Ordenes_Odoo'!P1564)</f>
        <v/>
      </c>
      <c r="Q1564" s="79">
        <f>IF(A1564="","",IFERROR(INDEX(Facturas_Odoo!$B:$B, MATCH(A1564, Facturas_Odoo!$D:$D, 0)), "Sin Factura"))</f>
        <v/>
      </c>
      <c r="R1564" s="80">
        <f>IF(Q1564="Sin Factura","",IFERROR(INDEX(Facturas_Odoo!$A:$A, MATCH(Q1564, Facturas_Odoo!$B:$B, 0)), ""))</f>
        <v/>
      </c>
      <c r="S1564" s="79">
        <f>IF(Q1564="Sin Factura","",IFERROR(_xlfn.XLOOKUP(1, (Facturas_Odoo!$D:$D=A1564) * (Facturas_Odoo!$K:$K=I1564), Facturas_Odoo!$L:$L, ""), ""))</f>
        <v/>
      </c>
      <c r="T1564" s="81">
        <f>IF(Q1564="Sin Factura",0,IFERROR(_xlfn.XLOOKUP(1, (Facturas_Odoo!$D:$D=A1564) * (Facturas_Odoo!$K:$K=I1564), Facturas_Odoo!$M:$M, 0), 0))</f>
        <v/>
      </c>
      <c r="U1564" s="79">
        <f>IF(Q1564="Sin Factura",0,IFERROR(_xlfn.XLOOKUP(1, (Facturas_Odoo!$D:$D=A1564) * (Facturas_Odoo!$K:$K=I1564), Facturas_Odoo!$N:$N, 0), 0))</f>
        <v/>
      </c>
      <c r="V1564" s="79">
        <f>IF(Q1564="Sin Factura",0,IFERROR(_xlfn.XLOOKUP(1, (Facturas_Odoo!$D:$D=A1564) * (Facturas_Odoo!$K:$K=I1564), Facturas_Odoo!$O:$O, 0), 0))</f>
        <v/>
      </c>
      <c r="W1564" s="81">
        <f>IF(Q1564="Sin Factura",0,IFERROR(_xlfn.XLOOKUP(1, (Facturas_Odoo!$D:$D=A1564) * (Facturas_Odoo!$K:$K=I1564), Facturas_Odoo!$Q:$Q, 0), 0))</f>
        <v/>
      </c>
      <c r="X1564" s="79">
        <f>IF(OR(Q1564="Sin Factura",Q1564=""),"",IFERROR(INDEX(Pagos_Odoo!$B:$B, MATCH(Q1564, Pagos_Odoo!$I:$I, 0)), "Sin Pago"))</f>
        <v/>
      </c>
      <c r="Y1564" s="79">
        <f>IF(X1564="Sin Pago","",IFERROR(INDEX(Pagos_Odoo!$C:$C, MATCH(X1564, Pagos_Odoo!$B:$B, 0)), ""))</f>
        <v/>
      </c>
      <c r="Z1564" s="80">
        <f>IF(X1564="Sin Pago","",IFERROR(INDEX(Pagos_Odoo!$A:$A, MATCH(X1564, Pagos_Odoo!$B:$B, 0)), ""))</f>
        <v/>
      </c>
      <c r="AA1564" s="79">
        <f>IF(X1564="Sin Pago","",IFERROR(INDEX(Pagos_Odoo!$F:$F, MATCH(X1564, Pagos_Odoo!$B:$B, 0)), ""))</f>
        <v/>
      </c>
      <c r="AB1564" s="81">
        <f>IF(X1564="Sin Pago",0,IFERROR(INDEX(Pagos_Odoo!$E:$E, MATCH(X1564, Pagos_Odoo!$B:$B, 0)), 0))</f>
        <v/>
      </c>
      <c r="AC1564" s="79">
        <f>IF(X1564="Sin Pago","",IFERROR(INDEX(Pagos_Odoo!$G:$G, MATCH(X1564, Pagos_Odoo!$B:$B, 0)), ""))</f>
        <v/>
      </c>
      <c r="AD1564" s="82" t="n">
        <v>0</v>
      </c>
      <c r="AE1564" s="82" t="n"/>
      <c r="AF1564" s="82" t="n"/>
      <c r="AG1564" s="82">
        <f>IF(AN1564="","",AD1564+AE1564+AF1564)</f>
        <v/>
      </c>
      <c r="AH1564" s="81">
        <f>IF(AN1564="","",P1564*(1-AG1564))</f>
        <v/>
      </c>
      <c r="AI1564" s="81">
        <f>IF(AN1564="","",IF(Q1564="Sin Factura",0,IFERROR(INDEX(Facturas_Odoo!$H:$H, MATCH(Q1564, Facturas_Odoo!$B:$B, 0)), 0)*(1-AG1564)))</f>
        <v/>
      </c>
      <c r="AJ1564" s="81">
        <f>IF(AN1564="","",_xlfn.LET(idVenta, AN1564&amp;"",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64" s="81">
        <f>IF(AN1564="","",AH1564-AJ1564)</f>
        <v/>
      </c>
      <c r="AL1564" s="81">
        <f>IF(AN1564="","",IF(Q1564="Sin Factura","",AI1564-AJ1564))</f>
        <v/>
      </c>
      <c r="AM1564" s="81">
        <f>IF(AN1564="","",IF(Q1564="Sin Factura",0,P1564-IFERROR(INDEX(Facturas_Odoo!$H:$H, MATCH(Q1564, Facturas_Odoo!$B:$B, 0)), 0)))</f>
        <v/>
      </c>
      <c r="AN1564" s="79">
        <f>IF(AND(A1564="", J1564=""), "", IF(A1564&lt;&gt;"", VALUE(MID(A1564,2,LEN(A1564))), AN1563))</f>
        <v/>
      </c>
      <c r="AO1564" s="79">
        <f>IF(AN1564="","",IF(AD1564=0,"OK",_xlfn.LET(monedaPago, IF(AA1564="","USD",AA1564), limitePermitido, IFERROR(VLOOKUP(monedaPago, Configuración!$A$2:$B$3, 2, FALSE), 0.15), IF(AD1564&gt;limitePermitido, "ALERTA: EXCESO (" &amp; TEXT(limitePermitido, "0%") &amp; " máx)", "OK"))))</f>
        <v/>
      </c>
      <c r="AP1564" s="79">
        <f>IF(AN1564="","",IF(AE1564=0,"OK",_xlfn.LET(fechaPago, Z1564, fechaFactura, R1564, diasCredito, IF(E1564="Pago inmediato", 0, IFERROR(VALUE(MID(E1564, 1, SEARCH(" ", E1564)-1)),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64" s="79">
        <f>IF(AN1564="","",IF(AND(N1564&gt;0, AG1564&gt;0), IF(Configuración!$K$2="NO", "ALERTA: DESCUENTO DOBLE NO PERMITIDO", "OK"), "OK"))</f>
        <v/>
      </c>
      <c r="AR1564" s="79">
        <f>IF(AN1564="","",IF(OR(AO1564&lt;&gt;"OK", AP1564&lt;&gt;"OK", AQ1564&lt;&gt;"OK"), "⚠️ REVISAR", "OK"))</f>
        <v/>
      </c>
    </row>
    <row r="1565">
      <c r="A1565" s="79">
        <f>IF('Ordenes_Odoo'!A1565="","",'Ordenes_Odoo'!A1565)</f>
        <v/>
      </c>
      <c r="B1565" s="80">
        <f>IF('Ordenes_Odoo'!B1565="","",'Ordenes_Odoo'!B1565)</f>
        <v/>
      </c>
      <c r="C1565" s="79">
        <f>IF('Ordenes_Odoo'!C1565="","",'Ordenes_Odoo'!C1565)</f>
        <v/>
      </c>
      <c r="D1565" s="79">
        <f>IF('Ordenes_Odoo'!D1565="","",'Ordenes_Odoo'!D1565)</f>
        <v/>
      </c>
      <c r="E1565" s="79">
        <f>IF('Ordenes_Odoo'!E1565="","",'Ordenes_Odoo'!E1565)</f>
        <v/>
      </c>
      <c r="F1565" s="79">
        <f>IF('Ordenes_Odoo'!F1565="","",'Ordenes_Odoo'!F1565)</f>
        <v/>
      </c>
      <c r="G1565" s="79">
        <f>IF('Ordenes_Odoo'!G1565="","",'Ordenes_Odoo'!G1565)</f>
        <v/>
      </c>
      <c r="H1565" s="79">
        <f>IF('Ordenes_Odoo'!H1565="","",'Ordenes_Odoo'!H1565)</f>
        <v/>
      </c>
      <c r="I1565" s="79">
        <f>IF('Ordenes_Odoo'!I1565="","",'Ordenes_Odoo'!I1565)</f>
        <v/>
      </c>
      <c r="J1565" s="79">
        <f>IF('Ordenes_Odoo'!J1565="","",'Ordenes_Odoo'!J1565)</f>
        <v/>
      </c>
      <c r="K1565" s="81">
        <f>IF('Ordenes_Odoo'!K1565="","",'Ordenes_Odoo'!K1565)</f>
        <v/>
      </c>
      <c r="L1565" s="81">
        <f>IF('Ordenes_Odoo'!L1565="","",'Ordenes_Odoo'!L1565)</f>
        <v/>
      </c>
      <c r="M1565" s="79">
        <f>IF('Ordenes_Odoo'!M1565="","",'Ordenes_Odoo'!M1565)</f>
        <v/>
      </c>
      <c r="N1565" s="79">
        <f>IF('Ordenes_Odoo'!N1565="","",'Ordenes_Odoo'!N1565)</f>
        <v/>
      </c>
      <c r="O1565" s="81">
        <f>IF('Ordenes_Odoo'!O1565="","",'Ordenes_Odoo'!O1565)</f>
        <v/>
      </c>
      <c r="P1565" s="81">
        <f>IF('Ordenes_Odoo'!P1565="","",'Ordenes_Odoo'!P1565)</f>
        <v/>
      </c>
      <c r="Q1565" s="79">
        <f>IF(A1565="","",IFERROR(INDEX(Facturas_Odoo!$B:$B, MATCH(A1565, Facturas_Odoo!$D:$D, 0)), "Sin Factura"))</f>
        <v/>
      </c>
      <c r="R1565" s="80">
        <f>IF(Q1565="Sin Factura","",IFERROR(INDEX(Facturas_Odoo!$A:$A, MATCH(Q1565, Facturas_Odoo!$B:$B, 0)), ""))</f>
        <v/>
      </c>
      <c r="S1565" s="79">
        <f>IF(Q1565="Sin Factura","",IFERROR(_xlfn.XLOOKUP(1, (Facturas_Odoo!$D:$D=A1565) * (Facturas_Odoo!$K:$K=I1565), Facturas_Odoo!$L:$L, ""), ""))</f>
        <v/>
      </c>
      <c r="T1565" s="81">
        <f>IF(Q1565="Sin Factura",0,IFERROR(_xlfn.XLOOKUP(1, (Facturas_Odoo!$D:$D=A1565) * (Facturas_Odoo!$K:$K=I1565), Facturas_Odoo!$M:$M, 0), 0))</f>
        <v/>
      </c>
      <c r="U1565" s="79">
        <f>IF(Q1565="Sin Factura",0,IFERROR(_xlfn.XLOOKUP(1, (Facturas_Odoo!$D:$D=A1565) * (Facturas_Odoo!$K:$K=I1565), Facturas_Odoo!$N:$N, 0), 0))</f>
        <v/>
      </c>
      <c r="V1565" s="79">
        <f>IF(Q1565="Sin Factura",0,IFERROR(_xlfn.XLOOKUP(1, (Facturas_Odoo!$D:$D=A1565) * (Facturas_Odoo!$K:$K=I1565), Facturas_Odoo!$O:$O, 0), 0))</f>
        <v/>
      </c>
      <c r="W1565" s="81">
        <f>IF(Q1565="Sin Factura",0,IFERROR(_xlfn.XLOOKUP(1, (Facturas_Odoo!$D:$D=A1565) * (Facturas_Odoo!$K:$K=I1565), Facturas_Odoo!$Q:$Q, 0), 0))</f>
        <v/>
      </c>
      <c r="X1565" s="79">
        <f>IF(OR(Q1565="Sin Factura",Q1565=""),"",IFERROR(INDEX(Pagos_Odoo!$B:$B, MATCH(Q1565, Pagos_Odoo!$I:$I, 0)), "Sin Pago"))</f>
        <v/>
      </c>
      <c r="Y1565" s="79">
        <f>IF(X1565="Sin Pago","",IFERROR(INDEX(Pagos_Odoo!$C:$C, MATCH(X1565, Pagos_Odoo!$B:$B, 0)), ""))</f>
        <v/>
      </c>
      <c r="Z1565" s="80">
        <f>IF(X1565="Sin Pago","",IFERROR(INDEX(Pagos_Odoo!$A:$A, MATCH(X1565, Pagos_Odoo!$B:$B, 0)), ""))</f>
        <v/>
      </c>
      <c r="AA1565" s="79">
        <f>IF(X1565="Sin Pago","",IFERROR(INDEX(Pagos_Odoo!$F:$F, MATCH(X1565, Pagos_Odoo!$B:$B, 0)), ""))</f>
        <v/>
      </c>
      <c r="AB1565" s="81">
        <f>IF(X1565="Sin Pago",0,IFERROR(INDEX(Pagos_Odoo!$E:$E, MATCH(X1565, Pagos_Odoo!$B:$B, 0)), 0))</f>
        <v/>
      </c>
      <c r="AC1565" s="79">
        <f>IF(X1565="Sin Pago","",IFERROR(INDEX(Pagos_Odoo!$G:$G, MATCH(X1565, Pagos_Odoo!$B:$B, 0)), ""))</f>
        <v/>
      </c>
      <c r="AD1565" s="82" t="n">
        <v>0</v>
      </c>
      <c r="AE1565" s="82" t="n"/>
      <c r="AF1565" s="82" t="n"/>
      <c r="AG1565" s="82">
        <f>IF(AN1565="","",AD1565+AE1565+AF1565)</f>
        <v/>
      </c>
      <c r="AH1565" s="81">
        <f>IF(AN1565="","",P1565*(1-AG1565))</f>
        <v/>
      </c>
      <c r="AI1565" s="81">
        <f>IF(AN1565="","",IF(Q1565="Sin Factura",0,IFERROR(INDEX(Facturas_Odoo!$H:$H, MATCH(Q1565, Facturas_Odoo!$B:$B, 0)), 0)*(1-AG1565)))</f>
        <v/>
      </c>
      <c r="AJ1565" s="81">
        <f>IF(AN1565="","",_xlfn.LET(idVenta, AN1565&amp;"",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65" s="81">
        <f>IF(AN1565="","",AH1565-AJ1565)</f>
        <v/>
      </c>
      <c r="AL1565" s="81">
        <f>IF(AN1565="","",IF(Q1565="Sin Factura","",AI1565-AJ1565))</f>
        <v/>
      </c>
      <c r="AM1565" s="81">
        <f>IF(AN1565="","",IF(Q1565="Sin Factura",0,P1565-IFERROR(INDEX(Facturas_Odoo!$H:$H, MATCH(Q1565, Facturas_Odoo!$B:$B, 0)), 0)))</f>
        <v/>
      </c>
      <c r="AN1565" s="79">
        <f>IF(AND(A1565="", J1565=""), "", IF(A1565&lt;&gt;"", VALUE(MID(A1565,2,LEN(A1565))), AN1564))</f>
        <v/>
      </c>
      <c r="AO1565" s="79">
        <f>IF(AN1565="","",IF(AD1565=0,"OK",_xlfn.LET(monedaPago, IF(AA1565="","USD",AA1565), limitePermitido, IFERROR(VLOOKUP(monedaPago, Configuración!$A$2:$B$3, 2, FALSE), 0.15), IF(AD1565&gt;limitePermitido, "ALERTA: EXCESO (" &amp; TEXT(limitePermitido, "0%") &amp; " máx)", "OK"))))</f>
        <v/>
      </c>
      <c r="AP1565" s="79">
        <f>IF(AN1565="","",IF(AE1565=0,"OK",_xlfn.LET(fechaPago, Z1565, fechaFactura, R1565, diasCredito, IF(E1565="Pago inmediato", 0, IFERROR(VALUE(MID(E1565, 1, SEARCH(" ", E1565)-1)),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65" s="79">
        <f>IF(AN1565="","",IF(AND(N1565&gt;0, AG1565&gt;0), IF(Configuración!$K$2="NO", "ALERTA: DESCUENTO DOBLE NO PERMITIDO", "OK"), "OK"))</f>
        <v/>
      </c>
      <c r="AR1565" s="79">
        <f>IF(AN1565="","",IF(OR(AO1565&lt;&gt;"OK", AP1565&lt;&gt;"OK", AQ1565&lt;&gt;"OK"), "⚠️ REVISAR", "OK"))</f>
        <v/>
      </c>
    </row>
    <row r="1566">
      <c r="A1566" s="79">
        <f>IF('Ordenes_Odoo'!A1566="","",'Ordenes_Odoo'!A1566)</f>
        <v/>
      </c>
      <c r="B1566" s="80">
        <f>IF('Ordenes_Odoo'!B1566="","",'Ordenes_Odoo'!B1566)</f>
        <v/>
      </c>
      <c r="C1566" s="79">
        <f>IF('Ordenes_Odoo'!C1566="","",'Ordenes_Odoo'!C1566)</f>
        <v/>
      </c>
      <c r="D1566" s="79">
        <f>IF('Ordenes_Odoo'!D1566="","",'Ordenes_Odoo'!D1566)</f>
        <v/>
      </c>
      <c r="E1566" s="79">
        <f>IF('Ordenes_Odoo'!E1566="","",'Ordenes_Odoo'!E1566)</f>
        <v/>
      </c>
      <c r="F1566" s="79">
        <f>IF('Ordenes_Odoo'!F1566="","",'Ordenes_Odoo'!F1566)</f>
        <v/>
      </c>
      <c r="G1566" s="79">
        <f>IF('Ordenes_Odoo'!G1566="","",'Ordenes_Odoo'!G1566)</f>
        <v/>
      </c>
      <c r="H1566" s="79">
        <f>IF('Ordenes_Odoo'!H1566="","",'Ordenes_Odoo'!H1566)</f>
        <v/>
      </c>
      <c r="I1566" s="79">
        <f>IF('Ordenes_Odoo'!I1566="","",'Ordenes_Odoo'!I1566)</f>
        <v/>
      </c>
      <c r="J1566" s="79">
        <f>IF('Ordenes_Odoo'!J1566="","",'Ordenes_Odoo'!J1566)</f>
        <v/>
      </c>
      <c r="K1566" s="81">
        <f>IF('Ordenes_Odoo'!K1566="","",'Ordenes_Odoo'!K1566)</f>
        <v/>
      </c>
      <c r="L1566" s="81">
        <f>IF('Ordenes_Odoo'!L1566="","",'Ordenes_Odoo'!L1566)</f>
        <v/>
      </c>
      <c r="M1566" s="79">
        <f>IF('Ordenes_Odoo'!M1566="","",'Ordenes_Odoo'!M1566)</f>
        <v/>
      </c>
      <c r="N1566" s="79">
        <f>IF('Ordenes_Odoo'!N1566="","",'Ordenes_Odoo'!N1566)</f>
        <v/>
      </c>
      <c r="O1566" s="81">
        <f>IF('Ordenes_Odoo'!O1566="","",'Ordenes_Odoo'!O1566)</f>
        <v/>
      </c>
      <c r="P1566" s="81">
        <f>IF('Ordenes_Odoo'!P1566="","",'Ordenes_Odoo'!P1566)</f>
        <v/>
      </c>
      <c r="Q1566" s="79">
        <f>IF(A1566="","",IFERROR(INDEX(Facturas_Odoo!$B:$B, MATCH(A1566, Facturas_Odoo!$D:$D, 0)), "Sin Factura"))</f>
        <v/>
      </c>
      <c r="R1566" s="80">
        <f>IF(Q1566="Sin Factura","",IFERROR(INDEX(Facturas_Odoo!$A:$A, MATCH(Q1566, Facturas_Odoo!$B:$B, 0)), ""))</f>
        <v/>
      </c>
      <c r="S1566" s="79">
        <f>IF(Q1566="Sin Factura","",IFERROR(_xlfn.XLOOKUP(1, (Facturas_Odoo!$D:$D=A1566) * (Facturas_Odoo!$K:$K=I1566), Facturas_Odoo!$L:$L, ""), ""))</f>
        <v/>
      </c>
      <c r="T1566" s="81">
        <f>IF(Q1566="Sin Factura",0,IFERROR(_xlfn.XLOOKUP(1, (Facturas_Odoo!$D:$D=A1566) * (Facturas_Odoo!$K:$K=I1566), Facturas_Odoo!$M:$M, 0), 0))</f>
        <v/>
      </c>
      <c r="U1566" s="79">
        <f>IF(Q1566="Sin Factura",0,IFERROR(_xlfn.XLOOKUP(1, (Facturas_Odoo!$D:$D=A1566) * (Facturas_Odoo!$K:$K=I1566), Facturas_Odoo!$N:$N, 0), 0))</f>
        <v/>
      </c>
      <c r="V1566" s="79">
        <f>IF(Q1566="Sin Factura",0,IFERROR(_xlfn.XLOOKUP(1, (Facturas_Odoo!$D:$D=A1566) * (Facturas_Odoo!$K:$K=I1566), Facturas_Odoo!$O:$O, 0), 0))</f>
        <v/>
      </c>
      <c r="W1566" s="81">
        <f>IF(Q1566="Sin Factura",0,IFERROR(_xlfn.XLOOKUP(1, (Facturas_Odoo!$D:$D=A1566) * (Facturas_Odoo!$K:$K=I1566), Facturas_Odoo!$Q:$Q, 0), 0))</f>
        <v/>
      </c>
      <c r="X1566" s="79">
        <f>IF(OR(Q1566="Sin Factura",Q1566=""),"",IFERROR(INDEX(Pagos_Odoo!$B:$B, MATCH(Q1566, Pagos_Odoo!$I:$I, 0)), "Sin Pago"))</f>
        <v/>
      </c>
      <c r="Y1566" s="79">
        <f>IF(X1566="Sin Pago","",IFERROR(INDEX(Pagos_Odoo!$C:$C, MATCH(X1566, Pagos_Odoo!$B:$B, 0)), ""))</f>
        <v/>
      </c>
      <c r="Z1566" s="80">
        <f>IF(X1566="Sin Pago","",IFERROR(INDEX(Pagos_Odoo!$A:$A, MATCH(X1566, Pagos_Odoo!$B:$B, 0)), ""))</f>
        <v/>
      </c>
      <c r="AA1566" s="79">
        <f>IF(X1566="Sin Pago","",IFERROR(INDEX(Pagos_Odoo!$F:$F, MATCH(X1566, Pagos_Odoo!$B:$B, 0)), ""))</f>
        <v/>
      </c>
      <c r="AB1566" s="81">
        <f>IF(X1566="Sin Pago",0,IFERROR(INDEX(Pagos_Odoo!$E:$E, MATCH(X1566, Pagos_Odoo!$B:$B, 0)), 0))</f>
        <v/>
      </c>
      <c r="AC1566" s="79">
        <f>IF(X1566="Sin Pago","",IFERROR(INDEX(Pagos_Odoo!$G:$G, MATCH(X1566, Pagos_Odoo!$B:$B, 0)), ""))</f>
        <v/>
      </c>
      <c r="AD1566" s="82" t="n">
        <v>0</v>
      </c>
      <c r="AE1566" s="82" t="n"/>
      <c r="AF1566" s="82" t="n"/>
      <c r="AG1566" s="82">
        <f>IF(AN1566="","",AD1566+AE1566+AF1566)</f>
        <v/>
      </c>
      <c r="AH1566" s="81">
        <f>IF(AN1566="","",P1566*(1-AG1566))</f>
        <v/>
      </c>
      <c r="AI1566" s="81">
        <f>IF(AN1566="","",IF(Q1566="Sin Factura",0,IFERROR(INDEX(Facturas_Odoo!$H:$H, MATCH(Q1566, Facturas_Odoo!$B:$B, 0)), 0)*(1-AG1566)))</f>
        <v/>
      </c>
      <c r="AJ1566" s="81">
        <f>IF(AN1566="","",_xlfn.LET(idVenta, AN1566&amp;"",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66" s="81">
        <f>IF(AN1566="","",AH1566-AJ1566)</f>
        <v/>
      </c>
      <c r="AL1566" s="81">
        <f>IF(AN1566="","",IF(Q1566="Sin Factura","",AI1566-AJ1566))</f>
        <v/>
      </c>
      <c r="AM1566" s="81">
        <f>IF(AN1566="","",IF(Q1566="Sin Factura",0,P1566-IFERROR(INDEX(Facturas_Odoo!$H:$H, MATCH(Q1566, Facturas_Odoo!$B:$B, 0)), 0)))</f>
        <v/>
      </c>
      <c r="AN1566" s="79">
        <f>IF(AND(A1566="", J1566=""), "", IF(A1566&lt;&gt;"", VALUE(MID(A1566,2,LEN(A1566))), AN1565))</f>
        <v/>
      </c>
      <c r="AO1566" s="79">
        <f>IF(AN1566="","",IF(AD1566=0,"OK",_xlfn.LET(monedaPago, IF(AA1566="","USD",AA1566), limitePermitido, IFERROR(VLOOKUP(monedaPago, Configuración!$A$2:$B$3, 2, FALSE), 0.15), IF(AD1566&gt;limitePermitido, "ALERTA: EXCESO (" &amp; TEXT(limitePermitido, "0%") &amp; " máx)", "OK"))))</f>
        <v/>
      </c>
      <c r="AP1566" s="79">
        <f>IF(AN1566="","",IF(AE1566=0,"OK",_xlfn.LET(fechaPago, Z1566, fechaFactura, R1566, diasCredito, IF(E1566="Pago inmediato", 0, IFERROR(VALUE(MID(E1566, 1, SEARCH(" ", E1566)-1)),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66" s="79">
        <f>IF(AN1566="","",IF(AND(N1566&gt;0, AG1566&gt;0), IF(Configuración!$K$2="NO", "ALERTA: DESCUENTO DOBLE NO PERMITIDO", "OK"), "OK"))</f>
        <v/>
      </c>
      <c r="AR1566" s="79">
        <f>IF(AN1566="","",IF(OR(AO1566&lt;&gt;"OK", AP1566&lt;&gt;"OK", AQ1566&lt;&gt;"OK"), "⚠️ REVISAR", "OK"))</f>
        <v/>
      </c>
    </row>
    <row r="1567">
      <c r="A1567" s="79">
        <f>IF('Ordenes_Odoo'!A1567="","",'Ordenes_Odoo'!A1567)</f>
        <v/>
      </c>
      <c r="B1567" s="80">
        <f>IF('Ordenes_Odoo'!B1567="","",'Ordenes_Odoo'!B1567)</f>
        <v/>
      </c>
      <c r="C1567" s="79">
        <f>IF('Ordenes_Odoo'!C1567="","",'Ordenes_Odoo'!C1567)</f>
        <v/>
      </c>
      <c r="D1567" s="79">
        <f>IF('Ordenes_Odoo'!D1567="","",'Ordenes_Odoo'!D1567)</f>
        <v/>
      </c>
      <c r="E1567" s="79">
        <f>IF('Ordenes_Odoo'!E1567="","",'Ordenes_Odoo'!E1567)</f>
        <v/>
      </c>
      <c r="F1567" s="79">
        <f>IF('Ordenes_Odoo'!F1567="","",'Ordenes_Odoo'!F1567)</f>
        <v/>
      </c>
      <c r="G1567" s="79">
        <f>IF('Ordenes_Odoo'!G1567="","",'Ordenes_Odoo'!G1567)</f>
        <v/>
      </c>
      <c r="H1567" s="79">
        <f>IF('Ordenes_Odoo'!H1567="","",'Ordenes_Odoo'!H1567)</f>
        <v/>
      </c>
      <c r="I1567" s="79">
        <f>IF('Ordenes_Odoo'!I1567="","",'Ordenes_Odoo'!I1567)</f>
        <v/>
      </c>
      <c r="J1567" s="79">
        <f>IF('Ordenes_Odoo'!J1567="","",'Ordenes_Odoo'!J1567)</f>
        <v/>
      </c>
      <c r="K1567" s="81">
        <f>IF('Ordenes_Odoo'!K1567="","",'Ordenes_Odoo'!K1567)</f>
        <v/>
      </c>
      <c r="L1567" s="81">
        <f>IF('Ordenes_Odoo'!L1567="","",'Ordenes_Odoo'!L1567)</f>
        <v/>
      </c>
      <c r="M1567" s="79">
        <f>IF('Ordenes_Odoo'!M1567="","",'Ordenes_Odoo'!M1567)</f>
        <v/>
      </c>
      <c r="N1567" s="79">
        <f>IF('Ordenes_Odoo'!N1567="","",'Ordenes_Odoo'!N1567)</f>
        <v/>
      </c>
      <c r="O1567" s="81">
        <f>IF('Ordenes_Odoo'!O1567="","",'Ordenes_Odoo'!O1567)</f>
        <v/>
      </c>
      <c r="P1567" s="81">
        <f>IF('Ordenes_Odoo'!P1567="","",'Ordenes_Odoo'!P1567)</f>
        <v/>
      </c>
      <c r="Q1567" s="79">
        <f>IF(A1567="","",IFERROR(INDEX(Facturas_Odoo!$B:$B, MATCH(A1567, Facturas_Odoo!$D:$D, 0)), "Sin Factura"))</f>
        <v/>
      </c>
      <c r="R1567" s="80">
        <f>IF(Q1567="Sin Factura","",IFERROR(INDEX(Facturas_Odoo!$A:$A, MATCH(Q1567, Facturas_Odoo!$B:$B, 0)), ""))</f>
        <v/>
      </c>
      <c r="S1567" s="79">
        <f>IF(Q1567="Sin Factura","",IFERROR(_xlfn.XLOOKUP(1, (Facturas_Odoo!$D:$D=A1567) * (Facturas_Odoo!$K:$K=I1567), Facturas_Odoo!$L:$L, ""), ""))</f>
        <v/>
      </c>
      <c r="T1567" s="81">
        <f>IF(Q1567="Sin Factura",0,IFERROR(_xlfn.XLOOKUP(1, (Facturas_Odoo!$D:$D=A1567) * (Facturas_Odoo!$K:$K=I1567), Facturas_Odoo!$M:$M, 0), 0))</f>
        <v/>
      </c>
      <c r="U1567" s="79">
        <f>IF(Q1567="Sin Factura",0,IFERROR(_xlfn.XLOOKUP(1, (Facturas_Odoo!$D:$D=A1567) * (Facturas_Odoo!$K:$K=I1567), Facturas_Odoo!$N:$N, 0), 0))</f>
        <v/>
      </c>
      <c r="V1567" s="79">
        <f>IF(Q1567="Sin Factura",0,IFERROR(_xlfn.XLOOKUP(1, (Facturas_Odoo!$D:$D=A1567) * (Facturas_Odoo!$K:$K=I1567), Facturas_Odoo!$O:$O, 0), 0))</f>
        <v/>
      </c>
      <c r="W1567" s="81">
        <f>IF(Q1567="Sin Factura",0,IFERROR(_xlfn.XLOOKUP(1, (Facturas_Odoo!$D:$D=A1567) * (Facturas_Odoo!$K:$K=I1567), Facturas_Odoo!$Q:$Q, 0), 0))</f>
        <v/>
      </c>
      <c r="X1567" s="79">
        <f>IF(OR(Q1567="Sin Factura",Q1567=""),"",IFERROR(INDEX(Pagos_Odoo!$B:$B, MATCH(Q1567, Pagos_Odoo!$I:$I, 0)), "Sin Pago"))</f>
        <v/>
      </c>
      <c r="Y1567" s="79">
        <f>IF(X1567="Sin Pago","",IFERROR(INDEX(Pagos_Odoo!$C:$C, MATCH(X1567, Pagos_Odoo!$B:$B, 0)), ""))</f>
        <v/>
      </c>
      <c r="Z1567" s="80">
        <f>IF(X1567="Sin Pago","",IFERROR(INDEX(Pagos_Odoo!$A:$A, MATCH(X1567, Pagos_Odoo!$B:$B, 0)), ""))</f>
        <v/>
      </c>
      <c r="AA1567" s="79">
        <f>IF(X1567="Sin Pago","",IFERROR(INDEX(Pagos_Odoo!$F:$F, MATCH(X1567, Pagos_Odoo!$B:$B, 0)), ""))</f>
        <v/>
      </c>
      <c r="AB1567" s="81">
        <f>IF(X1567="Sin Pago",0,IFERROR(INDEX(Pagos_Odoo!$E:$E, MATCH(X1567, Pagos_Odoo!$B:$B, 0)), 0))</f>
        <v/>
      </c>
      <c r="AC1567" s="79">
        <f>IF(X1567="Sin Pago","",IFERROR(INDEX(Pagos_Odoo!$G:$G, MATCH(X1567, Pagos_Odoo!$B:$B, 0)), ""))</f>
        <v/>
      </c>
      <c r="AD1567" s="82" t="n">
        <v>0</v>
      </c>
      <c r="AE1567" s="82" t="n"/>
      <c r="AF1567" s="82" t="n"/>
      <c r="AG1567" s="82">
        <f>IF(AN1567="","",AD1567+AE1567+AF1567)</f>
        <v/>
      </c>
      <c r="AH1567" s="81">
        <f>IF(AN1567="","",P1567*(1-AG1567))</f>
        <v/>
      </c>
      <c r="AI1567" s="81">
        <f>IF(AN1567="","",IF(Q1567="Sin Factura",0,IFERROR(INDEX(Facturas_Odoo!$H:$H, MATCH(Q1567, Facturas_Odoo!$B:$B, 0)), 0)*(1-AG1567)))</f>
        <v/>
      </c>
      <c r="AJ1567" s="81">
        <f>IF(AN1567="","",_xlfn.LET(idVenta, AN1567&amp;"",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67" s="81">
        <f>IF(AN1567="","",AH1567-AJ1567)</f>
        <v/>
      </c>
      <c r="AL1567" s="81">
        <f>IF(AN1567="","",IF(Q1567="Sin Factura","",AI1567-AJ1567))</f>
        <v/>
      </c>
      <c r="AM1567" s="81">
        <f>IF(AN1567="","",IF(Q1567="Sin Factura",0,P1567-IFERROR(INDEX(Facturas_Odoo!$H:$H, MATCH(Q1567, Facturas_Odoo!$B:$B, 0)), 0)))</f>
        <v/>
      </c>
      <c r="AN1567" s="79">
        <f>IF(AND(A1567="", J1567=""), "", IF(A1567&lt;&gt;"", VALUE(MID(A1567,2,LEN(A1567))), AN1566))</f>
        <v/>
      </c>
      <c r="AO1567" s="79">
        <f>IF(AN1567="","",IF(AD1567=0,"OK",_xlfn.LET(monedaPago, IF(AA1567="","USD",AA1567), limitePermitido, IFERROR(VLOOKUP(monedaPago, Configuración!$A$2:$B$3, 2, FALSE), 0.15), IF(AD1567&gt;limitePermitido, "ALERTA: EXCESO (" &amp; TEXT(limitePermitido, "0%") &amp; " máx)", "OK"))))</f>
        <v/>
      </c>
      <c r="AP1567" s="79">
        <f>IF(AN1567="","",IF(AE1567=0,"OK",_xlfn.LET(fechaPago, Z1567, fechaFactura, R1567, diasCredito, IF(E1567="Pago inmediato", 0, IFERROR(VALUE(MID(E1567, 1, SEARCH(" ", E1567)-1)),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67" s="79">
        <f>IF(AN1567="","",IF(AND(N1567&gt;0, AG1567&gt;0), IF(Configuración!$K$2="NO", "ALERTA: DESCUENTO DOBLE NO PERMITIDO", "OK"), "OK"))</f>
        <v/>
      </c>
      <c r="AR1567" s="79">
        <f>IF(AN1567="","",IF(OR(AO1567&lt;&gt;"OK", AP1567&lt;&gt;"OK", AQ1567&lt;&gt;"OK"), "⚠️ REVISAR", "OK"))</f>
        <v/>
      </c>
    </row>
    <row r="1568">
      <c r="A1568" s="79">
        <f>IF('Ordenes_Odoo'!A1568="","",'Ordenes_Odoo'!A1568)</f>
        <v/>
      </c>
      <c r="B1568" s="80">
        <f>IF('Ordenes_Odoo'!B1568="","",'Ordenes_Odoo'!B1568)</f>
        <v/>
      </c>
      <c r="C1568" s="79">
        <f>IF('Ordenes_Odoo'!C1568="","",'Ordenes_Odoo'!C1568)</f>
        <v/>
      </c>
      <c r="D1568" s="79">
        <f>IF('Ordenes_Odoo'!D1568="","",'Ordenes_Odoo'!D1568)</f>
        <v/>
      </c>
      <c r="E1568" s="79">
        <f>IF('Ordenes_Odoo'!E1568="","",'Ordenes_Odoo'!E1568)</f>
        <v/>
      </c>
      <c r="F1568" s="79">
        <f>IF('Ordenes_Odoo'!F1568="","",'Ordenes_Odoo'!F1568)</f>
        <v/>
      </c>
      <c r="G1568" s="79">
        <f>IF('Ordenes_Odoo'!G1568="","",'Ordenes_Odoo'!G1568)</f>
        <v/>
      </c>
      <c r="H1568" s="79">
        <f>IF('Ordenes_Odoo'!H1568="","",'Ordenes_Odoo'!H1568)</f>
        <v/>
      </c>
      <c r="I1568" s="79">
        <f>IF('Ordenes_Odoo'!I1568="","",'Ordenes_Odoo'!I1568)</f>
        <v/>
      </c>
      <c r="J1568" s="79">
        <f>IF('Ordenes_Odoo'!J1568="","",'Ordenes_Odoo'!J1568)</f>
        <v/>
      </c>
      <c r="K1568" s="81">
        <f>IF('Ordenes_Odoo'!K1568="","",'Ordenes_Odoo'!K1568)</f>
        <v/>
      </c>
      <c r="L1568" s="81">
        <f>IF('Ordenes_Odoo'!L1568="","",'Ordenes_Odoo'!L1568)</f>
        <v/>
      </c>
      <c r="M1568" s="79">
        <f>IF('Ordenes_Odoo'!M1568="","",'Ordenes_Odoo'!M1568)</f>
        <v/>
      </c>
      <c r="N1568" s="79">
        <f>IF('Ordenes_Odoo'!N1568="","",'Ordenes_Odoo'!N1568)</f>
        <v/>
      </c>
      <c r="O1568" s="81">
        <f>IF('Ordenes_Odoo'!O1568="","",'Ordenes_Odoo'!O1568)</f>
        <v/>
      </c>
      <c r="P1568" s="81">
        <f>IF('Ordenes_Odoo'!P1568="","",'Ordenes_Odoo'!P1568)</f>
        <v/>
      </c>
      <c r="Q1568" s="79">
        <f>IF(A1568="","",IFERROR(INDEX(Facturas_Odoo!$B:$B, MATCH(A1568, Facturas_Odoo!$D:$D, 0)), "Sin Factura"))</f>
        <v/>
      </c>
      <c r="R1568" s="80">
        <f>IF(Q1568="Sin Factura","",IFERROR(INDEX(Facturas_Odoo!$A:$A, MATCH(Q1568, Facturas_Odoo!$B:$B, 0)), ""))</f>
        <v/>
      </c>
      <c r="S1568" s="79">
        <f>IF(Q1568="Sin Factura","",IFERROR(_xlfn.XLOOKUP(1, (Facturas_Odoo!$D:$D=A1568) * (Facturas_Odoo!$K:$K=I1568), Facturas_Odoo!$L:$L, ""), ""))</f>
        <v/>
      </c>
      <c r="T1568" s="81">
        <f>IF(Q1568="Sin Factura",0,IFERROR(_xlfn.XLOOKUP(1, (Facturas_Odoo!$D:$D=A1568) * (Facturas_Odoo!$K:$K=I1568), Facturas_Odoo!$M:$M, 0), 0))</f>
        <v/>
      </c>
      <c r="U1568" s="79">
        <f>IF(Q1568="Sin Factura",0,IFERROR(_xlfn.XLOOKUP(1, (Facturas_Odoo!$D:$D=A1568) * (Facturas_Odoo!$K:$K=I1568), Facturas_Odoo!$N:$N, 0), 0))</f>
        <v/>
      </c>
      <c r="V1568" s="79">
        <f>IF(Q1568="Sin Factura",0,IFERROR(_xlfn.XLOOKUP(1, (Facturas_Odoo!$D:$D=A1568) * (Facturas_Odoo!$K:$K=I1568), Facturas_Odoo!$O:$O, 0), 0))</f>
        <v/>
      </c>
      <c r="W1568" s="81">
        <f>IF(Q1568="Sin Factura",0,IFERROR(_xlfn.XLOOKUP(1, (Facturas_Odoo!$D:$D=A1568) * (Facturas_Odoo!$K:$K=I1568), Facturas_Odoo!$Q:$Q, 0), 0))</f>
        <v/>
      </c>
      <c r="X1568" s="79">
        <f>IF(OR(Q1568="Sin Factura",Q1568=""),"",IFERROR(INDEX(Pagos_Odoo!$B:$B, MATCH(Q1568, Pagos_Odoo!$I:$I, 0)), "Sin Pago"))</f>
        <v/>
      </c>
      <c r="Y1568" s="79">
        <f>IF(X1568="Sin Pago","",IFERROR(INDEX(Pagos_Odoo!$C:$C, MATCH(X1568, Pagos_Odoo!$B:$B, 0)), ""))</f>
        <v/>
      </c>
      <c r="Z1568" s="80">
        <f>IF(X1568="Sin Pago","",IFERROR(INDEX(Pagos_Odoo!$A:$A, MATCH(X1568, Pagos_Odoo!$B:$B, 0)), ""))</f>
        <v/>
      </c>
      <c r="AA1568" s="79">
        <f>IF(X1568="Sin Pago","",IFERROR(INDEX(Pagos_Odoo!$F:$F, MATCH(X1568, Pagos_Odoo!$B:$B, 0)), ""))</f>
        <v/>
      </c>
      <c r="AB1568" s="81">
        <f>IF(X1568="Sin Pago",0,IFERROR(INDEX(Pagos_Odoo!$E:$E, MATCH(X1568, Pagos_Odoo!$B:$B, 0)), 0))</f>
        <v/>
      </c>
      <c r="AC1568" s="79">
        <f>IF(X1568="Sin Pago","",IFERROR(INDEX(Pagos_Odoo!$G:$G, MATCH(X1568, Pagos_Odoo!$B:$B, 0)), ""))</f>
        <v/>
      </c>
      <c r="AD1568" s="82" t="n">
        <v>0</v>
      </c>
      <c r="AE1568" s="82" t="n"/>
      <c r="AF1568" s="82" t="n"/>
      <c r="AG1568" s="82">
        <f>IF(AN1568="","",AD1568+AE1568+AF1568)</f>
        <v/>
      </c>
      <c r="AH1568" s="81">
        <f>IF(AN1568="","",P1568*(1-AG1568))</f>
        <v/>
      </c>
      <c r="AI1568" s="81">
        <f>IF(AN1568="","",IF(Q1568="Sin Factura",0,IFERROR(INDEX(Facturas_Odoo!$H:$H, MATCH(Q1568, Facturas_Odoo!$B:$B, 0)), 0)*(1-AG1568)))</f>
        <v/>
      </c>
      <c r="AJ1568" s="81">
        <f>IF(AN1568="","",_xlfn.LET(idVenta, AN1568&amp;"",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68" s="81">
        <f>IF(AN1568="","",AH1568-AJ1568)</f>
        <v/>
      </c>
      <c r="AL1568" s="81">
        <f>IF(AN1568="","",IF(Q1568="Sin Factura","",AI1568-AJ1568))</f>
        <v/>
      </c>
      <c r="AM1568" s="81">
        <f>IF(AN1568="","",IF(Q1568="Sin Factura",0,P1568-IFERROR(INDEX(Facturas_Odoo!$H:$H, MATCH(Q1568, Facturas_Odoo!$B:$B, 0)), 0)))</f>
        <v/>
      </c>
      <c r="AN1568" s="79">
        <f>IF(AND(A1568="", J1568=""), "", IF(A1568&lt;&gt;"", VALUE(MID(A1568,2,LEN(A1568))), AN1567))</f>
        <v/>
      </c>
      <c r="AO1568" s="79">
        <f>IF(AN1568="","",IF(AD1568=0,"OK",_xlfn.LET(monedaPago, IF(AA1568="","USD",AA1568), limitePermitido, IFERROR(VLOOKUP(monedaPago, Configuración!$A$2:$B$3, 2, FALSE), 0.15), IF(AD1568&gt;limitePermitido, "ALERTA: EXCESO (" &amp; TEXT(limitePermitido, "0%") &amp; " máx)", "OK"))))</f>
        <v/>
      </c>
      <c r="AP1568" s="79">
        <f>IF(AN1568="","",IF(AE1568=0,"OK",_xlfn.LET(fechaPago, Z1568, fechaFactura, R1568, diasCredito, IF(E1568="Pago inmediato", 0, IFERROR(VALUE(MID(E1568, 1, SEARCH(" ", E1568)-1)),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68" s="79">
        <f>IF(AN1568="","",IF(AND(N1568&gt;0, AG1568&gt;0), IF(Configuración!$K$2="NO", "ALERTA: DESCUENTO DOBLE NO PERMITIDO", "OK"), "OK"))</f>
        <v/>
      </c>
      <c r="AR1568" s="79">
        <f>IF(AN1568="","",IF(OR(AO1568&lt;&gt;"OK", AP1568&lt;&gt;"OK", AQ1568&lt;&gt;"OK"), "⚠️ REVISAR", "OK"))</f>
        <v/>
      </c>
    </row>
    <row r="1569">
      <c r="A1569" s="79">
        <f>IF('Ordenes_Odoo'!A1569="","",'Ordenes_Odoo'!A1569)</f>
        <v/>
      </c>
      <c r="B1569" s="80">
        <f>IF('Ordenes_Odoo'!B1569="","",'Ordenes_Odoo'!B1569)</f>
        <v/>
      </c>
      <c r="C1569" s="79">
        <f>IF('Ordenes_Odoo'!C1569="","",'Ordenes_Odoo'!C1569)</f>
        <v/>
      </c>
      <c r="D1569" s="79">
        <f>IF('Ordenes_Odoo'!D1569="","",'Ordenes_Odoo'!D1569)</f>
        <v/>
      </c>
      <c r="E1569" s="79">
        <f>IF('Ordenes_Odoo'!E1569="","",'Ordenes_Odoo'!E1569)</f>
        <v/>
      </c>
      <c r="F1569" s="79">
        <f>IF('Ordenes_Odoo'!F1569="","",'Ordenes_Odoo'!F1569)</f>
        <v/>
      </c>
      <c r="G1569" s="79">
        <f>IF('Ordenes_Odoo'!G1569="","",'Ordenes_Odoo'!G1569)</f>
        <v/>
      </c>
      <c r="H1569" s="79">
        <f>IF('Ordenes_Odoo'!H1569="","",'Ordenes_Odoo'!H1569)</f>
        <v/>
      </c>
      <c r="I1569" s="79">
        <f>IF('Ordenes_Odoo'!I1569="","",'Ordenes_Odoo'!I1569)</f>
        <v/>
      </c>
      <c r="J1569" s="79">
        <f>IF('Ordenes_Odoo'!J1569="","",'Ordenes_Odoo'!J1569)</f>
        <v/>
      </c>
      <c r="K1569" s="81">
        <f>IF('Ordenes_Odoo'!K1569="","",'Ordenes_Odoo'!K1569)</f>
        <v/>
      </c>
      <c r="L1569" s="81">
        <f>IF('Ordenes_Odoo'!L1569="","",'Ordenes_Odoo'!L1569)</f>
        <v/>
      </c>
      <c r="M1569" s="79">
        <f>IF('Ordenes_Odoo'!M1569="","",'Ordenes_Odoo'!M1569)</f>
        <v/>
      </c>
      <c r="N1569" s="79">
        <f>IF('Ordenes_Odoo'!N1569="","",'Ordenes_Odoo'!N1569)</f>
        <v/>
      </c>
      <c r="O1569" s="81">
        <f>IF('Ordenes_Odoo'!O1569="","",'Ordenes_Odoo'!O1569)</f>
        <v/>
      </c>
      <c r="P1569" s="81">
        <f>IF('Ordenes_Odoo'!P1569="","",'Ordenes_Odoo'!P1569)</f>
        <v/>
      </c>
      <c r="Q1569" s="79">
        <f>IF(A1569="","",IFERROR(INDEX(Facturas_Odoo!$B:$B, MATCH(A1569, Facturas_Odoo!$D:$D, 0)), "Sin Factura"))</f>
        <v/>
      </c>
      <c r="R1569" s="80">
        <f>IF(Q1569="Sin Factura","",IFERROR(INDEX(Facturas_Odoo!$A:$A, MATCH(Q1569, Facturas_Odoo!$B:$B, 0)), ""))</f>
        <v/>
      </c>
      <c r="S1569" s="79">
        <f>IF(Q1569="Sin Factura","",IFERROR(_xlfn.XLOOKUP(1, (Facturas_Odoo!$D:$D=A1569) * (Facturas_Odoo!$K:$K=I1569), Facturas_Odoo!$L:$L, ""), ""))</f>
        <v/>
      </c>
      <c r="T1569" s="81">
        <f>IF(Q1569="Sin Factura",0,IFERROR(_xlfn.XLOOKUP(1, (Facturas_Odoo!$D:$D=A1569) * (Facturas_Odoo!$K:$K=I1569), Facturas_Odoo!$M:$M, 0), 0))</f>
        <v/>
      </c>
      <c r="U1569" s="79">
        <f>IF(Q1569="Sin Factura",0,IFERROR(_xlfn.XLOOKUP(1, (Facturas_Odoo!$D:$D=A1569) * (Facturas_Odoo!$K:$K=I1569), Facturas_Odoo!$N:$N, 0), 0))</f>
        <v/>
      </c>
      <c r="V1569" s="79">
        <f>IF(Q1569="Sin Factura",0,IFERROR(_xlfn.XLOOKUP(1, (Facturas_Odoo!$D:$D=A1569) * (Facturas_Odoo!$K:$K=I1569), Facturas_Odoo!$O:$O, 0), 0))</f>
        <v/>
      </c>
      <c r="W1569" s="81">
        <f>IF(Q1569="Sin Factura",0,IFERROR(_xlfn.XLOOKUP(1, (Facturas_Odoo!$D:$D=A1569) * (Facturas_Odoo!$K:$K=I1569), Facturas_Odoo!$Q:$Q, 0), 0))</f>
        <v/>
      </c>
      <c r="X1569" s="79">
        <f>IF(OR(Q1569="Sin Factura",Q1569=""),"",IFERROR(INDEX(Pagos_Odoo!$B:$B, MATCH(Q1569, Pagos_Odoo!$I:$I, 0)), "Sin Pago"))</f>
        <v/>
      </c>
      <c r="Y1569" s="79">
        <f>IF(X1569="Sin Pago","",IFERROR(INDEX(Pagos_Odoo!$C:$C, MATCH(X1569, Pagos_Odoo!$B:$B, 0)), ""))</f>
        <v/>
      </c>
      <c r="Z1569" s="80">
        <f>IF(X1569="Sin Pago","",IFERROR(INDEX(Pagos_Odoo!$A:$A, MATCH(X1569, Pagos_Odoo!$B:$B, 0)), ""))</f>
        <v/>
      </c>
      <c r="AA1569" s="79">
        <f>IF(X1569="Sin Pago","",IFERROR(INDEX(Pagos_Odoo!$F:$F, MATCH(X1569, Pagos_Odoo!$B:$B, 0)), ""))</f>
        <v/>
      </c>
      <c r="AB1569" s="81">
        <f>IF(X1569="Sin Pago",0,IFERROR(INDEX(Pagos_Odoo!$E:$E, MATCH(X1569, Pagos_Odoo!$B:$B, 0)), 0))</f>
        <v/>
      </c>
      <c r="AC1569" s="79">
        <f>IF(X1569="Sin Pago","",IFERROR(INDEX(Pagos_Odoo!$G:$G, MATCH(X1569, Pagos_Odoo!$B:$B, 0)), ""))</f>
        <v/>
      </c>
      <c r="AD1569" s="82" t="n">
        <v>0</v>
      </c>
      <c r="AE1569" s="82" t="n"/>
      <c r="AF1569" s="82" t="n"/>
      <c r="AG1569" s="82">
        <f>IF(AN1569="","",AD1569+AE1569+AF1569)</f>
        <v/>
      </c>
      <c r="AH1569" s="81">
        <f>IF(AN1569="","",P1569*(1-AG1569))</f>
        <v/>
      </c>
      <c r="AI1569" s="81">
        <f>IF(AN1569="","",IF(Q1569="Sin Factura",0,IFERROR(INDEX(Facturas_Odoo!$H:$H, MATCH(Q1569, Facturas_Odoo!$B:$B, 0)), 0)*(1-AG1569)))</f>
        <v/>
      </c>
      <c r="AJ1569" s="81">
        <f>IF(AN1569="","",_xlfn.LET(idVenta, AN1569&amp;"",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69" s="81">
        <f>IF(AN1569="","",AH1569-AJ1569)</f>
        <v/>
      </c>
      <c r="AL1569" s="81">
        <f>IF(AN1569="","",IF(Q1569="Sin Factura","",AI1569-AJ1569))</f>
        <v/>
      </c>
      <c r="AM1569" s="81">
        <f>IF(AN1569="","",IF(Q1569="Sin Factura",0,P1569-IFERROR(INDEX(Facturas_Odoo!$H:$H, MATCH(Q1569, Facturas_Odoo!$B:$B, 0)), 0)))</f>
        <v/>
      </c>
      <c r="AN1569" s="79">
        <f>IF(AND(A1569="", J1569=""), "", IF(A1569&lt;&gt;"", VALUE(MID(A1569,2,LEN(A1569))), AN1568))</f>
        <v/>
      </c>
      <c r="AO1569" s="79">
        <f>IF(AN1569="","",IF(AD1569=0,"OK",_xlfn.LET(monedaPago, IF(AA1569="","USD",AA1569), limitePermitido, IFERROR(VLOOKUP(monedaPago, Configuración!$A$2:$B$3, 2, FALSE), 0.15), IF(AD1569&gt;limitePermitido, "ALERTA: EXCESO (" &amp; TEXT(limitePermitido, "0%") &amp; " máx)", "OK"))))</f>
        <v/>
      </c>
      <c r="AP1569" s="79">
        <f>IF(AN1569="","",IF(AE1569=0,"OK",_xlfn.LET(fechaPago, Z1569, fechaFactura, R1569, diasCredito, IF(E1569="Pago inmediato", 0, IFERROR(VALUE(MID(E1569, 1, SEARCH(" ", E1569)-1)),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69" s="79">
        <f>IF(AN1569="","",IF(AND(N1569&gt;0, AG1569&gt;0), IF(Configuración!$K$2="NO", "ALERTA: DESCUENTO DOBLE NO PERMITIDO", "OK"), "OK"))</f>
        <v/>
      </c>
      <c r="AR1569" s="79">
        <f>IF(AN1569="","",IF(OR(AO1569&lt;&gt;"OK", AP1569&lt;&gt;"OK", AQ1569&lt;&gt;"OK"), "⚠️ REVISAR", "OK"))</f>
        <v/>
      </c>
    </row>
    <row r="1570">
      <c r="A1570" s="79">
        <f>IF('Ordenes_Odoo'!A1570="","",'Ordenes_Odoo'!A1570)</f>
        <v/>
      </c>
      <c r="B1570" s="80">
        <f>IF('Ordenes_Odoo'!B1570="","",'Ordenes_Odoo'!B1570)</f>
        <v/>
      </c>
      <c r="C1570" s="79">
        <f>IF('Ordenes_Odoo'!C1570="","",'Ordenes_Odoo'!C1570)</f>
        <v/>
      </c>
      <c r="D1570" s="79">
        <f>IF('Ordenes_Odoo'!D1570="","",'Ordenes_Odoo'!D1570)</f>
        <v/>
      </c>
      <c r="E1570" s="79">
        <f>IF('Ordenes_Odoo'!E1570="","",'Ordenes_Odoo'!E1570)</f>
        <v/>
      </c>
      <c r="F1570" s="79">
        <f>IF('Ordenes_Odoo'!F1570="","",'Ordenes_Odoo'!F1570)</f>
        <v/>
      </c>
      <c r="G1570" s="79">
        <f>IF('Ordenes_Odoo'!G1570="","",'Ordenes_Odoo'!G1570)</f>
        <v/>
      </c>
      <c r="H1570" s="79">
        <f>IF('Ordenes_Odoo'!H1570="","",'Ordenes_Odoo'!H1570)</f>
        <v/>
      </c>
      <c r="I1570" s="79">
        <f>IF('Ordenes_Odoo'!I1570="","",'Ordenes_Odoo'!I1570)</f>
        <v/>
      </c>
      <c r="J1570" s="79">
        <f>IF('Ordenes_Odoo'!J1570="","",'Ordenes_Odoo'!J1570)</f>
        <v/>
      </c>
      <c r="K1570" s="81">
        <f>IF('Ordenes_Odoo'!K1570="","",'Ordenes_Odoo'!K1570)</f>
        <v/>
      </c>
      <c r="L1570" s="81">
        <f>IF('Ordenes_Odoo'!L1570="","",'Ordenes_Odoo'!L1570)</f>
        <v/>
      </c>
      <c r="M1570" s="79">
        <f>IF('Ordenes_Odoo'!M1570="","",'Ordenes_Odoo'!M1570)</f>
        <v/>
      </c>
      <c r="N1570" s="79">
        <f>IF('Ordenes_Odoo'!N1570="","",'Ordenes_Odoo'!N1570)</f>
        <v/>
      </c>
      <c r="O1570" s="81">
        <f>IF('Ordenes_Odoo'!O1570="","",'Ordenes_Odoo'!O1570)</f>
        <v/>
      </c>
      <c r="P1570" s="81">
        <f>IF('Ordenes_Odoo'!P1570="","",'Ordenes_Odoo'!P1570)</f>
        <v/>
      </c>
      <c r="Q1570" s="79">
        <f>IF(A1570="","",IFERROR(INDEX(Facturas_Odoo!$B:$B, MATCH(A1570, Facturas_Odoo!$D:$D, 0)), "Sin Factura"))</f>
        <v/>
      </c>
      <c r="R1570" s="80">
        <f>IF(Q1570="Sin Factura","",IFERROR(INDEX(Facturas_Odoo!$A:$A, MATCH(Q1570, Facturas_Odoo!$B:$B, 0)), ""))</f>
        <v/>
      </c>
      <c r="S1570" s="79">
        <f>IF(Q1570="Sin Factura","",IFERROR(_xlfn.XLOOKUP(1, (Facturas_Odoo!$D:$D=A1570) * (Facturas_Odoo!$K:$K=I1570), Facturas_Odoo!$L:$L, ""), ""))</f>
        <v/>
      </c>
      <c r="T1570" s="81">
        <f>IF(Q1570="Sin Factura",0,IFERROR(_xlfn.XLOOKUP(1, (Facturas_Odoo!$D:$D=A1570) * (Facturas_Odoo!$K:$K=I1570), Facturas_Odoo!$M:$M, 0), 0))</f>
        <v/>
      </c>
      <c r="U1570" s="79">
        <f>IF(Q1570="Sin Factura",0,IFERROR(_xlfn.XLOOKUP(1, (Facturas_Odoo!$D:$D=A1570) * (Facturas_Odoo!$K:$K=I1570), Facturas_Odoo!$N:$N, 0), 0))</f>
        <v/>
      </c>
      <c r="V1570" s="79">
        <f>IF(Q1570="Sin Factura",0,IFERROR(_xlfn.XLOOKUP(1, (Facturas_Odoo!$D:$D=A1570) * (Facturas_Odoo!$K:$K=I1570), Facturas_Odoo!$O:$O, 0), 0))</f>
        <v/>
      </c>
      <c r="W1570" s="81">
        <f>IF(Q1570="Sin Factura",0,IFERROR(_xlfn.XLOOKUP(1, (Facturas_Odoo!$D:$D=A1570) * (Facturas_Odoo!$K:$K=I1570), Facturas_Odoo!$Q:$Q, 0), 0))</f>
        <v/>
      </c>
      <c r="X1570" s="79">
        <f>IF(OR(Q1570="Sin Factura",Q1570=""),"",IFERROR(INDEX(Pagos_Odoo!$B:$B, MATCH(Q1570, Pagos_Odoo!$I:$I, 0)), "Sin Pago"))</f>
        <v/>
      </c>
      <c r="Y1570" s="79">
        <f>IF(X1570="Sin Pago","",IFERROR(INDEX(Pagos_Odoo!$C:$C, MATCH(X1570, Pagos_Odoo!$B:$B, 0)), ""))</f>
        <v/>
      </c>
      <c r="Z1570" s="80">
        <f>IF(X1570="Sin Pago","",IFERROR(INDEX(Pagos_Odoo!$A:$A, MATCH(X1570, Pagos_Odoo!$B:$B, 0)), ""))</f>
        <v/>
      </c>
      <c r="AA1570" s="79">
        <f>IF(X1570="Sin Pago","",IFERROR(INDEX(Pagos_Odoo!$F:$F, MATCH(X1570, Pagos_Odoo!$B:$B, 0)), ""))</f>
        <v/>
      </c>
      <c r="AB1570" s="81">
        <f>IF(X1570="Sin Pago",0,IFERROR(INDEX(Pagos_Odoo!$E:$E, MATCH(X1570, Pagos_Odoo!$B:$B, 0)), 0))</f>
        <v/>
      </c>
      <c r="AC1570" s="79">
        <f>IF(X1570="Sin Pago","",IFERROR(INDEX(Pagos_Odoo!$G:$G, MATCH(X1570, Pagos_Odoo!$B:$B, 0)), ""))</f>
        <v/>
      </c>
      <c r="AD1570" s="82" t="n">
        <v>0</v>
      </c>
      <c r="AE1570" s="82" t="n"/>
      <c r="AF1570" s="82" t="n"/>
      <c r="AG1570" s="82">
        <f>IF(AN1570="","",AD1570+AE1570+AF1570)</f>
        <v/>
      </c>
      <c r="AH1570" s="81">
        <f>IF(AN1570="","",P1570*(1-AG1570))</f>
        <v/>
      </c>
      <c r="AI1570" s="81">
        <f>IF(AN1570="","",IF(Q1570="Sin Factura",0,IFERROR(INDEX(Facturas_Odoo!$H:$H, MATCH(Q1570, Facturas_Odoo!$B:$B, 0)), 0)*(1-AG1570)))</f>
        <v/>
      </c>
      <c r="AJ1570" s="81">
        <f>IF(AN1570="","",_xlfn.LET(idVenta, AN1570&amp;"",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70" s="81">
        <f>IF(AN1570="","",AH1570-AJ1570)</f>
        <v/>
      </c>
      <c r="AL1570" s="81">
        <f>IF(AN1570="","",IF(Q1570="Sin Factura","",AI1570-AJ1570))</f>
        <v/>
      </c>
      <c r="AM1570" s="81">
        <f>IF(AN1570="","",IF(Q1570="Sin Factura",0,P1570-IFERROR(INDEX(Facturas_Odoo!$H:$H, MATCH(Q1570, Facturas_Odoo!$B:$B, 0)), 0)))</f>
        <v/>
      </c>
      <c r="AN1570" s="79">
        <f>IF(AND(A1570="", J1570=""), "", IF(A1570&lt;&gt;"", VALUE(MID(A1570,2,LEN(A1570))), AN1569))</f>
        <v/>
      </c>
      <c r="AO1570" s="79">
        <f>IF(AN1570="","",IF(AD1570=0,"OK",_xlfn.LET(monedaPago, IF(AA1570="","USD",AA1570), limitePermitido, IFERROR(VLOOKUP(monedaPago, Configuración!$A$2:$B$3, 2, FALSE), 0.15), IF(AD1570&gt;limitePermitido, "ALERTA: EXCESO (" &amp; TEXT(limitePermitido, "0%") &amp; " máx)", "OK"))))</f>
        <v/>
      </c>
      <c r="AP1570" s="79">
        <f>IF(AN1570="","",IF(AE1570=0,"OK",_xlfn.LET(fechaPago, Z1570, fechaFactura, R1570, diasCredito, IF(E1570="Pago inmediato", 0, IFERROR(VALUE(MID(E1570, 1, SEARCH(" ", E1570)-1)),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70" s="79">
        <f>IF(AN1570="","",IF(AND(N1570&gt;0, AG1570&gt;0), IF(Configuración!$K$2="NO", "ALERTA: DESCUENTO DOBLE NO PERMITIDO", "OK"), "OK"))</f>
        <v/>
      </c>
      <c r="AR1570" s="79">
        <f>IF(AN1570="","",IF(OR(AO1570&lt;&gt;"OK", AP1570&lt;&gt;"OK", AQ1570&lt;&gt;"OK"), "⚠️ REVISAR", "OK"))</f>
        <v/>
      </c>
    </row>
    <row r="1571">
      <c r="A1571" s="79">
        <f>IF('Ordenes_Odoo'!A1571="","",'Ordenes_Odoo'!A1571)</f>
        <v/>
      </c>
      <c r="B1571" s="80">
        <f>IF('Ordenes_Odoo'!B1571="","",'Ordenes_Odoo'!B1571)</f>
        <v/>
      </c>
      <c r="C1571" s="79">
        <f>IF('Ordenes_Odoo'!C1571="","",'Ordenes_Odoo'!C1571)</f>
        <v/>
      </c>
      <c r="D1571" s="79">
        <f>IF('Ordenes_Odoo'!D1571="","",'Ordenes_Odoo'!D1571)</f>
        <v/>
      </c>
      <c r="E1571" s="79">
        <f>IF('Ordenes_Odoo'!E1571="","",'Ordenes_Odoo'!E1571)</f>
        <v/>
      </c>
      <c r="F1571" s="79">
        <f>IF('Ordenes_Odoo'!F1571="","",'Ordenes_Odoo'!F1571)</f>
        <v/>
      </c>
      <c r="G1571" s="79">
        <f>IF('Ordenes_Odoo'!G1571="","",'Ordenes_Odoo'!G1571)</f>
        <v/>
      </c>
      <c r="H1571" s="79">
        <f>IF('Ordenes_Odoo'!H1571="","",'Ordenes_Odoo'!H1571)</f>
        <v/>
      </c>
      <c r="I1571" s="79">
        <f>IF('Ordenes_Odoo'!I1571="","",'Ordenes_Odoo'!I1571)</f>
        <v/>
      </c>
      <c r="J1571" s="79">
        <f>IF('Ordenes_Odoo'!J1571="","",'Ordenes_Odoo'!J1571)</f>
        <v/>
      </c>
      <c r="K1571" s="81">
        <f>IF('Ordenes_Odoo'!K1571="","",'Ordenes_Odoo'!K1571)</f>
        <v/>
      </c>
      <c r="L1571" s="81">
        <f>IF('Ordenes_Odoo'!L1571="","",'Ordenes_Odoo'!L1571)</f>
        <v/>
      </c>
      <c r="M1571" s="79">
        <f>IF('Ordenes_Odoo'!M1571="","",'Ordenes_Odoo'!M1571)</f>
        <v/>
      </c>
      <c r="N1571" s="79">
        <f>IF('Ordenes_Odoo'!N1571="","",'Ordenes_Odoo'!N1571)</f>
        <v/>
      </c>
      <c r="O1571" s="81">
        <f>IF('Ordenes_Odoo'!O1571="","",'Ordenes_Odoo'!O1571)</f>
        <v/>
      </c>
      <c r="P1571" s="81">
        <f>IF('Ordenes_Odoo'!P1571="","",'Ordenes_Odoo'!P1571)</f>
        <v/>
      </c>
      <c r="Q1571" s="79">
        <f>IF(A1571="","",IFERROR(INDEX(Facturas_Odoo!$B:$B, MATCH(A1571, Facturas_Odoo!$D:$D, 0)), "Sin Factura"))</f>
        <v/>
      </c>
      <c r="R1571" s="80">
        <f>IF(Q1571="Sin Factura","",IFERROR(INDEX(Facturas_Odoo!$A:$A, MATCH(Q1571, Facturas_Odoo!$B:$B, 0)), ""))</f>
        <v/>
      </c>
      <c r="S1571" s="79">
        <f>IF(Q1571="Sin Factura","",IFERROR(_xlfn.XLOOKUP(1, (Facturas_Odoo!$D:$D=A1571) * (Facturas_Odoo!$K:$K=I1571), Facturas_Odoo!$L:$L, ""), ""))</f>
        <v/>
      </c>
      <c r="T1571" s="81">
        <f>IF(Q1571="Sin Factura",0,IFERROR(_xlfn.XLOOKUP(1, (Facturas_Odoo!$D:$D=A1571) * (Facturas_Odoo!$K:$K=I1571), Facturas_Odoo!$M:$M, 0), 0))</f>
        <v/>
      </c>
      <c r="U1571" s="79">
        <f>IF(Q1571="Sin Factura",0,IFERROR(_xlfn.XLOOKUP(1, (Facturas_Odoo!$D:$D=A1571) * (Facturas_Odoo!$K:$K=I1571), Facturas_Odoo!$N:$N, 0), 0))</f>
        <v/>
      </c>
      <c r="V1571" s="79">
        <f>IF(Q1571="Sin Factura",0,IFERROR(_xlfn.XLOOKUP(1, (Facturas_Odoo!$D:$D=A1571) * (Facturas_Odoo!$K:$K=I1571), Facturas_Odoo!$O:$O, 0), 0))</f>
        <v/>
      </c>
      <c r="W1571" s="81">
        <f>IF(Q1571="Sin Factura",0,IFERROR(_xlfn.XLOOKUP(1, (Facturas_Odoo!$D:$D=A1571) * (Facturas_Odoo!$K:$K=I1571), Facturas_Odoo!$Q:$Q, 0), 0))</f>
        <v/>
      </c>
      <c r="X1571" s="79">
        <f>IF(OR(Q1571="Sin Factura",Q1571=""),"",IFERROR(INDEX(Pagos_Odoo!$B:$B, MATCH(Q1571, Pagos_Odoo!$I:$I, 0)), "Sin Pago"))</f>
        <v/>
      </c>
      <c r="Y1571" s="79">
        <f>IF(X1571="Sin Pago","",IFERROR(INDEX(Pagos_Odoo!$C:$C, MATCH(X1571, Pagos_Odoo!$B:$B, 0)), ""))</f>
        <v/>
      </c>
      <c r="Z1571" s="80">
        <f>IF(X1571="Sin Pago","",IFERROR(INDEX(Pagos_Odoo!$A:$A, MATCH(X1571, Pagos_Odoo!$B:$B, 0)), ""))</f>
        <v/>
      </c>
      <c r="AA1571" s="79">
        <f>IF(X1571="Sin Pago","",IFERROR(INDEX(Pagos_Odoo!$F:$F, MATCH(X1571, Pagos_Odoo!$B:$B, 0)), ""))</f>
        <v/>
      </c>
      <c r="AB1571" s="81">
        <f>IF(X1571="Sin Pago",0,IFERROR(INDEX(Pagos_Odoo!$E:$E, MATCH(X1571, Pagos_Odoo!$B:$B, 0)), 0))</f>
        <v/>
      </c>
      <c r="AC1571" s="79">
        <f>IF(X1571="Sin Pago","",IFERROR(INDEX(Pagos_Odoo!$G:$G, MATCH(X1571, Pagos_Odoo!$B:$B, 0)), ""))</f>
        <v/>
      </c>
      <c r="AD1571" s="82" t="n">
        <v>0</v>
      </c>
      <c r="AE1571" s="82" t="n"/>
      <c r="AF1571" s="82" t="n"/>
      <c r="AG1571" s="82">
        <f>IF(AN1571="","",AD1571+AE1571+AF1571)</f>
        <v/>
      </c>
      <c r="AH1571" s="81">
        <f>IF(AN1571="","",P1571*(1-AG1571))</f>
        <v/>
      </c>
      <c r="AI1571" s="81">
        <f>IF(AN1571="","",IF(Q1571="Sin Factura",0,IFERROR(INDEX(Facturas_Odoo!$H:$H, MATCH(Q1571, Facturas_Odoo!$B:$B, 0)), 0)*(1-AG1571)))</f>
        <v/>
      </c>
      <c r="AJ1571" s="81">
        <f>IF(AN1571="","",_xlfn.LET(idVenta, AN1571&amp;"",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71" s="81">
        <f>IF(AN1571="","",AH1571-AJ1571)</f>
        <v/>
      </c>
      <c r="AL1571" s="81">
        <f>IF(AN1571="","",IF(Q1571="Sin Factura","",AI1571-AJ1571))</f>
        <v/>
      </c>
      <c r="AM1571" s="81">
        <f>IF(AN1571="","",IF(Q1571="Sin Factura",0,P1571-IFERROR(INDEX(Facturas_Odoo!$H:$H, MATCH(Q1571, Facturas_Odoo!$B:$B, 0)), 0)))</f>
        <v/>
      </c>
      <c r="AN1571" s="79">
        <f>IF(AND(A1571="", J1571=""), "", IF(A1571&lt;&gt;"", VALUE(MID(A1571,2,LEN(A1571))), AN1570))</f>
        <v/>
      </c>
      <c r="AO1571" s="79">
        <f>IF(AN1571="","",IF(AD1571=0,"OK",_xlfn.LET(monedaPago, IF(AA1571="","USD",AA1571), limitePermitido, IFERROR(VLOOKUP(monedaPago, Configuración!$A$2:$B$3, 2, FALSE), 0.15), IF(AD1571&gt;limitePermitido, "ALERTA: EXCESO (" &amp; TEXT(limitePermitido, "0%") &amp; " máx)", "OK"))))</f>
        <v/>
      </c>
      <c r="AP1571" s="79">
        <f>IF(AN1571="","",IF(AE1571=0,"OK",_xlfn.LET(fechaPago, Z1571, fechaFactura, R1571, diasCredito, IF(E1571="Pago inmediato", 0, IFERROR(VALUE(MID(E1571, 1, SEARCH(" ", E1571)-1)),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71" s="79">
        <f>IF(AN1571="","",IF(AND(N1571&gt;0, AG1571&gt;0), IF(Configuración!$K$2="NO", "ALERTA: DESCUENTO DOBLE NO PERMITIDO", "OK"), "OK"))</f>
        <v/>
      </c>
      <c r="AR1571" s="79">
        <f>IF(AN1571="","",IF(OR(AO1571&lt;&gt;"OK", AP1571&lt;&gt;"OK", AQ1571&lt;&gt;"OK"), "⚠️ REVISAR", "OK"))</f>
        <v/>
      </c>
    </row>
    <row r="1572">
      <c r="A1572" s="79">
        <f>IF('Ordenes_Odoo'!A1572="","",'Ordenes_Odoo'!A1572)</f>
        <v/>
      </c>
      <c r="B1572" s="80">
        <f>IF('Ordenes_Odoo'!B1572="","",'Ordenes_Odoo'!B1572)</f>
        <v/>
      </c>
      <c r="C1572" s="79">
        <f>IF('Ordenes_Odoo'!C1572="","",'Ordenes_Odoo'!C1572)</f>
        <v/>
      </c>
      <c r="D1572" s="79">
        <f>IF('Ordenes_Odoo'!D1572="","",'Ordenes_Odoo'!D1572)</f>
        <v/>
      </c>
      <c r="E1572" s="79">
        <f>IF('Ordenes_Odoo'!E1572="","",'Ordenes_Odoo'!E1572)</f>
        <v/>
      </c>
      <c r="F1572" s="79">
        <f>IF('Ordenes_Odoo'!F1572="","",'Ordenes_Odoo'!F1572)</f>
        <v/>
      </c>
      <c r="G1572" s="79">
        <f>IF('Ordenes_Odoo'!G1572="","",'Ordenes_Odoo'!G1572)</f>
        <v/>
      </c>
      <c r="H1572" s="79">
        <f>IF('Ordenes_Odoo'!H1572="","",'Ordenes_Odoo'!H1572)</f>
        <v/>
      </c>
      <c r="I1572" s="79">
        <f>IF('Ordenes_Odoo'!I1572="","",'Ordenes_Odoo'!I1572)</f>
        <v/>
      </c>
      <c r="J1572" s="79">
        <f>IF('Ordenes_Odoo'!J1572="","",'Ordenes_Odoo'!J1572)</f>
        <v/>
      </c>
      <c r="K1572" s="81">
        <f>IF('Ordenes_Odoo'!K1572="","",'Ordenes_Odoo'!K1572)</f>
        <v/>
      </c>
      <c r="L1572" s="81">
        <f>IF('Ordenes_Odoo'!L1572="","",'Ordenes_Odoo'!L1572)</f>
        <v/>
      </c>
      <c r="M1572" s="79">
        <f>IF('Ordenes_Odoo'!M1572="","",'Ordenes_Odoo'!M1572)</f>
        <v/>
      </c>
      <c r="N1572" s="79">
        <f>IF('Ordenes_Odoo'!N1572="","",'Ordenes_Odoo'!N1572)</f>
        <v/>
      </c>
      <c r="O1572" s="81">
        <f>IF('Ordenes_Odoo'!O1572="","",'Ordenes_Odoo'!O1572)</f>
        <v/>
      </c>
      <c r="P1572" s="81">
        <f>IF('Ordenes_Odoo'!P1572="","",'Ordenes_Odoo'!P1572)</f>
        <v/>
      </c>
      <c r="Q1572" s="79">
        <f>IF(A1572="","",IFERROR(INDEX(Facturas_Odoo!$B:$B, MATCH(A1572, Facturas_Odoo!$D:$D, 0)), "Sin Factura"))</f>
        <v/>
      </c>
      <c r="R1572" s="80">
        <f>IF(Q1572="Sin Factura","",IFERROR(INDEX(Facturas_Odoo!$A:$A, MATCH(Q1572, Facturas_Odoo!$B:$B, 0)), ""))</f>
        <v/>
      </c>
      <c r="S1572" s="79">
        <f>IF(Q1572="Sin Factura","",IFERROR(_xlfn.XLOOKUP(1, (Facturas_Odoo!$D:$D=A1572) * (Facturas_Odoo!$K:$K=I1572), Facturas_Odoo!$L:$L, ""), ""))</f>
        <v/>
      </c>
      <c r="T1572" s="81">
        <f>IF(Q1572="Sin Factura",0,IFERROR(_xlfn.XLOOKUP(1, (Facturas_Odoo!$D:$D=A1572) * (Facturas_Odoo!$K:$K=I1572), Facturas_Odoo!$M:$M, 0), 0))</f>
        <v/>
      </c>
      <c r="U1572" s="79">
        <f>IF(Q1572="Sin Factura",0,IFERROR(_xlfn.XLOOKUP(1, (Facturas_Odoo!$D:$D=A1572) * (Facturas_Odoo!$K:$K=I1572), Facturas_Odoo!$N:$N, 0), 0))</f>
        <v/>
      </c>
      <c r="V1572" s="79">
        <f>IF(Q1572="Sin Factura",0,IFERROR(_xlfn.XLOOKUP(1, (Facturas_Odoo!$D:$D=A1572) * (Facturas_Odoo!$K:$K=I1572), Facturas_Odoo!$O:$O, 0), 0))</f>
        <v/>
      </c>
      <c r="W1572" s="81">
        <f>IF(Q1572="Sin Factura",0,IFERROR(_xlfn.XLOOKUP(1, (Facturas_Odoo!$D:$D=A1572) * (Facturas_Odoo!$K:$K=I1572), Facturas_Odoo!$Q:$Q, 0), 0))</f>
        <v/>
      </c>
      <c r="X1572" s="79">
        <f>IF(OR(Q1572="Sin Factura",Q1572=""),"",IFERROR(INDEX(Pagos_Odoo!$B:$B, MATCH(Q1572, Pagos_Odoo!$I:$I, 0)), "Sin Pago"))</f>
        <v/>
      </c>
      <c r="Y1572" s="79">
        <f>IF(X1572="Sin Pago","",IFERROR(INDEX(Pagos_Odoo!$C:$C, MATCH(X1572, Pagos_Odoo!$B:$B, 0)), ""))</f>
        <v/>
      </c>
      <c r="Z1572" s="80">
        <f>IF(X1572="Sin Pago","",IFERROR(INDEX(Pagos_Odoo!$A:$A, MATCH(X1572, Pagos_Odoo!$B:$B, 0)), ""))</f>
        <v/>
      </c>
      <c r="AA1572" s="79">
        <f>IF(X1572="Sin Pago","",IFERROR(INDEX(Pagos_Odoo!$F:$F, MATCH(X1572, Pagos_Odoo!$B:$B, 0)), ""))</f>
        <v/>
      </c>
      <c r="AB1572" s="81">
        <f>IF(X1572="Sin Pago",0,IFERROR(INDEX(Pagos_Odoo!$E:$E, MATCH(X1572, Pagos_Odoo!$B:$B, 0)), 0))</f>
        <v/>
      </c>
      <c r="AC1572" s="79">
        <f>IF(X1572="Sin Pago","",IFERROR(INDEX(Pagos_Odoo!$G:$G, MATCH(X1572, Pagos_Odoo!$B:$B, 0)), ""))</f>
        <v/>
      </c>
      <c r="AD1572" s="82" t="n">
        <v>0</v>
      </c>
      <c r="AE1572" s="82" t="n"/>
      <c r="AF1572" s="82" t="n"/>
      <c r="AG1572" s="82">
        <f>IF(AN1572="","",AD1572+AE1572+AF1572)</f>
        <v/>
      </c>
      <c r="AH1572" s="81">
        <f>IF(AN1572="","",P1572*(1-AG1572))</f>
        <v/>
      </c>
      <c r="AI1572" s="81">
        <f>IF(AN1572="","",IF(Q1572="Sin Factura",0,IFERROR(INDEX(Facturas_Odoo!$H:$H, MATCH(Q1572, Facturas_Odoo!$B:$B, 0)), 0)*(1-AG1572)))</f>
        <v/>
      </c>
      <c r="AJ1572" s="81">
        <f>IF(AN1572="","",_xlfn.LET(idVenta, AN1572&amp;"",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72" s="81">
        <f>IF(AN1572="","",AH1572-AJ1572)</f>
        <v/>
      </c>
      <c r="AL1572" s="81">
        <f>IF(AN1572="","",IF(Q1572="Sin Factura","",AI1572-AJ1572))</f>
        <v/>
      </c>
      <c r="AM1572" s="81">
        <f>IF(AN1572="","",IF(Q1572="Sin Factura",0,P1572-IFERROR(INDEX(Facturas_Odoo!$H:$H, MATCH(Q1572, Facturas_Odoo!$B:$B, 0)), 0)))</f>
        <v/>
      </c>
      <c r="AN1572" s="79">
        <f>IF(AND(A1572="", J1572=""), "", IF(A1572&lt;&gt;"", VALUE(MID(A1572,2,LEN(A1572))), AN1571))</f>
        <v/>
      </c>
      <c r="AO1572" s="79">
        <f>IF(AN1572="","",IF(AD1572=0,"OK",_xlfn.LET(monedaPago, IF(AA1572="","USD",AA1572), limitePermitido, IFERROR(VLOOKUP(monedaPago, Configuración!$A$2:$B$3, 2, FALSE), 0.15), IF(AD1572&gt;limitePermitido, "ALERTA: EXCESO (" &amp; TEXT(limitePermitido, "0%") &amp; " máx)", "OK"))))</f>
        <v/>
      </c>
      <c r="AP1572" s="79">
        <f>IF(AN1572="","",IF(AE1572=0,"OK",_xlfn.LET(fechaPago, Z1572, fechaFactura, R1572, diasCredito, IF(E1572="Pago inmediato", 0, IFERROR(VALUE(MID(E1572, 1, SEARCH(" ", E1572)-1)),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72" s="79">
        <f>IF(AN1572="","",IF(AND(N1572&gt;0, AG1572&gt;0), IF(Configuración!$K$2="NO", "ALERTA: DESCUENTO DOBLE NO PERMITIDO", "OK"), "OK"))</f>
        <v/>
      </c>
      <c r="AR1572" s="79">
        <f>IF(AN1572="","",IF(OR(AO1572&lt;&gt;"OK", AP1572&lt;&gt;"OK", AQ1572&lt;&gt;"OK"), "⚠️ REVISAR", "OK"))</f>
        <v/>
      </c>
    </row>
    <row r="1573">
      <c r="A1573" s="79">
        <f>IF('Ordenes_Odoo'!A1573="","",'Ordenes_Odoo'!A1573)</f>
        <v/>
      </c>
      <c r="B1573" s="80">
        <f>IF('Ordenes_Odoo'!B1573="","",'Ordenes_Odoo'!B1573)</f>
        <v/>
      </c>
      <c r="C1573" s="79">
        <f>IF('Ordenes_Odoo'!C1573="","",'Ordenes_Odoo'!C1573)</f>
        <v/>
      </c>
      <c r="D1573" s="79">
        <f>IF('Ordenes_Odoo'!D1573="","",'Ordenes_Odoo'!D1573)</f>
        <v/>
      </c>
      <c r="E1573" s="79">
        <f>IF('Ordenes_Odoo'!E1573="","",'Ordenes_Odoo'!E1573)</f>
        <v/>
      </c>
      <c r="F1573" s="79">
        <f>IF('Ordenes_Odoo'!F1573="","",'Ordenes_Odoo'!F1573)</f>
        <v/>
      </c>
      <c r="G1573" s="79">
        <f>IF('Ordenes_Odoo'!G1573="","",'Ordenes_Odoo'!G1573)</f>
        <v/>
      </c>
      <c r="H1573" s="79">
        <f>IF('Ordenes_Odoo'!H1573="","",'Ordenes_Odoo'!H1573)</f>
        <v/>
      </c>
      <c r="I1573" s="79">
        <f>IF('Ordenes_Odoo'!I1573="","",'Ordenes_Odoo'!I1573)</f>
        <v/>
      </c>
      <c r="J1573" s="79">
        <f>IF('Ordenes_Odoo'!J1573="","",'Ordenes_Odoo'!J1573)</f>
        <v/>
      </c>
      <c r="K1573" s="81">
        <f>IF('Ordenes_Odoo'!K1573="","",'Ordenes_Odoo'!K1573)</f>
        <v/>
      </c>
      <c r="L1573" s="81">
        <f>IF('Ordenes_Odoo'!L1573="","",'Ordenes_Odoo'!L1573)</f>
        <v/>
      </c>
      <c r="M1573" s="79">
        <f>IF('Ordenes_Odoo'!M1573="","",'Ordenes_Odoo'!M1573)</f>
        <v/>
      </c>
      <c r="N1573" s="79">
        <f>IF('Ordenes_Odoo'!N1573="","",'Ordenes_Odoo'!N1573)</f>
        <v/>
      </c>
      <c r="O1573" s="81">
        <f>IF('Ordenes_Odoo'!O1573="","",'Ordenes_Odoo'!O1573)</f>
        <v/>
      </c>
      <c r="P1573" s="81">
        <f>IF('Ordenes_Odoo'!P1573="","",'Ordenes_Odoo'!P1573)</f>
        <v/>
      </c>
      <c r="Q1573" s="79">
        <f>IF(A1573="","",IFERROR(INDEX(Facturas_Odoo!$B:$B, MATCH(A1573, Facturas_Odoo!$D:$D, 0)), "Sin Factura"))</f>
        <v/>
      </c>
      <c r="R1573" s="80">
        <f>IF(Q1573="Sin Factura","",IFERROR(INDEX(Facturas_Odoo!$A:$A, MATCH(Q1573, Facturas_Odoo!$B:$B, 0)), ""))</f>
        <v/>
      </c>
      <c r="S1573" s="79">
        <f>IF(Q1573="Sin Factura","",IFERROR(_xlfn.XLOOKUP(1, (Facturas_Odoo!$D:$D=A1573) * (Facturas_Odoo!$K:$K=I1573), Facturas_Odoo!$L:$L, ""), ""))</f>
        <v/>
      </c>
      <c r="T1573" s="81">
        <f>IF(Q1573="Sin Factura",0,IFERROR(_xlfn.XLOOKUP(1, (Facturas_Odoo!$D:$D=A1573) * (Facturas_Odoo!$K:$K=I1573), Facturas_Odoo!$M:$M, 0), 0))</f>
        <v/>
      </c>
      <c r="U1573" s="79">
        <f>IF(Q1573="Sin Factura",0,IFERROR(_xlfn.XLOOKUP(1, (Facturas_Odoo!$D:$D=A1573) * (Facturas_Odoo!$K:$K=I1573), Facturas_Odoo!$N:$N, 0), 0))</f>
        <v/>
      </c>
      <c r="V1573" s="79">
        <f>IF(Q1573="Sin Factura",0,IFERROR(_xlfn.XLOOKUP(1, (Facturas_Odoo!$D:$D=A1573) * (Facturas_Odoo!$K:$K=I1573), Facturas_Odoo!$O:$O, 0), 0))</f>
        <v/>
      </c>
      <c r="W1573" s="81">
        <f>IF(Q1573="Sin Factura",0,IFERROR(_xlfn.XLOOKUP(1, (Facturas_Odoo!$D:$D=A1573) * (Facturas_Odoo!$K:$K=I1573), Facturas_Odoo!$Q:$Q, 0), 0))</f>
        <v/>
      </c>
      <c r="X1573" s="79">
        <f>IF(OR(Q1573="Sin Factura",Q1573=""),"",IFERROR(INDEX(Pagos_Odoo!$B:$B, MATCH(Q1573, Pagos_Odoo!$I:$I, 0)), "Sin Pago"))</f>
        <v/>
      </c>
      <c r="Y1573" s="79">
        <f>IF(X1573="Sin Pago","",IFERROR(INDEX(Pagos_Odoo!$C:$C, MATCH(X1573, Pagos_Odoo!$B:$B, 0)), ""))</f>
        <v/>
      </c>
      <c r="Z1573" s="80">
        <f>IF(X1573="Sin Pago","",IFERROR(INDEX(Pagos_Odoo!$A:$A, MATCH(X1573, Pagos_Odoo!$B:$B, 0)), ""))</f>
        <v/>
      </c>
      <c r="AA1573" s="79">
        <f>IF(X1573="Sin Pago","",IFERROR(INDEX(Pagos_Odoo!$F:$F, MATCH(X1573, Pagos_Odoo!$B:$B, 0)), ""))</f>
        <v/>
      </c>
      <c r="AB1573" s="81">
        <f>IF(X1573="Sin Pago",0,IFERROR(INDEX(Pagos_Odoo!$E:$E, MATCH(X1573, Pagos_Odoo!$B:$B, 0)), 0))</f>
        <v/>
      </c>
      <c r="AC1573" s="79">
        <f>IF(X1573="Sin Pago","",IFERROR(INDEX(Pagos_Odoo!$G:$G, MATCH(X1573, Pagos_Odoo!$B:$B, 0)), ""))</f>
        <v/>
      </c>
      <c r="AD1573" s="82" t="n">
        <v>0</v>
      </c>
      <c r="AE1573" s="82" t="n"/>
      <c r="AF1573" s="82" t="n"/>
      <c r="AG1573" s="82">
        <f>IF(AN1573="","",AD1573+AE1573+AF1573)</f>
        <v/>
      </c>
      <c r="AH1573" s="81">
        <f>IF(AN1573="","",P1573*(1-AG1573))</f>
        <v/>
      </c>
      <c r="AI1573" s="81">
        <f>IF(AN1573="","",IF(Q1573="Sin Factura",0,IFERROR(INDEX(Facturas_Odoo!$H:$H, MATCH(Q1573, Facturas_Odoo!$B:$B, 0)), 0)*(1-AG1573)))</f>
        <v/>
      </c>
      <c r="AJ1573" s="81">
        <f>IF(AN1573="","",_xlfn.LET(idVenta, AN1573&amp;"",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73" s="81">
        <f>IF(AN1573="","",AH1573-AJ1573)</f>
        <v/>
      </c>
      <c r="AL1573" s="81">
        <f>IF(AN1573="","",IF(Q1573="Sin Factura","",AI1573-AJ1573))</f>
        <v/>
      </c>
      <c r="AM1573" s="81">
        <f>IF(AN1573="","",IF(Q1573="Sin Factura",0,P1573-IFERROR(INDEX(Facturas_Odoo!$H:$H, MATCH(Q1573, Facturas_Odoo!$B:$B, 0)), 0)))</f>
        <v/>
      </c>
      <c r="AN1573" s="79">
        <f>IF(AND(A1573="", J1573=""), "", IF(A1573&lt;&gt;"", VALUE(MID(A1573,2,LEN(A1573))), AN1572))</f>
        <v/>
      </c>
      <c r="AO1573" s="79">
        <f>IF(AN1573="","",IF(AD1573=0,"OK",_xlfn.LET(monedaPago, IF(AA1573="","USD",AA1573), limitePermitido, IFERROR(VLOOKUP(monedaPago, Configuración!$A$2:$B$3, 2, FALSE), 0.15), IF(AD1573&gt;limitePermitido, "ALERTA: EXCESO (" &amp; TEXT(limitePermitido, "0%") &amp; " máx)", "OK"))))</f>
        <v/>
      </c>
      <c r="AP1573" s="79">
        <f>IF(AN1573="","",IF(AE1573=0,"OK",_xlfn.LET(fechaPago, Z1573, fechaFactura, R1573, diasCredito, IF(E1573="Pago inmediato", 0, IFERROR(VALUE(MID(E1573, 1, SEARCH(" ", E1573)-1)),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73" s="79">
        <f>IF(AN1573="","",IF(AND(N1573&gt;0, AG1573&gt;0), IF(Configuración!$K$2="NO", "ALERTA: DESCUENTO DOBLE NO PERMITIDO", "OK"), "OK"))</f>
        <v/>
      </c>
      <c r="AR1573" s="79">
        <f>IF(AN1573="","",IF(OR(AO1573&lt;&gt;"OK", AP1573&lt;&gt;"OK", AQ1573&lt;&gt;"OK"), "⚠️ REVISAR", "OK"))</f>
        <v/>
      </c>
    </row>
    <row r="1574">
      <c r="A1574" s="79">
        <f>IF('Ordenes_Odoo'!A1574="","",'Ordenes_Odoo'!A1574)</f>
        <v/>
      </c>
      <c r="B1574" s="80">
        <f>IF('Ordenes_Odoo'!B1574="","",'Ordenes_Odoo'!B1574)</f>
        <v/>
      </c>
      <c r="C1574" s="79">
        <f>IF('Ordenes_Odoo'!C1574="","",'Ordenes_Odoo'!C1574)</f>
        <v/>
      </c>
      <c r="D1574" s="79">
        <f>IF('Ordenes_Odoo'!D1574="","",'Ordenes_Odoo'!D1574)</f>
        <v/>
      </c>
      <c r="E1574" s="79">
        <f>IF('Ordenes_Odoo'!E1574="","",'Ordenes_Odoo'!E1574)</f>
        <v/>
      </c>
      <c r="F1574" s="79">
        <f>IF('Ordenes_Odoo'!F1574="","",'Ordenes_Odoo'!F1574)</f>
        <v/>
      </c>
      <c r="G1574" s="79">
        <f>IF('Ordenes_Odoo'!G1574="","",'Ordenes_Odoo'!G1574)</f>
        <v/>
      </c>
      <c r="H1574" s="79">
        <f>IF('Ordenes_Odoo'!H1574="","",'Ordenes_Odoo'!H1574)</f>
        <v/>
      </c>
      <c r="I1574" s="79">
        <f>IF('Ordenes_Odoo'!I1574="","",'Ordenes_Odoo'!I1574)</f>
        <v/>
      </c>
      <c r="J1574" s="79">
        <f>IF('Ordenes_Odoo'!J1574="","",'Ordenes_Odoo'!J1574)</f>
        <v/>
      </c>
      <c r="K1574" s="81">
        <f>IF('Ordenes_Odoo'!K1574="","",'Ordenes_Odoo'!K1574)</f>
        <v/>
      </c>
      <c r="L1574" s="81">
        <f>IF('Ordenes_Odoo'!L1574="","",'Ordenes_Odoo'!L1574)</f>
        <v/>
      </c>
      <c r="M1574" s="79">
        <f>IF('Ordenes_Odoo'!M1574="","",'Ordenes_Odoo'!M1574)</f>
        <v/>
      </c>
      <c r="N1574" s="79">
        <f>IF('Ordenes_Odoo'!N1574="","",'Ordenes_Odoo'!N1574)</f>
        <v/>
      </c>
      <c r="O1574" s="81">
        <f>IF('Ordenes_Odoo'!O1574="","",'Ordenes_Odoo'!O1574)</f>
        <v/>
      </c>
      <c r="P1574" s="81">
        <f>IF('Ordenes_Odoo'!P1574="","",'Ordenes_Odoo'!P1574)</f>
        <v/>
      </c>
      <c r="Q1574" s="79">
        <f>IF(A1574="","",IFERROR(INDEX(Facturas_Odoo!$B:$B, MATCH(A1574, Facturas_Odoo!$D:$D, 0)), "Sin Factura"))</f>
        <v/>
      </c>
      <c r="R1574" s="80">
        <f>IF(Q1574="Sin Factura","",IFERROR(INDEX(Facturas_Odoo!$A:$A, MATCH(Q1574, Facturas_Odoo!$B:$B, 0)), ""))</f>
        <v/>
      </c>
      <c r="S1574" s="79">
        <f>IF(Q1574="Sin Factura","",IFERROR(_xlfn.XLOOKUP(1, (Facturas_Odoo!$D:$D=A1574) * (Facturas_Odoo!$K:$K=I1574), Facturas_Odoo!$L:$L, ""), ""))</f>
        <v/>
      </c>
      <c r="T1574" s="81">
        <f>IF(Q1574="Sin Factura",0,IFERROR(_xlfn.XLOOKUP(1, (Facturas_Odoo!$D:$D=A1574) * (Facturas_Odoo!$K:$K=I1574), Facturas_Odoo!$M:$M, 0), 0))</f>
        <v/>
      </c>
      <c r="U1574" s="79">
        <f>IF(Q1574="Sin Factura",0,IFERROR(_xlfn.XLOOKUP(1, (Facturas_Odoo!$D:$D=A1574) * (Facturas_Odoo!$K:$K=I1574), Facturas_Odoo!$N:$N, 0), 0))</f>
        <v/>
      </c>
      <c r="V1574" s="79">
        <f>IF(Q1574="Sin Factura",0,IFERROR(_xlfn.XLOOKUP(1, (Facturas_Odoo!$D:$D=A1574) * (Facturas_Odoo!$K:$K=I1574), Facturas_Odoo!$O:$O, 0), 0))</f>
        <v/>
      </c>
      <c r="W1574" s="81">
        <f>IF(Q1574="Sin Factura",0,IFERROR(_xlfn.XLOOKUP(1, (Facturas_Odoo!$D:$D=A1574) * (Facturas_Odoo!$K:$K=I1574), Facturas_Odoo!$Q:$Q, 0), 0))</f>
        <v/>
      </c>
      <c r="X1574" s="79">
        <f>IF(OR(Q1574="Sin Factura",Q1574=""),"",IFERROR(INDEX(Pagos_Odoo!$B:$B, MATCH(Q1574, Pagos_Odoo!$I:$I, 0)), "Sin Pago"))</f>
        <v/>
      </c>
      <c r="Y1574" s="79">
        <f>IF(X1574="Sin Pago","",IFERROR(INDEX(Pagos_Odoo!$C:$C, MATCH(X1574, Pagos_Odoo!$B:$B, 0)), ""))</f>
        <v/>
      </c>
      <c r="Z1574" s="80">
        <f>IF(X1574="Sin Pago","",IFERROR(INDEX(Pagos_Odoo!$A:$A, MATCH(X1574, Pagos_Odoo!$B:$B, 0)), ""))</f>
        <v/>
      </c>
      <c r="AA1574" s="79">
        <f>IF(X1574="Sin Pago","",IFERROR(INDEX(Pagos_Odoo!$F:$F, MATCH(X1574, Pagos_Odoo!$B:$B, 0)), ""))</f>
        <v/>
      </c>
      <c r="AB1574" s="81">
        <f>IF(X1574="Sin Pago",0,IFERROR(INDEX(Pagos_Odoo!$E:$E, MATCH(X1574, Pagos_Odoo!$B:$B, 0)), 0))</f>
        <v/>
      </c>
      <c r="AC1574" s="79">
        <f>IF(X1574="Sin Pago","",IFERROR(INDEX(Pagos_Odoo!$G:$G, MATCH(X1574, Pagos_Odoo!$B:$B, 0)), ""))</f>
        <v/>
      </c>
      <c r="AD1574" s="82" t="n">
        <v>0</v>
      </c>
      <c r="AE1574" s="82" t="n"/>
      <c r="AF1574" s="82" t="n"/>
      <c r="AG1574" s="82">
        <f>IF(AN1574="","",AD1574+AE1574+AF1574)</f>
        <v/>
      </c>
      <c r="AH1574" s="81">
        <f>IF(AN1574="","",P1574*(1-AG1574))</f>
        <v/>
      </c>
      <c r="AI1574" s="81">
        <f>IF(AN1574="","",IF(Q1574="Sin Factura",0,IFERROR(INDEX(Facturas_Odoo!$H:$H, MATCH(Q1574, Facturas_Odoo!$B:$B, 0)), 0)*(1-AG1574)))</f>
        <v/>
      </c>
      <c r="AJ1574" s="81">
        <f>IF(AN1574="","",_xlfn.LET(idVenta, AN1574&amp;"",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74" s="81">
        <f>IF(AN1574="","",AH1574-AJ1574)</f>
        <v/>
      </c>
      <c r="AL1574" s="81">
        <f>IF(AN1574="","",IF(Q1574="Sin Factura","",AI1574-AJ1574))</f>
        <v/>
      </c>
      <c r="AM1574" s="81">
        <f>IF(AN1574="","",IF(Q1574="Sin Factura",0,P1574-IFERROR(INDEX(Facturas_Odoo!$H:$H, MATCH(Q1574, Facturas_Odoo!$B:$B, 0)), 0)))</f>
        <v/>
      </c>
      <c r="AN1574" s="79">
        <f>IF(AND(A1574="", J1574=""), "", IF(A1574&lt;&gt;"", VALUE(MID(A1574,2,LEN(A1574))), AN1573))</f>
        <v/>
      </c>
      <c r="AO1574" s="79">
        <f>IF(AN1574="","",IF(AD1574=0,"OK",_xlfn.LET(monedaPago, IF(AA1574="","USD",AA1574), limitePermitido, IFERROR(VLOOKUP(monedaPago, Configuración!$A$2:$B$3, 2, FALSE), 0.15), IF(AD1574&gt;limitePermitido, "ALERTA: EXCESO (" &amp; TEXT(limitePermitido, "0%") &amp; " máx)", "OK"))))</f>
        <v/>
      </c>
      <c r="AP1574" s="79">
        <f>IF(AN1574="","",IF(AE1574=0,"OK",_xlfn.LET(fechaPago, Z1574, fechaFactura, R1574, diasCredito, IF(E1574="Pago inmediato", 0, IFERROR(VALUE(MID(E1574, 1, SEARCH(" ", E1574)-1)),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74" s="79">
        <f>IF(AN1574="","",IF(AND(N1574&gt;0, AG1574&gt;0), IF(Configuración!$K$2="NO", "ALERTA: DESCUENTO DOBLE NO PERMITIDO", "OK"), "OK"))</f>
        <v/>
      </c>
      <c r="AR1574" s="79">
        <f>IF(AN1574="","",IF(OR(AO1574&lt;&gt;"OK", AP1574&lt;&gt;"OK", AQ1574&lt;&gt;"OK"), "⚠️ REVISAR", "OK"))</f>
        <v/>
      </c>
    </row>
    <row r="1575">
      <c r="A1575" s="79">
        <f>IF('Ordenes_Odoo'!A1575="","",'Ordenes_Odoo'!A1575)</f>
        <v/>
      </c>
      <c r="B1575" s="80">
        <f>IF('Ordenes_Odoo'!B1575="","",'Ordenes_Odoo'!B1575)</f>
        <v/>
      </c>
      <c r="C1575" s="79">
        <f>IF('Ordenes_Odoo'!C1575="","",'Ordenes_Odoo'!C1575)</f>
        <v/>
      </c>
      <c r="D1575" s="79">
        <f>IF('Ordenes_Odoo'!D1575="","",'Ordenes_Odoo'!D1575)</f>
        <v/>
      </c>
      <c r="E1575" s="79">
        <f>IF('Ordenes_Odoo'!E1575="","",'Ordenes_Odoo'!E1575)</f>
        <v/>
      </c>
      <c r="F1575" s="79">
        <f>IF('Ordenes_Odoo'!F1575="","",'Ordenes_Odoo'!F1575)</f>
        <v/>
      </c>
      <c r="G1575" s="79">
        <f>IF('Ordenes_Odoo'!G1575="","",'Ordenes_Odoo'!G1575)</f>
        <v/>
      </c>
      <c r="H1575" s="79">
        <f>IF('Ordenes_Odoo'!H1575="","",'Ordenes_Odoo'!H1575)</f>
        <v/>
      </c>
      <c r="I1575" s="79">
        <f>IF('Ordenes_Odoo'!I1575="","",'Ordenes_Odoo'!I1575)</f>
        <v/>
      </c>
      <c r="J1575" s="79">
        <f>IF('Ordenes_Odoo'!J1575="","",'Ordenes_Odoo'!J1575)</f>
        <v/>
      </c>
      <c r="K1575" s="81">
        <f>IF('Ordenes_Odoo'!K1575="","",'Ordenes_Odoo'!K1575)</f>
        <v/>
      </c>
      <c r="L1575" s="81">
        <f>IF('Ordenes_Odoo'!L1575="","",'Ordenes_Odoo'!L1575)</f>
        <v/>
      </c>
      <c r="M1575" s="79">
        <f>IF('Ordenes_Odoo'!M1575="","",'Ordenes_Odoo'!M1575)</f>
        <v/>
      </c>
      <c r="N1575" s="79">
        <f>IF('Ordenes_Odoo'!N1575="","",'Ordenes_Odoo'!N1575)</f>
        <v/>
      </c>
      <c r="O1575" s="81">
        <f>IF('Ordenes_Odoo'!O1575="","",'Ordenes_Odoo'!O1575)</f>
        <v/>
      </c>
      <c r="P1575" s="81">
        <f>IF('Ordenes_Odoo'!P1575="","",'Ordenes_Odoo'!P1575)</f>
        <v/>
      </c>
      <c r="Q1575" s="79">
        <f>IF(A1575="","",IFERROR(INDEX(Facturas_Odoo!$B:$B, MATCH(A1575, Facturas_Odoo!$D:$D, 0)), "Sin Factura"))</f>
        <v/>
      </c>
      <c r="R1575" s="80">
        <f>IF(Q1575="Sin Factura","",IFERROR(INDEX(Facturas_Odoo!$A:$A, MATCH(Q1575, Facturas_Odoo!$B:$B, 0)), ""))</f>
        <v/>
      </c>
      <c r="S1575" s="79">
        <f>IF(Q1575="Sin Factura","",IFERROR(_xlfn.XLOOKUP(1, (Facturas_Odoo!$D:$D=A1575) * (Facturas_Odoo!$K:$K=I1575), Facturas_Odoo!$L:$L, ""), ""))</f>
        <v/>
      </c>
      <c r="T1575" s="81">
        <f>IF(Q1575="Sin Factura",0,IFERROR(_xlfn.XLOOKUP(1, (Facturas_Odoo!$D:$D=A1575) * (Facturas_Odoo!$K:$K=I1575), Facturas_Odoo!$M:$M, 0), 0))</f>
        <v/>
      </c>
      <c r="U1575" s="79">
        <f>IF(Q1575="Sin Factura",0,IFERROR(_xlfn.XLOOKUP(1, (Facturas_Odoo!$D:$D=A1575) * (Facturas_Odoo!$K:$K=I1575), Facturas_Odoo!$N:$N, 0), 0))</f>
        <v/>
      </c>
      <c r="V1575" s="79">
        <f>IF(Q1575="Sin Factura",0,IFERROR(_xlfn.XLOOKUP(1, (Facturas_Odoo!$D:$D=A1575) * (Facturas_Odoo!$K:$K=I1575), Facturas_Odoo!$O:$O, 0), 0))</f>
        <v/>
      </c>
      <c r="W1575" s="81">
        <f>IF(Q1575="Sin Factura",0,IFERROR(_xlfn.XLOOKUP(1, (Facturas_Odoo!$D:$D=A1575) * (Facturas_Odoo!$K:$K=I1575), Facturas_Odoo!$Q:$Q, 0), 0))</f>
        <v/>
      </c>
      <c r="X1575" s="79">
        <f>IF(OR(Q1575="Sin Factura",Q1575=""),"",IFERROR(INDEX(Pagos_Odoo!$B:$B, MATCH(Q1575, Pagos_Odoo!$I:$I, 0)), "Sin Pago"))</f>
        <v/>
      </c>
      <c r="Y1575" s="79">
        <f>IF(X1575="Sin Pago","",IFERROR(INDEX(Pagos_Odoo!$C:$C, MATCH(X1575, Pagos_Odoo!$B:$B, 0)), ""))</f>
        <v/>
      </c>
      <c r="Z1575" s="80">
        <f>IF(X1575="Sin Pago","",IFERROR(INDEX(Pagos_Odoo!$A:$A, MATCH(X1575, Pagos_Odoo!$B:$B, 0)), ""))</f>
        <v/>
      </c>
      <c r="AA1575" s="79">
        <f>IF(X1575="Sin Pago","",IFERROR(INDEX(Pagos_Odoo!$F:$F, MATCH(X1575, Pagos_Odoo!$B:$B, 0)), ""))</f>
        <v/>
      </c>
      <c r="AB1575" s="81">
        <f>IF(X1575="Sin Pago",0,IFERROR(INDEX(Pagos_Odoo!$E:$E, MATCH(X1575, Pagos_Odoo!$B:$B, 0)), 0))</f>
        <v/>
      </c>
      <c r="AC1575" s="79">
        <f>IF(X1575="Sin Pago","",IFERROR(INDEX(Pagos_Odoo!$G:$G, MATCH(X1575, Pagos_Odoo!$B:$B, 0)), ""))</f>
        <v/>
      </c>
      <c r="AD1575" s="82" t="n">
        <v>0</v>
      </c>
      <c r="AE1575" s="82" t="n"/>
      <c r="AF1575" s="82" t="n"/>
      <c r="AG1575" s="82">
        <f>IF(AN1575="","",AD1575+AE1575+AF1575)</f>
        <v/>
      </c>
      <c r="AH1575" s="81">
        <f>IF(AN1575="","",P1575*(1-AG1575))</f>
        <v/>
      </c>
      <c r="AI1575" s="81">
        <f>IF(AN1575="","",IF(Q1575="Sin Factura",0,IFERROR(INDEX(Facturas_Odoo!$H:$H, MATCH(Q1575, Facturas_Odoo!$B:$B, 0)), 0)*(1-AG1575)))</f>
        <v/>
      </c>
      <c r="AJ1575" s="81">
        <f>IF(AN1575="","",_xlfn.LET(idVenta, AN1575&amp;"",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75" s="81">
        <f>IF(AN1575="","",AH1575-AJ1575)</f>
        <v/>
      </c>
      <c r="AL1575" s="81">
        <f>IF(AN1575="","",IF(Q1575="Sin Factura","",AI1575-AJ1575))</f>
        <v/>
      </c>
      <c r="AM1575" s="81">
        <f>IF(AN1575="","",IF(Q1575="Sin Factura",0,P1575-IFERROR(INDEX(Facturas_Odoo!$H:$H, MATCH(Q1575, Facturas_Odoo!$B:$B, 0)), 0)))</f>
        <v/>
      </c>
      <c r="AN1575" s="79">
        <f>IF(AND(A1575="", J1575=""), "", IF(A1575&lt;&gt;"", VALUE(MID(A1575,2,LEN(A1575))), AN1574))</f>
        <v/>
      </c>
      <c r="AO1575" s="79">
        <f>IF(AN1575="","",IF(AD1575=0,"OK",_xlfn.LET(monedaPago, IF(AA1575="","USD",AA1575), limitePermitido, IFERROR(VLOOKUP(monedaPago, Configuración!$A$2:$B$3, 2, FALSE), 0.15), IF(AD1575&gt;limitePermitido, "ALERTA: EXCESO (" &amp; TEXT(limitePermitido, "0%") &amp; " máx)", "OK"))))</f>
        <v/>
      </c>
      <c r="AP1575" s="79">
        <f>IF(AN1575="","",IF(AE1575=0,"OK",_xlfn.LET(fechaPago, Z1575, fechaFactura, R1575, diasCredito, IF(E1575="Pago inmediato", 0, IFERROR(VALUE(MID(E1575, 1, SEARCH(" ", E1575)-1)),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75" s="79">
        <f>IF(AN1575="","",IF(AND(N1575&gt;0, AG1575&gt;0), IF(Configuración!$K$2="NO", "ALERTA: DESCUENTO DOBLE NO PERMITIDO", "OK"), "OK"))</f>
        <v/>
      </c>
      <c r="AR1575" s="79">
        <f>IF(AN1575="","",IF(OR(AO1575&lt;&gt;"OK", AP1575&lt;&gt;"OK", AQ1575&lt;&gt;"OK"), "⚠️ REVISAR", "OK"))</f>
        <v/>
      </c>
    </row>
    <row r="1576">
      <c r="A1576" s="79">
        <f>IF('Ordenes_Odoo'!A1576="","",'Ordenes_Odoo'!A1576)</f>
        <v/>
      </c>
      <c r="B1576" s="80">
        <f>IF('Ordenes_Odoo'!B1576="","",'Ordenes_Odoo'!B1576)</f>
        <v/>
      </c>
      <c r="C1576" s="79">
        <f>IF('Ordenes_Odoo'!C1576="","",'Ordenes_Odoo'!C1576)</f>
        <v/>
      </c>
      <c r="D1576" s="79">
        <f>IF('Ordenes_Odoo'!D1576="","",'Ordenes_Odoo'!D1576)</f>
        <v/>
      </c>
      <c r="E1576" s="79">
        <f>IF('Ordenes_Odoo'!E1576="","",'Ordenes_Odoo'!E1576)</f>
        <v/>
      </c>
      <c r="F1576" s="79">
        <f>IF('Ordenes_Odoo'!F1576="","",'Ordenes_Odoo'!F1576)</f>
        <v/>
      </c>
      <c r="G1576" s="79">
        <f>IF('Ordenes_Odoo'!G1576="","",'Ordenes_Odoo'!G1576)</f>
        <v/>
      </c>
      <c r="H1576" s="79">
        <f>IF('Ordenes_Odoo'!H1576="","",'Ordenes_Odoo'!H1576)</f>
        <v/>
      </c>
      <c r="I1576" s="79">
        <f>IF('Ordenes_Odoo'!I1576="","",'Ordenes_Odoo'!I1576)</f>
        <v/>
      </c>
      <c r="J1576" s="79">
        <f>IF('Ordenes_Odoo'!J1576="","",'Ordenes_Odoo'!J1576)</f>
        <v/>
      </c>
      <c r="K1576" s="81">
        <f>IF('Ordenes_Odoo'!K1576="","",'Ordenes_Odoo'!K1576)</f>
        <v/>
      </c>
      <c r="L1576" s="81">
        <f>IF('Ordenes_Odoo'!L1576="","",'Ordenes_Odoo'!L1576)</f>
        <v/>
      </c>
      <c r="M1576" s="79">
        <f>IF('Ordenes_Odoo'!M1576="","",'Ordenes_Odoo'!M1576)</f>
        <v/>
      </c>
      <c r="N1576" s="79">
        <f>IF('Ordenes_Odoo'!N1576="","",'Ordenes_Odoo'!N1576)</f>
        <v/>
      </c>
      <c r="O1576" s="81">
        <f>IF('Ordenes_Odoo'!O1576="","",'Ordenes_Odoo'!O1576)</f>
        <v/>
      </c>
      <c r="P1576" s="81">
        <f>IF('Ordenes_Odoo'!P1576="","",'Ordenes_Odoo'!P1576)</f>
        <v/>
      </c>
      <c r="Q1576" s="79">
        <f>IF(A1576="","",IFERROR(INDEX(Facturas_Odoo!$B:$B, MATCH(A1576, Facturas_Odoo!$D:$D, 0)), "Sin Factura"))</f>
        <v/>
      </c>
      <c r="R1576" s="80">
        <f>IF(Q1576="Sin Factura","",IFERROR(INDEX(Facturas_Odoo!$A:$A, MATCH(Q1576, Facturas_Odoo!$B:$B, 0)), ""))</f>
        <v/>
      </c>
      <c r="S1576" s="79">
        <f>IF(Q1576="Sin Factura","",IFERROR(_xlfn.XLOOKUP(1, (Facturas_Odoo!$D:$D=A1576) * (Facturas_Odoo!$K:$K=I1576), Facturas_Odoo!$L:$L, ""), ""))</f>
        <v/>
      </c>
      <c r="T1576" s="81">
        <f>IF(Q1576="Sin Factura",0,IFERROR(_xlfn.XLOOKUP(1, (Facturas_Odoo!$D:$D=A1576) * (Facturas_Odoo!$K:$K=I1576), Facturas_Odoo!$M:$M, 0), 0))</f>
        <v/>
      </c>
      <c r="U1576" s="79">
        <f>IF(Q1576="Sin Factura",0,IFERROR(_xlfn.XLOOKUP(1, (Facturas_Odoo!$D:$D=A1576) * (Facturas_Odoo!$K:$K=I1576), Facturas_Odoo!$N:$N, 0), 0))</f>
        <v/>
      </c>
      <c r="V1576" s="79">
        <f>IF(Q1576="Sin Factura",0,IFERROR(_xlfn.XLOOKUP(1, (Facturas_Odoo!$D:$D=A1576) * (Facturas_Odoo!$K:$K=I1576), Facturas_Odoo!$O:$O, 0), 0))</f>
        <v/>
      </c>
      <c r="W1576" s="81">
        <f>IF(Q1576="Sin Factura",0,IFERROR(_xlfn.XLOOKUP(1, (Facturas_Odoo!$D:$D=A1576) * (Facturas_Odoo!$K:$K=I1576), Facturas_Odoo!$Q:$Q, 0), 0))</f>
        <v/>
      </c>
      <c r="X1576" s="79">
        <f>IF(OR(Q1576="Sin Factura",Q1576=""),"",IFERROR(INDEX(Pagos_Odoo!$B:$B, MATCH(Q1576, Pagos_Odoo!$I:$I, 0)), "Sin Pago"))</f>
        <v/>
      </c>
      <c r="Y1576" s="79">
        <f>IF(X1576="Sin Pago","",IFERROR(INDEX(Pagos_Odoo!$C:$C, MATCH(X1576, Pagos_Odoo!$B:$B, 0)), ""))</f>
        <v/>
      </c>
      <c r="Z1576" s="80">
        <f>IF(X1576="Sin Pago","",IFERROR(INDEX(Pagos_Odoo!$A:$A, MATCH(X1576, Pagos_Odoo!$B:$B, 0)), ""))</f>
        <v/>
      </c>
      <c r="AA1576" s="79">
        <f>IF(X1576="Sin Pago","",IFERROR(INDEX(Pagos_Odoo!$F:$F, MATCH(X1576, Pagos_Odoo!$B:$B, 0)), ""))</f>
        <v/>
      </c>
      <c r="AB1576" s="81">
        <f>IF(X1576="Sin Pago",0,IFERROR(INDEX(Pagos_Odoo!$E:$E, MATCH(X1576, Pagos_Odoo!$B:$B, 0)), 0))</f>
        <v/>
      </c>
      <c r="AC1576" s="79">
        <f>IF(X1576="Sin Pago","",IFERROR(INDEX(Pagos_Odoo!$G:$G, MATCH(X1576, Pagos_Odoo!$B:$B, 0)), ""))</f>
        <v/>
      </c>
      <c r="AD1576" s="82" t="n">
        <v>0</v>
      </c>
      <c r="AE1576" s="82" t="n"/>
      <c r="AF1576" s="82" t="n"/>
      <c r="AG1576" s="82">
        <f>IF(AN1576="","",AD1576+AE1576+AF1576)</f>
        <v/>
      </c>
      <c r="AH1576" s="81">
        <f>IF(AN1576="","",P1576*(1-AG1576))</f>
        <v/>
      </c>
      <c r="AI1576" s="81">
        <f>IF(AN1576="","",IF(Q1576="Sin Factura",0,IFERROR(INDEX(Facturas_Odoo!$H:$H, MATCH(Q1576, Facturas_Odoo!$B:$B, 0)), 0)*(1-AG1576)))</f>
        <v/>
      </c>
      <c r="AJ1576" s="81">
        <f>IF(AN1576="","",_xlfn.LET(idVenta, AN1576&amp;"",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76" s="81">
        <f>IF(AN1576="","",AH1576-AJ1576)</f>
        <v/>
      </c>
      <c r="AL1576" s="81">
        <f>IF(AN1576="","",IF(Q1576="Sin Factura","",AI1576-AJ1576))</f>
        <v/>
      </c>
      <c r="AM1576" s="81">
        <f>IF(AN1576="","",IF(Q1576="Sin Factura",0,P1576-IFERROR(INDEX(Facturas_Odoo!$H:$H, MATCH(Q1576, Facturas_Odoo!$B:$B, 0)), 0)))</f>
        <v/>
      </c>
      <c r="AN1576" s="79">
        <f>IF(AND(A1576="", J1576=""), "", IF(A1576&lt;&gt;"", VALUE(MID(A1576,2,LEN(A1576))), AN1575))</f>
        <v/>
      </c>
      <c r="AO1576" s="79">
        <f>IF(AN1576="","",IF(AD1576=0,"OK",_xlfn.LET(monedaPago, IF(AA1576="","USD",AA1576), limitePermitido, IFERROR(VLOOKUP(monedaPago, Configuración!$A$2:$B$3, 2, FALSE), 0.15), IF(AD1576&gt;limitePermitido, "ALERTA: EXCESO (" &amp; TEXT(limitePermitido, "0%") &amp; " máx)", "OK"))))</f>
        <v/>
      </c>
      <c r="AP1576" s="79">
        <f>IF(AN1576="","",IF(AE1576=0,"OK",_xlfn.LET(fechaPago, Z1576, fechaFactura, R1576, diasCredito, IF(E1576="Pago inmediato", 0, IFERROR(VALUE(MID(E1576, 1, SEARCH(" ", E1576)-1)),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76" s="79">
        <f>IF(AN1576="","",IF(AND(N1576&gt;0, AG1576&gt;0), IF(Configuración!$K$2="NO", "ALERTA: DESCUENTO DOBLE NO PERMITIDO", "OK"), "OK"))</f>
        <v/>
      </c>
      <c r="AR1576" s="79">
        <f>IF(AN1576="","",IF(OR(AO1576&lt;&gt;"OK", AP1576&lt;&gt;"OK", AQ1576&lt;&gt;"OK"), "⚠️ REVISAR", "OK"))</f>
        <v/>
      </c>
    </row>
    <row r="1577">
      <c r="A1577" s="79">
        <f>IF('Ordenes_Odoo'!A1577="","",'Ordenes_Odoo'!A1577)</f>
        <v/>
      </c>
      <c r="B1577" s="80">
        <f>IF('Ordenes_Odoo'!B1577="","",'Ordenes_Odoo'!B1577)</f>
        <v/>
      </c>
      <c r="C1577" s="79">
        <f>IF('Ordenes_Odoo'!C1577="","",'Ordenes_Odoo'!C1577)</f>
        <v/>
      </c>
      <c r="D1577" s="79">
        <f>IF('Ordenes_Odoo'!D1577="","",'Ordenes_Odoo'!D1577)</f>
        <v/>
      </c>
      <c r="E1577" s="79">
        <f>IF('Ordenes_Odoo'!E1577="","",'Ordenes_Odoo'!E1577)</f>
        <v/>
      </c>
      <c r="F1577" s="79">
        <f>IF('Ordenes_Odoo'!F1577="","",'Ordenes_Odoo'!F1577)</f>
        <v/>
      </c>
      <c r="G1577" s="79">
        <f>IF('Ordenes_Odoo'!G1577="","",'Ordenes_Odoo'!G1577)</f>
        <v/>
      </c>
      <c r="H1577" s="79">
        <f>IF('Ordenes_Odoo'!H1577="","",'Ordenes_Odoo'!H1577)</f>
        <v/>
      </c>
      <c r="I1577" s="79">
        <f>IF('Ordenes_Odoo'!I1577="","",'Ordenes_Odoo'!I1577)</f>
        <v/>
      </c>
      <c r="J1577" s="79">
        <f>IF('Ordenes_Odoo'!J1577="","",'Ordenes_Odoo'!J1577)</f>
        <v/>
      </c>
      <c r="K1577" s="81">
        <f>IF('Ordenes_Odoo'!K1577="","",'Ordenes_Odoo'!K1577)</f>
        <v/>
      </c>
      <c r="L1577" s="81">
        <f>IF('Ordenes_Odoo'!L1577="","",'Ordenes_Odoo'!L1577)</f>
        <v/>
      </c>
      <c r="M1577" s="79">
        <f>IF('Ordenes_Odoo'!M1577="","",'Ordenes_Odoo'!M1577)</f>
        <v/>
      </c>
      <c r="N1577" s="79">
        <f>IF('Ordenes_Odoo'!N1577="","",'Ordenes_Odoo'!N1577)</f>
        <v/>
      </c>
      <c r="O1577" s="81">
        <f>IF('Ordenes_Odoo'!O1577="","",'Ordenes_Odoo'!O1577)</f>
        <v/>
      </c>
      <c r="P1577" s="81">
        <f>IF('Ordenes_Odoo'!P1577="","",'Ordenes_Odoo'!P1577)</f>
        <v/>
      </c>
      <c r="Q1577" s="79">
        <f>IF(A1577="","",IFERROR(INDEX(Facturas_Odoo!$B:$B, MATCH(A1577, Facturas_Odoo!$D:$D, 0)), "Sin Factura"))</f>
        <v/>
      </c>
      <c r="R1577" s="80">
        <f>IF(Q1577="Sin Factura","",IFERROR(INDEX(Facturas_Odoo!$A:$A, MATCH(Q1577, Facturas_Odoo!$B:$B, 0)), ""))</f>
        <v/>
      </c>
      <c r="S1577" s="79">
        <f>IF(Q1577="Sin Factura","",IFERROR(_xlfn.XLOOKUP(1, (Facturas_Odoo!$D:$D=A1577) * (Facturas_Odoo!$K:$K=I1577), Facturas_Odoo!$L:$L, ""), ""))</f>
        <v/>
      </c>
      <c r="T1577" s="81">
        <f>IF(Q1577="Sin Factura",0,IFERROR(_xlfn.XLOOKUP(1, (Facturas_Odoo!$D:$D=A1577) * (Facturas_Odoo!$K:$K=I1577), Facturas_Odoo!$M:$M, 0), 0))</f>
        <v/>
      </c>
      <c r="U1577" s="79">
        <f>IF(Q1577="Sin Factura",0,IFERROR(_xlfn.XLOOKUP(1, (Facturas_Odoo!$D:$D=A1577) * (Facturas_Odoo!$K:$K=I1577), Facturas_Odoo!$N:$N, 0), 0))</f>
        <v/>
      </c>
      <c r="V1577" s="79">
        <f>IF(Q1577="Sin Factura",0,IFERROR(_xlfn.XLOOKUP(1, (Facturas_Odoo!$D:$D=A1577) * (Facturas_Odoo!$K:$K=I1577), Facturas_Odoo!$O:$O, 0), 0))</f>
        <v/>
      </c>
      <c r="W1577" s="81">
        <f>IF(Q1577="Sin Factura",0,IFERROR(_xlfn.XLOOKUP(1, (Facturas_Odoo!$D:$D=A1577) * (Facturas_Odoo!$K:$K=I1577), Facturas_Odoo!$Q:$Q, 0), 0))</f>
        <v/>
      </c>
      <c r="X1577" s="79">
        <f>IF(OR(Q1577="Sin Factura",Q1577=""),"",IFERROR(INDEX(Pagos_Odoo!$B:$B, MATCH(Q1577, Pagos_Odoo!$I:$I, 0)), "Sin Pago"))</f>
        <v/>
      </c>
      <c r="Y1577" s="79">
        <f>IF(X1577="Sin Pago","",IFERROR(INDEX(Pagos_Odoo!$C:$C, MATCH(X1577, Pagos_Odoo!$B:$B, 0)), ""))</f>
        <v/>
      </c>
      <c r="Z1577" s="80">
        <f>IF(X1577="Sin Pago","",IFERROR(INDEX(Pagos_Odoo!$A:$A, MATCH(X1577, Pagos_Odoo!$B:$B, 0)), ""))</f>
        <v/>
      </c>
      <c r="AA1577" s="79">
        <f>IF(X1577="Sin Pago","",IFERROR(INDEX(Pagos_Odoo!$F:$F, MATCH(X1577, Pagos_Odoo!$B:$B, 0)), ""))</f>
        <v/>
      </c>
      <c r="AB1577" s="81">
        <f>IF(X1577="Sin Pago",0,IFERROR(INDEX(Pagos_Odoo!$E:$E, MATCH(X1577, Pagos_Odoo!$B:$B, 0)), 0))</f>
        <v/>
      </c>
      <c r="AC1577" s="79">
        <f>IF(X1577="Sin Pago","",IFERROR(INDEX(Pagos_Odoo!$G:$G, MATCH(X1577, Pagos_Odoo!$B:$B, 0)), ""))</f>
        <v/>
      </c>
      <c r="AD1577" s="82" t="n">
        <v>0</v>
      </c>
      <c r="AE1577" s="82" t="n"/>
      <c r="AF1577" s="82" t="n"/>
      <c r="AG1577" s="82">
        <f>IF(AN1577="","",AD1577+AE1577+AF1577)</f>
        <v/>
      </c>
      <c r="AH1577" s="81">
        <f>IF(AN1577="","",P1577*(1-AG1577))</f>
        <v/>
      </c>
      <c r="AI1577" s="81">
        <f>IF(AN1577="","",IF(Q1577="Sin Factura",0,IFERROR(INDEX(Facturas_Odoo!$H:$H, MATCH(Q1577, Facturas_Odoo!$B:$B, 0)), 0)*(1-AG1577)))</f>
        <v/>
      </c>
      <c r="AJ1577" s="81">
        <f>IF(AN1577="","",_xlfn.LET(idVenta, AN1577&amp;"",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77" s="81">
        <f>IF(AN1577="","",AH1577-AJ1577)</f>
        <v/>
      </c>
      <c r="AL1577" s="81">
        <f>IF(AN1577="","",IF(Q1577="Sin Factura","",AI1577-AJ1577))</f>
        <v/>
      </c>
      <c r="AM1577" s="81">
        <f>IF(AN1577="","",IF(Q1577="Sin Factura",0,P1577-IFERROR(INDEX(Facturas_Odoo!$H:$H, MATCH(Q1577, Facturas_Odoo!$B:$B, 0)), 0)))</f>
        <v/>
      </c>
      <c r="AN1577" s="79">
        <f>IF(AND(A1577="", J1577=""), "", IF(A1577&lt;&gt;"", VALUE(MID(A1577,2,LEN(A1577))), AN1576))</f>
        <v/>
      </c>
      <c r="AO1577" s="79">
        <f>IF(AN1577="","",IF(AD1577=0,"OK",_xlfn.LET(monedaPago, IF(AA1577="","USD",AA1577), limitePermitido, IFERROR(VLOOKUP(monedaPago, Configuración!$A$2:$B$3, 2, FALSE), 0.15), IF(AD1577&gt;limitePermitido, "ALERTA: EXCESO (" &amp; TEXT(limitePermitido, "0%") &amp; " máx)", "OK"))))</f>
        <v/>
      </c>
      <c r="AP1577" s="79">
        <f>IF(AN1577="","",IF(AE1577=0,"OK",_xlfn.LET(fechaPago, Z1577, fechaFactura, R1577, diasCredito, IF(E1577="Pago inmediato", 0, IFERROR(VALUE(MID(E1577, 1, SEARCH(" ", E1577)-1)),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77" s="79">
        <f>IF(AN1577="","",IF(AND(N1577&gt;0, AG1577&gt;0), IF(Configuración!$K$2="NO", "ALERTA: DESCUENTO DOBLE NO PERMITIDO", "OK"), "OK"))</f>
        <v/>
      </c>
      <c r="AR1577" s="79">
        <f>IF(AN1577="","",IF(OR(AO1577&lt;&gt;"OK", AP1577&lt;&gt;"OK", AQ1577&lt;&gt;"OK"), "⚠️ REVISAR", "OK"))</f>
        <v/>
      </c>
    </row>
    <row r="1578">
      <c r="A1578" s="79">
        <f>IF('Ordenes_Odoo'!A1578="","",'Ordenes_Odoo'!A1578)</f>
        <v/>
      </c>
      <c r="B1578" s="80">
        <f>IF('Ordenes_Odoo'!B1578="","",'Ordenes_Odoo'!B1578)</f>
        <v/>
      </c>
      <c r="C1578" s="79">
        <f>IF('Ordenes_Odoo'!C1578="","",'Ordenes_Odoo'!C1578)</f>
        <v/>
      </c>
      <c r="D1578" s="79">
        <f>IF('Ordenes_Odoo'!D1578="","",'Ordenes_Odoo'!D1578)</f>
        <v/>
      </c>
      <c r="E1578" s="79">
        <f>IF('Ordenes_Odoo'!E1578="","",'Ordenes_Odoo'!E1578)</f>
        <v/>
      </c>
      <c r="F1578" s="79">
        <f>IF('Ordenes_Odoo'!F1578="","",'Ordenes_Odoo'!F1578)</f>
        <v/>
      </c>
      <c r="G1578" s="79">
        <f>IF('Ordenes_Odoo'!G1578="","",'Ordenes_Odoo'!G1578)</f>
        <v/>
      </c>
      <c r="H1578" s="79">
        <f>IF('Ordenes_Odoo'!H1578="","",'Ordenes_Odoo'!H1578)</f>
        <v/>
      </c>
      <c r="I1578" s="79">
        <f>IF('Ordenes_Odoo'!I1578="","",'Ordenes_Odoo'!I1578)</f>
        <v/>
      </c>
      <c r="J1578" s="79">
        <f>IF('Ordenes_Odoo'!J1578="","",'Ordenes_Odoo'!J1578)</f>
        <v/>
      </c>
      <c r="K1578" s="81">
        <f>IF('Ordenes_Odoo'!K1578="","",'Ordenes_Odoo'!K1578)</f>
        <v/>
      </c>
      <c r="L1578" s="81">
        <f>IF('Ordenes_Odoo'!L1578="","",'Ordenes_Odoo'!L1578)</f>
        <v/>
      </c>
      <c r="M1578" s="79">
        <f>IF('Ordenes_Odoo'!M1578="","",'Ordenes_Odoo'!M1578)</f>
        <v/>
      </c>
      <c r="N1578" s="79">
        <f>IF('Ordenes_Odoo'!N1578="","",'Ordenes_Odoo'!N1578)</f>
        <v/>
      </c>
      <c r="O1578" s="81">
        <f>IF('Ordenes_Odoo'!O1578="","",'Ordenes_Odoo'!O1578)</f>
        <v/>
      </c>
      <c r="P1578" s="81">
        <f>IF('Ordenes_Odoo'!P1578="","",'Ordenes_Odoo'!P1578)</f>
        <v/>
      </c>
      <c r="Q1578" s="79">
        <f>IF(A1578="","",IFERROR(INDEX(Facturas_Odoo!$B:$B, MATCH(A1578, Facturas_Odoo!$D:$D, 0)), "Sin Factura"))</f>
        <v/>
      </c>
      <c r="R1578" s="80">
        <f>IF(Q1578="Sin Factura","",IFERROR(INDEX(Facturas_Odoo!$A:$A, MATCH(Q1578, Facturas_Odoo!$B:$B, 0)), ""))</f>
        <v/>
      </c>
      <c r="S1578" s="79">
        <f>IF(Q1578="Sin Factura","",IFERROR(_xlfn.XLOOKUP(1, (Facturas_Odoo!$D:$D=A1578) * (Facturas_Odoo!$K:$K=I1578), Facturas_Odoo!$L:$L, ""), ""))</f>
        <v/>
      </c>
      <c r="T1578" s="81">
        <f>IF(Q1578="Sin Factura",0,IFERROR(_xlfn.XLOOKUP(1, (Facturas_Odoo!$D:$D=A1578) * (Facturas_Odoo!$K:$K=I1578), Facturas_Odoo!$M:$M, 0), 0))</f>
        <v/>
      </c>
      <c r="U1578" s="79">
        <f>IF(Q1578="Sin Factura",0,IFERROR(_xlfn.XLOOKUP(1, (Facturas_Odoo!$D:$D=A1578) * (Facturas_Odoo!$K:$K=I1578), Facturas_Odoo!$N:$N, 0), 0))</f>
        <v/>
      </c>
      <c r="V1578" s="79">
        <f>IF(Q1578="Sin Factura",0,IFERROR(_xlfn.XLOOKUP(1, (Facturas_Odoo!$D:$D=A1578) * (Facturas_Odoo!$K:$K=I1578), Facturas_Odoo!$O:$O, 0), 0))</f>
        <v/>
      </c>
      <c r="W1578" s="81">
        <f>IF(Q1578="Sin Factura",0,IFERROR(_xlfn.XLOOKUP(1, (Facturas_Odoo!$D:$D=A1578) * (Facturas_Odoo!$K:$K=I1578), Facturas_Odoo!$Q:$Q, 0), 0))</f>
        <v/>
      </c>
      <c r="X1578" s="79">
        <f>IF(OR(Q1578="Sin Factura",Q1578=""),"",IFERROR(INDEX(Pagos_Odoo!$B:$B, MATCH(Q1578, Pagos_Odoo!$I:$I, 0)), "Sin Pago"))</f>
        <v/>
      </c>
      <c r="Y1578" s="79">
        <f>IF(X1578="Sin Pago","",IFERROR(INDEX(Pagos_Odoo!$C:$C, MATCH(X1578, Pagos_Odoo!$B:$B, 0)), ""))</f>
        <v/>
      </c>
      <c r="Z1578" s="80">
        <f>IF(X1578="Sin Pago","",IFERROR(INDEX(Pagos_Odoo!$A:$A, MATCH(X1578, Pagos_Odoo!$B:$B, 0)), ""))</f>
        <v/>
      </c>
      <c r="AA1578" s="79">
        <f>IF(X1578="Sin Pago","",IFERROR(INDEX(Pagos_Odoo!$F:$F, MATCH(X1578, Pagos_Odoo!$B:$B, 0)), ""))</f>
        <v/>
      </c>
      <c r="AB1578" s="81">
        <f>IF(X1578="Sin Pago",0,IFERROR(INDEX(Pagos_Odoo!$E:$E, MATCH(X1578, Pagos_Odoo!$B:$B, 0)), 0))</f>
        <v/>
      </c>
      <c r="AC1578" s="79">
        <f>IF(X1578="Sin Pago","",IFERROR(INDEX(Pagos_Odoo!$G:$G, MATCH(X1578, Pagos_Odoo!$B:$B, 0)), ""))</f>
        <v/>
      </c>
      <c r="AD1578" s="82" t="n">
        <v>0</v>
      </c>
      <c r="AE1578" s="82" t="n"/>
      <c r="AF1578" s="82" t="n"/>
      <c r="AG1578" s="82">
        <f>IF(AN1578="","",AD1578+AE1578+AF1578)</f>
        <v/>
      </c>
      <c r="AH1578" s="81">
        <f>IF(AN1578="","",P1578*(1-AG1578))</f>
        <v/>
      </c>
      <c r="AI1578" s="81">
        <f>IF(AN1578="","",IF(Q1578="Sin Factura",0,IFERROR(INDEX(Facturas_Odoo!$H:$H, MATCH(Q1578, Facturas_Odoo!$B:$B, 0)), 0)*(1-AG1578)))</f>
        <v/>
      </c>
      <c r="AJ1578" s="81">
        <f>IF(AN1578="","",_xlfn.LET(idVenta, AN1578&amp;"",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78" s="81">
        <f>IF(AN1578="","",AH1578-AJ1578)</f>
        <v/>
      </c>
      <c r="AL1578" s="81">
        <f>IF(AN1578="","",IF(Q1578="Sin Factura","",AI1578-AJ1578))</f>
        <v/>
      </c>
      <c r="AM1578" s="81">
        <f>IF(AN1578="","",IF(Q1578="Sin Factura",0,P1578-IFERROR(INDEX(Facturas_Odoo!$H:$H, MATCH(Q1578, Facturas_Odoo!$B:$B, 0)), 0)))</f>
        <v/>
      </c>
      <c r="AN1578" s="79">
        <f>IF(AND(A1578="", J1578=""), "", IF(A1578&lt;&gt;"", VALUE(MID(A1578,2,LEN(A1578))), AN1577))</f>
        <v/>
      </c>
      <c r="AO1578" s="79">
        <f>IF(AN1578="","",IF(AD1578=0,"OK",_xlfn.LET(monedaPago, IF(AA1578="","USD",AA1578), limitePermitido, IFERROR(VLOOKUP(monedaPago, Configuración!$A$2:$B$3, 2, FALSE), 0.15), IF(AD1578&gt;limitePermitido, "ALERTA: EXCESO (" &amp; TEXT(limitePermitido, "0%") &amp; " máx)", "OK"))))</f>
        <v/>
      </c>
      <c r="AP1578" s="79">
        <f>IF(AN1578="","",IF(AE1578=0,"OK",_xlfn.LET(fechaPago, Z1578, fechaFactura, R1578, diasCredito, IF(E1578="Pago inmediato", 0, IFERROR(VALUE(MID(E1578, 1, SEARCH(" ", E1578)-1)),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78" s="79">
        <f>IF(AN1578="","",IF(AND(N1578&gt;0, AG1578&gt;0), IF(Configuración!$K$2="NO", "ALERTA: DESCUENTO DOBLE NO PERMITIDO", "OK"), "OK"))</f>
        <v/>
      </c>
      <c r="AR1578" s="79">
        <f>IF(AN1578="","",IF(OR(AO1578&lt;&gt;"OK", AP1578&lt;&gt;"OK", AQ1578&lt;&gt;"OK"), "⚠️ REVISAR", "OK"))</f>
        <v/>
      </c>
    </row>
    <row r="1579">
      <c r="A1579" s="79">
        <f>IF('Ordenes_Odoo'!A1579="","",'Ordenes_Odoo'!A1579)</f>
        <v/>
      </c>
      <c r="B1579" s="80">
        <f>IF('Ordenes_Odoo'!B1579="","",'Ordenes_Odoo'!B1579)</f>
        <v/>
      </c>
      <c r="C1579" s="79">
        <f>IF('Ordenes_Odoo'!C1579="","",'Ordenes_Odoo'!C1579)</f>
        <v/>
      </c>
      <c r="D1579" s="79">
        <f>IF('Ordenes_Odoo'!D1579="","",'Ordenes_Odoo'!D1579)</f>
        <v/>
      </c>
      <c r="E1579" s="79">
        <f>IF('Ordenes_Odoo'!E1579="","",'Ordenes_Odoo'!E1579)</f>
        <v/>
      </c>
      <c r="F1579" s="79">
        <f>IF('Ordenes_Odoo'!F1579="","",'Ordenes_Odoo'!F1579)</f>
        <v/>
      </c>
      <c r="G1579" s="79">
        <f>IF('Ordenes_Odoo'!G1579="","",'Ordenes_Odoo'!G1579)</f>
        <v/>
      </c>
      <c r="H1579" s="79">
        <f>IF('Ordenes_Odoo'!H1579="","",'Ordenes_Odoo'!H1579)</f>
        <v/>
      </c>
      <c r="I1579" s="79">
        <f>IF('Ordenes_Odoo'!I1579="","",'Ordenes_Odoo'!I1579)</f>
        <v/>
      </c>
      <c r="J1579" s="79">
        <f>IF('Ordenes_Odoo'!J1579="","",'Ordenes_Odoo'!J1579)</f>
        <v/>
      </c>
      <c r="K1579" s="81">
        <f>IF('Ordenes_Odoo'!K1579="","",'Ordenes_Odoo'!K1579)</f>
        <v/>
      </c>
      <c r="L1579" s="81">
        <f>IF('Ordenes_Odoo'!L1579="","",'Ordenes_Odoo'!L1579)</f>
        <v/>
      </c>
      <c r="M1579" s="79">
        <f>IF('Ordenes_Odoo'!M1579="","",'Ordenes_Odoo'!M1579)</f>
        <v/>
      </c>
      <c r="N1579" s="79">
        <f>IF('Ordenes_Odoo'!N1579="","",'Ordenes_Odoo'!N1579)</f>
        <v/>
      </c>
      <c r="O1579" s="81">
        <f>IF('Ordenes_Odoo'!O1579="","",'Ordenes_Odoo'!O1579)</f>
        <v/>
      </c>
      <c r="P1579" s="81">
        <f>IF('Ordenes_Odoo'!P1579="","",'Ordenes_Odoo'!P1579)</f>
        <v/>
      </c>
      <c r="Q1579" s="79">
        <f>IF(A1579="","",IFERROR(INDEX(Facturas_Odoo!$B:$B, MATCH(A1579, Facturas_Odoo!$D:$D, 0)), "Sin Factura"))</f>
        <v/>
      </c>
      <c r="R1579" s="80">
        <f>IF(Q1579="Sin Factura","",IFERROR(INDEX(Facturas_Odoo!$A:$A, MATCH(Q1579, Facturas_Odoo!$B:$B, 0)), ""))</f>
        <v/>
      </c>
      <c r="S1579" s="79">
        <f>IF(Q1579="Sin Factura","",IFERROR(_xlfn.XLOOKUP(1, (Facturas_Odoo!$D:$D=A1579) * (Facturas_Odoo!$K:$K=I1579), Facturas_Odoo!$L:$L, ""), ""))</f>
        <v/>
      </c>
      <c r="T1579" s="81">
        <f>IF(Q1579="Sin Factura",0,IFERROR(_xlfn.XLOOKUP(1, (Facturas_Odoo!$D:$D=A1579) * (Facturas_Odoo!$K:$K=I1579), Facturas_Odoo!$M:$M, 0), 0))</f>
        <v/>
      </c>
      <c r="U1579" s="79">
        <f>IF(Q1579="Sin Factura",0,IFERROR(_xlfn.XLOOKUP(1, (Facturas_Odoo!$D:$D=A1579) * (Facturas_Odoo!$K:$K=I1579), Facturas_Odoo!$N:$N, 0), 0))</f>
        <v/>
      </c>
      <c r="V1579" s="79">
        <f>IF(Q1579="Sin Factura",0,IFERROR(_xlfn.XLOOKUP(1, (Facturas_Odoo!$D:$D=A1579) * (Facturas_Odoo!$K:$K=I1579), Facturas_Odoo!$O:$O, 0), 0))</f>
        <v/>
      </c>
      <c r="W1579" s="81">
        <f>IF(Q1579="Sin Factura",0,IFERROR(_xlfn.XLOOKUP(1, (Facturas_Odoo!$D:$D=A1579) * (Facturas_Odoo!$K:$K=I1579), Facturas_Odoo!$Q:$Q, 0), 0))</f>
        <v/>
      </c>
      <c r="X1579" s="79">
        <f>IF(OR(Q1579="Sin Factura",Q1579=""),"",IFERROR(INDEX(Pagos_Odoo!$B:$B, MATCH(Q1579, Pagos_Odoo!$I:$I, 0)), "Sin Pago"))</f>
        <v/>
      </c>
      <c r="Y1579" s="79">
        <f>IF(X1579="Sin Pago","",IFERROR(INDEX(Pagos_Odoo!$C:$C, MATCH(X1579, Pagos_Odoo!$B:$B, 0)), ""))</f>
        <v/>
      </c>
      <c r="Z1579" s="80">
        <f>IF(X1579="Sin Pago","",IFERROR(INDEX(Pagos_Odoo!$A:$A, MATCH(X1579, Pagos_Odoo!$B:$B, 0)), ""))</f>
        <v/>
      </c>
      <c r="AA1579" s="79">
        <f>IF(X1579="Sin Pago","",IFERROR(INDEX(Pagos_Odoo!$F:$F, MATCH(X1579, Pagos_Odoo!$B:$B, 0)), ""))</f>
        <v/>
      </c>
      <c r="AB1579" s="81">
        <f>IF(X1579="Sin Pago",0,IFERROR(INDEX(Pagos_Odoo!$E:$E, MATCH(X1579, Pagos_Odoo!$B:$B, 0)), 0))</f>
        <v/>
      </c>
      <c r="AC1579" s="79">
        <f>IF(X1579="Sin Pago","",IFERROR(INDEX(Pagos_Odoo!$G:$G, MATCH(X1579, Pagos_Odoo!$B:$B, 0)), ""))</f>
        <v/>
      </c>
      <c r="AD1579" s="82" t="n">
        <v>0</v>
      </c>
      <c r="AE1579" s="82" t="n"/>
      <c r="AF1579" s="82" t="n"/>
      <c r="AG1579" s="82">
        <f>IF(AN1579="","",AD1579+AE1579+AF1579)</f>
        <v/>
      </c>
      <c r="AH1579" s="81">
        <f>IF(AN1579="","",P1579*(1-AG1579))</f>
        <v/>
      </c>
      <c r="AI1579" s="81">
        <f>IF(AN1579="","",IF(Q1579="Sin Factura",0,IFERROR(INDEX(Facturas_Odoo!$H:$H, MATCH(Q1579, Facturas_Odoo!$B:$B, 0)), 0)*(1-AG1579)))</f>
        <v/>
      </c>
      <c r="AJ1579" s="81">
        <f>IF(AN1579="","",_xlfn.LET(idVenta, AN1579&amp;"",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79" s="81">
        <f>IF(AN1579="","",AH1579-AJ1579)</f>
        <v/>
      </c>
      <c r="AL1579" s="81">
        <f>IF(AN1579="","",IF(Q1579="Sin Factura","",AI1579-AJ1579))</f>
        <v/>
      </c>
      <c r="AM1579" s="81">
        <f>IF(AN1579="","",IF(Q1579="Sin Factura",0,P1579-IFERROR(INDEX(Facturas_Odoo!$H:$H, MATCH(Q1579, Facturas_Odoo!$B:$B, 0)), 0)))</f>
        <v/>
      </c>
      <c r="AN1579" s="79">
        <f>IF(AND(A1579="", J1579=""), "", IF(A1579&lt;&gt;"", VALUE(MID(A1579,2,LEN(A1579))), AN1578))</f>
        <v/>
      </c>
      <c r="AO1579" s="79">
        <f>IF(AN1579="","",IF(AD1579=0,"OK",_xlfn.LET(monedaPago, IF(AA1579="","USD",AA1579), limitePermitido, IFERROR(VLOOKUP(monedaPago, Configuración!$A$2:$B$3, 2, FALSE), 0.15), IF(AD1579&gt;limitePermitido, "ALERTA: EXCESO (" &amp; TEXT(limitePermitido, "0%") &amp; " máx)", "OK"))))</f>
        <v/>
      </c>
      <c r="AP1579" s="79">
        <f>IF(AN1579="","",IF(AE1579=0,"OK",_xlfn.LET(fechaPago, Z1579, fechaFactura, R1579, diasCredito, IF(E1579="Pago inmediato", 0, IFERROR(VALUE(MID(E1579, 1, SEARCH(" ", E1579)-1)),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79" s="79">
        <f>IF(AN1579="","",IF(AND(N1579&gt;0, AG1579&gt;0), IF(Configuración!$K$2="NO", "ALERTA: DESCUENTO DOBLE NO PERMITIDO", "OK"), "OK"))</f>
        <v/>
      </c>
      <c r="AR1579" s="79">
        <f>IF(AN1579="","",IF(OR(AO1579&lt;&gt;"OK", AP1579&lt;&gt;"OK", AQ1579&lt;&gt;"OK"), "⚠️ REVISAR", "OK"))</f>
        <v/>
      </c>
    </row>
    <row r="1580">
      <c r="A1580" s="79">
        <f>IF('Ordenes_Odoo'!A1580="","",'Ordenes_Odoo'!A1580)</f>
        <v/>
      </c>
      <c r="B1580" s="80">
        <f>IF('Ordenes_Odoo'!B1580="","",'Ordenes_Odoo'!B1580)</f>
        <v/>
      </c>
      <c r="C1580" s="79">
        <f>IF('Ordenes_Odoo'!C1580="","",'Ordenes_Odoo'!C1580)</f>
        <v/>
      </c>
      <c r="D1580" s="79">
        <f>IF('Ordenes_Odoo'!D1580="","",'Ordenes_Odoo'!D1580)</f>
        <v/>
      </c>
      <c r="E1580" s="79">
        <f>IF('Ordenes_Odoo'!E1580="","",'Ordenes_Odoo'!E1580)</f>
        <v/>
      </c>
      <c r="F1580" s="79">
        <f>IF('Ordenes_Odoo'!F1580="","",'Ordenes_Odoo'!F1580)</f>
        <v/>
      </c>
      <c r="G1580" s="79">
        <f>IF('Ordenes_Odoo'!G1580="","",'Ordenes_Odoo'!G1580)</f>
        <v/>
      </c>
      <c r="H1580" s="79">
        <f>IF('Ordenes_Odoo'!H1580="","",'Ordenes_Odoo'!H1580)</f>
        <v/>
      </c>
      <c r="I1580" s="79">
        <f>IF('Ordenes_Odoo'!I1580="","",'Ordenes_Odoo'!I1580)</f>
        <v/>
      </c>
      <c r="J1580" s="79">
        <f>IF('Ordenes_Odoo'!J1580="","",'Ordenes_Odoo'!J1580)</f>
        <v/>
      </c>
      <c r="K1580" s="81">
        <f>IF('Ordenes_Odoo'!K1580="","",'Ordenes_Odoo'!K1580)</f>
        <v/>
      </c>
      <c r="L1580" s="81">
        <f>IF('Ordenes_Odoo'!L1580="","",'Ordenes_Odoo'!L1580)</f>
        <v/>
      </c>
      <c r="M1580" s="79">
        <f>IF('Ordenes_Odoo'!M1580="","",'Ordenes_Odoo'!M1580)</f>
        <v/>
      </c>
      <c r="N1580" s="79">
        <f>IF('Ordenes_Odoo'!N1580="","",'Ordenes_Odoo'!N1580)</f>
        <v/>
      </c>
      <c r="O1580" s="81">
        <f>IF('Ordenes_Odoo'!O1580="","",'Ordenes_Odoo'!O1580)</f>
        <v/>
      </c>
      <c r="P1580" s="81">
        <f>IF('Ordenes_Odoo'!P1580="","",'Ordenes_Odoo'!P1580)</f>
        <v/>
      </c>
      <c r="Q1580" s="79">
        <f>IF(A1580="","",IFERROR(INDEX(Facturas_Odoo!$B:$B, MATCH(A1580, Facturas_Odoo!$D:$D, 0)), "Sin Factura"))</f>
        <v/>
      </c>
      <c r="R1580" s="80">
        <f>IF(Q1580="Sin Factura","",IFERROR(INDEX(Facturas_Odoo!$A:$A, MATCH(Q1580, Facturas_Odoo!$B:$B, 0)), ""))</f>
        <v/>
      </c>
      <c r="S1580" s="79">
        <f>IF(Q1580="Sin Factura","",IFERROR(_xlfn.XLOOKUP(1, (Facturas_Odoo!$D:$D=A1580) * (Facturas_Odoo!$K:$K=I1580), Facturas_Odoo!$L:$L, ""), ""))</f>
        <v/>
      </c>
      <c r="T1580" s="81">
        <f>IF(Q1580="Sin Factura",0,IFERROR(_xlfn.XLOOKUP(1, (Facturas_Odoo!$D:$D=A1580) * (Facturas_Odoo!$K:$K=I1580), Facturas_Odoo!$M:$M, 0), 0))</f>
        <v/>
      </c>
      <c r="U1580" s="79">
        <f>IF(Q1580="Sin Factura",0,IFERROR(_xlfn.XLOOKUP(1, (Facturas_Odoo!$D:$D=A1580) * (Facturas_Odoo!$K:$K=I1580), Facturas_Odoo!$N:$N, 0), 0))</f>
        <v/>
      </c>
      <c r="V1580" s="79">
        <f>IF(Q1580="Sin Factura",0,IFERROR(_xlfn.XLOOKUP(1, (Facturas_Odoo!$D:$D=A1580) * (Facturas_Odoo!$K:$K=I1580), Facturas_Odoo!$O:$O, 0), 0))</f>
        <v/>
      </c>
      <c r="W1580" s="81">
        <f>IF(Q1580="Sin Factura",0,IFERROR(_xlfn.XLOOKUP(1, (Facturas_Odoo!$D:$D=A1580) * (Facturas_Odoo!$K:$K=I1580), Facturas_Odoo!$Q:$Q, 0), 0))</f>
        <v/>
      </c>
      <c r="X1580" s="79">
        <f>IF(OR(Q1580="Sin Factura",Q1580=""),"",IFERROR(INDEX(Pagos_Odoo!$B:$B, MATCH(Q1580, Pagos_Odoo!$I:$I, 0)), "Sin Pago"))</f>
        <v/>
      </c>
      <c r="Y1580" s="79">
        <f>IF(X1580="Sin Pago","",IFERROR(INDEX(Pagos_Odoo!$C:$C, MATCH(X1580, Pagos_Odoo!$B:$B, 0)), ""))</f>
        <v/>
      </c>
      <c r="Z1580" s="80">
        <f>IF(X1580="Sin Pago","",IFERROR(INDEX(Pagos_Odoo!$A:$A, MATCH(X1580, Pagos_Odoo!$B:$B, 0)), ""))</f>
        <v/>
      </c>
      <c r="AA1580" s="79">
        <f>IF(X1580="Sin Pago","",IFERROR(INDEX(Pagos_Odoo!$F:$F, MATCH(X1580, Pagos_Odoo!$B:$B, 0)), ""))</f>
        <v/>
      </c>
      <c r="AB1580" s="81">
        <f>IF(X1580="Sin Pago",0,IFERROR(INDEX(Pagos_Odoo!$E:$E, MATCH(X1580, Pagos_Odoo!$B:$B, 0)), 0))</f>
        <v/>
      </c>
      <c r="AC1580" s="79">
        <f>IF(X1580="Sin Pago","",IFERROR(INDEX(Pagos_Odoo!$G:$G, MATCH(X1580, Pagos_Odoo!$B:$B, 0)), ""))</f>
        <v/>
      </c>
      <c r="AD1580" s="82" t="n">
        <v>0</v>
      </c>
      <c r="AE1580" s="82" t="n"/>
      <c r="AF1580" s="82" t="n"/>
      <c r="AG1580" s="82">
        <f>IF(AN1580="","",AD1580+AE1580+AF1580)</f>
        <v/>
      </c>
      <c r="AH1580" s="81">
        <f>IF(AN1580="","",P1580*(1-AG1580))</f>
        <v/>
      </c>
      <c r="AI1580" s="81">
        <f>IF(AN1580="","",IF(Q1580="Sin Factura",0,IFERROR(INDEX(Facturas_Odoo!$H:$H, MATCH(Q1580, Facturas_Odoo!$B:$B, 0)), 0)*(1-AG1580)))</f>
        <v/>
      </c>
      <c r="AJ1580" s="81">
        <f>IF(AN1580="","",_xlfn.LET(idVenta, AN1580&amp;"",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80" s="81">
        <f>IF(AN1580="","",AH1580-AJ1580)</f>
        <v/>
      </c>
      <c r="AL1580" s="81">
        <f>IF(AN1580="","",IF(Q1580="Sin Factura","",AI1580-AJ1580))</f>
        <v/>
      </c>
      <c r="AM1580" s="81">
        <f>IF(AN1580="","",IF(Q1580="Sin Factura",0,P1580-IFERROR(INDEX(Facturas_Odoo!$H:$H, MATCH(Q1580, Facturas_Odoo!$B:$B, 0)), 0)))</f>
        <v/>
      </c>
      <c r="AN1580" s="79">
        <f>IF(AND(A1580="", J1580=""), "", IF(A1580&lt;&gt;"", VALUE(MID(A1580,2,LEN(A1580))), AN1579))</f>
        <v/>
      </c>
      <c r="AO1580" s="79">
        <f>IF(AN1580="","",IF(AD1580=0,"OK",_xlfn.LET(monedaPago, IF(AA1580="","USD",AA1580), limitePermitido, IFERROR(VLOOKUP(monedaPago, Configuración!$A$2:$B$3, 2, FALSE), 0.15), IF(AD1580&gt;limitePermitido, "ALERTA: EXCESO (" &amp; TEXT(limitePermitido, "0%") &amp; " máx)", "OK"))))</f>
        <v/>
      </c>
      <c r="AP1580" s="79">
        <f>IF(AN1580="","",IF(AE1580=0,"OK",_xlfn.LET(fechaPago, Z1580, fechaFactura, R1580, diasCredito, IF(E1580="Pago inmediato", 0, IFERROR(VALUE(MID(E1580, 1, SEARCH(" ", E1580)-1)),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80" s="79">
        <f>IF(AN1580="","",IF(AND(N1580&gt;0, AG1580&gt;0), IF(Configuración!$K$2="NO", "ALERTA: DESCUENTO DOBLE NO PERMITIDO", "OK"), "OK"))</f>
        <v/>
      </c>
      <c r="AR1580" s="79">
        <f>IF(AN1580="","",IF(OR(AO1580&lt;&gt;"OK", AP1580&lt;&gt;"OK", AQ1580&lt;&gt;"OK"), "⚠️ REVISAR", "OK"))</f>
        <v/>
      </c>
    </row>
    <row r="1581">
      <c r="A1581" s="79">
        <f>IF('Ordenes_Odoo'!A1581="","",'Ordenes_Odoo'!A1581)</f>
        <v/>
      </c>
      <c r="B1581" s="80">
        <f>IF('Ordenes_Odoo'!B1581="","",'Ordenes_Odoo'!B1581)</f>
        <v/>
      </c>
      <c r="C1581" s="79">
        <f>IF('Ordenes_Odoo'!C1581="","",'Ordenes_Odoo'!C1581)</f>
        <v/>
      </c>
      <c r="D1581" s="79">
        <f>IF('Ordenes_Odoo'!D1581="","",'Ordenes_Odoo'!D1581)</f>
        <v/>
      </c>
      <c r="E1581" s="79">
        <f>IF('Ordenes_Odoo'!E1581="","",'Ordenes_Odoo'!E1581)</f>
        <v/>
      </c>
      <c r="F1581" s="79">
        <f>IF('Ordenes_Odoo'!F1581="","",'Ordenes_Odoo'!F1581)</f>
        <v/>
      </c>
      <c r="G1581" s="79">
        <f>IF('Ordenes_Odoo'!G1581="","",'Ordenes_Odoo'!G1581)</f>
        <v/>
      </c>
      <c r="H1581" s="79">
        <f>IF('Ordenes_Odoo'!H1581="","",'Ordenes_Odoo'!H1581)</f>
        <v/>
      </c>
      <c r="I1581" s="79">
        <f>IF('Ordenes_Odoo'!I1581="","",'Ordenes_Odoo'!I1581)</f>
        <v/>
      </c>
      <c r="J1581" s="79">
        <f>IF('Ordenes_Odoo'!J1581="","",'Ordenes_Odoo'!J1581)</f>
        <v/>
      </c>
      <c r="K1581" s="81">
        <f>IF('Ordenes_Odoo'!K1581="","",'Ordenes_Odoo'!K1581)</f>
        <v/>
      </c>
      <c r="L1581" s="81">
        <f>IF('Ordenes_Odoo'!L1581="","",'Ordenes_Odoo'!L1581)</f>
        <v/>
      </c>
      <c r="M1581" s="79">
        <f>IF('Ordenes_Odoo'!M1581="","",'Ordenes_Odoo'!M1581)</f>
        <v/>
      </c>
      <c r="N1581" s="79">
        <f>IF('Ordenes_Odoo'!N1581="","",'Ordenes_Odoo'!N1581)</f>
        <v/>
      </c>
      <c r="O1581" s="81">
        <f>IF('Ordenes_Odoo'!O1581="","",'Ordenes_Odoo'!O1581)</f>
        <v/>
      </c>
      <c r="P1581" s="81">
        <f>IF('Ordenes_Odoo'!P1581="","",'Ordenes_Odoo'!P1581)</f>
        <v/>
      </c>
      <c r="Q1581" s="79">
        <f>IF(A1581="","",IFERROR(INDEX(Facturas_Odoo!$B:$B, MATCH(A1581, Facturas_Odoo!$D:$D, 0)), "Sin Factura"))</f>
        <v/>
      </c>
      <c r="R1581" s="80">
        <f>IF(Q1581="Sin Factura","",IFERROR(INDEX(Facturas_Odoo!$A:$A, MATCH(Q1581, Facturas_Odoo!$B:$B, 0)), ""))</f>
        <v/>
      </c>
      <c r="S1581" s="79">
        <f>IF(Q1581="Sin Factura","",IFERROR(_xlfn.XLOOKUP(1, (Facturas_Odoo!$D:$D=A1581) * (Facturas_Odoo!$K:$K=I1581), Facturas_Odoo!$L:$L, ""), ""))</f>
        <v/>
      </c>
      <c r="T1581" s="81">
        <f>IF(Q1581="Sin Factura",0,IFERROR(_xlfn.XLOOKUP(1, (Facturas_Odoo!$D:$D=A1581) * (Facturas_Odoo!$K:$K=I1581), Facturas_Odoo!$M:$M, 0), 0))</f>
        <v/>
      </c>
      <c r="U1581" s="79">
        <f>IF(Q1581="Sin Factura",0,IFERROR(_xlfn.XLOOKUP(1, (Facturas_Odoo!$D:$D=A1581) * (Facturas_Odoo!$K:$K=I1581), Facturas_Odoo!$N:$N, 0), 0))</f>
        <v/>
      </c>
      <c r="V1581" s="79">
        <f>IF(Q1581="Sin Factura",0,IFERROR(_xlfn.XLOOKUP(1, (Facturas_Odoo!$D:$D=A1581) * (Facturas_Odoo!$K:$K=I1581), Facturas_Odoo!$O:$O, 0), 0))</f>
        <v/>
      </c>
      <c r="W1581" s="81">
        <f>IF(Q1581="Sin Factura",0,IFERROR(_xlfn.XLOOKUP(1, (Facturas_Odoo!$D:$D=A1581) * (Facturas_Odoo!$K:$K=I1581), Facturas_Odoo!$Q:$Q, 0), 0))</f>
        <v/>
      </c>
      <c r="X1581" s="79">
        <f>IF(OR(Q1581="Sin Factura",Q1581=""),"",IFERROR(INDEX(Pagos_Odoo!$B:$B, MATCH(Q1581, Pagos_Odoo!$I:$I, 0)), "Sin Pago"))</f>
        <v/>
      </c>
      <c r="Y1581" s="79">
        <f>IF(X1581="Sin Pago","",IFERROR(INDEX(Pagos_Odoo!$C:$C, MATCH(X1581, Pagos_Odoo!$B:$B, 0)), ""))</f>
        <v/>
      </c>
      <c r="Z1581" s="80">
        <f>IF(X1581="Sin Pago","",IFERROR(INDEX(Pagos_Odoo!$A:$A, MATCH(X1581, Pagos_Odoo!$B:$B, 0)), ""))</f>
        <v/>
      </c>
      <c r="AA1581" s="79">
        <f>IF(X1581="Sin Pago","",IFERROR(INDEX(Pagos_Odoo!$F:$F, MATCH(X1581, Pagos_Odoo!$B:$B, 0)), ""))</f>
        <v/>
      </c>
      <c r="AB1581" s="81">
        <f>IF(X1581="Sin Pago",0,IFERROR(INDEX(Pagos_Odoo!$E:$E, MATCH(X1581, Pagos_Odoo!$B:$B, 0)), 0))</f>
        <v/>
      </c>
      <c r="AC1581" s="79">
        <f>IF(X1581="Sin Pago","",IFERROR(INDEX(Pagos_Odoo!$G:$G, MATCH(X1581, Pagos_Odoo!$B:$B, 0)), ""))</f>
        <v/>
      </c>
      <c r="AD1581" s="82" t="n">
        <v>0</v>
      </c>
      <c r="AE1581" s="82" t="n"/>
      <c r="AF1581" s="82" t="n"/>
      <c r="AG1581" s="82">
        <f>IF(AN1581="","",AD1581+AE1581+AF1581)</f>
        <v/>
      </c>
      <c r="AH1581" s="81">
        <f>IF(AN1581="","",P1581*(1-AG1581))</f>
        <v/>
      </c>
      <c r="AI1581" s="81">
        <f>IF(AN1581="","",IF(Q1581="Sin Factura",0,IFERROR(INDEX(Facturas_Odoo!$H:$H, MATCH(Q1581, Facturas_Odoo!$B:$B, 0)), 0)*(1-AG1581)))</f>
        <v/>
      </c>
      <c r="AJ1581" s="81">
        <f>IF(AN1581="","",_xlfn.LET(idVenta, AN1581&amp;"",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81" s="81">
        <f>IF(AN1581="","",AH1581-AJ1581)</f>
        <v/>
      </c>
      <c r="AL1581" s="81">
        <f>IF(AN1581="","",IF(Q1581="Sin Factura","",AI1581-AJ1581))</f>
        <v/>
      </c>
      <c r="AM1581" s="81">
        <f>IF(AN1581="","",IF(Q1581="Sin Factura",0,P1581-IFERROR(INDEX(Facturas_Odoo!$H:$H, MATCH(Q1581, Facturas_Odoo!$B:$B, 0)), 0)))</f>
        <v/>
      </c>
      <c r="AN1581" s="79">
        <f>IF(AND(A1581="", J1581=""), "", IF(A1581&lt;&gt;"", VALUE(MID(A1581,2,LEN(A1581))), AN1580))</f>
        <v/>
      </c>
      <c r="AO1581" s="79">
        <f>IF(AN1581="","",IF(AD1581=0,"OK",_xlfn.LET(monedaPago, IF(AA1581="","USD",AA1581), limitePermitido, IFERROR(VLOOKUP(monedaPago, Configuración!$A$2:$B$3, 2, FALSE), 0.15), IF(AD1581&gt;limitePermitido, "ALERTA: EXCESO (" &amp; TEXT(limitePermitido, "0%") &amp; " máx)", "OK"))))</f>
        <v/>
      </c>
      <c r="AP1581" s="79">
        <f>IF(AN1581="","",IF(AE1581=0,"OK",_xlfn.LET(fechaPago, Z1581, fechaFactura, R1581, diasCredito, IF(E1581="Pago inmediato", 0, IFERROR(VALUE(MID(E1581, 1, SEARCH(" ", E1581)-1)),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81" s="79">
        <f>IF(AN1581="","",IF(AND(N1581&gt;0, AG1581&gt;0), IF(Configuración!$K$2="NO", "ALERTA: DESCUENTO DOBLE NO PERMITIDO", "OK"), "OK"))</f>
        <v/>
      </c>
      <c r="AR1581" s="79">
        <f>IF(AN1581="","",IF(OR(AO1581&lt;&gt;"OK", AP1581&lt;&gt;"OK", AQ1581&lt;&gt;"OK"), "⚠️ REVISAR", "OK"))</f>
        <v/>
      </c>
    </row>
    <row r="1582">
      <c r="A1582" s="79">
        <f>IF('Ordenes_Odoo'!A1582="","",'Ordenes_Odoo'!A1582)</f>
        <v/>
      </c>
      <c r="B1582" s="80">
        <f>IF('Ordenes_Odoo'!B1582="","",'Ordenes_Odoo'!B1582)</f>
        <v/>
      </c>
      <c r="C1582" s="79">
        <f>IF('Ordenes_Odoo'!C1582="","",'Ordenes_Odoo'!C1582)</f>
        <v/>
      </c>
      <c r="D1582" s="79">
        <f>IF('Ordenes_Odoo'!D1582="","",'Ordenes_Odoo'!D1582)</f>
        <v/>
      </c>
      <c r="E1582" s="79">
        <f>IF('Ordenes_Odoo'!E1582="","",'Ordenes_Odoo'!E1582)</f>
        <v/>
      </c>
      <c r="F1582" s="79">
        <f>IF('Ordenes_Odoo'!F1582="","",'Ordenes_Odoo'!F1582)</f>
        <v/>
      </c>
      <c r="G1582" s="79">
        <f>IF('Ordenes_Odoo'!G1582="","",'Ordenes_Odoo'!G1582)</f>
        <v/>
      </c>
      <c r="H1582" s="79">
        <f>IF('Ordenes_Odoo'!H1582="","",'Ordenes_Odoo'!H1582)</f>
        <v/>
      </c>
      <c r="I1582" s="79">
        <f>IF('Ordenes_Odoo'!I1582="","",'Ordenes_Odoo'!I1582)</f>
        <v/>
      </c>
      <c r="J1582" s="79">
        <f>IF('Ordenes_Odoo'!J1582="","",'Ordenes_Odoo'!J1582)</f>
        <v/>
      </c>
      <c r="K1582" s="81">
        <f>IF('Ordenes_Odoo'!K1582="","",'Ordenes_Odoo'!K1582)</f>
        <v/>
      </c>
      <c r="L1582" s="81">
        <f>IF('Ordenes_Odoo'!L1582="","",'Ordenes_Odoo'!L1582)</f>
        <v/>
      </c>
      <c r="M1582" s="79">
        <f>IF('Ordenes_Odoo'!M1582="","",'Ordenes_Odoo'!M1582)</f>
        <v/>
      </c>
      <c r="N1582" s="79">
        <f>IF('Ordenes_Odoo'!N1582="","",'Ordenes_Odoo'!N1582)</f>
        <v/>
      </c>
      <c r="O1582" s="81">
        <f>IF('Ordenes_Odoo'!O1582="","",'Ordenes_Odoo'!O1582)</f>
        <v/>
      </c>
      <c r="P1582" s="81">
        <f>IF('Ordenes_Odoo'!P1582="","",'Ordenes_Odoo'!P1582)</f>
        <v/>
      </c>
      <c r="Q1582" s="79">
        <f>IF(A1582="","",IFERROR(INDEX(Facturas_Odoo!$B:$B, MATCH(A1582, Facturas_Odoo!$D:$D, 0)), "Sin Factura"))</f>
        <v/>
      </c>
      <c r="R1582" s="80">
        <f>IF(Q1582="Sin Factura","",IFERROR(INDEX(Facturas_Odoo!$A:$A, MATCH(Q1582, Facturas_Odoo!$B:$B, 0)), ""))</f>
        <v/>
      </c>
      <c r="S1582" s="79">
        <f>IF(Q1582="Sin Factura","",IFERROR(_xlfn.XLOOKUP(1, (Facturas_Odoo!$D:$D=A1582) * (Facturas_Odoo!$K:$K=I1582), Facturas_Odoo!$L:$L, ""), ""))</f>
        <v/>
      </c>
      <c r="T1582" s="81">
        <f>IF(Q1582="Sin Factura",0,IFERROR(_xlfn.XLOOKUP(1, (Facturas_Odoo!$D:$D=A1582) * (Facturas_Odoo!$K:$K=I1582), Facturas_Odoo!$M:$M, 0), 0))</f>
        <v/>
      </c>
      <c r="U1582" s="79">
        <f>IF(Q1582="Sin Factura",0,IFERROR(_xlfn.XLOOKUP(1, (Facturas_Odoo!$D:$D=A1582) * (Facturas_Odoo!$K:$K=I1582), Facturas_Odoo!$N:$N, 0), 0))</f>
        <v/>
      </c>
      <c r="V1582" s="79">
        <f>IF(Q1582="Sin Factura",0,IFERROR(_xlfn.XLOOKUP(1, (Facturas_Odoo!$D:$D=A1582) * (Facturas_Odoo!$K:$K=I1582), Facturas_Odoo!$O:$O, 0), 0))</f>
        <v/>
      </c>
      <c r="W1582" s="81">
        <f>IF(Q1582="Sin Factura",0,IFERROR(_xlfn.XLOOKUP(1, (Facturas_Odoo!$D:$D=A1582) * (Facturas_Odoo!$K:$K=I1582), Facturas_Odoo!$Q:$Q, 0), 0))</f>
        <v/>
      </c>
      <c r="X1582" s="79">
        <f>IF(OR(Q1582="Sin Factura",Q1582=""),"",IFERROR(INDEX(Pagos_Odoo!$B:$B, MATCH(Q1582, Pagos_Odoo!$I:$I, 0)), "Sin Pago"))</f>
        <v/>
      </c>
      <c r="Y1582" s="79">
        <f>IF(X1582="Sin Pago","",IFERROR(INDEX(Pagos_Odoo!$C:$C, MATCH(X1582, Pagos_Odoo!$B:$B, 0)), ""))</f>
        <v/>
      </c>
      <c r="Z1582" s="80">
        <f>IF(X1582="Sin Pago","",IFERROR(INDEX(Pagos_Odoo!$A:$A, MATCH(X1582, Pagos_Odoo!$B:$B, 0)), ""))</f>
        <v/>
      </c>
      <c r="AA1582" s="79">
        <f>IF(X1582="Sin Pago","",IFERROR(INDEX(Pagos_Odoo!$F:$F, MATCH(X1582, Pagos_Odoo!$B:$B, 0)), ""))</f>
        <v/>
      </c>
      <c r="AB1582" s="81">
        <f>IF(X1582="Sin Pago",0,IFERROR(INDEX(Pagos_Odoo!$E:$E, MATCH(X1582, Pagos_Odoo!$B:$B, 0)), 0))</f>
        <v/>
      </c>
      <c r="AC1582" s="79">
        <f>IF(X1582="Sin Pago","",IFERROR(INDEX(Pagos_Odoo!$G:$G, MATCH(X1582, Pagos_Odoo!$B:$B, 0)), ""))</f>
        <v/>
      </c>
      <c r="AD1582" s="82" t="n">
        <v>0</v>
      </c>
      <c r="AE1582" s="82" t="n"/>
      <c r="AF1582" s="82" t="n"/>
      <c r="AG1582" s="82">
        <f>IF(AN1582="","",AD1582+AE1582+AF1582)</f>
        <v/>
      </c>
      <c r="AH1582" s="81">
        <f>IF(AN1582="","",P1582*(1-AG1582))</f>
        <v/>
      </c>
      <c r="AI1582" s="81">
        <f>IF(AN1582="","",IF(Q1582="Sin Factura",0,IFERROR(INDEX(Facturas_Odoo!$H:$H, MATCH(Q1582, Facturas_Odoo!$B:$B, 0)), 0)*(1-AG1582)))</f>
        <v/>
      </c>
      <c r="AJ1582" s="81">
        <f>IF(AN1582="","",_xlfn.LET(idVenta, AN1582&amp;"",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82" s="81">
        <f>IF(AN1582="","",AH1582-AJ1582)</f>
        <v/>
      </c>
      <c r="AL1582" s="81">
        <f>IF(AN1582="","",IF(Q1582="Sin Factura","",AI1582-AJ1582))</f>
        <v/>
      </c>
      <c r="AM1582" s="81">
        <f>IF(AN1582="","",IF(Q1582="Sin Factura",0,P1582-IFERROR(INDEX(Facturas_Odoo!$H:$H, MATCH(Q1582, Facturas_Odoo!$B:$B, 0)), 0)))</f>
        <v/>
      </c>
      <c r="AN1582" s="79">
        <f>IF(AND(A1582="", J1582=""), "", IF(A1582&lt;&gt;"", VALUE(MID(A1582,2,LEN(A1582))), AN1581))</f>
        <v/>
      </c>
      <c r="AO1582" s="79">
        <f>IF(AN1582="","",IF(AD1582=0,"OK",_xlfn.LET(monedaPago, IF(AA1582="","USD",AA1582), limitePermitido, IFERROR(VLOOKUP(monedaPago, Configuración!$A$2:$B$3, 2, FALSE), 0.15), IF(AD1582&gt;limitePermitido, "ALERTA: EXCESO (" &amp; TEXT(limitePermitido, "0%") &amp; " máx)", "OK"))))</f>
        <v/>
      </c>
      <c r="AP1582" s="79">
        <f>IF(AN1582="","",IF(AE1582=0,"OK",_xlfn.LET(fechaPago, Z1582, fechaFactura, R1582, diasCredito, IF(E1582="Pago inmediato", 0, IFERROR(VALUE(MID(E1582, 1, SEARCH(" ", E1582)-1)),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82" s="79">
        <f>IF(AN1582="","",IF(AND(N1582&gt;0, AG1582&gt;0), IF(Configuración!$K$2="NO", "ALERTA: DESCUENTO DOBLE NO PERMITIDO", "OK"), "OK"))</f>
        <v/>
      </c>
      <c r="AR1582" s="79">
        <f>IF(AN1582="","",IF(OR(AO1582&lt;&gt;"OK", AP1582&lt;&gt;"OK", AQ1582&lt;&gt;"OK"), "⚠️ REVISAR", "OK"))</f>
        <v/>
      </c>
    </row>
    <row r="1583">
      <c r="A1583" s="79">
        <f>IF('Ordenes_Odoo'!A1583="","",'Ordenes_Odoo'!A1583)</f>
        <v/>
      </c>
      <c r="B1583" s="80">
        <f>IF('Ordenes_Odoo'!B1583="","",'Ordenes_Odoo'!B1583)</f>
        <v/>
      </c>
      <c r="C1583" s="79">
        <f>IF('Ordenes_Odoo'!C1583="","",'Ordenes_Odoo'!C1583)</f>
        <v/>
      </c>
      <c r="D1583" s="79">
        <f>IF('Ordenes_Odoo'!D1583="","",'Ordenes_Odoo'!D1583)</f>
        <v/>
      </c>
      <c r="E1583" s="79">
        <f>IF('Ordenes_Odoo'!E1583="","",'Ordenes_Odoo'!E1583)</f>
        <v/>
      </c>
      <c r="F1583" s="79">
        <f>IF('Ordenes_Odoo'!F1583="","",'Ordenes_Odoo'!F1583)</f>
        <v/>
      </c>
      <c r="G1583" s="79">
        <f>IF('Ordenes_Odoo'!G1583="","",'Ordenes_Odoo'!G1583)</f>
        <v/>
      </c>
      <c r="H1583" s="79">
        <f>IF('Ordenes_Odoo'!H1583="","",'Ordenes_Odoo'!H1583)</f>
        <v/>
      </c>
      <c r="I1583" s="79">
        <f>IF('Ordenes_Odoo'!I1583="","",'Ordenes_Odoo'!I1583)</f>
        <v/>
      </c>
      <c r="J1583" s="79">
        <f>IF('Ordenes_Odoo'!J1583="","",'Ordenes_Odoo'!J1583)</f>
        <v/>
      </c>
      <c r="K1583" s="81">
        <f>IF('Ordenes_Odoo'!K1583="","",'Ordenes_Odoo'!K1583)</f>
        <v/>
      </c>
      <c r="L1583" s="81">
        <f>IF('Ordenes_Odoo'!L1583="","",'Ordenes_Odoo'!L1583)</f>
        <v/>
      </c>
      <c r="M1583" s="79">
        <f>IF('Ordenes_Odoo'!M1583="","",'Ordenes_Odoo'!M1583)</f>
        <v/>
      </c>
      <c r="N1583" s="79">
        <f>IF('Ordenes_Odoo'!N1583="","",'Ordenes_Odoo'!N1583)</f>
        <v/>
      </c>
      <c r="O1583" s="81">
        <f>IF('Ordenes_Odoo'!O1583="","",'Ordenes_Odoo'!O1583)</f>
        <v/>
      </c>
      <c r="P1583" s="81">
        <f>IF('Ordenes_Odoo'!P1583="","",'Ordenes_Odoo'!P1583)</f>
        <v/>
      </c>
      <c r="Q1583" s="79">
        <f>IF(A1583="","",IFERROR(INDEX(Facturas_Odoo!$B:$B, MATCH(A1583, Facturas_Odoo!$D:$D, 0)), "Sin Factura"))</f>
        <v/>
      </c>
      <c r="R1583" s="80">
        <f>IF(Q1583="Sin Factura","",IFERROR(INDEX(Facturas_Odoo!$A:$A, MATCH(Q1583, Facturas_Odoo!$B:$B, 0)), ""))</f>
        <v/>
      </c>
      <c r="S1583" s="79">
        <f>IF(Q1583="Sin Factura","",IFERROR(_xlfn.XLOOKUP(1, (Facturas_Odoo!$D:$D=A1583) * (Facturas_Odoo!$K:$K=I1583), Facturas_Odoo!$L:$L, ""), ""))</f>
        <v/>
      </c>
      <c r="T1583" s="81">
        <f>IF(Q1583="Sin Factura",0,IFERROR(_xlfn.XLOOKUP(1, (Facturas_Odoo!$D:$D=A1583) * (Facturas_Odoo!$K:$K=I1583), Facturas_Odoo!$M:$M, 0), 0))</f>
        <v/>
      </c>
      <c r="U1583" s="79">
        <f>IF(Q1583="Sin Factura",0,IFERROR(_xlfn.XLOOKUP(1, (Facturas_Odoo!$D:$D=A1583) * (Facturas_Odoo!$K:$K=I1583), Facturas_Odoo!$N:$N, 0), 0))</f>
        <v/>
      </c>
      <c r="V1583" s="79">
        <f>IF(Q1583="Sin Factura",0,IFERROR(_xlfn.XLOOKUP(1, (Facturas_Odoo!$D:$D=A1583) * (Facturas_Odoo!$K:$K=I1583), Facturas_Odoo!$O:$O, 0), 0))</f>
        <v/>
      </c>
      <c r="W1583" s="81">
        <f>IF(Q1583="Sin Factura",0,IFERROR(_xlfn.XLOOKUP(1, (Facturas_Odoo!$D:$D=A1583) * (Facturas_Odoo!$K:$K=I1583), Facturas_Odoo!$Q:$Q, 0), 0))</f>
        <v/>
      </c>
      <c r="X1583" s="79">
        <f>IF(OR(Q1583="Sin Factura",Q1583=""),"",IFERROR(INDEX(Pagos_Odoo!$B:$B, MATCH(Q1583, Pagos_Odoo!$I:$I, 0)), "Sin Pago"))</f>
        <v/>
      </c>
      <c r="Y1583" s="79">
        <f>IF(X1583="Sin Pago","",IFERROR(INDEX(Pagos_Odoo!$C:$C, MATCH(X1583, Pagos_Odoo!$B:$B, 0)), ""))</f>
        <v/>
      </c>
      <c r="Z1583" s="80">
        <f>IF(X1583="Sin Pago","",IFERROR(INDEX(Pagos_Odoo!$A:$A, MATCH(X1583, Pagos_Odoo!$B:$B, 0)), ""))</f>
        <v/>
      </c>
      <c r="AA1583" s="79">
        <f>IF(X1583="Sin Pago","",IFERROR(INDEX(Pagos_Odoo!$F:$F, MATCH(X1583, Pagos_Odoo!$B:$B, 0)), ""))</f>
        <v/>
      </c>
      <c r="AB1583" s="81">
        <f>IF(X1583="Sin Pago",0,IFERROR(INDEX(Pagos_Odoo!$E:$E, MATCH(X1583, Pagos_Odoo!$B:$B, 0)), 0))</f>
        <v/>
      </c>
      <c r="AC1583" s="79">
        <f>IF(X1583="Sin Pago","",IFERROR(INDEX(Pagos_Odoo!$G:$G, MATCH(X1583, Pagos_Odoo!$B:$B, 0)), ""))</f>
        <v/>
      </c>
      <c r="AD1583" s="82" t="n">
        <v>0</v>
      </c>
      <c r="AE1583" s="82" t="n"/>
      <c r="AF1583" s="82" t="n"/>
      <c r="AG1583" s="82">
        <f>IF(AN1583="","",AD1583+AE1583+AF1583)</f>
        <v/>
      </c>
      <c r="AH1583" s="81">
        <f>IF(AN1583="","",P1583*(1-AG1583))</f>
        <v/>
      </c>
      <c r="AI1583" s="81">
        <f>IF(AN1583="","",IF(Q1583="Sin Factura",0,IFERROR(INDEX(Facturas_Odoo!$H:$H, MATCH(Q1583, Facturas_Odoo!$B:$B, 0)), 0)*(1-AG1583)))</f>
        <v/>
      </c>
      <c r="AJ1583" s="81">
        <f>IF(AN1583="","",_xlfn.LET(idVenta, AN1583&amp;"",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83" s="81">
        <f>IF(AN1583="","",AH1583-AJ1583)</f>
        <v/>
      </c>
      <c r="AL1583" s="81">
        <f>IF(AN1583="","",IF(Q1583="Sin Factura","",AI1583-AJ1583))</f>
        <v/>
      </c>
      <c r="AM1583" s="81">
        <f>IF(AN1583="","",IF(Q1583="Sin Factura",0,P1583-IFERROR(INDEX(Facturas_Odoo!$H:$H, MATCH(Q1583, Facturas_Odoo!$B:$B, 0)), 0)))</f>
        <v/>
      </c>
      <c r="AN1583" s="79">
        <f>IF(AND(A1583="", J1583=""), "", IF(A1583&lt;&gt;"", VALUE(MID(A1583,2,LEN(A1583))), AN1582))</f>
        <v/>
      </c>
      <c r="AO1583" s="79">
        <f>IF(AN1583="","",IF(AD1583=0,"OK",_xlfn.LET(monedaPago, IF(AA1583="","USD",AA1583), limitePermitido, IFERROR(VLOOKUP(monedaPago, Configuración!$A$2:$B$3, 2, FALSE), 0.15), IF(AD1583&gt;limitePermitido, "ALERTA: EXCESO (" &amp; TEXT(limitePermitido, "0%") &amp; " máx)", "OK"))))</f>
        <v/>
      </c>
      <c r="AP1583" s="79">
        <f>IF(AN1583="","",IF(AE1583=0,"OK",_xlfn.LET(fechaPago, Z1583, fechaFactura, R1583, diasCredito, IF(E1583="Pago inmediato", 0, IFERROR(VALUE(MID(E1583, 1, SEARCH(" ", E1583)-1)),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83" s="79">
        <f>IF(AN1583="","",IF(AND(N1583&gt;0, AG1583&gt;0), IF(Configuración!$K$2="NO", "ALERTA: DESCUENTO DOBLE NO PERMITIDO", "OK"), "OK"))</f>
        <v/>
      </c>
      <c r="AR1583" s="79">
        <f>IF(AN1583="","",IF(OR(AO1583&lt;&gt;"OK", AP1583&lt;&gt;"OK", AQ1583&lt;&gt;"OK"), "⚠️ REVISAR", "OK"))</f>
        <v/>
      </c>
    </row>
    <row r="1584">
      <c r="A1584" s="79">
        <f>IF('Ordenes_Odoo'!A1584="","",'Ordenes_Odoo'!A1584)</f>
        <v/>
      </c>
      <c r="B1584" s="80">
        <f>IF('Ordenes_Odoo'!B1584="","",'Ordenes_Odoo'!B1584)</f>
        <v/>
      </c>
      <c r="C1584" s="79">
        <f>IF('Ordenes_Odoo'!C1584="","",'Ordenes_Odoo'!C1584)</f>
        <v/>
      </c>
      <c r="D1584" s="79">
        <f>IF('Ordenes_Odoo'!D1584="","",'Ordenes_Odoo'!D1584)</f>
        <v/>
      </c>
      <c r="E1584" s="79">
        <f>IF('Ordenes_Odoo'!E1584="","",'Ordenes_Odoo'!E1584)</f>
        <v/>
      </c>
      <c r="F1584" s="79">
        <f>IF('Ordenes_Odoo'!F1584="","",'Ordenes_Odoo'!F1584)</f>
        <v/>
      </c>
      <c r="G1584" s="79">
        <f>IF('Ordenes_Odoo'!G1584="","",'Ordenes_Odoo'!G1584)</f>
        <v/>
      </c>
      <c r="H1584" s="79">
        <f>IF('Ordenes_Odoo'!H1584="","",'Ordenes_Odoo'!H1584)</f>
        <v/>
      </c>
      <c r="I1584" s="79">
        <f>IF('Ordenes_Odoo'!I1584="","",'Ordenes_Odoo'!I1584)</f>
        <v/>
      </c>
      <c r="J1584" s="79">
        <f>IF('Ordenes_Odoo'!J1584="","",'Ordenes_Odoo'!J1584)</f>
        <v/>
      </c>
      <c r="K1584" s="81">
        <f>IF('Ordenes_Odoo'!K1584="","",'Ordenes_Odoo'!K1584)</f>
        <v/>
      </c>
      <c r="L1584" s="81">
        <f>IF('Ordenes_Odoo'!L1584="","",'Ordenes_Odoo'!L1584)</f>
        <v/>
      </c>
      <c r="M1584" s="79">
        <f>IF('Ordenes_Odoo'!M1584="","",'Ordenes_Odoo'!M1584)</f>
        <v/>
      </c>
      <c r="N1584" s="79">
        <f>IF('Ordenes_Odoo'!N1584="","",'Ordenes_Odoo'!N1584)</f>
        <v/>
      </c>
      <c r="O1584" s="81">
        <f>IF('Ordenes_Odoo'!O1584="","",'Ordenes_Odoo'!O1584)</f>
        <v/>
      </c>
      <c r="P1584" s="81">
        <f>IF('Ordenes_Odoo'!P1584="","",'Ordenes_Odoo'!P1584)</f>
        <v/>
      </c>
      <c r="Q1584" s="79">
        <f>IF(A1584="","",IFERROR(INDEX(Facturas_Odoo!$B:$B, MATCH(A1584, Facturas_Odoo!$D:$D, 0)), "Sin Factura"))</f>
        <v/>
      </c>
      <c r="R1584" s="80">
        <f>IF(Q1584="Sin Factura","",IFERROR(INDEX(Facturas_Odoo!$A:$A, MATCH(Q1584, Facturas_Odoo!$B:$B, 0)), ""))</f>
        <v/>
      </c>
      <c r="S1584" s="79">
        <f>IF(Q1584="Sin Factura","",IFERROR(_xlfn.XLOOKUP(1, (Facturas_Odoo!$D:$D=A1584) * (Facturas_Odoo!$K:$K=I1584), Facturas_Odoo!$L:$L, ""), ""))</f>
        <v/>
      </c>
      <c r="T1584" s="81">
        <f>IF(Q1584="Sin Factura",0,IFERROR(_xlfn.XLOOKUP(1, (Facturas_Odoo!$D:$D=A1584) * (Facturas_Odoo!$K:$K=I1584), Facturas_Odoo!$M:$M, 0), 0))</f>
        <v/>
      </c>
      <c r="U1584" s="79">
        <f>IF(Q1584="Sin Factura",0,IFERROR(_xlfn.XLOOKUP(1, (Facturas_Odoo!$D:$D=A1584) * (Facturas_Odoo!$K:$K=I1584), Facturas_Odoo!$N:$N, 0), 0))</f>
        <v/>
      </c>
      <c r="V1584" s="79">
        <f>IF(Q1584="Sin Factura",0,IFERROR(_xlfn.XLOOKUP(1, (Facturas_Odoo!$D:$D=A1584) * (Facturas_Odoo!$K:$K=I1584), Facturas_Odoo!$O:$O, 0), 0))</f>
        <v/>
      </c>
      <c r="W1584" s="81">
        <f>IF(Q1584="Sin Factura",0,IFERROR(_xlfn.XLOOKUP(1, (Facturas_Odoo!$D:$D=A1584) * (Facturas_Odoo!$K:$K=I1584), Facturas_Odoo!$Q:$Q, 0), 0))</f>
        <v/>
      </c>
      <c r="X1584" s="79">
        <f>IF(OR(Q1584="Sin Factura",Q1584=""),"",IFERROR(INDEX(Pagos_Odoo!$B:$B, MATCH(Q1584, Pagos_Odoo!$I:$I, 0)), "Sin Pago"))</f>
        <v/>
      </c>
      <c r="Y1584" s="79">
        <f>IF(X1584="Sin Pago","",IFERROR(INDEX(Pagos_Odoo!$C:$C, MATCH(X1584, Pagos_Odoo!$B:$B, 0)), ""))</f>
        <v/>
      </c>
      <c r="Z1584" s="80">
        <f>IF(X1584="Sin Pago","",IFERROR(INDEX(Pagos_Odoo!$A:$A, MATCH(X1584, Pagos_Odoo!$B:$B, 0)), ""))</f>
        <v/>
      </c>
      <c r="AA1584" s="79">
        <f>IF(X1584="Sin Pago","",IFERROR(INDEX(Pagos_Odoo!$F:$F, MATCH(X1584, Pagos_Odoo!$B:$B, 0)), ""))</f>
        <v/>
      </c>
      <c r="AB1584" s="81">
        <f>IF(X1584="Sin Pago",0,IFERROR(INDEX(Pagos_Odoo!$E:$E, MATCH(X1584, Pagos_Odoo!$B:$B, 0)), 0))</f>
        <v/>
      </c>
      <c r="AC1584" s="79">
        <f>IF(X1584="Sin Pago","",IFERROR(INDEX(Pagos_Odoo!$G:$G, MATCH(X1584, Pagos_Odoo!$B:$B, 0)), ""))</f>
        <v/>
      </c>
      <c r="AD1584" s="82" t="n">
        <v>0</v>
      </c>
      <c r="AE1584" s="82" t="n"/>
      <c r="AF1584" s="82" t="n"/>
      <c r="AG1584" s="82">
        <f>IF(AN1584="","",AD1584+AE1584+AF1584)</f>
        <v/>
      </c>
      <c r="AH1584" s="81">
        <f>IF(AN1584="","",P1584*(1-AG1584))</f>
        <v/>
      </c>
      <c r="AI1584" s="81">
        <f>IF(AN1584="","",IF(Q1584="Sin Factura",0,IFERROR(INDEX(Facturas_Odoo!$H:$H, MATCH(Q1584, Facturas_Odoo!$B:$B, 0)), 0)*(1-AG1584)))</f>
        <v/>
      </c>
      <c r="AJ1584" s="81">
        <f>IF(AN1584="","",_xlfn.LET(idVenta, AN1584&amp;"",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84" s="81">
        <f>IF(AN1584="","",AH1584-AJ1584)</f>
        <v/>
      </c>
      <c r="AL1584" s="81">
        <f>IF(AN1584="","",IF(Q1584="Sin Factura","",AI1584-AJ1584))</f>
        <v/>
      </c>
      <c r="AM1584" s="81">
        <f>IF(AN1584="","",IF(Q1584="Sin Factura",0,P1584-IFERROR(INDEX(Facturas_Odoo!$H:$H, MATCH(Q1584, Facturas_Odoo!$B:$B, 0)), 0)))</f>
        <v/>
      </c>
      <c r="AN1584" s="79">
        <f>IF(AND(A1584="", J1584=""), "", IF(A1584&lt;&gt;"", VALUE(MID(A1584,2,LEN(A1584))), AN1583))</f>
        <v/>
      </c>
      <c r="AO1584" s="79">
        <f>IF(AN1584="","",IF(AD1584=0,"OK",_xlfn.LET(monedaPago, IF(AA1584="","USD",AA1584), limitePermitido, IFERROR(VLOOKUP(monedaPago, Configuración!$A$2:$B$3, 2, FALSE), 0.15), IF(AD1584&gt;limitePermitido, "ALERTA: EXCESO (" &amp; TEXT(limitePermitido, "0%") &amp; " máx)", "OK"))))</f>
        <v/>
      </c>
      <c r="AP1584" s="79">
        <f>IF(AN1584="","",IF(AE1584=0,"OK",_xlfn.LET(fechaPago, Z1584, fechaFactura, R1584, diasCredito, IF(E1584="Pago inmediato", 0, IFERROR(VALUE(MID(E1584, 1, SEARCH(" ", E1584)-1)),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84" s="79">
        <f>IF(AN1584="","",IF(AND(N1584&gt;0, AG1584&gt;0), IF(Configuración!$K$2="NO", "ALERTA: DESCUENTO DOBLE NO PERMITIDO", "OK"), "OK"))</f>
        <v/>
      </c>
      <c r="AR1584" s="79">
        <f>IF(AN1584="","",IF(OR(AO1584&lt;&gt;"OK", AP1584&lt;&gt;"OK", AQ1584&lt;&gt;"OK"), "⚠️ REVISAR", "OK"))</f>
        <v/>
      </c>
    </row>
    <row r="1585">
      <c r="A1585" s="79">
        <f>IF('Ordenes_Odoo'!A1585="","",'Ordenes_Odoo'!A1585)</f>
        <v/>
      </c>
      <c r="B1585" s="80">
        <f>IF('Ordenes_Odoo'!B1585="","",'Ordenes_Odoo'!B1585)</f>
        <v/>
      </c>
      <c r="C1585" s="79">
        <f>IF('Ordenes_Odoo'!C1585="","",'Ordenes_Odoo'!C1585)</f>
        <v/>
      </c>
      <c r="D1585" s="79">
        <f>IF('Ordenes_Odoo'!D1585="","",'Ordenes_Odoo'!D1585)</f>
        <v/>
      </c>
      <c r="E1585" s="79">
        <f>IF('Ordenes_Odoo'!E1585="","",'Ordenes_Odoo'!E1585)</f>
        <v/>
      </c>
      <c r="F1585" s="79">
        <f>IF('Ordenes_Odoo'!F1585="","",'Ordenes_Odoo'!F1585)</f>
        <v/>
      </c>
      <c r="G1585" s="79">
        <f>IF('Ordenes_Odoo'!G1585="","",'Ordenes_Odoo'!G1585)</f>
        <v/>
      </c>
      <c r="H1585" s="79">
        <f>IF('Ordenes_Odoo'!H1585="","",'Ordenes_Odoo'!H1585)</f>
        <v/>
      </c>
      <c r="I1585" s="79">
        <f>IF('Ordenes_Odoo'!I1585="","",'Ordenes_Odoo'!I1585)</f>
        <v/>
      </c>
      <c r="J1585" s="79">
        <f>IF('Ordenes_Odoo'!J1585="","",'Ordenes_Odoo'!J1585)</f>
        <v/>
      </c>
      <c r="K1585" s="81">
        <f>IF('Ordenes_Odoo'!K1585="","",'Ordenes_Odoo'!K1585)</f>
        <v/>
      </c>
      <c r="L1585" s="81">
        <f>IF('Ordenes_Odoo'!L1585="","",'Ordenes_Odoo'!L1585)</f>
        <v/>
      </c>
      <c r="M1585" s="79">
        <f>IF('Ordenes_Odoo'!M1585="","",'Ordenes_Odoo'!M1585)</f>
        <v/>
      </c>
      <c r="N1585" s="79">
        <f>IF('Ordenes_Odoo'!N1585="","",'Ordenes_Odoo'!N1585)</f>
        <v/>
      </c>
      <c r="O1585" s="81">
        <f>IF('Ordenes_Odoo'!O1585="","",'Ordenes_Odoo'!O1585)</f>
        <v/>
      </c>
      <c r="P1585" s="81">
        <f>IF('Ordenes_Odoo'!P1585="","",'Ordenes_Odoo'!P1585)</f>
        <v/>
      </c>
      <c r="Q1585" s="79">
        <f>IF(A1585="","",IFERROR(INDEX(Facturas_Odoo!$B:$B, MATCH(A1585, Facturas_Odoo!$D:$D, 0)), "Sin Factura"))</f>
        <v/>
      </c>
      <c r="R1585" s="80">
        <f>IF(Q1585="Sin Factura","",IFERROR(INDEX(Facturas_Odoo!$A:$A, MATCH(Q1585, Facturas_Odoo!$B:$B, 0)), ""))</f>
        <v/>
      </c>
      <c r="S1585" s="79">
        <f>IF(Q1585="Sin Factura","",IFERROR(_xlfn.XLOOKUP(1, (Facturas_Odoo!$D:$D=A1585) * (Facturas_Odoo!$K:$K=I1585), Facturas_Odoo!$L:$L, ""), ""))</f>
        <v/>
      </c>
      <c r="T1585" s="81">
        <f>IF(Q1585="Sin Factura",0,IFERROR(_xlfn.XLOOKUP(1, (Facturas_Odoo!$D:$D=A1585) * (Facturas_Odoo!$K:$K=I1585), Facturas_Odoo!$M:$M, 0), 0))</f>
        <v/>
      </c>
      <c r="U1585" s="79">
        <f>IF(Q1585="Sin Factura",0,IFERROR(_xlfn.XLOOKUP(1, (Facturas_Odoo!$D:$D=A1585) * (Facturas_Odoo!$K:$K=I1585), Facturas_Odoo!$N:$N, 0), 0))</f>
        <v/>
      </c>
      <c r="V1585" s="79">
        <f>IF(Q1585="Sin Factura",0,IFERROR(_xlfn.XLOOKUP(1, (Facturas_Odoo!$D:$D=A1585) * (Facturas_Odoo!$K:$K=I1585), Facturas_Odoo!$O:$O, 0), 0))</f>
        <v/>
      </c>
      <c r="W1585" s="81">
        <f>IF(Q1585="Sin Factura",0,IFERROR(_xlfn.XLOOKUP(1, (Facturas_Odoo!$D:$D=A1585) * (Facturas_Odoo!$K:$K=I1585), Facturas_Odoo!$Q:$Q, 0), 0))</f>
        <v/>
      </c>
      <c r="X1585" s="79">
        <f>IF(OR(Q1585="Sin Factura",Q1585=""),"",IFERROR(INDEX(Pagos_Odoo!$B:$B, MATCH(Q1585, Pagos_Odoo!$I:$I, 0)), "Sin Pago"))</f>
        <v/>
      </c>
      <c r="Y1585" s="79">
        <f>IF(X1585="Sin Pago","",IFERROR(INDEX(Pagos_Odoo!$C:$C, MATCH(X1585, Pagos_Odoo!$B:$B, 0)), ""))</f>
        <v/>
      </c>
      <c r="Z1585" s="80">
        <f>IF(X1585="Sin Pago","",IFERROR(INDEX(Pagos_Odoo!$A:$A, MATCH(X1585, Pagos_Odoo!$B:$B, 0)), ""))</f>
        <v/>
      </c>
      <c r="AA1585" s="79">
        <f>IF(X1585="Sin Pago","",IFERROR(INDEX(Pagos_Odoo!$F:$F, MATCH(X1585, Pagos_Odoo!$B:$B, 0)), ""))</f>
        <v/>
      </c>
      <c r="AB1585" s="81">
        <f>IF(X1585="Sin Pago",0,IFERROR(INDEX(Pagos_Odoo!$E:$E, MATCH(X1585, Pagos_Odoo!$B:$B, 0)), 0))</f>
        <v/>
      </c>
      <c r="AC1585" s="79">
        <f>IF(X1585="Sin Pago","",IFERROR(INDEX(Pagos_Odoo!$G:$G, MATCH(X1585, Pagos_Odoo!$B:$B, 0)), ""))</f>
        <v/>
      </c>
      <c r="AD1585" s="82" t="n">
        <v>0</v>
      </c>
      <c r="AE1585" s="82" t="n"/>
      <c r="AF1585" s="82" t="n"/>
      <c r="AG1585" s="82">
        <f>IF(AN1585="","",AD1585+AE1585+AF1585)</f>
        <v/>
      </c>
      <c r="AH1585" s="81">
        <f>IF(AN1585="","",P1585*(1-AG1585))</f>
        <v/>
      </c>
      <c r="AI1585" s="81">
        <f>IF(AN1585="","",IF(Q1585="Sin Factura",0,IFERROR(INDEX(Facturas_Odoo!$H:$H, MATCH(Q1585, Facturas_Odoo!$B:$B, 0)), 0)*(1-AG1585)))</f>
        <v/>
      </c>
      <c r="AJ1585" s="81">
        <f>IF(AN1585="","",_xlfn.LET(idVenta, AN1585&amp;"",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85" s="81">
        <f>IF(AN1585="","",AH1585-AJ1585)</f>
        <v/>
      </c>
      <c r="AL1585" s="81">
        <f>IF(AN1585="","",IF(Q1585="Sin Factura","",AI1585-AJ1585))</f>
        <v/>
      </c>
      <c r="AM1585" s="81">
        <f>IF(AN1585="","",IF(Q1585="Sin Factura",0,P1585-IFERROR(INDEX(Facturas_Odoo!$H:$H, MATCH(Q1585, Facturas_Odoo!$B:$B, 0)), 0)))</f>
        <v/>
      </c>
      <c r="AN1585" s="79">
        <f>IF(AND(A1585="", J1585=""), "", IF(A1585&lt;&gt;"", VALUE(MID(A1585,2,LEN(A1585))), AN1584))</f>
        <v/>
      </c>
      <c r="AO1585" s="79">
        <f>IF(AN1585="","",IF(AD1585=0,"OK",_xlfn.LET(monedaPago, IF(AA1585="","USD",AA1585), limitePermitido, IFERROR(VLOOKUP(monedaPago, Configuración!$A$2:$B$3, 2, FALSE), 0.15), IF(AD1585&gt;limitePermitido, "ALERTA: EXCESO (" &amp; TEXT(limitePermitido, "0%") &amp; " máx)", "OK"))))</f>
        <v/>
      </c>
      <c r="AP1585" s="79">
        <f>IF(AN1585="","",IF(AE1585=0,"OK",_xlfn.LET(fechaPago, Z1585, fechaFactura, R1585, diasCredito, IF(E1585="Pago inmediato", 0, IFERROR(VALUE(MID(E1585, 1, SEARCH(" ", E1585)-1)),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85" s="79">
        <f>IF(AN1585="","",IF(AND(N1585&gt;0, AG1585&gt;0), IF(Configuración!$K$2="NO", "ALERTA: DESCUENTO DOBLE NO PERMITIDO", "OK"), "OK"))</f>
        <v/>
      </c>
      <c r="AR1585" s="79">
        <f>IF(AN1585="","",IF(OR(AO1585&lt;&gt;"OK", AP1585&lt;&gt;"OK", AQ1585&lt;&gt;"OK"), "⚠️ REVISAR", "OK"))</f>
        <v/>
      </c>
    </row>
    <row r="1586">
      <c r="A1586" s="79">
        <f>IF('Ordenes_Odoo'!A1586="","",'Ordenes_Odoo'!A1586)</f>
        <v/>
      </c>
      <c r="B1586" s="80">
        <f>IF('Ordenes_Odoo'!B1586="","",'Ordenes_Odoo'!B1586)</f>
        <v/>
      </c>
      <c r="C1586" s="79">
        <f>IF('Ordenes_Odoo'!C1586="","",'Ordenes_Odoo'!C1586)</f>
        <v/>
      </c>
      <c r="D1586" s="79">
        <f>IF('Ordenes_Odoo'!D1586="","",'Ordenes_Odoo'!D1586)</f>
        <v/>
      </c>
      <c r="E1586" s="79">
        <f>IF('Ordenes_Odoo'!E1586="","",'Ordenes_Odoo'!E1586)</f>
        <v/>
      </c>
      <c r="F1586" s="79">
        <f>IF('Ordenes_Odoo'!F1586="","",'Ordenes_Odoo'!F1586)</f>
        <v/>
      </c>
      <c r="G1586" s="79">
        <f>IF('Ordenes_Odoo'!G1586="","",'Ordenes_Odoo'!G1586)</f>
        <v/>
      </c>
      <c r="H1586" s="79">
        <f>IF('Ordenes_Odoo'!H1586="","",'Ordenes_Odoo'!H1586)</f>
        <v/>
      </c>
      <c r="I1586" s="79">
        <f>IF('Ordenes_Odoo'!I1586="","",'Ordenes_Odoo'!I1586)</f>
        <v/>
      </c>
      <c r="J1586" s="79">
        <f>IF('Ordenes_Odoo'!J1586="","",'Ordenes_Odoo'!J1586)</f>
        <v/>
      </c>
      <c r="K1586" s="81">
        <f>IF('Ordenes_Odoo'!K1586="","",'Ordenes_Odoo'!K1586)</f>
        <v/>
      </c>
      <c r="L1586" s="81">
        <f>IF('Ordenes_Odoo'!L1586="","",'Ordenes_Odoo'!L1586)</f>
        <v/>
      </c>
      <c r="M1586" s="79">
        <f>IF('Ordenes_Odoo'!M1586="","",'Ordenes_Odoo'!M1586)</f>
        <v/>
      </c>
      <c r="N1586" s="79">
        <f>IF('Ordenes_Odoo'!N1586="","",'Ordenes_Odoo'!N1586)</f>
        <v/>
      </c>
      <c r="O1586" s="81">
        <f>IF('Ordenes_Odoo'!O1586="","",'Ordenes_Odoo'!O1586)</f>
        <v/>
      </c>
      <c r="P1586" s="81">
        <f>IF('Ordenes_Odoo'!P1586="","",'Ordenes_Odoo'!P1586)</f>
        <v/>
      </c>
      <c r="Q1586" s="79">
        <f>IF(A1586="","",IFERROR(INDEX(Facturas_Odoo!$B:$B, MATCH(A1586, Facturas_Odoo!$D:$D, 0)), "Sin Factura"))</f>
        <v/>
      </c>
      <c r="R1586" s="80">
        <f>IF(Q1586="Sin Factura","",IFERROR(INDEX(Facturas_Odoo!$A:$A, MATCH(Q1586, Facturas_Odoo!$B:$B, 0)), ""))</f>
        <v/>
      </c>
      <c r="S1586" s="79">
        <f>IF(Q1586="Sin Factura","",IFERROR(_xlfn.XLOOKUP(1, (Facturas_Odoo!$D:$D=A1586) * (Facturas_Odoo!$K:$K=I1586), Facturas_Odoo!$L:$L, ""), ""))</f>
        <v/>
      </c>
      <c r="T1586" s="81">
        <f>IF(Q1586="Sin Factura",0,IFERROR(_xlfn.XLOOKUP(1, (Facturas_Odoo!$D:$D=A1586) * (Facturas_Odoo!$K:$K=I1586), Facturas_Odoo!$M:$M, 0), 0))</f>
        <v/>
      </c>
      <c r="U1586" s="79">
        <f>IF(Q1586="Sin Factura",0,IFERROR(_xlfn.XLOOKUP(1, (Facturas_Odoo!$D:$D=A1586) * (Facturas_Odoo!$K:$K=I1586), Facturas_Odoo!$N:$N, 0), 0))</f>
        <v/>
      </c>
      <c r="V1586" s="79">
        <f>IF(Q1586="Sin Factura",0,IFERROR(_xlfn.XLOOKUP(1, (Facturas_Odoo!$D:$D=A1586) * (Facturas_Odoo!$K:$K=I1586), Facturas_Odoo!$O:$O, 0), 0))</f>
        <v/>
      </c>
      <c r="W1586" s="81">
        <f>IF(Q1586="Sin Factura",0,IFERROR(_xlfn.XLOOKUP(1, (Facturas_Odoo!$D:$D=A1586) * (Facturas_Odoo!$K:$K=I1586), Facturas_Odoo!$Q:$Q, 0), 0))</f>
        <v/>
      </c>
      <c r="X1586" s="79">
        <f>IF(OR(Q1586="Sin Factura",Q1586=""),"",IFERROR(INDEX(Pagos_Odoo!$B:$B, MATCH(Q1586, Pagos_Odoo!$I:$I, 0)), "Sin Pago"))</f>
        <v/>
      </c>
      <c r="Y1586" s="79">
        <f>IF(X1586="Sin Pago","",IFERROR(INDEX(Pagos_Odoo!$C:$C, MATCH(X1586, Pagos_Odoo!$B:$B, 0)), ""))</f>
        <v/>
      </c>
      <c r="Z1586" s="80">
        <f>IF(X1586="Sin Pago","",IFERROR(INDEX(Pagos_Odoo!$A:$A, MATCH(X1586, Pagos_Odoo!$B:$B, 0)), ""))</f>
        <v/>
      </c>
      <c r="AA1586" s="79">
        <f>IF(X1586="Sin Pago","",IFERROR(INDEX(Pagos_Odoo!$F:$F, MATCH(X1586, Pagos_Odoo!$B:$B, 0)), ""))</f>
        <v/>
      </c>
      <c r="AB1586" s="81">
        <f>IF(X1586="Sin Pago",0,IFERROR(INDEX(Pagos_Odoo!$E:$E, MATCH(X1586, Pagos_Odoo!$B:$B, 0)), 0))</f>
        <v/>
      </c>
      <c r="AC1586" s="79">
        <f>IF(X1586="Sin Pago","",IFERROR(INDEX(Pagos_Odoo!$G:$G, MATCH(X1586, Pagos_Odoo!$B:$B, 0)), ""))</f>
        <v/>
      </c>
      <c r="AD1586" s="82" t="n">
        <v>0</v>
      </c>
      <c r="AE1586" s="82" t="n"/>
      <c r="AF1586" s="82" t="n"/>
      <c r="AG1586" s="82">
        <f>IF(AN1586="","",AD1586+AE1586+AF1586)</f>
        <v/>
      </c>
      <c r="AH1586" s="81">
        <f>IF(AN1586="","",P1586*(1-AG1586))</f>
        <v/>
      </c>
      <c r="AI1586" s="81">
        <f>IF(AN1586="","",IF(Q1586="Sin Factura",0,IFERROR(INDEX(Facturas_Odoo!$H:$H, MATCH(Q1586, Facturas_Odoo!$B:$B, 0)), 0)*(1-AG1586)))</f>
        <v/>
      </c>
      <c r="AJ1586" s="81">
        <f>IF(AN1586="","",_xlfn.LET(idVenta, AN1586&amp;"",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86" s="81">
        <f>IF(AN1586="","",AH1586-AJ1586)</f>
        <v/>
      </c>
      <c r="AL1586" s="81">
        <f>IF(AN1586="","",IF(Q1586="Sin Factura","",AI1586-AJ1586))</f>
        <v/>
      </c>
      <c r="AM1586" s="81">
        <f>IF(AN1586="","",IF(Q1586="Sin Factura",0,P1586-IFERROR(INDEX(Facturas_Odoo!$H:$H, MATCH(Q1586, Facturas_Odoo!$B:$B, 0)), 0)))</f>
        <v/>
      </c>
      <c r="AN1586" s="79">
        <f>IF(AND(A1586="", J1586=""), "", IF(A1586&lt;&gt;"", VALUE(MID(A1586,2,LEN(A1586))), AN1585))</f>
        <v/>
      </c>
      <c r="AO1586" s="79">
        <f>IF(AN1586="","",IF(AD1586=0,"OK",_xlfn.LET(monedaPago, IF(AA1586="","USD",AA1586), limitePermitido, IFERROR(VLOOKUP(monedaPago, Configuración!$A$2:$B$3, 2, FALSE), 0.15), IF(AD1586&gt;limitePermitido, "ALERTA: EXCESO (" &amp; TEXT(limitePermitido, "0%") &amp; " máx)", "OK"))))</f>
        <v/>
      </c>
      <c r="AP1586" s="79">
        <f>IF(AN1586="","",IF(AE1586=0,"OK",_xlfn.LET(fechaPago, Z1586, fechaFactura, R1586, diasCredito, IF(E1586="Pago inmediato", 0, IFERROR(VALUE(MID(E1586, 1, SEARCH(" ", E1586)-1)),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86" s="79">
        <f>IF(AN1586="","",IF(AND(N1586&gt;0, AG1586&gt;0), IF(Configuración!$K$2="NO", "ALERTA: DESCUENTO DOBLE NO PERMITIDO", "OK"), "OK"))</f>
        <v/>
      </c>
      <c r="AR1586" s="79">
        <f>IF(AN1586="","",IF(OR(AO1586&lt;&gt;"OK", AP1586&lt;&gt;"OK", AQ1586&lt;&gt;"OK"), "⚠️ REVISAR", "OK"))</f>
        <v/>
      </c>
    </row>
    <row r="1587">
      <c r="A1587" s="79">
        <f>IF('Ordenes_Odoo'!A1587="","",'Ordenes_Odoo'!A1587)</f>
        <v/>
      </c>
      <c r="B1587" s="80">
        <f>IF('Ordenes_Odoo'!B1587="","",'Ordenes_Odoo'!B1587)</f>
        <v/>
      </c>
      <c r="C1587" s="79">
        <f>IF('Ordenes_Odoo'!C1587="","",'Ordenes_Odoo'!C1587)</f>
        <v/>
      </c>
      <c r="D1587" s="79">
        <f>IF('Ordenes_Odoo'!D1587="","",'Ordenes_Odoo'!D1587)</f>
        <v/>
      </c>
      <c r="E1587" s="79">
        <f>IF('Ordenes_Odoo'!E1587="","",'Ordenes_Odoo'!E1587)</f>
        <v/>
      </c>
      <c r="F1587" s="79">
        <f>IF('Ordenes_Odoo'!F1587="","",'Ordenes_Odoo'!F1587)</f>
        <v/>
      </c>
      <c r="G1587" s="79">
        <f>IF('Ordenes_Odoo'!G1587="","",'Ordenes_Odoo'!G1587)</f>
        <v/>
      </c>
      <c r="H1587" s="79">
        <f>IF('Ordenes_Odoo'!H1587="","",'Ordenes_Odoo'!H1587)</f>
        <v/>
      </c>
      <c r="I1587" s="79">
        <f>IF('Ordenes_Odoo'!I1587="","",'Ordenes_Odoo'!I1587)</f>
        <v/>
      </c>
      <c r="J1587" s="79">
        <f>IF('Ordenes_Odoo'!J1587="","",'Ordenes_Odoo'!J1587)</f>
        <v/>
      </c>
      <c r="K1587" s="81">
        <f>IF('Ordenes_Odoo'!K1587="","",'Ordenes_Odoo'!K1587)</f>
        <v/>
      </c>
      <c r="L1587" s="81">
        <f>IF('Ordenes_Odoo'!L1587="","",'Ordenes_Odoo'!L1587)</f>
        <v/>
      </c>
      <c r="M1587" s="79">
        <f>IF('Ordenes_Odoo'!M1587="","",'Ordenes_Odoo'!M1587)</f>
        <v/>
      </c>
      <c r="N1587" s="79">
        <f>IF('Ordenes_Odoo'!N1587="","",'Ordenes_Odoo'!N1587)</f>
        <v/>
      </c>
      <c r="O1587" s="81">
        <f>IF('Ordenes_Odoo'!O1587="","",'Ordenes_Odoo'!O1587)</f>
        <v/>
      </c>
      <c r="P1587" s="81">
        <f>IF('Ordenes_Odoo'!P1587="","",'Ordenes_Odoo'!P1587)</f>
        <v/>
      </c>
      <c r="Q1587" s="79">
        <f>IF(A1587="","",IFERROR(INDEX(Facturas_Odoo!$B:$B, MATCH(A1587, Facturas_Odoo!$D:$D, 0)), "Sin Factura"))</f>
        <v/>
      </c>
      <c r="R1587" s="80">
        <f>IF(Q1587="Sin Factura","",IFERROR(INDEX(Facturas_Odoo!$A:$A, MATCH(Q1587, Facturas_Odoo!$B:$B, 0)), ""))</f>
        <v/>
      </c>
      <c r="S1587" s="79">
        <f>IF(Q1587="Sin Factura","",IFERROR(_xlfn.XLOOKUP(1, (Facturas_Odoo!$D:$D=A1587) * (Facturas_Odoo!$K:$K=I1587), Facturas_Odoo!$L:$L, ""), ""))</f>
        <v/>
      </c>
      <c r="T1587" s="81">
        <f>IF(Q1587="Sin Factura",0,IFERROR(_xlfn.XLOOKUP(1, (Facturas_Odoo!$D:$D=A1587) * (Facturas_Odoo!$K:$K=I1587), Facturas_Odoo!$M:$M, 0), 0))</f>
        <v/>
      </c>
      <c r="U1587" s="79">
        <f>IF(Q1587="Sin Factura",0,IFERROR(_xlfn.XLOOKUP(1, (Facturas_Odoo!$D:$D=A1587) * (Facturas_Odoo!$K:$K=I1587), Facturas_Odoo!$N:$N, 0), 0))</f>
        <v/>
      </c>
      <c r="V1587" s="79">
        <f>IF(Q1587="Sin Factura",0,IFERROR(_xlfn.XLOOKUP(1, (Facturas_Odoo!$D:$D=A1587) * (Facturas_Odoo!$K:$K=I1587), Facturas_Odoo!$O:$O, 0), 0))</f>
        <v/>
      </c>
      <c r="W1587" s="81">
        <f>IF(Q1587="Sin Factura",0,IFERROR(_xlfn.XLOOKUP(1, (Facturas_Odoo!$D:$D=A1587) * (Facturas_Odoo!$K:$K=I1587), Facturas_Odoo!$Q:$Q, 0), 0))</f>
        <v/>
      </c>
      <c r="X1587" s="79">
        <f>IF(OR(Q1587="Sin Factura",Q1587=""),"",IFERROR(INDEX(Pagos_Odoo!$B:$B, MATCH(Q1587, Pagos_Odoo!$I:$I, 0)), "Sin Pago"))</f>
        <v/>
      </c>
      <c r="Y1587" s="79">
        <f>IF(X1587="Sin Pago","",IFERROR(INDEX(Pagos_Odoo!$C:$C, MATCH(X1587, Pagos_Odoo!$B:$B, 0)), ""))</f>
        <v/>
      </c>
      <c r="Z1587" s="80">
        <f>IF(X1587="Sin Pago","",IFERROR(INDEX(Pagos_Odoo!$A:$A, MATCH(X1587, Pagos_Odoo!$B:$B, 0)), ""))</f>
        <v/>
      </c>
      <c r="AA1587" s="79">
        <f>IF(X1587="Sin Pago","",IFERROR(INDEX(Pagos_Odoo!$F:$F, MATCH(X1587, Pagos_Odoo!$B:$B, 0)), ""))</f>
        <v/>
      </c>
      <c r="AB1587" s="81">
        <f>IF(X1587="Sin Pago",0,IFERROR(INDEX(Pagos_Odoo!$E:$E, MATCH(X1587, Pagos_Odoo!$B:$B, 0)), 0))</f>
        <v/>
      </c>
      <c r="AC1587" s="79">
        <f>IF(X1587="Sin Pago","",IFERROR(INDEX(Pagos_Odoo!$G:$G, MATCH(X1587, Pagos_Odoo!$B:$B, 0)), ""))</f>
        <v/>
      </c>
      <c r="AD1587" s="82" t="n">
        <v>0</v>
      </c>
      <c r="AE1587" s="82" t="n"/>
      <c r="AF1587" s="82" t="n"/>
      <c r="AG1587" s="82">
        <f>IF(AN1587="","",AD1587+AE1587+AF1587)</f>
        <v/>
      </c>
      <c r="AH1587" s="81">
        <f>IF(AN1587="","",P1587*(1-AG1587))</f>
        <v/>
      </c>
      <c r="AI1587" s="81">
        <f>IF(AN1587="","",IF(Q1587="Sin Factura",0,IFERROR(INDEX(Facturas_Odoo!$H:$H, MATCH(Q1587, Facturas_Odoo!$B:$B, 0)), 0)*(1-AG1587)))</f>
        <v/>
      </c>
      <c r="AJ1587" s="81">
        <f>IF(AN1587="","",_xlfn.LET(idVenta, AN1587&amp;"",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87" s="81">
        <f>IF(AN1587="","",AH1587-AJ1587)</f>
        <v/>
      </c>
      <c r="AL1587" s="81">
        <f>IF(AN1587="","",IF(Q1587="Sin Factura","",AI1587-AJ1587))</f>
        <v/>
      </c>
      <c r="AM1587" s="81">
        <f>IF(AN1587="","",IF(Q1587="Sin Factura",0,P1587-IFERROR(INDEX(Facturas_Odoo!$H:$H, MATCH(Q1587, Facturas_Odoo!$B:$B, 0)), 0)))</f>
        <v/>
      </c>
      <c r="AN1587" s="79">
        <f>IF(AND(A1587="", J1587=""), "", IF(A1587&lt;&gt;"", VALUE(MID(A1587,2,LEN(A1587))), AN1586))</f>
        <v/>
      </c>
      <c r="AO1587" s="79">
        <f>IF(AN1587="","",IF(AD1587=0,"OK",_xlfn.LET(monedaPago, IF(AA1587="","USD",AA1587), limitePermitido, IFERROR(VLOOKUP(monedaPago, Configuración!$A$2:$B$3, 2, FALSE), 0.15), IF(AD1587&gt;limitePermitido, "ALERTA: EXCESO (" &amp; TEXT(limitePermitido, "0%") &amp; " máx)", "OK"))))</f>
        <v/>
      </c>
      <c r="AP1587" s="79">
        <f>IF(AN1587="","",IF(AE1587=0,"OK",_xlfn.LET(fechaPago, Z1587, fechaFactura, R1587, diasCredito, IF(E1587="Pago inmediato", 0, IFERROR(VALUE(MID(E1587, 1, SEARCH(" ", E1587)-1)),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87" s="79">
        <f>IF(AN1587="","",IF(AND(N1587&gt;0, AG1587&gt;0), IF(Configuración!$K$2="NO", "ALERTA: DESCUENTO DOBLE NO PERMITIDO", "OK"), "OK"))</f>
        <v/>
      </c>
      <c r="AR1587" s="79">
        <f>IF(AN1587="","",IF(OR(AO1587&lt;&gt;"OK", AP1587&lt;&gt;"OK", AQ1587&lt;&gt;"OK"), "⚠️ REVISAR", "OK"))</f>
        <v/>
      </c>
    </row>
    <row r="1588">
      <c r="A1588" s="79">
        <f>IF('Ordenes_Odoo'!A1588="","",'Ordenes_Odoo'!A1588)</f>
        <v/>
      </c>
      <c r="B1588" s="80">
        <f>IF('Ordenes_Odoo'!B1588="","",'Ordenes_Odoo'!B1588)</f>
        <v/>
      </c>
      <c r="C1588" s="79">
        <f>IF('Ordenes_Odoo'!C1588="","",'Ordenes_Odoo'!C1588)</f>
        <v/>
      </c>
      <c r="D1588" s="79">
        <f>IF('Ordenes_Odoo'!D1588="","",'Ordenes_Odoo'!D1588)</f>
        <v/>
      </c>
      <c r="E1588" s="79">
        <f>IF('Ordenes_Odoo'!E1588="","",'Ordenes_Odoo'!E1588)</f>
        <v/>
      </c>
      <c r="F1588" s="79">
        <f>IF('Ordenes_Odoo'!F1588="","",'Ordenes_Odoo'!F1588)</f>
        <v/>
      </c>
      <c r="G1588" s="79">
        <f>IF('Ordenes_Odoo'!G1588="","",'Ordenes_Odoo'!G1588)</f>
        <v/>
      </c>
      <c r="H1588" s="79">
        <f>IF('Ordenes_Odoo'!H1588="","",'Ordenes_Odoo'!H1588)</f>
        <v/>
      </c>
      <c r="I1588" s="79">
        <f>IF('Ordenes_Odoo'!I1588="","",'Ordenes_Odoo'!I1588)</f>
        <v/>
      </c>
      <c r="J1588" s="79">
        <f>IF('Ordenes_Odoo'!J1588="","",'Ordenes_Odoo'!J1588)</f>
        <v/>
      </c>
      <c r="K1588" s="81">
        <f>IF('Ordenes_Odoo'!K1588="","",'Ordenes_Odoo'!K1588)</f>
        <v/>
      </c>
      <c r="L1588" s="81">
        <f>IF('Ordenes_Odoo'!L1588="","",'Ordenes_Odoo'!L1588)</f>
        <v/>
      </c>
      <c r="M1588" s="79">
        <f>IF('Ordenes_Odoo'!M1588="","",'Ordenes_Odoo'!M1588)</f>
        <v/>
      </c>
      <c r="N1588" s="79">
        <f>IF('Ordenes_Odoo'!N1588="","",'Ordenes_Odoo'!N1588)</f>
        <v/>
      </c>
      <c r="O1588" s="81">
        <f>IF('Ordenes_Odoo'!O1588="","",'Ordenes_Odoo'!O1588)</f>
        <v/>
      </c>
      <c r="P1588" s="81">
        <f>IF('Ordenes_Odoo'!P1588="","",'Ordenes_Odoo'!P1588)</f>
        <v/>
      </c>
      <c r="Q1588" s="79">
        <f>IF(A1588="","",IFERROR(INDEX(Facturas_Odoo!$B:$B, MATCH(A1588, Facturas_Odoo!$D:$D, 0)), "Sin Factura"))</f>
        <v/>
      </c>
      <c r="R1588" s="80">
        <f>IF(Q1588="Sin Factura","",IFERROR(INDEX(Facturas_Odoo!$A:$A, MATCH(Q1588, Facturas_Odoo!$B:$B, 0)), ""))</f>
        <v/>
      </c>
      <c r="S1588" s="79">
        <f>IF(Q1588="Sin Factura","",IFERROR(_xlfn.XLOOKUP(1, (Facturas_Odoo!$D:$D=A1588) * (Facturas_Odoo!$K:$K=I1588), Facturas_Odoo!$L:$L, ""), ""))</f>
        <v/>
      </c>
      <c r="T1588" s="81">
        <f>IF(Q1588="Sin Factura",0,IFERROR(_xlfn.XLOOKUP(1, (Facturas_Odoo!$D:$D=A1588) * (Facturas_Odoo!$K:$K=I1588), Facturas_Odoo!$M:$M, 0), 0))</f>
        <v/>
      </c>
      <c r="U1588" s="79">
        <f>IF(Q1588="Sin Factura",0,IFERROR(_xlfn.XLOOKUP(1, (Facturas_Odoo!$D:$D=A1588) * (Facturas_Odoo!$K:$K=I1588), Facturas_Odoo!$N:$N, 0), 0))</f>
        <v/>
      </c>
      <c r="V1588" s="79">
        <f>IF(Q1588="Sin Factura",0,IFERROR(_xlfn.XLOOKUP(1, (Facturas_Odoo!$D:$D=A1588) * (Facturas_Odoo!$K:$K=I1588), Facturas_Odoo!$O:$O, 0), 0))</f>
        <v/>
      </c>
      <c r="W1588" s="81">
        <f>IF(Q1588="Sin Factura",0,IFERROR(_xlfn.XLOOKUP(1, (Facturas_Odoo!$D:$D=A1588) * (Facturas_Odoo!$K:$K=I1588), Facturas_Odoo!$Q:$Q, 0), 0))</f>
        <v/>
      </c>
      <c r="X1588" s="79">
        <f>IF(OR(Q1588="Sin Factura",Q1588=""),"",IFERROR(INDEX(Pagos_Odoo!$B:$B, MATCH(Q1588, Pagos_Odoo!$I:$I, 0)), "Sin Pago"))</f>
        <v/>
      </c>
      <c r="Y1588" s="79">
        <f>IF(X1588="Sin Pago","",IFERROR(INDEX(Pagos_Odoo!$C:$C, MATCH(X1588, Pagos_Odoo!$B:$B, 0)), ""))</f>
        <v/>
      </c>
      <c r="Z1588" s="80">
        <f>IF(X1588="Sin Pago","",IFERROR(INDEX(Pagos_Odoo!$A:$A, MATCH(X1588, Pagos_Odoo!$B:$B, 0)), ""))</f>
        <v/>
      </c>
      <c r="AA1588" s="79">
        <f>IF(X1588="Sin Pago","",IFERROR(INDEX(Pagos_Odoo!$F:$F, MATCH(X1588, Pagos_Odoo!$B:$B, 0)), ""))</f>
        <v/>
      </c>
      <c r="AB1588" s="81">
        <f>IF(X1588="Sin Pago",0,IFERROR(INDEX(Pagos_Odoo!$E:$E, MATCH(X1588, Pagos_Odoo!$B:$B, 0)), 0))</f>
        <v/>
      </c>
      <c r="AC1588" s="79">
        <f>IF(X1588="Sin Pago","",IFERROR(INDEX(Pagos_Odoo!$G:$G, MATCH(X1588, Pagos_Odoo!$B:$B, 0)), ""))</f>
        <v/>
      </c>
      <c r="AD1588" s="82" t="n">
        <v>0</v>
      </c>
      <c r="AE1588" s="82" t="n"/>
      <c r="AF1588" s="82" t="n"/>
      <c r="AG1588" s="82">
        <f>IF(AN1588="","",AD1588+AE1588+AF1588)</f>
        <v/>
      </c>
      <c r="AH1588" s="81">
        <f>IF(AN1588="","",P1588*(1-AG1588))</f>
        <v/>
      </c>
      <c r="AI1588" s="81">
        <f>IF(AN1588="","",IF(Q1588="Sin Factura",0,IFERROR(INDEX(Facturas_Odoo!$H:$H, MATCH(Q1588, Facturas_Odoo!$B:$B, 0)), 0)*(1-AG1588)))</f>
        <v/>
      </c>
      <c r="AJ1588" s="81">
        <f>IF(AN1588="","",_xlfn.LET(idVenta, AN1588&amp;"",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88" s="81">
        <f>IF(AN1588="","",AH1588-AJ1588)</f>
        <v/>
      </c>
      <c r="AL1588" s="81">
        <f>IF(AN1588="","",IF(Q1588="Sin Factura","",AI1588-AJ1588))</f>
        <v/>
      </c>
      <c r="AM1588" s="81">
        <f>IF(AN1588="","",IF(Q1588="Sin Factura",0,P1588-IFERROR(INDEX(Facturas_Odoo!$H:$H, MATCH(Q1588, Facturas_Odoo!$B:$B, 0)), 0)))</f>
        <v/>
      </c>
      <c r="AN1588" s="79">
        <f>IF(AND(A1588="", J1588=""), "", IF(A1588&lt;&gt;"", VALUE(MID(A1588,2,LEN(A1588))), AN1587))</f>
        <v/>
      </c>
      <c r="AO1588" s="79">
        <f>IF(AN1588="","",IF(AD1588=0,"OK",_xlfn.LET(monedaPago, IF(AA1588="","USD",AA1588), limitePermitido, IFERROR(VLOOKUP(monedaPago, Configuración!$A$2:$B$3, 2, FALSE), 0.15), IF(AD1588&gt;limitePermitido, "ALERTA: EXCESO (" &amp; TEXT(limitePermitido, "0%") &amp; " máx)", "OK"))))</f>
        <v/>
      </c>
      <c r="AP1588" s="79">
        <f>IF(AN1588="","",IF(AE1588=0,"OK",_xlfn.LET(fechaPago, Z1588, fechaFactura, R1588, diasCredito, IF(E1588="Pago inmediato", 0, IFERROR(VALUE(MID(E1588, 1, SEARCH(" ", E1588)-1)),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88" s="79">
        <f>IF(AN1588="","",IF(AND(N1588&gt;0, AG1588&gt;0), IF(Configuración!$K$2="NO", "ALERTA: DESCUENTO DOBLE NO PERMITIDO", "OK"), "OK"))</f>
        <v/>
      </c>
      <c r="AR1588" s="79">
        <f>IF(AN1588="","",IF(OR(AO1588&lt;&gt;"OK", AP1588&lt;&gt;"OK", AQ1588&lt;&gt;"OK"), "⚠️ REVISAR", "OK"))</f>
        <v/>
      </c>
    </row>
    <row r="1589">
      <c r="A1589" s="79">
        <f>IF('Ordenes_Odoo'!A1589="","",'Ordenes_Odoo'!A1589)</f>
        <v/>
      </c>
      <c r="B1589" s="80">
        <f>IF('Ordenes_Odoo'!B1589="","",'Ordenes_Odoo'!B1589)</f>
        <v/>
      </c>
      <c r="C1589" s="79">
        <f>IF('Ordenes_Odoo'!C1589="","",'Ordenes_Odoo'!C1589)</f>
        <v/>
      </c>
      <c r="D1589" s="79">
        <f>IF('Ordenes_Odoo'!D1589="","",'Ordenes_Odoo'!D1589)</f>
        <v/>
      </c>
      <c r="E1589" s="79">
        <f>IF('Ordenes_Odoo'!E1589="","",'Ordenes_Odoo'!E1589)</f>
        <v/>
      </c>
      <c r="F1589" s="79">
        <f>IF('Ordenes_Odoo'!F1589="","",'Ordenes_Odoo'!F1589)</f>
        <v/>
      </c>
      <c r="G1589" s="79">
        <f>IF('Ordenes_Odoo'!G1589="","",'Ordenes_Odoo'!G1589)</f>
        <v/>
      </c>
      <c r="H1589" s="79">
        <f>IF('Ordenes_Odoo'!H1589="","",'Ordenes_Odoo'!H1589)</f>
        <v/>
      </c>
      <c r="I1589" s="79">
        <f>IF('Ordenes_Odoo'!I1589="","",'Ordenes_Odoo'!I1589)</f>
        <v/>
      </c>
      <c r="J1589" s="79">
        <f>IF('Ordenes_Odoo'!J1589="","",'Ordenes_Odoo'!J1589)</f>
        <v/>
      </c>
      <c r="K1589" s="81">
        <f>IF('Ordenes_Odoo'!K1589="","",'Ordenes_Odoo'!K1589)</f>
        <v/>
      </c>
      <c r="L1589" s="81">
        <f>IF('Ordenes_Odoo'!L1589="","",'Ordenes_Odoo'!L1589)</f>
        <v/>
      </c>
      <c r="M1589" s="79">
        <f>IF('Ordenes_Odoo'!M1589="","",'Ordenes_Odoo'!M1589)</f>
        <v/>
      </c>
      <c r="N1589" s="79">
        <f>IF('Ordenes_Odoo'!N1589="","",'Ordenes_Odoo'!N1589)</f>
        <v/>
      </c>
      <c r="O1589" s="81">
        <f>IF('Ordenes_Odoo'!O1589="","",'Ordenes_Odoo'!O1589)</f>
        <v/>
      </c>
      <c r="P1589" s="81">
        <f>IF('Ordenes_Odoo'!P1589="","",'Ordenes_Odoo'!P1589)</f>
        <v/>
      </c>
      <c r="Q1589" s="79">
        <f>IF(A1589="","",IFERROR(INDEX(Facturas_Odoo!$B:$B, MATCH(A1589, Facturas_Odoo!$D:$D, 0)), "Sin Factura"))</f>
        <v/>
      </c>
      <c r="R1589" s="80">
        <f>IF(Q1589="Sin Factura","",IFERROR(INDEX(Facturas_Odoo!$A:$A, MATCH(Q1589, Facturas_Odoo!$B:$B, 0)), ""))</f>
        <v/>
      </c>
      <c r="S1589" s="79">
        <f>IF(Q1589="Sin Factura","",IFERROR(_xlfn.XLOOKUP(1, (Facturas_Odoo!$D:$D=A1589) * (Facturas_Odoo!$K:$K=I1589), Facturas_Odoo!$L:$L, ""), ""))</f>
        <v/>
      </c>
      <c r="T1589" s="81">
        <f>IF(Q1589="Sin Factura",0,IFERROR(_xlfn.XLOOKUP(1, (Facturas_Odoo!$D:$D=A1589) * (Facturas_Odoo!$K:$K=I1589), Facturas_Odoo!$M:$M, 0), 0))</f>
        <v/>
      </c>
      <c r="U1589" s="79">
        <f>IF(Q1589="Sin Factura",0,IFERROR(_xlfn.XLOOKUP(1, (Facturas_Odoo!$D:$D=A1589) * (Facturas_Odoo!$K:$K=I1589), Facturas_Odoo!$N:$N, 0), 0))</f>
        <v/>
      </c>
      <c r="V1589" s="79">
        <f>IF(Q1589="Sin Factura",0,IFERROR(_xlfn.XLOOKUP(1, (Facturas_Odoo!$D:$D=A1589) * (Facturas_Odoo!$K:$K=I1589), Facturas_Odoo!$O:$O, 0), 0))</f>
        <v/>
      </c>
      <c r="W1589" s="81">
        <f>IF(Q1589="Sin Factura",0,IFERROR(_xlfn.XLOOKUP(1, (Facturas_Odoo!$D:$D=A1589) * (Facturas_Odoo!$K:$K=I1589), Facturas_Odoo!$Q:$Q, 0), 0))</f>
        <v/>
      </c>
      <c r="X1589" s="79">
        <f>IF(OR(Q1589="Sin Factura",Q1589=""),"",IFERROR(INDEX(Pagos_Odoo!$B:$B, MATCH(Q1589, Pagos_Odoo!$I:$I, 0)), "Sin Pago"))</f>
        <v/>
      </c>
      <c r="Y1589" s="79">
        <f>IF(X1589="Sin Pago","",IFERROR(INDEX(Pagos_Odoo!$C:$C, MATCH(X1589, Pagos_Odoo!$B:$B, 0)), ""))</f>
        <v/>
      </c>
      <c r="Z1589" s="80">
        <f>IF(X1589="Sin Pago","",IFERROR(INDEX(Pagos_Odoo!$A:$A, MATCH(X1589, Pagos_Odoo!$B:$B, 0)), ""))</f>
        <v/>
      </c>
      <c r="AA1589" s="79">
        <f>IF(X1589="Sin Pago","",IFERROR(INDEX(Pagos_Odoo!$F:$F, MATCH(X1589, Pagos_Odoo!$B:$B, 0)), ""))</f>
        <v/>
      </c>
      <c r="AB1589" s="81">
        <f>IF(X1589="Sin Pago",0,IFERROR(INDEX(Pagos_Odoo!$E:$E, MATCH(X1589, Pagos_Odoo!$B:$B, 0)), 0))</f>
        <v/>
      </c>
      <c r="AC1589" s="79">
        <f>IF(X1589="Sin Pago","",IFERROR(INDEX(Pagos_Odoo!$G:$G, MATCH(X1589, Pagos_Odoo!$B:$B, 0)), ""))</f>
        <v/>
      </c>
      <c r="AD1589" s="82" t="n">
        <v>0</v>
      </c>
      <c r="AE1589" s="82" t="n"/>
      <c r="AF1589" s="82" t="n"/>
      <c r="AG1589" s="82">
        <f>IF(AN1589="","",AD1589+AE1589+AF1589)</f>
        <v/>
      </c>
      <c r="AH1589" s="81">
        <f>IF(AN1589="","",P1589*(1-AG1589))</f>
        <v/>
      </c>
      <c r="AI1589" s="81">
        <f>IF(AN1589="","",IF(Q1589="Sin Factura",0,IFERROR(INDEX(Facturas_Odoo!$H:$H, MATCH(Q1589, Facturas_Odoo!$B:$B, 0)), 0)*(1-AG1589)))</f>
        <v/>
      </c>
      <c r="AJ1589" s="81">
        <f>IF(AN1589="","",_xlfn.LET(idVenta, AN1589&amp;"",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89" s="81">
        <f>IF(AN1589="","",AH1589-AJ1589)</f>
        <v/>
      </c>
      <c r="AL1589" s="81">
        <f>IF(AN1589="","",IF(Q1589="Sin Factura","",AI1589-AJ1589))</f>
        <v/>
      </c>
      <c r="AM1589" s="81">
        <f>IF(AN1589="","",IF(Q1589="Sin Factura",0,P1589-IFERROR(INDEX(Facturas_Odoo!$H:$H, MATCH(Q1589, Facturas_Odoo!$B:$B, 0)), 0)))</f>
        <v/>
      </c>
      <c r="AN1589" s="79">
        <f>IF(AND(A1589="", J1589=""), "", IF(A1589&lt;&gt;"", VALUE(MID(A1589,2,LEN(A1589))), AN1588))</f>
        <v/>
      </c>
      <c r="AO1589" s="79">
        <f>IF(AN1589="","",IF(AD1589=0,"OK",_xlfn.LET(monedaPago, IF(AA1589="","USD",AA1589), limitePermitido, IFERROR(VLOOKUP(monedaPago, Configuración!$A$2:$B$3, 2, FALSE), 0.15), IF(AD1589&gt;limitePermitido, "ALERTA: EXCESO (" &amp; TEXT(limitePermitido, "0%") &amp; " máx)", "OK"))))</f>
        <v/>
      </c>
      <c r="AP1589" s="79">
        <f>IF(AN1589="","",IF(AE1589=0,"OK",_xlfn.LET(fechaPago, Z1589, fechaFactura, R1589, diasCredito, IF(E1589="Pago inmediato", 0, IFERROR(VALUE(MID(E1589, 1, SEARCH(" ", E1589)-1)),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89" s="79">
        <f>IF(AN1589="","",IF(AND(N1589&gt;0, AG1589&gt;0), IF(Configuración!$K$2="NO", "ALERTA: DESCUENTO DOBLE NO PERMITIDO", "OK"), "OK"))</f>
        <v/>
      </c>
      <c r="AR1589" s="79">
        <f>IF(AN1589="","",IF(OR(AO1589&lt;&gt;"OK", AP1589&lt;&gt;"OK", AQ1589&lt;&gt;"OK"), "⚠️ REVISAR", "OK"))</f>
        <v/>
      </c>
    </row>
    <row r="1590">
      <c r="A1590" s="79">
        <f>IF('Ordenes_Odoo'!A1590="","",'Ordenes_Odoo'!A1590)</f>
        <v/>
      </c>
      <c r="B1590" s="80">
        <f>IF('Ordenes_Odoo'!B1590="","",'Ordenes_Odoo'!B1590)</f>
        <v/>
      </c>
      <c r="C1590" s="79">
        <f>IF('Ordenes_Odoo'!C1590="","",'Ordenes_Odoo'!C1590)</f>
        <v/>
      </c>
      <c r="D1590" s="79">
        <f>IF('Ordenes_Odoo'!D1590="","",'Ordenes_Odoo'!D1590)</f>
        <v/>
      </c>
      <c r="E1590" s="79">
        <f>IF('Ordenes_Odoo'!E1590="","",'Ordenes_Odoo'!E1590)</f>
        <v/>
      </c>
      <c r="F1590" s="79">
        <f>IF('Ordenes_Odoo'!F1590="","",'Ordenes_Odoo'!F1590)</f>
        <v/>
      </c>
      <c r="G1590" s="79">
        <f>IF('Ordenes_Odoo'!G1590="","",'Ordenes_Odoo'!G1590)</f>
        <v/>
      </c>
      <c r="H1590" s="79">
        <f>IF('Ordenes_Odoo'!H1590="","",'Ordenes_Odoo'!H1590)</f>
        <v/>
      </c>
      <c r="I1590" s="79">
        <f>IF('Ordenes_Odoo'!I1590="","",'Ordenes_Odoo'!I1590)</f>
        <v/>
      </c>
      <c r="J1590" s="79">
        <f>IF('Ordenes_Odoo'!J1590="","",'Ordenes_Odoo'!J1590)</f>
        <v/>
      </c>
      <c r="K1590" s="81">
        <f>IF('Ordenes_Odoo'!K1590="","",'Ordenes_Odoo'!K1590)</f>
        <v/>
      </c>
      <c r="L1590" s="81">
        <f>IF('Ordenes_Odoo'!L1590="","",'Ordenes_Odoo'!L1590)</f>
        <v/>
      </c>
      <c r="M1590" s="79">
        <f>IF('Ordenes_Odoo'!M1590="","",'Ordenes_Odoo'!M1590)</f>
        <v/>
      </c>
      <c r="N1590" s="79">
        <f>IF('Ordenes_Odoo'!N1590="","",'Ordenes_Odoo'!N1590)</f>
        <v/>
      </c>
      <c r="O1590" s="81">
        <f>IF('Ordenes_Odoo'!O1590="","",'Ordenes_Odoo'!O1590)</f>
        <v/>
      </c>
      <c r="P1590" s="81">
        <f>IF('Ordenes_Odoo'!P1590="","",'Ordenes_Odoo'!P1590)</f>
        <v/>
      </c>
      <c r="Q1590" s="79">
        <f>IF(A1590="","",IFERROR(INDEX(Facturas_Odoo!$B:$B, MATCH(A1590, Facturas_Odoo!$D:$D, 0)), "Sin Factura"))</f>
        <v/>
      </c>
      <c r="R1590" s="80">
        <f>IF(Q1590="Sin Factura","",IFERROR(INDEX(Facturas_Odoo!$A:$A, MATCH(Q1590, Facturas_Odoo!$B:$B, 0)), ""))</f>
        <v/>
      </c>
      <c r="S1590" s="79">
        <f>IF(Q1590="Sin Factura","",IFERROR(_xlfn.XLOOKUP(1, (Facturas_Odoo!$D:$D=A1590) * (Facturas_Odoo!$K:$K=I1590), Facturas_Odoo!$L:$L, ""), ""))</f>
        <v/>
      </c>
      <c r="T1590" s="81">
        <f>IF(Q1590="Sin Factura",0,IFERROR(_xlfn.XLOOKUP(1, (Facturas_Odoo!$D:$D=A1590) * (Facturas_Odoo!$K:$K=I1590), Facturas_Odoo!$M:$M, 0), 0))</f>
        <v/>
      </c>
      <c r="U1590" s="79">
        <f>IF(Q1590="Sin Factura",0,IFERROR(_xlfn.XLOOKUP(1, (Facturas_Odoo!$D:$D=A1590) * (Facturas_Odoo!$K:$K=I1590), Facturas_Odoo!$N:$N, 0), 0))</f>
        <v/>
      </c>
      <c r="V1590" s="79">
        <f>IF(Q1590="Sin Factura",0,IFERROR(_xlfn.XLOOKUP(1, (Facturas_Odoo!$D:$D=A1590) * (Facturas_Odoo!$K:$K=I1590), Facturas_Odoo!$O:$O, 0), 0))</f>
        <v/>
      </c>
      <c r="W1590" s="81">
        <f>IF(Q1590="Sin Factura",0,IFERROR(_xlfn.XLOOKUP(1, (Facturas_Odoo!$D:$D=A1590) * (Facturas_Odoo!$K:$K=I1590), Facturas_Odoo!$Q:$Q, 0), 0))</f>
        <v/>
      </c>
      <c r="X1590" s="79">
        <f>IF(OR(Q1590="Sin Factura",Q1590=""),"",IFERROR(INDEX(Pagos_Odoo!$B:$B, MATCH(Q1590, Pagos_Odoo!$I:$I, 0)), "Sin Pago"))</f>
        <v/>
      </c>
      <c r="Y1590" s="79">
        <f>IF(X1590="Sin Pago","",IFERROR(INDEX(Pagos_Odoo!$C:$C, MATCH(X1590, Pagos_Odoo!$B:$B, 0)), ""))</f>
        <v/>
      </c>
      <c r="Z1590" s="80">
        <f>IF(X1590="Sin Pago","",IFERROR(INDEX(Pagos_Odoo!$A:$A, MATCH(X1590, Pagos_Odoo!$B:$B, 0)), ""))</f>
        <v/>
      </c>
      <c r="AA1590" s="79">
        <f>IF(X1590="Sin Pago","",IFERROR(INDEX(Pagos_Odoo!$F:$F, MATCH(X1590, Pagos_Odoo!$B:$B, 0)), ""))</f>
        <v/>
      </c>
      <c r="AB1590" s="81">
        <f>IF(X1590="Sin Pago",0,IFERROR(INDEX(Pagos_Odoo!$E:$E, MATCH(X1590, Pagos_Odoo!$B:$B, 0)), 0))</f>
        <v/>
      </c>
      <c r="AC1590" s="79">
        <f>IF(X1590="Sin Pago","",IFERROR(INDEX(Pagos_Odoo!$G:$G, MATCH(X1590, Pagos_Odoo!$B:$B, 0)), ""))</f>
        <v/>
      </c>
      <c r="AD1590" s="82" t="n">
        <v>0</v>
      </c>
      <c r="AE1590" s="82" t="n"/>
      <c r="AF1590" s="82" t="n"/>
      <c r="AG1590" s="82">
        <f>IF(AN1590="","",AD1590+AE1590+AF1590)</f>
        <v/>
      </c>
      <c r="AH1590" s="81">
        <f>IF(AN1590="","",P1590*(1-AG1590))</f>
        <v/>
      </c>
      <c r="AI1590" s="81">
        <f>IF(AN1590="","",IF(Q1590="Sin Factura",0,IFERROR(INDEX(Facturas_Odoo!$H:$H, MATCH(Q1590, Facturas_Odoo!$B:$B, 0)), 0)*(1-AG1590)))</f>
        <v/>
      </c>
      <c r="AJ1590" s="81">
        <f>IF(AN1590="","",_xlfn.LET(idVenta, AN1590&amp;"",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90" s="81">
        <f>IF(AN1590="","",AH1590-AJ1590)</f>
        <v/>
      </c>
      <c r="AL1590" s="81">
        <f>IF(AN1590="","",IF(Q1590="Sin Factura","",AI1590-AJ1590))</f>
        <v/>
      </c>
      <c r="AM1590" s="81">
        <f>IF(AN1590="","",IF(Q1590="Sin Factura",0,P1590-IFERROR(INDEX(Facturas_Odoo!$H:$H, MATCH(Q1590, Facturas_Odoo!$B:$B, 0)), 0)))</f>
        <v/>
      </c>
      <c r="AN1590" s="79">
        <f>IF(AND(A1590="", J1590=""), "", IF(A1590&lt;&gt;"", VALUE(MID(A1590,2,LEN(A1590))), AN1589))</f>
        <v/>
      </c>
      <c r="AO1590" s="79">
        <f>IF(AN1590="","",IF(AD1590=0,"OK",_xlfn.LET(monedaPago, IF(AA1590="","USD",AA1590), limitePermitido, IFERROR(VLOOKUP(monedaPago, Configuración!$A$2:$B$3, 2, FALSE), 0.15), IF(AD1590&gt;limitePermitido, "ALERTA: EXCESO (" &amp; TEXT(limitePermitido, "0%") &amp; " máx)", "OK"))))</f>
        <v/>
      </c>
      <c r="AP1590" s="79">
        <f>IF(AN1590="","",IF(AE1590=0,"OK",_xlfn.LET(fechaPago, Z1590, fechaFactura, R1590, diasCredito, IF(E1590="Pago inmediato", 0, IFERROR(VALUE(MID(E1590, 1, SEARCH(" ", E1590)-1)),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90" s="79">
        <f>IF(AN1590="","",IF(AND(N1590&gt;0, AG1590&gt;0), IF(Configuración!$K$2="NO", "ALERTA: DESCUENTO DOBLE NO PERMITIDO", "OK"), "OK"))</f>
        <v/>
      </c>
      <c r="AR1590" s="79">
        <f>IF(AN1590="","",IF(OR(AO1590&lt;&gt;"OK", AP1590&lt;&gt;"OK", AQ1590&lt;&gt;"OK"), "⚠️ REVISAR", "OK"))</f>
        <v/>
      </c>
    </row>
    <row r="1591">
      <c r="A1591" s="79">
        <f>IF('Ordenes_Odoo'!A1591="","",'Ordenes_Odoo'!A1591)</f>
        <v/>
      </c>
      <c r="B1591" s="80">
        <f>IF('Ordenes_Odoo'!B1591="","",'Ordenes_Odoo'!B1591)</f>
        <v/>
      </c>
      <c r="C1591" s="79">
        <f>IF('Ordenes_Odoo'!C1591="","",'Ordenes_Odoo'!C1591)</f>
        <v/>
      </c>
      <c r="D1591" s="79">
        <f>IF('Ordenes_Odoo'!D1591="","",'Ordenes_Odoo'!D1591)</f>
        <v/>
      </c>
      <c r="E1591" s="79">
        <f>IF('Ordenes_Odoo'!E1591="","",'Ordenes_Odoo'!E1591)</f>
        <v/>
      </c>
      <c r="F1591" s="79">
        <f>IF('Ordenes_Odoo'!F1591="","",'Ordenes_Odoo'!F1591)</f>
        <v/>
      </c>
      <c r="G1591" s="79">
        <f>IF('Ordenes_Odoo'!G1591="","",'Ordenes_Odoo'!G1591)</f>
        <v/>
      </c>
      <c r="H1591" s="79">
        <f>IF('Ordenes_Odoo'!H1591="","",'Ordenes_Odoo'!H1591)</f>
        <v/>
      </c>
      <c r="I1591" s="79">
        <f>IF('Ordenes_Odoo'!I1591="","",'Ordenes_Odoo'!I1591)</f>
        <v/>
      </c>
      <c r="J1591" s="79">
        <f>IF('Ordenes_Odoo'!J1591="","",'Ordenes_Odoo'!J1591)</f>
        <v/>
      </c>
      <c r="K1591" s="81">
        <f>IF('Ordenes_Odoo'!K1591="","",'Ordenes_Odoo'!K1591)</f>
        <v/>
      </c>
      <c r="L1591" s="81">
        <f>IF('Ordenes_Odoo'!L1591="","",'Ordenes_Odoo'!L1591)</f>
        <v/>
      </c>
      <c r="M1591" s="79">
        <f>IF('Ordenes_Odoo'!M1591="","",'Ordenes_Odoo'!M1591)</f>
        <v/>
      </c>
      <c r="N1591" s="79">
        <f>IF('Ordenes_Odoo'!N1591="","",'Ordenes_Odoo'!N1591)</f>
        <v/>
      </c>
      <c r="O1591" s="81">
        <f>IF('Ordenes_Odoo'!O1591="","",'Ordenes_Odoo'!O1591)</f>
        <v/>
      </c>
      <c r="P1591" s="81">
        <f>IF('Ordenes_Odoo'!P1591="","",'Ordenes_Odoo'!P1591)</f>
        <v/>
      </c>
      <c r="Q1591" s="79">
        <f>IF(A1591="","",IFERROR(INDEX(Facturas_Odoo!$B:$B, MATCH(A1591, Facturas_Odoo!$D:$D, 0)), "Sin Factura"))</f>
        <v/>
      </c>
      <c r="R1591" s="80">
        <f>IF(Q1591="Sin Factura","",IFERROR(INDEX(Facturas_Odoo!$A:$A, MATCH(Q1591, Facturas_Odoo!$B:$B, 0)), ""))</f>
        <v/>
      </c>
      <c r="S1591" s="79">
        <f>IF(Q1591="Sin Factura","",IFERROR(_xlfn.XLOOKUP(1, (Facturas_Odoo!$D:$D=A1591) * (Facturas_Odoo!$K:$K=I1591), Facturas_Odoo!$L:$L, ""), ""))</f>
        <v/>
      </c>
      <c r="T1591" s="81">
        <f>IF(Q1591="Sin Factura",0,IFERROR(_xlfn.XLOOKUP(1, (Facturas_Odoo!$D:$D=A1591) * (Facturas_Odoo!$K:$K=I1591), Facturas_Odoo!$M:$M, 0), 0))</f>
        <v/>
      </c>
      <c r="U1591" s="79">
        <f>IF(Q1591="Sin Factura",0,IFERROR(_xlfn.XLOOKUP(1, (Facturas_Odoo!$D:$D=A1591) * (Facturas_Odoo!$K:$K=I1591), Facturas_Odoo!$N:$N, 0), 0))</f>
        <v/>
      </c>
      <c r="V1591" s="79">
        <f>IF(Q1591="Sin Factura",0,IFERROR(_xlfn.XLOOKUP(1, (Facturas_Odoo!$D:$D=A1591) * (Facturas_Odoo!$K:$K=I1591), Facturas_Odoo!$O:$O, 0), 0))</f>
        <v/>
      </c>
      <c r="W1591" s="81">
        <f>IF(Q1591="Sin Factura",0,IFERROR(_xlfn.XLOOKUP(1, (Facturas_Odoo!$D:$D=A1591) * (Facturas_Odoo!$K:$K=I1591), Facturas_Odoo!$Q:$Q, 0), 0))</f>
        <v/>
      </c>
      <c r="X1591" s="79">
        <f>IF(OR(Q1591="Sin Factura",Q1591=""),"",IFERROR(INDEX(Pagos_Odoo!$B:$B, MATCH(Q1591, Pagos_Odoo!$I:$I, 0)), "Sin Pago"))</f>
        <v/>
      </c>
      <c r="Y1591" s="79">
        <f>IF(X1591="Sin Pago","",IFERROR(INDEX(Pagos_Odoo!$C:$C, MATCH(X1591, Pagos_Odoo!$B:$B, 0)), ""))</f>
        <v/>
      </c>
      <c r="Z1591" s="80">
        <f>IF(X1591="Sin Pago","",IFERROR(INDEX(Pagos_Odoo!$A:$A, MATCH(X1591, Pagos_Odoo!$B:$B, 0)), ""))</f>
        <v/>
      </c>
      <c r="AA1591" s="79">
        <f>IF(X1591="Sin Pago","",IFERROR(INDEX(Pagos_Odoo!$F:$F, MATCH(X1591, Pagos_Odoo!$B:$B, 0)), ""))</f>
        <v/>
      </c>
      <c r="AB1591" s="81">
        <f>IF(X1591="Sin Pago",0,IFERROR(INDEX(Pagos_Odoo!$E:$E, MATCH(X1591, Pagos_Odoo!$B:$B, 0)), 0))</f>
        <v/>
      </c>
      <c r="AC1591" s="79">
        <f>IF(X1591="Sin Pago","",IFERROR(INDEX(Pagos_Odoo!$G:$G, MATCH(X1591, Pagos_Odoo!$B:$B, 0)), ""))</f>
        <v/>
      </c>
      <c r="AD1591" s="82" t="n">
        <v>0</v>
      </c>
      <c r="AE1591" s="82" t="n"/>
      <c r="AF1591" s="82" t="n"/>
      <c r="AG1591" s="82">
        <f>IF(AN1591="","",AD1591+AE1591+AF1591)</f>
        <v/>
      </c>
      <c r="AH1591" s="81">
        <f>IF(AN1591="","",P1591*(1-AG1591))</f>
        <v/>
      </c>
      <c r="AI1591" s="81">
        <f>IF(AN1591="","",IF(Q1591="Sin Factura",0,IFERROR(INDEX(Facturas_Odoo!$H:$H, MATCH(Q1591, Facturas_Odoo!$B:$B, 0)), 0)*(1-AG1591)))</f>
        <v/>
      </c>
      <c r="AJ1591" s="81">
        <f>IF(AN1591="","",_xlfn.LET(idVenta, AN1591&amp;"",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91" s="81">
        <f>IF(AN1591="","",AH1591-AJ1591)</f>
        <v/>
      </c>
      <c r="AL1591" s="81">
        <f>IF(AN1591="","",IF(Q1591="Sin Factura","",AI1591-AJ1591))</f>
        <v/>
      </c>
      <c r="AM1591" s="81">
        <f>IF(AN1591="","",IF(Q1591="Sin Factura",0,P1591-IFERROR(INDEX(Facturas_Odoo!$H:$H, MATCH(Q1591, Facturas_Odoo!$B:$B, 0)), 0)))</f>
        <v/>
      </c>
      <c r="AN1591" s="79">
        <f>IF(AND(A1591="", J1591=""), "", IF(A1591&lt;&gt;"", VALUE(MID(A1591,2,LEN(A1591))), AN1590))</f>
        <v/>
      </c>
      <c r="AO1591" s="79">
        <f>IF(AN1591="","",IF(AD1591=0,"OK",_xlfn.LET(monedaPago, IF(AA1591="","USD",AA1591), limitePermitido, IFERROR(VLOOKUP(monedaPago, Configuración!$A$2:$B$3, 2, FALSE), 0.15), IF(AD1591&gt;limitePermitido, "ALERTA: EXCESO (" &amp; TEXT(limitePermitido, "0%") &amp; " máx)", "OK"))))</f>
        <v/>
      </c>
      <c r="AP1591" s="79">
        <f>IF(AN1591="","",IF(AE1591=0,"OK",_xlfn.LET(fechaPago, Z1591, fechaFactura, R1591, diasCredito, IF(E1591="Pago inmediato", 0, IFERROR(VALUE(MID(E1591, 1, SEARCH(" ", E1591)-1)),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91" s="79">
        <f>IF(AN1591="","",IF(AND(N1591&gt;0, AG1591&gt;0), IF(Configuración!$K$2="NO", "ALERTA: DESCUENTO DOBLE NO PERMITIDO", "OK"), "OK"))</f>
        <v/>
      </c>
      <c r="AR1591" s="79">
        <f>IF(AN1591="","",IF(OR(AO1591&lt;&gt;"OK", AP1591&lt;&gt;"OK", AQ1591&lt;&gt;"OK"), "⚠️ REVISAR", "OK"))</f>
        <v/>
      </c>
    </row>
    <row r="1592">
      <c r="A1592" s="79">
        <f>IF('Ordenes_Odoo'!A1592="","",'Ordenes_Odoo'!A1592)</f>
        <v/>
      </c>
      <c r="B1592" s="80">
        <f>IF('Ordenes_Odoo'!B1592="","",'Ordenes_Odoo'!B1592)</f>
        <v/>
      </c>
      <c r="C1592" s="79">
        <f>IF('Ordenes_Odoo'!C1592="","",'Ordenes_Odoo'!C1592)</f>
        <v/>
      </c>
      <c r="D1592" s="79">
        <f>IF('Ordenes_Odoo'!D1592="","",'Ordenes_Odoo'!D1592)</f>
        <v/>
      </c>
      <c r="E1592" s="79">
        <f>IF('Ordenes_Odoo'!E1592="","",'Ordenes_Odoo'!E1592)</f>
        <v/>
      </c>
      <c r="F1592" s="79">
        <f>IF('Ordenes_Odoo'!F1592="","",'Ordenes_Odoo'!F1592)</f>
        <v/>
      </c>
      <c r="G1592" s="79">
        <f>IF('Ordenes_Odoo'!G1592="","",'Ordenes_Odoo'!G1592)</f>
        <v/>
      </c>
      <c r="H1592" s="79">
        <f>IF('Ordenes_Odoo'!H1592="","",'Ordenes_Odoo'!H1592)</f>
        <v/>
      </c>
      <c r="I1592" s="79">
        <f>IF('Ordenes_Odoo'!I1592="","",'Ordenes_Odoo'!I1592)</f>
        <v/>
      </c>
      <c r="J1592" s="79">
        <f>IF('Ordenes_Odoo'!J1592="","",'Ordenes_Odoo'!J1592)</f>
        <v/>
      </c>
      <c r="K1592" s="81">
        <f>IF('Ordenes_Odoo'!K1592="","",'Ordenes_Odoo'!K1592)</f>
        <v/>
      </c>
      <c r="L1592" s="81">
        <f>IF('Ordenes_Odoo'!L1592="","",'Ordenes_Odoo'!L1592)</f>
        <v/>
      </c>
      <c r="M1592" s="79">
        <f>IF('Ordenes_Odoo'!M1592="","",'Ordenes_Odoo'!M1592)</f>
        <v/>
      </c>
      <c r="N1592" s="79">
        <f>IF('Ordenes_Odoo'!N1592="","",'Ordenes_Odoo'!N1592)</f>
        <v/>
      </c>
      <c r="O1592" s="81">
        <f>IF('Ordenes_Odoo'!O1592="","",'Ordenes_Odoo'!O1592)</f>
        <v/>
      </c>
      <c r="P1592" s="81">
        <f>IF('Ordenes_Odoo'!P1592="","",'Ordenes_Odoo'!P1592)</f>
        <v/>
      </c>
      <c r="Q1592" s="79">
        <f>IF(A1592="","",IFERROR(INDEX(Facturas_Odoo!$B:$B, MATCH(A1592, Facturas_Odoo!$D:$D, 0)), "Sin Factura"))</f>
        <v/>
      </c>
      <c r="R1592" s="80">
        <f>IF(Q1592="Sin Factura","",IFERROR(INDEX(Facturas_Odoo!$A:$A, MATCH(Q1592, Facturas_Odoo!$B:$B, 0)), ""))</f>
        <v/>
      </c>
      <c r="S1592" s="79">
        <f>IF(Q1592="Sin Factura","",IFERROR(_xlfn.XLOOKUP(1, (Facturas_Odoo!$D:$D=A1592) * (Facturas_Odoo!$K:$K=I1592), Facturas_Odoo!$L:$L, ""), ""))</f>
        <v/>
      </c>
      <c r="T1592" s="81">
        <f>IF(Q1592="Sin Factura",0,IFERROR(_xlfn.XLOOKUP(1, (Facturas_Odoo!$D:$D=A1592) * (Facturas_Odoo!$K:$K=I1592), Facturas_Odoo!$M:$M, 0), 0))</f>
        <v/>
      </c>
      <c r="U1592" s="79">
        <f>IF(Q1592="Sin Factura",0,IFERROR(_xlfn.XLOOKUP(1, (Facturas_Odoo!$D:$D=A1592) * (Facturas_Odoo!$K:$K=I1592), Facturas_Odoo!$N:$N, 0), 0))</f>
        <v/>
      </c>
      <c r="V1592" s="79">
        <f>IF(Q1592="Sin Factura",0,IFERROR(_xlfn.XLOOKUP(1, (Facturas_Odoo!$D:$D=A1592) * (Facturas_Odoo!$K:$K=I1592), Facturas_Odoo!$O:$O, 0), 0))</f>
        <v/>
      </c>
      <c r="W1592" s="81">
        <f>IF(Q1592="Sin Factura",0,IFERROR(_xlfn.XLOOKUP(1, (Facturas_Odoo!$D:$D=A1592) * (Facturas_Odoo!$K:$K=I1592), Facturas_Odoo!$Q:$Q, 0), 0))</f>
        <v/>
      </c>
      <c r="X1592" s="79">
        <f>IF(OR(Q1592="Sin Factura",Q1592=""),"",IFERROR(INDEX(Pagos_Odoo!$B:$B, MATCH(Q1592, Pagos_Odoo!$I:$I, 0)), "Sin Pago"))</f>
        <v/>
      </c>
      <c r="Y1592" s="79">
        <f>IF(X1592="Sin Pago","",IFERROR(INDEX(Pagos_Odoo!$C:$C, MATCH(X1592, Pagos_Odoo!$B:$B, 0)), ""))</f>
        <v/>
      </c>
      <c r="Z1592" s="80">
        <f>IF(X1592="Sin Pago","",IFERROR(INDEX(Pagos_Odoo!$A:$A, MATCH(X1592, Pagos_Odoo!$B:$B, 0)), ""))</f>
        <v/>
      </c>
      <c r="AA1592" s="79">
        <f>IF(X1592="Sin Pago","",IFERROR(INDEX(Pagos_Odoo!$F:$F, MATCH(X1592, Pagos_Odoo!$B:$B, 0)), ""))</f>
        <v/>
      </c>
      <c r="AB1592" s="81">
        <f>IF(X1592="Sin Pago",0,IFERROR(INDEX(Pagos_Odoo!$E:$E, MATCH(X1592, Pagos_Odoo!$B:$B, 0)), 0))</f>
        <v/>
      </c>
      <c r="AC1592" s="79">
        <f>IF(X1592="Sin Pago","",IFERROR(INDEX(Pagos_Odoo!$G:$G, MATCH(X1592, Pagos_Odoo!$B:$B, 0)), ""))</f>
        <v/>
      </c>
      <c r="AD1592" s="82" t="n">
        <v>0</v>
      </c>
      <c r="AE1592" s="82" t="n"/>
      <c r="AF1592" s="82" t="n"/>
      <c r="AG1592" s="82">
        <f>IF(AN1592="","",AD1592+AE1592+AF1592)</f>
        <v/>
      </c>
      <c r="AH1592" s="81">
        <f>IF(AN1592="","",P1592*(1-AG1592))</f>
        <v/>
      </c>
      <c r="AI1592" s="81">
        <f>IF(AN1592="","",IF(Q1592="Sin Factura",0,IFERROR(INDEX(Facturas_Odoo!$H:$H, MATCH(Q1592, Facturas_Odoo!$B:$B, 0)), 0)*(1-AG1592)))</f>
        <v/>
      </c>
      <c r="AJ1592" s="81">
        <f>IF(AN1592="","",_xlfn.LET(idVenta, AN1592&amp;"",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92" s="81">
        <f>IF(AN1592="","",AH1592-AJ1592)</f>
        <v/>
      </c>
      <c r="AL1592" s="81">
        <f>IF(AN1592="","",IF(Q1592="Sin Factura","",AI1592-AJ1592))</f>
        <v/>
      </c>
      <c r="AM1592" s="81">
        <f>IF(AN1592="","",IF(Q1592="Sin Factura",0,P1592-IFERROR(INDEX(Facturas_Odoo!$H:$H, MATCH(Q1592, Facturas_Odoo!$B:$B, 0)), 0)))</f>
        <v/>
      </c>
      <c r="AN1592" s="79">
        <f>IF(AND(A1592="", J1592=""), "", IF(A1592&lt;&gt;"", VALUE(MID(A1592,2,LEN(A1592))), AN1591))</f>
        <v/>
      </c>
      <c r="AO1592" s="79">
        <f>IF(AN1592="","",IF(AD1592=0,"OK",_xlfn.LET(monedaPago, IF(AA1592="","USD",AA1592), limitePermitido, IFERROR(VLOOKUP(monedaPago, Configuración!$A$2:$B$3, 2, FALSE), 0.15), IF(AD1592&gt;limitePermitido, "ALERTA: EXCESO (" &amp; TEXT(limitePermitido, "0%") &amp; " máx)", "OK"))))</f>
        <v/>
      </c>
      <c r="AP1592" s="79">
        <f>IF(AN1592="","",IF(AE1592=0,"OK",_xlfn.LET(fechaPago, Z1592, fechaFactura, R1592, diasCredito, IF(E1592="Pago inmediato", 0, IFERROR(VALUE(MID(E1592, 1, SEARCH(" ", E1592)-1)),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92" s="79">
        <f>IF(AN1592="","",IF(AND(N1592&gt;0, AG1592&gt;0), IF(Configuración!$K$2="NO", "ALERTA: DESCUENTO DOBLE NO PERMITIDO", "OK"), "OK"))</f>
        <v/>
      </c>
      <c r="AR1592" s="79">
        <f>IF(AN1592="","",IF(OR(AO1592&lt;&gt;"OK", AP1592&lt;&gt;"OK", AQ1592&lt;&gt;"OK"), "⚠️ REVISAR", "OK"))</f>
        <v/>
      </c>
    </row>
    <row r="1593">
      <c r="A1593" s="79">
        <f>IF('Ordenes_Odoo'!A1593="","",'Ordenes_Odoo'!A1593)</f>
        <v/>
      </c>
      <c r="B1593" s="80">
        <f>IF('Ordenes_Odoo'!B1593="","",'Ordenes_Odoo'!B1593)</f>
        <v/>
      </c>
      <c r="C1593" s="79">
        <f>IF('Ordenes_Odoo'!C1593="","",'Ordenes_Odoo'!C1593)</f>
        <v/>
      </c>
      <c r="D1593" s="79">
        <f>IF('Ordenes_Odoo'!D1593="","",'Ordenes_Odoo'!D1593)</f>
        <v/>
      </c>
      <c r="E1593" s="79">
        <f>IF('Ordenes_Odoo'!E1593="","",'Ordenes_Odoo'!E1593)</f>
        <v/>
      </c>
      <c r="F1593" s="79">
        <f>IF('Ordenes_Odoo'!F1593="","",'Ordenes_Odoo'!F1593)</f>
        <v/>
      </c>
      <c r="G1593" s="79">
        <f>IF('Ordenes_Odoo'!G1593="","",'Ordenes_Odoo'!G1593)</f>
        <v/>
      </c>
      <c r="H1593" s="79">
        <f>IF('Ordenes_Odoo'!H1593="","",'Ordenes_Odoo'!H1593)</f>
        <v/>
      </c>
      <c r="I1593" s="79">
        <f>IF('Ordenes_Odoo'!I1593="","",'Ordenes_Odoo'!I1593)</f>
        <v/>
      </c>
      <c r="J1593" s="79">
        <f>IF('Ordenes_Odoo'!J1593="","",'Ordenes_Odoo'!J1593)</f>
        <v/>
      </c>
      <c r="K1593" s="81">
        <f>IF('Ordenes_Odoo'!K1593="","",'Ordenes_Odoo'!K1593)</f>
        <v/>
      </c>
      <c r="L1593" s="81">
        <f>IF('Ordenes_Odoo'!L1593="","",'Ordenes_Odoo'!L1593)</f>
        <v/>
      </c>
      <c r="M1593" s="79">
        <f>IF('Ordenes_Odoo'!M1593="","",'Ordenes_Odoo'!M1593)</f>
        <v/>
      </c>
      <c r="N1593" s="79">
        <f>IF('Ordenes_Odoo'!N1593="","",'Ordenes_Odoo'!N1593)</f>
        <v/>
      </c>
      <c r="O1593" s="81">
        <f>IF('Ordenes_Odoo'!O1593="","",'Ordenes_Odoo'!O1593)</f>
        <v/>
      </c>
      <c r="P1593" s="81">
        <f>IF('Ordenes_Odoo'!P1593="","",'Ordenes_Odoo'!P1593)</f>
        <v/>
      </c>
      <c r="Q1593" s="79">
        <f>IF(A1593="","",IFERROR(INDEX(Facturas_Odoo!$B:$B, MATCH(A1593, Facturas_Odoo!$D:$D, 0)), "Sin Factura"))</f>
        <v/>
      </c>
      <c r="R1593" s="80">
        <f>IF(Q1593="Sin Factura","",IFERROR(INDEX(Facturas_Odoo!$A:$A, MATCH(Q1593, Facturas_Odoo!$B:$B, 0)), ""))</f>
        <v/>
      </c>
      <c r="S1593" s="79">
        <f>IF(Q1593="Sin Factura","",IFERROR(_xlfn.XLOOKUP(1, (Facturas_Odoo!$D:$D=A1593) * (Facturas_Odoo!$K:$K=I1593), Facturas_Odoo!$L:$L, ""), ""))</f>
        <v/>
      </c>
      <c r="T1593" s="81">
        <f>IF(Q1593="Sin Factura",0,IFERROR(_xlfn.XLOOKUP(1, (Facturas_Odoo!$D:$D=A1593) * (Facturas_Odoo!$K:$K=I1593), Facturas_Odoo!$M:$M, 0), 0))</f>
        <v/>
      </c>
      <c r="U1593" s="79">
        <f>IF(Q1593="Sin Factura",0,IFERROR(_xlfn.XLOOKUP(1, (Facturas_Odoo!$D:$D=A1593) * (Facturas_Odoo!$K:$K=I1593), Facturas_Odoo!$N:$N, 0), 0))</f>
        <v/>
      </c>
      <c r="V1593" s="79">
        <f>IF(Q1593="Sin Factura",0,IFERROR(_xlfn.XLOOKUP(1, (Facturas_Odoo!$D:$D=A1593) * (Facturas_Odoo!$K:$K=I1593), Facturas_Odoo!$O:$O, 0), 0))</f>
        <v/>
      </c>
      <c r="W1593" s="81">
        <f>IF(Q1593="Sin Factura",0,IFERROR(_xlfn.XLOOKUP(1, (Facturas_Odoo!$D:$D=A1593) * (Facturas_Odoo!$K:$K=I1593), Facturas_Odoo!$Q:$Q, 0), 0))</f>
        <v/>
      </c>
      <c r="X1593" s="79">
        <f>IF(OR(Q1593="Sin Factura",Q1593=""),"",IFERROR(INDEX(Pagos_Odoo!$B:$B, MATCH(Q1593, Pagos_Odoo!$I:$I, 0)), "Sin Pago"))</f>
        <v/>
      </c>
      <c r="Y1593" s="79">
        <f>IF(X1593="Sin Pago","",IFERROR(INDEX(Pagos_Odoo!$C:$C, MATCH(X1593, Pagos_Odoo!$B:$B, 0)), ""))</f>
        <v/>
      </c>
      <c r="Z1593" s="80">
        <f>IF(X1593="Sin Pago","",IFERROR(INDEX(Pagos_Odoo!$A:$A, MATCH(X1593, Pagos_Odoo!$B:$B, 0)), ""))</f>
        <v/>
      </c>
      <c r="AA1593" s="79">
        <f>IF(X1593="Sin Pago","",IFERROR(INDEX(Pagos_Odoo!$F:$F, MATCH(X1593, Pagos_Odoo!$B:$B, 0)), ""))</f>
        <v/>
      </c>
      <c r="AB1593" s="81">
        <f>IF(X1593="Sin Pago",0,IFERROR(INDEX(Pagos_Odoo!$E:$E, MATCH(X1593, Pagos_Odoo!$B:$B, 0)), 0))</f>
        <v/>
      </c>
      <c r="AC1593" s="79">
        <f>IF(X1593="Sin Pago","",IFERROR(INDEX(Pagos_Odoo!$G:$G, MATCH(X1593, Pagos_Odoo!$B:$B, 0)), ""))</f>
        <v/>
      </c>
      <c r="AD1593" s="82" t="n">
        <v>0</v>
      </c>
      <c r="AE1593" s="82" t="n"/>
      <c r="AF1593" s="82" t="n"/>
      <c r="AG1593" s="82">
        <f>IF(AN1593="","",AD1593+AE1593+AF1593)</f>
        <v/>
      </c>
      <c r="AH1593" s="81">
        <f>IF(AN1593="","",P1593*(1-AG1593))</f>
        <v/>
      </c>
      <c r="AI1593" s="81">
        <f>IF(AN1593="","",IF(Q1593="Sin Factura",0,IFERROR(INDEX(Facturas_Odoo!$H:$H, MATCH(Q1593, Facturas_Odoo!$B:$B, 0)), 0)*(1-AG1593)))</f>
        <v/>
      </c>
      <c r="AJ1593" s="81">
        <f>IF(AN1593="","",_xlfn.LET(idVenta, AN1593&amp;"",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93" s="81">
        <f>IF(AN1593="","",AH1593-AJ1593)</f>
        <v/>
      </c>
      <c r="AL1593" s="81">
        <f>IF(AN1593="","",IF(Q1593="Sin Factura","",AI1593-AJ1593))</f>
        <v/>
      </c>
      <c r="AM1593" s="81">
        <f>IF(AN1593="","",IF(Q1593="Sin Factura",0,P1593-IFERROR(INDEX(Facturas_Odoo!$H:$H, MATCH(Q1593, Facturas_Odoo!$B:$B, 0)), 0)))</f>
        <v/>
      </c>
      <c r="AN1593" s="79">
        <f>IF(AND(A1593="", J1593=""), "", IF(A1593&lt;&gt;"", VALUE(MID(A1593,2,LEN(A1593))), AN1592))</f>
        <v/>
      </c>
      <c r="AO1593" s="79">
        <f>IF(AN1593="","",IF(AD1593=0,"OK",_xlfn.LET(monedaPago, IF(AA1593="","USD",AA1593), limitePermitido, IFERROR(VLOOKUP(monedaPago, Configuración!$A$2:$B$3, 2, FALSE), 0.15), IF(AD1593&gt;limitePermitido, "ALERTA: EXCESO (" &amp; TEXT(limitePermitido, "0%") &amp; " máx)", "OK"))))</f>
        <v/>
      </c>
      <c r="AP1593" s="79">
        <f>IF(AN1593="","",IF(AE1593=0,"OK",_xlfn.LET(fechaPago, Z1593, fechaFactura, R1593, diasCredito, IF(E1593="Pago inmediato", 0, IFERROR(VALUE(MID(E1593, 1, SEARCH(" ", E1593)-1)),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93" s="79">
        <f>IF(AN1593="","",IF(AND(N1593&gt;0, AG1593&gt;0), IF(Configuración!$K$2="NO", "ALERTA: DESCUENTO DOBLE NO PERMITIDO", "OK"), "OK"))</f>
        <v/>
      </c>
      <c r="AR1593" s="79">
        <f>IF(AN1593="","",IF(OR(AO1593&lt;&gt;"OK", AP1593&lt;&gt;"OK", AQ1593&lt;&gt;"OK"), "⚠️ REVISAR", "OK"))</f>
        <v/>
      </c>
    </row>
    <row r="1594">
      <c r="A1594" s="79">
        <f>IF('Ordenes_Odoo'!A1594="","",'Ordenes_Odoo'!A1594)</f>
        <v/>
      </c>
      <c r="B1594" s="80">
        <f>IF('Ordenes_Odoo'!B1594="","",'Ordenes_Odoo'!B1594)</f>
        <v/>
      </c>
      <c r="C1594" s="79">
        <f>IF('Ordenes_Odoo'!C1594="","",'Ordenes_Odoo'!C1594)</f>
        <v/>
      </c>
      <c r="D1594" s="79">
        <f>IF('Ordenes_Odoo'!D1594="","",'Ordenes_Odoo'!D1594)</f>
        <v/>
      </c>
      <c r="E1594" s="79">
        <f>IF('Ordenes_Odoo'!E1594="","",'Ordenes_Odoo'!E1594)</f>
        <v/>
      </c>
      <c r="F1594" s="79">
        <f>IF('Ordenes_Odoo'!F1594="","",'Ordenes_Odoo'!F1594)</f>
        <v/>
      </c>
      <c r="G1594" s="79">
        <f>IF('Ordenes_Odoo'!G1594="","",'Ordenes_Odoo'!G1594)</f>
        <v/>
      </c>
      <c r="H1594" s="79">
        <f>IF('Ordenes_Odoo'!H1594="","",'Ordenes_Odoo'!H1594)</f>
        <v/>
      </c>
      <c r="I1594" s="79">
        <f>IF('Ordenes_Odoo'!I1594="","",'Ordenes_Odoo'!I1594)</f>
        <v/>
      </c>
      <c r="J1594" s="79">
        <f>IF('Ordenes_Odoo'!J1594="","",'Ordenes_Odoo'!J1594)</f>
        <v/>
      </c>
      <c r="K1594" s="81">
        <f>IF('Ordenes_Odoo'!K1594="","",'Ordenes_Odoo'!K1594)</f>
        <v/>
      </c>
      <c r="L1594" s="81">
        <f>IF('Ordenes_Odoo'!L1594="","",'Ordenes_Odoo'!L1594)</f>
        <v/>
      </c>
      <c r="M1594" s="79">
        <f>IF('Ordenes_Odoo'!M1594="","",'Ordenes_Odoo'!M1594)</f>
        <v/>
      </c>
      <c r="N1594" s="79">
        <f>IF('Ordenes_Odoo'!N1594="","",'Ordenes_Odoo'!N1594)</f>
        <v/>
      </c>
      <c r="O1594" s="81">
        <f>IF('Ordenes_Odoo'!O1594="","",'Ordenes_Odoo'!O1594)</f>
        <v/>
      </c>
      <c r="P1594" s="81">
        <f>IF('Ordenes_Odoo'!P1594="","",'Ordenes_Odoo'!P1594)</f>
        <v/>
      </c>
      <c r="Q1594" s="79">
        <f>IF(A1594="","",IFERROR(INDEX(Facturas_Odoo!$B:$B, MATCH(A1594, Facturas_Odoo!$D:$D, 0)), "Sin Factura"))</f>
        <v/>
      </c>
      <c r="R1594" s="80">
        <f>IF(Q1594="Sin Factura","",IFERROR(INDEX(Facturas_Odoo!$A:$A, MATCH(Q1594, Facturas_Odoo!$B:$B, 0)), ""))</f>
        <v/>
      </c>
      <c r="S1594" s="79">
        <f>IF(Q1594="Sin Factura","",IFERROR(_xlfn.XLOOKUP(1, (Facturas_Odoo!$D:$D=A1594) * (Facturas_Odoo!$K:$K=I1594), Facturas_Odoo!$L:$L, ""), ""))</f>
        <v/>
      </c>
      <c r="T1594" s="81">
        <f>IF(Q1594="Sin Factura",0,IFERROR(_xlfn.XLOOKUP(1, (Facturas_Odoo!$D:$D=A1594) * (Facturas_Odoo!$K:$K=I1594), Facturas_Odoo!$M:$M, 0), 0))</f>
        <v/>
      </c>
      <c r="U1594" s="79">
        <f>IF(Q1594="Sin Factura",0,IFERROR(_xlfn.XLOOKUP(1, (Facturas_Odoo!$D:$D=A1594) * (Facturas_Odoo!$K:$K=I1594), Facturas_Odoo!$N:$N, 0), 0))</f>
        <v/>
      </c>
      <c r="V1594" s="79">
        <f>IF(Q1594="Sin Factura",0,IFERROR(_xlfn.XLOOKUP(1, (Facturas_Odoo!$D:$D=A1594) * (Facturas_Odoo!$K:$K=I1594), Facturas_Odoo!$O:$O, 0), 0))</f>
        <v/>
      </c>
      <c r="W1594" s="81">
        <f>IF(Q1594="Sin Factura",0,IFERROR(_xlfn.XLOOKUP(1, (Facturas_Odoo!$D:$D=A1594) * (Facturas_Odoo!$K:$K=I1594), Facturas_Odoo!$Q:$Q, 0), 0))</f>
        <v/>
      </c>
      <c r="X1594" s="79">
        <f>IF(OR(Q1594="Sin Factura",Q1594=""),"",IFERROR(INDEX(Pagos_Odoo!$B:$B, MATCH(Q1594, Pagos_Odoo!$I:$I, 0)), "Sin Pago"))</f>
        <v/>
      </c>
      <c r="Y1594" s="79">
        <f>IF(X1594="Sin Pago","",IFERROR(INDEX(Pagos_Odoo!$C:$C, MATCH(X1594, Pagos_Odoo!$B:$B, 0)), ""))</f>
        <v/>
      </c>
      <c r="Z1594" s="80">
        <f>IF(X1594="Sin Pago","",IFERROR(INDEX(Pagos_Odoo!$A:$A, MATCH(X1594, Pagos_Odoo!$B:$B, 0)), ""))</f>
        <v/>
      </c>
      <c r="AA1594" s="79">
        <f>IF(X1594="Sin Pago","",IFERROR(INDEX(Pagos_Odoo!$F:$F, MATCH(X1594, Pagos_Odoo!$B:$B, 0)), ""))</f>
        <v/>
      </c>
      <c r="AB1594" s="81">
        <f>IF(X1594="Sin Pago",0,IFERROR(INDEX(Pagos_Odoo!$E:$E, MATCH(X1594, Pagos_Odoo!$B:$B, 0)), 0))</f>
        <v/>
      </c>
      <c r="AC1594" s="79">
        <f>IF(X1594="Sin Pago","",IFERROR(INDEX(Pagos_Odoo!$G:$G, MATCH(X1594, Pagos_Odoo!$B:$B, 0)), ""))</f>
        <v/>
      </c>
      <c r="AD1594" s="82" t="n">
        <v>0</v>
      </c>
      <c r="AE1594" s="82" t="n"/>
      <c r="AF1594" s="82" t="n"/>
      <c r="AG1594" s="82">
        <f>IF(AN1594="","",AD1594+AE1594+AF1594)</f>
        <v/>
      </c>
      <c r="AH1594" s="81">
        <f>IF(AN1594="","",P1594*(1-AG1594))</f>
        <v/>
      </c>
      <c r="AI1594" s="81">
        <f>IF(AN1594="","",IF(Q1594="Sin Factura",0,IFERROR(INDEX(Facturas_Odoo!$H:$H, MATCH(Q1594, Facturas_Odoo!$B:$B, 0)), 0)*(1-AG1594)))</f>
        <v/>
      </c>
      <c r="AJ1594" s="81">
        <f>IF(AN1594="","",_xlfn.LET(idVenta, AN1594&amp;"",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94" s="81">
        <f>IF(AN1594="","",AH1594-AJ1594)</f>
        <v/>
      </c>
      <c r="AL1594" s="81">
        <f>IF(AN1594="","",IF(Q1594="Sin Factura","",AI1594-AJ1594))</f>
        <v/>
      </c>
      <c r="AM1594" s="81">
        <f>IF(AN1594="","",IF(Q1594="Sin Factura",0,P1594-IFERROR(INDEX(Facturas_Odoo!$H:$H, MATCH(Q1594, Facturas_Odoo!$B:$B, 0)), 0)))</f>
        <v/>
      </c>
      <c r="AN1594" s="79">
        <f>IF(AND(A1594="", J1594=""), "", IF(A1594&lt;&gt;"", VALUE(MID(A1594,2,LEN(A1594))), AN1593))</f>
        <v/>
      </c>
      <c r="AO1594" s="79">
        <f>IF(AN1594="","",IF(AD1594=0,"OK",_xlfn.LET(monedaPago, IF(AA1594="","USD",AA1594), limitePermitido, IFERROR(VLOOKUP(monedaPago, Configuración!$A$2:$B$3, 2, FALSE), 0.15), IF(AD1594&gt;limitePermitido, "ALERTA: EXCESO (" &amp; TEXT(limitePermitido, "0%") &amp; " máx)", "OK"))))</f>
        <v/>
      </c>
      <c r="AP1594" s="79">
        <f>IF(AN1594="","",IF(AE1594=0,"OK",_xlfn.LET(fechaPago, Z1594, fechaFactura, R1594, diasCredito, IF(E1594="Pago inmediato", 0, IFERROR(VALUE(MID(E1594, 1, SEARCH(" ", E1594)-1)),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94" s="79">
        <f>IF(AN1594="","",IF(AND(N1594&gt;0, AG1594&gt;0), IF(Configuración!$K$2="NO", "ALERTA: DESCUENTO DOBLE NO PERMITIDO", "OK"), "OK"))</f>
        <v/>
      </c>
      <c r="AR1594" s="79">
        <f>IF(AN1594="","",IF(OR(AO1594&lt;&gt;"OK", AP1594&lt;&gt;"OK", AQ1594&lt;&gt;"OK"), "⚠️ REVISAR", "OK"))</f>
        <v/>
      </c>
    </row>
    <row r="1595">
      <c r="A1595" s="79">
        <f>IF('Ordenes_Odoo'!A1595="","",'Ordenes_Odoo'!A1595)</f>
        <v/>
      </c>
      <c r="B1595" s="80">
        <f>IF('Ordenes_Odoo'!B1595="","",'Ordenes_Odoo'!B1595)</f>
        <v/>
      </c>
      <c r="C1595" s="79">
        <f>IF('Ordenes_Odoo'!C1595="","",'Ordenes_Odoo'!C1595)</f>
        <v/>
      </c>
      <c r="D1595" s="79">
        <f>IF('Ordenes_Odoo'!D1595="","",'Ordenes_Odoo'!D1595)</f>
        <v/>
      </c>
      <c r="E1595" s="79">
        <f>IF('Ordenes_Odoo'!E1595="","",'Ordenes_Odoo'!E1595)</f>
        <v/>
      </c>
      <c r="F1595" s="79">
        <f>IF('Ordenes_Odoo'!F1595="","",'Ordenes_Odoo'!F1595)</f>
        <v/>
      </c>
      <c r="G1595" s="79">
        <f>IF('Ordenes_Odoo'!G1595="","",'Ordenes_Odoo'!G1595)</f>
        <v/>
      </c>
      <c r="H1595" s="79">
        <f>IF('Ordenes_Odoo'!H1595="","",'Ordenes_Odoo'!H1595)</f>
        <v/>
      </c>
      <c r="I1595" s="79">
        <f>IF('Ordenes_Odoo'!I1595="","",'Ordenes_Odoo'!I1595)</f>
        <v/>
      </c>
      <c r="J1595" s="79">
        <f>IF('Ordenes_Odoo'!J1595="","",'Ordenes_Odoo'!J1595)</f>
        <v/>
      </c>
      <c r="K1595" s="81">
        <f>IF('Ordenes_Odoo'!K1595="","",'Ordenes_Odoo'!K1595)</f>
        <v/>
      </c>
      <c r="L1595" s="81">
        <f>IF('Ordenes_Odoo'!L1595="","",'Ordenes_Odoo'!L1595)</f>
        <v/>
      </c>
      <c r="M1595" s="79">
        <f>IF('Ordenes_Odoo'!M1595="","",'Ordenes_Odoo'!M1595)</f>
        <v/>
      </c>
      <c r="N1595" s="79">
        <f>IF('Ordenes_Odoo'!N1595="","",'Ordenes_Odoo'!N1595)</f>
        <v/>
      </c>
      <c r="O1595" s="81">
        <f>IF('Ordenes_Odoo'!O1595="","",'Ordenes_Odoo'!O1595)</f>
        <v/>
      </c>
      <c r="P1595" s="81">
        <f>IF('Ordenes_Odoo'!P1595="","",'Ordenes_Odoo'!P1595)</f>
        <v/>
      </c>
      <c r="Q1595" s="79">
        <f>IF(A1595="","",IFERROR(INDEX(Facturas_Odoo!$B:$B, MATCH(A1595, Facturas_Odoo!$D:$D, 0)), "Sin Factura"))</f>
        <v/>
      </c>
      <c r="R1595" s="80">
        <f>IF(Q1595="Sin Factura","",IFERROR(INDEX(Facturas_Odoo!$A:$A, MATCH(Q1595, Facturas_Odoo!$B:$B, 0)), ""))</f>
        <v/>
      </c>
      <c r="S1595" s="79">
        <f>IF(Q1595="Sin Factura","",IFERROR(_xlfn.XLOOKUP(1, (Facturas_Odoo!$D:$D=A1595) * (Facturas_Odoo!$K:$K=I1595), Facturas_Odoo!$L:$L, ""), ""))</f>
        <v/>
      </c>
      <c r="T1595" s="81">
        <f>IF(Q1595="Sin Factura",0,IFERROR(_xlfn.XLOOKUP(1, (Facturas_Odoo!$D:$D=A1595) * (Facturas_Odoo!$K:$K=I1595), Facturas_Odoo!$M:$M, 0), 0))</f>
        <v/>
      </c>
      <c r="U1595" s="79">
        <f>IF(Q1595="Sin Factura",0,IFERROR(_xlfn.XLOOKUP(1, (Facturas_Odoo!$D:$D=A1595) * (Facturas_Odoo!$K:$K=I1595), Facturas_Odoo!$N:$N, 0), 0))</f>
        <v/>
      </c>
      <c r="V1595" s="79">
        <f>IF(Q1595="Sin Factura",0,IFERROR(_xlfn.XLOOKUP(1, (Facturas_Odoo!$D:$D=A1595) * (Facturas_Odoo!$K:$K=I1595), Facturas_Odoo!$O:$O, 0), 0))</f>
        <v/>
      </c>
      <c r="W1595" s="81">
        <f>IF(Q1595="Sin Factura",0,IFERROR(_xlfn.XLOOKUP(1, (Facturas_Odoo!$D:$D=A1595) * (Facturas_Odoo!$K:$K=I1595), Facturas_Odoo!$Q:$Q, 0), 0))</f>
        <v/>
      </c>
      <c r="X1595" s="79">
        <f>IF(OR(Q1595="Sin Factura",Q1595=""),"",IFERROR(INDEX(Pagos_Odoo!$B:$B, MATCH(Q1595, Pagos_Odoo!$I:$I, 0)), "Sin Pago"))</f>
        <v/>
      </c>
      <c r="Y1595" s="79">
        <f>IF(X1595="Sin Pago","",IFERROR(INDEX(Pagos_Odoo!$C:$C, MATCH(X1595, Pagos_Odoo!$B:$B, 0)), ""))</f>
        <v/>
      </c>
      <c r="Z1595" s="80">
        <f>IF(X1595="Sin Pago","",IFERROR(INDEX(Pagos_Odoo!$A:$A, MATCH(X1595, Pagos_Odoo!$B:$B, 0)), ""))</f>
        <v/>
      </c>
      <c r="AA1595" s="79">
        <f>IF(X1595="Sin Pago","",IFERROR(INDEX(Pagos_Odoo!$F:$F, MATCH(X1595, Pagos_Odoo!$B:$B, 0)), ""))</f>
        <v/>
      </c>
      <c r="AB1595" s="81">
        <f>IF(X1595="Sin Pago",0,IFERROR(INDEX(Pagos_Odoo!$E:$E, MATCH(X1595, Pagos_Odoo!$B:$B, 0)), 0))</f>
        <v/>
      </c>
      <c r="AC1595" s="79">
        <f>IF(X1595="Sin Pago","",IFERROR(INDEX(Pagos_Odoo!$G:$G, MATCH(X1595, Pagos_Odoo!$B:$B, 0)), ""))</f>
        <v/>
      </c>
      <c r="AD1595" s="82" t="n">
        <v>0</v>
      </c>
      <c r="AE1595" s="82" t="n"/>
      <c r="AF1595" s="82" t="n"/>
      <c r="AG1595" s="82">
        <f>IF(AN1595="","",AD1595+AE1595+AF1595)</f>
        <v/>
      </c>
      <c r="AH1595" s="81">
        <f>IF(AN1595="","",P1595*(1-AG1595))</f>
        <v/>
      </c>
      <c r="AI1595" s="81">
        <f>IF(AN1595="","",IF(Q1595="Sin Factura",0,IFERROR(INDEX(Facturas_Odoo!$H:$H, MATCH(Q1595, Facturas_Odoo!$B:$B, 0)), 0)*(1-AG1595)))</f>
        <v/>
      </c>
      <c r="AJ1595" s="81">
        <f>IF(AN1595="","",_xlfn.LET(idVenta, AN1595&amp;"",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95" s="81">
        <f>IF(AN1595="","",AH1595-AJ1595)</f>
        <v/>
      </c>
      <c r="AL1595" s="81">
        <f>IF(AN1595="","",IF(Q1595="Sin Factura","",AI1595-AJ1595))</f>
        <v/>
      </c>
      <c r="AM1595" s="81">
        <f>IF(AN1595="","",IF(Q1595="Sin Factura",0,P1595-IFERROR(INDEX(Facturas_Odoo!$H:$H, MATCH(Q1595, Facturas_Odoo!$B:$B, 0)), 0)))</f>
        <v/>
      </c>
      <c r="AN1595" s="79">
        <f>IF(AND(A1595="", J1595=""), "", IF(A1595&lt;&gt;"", VALUE(MID(A1595,2,LEN(A1595))), AN1594))</f>
        <v/>
      </c>
      <c r="AO1595" s="79">
        <f>IF(AN1595="","",IF(AD1595=0,"OK",_xlfn.LET(monedaPago, IF(AA1595="","USD",AA1595), limitePermitido, IFERROR(VLOOKUP(monedaPago, Configuración!$A$2:$B$3, 2, FALSE), 0.15), IF(AD1595&gt;limitePermitido, "ALERTA: EXCESO (" &amp; TEXT(limitePermitido, "0%") &amp; " máx)", "OK"))))</f>
        <v/>
      </c>
      <c r="AP1595" s="79">
        <f>IF(AN1595="","",IF(AE1595=0,"OK",_xlfn.LET(fechaPago, Z1595, fechaFactura, R1595, diasCredito, IF(E1595="Pago inmediato", 0, IFERROR(VALUE(MID(E1595, 1, SEARCH(" ", E1595)-1)),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95" s="79">
        <f>IF(AN1595="","",IF(AND(N1595&gt;0, AG1595&gt;0), IF(Configuración!$K$2="NO", "ALERTA: DESCUENTO DOBLE NO PERMITIDO", "OK"), "OK"))</f>
        <v/>
      </c>
      <c r="AR1595" s="79">
        <f>IF(AN1595="","",IF(OR(AO1595&lt;&gt;"OK", AP1595&lt;&gt;"OK", AQ1595&lt;&gt;"OK"), "⚠️ REVISAR", "OK"))</f>
        <v/>
      </c>
    </row>
    <row r="1596">
      <c r="A1596" s="79">
        <f>IF('Ordenes_Odoo'!A1596="","",'Ordenes_Odoo'!A1596)</f>
        <v/>
      </c>
      <c r="B1596" s="80">
        <f>IF('Ordenes_Odoo'!B1596="","",'Ordenes_Odoo'!B1596)</f>
        <v/>
      </c>
      <c r="C1596" s="79">
        <f>IF('Ordenes_Odoo'!C1596="","",'Ordenes_Odoo'!C1596)</f>
        <v/>
      </c>
      <c r="D1596" s="79">
        <f>IF('Ordenes_Odoo'!D1596="","",'Ordenes_Odoo'!D1596)</f>
        <v/>
      </c>
      <c r="E1596" s="79">
        <f>IF('Ordenes_Odoo'!E1596="","",'Ordenes_Odoo'!E1596)</f>
        <v/>
      </c>
      <c r="F1596" s="79">
        <f>IF('Ordenes_Odoo'!F1596="","",'Ordenes_Odoo'!F1596)</f>
        <v/>
      </c>
      <c r="G1596" s="79">
        <f>IF('Ordenes_Odoo'!G1596="","",'Ordenes_Odoo'!G1596)</f>
        <v/>
      </c>
      <c r="H1596" s="79">
        <f>IF('Ordenes_Odoo'!H1596="","",'Ordenes_Odoo'!H1596)</f>
        <v/>
      </c>
      <c r="I1596" s="79">
        <f>IF('Ordenes_Odoo'!I1596="","",'Ordenes_Odoo'!I1596)</f>
        <v/>
      </c>
      <c r="J1596" s="79">
        <f>IF('Ordenes_Odoo'!J1596="","",'Ordenes_Odoo'!J1596)</f>
        <v/>
      </c>
      <c r="K1596" s="81">
        <f>IF('Ordenes_Odoo'!K1596="","",'Ordenes_Odoo'!K1596)</f>
        <v/>
      </c>
      <c r="L1596" s="81">
        <f>IF('Ordenes_Odoo'!L1596="","",'Ordenes_Odoo'!L1596)</f>
        <v/>
      </c>
      <c r="M1596" s="79">
        <f>IF('Ordenes_Odoo'!M1596="","",'Ordenes_Odoo'!M1596)</f>
        <v/>
      </c>
      <c r="N1596" s="79">
        <f>IF('Ordenes_Odoo'!N1596="","",'Ordenes_Odoo'!N1596)</f>
        <v/>
      </c>
      <c r="O1596" s="81">
        <f>IF('Ordenes_Odoo'!O1596="","",'Ordenes_Odoo'!O1596)</f>
        <v/>
      </c>
      <c r="P1596" s="81">
        <f>IF('Ordenes_Odoo'!P1596="","",'Ordenes_Odoo'!P1596)</f>
        <v/>
      </c>
      <c r="Q1596" s="79">
        <f>IF(A1596="","",IFERROR(INDEX(Facturas_Odoo!$B:$B, MATCH(A1596, Facturas_Odoo!$D:$D, 0)), "Sin Factura"))</f>
        <v/>
      </c>
      <c r="R1596" s="80">
        <f>IF(Q1596="Sin Factura","",IFERROR(INDEX(Facturas_Odoo!$A:$A, MATCH(Q1596, Facturas_Odoo!$B:$B, 0)), ""))</f>
        <v/>
      </c>
      <c r="S1596" s="79">
        <f>IF(Q1596="Sin Factura","",IFERROR(_xlfn.XLOOKUP(1, (Facturas_Odoo!$D:$D=A1596) * (Facturas_Odoo!$K:$K=I1596), Facturas_Odoo!$L:$L, ""), ""))</f>
        <v/>
      </c>
      <c r="T1596" s="81">
        <f>IF(Q1596="Sin Factura",0,IFERROR(_xlfn.XLOOKUP(1, (Facturas_Odoo!$D:$D=A1596) * (Facturas_Odoo!$K:$K=I1596), Facturas_Odoo!$M:$M, 0), 0))</f>
        <v/>
      </c>
      <c r="U1596" s="79">
        <f>IF(Q1596="Sin Factura",0,IFERROR(_xlfn.XLOOKUP(1, (Facturas_Odoo!$D:$D=A1596) * (Facturas_Odoo!$K:$K=I1596), Facturas_Odoo!$N:$N, 0), 0))</f>
        <v/>
      </c>
      <c r="V1596" s="79">
        <f>IF(Q1596="Sin Factura",0,IFERROR(_xlfn.XLOOKUP(1, (Facturas_Odoo!$D:$D=A1596) * (Facturas_Odoo!$K:$K=I1596), Facturas_Odoo!$O:$O, 0), 0))</f>
        <v/>
      </c>
      <c r="W1596" s="81">
        <f>IF(Q1596="Sin Factura",0,IFERROR(_xlfn.XLOOKUP(1, (Facturas_Odoo!$D:$D=A1596) * (Facturas_Odoo!$K:$K=I1596), Facturas_Odoo!$Q:$Q, 0), 0))</f>
        <v/>
      </c>
      <c r="X1596" s="79">
        <f>IF(OR(Q1596="Sin Factura",Q1596=""),"",IFERROR(INDEX(Pagos_Odoo!$B:$B, MATCH(Q1596, Pagos_Odoo!$I:$I, 0)), "Sin Pago"))</f>
        <v/>
      </c>
      <c r="Y1596" s="79">
        <f>IF(X1596="Sin Pago","",IFERROR(INDEX(Pagos_Odoo!$C:$C, MATCH(X1596, Pagos_Odoo!$B:$B, 0)), ""))</f>
        <v/>
      </c>
      <c r="Z1596" s="80">
        <f>IF(X1596="Sin Pago","",IFERROR(INDEX(Pagos_Odoo!$A:$A, MATCH(X1596, Pagos_Odoo!$B:$B, 0)), ""))</f>
        <v/>
      </c>
      <c r="AA1596" s="79">
        <f>IF(X1596="Sin Pago","",IFERROR(INDEX(Pagos_Odoo!$F:$F, MATCH(X1596, Pagos_Odoo!$B:$B, 0)), ""))</f>
        <v/>
      </c>
      <c r="AB1596" s="81">
        <f>IF(X1596="Sin Pago",0,IFERROR(INDEX(Pagos_Odoo!$E:$E, MATCH(X1596, Pagos_Odoo!$B:$B, 0)), 0))</f>
        <v/>
      </c>
      <c r="AC1596" s="79">
        <f>IF(X1596="Sin Pago","",IFERROR(INDEX(Pagos_Odoo!$G:$G, MATCH(X1596, Pagos_Odoo!$B:$B, 0)), ""))</f>
        <v/>
      </c>
      <c r="AD1596" s="82" t="n">
        <v>0</v>
      </c>
      <c r="AE1596" s="82" t="n"/>
      <c r="AF1596" s="82" t="n"/>
      <c r="AG1596" s="82">
        <f>IF(AN1596="","",AD1596+AE1596+AF1596)</f>
        <v/>
      </c>
      <c r="AH1596" s="81">
        <f>IF(AN1596="","",P1596*(1-AG1596))</f>
        <v/>
      </c>
      <c r="AI1596" s="81">
        <f>IF(AN1596="","",IF(Q1596="Sin Factura",0,IFERROR(INDEX(Facturas_Odoo!$H:$H, MATCH(Q1596, Facturas_Odoo!$B:$B, 0)), 0)*(1-AG1596)))</f>
        <v/>
      </c>
      <c r="AJ1596" s="81">
        <f>IF(AN1596="","",_xlfn.LET(idVenta, AN1596&amp;"",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96" s="81">
        <f>IF(AN1596="","",AH1596-AJ1596)</f>
        <v/>
      </c>
      <c r="AL1596" s="81">
        <f>IF(AN1596="","",IF(Q1596="Sin Factura","",AI1596-AJ1596))</f>
        <v/>
      </c>
      <c r="AM1596" s="81">
        <f>IF(AN1596="","",IF(Q1596="Sin Factura",0,P1596-IFERROR(INDEX(Facturas_Odoo!$H:$H, MATCH(Q1596, Facturas_Odoo!$B:$B, 0)), 0)))</f>
        <v/>
      </c>
      <c r="AN1596" s="79">
        <f>IF(AND(A1596="", J1596=""), "", IF(A1596&lt;&gt;"", VALUE(MID(A1596,2,LEN(A1596))), AN1595))</f>
        <v/>
      </c>
      <c r="AO1596" s="79">
        <f>IF(AN1596="","",IF(AD1596=0,"OK",_xlfn.LET(monedaPago, IF(AA1596="","USD",AA1596), limitePermitido, IFERROR(VLOOKUP(monedaPago, Configuración!$A$2:$B$3, 2, FALSE), 0.15), IF(AD1596&gt;limitePermitido, "ALERTA: EXCESO (" &amp; TEXT(limitePermitido, "0%") &amp; " máx)", "OK"))))</f>
        <v/>
      </c>
      <c r="AP1596" s="79">
        <f>IF(AN1596="","",IF(AE1596=0,"OK",_xlfn.LET(fechaPago, Z1596, fechaFactura, R1596, diasCredito, IF(E1596="Pago inmediato", 0, IFERROR(VALUE(MID(E1596, 1, SEARCH(" ", E1596)-1)),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96" s="79">
        <f>IF(AN1596="","",IF(AND(N1596&gt;0, AG1596&gt;0), IF(Configuración!$K$2="NO", "ALERTA: DESCUENTO DOBLE NO PERMITIDO", "OK"), "OK"))</f>
        <v/>
      </c>
      <c r="AR1596" s="79">
        <f>IF(AN1596="","",IF(OR(AO1596&lt;&gt;"OK", AP1596&lt;&gt;"OK", AQ1596&lt;&gt;"OK"), "⚠️ REVISAR", "OK"))</f>
        <v/>
      </c>
    </row>
    <row r="1597">
      <c r="A1597" s="79">
        <f>IF('Ordenes_Odoo'!A1597="","",'Ordenes_Odoo'!A1597)</f>
        <v/>
      </c>
      <c r="B1597" s="80">
        <f>IF('Ordenes_Odoo'!B1597="","",'Ordenes_Odoo'!B1597)</f>
        <v/>
      </c>
      <c r="C1597" s="79">
        <f>IF('Ordenes_Odoo'!C1597="","",'Ordenes_Odoo'!C1597)</f>
        <v/>
      </c>
      <c r="D1597" s="79">
        <f>IF('Ordenes_Odoo'!D1597="","",'Ordenes_Odoo'!D1597)</f>
        <v/>
      </c>
      <c r="E1597" s="79">
        <f>IF('Ordenes_Odoo'!E1597="","",'Ordenes_Odoo'!E1597)</f>
        <v/>
      </c>
      <c r="F1597" s="79">
        <f>IF('Ordenes_Odoo'!F1597="","",'Ordenes_Odoo'!F1597)</f>
        <v/>
      </c>
      <c r="G1597" s="79">
        <f>IF('Ordenes_Odoo'!G1597="","",'Ordenes_Odoo'!G1597)</f>
        <v/>
      </c>
      <c r="H1597" s="79">
        <f>IF('Ordenes_Odoo'!H1597="","",'Ordenes_Odoo'!H1597)</f>
        <v/>
      </c>
      <c r="I1597" s="79">
        <f>IF('Ordenes_Odoo'!I1597="","",'Ordenes_Odoo'!I1597)</f>
        <v/>
      </c>
      <c r="J1597" s="79">
        <f>IF('Ordenes_Odoo'!J1597="","",'Ordenes_Odoo'!J1597)</f>
        <v/>
      </c>
      <c r="K1597" s="81">
        <f>IF('Ordenes_Odoo'!K1597="","",'Ordenes_Odoo'!K1597)</f>
        <v/>
      </c>
      <c r="L1597" s="81">
        <f>IF('Ordenes_Odoo'!L1597="","",'Ordenes_Odoo'!L1597)</f>
        <v/>
      </c>
      <c r="M1597" s="79">
        <f>IF('Ordenes_Odoo'!M1597="","",'Ordenes_Odoo'!M1597)</f>
        <v/>
      </c>
      <c r="N1597" s="79">
        <f>IF('Ordenes_Odoo'!N1597="","",'Ordenes_Odoo'!N1597)</f>
        <v/>
      </c>
      <c r="O1597" s="81">
        <f>IF('Ordenes_Odoo'!O1597="","",'Ordenes_Odoo'!O1597)</f>
        <v/>
      </c>
      <c r="P1597" s="81">
        <f>IF('Ordenes_Odoo'!P1597="","",'Ordenes_Odoo'!P1597)</f>
        <v/>
      </c>
      <c r="Q1597" s="79">
        <f>IF(A1597="","",IFERROR(INDEX(Facturas_Odoo!$B:$B, MATCH(A1597, Facturas_Odoo!$D:$D, 0)), "Sin Factura"))</f>
        <v/>
      </c>
      <c r="R1597" s="80">
        <f>IF(Q1597="Sin Factura","",IFERROR(INDEX(Facturas_Odoo!$A:$A, MATCH(Q1597, Facturas_Odoo!$B:$B, 0)), ""))</f>
        <v/>
      </c>
      <c r="S1597" s="79">
        <f>IF(Q1597="Sin Factura","",IFERROR(_xlfn.XLOOKUP(1, (Facturas_Odoo!$D:$D=A1597) * (Facturas_Odoo!$K:$K=I1597), Facturas_Odoo!$L:$L, ""), ""))</f>
        <v/>
      </c>
      <c r="T1597" s="81">
        <f>IF(Q1597="Sin Factura",0,IFERROR(_xlfn.XLOOKUP(1, (Facturas_Odoo!$D:$D=A1597) * (Facturas_Odoo!$K:$K=I1597), Facturas_Odoo!$M:$M, 0), 0))</f>
        <v/>
      </c>
      <c r="U1597" s="79">
        <f>IF(Q1597="Sin Factura",0,IFERROR(_xlfn.XLOOKUP(1, (Facturas_Odoo!$D:$D=A1597) * (Facturas_Odoo!$K:$K=I1597), Facturas_Odoo!$N:$N, 0), 0))</f>
        <v/>
      </c>
      <c r="V1597" s="79">
        <f>IF(Q1597="Sin Factura",0,IFERROR(_xlfn.XLOOKUP(1, (Facturas_Odoo!$D:$D=A1597) * (Facturas_Odoo!$K:$K=I1597), Facturas_Odoo!$O:$O, 0), 0))</f>
        <v/>
      </c>
      <c r="W1597" s="81">
        <f>IF(Q1597="Sin Factura",0,IFERROR(_xlfn.XLOOKUP(1, (Facturas_Odoo!$D:$D=A1597) * (Facturas_Odoo!$K:$K=I1597), Facturas_Odoo!$Q:$Q, 0), 0))</f>
        <v/>
      </c>
      <c r="X1597" s="79">
        <f>IF(OR(Q1597="Sin Factura",Q1597=""),"",IFERROR(INDEX(Pagos_Odoo!$B:$B, MATCH(Q1597, Pagos_Odoo!$I:$I, 0)), "Sin Pago"))</f>
        <v/>
      </c>
      <c r="Y1597" s="79">
        <f>IF(X1597="Sin Pago","",IFERROR(INDEX(Pagos_Odoo!$C:$C, MATCH(X1597, Pagos_Odoo!$B:$B, 0)), ""))</f>
        <v/>
      </c>
      <c r="Z1597" s="80">
        <f>IF(X1597="Sin Pago","",IFERROR(INDEX(Pagos_Odoo!$A:$A, MATCH(X1597, Pagos_Odoo!$B:$B, 0)), ""))</f>
        <v/>
      </c>
      <c r="AA1597" s="79">
        <f>IF(X1597="Sin Pago","",IFERROR(INDEX(Pagos_Odoo!$F:$F, MATCH(X1597, Pagos_Odoo!$B:$B, 0)), ""))</f>
        <v/>
      </c>
      <c r="AB1597" s="81">
        <f>IF(X1597="Sin Pago",0,IFERROR(INDEX(Pagos_Odoo!$E:$E, MATCH(X1597, Pagos_Odoo!$B:$B, 0)), 0))</f>
        <v/>
      </c>
      <c r="AC1597" s="79">
        <f>IF(X1597="Sin Pago","",IFERROR(INDEX(Pagos_Odoo!$G:$G, MATCH(X1597, Pagos_Odoo!$B:$B, 0)), ""))</f>
        <v/>
      </c>
      <c r="AD1597" s="82" t="n">
        <v>0</v>
      </c>
      <c r="AE1597" s="82" t="n"/>
      <c r="AF1597" s="82" t="n"/>
      <c r="AG1597" s="82">
        <f>IF(AN1597="","",AD1597+AE1597+AF1597)</f>
        <v/>
      </c>
      <c r="AH1597" s="81">
        <f>IF(AN1597="","",P1597*(1-AG1597))</f>
        <v/>
      </c>
      <c r="AI1597" s="81">
        <f>IF(AN1597="","",IF(Q1597="Sin Factura",0,IFERROR(INDEX(Facturas_Odoo!$H:$H, MATCH(Q1597, Facturas_Odoo!$B:$B, 0)), 0)*(1-AG1597)))</f>
        <v/>
      </c>
      <c r="AJ1597" s="81">
        <f>IF(AN1597="","",_xlfn.LET(idVenta, AN1597&amp;"",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97" s="81">
        <f>IF(AN1597="","",AH1597-AJ1597)</f>
        <v/>
      </c>
      <c r="AL1597" s="81">
        <f>IF(AN1597="","",IF(Q1597="Sin Factura","",AI1597-AJ1597))</f>
        <v/>
      </c>
      <c r="AM1597" s="81">
        <f>IF(AN1597="","",IF(Q1597="Sin Factura",0,P1597-IFERROR(INDEX(Facturas_Odoo!$H:$H, MATCH(Q1597, Facturas_Odoo!$B:$B, 0)), 0)))</f>
        <v/>
      </c>
      <c r="AN1597" s="79">
        <f>IF(AND(A1597="", J1597=""), "", IF(A1597&lt;&gt;"", VALUE(MID(A1597,2,LEN(A1597))), AN1596))</f>
        <v/>
      </c>
      <c r="AO1597" s="79">
        <f>IF(AN1597="","",IF(AD1597=0,"OK",_xlfn.LET(monedaPago, IF(AA1597="","USD",AA1597), limitePermitido, IFERROR(VLOOKUP(monedaPago, Configuración!$A$2:$B$3, 2, FALSE), 0.15), IF(AD1597&gt;limitePermitido, "ALERTA: EXCESO (" &amp; TEXT(limitePermitido, "0%") &amp; " máx)", "OK"))))</f>
        <v/>
      </c>
      <c r="AP1597" s="79">
        <f>IF(AN1597="","",IF(AE1597=0,"OK",_xlfn.LET(fechaPago, Z1597, fechaFactura, R1597, diasCredito, IF(E1597="Pago inmediato", 0, IFERROR(VALUE(MID(E1597, 1, SEARCH(" ", E1597)-1)),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97" s="79">
        <f>IF(AN1597="","",IF(AND(N1597&gt;0, AG1597&gt;0), IF(Configuración!$K$2="NO", "ALERTA: DESCUENTO DOBLE NO PERMITIDO", "OK"), "OK"))</f>
        <v/>
      </c>
      <c r="AR1597" s="79">
        <f>IF(AN1597="","",IF(OR(AO1597&lt;&gt;"OK", AP1597&lt;&gt;"OK", AQ1597&lt;&gt;"OK"), "⚠️ REVISAR", "OK"))</f>
        <v/>
      </c>
    </row>
    <row r="1598">
      <c r="A1598" s="79">
        <f>IF('Ordenes_Odoo'!A1598="","",'Ordenes_Odoo'!A1598)</f>
        <v/>
      </c>
      <c r="B1598" s="80">
        <f>IF('Ordenes_Odoo'!B1598="","",'Ordenes_Odoo'!B1598)</f>
        <v/>
      </c>
      <c r="C1598" s="79">
        <f>IF('Ordenes_Odoo'!C1598="","",'Ordenes_Odoo'!C1598)</f>
        <v/>
      </c>
      <c r="D1598" s="79">
        <f>IF('Ordenes_Odoo'!D1598="","",'Ordenes_Odoo'!D1598)</f>
        <v/>
      </c>
      <c r="E1598" s="79">
        <f>IF('Ordenes_Odoo'!E1598="","",'Ordenes_Odoo'!E1598)</f>
        <v/>
      </c>
      <c r="F1598" s="79">
        <f>IF('Ordenes_Odoo'!F1598="","",'Ordenes_Odoo'!F1598)</f>
        <v/>
      </c>
      <c r="G1598" s="79">
        <f>IF('Ordenes_Odoo'!G1598="","",'Ordenes_Odoo'!G1598)</f>
        <v/>
      </c>
      <c r="H1598" s="79">
        <f>IF('Ordenes_Odoo'!H1598="","",'Ordenes_Odoo'!H1598)</f>
        <v/>
      </c>
      <c r="I1598" s="79">
        <f>IF('Ordenes_Odoo'!I1598="","",'Ordenes_Odoo'!I1598)</f>
        <v/>
      </c>
      <c r="J1598" s="79">
        <f>IF('Ordenes_Odoo'!J1598="","",'Ordenes_Odoo'!J1598)</f>
        <v/>
      </c>
      <c r="K1598" s="81">
        <f>IF('Ordenes_Odoo'!K1598="","",'Ordenes_Odoo'!K1598)</f>
        <v/>
      </c>
      <c r="L1598" s="81">
        <f>IF('Ordenes_Odoo'!L1598="","",'Ordenes_Odoo'!L1598)</f>
        <v/>
      </c>
      <c r="M1598" s="79">
        <f>IF('Ordenes_Odoo'!M1598="","",'Ordenes_Odoo'!M1598)</f>
        <v/>
      </c>
      <c r="N1598" s="79">
        <f>IF('Ordenes_Odoo'!N1598="","",'Ordenes_Odoo'!N1598)</f>
        <v/>
      </c>
      <c r="O1598" s="81">
        <f>IF('Ordenes_Odoo'!O1598="","",'Ordenes_Odoo'!O1598)</f>
        <v/>
      </c>
      <c r="P1598" s="81">
        <f>IF('Ordenes_Odoo'!P1598="","",'Ordenes_Odoo'!P1598)</f>
        <v/>
      </c>
      <c r="Q1598" s="79">
        <f>IF(A1598="","",IFERROR(INDEX(Facturas_Odoo!$B:$B, MATCH(A1598, Facturas_Odoo!$D:$D, 0)), "Sin Factura"))</f>
        <v/>
      </c>
      <c r="R1598" s="80">
        <f>IF(Q1598="Sin Factura","",IFERROR(INDEX(Facturas_Odoo!$A:$A, MATCH(Q1598, Facturas_Odoo!$B:$B, 0)), ""))</f>
        <v/>
      </c>
      <c r="S1598" s="79">
        <f>IF(Q1598="Sin Factura","",IFERROR(_xlfn.XLOOKUP(1, (Facturas_Odoo!$D:$D=A1598) * (Facturas_Odoo!$K:$K=I1598), Facturas_Odoo!$L:$L, ""), ""))</f>
        <v/>
      </c>
      <c r="T1598" s="81">
        <f>IF(Q1598="Sin Factura",0,IFERROR(_xlfn.XLOOKUP(1, (Facturas_Odoo!$D:$D=A1598) * (Facturas_Odoo!$K:$K=I1598), Facturas_Odoo!$M:$M, 0), 0))</f>
        <v/>
      </c>
      <c r="U1598" s="79">
        <f>IF(Q1598="Sin Factura",0,IFERROR(_xlfn.XLOOKUP(1, (Facturas_Odoo!$D:$D=A1598) * (Facturas_Odoo!$K:$K=I1598), Facturas_Odoo!$N:$N, 0), 0))</f>
        <v/>
      </c>
      <c r="V1598" s="79">
        <f>IF(Q1598="Sin Factura",0,IFERROR(_xlfn.XLOOKUP(1, (Facturas_Odoo!$D:$D=A1598) * (Facturas_Odoo!$K:$K=I1598), Facturas_Odoo!$O:$O, 0), 0))</f>
        <v/>
      </c>
      <c r="W1598" s="81">
        <f>IF(Q1598="Sin Factura",0,IFERROR(_xlfn.XLOOKUP(1, (Facturas_Odoo!$D:$D=A1598) * (Facturas_Odoo!$K:$K=I1598), Facturas_Odoo!$Q:$Q, 0), 0))</f>
        <v/>
      </c>
      <c r="X1598" s="79">
        <f>IF(OR(Q1598="Sin Factura",Q1598=""),"",IFERROR(INDEX(Pagos_Odoo!$B:$B, MATCH(Q1598, Pagos_Odoo!$I:$I, 0)), "Sin Pago"))</f>
        <v/>
      </c>
      <c r="Y1598" s="79">
        <f>IF(X1598="Sin Pago","",IFERROR(INDEX(Pagos_Odoo!$C:$C, MATCH(X1598, Pagos_Odoo!$B:$B, 0)), ""))</f>
        <v/>
      </c>
      <c r="Z1598" s="80">
        <f>IF(X1598="Sin Pago","",IFERROR(INDEX(Pagos_Odoo!$A:$A, MATCH(X1598, Pagos_Odoo!$B:$B, 0)), ""))</f>
        <v/>
      </c>
      <c r="AA1598" s="79">
        <f>IF(X1598="Sin Pago","",IFERROR(INDEX(Pagos_Odoo!$F:$F, MATCH(X1598, Pagos_Odoo!$B:$B, 0)), ""))</f>
        <v/>
      </c>
      <c r="AB1598" s="81">
        <f>IF(X1598="Sin Pago",0,IFERROR(INDEX(Pagos_Odoo!$E:$E, MATCH(X1598, Pagos_Odoo!$B:$B, 0)), 0))</f>
        <v/>
      </c>
      <c r="AC1598" s="79">
        <f>IF(X1598="Sin Pago","",IFERROR(INDEX(Pagos_Odoo!$G:$G, MATCH(X1598, Pagos_Odoo!$B:$B, 0)), ""))</f>
        <v/>
      </c>
      <c r="AD1598" s="82" t="n">
        <v>0</v>
      </c>
      <c r="AE1598" s="82" t="n"/>
      <c r="AF1598" s="82" t="n"/>
      <c r="AG1598" s="82">
        <f>IF(AN1598="","",AD1598+AE1598+AF1598)</f>
        <v/>
      </c>
      <c r="AH1598" s="81">
        <f>IF(AN1598="","",P1598*(1-AG1598))</f>
        <v/>
      </c>
      <c r="AI1598" s="81">
        <f>IF(AN1598="","",IF(Q1598="Sin Factura",0,IFERROR(INDEX(Facturas_Odoo!$H:$H, MATCH(Q1598, Facturas_Odoo!$B:$B, 0)), 0)*(1-AG1598)))</f>
        <v/>
      </c>
      <c r="AJ1598" s="81">
        <f>IF(AN1598="","",_xlfn.LET(idVenta, AN1598&amp;"",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98" s="81">
        <f>IF(AN1598="","",AH1598-AJ1598)</f>
        <v/>
      </c>
      <c r="AL1598" s="81">
        <f>IF(AN1598="","",IF(Q1598="Sin Factura","",AI1598-AJ1598))</f>
        <v/>
      </c>
      <c r="AM1598" s="81">
        <f>IF(AN1598="","",IF(Q1598="Sin Factura",0,P1598-IFERROR(INDEX(Facturas_Odoo!$H:$H, MATCH(Q1598, Facturas_Odoo!$B:$B, 0)), 0)))</f>
        <v/>
      </c>
      <c r="AN1598" s="79">
        <f>IF(AND(A1598="", J1598=""), "", IF(A1598&lt;&gt;"", VALUE(MID(A1598,2,LEN(A1598))), AN1597))</f>
        <v/>
      </c>
      <c r="AO1598" s="79">
        <f>IF(AN1598="","",IF(AD1598=0,"OK",_xlfn.LET(monedaPago, IF(AA1598="","USD",AA1598), limitePermitido, IFERROR(VLOOKUP(monedaPago, Configuración!$A$2:$B$3, 2, FALSE), 0.15), IF(AD1598&gt;limitePermitido, "ALERTA: EXCESO (" &amp; TEXT(limitePermitido, "0%") &amp; " máx)", "OK"))))</f>
        <v/>
      </c>
      <c r="AP1598" s="79">
        <f>IF(AN1598="","",IF(AE1598=0,"OK",_xlfn.LET(fechaPago, Z1598, fechaFactura, R1598, diasCredito, IF(E1598="Pago inmediato", 0, IFERROR(VALUE(MID(E1598, 1, SEARCH(" ", E1598)-1)),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98" s="79">
        <f>IF(AN1598="","",IF(AND(N1598&gt;0, AG1598&gt;0), IF(Configuración!$K$2="NO", "ALERTA: DESCUENTO DOBLE NO PERMITIDO", "OK"), "OK"))</f>
        <v/>
      </c>
      <c r="AR1598" s="79">
        <f>IF(AN1598="","",IF(OR(AO1598&lt;&gt;"OK", AP1598&lt;&gt;"OK", AQ1598&lt;&gt;"OK"), "⚠️ REVISAR", "OK"))</f>
        <v/>
      </c>
    </row>
    <row r="1599">
      <c r="A1599" s="79">
        <f>IF('Ordenes_Odoo'!A1599="","",'Ordenes_Odoo'!A1599)</f>
        <v/>
      </c>
      <c r="B1599" s="80">
        <f>IF('Ordenes_Odoo'!B1599="","",'Ordenes_Odoo'!B1599)</f>
        <v/>
      </c>
      <c r="C1599" s="79">
        <f>IF('Ordenes_Odoo'!C1599="","",'Ordenes_Odoo'!C1599)</f>
        <v/>
      </c>
      <c r="D1599" s="79">
        <f>IF('Ordenes_Odoo'!D1599="","",'Ordenes_Odoo'!D1599)</f>
        <v/>
      </c>
      <c r="E1599" s="79">
        <f>IF('Ordenes_Odoo'!E1599="","",'Ordenes_Odoo'!E1599)</f>
        <v/>
      </c>
      <c r="F1599" s="79">
        <f>IF('Ordenes_Odoo'!F1599="","",'Ordenes_Odoo'!F1599)</f>
        <v/>
      </c>
      <c r="G1599" s="79">
        <f>IF('Ordenes_Odoo'!G1599="","",'Ordenes_Odoo'!G1599)</f>
        <v/>
      </c>
      <c r="H1599" s="79">
        <f>IF('Ordenes_Odoo'!H1599="","",'Ordenes_Odoo'!H1599)</f>
        <v/>
      </c>
      <c r="I1599" s="79">
        <f>IF('Ordenes_Odoo'!I1599="","",'Ordenes_Odoo'!I1599)</f>
        <v/>
      </c>
      <c r="J1599" s="79">
        <f>IF('Ordenes_Odoo'!J1599="","",'Ordenes_Odoo'!J1599)</f>
        <v/>
      </c>
      <c r="K1599" s="81">
        <f>IF('Ordenes_Odoo'!K1599="","",'Ordenes_Odoo'!K1599)</f>
        <v/>
      </c>
      <c r="L1599" s="81">
        <f>IF('Ordenes_Odoo'!L1599="","",'Ordenes_Odoo'!L1599)</f>
        <v/>
      </c>
      <c r="M1599" s="79">
        <f>IF('Ordenes_Odoo'!M1599="","",'Ordenes_Odoo'!M1599)</f>
        <v/>
      </c>
      <c r="N1599" s="79">
        <f>IF('Ordenes_Odoo'!N1599="","",'Ordenes_Odoo'!N1599)</f>
        <v/>
      </c>
      <c r="O1599" s="81">
        <f>IF('Ordenes_Odoo'!O1599="","",'Ordenes_Odoo'!O1599)</f>
        <v/>
      </c>
      <c r="P1599" s="81">
        <f>IF('Ordenes_Odoo'!P1599="","",'Ordenes_Odoo'!P1599)</f>
        <v/>
      </c>
      <c r="Q1599" s="79">
        <f>IF(A1599="","",IFERROR(INDEX(Facturas_Odoo!$B:$B, MATCH(A1599, Facturas_Odoo!$D:$D, 0)), "Sin Factura"))</f>
        <v/>
      </c>
      <c r="R1599" s="80">
        <f>IF(Q1599="Sin Factura","",IFERROR(INDEX(Facturas_Odoo!$A:$A, MATCH(Q1599, Facturas_Odoo!$B:$B, 0)), ""))</f>
        <v/>
      </c>
      <c r="S1599" s="79">
        <f>IF(Q1599="Sin Factura","",IFERROR(_xlfn.XLOOKUP(1, (Facturas_Odoo!$D:$D=A1599) * (Facturas_Odoo!$K:$K=I1599), Facturas_Odoo!$L:$L, ""), ""))</f>
        <v/>
      </c>
      <c r="T1599" s="81">
        <f>IF(Q1599="Sin Factura",0,IFERROR(_xlfn.XLOOKUP(1, (Facturas_Odoo!$D:$D=A1599) * (Facturas_Odoo!$K:$K=I1599), Facturas_Odoo!$M:$M, 0), 0))</f>
        <v/>
      </c>
      <c r="U1599" s="79">
        <f>IF(Q1599="Sin Factura",0,IFERROR(_xlfn.XLOOKUP(1, (Facturas_Odoo!$D:$D=A1599) * (Facturas_Odoo!$K:$K=I1599), Facturas_Odoo!$N:$N, 0), 0))</f>
        <v/>
      </c>
      <c r="V1599" s="79">
        <f>IF(Q1599="Sin Factura",0,IFERROR(_xlfn.XLOOKUP(1, (Facturas_Odoo!$D:$D=A1599) * (Facturas_Odoo!$K:$K=I1599), Facturas_Odoo!$O:$O, 0), 0))</f>
        <v/>
      </c>
      <c r="W1599" s="81">
        <f>IF(Q1599="Sin Factura",0,IFERROR(_xlfn.XLOOKUP(1, (Facturas_Odoo!$D:$D=A1599) * (Facturas_Odoo!$K:$K=I1599), Facturas_Odoo!$Q:$Q, 0), 0))</f>
        <v/>
      </c>
      <c r="X1599" s="79">
        <f>IF(OR(Q1599="Sin Factura",Q1599=""),"",IFERROR(INDEX(Pagos_Odoo!$B:$B, MATCH(Q1599, Pagos_Odoo!$I:$I, 0)), "Sin Pago"))</f>
        <v/>
      </c>
      <c r="Y1599" s="79">
        <f>IF(X1599="Sin Pago","",IFERROR(INDEX(Pagos_Odoo!$C:$C, MATCH(X1599, Pagos_Odoo!$B:$B, 0)), ""))</f>
        <v/>
      </c>
      <c r="Z1599" s="80">
        <f>IF(X1599="Sin Pago","",IFERROR(INDEX(Pagos_Odoo!$A:$A, MATCH(X1599, Pagos_Odoo!$B:$B, 0)), ""))</f>
        <v/>
      </c>
      <c r="AA1599" s="79">
        <f>IF(X1599="Sin Pago","",IFERROR(INDEX(Pagos_Odoo!$F:$F, MATCH(X1599, Pagos_Odoo!$B:$B, 0)), ""))</f>
        <v/>
      </c>
      <c r="AB1599" s="81">
        <f>IF(X1599="Sin Pago",0,IFERROR(INDEX(Pagos_Odoo!$E:$E, MATCH(X1599, Pagos_Odoo!$B:$B, 0)), 0))</f>
        <v/>
      </c>
      <c r="AC1599" s="79">
        <f>IF(X1599="Sin Pago","",IFERROR(INDEX(Pagos_Odoo!$G:$G, MATCH(X1599, Pagos_Odoo!$B:$B, 0)), ""))</f>
        <v/>
      </c>
      <c r="AD1599" s="82" t="n">
        <v>0</v>
      </c>
      <c r="AE1599" s="82" t="n"/>
      <c r="AF1599" s="82" t="n"/>
      <c r="AG1599" s="82">
        <f>IF(AN1599="","",AD1599+AE1599+AF1599)</f>
        <v/>
      </c>
      <c r="AH1599" s="81">
        <f>IF(AN1599="","",P1599*(1-AG1599))</f>
        <v/>
      </c>
      <c r="AI1599" s="81">
        <f>IF(AN1599="","",IF(Q1599="Sin Factura",0,IFERROR(INDEX(Facturas_Odoo!$H:$H, MATCH(Q1599, Facturas_Odoo!$B:$B, 0)), 0)*(1-AG1599)))</f>
        <v/>
      </c>
      <c r="AJ1599" s="81">
        <f>IF(AN1599="","",_xlfn.LET(idVenta, AN1599&amp;"",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599" s="81">
        <f>IF(AN1599="","",AH1599-AJ1599)</f>
        <v/>
      </c>
      <c r="AL1599" s="81">
        <f>IF(AN1599="","",IF(Q1599="Sin Factura","",AI1599-AJ1599))</f>
        <v/>
      </c>
      <c r="AM1599" s="81">
        <f>IF(AN1599="","",IF(Q1599="Sin Factura",0,P1599-IFERROR(INDEX(Facturas_Odoo!$H:$H, MATCH(Q1599, Facturas_Odoo!$B:$B, 0)), 0)))</f>
        <v/>
      </c>
      <c r="AN1599" s="79">
        <f>IF(AND(A1599="", J1599=""), "", IF(A1599&lt;&gt;"", VALUE(MID(A1599,2,LEN(A1599))), AN1598))</f>
        <v/>
      </c>
      <c r="AO1599" s="79">
        <f>IF(AN1599="","",IF(AD1599=0,"OK",_xlfn.LET(monedaPago, IF(AA1599="","USD",AA1599), limitePermitido, IFERROR(VLOOKUP(monedaPago, Configuración!$A$2:$B$3, 2, FALSE), 0.15), IF(AD1599&gt;limitePermitido, "ALERTA: EXCESO (" &amp; TEXT(limitePermitido, "0%") &amp; " máx)", "OK"))))</f>
        <v/>
      </c>
      <c r="AP1599" s="79">
        <f>IF(AN1599="","",IF(AE1599=0,"OK",_xlfn.LET(fechaPago, Z1599, fechaFactura, R1599, diasCredito, IF(E1599="Pago inmediato", 0, IFERROR(VALUE(MID(E1599, 1, SEARCH(" ", E1599)-1)),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599" s="79">
        <f>IF(AN1599="","",IF(AND(N1599&gt;0, AG1599&gt;0), IF(Configuración!$K$2="NO", "ALERTA: DESCUENTO DOBLE NO PERMITIDO", "OK"), "OK"))</f>
        <v/>
      </c>
      <c r="AR1599" s="79">
        <f>IF(AN1599="","",IF(OR(AO1599&lt;&gt;"OK", AP1599&lt;&gt;"OK", AQ1599&lt;&gt;"OK"), "⚠️ REVISAR", "OK"))</f>
        <v/>
      </c>
    </row>
    <row r="1600">
      <c r="A1600" s="79">
        <f>IF('Ordenes_Odoo'!A1600="","",'Ordenes_Odoo'!A1600)</f>
        <v/>
      </c>
      <c r="B1600" s="80">
        <f>IF('Ordenes_Odoo'!B1600="","",'Ordenes_Odoo'!B1600)</f>
        <v/>
      </c>
      <c r="C1600" s="79">
        <f>IF('Ordenes_Odoo'!C1600="","",'Ordenes_Odoo'!C1600)</f>
        <v/>
      </c>
      <c r="D1600" s="79">
        <f>IF('Ordenes_Odoo'!D1600="","",'Ordenes_Odoo'!D1600)</f>
        <v/>
      </c>
      <c r="E1600" s="79">
        <f>IF('Ordenes_Odoo'!E1600="","",'Ordenes_Odoo'!E1600)</f>
        <v/>
      </c>
      <c r="F1600" s="79">
        <f>IF('Ordenes_Odoo'!F1600="","",'Ordenes_Odoo'!F1600)</f>
        <v/>
      </c>
      <c r="G1600" s="79">
        <f>IF('Ordenes_Odoo'!G1600="","",'Ordenes_Odoo'!G1600)</f>
        <v/>
      </c>
      <c r="H1600" s="79">
        <f>IF('Ordenes_Odoo'!H1600="","",'Ordenes_Odoo'!H1600)</f>
        <v/>
      </c>
      <c r="I1600" s="79">
        <f>IF('Ordenes_Odoo'!I1600="","",'Ordenes_Odoo'!I1600)</f>
        <v/>
      </c>
      <c r="J1600" s="79">
        <f>IF('Ordenes_Odoo'!J1600="","",'Ordenes_Odoo'!J1600)</f>
        <v/>
      </c>
      <c r="K1600" s="81">
        <f>IF('Ordenes_Odoo'!K1600="","",'Ordenes_Odoo'!K1600)</f>
        <v/>
      </c>
      <c r="L1600" s="81">
        <f>IF('Ordenes_Odoo'!L1600="","",'Ordenes_Odoo'!L1600)</f>
        <v/>
      </c>
      <c r="M1600" s="79">
        <f>IF('Ordenes_Odoo'!M1600="","",'Ordenes_Odoo'!M1600)</f>
        <v/>
      </c>
      <c r="N1600" s="79">
        <f>IF('Ordenes_Odoo'!N1600="","",'Ordenes_Odoo'!N1600)</f>
        <v/>
      </c>
      <c r="O1600" s="81">
        <f>IF('Ordenes_Odoo'!O1600="","",'Ordenes_Odoo'!O1600)</f>
        <v/>
      </c>
      <c r="P1600" s="81">
        <f>IF('Ordenes_Odoo'!P1600="","",'Ordenes_Odoo'!P1600)</f>
        <v/>
      </c>
      <c r="Q1600" s="79">
        <f>IF(A1600="","",IFERROR(INDEX(Facturas_Odoo!$B:$B, MATCH(A1600, Facturas_Odoo!$D:$D, 0)), "Sin Factura"))</f>
        <v/>
      </c>
      <c r="R1600" s="80">
        <f>IF(Q1600="Sin Factura","",IFERROR(INDEX(Facturas_Odoo!$A:$A, MATCH(Q1600, Facturas_Odoo!$B:$B, 0)), ""))</f>
        <v/>
      </c>
      <c r="S1600" s="79">
        <f>IF(Q1600="Sin Factura","",IFERROR(_xlfn.XLOOKUP(1, (Facturas_Odoo!$D:$D=A1600) * (Facturas_Odoo!$K:$K=I1600), Facturas_Odoo!$L:$L, ""), ""))</f>
        <v/>
      </c>
      <c r="T1600" s="81">
        <f>IF(Q1600="Sin Factura",0,IFERROR(_xlfn.XLOOKUP(1, (Facturas_Odoo!$D:$D=A1600) * (Facturas_Odoo!$K:$K=I1600), Facturas_Odoo!$M:$M, 0), 0))</f>
        <v/>
      </c>
      <c r="U1600" s="79">
        <f>IF(Q1600="Sin Factura",0,IFERROR(_xlfn.XLOOKUP(1, (Facturas_Odoo!$D:$D=A1600) * (Facturas_Odoo!$K:$K=I1600), Facturas_Odoo!$N:$N, 0), 0))</f>
        <v/>
      </c>
      <c r="V1600" s="79">
        <f>IF(Q1600="Sin Factura",0,IFERROR(_xlfn.XLOOKUP(1, (Facturas_Odoo!$D:$D=A1600) * (Facturas_Odoo!$K:$K=I1600), Facturas_Odoo!$O:$O, 0), 0))</f>
        <v/>
      </c>
      <c r="W1600" s="81">
        <f>IF(Q1600="Sin Factura",0,IFERROR(_xlfn.XLOOKUP(1, (Facturas_Odoo!$D:$D=A1600) * (Facturas_Odoo!$K:$K=I1600), Facturas_Odoo!$Q:$Q, 0), 0))</f>
        <v/>
      </c>
      <c r="X1600" s="79">
        <f>IF(OR(Q1600="Sin Factura",Q1600=""),"",IFERROR(INDEX(Pagos_Odoo!$B:$B, MATCH(Q1600, Pagos_Odoo!$I:$I, 0)), "Sin Pago"))</f>
        <v/>
      </c>
      <c r="Y1600" s="79">
        <f>IF(X1600="Sin Pago","",IFERROR(INDEX(Pagos_Odoo!$C:$C, MATCH(X1600, Pagos_Odoo!$B:$B, 0)), ""))</f>
        <v/>
      </c>
      <c r="Z1600" s="80">
        <f>IF(X1600="Sin Pago","",IFERROR(INDEX(Pagos_Odoo!$A:$A, MATCH(X1600, Pagos_Odoo!$B:$B, 0)), ""))</f>
        <v/>
      </c>
      <c r="AA1600" s="79">
        <f>IF(X1600="Sin Pago","",IFERROR(INDEX(Pagos_Odoo!$F:$F, MATCH(X1600, Pagos_Odoo!$B:$B, 0)), ""))</f>
        <v/>
      </c>
      <c r="AB1600" s="81">
        <f>IF(X1600="Sin Pago",0,IFERROR(INDEX(Pagos_Odoo!$E:$E, MATCH(X1600, Pagos_Odoo!$B:$B, 0)), 0))</f>
        <v/>
      </c>
      <c r="AC1600" s="79">
        <f>IF(X1600="Sin Pago","",IFERROR(INDEX(Pagos_Odoo!$G:$G, MATCH(X1600, Pagos_Odoo!$B:$B, 0)), ""))</f>
        <v/>
      </c>
      <c r="AD1600" s="82" t="n">
        <v>0</v>
      </c>
      <c r="AE1600" s="82" t="n"/>
      <c r="AF1600" s="82" t="n"/>
      <c r="AG1600" s="82">
        <f>IF(AN1600="","",AD1600+AE1600+AF1600)</f>
        <v/>
      </c>
      <c r="AH1600" s="81">
        <f>IF(AN1600="","",P1600*(1-AG1600))</f>
        <v/>
      </c>
      <c r="AI1600" s="81">
        <f>IF(AN1600="","",IF(Q1600="Sin Factura",0,IFERROR(INDEX(Facturas_Odoo!$H:$H, MATCH(Q1600, Facturas_Odoo!$B:$B, 0)), 0)*(1-AG1600)))</f>
        <v/>
      </c>
      <c r="AJ1600" s="81">
        <f>IF(AN1600="","",_xlfn.LET(idVenta, AN1600&amp;"",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00" s="81">
        <f>IF(AN1600="","",AH1600-AJ1600)</f>
        <v/>
      </c>
      <c r="AL1600" s="81">
        <f>IF(AN1600="","",IF(Q1600="Sin Factura","",AI1600-AJ1600))</f>
        <v/>
      </c>
      <c r="AM1600" s="81">
        <f>IF(AN1600="","",IF(Q1600="Sin Factura",0,P1600-IFERROR(INDEX(Facturas_Odoo!$H:$H, MATCH(Q1600, Facturas_Odoo!$B:$B, 0)), 0)))</f>
        <v/>
      </c>
      <c r="AN1600" s="79">
        <f>IF(AND(A1600="", J1600=""), "", IF(A1600&lt;&gt;"", VALUE(MID(A1600,2,LEN(A1600))), AN1599))</f>
        <v/>
      </c>
      <c r="AO1600" s="79">
        <f>IF(AN1600="","",IF(AD1600=0,"OK",_xlfn.LET(monedaPago, IF(AA1600="","USD",AA1600), limitePermitido, IFERROR(VLOOKUP(monedaPago, Configuración!$A$2:$B$3, 2, FALSE), 0.15), IF(AD1600&gt;limitePermitido, "ALERTA: EXCESO (" &amp; TEXT(limitePermitido, "0%") &amp; " máx)", "OK"))))</f>
        <v/>
      </c>
      <c r="AP1600" s="79">
        <f>IF(AN1600="","",IF(AE1600=0,"OK",_xlfn.LET(fechaPago, Z1600, fechaFactura, R1600, diasCredito, IF(E1600="Pago inmediato", 0, IFERROR(VALUE(MID(E1600, 1, SEARCH(" ", E1600)-1)),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00" s="79">
        <f>IF(AN1600="","",IF(AND(N1600&gt;0, AG1600&gt;0), IF(Configuración!$K$2="NO", "ALERTA: DESCUENTO DOBLE NO PERMITIDO", "OK"), "OK"))</f>
        <v/>
      </c>
      <c r="AR1600" s="79">
        <f>IF(AN1600="","",IF(OR(AO1600&lt;&gt;"OK", AP1600&lt;&gt;"OK", AQ1600&lt;&gt;"OK"), "⚠️ REVISAR", "OK"))</f>
        <v/>
      </c>
    </row>
    <row r="1601">
      <c r="A1601" s="79">
        <f>IF('Ordenes_Odoo'!A1601="","",'Ordenes_Odoo'!A1601)</f>
        <v/>
      </c>
      <c r="B1601" s="80">
        <f>IF('Ordenes_Odoo'!B1601="","",'Ordenes_Odoo'!B1601)</f>
        <v/>
      </c>
      <c r="C1601" s="79">
        <f>IF('Ordenes_Odoo'!C1601="","",'Ordenes_Odoo'!C1601)</f>
        <v/>
      </c>
      <c r="D1601" s="79">
        <f>IF('Ordenes_Odoo'!D1601="","",'Ordenes_Odoo'!D1601)</f>
        <v/>
      </c>
      <c r="E1601" s="79">
        <f>IF('Ordenes_Odoo'!E1601="","",'Ordenes_Odoo'!E1601)</f>
        <v/>
      </c>
      <c r="F1601" s="79">
        <f>IF('Ordenes_Odoo'!F1601="","",'Ordenes_Odoo'!F1601)</f>
        <v/>
      </c>
      <c r="G1601" s="79">
        <f>IF('Ordenes_Odoo'!G1601="","",'Ordenes_Odoo'!G1601)</f>
        <v/>
      </c>
      <c r="H1601" s="79">
        <f>IF('Ordenes_Odoo'!H1601="","",'Ordenes_Odoo'!H1601)</f>
        <v/>
      </c>
      <c r="I1601" s="79">
        <f>IF('Ordenes_Odoo'!I1601="","",'Ordenes_Odoo'!I1601)</f>
        <v/>
      </c>
      <c r="J1601" s="79">
        <f>IF('Ordenes_Odoo'!J1601="","",'Ordenes_Odoo'!J1601)</f>
        <v/>
      </c>
      <c r="K1601" s="81">
        <f>IF('Ordenes_Odoo'!K1601="","",'Ordenes_Odoo'!K1601)</f>
        <v/>
      </c>
      <c r="L1601" s="81">
        <f>IF('Ordenes_Odoo'!L1601="","",'Ordenes_Odoo'!L1601)</f>
        <v/>
      </c>
      <c r="M1601" s="79">
        <f>IF('Ordenes_Odoo'!M1601="","",'Ordenes_Odoo'!M1601)</f>
        <v/>
      </c>
      <c r="N1601" s="79">
        <f>IF('Ordenes_Odoo'!N1601="","",'Ordenes_Odoo'!N1601)</f>
        <v/>
      </c>
      <c r="O1601" s="81">
        <f>IF('Ordenes_Odoo'!O1601="","",'Ordenes_Odoo'!O1601)</f>
        <v/>
      </c>
      <c r="P1601" s="81">
        <f>IF('Ordenes_Odoo'!P1601="","",'Ordenes_Odoo'!P1601)</f>
        <v/>
      </c>
      <c r="Q1601" s="79">
        <f>IF(A1601="","",IFERROR(INDEX(Facturas_Odoo!$B:$B, MATCH(A1601, Facturas_Odoo!$D:$D, 0)), "Sin Factura"))</f>
        <v/>
      </c>
      <c r="R1601" s="80">
        <f>IF(Q1601="Sin Factura","",IFERROR(INDEX(Facturas_Odoo!$A:$A, MATCH(Q1601, Facturas_Odoo!$B:$B, 0)), ""))</f>
        <v/>
      </c>
      <c r="S1601" s="79">
        <f>IF(Q1601="Sin Factura","",IFERROR(_xlfn.XLOOKUP(1, (Facturas_Odoo!$D:$D=A1601) * (Facturas_Odoo!$K:$K=I1601), Facturas_Odoo!$L:$L, ""), ""))</f>
        <v/>
      </c>
      <c r="T1601" s="81">
        <f>IF(Q1601="Sin Factura",0,IFERROR(_xlfn.XLOOKUP(1, (Facturas_Odoo!$D:$D=A1601) * (Facturas_Odoo!$K:$K=I1601), Facturas_Odoo!$M:$M, 0), 0))</f>
        <v/>
      </c>
      <c r="U1601" s="79">
        <f>IF(Q1601="Sin Factura",0,IFERROR(_xlfn.XLOOKUP(1, (Facturas_Odoo!$D:$D=A1601) * (Facturas_Odoo!$K:$K=I1601), Facturas_Odoo!$N:$N, 0), 0))</f>
        <v/>
      </c>
      <c r="V1601" s="79">
        <f>IF(Q1601="Sin Factura",0,IFERROR(_xlfn.XLOOKUP(1, (Facturas_Odoo!$D:$D=A1601) * (Facturas_Odoo!$K:$K=I1601), Facturas_Odoo!$O:$O, 0), 0))</f>
        <v/>
      </c>
      <c r="W1601" s="81">
        <f>IF(Q1601="Sin Factura",0,IFERROR(_xlfn.XLOOKUP(1, (Facturas_Odoo!$D:$D=A1601) * (Facturas_Odoo!$K:$K=I1601), Facturas_Odoo!$Q:$Q, 0), 0))</f>
        <v/>
      </c>
      <c r="X1601" s="79">
        <f>IF(OR(Q1601="Sin Factura",Q1601=""),"",IFERROR(INDEX(Pagos_Odoo!$B:$B, MATCH(Q1601, Pagos_Odoo!$I:$I, 0)), "Sin Pago"))</f>
        <v/>
      </c>
      <c r="Y1601" s="79">
        <f>IF(X1601="Sin Pago","",IFERROR(INDEX(Pagos_Odoo!$C:$C, MATCH(X1601, Pagos_Odoo!$B:$B, 0)), ""))</f>
        <v/>
      </c>
      <c r="Z1601" s="80">
        <f>IF(X1601="Sin Pago","",IFERROR(INDEX(Pagos_Odoo!$A:$A, MATCH(X1601, Pagos_Odoo!$B:$B, 0)), ""))</f>
        <v/>
      </c>
      <c r="AA1601" s="79">
        <f>IF(X1601="Sin Pago","",IFERROR(INDEX(Pagos_Odoo!$F:$F, MATCH(X1601, Pagos_Odoo!$B:$B, 0)), ""))</f>
        <v/>
      </c>
      <c r="AB1601" s="81">
        <f>IF(X1601="Sin Pago",0,IFERROR(INDEX(Pagos_Odoo!$E:$E, MATCH(X1601, Pagos_Odoo!$B:$B, 0)), 0))</f>
        <v/>
      </c>
      <c r="AC1601" s="79">
        <f>IF(X1601="Sin Pago","",IFERROR(INDEX(Pagos_Odoo!$G:$G, MATCH(X1601, Pagos_Odoo!$B:$B, 0)), ""))</f>
        <v/>
      </c>
      <c r="AD1601" s="82" t="n">
        <v>0</v>
      </c>
      <c r="AE1601" s="82" t="n"/>
      <c r="AF1601" s="82" t="n"/>
      <c r="AG1601" s="82">
        <f>IF(AN1601="","",AD1601+AE1601+AF1601)</f>
        <v/>
      </c>
      <c r="AH1601" s="81">
        <f>IF(AN1601="","",P1601*(1-AG1601))</f>
        <v/>
      </c>
      <c r="AI1601" s="81">
        <f>IF(AN1601="","",IF(Q1601="Sin Factura",0,IFERROR(INDEX(Facturas_Odoo!$H:$H, MATCH(Q1601, Facturas_Odoo!$B:$B, 0)), 0)*(1-AG1601)))</f>
        <v/>
      </c>
      <c r="AJ1601" s="81">
        <f>IF(AN1601="","",_xlfn.LET(idVenta, AN1601&amp;"",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01" s="81">
        <f>IF(AN1601="","",AH1601-AJ1601)</f>
        <v/>
      </c>
      <c r="AL1601" s="81">
        <f>IF(AN1601="","",IF(Q1601="Sin Factura","",AI1601-AJ1601))</f>
        <v/>
      </c>
      <c r="AM1601" s="81">
        <f>IF(AN1601="","",IF(Q1601="Sin Factura",0,P1601-IFERROR(INDEX(Facturas_Odoo!$H:$H, MATCH(Q1601, Facturas_Odoo!$B:$B, 0)), 0)))</f>
        <v/>
      </c>
      <c r="AN1601" s="79">
        <f>IF(AND(A1601="", J1601=""), "", IF(A1601&lt;&gt;"", VALUE(MID(A1601,2,LEN(A1601))), AN1600))</f>
        <v/>
      </c>
      <c r="AO1601" s="79">
        <f>IF(AN1601="","",IF(AD1601=0,"OK",_xlfn.LET(monedaPago, IF(AA1601="","USD",AA1601), limitePermitido, IFERROR(VLOOKUP(monedaPago, Configuración!$A$2:$B$3, 2, FALSE), 0.15), IF(AD1601&gt;limitePermitido, "ALERTA: EXCESO (" &amp; TEXT(limitePermitido, "0%") &amp; " máx)", "OK"))))</f>
        <v/>
      </c>
      <c r="AP1601" s="79">
        <f>IF(AN1601="","",IF(AE1601=0,"OK",_xlfn.LET(fechaPago, Z1601, fechaFactura, R1601, diasCredito, IF(E1601="Pago inmediato", 0, IFERROR(VALUE(MID(E1601, 1, SEARCH(" ", E1601)-1)),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01" s="79">
        <f>IF(AN1601="","",IF(AND(N1601&gt;0, AG1601&gt;0), IF(Configuración!$K$2="NO", "ALERTA: DESCUENTO DOBLE NO PERMITIDO", "OK"), "OK"))</f>
        <v/>
      </c>
      <c r="AR1601" s="79">
        <f>IF(AN1601="","",IF(OR(AO1601&lt;&gt;"OK", AP1601&lt;&gt;"OK", AQ1601&lt;&gt;"OK"), "⚠️ REVISAR", "OK"))</f>
        <v/>
      </c>
    </row>
    <row r="1602">
      <c r="A1602" s="79">
        <f>IF('Ordenes_Odoo'!A1602="","",'Ordenes_Odoo'!A1602)</f>
        <v/>
      </c>
      <c r="B1602" s="80">
        <f>IF('Ordenes_Odoo'!B1602="","",'Ordenes_Odoo'!B1602)</f>
        <v/>
      </c>
      <c r="C1602" s="79">
        <f>IF('Ordenes_Odoo'!C1602="","",'Ordenes_Odoo'!C1602)</f>
        <v/>
      </c>
      <c r="D1602" s="79">
        <f>IF('Ordenes_Odoo'!D1602="","",'Ordenes_Odoo'!D1602)</f>
        <v/>
      </c>
      <c r="E1602" s="79">
        <f>IF('Ordenes_Odoo'!E1602="","",'Ordenes_Odoo'!E1602)</f>
        <v/>
      </c>
      <c r="F1602" s="79">
        <f>IF('Ordenes_Odoo'!F1602="","",'Ordenes_Odoo'!F1602)</f>
        <v/>
      </c>
      <c r="G1602" s="79">
        <f>IF('Ordenes_Odoo'!G1602="","",'Ordenes_Odoo'!G1602)</f>
        <v/>
      </c>
      <c r="H1602" s="79">
        <f>IF('Ordenes_Odoo'!H1602="","",'Ordenes_Odoo'!H1602)</f>
        <v/>
      </c>
      <c r="I1602" s="79">
        <f>IF('Ordenes_Odoo'!I1602="","",'Ordenes_Odoo'!I1602)</f>
        <v/>
      </c>
      <c r="J1602" s="79">
        <f>IF('Ordenes_Odoo'!J1602="","",'Ordenes_Odoo'!J1602)</f>
        <v/>
      </c>
      <c r="K1602" s="81">
        <f>IF('Ordenes_Odoo'!K1602="","",'Ordenes_Odoo'!K1602)</f>
        <v/>
      </c>
      <c r="L1602" s="81">
        <f>IF('Ordenes_Odoo'!L1602="","",'Ordenes_Odoo'!L1602)</f>
        <v/>
      </c>
      <c r="M1602" s="79">
        <f>IF('Ordenes_Odoo'!M1602="","",'Ordenes_Odoo'!M1602)</f>
        <v/>
      </c>
      <c r="N1602" s="79">
        <f>IF('Ordenes_Odoo'!N1602="","",'Ordenes_Odoo'!N1602)</f>
        <v/>
      </c>
      <c r="O1602" s="81">
        <f>IF('Ordenes_Odoo'!O1602="","",'Ordenes_Odoo'!O1602)</f>
        <v/>
      </c>
      <c r="P1602" s="81">
        <f>IF('Ordenes_Odoo'!P1602="","",'Ordenes_Odoo'!P1602)</f>
        <v/>
      </c>
      <c r="Q1602" s="79">
        <f>IF(A1602="","",IFERROR(INDEX(Facturas_Odoo!$B:$B, MATCH(A1602, Facturas_Odoo!$D:$D, 0)), "Sin Factura"))</f>
        <v/>
      </c>
      <c r="R1602" s="80">
        <f>IF(Q1602="Sin Factura","",IFERROR(INDEX(Facturas_Odoo!$A:$A, MATCH(Q1602, Facturas_Odoo!$B:$B, 0)), ""))</f>
        <v/>
      </c>
      <c r="S1602" s="79">
        <f>IF(Q1602="Sin Factura","",IFERROR(_xlfn.XLOOKUP(1, (Facturas_Odoo!$D:$D=A1602) * (Facturas_Odoo!$K:$K=I1602), Facturas_Odoo!$L:$L, ""), ""))</f>
        <v/>
      </c>
      <c r="T1602" s="81">
        <f>IF(Q1602="Sin Factura",0,IFERROR(_xlfn.XLOOKUP(1, (Facturas_Odoo!$D:$D=A1602) * (Facturas_Odoo!$K:$K=I1602), Facturas_Odoo!$M:$M, 0), 0))</f>
        <v/>
      </c>
      <c r="U1602" s="79">
        <f>IF(Q1602="Sin Factura",0,IFERROR(_xlfn.XLOOKUP(1, (Facturas_Odoo!$D:$D=A1602) * (Facturas_Odoo!$K:$K=I1602), Facturas_Odoo!$N:$N, 0), 0))</f>
        <v/>
      </c>
      <c r="V1602" s="79">
        <f>IF(Q1602="Sin Factura",0,IFERROR(_xlfn.XLOOKUP(1, (Facturas_Odoo!$D:$D=A1602) * (Facturas_Odoo!$K:$K=I1602), Facturas_Odoo!$O:$O, 0), 0))</f>
        <v/>
      </c>
      <c r="W1602" s="81">
        <f>IF(Q1602="Sin Factura",0,IFERROR(_xlfn.XLOOKUP(1, (Facturas_Odoo!$D:$D=A1602) * (Facturas_Odoo!$K:$K=I1602), Facturas_Odoo!$Q:$Q, 0), 0))</f>
        <v/>
      </c>
      <c r="X1602" s="79">
        <f>IF(OR(Q1602="Sin Factura",Q1602=""),"",IFERROR(INDEX(Pagos_Odoo!$B:$B, MATCH(Q1602, Pagos_Odoo!$I:$I, 0)), "Sin Pago"))</f>
        <v/>
      </c>
      <c r="Y1602" s="79">
        <f>IF(X1602="Sin Pago","",IFERROR(INDEX(Pagos_Odoo!$C:$C, MATCH(X1602, Pagos_Odoo!$B:$B, 0)), ""))</f>
        <v/>
      </c>
      <c r="Z1602" s="80">
        <f>IF(X1602="Sin Pago","",IFERROR(INDEX(Pagos_Odoo!$A:$A, MATCH(X1602, Pagos_Odoo!$B:$B, 0)), ""))</f>
        <v/>
      </c>
      <c r="AA1602" s="79">
        <f>IF(X1602="Sin Pago","",IFERROR(INDEX(Pagos_Odoo!$F:$F, MATCH(X1602, Pagos_Odoo!$B:$B, 0)), ""))</f>
        <v/>
      </c>
      <c r="AB1602" s="81">
        <f>IF(X1602="Sin Pago",0,IFERROR(INDEX(Pagos_Odoo!$E:$E, MATCH(X1602, Pagos_Odoo!$B:$B, 0)), 0))</f>
        <v/>
      </c>
      <c r="AC1602" s="79">
        <f>IF(X1602="Sin Pago","",IFERROR(INDEX(Pagos_Odoo!$G:$G, MATCH(X1602, Pagos_Odoo!$B:$B, 0)), ""))</f>
        <v/>
      </c>
      <c r="AD1602" s="82" t="n">
        <v>0</v>
      </c>
      <c r="AE1602" s="82" t="n"/>
      <c r="AF1602" s="82" t="n"/>
      <c r="AG1602" s="82">
        <f>IF(AN1602="","",AD1602+AE1602+AF1602)</f>
        <v/>
      </c>
      <c r="AH1602" s="81">
        <f>IF(AN1602="","",P1602*(1-AG1602))</f>
        <v/>
      </c>
      <c r="AI1602" s="81">
        <f>IF(AN1602="","",IF(Q1602="Sin Factura",0,IFERROR(INDEX(Facturas_Odoo!$H:$H, MATCH(Q1602, Facturas_Odoo!$B:$B, 0)), 0)*(1-AG1602)))</f>
        <v/>
      </c>
      <c r="AJ1602" s="81">
        <f>IF(AN1602="","",_xlfn.LET(idVenta, AN1602&amp;"",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02" s="81">
        <f>IF(AN1602="","",AH1602-AJ1602)</f>
        <v/>
      </c>
      <c r="AL1602" s="81">
        <f>IF(AN1602="","",IF(Q1602="Sin Factura","",AI1602-AJ1602))</f>
        <v/>
      </c>
      <c r="AM1602" s="81">
        <f>IF(AN1602="","",IF(Q1602="Sin Factura",0,P1602-IFERROR(INDEX(Facturas_Odoo!$H:$H, MATCH(Q1602, Facturas_Odoo!$B:$B, 0)), 0)))</f>
        <v/>
      </c>
      <c r="AN1602" s="79">
        <f>IF(AND(A1602="", J1602=""), "", IF(A1602&lt;&gt;"", VALUE(MID(A1602,2,LEN(A1602))), AN1601))</f>
        <v/>
      </c>
      <c r="AO1602" s="79">
        <f>IF(AN1602="","",IF(AD1602=0,"OK",_xlfn.LET(monedaPago, IF(AA1602="","USD",AA1602), limitePermitido, IFERROR(VLOOKUP(monedaPago, Configuración!$A$2:$B$3, 2, FALSE), 0.15), IF(AD1602&gt;limitePermitido, "ALERTA: EXCESO (" &amp; TEXT(limitePermitido, "0%") &amp; " máx)", "OK"))))</f>
        <v/>
      </c>
      <c r="AP1602" s="79">
        <f>IF(AN1602="","",IF(AE1602=0,"OK",_xlfn.LET(fechaPago, Z1602, fechaFactura, R1602, diasCredito, IF(E1602="Pago inmediato", 0, IFERROR(VALUE(MID(E1602, 1, SEARCH(" ", E1602)-1)),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02" s="79">
        <f>IF(AN1602="","",IF(AND(N1602&gt;0, AG1602&gt;0), IF(Configuración!$K$2="NO", "ALERTA: DESCUENTO DOBLE NO PERMITIDO", "OK"), "OK"))</f>
        <v/>
      </c>
      <c r="AR1602" s="79">
        <f>IF(AN1602="","",IF(OR(AO1602&lt;&gt;"OK", AP1602&lt;&gt;"OK", AQ1602&lt;&gt;"OK"), "⚠️ REVISAR", "OK"))</f>
        <v/>
      </c>
    </row>
    <row r="1603">
      <c r="A1603" s="79">
        <f>IF('Ordenes_Odoo'!A1603="","",'Ordenes_Odoo'!A1603)</f>
        <v/>
      </c>
      <c r="B1603" s="80">
        <f>IF('Ordenes_Odoo'!B1603="","",'Ordenes_Odoo'!B1603)</f>
        <v/>
      </c>
      <c r="C1603" s="79">
        <f>IF('Ordenes_Odoo'!C1603="","",'Ordenes_Odoo'!C1603)</f>
        <v/>
      </c>
      <c r="D1603" s="79">
        <f>IF('Ordenes_Odoo'!D1603="","",'Ordenes_Odoo'!D1603)</f>
        <v/>
      </c>
      <c r="E1603" s="79">
        <f>IF('Ordenes_Odoo'!E1603="","",'Ordenes_Odoo'!E1603)</f>
        <v/>
      </c>
      <c r="F1603" s="79">
        <f>IF('Ordenes_Odoo'!F1603="","",'Ordenes_Odoo'!F1603)</f>
        <v/>
      </c>
      <c r="G1603" s="79">
        <f>IF('Ordenes_Odoo'!G1603="","",'Ordenes_Odoo'!G1603)</f>
        <v/>
      </c>
      <c r="H1603" s="79">
        <f>IF('Ordenes_Odoo'!H1603="","",'Ordenes_Odoo'!H1603)</f>
        <v/>
      </c>
      <c r="I1603" s="79">
        <f>IF('Ordenes_Odoo'!I1603="","",'Ordenes_Odoo'!I1603)</f>
        <v/>
      </c>
      <c r="J1603" s="79">
        <f>IF('Ordenes_Odoo'!J1603="","",'Ordenes_Odoo'!J1603)</f>
        <v/>
      </c>
      <c r="K1603" s="81">
        <f>IF('Ordenes_Odoo'!K1603="","",'Ordenes_Odoo'!K1603)</f>
        <v/>
      </c>
      <c r="L1603" s="81">
        <f>IF('Ordenes_Odoo'!L1603="","",'Ordenes_Odoo'!L1603)</f>
        <v/>
      </c>
      <c r="M1603" s="79">
        <f>IF('Ordenes_Odoo'!M1603="","",'Ordenes_Odoo'!M1603)</f>
        <v/>
      </c>
      <c r="N1603" s="79">
        <f>IF('Ordenes_Odoo'!N1603="","",'Ordenes_Odoo'!N1603)</f>
        <v/>
      </c>
      <c r="O1603" s="81">
        <f>IF('Ordenes_Odoo'!O1603="","",'Ordenes_Odoo'!O1603)</f>
        <v/>
      </c>
      <c r="P1603" s="81">
        <f>IF('Ordenes_Odoo'!P1603="","",'Ordenes_Odoo'!P1603)</f>
        <v/>
      </c>
      <c r="Q1603" s="79">
        <f>IF(A1603="","",IFERROR(INDEX(Facturas_Odoo!$B:$B, MATCH(A1603, Facturas_Odoo!$D:$D, 0)), "Sin Factura"))</f>
        <v/>
      </c>
      <c r="R1603" s="80">
        <f>IF(Q1603="Sin Factura","",IFERROR(INDEX(Facturas_Odoo!$A:$A, MATCH(Q1603, Facturas_Odoo!$B:$B, 0)), ""))</f>
        <v/>
      </c>
      <c r="S1603" s="79">
        <f>IF(Q1603="Sin Factura","",IFERROR(_xlfn.XLOOKUP(1, (Facturas_Odoo!$D:$D=A1603) * (Facturas_Odoo!$K:$K=I1603), Facturas_Odoo!$L:$L, ""), ""))</f>
        <v/>
      </c>
      <c r="T1603" s="81">
        <f>IF(Q1603="Sin Factura",0,IFERROR(_xlfn.XLOOKUP(1, (Facturas_Odoo!$D:$D=A1603) * (Facturas_Odoo!$K:$K=I1603), Facturas_Odoo!$M:$M, 0), 0))</f>
        <v/>
      </c>
      <c r="U1603" s="79">
        <f>IF(Q1603="Sin Factura",0,IFERROR(_xlfn.XLOOKUP(1, (Facturas_Odoo!$D:$D=A1603) * (Facturas_Odoo!$K:$K=I1603), Facturas_Odoo!$N:$N, 0), 0))</f>
        <v/>
      </c>
      <c r="V1603" s="79">
        <f>IF(Q1603="Sin Factura",0,IFERROR(_xlfn.XLOOKUP(1, (Facturas_Odoo!$D:$D=A1603) * (Facturas_Odoo!$K:$K=I1603), Facturas_Odoo!$O:$O, 0), 0))</f>
        <v/>
      </c>
      <c r="W1603" s="81">
        <f>IF(Q1603="Sin Factura",0,IFERROR(_xlfn.XLOOKUP(1, (Facturas_Odoo!$D:$D=A1603) * (Facturas_Odoo!$K:$K=I1603), Facturas_Odoo!$Q:$Q, 0), 0))</f>
        <v/>
      </c>
      <c r="X1603" s="79">
        <f>IF(OR(Q1603="Sin Factura",Q1603=""),"",IFERROR(INDEX(Pagos_Odoo!$B:$B, MATCH(Q1603, Pagos_Odoo!$I:$I, 0)), "Sin Pago"))</f>
        <v/>
      </c>
      <c r="Y1603" s="79">
        <f>IF(X1603="Sin Pago","",IFERROR(INDEX(Pagos_Odoo!$C:$C, MATCH(X1603, Pagos_Odoo!$B:$B, 0)), ""))</f>
        <v/>
      </c>
      <c r="Z1603" s="80">
        <f>IF(X1603="Sin Pago","",IFERROR(INDEX(Pagos_Odoo!$A:$A, MATCH(X1603, Pagos_Odoo!$B:$B, 0)), ""))</f>
        <v/>
      </c>
      <c r="AA1603" s="79">
        <f>IF(X1603="Sin Pago","",IFERROR(INDEX(Pagos_Odoo!$F:$F, MATCH(X1603, Pagos_Odoo!$B:$B, 0)), ""))</f>
        <v/>
      </c>
      <c r="AB1603" s="81">
        <f>IF(X1603="Sin Pago",0,IFERROR(INDEX(Pagos_Odoo!$E:$E, MATCH(X1603, Pagos_Odoo!$B:$B, 0)), 0))</f>
        <v/>
      </c>
      <c r="AC1603" s="79">
        <f>IF(X1603="Sin Pago","",IFERROR(INDEX(Pagos_Odoo!$G:$G, MATCH(X1603, Pagos_Odoo!$B:$B, 0)), ""))</f>
        <v/>
      </c>
      <c r="AD1603" s="82" t="n">
        <v>0</v>
      </c>
      <c r="AE1603" s="82" t="n"/>
      <c r="AF1603" s="82" t="n"/>
      <c r="AG1603" s="82">
        <f>IF(AN1603="","",AD1603+AE1603+AF1603)</f>
        <v/>
      </c>
      <c r="AH1603" s="81">
        <f>IF(AN1603="","",P1603*(1-AG1603))</f>
        <v/>
      </c>
      <c r="AI1603" s="81">
        <f>IF(AN1603="","",IF(Q1603="Sin Factura",0,IFERROR(INDEX(Facturas_Odoo!$H:$H, MATCH(Q1603, Facturas_Odoo!$B:$B, 0)), 0)*(1-AG1603)))</f>
        <v/>
      </c>
      <c r="AJ1603" s="81">
        <f>IF(AN1603="","",_xlfn.LET(idVenta, AN1603&amp;"",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03" s="81">
        <f>IF(AN1603="","",AH1603-AJ1603)</f>
        <v/>
      </c>
      <c r="AL1603" s="81">
        <f>IF(AN1603="","",IF(Q1603="Sin Factura","",AI1603-AJ1603))</f>
        <v/>
      </c>
      <c r="AM1603" s="81">
        <f>IF(AN1603="","",IF(Q1603="Sin Factura",0,P1603-IFERROR(INDEX(Facturas_Odoo!$H:$H, MATCH(Q1603, Facturas_Odoo!$B:$B, 0)), 0)))</f>
        <v/>
      </c>
      <c r="AN1603" s="79">
        <f>IF(AND(A1603="", J1603=""), "", IF(A1603&lt;&gt;"", VALUE(MID(A1603,2,LEN(A1603))), AN1602))</f>
        <v/>
      </c>
      <c r="AO1603" s="79">
        <f>IF(AN1603="","",IF(AD1603=0,"OK",_xlfn.LET(monedaPago, IF(AA1603="","USD",AA1603), limitePermitido, IFERROR(VLOOKUP(monedaPago, Configuración!$A$2:$B$3, 2, FALSE), 0.15), IF(AD1603&gt;limitePermitido, "ALERTA: EXCESO (" &amp; TEXT(limitePermitido, "0%") &amp; " máx)", "OK"))))</f>
        <v/>
      </c>
      <c r="AP1603" s="79">
        <f>IF(AN1603="","",IF(AE1603=0,"OK",_xlfn.LET(fechaPago, Z1603, fechaFactura, R1603, diasCredito, IF(E1603="Pago inmediato", 0, IFERROR(VALUE(MID(E1603, 1, SEARCH(" ", E1603)-1)),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03" s="79">
        <f>IF(AN1603="","",IF(AND(N1603&gt;0, AG1603&gt;0), IF(Configuración!$K$2="NO", "ALERTA: DESCUENTO DOBLE NO PERMITIDO", "OK"), "OK"))</f>
        <v/>
      </c>
      <c r="AR1603" s="79">
        <f>IF(AN1603="","",IF(OR(AO1603&lt;&gt;"OK", AP1603&lt;&gt;"OK", AQ1603&lt;&gt;"OK"), "⚠️ REVISAR", "OK"))</f>
        <v/>
      </c>
    </row>
    <row r="1604">
      <c r="A1604" s="79">
        <f>IF('Ordenes_Odoo'!A1604="","",'Ordenes_Odoo'!A1604)</f>
        <v/>
      </c>
      <c r="B1604" s="80">
        <f>IF('Ordenes_Odoo'!B1604="","",'Ordenes_Odoo'!B1604)</f>
        <v/>
      </c>
      <c r="C1604" s="79">
        <f>IF('Ordenes_Odoo'!C1604="","",'Ordenes_Odoo'!C1604)</f>
        <v/>
      </c>
      <c r="D1604" s="79">
        <f>IF('Ordenes_Odoo'!D1604="","",'Ordenes_Odoo'!D1604)</f>
        <v/>
      </c>
      <c r="E1604" s="79">
        <f>IF('Ordenes_Odoo'!E1604="","",'Ordenes_Odoo'!E1604)</f>
        <v/>
      </c>
      <c r="F1604" s="79">
        <f>IF('Ordenes_Odoo'!F1604="","",'Ordenes_Odoo'!F1604)</f>
        <v/>
      </c>
      <c r="G1604" s="79">
        <f>IF('Ordenes_Odoo'!G1604="","",'Ordenes_Odoo'!G1604)</f>
        <v/>
      </c>
      <c r="H1604" s="79">
        <f>IF('Ordenes_Odoo'!H1604="","",'Ordenes_Odoo'!H1604)</f>
        <v/>
      </c>
      <c r="I1604" s="79">
        <f>IF('Ordenes_Odoo'!I1604="","",'Ordenes_Odoo'!I1604)</f>
        <v/>
      </c>
      <c r="J1604" s="79">
        <f>IF('Ordenes_Odoo'!J1604="","",'Ordenes_Odoo'!J1604)</f>
        <v/>
      </c>
      <c r="K1604" s="81">
        <f>IF('Ordenes_Odoo'!K1604="","",'Ordenes_Odoo'!K1604)</f>
        <v/>
      </c>
      <c r="L1604" s="81">
        <f>IF('Ordenes_Odoo'!L1604="","",'Ordenes_Odoo'!L1604)</f>
        <v/>
      </c>
      <c r="M1604" s="79">
        <f>IF('Ordenes_Odoo'!M1604="","",'Ordenes_Odoo'!M1604)</f>
        <v/>
      </c>
      <c r="N1604" s="79">
        <f>IF('Ordenes_Odoo'!N1604="","",'Ordenes_Odoo'!N1604)</f>
        <v/>
      </c>
      <c r="O1604" s="81">
        <f>IF('Ordenes_Odoo'!O1604="","",'Ordenes_Odoo'!O1604)</f>
        <v/>
      </c>
      <c r="P1604" s="81">
        <f>IF('Ordenes_Odoo'!P1604="","",'Ordenes_Odoo'!P1604)</f>
        <v/>
      </c>
      <c r="Q1604" s="79">
        <f>IF(A1604="","",IFERROR(INDEX(Facturas_Odoo!$B:$B, MATCH(A1604, Facturas_Odoo!$D:$D, 0)), "Sin Factura"))</f>
        <v/>
      </c>
      <c r="R1604" s="80">
        <f>IF(Q1604="Sin Factura","",IFERROR(INDEX(Facturas_Odoo!$A:$A, MATCH(Q1604, Facturas_Odoo!$B:$B, 0)), ""))</f>
        <v/>
      </c>
      <c r="S1604" s="79">
        <f>IF(Q1604="Sin Factura","",IFERROR(_xlfn.XLOOKUP(1, (Facturas_Odoo!$D:$D=A1604) * (Facturas_Odoo!$K:$K=I1604), Facturas_Odoo!$L:$L, ""), ""))</f>
        <v/>
      </c>
      <c r="T1604" s="81">
        <f>IF(Q1604="Sin Factura",0,IFERROR(_xlfn.XLOOKUP(1, (Facturas_Odoo!$D:$D=A1604) * (Facturas_Odoo!$K:$K=I1604), Facturas_Odoo!$M:$M, 0), 0))</f>
        <v/>
      </c>
      <c r="U1604" s="79">
        <f>IF(Q1604="Sin Factura",0,IFERROR(_xlfn.XLOOKUP(1, (Facturas_Odoo!$D:$D=A1604) * (Facturas_Odoo!$K:$K=I1604), Facturas_Odoo!$N:$N, 0), 0))</f>
        <v/>
      </c>
      <c r="V1604" s="79">
        <f>IF(Q1604="Sin Factura",0,IFERROR(_xlfn.XLOOKUP(1, (Facturas_Odoo!$D:$D=A1604) * (Facturas_Odoo!$K:$K=I1604), Facturas_Odoo!$O:$O, 0), 0))</f>
        <v/>
      </c>
      <c r="W1604" s="81">
        <f>IF(Q1604="Sin Factura",0,IFERROR(_xlfn.XLOOKUP(1, (Facturas_Odoo!$D:$D=A1604) * (Facturas_Odoo!$K:$K=I1604), Facturas_Odoo!$Q:$Q, 0), 0))</f>
        <v/>
      </c>
      <c r="X1604" s="79">
        <f>IF(OR(Q1604="Sin Factura",Q1604=""),"",IFERROR(INDEX(Pagos_Odoo!$B:$B, MATCH(Q1604, Pagos_Odoo!$I:$I, 0)), "Sin Pago"))</f>
        <v/>
      </c>
      <c r="Y1604" s="79">
        <f>IF(X1604="Sin Pago","",IFERROR(INDEX(Pagos_Odoo!$C:$C, MATCH(X1604, Pagos_Odoo!$B:$B, 0)), ""))</f>
        <v/>
      </c>
      <c r="Z1604" s="80">
        <f>IF(X1604="Sin Pago","",IFERROR(INDEX(Pagos_Odoo!$A:$A, MATCH(X1604, Pagos_Odoo!$B:$B, 0)), ""))</f>
        <v/>
      </c>
      <c r="AA1604" s="79">
        <f>IF(X1604="Sin Pago","",IFERROR(INDEX(Pagos_Odoo!$F:$F, MATCH(X1604, Pagos_Odoo!$B:$B, 0)), ""))</f>
        <v/>
      </c>
      <c r="AB1604" s="81">
        <f>IF(X1604="Sin Pago",0,IFERROR(INDEX(Pagos_Odoo!$E:$E, MATCH(X1604, Pagos_Odoo!$B:$B, 0)), 0))</f>
        <v/>
      </c>
      <c r="AC1604" s="79">
        <f>IF(X1604="Sin Pago","",IFERROR(INDEX(Pagos_Odoo!$G:$G, MATCH(X1604, Pagos_Odoo!$B:$B, 0)), ""))</f>
        <v/>
      </c>
      <c r="AD1604" s="82" t="n">
        <v>0</v>
      </c>
      <c r="AE1604" s="82" t="n"/>
      <c r="AF1604" s="82" t="n"/>
      <c r="AG1604" s="82">
        <f>IF(AN1604="","",AD1604+AE1604+AF1604)</f>
        <v/>
      </c>
      <c r="AH1604" s="81">
        <f>IF(AN1604="","",P1604*(1-AG1604))</f>
        <v/>
      </c>
      <c r="AI1604" s="81">
        <f>IF(AN1604="","",IF(Q1604="Sin Factura",0,IFERROR(INDEX(Facturas_Odoo!$H:$H, MATCH(Q1604, Facturas_Odoo!$B:$B, 0)), 0)*(1-AG1604)))</f>
        <v/>
      </c>
      <c r="AJ1604" s="81">
        <f>IF(AN1604="","",_xlfn.LET(idVenta, AN1604&amp;"",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04" s="81">
        <f>IF(AN1604="","",AH1604-AJ1604)</f>
        <v/>
      </c>
      <c r="AL1604" s="81">
        <f>IF(AN1604="","",IF(Q1604="Sin Factura","",AI1604-AJ1604))</f>
        <v/>
      </c>
      <c r="AM1604" s="81">
        <f>IF(AN1604="","",IF(Q1604="Sin Factura",0,P1604-IFERROR(INDEX(Facturas_Odoo!$H:$H, MATCH(Q1604, Facturas_Odoo!$B:$B, 0)), 0)))</f>
        <v/>
      </c>
      <c r="AN1604" s="79">
        <f>IF(AND(A1604="", J1604=""), "", IF(A1604&lt;&gt;"", VALUE(MID(A1604,2,LEN(A1604))), AN1603))</f>
        <v/>
      </c>
      <c r="AO1604" s="79">
        <f>IF(AN1604="","",IF(AD1604=0,"OK",_xlfn.LET(monedaPago, IF(AA1604="","USD",AA1604), limitePermitido, IFERROR(VLOOKUP(monedaPago, Configuración!$A$2:$B$3, 2, FALSE), 0.15), IF(AD1604&gt;limitePermitido, "ALERTA: EXCESO (" &amp; TEXT(limitePermitido, "0%") &amp; " máx)", "OK"))))</f>
        <v/>
      </c>
      <c r="AP1604" s="79">
        <f>IF(AN1604="","",IF(AE1604=0,"OK",_xlfn.LET(fechaPago, Z1604, fechaFactura, R1604, diasCredito, IF(E1604="Pago inmediato", 0, IFERROR(VALUE(MID(E1604, 1, SEARCH(" ", E1604)-1)),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04" s="79">
        <f>IF(AN1604="","",IF(AND(N1604&gt;0, AG1604&gt;0), IF(Configuración!$K$2="NO", "ALERTA: DESCUENTO DOBLE NO PERMITIDO", "OK"), "OK"))</f>
        <v/>
      </c>
      <c r="AR1604" s="79">
        <f>IF(AN1604="","",IF(OR(AO1604&lt;&gt;"OK", AP1604&lt;&gt;"OK", AQ1604&lt;&gt;"OK"), "⚠️ REVISAR", "OK"))</f>
        <v/>
      </c>
    </row>
    <row r="1605">
      <c r="A1605" s="79">
        <f>IF('Ordenes_Odoo'!A1605="","",'Ordenes_Odoo'!A1605)</f>
        <v/>
      </c>
      <c r="B1605" s="80">
        <f>IF('Ordenes_Odoo'!B1605="","",'Ordenes_Odoo'!B1605)</f>
        <v/>
      </c>
      <c r="C1605" s="79">
        <f>IF('Ordenes_Odoo'!C1605="","",'Ordenes_Odoo'!C1605)</f>
        <v/>
      </c>
      <c r="D1605" s="79">
        <f>IF('Ordenes_Odoo'!D1605="","",'Ordenes_Odoo'!D1605)</f>
        <v/>
      </c>
      <c r="E1605" s="79">
        <f>IF('Ordenes_Odoo'!E1605="","",'Ordenes_Odoo'!E1605)</f>
        <v/>
      </c>
      <c r="F1605" s="79">
        <f>IF('Ordenes_Odoo'!F1605="","",'Ordenes_Odoo'!F1605)</f>
        <v/>
      </c>
      <c r="G1605" s="79">
        <f>IF('Ordenes_Odoo'!G1605="","",'Ordenes_Odoo'!G1605)</f>
        <v/>
      </c>
      <c r="H1605" s="79">
        <f>IF('Ordenes_Odoo'!H1605="","",'Ordenes_Odoo'!H1605)</f>
        <v/>
      </c>
      <c r="I1605" s="79">
        <f>IF('Ordenes_Odoo'!I1605="","",'Ordenes_Odoo'!I1605)</f>
        <v/>
      </c>
      <c r="J1605" s="79">
        <f>IF('Ordenes_Odoo'!J1605="","",'Ordenes_Odoo'!J1605)</f>
        <v/>
      </c>
      <c r="K1605" s="81">
        <f>IF('Ordenes_Odoo'!K1605="","",'Ordenes_Odoo'!K1605)</f>
        <v/>
      </c>
      <c r="L1605" s="81">
        <f>IF('Ordenes_Odoo'!L1605="","",'Ordenes_Odoo'!L1605)</f>
        <v/>
      </c>
      <c r="M1605" s="79">
        <f>IF('Ordenes_Odoo'!M1605="","",'Ordenes_Odoo'!M1605)</f>
        <v/>
      </c>
      <c r="N1605" s="79">
        <f>IF('Ordenes_Odoo'!N1605="","",'Ordenes_Odoo'!N1605)</f>
        <v/>
      </c>
      <c r="O1605" s="81">
        <f>IF('Ordenes_Odoo'!O1605="","",'Ordenes_Odoo'!O1605)</f>
        <v/>
      </c>
      <c r="P1605" s="81">
        <f>IF('Ordenes_Odoo'!P1605="","",'Ordenes_Odoo'!P1605)</f>
        <v/>
      </c>
      <c r="Q1605" s="79">
        <f>IF(A1605="","",IFERROR(INDEX(Facturas_Odoo!$B:$B, MATCH(A1605, Facturas_Odoo!$D:$D, 0)), "Sin Factura"))</f>
        <v/>
      </c>
      <c r="R1605" s="80">
        <f>IF(Q1605="Sin Factura","",IFERROR(INDEX(Facturas_Odoo!$A:$A, MATCH(Q1605, Facturas_Odoo!$B:$B, 0)), ""))</f>
        <v/>
      </c>
      <c r="S1605" s="79">
        <f>IF(Q1605="Sin Factura","",IFERROR(_xlfn.XLOOKUP(1, (Facturas_Odoo!$D:$D=A1605) * (Facturas_Odoo!$K:$K=I1605), Facturas_Odoo!$L:$L, ""), ""))</f>
        <v/>
      </c>
      <c r="T1605" s="81">
        <f>IF(Q1605="Sin Factura",0,IFERROR(_xlfn.XLOOKUP(1, (Facturas_Odoo!$D:$D=A1605) * (Facturas_Odoo!$K:$K=I1605), Facturas_Odoo!$M:$M, 0), 0))</f>
        <v/>
      </c>
      <c r="U1605" s="79">
        <f>IF(Q1605="Sin Factura",0,IFERROR(_xlfn.XLOOKUP(1, (Facturas_Odoo!$D:$D=A1605) * (Facturas_Odoo!$K:$K=I1605), Facturas_Odoo!$N:$N, 0), 0))</f>
        <v/>
      </c>
      <c r="V1605" s="79">
        <f>IF(Q1605="Sin Factura",0,IFERROR(_xlfn.XLOOKUP(1, (Facturas_Odoo!$D:$D=A1605) * (Facturas_Odoo!$K:$K=I1605), Facturas_Odoo!$O:$O, 0), 0))</f>
        <v/>
      </c>
      <c r="W1605" s="81">
        <f>IF(Q1605="Sin Factura",0,IFERROR(_xlfn.XLOOKUP(1, (Facturas_Odoo!$D:$D=A1605) * (Facturas_Odoo!$K:$K=I1605), Facturas_Odoo!$Q:$Q, 0), 0))</f>
        <v/>
      </c>
      <c r="X1605" s="79">
        <f>IF(OR(Q1605="Sin Factura",Q1605=""),"",IFERROR(INDEX(Pagos_Odoo!$B:$B, MATCH(Q1605, Pagos_Odoo!$I:$I, 0)), "Sin Pago"))</f>
        <v/>
      </c>
      <c r="Y1605" s="79">
        <f>IF(X1605="Sin Pago","",IFERROR(INDEX(Pagos_Odoo!$C:$C, MATCH(X1605, Pagos_Odoo!$B:$B, 0)), ""))</f>
        <v/>
      </c>
      <c r="Z1605" s="80">
        <f>IF(X1605="Sin Pago","",IFERROR(INDEX(Pagos_Odoo!$A:$A, MATCH(X1605, Pagos_Odoo!$B:$B, 0)), ""))</f>
        <v/>
      </c>
      <c r="AA1605" s="79">
        <f>IF(X1605="Sin Pago","",IFERROR(INDEX(Pagos_Odoo!$F:$F, MATCH(X1605, Pagos_Odoo!$B:$B, 0)), ""))</f>
        <v/>
      </c>
      <c r="AB1605" s="81">
        <f>IF(X1605="Sin Pago",0,IFERROR(INDEX(Pagos_Odoo!$E:$E, MATCH(X1605, Pagos_Odoo!$B:$B, 0)), 0))</f>
        <v/>
      </c>
      <c r="AC1605" s="79">
        <f>IF(X1605="Sin Pago","",IFERROR(INDEX(Pagos_Odoo!$G:$G, MATCH(X1605, Pagos_Odoo!$B:$B, 0)), ""))</f>
        <v/>
      </c>
      <c r="AD1605" s="82" t="n">
        <v>0</v>
      </c>
      <c r="AE1605" s="82" t="n"/>
      <c r="AF1605" s="82" t="n"/>
      <c r="AG1605" s="82">
        <f>IF(AN1605="","",AD1605+AE1605+AF1605)</f>
        <v/>
      </c>
      <c r="AH1605" s="81">
        <f>IF(AN1605="","",P1605*(1-AG1605))</f>
        <v/>
      </c>
      <c r="AI1605" s="81">
        <f>IF(AN1605="","",IF(Q1605="Sin Factura",0,IFERROR(INDEX(Facturas_Odoo!$H:$H, MATCH(Q1605, Facturas_Odoo!$B:$B, 0)), 0)*(1-AG1605)))</f>
        <v/>
      </c>
      <c r="AJ1605" s="81">
        <f>IF(AN1605="","",_xlfn.LET(idVenta, AN1605&amp;"",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05" s="81">
        <f>IF(AN1605="","",AH1605-AJ1605)</f>
        <v/>
      </c>
      <c r="AL1605" s="81">
        <f>IF(AN1605="","",IF(Q1605="Sin Factura","",AI1605-AJ1605))</f>
        <v/>
      </c>
      <c r="AM1605" s="81">
        <f>IF(AN1605="","",IF(Q1605="Sin Factura",0,P1605-IFERROR(INDEX(Facturas_Odoo!$H:$H, MATCH(Q1605, Facturas_Odoo!$B:$B, 0)), 0)))</f>
        <v/>
      </c>
      <c r="AN1605" s="79">
        <f>IF(AND(A1605="", J1605=""), "", IF(A1605&lt;&gt;"", VALUE(MID(A1605,2,LEN(A1605))), AN1604))</f>
        <v/>
      </c>
      <c r="AO1605" s="79">
        <f>IF(AN1605="","",IF(AD1605=0,"OK",_xlfn.LET(monedaPago, IF(AA1605="","USD",AA1605), limitePermitido, IFERROR(VLOOKUP(monedaPago, Configuración!$A$2:$B$3, 2, FALSE), 0.15), IF(AD1605&gt;limitePermitido, "ALERTA: EXCESO (" &amp; TEXT(limitePermitido, "0%") &amp; " máx)", "OK"))))</f>
        <v/>
      </c>
      <c r="AP1605" s="79">
        <f>IF(AN1605="","",IF(AE1605=0,"OK",_xlfn.LET(fechaPago, Z1605, fechaFactura, R1605, diasCredito, IF(E1605="Pago inmediato", 0, IFERROR(VALUE(MID(E1605, 1, SEARCH(" ", E1605)-1)),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05" s="79">
        <f>IF(AN1605="","",IF(AND(N1605&gt;0, AG1605&gt;0), IF(Configuración!$K$2="NO", "ALERTA: DESCUENTO DOBLE NO PERMITIDO", "OK"), "OK"))</f>
        <v/>
      </c>
      <c r="AR1605" s="79">
        <f>IF(AN1605="","",IF(OR(AO1605&lt;&gt;"OK", AP1605&lt;&gt;"OK", AQ1605&lt;&gt;"OK"), "⚠️ REVISAR", "OK"))</f>
        <v/>
      </c>
    </row>
    <row r="1606">
      <c r="A1606" s="79">
        <f>IF('Ordenes_Odoo'!A1606="","",'Ordenes_Odoo'!A1606)</f>
        <v/>
      </c>
      <c r="B1606" s="80">
        <f>IF('Ordenes_Odoo'!B1606="","",'Ordenes_Odoo'!B1606)</f>
        <v/>
      </c>
      <c r="C1606" s="79">
        <f>IF('Ordenes_Odoo'!C1606="","",'Ordenes_Odoo'!C1606)</f>
        <v/>
      </c>
      <c r="D1606" s="79">
        <f>IF('Ordenes_Odoo'!D1606="","",'Ordenes_Odoo'!D1606)</f>
        <v/>
      </c>
      <c r="E1606" s="79">
        <f>IF('Ordenes_Odoo'!E1606="","",'Ordenes_Odoo'!E1606)</f>
        <v/>
      </c>
      <c r="F1606" s="79">
        <f>IF('Ordenes_Odoo'!F1606="","",'Ordenes_Odoo'!F1606)</f>
        <v/>
      </c>
      <c r="G1606" s="79">
        <f>IF('Ordenes_Odoo'!G1606="","",'Ordenes_Odoo'!G1606)</f>
        <v/>
      </c>
      <c r="H1606" s="79">
        <f>IF('Ordenes_Odoo'!H1606="","",'Ordenes_Odoo'!H1606)</f>
        <v/>
      </c>
      <c r="I1606" s="79">
        <f>IF('Ordenes_Odoo'!I1606="","",'Ordenes_Odoo'!I1606)</f>
        <v/>
      </c>
      <c r="J1606" s="79">
        <f>IF('Ordenes_Odoo'!J1606="","",'Ordenes_Odoo'!J1606)</f>
        <v/>
      </c>
      <c r="K1606" s="81">
        <f>IF('Ordenes_Odoo'!K1606="","",'Ordenes_Odoo'!K1606)</f>
        <v/>
      </c>
      <c r="L1606" s="81">
        <f>IF('Ordenes_Odoo'!L1606="","",'Ordenes_Odoo'!L1606)</f>
        <v/>
      </c>
      <c r="M1606" s="79">
        <f>IF('Ordenes_Odoo'!M1606="","",'Ordenes_Odoo'!M1606)</f>
        <v/>
      </c>
      <c r="N1606" s="79">
        <f>IF('Ordenes_Odoo'!N1606="","",'Ordenes_Odoo'!N1606)</f>
        <v/>
      </c>
      <c r="O1606" s="81">
        <f>IF('Ordenes_Odoo'!O1606="","",'Ordenes_Odoo'!O1606)</f>
        <v/>
      </c>
      <c r="P1606" s="81">
        <f>IF('Ordenes_Odoo'!P1606="","",'Ordenes_Odoo'!P1606)</f>
        <v/>
      </c>
      <c r="Q1606" s="79">
        <f>IF(A1606="","",IFERROR(INDEX(Facturas_Odoo!$B:$B, MATCH(A1606, Facturas_Odoo!$D:$D, 0)), "Sin Factura"))</f>
        <v/>
      </c>
      <c r="R1606" s="80">
        <f>IF(Q1606="Sin Factura","",IFERROR(INDEX(Facturas_Odoo!$A:$A, MATCH(Q1606, Facturas_Odoo!$B:$B, 0)), ""))</f>
        <v/>
      </c>
      <c r="S1606" s="79">
        <f>IF(Q1606="Sin Factura","",IFERROR(_xlfn.XLOOKUP(1, (Facturas_Odoo!$D:$D=A1606) * (Facturas_Odoo!$K:$K=I1606), Facturas_Odoo!$L:$L, ""), ""))</f>
        <v/>
      </c>
      <c r="T1606" s="81">
        <f>IF(Q1606="Sin Factura",0,IFERROR(_xlfn.XLOOKUP(1, (Facturas_Odoo!$D:$D=A1606) * (Facturas_Odoo!$K:$K=I1606), Facturas_Odoo!$M:$M, 0), 0))</f>
        <v/>
      </c>
      <c r="U1606" s="79">
        <f>IF(Q1606="Sin Factura",0,IFERROR(_xlfn.XLOOKUP(1, (Facturas_Odoo!$D:$D=A1606) * (Facturas_Odoo!$K:$K=I1606), Facturas_Odoo!$N:$N, 0), 0))</f>
        <v/>
      </c>
      <c r="V1606" s="79">
        <f>IF(Q1606="Sin Factura",0,IFERROR(_xlfn.XLOOKUP(1, (Facturas_Odoo!$D:$D=A1606) * (Facturas_Odoo!$K:$K=I1606), Facturas_Odoo!$O:$O, 0), 0))</f>
        <v/>
      </c>
      <c r="W1606" s="81">
        <f>IF(Q1606="Sin Factura",0,IFERROR(_xlfn.XLOOKUP(1, (Facturas_Odoo!$D:$D=A1606) * (Facturas_Odoo!$K:$K=I1606), Facturas_Odoo!$Q:$Q, 0), 0))</f>
        <v/>
      </c>
      <c r="X1606" s="79">
        <f>IF(OR(Q1606="Sin Factura",Q1606=""),"",IFERROR(INDEX(Pagos_Odoo!$B:$B, MATCH(Q1606, Pagos_Odoo!$I:$I, 0)), "Sin Pago"))</f>
        <v/>
      </c>
      <c r="Y1606" s="79">
        <f>IF(X1606="Sin Pago","",IFERROR(INDEX(Pagos_Odoo!$C:$C, MATCH(X1606, Pagos_Odoo!$B:$B, 0)), ""))</f>
        <v/>
      </c>
      <c r="Z1606" s="80">
        <f>IF(X1606="Sin Pago","",IFERROR(INDEX(Pagos_Odoo!$A:$A, MATCH(X1606, Pagos_Odoo!$B:$B, 0)), ""))</f>
        <v/>
      </c>
      <c r="AA1606" s="79">
        <f>IF(X1606="Sin Pago","",IFERROR(INDEX(Pagos_Odoo!$F:$F, MATCH(X1606, Pagos_Odoo!$B:$B, 0)), ""))</f>
        <v/>
      </c>
      <c r="AB1606" s="81">
        <f>IF(X1606="Sin Pago",0,IFERROR(INDEX(Pagos_Odoo!$E:$E, MATCH(X1606, Pagos_Odoo!$B:$B, 0)), 0))</f>
        <v/>
      </c>
      <c r="AC1606" s="79">
        <f>IF(X1606="Sin Pago","",IFERROR(INDEX(Pagos_Odoo!$G:$G, MATCH(X1606, Pagos_Odoo!$B:$B, 0)), ""))</f>
        <v/>
      </c>
      <c r="AD1606" s="82" t="n">
        <v>0</v>
      </c>
      <c r="AE1606" s="82" t="n"/>
      <c r="AF1606" s="82" t="n"/>
      <c r="AG1606" s="82">
        <f>IF(AN1606="","",AD1606+AE1606+AF1606)</f>
        <v/>
      </c>
      <c r="AH1606" s="81">
        <f>IF(AN1606="","",P1606*(1-AG1606))</f>
        <v/>
      </c>
      <c r="AI1606" s="81">
        <f>IF(AN1606="","",IF(Q1606="Sin Factura",0,IFERROR(INDEX(Facturas_Odoo!$H:$H, MATCH(Q1606, Facturas_Odoo!$B:$B, 0)), 0)*(1-AG1606)))</f>
        <v/>
      </c>
      <c r="AJ1606" s="81">
        <f>IF(AN1606="","",_xlfn.LET(idVenta, AN1606&amp;"",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06" s="81">
        <f>IF(AN1606="","",AH1606-AJ1606)</f>
        <v/>
      </c>
      <c r="AL1606" s="81">
        <f>IF(AN1606="","",IF(Q1606="Sin Factura","",AI1606-AJ1606))</f>
        <v/>
      </c>
      <c r="AM1606" s="81">
        <f>IF(AN1606="","",IF(Q1606="Sin Factura",0,P1606-IFERROR(INDEX(Facturas_Odoo!$H:$H, MATCH(Q1606, Facturas_Odoo!$B:$B, 0)), 0)))</f>
        <v/>
      </c>
      <c r="AN1606" s="79">
        <f>IF(AND(A1606="", J1606=""), "", IF(A1606&lt;&gt;"", VALUE(MID(A1606,2,LEN(A1606))), AN1605))</f>
        <v/>
      </c>
      <c r="AO1606" s="79">
        <f>IF(AN1606="","",IF(AD1606=0,"OK",_xlfn.LET(monedaPago, IF(AA1606="","USD",AA1606), limitePermitido, IFERROR(VLOOKUP(monedaPago, Configuración!$A$2:$B$3, 2, FALSE), 0.15), IF(AD1606&gt;limitePermitido, "ALERTA: EXCESO (" &amp; TEXT(limitePermitido, "0%") &amp; " máx)", "OK"))))</f>
        <v/>
      </c>
      <c r="AP1606" s="79">
        <f>IF(AN1606="","",IF(AE1606=0,"OK",_xlfn.LET(fechaPago, Z1606, fechaFactura, R1606, diasCredito, IF(E1606="Pago inmediato", 0, IFERROR(VALUE(MID(E1606, 1, SEARCH(" ", E1606)-1)),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06" s="79">
        <f>IF(AN1606="","",IF(AND(N1606&gt;0, AG1606&gt;0), IF(Configuración!$K$2="NO", "ALERTA: DESCUENTO DOBLE NO PERMITIDO", "OK"), "OK"))</f>
        <v/>
      </c>
      <c r="AR1606" s="79">
        <f>IF(AN1606="","",IF(OR(AO1606&lt;&gt;"OK", AP1606&lt;&gt;"OK", AQ1606&lt;&gt;"OK"), "⚠️ REVISAR", "OK"))</f>
        <v/>
      </c>
    </row>
    <row r="1607">
      <c r="A1607" s="79">
        <f>IF('Ordenes_Odoo'!A1607="","",'Ordenes_Odoo'!A1607)</f>
        <v/>
      </c>
      <c r="B1607" s="80">
        <f>IF('Ordenes_Odoo'!B1607="","",'Ordenes_Odoo'!B1607)</f>
        <v/>
      </c>
      <c r="C1607" s="79">
        <f>IF('Ordenes_Odoo'!C1607="","",'Ordenes_Odoo'!C1607)</f>
        <v/>
      </c>
      <c r="D1607" s="79">
        <f>IF('Ordenes_Odoo'!D1607="","",'Ordenes_Odoo'!D1607)</f>
        <v/>
      </c>
      <c r="E1607" s="79">
        <f>IF('Ordenes_Odoo'!E1607="","",'Ordenes_Odoo'!E1607)</f>
        <v/>
      </c>
      <c r="F1607" s="79">
        <f>IF('Ordenes_Odoo'!F1607="","",'Ordenes_Odoo'!F1607)</f>
        <v/>
      </c>
      <c r="G1607" s="79">
        <f>IF('Ordenes_Odoo'!G1607="","",'Ordenes_Odoo'!G1607)</f>
        <v/>
      </c>
      <c r="H1607" s="79">
        <f>IF('Ordenes_Odoo'!H1607="","",'Ordenes_Odoo'!H1607)</f>
        <v/>
      </c>
      <c r="I1607" s="79">
        <f>IF('Ordenes_Odoo'!I1607="","",'Ordenes_Odoo'!I1607)</f>
        <v/>
      </c>
      <c r="J1607" s="79">
        <f>IF('Ordenes_Odoo'!J1607="","",'Ordenes_Odoo'!J1607)</f>
        <v/>
      </c>
      <c r="K1607" s="81">
        <f>IF('Ordenes_Odoo'!K1607="","",'Ordenes_Odoo'!K1607)</f>
        <v/>
      </c>
      <c r="L1607" s="81">
        <f>IF('Ordenes_Odoo'!L1607="","",'Ordenes_Odoo'!L1607)</f>
        <v/>
      </c>
      <c r="M1607" s="79">
        <f>IF('Ordenes_Odoo'!M1607="","",'Ordenes_Odoo'!M1607)</f>
        <v/>
      </c>
      <c r="N1607" s="79">
        <f>IF('Ordenes_Odoo'!N1607="","",'Ordenes_Odoo'!N1607)</f>
        <v/>
      </c>
      <c r="O1607" s="81">
        <f>IF('Ordenes_Odoo'!O1607="","",'Ordenes_Odoo'!O1607)</f>
        <v/>
      </c>
      <c r="P1607" s="81">
        <f>IF('Ordenes_Odoo'!P1607="","",'Ordenes_Odoo'!P1607)</f>
        <v/>
      </c>
      <c r="Q1607" s="79">
        <f>IF(A1607="","",IFERROR(INDEX(Facturas_Odoo!$B:$B, MATCH(A1607, Facturas_Odoo!$D:$D, 0)), "Sin Factura"))</f>
        <v/>
      </c>
      <c r="R1607" s="80">
        <f>IF(Q1607="Sin Factura","",IFERROR(INDEX(Facturas_Odoo!$A:$A, MATCH(Q1607, Facturas_Odoo!$B:$B, 0)), ""))</f>
        <v/>
      </c>
      <c r="S1607" s="79">
        <f>IF(Q1607="Sin Factura","",IFERROR(_xlfn.XLOOKUP(1, (Facturas_Odoo!$D:$D=A1607) * (Facturas_Odoo!$K:$K=I1607), Facturas_Odoo!$L:$L, ""), ""))</f>
        <v/>
      </c>
      <c r="T1607" s="81">
        <f>IF(Q1607="Sin Factura",0,IFERROR(_xlfn.XLOOKUP(1, (Facturas_Odoo!$D:$D=A1607) * (Facturas_Odoo!$K:$K=I1607), Facturas_Odoo!$M:$M, 0), 0))</f>
        <v/>
      </c>
      <c r="U1607" s="79">
        <f>IF(Q1607="Sin Factura",0,IFERROR(_xlfn.XLOOKUP(1, (Facturas_Odoo!$D:$D=A1607) * (Facturas_Odoo!$K:$K=I1607), Facturas_Odoo!$N:$N, 0), 0))</f>
        <v/>
      </c>
      <c r="V1607" s="79">
        <f>IF(Q1607="Sin Factura",0,IFERROR(_xlfn.XLOOKUP(1, (Facturas_Odoo!$D:$D=A1607) * (Facturas_Odoo!$K:$K=I1607), Facturas_Odoo!$O:$O, 0), 0))</f>
        <v/>
      </c>
      <c r="W1607" s="81">
        <f>IF(Q1607="Sin Factura",0,IFERROR(_xlfn.XLOOKUP(1, (Facturas_Odoo!$D:$D=A1607) * (Facturas_Odoo!$K:$K=I1607), Facturas_Odoo!$Q:$Q, 0), 0))</f>
        <v/>
      </c>
      <c r="X1607" s="79">
        <f>IF(OR(Q1607="Sin Factura",Q1607=""),"",IFERROR(INDEX(Pagos_Odoo!$B:$B, MATCH(Q1607, Pagos_Odoo!$I:$I, 0)), "Sin Pago"))</f>
        <v/>
      </c>
      <c r="Y1607" s="79">
        <f>IF(X1607="Sin Pago","",IFERROR(INDEX(Pagos_Odoo!$C:$C, MATCH(X1607, Pagos_Odoo!$B:$B, 0)), ""))</f>
        <v/>
      </c>
      <c r="Z1607" s="80">
        <f>IF(X1607="Sin Pago","",IFERROR(INDEX(Pagos_Odoo!$A:$A, MATCH(X1607, Pagos_Odoo!$B:$B, 0)), ""))</f>
        <v/>
      </c>
      <c r="AA1607" s="79">
        <f>IF(X1607="Sin Pago","",IFERROR(INDEX(Pagos_Odoo!$F:$F, MATCH(X1607, Pagos_Odoo!$B:$B, 0)), ""))</f>
        <v/>
      </c>
      <c r="AB1607" s="81">
        <f>IF(X1607="Sin Pago",0,IFERROR(INDEX(Pagos_Odoo!$E:$E, MATCH(X1607, Pagos_Odoo!$B:$B, 0)), 0))</f>
        <v/>
      </c>
      <c r="AC1607" s="79">
        <f>IF(X1607="Sin Pago","",IFERROR(INDEX(Pagos_Odoo!$G:$G, MATCH(X1607, Pagos_Odoo!$B:$B, 0)), ""))</f>
        <v/>
      </c>
      <c r="AD1607" s="82" t="n">
        <v>0</v>
      </c>
      <c r="AE1607" s="82" t="n"/>
      <c r="AF1607" s="82" t="n"/>
      <c r="AG1607" s="82">
        <f>IF(AN1607="","",AD1607+AE1607+AF1607)</f>
        <v/>
      </c>
      <c r="AH1607" s="81">
        <f>IF(AN1607="","",P1607*(1-AG1607))</f>
        <v/>
      </c>
      <c r="AI1607" s="81">
        <f>IF(AN1607="","",IF(Q1607="Sin Factura",0,IFERROR(INDEX(Facturas_Odoo!$H:$H, MATCH(Q1607, Facturas_Odoo!$B:$B, 0)), 0)*(1-AG1607)))</f>
        <v/>
      </c>
      <c r="AJ1607" s="81">
        <f>IF(AN1607="","",_xlfn.LET(idVenta, AN1607&amp;"",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07" s="81">
        <f>IF(AN1607="","",AH1607-AJ1607)</f>
        <v/>
      </c>
      <c r="AL1607" s="81">
        <f>IF(AN1607="","",IF(Q1607="Sin Factura","",AI1607-AJ1607))</f>
        <v/>
      </c>
      <c r="AM1607" s="81">
        <f>IF(AN1607="","",IF(Q1607="Sin Factura",0,P1607-IFERROR(INDEX(Facturas_Odoo!$H:$H, MATCH(Q1607, Facturas_Odoo!$B:$B, 0)), 0)))</f>
        <v/>
      </c>
      <c r="AN1607" s="79">
        <f>IF(AND(A1607="", J1607=""), "", IF(A1607&lt;&gt;"", VALUE(MID(A1607,2,LEN(A1607))), AN1606))</f>
        <v/>
      </c>
      <c r="AO1607" s="79">
        <f>IF(AN1607="","",IF(AD1607=0,"OK",_xlfn.LET(monedaPago, IF(AA1607="","USD",AA1607), limitePermitido, IFERROR(VLOOKUP(monedaPago, Configuración!$A$2:$B$3, 2, FALSE), 0.15), IF(AD1607&gt;limitePermitido, "ALERTA: EXCESO (" &amp; TEXT(limitePermitido, "0%") &amp; " máx)", "OK"))))</f>
        <v/>
      </c>
      <c r="AP1607" s="79">
        <f>IF(AN1607="","",IF(AE1607=0,"OK",_xlfn.LET(fechaPago, Z1607, fechaFactura, R1607, diasCredito, IF(E1607="Pago inmediato", 0, IFERROR(VALUE(MID(E1607, 1, SEARCH(" ", E1607)-1)),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07" s="79">
        <f>IF(AN1607="","",IF(AND(N1607&gt;0, AG1607&gt;0), IF(Configuración!$K$2="NO", "ALERTA: DESCUENTO DOBLE NO PERMITIDO", "OK"), "OK"))</f>
        <v/>
      </c>
      <c r="AR1607" s="79">
        <f>IF(AN1607="","",IF(OR(AO1607&lt;&gt;"OK", AP1607&lt;&gt;"OK", AQ1607&lt;&gt;"OK"), "⚠️ REVISAR", "OK"))</f>
        <v/>
      </c>
    </row>
    <row r="1608">
      <c r="A1608" s="79">
        <f>IF('Ordenes_Odoo'!A1608="","",'Ordenes_Odoo'!A1608)</f>
        <v/>
      </c>
      <c r="B1608" s="80">
        <f>IF('Ordenes_Odoo'!B1608="","",'Ordenes_Odoo'!B1608)</f>
        <v/>
      </c>
      <c r="C1608" s="79">
        <f>IF('Ordenes_Odoo'!C1608="","",'Ordenes_Odoo'!C1608)</f>
        <v/>
      </c>
      <c r="D1608" s="79">
        <f>IF('Ordenes_Odoo'!D1608="","",'Ordenes_Odoo'!D1608)</f>
        <v/>
      </c>
      <c r="E1608" s="79">
        <f>IF('Ordenes_Odoo'!E1608="","",'Ordenes_Odoo'!E1608)</f>
        <v/>
      </c>
      <c r="F1608" s="79">
        <f>IF('Ordenes_Odoo'!F1608="","",'Ordenes_Odoo'!F1608)</f>
        <v/>
      </c>
      <c r="G1608" s="79">
        <f>IF('Ordenes_Odoo'!G1608="","",'Ordenes_Odoo'!G1608)</f>
        <v/>
      </c>
      <c r="H1608" s="79">
        <f>IF('Ordenes_Odoo'!H1608="","",'Ordenes_Odoo'!H1608)</f>
        <v/>
      </c>
      <c r="I1608" s="79">
        <f>IF('Ordenes_Odoo'!I1608="","",'Ordenes_Odoo'!I1608)</f>
        <v/>
      </c>
      <c r="J1608" s="79">
        <f>IF('Ordenes_Odoo'!J1608="","",'Ordenes_Odoo'!J1608)</f>
        <v/>
      </c>
      <c r="K1608" s="81">
        <f>IF('Ordenes_Odoo'!K1608="","",'Ordenes_Odoo'!K1608)</f>
        <v/>
      </c>
      <c r="L1608" s="81">
        <f>IF('Ordenes_Odoo'!L1608="","",'Ordenes_Odoo'!L1608)</f>
        <v/>
      </c>
      <c r="M1608" s="79">
        <f>IF('Ordenes_Odoo'!M1608="","",'Ordenes_Odoo'!M1608)</f>
        <v/>
      </c>
      <c r="N1608" s="79">
        <f>IF('Ordenes_Odoo'!N1608="","",'Ordenes_Odoo'!N1608)</f>
        <v/>
      </c>
      <c r="O1608" s="81">
        <f>IF('Ordenes_Odoo'!O1608="","",'Ordenes_Odoo'!O1608)</f>
        <v/>
      </c>
      <c r="P1608" s="81">
        <f>IF('Ordenes_Odoo'!P1608="","",'Ordenes_Odoo'!P1608)</f>
        <v/>
      </c>
      <c r="Q1608" s="79">
        <f>IF(A1608="","",IFERROR(INDEX(Facturas_Odoo!$B:$B, MATCH(A1608, Facturas_Odoo!$D:$D, 0)), "Sin Factura"))</f>
        <v/>
      </c>
      <c r="R1608" s="80">
        <f>IF(Q1608="Sin Factura","",IFERROR(INDEX(Facturas_Odoo!$A:$A, MATCH(Q1608, Facturas_Odoo!$B:$B, 0)), ""))</f>
        <v/>
      </c>
      <c r="S1608" s="79">
        <f>IF(Q1608="Sin Factura","",IFERROR(_xlfn.XLOOKUP(1, (Facturas_Odoo!$D:$D=A1608) * (Facturas_Odoo!$K:$K=I1608), Facturas_Odoo!$L:$L, ""), ""))</f>
        <v/>
      </c>
      <c r="T1608" s="81">
        <f>IF(Q1608="Sin Factura",0,IFERROR(_xlfn.XLOOKUP(1, (Facturas_Odoo!$D:$D=A1608) * (Facturas_Odoo!$K:$K=I1608), Facturas_Odoo!$M:$M, 0), 0))</f>
        <v/>
      </c>
      <c r="U1608" s="79">
        <f>IF(Q1608="Sin Factura",0,IFERROR(_xlfn.XLOOKUP(1, (Facturas_Odoo!$D:$D=A1608) * (Facturas_Odoo!$K:$K=I1608), Facturas_Odoo!$N:$N, 0), 0))</f>
        <v/>
      </c>
      <c r="V1608" s="79">
        <f>IF(Q1608="Sin Factura",0,IFERROR(_xlfn.XLOOKUP(1, (Facturas_Odoo!$D:$D=A1608) * (Facturas_Odoo!$K:$K=I1608), Facturas_Odoo!$O:$O, 0), 0))</f>
        <v/>
      </c>
      <c r="W1608" s="81">
        <f>IF(Q1608="Sin Factura",0,IFERROR(_xlfn.XLOOKUP(1, (Facturas_Odoo!$D:$D=A1608) * (Facturas_Odoo!$K:$K=I1608), Facturas_Odoo!$Q:$Q, 0), 0))</f>
        <v/>
      </c>
      <c r="X1608" s="79">
        <f>IF(OR(Q1608="Sin Factura",Q1608=""),"",IFERROR(INDEX(Pagos_Odoo!$B:$B, MATCH(Q1608, Pagos_Odoo!$I:$I, 0)), "Sin Pago"))</f>
        <v/>
      </c>
      <c r="Y1608" s="79">
        <f>IF(X1608="Sin Pago","",IFERROR(INDEX(Pagos_Odoo!$C:$C, MATCH(X1608, Pagos_Odoo!$B:$B, 0)), ""))</f>
        <v/>
      </c>
      <c r="Z1608" s="80">
        <f>IF(X1608="Sin Pago","",IFERROR(INDEX(Pagos_Odoo!$A:$A, MATCH(X1608, Pagos_Odoo!$B:$B, 0)), ""))</f>
        <v/>
      </c>
      <c r="AA1608" s="79">
        <f>IF(X1608="Sin Pago","",IFERROR(INDEX(Pagos_Odoo!$F:$F, MATCH(X1608, Pagos_Odoo!$B:$B, 0)), ""))</f>
        <v/>
      </c>
      <c r="AB1608" s="81">
        <f>IF(X1608="Sin Pago",0,IFERROR(INDEX(Pagos_Odoo!$E:$E, MATCH(X1608, Pagos_Odoo!$B:$B, 0)), 0))</f>
        <v/>
      </c>
      <c r="AC1608" s="79">
        <f>IF(X1608="Sin Pago","",IFERROR(INDEX(Pagos_Odoo!$G:$G, MATCH(X1608, Pagos_Odoo!$B:$B, 0)), ""))</f>
        <v/>
      </c>
      <c r="AD1608" s="82" t="n">
        <v>0</v>
      </c>
      <c r="AE1608" s="82" t="n"/>
      <c r="AF1608" s="82" t="n"/>
      <c r="AG1608" s="82">
        <f>IF(AN1608="","",AD1608+AE1608+AF1608)</f>
        <v/>
      </c>
      <c r="AH1608" s="81">
        <f>IF(AN1608="","",P1608*(1-AG1608))</f>
        <v/>
      </c>
      <c r="AI1608" s="81">
        <f>IF(AN1608="","",IF(Q1608="Sin Factura",0,IFERROR(INDEX(Facturas_Odoo!$H:$H, MATCH(Q1608, Facturas_Odoo!$B:$B, 0)), 0)*(1-AG1608)))</f>
        <v/>
      </c>
      <c r="AJ1608" s="81">
        <f>IF(AN1608="","",_xlfn.LET(idVenta, AN1608&amp;"",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08" s="81">
        <f>IF(AN1608="","",AH1608-AJ1608)</f>
        <v/>
      </c>
      <c r="AL1608" s="81">
        <f>IF(AN1608="","",IF(Q1608="Sin Factura","",AI1608-AJ1608))</f>
        <v/>
      </c>
      <c r="AM1608" s="81">
        <f>IF(AN1608="","",IF(Q1608="Sin Factura",0,P1608-IFERROR(INDEX(Facturas_Odoo!$H:$H, MATCH(Q1608, Facturas_Odoo!$B:$B, 0)), 0)))</f>
        <v/>
      </c>
      <c r="AN1608" s="79">
        <f>IF(AND(A1608="", J1608=""), "", IF(A1608&lt;&gt;"", VALUE(MID(A1608,2,LEN(A1608))), AN1607))</f>
        <v/>
      </c>
      <c r="AO1608" s="79">
        <f>IF(AN1608="","",IF(AD1608=0,"OK",_xlfn.LET(monedaPago, IF(AA1608="","USD",AA1608), limitePermitido, IFERROR(VLOOKUP(monedaPago, Configuración!$A$2:$B$3, 2, FALSE), 0.15), IF(AD1608&gt;limitePermitido, "ALERTA: EXCESO (" &amp; TEXT(limitePermitido, "0%") &amp; " máx)", "OK"))))</f>
        <v/>
      </c>
      <c r="AP1608" s="79">
        <f>IF(AN1608="","",IF(AE1608=0,"OK",_xlfn.LET(fechaPago, Z1608, fechaFactura, R1608, diasCredito, IF(E1608="Pago inmediato", 0, IFERROR(VALUE(MID(E1608, 1, SEARCH(" ", E1608)-1)),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08" s="79">
        <f>IF(AN1608="","",IF(AND(N1608&gt;0, AG1608&gt;0), IF(Configuración!$K$2="NO", "ALERTA: DESCUENTO DOBLE NO PERMITIDO", "OK"), "OK"))</f>
        <v/>
      </c>
      <c r="AR1608" s="79">
        <f>IF(AN1608="","",IF(OR(AO1608&lt;&gt;"OK", AP1608&lt;&gt;"OK", AQ1608&lt;&gt;"OK"), "⚠️ REVISAR", "OK"))</f>
        <v/>
      </c>
    </row>
    <row r="1609">
      <c r="A1609" s="79">
        <f>IF('Ordenes_Odoo'!A1609="","",'Ordenes_Odoo'!A1609)</f>
        <v/>
      </c>
      <c r="B1609" s="80">
        <f>IF('Ordenes_Odoo'!B1609="","",'Ordenes_Odoo'!B1609)</f>
        <v/>
      </c>
      <c r="C1609" s="79">
        <f>IF('Ordenes_Odoo'!C1609="","",'Ordenes_Odoo'!C1609)</f>
        <v/>
      </c>
      <c r="D1609" s="79">
        <f>IF('Ordenes_Odoo'!D1609="","",'Ordenes_Odoo'!D1609)</f>
        <v/>
      </c>
      <c r="E1609" s="79">
        <f>IF('Ordenes_Odoo'!E1609="","",'Ordenes_Odoo'!E1609)</f>
        <v/>
      </c>
      <c r="F1609" s="79">
        <f>IF('Ordenes_Odoo'!F1609="","",'Ordenes_Odoo'!F1609)</f>
        <v/>
      </c>
      <c r="G1609" s="79">
        <f>IF('Ordenes_Odoo'!G1609="","",'Ordenes_Odoo'!G1609)</f>
        <v/>
      </c>
      <c r="H1609" s="79">
        <f>IF('Ordenes_Odoo'!H1609="","",'Ordenes_Odoo'!H1609)</f>
        <v/>
      </c>
      <c r="I1609" s="79">
        <f>IF('Ordenes_Odoo'!I1609="","",'Ordenes_Odoo'!I1609)</f>
        <v/>
      </c>
      <c r="J1609" s="79">
        <f>IF('Ordenes_Odoo'!J1609="","",'Ordenes_Odoo'!J1609)</f>
        <v/>
      </c>
      <c r="K1609" s="81">
        <f>IF('Ordenes_Odoo'!K1609="","",'Ordenes_Odoo'!K1609)</f>
        <v/>
      </c>
      <c r="L1609" s="81">
        <f>IF('Ordenes_Odoo'!L1609="","",'Ordenes_Odoo'!L1609)</f>
        <v/>
      </c>
      <c r="M1609" s="79">
        <f>IF('Ordenes_Odoo'!M1609="","",'Ordenes_Odoo'!M1609)</f>
        <v/>
      </c>
      <c r="N1609" s="79">
        <f>IF('Ordenes_Odoo'!N1609="","",'Ordenes_Odoo'!N1609)</f>
        <v/>
      </c>
      <c r="O1609" s="81">
        <f>IF('Ordenes_Odoo'!O1609="","",'Ordenes_Odoo'!O1609)</f>
        <v/>
      </c>
      <c r="P1609" s="81">
        <f>IF('Ordenes_Odoo'!P1609="","",'Ordenes_Odoo'!P1609)</f>
        <v/>
      </c>
      <c r="Q1609" s="79">
        <f>IF(A1609="","",IFERROR(INDEX(Facturas_Odoo!$B:$B, MATCH(A1609, Facturas_Odoo!$D:$D, 0)), "Sin Factura"))</f>
        <v/>
      </c>
      <c r="R1609" s="80">
        <f>IF(Q1609="Sin Factura","",IFERROR(INDEX(Facturas_Odoo!$A:$A, MATCH(Q1609, Facturas_Odoo!$B:$B, 0)), ""))</f>
        <v/>
      </c>
      <c r="S1609" s="79">
        <f>IF(Q1609="Sin Factura","",IFERROR(_xlfn.XLOOKUP(1, (Facturas_Odoo!$D:$D=A1609) * (Facturas_Odoo!$K:$K=I1609), Facturas_Odoo!$L:$L, ""), ""))</f>
        <v/>
      </c>
      <c r="T1609" s="81">
        <f>IF(Q1609="Sin Factura",0,IFERROR(_xlfn.XLOOKUP(1, (Facturas_Odoo!$D:$D=A1609) * (Facturas_Odoo!$K:$K=I1609), Facturas_Odoo!$M:$M, 0), 0))</f>
        <v/>
      </c>
      <c r="U1609" s="79">
        <f>IF(Q1609="Sin Factura",0,IFERROR(_xlfn.XLOOKUP(1, (Facturas_Odoo!$D:$D=A1609) * (Facturas_Odoo!$K:$K=I1609), Facturas_Odoo!$N:$N, 0), 0))</f>
        <v/>
      </c>
      <c r="V1609" s="79">
        <f>IF(Q1609="Sin Factura",0,IFERROR(_xlfn.XLOOKUP(1, (Facturas_Odoo!$D:$D=A1609) * (Facturas_Odoo!$K:$K=I1609), Facturas_Odoo!$O:$O, 0), 0))</f>
        <v/>
      </c>
      <c r="W1609" s="81">
        <f>IF(Q1609="Sin Factura",0,IFERROR(_xlfn.XLOOKUP(1, (Facturas_Odoo!$D:$D=A1609) * (Facturas_Odoo!$K:$K=I1609), Facturas_Odoo!$Q:$Q, 0), 0))</f>
        <v/>
      </c>
      <c r="X1609" s="79">
        <f>IF(OR(Q1609="Sin Factura",Q1609=""),"",IFERROR(INDEX(Pagos_Odoo!$B:$B, MATCH(Q1609, Pagos_Odoo!$I:$I, 0)), "Sin Pago"))</f>
        <v/>
      </c>
      <c r="Y1609" s="79">
        <f>IF(X1609="Sin Pago","",IFERROR(INDEX(Pagos_Odoo!$C:$C, MATCH(X1609, Pagos_Odoo!$B:$B, 0)), ""))</f>
        <v/>
      </c>
      <c r="Z1609" s="80">
        <f>IF(X1609="Sin Pago","",IFERROR(INDEX(Pagos_Odoo!$A:$A, MATCH(X1609, Pagos_Odoo!$B:$B, 0)), ""))</f>
        <v/>
      </c>
      <c r="AA1609" s="79">
        <f>IF(X1609="Sin Pago","",IFERROR(INDEX(Pagos_Odoo!$F:$F, MATCH(X1609, Pagos_Odoo!$B:$B, 0)), ""))</f>
        <v/>
      </c>
      <c r="AB1609" s="81">
        <f>IF(X1609="Sin Pago",0,IFERROR(INDEX(Pagos_Odoo!$E:$E, MATCH(X1609, Pagos_Odoo!$B:$B, 0)), 0))</f>
        <v/>
      </c>
      <c r="AC1609" s="79">
        <f>IF(X1609="Sin Pago","",IFERROR(INDEX(Pagos_Odoo!$G:$G, MATCH(X1609, Pagos_Odoo!$B:$B, 0)), ""))</f>
        <v/>
      </c>
      <c r="AD1609" s="82" t="n">
        <v>0</v>
      </c>
      <c r="AE1609" s="82" t="n"/>
      <c r="AF1609" s="82" t="n"/>
      <c r="AG1609" s="82">
        <f>IF(AN1609="","",AD1609+AE1609+AF1609)</f>
        <v/>
      </c>
      <c r="AH1609" s="81">
        <f>IF(AN1609="","",P1609*(1-AG1609))</f>
        <v/>
      </c>
      <c r="AI1609" s="81">
        <f>IF(AN1609="","",IF(Q1609="Sin Factura",0,IFERROR(INDEX(Facturas_Odoo!$H:$H, MATCH(Q1609, Facturas_Odoo!$B:$B, 0)), 0)*(1-AG1609)))</f>
        <v/>
      </c>
      <c r="AJ1609" s="81">
        <f>IF(AN1609="","",_xlfn.LET(idVenta, AN1609&amp;"",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09" s="81">
        <f>IF(AN1609="","",AH1609-AJ1609)</f>
        <v/>
      </c>
      <c r="AL1609" s="81">
        <f>IF(AN1609="","",IF(Q1609="Sin Factura","",AI1609-AJ1609))</f>
        <v/>
      </c>
      <c r="AM1609" s="81">
        <f>IF(AN1609="","",IF(Q1609="Sin Factura",0,P1609-IFERROR(INDEX(Facturas_Odoo!$H:$H, MATCH(Q1609, Facturas_Odoo!$B:$B, 0)), 0)))</f>
        <v/>
      </c>
      <c r="AN1609" s="79">
        <f>IF(AND(A1609="", J1609=""), "", IF(A1609&lt;&gt;"", VALUE(MID(A1609,2,LEN(A1609))), AN1608))</f>
        <v/>
      </c>
      <c r="AO1609" s="79">
        <f>IF(AN1609="","",IF(AD1609=0,"OK",_xlfn.LET(monedaPago, IF(AA1609="","USD",AA1609), limitePermitido, IFERROR(VLOOKUP(monedaPago, Configuración!$A$2:$B$3, 2, FALSE), 0.15), IF(AD1609&gt;limitePermitido, "ALERTA: EXCESO (" &amp; TEXT(limitePermitido, "0%") &amp; " máx)", "OK"))))</f>
        <v/>
      </c>
      <c r="AP1609" s="79">
        <f>IF(AN1609="","",IF(AE1609=0,"OK",_xlfn.LET(fechaPago, Z1609, fechaFactura, R1609, diasCredito, IF(E1609="Pago inmediato", 0, IFERROR(VALUE(MID(E1609, 1, SEARCH(" ", E1609)-1)),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09" s="79">
        <f>IF(AN1609="","",IF(AND(N1609&gt;0, AG1609&gt;0), IF(Configuración!$K$2="NO", "ALERTA: DESCUENTO DOBLE NO PERMITIDO", "OK"), "OK"))</f>
        <v/>
      </c>
      <c r="AR1609" s="79">
        <f>IF(AN1609="","",IF(OR(AO1609&lt;&gt;"OK", AP1609&lt;&gt;"OK", AQ1609&lt;&gt;"OK"), "⚠️ REVISAR", "OK"))</f>
        <v/>
      </c>
    </row>
    <row r="1610">
      <c r="A1610" s="79">
        <f>IF('Ordenes_Odoo'!A1610="","",'Ordenes_Odoo'!A1610)</f>
        <v/>
      </c>
      <c r="B1610" s="80">
        <f>IF('Ordenes_Odoo'!B1610="","",'Ordenes_Odoo'!B1610)</f>
        <v/>
      </c>
      <c r="C1610" s="79">
        <f>IF('Ordenes_Odoo'!C1610="","",'Ordenes_Odoo'!C1610)</f>
        <v/>
      </c>
      <c r="D1610" s="79">
        <f>IF('Ordenes_Odoo'!D1610="","",'Ordenes_Odoo'!D1610)</f>
        <v/>
      </c>
      <c r="E1610" s="79">
        <f>IF('Ordenes_Odoo'!E1610="","",'Ordenes_Odoo'!E1610)</f>
        <v/>
      </c>
      <c r="F1610" s="79">
        <f>IF('Ordenes_Odoo'!F1610="","",'Ordenes_Odoo'!F1610)</f>
        <v/>
      </c>
      <c r="G1610" s="79">
        <f>IF('Ordenes_Odoo'!G1610="","",'Ordenes_Odoo'!G1610)</f>
        <v/>
      </c>
      <c r="H1610" s="79">
        <f>IF('Ordenes_Odoo'!H1610="","",'Ordenes_Odoo'!H1610)</f>
        <v/>
      </c>
      <c r="I1610" s="79">
        <f>IF('Ordenes_Odoo'!I1610="","",'Ordenes_Odoo'!I1610)</f>
        <v/>
      </c>
      <c r="J1610" s="79">
        <f>IF('Ordenes_Odoo'!J1610="","",'Ordenes_Odoo'!J1610)</f>
        <v/>
      </c>
      <c r="K1610" s="81">
        <f>IF('Ordenes_Odoo'!K1610="","",'Ordenes_Odoo'!K1610)</f>
        <v/>
      </c>
      <c r="L1610" s="81">
        <f>IF('Ordenes_Odoo'!L1610="","",'Ordenes_Odoo'!L1610)</f>
        <v/>
      </c>
      <c r="M1610" s="79">
        <f>IF('Ordenes_Odoo'!M1610="","",'Ordenes_Odoo'!M1610)</f>
        <v/>
      </c>
      <c r="N1610" s="79">
        <f>IF('Ordenes_Odoo'!N1610="","",'Ordenes_Odoo'!N1610)</f>
        <v/>
      </c>
      <c r="O1610" s="81">
        <f>IF('Ordenes_Odoo'!O1610="","",'Ordenes_Odoo'!O1610)</f>
        <v/>
      </c>
      <c r="P1610" s="81">
        <f>IF('Ordenes_Odoo'!P1610="","",'Ordenes_Odoo'!P1610)</f>
        <v/>
      </c>
      <c r="Q1610" s="79">
        <f>IF(A1610="","",IFERROR(INDEX(Facturas_Odoo!$B:$B, MATCH(A1610, Facturas_Odoo!$D:$D, 0)), "Sin Factura"))</f>
        <v/>
      </c>
      <c r="R1610" s="80">
        <f>IF(Q1610="Sin Factura","",IFERROR(INDEX(Facturas_Odoo!$A:$A, MATCH(Q1610, Facturas_Odoo!$B:$B, 0)), ""))</f>
        <v/>
      </c>
      <c r="S1610" s="79">
        <f>IF(Q1610="Sin Factura","",IFERROR(_xlfn.XLOOKUP(1, (Facturas_Odoo!$D:$D=A1610) * (Facturas_Odoo!$K:$K=I1610), Facturas_Odoo!$L:$L, ""), ""))</f>
        <v/>
      </c>
      <c r="T1610" s="81">
        <f>IF(Q1610="Sin Factura",0,IFERROR(_xlfn.XLOOKUP(1, (Facturas_Odoo!$D:$D=A1610) * (Facturas_Odoo!$K:$K=I1610), Facturas_Odoo!$M:$M, 0), 0))</f>
        <v/>
      </c>
      <c r="U1610" s="79">
        <f>IF(Q1610="Sin Factura",0,IFERROR(_xlfn.XLOOKUP(1, (Facturas_Odoo!$D:$D=A1610) * (Facturas_Odoo!$K:$K=I1610), Facturas_Odoo!$N:$N, 0), 0))</f>
        <v/>
      </c>
      <c r="V1610" s="79">
        <f>IF(Q1610="Sin Factura",0,IFERROR(_xlfn.XLOOKUP(1, (Facturas_Odoo!$D:$D=A1610) * (Facturas_Odoo!$K:$K=I1610), Facturas_Odoo!$O:$O, 0), 0))</f>
        <v/>
      </c>
      <c r="W1610" s="81">
        <f>IF(Q1610="Sin Factura",0,IFERROR(_xlfn.XLOOKUP(1, (Facturas_Odoo!$D:$D=A1610) * (Facturas_Odoo!$K:$K=I1610), Facturas_Odoo!$Q:$Q, 0), 0))</f>
        <v/>
      </c>
      <c r="X1610" s="79">
        <f>IF(OR(Q1610="Sin Factura",Q1610=""),"",IFERROR(INDEX(Pagos_Odoo!$B:$B, MATCH(Q1610, Pagos_Odoo!$I:$I, 0)), "Sin Pago"))</f>
        <v/>
      </c>
      <c r="Y1610" s="79">
        <f>IF(X1610="Sin Pago","",IFERROR(INDEX(Pagos_Odoo!$C:$C, MATCH(X1610, Pagos_Odoo!$B:$B, 0)), ""))</f>
        <v/>
      </c>
      <c r="Z1610" s="80">
        <f>IF(X1610="Sin Pago","",IFERROR(INDEX(Pagos_Odoo!$A:$A, MATCH(X1610, Pagos_Odoo!$B:$B, 0)), ""))</f>
        <v/>
      </c>
      <c r="AA1610" s="79">
        <f>IF(X1610="Sin Pago","",IFERROR(INDEX(Pagos_Odoo!$F:$F, MATCH(X1610, Pagos_Odoo!$B:$B, 0)), ""))</f>
        <v/>
      </c>
      <c r="AB1610" s="81">
        <f>IF(X1610="Sin Pago",0,IFERROR(INDEX(Pagos_Odoo!$E:$E, MATCH(X1610, Pagos_Odoo!$B:$B, 0)), 0))</f>
        <v/>
      </c>
      <c r="AC1610" s="79">
        <f>IF(X1610="Sin Pago","",IFERROR(INDEX(Pagos_Odoo!$G:$G, MATCH(X1610, Pagos_Odoo!$B:$B, 0)), ""))</f>
        <v/>
      </c>
      <c r="AD1610" s="82" t="n">
        <v>0</v>
      </c>
      <c r="AE1610" s="82" t="n"/>
      <c r="AF1610" s="82" t="n"/>
      <c r="AG1610" s="82">
        <f>IF(AN1610="","",AD1610+AE1610+AF1610)</f>
        <v/>
      </c>
      <c r="AH1610" s="81">
        <f>IF(AN1610="","",P1610*(1-AG1610))</f>
        <v/>
      </c>
      <c r="AI1610" s="81">
        <f>IF(AN1610="","",IF(Q1610="Sin Factura",0,IFERROR(INDEX(Facturas_Odoo!$H:$H, MATCH(Q1610, Facturas_Odoo!$B:$B, 0)), 0)*(1-AG1610)))</f>
        <v/>
      </c>
      <c r="AJ1610" s="81">
        <f>IF(AN1610="","",_xlfn.LET(idVenta, AN1610&amp;"",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10" s="81">
        <f>IF(AN1610="","",AH1610-AJ1610)</f>
        <v/>
      </c>
      <c r="AL1610" s="81">
        <f>IF(AN1610="","",IF(Q1610="Sin Factura","",AI1610-AJ1610))</f>
        <v/>
      </c>
      <c r="AM1610" s="81">
        <f>IF(AN1610="","",IF(Q1610="Sin Factura",0,P1610-IFERROR(INDEX(Facturas_Odoo!$H:$H, MATCH(Q1610, Facturas_Odoo!$B:$B, 0)), 0)))</f>
        <v/>
      </c>
      <c r="AN1610" s="79">
        <f>IF(AND(A1610="", J1610=""), "", IF(A1610&lt;&gt;"", VALUE(MID(A1610,2,LEN(A1610))), AN1609))</f>
        <v/>
      </c>
      <c r="AO1610" s="79">
        <f>IF(AN1610="","",IF(AD1610=0,"OK",_xlfn.LET(monedaPago, IF(AA1610="","USD",AA1610), limitePermitido, IFERROR(VLOOKUP(monedaPago, Configuración!$A$2:$B$3, 2, FALSE), 0.15), IF(AD1610&gt;limitePermitido, "ALERTA: EXCESO (" &amp; TEXT(limitePermitido, "0%") &amp; " máx)", "OK"))))</f>
        <v/>
      </c>
      <c r="AP1610" s="79">
        <f>IF(AN1610="","",IF(AE1610=0,"OK",_xlfn.LET(fechaPago, Z1610, fechaFactura, R1610, diasCredito, IF(E1610="Pago inmediato", 0, IFERROR(VALUE(MID(E1610, 1, SEARCH(" ", E1610)-1)),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10" s="79">
        <f>IF(AN1610="","",IF(AND(N1610&gt;0, AG1610&gt;0), IF(Configuración!$K$2="NO", "ALERTA: DESCUENTO DOBLE NO PERMITIDO", "OK"), "OK"))</f>
        <v/>
      </c>
      <c r="AR1610" s="79">
        <f>IF(AN1610="","",IF(OR(AO1610&lt;&gt;"OK", AP1610&lt;&gt;"OK", AQ1610&lt;&gt;"OK"), "⚠️ REVISAR", "OK"))</f>
        <v/>
      </c>
    </row>
    <row r="1611">
      <c r="A1611" s="79">
        <f>IF('Ordenes_Odoo'!A1611="","",'Ordenes_Odoo'!A1611)</f>
        <v/>
      </c>
      <c r="B1611" s="80">
        <f>IF('Ordenes_Odoo'!B1611="","",'Ordenes_Odoo'!B1611)</f>
        <v/>
      </c>
      <c r="C1611" s="79">
        <f>IF('Ordenes_Odoo'!C1611="","",'Ordenes_Odoo'!C1611)</f>
        <v/>
      </c>
      <c r="D1611" s="79">
        <f>IF('Ordenes_Odoo'!D1611="","",'Ordenes_Odoo'!D1611)</f>
        <v/>
      </c>
      <c r="E1611" s="79">
        <f>IF('Ordenes_Odoo'!E1611="","",'Ordenes_Odoo'!E1611)</f>
        <v/>
      </c>
      <c r="F1611" s="79">
        <f>IF('Ordenes_Odoo'!F1611="","",'Ordenes_Odoo'!F1611)</f>
        <v/>
      </c>
      <c r="G1611" s="79">
        <f>IF('Ordenes_Odoo'!G1611="","",'Ordenes_Odoo'!G1611)</f>
        <v/>
      </c>
      <c r="H1611" s="79">
        <f>IF('Ordenes_Odoo'!H1611="","",'Ordenes_Odoo'!H1611)</f>
        <v/>
      </c>
      <c r="I1611" s="79">
        <f>IF('Ordenes_Odoo'!I1611="","",'Ordenes_Odoo'!I1611)</f>
        <v/>
      </c>
      <c r="J1611" s="79">
        <f>IF('Ordenes_Odoo'!J1611="","",'Ordenes_Odoo'!J1611)</f>
        <v/>
      </c>
      <c r="K1611" s="81">
        <f>IF('Ordenes_Odoo'!K1611="","",'Ordenes_Odoo'!K1611)</f>
        <v/>
      </c>
      <c r="L1611" s="81">
        <f>IF('Ordenes_Odoo'!L1611="","",'Ordenes_Odoo'!L1611)</f>
        <v/>
      </c>
      <c r="M1611" s="79">
        <f>IF('Ordenes_Odoo'!M1611="","",'Ordenes_Odoo'!M1611)</f>
        <v/>
      </c>
      <c r="N1611" s="79">
        <f>IF('Ordenes_Odoo'!N1611="","",'Ordenes_Odoo'!N1611)</f>
        <v/>
      </c>
      <c r="O1611" s="81">
        <f>IF('Ordenes_Odoo'!O1611="","",'Ordenes_Odoo'!O1611)</f>
        <v/>
      </c>
      <c r="P1611" s="81">
        <f>IF('Ordenes_Odoo'!P1611="","",'Ordenes_Odoo'!P1611)</f>
        <v/>
      </c>
      <c r="Q1611" s="79">
        <f>IF(A1611="","",IFERROR(INDEX(Facturas_Odoo!$B:$B, MATCH(A1611, Facturas_Odoo!$D:$D, 0)), "Sin Factura"))</f>
        <v/>
      </c>
      <c r="R1611" s="80">
        <f>IF(Q1611="Sin Factura","",IFERROR(INDEX(Facturas_Odoo!$A:$A, MATCH(Q1611, Facturas_Odoo!$B:$B, 0)), ""))</f>
        <v/>
      </c>
      <c r="S1611" s="79">
        <f>IF(Q1611="Sin Factura","",IFERROR(_xlfn.XLOOKUP(1, (Facturas_Odoo!$D:$D=A1611) * (Facturas_Odoo!$K:$K=I1611), Facturas_Odoo!$L:$L, ""), ""))</f>
        <v/>
      </c>
      <c r="T1611" s="81">
        <f>IF(Q1611="Sin Factura",0,IFERROR(_xlfn.XLOOKUP(1, (Facturas_Odoo!$D:$D=A1611) * (Facturas_Odoo!$K:$K=I1611), Facturas_Odoo!$M:$M, 0), 0))</f>
        <v/>
      </c>
      <c r="U1611" s="79">
        <f>IF(Q1611="Sin Factura",0,IFERROR(_xlfn.XLOOKUP(1, (Facturas_Odoo!$D:$D=A1611) * (Facturas_Odoo!$K:$K=I1611), Facturas_Odoo!$N:$N, 0), 0))</f>
        <v/>
      </c>
      <c r="V1611" s="79">
        <f>IF(Q1611="Sin Factura",0,IFERROR(_xlfn.XLOOKUP(1, (Facturas_Odoo!$D:$D=A1611) * (Facturas_Odoo!$K:$K=I1611), Facturas_Odoo!$O:$O, 0), 0))</f>
        <v/>
      </c>
      <c r="W1611" s="81">
        <f>IF(Q1611="Sin Factura",0,IFERROR(_xlfn.XLOOKUP(1, (Facturas_Odoo!$D:$D=A1611) * (Facturas_Odoo!$K:$K=I1611), Facturas_Odoo!$Q:$Q, 0), 0))</f>
        <v/>
      </c>
      <c r="X1611" s="79">
        <f>IF(OR(Q1611="Sin Factura",Q1611=""),"",IFERROR(INDEX(Pagos_Odoo!$B:$B, MATCH(Q1611, Pagos_Odoo!$I:$I, 0)), "Sin Pago"))</f>
        <v/>
      </c>
      <c r="Y1611" s="79">
        <f>IF(X1611="Sin Pago","",IFERROR(INDEX(Pagos_Odoo!$C:$C, MATCH(X1611, Pagos_Odoo!$B:$B, 0)), ""))</f>
        <v/>
      </c>
      <c r="Z1611" s="80">
        <f>IF(X1611="Sin Pago","",IFERROR(INDEX(Pagos_Odoo!$A:$A, MATCH(X1611, Pagos_Odoo!$B:$B, 0)), ""))</f>
        <v/>
      </c>
      <c r="AA1611" s="79">
        <f>IF(X1611="Sin Pago","",IFERROR(INDEX(Pagos_Odoo!$F:$F, MATCH(X1611, Pagos_Odoo!$B:$B, 0)), ""))</f>
        <v/>
      </c>
      <c r="AB1611" s="81">
        <f>IF(X1611="Sin Pago",0,IFERROR(INDEX(Pagos_Odoo!$E:$E, MATCH(X1611, Pagos_Odoo!$B:$B, 0)), 0))</f>
        <v/>
      </c>
      <c r="AC1611" s="79">
        <f>IF(X1611="Sin Pago","",IFERROR(INDEX(Pagos_Odoo!$G:$G, MATCH(X1611, Pagos_Odoo!$B:$B, 0)), ""))</f>
        <v/>
      </c>
      <c r="AD1611" s="82" t="n">
        <v>0</v>
      </c>
      <c r="AE1611" s="82" t="n"/>
      <c r="AF1611" s="82" t="n"/>
      <c r="AG1611" s="82">
        <f>IF(AN1611="","",AD1611+AE1611+AF1611)</f>
        <v/>
      </c>
      <c r="AH1611" s="81">
        <f>IF(AN1611="","",P1611*(1-AG1611))</f>
        <v/>
      </c>
      <c r="AI1611" s="81">
        <f>IF(AN1611="","",IF(Q1611="Sin Factura",0,IFERROR(INDEX(Facturas_Odoo!$H:$H, MATCH(Q1611, Facturas_Odoo!$B:$B, 0)), 0)*(1-AG1611)))</f>
        <v/>
      </c>
      <c r="AJ1611" s="81">
        <f>IF(AN1611="","",_xlfn.LET(idVenta, AN1611&amp;"",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11" s="81">
        <f>IF(AN1611="","",AH1611-AJ1611)</f>
        <v/>
      </c>
      <c r="AL1611" s="81">
        <f>IF(AN1611="","",IF(Q1611="Sin Factura","",AI1611-AJ1611))</f>
        <v/>
      </c>
      <c r="AM1611" s="81">
        <f>IF(AN1611="","",IF(Q1611="Sin Factura",0,P1611-IFERROR(INDEX(Facturas_Odoo!$H:$H, MATCH(Q1611, Facturas_Odoo!$B:$B, 0)), 0)))</f>
        <v/>
      </c>
      <c r="AN1611" s="79">
        <f>IF(AND(A1611="", J1611=""), "", IF(A1611&lt;&gt;"", VALUE(MID(A1611,2,LEN(A1611))), AN1610))</f>
        <v/>
      </c>
      <c r="AO1611" s="79">
        <f>IF(AN1611="","",IF(AD1611=0,"OK",_xlfn.LET(monedaPago, IF(AA1611="","USD",AA1611), limitePermitido, IFERROR(VLOOKUP(monedaPago, Configuración!$A$2:$B$3, 2, FALSE), 0.15), IF(AD1611&gt;limitePermitido, "ALERTA: EXCESO (" &amp; TEXT(limitePermitido, "0%") &amp; " máx)", "OK"))))</f>
        <v/>
      </c>
      <c r="AP1611" s="79">
        <f>IF(AN1611="","",IF(AE1611=0,"OK",_xlfn.LET(fechaPago, Z1611, fechaFactura, R1611, diasCredito, IF(E1611="Pago inmediato", 0, IFERROR(VALUE(MID(E1611, 1, SEARCH(" ", E1611)-1)),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11" s="79">
        <f>IF(AN1611="","",IF(AND(N1611&gt;0, AG1611&gt;0), IF(Configuración!$K$2="NO", "ALERTA: DESCUENTO DOBLE NO PERMITIDO", "OK"), "OK"))</f>
        <v/>
      </c>
      <c r="AR1611" s="79">
        <f>IF(AN1611="","",IF(OR(AO1611&lt;&gt;"OK", AP1611&lt;&gt;"OK", AQ1611&lt;&gt;"OK"), "⚠️ REVISAR", "OK"))</f>
        <v/>
      </c>
    </row>
    <row r="1612">
      <c r="A1612" s="79">
        <f>IF('Ordenes_Odoo'!A1612="","",'Ordenes_Odoo'!A1612)</f>
        <v/>
      </c>
      <c r="B1612" s="80">
        <f>IF('Ordenes_Odoo'!B1612="","",'Ordenes_Odoo'!B1612)</f>
        <v/>
      </c>
      <c r="C1612" s="79">
        <f>IF('Ordenes_Odoo'!C1612="","",'Ordenes_Odoo'!C1612)</f>
        <v/>
      </c>
      <c r="D1612" s="79">
        <f>IF('Ordenes_Odoo'!D1612="","",'Ordenes_Odoo'!D1612)</f>
        <v/>
      </c>
      <c r="E1612" s="79">
        <f>IF('Ordenes_Odoo'!E1612="","",'Ordenes_Odoo'!E1612)</f>
        <v/>
      </c>
      <c r="F1612" s="79">
        <f>IF('Ordenes_Odoo'!F1612="","",'Ordenes_Odoo'!F1612)</f>
        <v/>
      </c>
      <c r="G1612" s="79">
        <f>IF('Ordenes_Odoo'!G1612="","",'Ordenes_Odoo'!G1612)</f>
        <v/>
      </c>
      <c r="H1612" s="79">
        <f>IF('Ordenes_Odoo'!H1612="","",'Ordenes_Odoo'!H1612)</f>
        <v/>
      </c>
      <c r="I1612" s="79">
        <f>IF('Ordenes_Odoo'!I1612="","",'Ordenes_Odoo'!I1612)</f>
        <v/>
      </c>
      <c r="J1612" s="79">
        <f>IF('Ordenes_Odoo'!J1612="","",'Ordenes_Odoo'!J1612)</f>
        <v/>
      </c>
      <c r="K1612" s="81">
        <f>IF('Ordenes_Odoo'!K1612="","",'Ordenes_Odoo'!K1612)</f>
        <v/>
      </c>
      <c r="L1612" s="81">
        <f>IF('Ordenes_Odoo'!L1612="","",'Ordenes_Odoo'!L1612)</f>
        <v/>
      </c>
      <c r="M1612" s="79">
        <f>IF('Ordenes_Odoo'!M1612="","",'Ordenes_Odoo'!M1612)</f>
        <v/>
      </c>
      <c r="N1612" s="79">
        <f>IF('Ordenes_Odoo'!N1612="","",'Ordenes_Odoo'!N1612)</f>
        <v/>
      </c>
      <c r="O1612" s="81">
        <f>IF('Ordenes_Odoo'!O1612="","",'Ordenes_Odoo'!O1612)</f>
        <v/>
      </c>
      <c r="P1612" s="81">
        <f>IF('Ordenes_Odoo'!P1612="","",'Ordenes_Odoo'!P1612)</f>
        <v/>
      </c>
      <c r="Q1612" s="79">
        <f>IF(A1612="","",IFERROR(INDEX(Facturas_Odoo!$B:$B, MATCH(A1612, Facturas_Odoo!$D:$D, 0)), "Sin Factura"))</f>
        <v/>
      </c>
      <c r="R1612" s="80">
        <f>IF(Q1612="Sin Factura","",IFERROR(INDEX(Facturas_Odoo!$A:$A, MATCH(Q1612, Facturas_Odoo!$B:$B, 0)), ""))</f>
        <v/>
      </c>
      <c r="S1612" s="79">
        <f>IF(Q1612="Sin Factura","",IFERROR(_xlfn.XLOOKUP(1, (Facturas_Odoo!$D:$D=A1612) * (Facturas_Odoo!$K:$K=I1612), Facturas_Odoo!$L:$L, ""), ""))</f>
        <v/>
      </c>
      <c r="T1612" s="81">
        <f>IF(Q1612="Sin Factura",0,IFERROR(_xlfn.XLOOKUP(1, (Facturas_Odoo!$D:$D=A1612) * (Facturas_Odoo!$K:$K=I1612), Facturas_Odoo!$M:$M, 0), 0))</f>
        <v/>
      </c>
      <c r="U1612" s="79">
        <f>IF(Q1612="Sin Factura",0,IFERROR(_xlfn.XLOOKUP(1, (Facturas_Odoo!$D:$D=A1612) * (Facturas_Odoo!$K:$K=I1612), Facturas_Odoo!$N:$N, 0), 0))</f>
        <v/>
      </c>
      <c r="V1612" s="79">
        <f>IF(Q1612="Sin Factura",0,IFERROR(_xlfn.XLOOKUP(1, (Facturas_Odoo!$D:$D=A1612) * (Facturas_Odoo!$K:$K=I1612), Facturas_Odoo!$O:$O, 0), 0))</f>
        <v/>
      </c>
      <c r="W1612" s="81">
        <f>IF(Q1612="Sin Factura",0,IFERROR(_xlfn.XLOOKUP(1, (Facturas_Odoo!$D:$D=A1612) * (Facturas_Odoo!$K:$K=I1612), Facturas_Odoo!$Q:$Q, 0), 0))</f>
        <v/>
      </c>
      <c r="X1612" s="79">
        <f>IF(OR(Q1612="Sin Factura",Q1612=""),"",IFERROR(INDEX(Pagos_Odoo!$B:$B, MATCH(Q1612, Pagos_Odoo!$I:$I, 0)), "Sin Pago"))</f>
        <v/>
      </c>
      <c r="Y1612" s="79">
        <f>IF(X1612="Sin Pago","",IFERROR(INDEX(Pagos_Odoo!$C:$C, MATCH(X1612, Pagos_Odoo!$B:$B, 0)), ""))</f>
        <v/>
      </c>
      <c r="Z1612" s="80">
        <f>IF(X1612="Sin Pago","",IFERROR(INDEX(Pagos_Odoo!$A:$A, MATCH(X1612, Pagos_Odoo!$B:$B, 0)), ""))</f>
        <v/>
      </c>
      <c r="AA1612" s="79">
        <f>IF(X1612="Sin Pago","",IFERROR(INDEX(Pagos_Odoo!$F:$F, MATCH(X1612, Pagos_Odoo!$B:$B, 0)), ""))</f>
        <v/>
      </c>
      <c r="AB1612" s="81">
        <f>IF(X1612="Sin Pago",0,IFERROR(INDEX(Pagos_Odoo!$E:$E, MATCH(X1612, Pagos_Odoo!$B:$B, 0)), 0))</f>
        <v/>
      </c>
      <c r="AC1612" s="79">
        <f>IF(X1612="Sin Pago","",IFERROR(INDEX(Pagos_Odoo!$G:$G, MATCH(X1612, Pagos_Odoo!$B:$B, 0)), ""))</f>
        <v/>
      </c>
      <c r="AD1612" s="82" t="n">
        <v>0</v>
      </c>
      <c r="AE1612" s="82" t="n"/>
      <c r="AF1612" s="82" t="n"/>
      <c r="AG1612" s="82">
        <f>IF(AN1612="","",AD1612+AE1612+AF1612)</f>
        <v/>
      </c>
      <c r="AH1612" s="81">
        <f>IF(AN1612="","",P1612*(1-AG1612))</f>
        <v/>
      </c>
      <c r="AI1612" s="81">
        <f>IF(AN1612="","",IF(Q1612="Sin Factura",0,IFERROR(INDEX(Facturas_Odoo!$H:$H, MATCH(Q1612, Facturas_Odoo!$B:$B, 0)), 0)*(1-AG1612)))</f>
        <v/>
      </c>
      <c r="AJ1612" s="81">
        <f>IF(AN1612="","",_xlfn.LET(idVenta, AN1612&amp;"",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12" s="81">
        <f>IF(AN1612="","",AH1612-AJ1612)</f>
        <v/>
      </c>
      <c r="AL1612" s="81">
        <f>IF(AN1612="","",IF(Q1612="Sin Factura","",AI1612-AJ1612))</f>
        <v/>
      </c>
      <c r="AM1612" s="81">
        <f>IF(AN1612="","",IF(Q1612="Sin Factura",0,P1612-IFERROR(INDEX(Facturas_Odoo!$H:$H, MATCH(Q1612, Facturas_Odoo!$B:$B, 0)), 0)))</f>
        <v/>
      </c>
      <c r="AN1612" s="79">
        <f>IF(AND(A1612="", J1612=""), "", IF(A1612&lt;&gt;"", VALUE(MID(A1612,2,LEN(A1612))), AN1611))</f>
        <v/>
      </c>
      <c r="AO1612" s="79">
        <f>IF(AN1612="","",IF(AD1612=0,"OK",_xlfn.LET(monedaPago, IF(AA1612="","USD",AA1612), limitePermitido, IFERROR(VLOOKUP(monedaPago, Configuración!$A$2:$B$3, 2, FALSE), 0.15), IF(AD1612&gt;limitePermitido, "ALERTA: EXCESO (" &amp; TEXT(limitePermitido, "0%") &amp; " máx)", "OK"))))</f>
        <v/>
      </c>
      <c r="AP1612" s="79">
        <f>IF(AN1612="","",IF(AE1612=0,"OK",_xlfn.LET(fechaPago, Z1612, fechaFactura, R1612, diasCredito, IF(E1612="Pago inmediato", 0, IFERROR(VALUE(MID(E1612, 1, SEARCH(" ", E1612)-1)),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12" s="79">
        <f>IF(AN1612="","",IF(AND(N1612&gt;0, AG1612&gt;0), IF(Configuración!$K$2="NO", "ALERTA: DESCUENTO DOBLE NO PERMITIDO", "OK"), "OK"))</f>
        <v/>
      </c>
      <c r="AR1612" s="79">
        <f>IF(AN1612="","",IF(OR(AO1612&lt;&gt;"OK", AP1612&lt;&gt;"OK", AQ1612&lt;&gt;"OK"), "⚠️ REVISAR", "OK"))</f>
        <v/>
      </c>
    </row>
    <row r="1613">
      <c r="A1613" s="79">
        <f>IF('Ordenes_Odoo'!A1613="","",'Ordenes_Odoo'!A1613)</f>
        <v/>
      </c>
      <c r="B1613" s="80">
        <f>IF('Ordenes_Odoo'!B1613="","",'Ordenes_Odoo'!B1613)</f>
        <v/>
      </c>
      <c r="C1613" s="79">
        <f>IF('Ordenes_Odoo'!C1613="","",'Ordenes_Odoo'!C1613)</f>
        <v/>
      </c>
      <c r="D1613" s="79">
        <f>IF('Ordenes_Odoo'!D1613="","",'Ordenes_Odoo'!D1613)</f>
        <v/>
      </c>
      <c r="E1613" s="79">
        <f>IF('Ordenes_Odoo'!E1613="","",'Ordenes_Odoo'!E1613)</f>
        <v/>
      </c>
      <c r="F1613" s="79">
        <f>IF('Ordenes_Odoo'!F1613="","",'Ordenes_Odoo'!F1613)</f>
        <v/>
      </c>
      <c r="G1613" s="79">
        <f>IF('Ordenes_Odoo'!G1613="","",'Ordenes_Odoo'!G1613)</f>
        <v/>
      </c>
      <c r="H1613" s="79">
        <f>IF('Ordenes_Odoo'!H1613="","",'Ordenes_Odoo'!H1613)</f>
        <v/>
      </c>
      <c r="I1613" s="79">
        <f>IF('Ordenes_Odoo'!I1613="","",'Ordenes_Odoo'!I1613)</f>
        <v/>
      </c>
      <c r="J1613" s="79">
        <f>IF('Ordenes_Odoo'!J1613="","",'Ordenes_Odoo'!J1613)</f>
        <v/>
      </c>
      <c r="K1613" s="81">
        <f>IF('Ordenes_Odoo'!K1613="","",'Ordenes_Odoo'!K1613)</f>
        <v/>
      </c>
      <c r="L1613" s="81">
        <f>IF('Ordenes_Odoo'!L1613="","",'Ordenes_Odoo'!L1613)</f>
        <v/>
      </c>
      <c r="M1613" s="79">
        <f>IF('Ordenes_Odoo'!M1613="","",'Ordenes_Odoo'!M1613)</f>
        <v/>
      </c>
      <c r="N1613" s="79">
        <f>IF('Ordenes_Odoo'!N1613="","",'Ordenes_Odoo'!N1613)</f>
        <v/>
      </c>
      <c r="O1613" s="81">
        <f>IF('Ordenes_Odoo'!O1613="","",'Ordenes_Odoo'!O1613)</f>
        <v/>
      </c>
      <c r="P1613" s="81">
        <f>IF('Ordenes_Odoo'!P1613="","",'Ordenes_Odoo'!P1613)</f>
        <v/>
      </c>
      <c r="Q1613" s="79">
        <f>IF(A1613="","",IFERROR(INDEX(Facturas_Odoo!$B:$B, MATCH(A1613, Facturas_Odoo!$D:$D, 0)), "Sin Factura"))</f>
        <v/>
      </c>
      <c r="R1613" s="80">
        <f>IF(Q1613="Sin Factura","",IFERROR(INDEX(Facturas_Odoo!$A:$A, MATCH(Q1613, Facturas_Odoo!$B:$B, 0)), ""))</f>
        <v/>
      </c>
      <c r="S1613" s="79">
        <f>IF(Q1613="Sin Factura","",IFERROR(_xlfn.XLOOKUP(1, (Facturas_Odoo!$D:$D=A1613) * (Facturas_Odoo!$K:$K=I1613), Facturas_Odoo!$L:$L, ""), ""))</f>
        <v/>
      </c>
      <c r="T1613" s="81">
        <f>IF(Q1613="Sin Factura",0,IFERROR(_xlfn.XLOOKUP(1, (Facturas_Odoo!$D:$D=A1613) * (Facturas_Odoo!$K:$K=I1613), Facturas_Odoo!$M:$M, 0), 0))</f>
        <v/>
      </c>
      <c r="U1613" s="79">
        <f>IF(Q1613="Sin Factura",0,IFERROR(_xlfn.XLOOKUP(1, (Facturas_Odoo!$D:$D=A1613) * (Facturas_Odoo!$K:$K=I1613), Facturas_Odoo!$N:$N, 0), 0))</f>
        <v/>
      </c>
      <c r="V1613" s="79">
        <f>IF(Q1613="Sin Factura",0,IFERROR(_xlfn.XLOOKUP(1, (Facturas_Odoo!$D:$D=A1613) * (Facturas_Odoo!$K:$K=I1613), Facturas_Odoo!$O:$O, 0), 0))</f>
        <v/>
      </c>
      <c r="W1613" s="81">
        <f>IF(Q1613="Sin Factura",0,IFERROR(_xlfn.XLOOKUP(1, (Facturas_Odoo!$D:$D=A1613) * (Facturas_Odoo!$K:$K=I1613), Facturas_Odoo!$Q:$Q, 0), 0))</f>
        <v/>
      </c>
      <c r="X1613" s="79">
        <f>IF(OR(Q1613="Sin Factura",Q1613=""),"",IFERROR(INDEX(Pagos_Odoo!$B:$B, MATCH(Q1613, Pagos_Odoo!$I:$I, 0)), "Sin Pago"))</f>
        <v/>
      </c>
      <c r="Y1613" s="79">
        <f>IF(X1613="Sin Pago","",IFERROR(INDEX(Pagos_Odoo!$C:$C, MATCH(X1613, Pagos_Odoo!$B:$B, 0)), ""))</f>
        <v/>
      </c>
      <c r="Z1613" s="80">
        <f>IF(X1613="Sin Pago","",IFERROR(INDEX(Pagos_Odoo!$A:$A, MATCH(X1613, Pagos_Odoo!$B:$B, 0)), ""))</f>
        <v/>
      </c>
      <c r="AA1613" s="79">
        <f>IF(X1613="Sin Pago","",IFERROR(INDEX(Pagos_Odoo!$F:$F, MATCH(X1613, Pagos_Odoo!$B:$B, 0)), ""))</f>
        <v/>
      </c>
      <c r="AB1613" s="81">
        <f>IF(X1613="Sin Pago",0,IFERROR(INDEX(Pagos_Odoo!$E:$E, MATCH(X1613, Pagos_Odoo!$B:$B, 0)), 0))</f>
        <v/>
      </c>
      <c r="AC1613" s="79">
        <f>IF(X1613="Sin Pago","",IFERROR(INDEX(Pagos_Odoo!$G:$G, MATCH(X1613, Pagos_Odoo!$B:$B, 0)), ""))</f>
        <v/>
      </c>
      <c r="AD1613" s="82" t="n">
        <v>0</v>
      </c>
      <c r="AE1613" s="82" t="n"/>
      <c r="AF1613" s="82" t="n"/>
      <c r="AG1613" s="82">
        <f>IF(AN1613="","",AD1613+AE1613+AF1613)</f>
        <v/>
      </c>
      <c r="AH1613" s="81">
        <f>IF(AN1613="","",P1613*(1-AG1613))</f>
        <v/>
      </c>
      <c r="AI1613" s="81">
        <f>IF(AN1613="","",IF(Q1613="Sin Factura",0,IFERROR(INDEX(Facturas_Odoo!$H:$H, MATCH(Q1613, Facturas_Odoo!$B:$B, 0)), 0)*(1-AG1613)))</f>
        <v/>
      </c>
      <c r="AJ1613" s="81">
        <f>IF(AN1613="","",_xlfn.LET(idVenta, AN1613&amp;"",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13" s="81">
        <f>IF(AN1613="","",AH1613-AJ1613)</f>
        <v/>
      </c>
      <c r="AL1613" s="81">
        <f>IF(AN1613="","",IF(Q1613="Sin Factura","",AI1613-AJ1613))</f>
        <v/>
      </c>
      <c r="AM1613" s="81">
        <f>IF(AN1613="","",IF(Q1613="Sin Factura",0,P1613-IFERROR(INDEX(Facturas_Odoo!$H:$H, MATCH(Q1613, Facturas_Odoo!$B:$B, 0)), 0)))</f>
        <v/>
      </c>
      <c r="AN1613" s="79">
        <f>IF(AND(A1613="", J1613=""), "", IF(A1613&lt;&gt;"", VALUE(MID(A1613,2,LEN(A1613))), AN1612))</f>
        <v/>
      </c>
      <c r="AO1613" s="79">
        <f>IF(AN1613="","",IF(AD1613=0,"OK",_xlfn.LET(monedaPago, IF(AA1613="","USD",AA1613), limitePermitido, IFERROR(VLOOKUP(monedaPago, Configuración!$A$2:$B$3, 2, FALSE), 0.15), IF(AD1613&gt;limitePermitido, "ALERTA: EXCESO (" &amp; TEXT(limitePermitido, "0%") &amp; " máx)", "OK"))))</f>
        <v/>
      </c>
      <c r="AP1613" s="79">
        <f>IF(AN1613="","",IF(AE1613=0,"OK",_xlfn.LET(fechaPago, Z1613, fechaFactura, R1613, diasCredito, IF(E1613="Pago inmediato", 0, IFERROR(VALUE(MID(E1613, 1, SEARCH(" ", E1613)-1)),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13" s="79">
        <f>IF(AN1613="","",IF(AND(N1613&gt;0, AG1613&gt;0), IF(Configuración!$K$2="NO", "ALERTA: DESCUENTO DOBLE NO PERMITIDO", "OK"), "OK"))</f>
        <v/>
      </c>
      <c r="AR1613" s="79">
        <f>IF(AN1613="","",IF(OR(AO1613&lt;&gt;"OK", AP1613&lt;&gt;"OK", AQ1613&lt;&gt;"OK"), "⚠️ REVISAR", "OK"))</f>
        <v/>
      </c>
    </row>
    <row r="1614">
      <c r="A1614" s="79">
        <f>IF('Ordenes_Odoo'!A1614="","",'Ordenes_Odoo'!A1614)</f>
        <v/>
      </c>
      <c r="B1614" s="80">
        <f>IF('Ordenes_Odoo'!B1614="","",'Ordenes_Odoo'!B1614)</f>
        <v/>
      </c>
      <c r="C1614" s="79">
        <f>IF('Ordenes_Odoo'!C1614="","",'Ordenes_Odoo'!C1614)</f>
        <v/>
      </c>
      <c r="D1614" s="79">
        <f>IF('Ordenes_Odoo'!D1614="","",'Ordenes_Odoo'!D1614)</f>
        <v/>
      </c>
      <c r="E1614" s="79">
        <f>IF('Ordenes_Odoo'!E1614="","",'Ordenes_Odoo'!E1614)</f>
        <v/>
      </c>
      <c r="F1614" s="79">
        <f>IF('Ordenes_Odoo'!F1614="","",'Ordenes_Odoo'!F1614)</f>
        <v/>
      </c>
      <c r="G1614" s="79">
        <f>IF('Ordenes_Odoo'!G1614="","",'Ordenes_Odoo'!G1614)</f>
        <v/>
      </c>
      <c r="H1614" s="79">
        <f>IF('Ordenes_Odoo'!H1614="","",'Ordenes_Odoo'!H1614)</f>
        <v/>
      </c>
      <c r="I1614" s="79">
        <f>IF('Ordenes_Odoo'!I1614="","",'Ordenes_Odoo'!I1614)</f>
        <v/>
      </c>
      <c r="J1614" s="79">
        <f>IF('Ordenes_Odoo'!J1614="","",'Ordenes_Odoo'!J1614)</f>
        <v/>
      </c>
      <c r="K1614" s="81">
        <f>IF('Ordenes_Odoo'!K1614="","",'Ordenes_Odoo'!K1614)</f>
        <v/>
      </c>
      <c r="L1614" s="81">
        <f>IF('Ordenes_Odoo'!L1614="","",'Ordenes_Odoo'!L1614)</f>
        <v/>
      </c>
      <c r="M1614" s="79">
        <f>IF('Ordenes_Odoo'!M1614="","",'Ordenes_Odoo'!M1614)</f>
        <v/>
      </c>
      <c r="N1614" s="79">
        <f>IF('Ordenes_Odoo'!N1614="","",'Ordenes_Odoo'!N1614)</f>
        <v/>
      </c>
      <c r="O1614" s="81">
        <f>IF('Ordenes_Odoo'!O1614="","",'Ordenes_Odoo'!O1614)</f>
        <v/>
      </c>
      <c r="P1614" s="81">
        <f>IF('Ordenes_Odoo'!P1614="","",'Ordenes_Odoo'!P1614)</f>
        <v/>
      </c>
      <c r="Q1614" s="79">
        <f>IF(A1614="","",IFERROR(INDEX(Facturas_Odoo!$B:$B, MATCH(A1614, Facturas_Odoo!$D:$D, 0)), "Sin Factura"))</f>
        <v/>
      </c>
      <c r="R1614" s="80">
        <f>IF(Q1614="Sin Factura","",IFERROR(INDEX(Facturas_Odoo!$A:$A, MATCH(Q1614, Facturas_Odoo!$B:$B, 0)), ""))</f>
        <v/>
      </c>
      <c r="S1614" s="79">
        <f>IF(Q1614="Sin Factura","",IFERROR(_xlfn.XLOOKUP(1, (Facturas_Odoo!$D:$D=A1614) * (Facturas_Odoo!$K:$K=I1614), Facturas_Odoo!$L:$L, ""), ""))</f>
        <v/>
      </c>
      <c r="T1614" s="81">
        <f>IF(Q1614="Sin Factura",0,IFERROR(_xlfn.XLOOKUP(1, (Facturas_Odoo!$D:$D=A1614) * (Facturas_Odoo!$K:$K=I1614), Facturas_Odoo!$M:$M, 0), 0))</f>
        <v/>
      </c>
      <c r="U1614" s="79">
        <f>IF(Q1614="Sin Factura",0,IFERROR(_xlfn.XLOOKUP(1, (Facturas_Odoo!$D:$D=A1614) * (Facturas_Odoo!$K:$K=I1614), Facturas_Odoo!$N:$N, 0), 0))</f>
        <v/>
      </c>
      <c r="V1614" s="79">
        <f>IF(Q1614="Sin Factura",0,IFERROR(_xlfn.XLOOKUP(1, (Facturas_Odoo!$D:$D=A1614) * (Facturas_Odoo!$K:$K=I1614), Facturas_Odoo!$O:$O, 0), 0))</f>
        <v/>
      </c>
      <c r="W1614" s="81">
        <f>IF(Q1614="Sin Factura",0,IFERROR(_xlfn.XLOOKUP(1, (Facturas_Odoo!$D:$D=A1614) * (Facturas_Odoo!$K:$K=I1614), Facturas_Odoo!$Q:$Q, 0), 0))</f>
        <v/>
      </c>
      <c r="X1614" s="79">
        <f>IF(OR(Q1614="Sin Factura",Q1614=""),"",IFERROR(INDEX(Pagos_Odoo!$B:$B, MATCH(Q1614, Pagos_Odoo!$I:$I, 0)), "Sin Pago"))</f>
        <v/>
      </c>
      <c r="Y1614" s="79">
        <f>IF(X1614="Sin Pago","",IFERROR(INDEX(Pagos_Odoo!$C:$C, MATCH(X1614, Pagos_Odoo!$B:$B, 0)), ""))</f>
        <v/>
      </c>
      <c r="Z1614" s="80">
        <f>IF(X1614="Sin Pago","",IFERROR(INDEX(Pagos_Odoo!$A:$A, MATCH(X1614, Pagos_Odoo!$B:$B, 0)), ""))</f>
        <v/>
      </c>
      <c r="AA1614" s="79">
        <f>IF(X1614="Sin Pago","",IFERROR(INDEX(Pagos_Odoo!$F:$F, MATCH(X1614, Pagos_Odoo!$B:$B, 0)), ""))</f>
        <v/>
      </c>
      <c r="AB1614" s="81">
        <f>IF(X1614="Sin Pago",0,IFERROR(INDEX(Pagos_Odoo!$E:$E, MATCH(X1614, Pagos_Odoo!$B:$B, 0)), 0))</f>
        <v/>
      </c>
      <c r="AC1614" s="79">
        <f>IF(X1614="Sin Pago","",IFERROR(INDEX(Pagos_Odoo!$G:$G, MATCH(X1614, Pagos_Odoo!$B:$B, 0)), ""))</f>
        <v/>
      </c>
      <c r="AD1614" s="82" t="n">
        <v>0</v>
      </c>
      <c r="AE1614" s="82" t="n"/>
      <c r="AF1614" s="82" t="n"/>
      <c r="AG1614" s="82">
        <f>IF(AN1614="","",AD1614+AE1614+AF1614)</f>
        <v/>
      </c>
      <c r="AH1614" s="81">
        <f>IF(AN1614="","",P1614*(1-AG1614))</f>
        <v/>
      </c>
      <c r="AI1614" s="81">
        <f>IF(AN1614="","",IF(Q1614="Sin Factura",0,IFERROR(INDEX(Facturas_Odoo!$H:$H, MATCH(Q1614, Facturas_Odoo!$B:$B, 0)), 0)*(1-AG1614)))</f>
        <v/>
      </c>
      <c r="AJ1614" s="81">
        <f>IF(AN1614="","",_xlfn.LET(idVenta, AN1614&amp;"",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14" s="81">
        <f>IF(AN1614="","",AH1614-AJ1614)</f>
        <v/>
      </c>
      <c r="AL1614" s="81">
        <f>IF(AN1614="","",IF(Q1614="Sin Factura","",AI1614-AJ1614))</f>
        <v/>
      </c>
      <c r="AM1614" s="81">
        <f>IF(AN1614="","",IF(Q1614="Sin Factura",0,P1614-IFERROR(INDEX(Facturas_Odoo!$H:$H, MATCH(Q1614, Facturas_Odoo!$B:$B, 0)), 0)))</f>
        <v/>
      </c>
      <c r="AN1614" s="79">
        <f>IF(AND(A1614="", J1614=""), "", IF(A1614&lt;&gt;"", VALUE(MID(A1614,2,LEN(A1614))), AN1613))</f>
        <v/>
      </c>
      <c r="AO1614" s="79">
        <f>IF(AN1614="","",IF(AD1614=0,"OK",_xlfn.LET(monedaPago, IF(AA1614="","USD",AA1614), limitePermitido, IFERROR(VLOOKUP(monedaPago, Configuración!$A$2:$B$3, 2, FALSE), 0.15), IF(AD1614&gt;limitePermitido, "ALERTA: EXCESO (" &amp; TEXT(limitePermitido, "0%") &amp; " máx)", "OK"))))</f>
        <v/>
      </c>
      <c r="AP1614" s="79">
        <f>IF(AN1614="","",IF(AE1614=0,"OK",_xlfn.LET(fechaPago, Z1614, fechaFactura, R1614, diasCredito, IF(E1614="Pago inmediato", 0, IFERROR(VALUE(MID(E1614, 1, SEARCH(" ", E1614)-1)),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14" s="79">
        <f>IF(AN1614="","",IF(AND(N1614&gt;0, AG1614&gt;0), IF(Configuración!$K$2="NO", "ALERTA: DESCUENTO DOBLE NO PERMITIDO", "OK"), "OK"))</f>
        <v/>
      </c>
      <c r="AR1614" s="79">
        <f>IF(AN1614="","",IF(OR(AO1614&lt;&gt;"OK", AP1614&lt;&gt;"OK", AQ1614&lt;&gt;"OK"), "⚠️ REVISAR", "OK"))</f>
        <v/>
      </c>
    </row>
    <row r="1615">
      <c r="A1615" s="79">
        <f>IF('Ordenes_Odoo'!A1615="","",'Ordenes_Odoo'!A1615)</f>
        <v/>
      </c>
      <c r="B1615" s="80">
        <f>IF('Ordenes_Odoo'!B1615="","",'Ordenes_Odoo'!B1615)</f>
        <v/>
      </c>
      <c r="C1615" s="79">
        <f>IF('Ordenes_Odoo'!C1615="","",'Ordenes_Odoo'!C1615)</f>
        <v/>
      </c>
      <c r="D1615" s="79">
        <f>IF('Ordenes_Odoo'!D1615="","",'Ordenes_Odoo'!D1615)</f>
        <v/>
      </c>
      <c r="E1615" s="79">
        <f>IF('Ordenes_Odoo'!E1615="","",'Ordenes_Odoo'!E1615)</f>
        <v/>
      </c>
      <c r="F1615" s="79">
        <f>IF('Ordenes_Odoo'!F1615="","",'Ordenes_Odoo'!F1615)</f>
        <v/>
      </c>
      <c r="G1615" s="79">
        <f>IF('Ordenes_Odoo'!G1615="","",'Ordenes_Odoo'!G1615)</f>
        <v/>
      </c>
      <c r="H1615" s="79">
        <f>IF('Ordenes_Odoo'!H1615="","",'Ordenes_Odoo'!H1615)</f>
        <v/>
      </c>
      <c r="I1615" s="79">
        <f>IF('Ordenes_Odoo'!I1615="","",'Ordenes_Odoo'!I1615)</f>
        <v/>
      </c>
      <c r="J1615" s="79">
        <f>IF('Ordenes_Odoo'!J1615="","",'Ordenes_Odoo'!J1615)</f>
        <v/>
      </c>
      <c r="K1615" s="81">
        <f>IF('Ordenes_Odoo'!K1615="","",'Ordenes_Odoo'!K1615)</f>
        <v/>
      </c>
      <c r="L1615" s="81">
        <f>IF('Ordenes_Odoo'!L1615="","",'Ordenes_Odoo'!L1615)</f>
        <v/>
      </c>
      <c r="M1615" s="79">
        <f>IF('Ordenes_Odoo'!M1615="","",'Ordenes_Odoo'!M1615)</f>
        <v/>
      </c>
      <c r="N1615" s="79">
        <f>IF('Ordenes_Odoo'!N1615="","",'Ordenes_Odoo'!N1615)</f>
        <v/>
      </c>
      <c r="O1615" s="81">
        <f>IF('Ordenes_Odoo'!O1615="","",'Ordenes_Odoo'!O1615)</f>
        <v/>
      </c>
      <c r="P1615" s="81">
        <f>IF('Ordenes_Odoo'!P1615="","",'Ordenes_Odoo'!P1615)</f>
        <v/>
      </c>
      <c r="Q1615" s="79">
        <f>IF(A1615="","",IFERROR(INDEX(Facturas_Odoo!$B:$B, MATCH(A1615, Facturas_Odoo!$D:$D, 0)), "Sin Factura"))</f>
        <v/>
      </c>
      <c r="R1615" s="80">
        <f>IF(Q1615="Sin Factura","",IFERROR(INDEX(Facturas_Odoo!$A:$A, MATCH(Q1615, Facturas_Odoo!$B:$B, 0)), ""))</f>
        <v/>
      </c>
      <c r="S1615" s="79">
        <f>IF(Q1615="Sin Factura","",IFERROR(_xlfn.XLOOKUP(1, (Facturas_Odoo!$D:$D=A1615) * (Facturas_Odoo!$K:$K=I1615), Facturas_Odoo!$L:$L, ""), ""))</f>
        <v/>
      </c>
      <c r="T1615" s="81">
        <f>IF(Q1615="Sin Factura",0,IFERROR(_xlfn.XLOOKUP(1, (Facturas_Odoo!$D:$D=A1615) * (Facturas_Odoo!$K:$K=I1615), Facturas_Odoo!$M:$M, 0), 0))</f>
        <v/>
      </c>
      <c r="U1615" s="79">
        <f>IF(Q1615="Sin Factura",0,IFERROR(_xlfn.XLOOKUP(1, (Facturas_Odoo!$D:$D=A1615) * (Facturas_Odoo!$K:$K=I1615), Facturas_Odoo!$N:$N, 0), 0))</f>
        <v/>
      </c>
      <c r="V1615" s="79">
        <f>IF(Q1615="Sin Factura",0,IFERROR(_xlfn.XLOOKUP(1, (Facturas_Odoo!$D:$D=A1615) * (Facturas_Odoo!$K:$K=I1615), Facturas_Odoo!$O:$O, 0), 0))</f>
        <v/>
      </c>
      <c r="W1615" s="81">
        <f>IF(Q1615="Sin Factura",0,IFERROR(_xlfn.XLOOKUP(1, (Facturas_Odoo!$D:$D=A1615) * (Facturas_Odoo!$K:$K=I1615), Facturas_Odoo!$Q:$Q, 0), 0))</f>
        <v/>
      </c>
      <c r="X1615" s="79">
        <f>IF(OR(Q1615="Sin Factura",Q1615=""),"",IFERROR(INDEX(Pagos_Odoo!$B:$B, MATCH(Q1615, Pagos_Odoo!$I:$I, 0)), "Sin Pago"))</f>
        <v/>
      </c>
      <c r="Y1615" s="79">
        <f>IF(X1615="Sin Pago","",IFERROR(INDEX(Pagos_Odoo!$C:$C, MATCH(X1615, Pagos_Odoo!$B:$B, 0)), ""))</f>
        <v/>
      </c>
      <c r="Z1615" s="80">
        <f>IF(X1615="Sin Pago","",IFERROR(INDEX(Pagos_Odoo!$A:$A, MATCH(X1615, Pagos_Odoo!$B:$B, 0)), ""))</f>
        <v/>
      </c>
      <c r="AA1615" s="79">
        <f>IF(X1615="Sin Pago","",IFERROR(INDEX(Pagos_Odoo!$F:$F, MATCH(X1615, Pagos_Odoo!$B:$B, 0)), ""))</f>
        <v/>
      </c>
      <c r="AB1615" s="81">
        <f>IF(X1615="Sin Pago",0,IFERROR(INDEX(Pagos_Odoo!$E:$E, MATCH(X1615, Pagos_Odoo!$B:$B, 0)), 0))</f>
        <v/>
      </c>
      <c r="AC1615" s="79">
        <f>IF(X1615="Sin Pago","",IFERROR(INDEX(Pagos_Odoo!$G:$G, MATCH(X1615, Pagos_Odoo!$B:$B, 0)), ""))</f>
        <v/>
      </c>
      <c r="AD1615" s="82" t="n">
        <v>0</v>
      </c>
      <c r="AE1615" s="82" t="n"/>
      <c r="AF1615" s="82" t="n"/>
      <c r="AG1615" s="82">
        <f>IF(AN1615="","",AD1615+AE1615+AF1615)</f>
        <v/>
      </c>
      <c r="AH1615" s="81">
        <f>IF(AN1615="","",P1615*(1-AG1615))</f>
        <v/>
      </c>
      <c r="AI1615" s="81">
        <f>IF(AN1615="","",IF(Q1615="Sin Factura",0,IFERROR(INDEX(Facturas_Odoo!$H:$H, MATCH(Q1615, Facturas_Odoo!$B:$B, 0)), 0)*(1-AG1615)))</f>
        <v/>
      </c>
      <c r="AJ1615" s="81">
        <f>IF(AN1615="","",_xlfn.LET(idVenta, AN1615&amp;"",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15" s="81">
        <f>IF(AN1615="","",AH1615-AJ1615)</f>
        <v/>
      </c>
      <c r="AL1615" s="81">
        <f>IF(AN1615="","",IF(Q1615="Sin Factura","",AI1615-AJ1615))</f>
        <v/>
      </c>
      <c r="AM1615" s="81">
        <f>IF(AN1615="","",IF(Q1615="Sin Factura",0,P1615-IFERROR(INDEX(Facturas_Odoo!$H:$H, MATCH(Q1615, Facturas_Odoo!$B:$B, 0)), 0)))</f>
        <v/>
      </c>
      <c r="AN1615" s="79">
        <f>IF(AND(A1615="", J1615=""), "", IF(A1615&lt;&gt;"", VALUE(MID(A1615,2,LEN(A1615))), AN1614))</f>
        <v/>
      </c>
      <c r="AO1615" s="79">
        <f>IF(AN1615="","",IF(AD1615=0,"OK",_xlfn.LET(monedaPago, IF(AA1615="","USD",AA1615), limitePermitido, IFERROR(VLOOKUP(monedaPago, Configuración!$A$2:$B$3, 2, FALSE), 0.15), IF(AD1615&gt;limitePermitido, "ALERTA: EXCESO (" &amp; TEXT(limitePermitido, "0%") &amp; " máx)", "OK"))))</f>
        <v/>
      </c>
      <c r="AP1615" s="79">
        <f>IF(AN1615="","",IF(AE1615=0,"OK",_xlfn.LET(fechaPago, Z1615, fechaFactura, R1615, diasCredito, IF(E1615="Pago inmediato", 0, IFERROR(VALUE(MID(E1615, 1, SEARCH(" ", E1615)-1)),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15" s="79">
        <f>IF(AN1615="","",IF(AND(N1615&gt;0, AG1615&gt;0), IF(Configuración!$K$2="NO", "ALERTA: DESCUENTO DOBLE NO PERMITIDO", "OK"), "OK"))</f>
        <v/>
      </c>
      <c r="AR1615" s="79">
        <f>IF(AN1615="","",IF(OR(AO1615&lt;&gt;"OK", AP1615&lt;&gt;"OK", AQ1615&lt;&gt;"OK"), "⚠️ REVISAR", "OK"))</f>
        <v/>
      </c>
    </row>
    <row r="1616">
      <c r="A1616" s="79">
        <f>IF('Ordenes_Odoo'!A1616="","",'Ordenes_Odoo'!A1616)</f>
        <v/>
      </c>
      <c r="B1616" s="80">
        <f>IF('Ordenes_Odoo'!B1616="","",'Ordenes_Odoo'!B1616)</f>
        <v/>
      </c>
      <c r="C1616" s="79">
        <f>IF('Ordenes_Odoo'!C1616="","",'Ordenes_Odoo'!C1616)</f>
        <v/>
      </c>
      <c r="D1616" s="79">
        <f>IF('Ordenes_Odoo'!D1616="","",'Ordenes_Odoo'!D1616)</f>
        <v/>
      </c>
      <c r="E1616" s="79">
        <f>IF('Ordenes_Odoo'!E1616="","",'Ordenes_Odoo'!E1616)</f>
        <v/>
      </c>
      <c r="F1616" s="79">
        <f>IF('Ordenes_Odoo'!F1616="","",'Ordenes_Odoo'!F1616)</f>
        <v/>
      </c>
      <c r="G1616" s="79">
        <f>IF('Ordenes_Odoo'!G1616="","",'Ordenes_Odoo'!G1616)</f>
        <v/>
      </c>
      <c r="H1616" s="79">
        <f>IF('Ordenes_Odoo'!H1616="","",'Ordenes_Odoo'!H1616)</f>
        <v/>
      </c>
      <c r="I1616" s="79">
        <f>IF('Ordenes_Odoo'!I1616="","",'Ordenes_Odoo'!I1616)</f>
        <v/>
      </c>
      <c r="J1616" s="79">
        <f>IF('Ordenes_Odoo'!J1616="","",'Ordenes_Odoo'!J1616)</f>
        <v/>
      </c>
      <c r="K1616" s="81">
        <f>IF('Ordenes_Odoo'!K1616="","",'Ordenes_Odoo'!K1616)</f>
        <v/>
      </c>
      <c r="L1616" s="81">
        <f>IF('Ordenes_Odoo'!L1616="","",'Ordenes_Odoo'!L1616)</f>
        <v/>
      </c>
      <c r="M1616" s="79">
        <f>IF('Ordenes_Odoo'!M1616="","",'Ordenes_Odoo'!M1616)</f>
        <v/>
      </c>
      <c r="N1616" s="79">
        <f>IF('Ordenes_Odoo'!N1616="","",'Ordenes_Odoo'!N1616)</f>
        <v/>
      </c>
      <c r="O1616" s="81">
        <f>IF('Ordenes_Odoo'!O1616="","",'Ordenes_Odoo'!O1616)</f>
        <v/>
      </c>
      <c r="P1616" s="81">
        <f>IF('Ordenes_Odoo'!P1616="","",'Ordenes_Odoo'!P1616)</f>
        <v/>
      </c>
      <c r="Q1616" s="79">
        <f>IF(A1616="","",IFERROR(INDEX(Facturas_Odoo!$B:$B, MATCH(A1616, Facturas_Odoo!$D:$D, 0)), "Sin Factura"))</f>
        <v/>
      </c>
      <c r="R1616" s="80">
        <f>IF(Q1616="Sin Factura","",IFERROR(INDEX(Facturas_Odoo!$A:$A, MATCH(Q1616, Facturas_Odoo!$B:$B, 0)), ""))</f>
        <v/>
      </c>
      <c r="S1616" s="79">
        <f>IF(Q1616="Sin Factura","",IFERROR(_xlfn.XLOOKUP(1, (Facturas_Odoo!$D:$D=A1616) * (Facturas_Odoo!$K:$K=I1616), Facturas_Odoo!$L:$L, ""), ""))</f>
        <v/>
      </c>
      <c r="T1616" s="81">
        <f>IF(Q1616="Sin Factura",0,IFERROR(_xlfn.XLOOKUP(1, (Facturas_Odoo!$D:$D=A1616) * (Facturas_Odoo!$K:$K=I1616), Facturas_Odoo!$M:$M, 0), 0))</f>
        <v/>
      </c>
      <c r="U1616" s="79">
        <f>IF(Q1616="Sin Factura",0,IFERROR(_xlfn.XLOOKUP(1, (Facturas_Odoo!$D:$D=A1616) * (Facturas_Odoo!$K:$K=I1616), Facturas_Odoo!$N:$N, 0), 0))</f>
        <v/>
      </c>
      <c r="V1616" s="79">
        <f>IF(Q1616="Sin Factura",0,IFERROR(_xlfn.XLOOKUP(1, (Facturas_Odoo!$D:$D=A1616) * (Facturas_Odoo!$K:$K=I1616), Facturas_Odoo!$O:$O, 0), 0))</f>
        <v/>
      </c>
      <c r="W1616" s="81">
        <f>IF(Q1616="Sin Factura",0,IFERROR(_xlfn.XLOOKUP(1, (Facturas_Odoo!$D:$D=A1616) * (Facturas_Odoo!$K:$K=I1616), Facturas_Odoo!$Q:$Q, 0), 0))</f>
        <v/>
      </c>
      <c r="X1616" s="79">
        <f>IF(OR(Q1616="Sin Factura",Q1616=""),"",IFERROR(INDEX(Pagos_Odoo!$B:$B, MATCH(Q1616, Pagos_Odoo!$I:$I, 0)), "Sin Pago"))</f>
        <v/>
      </c>
      <c r="Y1616" s="79">
        <f>IF(X1616="Sin Pago","",IFERROR(INDEX(Pagos_Odoo!$C:$C, MATCH(X1616, Pagos_Odoo!$B:$B, 0)), ""))</f>
        <v/>
      </c>
      <c r="Z1616" s="80">
        <f>IF(X1616="Sin Pago","",IFERROR(INDEX(Pagos_Odoo!$A:$A, MATCH(X1616, Pagos_Odoo!$B:$B, 0)), ""))</f>
        <v/>
      </c>
      <c r="AA1616" s="79">
        <f>IF(X1616="Sin Pago","",IFERROR(INDEX(Pagos_Odoo!$F:$F, MATCH(X1616, Pagos_Odoo!$B:$B, 0)), ""))</f>
        <v/>
      </c>
      <c r="AB1616" s="81">
        <f>IF(X1616="Sin Pago",0,IFERROR(INDEX(Pagos_Odoo!$E:$E, MATCH(X1616, Pagos_Odoo!$B:$B, 0)), 0))</f>
        <v/>
      </c>
      <c r="AC1616" s="79">
        <f>IF(X1616="Sin Pago","",IFERROR(INDEX(Pagos_Odoo!$G:$G, MATCH(X1616, Pagos_Odoo!$B:$B, 0)), ""))</f>
        <v/>
      </c>
      <c r="AD1616" s="82" t="n">
        <v>0</v>
      </c>
      <c r="AE1616" s="82" t="n"/>
      <c r="AF1616" s="82" t="n"/>
      <c r="AG1616" s="82">
        <f>IF(AN1616="","",AD1616+AE1616+AF1616)</f>
        <v/>
      </c>
      <c r="AH1616" s="81">
        <f>IF(AN1616="","",P1616*(1-AG1616))</f>
        <v/>
      </c>
      <c r="AI1616" s="81">
        <f>IF(AN1616="","",IF(Q1616="Sin Factura",0,IFERROR(INDEX(Facturas_Odoo!$H:$H, MATCH(Q1616, Facturas_Odoo!$B:$B, 0)), 0)*(1-AG1616)))</f>
        <v/>
      </c>
      <c r="AJ1616" s="81">
        <f>IF(AN1616="","",_xlfn.LET(idVenta, AN1616&amp;"",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16" s="81">
        <f>IF(AN1616="","",AH1616-AJ1616)</f>
        <v/>
      </c>
      <c r="AL1616" s="81">
        <f>IF(AN1616="","",IF(Q1616="Sin Factura","",AI1616-AJ1616))</f>
        <v/>
      </c>
      <c r="AM1616" s="81">
        <f>IF(AN1616="","",IF(Q1616="Sin Factura",0,P1616-IFERROR(INDEX(Facturas_Odoo!$H:$H, MATCH(Q1616, Facturas_Odoo!$B:$B, 0)), 0)))</f>
        <v/>
      </c>
      <c r="AN1616" s="79">
        <f>IF(AND(A1616="", J1616=""), "", IF(A1616&lt;&gt;"", VALUE(MID(A1616,2,LEN(A1616))), AN1615))</f>
        <v/>
      </c>
      <c r="AO1616" s="79">
        <f>IF(AN1616="","",IF(AD1616=0,"OK",_xlfn.LET(monedaPago, IF(AA1616="","USD",AA1616), limitePermitido, IFERROR(VLOOKUP(monedaPago, Configuración!$A$2:$B$3, 2, FALSE), 0.15), IF(AD1616&gt;limitePermitido, "ALERTA: EXCESO (" &amp; TEXT(limitePermitido, "0%") &amp; " máx)", "OK"))))</f>
        <v/>
      </c>
      <c r="AP1616" s="79">
        <f>IF(AN1616="","",IF(AE1616=0,"OK",_xlfn.LET(fechaPago, Z1616, fechaFactura, R1616, diasCredito, IF(E1616="Pago inmediato", 0, IFERROR(VALUE(MID(E1616, 1, SEARCH(" ", E1616)-1)),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16" s="79">
        <f>IF(AN1616="","",IF(AND(N1616&gt;0, AG1616&gt;0), IF(Configuración!$K$2="NO", "ALERTA: DESCUENTO DOBLE NO PERMITIDO", "OK"), "OK"))</f>
        <v/>
      </c>
      <c r="AR1616" s="79">
        <f>IF(AN1616="","",IF(OR(AO1616&lt;&gt;"OK", AP1616&lt;&gt;"OK", AQ1616&lt;&gt;"OK"), "⚠️ REVISAR", "OK"))</f>
        <v/>
      </c>
    </row>
    <row r="1617">
      <c r="A1617" s="79">
        <f>IF('Ordenes_Odoo'!A1617="","",'Ordenes_Odoo'!A1617)</f>
        <v/>
      </c>
      <c r="B1617" s="80">
        <f>IF('Ordenes_Odoo'!B1617="","",'Ordenes_Odoo'!B1617)</f>
        <v/>
      </c>
      <c r="C1617" s="79">
        <f>IF('Ordenes_Odoo'!C1617="","",'Ordenes_Odoo'!C1617)</f>
        <v/>
      </c>
      <c r="D1617" s="79">
        <f>IF('Ordenes_Odoo'!D1617="","",'Ordenes_Odoo'!D1617)</f>
        <v/>
      </c>
      <c r="E1617" s="79">
        <f>IF('Ordenes_Odoo'!E1617="","",'Ordenes_Odoo'!E1617)</f>
        <v/>
      </c>
      <c r="F1617" s="79">
        <f>IF('Ordenes_Odoo'!F1617="","",'Ordenes_Odoo'!F1617)</f>
        <v/>
      </c>
      <c r="G1617" s="79">
        <f>IF('Ordenes_Odoo'!G1617="","",'Ordenes_Odoo'!G1617)</f>
        <v/>
      </c>
      <c r="H1617" s="79">
        <f>IF('Ordenes_Odoo'!H1617="","",'Ordenes_Odoo'!H1617)</f>
        <v/>
      </c>
      <c r="I1617" s="79">
        <f>IF('Ordenes_Odoo'!I1617="","",'Ordenes_Odoo'!I1617)</f>
        <v/>
      </c>
      <c r="J1617" s="79">
        <f>IF('Ordenes_Odoo'!J1617="","",'Ordenes_Odoo'!J1617)</f>
        <v/>
      </c>
      <c r="K1617" s="81">
        <f>IF('Ordenes_Odoo'!K1617="","",'Ordenes_Odoo'!K1617)</f>
        <v/>
      </c>
      <c r="L1617" s="81">
        <f>IF('Ordenes_Odoo'!L1617="","",'Ordenes_Odoo'!L1617)</f>
        <v/>
      </c>
      <c r="M1617" s="79">
        <f>IF('Ordenes_Odoo'!M1617="","",'Ordenes_Odoo'!M1617)</f>
        <v/>
      </c>
      <c r="N1617" s="79">
        <f>IF('Ordenes_Odoo'!N1617="","",'Ordenes_Odoo'!N1617)</f>
        <v/>
      </c>
      <c r="O1617" s="81">
        <f>IF('Ordenes_Odoo'!O1617="","",'Ordenes_Odoo'!O1617)</f>
        <v/>
      </c>
      <c r="P1617" s="81">
        <f>IF('Ordenes_Odoo'!P1617="","",'Ordenes_Odoo'!P1617)</f>
        <v/>
      </c>
      <c r="Q1617" s="79">
        <f>IF(A1617="","",IFERROR(INDEX(Facturas_Odoo!$B:$B, MATCH(A1617, Facturas_Odoo!$D:$D, 0)), "Sin Factura"))</f>
        <v/>
      </c>
      <c r="R1617" s="80">
        <f>IF(Q1617="Sin Factura","",IFERROR(INDEX(Facturas_Odoo!$A:$A, MATCH(Q1617, Facturas_Odoo!$B:$B, 0)), ""))</f>
        <v/>
      </c>
      <c r="S1617" s="79">
        <f>IF(Q1617="Sin Factura","",IFERROR(_xlfn.XLOOKUP(1, (Facturas_Odoo!$D:$D=A1617) * (Facturas_Odoo!$K:$K=I1617), Facturas_Odoo!$L:$L, ""), ""))</f>
        <v/>
      </c>
      <c r="T1617" s="81">
        <f>IF(Q1617="Sin Factura",0,IFERROR(_xlfn.XLOOKUP(1, (Facturas_Odoo!$D:$D=A1617) * (Facturas_Odoo!$K:$K=I1617), Facturas_Odoo!$M:$M, 0), 0))</f>
        <v/>
      </c>
      <c r="U1617" s="79">
        <f>IF(Q1617="Sin Factura",0,IFERROR(_xlfn.XLOOKUP(1, (Facturas_Odoo!$D:$D=A1617) * (Facturas_Odoo!$K:$K=I1617), Facturas_Odoo!$N:$N, 0), 0))</f>
        <v/>
      </c>
      <c r="V1617" s="79">
        <f>IF(Q1617="Sin Factura",0,IFERROR(_xlfn.XLOOKUP(1, (Facturas_Odoo!$D:$D=A1617) * (Facturas_Odoo!$K:$K=I1617), Facturas_Odoo!$O:$O, 0), 0))</f>
        <v/>
      </c>
      <c r="W1617" s="81">
        <f>IF(Q1617="Sin Factura",0,IFERROR(_xlfn.XLOOKUP(1, (Facturas_Odoo!$D:$D=A1617) * (Facturas_Odoo!$K:$K=I1617), Facturas_Odoo!$Q:$Q, 0), 0))</f>
        <v/>
      </c>
      <c r="X1617" s="79">
        <f>IF(OR(Q1617="Sin Factura",Q1617=""),"",IFERROR(INDEX(Pagos_Odoo!$B:$B, MATCH(Q1617, Pagos_Odoo!$I:$I, 0)), "Sin Pago"))</f>
        <v/>
      </c>
      <c r="Y1617" s="79">
        <f>IF(X1617="Sin Pago","",IFERROR(INDEX(Pagos_Odoo!$C:$C, MATCH(X1617, Pagos_Odoo!$B:$B, 0)), ""))</f>
        <v/>
      </c>
      <c r="Z1617" s="80">
        <f>IF(X1617="Sin Pago","",IFERROR(INDEX(Pagos_Odoo!$A:$A, MATCH(X1617, Pagos_Odoo!$B:$B, 0)), ""))</f>
        <v/>
      </c>
      <c r="AA1617" s="79">
        <f>IF(X1617="Sin Pago","",IFERROR(INDEX(Pagos_Odoo!$F:$F, MATCH(X1617, Pagos_Odoo!$B:$B, 0)), ""))</f>
        <v/>
      </c>
      <c r="AB1617" s="81">
        <f>IF(X1617="Sin Pago",0,IFERROR(INDEX(Pagos_Odoo!$E:$E, MATCH(X1617, Pagos_Odoo!$B:$B, 0)), 0))</f>
        <v/>
      </c>
      <c r="AC1617" s="79">
        <f>IF(X1617="Sin Pago","",IFERROR(INDEX(Pagos_Odoo!$G:$G, MATCH(X1617, Pagos_Odoo!$B:$B, 0)), ""))</f>
        <v/>
      </c>
      <c r="AD1617" s="82" t="n">
        <v>0</v>
      </c>
      <c r="AE1617" s="82" t="n"/>
      <c r="AF1617" s="82" t="n"/>
      <c r="AG1617" s="82">
        <f>IF(AN1617="","",AD1617+AE1617+AF1617)</f>
        <v/>
      </c>
      <c r="AH1617" s="81">
        <f>IF(AN1617="","",P1617*(1-AG1617))</f>
        <v/>
      </c>
      <c r="AI1617" s="81">
        <f>IF(AN1617="","",IF(Q1617="Sin Factura",0,IFERROR(INDEX(Facturas_Odoo!$H:$H, MATCH(Q1617, Facturas_Odoo!$B:$B, 0)), 0)*(1-AG1617)))</f>
        <v/>
      </c>
      <c r="AJ1617" s="81">
        <f>IF(AN1617="","",_xlfn.LET(idVenta, AN1617&amp;"",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17" s="81">
        <f>IF(AN1617="","",AH1617-AJ1617)</f>
        <v/>
      </c>
      <c r="AL1617" s="81">
        <f>IF(AN1617="","",IF(Q1617="Sin Factura","",AI1617-AJ1617))</f>
        <v/>
      </c>
      <c r="AM1617" s="81">
        <f>IF(AN1617="","",IF(Q1617="Sin Factura",0,P1617-IFERROR(INDEX(Facturas_Odoo!$H:$H, MATCH(Q1617, Facturas_Odoo!$B:$B, 0)), 0)))</f>
        <v/>
      </c>
      <c r="AN1617" s="79">
        <f>IF(AND(A1617="", J1617=""), "", IF(A1617&lt;&gt;"", VALUE(MID(A1617,2,LEN(A1617))), AN1616))</f>
        <v/>
      </c>
      <c r="AO1617" s="79">
        <f>IF(AN1617="","",IF(AD1617=0,"OK",_xlfn.LET(monedaPago, IF(AA1617="","USD",AA1617), limitePermitido, IFERROR(VLOOKUP(monedaPago, Configuración!$A$2:$B$3, 2, FALSE), 0.15), IF(AD1617&gt;limitePermitido, "ALERTA: EXCESO (" &amp; TEXT(limitePermitido, "0%") &amp; " máx)", "OK"))))</f>
        <v/>
      </c>
      <c r="AP1617" s="79">
        <f>IF(AN1617="","",IF(AE1617=0,"OK",_xlfn.LET(fechaPago, Z1617, fechaFactura, R1617, diasCredito, IF(E1617="Pago inmediato", 0, IFERROR(VALUE(MID(E1617, 1, SEARCH(" ", E1617)-1)),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17" s="79">
        <f>IF(AN1617="","",IF(AND(N1617&gt;0, AG1617&gt;0), IF(Configuración!$K$2="NO", "ALERTA: DESCUENTO DOBLE NO PERMITIDO", "OK"), "OK"))</f>
        <v/>
      </c>
      <c r="AR1617" s="79">
        <f>IF(AN1617="","",IF(OR(AO1617&lt;&gt;"OK", AP1617&lt;&gt;"OK", AQ1617&lt;&gt;"OK"), "⚠️ REVISAR", "OK"))</f>
        <v/>
      </c>
    </row>
    <row r="1618">
      <c r="A1618" s="79">
        <f>IF('Ordenes_Odoo'!A1618="","",'Ordenes_Odoo'!A1618)</f>
        <v/>
      </c>
      <c r="B1618" s="80">
        <f>IF('Ordenes_Odoo'!B1618="","",'Ordenes_Odoo'!B1618)</f>
        <v/>
      </c>
      <c r="C1618" s="79">
        <f>IF('Ordenes_Odoo'!C1618="","",'Ordenes_Odoo'!C1618)</f>
        <v/>
      </c>
      <c r="D1618" s="79">
        <f>IF('Ordenes_Odoo'!D1618="","",'Ordenes_Odoo'!D1618)</f>
        <v/>
      </c>
      <c r="E1618" s="79">
        <f>IF('Ordenes_Odoo'!E1618="","",'Ordenes_Odoo'!E1618)</f>
        <v/>
      </c>
      <c r="F1618" s="79">
        <f>IF('Ordenes_Odoo'!F1618="","",'Ordenes_Odoo'!F1618)</f>
        <v/>
      </c>
      <c r="G1618" s="79">
        <f>IF('Ordenes_Odoo'!G1618="","",'Ordenes_Odoo'!G1618)</f>
        <v/>
      </c>
      <c r="H1618" s="79">
        <f>IF('Ordenes_Odoo'!H1618="","",'Ordenes_Odoo'!H1618)</f>
        <v/>
      </c>
      <c r="I1618" s="79">
        <f>IF('Ordenes_Odoo'!I1618="","",'Ordenes_Odoo'!I1618)</f>
        <v/>
      </c>
      <c r="J1618" s="79">
        <f>IF('Ordenes_Odoo'!J1618="","",'Ordenes_Odoo'!J1618)</f>
        <v/>
      </c>
      <c r="K1618" s="81">
        <f>IF('Ordenes_Odoo'!K1618="","",'Ordenes_Odoo'!K1618)</f>
        <v/>
      </c>
      <c r="L1618" s="81">
        <f>IF('Ordenes_Odoo'!L1618="","",'Ordenes_Odoo'!L1618)</f>
        <v/>
      </c>
      <c r="M1618" s="79">
        <f>IF('Ordenes_Odoo'!M1618="","",'Ordenes_Odoo'!M1618)</f>
        <v/>
      </c>
      <c r="N1618" s="79">
        <f>IF('Ordenes_Odoo'!N1618="","",'Ordenes_Odoo'!N1618)</f>
        <v/>
      </c>
      <c r="O1618" s="81">
        <f>IF('Ordenes_Odoo'!O1618="","",'Ordenes_Odoo'!O1618)</f>
        <v/>
      </c>
      <c r="P1618" s="81">
        <f>IF('Ordenes_Odoo'!P1618="","",'Ordenes_Odoo'!P1618)</f>
        <v/>
      </c>
      <c r="Q1618" s="79">
        <f>IF(A1618="","",IFERROR(INDEX(Facturas_Odoo!$B:$B, MATCH(A1618, Facturas_Odoo!$D:$D, 0)), "Sin Factura"))</f>
        <v/>
      </c>
      <c r="R1618" s="80">
        <f>IF(Q1618="Sin Factura","",IFERROR(INDEX(Facturas_Odoo!$A:$A, MATCH(Q1618, Facturas_Odoo!$B:$B, 0)), ""))</f>
        <v/>
      </c>
      <c r="S1618" s="79">
        <f>IF(Q1618="Sin Factura","",IFERROR(_xlfn.XLOOKUP(1, (Facturas_Odoo!$D:$D=A1618) * (Facturas_Odoo!$K:$K=I1618), Facturas_Odoo!$L:$L, ""), ""))</f>
        <v/>
      </c>
      <c r="T1618" s="81">
        <f>IF(Q1618="Sin Factura",0,IFERROR(_xlfn.XLOOKUP(1, (Facturas_Odoo!$D:$D=A1618) * (Facturas_Odoo!$K:$K=I1618), Facturas_Odoo!$M:$M, 0), 0))</f>
        <v/>
      </c>
      <c r="U1618" s="79">
        <f>IF(Q1618="Sin Factura",0,IFERROR(_xlfn.XLOOKUP(1, (Facturas_Odoo!$D:$D=A1618) * (Facturas_Odoo!$K:$K=I1618), Facturas_Odoo!$N:$N, 0), 0))</f>
        <v/>
      </c>
      <c r="V1618" s="79">
        <f>IF(Q1618="Sin Factura",0,IFERROR(_xlfn.XLOOKUP(1, (Facturas_Odoo!$D:$D=A1618) * (Facturas_Odoo!$K:$K=I1618), Facturas_Odoo!$O:$O, 0), 0))</f>
        <v/>
      </c>
      <c r="W1618" s="81">
        <f>IF(Q1618="Sin Factura",0,IFERROR(_xlfn.XLOOKUP(1, (Facturas_Odoo!$D:$D=A1618) * (Facturas_Odoo!$K:$K=I1618), Facturas_Odoo!$Q:$Q, 0), 0))</f>
        <v/>
      </c>
      <c r="X1618" s="79">
        <f>IF(OR(Q1618="Sin Factura",Q1618=""),"",IFERROR(INDEX(Pagos_Odoo!$B:$B, MATCH(Q1618, Pagos_Odoo!$I:$I, 0)), "Sin Pago"))</f>
        <v/>
      </c>
      <c r="Y1618" s="79">
        <f>IF(X1618="Sin Pago","",IFERROR(INDEX(Pagos_Odoo!$C:$C, MATCH(X1618, Pagos_Odoo!$B:$B, 0)), ""))</f>
        <v/>
      </c>
      <c r="Z1618" s="80">
        <f>IF(X1618="Sin Pago","",IFERROR(INDEX(Pagos_Odoo!$A:$A, MATCH(X1618, Pagos_Odoo!$B:$B, 0)), ""))</f>
        <v/>
      </c>
      <c r="AA1618" s="79">
        <f>IF(X1618="Sin Pago","",IFERROR(INDEX(Pagos_Odoo!$F:$F, MATCH(X1618, Pagos_Odoo!$B:$B, 0)), ""))</f>
        <v/>
      </c>
      <c r="AB1618" s="81">
        <f>IF(X1618="Sin Pago",0,IFERROR(INDEX(Pagos_Odoo!$E:$E, MATCH(X1618, Pagos_Odoo!$B:$B, 0)), 0))</f>
        <v/>
      </c>
      <c r="AC1618" s="79">
        <f>IF(X1618="Sin Pago","",IFERROR(INDEX(Pagos_Odoo!$G:$G, MATCH(X1618, Pagos_Odoo!$B:$B, 0)), ""))</f>
        <v/>
      </c>
      <c r="AD1618" s="82" t="n">
        <v>0</v>
      </c>
      <c r="AE1618" s="82" t="n"/>
      <c r="AF1618" s="82" t="n"/>
      <c r="AG1618" s="82">
        <f>IF(AN1618="","",AD1618+AE1618+AF1618)</f>
        <v/>
      </c>
      <c r="AH1618" s="81">
        <f>IF(AN1618="","",P1618*(1-AG1618))</f>
        <v/>
      </c>
      <c r="AI1618" s="81">
        <f>IF(AN1618="","",IF(Q1618="Sin Factura",0,IFERROR(INDEX(Facturas_Odoo!$H:$H, MATCH(Q1618, Facturas_Odoo!$B:$B, 0)), 0)*(1-AG1618)))</f>
        <v/>
      </c>
      <c r="AJ1618" s="81">
        <f>IF(AN1618="","",_xlfn.LET(idVenta, AN1618&amp;"",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18" s="81">
        <f>IF(AN1618="","",AH1618-AJ1618)</f>
        <v/>
      </c>
      <c r="AL1618" s="81">
        <f>IF(AN1618="","",IF(Q1618="Sin Factura","",AI1618-AJ1618))</f>
        <v/>
      </c>
      <c r="AM1618" s="81">
        <f>IF(AN1618="","",IF(Q1618="Sin Factura",0,P1618-IFERROR(INDEX(Facturas_Odoo!$H:$H, MATCH(Q1618, Facturas_Odoo!$B:$B, 0)), 0)))</f>
        <v/>
      </c>
      <c r="AN1618" s="79">
        <f>IF(AND(A1618="", J1618=""), "", IF(A1618&lt;&gt;"", VALUE(MID(A1618,2,LEN(A1618))), AN1617))</f>
        <v/>
      </c>
      <c r="AO1618" s="79">
        <f>IF(AN1618="","",IF(AD1618=0,"OK",_xlfn.LET(monedaPago, IF(AA1618="","USD",AA1618), limitePermitido, IFERROR(VLOOKUP(monedaPago, Configuración!$A$2:$B$3, 2, FALSE), 0.15), IF(AD1618&gt;limitePermitido, "ALERTA: EXCESO (" &amp; TEXT(limitePermitido, "0%") &amp; " máx)", "OK"))))</f>
        <v/>
      </c>
      <c r="AP1618" s="79">
        <f>IF(AN1618="","",IF(AE1618=0,"OK",_xlfn.LET(fechaPago, Z1618, fechaFactura, R1618, diasCredito, IF(E1618="Pago inmediato", 0, IFERROR(VALUE(MID(E1618, 1, SEARCH(" ", E1618)-1)),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18" s="79">
        <f>IF(AN1618="","",IF(AND(N1618&gt;0, AG1618&gt;0), IF(Configuración!$K$2="NO", "ALERTA: DESCUENTO DOBLE NO PERMITIDO", "OK"), "OK"))</f>
        <v/>
      </c>
      <c r="AR1618" s="79">
        <f>IF(AN1618="","",IF(OR(AO1618&lt;&gt;"OK", AP1618&lt;&gt;"OK", AQ1618&lt;&gt;"OK"), "⚠️ REVISAR", "OK"))</f>
        <v/>
      </c>
    </row>
    <row r="1619">
      <c r="A1619" s="79">
        <f>IF('Ordenes_Odoo'!A1619="","",'Ordenes_Odoo'!A1619)</f>
        <v/>
      </c>
      <c r="B1619" s="80">
        <f>IF('Ordenes_Odoo'!B1619="","",'Ordenes_Odoo'!B1619)</f>
        <v/>
      </c>
      <c r="C1619" s="79">
        <f>IF('Ordenes_Odoo'!C1619="","",'Ordenes_Odoo'!C1619)</f>
        <v/>
      </c>
      <c r="D1619" s="79">
        <f>IF('Ordenes_Odoo'!D1619="","",'Ordenes_Odoo'!D1619)</f>
        <v/>
      </c>
      <c r="E1619" s="79">
        <f>IF('Ordenes_Odoo'!E1619="","",'Ordenes_Odoo'!E1619)</f>
        <v/>
      </c>
      <c r="F1619" s="79">
        <f>IF('Ordenes_Odoo'!F1619="","",'Ordenes_Odoo'!F1619)</f>
        <v/>
      </c>
      <c r="G1619" s="79">
        <f>IF('Ordenes_Odoo'!G1619="","",'Ordenes_Odoo'!G1619)</f>
        <v/>
      </c>
      <c r="H1619" s="79">
        <f>IF('Ordenes_Odoo'!H1619="","",'Ordenes_Odoo'!H1619)</f>
        <v/>
      </c>
      <c r="I1619" s="79">
        <f>IF('Ordenes_Odoo'!I1619="","",'Ordenes_Odoo'!I1619)</f>
        <v/>
      </c>
      <c r="J1619" s="79">
        <f>IF('Ordenes_Odoo'!J1619="","",'Ordenes_Odoo'!J1619)</f>
        <v/>
      </c>
      <c r="K1619" s="81">
        <f>IF('Ordenes_Odoo'!K1619="","",'Ordenes_Odoo'!K1619)</f>
        <v/>
      </c>
      <c r="L1619" s="81">
        <f>IF('Ordenes_Odoo'!L1619="","",'Ordenes_Odoo'!L1619)</f>
        <v/>
      </c>
      <c r="M1619" s="79">
        <f>IF('Ordenes_Odoo'!M1619="","",'Ordenes_Odoo'!M1619)</f>
        <v/>
      </c>
      <c r="N1619" s="79">
        <f>IF('Ordenes_Odoo'!N1619="","",'Ordenes_Odoo'!N1619)</f>
        <v/>
      </c>
      <c r="O1619" s="81">
        <f>IF('Ordenes_Odoo'!O1619="","",'Ordenes_Odoo'!O1619)</f>
        <v/>
      </c>
      <c r="P1619" s="81">
        <f>IF('Ordenes_Odoo'!P1619="","",'Ordenes_Odoo'!P1619)</f>
        <v/>
      </c>
      <c r="Q1619" s="79">
        <f>IF(A1619="","",IFERROR(INDEX(Facturas_Odoo!$B:$B, MATCH(A1619, Facturas_Odoo!$D:$D, 0)), "Sin Factura"))</f>
        <v/>
      </c>
      <c r="R1619" s="80">
        <f>IF(Q1619="Sin Factura","",IFERROR(INDEX(Facturas_Odoo!$A:$A, MATCH(Q1619, Facturas_Odoo!$B:$B, 0)), ""))</f>
        <v/>
      </c>
      <c r="S1619" s="79">
        <f>IF(Q1619="Sin Factura","",IFERROR(_xlfn.XLOOKUP(1, (Facturas_Odoo!$D:$D=A1619) * (Facturas_Odoo!$K:$K=I1619), Facturas_Odoo!$L:$L, ""), ""))</f>
        <v/>
      </c>
      <c r="T1619" s="81">
        <f>IF(Q1619="Sin Factura",0,IFERROR(_xlfn.XLOOKUP(1, (Facturas_Odoo!$D:$D=A1619) * (Facturas_Odoo!$K:$K=I1619), Facturas_Odoo!$M:$M, 0), 0))</f>
        <v/>
      </c>
      <c r="U1619" s="79">
        <f>IF(Q1619="Sin Factura",0,IFERROR(_xlfn.XLOOKUP(1, (Facturas_Odoo!$D:$D=A1619) * (Facturas_Odoo!$K:$K=I1619), Facturas_Odoo!$N:$N, 0), 0))</f>
        <v/>
      </c>
      <c r="V1619" s="79">
        <f>IF(Q1619="Sin Factura",0,IFERROR(_xlfn.XLOOKUP(1, (Facturas_Odoo!$D:$D=A1619) * (Facturas_Odoo!$K:$K=I1619), Facturas_Odoo!$O:$O, 0), 0))</f>
        <v/>
      </c>
      <c r="W1619" s="81">
        <f>IF(Q1619="Sin Factura",0,IFERROR(_xlfn.XLOOKUP(1, (Facturas_Odoo!$D:$D=A1619) * (Facturas_Odoo!$K:$K=I1619), Facturas_Odoo!$Q:$Q, 0), 0))</f>
        <v/>
      </c>
      <c r="X1619" s="79">
        <f>IF(OR(Q1619="Sin Factura",Q1619=""),"",IFERROR(INDEX(Pagos_Odoo!$B:$B, MATCH(Q1619, Pagos_Odoo!$I:$I, 0)), "Sin Pago"))</f>
        <v/>
      </c>
      <c r="Y1619" s="79">
        <f>IF(X1619="Sin Pago","",IFERROR(INDEX(Pagos_Odoo!$C:$C, MATCH(X1619, Pagos_Odoo!$B:$B, 0)), ""))</f>
        <v/>
      </c>
      <c r="Z1619" s="80">
        <f>IF(X1619="Sin Pago","",IFERROR(INDEX(Pagos_Odoo!$A:$A, MATCH(X1619, Pagos_Odoo!$B:$B, 0)), ""))</f>
        <v/>
      </c>
      <c r="AA1619" s="79">
        <f>IF(X1619="Sin Pago","",IFERROR(INDEX(Pagos_Odoo!$F:$F, MATCH(X1619, Pagos_Odoo!$B:$B, 0)), ""))</f>
        <v/>
      </c>
      <c r="AB1619" s="81">
        <f>IF(X1619="Sin Pago",0,IFERROR(INDEX(Pagos_Odoo!$E:$E, MATCH(X1619, Pagos_Odoo!$B:$B, 0)), 0))</f>
        <v/>
      </c>
      <c r="AC1619" s="79">
        <f>IF(X1619="Sin Pago","",IFERROR(INDEX(Pagos_Odoo!$G:$G, MATCH(X1619, Pagos_Odoo!$B:$B, 0)), ""))</f>
        <v/>
      </c>
      <c r="AD1619" s="82" t="n">
        <v>0</v>
      </c>
      <c r="AE1619" s="82" t="n"/>
      <c r="AF1619" s="82" t="n"/>
      <c r="AG1619" s="82">
        <f>IF(AN1619="","",AD1619+AE1619+AF1619)</f>
        <v/>
      </c>
      <c r="AH1619" s="81">
        <f>IF(AN1619="","",P1619*(1-AG1619))</f>
        <v/>
      </c>
      <c r="AI1619" s="81">
        <f>IF(AN1619="","",IF(Q1619="Sin Factura",0,IFERROR(INDEX(Facturas_Odoo!$H:$H, MATCH(Q1619, Facturas_Odoo!$B:$B, 0)), 0)*(1-AG1619)))</f>
        <v/>
      </c>
      <c r="AJ1619" s="81">
        <f>IF(AN1619="","",_xlfn.LET(idVenta, AN1619&amp;"",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19" s="81">
        <f>IF(AN1619="","",AH1619-AJ1619)</f>
        <v/>
      </c>
      <c r="AL1619" s="81">
        <f>IF(AN1619="","",IF(Q1619="Sin Factura","",AI1619-AJ1619))</f>
        <v/>
      </c>
      <c r="AM1619" s="81">
        <f>IF(AN1619="","",IF(Q1619="Sin Factura",0,P1619-IFERROR(INDEX(Facturas_Odoo!$H:$H, MATCH(Q1619, Facturas_Odoo!$B:$B, 0)), 0)))</f>
        <v/>
      </c>
      <c r="AN1619" s="79">
        <f>IF(AND(A1619="", J1619=""), "", IF(A1619&lt;&gt;"", VALUE(MID(A1619,2,LEN(A1619))), AN1618))</f>
        <v/>
      </c>
      <c r="AO1619" s="79">
        <f>IF(AN1619="","",IF(AD1619=0,"OK",_xlfn.LET(monedaPago, IF(AA1619="","USD",AA1619), limitePermitido, IFERROR(VLOOKUP(monedaPago, Configuración!$A$2:$B$3, 2, FALSE), 0.15), IF(AD1619&gt;limitePermitido, "ALERTA: EXCESO (" &amp; TEXT(limitePermitido, "0%") &amp; " máx)", "OK"))))</f>
        <v/>
      </c>
      <c r="AP1619" s="79">
        <f>IF(AN1619="","",IF(AE1619=0,"OK",_xlfn.LET(fechaPago, Z1619, fechaFactura, R1619, diasCredito, IF(E1619="Pago inmediato", 0, IFERROR(VALUE(MID(E1619, 1, SEARCH(" ", E1619)-1)),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19" s="79">
        <f>IF(AN1619="","",IF(AND(N1619&gt;0, AG1619&gt;0), IF(Configuración!$K$2="NO", "ALERTA: DESCUENTO DOBLE NO PERMITIDO", "OK"), "OK"))</f>
        <v/>
      </c>
      <c r="AR1619" s="79">
        <f>IF(AN1619="","",IF(OR(AO1619&lt;&gt;"OK", AP1619&lt;&gt;"OK", AQ1619&lt;&gt;"OK"), "⚠️ REVISAR", "OK"))</f>
        <v/>
      </c>
    </row>
    <row r="1620">
      <c r="A1620" s="79">
        <f>IF('Ordenes_Odoo'!A1620="","",'Ordenes_Odoo'!A1620)</f>
        <v/>
      </c>
      <c r="B1620" s="80">
        <f>IF('Ordenes_Odoo'!B1620="","",'Ordenes_Odoo'!B1620)</f>
        <v/>
      </c>
      <c r="C1620" s="79">
        <f>IF('Ordenes_Odoo'!C1620="","",'Ordenes_Odoo'!C1620)</f>
        <v/>
      </c>
      <c r="D1620" s="79">
        <f>IF('Ordenes_Odoo'!D1620="","",'Ordenes_Odoo'!D1620)</f>
        <v/>
      </c>
      <c r="E1620" s="79">
        <f>IF('Ordenes_Odoo'!E1620="","",'Ordenes_Odoo'!E1620)</f>
        <v/>
      </c>
      <c r="F1620" s="79">
        <f>IF('Ordenes_Odoo'!F1620="","",'Ordenes_Odoo'!F1620)</f>
        <v/>
      </c>
      <c r="G1620" s="79">
        <f>IF('Ordenes_Odoo'!G1620="","",'Ordenes_Odoo'!G1620)</f>
        <v/>
      </c>
      <c r="H1620" s="79">
        <f>IF('Ordenes_Odoo'!H1620="","",'Ordenes_Odoo'!H1620)</f>
        <v/>
      </c>
      <c r="I1620" s="79">
        <f>IF('Ordenes_Odoo'!I1620="","",'Ordenes_Odoo'!I1620)</f>
        <v/>
      </c>
      <c r="J1620" s="79">
        <f>IF('Ordenes_Odoo'!J1620="","",'Ordenes_Odoo'!J1620)</f>
        <v/>
      </c>
      <c r="K1620" s="81">
        <f>IF('Ordenes_Odoo'!K1620="","",'Ordenes_Odoo'!K1620)</f>
        <v/>
      </c>
      <c r="L1620" s="81">
        <f>IF('Ordenes_Odoo'!L1620="","",'Ordenes_Odoo'!L1620)</f>
        <v/>
      </c>
      <c r="M1620" s="79">
        <f>IF('Ordenes_Odoo'!M1620="","",'Ordenes_Odoo'!M1620)</f>
        <v/>
      </c>
      <c r="N1620" s="79">
        <f>IF('Ordenes_Odoo'!N1620="","",'Ordenes_Odoo'!N1620)</f>
        <v/>
      </c>
      <c r="O1620" s="81">
        <f>IF('Ordenes_Odoo'!O1620="","",'Ordenes_Odoo'!O1620)</f>
        <v/>
      </c>
      <c r="P1620" s="81">
        <f>IF('Ordenes_Odoo'!P1620="","",'Ordenes_Odoo'!P1620)</f>
        <v/>
      </c>
      <c r="Q1620" s="79">
        <f>IF(A1620="","",IFERROR(INDEX(Facturas_Odoo!$B:$B, MATCH(A1620, Facturas_Odoo!$D:$D, 0)), "Sin Factura"))</f>
        <v/>
      </c>
      <c r="R1620" s="80">
        <f>IF(Q1620="Sin Factura","",IFERROR(INDEX(Facturas_Odoo!$A:$A, MATCH(Q1620, Facturas_Odoo!$B:$B, 0)), ""))</f>
        <v/>
      </c>
      <c r="S1620" s="79">
        <f>IF(Q1620="Sin Factura","",IFERROR(_xlfn.XLOOKUP(1, (Facturas_Odoo!$D:$D=A1620) * (Facturas_Odoo!$K:$K=I1620), Facturas_Odoo!$L:$L, ""), ""))</f>
        <v/>
      </c>
      <c r="T1620" s="81">
        <f>IF(Q1620="Sin Factura",0,IFERROR(_xlfn.XLOOKUP(1, (Facturas_Odoo!$D:$D=A1620) * (Facturas_Odoo!$K:$K=I1620), Facturas_Odoo!$M:$M, 0), 0))</f>
        <v/>
      </c>
      <c r="U1620" s="79">
        <f>IF(Q1620="Sin Factura",0,IFERROR(_xlfn.XLOOKUP(1, (Facturas_Odoo!$D:$D=A1620) * (Facturas_Odoo!$K:$K=I1620), Facturas_Odoo!$N:$N, 0), 0))</f>
        <v/>
      </c>
      <c r="V1620" s="79">
        <f>IF(Q1620="Sin Factura",0,IFERROR(_xlfn.XLOOKUP(1, (Facturas_Odoo!$D:$D=A1620) * (Facturas_Odoo!$K:$K=I1620), Facturas_Odoo!$O:$O, 0), 0))</f>
        <v/>
      </c>
      <c r="W1620" s="81">
        <f>IF(Q1620="Sin Factura",0,IFERROR(_xlfn.XLOOKUP(1, (Facturas_Odoo!$D:$D=A1620) * (Facturas_Odoo!$K:$K=I1620), Facturas_Odoo!$Q:$Q, 0), 0))</f>
        <v/>
      </c>
      <c r="X1620" s="79">
        <f>IF(OR(Q1620="Sin Factura",Q1620=""),"",IFERROR(INDEX(Pagos_Odoo!$B:$B, MATCH(Q1620, Pagos_Odoo!$I:$I, 0)), "Sin Pago"))</f>
        <v/>
      </c>
      <c r="Y1620" s="79">
        <f>IF(X1620="Sin Pago","",IFERROR(INDEX(Pagos_Odoo!$C:$C, MATCH(X1620, Pagos_Odoo!$B:$B, 0)), ""))</f>
        <v/>
      </c>
      <c r="Z1620" s="80">
        <f>IF(X1620="Sin Pago","",IFERROR(INDEX(Pagos_Odoo!$A:$A, MATCH(X1620, Pagos_Odoo!$B:$B, 0)), ""))</f>
        <v/>
      </c>
      <c r="AA1620" s="79">
        <f>IF(X1620="Sin Pago","",IFERROR(INDEX(Pagos_Odoo!$F:$F, MATCH(X1620, Pagos_Odoo!$B:$B, 0)), ""))</f>
        <v/>
      </c>
      <c r="AB1620" s="81">
        <f>IF(X1620="Sin Pago",0,IFERROR(INDEX(Pagos_Odoo!$E:$E, MATCH(X1620, Pagos_Odoo!$B:$B, 0)), 0))</f>
        <v/>
      </c>
      <c r="AC1620" s="79">
        <f>IF(X1620="Sin Pago","",IFERROR(INDEX(Pagos_Odoo!$G:$G, MATCH(X1620, Pagos_Odoo!$B:$B, 0)), ""))</f>
        <v/>
      </c>
      <c r="AD1620" s="82" t="n">
        <v>0</v>
      </c>
      <c r="AE1620" s="82" t="n"/>
      <c r="AF1620" s="82" t="n"/>
      <c r="AG1620" s="82">
        <f>IF(AN1620="","",AD1620+AE1620+AF1620)</f>
        <v/>
      </c>
      <c r="AH1620" s="81">
        <f>IF(AN1620="","",P1620*(1-AG1620))</f>
        <v/>
      </c>
      <c r="AI1620" s="81">
        <f>IF(AN1620="","",IF(Q1620="Sin Factura",0,IFERROR(INDEX(Facturas_Odoo!$H:$H, MATCH(Q1620, Facturas_Odoo!$B:$B, 0)), 0)*(1-AG1620)))</f>
        <v/>
      </c>
      <c r="AJ1620" s="81">
        <f>IF(AN1620="","",_xlfn.LET(idVenta, AN1620&amp;"",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20" s="81">
        <f>IF(AN1620="","",AH1620-AJ1620)</f>
        <v/>
      </c>
      <c r="AL1620" s="81">
        <f>IF(AN1620="","",IF(Q1620="Sin Factura","",AI1620-AJ1620))</f>
        <v/>
      </c>
      <c r="AM1620" s="81">
        <f>IF(AN1620="","",IF(Q1620="Sin Factura",0,P1620-IFERROR(INDEX(Facturas_Odoo!$H:$H, MATCH(Q1620, Facturas_Odoo!$B:$B, 0)), 0)))</f>
        <v/>
      </c>
      <c r="AN1620" s="79">
        <f>IF(AND(A1620="", J1620=""), "", IF(A1620&lt;&gt;"", VALUE(MID(A1620,2,LEN(A1620))), AN1619))</f>
        <v/>
      </c>
      <c r="AO1620" s="79">
        <f>IF(AN1620="","",IF(AD1620=0,"OK",_xlfn.LET(monedaPago, IF(AA1620="","USD",AA1620), limitePermitido, IFERROR(VLOOKUP(monedaPago, Configuración!$A$2:$B$3, 2, FALSE), 0.15), IF(AD1620&gt;limitePermitido, "ALERTA: EXCESO (" &amp; TEXT(limitePermitido, "0%") &amp; " máx)", "OK"))))</f>
        <v/>
      </c>
      <c r="AP1620" s="79">
        <f>IF(AN1620="","",IF(AE1620=0,"OK",_xlfn.LET(fechaPago, Z1620, fechaFactura, R1620, diasCredito, IF(E1620="Pago inmediato", 0, IFERROR(VALUE(MID(E1620, 1, SEARCH(" ", E1620)-1)),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20" s="79">
        <f>IF(AN1620="","",IF(AND(N1620&gt;0, AG1620&gt;0), IF(Configuración!$K$2="NO", "ALERTA: DESCUENTO DOBLE NO PERMITIDO", "OK"), "OK"))</f>
        <v/>
      </c>
      <c r="AR1620" s="79">
        <f>IF(AN1620="","",IF(OR(AO1620&lt;&gt;"OK", AP1620&lt;&gt;"OK", AQ1620&lt;&gt;"OK"), "⚠️ REVISAR", "OK"))</f>
        <v/>
      </c>
    </row>
    <row r="1621">
      <c r="A1621" s="79">
        <f>IF('Ordenes_Odoo'!A1621="","",'Ordenes_Odoo'!A1621)</f>
        <v/>
      </c>
      <c r="B1621" s="80">
        <f>IF('Ordenes_Odoo'!B1621="","",'Ordenes_Odoo'!B1621)</f>
        <v/>
      </c>
      <c r="C1621" s="79">
        <f>IF('Ordenes_Odoo'!C1621="","",'Ordenes_Odoo'!C1621)</f>
        <v/>
      </c>
      <c r="D1621" s="79">
        <f>IF('Ordenes_Odoo'!D1621="","",'Ordenes_Odoo'!D1621)</f>
        <v/>
      </c>
      <c r="E1621" s="79">
        <f>IF('Ordenes_Odoo'!E1621="","",'Ordenes_Odoo'!E1621)</f>
        <v/>
      </c>
      <c r="F1621" s="79">
        <f>IF('Ordenes_Odoo'!F1621="","",'Ordenes_Odoo'!F1621)</f>
        <v/>
      </c>
      <c r="G1621" s="79">
        <f>IF('Ordenes_Odoo'!G1621="","",'Ordenes_Odoo'!G1621)</f>
        <v/>
      </c>
      <c r="H1621" s="79">
        <f>IF('Ordenes_Odoo'!H1621="","",'Ordenes_Odoo'!H1621)</f>
        <v/>
      </c>
      <c r="I1621" s="79">
        <f>IF('Ordenes_Odoo'!I1621="","",'Ordenes_Odoo'!I1621)</f>
        <v/>
      </c>
      <c r="J1621" s="79">
        <f>IF('Ordenes_Odoo'!J1621="","",'Ordenes_Odoo'!J1621)</f>
        <v/>
      </c>
      <c r="K1621" s="81">
        <f>IF('Ordenes_Odoo'!K1621="","",'Ordenes_Odoo'!K1621)</f>
        <v/>
      </c>
      <c r="L1621" s="81">
        <f>IF('Ordenes_Odoo'!L1621="","",'Ordenes_Odoo'!L1621)</f>
        <v/>
      </c>
      <c r="M1621" s="79">
        <f>IF('Ordenes_Odoo'!M1621="","",'Ordenes_Odoo'!M1621)</f>
        <v/>
      </c>
      <c r="N1621" s="79">
        <f>IF('Ordenes_Odoo'!N1621="","",'Ordenes_Odoo'!N1621)</f>
        <v/>
      </c>
      <c r="O1621" s="81">
        <f>IF('Ordenes_Odoo'!O1621="","",'Ordenes_Odoo'!O1621)</f>
        <v/>
      </c>
      <c r="P1621" s="81">
        <f>IF('Ordenes_Odoo'!P1621="","",'Ordenes_Odoo'!P1621)</f>
        <v/>
      </c>
      <c r="Q1621" s="79">
        <f>IF(A1621="","",IFERROR(INDEX(Facturas_Odoo!$B:$B, MATCH(A1621, Facturas_Odoo!$D:$D, 0)), "Sin Factura"))</f>
        <v/>
      </c>
      <c r="R1621" s="80">
        <f>IF(Q1621="Sin Factura","",IFERROR(INDEX(Facturas_Odoo!$A:$A, MATCH(Q1621, Facturas_Odoo!$B:$B, 0)), ""))</f>
        <v/>
      </c>
      <c r="S1621" s="79">
        <f>IF(Q1621="Sin Factura","",IFERROR(_xlfn.XLOOKUP(1, (Facturas_Odoo!$D:$D=A1621) * (Facturas_Odoo!$K:$K=I1621), Facturas_Odoo!$L:$L, ""), ""))</f>
        <v/>
      </c>
      <c r="T1621" s="81">
        <f>IF(Q1621="Sin Factura",0,IFERROR(_xlfn.XLOOKUP(1, (Facturas_Odoo!$D:$D=A1621) * (Facturas_Odoo!$K:$K=I1621), Facturas_Odoo!$M:$M, 0), 0))</f>
        <v/>
      </c>
      <c r="U1621" s="79">
        <f>IF(Q1621="Sin Factura",0,IFERROR(_xlfn.XLOOKUP(1, (Facturas_Odoo!$D:$D=A1621) * (Facturas_Odoo!$K:$K=I1621), Facturas_Odoo!$N:$N, 0), 0))</f>
        <v/>
      </c>
      <c r="V1621" s="79">
        <f>IF(Q1621="Sin Factura",0,IFERROR(_xlfn.XLOOKUP(1, (Facturas_Odoo!$D:$D=A1621) * (Facturas_Odoo!$K:$K=I1621), Facturas_Odoo!$O:$O, 0), 0))</f>
        <v/>
      </c>
      <c r="W1621" s="81">
        <f>IF(Q1621="Sin Factura",0,IFERROR(_xlfn.XLOOKUP(1, (Facturas_Odoo!$D:$D=A1621) * (Facturas_Odoo!$K:$K=I1621), Facturas_Odoo!$Q:$Q, 0), 0))</f>
        <v/>
      </c>
      <c r="X1621" s="79">
        <f>IF(OR(Q1621="Sin Factura",Q1621=""),"",IFERROR(INDEX(Pagos_Odoo!$B:$B, MATCH(Q1621, Pagos_Odoo!$I:$I, 0)), "Sin Pago"))</f>
        <v/>
      </c>
      <c r="Y1621" s="79">
        <f>IF(X1621="Sin Pago","",IFERROR(INDEX(Pagos_Odoo!$C:$C, MATCH(X1621, Pagos_Odoo!$B:$B, 0)), ""))</f>
        <v/>
      </c>
      <c r="Z1621" s="80">
        <f>IF(X1621="Sin Pago","",IFERROR(INDEX(Pagos_Odoo!$A:$A, MATCH(X1621, Pagos_Odoo!$B:$B, 0)), ""))</f>
        <v/>
      </c>
      <c r="AA1621" s="79">
        <f>IF(X1621="Sin Pago","",IFERROR(INDEX(Pagos_Odoo!$F:$F, MATCH(X1621, Pagos_Odoo!$B:$B, 0)), ""))</f>
        <v/>
      </c>
      <c r="AB1621" s="81">
        <f>IF(X1621="Sin Pago",0,IFERROR(INDEX(Pagos_Odoo!$E:$E, MATCH(X1621, Pagos_Odoo!$B:$B, 0)), 0))</f>
        <v/>
      </c>
      <c r="AC1621" s="79">
        <f>IF(X1621="Sin Pago","",IFERROR(INDEX(Pagos_Odoo!$G:$G, MATCH(X1621, Pagos_Odoo!$B:$B, 0)), ""))</f>
        <v/>
      </c>
      <c r="AD1621" s="82" t="n">
        <v>0</v>
      </c>
      <c r="AE1621" s="82" t="n"/>
      <c r="AF1621" s="82" t="n"/>
      <c r="AG1621" s="82">
        <f>IF(AN1621="","",AD1621+AE1621+AF1621)</f>
        <v/>
      </c>
      <c r="AH1621" s="81">
        <f>IF(AN1621="","",P1621*(1-AG1621))</f>
        <v/>
      </c>
      <c r="AI1621" s="81">
        <f>IF(AN1621="","",IF(Q1621="Sin Factura",0,IFERROR(INDEX(Facturas_Odoo!$H:$H, MATCH(Q1621, Facturas_Odoo!$B:$B, 0)), 0)*(1-AG1621)))</f>
        <v/>
      </c>
      <c r="AJ1621" s="81">
        <f>IF(AN1621="","",_xlfn.LET(idVenta, AN1621&amp;"",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21" s="81">
        <f>IF(AN1621="","",AH1621-AJ1621)</f>
        <v/>
      </c>
      <c r="AL1621" s="81">
        <f>IF(AN1621="","",IF(Q1621="Sin Factura","",AI1621-AJ1621))</f>
        <v/>
      </c>
      <c r="AM1621" s="81">
        <f>IF(AN1621="","",IF(Q1621="Sin Factura",0,P1621-IFERROR(INDEX(Facturas_Odoo!$H:$H, MATCH(Q1621, Facturas_Odoo!$B:$B, 0)), 0)))</f>
        <v/>
      </c>
      <c r="AN1621" s="79">
        <f>IF(AND(A1621="", J1621=""), "", IF(A1621&lt;&gt;"", VALUE(MID(A1621,2,LEN(A1621))), AN1620))</f>
        <v/>
      </c>
      <c r="AO1621" s="79">
        <f>IF(AN1621="","",IF(AD1621=0,"OK",_xlfn.LET(monedaPago, IF(AA1621="","USD",AA1621), limitePermitido, IFERROR(VLOOKUP(monedaPago, Configuración!$A$2:$B$3, 2, FALSE), 0.15), IF(AD1621&gt;limitePermitido, "ALERTA: EXCESO (" &amp; TEXT(limitePermitido, "0%") &amp; " máx)", "OK"))))</f>
        <v/>
      </c>
      <c r="AP1621" s="79">
        <f>IF(AN1621="","",IF(AE1621=0,"OK",_xlfn.LET(fechaPago, Z1621, fechaFactura, R1621, diasCredito, IF(E1621="Pago inmediato", 0, IFERROR(VALUE(MID(E1621, 1, SEARCH(" ", E1621)-1)),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21" s="79">
        <f>IF(AN1621="","",IF(AND(N1621&gt;0, AG1621&gt;0), IF(Configuración!$K$2="NO", "ALERTA: DESCUENTO DOBLE NO PERMITIDO", "OK"), "OK"))</f>
        <v/>
      </c>
      <c r="AR1621" s="79">
        <f>IF(AN1621="","",IF(OR(AO1621&lt;&gt;"OK", AP1621&lt;&gt;"OK", AQ1621&lt;&gt;"OK"), "⚠️ REVISAR", "OK"))</f>
        <v/>
      </c>
    </row>
    <row r="1622">
      <c r="A1622" s="79">
        <f>IF('Ordenes_Odoo'!A1622="","",'Ordenes_Odoo'!A1622)</f>
        <v/>
      </c>
      <c r="B1622" s="80">
        <f>IF('Ordenes_Odoo'!B1622="","",'Ordenes_Odoo'!B1622)</f>
        <v/>
      </c>
      <c r="C1622" s="79">
        <f>IF('Ordenes_Odoo'!C1622="","",'Ordenes_Odoo'!C1622)</f>
        <v/>
      </c>
      <c r="D1622" s="79">
        <f>IF('Ordenes_Odoo'!D1622="","",'Ordenes_Odoo'!D1622)</f>
        <v/>
      </c>
      <c r="E1622" s="79">
        <f>IF('Ordenes_Odoo'!E1622="","",'Ordenes_Odoo'!E1622)</f>
        <v/>
      </c>
      <c r="F1622" s="79">
        <f>IF('Ordenes_Odoo'!F1622="","",'Ordenes_Odoo'!F1622)</f>
        <v/>
      </c>
      <c r="G1622" s="79">
        <f>IF('Ordenes_Odoo'!G1622="","",'Ordenes_Odoo'!G1622)</f>
        <v/>
      </c>
      <c r="H1622" s="79">
        <f>IF('Ordenes_Odoo'!H1622="","",'Ordenes_Odoo'!H1622)</f>
        <v/>
      </c>
      <c r="I1622" s="79">
        <f>IF('Ordenes_Odoo'!I1622="","",'Ordenes_Odoo'!I1622)</f>
        <v/>
      </c>
      <c r="J1622" s="79">
        <f>IF('Ordenes_Odoo'!J1622="","",'Ordenes_Odoo'!J1622)</f>
        <v/>
      </c>
      <c r="K1622" s="81">
        <f>IF('Ordenes_Odoo'!K1622="","",'Ordenes_Odoo'!K1622)</f>
        <v/>
      </c>
      <c r="L1622" s="81">
        <f>IF('Ordenes_Odoo'!L1622="","",'Ordenes_Odoo'!L1622)</f>
        <v/>
      </c>
      <c r="M1622" s="79">
        <f>IF('Ordenes_Odoo'!M1622="","",'Ordenes_Odoo'!M1622)</f>
        <v/>
      </c>
      <c r="N1622" s="79">
        <f>IF('Ordenes_Odoo'!N1622="","",'Ordenes_Odoo'!N1622)</f>
        <v/>
      </c>
      <c r="O1622" s="81">
        <f>IF('Ordenes_Odoo'!O1622="","",'Ordenes_Odoo'!O1622)</f>
        <v/>
      </c>
      <c r="P1622" s="81">
        <f>IF('Ordenes_Odoo'!P1622="","",'Ordenes_Odoo'!P1622)</f>
        <v/>
      </c>
      <c r="Q1622" s="79">
        <f>IF(A1622="","",IFERROR(INDEX(Facturas_Odoo!$B:$B, MATCH(A1622, Facturas_Odoo!$D:$D, 0)), "Sin Factura"))</f>
        <v/>
      </c>
      <c r="R1622" s="80">
        <f>IF(Q1622="Sin Factura","",IFERROR(INDEX(Facturas_Odoo!$A:$A, MATCH(Q1622, Facturas_Odoo!$B:$B, 0)), ""))</f>
        <v/>
      </c>
      <c r="S1622" s="79">
        <f>IF(Q1622="Sin Factura","",IFERROR(_xlfn.XLOOKUP(1, (Facturas_Odoo!$D:$D=A1622) * (Facturas_Odoo!$K:$K=I1622), Facturas_Odoo!$L:$L, ""), ""))</f>
        <v/>
      </c>
      <c r="T1622" s="81">
        <f>IF(Q1622="Sin Factura",0,IFERROR(_xlfn.XLOOKUP(1, (Facturas_Odoo!$D:$D=A1622) * (Facturas_Odoo!$K:$K=I1622), Facturas_Odoo!$M:$M, 0), 0))</f>
        <v/>
      </c>
      <c r="U1622" s="79">
        <f>IF(Q1622="Sin Factura",0,IFERROR(_xlfn.XLOOKUP(1, (Facturas_Odoo!$D:$D=A1622) * (Facturas_Odoo!$K:$K=I1622), Facturas_Odoo!$N:$N, 0), 0))</f>
        <v/>
      </c>
      <c r="V1622" s="79">
        <f>IF(Q1622="Sin Factura",0,IFERROR(_xlfn.XLOOKUP(1, (Facturas_Odoo!$D:$D=A1622) * (Facturas_Odoo!$K:$K=I1622), Facturas_Odoo!$O:$O, 0), 0))</f>
        <v/>
      </c>
      <c r="W1622" s="81">
        <f>IF(Q1622="Sin Factura",0,IFERROR(_xlfn.XLOOKUP(1, (Facturas_Odoo!$D:$D=A1622) * (Facturas_Odoo!$K:$K=I1622), Facturas_Odoo!$Q:$Q, 0), 0))</f>
        <v/>
      </c>
      <c r="X1622" s="79">
        <f>IF(OR(Q1622="Sin Factura",Q1622=""),"",IFERROR(INDEX(Pagos_Odoo!$B:$B, MATCH(Q1622, Pagos_Odoo!$I:$I, 0)), "Sin Pago"))</f>
        <v/>
      </c>
      <c r="Y1622" s="79">
        <f>IF(X1622="Sin Pago","",IFERROR(INDEX(Pagos_Odoo!$C:$C, MATCH(X1622, Pagos_Odoo!$B:$B, 0)), ""))</f>
        <v/>
      </c>
      <c r="Z1622" s="80">
        <f>IF(X1622="Sin Pago","",IFERROR(INDEX(Pagos_Odoo!$A:$A, MATCH(X1622, Pagos_Odoo!$B:$B, 0)), ""))</f>
        <v/>
      </c>
      <c r="AA1622" s="79">
        <f>IF(X1622="Sin Pago","",IFERROR(INDEX(Pagos_Odoo!$F:$F, MATCH(X1622, Pagos_Odoo!$B:$B, 0)), ""))</f>
        <v/>
      </c>
      <c r="AB1622" s="81">
        <f>IF(X1622="Sin Pago",0,IFERROR(INDEX(Pagos_Odoo!$E:$E, MATCH(X1622, Pagos_Odoo!$B:$B, 0)), 0))</f>
        <v/>
      </c>
      <c r="AC1622" s="79">
        <f>IF(X1622="Sin Pago","",IFERROR(INDEX(Pagos_Odoo!$G:$G, MATCH(X1622, Pagos_Odoo!$B:$B, 0)), ""))</f>
        <v/>
      </c>
      <c r="AD1622" s="82" t="n">
        <v>0</v>
      </c>
      <c r="AE1622" s="82" t="n"/>
      <c r="AF1622" s="82" t="n"/>
      <c r="AG1622" s="82">
        <f>IF(AN1622="","",AD1622+AE1622+AF1622)</f>
        <v/>
      </c>
      <c r="AH1622" s="81">
        <f>IF(AN1622="","",P1622*(1-AG1622))</f>
        <v/>
      </c>
      <c r="AI1622" s="81">
        <f>IF(AN1622="","",IF(Q1622="Sin Factura",0,IFERROR(INDEX(Facturas_Odoo!$H:$H, MATCH(Q1622, Facturas_Odoo!$B:$B, 0)), 0)*(1-AG1622)))</f>
        <v/>
      </c>
      <c r="AJ1622" s="81">
        <f>IF(AN1622="","",_xlfn.LET(idVenta, AN1622&amp;"",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22" s="81">
        <f>IF(AN1622="","",AH1622-AJ1622)</f>
        <v/>
      </c>
      <c r="AL1622" s="81">
        <f>IF(AN1622="","",IF(Q1622="Sin Factura","",AI1622-AJ1622))</f>
        <v/>
      </c>
      <c r="AM1622" s="81">
        <f>IF(AN1622="","",IF(Q1622="Sin Factura",0,P1622-IFERROR(INDEX(Facturas_Odoo!$H:$H, MATCH(Q1622, Facturas_Odoo!$B:$B, 0)), 0)))</f>
        <v/>
      </c>
      <c r="AN1622" s="79">
        <f>IF(AND(A1622="", J1622=""), "", IF(A1622&lt;&gt;"", VALUE(MID(A1622,2,LEN(A1622))), AN1621))</f>
        <v/>
      </c>
      <c r="AO1622" s="79">
        <f>IF(AN1622="","",IF(AD1622=0,"OK",_xlfn.LET(monedaPago, IF(AA1622="","USD",AA1622), limitePermitido, IFERROR(VLOOKUP(monedaPago, Configuración!$A$2:$B$3, 2, FALSE), 0.15), IF(AD1622&gt;limitePermitido, "ALERTA: EXCESO (" &amp; TEXT(limitePermitido, "0%") &amp; " máx)", "OK"))))</f>
        <v/>
      </c>
      <c r="AP1622" s="79">
        <f>IF(AN1622="","",IF(AE1622=0,"OK",_xlfn.LET(fechaPago, Z1622, fechaFactura, R1622, diasCredito, IF(E1622="Pago inmediato", 0, IFERROR(VALUE(MID(E1622, 1, SEARCH(" ", E1622)-1)),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22" s="79">
        <f>IF(AN1622="","",IF(AND(N1622&gt;0, AG1622&gt;0), IF(Configuración!$K$2="NO", "ALERTA: DESCUENTO DOBLE NO PERMITIDO", "OK"), "OK"))</f>
        <v/>
      </c>
      <c r="AR1622" s="79">
        <f>IF(AN1622="","",IF(OR(AO1622&lt;&gt;"OK", AP1622&lt;&gt;"OK", AQ1622&lt;&gt;"OK"), "⚠️ REVISAR", "OK"))</f>
        <v/>
      </c>
    </row>
    <row r="1623">
      <c r="A1623" s="79">
        <f>IF('Ordenes_Odoo'!A1623="","",'Ordenes_Odoo'!A1623)</f>
        <v/>
      </c>
      <c r="B1623" s="80">
        <f>IF('Ordenes_Odoo'!B1623="","",'Ordenes_Odoo'!B1623)</f>
        <v/>
      </c>
      <c r="C1623" s="79">
        <f>IF('Ordenes_Odoo'!C1623="","",'Ordenes_Odoo'!C1623)</f>
        <v/>
      </c>
      <c r="D1623" s="79">
        <f>IF('Ordenes_Odoo'!D1623="","",'Ordenes_Odoo'!D1623)</f>
        <v/>
      </c>
      <c r="E1623" s="79">
        <f>IF('Ordenes_Odoo'!E1623="","",'Ordenes_Odoo'!E1623)</f>
        <v/>
      </c>
      <c r="F1623" s="79">
        <f>IF('Ordenes_Odoo'!F1623="","",'Ordenes_Odoo'!F1623)</f>
        <v/>
      </c>
      <c r="G1623" s="79">
        <f>IF('Ordenes_Odoo'!G1623="","",'Ordenes_Odoo'!G1623)</f>
        <v/>
      </c>
      <c r="H1623" s="79">
        <f>IF('Ordenes_Odoo'!H1623="","",'Ordenes_Odoo'!H1623)</f>
        <v/>
      </c>
      <c r="I1623" s="79">
        <f>IF('Ordenes_Odoo'!I1623="","",'Ordenes_Odoo'!I1623)</f>
        <v/>
      </c>
      <c r="J1623" s="79">
        <f>IF('Ordenes_Odoo'!J1623="","",'Ordenes_Odoo'!J1623)</f>
        <v/>
      </c>
      <c r="K1623" s="81">
        <f>IF('Ordenes_Odoo'!K1623="","",'Ordenes_Odoo'!K1623)</f>
        <v/>
      </c>
      <c r="L1623" s="81">
        <f>IF('Ordenes_Odoo'!L1623="","",'Ordenes_Odoo'!L1623)</f>
        <v/>
      </c>
      <c r="M1623" s="79">
        <f>IF('Ordenes_Odoo'!M1623="","",'Ordenes_Odoo'!M1623)</f>
        <v/>
      </c>
      <c r="N1623" s="79">
        <f>IF('Ordenes_Odoo'!N1623="","",'Ordenes_Odoo'!N1623)</f>
        <v/>
      </c>
      <c r="O1623" s="81">
        <f>IF('Ordenes_Odoo'!O1623="","",'Ordenes_Odoo'!O1623)</f>
        <v/>
      </c>
      <c r="P1623" s="81">
        <f>IF('Ordenes_Odoo'!P1623="","",'Ordenes_Odoo'!P1623)</f>
        <v/>
      </c>
      <c r="Q1623" s="79">
        <f>IF(A1623="","",IFERROR(INDEX(Facturas_Odoo!$B:$B, MATCH(A1623, Facturas_Odoo!$D:$D, 0)), "Sin Factura"))</f>
        <v/>
      </c>
      <c r="R1623" s="80">
        <f>IF(Q1623="Sin Factura","",IFERROR(INDEX(Facturas_Odoo!$A:$A, MATCH(Q1623, Facturas_Odoo!$B:$B, 0)), ""))</f>
        <v/>
      </c>
      <c r="S1623" s="79">
        <f>IF(Q1623="Sin Factura","",IFERROR(_xlfn.XLOOKUP(1, (Facturas_Odoo!$D:$D=A1623) * (Facturas_Odoo!$K:$K=I1623), Facturas_Odoo!$L:$L, ""), ""))</f>
        <v/>
      </c>
      <c r="T1623" s="81">
        <f>IF(Q1623="Sin Factura",0,IFERROR(_xlfn.XLOOKUP(1, (Facturas_Odoo!$D:$D=A1623) * (Facturas_Odoo!$K:$K=I1623), Facturas_Odoo!$M:$M, 0), 0))</f>
        <v/>
      </c>
      <c r="U1623" s="79">
        <f>IF(Q1623="Sin Factura",0,IFERROR(_xlfn.XLOOKUP(1, (Facturas_Odoo!$D:$D=A1623) * (Facturas_Odoo!$K:$K=I1623), Facturas_Odoo!$N:$N, 0), 0))</f>
        <v/>
      </c>
      <c r="V1623" s="79">
        <f>IF(Q1623="Sin Factura",0,IFERROR(_xlfn.XLOOKUP(1, (Facturas_Odoo!$D:$D=A1623) * (Facturas_Odoo!$K:$K=I1623), Facturas_Odoo!$O:$O, 0), 0))</f>
        <v/>
      </c>
      <c r="W1623" s="81">
        <f>IF(Q1623="Sin Factura",0,IFERROR(_xlfn.XLOOKUP(1, (Facturas_Odoo!$D:$D=A1623) * (Facturas_Odoo!$K:$K=I1623), Facturas_Odoo!$Q:$Q, 0), 0))</f>
        <v/>
      </c>
      <c r="X1623" s="79">
        <f>IF(OR(Q1623="Sin Factura",Q1623=""),"",IFERROR(INDEX(Pagos_Odoo!$B:$B, MATCH(Q1623, Pagos_Odoo!$I:$I, 0)), "Sin Pago"))</f>
        <v/>
      </c>
      <c r="Y1623" s="79">
        <f>IF(X1623="Sin Pago","",IFERROR(INDEX(Pagos_Odoo!$C:$C, MATCH(X1623, Pagos_Odoo!$B:$B, 0)), ""))</f>
        <v/>
      </c>
      <c r="Z1623" s="80">
        <f>IF(X1623="Sin Pago","",IFERROR(INDEX(Pagos_Odoo!$A:$A, MATCH(X1623, Pagos_Odoo!$B:$B, 0)), ""))</f>
        <v/>
      </c>
      <c r="AA1623" s="79">
        <f>IF(X1623="Sin Pago","",IFERROR(INDEX(Pagos_Odoo!$F:$F, MATCH(X1623, Pagos_Odoo!$B:$B, 0)), ""))</f>
        <v/>
      </c>
      <c r="AB1623" s="81">
        <f>IF(X1623="Sin Pago",0,IFERROR(INDEX(Pagos_Odoo!$E:$E, MATCH(X1623, Pagos_Odoo!$B:$B, 0)), 0))</f>
        <v/>
      </c>
      <c r="AC1623" s="79">
        <f>IF(X1623="Sin Pago","",IFERROR(INDEX(Pagos_Odoo!$G:$G, MATCH(X1623, Pagos_Odoo!$B:$B, 0)), ""))</f>
        <v/>
      </c>
      <c r="AD1623" s="82" t="n">
        <v>0</v>
      </c>
      <c r="AE1623" s="82" t="n"/>
      <c r="AF1623" s="82" t="n"/>
      <c r="AG1623" s="82">
        <f>IF(AN1623="","",AD1623+AE1623+AF1623)</f>
        <v/>
      </c>
      <c r="AH1623" s="81">
        <f>IF(AN1623="","",P1623*(1-AG1623))</f>
        <v/>
      </c>
      <c r="AI1623" s="81">
        <f>IF(AN1623="","",IF(Q1623="Sin Factura",0,IFERROR(INDEX(Facturas_Odoo!$H:$H, MATCH(Q1623, Facturas_Odoo!$B:$B, 0)), 0)*(1-AG1623)))</f>
        <v/>
      </c>
      <c r="AJ1623" s="81">
        <f>IF(AN1623="","",_xlfn.LET(idVenta, AN1623&amp;"",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23" s="81">
        <f>IF(AN1623="","",AH1623-AJ1623)</f>
        <v/>
      </c>
      <c r="AL1623" s="81">
        <f>IF(AN1623="","",IF(Q1623="Sin Factura","",AI1623-AJ1623))</f>
        <v/>
      </c>
      <c r="AM1623" s="81">
        <f>IF(AN1623="","",IF(Q1623="Sin Factura",0,P1623-IFERROR(INDEX(Facturas_Odoo!$H:$H, MATCH(Q1623, Facturas_Odoo!$B:$B, 0)), 0)))</f>
        <v/>
      </c>
      <c r="AN1623" s="79">
        <f>IF(AND(A1623="", J1623=""), "", IF(A1623&lt;&gt;"", VALUE(MID(A1623,2,LEN(A1623))), AN1622))</f>
        <v/>
      </c>
      <c r="AO1623" s="79">
        <f>IF(AN1623="","",IF(AD1623=0,"OK",_xlfn.LET(monedaPago, IF(AA1623="","USD",AA1623), limitePermitido, IFERROR(VLOOKUP(monedaPago, Configuración!$A$2:$B$3, 2, FALSE), 0.15), IF(AD1623&gt;limitePermitido, "ALERTA: EXCESO (" &amp; TEXT(limitePermitido, "0%") &amp; " máx)", "OK"))))</f>
        <v/>
      </c>
      <c r="AP1623" s="79">
        <f>IF(AN1623="","",IF(AE1623=0,"OK",_xlfn.LET(fechaPago, Z1623, fechaFactura, R1623, diasCredito, IF(E1623="Pago inmediato", 0, IFERROR(VALUE(MID(E1623, 1, SEARCH(" ", E1623)-1)),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23" s="79">
        <f>IF(AN1623="","",IF(AND(N1623&gt;0, AG1623&gt;0), IF(Configuración!$K$2="NO", "ALERTA: DESCUENTO DOBLE NO PERMITIDO", "OK"), "OK"))</f>
        <v/>
      </c>
      <c r="AR1623" s="79">
        <f>IF(AN1623="","",IF(OR(AO1623&lt;&gt;"OK", AP1623&lt;&gt;"OK", AQ1623&lt;&gt;"OK"), "⚠️ REVISAR", "OK"))</f>
        <v/>
      </c>
    </row>
    <row r="1624">
      <c r="A1624" s="79">
        <f>IF('Ordenes_Odoo'!A1624="","",'Ordenes_Odoo'!A1624)</f>
        <v/>
      </c>
      <c r="B1624" s="80">
        <f>IF('Ordenes_Odoo'!B1624="","",'Ordenes_Odoo'!B1624)</f>
        <v/>
      </c>
      <c r="C1624" s="79">
        <f>IF('Ordenes_Odoo'!C1624="","",'Ordenes_Odoo'!C1624)</f>
        <v/>
      </c>
      <c r="D1624" s="79">
        <f>IF('Ordenes_Odoo'!D1624="","",'Ordenes_Odoo'!D1624)</f>
        <v/>
      </c>
      <c r="E1624" s="79">
        <f>IF('Ordenes_Odoo'!E1624="","",'Ordenes_Odoo'!E1624)</f>
        <v/>
      </c>
      <c r="F1624" s="79">
        <f>IF('Ordenes_Odoo'!F1624="","",'Ordenes_Odoo'!F1624)</f>
        <v/>
      </c>
      <c r="G1624" s="79">
        <f>IF('Ordenes_Odoo'!G1624="","",'Ordenes_Odoo'!G1624)</f>
        <v/>
      </c>
      <c r="H1624" s="79">
        <f>IF('Ordenes_Odoo'!H1624="","",'Ordenes_Odoo'!H1624)</f>
        <v/>
      </c>
      <c r="I1624" s="79">
        <f>IF('Ordenes_Odoo'!I1624="","",'Ordenes_Odoo'!I1624)</f>
        <v/>
      </c>
      <c r="J1624" s="79">
        <f>IF('Ordenes_Odoo'!J1624="","",'Ordenes_Odoo'!J1624)</f>
        <v/>
      </c>
      <c r="K1624" s="81">
        <f>IF('Ordenes_Odoo'!K1624="","",'Ordenes_Odoo'!K1624)</f>
        <v/>
      </c>
      <c r="L1624" s="81">
        <f>IF('Ordenes_Odoo'!L1624="","",'Ordenes_Odoo'!L1624)</f>
        <v/>
      </c>
      <c r="M1624" s="79">
        <f>IF('Ordenes_Odoo'!M1624="","",'Ordenes_Odoo'!M1624)</f>
        <v/>
      </c>
      <c r="N1624" s="79">
        <f>IF('Ordenes_Odoo'!N1624="","",'Ordenes_Odoo'!N1624)</f>
        <v/>
      </c>
      <c r="O1624" s="81">
        <f>IF('Ordenes_Odoo'!O1624="","",'Ordenes_Odoo'!O1624)</f>
        <v/>
      </c>
      <c r="P1624" s="81">
        <f>IF('Ordenes_Odoo'!P1624="","",'Ordenes_Odoo'!P1624)</f>
        <v/>
      </c>
      <c r="Q1624" s="79">
        <f>IF(A1624="","",IFERROR(INDEX(Facturas_Odoo!$B:$B, MATCH(A1624, Facturas_Odoo!$D:$D, 0)), "Sin Factura"))</f>
        <v/>
      </c>
      <c r="R1624" s="80">
        <f>IF(Q1624="Sin Factura","",IFERROR(INDEX(Facturas_Odoo!$A:$A, MATCH(Q1624, Facturas_Odoo!$B:$B, 0)), ""))</f>
        <v/>
      </c>
      <c r="S1624" s="79">
        <f>IF(Q1624="Sin Factura","",IFERROR(_xlfn.XLOOKUP(1, (Facturas_Odoo!$D:$D=A1624) * (Facturas_Odoo!$K:$K=I1624), Facturas_Odoo!$L:$L, ""), ""))</f>
        <v/>
      </c>
      <c r="T1624" s="81">
        <f>IF(Q1624="Sin Factura",0,IFERROR(_xlfn.XLOOKUP(1, (Facturas_Odoo!$D:$D=A1624) * (Facturas_Odoo!$K:$K=I1624), Facturas_Odoo!$M:$M, 0), 0))</f>
        <v/>
      </c>
      <c r="U1624" s="79">
        <f>IF(Q1624="Sin Factura",0,IFERROR(_xlfn.XLOOKUP(1, (Facturas_Odoo!$D:$D=A1624) * (Facturas_Odoo!$K:$K=I1624), Facturas_Odoo!$N:$N, 0), 0))</f>
        <v/>
      </c>
      <c r="V1624" s="79">
        <f>IF(Q1624="Sin Factura",0,IFERROR(_xlfn.XLOOKUP(1, (Facturas_Odoo!$D:$D=A1624) * (Facturas_Odoo!$K:$K=I1624), Facturas_Odoo!$O:$O, 0), 0))</f>
        <v/>
      </c>
      <c r="W1624" s="81">
        <f>IF(Q1624="Sin Factura",0,IFERROR(_xlfn.XLOOKUP(1, (Facturas_Odoo!$D:$D=A1624) * (Facturas_Odoo!$K:$K=I1624), Facturas_Odoo!$Q:$Q, 0), 0))</f>
        <v/>
      </c>
      <c r="X1624" s="79">
        <f>IF(OR(Q1624="Sin Factura",Q1624=""),"",IFERROR(INDEX(Pagos_Odoo!$B:$B, MATCH(Q1624, Pagos_Odoo!$I:$I, 0)), "Sin Pago"))</f>
        <v/>
      </c>
      <c r="Y1624" s="79">
        <f>IF(X1624="Sin Pago","",IFERROR(INDEX(Pagos_Odoo!$C:$C, MATCH(X1624, Pagos_Odoo!$B:$B, 0)), ""))</f>
        <v/>
      </c>
      <c r="Z1624" s="80">
        <f>IF(X1624="Sin Pago","",IFERROR(INDEX(Pagos_Odoo!$A:$A, MATCH(X1624, Pagos_Odoo!$B:$B, 0)), ""))</f>
        <v/>
      </c>
      <c r="AA1624" s="79">
        <f>IF(X1624="Sin Pago","",IFERROR(INDEX(Pagos_Odoo!$F:$F, MATCH(X1624, Pagos_Odoo!$B:$B, 0)), ""))</f>
        <v/>
      </c>
      <c r="AB1624" s="81">
        <f>IF(X1624="Sin Pago",0,IFERROR(INDEX(Pagos_Odoo!$E:$E, MATCH(X1624, Pagos_Odoo!$B:$B, 0)), 0))</f>
        <v/>
      </c>
      <c r="AC1624" s="79">
        <f>IF(X1624="Sin Pago","",IFERROR(INDEX(Pagos_Odoo!$G:$G, MATCH(X1624, Pagos_Odoo!$B:$B, 0)), ""))</f>
        <v/>
      </c>
      <c r="AD1624" s="82" t="n">
        <v>0</v>
      </c>
      <c r="AE1624" s="82" t="n"/>
      <c r="AF1624" s="82" t="n"/>
      <c r="AG1624" s="82">
        <f>IF(AN1624="","",AD1624+AE1624+AF1624)</f>
        <v/>
      </c>
      <c r="AH1624" s="81">
        <f>IF(AN1624="","",P1624*(1-AG1624))</f>
        <v/>
      </c>
      <c r="AI1624" s="81">
        <f>IF(AN1624="","",IF(Q1624="Sin Factura",0,IFERROR(INDEX(Facturas_Odoo!$H:$H, MATCH(Q1624, Facturas_Odoo!$B:$B, 0)), 0)*(1-AG1624)))</f>
        <v/>
      </c>
      <c r="AJ1624" s="81">
        <f>IF(AN1624="","",_xlfn.LET(idVenta, AN1624&amp;"",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24" s="81">
        <f>IF(AN1624="","",AH1624-AJ1624)</f>
        <v/>
      </c>
      <c r="AL1624" s="81">
        <f>IF(AN1624="","",IF(Q1624="Sin Factura","",AI1624-AJ1624))</f>
        <v/>
      </c>
      <c r="AM1624" s="81">
        <f>IF(AN1624="","",IF(Q1624="Sin Factura",0,P1624-IFERROR(INDEX(Facturas_Odoo!$H:$H, MATCH(Q1624, Facturas_Odoo!$B:$B, 0)), 0)))</f>
        <v/>
      </c>
      <c r="AN1624" s="79">
        <f>IF(AND(A1624="", J1624=""), "", IF(A1624&lt;&gt;"", VALUE(MID(A1624,2,LEN(A1624))), AN1623))</f>
        <v/>
      </c>
      <c r="AO1624" s="79">
        <f>IF(AN1624="","",IF(AD1624=0,"OK",_xlfn.LET(monedaPago, IF(AA1624="","USD",AA1624), limitePermitido, IFERROR(VLOOKUP(monedaPago, Configuración!$A$2:$B$3, 2, FALSE), 0.15), IF(AD1624&gt;limitePermitido, "ALERTA: EXCESO (" &amp; TEXT(limitePermitido, "0%") &amp; " máx)", "OK"))))</f>
        <v/>
      </c>
      <c r="AP1624" s="79">
        <f>IF(AN1624="","",IF(AE1624=0,"OK",_xlfn.LET(fechaPago, Z1624, fechaFactura, R1624, diasCredito, IF(E1624="Pago inmediato", 0, IFERROR(VALUE(MID(E1624, 1, SEARCH(" ", E1624)-1)),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24" s="79">
        <f>IF(AN1624="","",IF(AND(N1624&gt;0, AG1624&gt;0), IF(Configuración!$K$2="NO", "ALERTA: DESCUENTO DOBLE NO PERMITIDO", "OK"), "OK"))</f>
        <v/>
      </c>
      <c r="AR1624" s="79">
        <f>IF(AN1624="","",IF(OR(AO1624&lt;&gt;"OK", AP1624&lt;&gt;"OK", AQ1624&lt;&gt;"OK"), "⚠️ REVISAR", "OK"))</f>
        <v/>
      </c>
    </row>
    <row r="1625">
      <c r="A1625" s="79">
        <f>IF('Ordenes_Odoo'!A1625="","",'Ordenes_Odoo'!A1625)</f>
        <v/>
      </c>
      <c r="B1625" s="80">
        <f>IF('Ordenes_Odoo'!B1625="","",'Ordenes_Odoo'!B1625)</f>
        <v/>
      </c>
      <c r="C1625" s="79">
        <f>IF('Ordenes_Odoo'!C1625="","",'Ordenes_Odoo'!C1625)</f>
        <v/>
      </c>
      <c r="D1625" s="79">
        <f>IF('Ordenes_Odoo'!D1625="","",'Ordenes_Odoo'!D1625)</f>
        <v/>
      </c>
      <c r="E1625" s="79">
        <f>IF('Ordenes_Odoo'!E1625="","",'Ordenes_Odoo'!E1625)</f>
        <v/>
      </c>
      <c r="F1625" s="79">
        <f>IF('Ordenes_Odoo'!F1625="","",'Ordenes_Odoo'!F1625)</f>
        <v/>
      </c>
      <c r="G1625" s="79">
        <f>IF('Ordenes_Odoo'!G1625="","",'Ordenes_Odoo'!G1625)</f>
        <v/>
      </c>
      <c r="H1625" s="79">
        <f>IF('Ordenes_Odoo'!H1625="","",'Ordenes_Odoo'!H1625)</f>
        <v/>
      </c>
      <c r="I1625" s="79">
        <f>IF('Ordenes_Odoo'!I1625="","",'Ordenes_Odoo'!I1625)</f>
        <v/>
      </c>
      <c r="J1625" s="79">
        <f>IF('Ordenes_Odoo'!J1625="","",'Ordenes_Odoo'!J1625)</f>
        <v/>
      </c>
      <c r="K1625" s="81">
        <f>IF('Ordenes_Odoo'!K1625="","",'Ordenes_Odoo'!K1625)</f>
        <v/>
      </c>
      <c r="L1625" s="81">
        <f>IF('Ordenes_Odoo'!L1625="","",'Ordenes_Odoo'!L1625)</f>
        <v/>
      </c>
      <c r="M1625" s="79">
        <f>IF('Ordenes_Odoo'!M1625="","",'Ordenes_Odoo'!M1625)</f>
        <v/>
      </c>
      <c r="N1625" s="79">
        <f>IF('Ordenes_Odoo'!N1625="","",'Ordenes_Odoo'!N1625)</f>
        <v/>
      </c>
      <c r="O1625" s="81">
        <f>IF('Ordenes_Odoo'!O1625="","",'Ordenes_Odoo'!O1625)</f>
        <v/>
      </c>
      <c r="P1625" s="81">
        <f>IF('Ordenes_Odoo'!P1625="","",'Ordenes_Odoo'!P1625)</f>
        <v/>
      </c>
      <c r="Q1625" s="79">
        <f>IF(A1625="","",IFERROR(INDEX(Facturas_Odoo!$B:$B, MATCH(A1625, Facturas_Odoo!$D:$D, 0)), "Sin Factura"))</f>
        <v/>
      </c>
      <c r="R1625" s="80">
        <f>IF(Q1625="Sin Factura","",IFERROR(INDEX(Facturas_Odoo!$A:$A, MATCH(Q1625, Facturas_Odoo!$B:$B, 0)), ""))</f>
        <v/>
      </c>
      <c r="S1625" s="79">
        <f>IF(Q1625="Sin Factura","",IFERROR(_xlfn.XLOOKUP(1, (Facturas_Odoo!$D:$D=A1625) * (Facturas_Odoo!$K:$K=I1625), Facturas_Odoo!$L:$L, ""), ""))</f>
        <v/>
      </c>
      <c r="T1625" s="81">
        <f>IF(Q1625="Sin Factura",0,IFERROR(_xlfn.XLOOKUP(1, (Facturas_Odoo!$D:$D=A1625) * (Facturas_Odoo!$K:$K=I1625), Facturas_Odoo!$M:$M, 0), 0))</f>
        <v/>
      </c>
      <c r="U1625" s="79">
        <f>IF(Q1625="Sin Factura",0,IFERROR(_xlfn.XLOOKUP(1, (Facturas_Odoo!$D:$D=A1625) * (Facturas_Odoo!$K:$K=I1625), Facturas_Odoo!$N:$N, 0), 0))</f>
        <v/>
      </c>
      <c r="V1625" s="79">
        <f>IF(Q1625="Sin Factura",0,IFERROR(_xlfn.XLOOKUP(1, (Facturas_Odoo!$D:$D=A1625) * (Facturas_Odoo!$K:$K=I1625), Facturas_Odoo!$O:$O, 0), 0))</f>
        <v/>
      </c>
      <c r="W1625" s="81">
        <f>IF(Q1625="Sin Factura",0,IFERROR(_xlfn.XLOOKUP(1, (Facturas_Odoo!$D:$D=A1625) * (Facturas_Odoo!$K:$K=I1625), Facturas_Odoo!$Q:$Q, 0), 0))</f>
        <v/>
      </c>
      <c r="X1625" s="79">
        <f>IF(OR(Q1625="Sin Factura",Q1625=""),"",IFERROR(INDEX(Pagos_Odoo!$B:$B, MATCH(Q1625, Pagos_Odoo!$I:$I, 0)), "Sin Pago"))</f>
        <v/>
      </c>
      <c r="Y1625" s="79">
        <f>IF(X1625="Sin Pago","",IFERROR(INDEX(Pagos_Odoo!$C:$C, MATCH(X1625, Pagos_Odoo!$B:$B, 0)), ""))</f>
        <v/>
      </c>
      <c r="Z1625" s="80">
        <f>IF(X1625="Sin Pago","",IFERROR(INDEX(Pagos_Odoo!$A:$A, MATCH(X1625, Pagos_Odoo!$B:$B, 0)), ""))</f>
        <v/>
      </c>
      <c r="AA1625" s="79">
        <f>IF(X1625="Sin Pago","",IFERROR(INDEX(Pagos_Odoo!$F:$F, MATCH(X1625, Pagos_Odoo!$B:$B, 0)), ""))</f>
        <v/>
      </c>
      <c r="AB1625" s="81">
        <f>IF(X1625="Sin Pago",0,IFERROR(INDEX(Pagos_Odoo!$E:$E, MATCH(X1625, Pagos_Odoo!$B:$B, 0)), 0))</f>
        <v/>
      </c>
      <c r="AC1625" s="79">
        <f>IF(X1625="Sin Pago","",IFERROR(INDEX(Pagos_Odoo!$G:$G, MATCH(X1625, Pagos_Odoo!$B:$B, 0)), ""))</f>
        <v/>
      </c>
      <c r="AD1625" s="82" t="n">
        <v>0</v>
      </c>
      <c r="AE1625" s="82" t="n"/>
      <c r="AF1625" s="82" t="n"/>
      <c r="AG1625" s="82">
        <f>IF(AN1625="","",AD1625+AE1625+AF1625)</f>
        <v/>
      </c>
      <c r="AH1625" s="81">
        <f>IF(AN1625="","",P1625*(1-AG1625))</f>
        <v/>
      </c>
      <c r="AI1625" s="81">
        <f>IF(AN1625="","",IF(Q1625="Sin Factura",0,IFERROR(INDEX(Facturas_Odoo!$H:$H, MATCH(Q1625, Facturas_Odoo!$B:$B, 0)), 0)*(1-AG1625)))</f>
        <v/>
      </c>
      <c r="AJ1625" s="81">
        <f>IF(AN1625="","",_xlfn.LET(idVenta, AN1625&amp;"",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25" s="81">
        <f>IF(AN1625="","",AH1625-AJ1625)</f>
        <v/>
      </c>
      <c r="AL1625" s="81">
        <f>IF(AN1625="","",IF(Q1625="Sin Factura","",AI1625-AJ1625))</f>
        <v/>
      </c>
      <c r="AM1625" s="81">
        <f>IF(AN1625="","",IF(Q1625="Sin Factura",0,P1625-IFERROR(INDEX(Facturas_Odoo!$H:$H, MATCH(Q1625, Facturas_Odoo!$B:$B, 0)), 0)))</f>
        <v/>
      </c>
      <c r="AN1625" s="79">
        <f>IF(AND(A1625="", J1625=""), "", IF(A1625&lt;&gt;"", VALUE(MID(A1625,2,LEN(A1625))), AN1624))</f>
        <v/>
      </c>
      <c r="AO1625" s="79">
        <f>IF(AN1625="","",IF(AD1625=0,"OK",_xlfn.LET(monedaPago, IF(AA1625="","USD",AA1625), limitePermitido, IFERROR(VLOOKUP(monedaPago, Configuración!$A$2:$B$3, 2, FALSE), 0.15), IF(AD1625&gt;limitePermitido, "ALERTA: EXCESO (" &amp; TEXT(limitePermitido, "0%") &amp; " máx)", "OK"))))</f>
        <v/>
      </c>
      <c r="AP1625" s="79">
        <f>IF(AN1625="","",IF(AE1625=0,"OK",_xlfn.LET(fechaPago, Z1625, fechaFactura, R1625, diasCredito, IF(E1625="Pago inmediato", 0, IFERROR(VALUE(MID(E1625, 1, SEARCH(" ", E1625)-1)),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25" s="79">
        <f>IF(AN1625="","",IF(AND(N1625&gt;0, AG1625&gt;0), IF(Configuración!$K$2="NO", "ALERTA: DESCUENTO DOBLE NO PERMITIDO", "OK"), "OK"))</f>
        <v/>
      </c>
      <c r="AR1625" s="79">
        <f>IF(AN1625="","",IF(OR(AO1625&lt;&gt;"OK", AP1625&lt;&gt;"OK", AQ1625&lt;&gt;"OK"), "⚠️ REVISAR", "OK"))</f>
        <v/>
      </c>
    </row>
    <row r="1626">
      <c r="A1626" s="79">
        <f>IF('Ordenes_Odoo'!A1626="","",'Ordenes_Odoo'!A1626)</f>
        <v/>
      </c>
      <c r="B1626" s="80">
        <f>IF('Ordenes_Odoo'!B1626="","",'Ordenes_Odoo'!B1626)</f>
        <v/>
      </c>
      <c r="C1626" s="79">
        <f>IF('Ordenes_Odoo'!C1626="","",'Ordenes_Odoo'!C1626)</f>
        <v/>
      </c>
      <c r="D1626" s="79">
        <f>IF('Ordenes_Odoo'!D1626="","",'Ordenes_Odoo'!D1626)</f>
        <v/>
      </c>
      <c r="E1626" s="79">
        <f>IF('Ordenes_Odoo'!E1626="","",'Ordenes_Odoo'!E1626)</f>
        <v/>
      </c>
      <c r="F1626" s="79">
        <f>IF('Ordenes_Odoo'!F1626="","",'Ordenes_Odoo'!F1626)</f>
        <v/>
      </c>
      <c r="G1626" s="79">
        <f>IF('Ordenes_Odoo'!G1626="","",'Ordenes_Odoo'!G1626)</f>
        <v/>
      </c>
      <c r="H1626" s="79">
        <f>IF('Ordenes_Odoo'!H1626="","",'Ordenes_Odoo'!H1626)</f>
        <v/>
      </c>
      <c r="I1626" s="79">
        <f>IF('Ordenes_Odoo'!I1626="","",'Ordenes_Odoo'!I1626)</f>
        <v/>
      </c>
      <c r="J1626" s="79">
        <f>IF('Ordenes_Odoo'!J1626="","",'Ordenes_Odoo'!J1626)</f>
        <v/>
      </c>
      <c r="K1626" s="81">
        <f>IF('Ordenes_Odoo'!K1626="","",'Ordenes_Odoo'!K1626)</f>
        <v/>
      </c>
      <c r="L1626" s="81">
        <f>IF('Ordenes_Odoo'!L1626="","",'Ordenes_Odoo'!L1626)</f>
        <v/>
      </c>
      <c r="M1626" s="79">
        <f>IF('Ordenes_Odoo'!M1626="","",'Ordenes_Odoo'!M1626)</f>
        <v/>
      </c>
      <c r="N1626" s="79">
        <f>IF('Ordenes_Odoo'!N1626="","",'Ordenes_Odoo'!N1626)</f>
        <v/>
      </c>
      <c r="O1626" s="81">
        <f>IF('Ordenes_Odoo'!O1626="","",'Ordenes_Odoo'!O1626)</f>
        <v/>
      </c>
      <c r="P1626" s="81">
        <f>IF('Ordenes_Odoo'!P1626="","",'Ordenes_Odoo'!P1626)</f>
        <v/>
      </c>
      <c r="Q1626" s="79">
        <f>IF(A1626="","",IFERROR(INDEX(Facturas_Odoo!$B:$B, MATCH(A1626, Facturas_Odoo!$D:$D, 0)), "Sin Factura"))</f>
        <v/>
      </c>
      <c r="R1626" s="80">
        <f>IF(Q1626="Sin Factura","",IFERROR(INDEX(Facturas_Odoo!$A:$A, MATCH(Q1626, Facturas_Odoo!$B:$B, 0)), ""))</f>
        <v/>
      </c>
      <c r="S1626" s="79">
        <f>IF(Q1626="Sin Factura","",IFERROR(_xlfn.XLOOKUP(1, (Facturas_Odoo!$D:$D=A1626) * (Facturas_Odoo!$K:$K=I1626), Facturas_Odoo!$L:$L, ""), ""))</f>
        <v/>
      </c>
      <c r="T1626" s="81">
        <f>IF(Q1626="Sin Factura",0,IFERROR(_xlfn.XLOOKUP(1, (Facturas_Odoo!$D:$D=A1626) * (Facturas_Odoo!$K:$K=I1626), Facturas_Odoo!$M:$M, 0), 0))</f>
        <v/>
      </c>
      <c r="U1626" s="79">
        <f>IF(Q1626="Sin Factura",0,IFERROR(_xlfn.XLOOKUP(1, (Facturas_Odoo!$D:$D=A1626) * (Facturas_Odoo!$K:$K=I1626), Facturas_Odoo!$N:$N, 0), 0))</f>
        <v/>
      </c>
      <c r="V1626" s="79">
        <f>IF(Q1626="Sin Factura",0,IFERROR(_xlfn.XLOOKUP(1, (Facturas_Odoo!$D:$D=A1626) * (Facturas_Odoo!$K:$K=I1626), Facturas_Odoo!$O:$O, 0), 0))</f>
        <v/>
      </c>
      <c r="W1626" s="81">
        <f>IF(Q1626="Sin Factura",0,IFERROR(_xlfn.XLOOKUP(1, (Facturas_Odoo!$D:$D=A1626) * (Facturas_Odoo!$K:$K=I1626), Facturas_Odoo!$Q:$Q, 0), 0))</f>
        <v/>
      </c>
      <c r="X1626" s="79">
        <f>IF(OR(Q1626="Sin Factura",Q1626=""),"",IFERROR(INDEX(Pagos_Odoo!$B:$B, MATCH(Q1626, Pagos_Odoo!$I:$I, 0)), "Sin Pago"))</f>
        <v/>
      </c>
      <c r="Y1626" s="79">
        <f>IF(X1626="Sin Pago","",IFERROR(INDEX(Pagos_Odoo!$C:$C, MATCH(X1626, Pagos_Odoo!$B:$B, 0)), ""))</f>
        <v/>
      </c>
      <c r="Z1626" s="80">
        <f>IF(X1626="Sin Pago","",IFERROR(INDEX(Pagos_Odoo!$A:$A, MATCH(X1626, Pagos_Odoo!$B:$B, 0)), ""))</f>
        <v/>
      </c>
      <c r="AA1626" s="79">
        <f>IF(X1626="Sin Pago","",IFERROR(INDEX(Pagos_Odoo!$F:$F, MATCH(X1626, Pagos_Odoo!$B:$B, 0)), ""))</f>
        <v/>
      </c>
      <c r="AB1626" s="81">
        <f>IF(X1626="Sin Pago",0,IFERROR(INDEX(Pagos_Odoo!$E:$E, MATCH(X1626, Pagos_Odoo!$B:$B, 0)), 0))</f>
        <v/>
      </c>
      <c r="AC1626" s="79">
        <f>IF(X1626="Sin Pago","",IFERROR(INDEX(Pagos_Odoo!$G:$G, MATCH(X1626, Pagos_Odoo!$B:$B, 0)), ""))</f>
        <v/>
      </c>
      <c r="AD1626" s="82" t="n">
        <v>0</v>
      </c>
      <c r="AE1626" s="82" t="n"/>
      <c r="AF1626" s="82" t="n"/>
      <c r="AG1626" s="82">
        <f>IF(AN1626="","",AD1626+AE1626+AF1626)</f>
        <v/>
      </c>
      <c r="AH1626" s="81">
        <f>IF(AN1626="","",P1626*(1-AG1626))</f>
        <v/>
      </c>
      <c r="AI1626" s="81">
        <f>IF(AN1626="","",IF(Q1626="Sin Factura",0,IFERROR(INDEX(Facturas_Odoo!$H:$H, MATCH(Q1626, Facturas_Odoo!$B:$B, 0)), 0)*(1-AG1626)))</f>
        <v/>
      </c>
      <c r="AJ1626" s="81">
        <f>IF(AN1626="","",_xlfn.LET(idVenta, AN1626&amp;"",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26" s="81">
        <f>IF(AN1626="","",AH1626-AJ1626)</f>
        <v/>
      </c>
      <c r="AL1626" s="81">
        <f>IF(AN1626="","",IF(Q1626="Sin Factura","",AI1626-AJ1626))</f>
        <v/>
      </c>
      <c r="AM1626" s="81">
        <f>IF(AN1626="","",IF(Q1626="Sin Factura",0,P1626-IFERROR(INDEX(Facturas_Odoo!$H:$H, MATCH(Q1626, Facturas_Odoo!$B:$B, 0)), 0)))</f>
        <v/>
      </c>
      <c r="AN1626" s="79">
        <f>IF(AND(A1626="", J1626=""), "", IF(A1626&lt;&gt;"", VALUE(MID(A1626,2,LEN(A1626))), AN1625))</f>
        <v/>
      </c>
      <c r="AO1626" s="79">
        <f>IF(AN1626="","",IF(AD1626=0,"OK",_xlfn.LET(monedaPago, IF(AA1626="","USD",AA1626), limitePermitido, IFERROR(VLOOKUP(monedaPago, Configuración!$A$2:$B$3, 2, FALSE), 0.15), IF(AD1626&gt;limitePermitido, "ALERTA: EXCESO (" &amp; TEXT(limitePermitido, "0%") &amp; " máx)", "OK"))))</f>
        <v/>
      </c>
      <c r="AP1626" s="79">
        <f>IF(AN1626="","",IF(AE1626=0,"OK",_xlfn.LET(fechaPago, Z1626, fechaFactura, R1626, diasCredito, IF(E1626="Pago inmediato", 0, IFERROR(VALUE(MID(E1626, 1, SEARCH(" ", E1626)-1)),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26" s="79">
        <f>IF(AN1626="","",IF(AND(N1626&gt;0, AG1626&gt;0), IF(Configuración!$K$2="NO", "ALERTA: DESCUENTO DOBLE NO PERMITIDO", "OK"), "OK"))</f>
        <v/>
      </c>
      <c r="AR1626" s="79">
        <f>IF(AN1626="","",IF(OR(AO1626&lt;&gt;"OK", AP1626&lt;&gt;"OK", AQ1626&lt;&gt;"OK"), "⚠️ REVISAR", "OK"))</f>
        <v/>
      </c>
    </row>
    <row r="1627">
      <c r="A1627" s="79">
        <f>IF('Ordenes_Odoo'!A1627="","",'Ordenes_Odoo'!A1627)</f>
        <v/>
      </c>
      <c r="B1627" s="80">
        <f>IF('Ordenes_Odoo'!B1627="","",'Ordenes_Odoo'!B1627)</f>
        <v/>
      </c>
      <c r="C1627" s="79">
        <f>IF('Ordenes_Odoo'!C1627="","",'Ordenes_Odoo'!C1627)</f>
        <v/>
      </c>
      <c r="D1627" s="79">
        <f>IF('Ordenes_Odoo'!D1627="","",'Ordenes_Odoo'!D1627)</f>
        <v/>
      </c>
      <c r="E1627" s="79">
        <f>IF('Ordenes_Odoo'!E1627="","",'Ordenes_Odoo'!E1627)</f>
        <v/>
      </c>
      <c r="F1627" s="79">
        <f>IF('Ordenes_Odoo'!F1627="","",'Ordenes_Odoo'!F1627)</f>
        <v/>
      </c>
      <c r="G1627" s="79">
        <f>IF('Ordenes_Odoo'!G1627="","",'Ordenes_Odoo'!G1627)</f>
        <v/>
      </c>
      <c r="H1627" s="79">
        <f>IF('Ordenes_Odoo'!H1627="","",'Ordenes_Odoo'!H1627)</f>
        <v/>
      </c>
      <c r="I1627" s="79">
        <f>IF('Ordenes_Odoo'!I1627="","",'Ordenes_Odoo'!I1627)</f>
        <v/>
      </c>
      <c r="J1627" s="79">
        <f>IF('Ordenes_Odoo'!J1627="","",'Ordenes_Odoo'!J1627)</f>
        <v/>
      </c>
      <c r="K1627" s="81">
        <f>IF('Ordenes_Odoo'!K1627="","",'Ordenes_Odoo'!K1627)</f>
        <v/>
      </c>
      <c r="L1627" s="81">
        <f>IF('Ordenes_Odoo'!L1627="","",'Ordenes_Odoo'!L1627)</f>
        <v/>
      </c>
      <c r="M1627" s="79">
        <f>IF('Ordenes_Odoo'!M1627="","",'Ordenes_Odoo'!M1627)</f>
        <v/>
      </c>
      <c r="N1627" s="79">
        <f>IF('Ordenes_Odoo'!N1627="","",'Ordenes_Odoo'!N1627)</f>
        <v/>
      </c>
      <c r="O1627" s="81">
        <f>IF('Ordenes_Odoo'!O1627="","",'Ordenes_Odoo'!O1627)</f>
        <v/>
      </c>
      <c r="P1627" s="81">
        <f>IF('Ordenes_Odoo'!P1627="","",'Ordenes_Odoo'!P1627)</f>
        <v/>
      </c>
      <c r="Q1627" s="79">
        <f>IF(A1627="","",IFERROR(INDEX(Facturas_Odoo!$B:$B, MATCH(A1627, Facturas_Odoo!$D:$D, 0)), "Sin Factura"))</f>
        <v/>
      </c>
      <c r="R1627" s="80">
        <f>IF(Q1627="Sin Factura","",IFERROR(INDEX(Facturas_Odoo!$A:$A, MATCH(Q1627, Facturas_Odoo!$B:$B, 0)), ""))</f>
        <v/>
      </c>
      <c r="S1627" s="79">
        <f>IF(Q1627="Sin Factura","",IFERROR(_xlfn.XLOOKUP(1, (Facturas_Odoo!$D:$D=A1627) * (Facturas_Odoo!$K:$K=I1627), Facturas_Odoo!$L:$L, ""), ""))</f>
        <v/>
      </c>
      <c r="T1627" s="81">
        <f>IF(Q1627="Sin Factura",0,IFERROR(_xlfn.XLOOKUP(1, (Facturas_Odoo!$D:$D=A1627) * (Facturas_Odoo!$K:$K=I1627), Facturas_Odoo!$M:$M, 0), 0))</f>
        <v/>
      </c>
      <c r="U1627" s="79">
        <f>IF(Q1627="Sin Factura",0,IFERROR(_xlfn.XLOOKUP(1, (Facturas_Odoo!$D:$D=A1627) * (Facturas_Odoo!$K:$K=I1627), Facturas_Odoo!$N:$N, 0), 0))</f>
        <v/>
      </c>
      <c r="V1627" s="79">
        <f>IF(Q1627="Sin Factura",0,IFERROR(_xlfn.XLOOKUP(1, (Facturas_Odoo!$D:$D=A1627) * (Facturas_Odoo!$K:$K=I1627), Facturas_Odoo!$O:$O, 0), 0))</f>
        <v/>
      </c>
      <c r="W1627" s="81">
        <f>IF(Q1627="Sin Factura",0,IFERROR(_xlfn.XLOOKUP(1, (Facturas_Odoo!$D:$D=A1627) * (Facturas_Odoo!$K:$K=I1627), Facturas_Odoo!$Q:$Q, 0), 0))</f>
        <v/>
      </c>
      <c r="X1627" s="79">
        <f>IF(OR(Q1627="Sin Factura",Q1627=""),"",IFERROR(INDEX(Pagos_Odoo!$B:$B, MATCH(Q1627, Pagos_Odoo!$I:$I, 0)), "Sin Pago"))</f>
        <v/>
      </c>
      <c r="Y1627" s="79">
        <f>IF(X1627="Sin Pago","",IFERROR(INDEX(Pagos_Odoo!$C:$C, MATCH(X1627, Pagos_Odoo!$B:$B, 0)), ""))</f>
        <v/>
      </c>
      <c r="Z1627" s="80">
        <f>IF(X1627="Sin Pago","",IFERROR(INDEX(Pagos_Odoo!$A:$A, MATCH(X1627, Pagos_Odoo!$B:$B, 0)), ""))</f>
        <v/>
      </c>
      <c r="AA1627" s="79">
        <f>IF(X1627="Sin Pago","",IFERROR(INDEX(Pagos_Odoo!$F:$F, MATCH(X1627, Pagos_Odoo!$B:$B, 0)), ""))</f>
        <v/>
      </c>
      <c r="AB1627" s="81">
        <f>IF(X1627="Sin Pago",0,IFERROR(INDEX(Pagos_Odoo!$E:$E, MATCH(X1627, Pagos_Odoo!$B:$B, 0)), 0))</f>
        <v/>
      </c>
      <c r="AC1627" s="79">
        <f>IF(X1627="Sin Pago","",IFERROR(INDEX(Pagos_Odoo!$G:$G, MATCH(X1627, Pagos_Odoo!$B:$B, 0)), ""))</f>
        <v/>
      </c>
      <c r="AD1627" s="82" t="n">
        <v>0</v>
      </c>
      <c r="AE1627" s="82" t="n"/>
      <c r="AF1627" s="82" t="n"/>
      <c r="AG1627" s="82">
        <f>IF(AN1627="","",AD1627+AE1627+AF1627)</f>
        <v/>
      </c>
      <c r="AH1627" s="81">
        <f>IF(AN1627="","",P1627*(1-AG1627))</f>
        <v/>
      </c>
      <c r="AI1627" s="81">
        <f>IF(AN1627="","",IF(Q1627="Sin Factura",0,IFERROR(INDEX(Facturas_Odoo!$H:$H, MATCH(Q1627, Facturas_Odoo!$B:$B, 0)), 0)*(1-AG1627)))</f>
        <v/>
      </c>
      <c r="AJ1627" s="81">
        <f>IF(AN1627="","",_xlfn.LET(idVenta, AN1627&amp;"",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27" s="81">
        <f>IF(AN1627="","",AH1627-AJ1627)</f>
        <v/>
      </c>
      <c r="AL1627" s="81">
        <f>IF(AN1627="","",IF(Q1627="Sin Factura","",AI1627-AJ1627))</f>
        <v/>
      </c>
      <c r="AM1627" s="81">
        <f>IF(AN1627="","",IF(Q1627="Sin Factura",0,P1627-IFERROR(INDEX(Facturas_Odoo!$H:$H, MATCH(Q1627, Facturas_Odoo!$B:$B, 0)), 0)))</f>
        <v/>
      </c>
      <c r="AN1627" s="79">
        <f>IF(AND(A1627="", J1627=""), "", IF(A1627&lt;&gt;"", VALUE(MID(A1627,2,LEN(A1627))), AN1626))</f>
        <v/>
      </c>
      <c r="AO1627" s="79">
        <f>IF(AN1627="","",IF(AD1627=0,"OK",_xlfn.LET(monedaPago, IF(AA1627="","USD",AA1627), limitePermitido, IFERROR(VLOOKUP(monedaPago, Configuración!$A$2:$B$3, 2, FALSE), 0.15), IF(AD1627&gt;limitePermitido, "ALERTA: EXCESO (" &amp; TEXT(limitePermitido, "0%") &amp; " máx)", "OK"))))</f>
        <v/>
      </c>
      <c r="AP1627" s="79">
        <f>IF(AN1627="","",IF(AE1627=0,"OK",_xlfn.LET(fechaPago, Z1627, fechaFactura, R1627, diasCredito, IF(E1627="Pago inmediato", 0, IFERROR(VALUE(MID(E1627, 1, SEARCH(" ", E1627)-1)),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27" s="79">
        <f>IF(AN1627="","",IF(AND(N1627&gt;0, AG1627&gt;0), IF(Configuración!$K$2="NO", "ALERTA: DESCUENTO DOBLE NO PERMITIDO", "OK"), "OK"))</f>
        <v/>
      </c>
      <c r="AR1627" s="79">
        <f>IF(AN1627="","",IF(OR(AO1627&lt;&gt;"OK", AP1627&lt;&gt;"OK", AQ1627&lt;&gt;"OK"), "⚠️ REVISAR", "OK"))</f>
        <v/>
      </c>
    </row>
    <row r="1628">
      <c r="A1628" s="79">
        <f>IF('Ordenes_Odoo'!A1628="","",'Ordenes_Odoo'!A1628)</f>
        <v/>
      </c>
      <c r="B1628" s="80">
        <f>IF('Ordenes_Odoo'!B1628="","",'Ordenes_Odoo'!B1628)</f>
        <v/>
      </c>
      <c r="C1628" s="79">
        <f>IF('Ordenes_Odoo'!C1628="","",'Ordenes_Odoo'!C1628)</f>
        <v/>
      </c>
      <c r="D1628" s="79">
        <f>IF('Ordenes_Odoo'!D1628="","",'Ordenes_Odoo'!D1628)</f>
        <v/>
      </c>
      <c r="E1628" s="79">
        <f>IF('Ordenes_Odoo'!E1628="","",'Ordenes_Odoo'!E1628)</f>
        <v/>
      </c>
      <c r="F1628" s="79">
        <f>IF('Ordenes_Odoo'!F1628="","",'Ordenes_Odoo'!F1628)</f>
        <v/>
      </c>
      <c r="G1628" s="79">
        <f>IF('Ordenes_Odoo'!G1628="","",'Ordenes_Odoo'!G1628)</f>
        <v/>
      </c>
      <c r="H1628" s="79">
        <f>IF('Ordenes_Odoo'!H1628="","",'Ordenes_Odoo'!H1628)</f>
        <v/>
      </c>
      <c r="I1628" s="79">
        <f>IF('Ordenes_Odoo'!I1628="","",'Ordenes_Odoo'!I1628)</f>
        <v/>
      </c>
      <c r="J1628" s="79">
        <f>IF('Ordenes_Odoo'!J1628="","",'Ordenes_Odoo'!J1628)</f>
        <v/>
      </c>
      <c r="K1628" s="81">
        <f>IF('Ordenes_Odoo'!K1628="","",'Ordenes_Odoo'!K1628)</f>
        <v/>
      </c>
      <c r="L1628" s="81">
        <f>IF('Ordenes_Odoo'!L1628="","",'Ordenes_Odoo'!L1628)</f>
        <v/>
      </c>
      <c r="M1628" s="79">
        <f>IF('Ordenes_Odoo'!M1628="","",'Ordenes_Odoo'!M1628)</f>
        <v/>
      </c>
      <c r="N1628" s="79">
        <f>IF('Ordenes_Odoo'!N1628="","",'Ordenes_Odoo'!N1628)</f>
        <v/>
      </c>
      <c r="O1628" s="81">
        <f>IF('Ordenes_Odoo'!O1628="","",'Ordenes_Odoo'!O1628)</f>
        <v/>
      </c>
      <c r="P1628" s="81">
        <f>IF('Ordenes_Odoo'!P1628="","",'Ordenes_Odoo'!P1628)</f>
        <v/>
      </c>
      <c r="Q1628" s="79">
        <f>IF(A1628="","",IFERROR(INDEX(Facturas_Odoo!$B:$B, MATCH(A1628, Facturas_Odoo!$D:$D, 0)), "Sin Factura"))</f>
        <v/>
      </c>
      <c r="R1628" s="80">
        <f>IF(Q1628="Sin Factura","",IFERROR(INDEX(Facturas_Odoo!$A:$A, MATCH(Q1628, Facturas_Odoo!$B:$B, 0)), ""))</f>
        <v/>
      </c>
      <c r="S1628" s="79">
        <f>IF(Q1628="Sin Factura","",IFERROR(_xlfn.XLOOKUP(1, (Facturas_Odoo!$D:$D=A1628) * (Facturas_Odoo!$K:$K=I1628), Facturas_Odoo!$L:$L, ""), ""))</f>
        <v/>
      </c>
      <c r="T1628" s="81">
        <f>IF(Q1628="Sin Factura",0,IFERROR(_xlfn.XLOOKUP(1, (Facturas_Odoo!$D:$D=A1628) * (Facturas_Odoo!$K:$K=I1628), Facturas_Odoo!$M:$M, 0), 0))</f>
        <v/>
      </c>
      <c r="U1628" s="79">
        <f>IF(Q1628="Sin Factura",0,IFERROR(_xlfn.XLOOKUP(1, (Facturas_Odoo!$D:$D=A1628) * (Facturas_Odoo!$K:$K=I1628), Facturas_Odoo!$N:$N, 0), 0))</f>
        <v/>
      </c>
      <c r="V1628" s="79">
        <f>IF(Q1628="Sin Factura",0,IFERROR(_xlfn.XLOOKUP(1, (Facturas_Odoo!$D:$D=A1628) * (Facturas_Odoo!$K:$K=I1628), Facturas_Odoo!$O:$O, 0), 0))</f>
        <v/>
      </c>
      <c r="W1628" s="81">
        <f>IF(Q1628="Sin Factura",0,IFERROR(_xlfn.XLOOKUP(1, (Facturas_Odoo!$D:$D=A1628) * (Facturas_Odoo!$K:$K=I1628), Facturas_Odoo!$Q:$Q, 0), 0))</f>
        <v/>
      </c>
      <c r="X1628" s="79">
        <f>IF(OR(Q1628="Sin Factura",Q1628=""),"",IFERROR(INDEX(Pagos_Odoo!$B:$B, MATCH(Q1628, Pagos_Odoo!$I:$I, 0)), "Sin Pago"))</f>
        <v/>
      </c>
      <c r="Y1628" s="79">
        <f>IF(X1628="Sin Pago","",IFERROR(INDEX(Pagos_Odoo!$C:$C, MATCH(X1628, Pagos_Odoo!$B:$B, 0)), ""))</f>
        <v/>
      </c>
      <c r="Z1628" s="80">
        <f>IF(X1628="Sin Pago","",IFERROR(INDEX(Pagos_Odoo!$A:$A, MATCH(X1628, Pagos_Odoo!$B:$B, 0)), ""))</f>
        <v/>
      </c>
      <c r="AA1628" s="79">
        <f>IF(X1628="Sin Pago","",IFERROR(INDEX(Pagos_Odoo!$F:$F, MATCH(X1628, Pagos_Odoo!$B:$B, 0)), ""))</f>
        <v/>
      </c>
      <c r="AB1628" s="81">
        <f>IF(X1628="Sin Pago",0,IFERROR(INDEX(Pagos_Odoo!$E:$E, MATCH(X1628, Pagos_Odoo!$B:$B, 0)), 0))</f>
        <v/>
      </c>
      <c r="AC1628" s="79">
        <f>IF(X1628="Sin Pago","",IFERROR(INDEX(Pagos_Odoo!$G:$G, MATCH(X1628, Pagos_Odoo!$B:$B, 0)), ""))</f>
        <v/>
      </c>
      <c r="AD1628" s="82" t="n">
        <v>0</v>
      </c>
      <c r="AE1628" s="82" t="n"/>
      <c r="AF1628" s="82" t="n"/>
      <c r="AG1628" s="82">
        <f>IF(AN1628="","",AD1628+AE1628+AF1628)</f>
        <v/>
      </c>
      <c r="AH1628" s="81">
        <f>IF(AN1628="","",P1628*(1-AG1628))</f>
        <v/>
      </c>
      <c r="AI1628" s="81">
        <f>IF(AN1628="","",IF(Q1628="Sin Factura",0,IFERROR(INDEX(Facturas_Odoo!$H:$H, MATCH(Q1628, Facturas_Odoo!$B:$B, 0)), 0)*(1-AG1628)))</f>
        <v/>
      </c>
      <c r="AJ1628" s="81">
        <f>IF(AN1628="","",_xlfn.LET(idVenta, AN1628&amp;"",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28" s="81">
        <f>IF(AN1628="","",AH1628-AJ1628)</f>
        <v/>
      </c>
      <c r="AL1628" s="81">
        <f>IF(AN1628="","",IF(Q1628="Sin Factura","",AI1628-AJ1628))</f>
        <v/>
      </c>
      <c r="AM1628" s="81">
        <f>IF(AN1628="","",IF(Q1628="Sin Factura",0,P1628-IFERROR(INDEX(Facturas_Odoo!$H:$H, MATCH(Q1628, Facturas_Odoo!$B:$B, 0)), 0)))</f>
        <v/>
      </c>
      <c r="AN1628" s="79">
        <f>IF(AND(A1628="", J1628=""), "", IF(A1628&lt;&gt;"", VALUE(MID(A1628,2,LEN(A1628))), AN1627))</f>
        <v/>
      </c>
      <c r="AO1628" s="79">
        <f>IF(AN1628="","",IF(AD1628=0,"OK",_xlfn.LET(monedaPago, IF(AA1628="","USD",AA1628), limitePermitido, IFERROR(VLOOKUP(monedaPago, Configuración!$A$2:$B$3, 2, FALSE), 0.15), IF(AD1628&gt;limitePermitido, "ALERTA: EXCESO (" &amp; TEXT(limitePermitido, "0%") &amp; " máx)", "OK"))))</f>
        <v/>
      </c>
      <c r="AP1628" s="79">
        <f>IF(AN1628="","",IF(AE1628=0,"OK",_xlfn.LET(fechaPago, Z1628, fechaFactura, R1628, diasCredito, IF(E1628="Pago inmediato", 0, IFERROR(VALUE(MID(E1628, 1, SEARCH(" ", E1628)-1)),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28" s="79">
        <f>IF(AN1628="","",IF(AND(N1628&gt;0, AG1628&gt;0), IF(Configuración!$K$2="NO", "ALERTA: DESCUENTO DOBLE NO PERMITIDO", "OK"), "OK"))</f>
        <v/>
      </c>
      <c r="AR1628" s="79">
        <f>IF(AN1628="","",IF(OR(AO1628&lt;&gt;"OK", AP1628&lt;&gt;"OK", AQ1628&lt;&gt;"OK"), "⚠️ REVISAR", "OK"))</f>
        <v/>
      </c>
    </row>
    <row r="1629">
      <c r="A1629" s="79">
        <f>IF('Ordenes_Odoo'!A1629="","",'Ordenes_Odoo'!A1629)</f>
        <v/>
      </c>
      <c r="B1629" s="80">
        <f>IF('Ordenes_Odoo'!B1629="","",'Ordenes_Odoo'!B1629)</f>
        <v/>
      </c>
      <c r="C1629" s="79">
        <f>IF('Ordenes_Odoo'!C1629="","",'Ordenes_Odoo'!C1629)</f>
        <v/>
      </c>
      <c r="D1629" s="79">
        <f>IF('Ordenes_Odoo'!D1629="","",'Ordenes_Odoo'!D1629)</f>
        <v/>
      </c>
      <c r="E1629" s="79">
        <f>IF('Ordenes_Odoo'!E1629="","",'Ordenes_Odoo'!E1629)</f>
        <v/>
      </c>
      <c r="F1629" s="79">
        <f>IF('Ordenes_Odoo'!F1629="","",'Ordenes_Odoo'!F1629)</f>
        <v/>
      </c>
      <c r="G1629" s="79">
        <f>IF('Ordenes_Odoo'!G1629="","",'Ordenes_Odoo'!G1629)</f>
        <v/>
      </c>
      <c r="H1629" s="79">
        <f>IF('Ordenes_Odoo'!H1629="","",'Ordenes_Odoo'!H1629)</f>
        <v/>
      </c>
      <c r="I1629" s="79">
        <f>IF('Ordenes_Odoo'!I1629="","",'Ordenes_Odoo'!I1629)</f>
        <v/>
      </c>
      <c r="J1629" s="79">
        <f>IF('Ordenes_Odoo'!J1629="","",'Ordenes_Odoo'!J1629)</f>
        <v/>
      </c>
      <c r="K1629" s="81">
        <f>IF('Ordenes_Odoo'!K1629="","",'Ordenes_Odoo'!K1629)</f>
        <v/>
      </c>
      <c r="L1629" s="81">
        <f>IF('Ordenes_Odoo'!L1629="","",'Ordenes_Odoo'!L1629)</f>
        <v/>
      </c>
      <c r="M1629" s="79">
        <f>IF('Ordenes_Odoo'!M1629="","",'Ordenes_Odoo'!M1629)</f>
        <v/>
      </c>
      <c r="N1629" s="79">
        <f>IF('Ordenes_Odoo'!N1629="","",'Ordenes_Odoo'!N1629)</f>
        <v/>
      </c>
      <c r="O1629" s="81">
        <f>IF('Ordenes_Odoo'!O1629="","",'Ordenes_Odoo'!O1629)</f>
        <v/>
      </c>
      <c r="P1629" s="81">
        <f>IF('Ordenes_Odoo'!P1629="","",'Ordenes_Odoo'!P1629)</f>
        <v/>
      </c>
      <c r="Q1629" s="79">
        <f>IF(A1629="","",IFERROR(INDEX(Facturas_Odoo!$B:$B, MATCH(A1629, Facturas_Odoo!$D:$D, 0)), "Sin Factura"))</f>
        <v/>
      </c>
      <c r="R1629" s="80">
        <f>IF(Q1629="Sin Factura","",IFERROR(INDEX(Facturas_Odoo!$A:$A, MATCH(Q1629, Facturas_Odoo!$B:$B, 0)), ""))</f>
        <v/>
      </c>
      <c r="S1629" s="79">
        <f>IF(Q1629="Sin Factura","",IFERROR(_xlfn.XLOOKUP(1, (Facturas_Odoo!$D:$D=A1629) * (Facturas_Odoo!$K:$K=I1629), Facturas_Odoo!$L:$L, ""), ""))</f>
        <v/>
      </c>
      <c r="T1629" s="81">
        <f>IF(Q1629="Sin Factura",0,IFERROR(_xlfn.XLOOKUP(1, (Facturas_Odoo!$D:$D=A1629) * (Facturas_Odoo!$K:$K=I1629), Facturas_Odoo!$M:$M, 0), 0))</f>
        <v/>
      </c>
      <c r="U1629" s="79">
        <f>IF(Q1629="Sin Factura",0,IFERROR(_xlfn.XLOOKUP(1, (Facturas_Odoo!$D:$D=A1629) * (Facturas_Odoo!$K:$K=I1629), Facturas_Odoo!$N:$N, 0), 0))</f>
        <v/>
      </c>
      <c r="V1629" s="79">
        <f>IF(Q1629="Sin Factura",0,IFERROR(_xlfn.XLOOKUP(1, (Facturas_Odoo!$D:$D=A1629) * (Facturas_Odoo!$K:$K=I1629), Facturas_Odoo!$O:$O, 0), 0))</f>
        <v/>
      </c>
      <c r="W1629" s="81">
        <f>IF(Q1629="Sin Factura",0,IFERROR(_xlfn.XLOOKUP(1, (Facturas_Odoo!$D:$D=A1629) * (Facturas_Odoo!$K:$K=I1629), Facturas_Odoo!$Q:$Q, 0), 0))</f>
        <v/>
      </c>
      <c r="X1629" s="79">
        <f>IF(OR(Q1629="Sin Factura",Q1629=""),"",IFERROR(INDEX(Pagos_Odoo!$B:$B, MATCH(Q1629, Pagos_Odoo!$I:$I, 0)), "Sin Pago"))</f>
        <v/>
      </c>
      <c r="Y1629" s="79">
        <f>IF(X1629="Sin Pago","",IFERROR(INDEX(Pagos_Odoo!$C:$C, MATCH(X1629, Pagos_Odoo!$B:$B, 0)), ""))</f>
        <v/>
      </c>
      <c r="Z1629" s="80">
        <f>IF(X1629="Sin Pago","",IFERROR(INDEX(Pagos_Odoo!$A:$A, MATCH(X1629, Pagos_Odoo!$B:$B, 0)), ""))</f>
        <v/>
      </c>
      <c r="AA1629" s="79">
        <f>IF(X1629="Sin Pago","",IFERROR(INDEX(Pagos_Odoo!$F:$F, MATCH(X1629, Pagos_Odoo!$B:$B, 0)), ""))</f>
        <v/>
      </c>
      <c r="AB1629" s="81">
        <f>IF(X1629="Sin Pago",0,IFERROR(INDEX(Pagos_Odoo!$E:$E, MATCH(X1629, Pagos_Odoo!$B:$B, 0)), 0))</f>
        <v/>
      </c>
      <c r="AC1629" s="79">
        <f>IF(X1629="Sin Pago","",IFERROR(INDEX(Pagos_Odoo!$G:$G, MATCH(X1629, Pagos_Odoo!$B:$B, 0)), ""))</f>
        <v/>
      </c>
      <c r="AD1629" s="82" t="n">
        <v>0</v>
      </c>
      <c r="AE1629" s="82" t="n"/>
      <c r="AF1629" s="82" t="n"/>
      <c r="AG1629" s="82">
        <f>IF(AN1629="","",AD1629+AE1629+AF1629)</f>
        <v/>
      </c>
      <c r="AH1629" s="81">
        <f>IF(AN1629="","",P1629*(1-AG1629))</f>
        <v/>
      </c>
      <c r="AI1629" s="81">
        <f>IF(AN1629="","",IF(Q1629="Sin Factura",0,IFERROR(INDEX(Facturas_Odoo!$H:$H, MATCH(Q1629, Facturas_Odoo!$B:$B, 0)), 0)*(1-AG1629)))</f>
        <v/>
      </c>
      <c r="AJ1629" s="81">
        <f>IF(AN1629="","",_xlfn.LET(idVenta, AN1629&amp;"",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29" s="81">
        <f>IF(AN1629="","",AH1629-AJ1629)</f>
        <v/>
      </c>
      <c r="AL1629" s="81">
        <f>IF(AN1629="","",IF(Q1629="Sin Factura","",AI1629-AJ1629))</f>
        <v/>
      </c>
      <c r="AM1629" s="81">
        <f>IF(AN1629="","",IF(Q1629="Sin Factura",0,P1629-IFERROR(INDEX(Facturas_Odoo!$H:$H, MATCH(Q1629, Facturas_Odoo!$B:$B, 0)), 0)))</f>
        <v/>
      </c>
      <c r="AN1629" s="79">
        <f>IF(AND(A1629="", J1629=""), "", IF(A1629&lt;&gt;"", VALUE(MID(A1629,2,LEN(A1629))), AN1628))</f>
        <v/>
      </c>
      <c r="AO1629" s="79">
        <f>IF(AN1629="","",IF(AD1629=0,"OK",_xlfn.LET(monedaPago, IF(AA1629="","USD",AA1629), limitePermitido, IFERROR(VLOOKUP(monedaPago, Configuración!$A$2:$B$3, 2, FALSE), 0.15), IF(AD1629&gt;limitePermitido, "ALERTA: EXCESO (" &amp; TEXT(limitePermitido, "0%") &amp; " máx)", "OK"))))</f>
        <v/>
      </c>
      <c r="AP1629" s="79">
        <f>IF(AN1629="","",IF(AE1629=0,"OK",_xlfn.LET(fechaPago, Z1629, fechaFactura, R1629, diasCredito, IF(E1629="Pago inmediato", 0, IFERROR(VALUE(MID(E1629, 1, SEARCH(" ", E1629)-1)),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29" s="79">
        <f>IF(AN1629="","",IF(AND(N1629&gt;0, AG1629&gt;0), IF(Configuración!$K$2="NO", "ALERTA: DESCUENTO DOBLE NO PERMITIDO", "OK"), "OK"))</f>
        <v/>
      </c>
      <c r="AR1629" s="79">
        <f>IF(AN1629="","",IF(OR(AO1629&lt;&gt;"OK", AP1629&lt;&gt;"OK", AQ1629&lt;&gt;"OK"), "⚠️ REVISAR", "OK"))</f>
        <v/>
      </c>
    </row>
    <row r="1630">
      <c r="A1630" s="79">
        <f>IF('Ordenes_Odoo'!A1630="","",'Ordenes_Odoo'!A1630)</f>
        <v/>
      </c>
      <c r="B1630" s="80">
        <f>IF('Ordenes_Odoo'!B1630="","",'Ordenes_Odoo'!B1630)</f>
        <v/>
      </c>
      <c r="C1630" s="79">
        <f>IF('Ordenes_Odoo'!C1630="","",'Ordenes_Odoo'!C1630)</f>
        <v/>
      </c>
      <c r="D1630" s="79">
        <f>IF('Ordenes_Odoo'!D1630="","",'Ordenes_Odoo'!D1630)</f>
        <v/>
      </c>
      <c r="E1630" s="79">
        <f>IF('Ordenes_Odoo'!E1630="","",'Ordenes_Odoo'!E1630)</f>
        <v/>
      </c>
      <c r="F1630" s="79">
        <f>IF('Ordenes_Odoo'!F1630="","",'Ordenes_Odoo'!F1630)</f>
        <v/>
      </c>
      <c r="G1630" s="79">
        <f>IF('Ordenes_Odoo'!G1630="","",'Ordenes_Odoo'!G1630)</f>
        <v/>
      </c>
      <c r="H1630" s="79">
        <f>IF('Ordenes_Odoo'!H1630="","",'Ordenes_Odoo'!H1630)</f>
        <v/>
      </c>
      <c r="I1630" s="79">
        <f>IF('Ordenes_Odoo'!I1630="","",'Ordenes_Odoo'!I1630)</f>
        <v/>
      </c>
      <c r="J1630" s="79">
        <f>IF('Ordenes_Odoo'!J1630="","",'Ordenes_Odoo'!J1630)</f>
        <v/>
      </c>
      <c r="K1630" s="81">
        <f>IF('Ordenes_Odoo'!K1630="","",'Ordenes_Odoo'!K1630)</f>
        <v/>
      </c>
      <c r="L1630" s="81">
        <f>IF('Ordenes_Odoo'!L1630="","",'Ordenes_Odoo'!L1630)</f>
        <v/>
      </c>
      <c r="M1630" s="79">
        <f>IF('Ordenes_Odoo'!M1630="","",'Ordenes_Odoo'!M1630)</f>
        <v/>
      </c>
      <c r="N1630" s="79">
        <f>IF('Ordenes_Odoo'!N1630="","",'Ordenes_Odoo'!N1630)</f>
        <v/>
      </c>
      <c r="O1630" s="81">
        <f>IF('Ordenes_Odoo'!O1630="","",'Ordenes_Odoo'!O1630)</f>
        <v/>
      </c>
      <c r="P1630" s="81">
        <f>IF('Ordenes_Odoo'!P1630="","",'Ordenes_Odoo'!P1630)</f>
        <v/>
      </c>
      <c r="Q1630" s="79">
        <f>IF(A1630="","",IFERROR(INDEX(Facturas_Odoo!$B:$B, MATCH(A1630, Facturas_Odoo!$D:$D, 0)), "Sin Factura"))</f>
        <v/>
      </c>
      <c r="R1630" s="80">
        <f>IF(Q1630="Sin Factura","",IFERROR(INDEX(Facturas_Odoo!$A:$A, MATCH(Q1630, Facturas_Odoo!$B:$B, 0)), ""))</f>
        <v/>
      </c>
      <c r="S1630" s="79">
        <f>IF(Q1630="Sin Factura","",IFERROR(_xlfn.XLOOKUP(1, (Facturas_Odoo!$D:$D=A1630) * (Facturas_Odoo!$K:$K=I1630), Facturas_Odoo!$L:$L, ""), ""))</f>
        <v/>
      </c>
      <c r="T1630" s="81">
        <f>IF(Q1630="Sin Factura",0,IFERROR(_xlfn.XLOOKUP(1, (Facturas_Odoo!$D:$D=A1630) * (Facturas_Odoo!$K:$K=I1630), Facturas_Odoo!$M:$M, 0), 0))</f>
        <v/>
      </c>
      <c r="U1630" s="79">
        <f>IF(Q1630="Sin Factura",0,IFERROR(_xlfn.XLOOKUP(1, (Facturas_Odoo!$D:$D=A1630) * (Facturas_Odoo!$K:$K=I1630), Facturas_Odoo!$N:$N, 0), 0))</f>
        <v/>
      </c>
      <c r="V1630" s="79">
        <f>IF(Q1630="Sin Factura",0,IFERROR(_xlfn.XLOOKUP(1, (Facturas_Odoo!$D:$D=A1630) * (Facturas_Odoo!$K:$K=I1630), Facturas_Odoo!$O:$O, 0), 0))</f>
        <v/>
      </c>
      <c r="W1630" s="81">
        <f>IF(Q1630="Sin Factura",0,IFERROR(_xlfn.XLOOKUP(1, (Facturas_Odoo!$D:$D=A1630) * (Facturas_Odoo!$K:$K=I1630), Facturas_Odoo!$Q:$Q, 0), 0))</f>
        <v/>
      </c>
      <c r="X1630" s="79">
        <f>IF(OR(Q1630="Sin Factura",Q1630=""),"",IFERROR(INDEX(Pagos_Odoo!$B:$B, MATCH(Q1630, Pagos_Odoo!$I:$I, 0)), "Sin Pago"))</f>
        <v/>
      </c>
      <c r="Y1630" s="79">
        <f>IF(X1630="Sin Pago","",IFERROR(INDEX(Pagos_Odoo!$C:$C, MATCH(X1630, Pagos_Odoo!$B:$B, 0)), ""))</f>
        <v/>
      </c>
      <c r="Z1630" s="80">
        <f>IF(X1630="Sin Pago","",IFERROR(INDEX(Pagos_Odoo!$A:$A, MATCH(X1630, Pagos_Odoo!$B:$B, 0)), ""))</f>
        <v/>
      </c>
      <c r="AA1630" s="79">
        <f>IF(X1630="Sin Pago","",IFERROR(INDEX(Pagos_Odoo!$F:$F, MATCH(X1630, Pagos_Odoo!$B:$B, 0)), ""))</f>
        <v/>
      </c>
      <c r="AB1630" s="81">
        <f>IF(X1630="Sin Pago",0,IFERROR(INDEX(Pagos_Odoo!$E:$E, MATCH(X1630, Pagos_Odoo!$B:$B, 0)), 0))</f>
        <v/>
      </c>
      <c r="AC1630" s="79">
        <f>IF(X1630="Sin Pago","",IFERROR(INDEX(Pagos_Odoo!$G:$G, MATCH(X1630, Pagos_Odoo!$B:$B, 0)), ""))</f>
        <v/>
      </c>
      <c r="AD1630" s="82" t="n">
        <v>0</v>
      </c>
      <c r="AE1630" s="82" t="n"/>
      <c r="AF1630" s="82" t="n"/>
      <c r="AG1630" s="82">
        <f>IF(AN1630="","",AD1630+AE1630+AF1630)</f>
        <v/>
      </c>
      <c r="AH1630" s="81">
        <f>IF(AN1630="","",P1630*(1-AG1630))</f>
        <v/>
      </c>
      <c r="AI1630" s="81">
        <f>IF(AN1630="","",IF(Q1630="Sin Factura",0,IFERROR(INDEX(Facturas_Odoo!$H:$H, MATCH(Q1630, Facturas_Odoo!$B:$B, 0)), 0)*(1-AG1630)))</f>
        <v/>
      </c>
      <c r="AJ1630" s="81">
        <f>IF(AN1630="","",_xlfn.LET(idVenta, AN1630&amp;"",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30" s="81">
        <f>IF(AN1630="","",AH1630-AJ1630)</f>
        <v/>
      </c>
      <c r="AL1630" s="81">
        <f>IF(AN1630="","",IF(Q1630="Sin Factura","",AI1630-AJ1630))</f>
        <v/>
      </c>
      <c r="AM1630" s="81">
        <f>IF(AN1630="","",IF(Q1630="Sin Factura",0,P1630-IFERROR(INDEX(Facturas_Odoo!$H:$H, MATCH(Q1630, Facturas_Odoo!$B:$B, 0)), 0)))</f>
        <v/>
      </c>
      <c r="AN1630" s="79">
        <f>IF(AND(A1630="", J1630=""), "", IF(A1630&lt;&gt;"", VALUE(MID(A1630,2,LEN(A1630))), AN1629))</f>
        <v/>
      </c>
      <c r="AO1630" s="79">
        <f>IF(AN1630="","",IF(AD1630=0,"OK",_xlfn.LET(monedaPago, IF(AA1630="","USD",AA1630), limitePermitido, IFERROR(VLOOKUP(monedaPago, Configuración!$A$2:$B$3, 2, FALSE), 0.15), IF(AD1630&gt;limitePermitido, "ALERTA: EXCESO (" &amp; TEXT(limitePermitido, "0%") &amp; " máx)", "OK"))))</f>
        <v/>
      </c>
      <c r="AP1630" s="79">
        <f>IF(AN1630="","",IF(AE1630=0,"OK",_xlfn.LET(fechaPago, Z1630, fechaFactura, R1630, diasCredito, IF(E1630="Pago inmediato", 0, IFERROR(VALUE(MID(E1630, 1, SEARCH(" ", E1630)-1)),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30" s="79">
        <f>IF(AN1630="","",IF(AND(N1630&gt;0, AG1630&gt;0), IF(Configuración!$K$2="NO", "ALERTA: DESCUENTO DOBLE NO PERMITIDO", "OK"), "OK"))</f>
        <v/>
      </c>
      <c r="AR1630" s="79">
        <f>IF(AN1630="","",IF(OR(AO1630&lt;&gt;"OK", AP1630&lt;&gt;"OK", AQ1630&lt;&gt;"OK"), "⚠️ REVISAR", "OK"))</f>
        <v/>
      </c>
    </row>
    <row r="1631">
      <c r="A1631" s="79">
        <f>IF('Ordenes_Odoo'!A1631="","",'Ordenes_Odoo'!A1631)</f>
        <v/>
      </c>
      <c r="B1631" s="80">
        <f>IF('Ordenes_Odoo'!B1631="","",'Ordenes_Odoo'!B1631)</f>
        <v/>
      </c>
      <c r="C1631" s="79">
        <f>IF('Ordenes_Odoo'!C1631="","",'Ordenes_Odoo'!C1631)</f>
        <v/>
      </c>
      <c r="D1631" s="79">
        <f>IF('Ordenes_Odoo'!D1631="","",'Ordenes_Odoo'!D1631)</f>
        <v/>
      </c>
      <c r="E1631" s="79">
        <f>IF('Ordenes_Odoo'!E1631="","",'Ordenes_Odoo'!E1631)</f>
        <v/>
      </c>
      <c r="F1631" s="79">
        <f>IF('Ordenes_Odoo'!F1631="","",'Ordenes_Odoo'!F1631)</f>
        <v/>
      </c>
      <c r="G1631" s="79">
        <f>IF('Ordenes_Odoo'!G1631="","",'Ordenes_Odoo'!G1631)</f>
        <v/>
      </c>
      <c r="H1631" s="79">
        <f>IF('Ordenes_Odoo'!H1631="","",'Ordenes_Odoo'!H1631)</f>
        <v/>
      </c>
      <c r="I1631" s="79">
        <f>IF('Ordenes_Odoo'!I1631="","",'Ordenes_Odoo'!I1631)</f>
        <v/>
      </c>
      <c r="J1631" s="79">
        <f>IF('Ordenes_Odoo'!J1631="","",'Ordenes_Odoo'!J1631)</f>
        <v/>
      </c>
      <c r="K1631" s="81">
        <f>IF('Ordenes_Odoo'!K1631="","",'Ordenes_Odoo'!K1631)</f>
        <v/>
      </c>
      <c r="L1631" s="81">
        <f>IF('Ordenes_Odoo'!L1631="","",'Ordenes_Odoo'!L1631)</f>
        <v/>
      </c>
      <c r="M1631" s="79">
        <f>IF('Ordenes_Odoo'!M1631="","",'Ordenes_Odoo'!M1631)</f>
        <v/>
      </c>
      <c r="N1631" s="79">
        <f>IF('Ordenes_Odoo'!N1631="","",'Ordenes_Odoo'!N1631)</f>
        <v/>
      </c>
      <c r="O1631" s="81">
        <f>IF('Ordenes_Odoo'!O1631="","",'Ordenes_Odoo'!O1631)</f>
        <v/>
      </c>
      <c r="P1631" s="81">
        <f>IF('Ordenes_Odoo'!P1631="","",'Ordenes_Odoo'!P1631)</f>
        <v/>
      </c>
      <c r="Q1631" s="79">
        <f>IF(A1631="","",IFERROR(INDEX(Facturas_Odoo!$B:$B, MATCH(A1631, Facturas_Odoo!$D:$D, 0)), "Sin Factura"))</f>
        <v/>
      </c>
      <c r="R1631" s="80">
        <f>IF(Q1631="Sin Factura","",IFERROR(INDEX(Facturas_Odoo!$A:$A, MATCH(Q1631, Facturas_Odoo!$B:$B, 0)), ""))</f>
        <v/>
      </c>
      <c r="S1631" s="79">
        <f>IF(Q1631="Sin Factura","",IFERROR(_xlfn.XLOOKUP(1, (Facturas_Odoo!$D:$D=A1631) * (Facturas_Odoo!$K:$K=I1631), Facturas_Odoo!$L:$L, ""), ""))</f>
        <v/>
      </c>
      <c r="T1631" s="81">
        <f>IF(Q1631="Sin Factura",0,IFERROR(_xlfn.XLOOKUP(1, (Facturas_Odoo!$D:$D=A1631) * (Facturas_Odoo!$K:$K=I1631), Facturas_Odoo!$M:$M, 0), 0))</f>
        <v/>
      </c>
      <c r="U1631" s="79">
        <f>IF(Q1631="Sin Factura",0,IFERROR(_xlfn.XLOOKUP(1, (Facturas_Odoo!$D:$D=A1631) * (Facturas_Odoo!$K:$K=I1631), Facturas_Odoo!$N:$N, 0), 0))</f>
        <v/>
      </c>
      <c r="V1631" s="79">
        <f>IF(Q1631="Sin Factura",0,IFERROR(_xlfn.XLOOKUP(1, (Facturas_Odoo!$D:$D=A1631) * (Facturas_Odoo!$K:$K=I1631), Facturas_Odoo!$O:$O, 0), 0))</f>
        <v/>
      </c>
      <c r="W1631" s="81">
        <f>IF(Q1631="Sin Factura",0,IFERROR(_xlfn.XLOOKUP(1, (Facturas_Odoo!$D:$D=A1631) * (Facturas_Odoo!$K:$K=I1631), Facturas_Odoo!$Q:$Q, 0), 0))</f>
        <v/>
      </c>
      <c r="X1631" s="79">
        <f>IF(OR(Q1631="Sin Factura",Q1631=""),"",IFERROR(INDEX(Pagos_Odoo!$B:$B, MATCH(Q1631, Pagos_Odoo!$I:$I, 0)), "Sin Pago"))</f>
        <v/>
      </c>
      <c r="Y1631" s="79">
        <f>IF(X1631="Sin Pago","",IFERROR(INDEX(Pagos_Odoo!$C:$C, MATCH(X1631, Pagos_Odoo!$B:$B, 0)), ""))</f>
        <v/>
      </c>
      <c r="Z1631" s="80">
        <f>IF(X1631="Sin Pago","",IFERROR(INDEX(Pagos_Odoo!$A:$A, MATCH(X1631, Pagos_Odoo!$B:$B, 0)), ""))</f>
        <v/>
      </c>
      <c r="AA1631" s="79">
        <f>IF(X1631="Sin Pago","",IFERROR(INDEX(Pagos_Odoo!$F:$F, MATCH(X1631, Pagos_Odoo!$B:$B, 0)), ""))</f>
        <v/>
      </c>
      <c r="AB1631" s="81">
        <f>IF(X1631="Sin Pago",0,IFERROR(INDEX(Pagos_Odoo!$E:$E, MATCH(X1631, Pagos_Odoo!$B:$B, 0)), 0))</f>
        <v/>
      </c>
      <c r="AC1631" s="79">
        <f>IF(X1631="Sin Pago","",IFERROR(INDEX(Pagos_Odoo!$G:$G, MATCH(X1631, Pagos_Odoo!$B:$B, 0)), ""))</f>
        <v/>
      </c>
      <c r="AD1631" s="82" t="n">
        <v>0</v>
      </c>
      <c r="AE1631" s="82" t="n"/>
      <c r="AF1631" s="82" t="n"/>
      <c r="AG1631" s="82">
        <f>IF(AN1631="","",AD1631+AE1631+AF1631)</f>
        <v/>
      </c>
      <c r="AH1631" s="81">
        <f>IF(AN1631="","",P1631*(1-AG1631))</f>
        <v/>
      </c>
      <c r="AI1631" s="81">
        <f>IF(AN1631="","",IF(Q1631="Sin Factura",0,IFERROR(INDEX(Facturas_Odoo!$H:$H, MATCH(Q1631, Facturas_Odoo!$B:$B, 0)), 0)*(1-AG1631)))</f>
        <v/>
      </c>
      <c r="AJ1631" s="81">
        <f>IF(AN1631="","",_xlfn.LET(idVenta, AN1631&amp;"",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31" s="81">
        <f>IF(AN1631="","",AH1631-AJ1631)</f>
        <v/>
      </c>
      <c r="AL1631" s="81">
        <f>IF(AN1631="","",IF(Q1631="Sin Factura","",AI1631-AJ1631))</f>
        <v/>
      </c>
      <c r="AM1631" s="81">
        <f>IF(AN1631="","",IF(Q1631="Sin Factura",0,P1631-IFERROR(INDEX(Facturas_Odoo!$H:$H, MATCH(Q1631, Facturas_Odoo!$B:$B, 0)), 0)))</f>
        <v/>
      </c>
      <c r="AN1631" s="79">
        <f>IF(AND(A1631="", J1631=""), "", IF(A1631&lt;&gt;"", VALUE(MID(A1631,2,LEN(A1631))), AN1630))</f>
        <v/>
      </c>
      <c r="AO1631" s="79">
        <f>IF(AN1631="","",IF(AD1631=0,"OK",_xlfn.LET(monedaPago, IF(AA1631="","USD",AA1631), limitePermitido, IFERROR(VLOOKUP(monedaPago, Configuración!$A$2:$B$3, 2, FALSE), 0.15), IF(AD1631&gt;limitePermitido, "ALERTA: EXCESO (" &amp; TEXT(limitePermitido, "0%") &amp; " máx)", "OK"))))</f>
        <v/>
      </c>
      <c r="AP1631" s="79">
        <f>IF(AN1631="","",IF(AE1631=0,"OK",_xlfn.LET(fechaPago, Z1631, fechaFactura, R1631, diasCredito, IF(E1631="Pago inmediato", 0, IFERROR(VALUE(MID(E1631, 1, SEARCH(" ", E1631)-1)),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31" s="79">
        <f>IF(AN1631="","",IF(AND(N1631&gt;0, AG1631&gt;0), IF(Configuración!$K$2="NO", "ALERTA: DESCUENTO DOBLE NO PERMITIDO", "OK"), "OK"))</f>
        <v/>
      </c>
      <c r="AR1631" s="79">
        <f>IF(AN1631="","",IF(OR(AO1631&lt;&gt;"OK", AP1631&lt;&gt;"OK", AQ1631&lt;&gt;"OK"), "⚠️ REVISAR", "OK"))</f>
        <v/>
      </c>
    </row>
    <row r="1632">
      <c r="A1632" s="79">
        <f>IF('Ordenes_Odoo'!A1632="","",'Ordenes_Odoo'!A1632)</f>
        <v/>
      </c>
      <c r="B1632" s="80">
        <f>IF('Ordenes_Odoo'!B1632="","",'Ordenes_Odoo'!B1632)</f>
        <v/>
      </c>
      <c r="C1632" s="79">
        <f>IF('Ordenes_Odoo'!C1632="","",'Ordenes_Odoo'!C1632)</f>
        <v/>
      </c>
      <c r="D1632" s="79">
        <f>IF('Ordenes_Odoo'!D1632="","",'Ordenes_Odoo'!D1632)</f>
        <v/>
      </c>
      <c r="E1632" s="79">
        <f>IF('Ordenes_Odoo'!E1632="","",'Ordenes_Odoo'!E1632)</f>
        <v/>
      </c>
      <c r="F1632" s="79">
        <f>IF('Ordenes_Odoo'!F1632="","",'Ordenes_Odoo'!F1632)</f>
        <v/>
      </c>
      <c r="G1632" s="79">
        <f>IF('Ordenes_Odoo'!G1632="","",'Ordenes_Odoo'!G1632)</f>
        <v/>
      </c>
      <c r="H1632" s="79">
        <f>IF('Ordenes_Odoo'!H1632="","",'Ordenes_Odoo'!H1632)</f>
        <v/>
      </c>
      <c r="I1632" s="79">
        <f>IF('Ordenes_Odoo'!I1632="","",'Ordenes_Odoo'!I1632)</f>
        <v/>
      </c>
      <c r="J1632" s="79">
        <f>IF('Ordenes_Odoo'!J1632="","",'Ordenes_Odoo'!J1632)</f>
        <v/>
      </c>
      <c r="K1632" s="81">
        <f>IF('Ordenes_Odoo'!K1632="","",'Ordenes_Odoo'!K1632)</f>
        <v/>
      </c>
      <c r="L1632" s="81">
        <f>IF('Ordenes_Odoo'!L1632="","",'Ordenes_Odoo'!L1632)</f>
        <v/>
      </c>
      <c r="M1632" s="79">
        <f>IF('Ordenes_Odoo'!M1632="","",'Ordenes_Odoo'!M1632)</f>
        <v/>
      </c>
      <c r="N1632" s="79">
        <f>IF('Ordenes_Odoo'!N1632="","",'Ordenes_Odoo'!N1632)</f>
        <v/>
      </c>
      <c r="O1632" s="81">
        <f>IF('Ordenes_Odoo'!O1632="","",'Ordenes_Odoo'!O1632)</f>
        <v/>
      </c>
      <c r="P1632" s="81">
        <f>IF('Ordenes_Odoo'!P1632="","",'Ordenes_Odoo'!P1632)</f>
        <v/>
      </c>
      <c r="Q1632" s="79">
        <f>IF(A1632="","",IFERROR(INDEX(Facturas_Odoo!$B:$B, MATCH(A1632, Facturas_Odoo!$D:$D, 0)), "Sin Factura"))</f>
        <v/>
      </c>
      <c r="R1632" s="80">
        <f>IF(Q1632="Sin Factura","",IFERROR(INDEX(Facturas_Odoo!$A:$A, MATCH(Q1632, Facturas_Odoo!$B:$B, 0)), ""))</f>
        <v/>
      </c>
      <c r="S1632" s="79">
        <f>IF(Q1632="Sin Factura","",IFERROR(_xlfn.XLOOKUP(1, (Facturas_Odoo!$D:$D=A1632) * (Facturas_Odoo!$K:$K=I1632), Facturas_Odoo!$L:$L, ""), ""))</f>
        <v/>
      </c>
      <c r="T1632" s="81">
        <f>IF(Q1632="Sin Factura",0,IFERROR(_xlfn.XLOOKUP(1, (Facturas_Odoo!$D:$D=A1632) * (Facturas_Odoo!$K:$K=I1632), Facturas_Odoo!$M:$M, 0), 0))</f>
        <v/>
      </c>
      <c r="U1632" s="79">
        <f>IF(Q1632="Sin Factura",0,IFERROR(_xlfn.XLOOKUP(1, (Facturas_Odoo!$D:$D=A1632) * (Facturas_Odoo!$K:$K=I1632), Facturas_Odoo!$N:$N, 0), 0))</f>
        <v/>
      </c>
      <c r="V1632" s="79">
        <f>IF(Q1632="Sin Factura",0,IFERROR(_xlfn.XLOOKUP(1, (Facturas_Odoo!$D:$D=A1632) * (Facturas_Odoo!$K:$K=I1632), Facturas_Odoo!$O:$O, 0), 0))</f>
        <v/>
      </c>
      <c r="W1632" s="81">
        <f>IF(Q1632="Sin Factura",0,IFERROR(_xlfn.XLOOKUP(1, (Facturas_Odoo!$D:$D=A1632) * (Facturas_Odoo!$K:$K=I1632), Facturas_Odoo!$Q:$Q, 0), 0))</f>
        <v/>
      </c>
      <c r="X1632" s="79">
        <f>IF(OR(Q1632="Sin Factura",Q1632=""),"",IFERROR(INDEX(Pagos_Odoo!$B:$B, MATCH(Q1632, Pagos_Odoo!$I:$I, 0)), "Sin Pago"))</f>
        <v/>
      </c>
      <c r="Y1632" s="79">
        <f>IF(X1632="Sin Pago","",IFERROR(INDEX(Pagos_Odoo!$C:$C, MATCH(X1632, Pagos_Odoo!$B:$B, 0)), ""))</f>
        <v/>
      </c>
      <c r="Z1632" s="80">
        <f>IF(X1632="Sin Pago","",IFERROR(INDEX(Pagos_Odoo!$A:$A, MATCH(X1632, Pagos_Odoo!$B:$B, 0)), ""))</f>
        <v/>
      </c>
      <c r="AA1632" s="79">
        <f>IF(X1632="Sin Pago","",IFERROR(INDEX(Pagos_Odoo!$F:$F, MATCH(X1632, Pagos_Odoo!$B:$B, 0)), ""))</f>
        <v/>
      </c>
      <c r="AB1632" s="81">
        <f>IF(X1632="Sin Pago",0,IFERROR(INDEX(Pagos_Odoo!$E:$E, MATCH(X1632, Pagos_Odoo!$B:$B, 0)), 0))</f>
        <v/>
      </c>
      <c r="AC1632" s="79">
        <f>IF(X1632="Sin Pago","",IFERROR(INDEX(Pagos_Odoo!$G:$G, MATCH(X1632, Pagos_Odoo!$B:$B, 0)), ""))</f>
        <v/>
      </c>
      <c r="AD1632" s="82" t="n">
        <v>0</v>
      </c>
      <c r="AE1632" s="82" t="n"/>
      <c r="AF1632" s="82" t="n"/>
      <c r="AG1632" s="82">
        <f>IF(AN1632="","",AD1632+AE1632+AF1632)</f>
        <v/>
      </c>
      <c r="AH1632" s="81">
        <f>IF(AN1632="","",P1632*(1-AG1632))</f>
        <v/>
      </c>
      <c r="AI1632" s="81">
        <f>IF(AN1632="","",IF(Q1632="Sin Factura",0,IFERROR(INDEX(Facturas_Odoo!$H:$H, MATCH(Q1632, Facturas_Odoo!$B:$B, 0)), 0)*(1-AG1632)))</f>
        <v/>
      </c>
      <c r="AJ1632" s="81">
        <f>IF(AN1632="","",_xlfn.LET(idVenta, AN1632&amp;"",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32" s="81">
        <f>IF(AN1632="","",AH1632-AJ1632)</f>
        <v/>
      </c>
      <c r="AL1632" s="81">
        <f>IF(AN1632="","",IF(Q1632="Sin Factura","",AI1632-AJ1632))</f>
        <v/>
      </c>
      <c r="AM1632" s="81">
        <f>IF(AN1632="","",IF(Q1632="Sin Factura",0,P1632-IFERROR(INDEX(Facturas_Odoo!$H:$H, MATCH(Q1632, Facturas_Odoo!$B:$B, 0)), 0)))</f>
        <v/>
      </c>
      <c r="AN1632" s="79">
        <f>IF(AND(A1632="", J1632=""), "", IF(A1632&lt;&gt;"", VALUE(MID(A1632,2,LEN(A1632))), AN1631))</f>
        <v/>
      </c>
      <c r="AO1632" s="79">
        <f>IF(AN1632="","",IF(AD1632=0,"OK",_xlfn.LET(monedaPago, IF(AA1632="","USD",AA1632), limitePermitido, IFERROR(VLOOKUP(monedaPago, Configuración!$A$2:$B$3, 2, FALSE), 0.15), IF(AD1632&gt;limitePermitido, "ALERTA: EXCESO (" &amp; TEXT(limitePermitido, "0%") &amp; " máx)", "OK"))))</f>
        <v/>
      </c>
      <c r="AP1632" s="79">
        <f>IF(AN1632="","",IF(AE1632=0,"OK",_xlfn.LET(fechaPago, Z1632, fechaFactura, R1632, diasCredito, IF(E1632="Pago inmediato", 0, IFERROR(VALUE(MID(E1632, 1, SEARCH(" ", E1632)-1)),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32" s="79">
        <f>IF(AN1632="","",IF(AND(N1632&gt;0, AG1632&gt;0), IF(Configuración!$K$2="NO", "ALERTA: DESCUENTO DOBLE NO PERMITIDO", "OK"), "OK"))</f>
        <v/>
      </c>
      <c r="AR1632" s="79">
        <f>IF(AN1632="","",IF(OR(AO1632&lt;&gt;"OK", AP1632&lt;&gt;"OK", AQ1632&lt;&gt;"OK"), "⚠️ REVISAR", "OK"))</f>
        <v/>
      </c>
    </row>
    <row r="1633">
      <c r="A1633" s="79">
        <f>IF('Ordenes_Odoo'!A1633="","",'Ordenes_Odoo'!A1633)</f>
        <v/>
      </c>
      <c r="B1633" s="80">
        <f>IF('Ordenes_Odoo'!B1633="","",'Ordenes_Odoo'!B1633)</f>
        <v/>
      </c>
      <c r="C1633" s="79">
        <f>IF('Ordenes_Odoo'!C1633="","",'Ordenes_Odoo'!C1633)</f>
        <v/>
      </c>
      <c r="D1633" s="79">
        <f>IF('Ordenes_Odoo'!D1633="","",'Ordenes_Odoo'!D1633)</f>
        <v/>
      </c>
      <c r="E1633" s="79">
        <f>IF('Ordenes_Odoo'!E1633="","",'Ordenes_Odoo'!E1633)</f>
        <v/>
      </c>
      <c r="F1633" s="79">
        <f>IF('Ordenes_Odoo'!F1633="","",'Ordenes_Odoo'!F1633)</f>
        <v/>
      </c>
      <c r="G1633" s="79">
        <f>IF('Ordenes_Odoo'!G1633="","",'Ordenes_Odoo'!G1633)</f>
        <v/>
      </c>
      <c r="H1633" s="79">
        <f>IF('Ordenes_Odoo'!H1633="","",'Ordenes_Odoo'!H1633)</f>
        <v/>
      </c>
      <c r="I1633" s="79">
        <f>IF('Ordenes_Odoo'!I1633="","",'Ordenes_Odoo'!I1633)</f>
        <v/>
      </c>
      <c r="J1633" s="79">
        <f>IF('Ordenes_Odoo'!J1633="","",'Ordenes_Odoo'!J1633)</f>
        <v/>
      </c>
      <c r="K1633" s="81">
        <f>IF('Ordenes_Odoo'!K1633="","",'Ordenes_Odoo'!K1633)</f>
        <v/>
      </c>
      <c r="L1633" s="81">
        <f>IF('Ordenes_Odoo'!L1633="","",'Ordenes_Odoo'!L1633)</f>
        <v/>
      </c>
      <c r="M1633" s="79">
        <f>IF('Ordenes_Odoo'!M1633="","",'Ordenes_Odoo'!M1633)</f>
        <v/>
      </c>
      <c r="N1633" s="79">
        <f>IF('Ordenes_Odoo'!N1633="","",'Ordenes_Odoo'!N1633)</f>
        <v/>
      </c>
      <c r="O1633" s="81">
        <f>IF('Ordenes_Odoo'!O1633="","",'Ordenes_Odoo'!O1633)</f>
        <v/>
      </c>
      <c r="P1633" s="81">
        <f>IF('Ordenes_Odoo'!P1633="","",'Ordenes_Odoo'!P1633)</f>
        <v/>
      </c>
      <c r="Q1633" s="79">
        <f>IF(A1633="","",IFERROR(INDEX(Facturas_Odoo!$B:$B, MATCH(A1633, Facturas_Odoo!$D:$D, 0)), "Sin Factura"))</f>
        <v/>
      </c>
      <c r="R1633" s="80">
        <f>IF(Q1633="Sin Factura","",IFERROR(INDEX(Facturas_Odoo!$A:$A, MATCH(Q1633, Facturas_Odoo!$B:$B, 0)), ""))</f>
        <v/>
      </c>
      <c r="S1633" s="79">
        <f>IF(Q1633="Sin Factura","",IFERROR(_xlfn.XLOOKUP(1, (Facturas_Odoo!$D:$D=A1633) * (Facturas_Odoo!$K:$K=I1633), Facturas_Odoo!$L:$L, ""), ""))</f>
        <v/>
      </c>
      <c r="T1633" s="81">
        <f>IF(Q1633="Sin Factura",0,IFERROR(_xlfn.XLOOKUP(1, (Facturas_Odoo!$D:$D=A1633) * (Facturas_Odoo!$K:$K=I1633), Facturas_Odoo!$M:$M, 0), 0))</f>
        <v/>
      </c>
      <c r="U1633" s="79">
        <f>IF(Q1633="Sin Factura",0,IFERROR(_xlfn.XLOOKUP(1, (Facturas_Odoo!$D:$D=A1633) * (Facturas_Odoo!$K:$K=I1633), Facturas_Odoo!$N:$N, 0), 0))</f>
        <v/>
      </c>
      <c r="V1633" s="79">
        <f>IF(Q1633="Sin Factura",0,IFERROR(_xlfn.XLOOKUP(1, (Facturas_Odoo!$D:$D=A1633) * (Facturas_Odoo!$K:$K=I1633), Facturas_Odoo!$O:$O, 0), 0))</f>
        <v/>
      </c>
      <c r="W1633" s="81">
        <f>IF(Q1633="Sin Factura",0,IFERROR(_xlfn.XLOOKUP(1, (Facturas_Odoo!$D:$D=A1633) * (Facturas_Odoo!$K:$K=I1633), Facturas_Odoo!$Q:$Q, 0), 0))</f>
        <v/>
      </c>
      <c r="X1633" s="79">
        <f>IF(OR(Q1633="Sin Factura",Q1633=""),"",IFERROR(INDEX(Pagos_Odoo!$B:$B, MATCH(Q1633, Pagos_Odoo!$I:$I, 0)), "Sin Pago"))</f>
        <v/>
      </c>
      <c r="Y1633" s="79">
        <f>IF(X1633="Sin Pago","",IFERROR(INDEX(Pagos_Odoo!$C:$C, MATCH(X1633, Pagos_Odoo!$B:$B, 0)), ""))</f>
        <v/>
      </c>
      <c r="Z1633" s="80">
        <f>IF(X1633="Sin Pago","",IFERROR(INDEX(Pagos_Odoo!$A:$A, MATCH(X1633, Pagos_Odoo!$B:$B, 0)), ""))</f>
        <v/>
      </c>
      <c r="AA1633" s="79">
        <f>IF(X1633="Sin Pago","",IFERROR(INDEX(Pagos_Odoo!$F:$F, MATCH(X1633, Pagos_Odoo!$B:$B, 0)), ""))</f>
        <v/>
      </c>
      <c r="AB1633" s="81">
        <f>IF(X1633="Sin Pago",0,IFERROR(INDEX(Pagos_Odoo!$E:$E, MATCH(X1633, Pagos_Odoo!$B:$B, 0)), 0))</f>
        <v/>
      </c>
      <c r="AC1633" s="79">
        <f>IF(X1633="Sin Pago","",IFERROR(INDEX(Pagos_Odoo!$G:$G, MATCH(X1633, Pagos_Odoo!$B:$B, 0)), ""))</f>
        <v/>
      </c>
      <c r="AD1633" s="82" t="n">
        <v>0</v>
      </c>
      <c r="AE1633" s="82" t="n"/>
      <c r="AF1633" s="82" t="n"/>
      <c r="AG1633" s="82">
        <f>IF(AN1633="","",AD1633+AE1633+AF1633)</f>
        <v/>
      </c>
      <c r="AH1633" s="81">
        <f>IF(AN1633="","",P1633*(1-AG1633))</f>
        <v/>
      </c>
      <c r="AI1633" s="81">
        <f>IF(AN1633="","",IF(Q1633="Sin Factura",0,IFERROR(INDEX(Facturas_Odoo!$H:$H, MATCH(Q1633, Facturas_Odoo!$B:$B, 0)), 0)*(1-AG1633)))</f>
        <v/>
      </c>
      <c r="AJ1633" s="81">
        <f>IF(AN1633="","",_xlfn.LET(idVenta, AN1633&amp;"",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33" s="81">
        <f>IF(AN1633="","",AH1633-AJ1633)</f>
        <v/>
      </c>
      <c r="AL1633" s="81">
        <f>IF(AN1633="","",IF(Q1633="Sin Factura","",AI1633-AJ1633))</f>
        <v/>
      </c>
      <c r="AM1633" s="81">
        <f>IF(AN1633="","",IF(Q1633="Sin Factura",0,P1633-IFERROR(INDEX(Facturas_Odoo!$H:$H, MATCH(Q1633, Facturas_Odoo!$B:$B, 0)), 0)))</f>
        <v/>
      </c>
      <c r="AN1633" s="79">
        <f>IF(AND(A1633="", J1633=""), "", IF(A1633&lt;&gt;"", VALUE(MID(A1633,2,LEN(A1633))), AN1632))</f>
        <v/>
      </c>
      <c r="AO1633" s="79">
        <f>IF(AN1633="","",IF(AD1633=0,"OK",_xlfn.LET(monedaPago, IF(AA1633="","USD",AA1633), limitePermitido, IFERROR(VLOOKUP(monedaPago, Configuración!$A$2:$B$3, 2, FALSE), 0.15), IF(AD1633&gt;limitePermitido, "ALERTA: EXCESO (" &amp; TEXT(limitePermitido, "0%") &amp; " máx)", "OK"))))</f>
        <v/>
      </c>
      <c r="AP1633" s="79">
        <f>IF(AN1633="","",IF(AE1633=0,"OK",_xlfn.LET(fechaPago, Z1633, fechaFactura, R1633, diasCredito, IF(E1633="Pago inmediato", 0, IFERROR(VALUE(MID(E1633, 1, SEARCH(" ", E1633)-1)),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33" s="79">
        <f>IF(AN1633="","",IF(AND(N1633&gt;0, AG1633&gt;0), IF(Configuración!$K$2="NO", "ALERTA: DESCUENTO DOBLE NO PERMITIDO", "OK"), "OK"))</f>
        <v/>
      </c>
      <c r="AR1633" s="79">
        <f>IF(AN1633="","",IF(OR(AO1633&lt;&gt;"OK", AP1633&lt;&gt;"OK", AQ1633&lt;&gt;"OK"), "⚠️ REVISAR", "OK"))</f>
        <v/>
      </c>
    </row>
    <row r="1634">
      <c r="A1634" s="79">
        <f>IF('Ordenes_Odoo'!A1634="","",'Ordenes_Odoo'!A1634)</f>
        <v/>
      </c>
      <c r="B1634" s="80">
        <f>IF('Ordenes_Odoo'!B1634="","",'Ordenes_Odoo'!B1634)</f>
        <v/>
      </c>
      <c r="C1634" s="79">
        <f>IF('Ordenes_Odoo'!C1634="","",'Ordenes_Odoo'!C1634)</f>
        <v/>
      </c>
      <c r="D1634" s="79">
        <f>IF('Ordenes_Odoo'!D1634="","",'Ordenes_Odoo'!D1634)</f>
        <v/>
      </c>
      <c r="E1634" s="79">
        <f>IF('Ordenes_Odoo'!E1634="","",'Ordenes_Odoo'!E1634)</f>
        <v/>
      </c>
      <c r="F1634" s="79">
        <f>IF('Ordenes_Odoo'!F1634="","",'Ordenes_Odoo'!F1634)</f>
        <v/>
      </c>
      <c r="G1634" s="79">
        <f>IF('Ordenes_Odoo'!G1634="","",'Ordenes_Odoo'!G1634)</f>
        <v/>
      </c>
      <c r="H1634" s="79">
        <f>IF('Ordenes_Odoo'!H1634="","",'Ordenes_Odoo'!H1634)</f>
        <v/>
      </c>
      <c r="I1634" s="79">
        <f>IF('Ordenes_Odoo'!I1634="","",'Ordenes_Odoo'!I1634)</f>
        <v/>
      </c>
      <c r="J1634" s="79">
        <f>IF('Ordenes_Odoo'!J1634="","",'Ordenes_Odoo'!J1634)</f>
        <v/>
      </c>
      <c r="K1634" s="81">
        <f>IF('Ordenes_Odoo'!K1634="","",'Ordenes_Odoo'!K1634)</f>
        <v/>
      </c>
      <c r="L1634" s="81">
        <f>IF('Ordenes_Odoo'!L1634="","",'Ordenes_Odoo'!L1634)</f>
        <v/>
      </c>
      <c r="M1634" s="79">
        <f>IF('Ordenes_Odoo'!M1634="","",'Ordenes_Odoo'!M1634)</f>
        <v/>
      </c>
      <c r="N1634" s="79">
        <f>IF('Ordenes_Odoo'!N1634="","",'Ordenes_Odoo'!N1634)</f>
        <v/>
      </c>
      <c r="O1634" s="81">
        <f>IF('Ordenes_Odoo'!O1634="","",'Ordenes_Odoo'!O1634)</f>
        <v/>
      </c>
      <c r="P1634" s="81">
        <f>IF('Ordenes_Odoo'!P1634="","",'Ordenes_Odoo'!P1634)</f>
        <v/>
      </c>
      <c r="Q1634" s="79">
        <f>IF(A1634="","",IFERROR(INDEX(Facturas_Odoo!$B:$B, MATCH(A1634, Facturas_Odoo!$D:$D, 0)), "Sin Factura"))</f>
        <v/>
      </c>
      <c r="R1634" s="80">
        <f>IF(Q1634="Sin Factura","",IFERROR(INDEX(Facturas_Odoo!$A:$A, MATCH(Q1634, Facturas_Odoo!$B:$B, 0)), ""))</f>
        <v/>
      </c>
      <c r="S1634" s="79">
        <f>IF(Q1634="Sin Factura","",IFERROR(_xlfn.XLOOKUP(1, (Facturas_Odoo!$D:$D=A1634) * (Facturas_Odoo!$K:$K=I1634), Facturas_Odoo!$L:$L, ""), ""))</f>
        <v/>
      </c>
      <c r="T1634" s="81">
        <f>IF(Q1634="Sin Factura",0,IFERROR(_xlfn.XLOOKUP(1, (Facturas_Odoo!$D:$D=A1634) * (Facturas_Odoo!$K:$K=I1634), Facturas_Odoo!$M:$M, 0), 0))</f>
        <v/>
      </c>
      <c r="U1634" s="79">
        <f>IF(Q1634="Sin Factura",0,IFERROR(_xlfn.XLOOKUP(1, (Facturas_Odoo!$D:$D=A1634) * (Facturas_Odoo!$K:$K=I1634), Facturas_Odoo!$N:$N, 0), 0))</f>
        <v/>
      </c>
      <c r="V1634" s="79">
        <f>IF(Q1634="Sin Factura",0,IFERROR(_xlfn.XLOOKUP(1, (Facturas_Odoo!$D:$D=A1634) * (Facturas_Odoo!$K:$K=I1634), Facturas_Odoo!$O:$O, 0), 0))</f>
        <v/>
      </c>
      <c r="W1634" s="81">
        <f>IF(Q1634="Sin Factura",0,IFERROR(_xlfn.XLOOKUP(1, (Facturas_Odoo!$D:$D=A1634) * (Facturas_Odoo!$K:$K=I1634), Facturas_Odoo!$Q:$Q, 0), 0))</f>
        <v/>
      </c>
      <c r="X1634" s="79">
        <f>IF(OR(Q1634="Sin Factura",Q1634=""),"",IFERROR(INDEX(Pagos_Odoo!$B:$B, MATCH(Q1634, Pagos_Odoo!$I:$I, 0)), "Sin Pago"))</f>
        <v/>
      </c>
      <c r="Y1634" s="79">
        <f>IF(X1634="Sin Pago","",IFERROR(INDEX(Pagos_Odoo!$C:$C, MATCH(X1634, Pagos_Odoo!$B:$B, 0)), ""))</f>
        <v/>
      </c>
      <c r="Z1634" s="80">
        <f>IF(X1634="Sin Pago","",IFERROR(INDEX(Pagos_Odoo!$A:$A, MATCH(X1634, Pagos_Odoo!$B:$B, 0)), ""))</f>
        <v/>
      </c>
      <c r="AA1634" s="79">
        <f>IF(X1634="Sin Pago","",IFERROR(INDEX(Pagos_Odoo!$F:$F, MATCH(X1634, Pagos_Odoo!$B:$B, 0)), ""))</f>
        <v/>
      </c>
      <c r="AB1634" s="81">
        <f>IF(X1634="Sin Pago",0,IFERROR(INDEX(Pagos_Odoo!$E:$E, MATCH(X1634, Pagos_Odoo!$B:$B, 0)), 0))</f>
        <v/>
      </c>
      <c r="AC1634" s="79">
        <f>IF(X1634="Sin Pago","",IFERROR(INDEX(Pagos_Odoo!$G:$G, MATCH(X1634, Pagos_Odoo!$B:$B, 0)), ""))</f>
        <v/>
      </c>
      <c r="AD1634" s="82" t="n">
        <v>0</v>
      </c>
      <c r="AE1634" s="82" t="n"/>
      <c r="AF1634" s="82" t="n"/>
      <c r="AG1634" s="82">
        <f>IF(AN1634="","",AD1634+AE1634+AF1634)</f>
        <v/>
      </c>
      <c r="AH1634" s="81">
        <f>IF(AN1634="","",P1634*(1-AG1634))</f>
        <v/>
      </c>
      <c r="AI1634" s="81">
        <f>IF(AN1634="","",IF(Q1634="Sin Factura",0,IFERROR(INDEX(Facturas_Odoo!$H:$H, MATCH(Q1634, Facturas_Odoo!$B:$B, 0)), 0)*(1-AG1634)))</f>
        <v/>
      </c>
      <c r="AJ1634" s="81">
        <f>IF(AN1634="","",_xlfn.LET(idVenta, AN1634&amp;"",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34" s="81">
        <f>IF(AN1634="","",AH1634-AJ1634)</f>
        <v/>
      </c>
      <c r="AL1634" s="81">
        <f>IF(AN1634="","",IF(Q1634="Sin Factura","",AI1634-AJ1634))</f>
        <v/>
      </c>
      <c r="AM1634" s="81">
        <f>IF(AN1634="","",IF(Q1634="Sin Factura",0,P1634-IFERROR(INDEX(Facturas_Odoo!$H:$H, MATCH(Q1634, Facturas_Odoo!$B:$B, 0)), 0)))</f>
        <v/>
      </c>
      <c r="AN1634" s="79">
        <f>IF(AND(A1634="", J1634=""), "", IF(A1634&lt;&gt;"", VALUE(MID(A1634,2,LEN(A1634))), AN1633))</f>
        <v/>
      </c>
      <c r="AO1634" s="79">
        <f>IF(AN1634="","",IF(AD1634=0,"OK",_xlfn.LET(monedaPago, IF(AA1634="","USD",AA1634), limitePermitido, IFERROR(VLOOKUP(monedaPago, Configuración!$A$2:$B$3, 2, FALSE), 0.15), IF(AD1634&gt;limitePermitido, "ALERTA: EXCESO (" &amp; TEXT(limitePermitido, "0%") &amp; " máx)", "OK"))))</f>
        <v/>
      </c>
      <c r="AP1634" s="79">
        <f>IF(AN1634="","",IF(AE1634=0,"OK",_xlfn.LET(fechaPago, Z1634, fechaFactura, R1634, diasCredito, IF(E1634="Pago inmediato", 0, IFERROR(VALUE(MID(E1634, 1, SEARCH(" ", E1634)-1)),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34" s="79">
        <f>IF(AN1634="","",IF(AND(N1634&gt;0, AG1634&gt;0), IF(Configuración!$K$2="NO", "ALERTA: DESCUENTO DOBLE NO PERMITIDO", "OK"), "OK"))</f>
        <v/>
      </c>
      <c r="AR1634" s="79">
        <f>IF(AN1634="","",IF(OR(AO1634&lt;&gt;"OK", AP1634&lt;&gt;"OK", AQ1634&lt;&gt;"OK"), "⚠️ REVISAR", "OK"))</f>
        <v/>
      </c>
    </row>
    <row r="1635">
      <c r="A1635" s="79">
        <f>IF('Ordenes_Odoo'!A1635="","",'Ordenes_Odoo'!A1635)</f>
        <v/>
      </c>
      <c r="B1635" s="80">
        <f>IF('Ordenes_Odoo'!B1635="","",'Ordenes_Odoo'!B1635)</f>
        <v/>
      </c>
      <c r="C1635" s="79">
        <f>IF('Ordenes_Odoo'!C1635="","",'Ordenes_Odoo'!C1635)</f>
        <v/>
      </c>
      <c r="D1635" s="79">
        <f>IF('Ordenes_Odoo'!D1635="","",'Ordenes_Odoo'!D1635)</f>
        <v/>
      </c>
      <c r="E1635" s="79">
        <f>IF('Ordenes_Odoo'!E1635="","",'Ordenes_Odoo'!E1635)</f>
        <v/>
      </c>
      <c r="F1635" s="79">
        <f>IF('Ordenes_Odoo'!F1635="","",'Ordenes_Odoo'!F1635)</f>
        <v/>
      </c>
      <c r="G1635" s="79">
        <f>IF('Ordenes_Odoo'!G1635="","",'Ordenes_Odoo'!G1635)</f>
        <v/>
      </c>
      <c r="H1635" s="79">
        <f>IF('Ordenes_Odoo'!H1635="","",'Ordenes_Odoo'!H1635)</f>
        <v/>
      </c>
      <c r="I1635" s="79">
        <f>IF('Ordenes_Odoo'!I1635="","",'Ordenes_Odoo'!I1635)</f>
        <v/>
      </c>
      <c r="J1635" s="79">
        <f>IF('Ordenes_Odoo'!J1635="","",'Ordenes_Odoo'!J1635)</f>
        <v/>
      </c>
      <c r="K1635" s="81">
        <f>IF('Ordenes_Odoo'!K1635="","",'Ordenes_Odoo'!K1635)</f>
        <v/>
      </c>
      <c r="L1635" s="81">
        <f>IF('Ordenes_Odoo'!L1635="","",'Ordenes_Odoo'!L1635)</f>
        <v/>
      </c>
      <c r="M1635" s="79">
        <f>IF('Ordenes_Odoo'!M1635="","",'Ordenes_Odoo'!M1635)</f>
        <v/>
      </c>
      <c r="N1635" s="79">
        <f>IF('Ordenes_Odoo'!N1635="","",'Ordenes_Odoo'!N1635)</f>
        <v/>
      </c>
      <c r="O1635" s="81">
        <f>IF('Ordenes_Odoo'!O1635="","",'Ordenes_Odoo'!O1635)</f>
        <v/>
      </c>
      <c r="P1635" s="81">
        <f>IF('Ordenes_Odoo'!P1635="","",'Ordenes_Odoo'!P1635)</f>
        <v/>
      </c>
      <c r="Q1635" s="79">
        <f>IF(A1635="","",IFERROR(INDEX(Facturas_Odoo!$B:$B, MATCH(A1635, Facturas_Odoo!$D:$D, 0)), "Sin Factura"))</f>
        <v/>
      </c>
      <c r="R1635" s="80">
        <f>IF(Q1635="Sin Factura","",IFERROR(INDEX(Facturas_Odoo!$A:$A, MATCH(Q1635, Facturas_Odoo!$B:$B, 0)), ""))</f>
        <v/>
      </c>
      <c r="S1635" s="79">
        <f>IF(Q1635="Sin Factura","",IFERROR(_xlfn.XLOOKUP(1, (Facturas_Odoo!$D:$D=A1635) * (Facturas_Odoo!$K:$K=I1635), Facturas_Odoo!$L:$L, ""), ""))</f>
        <v/>
      </c>
      <c r="T1635" s="81">
        <f>IF(Q1635="Sin Factura",0,IFERROR(_xlfn.XLOOKUP(1, (Facturas_Odoo!$D:$D=A1635) * (Facturas_Odoo!$K:$K=I1635), Facturas_Odoo!$M:$M, 0), 0))</f>
        <v/>
      </c>
      <c r="U1635" s="79">
        <f>IF(Q1635="Sin Factura",0,IFERROR(_xlfn.XLOOKUP(1, (Facturas_Odoo!$D:$D=A1635) * (Facturas_Odoo!$K:$K=I1635), Facturas_Odoo!$N:$N, 0), 0))</f>
        <v/>
      </c>
      <c r="V1635" s="79">
        <f>IF(Q1635="Sin Factura",0,IFERROR(_xlfn.XLOOKUP(1, (Facturas_Odoo!$D:$D=A1635) * (Facturas_Odoo!$K:$K=I1635), Facturas_Odoo!$O:$O, 0), 0))</f>
        <v/>
      </c>
      <c r="W1635" s="81">
        <f>IF(Q1635="Sin Factura",0,IFERROR(_xlfn.XLOOKUP(1, (Facturas_Odoo!$D:$D=A1635) * (Facturas_Odoo!$K:$K=I1635), Facturas_Odoo!$Q:$Q, 0), 0))</f>
        <v/>
      </c>
      <c r="X1635" s="79">
        <f>IF(OR(Q1635="Sin Factura",Q1635=""),"",IFERROR(INDEX(Pagos_Odoo!$B:$B, MATCH(Q1635, Pagos_Odoo!$I:$I, 0)), "Sin Pago"))</f>
        <v/>
      </c>
      <c r="Y1635" s="79">
        <f>IF(X1635="Sin Pago","",IFERROR(INDEX(Pagos_Odoo!$C:$C, MATCH(X1635, Pagos_Odoo!$B:$B, 0)), ""))</f>
        <v/>
      </c>
      <c r="Z1635" s="80">
        <f>IF(X1635="Sin Pago","",IFERROR(INDEX(Pagos_Odoo!$A:$A, MATCH(X1635, Pagos_Odoo!$B:$B, 0)), ""))</f>
        <v/>
      </c>
      <c r="AA1635" s="79">
        <f>IF(X1635="Sin Pago","",IFERROR(INDEX(Pagos_Odoo!$F:$F, MATCH(X1635, Pagos_Odoo!$B:$B, 0)), ""))</f>
        <v/>
      </c>
      <c r="AB1635" s="81">
        <f>IF(X1635="Sin Pago",0,IFERROR(INDEX(Pagos_Odoo!$E:$E, MATCH(X1635, Pagos_Odoo!$B:$B, 0)), 0))</f>
        <v/>
      </c>
      <c r="AC1635" s="79">
        <f>IF(X1635="Sin Pago","",IFERROR(INDEX(Pagos_Odoo!$G:$G, MATCH(X1635, Pagos_Odoo!$B:$B, 0)), ""))</f>
        <v/>
      </c>
      <c r="AD1635" s="82" t="n">
        <v>0</v>
      </c>
      <c r="AE1635" s="82" t="n"/>
      <c r="AF1635" s="82" t="n"/>
      <c r="AG1635" s="82">
        <f>IF(AN1635="","",AD1635+AE1635+AF1635)</f>
        <v/>
      </c>
      <c r="AH1635" s="81">
        <f>IF(AN1635="","",P1635*(1-AG1635))</f>
        <v/>
      </c>
      <c r="AI1635" s="81">
        <f>IF(AN1635="","",IF(Q1635="Sin Factura",0,IFERROR(INDEX(Facturas_Odoo!$H:$H, MATCH(Q1635, Facturas_Odoo!$B:$B, 0)), 0)*(1-AG1635)))</f>
        <v/>
      </c>
      <c r="AJ1635" s="81">
        <f>IF(AN1635="","",_xlfn.LET(idVenta, AN1635&amp;"",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35" s="81">
        <f>IF(AN1635="","",AH1635-AJ1635)</f>
        <v/>
      </c>
      <c r="AL1635" s="81">
        <f>IF(AN1635="","",IF(Q1635="Sin Factura","",AI1635-AJ1635))</f>
        <v/>
      </c>
      <c r="AM1635" s="81">
        <f>IF(AN1635="","",IF(Q1635="Sin Factura",0,P1635-IFERROR(INDEX(Facturas_Odoo!$H:$H, MATCH(Q1635, Facturas_Odoo!$B:$B, 0)), 0)))</f>
        <v/>
      </c>
      <c r="AN1635" s="79">
        <f>IF(AND(A1635="", J1635=""), "", IF(A1635&lt;&gt;"", VALUE(MID(A1635,2,LEN(A1635))), AN1634))</f>
        <v/>
      </c>
      <c r="AO1635" s="79">
        <f>IF(AN1635="","",IF(AD1635=0,"OK",_xlfn.LET(monedaPago, IF(AA1635="","USD",AA1635), limitePermitido, IFERROR(VLOOKUP(monedaPago, Configuración!$A$2:$B$3, 2, FALSE), 0.15), IF(AD1635&gt;limitePermitido, "ALERTA: EXCESO (" &amp; TEXT(limitePermitido, "0%") &amp; " máx)", "OK"))))</f>
        <v/>
      </c>
      <c r="AP1635" s="79">
        <f>IF(AN1635="","",IF(AE1635=0,"OK",_xlfn.LET(fechaPago, Z1635, fechaFactura, R1635, diasCredito, IF(E1635="Pago inmediato", 0, IFERROR(VALUE(MID(E1635, 1, SEARCH(" ", E1635)-1)),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35" s="79">
        <f>IF(AN1635="","",IF(AND(N1635&gt;0, AG1635&gt;0), IF(Configuración!$K$2="NO", "ALERTA: DESCUENTO DOBLE NO PERMITIDO", "OK"), "OK"))</f>
        <v/>
      </c>
      <c r="AR1635" s="79">
        <f>IF(AN1635="","",IF(OR(AO1635&lt;&gt;"OK", AP1635&lt;&gt;"OK", AQ1635&lt;&gt;"OK"), "⚠️ REVISAR", "OK"))</f>
        <v/>
      </c>
    </row>
    <row r="1636">
      <c r="A1636" s="79">
        <f>IF('Ordenes_Odoo'!A1636="","",'Ordenes_Odoo'!A1636)</f>
        <v/>
      </c>
      <c r="B1636" s="80">
        <f>IF('Ordenes_Odoo'!B1636="","",'Ordenes_Odoo'!B1636)</f>
        <v/>
      </c>
      <c r="C1636" s="79">
        <f>IF('Ordenes_Odoo'!C1636="","",'Ordenes_Odoo'!C1636)</f>
        <v/>
      </c>
      <c r="D1636" s="79">
        <f>IF('Ordenes_Odoo'!D1636="","",'Ordenes_Odoo'!D1636)</f>
        <v/>
      </c>
      <c r="E1636" s="79">
        <f>IF('Ordenes_Odoo'!E1636="","",'Ordenes_Odoo'!E1636)</f>
        <v/>
      </c>
      <c r="F1636" s="79">
        <f>IF('Ordenes_Odoo'!F1636="","",'Ordenes_Odoo'!F1636)</f>
        <v/>
      </c>
      <c r="G1636" s="79">
        <f>IF('Ordenes_Odoo'!G1636="","",'Ordenes_Odoo'!G1636)</f>
        <v/>
      </c>
      <c r="H1636" s="79">
        <f>IF('Ordenes_Odoo'!H1636="","",'Ordenes_Odoo'!H1636)</f>
        <v/>
      </c>
      <c r="I1636" s="79">
        <f>IF('Ordenes_Odoo'!I1636="","",'Ordenes_Odoo'!I1636)</f>
        <v/>
      </c>
      <c r="J1636" s="79">
        <f>IF('Ordenes_Odoo'!J1636="","",'Ordenes_Odoo'!J1636)</f>
        <v/>
      </c>
      <c r="K1636" s="81">
        <f>IF('Ordenes_Odoo'!K1636="","",'Ordenes_Odoo'!K1636)</f>
        <v/>
      </c>
      <c r="L1636" s="81">
        <f>IF('Ordenes_Odoo'!L1636="","",'Ordenes_Odoo'!L1636)</f>
        <v/>
      </c>
      <c r="M1636" s="79">
        <f>IF('Ordenes_Odoo'!M1636="","",'Ordenes_Odoo'!M1636)</f>
        <v/>
      </c>
      <c r="N1636" s="79">
        <f>IF('Ordenes_Odoo'!N1636="","",'Ordenes_Odoo'!N1636)</f>
        <v/>
      </c>
      <c r="O1636" s="81">
        <f>IF('Ordenes_Odoo'!O1636="","",'Ordenes_Odoo'!O1636)</f>
        <v/>
      </c>
      <c r="P1636" s="81">
        <f>IF('Ordenes_Odoo'!P1636="","",'Ordenes_Odoo'!P1636)</f>
        <v/>
      </c>
      <c r="Q1636" s="79">
        <f>IF(A1636="","",IFERROR(INDEX(Facturas_Odoo!$B:$B, MATCH(A1636, Facturas_Odoo!$D:$D, 0)), "Sin Factura"))</f>
        <v/>
      </c>
      <c r="R1636" s="80">
        <f>IF(Q1636="Sin Factura","",IFERROR(INDEX(Facturas_Odoo!$A:$A, MATCH(Q1636, Facturas_Odoo!$B:$B, 0)), ""))</f>
        <v/>
      </c>
      <c r="S1636" s="79">
        <f>IF(Q1636="Sin Factura","",IFERROR(_xlfn.XLOOKUP(1, (Facturas_Odoo!$D:$D=A1636) * (Facturas_Odoo!$K:$K=I1636), Facturas_Odoo!$L:$L, ""), ""))</f>
        <v/>
      </c>
      <c r="T1636" s="81">
        <f>IF(Q1636="Sin Factura",0,IFERROR(_xlfn.XLOOKUP(1, (Facturas_Odoo!$D:$D=A1636) * (Facturas_Odoo!$K:$K=I1636), Facturas_Odoo!$M:$M, 0), 0))</f>
        <v/>
      </c>
      <c r="U1636" s="79">
        <f>IF(Q1636="Sin Factura",0,IFERROR(_xlfn.XLOOKUP(1, (Facturas_Odoo!$D:$D=A1636) * (Facturas_Odoo!$K:$K=I1636), Facturas_Odoo!$N:$N, 0), 0))</f>
        <v/>
      </c>
      <c r="V1636" s="79">
        <f>IF(Q1636="Sin Factura",0,IFERROR(_xlfn.XLOOKUP(1, (Facturas_Odoo!$D:$D=A1636) * (Facturas_Odoo!$K:$K=I1636), Facturas_Odoo!$O:$O, 0), 0))</f>
        <v/>
      </c>
      <c r="W1636" s="81">
        <f>IF(Q1636="Sin Factura",0,IFERROR(_xlfn.XLOOKUP(1, (Facturas_Odoo!$D:$D=A1636) * (Facturas_Odoo!$K:$K=I1636), Facturas_Odoo!$Q:$Q, 0), 0))</f>
        <v/>
      </c>
      <c r="X1636" s="79">
        <f>IF(OR(Q1636="Sin Factura",Q1636=""),"",IFERROR(INDEX(Pagos_Odoo!$B:$B, MATCH(Q1636, Pagos_Odoo!$I:$I, 0)), "Sin Pago"))</f>
        <v/>
      </c>
      <c r="Y1636" s="79">
        <f>IF(X1636="Sin Pago","",IFERROR(INDEX(Pagos_Odoo!$C:$C, MATCH(X1636, Pagos_Odoo!$B:$B, 0)), ""))</f>
        <v/>
      </c>
      <c r="Z1636" s="80">
        <f>IF(X1636="Sin Pago","",IFERROR(INDEX(Pagos_Odoo!$A:$A, MATCH(X1636, Pagos_Odoo!$B:$B, 0)), ""))</f>
        <v/>
      </c>
      <c r="AA1636" s="79">
        <f>IF(X1636="Sin Pago","",IFERROR(INDEX(Pagos_Odoo!$F:$F, MATCH(X1636, Pagos_Odoo!$B:$B, 0)), ""))</f>
        <v/>
      </c>
      <c r="AB1636" s="81">
        <f>IF(X1636="Sin Pago",0,IFERROR(INDEX(Pagos_Odoo!$E:$E, MATCH(X1636, Pagos_Odoo!$B:$B, 0)), 0))</f>
        <v/>
      </c>
      <c r="AC1636" s="79">
        <f>IF(X1636="Sin Pago","",IFERROR(INDEX(Pagos_Odoo!$G:$G, MATCH(X1636, Pagos_Odoo!$B:$B, 0)), ""))</f>
        <v/>
      </c>
      <c r="AD1636" s="82" t="n">
        <v>0</v>
      </c>
      <c r="AE1636" s="82" t="n"/>
      <c r="AF1636" s="82" t="n"/>
      <c r="AG1636" s="82">
        <f>IF(AN1636="","",AD1636+AE1636+AF1636)</f>
        <v/>
      </c>
      <c r="AH1636" s="81">
        <f>IF(AN1636="","",P1636*(1-AG1636))</f>
        <v/>
      </c>
      <c r="AI1636" s="81">
        <f>IF(AN1636="","",IF(Q1636="Sin Factura",0,IFERROR(INDEX(Facturas_Odoo!$H:$H, MATCH(Q1636, Facturas_Odoo!$B:$B, 0)), 0)*(1-AG1636)))</f>
        <v/>
      </c>
      <c r="AJ1636" s="81">
        <f>IF(AN1636="","",_xlfn.LET(idVenta, AN1636&amp;"",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36" s="81">
        <f>IF(AN1636="","",AH1636-AJ1636)</f>
        <v/>
      </c>
      <c r="AL1636" s="81">
        <f>IF(AN1636="","",IF(Q1636="Sin Factura","",AI1636-AJ1636))</f>
        <v/>
      </c>
      <c r="AM1636" s="81">
        <f>IF(AN1636="","",IF(Q1636="Sin Factura",0,P1636-IFERROR(INDEX(Facturas_Odoo!$H:$H, MATCH(Q1636, Facturas_Odoo!$B:$B, 0)), 0)))</f>
        <v/>
      </c>
      <c r="AN1636" s="79">
        <f>IF(AND(A1636="", J1636=""), "", IF(A1636&lt;&gt;"", VALUE(MID(A1636,2,LEN(A1636))), AN1635))</f>
        <v/>
      </c>
      <c r="AO1636" s="79">
        <f>IF(AN1636="","",IF(AD1636=0,"OK",_xlfn.LET(monedaPago, IF(AA1636="","USD",AA1636), limitePermitido, IFERROR(VLOOKUP(monedaPago, Configuración!$A$2:$B$3, 2, FALSE), 0.15), IF(AD1636&gt;limitePermitido, "ALERTA: EXCESO (" &amp; TEXT(limitePermitido, "0%") &amp; " máx)", "OK"))))</f>
        <v/>
      </c>
      <c r="AP1636" s="79">
        <f>IF(AN1636="","",IF(AE1636=0,"OK",_xlfn.LET(fechaPago, Z1636, fechaFactura, R1636, diasCredito, IF(E1636="Pago inmediato", 0, IFERROR(VALUE(MID(E1636, 1, SEARCH(" ", E1636)-1)),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36" s="79">
        <f>IF(AN1636="","",IF(AND(N1636&gt;0, AG1636&gt;0), IF(Configuración!$K$2="NO", "ALERTA: DESCUENTO DOBLE NO PERMITIDO", "OK"), "OK"))</f>
        <v/>
      </c>
      <c r="AR1636" s="79">
        <f>IF(AN1636="","",IF(OR(AO1636&lt;&gt;"OK", AP1636&lt;&gt;"OK", AQ1636&lt;&gt;"OK"), "⚠️ REVISAR", "OK"))</f>
        <v/>
      </c>
    </row>
    <row r="1637">
      <c r="A1637" s="79">
        <f>IF('Ordenes_Odoo'!A1637="","",'Ordenes_Odoo'!A1637)</f>
        <v/>
      </c>
      <c r="B1637" s="80">
        <f>IF('Ordenes_Odoo'!B1637="","",'Ordenes_Odoo'!B1637)</f>
        <v/>
      </c>
      <c r="C1637" s="79">
        <f>IF('Ordenes_Odoo'!C1637="","",'Ordenes_Odoo'!C1637)</f>
        <v/>
      </c>
      <c r="D1637" s="79">
        <f>IF('Ordenes_Odoo'!D1637="","",'Ordenes_Odoo'!D1637)</f>
        <v/>
      </c>
      <c r="E1637" s="79">
        <f>IF('Ordenes_Odoo'!E1637="","",'Ordenes_Odoo'!E1637)</f>
        <v/>
      </c>
      <c r="F1637" s="79">
        <f>IF('Ordenes_Odoo'!F1637="","",'Ordenes_Odoo'!F1637)</f>
        <v/>
      </c>
      <c r="G1637" s="79">
        <f>IF('Ordenes_Odoo'!G1637="","",'Ordenes_Odoo'!G1637)</f>
        <v/>
      </c>
      <c r="H1637" s="79">
        <f>IF('Ordenes_Odoo'!H1637="","",'Ordenes_Odoo'!H1637)</f>
        <v/>
      </c>
      <c r="I1637" s="79">
        <f>IF('Ordenes_Odoo'!I1637="","",'Ordenes_Odoo'!I1637)</f>
        <v/>
      </c>
      <c r="J1637" s="79">
        <f>IF('Ordenes_Odoo'!J1637="","",'Ordenes_Odoo'!J1637)</f>
        <v/>
      </c>
      <c r="K1637" s="81">
        <f>IF('Ordenes_Odoo'!K1637="","",'Ordenes_Odoo'!K1637)</f>
        <v/>
      </c>
      <c r="L1637" s="81">
        <f>IF('Ordenes_Odoo'!L1637="","",'Ordenes_Odoo'!L1637)</f>
        <v/>
      </c>
      <c r="M1637" s="79">
        <f>IF('Ordenes_Odoo'!M1637="","",'Ordenes_Odoo'!M1637)</f>
        <v/>
      </c>
      <c r="N1637" s="79">
        <f>IF('Ordenes_Odoo'!N1637="","",'Ordenes_Odoo'!N1637)</f>
        <v/>
      </c>
      <c r="O1637" s="81">
        <f>IF('Ordenes_Odoo'!O1637="","",'Ordenes_Odoo'!O1637)</f>
        <v/>
      </c>
      <c r="P1637" s="81">
        <f>IF('Ordenes_Odoo'!P1637="","",'Ordenes_Odoo'!P1637)</f>
        <v/>
      </c>
      <c r="Q1637" s="79">
        <f>IF(A1637="","",IFERROR(INDEX(Facturas_Odoo!$B:$B, MATCH(A1637, Facturas_Odoo!$D:$D, 0)), "Sin Factura"))</f>
        <v/>
      </c>
      <c r="R1637" s="80">
        <f>IF(Q1637="Sin Factura","",IFERROR(INDEX(Facturas_Odoo!$A:$A, MATCH(Q1637, Facturas_Odoo!$B:$B, 0)), ""))</f>
        <v/>
      </c>
      <c r="S1637" s="79">
        <f>IF(Q1637="Sin Factura","",IFERROR(_xlfn.XLOOKUP(1, (Facturas_Odoo!$D:$D=A1637) * (Facturas_Odoo!$K:$K=I1637), Facturas_Odoo!$L:$L, ""), ""))</f>
        <v/>
      </c>
      <c r="T1637" s="81">
        <f>IF(Q1637="Sin Factura",0,IFERROR(_xlfn.XLOOKUP(1, (Facturas_Odoo!$D:$D=A1637) * (Facturas_Odoo!$K:$K=I1637), Facturas_Odoo!$M:$M, 0), 0))</f>
        <v/>
      </c>
      <c r="U1637" s="79">
        <f>IF(Q1637="Sin Factura",0,IFERROR(_xlfn.XLOOKUP(1, (Facturas_Odoo!$D:$D=A1637) * (Facturas_Odoo!$K:$K=I1637), Facturas_Odoo!$N:$N, 0), 0))</f>
        <v/>
      </c>
      <c r="V1637" s="79">
        <f>IF(Q1637="Sin Factura",0,IFERROR(_xlfn.XLOOKUP(1, (Facturas_Odoo!$D:$D=A1637) * (Facturas_Odoo!$K:$K=I1637), Facturas_Odoo!$O:$O, 0), 0))</f>
        <v/>
      </c>
      <c r="W1637" s="81">
        <f>IF(Q1637="Sin Factura",0,IFERROR(_xlfn.XLOOKUP(1, (Facturas_Odoo!$D:$D=A1637) * (Facturas_Odoo!$K:$K=I1637), Facturas_Odoo!$Q:$Q, 0), 0))</f>
        <v/>
      </c>
      <c r="X1637" s="79">
        <f>IF(OR(Q1637="Sin Factura",Q1637=""),"",IFERROR(INDEX(Pagos_Odoo!$B:$B, MATCH(Q1637, Pagos_Odoo!$I:$I, 0)), "Sin Pago"))</f>
        <v/>
      </c>
      <c r="Y1637" s="79">
        <f>IF(X1637="Sin Pago","",IFERROR(INDEX(Pagos_Odoo!$C:$C, MATCH(X1637, Pagos_Odoo!$B:$B, 0)), ""))</f>
        <v/>
      </c>
      <c r="Z1637" s="80">
        <f>IF(X1637="Sin Pago","",IFERROR(INDEX(Pagos_Odoo!$A:$A, MATCH(X1637, Pagos_Odoo!$B:$B, 0)), ""))</f>
        <v/>
      </c>
      <c r="AA1637" s="79">
        <f>IF(X1637="Sin Pago","",IFERROR(INDEX(Pagos_Odoo!$F:$F, MATCH(X1637, Pagos_Odoo!$B:$B, 0)), ""))</f>
        <v/>
      </c>
      <c r="AB1637" s="81">
        <f>IF(X1637="Sin Pago",0,IFERROR(INDEX(Pagos_Odoo!$E:$E, MATCH(X1637, Pagos_Odoo!$B:$B, 0)), 0))</f>
        <v/>
      </c>
      <c r="AC1637" s="79">
        <f>IF(X1637="Sin Pago","",IFERROR(INDEX(Pagos_Odoo!$G:$G, MATCH(X1637, Pagos_Odoo!$B:$B, 0)), ""))</f>
        <v/>
      </c>
      <c r="AD1637" s="82" t="n">
        <v>0</v>
      </c>
      <c r="AE1637" s="82" t="n"/>
      <c r="AF1637" s="82" t="n"/>
      <c r="AG1637" s="82">
        <f>IF(AN1637="","",AD1637+AE1637+AF1637)</f>
        <v/>
      </c>
      <c r="AH1637" s="81">
        <f>IF(AN1637="","",P1637*(1-AG1637))</f>
        <v/>
      </c>
      <c r="AI1637" s="81">
        <f>IF(AN1637="","",IF(Q1637="Sin Factura",0,IFERROR(INDEX(Facturas_Odoo!$H:$H, MATCH(Q1637, Facturas_Odoo!$B:$B, 0)), 0)*(1-AG1637)))</f>
        <v/>
      </c>
      <c r="AJ1637" s="81">
        <f>IF(AN1637="","",_xlfn.LET(idVenta, AN1637&amp;"",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37" s="81">
        <f>IF(AN1637="","",AH1637-AJ1637)</f>
        <v/>
      </c>
      <c r="AL1637" s="81">
        <f>IF(AN1637="","",IF(Q1637="Sin Factura","",AI1637-AJ1637))</f>
        <v/>
      </c>
      <c r="AM1637" s="81">
        <f>IF(AN1637="","",IF(Q1637="Sin Factura",0,P1637-IFERROR(INDEX(Facturas_Odoo!$H:$H, MATCH(Q1637, Facturas_Odoo!$B:$B, 0)), 0)))</f>
        <v/>
      </c>
      <c r="AN1637" s="79">
        <f>IF(AND(A1637="", J1637=""), "", IF(A1637&lt;&gt;"", VALUE(MID(A1637,2,LEN(A1637))), AN1636))</f>
        <v/>
      </c>
      <c r="AO1637" s="79">
        <f>IF(AN1637="","",IF(AD1637=0,"OK",_xlfn.LET(monedaPago, IF(AA1637="","USD",AA1637), limitePermitido, IFERROR(VLOOKUP(monedaPago, Configuración!$A$2:$B$3, 2, FALSE), 0.15), IF(AD1637&gt;limitePermitido, "ALERTA: EXCESO (" &amp; TEXT(limitePermitido, "0%") &amp; " máx)", "OK"))))</f>
        <v/>
      </c>
      <c r="AP1637" s="79">
        <f>IF(AN1637="","",IF(AE1637=0,"OK",_xlfn.LET(fechaPago, Z1637, fechaFactura, R1637, diasCredito, IF(E1637="Pago inmediato", 0, IFERROR(VALUE(MID(E1637, 1, SEARCH(" ", E1637)-1)),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37" s="79">
        <f>IF(AN1637="","",IF(AND(N1637&gt;0, AG1637&gt;0), IF(Configuración!$K$2="NO", "ALERTA: DESCUENTO DOBLE NO PERMITIDO", "OK"), "OK"))</f>
        <v/>
      </c>
      <c r="AR1637" s="79">
        <f>IF(AN1637="","",IF(OR(AO1637&lt;&gt;"OK", AP1637&lt;&gt;"OK", AQ1637&lt;&gt;"OK"), "⚠️ REVISAR", "OK"))</f>
        <v/>
      </c>
    </row>
    <row r="1638">
      <c r="A1638" s="79">
        <f>IF('Ordenes_Odoo'!A1638="","",'Ordenes_Odoo'!A1638)</f>
        <v/>
      </c>
      <c r="B1638" s="80">
        <f>IF('Ordenes_Odoo'!B1638="","",'Ordenes_Odoo'!B1638)</f>
        <v/>
      </c>
      <c r="C1638" s="79">
        <f>IF('Ordenes_Odoo'!C1638="","",'Ordenes_Odoo'!C1638)</f>
        <v/>
      </c>
      <c r="D1638" s="79">
        <f>IF('Ordenes_Odoo'!D1638="","",'Ordenes_Odoo'!D1638)</f>
        <v/>
      </c>
      <c r="E1638" s="79">
        <f>IF('Ordenes_Odoo'!E1638="","",'Ordenes_Odoo'!E1638)</f>
        <v/>
      </c>
      <c r="F1638" s="79">
        <f>IF('Ordenes_Odoo'!F1638="","",'Ordenes_Odoo'!F1638)</f>
        <v/>
      </c>
      <c r="G1638" s="79">
        <f>IF('Ordenes_Odoo'!G1638="","",'Ordenes_Odoo'!G1638)</f>
        <v/>
      </c>
      <c r="H1638" s="79">
        <f>IF('Ordenes_Odoo'!H1638="","",'Ordenes_Odoo'!H1638)</f>
        <v/>
      </c>
      <c r="I1638" s="79">
        <f>IF('Ordenes_Odoo'!I1638="","",'Ordenes_Odoo'!I1638)</f>
        <v/>
      </c>
      <c r="J1638" s="79">
        <f>IF('Ordenes_Odoo'!J1638="","",'Ordenes_Odoo'!J1638)</f>
        <v/>
      </c>
      <c r="K1638" s="81">
        <f>IF('Ordenes_Odoo'!K1638="","",'Ordenes_Odoo'!K1638)</f>
        <v/>
      </c>
      <c r="L1638" s="81">
        <f>IF('Ordenes_Odoo'!L1638="","",'Ordenes_Odoo'!L1638)</f>
        <v/>
      </c>
      <c r="M1638" s="79">
        <f>IF('Ordenes_Odoo'!M1638="","",'Ordenes_Odoo'!M1638)</f>
        <v/>
      </c>
      <c r="N1638" s="79">
        <f>IF('Ordenes_Odoo'!N1638="","",'Ordenes_Odoo'!N1638)</f>
        <v/>
      </c>
      <c r="O1638" s="81">
        <f>IF('Ordenes_Odoo'!O1638="","",'Ordenes_Odoo'!O1638)</f>
        <v/>
      </c>
      <c r="P1638" s="81">
        <f>IF('Ordenes_Odoo'!P1638="","",'Ordenes_Odoo'!P1638)</f>
        <v/>
      </c>
      <c r="Q1638" s="79">
        <f>IF(A1638="","",IFERROR(INDEX(Facturas_Odoo!$B:$B, MATCH(A1638, Facturas_Odoo!$D:$D, 0)), "Sin Factura"))</f>
        <v/>
      </c>
      <c r="R1638" s="80">
        <f>IF(Q1638="Sin Factura","",IFERROR(INDEX(Facturas_Odoo!$A:$A, MATCH(Q1638, Facturas_Odoo!$B:$B, 0)), ""))</f>
        <v/>
      </c>
      <c r="S1638" s="79">
        <f>IF(Q1638="Sin Factura","",IFERROR(_xlfn.XLOOKUP(1, (Facturas_Odoo!$D:$D=A1638) * (Facturas_Odoo!$K:$K=I1638), Facturas_Odoo!$L:$L, ""), ""))</f>
        <v/>
      </c>
      <c r="T1638" s="81">
        <f>IF(Q1638="Sin Factura",0,IFERROR(_xlfn.XLOOKUP(1, (Facturas_Odoo!$D:$D=A1638) * (Facturas_Odoo!$K:$K=I1638), Facturas_Odoo!$M:$M, 0), 0))</f>
        <v/>
      </c>
      <c r="U1638" s="79">
        <f>IF(Q1638="Sin Factura",0,IFERROR(_xlfn.XLOOKUP(1, (Facturas_Odoo!$D:$D=A1638) * (Facturas_Odoo!$K:$K=I1638), Facturas_Odoo!$N:$N, 0), 0))</f>
        <v/>
      </c>
      <c r="V1638" s="79">
        <f>IF(Q1638="Sin Factura",0,IFERROR(_xlfn.XLOOKUP(1, (Facturas_Odoo!$D:$D=A1638) * (Facturas_Odoo!$K:$K=I1638), Facturas_Odoo!$O:$O, 0), 0))</f>
        <v/>
      </c>
      <c r="W1638" s="81">
        <f>IF(Q1638="Sin Factura",0,IFERROR(_xlfn.XLOOKUP(1, (Facturas_Odoo!$D:$D=A1638) * (Facturas_Odoo!$K:$K=I1638), Facturas_Odoo!$Q:$Q, 0), 0))</f>
        <v/>
      </c>
      <c r="X1638" s="79">
        <f>IF(OR(Q1638="Sin Factura",Q1638=""),"",IFERROR(INDEX(Pagos_Odoo!$B:$B, MATCH(Q1638, Pagos_Odoo!$I:$I, 0)), "Sin Pago"))</f>
        <v/>
      </c>
      <c r="Y1638" s="79">
        <f>IF(X1638="Sin Pago","",IFERROR(INDEX(Pagos_Odoo!$C:$C, MATCH(X1638, Pagos_Odoo!$B:$B, 0)), ""))</f>
        <v/>
      </c>
      <c r="Z1638" s="80">
        <f>IF(X1638="Sin Pago","",IFERROR(INDEX(Pagos_Odoo!$A:$A, MATCH(X1638, Pagos_Odoo!$B:$B, 0)), ""))</f>
        <v/>
      </c>
      <c r="AA1638" s="79">
        <f>IF(X1638="Sin Pago","",IFERROR(INDEX(Pagos_Odoo!$F:$F, MATCH(X1638, Pagos_Odoo!$B:$B, 0)), ""))</f>
        <v/>
      </c>
      <c r="AB1638" s="81">
        <f>IF(X1638="Sin Pago",0,IFERROR(INDEX(Pagos_Odoo!$E:$E, MATCH(X1638, Pagos_Odoo!$B:$B, 0)), 0))</f>
        <v/>
      </c>
      <c r="AC1638" s="79">
        <f>IF(X1638="Sin Pago","",IFERROR(INDEX(Pagos_Odoo!$G:$G, MATCH(X1638, Pagos_Odoo!$B:$B, 0)), ""))</f>
        <v/>
      </c>
      <c r="AD1638" s="82" t="n">
        <v>0</v>
      </c>
      <c r="AE1638" s="82" t="n"/>
      <c r="AF1638" s="82" t="n"/>
      <c r="AG1638" s="82">
        <f>IF(AN1638="","",AD1638+AE1638+AF1638)</f>
        <v/>
      </c>
      <c r="AH1638" s="81">
        <f>IF(AN1638="","",P1638*(1-AG1638))</f>
        <v/>
      </c>
      <c r="AI1638" s="81">
        <f>IF(AN1638="","",IF(Q1638="Sin Factura",0,IFERROR(INDEX(Facturas_Odoo!$H:$H, MATCH(Q1638, Facturas_Odoo!$B:$B, 0)), 0)*(1-AG1638)))</f>
        <v/>
      </c>
      <c r="AJ1638" s="81">
        <f>IF(AN1638="","",_xlfn.LET(idVenta, AN1638&amp;"",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38" s="81">
        <f>IF(AN1638="","",AH1638-AJ1638)</f>
        <v/>
      </c>
      <c r="AL1638" s="81">
        <f>IF(AN1638="","",IF(Q1638="Sin Factura","",AI1638-AJ1638))</f>
        <v/>
      </c>
      <c r="AM1638" s="81">
        <f>IF(AN1638="","",IF(Q1638="Sin Factura",0,P1638-IFERROR(INDEX(Facturas_Odoo!$H:$H, MATCH(Q1638, Facturas_Odoo!$B:$B, 0)), 0)))</f>
        <v/>
      </c>
      <c r="AN1638" s="79">
        <f>IF(AND(A1638="", J1638=""), "", IF(A1638&lt;&gt;"", VALUE(MID(A1638,2,LEN(A1638))), AN1637))</f>
        <v/>
      </c>
      <c r="AO1638" s="79">
        <f>IF(AN1638="","",IF(AD1638=0,"OK",_xlfn.LET(monedaPago, IF(AA1638="","USD",AA1638), limitePermitido, IFERROR(VLOOKUP(monedaPago, Configuración!$A$2:$B$3, 2, FALSE), 0.15), IF(AD1638&gt;limitePermitido, "ALERTA: EXCESO (" &amp; TEXT(limitePermitido, "0%") &amp; " máx)", "OK"))))</f>
        <v/>
      </c>
      <c r="AP1638" s="79">
        <f>IF(AN1638="","",IF(AE1638=0,"OK",_xlfn.LET(fechaPago, Z1638, fechaFactura, R1638, diasCredito, IF(E1638="Pago inmediato", 0, IFERROR(VALUE(MID(E1638, 1, SEARCH(" ", E1638)-1)),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38" s="79">
        <f>IF(AN1638="","",IF(AND(N1638&gt;0, AG1638&gt;0), IF(Configuración!$K$2="NO", "ALERTA: DESCUENTO DOBLE NO PERMITIDO", "OK"), "OK"))</f>
        <v/>
      </c>
      <c r="AR1638" s="79">
        <f>IF(AN1638="","",IF(OR(AO1638&lt;&gt;"OK", AP1638&lt;&gt;"OK", AQ1638&lt;&gt;"OK"), "⚠️ REVISAR", "OK"))</f>
        <v/>
      </c>
    </row>
    <row r="1639">
      <c r="A1639" s="79">
        <f>IF('Ordenes_Odoo'!A1639="","",'Ordenes_Odoo'!A1639)</f>
        <v/>
      </c>
      <c r="B1639" s="80">
        <f>IF('Ordenes_Odoo'!B1639="","",'Ordenes_Odoo'!B1639)</f>
        <v/>
      </c>
      <c r="C1639" s="79">
        <f>IF('Ordenes_Odoo'!C1639="","",'Ordenes_Odoo'!C1639)</f>
        <v/>
      </c>
      <c r="D1639" s="79">
        <f>IF('Ordenes_Odoo'!D1639="","",'Ordenes_Odoo'!D1639)</f>
        <v/>
      </c>
      <c r="E1639" s="79">
        <f>IF('Ordenes_Odoo'!E1639="","",'Ordenes_Odoo'!E1639)</f>
        <v/>
      </c>
      <c r="F1639" s="79">
        <f>IF('Ordenes_Odoo'!F1639="","",'Ordenes_Odoo'!F1639)</f>
        <v/>
      </c>
      <c r="G1639" s="79">
        <f>IF('Ordenes_Odoo'!G1639="","",'Ordenes_Odoo'!G1639)</f>
        <v/>
      </c>
      <c r="H1639" s="79">
        <f>IF('Ordenes_Odoo'!H1639="","",'Ordenes_Odoo'!H1639)</f>
        <v/>
      </c>
      <c r="I1639" s="79">
        <f>IF('Ordenes_Odoo'!I1639="","",'Ordenes_Odoo'!I1639)</f>
        <v/>
      </c>
      <c r="J1639" s="79">
        <f>IF('Ordenes_Odoo'!J1639="","",'Ordenes_Odoo'!J1639)</f>
        <v/>
      </c>
      <c r="K1639" s="81">
        <f>IF('Ordenes_Odoo'!K1639="","",'Ordenes_Odoo'!K1639)</f>
        <v/>
      </c>
      <c r="L1639" s="81">
        <f>IF('Ordenes_Odoo'!L1639="","",'Ordenes_Odoo'!L1639)</f>
        <v/>
      </c>
      <c r="M1639" s="79">
        <f>IF('Ordenes_Odoo'!M1639="","",'Ordenes_Odoo'!M1639)</f>
        <v/>
      </c>
      <c r="N1639" s="79">
        <f>IF('Ordenes_Odoo'!N1639="","",'Ordenes_Odoo'!N1639)</f>
        <v/>
      </c>
      <c r="O1639" s="81">
        <f>IF('Ordenes_Odoo'!O1639="","",'Ordenes_Odoo'!O1639)</f>
        <v/>
      </c>
      <c r="P1639" s="81">
        <f>IF('Ordenes_Odoo'!P1639="","",'Ordenes_Odoo'!P1639)</f>
        <v/>
      </c>
      <c r="Q1639" s="79">
        <f>IF(A1639="","",IFERROR(INDEX(Facturas_Odoo!$B:$B, MATCH(A1639, Facturas_Odoo!$D:$D, 0)), "Sin Factura"))</f>
        <v/>
      </c>
      <c r="R1639" s="80">
        <f>IF(Q1639="Sin Factura","",IFERROR(INDEX(Facturas_Odoo!$A:$A, MATCH(Q1639, Facturas_Odoo!$B:$B, 0)), ""))</f>
        <v/>
      </c>
      <c r="S1639" s="79">
        <f>IF(Q1639="Sin Factura","",IFERROR(_xlfn.XLOOKUP(1, (Facturas_Odoo!$D:$D=A1639) * (Facturas_Odoo!$K:$K=I1639), Facturas_Odoo!$L:$L, ""), ""))</f>
        <v/>
      </c>
      <c r="T1639" s="81">
        <f>IF(Q1639="Sin Factura",0,IFERROR(_xlfn.XLOOKUP(1, (Facturas_Odoo!$D:$D=A1639) * (Facturas_Odoo!$K:$K=I1639), Facturas_Odoo!$M:$M, 0), 0))</f>
        <v/>
      </c>
      <c r="U1639" s="79">
        <f>IF(Q1639="Sin Factura",0,IFERROR(_xlfn.XLOOKUP(1, (Facturas_Odoo!$D:$D=A1639) * (Facturas_Odoo!$K:$K=I1639), Facturas_Odoo!$N:$N, 0), 0))</f>
        <v/>
      </c>
      <c r="V1639" s="79">
        <f>IF(Q1639="Sin Factura",0,IFERROR(_xlfn.XLOOKUP(1, (Facturas_Odoo!$D:$D=A1639) * (Facturas_Odoo!$K:$K=I1639), Facturas_Odoo!$O:$O, 0), 0))</f>
        <v/>
      </c>
      <c r="W1639" s="81">
        <f>IF(Q1639="Sin Factura",0,IFERROR(_xlfn.XLOOKUP(1, (Facturas_Odoo!$D:$D=A1639) * (Facturas_Odoo!$K:$K=I1639), Facturas_Odoo!$Q:$Q, 0), 0))</f>
        <v/>
      </c>
      <c r="X1639" s="79">
        <f>IF(OR(Q1639="Sin Factura",Q1639=""),"",IFERROR(INDEX(Pagos_Odoo!$B:$B, MATCH(Q1639, Pagos_Odoo!$I:$I, 0)), "Sin Pago"))</f>
        <v/>
      </c>
      <c r="Y1639" s="79">
        <f>IF(X1639="Sin Pago","",IFERROR(INDEX(Pagos_Odoo!$C:$C, MATCH(X1639, Pagos_Odoo!$B:$B, 0)), ""))</f>
        <v/>
      </c>
      <c r="Z1639" s="80">
        <f>IF(X1639="Sin Pago","",IFERROR(INDEX(Pagos_Odoo!$A:$A, MATCH(X1639, Pagos_Odoo!$B:$B, 0)), ""))</f>
        <v/>
      </c>
      <c r="AA1639" s="79">
        <f>IF(X1639="Sin Pago","",IFERROR(INDEX(Pagos_Odoo!$F:$F, MATCH(X1639, Pagos_Odoo!$B:$B, 0)), ""))</f>
        <v/>
      </c>
      <c r="AB1639" s="81">
        <f>IF(X1639="Sin Pago",0,IFERROR(INDEX(Pagos_Odoo!$E:$E, MATCH(X1639, Pagos_Odoo!$B:$B, 0)), 0))</f>
        <v/>
      </c>
      <c r="AC1639" s="79">
        <f>IF(X1639="Sin Pago","",IFERROR(INDEX(Pagos_Odoo!$G:$G, MATCH(X1639, Pagos_Odoo!$B:$B, 0)), ""))</f>
        <v/>
      </c>
      <c r="AD1639" s="82" t="n">
        <v>0</v>
      </c>
      <c r="AE1639" s="82" t="n"/>
      <c r="AF1639" s="82" t="n"/>
      <c r="AG1639" s="82">
        <f>IF(AN1639="","",AD1639+AE1639+AF1639)</f>
        <v/>
      </c>
      <c r="AH1639" s="81">
        <f>IF(AN1639="","",P1639*(1-AG1639))</f>
        <v/>
      </c>
      <c r="AI1639" s="81">
        <f>IF(AN1639="","",IF(Q1639="Sin Factura",0,IFERROR(INDEX(Facturas_Odoo!$H:$H, MATCH(Q1639, Facturas_Odoo!$B:$B, 0)), 0)*(1-AG1639)))</f>
        <v/>
      </c>
      <c r="AJ1639" s="81">
        <f>IF(AN1639="","",_xlfn.LET(idVenta, AN1639&amp;"",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39" s="81">
        <f>IF(AN1639="","",AH1639-AJ1639)</f>
        <v/>
      </c>
      <c r="AL1639" s="81">
        <f>IF(AN1639="","",IF(Q1639="Sin Factura","",AI1639-AJ1639))</f>
        <v/>
      </c>
      <c r="AM1639" s="81">
        <f>IF(AN1639="","",IF(Q1639="Sin Factura",0,P1639-IFERROR(INDEX(Facturas_Odoo!$H:$H, MATCH(Q1639, Facturas_Odoo!$B:$B, 0)), 0)))</f>
        <v/>
      </c>
      <c r="AN1639" s="79">
        <f>IF(AND(A1639="", J1639=""), "", IF(A1639&lt;&gt;"", VALUE(MID(A1639,2,LEN(A1639))), AN1638))</f>
        <v/>
      </c>
      <c r="AO1639" s="79">
        <f>IF(AN1639="","",IF(AD1639=0,"OK",_xlfn.LET(monedaPago, IF(AA1639="","USD",AA1639), limitePermitido, IFERROR(VLOOKUP(monedaPago, Configuración!$A$2:$B$3, 2, FALSE), 0.15), IF(AD1639&gt;limitePermitido, "ALERTA: EXCESO (" &amp; TEXT(limitePermitido, "0%") &amp; " máx)", "OK"))))</f>
        <v/>
      </c>
      <c r="AP1639" s="79">
        <f>IF(AN1639="","",IF(AE1639=0,"OK",_xlfn.LET(fechaPago, Z1639, fechaFactura, R1639, diasCredito, IF(E1639="Pago inmediato", 0, IFERROR(VALUE(MID(E1639, 1, SEARCH(" ", E1639)-1)),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39" s="79">
        <f>IF(AN1639="","",IF(AND(N1639&gt;0, AG1639&gt;0), IF(Configuración!$K$2="NO", "ALERTA: DESCUENTO DOBLE NO PERMITIDO", "OK"), "OK"))</f>
        <v/>
      </c>
      <c r="AR1639" s="79">
        <f>IF(AN1639="","",IF(OR(AO1639&lt;&gt;"OK", AP1639&lt;&gt;"OK", AQ1639&lt;&gt;"OK"), "⚠️ REVISAR", "OK"))</f>
        <v/>
      </c>
    </row>
    <row r="1640">
      <c r="A1640" s="79">
        <f>IF('Ordenes_Odoo'!A1640="","",'Ordenes_Odoo'!A1640)</f>
        <v/>
      </c>
      <c r="B1640" s="80">
        <f>IF('Ordenes_Odoo'!B1640="","",'Ordenes_Odoo'!B1640)</f>
        <v/>
      </c>
      <c r="C1640" s="79">
        <f>IF('Ordenes_Odoo'!C1640="","",'Ordenes_Odoo'!C1640)</f>
        <v/>
      </c>
      <c r="D1640" s="79">
        <f>IF('Ordenes_Odoo'!D1640="","",'Ordenes_Odoo'!D1640)</f>
        <v/>
      </c>
      <c r="E1640" s="79">
        <f>IF('Ordenes_Odoo'!E1640="","",'Ordenes_Odoo'!E1640)</f>
        <v/>
      </c>
      <c r="F1640" s="79">
        <f>IF('Ordenes_Odoo'!F1640="","",'Ordenes_Odoo'!F1640)</f>
        <v/>
      </c>
      <c r="G1640" s="79">
        <f>IF('Ordenes_Odoo'!G1640="","",'Ordenes_Odoo'!G1640)</f>
        <v/>
      </c>
      <c r="H1640" s="79">
        <f>IF('Ordenes_Odoo'!H1640="","",'Ordenes_Odoo'!H1640)</f>
        <v/>
      </c>
      <c r="I1640" s="79">
        <f>IF('Ordenes_Odoo'!I1640="","",'Ordenes_Odoo'!I1640)</f>
        <v/>
      </c>
      <c r="J1640" s="79">
        <f>IF('Ordenes_Odoo'!J1640="","",'Ordenes_Odoo'!J1640)</f>
        <v/>
      </c>
      <c r="K1640" s="81">
        <f>IF('Ordenes_Odoo'!K1640="","",'Ordenes_Odoo'!K1640)</f>
        <v/>
      </c>
      <c r="L1640" s="81">
        <f>IF('Ordenes_Odoo'!L1640="","",'Ordenes_Odoo'!L1640)</f>
        <v/>
      </c>
      <c r="M1640" s="79">
        <f>IF('Ordenes_Odoo'!M1640="","",'Ordenes_Odoo'!M1640)</f>
        <v/>
      </c>
      <c r="N1640" s="79">
        <f>IF('Ordenes_Odoo'!N1640="","",'Ordenes_Odoo'!N1640)</f>
        <v/>
      </c>
      <c r="O1640" s="81">
        <f>IF('Ordenes_Odoo'!O1640="","",'Ordenes_Odoo'!O1640)</f>
        <v/>
      </c>
      <c r="P1640" s="81">
        <f>IF('Ordenes_Odoo'!P1640="","",'Ordenes_Odoo'!P1640)</f>
        <v/>
      </c>
      <c r="Q1640" s="79">
        <f>IF(A1640="","",IFERROR(INDEX(Facturas_Odoo!$B:$B, MATCH(A1640, Facturas_Odoo!$D:$D, 0)), "Sin Factura"))</f>
        <v/>
      </c>
      <c r="R1640" s="80">
        <f>IF(Q1640="Sin Factura","",IFERROR(INDEX(Facturas_Odoo!$A:$A, MATCH(Q1640, Facturas_Odoo!$B:$B, 0)), ""))</f>
        <v/>
      </c>
      <c r="S1640" s="79">
        <f>IF(Q1640="Sin Factura","",IFERROR(_xlfn.XLOOKUP(1, (Facturas_Odoo!$D:$D=A1640) * (Facturas_Odoo!$K:$K=I1640), Facturas_Odoo!$L:$L, ""), ""))</f>
        <v/>
      </c>
      <c r="T1640" s="81">
        <f>IF(Q1640="Sin Factura",0,IFERROR(_xlfn.XLOOKUP(1, (Facturas_Odoo!$D:$D=A1640) * (Facturas_Odoo!$K:$K=I1640), Facturas_Odoo!$M:$M, 0), 0))</f>
        <v/>
      </c>
      <c r="U1640" s="79">
        <f>IF(Q1640="Sin Factura",0,IFERROR(_xlfn.XLOOKUP(1, (Facturas_Odoo!$D:$D=A1640) * (Facturas_Odoo!$K:$K=I1640), Facturas_Odoo!$N:$N, 0), 0))</f>
        <v/>
      </c>
      <c r="V1640" s="79">
        <f>IF(Q1640="Sin Factura",0,IFERROR(_xlfn.XLOOKUP(1, (Facturas_Odoo!$D:$D=A1640) * (Facturas_Odoo!$K:$K=I1640), Facturas_Odoo!$O:$O, 0), 0))</f>
        <v/>
      </c>
      <c r="W1640" s="81">
        <f>IF(Q1640="Sin Factura",0,IFERROR(_xlfn.XLOOKUP(1, (Facturas_Odoo!$D:$D=A1640) * (Facturas_Odoo!$K:$K=I1640), Facturas_Odoo!$Q:$Q, 0), 0))</f>
        <v/>
      </c>
      <c r="X1640" s="79">
        <f>IF(OR(Q1640="Sin Factura",Q1640=""),"",IFERROR(INDEX(Pagos_Odoo!$B:$B, MATCH(Q1640, Pagos_Odoo!$I:$I, 0)), "Sin Pago"))</f>
        <v/>
      </c>
      <c r="Y1640" s="79">
        <f>IF(X1640="Sin Pago","",IFERROR(INDEX(Pagos_Odoo!$C:$C, MATCH(X1640, Pagos_Odoo!$B:$B, 0)), ""))</f>
        <v/>
      </c>
      <c r="Z1640" s="80">
        <f>IF(X1640="Sin Pago","",IFERROR(INDEX(Pagos_Odoo!$A:$A, MATCH(X1640, Pagos_Odoo!$B:$B, 0)), ""))</f>
        <v/>
      </c>
      <c r="AA1640" s="79">
        <f>IF(X1640="Sin Pago","",IFERROR(INDEX(Pagos_Odoo!$F:$F, MATCH(X1640, Pagos_Odoo!$B:$B, 0)), ""))</f>
        <v/>
      </c>
      <c r="AB1640" s="81">
        <f>IF(X1640="Sin Pago",0,IFERROR(INDEX(Pagos_Odoo!$E:$E, MATCH(X1640, Pagos_Odoo!$B:$B, 0)), 0))</f>
        <v/>
      </c>
      <c r="AC1640" s="79">
        <f>IF(X1640="Sin Pago","",IFERROR(INDEX(Pagos_Odoo!$G:$G, MATCH(X1640, Pagos_Odoo!$B:$B, 0)), ""))</f>
        <v/>
      </c>
      <c r="AD1640" s="82" t="n">
        <v>0</v>
      </c>
      <c r="AE1640" s="82" t="n"/>
      <c r="AF1640" s="82" t="n"/>
      <c r="AG1640" s="82">
        <f>IF(AN1640="","",AD1640+AE1640+AF1640)</f>
        <v/>
      </c>
      <c r="AH1640" s="81">
        <f>IF(AN1640="","",P1640*(1-AG1640))</f>
        <v/>
      </c>
      <c r="AI1640" s="81">
        <f>IF(AN1640="","",IF(Q1640="Sin Factura",0,IFERROR(INDEX(Facturas_Odoo!$H:$H, MATCH(Q1640, Facturas_Odoo!$B:$B, 0)), 0)*(1-AG1640)))</f>
        <v/>
      </c>
      <c r="AJ1640" s="81">
        <f>IF(AN1640="","",_xlfn.LET(idVenta, AN1640&amp;"",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40" s="81">
        <f>IF(AN1640="","",AH1640-AJ1640)</f>
        <v/>
      </c>
      <c r="AL1640" s="81">
        <f>IF(AN1640="","",IF(Q1640="Sin Factura","",AI1640-AJ1640))</f>
        <v/>
      </c>
      <c r="AM1640" s="81">
        <f>IF(AN1640="","",IF(Q1640="Sin Factura",0,P1640-IFERROR(INDEX(Facturas_Odoo!$H:$H, MATCH(Q1640, Facturas_Odoo!$B:$B, 0)), 0)))</f>
        <v/>
      </c>
      <c r="AN1640" s="79">
        <f>IF(AND(A1640="", J1640=""), "", IF(A1640&lt;&gt;"", VALUE(MID(A1640,2,LEN(A1640))), AN1639))</f>
        <v/>
      </c>
      <c r="AO1640" s="79">
        <f>IF(AN1640="","",IF(AD1640=0,"OK",_xlfn.LET(monedaPago, IF(AA1640="","USD",AA1640), limitePermitido, IFERROR(VLOOKUP(monedaPago, Configuración!$A$2:$B$3, 2, FALSE), 0.15), IF(AD1640&gt;limitePermitido, "ALERTA: EXCESO (" &amp; TEXT(limitePermitido, "0%") &amp; " máx)", "OK"))))</f>
        <v/>
      </c>
      <c r="AP1640" s="79">
        <f>IF(AN1640="","",IF(AE1640=0,"OK",_xlfn.LET(fechaPago, Z1640, fechaFactura, R1640, diasCredito, IF(E1640="Pago inmediato", 0, IFERROR(VALUE(MID(E1640, 1, SEARCH(" ", E1640)-1)),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40" s="79">
        <f>IF(AN1640="","",IF(AND(N1640&gt;0, AG1640&gt;0), IF(Configuración!$K$2="NO", "ALERTA: DESCUENTO DOBLE NO PERMITIDO", "OK"), "OK"))</f>
        <v/>
      </c>
      <c r="AR1640" s="79">
        <f>IF(AN1640="","",IF(OR(AO1640&lt;&gt;"OK", AP1640&lt;&gt;"OK", AQ1640&lt;&gt;"OK"), "⚠️ REVISAR", "OK"))</f>
        <v/>
      </c>
    </row>
    <row r="1641">
      <c r="A1641" s="79">
        <f>IF('Ordenes_Odoo'!A1641="","",'Ordenes_Odoo'!A1641)</f>
        <v/>
      </c>
      <c r="B1641" s="80">
        <f>IF('Ordenes_Odoo'!B1641="","",'Ordenes_Odoo'!B1641)</f>
        <v/>
      </c>
      <c r="C1641" s="79">
        <f>IF('Ordenes_Odoo'!C1641="","",'Ordenes_Odoo'!C1641)</f>
        <v/>
      </c>
      <c r="D1641" s="79">
        <f>IF('Ordenes_Odoo'!D1641="","",'Ordenes_Odoo'!D1641)</f>
        <v/>
      </c>
      <c r="E1641" s="79">
        <f>IF('Ordenes_Odoo'!E1641="","",'Ordenes_Odoo'!E1641)</f>
        <v/>
      </c>
      <c r="F1641" s="79">
        <f>IF('Ordenes_Odoo'!F1641="","",'Ordenes_Odoo'!F1641)</f>
        <v/>
      </c>
      <c r="G1641" s="79">
        <f>IF('Ordenes_Odoo'!G1641="","",'Ordenes_Odoo'!G1641)</f>
        <v/>
      </c>
      <c r="H1641" s="79">
        <f>IF('Ordenes_Odoo'!H1641="","",'Ordenes_Odoo'!H1641)</f>
        <v/>
      </c>
      <c r="I1641" s="79">
        <f>IF('Ordenes_Odoo'!I1641="","",'Ordenes_Odoo'!I1641)</f>
        <v/>
      </c>
      <c r="J1641" s="79">
        <f>IF('Ordenes_Odoo'!J1641="","",'Ordenes_Odoo'!J1641)</f>
        <v/>
      </c>
      <c r="K1641" s="81">
        <f>IF('Ordenes_Odoo'!K1641="","",'Ordenes_Odoo'!K1641)</f>
        <v/>
      </c>
      <c r="L1641" s="81">
        <f>IF('Ordenes_Odoo'!L1641="","",'Ordenes_Odoo'!L1641)</f>
        <v/>
      </c>
      <c r="M1641" s="79">
        <f>IF('Ordenes_Odoo'!M1641="","",'Ordenes_Odoo'!M1641)</f>
        <v/>
      </c>
      <c r="N1641" s="79">
        <f>IF('Ordenes_Odoo'!N1641="","",'Ordenes_Odoo'!N1641)</f>
        <v/>
      </c>
      <c r="O1641" s="81">
        <f>IF('Ordenes_Odoo'!O1641="","",'Ordenes_Odoo'!O1641)</f>
        <v/>
      </c>
      <c r="P1641" s="81">
        <f>IF('Ordenes_Odoo'!P1641="","",'Ordenes_Odoo'!P1641)</f>
        <v/>
      </c>
      <c r="Q1641" s="79">
        <f>IF(A1641="","",IFERROR(INDEX(Facturas_Odoo!$B:$B, MATCH(A1641, Facturas_Odoo!$D:$D, 0)), "Sin Factura"))</f>
        <v/>
      </c>
      <c r="R1641" s="80">
        <f>IF(Q1641="Sin Factura","",IFERROR(INDEX(Facturas_Odoo!$A:$A, MATCH(Q1641, Facturas_Odoo!$B:$B, 0)), ""))</f>
        <v/>
      </c>
      <c r="S1641" s="79">
        <f>IF(Q1641="Sin Factura","",IFERROR(_xlfn.XLOOKUP(1, (Facturas_Odoo!$D:$D=A1641) * (Facturas_Odoo!$K:$K=I1641), Facturas_Odoo!$L:$L, ""), ""))</f>
        <v/>
      </c>
      <c r="T1641" s="81">
        <f>IF(Q1641="Sin Factura",0,IFERROR(_xlfn.XLOOKUP(1, (Facturas_Odoo!$D:$D=A1641) * (Facturas_Odoo!$K:$K=I1641), Facturas_Odoo!$M:$M, 0), 0))</f>
        <v/>
      </c>
      <c r="U1641" s="79">
        <f>IF(Q1641="Sin Factura",0,IFERROR(_xlfn.XLOOKUP(1, (Facturas_Odoo!$D:$D=A1641) * (Facturas_Odoo!$K:$K=I1641), Facturas_Odoo!$N:$N, 0), 0))</f>
        <v/>
      </c>
      <c r="V1641" s="79">
        <f>IF(Q1641="Sin Factura",0,IFERROR(_xlfn.XLOOKUP(1, (Facturas_Odoo!$D:$D=A1641) * (Facturas_Odoo!$K:$K=I1641), Facturas_Odoo!$O:$O, 0), 0))</f>
        <v/>
      </c>
      <c r="W1641" s="81">
        <f>IF(Q1641="Sin Factura",0,IFERROR(_xlfn.XLOOKUP(1, (Facturas_Odoo!$D:$D=A1641) * (Facturas_Odoo!$K:$K=I1641), Facturas_Odoo!$Q:$Q, 0), 0))</f>
        <v/>
      </c>
      <c r="X1641" s="79">
        <f>IF(OR(Q1641="Sin Factura",Q1641=""),"",IFERROR(INDEX(Pagos_Odoo!$B:$B, MATCH(Q1641, Pagos_Odoo!$I:$I, 0)), "Sin Pago"))</f>
        <v/>
      </c>
      <c r="Y1641" s="79">
        <f>IF(X1641="Sin Pago","",IFERROR(INDEX(Pagos_Odoo!$C:$C, MATCH(X1641, Pagos_Odoo!$B:$B, 0)), ""))</f>
        <v/>
      </c>
      <c r="Z1641" s="80">
        <f>IF(X1641="Sin Pago","",IFERROR(INDEX(Pagos_Odoo!$A:$A, MATCH(X1641, Pagos_Odoo!$B:$B, 0)), ""))</f>
        <v/>
      </c>
      <c r="AA1641" s="79">
        <f>IF(X1641="Sin Pago","",IFERROR(INDEX(Pagos_Odoo!$F:$F, MATCH(X1641, Pagos_Odoo!$B:$B, 0)), ""))</f>
        <v/>
      </c>
      <c r="AB1641" s="81">
        <f>IF(X1641="Sin Pago",0,IFERROR(INDEX(Pagos_Odoo!$E:$E, MATCH(X1641, Pagos_Odoo!$B:$B, 0)), 0))</f>
        <v/>
      </c>
      <c r="AC1641" s="79">
        <f>IF(X1641="Sin Pago","",IFERROR(INDEX(Pagos_Odoo!$G:$G, MATCH(X1641, Pagos_Odoo!$B:$B, 0)), ""))</f>
        <v/>
      </c>
      <c r="AD1641" s="82" t="n">
        <v>0</v>
      </c>
      <c r="AE1641" s="82" t="n"/>
      <c r="AF1641" s="82" t="n"/>
      <c r="AG1641" s="82">
        <f>IF(AN1641="","",AD1641+AE1641+AF1641)</f>
        <v/>
      </c>
      <c r="AH1641" s="81">
        <f>IF(AN1641="","",P1641*(1-AG1641))</f>
        <v/>
      </c>
      <c r="AI1641" s="81">
        <f>IF(AN1641="","",IF(Q1641="Sin Factura",0,IFERROR(INDEX(Facturas_Odoo!$H:$H, MATCH(Q1641, Facturas_Odoo!$B:$B, 0)), 0)*(1-AG1641)))</f>
        <v/>
      </c>
      <c r="AJ1641" s="81">
        <f>IF(AN1641="","",_xlfn.LET(idVenta, AN1641&amp;"",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41" s="81">
        <f>IF(AN1641="","",AH1641-AJ1641)</f>
        <v/>
      </c>
      <c r="AL1641" s="81">
        <f>IF(AN1641="","",IF(Q1641="Sin Factura","",AI1641-AJ1641))</f>
        <v/>
      </c>
      <c r="AM1641" s="81">
        <f>IF(AN1641="","",IF(Q1641="Sin Factura",0,P1641-IFERROR(INDEX(Facturas_Odoo!$H:$H, MATCH(Q1641, Facturas_Odoo!$B:$B, 0)), 0)))</f>
        <v/>
      </c>
      <c r="AN1641" s="79">
        <f>IF(AND(A1641="", J1641=""), "", IF(A1641&lt;&gt;"", VALUE(MID(A1641,2,LEN(A1641))), AN1640))</f>
        <v/>
      </c>
      <c r="AO1641" s="79">
        <f>IF(AN1641="","",IF(AD1641=0,"OK",_xlfn.LET(monedaPago, IF(AA1641="","USD",AA1641), limitePermitido, IFERROR(VLOOKUP(monedaPago, Configuración!$A$2:$B$3, 2, FALSE), 0.15), IF(AD1641&gt;limitePermitido, "ALERTA: EXCESO (" &amp; TEXT(limitePermitido, "0%") &amp; " máx)", "OK"))))</f>
        <v/>
      </c>
      <c r="AP1641" s="79">
        <f>IF(AN1641="","",IF(AE1641=0,"OK",_xlfn.LET(fechaPago, Z1641, fechaFactura, R1641, diasCredito, IF(E1641="Pago inmediato", 0, IFERROR(VALUE(MID(E1641, 1, SEARCH(" ", E1641)-1)),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41" s="79">
        <f>IF(AN1641="","",IF(AND(N1641&gt;0, AG1641&gt;0), IF(Configuración!$K$2="NO", "ALERTA: DESCUENTO DOBLE NO PERMITIDO", "OK"), "OK"))</f>
        <v/>
      </c>
      <c r="AR1641" s="79">
        <f>IF(AN1641="","",IF(OR(AO1641&lt;&gt;"OK", AP1641&lt;&gt;"OK", AQ1641&lt;&gt;"OK"), "⚠️ REVISAR", "OK"))</f>
        <v/>
      </c>
    </row>
    <row r="1642">
      <c r="A1642" s="79">
        <f>IF('Ordenes_Odoo'!A1642="","",'Ordenes_Odoo'!A1642)</f>
        <v/>
      </c>
      <c r="B1642" s="80">
        <f>IF('Ordenes_Odoo'!B1642="","",'Ordenes_Odoo'!B1642)</f>
        <v/>
      </c>
      <c r="C1642" s="79">
        <f>IF('Ordenes_Odoo'!C1642="","",'Ordenes_Odoo'!C1642)</f>
        <v/>
      </c>
      <c r="D1642" s="79">
        <f>IF('Ordenes_Odoo'!D1642="","",'Ordenes_Odoo'!D1642)</f>
        <v/>
      </c>
      <c r="E1642" s="79">
        <f>IF('Ordenes_Odoo'!E1642="","",'Ordenes_Odoo'!E1642)</f>
        <v/>
      </c>
      <c r="F1642" s="79">
        <f>IF('Ordenes_Odoo'!F1642="","",'Ordenes_Odoo'!F1642)</f>
        <v/>
      </c>
      <c r="G1642" s="79">
        <f>IF('Ordenes_Odoo'!G1642="","",'Ordenes_Odoo'!G1642)</f>
        <v/>
      </c>
      <c r="H1642" s="79">
        <f>IF('Ordenes_Odoo'!H1642="","",'Ordenes_Odoo'!H1642)</f>
        <v/>
      </c>
      <c r="I1642" s="79">
        <f>IF('Ordenes_Odoo'!I1642="","",'Ordenes_Odoo'!I1642)</f>
        <v/>
      </c>
      <c r="J1642" s="79">
        <f>IF('Ordenes_Odoo'!J1642="","",'Ordenes_Odoo'!J1642)</f>
        <v/>
      </c>
      <c r="K1642" s="81">
        <f>IF('Ordenes_Odoo'!K1642="","",'Ordenes_Odoo'!K1642)</f>
        <v/>
      </c>
      <c r="L1642" s="81">
        <f>IF('Ordenes_Odoo'!L1642="","",'Ordenes_Odoo'!L1642)</f>
        <v/>
      </c>
      <c r="M1642" s="79">
        <f>IF('Ordenes_Odoo'!M1642="","",'Ordenes_Odoo'!M1642)</f>
        <v/>
      </c>
      <c r="N1642" s="79">
        <f>IF('Ordenes_Odoo'!N1642="","",'Ordenes_Odoo'!N1642)</f>
        <v/>
      </c>
      <c r="O1642" s="81">
        <f>IF('Ordenes_Odoo'!O1642="","",'Ordenes_Odoo'!O1642)</f>
        <v/>
      </c>
      <c r="P1642" s="81">
        <f>IF('Ordenes_Odoo'!P1642="","",'Ordenes_Odoo'!P1642)</f>
        <v/>
      </c>
      <c r="Q1642" s="79">
        <f>IF(A1642="","",IFERROR(INDEX(Facturas_Odoo!$B:$B, MATCH(A1642, Facturas_Odoo!$D:$D, 0)), "Sin Factura"))</f>
        <v/>
      </c>
      <c r="R1642" s="80">
        <f>IF(Q1642="Sin Factura","",IFERROR(INDEX(Facturas_Odoo!$A:$A, MATCH(Q1642, Facturas_Odoo!$B:$B, 0)), ""))</f>
        <v/>
      </c>
      <c r="S1642" s="79">
        <f>IF(Q1642="Sin Factura","",IFERROR(_xlfn.XLOOKUP(1, (Facturas_Odoo!$D:$D=A1642) * (Facturas_Odoo!$K:$K=I1642), Facturas_Odoo!$L:$L, ""), ""))</f>
        <v/>
      </c>
      <c r="T1642" s="81">
        <f>IF(Q1642="Sin Factura",0,IFERROR(_xlfn.XLOOKUP(1, (Facturas_Odoo!$D:$D=A1642) * (Facturas_Odoo!$K:$K=I1642), Facturas_Odoo!$M:$M, 0), 0))</f>
        <v/>
      </c>
      <c r="U1642" s="79">
        <f>IF(Q1642="Sin Factura",0,IFERROR(_xlfn.XLOOKUP(1, (Facturas_Odoo!$D:$D=A1642) * (Facturas_Odoo!$K:$K=I1642), Facturas_Odoo!$N:$N, 0), 0))</f>
        <v/>
      </c>
      <c r="V1642" s="79">
        <f>IF(Q1642="Sin Factura",0,IFERROR(_xlfn.XLOOKUP(1, (Facturas_Odoo!$D:$D=A1642) * (Facturas_Odoo!$K:$K=I1642), Facturas_Odoo!$O:$O, 0), 0))</f>
        <v/>
      </c>
      <c r="W1642" s="81">
        <f>IF(Q1642="Sin Factura",0,IFERROR(_xlfn.XLOOKUP(1, (Facturas_Odoo!$D:$D=A1642) * (Facturas_Odoo!$K:$K=I1642), Facturas_Odoo!$Q:$Q, 0), 0))</f>
        <v/>
      </c>
      <c r="X1642" s="79">
        <f>IF(OR(Q1642="Sin Factura",Q1642=""),"",IFERROR(INDEX(Pagos_Odoo!$B:$B, MATCH(Q1642, Pagos_Odoo!$I:$I, 0)), "Sin Pago"))</f>
        <v/>
      </c>
      <c r="Y1642" s="79">
        <f>IF(X1642="Sin Pago","",IFERROR(INDEX(Pagos_Odoo!$C:$C, MATCH(X1642, Pagos_Odoo!$B:$B, 0)), ""))</f>
        <v/>
      </c>
      <c r="Z1642" s="80">
        <f>IF(X1642="Sin Pago","",IFERROR(INDEX(Pagos_Odoo!$A:$A, MATCH(X1642, Pagos_Odoo!$B:$B, 0)), ""))</f>
        <v/>
      </c>
      <c r="AA1642" s="79">
        <f>IF(X1642="Sin Pago","",IFERROR(INDEX(Pagos_Odoo!$F:$F, MATCH(X1642, Pagos_Odoo!$B:$B, 0)), ""))</f>
        <v/>
      </c>
      <c r="AB1642" s="81">
        <f>IF(X1642="Sin Pago",0,IFERROR(INDEX(Pagos_Odoo!$E:$E, MATCH(X1642, Pagos_Odoo!$B:$B, 0)), 0))</f>
        <v/>
      </c>
      <c r="AC1642" s="79">
        <f>IF(X1642="Sin Pago","",IFERROR(INDEX(Pagos_Odoo!$G:$G, MATCH(X1642, Pagos_Odoo!$B:$B, 0)), ""))</f>
        <v/>
      </c>
      <c r="AD1642" s="82" t="n">
        <v>0</v>
      </c>
      <c r="AE1642" s="82" t="n"/>
      <c r="AF1642" s="82" t="n"/>
      <c r="AG1642" s="82">
        <f>IF(AN1642="","",AD1642+AE1642+AF1642)</f>
        <v/>
      </c>
      <c r="AH1642" s="81">
        <f>IF(AN1642="","",P1642*(1-AG1642))</f>
        <v/>
      </c>
      <c r="AI1642" s="81">
        <f>IF(AN1642="","",IF(Q1642="Sin Factura",0,IFERROR(INDEX(Facturas_Odoo!$H:$H, MATCH(Q1642, Facturas_Odoo!$B:$B, 0)), 0)*(1-AG1642)))</f>
        <v/>
      </c>
      <c r="AJ1642" s="81">
        <f>IF(AN1642="","",_xlfn.LET(idVenta, AN1642&amp;"",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42" s="81">
        <f>IF(AN1642="","",AH1642-AJ1642)</f>
        <v/>
      </c>
      <c r="AL1642" s="81">
        <f>IF(AN1642="","",IF(Q1642="Sin Factura","",AI1642-AJ1642))</f>
        <v/>
      </c>
      <c r="AM1642" s="81">
        <f>IF(AN1642="","",IF(Q1642="Sin Factura",0,P1642-IFERROR(INDEX(Facturas_Odoo!$H:$H, MATCH(Q1642, Facturas_Odoo!$B:$B, 0)), 0)))</f>
        <v/>
      </c>
      <c r="AN1642" s="79">
        <f>IF(AND(A1642="", J1642=""), "", IF(A1642&lt;&gt;"", VALUE(MID(A1642,2,LEN(A1642))), AN1641))</f>
        <v/>
      </c>
      <c r="AO1642" s="79">
        <f>IF(AN1642="","",IF(AD1642=0,"OK",_xlfn.LET(monedaPago, IF(AA1642="","USD",AA1642), limitePermitido, IFERROR(VLOOKUP(monedaPago, Configuración!$A$2:$B$3, 2, FALSE), 0.15), IF(AD1642&gt;limitePermitido, "ALERTA: EXCESO (" &amp; TEXT(limitePermitido, "0%") &amp; " máx)", "OK"))))</f>
        <v/>
      </c>
      <c r="AP1642" s="79">
        <f>IF(AN1642="","",IF(AE1642=0,"OK",_xlfn.LET(fechaPago, Z1642, fechaFactura, R1642, diasCredito, IF(E1642="Pago inmediato", 0, IFERROR(VALUE(MID(E1642, 1, SEARCH(" ", E1642)-1)),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42" s="79">
        <f>IF(AN1642="","",IF(AND(N1642&gt;0, AG1642&gt;0), IF(Configuración!$K$2="NO", "ALERTA: DESCUENTO DOBLE NO PERMITIDO", "OK"), "OK"))</f>
        <v/>
      </c>
      <c r="AR1642" s="79">
        <f>IF(AN1642="","",IF(OR(AO1642&lt;&gt;"OK", AP1642&lt;&gt;"OK", AQ1642&lt;&gt;"OK"), "⚠️ REVISAR", "OK"))</f>
        <v/>
      </c>
    </row>
    <row r="1643">
      <c r="A1643" s="79">
        <f>IF('Ordenes_Odoo'!A1643="","",'Ordenes_Odoo'!A1643)</f>
        <v/>
      </c>
      <c r="B1643" s="80">
        <f>IF('Ordenes_Odoo'!B1643="","",'Ordenes_Odoo'!B1643)</f>
        <v/>
      </c>
      <c r="C1643" s="79">
        <f>IF('Ordenes_Odoo'!C1643="","",'Ordenes_Odoo'!C1643)</f>
        <v/>
      </c>
      <c r="D1643" s="79">
        <f>IF('Ordenes_Odoo'!D1643="","",'Ordenes_Odoo'!D1643)</f>
        <v/>
      </c>
      <c r="E1643" s="79">
        <f>IF('Ordenes_Odoo'!E1643="","",'Ordenes_Odoo'!E1643)</f>
        <v/>
      </c>
      <c r="F1643" s="79">
        <f>IF('Ordenes_Odoo'!F1643="","",'Ordenes_Odoo'!F1643)</f>
        <v/>
      </c>
      <c r="G1643" s="79">
        <f>IF('Ordenes_Odoo'!G1643="","",'Ordenes_Odoo'!G1643)</f>
        <v/>
      </c>
      <c r="H1643" s="79">
        <f>IF('Ordenes_Odoo'!H1643="","",'Ordenes_Odoo'!H1643)</f>
        <v/>
      </c>
      <c r="I1643" s="79">
        <f>IF('Ordenes_Odoo'!I1643="","",'Ordenes_Odoo'!I1643)</f>
        <v/>
      </c>
      <c r="J1643" s="79">
        <f>IF('Ordenes_Odoo'!J1643="","",'Ordenes_Odoo'!J1643)</f>
        <v/>
      </c>
      <c r="K1643" s="81">
        <f>IF('Ordenes_Odoo'!K1643="","",'Ordenes_Odoo'!K1643)</f>
        <v/>
      </c>
      <c r="L1643" s="81">
        <f>IF('Ordenes_Odoo'!L1643="","",'Ordenes_Odoo'!L1643)</f>
        <v/>
      </c>
      <c r="M1643" s="79">
        <f>IF('Ordenes_Odoo'!M1643="","",'Ordenes_Odoo'!M1643)</f>
        <v/>
      </c>
      <c r="N1643" s="79">
        <f>IF('Ordenes_Odoo'!N1643="","",'Ordenes_Odoo'!N1643)</f>
        <v/>
      </c>
      <c r="O1643" s="81">
        <f>IF('Ordenes_Odoo'!O1643="","",'Ordenes_Odoo'!O1643)</f>
        <v/>
      </c>
      <c r="P1643" s="81">
        <f>IF('Ordenes_Odoo'!P1643="","",'Ordenes_Odoo'!P1643)</f>
        <v/>
      </c>
      <c r="Q1643" s="79">
        <f>IF(A1643="","",IFERROR(INDEX(Facturas_Odoo!$B:$B, MATCH(A1643, Facturas_Odoo!$D:$D, 0)), "Sin Factura"))</f>
        <v/>
      </c>
      <c r="R1643" s="80">
        <f>IF(Q1643="Sin Factura","",IFERROR(INDEX(Facturas_Odoo!$A:$A, MATCH(Q1643, Facturas_Odoo!$B:$B, 0)), ""))</f>
        <v/>
      </c>
      <c r="S1643" s="79">
        <f>IF(Q1643="Sin Factura","",IFERROR(_xlfn.XLOOKUP(1, (Facturas_Odoo!$D:$D=A1643) * (Facturas_Odoo!$K:$K=I1643), Facturas_Odoo!$L:$L, ""), ""))</f>
        <v/>
      </c>
      <c r="T1643" s="81">
        <f>IF(Q1643="Sin Factura",0,IFERROR(_xlfn.XLOOKUP(1, (Facturas_Odoo!$D:$D=A1643) * (Facturas_Odoo!$K:$K=I1643), Facturas_Odoo!$M:$M, 0), 0))</f>
        <v/>
      </c>
      <c r="U1643" s="79">
        <f>IF(Q1643="Sin Factura",0,IFERROR(_xlfn.XLOOKUP(1, (Facturas_Odoo!$D:$D=A1643) * (Facturas_Odoo!$K:$K=I1643), Facturas_Odoo!$N:$N, 0), 0))</f>
        <v/>
      </c>
      <c r="V1643" s="79">
        <f>IF(Q1643="Sin Factura",0,IFERROR(_xlfn.XLOOKUP(1, (Facturas_Odoo!$D:$D=A1643) * (Facturas_Odoo!$K:$K=I1643), Facturas_Odoo!$O:$O, 0), 0))</f>
        <v/>
      </c>
      <c r="W1643" s="81">
        <f>IF(Q1643="Sin Factura",0,IFERROR(_xlfn.XLOOKUP(1, (Facturas_Odoo!$D:$D=A1643) * (Facturas_Odoo!$K:$K=I1643), Facturas_Odoo!$Q:$Q, 0), 0))</f>
        <v/>
      </c>
      <c r="X1643" s="79">
        <f>IF(OR(Q1643="Sin Factura",Q1643=""),"",IFERROR(INDEX(Pagos_Odoo!$B:$B, MATCH(Q1643, Pagos_Odoo!$I:$I, 0)), "Sin Pago"))</f>
        <v/>
      </c>
      <c r="Y1643" s="79">
        <f>IF(X1643="Sin Pago","",IFERROR(INDEX(Pagos_Odoo!$C:$C, MATCH(X1643, Pagos_Odoo!$B:$B, 0)), ""))</f>
        <v/>
      </c>
      <c r="Z1643" s="80">
        <f>IF(X1643="Sin Pago","",IFERROR(INDEX(Pagos_Odoo!$A:$A, MATCH(X1643, Pagos_Odoo!$B:$B, 0)), ""))</f>
        <v/>
      </c>
      <c r="AA1643" s="79">
        <f>IF(X1643="Sin Pago","",IFERROR(INDEX(Pagos_Odoo!$F:$F, MATCH(X1643, Pagos_Odoo!$B:$B, 0)), ""))</f>
        <v/>
      </c>
      <c r="AB1643" s="81">
        <f>IF(X1643="Sin Pago",0,IFERROR(INDEX(Pagos_Odoo!$E:$E, MATCH(X1643, Pagos_Odoo!$B:$B, 0)), 0))</f>
        <v/>
      </c>
      <c r="AC1643" s="79">
        <f>IF(X1643="Sin Pago","",IFERROR(INDEX(Pagos_Odoo!$G:$G, MATCH(X1643, Pagos_Odoo!$B:$B, 0)), ""))</f>
        <v/>
      </c>
      <c r="AD1643" s="82" t="n">
        <v>0</v>
      </c>
      <c r="AE1643" s="82" t="n"/>
      <c r="AF1643" s="82" t="n"/>
      <c r="AG1643" s="82">
        <f>IF(AN1643="","",AD1643+AE1643+AF1643)</f>
        <v/>
      </c>
      <c r="AH1643" s="81">
        <f>IF(AN1643="","",P1643*(1-AG1643))</f>
        <v/>
      </c>
      <c r="AI1643" s="81">
        <f>IF(AN1643="","",IF(Q1643="Sin Factura",0,IFERROR(INDEX(Facturas_Odoo!$H:$H, MATCH(Q1643, Facturas_Odoo!$B:$B, 0)), 0)*(1-AG1643)))</f>
        <v/>
      </c>
      <c r="AJ1643" s="81">
        <f>IF(AN1643="","",_xlfn.LET(idVenta, AN1643&amp;"",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43" s="81">
        <f>IF(AN1643="","",AH1643-AJ1643)</f>
        <v/>
      </c>
      <c r="AL1643" s="81">
        <f>IF(AN1643="","",IF(Q1643="Sin Factura","",AI1643-AJ1643))</f>
        <v/>
      </c>
      <c r="AM1643" s="81">
        <f>IF(AN1643="","",IF(Q1643="Sin Factura",0,P1643-IFERROR(INDEX(Facturas_Odoo!$H:$H, MATCH(Q1643, Facturas_Odoo!$B:$B, 0)), 0)))</f>
        <v/>
      </c>
      <c r="AN1643" s="79">
        <f>IF(AND(A1643="", J1643=""), "", IF(A1643&lt;&gt;"", VALUE(MID(A1643,2,LEN(A1643))), AN1642))</f>
        <v/>
      </c>
      <c r="AO1643" s="79">
        <f>IF(AN1643="","",IF(AD1643=0,"OK",_xlfn.LET(monedaPago, IF(AA1643="","USD",AA1643), limitePermitido, IFERROR(VLOOKUP(monedaPago, Configuración!$A$2:$B$3, 2, FALSE), 0.15), IF(AD1643&gt;limitePermitido, "ALERTA: EXCESO (" &amp; TEXT(limitePermitido, "0%") &amp; " máx)", "OK"))))</f>
        <v/>
      </c>
      <c r="AP1643" s="79">
        <f>IF(AN1643="","",IF(AE1643=0,"OK",_xlfn.LET(fechaPago, Z1643, fechaFactura, R1643, diasCredito, IF(E1643="Pago inmediato", 0, IFERROR(VALUE(MID(E1643, 1, SEARCH(" ", E1643)-1)),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43" s="79">
        <f>IF(AN1643="","",IF(AND(N1643&gt;0, AG1643&gt;0), IF(Configuración!$K$2="NO", "ALERTA: DESCUENTO DOBLE NO PERMITIDO", "OK"), "OK"))</f>
        <v/>
      </c>
      <c r="AR1643" s="79">
        <f>IF(AN1643="","",IF(OR(AO1643&lt;&gt;"OK", AP1643&lt;&gt;"OK", AQ1643&lt;&gt;"OK"), "⚠️ REVISAR", "OK"))</f>
        <v/>
      </c>
    </row>
    <row r="1644">
      <c r="A1644" s="79">
        <f>IF('Ordenes_Odoo'!A1644="","",'Ordenes_Odoo'!A1644)</f>
        <v/>
      </c>
      <c r="B1644" s="80">
        <f>IF('Ordenes_Odoo'!B1644="","",'Ordenes_Odoo'!B1644)</f>
        <v/>
      </c>
      <c r="C1644" s="79">
        <f>IF('Ordenes_Odoo'!C1644="","",'Ordenes_Odoo'!C1644)</f>
        <v/>
      </c>
      <c r="D1644" s="79">
        <f>IF('Ordenes_Odoo'!D1644="","",'Ordenes_Odoo'!D1644)</f>
        <v/>
      </c>
      <c r="E1644" s="79">
        <f>IF('Ordenes_Odoo'!E1644="","",'Ordenes_Odoo'!E1644)</f>
        <v/>
      </c>
      <c r="F1644" s="79">
        <f>IF('Ordenes_Odoo'!F1644="","",'Ordenes_Odoo'!F1644)</f>
        <v/>
      </c>
      <c r="G1644" s="79">
        <f>IF('Ordenes_Odoo'!G1644="","",'Ordenes_Odoo'!G1644)</f>
        <v/>
      </c>
      <c r="H1644" s="79">
        <f>IF('Ordenes_Odoo'!H1644="","",'Ordenes_Odoo'!H1644)</f>
        <v/>
      </c>
      <c r="I1644" s="79">
        <f>IF('Ordenes_Odoo'!I1644="","",'Ordenes_Odoo'!I1644)</f>
        <v/>
      </c>
      <c r="J1644" s="79">
        <f>IF('Ordenes_Odoo'!J1644="","",'Ordenes_Odoo'!J1644)</f>
        <v/>
      </c>
      <c r="K1644" s="81">
        <f>IF('Ordenes_Odoo'!K1644="","",'Ordenes_Odoo'!K1644)</f>
        <v/>
      </c>
      <c r="L1644" s="81">
        <f>IF('Ordenes_Odoo'!L1644="","",'Ordenes_Odoo'!L1644)</f>
        <v/>
      </c>
      <c r="M1644" s="79">
        <f>IF('Ordenes_Odoo'!M1644="","",'Ordenes_Odoo'!M1644)</f>
        <v/>
      </c>
      <c r="N1644" s="79">
        <f>IF('Ordenes_Odoo'!N1644="","",'Ordenes_Odoo'!N1644)</f>
        <v/>
      </c>
      <c r="O1644" s="81">
        <f>IF('Ordenes_Odoo'!O1644="","",'Ordenes_Odoo'!O1644)</f>
        <v/>
      </c>
      <c r="P1644" s="81">
        <f>IF('Ordenes_Odoo'!P1644="","",'Ordenes_Odoo'!P1644)</f>
        <v/>
      </c>
      <c r="Q1644" s="79">
        <f>IF(A1644="","",IFERROR(INDEX(Facturas_Odoo!$B:$B, MATCH(A1644, Facturas_Odoo!$D:$D, 0)), "Sin Factura"))</f>
        <v/>
      </c>
      <c r="R1644" s="80">
        <f>IF(Q1644="Sin Factura","",IFERROR(INDEX(Facturas_Odoo!$A:$A, MATCH(Q1644, Facturas_Odoo!$B:$B, 0)), ""))</f>
        <v/>
      </c>
      <c r="S1644" s="79">
        <f>IF(Q1644="Sin Factura","",IFERROR(_xlfn.XLOOKUP(1, (Facturas_Odoo!$D:$D=A1644) * (Facturas_Odoo!$K:$K=I1644), Facturas_Odoo!$L:$L, ""), ""))</f>
        <v/>
      </c>
      <c r="T1644" s="81">
        <f>IF(Q1644="Sin Factura",0,IFERROR(_xlfn.XLOOKUP(1, (Facturas_Odoo!$D:$D=A1644) * (Facturas_Odoo!$K:$K=I1644), Facturas_Odoo!$M:$M, 0), 0))</f>
        <v/>
      </c>
      <c r="U1644" s="79">
        <f>IF(Q1644="Sin Factura",0,IFERROR(_xlfn.XLOOKUP(1, (Facturas_Odoo!$D:$D=A1644) * (Facturas_Odoo!$K:$K=I1644), Facturas_Odoo!$N:$N, 0), 0))</f>
        <v/>
      </c>
      <c r="V1644" s="79">
        <f>IF(Q1644="Sin Factura",0,IFERROR(_xlfn.XLOOKUP(1, (Facturas_Odoo!$D:$D=A1644) * (Facturas_Odoo!$K:$K=I1644), Facturas_Odoo!$O:$O, 0), 0))</f>
        <v/>
      </c>
      <c r="W1644" s="81">
        <f>IF(Q1644="Sin Factura",0,IFERROR(_xlfn.XLOOKUP(1, (Facturas_Odoo!$D:$D=A1644) * (Facturas_Odoo!$K:$K=I1644), Facturas_Odoo!$Q:$Q, 0), 0))</f>
        <v/>
      </c>
      <c r="X1644" s="79">
        <f>IF(OR(Q1644="Sin Factura",Q1644=""),"",IFERROR(INDEX(Pagos_Odoo!$B:$B, MATCH(Q1644, Pagos_Odoo!$I:$I, 0)), "Sin Pago"))</f>
        <v/>
      </c>
      <c r="Y1644" s="79">
        <f>IF(X1644="Sin Pago","",IFERROR(INDEX(Pagos_Odoo!$C:$C, MATCH(X1644, Pagos_Odoo!$B:$B, 0)), ""))</f>
        <v/>
      </c>
      <c r="Z1644" s="80">
        <f>IF(X1644="Sin Pago","",IFERROR(INDEX(Pagos_Odoo!$A:$A, MATCH(X1644, Pagos_Odoo!$B:$B, 0)), ""))</f>
        <v/>
      </c>
      <c r="AA1644" s="79">
        <f>IF(X1644="Sin Pago","",IFERROR(INDEX(Pagos_Odoo!$F:$F, MATCH(X1644, Pagos_Odoo!$B:$B, 0)), ""))</f>
        <v/>
      </c>
      <c r="AB1644" s="81">
        <f>IF(X1644="Sin Pago",0,IFERROR(INDEX(Pagos_Odoo!$E:$E, MATCH(X1644, Pagos_Odoo!$B:$B, 0)), 0))</f>
        <v/>
      </c>
      <c r="AC1644" s="79">
        <f>IF(X1644="Sin Pago","",IFERROR(INDEX(Pagos_Odoo!$G:$G, MATCH(X1644, Pagos_Odoo!$B:$B, 0)), ""))</f>
        <v/>
      </c>
      <c r="AD1644" s="82" t="n">
        <v>0</v>
      </c>
      <c r="AE1644" s="82" t="n"/>
      <c r="AF1644" s="82" t="n"/>
      <c r="AG1644" s="82">
        <f>IF(AN1644="","",AD1644+AE1644+AF1644)</f>
        <v/>
      </c>
      <c r="AH1644" s="81">
        <f>IF(AN1644="","",P1644*(1-AG1644))</f>
        <v/>
      </c>
      <c r="AI1644" s="81">
        <f>IF(AN1644="","",IF(Q1644="Sin Factura",0,IFERROR(INDEX(Facturas_Odoo!$H:$H, MATCH(Q1644, Facturas_Odoo!$B:$B, 0)), 0)*(1-AG1644)))</f>
        <v/>
      </c>
      <c r="AJ1644" s="81">
        <f>IF(AN1644="","",_xlfn.LET(idVenta, AN1644&amp;"",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44" s="81">
        <f>IF(AN1644="","",AH1644-AJ1644)</f>
        <v/>
      </c>
      <c r="AL1644" s="81">
        <f>IF(AN1644="","",IF(Q1644="Sin Factura","",AI1644-AJ1644))</f>
        <v/>
      </c>
      <c r="AM1644" s="81">
        <f>IF(AN1644="","",IF(Q1644="Sin Factura",0,P1644-IFERROR(INDEX(Facturas_Odoo!$H:$H, MATCH(Q1644, Facturas_Odoo!$B:$B, 0)), 0)))</f>
        <v/>
      </c>
      <c r="AN1644" s="79">
        <f>IF(AND(A1644="", J1644=""), "", IF(A1644&lt;&gt;"", VALUE(MID(A1644,2,LEN(A1644))), AN1643))</f>
        <v/>
      </c>
      <c r="AO1644" s="79">
        <f>IF(AN1644="","",IF(AD1644=0,"OK",_xlfn.LET(monedaPago, IF(AA1644="","USD",AA1644), limitePermitido, IFERROR(VLOOKUP(monedaPago, Configuración!$A$2:$B$3, 2, FALSE), 0.15), IF(AD1644&gt;limitePermitido, "ALERTA: EXCESO (" &amp; TEXT(limitePermitido, "0%") &amp; " máx)", "OK"))))</f>
        <v/>
      </c>
      <c r="AP1644" s="79">
        <f>IF(AN1644="","",IF(AE1644=0,"OK",_xlfn.LET(fechaPago, Z1644, fechaFactura, R1644, diasCredito, IF(E1644="Pago inmediato", 0, IFERROR(VALUE(MID(E1644, 1, SEARCH(" ", E1644)-1)),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44" s="79">
        <f>IF(AN1644="","",IF(AND(N1644&gt;0, AG1644&gt;0), IF(Configuración!$K$2="NO", "ALERTA: DESCUENTO DOBLE NO PERMITIDO", "OK"), "OK"))</f>
        <v/>
      </c>
      <c r="AR1644" s="79">
        <f>IF(AN1644="","",IF(OR(AO1644&lt;&gt;"OK", AP1644&lt;&gt;"OK", AQ1644&lt;&gt;"OK"), "⚠️ REVISAR", "OK"))</f>
        <v/>
      </c>
    </row>
    <row r="1645">
      <c r="A1645" s="79">
        <f>IF('Ordenes_Odoo'!A1645="","",'Ordenes_Odoo'!A1645)</f>
        <v/>
      </c>
      <c r="B1645" s="80">
        <f>IF('Ordenes_Odoo'!B1645="","",'Ordenes_Odoo'!B1645)</f>
        <v/>
      </c>
      <c r="C1645" s="79">
        <f>IF('Ordenes_Odoo'!C1645="","",'Ordenes_Odoo'!C1645)</f>
        <v/>
      </c>
      <c r="D1645" s="79">
        <f>IF('Ordenes_Odoo'!D1645="","",'Ordenes_Odoo'!D1645)</f>
        <v/>
      </c>
      <c r="E1645" s="79">
        <f>IF('Ordenes_Odoo'!E1645="","",'Ordenes_Odoo'!E1645)</f>
        <v/>
      </c>
      <c r="F1645" s="79">
        <f>IF('Ordenes_Odoo'!F1645="","",'Ordenes_Odoo'!F1645)</f>
        <v/>
      </c>
      <c r="G1645" s="79">
        <f>IF('Ordenes_Odoo'!G1645="","",'Ordenes_Odoo'!G1645)</f>
        <v/>
      </c>
      <c r="H1645" s="79">
        <f>IF('Ordenes_Odoo'!H1645="","",'Ordenes_Odoo'!H1645)</f>
        <v/>
      </c>
      <c r="I1645" s="79">
        <f>IF('Ordenes_Odoo'!I1645="","",'Ordenes_Odoo'!I1645)</f>
        <v/>
      </c>
      <c r="J1645" s="79">
        <f>IF('Ordenes_Odoo'!J1645="","",'Ordenes_Odoo'!J1645)</f>
        <v/>
      </c>
      <c r="K1645" s="81">
        <f>IF('Ordenes_Odoo'!K1645="","",'Ordenes_Odoo'!K1645)</f>
        <v/>
      </c>
      <c r="L1645" s="81">
        <f>IF('Ordenes_Odoo'!L1645="","",'Ordenes_Odoo'!L1645)</f>
        <v/>
      </c>
      <c r="M1645" s="79">
        <f>IF('Ordenes_Odoo'!M1645="","",'Ordenes_Odoo'!M1645)</f>
        <v/>
      </c>
      <c r="N1645" s="79">
        <f>IF('Ordenes_Odoo'!N1645="","",'Ordenes_Odoo'!N1645)</f>
        <v/>
      </c>
      <c r="O1645" s="81">
        <f>IF('Ordenes_Odoo'!O1645="","",'Ordenes_Odoo'!O1645)</f>
        <v/>
      </c>
      <c r="P1645" s="81">
        <f>IF('Ordenes_Odoo'!P1645="","",'Ordenes_Odoo'!P1645)</f>
        <v/>
      </c>
      <c r="Q1645" s="79">
        <f>IF(A1645="","",IFERROR(INDEX(Facturas_Odoo!$B:$B, MATCH(A1645, Facturas_Odoo!$D:$D, 0)), "Sin Factura"))</f>
        <v/>
      </c>
      <c r="R1645" s="80">
        <f>IF(Q1645="Sin Factura","",IFERROR(INDEX(Facturas_Odoo!$A:$A, MATCH(Q1645, Facturas_Odoo!$B:$B, 0)), ""))</f>
        <v/>
      </c>
      <c r="S1645" s="79">
        <f>IF(Q1645="Sin Factura","",IFERROR(_xlfn.XLOOKUP(1, (Facturas_Odoo!$D:$D=A1645) * (Facturas_Odoo!$K:$K=I1645), Facturas_Odoo!$L:$L, ""), ""))</f>
        <v/>
      </c>
      <c r="T1645" s="81">
        <f>IF(Q1645="Sin Factura",0,IFERROR(_xlfn.XLOOKUP(1, (Facturas_Odoo!$D:$D=A1645) * (Facturas_Odoo!$K:$K=I1645), Facturas_Odoo!$M:$M, 0), 0))</f>
        <v/>
      </c>
      <c r="U1645" s="79">
        <f>IF(Q1645="Sin Factura",0,IFERROR(_xlfn.XLOOKUP(1, (Facturas_Odoo!$D:$D=A1645) * (Facturas_Odoo!$K:$K=I1645), Facturas_Odoo!$N:$N, 0), 0))</f>
        <v/>
      </c>
      <c r="V1645" s="79">
        <f>IF(Q1645="Sin Factura",0,IFERROR(_xlfn.XLOOKUP(1, (Facturas_Odoo!$D:$D=A1645) * (Facturas_Odoo!$K:$K=I1645), Facturas_Odoo!$O:$O, 0), 0))</f>
        <v/>
      </c>
      <c r="W1645" s="81">
        <f>IF(Q1645="Sin Factura",0,IFERROR(_xlfn.XLOOKUP(1, (Facturas_Odoo!$D:$D=A1645) * (Facturas_Odoo!$K:$K=I1645), Facturas_Odoo!$Q:$Q, 0), 0))</f>
        <v/>
      </c>
      <c r="X1645" s="79">
        <f>IF(OR(Q1645="Sin Factura",Q1645=""),"",IFERROR(INDEX(Pagos_Odoo!$B:$B, MATCH(Q1645, Pagos_Odoo!$I:$I, 0)), "Sin Pago"))</f>
        <v/>
      </c>
      <c r="Y1645" s="79">
        <f>IF(X1645="Sin Pago","",IFERROR(INDEX(Pagos_Odoo!$C:$C, MATCH(X1645, Pagos_Odoo!$B:$B, 0)), ""))</f>
        <v/>
      </c>
      <c r="Z1645" s="80">
        <f>IF(X1645="Sin Pago","",IFERROR(INDEX(Pagos_Odoo!$A:$A, MATCH(X1645, Pagos_Odoo!$B:$B, 0)), ""))</f>
        <v/>
      </c>
      <c r="AA1645" s="79">
        <f>IF(X1645="Sin Pago","",IFERROR(INDEX(Pagos_Odoo!$F:$F, MATCH(X1645, Pagos_Odoo!$B:$B, 0)), ""))</f>
        <v/>
      </c>
      <c r="AB1645" s="81">
        <f>IF(X1645="Sin Pago",0,IFERROR(INDEX(Pagos_Odoo!$E:$E, MATCH(X1645, Pagos_Odoo!$B:$B, 0)), 0))</f>
        <v/>
      </c>
      <c r="AC1645" s="79">
        <f>IF(X1645="Sin Pago","",IFERROR(INDEX(Pagos_Odoo!$G:$G, MATCH(X1645, Pagos_Odoo!$B:$B, 0)), ""))</f>
        <v/>
      </c>
      <c r="AD1645" s="82" t="n">
        <v>0</v>
      </c>
      <c r="AE1645" s="82" t="n"/>
      <c r="AF1645" s="82" t="n"/>
      <c r="AG1645" s="82">
        <f>IF(AN1645="","",AD1645+AE1645+AF1645)</f>
        <v/>
      </c>
      <c r="AH1645" s="81">
        <f>IF(AN1645="","",P1645*(1-AG1645))</f>
        <v/>
      </c>
      <c r="AI1645" s="81">
        <f>IF(AN1645="","",IF(Q1645="Sin Factura",0,IFERROR(INDEX(Facturas_Odoo!$H:$H, MATCH(Q1645, Facturas_Odoo!$B:$B, 0)), 0)*(1-AG1645)))</f>
        <v/>
      </c>
      <c r="AJ1645" s="81">
        <f>IF(AN1645="","",_xlfn.LET(idVenta, AN1645&amp;"",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45" s="81">
        <f>IF(AN1645="","",AH1645-AJ1645)</f>
        <v/>
      </c>
      <c r="AL1645" s="81">
        <f>IF(AN1645="","",IF(Q1645="Sin Factura","",AI1645-AJ1645))</f>
        <v/>
      </c>
      <c r="AM1645" s="81">
        <f>IF(AN1645="","",IF(Q1645="Sin Factura",0,P1645-IFERROR(INDEX(Facturas_Odoo!$H:$H, MATCH(Q1645, Facturas_Odoo!$B:$B, 0)), 0)))</f>
        <v/>
      </c>
      <c r="AN1645" s="79">
        <f>IF(AND(A1645="", J1645=""), "", IF(A1645&lt;&gt;"", VALUE(MID(A1645,2,LEN(A1645))), AN1644))</f>
        <v/>
      </c>
      <c r="AO1645" s="79">
        <f>IF(AN1645="","",IF(AD1645=0,"OK",_xlfn.LET(monedaPago, IF(AA1645="","USD",AA1645), limitePermitido, IFERROR(VLOOKUP(monedaPago, Configuración!$A$2:$B$3, 2, FALSE), 0.15), IF(AD1645&gt;limitePermitido, "ALERTA: EXCESO (" &amp; TEXT(limitePermitido, "0%") &amp; " máx)", "OK"))))</f>
        <v/>
      </c>
      <c r="AP1645" s="79">
        <f>IF(AN1645="","",IF(AE1645=0,"OK",_xlfn.LET(fechaPago, Z1645, fechaFactura, R1645, diasCredito, IF(E1645="Pago inmediato", 0, IFERROR(VALUE(MID(E1645, 1, SEARCH(" ", E1645)-1)),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45" s="79">
        <f>IF(AN1645="","",IF(AND(N1645&gt;0, AG1645&gt;0), IF(Configuración!$K$2="NO", "ALERTA: DESCUENTO DOBLE NO PERMITIDO", "OK"), "OK"))</f>
        <v/>
      </c>
      <c r="AR1645" s="79">
        <f>IF(AN1645="","",IF(OR(AO1645&lt;&gt;"OK", AP1645&lt;&gt;"OK", AQ1645&lt;&gt;"OK"), "⚠️ REVISAR", "OK"))</f>
        <v/>
      </c>
    </row>
    <row r="1646">
      <c r="A1646" s="79">
        <f>IF('Ordenes_Odoo'!A1646="","",'Ordenes_Odoo'!A1646)</f>
        <v/>
      </c>
      <c r="B1646" s="80">
        <f>IF('Ordenes_Odoo'!B1646="","",'Ordenes_Odoo'!B1646)</f>
        <v/>
      </c>
      <c r="C1646" s="79">
        <f>IF('Ordenes_Odoo'!C1646="","",'Ordenes_Odoo'!C1646)</f>
        <v/>
      </c>
      <c r="D1646" s="79">
        <f>IF('Ordenes_Odoo'!D1646="","",'Ordenes_Odoo'!D1646)</f>
        <v/>
      </c>
      <c r="E1646" s="79">
        <f>IF('Ordenes_Odoo'!E1646="","",'Ordenes_Odoo'!E1646)</f>
        <v/>
      </c>
      <c r="F1646" s="79">
        <f>IF('Ordenes_Odoo'!F1646="","",'Ordenes_Odoo'!F1646)</f>
        <v/>
      </c>
      <c r="G1646" s="79">
        <f>IF('Ordenes_Odoo'!G1646="","",'Ordenes_Odoo'!G1646)</f>
        <v/>
      </c>
      <c r="H1646" s="79">
        <f>IF('Ordenes_Odoo'!H1646="","",'Ordenes_Odoo'!H1646)</f>
        <v/>
      </c>
      <c r="I1646" s="79">
        <f>IF('Ordenes_Odoo'!I1646="","",'Ordenes_Odoo'!I1646)</f>
        <v/>
      </c>
      <c r="J1646" s="79">
        <f>IF('Ordenes_Odoo'!J1646="","",'Ordenes_Odoo'!J1646)</f>
        <v/>
      </c>
      <c r="K1646" s="81">
        <f>IF('Ordenes_Odoo'!K1646="","",'Ordenes_Odoo'!K1646)</f>
        <v/>
      </c>
      <c r="L1646" s="81">
        <f>IF('Ordenes_Odoo'!L1646="","",'Ordenes_Odoo'!L1646)</f>
        <v/>
      </c>
      <c r="M1646" s="79">
        <f>IF('Ordenes_Odoo'!M1646="","",'Ordenes_Odoo'!M1646)</f>
        <v/>
      </c>
      <c r="N1646" s="79">
        <f>IF('Ordenes_Odoo'!N1646="","",'Ordenes_Odoo'!N1646)</f>
        <v/>
      </c>
      <c r="O1646" s="81">
        <f>IF('Ordenes_Odoo'!O1646="","",'Ordenes_Odoo'!O1646)</f>
        <v/>
      </c>
      <c r="P1646" s="81">
        <f>IF('Ordenes_Odoo'!P1646="","",'Ordenes_Odoo'!P1646)</f>
        <v/>
      </c>
      <c r="Q1646" s="79">
        <f>IF(A1646="","",IFERROR(INDEX(Facturas_Odoo!$B:$B, MATCH(A1646, Facturas_Odoo!$D:$D, 0)), "Sin Factura"))</f>
        <v/>
      </c>
      <c r="R1646" s="80">
        <f>IF(Q1646="Sin Factura","",IFERROR(INDEX(Facturas_Odoo!$A:$A, MATCH(Q1646, Facturas_Odoo!$B:$B, 0)), ""))</f>
        <v/>
      </c>
      <c r="S1646" s="79">
        <f>IF(Q1646="Sin Factura","",IFERROR(_xlfn.XLOOKUP(1, (Facturas_Odoo!$D:$D=A1646) * (Facturas_Odoo!$K:$K=I1646), Facturas_Odoo!$L:$L, ""), ""))</f>
        <v/>
      </c>
      <c r="T1646" s="81">
        <f>IF(Q1646="Sin Factura",0,IFERROR(_xlfn.XLOOKUP(1, (Facturas_Odoo!$D:$D=A1646) * (Facturas_Odoo!$K:$K=I1646), Facturas_Odoo!$M:$M, 0), 0))</f>
        <v/>
      </c>
      <c r="U1646" s="79">
        <f>IF(Q1646="Sin Factura",0,IFERROR(_xlfn.XLOOKUP(1, (Facturas_Odoo!$D:$D=A1646) * (Facturas_Odoo!$K:$K=I1646), Facturas_Odoo!$N:$N, 0), 0))</f>
        <v/>
      </c>
      <c r="V1646" s="79">
        <f>IF(Q1646="Sin Factura",0,IFERROR(_xlfn.XLOOKUP(1, (Facturas_Odoo!$D:$D=A1646) * (Facturas_Odoo!$K:$K=I1646), Facturas_Odoo!$O:$O, 0), 0))</f>
        <v/>
      </c>
      <c r="W1646" s="81">
        <f>IF(Q1646="Sin Factura",0,IFERROR(_xlfn.XLOOKUP(1, (Facturas_Odoo!$D:$D=A1646) * (Facturas_Odoo!$K:$K=I1646), Facturas_Odoo!$Q:$Q, 0), 0))</f>
        <v/>
      </c>
      <c r="X1646" s="79">
        <f>IF(OR(Q1646="Sin Factura",Q1646=""),"",IFERROR(INDEX(Pagos_Odoo!$B:$B, MATCH(Q1646, Pagos_Odoo!$I:$I, 0)), "Sin Pago"))</f>
        <v/>
      </c>
      <c r="Y1646" s="79">
        <f>IF(X1646="Sin Pago","",IFERROR(INDEX(Pagos_Odoo!$C:$C, MATCH(X1646, Pagos_Odoo!$B:$B, 0)), ""))</f>
        <v/>
      </c>
      <c r="Z1646" s="80">
        <f>IF(X1646="Sin Pago","",IFERROR(INDEX(Pagos_Odoo!$A:$A, MATCH(X1646, Pagos_Odoo!$B:$B, 0)), ""))</f>
        <v/>
      </c>
      <c r="AA1646" s="79">
        <f>IF(X1646="Sin Pago","",IFERROR(INDEX(Pagos_Odoo!$F:$F, MATCH(X1646, Pagos_Odoo!$B:$B, 0)), ""))</f>
        <v/>
      </c>
      <c r="AB1646" s="81">
        <f>IF(X1646="Sin Pago",0,IFERROR(INDEX(Pagos_Odoo!$E:$E, MATCH(X1646, Pagos_Odoo!$B:$B, 0)), 0))</f>
        <v/>
      </c>
      <c r="AC1646" s="79">
        <f>IF(X1646="Sin Pago","",IFERROR(INDEX(Pagos_Odoo!$G:$G, MATCH(X1646, Pagos_Odoo!$B:$B, 0)), ""))</f>
        <v/>
      </c>
      <c r="AD1646" s="82" t="n">
        <v>0</v>
      </c>
      <c r="AE1646" s="82" t="n"/>
      <c r="AF1646" s="82" t="n"/>
      <c r="AG1646" s="82">
        <f>IF(AN1646="","",AD1646+AE1646+AF1646)</f>
        <v/>
      </c>
      <c r="AH1646" s="81">
        <f>IF(AN1646="","",P1646*(1-AG1646))</f>
        <v/>
      </c>
      <c r="AI1646" s="81">
        <f>IF(AN1646="","",IF(Q1646="Sin Factura",0,IFERROR(INDEX(Facturas_Odoo!$H:$H, MATCH(Q1646, Facturas_Odoo!$B:$B, 0)), 0)*(1-AG1646)))</f>
        <v/>
      </c>
      <c r="AJ1646" s="81">
        <f>IF(AN1646="","",_xlfn.LET(idVenta, AN1646&amp;"",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46" s="81">
        <f>IF(AN1646="","",AH1646-AJ1646)</f>
        <v/>
      </c>
      <c r="AL1646" s="81">
        <f>IF(AN1646="","",IF(Q1646="Sin Factura","",AI1646-AJ1646))</f>
        <v/>
      </c>
      <c r="AM1646" s="81">
        <f>IF(AN1646="","",IF(Q1646="Sin Factura",0,P1646-IFERROR(INDEX(Facturas_Odoo!$H:$H, MATCH(Q1646, Facturas_Odoo!$B:$B, 0)), 0)))</f>
        <v/>
      </c>
      <c r="AN1646" s="79">
        <f>IF(AND(A1646="", J1646=""), "", IF(A1646&lt;&gt;"", VALUE(MID(A1646,2,LEN(A1646))), AN1645))</f>
        <v/>
      </c>
      <c r="AO1646" s="79">
        <f>IF(AN1646="","",IF(AD1646=0,"OK",_xlfn.LET(monedaPago, IF(AA1646="","USD",AA1646), limitePermitido, IFERROR(VLOOKUP(monedaPago, Configuración!$A$2:$B$3, 2, FALSE), 0.15), IF(AD1646&gt;limitePermitido, "ALERTA: EXCESO (" &amp; TEXT(limitePermitido, "0%") &amp; " máx)", "OK"))))</f>
        <v/>
      </c>
      <c r="AP1646" s="79">
        <f>IF(AN1646="","",IF(AE1646=0,"OK",_xlfn.LET(fechaPago, Z1646, fechaFactura, R1646, diasCredito, IF(E1646="Pago inmediato", 0, IFERROR(VALUE(MID(E1646, 1, SEARCH(" ", E1646)-1)),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46" s="79">
        <f>IF(AN1646="","",IF(AND(N1646&gt;0, AG1646&gt;0), IF(Configuración!$K$2="NO", "ALERTA: DESCUENTO DOBLE NO PERMITIDO", "OK"), "OK"))</f>
        <v/>
      </c>
      <c r="AR1646" s="79">
        <f>IF(AN1646="","",IF(OR(AO1646&lt;&gt;"OK", AP1646&lt;&gt;"OK", AQ1646&lt;&gt;"OK"), "⚠️ REVISAR", "OK"))</f>
        <v/>
      </c>
    </row>
    <row r="1647">
      <c r="A1647" s="79">
        <f>IF('Ordenes_Odoo'!A1647="","",'Ordenes_Odoo'!A1647)</f>
        <v/>
      </c>
      <c r="B1647" s="80">
        <f>IF('Ordenes_Odoo'!B1647="","",'Ordenes_Odoo'!B1647)</f>
        <v/>
      </c>
      <c r="C1647" s="79">
        <f>IF('Ordenes_Odoo'!C1647="","",'Ordenes_Odoo'!C1647)</f>
        <v/>
      </c>
      <c r="D1647" s="79">
        <f>IF('Ordenes_Odoo'!D1647="","",'Ordenes_Odoo'!D1647)</f>
        <v/>
      </c>
      <c r="E1647" s="79">
        <f>IF('Ordenes_Odoo'!E1647="","",'Ordenes_Odoo'!E1647)</f>
        <v/>
      </c>
      <c r="F1647" s="79">
        <f>IF('Ordenes_Odoo'!F1647="","",'Ordenes_Odoo'!F1647)</f>
        <v/>
      </c>
      <c r="G1647" s="79">
        <f>IF('Ordenes_Odoo'!G1647="","",'Ordenes_Odoo'!G1647)</f>
        <v/>
      </c>
      <c r="H1647" s="79">
        <f>IF('Ordenes_Odoo'!H1647="","",'Ordenes_Odoo'!H1647)</f>
        <v/>
      </c>
      <c r="I1647" s="79">
        <f>IF('Ordenes_Odoo'!I1647="","",'Ordenes_Odoo'!I1647)</f>
        <v/>
      </c>
      <c r="J1647" s="79">
        <f>IF('Ordenes_Odoo'!J1647="","",'Ordenes_Odoo'!J1647)</f>
        <v/>
      </c>
      <c r="K1647" s="81">
        <f>IF('Ordenes_Odoo'!K1647="","",'Ordenes_Odoo'!K1647)</f>
        <v/>
      </c>
      <c r="L1647" s="81">
        <f>IF('Ordenes_Odoo'!L1647="","",'Ordenes_Odoo'!L1647)</f>
        <v/>
      </c>
      <c r="M1647" s="79">
        <f>IF('Ordenes_Odoo'!M1647="","",'Ordenes_Odoo'!M1647)</f>
        <v/>
      </c>
      <c r="N1647" s="79">
        <f>IF('Ordenes_Odoo'!N1647="","",'Ordenes_Odoo'!N1647)</f>
        <v/>
      </c>
      <c r="O1647" s="81">
        <f>IF('Ordenes_Odoo'!O1647="","",'Ordenes_Odoo'!O1647)</f>
        <v/>
      </c>
      <c r="P1647" s="81">
        <f>IF('Ordenes_Odoo'!P1647="","",'Ordenes_Odoo'!P1647)</f>
        <v/>
      </c>
      <c r="Q1647" s="79">
        <f>IF(A1647="","",IFERROR(INDEX(Facturas_Odoo!$B:$B, MATCH(A1647, Facturas_Odoo!$D:$D, 0)), "Sin Factura"))</f>
        <v/>
      </c>
      <c r="R1647" s="80">
        <f>IF(Q1647="Sin Factura","",IFERROR(INDEX(Facturas_Odoo!$A:$A, MATCH(Q1647, Facturas_Odoo!$B:$B, 0)), ""))</f>
        <v/>
      </c>
      <c r="S1647" s="79">
        <f>IF(Q1647="Sin Factura","",IFERROR(_xlfn.XLOOKUP(1, (Facturas_Odoo!$D:$D=A1647) * (Facturas_Odoo!$K:$K=I1647), Facturas_Odoo!$L:$L, ""), ""))</f>
        <v/>
      </c>
      <c r="T1647" s="81">
        <f>IF(Q1647="Sin Factura",0,IFERROR(_xlfn.XLOOKUP(1, (Facturas_Odoo!$D:$D=A1647) * (Facturas_Odoo!$K:$K=I1647), Facturas_Odoo!$M:$M, 0), 0))</f>
        <v/>
      </c>
      <c r="U1647" s="79">
        <f>IF(Q1647="Sin Factura",0,IFERROR(_xlfn.XLOOKUP(1, (Facturas_Odoo!$D:$D=A1647) * (Facturas_Odoo!$K:$K=I1647), Facturas_Odoo!$N:$N, 0), 0))</f>
        <v/>
      </c>
      <c r="V1647" s="79">
        <f>IF(Q1647="Sin Factura",0,IFERROR(_xlfn.XLOOKUP(1, (Facturas_Odoo!$D:$D=A1647) * (Facturas_Odoo!$K:$K=I1647), Facturas_Odoo!$O:$O, 0), 0))</f>
        <v/>
      </c>
      <c r="W1647" s="81">
        <f>IF(Q1647="Sin Factura",0,IFERROR(_xlfn.XLOOKUP(1, (Facturas_Odoo!$D:$D=A1647) * (Facturas_Odoo!$K:$K=I1647), Facturas_Odoo!$Q:$Q, 0), 0))</f>
        <v/>
      </c>
      <c r="X1647" s="79">
        <f>IF(OR(Q1647="Sin Factura",Q1647=""),"",IFERROR(INDEX(Pagos_Odoo!$B:$B, MATCH(Q1647, Pagos_Odoo!$I:$I, 0)), "Sin Pago"))</f>
        <v/>
      </c>
      <c r="Y1647" s="79">
        <f>IF(X1647="Sin Pago","",IFERROR(INDEX(Pagos_Odoo!$C:$C, MATCH(X1647, Pagos_Odoo!$B:$B, 0)), ""))</f>
        <v/>
      </c>
      <c r="Z1647" s="80">
        <f>IF(X1647="Sin Pago","",IFERROR(INDEX(Pagos_Odoo!$A:$A, MATCH(X1647, Pagos_Odoo!$B:$B, 0)), ""))</f>
        <v/>
      </c>
      <c r="AA1647" s="79">
        <f>IF(X1647="Sin Pago","",IFERROR(INDEX(Pagos_Odoo!$F:$F, MATCH(X1647, Pagos_Odoo!$B:$B, 0)), ""))</f>
        <v/>
      </c>
      <c r="AB1647" s="81">
        <f>IF(X1647="Sin Pago",0,IFERROR(INDEX(Pagos_Odoo!$E:$E, MATCH(X1647, Pagos_Odoo!$B:$B, 0)), 0))</f>
        <v/>
      </c>
      <c r="AC1647" s="79">
        <f>IF(X1647="Sin Pago","",IFERROR(INDEX(Pagos_Odoo!$G:$G, MATCH(X1647, Pagos_Odoo!$B:$B, 0)), ""))</f>
        <v/>
      </c>
      <c r="AD1647" s="82" t="n">
        <v>0</v>
      </c>
      <c r="AE1647" s="82" t="n"/>
      <c r="AF1647" s="82" t="n"/>
      <c r="AG1647" s="82">
        <f>IF(AN1647="","",AD1647+AE1647+AF1647)</f>
        <v/>
      </c>
      <c r="AH1647" s="81">
        <f>IF(AN1647="","",P1647*(1-AG1647))</f>
        <v/>
      </c>
      <c r="AI1647" s="81">
        <f>IF(AN1647="","",IF(Q1647="Sin Factura",0,IFERROR(INDEX(Facturas_Odoo!$H:$H, MATCH(Q1647, Facturas_Odoo!$B:$B, 0)), 0)*(1-AG1647)))</f>
        <v/>
      </c>
      <c r="AJ1647" s="81">
        <f>IF(AN1647="","",_xlfn.LET(idVenta, AN1647&amp;"",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47" s="81">
        <f>IF(AN1647="","",AH1647-AJ1647)</f>
        <v/>
      </c>
      <c r="AL1647" s="81">
        <f>IF(AN1647="","",IF(Q1647="Sin Factura","",AI1647-AJ1647))</f>
        <v/>
      </c>
      <c r="AM1647" s="81">
        <f>IF(AN1647="","",IF(Q1647="Sin Factura",0,P1647-IFERROR(INDEX(Facturas_Odoo!$H:$H, MATCH(Q1647, Facturas_Odoo!$B:$B, 0)), 0)))</f>
        <v/>
      </c>
      <c r="AN1647" s="79">
        <f>IF(AND(A1647="", J1647=""), "", IF(A1647&lt;&gt;"", VALUE(MID(A1647,2,LEN(A1647))), AN1646))</f>
        <v/>
      </c>
      <c r="AO1647" s="79">
        <f>IF(AN1647="","",IF(AD1647=0,"OK",_xlfn.LET(monedaPago, IF(AA1647="","USD",AA1647), limitePermitido, IFERROR(VLOOKUP(monedaPago, Configuración!$A$2:$B$3, 2, FALSE), 0.15), IF(AD1647&gt;limitePermitido, "ALERTA: EXCESO (" &amp; TEXT(limitePermitido, "0%") &amp; " máx)", "OK"))))</f>
        <v/>
      </c>
      <c r="AP1647" s="79">
        <f>IF(AN1647="","",IF(AE1647=0,"OK",_xlfn.LET(fechaPago, Z1647, fechaFactura, R1647, diasCredito, IF(E1647="Pago inmediato", 0, IFERROR(VALUE(MID(E1647, 1, SEARCH(" ", E1647)-1)),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47" s="79">
        <f>IF(AN1647="","",IF(AND(N1647&gt;0, AG1647&gt;0), IF(Configuración!$K$2="NO", "ALERTA: DESCUENTO DOBLE NO PERMITIDO", "OK"), "OK"))</f>
        <v/>
      </c>
      <c r="AR1647" s="79">
        <f>IF(AN1647="","",IF(OR(AO1647&lt;&gt;"OK", AP1647&lt;&gt;"OK", AQ1647&lt;&gt;"OK"), "⚠️ REVISAR", "OK"))</f>
        <v/>
      </c>
    </row>
    <row r="1648">
      <c r="A1648" s="79">
        <f>IF('Ordenes_Odoo'!A1648="","",'Ordenes_Odoo'!A1648)</f>
        <v/>
      </c>
      <c r="B1648" s="80">
        <f>IF('Ordenes_Odoo'!B1648="","",'Ordenes_Odoo'!B1648)</f>
        <v/>
      </c>
      <c r="C1648" s="79">
        <f>IF('Ordenes_Odoo'!C1648="","",'Ordenes_Odoo'!C1648)</f>
        <v/>
      </c>
      <c r="D1648" s="79">
        <f>IF('Ordenes_Odoo'!D1648="","",'Ordenes_Odoo'!D1648)</f>
        <v/>
      </c>
      <c r="E1648" s="79">
        <f>IF('Ordenes_Odoo'!E1648="","",'Ordenes_Odoo'!E1648)</f>
        <v/>
      </c>
      <c r="F1648" s="79">
        <f>IF('Ordenes_Odoo'!F1648="","",'Ordenes_Odoo'!F1648)</f>
        <v/>
      </c>
      <c r="G1648" s="79">
        <f>IF('Ordenes_Odoo'!G1648="","",'Ordenes_Odoo'!G1648)</f>
        <v/>
      </c>
      <c r="H1648" s="79">
        <f>IF('Ordenes_Odoo'!H1648="","",'Ordenes_Odoo'!H1648)</f>
        <v/>
      </c>
      <c r="I1648" s="79">
        <f>IF('Ordenes_Odoo'!I1648="","",'Ordenes_Odoo'!I1648)</f>
        <v/>
      </c>
      <c r="J1648" s="79">
        <f>IF('Ordenes_Odoo'!J1648="","",'Ordenes_Odoo'!J1648)</f>
        <v/>
      </c>
      <c r="K1648" s="81">
        <f>IF('Ordenes_Odoo'!K1648="","",'Ordenes_Odoo'!K1648)</f>
        <v/>
      </c>
      <c r="L1648" s="81">
        <f>IF('Ordenes_Odoo'!L1648="","",'Ordenes_Odoo'!L1648)</f>
        <v/>
      </c>
      <c r="M1648" s="79">
        <f>IF('Ordenes_Odoo'!M1648="","",'Ordenes_Odoo'!M1648)</f>
        <v/>
      </c>
      <c r="N1648" s="79">
        <f>IF('Ordenes_Odoo'!N1648="","",'Ordenes_Odoo'!N1648)</f>
        <v/>
      </c>
      <c r="O1648" s="81">
        <f>IF('Ordenes_Odoo'!O1648="","",'Ordenes_Odoo'!O1648)</f>
        <v/>
      </c>
      <c r="P1648" s="81">
        <f>IF('Ordenes_Odoo'!P1648="","",'Ordenes_Odoo'!P1648)</f>
        <v/>
      </c>
      <c r="Q1648" s="79">
        <f>IF(A1648="","",IFERROR(INDEX(Facturas_Odoo!$B:$B, MATCH(A1648, Facturas_Odoo!$D:$D, 0)), "Sin Factura"))</f>
        <v/>
      </c>
      <c r="R1648" s="80">
        <f>IF(Q1648="Sin Factura","",IFERROR(INDEX(Facturas_Odoo!$A:$A, MATCH(Q1648, Facturas_Odoo!$B:$B, 0)), ""))</f>
        <v/>
      </c>
      <c r="S1648" s="79">
        <f>IF(Q1648="Sin Factura","",IFERROR(_xlfn.XLOOKUP(1, (Facturas_Odoo!$D:$D=A1648) * (Facturas_Odoo!$K:$K=I1648), Facturas_Odoo!$L:$L, ""), ""))</f>
        <v/>
      </c>
      <c r="T1648" s="81">
        <f>IF(Q1648="Sin Factura",0,IFERROR(_xlfn.XLOOKUP(1, (Facturas_Odoo!$D:$D=A1648) * (Facturas_Odoo!$K:$K=I1648), Facturas_Odoo!$M:$M, 0), 0))</f>
        <v/>
      </c>
      <c r="U1648" s="79">
        <f>IF(Q1648="Sin Factura",0,IFERROR(_xlfn.XLOOKUP(1, (Facturas_Odoo!$D:$D=A1648) * (Facturas_Odoo!$K:$K=I1648), Facturas_Odoo!$N:$N, 0), 0))</f>
        <v/>
      </c>
      <c r="V1648" s="79">
        <f>IF(Q1648="Sin Factura",0,IFERROR(_xlfn.XLOOKUP(1, (Facturas_Odoo!$D:$D=A1648) * (Facturas_Odoo!$K:$K=I1648), Facturas_Odoo!$O:$O, 0), 0))</f>
        <v/>
      </c>
      <c r="W1648" s="81">
        <f>IF(Q1648="Sin Factura",0,IFERROR(_xlfn.XLOOKUP(1, (Facturas_Odoo!$D:$D=A1648) * (Facturas_Odoo!$K:$K=I1648), Facturas_Odoo!$Q:$Q, 0), 0))</f>
        <v/>
      </c>
      <c r="X1648" s="79">
        <f>IF(OR(Q1648="Sin Factura",Q1648=""),"",IFERROR(INDEX(Pagos_Odoo!$B:$B, MATCH(Q1648, Pagos_Odoo!$I:$I, 0)), "Sin Pago"))</f>
        <v/>
      </c>
      <c r="Y1648" s="79">
        <f>IF(X1648="Sin Pago","",IFERROR(INDEX(Pagos_Odoo!$C:$C, MATCH(X1648, Pagos_Odoo!$B:$B, 0)), ""))</f>
        <v/>
      </c>
      <c r="Z1648" s="80">
        <f>IF(X1648="Sin Pago","",IFERROR(INDEX(Pagos_Odoo!$A:$A, MATCH(X1648, Pagos_Odoo!$B:$B, 0)), ""))</f>
        <v/>
      </c>
      <c r="AA1648" s="79">
        <f>IF(X1648="Sin Pago","",IFERROR(INDEX(Pagos_Odoo!$F:$F, MATCH(X1648, Pagos_Odoo!$B:$B, 0)), ""))</f>
        <v/>
      </c>
      <c r="AB1648" s="81">
        <f>IF(X1648="Sin Pago",0,IFERROR(INDEX(Pagos_Odoo!$E:$E, MATCH(X1648, Pagos_Odoo!$B:$B, 0)), 0))</f>
        <v/>
      </c>
      <c r="AC1648" s="79">
        <f>IF(X1648="Sin Pago","",IFERROR(INDEX(Pagos_Odoo!$G:$G, MATCH(X1648, Pagos_Odoo!$B:$B, 0)), ""))</f>
        <v/>
      </c>
      <c r="AD1648" s="82" t="n">
        <v>0</v>
      </c>
      <c r="AE1648" s="82" t="n"/>
      <c r="AF1648" s="82" t="n"/>
      <c r="AG1648" s="82">
        <f>IF(AN1648="","",AD1648+AE1648+AF1648)</f>
        <v/>
      </c>
      <c r="AH1648" s="81">
        <f>IF(AN1648="","",P1648*(1-AG1648))</f>
        <v/>
      </c>
      <c r="AI1648" s="81">
        <f>IF(AN1648="","",IF(Q1648="Sin Factura",0,IFERROR(INDEX(Facturas_Odoo!$H:$H, MATCH(Q1648, Facturas_Odoo!$B:$B, 0)), 0)*(1-AG1648)))</f>
        <v/>
      </c>
      <c r="AJ1648" s="81">
        <f>IF(AN1648="","",_xlfn.LET(idVenta, AN1648&amp;"",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48" s="81">
        <f>IF(AN1648="","",AH1648-AJ1648)</f>
        <v/>
      </c>
      <c r="AL1648" s="81">
        <f>IF(AN1648="","",IF(Q1648="Sin Factura","",AI1648-AJ1648))</f>
        <v/>
      </c>
      <c r="AM1648" s="81">
        <f>IF(AN1648="","",IF(Q1648="Sin Factura",0,P1648-IFERROR(INDEX(Facturas_Odoo!$H:$H, MATCH(Q1648, Facturas_Odoo!$B:$B, 0)), 0)))</f>
        <v/>
      </c>
      <c r="AN1648" s="79">
        <f>IF(AND(A1648="", J1648=""), "", IF(A1648&lt;&gt;"", VALUE(MID(A1648,2,LEN(A1648))), AN1647))</f>
        <v/>
      </c>
      <c r="AO1648" s="79">
        <f>IF(AN1648="","",IF(AD1648=0,"OK",_xlfn.LET(monedaPago, IF(AA1648="","USD",AA1648), limitePermitido, IFERROR(VLOOKUP(monedaPago, Configuración!$A$2:$B$3, 2, FALSE), 0.15), IF(AD1648&gt;limitePermitido, "ALERTA: EXCESO (" &amp; TEXT(limitePermitido, "0%") &amp; " máx)", "OK"))))</f>
        <v/>
      </c>
      <c r="AP1648" s="79">
        <f>IF(AN1648="","",IF(AE1648=0,"OK",_xlfn.LET(fechaPago, Z1648, fechaFactura, R1648, diasCredito, IF(E1648="Pago inmediato", 0, IFERROR(VALUE(MID(E1648, 1, SEARCH(" ", E1648)-1)),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48" s="79">
        <f>IF(AN1648="","",IF(AND(N1648&gt;0, AG1648&gt;0), IF(Configuración!$K$2="NO", "ALERTA: DESCUENTO DOBLE NO PERMITIDO", "OK"), "OK"))</f>
        <v/>
      </c>
      <c r="AR1648" s="79">
        <f>IF(AN1648="","",IF(OR(AO1648&lt;&gt;"OK", AP1648&lt;&gt;"OK", AQ1648&lt;&gt;"OK"), "⚠️ REVISAR", "OK"))</f>
        <v/>
      </c>
    </row>
    <row r="1649">
      <c r="A1649" s="79">
        <f>IF('Ordenes_Odoo'!A1649="","",'Ordenes_Odoo'!A1649)</f>
        <v/>
      </c>
      <c r="B1649" s="80">
        <f>IF('Ordenes_Odoo'!B1649="","",'Ordenes_Odoo'!B1649)</f>
        <v/>
      </c>
      <c r="C1649" s="79">
        <f>IF('Ordenes_Odoo'!C1649="","",'Ordenes_Odoo'!C1649)</f>
        <v/>
      </c>
      <c r="D1649" s="79">
        <f>IF('Ordenes_Odoo'!D1649="","",'Ordenes_Odoo'!D1649)</f>
        <v/>
      </c>
      <c r="E1649" s="79">
        <f>IF('Ordenes_Odoo'!E1649="","",'Ordenes_Odoo'!E1649)</f>
        <v/>
      </c>
      <c r="F1649" s="79">
        <f>IF('Ordenes_Odoo'!F1649="","",'Ordenes_Odoo'!F1649)</f>
        <v/>
      </c>
      <c r="G1649" s="79">
        <f>IF('Ordenes_Odoo'!G1649="","",'Ordenes_Odoo'!G1649)</f>
        <v/>
      </c>
      <c r="H1649" s="79">
        <f>IF('Ordenes_Odoo'!H1649="","",'Ordenes_Odoo'!H1649)</f>
        <v/>
      </c>
      <c r="I1649" s="79">
        <f>IF('Ordenes_Odoo'!I1649="","",'Ordenes_Odoo'!I1649)</f>
        <v/>
      </c>
      <c r="J1649" s="79">
        <f>IF('Ordenes_Odoo'!J1649="","",'Ordenes_Odoo'!J1649)</f>
        <v/>
      </c>
      <c r="K1649" s="81">
        <f>IF('Ordenes_Odoo'!K1649="","",'Ordenes_Odoo'!K1649)</f>
        <v/>
      </c>
      <c r="L1649" s="81">
        <f>IF('Ordenes_Odoo'!L1649="","",'Ordenes_Odoo'!L1649)</f>
        <v/>
      </c>
      <c r="M1649" s="79">
        <f>IF('Ordenes_Odoo'!M1649="","",'Ordenes_Odoo'!M1649)</f>
        <v/>
      </c>
      <c r="N1649" s="79">
        <f>IF('Ordenes_Odoo'!N1649="","",'Ordenes_Odoo'!N1649)</f>
        <v/>
      </c>
      <c r="O1649" s="81">
        <f>IF('Ordenes_Odoo'!O1649="","",'Ordenes_Odoo'!O1649)</f>
        <v/>
      </c>
      <c r="P1649" s="81">
        <f>IF('Ordenes_Odoo'!P1649="","",'Ordenes_Odoo'!P1649)</f>
        <v/>
      </c>
      <c r="Q1649" s="79">
        <f>IF(A1649="","",IFERROR(INDEX(Facturas_Odoo!$B:$B, MATCH(A1649, Facturas_Odoo!$D:$D, 0)), "Sin Factura"))</f>
        <v/>
      </c>
      <c r="R1649" s="80">
        <f>IF(Q1649="Sin Factura","",IFERROR(INDEX(Facturas_Odoo!$A:$A, MATCH(Q1649, Facturas_Odoo!$B:$B, 0)), ""))</f>
        <v/>
      </c>
      <c r="S1649" s="79">
        <f>IF(Q1649="Sin Factura","",IFERROR(_xlfn.XLOOKUP(1, (Facturas_Odoo!$D:$D=A1649) * (Facturas_Odoo!$K:$K=I1649), Facturas_Odoo!$L:$L, ""), ""))</f>
        <v/>
      </c>
      <c r="T1649" s="81">
        <f>IF(Q1649="Sin Factura",0,IFERROR(_xlfn.XLOOKUP(1, (Facturas_Odoo!$D:$D=A1649) * (Facturas_Odoo!$K:$K=I1649), Facturas_Odoo!$M:$M, 0), 0))</f>
        <v/>
      </c>
      <c r="U1649" s="79">
        <f>IF(Q1649="Sin Factura",0,IFERROR(_xlfn.XLOOKUP(1, (Facturas_Odoo!$D:$D=A1649) * (Facturas_Odoo!$K:$K=I1649), Facturas_Odoo!$N:$N, 0), 0))</f>
        <v/>
      </c>
      <c r="V1649" s="79">
        <f>IF(Q1649="Sin Factura",0,IFERROR(_xlfn.XLOOKUP(1, (Facturas_Odoo!$D:$D=A1649) * (Facturas_Odoo!$K:$K=I1649), Facturas_Odoo!$O:$O, 0), 0))</f>
        <v/>
      </c>
      <c r="W1649" s="81">
        <f>IF(Q1649="Sin Factura",0,IFERROR(_xlfn.XLOOKUP(1, (Facturas_Odoo!$D:$D=A1649) * (Facturas_Odoo!$K:$K=I1649), Facturas_Odoo!$Q:$Q, 0), 0))</f>
        <v/>
      </c>
      <c r="X1649" s="79">
        <f>IF(OR(Q1649="Sin Factura",Q1649=""),"",IFERROR(INDEX(Pagos_Odoo!$B:$B, MATCH(Q1649, Pagos_Odoo!$I:$I, 0)), "Sin Pago"))</f>
        <v/>
      </c>
      <c r="Y1649" s="79">
        <f>IF(X1649="Sin Pago","",IFERROR(INDEX(Pagos_Odoo!$C:$C, MATCH(X1649, Pagos_Odoo!$B:$B, 0)), ""))</f>
        <v/>
      </c>
      <c r="Z1649" s="80">
        <f>IF(X1649="Sin Pago","",IFERROR(INDEX(Pagos_Odoo!$A:$A, MATCH(X1649, Pagos_Odoo!$B:$B, 0)), ""))</f>
        <v/>
      </c>
      <c r="AA1649" s="79">
        <f>IF(X1649="Sin Pago","",IFERROR(INDEX(Pagos_Odoo!$F:$F, MATCH(X1649, Pagos_Odoo!$B:$B, 0)), ""))</f>
        <v/>
      </c>
      <c r="AB1649" s="81">
        <f>IF(X1649="Sin Pago",0,IFERROR(INDEX(Pagos_Odoo!$E:$E, MATCH(X1649, Pagos_Odoo!$B:$B, 0)), 0))</f>
        <v/>
      </c>
      <c r="AC1649" s="79">
        <f>IF(X1649="Sin Pago","",IFERROR(INDEX(Pagos_Odoo!$G:$G, MATCH(X1649, Pagos_Odoo!$B:$B, 0)), ""))</f>
        <v/>
      </c>
      <c r="AD1649" s="82" t="n">
        <v>0</v>
      </c>
      <c r="AE1649" s="82" t="n"/>
      <c r="AF1649" s="82" t="n"/>
      <c r="AG1649" s="82">
        <f>IF(AN1649="","",AD1649+AE1649+AF1649)</f>
        <v/>
      </c>
      <c r="AH1649" s="81">
        <f>IF(AN1649="","",P1649*(1-AG1649))</f>
        <v/>
      </c>
      <c r="AI1649" s="81">
        <f>IF(AN1649="","",IF(Q1649="Sin Factura",0,IFERROR(INDEX(Facturas_Odoo!$H:$H, MATCH(Q1649, Facturas_Odoo!$B:$B, 0)), 0)*(1-AG1649)))</f>
        <v/>
      </c>
      <c r="AJ1649" s="81">
        <f>IF(AN1649="","",_xlfn.LET(idVenta, AN1649&amp;"",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49" s="81">
        <f>IF(AN1649="","",AH1649-AJ1649)</f>
        <v/>
      </c>
      <c r="AL1649" s="81">
        <f>IF(AN1649="","",IF(Q1649="Sin Factura","",AI1649-AJ1649))</f>
        <v/>
      </c>
      <c r="AM1649" s="81">
        <f>IF(AN1649="","",IF(Q1649="Sin Factura",0,P1649-IFERROR(INDEX(Facturas_Odoo!$H:$H, MATCH(Q1649, Facturas_Odoo!$B:$B, 0)), 0)))</f>
        <v/>
      </c>
      <c r="AN1649" s="79">
        <f>IF(AND(A1649="", J1649=""), "", IF(A1649&lt;&gt;"", VALUE(MID(A1649,2,LEN(A1649))), AN1648))</f>
        <v/>
      </c>
      <c r="AO1649" s="79">
        <f>IF(AN1649="","",IF(AD1649=0,"OK",_xlfn.LET(monedaPago, IF(AA1649="","USD",AA1649), limitePermitido, IFERROR(VLOOKUP(monedaPago, Configuración!$A$2:$B$3, 2, FALSE), 0.15), IF(AD1649&gt;limitePermitido, "ALERTA: EXCESO (" &amp; TEXT(limitePermitido, "0%") &amp; " máx)", "OK"))))</f>
        <v/>
      </c>
      <c r="AP1649" s="79">
        <f>IF(AN1649="","",IF(AE1649=0,"OK",_xlfn.LET(fechaPago, Z1649, fechaFactura, R1649, diasCredito, IF(E1649="Pago inmediato", 0, IFERROR(VALUE(MID(E1649, 1, SEARCH(" ", E1649)-1)),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49" s="79">
        <f>IF(AN1649="","",IF(AND(N1649&gt;0, AG1649&gt;0), IF(Configuración!$K$2="NO", "ALERTA: DESCUENTO DOBLE NO PERMITIDO", "OK"), "OK"))</f>
        <v/>
      </c>
      <c r="AR1649" s="79">
        <f>IF(AN1649="","",IF(OR(AO1649&lt;&gt;"OK", AP1649&lt;&gt;"OK", AQ1649&lt;&gt;"OK"), "⚠️ REVISAR", "OK"))</f>
        <v/>
      </c>
    </row>
    <row r="1650">
      <c r="A1650" s="79">
        <f>IF('Ordenes_Odoo'!A1650="","",'Ordenes_Odoo'!A1650)</f>
        <v/>
      </c>
      <c r="B1650" s="80">
        <f>IF('Ordenes_Odoo'!B1650="","",'Ordenes_Odoo'!B1650)</f>
        <v/>
      </c>
      <c r="C1650" s="79">
        <f>IF('Ordenes_Odoo'!C1650="","",'Ordenes_Odoo'!C1650)</f>
        <v/>
      </c>
      <c r="D1650" s="79">
        <f>IF('Ordenes_Odoo'!D1650="","",'Ordenes_Odoo'!D1650)</f>
        <v/>
      </c>
      <c r="E1650" s="79">
        <f>IF('Ordenes_Odoo'!E1650="","",'Ordenes_Odoo'!E1650)</f>
        <v/>
      </c>
      <c r="F1650" s="79">
        <f>IF('Ordenes_Odoo'!F1650="","",'Ordenes_Odoo'!F1650)</f>
        <v/>
      </c>
      <c r="G1650" s="79">
        <f>IF('Ordenes_Odoo'!G1650="","",'Ordenes_Odoo'!G1650)</f>
        <v/>
      </c>
      <c r="H1650" s="79">
        <f>IF('Ordenes_Odoo'!H1650="","",'Ordenes_Odoo'!H1650)</f>
        <v/>
      </c>
      <c r="I1650" s="79">
        <f>IF('Ordenes_Odoo'!I1650="","",'Ordenes_Odoo'!I1650)</f>
        <v/>
      </c>
      <c r="J1650" s="79">
        <f>IF('Ordenes_Odoo'!J1650="","",'Ordenes_Odoo'!J1650)</f>
        <v/>
      </c>
      <c r="K1650" s="81">
        <f>IF('Ordenes_Odoo'!K1650="","",'Ordenes_Odoo'!K1650)</f>
        <v/>
      </c>
      <c r="L1650" s="81">
        <f>IF('Ordenes_Odoo'!L1650="","",'Ordenes_Odoo'!L1650)</f>
        <v/>
      </c>
      <c r="M1650" s="79">
        <f>IF('Ordenes_Odoo'!M1650="","",'Ordenes_Odoo'!M1650)</f>
        <v/>
      </c>
      <c r="N1650" s="79">
        <f>IF('Ordenes_Odoo'!N1650="","",'Ordenes_Odoo'!N1650)</f>
        <v/>
      </c>
      <c r="O1650" s="81">
        <f>IF('Ordenes_Odoo'!O1650="","",'Ordenes_Odoo'!O1650)</f>
        <v/>
      </c>
      <c r="P1650" s="81">
        <f>IF('Ordenes_Odoo'!P1650="","",'Ordenes_Odoo'!P1650)</f>
        <v/>
      </c>
      <c r="Q1650" s="79">
        <f>IF(A1650="","",IFERROR(INDEX(Facturas_Odoo!$B:$B, MATCH(A1650, Facturas_Odoo!$D:$D, 0)), "Sin Factura"))</f>
        <v/>
      </c>
      <c r="R1650" s="80">
        <f>IF(Q1650="Sin Factura","",IFERROR(INDEX(Facturas_Odoo!$A:$A, MATCH(Q1650, Facturas_Odoo!$B:$B, 0)), ""))</f>
        <v/>
      </c>
      <c r="S1650" s="79">
        <f>IF(Q1650="Sin Factura","",IFERROR(_xlfn.XLOOKUP(1, (Facturas_Odoo!$D:$D=A1650) * (Facturas_Odoo!$K:$K=I1650), Facturas_Odoo!$L:$L, ""), ""))</f>
        <v/>
      </c>
      <c r="T1650" s="81">
        <f>IF(Q1650="Sin Factura",0,IFERROR(_xlfn.XLOOKUP(1, (Facturas_Odoo!$D:$D=A1650) * (Facturas_Odoo!$K:$K=I1650), Facturas_Odoo!$M:$M, 0), 0))</f>
        <v/>
      </c>
      <c r="U1650" s="79">
        <f>IF(Q1650="Sin Factura",0,IFERROR(_xlfn.XLOOKUP(1, (Facturas_Odoo!$D:$D=A1650) * (Facturas_Odoo!$K:$K=I1650), Facturas_Odoo!$N:$N, 0), 0))</f>
        <v/>
      </c>
      <c r="V1650" s="79">
        <f>IF(Q1650="Sin Factura",0,IFERROR(_xlfn.XLOOKUP(1, (Facturas_Odoo!$D:$D=A1650) * (Facturas_Odoo!$K:$K=I1650), Facturas_Odoo!$O:$O, 0), 0))</f>
        <v/>
      </c>
      <c r="W1650" s="81">
        <f>IF(Q1650="Sin Factura",0,IFERROR(_xlfn.XLOOKUP(1, (Facturas_Odoo!$D:$D=A1650) * (Facturas_Odoo!$K:$K=I1650), Facturas_Odoo!$Q:$Q, 0), 0))</f>
        <v/>
      </c>
      <c r="X1650" s="79">
        <f>IF(OR(Q1650="Sin Factura",Q1650=""),"",IFERROR(INDEX(Pagos_Odoo!$B:$B, MATCH(Q1650, Pagos_Odoo!$I:$I, 0)), "Sin Pago"))</f>
        <v/>
      </c>
      <c r="Y1650" s="79">
        <f>IF(X1650="Sin Pago","",IFERROR(INDEX(Pagos_Odoo!$C:$C, MATCH(X1650, Pagos_Odoo!$B:$B, 0)), ""))</f>
        <v/>
      </c>
      <c r="Z1650" s="80">
        <f>IF(X1650="Sin Pago","",IFERROR(INDEX(Pagos_Odoo!$A:$A, MATCH(X1650, Pagos_Odoo!$B:$B, 0)), ""))</f>
        <v/>
      </c>
      <c r="AA1650" s="79">
        <f>IF(X1650="Sin Pago","",IFERROR(INDEX(Pagos_Odoo!$F:$F, MATCH(X1650, Pagos_Odoo!$B:$B, 0)), ""))</f>
        <v/>
      </c>
      <c r="AB1650" s="81">
        <f>IF(X1650="Sin Pago",0,IFERROR(INDEX(Pagos_Odoo!$E:$E, MATCH(X1650, Pagos_Odoo!$B:$B, 0)), 0))</f>
        <v/>
      </c>
      <c r="AC1650" s="79">
        <f>IF(X1650="Sin Pago","",IFERROR(INDEX(Pagos_Odoo!$G:$G, MATCH(X1650, Pagos_Odoo!$B:$B, 0)), ""))</f>
        <v/>
      </c>
      <c r="AD1650" s="82" t="n">
        <v>0</v>
      </c>
      <c r="AE1650" s="82" t="n"/>
      <c r="AF1650" s="82" t="n"/>
      <c r="AG1650" s="82">
        <f>IF(AN1650="","",AD1650+AE1650+AF1650)</f>
        <v/>
      </c>
      <c r="AH1650" s="81">
        <f>IF(AN1650="","",P1650*(1-AG1650))</f>
        <v/>
      </c>
      <c r="AI1650" s="81">
        <f>IF(AN1650="","",IF(Q1650="Sin Factura",0,IFERROR(INDEX(Facturas_Odoo!$H:$H, MATCH(Q1650, Facturas_Odoo!$B:$B, 0)), 0)*(1-AG1650)))</f>
        <v/>
      </c>
      <c r="AJ1650" s="81">
        <f>IF(AN1650="","",_xlfn.LET(idVenta, AN1650&amp;"",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50" s="81">
        <f>IF(AN1650="","",AH1650-AJ1650)</f>
        <v/>
      </c>
      <c r="AL1650" s="81">
        <f>IF(AN1650="","",IF(Q1650="Sin Factura","",AI1650-AJ1650))</f>
        <v/>
      </c>
      <c r="AM1650" s="81">
        <f>IF(AN1650="","",IF(Q1650="Sin Factura",0,P1650-IFERROR(INDEX(Facturas_Odoo!$H:$H, MATCH(Q1650, Facturas_Odoo!$B:$B, 0)), 0)))</f>
        <v/>
      </c>
      <c r="AN1650" s="79">
        <f>IF(AND(A1650="", J1650=""), "", IF(A1650&lt;&gt;"", VALUE(MID(A1650,2,LEN(A1650))), AN1649))</f>
        <v/>
      </c>
      <c r="AO1650" s="79">
        <f>IF(AN1650="","",IF(AD1650=0,"OK",_xlfn.LET(monedaPago, IF(AA1650="","USD",AA1650), limitePermitido, IFERROR(VLOOKUP(monedaPago, Configuración!$A$2:$B$3, 2, FALSE), 0.15), IF(AD1650&gt;limitePermitido, "ALERTA: EXCESO (" &amp; TEXT(limitePermitido, "0%") &amp; " máx)", "OK"))))</f>
        <v/>
      </c>
      <c r="AP1650" s="79">
        <f>IF(AN1650="","",IF(AE1650=0,"OK",_xlfn.LET(fechaPago, Z1650, fechaFactura, R1650, diasCredito, IF(E1650="Pago inmediato", 0, IFERROR(VALUE(MID(E1650, 1, SEARCH(" ", E1650)-1)),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50" s="79">
        <f>IF(AN1650="","",IF(AND(N1650&gt;0, AG1650&gt;0), IF(Configuración!$K$2="NO", "ALERTA: DESCUENTO DOBLE NO PERMITIDO", "OK"), "OK"))</f>
        <v/>
      </c>
      <c r="AR1650" s="79">
        <f>IF(AN1650="","",IF(OR(AO1650&lt;&gt;"OK", AP1650&lt;&gt;"OK", AQ1650&lt;&gt;"OK"), "⚠️ REVISAR", "OK"))</f>
        <v/>
      </c>
    </row>
    <row r="1651">
      <c r="A1651" s="79">
        <f>IF('Ordenes_Odoo'!A1651="","",'Ordenes_Odoo'!A1651)</f>
        <v/>
      </c>
      <c r="B1651" s="80">
        <f>IF('Ordenes_Odoo'!B1651="","",'Ordenes_Odoo'!B1651)</f>
        <v/>
      </c>
      <c r="C1651" s="79">
        <f>IF('Ordenes_Odoo'!C1651="","",'Ordenes_Odoo'!C1651)</f>
        <v/>
      </c>
      <c r="D1651" s="79">
        <f>IF('Ordenes_Odoo'!D1651="","",'Ordenes_Odoo'!D1651)</f>
        <v/>
      </c>
      <c r="E1651" s="79">
        <f>IF('Ordenes_Odoo'!E1651="","",'Ordenes_Odoo'!E1651)</f>
        <v/>
      </c>
      <c r="F1651" s="79">
        <f>IF('Ordenes_Odoo'!F1651="","",'Ordenes_Odoo'!F1651)</f>
        <v/>
      </c>
      <c r="G1651" s="79">
        <f>IF('Ordenes_Odoo'!G1651="","",'Ordenes_Odoo'!G1651)</f>
        <v/>
      </c>
      <c r="H1651" s="79">
        <f>IF('Ordenes_Odoo'!H1651="","",'Ordenes_Odoo'!H1651)</f>
        <v/>
      </c>
      <c r="I1651" s="79">
        <f>IF('Ordenes_Odoo'!I1651="","",'Ordenes_Odoo'!I1651)</f>
        <v/>
      </c>
      <c r="J1651" s="79">
        <f>IF('Ordenes_Odoo'!J1651="","",'Ordenes_Odoo'!J1651)</f>
        <v/>
      </c>
      <c r="K1651" s="81">
        <f>IF('Ordenes_Odoo'!K1651="","",'Ordenes_Odoo'!K1651)</f>
        <v/>
      </c>
      <c r="L1651" s="81">
        <f>IF('Ordenes_Odoo'!L1651="","",'Ordenes_Odoo'!L1651)</f>
        <v/>
      </c>
      <c r="M1651" s="79">
        <f>IF('Ordenes_Odoo'!M1651="","",'Ordenes_Odoo'!M1651)</f>
        <v/>
      </c>
      <c r="N1651" s="79">
        <f>IF('Ordenes_Odoo'!N1651="","",'Ordenes_Odoo'!N1651)</f>
        <v/>
      </c>
      <c r="O1651" s="81">
        <f>IF('Ordenes_Odoo'!O1651="","",'Ordenes_Odoo'!O1651)</f>
        <v/>
      </c>
      <c r="P1651" s="81">
        <f>IF('Ordenes_Odoo'!P1651="","",'Ordenes_Odoo'!P1651)</f>
        <v/>
      </c>
      <c r="Q1651" s="79">
        <f>IF(A1651="","",IFERROR(INDEX(Facturas_Odoo!$B:$B, MATCH(A1651, Facturas_Odoo!$D:$D, 0)), "Sin Factura"))</f>
        <v/>
      </c>
      <c r="R1651" s="80">
        <f>IF(Q1651="Sin Factura","",IFERROR(INDEX(Facturas_Odoo!$A:$A, MATCH(Q1651, Facturas_Odoo!$B:$B, 0)), ""))</f>
        <v/>
      </c>
      <c r="S1651" s="79">
        <f>IF(Q1651="Sin Factura","",IFERROR(_xlfn.XLOOKUP(1, (Facturas_Odoo!$D:$D=A1651) * (Facturas_Odoo!$K:$K=I1651), Facturas_Odoo!$L:$L, ""), ""))</f>
        <v/>
      </c>
      <c r="T1651" s="81">
        <f>IF(Q1651="Sin Factura",0,IFERROR(_xlfn.XLOOKUP(1, (Facturas_Odoo!$D:$D=A1651) * (Facturas_Odoo!$K:$K=I1651), Facturas_Odoo!$M:$M, 0), 0))</f>
        <v/>
      </c>
      <c r="U1651" s="79">
        <f>IF(Q1651="Sin Factura",0,IFERROR(_xlfn.XLOOKUP(1, (Facturas_Odoo!$D:$D=A1651) * (Facturas_Odoo!$K:$K=I1651), Facturas_Odoo!$N:$N, 0), 0))</f>
        <v/>
      </c>
      <c r="V1651" s="79">
        <f>IF(Q1651="Sin Factura",0,IFERROR(_xlfn.XLOOKUP(1, (Facturas_Odoo!$D:$D=A1651) * (Facturas_Odoo!$K:$K=I1651), Facturas_Odoo!$O:$O, 0), 0))</f>
        <v/>
      </c>
      <c r="W1651" s="81">
        <f>IF(Q1651="Sin Factura",0,IFERROR(_xlfn.XLOOKUP(1, (Facturas_Odoo!$D:$D=A1651) * (Facturas_Odoo!$K:$K=I1651), Facturas_Odoo!$Q:$Q, 0), 0))</f>
        <v/>
      </c>
      <c r="X1651" s="79">
        <f>IF(OR(Q1651="Sin Factura",Q1651=""),"",IFERROR(INDEX(Pagos_Odoo!$B:$B, MATCH(Q1651, Pagos_Odoo!$I:$I, 0)), "Sin Pago"))</f>
        <v/>
      </c>
      <c r="Y1651" s="79">
        <f>IF(X1651="Sin Pago","",IFERROR(INDEX(Pagos_Odoo!$C:$C, MATCH(X1651, Pagos_Odoo!$B:$B, 0)), ""))</f>
        <v/>
      </c>
      <c r="Z1651" s="80">
        <f>IF(X1651="Sin Pago","",IFERROR(INDEX(Pagos_Odoo!$A:$A, MATCH(X1651, Pagos_Odoo!$B:$B, 0)), ""))</f>
        <v/>
      </c>
      <c r="AA1651" s="79">
        <f>IF(X1651="Sin Pago","",IFERROR(INDEX(Pagos_Odoo!$F:$F, MATCH(X1651, Pagos_Odoo!$B:$B, 0)), ""))</f>
        <v/>
      </c>
      <c r="AB1651" s="81">
        <f>IF(X1651="Sin Pago",0,IFERROR(INDEX(Pagos_Odoo!$E:$E, MATCH(X1651, Pagos_Odoo!$B:$B, 0)), 0))</f>
        <v/>
      </c>
      <c r="AC1651" s="79">
        <f>IF(X1651="Sin Pago","",IFERROR(INDEX(Pagos_Odoo!$G:$G, MATCH(X1651, Pagos_Odoo!$B:$B, 0)), ""))</f>
        <v/>
      </c>
      <c r="AD1651" s="82" t="n">
        <v>0</v>
      </c>
      <c r="AE1651" s="82" t="n"/>
      <c r="AF1651" s="82" t="n"/>
      <c r="AG1651" s="82">
        <f>IF(AN1651="","",AD1651+AE1651+AF1651)</f>
        <v/>
      </c>
      <c r="AH1651" s="81">
        <f>IF(AN1651="","",P1651*(1-AG1651))</f>
        <v/>
      </c>
      <c r="AI1651" s="81">
        <f>IF(AN1651="","",IF(Q1651="Sin Factura",0,IFERROR(INDEX(Facturas_Odoo!$H:$H, MATCH(Q1651, Facturas_Odoo!$B:$B, 0)), 0)*(1-AG1651)))</f>
        <v/>
      </c>
      <c r="AJ1651" s="81">
        <f>IF(AN1651="","",_xlfn.LET(idVenta, AN1651&amp;"",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51" s="81">
        <f>IF(AN1651="","",AH1651-AJ1651)</f>
        <v/>
      </c>
      <c r="AL1651" s="81">
        <f>IF(AN1651="","",IF(Q1651="Sin Factura","",AI1651-AJ1651))</f>
        <v/>
      </c>
      <c r="AM1651" s="81">
        <f>IF(AN1651="","",IF(Q1651="Sin Factura",0,P1651-IFERROR(INDEX(Facturas_Odoo!$H:$H, MATCH(Q1651, Facturas_Odoo!$B:$B, 0)), 0)))</f>
        <v/>
      </c>
      <c r="AN1651" s="79">
        <f>IF(AND(A1651="", J1651=""), "", IF(A1651&lt;&gt;"", VALUE(MID(A1651,2,LEN(A1651))), AN1650))</f>
        <v/>
      </c>
      <c r="AO1651" s="79">
        <f>IF(AN1651="","",IF(AD1651=0,"OK",_xlfn.LET(monedaPago, IF(AA1651="","USD",AA1651), limitePermitido, IFERROR(VLOOKUP(monedaPago, Configuración!$A$2:$B$3, 2, FALSE), 0.15), IF(AD1651&gt;limitePermitido, "ALERTA: EXCESO (" &amp; TEXT(limitePermitido, "0%") &amp; " máx)", "OK"))))</f>
        <v/>
      </c>
      <c r="AP1651" s="79">
        <f>IF(AN1651="","",IF(AE1651=0,"OK",_xlfn.LET(fechaPago, Z1651, fechaFactura, R1651, diasCredito, IF(E1651="Pago inmediato", 0, IFERROR(VALUE(MID(E1651, 1, SEARCH(" ", E1651)-1)),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51" s="79">
        <f>IF(AN1651="","",IF(AND(N1651&gt;0, AG1651&gt;0), IF(Configuración!$K$2="NO", "ALERTA: DESCUENTO DOBLE NO PERMITIDO", "OK"), "OK"))</f>
        <v/>
      </c>
      <c r="AR1651" s="79">
        <f>IF(AN1651="","",IF(OR(AO1651&lt;&gt;"OK", AP1651&lt;&gt;"OK", AQ1651&lt;&gt;"OK"), "⚠️ REVISAR", "OK"))</f>
        <v/>
      </c>
    </row>
    <row r="1652">
      <c r="A1652" s="79">
        <f>IF('Ordenes_Odoo'!A1652="","",'Ordenes_Odoo'!A1652)</f>
        <v/>
      </c>
      <c r="B1652" s="80">
        <f>IF('Ordenes_Odoo'!B1652="","",'Ordenes_Odoo'!B1652)</f>
        <v/>
      </c>
      <c r="C1652" s="79">
        <f>IF('Ordenes_Odoo'!C1652="","",'Ordenes_Odoo'!C1652)</f>
        <v/>
      </c>
      <c r="D1652" s="79">
        <f>IF('Ordenes_Odoo'!D1652="","",'Ordenes_Odoo'!D1652)</f>
        <v/>
      </c>
      <c r="E1652" s="79">
        <f>IF('Ordenes_Odoo'!E1652="","",'Ordenes_Odoo'!E1652)</f>
        <v/>
      </c>
      <c r="F1652" s="79">
        <f>IF('Ordenes_Odoo'!F1652="","",'Ordenes_Odoo'!F1652)</f>
        <v/>
      </c>
      <c r="G1652" s="79">
        <f>IF('Ordenes_Odoo'!G1652="","",'Ordenes_Odoo'!G1652)</f>
        <v/>
      </c>
      <c r="H1652" s="79">
        <f>IF('Ordenes_Odoo'!H1652="","",'Ordenes_Odoo'!H1652)</f>
        <v/>
      </c>
      <c r="I1652" s="79">
        <f>IF('Ordenes_Odoo'!I1652="","",'Ordenes_Odoo'!I1652)</f>
        <v/>
      </c>
      <c r="J1652" s="79">
        <f>IF('Ordenes_Odoo'!J1652="","",'Ordenes_Odoo'!J1652)</f>
        <v/>
      </c>
      <c r="K1652" s="81">
        <f>IF('Ordenes_Odoo'!K1652="","",'Ordenes_Odoo'!K1652)</f>
        <v/>
      </c>
      <c r="L1652" s="81">
        <f>IF('Ordenes_Odoo'!L1652="","",'Ordenes_Odoo'!L1652)</f>
        <v/>
      </c>
      <c r="M1652" s="79">
        <f>IF('Ordenes_Odoo'!M1652="","",'Ordenes_Odoo'!M1652)</f>
        <v/>
      </c>
      <c r="N1652" s="79">
        <f>IF('Ordenes_Odoo'!N1652="","",'Ordenes_Odoo'!N1652)</f>
        <v/>
      </c>
      <c r="O1652" s="81">
        <f>IF('Ordenes_Odoo'!O1652="","",'Ordenes_Odoo'!O1652)</f>
        <v/>
      </c>
      <c r="P1652" s="81">
        <f>IF('Ordenes_Odoo'!P1652="","",'Ordenes_Odoo'!P1652)</f>
        <v/>
      </c>
      <c r="Q1652" s="79">
        <f>IF(A1652="","",IFERROR(INDEX(Facturas_Odoo!$B:$B, MATCH(A1652, Facturas_Odoo!$D:$D, 0)), "Sin Factura"))</f>
        <v/>
      </c>
      <c r="R1652" s="80">
        <f>IF(Q1652="Sin Factura","",IFERROR(INDEX(Facturas_Odoo!$A:$A, MATCH(Q1652, Facturas_Odoo!$B:$B, 0)), ""))</f>
        <v/>
      </c>
      <c r="S1652" s="79">
        <f>IF(Q1652="Sin Factura","",IFERROR(_xlfn.XLOOKUP(1, (Facturas_Odoo!$D:$D=A1652) * (Facturas_Odoo!$K:$K=I1652), Facturas_Odoo!$L:$L, ""), ""))</f>
        <v/>
      </c>
      <c r="T1652" s="81">
        <f>IF(Q1652="Sin Factura",0,IFERROR(_xlfn.XLOOKUP(1, (Facturas_Odoo!$D:$D=A1652) * (Facturas_Odoo!$K:$K=I1652), Facturas_Odoo!$M:$M, 0), 0))</f>
        <v/>
      </c>
      <c r="U1652" s="79">
        <f>IF(Q1652="Sin Factura",0,IFERROR(_xlfn.XLOOKUP(1, (Facturas_Odoo!$D:$D=A1652) * (Facturas_Odoo!$K:$K=I1652), Facturas_Odoo!$N:$N, 0), 0))</f>
        <v/>
      </c>
      <c r="V1652" s="79">
        <f>IF(Q1652="Sin Factura",0,IFERROR(_xlfn.XLOOKUP(1, (Facturas_Odoo!$D:$D=A1652) * (Facturas_Odoo!$K:$K=I1652), Facturas_Odoo!$O:$O, 0), 0))</f>
        <v/>
      </c>
      <c r="W1652" s="81">
        <f>IF(Q1652="Sin Factura",0,IFERROR(_xlfn.XLOOKUP(1, (Facturas_Odoo!$D:$D=A1652) * (Facturas_Odoo!$K:$K=I1652), Facturas_Odoo!$Q:$Q, 0), 0))</f>
        <v/>
      </c>
      <c r="X1652" s="79">
        <f>IF(OR(Q1652="Sin Factura",Q1652=""),"",IFERROR(INDEX(Pagos_Odoo!$B:$B, MATCH(Q1652, Pagos_Odoo!$I:$I, 0)), "Sin Pago"))</f>
        <v/>
      </c>
      <c r="Y1652" s="79">
        <f>IF(X1652="Sin Pago","",IFERROR(INDEX(Pagos_Odoo!$C:$C, MATCH(X1652, Pagos_Odoo!$B:$B, 0)), ""))</f>
        <v/>
      </c>
      <c r="Z1652" s="80">
        <f>IF(X1652="Sin Pago","",IFERROR(INDEX(Pagos_Odoo!$A:$A, MATCH(X1652, Pagos_Odoo!$B:$B, 0)), ""))</f>
        <v/>
      </c>
      <c r="AA1652" s="79">
        <f>IF(X1652="Sin Pago","",IFERROR(INDEX(Pagos_Odoo!$F:$F, MATCH(X1652, Pagos_Odoo!$B:$B, 0)), ""))</f>
        <v/>
      </c>
      <c r="AB1652" s="81">
        <f>IF(X1652="Sin Pago",0,IFERROR(INDEX(Pagos_Odoo!$E:$E, MATCH(X1652, Pagos_Odoo!$B:$B, 0)), 0))</f>
        <v/>
      </c>
      <c r="AC1652" s="79">
        <f>IF(X1652="Sin Pago","",IFERROR(INDEX(Pagos_Odoo!$G:$G, MATCH(X1652, Pagos_Odoo!$B:$B, 0)), ""))</f>
        <v/>
      </c>
      <c r="AD1652" s="82" t="n">
        <v>0</v>
      </c>
      <c r="AE1652" s="82" t="n"/>
      <c r="AF1652" s="82" t="n"/>
      <c r="AG1652" s="82">
        <f>IF(AN1652="","",AD1652+AE1652+AF1652)</f>
        <v/>
      </c>
      <c r="AH1652" s="81">
        <f>IF(AN1652="","",P1652*(1-AG1652))</f>
        <v/>
      </c>
      <c r="AI1652" s="81">
        <f>IF(AN1652="","",IF(Q1652="Sin Factura",0,IFERROR(INDEX(Facturas_Odoo!$H:$H, MATCH(Q1652, Facturas_Odoo!$B:$B, 0)), 0)*(1-AG1652)))</f>
        <v/>
      </c>
      <c r="AJ1652" s="81">
        <f>IF(AN1652="","",_xlfn.LET(idVenta, AN1652&amp;"",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52" s="81">
        <f>IF(AN1652="","",AH1652-AJ1652)</f>
        <v/>
      </c>
      <c r="AL1652" s="81">
        <f>IF(AN1652="","",IF(Q1652="Sin Factura","",AI1652-AJ1652))</f>
        <v/>
      </c>
      <c r="AM1652" s="81">
        <f>IF(AN1652="","",IF(Q1652="Sin Factura",0,P1652-IFERROR(INDEX(Facturas_Odoo!$H:$H, MATCH(Q1652, Facturas_Odoo!$B:$B, 0)), 0)))</f>
        <v/>
      </c>
      <c r="AN1652" s="79">
        <f>IF(AND(A1652="", J1652=""), "", IF(A1652&lt;&gt;"", VALUE(MID(A1652,2,LEN(A1652))), AN1651))</f>
        <v/>
      </c>
      <c r="AO1652" s="79">
        <f>IF(AN1652="","",IF(AD1652=0,"OK",_xlfn.LET(monedaPago, IF(AA1652="","USD",AA1652), limitePermitido, IFERROR(VLOOKUP(monedaPago, Configuración!$A$2:$B$3, 2, FALSE), 0.15), IF(AD1652&gt;limitePermitido, "ALERTA: EXCESO (" &amp; TEXT(limitePermitido, "0%") &amp; " máx)", "OK"))))</f>
        <v/>
      </c>
      <c r="AP1652" s="79">
        <f>IF(AN1652="","",IF(AE1652=0,"OK",_xlfn.LET(fechaPago, Z1652, fechaFactura, R1652, diasCredito, IF(E1652="Pago inmediato", 0, IFERROR(VALUE(MID(E1652, 1, SEARCH(" ", E1652)-1)),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52" s="79">
        <f>IF(AN1652="","",IF(AND(N1652&gt;0, AG1652&gt;0), IF(Configuración!$K$2="NO", "ALERTA: DESCUENTO DOBLE NO PERMITIDO", "OK"), "OK"))</f>
        <v/>
      </c>
      <c r="AR1652" s="79">
        <f>IF(AN1652="","",IF(OR(AO1652&lt;&gt;"OK", AP1652&lt;&gt;"OK", AQ1652&lt;&gt;"OK"), "⚠️ REVISAR", "OK"))</f>
        <v/>
      </c>
    </row>
    <row r="1653">
      <c r="A1653" s="79">
        <f>IF('Ordenes_Odoo'!A1653="","",'Ordenes_Odoo'!A1653)</f>
        <v/>
      </c>
      <c r="B1653" s="80">
        <f>IF('Ordenes_Odoo'!B1653="","",'Ordenes_Odoo'!B1653)</f>
        <v/>
      </c>
      <c r="C1653" s="79">
        <f>IF('Ordenes_Odoo'!C1653="","",'Ordenes_Odoo'!C1653)</f>
        <v/>
      </c>
      <c r="D1653" s="79">
        <f>IF('Ordenes_Odoo'!D1653="","",'Ordenes_Odoo'!D1653)</f>
        <v/>
      </c>
      <c r="E1653" s="79">
        <f>IF('Ordenes_Odoo'!E1653="","",'Ordenes_Odoo'!E1653)</f>
        <v/>
      </c>
      <c r="F1653" s="79">
        <f>IF('Ordenes_Odoo'!F1653="","",'Ordenes_Odoo'!F1653)</f>
        <v/>
      </c>
      <c r="G1653" s="79">
        <f>IF('Ordenes_Odoo'!G1653="","",'Ordenes_Odoo'!G1653)</f>
        <v/>
      </c>
      <c r="H1653" s="79">
        <f>IF('Ordenes_Odoo'!H1653="","",'Ordenes_Odoo'!H1653)</f>
        <v/>
      </c>
      <c r="I1653" s="79">
        <f>IF('Ordenes_Odoo'!I1653="","",'Ordenes_Odoo'!I1653)</f>
        <v/>
      </c>
      <c r="J1653" s="79">
        <f>IF('Ordenes_Odoo'!J1653="","",'Ordenes_Odoo'!J1653)</f>
        <v/>
      </c>
      <c r="K1653" s="81">
        <f>IF('Ordenes_Odoo'!K1653="","",'Ordenes_Odoo'!K1653)</f>
        <v/>
      </c>
      <c r="L1653" s="81">
        <f>IF('Ordenes_Odoo'!L1653="","",'Ordenes_Odoo'!L1653)</f>
        <v/>
      </c>
      <c r="M1653" s="79">
        <f>IF('Ordenes_Odoo'!M1653="","",'Ordenes_Odoo'!M1653)</f>
        <v/>
      </c>
      <c r="N1653" s="79">
        <f>IF('Ordenes_Odoo'!N1653="","",'Ordenes_Odoo'!N1653)</f>
        <v/>
      </c>
      <c r="O1653" s="81">
        <f>IF('Ordenes_Odoo'!O1653="","",'Ordenes_Odoo'!O1653)</f>
        <v/>
      </c>
      <c r="P1653" s="81">
        <f>IF('Ordenes_Odoo'!P1653="","",'Ordenes_Odoo'!P1653)</f>
        <v/>
      </c>
      <c r="Q1653" s="79">
        <f>IF(A1653="","",IFERROR(INDEX(Facturas_Odoo!$B:$B, MATCH(A1653, Facturas_Odoo!$D:$D, 0)), "Sin Factura"))</f>
        <v/>
      </c>
      <c r="R1653" s="80">
        <f>IF(Q1653="Sin Factura","",IFERROR(INDEX(Facturas_Odoo!$A:$A, MATCH(Q1653, Facturas_Odoo!$B:$B, 0)), ""))</f>
        <v/>
      </c>
      <c r="S1653" s="79">
        <f>IF(Q1653="Sin Factura","",IFERROR(_xlfn.XLOOKUP(1, (Facturas_Odoo!$D:$D=A1653) * (Facturas_Odoo!$K:$K=I1653), Facturas_Odoo!$L:$L, ""), ""))</f>
        <v/>
      </c>
      <c r="T1653" s="81">
        <f>IF(Q1653="Sin Factura",0,IFERROR(_xlfn.XLOOKUP(1, (Facturas_Odoo!$D:$D=A1653) * (Facturas_Odoo!$K:$K=I1653), Facturas_Odoo!$M:$M, 0), 0))</f>
        <v/>
      </c>
      <c r="U1653" s="79">
        <f>IF(Q1653="Sin Factura",0,IFERROR(_xlfn.XLOOKUP(1, (Facturas_Odoo!$D:$D=A1653) * (Facturas_Odoo!$K:$K=I1653), Facturas_Odoo!$N:$N, 0), 0))</f>
        <v/>
      </c>
      <c r="V1653" s="79">
        <f>IF(Q1653="Sin Factura",0,IFERROR(_xlfn.XLOOKUP(1, (Facturas_Odoo!$D:$D=A1653) * (Facturas_Odoo!$K:$K=I1653), Facturas_Odoo!$O:$O, 0), 0))</f>
        <v/>
      </c>
      <c r="W1653" s="81">
        <f>IF(Q1653="Sin Factura",0,IFERROR(_xlfn.XLOOKUP(1, (Facturas_Odoo!$D:$D=A1653) * (Facturas_Odoo!$K:$K=I1653), Facturas_Odoo!$Q:$Q, 0), 0))</f>
        <v/>
      </c>
      <c r="X1653" s="79">
        <f>IF(OR(Q1653="Sin Factura",Q1653=""),"",IFERROR(INDEX(Pagos_Odoo!$B:$B, MATCH(Q1653, Pagos_Odoo!$I:$I, 0)), "Sin Pago"))</f>
        <v/>
      </c>
      <c r="Y1653" s="79">
        <f>IF(X1653="Sin Pago","",IFERROR(INDEX(Pagos_Odoo!$C:$C, MATCH(X1653, Pagos_Odoo!$B:$B, 0)), ""))</f>
        <v/>
      </c>
      <c r="Z1653" s="80">
        <f>IF(X1653="Sin Pago","",IFERROR(INDEX(Pagos_Odoo!$A:$A, MATCH(X1653, Pagos_Odoo!$B:$B, 0)), ""))</f>
        <v/>
      </c>
      <c r="AA1653" s="79">
        <f>IF(X1653="Sin Pago","",IFERROR(INDEX(Pagos_Odoo!$F:$F, MATCH(X1653, Pagos_Odoo!$B:$B, 0)), ""))</f>
        <v/>
      </c>
      <c r="AB1653" s="81">
        <f>IF(X1653="Sin Pago",0,IFERROR(INDEX(Pagos_Odoo!$E:$E, MATCH(X1653, Pagos_Odoo!$B:$B, 0)), 0))</f>
        <v/>
      </c>
      <c r="AC1653" s="79">
        <f>IF(X1653="Sin Pago","",IFERROR(INDEX(Pagos_Odoo!$G:$G, MATCH(X1653, Pagos_Odoo!$B:$B, 0)), ""))</f>
        <v/>
      </c>
      <c r="AD1653" s="82" t="n">
        <v>0</v>
      </c>
      <c r="AE1653" s="82" t="n"/>
      <c r="AF1653" s="82" t="n"/>
      <c r="AG1653" s="82">
        <f>IF(AN1653="","",AD1653+AE1653+AF1653)</f>
        <v/>
      </c>
      <c r="AH1653" s="81">
        <f>IF(AN1653="","",P1653*(1-AG1653))</f>
        <v/>
      </c>
      <c r="AI1653" s="81">
        <f>IF(AN1653="","",IF(Q1653="Sin Factura",0,IFERROR(INDEX(Facturas_Odoo!$H:$H, MATCH(Q1653, Facturas_Odoo!$B:$B, 0)), 0)*(1-AG1653)))</f>
        <v/>
      </c>
      <c r="AJ1653" s="81">
        <f>IF(AN1653="","",_xlfn.LET(idVenta, AN1653&amp;"",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53" s="81">
        <f>IF(AN1653="","",AH1653-AJ1653)</f>
        <v/>
      </c>
      <c r="AL1653" s="81">
        <f>IF(AN1653="","",IF(Q1653="Sin Factura","",AI1653-AJ1653))</f>
        <v/>
      </c>
      <c r="AM1653" s="81">
        <f>IF(AN1653="","",IF(Q1653="Sin Factura",0,P1653-IFERROR(INDEX(Facturas_Odoo!$H:$H, MATCH(Q1653, Facturas_Odoo!$B:$B, 0)), 0)))</f>
        <v/>
      </c>
      <c r="AN1653" s="79">
        <f>IF(AND(A1653="", J1653=""), "", IF(A1653&lt;&gt;"", VALUE(MID(A1653,2,LEN(A1653))), AN1652))</f>
        <v/>
      </c>
      <c r="AO1653" s="79">
        <f>IF(AN1653="","",IF(AD1653=0,"OK",_xlfn.LET(monedaPago, IF(AA1653="","USD",AA1653), limitePermitido, IFERROR(VLOOKUP(monedaPago, Configuración!$A$2:$B$3, 2, FALSE), 0.15), IF(AD1653&gt;limitePermitido, "ALERTA: EXCESO (" &amp; TEXT(limitePermitido, "0%") &amp; " máx)", "OK"))))</f>
        <v/>
      </c>
      <c r="AP1653" s="79">
        <f>IF(AN1653="","",IF(AE1653=0,"OK",_xlfn.LET(fechaPago, Z1653, fechaFactura, R1653, diasCredito, IF(E1653="Pago inmediato", 0, IFERROR(VALUE(MID(E1653, 1, SEARCH(" ", E1653)-1)),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53" s="79">
        <f>IF(AN1653="","",IF(AND(N1653&gt;0, AG1653&gt;0), IF(Configuración!$K$2="NO", "ALERTA: DESCUENTO DOBLE NO PERMITIDO", "OK"), "OK"))</f>
        <v/>
      </c>
      <c r="AR1653" s="79">
        <f>IF(AN1653="","",IF(OR(AO1653&lt;&gt;"OK", AP1653&lt;&gt;"OK", AQ1653&lt;&gt;"OK"), "⚠️ REVISAR", "OK"))</f>
        <v/>
      </c>
    </row>
    <row r="1654">
      <c r="A1654" s="79">
        <f>IF('Ordenes_Odoo'!A1654="","",'Ordenes_Odoo'!A1654)</f>
        <v/>
      </c>
      <c r="B1654" s="80">
        <f>IF('Ordenes_Odoo'!B1654="","",'Ordenes_Odoo'!B1654)</f>
        <v/>
      </c>
      <c r="C1654" s="79">
        <f>IF('Ordenes_Odoo'!C1654="","",'Ordenes_Odoo'!C1654)</f>
        <v/>
      </c>
      <c r="D1654" s="79">
        <f>IF('Ordenes_Odoo'!D1654="","",'Ordenes_Odoo'!D1654)</f>
        <v/>
      </c>
      <c r="E1654" s="79">
        <f>IF('Ordenes_Odoo'!E1654="","",'Ordenes_Odoo'!E1654)</f>
        <v/>
      </c>
      <c r="F1654" s="79">
        <f>IF('Ordenes_Odoo'!F1654="","",'Ordenes_Odoo'!F1654)</f>
        <v/>
      </c>
      <c r="G1654" s="79">
        <f>IF('Ordenes_Odoo'!G1654="","",'Ordenes_Odoo'!G1654)</f>
        <v/>
      </c>
      <c r="H1654" s="79">
        <f>IF('Ordenes_Odoo'!H1654="","",'Ordenes_Odoo'!H1654)</f>
        <v/>
      </c>
      <c r="I1654" s="79">
        <f>IF('Ordenes_Odoo'!I1654="","",'Ordenes_Odoo'!I1654)</f>
        <v/>
      </c>
      <c r="J1654" s="79">
        <f>IF('Ordenes_Odoo'!J1654="","",'Ordenes_Odoo'!J1654)</f>
        <v/>
      </c>
      <c r="K1654" s="81">
        <f>IF('Ordenes_Odoo'!K1654="","",'Ordenes_Odoo'!K1654)</f>
        <v/>
      </c>
      <c r="L1654" s="81">
        <f>IF('Ordenes_Odoo'!L1654="","",'Ordenes_Odoo'!L1654)</f>
        <v/>
      </c>
      <c r="M1654" s="79">
        <f>IF('Ordenes_Odoo'!M1654="","",'Ordenes_Odoo'!M1654)</f>
        <v/>
      </c>
      <c r="N1654" s="79">
        <f>IF('Ordenes_Odoo'!N1654="","",'Ordenes_Odoo'!N1654)</f>
        <v/>
      </c>
      <c r="O1654" s="81">
        <f>IF('Ordenes_Odoo'!O1654="","",'Ordenes_Odoo'!O1654)</f>
        <v/>
      </c>
      <c r="P1654" s="81">
        <f>IF('Ordenes_Odoo'!P1654="","",'Ordenes_Odoo'!P1654)</f>
        <v/>
      </c>
      <c r="Q1654" s="79">
        <f>IF(A1654="","",IFERROR(INDEX(Facturas_Odoo!$B:$B, MATCH(A1654, Facturas_Odoo!$D:$D, 0)), "Sin Factura"))</f>
        <v/>
      </c>
      <c r="R1654" s="80">
        <f>IF(Q1654="Sin Factura","",IFERROR(INDEX(Facturas_Odoo!$A:$A, MATCH(Q1654, Facturas_Odoo!$B:$B, 0)), ""))</f>
        <v/>
      </c>
      <c r="S1654" s="79">
        <f>IF(Q1654="Sin Factura","",IFERROR(_xlfn.XLOOKUP(1, (Facturas_Odoo!$D:$D=A1654) * (Facturas_Odoo!$K:$K=I1654), Facturas_Odoo!$L:$L, ""), ""))</f>
        <v/>
      </c>
      <c r="T1654" s="81">
        <f>IF(Q1654="Sin Factura",0,IFERROR(_xlfn.XLOOKUP(1, (Facturas_Odoo!$D:$D=A1654) * (Facturas_Odoo!$K:$K=I1654), Facturas_Odoo!$M:$M, 0), 0))</f>
        <v/>
      </c>
      <c r="U1654" s="79">
        <f>IF(Q1654="Sin Factura",0,IFERROR(_xlfn.XLOOKUP(1, (Facturas_Odoo!$D:$D=A1654) * (Facturas_Odoo!$K:$K=I1654), Facturas_Odoo!$N:$N, 0), 0))</f>
        <v/>
      </c>
      <c r="V1654" s="79">
        <f>IF(Q1654="Sin Factura",0,IFERROR(_xlfn.XLOOKUP(1, (Facturas_Odoo!$D:$D=A1654) * (Facturas_Odoo!$K:$K=I1654), Facturas_Odoo!$O:$O, 0), 0))</f>
        <v/>
      </c>
      <c r="W1654" s="81">
        <f>IF(Q1654="Sin Factura",0,IFERROR(_xlfn.XLOOKUP(1, (Facturas_Odoo!$D:$D=A1654) * (Facturas_Odoo!$K:$K=I1654), Facturas_Odoo!$Q:$Q, 0), 0))</f>
        <v/>
      </c>
      <c r="X1654" s="79">
        <f>IF(OR(Q1654="Sin Factura",Q1654=""),"",IFERROR(INDEX(Pagos_Odoo!$B:$B, MATCH(Q1654, Pagos_Odoo!$I:$I, 0)), "Sin Pago"))</f>
        <v/>
      </c>
      <c r="Y1654" s="79">
        <f>IF(X1654="Sin Pago","",IFERROR(INDEX(Pagos_Odoo!$C:$C, MATCH(X1654, Pagos_Odoo!$B:$B, 0)), ""))</f>
        <v/>
      </c>
      <c r="Z1654" s="80">
        <f>IF(X1654="Sin Pago","",IFERROR(INDEX(Pagos_Odoo!$A:$A, MATCH(X1654, Pagos_Odoo!$B:$B, 0)), ""))</f>
        <v/>
      </c>
      <c r="AA1654" s="79">
        <f>IF(X1654="Sin Pago","",IFERROR(INDEX(Pagos_Odoo!$F:$F, MATCH(X1654, Pagos_Odoo!$B:$B, 0)), ""))</f>
        <v/>
      </c>
      <c r="AB1654" s="81">
        <f>IF(X1654="Sin Pago",0,IFERROR(INDEX(Pagos_Odoo!$E:$E, MATCH(X1654, Pagos_Odoo!$B:$B, 0)), 0))</f>
        <v/>
      </c>
      <c r="AC1654" s="79">
        <f>IF(X1654="Sin Pago","",IFERROR(INDEX(Pagos_Odoo!$G:$G, MATCH(X1654, Pagos_Odoo!$B:$B, 0)), ""))</f>
        <v/>
      </c>
      <c r="AD1654" s="82" t="n">
        <v>0</v>
      </c>
      <c r="AE1654" s="82" t="n"/>
      <c r="AF1654" s="82" t="n"/>
      <c r="AG1654" s="82">
        <f>IF(AN1654="","",AD1654+AE1654+AF1654)</f>
        <v/>
      </c>
      <c r="AH1654" s="81">
        <f>IF(AN1654="","",P1654*(1-AG1654))</f>
        <v/>
      </c>
      <c r="AI1654" s="81">
        <f>IF(AN1654="","",IF(Q1654="Sin Factura",0,IFERROR(INDEX(Facturas_Odoo!$H:$H, MATCH(Q1654, Facturas_Odoo!$B:$B, 0)), 0)*(1-AG1654)))</f>
        <v/>
      </c>
      <c r="AJ1654" s="81">
        <f>IF(AN1654="","",_xlfn.LET(idVenta, AN1654&amp;"",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54" s="81">
        <f>IF(AN1654="","",AH1654-AJ1654)</f>
        <v/>
      </c>
      <c r="AL1654" s="81">
        <f>IF(AN1654="","",IF(Q1654="Sin Factura","",AI1654-AJ1654))</f>
        <v/>
      </c>
      <c r="AM1654" s="81">
        <f>IF(AN1654="","",IF(Q1654="Sin Factura",0,P1654-IFERROR(INDEX(Facturas_Odoo!$H:$H, MATCH(Q1654, Facturas_Odoo!$B:$B, 0)), 0)))</f>
        <v/>
      </c>
      <c r="AN1654" s="79">
        <f>IF(AND(A1654="", J1654=""), "", IF(A1654&lt;&gt;"", VALUE(MID(A1654,2,LEN(A1654))), AN1653))</f>
        <v/>
      </c>
      <c r="AO1654" s="79">
        <f>IF(AN1654="","",IF(AD1654=0,"OK",_xlfn.LET(monedaPago, IF(AA1654="","USD",AA1654), limitePermitido, IFERROR(VLOOKUP(monedaPago, Configuración!$A$2:$B$3, 2, FALSE), 0.15), IF(AD1654&gt;limitePermitido, "ALERTA: EXCESO (" &amp; TEXT(limitePermitido, "0%") &amp; " máx)", "OK"))))</f>
        <v/>
      </c>
      <c r="AP1654" s="79">
        <f>IF(AN1654="","",IF(AE1654=0,"OK",_xlfn.LET(fechaPago, Z1654, fechaFactura, R1654, diasCredito, IF(E1654="Pago inmediato", 0, IFERROR(VALUE(MID(E1654, 1, SEARCH(" ", E1654)-1)),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54" s="79">
        <f>IF(AN1654="","",IF(AND(N1654&gt;0, AG1654&gt;0), IF(Configuración!$K$2="NO", "ALERTA: DESCUENTO DOBLE NO PERMITIDO", "OK"), "OK"))</f>
        <v/>
      </c>
      <c r="AR1654" s="79">
        <f>IF(AN1654="","",IF(OR(AO1654&lt;&gt;"OK", AP1654&lt;&gt;"OK", AQ1654&lt;&gt;"OK"), "⚠️ REVISAR", "OK"))</f>
        <v/>
      </c>
    </row>
    <row r="1655">
      <c r="A1655" s="79">
        <f>IF('Ordenes_Odoo'!A1655="","",'Ordenes_Odoo'!A1655)</f>
        <v/>
      </c>
      <c r="B1655" s="80">
        <f>IF('Ordenes_Odoo'!B1655="","",'Ordenes_Odoo'!B1655)</f>
        <v/>
      </c>
      <c r="C1655" s="79">
        <f>IF('Ordenes_Odoo'!C1655="","",'Ordenes_Odoo'!C1655)</f>
        <v/>
      </c>
      <c r="D1655" s="79">
        <f>IF('Ordenes_Odoo'!D1655="","",'Ordenes_Odoo'!D1655)</f>
        <v/>
      </c>
      <c r="E1655" s="79">
        <f>IF('Ordenes_Odoo'!E1655="","",'Ordenes_Odoo'!E1655)</f>
        <v/>
      </c>
      <c r="F1655" s="79">
        <f>IF('Ordenes_Odoo'!F1655="","",'Ordenes_Odoo'!F1655)</f>
        <v/>
      </c>
      <c r="G1655" s="79">
        <f>IF('Ordenes_Odoo'!G1655="","",'Ordenes_Odoo'!G1655)</f>
        <v/>
      </c>
      <c r="H1655" s="79">
        <f>IF('Ordenes_Odoo'!H1655="","",'Ordenes_Odoo'!H1655)</f>
        <v/>
      </c>
      <c r="I1655" s="79">
        <f>IF('Ordenes_Odoo'!I1655="","",'Ordenes_Odoo'!I1655)</f>
        <v/>
      </c>
      <c r="J1655" s="79">
        <f>IF('Ordenes_Odoo'!J1655="","",'Ordenes_Odoo'!J1655)</f>
        <v/>
      </c>
      <c r="K1655" s="81">
        <f>IF('Ordenes_Odoo'!K1655="","",'Ordenes_Odoo'!K1655)</f>
        <v/>
      </c>
      <c r="L1655" s="81">
        <f>IF('Ordenes_Odoo'!L1655="","",'Ordenes_Odoo'!L1655)</f>
        <v/>
      </c>
      <c r="M1655" s="79">
        <f>IF('Ordenes_Odoo'!M1655="","",'Ordenes_Odoo'!M1655)</f>
        <v/>
      </c>
      <c r="N1655" s="79">
        <f>IF('Ordenes_Odoo'!N1655="","",'Ordenes_Odoo'!N1655)</f>
        <v/>
      </c>
      <c r="O1655" s="81">
        <f>IF('Ordenes_Odoo'!O1655="","",'Ordenes_Odoo'!O1655)</f>
        <v/>
      </c>
      <c r="P1655" s="81">
        <f>IF('Ordenes_Odoo'!P1655="","",'Ordenes_Odoo'!P1655)</f>
        <v/>
      </c>
      <c r="Q1655" s="79">
        <f>IF(A1655="","",IFERROR(INDEX(Facturas_Odoo!$B:$B, MATCH(A1655, Facturas_Odoo!$D:$D, 0)), "Sin Factura"))</f>
        <v/>
      </c>
      <c r="R1655" s="80">
        <f>IF(Q1655="Sin Factura","",IFERROR(INDEX(Facturas_Odoo!$A:$A, MATCH(Q1655, Facturas_Odoo!$B:$B, 0)), ""))</f>
        <v/>
      </c>
      <c r="S1655" s="79">
        <f>IF(Q1655="Sin Factura","",IFERROR(_xlfn.XLOOKUP(1, (Facturas_Odoo!$D:$D=A1655) * (Facturas_Odoo!$K:$K=I1655), Facturas_Odoo!$L:$L, ""), ""))</f>
        <v/>
      </c>
      <c r="T1655" s="81">
        <f>IF(Q1655="Sin Factura",0,IFERROR(_xlfn.XLOOKUP(1, (Facturas_Odoo!$D:$D=A1655) * (Facturas_Odoo!$K:$K=I1655), Facturas_Odoo!$M:$M, 0), 0))</f>
        <v/>
      </c>
      <c r="U1655" s="79">
        <f>IF(Q1655="Sin Factura",0,IFERROR(_xlfn.XLOOKUP(1, (Facturas_Odoo!$D:$D=A1655) * (Facturas_Odoo!$K:$K=I1655), Facturas_Odoo!$N:$N, 0), 0))</f>
        <v/>
      </c>
      <c r="V1655" s="79">
        <f>IF(Q1655="Sin Factura",0,IFERROR(_xlfn.XLOOKUP(1, (Facturas_Odoo!$D:$D=A1655) * (Facturas_Odoo!$K:$K=I1655), Facturas_Odoo!$O:$O, 0), 0))</f>
        <v/>
      </c>
      <c r="W1655" s="81">
        <f>IF(Q1655="Sin Factura",0,IFERROR(_xlfn.XLOOKUP(1, (Facturas_Odoo!$D:$D=A1655) * (Facturas_Odoo!$K:$K=I1655), Facturas_Odoo!$Q:$Q, 0), 0))</f>
        <v/>
      </c>
      <c r="X1655" s="79">
        <f>IF(OR(Q1655="Sin Factura",Q1655=""),"",IFERROR(INDEX(Pagos_Odoo!$B:$B, MATCH(Q1655, Pagos_Odoo!$I:$I, 0)), "Sin Pago"))</f>
        <v/>
      </c>
      <c r="Y1655" s="79">
        <f>IF(X1655="Sin Pago","",IFERROR(INDEX(Pagos_Odoo!$C:$C, MATCH(X1655, Pagos_Odoo!$B:$B, 0)), ""))</f>
        <v/>
      </c>
      <c r="Z1655" s="80">
        <f>IF(X1655="Sin Pago","",IFERROR(INDEX(Pagos_Odoo!$A:$A, MATCH(X1655, Pagos_Odoo!$B:$B, 0)), ""))</f>
        <v/>
      </c>
      <c r="AA1655" s="79">
        <f>IF(X1655="Sin Pago","",IFERROR(INDEX(Pagos_Odoo!$F:$F, MATCH(X1655, Pagos_Odoo!$B:$B, 0)), ""))</f>
        <v/>
      </c>
      <c r="AB1655" s="81">
        <f>IF(X1655="Sin Pago",0,IFERROR(INDEX(Pagos_Odoo!$E:$E, MATCH(X1655, Pagos_Odoo!$B:$B, 0)), 0))</f>
        <v/>
      </c>
      <c r="AC1655" s="79">
        <f>IF(X1655="Sin Pago","",IFERROR(INDEX(Pagos_Odoo!$G:$G, MATCH(X1655, Pagos_Odoo!$B:$B, 0)), ""))</f>
        <v/>
      </c>
      <c r="AD1655" s="82" t="n">
        <v>0</v>
      </c>
      <c r="AE1655" s="82" t="n"/>
      <c r="AF1655" s="82" t="n"/>
      <c r="AG1655" s="82">
        <f>IF(AN1655="","",AD1655+AE1655+AF1655)</f>
        <v/>
      </c>
      <c r="AH1655" s="81">
        <f>IF(AN1655="","",P1655*(1-AG1655))</f>
        <v/>
      </c>
      <c r="AI1655" s="81">
        <f>IF(AN1655="","",IF(Q1655="Sin Factura",0,IFERROR(INDEX(Facturas_Odoo!$H:$H, MATCH(Q1655, Facturas_Odoo!$B:$B, 0)), 0)*(1-AG1655)))</f>
        <v/>
      </c>
      <c r="AJ1655" s="81">
        <f>IF(AN1655="","",_xlfn.LET(idVenta, AN1655&amp;"",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55" s="81">
        <f>IF(AN1655="","",AH1655-AJ1655)</f>
        <v/>
      </c>
      <c r="AL1655" s="81">
        <f>IF(AN1655="","",IF(Q1655="Sin Factura","",AI1655-AJ1655))</f>
        <v/>
      </c>
      <c r="AM1655" s="81">
        <f>IF(AN1655="","",IF(Q1655="Sin Factura",0,P1655-IFERROR(INDEX(Facturas_Odoo!$H:$H, MATCH(Q1655, Facturas_Odoo!$B:$B, 0)), 0)))</f>
        <v/>
      </c>
      <c r="AN1655" s="79">
        <f>IF(AND(A1655="", J1655=""), "", IF(A1655&lt;&gt;"", VALUE(MID(A1655,2,LEN(A1655))), AN1654))</f>
        <v/>
      </c>
      <c r="AO1655" s="79">
        <f>IF(AN1655="","",IF(AD1655=0,"OK",_xlfn.LET(monedaPago, IF(AA1655="","USD",AA1655), limitePermitido, IFERROR(VLOOKUP(monedaPago, Configuración!$A$2:$B$3, 2, FALSE), 0.15), IF(AD1655&gt;limitePermitido, "ALERTA: EXCESO (" &amp; TEXT(limitePermitido, "0%") &amp; " máx)", "OK"))))</f>
        <v/>
      </c>
      <c r="AP1655" s="79">
        <f>IF(AN1655="","",IF(AE1655=0,"OK",_xlfn.LET(fechaPago, Z1655, fechaFactura, R1655, diasCredito, IF(E1655="Pago inmediato", 0, IFERROR(VALUE(MID(E1655, 1, SEARCH(" ", E1655)-1)),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55" s="79">
        <f>IF(AN1655="","",IF(AND(N1655&gt;0, AG1655&gt;0), IF(Configuración!$K$2="NO", "ALERTA: DESCUENTO DOBLE NO PERMITIDO", "OK"), "OK"))</f>
        <v/>
      </c>
      <c r="AR1655" s="79">
        <f>IF(AN1655="","",IF(OR(AO1655&lt;&gt;"OK", AP1655&lt;&gt;"OK", AQ1655&lt;&gt;"OK"), "⚠️ REVISAR", "OK"))</f>
        <v/>
      </c>
    </row>
    <row r="1656">
      <c r="A1656" s="79">
        <f>IF('Ordenes_Odoo'!A1656="","",'Ordenes_Odoo'!A1656)</f>
        <v/>
      </c>
      <c r="B1656" s="80">
        <f>IF('Ordenes_Odoo'!B1656="","",'Ordenes_Odoo'!B1656)</f>
        <v/>
      </c>
      <c r="C1656" s="79">
        <f>IF('Ordenes_Odoo'!C1656="","",'Ordenes_Odoo'!C1656)</f>
        <v/>
      </c>
      <c r="D1656" s="79">
        <f>IF('Ordenes_Odoo'!D1656="","",'Ordenes_Odoo'!D1656)</f>
        <v/>
      </c>
      <c r="E1656" s="79">
        <f>IF('Ordenes_Odoo'!E1656="","",'Ordenes_Odoo'!E1656)</f>
        <v/>
      </c>
      <c r="F1656" s="79">
        <f>IF('Ordenes_Odoo'!F1656="","",'Ordenes_Odoo'!F1656)</f>
        <v/>
      </c>
      <c r="G1656" s="79">
        <f>IF('Ordenes_Odoo'!G1656="","",'Ordenes_Odoo'!G1656)</f>
        <v/>
      </c>
      <c r="H1656" s="79">
        <f>IF('Ordenes_Odoo'!H1656="","",'Ordenes_Odoo'!H1656)</f>
        <v/>
      </c>
      <c r="I1656" s="79">
        <f>IF('Ordenes_Odoo'!I1656="","",'Ordenes_Odoo'!I1656)</f>
        <v/>
      </c>
      <c r="J1656" s="79">
        <f>IF('Ordenes_Odoo'!J1656="","",'Ordenes_Odoo'!J1656)</f>
        <v/>
      </c>
      <c r="K1656" s="81">
        <f>IF('Ordenes_Odoo'!K1656="","",'Ordenes_Odoo'!K1656)</f>
        <v/>
      </c>
      <c r="L1656" s="81">
        <f>IF('Ordenes_Odoo'!L1656="","",'Ordenes_Odoo'!L1656)</f>
        <v/>
      </c>
      <c r="M1656" s="79">
        <f>IF('Ordenes_Odoo'!M1656="","",'Ordenes_Odoo'!M1656)</f>
        <v/>
      </c>
      <c r="N1656" s="79">
        <f>IF('Ordenes_Odoo'!N1656="","",'Ordenes_Odoo'!N1656)</f>
        <v/>
      </c>
      <c r="O1656" s="81">
        <f>IF('Ordenes_Odoo'!O1656="","",'Ordenes_Odoo'!O1656)</f>
        <v/>
      </c>
      <c r="P1656" s="81">
        <f>IF('Ordenes_Odoo'!P1656="","",'Ordenes_Odoo'!P1656)</f>
        <v/>
      </c>
      <c r="Q1656" s="79">
        <f>IF(A1656="","",IFERROR(INDEX(Facturas_Odoo!$B:$B, MATCH(A1656, Facturas_Odoo!$D:$D, 0)), "Sin Factura"))</f>
        <v/>
      </c>
      <c r="R1656" s="80">
        <f>IF(Q1656="Sin Factura","",IFERROR(INDEX(Facturas_Odoo!$A:$A, MATCH(Q1656, Facturas_Odoo!$B:$B, 0)), ""))</f>
        <v/>
      </c>
      <c r="S1656" s="79">
        <f>IF(Q1656="Sin Factura","",IFERROR(_xlfn.XLOOKUP(1, (Facturas_Odoo!$D:$D=A1656) * (Facturas_Odoo!$K:$K=I1656), Facturas_Odoo!$L:$L, ""), ""))</f>
        <v/>
      </c>
      <c r="T1656" s="81">
        <f>IF(Q1656="Sin Factura",0,IFERROR(_xlfn.XLOOKUP(1, (Facturas_Odoo!$D:$D=A1656) * (Facturas_Odoo!$K:$K=I1656), Facturas_Odoo!$M:$M, 0), 0))</f>
        <v/>
      </c>
      <c r="U1656" s="79">
        <f>IF(Q1656="Sin Factura",0,IFERROR(_xlfn.XLOOKUP(1, (Facturas_Odoo!$D:$D=A1656) * (Facturas_Odoo!$K:$K=I1656), Facturas_Odoo!$N:$N, 0), 0))</f>
        <v/>
      </c>
      <c r="V1656" s="79">
        <f>IF(Q1656="Sin Factura",0,IFERROR(_xlfn.XLOOKUP(1, (Facturas_Odoo!$D:$D=A1656) * (Facturas_Odoo!$K:$K=I1656), Facturas_Odoo!$O:$O, 0), 0))</f>
        <v/>
      </c>
      <c r="W1656" s="81">
        <f>IF(Q1656="Sin Factura",0,IFERROR(_xlfn.XLOOKUP(1, (Facturas_Odoo!$D:$D=A1656) * (Facturas_Odoo!$K:$K=I1656), Facturas_Odoo!$Q:$Q, 0), 0))</f>
        <v/>
      </c>
      <c r="X1656" s="79">
        <f>IF(OR(Q1656="Sin Factura",Q1656=""),"",IFERROR(INDEX(Pagos_Odoo!$B:$B, MATCH(Q1656, Pagos_Odoo!$I:$I, 0)), "Sin Pago"))</f>
        <v/>
      </c>
      <c r="Y1656" s="79">
        <f>IF(X1656="Sin Pago","",IFERROR(INDEX(Pagos_Odoo!$C:$C, MATCH(X1656, Pagos_Odoo!$B:$B, 0)), ""))</f>
        <v/>
      </c>
      <c r="Z1656" s="80">
        <f>IF(X1656="Sin Pago","",IFERROR(INDEX(Pagos_Odoo!$A:$A, MATCH(X1656, Pagos_Odoo!$B:$B, 0)), ""))</f>
        <v/>
      </c>
      <c r="AA1656" s="79">
        <f>IF(X1656="Sin Pago","",IFERROR(INDEX(Pagos_Odoo!$F:$F, MATCH(X1656, Pagos_Odoo!$B:$B, 0)), ""))</f>
        <v/>
      </c>
      <c r="AB1656" s="81">
        <f>IF(X1656="Sin Pago",0,IFERROR(INDEX(Pagos_Odoo!$E:$E, MATCH(X1656, Pagos_Odoo!$B:$B, 0)), 0))</f>
        <v/>
      </c>
      <c r="AC1656" s="79">
        <f>IF(X1656="Sin Pago","",IFERROR(INDEX(Pagos_Odoo!$G:$G, MATCH(X1656, Pagos_Odoo!$B:$B, 0)), ""))</f>
        <v/>
      </c>
      <c r="AD1656" s="82" t="n">
        <v>0</v>
      </c>
      <c r="AE1656" s="82" t="n"/>
      <c r="AF1656" s="82" t="n"/>
      <c r="AG1656" s="82">
        <f>IF(AN1656="","",AD1656+AE1656+AF1656)</f>
        <v/>
      </c>
      <c r="AH1656" s="81">
        <f>IF(AN1656="","",P1656*(1-AG1656))</f>
        <v/>
      </c>
      <c r="AI1656" s="81">
        <f>IF(AN1656="","",IF(Q1656="Sin Factura",0,IFERROR(INDEX(Facturas_Odoo!$H:$H, MATCH(Q1656, Facturas_Odoo!$B:$B, 0)), 0)*(1-AG1656)))</f>
        <v/>
      </c>
      <c r="AJ1656" s="81">
        <f>IF(AN1656="","",_xlfn.LET(idVenta, AN1656&amp;"",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56" s="81">
        <f>IF(AN1656="","",AH1656-AJ1656)</f>
        <v/>
      </c>
      <c r="AL1656" s="81">
        <f>IF(AN1656="","",IF(Q1656="Sin Factura","",AI1656-AJ1656))</f>
        <v/>
      </c>
      <c r="AM1656" s="81">
        <f>IF(AN1656="","",IF(Q1656="Sin Factura",0,P1656-IFERROR(INDEX(Facturas_Odoo!$H:$H, MATCH(Q1656, Facturas_Odoo!$B:$B, 0)), 0)))</f>
        <v/>
      </c>
      <c r="AN1656" s="79">
        <f>IF(AND(A1656="", J1656=""), "", IF(A1656&lt;&gt;"", VALUE(MID(A1656,2,LEN(A1656))), AN1655))</f>
        <v/>
      </c>
      <c r="AO1656" s="79">
        <f>IF(AN1656="","",IF(AD1656=0,"OK",_xlfn.LET(monedaPago, IF(AA1656="","USD",AA1656), limitePermitido, IFERROR(VLOOKUP(monedaPago, Configuración!$A$2:$B$3, 2, FALSE), 0.15), IF(AD1656&gt;limitePermitido, "ALERTA: EXCESO (" &amp; TEXT(limitePermitido, "0%") &amp; " máx)", "OK"))))</f>
        <v/>
      </c>
      <c r="AP1656" s="79">
        <f>IF(AN1656="","",IF(AE1656=0,"OK",_xlfn.LET(fechaPago, Z1656, fechaFactura, R1656, diasCredito, IF(E1656="Pago inmediato", 0, IFERROR(VALUE(MID(E1656, 1, SEARCH(" ", E1656)-1)),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56" s="79">
        <f>IF(AN1656="","",IF(AND(N1656&gt;0, AG1656&gt;0), IF(Configuración!$K$2="NO", "ALERTA: DESCUENTO DOBLE NO PERMITIDO", "OK"), "OK"))</f>
        <v/>
      </c>
      <c r="AR1656" s="79">
        <f>IF(AN1656="","",IF(OR(AO1656&lt;&gt;"OK", AP1656&lt;&gt;"OK", AQ1656&lt;&gt;"OK"), "⚠️ REVISAR", "OK"))</f>
        <v/>
      </c>
    </row>
    <row r="1657">
      <c r="A1657" s="79">
        <f>IF('Ordenes_Odoo'!A1657="","",'Ordenes_Odoo'!A1657)</f>
        <v/>
      </c>
      <c r="B1657" s="80">
        <f>IF('Ordenes_Odoo'!B1657="","",'Ordenes_Odoo'!B1657)</f>
        <v/>
      </c>
      <c r="C1657" s="79">
        <f>IF('Ordenes_Odoo'!C1657="","",'Ordenes_Odoo'!C1657)</f>
        <v/>
      </c>
      <c r="D1657" s="79">
        <f>IF('Ordenes_Odoo'!D1657="","",'Ordenes_Odoo'!D1657)</f>
        <v/>
      </c>
      <c r="E1657" s="79">
        <f>IF('Ordenes_Odoo'!E1657="","",'Ordenes_Odoo'!E1657)</f>
        <v/>
      </c>
      <c r="F1657" s="79">
        <f>IF('Ordenes_Odoo'!F1657="","",'Ordenes_Odoo'!F1657)</f>
        <v/>
      </c>
      <c r="G1657" s="79">
        <f>IF('Ordenes_Odoo'!G1657="","",'Ordenes_Odoo'!G1657)</f>
        <v/>
      </c>
      <c r="H1657" s="79">
        <f>IF('Ordenes_Odoo'!H1657="","",'Ordenes_Odoo'!H1657)</f>
        <v/>
      </c>
      <c r="I1657" s="79">
        <f>IF('Ordenes_Odoo'!I1657="","",'Ordenes_Odoo'!I1657)</f>
        <v/>
      </c>
      <c r="J1657" s="79">
        <f>IF('Ordenes_Odoo'!J1657="","",'Ordenes_Odoo'!J1657)</f>
        <v/>
      </c>
      <c r="K1657" s="81">
        <f>IF('Ordenes_Odoo'!K1657="","",'Ordenes_Odoo'!K1657)</f>
        <v/>
      </c>
      <c r="L1657" s="81">
        <f>IF('Ordenes_Odoo'!L1657="","",'Ordenes_Odoo'!L1657)</f>
        <v/>
      </c>
      <c r="M1657" s="79">
        <f>IF('Ordenes_Odoo'!M1657="","",'Ordenes_Odoo'!M1657)</f>
        <v/>
      </c>
      <c r="N1657" s="79">
        <f>IF('Ordenes_Odoo'!N1657="","",'Ordenes_Odoo'!N1657)</f>
        <v/>
      </c>
      <c r="O1657" s="81">
        <f>IF('Ordenes_Odoo'!O1657="","",'Ordenes_Odoo'!O1657)</f>
        <v/>
      </c>
      <c r="P1657" s="81">
        <f>IF('Ordenes_Odoo'!P1657="","",'Ordenes_Odoo'!P1657)</f>
        <v/>
      </c>
      <c r="Q1657" s="79">
        <f>IF(A1657="","",IFERROR(INDEX(Facturas_Odoo!$B:$B, MATCH(A1657, Facturas_Odoo!$D:$D, 0)), "Sin Factura"))</f>
        <v/>
      </c>
      <c r="R1657" s="80">
        <f>IF(Q1657="Sin Factura","",IFERROR(INDEX(Facturas_Odoo!$A:$A, MATCH(Q1657, Facturas_Odoo!$B:$B, 0)), ""))</f>
        <v/>
      </c>
      <c r="S1657" s="79">
        <f>IF(Q1657="Sin Factura","",IFERROR(_xlfn.XLOOKUP(1, (Facturas_Odoo!$D:$D=A1657) * (Facturas_Odoo!$K:$K=I1657), Facturas_Odoo!$L:$L, ""), ""))</f>
        <v/>
      </c>
      <c r="T1657" s="81">
        <f>IF(Q1657="Sin Factura",0,IFERROR(_xlfn.XLOOKUP(1, (Facturas_Odoo!$D:$D=A1657) * (Facturas_Odoo!$K:$K=I1657), Facturas_Odoo!$M:$M, 0), 0))</f>
        <v/>
      </c>
      <c r="U1657" s="79">
        <f>IF(Q1657="Sin Factura",0,IFERROR(_xlfn.XLOOKUP(1, (Facturas_Odoo!$D:$D=A1657) * (Facturas_Odoo!$K:$K=I1657), Facturas_Odoo!$N:$N, 0), 0))</f>
        <v/>
      </c>
      <c r="V1657" s="79">
        <f>IF(Q1657="Sin Factura",0,IFERROR(_xlfn.XLOOKUP(1, (Facturas_Odoo!$D:$D=A1657) * (Facturas_Odoo!$K:$K=I1657), Facturas_Odoo!$O:$O, 0), 0))</f>
        <v/>
      </c>
      <c r="W1657" s="81">
        <f>IF(Q1657="Sin Factura",0,IFERROR(_xlfn.XLOOKUP(1, (Facturas_Odoo!$D:$D=A1657) * (Facturas_Odoo!$K:$K=I1657), Facturas_Odoo!$Q:$Q, 0), 0))</f>
        <v/>
      </c>
      <c r="X1657" s="79">
        <f>IF(OR(Q1657="Sin Factura",Q1657=""),"",IFERROR(INDEX(Pagos_Odoo!$B:$B, MATCH(Q1657, Pagos_Odoo!$I:$I, 0)), "Sin Pago"))</f>
        <v/>
      </c>
      <c r="Y1657" s="79">
        <f>IF(X1657="Sin Pago","",IFERROR(INDEX(Pagos_Odoo!$C:$C, MATCH(X1657, Pagos_Odoo!$B:$B, 0)), ""))</f>
        <v/>
      </c>
      <c r="Z1657" s="80">
        <f>IF(X1657="Sin Pago","",IFERROR(INDEX(Pagos_Odoo!$A:$A, MATCH(X1657, Pagos_Odoo!$B:$B, 0)), ""))</f>
        <v/>
      </c>
      <c r="AA1657" s="79">
        <f>IF(X1657="Sin Pago","",IFERROR(INDEX(Pagos_Odoo!$F:$F, MATCH(X1657, Pagos_Odoo!$B:$B, 0)), ""))</f>
        <v/>
      </c>
      <c r="AB1657" s="81">
        <f>IF(X1657="Sin Pago",0,IFERROR(INDEX(Pagos_Odoo!$E:$E, MATCH(X1657, Pagos_Odoo!$B:$B, 0)), 0))</f>
        <v/>
      </c>
      <c r="AC1657" s="79">
        <f>IF(X1657="Sin Pago","",IFERROR(INDEX(Pagos_Odoo!$G:$G, MATCH(X1657, Pagos_Odoo!$B:$B, 0)), ""))</f>
        <v/>
      </c>
      <c r="AD1657" s="82" t="n">
        <v>0</v>
      </c>
      <c r="AE1657" s="82" t="n"/>
      <c r="AF1657" s="82" t="n"/>
      <c r="AG1657" s="82">
        <f>IF(AN1657="","",AD1657+AE1657+AF1657)</f>
        <v/>
      </c>
      <c r="AH1657" s="81">
        <f>IF(AN1657="","",P1657*(1-AG1657))</f>
        <v/>
      </c>
      <c r="AI1657" s="81">
        <f>IF(AN1657="","",IF(Q1657="Sin Factura",0,IFERROR(INDEX(Facturas_Odoo!$H:$H, MATCH(Q1657, Facturas_Odoo!$B:$B, 0)), 0)*(1-AG1657)))</f>
        <v/>
      </c>
      <c r="AJ1657" s="81">
        <f>IF(AN1657="","",_xlfn.LET(idVenta, AN1657&amp;"",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57" s="81">
        <f>IF(AN1657="","",AH1657-AJ1657)</f>
        <v/>
      </c>
      <c r="AL1657" s="81">
        <f>IF(AN1657="","",IF(Q1657="Sin Factura","",AI1657-AJ1657))</f>
        <v/>
      </c>
      <c r="AM1657" s="81">
        <f>IF(AN1657="","",IF(Q1657="Sin Factura",0,P1657-IFERROR(INDEX(Facturas_Odoo!$H:$H, MATCH(Q1657, Facturas_Odoo!$B:$B, 0)), 0)))</f>
        <v/>
      </c>
      <c r="AN1657" s="79">
        <f>IF(AND(A1657="", J1657=""), "", IF(A1657&lt;&gt;"", VALUE(MID(A1657,2,LEN(A1657))), AN1656))</f>
        <v/>
      </c>
      <c r="AO1657" s="79">
        <f>IF(AN1657="","",IF(AD1657=0,"OK",_xlfn.LET(monedaPago, IF(AA1657="","USD",AA1657), limitePermitido, IFERROR(VLOOKUP(monedaPago, Configuración!$A$2:$B$3, 2, FALSE), 0.15), IF(AD1657&gt;limitePermitido, "ALERTA: EXCESO (" &amp; TEXT(limitePermitido, "0%") &amp; " máx)", "OK"))))</f>
        <v/>
      </c>
      <c r="AP1657" s="79">
        <f>IF(AN1657="","",IF(AE1657=0,"OK",_xlfn.LET(fechaPago, Z1657, fechaFactura, R1657, diasCredito, IF(E1657="Pago inmediato", 0, IFERROR(VALUE(MID(E1657, 1, SEARCH(" ", E1657)-1)),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57" s="79">
        <f>IF(AN1657="","",IF(AND(N1657&gt;0, AG1657&gt;0), IF(Configuración!$K$2="NO", "ALERTA: DESCUENTO DOBLE NO PERMITIDO", "OK"), "OK"))</f>
        <v/>
      </c>
      <c r="AR1657" s="79">
        <f>IF(AN1657="","",IF(OR(AO1657&lt;&gt;"OK", AP1657&lt;&gt;"OK", AQ1657&lt;&gt;"OK"), "⚠️ REVISAR", "OK"))</f>
        <v/>
      </c>
    </row>
    <row r="1658">
      <c r="A1658" s="79">
        <f>IF('Ordenes_Odoo'!A1658="","",'Ordenes_Odoo'!A1658)</f>
        <v/>
      </c>
      <c r="B1658" s="80">
        <f>IF('Ordenes_Odoo'!B1658="","",'Ordenes_Odoo'!B1658)</f>
        <v/>
      </c>
      <c r="C1658" s="79">
        <f>IF('Ordenes_Odoo'!C1658="","",'Ordenes_Odoo'!C1658)</f>
        <v/>
      </c>
      <c r="D1658" s="79">
        <f>IF('Ordenes_Odoo'!D1658="","",'Ordenes_Odoo'!D1658)</f>
        <v/>
      </c>
      <c r="E1658" s="79">
        <f>IF('Ordenes_Odoo'!E1658="","",'Ordenes_Odoo'!E1658)</f>
        <v/>
      </c>
      <c r="F1658" s="79">
        <f>IF('Ordenes_Odoo'!F1658="","",'Ordenes_Odoo'!F1658)</f>
        <v/>
      </c>
      <c r="G1658" s="79">
        <f>IF('Ordenes_Odoo'!G1658="","",'Ordenes_Odoo'!G1658)</f>
        <v/>
      </c>
      <c r="H1658" s="79">
        <f>IF('Ordenes_Odoo'!H1658="","",'Ordenes_Odoo'!H1658)</f>
        <v/>
      </c>
      <c r="I1658" s="79">
        <f>IF('Ordenes_Odoo'!I1658="","",'Ordenes_Odoo'!I1658)</f>
        <v/>
      </c>
      <c r="J1658" s="79">
        <f>IF('Ordenes_Odoo'!J1658="","",'Ordenes_Odoo'!J1658)</f>
        <v/>
      </c>
      <c r="K1658" s="81">
        <f>IF('Ordenes_Odoo'!K1658="","",'Ordenes_Odoo'!K1658)</f>
        <v/>
      </c>
      <c r="L1658" s="81">
        <f>IF('Ordenes_Odoo'!L1658="","",'Ordenes_Odoo'!L1658)</f>
        <v/>
      </c>
      <c r="M1658" s="79">
        <f>IF('Ordenes_Odoo'!M1658="","",'Ordenes_Odoo'!M1658)</f>
        <v/>
      </c>
      <c r="N1658" s="79">
        <f>IF('Ordenes_Odoo'!N1658="","",'Ordenes_Odoo'!N1658)</f>
        <v/>
      </c>
      <c r="O1658" s="81">
        <f>IF('Ordenes_Odoo'!O1658="","",'Ordenes_Odoo'!O1658)</f>
        <v/>
      </c>
      <c r="P1658" s="81">
        <f>IF('Ordenes_Odoo'!P1658="","",'Ordenes_Odoo'!P1658)</f>
        <v/>
      </c>
      <c r="Q1658" s="79">
        <f>IF(A1658="","",IFERROR(INDEX(Facturas_Odoo!$B:$B, MATCH(A1658, Facturas_Odoo!$D:$D, 0)), "Sin Factura"))</f>
        <v/>
      </c>
      <c r="R1658" s="80">
        <f>IF(Q1658="Sin Factura","",IFERROR(INDEX(Facturas_Odoo!$A:$A, MATCH(Q1658, Facturas_Odoo!$B:$B, 0)), ""))</f>
        <v/>
      </c>
      <c r="S1658" s="79">
        <f>IF(Q1658="Sin Factura","",IFERROR(_xlfn.XLOOKUP(1, (Facturas_Odoo!$D:$D=A1658) * (Facturas_Odoo!$K:$K=I1658), Facturas_Odoo!$L:$L, ""), ""))</f>
        <v/>
      </c>
      <c r="T1658" s="81">
        <f>IF(Q1658="Sin Factura",0,IFERROR(_xlfn.XLOOKUP(1, (Facturas_Odoo!$D:$D=A1658) * (Facturas_Odoo!$K:$K=I1658), Facturas_Odoo!$M:$M, 0), 0))</f>
        <v/>
      </c>
      <c r="U1658" s="79">
        <f>IF(Q1658="Sin Factura",0,IFERROR(_xlfn.XLOOKUP(1, (Facturas_Odoo!$D:$D=A1658) * (Facturas_Odoo!$K:$K=I1658), Facturas_Odoo!$N:$N, 0), 0))</f>
        <v/>
      </c>
      <c r="V1658" s="79">
        <f>IF(Q1658="Sin Factura",0,IFERROR(_xlfn.XLOOKUP(1, (Facturas_Odoo!$D:$D=A1658) * (Facturas_Odoo!$K:$K=I1658), Facturas_Odoo!$O:$O, 0), 0))</f>
        <v/>
      </c>
      <c r="W1658" s="81">
        <f>IF(Q1658="Sin Factura",0,IFERROR(_xlfn.XLOOKUP(1, (Facturas_Odoo!$D:$D=A1658) * (Facturas_Odoo!$K:$K=I1658), Facturas_Odoo!$Q:$Q, 0), 0))</f>
        <v/>
      </c>
      <c r="X1658" s="79">
        <f>IF(OR(Q1658="Sin Factura",Q1658=""),"",IFERROR(INDEX(Pagos_Odoo!$B:$B, MATCH(Q1658, Pagos_Odoo!$I:$I, 0)), "Sin Pago"))</f>
        <v/>
      </c>
      <c r="Y1658" s="79">
        <f>IF(X1658="Sin Pago","",IFERROR(INDEX(Pagos_Odoo!$C:$C, MATCH(X1658, Pagos_Odoo!$B:$B, 0)), ""))</f>
        <v/>
      </c>
      <c r="Z1658" s="80">
        <f>IF(X1658="Sin Pago","",IFERROR(INDEX(Pagos_Odoo!$A:$A, MATCH(X1658, Pagos_Odoo!$B:$B, 0)), ""))</f>
        <v/>
      </c>
      <c r="AA1658" s="79">
        <f>IF(X1658="Sin Pago","",IFERROR(INDEX(Pagos_Odoo!$F:$F, MATCH(X1658, Pagos_Odoo!$B:$B, 0)), ""))</f>
        <v/>
      </c>
      <c r="AB1658" s="81">
        <f>IF(X1658="Sin Pago",0,IFERROR(INDEX(Pagos_Odoo!$E:$E, MATCH(X1658, Pagos_Odoo!$B:$B, 0)), 0))</f>
        <v/>
      </c>
      <c r="AC1658" s="79">
        <f>IF(X1658="Sin Pago","",IFERROR(INDEX(Pagos_Odoo!$G:$G, MATCH(X1658, Pagos_Odoo!$B:$B, 0)), ""))</f>
        <v/>
      </c>
      <c r="AD1658" s="82" t="n">
        <v>0</v>
      </c>
      <c r="AE1658" s="82" t="n"/>
      <c r="AF1658" s="82" t="n"/>
      <c r="AG1658" s="82">
        <f>IF(AN1658="","",AD1658+AE1658+AF1658)</f>
        <v/>
      </c>
      <c r="AH1658" s="81">
        <f>IF(AN1658="","",P1658*(1-AG1658))</f>
        <v/>
      </c>
      <c r="AI1658" s="81">
        <f>IF(AN1658="","",IF(Q1658="Sin Factura",0,IFERROR(INDEX(Facturas_Odoo!$H:$H, MATCH(Q1658, Facturas_Odoo!$B:$B, 0)), 0)*(1-AG1658)))</f>
        <v/>
      </c>
      <c r="AJ1658" s="81">
        <f>IF(AN1658="","",_xlfn.LET(idVenta, AN1658&amp;"",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58" s="81">
        <f>IF(AN1658="","",AH1658-AJ1658)</f>
        <v/>
      </c>
      <c r="AL1658" s="81">
        <f>IF(AN1658="","",IF(Q1658="Sin Factura","",AI1658-AJ1658))</f>
        <v/>
      </c>
      <c r="AM1658" s="81">
        <f>IF(AN1658="","",IF(Q1658="Sin Factura",0,P1658-IFERROR(INDEX(Facturas_Odoo!$H:$H, MATCH(Q1658, Facturas_Odoo!$B:$B, 0)), 0)))</f>
        <v/>
      </c>
      <c r="AN1658" s="79">
        <f>IF(AND(A1658="", J1658=""), "", IF(A1658&lt;&gt;"", VALUE(MID(A1658,2,LEN(A1658))), AN1657))</f>
        <v/>
      </c>
      <c r="AO1658" s="79">
        <f>IF(AN1658="","",IF(AD1658=0,"OK",_xlfn.LET(monedaPago, IF(AA1658="","USD",AA1658), limitePermitido, IFERROR(VLOOKUP(monedaPago, Configuración!$A$2:$B$3, 2, FALSE), 0.15), IF(AD1658&gt;limitePermitido, "ALERTA: EXCESO (" &amp; TEXT(limitePermitido, "0%") &amp; " máx)", "OK"))))</f>
        <v/>
      </c>
      <c r="AP1658" s="79">
        <f>IF(AN1658="","",IF(AE1658=0,"OK",_xlfn.LET(fechaPago, Z1658, fechaFactura, R1658, diasCredito, IF(E1658="Pago inmediato", 0, IFERROR(VALUE(MID(E1658, 1, SEARCH(" ", E1658)-1)),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58" s="79">
        <f>IF(AN1658="","",IF(AND(N1658&gt;0, AG1658&gt;0), IF(Configuración!$K$2="NO", "ALERTA: DESCUENTO DOBLE NO PERMITIDO", "OK"), "OK"))</f>
        <v/>
      </c>
      <c r="AR1658" s="79">
        <f>IF(AN1658="","",IF(OR(AO1658&lt;&gt;"OK", AP1658&lt;&gt;"OK", AQ1658&lt;&gt;"OK"), "⚠️ REVISAR", "OK"))</f>
        <v/>
      </c>
    </row>
    <row r="1659">
      <c r="A1659" s="79">
        <f>IF('Ordenes_Odoo'!A1659="","",'Ordenes_Odoo'!A1659)</f>
        <v/>
      </c>
      <c r="B1659" s="80">
        <f>IF('Ordenes_Odoo'!B1659="","",'Ordenes_Odoo'!B1659)</f>
        <v/>
      </c>
      <c r="C1659" s="79">
        <f>IF('Ordenes_Odoo'!C1659="","",'Ordenes_Odoo'!C1659)</f>
        <v/>
      </c>
      <c r="D1659" s="79">
        <f>IF('Ordenes_Odoo'!D1659="","",'Ordenes_Odoo'!D1659)</f>
        <v/>
      </c>
      <c r="E1659" s="79">
        <f>IF('Ordenes_Odoo'!E1659="","",'Ordenes_Odoo'!E1659)</f>
        <v/>
      </c>
      <c r="F1659" s="79">
        <f>IF('Ordenes_Odoo'!F1659="","",'Ordenes_Odoo'!F1659)</f>
        <v/>
      </c>
      <c r="G1659" s="79">
        <f>IF('Ordenes_Odoo'!G1659="","",'Ordenes_Odoo'!G1659)</f>
        <v/>
      </c>
      <c r="H1659" s="79">
        <f>IF('Ordenes_Odoo'!H1659="","",'Ordenes_Odoo'!H1659)</f>
        <v/>
      </c>
      <c r="I1659" s="79">
        <f>IF('Ordenes_Odoo'!I1659="","",'Ordenes_Odoo'!I1659)</f>
        <v/>
      </c>
      <c r="J1659" s="79">
        <f>IF('Ordenes_Odoo'!J1659="","",'Ordenes_Odoo'!J1659)</f>
        <v/>
      </c>
      <c r="K1659" s="81">
        <f>IF('Ordenes_Odoo'!K1659="","",'Ordenes_Odoo'!K1659)</f>
        <v/>
      </c>
      <c r="L1659" s="81">
        <f>IF('Ordenes_Odoo'!L1659="","",'Ordenes_Odoo'!L1659)</f>
        <v/>
      </c>
      <c r="M1659" s="79">
        <f>IF('Ordenes_Odoo'!M1659="","",'Ordenes_Odoo'!M1659)</f>
        <v/>
      </c>
      <c r="N1659" s="79">
        <f>IF('Ordenes_Odoo'!N1659="","",'Ordenes_Odoo'!N1659)</f>
        <v/>
      </c>
      <c r="O1659" s="81">
        <f>IF('Ordenes_Odoo'!O1659="","",'Ordenes_Odoo'!O1659)</f>
        <v/>
      </c>
      <c r="P1659" s="81">
        <f>IF('Ordenes_Odoo'!P1659="","",'Ordenes_Odoo'!P1659)</f>
        <v/>
      </c>
      <c r="Q1659" s="79">
        <f>IF(A1659="","",IFERROR(INDEX(Facturas_Odoo!$B:$B, MATCH(A1659, Facturas_Odoo!$D:$D, 0)), "Sin Factura"))</f>
        <v/>
      </c>
      <c r="R1659" s="80">
        <f>IF(Q1659="Sin Factura","",IFERROR(INDEX(Facturas_Odoo!$A:$A, MATCH(Q1659, Facturas_Odoo!$B:$B, 0)), ""))</f>
        <v/>
      </c>
      <c r="S1659" s="79">
        <f>IF(Q1659="Sin Factura","",IFERROR(_xlfn.XLOOKUP(1, (Facturas_Odoo!$D:$D=A1659) * (Facturas_Odoo!$K:$K=I1659), Facturas_Odoo!$L:$L, ""), ""))</f>
        <v/>
      </c>
      <c r="T1659" s="81">
        <f>IF(Q1659="Sin Factura",0,IFERROR(_xlfn.XLOOKUP(1, (Facturas_Odoo!$D:$D=A1659) * (Facturas_Odoo!$K:$K=I1659), Facturas_Odoo!$M:$M, 0), 0))</f>
        <v/>
      </c>
      <c r="U1659" s="79">
        <f>IF(Q1659="Sin Factura",0,IFERROR(_xlfn.XLOOKUP(1, (Facturas_Odoo!$D:$D=A1659) * (Facturas_Odoo!$K:$K=I1659), Facturas_Odoo!$N:$N, 0), 0))</f>
        <v/>
      </c>
      <c r="V1659" s="79">
        <f>IF(Q1659="Sin Factura",0,IFERROR(_xlfn.XLOOKUP(1, (Facturas_Odoo!$D:$D=A1659) * (Facturas_Odoo!$K:$K=I1659), Facturas_Odoo!$O:$O, 0), 0))</f>
        <v/>
      </c>
      <c r="W1659" s="81">
        <f>IF(Q1659="Sin Factura",0,IFERROR(_xlfn.XLOOKUP(1, (Facturas_Odoo!$D:$D=A1659) * (Facturas_Odoo!$K:$K=I1659), Facturas_Odoo!$Q:$Q, 0), 0))</f>
        <v/>
      </c>
      <c r="X1659" s="79">
        <f>IF(OR(Q1659="Sin Factura",Q1659=""),"",IFERROR(INDEX(Pagos_Odoo!$B:$B, MATCH(Q1659, Pagos_Odoo!$I:$I, 0)), "Sin Pago"))</f>
        <v/>
      </c>
      <c r="Y1659" s="79">
        <f>IF(X1659="Sin Pago","",IFERROR(INDEX(Pagos_Odoo!$C:$C, MATCH(X1659, Pagos_Odoo!$B:$B, 0)), ""))</f>
        <v/>
      </c>
      <c r="Z1659" s="80">
        <f>IF(X1659="Sin Pago","",IFERROR(INDEX(Pagos_Odoo!$A:$A, MATCH(X1659, Pagos_Odoo!$B:$B, 0)), ""))</f>
        <v/>
      </c>
      <c r="AA1659" s="79">
        <f>IF(X1659="Sin Pago","",IFERROR(INDEX(Pagos_Odoo!$F:$F, MATCH(X1659, Pagos_Odoo!$B:$B, 0)), ""))</f>
        <v/>
      </c>
      <c r="AB1659" s="81">
        <f>IF(X1659="Sin Pago",0,IFERROR(INDEX(Pagos_Odoo!$E:$E, MATCH(X1659, Pagos_Odoo!$B:$B, 0)), 0))</f>
        <v/>
      </c>
      <c r="AC1659" s="79">
        <f>IF(X1659="Sin Pago","",IFERROR(INDEX(Pagos_Odoo!$G:$G, MATCH(X1659, Pagos_Odoo!$B:$B, 0)), ""))</f>
        <v/>
      </c>
      <c r="AD1659" s="82" t="n">
        <v>0</v>
      </c>
      <c r="AE1659" s="82" t="n"/>
      <c r="AF1659" s="82" t="n"/>
      <c r="AG1659" s="82">
        <f>IF(AN1659="","",AD1659+AE1659+AF1659)</f>
        <v/>
      </c>
      <c r="AH1659" s="81">
        <f>IF(AN1659="","",P1659*(1-AG1659))</f>
        <v/>
      </c>
      <c r="AI1659" s="81">
        <f>IF(AN1659="","",IF(Q1659="Sin Factura",0,IFERROR(INDEX(Facturas_Odoo!$H:$H, MATCH(Q1659, Facturas_Odoo!$B:$B, 0)), 0)*(1-AG1659)))</f>
        <v/>
      </c>
      <c r="AJ1659" s="81">
        <f>IF(AN1659="","",_xlfn.LET(idVenta, AN1659&amp;"",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59" s="81">
        <f>IF(AN1659="","",AH1659-AJ1659)</f>
        <v/>
      </c>
      <c r="AL1659" s="81">
        <f>IF(AN1659="","",IF(Q1659="Sin Factura","",AI1659-AJ1659))</f>
        <v/>
      </c>
      <c r="AM1659" s="81">
        <f>IF(AN1659="","",IF(Q1659="Sin Factura",0,P1659-IFERROR(INDEX(Facturas_Odoo!$H:$H, MATCH(Q1659, Facturas_Odoo!$B:$B, 0)), 0)))</f>
        <v/>
      </c>
      <c r="AN1659" s="79">
        <f>IF(AND(A1659="", J1659=""), "", IF(A1659&lt;&gt;"", VALUE(MID(A1659,2,LEN(A1659))), AN1658))</f>
        <v/>
      </c>
      <c r="AO1659" s="79">
        <f>IF(AN1659="","",IF(AD1659=0,"OK",_xlfn.LET(monedaPago, IF(AA1659="","USD",AA1659), limitePermitido, IFERROR(VLOOKUP(monedaPago, Configuración!$A$2:$B$3, 2, FALSE), 0.15), IF(AD1659&gt;limitePermitido, "ALERTA: EXCESO (" &amp; TEXT(limitePermitido, "0%") &amp; " máx)", "OK"))))</f>
        <v/>
      </c>
      <c r="AP1659" s="79">
        <f>IF(AN1659="","",IF(AE1659=0,"OK",_xlfn.LET(fechaPago, Z1659, fechaFactura, R1659, diasCredito, IF(E1659="Pago inmediato", 0, IFERROR(VALUE(MID(E1659, 1, SEARCH(" ", E1659)-1)),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59" s="79">
        <f>IF(AN1659="","",IF(AND(N1659&gt;0, AG1659&gt;0), IF(Configuración!$K$2="NO", "ALERTA: DESCUENTO DOBLE NO PERMITIDO", "OK"), "OK"))</f>
        <v/>
      </c>
      <c r="AR1659" s="79">
        <f>IF(AN1659="","",IF(OR(AO1659&lt;&gt;"OK", AP1659&lt;&gt;"OK", AQ1659&lt;&gt;"OK"), "⚠️ REVISAR", "OK"))</f>
        <v/>
      </c>
    </row>
    <row r="1660">
      <c r="A1660" s="79">
        <f>IF('Ordenes_Odoo'!A1660="","",'Ordenes_Odoo'!A1660)</f>
        <v/>
      </c>
      <c r="B1660" s="80">
        <f>IF('Ordenes_Odoo'!B1660="","",'Ordenes_Odoo'!B1660)</f>
        <v/>
      </c>
      <c r="C1660" s="79">
        <f>IF('Ordenes_Odoo'!C1660="","",'Ordenes_Odoo'!C1660)</f>
        <v/>
      </c>
      <c r="D1660" s="79">
        <f>IF('Ordenes_Odoo'!D1660="","",'Ordenes_Odoo'!D1660)</f>
        <v/>
      </c>
      <c r="E1660" s="79">
        <f>IF('Ordenes_Odoo'!E1660="","",'Ordenes_Odoo'!E1660)</f>
        <v/>
      </c>
      <c r="F1660" s="79">
        <f>IF('Ordenes_Odoo'!F1660="","",'Ordenes_Odoo'!F1660)</f>
        <v/>
      </c>
      <c r="G1660" s="79">
        <f>IF('Ordenes_Odoo'!G1660="","",'Ordenes_Odoo'!G1660)</f>
        <v/>
      </c>
      <c r="H1660" s="79">
        <f>IF('Ordenes_Odoo'!H1660="","",'Ordenes_Odoo'!H1660)</f>
        <v/>
      </c>
      <c r="I1660" s="79">
        <f>IF('Ordenes_Odoo'!I1660="","",'Ordenes_Odoo'!I1660)</f>
        <v/>
      </c>
      <c r="J1660" s="79">
        <f>IF('Ordenes_Odoo'!J1660="","",'Ordenes_Odoo'!J1660)</f>
        <v/>
      </c>
      <c r="K1660" s="81">
        <f>IF('Ordenes_Odoo'!K1660="","",'Ordenes_Odoo'!K1660)</f>
        <v/>
      </c>
      <c r="L1660" s="81">
        <f>IF('Ordenes_Odoo'!L1660="","",'Ordenes_Odoo'!L1660)</f>
        <v/>
      </c>
      <c r="M1660" s="79">
        <f>IF('Ordenes_Odoo'!M1660="","",'Ordenes_Odoo'!M1660)</f>
        <v/>
      </c>
      <c r="N1660" s="79">
        <f>IF('Ordenes_Odoo'!N1660="","",'Ordenes_Odoo'!N1660)</f>
        <v/>
      </c>
      <c r="O1660" s="81">
        <f>IF('Ordenes_Odoo'!O1660="","",'Ordenes_Odoo'!O1660)</f>
        <v/>
      </c>
      <c r="P1660" s="81">
        <f>IF('Ordenes_Odoo'!P1660="","",'Ordenes_Odoo'!P1660)</f>
        <v/>
      </c>
      <c r="Q1660" s="79">
        <f>IF(A1660="","",IFERROR(INDEX(Facturas_Odoo!$B:$B, MATCH(A1660, Facturas_Odoo!$D:$D, 0)), "Sin Factura"))</f>
        <v/>
      </c>
      <c r="R1660" s="80">
        <f>IF(Q1660="Sin Factura","",IFERROR(INDEX(Facturas_Odoo!$A:$A, MATCH(Q1660, Facturas_Odoo!$B:$B, 0)), ""))</f>
        <v/>
      </c>
      <c r="S1660" s="79">
        <f>IF(Q1660="Sin Factura","",IFERROR(_xlfn.XLOOKUP(1, (Facturas_Odoo!$D:$D=A1660) * (Facturas_Odoo!$K:$K=I1660), Facturas_Odoo!$L:$L, ""), ""))</f>
        <v/>
      </c>
      <c r="T1660" s="81">
        <f>IF(Q1660="Sin Factura",0,IFERROR(_xlfn.XLOOKUP(1, (Facturas_Odoo!$D:$D=A1660) * (Facturas_Odoo!$K:$K=I1660), Facturas_Odoo!$M:$M, 0), 0))</f>
        <v/>
      </c>
      <c r="U1660" s="79">
        <f>IF(Q1660="Sin Factura",0,IFERROR(_xlfn.XLOOKUP(1, (Facturas_Odoo!$D:$D=A1660) * (Facturas_Odoo!$K:$K=I1660), Facturas_Odoo!$N:$N, 0), 0))</f>
        <v/>
      </c>
      <c r="V1660" s="79">
        <f>IF(Q1660="Sin Factura",0,IFERROR(_xlfn.XLOOKUP(1, (Facturas_Odoo!$D:$D=A1660) * (Facturas_Odoo!$K:$K=I1660), Facturas_Odoo!$O:$O, 0), 0))</f>
        <v/>
      </c>
      <c r="W1660" s="81">
        <f>IF(Q1660="Sin Factura",0,IFERROR(_xlfn.XLOOKUP(1, (Facturas_Odoo!$D:$D=A1660) * (Facturas_Odoo!$K:$K=I1660), Facturas_Odoo!$Q:$Q, 0), 0))</f>
        <v/>
      </c>
      <c r="X1660" s="79">
        <f>IF(OR(Q1660="Sin Factura",Q1660=""),"",IFERROR(INDEX(Pagos_Odoo!$B:$B, MATCH(Q1660, Pagos_Odoo!$I:$I, 0)), "Sin Pago"))</f>
        <v/>
      </c>
      <c r="Y1660" s="79">
        <f>IF(X1660="Sin Pago","",IFERROR(INDEX(Pagos_Odoo!$C:$C, MATCH(X1660, Pagos_Odoo!$B:$B, 0)), ""))</f>
        <v/>
      </c>
      <c r="Z1660" s="80">
        <f>IF(X1660="Sin Pago","",IFERROR(INDEX(Pagos_Odoo!$A:$A, MATCH(X1660, Pagos_Odoo!$B:$B, 0)), ""))</f>
        <v/>
      </c>
      <c r="AA1660" s="79">
        <f>IF(X1660="Sin Pago","",IFERROR(INDEX(Pagos_Odoo!$F:$F, MATCH(X1660, Pagos_Odoo!$B:$B, 0)), ""))</f>
        <v/>
      </c>
      <c r="AB1660" s="81">
        <f>IF(X1660="Sin Pago",0,IFERROR(INDEX(Pagos_Odoo!$E:$E, MATCH(X1660, Pagos_Odoo!$B:$B, 0)), 0))</f>
        <v/>
      </c>
      <c r="AC1660" s="79">
        <f>IF(X1660="Sin Pago","",IFERROR(INDEX(Pagos_Odoo!$G:$G, MATCH(X1660, Pagos_Odoo!$B:$B, 0)), ""))</f>
        <v/>
      </c>
      <c r="AD1660" s="82" t="n">
        <v>0</v>
      </c>
      <c r="AE1660" s="82" t="n"/>
      <c r="AF1660" s="82" t="n"/>
      <c r="AG1660" s="82">
        <f>IF(AN1660="","",AD1660+AE1660+AF1660)</f>
        <v/>
      </c>
      <c r="AH1660" s="81">
        <f>IF(AN1660="","",P1660*(1-AG1660))</f>
        <v/>
      </c>
      <c r="AI1660" s="81">
        <f>IF(AN1660="","",IF(Q1660="Sin Factura",0,IFERROR(INDEX(Facturas_Odoo!$H:$H, MATCH(Q1660, Facturas_Odoo!$B:$B, 0)), 0)*(1-AG1660)))</f>
        <v/>
      </c>
      <c r="AJ1660" s="81">
        <f>IF(AN1660="","",_xlfn.LET(idVenta, AN1660&amp;"",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60" s="81">
        <f>IF(AN1660="","",AH1660-AJ1660)</f>
        <v/>
      </c>
      <c r="AL1660" s="81">
        <f>IF(AN1660="","",IF(Q1660="Sin Factura","",AI1660-AJ1660))</f>
        <v/>
      </c>
      <c r="AM1660" s="81">
        <f>IF(AN1660="","",IF(Q1660="Sin Factura",0,P1660-IFERROR(INDEX(Facturas_Odoo!$H:$H, MATCH(Q1660, Facturas_Odoo!$B:$B, 0)), 0)))</f>
        <v/>
      </c>
      <c r="AN1660" s="79">
        <f>IF(AND(A1660="", J1660=""), "", IF(A1660&lt;&gt;"", VALUE(MID(A1660,2,LEN(A1660))), AN1659))</f>
        <v/>
      </c>
      <c r="AO1660" s="79">
        <f>IF(AN1660="","",IF(AD1660=0,"OK",_xlfn.LET(monedaPago, IF(AA1660="","USD",AA1660), limitePermitido, IFERROR(VLOOKUP(monedaPago, Configuración!$A$2:$B$3, 2, FALSE), 0.15), IF(AD1660&gt;limitePermitido, "ALERTA: EXCESO (" &amp; TEXT(limitePermitido, "0%") &amp; " máx)", "OK"))))</f>
        <v/>
      </c>
      <c r="AP1660" s="79">
        <f>IF(AN1660="","",IF(AE1660=0,"OK",_xlfn.LET(fechaPago, Z1660, fechaFactura, R1660, diasCredito, IF(E1660="Pago inmediato", 0, IFERROR(VALUE(MID(E1660, 1, SEARCH(" ", E1660)-1)),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60" s="79">
        <f>IF(AN1660="","",IF(AND(N1660&gt;0, AG1660&gt;0), IF(Configuración!$K$2="NO", "ALERTA: DESCUENTO DOBLE NO PERMITIDO", "OK"), "OK"))</f>
        <v/>
      </c>
      <c r="AR1660" s="79">
        <f>IF(AN1660="","",IF(OR(AO1660&lt;&gt;"OK", AP1660&lt;&gt;"OK", AQ1660&lt;&gt;"OK"), "⚠️ REVISAR", "OK"))</f>
        <v/>
      </c>
    </row>
    <row r="1661">
      <c r="A1661" s="79">
        <f>IF('Ordenes_Odoo'!A1661="","",'Ordenes_Odoo'!A1661)</f>
        <v/>
      </c>
      <c r="B1661" s="80">
        <f>IF('Ordenes_Odoo'!B1661="","",'Ordenes_Odoo'!B1661)</f>
        <v/>
      </c>
      <c r="C1661" s="79">
        <f>IF('Ordenes_Odoo'!C1661="","",'Ordenes_Odoo'!C1661)</f>
        <v/>
      </c>
      <c r="D1661" s="79">
        <f>IF('Ordenes_Odoo'!D1661="","",'Ordenes_Odoo'!D1661)</f>
        <v/>
      </c>
      <c r="E1661" s="79">
        <f>IF('Ordenes_Odoo'!E1661="","",'Ordenes_Odoo'!E1661)</f>
        <v/>
      </c>
      <c r="F1661" s="79">
        <f>IF('Ordenes_Odoo'!F1661="","",'Ordenes_Odoo'!F1661)</f>
        <v/>
      </c>
      <c r="G1661" s="79">
        <f>IF('Ordenes_Odoo'!G1661="","",'Ordenes_Odoo'!G1661)</f>
        <v/>
      </c>
      <c r="H1661" s="79">
        <f>IF('Ordenes_Odoo'!H1661="","",'Ordenes_Odoo'!H1661)</f>
        <v/>
      </c>
      <c r="I1661" s="79">
        <f>IF('Ordenes_Odoo'!I1661="","",'Ordenes_Odoo'!I1661)</f>
        <v/>
      </c>
      <c r="J1661" s="79">
        <f>IF('Ordenes_Odoo'!J1661="","",'Ordenes_Odoo'!J1661)</f>
        <v/>
      </c>
      <c r="K1661" s="81">
        <f>IF('Ordenes_Odoo'!K1661="","",'Ordenes_Odoo'!K1661)</f>
        <v/>
      </c>
      <c r="L1661" s="81">
        <f>IF('Ordenes_Odoo'!L1661="","",'Ordenes_Odoo'!L1661)</f>
        <v/>
      </c>
      <c r="M1661" s="79">
        <f>IF('Ordenes_Odoo'!M1661="","",'Ordenes_Odoo'!M1661)</f>
        <v/>
      </c>
      <c r="N1661" s="79">
        <f>IF('Ordenes_Odoo'!N1661="","",'Ordenes_Odoo'!N1661)</f>
        <v/>
      </c>
      <c r="O1661" s="81">
        <f>IF('Ordenes_Odoo'!O1661="","",'Ordenes_Odoo'!O1661)</f>
        <v/>
      </c>
      <c r="P1661" s="81">
        <f>IF('Ordenes_Odoo'!P1661="","",'Ordenes_Odoo'!P1661)</f>
        <v/>
      </c>
      <c r="Q1661" s="79">
        <f>IF(A1661="","",IFERROR(INDEX(Facturas_Odoo!$B:$B, MATCH(A1661, Facturas_Odoo!$D:$D, 0)), "Sin Factura"))</f>
        <v/>
      </c>
      <c r="R1661" s="80">
        <f>IF(Q1661="Sin Factura","",IFERROR(INDEX(Facturas_Odoo!$A:$A, MATCH(Q1661, Facturas_Odoo!$B:$B, 0)), ""))</f>
        <v/>
      </c>
      <c r="S1661" s="79">
        <f>IF(Q1661="Sin Factura","",IFERROR(_xlfn.XLOOKUP(1, (Facturas_Odoo!$D:$D=A1661) * (Facturas_Odoo!$K:$K=I1661), Facturas_Odoo!$L:$L, ""), ""))</f>
        <v/>
      </c>
      <c r="T1661" s="81">
        <f>IF(Q1661="Sin Factura",0,IFERROR(_xlfn.XLOOKUP(1, (Facturas_Odoo!$D:$D=A1661) * (Facturas_Odoo!$K:$K=I1661), Facturas_Odoo!$M:$M, 0), 0))</f>
        <v/>
      </c>
      <c r="U1661" s="79">
        <f>IF(Q1661="Sin Factura",0,IFERROR(_xlfn.XLOOKUP(1, (Facturas_Odoo!$D:$D=A1661) * (Facturas_Odoo!$K:$K=I1661), Facturas_Odoo!$N:$N, 0), 0))</f>
        <v/>
      </c>
      <c r="V1661" s="79">
        <f>IF(Q1661="Sin Factura",0,IFERROR(_xlfn.XLOOKUP(1, (Facturas_Odoo!$D:$D=A1661) * (Facturas_Odoo!$K:$K=I1661), Facturas_Odoo!$O:$O, 0), 0))</f>
        <v/>
      </c>
      <c r="W1661" s="81">
        <f>IF(Q1661="Sin Factura",0,IFERROR(_xlfn.XLOOKUP(1, (Facturas_Odoo!$D:$D=A1661) * (Facturas_Odoo!$K:$K=I1661), Facturas_Odoo!$Q:$Q, 0), 0))</f>
        <v/>
      </c>
      <c r="X1661" s="79">
        <f>IF(OR(Q1661="Sin Factura",Q1661=""),"",IFERROR(INDEX(Pagos_Odoo!$B:$B, MATCH(Q1661, Pagos_Odoo!$I:$I, 0)), "Sin Pago"))</f>
        <v/>
      </c>
      <c r="Y1661" s="79">
        <f>IF(X1661="Sin Pago","",IFERROR(INDEX(Pagos_Odoo!$C:$C, MATCH(X1661, Pagos_Odoo!$B:$B, 0)), ""))</f>
        <v/>
      </c>
      <c r="Z1661" s="80">
        <f>IF(X1661="Sin Pago","",IFERROR(INDEX(Pagos_Odoo!$A:$A, MATCH(X1661, Pagos_Odoo!$B:$B, 0)), ""))</f>
        <v/>
      </c>
      <c r="AA1661" s="79">
        <f>IF(X1661="Sin Pago","",IFERROR(INDEX(Pagos_Odoo!$F:$F, MATCH(X1661, Pagos_Odoo!$B:$B, 0)), ""))</f>
        <v/>
      </c>
      <c r="AB1661" s="81">
        <f>IF(X1661="Sin Pago",0,IFERROR(INDEX(Pagos_Odoo!$E:$E, MATCH(X1661, Pagos_Odoo!$B:$B, 0)), 0))</f>
        <v/>
      </c>
      <c r="AC1661" s="79">
        <f>IF(X1661="Sin Pago","",IFERROR(INDEX(Pagos_Odoo!$G:$G, MATCH(X1661, Pagos_Odoo!$B:$B, 0)), ""))</f>
        <v/>
      </c>
      <c r="AD1661" s="82" t="n">
        <v>0</v>
      </c>
      <c r="AE1661" s="82" t="n"/>
      <c r="AF1661" s="82" t="n"/>
      <c r="AG1661" s="82">
        <f>IF(AN1661="","",AD1661+AE1661+AF1661)</f>
        <v/>
      </c>
      <c r="AH1661" s="81">
        <f>IF(AN1661="","",P1661*(1-AG1661))</f>
        <v/>
      </c>
      <c r="AI1661" s="81">
        <f>IF(AN1661="","",IF(Q1661="Sin Factura",0,IFERROR(INDEX(Facturas_Odoo!$H:$H, MATCH(Q1661, Facturas_Odoo!$B:$B, 0)), 0)*(1-AG1661)))</f>
        <v/>
      </c>
      <c r="AJ1661" s="81">
        <f>IF(AN1661="","",_xlfn.LET(idVenta, AN1661&amp;"",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61" s="81">
        <f>IF(AN1661="","",AH1661-AJ1661)</f>
        <v/>
      </c>
      <c r="AL1661" s="81">
        <f>IF(AN1661="","",IF(Q1661="Sin Factura","",AI1661-AJ1661))</f>
        <v/>
      </c>
      <c r="AM1661" s="81">
        <f>IF(AN1661="","",IF(Q1661="Sin Factura",0,P1661-IFERROR(INDEX(Facturas_Odoo!$H:$H, MATCH(Q1661, Facturas_Odoo!$B:$B, 0)), 0)))</f>
        <v/>
      </c>
      <c r="AN1661" s="79">
        <f>IF(AND(A1661="", J1661=""), "", IF(A1661&lt;&gt;"", VALUE(MID(A1661,2,LEN(A1661))), AN1660))</f>
        <v/>
      </c>
      <c r="AO1661" s="79">
        <f>IF(AN1661="","",IF(AD1661=0,"OK",_xlfn.LET(monedaPago, IF(AA1661="","USD",AA1661), limitePermitido, IFERROR(VLOOKUP(monedaPago, Configuración!$A$2:$B$3, 2, FALSE), 0.15), IF(AD1661&gt;limitePermitido, "ALERTA: EXCESO (" &amp; TEXT(limitePermitido, "0%") &amp; " máx)", "OK"))))</f>
        <v/>
      </c>
      <c r="AP1661" s="79">
        <f>IF(AN1661="","",IF(AE1661=0,"OK",_xlfn.LET(fechaPago, Z1661, fechaFactura, R1661, diasCredito, IF(E1661="Pago inmediato", 0, IFERROR(VALUE(MID(E1661, 1, SEARCH(" ", E1661)-1)),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61" s="79">
        <f>IF(AN1661="","",IF(AND(N1661&gt;0, AG1661&gt;0), IF(Configuración!$K$2="NO", "ALERTA: DESCUENTO DOBLE NO PERMITIDO", "OK"), "OK"))</f>
        <v/>
      </c>
      <c r="AR1661" s="79">
        <f>IF(AN1661="","",IF(OR(AO1661&lt;&gt;"OK", AP1661&lt;&gt;"OK", AQ1661&lt;&gt;"OK"), "⚠️ REVISAR", "OK"))</f>
        <v/>
      </c>
    </row>
    <row r="1662">
      <c r="A1662" s="79">
        <f>IF('Ordenes_Odoo'!A1662="","",'Ordenes_Odoo'!A1662)</f>
        <v/>
      </c>
      <c r="B1662" s="80">
        <f>IF('Ordenes_Odoo'!B1662="","",'Ordenes_Odoo'!B1662)</f>
        <v/>
      </c>
      <c r="C1662" s="79">
        <f>IF('Ordenes_Odoo'!C1662="","",'Ordenes_Odoo'!C1662)</f>
        <v/>
      </c>
      <c r="D1662" s="79">
        <f>IF('Ordenes_Odoo'!D1662="","",'Ordenes_Odoo'!D1662)</f>
        <v/>
      </c>
      <c r="E1662" s="79">
        <f>IF('Ordenes_Odoo'!E1662="","",'Ordenes_Odoo'!E1662)</f>
        <v/>
      </c>
      <c r="F1662" s="79">
        <f>IF('Ordenes_Odoo'!F1662="","",'Ordenes_Odoo'!F1662)</f>
        <v/>
      </c>
      <c r="G1662" s="79">
        <f>IF('Ordenes_Odoo'!G1662="","",'Ordenes_Odoo'!G1662)</f>
        <v/>
      </c>
      <c r="H1662" s="79">
        <f>IF('Ordenes_Odoo'!H1662="","",'Ordenes_Odoo'!H1662)</f>
        <v/>
      </c>
      <c r="I1662" s="79">
        <f>IF('Ordenes_Odoo'!I1662="","",'Ordenes_Odoo'!I1662)</f>
        <v/>
      </c>
      <c r="J1662" s="79">
        <f>IF('Ordenes_Odoo'!J1662="","",'Ordenes_Odoo'!J1662)</f>
        <v/>
      </c>
      <c r="K1662" s="81">
        <f>IF('Ordenes_Odoo'!K1662="","",'Ordenes_Odoo'!K1662)</f>
        <v/>
      </c>
      <c r="L1662" s="81">
        <f>IF('Ordenes_Odoo'!L1662="","",'Ordenes_Odoo'!L1662)</f>
        <v/>
      </c>
      <c r="M1662" s="79">
        <f>IF('Ordenes_Odoo'!M1662="","",'Ordenes_Odoo'!M1662)</f>
        <v/>
      </c>
      <c r="N1662" s="79">
        <f>IF('Ordenes_Odoo'!N1662="","",'Ordenes_Odoo'!N1662)</f>
        <v/>
      </c>
      <c r="O1662" s="81">
        <f>IF('Ordenes_Odoo'!O1662="","",'Ordenes_Odoo'!O1662)</f>
        <v/>
      </c>
      <c r="P1662" s="81">
        <f>IF('Ordenes_Odoo'!P1662="","",'Ordenes_Odoo'!P1662)</f>
        <v/>
      </c>
      <c r="Q1662" s="79">
        <f>IF(A1662="","",IFERROR(INDEX(Facturas_Odoo!$B:$B, MATCH(A1662, Facturas_Odoo!$D:$D, 0)), "Sin Factura"))</f>
        <v/>
      </c>
      <c r="R1662" s="80">
        <f>IF(Q1662="Sin Factura","",IFERROR(INDEX(Facturas_Odoo!$A:$A, MATCH(Q1662, Facturas_Odoo!$B:$B, 0)), ""))</f>
        <v/>
      </c>
      <c r="S1662" s="79">
        <f>IF(Q1662="Sin Factura","",IFERROR(_xlfn.XLOOKUP(1, (Facturas_Odoo!$D:$D=A1662) * (Facturas_Odoo!$K:$K=I1662), Facturas_Odoo!$L:$L, ""), ""))</f>
        <v/>
      </c>
      <c r="T1662" s="81">
        <f>IF(Q1662="Sin Factura",0,IFERROR(_xlfn.XLOOKUP(1, (Facturas_Odoo!$D:$D=A1662) * (Facturas_Odoo!$K:$K=I1662), Facturas_Odoo!$M:$M, 0), 0))</f>
        <v/>
      </c>
      <c r="U1662" s="79">
        <f>IF(Q1662="Sin Factura",0,IFERROR(_xlfn.XLOOKUP(1, (Facturas_Odoo!$D:$D=A1662) * (Facturas_Odoo!$K:$K=I1662), Facturas_Odoo!$N:$N, 0), 0))</f>
        <v/>
      </c>
      <c r="V1662" s="79">
        <f>IF(Q1662="Sin Factura",0,IFERROR(_xlfn.XLOOKUP(1, (Facturas_Odoo!$D:$D=A1662) * (Facturas_Odoo!$K:$K=I1662), Facturas_Odoo!$O:$O, 0), 0))</f>
        <v/>
      </c>
      <c r="W1662" s="81">
        <f>IF(Q1662="Sin Factura",0,IFERROR(_xlfn.XLOOKUP(1, (Facturas_Odoo!$D:$D=A1662) * (Facturas_Odoo!$K:$K=I1662), Facturas_Odoo!$Q:$Q, 0), 0))</f>
        <v/>
      </c>
      <c r="X1662" s="79">
        <f>IF(OR(Q1662="Sin Factura",Q1662=""),"",IFERROR(INDEX(Pagos_Odoo!$B:$B, MATCH(Q1662, Pagos_Odoo!$I:$I, 0)), "Sin Pago"))</f>
        <v/>
      </c>
      <c r="Y1662" s="79">
        <f>IF(X1662="Sin Pago","",IFERROR(INDEX(Pagos_Odoo!$C:$C, MATCH(X1662, Pagos_Odoo!$B:$B, 0)), ""))</f>
        <v/>
      </c>
      <c r="Z1662" s="80">
        <f>IF(X1662="Sin Pago","",IFERROR(INDEX(Pagos_Odoo!$A:$A, MATCH(X1662, Pagos_Odoo!$B:$B, 0)), ""))</f>
        <v/>
      </c>
      <c r="AA1662" s="79">
        <f>IF(X1662="Sin Pago","",IFERROR(INDEX(Pagos_Odoo!$F:$F, MATCH(X1662, Pagos_Odoo!$B:$B, 0)), ""))</f>
        <v/>
      </c>
      <c r="AB1662" s="81">
        <f>IF(X1662="Sin Pago",0,IFERROR(INDEX(Pagos_Odoo!$E:$E, MATCH(X1662, Pagos_Odoo!$B:$B, 0)), 0))</f>
        <v/>
      </c>
      <c r="AC1662" s="79">
        <f>IF(X1662="Sin Pago","",IFERROR(INDEX(Pagos_Odoo!$G:$G, MATCH(X1662, Pagos_Odoo!$B:$B, 0)), ""))</f>
        <v/>
      </c>
      <c r="AD1662" s="82" t="n">
        <v>0</v>
      </c>
      <c r="AE1662" s="82" t="n"/>
      <c r="AF1662" s="82" t="n"/>
      <c r="AG1662" s="82">
        <f>IF(AN1662="","",AD1662+AE1662+AF1662)</f>
        <v/>
      </c>
      <c r="AH1662" s="81">
        <f>IF(AN1662="","",P1662*(1-AG1662))</f>
        <v/>
      </c>
      <c r="AI1662" s="81">
        <f>IF(AN1662="","",IF(Q1662="Sin Factura",0,IFERROR(INDEX(Facturas_Odoo!$H:$H, MATCH(Q1662, Facturas_Odoo!$B:$B, 0)), 0)*(1-AG1662)))</f>
        <v/>
      </c>
      <c r="AJ1662" s="81">
        <f>IF(AN1662="","",_xlfn.LET(idVenta, AN1662&amp;"",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62" s="81">
        <f>IF(AN1662="","",AH1662-AJ1662)</f>
        <v/>
      </c>
      <c r="AL1662" s="81">
        <f>IF(AN1662="","",IF(Q1662="Sin Factura","",AI1662-AJ1662))</f>
        <v/>
      </c>
      <c r="AM1662" s="81">
        <f>IF(AN1662="","",IF(Q1662="Sin Factura",0,P1662-IFERROR(INDEX(Facturas_Odoo!$H:$H, MATCH(Q1662, Facturas_Odoo!$B:$B, 0)), 0)))</f>
        <v/>
      </c>
      <c r="AN1662" s="79">
        <f>IF(AND(A1662="", J1662=""), "", IF(A1662&lt;&gt;"", VALUE(MID(A1662,2,LEN(A1662))), AN1661))</f>
        <v/>
      </c>
      <c r="AO1662" s="79">
        <f>IF(AN1662="","",IF(AD1662=0,"OK",_xlfn.LET(monedaPago, IF(AA1662="","USD",AA1662), limitePermitido, IFERROR(VLOOKUP(monedaPago, Configuración!$A$2:$B$3, 2, FALSE), 0.15), IF(AD1662&gt;limitePermitido, "ALERTA: EXCESO (" &amp; TEXT(limitePermitido, "0%") &amp; " máx)", "OK"))))</f>
        <v/>
      </c>
      <c r="AP1662" s="79">
        <f>IF(AN1662="","",IF(AE1662=0,"OK",_xlfn.LET(fechaPago, Z1662, fechaFactura, R1662, diasCredito, IF(E1662="Pago inmediato", 0, IFERROR(VALUE(MID(E1662, 1, SEARCH(" ", E1662)-1)),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62" s="79">
        <f>IF(AN1662="","",IF(AND(N1662&gt;0, AG1662&gt;0), IF(Configuración!$K$2="NO", "ALERTA: DESCUENTO DOBLE NO PERMITIDO", "OK"), "OK"))</f>
        <v/>
      </c>
      <c r="AR1662" s="79">
        <f>IF(AN1662="","",IF(OR(AO1662&lt;&gt;"OK", AP1662&lt;&gt;"OK", AQ1662&lt;&gt;"OK"), "⚠️ REVISAR", "OK"))</f>
        <v/>
      </c>
    </row>
    <row r="1663">
      <c r="A1663" s="79">
        <f>IF('Ordenes_Odoo'!A1663="","",'Ordenes_Odoo'!A1663)</f>
        <v/>
      </c>
      <c r="B1663" s="80">
        <f>IF('Ordenes_Odoo'!B1663="","",'Ordenes_Odoo'!B1663)</f>
        <v/>
      </c>
      <c r="C1663" s="79">
        <f>IF('Ordenes_Odoo'!C1663="","",'Ordenes_Odoo'!C1663)</f>
        <v/>
      </c>
      <c r="D1663" s="79">
        <f>IF('Ordenes_Odoo'!D1663="","",'Ordenes_Odoo'!D1663)</f>
        <v/>
      </c>
      <c r="E1663" s="79">
        <f>IF('Ordenes_Odoo'!E1663="","",'Ordenes_Odoo'!E1663)</f>
        <v/>
      </c>
      <c r="F1663" s="79">
        <f>IF('Ordenes_Odoo'!F1663="","",'Ordenes_Odoo'!F1663)</f>
        <v/>
      </c>
      <c r="G1663" s="79">
        <f>IF('Ordenes_Odoo'!G1663="","",'Ordenes_Odoo'!G1663)</f>
        <v/>
      </c>
      <c r="H1663" s="79">
        <f>IF('Ordenes_Odoo'!H1663="","",'Ordenes_Odoo'!H1663)</f>
        <v/>
      </c>
      <c r="I1663" s="79">
        <f>IF('Ordenes_Odoo'!I1663="","",'Ordenes_Odoo'!I1663)</f>
        <v/>
      </c>
      <c r="J1663" s="79">
        <f>IF('Ordenes_Odoo'!J1663="","",'Ordenes_Odoo'!J1663)</f>
        <v/>
      </c>
      <c r="K1663" s="81">
        <f>IF('Ordenes_Odoo'!K1663="","",'Ordenes_Odoo'!K1663)</f>
        <v/>
      </c>
      <c r="L1663" s="81">
        <f>IF('Ordenes_Odoo'!L1663="","",'Ordenes_Odoo'!L1663)</f>
        <v/>
      </c>
      <c r="M1663" s="79">
        <f>IF('Ordenes_Odoo'!M1663="","",'Ordenes_Odoo'!M1663)</f>
        <v/>
      </c>
      <c r="N1663" s="79">
        <f>IF('Ordenes_Odoo'!N1663="","",'Ordenes_Odoo'!N1663)</f>
        <v/>
      </c>
      <c r="O1663" s="81">
        <f>IF('Ordenes_Odoo'!O1663="","",'Ordenes_Odoo'!O1663)</f>
        <v/>
      </c>
      <c r="P1663" s="81">
        <f>IF('Ordenes_Odoo'!P1663="","",'Ordenes_Odoo'!P1663)</f>
        <v/>
      </c>
      <c r="Q1663" s="79">
        <f>IF(A1663="","",IFERROR(INDEX(Facturas_Odoo!$B:$B, MATCH(A1663, Facturas_Odoo!$D:$D, 0)), "Sin Factura"))</f>
        <v/>
      </c>
      <c r="R1663" s="80">
        <f>IF(Q1663="Sin Factura","",IFERROR(INDEX(Facturas_Odoo!$A:$A, MATCH(Q1663, Facturas_Odoo!$B:$B, 0)), ""))</f>
        <v/>
      </c>
      <c r="S1663" s="79">
        <f>IF(Q1663="Sin Factura","",IFERROR(_xlfn.XLOOKUP(1, (Facturas_Odoo!$D:$D=A1663) * (Facturas_Odoo!$K:$K=I1663), Facturas_Odoo!$L:$L, ""), ""))</f>
        <v/>
      </c>
      <c r="T1663" s="81">
        <f>IF(Q1663="Sin Factura",0,IFERROR(_xlfn.XLOOKUP(1, (Facturas_Odoo!$D:$D=A1663) * (Facturas_Odoo!$K:$K=I1663), Facturas_Odoo!$M:$M, 0), 0))</f>
        <v/>
      </c>
      <c r="U1663" s="79">
        <f>IF(Q1663="Sin Factura",0,IFERROR(_xlfn.XLOOKUP(1, (Facturas_Odoo!$D:$D=A1663) * (Facturas_Odoo!$K:$K=I1663), Facturas_Odoo!$N:$N, 0), 0))</f>
        <v/>
      </c>
      <c r="V1663" s="79">
        <f>IF(Q1663="Sin Factura",0,IFERROR(_xlfn.XLOOKUP(1, (Facturas_Odoo!$D:$D=A1663) * (Facturas_Odoo!$K:$K=I1663), Facturas_Odoo!$O:$O, 0), 0))</f>
        <v/>
      </c>
      <c r="W1663" s="81">
        <f>IF(Q1663="Sin Factura",0,IFERROR(_xlfn.XLOOKUP(1, (Facturas_Odoo!$D:$D=A1663) * (Facturas_Odoo!$K:$K=I1663), Facturas_Odoo!$Q:$Q, 0), 0))</f>
        <v/>
      </c>
      <c r="X1663" s="79">
        <f>IF(OR(Q1663="Sin Factura",Q1663=""),"",IFERROR(INDEX(Pagos_Odoo!$B:$B, MATCH(Q1663, Pagos_Odoo!$I:$I, 0)), "Sin Pago"))</f>
        <v/>
      </c>
      <c r="Y1663" s="79">
        <f>IF(X1663="Sin Pago","",IFERROR(INDEX(Pagos_Odoo!$C:$C, MATCH(X1663, Pagos_Odoo!$B:$B, 0)), ""))</f>
        <v/>
      </c>
      <c r="Z1663" s="80">
        <f>IF(X1663="Sin Pago","",IFERROR(INDEX(Pagos_Odoo!$A:$A, MATCH(X1663, Pagos_Odoo!$B:$B, 0)), ""))</f>
        <v/>
      </c>
      <c r="AA1663" s="79">
        <f>IF(X1663="Sin Pago","",IFERROR(INDEX(Pagos_Odoo!$F:$F, MATCH(X1663, Pagos_Odoo!$B:$B, 0)), ""))</f>
        <v/>
      </c>
      <c r="AB1663" s="81">
        <f>IF(X1663="Sin Pago",0,IFERROR(INDEX(Pagos_Odoo!$E:$E, MATCH(X1663, Pagos_Odoo!$B:$B, 0)), 0))</f>
        <v/>
      </c>
      <c r="AC1663" s="79">
        <f>IF(X1663="Sin Pago","",IFERROR(INDEX(Pagos_Odoo!$G:$G, MATCH(X1663, Pagos_Odoo!$B:$B, 0)), ""))</f>
        <v/>
      </c>
      <c r="AD1663" s="82" t="n">
        <v>0</v>
      </c>
      <c r="AE1663" s="82" t="n"/>
      <c r="AF1663" s="82" t="n"/>
      <c r="AG1663" s="82">
        <f>IF(AN1663="","",AD1663+AE1663+AF1663)</f>
        <v/>
      </c>
      <c r="AH1663" s="81">
        <f>IF(AN1663="","",P1663*(1-AG1663))</f>
        <v/>
      </c>
      <c r="AI1663" s="81">
        <f>IF(AN1663="","",IF(Q1663="Sin Factura",0,IFERROR(INDEX(Facturas_Odoo!$H:$H, MATCH(Q1663, Facturas_Odoo!$B:$B, 0)), 0)*(1-AG1663)))</f>
        <v/>
      </c>
      <c r="AJ1663" s="81">
        <f>IF(AN1663="","",_xlfn.LET(idVenta, AN1663&amp;"",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63" s="81">
        <f>IF(AN1663="","",AH1663-AJ1663)</f>
        <v/>
      </c>
      <c r="AL1663" s="81">
        <f>IF(AN1663="","",IF(Q1663="Sin Factura","",AI1663-AJ1663))</f>
        <v/>
      </c>
      <c r="AM1663" s="81">
        <f>IF(AN1663="","",IF(Q1663="Sin Factura",0,P1663-IFERROR(INDEX(Facturas_Odoo!$H:$H, MATCH(Q1663, Facturas_Odoo!$B:$B, 0)), 0)))</f>
        <v/>
      </c>
      <c r="AN1663" s="79">
        <f>IF(AND(A1663="", J1663=""), "", IF(A1663&lt;&gt;"", VALUE(MID(A1663,2,LEN(A1663))), AN1662))</f>
        <v/>
      </c>
      <c r="AO1663" s="79">
        <f>IF(AN1663="","",IF(AD1663=0,"OK",_xlfn.LET(monedaPago, IF(AA1663="","USD",AA1663), limitePermitido, IFERROR(VLOOKUP(monedaPago, Configuración!$A$2:$B$3, 2, FALSE), 0.15), IF(AD1663&gt;limitePermitido, "ALERTA: EXCESO (" &amp; TEXT(limitePermitido, "0%") &amp; " máx)", "OK"))))</f>
        <v/>
      </c>
      <c r="AP1663" s="79">
        <f>IF(AN1663="","",IF(AE1663=0,"OK",_xlfn.LET(fechaPago, Z1663, fechaFactura, R1663, diasCredito, IF(E1663="Pago inmediato", 0, IFERROR(VALUE(MID(E1663, 1, SEARCH(" ", E1663)-1)),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63" s="79">
        <f>IF(AN1663="","",IF(AND(N1663&gt;0, AG1663&gt;0), IF(Configuración!$K$2="NO", "ALERTA: DESCUENTO DOBLE NO PERMITIDO", "OK"), "OK"))</f>
        <v/>
      </c>
      <c r="AR1663" s="79">
        <f>IF(AN1663="","",IF(OR(AO1663&lt;&gt;"OK", AP1663&lt;&gt;"OK", AQ1663&lt;&gt;"OK"), "⚠️ REVISAR", "OK"))</f>
        <v/>
      </c>
    </row>
    <row r="1664">
      <c r="A1664" s="79">
        <f>IF('Ordenes_Odoo'!A1664="","",'Ordenes_Odoo'!A1664)</f>
        <v/>
      </c>
      <c r="B1664" s="80">
        <f>IF('Ordenes_Odoo'!B1664="","",'Ordenes_Odoo'!B1664)</f>
        <v/>
      </c>
      <c r="C1664" s="79">
        <f>IF('Ordenes_Odoo'!C1664="","",'Ordenes_Odoo'!C1664)</f>
        <v/>
      </c>
      <c r="D1664" s="79">
        <f>IF('Ordenes_Odoo'!D1664="","",'Ordenes_Odoo'!D1664)</f>
        <v/>
      </c>
      <c r="E1664" s="79">
        <f>IF('Ordenes_Odoo'!E1664="","",'Ordenes_Odoo'!E1664)</f>
        <v/>
      </c>
      <c r="F1664" s="79">
        <f>IF('Ordenes_Odoo'!F1664="","",'Ordenes_Odoo'!F1664)</f>
        <v/>
      </c>
      <c r="G1664" s="79">
        <f>IF('Ordenes_Odoo'!G1664="","",'Ordenes_Odoo'!G1664)</f>
        <v/>
      </c>
      <c r="H1664" s="79">
        <f>IF('Ordenes_Odoo'!H1664="","",'Ordenes_Odoo'!H1664)</f>
        <v/>
      </c>
      <c r="I1664" s="79">
        <f>IF('Ordenes_Odoo'!I1664="","",'Ordenes_Odoo'!I1664)</f>
        <v/>
      </c>
      <c r="J1664" s="79">
        <f>IF('Ordenes_Odoo'!J1664="","",'Ordenes_Odoo'!J1664)</f>
        <v/>
      </c>
      <c r="K1664" s="81">
        <f>IF('Ordenes_Odoo'!K1664="","",'Ordenes_Odoo'!K1664)</f>
        <v/>
      </c>
      <c r="L1664" s="81">
        <f>IF('Ordenes_Odoo'!L1664="","",'Ordenes_Odoo'!L1664)</f>
        <v/>
      </c>
      <c r="M1664" s="79">
        <f>IF('Ordenes_Odoo'!M1664="","",'Ordenes_Odoo'!M1664)</f>
        <v/>
      </c>
      <c r="N1664" s="79">
        <f>IF('Ordenes_Odoo'!N1664="","",'Ordenes_Odoo'!N1664)</f>
        <v/>
      </c>
      <c r="O1664" s="81">
        <f>IF('Ordenes_Odoo'!O1664="","",'Ordenes_Odoo'!O1664)</f>
        <v/>
      </c>
      <c r="P1664" s="81">
        <f>IF('Ordenes_Odoo'!P1664="","",'Ordenes_Odoo'!P1664)</f>
        <v/>
      </c>
      <c r="Q1664" s="79">
        <f>IF(A1664="","",IFERROR(INDEX(Facturas_Odoo!$B:$B, MATCH(A1664, Facturas_Odoo!$D:$D, 0)), "Sin Factura"))</f>
        <v/>
      </c>
      <c r="R1664" s="80">
        <f>IF(Q1664="Sin Factura","",IFERROR(INDEX(Facturas_Odoo!$A:$A, MATCH(Q1664, Facturas_Odoo!$B:$B, 0)), ""))</f>
        <v/>
      </c>
      <c r="S1664" s="79">
        <f>IF(Q1664="Sin Factura","",IFERROR(_xlfn.XLOOKUP(1, (Facturas_Odoo!$D:$D=A1664) * (Facturas_Odoo!$K:$K=I1664), Facturas_Odoo!$L:$L, ""), ""))</f>
        <v/>
      </c>
      <c r="T1664" s="81">
        <f>IF(Q1664="Sin Factura",0,IFERROR(_xlfn.XLOOKUP(1, (Facturas_Odoo!$D:$D=A1664) * (Facturas_Odoo!$K:$K=I1664), Facturas_Odoo!$M:$M, 0), 0))</f>
        <v/>
      </c>
      <c r="U1664" s="79">
        <f>IF(Q1664="Sin Factura",0,IFERROR(_xlfn.XLOOKUP(1, (Facturas_Odoo!$D:$D=A1664) * (Facturas_Odoo!$K:$K=I1664), Facturas_Odoo!$N:$N, 0), 0))</f>
        <v/>
      </c>
      <c r="V1664" s="79">
        <f>IF(Q1664="Sin Factura",0,IFERROR(_xlfn.XLOOKUP(1, (Facturas_Odoo!$D:$D=A1664) * (Facturas_Odoo!$K:$K=I1664), Facturas_Odoo!$O:$O, 0), 0))</f>
        <v/>
      </c>
      <c r="W1664" s="81">
        <f>IF(Q1664="Sin Factura",0,IFERROR(_xlfn.XLOOKUP(1, (Facturas_Odoo!$D:$D=A1664) * (Facturas_Odoo!$K:$K=I1664), Facturas_Odoo!$Q:$Q, 0), 0))</f>
        <v/>
      </c>
      <c r="X1664" s="79">
        <f>IF(OR(Q1664="Sin Factura",Q1664=""),"",IFERROR(INDEX(Pagos_Odoo!$B:$B, MATCH(Q1664, Pagos_Odoo!$I:$I, 0)), "Sin Pago"))</f>
        <v/>
      </c>
      <c r="Y1664" s="79">
        <f>IF(X1664="Sin Pago","",IFERROR(INDEX(Pagos_Odoo!$C:$C, MATCH(X1664, Pagos_Odoo!$B:$B, 0)), ""))</f>
        <v/>
      </c>
      <c r="Z1664" s="80">
        <f>IF(X1664="Sin Pago","",IFERROR(INDEX(Pagos_Odoo!$A:$A, MATCH(X1664, Pagos_Odoo!$B:$B, 0)), ""))</f>
        <v/>
      </c>
      <c r="AA1664" s="79">
        <f>IF(X1664="Sin Pago","",IFERROR(INDEX(Pagos_Odoo!$F:$F, MATCH(X1664, Pagos_Odoo!$B:$B, 0)), ""))</f>
        <v/>
      </c>
      <c r="AB1664" s="81">
        <f>IF(X1664="Sin Pago",0,IFERROR(INDEX(Pagos_Odoo!$E:$E, MATCH(X1664, Pagos_Odoo!$B:$B, 0)), 0))</f>
        <v/>
      </c>
      <c r="AC1664" s="79">
        <f>IF(X1664="Sin Pago","",IFERROR(INDEX(Pagos_Odoo!$G:$G, MATCH(X1664, Pagos_Odoo!$B:$B, 0)), ""))</f>
        <v/>
      </c>
      <c r="AD1664" s="82" t="n">
        <v>0</v>
      </c>
      <c r="AE1664" s="82" t="n"/>
      <c r="AF1664" s="82" t="n"/>
      <c r="AG1664" s="82">
        <f>IF(AN1664="","",AD1664+AE1664+AF1664)</f>
        <v/>
      </c>
      <c r="AH1664" s="81">
        <f>IF(AN1664="","",P1664*(1-AG1664))</f>
        <v/>
      </c>
      <c r="AI1664" s="81">
        <f>IF(AN1664="","",IF(Q1664="Sin Factura",0,IFERROR(INDEX(Facturas_Odoo!$H:$H, MATCH(Q1664, Facturas_Odoo!$B:$B, 0)), 0)*(1-AG1664)))</f>
        <v/>
      </c>
      <c r="AJ1664" s="81">
        <f>IF(AN1664="","",_xlfn.LET(idVenta, AN1664&amp;"",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64" s="81">
        <f>IF(AN1664="","",AH1664-AJ1664)</f>
        <v/>
      </c>
      <c r="AL1664" s="81">
        <f>IF(AN1664="","",IF(Q1664="Sin Factura","",AI1664-AJ1664))</f>
        <v/>
      </c>
      <c r="AM1664" s="81">
        <f>IF(AN1664="","",IF(Q1664="Sin Factura",0,P1664-IFERROR(INDEX(Facturas_Odoo!$H:$H, MATCH(Q1664, Facturas_Odoo!$B:$B, 0)), 0)))</f>
        <v/>
      </c>
      <c r="AN1664" s="79">
        <f>IF(AND(A1664="", J1664=""), "", IF(A1664&lt;&gt;"", VALUE(MID(A1664,2,LEN(A1664))), AN1663))</f>
        <v/>
      </c>
      <c r="AO1664" s="79">
        <f>IF(AN1664="","",IF(AD1664=0,"OK",_xlfn.LET(monedaPago, IF(AA1664="","USD",AA1664), limitePermitido, IFERROR(VLOOKUP(monedaPago, Configuración!$A$2:$B$3, 2, FALSE), 0.15), IF(AD1664&gt;limitePermitido, "ALERTA: EXCESO (" &amp; TEXT(limitePermitido, "0%") &amp; " máx)", "OK"))))</f>
        <v/>
      </c>
      <c r="AP1664" s="79">
        <f>IF(AN1664="","",IF(AE1664=0,"OK",_xlfn.LET(fechaPago, Z1664, fechaFactura, R1664, diasCredito, IF(E1664="Pago inmediato", 0, IFERROR(VALUE(MID(E1664, 1, SEARCH(" ", E1664)-1)),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64" s="79">
        <f>IF(AN1664="","",IF(AND(N1664&gt;0, AG1664&gt;0), IF(Configuración!$K$2="NO", "ALERTA: DESCUENTO DOBLE NO PERMITIDO", "OK"), "OK"))</f>
        <v/>
      </c>
      <c r="AR1664" s="79">
        <f>IF(AN1664="","",IF(OR(AO1664&lt;&gt;"OK", AP1664&lt;&gt;"OK", AQ1664&lt;&gt;"OK"), "⚠️ REVISAR", "OK"))</f>
        <v/>
      </c>
    </row>
    <row r="1665">
      <c r="A1665" s="79">
        <f>IF('Ordenes_Odoo'!A1665="","",'Ordenes_Odoo'!A1665)</f>
        <v/>
      </c>
      <c r="B1665" s="80">
        <f>IF('Ordenes_Odoo'!B1665="","",'Ordenes_Odoo'!B1665)</f>
        <v/>
      </c>
      <c r="C1665" s="79">
        <f>IF('Ordenes_Odoo'!C1665="","",'Ordenes_Odoo'!C1665)</f>
        <v/>
      </c>
      <c r="D1665" s="79">
        <f>IF('Ordenes_Odoo'!D1665="","",'Ordenes_Odoo'!D1665)</f>
        <v/>
      </c>
      <c r="E1665" s="79">
        <f>IF('Ordenes_Odoo'!E1665="","",'Ordenes_Odoo'!E1665)</f>
        <v/>
      </c>
      <c r="F1665" s="79">
        <f>IF('Ordenes_Odoo'!F1665="","",'Ordenes_Odoo'!F1665)</f>
        <v/>
      </c>
      <c r="G1665" s="79">
        <f>IF('Ordenes_Odoo'!G1665="","",'Ordenes_Odoo'!G1665)</f>
        <v/>
      </c>
      <c r="H1665" s="79">
        <f>IF('Ordenes_Odoo'!H1665="","",'Ordenes_Odoo'!H1665)</f>
        <v/>
      </c>
      <c r="I1665" s="79">
        <f>IF('Ordenes_Odoo'!I1665="","",'Ordenes_Odoo'!I1665)</f>
        <v/>
      </c>
      <c r="J1665" s="79">
        <f>IF('Ordenes_Odoo'!J1665="","",'Ordenes_Odoo'!J1665)</f>
        <v/>
      </c>
      <c r="K1665" s="81">
        <f>IF('Ordenes_Odoo'!K1665="","",'Ordenes_Odoo'!K1665)</f>
        <v/>
      </c>
      <c r="L1665" s="81">
        <f>IF('Ordenes_Odoo'!L1665="","",'Ordenes_Odoo'!L1665)</f>
        <v/>
      </c>
      <c r="M1665" s="79">
        <f>IF('Ordenes_Odoo'!M1665="","",'Ordenes_Odoo'!M1665)</f>
        <v/>
      </c>
      <c r="N1665" s="79">
        <f>IF('Ordenes_Odoo'!N1665="","",'Ordenes_Odoo'!N1665)</f>
        <v/>
      </c>
      <c r="O1665" s="81">
        <f>IF('Ordenes_Odoo'!O1665="","",'Ordenes_Odoo'!O1665)</f>
        <v/>
      </c>
      <c r="P1665" s="81">
        <f>IF('Ordenes_Odoo'!P1665="","",'Ordenes_Odoo'!P1665)</f>
        <v/>
      </c>
      <c r="Q1665" s="79">
        <f>IF(A1665="","",IFERROR(INDEX(Facturas_Odoo!$B:$B, MATCH(A1665, Facturas_Odoo!$D:$D, 0)), "Sin Factura"))</f>
        <v/>
      </c>
      <c r="R1665" s="80">
        <f>IF(Q1665="Sin Factura","",IFERROR(INDEX(Facturas_Odoo!$A:$A, MATCH(Q1665, Facturas_Odoo!$B:$B, 0)), ""))</f>
        <v/>
      </c>
      <c r="S1665" s="79">
        <f>IF(Q1665="Sin Factura","",IFERROR(_xlfn.XLOOKUP(1, (Facturas_Odoo!$D:$D=A1665) * (Facturas_Odoo!$K:$K=I1665), Facturas_Odoo!$L:$L, ""), ""))</f>
        <v/>
      </c>
      <c r="T1665" s="81">
        <f>IF(Q1665="Sin Factura",0,IFERROR(_xlfn.XLOOKUP(1, (Facturas_Odoo!$D:$D=A1665) * (Facturas_Odoo!$K:$K=I1665), Facturas_Odoo!$M:$M, 0), 0))</f>
        <v/>
      </c>
      <c r="U1665" s="79">
        <f>IF(Q1665="Sin Factura",0,IFERROR(_xlfn.XLOOKUP(1, (Facturas_Odoo!$D:$D=A1665) * (Facturas_Odoo!$K:$K=I1665), Facturas_Odoo!$N:$N, 0), 0))</f>
        <v/>
      </c>
      <c r="V1665" s="79">
        <f>IF(Q1665="Sin Factura",0,IFERROR(_xlfn.XLOOKUP(1, (Facturas_Odoo!$D:$D=A1665) * (Facturas_Odoo!$K:$K=I1665), Facturas_Odoo!$O:$O, 0), 0))</f>
        <v/>
      </c>
      <c r="W1665" s="81">
        <f>IF(Q1665="Sin Factura",0,IFERROR(_xlfn.XLOOKUP(1, (Facturas_Odoo!$D:$D=A1665) * (Facturas_Odoo!$K:$K=I1665), Facturas_Odoo!$Q:$Q, 0), 0))</f>
        <v/>
      </c>
      <c r="X1665" s="79">
        <f>IF(OR(Q1665="Sin Factura",Q1665=""),"",IFERROR(INDEX(Pagos_Odoo!$B:$B, MATCH(Q1665, Pagos_Odoo!$I:$I, 0)), "Sin Pago"))</f>
        <v/>
      </c>
      <c r="Y1665" s="79">
        <f>IF(X1665="Sin Pago","",IFERROR(INDEX(Pagos_Odoo!$C:$C, MATCH(X1665, Pagos_Odoo!$B:$B, 0)), ""))</f>
        <v/>
      </c>
      <c r="Z1665" s="80">
        <f>IF(X1665="Sin Pago","",IFERROR(INDEX(Pagos_Odoo!$A:$A, MATCH(X1665, Pagos_Odoo!$B:$B, 0)), ""))</f>
        <v/>
      </c>
      <c r="AA1665" s="79">
        <f>IF(X1665="Sin Pago","",IFERROR(INDEX(Pagos_Odoo!$F:$F, MATCH(X1665, Pagos_Odoo!$B:$B, 0)), ""))</f>
        <v/>
      </c>
      <c r="AB1665" s="81">
        <f>IF(X1665="Sin Pago",0,IFERROR(INDEX(Pagos_Odoo!$E:$E, MATCH(X1665, Pagos_Odoo!$B:$B, 0)), 0))</f>
        <v/>
      </c>
      <c r="AC1665" s="79">
        <f>IF(X1665="Sin Pago","",IFERROR(INDEX(Pagos_Odoo!$G:$G, MATCH(X1665, Pagos_Odoo!$B:$B, 0)), ""))</f>
        <v/>
      </c>
      <c r="AD1665" s="82" t="n">
        <v>0</v>
      </c>
      <c r="AE1665" s="82" t="n"/>
      <c r="AF1665" s="82" t="n"/>
      <c r="AG1665" s="82">
        <f>IF(AN1665="","",AD1665+AE1665+AF1665)</f>
        <v/>
      </c>
      <c r="AH1665" s="81">
        <f>IF(AN1665="","",P1665*(1-AG1665))</f>
        <v/>
      </c>
      <c r="AI1665" s="81">
        <f>IF(AN1665="","",IF(Q1665="Sin Factura",0,IFERROR(INDEX(Facturas_Odoo!$H:$H, MATCH(Q1665, Facturas_Odoo!$B:$B, 0)), 0)*(1-AG1665)))</f>
        <v/>
      </c>
      <c r="AJ1665" s="81">
        <f>IF(AN1665="","",_xlfn.LET(idVenta, AN1665&amp;"",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65" s="81">
        <f>IF(AN1665="","",AH1665-AJ1665)</f>
        <v/>
      </c>
      <c r="AL1665" s="81">
        <f>IF(AN1665="","",IF(Q1665="Sin Factura","",AI1665-AJ1665))</f>
        <v/>
      </c>
      <c r="AM1665" s="81">
        <f>IF(AN1665="","",IF(Q1665="Sin Factura",0,P1665-IFERROR(INDEX(Facturas_Odoo!$H:$H, MATCH(Q1665, Facturas_Odoo!$B:$B, 0)), 0)))</f>
        <v/>
      </c>
      <c r="AN1665" s="79">
        <f>IF(AND(A1665="", J1665=""), "", IF(A1665&lt;&gt;"", VALUE(MID(A1665,2,LEN(A1665))), AN1664))</f>
        <v/>
      </c>
      <c r="AO1665" s="79">
        <f>IF(AN1665="","",IF(AD1665=0,"OK",_xlfn.LET(monedaPago, IF(AA1665="","USD",AA1665), limitePermitido, IFERROR(VLOOKUP(monedaPago, Configuración!$A$2:$B$3, 2, FALSE), 0.15), IF(AD1665&gt;limitePermitido, "ALERTA: EXCESO (" &amp; TEXT(limitePermitido, "0%") &amp; " máx)", "OK"))))</f>
        <v/>
      </c>
      <c r="AP1665" s="79">
        <f>IF(AN1665="","",IF(AE1665=0,"OK",_xlfn.LET(fechaPago, Z1665, fechaFactura, R1665, diasCredito, IF(E1665="Pago inmediato", 0, IFERROR(VALUE(MID(E1665, 1, SEARCH(" ", E1665)-1)),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65" s="79">
        <f>IF(AN1665="","",IF(AND(N1665&gt;0, AG1665&gt;0), IF(Configuración!$K$2="NO", "ALERTA: DESCUENTO DOBLE NO PERMITIDO", "OK"), "OK"))</f>
        <v/>
      </c>
      <c r="AR1665" s="79">
        <f>IF(AN1665="","",IF(OR(AO1665&lt;&gt;"OK", AP1665&lt;&gt;"OK", AQ1665&lt;&gt;"OK"), "⚠️ REVISAR", "OK"))</f>
        <v/>
      </c>
    </row>
    <row r="1666">
      <c r="A1666" s="79">
        <f>IF('Ordenes_Odoo'!A1666="","",'Ordenes_Odoo'!A1666)</f>
        <v/>
      </c>
      <c r="B1666" s="80">
        <f>IF('Ordenes_Odoo'!B1666="","",'Ordenes_Odoo'!B1666)</f>
        <v/>
      </c>
      <c r="C1666" s="79">
        <f>IF('Ordenes_Odoo'!C1666="","",'Ordenes_Odoo'!C1666)</f>
        <v/>
      </c>
      <c r="D1666" s="79">
        <f>IF('Ordenes_Odoo'!D1666="","",'Ordenes_Odoo'!D1666)</f>
        <v/>
      </c>
      <c r="E1666" s="79">
        <f>IF('Ordenes_Odoo'!E1666="","",'Ordenes_Odoo'!E1666)</f>
        <v/>
      </c>
      <c r="F1666" s="79">
        <f>IF('Ordenes_Odoo'!F1666="","",'Ordenes_Odoo'!F1666)</f>
        <v/>
      </c>
      <c r="G1666" s="79">
        <f>IF('Ordenes_Odoo'!G1666="","",'Ordenes_Odoo'!G1666)</f>
        <v/>
      </c>
      <c r="H1666" s="79">
        <f>IF('Ordenes_Odoo'!H1666="","",'Ordenes_Odoo'!H1666)</f>
        <v/>
      </c>
      <c r="I1666" s="79">
        <f>IF('Ordenes_Odoo'!I1666="","",'Ordenes_Odoo'!I1666)</f>
        <v/>
      </c>
      <c r="J1666" s="79">
        <f>IF('Ordenes_Odoo'!J1666="","",'Ordenes_Odoo'!J1666)</f>
        <v/>
      </c>
      <c r="K1666" s="81">
        <f>IF('Ordenes_Odoo'!K1666="","",'Ordenes_Odoo'!K1666)</f>
        <v/>
      </c>
      <c r="L1666" s="81">
        <f>IF('Ordenes_Odoo'!L1666="","",'Ordenes_Odoo'!L1666)</f>
        <v/>
      </c>
      <c r="M1666" s="79">
        <f>IF('Ordenes_Odoo'!M1666="","",'Ordenes_Odoo'!M1666)</f>
        <v/>
      </c>
      <c r="N1666" s="79">
        <f>IF('Ordenes_Odoo'!N1666="","",'Ordenes_Odoo'!N1666)</f>
        <v/>
      </c>
      <c r="O1666" s="81">
        <f>IF('Ordenes_Odoo'!O1666="","",'Ordenes_Odoo'!O1666)</f>
        <v/>
      </c>
      <c r="P1666" s="81">
        <f>IF('Ordenes_Odoo'!P1666="","",'Ordenes_Odoo'!P1666)</f>
        <v/>
      </c>
      <c r="Q1666" s="79">
        <f>IF(A1666="","",IFERROR(INDEX(Facturas_Odoo!$B:$B, MATCH(A1666, Facturas_Odoo!$D:$D, 0)), "Sin Factura"))</f>
        <v/>
      </c>
      <c r="R1666" s="80">
        <f>IF(Q1666="Sin Factura","",IFERROR(INDEX(Facturas_Odoo!$A:$A, MATCH(Q1666, Facturas_Odoo!$B:$B, 0)), ""))</f>
        <v/>
      </c>
      <c r="S1666" s="79">
        <f>IF(Q1666="Sin Factura","",IFERROR(_xlfn.XLOOKUP(1, (Facturas_Odoo!$D:$D=A1666) * (Facturas_Odoo!$K:$K=I1666), Facturas_Odoo!$L:$L, ""), ""))</f>
        <v/>
      </c>
      <c r="T1666" s="81">
        <f>IF(Q1666="Sin Factura",0,IFERROR(_xlfn.XLOOKUP(1, (Facturas_Odoo!$D:$D=A1666) * (Facturas_Odoo!$K:$K=I1666), Facturas_Odoo!$M:$M, 0), 0))</f>
        <v/>
      </c>
      <c r="U1666" s="79">
        <f>IF(Q1666="Sin Factura",0,IFERROR(_xlfn.XLOOKUP(1, (Facturas_Odoo!$D:$D=A1666) * (Facturas_Odoo!$K:$K=I1666), Facturas_Odoo!$N:$N, 0), 0))</f>
        <v/>
      </c>
      <c r="V1666" s="79">
        <f>IF(Q1666="Sin Factura",0,IFERROR(_xlfn.XLOOKUP(1, (Facturas_Odoo!$D:$D=A1666) * (Facturas_Odoo!$K:$K=I1666), Facturas_Odoo!$O:$O, 0), 0))</f>
        <v/>
      </c>
      <c r="W1666" s="81">
        <f>IF(Q1666="Sin Factura",0,IFERROR(_xlfn.XLOOKUP(1, (Facturas_Odoo!$D:$D=A1666) * (Facturas_Odoo!$K:$K=I1666), Facturas_Odoo!$Q:$Q, 0), 0))</f>
        <v/>
      </c>
      <c r="X1666" s="79">
        <f>IF(OR(Q1666="Sin Factura",Q1666=""),"",IFERROR(INDEX(Pagos_Odoo!$B:$B, MATCH(Q1666, Pagos_Odoo!$I:$I, 0)), "Sin Pago"))</f>
        <v/>
      </c>
      <c r="Y1666" s="79">
        <f>IF(X1666="Sin Pago","",IFERROR(INDEX(Pagos_Odoo!$C:$C, MATCH(X1666, Pagos_Odoo!$B:$B, 0)), ""))</f>
        <v/>
      </c>
      <c r="Z1666" s="80">
        <f>IF(X1666="Sin Pago","",IFERROR(INDEX(Pagos_Odoo!$A:$A, MATCH(X1666, Pagos_Odoo!$B:$B, 0)), ""))</f>
        <v/>
      </c>
      <c r="AA1666" s="79">
        <f>IF(X1666="Sin Pago","",IFERROR(INDEX(Pagos_Odoo!$F:$F, MATCH(X1666, Pagos_Odoo!$B:$B, 0)), ""))</f>
        <v/>
      </c>
      <c r="AB1666" s="81">
        <f>IF(X1666="Sin Pago",0,IFERROR(INDEX(Pagos_Odoo!$E:$E, MATCH(X1666, Pagos_Odoo!$B:$B, 0)), 0))</f>
        <v/>
      </c>
      <c r="AC1666" s="79">
        <f>IF(X1666="Sin Pago","",IFERROR(INDEX(Pagos_Odoo!$G:$G, MATCH(X1666, Pagos_Odoo!$B:$B, 0)), ""))</f>
        <v/>
      </c>
      <c r="AD1666" s="82" t="n">
        <v>0</v>
      </c>
      <c r="AE1666" s="82" t="n"/>
      <c r="AF1666" s="82" t="n"/>
      <c r="AG1666" s="82">
        <f>IF(AN1666="","",AD1666+AE1666+AF1666)</f>
        <v/>
      </c>
      <c r="AH1666" s="81">
        <f>IF(AN1666="","",P1666*(1-AG1666))</f>
        <v/>
      </c>
      <c r="AI1666" s="81">
        <f>IF(AN1666="","",IF(Q1666="Sin Factura",0,IFERROR(INDEX(Facturas_Odoo!$H:$H, MATCH(Q1666, Facturas_Odoo!$B:$B, 0)), 0)*(1-AG1666)))</f>
        <v/>
      </c>
      <c r="AJ1666" s="81">
        <f>IF(AN1666="","",_xlfn.LET(idVenta, AN1666&amp;"",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66" s="81">
        <f>IF(AN1666="","",AH1666-AJ1666)</f>
        <v/>
      </c>
      <c r="AL1666" s="81">
        <f>IF(AN1666="","",IF(Q1666="Sin Factura","",AI1666-AJ1666))</f>
        <v/>
      </c>
      <c r="AM1666" s="81">
        <f>IF(AN1666="","",IF(Q1666="Sin Factura",0,P1666-IFERROR(INDEX(Facturas_Odoo!$H:$H, MATCH(Q1666, Facturas_Odoo!$B:$B, 0)), 0)))</f>
        <v/>
      </c>
      <c r="AN1666" s="79">
        <f>IF(AND(A1666="", J1666=""), "", IF(A1666&lt;&gt;"", VALUE(MID(A1666,2,LEN(A1666))), AN1665))</f>
        <v/>
      </c>
      <c r="AO1666" s="79">
        <f>IF(AN1666="","",IF(AD1666=0,"OK",_xlfn.LET(monedaPago, IF(AA1666="","USD",AA1666), limitePermitido, IFERROR(VLOOKUP(monedaPago, Configuración!$A$2:$B$3, 2, FALSE), 0.15), IF(AD1666&gt;limitePermitido, "ALERTA: EXCESO (" &amp; TEXT(limitePermitido, "0%") &amp; " máx)", "OK"))))</f>
        <v/>
      </c>
      <c r="AP1666" s="79">
        <f>IF(AN1666="","",IF(AE1666=0,"OK",_xlfn.LET(fechaPago, Z1666, fechaFactura, R1666, diasCredito, IF(E1666="Pago inmediato", 0, IFERROR(VALUE(MID(E1666, 1, SEARCH(" ", E1666)-1)),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66" s="79">
        <f>IF(AN1666="","",IF(AND(N1666&gt;0, AG1666&gt;0), IF(Configuración!$K$2="NO", "ALERTA: DESCUENTO DOBLE NO PERMITIDO", "OK"), "OK"))</f>
        <v/>
      </c>
      <c r="AR1666" s="79">
        <f>IF(AN1666="","",IF(OR(AO1666&lt;&gt;"OK", AP1666&lt;&gt;"OK", AQ1666&lt;&gt;"OK"), "⚠️ REVISAR", "OK"))</f>
        <v/>
      </c>
    </row>
    <row r="1667">
      <c r="A1667" s="79">
        <f>IF('Ordenes_Odoo'!A1667="","",'Ordenes_Odoo'!A1667)</f>
        <v/>
      </c>
      <c r="B1667" s="80">
        <f>IF('Ordenes_Odoo'!B1667="","",'Ordenes_Odoo'!B1667)</f>
        <v/>
      </c>
      <c r="C1667" s="79">
        <f>IF('Ordenes_Odoo'!C1667="","",'Ordenes_Odoo'!C1667)</f>
        <v/>
      </c>
      <c r="D1667" s="79">
        <f>IF('Ordenes_Odoo'!D1667="","",'Ordenes_Odoo'!D1667)</f>
        <v/>
      </c>
      <c r="E1667" s="79">
        <f>IF('Ordenes_Odoo'!E1667="","",'Ordenes_Odoo'!E1667)</f>
        <v/>
      </c>
      <c r="F1667" s="79">
        <f>IF('Ordenes_Odoo'!F1667="","",'Ordenes_Odoo'!F1667)</f>
        <v/>
      </c>
      <c r="G1667" s="79">
        <f>IF('Ordenes_Odoo'!G1667="","",'Ordenes_Odoo'!G1667)</f>
        <v/>
      </c>
      <c r="H1667" s="79">
        <f>IF('Ordenes_Odoo'!H1667="","",'Ordenes_Odoo'!H1667)</f>
        <v/>
      </c>
      <c r="I1667" s="79">
        <f>IF('Ordenes_Odoo'!I1667="","",'Ordenes_Odoo'!I1667)</f>
        <v/>
      </c>
      <c r="J1667" s="79">
        <f>IF('Ordenes_Odoo'!J1667="","",'Ordenes_Odoo'!J1667)</f>
        <v/>
      </c>
      <c r="K1667" s="81">
        <f>IF('Ordenes_Odoo'!K1667="","",'Ordenes_Odoo'!K1667)</f>
        <v/>
      </c>
      <c r="L1667" s="81">
        <f>IF('Ordenes_Odoo'!L1667="","",'Ordenes_Odoo'!L1667)</f>
        <v/>
      </c>
      <c r="M1667" s="79">
        <f>IF('Ordenes_Odoo'!M1667="","",'Ordenes_Odoo'!M1667)</f>
        <v/>
      </c>
      <c r="N1667" s="79">
        <f>IF('Ordenes_Odoo'!N1667="","",'Ordenes_Odoo'!N1667)</f>
        <v/>
      </c>
      <c r="O1667" s="81">
        <f>IF('Ordenes_Odoo'!O1667="","",'Ordenes_Odoo'!O1667)</f>
        <v/>
      </c>
      <c r="P1667" s="81">
        <f>IF('Ordenes_Odoo'!P1667="","",'Ordenes_Odoo'!P1667)</f>
        <v/>
      </c>
      <c r="Q1667" s="79">
        <f>IF(A1667="","",IFERROR(INDEX(Facturas_Odoo!$B:$B, MATCH(A1667, Facturas_Odoo!$D:$D, 0)), "Sin Factura"))</f>
        <v/>
      </c>
      <c r="R1667" s="80">
        <f>IF(Q1667="Sin Factura","",IFERROR(INDEX(Facturas_Odoo!$A:$A, MATCH(Q1667, Facturas_Odoo!$B:$B, 0)), ""))</f>
        <v/>
      </c>
      <c r="S1667" s="79">
        <f>IF(Q1667="Sin Factura","",IFERROR(_xlfn.XLOOKUP(1, (Facturas_Odoo!$D:$D=A1667) * (Facturas_Odoo!$K:$K=I1667), Facturas_Odoo!$L:$L, ""), ""))</f>
        <v/>
      </c>
      <c r="T1667" s="81">
        <f>IF(Q1667="Sin Factura",0,IFERROR(_xlfn.XLOOKUP(1, (Facturas_Odoo!$D:$D=A1667) * (Facturas_Odoo!$K:$K=I1667), Facturas_Odoo!$M:$M, 0), 0))</f>
        <v/>
      </c>
      <c r="U1667" s="79">
        <f>IF(Q1667="Sin Factura",0,IFERROR(_xlfn.XLOOKUP(1, (Facturas_Odoo!$D:$D=A1667) * (Facturas_Odoo!$K:$K=I1667), Facturas_Odoo!$N:$N, 0), 0))</f>
        <v/>
      </c>
      <c r="V1667" s="79">
        <f>IF(Q1667="Sin Factura",0,IFERROR(_xlfn.XLOOKUP(1, (Facturas_Odoo!$D:$D=A1667) * (Facturas_Odoo!$K:$K=I1667), Facturas_Odoo!$O:$O, 0), 0))</f>
        <v/>
      </c>
      <c r="W1667" s="81">
        <f>IF(Q1667="Sin Factura",0,IFERROR(_xlfn.XLOOKUP(1, (Facturas_Odoo!$D:$D=A1667) * (Facturas_Odoo!$K:$K=I1667), Facturas_Odoo!$Q:$Q, 0), 0))</f>
        <v/>
      </c>
      <c r="X1667" s="79">
        <f>IF(OR(Q1667="Sin Factura",Q1667=""),"",IFERROR(INDEX(Pagos_Odoo!$B:$B, MATCH(Q1667, Pagos_Odoo!$I:$I, 0)), "Sin Pago"))</f>
        <v/>
      </c>
      <c r="Y1667" s="79">
        <f>IF(X1667="Sin Pago","",IFERROR(INDEX(Pagos_Odoo!$C:$C, MATCH(X1667, Pagos_Odoo!$B:$B, 0)), ""))</f>
        <v/>
      </c>
      <c r="Z1667" s="80">
        <f>IF(X1667="Sin Pago","",IFERROR(INDEX(Pagos_Odoo!$A:$A, MATCH(X1667, Pagos_Odoo!$B:$B, 0)), ""))</f>
        <v/>
      </c>
      <c r="AA1667" s="79">
        <f>IF(X1667="Sin Pago","",IFERROR(INDEX(Pagos_Odoo!$F:$F, MATCH(X1667, Pagos_Odoo!$B:$B, 0)), ""))</f>
        <v/>
      </c>
      <c r="AB1667" s="81">
        <f>IF(X1667="Sin Pago",0,IFERROR(INDEX(Pagos_Odoo!$E:$E, MATCH(X1667, Pagos_Odoo!$B:$B, 0)), 0))</f>
        <v/>
      </c>
      <c r="AC1667" s="79">
        <f>IF(X1667="Sin Pago","",IFERROR(INDEX(Pagos_Odoo!$G:$G, MATCH(X1667, Pagos_Odoo!$B:$B, 0)), ""))</f>
        <v/>
      </c>
      <c r="AD1667" s="82" t="n">
        <v>0</v>
      </c>
      <c r="AE1667" s="82" t="n"/>
      <c r="AF1667" s="82" t="n"/>
      <c r="AG1667" s="82">
        <f>IF(AN1667="","",AD1667+AE1667+AF1667)</f>
        <v/>
      </c>
      <c r="AH1667" s="81">
        <f>IF(AN1667="","",P1667*(1-AG1667))</f>
        <v/>
      </c>
      <c r="AI1667" s="81">
        <f>IF(AN1667="","",IF(Q1667="Sin Factura",0,IFERROR(INDEX(Facturas_Odoo!$H:$H, MATCH(Q1667, Facturas_Odoo!$B:$B, 0)), 0)*(1-AG1667)))</f>
        <v/>
      </c>
      <c r="AJ1667" s="81">
        <f>IF(AN1667="","",_xlfn.LET(idVenta, AN1667&amp;"",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67" s="81">
        <f>IF(AN1667="","",AH1667-AJ1667)</f>
        <v/>
      </c>
      <c r="AL1667" s="81">
        <f>IF(AN1667="","",IF(Q1667="Sin Factura","",AI1667-AJ1667))</f>
        <v/>
      </c>
      <c r="AM1667" s="81">
        <f>IF(AN1667="","",IF(Q1667="Sin Factura",0,P1667-IFERROR(INDEX(Facturas_Odoo!$H:$H, MATCH(Q1667, Facturas_Odoo!$B:$B, 0)), 0)))</f>
        <v/>
      </c>
      <c r="AN1667" s="79">
        <f>IF(AND(A1667="", J1667=""), "", IF(A1667&lt;&gt;"", VALUE(MID(A1667,2,LEN(A1667))), AN1666))</f>
        <v/>
      </c>
      <c r="AO1667" s="79">
        <f>IF(AN1667="","",IF(AD1667=0,"OK",_xlfn.LET(monedaPago, IF(AA1667="","USD",AA1667), limitePermitido, IFERROR(VLOOKUP(monedaPago, Configuración!$A$2:$B$3, 2, FALSE), 0.15), IF(AD1667&gt;limitePermitido, "ALERTA: EXCESO (" &amp; TEXT(limitePermitido, "0%") &amp; " máx)", "OK"))))</f>
        <v/>
      </c>
      <c r="AP1667" s="79">
        <f>IF(AN1667="","",IF(AE1667=0,"OK",_xlfn.LET(fechaPago, Z1667, fechaFactura, R1667, diasCredito, IF(E1667="Pago inmediato", 0, IFERROR(VALUE(MID(E1667, 1, SEARCH(" ", E1667)-1)),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67" s="79">
        <f>IF(AN1667="","",IF(AND(N1667&gt;0, AG1667&gt;0), IF(Configuración!$K$2="NO", "ALERTA: DESCUENTO DOBLE NO PERMITIDO", "OK"), "OK"))</f>
        <v/>
      </c>
      <c r="AR1667" s="79">
        <f>IF(AN1667="","",IF(OR(AO1667&lt;&gt;"OK", AP1667&lt;&gt;"OK", AQ1667&lt;&gt;"OK"), "⚠️ REVISAR", "OK"))</f>
        <v/>
      </c>
    </row>
    <row r="1668">
      <c r="A1668" s="79">
        <f>IF('Ordenes_Odoo'!A1668="","",'Ordenes_Odoo'!A1668)</f>
        <v/>
      </c>
      <c r="B1668" s="80">
        <f>IF('Ordenes_Odoo'!B1668="","",'Ordenes_Odoo'!B1668)</f>
        <v/>
      </c>
      <c r="C1668" s="79">
        <f>IF('Ordenes_Odoo'!C1668="","",'Ordenes_Odoo'!C1668)</f>
        <v/>
      </c>
      <c r="D1668" s="79">
        <f>IF('Ordenes_Odoo'!D1668="","",'Ordenes_Odoo'!D1668)</f>
        <v/>
      </c>
      <c r="E1668" s="79">
        <f>IF('Ordenes_Odoo'!E1668="","",'Ordenes_Odoo'!E1668)</f>
        <v/>
      </c>
      <c r="F1668" s="79">
        <f>IF('Ordenes_Odoo'!F1668="","",'Ordenes_Odoo'!F1668)</f>
        <v/>
      </c>
      <c r="G1668" s="79">
        <f>IF('Ordenes_Odoo'!G1668="","",'Ordenes_Odoo'!G1668)</f>
        <v/>
      </c>
      <c r="H1668" s="79">
        <f>IF('Ordenes_Odoo'!H1668="","",'Ordenes_Odoo'!H1668)</f>
        <v/>
      </c>
      <c r="I1668" s="79">
        <f>IF('Ordenes_Odoo'!I1668="","",'Ordenes_Odoo'!I1668)</f>
        <v/>
      </c>
      <c r="J1668" s="79">
        <f>IF('Ordenes_Odoo'!J1668="","",'Ordenes_Odoo'!J1668)</f>
        <v/>
      </c>
      <c r="K1668" s="81">
        <f>IF('Ordenes_Odoo'!K1668="","",'Ordenes_Odoo'!K1668)</f>
        <v/>
      </c>
      <c r="L1668" s="81">
        <f>IF('Ordenes_Odoo'!L1668="","",'Ordenes_Odoo'!L1668)</f>
        <v/>
      </c>
      <c r="M1668" s="79">
        <f>IF('Ordenes_Odoo'!M1668="","",'Ordenes_Odoo'!M1668)</f>
        <v/>
      </c>
      <c r="N1668" s="79">
        <f>IF('Ordenes_Odoo'!N1668="","",'Ordenes_Odoo'!N1668)</f>
        <v/>
      </c>
      <c r="O1668" s="81">
        <f>IF('Ordenes_Odoo'!O1668="","",'Ordenes_Odoo'!O1668)</f>
        <v/>
      </c>
      <c r="P1668" s="81">
        <f>IF('Ordenes_Odoo'!P1668="","",'Ordenes_Odoo'!P1668)</f>
        <v/>
      </c>
      <c r="Q1668" s="79">
        <f>IF(A1668="","",IFERROR(INDEX(Facturas_Odoo!$B:$B, MATCH(A1668, Facturas_Odoo!$D:$D, 0)), "Sin Factura"))</f>
        <v/>
      </c>
      <c r="R1668" s="80">
        <f>IF(Q1668="Sin Factura","",IFERROR(INDEX(Facturas_Odoo!$A:$A, MATCH(Q1668, Facturas_Odoo!$B:$B, 0)), ""))</f>
        <v/>
      </c>
      <c r="S1668" s="79">
        <f>IF(Q1668="Sin Factura","",IFERROR(_xlfn.XLOOKUP(1, (Facturas_Odoo!$D:$D=A1668) * (Facturas_Odoo!$K:$K=I1668), Facturas_Odoo!$L:$L, ""), ""))</f>
        <v/>
      </c>
      <c r="T1668" s="81">
        <f>IF(Q1668="Sin Factura",0,IFERROR(_xlfn.XLOOKUP(1, (Facturas_Odoo!$D:$D=A1668) * (Facturas_Odoo!$K:$K=I1668), Facturas_Odoo!$M:$M, 0), 0))</f>
        <v/>
      </c>
      <c r="U1668" s="79">
        <f>IF(Q1668="Sin Factura",0,IFERROR(_xlfn.XLOOKUP(1, (Facturas_Odoo!$D:$D=A1668) * (Facturas_Odoo!$K:$K=I1668), Facturas_Odoo!$N:$N, 0), 0))</f>
        <v/>
      </c>
      <c r="V1668" s="79">
        <f>IF(Q1668="Sin Factura",0,IFERROR(_xlfn.XLOOKUP(1, (Facturas_Odoo!$D:$D=A1668) * (Facturas_Odoo!$K:$K=I1668), Facturas_Odoo!$O:$O, 0), 0))</f>
        <v/>
      </c>
      <c r="W1668" s="81">
        <f>IF(Q1668="Sin Factura",0,IFERROR(_xlfn.XLOOKUP(1, (Facturas_Odoo!$D:$D=A1668) * (Facturas_Odoo!$K:$K=I1668), Facturas_Odoo!$Q:$Q, 0), 0))</f>
        <v/>
      </c>
      <c r="X1668" s="79">
        <f>IF(OR(Q1668="Sin Factura",Q1668=""),"",IFERROR(INDEX(Pagos_Odoo!$B:$B, MATCH(Q1668, Pagos_Odoo!$I:$I, 0)), "Sin Pago"))</f>
        <v/>
      </c>
      <c r="Y1668" s="79">
        <f>IF(X1668="Sin Pago","",IFERROR(INDEX(Pagos_Odoo!$C:$C, MATCH(X1668, Pagos_Odoo!$B:$B, 0)), ""))</f>
        <v/>
      </c>
      <c r="Z1668" s="80">
        <f>IF(X1668="Sin Pago","",IFERROR(INDEX(Pagos_Odoo!$A:$A, MATCH(X1668, Pagos_Odoo!$B:$B, 0)), ""))</f>
        <v/>
      </c>
      <c r="AA1668" s="79">
        <f>IF(X1668="Sin Pago","",IFERROR(INDEX(Pagos_Odoo!$F:$F, MATCH(X1668, Pagos_Odoo!$B:$B, 0)), ""))</f>
        <v/>
      </c>
      <c r="AB1668" s="81">
        <f>IF(X1668="Sin Pago",0,IFERROR(INDEX(Pagos_Odoo!$E:$E, MATCH(X1668, Pagos_Odoo!$B:$B, 0)), 0))</f>
        <v/>
      </c>
      <c r="AC1668" s="79">
        <f>IF(X1668="Sin Pago","",IFERROR(INDEX(Pagos_Odoo!$G:$G, MATCH(X1668, Pagos_Odoo!$B:$B, 0)), ""))</f>
        <v/>
      </c>
      <c r="AD1668" s="82" t="n">
        <v>0</v>
      </c>
      <c r="AE1668" s="82" t="n"/>
      <c r="AF1668" s="82" t="n"/>
      <c r="AG1668" s="82">
        <f>IF(AN1668="","",AD1668+AE1668+AF1668)</f>
        <v/>
      </c>
      <c r="AH1668" s="81">
        <f>IF(AN1668="","",P1668*(1-AG1668))</f>
        <v/>
      </c>
      <c r="AI1668" s="81">
        <f>IF(AN1668="","",IF(Q1668="Sin Factura",0,IFERROR(INDEX(Facturas_Odoo!$H:$H, MATCH(Q1668, Facturas_Odoo!$B:$B, 0)), 0)*(1-AG1668)))</f>
        <v/>
      </c>
      <c r="AJ1668" s="81">
        <f>IF(AN1668="","",_xlfn.LET(idVenta, AN1668&amp;"",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68" s="81">
        <f>IF(AN1668="","",AH1668-AJ1668)</f>
        <v/>
      </c>
      <c r="AL1668" s="81">
        <f>IF(AN1668="","",IF(Q1668="Sin Factura","",AI1668-AJ1668))</f>
        <v/>
      </c>
      <c r="AM1668" s="81">
        <f>IF(AN1668="","",IF(Q1668="Sin Factura",0,P1668-IFERROR(INDEX(Facturas_Odoo!$H:$H, MATCH(Q1668, Facturas_Odoo!$B:$B, 0)), 0)))</f>
        <v/>
      </c>
      <c r="AN1668" s="79">
        <f>IF(AND(A1668="", J1668=""), "", IF(A1668&lt;&gt;"", VALUE(MID(A1668,2,LEN(A1668))), AN1667))</f>
        <v/>
      </c>
      <c r="AO1668" s="79">
        <f>IF(AN1668="","",IF(AD1668=0,"OK",_xlfn.LET(monedaPago, IF(AA1668="","USD",AA1668), limitePermitido, IFERROR(VLOOKUP(monedaPago, Configuración!$A$2:$B$3, 2, FALSE), 0.15), IF(AD1668&gt;limitePermitido, "ALERTA: EXCESO (" &amp; TEXT(limitePermitido, "0%") &amp; " máx)", "OK"))))</f>
        <v/>
      </c>
      <c r="AP1668" s="79">
        <f>IF(AN1668="","",IF(AE1668=0,"OK",_xlfn.LET(fechaPago, Z1668, fechaFactura, R1668, diasCredito, IF(E1668="Pago inmediato", 0, IFERROR(VALUE(MID(E1668, 1, SEARCH(" ", E1668)-1)),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68" s="79">
        <f>IF(AN1668="","",IF(AND(N1668&gt;0, AG1668&gt;0), IF(Configuración!$K$2="NO", "ALERTA: DESCUENTO DOBLE NO PERMITIDO", "OK"), "OK"))</f>
        <v/>
      </c>
      <c r="AR1668" s="79">
        <f>IF(AN1668="","",IF(OR(AO1668&lt;&gt;"OK", AP1668&lt;&gt;"OK", AQ1668&lt;&gt;"OK"), "⚠️ REVISAR", "OK"))</f>
        <v/>
      </c>
    </row>
    <row r="1669">
      <c r="A1669" s="79">
        <f>IF('Ordenes_Odoo'!A1669="","",'Ordenes_Odoo'!A1669)</f>
        <v/>
      </c>
      <c r="B1669" s="80">
        <f>IF('Ordenes_Odoo'!B1669="","",'Ordenes_Odoo'!B1669)</f>
        <v/>
      </c>
      <c r="C1669" s="79">
        <f>IF('Ordenes_Odoo'!C1669="","",'Ordenes_Odoo'!C1669)</f>
        <v/>
      </c>
      <c r="D1669" s="79">
        <f>IF('Ordenes_Odoo'!D1669="","",'Ordenes_Odoo'!D1669)</f>
        <v/>
      </c>
      <c r="E1669" s="79">
        <f>IF('Ordenes_Odoo'!E1669="","",'Ordenes_Odoo'!E1669)</f>
        <v/>
      </c>
      <c r="F1669" s="79">
        <f>IF('Ordenes_Odoo'!F1669="","",'Ordenes_Odoo'!F1669)</f>
        <v/>
      </c>
      <c r="G1669" s="79">
        <f>IF('Ordenes_Odoo'!G1669="","",'Ordenes_Odoo'!G1669)</f>
        <v/>
      </c>
      <c r="H1669" s="79">
        <f>IF('Ordenes_Odoo'!H1669="","",'Ordenes_Odoo'!H1669)</f>
        <v/>
      </c>
      <c r="I1669" s="79">
        <f>IF('Ordenes_Odoo'!I1669="","",'Ordenes_Odoo'!I1669)</f>
        <v/>
      </c>
      <c r="J1669" s="79">
        <f>IF('Ordenes_Odoo'!J1669="","",'Ordenes_Odoo'!J1669)</f>
        <v/>
      </c>
      <c r="K1669" s="81">
        <f>IF('Ordenes_Odoo'!K1669="","",'Ordenes_Odoo'!K1669)</f>
        <v/>
      </c>
      <c r="L1669" s="81">
        <f>IF('Ordenes_Odoo'!L1669="","",'Ordenes_Odoo'!L1669)</f>
        <v/>
      </c>
      <c r="M1669" s="79">
        <f>IF('Ordenes_Odoo'!M1669="","",'Ordenes_Odoo'!M1669)</f>
        <v/>
      </c>
      <c r="N1669" s="79">
        <f>IF('Ordenes_Odoo'!N1669="","",'Ordenes_Odoo'!N1669)</f>
        <v/>
      </c>
      <c r="O1669" s="81">
        <f>IF('Ordenes_Odoo'!O1669="","",'Ordenes_Odoo'!O1669)</f>
        <v/>
      </c>
      <c r="P1669" s="81">
        <f>IF('Ordenes_Odoo'!P1669="","",'Ordenes_Odoo'!P1669)</f>
        <v/>
      </c>
      <c r="Q1669" s="79">
        <f>IF(A1669="","",IFERROR(INDEX(Facturas_Odoo!$B:$B, MATCH(A1669, Facturas_Odoo!$D:$D, 0)), "Sin Factura"))</f>
        <v/>
      </c>
      <c r="R1669" s="80">
        <f>IF(Q1669="Sin Factura","",IFERROR(INDEX(Facturas_Odoo!$A:$A, MATCH(Q1669, Facturas_Odoo!$B:$B, 0)), ""))</f>
        <v/>
      </c>
      <c r="S1669" s="79">
        <f>IF(Q1669="Sin Factura","",IFERROR(_xlfn.XLOOKUP(1, (Facturas_Odoo!$D:$D=A1669) * (Facturas_Odoo!$K:$K=I1669), Facturas_Odoo!$L:$L, ""), ""))</f>
        <v/>
      </c>
      <c r="T1669" s="81">
        <f>IF(Q1669="Sin Factura",0,IFERROR(_xlfn.XLOOKUP(1, (Facturas_Odoo!$D:$D=A1669) * (Facturas_Odoo!$K:$K=I1669), Facturas_Odoo!$M:$M, 0), 0))</f>
        <v/>
      </c>
      <c r="U1669" s="79">
        <f>IF(Q1669="Sin Factura",0,IFERROR(_xlfn.XLOOKUP(1, (Facturas_Odoo!$D:$D=A1669) * (Facturas_Odoo!$K:$K=I1669), Facturas_Odoo!$N:$N, 0), 0))</f>
        <v/>
      </c>
      <c r="V1669" s="79">
        <f>IF(Q1669="Sin Factura",0,IFERROR(_xlfn.XLOOKUP(1, (Facturas_Odoo!$D:$D=A1669) * (Facturas_Odoo!$K:$K=I1669), Facturas_Odoo!$O:$O, 0), 0))</f>
        <v/>
      </c>
      <c r="W1669" s="81">
        <f>IF(Q1669="Sin Factura",0,IFERROR(_xlfn.XLOOKUP(1, (Facturas_Odoo!$D:$D=A1669) * (Facturas_Odoo!$K:$K=I1669), Facturas_Odoo!$Q:$Q, 0), 0))</f>
        <v/>
      </c>
      <c r="X1669" s="79">
        <f>IF(OR(Q1669="Sin Factura",Q1669=""),"",IFERROR(INDEX(Pagos_Odoo!$B:$B, MATCH(Q1669, Pagos_Odoo!$I:$I, 0)), "Sin Pago"))</f>
        <v/>
      </c>
      <c r="Y1669" s="79">
        <f>IF(X1669="Sin Pago","",IFERROR(INDEX(Pagos_Odoo!$C:$C, MATCH(X1669, Pagos_Odoo!$B:$B, 0)), ""))</f>
        <v/>
      </c>
      <c r="Z1669" s="80">
        <f>IF(X1669="Sin Pago","",IFERROR(INDEX(Pagos_Odoo!$A:$A, MATCH(X1669, Pagos_Odoo!$B:$B, 0)), ""))</f>
        <v/>
      </c>
      <c r="AA1669" s="79">
        <f>IF(X1669="Sin Pago","",IFERROR(INDEX(Pagos_Odoo!$F:$F, MATCH(X1669, Pagos_Odoo!$B:$B, 0)), ""))</f>
        <v/>
      </c>
      <c r="AB1669" s="81">
        <f>IF(X1669="Sin Pago",0,IFERROR(INDEX(Pagos_Odoo!$E:$E, MATCH(X1669, Pagos_Odoo!$B:$B, 0)), 0))</f>
        <v/>
      </c>
      <c r="AC1669" s="79">
        <f>IF(X1669="Sin Pago","",IFERROR(INDEX(Pagos_Odoo!$G:$G, MATCH(X1669, Pagos_Odoo!$B:$B, 0)), ""))</f>
        <v/>
      </c>
      <c r="AD1669" s="82" t="n">
        <v>0</v>
      </c>
      <c r="AE1669" s="82" t="n"/>
      <c r="AF1669" s="82" t="n"/>
      <c r="AG1669" s="82">
        <f>IF(AN1669="","",AD1669+AE1669+AF1669)</f>
        <v/>
      </c>
      <c r="AH1669" s="81">
        <f>IF(AN1669="","",P1669*(1-AG1669))</f>
        <v/>
      </c>
      <c r="AI1669" s="81">
        <f>IF(AN1669="","",IF(Q1669="Sin Factura",0,IFERROR(INDEX(Facturas_Odoo!$H:$H, MATCH(Q1669, Facturas_Odoo!$B:$B, 0)), 0)*(1-AG1669)))</f>
        <v/>
      </c>
      <c r="AJ1669" s="81">
        <f>IF(AN1669="","",_xlfn.LET(idVenta, AN1669&amp;"",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69" s="81">
        <f>IF(AN1669="","",AH1669-AJ1669)</f>
        <v/>
      </c>
      <c r="AL1669" s="81">
        <f>IF(AN1669="","",IF(Q1669="Sin Factura","",AI1669-AJ1669))</f>
        <v/>
      </c>
      <c r="AM1669" s="81">
        <f>IF(AN1669="","",IF(Q1669="Sin Factura",0,P1669-IFERROR(INDEX(Facturas_Odoo!$H:$H, MATCH(Q1669, Facturas_Odoo!$B:$B, 0)), 0)))</f>
        <v/>
      </c>
      <c r="AN1669" s="79">
        <f>IF(AND(A1669="", J1669=""), "", IF(A1669&lt;&gt;"", VALUE(MID(A1669,2,LEN(A1669))), AN1668))</f>
        <v/>
      </c>
      <c r="AO1669" s="79">
        <f>IF(AN1669="","",IF(AD1669=0,"OK",_xlfn.LET(monedaPago, IF(AA1669="","USD",AA1669), limitePermitido, IFERROR(VLOOKUP(monedaPago, Configuración!$A$2:$B$3, 2, FALSE), 0.15), IF(AD1669&gt;limitePermitido, "ALERTA: EXCESO (" &amp; TEXT(limitePermitido, "0%") &amp; " máx)", "OK"))))</f>
        <v/>
      </c>
      <c r="AP1669" s="79">
        <f>IF(AN1669="","",IF(AE1669=0,"OK",_xlfn.LET(fechaPago, Z1669, fechaFactura, R1669, diasCredito, IF(E1669="Pago inmediato", 0, IFERROR(VALUE(MID(E1669, 1, SEARCH(" ", E1669)-1)),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69" s="79">
        <f>IF(AN1669="","",IF(AND(N1669&gt;0, AG1669&gt;0), IF(Configuración!$K$2="NO", "ALERTA: DESCUENTO DOBLE NO PERMITIDO", "OK"), "OK"))</f>
        <v/>
      </c>
      <c r="AR1669" s="79">
        <f>IF(AN1669="","",IF(OR(AO1669&lt;&gt;"OK", AP1669&lt;&gt;"OK", AQ1669&lt;&gt;"OK"), "⚠️ REVISAR", "OK"))</f>
        <v/>
      </c>
    </row>
    <row r="1670">
      <c r="A1670" s="79">
        <f>IF('Ordenes_Odoo'!A1670="","",'Ordenes_Odoo'!A1670)</f>
        <v/>
      </c>
      <c r="B1670" s="80">
        <f>IF('Ordenes_Odoo'!B1670="","",'Ordenes_Odoo'!B1670)</f>
        <v/>
      </c>
      <c r="C1670" s="79">
        <f>IF('Ordenes_Odoo'!C1670="","",'Ordenes_Odoo'!C1670)</f>
        <v/>
      </c>
      <c r="D1670" s="79">
        <f>IF('Ordenes_Odoo'!D1670="","",'Ordenes_Odoo'!D1670)</f>
        <v/>
      </c>
      <c r="E1670" s="79">
        <f>IF('Ordenes_Odoo'!E1670="","",'Ordenes_Odoo'!E1670)</f>
        <v/>
      </c>
      <c r="F1670" s="79">
        <f>IF('Ordenes_Odoo'!F1670="","",'Ordenes_Odoo'!F1670)</f>
        <v/>
      </c>
      <c r="G1670" s="79">
        <f>IF('Ordenes_Odoo'!G1670="","",'Ordenes_Odoo'!G1670)</f>
        <v/>
      </c>
      <c r="H1670" s="79">
        <f>IF('Ordenes_Odoo'!H1670="","",'Ordenes_Odoo'!H1670)</f>
        <v/>
      </c>
      <c r="I1670" s="79">
        <f>IF('Ordenes_Odoo'!I1670="","",'Ordenes_Odoo'!I1670)</f>
        <v/>
      </c>
      <c r="J1670" s="79">
        <f>IF('Ordenes_Odoo'!J1670="","",'Ordenes_Odoo'!J1670)</f>
        <v/>
      </c>
      <c r="K1670" s="81">
        <f>IF('Ordenes_Odoo'!K1670="","",'Ordenes_Odoo'!K1670)</f>
        <v/>
      </c>
      <c r="L1670" s="81">
        <f>IF('Ordenes_Odoo'!L1670="","",'Ordenes_Odoo'!L1670)</f>
        <v/>
      </c>
      <c r="M1670" s="79">
        <f>IF('Ordenes_Odoo'!M1670="","",'Ordenes_Odoo'!M1670)</f>
        <v/>
      </c>
      <c r="N1670" s="79">
        <f>IF('Ordenes_Odoo'!N1670="","",'Ordenes_Odoo'!N1670)</f>
        <v/>
      </c>
      <c r="O1670" s="81">
        <f>IF('Ordenes_Odoo'!O1670="","",'Ordenes_Odoo'!O1670)</f>
        <v/>
      </c>
      <c r="P1670" s="81">
        <f>IF('Ordenes_Odoo'!P1670="","",'Ordenes_Odoo'!P1670)</f>
        <v/>
      </c>
      <c r="Q1670" s="79">
        <f>IF(A1670="","",IFERROR(INDEX(Facturas_Odoo!$B:$B, MATCH(A1670, Facturas_Odoo!$D:$D, 0)), "Sin Factura"))</f>
        <v/>
      </c>
      <c r="R1670" s="80">
        <f>IF(Q1670="Sin Factura","",IFERROR(INDEX(Facturas_Odoo!$A:$A, MATCH(Q1670, Facturas_Odoo!$B:$B, 0)), ""))</f>
        <v/>
      </c>
      <c r="S1670" s="79">
        <f>IF(Q1670="Sin Factura","",IFERROR(_xlfn.XLOOKUP(1, (Facturas_Odoo!$D:$D=A1670) * (Facturas_Odoo!$K:$K=I1670), Facturas_Odoo!$L:$L, ""), ""))</f>
        <v/>
      </c>
      <c r="T1670" s="81">
        <f>IF(Q1670="Sin Factura",0,IFERROR(_xlfn.XLOOKUP(1, (Facturas_Odoo!$D:$D=A1670) * (Facturas_Odoo!$K:$K=I1670), Facturas_Odoo!$M:$M, 0), 0))</f>
        <v/>
      </c>
      <c r="U1670" s="79">
        <f>IF(Q1670="Sin Factura",0,IFERROR(_xlfn.XLOOKUP(1, (Facturas_Odoo!$D:$D=A1670) * (Facturas_Odoo!$K:$K=I1670), Facturas_Odoo!$N:$N, 0), 0))</f>
        <v/>
      </c>
      <c r="V1670" s="79">
        <f>IF(Q1670="Sin Factura",0,IFERROR(_xlfn.XLOOKUP(1, (Facturas_Odoo!$D:$D=A1670) * (Facturas_Odoo!$K:$K=I1670), Facturas_Odoo!$O:$O, 0), 0))</f>
        <v/>
      </c>
      <c r="W1670" s="81">
        <f>IF(Q1670="Sin Factura",0,IFERROR(_xlfn.XLOOKUP(1, (Facturas_Odoo!$D:$D=A1670) * (Facturas_Odoo!$K:$K=I1670), Facturas_Odoo!$Q:$Q, 0), 0))</f>
        <v/>
      </c>
      <c r="X1670" s="79">
        <f>IF(OR(Q1670="Sin Factura",Q1670=""),"",IFERROR(INDEX(Pagos_Odoo!$B:$B, MATCH(Q1670, Pagos_Odoo!$I:$I, 0)), "Sin Pago"))</f>
        <v/>
      </c>
      <c r="Y1670" s="79">
        <f>IF(X1670="Sin Pago","",IFERROR(INDEX(Pagos_Odoo!$C:$C, MATCH(X1670, Pagos_Odoo!$B:$B, 0)), ""))</f>
        <v/>
      </c>
      <c r="Z1670" s="80">
        <f>IF(X1670="Sin Pago","",IFERROR(INDEX(Pagos_Odoo!$A:$A, MATCH(X1670, Pagos_Odoo!$B:$B, 0)), ""))</f>
        <v/>
      </c>
      <c r="AA1670" s="79">
        <f>IF(X1670="Sin Pago","",IFERROR(INDEX(Pagos_Odoo!$F:$F, MATCH(X1670, Pagos_Odoo!$B:$B, 0)), ""))</f>
        <v/>
      </c>
      <c r="AB1670" s="81">
        <f>IF(X1670="Sin Pago",0,IFERROR(INDEX(Pagos_Odoo!$E:$E, MATCH(X1670, Pagos_Odoo!$B:$B, 0)), 0))</f>
        <v/>
      </c>
      <c r="AC1670" s="79">
        <f>IF(X1670="Sin Pago","",IFERROR(INDEX(Pagos_Odoo!$G:$G, MATCH(X1670, Pagos_Odoo!$B:$B, 0)), ""))</f>
        <v/>
      </c>
      <c r="AD1670" s="82" t="n">
        <v>0</v>
      </c>
      <c r="AE1670" s="82" t="n"/>
      <c r="AF1670" s="82" t="n"/>
      <c r="AG1670" s="82">
        <f>IF(AN1670="","",AD1670+AE1670+AF1670)</f>
        <v/>
      </c>
      <c r="AH1670" s="81">
        <f>IF(AN1670="","",P1670*(1-AG1670))</f>
        <v/>
      </c>
      <c r="AI1670" s="81">
        <f>IF(AN1670="","",IF(Q1670="Sin Factura",0,IFERROR(INDEX(Facturas_Odoo!$H:$H, MATCH(Q1670, Facturas_Odoo!$B:$B, 0)), 0)*(1-AG1670)))</f>
        <v/>
      </c>
      <c r="AJ1670" s="81">
        <f>IF(AN1670="","",_xlfn.LET(idVenta, AN1670&amp;"",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70" s="81">
        <f>IF(AN1670="","",AH1670-AJ1670)</f>
        <v/>
      </c>
      <c r="AL1670" s="81">
        <f>IF(AN1670="","",IF(Q1670="Sin Factura","",AI1670-AJ1670))</f>
        <v/>
      </c>
      <c r="AM1670" s="81">
        <f>IF(AN1670="","",IF(Q1670="Sin Factura",0,P1670-IFERROR(INDEX(Facturas_Odoo!$H:$H, MATCH(Q1670, Facturas_Odoo!$B:$B, 0)), 0)))</f>
        <v/>
      </c>
      <c r="AN1670" s="79">
        <f>IF(AND(A1670="", J1670=""), "", IF(A1670&lt;&gt;"", VALUE(MID(A1670,2,LEN(A1670))), AN1669))</f>
        <v/>
      </c>
      <c r="AO1670" s="79">
        <f>IF(AN1670="","",IF(AD1670=0,"OK",_xlfn.LET(monedaPago, IF(AA1670="","USD",AA1670), limitePermitido, IFERROR(VLOOKUP(monedaPago, Configuración!$A$2:$B$3, 2, FALSE), 0.15), IF(AD1670&gt;limitePermitido, "ALERTA: EXCESO (" &amp; TEXT(limitePermitido, "0%") &amp; " máx)", "OK"))))</f>
        <v/>
      </c>
      <c r="AP1670" s="79">
        <f>IF(AN1670="","",IF(AE1670=0,"OK",_xlfn.LET(fechaPago, Z1670, fechaFactura, R1670, diasCredito, IF(E1670="Pago inmediato", 0, IFERROR(VALUE(MID(E1670, 1, SEARCH(" ", E1670)-1)),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70" s="79">
        <f>IF(AN1670="","",IF(AND(N1670&gt;0, AG1670&gt;0), IF(Configuración!$K$2="NO", "ALERTA: DESCUENTO DOBLE NO PERMITIDO", "OK"), "OK"))</f>
        <v/>
      </c>
      <c r="AR1670" s="79">
        <f>IF(AN1670="","",IF(OR(AO1670&lt;&gt;"OK", AP1670&lt;&gt;"OK", AQ1670&lt;&gt;"OK"), "⚠️ REVISAR", "OK"))</f>
        <v/>
      </c>
    </row>
    <row r="1671">
      <c r="A1671" s="79">
        <f>IF('Ordenes_Odoo'!A1671="","",'Ordenes_Odoo'!A1671)</f>
        <v/>
      </c>
      <c r="B1671" s="80">
        <f>IF('Ordenes_Odoo'!B1671="","",'Ordenes_Odoo'!B1671)</f>
        <v/>
      </c>
      <c r="C1671" s="79">
        <f>IF('Ordenes_Odoo'!C1671="","",'Ordenes_Odoo'!C1671)</f>
        <v/>
      </c>
      <c r="D1671" s="79">
        <f>IF('Ordenes_Odoo'!D1671="","",'Ordenes_Odoo'!D1671)</f>
        <v/>
      </c>
      <c r="E1671" s="79">
        <f>IF('Ordenes_Odoo'!E1671="","",'Ordenes_Odoo'!E1671)</f>
        <v/>
      </c>
      <c r="F1671" s="79">
        <f>IF('Ordenes_Odoo'!F1671="","",'Ordenes_Odoo'!F1671)</f>
        <v/>
      </c>
      <c r="G1671" s="79">
        <f>IF('Ordenes_Odoo'!G1671="","",'Ordenes_Odoo'!G1671)</f>
        <v/>
      </c>
      <c r="H1671" s="79">
        <f>IF('Ordenes_Odoo'!H1671="","",'Ordenes_Odoo'!H1671)</f>
        <v/>
      </c>
      <c r="I1671" s="79">
        <f>IF('Ordenes_Odoo'!I1671="","",'Ordenes_Odoo'!I1671)</f>
        <v/>
      </c>
      <c r="J1671" s="79">
        <f>IF('Ordenes_Odoo'!J1671="","",'Ordenes_Odoo'!J1671)</f>
        <v/>
      </c>
      <c r="K1671" s="81">
        <f>IF('Ordenes_Odoo'!K1671="","",'Ordenes_Odoo'!K1671)</f>
        <v/>
      </c>
      <c r="L1671" s="81">
        <f>IF('Ordenes_Odoo'!L1671="","",'Ordenes_Odoo'!L1671)</f>
        <v/>
      </c>
      <c r="M1671" s="79">
        <f>IF('Ordenes_Odoo'!M1671="","",'Ordenes_Odoo'!M1671)</f>
        <v/>
      </c>
      <c r="N1671" s="79">
        <f>IF('Ordenes_Odoo'!N1671="","",'Ordenes_Odoo'!N1671)</f>
        <v/>
      </c>
      <c r="O1671" s="81">
        <f>IF('Ordenes_Odoo'!O1671="","",'Ordenes_Odoo'!O1671)</f>
        <v/>
      </c>
      <c r="P1671" s="81">
        <f>IF('Ordenes_Odoo'!P1671="","",'Ordenes_Odoo'!P1671)</f>
        <v/>
      </c>
      <c r="Q1671" s="79">
        <f>IF(A1671="","",IFERROR(INDEX(Facturas_Odoo!$B:$B, MATCH(A1671, Facturas_Odoo!$D:$D, 0)), "Sin Factura"))</f>
        <v/>
      </c>
      <c r="R1671" s="80">
        <f>IF(Q1671="Sin Factura","",IFERROR(INDEX(Facturas_Odoo!$A:$A, MATCH(Q1671, Facturas_Odoo!$B:$B, 0)), ""))</f>
        <v/>
      </c>
      <c r="S1671" s="79">
        <f>IF(Q1671="Sin Factura","",IFERROR(_xlfn.XLOOKUP(1, (Facturas_Odoo!$D:$D=A1671) * (Facturas_Odoo!$K:$K=I1671), Facturas_Odoo!$L:$L, ""), ""))</f>
        <v/>
      </c>
      <c r="T1671" s="81">
        <f>IF(Q1671="Sin Factura",0,IFERROR(_xlfn.XLOOKUP(1, (Facturas_Odoo!$D:$D=A1671) * (Facturas_Odoo!$K:$K=I1671), Facturas_Odoo!$M:$M, 0), 0))</f>
        <v/>
      </c>
      <c r="U1671" s="79">
        <f>IF(Q1671="Sin Factura",0,IFERROR(_xlfn.XLOOKUP(1, (Facturas_Odoo!$D:$D=A1671) * (Facturas_Odoo!$K:$K=I1671), Facturas_Odoo!$N:$N, 0), 0))</f>
        <v/>
      </c>
      <c r="V1671" s="79">
        <f>IF(Q1671="Sin Factura",0,IFERROR(_xlfn.XLOOKUP(1, (Facturas_Odoo!$D:$D=A1671) * (Facturas_Odoo!$K:$K=I1671), Facturas_Odoo!$O:$O, 0), 0))</f>
        <v/>
      </c>
      <c r="W1671" s="81">
        <f>IF(Q1671="Sin Factura",0,IFERROR(_xlfn.XLOOKUP(1, (Facturas_Odoo!$D:$D=A1671) * (Facturas_Odoo!$K:$K=I1671), Facturas_Odoo!$Q:$Q, 0), 0))</f>
        <v/>
      </c>
      <c r="X1671" s="79">
        <f>IF(OR(Q1671="Sin Factura",Q1671=""),"",IFERROR(INDEX(Pagos_Odoo!$B:$B, MATCH(Q1671, Pagos_Odoo!$I:$I, 0)), "Sin Pago"))</f>
        <v/>
      </c>
      <c r="Y1671" s="79">
        <f>IF(X1671="Sin Pago","",IFERROR(INDEX(Pagos_Odoo!$C:$C, MATCH(X1671, Pagos_Odoo!$B:$B, 0)), ""))</f>
        <v/>
      </c>
      <c r="Z1671" s="80">
        <f>IF(X1671="Sin Pago","",IFERROR(INDEX(Pagos_Odoo!$A:$A, MATCH(X1671, Pagos_Odoo!$B:$B, 0)), ""))</f>
        <v/>
      </c>
      <c r="AA1671" s="79">
        <f>IF(X1671="Sin Pago","",IFERROR(INDEX(Pagos_Odoo!$F:$F, MATCH(X1671, Pagos_Odoo!$B:$B, 0)), ""))</f>
        <v/>
      </c>
      <c r="AB1671" s="81">
        <f>IF(X1671="Sin Pago",0,IFERROR(INDEX(Pagos_Odoo!$E:$E, MATCH(X1671, Pagos_Odoo!$B:$B, 0)), 0))</f>
        <v/>
      </c>
      <c r="AC1671" s="79">
        <f>IF(X1671="Sin Pago","",IFERROR(INDEX(Pagos_Odoo!$G:$G, MATCH(X1671, Pagos_Odoo!$B:$B, 0)), ""))</f>
        <v/>
      </c>
      <c r="AD1671" s="82" t="n">
        <v>0</v>
      </c>
      <c r="AE1671" s="82" t="n"/>
      <c r="AF1671" s="82" t="n"/>
      <c r="AG1671" s="82">
        <f>IF(AN1671="","",AD1671+AE1671+AF1671)</f>
        <v/>
      </c>
      <c r="AH1671" s="81">
        <f>IF(AN1671="","",P1671*(1-AG1671))</f>
        <v/>
      </c>
      <c r="AI1671" s="81">
        <f>IF(AN1671="","",IF(Q1671="Sin Factura",0,IFERROR(INDEX(Facturas_Odoo!$H:$H, MATCH(Q1671, Facturas_Odoo!$B:$B, 0)), 0)*(1-AG1671)))</f>
        <v/>
      </c>
      <c r="AJ1671" s="81">
        <f>IF(AN1671="","",_xlfn.LET(idVenta, AN1671&amp;"",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71" s="81">
        <f>IF(AN1671="","",AH1671-AJ1671)</f>
        <v/>
      </c>
      <c r="AL1671" s="81">
        <f>IF(AN1671="","",IF(Q1671="Sin Factura","",AI1671-AJ1671))</f>
        <v/>
      </c>
      <c r="AM1671" s="81">
        <f>IF(AN1671="","",IF(Q1671="Sin Factura",0,P1671-IFERROR(INDEX(Facturas_Odoo!$H:$H, MATCH(Q1671, Facturas_Odoo!$B:$B, 0)), 0)))</f>
        <v/>
      </c>
      <c r="AN1671" s="79">
        <f>IF(AND(A1671="", J1671=""), "", IF(A1671&lt;&gt;"", VALUE(MID(A1671,2,LEN(A1671))), AN1670))</f>
        <v/>
      </c>
      <c r="AO1671" s="79">
        <f>IF(AN1671="","",IF(AD1671=0,"OK",_xlfn.LET(monedaPago, IF(AA1671="","USD",AA1671), limitePermitido, IFERROR(VLOOKUP(monedaPago, Configuración!$A$2:$B$3, 2, FALSE), 0.15), IF(AD1671&gt;limitePermitido, "ALERTA: EXCESO (" &amp; TEXT(limitePermitido, "0%") &amp; " máx)", "OK"))))</f>
        <v/>
      </c>
      <c r="AP1671" s="79">
        <f>IF(AN1671="","",IF(AE1671=0,"OK",_xlfn.LET(fechaPago, Z1671, fechaFactura, R1671, diasCredito, IF(E1671="Pago inmediato", 0, IFERROR(VALUE(MID(E1671, 1, SEARCH(" ", E1671)-1)),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71" s="79">
        <f>IF(AN1671="","",IF(AND(N1671&gt;0, AG1671&gt;0), IF(Configuración!$K$2="NO", "ALERTA: DESCUENTO DOBLE NO PERMITIDO", "OK"), "OK"))</f>
        <v/>
      </c>
      <c r="AR1671" s="79">
        <f>IF(AN1671="","",IF(OR(AO1671&lt;&gt;"OK", AP1671&lt;&gt;"OK", AQ1671&lt;&gt;"OK"), "⚠️ REVISAR", "OK"))</f>
        <v/>
      </c>
    </row>
    <row r="1672">
      <c r="A1672" s="79">
        <f>IF('Ordenes_Odoo'!A1672="","",'Ordenes_Odoo'!A1672)</f>
        <v/>
      </c>
      <c r="B1672" s="80">
        <f>IF('Ordenes_Odoo'!B1672="","",'Ordenes_Odoo'!B1672)</f>
        <v/>
      </c>
      <c r="C1672" s="79">
        <f>IF('Ordenes_Odoo'!C1672="","",'Ordenes_Odoo'!C1672)</f>
        <v/>
      </c>
      <c r="D1672" s="79">
        <f>IF('Ordenes_Odoo'!D1672="","",'Ordenes_Odoo'!D1672)</f>
        <v/>
      </c>
      <c r="E1672" s="79">
        <f>IF('Ordenes_Odoo'!E1672="","",'Ordenes_Odoo'!E1672)</f>
        <v/>
      </c>
      <c r="F1672" s="79">
        <f>IF('Ordenes_Odoo'!F1672="","",'Ordenes_Odoo'!F1672)</f>
        <v/>
      </c>
      <c r="G1672" s="79">
        <f>IF('Ordenes_Odoo'!G1672="","",'Ordenes_Odoo'!G1672)</f>
        <v/>
      </c>
      <c r="H1672" s="79">
        <f>IF('Ordenes_Odoo'!H1672="","",'Ordenes_Odoo'!H1672)</f>
        <v/>
      </c>
      <c r="I1672" s="79">
        <f>IF('Ordenes_Odoo'!I1672="","",'Ordenes_Odoo'!I1672)</f>
        <v/>
      </c>
      <c r="J1672" s="79">
        <f>IF('Ordenes_Odoo'!J1672="","",'Ordenes_Odoo'!J1672)</f>
        <v/>
      </c>
      <c r="K1672" s="81">
        <f>IF('Ordenes_Odoo'!K1672="","",'Ordenes_Odoo'!K1672)</f>
        <v/>
      </c>
      <c r="L1672" s="81">
        <f>IF('Ordenes_Odoo'!L1672="","",'Ordenes_Odoo'!L1672)</f>
        <v/>
      </c>
      <c r="M1672" s="79">
        <f>IF('Ordenes_Odoo'!M1672="","",'Ordenes_Odoo'!M1672)</f>
        <v/>
      </c>
      <c r="N1672" s="79">
        <f>IF('Ordenes_Odoo'!N1672="","",'Ordenes_Odoo'!N1672)</f>
        <v/>
      </c>
      <c r="O1672" s="81">
        <f>IF('Ordenes_Odoo'!O1672="","",'Ordenes_Odoo'!O1672)</f>
        <v/>
      </c>
      <c r="P1672" s="81">
        <f>IF('Ordenes_Odoo'!P1672="","",'Ordenes_Odoo'!P1672)</f>
        <v/>
      </c>
      <c r="Q1672" s="79">
        <f>IF(A1672="","",IFERROR(INDEX(Facturas_Odoo!$B:$B, MATCH(A1672, Facturas_Odoo!$D:$D, 0)), "Sin Factura"))</f>
        <v/>
      </c>
      <c r="R1672" s="80">
        <f>IF(Q1672="Sin Factura","",IFERROR(INDEX(Facturas_Odoo!$A:$A, MATCH(Q1672, Facturas_Odoo!$B:$B, 0)), ""))</f>
        <v/>
      </c>
      <c r="S1672" s="79">
        <f>IF(Q1672="Sin Factura","",IFERROR(_xlfn.XLOOKUP(1, (Facturas_Odoo!$D:$D=A1672) * (Facturas_Odoo!$K:$K=I1672), Facturas_Odoo!$L:$L, ""), ""))</f>
        <v/>
      </c>
      <c r="T1672" s="81">
        <f>IF(Q1672="Sin Factura",0,IFERROR(_xlfn.XLOOKUP(1, (Facturas_Odoo!$D:$D=A1672) * (Facturas_Odoo!$K:$K=I1672), Facturas_Odoo!$M:$M, 0), 0))</f>
        <v/>
      </c>
      <c r="U1672" s="79">
        <f>IF(Q1672="Sin Factura",0,IFERROR(_xlfn.XLOOKUP(1, (Facturas_Odoo!$D:$D=A1672) * (Facturas_Odoo!$K:$K=I1672), Facturas_Odoo!$N:$N, 0), 0))</f>
        <v/>
      </c>
      <c r="V1672" s="79">
        <f>IF(Q1672="Sin Factura",0,IFERROR(_xlfn.XLOOKUP(1, (Facturas_Odoo!$D:$D=A1672) * (Facturas_Odoo!$K:$K=I1672), Facturas_Odoo!$O:$O, 0), 0))</f>
        <v/>
      </c>
      <c r="W1672" s="81">
        <f>IF(Q1672="Sin Factura",0,IFERROR(_xlfn.XLOOKUP(1, (Facturas_Odoo!$D:$D=A1672) * (Facturas_Odoo!$K:$K=I1672), Facturas_Odoo!$Q:$Q, 0), 0))</f>
        <v/>
      </c>
      <c r="X1672" s="79">
        <f>IF(OR(Q1672="Sin Factura",Q1672=""),"",IFERROR(INDEX(Pagos_Odoo!$B:$B, MATCH(Q1672, Pagos_Odoo!$I:$I, 0)), "Sin Pago"))</f>
        <v/>
      </c>
      <c r="Y1672" s="79">
        <f>IF(X1672="Sin Pago","",IFERROR(INDEX(Pagos_Odoo!$C:$C, MATCH(X1672, Pagos_Odoo!$B:$B, 0)), ""))</f>
        <v/>
      </c>
      <c r="Z1672" s="80">
        <f>IF(X1672="Sin Pago","",IFERROR(INDEX(Pagos_Odoo!$A:$A, MATCH(X1672, Pagos_Odoo!$B:$B, 0)), ""))</f>
        <v/>
      </c>
      <c r="AA1672" s="79">
        <f>IF(X1672="Sin Pago","",IFERROR(INDEX(Pagos_Odoo!$F:$F, MATCH(X1672, Pagos_Odoo!$B:$B, 0)), ""))</f>
        <v/>
      </c>
      <c r="AB1672" s="81">
        <f>IF(X1672="Sin Pago",0,IFERROR(INDEX(Pagos_Odoo!$E:$E, MATCH(X1672, Pagos_Odoo!$B:$B, 0)), 0))</f>
        <v/>
      </c>
      <c r="AC1672" s="79">
        <f>IF(X1672="Sin Pago","",IFERROR(INDEX(Pagos_Odoo!$G:$G, MATCH(X1672, Pagos_Odoo!$B:$B, 0)), ""))</f>
        <v/>
      </c>
      <c r="AD1672" s="82" t="n">
        <v>0</v>
      </c>
      <c r="AE1672" s="82" t="n"/>
      <c r="AF1672" s="82" t="n"/>
      <c r="AG1672" s="82">
        <f>IF(AN1672="","",AD1672+AE1672+AF1672)</f>
        <v/>
      </c>
      <c r="AH1672" s="81">
        <f>IF(AN1672="","",P1672*(1-AG1672))</f>
        <v/>
      </c>
      <c r="AI1672" s="81">
        <f>IF(AN1672="","",IF(Q1672="Sin Factura",0,IFERROR(INDEX(Facturas_Odoo!$H:$H, MATCH(Q1672, Facturas_Odoo!$B:$B, 0)), 0)*(1-AG1672)))</f>
        <v/>
      </c>
      <c r="AJ1672" s="81">
        <f>IF(AN1672="","",_xlfn.LET(idVenta, AN1672&amp;"",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72" s="81">
        <f>IF(AN1672="","",AH1672-AJ1672)</f>
        <v/>
      </c>
      <c r="AL1672" s="81">
        <f>IF(AN1672="","",IF(Q1672="Sin Factura","",AI1672-AJ1672))</f>
        <v/>
      </c>
      <c r="AM1672" s="81">
        <f>IF(AN1672="","",IF(Q1672="Sin Factura",0,P1672-IFERROR(INDEX(Facturas_Odoo!$H:$H, MATCH(Q1672, Facturas_Odoo!$B:$B, 0)), 0)))</f>
        <v/>
      </c>
      <c r="AN1672" s="79">
        <f>IF(AND(A1672="", J1672=""), "", IF(A1672&lt;&gt;"", VALUE(MID(A1672,2,LEN(A1672))), AN1671))</f>
        <v/>
      </c>
      <c r="AO1672" s="79">
        <f>IF(AN1672="","",IF(AD1672=0,"OK",_xlfn.LET(monedaPago, IF(AA1672="","USD",AA1672), limitePermitido, IFERROR(VLOOKUP(monedaPago, Configuración!$A$2:$B$3, 2, FALSE), 0.15), IF(AD1672&gt;limitePermitido, "ALERTA: EXCESO (" &amp; TEXT(limitePermitido, "0%") &amp; " máx)", "OK"))))</f>
        <v/>
      </c>
      <c r="AP1672" s="79">
        <f>IF(AN1672="","",IF(AE1672=0,"OK",_xlfn.LET(fechaPago, Z1672, fechaFactura, R1672, diasCredito, IF(E1672="Pago inmediato", 0, IFERROR(VALUE(MID(E1672, 1, SEARCH(" ", E1672)-1)),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72" s="79">
        <f>IF(AN1672="","",IF(AND(N1672&gt;0, AG1672&gt;0), IF(Configuración!$K$2="NO", "ALERTA: DESCUENTO DOBLE NO PERMITIDO", "OK"), "OK"))</f>
        <v/>
      </c>
      <c r="AR1672" s="79">
        <f>IF(AN1672="","",IF(OR(AO1672&lt;&gt;"OK", AP1672&lt;&gt;"OK", AQ1672&lt;&gt;"OK"), "⚠️ REVISAR", "OK"))</f>
        <v/>
      </c>
    </row>
    <row r="1673">
      <c r="A1673" s="79">
        <f>IF('Ordenes_Odoo'!A1673="","",'Ordenes_Odoo'!A1673)</f>
        <v/>
      </c>
      <c r="B1673" s="80">
        <f>IF('Ordenes_Odoo'!B1673="","",'Ordenes_Odoo'!B1673)</f>
        <v/>
      </c>
      <c r="C1673" s="79">
        <f>IF('Ordenes_Odoo'!C1673="","",'Ordenes_Odoo'!C1673)</f>
        <v/>
      </c>
      <c r="D1673" s="79">
        <f>IF('Ordenes_Odoo'!D1673="","",'Ordenes_Odoo'!D1673)</f>
        <v/>
      </c>
      <c r="E1673" s="79">
        <f>IF('Ordenes_Odoo'!E1673="","",'Ordenes_Odoo'!E1673)</f>
        <v/>
      </c>
      <c r="F1673" s="79">
        <f>IF('Ordenes_Odoo'!F1673="","",'Ordenes_Odoo'!F1673)</f>
        <v/>
      </c>
      <c r="G1673" s="79">
        <f>IF('Ordenes_Odoo'!G1673="","",'Ordenes_Odoo'!G1673)</f>
        <v/>
      </c>
      <c r="H1673" s="79">
        <f>IF('Ordenes_Odoo'!H1673="","",'Ordenes_Odoo'!H1673)</f>
        <v/>
      </c>
      <c r="I1673" s="79">
        <f>IF('Ordenes_Odoo'!I1673="","",'Ordenes_Odoo'!I1673)</f>
        <v/>
      </c>
      <c r="J1673" s="79">
        <f>IF('Ordenes_Odoo'!J1673="","",'Ordenes_Odoo'!J1673)</f>
        <v/>
      </c>
      <c r="K1673" s="81">
        <f>IF('Ordenes_Odoo'!K1673="","",'Ordenes_Odoo'!K1673)</f>
        <v/>
      </c>
      <c r="L1673" s="81">
        <f>IF('Ordenes_Odoo'!L1673="","",'Ordenes_Odoo'!L1673)</f>
        <v/>
      </c>
      <c r="M1673" s="79">
        <f>IF('Ordenes_Odoo'!M1673="","",'Ordenes_Odoo'!M1673)</f>
        <v/>
      </c>
      <c r="N1673" s="79">
        <f>IF('Ordenes_Odoo'!N1673="","",'Ordenes_Odoo'!N1673)</f>
        <v/>
      </c>
      <c r="O1673" s="81">
        <f>IF('Ordenes_Odoo'!O1673="","",'Ordenes_Odoo'!O1673)</f>
        <v/>
      </c>
      <c r="P1673" s="81">
        <f>IF('Ordenes_Odoo'!P1673="","",'Ordenes_Odoo'!P1673)</f>
        <v/>
      </c>
      <c r="Q1673" s="79">
        <f>IF(A1673="","",IFERROR(INDEX(Facturas_Odoo!$B:$B, MATCH(A1673, Facturas_Odoo!$D:$D, 0)), "Sin Factura"))</f>
        <v/>
      </c>
      <c r="R1673" s="80">
        <f>IF(Q1673="Sin Factura","",IFERROR(INDEX(Facturas_Odoo!$A:$A, MATCH(Q1673, Facturas_Odoo!$B:$B, 0)), ""))</f>
        <v/>
      </c>
      <c r="S1673" s="79">
        <f>IF(Q1673="Sin Factura","",IFERROR(_xlfn.XLOOKUP(1, (Facturas_Odoo!$D:$D=A1673) * (Facturas_Odoo!$K:$K=I1673), Facturas_Odoo!$L:$L, ""), ""))</f>
        <v/>
      </c>
      <c r="T1673" s="81">
        <f>IF(Q1673="Sin Factura",0,IFERROR(_xlfn.XLOOKUP(1, (Facturas_Odoo!$D:$D=A1673) * (Facturas_Odoo!$K:$K=I1673), Facturas_Odoo!$M:$M, 0), 0))</f>
        <v/>
      </c>
      <c r="U1673" s="79">
        <f>IF(Q1673="Sin Factura",0,IFERROR(_xlfn.XLOOKUP(1, (Facturas_Odoo!$D:$D=A1673) * (Facturas_Odoo!$K:$K=I1673), Facturas_Odoo!$N:$N, 0), 0))</f>
        <v/>
      </c>
      <c r="V1673" s="79">
        <f>IF(Q1673="Sin Factura",0,IFERROR(_xlfn.XLOOKUP(1, (Facturas_Odoo!$D:$D=A1673) * (Facturas_Odoo!$K:$K=I1673), Facturas_Odoo!$O:$O, 0), 0))</f>
        <v/>
      </c>
      <c r="W1673" s="81">
        <f>IF(Q1673="Sin Factura",0,IFERROR(_xlfn.XLOOKUP(1, (Facturas_Odoo!$D:$D=A1673) * (Facturas_Odoo!$K:$K=I1673), Facturas_Odoo!$Q:$Q, 0), 0))</f>
        <v/>
      </c>
      <c r="X1673" s="79">
        <f>IF(OR(Q1673="Sin Factura",Q1673=""),"",IFERROR(INDEX(Pagos_Odoo!$B:$B, MATCH(Q1673, Pagos_Odoo!$I:$I, 0)), "Sin Pago"))</f>
        <v/>
      </c>
      <c r="Y1673" s="79">
        <f>IF(X1673="Sin Pago","",IFERROR(INDEX(Pagos_Odoo!$C:$C, MATCH(X1673, Pagos_Odoo!$B:$B, 0)), ""))</f>
        <v/>
      </c>
      <c r="Z1673" s="80">
        <f>IF(X1673="Sin Pago","",IFERROR(INDEX(Pagos_Odoo!$A:$A, MATCH(X1673, Pagos_Odoo!$B:$B, 0)), ""))</f>
        <v/>
      </c>
      <c r="AA1673" s="79">
        <f>IF(X1673="Sin Pago","",IFERROR(INDEX(Pagos_Odoo!$F:$F, MATCH(X1673, Pagos_Odoo!$B:$B, 0)), ""))</f>
        <v/>
      </c>
      <c r="AB1673" s="81">
        <f>IF(X1673="Sin Pago",0,IFERROR(INDEX(Pagos_Odoo!$E:$E, MATCH(X1673, Pagos_Odoo!$B:$B, 0)), 0))</f>
        <v/>
      </c>
      <c r="AC1673" s="79">
        <f>IF(X1673="Sin Pago","",IFERROR(INDEX(Pagos_Odoo!$G:$G, MATCH(X1673, Pagos_Odoo!$B:$B, 0)), ""))</f>
        <v/>
      </c>
      <c r="AD1673" s="82" t="n">
        <v>0</v>
      </c>
      <c r="AE1673" s="82" t="n"/>
      <c r="AF1673" s="82" t="n"/>
      <c r="AG1673" s="82">
        <f>IF(AN1673="","",AD1673+AE1673+AF1673)</f>
        <v/>
      </c>
      <c r="AH1673" s="81">
        <f>IF(AN1673="","",P1673*(1-AG1673))</f>
        <v/>
      </c>
      <c r="AI1673" s="81">
        <f>IF(AN1673="","",IF(Q1673="Sin Factura",0,IFERROR(INDEX(Facturas_Odoo!$H:$H, MATCH(Q1673, Facturas_Odoo!$B:$B, 0)), 0)*(1-AG1673)))</f>
        <v/>
      </c>
      <c r="AJ1673" s="81">
        <f>IF(AN1673="","",_xlfn.LET(idVenta, AN1673&amp;"",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73" s="81">
        <f>IF(AN1673="","",AH1673-AJ1673)</f>
        <v/>
      </c>
      <c r="AL1673" s="81">
        <f>IF(AN1673="","",IF(Q1673="Sin Factura","",AI1673-AJ1673))</f>
        <v/>
      </c>
      <c r="AM1673" s="81">
        <f>IF(AN1673="","",IF(Q1673="Sin Factura",0,P1673-IFERROR(INDEX(Facturas_Odoo!$H:$H, MATCH(Q1673, Facturas_Odoo!$B:$B, 0)), 0)))</f>
        <v/>
      </c>
      <c r="AN1673" s="79">
        <f>IF(AND(A1673="", J1673=""), "", IF(A1673&lt;&gt;"", VALUE(MID(A1673,2,LEN(A1673))), AN1672))</f>
        <v/>
      </c>
      <c r="AO1673" s="79">
        <f>IF(AN1673="","",IF(AD1673=0,"OK",_xlfn.LET(monedaPago, IF(AA1673="","USD",AA1673), limitePermitido, IFERROR(VLOOKUP(monedaPago, Configuración!$A$2:$B$3, 2, FALSE), 0.15), IF(AD1673&gt;limitePermitido, "ALERTA: EXCESO (" &amp; TEXT(limitePermitido, "0%") &amp; " máx)", "OK"))))</f>
        <v/>
      </c>
      <c r="AP1673" s="79">
        <f>IF(AN1673="","",IF(AE1673=0,"OK",_xlfn.LET(fechaPago, Z1673, fechaFactura, R1673, diasCredito, IF(E1673="Pago inmediato", 0, IFERROR(VALUE(MID(E1673, 1, SEARCH(" ", E1673)-1)),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73" s="79">
        <f>IF(AN1673="","",IF(AND(N1673&gt;0, AG1673&gt;0), IF(Configuración!$K$2="NO", "ALERTA: DESCUENTO DOBLE NO PERMITIDO", "OK"), "OK"))</f>
        <v/>
      </c>
      <c r="AR1673" s="79">
        <f>IF(AN1673="","",IF(OR(AO1673&lt;&gt;"OK", AP1673&lt;&gt;"OK", AQ1673&lt;&gt;"OK"), "⚠️ REVISAR", "OK"))</f>
        <v/>
      </c>
    </row>
    <row r="1674">
      <c r="A1674" s="79">
        <f>IF('Ordenes_Odoo'!A1674="","",'Ordenes_Odoo'!A1674)</f>
        <v/>
      </c>
      <c r="B1674" s="80">
        <f>IF('Ordenes_Odoo'!B1674="","",'Ordenes_Odoo'!B1674)</f>
        <v/>
      </c>
      <c r="C1674" s="79">
        <f>IF('Ordenes_Odoo'!C1674="","",'Ordenes_Odoo'!C1674)</f>
        <v/>
      </c>
      <c r="D1674" s="79">
        <f>IF('Ordenes_Odoo'!D1674="","",'Ordenes_Odoo'!D1674)</f>
        <v/>
      </c>
      <c r="E1674" s="79">
        <f>IF('Ordenes_Odoo'!E1674="","",'Ordenes_Odoo'!E1674)</f>
        <v/>
      </c>
      <c r="F1674" s="79">
        <f>IF('Ordenes_Odoo'!F1674="","",'Ordenes_Odoo'!F1674)</f>
        <v/>
      </c>
      <c r="G1674" s="79">
        <f>IF('Ordenes_Odoo'!G1674="","",'Ordenes_Odoo'!G1674)</f>
        <v/>
      </c>
      <c r="H1674" s="79">
        <f>IF('Ordenes_Odoo'!H1674="","",'Ordenes_Odoo'!H1674)</f>
        <v/>
      </c>
      <c r="I1674" s="79">
        <f>IF('Ordenes_Odoo'!I1674="","",'Ordenes_Odoo'!I1674)</f>
        <v/>
      </c>
      <c r="J1674" s="79">
        <f>IF('Ordenes_Odoo'!J1674="","",'Ordenes_Odoo'!J1674)</f>
        <v/>
      </c>
      <c r="K1674" s="81">
        <f>IF('Ordenes_Odoo'!K1674="","",'Ordenes_Odoo'!K1674)</f>
        <v/>
      </c>
      <c r="L1674" s="81">
        <f>IF('Ordenes_Odoo'!L1674="","",'Ordenes_Odoo'!L1674)</f>
        <v/>
      </c>
      <c r="M1674" s="79">
        <f>IF('Ordenes_Odoo'!M1674="","",'Ordenes_Odoo'!M1674)</f>
        <v/>
      </c>
      <c r="N1674" s="79">
        <f>IF('Ordenes_Odoo'!N1674="","",'Ordenes_Odoo'!N1674)</f>
        <v/>
      </c>
      <c r="O1674" s="81">
        <f>IF('Ordenes_Odoo'!O1674="","",'Ordenes_Odoo'!O1674)</f>
        <v/>
      </c>
      <c r="P1674" s="81">
        <f>IF('Ordenes_Odoo'!P1674="","",'Ordenes_Odoo'!P1674)</f>
        <v/>
      </c>
      <c r="Q1674" s="79">
        <f>IF(A1674="","",IFERROR(INDEX(Facturas_Odoo!$B:$B, MATCH(A1674, Facturas_Odoo!$D:$D, 0)), "Sin Factura"))</f>
        <v/>
      </c>
      <c r="R1674" s="80">
        <f>IF(Q1674="Sin Factura","",IFERROR(INDEX(Facturas_Odoo!$A:$A, MATCH(Q1674, Facturas_Odoo!$B:$B, 0)), ""))</f>
        <v/>
      </c>
      <c r="S1674" s="79">
        <f>IF(Q1674="Sin Factura","",IFERROR(_xlfn.XLOOKUP(1, (Facturas_Odoo!$D:$D=A1674) * (Facturas_Odoo!$K:$K=I1674), Facturas_Odoo!$L:$L, ""), ""))</f>
        <v/>
      </c>
      <c r="T1674" s="81">
        <f>IF(Q1674="Sin Factura",0,IFERROR(_xlfn.XLOOKUP(1, (Facturas_Odoo!$D:$D=A1674) * (Facturas_Odoo!$K:$K=I1674), Facturas_Odoo!$M:$M, 0), 0))</f>
        <v/>
      </c>
      <c r="U1674" s="79">
        <f>IF(Q1674="Sin Factura",0,IFERROR(_xlfn.XLOOKUP(1, (Facturas_Odoo!$D:$D=A1674) * (Facturas_Odoo!$K:$K=I1674), Facturas_Odoo!$N:$N, 0), 0))</f>
        <v/>
      </c>
      <c r="V1674" s="79">
        <f>IF(Q1674="Sin Factura",0,IFERROR(_xlfn.XLOOKUP(1, (Facturas_Odoo!$D:$D=A1674) * (Facturas_Odoo!$K:$K=I1674), Facturas_Odoo!$O:$O, 0), 0))</f>
        <v/>
      </c>
      <c r="W1674" s="81">
        <f>IF(Q1674="Sin Factura",0,IFERROR(_xlfn.XLOOKUP(1, (Facturas_Odoo!$D:$D=A1674) * (Facturas_Odoo!$K:$K=I1674), Facturas_Odoo!$Q:$Q, 0), 0))</f>
        <v/>
      </c>
      <c r="X1674" s="79">
        <f>IF(OR(Q1674="Sin Factura",Q1674=""),"",IFERROR(INDEX(Pagos_Odoo!$B:$B, MATCH(Q1674, Pagos_Odoo!$I:$I, 0)), "Sin Pago"))</f>
        <v/>
      </c>
      <c r="Y1674" s="79">
        <f>IF(X1674="Sin Pago","",IFERROR(INDEX(Pagos_Odoo!$C:$C, MATCH(X1674, Pagos_Odoo!$B:$B, 0)), ""))</f>
        <v/>
      </c>
      <c r="Z1674" s="80">
        <f>IF(X1674="Sin Pago","",IFERROR(INDEX(Pagos_Odoo!$A:$A, MATCH(X1674, Pagos_Odoo!$B:$B, 0)), ""))</f>
        <v/>
      </c>
      <c r="AA1674" s="79">
        <f>IF(X1674="Sin Pago","",IFERROR(INDEX(Pagos_Odoo!$F:$F, MATCH(X1674, Pagos_Odoo!$B:$B, 0)), ""))</f>
        <v/>
      </c>
      <c r="AB1674" s="81">
        <f>IF(X1674="Sin Pago",0,IFERROR(INDEX(Pagos_Odoo!$E:$E, MATCH(X1674, Pagos_Odoo!$B:$B, 0)), 0))</f>
        <v/>
      </c>
      <c r="AC1674" s="79">
        <f>IF(X1674="Sin Pago","",IFERROR(INDEX(Pagos_Odoo!$G:$G, MATCH(X1674, Pagos_Odoo!$B:$B, 0)), ""))</f>
        <v/>
      </c>
      <c r="AD1674" s="82" t="n">
        <v>0</v>
      </c>
      <c r="AE1674" s="82" t="n"/>
      <c r="AF1674" s="82" t="n"/>
      <c r="AG1674" s="82">
        <f>IF(AN1674="","",AD1674+AE1674+AF1674)</f>
        <v/>
      </c>
      <c r="AH1674" s="81">
        <f>IF(AN1674="","",P1674*(1-AG1674))</f>
        <v/>
      </c>
      <c r="AI1674" s="81">
        <f>IF(AN1674="","",IF(Q1674="Sin Factura",0,IFERROR(INDEX(Facturas_Odoo!$H:$H, MATCH(Q1674, Facturas_Odoo!$B:$B, 0)), 0)*(1-AG1674)))</f>
        <v/>
      </c>
      <c r="AJ1674" s="81">
        <f>IF(AN1674="","",_xlfn.LET(idVenta, AN1674&amp;"",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74" s="81">
        <f>IF(AN1674="","",AH1674-AJ1674)</f>
        <v/>
      </c>
      <c r="AL1674" s="81">
        <f>IF(AN1674="","",IF(Q1674="Sin Factura","",AI1674-AJ1674))</f>
        <v/>
      </c>
      <c r="AM1674" s="81">
        <f>IF(AN1674="","",IF(Q1674="Sin Factura",0,P1674-IFERROR(INDEX(Facturas_Odoo!$H:$H, MATCH(Q1674, Facturas_Odoo!$B:$B, 0)), 0)))</f>
        <v/>
      </c>
      <c r="AN1674" s="79">
        <f>IF(AND(A1674="", J1674=""), "", IF(A1674&lt;&gt;"", VALUE(MID(A1674,2,LEN(A1674))), AN1673))</f>
        <v/>
      </c>
      <c r="AO1674" s="79">
        <f>IF(AN1674="","",IF(AD1674=0,"OK",_xlfn.LET(monedaPago, IF(AA1674="","USD",AA1674), limitePermitido, IFERROR(VLOOKUP(monedaPago, Configuración!$A$2:$B$3, 2, FALSE), 0.15), IF(AD1674&gt;limitePermitido, "ALERTA: EXCESO (" &amp; TEXT(limitePermitido, "0%") &amp; " máx)", "OK"))))</f>
        <v/>
      </c>
      <c r="AP1674" s="79">
        <f>IF(AN1674="","",IF(AE1674=0,"OK",_xlfn.LET(fechaPago, Z1674, fechaFactura, R1674, diasCredito, IF(E1674="Pago inmediato", 0, IFERROR(VALUE(MID(E1674, 1, SEARCH(" ", E1674)-1)),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74" s="79">
        <f>IF(AN1674="","",IF(AND(N1674&gt;0, AG1674&gt;0), IF(Configuración!$K$2="NO", "ALERTA: DESCUENTO DOBLE NO PERMITIDO", "OK"), "OK"))</f>
        <v/>
      </c>
      <c r="AR1674" s="79">
        <f>IF(AN1674="","",IF(OR(AO1674&lt;&gt;"OK", AP1674&lt;&gt;"OK", AQ1674&lt;&gt;"OK"), "⚠️ REVISAR", "OK"))</f>
        <v/>
      </c>
    </row>
    <row r="1675">
      <c r="A1675" s="79">
        <f>IF('Ordenes_Odoo'!A1675="","",'Ordenes_Odoo'!A1675)</f>
        <v/>
      </c>
      <c r="B1675" s="80">
        <f>IF('Ordenes_Odoo'!B1675="","",'Ordenes_Odoo'!B1675)</f>
        <v/>
      </c>
      <c r="C1675" s="79">
        <f>IF('Ordenes_Odoo'!C1675="","",'Ordenes_Odoo'!C1675)</f>
        <v/>
      </c>
      <c r="D1675" s="79">
        <f>IF('Ordenes_Odoo'!D1675="","",'Ordenes_Odoo'!D1675)</f>
        <v/>
      </c>
      <c r="E1675" s="79">
        <f>IF('Ordenes_Odoo'!E1675="","",'Ordenes_Odoo'!E1675)</f>
        <v/>
      </c>
      <c r="F1675" s="79">
        <f>IF('Ordenes_Odoo'!F1675="","",'Ordenes_Odoo'!F1675)</f>
        <v/>
      </c>
      <c r="G1675" s="79">
        <f>IF('Ordenes_Odoo'!G1675="","",'Ordenes_Odoo'!G1675)</f>
        <v/>
      </c>
      <c r="H1675" s="79">
        <f>IF('Ordenes_Odoo'!H1675="","",'Ordenes_Odoo'!H1675)</f>
        <v/>
      </c>
      <c r="I1675" s="79">
        <f>IF('Ordenes_Odoo'!I1675="","",'Ordenes_Odoo'!I1675)</f>
        <v/>
      </c>
      <c r="J1675" s="79">
        <f>IF('Ordenes_Odoo'!J1675="","",'Ordenes_Odoo'!J1675)</f>
        <v/>
      </c>
      <c r="K1675" s="81">
        <f>IF('Ordenes_Odoo'!K1675="","",'Ordenes_Odoo'!K1675)</f>
        <v/>
      </c>
      <c r="L1675" s="81">
        <f>IF('Ordenes_Odoo'!L1675="","",'Ordenes_Odoo'!L1675)</f>
        <v/>
      </c>
      <c r="M1675" s="79">
        <f>IF('Ordenes_Odoo'!M1675="","",'Ordenes_Odoo'!M1675)</f>
        <v/>
      </c>
      <c r="N1675" s="79">
        <f>IF('Ordenes_Odoo'!N1675="","",'Ordenes_Odoo'!N1675)</f>
        <v/>
      </c>
      <c r="O1675" s="81">
        <f>IF('Ordenes_Odoo'!O1675="","",'Ordenes_Odoo'!O1675)</f>
        <v/>
      </c>
      <c r="P1675" s="81">
        <f>IF('Ordenes_Odoo'!P1675="","",'Ordenes_Odoo'!P1675)</f>
        <v/>
      </c>
      <c r="Q1675" s="79">
        <f>IF(A1675="","",IFERROR(INDEX(Facturas_Odoo!$B:$B, MATCH(A1675, Facturas_Odoo!$D:$D, 0)), "Sin Factura"))</f>
        <v/>
      </c>
      <c r="R1675" s="80">
        <f>IF(Q1675="Sin Factura","",IFERROR(INDEX(Facturas_Odoo!$A:$A, MATCH(Q1675, Facturas_Odoo!$B:$B, 0)), ""))</f>
        <v/>
      </c>
      <c r="S1675" s="79">
        <f>IF(Q1675="Sin Factura","",IFERROR(_xlfn.XLOOKUP(1, (Facturas_Odoo!$D:$D=A1675) * (Facturas_Odoo!$K:$K=I1675), Facturas_Odoo!$L:$L, ""), ""))</f>
        <v/>
      </c>
      <c r="T1675" s="81">
        <f>IF(Q1675="Sin Factura",0,IFERROR(_xlfn.XLOOKUP(1, (Facturas_Odoo!$D:$D=A1675) * (Facturas_Odoo!$K:$K=I1675), Facturas_Odoo!$M:$M, 0), 0))</f>
        <v/>
      </c>
      <c r="U1675" s="79">
        <f>IF(Q1675="Sin Factura",0,IFERROR(_xlfn.XLOOKUP(1, (Facturas_Odoo!$D:$D=A1675) * (Facturas_Odoo!$K:$K=I1675), Facturas_Odoo!$N:$N, 0), 0))</f>
        <v/>
      </c>
      <c r="V1675" s="79">
        <f>IF(Q1675="Sin Factura",0,IFERROR(_xlfn.XLOOKUP(1, (Facturas_Odoo!$D:$D=A1675) * (Facturas_Odoo!$K:$K=I1675), Facturas_Odoo!$O:$O, 0), 0))</f>
        <v/>
      </c>
      <c r="W1675" s="81">
        <f>IF(Q1675="Sin Factura",0,IFERROR(_xlfn.XLOOKUP(1, (Facturas_Odoo!$D:$D=A1675) * (Facturas_Odoo!$K:$K=I1675), Facturas_Odoo!$Q:$Q, 0), 0))</f>
        <v/>
      </c>
      <c r="X1675" s="79">
        <f>IF(OR(Q1675="Sin Factura",Q1675=""),"",IFERROR(INDEX(Pagos_Odoo!$B:$B, MATCH(Q1675, Pagos_Odoo!$I:$I, 0)), "Sin Pago"))</f>
        <v/>
      </c>
      <c r="Y1675" s="79">
        <f>IF(X1675="Sin Pago","",IFERROR(INDEX(Pagos_Odoo!$C:$C, MATCH(X1675, Pagos_Odoo!$B:$B, 0)), ""))</f>
        <v/>
      </c>
      <c r="Z1675" s="80">
        <f>IF(X1675="Sin Pago","",IFERROR(INDEX(Pagos_Odoo!$A:$A, MATCH(X1675, Pagos_Odoo!$B:$B, 0)), ""))</f>
        <v/>
      </c>
      <c r="AA1675" s="79">
        <f>IF(X1675="Sin Pago","",IFERROR(INDEX(Pagos_Odoo!$F:$F, MATCH(X1675, Pagos_Odoo!$B:$B, 0)), ""))</f>
        <v/>
      </c>
      <c r="AB1675" s="81">
        <f>IF(X1675="Sin Pago",0,IFERROR(INDEX(Pagos_Odoo!$E:$E, MATCH(X1675, Pagos_Odoo!$B:$B, 0)), 0))</f>
        <v/>
      </c>
      <c r="AC1675" s="79">
        <f>IF(X1675="Sin Pago","",IFERROR(INDEX(Pagos_Odoo!$G:$G, MATCH(X1675, Pagos_Odoo!$B:$B, 0)), ""))</f>
        <v/>
      </c>
      <c r="AD1675" s="82" t="n">
        <v>0</v>
      </c>
      <c r="AE1675" s="82" t="n"/>
      <c r="AF1675" s="82" t="n"/>
      <c r="AG1675" s="82">
        <f>IF(AN1675="","",AD1675+AE1675+AF1675)</f>
        <v/>
      </c>
      <c r="AH1675" s="81">
        <f>IF(AN1675="","",P1675*(1-AG1675))</f>
        <v/>
      </c>
      <c r="AI1675" s="81">
        <f>IF(AN1675="","",IF(Q1675="Sin Factura",0,IFERROR(INDEX(Facturas_Odoo!$H:$H, MATCH(Q1675, Facturas_Odoo!$B:$B, 0)), 0)*(1-AG1675)))</f>
        <v/>
      </c>
      <c r="AJ1675" s="81">
        <f>IF(AN1675="","",_xlfn.LET(idVenta, AN1675&amp;"",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75" s="81">
        <f>IF(AN1675="","",AH1675-AJ1675)</f>
        <v/>
      </c>
      <c r="AL1675" s="81">
        <f>IF(AN1675="","",IF(Q1675="Sin Factura","",AI1675-AJ1675))</f>
        <v/>
      </c>
      <c r="AM1675" s="81">
        <f>IF(AN1675="","",IF(Q1675="Sin Factura",0,P1675-IFERROR(INDEX(Facturas_Odoo!$H:$H, MATCH(Q1675, Facturas_Odoo!$B:$B, 0)), 0)))</f>
        <v/>
      </c>
      <c r="AN1675" s="79">
        <f>IF(AND(A1675="", J1675=""), "", IF(A1675&lt;&gt;"", VALUE(MID(A1675,2,LEN(A1675))), AN1674))</f>
        <v/>
      </c>
      <c r="AO1675" s="79">
        <f>IF(AN1675="","",IF(AD1675=0,"OK",_xlfn.LET(monedaPago, IF(AA1675="","USD",AA1675), limitePermitido, IFERROR(VLOOKUP(monedaPago, Configuración!$A$2:$B$3, 2, FALSE), 0.15), IF(AD1675&gt;limitePermitido, "ALERTA: EXCESO (" &amp; TEXT(limitePermitido, "0%") &amp; " máx)", "OK"))))</f>
        <v/>
      </c>
      <c r="AP1675" s="79">
        <f>IF(AN1675="","",IF(AE1675=0,"OK",_xlfn.LET(fechaPago, Z1675, fechaFactura, R1675, diasCredito, IF(E1675="Pago inmediato", 0, IFERROR(VALUE(MID(E1675, 1, SEARCH(" ", E1675)-1)),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75" s="79">
        <f>IF(AN1675="","",IF(AND(N1675&gt;0, AG1675&gt;0), IF(Configuración!$K$2="NO", "ALERTA: DESCUENTO DOBLE NO PERMITIDO", "OK"), "OK"))</f>
        <v/>
      </c>
      <c r="AR1675" s="79">
        <f>IF(AN1675="","",IF(OR(AO1675&lt;&gt;"OK", AP1675&lt;&gt;"OK", AQ1675&lt;&gt;"OK"), "⚠️ REVISAR", "OK"))</f>
        <v/>
      </c>
    </row>
    <row r="1676">
      <c r="A1676" s="79">
        <f>IF('Ordenes_Odoo'!A1676="","",'Ordenes_Odoo'!A1676)</f>
        <v/>
      </c>
      <c r="B1676" s="80">
        <f>IF('Ordenes_Odoo'!B1676="","",'Ordenes_Odoo'!B1676)</f>
        <v/>
      </c>
      <c r="C1676" s="79">
        <f>IF('Ordenes_Odoo'!C1676="","",'Ordenes_Odoo'!C1676)</f>
        <v/>
      </c>
      <c r="D1676" s="79">
        <f>IF('Ordenes_Odoo'!D1676="","",'Ordenes_Odoo'!D1676)</f>
        <v/>
      </c>
      <c r="E1676" s="79">
        <f>IF('Ordenes_Odoo'!E1676="","",'Ordenes_Odoo'!E1676)</f>
        <v/>
      </c>
      <c r="F1676" s="79">
        <f>IF('Ordenes_Odoo'!F1676="","",'Ordenes_Odoo'!F1676)</f>
        <v/>
      </c>
      <c r="G1676" s="79">
        <f>IF('Ordenes_Odoo'!G1676="","",'Ordenes_Odoo'!G1676)</f>
        <v/>
      </c>
      <c r="H1676" s="79">
        <f>IF('Ordenes_Odoo'!H1676="","",'Ordenes_Odoo'!H1676)</f>
        <v/>
      </c>
      <c r="I1676" s="79">
        <f>IF('Ordenes_Odoo'!I1676="","",'Ordenes_Odoo'!I1676)</f>
        <v/>
      </c>
      <c r="J1676" s="79">
        <f>IF('Ordenes_Odoo'!J1676="","",'Ordenes_Odoo'!J1676)</f>
        <v/>
      </c>
      <c r="K1676" s="81">
        <f>IF('Ordenes_Odoo'!K1676="","",'Ordenes_Odoo'!K1676)</f>
        <v/>
      </c>
      <c r="L1676" s="81">
        <f>IF('Ordenes_Odoo'!L1676="","",'Ordenes_Odoo'!L1676)</f>
        <v/>
      </c>
      <c r="M1676" s="79">
        <f>IF('Ordenes_Odoo'!M1676="","",'Ordenes_Odoo'!M1676)</f>
        <v/>
      </c>
      <c r="N1676" s="79">
        <f>IF('Ordenes_Odoo'!N1676="","",'Ordenes_Odoo'!N1676)</f>
        <v/>
      </c>
      <c r="O1676" s="81">
        <f>IF('Ordenes_Odoo'!O1676="","",'Ordenes_Odoo'!O1676)</f>
        <v/>
      </c>
      <c r="P1676" s="81">
        <f>IF('Ordenes_Odoo'!P1676="","",'Ordenes_Odoo'!P1676)</f>
        <v/>
      </c>
      <c r="Q1676" s="79">
        <f>IF(A1676="","",IFERROR(INDEX(Facturas_Odoo!$B:$B, MATCH(A1676, Facturas_Odoo!$D:$D, 0)), "Sin Factura"))</f>
        <v/>
      </c>
      <c r="R1676" s="80">
        <f>IF(Q1676="Sin Factura","",IFERROR(INDEX(Facturas_Odoo!$A:$A, MATCH(Q1676, Facturas_Odoo!$B:$B, 0)), ""))</f>
        <v/>
      </c>
      <c r="S1676" s="79">
        <f>IF(Q1676="Sin Factura","",IFERROR(_xlfn.XLOOKUP(1, (Facturas_Odoo!$D:$D=A1676) * (Facturas_Odoo!$K:$K=I1676), Facturas_Odoo!$L:$L, ""), ""))</f>
        <v/>
      </c>
      <c r="T1676" s="81">
        <f>IF(Q1676="Sin Factura",0,IFERROR(_xlfn.XLOOKUP(1, (Facturas_Odoo!$D:$D=A1676) * (Facturas_Odoo!$K:$K=I1676), Facturas_Odoo!$M:$M, 0), 0))</f>
        <v/>
      </c>
      <c r="U1676" s="79">
        <f>IF(Q1676="Sin Factura",0,IFERROR(_xlfn.XLOOKUP(1, (Facturas_Odoo!$D:$D=A1676) * (Facturas_Odoo!$K:$K=I1676), Facturas_Odoo!$N:$N, 0), 0))</f>
        <v/>
      </c>
      <c r="V1676" s="79">
        <f>IF(Q1676="Sin Factura",0,IFERROR(_xlfn.XLOOKUP(1, (Facturas_Odoo!$D:$D=A1676) * (Facturas_Odoo!$K:$K=I1676), Facturas_Odoo!$O:$O, 0), 0))</f>
        <v/>
      </c>
      <c r="W1676" s="81">
        <f>IF(Q1676="Sin Factura",0,IFERROR(_xlfn.XLOOKUP(1, (Facturas_Odoo!$D:$D=A1676) * (Facturas_Odoo!$K:$K=I1676), Facturas_Odoo!$Q:$Q, 0), 0))</f>
        <v/>
      </c>
      <c r="X1676" s="79">
        <f>IF(OR(Q1676="Sin Factura",Q1676=""),"",IFERROR(INDEX(Pagos_Odoo!$B:$B, MATCH(Q1676, Pagos_Odoo!$I:$I, 0)), "Sin Pago"))</f>
        <v/>
      </c>
      <c r="Y1676" s="79">
        <f>IF(X1676="Sin Pago","",IFERROR(INDEX(Pagos_Odoo!$C:$C, MATCH(X1676, Pagos_Odoo!$B:$B, 0)), ""))</f>
        <v/>
      </c>
      <c r="Z1676" s="80">
        <f>IF(X1676="Sin Pago","",IFERROR(INDEX(Pagos_Odoo!$A:$A, MATCH(X1676, Pagos_Odoo!$B:$B, 0)), ""))</f>
        <v/>
      </c>
      <c r="AA1676" s="79">
        <f>IF(X1676="Sin Pago","",IFERROR(INDEX(Pagos_Odoo!$F:$F, MATCH(X1676, Pagos_Odoo!$B:$B, 0)), ""))</f>
        <v/>
      </c>
      <c r="AB1676" s="81">
        <f>IF(X1676="Sin Pago",0,IFERROR(INDEX(Pagos_Odoo!$E:$E, MATCH(X1676, Pagos_Odoo!$B:$B, 0)), 0))</f>
        <v/>
      </c>
      <c r="AC1676" s="79">
        <f>IF(X1676="Sin Pago","",IFERROR(INDEX(Pagos_Odoo!$G:$G, MATCH(X1676, Pagos_Odoo!$B:$B, 0)), ""))</f>
        <v/>
      </c>
      <c r="AD1676" s="82" t="n">
        <v>0</v>
      </c>
      <c r="AE1676" s="82" t="n"/>
      <c r="AF1676" s="82" t="n"/>
      <c r="AG1676" s="82">
        <f>IF(AN1676="","",AD1676+AE1676+AF1676)</f>
        <v/>
      </c>
      <c r="AH1676" s="81">
        <f>IF(AN1676="","",P1676*(1-AG1676))</f>
        <v/>
      </c>
      <c r="AI1676" s="81">
        <f>IF(AN1676="","",IF(Q1676="Sin Factura",0,IFERROR(INDEX(Facturas_Odoo!$H:$H, MATCH(Q1676, Facturas_Odoo!$B:$B, 0)), 0)*(1-AG1676)))</f>
        <v/>
      </c>
      <c r="AJ1676" s="81">
        <f>IF(AN1676="","",_xlfn.LET(idVenta, AN1676&amp;"",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76" s="81">
        <f>IF(AN1676="","",AH1676-AJ1676)</f>
        <v/>
      </c>
      <c r="AL1676" s="81">
        <f>IF(AN1676="","",IF(Q1676="Sin Factura","",AI1676-AJ1676))</f>
        <v/>
      </c>
      <c r="AM1676" s="81">
        <f>IF(AN1676="","",IF(Q1676="Sin Factura",0,P1676-IFERROR(INDEX(Facturas_Odoo!$H:$H, MATCH(Q1676, Facturas_Odoo!$B:$B, 0)), 0)))</f>
        <v/>
      </c>
      <c r="AN1676" s="79">
        <f>IF(AND(A1676="", J1676=""), "", IF(A1676&lt;&gt;"", VALUE(MID(A1676,2,LEN(A1676))), AN1675))</f>
        <v/>
      </c>
      <c r="AO1676" s="79">
        <f>IF(AN1676="","",IF(AD1676=0,"OK",_xlfn.LET(monedaPago, IF(AA1676="","USD",AA1676), limitePermitido, IFERROR(VLOOKUP(monedaPago, Configuración!$A$2:$B$3, 2, FALSE), 0.15), IF(AD1676&gt;limitePermitido, "ALERTA: EXCESO (" &amp; TEXT(limitePermitido, "0%") &amp; " máx)", "OK"))))</f>
        <v/>
      </c>
      <c r="AP1676" s="79">
        <f>IF(AN1676="","",IF(AE1676=0,"OK",_xlfn.LET(fechaPago, Z1676, fechaFactura, R1676, diasCredito, IF(E1676="Pago inmediato", 0, IFERROR(VALUE(MID(E1676, 1, SEARCH(" ", E1676)-1)),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76" s="79">
        <f>IF(AN1676="","",IF(AND(N1676&gt;0, AG1676&gt;0), IF(Configuración!$K$2="NO", "ALERTA: DESCUENTO DOBLE NO PERMITIDO", "OK"), "OK"))</f>
        <v/>
      </c>
      <c r="AR1676" s="79">
        <f>IF(AN1676="","",IF(OR(AO1676&lt;&gt;"OK", AP1676&lt;&gt;"OK", AQ1676&lt;&gt;"OK"), "⚠️ REVISAR", "OK"))</f>
        <v/>
      </c>
    </row>
    <row r="1677">
      <c r="A1677" s="79">
        <f>IF('Ordenes_Odoo'!A1677="","",'Ordenes_Odoo'!A1677)</f>
        <v/>
      </c>
      <c r="B1677" s="80">
        <f>IF('Ordenes_Odoo'!B1677="","",'Ordenes_Odoo'!B1677)</f>
        <v/>
      </c>
      <c r="C1677" s="79">
        <f>IF('Ordenes_Odoo'!C1677="","",'Ordenes_Odoo'!C1677)</f>
        <v/>
      </c>
      <c r="D1677" s="79">
        <f>IF('Ordenes_Odoo'!D1677="","",'Ordenes_Odoo'!D1677)</f>
        <v/>
      </c>
      <c r="E1677" s="79">
        <f>IF('Ordenes_Odoo'!E1677="","",'Ordenes_Odoo'!E1677)</f>
        <v/>
      </c>
      <c r="F1677" s="79">
        <f>IF('Ordenes_Odoo'!F1677="","",'Ordenes_Odoo'!F1677)</f>
        <v/>
      </c>
      <c r="G1677" s="79">
        <f>IF('Ordenes_Odoo'!G1677="","",'Ordenes_Odoo'!G1677)</f>
        <v/>
      </c>
      <c r="H1677" s="79">
        <f>IF('Ordenes_Odoo'!H1677="","",'Ordenes_Odoo'!H1677)</f>
        <v/>
      </c>
      <c r="I1677" s="79">
        <f>IF('Ordenes_Odoo'!I1677="","",'Ordenes_Odoo'!I1677)</f>
        <v/>
      </c>
      <c r="J1677" s="79">
        <f>IF('Ordenes_Odoo'!J1677="","",'Ordenes_Odoo'!J1677)</f>
        <v/>
      </c>
      <c r="K1677" s="81">
        <f>IF('Ordenes_Odoo'!K1677="","",'Ordenes_Odoo'!K1677)</f>
        <v/>
      </c>
      <c r="L1677" s="81">
        <f>IF('Ordenes_Odoo'!L1677="","",'Ordenes_Odoo'!L1677)</f>
        <v/>
      </c>
      <c r="M1677" s="79">
        <f>IF('Ordenes_Odoo'!M1677="","",'Ordenes_Odoo'!M1677)</f>
        <v/>
      </c>
      <c r="N1677" s="79">
        <f>IF('Ordenes_Odoo'!N1677="","",'Ordenes_Odoo'!N1677)</f>
        <v/>
      </c>
      <c r="O1677" s="81">
        <f>IF('Ordenes_Odoo'!O1677="","",'Ordenes_Odoo'!O1677)</f>
        <v/>
      </c>
      <c r="P1677" s="81">
        <f>IF('Ordenes_Odoo'!P1677="","",'Ordenes_Odoo'!P1677)</f>
        <v/>
      </c>
      <c r="Q1677" s="79">
        <f>IF(A1677="","",IFERROR(INDEX(Facturas_Odoo!$B:$B, MATCH(A1677, Facturas_Odoo!$D:$D, 0)), "Sin Factura"))</f>
        <v/>
      </c>
      <c r="R1677" s="80">
        <f>IF(Q1677="Sin Factura","",IFERROR(INDEX(Facturas_Odoo!$A:$A, MATCH(Q1677, Facturas_Odoo!$B:$B, 0)), ""))</f>
        <v/>
      </c>
      <c r="S1677" s="79">
        <f>IF(Q1677="Sin Factura","",IFERROR(_xlfn.XLOOKUP(1, (Facturas_Odoo!$D:$D=A1677) * (Facturas_Odoo!$K:$K=I1677), Facturas_Odoo!$L:$L, ""), ""))</f>
        <v/>
      </c>
      <c r="T1677" s="81">
        <f>IF(Q1677="Sin Factura",0,IFERROR(_xlfn.XLOOKUP(1, (Facturas_Odoo!$D:$D=A1677) * (Facturas_Odoo!$K:$K=I1677), Facturas_Odoo!$M:$M, 0), 0))</f>
        <v/>
      </c>
      <c r="U1677" s="79">
        <f>IF(Q1677="Sin Factura",0,IFERROR(_xlfn.XLOOKUP(1, (Facturas_Odoo!$D:$D=A1677) * (Facturas_Odoo!$K:$K=I1677), Facturas_Odoo!$N:$N, 0), 0))</f>
        <v/>
      </c>
      <c r="V1677" s="79">
        <f>IF(Q1677="Sin Factura",0,IFERROR(_xlfn.XLOOKUP(1, (Facturas_Odoo!$D:$D=A1677) * (Facturas_Odoo!$K:$K=I1677), Facturas_Odoo!$O:$O, 0), 0))</f>
        <v/>
      </c>
      <c r="W1677" s="81">
        <f>IF(Q1677="Sin Factura",0,IFERROR(_xlfn.XLOOKUP(1, (Facturas_Odoo!$D:$D=A1677) * (Facturas_Odoo!$K:$K=I1677), Facturas_Odoo!$Q:$Q, 0), 0))</f>
        <v/>
      </c>
      <c r="X1677" s="79">
        <f>IF(OR(Q1677="Sin Factura",Q1677=""),"",IFERROR(INDEX(Pagos_Odoo!$B:$B, MATCH(Q1677, Pagos_Odoo!$I:$I, 0)), "Sin Pago"))</f>
        <v/>
      </c>
      <c r="Y1677" s="79">
        <f>IF(X1677="Sin Pago","",IFERROR(INDEX(Pagos_Odoo!$C:$C, MATCH(X1677, Pagos_Odoo!$B:$B, 0)), ""))</f>
        <v/>
      </c>
      <c r="Z1677" s="80">
        <f>IF(X1677="Sin Pago","",IFERROR(INDEX(Pagos_Odoo!$A:$A, MATCH(X1677, Pagos_Odoo!$B:$B, 0)), ""))</f>
        <v/>
      </c>
      <c r="AA1677" s="79">
        <f>IF(X1677="Sin Pago","",IFERROR(INDEX(Pagos_Odoo!$F:$F, MATCH(X1677, Pagos_Odoo!$B:$B, 0)), ""))</f>
        <v/>
      </c>
      <c r="AB1677" s="81">
        <f>IF(X1677="Sin Pago",0,IFERROR(INDEX(Pagos_Odoo!$E:$E, MATCH(X1677, Pagos_Odoo!$B:$B, 0)), 0))</f>
        <v/>
      </c>
      <c r="AC1677" s="79">
        <f>IF(X1677="Sin Pago","",IFERROR(INDEX(Pagos_Odoo!$G:$G, MATCH(X1677, Pagos_Odoo!$B:$B, 0)), ""))</f>
        <v/>
      </c>
      <c r="AD1677" s="82" t="n">
        <v>0</v>
      </c>
      <c r="AE1677" s="82" t="n"/>
      <c r="AF1677" s="82" t="n"/>
      <c r="AG1677" s="82">
        <f>IF(AN1677="","",AD1677+AE1677+AF1677)</f>
        <v/>
      </c>
      <c r="AH1677" s="81">
        <f>IF(AN1677="","",P1677*(1-AG1677))</f>
        <v/>
      </c>
      <c r="AI1677" s="81">
        <f>IF(AN1677="","",IF(Q1677="Sin Factura",0,IFERROR(INDEX(Facturas_Odoo!$H:$H, MATCH(Q1677, Facturas_Odoo!$B:$B, 0)), 0)*(1-AG1677)))</f>
        <v/>
      </c>
      <c r="AJ1677" s="81">
        <f>IF(AN1677="","",_xlfn.LET(idVenta, AN1677&amp;"",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77" s="81">
        <f>IF(AN1677="","",AH1677-AJ1677)</f>
        <v/>
      </c>
      <c r="AL1677" s="81">
        <f>IF(AN1677="","",IF(Q1677="Sin Factura","",AI1677-AJ1677))</f>
        <v/>
      </c>
      <c r="AM1677" s="81">
        <f>IF(AN1677="","",IF(Q1677="Sin Factura",0,P1677-IFERROR(INDEX(Facturas_Odoo!$H:$H, MATCH(Q1677, Facturas_Odoo!$B:$B, 0)), 0)))</f>
        <v/>
      </c>
      <c r="AN1677" s="79">
        <f>IF(AND(A1677="", J1677=""), "", IF(A1677&lt;&gt;"", VALUE(MID(A1677,2,LEN(A1677))), AN1676))</f>
        <v/>
      </c>
      <c r="AO1677" s="79">
        <f>IF(AN1677="","",IF(AD1677=0,"OK",_xlfn.LET(monedaPago, IF(AA1677="","USD",AA1677), limitePermitido, IFERROR(VLOOKUP(monedaPago, Configuración!$A$2:$B$3, 2, FALSE), 0.15), IF(AD1677&gt;limitePermitido, "ALERTA: EXCESO (" &amp; TEXT(limitePermitido, "0%") &amp; " máx)", "OK"))))</f>
        <v/>
      </c>
      <c r="AP1677" s="79">
        <f>IF(AN1677="","",IF(AE1677=0,"OK",_xlfn.LET(fechaPago, Z1677, fechaFactura, R1677, diasCredito, IF(E1677="Pago inmediato", 0, IFERROR(VALUE(MID(E1677, 1, SEARCH(" ", E1677)-1)),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77" s="79">
        <f>IF(AN1677="","",IF(AND(N1677&gt;0, AG1677&gt;0), IF(Configuración!$K$2="NO", "ALERTA: DESCUENTO DOBLE NO PERMITIDO", "OK"), "OK"))</f>
        <v/>
      </c>
      <c r="AR1677" s="79">
        <f>IF(AN1677="","",IF(OR(AO1677&lt;&gt;"OK", AP1677&lt;&gt;"OK", AQ1677&lt;&gt;"OK"), "⚠️ REVISAR", "OK"))</f>
        <v/>
      </c>
    </row>
    <row r="1678">
      <c r="A1678" s="79">
        <f>IF('Ordenes_Odoo'!A1678="","",'Ordenes_Odoo'!A1678)</f>
        <v/>
      </c>
      <c r="B1678" s="80">
        <f>IF('Ordenes_Odoo'!B1678="","",'Ordenes_Odoo'!B1678)</f>
        <v/>
      </c>
      <c r="C1678" s="79">
        <f>IF('Ordenes_Odoo'!C1678="","",'Ordenes_Odoo'!C1678)</f>
        <v/>
      </c>
      <c r="D1678" s="79">
        <f>IF('Ordenes_Odoo'!D1678="","",'Ordenes_Odoo'!D1678)</f>
        <v/>
      </c>
      <c r="E1678" s="79">
        <f>IF('Ordenes_Odoo'!E1678="","",'Ordenes_Odoo'!E1678)</f>
        <v/>
      </c>
      <c r="F1678" s="79">
        <f>IF('Ordenes_Odoo'!F1678="","",'Ordenes_Odoo'!F1678)</f>
        <v/>
      </c>
      <c r="G1678" s="79">
        <f>IF('Ordenes_Odoo'!G1678="","",'Ordenes_Odoo'!G1678)</f>
        <v/>
      </c>
      <c r="H1678" s="79">
        <f>IF('Ordenes_Odoo'!H1678="","",'Ordenes_Odoo'!H1678)</f>
        <v/>
      </c>
      <c r="I1678" s="79">
        <f>IF('Ordenes_Odoo'!I1678="","",'Ordenes_Odoo'!I1678)</f>
        <v/>
      </c>
      <c r="J1678" s="79">
        <f>IF('Ordenes_Odoo'!J1678="","",'Ordenes_Odoo'!J1678)</f>
        <v/>
      </c>
      <c r="K1678" s="81">
        <f>IF('Ordenes_Odoo'!K1678="","",'Ordenes_Odoo'!K1678)</f>
        <v/>
      </c>
      <c r="L1678" s="81">
        <f>IF('Ordenes_Odoo'!L1678="","",'Ordenes_Odoo'!L1678)</f>
        <v/>
      </c>
      <c r="M1678" s="79">
        <f>IF('Ordenes_Odoo'!M1678="","",'Ordenes_Odoo'!M1678)</f>
        <v/>
      </c>
      <c r="N1678" s="79">
        <f>IF('Ordenes_Odoo'!N1678="","",'Ordenes_Odoo'!N1678)</f>
        <v/>
      </c>
      <c r="O1678" s="81">
        <f>IF('Ordenes_Odoo'!O1678="","",'Ordenes_Odoo'!O1678)</f>
        <v/>
      </c>
      <c r="P1678" s="81">
        <f>IF('Ordenes_Odoo'!P1678="","",'Ordenes_Odoo'!P1678)</f>
        <v/>
      </c>
      <c r="Q1678" s="79">
        <f>IF(A1678="","",IFERROR(INDEX(Facturas_Odoo!$B:$B, MATCH(A1678, Facturas_Odoo!$D:$D, 0)), "Sin Factura"))</f>
        <v/>
      </c>
      <c r="R1678" s="80">
        <f>IF(Q1678="Sin Factura","",IFERROR(INDEX(Facturas_Odoo!$A:$A, MATCH(Q1678, Facturas_Odoo!$B:$B, 0)), ""))</f>
        <v/>
      </c>
      <c r="S1678" s="79">
        <f>IF(Q1678="Sin Factura","",IFERROR(_xlfn.XLOOKUP(1, (Facturas_Odoo!$D:$D=A1678) * (Facturas_Odoo!$K:$K=I1678), Facturas_Odoo!$L:$L, ""), ""))</f>
        <v/>
      </c>
      <c r="T1678" s="81">
        <f>IF(Q1678="Sin Factura",0,IFERROR(_xlfn.XLOOKUP(1, (Facturas_Odoo!$D:$D=A1678) * (Facturas_Odoo!$K:$K=I1678), Facturas_Odoo!$M:$M, 0), 0))</f>
        <v/>
      </c>
      <c r="U1678" s="79">
        <f>IF(Q1678="Sin Factura",0,IFERROR(_xlfn.XLOOKUP(1, (Facturas_Odoo!$D:$D=A1678) * (Facturas_Odoo!$K:$K=I1678), Facturas_Odoo!$N:$N, 0), 0))</f>
        <v/>
      </c>
      <c r="V1678" s="79">
        <f>IF(Q1678="Sin Factura",0,IFERROR(_xlfn.XLOOKUP(1, (Facturas_Odoo!$D:$D=A1678) * (Facturas_Odoo!$K:$K=I1678), Facturas_Odoo!$O:$O, 0), 0))</f>
        <v/>
      </c>
      <c r="W1678" s="81">
        <f>IF(Q1678="Sin Factura",0,IFERROR(_xlfn.XLOOKUP(1, (Facturas_Odoo!$D:$D=A1678) * (Facturas_Odoo!$K:$K=I1678), Facturas_Odoo!$Q:$Q, 0), 0))</f>
        <v/>
      </c>
      <c r="X1678" s="79">
        <f>IF(OR(Q1678="Sin Factura",Q1678=""),"",IFERROR(INDEX(Pagos_Odoo!$B:$B, MATCH(Q1678, Pagos_Odoo!$I:$I, 0)), "Sin Pago"))</f>
        <v/>
      </c>
      <c r="Y1678" s="79">
        <f>IF(X1678="Sin Pago","",IFERROR(INDEX(Pagos_Odoo!$C:$C, MATCH(X1678, Pagos_Odoo!$B:$B, 0)), ""))</f>
        <v/>
      </c>
      <c r="Z1678" s="80">
        <f>IF(X1678="Sin Pago","",IFERROR(INDEX(Pagos_Odoo!$A:$A, MATCH(X1678, Pagos_Odoo!$B:$B, 0)), ""))</f>
        <v/>
      </c>
      <c r="AA1678" s="79">
        <f>IF(X1678="Sin Pago","",IFERROR(INDEX(Pagos_Odoo!$F:$F, MATCH(X1678, Pagos_Odoo!$B:$B, 0)), ""))</f>
        <v/>
      </c>
      <c r="AB1678" s="81">
        <f>IF(X1678="Sin Pago",0,IFERROR(INDEX(Pagos_Odoo!$E:$E, MATCH(X1678, Pagos_Odoo!$B:$B, 0)), 0))</f>
        <v/>
      </c>
      <c r="AC1678" s="79">
        <f>IF(X1678="Sin Pago","",IFERROR(INDEX(Pagos_Odoo!$G:$G, MATCH(X1678, Pagos_Odoo!$B:$B, 0)), ""))</f>
        <v/>
      </c>
      <c r="AD1678" s="82" t="n">
        <v>0</v>
      </c>
      <c r="AE1678" s="82" t="n"/>
      <c r="AF1678" s="82" t="n"/>
      <c r="AG1678" s="82">
        <f>IF(AN1678="","",AD1678+AE1678+AF1678)</f>
        <v/>
      </c>
      <c r="AH1678" s="81">
        <f>IF(AN1678="","",P1678*(1-AG1678))</f>
        <v/>
      </c>
      <c r="AI1678" s="81">
        <f>IF(AN1678="","",IF(Q1678="Sin Factura",0,IFERROR(INDEX(Facturas_Odoo!$H:$H, MATCH(Q1678, Facturas_Odoo!$B:$B, 0)), 0)*(1-AG1678)))</f>
        <v/>
      </c>
      <c r="AJ1678" s="81">
        <f>IF(AN1678="","",_xlfn.LET(idVenta, AN1678&amp;"",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78" s="81">
        <f>IF(AN1678="","",AH1678-AJ1678)</f>
        <v/>
      </c>
      <c r="AL1678" s="81">
        <f>IF(AN1678="","",IF(Q1678="Sin Factura","",AI1678-AJ1678))</f>
        <v/>
      </c>
      <c r="AM1678" s="81">
        <f>IF(AN1678="","",IF(Q1678="Sin Factura",0,P1678-IFERROR(INDEX(Facturas_Odoo!$H:$H, MATCH(Q1678, Facturas_Odoo!$B:$B, 0)), 0)))</f>
        <v/>
      </c>
      <c r="AN1678" s="79">
        <f>IF(AND(A1678="", J1678=""), "", IF(A1678&lt;&gt;"", VALUE(MID(A1678,2,LEN(A1678))), AN1677))</f>
        <v/>
      </c>
      <c r="AO1678" s="79">
        <f>IF(AN1678="","",IF(AD1678=0,"OK",_xlfn.LET(monedaPago, IF(AA1678="","USD",AA1678), limitePermitido, IFERROR(VLOOKUP(monedaPago, Configuración!$A$2:$B$3, 2, FALSE), 0.15), IF(AD1678&gt;limitePermitido, "ALERTA: EXCESO (" &amp; TEXT(limitePermitido, "0%") &amp; " máx)", "OK"))))</f>
        <v/>
      </c>
      <c r="AP1678" s="79">
        <f>IF(AN1678="","",IF(AE1678=0,"OK",_xlfn.LET(fechaPago, Z1678, fechaFactura, R1678, diasCredito, IF(E1678="Pago inmediato", 0, IFERROR(VALUE(MID(E1678, 1, SEARCH(" ", E1678)-1)),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78" s="79">
        <f>IF(AN1678="","",IF(AND(N1678&gt;0, AG1678&gt;0), IF(Configuración!$K$2="NO", "ALERTA: DESCUENTO DOBLE NO PERMITIDO", "OK"), "OK"))</f>
        <v/>
      </c>
      <c r="AR1678" s="79">
        <f>IF(AN1678="","",IF(OR(AO1678&lt;&gt;"OK", AP1678&lt;&gt;"OK", AQ1678&lt;&gt;"OK"), "⚠️ REVISAR", "OK"))</f>
        <v/>
      </c>
    </row>
    <row r="1679">
      <c r="A1679" s="79">
        <f>IF('Ordenes_Odoo'!A1679="","",'Ordenes_Odoo'!A1679)</f>
        <v/>
      </c>
      <c r="B1679" s="80">
        <f>IF('Ordenes_Odoo'!B1679="","",'Ordenes_Odoo'!B1679)</f>
        <v/>
      </c>
      <c r="C1679" s="79">
        <f>IF('Ordenes_Odoo'!C1679="","",'Ordenes_Odoo'!C1679)</f>
        <v/>
      </c>
      <c r="D1679" s="79">
        <f>IF('Ordenes_Odoo'!D1679="","",'Ordenes_Odoo'!D1679)</f>
        <v/>
      </c>
      <c r="E1679" s="79">
        <f>IF('Ordenes_Odoo'!E1679="","",'Ordenes_Odoo'!E1679)</f>
        <v/>
      </c>
      <c r="F1679" s="79">
        <f>IF('Ordenes_Odoo'!F1679="","",'Ordenes_Odoo'!F1679)</f>
        <v/>
      </c>
      <c r="G1679" s="79">
        <f>IF('Ordenes_Odoo'!G1679="","",'Ordenes_Odoo'!G1679)</f>
        <v/>
      </c>
      <c r="H1679" s="79">
        <f>IF('Ordenes_Odoo'!H1679="","",'Ordenes_Odoo'!H1679)</f>
        <v/>
      </c>
      <c r="I1679" s="79">
        <f>IF('Ordenes_Odoo'!I1679="","",'Ordenes_Odoo'!I1679)</f>
        <v/>
      </c>
      <c r="J1679" s="79">
        <f>IF('Ordenes_Odoo'!J1679="","",'Ordenes_Odoo'!J1679)</f>
        <v/>
      </c>
      <c r="K1679" s="81">
        <f>IF('Ordenes_Odoo'!K1679="","",'Ordenes_Odoo'!K1679)</f>
        <v/>
      </c>
      <c r="L1679" s="81">
        <f>IF('Ordenes_Odoo'!L1679="","",'Ordenes_Odoo'!L1679)</f>
        <v/>
      </c>
      <c r="M1679" s="79">
        <f>IF('Ordenes_Odoo'!M1679="","",'Ordenes_Odoo'!M1679)</f>
        <v/>
      </c>
      <c r="N1679" s="79">
        <f>IF('Ordenes_Odoo'!N1679="","",'Ordenes_Odoo'!N1679)</f>
        <v/>
      </c>
      <c r="O1679" s="81">
        <f>IF('Ordenes_Odoo'!O1679="","",'Ordenes_Odoo'!O1679)</f>
        <v/>
      </c>
      <c r="P1679" s="81">
        <f>IF('Ordenes_Odoo'!P1679="","",'Ordenes_Odoo'!P1679)</f>
        <v/>
      </c>
      <c r="Q1679" s="79">
        <f>IF(A1679="","",IFERROR(INDEX(Facturas_Odoo!$B:$B, MATCH(A1679, Facturas_Odoo!$D:$D, 0)), "Sin Factura"))</f>
        <v/>
      </c>
      <c r="R1679" s="80">
        <f>IF(Q1679="Sin Factura","",IFERROR(INDEX(Facturas_Odoo!$A:$A, MATCH(Q1679, Facturas_Odoo!$B:$B, 0)), ""))</f>
        <v/>
      </c>
      <c r="S1679" s="79">
        <f>IF(Q1679="Sin Factura","",IFERROR(_xlfn.XLOOKUP(1, (Facturas_Odoo!$D:$D=A1679) * (Facturas_Odoo!$K:$K=I1679), Facturas_Odoo!$L:$L, ""), ""))</f>
        <v/>
      </c>
      <c r="T1679" s="81">
        <f>IF(Q1679="Sin Factura",0,IFERROR(_xlfn.XLOOKUP(1, (Facturas_Odoo!$D:$D=A1679) * (Facturas_Odoo!$K:$K=I1679), Facturas_Odoo!$M:$M, 0), 0))</f>
        <v/>
      </c>
      <c r="U1679" s="79">
        <f>IF(Q1679="Sin Factura",0,IFERROR(_xlfn.XLOOKUP(1, (Facturas_Odoo!$D:$D=A1679) * (Facturas_Odoo!$K:$K=I1679), Facturas_Odoo!$N:$N, 0), 0))</f>
        <v/>
      </c>
      <c r="V1679" s="79">
        <f>IF(Q1679="Sin Factura",0,IFERROR(_xlfn.XLOOKUP(1, (Facturas_Odoo!$D:$D=A1679) * (Facturas_Odoo!$K:$K=I1679), Facturas_Odoo!$O:$O, 0), 0))</f>
        <v/>
      </c>
      <c r="W1679" s="81">
        <f>IF(Q1679="Sin Factura",0,IFERROR(_xlfn.XLOOKUP(1, (Facturas_Odoo!$D:$D=A1679) * (Facturas_Odoo!$K:$K=I1679), Facturas_Odoo!$Q:$Q, 0), 0))</f>
        <v/>
      </c>
      <c r="X1679" s="79">
        <f>IF(OR(Q1679="Sin Factura",Q1679=""),"",IFERROR(INDEX(Pagos_Odoo!$B:$B, MATCH(Q1679, Pagos_Odoo!$I:$I, 0)), "Sin Pago"))</f>
        <v/>
      </c>
      <c r="Y1679" s="79">
        <f>IF(X1679="Sin Pago","",IFERROR(INDEX(Pagos_Odoo!$C:$C, MATCH(X1679, Pagos_Odoo!$B:$B, 0)), ""))</f>
        <v/>
      </c>
      <c r="Z1679" s="80">
        <f>IF(X1679="Sin Pago","",IFERROR(INDEX(Pagos_Odoo!$A:$A, MATCH(X1679, Pagos_Odoo!$B:$B, 0)), ""))</f>
        <v/>
      </c>
      <c r="AA1679" s="79">
        <f>IF(X1679="Sin Pago","",IFERROR(INDEX(Pagos_Odoo!$F:$F, MATCH(X1679, Pagos_Odoo!$B:$B, 0)), ""))</f>
        <v/>
      </c>
      <c r="AB1679" s="81">
        <f>IF(X1679="Sin Pago",0,IFERROR(INDEX(Pagos_Odoo!$E:$E, MATCH(X1679, Pagos_Odoo!$B:$B, 0)), 0))</f>
        <v/>
      </c>
      <c r="AC1679" s="79">
        <f>IF(X1679="Sin Pago","",IFERROR(INDEX(Pagos_Odoo!$G:$G, MATCH(X1679, Pagos_Odoo!$B:$B, 0)), ""))</f>
        <v/>
      </c>
      <c r="AD1679" s="82" t="n">
        <v>0</v>
      </c>
      <c r="AE1679" s="82" t="n"/>
      <c r="AF1679" s="82" t="n"/>
      <c r="AG1679" s="82">
        <f>IF(AN1679="","",AD1679+AE1679+AF1679)</f>
        <v/>
      </c>
      <c r="AH1679" s="81">
        <f>IF(AN1679="","",P1679*(1-AG1679))</f>
        <v/>
      </c>
      <c r="AI1679" s="81">
        <f>IF(AN1679="","",IF(Q1679="Sin Factura",0,IFERROR(INDEX(Facturas_Odoo!$H:$H, MATCH(Q1679, Facturas_Odoo!$B:$B, 0)), 0)*(1-AG1679)))</f>
        <v/>
      </c>
      <c r="AJ1679" s="81">
        <f>IF(AN1679="","",_xlfn.LET(idVenta, AN1679&amp;"",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79" s="81">
        <f>IF(AN1679="","",AH1679-AJ1679)</f>
        <v/>
      </c>
      <c r="AL1679" s="81">
        <f>IF(AN1679="","",IF(Q1679="Sin Factura","",AI1679-AJ1679))</f>
        <v/>
      </c>
      <c r="AM1679" s="81">
        <f>IF(AN1679="","",IF(Q1679="Sin Factura",0,P1679-IFERROR(INDEX(Facturas_Odoo!$H:$H, MATCH(Q1679, Facturas_Odoo!$B:$B, 0)), 0)))</f>
        <v/>
      </c>
      <c r="AN1679" s="79">
        <f>IF(AND(A1679="", J1679=""), "", IF(A1679&lt;&gt;"", VALUE(MID(A1679,2,LEN(A1679))), AN1678))</f>
        <v/>
      </c>
      <c r="AO1679" s="79">
        <f>IF(AN1679="","",IF(AD1679=0,"OK",_xlfn.LET(monedaPago, IF(AA1679="","USD",AA1679), limitePermitido, IFERROR(VLOOKUP(monedaPago, Configuración!$A$2:$B$3, 2, FALSE), 0.15), IF(AD1679&gt;limitePermitido, "ALERTA: EXCESO (" &amp; TEXT(limitePermitido, "0%") &amp; " máx)", "OK"))))</f>
        <v/>
      </c>
      <c r="AP1679" s="79">
        <f>IF(AN1679="","",IF(AE1679=0,"OK",_xlfn.LET(fechaPago, Z1679, fechaFactura, R1679, diasCredito, IF(E1679="Pago inmediato", 0, IFERROR(VALUE(MID(E1679, 1, SEARCH(" ", E1679)-1)),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79" s="79">
        <f>IF(AN1679="","",IF(AND(N1679&gt;0, AG1679&gt;0), IF(Configuración!$K$2="NO", "ALERTA: DESCUENTO DOBLE NO PERMITIDO", "OK"), "OK"))</f>
        <v/>
      </c>
      <c r="AR1679" s="79">
        <f>IF(AN1679="","",IF(OR(AO1679&lt;&gt;"OK", AP1679&lt;&gt;"OK", AQ1679&lt;&gt;"OK"), "⚠️ REVISAR", "OK"))</f>
        <v/>
      </c>
    </row>
    <row r="1680">
      <c r="A1680" s="79">
        <f>IF('Ordenes_Odoo'!A1680="","",'Ordenes_Odoo'!A1680)</f>
        <v/>
      </c>
      <c r="B1680" s="80">
        <f>IF('Ordenes_Odoo'!B1680="","",'Ordenes_Odoo'!B1680)</f>
        <v/>
      </c>
      <c r="C1680" s="79">
        <f>IF('Ordenes_Odoo'!C1680="","",'Ordenes_Odoo'!C1680)</f>
        <v/>
      </c>
      <c r="D1680" s="79">
        <f>IF('Ordenes_Odoo'!D1680="","",'Ordenes_Odoo'!D1680)</f>
        <v/>
      </c>
      <c r="E1680" s="79">
        <f>IF('Ordenes_Odoo'!E1680="","",'Ordenes_Odoo'!E1680)</f>
        <v/>
      </c>
      <c r="F1680" s="79">
        <f>IF('Ordenes_Odoo'!F1680="","",'Ordenes_Odoo'!F1680)</f>
        <v/>
      </c>
      <c r="G1680" s="79">
        <f>IF('Ordenes_Odoo'!G1680="","",'Ordenes_Odoo'!G1680)</f>
        <v/>
      </c>
      <c r="H1680" s="79">
        <f>IF('Ordenes_Odoo'!H1680="","",'Ordenes_Odoo'!H1680)</f>
        <v/>
      </c>
      <c r="I1680" s="79">
        <f>IF('Ordenes_Odoo'!I1680="","",'Ordenes_Odoo'!I1680)</f>
        <v/>
      </c>
      <c r="J1680" s="79">
        <f>IF('Ordenes_Odoo'!J1680="","",'Ordenes_Odoo'!J1680)</f>
        <v/>
      </c>
      <c r="K1680" s="81">
        <f>IF('Ordenes_Odoo'!K1680="","",'Ordenes_Odoo'!K1680)</f>
        <v/>
      </c>
      <c r="L1680" s="81">
        <f>IF('Ordenes_Odoo'!L1680="","",'Ordenes_Odoo'!L1680)</f>
        <v/>
      </c>
      <c r="M1680" s="79">
        <f>IF('Ordenes_Odoo'!M1680="","",'Ordenes_Odoo'!M1680)</f>
        <v/>
      </c>
      <c r="N1680" s="79">
        <f>IF('Ordenes_Odoo'!N1680="","",'Ordenes_Odoo'!N1680)</f>
        <v/>
      </c>
      <c r="O1680" s="81">
        <f>IF('Ordenes_Odoo'!O1680="","",'Ordenes_Odoo'!O1680)</f>
        <v/>
      </c>
      <c r="P1680" s="81">
        <f>IF('Ordenes_Odoo'!P1680="","",'Ordenes_Odoo'!P1680)</f>
        <v/>
      </c>
      <c r="Q1680" s="79">
        <f>IF(A1680="","",IFERROR(INDEX(Facturas_Odoo!$B:$B, MATCH(A1680, Facturas_Odoo!$D:$D, 0)), "Sin Factura"))</f>
        <v/>
      </c>
      <c r="R1680" s="80">
        <f>IF(Q1680="Sin Factura","",IFERROR(INDEX(Facturas_Odoo!$A:$A, MATCH(Q1680, Facturas_Odoo!$B:$B, 0)), ""))</f>
        <v/>
      </c>
      <c r="S1680" s="79">
        <f>IF(Q1680="Sin Factura","",IFERROR(_xlfn.XLOOKUP(1, (Facturas_Odoo!$D:$D=A1680) * (Facturas_Odoo!$K:$K=I1680), Facturas_Odoo!$L:$L, ""), ""))</f>
        <v/>
      </c>
      <c r="T1680" s="81">
        <f>IF(Q1680="Sin Factura",0,IFERROR(_xlfn.XLOOKUP(1, (Facturas_Odoo!$D:$D=A1680) * (Facturas_Odoo!$K:$K=I1680), Facturas_Odoo!$M:$M, 0), 0))</f>
        <v/>
      </c>
      <c r="U1680" s="79">
        <f>IF(Q1680="Sin Factura",0,IFERROR(_xlfn.XLOOKUP(1, (Facturas_Odoo!$D:$D=A1680) * (Facturas_Odoo!$K:$K=I1680), Facturas_Odoo!$N:$N, 0), 0))</f>
        <v/>
      </c>
      <c r="V1680" s="79">
        <f>IF(Q1680="Sin Factura",0,IFERROR(_xlfn.XLOOKUP(1, (Facturas_Odoo!$D:$D=A1680) * (Facturas_Odoo!$K:$K=I1680), Facturas_Odoo!$O:$O, 0), 0))</f>
        <v/>
      </c>
      <c r="W1680" s="81">
        <f>IF(Q1680="Sin Factura",0,IFERROR(_xlfn.XLOOKUP(1, (Facturas_Odoo!$D:$D=A1680) * (Facturas_Odoo!$K:$K=I1680), Facturas_Odoo!$Q:$Q, 0), 0))</f>
        <v/>
      </c>
      <c r="X1680" s="79">
        <f>IF(OR(Q1680="Sin Factura",Q1680=""),"",IFERROR(INDEX(Pagos_Odoo!$B:$B, MATCH(Q1680, Pagos_Odoo!$I:$I, 0)), "Sin Pago"))</f>
        <v/>
      </c>
      <c r="Y1680" s="79">
        <f>IF(X1680="Sin Pago","",IFERROR(INDEX(Pagos_Odoo!$C:$C, MATCH(X1680, Pagos_Odoo!$B:$B, 0)), ""))</f>
        <v/>
      </c>
      <c r="Z1680" s="80">
        <f>IF(X1680="Sin Pago","",IFERROR(INDEX(Pagos_Odoo!$A:$A, MATCH(X1680, Pagos_Odoo!$B:$B, 0)), ""))</f>
        <v/>
      </c>
      <c r="AA1680" s="79">
        <f>IF(X1680="Sin Pago","",IFERROR(INDEX(Pagos_Odoo!$F:$F, MATCH(X1680, Pagos_Odoo!$B:$B, 0)), ""))</f>
        <v/>
      </c>
      <c r="AB1680" s="81">
        <f>IF(X1680="Sin Pago",0,IFERROR(INDEX(Pagos_Odoo!$E:$E, MATCH(X1680, Pagos_Odoo!$B:$B, 0)), 0))</f>
        <v/>
      </c>
      <c r="AC1680" s="79">
        <f>IF(X1680="Sin Pago","",IFERROR(INDEX(Pagos_Odoo!$G:$G, MATCH(X1680, Pagos_Odoo!$B:$B, 0)), ""))</f>
        <v/>
      </c>
      <c r="AD1680" s="82" t="n">
        <v>0</v>
      </c>
      <c r="AE1680" s="82" t="n"/>
      <c r="AF1680" s="82" t="n"/>
      <c r="AG1680" s="82">
        <f>IF(AN1680="","",AD1680+AE1680+AF1680)</f>
        <v/>
      </c>
      <c r="AH1680" s="81">
        <f>IF(AN1680="","",P1680*(1-AG1680))</f>
        <v/>
      </c>
      <c r="AI1680" s="81">
        <f>IF(AN1680="","",IF(Q1680="Sin Factura",0,IFERROR(INDEX(Facturas_Odoo!$H:$H, MATCH(Q1680, Facturas_Odoo!$B:$B, 0)), 0)*(1-AG1680)))</f>
        <v/>
      </c>
      <c r="AJ1680" s="81">
        <f>IF(AN1680="","",_xlfn.LET(idVenta, AN1680&amp;"",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80" s="81">
        <f>IF(AN1680="","",AH1680-AJ1680)</f>
        <v/>
      </c>
      <c r="AL1680" s="81">
        <f>IF(AN1680="","",IF(Q1680="Sin Factura","",AI1680-AJ1680))</f>
        <v/>
      </c>
      <c r="AM1680" s="81">
        <f>IF(AN1680="","",IF(Q1680="Sin Factura",0,P1680-IFERROR(INDEX(Facturas_Odoo!$H:$H, MATCH(Q1680, Facturas_Odoo!$B:$B, 0)), 0)))</f>
        <v/>
      </c>
      <c r="AN1680" s="79">
        <f>IF(AND(A1680="", J1680=""), "", IF(A1680&lt;&gt;"", VALUE(MID(A1680,2,LEN(A1680))), AN1679))</f>
        <v/>
      </c>
      <c r="AO1680" s="79">
        <f>IF(AN1680="","",IF(AD1680=0,"OK",_xlfn.LET(monedaPago, IF(AA1680="","USD",AA1680), limitePermitido, IFERROR(VLOOKUP(monedaPago, Configuración!$A$2:$B$3, 2, FALSE), 0.15), IF(AD1680&gt;limitePermitido, "ALERTA: EXCESO (" &amp; TEXT(limitePermitido, "0%") &amp; " máx)", "OK"))))</f>
        <v/>
      </c>
      <c r="AP1680" s="79">
        <f>IF(AN1680="","",IF(AE1680=0,"OK",_xlfn.LET(fechaPago, Z1680, fechaFactura, R1680, diasCredito, IF(E1680="Pago inmediato", 0, IFERROR(VALUE(MID(E1680, 1, SEARCH(" ", E1680)-1)),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80" s="79">
        <f>IF(AN1680="","",IF(AND(N1680&gt;0, AG1680&gt;0), IF(Configuración!$K$2="NO", "ALERTA: DESCUENTO DOBLE NO PERMITIDO", "OK"), "OK"))</f>
        <v/>
      </c>
      <c r="AR1680" s="79">
        <f>IF(AN1680="","",IF(OR(AO1680&lt;&gt;"OK", AP1680&lt;&gt;"OK", AQ1680&lt;&gt;"OK"), "⚠️ REVISAR", "OK"))</f>
        <v/>
      </c>
    </row>
    <row r="1681">
      <c r="A1681" s="79">
        <f>IF('Ordenes_Odoo'!A1681="","",'Ordenes_Odoo'!A1681)</f>
        <v/>
      </c>
      <c r="B1681" s="80">
        <f>IF('Ordenes_Odoo'!B1681="","",'Ordenes_Odoo'!B1681)</f>
        <v/>
      </c>
      <c r="C1681" s="79">
        <f>IF('Ordenes_Odoo'!C1681="","",'Ordenes_Odoo'!C1681)</f>
        <v/>
      </c>
      <c r="D1681" s="79">
        <f>IF('Ordenes_Odoo'!D1681="","",'Ordenes_Odoo'!D1681)</f>
        <v/>
      </c>
      <c r="E1681" s="79">
        <f>IF('Ordenes_Odoo'!E1681="","",'Ordenes_Odoo'!E1681)</f>
        <v/>
      </c>
      <c r="F1681" s="79">
        <f>IF('Ordenes_Odoo'!F1681="","",'Ordenes_Odoo'!F1681)</f>
        <v/>
      </c>
      <c r="G1681" s="79">
        <f>IF('Ordenes_Odoo'!G1681="","",'Ordenes_Odoo'!G1681)</f>
        <v/>
      </c>
      <c r="H1681" s="79">
        <f>IF('Ordenes_Odoo'!H1681="","",'Ordenes_Odoo'!H1681)</f>
        <v/>
      </c>
      <c r="I1681" s="79">
        <f>IF('Ordenes_Odoo'!I1681="","",'Ordenes_Odoo'!I1681)</f>
        <v/>
      </c>
      <c r="J1681" s="79">
        <f>IF('Ordenes_Odoo'!J1681="","",'Ordenes_Odoo'!J1681)</f>
        <v/>
      </c>
      <c r="K1681" s="81">
        <f>IF('Ordenes_Odoo'!K1681="","",'Ordenes_Odoo'!K1681)</f>
        <v/>
      </c>
      <c r="L1681" s="81">
        <f>IF('Ordenes_Odoo'!L1681="","",'Ordenes_Odoo'!L1681)</f>
        <v/>
      </c>
      <c r="M1681" s="79">
        <f>IF('Ordenes_Odoo'!M1681="","",'Ordenes_Odoo'!M1681)</f>
        <v/>
      </c>
      <c r="N1681" s="79">
        <f>IF('Ordenes_Odoo'!N1681="","",'Ordenes_Odoo'!N1681)</f>
        <v/>
      </c>
      <c r="O1681" s="81">
        <f>IF('Ordenes_Odoo'!O1681="","",'Ordenes_Odoo'!O1681)</f>
        <v/>
      </c>
      <c r="P1681" s="81">
        <f>IF('Ordenes_Odoo'!P1681="","",'Ordenes_Odoo'!P1681)</f>
        <v/>
      </c>
      <c r="Q1681" s="79">
        <f>IF(A1681="","",IFERROR(INDEX(Facturas_Odoo!$B:$B, MATCH(A1681, Facturas_Odoo!$D:$D, 0)), "Sin Factura"))</f>
        <v/>
      </c>
      <c r="R1681" s="80">
        <f>IF(Q1681="Sin Factura","",IFERROR(INDEX(Facturas_Odoo!$A:$A, MATCH(Q1681, Facturas_Odoo!$B:$B, 0)), ""))</f>
        <v/>
      </c>
      <c r="S1681" s="79">
        <f>IF(Q1681="Sin Factura","",IFERROR(_xlfn.XLOOKUP(1, (Facturas_Odoo!$D:$D=A1681) * (Facturas_Odoo!$K:$K=I1681), Facturas_Odoo!$L:$L, ""), ""))</f>
        <v/>
      </c>
      <c r="T1681" s="81">
        <f>IF(Q1681="Sin Factura",0,IFERROR(_xlfn.XLOOKUP(1, (Facturas_Odoo!$D:$D=A1681) * (Facturas_Odoo!$K:$K=I1681), Facturas_Odoo!$M:$M, 0), 0))</f>
        <v/>
      </c>
      <c r="U1681" s="79">
        <f>IF(Q1681="Sin Factura",0,IFERROR(_xlfn.XLOOKUP(1, (Facturas_Odoo!$D:$D=A1681) * (Facturas_Odoo!$K:$K=I1681), Facturas_Odoo!$N:$N, 0), 0))</f>
        <v/>
      </c>
      <c r="V1681" s="79">
        <f>IF(Q1681="Sin Factura",0,IFERROR(_xlfn.XLOOKUP(1, (Facturas_Odoo!$D:$D=A1681) * (Facturas_Odoo!$K:$K=I1681), Facturas_Odoo!$O:$O, 0), 0))</f>
        <v/>
      </c>
      <c r="W1681" s="81">
        <f>IF(Q1681="Sin Factura",0,IFERROR(_xlfn.XLOOKUP(1, (Facturas_Odoo!$D:$D=A1681) * (Facturas_Odoo!$K:$K=I1681), Facturas_Odoo!$Q:$Q, 0), 0))</f>
        <v/>
      </c>
      <c r="X1681" s="79">
        <f>IF(OR(Q1681="Sin Factura",Q1681=""),"",IFERROR(INDEX(Pagos_Odoo!$B:$B, MATCH(Q1681, Pagos_Odoo!$I:$I, 0)), "Sin Pago"))</f>
        <v/>
      </c>
      <c r="Y1681" s="79">
        <f>IF(X1681="Sin Pago","",IFERROR(INDEX(Pagos_Odoo!$C:$C, MATCH(X1681, Pagos_Odoo!$B:$B, 0)), ""))</f>
        <v/>
      </c>
      <c r="Z1681" s="80">
        <f>IF(X1681="Sin Pago","",IFERROR(INDEX(Pagos_Odoo!$A:$A, MATCH(X1681, Pagos_Odoo!$B:$B, 0)), ""))</f>
        <v/>
      </c>
      <c r="AA1681" s="79">
        <f>IF(X1681="Sin Pago","",IFERROR(INDEX(Pagos_Odoo!$F:$F, MATCH(X1681, Pagos_Odoo!$B:$B, 0)), ""))</f>
        <v/>
      </c>
      <c r="AB1681" s="81">
        <f>IF(X1681="Sin Pago",0,IFERROR(INDEX(Pagos_Odoo!$E:$E, MATCH(X1681, Pagos_Odoo!$B:$B, 0)), 0))</f>
        <v/>
      </c>
      <c r="AC1681" s="79">
        <f>IF(X1681="Sin Pago","",IFERROR(INDEX(Pagos_Odoo!$G:$G, MATCH(X1681, Pagos_Odoo!$B:$B, 0)), ""))</f>
        <v/>
      </c>
      <c r="AD1681" s="82" t="n">
        <v>0</v>
      </c>
      <c r="AE1681" s="82" t="n"/>
      <c r="AF1681" s="82" t="n"/>
      <c r="AG1681" s="82">
        <f>IF(AN1681="","",AD1681+AE1681+AF1681)</f>
        <v/>
      </c>
      <c r="AH1681" s="81">
        <f>IF(AN1681="","",P1681*(1-AG1681))</f>
        <v/>
      </c>
      <c r="AI1681" s="81">
        <f>IF(AN1681="","",IF(Q1681="Sin Factura",0,IFERROR(INDEX(Facturas_Odoo!$H:$H, MATCH(Q1681, Facturas_Odoo!$B:$B, 0)), 0)*(1-AG1681)))</f>
        <v/>
      </c>
      <c r="AJ1681" s="81">
        <f>IF(AN1681="","",_xlfn.LET(idVenta, AN1681&amp;"",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81" s="81">
        <f>IF(AN1681="","",AH1681-AJ1681)</f>
        <v/>
      </c>
      <c r="AL1681" s="81">
        <f>IF(AN1681="","",IF(Q1681="Sin Factura","",AI1681-AJ1681))</f>
        <v/>
      </c>
      <c r="AM1681" s="81">
        <f>IF(AN1681="","",IF(Q1681="Sin Factura",0,P1681-IFERROR(INDEX(Facturas_Odoo!$H:$H, MATCH(Q1681, Facturas_Odoo!$B:$B, 0)), 0)))</f>
        <v/>
      </c>
      <c r="AN1681" s="79">
        <f>IF(AND(A1681="", J1681=""), "", IF(A1681&lt;&gt;"", VALUE(MID(A1681,2,LEN(A1681))), AN1680))</f>
        <v/>
      </c>
      <c r="AO1681" s="79">
        <f>IF(AN1681="","",IF(AD1681=0,"OK",_xlfn.LET(monedaPago, IF(AA1681="","USD",AA1681), limitePermitido, IFERROR(VLOOKUP(monedaPago, Configuración!$A$2:$B$3, 2, FALSE), 0.15), IF(AD1681&gt;limitePermitido, "ALERTA: EXCESO (" &amp; TEXT(limitePermitido, "0%") &amp; " máx)", "OK"))))</f>
        <v/>
      </c>
      <c r="AP1681" s="79">
        <f>IF(AN1681="","",IF(AE1681=0,"OK",_xlfn.LET(fechaPago, Z1681, fechaFactura, R1681, diasCredito, IF(E1681="Pago inmediato", 0, IFERROR(VALUE(MID(E1681, 1, SEARCH(" ", E1681)-1)),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81" s="79">
        <f>IF(AN1681="","",IF(AND(N1681&gt;0, AG1681&gt;0), IF(Configuración!$K$2="NO", "ALERTA: DESCUENTO DOBLE NO PERMITIDO", "OK"), "OK"))</f>
        <v/>
      </c>
      <c r="AR1681" s="79">
        <f>IF(AN1681="","",IF(OR(AO1681&lt;&gt;"OK", AP1681&lt;&gt;"OK", AQ1681&lt;&gt;"OK"), "⚠️ REVISAR", "OK"))</f>
        <v/>
      </c>
    </row>
    <row r="1682">
      <c r="A1682" s="79">
        <f>IF('Ordenes_Odoo'!A1682="","",'Ordenes_Odoo'!A1682)</f>
        <v/>
      </c>
      <c r="B1682" s="80">
        <f>IF('Ordenes_Odoo'!B1682="","",'Ordenes_Odoo'!B1682)</f>
        <v/>
      </c>
      <c r="C1682" s="79">
        <f>IF('Ordenes_Odoo'!C1682="","",'Ordenes_Odoo'!C1682)</f>
        <v/>
      </c>
      <c r="D1682" s="79">
        <f>IF('Ordenes_Odoo'!D1682="","",'Ordenes_Odoo'!D1682)</f>
        <v/>
      </c>
      <c r="E1682" s="79">
        <f>IF('Ordenes_Odoo'!E1682="","",'Ordenes_Odoo'!E1682)</f>
        <v/>
      </c>
      <c r="F1682" s="79">
        <f>IF('Ordenes_Odoo'!F1682="","",'Ordenes_Odoo'!F1682)</f>
        <v/>
      </c>
      <c r="G1682" s="79">
        <f>IF('Ordenes_Odoo'!G1682="","",'Ordenes_Odoo'!G1682)</f>
        <v/>
      </c>
      <c r="H1682" s="79">
        <f>IF('Ordenes_Odoo'!H1682="","",'Ordenes_Odoo'!H1682)</f>
        <v/>
      </c>
      <c r="I1682" s="79">
        <f>IF('Ordenes_Odoo'!I1682="","",'Ordenes_Odoo'!I1682)</f>
        <v/>
      </c>
      <c r="J1682" s="79">
        <f>IF('Ordenes_Odoo'!J1682="","",'Ordenes_Odoo'!J1682)</f>
        <v/>
      </c>
      <c r="K1682" s="81">
        <f>IF('Ordenes_Odoo'!K1682="","",'Ordenes_Odoo'!K1682)</f>
        <v/>
      </c>
      <c r="L1682" s="81">
        <f>IF('Ordenes_Odoo'!L1682="","",'Ordenes_Odoo'!L1682)</f>
        <v/>
      </c>
      <c r="M1682" s="79">
        <f>IF('Ordenes_Odoo'!M1682="","",'Ordenes_Odoo'!M1682)</f>
        <v/>
      </c>
      <c r="N1682" s="79">
        <f>IF('Ordenes_Odoo'!N1682="","",'Ordenes_Odoo'!N1682)</f>
        <v/>
      </c>
      <c r="O1682" s="81">
        <f>IF('Ordenes_Odoo'!O1682="","",'Ordenes_Odoo'!O1682)</f>
        <v/>
      </c>
      <c r="P1682" s="81">
        <f>IF('Ordenes_Odoo'!P1682="","",'Ordenes_Odoo'!P1682)</f>
        <v/>
      </c>
      <c r="Q1682" s="79">
        <f>IF(A1682="","",IFERROR(INDEX(Facturas_Odoo!$B:$B, MATCH(A1682, Facturas_Odoo!$D:$D, 0)), "Sin Factura"))</f>
        <v/>
      </c>
      <c r="R1682" s="80">
        <f>IF(Q1682="Sin Factura","",IFERROR(INDEX(Facturas_Odoo!$A:$A, MATCH(Q1682, Facturas_Odoo!$B:$B, 0)), ""))</f>
        <v/>
      </c>
      <c r="S1682" s="79">
        <f>IF(Q1682="Sin Factura","",IFERROR(_xlfn.XLOOKUP(1, (Facturas_Odoo!$D:$D=A1682) * (Facturas_Odoo!$K:$K=I1682), Facturas_Odoo!$L:$L, ""), ""))</f>
        <v/>
      </c>
      <c r="T1682" s="81">
        <f>IF(Q1682="Sin Factura",0,IFERROR(_xlfn.XLOOKUP(1, (Facturas_Odoo!$D:$D=A1682) * (Facturas_Odoo!$K:$K=I1682), Facturas_Odoo!$M:$M, 0), 0))</f>
        <v/>
      </c>
      <c r="U1682" s="79">
        <f>IF(Q1682="Sin Factura",0,IFERROR(_xlfn.XLOOKUP(1, (Facturas_Odoo!$D:$D=A1682) * (Facturas_Odoo!$K:$K=I1682), Facturas_Odoo!$N:$N, 0), 0))</f>
        <v/>
      </c>
      <c r="V1682" s="79">
        <f>IF(Q1682="Sin Factura",0,IFERROR(_xlfn.XLOOKUP(1, (Facturas_Odoo!$D:$D=A1682) * (Facturas_Odoo!$K:$K=I1682), Facturas_Odoo!$O:$O, 0), 0))</f>
        <v/>
      </c>
      <c r="W1682" s="81">
        <f>IF(Q1682="Sin Factura",0,IFERROR(_xlfn.XLOOKUP(1, (Facturas_Odoo!$D:$D=A1682) * (Facturas_Odoo!$K:$K=I1682), Facturas_Odoo!$Q:$Q, 0), 0))</f>
        <v/>
      </c>
      <c r="X1682" s="79">
        <f>IF(OR(Q1682="Sin Factura",Q1682=""),"",IFERROR(INDEX(Pagos_Odoo!$B:$B, MATCH(Q1682, Pagos_Odoo!$I:$I, 0)), "Sin Pago"))</f>
        <v/>
      </c>
      <c r="Y1682" s="79">
        <f>IF(X1682="Sin Pago","",IFERROR(INDEX(Pagos_Odoo!$C:$C, MATCH(X1682, Pagos_Odoo!$B:$B, 0)), ""))</f>
        <v/>
      </c>
      <c r="Z1682" s="80">
        <f>IF(X1682="Sin Pago","",IFERROR(INDEX(Pagos_Odoo!$A:$A, MATCH(X1682, Pagos_Odoo!$B:$B, 0)), ""))</f>
        <v/>
      </c>
      <c r="AA1682" s="79">
        <f>IF(X1682="Sin Pago","",IFERROR(INDEX(Pagos_Odoo!$F:$F, MATCH(X1682, Pagos_Odoo!$B:$B, 0)), ""))</f>
        <v/>
      </c>
      <c r="AB1682" s="81">
        <f>IF(X1682="Sin Pago",0,IFERROR(INDEX(Pagos_Odoo!$E:$E, MATCH(X1682, Pagos_Odoo!$B:$B, 0)), 0))</f>
        <v/>
      </c>
      <c r="AC1682" s="79">
        <f>IF(X1682="Sin Pago","",IFERROR(INDEX(Pagos_Odoo!$G:$G, MATCH(X1682, Pagos_Odoo!$B:$B, 0)), ""))</f>
        <v/>
      </c>
      <c r="AD1682" s="82" t="n">
        <v>0</v>
      </c>
      <c r="AE1682" s="82" t="n"/>
      <c r="AF1682" s="82" t="n"/>
      <c r="AG1682" s="82">
        <f>IF(AN1682="","",AD1682+AE1682+AF1682)</f>
        <v/>
      </c>
      <c r="AH1682" s="81">
        <f>IF(AN1682="","",P1682*(1-AG1682))</f>
        <v/>
      </c>
      <c r="AI1682" s="81">
        <f>IF(AN1682="","",IF(Q1682="Sin Factura",0,IFERROR(INDEX(Facturas_Odoo!$H:$H, MATCH(Q1682, Facturas_Odoo!$B:$B, 0)), 0)*(1-AG1682)))</f>
        <v/>
      </c>
      <c r="AJ1682" s="81">
        <f>IF(AN1682="","",_xlfn.LET(idVenta, AN1682&amp;"",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82" s="81">
        <f>IF(AN1682="","",AH1682-AJ1682)</f>
        <v/>
      </c>
      <c r="AL1682" s="81">
        <f>IF(AN1682="","",IF(Q1682="Sin Factura","",AI1682-AJ1682))</f>
        <v/>
      </c>
      <c r="AM1682" s="81">
        <f>IF(AN1682="","",IF(Q1682="Sin Factura",0,P1682-IFERROR(INDEX(Facturas_Odoo!$H:$H, MATCH(Q1682, Facturas_Odoo!$B:$B, 0)), 0)))</f>
        <v/>
      </c>
      <c r="AN1682" s="79">
        <f>IF(AND(A1682="", J1682=""), "", IF(A1682&lt;&gt;"", VALUE(MID(A1682,2,LEN(A1682))), AN1681))</f>
        <v/>
      </c>
      <c r="AO1682" s="79">
        <f>IF(AN1682="","",IF(AD1682=0,"OK",_xlfn.LET(monedaPago, IF(AA1682="","USD",AA1682), limitePermitido, IFERROR(VLOOKUP(monedaPago, Configuración!$A$2:$B$3, 2, FALSE), 0.15), IF(AD1682&gt;limitePermitido, "ALERTA: EXCESO (" &amp; TEXT(limitePermitido, "0%") &amp; " máx)", "OK"))))</f>
        <v/>
      </c>
      <c r="AP1682" s="79">
        <f>IF(AN1682="","",IF(AE1682=0,"OK",_xlfn.LET(fechaPago, Z1682, fechaFactura, R1682, diasCredito, IF(E1682="Pago inmediato", 0, IFERROR(VALUE(MID(E1682, 1, SEARCH(" ", E1682)-1)),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82" s="79">
        <f>IF(AN1682="","",IF(AND(N1682&gt;0, AG1682&gt;0), IF(Configuración!$K$2="NO", "ALERTA: DESCUENTO DOBLE NO PERMITIDO", "OK"), "OK"))</f>
        <v/>
      </c>
      <c r="AR1682" s="79">
        <f>IF(AN1682="","",IF(OR(AO1682&lt;&gt;"OK", AP1682&lt;&gt;"OK", AQ1682&lt;&gt;"OK"), "⚠️ REVISAR", "OK"))</f>
        <v/>
      </c>
    </row>
    <row r="1683">
      <c r="A1683" s="79">
        <f>IF('Ordenes_Odoo'!A1683="","",'Ordenes_Odoo'!A1683)</f>
        <v/>
      </c>
      <c r="B1683" s="80">
        <f>IF('Ordenes_Odoo'!B1683="","",'Ordenes_Odoo'!B1683)</f>
        <v/>
      </c>
      <c r="C1683" s="79">
        <f>IF('Ordenes_Odoo'!C1683="","",'Ordenes_Odoo'!C1683)</f>
        <v/>
      </c>
      <c r="D1683" s="79">
        <f>IF('Ordenes_Odoo'!D1683="","",'Ordenes_Odoo'!D1683)</f>
        <v/>
      </c>
      <c r="E1683" s="79">
        <f>IF('Ordenes_Odoo'!E1683="","",'Ordenes_Odoo'!E1683)</f>
        <v/>
      </c>
      <c r="F1683" s="79">
        <f>IF('Ordenes_Odoo'!F1683="","",'Ordenes_Odoo'!F1683)</f>
        <v/>
      </c>
      <c r="G1683" s="79">
        <f>IF('Ordenes_Odoo'!G1683="","",'Ordenes_Odoo'!G1683)</f>
        <v/>
      </c>
      <c r="H1683" s="79">
        <f>IF('Ordenes_Odoo'!H1683="","",'Ordenes_Odoo'!H1683)</f>
        <v/>
      </c>
      <c r="I1683" s="79">
        <f>IF('Ordenes_Odoo'!I1683="","",'Ordenes_Odoo'!I1683)</f>
        <v/>
      </c>
      <c r="J1683" s="79">
        <f>IF('Ordenes_Odoo'!J1683="","",'Ordenes_Odoo'!J1683)</f>
        <v/>
      </c>
      <c r="K1683" s="81">
        <f>IF('Ordenes_Odoo'!K1683="","",'Ordenes_Odoo'!K1683)</f>
        <v/>
      </c>
      <c r="L1683" s="81">
        <f>IF('Ordenes_Odoo'!L1683="","",'Ordenes_Odoo'!L1683)</f>
        <v/>
      </c>
      <c r="M1683" s="79">
        <f>IF('Ordenes_Odoo'!M1683="","",'Ordenes_Odoo'!M1683)</f>
        <v/>
      </c>
      <c r="N1683" s="79">
        <f>IF('Ordenes_Odoo'!N1683="","",'Ordenes_Odoo'!N1683)</f>
        <v/>
      </c>
      <c r="O1683" s="81">
        <f>IF('Ordenes_Odoo'!O1683="","",'Ordenes_Odoo'!O1683)</f>
        <v/>
      </c>
      <c r="P1683" s="81">
        <f>IF('Ordenes_Odoo'!P1683="","",'Ordenes_Odoo'!P1683)</f>
        <v/>
      </c>
      <c r="Q1683" s="79">
        <f>IF(A1683="","",IFERROR(INDEX(Facturas_Odoo!$B:$B, MATCH(A1683, Facturas_Odoo!$D:$D, 0)), "Sin Factura"))</f>
        <v/>
      </c>
      <c r="R1683" s="80">
        <f>IF(Q1683="Sin Factura","",IFERROR(INDEX(Facturas_Odoo!$A:$A, MATCH(Q1683, Facturas_Odoo!$B:$B, 0)), ""))</f>
        <v/>
      </c>
      <c r="S1683" s="79">
        <f>IF(Q1683="Sin Factura","",IFERROR(_xlfn.XLOOKUP(1, (Facturas_Odoo!$D:$D=A1683) * (Facturas_Odoo!$K:$K=I1683), Facturas_Odoo!$L:$L, ""), ""))</f>
        <v/>
      </c>
      <c r="T1683" s="81">
        <f>IF(Q1683="Sin Factura",0,IFERROR(_xlfn.XLOOKUP(1, (Facturas_Odoo!$D:$D=A1683) * (Facturas_Odoo!$K:$K=I1683), Facturas_Odoo!$M:$M, 0), 0))</f>
        <v/>
      </c>
      <c r="U1683" s="79">
        <f>IF(Q1683="Sin Factura",0,IFERROR(_xlfn.XLOOKUP(1, (Facturas_Odoo!$D:$D=A1683) * (Facturas_Odoo!$K:$K=I1683), Facturas_Odoo!$N:$N, 0), 0))</f>
        <v/>
      </c>
      <c r="V1683" s="79">
        <f>IF(Q1683="Sin Factura",0,IFERROR(_xlfn.XLOOKUP(1, (Facturas_Odoo!$D:$D=A1683) * (Facturas_Odoo!$K:$K=I1683), Facturas_Odoo!$O:$O, 0), 0))</f>
        <v/>
      </c>
      <c r="W1683" s="81">
        <f>IF(Q1683="Sin Factura",0,IFERROR(_xlfn.XLOOKUP(1, (Facturas_Odoo!$D:$D=A1683) * (Facturas_Odoo!$K:$K=I1683), Facturas_Odoo!$Q:$Q, 0), 0))</f>
        <v/>
      </c>
      <c r="X1683" s="79">
        <f>IF(OR(Q1683="Sin Factura",Q1683=""),"",IFERROR(INDEX(Pagos_Odoo!$B:$B, MATCH(Q1683, Pagos_Odoo!$I:$I, 0)), "Sin Pago"))</f>
        <v/>
      </c>
      <c r="Y1683" s="79">
        <f>IF(X1683="Sin Pago","",IFERROR(INDEX(Pagos_Odoo!$C:$C, MATCH(X1683, Pagos_Odoo!$B:$B, 0)), ""))</f>
        <v/>
      </c>
      <c r="Z1683" s="80">
        <f>IF(X1683="Sin Pago","",IFERROR(INDEX(Pagos_Odoo!$A:$A, MATCH(X1683, Pagos_Odoo!$B:$B, 0)), ""))</f>
        <v/>
      </c>
      <c r="AA1683" s="79">
        <f>IF(X1683="Sin Pago","",IFERROR(INDEX(Pagos_Odoo!$F:$F, MATCH(X1683, Pagos_Odoo!$B:$B, 0)), ""))</f>
        <v/>
      </c>
      <c r="AB1683" s="81">
        <f>IF(X1683="Sin Pago",0,IFERROR(INDEX(Pagos_Odoo!$E:$E, MATCH(X1683, Pagos_Odoo!$B:$B, 0)), 0))</f>
        <v/>
      </c>
      <c r="AC1683" s="79">
        <f>IF(X1683="Sin Pago","",IFERROR(INDEX(Pagos_Odoo!$G:$G, MATCH(X1683, Pagos_Odoo!$B:$B, 0)), ""))</f>
        <v/>
      </c>
      <c r="AD1683" s="82" t="n">
        <v>0</v>
      </c>
      <c r="AE1683" s="82" t="n"/>
      <c r="AF1683" s="82" t="n"/>
      <c r="AG1683" s="82">
        <f>IF(AN1683="","",AD1683+AE1683+AF1683)</f>
        <v/>
      </c>
      <c r="AH1683" s="81">
        <f>IF(AN1683="","",P1683*(1-AG1683))</f>
        <v/>
      </c>
      <c r="AI1683" s="81">
        <f>IF(AN1683="","",IF(Q1683="Sin Factura",0,IFERROR(INDEX(Facturas_Odoo!$H:$H, MATCH(Q1683, Facturas_Odoo!$B:$B, 0)), 0)*(1-AG1683)))</f>
        <v/>
      </c>
      <c r="AJ1683" s="81">
        <f>IF(AN1683="","",_xlfn.LET(idVenta, AN1683&amp;"",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83" s="81">
        <f>IF(AN1683="","",AH1683-AJ1683)</f>
        <v/>
      </c>
      <c r="AL1683" s="81">
        <f>IF(AN1683="","",IF(Q1683="Sin Factura","",AI1683-AJ1683))</f>
        <v/>
      </c>
      <c r="AM1683" s="81">
        <f>IF(AN1683="","",IF(Q1683="Sin Factura",0,P1683-IFERROR(INDEX(Facturas_Odoo!$H:$H, MATCH(Q1683, Facturas_Odoo!$B:$B, 0)), 0)))</f>
        <v/>
      </c>
      <c r="AN1683" s="79">
        <f>IF(AND(A1683="", J1683=""), "", IF(A1683&lt;&gt;"", VALUE(MID(A1683,2,LEN(A1683))), AN1682))</f>
        <v/>
      </c>
      <c r="AO1683" s="79">
        <f>IF(AN1683="","",IF(AD1683=0,"OK",_xlfn.LET(monedaPago, IF(AA1683="","USD",AA1683), limitePermitido, IFERROR(VLOOKUP(monedaPago, Configuración!$A$2:$B$3, 2, FALSE), 0.15), IF(AD1683&gt;limitePermitido, "ALERTA: EXCESO (" &amp; TEXT(limitePermitido, "0%") &amp; " máx)", "OK"))))</f>
        <v/>
      </c>
      <c r="AP1683" s="79">
        <f>IF(AN1683="","",IF(AE1683=0,"OK",_xlfn.LET(fechaPago, Z1683, fechaFactura, R1683, diasCredito, IF(E1683="Pago inmediato", 0, IFERROR(VALUE(MID(E1683, 1, SEARCH(" ", E1683)-1)),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83" s="79">
        <f>IF(AN1683="","",IF(AND(N1683&gt;0, AG1683&gt;0), IF(Configuración!$K$2="NO", "ALERTA: DESCUENTO DOBLE NO PERMITIDO", "OK"), "OK"))</f>
        <v/>
      </c>
      <c r="AR1683" s="79">
        <f>IF(AN1683="","",IF(OR(AO1683&lt;&gt;"OK", AP1683&lt;&gt;"OK", AQ1683&lt;&gt;"OK"), "⚠️ REVISAR", "OK"))</f>
        <v/>
      </c>
    </row>
    <row r="1684">
      <c r="A1684" s="79">
        <f>IF('Ordenes_Odoo'!A1684="","",'Ordenes_Odoo'!A1684)</f>
        <v/>
      </c>
      <c r="B1684" s="80">
        <f>IF('Ordenes_Odoo'!B1684="","",'Ordenes_Odoo'!B1684)</f>
        <v/>
      </c>
      <c r="C1684" s="79">
        <f>IF('Ordenes_Odoo'!C1684="","",'Ordenes_Odoo'!C1684)</f>
        <v/>
      </c>
      <c r="D1684" s="79">
        <f>IF('Ordenes_Odoo'!D1684="","",'Ordenes_Odoo'!D1684)</f>
        <v/>
      </c>
      <c r="E1684" s="79">
        <f>IF('Ordenes_Odoo'!E1684="","",'Ordenes_Odoo'!E1684)</f>
        <v/>
      </c>
      <c r="F1684" s="79">
        <f>IF('Ordenes_Odoo'!F1684="","",'Ordenes_Odoo'!F1684)</f>
        <v/>
      </c>
      <c r="G1684" s="79">
        <f>IF('Ordenes_Odoo'!G1684="","",'Ordenes_Odoo'!G1684)</f>
        <v/>
      </c>
      <c r="H1684" s="79">
        <f>IF('Ordenes_Odoo'!H1684="","",'Ordenes_Odoo'!H1684)</f>
        <v/>
      </c>
      <c r="I1684" s="79">
        <f>IF('Ordenes_Odoo'!I1684="","",'Ordenes_Odoo'!I1684)</f>
        <v/>
      </c>
      <c r="J1684" s="79">
        <f>IF('Ordenes_Odoo'!J1684="","",'Ordenes_Odoo'!J1684)</f>
        <v/>
      </c>
      <c r="K1684" s="81">
        <f>IF('Ordenes_Odoo'!K1684="","",'Ordenes_Odoo'!K1684)</f>
        <v/>
      </c>
      <c r="L1684" s="81">
        <f>IF('Ordenes_Odoo'!L1684="","",'Ordenes_Odoo'!L1684)</f>
        <v/>
      </c>
      <c r="M1684" s="79">
        <f>IF('Ordenes_Odoo'!M1684="","",'Ordenes_Odoo'!M1684)</f>
        <v/>
      </c>
      <c r="N1684" s="79">
        <f>IF('Ordenes_Odoo'!N1684="","",'Ordenes_Odoo'!N1684)</f>
        <v/>
      </c>
      <c r="O1684" s="81">
        <f>IF('Ordenes_Odoo'!O1684="","",'Ordenes_Odoo'!O1684)</f>
        <v/>
      </c>
      <c r="P1684" s="81">
        <f>IF('Ordenes_Odoo'!P1684="","",'Ordenes_Odoo'!P1684)</f>
        <v/>
      </c>
      <c r="Q1684" s="79">
        <f>IF(A1684="","",IFERROR(INDEX(Facturas_Odoo!$B:$B, MATCH(A1684, Facturas_Odoo!$D:$D, 0)), "Sin Factura"))</f>
        <v/>
      </c>
      <c r="R1684" s="80">
        <f>IF(Q1684="Sin Factura","",IFERROR(INDEX(Facturas_Odoo!$A:$A, MATCH(Q1684, Facturas_Odoo!$B:$B, 0)), ""))</f>
        <v/>
      </c>
      <c r="S1684" s="79">
        <f>IF(Q1684="Sin Factura","",IFERROR(_xlfn.XLOOKUP(1, (Facturas_Odoo!$D:$D=A1684) * (Facturas_Odoo!$K:$K=I1684), Facturas_Odoo!$L:$L, ""), ""))</f>
        <v/>
      </c>
      <c r="T1684" s="81">
        <f>IF(Q1684="Sin Factura",0,IFERROR(_xlfn.XLOOKUP(1, (Facturas_Odoo!$D:$D=A1684) * (Facturas_Odoo!$K:$K=I1684), Facturas_Odoo!$M:$M, 0), 0))</f>
        <v/>
      </c>
      <c r="U1684" s="79">
        <f>IF(Q1684="Sin Factura",0,IFERROR(_xlfn.XLOOKUP(1, (Facturas_Odoo!$D:$D=A1684) * (Facturas_Odoo!$K:$K=I1684), Facturas_Odoo!$N:$N, 0), 0))</f>
        <v/>
      </c>
      <c r="V1684" s="79">
        <f>IF(Q1684="Sin Factura",0,IFERROR(_xlfn.XLOOKUP(1, (Facturas_Odoo!$D:$D=A1684) * (Facturas_Odoo!$K:$K=I1684), Facturas_Odoo!$O:$O, 0), 0))</f>
        <v/>
      </c>
      <c r="W1684" s="81">
        <f>IF(Q1684="Sin Factura",0,IFERROR(_xlfn.XLOOKUP(1, (Facturas_Odoo!$D:$D=A1684) * (Facturas_Odoo!$K:$K=I1684), Facturas_Odoo!$Q:$Q, 0), 0))</f>
        <v/>
      </c>
      <c r="X1684" s="79">
        <f>IF(OR(Q1684="Sin Factura",Q1684=""),"",IFERROR(INDEX(Pagos_Odoo!$B:$B, MATCH(Q1684, Pagos_Odoo!$I:$I, 0)), "Sin Pago"))</f>
        <v/>
      </c>
      <c r="Y1684" s="79">
        <f>IF(X1684="Sin Pago","",IFERROR(INDEX(Pagos_Odoo!$C:$C, MATCH(X1684, Pagos_Odoo!$B:$B, 0)), ""))</f>
        <v/>
      </c>
      <c r="Z1684" s="80">
        <f>IF(X1684="Sin Pago","",IFERROR(INDEX(Pagos_Odoo!$A:$A, MATCH(X1684, Pagos_Odoo!$B:$B, 0)), ""))</f>
        <v/>
      </c>
      <c r="AA1684" s="79">
        <f>IF(X1684="Sin Pago","",IFERROR(INDEX(Pagos_Odoo!$F:$F, MATCH(X1684, Pagos_Odoo!$B:$B, 0)), ""))</f>
        <v/>
      </c>
      <c r="AB1684" s="81">
        <f>IF(X1684="Sin Pago",0,IFERROR(INDEX(Pagos_Odoo!$E:$E, MATCH(X1684, Pagos_Odoo!$B:$B, 0)), 0))</f>
        <v/>
      </c>
      <c r="AC1684" s="79">
        <f>IF(X1684="Sin Pago","",IFERROR(INDEX(Pagos_Odoo!$G:$G, MATCH(X1684, Pagos_Odoo!$B:$B, 0)), ""))</f>
        <v/>
      </c>
      <c r="AD1684" s="82" t="n">
        <v>0</v>
      </c>
      <c r="AE1684" s="82" t="n"/>
      <c r="AF1684" s="82" t="n"/>
      <c r="AG1684" s="82">
        <f>IF(AN1684="","",AD1684+AE1684+AF1684)</f>
        <v/>
      </c>
      <c r="AH1684" s="81">
        <f>IF(AN1684="","",P1684*(1-AG1684))</f>
        <v/>
      </c>
      <c r="AI1684" s="81">
        <f>IF(AN1684="","",IF(Q1684="Sin Factura",0,IFERROR(INDEX(Facturas_Odoo!$H:$H, MATCH(Q1684, Facturas_Odoo!$B:$B, 0)), 0)*(1-AG1684)))</f>
        <v/>
      </c>
      <c r="AJ1684" s="81">
        <f>IF(AN1684="","",_xlfn.LET(idVenta, AN1684&amp;"",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84" s="81">
        <f>IF(AN1684="","",AH1684-AJ1684)</f>
        <v/>
      </c>
      <c r="AL1684" s="81">
        <f>IF(AN1684="","",IF(Q1684="Sin Factura","",AI1684-AJ1684))</f>
        <v/>
      </c>
      <c r="AM1684" s="81">
        <f>IF(AN1684="","",IF(Q1684="Sin Factura",0,P1684-IFERROR(INDEX(Facturas_Odoo!$H:$H, MATCH(Q1684, Facturas_Odoo!$B:$B, 0)), 0)))</f>
        <v/>
      </c>
      <c r="AN1684" s="79">
        <f>IF(AND(A1684="", J1684=""), "", IF(A1684&lt;&gt;"", VALUE(MID(A1684,2,LEN(A1684))), AN1683))</f>
        <v/>
      </c>
      <c r="AO1684" s="79">
        <f>IF(AN1684="","",IF(AD1684=0,"OK",_xlfn.LET(monedaPago, IF(AA1684="","USD",AA1684), limitePermitido, IFERROR(VLOOKUP(monedaPago, Configuración!$A$2:$B$3, 2, FALSE), 0.15), IF(AD1684&gt;limitePermitido, "ALERTA: EXCESO (" &amp; TEXT(limitePermitido, "0%") &amp; " máx)", "OK"))))</f>
        <v/>
      </c>
      <c r="AP1684" s="79">
        <f>IF(AN1684="","",IF(AE1684=0,"OK",_xlfn.LET(fechaPago, Z1684, fechaFactura, R1684, diasCredito, IF(E1684="Pago inmediato", 0, IFERROR(VALUE(MID(E1684, 1, SEARCH(" ", E1684)-1)),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84" s="79">
        <f>IF(AN1684="","",IF(AND(N1684&gt;0, AG1684&gt;0), IF(Configuración!$K$2="NO", "ALERTA: DESCUENTO DOBLE NO PERMITIDO", "OK"), "OK"))</f>
        <v/>
      </c>
      <c r="AR1684" s="79">
        <f>IF(AN1684="","",IF(OR(AO1684&lt;&gt;"OK", AP1684&lt;&gt;"OK", AQ1684&lt;&gt;"OK"), "⚠️ REVISAR", "OK"))</f>
        <v/>
      </c>
    </row>
    <row r="1685">
      <c r="A1685" s="79">
        <f>IF('Ordenes_Odoo'!A1685="","",'Ordenes_Odoo'!A1685)</f>
        <v/>
      </c>
      <c r="B1685" s="80">
        <f>IF('Ordenes_Odoo'!B1685="","",'Ordenes_Odoo'!B1685)</f>
        <v/>
      </c>
      <c r="C1685" s="79">
        <f>IF('Ordenes_Odoo'!C1685="","",'Ordenes_Odoo'!C1685)</f>
        <v/>
      </c>
      <c r="D1685" s="79">
        <f>IF('Ordenes_Odoo'!D1685="","",'Ordenes_Odoo'!D1685)</f>
        <v/>
      </c>
      <c r="E1685" s="79">
        <f>IF('Ordenes_Odoo'!E1685="","",'Ordenes_Odoo'!E1685)</f>
        <v/>
      </c>
      <c r="F1685" s="79">
        <f>IF('Ordenes_Odoo'!F1685="","",'Ordenes_Odoo'!F1685)</f>
        <v/>
      </c>
      <c r="G1685" s="79">
        <f>IF('Ordenes_Odoo'!G1685="","",'Ordenes_Odoo'!G1685)</f>
        <v/>
      </c>
      <c r="H1685" s="79">
        <f>IF('Ordenes_Odoo'!H1685="","",'Ordenes_Odoo'!H1685)</f>
        <v/>
      </c>
      <c r="I1685" s="79">
        <f>IF('Ordenes_Odoo'!I1685="","",'Ordenes_Odoo'!I1685)</f>
        <v/>
      </c>
      <c r="J1685" s="79">
        <f>IF('Ordenes_Odoo'!J1685="","",'Ordenes_Odoo'!J1685)</f>
        <v/>
      </c>
      <c r="K1685" s="81">
        <f>IF('Ordenes_Odoo'!K1685="","",'Ordenes_Odoo'!K1685)</f>
        <v/>
      </c>
      <c r="L1685" s="81">
        <f>IF('Ordenes_Odoo'!L1685="","",'Ordenes_Odoo'!L1685)</f>
        <v/>
      </c>
      <c r="M1685" s="79">
        <f>IF('Ordenes_Odoo'!M1685="","",'Ordenes_Odoo'!M1685)</f>
        <v/>
      </c>
      <c r="N1685" s="79">
        <f>IF('Ordenes_Odoo'!N1685="","",'Ordenes_Odoo'!N1685)</f>
        <v/>
      </c>
      <c r="O1685" s="81">
        <f>IF('Ordenes_Odoo'!O1685="","",'Ordenes_Odoo'!O1685)</f>
        <v/>
      </c>
      <c r="P1685" s="81">
        <f>IF('Ordenes_Odoo'!P1685="","",'Ordenes_Odoo'!P1685)</f>
        <v/>
      </c>
      <c r="Q1685" s="79">
        <f>IF(A1685="","",IFERROR(INDEX(Facturas_Odoo!$B:$B, MATCH(A1685, Facturas_Odoo!$D:$D, 0)), "Sin Factura"))</f>
        <v/>
      </c>
      <c r="R1685" s="80">
        <f>IF(Q1685="Sin Factura","",IFERROR(INDEX(Facturas_Odoo!$A:$A, MATCH(Q1685, Facturas_Odoo!$B:$B, 0)), ""))</f>
        <v/>
      </c>
      <c r="S1685" s="79">
        <f>IF(Q1685="Sin Factura","",IFERROR(_xlfn.XLOOKUP(1, (Facturas_Odoo!$D:$D=A1685) * (Facturas_Odoo!$K:$K=I1685), Facturas_Odoo!$L:$L, ""), ""))</f>
        <v/>
      </c>
      <c r="T1685" s="81">
        <f>IF(Q1685="Sin Factura",0,IFERROR(_xlfn.XLOOKUP(1, (Facturas_Odoo!$D:$D=A1685) * (Facturas_Odoo!$K:$K=I1685), Facturas_Odoo!$M:$M, 0), 0))</f>
        <v/>
      </c>
      <c r="U1685" s="79">
        <f>IF(Q1685="Sin Factura",0,IFERROR(_xlfn.XLOOKUP(1, (Facturas_Odoo!$D:$D=A1685) * (Facturas_Odoo!$K:$K=I1685), Facturas_Odoo!$N:$N, 0), 0))</f>
        <v/>
      </c>
      <c r="V1685" s="79">
        <f>IF(Q1685="Sin Factura",0,IFERROR(_xlfn.XLOOKUP(1, (Facturas_Odoo!$D:$D=A1685) * (Facturas_Odoo!$K:$K=I1685), Facturas_Odoo!$O:$O, 0), 0))</f>
        <v/>
      </c>
      <c r="W1685" s="81">
        <f>IF(Q1685="Sin Factura",0,IFERROR(_xlfn.XLOOKUP(1, (Facturas_Odoo!$D:$D=A1685) * (Facturas_Odoo!$K:$K=I1685), Facturas_Odoo!$Q:$Q, 0), 0))</f>
        <v/>
      </c>
      <c r="X1685" s="79">
        <f>IF(OR(Q1685="Sin Factura",Q1685=""),"",IFERROR(INDEX(Pagos_Odoo!$B:$B, MATCH(Q1685, Pagos_Odoo!$I:$I, 0)), "Sin Pago"))</f>
        <v/>
      </c>
      <c r="Y1685" s="79">
        <f>IF(X1685="Sin Pago","",IFERROR(INDEX(Pagos_Odoo!$C:$C, MATCH(X1685, Pagos_Odoo!$B:$B, 0)), ""))</f>
        <v/>
      </c>
      <c r="Z1685" s="80">
        <f>IF(X1685="Sin Pago","",IFERROR(INDEX(Pagos_Odoo!$A:$A, MATCH(X1685, Pagos_Odoo!$B:$B, 0)), ""))</f>
        <v/>
      </c>
      <c r="AA1685" s="79">
        <f>IF(X1685="Sin Pago","",IFERROR(INDEX(Pagos_Odoo!$F:$F, MATCH(X1685, Pagos_Odoo!$B:$B, 0)), ""))</f>
        <v/>
      </c>
      <c r="AB1685" s="81">
        <f>IF(X1685="Sin Pago",0,IFERROR(INDEX(Pagos_Odoo!$E:$E, MATCH(X1685, Pagos_Odoo!$B:$B, 0)), 0))</f>
        <v/>
      </c>
      <c r="AC1685" s="79">
        <f>IF(X1685="Sin Pago","",IFERROR(INDEX(Pagos_Odoo!$G:$G, MATCH(X1685, Pagos_Odoo!$B:$B, 0)), ""))</f>
        <v/>
      </c>
      <c r="AD1685" s="82" t="n">
        <v>0</v>
      </c>
      <c r="AE1685" s="82" t="n"/>
      <c r="AF1685" s="82" t="n"/>
      <c r="AG1685" s="82">
        <f>IF(AN1685="","",AD1685+AE1685+AF1685)</f>
        <v/>
      </c>
      <c r="AH1685" s="81">
        <f>IF(AN1685="","",P1685*(1-AG1685))</f>
        <v/>
      </c>
      <c r="AI1685" s="81">
        <f>IF(AN1685="","",IF(Q1685="Sin Factura",0,IFERROR(INDEX(Facturas_Odoo!$H:$H, MATCH(Q1685, Facturas_Odoo!$B:$B, 0)), 0)*(1-AG1685)))</f>
        <v/>
      </c>
      <c r="AJ1685" s="81">
        <f>IF(AN1685="","",_xlfn.LET(idVenta, AN1685&amp;"",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85" s="81">
        <f>IF(AN1685="","",AH1685-AJ1685)</f>
        <v/>
      </c>
      <c r="AL1685" s="81">
        <f>IF(AN1685="","",IF(Q1685="Sin Factura","",AI1685-AJ1685))</f>
        <v/>
      </c>
      <c r="AM1685" s="81">
        <f>IF(AN1685="","",IF(Q1685="Sin Factura",0,P1685-IFERROR(INDEX(Facturas_Odoo!$H:$H, MATCH(Q1685, Facturas_Odoo!$B:$B, 0)), 0)))</f>
        <v/>
      </c>
      <c r="AN1685" s="79">
        <f>IF(AND(A1685="", J1685=""), "", IF(A1685&lt;&gt;"", VALUE(MID(A1685,2,LEN(A1685))), AN1684))</f>
        <v/>
      </c>
      <c r="AO1685" s="79">
        <f>IF(AN1685="","",IF(AD1685=0,"OK",_xlfn.LET(monedaPago, IF(AA1685="","USD",AA1685), limitePermitido, IFERROR(VLOOKUP(monedaPago, Configuración!$A$2:$B$3, 2, FALSE), 0.15), IF(AD1685&gt;limitePermitido, "ALERTA: EXCESO (" &amp; TEXT(limitePermitido, "0%") &amp; " máx)", "OK"))))</f>
        <v/>
      </c>
      <c r="AP1685" s="79">
        <f>IF(AN1685="","",IF(AE1685=0,"OK",_xlfn.LET(fechaPago, Z1685, fechaFactura, R1685, diasCredito, IF(E1685="Pago inmediato", 0, IFERROR(VALUE(MID(E1685, 1, SEARCH(" ", E1685)-1)),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85" s="79">
        <f>IF(AN1685="","",IF(AND(N1685&gt;0, AG1685&gt;0), IF(Configuración!$K$2="NO", "ALERTA: DESCUENTO DOBLE NO PERMITIDO", "OK"), "OK"))</f>
        <v/>
      </c>
      <c r="AR1685" s="79">
        <f>IF(AN1685="","",IF(OR(AO1685&lt;&gt;"OK", AP1685&lt;&gt;"OK", AQ1685&lt;&gt;"OK"), "⚠️ REVISAR", "OK"))</f>
        <v/>
      </c>
    </row>
    <row r="1686">
      <c r="A1686" s="79">
        <f>IF('Ordenes_Odoo'!A1686="","",'Ordenes_Odoo'!A1686)</f>
        <v/>
      </c>
      <c r="B1686" s="80">
        <f>IF('Ordenes_Odoo'!B1686="","",'Ordenes_Odoo'!B1686)</f>
        <v/>
      </c>
      <c r="C1686" s="79">
        <f>IF('Ordenes_Odoo'!C1686="","",'Ordenes_Odoo'!C1686)</f>
        <v/>
      </c>
      <c r="D1686" s="79">
        <f>IF('Ordenes_Odoo'!D1686="","",'Ordenes_Odoo'!D1686)</f>
        <v/>
      </c>
      <c r="E1686" s="79">
        <f>IF('Ordenes_Odoo'!E1686="","",'Ordenes_Odoo'!E1686)</f>
        <v/>
      </c>
      <c r="F1686" s="79">
        <f>IF('Ordenes_Odoo'!F1686="","",'Ordenes_Odoo'!F1686)</f>
        <v/>
      </c>
      <c r="G1686" s="79">
        <f>IF('Ordenes_Odoo'!G1686="","",'Ordenes_Odoo'!G1686)</f>
        <v/>
      </c>
      <c r="H1686" s="79">
        <f>IF('Ordenes_Odoo'!H1686="","",'Ordenes_Odoo'!H1686)</f>
        <v/>
      </c>
      <c r="I1686" s="79">
        <f>IF('Ordenes_Odoo'!I1686="","",'Ordenes_Odoo'!I1686)</f>
        <v/>
      </c>
      <c r="J1686" s="79">
        <f>IF('Ordenes_Odoo'!J1686="","",'Ordenes_Odoo'!J1686)</f>
        <v/>
      </c>
      <c r="K1686" s="81">
        <f>IF('Ordenes_Odoo'!K1686="","",'Ordenes_Odoo'!K1686)</f>
        <v/>
      </c>
      <c r="L1686" s="81">
        <f>IF('Ordenes_Odoo'!L1686="","",'Ordenes_Odoo'!L1686)</f>
        <v/>
      </c>
      <c r="M1686" s="79">
        <f>IF('Ordenes_Odoo'!M1686="","",'Ordenes_Odoo'!M1686)</f>
        <v/>
      </c>
      <c r="N1686" s="79">
        <f>IF('Ordenes_Odoo'!N1686="","",'Ordenes_Odoo'!N1686)</f>
        <v/>
      </c>
      <c r="O1686" s="81">
        <f>IF('Ordenes_Odoo'!O1686="","",'Ordenes_Odoo'!O1686)</f>
        <v/>
      </c>
      <c r="P1686" s="81">
        <f>IF('Ordenes_Odoo'!P1686="","",'Ordenes_Odoo'!P1686)</f>
        <v/>
      </c>
      <c r="Q1686" s="79">
        <f>IF(A1686="","",IFERROR(INDEX(Facturas_Odoo!$B:$B, MATCH(A1686, Facturas_Odoo!$D:$D, 0)), "Sin Factura"))</f>
        <v/>
      </c>
      <c r="R1686" s="80">
        <f>IF(Q1686="Sin Factura","",IFERROR(INDEX(Facturas_Odoo!$A:$A, MATCH(Q1686, Facturas_Odoo!$B:$B, 0)), ""))</f>
        <v/>
      </c>
      <c r="S1686" s="79">
        <f>IF(Q1686="Sin Factura","",IFERROR(_xlfn.XLOOKUP(1, (Facturas_Odoo!$D:$D=A1686) * (Facturas_Odoo!$K:$K=I1686), Facturas_Odoo!$L:$L, ""), ""))</f>
        <v/>
      </c>
      <c r="T1686" s="81">
        <f>IF(Q1686="Sin Factura",0,IFERROR(_xlfn.XLOOKUP(1, (Facturas_Odoo!$D:$D=A1686) * (Facturas_Odoo!$K:$K=I1686), Facturas_Odoo!$M:$M, 0), 0))</f>
        <v/>
      </c>
      <c r="U1686" s="79">
        <f>IF(Q1686="Sin Factura",0,IFERROR(_xlfn.XLOOKUP(1, (Facturas_Odoo!$D:$D=A1686) * (Facturas_Odoo!$K:$K=I1686), Facturas_Odoo!$N:$N, 0), 0))</f>
        <v/>
      </c>
      <c r="V1686" s="79">
        <f>IF(Q1686="Sin Factura",0,IFERROR(_xlfn.XLOOKUP(1, (Facturas_Odoo!$D:$D=A1686) * (Facturas_Odoo!$K:$K=I1686), Facturas_Odoo!$O:$O, 0), 0))</f>
        <v/>
      </c>
      <c r="W1686" s="81">
        <f>IF(Q1686="Sin Factura",0,IFERROR(_xlfn.XLOOKUP(1, (Facturas_Odoo!$D:$D=A1686) * (Facturas_Odoo!$K:$K=I1686), Facturas_Odoo!$Q:$Q, 0), 0))</f>
        <v/>
      </c>
      <c r="X1686" s="79">
        <f>IF(OR(Q1686="Sin Factura",Q1686=""),"",IFERROR(INDEX(Pagos_Odoo!$B:$B, MATCH(Q1686, Pagos_Odoo!$I:$I, 0)), "Sin Pago"))</f>
        <v/>
      </c>
      <c r="Y1686" s="79">
        <f>IF(X1686="Sin Pago","",IFERROR(INDEX(Pagos_Odoo!$C:$C, MATCH(X1686, Pagos_Odoo!$B:$B, 0)), ""))</f>
        <v/>
      </c>
      <c r="Z1686" s="80">
        <f>IF(X1686="Sin Pago","",IFERROR(INDEX(Pagos_Odoo!$A:$A, MATCH(X1686, Pagos_Odoo!$B:$B, 0)), ""))</f>
        <v/>
      </c>
      <c r="AA1686" s="79">
        <f>IF(X1686="Sin Pago","",IFERROR(INDEX(Pagos_Odoo!$F:$F, MATCH(X1686, Pagos_Odoo!$B:$B, 0)), ""))</f>
        <v/>
      </c>
      <c r="AB1686" s="81">
        <f>IF(X1686="Sin Pago",0,IFERROR(INDEX(Pagos_Odoo!$E:$E, MATCH(X1686, Pagos_Odoo!$B:$B, 0)), 0))</f>
        <v/>
      </c>
      <c r="AC1686" s="79">
        <f>IF(X1686="Sin Pago","",IFERROR(INDEX(Pagos_Odoo!$G:$G, MATCH(X1686, Pagos_Odoo!$B:$B, 0)), ""))</f>
        <v/>
      </c>
      <c r="AD1686" s="82" t="n">
        <v>0</v>
      </c>
      <c r="AE1686" s="82" t="n"/>
      <c r="AF1686" s="82" t="n"/>
      <c r="AG1686" s="82">
        <f>IF(AN1686="","",AD1686+AE1686+AF1686)</f>
        <v/>
      </c>
      <c r="AH1686" s="81">
        <f>IF(AN1686="","",P1686*(1-AG1686))</f>
        <v/>
      </c>
      <c r="AI1686" s="81">
        <f>IF(AN1686="","",IF(Q1686="Sin Factura",0,IFERROR(INDEX(Facturas_Odoo!$H:$H, MATCH(Q1686, Facturas_Odoo!$B:$B, 0)), 0)*(1-AG1686)))</f>
        <v/>
      </c>
      <c r="AJ1686" s="81">
        <f>IF(AN1686="","",_xlfn.LET(idVenta, AN1686&amp;"",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86" s="81">
        <f>IF(AN1686="","",AH1686-AJ1686)</f>
        <v/>
      </c>
      <c r="AL1686" s="81">
        <f>IF(AN1686="","",IF(Q1686="Sin Factura","",AI1686-AJ1686))</f>
        <v/>
      </c>
      <c r="AM1686" s="81">
        <f>IF(AN1686="","",IF(Q1686="Sin Factura",0,P1686-IFERROR(INDEX(Facturas_Odoo!$H:$H, MATCH(Q1686, Facturas_Odoo!$B:$B, 0)), 0)))</f>
        <v/>
      </c>
      <c r="AN1686" s="79">
        <f>IF(AND(A1686="", J1686=""), "", IF(A1686&lt;&gt;"", VALUE(MID(A1686,2,LEN(A1686))), AN1685))</f>
        <v/>
      </c>
      <c r="AO1686" s="79">
        <f>IF(AN1686="","",IF(AD1686=0,"OK",_xlfn.LET(monedaPago, IF(AA1686="","USD",AA1686), limitePermitido, IFERROR(VLOOKUP(monedaPago, Configuración!$A$2:$B$3, 2, FALSE), 0.15), IF(AD1686&gt;limitePermitido, "ALERTA: EXCESO (" &amp; TEXT(limitePermitido, "0%") &amp; " máx)", "OK"))))</f>
        <v/>
      </c>
      <c r="AP1686" s="79">
        <f>IF(AN1686="","",IF(AE1686=0,"OK",_xlfn.LET(fechaPago, Z1686, fechaFactura, R1686, diasCredito, IF(E1686="Pago inmediato", 0, IFERROR(VALUE(MID(E1686, 1, SEARCH(" ", E1686)-1)),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86" s="79">
        <f>IF(AN1686="","",IF(AND(N1686&gt;0, AG1686&gt;0), IF(Configuración!$K$2="NO", "ALERTA: DESCUENTO DOBLE NO PERMITIDO", "OK"), "OK"))</f>
        <v/>
      </c>
      <c r="AR1686" s="79">
        <f>IF(AN1686="","",IF(OR(AO1686&lt;&gt;"OK", AP1686&lt;&gt;"OK", AQ1686&lt;&gt;"OK"), "⚠️ REVISAR", "OK"))</f>
        <v/>
      </c>
    </row>
    <row r="1687">
      <c r="A1687" s="79">
        <f>IF('Ordenes_Odoo'!A1687="","",'Ordenes_Odoo'!A1687)</f>
        <v/>
      </c>
      <c r="B1687" s="80">
        <f>IF('Ordenes_Odoo'!B1687="","",'Ordenes_Odoo'!B1687)</f>
        <v/>
      </c>
      <c r="C1687" s="79">
        <f>IF('Ordenes_Odoo'!C1687="","",'Ordenes_Odoo'!C1687)</f>
        <v/>
      </c>
      <c r="D1687" s="79">
        <f>IF('Ordenes_Odoo'!D1687="","",'Ordenes_Odoo'!D1687)</f>
        <v/>
      </c>
      <c r="E1687" s="79">
        <f>IF('Ordenes_Odoo'!E1687="","",'Ordenes_Odoo'!E1687)</f>
        <v/>
      </c>
      <c r="F1687" s="79">
        <f>IF('Ordenes_Odoo'!F1687="","",'Ordenes_Odoo'!F1687)</f>
        <v/>
      </c>
      <c r="G1687" s="79">
        <f>IF('Ordenes_Odoo'!G1687="","",'Ordenes_Odoo'!G1687)</f>
        <v/>
      </c>
      <c r="H1687" s="79">
        <f>IF('Ordenes_Odoo'!H1687="","",'Ordenes_Odoo'!H1687)</f>
        <v/>
      </c>
      <c r="I1687" s="79">
        <f>IF('Ordenes_Odoo'!I1687="","",'Ordenes_Odoo'!I1687)</f>
        <v/>
      </c>
      <c r="J1687" s="79">
        <f>IF('Ordenes_Odoo'!J1687="","",'Ordenes_Odoo'!J1687)</f>
        <v/>
      </c>
      <c r="K1687" s="81">
        <f>IF('Ordenes_Odoo'!K1687="","",'Ordenes_Odoo'!K1687)</f>
        <v/>
      </c>
      <c r="L1687" s="81">
        <f>IF('Ordenes_Odoo'!L1687="","",'Ordenes_Odoo'!L1687)</f>
        <v/>
      </c>
      <c r="M1687" s="79">
        <f>IF('Ordenes_Odoo'!M1687="","",'Ordenes_Odoo'!M1687)</f>
        <v/>
      </c>
      <c r="N1687" s="79">
        <f>IF('Ordenes_Odoo'!N1687="","",'Ordenes_Odoo'!N1687)</f>
        <v/>
      </c>
      <c r="O1687" s="81">
        <f>IF('Ordenes_Odoo'!O1687="","",'Ordenes_Odoo'!O1687)</f>
        <v/>
      </c>
      <c r="P1687" s="81">
        <f>IF('Ordenes_Odoo'!P1687="","",'Ordenes_Odoo'!P1687)</f>
        <v/>
      </c>
      <c r="Q1687" s="79">
        <f>IF(A1687="","",IFERROR(INDEX(Facturas_Odoo!$B:$B, MATCH(A1687, Facturas_Odoo!$D:$D, 0)), "Sin Factura"))</f>
        <v/>
      </c>
      <c r="R1687" s="80">
        <f>IF(Q1687="Sin Factura","",IFERROR(INDEX(Facturas_Odoo!$A:$A, MATCH(Q1687, Facturas_Odoo!$B:$B, 0)), ""))</f>
        <v/>
      </c>
      <c r="S1687" s="79">
        <f>IF(Q1687="Sin Factura","",IFERROR(_xlfn.XLOOKUP(1, (Facturas_Odoo!$D:$D=A1687) * (Facturas_Odoo!$K:$K=I1687), Facturas_Odoo!$L:$L, ""), ""))</f>
        <v/>
      </c>
      <c r="T1687" s="81">
        <f>IF(Q1687="Sin Factura",0,IFERROR(_xlfn.XLOOKUP(1, (Facturas_Odoo!$D:$D=A1687) * (Facturas_Odoo!$K:$K=I1687), Facturas_Odoo!$M:$M, 0), 0))</f>
        <v/>
      </c>
      <c r="U1687" s="79">
        <f>IF(Q1687="Sin Factura",0,IFERROR(_xlfn.XLOOKUP(1, (Facturas_Odoo!$D:$D=A1687) * (Facturas_Odoo!$K:$K=I1687), Facturas_Odoo!$N:$N, 0), 0))</f>
        <v/>
      </c>
      <c r="V1687" s="79">
        <f>IF(Q1687="Sin Factura",0,IFERROR(_xlfn.XLOOKUP(1, (Facturas_Odoo!$D:$D=A1687) * (Facturas_Odoo!$K:$K=I1687), Facturas_Odoo!$O:$O, 0), 0))</f>
        <v/>
      </c>
      <c r="W1687" s="81">
        <f>IF(Q1687="Sin Factura",0,IFERROR(_xlfn.XLOOKUP(1, (Facturas_Odoo!$D:$D=A1687) * (Facturas_Odoo!$K:$K=I1687), Facturas_Odoo!$Q:$Q, 0), 0))</f>
        <v/>
      </c>
      <c r="X1687" s="79">
        <f>IF(OR(Q1687="Sin Factura",Q1687=""),"",IFERROR(INDEX(Pagos_Odoo!$B:$B, MATCH(Q1687, Pagos_Odoo!$I:$I, 0)), "Sin Pago"))</f>
        <v/>
      </c>
      <c r="Y1687" s="79">
        <f>IF(X1687="Sin Pago","",IFERROR(INDEX(Pagos_Odoo!$C:$C, MATCH(X1687, Pagos_Odoo!$B:$B, 0)), ""))</f>
        <v/>
      </c>
      <c r="Z1687" s="80">
        <f>IF(X1687="Sin Pago","",IFERROR(INDEX(Pagos_Odoo!$A:$A, MATCH(X1687, Pagos_Odoo!$B:$B, 0)), ""))</f>
        <v/>
      </c>
      <c r="AA1687" s="79">
        <f>IF(X1687="Sin Pago","",IFERROR(INDEX(Pagos_Odoo!$F:$F, MATCH(X1687, Pagos_Odoo!$B:$B, 0)), ""))</f>
        <v/>
      </c>
      <c r="AB1687" s="81">
        <f>IF(X1687="Sin Pago",0,IFERROR(INDEX(Pagos_Odoo!$E:$E, MATCH(X1687, Pagos_Odoo!$B:$B, 0)), 0))</f>
        <v/>
      </c>
      <c r="AC1687" s="79">
        <f>IF(X1687="Sin Pago","",IFERROR(INDEX(Pagos_Odoo!$G:$G, MATCH(X1687, Pagos_Odoo!$B:$B, 0)), ""))</f>
        <v/>
      </c>
      <c r="AD1687" s="82" t="n">
        <v>0</v>
      </c>
      <c r="AE1687" s="82" t="n"/>
      <c r="AF1687" s="82" t="n"/>
      <c r="AG1687" s="82">
        <f>IF(AN1687="","",AD1687+AE1687+AF1687)</f>
        <v/>
      </c>
      <c r="AH1687" s="81">
        <f>IF(AN1687="","",P1687*(1-AG1687))</f>
        <v/>
      </c>
      <c r="AI1687" s="81">
        <f>IF(AN1687="","",IF(Q1687="Sin Factura",0,IFERROR(INDEX(Facturas_Odoo!$H:$H, MATCH(Q1687, Facturas_Odoo!$B:$B, 0)), 0)*(1-AG1687)))</f>
        <v/>
      </c>
      <c r="AJ1687" s="81">
        <f>IF(AN1687="","",_xlfn.LET(idVenta, AN1687&amp;"",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87" s="81">
        <f>IF(AN1687="","",AH1687-AJ1687)</f>
        <v/>
      </c>
      <c r="AL1687" s="81">
        <f>IF(AN1687="","",IF(Q1687="Sin Factura","",AI1687-AJ1687))</f>
        <v/>
      </c>
      <c r="AM1687" s="81">
        <f>IF(AN1687="","",IF(Q1687="Sin Factura",0,P1687-IFERROR(INDEX(Facturas_Odoo!$H:$H, MATCH(Q1687, Facturas_Odoo!$B:$B, 0)), 0)))</f>
        <v/>
      </c>
      <c r="AN1687" s="79">
        <f>IF(AND(A1687="", J1687=""), "", IF(A1687&lt;&gt;"", VALUE(MID(A1687,2,LEN(A1687))), AN1686))</f>
        <v/>
      </c>
      <c r="AO1687" s="79">
        <f>IF(AN1687="","",IF(AD1687=0,"OK",_xlfn.LET(monedaPago, IF(AA1687="","USD",AA1687), limitePermitido, IFERROR(VLOOKUP(monedaPago, Configuración!$A$2:$B$3, 2, FALSE), 0.15), IF(AD1687&gt;limitePermitido, "ALERTA: EXCESO (" &amp; TEXT(limitePermitido, "0%") &amp; " máx)", "OK"))))</f>
        <v/>
      </c>
      <c r="AP1687" s="79">
        <f>IF(AN1687="","",IF(AE1687=0,"OK",_xlfn.LET(fechaPago, Z1687, fechaFactura, R1687, diasCredito, IF(E1687="Pago inmediato", 0, IFERROR(VALUE(MID(E1687, 1, SEARCH(" ", E1687)-1)),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87" s="79">
        <f>IF(AN1687="","",IF(AND(N1687&gt;0, AG1687&gt;0), IF(Configuración!$K$2="NO", "ALERTA: DESCUENTO DOBLE NO PERMITIDO", "OK"), "OK"))</f>
        <v/>
      </c>
      <c r="AR1687" s="79">
        <f>IF(AN1687="","",IF(OR(AO1687&lt;&gt;"OK", AP1687&lt;&gt;"OK", AQ1687&lt;&gt;"OK"), "⚠️ REVISAR", "OK"))</f>
        <v/>
      </c>
    </row>
    <row r="1688">
      <c r="A1688" s="79">
        <f>IF('Ordenes_Odoo'!A1688="","",'Ordenes_Odoo'!A1688)</f>
        <v/>
      </c>
      <c r="B1688" s="80">
        <f>IF('Ordenes_Odoo'!B1688="","",'Ordenes_Odoo'!B1688)</f>
        <v/>
      </c>
      <c r="C1688" s="79">
        <f>IF('Ordenes_Odoo'!C1688="","",'Ordenes_Odoo'!C1688)</f>
        <v/>
      </c>
      <c r="D1688" s="79">
        <f>IF('Ordenes_Odoo'!D1688="","",'Ordenes_Odoo'!D1688)</f>
        <v/>
      </c>
      <c r="E1688" s="79">
        <f>IF('Ordenes_Odoo'!E1688="","",'Ordenes_Odoo'!E1688)</f>
        <v/>
      </c>
      <c r="F1688" s="79">
        <f>IF('Ordenes_Odoo'!F1688="","",'Ordenes_Odoo'!F1688)</f>
        <v/>
      </c>
      <c r="G1688" s="79">
        <f>IF('Ordenes_Odoo'!G1688="","",'Ordenes_Odoo'!G1688)</f>
        <v/>
      </c>
      <c r="H1688" s="79">
        <f>IF('Ordenes_Odoo'!H1688="","",'Ordenes_Odoo'!H1688)</f>
        <v/>
      </c>
      <c r="I1688" s="79">
        <f>IF('Ordenes_Odoo'!I1688="","",'Ordenes_Odoo'!I1688)</f>
        <v/>
      </c>
      <c r="J1688" s="79">
        <f>IF('Ordenes_Odoo'!J1688="","",'Ordenes_Odoo'!J1688)</f>
        <v/>
      </c>
      <c r="K1688" s="81">
        <f>IF('Ordenes_Odoo'!K1688="","",'Ordenes_Odoo'!K1688)</f>
        <v/>
      </c>
      <c r="L1688" s="81">
        <f>IF('Ordenes_Odoo'!L1688="","",'Ordenes_Odoo'!L1688)</f>
        <v/>
      </c>
      <c r="M1688" s="79">
        <f>IF('Ordenes_Odoo'!M1688="","",'Ordenes_Odoo'!M1688)</f>
        <v/>
      </c>
      <c r="N1688" s="79">
        <f>IF('Ordenes_Odoo'!N1688="","",'Ordenes_Odoo'!N1688)</f>
        <v/>
      </c>
      <c r="O1688" s="81">
        <f>IF('Ordenes_Odoo'!O1688="","",'Ordenes_Odoo'!O1688)</f>
        <v/>
      </c>
      <c r="P1688" s="81">
        <f>IF('Ordenes_Odoo'!P1688="","",'Ordenes_Odoo'!P1688)</f>
        <v/>
      </c>
      <c r="Q1688" s="79">
        <f>IF(A1688="","",IFERROR(INDEX(Facturas_Odoo!$B:$B, MATCH(A1688, Facturas_Odoo!$D:$D, 0)), "Sin Factura"))</f>
        <v/>
      </c>
      <c r="R1688" s="80">
        <f>IF(Q1688="Sin Factura","",IFERROR(INDEX(Facturas_Odoo!$A:$A, MATCH(Q1688, Facturas_Odoo!$B:$B, 0)), ""))</f>
        <v/>
      </c>
      <c r="S1688" s="79">
        <f>IF(Q1688="Sin Factura","",IFERROR(_xlfn.XLOOKUP(1, (Facturas_Odoo!$D:$D=A1688) * (Facturas_Odoo!$K:$K=I1688), Facturas_Odoo!$L:$L, ""), ""))</f>
        <v/>
      </c>
      <c r="T1688" s="81">
        <f>IF(Q1688="Sin Factura",0,IFERROR(_xlfn.XLOOKUP(1, (Facturas_Odoo!$D:$D=A1688) * (Facturas_Odoo!$K:$K=I1688), Facturas_Odoo!$M:$M, 0), 0))</f>
        <v/>
      </c>
      <c r="U1688" s="79">
        <f>IF(Q1688="Sin Factura",0,IFERROR(_xlfn.XLOOKUP(1, (Facturas_Odoo!$D:$D=A1688) * (Facturas_Odoo!$K:$K=I1688), Facturas_Odoo!$N:$N, 0), 0))</f>
        <v/>
      </c>
      <c r="V1688" s="79">
        <f>IF(Q1688="Sin Factura",0,IFERROR(_xlfn.XLOOKUP(1, (Facturas_Odoo!$D:$D=A1688) * (Facturas_Odoo!$K:$K=I1688), Facturas_Odoo!$O:$O, 0), 0))</f>
        <v/>
      </c>
      <c r="W1688" s="81">
        <f>IF(Q1688="Sin Factura",0,IFERROR(_xlfn.XLOOKUP(1, (Facturas_Odoo!$D:$D=A1688) * (Facturas_Odoo!$K:$K=I1688), Facturas_Odoo!$Q:$Q, 0), 0))</f>
        <v/>
      </c>
      <c r="X1688" s="79">
        <f>IF(OR(Q1688="Sin Factura",Q1688=""),"",IFERROR(INDEX(Pagos_Odoo!$B:$B, MATCH(Q1688, Pagos_Odoo!$I:$I, 0)), "Sin Pago"))</f>
        <v/>
      </c>
      <c r="Y1688" s="79">
        <f>IF(X1688="Sin Pago","",IFERROR(INDEX(Pagos_Odoo!$C:$C, MATCH(X1688, Pagos_Odoo!$B:$B, 0)), ""))</f>
        <v/>
      </c>
      <c r="Z1688" s="80">
        <f>IF(X1688="Sin Pago","",IFERROR(INDEX(Pagos_Odoo!$A:$A, MATCH(X1688, Pagos_Odoo!$B:$B, 0)), ""))</f>
        <v/>
      </c>
      <c r="AA1688" s="79">
        <f>IF(X1688="Sin Pago","",IFERROR(INDEX(Pagos_Odoo!$F:$F, MATCH(X1688, Pagos_Odoo!$B:$B, 0)), ""))</f>
        <v/>
      </c>
      <c r="AB1688" s="81">
        <f>IF(X1688="Sin Pago",0,IFERROR(INDEX(Pagos_Odoo!$E:$E, MATCH(X1688, Pagos_Odoo!$B:$B, 0)), 0))</f>
        <v/>
      </c>
      <c r="AC1688" s="79">
        <f>IF(X1688="Sin Pago","",IFERROR(INDEX(Pagos_Odoo!$G:$G, MATCH(X1688, Pagos_Odoo!$B:$B, 0)), ""))</f>
        <v/>
      </c>
      <c r="AD1688" s="82" t="n">
        <v>0</v>
      </c>
      <c r="AE1688" s="82" t="n"/>
      <c r="AF1688" s="82" t="n"/>
      <c r="AG1688" s="82">
        <f>IF(AN1688="","",AD1688+AE1688+AF1688)</f>
        <v/>
      </c>
      <c r="AH1688" s="81">
        <f>IF(AN1688="","",P1688*(1-AG1688))</f>
        <v/>
      </c>
      <c r="AI1688" s="81">
        <f>IF(AN1688="","",IF(Q1688="Sin Factura",0,IFERROR(INDEX(Facturas_Odoo!$H:$H, MATCH(Q1688, Facturas_Odoo!$B:$B, 0)), 0)*(1-AG1688)))</f>
        <v/>
      </c>
      <c r="AJ1688" s="81">
        <f>IF(AN1688="","",_xlfn.LET(idVenta, AN1688&amp;"",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88" s="81">
        <f>IF(AN1688="","",AH1688-AJ1688)</f>
        <v/>
      </c>
      <c r="AL1688" s="81">
        <f>IF(AN1688="","",IF(Q1688="Sin Factura","",AI1688-AJ1688))</f>
        <v/>
      </c>
      <c r="AM1688" s="81">
        <f>IF(AN1688="","",IF(Q1688="Sin Factura",0,P1688-IFERROR(INDEX(Facturas_Odoo!$H:$H, MATCH(Q1688, Facturas_Odoo!$B:$B, 0)), 0)))</f>
        <v/>
      </c>
      <c r="AN1688" s="79">
        <f>IF(AND(A1688="", J1688=""), "", IF(A1688&lt;&gt;"", VALUE(MID(A1688,2,LEN(A1688))), AN1687))</f>
        <v/>
      </c>
      <c r="AO1688" s="79">
        <f>IF(AN1688="","",IF(AD1688=0,"OK",_xlfn.LET(monedaPago, IF(AA1688="","USD",AA1688), limitePermitido, IFERROR(VLOOKUP(monedaPago, Configuración!$A$2:$B$3, 2, FALSE), 0.15), IF(AD1688&gt;limitePermitido, "ALERTA: EXCESO (" &amp; TEXT(limitePermitido, "0%") &amp; " máx)", "OK"))))</f>
        <v/>
      </c>
      <c r="AP1688" s="79">
        <f>IF(AN1688="","",IF(AE1688=0,"OK",_xlfn.LET(fechaPago, Z1688, fechaFactura, R1688, diasCredito, IF(E1688="Pago inmediato", 0, IFERROR(VALUE(MID(E1688, 1, SEARCH(" ", E1688)-1)),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88" s="79">
        <f>IF(AN1688="","",IF(AND(N1688&gt;0, AG1688&gt;0), IF(Configuración!$K$2="NO", "ALERTA: DESCUENTO DOBLE NO PERMITIDO", "OK"), "OK"))</f>
        <v/>
      </c>
      <c r="AR1688" s="79">
        <f>IF(AN1688="","",IF(OR(AO1688&lt;&gt;"OK", AP1688&lt;&gt;"OK", AQ1688&lt;&gt;"OK"), "⚠️ REVISAR", "OK"))</f>
        <v/>
      </c>
    </row>
    <row r="1689">
      <c r="A1689" s="79">
        <f>IF('Ordenes_Odoo'!A1689="","",'Ordenes_Odoo'!A1689)</f>
        <v/>
      </c>
      <c r="B1689" s="80">
        <f>IF('Ordenes_Odoo'!B1689="","",'Ordenes_Odoo'!B1689)</f>
        <v/>
      </c>
      <c r="C1689" s="79">
        <f>IF('Ordenes_Odoo'!C1689="","",'Ordenes_Odoo'!C1689)</f>
        <v/>
      </c>
      <c r="D1689" s="79">
        <f>IF('Ordenes_Odoo'!D1689="","",'Ordenes_Odoo'!D1689)</f>
        <v/>
      </c>
      <c r="E1689" s="79">
        <f>IF('Ordenes_Odoo'!E1689="","",'Ordenes_Odoo'!E1689)</f>
        <v/>
      </c>
      <c r="F1689" s="79">
        <f>IF('Ordenes_Odoo'!F1689="","",'Ordenes_Odoo'!F1689)</f>
        <v/>
      </c>
      <c r="G1689" s="79">
        <f>IF('Ordenes_Odoo'!G1689="","",'Ordenes_Odoo'!G1689)</f>
        <v/>
      </c>
      <c r="H1689" s="79">
        <f>IF('Ordenes_Odoo'!H1689="","",'Ordenes_Odoo'!H1689)</f>
        <v/>
      </c>
      <c r="I1689" s="79">
        <f>IF('Ordenes_Odoo'!I1689="","",'Ordenes_Odoo'!I1689)</f>
        <v/>
      </c>
      <c r="J1689" s="79">
        <f>IF('Ordenes_Odoo'!J1689="","",'Ordenes_Odoo'!J1689)</f>
        <v/>
      </c>
      <c r="K1689" s="81">
        <f>IF('Ordenes_Odoo'!K1689="","",'Ordenes_Odoo'!K1689)</f>
        <v/>
      </c>
      <c r="L1689" s="81">
        <f>IF('Ordenes_Odoo'!L1689="","",'Ordenes_Odoo'!L1689)</f>
        <v/>
      </c>
      <c r="M1689" s="79">
        <f>IF('Ordenes_Odoo'!M1689="","",'Ordenes_Odoo'!M1689)</f>
        <v/>
      </c>
      <c r="N1689" s="79">
        <f>IF('Ordenes_Odoo'!N1689="","",'Ordenes_Odoo'!N1689)</f>
        <v/>
      </c>
      <c r="O1689" s="81">
        <f>IF('Ordenes_Odoo'!O1689="","",'Ordenes_Odoo'!O1689)</f>
        <v/>
      </c>
      <c r="P1689" s="81">
        <f>IF('Ordenes_Odoo'!P1689="","",'Ordenes_Odoo'!P1689)</f>
        <v/>
      </c>
      <c r="Q1689" s="79">
        <f>IF(A1689="","",IFERROR(INDEX(Facturas_Odoo!$B:$B, MATCH(A1689, Facturas_Odoo!$D:$D, 0)), "Sin Factura"))</f>
        <v/>
      </c>
      <c r="R1689" s="80">
        <f>IF(Q1689="Sin Factura","",IFERROR(INDEX(Facturas_Odoo!$A:$A, MATCH(Q1689, Facturas_Odoo!$B:$B, 0)), ""))</f>
        <v/>
      </c>
      <c r="S1689" s="79">
        <f>IF(Q1689="Sin Factura","",IFERROR(_xlfn.XLOOKUP(1, (Facturas_Odoo!$D:$D=A1689) * (Facturas_Odoo!$K:$K=I1689), Facturas_Odoo!$L:$L, ""), ""))</f>
        <v/>
      </c>
      <c r="T1689" s="81">
        <f>IF(Q1689="Sin Factura",0,IFERROR(_xlfn.XLOOKUP(1, (Facturas_Odoo!$D:$D=A1689) * (Facturas_Odoo!$K:$K=I1689), Facturas_Odoo!$M:$M, 0), 0))</f>
        <v/>
      </c>
      <c r="U1689" s="79">
        <f>IF(Q1689="Sin Factura",0,IFERROR(_xlfn.XLOOKUP(1, (Facturas_Odoo!$D:$D=A1689) * (Facturas_Odoo!$K:$K=I1689), Facturas_Odoo!$N:$N, 0), 0))</f>
        <v/>
      </c>
      <c r="V1689" s="79">
        <f>IF(Q1689="Sin Factura",0,IFERROR(_xlfn.XLOOKUP(1, (Facturas_Odoo!$D:$D=A1689) * (Facturas_Odoo!$K:$K=I1689), Facturas_Odoo!$O:$O, 0), 0))</f>
        <v/>
      </c>
      <c r="W1689" s="81">
        <f>IF(Q1689="Sin Factura",0,IFERROR(_xlfn.XLOOKUP(1, (Facturas_Odoo!$D:$D=A1689) * (Facturas_Odoo!$K:$K=I1689), Facturas_Odoo!$Q:$Q, 0), 0))</f>
        <v/>
      </c>
      <c r="X1689" s="79">
        <f>IF(OR(Q1689="Sin Factura",Q1689=""),"",IFERROR(INDEX(Pagos_Odoo!$B:$B, MATCH(Q1689, Pagos_Odoo!$I:$I, 0)), "Sin Pago"))</f>
        <v/>
      </c>
      <c r="Y1689" s="79">
        <f>IF(X1689="Sin Pago","",IFERROR(INDEX(Pagos_Odoo!$C:$C, MATCH(X1689, Pagos_Odoo!$B:$B, 0)), ""))</f>
        <v/>
      </c>
      <c r="Z1689" s="80">
        <f>IF(X1689="Sin Pago","",IFERROR(INDEX(Pagos_Odoo!$A:$A, MATCH(X1689, Pagos_Odoo!$B:$B, 0)), ""))</f>
        <v/>
      </c>
      <c r="AA1689" s="79">
        <f>IF(X1689="Sin Pago","",IFERROR(INDEX(Pagos_Odoo!$F:$F, MATCH(X1689, Pagos_Odoo!$B:$B, 0)), ""))</f>
        <v/>
      </c>
      <c r="AB1689" s="81">
        <f>IF(X1689="Sin Pago",0,IFERROR(INDEX(Pagos_Odoo!$E:$E, MATCH(X1689, Pagos_Odoo!$B:$B, 0)), 0))</f>
        <v/>
      </c>
      <c r="AC1689" s="79">
        <f>IF(X1689="Sin Pago","",IFERROR(INDEX(Pagos_Odoo!$G:$G, MATCH(X1689, Pagos_Odoo!$B:$B, 0)), ""))</f>
        <v/>
      </c>
      <c r="AD1689" s="82" t="n">
        <v>0</v>
      </c>
      <c r="AE1689" s="82" t="n"/>
      <c r="AF1689" s="82" t="n"/>
      <c r="AG1689" s="82">
        <f>IF(AN1689="","",AD1689+AE1689+AF1689)</f>
        <v/>
      </c>
      <c r="AH1689" s="81">
        <f>IF(AN1689="","",P1689*(1-AG1689))</f>
        <v/>
      </c>
      <c r="AI1689" s="81">
        <f>IF(AN1689="","",IF(Q1689="Sin Factura",0,IFERROR(INDEX(Facturas_Odoo!$H:$H, MATCH(Q1689, Facturas_Odoo!$B:$B, 0)), 0)*(1-AG1689)))</f>
        <v/>
      </c>
      <c r="AJ1689" s="81">
        <f>IF(AN1689="","",_xlfn.LET(idVenta, AN1689&amp;"",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89" s="81">
        <f>IF(AN1689="","",AH1689-AJ1689)</f>
        <v/>
      </c>
      <c r="AL1689" s="81">
        <f>IF(AN1689="","",IF(Q1689="Sin Factura","",AI1689-AJ1689))</f>
        <v/>
      </c>
      <c r="AM1689" s="81">
        <f>IF(AN1689="","",IF(Q1689="Sin Factura",0,P1689-IFERROR(INDEX(Facturas_Odoo!$H:$H, MATCH(Q1689, Facturas_Odoo!$B:$B, 0)), 0)))</f>
        <v/>
      </c>
      <c r="AN1689" s="79">
        <f>IF(AND(A1689="", J1689=""), "", IF(A1689&lt;&gt;"", VALUE(MID(A1689,2,LEN(A1689))), AN1688))</f>
        <v/>
      </c>
      <c r="AO1689" s="79">
        <f>IF(AN1689="","",IF(AD1689=0,"OK",_xlfn.LET(monedaPago, IF(AA1689="","USD",AA1689), limitePermitido, IFERROR(VLOOKUP(monedaPago, Configuración!$A$2:$B$3, 2, FALSE), 0.15), IF(AD1689&gt;limitePermitido, "ALERTA: EXCESO (" &amp; TEXT(limitePermitido, "0%") &amp; " máx)", "OK"))))</f>
        <v/>
      </c>
      <c r="AP1689" s="79">
        <f>IF(AN1689="","",IF(AE1689=0,"OK",_xlfn.LET(fechaPago, Z1689, fechaFactura, R1689, diasCredito, IF(E1689="Pago inmediato", 0, IFERROR(VALUE(MID(E1689, 1, SEARCH(" ", E1689)-1)),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89" s="79">
        <f>IF(AN1689="","",IF(AND(N1689&gt;0, AG1689&gt;0), IF(Configuración!$K$2="NO", "ALERTA: DESCUENTO DOBLE NO PERMITIDO", "OK"), "OK"))</f>
        <v/>
      </c>
      <c r="AR1689" s="79">
        <f>IF(AN1689="","",IF(OR(AO1689&lt;&gt;"OK", AP1689&lt;&gt;"OK", AQ1689&lt;&gt;"OK"), "⚠️ REVISAR", "OK"))</f>
        <v/>
      </c>
    </row>
    <row r="1690">
      <c r="A1690" s="79">
        <f>IF('Ordenes_Odoo'!A1690="","",'Ordenes_Odoo'!A1690)</f>
        <v/>
      </c>
      <c r="B1690" s="80">
        <f>IF('Ordenes_Odoo'!B1690="","",'Ordenes_Odoo'!B1690)</f>
        <v/>
      </c>
      <c r="C1690" s="79">
        <f>IF('Ordenes_Odoo'!C1690="","",'Ordenes_Odoo'!C1690)</f>
        <v/>
      </c>
      <c r="D1690" s="79">
        <f>IF('Ordenes_Odoo'!D1690="","",'Ordenes_Odoo'!D1690)</f>
        <v/>
      </c>
      <c r="E1690" s="79">
        <f>IF('Ordenes_Odoo'!E1690="","",'Ordenes_Odoo'!E1690)</f>
        <v/>
      </c>
      <c r="F1690" s="79">
        <f>IF('Ordenes_Odoo'!F1690="","",'Ordenes_Odoo'!F1690)</f>
        <v/>
      </c>
      <c r="G1690" s="79">
        <f>IF('Ordenes_Odoo'!G1690="","",'Ordenes_Odoo'!G1690)</f>
        <v/>
      </c>
      <c r="H1690" s="79">
        <f>IF('Ordenes_Odoo'!H1690="","",'Ordenes_Odoo'!H1690)</f>
        <v/>
      </c>
      <c r="I1690" s="79">
        <f>IF('Ordenes_Odoo'!I1690="","",'Ordenes_Odoo'!I1690)</f>
        <v/>
      </c>
      <c r="J1690" s="79">
        <f>IF('Ordenes_Odoo'!J1690="","",'Ordenes_Odoo'!J1690)</f>
        <v/>
      </c>
      <c r="K1690" s="81">
        <f>IF('Ordenes_Odoo'!K1690="","",'Ordenes_Odoo'!K1690)</f>
        <v/>
      </c>
      <c r="L1690" s="81">
        <f>IF('Ordenes_Odoo'!L1690="","",'Ordenes_Odoo'!L1690)</f>
        <v/>
      </c>
      <c r="M1690" s="79">
        <f>IF('Ordenes_Odoo'!M1690="","",'Ordenes_Odoo'!M1690)</f>
        <v/>
      </c>
      <c r="N1690" s="79">
        <f>IF('Ordenes_Odoo'!N1690="","",'Ordenes_Odoo'!N1690)</f>
        <v/>
      </c>
      <c r="O1690" s="81">
        <f>IF('Ordenes_Odoo'!O1690="","",'Ordenes_Odoo'!O1690)</f>
        <v/>
      </c>
      <c r="P1690" s="81">
        <f>IF('Ordenes_Odoo'!P1690="","",'Ordenes_Odoo'!P1690)</f>
        <v/>
      </c>
      <c r="Q1690" s="79">
        <f>IF(A1690="","",IFERROR(INDEX(Facturas_Odoo!$B:$B, MATCH(A1690, Facturas_Odoo!$D:$D, 0)), "Sin Factura"))</f>
        <v/>
      </c>
      <c r="R1690" s="80">
        <f>IF(Q1690="Sin Factura","",IFERROR(INDEX(Facturas_Odoo!$A:$A, MATCH(Q1690, Facturas_Odoo!$B:$B, 0)), ""))</f>
        <v/>
      </c>
      <c r="S1690" s="79">
        <f>IF(Q1690="Sin Factura","",IFERROR(_xlfn.XLOOKUP(1, (Facturas_Odoo!$D:$D=A1690) * (Facturas_Odoo!$K:$K=I1690), Facturas_Odoo!$L:$L, ""), ""))</f>
        <v/>
      </c>
      <c r="T1690" s="81">
        <f>IF(Q1690="Sin Factura",0,IFERROR(_xlfn.XLOOKUP(1, (Facturas_Odoo!$D:$D=A1690) * (Facturas_Odoo!$K:$K=I1690), Facturas_Odoo!$M:$M, 0), 0))</f>
        <v/>
      </c>
      <c r="U1690" s="79">
        <f>IF(Q1690="Sin Factura",0,IFERROR(_xlfn.XLOOKUP(1, (Facturas_Odoo!$D:$D=A1690) * (Facturas_Odoo!$K:$K=I1690), Facturas_Odoo!$N:$N, 0), 0))</f>
        <v/>
      </c>
      <c r="V1690" s="79">
        <f>IF(Q1690="Sin Factura",0,IFERROR(_xlfn.XLOOKUP(1, (Facturas_Odoo!$D:$D=A1690) * (Facturas_Odoo!$K:$K=I1690), Facturas_Odoo!$O:$O, 0), 0))</f>
        <v/>
      </c>
      <c r="W1690" s="81">
        <f>IF(Q1690="Sin Factura",0,IFERROR(_xlfn.XLOOKUP(1, (Facturas_Odoo!$D:$D=A1690) * (Facturas_Odoo!$K:$K=I1690), Facturas_Odoo!$Q:$Q, 0), 0))</f>
        <v/>
      </c>
      <c r="X1690" s="79">
        <f>IF(OR(Q1690="Sin Factura",Q1690=""),"",IFERROR(INDEX(Pagos_Odoo!$B:$B, MATCH(Q1690, Pagos_Odoo!$I:$I, 0)), "Sin Pago"))</f>
        <v/>
      </c>
      <c r="Y1690" s="79">
        <f>IF(X1690="Sin Pago","",IFERROR(INDEX(Pagos_Odoo!$C:$C, MATCH(X1690, Pagos_Odoo!$B:$B, 0)), ""))</f>
        <v/>
      </c>
      <c r="Z1690" s="80">
        <f>IF(X1690="Sin Pago","",IFERROR(INDEX(Pagos_Odoo!$A:$A, MATCH(X1690, Pagos_Odoo!$B:$B, 0)), ""))</f>
        <v/>
      </c>
      <c r="AA1690" s="79">
        <f>IF(X1690="Sin Pago","",IFERROR(INDEX(Pagos_Odoo!$F:$F, MATCH(X1690, Pagos_Odoo!$B:$B, 0)), ""))</f>
        <v/>
      </c>
      <c r="AB1690" s="81">
        <f>IF(X1690="Sin Pago",0,IFERROR(INDEX(Pagos_Odoo!$E:$E, MATCH(X1690, Pagos_Odoo!$B:$B, 0)), 0))</f>
        <v/>
      </c>
      <c r="AC1690" s="79">
        <f>IF(X1690="Sin Pago","",IFERROR(INDEX(Pagos_Odoo!$G:$G, MATCH(X1690, Pagos_Odoo!$B:$B, 0)), ""))</f>
        <v/>
      </c>
      <c r="AD1690" s="82" t="n">
        <v>0</v>
      </c>
      <c r="AE1690" s="82" t="n"/>
      <c r="AF1690" s="82" t="n"/>
      <c r="AG1690" s="82">
        <f>IF(AN1690="","",AD1690+AE1690+AF1690)</f>
        <v/>
      </c>
      <c r="AH1690" s="81">
        <f>IF(AN1690="","",P1690*(1-AG1690))</f>
        <v/>
      </c>
      <c r="AI1690" s="81">
        <f>IF(AN1690="","",IF(Q1690="Sin Factura",0,IFERROR(INDEX(Facturas_Odoo!$H:$H, MATCH(Q1690, Facturas_Odoo!$B:$B, 0)), 0)*(1-AG1690)))</f>
        <v/>
      </c>
      <c r="AJ1690" s="81">
        <f>IF(AN1690="","",_xlfn.LET(idVenta, AN1690&amp;"",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90" s="81">
        <f>IF(AN1690="","",AH1690-AJ1690)</f>
        <v/>
      </c>
      <c r="AL1690" s="81">
        <f>IF(AN1690="","",IF(Q1690="Sin Factura","",AI1690-AJ1690))</f>
        <v/>
      </c>
      <c r="AM1690" s="81">
        <f>IF(AN1690="","",IF(Q1690="Sin Factura",0,P1690-IFERROR(INDEX(Facturas_Odoo!$H:$H, MATCH(Q1690, Facturas_Odoo!$B:$B, 0)), 0)))</f>
        <v/>
      </c>
      <c r="AN1690" s="79">
        <f>IF(AND(A1690="", J1690=""), "", IF(A1690&lt;&gt;"", VALUE(MID(A1690,2,LEN(A1690))), AN1689))</f>
        <v/>
      </c>
      <c r="AO1690" s="79">
        <f>IF(AN1690="","",IF(AD1690=0,"OK",_xlfn.LET(monedaPago, IF(AA1690="","USD",AA1690), limitePermitido, IFERROR(VLOOKUP(monedaPago, Configuración!$A$2:$B$3, 2, FALSE), 0.15), IF(AD1690&gt;limitePermitido, "ALERTA: EXCESO (" &amp; TEXT(limitePermitido, "0%") &amp; " máx)", "OK"))))</f>
        <v/>
      </c>
      <c r="AP1690" s="79">
        <f>IF(AN1690="","",IF(AE1690=0,"OK",_xlfn.LET(fechaPago, Z1690, fechaFactura, R1690, diasCredito, IF(E1690="Pago inmediato", 0, IFERROR(VALUE(MID(E1690, 1, SEARCH(" ", E1690)-1)),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90" s="79">
        <f>IF(AN1690="","",IF(AND(N1690&gt;0, AG1690&gt;0), IF(Configuración!$K$2="NO", "ALERTA: DESCUENTO DOBLE NO PERMITIDO", "OK"), "OK"))</f>
        <v/>
      </c>
      <c r="AR1690" s="79">
        <f>IF(AN1690="","",IF(OR(AO1690&lt;&gt;"OK", AP1690&lt;&gt;"OK", AQ1690&lt;&gt;"OK"), "⚠️ REVISAR", "OK"))</f>
        <v/>
      </c>
    </row>
    <row r="1691">
      <c r="A1691" s="79">
        <f>IF('Ordenes_Odoo'!A1691="","",'Ordenes_Odoo'!A1691)</f>
        <v/>
      </c>
      <c r="B1691" s="80">
        <f>IF('Ordenes_Odoo'!B1691="","",'Ordenes_Odoo'!B1691)</f>
        <v/>
      </c>
      <c r="C1691" s="79">
        <f>IF('Ordenes_Odoo'!C1691="","",'Ordenes_Odoo'!C1691)</f>
        <v/>
      </c>
      <c r="D1691" s="79">
        <f>IF('Ordenes_Odoo'!D1691="","",'Ordenes_Odoo'!D1691)</f>
        <v/>
      </c>
      <c r="E1691" s="79">
        <f>IF('Ordenes_Odoo'!E1691="","",'Ordenes_Odoo'!E1691)</f>
        <v/>
      </c>
      <c r="F1691" s="79">
        <f>IF('Ordenes_Odoo'!F1691="","",'Ordenes_Odoo'!F1691)</f>
        <v/>
      </c>
      <c r="G1691" s="79">
        <f>IF('Ordenes_Odoo'!G1691="","",'Ordenes_Odoo'!G1691)</f>
        <v/>
      </c>
      <c r="H1691" s="79">
        <f>IF('Ordenes_Odoo'!H1691="","",'Ordenes_Odoo'!H1691)</f>
        <v/>
      </c>
      <c r="I1691" s="79">
        <f>IF('Ordenes_Odoo'!I1691="","",'Ordenes_Odoo'!I1691)</f>
        <v/>
      </c>
      <c r="J1691" s="79">
        <f>IF('Ordenes_Odoo'!J1691="","",'Ordenes_Odoo'!J1691)</f>
        <v/>
      </c>
      <c r="K1691" s="81">
        <f>IF('Ordenes_Odoo'!K1691="","",'Ordenes_Odoo'!K1691)</f>
        <v/>
      </c>
      <c r="L1691" s="81">
        <f>IF('Ordenes_Odoo'!L1691="","",'Ordenes_Odoo'!L1691)</f>
        <v/>
      </c>
      <c r="M1691" s="79">
        <f>IF('Ordenes_Odoo'!M1691="","",'Ordenes_Odoo'!M1691)</f>
        <v/>
      </c>
      <c r="N1691" s="79">
        <f>IF('Ordenes_Odoo'!N1691="","",'Ordenes_Odoo'!N1691)</f>
        <v/>
      </c>
      <c r="O1691" s="81">
        <f>IF('Ordenes_Odoo'!O1691="","",'Ordenes_Odoo'!O1691)</f>
        <v/>
      </c>
      <c r="P1691" s="81">
        <f>IF('Ordenes_Odoo'!P1691="","",'Ordenes_Odoo'!P1691)</f>
        <v/>
      </c>
      <c r="Q1691" s="79">
        <f>IF(A1691="","",IFERROR(INDEX(Facturas_Odoo!$B:$B, MATCH(A1691, Facturas_Odoo!$D:$D, 0)), "Sin Factura"))</f>
        <v/>
      </c>
      <c r="R1691" s="80">
        <f>IF(Q1691="Sin Factura","",IFERROR(INDEX(Facturas_Odoo!$A:$A, MATCH(Q1691, Facturas_Odoo!$B:$B, 0)), ""))</f>
        <v/>
      </c>
      <c r="S1691" s="79">
        <f>IF(Q1691="Sin Factura","",IFERROR(_xlfn.XLOOKUP(1, (Facturas_Odoo!$D:$D=A1691) * (Facturas_Odoo!$K:$K=I1691), Facturas_Odoo!$L:$L, ""), ""))</f>
        <v/>
      </c>
      <c r="T1691" s="81">
        <f>IF(Q1691="Sin Factura",0,IFERROR(_xlfn.XLOOKUP(1, (Facturas_Odoo!$D:$D=A1691) * (Facturas_Odoo!$K:$K=I1691), Facturas_Odoo!$M:$M, 0), 0))</f>
        <v/>
      </c>
      <c r="U1691" s="79">
        <f>IF(Q1691="Sin Factura",0,IFERROR(_xlfn.XLOOKUP(1, (Facturas_Odoo!$D:$D=A1691) * (Facturas_Odoo!$K:$K=I1691), Facturas_Odoo!$N:$N, 0), 0))</f>
        <v/>
      </c>
      <c r="V1691" s="79">
        <f>IF(Q1691="Sin Factura",0,IFERROR(_xlfn.XLOOKUP(1, (Facturas_Odoo!$D:$D=A1691) * (Facturas_Odoo!$K:$K=I1691), Facturas_Odoo!$O:$O, 0), 0))</f>
        <v/>
      </c>
      <c r="W1691" s="81">
        <f>IF(Q1691="Sin Factura",0,IFERROR(_xlfn.XLOOKUP(1, (Facturas_Odoo!$D:$D=A1691) * (Facturas_Odoo!$K:$K=I1691), Facturas_Odoo!$Q:$Q, 0), 0))</f>
        <v/>
      </c>
      <c r="X1691" s="79">
        <f>IF(OR(Q1691="Sin Factura",Q1691=""),"",IFERROR(INDEX(Pagos_Odoo!$B:$B, MATCH(Q1691, Pagos_Odoo!$I:$I, 0)), "Sin Pago"))</f>
        <v/>
      </c>
      <c r="Y1691" s="79">
        <f>IF(X1691="Sin Pago","",IFERROR(INDEX(Pagos_Odoo!$C:$C, MATCH(X1691, Pagos_Odoo!$B:$B, 0)), ""))</f>
        <v/>
      </c>
      <c r="Z1691" s="80">
        <f>IF(X1691="Sin Pago","",IFERROR(INDEX(Pagos_Odoo!$A:$A, MATCH(X1691, Pagos_Odoo!$B:$B, 0)), ""))</f>
        <v/>
      </c>
      <c r="AA1691" s="79">
        <f>IF(X1691="Sin Pago","",IFERROR(INDEX(Pagos_Odoo!$F:$F, MATCH(X1691, Pagos_Odoo!$B:$B, 0)), ""))</f>
        <v/>
      </c>
      <c r="AB1691" s="81">
        <f>IF(X1691="Sin Pago",0,IFERROR(INDEX(Pagos_Odoo!$E:$E, MATCH(X1691, Pagos_Odoo!$B:$B, 0)), 0))</f>
        <v/>
      </c>
      <c r="AC1691" s="79">
        <f>IF(X1691="Sin Pago","",IFERROR(INDEX(Pagos_Odoo!$G:$G, MATCH(X1691, Pagos_Odoo!$B:$B, 0)), ""))</f>
        <v/>
      </c>
      <c r="AD1691" s="82" t="n">
        <v>0</v>
      </c>
      <c r="AE1691" s="82" t="n"/>
      <c r="AF1691" s="82" t="n"/>
      <c r="AG1691" s="82">
        <f>IF(AN1691="","",AD1691+AE1691+AF1691)</f>
        <v/>
      </c>
      <c r="AH1691" s="81">
        <f>IF(AN1691="","",P1691*(1-AG1691))</f>
        <v/>
      </c>
      <c r="AI1691" s="81">
        <f>IF(AN1691="","",IF(Q1691="Sin Factura",0,IFERROR(INDEX(Facturas_Odoo!$H:$H, MATCH(Q1691, Facturas_Odoo!$B:$B, 0)), 0)*(1-AG1691)))</f>
        <v/>
      </c>
      <c r="AJ1691" s="81">
        <f>IF(AN1691="","",_xlfn.LET(idVenta, AN1691&amp;"",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91" s="81">
        <f>IF(AN1691="","",AH1691-AJ1691)</f>
        <v/>
      </c>
      <c r="AL1691" s="81">
        <f>IF(AN1691="","",IF(Q1691="Sin Factura","",AI1691-AJ1691))</f>
        <v/>
      </c>
      <c r="AM1691" s="81">
        <f>IF(AN1691="","",IF(Q1691="Sin Factura",0,P1691-IFERROR(INDEX(Facturas_Odoo!$H:$H, MATCH(Q1691, Facturas_Odoo!$B:$B, 0)), 0)))</f>
        <v/>
      </c>
      <c r="AN1691" s="79">
        <f>IF(AND(A1691="", J1691=""), "", IF(A1691&lt;&gt;"", VALUE(MID(A1691,2,LEN(A1691))), AN1690))</f>
        <v/>
      </c>
      <c r="AO1691" s="79">
        <f>IF(AN1691="","",IF(AD1691=0,"OK",_xlfn.LET(monedaPago, IF(AA1691="","USD",AA1691), limitePermitido, IFERROR(VLOOKUP(monedaPago, Configuración!$A$2:$B$3, 2, FALSE), 0.15), IF(AD1691&gt;limitePermitido, "ALERTA: EXCESO (" &amp; TEXT(limitePermitido, "0%") &amp; " máx)", "OK"))))</f>
        <v/>
      </c>
      <c r="AP1691" s="79">
        <f>IF(AN1691="","",IF(AE1691=0,"OK",_xlfn.LET(fechaPago, Z1691, fechaFactura, R1691, diasCredito, IF(E1691="Pago inmediato", 0, IFERROR(VALUE(MID(E1691, 1, SEARCH(" ", E1691)-1)),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91" s="79">
        <f>IF(AN1691="","",IF(AND(N1691&gt;0, AG1691&gt;0), IF(Configuración!$K$2="NO", "ALERTA: DESCUENTO DOBLE NO PERMITIDO", "OK"), "OK"))</f>
        <v/>
      </c>
      <c r="AR1691" s="79">
        <f>IF(AN1691="","",IF(OR(AO1691&lt;&gt;"OK", AP1691&lt;&gt;"OK", AQ1691&lt;&gt;"OK"), "⚠️ REVISAR", "OK"))</f>
        <v/>
      </c>
    </row>
    <row r="1692">
      <c r="A1692" s="79">
        <f>IF('Ordenes_Odoo'!A1692="","",'Ordenes_Odoo'!A1692)</f>
        <v/>
      </c>
      <c r="B1692" s="80">
        <f>IF('Ordenes_Odoo'!B1692="","",'Ordenes_Odoo'!B1692)</f>
        <v/>
      </c>
      <c r="C1692" s="79">
        <f>IF('Ordenes_Odoo'!C1692="","",'Ordenes_Odoo'!C1692)</f>
        <v/>
      </c>
      <c r="D1692" s="79">
        <f>IF('Ordenes_Odoo'!D1692="","",'Ordenes_Odoo'!D1692)</f>
        <v/>
      </c>
      <c r="E1692" s="79">
        <f>IF('Ordenes_Odoo'!E1692="","",'Ordenes_Odoo'!E1692)</f>
        <v/>
      </c>
      <c r="F1692" s="79">
        <f>IF('Ordenes_Odoo'!F1692="","",'Ordenes_Odoo'!F1692)</f>
        <v/>
      </c>
      <c r="G1692" s="79">
        <f>IF('Ordenes_Odoo'!G1692="","",'Ordenes_Odoo'!G1692)</f>
        <v/>
      </c>
      <c r="H1692" s="79">
        <f>IF('Ordenes_Odoo'!H1692="","",'Ordenes_Odoo'!H1692)</f>
        <v/>
      </c>
      <c r="I1692" s="79">
        <f>IF('Ordenes_Odoo'!I1692="","",'Ordenes_Odoo'!I1692)</f>
        <v/>
      </c>
      <c r="J1692" s="79">
        <f>IF('Ordenes_Odoo'!J1692="","",'Ordenes_Odoo'!J1692)</f>
        <v/>
      </c>
      <c r="K1692" s="81">
        <f>IF('Ordenes_Odoo'!K1692="","",'Ordenes_Odoo'!K1692)</f>
        <v/>
      </c>
      <c r="L1692" s="81">
        <f>IF('Ordenes_Odoo'!L1692="","",'Ordenes_Odoo'!L1692)</f>
        <v/>
      </c>
      <c r="M1692" s="79">
        <f>IF('Ordenes_Odoo'!M1692="","",'Ordenes_Odoo'!M1692)</f>
        <v/>
      </c>
      <c r="N1692" s="79">
        <f>IF('Ordenes_Odoo'!N1692="","",'Ordenes_Odoo'!N1692)</f>
        <v/>
      </c>
      <c r="O1692" s="81">
        <f>IF('Ordenes_Odoo'!O1692="","",'Ordenes_Odoo'!O1692)</f>
        <v/>
      </c>
      <c r="P1692" s="81">
        <f>IF('Ordenes_Odoo'!P1692="","",'Ordenes_Odoo'!P1692)</f>
        <v/>
      </c>
      <c r="Q1692" s="79">
        <f>IF(A1692="","",IFERROR(INDEX(Facturas_Odoo!$B:$B, MATCH(A1692, Facturas_Odoo!$D:$D, 0)), "Sin Factura"))</f>
        <v/>
      </c>
      <c r="R1692" s="80">
        <f>IF(Q1692="Sin Factura","",IFERROR(INDEX(Facturas_Odoo!$A:$A, MATCH(Q1692, Facturas_Odoo!$B:$B, 0)), ""))</f>
        <v/>
      </c>
      <c r="S1692" s="79">
        <f>IF(Q1692="Sin Factura","",IFERROR(_xlfn.XLOOKUP(1, (Facturas_Odoo!$D:$D=A1692) * (Facturas_Odoo!$K:$K=I1692), Facturas_Odoo!$L:$L, ""), ""))</f>
        <v/>
      </c>
      <c r="T1692" s="81">
        <f>IF(Q1692="Sin Factura",0,IFERROR(_xlfn.XLOOKUP(1, (Facturas_Odoo!$D:$D=A1692) * (Facturas_Odoo!$K:$K=I1692), Facturas_Odoo!$M:$M, 0), 0))</f>
        <v/>
      </c>
      <c r="U1692" s="79">
        <f>IF(Q1692="Sin Factura",0,IFERROR(_xlfn.XLOOKUP(1, (Facturas_Odoo!$D:$D=A1692) * (Facturas_Odoo!$K:$K=I1692), Facturas_Odoo!$N:$N, 0), 0))</f>
        <v/>
      </c>
      <c r="V1692" s="79">
        <f>IF(Q1692="Sin Factura",0,IFERROR(_xlfn.XLOOKUP(1, (Facturas_Odoo!$D:$D=A1692) * (Facturas_Odoo!$K:$K=I1692), Facturas_Odoo!$O:$O, 0), 0))</f>
        <v/>
      </c>
      <c r="W1692" s="81">
        <f>IF(Q1692="Sin Factura",0,IFERROR(_xlfn.XLOOKUP(1, (Facturas_Odoo!$D:$D=A1692) * (Facturas_Odoo!$K:$K=I1692), Facturas_Odoo!$Q:$Q, 0), 0))</f>
        <v/>
      </c>
      <c r="X1692" s="79">
        <f>IF(OR(Q1692="Sin Factura",Q1692=""),"",IFERROR(INDEX(Pagos_Odoo!$B:$B, MATCH(Q1692, Pagos_Odoo!$I:$I, 0)), "Sin Pago"))</f>
        <v/>
      </c>
      <c r="Y1692" s="79">
        <f>IF(X1692="Sin Pago","",IFERROR(INDEX(Pagos_Odoo!$C:$C, MATCH(X1692, Pagos_Odoo!$B:$B, 0)), ""))</f>
        <v/>
      </c>
      <c r="Z1692" s="80">
        <f>IF(X1692="Sin Pago","",IFERROR(INDEX(Pagos_Odoo!$A:$A, MATCH(X1692, Pagos_Odoo!$B:$B, 0)), ""))</f>
        <v/>
      </c>
      <c r="AA1692" s="79">
        <f>IF(X1692="Sin Pago","",IFERROR(INDEX(Pagos_Odoo!$F:$F, MATCH(X1692, Pagos_Odoo!$B:$B, 0)), ""))</f>
        <v/>
      </c>
      <c r="AB1692" s="81">
        <f>IF(X1692="Sin Pago",0,IFERROR(INDEX(Pagos_Odoo!$E:$E, MATCH(X1692, Pagos_Odoo!$B:$B, 0)), 0))</f>
        <v/>
      </c>
      <c r="AC1692" s="79">
        <f>IF(X1692="Sin Pago","",IFERROR(INDEX(Pagos_Odoo!$G:$G, MATCH(X1692, Pagos_Odoo!$B:$B, 0)), ""))</f>
        <v/>
      </c>
      <c r="AD1692" s="82" t="n">
        <v>0</v>
      </c>
      <c r="AE1692" s="82" t="n"/>
      <c r="AF1692" s="82" t="n"/>
      <c r="AG1692" s="82">
        <f>IF(AN1692="","",AD1692+AE1692+AF1692)</f>
        <v/>
      </c>
      <c r="AH1692" s="81">
        <f>IF(AN1692="","",P1692*(1-AG1692))</f>
        <v/>
      </c>
      <c r="AI1692" s="81">
        <f>IF(AN1692="","",IF(Q1692="Sin Factura",0,IFERROR(INDEX(Facturas_Odoo!$H:$H, MATCH(Q1692, Facturas_Odoo!$B:$B, 0)), 0)*(1-AG1692)))</f>
        <v/>
      </c>
      <c r="AJ1692" s="81">
        <f>IF(AN1692="","",_xlfn.LET(idVenta, AN1692&amp;"",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92" s="81">
        <f>IF(AN1692="","",AH1692-AJ1692)</f>
        <v/>
      </c>
      <c r="AL1692" s="81">
        <f>IF(AN1692="","",IF(Q1692="Sin Factura","",AI1692-AJ1692))</f>
        <v/>
      </c>
      <c r="AM1692" s="81">
        <f>IF(AN1692="","",IF(Q1692="Sin Factura",0,P1692-IFERROR(INDEX(Facturas_Odoo!$H:$H, MATCH(Q1692, Facturas_Odoo!$B:$B, 0)), 0)))</f>
        <v/>
      </c>
      <c r="AN1692" s="79">
        <f>IF(AND(A1692="", J1692=""), "", IF(A1692&lt;&gt;"", VALUE(MID(A1692,2,LEN(A1692))), AN1691))</f>
        <v/>
      </c>
      <c r="AO1692" s="79">
        <f>IF(AN1692="","",IF(AD1692=0,"OK",_xlfn.LET(monedaPago, IF(AA1692="","USD",AA1692), limitePermitido, IFERROR(VLOOKUP(monedaPago, Configuración!$A$2:$B$3, 2, FALSE), 0.15), IF(AD1692&gt;limitePermitido, "ALERTA: EXCESO (" &amp; TEXT(limitePermitido, "0%") &amp; " máx)", "OK"))))</f>
        <v/>
      </c>
      <c r="AP1692" s="79">
        <f>IF(AN1692="","",IF(AE1692=0,"OK",_xlfn.LET(fechaPago, Z1692, fechaFactura, R1692, diasCredito, IF(E1692="Pago inmediato", 0, IFERROR(VALUE(MID(E1692, 1, SEARCH(" ", E1692)-1)),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92" s="79">
        <f>IF(AN1692="","",IF(AND(N1692&gt;0, AG1692&gt;0), IF(Configuración!$K$2="NO", "ALERTA: DESCUENTO DOBLE NO PERMITIDO", "OK"), "OK"))</f>
        <v/>
      </c>
      <c r="AR1692" s="79">
        <f>IF(AN1692="","",IF(OR(AO1692&lt;&gt;"OK", AP1692&lt;&gt;"OK", AQ1692&lt;&gt;"OK"), "⚠️ REVISAR", "OK"))</f>
        <v/>
      </c>
    </row>
    <row r="1693">
      <c r="A1693" s="79">
        <f>IF('Ordenes_Odoo'!A1693="","",'Ordenes_Odoo'!A1693)</f>
        <v/>
      </c>
      <c r="B1693" s="80">
        <f>IF('Ordenes_Odoo'!B1693="","",'Ordenes_Odoo'!B1693)</f>
        <v/>
      </c>
      <c r="C1693" s="79">
        <f>IF('Ordenes_Odoo'!C1693="","",'Ordenes_Odoo'!C1693)</f>
        <v/>
      </c>
      <c r="D1693" s="79">
        <f>IF('Ordenes_Odoo'!D1693="","",'Ordenes_Odoo'!D1693)</f>
        <v/>
      </c>
      <c r="E1693" s="79">
        <f>IF('Ordenes_Odoo'!E1693="","",'Ordenes_Odoo'!E1693)</f>
        <v/>
      </c>
      <c r="F1693" s="79">
        <f>IF('Ordenes_Odoo'!F1693="","",'Ordenes_Odoo'!F1693)</f>
        <v/>
      </c>
      <c r="G1693" s="79">
        <f>IF('Ordenes_Odoo'!G1693="","",'Ordenes_Odoo'!G1693)</f>
        <v/>
      </c>
      <c r="H1693" s="79">
        <f>IF('Ordenes_Odoo'!H1693="","",'Ordenes_Odoo'!H1693)</f>
        <v/>
      </c>
      <c r="I1693" s="79">
        <f>IF('Ordenes_Odoo'!I1693="","",'Ordenes_Odoo'!I1693)</f>
        <v/>
      </c>
      <c r="J1693" s="79">
        <f>IF('Ordenes_Odoo'!J1693="","",'Ordenes_Odoo'!J1693)</f>
        <v/>
      </c>
      <c r="K1693" s="81">
        <f>IF('Ordenes_Odoo'!K1693="","",'Ordenes_Odoo'!K1693)</f>
        <v/>
      </c>
      <c r="L1693" s="81">
        <f>IF('Ordenes_Odoo'!L1693="","",'Ordenes_Odoo'!L1693)</f>
        <v/>
      </c>
      <c r="M1693" s="79">
        <f>IF('Ordenes_Odoo'!M1693="","",'Ordenes_Odoo'!M1693)</f>
        <v/>
      </c>
      <c r="N1693" s="79">
        <f>IF('Ordenes_Odoo'!N1693="","",'Ordenes_Odoo'!N1693)</f>
        <v/>
      </c>
      <c r="O1693" s="81">
        <f>IF('Ordenes_Odoo'!O1693="","",'Ordenes_Odoo'!O1693)</f>
        <v/>
      </c>
      <c r="P1693" s="81">
        <f>IF('Ordenes_Odoo'!P1693="","",'Ordenes_Odoo'!P1693)</f>
        <v/>
      </c>
      <c r="Q1693" s="79">
        <f>IF(A1693="","",IFERROR(INDEX(Facturas_Odoo!$B:$B, MATCH(A1693, Facturas_Odoo!$D:$D, 0)), "Sin Factura"))</f>
        <v/>
      </c>
      <c r="R1693" s="80">
        <f>IF(Q1693="Sin Factura","",IFERROR(INDEX(Facturas_Odoo!$A:$A, MATCH(Q1693, Facturas_Odoo!$B:$B, 0)), ""))</f>
        <v/>
      </c>
      <c r="S1693" s="79">
        <f>IF(Q1693="Sin Factura","",IFERROR(_xlfn.XLOOKUP(1, (Facturas_Odoo!$D:$D=A1693) * (Facturas_Odoo!$K:$K=I1693), Facturas_Odoo!$L:$L, ""), ""))</f>
        <v/>
      </c>
      <c r="T1693" s="81">
        <f>IF(Q1693="Sin Factura",0,IFERROR(_xlfn.XLOOKUP(1, (Facturas_Odoo!$D:$D=A1693) * (Facturas_Odoo!$K:$K=I1693), Facturas_Odoo!$M:$M, 0), 0))</f>
        <v/>
      </c>
      <c r="U1693" s="79">
        <f>IF(Q1693="Sin Factura",0,IFERROR(_xlfn.XLOOKUP(1, (Facturas_Odoo!$D:$D=A1693) * (Facturas_Odoo!$K:$K=I1693), Facturas_Odoo!$N:$N, 0), 0))</f>
        <v/>
      </c>
      <c r="V1693" s="79">
        <f>IF(Q1693="Sin Factura",0,IFERROR(_xlfn.XLOOKUP(1, (Facturas_Odoo!$D:$D=A1693) * (Facturas_Odoo!$K:$K=I1693), Facturas_Odoo!$O:$O, 0), 0))</f>
        <v/>
      </c>
      <c r="W1693" s="81">
        <f>IF(Q1693="Sin Factura",0,IFERROR(_xlfn.XLOOKUP(1, (Facturas_Odoo!$D:$D=A1693) * (Facturas_Odoo!$K:$K=I1693), Facturas_Odoo!$Q:$Q, 0), 0))</f>
        <v/>
      </c>
      <c r="X1693" s="79">
        <f>IF(OR(Q1693="Sin Factura",Q1693=""),"",IFERROR(INDEX(Pagos_Odoo!$B:$B, MATCH(Q1693, Pagos_Odoo!$I:$I, 0)), "Sin Pago"))</f>
        <v/>
      </c>
      <c r="Y1693" s="79">
        <f>IF(X1693="Sin Pago","",IFERROR(INDEX(Pagos_Odoo!$C:$C, MATCH(X1693, Pagos_Odoo!$B:$B, 0)), ""))</f>
        <v/>
      </c>
      <c r="Z1693" s="80">
        <f>IF(X1693="Sin Pago","",IFERROR(INDEX(Pagos_Odoo!$A:$A, MATCH(X1693, Pagos_Odoo!$B:$B, 0)), ""))</f>
        <v/>
      </c>
      <c r="AA1693" s="79">
        <f>IF(X1693="Sin Pago","",IFERROR(INDEX(Pagos_Odoo!$F:$F, MATCH(X1693, Pagos_Odoo!$B:$B, 0)), ""))</f>
        <v/>
      </c>
      <c r="AB1693" s="81">
        <f>IF(X1693="Sin Pago",0,IFERROR(INDEX(Pagos_Odoo!$E:$E, MATCH(X1693, Pagos_Odoo!$B:$B, 0)), 0))</f>
        <v/>
      </c>
      <c r="AC1693" s="79">
        <f>IF(X1693="Sin Pago","",IFERROR(INDEX(Pagos_Odoo!$G:$G, MATCH(X1693, Pagos_Odoo!$B:$B, 0)), ""))</f>
        <v/>
      </c>
      <c r="AD1693" s="82" t="n">
        <v>0</v>
      </c>
      <c r="AE1693" s="82" t="n"/>
      <c r="AF1693" s="82" t="n"/>
      <c r="AG1693" s="82">
        <f>IF(AN1693="","",AD1693+AE1693+AF1693)</f>
        <v/>
      </c>
      <c r="AH1693" s="81">
        <f>IF(AN1693="","",P1693*(1-AG1693))</f>
        <v/>
      </c>
      <c r="AI1693" s="81">
        <f>IF(AN1693="","",IF(Q1693="Sin Factura",0,IFERROR(INDEX(Facturas_Odoo!$H:$H, MATCH(Q1693, Facturas_Odoo!$B:$B, 0)), 0)*(1-AG1693)))</f>
        <v/>
      </c>
      <c r="AJ1693" s="81">
        <f>IF(AN1693="","",_xlfn.LET(idVenta, AN1693&amp;"",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93" s="81">
        <f>IF(AN1693="","",AH1693-AJ1693)</f>
        <v/>
      </c>
      <c r="AL1693" s="81">
        <f>IF(AN1693="","",IF(Q1693="Sin Factura","",AI1693-AJ1693))</f>
        <v/>
      </c>
      <c r="AM1693" s="81">
        <f>IF(AN1693="","",IF(Q1693="Sin Factura",0,P1693-IFERROR(INDEX(Facturas_Odoo!$H:$H, MATCH(Q1693, Facturas_Odoo!$B:$B, 0)), 0)))</f>
        <v/>
      </c>
      <c r="AN1693" s="79">
        <f>IF(AND(A1693="", J1693=""), "", IF(A1693&lt;&gt;"", VALUE(MID(A1693,2,LEN(A1693))), AN1692))</f>
        <v/>
      </c>
      <c r="AO1693" s="79">
        <f>IF(AN1693="","",IF(AD1693=0,"OK",_xlfn.LET(monedaPago, IF(AA1693="","USD",AA1693), limitePermitido, IFERROR(VLOOKUP(monedaPago, Configuración!$A$2:$B$3, 2, FALSE), 0.15), IF(AD1693&gt;limitePermitido, "ALERTA: EXCESO (" &amp; TEXT(limitePermitido, "0%") &amp; " máx)", "OK"))))</f>
        <v/>
      </c>
      <c r="AP1693" s="79">
        <f>IF(AN1693="","",IF(AE1693=0,"OK",_xlfn.LET(fechaPago, Z1693, fechaFactura, R1693, diasCredito, IF(E1693="Pago inmediato", 0, IFERROR(VALUE(MID(E1693, 1, SEARCH(" ", E1693)-1)),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93" s="79">
        <f>IF(AN1693="","",IF(AND(N1693&gt;0, AG1693&gt;0), IF(Configuración!$K$2="NO", "ALERTA: DESCUENTO DOBLE NO PERMITIDO", "OK"), "OK"))</f>
        <v/>
      </c>
      <c r="AR1693" s="79">
        <f>IF(AN1693="","",IF(OR(AO1693&lt;&gt;"OK", AP1693&lt;&gt;"OK", AQ1693&lt;&gt;"OK"), "⚠️ REVISAR", "OK"))</f>
        <v/>
      </c>
    </row>
    <row r="1694">
      <c r="A1694" s="79">
        <f>IF('Ordenes_Odoo'!A1694="","",'Ordenes_Odoo'!A1694)</f>
        <v/>
      </c>
      <c r="B1694" s="80">
        <f>IF('Ordenes_Odoo'!B1694="","",'Ordenes_Odoo'!B1694)</f>
        <v/>
      </c>
      <c r="C1694" s="79">
        <f>IF('Ordenes_Odoo'!C1694="","",'Ordenes_Odoo'!C1694)</f>
        <v/>
      </c>
      <c r="D1694" s="79">
        <f>IF('Ordenes_Odoo'!D1694="","",'Ordenes_Odoo'!D1694)</f>
        <v/>
      </c>
      <c r="E1694" s="79">
        <f>IF('Ordenes_Odoo'!E1694="","",'Ordenes_Odoo'!E1694)</f>
        <v/>
      </c>
      <c r="F1694" s="79">
        <f>IF('Ordenes_Odoo'!F1694="","",'Ordenes_Odoo'!F1694)</f>
        <v/>
      </c>
      <c r="G1694" s="79">
        <f>IF('Ordenes_Odoo'!G1694="","",'Ordenes_Odoo'!G1694)</f>
        <v/>
      </c>
      <c r="H1694" s="79">
        <f>IF('Ordenes_Odoo'!H1694="","",'Ordenes_Odoo'!H1694)</f>
        <v/>
      </c>
      <c r="I1694" s="79">
        <f>IF('Ordenes_Odoo'!I1694="","",'Ordenes_Odoo'!I1694)</f>
        <v/>
      </c>
      <c r="J1694" s="79">
        <f>IF('Ordenes_Odoo'!J1694="","",'Ordenes_Odoo'!J1694)</f>
        <v/>
      </c>
      <c r="K1694" s="81">
        <f>IF('Ordenes_Odoo'!K1694="","",'Ordenes_Odoo'!K1694)</f>
        <v/>
      </c>
      <c r="L1694" s="81">
        <f>IF('Ordenes_Odoo'!L1694="","",'Ordenes_Odoo'!L1694)</f>
        <v/>
      </c>
      <c r="M1694" s="79">
        <f>IF('Ordenes_Odoo'!M1694="","",'Ordenes_Odoo'!M1694)</f>
        <v/>
      </c>
      <c r="N1694" s="79">
        <f>IF('Ordenes_Odoo'!N1694="","",'Ordenes_Odoo'!N1694)</f>
        <v/>
      </c>
      <c r="O1694" s="81">
        <f>IF('Ordenes_Odoo'!O1694="","",'Ordenes_Odoo'!O1694)</f>
        <v/>
      </c>
      <c r="P1694" s="81">
        <f>IF('Ordenes_Odoo'!P1694="","",'Ordenes_Odoo'!P1694)</f>
        <v/>
      </c>
      <c r="Q1694" s="79">
        <f>IF(A1694="","",IFERROR(INDEX(Facturas_Odoo!$B:$B, MATCH(A1694, Facturas_Odoo!$D:$D, 0)), "Sin Factura"))</f>
        <v/>
      </c>
      <c r="R1694" s="80">
        <f>IF(Q1694="Sin Factura","",IFERROR(INDEX(Facturas_Odoo!$A:$A, MATCH(Q1694, Facturas_Odoo!$B:$B, 0)), ""))</f>
        <v/>
      </c>
      <c r="S1694" s="79">
        <f>IF(Q1694="Sin Factura","",IFERROR(_xlfn.XLOOKUP(1, (Facturas_Odoo!$D:$D=A1694) * (Facturas_Odoo!$K:$K=I1694), Facturas_Odoo!$L:$L, ""), ""))</f>
        <v/>
      </c>
      <c r="T1694" s="81">
        <f>IF(Q1694="Sin Factura",0,IFERROR(_xlfn.XLOOKUP(1, (Facturas_Odoo!$D:$D=A1694) * (Facturas_Odoo!$K:$K=I1694), Facturas_Odoo!$M:$M, 0), 0))</f>
        <v/>
      </c>
      <c r="U1694" s="79">
        <f>IF(Q1694="Sin Factura",0,IFERROR(_xlfn.XLOOKUP(1, (Facturas_Odoo!$D:$D=A1694) * (Facturas_Odoo!$K:$K=I1694), Facturas_Odoo!$N:$N, 0), 0))</f>
        <v/>
      </c>
      <c r="V1694" s="79">
        <f>IF(Q1694="Sin Factura",0,IFERROR(_xlfn.XLOOKUP(1, (Facturas_Odoo!$D:$D=A1694) * (Facturas_Odoo!$K:$K=I1694), Facturas_Odoo!$O:$O, 0), 0))</f>
        <v/>
      </c>
      <c r="W1694" s="81">
        <f>IF(Q1694="Sin Factura",0,IFERROR(_xlfn.XLOOKUP(1, (Facturas_Odoo!$D:$D=A1694) * (Facturas_Odoo!$K:$K=I1694), Facturas_Odoo!$Q:$Q, 0), 0))</f>
        <v/>
      </c>
      <c r="X1694" s="79">
        <f>IF(OR(Q1694="Sin Factura",Q1694=""),"",IFERROR(INDEX(Pagos_Odoo!$B:$B, MATCH(Q1694, Pagos_Odoo!$I:$I, 0)), "Sin Pago"))</f>
        <v/>
      </c>
      <c r="Y1694" s="79">
        <f>IF(X1694="Sin Pago","",IFERROR(INDEX(Pagos_Odoo!$C:$C, MATCH(X1694, Pagos_Odoo!$B:$B, 0)), ""))</f>
        <v/>
      </c>
      <c r="Z1694" s="80">
        <f>IF(X1694="Sin Pago","",IFERROR(INDEX(Pagos_Odoo!$A:$A, MATCH(X1694, Pagos_Odoo!$B:$B, 0)), ""))</f>
        <v/>
      </c>
      <c r="AA1694" s="79">
        <f>IF(X1694="Sin Pago","",IFERROR(INDEX(Pagos_Odoo!$F:$F, MATCH(X1694, Pagos_Odoo!$B:$B, 0)), ""))</f>
        <v/>
      </c>
      <c r="AB1694" s="81">
        <f>IF(X1694="Sin Pago",0,IFERROR(INDEX(Pagos_Odoo!$E:$E, MATCH(X1694, Pagos_Odoo!$B:$B, 0)), 0))</f>
        <v/>
      </c>
      <c r="AC1694" s="79">
        <f>IF(X1694="Sin Pago","",IFERROR(INDEX(Pagos_Odoo!$G:$G, MATCH(X1694, Pagos_Odoo!$B:$B, 0)), ""))</f>
        <v/>
      </c>
      <c r="AD1694" s="82" t="n">
        <v>0</v>
      </c>
      <c r="AE1694" s="82" t="n"/>
      <c r="AF1694" s="82" t="n"/>
      <c r="AG1694" s="82">
        <f>IF(AN1694="","",AD1694+AE1694+AF1694)</f>
        <v/>
      </c>
      <c r="AH1694" s="81">
        <f>IF(AN1694="","",P1694*(1-AG1694))</f>
        <v/>
      </c>
      <c r="AI1694" s="81">
        <f>IF(AN1694="","",IF(Q1694="Sin Factura",0,IFERROR(INDEX(Facturas_Odoo!$H:$H, MATCH(Q1694, Facturas_Odoo!$B:$B, 0)), 0)*(1-AG1694)))</f>
        <v/>
      </c>
      <c r="AJ1694" s="81">
        <f>IF(AN1694="","",_xlfn.LET(idVenta, AN1694&amp;"",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94" s="81">
        <f>IF(AN1694="","",AH1694-AJ1694)</f>
        <v/>
      </c>
      <c r="AL1694" s="81">
        <f>IF(AN1694="","",IF(Q1694="Sin Factura","",AI1694-AJ1694))</f>
        <v/>
      </c>
      <c r="AM1694" s="81">
        <f>IF(AN1694="","",IF(Q1694="Sin Factura",0,P1694-IFERROR(INDEX(Facturas_Odoo!$H:$H, MATCH(Q1694, Facturas_Odoo!$B:$B, 0)), 0)))</f>
        <v/>
      </c>
      <c r="AN1694" s="79">
        <f>IF(AND(A1694="", J1694=""), "", IF(A1694&lt;&gt;"", VALUE(MID(A1694,2,LEN(A1694))), AN1693))</f>
        <v/>
      </c>
      <c r="AO1694" s="79">
        <f>IF(AN1694="","",IF(AD1694=0,"OK",_xlfn.LET(monedaPago, IF(AA1694="","USD",AA1694), limitePermitido, IFERROR(VLOOKUP(monedaPago, Configuración!$A$2:$B$3, 2, FALSE), 0.15), IF(AD1694&gt;limitePermitido, "ALERTA: EXCESO (" &amp; TEXT(limitePermitido, "0%") &amp; " máx)", "OK"))))</f>
        <v/>
      </c>
      <c r="AP1694" s="79">
        <f>IF(AN1694="","",IF(AE1694=0,"OK",_xlfn.LET(fechaPago, Z1694, fechaFactura, R1694, diasCredito, IF(E1694="Pago inmediato", 0, IFERROR(VALUE(MID(E1694, 1, SEARCH(" ", E1694)-1)),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94" s="79">
        <f>IF(AN1694="","",IF(AND(N1694&gt;0, AG1694&gt;0), IF(Configuración!$K$2="NO", "ALERTA: DESCUENTO DOBLE NO PERMITIDO", "OK"), "OK"))</f>
        <v/>
      </c>
      <c r="AR1694" s="79">
        <f>IF(AN1694="","",IF(OR(AO1694&lt;&gt;"OK", AP1694&lt;&gt;"OK", AQ1694&lt;&gt;"OK"), "⚠️ REVISAR", "OK"))</f>
        <v/>
      </c>
    </row>
    <row r="1695">
      <c r="A1695" s="79">
        <f>IF('Ordenes_Odoo'!A1695="","",'Ordenes_Odoo'!A1695)</f>
        <v/>
      </c>
      <c r="B1695" s="80">
        <f>IF('Ordenes_Odoo'!B1695="","",'Ordenes_Odoo'!B1695)</f>
        <v/>
      </c>
      <c r="C1695" s="79">
        <f>IF('Ordenes_Odoo'!C1695="","",'Ordenes_Odoo'!C1695)</f>
        <v/>
      </c>
      <c r="D1695" s="79">
        <f>IF('Ordenes_Odoo'!D1695="","",'Ordenes_Odoo'!D1695)</f>
        <v/>
      </c>
      <c r="E1695" s="79">
        <f>IF('Ordenes_Odoo'!E1695="","",'Ordenes_Odoo'!E1695)</f>
        <v/>
      </c>
      <c r="F1695" s="79">
        <f>IF('Ordenes_Odoo'!F1695="","",'Ordenes_Odoo'!F1695)</f>
        <v/>
      </c>
      <c r="G1695" s="79">
        <f>IF('Ordenes_Odoo'!G1695="","",'Ordenes_Odoo'!G1695)</f>
        <v/>
      </c>
      <c r="H1695" s="79">
        <f>IF('Ordenes_Odoo'!H1695="","",'Ordenes_Odoo'!H1695)</f>
        <v/>
      </c>
      <c r="I1695" s="79">
        <f>IF('Ordenes_Odoo'!I1695="","",'Ordenes_Odoo'!I1695)</f>
        <v/>
      </c>
      <c r="J1695" s="79">
        <f>IF('Ordenes_Odoo'!J1695="","",'Ordenes_Odoo'!J1695)</f>
        <v/>
      </c>
      <c r="K1695" s="81">
        <f>IF('Ordenes_Odoo'!K1695="","",'Ordenes_Odoo'!K1695)</f>
        <v/>
      </c>
      <c r="L1695" s="81">
        <f>IF('Ordenes_Odoo'!L1695="","",'Ordenes_Odoo'!L1695)</f>
        <v/>
      </c>
      <c r="M1695" s="79">
        <f>IF('Ordenes_Odoo'!M1695="","",'Ordenes_Odoo'!M1695)</f>
        <v/>
      </c>
      <c r="N1695" s="79">
        <f>IF('Ordenes_Odoo'!N1695="","",'Ordenes_Odoo'!N1695)</f>
        <v/>
      </c>
      <c r="O1695" s="81">
        <f>IF('Ordenes_Odoo'!O1695="","",'Ordenes_Odoo'!O1695)</f>
        <v/>
      </c>
      <c r="P1695" s="81">
        <f>IF('Ordenes_Odoo'!P1695="","",'Ordenes_Odoo'!P1695)</f>
        <v/>
      </c>
      <c r="Q1695" s="79">
        <f>IF(A1695="","",IFERROR(INDEX(Facturas_Odoo!$B:$B, MATCH(A1695, Facturas_Odoo!$D:$D, 0)), "Sin Factura"))</f>
        <v/>
      </c>
      <c r="R1695" s="80">
        <f>IF(Q1695="Sin Factura","",IFERROR(INDEX(Facturas_Odoo!$A:$A, MATCH(Q1695, Facturas_Odoo!$B:$B, 0)), ""))</f>
        <v/>
      </c>
      <c r="S1695" s="79">
        <f>IF(Q1695="Sin Factura","",IFERROR(_xlfn.XLOOKUP(1, (Facturas_Odoo!$D:$D=A1695) * (Facturas_Odoo!$K:$K=I1695), Facturas_Odoo!$L:$L, ""), ""))</f>
        <v/>
      </c>
      <c r="T1695" s="81">
        <f>IF(Q1695="Sin Factura",0,IFERROR(_xlfn.XLOOKUP(1, (Facturas_Odoo!$D:$D=A1695) * (Facturas_Odoo!$K:$K=I1695), Facturas_Odoo!$M:$M, 0), 0))</f>
        <v/>
      </c>
      <c r="U1695" s="79">
        <f>IF(Q1695="Sin Factura",0,IFERROR(_xlfn.XLOOKUP(1, (Facturas_Odoo!$D:$D=A1695) * (Facturas_Odoo!$K:$K=I1695), Facturas_Odoo!$N:$N, 0), 0))</f>
        <v/>
      </c>
      <c r="V1695" s="79">
        <f>IF(Q1695="Sin Factura",0,IFERROR(_xlfn.XLOOKUP(1, (Facturas_Odoo!$D:$D=A1695) * (Facturas_Odoo!$K:$K=I1695), Facturas_Odoo!$O:$O, 0), 0))</f>
        <v/>
      </c>
      <c r="W1695" s="81">
        <f>IF(Q1695="Sin Factura",0,IFERROR(_xlfn.XLOOKUP(1, (Facturas_Odoo!$D:$D=A1695) * (Facturas_Odoo!$K:$K=I1695), Facturas_Odoo!$Q:$Q, 0), 0))</f>
        <v/>
      </c>
      <c r="X1695" s="79">
        <f>IF(OR(Q1695="Sin Factura",Q1695=""),"",IFERROR(INDEX(Pagos_Odoo!$B:$B, MATCH(Q1695, Pagos_Odoo!$I:$I, 0)), "Sin Pago"))</f>
        <v/>
      </c>
      <c r="Y1695" s="79">
        <f>IF(X1695="Sin Pago","",IFERROR(INDEX(Pagos_Odoo!$C:$C, MATCH(X1695, Pagos_Odoo!$B:$B, 0)), ""))</f>
        <v/>
      </c>
      <c r="Z1695" s="80">
        <f>IF(X1695="Sin Pago","",IFERROR(INDEX(Pagos_Odoo!$A:$A, MATCH(X1695, Pagos_Odoo!$B:$B, 0)), ""))</f>
        <v/>
      </c>
      <c r="AA1695" s="79">
        <f>IF(X1695="Sin Pago","",IFERROR(INDEX(Pagos_Odoo!$F:$F, MATCH(X1695, Pagos_Odoo!$B:$B, 0)), ""))</f>
        <v/>
      </c>
      <c r="AB1695" s="81">
        <f>IF(X1695="Sin Pago",0,IFERROR(INDEX(Pagos_Odoo!$E:$E, MATCH(X1695, Pagos_Odoo!$B:$B, 0)), 0))</f>
        <v/>
      </c>
      <c r="AC1695" s="79">
        <f>IF(X1695="Sin Pago","",IFERROR(INDEX(Pagos_Odoo!$G:$G, MATCH(X1695, Pagos_Odoo!$B:$B, 0)), ""))</f>
        <v/>
      </c>
      <c r="AD1695" s="82" t="n">
        <v>0</v>
      </c>
      <c r="AE1695" s="82" t="n"/>
      <c r="AF1695" s="82" t="n"/>
      <c r="AG1695" s="82">
        <f>IF(AN1695="","",AD1695+AE1695+AF1695)</f>
        <v/>
      </c>
      <c r="AH1695" s="81">
        <f>IF(AN1695="","",P1695*(1-AG1695))</f>
        <v/>
      </c>
      <c r="AI1695" s="81">
        <f>IF(AN1695="","",IF(Q1695="Sin Factura",0,IFERROR(INDEX(Facturas_Odoo!$H:$H, MATCH(Q1695, Facturas_Odoo!$B:$B, 0)), 0)*(1-AG1695)))</f>
        <v/>
      </c>
      <c r="AJ1695" s="81">
        <f>IF(AN1695="","",_xlfn.LET(idVenta, AN1695&amp;"",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95" s="81">
        <f>IF(AN1695="","",AH1695-AJ1695)</f>
        <v/>
      </c>
      <c r="AL1695" s="81">
        <f>IF(AN1695="","",IF(Q1695="Sin Factura","",AI1695-AJ1695))</f>
        <v/>
      </c>
      <c r="AM1695" s="81">
        <f>IF(AN1695="","",IF(Q1695="Sin Factura",0,P1695-IFERROR(INDEX(Facturas_Odoo!$H:$H, MATCH(Q1695, Facturas_Odoo!$B:$B, 0)), 0)))</f>
        <v/>
      </c>
      <c r="AN1695" s="79">
        <f>IF(AND(A1695="", J1695=""), "", IF(A1695&lt;&gt;"", VALUE(MID(A1695,2,LEN(A1695))), AN1694))</f>
        <v/>
      </c>
      <c r="AO1695" s="79">
        <f>IF(AN1695="","",IF(AD1695=0,"OK",_xlfn.LET(monedaPago, IF(AA1695="","USD",AA1695), limitePermitido, IFERROR(VLOOKUP(monedaPago, Configuración!$A$2:$B$3, 2, FALSE), 0.15), IF(AD1695&gt;limitePermitido, "ALERTA: EXCESO (" &amp; TEXT(limitePermitido, "0%") &amp; " máx)", "OK"))))</f>
        <v/>
      </c>
      <c r="AP1695" s="79">
        <f>IF(AN1695="","",IF(AE1695=0,"OK",_xlfn.LET(fechaPago, Z1695, fechaFactura, R1695, diasCredito, IF(E1695="Pago inmediato", 0, IFERROR(VALUE(MID(E1695, 1, SEARCH(" ", E1695)-1)),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95" s="79">
        <f>IF(AN1695="","",IF(AND(N1695&gt;0, AG1695&gt;0), IF(Configuración!$K$2="NO", "ALERTA: DESCUENTO DOBLE NO PERMITIDO", "OK"), "OK"))</f>
        <v/>
      </c>
      <c r="AR1695" s="79">
        <f>IF(AN1695="","",IF(OR(AO1695&lt;&gt;"OK", AP1695&lt;&gt;"OK", AQ1695&lt;&gt;"OK"), "⚠️ REVISAR", "OK"))</f>
        <v/>
      </c>
    </row>
    <row r="1696">
      <c r="A1696" s="79">
        <f>IF('Ordenes_Odoo'!A1696="","",'Ordenes_Odoo'!A1696)</f>
        <v/>
      </c>
      <c r="B1696" s="80">
        <f>IF('Ordenes_Odoo'!B1696="","",'Ordenes_Odoo'!B1696)</f>
        <v/>
      </c>
      <c r="C1696" s="79">
        <f>IF('Ordenes_Odoo'!C1696="","",'Ordenes_Odoo'!C1696)</f>
        <v/>
      </c>
      <c r="D1696" s="79">
        <f>IF('Ordenes_Odoo'!D1696="","",'Ordenes_Odoo'!D1696)</f>
        <v/>
      </c>
      <c r="E1696" s="79">
        <f>IF('Ordenes_Odoo'!E1696="","",'Ordenes_Odoo'!E1696)</f>
        <v/>
      </c>
      <c r="F1696" s="79">
        <f>IF('Ordenes_Odoo'!F1696="","",'Ordenes_Odoo'!F1696)</f>
        <v/>
      </c>
      <c r="G1696" s="79">
        <f>IF('Ordenes_Odoo'!G1696="","",'Ordenes_Odoo'!G1696)</f>
        <v/>
      </c>
      <c r="H1696" s="79">
        <f>IF('Ordenes_Odoo'!H1696="","",'Ordenes_Odoo'!H1696)</f>
        <v/>
      </c>
      <c r="I1696" s="79">
        <f>IF('Ordenes_Odoo'!I1696="","",'Ordenes_Odoo'!I1696)</f>
        <v/>
      </c>
      <c r="J1696" s="79">
        <f>IF('Ordenes_Odoo'!J1696="","",'Ordenes_Odoo'!J1696)</f>
        <v/>
      </c>
      <c r="K1696" s="81">
        <f>IF('Ordenes_Odoo'!K1696="","",'Ordenes_Odoo'!K1696)</f>
        <v/>
      </c>
      <c r="L1696" s="81">
        <f>IF('Ordenes_Odoo'!L1696="","",'Ordenes_Odoo'!L1696)</f>
        <v/>
      </c>
      <c r="M1696" s="79">
        <f>IF('Ordenes_Odoo'!M1696="","",'Ordenes_Odoo'!M1696)</f>
        <v/>
      </c>
      <c r="N1696" s="79">
        <f>IF('Ordenes_Odoo'!N1696="","",'Ordenes_Odoo'!N1696)</f>
        <v/>
      </c>
      <c r="O1696" s="81">
        <f>IF('Ordenes_Odoo'!O1696="","",'Ordenes_Odoo'!O1696)</f>
        <v/>
      </c>
      <c r="P1696" s="81">
        <f>IF('Ordenes_Odoo'!P1696="","",'Ordenes_Odoo'!P1696)</f>
        <v/>
      </c>
      <c r="Q1696" s="79">
        <f>IF(A1696="","",IFERROR(INDEX(Facturas_Odoo!$B:$B, MATCH(A1696, Facturas_Odoo!$D:$D, 0)), "Sin Factura"))</f>
        <v/>
      </c>
      <c r="R1696" s="80">
        <f>IF(Q1696="Sin Factura","",IFERROR(INDEX(Facturas_Odoo!$A:$A, MATCH(Q1696, Facturas_Odoo!$B:$B, 0)), ""))</f>
        <v/>
      </c>
      <c r="S1696" s="79">
        <f>IF(Q1696="Sin Factura","",IFERROR(_xlfn.XLOOKUP(1, (Facturas_Odoo!$D:$D=A1696) * (Facturas_Odoo!$K:$K=I1696), Facturas_Odoo!$L:$L, ""), ""))</f>
        <v/>
      </c>
      <c r="T1696" s="81">
        <f>IF(Q1696="Sin Factura",0,IFERROR(_xlfn.XLOOKUP(1, (Facturas_Odoo!$D:$D=A1696) * (Facturas_Odoo!$K:$K=I1696), Facturas_Odoo!$M:$M, 0), 0))</f>
        <v/>
      </c>
      <c r="U1696" s="79">
        <f>IF(Q1696="Sin Factura",0,IFERROR(_xlfn.XLOOKUP(1, (Facturas_Odoo!$D:$D=A1696) * (Facturas_Odoo!$K:$K=I1696), Facturas_Odoo!$N:$N, 0), 0))</f>
        <v/>
      </c>
      <c r="V1696" s="79">
        <f>IF(Q1696="Sin Factura",0,IFERROR(_xlfn.XLOOKUP(1, (Facturas_Odoo!$D:$D=A1696) * (Facturas_Odoo!$K:$K=I1696), Facturas_Odoo!$O:$O, 0), 0))</f>
        <v/>
      </c>
      <c r="W1696" s="81">
        <f>IF(Q1696="Sin Factura",0,IFERROR(_xlfn.XLOOKUP(1, (Facturas_Odoo!$D:$D=A1696) * (Facturas_Odoo!$K:$K=I1696), Facturas_Odoo!$Q:$Q, 0), 0))</f>
        <v/>
      </c>
      <c r="X1696" s="79">
        <f>IF(OR(Q1696="Sin Factura",Q1696=""),"",IFERROR(INDEX(Pagos_Odoo!$B:$B, MATCH(Q1696, Pagos_Odoo!$I:$I, 0)), "Sin Pago"))</f>
        <v/>
      </c>
      <c r="Y1696" s="79">
        <f>IF(X1696="Sin Pago","",IFERROR(INDEX(Pagos_Odoo!$C:$C, MATCH(X1696, Pagos_Odoo!$B:$B, 0)), ""))</f>
        <v/>
      </c>
      <c r="Z1696" s="80">
        <f>IF(X1696="Sin Pago","",IFERROR(INDEX(Pagos_Odoo!$A:$A, MATCH(X1696, Pagos_Odoo!$B:$B, 0)), ""))</f>
        <v/>
      </c>
      <c r="AA1696" s="79">
        <f>IF(X1696="Sin Pago","",IFERROR(INDEX(Pagos_Odoo!$F:$F, MATCH(X1696, Pagos_Odoo!$B:$B, 0)), ""))</f>
        <v/>
      </c>
      <c r="AB1696" s="81">
        <f>IF(X1696="Sin Pago",0,IFERROR(INDEX(Pagos_Odoo!$E:$E, MATCH(X1696, Pagos_Odoo!$B:$B, 0)), 0))</f>
        <v/>
      </c>
      <c r="AC1696" s="79">
        <f>IF(X1696="Sin Pago","",IFERROR(INDEX(Pagos_Odoo!$G:$G, MATCH(X1696, Pagos_Odoo!$B:$B, 0)), ""))</f>
        <v/>
      </c>
      <c r="AD1696" s="82" t="n">
        <v>0</v>
      </c>
      <c r="AE1696" s="82" t="n"/>
      <c r="AF1696" s="82" t="n"/>
      <c r="AG1696" s="82">
        <f>IF(AN1696="","",AD1696+AE1696+AF1696)</f>
        <v/>
      </c>
      <c r="AH1696" s="81">
        <f>IF(AN1696="","",P1696*(1-AG1696))</f>
        <v/>
      </c>
      <c r="AI1696" s="81">
        <f>IF(AN1696="","",IF(Q1696="Sin Factura",0,IFERROR(INDEX(Facturas_Odoo!$H:$H, MATCH(Q1696, Facturas_Odoo!$B:$B, 0)), 0)*(1-AG1696)))</f>
        <v/>
      </c>
      <c r="AJ1696" s="81">
        <f>IF(AN1696="","",_xlfn.LET(idVenta, AN1696&amp;"",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96" s="81">
        <f>IF(AN1696="","",AH1696-AJ1696)</f>
        <v/>
      </c>
      <c r="AL1696" s="81">
        <f>IF(AN1696="","",IF(Q1696="Sin Factura","",AI1696-AJ1696))</f>
        <v/>
      </c>
      <c r="AM1696" s="81">
        <f>IF(AN1696="","",IF(Q1696="Sin Factura",0,P1696-IFERROR(INDEX(Facturas_Odoo!$H:$H, MATCH(Q1696, Facturas_Odoo!$B:$B, 0)), 0)))</f>
        <v/>
      </c>
      <c r="AN1696" s="79">
        <f>IF(AND(A1696="", J1696=""), "", IF(A1696&lt;&gt;"", VALUE(MID(A1696,2,LEN(A1696))), AN1695))</f>
        <v/>
      </c>
      <c r="AO1696" s="79">
        <f>IF(AN1696="","",IF(AD1696=0,"OK",_xlfn.LET(monedaPago, IF(AA1696="","USD",AA1696), limitePermitido, IFERROR(VLOOKUP(monedaPago, Configuración!$A$2:$B$3, 2, FALSE), 0.15), IF(AD1696&gt;limitePermitido, "ALERTA: EXCESO (" &amp; TEXT(limitePermitido, "0%") &amp; " máx)", "OK"))))</f>
        <v/>
      </c>
      <c r="AP1696" s="79">
        <f>IF(AN1696="","",IF(AE1696=0,"OK",_xlfn.LET(fechaPago, Z1696, fechaFactura, R1696, diasCredito, IF(E1696="Pago inmediato", 0, IFERROR(VALUE(MID(E1696, 1, SEARCH(" ", E1696)-1)),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96" s="79">
        <f>IF(AN1696="","",IF(AND(N1696&gt;0, AG1696&gt;0), IF(Configuración!$K$2="NO", "ALERTA: DESCUENTO DOBLE NO PERMITIDO", "OK"), "OK"))</f>
        <v/>
      </c>
      <c r="AR1696" s="79">
        <f>IF(AN1696="","",IF(OR(AO1696&lt;&gt;"OK", AP1696&lt;&gt;"OK", AQ1696&lt;&gt;"OK"), "⚠️ REVISAR", "OK"))</f>
        <v/>
      </c>
    </row>
    <row r="1697">
      <c r="A1697" s="79">
        <f>IF('Ordenes_Odoo'!A1697="","",'Ordenes_Odoo'!A1697)</f>
        <v/>
      </c>
      <c r="B1697" s="80">
        <f>IF('Ordenes_Odoo'!B1697="","",'Ordenes_Odoo'!B1697)</f>
        <v/>
      </c>
      <c r="C1697" s="79">
        <f>IF('Ordenes_Odoo'!C1697="","",'Ordenes_Odoo'!C1697)</f>
        <v/>
      </c>
      <c r="D1697" s="79">
        <f>IF('Ordenes_Odoo'!D1697="","",'Ordenes_Odoo'!D1697)</f>
        <v/>
      </c>
      <c r="E1697" s="79">
        <f>IF('Ordenes_Odoo'!E1697="","",'Ordenes_Odoo'!E1697)</f>
        <v/>
      </c>
      <c r="F1697" s="79">
        <f>IF('Ordenes_Odoo'!F1697="","",'Ordenes_Odoo'!F1697)</f>
        <v/>
      </c>
      <c r="G1697" s="79">
        <f>IF('Ordenes_Odoo'!G1697="","",'Ordenes_Odoo'!G1697)</f>
        <v/>
      </c>
      <c r="H1697" s="79">
        <f>IF('Ordenes_Odoo'!H1697="","",'Ordenes_Odoo'!H1697)</f>
        <v/>
      </c>
      <c r="I1697" s="79">
        <f>IF('Ordenes_Odoo'!I1697="","",'Ordenes_Odoo'!I1697)</f>
        <v/>
      </c>
      <c r="J1697" s="79">
        <f>IF('Ordenes_Odoo'!J1697="","",'Ordenes_Odoo'!J1697)</f>
        <v/>
      </c>
      <c r="K1697" s="81">
        <f>IF('Ordenes_Odoo'!K1697="","",'Ordenes_Odoo'!K1697)</f>
        <v/>
      </c>
      <c r="L1697" s="81">
        <f>IF('Ordenes_Odoo'!L1697="","",'Ordenes_Odoo'!L1697)</f>
        <v/>
      </c>
      <c r="M1697" s="79">
        <f>IF('Ordenes_Odoo'!M1697="","",'Ordenes_Odoo'!M1697)</f>
        <v/>
      </c>
      <c r="N1697" s="79">
        <f>IF('Ordenes_Odoo'!N1697="","",'Ordenes_Odoo'!N1697)</f>
        <v/>
      </c>
      <c r="O1697" s="81">
        <f>IF('Ordenes_Odoo'!O1697="","",'Ordenes_Odoo'!O1697)</f>
        <v/>
      </c>
      <c r="P1697" s="81">
        <f>IF('Ordenes_Odoo'!P1697="","",'Ordenes_Odoo'!P1697)</f>
        <v/>
      </c>
      <c r="Q1697" s="79">
        <f>IF(A1697="","",IFERROR(INDEX(Facturas_Odoo!$B:$B, MATCH(A1697, Facturas_Odoo!$D:$D, 0)), "Sin Factura"))</f>
        <v/>
      </c>
      <c r="R1697" s="80">
        <f>IF(Q1697="Sin Factura","",IFERROR(INDEX(Facturas_Odoo!$A:$A, MATCH(Q1697, Facturas_Odoo!$B:$B, 0)), ""))</f>
        <v/>
      </c>
      <c r="S1697" s="79">
        <f>IF(Q1697="Sin Factura","",IFERROR(_xlfn.XLOOKUP(1, (Facturas_Odoo!$D:$D=A1697) * (Facturas_Odoo!$K:$K=I1697), Facturas_Odoo!$L:$L, ""), ""))</f>
        <v/>
      </c>
      <c r="T1697" s="81">
        <f>IF(Q1697="Sin Factura",0,IFERROR(_xlfn.XLOOKUP(1, (Facturas_Odoo!$D:$D=A1697) * (Facturas_Odoo!$K:$K=I1697), Facturas_Odoo!$M:$M, 0), 0))</f>
        <v/>
      </c>
      <c r="U1697" s="79">
        <f>IF(Q1697="Sin Factura",0,IFERROR(_xlfn.XLOOKUP(1, (Facturas_Odoo!$D:$D=A1697) * (Facturas_Odoo!$K:$K=I1697), Facturas_Odoo!$N:$N, 0), 0))</f>
        <v/>
      </c>
      <c r="V1697" s="79">
        <f>IF(Q1697="Sin Factura",0,IFERROR(_xlfn.XLOOKUP(1, (Facturas_Odoo!$D:$D=A1697) * (Facturas_Odoo!$K:$K=I1697), Facturas_Odoo!$O:$O, 0), 0))</f>
        <v/>
      </c>
      <c r="W1697" s="81">
        <f>IF(Q1697="Sin Factura",0,IFERROR(_xlfn.XLOOKUP(1, (Facturas_Odoo!$D:$D=A1697) * (Facturas_Odoo!$K:$K=I1697), Facturas_Odoo!$Q:$Q, 0), 0))</f>
        <v/>
      </c>
      <c r="X1697" s="79">
        <f>IF(OR(Q1697="Sin Factura",Q1697=""),"",IFERROR(INDEX(Pagos_Odoo!$B:$B, MATCH(Q1697, Pagos_Odoo!$I:$I, 0)), "Sin Pago"))</f>
        <v/>
      </c>
      <c r="Y1697" s="79">
        <f>IF(X1697="Sin Pago","",IFERROR(INDEX(Pagos_Odoo!$C:$C, MATCH(X1697, Pagos_Odoo!$B:$B, 0)), ""))</f>
        <v/>
      </c>
      <c r="Z1697" s="80">
        <f>IF(X1697="Sin Pago","",IFERROR(INDEX(Pagos_Odoo!$A:$A, MATCH(X1697, Pagos_Odoo!$B:$B, 0)), ""))</f>
        <v/>
      </c>
      <c r="AA1697" s="79">
        <f>IF(X1697="Sin Pago","",IFERROR(INDEX(Pagos_Odoo!$F:$F, MATCH(X1697, Pagos_Odoo!$B:$B, 0)), ""))</f>
        <v/>
      </c>
      <c r="AB1697" s="81">
        <f>IF(X1697="Sin Pago",0,IFERROR(INDEX(Pagos_Odoo!$E:$E, MATCH(X1697, Pagos_Odoo!$B:$B, 0)), 0))</f>
        <v/>
      </c>
      <c r="AC1697" s="79">
        <f>IF(X1697="Sin Pago","",IFERROR(INDEX(Pagos_Odoo!$G:$G, MATCH(X1697, Pagos_Odoo!$B:$B, 0)), ""))</f>
        <v/>
      </c>
      <c r="AD1697" s="82" t="n">
        <v>0</v>
      </c>
      <c r="AE1697" s="82" t="n"/>
      <c r="AF1697" s="82" t="n"/>
      <c r="AG1697" s="82">
        <f>IF(AN1697="","",AD1697+AE1697+AF1697)</f>
        <v/>
      </c>
      <c r="AH1697" s="81">
        <f>IF(AN1697="","",P1697*(1-AG1697))</f>
        <v/>
      </c>
      <c r="AI1697" s="81">
        <f>IF(AN1697="","",IF(Q1697="Sin Factura",0,IFERROR(INDEX(Facturas_Odoo!$H:$H, MATCH(Q1697, Facturas_Odoo!$B:$B, 0)), 0)*(1-AG1697)))</f>
        <v/>
      </c>
      <c r="AJ1697" s="81">
        <f>IF(AN1697="","",_xlfn.LET(idVenta, AN1697&amp;"",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97" s="81">
        <f>IF(AN1697="","",AH1697-AJ1697)</f>
        <v/>
      </c>
      <c r="AL1697" s="81">
        <f>IF(AN1697="","",IF(Q1697="Sin Factura","",AI1697-AJ1697))</f>
        <v/>
      </c>
      <c r="AM1697" s="81">
        <f>IF(AN1697="","",IF(Q1697="Sin Factura",0,P1697-IFERROR(INDEX(Facturas_Odoo!$H:$H, MATCH(Q1697, Facturas_Odoo!$B:$B, 0)), 0)))</f>
        <v/>
      </c>
      <c r="AN1697" s="79">
        <f>IF(AND(A1697="", J1697=""), "", IF(A1697&lt;&gt;"", VALUE(MID(A1697,2,LEN(A1697))), AN1696))</f>
        <v/>
      </c>
      <c r="AO1697" s="79">
        <f>IF(AN1697="","",IF(AD1697=0,"OK",_xlfn.LET(monedaPago, IF(AA1697="","USD",AA1697), limitePermitido, IFERROR(VLOOKUP(monedaPago, Configuración!$A$2:$B$3, 2, FALSE), 0.15), IF(AD1697&gt;limitePermitido, "ALERTA: EXCESO (" &amp; TEXT(limitePermitido, "0%") &amp; " máx)", "OK"))))</f>
        <v/>
      </c>
      <c r="AP1697" s="79">
        <f>IF(AN1697="","",IF(AE1697=0,"OK",_xlfn.LET(fechaPago, Z1697, fechaFactura, R1697, diasCredito, IF(E1697="Pago inmediato", 0, IFERROR(VALUE(MID(E1697, 1, SEARCH(" ", E1697)-1)),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97" s="79">
        <f>IF(AN1697="","",IF(AND(N1697&gt;0, AG1697&gt;0), IF(Configuración!$K$2="NO", "ALERTA: DESCUENTO DOBLE NO PERMITIDO", "OK"), "OK"))</f>
        <v/>
      </c>
      <c r="AR1697" s="79">
        <f>IF(AN1697="","",IF(OR(AO1697&lt;&gt;"OK", AP1697&lt;&gt;"OK", AQ1697&lt;&gt;"OK"), "⚠️ REVISAR", "OK"))</f>
        <v/>
      </c>
    </row>
    <row r="1698">
      <c r="A1698" s="79">
        <f>IF('Ordenes_Odoo'!A1698="","",'Ordenes_Odoo'!A1698)</f>
        <v/>
      </c>
      <c r="B1698" s="80">
        <f>IF('Ordenes_Odoo'!B1698="","",'Ordenes_Odoo'!B1698)</f>
        <v/>
      </c>
      <c r="C1698" s="79">
        <f>IF('Ordenes_Odoo'!C1698="","",'Ordenes_Odoo'!C1698)</f>
        <v/>
      </c>
      <c r="D1698" s="79">
        <f>IF('Ordenes_Odoo'!D1698="","",'Ordenes_Odoo'!D1698)</f>
        <v/>
      </c>
      <c r="E1698" s="79">
        <f>IF('Ordenes_Odoo'!E1698="","",'Ordenes_Odoo'!E1698)</f>
        <v/>
      </c>
      <c r="F1698" s="79">
        <f>IF('Ordenes_Odoo'!F1698="","",'Ordenes_Odoo'!F1698)</f>
        <v/>
      </c>
      <c r="G1698" s="79">
        <f>IF('Ordenes_Odoo'!G1698="","",'Ordenes_Odoo'!G1698)</f>
        <v/>
      </c>
      <c r="H1698" s="79">
        <f>IF('Ordenes_Odoo'!H1698="","",'Ordenes_Odoo'!H1698)</f>
        <v/>
      </c>
      <c r="I1698" s="79">
        <f>IF('Ordenes_Odoo'!I1698="","",'Ordenes_Odoo'!I1698)</f>
        <v/>
      </c>
      <c r="J1698" s="79">
        <f>IF('Ordenes_Odoo'!J1698="","",'Ordenes_Odoo'!J1698)</f>
        <v/>
      </c>
      <c r="K1698" s="81">
        <f>IF('Ordenes_Odoo'!K1698="","",'Ordenes_Odoo'!K1698)</f>
        <v/>
      </c>
      <c r="L1698" s="81">
        <f>IF('Ordenes_Odoo'!L1698="","",'Ordenes_Odoo'!L1698)</f>
        <v/>
      </c>
      <c r="M1698" s="79">
        <f>IF('Ordenes_Odoo'!M1698="","",'Ordenes_Odoo'!M1698)</f>
        <v/>
      </c>
      <c r="N1698" s="79">
        <f>IF('Ordenes_Odoo'!N1698="","",'Ordenes_Odoo'!N1698)</f>
        <v/>
      </c>
      <c r="O1698" s="81">
        <f>IF('Ordenes_Odoo'!O1698="","",'Ordenes_Odoo'!O1698)</f>
        <v/>
      </c>
      <c r="P1698" s="81">
        <f>IF('Ordenes_Odoo'!P1698="","",'Ordenes_Odoo'!P1698)</f>
        <v/>
      </c>
      <c r="Q1698" s="79">
        <f>IF(A1698="","",IFERROR(INDEX(Facturas_Odoo!$B:$B, MATCH(A1698, Facturas_Odoo!$D:$D, 0)), "Sin Factura"))</f>
        <v/>
      </c>
      <c r="R1698" s="80">
        <f>IF(Q1698="Sin Factura","",IFERROR(INDEX(Facturas_Odoo!$A:$A, MATCH(Q1698, Facturas_Odoo!$B:$B, 0)), ""))</f>
        <v/>
      </c>
      <c r="S1698" s="79">
        <f>IF(Q1698="Sin Factura","",IFERROR(_xlfn.XLOOKUP(1, (Facturas_Odoo!$D:$D=A1698) * (Facturas_Odoo!$K:$K=I1698), Facturas_Odoo!$L:$L, ""), ""))</f>
        <v/>
      </c>
      <c r="T1698" s="81">
        <f>IF(Q1698="Sin Factura",0,IFERROR(_xlfn.XLOOKUP(1, (Facturas_Odoo!$D:$D=A1698) * (Facturas_Odoo!$K:$K=I1698), Facturas_Odoo!$M:$M, 0), 0))</f>
        <v/>
      </c>
      <c r="U1698" s="79">
        <f>IF(Q1698="Sin Factura",0,IFERROR(_xlfn.XLOOKUP(1, (Facturas_Odoo!$D:$D=A1698) * (Facturas_Odoo!$K:$K=I1698), Facturas_Odoo!$N:$N, 0), 0))</f>
        <v/>
      </c>
      <c r="V1698" s="79">
        <f>IF(Q1698="Sin Factura",0,IFERROR(_xlfn.XLOOKUP(1, (Facturas_Odoo!$D:$D=A1698) * (Facturas_Odoo!$K:$K=I1698), Facturas_Odoo!$O:$O, 0), 0))</f>
        <v/>
      </c>
      <c r="W1698" s="81">
        <f>IF(Q1698="Sin Factura",0,IFERROR(_xlfn.XLOOKUP(1, (Facturas_Odoo!$D:$D=A1698) * (Facturas_Odoo!$K:$K=I1698), Facturas_Odoo!$Q:$Q, 0), 0))</f>
        <v/>
      </c>
      <c r="X1698" s="79">
        <f>IF(OR(Q1698="Sin Factura",Q1698=""),"",IFERROR(INDEX(Pagos_Odoo!$B:$B, MATCH(Q1698, Pagos_Odoo!$I:$I, 0)), "Sin Pago"))</f>
        <v/>
      </c>
      <c r="Y1698" s="79">
        <f>IF(X1698="Sin Pago","",IFERROR(INDEX(Pagos_Odoo!$C:$C, MATCH(X1698, Pagos_Odoo!$B:$B, 0)), ""))</f>
        <v/>
      </c>
      <c r="Z1698" s="80">
        <f>IF(X1698="Sin Pago","",IFERROR(INDEX(Pagos_Odoo!$A:$A, MATCH(X1698, Pagos_Odoo!$B:$B, 0)), ""))</f>
        <v/>
      </c>
      <c r="AA1698" s="79">
        <f>IF(X1698="Sin Pago","",IFERROR(INDEX(Pagos_Odoo!$F:$F, MATCH(X1698, Pagos_Odoo!$B:$B, 0)), ""))</f>
        <v/>
      </c>
      <c r="AB1698" s="81">
        <f>IF(X1698="Sin Pago",0,IFERROR(INDEX(Pagos_Odoo!$E:$E, MATCH(X1698, Pagos_Odoo!$B:$B, 0)), 0))</f>
        <v/>
      </c>
      <c r="AC1698" s="79">
        <f>IF(X1698="Sin Pago","",IFERROR(INDEX(Pagos_Odoo!$G:$G, MATCH(X1698, Pagos_Odoo!$B:$B, 0)), ""))</f>
        <v/>
      </c>
      <c r="AD1698" s="82" t="n">
        <v>0</v>
      </c>
      <c r="AE1698" s="82" t="n"/>
      <c r="AF1698" s="82" t="n"/>
      <c r="AG1698" s="82">
        <f>IF(AN1698="","",AD1698+AE1698+AF1698)</f>
        <v/>
      </c>
      <c r="AH1698" s="81">
        <f>IF(AN1698="","",P1698*(1-AG1698))</f>
        <v/>
      </c>
      <c r="AI1698" s="81">
        <f>IF(AN1698="","",IF(Q1698="Sin Factura",0,IFERROR(INDEX(Facturas_Odoo!$H:$H, MATCH(Q1698, Facturas_Odoo!$B:$B, 0)), 0)*(1-AG1698)))</f>
        <v/>
      </c>
      <c r="AJ1698" s="81">
        <f>IF(AN1698="","",_xlfn.LET(idVenta, AN1698&amp;"",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98" s="81">
        <f>IF(AN1698="","",AH1698-AJ1698)</f>
        <v/>
      </c>
      <c r="AL1698" s="81">
        <f>IF(AN1698="","",IF(Q1698="Sin Factura","",AI1698-AJ1698))</f>
        <v/>
      </c>
      <c r="AM1698" s="81">
        <f>IF(AN1698="","",IF(Q1698="Sin Factura",0,P1698-IFERROR(INDEX(Facturas_Odoo!$H:$H, MATCH(Q1698, Facturas_Odoo!$B:$B, 0)), 0)))</f>
        <v/>
      </c>
      <c r="AN1698" s="79">
        <f>IF(AND(A1698="", J1698=""), "", IF(A1698&lt;&gt;"", VALUE(MID(A1698,2,LEN(A1698))), AN1697))</f>
        <v/>
      </c>
      <c r="AO1698" s="79">
        <f>IF(AN1698="","",IF(AD1698=0,"OK",_xlfn.LET(monedaPago, IF(AA1698="","USD",AA1698), limitePermitido, IFERROR(VLOOKUP(monedaPago, Configuración!$A$2:$B$3, 2, FALSE), 0.15), IF(AD1698&gt;limitePermitido, "ALERTA: EXCESO (" &amp; TEXT(limitePermitido, "0%") &amp; " máx)", "OK"))))</f>
        <v/>
      </c>
      <c r="AP1698" s="79">
        <f>IF(AN1698="","",IF(AE1698=0,"OK",_xlfn.LET(fechaPago, Z1698, fechaFactura, R1698, diasCredito, IF(E1698="Pago inmediato", 0, IFERROR(VALUE(MID(E1698, 1, SEARCH(" ", E1698)-1)),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98" s="79">
        <f>IF(AN1698="","",IF(AND(N1698&gt;0, AG1698&gt;0), IF(Configuración!$K$2="NO", "ALERTA: DESCUENTO DOBLE NO PERMITIDO", "OK"), "OK"))</f>
        <v/>
      </c>
      <c r="AR1698" s="79">
        <f>IF(AN1698="","",IF(OR(AO1698&lt;&gt;"OK", AP1698&lt;&gt;"OK", AQ1698&lt;&gt;"OK"), "⚠️ REVISAR", "OK"))</f>
        <v/>
      </c>
    </row>
    <row r="1699">
      <c r="A1699" s="79">
        <f>IF('Ordenes_Odoo'!A1699="","",'Ordenes_Odoo'!A1699)</f>
        <v/>
      </c>
      <c r="B1699" s="80">
        <f>IF('Ordenes_Odoo'!B1699="","",'Ordenes_Odoo'!B1699)</f>
        <v/>
      </c>
      <c r="C1699" s="79">
        <f>IF('Ordenes_Odoo'!C1699="","",'Ordenes_Odoo'!C1699)</f>
        <v/>
      </c>
      <c r="D1699" s="79">
        <f>IF('Ordenes_Odoo'!D1699="","",'Ordenes_Odoo'!D1699)</f>
        <v/>
      </c>
      <c r="E1699" s="79">
        <f>IF('Ordenes_Odoo'!E1699="","",'Ordenes_Odoo'!E1699)</f>
        <v/>
      </c>
      <c r="F1699" s="79">
        <f>IF('Ordenes_Odoo'!F1699="","",'Ordenes_Odoo'!F1699)</f>
        <v/>
      </c>
      <c r="G1699" s="79">
        <f>IF('Ordenes_Odoo'!G1699="","",'Ordenes_Odoo'!G1699)</f>
        <v/>
      </c>
      <c r="H1699" s="79">
        <f>IF('Ordenes_Odoo'!H1699="","",'Ordenes_Odoo'!H1699)</f>
        <v/>
      </c>
      <c r="I1699" s="79">
        <f>IF('Ordenes_Odoo'!I1699="","",'Ordenes_Odoo'!I1699)</f>
        <v/>
      </c>
      <c r="J1699" s="79">
        <f>IF('Ordenes_Odoo'!J1699="","",'Ordenes_Odoo'!J1699)</f>
        <v/>
      </c>
      <c r="K1699" s="81">
        <f>IF('Ordenes_Odoo'!K1699="","",'Ordenes_Odoo'!K1699)</f>
        <v/>
      </c>
      <c r="L1699" s="81">
        <f>IF('Ordenes_Odoo'!L1699="","",'Ordenes_Odoo'!L1699)</f>
        <v/>
      </c>
      <c r="M1699" s="79">
        <f>IF('Ordenes_Odoo'!M1699="","",'Ordenes_Odoo'!M1699)</f>
        <v/>
      </c>
      <c r="N1699" s="79">
        <f>IF('Ordenes_Odoo'!N1699="","",'Ordenes_Odoo'!N1699)</f>
        <v/>
      </c>
      <c r="O1699" s="81">
        <f>IF('Ordenes_Odoo'!O1699="","",'Ordenes_Odoo'!O1699)</f>
        <v/>
      </c>
      <c r="P1699" s="81">
        <f>IF('Ordenes_Odoo'!P1699="","",'Ordenes_Odoo'!P1699)</f>
        <v/>
      </c>
      <c r="Q1699" s="79">
        <f>IF(A1699="","",IFERROR(INDEX(Facturas_Odoo!$B:$B, MATCH(A1699, Facturas_Odoo!$D:$D, 0)), "Sin Factura"))</f>
        <v/>
      </c>
      <c r="R1699" s="80">
        <f>IF(Q1699="Sin Factura","",IFERROR(INDEX(Facturas_Odoo!$A:$A, MATCH(Q1699, Facturas_Odoo!$B:$B, 0)), ""))</f>
        <v/>
      </c>
      <c r="S1699" s="79">
        <f>IF(Q1699="Sin Factura","",IFERROR(_xlfn.XLOOKUP(1, (Facturas_Odoo!$D:$D=A1699) * (Facturas_Odoo!$K:$K=I1699), Facturas_Odoo!$L:$L, ""), ""))</f>
        <v/>
      </c>
      <c r="T1699" s="81">
        <f>IF(Q1699="Sin Factura",0,IFERROR(_xlfn.XLOOKUP(1, (Facturas_Odoo!$D:$D=A1699) * (Facturas_Odoo!$K:$K=I1699), Facturas_Odoo!$M:$M, 0), 0))</f>
        <v/>
      </c>
      <c r="U1699" s="79">
        <f>IF(Q1699="Sin Factura",0,IFERROR(_xlfn.XLOOKUP(1, (Facturas_Odoo!$D:$D=A1699) * (Facturas_Odoo!$K:$K=I1699), Facturas_Odoo!$N:$N, 0), 0))</f>
        <v/>
      </c>
      <c r="V1699" s="79">
        <f>IF(Q1699="Sin Factura",0,IFERROR(_xlfn.XLOOKUP(1, (Facturas_Odoo!$D:$D=A1699) * (Facturas_Odoo!$K:$K=I1699), Facturas_Odoo!$O:$O, 0), 0))</f>
        <v/>
      </c>
      <c r="W1699" s="81">
        <f>IF(Q1699="Sin Factura",0,IFERROR(_xlfn.XLOOKUP(1, (Facturas_Odoo!$D:$D=A1699) * (Facturas_Odoo!$K:$K=I1699), Facturas_Odoo!$Q:$Q, 0), 0))</f>
        <v/>
      </c>
      <c r="X1699" s="79">
        <f>IF(OR(Q1699="Sin Factura",Q1699=""),"",IFERROR(INDEX(Pagos_Odoo!$B:$B, MATCH(Q1699, Pagos_Odoo!$I:$I, 0)), "Sin Pago"))</f>
        <v/>
      </c>
      <c r="Y1699" s="79">
        <f>IF(X1699="Sin Pago","",IFERROR(INDEX(Pagos_Odoo!$C:$C, MATCH(X1699, Pagos_Odoo!$B:$B, 0)), ""))</f>
        <v/>
      </c>
      <c r="Z1699" s="80">
        <f>IF(X1699="Sin Pago","",IFERROR(INDEX(Pagos_Odoo!$A:$A, MATCH(X1699, Pagos_Odoo!$B:$B, 0)), ""))</f>
        <v/>
      </c>
      <c r="AA1699" s="79">
        <f>IF(X1699="Sin Pago","",IFERROR(INDEX(Pagos_Odoo!$F:$F, MATCH(X1699, Pagos_Odoo!$B:$B, 0)), ""))</f>
        <v/>
      </c>
      <c r="AB1699" s="81">
        <f>IF(X1699="Sin Pago",0,IFERROR(INDEX(Pagos_Odoo!$E:$E, MATCH(X1699, Pagos_Odoo!$B:$B, 0)), 0))</f>
        <v/>
      </c>
      <c r="AC1699" s="79">
        <f>IF(X1699="Sin Pago","",IFERROR(INDEX(Pagos_Odoo!$G:$G, MATCH(X1699, Pagos_Odoo!$B:$B, 0)), ""))</f>
        <v/>
      </c>
      <c r="AD1699" s="82" t="n">
        <v>0</v>
      </c>
      <c r="AE1699" s="82" t="n"/>
      <c r="AF1699" s="82" t="n"/>
      <c r="AG1699" s="82">
        <f>IF(AN1699="","",AD1699+AE1699+AF1699)</f>
        <v/>
      </c>
      <c r="AH1699" s="81">
        <f>IF(AN1699="","",P1699*(1-AG1699))</f>
        <v/>
      </c>
      <c r="AI1699" s="81">
        <f>IF(AN1699="","",IF(Q1699="Sin Factura",0,IFERROR(INDEX(Facturas_Odoo!$H:$H, MATCH(Q1699, Facturas_Odoo!$B:$B, 0)), 0)*(1-AG1699)))</f>
        <v/>
      </c>
      <c r="AJ1699" s="81">
        <f>IF(AN1699="","",_xlfn.LET(idVenta, AN1699&amp;"",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699" s="81">
        <f>IF(AN1699="","",AH1699-AJ1699)</f>
        <v/>
      </c>
      <c r="AL1699" s="81">
        <f>IF(AN1699="","",IF(Q1699="Sin Factura","",AI1699-AJ1699))</f>
        <v/>
      </c>
      <c r="AM1699" s="81">
        <f>IF(AN1699="","",IF(Q1699="Sin Factura",0,P1699-IFERROR(INDEX(Facturas_Odoo!$H:$H, MATCH(Q1699, Facturas_Odoo!$B:$B, 0)), 0)))</f>
        <v/>
      </c>
      <c r="AN1699" s="79">
        <f>IF(AND(A1699="", J1699=""), "", IF(A1699&lt;&gt;"", VALUE(MID(A1699,2,LEN(A1699))), AN1698))</f>
        <v/>
      </c>
      <c r="AO1699" s="79">
        <f>IF(AN1699="","",IF(AD1699=0,"OK",_xlfn.LET(monedaPago, IF(AA1699="","USD",AA1699), limitePermitido, IFERROR(VLOOKUP(monedaPago, Configuración!$A$2:$B$3, 2, FALSE), 0.15), IF(AD1699&gt;limitePermitido, "ALERTA: EXCESO (" &amp; TEXT(limitePermitido, "0%") &amp; " máx)", "OK"))))</f>
        <v/>
      </c>
      <c r="AP1699" s="79">
        <f>IF(AN1699="","",IF(AE1699=0,"OK",_xlfn.LET(fechaPago, Z1699, fechaFactura, R1699, diasCredito, IF(E1699="Pago inmediato", 0, IFERROR(VALUE(MID(E1699, 1, SEARCH(" ", E1699)-1)),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699" s="79">
        <f>IF(AN1699="","",IF(AND(N1699&gt;0, AG1699&gt;0), IF(Configuración!$K$2="NO", "ALERTA: DESCUENTO DOBLE NO PERMITIDO", "OK"), "OK"))</f>
        <v/>
      </c>
      <c r="AR1699" s="79">
        <f>IF(AN1699="","",IF(OR(AO1699&lt;&gt;"OK", AP1699&lt;&gt;"OK", AQ1699&lt;&gt;"OK"), "⚠️ REVISAR", "OK"))</f>
        <v/>
      </c>
    </row>
    <row r="1700">
      <c r="A1700" s="79">
        <f>IF('Ordenes_Odoo'!A1700="","",'Ordenes_Odoo'!A1700)</f>
        <v/>
      </c>
      <c r="B1700" s="80">
        <f>IF('Ordenes_Odoo'!B1700="","",'Ordenes_Odoo'!B1700)</f>
        <v/>
      </c>
      <c r="C1700" s="79">
        <f>IF('Ordenes_Odoo'!C1700="","",'Ordenes_Odoo'!C1700)</f>
        <v/>
      </c>
      <c r="D1700" s="79">
        <f>IF('Ordenes_Odoo'!D1700="","",'Ordenes_Odoo'!D1700)</f>
        <v/>
      </c>
      <c r="E1700" s="79">
        <f>IF('Ordenes_Odoo'!E1700="","",'Ordenes_Odoo'!E1700)</f>
        <v/>
      </c>
      <c r="F1700" s="79">
        <f>IF('Ordenes_Odoo'!F1700="","",'Ordenes_Odoo'!F1700)</f>
        <v/>
      </c>
      <c r="G1700" s="79">
        <f>IF('Ordenes_Odoo'!G1700="","",'Ordenes_Odoo'!G1700)</f>
        <v/>
      </c>
      <c r="H1700" s="79">
        <f>IF('Ordenes_Odoo'!H1700="","",'Ordenes_Odoo'!H1700)</f>
        <v/>
      </c>
      <c r="I1700" s="79">
        <f>IF('Ordenes_Odoo'!I1700="","",'Ordenes_Odoo'!I1700)</f>
        <v/>
      </c>
      <c r="J1700" s="79">
        <f>IF('Ordenes_Odoo'!J1700="","",'Ordenes_Odoo'!J1700)</f>
        <v/>
      </c>
      <c r="K1700" s="81">
        <f>IF('Ordenes_Odoo'!K1700="","",'Ordenes_Odoo'!K1700)</f>
        <v/>
      </c>
      <c r="L1700" s="81">
        <f>IF('Ordenes_Odoo'!L1700="","",'Ordenes_Odoo'!L1700)</f>
        <v/>
      </c>
      <c r="M1700" s="79">
        <f>IF('Ordenes_Odoo'!M1700="","",'Ordenes_Odoo'!M1700)</f>
        <v/>
      </c>
      <c r="N1700" s="79">
        <f>IF('Ordenes_Odoo'!N1700="","",'Ordenes_Odoo'!N1700)</f>
        <v/>
      </c>
      <c r="O1700" s="81">
        <f>IF('Ordenes_Odoo'!O1700="","",'Ordenes_Odoo'!O1700)</f>
        <v/>
      </c>
      <c r="P1700" s="81">
        <f>IF('Ordenes_Odoo'!P1700="","",'Ordenes_Odoo'!P1700)</f>
        <v/>
      </c>
      <c r="Q1700" s="79">
        <f>IF(A1700="","",IFERROR(INDEX(Facturas_Odoo!$B:$B, MATCH(A1700, Facturas_Odoo!$D:$D, 0)), "Sin Factura"))</f>
        <v/>
      </c>
      <c r="R1700" s="80">
        <f>IF(Q1700="Sin Factura","",IFERROR(INDEX(Facturas_Odoo!$A:$A, MATCH(Q1700, Facturas_Odoo!$B:$B, 0)), ""))</f>
        <v/>
      </c>
      <c r="S1700" s="79">
        <f>IF(Q1700="Sin Factura","",IFERROR(_xlfn.XLOOKUP(1, (Facturas_Odoo!$D:$D=A1700) * (Facturas_Odoo!$K:$K=I1700), Facturas_Odoo!$L:$L, ""), ""))</f>
        <v/>
      </c>
      <c r="T1700" s="81">
        <f>IF(Q1700="Sin Factura",0,IFERROR(_xlfn.XLOOKUP(1, (Facturas_Odoo!$D:$D=A1700) * (Facturas_Odoo!$K:$K=I1700), Facturas_Odoo!$M:$M, 0), 0))</f>
        <v/>
      </c>
      <c r="U1700" s="79">
        <f>IF(Q1700="Sin Factura",0,IFERROR(_xlfn.XLOOKUP(1, (Facturas_Odoo!$D:$D=A1700) * (Facturas_Odoo!$K:$K=I1700), Facturas_Odoo!$N:$N, 0), 0))</f>
        <v/>
      </c>
      <c r="V1700" s="79">
        <f>IF(Q1700="Sin Factura",0,IFERROR(_xlfn.XLOOKUP(1, (Facturas_Odoo!$D:$D=A1700) * (Facturas_Odoo!$K:$K=I1700), Facturas_Odoo!$O:$O, 0), 0))</f>
        <v/>
      </c>
      <c r="W1700" s="81">
        <f>IF(Q1700="Sin Factura",0,IFERROR(_xlfn.XLOOKUP(1, (Facturas_Odoo!$D:$D=A1700) * (Facturas_Odoo!$K:$K=I1700), Facturas_Odoo!$Q:$Q, 0), 0))</f>
        <v/>
      </c>
      <c r="X1700" s="79">
        <f>IF(OR(Q1700="Sin Factura",Q1700=""),"",IFERROR(INDEX(Pagos_Odoo!$B:$B, MATCH(Q1700, Pagos_Odoo!$I:$I, 0)), "Sin Pago"))</f>
        <v/>
      </c>
      <c r="Y1700" s="79">
        <f>IF(X1700="Sin Pago","",IFERROR(INDEX(Pagos_Odoo!$C:$C, MATCH(X1700, Pagos_Odoo!$B:$B, 0)), ""))</f>
        <v/>
      </c>
      <c r="Z1700" s="80">
        <f>IF(X1700="Sin Pago","",IFERROR(INDEX(Pagos_Odoo!$A:$A, MATCH(X1700, Pagos_Odoo!$B:$B, 0)), ""))</f>
        <v/>
      </c>
      <c r="AA1700" s="79">
        <f>IF(X1700="Sin Pago","",IFERROR(INDEX(Pagos_Odoo!$F:$F, MATCH(X1700, Pagos_Odoo!$B:$B, 0)), ""))</f>
        <v/>
      </c>
      <c r="AB1700" s="81">
        <f>IF(X1700="Sin Pago",0,IFERROR(INDEX(Pagos_Odoo!$E:$E, MATCH(X1700, Pagos_Odoo!$B:$B, 0)), 0))</f>
        <v/>
      </c>
      <c r="AC1700" s="79">
        <f>IF(X1700="Sin Pago","",IFERROR(INDEX(Pagos_Odoo!$G:$G, MATCH(X1700, Pagos_Odoo!$B:$B, 0)), ""))</f>
        <v/>
      </c>
      <c r="AD1700" s="82" t="n">
        <v>0</v>
      </c>
      <c r="AE1700" s="82" t="n"/>
      <c r="AF1700" s="82" t="n"/>
      <c r="AG1700" s="82">
        <f>IF(AN1700="","",AD1700+AE1700+AF1700)</f>
        <v/>
      </c>
      <c r="AH1700" s="81">
        <f>IF(AN1700="","",P1700*(1-AG1700))</f>
        <v/>
      </c>
      <c r="AI1700" s="81">
        <f>IF(AN1700="","",IF(Q1700="Sin Factura",0,IFERROR(INDEX(Facturas_Odoo!$H:$H, MATCH(Q1700, Facturas_Odoo!$B:$B, 0)), 0)*(1-AG1700)))</f>
        <v/>
      </c>
      <c r="AJ1700" s="81">
        <f>IF(AN1700="","",_xlfn.LET(idVenta, AN1700&amp;"",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00" s="81">
        <f>IF(AN1700="","",AH1700-AJ1700)</f>
        <v/>
      </c>
      <c r="AL1700" s="81">
        <f>IF(AN1700="","",IF(Q1700="Sin Factura","",AI1700-AJ1700))</f>
        <v/>
      </c>
      <c r="AM1700" s="81">
        <f>IF(AN1700="","",IF(Q1700="Sin Factura",0,P1700-IFERROR(INDEX(Facturas_Odoo!$H:$H, MATCH(Q1700, Facturas_Odoo!$B:$B, 0)), 0)))</f>
        <v/>
      </c>
      <c r="AN1700" s="79">
        <f>IF(AND(A1700="", J1700=""), "", IF(A1700&lt;&gt;"", VALUE(MID(A1700,2,LEN(A1700))), AN1699))</f>
        <v/>
      </c>
      <c r="AO1700" s="79">
        <f>IF(AN1700="","",IF(AD1700=0,"OK",_xlfn.LET(monedaPago, IF(AA1700="","USD",AA1700), limitePermitido, IFERROR(VLOOKUP(monedaPago, Configuración!$A$2:$B$3, 2, FALSE), 0.15), IF(AD1700&gt;limitePermitido, "ALERTA: EXCESO (" &amp; TEXT(limitePermitido, "0%") &amp; " máx)", "OK"))))</f>
        <v/>
      </c>
      <c r="AP1700" s="79">
        <f>IF(AN1700="","",IF(AE1700=0,"OK",_xlfn.LET(fechaPago, Z1700, fechaFactura, R1700, diasCredito, IF(E1700="Pago inmediato", 0, IFERROR(VALUE(MID(E1700, 1, SEARCH(" ", E1700)-1)),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00" s="79">
        <f>IF(AN1700="","",IF(AND(N1700&gt;0, AG1700&gt;0), IF(Configuración!$K$2="NO", "ALERTA: DESCUENTO DOBLE NO PERMITIDO", "OK"), "OK"))</f>
        <v/>
      </c>
      <c r="AR1700" s="79">
        <f>IF(AN1700="","",IF(OR(AO1700&lt;&gt;"OK", AP1700&lt;&gt;"OK", AQ1700&lt;&gt;"OK"), "⚠️ REVISAR", "OK"))</f>
        <v/>
      </c>
    </row>
    <row r="1701">
      <c r="A1701" s="79">
        <f>IF('Ordenes_Odoo'!A1701="","",'Ordenes_Odoo'!A1701)</f>
        <v/>
      </c>
      <c r="B1701" s="80">
        <f>IF('Ordenes_Odoo'!B1701="","",'Ordenes_Odoo'!B1701)</f>
        <v/>
      </c>
      <c r="C1701" s="79">
        <f>IF('Ordenes_Odoo'!C1701="","",'Ordenes_Odoo'!C1701)</f>
        <v/>
      </c>
      <c r="D1701" s="79">
        <f>IF('Ordenes_Odoo'!D1701="","",'Ordenes_Odoo'!D1701)</f>
        <v/>
      </c>
      <c r="E1701" s="79">
        <f>IF('Ordenes_Odoo'!E1701="","",'Ordenes_Odoo'!E1701)</f>
        <v/>
      </c>
      <c r="F1701" s="79">
        <f>IF('Ordenes_Odoo'!F1701="","",'Ordenes_Odoo'!F1701)</f>
        <v/>
      </c>
      <c r="G1701" s="79">
        <f>IF('Ordenes_Odoo'!G1701="","",'Ordenes_Odoo'!G1701)</f>
        <v/>
      </c>
      <c r="H1701" s="79">
        <f>IF('Ordenes_Odoo'!H1701="","",'Ordenes_Odoo'!H1701)</f>
        <v/>
      </c>
      <c r="I1701" s="79">
        <f>IF('Ordenes_Odoo'!I1701="","",'Ordenes_Odoo'!I1701)</f>
        <v/>
      </c>
      <c r="J1701" s="79">
        <f>IF('Ordenes_Odoo'!J1701="","",'Ordenes_Odoo'!J1701)</f>
        <v/>
      </c>
      <c r="K1701" s="81">
        <f>IF('Ordenes_Odoo'!K1701="","",'Ordenes_Odoo'!K1701)</f>
        <v/>
      </c>
      <c r="L1701" s="81">
        <f>IF('Ordenes_Odoo'!L1701="","",'Ordenes_Odoo'!L1701)</f>
        <v/>
      </c>
      <c r="M1701" s="79">
        <f>IF('Ordenes_Odoo'!M1701="","",'Ordenes_Odoo'!M1701)</f>
        <v/>
      </c>
      <c r="N1701" s="79">
        <f>IF('Ordenes_Odoo'!N1701="","",'Ordenes_Odoo'!N1701)</f>
        <v/>
      </c>
      <c r="O1701" s="81">
        <f>IF('Ordenes_Odoo'!O1701="","",'Ordenes_Odoo'!O1701)</f>
        <v/>
      </c>
      <c r="P1701" s="81">
        <f>IF('Ordenes_Odoo'!P1701="","",'Ordenes_Odoo'!P1701)</f>
        <v/>
      </c>
      <c r="Q1701" s="79">
        <f>IF(A1701="","",IFERROR(INDEX(Facturas_Odoo!$B:$B, MATCH(A1701, Facturas_Odoo!$D:$D, 0)), "Sin Factura"))</f>
        <v/>
      </c>
      <c r="R1701" s="80">
        <f>IF(Q1701="Sin Factura","",IFERROR(INDEX(Facturas_Odoo!$A:$A, MATCH(Q1701, Facturas_Odoo!$B:$B, 0)), ""))</f>
        <v/>
      </c>
      <c r="S1701" s="79">
        <f>IF(Q1701="Sin Factura","",IFERROR(_xlfn.XLOOKUP(1, (Facturas_Odoo!$D:$D=A1701) * (Facturas_Odoo!$K:$K=I1701), Facturas_Odoo!$L:$L, ""), ""))</f>
        <v/>
      </c>
      <c r="T1701" s="81">
        <f>IF(Q1701="Sin Factura",0,IFERROR(_xlfn.XLOOKUP(1, (Facturas_Odoo!$D:$D=A1701) * (Facturas_Odoo!$K:$K=I1701), Facturas_Odoo!$M:$M, 0), 0))</f>
        <v/>
      </c>
      <c r="U1701" s="79">
        <f>IF(Q1701="Sin Factura",0,IFERROR(_xlfn.XLOOKUP(1, (Facturas_Odoo!$D:$D=A1701) * (Facturas_Odoo!$K:$K=I1701), Facturas_Odoo!$N:$N, 0), 0))</f>
        <v/>
      </c>
      <c r="V1701" s="79">
        <f>IF(Q1701="Sin Factura",0,IFERROR(_xlfn.XLOOKUP(1, (Facturas_Odoo!$D:$D=A1701) * (Facturas_Odoo!$K:$K=I1701), Facturas_Odoo!$O:$O, 0), 0))</f>
        <v/>
      </c>
      <c r="W1701" s="81">
        <f>IF(Q1701="Sin Factura",0,IFERROR(_xlfn.XLOOKUP(1, (Facturas_Odoo!$D:$D=A1701) * (Facturas_Odoo!$K:$K=I1701), Facturas_Odoo!$Q:$Q, 0), 0))</f>
        <v/>
      </c>
      <c r="X1701" s="79">
        <f>IF(OR(Q1701="Sin Factura",Q1701=""),"",IFERROR(INDEX(Pagos_Odoo!$B:$B, MATCH(Q1701, Pagos_Odoo!$I:$I, 0)), "Sin Pago"))</f>
        <v/>
      </c>
      <c r="Y1701" s="79">
        <f>IF(X1701="Sin Pago","",IFERROR(INDEX(Pagos_Odoo!$C:$C, MATCH(X1701, Pagos_Odoo!$B:$B, 0)), ""))</f>
        <v/>
      </c>
      <c r="Z1701" s="80">
        <f>IF(X1701="Sin Pago","",IFERROR(INDEX(Pagos_Odoo!$A:$A, MATCH(X1701, Pagos_Odoo!$B:$B, 0)), ""))</f>
        <v/>
      </c>
      <c r="AA1701" s="79">
        <f>IF(X1701="Sin Pago","",IFERROR(INDEX(Pagos_Odoo!$F:$F, MATCH(X1701, Pagos_Odoo!$B:$B, 0)), ""))</f>
        <v/>
      </c>
      <c r="AB1701" s="81">
        <f>IF(X1701="Sin Pago",0,IFERROR(INDEX(Pagos_Odoo!$E:$E, MATCH(X1701, Pagos_Odoo!$B:$B, 0)), 0))</f>
        <v/>
      </c>
      <c r="AC1701" s="79">
        <f>IF(X1701="Sin Pago","",IFERROR(INDEX(Pagos_Odoo!$G:$G, MATCH(X1701, Pagos_Odoo!$B:$B, 0)), ""))</f>
        <v/>
      </c>
      <c r="AD1701" s="82" t="n">
        <v>0</v>
      </c>
      <c r="AE1701" s="82" t="n"/>
      <c r="AF1701" s="82" t="n"/>
      <c r="AG1701" s="82">
        <f>IF(AN1701="","",AD1701+AE1701+AF1701)</f>
        <v/>
      </c>
      <c r="AH1701" s="81">
        <f>IF(AN1701="","",P1701*(1-AG1701))</f>
        <v/>
      </c>
      <c r="AI1701" s="81">
        <f>IF(AN1701="","",IF(Q1701="Sin Factura",0,IFERROR(INDEX(Facturas_Odoo!$H:$H, MATCH(Q1701, Facturas_Odoo!$B:$B, 0)), 0)*(1-AG1701)))</f>
        <v/>
      </c>
      <c r="AJ1701" s="81">
        <f>IF(AN1701="","",_xlfn.LET(idVenta, AN1701&amp;"",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01" s="81">
        <f>IF(AN1701="","",AH1701-AJ1701)</f>
        <v/>
      </c>
      <c r="AL1701" s="81">
        <f>IF(AN1701="","",IF(Q1701="Sin Factura","",AI1701-AJ1701))</f>
        <v/>
      </c>
      <c r="AM1701" s="81">
        <f>IF(AN1701="","",IF(Q1701="Sin Factura",0,P1701-IFERROR(INDEX(Facturas_Odoo!$H:$H, MATCH(Q1701, Facturas_Odoo!$B:$B, 0)), 0)))</f>
        <v/>
      </c>
      <c r="AN1701" s="79">
        <f>IF(AND(A1701="", J1701=""), "", IF(A1701&lt;&gt;"", VALUE(MID(A1701,2,LEN(A1701))), AN1700))</f>
        <v/>
      </c>
      <c r="AO1701" s="79">
        <f>IF(AN1701="","",IF(AD1701=0,"OK",_xlfn.LET(monedaPago, IF(AA1701="","USD",AA1701), limitePermitido, IFERROR(VLOOKUP(monedaPago, Configuración!$A$2:$B$3, 2, FALSE), 0.15), IF(AD1701&gt;limitePermitido, "ALERTA: EXCESO (" &amp; TEXT(limitePermitido, "0%") &amp; " máx)", "OK"))))</f>
        <v/>
      </c>
      <c r="AP1701" s="79">
        <f>IF(AN1701="","",IF(AE1701=0,"OK",_xlfn.LET(fechaPago, Z1701, fechaFactura, R1701, diasCredito, IF(E1701="Pago inmediato", 0, IFERROR(VALUE(MID(E1701, 1, SEARCH(" ", E1701)-1)),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01" s="79">
        <f>IF(AN1701="","",IF(AND(N1701&gt;0, AG1701&gt;0), IF(Configuración!$K$2="NO", "ALERTA: DESCUENTO DOBLE NO PERMITIDO", "OK"), "OK"))</f>
        <v/>
      </c>
      <c r="AR1701" s="79">
        <f>IF(AN1701="","",IF(OR(AO1701&lt;&gt;"OK", AP1701&lt;&gt;"OK", AQ1701&lt;&gt;"OK"), "⚠️ REVISAR", "OK"))</f>
        <v/>
      </c>
    </row>
    <row r="1702">
      <c r="A1702" s="79">
        <f>IF('Ordenes_Odoo'!A1702="","",'Ordenes_Odoo'!A1702)</f>
        <v/>
      </c>
      <c r="B1702" s="80">
        <f>IF('Ordenes_Odoo'!B1702="","",'Ordenes_Odoo'!B1702)</f>
        <v/>
      </c>
      <c r="C1702" s="79">
        <f>IF('Ordenes_Odoo'!C1702="","",'Ordenes_Odoo'!C1702)</f>
        <v/>
      </c>
      <c r="D1702" s="79">
        <f>IF('Ordenes_Odoo'!D1702="","",'Ordenes_Odoo'!D1702)</f>
        <v/>
      </c>
      <c r="E1702" s="79">
        <f>IF('Ordenes_Odoo'!E1702="","",'Ordenes_Odoo'!E1702)</f>
        <v/>
      </c>
      <c r="F1702" s="79">
        <f>IF('Ordenes_Odoo'!F1702="","",'Ordenes_Odoo'!F1702)</f>
        <v/>
      </c>
      <c r="G1702" s="79">
        <f>IF('Ordenes_Odoo'!G1702="","",'Ordenes_Odoo'!G1702)</f>
        <v/>
      </c>
      <c r="H1702" s="79">
        <f>IF('Ordenes_Odoo'!H1702="","",'Ordenes_Odoo'!H1702)</f>
        <v/>
      </c>
      <c r="I1702" s="79">
        <f>IF('Ordenes_Odoo'!I1702="","",'Ordenes_Odoo'!I1702)</f>
        <v/>
      </c>
      <c r="J1702" s="79">
        <f>IF('Ordenes_Odoo'!J1702="","",'Ordenes_Odoo'!J1702)</f>
        <v/>
      </c>
      <c r="K1702" s="81">
        <f>IF('Ordenes_Odoo'!K1702="","",'Ordenes_Odoo'!K1702)</f>
        <v/>
      </c>
      <c r="L1702" s="81">
        <f>IF('Ordenes_Odoo'!L1702="","",'Ordenes_Odoo'!L1702)</f>
        <v/>
      </c>
      <c r="M1702" s="79">
        <f>IF('Ordenes_Odoo'!M1702="","",'Ordenes_Odoo'!M1702)</f>
        <v/>
      </c>
      <c r="N1702" s="79">
        <f>IF('Ordenes_Odoo'!N1702="","",'Ordenes_Odoo'!N1702)</f>
        <v/>
      </c>
      <c r="O1702" s="81">
        <f>IF('Ordenes_Odoo'!O1702="","",'Ordenes_Odoo'!O1702)</f>
        <v/>
      </c>
      <c r="P1702" s="81">
        <f>IF('Ordenes_Odoo'!P1702="","",'Ordenes_Odoo'!P1702)</f>
        <v/>
      </c>
      <c r="Q1702" s="79">
        <f>IF(A1702="","",IFERROR(INDEX(Facturas_Odoo!$B:$B, MATCH(A1702, Facturas_Odoo!$D:$D, 0)), "Sin Factura"))</f>
        <v/>
      </c>
      <c r="R1702" s="80">
        <f>IF(Q1702="Sin Factura","",IFERROR(INDEX(Facturas_Odoo!$A:$A, MATCH(Q1702, Facturas_Odoo!$B:$B, 0)), ""))</f>
        <v/>
      </c>
      <c r="S1702" s="79">
        <f>IF(Q1702="Sin Factura","",IFERROR(_xlfn.XLOOKUP(1, (Facturas_Odoo!$D:$D=A1702) * (Facturas_Odoo!$K:$K=I1702), Facturas_Odoo!$L:$L, ""), ""))</f>
        <v/>
      </c>
      <c r="T1702" s="81">
        <f>IF(Q1702="Sin Factura",0,IFERROR(_xlfn.XLOOKUP(1, (Facturas_Odoo!$D:$D=A1702) * (Facturas_Odoo!$K:$K=I1702), Facturas_Odoo!$M:$M, 0), 0))</f>
        <v/>
      </c>
      <c r="U1702" s="79">
        <f>IF(Q1702="Sin Factura",0,IFERROR(_xlfn.XLOOKUP(1, (Facturas_Odoo!$D:$D=A1702) * (Facturas_Odoo!$K:$K=I1702), Facturas_Odoo!$N:$N, 0), 0))</f>
        <v/>
      </c>
      <c r="V1702" s="79">
        <f>IF(Q1702="Sin Factura",0,IFERROR(_xlfn.XLOOKUP(1, (Facturas_Odoo!$D:$D=A1702) * (Facturas_Odoo!$K:$K=I1702), Facturas_Odoo!$O:$O, 0), 0))</f>
        <v/>
      </c>
      <c r="W1702" s="81">
        <f>IF(Q1702="Sin Factura",0,IFERROR(_xlfn.XLOOKUP(1, (Facturas_Odoo!$D:$D=A1702) * (Facturas_Odoo!$K:$K=I1702), Facturas_Odoo!$Q:$Q, 0), 0))</f>
        <v/>
      </c>
      <c r="X1702" s="79">
        <f>IF(OR(Q1702="Sin Factura",Q1702=""),"",IFERROR(INDEX(Pagos_Odoo!$B:$B, MATCH(Q1702, Pagos_Odoo!$I:$I, 0)), "Sin Pago"))</f>
        <v/>
      </c>
      <c r="Y1702" s="79">
        <f>IF(X1702="Sin Pago","",IFERROR(INDEX(Pagos_Odoo!$C:$C, MATCH(X1702, Pagos_Odoo!$B:$B, 0)), ""))</f>
        <v/>
      </c>
      <c r="Z1702" s="80">
        <f>IF(X1702="Sin Pago","",IFERROR(INDEX(Pagos_Odoo!$A:$A, MATCH(X1702, Pagos_Odoo!$B:$B, 0)), ""))</f>
        <v/>
      </c>
      <c r="AA1702" s="79">
        <f>IF(X1702="Sin Pago","",IFERROR(INDEX(Pagos_Odoo!$F:$F, MATCH(X1702, Pagos_Odoo!$B:$B, 0)), ""))</f>
        <v/>
      </c>
      <c r="AB1702" s="81">
        <f>IF(X1702="Sin Pago",0,IFERROR(INDEX(Pagos_Odoo!$E:$E, MATCH(X1702, Pagos_Odoo!$B:$B, 0)), 0))</f>
        <v/>
      </c>
      <c r="AC1702" s="79">
        <f>IF(X1702="Sin Pago","",IFERROR(INDEX(Pagos_Odoo!$G:$G, MATCH(X1702, Pagos_Odoo!$B:$B, 0)), ""))</f>
        <v/>
      </c>
      <c r="AD1702" s="82" t="n">
        <v>0</v>
      </c>
      <c r="AE1702" s="82" t="n"/>
      <c r="AF1702" s="82" t="n"/>
      <c r="AG1702" s="82">
        <f>IF(AN1702="","",AD1702+AE1702+AF1702)</f>
        <v/>
      </c>
      <c r="AH1702" s="81">
        <f>IF(AN1702="","",P1702*(1-AG1702))</f>
        <v/>
      </c>
      <c r="AI1702" s="81">
        <f>IF(AN1702="","",IF(Q1702="Sin Factura",0,IFERROR(INDEX(Facturas_Odoo!$H:$H, MATCH(Q1702, Facturas_Odoo!$B:$B, 0)), 0)*(1-AG1702)))</f>
        <v/>
      </c>
      <c r="AJ1702" s="81">
        <f>IF(AN1702="","",_xlfn.LET(idVenta, AN1702&amp;"",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02" s="81">
        <f>IF(AN1702="","",AH1702-AJ1702)</f>
        <v/>
      </c>
      <c r="AL1702" s="81">
        <f>IF(AN1702="","",IF(Q1702="Sin Factura","",AI1702-AJ1702))</f>
        <v/>
      </c>
      <c r="AM1702" s="81">
        <f>IF(AN1702="","",IF(Q1702="Sin Factura",0,P1702-IFERROR(INDEX(Facturas_Odoo!$H:$H, MATCH(Q1702, Facturas_Odoo!$B:$B, 0)), 0)))</f>
        <v/>
      </c>
      <c r="AN1702" s="79">
        <f>IF(AND(A1702="", J1702=""), "", IF(A1702&lt;&gt;"", VALUE(MID(A1702,2,LEN(A1702))), AN1701))</f>
        <v/>
      </c>
      <c r="AO1702" s="79">
        <f>IF(AN1702="","",IF(AD1702=0,"OK",_xlfn.LET(monedaPago, IF(AA1702="","USD",AA1702), limitePermitido, IFERROR(VLOOKUP(monedaPago, Configuración!$A$2:$B$3, 2, FALSE), 0.15), IF(AD1702&gt;limitePermitido, "ALERTA: EXCESO (" &amp; TEXT(limitePermitido, "0%") &amp; " máx)", "OK"))))</f>
        <v/>
      </c>
      <c r="AP1702" s="79">
        <f>IF(AN1702="","",IF(AE1702=0,"OK",_xlfn.LET(fechaPago, Z1702, fechaFactura, R1702, diasCredito, IF(E1702="Pago inmediato", 0, IFERROR(VALUE(MID(E1702, 1, SEARCH(" ", E1702)-1)),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02" s="79">
        <f>IF(AN1702="","",IF(AND(N1702&gt;0, AG1702&gt;0), IF(Configuración!$K$2="NO", "ALERTA: DESCUENTO DOBLE NO PERMITIDO", "OK"), "OK"))</f>
        <v/>
      </c>
      <c r="AR1702" s="79">
        <f>IF(AN1702="","",IF(OR(AO1702&lt;&gt;"OK", AP1702&lt;&gt;"OK", AQ1702&lt;&gt;"OK"), "⚠️ REVISAR", "OK"))</f>
        <v/>
      </c>
    </row>
    <row r="1703">
      <c r="A1703" s="79">
        <f>IF('Ordenes_Odoo'!A1703="","",'Ordenes_Odoo'!A1703)</f>
        <v/>
      </c>
      <c r="B1703" s="80">
        <f>IF('Ordenes_Odoo'!B1703="","",'Ordenes_Odoo'!B1703)</f>
        <v/>
      </c>
      <c r="C1703" s="79">
        <f>IF('Ordenes_Odoo'!C1703="","",'Ordenes_Odoo'!C1703)</f>
        <v/>
      </c>
      <c r="D1703" s="79">
        <f>IF('Ordenes_Odoo'!D1703="","",'Ordenes_Odoo'!D1703)</f>
        <v/>
      </c>
      <c r="E1703" s="79">
        <f>IF('Ordenes_Odoo'!E1703="","",'Ordenes_Odoo'!E1703)</f>
        <v/>
      </c>
      <c r="F1703" s="79">
        <f>IF('Ordenes_Odoo'!F1703="","",'Ordenes_Odoo'!F1703)</f>
        <v/>
      </c>
      <c r="G1703" s="79">
        <f>IF('Ordenes_Odoo'!G1703="","",'Ordenes_Odoo'!G1703)</f>
        <v/>
      </c>
      <c r="H1703" s="79">
        <f>IF('Ordenes_Odoo'!H1703="","",'Ordenes_Odoo'!H1703)</f>
        <v/>
      </c>
      <c r="I1703" s="79">
        <f>IF('Ordenes_Odoo'!I1703="","",'Ordenes_Odoo'!I1703)</f>
        <v/>
      </c>
      <c r="J1703" s="79">
        <f>IF('Ordenes_Odoo'!J1703="","",'Ordenes_Odoo'!J1703)</f>
        <v/>
      </c>
      <c r="K1703" s="81">
        <f>IF('Ordenes_Odoo'!K1703="","",'Ordenes_Odoo'!K1703)</f>
        <v/>
      </c>
      <c r="L1703" s="81">
        <f>IF('Ordenes_Odoo'!L1703="","",'Ordenes_Odoo'!L1703)</f>
        <v/>
      </c>
      <c r="M1703" s="79">
        <f>IF('Ordenes_Odoo'!M1703="","",'Ordenes_Odoo'!M1703)</f>
        <v/>
      </c>
      <c r="N1703" s="79">
        <f>IF('Ordenes_Odoo'!N1703="","",'Ordenes_Odoo'!N1703)</f>
        <v/>
      </c>
      <c r="O1703" s="81">
        <f>IF('Ordenes_Odoo'!O1703="","",'Ordenes_Odoo'!O1703)</f>
        <v/>
      </c>
      <c r="P1703" s="81">
        <f>IF('Ordenes_Odoo'!P1703="","",'Ordenes_Odoo'!P1703)</f>
        <v/>
      </c>
      <c r="Q1703" s="79">
        <f>IF(A1703="","",IFERROR(INDEX(Facturas_Odoo!$B:$B, MATCH(A1703, Facturas_Odoo!$D:$D, 0)), "Sin Factura"))</f>
        <v/>
      </c>
      <c r="R1703" s="80">
        <f>IF(Q1703="Sin Factura","",IFERROR(INDEX(Facturas_Odoo!$A:$A, MATCH(Q1703, Facturas_Odoo!$B:$B, 0)), ""))</f>
        <v/>
      </c>
      <c r="S1703" s="79">
        <f>IF(Q1703="Sin Factura","",IFERROR(_xlfn.XLOOKUP(1, (Facturas_Odoo!$D:$D=A1703) * (Facturas_Odoo!$K:$K=I1703), Facturas_Odoo!$L:$L, ""), ""))</f>
        <v/>
      </c>
      <c r="T1703" s="81">
        <f>IF(Q1703="Sin Factura",0,IFERROR(_xlfn.XLOOKUP(1, (Facturas_Odoo!$D:$D=A1703) * (Facturas_Odoo!$K:$K=I1703), Facturas_Odoo!$M:$M, 0), 0))</f>
        <v/>
      </c>
      <c r="U1703" s="79">
        <f>IF(Q1703="Sin Factura",0,IFERROR(_xlfn.XLOOKUP(1, (Facturas_Odoo!$D:$D=A1703) * (Facturas_Odoo!$K:$K=I1703), Facturas_Odoo!$N:$N, 0), 0))</f>
        <v/>
      </c>
      <c r="V1703" s="79">
        <f>IF(Q1703="Sin Factura",0,IFERROR(_xlfn.XLOOKUP(1, (Facturas_Odoo!$D:$D=A1703) * (Facturas_Odoo!$K:$K=I1703), Facturas_Odoo!$O:$O, 0), 0))</f>
        <v/>
      </c>
      <c r="W1703" s="81">
        <f>IF(Q1703="Sin Factura",0,IFERROR(_xlfn.XLOOKUP(1, (Facturas_Odoo!$D:$D=A1703) * (Facturas_Odoo!$K:$K=I1703), Facturas_Odoo!$Q:$Q, 0), 0))</f>
        <v/>
      </c>
      <c r="X1703" s="79">
        <f>IF(OR(Q1703="Sin Factura",Q1703=""),"",IFERROR(INDEX(Pagos_Odoo!$B:$B, MATCH(Q1703, Pagos_Odoo!$I:$I, 0)), "Sin Pago"))</f>
        <v/>
      </c>
      <c r="Y1703" s="79">
        <f>IF(X1703="Sin Pago","",IFERROR(INDEX(Pagos_Odoo!$C:$C, MATCH(X1703, Pagos_Odoo!$B:$B, 0)), ""))</f>
        <v/>
      </c>
      <c r="Z1703" s="80">
        <f>IF(X1703="Sin Pago","",IFERROR(INDEX(Pagos_Odoo!$A:$A, MATCH(X1703, Pagos_Odoo!$B:$B, 0)), ""))</f>
        <v/>
      </c>
      <c r="AA1703" s="79">
        <f>IF(X1703="Sin Pago","",IFERROR(INDEX(Pagos_Odoo!$F:$F, MATCH(X1703, Pagos_Odoo!$B:$B, 0)), ""))</f>
        <v/>
      </c>
      <c r="AB1703" s="81">
        <f>IF(X1703="Sin Pago",0,IFERROR(INDEX(Pagos_Odoo!$E:$E, MATCH(X1703, Pagos_Odoo!$B:$B, 0)), 0))</f>
        <v/>
      </c>
      <c r="AC1703" s="79">
        <f>IF(X1703="Sin Pago","",IFERROR(INDEX(Pagos_Odoo!$G:$G, MATCH(X1703, Pagos_Odoo!$B:$B, 0)), ""))</f>
        <v/>
      </c>
      <c r="AD1703" s="82" t="n">
        <v>0</v>
      </c>
      <c r="AE1703" s="82" t="n"/>
      <c r="AF1703" s="82" t="n"/>
      <c r="AG1703" s="82">
        <f>IF(AN1703="","",AD1703+AE1703+AF1703)</f>
        <v/>
      </c>
      <c r="AH1703" s="81">
        <f>IF(AN1703="","",P1703*(1-AG1703))</f>
        <v/>
      </c>
      <c r="AI1703" s="81">
        <f>IF(AN1703="","",IF(Q1703="Sin Factura",0,IFERROR(INDEX(Facturas_Odoo!$H:$H, MATCH(Q1703, Facturas_Odoo!$B:$B, 0)), 0)*(1-AG1703)))</f>
        <v/>
      </c>
      <c r="AJ1703" s="81">
        <f>IF(AN1703="","",_xlfn.LET(idVenta, AN1703&amp;"",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03" s="81">
        <f>IF(AN1703="","",AH1703-AJ1703)</f>
        <v/>
      </c>
      <c r="AL1703" s="81">
        <f>IF(AN1703="","",IF(Q1703="Sin Factura","",AI1703-AJ1703))</f>
        <v/>
      </c>
      <c r="AM1703" s="81">
        <f>IF(AN1703="","",IF(Q1703="Sin Factura",0,P1703-IFERROR(INDEX(Facturas_Odoo!$H:$H, MATCH(Q1703, Facturas_Odoo!$B:$B, 0)), 0)))</f>
        <v/>
      </c>
      <c r="AN1703" s="79">
        <f>IF(AND(A1703="", J1703=""), "", IF(A1703&lt;&gt;"", VALUE(MID(A1703,2,LEN(A1703))), AN1702))</f>
        <v/>
      </c>
      <c r="AO1703" s="79">
        <f>IF(AN1703="","",IF(AD1703=0,"OK",_xlfn.LET(monedaPago, IF(AA1703="","USD",AA1703), limitePermitido, IFERROR(VLOOKUP(monedaPago, Configuración!$A$2:$B$3, 2, FALSE), 0.15), IF(AD1703&gt;limitePermitido, "ALERTA: EXCESO (" &amp; TEXT(limitePermitido, "0%") &amp; " máx)", "OK"))))</f>
        <v/>
      </c>
      <c r="AP1703" s="79">
        <f>IF(AN1703="","",IF(AE1703=0,"OK",_xlfn.LET(fechaPago, Z1703, fechaFactura, R1703, diasCredito, IF(E1703="Pago inmediato", 0, IFERROR(VALUE(MID(E1703, 1, SEARCH(" ", E1703)-1)),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03" s="79">
        <f>IF(AN1703="","",IF(AND(N1703&gt;0, AG1703&gt;0), IF(Configuración!$K$2="NO", "ALERTA: DESCUENTO DOBLE NO PERMITIDO", "OK"), "OK"))</f>
        <v/>
      </c>
      <c r="AR1703" s="79">
        <f>IF(AN1703="","",IF(OR(AO1703&lt;&gt;"OK", AP1703&lt;&gt;"OK", AQ1703&lt;&gt;"OK"), "⚠️ REVISAR", "OK"))</f>
        <v/>
      </c>
    </row>
    <row r="1704">
      <c r="A1704" s="79">
        <f>IF('Ordenes_Odoo'!A1704="","",'Ordenes_Odoo'!A1704)</f>
        <v/>
      </c>
      <c r="B1704" s="80">
        <f>IF('Ordenes_Odoo'!B1704="","",'Ordenes_Odoo'!B1704)</f>
        <v/>
      </c>
      <c r="C1704" s="79">
        <f>IF('Ordenes_Odoo'!C1704="","",'Ordenes_Odoo'!C1704)</f>
        <v/>
      </c>
      <c r="D1704" s="79">
        <f>IF('Ordenes_Odoo'!D1704="","",'Ordenes_Odoo'!D1704)</f>
        <v/>
      </c>
      <c r="E1704" s="79">
        <f>IF('Ordenes_Odoo'!E1704="","",'Ordenes_Odoo'!E1704)</f>
        <v/>
      </c>
      <c r="F1704" s="79">
        <f>IF('Ordenes_Odoo'!F1704="","",'Ordenes_Odoo'!F1704)</f>
        <v/>
      </c>
      <c r="G1704" s="79">
        <f>IF('Ordenes_Odoo'!G1704="","",'Ordenes_Odoo'!G1704)</f>
        <v/>
      </c>
      <c r="H1704" s="79">
        <f>IF('Ordenes_Odoo'!H1704="","",'Ordenes_Odoo'!H1704)</f>
        <v/>
      </c>
      <c r="I1704" s="79">
        <f>IF('Ordenes_Odoo'!I1704="","",'Ordenes_Odoo'!I1704)</f>
        <v/>
      </c>
      <c r="J1704" s="79">
        <f>IF('Ordenes_Odoo'!J1704="","",'Ordenes_Odoo'!J1704)</f>
        <v/>
      </c>
      <c r="K1704" s="81">
        <f>IF('Ordenes_Odoo'!K1704="","",'Ordenes_Odoo'!K1704)</f>
        <v/>
      </c>
      <c r="L1704" s="81">
        <f>IF('Ordenes_Odoo'!L1704="","",'Ordenes_Odoo'!L1704)</f>
        <v/>
      </c>
      <c r="M1704" s="79">
        <f>IF('Ordenes_Odoo'!M1704="","",'Ordenes_Odoo'!M1704)</f>
        <v/>
      </c>
      <c r="N1704" s="79">
        <f>IF('Ordenes_Odoo'!N1704="","",'Ordenes_Odoo'!N1704)</f>
        <v/>
      </c>
      <c r="O1704" s="81">
        <f>IF('Ordenes_Odoo'!O1704="","",'Ordenes_Odoo'!O1704)</f>
        <v/>
      </c>
      <c r="P1704" s="81">
        <f>IF('Ordenes_Odoo'!P1704="","",'Ordenes_Odoo'!P1704)</f>
        <v/>
      </c>
      <c r="Q1704" s="79">
        <f>IF(A1704="","",IFERROR(INDEX(Facturas_Odoo!$B:$B, MATCH(A1704, Facturas_Odoo!$D:$D, 0)), "Sin Factura"))</f>
        <v/>
      </c>
      <c r="R1704" s="80">
        <f>IF(Q1704="Sin Factura","",IFERROR(INDEX(Facturas_Odoo!$A:$A, MATCH(Q1704, Facturas_Odoo!$B:$B, 0)), ""))</f>
        <v/>
      </c>
      <c r="S1704" s="79">
        <f>IF(Q1704="Sin Factura","",IFERROR(_xlfn.XLOOKUP(1, (Facturas_Odoo!$D:$D=A1704) * (Facturas_Odoo!$K:$K=I1704), Facturas_Odoo!$L:$L, ""), ""))</f>
        <v/>
      </c>
      <c r="T1704" s="81">
        <f>IF(Q1704="Sin Factura",0,IFERROR(_xlfn.XLOOKUP(1, (Facturas_Odoo!$D:$D=A1704) * (Facturas_Odoo!$K:$K=I1704), Facturas_Odoo!$M:$M, 0), 0))</f>
        <v/>
      </c>
      <c r="U1704" s="79">
        <f>IF(Q1704="Sin Factura",0,IFERROR(_xlfn.XLOOKUP(1, (Facturas_Odoo!$D:$D=A1704) * (Facturas_Odoo!$K:$K=I1704), Facturas_Odoo!$N:$N, 0), 0))</f>
        <v/>
      </c>
      <c r="V1704" s="79">
        <f>IF(Q1704="Sin Factura",0,IFERROR(_xlfn.XLOOKUP(1, (Facturas_Odoo!$D:$D=A1704) * (Facturas_Odoo!$K:$K=I1704), Facturas_Odoo!$O:$O, 0), 0))</f>
        <v/>
      </c>
      <c r="W1704" s="81">
        <f>IF(Q1704="Sin Factura",0,IFERROR(_xlfn.XLOOKUP(1, (Facturas_Odoo!$D:$D=A1704) * (Facturas_Odoo!$K:$K=I1704), Facturas_Odoo!$Q:$Q, 0), 0))</f>
        <v/>
      </c>
      <c r="X1704" s="79">
        <f>IF(OR(Q1704="Sin Factura",Q1704=""),"",IFERROR(INDEX(Pagos_Odoo!$B:$B, MATCH(Q1704, Pagos_Odoo!$I:$I, 0)), "Sin Pago"))</f>
        <v/>
      </c>
      <c r="Y1704" s="79">
        <f>IF(X1704="Sin Pago","",IFERROR(INDEX(Pagos_Odoo!$C:$C, MATCH(X1704, Pagos_Odoo!$B:$B, 0)), ""))</f>
        <v/>
      </c>
      <c r="Z1704" s="80">
        <f>IF(X1704="Sin Pago","",IFERROR(INDEX(Pagos_Odoo!$A:$A, MATCH(X1704, Pagos_Odoo!$B:$B, 0)), ""))</f>
        <v/>
      </c>
      <c r="AA1704" s="79">
        <f>IF(X1704="Sin Pago","",IFERROR(INDEX(Pagos_Odoo!$F:$F, MATCH(X1704, Pagos_Odoo!$B:$B, 0)), ""))</f>
        <v/>
      </c>
      <c r="AB1704" s="81">
        <f>IF(X1704="Sin Pago",0,IFERROR(INDEX(Pagos_Odoo!$E:$E, MATCH(X1704, Pagos_Odoo!$B:$B, 0)), 0))</f>
        <v/>
      </c>
      <c r="AC1704" s="79">
        <f>IF(X1704="Sin Pago","",IFERROR(INDEX(Pagos_Odoo!$G:$G, MATCH(X1704, Pagos_Odoo!$B:$B, 0)), ""))</f>
        <v/>
      </c>
      <c r="AD1704" s="82" t="n">
        <v>0</v>
      </c>
      <c r="AE1704" s="82" t="n"/>
      <c r="AF1704" s="82" t="n"/>
      <c r="AG1704" s="82">
        <f>IF(AN1704="","",AD1704+AE1704+AF1704)</f>
        <v/>
      </c>
      <c r="AH1704" s="81">
        <f>IF(AN1704="","",P1704*(1-AG1704))</f>
        <v/>
      </c>
      <c r="AI1704" s="81">
        <f>IF(AN1704="","",IF(Q1704="Sin Factura",0,IFERROR(INDEX(Facturas_Odoo!$H:$H, MATCH(Q1704, Facturas_Odoo!$B:$B, 0)), 0)*(1-AG1704)))</f>
        <v/>
      </c>
      <c r="AJ1704" s="81">
        <f>IF(AN1704="","",_xlfn.LET(idVenta, AN1704&amp;"",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04" s="81">
        <f>IF(AN1704="","",AH1704-AJ1704)</f>
        <v/>
      </c>
      <c r="AL1704" s="81">
        <f>IF(AN1704="","",IF(Q1704="Sin Factura","",AI1704-AJ1704))</f>
        <v/>
      </c>
      <c r="AM1704" s="81">
        <f>IF(AN1704="","",IF(Q1704="Sin Factura",0,P1704-IFERROR(INDEX(Facturas_Odoo!$H:$H, MATCH(Q1704, Facturas_Odoo!$B:$B, 0)), 0)))</f>
        <v/>
      </c>
      <c r="AN1704" s="79">
        <f>IF(AND(A1704="", J1704=""), "", IF(A1704&lt;&gt;"", VALUE(MID(A1704,2,LEN(A1704))), AN1703))</f>
        <v/>
      </c>
      <c r="AO1704" s="79">
        <f>IF(AN1704="","",IF(AD1704=0,"OK",_xlfn.LET(monedaPago, IF(AA1704="","USD",AA1704), limitePermitido, IFERROR(VLOOKUP(monedaPago, Configuración!$A$2:$B$3, 2, FALSE), 0.15), IF(AD1704&gt;limitePermitido, "ALERTA: EXCESO (" &amp; TEXT(limitePermitido, "0%") &amp; " máx)", "OK"))))</f>
        <v/>
      </c>
      <c r="AP1704" s="79">
        <f>IF(AN1704="","",IF(AE1704=0,"OK",_xlfn.LET(fechaPago, Z1704, fechaFactura, R1704, diasCredito, IF(E1704="Pago inmediato", 0, IFERROR(VALUE(MID(E1704, 1, SEARCH(" ", E1704)-1)),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04" s="79">
        <f>IF(AN1704="","",IF(AND(N1704&gt;0, AG1704&gt;0), IF(Configuración!$K$2="NO", "ALERTA: DESCUENTO DOBLE NO PERMITIDO", "OK"), "OK"))</f>
        <v/>
      </c>
      <c r="AR1704" s="79">
        <f>IF(AN1704="","",IF(OR(AO1704&lt;&gt;"OK", AP1704&lt;&gt;"OK", AQ1704&lt;&gt;"OK"), "⚠️ REVISAR", "OK"))</f>
        <v/>
      </c>
    </row>
    <row r="1705">
      <c r="A1705" s="79">
        <f>IF('Ordenes_Odoo'!A1705="","",'Ordenes_Odoo'!A1705)</f>
        <v/>
      </c>
      <c r="B1705" s="80">
        <f>IF('Ordenes_Odoo'!B1705="","",'Ordenes_Odoo'!B1705)</f>
        <v/>
      </c>
      <c r="C1705" s="79">
        <f>IF('Ordenes_Odoo'!C1705="","",'Ordenes_Odoo'!C1705)</f>
        <v/>
      </c>
      <c r="D1705" s="79">
        <f>IF('Ordenes_Odoo'!D1705="","",'Ordenes_Odoo'!D1705)</f>
        <v/>
      </c>
      <c r="E1705" s="79">
        <f>IF('Ordenes_Odoo'!E1705="","",'Ordenes_Odoo'!E1705)</f>
        <v/>
      </c>
      <c r="F1705" s="79">
        <f>IF('Ordenes_Odoo'!F1705="","",'Ordenes_Odoo'!F1705)</f>
        <v/>
      </c>
      <c r="G1705" s="79">
        <f>IF('Ordenes_Odoo'!G1705="","",'Ordenes_Odoo'!G1705)</f>
        <v/>
      </c>
      <c r="H1705" s="79">
        <f>IF('Ordenes_Odoo'!H1705="","",'Ordenes_Odoo'!H1705)</f>
        <v/>
      </c>
      <c r="I1705" s="79">
        <f>IF('Ordenes_Odoo'!I1705="","",'Ordenes_Odoo'!I1705)</f>
        <v/>
      </c>
      <c r="J1705" s="79">
        <f>IF('Ordenes_Odoo'!J1705="","",'Ordenes_Odoo'!J1705)</f>
        <v/>
      </c>
      <c r="K1705" s="81">
        <f>IF('Ordenes_Odoo'!K1705="","",'Ordenes_Odoo'!K1705)</f>
        <v/>
      </c>
      <c r="L1705" s="81">
        <f>IF('Ordenes_Odoo'!L1705="","",'Ordenes_Odoo'!L1705)</f>
        <v/>
      </c>
      <c r="M1705" s="79">
        <f>IF('Ordenes_Odoo'!M1705="","",'Ordenes_Odoo'!M1705)</f>
        <v/>
      </c>
      <c r="N1705" s="79">
        <f>IF('Ordenes_Odoo'!N1705="","",'Ordenes_Odoo'!N1705)</f>
        <v/>
      </c>
      <c r="O1705" s="81">
        <f>IF('Ordenes_Odoo'!O1705="","",'Ordenes_Odoo'!O1705)</f>
        <v/>
      </c>
      <c r="P1705" s="81">
        <f>IF('Ordenes_Odoo'!P1705="","",'Ordenes_Odoo'!P1705)</f>
        <v/>
      </c>
      <c r="Q1705" s="79">
        <f>IF(A1705="","",IFERROR(INDEX(Facturas_Odoo!$B:$B, MATCH(A1705, Facturas_Odoo!$D:$D, 0)), "Sin Factura"))</f>
        <v/>
      </c>
      <c r="R1705" s="80">
        <f>IF(Q1705="Sin Factura","",IFERROR(INDEX(Facturas_Odoo!$A:$A, MATCH(Q1705, Facturas_Odoo!$B:$B, 0)), ""))</f>
        <v/>
      </c>
      <c r="S1705" s="79">
        <f>IF(Q1705="Sin Factura","",IFERROR(_xlfn.XLOOKUP(1, (Facturas_Odoo!$D:$D=A1705) * (Facturas_Odoo!$K:$K=I1705), Facturas_Odoo!$L:$L, ""), ""))</f>
        <v/>
      </c>
      <c r="T1705" s="81">
        <f>IF(Q1705="Sin Factura",0,IFERROR(_xlfn.XLOOKUP(1, (Facturas_Odoo!$D:$D=A1705) * (Facturas_Odoo!$K:$K=I1705), Facturas_Odoo!$M:$M, 0), 0))</f>
        <v/>
      </c>
      <c r="U1705" s="79">
        <f>IF(Q1705="Sin Factura",0,IFERROR(_xlfn.XLOOKUP(1, (Facturas_Odoo!$D:$D=A1705) * (Facturas_Odoo!$K:$K=I1705), Facturas_Odoo!$N:$N, 0), 0))</f>
        <v/>
      </c>
      <c r="V1705" s="79">
        <f>IF(Q1705="Sin Factura",0,IFERROR(_xlfn.XLOOKUP(1, (Facturas_Odoo!$D:$D=A1705) * (Facturas_Odoo!$K:$K=I1705), Facturas_Odoo!$O:$O, 0), 0))</f>
        <v/>
      </c>
      <c r="W1705" s="81">
        <f>IF(Q1705="Sin Factura",0,IFERROR(_xlfn.XLOOKUP(1, (Facturas_Odoo!$D:$D=A1705) * (Facturas_Odoo!$K:$K=I1705), Facturas_Odoo!$Q:$Q, 0), 0))</f>
        <v/>
      </c>
      <c r="X1705" s="79">
        <f>IF(OR(Q1705="Sin Factura",Q1705=""),"",IFERROR(INDEX(Pagos_Odoo!$B:$B, MATCH(Q1705, Pagos_Odoo!$I:$I, 0)), "Sin Pago"))</f>
        <v/>
      </c>
      <c r="Y1705" s="79">
        <f>IF(X1705="Sin Pago","",IFERROR(INDEX(Pagos_Odoo!$C:$C, MATCH(X1705, Pagos_Odoo!$B:$B, 0)), ""))</f>
        <v/>
      </c>
      <c r="Z1705" s="80">
        <f>IF(X1705="Sin Pago","",IFERROR(INDEX(Pagos_Odoo!$A:$A, MATCH(X1705, Pagos_Odoo!$B:$B, 0)), ""))</f>
        <v/>
      </c>
      <c r="AA1705" s="79">
        <f>IF(X1705="Sin Pago","",IFERROR(INDEX(Pagos_Odoo!$F:$F, MATCH(X1705, Pagos_Odoo!$B:$B, 0)), ""))</f>
        <v/>
      </c>
      <c r="AB1705" s="81">
        <f>IF(X1705="Sin Pago",0,IFERROR(INDEX(Pagos_Odoo!$E:$E, MATCH(X1705, Pagos_Odoo!$B:$B, 0)), 0))</f>
        <v/>
      </c>
      <c r="AC1705" s="79">
        <f>IF(X1705="Sin Pago","",IFERROR(INDEX(Pagos_Odoo!$G:$G, MATCH(X1705, Pagos_Odoo!$B:$B, 0)), ""))</f>
        <v/>
      </c>
      <c r="AD1705" s="82" t="n">
        <v>0</v>
      </c>
      <c r="AE1705" s="82" t="n"/>
      <c r="AF1705" s="82" t="n"/>
      <c r="AG1705" s="82">
        <f>IF(AN1705="","",AD1705+AE1705+AF1705)</f>
        <v/>
      </c>
      <c r="AH1705" s="81">
        <f>IF(AN1705="","",P1705*(1-AG1705))</f>
        <v/>
      </c>
      <c r="AI1705" s="81">
        <f>IF(AN1705="","",IF(Q1705="Sin Factura",0,IFERROR(INDEX(Facturas_Odoo!$H:$H, MATCH(Q1705, Facturas_Odoo!$B:$B, 0)), 0)*(1-AG1705)))</f>
        <v/>
      </c>
      <c r="AJ1705" s="81">
        <f>IF(AN1705="","",_xlfn.LET(idVenta, AN1705&amp;"",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05" s="81">
        <f>IF(AN1705="","",AH1705-AJ1705)</f>
        <v/>
      </c>
      <c r="AL1705" s="81">
        <f>IF(AN1705="","",IF(Q1705="Sin Factura","",AI1705-AJ1705))</f>
        <v/>
      </c>
      <c r="AM1705" s="81">
        <f>IF(AN1705="","",IF(Q1705="Sin Factura",0,P1705-IFERROR(INDEX(Facturas_Odoo!$H:$H, MATCH(Q1705, Facturas_Odoo!$B:$B, 0)), 0)))</f>
        <v/>
      </c>
      <c r="AN1705" s="79">
        <f>IF(AND(A1705="", J1705=""), "", IF(A1705&lt;&gt;"", VALUE(MID(A1705,2,LEN(A1705))), AN1704))</f>
        <v/>
      </c>
      <c r="AO1705" s="79">
        <f>IF(AN1705="","",IF(AD1705=0,"OK",_xlfn.LET(monedaPago, IF(AA1705="","USD",AA1705), limitePermitido, IFERROR(VLOOKUP(monedaPago, Configuración!$A$2:$B$3, 2, FALSE), 0.15), IF(AD1705&gt;limitePermitido, "ALERTA: EXCESO (" &amp; TEXT(limitePermitido, "0%") &amp; " máx)", "OK"))))</f>
        <v/>
      </c>
      <c r="AP1705" s="79">
        <f>IF(AN1705="","",IF(AE1705=0,"OK",_xlfn.LET(fechaPago, Z1705, fechaFactura, R1705, diasCredito, IF(E1705="Pago inmediato", 0, IFERROR(VALUE(MID(E1705, 1, SEARCH(" ", E1705)-1)),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05" s="79">
        <f>IF(AN1705="","",IF(AND(N1705&gt;0, AG1705&gt;0), IF(Configuración!$K$2="NO", "ALERTA: DESCUENTO DOBLE NO PERMITIDO", "OK"), "OK"))</f>
        <v/>
      </c>
      <c r="AR1705" s="79">
        <f>IF(AN1705="","",IF(OR(AO1705&lt;&gt;"OK", AP1705&lt;&gt;"OK", AQ1705&lt;&gt;"OK"), "⚠️ REVISAR", "OK"))</f>
        <v/>
      </c>
    </row>
    <row r="1706">
      <c r="A1706" s="79">
        <f>IF('Ordenes_Odoo'!A1706="","",'Ordenes_Odoo'!A1706)</f>
        <v/>
      </c>
      <c r="B1706" s="80">
        <f>IF('Ordenes_Odoo'!B1706="","",'Ordenes_Odoo'!B1706)</f>
        <v/>
      </c>
      <c r="C1706" s="79">
        <f>IF('Ordenes_Odoo'!C1706="","",'Ordenes_Odoo'!C1706)</f>
        <v/>
      </c>
      <c r="D1706" s="79">
        <f>IF('Ordenes_Odoo'!D1706="","",'Ordenes_Odoo'!D1706)</f>
        <v/>
      </c>
      <c r="E1706" s="79">
        <f>IF('Ordenes_Odoo'!E1706="","",'Ordenes_Odoo'!E1706)</f>
        <v/>
      </c>
      <c r="F1706" s="79">
        <f>IF('Ordenes_Odoo'!F1706="","",'Ordenes_Odoo'!F1706)</f>
        <v/>
      </c>
      <c r="G1706" s="79">
        <f>IF('Ordenes_Odoo'!G1706="","",'Ordenes_Odoo'!G1706)</f>
        <v/>
      </c>
      <c r="H1706" s="79">
        <f>IF('Ordenes_Odoo'!H1706="","",'Ordenes_Odoo'!H1706)</f>
        <v/>
      </c>
      <c r="I1706" s="79">
        <f>IF('Ordenes_Odoo'!I1706="","",'Ordenes_Odoo'!I1706)</f>
        <v/>
      </c>
      <c r="J1706" s="79">
        <f>IF('Ordenes_Odoo'!J1706="","",'Ordenes_Odoo'!J1706)</f>
        <v/>
      </c>
      <c r="K1706" s="81">
        <f>IF('Ordenes_Odoo'!K1706="","",'Ordenes_Odoo'!K1706)</f>
        <v/>
      </c>
      <c r="L1706" s="81">
        <f>IF('Ordenes_Odoo'!L1706="","",'Ordenes_Odoo'!L1706)</f>
        <v/>
      </c>
      <c r="M1706" s="79">
        <f>IF('Ordenes_Odoo'!M1706="","",'Ordenes_Odoo'!M1706)</f>
        <v/>
      </c>
      <c r="N1706" s="79">
        <f>IF('Ordenes_Odoo'!N1706="","",'Ordenes_Odoo'!N1706)</f>
        <v/>
      </c>
      <c r="O1706" s="81">
        <f>IF('Ordenes_Odoo'!O1706="","",'Ordenes_Odoo'!O1706)</f>
        <v/>
      </c>
      <c r="P1706" s="81">
        <f>IF('Ordenes_Odoo'!P1706="","",'Ordenes_Odoo'!P1706)</f>
        <v/>
      </c>
      <c r="Q1706" s="79">
        <f>IF(A1706="","",IFERROR(INDEX(Facturas_Odoo!$B:$B, MATCH(A1706, Facturas_Odoo!$D:$D, 0)), "Sin Factura"))</f>
        <v/>
      </c>
      <c r="R1706" s="80">
        <f>IF(Q1706="Sin Factura","",IFERROR(INDEX(Facturas_Odoo!$A:$A, MATCH(Q1706, Facturas_Odoo!$B:$B, 0)), ""))</f>
        <v/>
      </c>
      <c r="S1706" s="79">
        <f>IF(Q1706="Sin Factura","",IFERROR(_xlfn.XLOOKUP(1, (Facturas_Odoo!$D:$D=A1706) * (Facturas_Odoo!$K:$K=I1706), Facturas_Odoo!$L:$L, ""), ""))</f>
        <v/>
      </c>
      <c r="T1706" s="81">
        <f>IF(Q1706="Sin Factura",0,IFERROR(_xlfn.XLOOKUP(1, (Facturas_Odoo!$D:$D=A1706) * (Facturas_Odoo!$K:$K=I1706), Facturas_Odoo!$M:$M, 0), 0))</f>
        <v/>
      </c>
      <c r="U1706" s="79">
        <f>IF(Q1706="Sin Factura",0,IFERROR(_xlfn.XLOOKUP(1, (Facturas_Odoo!$D:$D=A1706) * (Facturas_Odoo!$K:$K=I1706), Facturas_Odoo!$N:$N, 0), 0))</f>
        <v/>
      </c>
      <c r="V1706" s="79">
        <f>IF(Q1706="Sin Factura",0,IFERROR(_xlfn.XLOOKUP(1, (Facturas_Odoo!$D:$D=A1706) * (Facturas_Odoo!$K:$K=I1706), Facturas_Odoo!$O:$O, 0), 0))</f>
        <v/>
      </c>
      <c r="W1706" s="81">
        <f>IF(Q1706="Sin Factura",0,IFERROR(_xlfn.XLOOKUP(1, (Facturas_Odoo!$D:$D=A1706) * (Facturas_Odoo!$K:$K=I1706), Facturas_Odoo!$Q:$Q, 0), 0))</f>
        <v/>
      </c>
      <c r="X1706" s="79">
        <f>IF(OR(Q1706="Sin Factura",Q1706=""),"",IFERROR(INDEX(Pagos_Odoo!$B:$B, MATCH(Q1706, Pagos_Odoo!$I:$I, 0)), "Sin Pago"))</f>
        <v/>
      </c>
      <c r="Y1706" s="79">
        <f>IF(X1706="Sin Pago","",IFERROR(INDEX(Pagos_Odoo!$C:$C, MATCH(X1706, Pagos_Odoo!$B:$B, 0)), ""))</f>
        <v/>
      </c>
      <c r="Z1706" s="80">
        <f>IF(X1706="Sin Pago","",IFERROR(INDEX(Pagos_Odoo!$A:$A, MATCH(X1706, Pagos_Odoo!$B:$B, 0)), ""))</f>
        <v/>
      </c>
      <c r="AA1706" s="79">
        <f>IF(X1706="Sin Pago","",IFERROR(INDEX(Pagos_Odoo!$F:$F, MATCH(X1706, Pagos_Odoo!$B:$B, 0)), ""))</f>
        <v/>
      </c>
      <c r="AB1706" s="81">
        <f>IF(X1706="Sin Pago",0,IFERROR(INDEX(Pagos_Odoo!$E:$E, MATCH(X1706, Pagos_Odoo!$B:$B, 0)), 0))</f>
        <v/>
      </c>
      <c r="AC1706" s="79">
        <f>IF(X1706="Sin Pago","",IFERROR(INDEX(Pagos_Odoo!$G:$G, MATCH(X1706, Pagos_Odoo!$B:$B, 0)), ""))</f>
        <v/>
      </c>
      <c r="AD1706" s="82" t="n">
        <v>0</v>
      </c>
      <c r="AE1706" s="82" t="n"/>
      <c r="AF1706" s="82" t="n"/>
      <c r="AG1706" s="82">
        <f>IF(AN1706="","",AD1706+AE1706+AF1706)</f>
        <v/>
      </c>
      <c r="AH1706" s="81">
        <f>IF(AN1706="","",P1706*(1-AG1706))</f>
        <v/>
      </c>
      <c r="AI1706" s="81">
        <f>IF(AN1706="","",IF(Q1706="Sin Factura",0,IFERROR(INDEX(Facturas_Odoo!$H:$H, MATCH(Q1706, Facturas_Odoo!$B:$B, 0)), 0)*(1-AG1706)))</f>
        <v/>
      </c>
      <c r="AJ1706" s="81">
        <f>IF(AN1706="","",_xlfn.LET(idVenta, AN1706&amp;"",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06" s="81">
        <f>IF(AN1706="","",AH1706-AJ1706)</f>
        <v/>
      </c>
      <c r="AL1706" s="81">
        <f>IF(AN1706="","",IF(Q1706="Sin Factura","",AI1706-AJ1706))</f>
        <v/>
      </c>
      <c r="AM1706" s="81">
        <f>IF(AN1706="","",IF(Q1706="Sin Factura",0,P1706-IFERROR(INDEX(Facturas_Odoo!$H:$H, MATCH(Q1706, Facturas_Odoo!$B:$B, 0)), 0)))</f>
        <v/>
      </c>
      <c r="AN1706" s="79">
        <f>IF(AND(A1706="", J1706=""), "", IF(A1706&lt;&gt;"", VALUE(MID(A1706,2,LEN(A1706))), AN1705))</f>
        <v/>
      </c>
      <c r="AO1706" s="79">
        <f>IF(AN1706="","",IF(AD1706=0,"OK",_xlfn.LET(monedaPago, IF(AA1706="","USD",AA1706), limitePermitido, IFERROR(VLOOKUP(monedaPago, Configuración!$A$2:$B$3, 2, FALSE), 0.15), IF(AD1706&gt;limitePermitido, "ALERTA: EXCESO (" &amp; TEXT(limitePermitido, "0%") &amp; " máx)", "OK"))))</f>
        <v/>
      </c>
      <c r="AP1706" s="79">
        <f>IF(AN1706="","",IF(AE1706=0,"OK",_xlfn.LET(fechaPago, Z1706, fechaFactura, R1706, diasCredito, IF(E1706="Pago inmediato", 0, IFERROR(VALUE(MID(E1706, 1, SEARCH(" ", E1706)-1)),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06" s="79">
        <f>IF(AN1706="","",IF(AND(N1706&gt;0, AG1706&gt;0), IF(Configuración!$K$2="NO", "ALERTA: DESCUENTO DOBLE NO PERMITIDO", "OK"), "OK"))</f>
        <v/>
      </c>
      <c r="AR1706" s="79">
        <f>IF(AN1706="","",IF(OR(AO1706&lt;&gt;"OK", AP1706&lt;&gt;"OK", AQ1706&lt;&gt;"OK"), "⚠️ REVISAR", "OK"))</f>
        <v/>
      </c>
    </row>
    <row r="1707">
      <c r="A1707" s="79">
        <f>IF('Ordenes_Odoo'!A1707="","",'Ordenes_Odoo'!A1707)</f>
        <v/>
      </c>
      <c r="B1707" s="80">
        <f>IF('Ordenes_Odoo'!B1707="","",'Ordenes_Odoo'!B1707)</f>
        <v/>
      </c>
      <c r="C1707" s="79">
        <f>IF('Ordenes_Odoo'!C1707="","",'Ordenes_Odoo'!C1707)</f>
        <v/>
      </c>
      <c r="D1707" s="79">
        <f>IF('Ordenes_Odoo'!D1707="","",'Ordenes_Odoo'!D1707)</f>
        <v/>
      </c>
      <c r="E1707" s="79">
        <f>IF('Ordenes_Odoo'!E1707="","",'Ordenes_Odoo'!E1707)</f>
        <v/>
      </c>
      <c r="F1707" s="79">
        <f>IF('Ordenes_Odoo'!F1707="","",'Ordenes_Odoo'!F1707)</f>
        <v/>
      </c>
      <c r="G1707" s="79">
        <f>IF('Ordenes_Odoo'!G1707="","",'Ordenes_Odoo'!G1707)</f>
        <v/>
      </c>
      <c r="H1707" s="79">
        <f>IF('Ordenes_Odoo'!H1707="","",'Ordenes_Odoo'!H1707)</f>
        <v/>
      </c>
      <c r="I1707" s="79">
        <f>IF('Ordenes_Odoo'!I1707="","",'Ordenes_Odoo'!I1707)</f>
        <v/>
      </c>
      <c r="J1707" s="79">
        <f>IF('Ordenes_Odoo'!J1707="","",'Ordenes_Odoo'!J1707)</f>
        <v/>
      </c>
      <c r="K1707" s="81">
        <f>IF('Ordenes_Odoo'!K1707="","",'Ordenes_Odoo'!K1707)</f>
        <v/>
      </c>
      <c r="L1707" s="81">
        <f>IF('Ordenes_Odoo'!L1707="","",'Ordenes_Odoo'!L1707)</f>
        <v/>
      </c>
      <c r="M1707" s="79">
        <f>IF('Ordenes_Odoo'!M1707="","",'Ordenes_Odoo'!M1707)</f>
        <v/>
      </c>
      <c r="N1707" s="79">
        <f>IF('Ordenes_Odoo'!N1707="","",'Ordenes_Odoo'!N1707)</f>
        <v/>
      </c>
      <c r="O1707" s="81">
        <f>IF('Ordenes_Odoo'!O1707="","",'Ordenes_Odoo'!O1707)</f>
        <v/>
      </c>
      <c r="P1707" s="81">
        <f>IF('Ordenes_Odoo'!P1707="","",'Ordenes_Odoo'!P1707)</f>
        <v/>
      </c>
      <c r="Q1707" s="79">
        <f>IF(A1707="","",IFERROR(INDEX(Facturas_Odoo!$B:$B, MATCH(A1707, Facturas_Odoo!$D:$D, 0)), "Sin Factura"))</f>
        <v/>
      </c>
      <c r="R1707" s="80">
        <f>IF(Q1707="Sin Factura","",IFERROR(INDEX(Facturas_Odoo!$A:$A, MATCH(Q1707, Facturas_Odoo!$B:$B, 0)), ""))</f>
        <v/>
      </c>
      <c r="S1707" s="79">
        <f>IF(Q1707="Sin Factura","",IFERROR(_xlfn.XLOOKUP(1, (Facturas_Odoo!$D:$D=A1707) * (Facturas_Odoo!$K:$K=I1707), Facturas_Odoo!$L:$L, ""), ""))</f>
        <v/>
      </c>
      <c r="T1707" s="81">
        <f>IF(Q1707="Sin Factura",0,IFERROR(_xlfn.XLOOKUP(1, (Facturas_Odoo!$D:$D=A1707) * (Facturas_Odoo!$K:$K=I1707), Facturas_Odoo!$M:$M, 0), 0))</f>
        <v/>
      </c>
      <c r="U1707" s="79">
        <f>IF(Q1707="Sin Factura",0,IFERROR(_xlfn.XLOOKUP(1, (Facturas_Odoo!$D:$D=A1707) * (Facturas_Odoo!$K:$K=I1707), Facturas_Odoo!$N:$N, 0), 0))</f>
        <v/>
      </c>
      <c r="V1707" s="79">
        <f>IF(Q1707="Sin Factura",0,IFERROR(_xlfn.XLOOKUP(1, (Facturas_Odoo!$D:$D=A1707) * (Facturas_Odoo!$K:$K=I1707), Facturas_Odoo!$O:$O, 0), 0))</f>
        <v/>
      </c>
      <c r="W1707" s="81">
        <f>IF(Q1707="Sin Factura",0,IFERROR(_xlfn.XLOOKUP(1, (Facturas_Odoo!$D:$D=A1707) * (Facturas_Odoo!$K:$K=I1707), Facturas_Odoo!$Q:$Q, 0), 0))</f>
        <v/>
      </c>
      <c r="X1707" s="79">
        <f>IF(OR(Q1707="Sin Factura",Q1707=""),"",IFERROR(INDEX(Pagos_Odoo!$B:$B, MATCH(Q1707, Pagos_Odoo!$I:$I, 0)), "Sin Pago"))</f>
        <v/>
      </c>
      <c r="Y1707" s="79">
        <f>IF(X1707="Sin Pago","",IFERROR(INDEX(Pagos_Odoo!$C:$C, MATCH(X1707, Pagos_Odoo!$B:$B, 0)), ""))</f>
        <v/>
      </c>
      <c r="Z1707" s="80">
        <f>IF(X1707="Sin Pago","",IFERROR(INDEX(Pagos_Odoo!$A:$A, MATCH(X1707, Pagos_Odoo!$B:$B, 0)), ""))</f>
        <v/>
      </c>
      <c r="AA1707" s="79">
        <f>IF(X1707="Sin Pago","",IFERROR(INDEX(Pagos_Odoo!$F:$F, MATCH(X1707, Pagos_Odoo!$B:$B, 0)), ""))</f>
        <v/>
      </c>
      <c r="AB1707" s="81">
        <f>IF(X1707="Sin Pago",0,IFERROR(INDEX(Pagos_Odoo!$E:$E, MATCH(X1707, Pagos_Odoo!$B:$B, 0)), 0))</f>
        <v/>
      </c>
      <c r="AC1707" s="79">
        <f>IF(X1707="Sin Pago","",IFERROR(INDEX(Pagos_Odoo!$G:$G, MATCH(X1707, Pagos_Odoo!$B:$B, 0)), ""))</f>
        <v/>
      </c>
      <c r="AD1707" s="82" t="n">
        <v>0</v>
      </c>
      <c r="AE1707" s="82" t="n"/>
      <c r="AF1707" s="82" t="n"/>
      <c r="AG1707" s="82">
        <f>IF(AN1707="","",AD1707+AE1707+AF1707)</f>
        <v/>
      </c>
      <c r="AH1707" s="81">
        <f>IF(AN1707="","",P1707*(1-AG1707))</f>
        <v/>
      </c>
      <c r="AI1707" s="81">
        <f>IF(AN1707="","",IF(Q1707="Sin Factura",0,IFERROR(INDEX(Facturas_Odoo!$H:$H, MATCH(Q1707, Facturas_Odoo!$B:$B, 0)), 0)*(1-AG1707)))</f>
        <v/>
      </c>
      <c r="AJ1707" s="81">
        <f>IF(AN1707="","",_xlfn.LET(idVenta, AN1707&amp;"",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07" s="81">
        <f>IF(AN1707="","",AH1707-AJ1707)</f>
        <v/>
      </c>
      <c r="AL1707" s="81">
        <f>IF(AN1707="","",IF(Q1707="Sin Factura","",AI1707-AJ1707))</f>
        <v/>
      </c>
      <c r="AM1707" s="81">
        <f>IF(AN1707="","",IF(Q1707="Sin Factura",0,P1707-IFERROR(INDEX(Facturas_Odoo!$H:$H, MATCH(Q1707, Facturas_Odoo!$B:$B, 0)), 0)))</f>
        <v/>
      </c>
      <c r="AN1707" s="79">
        <f>IF(AND(A1707="", J1707=""), "", IF(A1707&lt;&gt;"", VALUE(MID(A1707,2,LEN(A1707))), AN1706))</f>
        <v/>
      </c>
      <c r="AO1707" s="79">
        <f>IF(AN1707="","",IF(AD1707=0,"OK",_xlfn.LET(monedaPago, IF(AA1707="","USD",AA1707), limitePermitido, IFERROR(VLOOKUP(monedaPago, Configuración!$A$2:$B$3, 2, FALSE), 0.15), IF(AD1707&gt;limitePermitido, "ALERTA: EXCESO (" &amp; TEXT(limitePermitido, "0%") &amp; " máx)", "OK"))))</f>
        <v/>
      </c>
      <c r="AP1707" s="79">
        <f>IF(AN1707="","",IF(AE1707=0,"OK",_xlfn.LET(fechaPago, Z1707, fechaFactura, R1707, diasCredito, IF(E1707="Pago inmediato", 0, IFERROR(VALUE(MID(E1707, 1, SEARCH(" ", E1707)-1)),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07" s="79">
        <f>IF(AN1707="","",IF(AND(N1707&gt;0, AG1707&gt;0), IF(Configuración!$K$2="NO", "ALERTA: DESCUENTO DOBLE NO PERMITIDO", "OK"), "OK"))</f>
        <v/>
      </c>
      <c r="AR1707" s="79">
        <f>IF(AN1707="","",IF(OR(AO1707&lt;&gt;"OK", AP1707&lt;&gt;"OK", AQ1707&lt;&gt;"OK"), "⚠️ REVISAR", "OK"))</f>
        <v/>
      </c>
    </row>
    <row r="1708">
      <c r="A1708" s="79">
        <f>IF('Ordenes_Odoo'!A1708="","",'Ordenes_Odoo'!A1708)</f>
        <v/>
      </c>
      <c r="B1708" s="80">
        <f>IF('Ordenes_Odoo'!B1708="","",'Ordenes_Odoo'!B1708)</f>
        <v/>
      </c>
      <c r="C1708" s="79">
        <f>IF('Ordenes_Odoo'!C1708="","",'Ordenes_Odoo'!C1708)</f>
        <v/>
      </c>
      <c r="D1708" s="79">
        <f>IF('Ordenes_Odoo'!D1708="","",'Ordenes_Odoo'!D1708)</f>
        <v/>
      </c>
      <c r="E1708" s="79">
        <f>IF('Ordenes_Odoo'!E1708="","",'Ordenes_Odoo'!E1708)</f>
        <v/>
      </c>
      <c r="F1708" s="79">
        <f>IF('Ordenes_Odoo'!F1708="","",'Ordenes_Odoo'!F1708)</f>
        <v/>
      </c>
      <c r="G1708" s="79">
        <f>IF('Ordenes_Odoo'!G1708="","",'Ordenes_Odoo'!G1708)</f>
        <v/>
      </c>
      <c r="H1708" s="79">
        <f>IF('Ordenes_Odoo'!H1708="","",'Ordenes_Odoo'!H1708)</f>
        <v/>
      </c>
      <c r="I1708" s="79">
        <f>IF('Ordenes_Odoo'!I1708="","",'Ordenes_Odoo'!I1708)</f>
        <v/>
      </c>
      <c r="J1708" s="79">
        <f>IF('Ordenes_Odoo'!J1708="","",'Ordenes_Odoo'!J1708)</f>
        <v/>
      </c>
      <c r="K1708" s="81">
        <f>IF('Ordenes_Odoo'!K1708="","",'Ordenes_Odoo'!K1708)</f>
        <v/>
      </c>
      <c r="L1708" s="81">
        <f>IF('Ordenes_Odoo'!L1708="","",'Ordenes_Odoo'!L1708)</f>
        <v/>
      </c>
      <c r="M1708" s="79">
        <f>IF('Ordenes_Odoo'!M1708="","",'Ordenes_Odoo'!M1708)</f>
        <v/>
      </c>
      <c r="N1708" s="79">
        <f>IF('Ordenes_Odoo'!N1708="","",'Ordenes_Odoo'!N1708)</f>
        <v/>
      </c>
      <c r="O1708" s="81">
        <f>IF('Ordenes_Odoo'!O1708="","",'Ordenes_Odoo'!O1708)</f>
        <v/>
      </c>
      <c r="P1708" s="81">
        <f>IF('Ordenes_Odoo'!P1708="","",'Ordenes_Odoo'!P1708)</f>
        <v/>
      </c>
      <c r="Q1708" s="79">
        <f>IF(A1708="","",IFERROR(INDEX(Facturas_Odoo!$B:$B, MATCH(A1708, Facturas_Odoo!$D:$D, 0)), "Sin Factura"))</f>
        <v/>
      </c>
      <c r="R1708" s="80">
        <f>IF(Q1708="Sin Factura","",IFERROR(INDEX(Facturas_Odoo!$A:$A, MATCH(Q1708, Facturas_Odoo!$B:$B, 0)), ""))</f>
        <v/>
      </c>
      <c r="S1708" s="79">
        <f>IF(Q1708="Sin Factura","",IFERROR(_xlfn.XLOOKUP(1, (Facturas_Odoo!$D:$D=A1708) * (Facturas_Odoo!$K:$K=I1708), Facturas_Odoo!$L:$L, ""), ""))</f>
        <v/>
      </c>
      <c r="T1708" s="81">
        <f>IF(Q1708="Sin Factura",0,IFERROR(_xlfn.XLOOKUP(1, (Facturas_Odoo!$D:$D=A1708) * (Facturas_Odoo!$K:$K=I1708), Facturas_Odoo!$M:$M, 0), 0))</f>
        <v/>
      </c>
      <c r="U1708" s="79">
        <f>IF(Q1708="Sin Factura",0,IFERROR(_xlfn.XLOOKUP(1, (Facturas_Odoo!$D:$D=A1708) * (Facturas_Odoo!$K:$K=I1708), Facturas_Odoo!$N:$N, 0), 0))</f>
        <v/>
      </c>
      <c r="V1708" s="79">
        <f>IF(Q1708="Sin Factura",0,IFERROR(_xlfn.XLOOKUP(1, (Facturas_Odoo!$D:$D=A1708) * (Facturas_Odoo!$K:$K=I1708), Facturas_Odoo!$O:$O, 0), 0))</f>
        <v/>
      </c>
      <c r="W1708" s="81">
        <f>IF(Q1708="Sin Factura",0,IFERROR(_xlfn.XLOOKUP(1, (Facturas_Odoo!$D:$D=A1708) * (Facturas_Odoo!$K:$K=I1708), Facturas_Odoo!$Q:$Q, 0), 0))</f>
        <v/>
      </c>
      <c r="X1708" s="79">
        <f>IF(OR(Q1708="Sin Factura",Q1708=""),"",IFERROR(INDEX(Pagos_Odoo!$B:$B, MATCH(Q1708, Pagos_Odoo!$I:$I, 0)), "Sin Pago"))</f>
        <v/>
      </c>
      <c r="Y1708" s="79">
        <f>IF(X1708="Sin Pago","",IFERROR(INDEX(Pagos_Odoo!$C:$C, MATCH(X1708, Pagos_Odoo!$B:$B, 0)), ""))</f>
        <v/>
      </c>
      <c r="Z1708" s="80">
        <f>IF(X1708="Sin Pago","",IFERROR(INDEX(Pagos_Odoo!$A:$A, MATCH(X1708, Pagos_Odoo!$B:$B, 0)), ""))</f>
        <v/>
      </c>
      <c r="AA1708" s="79">
        <f>IF(X1708="Sin Pago","",IFERROR(INDEX(Pagos_Odoo!$F:$F, MATCH(X1708, Pagos_Odoo!$B:$B, 0)), ""))</f>
        <v/>
      </c>
      <c r="AB1708" s="81">
        <f>IF(X1708="Sin Pago",0,IFERROR(INDEX(Pagos_Odoo!$E:$E, MATCH(X1708, Pagos_Odoo!$B:$B, 0)), 0))</f>
        <v/>
      </c>
      <c r="AC1708" s="79">
        <f>IF(X1708="Sin Pago","",IFERROR(INDEX(Pagos_Odoo!$G:$G, MATCH(X1708, Pagos_Odoo!$B:$B, 0)), ""))</f>
        <v/>
      </c>
      <c r="AD1708" s="82" t="n">
        <v>0</v>
      </c>
      <c r="AE1708" s="82" t="n"/>
      <c r="AF1708" s="82" t="n"/>
      <c r="AG1708" s="82">
        <f>IF(AN1708="","",AD1708+AE1708+AF1708)</f>
        <v/>
      </c>
      <c r="AH1708" s="81">
        <f>IF(AN1708="","",P1708*(1-AG1708))</f>
        <v/>
      </c>
      <c r="AI1708" s="81">
        <f>IF(AN1708="","",IF(Q1708="Sin Factura",0,IFERROR(INDEX(Facturas_Odoo!$H:$H, MATCH(Q1708, Facturas_Odoo!$B:$B, 0)), 0)*(1-AG1708)))</f>
        <v/>
      </c>
      <c r="AJ1708" s="81">
        <f>IF(AN1708="","",_xlfn.LET(idVenta, AN1708&amp;"",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08" s="81">
        <f>IF(AN1708="","",AH1708-AJ1708)</f>
        <v/>
      </c>
      <c r="AL1708" s="81">
        <f>IF(AN1708="","",IF(Q1708="Sin Factura","",AI1708-AJ1708))</f>
        <v/>
      </c>
      <c r="AM1708" s="81">
        <f>IF(AN1708="","",IF(Q1708="Sin Factura",0,P1708-IFERROR(INDEX(Facturas_Odoo!$H:$H, MATCH(Q1708, Facturas_Odoo!$B:$B, 0)), 0)))</f>
        <v/>
      </c>
      <c r="AN1708" s="79">
        <f>IF(AND(A1708="", J1708=""), "", IF(A1708&lt;&gt;"", VALUE(MID(A1708,2,LEN(A1708))), AN1707))</f>
        <v/>
      </c>
      <c r="AO1708" s="79">
        <f>IF(AN1708="","",IF(AD1708=0,"OK",_xlfn.LET(monedaPago, IF(AA1708="","USD",AA1708), limitePermitido, IFERROR(VLOOKUP(monedaPago, Configuración!$A$2:$B$3, 2, FALSE), 0.15), IF(AD1708&gt;limitePermitido, "ALERTA: EXCESO (" &amp; TEXT(limitePermitido, "0%") &amp; " máx)", "OK"))))</f>
        <v/>
      </c>
      <c r="AP1708" s="79">
        <f>IF(AN1708="","",IF(AE1708=0,"OK",_xlfn.LET(fechaPago, Z1708, fechaFactura, R1708, diasCredito, IF(E1708="Pago inmediato", 0, IFERROR(VALUE(MID(E1708, 1, SEARCH(" ", E1708)-1)),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08" s="79">
        <f>IF(AN1708="","",IF(AND(N1708&gt;0, AG1708&gt;0), IF(Configuración!$K$2="NO", "ALERTA: DESCUENTO DOBLE NO PERMITIDO", "OK"), "OK"))</f>
        <v/>
      </c>
      <c r="AR1708" s="79">
        <f>IF(AN1708="","",IF(OR(AO1708&lt;&gt;"OK", AP1708&lt;&gt;"OK", AQ1708&lt;&gt;"OK"), "⚠️ REVISAR", "OK"))</f>
        <v/>
      </c>
    </row>
    <row r="1709">
      <c r="A1709" s="79">
        <f>IF('Ordenes_Odoo'!A1709="","",'Ordenes_Odoo'!A1709)</f>
        <v/>
      </c>
      <c r="B1709" s="80">
        <f>IF('Ordenes_Odoo'!B1709="","",'Ordenes_Odoo'!B1709)</f>
        <v/>
      </c>
      <c r="C1709" s="79">
        <f>IF('Ordenes_Odoo'!C1709="","",'Ordenes_Odoo'!C1709)</f>
        <v/>
      </c>
      <c r="D1709" s="79">
        <f>IF('Ordenes_Odoo'!D1709="","",'Ordenes_Odoo'!D1709)</f>
        <v/>
      </c>
      <c r="E1709" s="79">
        <f>IF('Ordenes_Odoo'!E1709="","",'Ordenes_Odoo'!E1709)</f>
        <v/>
      </c>
      <c r="F1709" s="79">
        <f>IF('Ordenes_Odoo'!F1709="","",'Ordenes_Odoo'!F1709)</f>
        <v/>
      </c>
      <c r="G1709" s="79">
        <f>IF('Ordenes_Odoo'!G1709="","",'Ordenes_Odoo'!G1709)</f>
        <v/>
      </c>
      <c r="H1709" s="79">
        <f>IF('Ordenes_Odoo'!H1709="","",'Ordenes_Odoo'!H1709)</f>
        <v/>
      </c>
      <c r="I1709" s="79">
        <f>IF('Ordenes_Odoo'!I1709="","",'Ordenes_Odoo'!I1709)</f>
        <v/>
      </c>
      <c r="J1709" s="79">
        <f>IF('Ordenes_Odoo'!J1709="","",'Ordenes_Odoo'!J1709)</f>
        <v/>
      </c>
      <c r="K1709" s="81">
        <f>IF('Ordenes_Odoo'!K1709="","",'Ordenes_Odoo'!K1709)</f>
        <v/>
      </c>
      <c r="L1709" s="81">
        <f>IF('Ordenes_Odoo'!L1709="","",'Ordenes_Odoo'!L1709)</f>
        <v/>
      </c>
      <c r="M1709" s="79">
        <f>IF('Ordenes_Odoo'!M1709="","",'Ordenes_Odoo'!M1709)</f>
        <v/>
      </c>
      <c r="N1709" s="79">
        <f>IF('Ordenes_Odoo'!N1709="","",'Ordenes_Odoo'!N1709)</f>
        <v/>
      </c>
      <c r="O1709" s="81">
        <f>IF('Ordenes_Odoo'!O1709="","",'Ordenes_Odoo'!O1709)</f>
        <v/>
      </c>
      <c r="P1709" s="81">
        <f>IF('Ordenes_Odoo'!P1709="","",'Ordenes_Odoo'!P1709)</f>
        <v/>
      </c>
      <c r="Q1709" s="79">
        <f>IF(A1709="","",IFERROR(INDEX(Facturas_Odoo!$B:$B, MATCH(A1709, Facturas_Odoo!$D:$D, 0)), "Sin Factura"))</f>
        <v/>
      </c>
      <c r="R1709" s="80">
        <f>IF(Q1709="Sin Factura","",IFERROR(INDEX(Facturas_Odoo!$A:$A, MATCH(Q1709, Facturas_Odoo!$B:$B, 0)), ""))</f>
        <v/>
      </c>
      <c r="S1709" s="79">
        <f>IF(Q1709="Sin Factura","",IFERROR(_xlfn.XLOOKUP(1, (Facturas_Odoo!$D:$D=A1709) * (Facturas_Odoo!$K:$K=I1709), Facturas_Odoo!$L:$L, ""), ""))</f>
        <v/>
      </c>
      <c r="T1709" s="81">
        <f>IF(Q1709="Sin Factura",0,IFERROR(_xlfn.XLOOKUP(1, (Facturas_Odoo!$D:$D=A1709) * (Facturas_Odoo!$K:$K=I1709), Facturas_Odoo!$M:$M, 0), 0))</f>
        <v/>
      </c>
      <c r="U1709" s="79">
        <f>IF(Q1709="Sin Factura",0,IFERROR(_xlfn.XLOOKUP(1, (Facturas_Odoo!$D:$D=A1709) * (Facturas_Odoo!$K:$K=I1709), Facturas_Odoo!$N:$N, 0), 0))</f>
        <v/>
      </c>
      <c r="V1709" s="79">
        <f>IF(Q1709="Sin Factura",0,IFERROR(_xlfn.XLOOKUP(1, (Facturas_Odoo!$D:$D=A1709) * (Facturas_Odoo!$K:$K=I1709), Facturas_Odoo!$O:$O, 0), 0))</f>
        <v/>
      </c>
      <c r="W1709" s="81">
        <f>IF(Q1709="Sin Factura",0,IFERROR(_xlfn.XLOOKUP(1, (Facturas_Odoo!$D:$D=A1709) * (Facturas_Odoo!$K:$K=I1709), Facturas_Odoo!$Q:$Q, 0), 0))</f>
        <v/>
      </c>
      <c r="X1709" s="79">
        <f>IF(OR(Q1709="Sin Factura",Q1709=""),"",IFERROR(INDEX(Pagos_Odoo!$B:$B, MATCH(Q1709, Pagos_Odoo!$I:$I, 0)), "Sin Pago"))</f>
        <v/>
      </c>
      <c r="Y1709" s="79">
        <f>IF(X1709="Sin Pago","",IFERROR(INDEX(Pagos_Odoo!$C:$C, MATCH(X1709, Pagos_Odoo!$B:$B, 0)), ""))</f>
        <v/>
      </c>
      <c r="Z1709" s="80">
        <f>IF(X1709="Sin Pago","",IFERROR(INDEX(Pagos_Odoo!$A:$A, MATCH(X1709, Pagos_Odoo!$B:$B, 0)), ""))</f>
        <v/>
      </c>
      <c r="AA1709" s="79">
        <f>IF(X1709="Sin Pago","",IFERROR(INDEX(Pagos_Odoo!$F:$F, MATCH(X1709, Pagos_Odoo!$B:$B, 0)), ""))</f>
        <v/>
      </c>
      <c r="AB1709" s="81">
        <f>IF(X1709="Sin Pago",0,IFERROR(INDEX(Pagos_Odoo!$E:$E, MATCH(X1709, Pagos_Odoo!$B:$B, 0)), 0))</f>
        <v/>
      </c>
      <c r="AC1709" s="79">
        <f>IF(X1709="Sin Pago","",IFERROR(INDEX(Pagos_Odoo!$G:$G, MATCH(X1709, Pagos_Odoo!$B:$B, 0)), ""))</f>
        <v/>
      </c>
      <c r="AD1709" s="82" t="n">
        <v>0</v>
      </c>
      <c r="AE1709" s="82" t="n"/>
      <c r="AF1709" s="82" t="n"/>
      <c r="AG1709" s="82">
        <f>IF(AN1709="","",AD1709+AE1709+AF1709)</f>
        <v/>
      </c>
      <c r="AH1709" s="81">
        <f>IF(AN1709="","",P1709*(1-AG1709))</f>
        <v/>
      </c>
      <c r="AI1709" s="81">
        <f>IF(AN1709="","",IF(Q1709="Sin Factura",0,IFERROR(INDEX(Facturas_Odoo!$H:$H, MATCH(Q1709, Facturas_Odoo!$B:$B, 0)), 0)*(1-AG1709)))</f>
        <v/>
      </c>
      <c r="AJ1709" s="81">
        <f>IF(AN1709="","",_xlfn.LET(idVenta, AN1709&amp;"",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09" s="81">
        <f>IF(AN1709="","",AH1709-AJ1709)</f>
        <v/>
      </c>
      <c r="AL1709" s="81">
        <f>IF(AN1709="","",IF(Q1709="Sin Factura","",AI1709-AJ1709))</f>
        <v/>
      </c>
      <c r="AM1709" s="81">
        <f>IF(AN1709="","",IF(Q1709="Sin Factura",0,P1709-IFERROR(INDEX(Facturas_Odoo!$H:$H, MATCH(Q1709, Facturas_Odoo!$B:$B, 0)), 0)))</f>
        <v/>
      </c>
      <c r="AN1709" s="79">
        <f>IF(AND(A1709="", J1709=""), "", IF(A1709&lt;&gt;"", VALUE(MID(A1709,2,LEN(A1709))), AN1708))</f>
        <v/>
      </c>
      <c r="AO1709" s="79">
        <f>IF(AN1709="","",IF(AD1709=0,"OK",_xlfn.LET(monedaPago, IF(AA1709="","USD",AA1709), limitePermitido, IFERROR(VLOOKUP(monedaPago, Configuración!$A$2:$B$3, 2, FALSE), 0.15), IF(AD1709&gt;limitePermitido, "ALERTA: EXCESO (" &amp; TEXT(limitePermitido, "0%") &amp; " máx)", "OK"))))</f>
        <v/>
      </c>
      <c r="AP1709" s="79">
        <f>IF(AN1709="","",IF(AE1709=0,"OK",_xlfn.LET(fechaPago, Z1709, fechaFactura, R1709, diasCredito, IF(E1709="Pago inmediato", 0, IFERROR(VALUE(MID(E1709, 1, SEARCH(" ", E1709)-1)),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09" s="79">
        <f>IF(AN1709="","",IF(AND(N1709&gt;0, AG1709&gt;0), IF(Configuración!$K$2="NO", "ALERTA: DESCUENTO DOBLE NO PERMITIDO", "OK"), "OK"))</f>
        <v/>
      </c>
      <c r="AR1709" s="79">
        <f>IF(AN1709="","",IF(OR(AO1709&lt;&gt;"OK", AP1709&lt;&gt;"OK", AQ1709&lt;&gt;"OK"), "⚠️ REVISAR", "OK"))</f>
        <v/>
      </c>
    </row>
    <row r="1710">
      <c r="A1710" s="79">
        <f>IF('Ordenes_Odoo'!A1710="","",'Ordenes_Odoo'!A1710)</f>
        <v/>
      </c>
      <c r="B1710" s="80">
        <f>IF('Ordenes_Odoo'!B1710="","",'Ordenes_Odoo'!B1710)</f>
        <v/>
      </c>
      <c r="C1710" s="79">
        <f>IF('Ordenes_Odoo'!C1710="","",'Ordenes_Odoo'!C1710)</f>
        <v/>
      </c>
      <c r="D1710" s="79">
        <f>IF('Ordenes_Odoo'!D1710="","",'Ordenes_Odoo'!D1710)</f>
        <v/>
      </c>
      <c r="E1710" s="79">
        <f>IF('Ordenes_Odoo'!E1710="","",'Ordenes_Odoo'!E1710)</f>
        <v/>
      </c>
      <c r="F1710" s="79">
        <f>IF('Ordenes_Odoo'!F1710="","",'Ordenes_Odoo'!F1710)</f>
        <v/>
      </c>
      <c r="G1710" s="79">
        <f>IF('Ordenes_Odoo'!G1710="","",'Ordenes_Odoo'!G1710)</f>
        <v/>
      </c>
      <c r="H1710" s="79">
        <f>IF('Ordenes_Odoo'!H1710="","",'Ordenes_Odoo'!H1710)</f>
        <v/>
      </c>
      <c r="I1710" s="79">
        <f>IF('Ordenes_Odoo'!I1710="","",'Ordenes_Odoo'!I1710)</f>
        <v/>
      </c>
      <c r="J1710" s="79">
        <f>IF('Ordenes_Odoo'!J1710="","",'Ordenes_Odoo'!J1710)</f>
        <v/>
      </c>
      <c r="K1710" s="81">
        <f>IF('Ordenes_Odoo'!K1710="","",'Ordenes_Odoo'!K1710)</f>
        <v/>
      </c>
      <c r="L1710" s="81">
        <f>IF('Ordenes_Odoo'!L1710="","",'Ordenes_Odoo'!L1710)</f>
        <v/>
      </c>
      <c r="M1710" s="79">
        <f>IF('Ordenes_Odoo'!M1710="","",'Ordenes_Odoo'!M1710)</f>
        <v/>
      </c>
      <c r="N1710" s="79">
        <f>IF('Ordenes_Odoo'!N1710="","",'Ordenes_Odoo'!N1710)</f>
        <v/>
      </c>
      <c r="O1710" s="81">
        <f>IF('Ordenes_Odoo'!O1710="","",'Ordenes_Odoo'!O1710)</f>
        <v/>
      </c>
      <c r="P1710" s="81">
        <f>IF('Ordenes_Odoo'!P1710="","",'Ordenes_Odoo'!P1710)</f>
        <v/>
      </c>
      <c r="Q1710" s="79">
        <f>IF(A1710="","",IFERROR(INDEX(Facturas_Odoo!$B:$B, MATCH(A1710, Facturas_Odoo!$D:$D, 0)), "Sin Factura"))</f>
        <v/>
      </c>
      <c r="R1710" s="80">
        <f>IF(Q1710="Sin Factura","",IFERROR(INDEX(Facturas_Odoo!$A:$A, MATCH(Q1710, Facturas_Odoo!$B:$B, 0)), ""))</f>
        <v/>
      </c>
      <c r="S1710" s="79">
        <f>IF(Q1710="Sin Factura","",IFERROR(_xlfn.XLOOKUP(1, (Facturas_Odoo!$D:$D=A1710) * (Facturas_Odoo!$K:$K=I1710), Facturas_Odoo!$L:$L, ""), ""))</f>
        <v/>
      </c>
      <c r="T1710" s="81">
        <f>IF(Q1710="Sin Factura",0,IFERROR(_xlfn.XLOOKUP(1, (Facturas_Odoo!$D:$D=A1710) * (Facturas_Odoo!$K:$K=I1710), Facturas_Odoo!$M:$M, 0), 0))</f>
        <v/>
      </c>
      <c r="U1710" s="79">
        <f>IF(Q1710="Sin Factura",0,IFERROR(_xlfn.XLOOKUP(1, (Facturas_Odoo!$D:$D=A1710) * (Facturas_Odoo!$K:$K=I1710), Facturas_Odoo!$N:$N, 0), 0))</f>
        <v/>
      </c>
      <c r="V1710" s="79">
        <f>IF(Q1710="Sin Factura",0,IFERROR(_xlfn.XLOOKUP(1, (Facturas_Odoo!$D:$D=A1710) * (Facturas_Odoo!$K:$K=I1710), Facturas_Odoo!$O:$O, 0), 0))</f>
        <v/>
      </c>
      <c r="W1710" s="81">
        <f>IF(Q1710="Sin Factura",0,IFERROR(_xlfn.XLOOKUP(1, (Facturas_Odoo!$D:$D=A1710) * (Facturas_Odoo!$K:$K=I1710), Facturas_Odoo!$Q:$Q, 0), 0))</f>
        <v/>
      </c>
      <c r="X1710" s="79">
        <f>IF(OR(Q1710="Sin Factura",Q1710=""),"",IFERROR(INDEX(Pagos_Odoo!$B:$B, MATCH(Q1710, Pagos_Odoo!$I:$I, 0)), "Sin Pago"))</f>
        <v/>
      </c>
      <c r="Y1710" s="79">
        <f>IF(X1710="Sin Pago","",IFERROR(INDEX(Pagos_Odoo!$C:$C, MATCH(X1710, Pagos_Odoo!$B:$B, 0)), ""))</f>
        <v/>
      </c>
      <c r="Z1710" s="80">
        <f>IF(X1710="Sin Pago","",IFERROR(INDEX(Pagos_Odoo!$A:$A, MATCH(X1710, Pagos_Odoo!$B:$B, 0)), ""))</f>
        <v/>
      </c>
      <c r="AA1710" s="79">
        <f>IF(X1710="Sin Pago","",IFERROR(INDEX(Pagos_Odoo!$F:$F, MATCH(X1710, Pagos_Odoo!$B:$B, 0)), ""))</f>
        <v/>
      </c>
      <c r="AB1710" s="81">
        <f>IF(X1710="Sin Pago",0,IFERROR(INDEX(Pagos_Odoo!$E:$E, MATCH(X1710, Pagos_Odoo!$B:$B, 0)), 0))</f>
        <v/>
      </c>
      <c r="AC1710" s="79">
        <f>IF(X1710="Sin Pago","",IFERROR(INDEX(Pagos_Odoo!$G:$G, MATCH(X1710, Pagos_Odoo!$B:$B, 0)), ""))</f>
        <v/>
      </c>
      <c r="AD1710" s="82" t="n">
        <v>0</v>
      </c>
      <c r="AE1710" s="82" t="n"/>
      <c r="AF1710" s="82" t="n"/>
      <c r="AG1710" s="82">
        <f>IF(AN1710="","",AD1710+AE1710+AF1710)</f>
        <v/>
      </c>
      <c r="AH1710" s="81">
        <f>IF(AN1710="","",P1710*(1-AG1710))</f>
        <v/>
      </c>
      <c r="AI1710" s="81">
        <f>IF(AN1710="","",IF(Q1710="Sin Factura",0,IFERROR(INDEX(Facturas_Odoo!$H:$H, MATCH(Q1710, Facturas_Odoo!$B:$B, 0)), 0)*(1-AG1710)))</f>
        <v/>
      </c>
      <c r="AJ1710" s="81">
        <f>IF(AN1710="","",_xlfn.LET(idVenta, AN1710&amp;"",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10" s="81">
        <f>IF(AN1710="","",AH1710-AJ1710)</f>
        <v/>
      </c>
      <c r="AL1710" s="81">
        <f>IF(AN1710="","",IF(Q1710="Sin Factura","",AI1710-AJ1710))</f>
        <v/>
      </c>
      <c r="AM1710" s="81">
        <f>IF(AN1710="","",IF(Q1710="Sin Factura",0,P1710-IFERROR(INDEX(Facturas_Odoo!$H:$H, MATCH(Q1710, Facturas_Odoo!$B:$B, 0)), 0)))</f>
        <v/>
      </c>
      <c r="AN1710" s="79">
        <f>IF(AND(A1710="", J1710=""), "", IF(A1710&lt;&gt;"", VALUE(MID(A1710,2,LEN(A1710))), AN1709))</f>
        <v/>
      </c>
      <c r="AO1710" s="79">
        <f>IF(AN1710="","",IF(AD1710=0,"OK",_xlfn.LET(monedaPago, IF(AA1710="","USD",AA1710), limitePermitido, IFERROR(VLOOKUP(monedaPago, Configuración!$A$2:$B$3, 2, FALSE), 0.15), IF(AD1710&gt;limitePermitido, "ALERTA: EXCESO (" &amp; TEXT(limitePermitido, "0%") &amp; " máx)", "OK"))))</f>
        <v/>
      </c>
      <c r="AP1710" s="79">
        <f>IF(AN1710="","",IF(AE1710=0,"OK",_xlfn.LET(fechaPago, Z1710, fechaFactura, R1710, diasCredito, IF(E1710="Pago inmediato", 0, IFERROR(VALUE(MID(E1710, 1, SEARCH(" ", E1710)-1)),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10" s="79">
        <f>IF(AN1710="","",IF(AND(N1710&gt;0, AG1710&gt;0), IF(Configuración!$K$2="NO", "ALERTA: DESCUENTO DOBLE NO PERMITIDO", "OK"), "OK"))</f>
        <v/>
      </c>
      <c r="AR1710" s="79">
        <f>IF(AN1710="","",IF(OR(AO1710&lt;&gt;"OK", AP1710&lt;&gt;"OK", AQ1710&lt;&gt;"OK"), "⚠️ REVISAR", "OK"))</f>
        <v/>
      </c>
    </row>
    <row r="1711">
      <c r="A1711" s="79">
        <f>IF('Ordenes_Odoo'!A1711="","",'Ordenes_Odoo'!A1711)</f>
        <v/>
      </c>
      <c r="B1711" s="80">
        <f>IF('Ordenes_Odoo'!B1711="","",'Ordenes_Odoo'!B1711)</f>
        <v/>
      </c>
      <c r="C1711" s="79">
        <f>IF('Ordenes_Odoo'!C1711="","",'Ordenes_Odoo'!C1711)</f>
        <v/>
      </c>
      <c r="D1711" s="79">
        <f>IF('Ordenes_Odoo'!D1711="","",'Ordenes_Odoo'!D1711)</f>
        <v/>
      </c>
      <c r="E1711" s="79">
        <f>IF('Ordenes_Odoo'!E1711="","",'Ordenes_Odoo'!E1711)</f>
        <v/>
      </c>
      <c r="F1711" s="79">
        <f>IF('Ordenes_Odoo'!F1711="","",'Ordenes_Odoo'!F1711)</f>
        <v/>
      </c>
      <c r="G1711" s="79">
        <f>IF('Ordenes_Odoo'!G1711="","",'Ordenes_Odoo'!G1711)</f>
        <v/>
      </c>
      <c r="H1711" s="79">
        <f>IF('Ordenes_Odoo'!H1711="","",'Ordenes_Odoo'!H1711)</f>
        <v/>
      </c>
      <c r="I1711" s="79">
        <f>IF('Ordenes_Odoo'!I1711="","",'Ordenes_Odoo'!I1711)</f>
        <v/>
      </c>
      <c r="J1711" s="79">
        <f>IF('Ordenes_Odoo'!J1711="","",'Ordenes_Odoo'!J1711)</f>
        <v/>
      </c>
      <c r="K1711" s="81">
        <f>IF('Ordenes_Odoo'!K1711="","",'Ordenes_Odoo'!K1711)</f>
        <v/>
      </c>
      <c r="L1711" s="81">
        <f>IF('Ordenes_Odoo'!L1711="","",'Ordenes_Odoo'!L1711)</f>
        <v/>
      </c>
      <c r="M1711" s="79">
        <f>IF('Ordenes_Odoo'!M1711="","",'Ordenes_Odoo'!M1711)</f>
        <v/>
      </c>
      <c r="N1711" s="79">
        <f>IF('Ordenes_Odoo'!N1711="","",'Ordenes_Odoo'!N1711)</f>
        <v/>
      </c>
      <c r="O1711" s="81">
        <f>IF('Ordenes_Odoo'!O1711="","",'Ordenes_Odoo'!O1711)</f>
        <v/>
      </c>
      <c r="P1711" s="81">
        <f>IF('Ordenes_Odoo'!P1711="","",'Ordenes_Odoo'!P1711)</f>
        <v/>
      </c>
      <c r="Q1711" s="79">
        <f>IF(A1711="","",IFERROR(INDEX(Facturas_Odoo!$B:$B, MATCH(A1711, Facturas_Odoo!$D:$D, 0)), "Sin Factura"))</f>
        <v/>
      </c>
      <c r="R1711" s="80">
        <f>IF(Q1711="Sin Factura","",IFERROR(INDEX(Facturas_Odoo!$A:$A, MATCH(Q1711, Facturas_Odoo!$B:$B, 0)), ""))</f>
        <v/>
      </c>
      <c r="S1711" s="79">
        <f>IF(Q1711="Sin Factura","",IFERROR(_xlfn.XLOOKUP(1, (Facturas_Odoo!$D:$D=A1711) * (Facturas_Odoo!$K:$K=I1711), Facturas_Odoo!$L:$L, ""), ""))</f>
        <v/>
      </c>
      <c r="T1711" s="81">
        <f>IF(Q1711="Sin Factura",0,IFERROR(_xlfn.XLOOKUP(1, (Facturas_Odoo!$D:$D=A1711) * (Facturas_Odoo!$K:$K=I1711), Facturas_Odoo!$M:$M, 0), 0))</f>
        <v/>
      </c>
      <c r="U1711" s="79">
        <f>IF(Q1711="Sin Factura",0,IFERROR(_xlfn.XLOOKUP(1, (Facturas_Odoo!$D:$D=A1711) * (Facturas_Odoo!$K:$K=I1711), Facturas_Odoo!$N:$N, 0), 0))</f>
        <v/>
      </c>
      <c r="V1711" s="79">
        <f>IF(Q1711="Sin Factura",0,IFERROR(_xlfn.XLOOKUP(1, (Facturas_Odoo!$D:$D=A1711) * (Facturas_Odoo!$K:$K=I1711), Facturas_Odoo!$O:$O, 0), 0))</f>
        <v/>
      </c>
      <c r="W1711" s="81">
        <f>IF(Q1711="Sin Factura",0,IFERROR(_xlfn.XLOOKUP(1, (Facturas_Odoo!$D:$D=A1711) * (Facturas_Odoo!$K:$K=I1711), Facturas_Odoo!$Q:$Q, 0), 0))</f>
        <v/>
      </c>
      <c r="X1711" s="79">
        <f>IF(OR(Q1711="Sin Factura",Q1711=""),"",IFERROR(INDEX(Pagos_Odoo!$B:$B, MATCH(Q1711, Pagos_Odoo!$I:$I, 0)), "Sin Pago"))</f>
        <v/>
      </c>
      <c r="Y1711" s="79">
        <f>IF(X1711="Sin Pago","",IFERROR(INDEX(Pagos_Odoo!$C:$C, MATCH(X1711, Pagos_Odoo!$B:$B, 0)), ""))</f>
        <v/>
      </c>
      <c r="Z1711" s="80">
        <f>IF(X1711="Sin Pago","",IFERROR(INDEX(Pagos_Odoo!$A:$A, MATCH(X1711, Pagos_Odoo!$B:$B, 0)), ""))</f>
        <v/>
      </c>
      <c r="AA1711" s="79">
        <f>IF(X1711="Sin Pago","",IFERROR(INDEX(Pagos_Odoo!$F:$F, MATCH(X1711, Pagos_Odoo!$B:$B, 0)), ""))</f>
        <v/>
      </c>
      <c r="AB1711" s="81">
        <f>IF(X1711="Sin Pago",0,IFERROR(INDEX(Pagos_Odoo!$E:$E, MATCH(X1711, Pagos_Odoo!$B:$B, 0)), 0))</f>
        <v/>
      </c>
      <c r="AC1711" s="79">
        <f>IF(X1711="Sin Pago","",IFERROR(INDEX(Pagos_Odoo!$G:$G, MATCH(X1711, Pagos_Odoo!$B:$B, 0)), ""))</f>
        <v/>
      </c>
      <c r="AD1711" s="82" t="n">
        <v>0</v>
      </c>
      <c r="AE1711" s="82" t="n"/>
      <c r="AF1711" s="82" t="n"/>
      <c r="AG1711" s="82">
        <f>IF(AN1711="","",AD1711+AE1711+AF1711)</f>
        <v/>
      </c>
      <c r="AH1711" s="81">
        <f>IF(AN1711="","",P1711*(1-AG1711))</f>
        <v/>
      </c>
      <c r="AI1711" s="81">
        <f>IF(AN1711="","",IF(Q1711="Sin Factura",0,IFERROR(INDEX(Facturas_Odoo!$H:$H, MATCH(Q1711, Facturas_Odoo!$B:$B, 0)), 0)*(1-AG1711)))</f>
        <v/>
      </c>
      <c r="AJ1711" s="81">
        <f>IF(AN1711="","",_xlfn.LET(idVenta, AN1711&amp;"",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11" s="81">
        <f>IF(AN1711="","",AH1711-AJ1711)</f>
        <v/>
      </c>
      <c r="AL1711" s="81">
        <f>IF(AN1711="","",IF(Q1711="Sin Factura","",AI1711-AJ1711))</f>
        <v/>
      </c>
      <c r="AM1711" s="81">
        <f>IF(AN1711="","",IF(Q1711="Sin Factura",0,P1711-IFERROR(INDEX(Facturas_Odoo!$H:$H, MATCH(Q1711, Facturas_Odoo!$B:$B, 0)), 0)))</f>
        <v/>
      </c>
      <c r="AN1711" s="79">
        <f>IF(AND(A1711="", J1711=""), "", IF(A1711&lt;&gt;"", VALUE(MID(A1711,2,LEN(A1711))), AN1710))</f>
        <v/>
      </c>
      <c r="AO1711" s="79">
        <f>IF(AN1711="","",IF(AD1711=0,"OK",_xlfn.LET(monedaPago, IF(AA1711="","USD",AA1711), limitePermitido, IFERROR(VLOOKUP(monedaPago, Configuración!$A$2:$B$3, 2, FALSE), 0.15), IF(AD1711&gt;limitePermitido, "ALERTA: EXCESO (" &amp; TEXT(limitePermitido, "0%") &amp; " máx)", "OK"))))</f>
        <v/>
      </c>
      <c r="AP1711" s="79">
        <f>IF(AN1711="","",IF(AE1711=0,"OK",_xlfn.LET(fechaPago, Z1711, fechaFactura, R1711, diasCredito, IF(E1711="Pago inmediato", 0, IFERROR(VALUE(MID(E1711, 1, SEARCH(" ", E1711)-1)),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11" s="79">
        <f>IF(AN1711="","",IF(AND(N1711&gt;0, AG1711&gt;0), IF(Configuración!$K$2="NO", "ALERTA: DESCUENTO DOBLE NO PERMITIDO", "OK"), "OK"))</f>
        <v/>
      </c>
      <c r="AR1711" s="79">
        <f>IF(AN1711="","",IF(OR(AO1711&lt;&gt;"OK", AP1711&lt;&gt;"OK", AQ1711&lt;&gt;"OK"), "⚠️ REVISAR", "OK"))</f>
        <v/>
      </c>
    </row>
    <row r="1712">
      <c r="A1712" s="79">
        <f>IF('Ordenes_Odoo'!A1712="","",'Ordenes_Odoo'!A1712)</f>
        <v/>
      </c>
      <c r="B1712" s="80">
        <f>IF('Ordenes_Odoo'!B1712="","",'Ordenes_Odoo'!B1712)</f>
        <v/>
      </c>
      <c r="C1712" s="79">
        <f>IF('Ordenes_Odoo'!C1712="","",'Ordenes_Odoo'!C1712)</f>
        <v/>
      </c>
      <c r="D1712" s="79">
        <f>IF('Ordenes_Odoo'!D1712="","",'Ordenes_Odoo'!D1712)</f>
        <v/>
      </c>
      <c r="E1712" s="79">
        <f>IF('Ordenes_Odoo'!E1712="","",'Ordenes_Odoo'!E1712)</f>
        <v/>
      </c>
      <c r="F1712" s="79">
        <f>IF('Ordenes_Odoo'!F1712="","",'Ordenes_Odoo'!F1712)</f>
        <v/>
      </c>
      <c r="G1712" s="79">
        <f>IF('Ordenes_Odoo'!G1712="","",'Ordenes_Odoo'!G1712)</f>
        <v/>
      </c>
      <c r="H1712" s="79">
        <f>IF('Ordenes_Odoo'!H1712="","",'Ordenes_Odoo'!H1712)</f>
        <v/>
      </c>
      <c r="I1712" s="79">
        <f>IF('Ordenes_Odoo'!I1712="","",'Ordenes_Odoo'!I1712)</f>
        <v/>
      </c>
      <c r="J1712" s="79">
        <f>IF('Ordenes_Odoo'!J1712="","",'Ordenes_Odoo'!J1712)</f>
        <v/>
      </c>
      <c r="K1712" s="81">
        <f>IF('Ordenes_Odoo'!K1712="","",'Ordenes_Odoo'!K1712)</f>
        <v/>
      </c>
      <c r="L1712" s="81">
        <f>IF('Ordenes_Odoo'!L1712="","",'Ordenes_Odoo'!L1712)</f>
        <v/>
      </c>
      <c r="M1712" s="79">
        <f>IF('Ordenes_Odoo'!M1712="","",'Ordenes_Odoo'!M1712)</f>
        <v/>
      </c>
      <c r="N1712" s="79">
        <f>IF('Ordenes_Odoo'!N1712="","",'Ordenes_Odoo'!N1712)</f>
        <v/>
      </c>
      <c r="O1712" s="81">
        <f>IF('Ordenes_Odoo'!O1712="","",'Ordenes_Odoo'!O1712)</f>
        <v/>
      </c>
      <c r="P1712" s="81">
        <f>IF('Ordenes_Odoo'!P1712="","",'Ordenes_Odoo'!P1712)</f>
        <v/>
      </c>
      <c r="Q1712" s="79">
        <f>IF(A1712="","",IFERROR(INDEX(Facturas_Odoo!$B:$B, MATCH(A1712, Facturas_Odoo!$D:$D, 0)), "Sin Factura"))</f>
        <v/>
      </c>
      <c r="R1712" s="80">
        <f>IF(Q1712="Sin Factura","",IFERROR(INDEX(Facturas_Odoo!$A:$A, MATCH(Q1712, Facturas_Odoo!$B:$B, 0)), ""))</f>
        <v/>
      </c>
      <c r="S1712" s="79">
        <f>IF(Q1712="Sin Factura","",IFERROR(_xlfn.XLOOKUP(1, (Facturas_Odoo!$D:$D=A1712) * (Facturas_Odoo!$K:$K=I1712), Facturas_Odoo!$L:$L, ""), ""))</f>
        <v/>
      </c>
      <c r="T1712" s="81">
        <f>IF(Q1712="Sin Factura",0,IFERROR(_xlfn.XLOOKUP(1, (Facturas_Odoo!$D:$D=A1712) * (Facturas_Odoo!$K:$K=I1712), Facturas_Odoo!$M:$M, 0), 0))</f>
        <v/>
      </c>
      <c r="U1712" s="79">
        <f>IF(Q1712="Sin Factura",0,IFERROR(_xlfn.XLOOKUP(1, (Facturas_Odoo!$D:$D=A1712) * (Facturas_Odoo!$K:$K=I1712), Facturas_Odoo!$N:$N, 0), 0))</f>
        <v/>
      </c>
      <c r="V1712" s="79">
        <f>IF(Q1712="Sin Factura",0,IFERROR(_xlfn.XLOOKUP(1, (Facturas_Odoo!$D:$D=A1712) * (Facturas_Odoo!$K:$K=I1712), Facturas_Odoo!$O:$O, 0), 0))</f>
        <v/>
      </c>
      <c r="W1712" s="81">
        <f>IF(Q1712="Sin Factura",0,IFERROR(_xlfn.XLOOKUP(1, (Facturas_Odoo!$D:$D=A1712) * (Facturas_Odoo!$K:$K=I1712), Facturas_Odoo!$Q:$Q, 0), 0))</f>
        <v/>
      </c>
      <c r="X1712" s="79">
        <f>IF(OR(Q1712="Sin Factura",Q1712=""),"",IFERROR(INDEX(Pagos_Odoo!$B:$B, MATCH(Q1712, Pagos_Odoo!$I:$I, 0)), "Sin Pago"))</f>
        <v/>
      </c>
      <c r="Y1712" s="79">
        <f>IF(X1712="Sin Pago","",IFERROR(INDEX(Pagos_Odoo!$C:$C, MATCH(X1712, Pagos_Odoo!$B:$B, 0)), ""))</f>
        <v/>
      </c>
      <c r="Z1712" s="80">
        <f>IF(X1712="Sin Pago","",IFERROR(INDEX(Pagos_Odoo!$A:$A, MATCH(X1712, Pagos_Odoo!$B:$B, 0)), ""))</f>
        <v/>
      </c>
      <c r="AA1712" s="79">
        <f>IF(X1712="Sin Pago","",IFERROR(INDEX(Pagos_Odoo!$F:$F, MATCH(X1712, Pagos_Odoo!$B:$B, 0)), ""))</f>
        <v/>
      </c>
      <c r="AB1712" s="81">
        <f>IF(X1712="Sin Pago",0,IFERROR(INDEX(Pagos_Odoo!$E:$E, MATCH(X1712, Pagos_Odoo!$B:$B, 0)), 0))</f>
        <v/>
      </c>
      <c r="AC1712" s="79">
        <f>IF(X1712="Sin Pago","",IFERROR(INDEX(Pagos_Odoo!$G:$G, MATCH(X1712, Pagos_Odoo!$B:$B, 0)), ""))</f>
        <v/>
      </c>
      <c r="AD1712" s="82" t="n">
        <v>0</v>
      </c>
      <c r="AE1712" s="82" t="n"/>
      <c r="AF1712" s="82" t="n"/>
      <c r="AG1712" s="82">
        <f>IF(AN1712="","",AD1712+AE1712+AF1712)</f>
        <v/>
      </c>
      <c r="AH1712" s="81">
        <f>IF(AN1712="","",P1712*(1-AG1712))</f>
        <v/>
      </c>
      <c r="AI1712" s="81">
        <f>IF(AN1712="","",IF(Q1712="Sin Factura",0,IFERROR(INDEX(Facturas_Odoo!$H:$H, MATCH(Q1712, Facturas_Odoo!$B:$B, 0)), 0)*(1-AG1712)))</f>
        <v/>
      </c>
      <c r="AJ1712" s="81">
        <f>IF(AN1712="","",_xlfn.LET(idVenta, AN1712&amp;"",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12" s="81">
        <f>IF(AN1712="","",AH1712-AJ1712)</f>
        <v/>
      </c>
      <c r="AL1712" s="81">
        <f>IF(AN1712="","",IF(Q1712="Sin Factura","",AI1712-AJ1712))</f>
        <v/>
      </c>
      <c r="AM1712" s="81">
        <f>IF(AN1712="","",IF(Q1712="Sin Factura",0,P1712-IFERROR(INDEX(Facturas_Odoo!$H:$H, MATCH(Q1712, Facturas_Odoo!$B:$B, 0)), 0)))</f>
        <v/>
      </c>
      <c r="AN1712" s="79">
        <f>IF(AND(A1712="", J1712=""), "", IF(A1712&lt;&gt;"", VALUE(MID(A1712,2,LEN(A1712))), AN1711))</f>
        <v/>
      </c>
      <c r="AO1712" s="79">
        <f>IF(AN1712="","",IF(AD1712=0,"OK",_xlfn.LET(monedaPago, IF(AA1712="","USD",AA1712), limitePermitido, IFERROR(VLOOKUP(monedaPago, Configuración!$A$2:$B$3, 2, FALSE), 0.15), IF(AD1712&gt;limitePermitido, "ALERTA: EXCESO (" &amp; TEXT(limitePermitido, "0%") &amp; " máx)", "OK"))))</f>
        <v/>
      </c>
      <c r="AP1712" s="79">
        <f>IF(AN1712="","",IF(AE1712=0,"OK",_xlfn.LET(fechaPago, Z1712, fechaFactura, R1712, diasCredito, IF(E1712="Pago inmediato", 0, IFERROR(VALUE(MID(E1712, 1, SEARCH(" ", E1712)-1)),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12" s="79">
        <f>IF(AN1712="","",IF(AND(N1712&gt;0, AG1712&gt;0), IF(Configuración!$K$2="NO", "ALERTA: DESCUENTO DOBLE NO PERMITIDO", "OK"), "OK"))</f>
        <v/>
      </c>
      <c r="AR1712" s="79">
        <f>IF(AN1712="","",IF(OR(AO1712&lt;&gt;"OK", AP1712&lt;&gt;"OK", AQ1712&lt;&gt;"OK"), "⚠️ REVISAR", "OK"))</f>
        <v/>
      </c>
    </row>
    <row r="1713">
      <c r="A1713" s="79">
        <f>IF('Ordenes_Odoo'!A1713="","",'Ordenes_Odoo'!A1713)</f>
        <v/>
      </c>
      <c r="B1713" s="80">
        <f>IF('Ordenes_Odoo'!B1713="","",'Ordenes_Odoo'!B1713)</f>
        <v/>
      </c>
      <c r="C1713" s="79">
        <f>IF('Ordenes_Odoo'!C1713="","",'Ordenes_Odoo'!C1713)</f>
        <v/>
      </c>
      <c r="D1713" s="79">
        <f>IF('Ordenes_Odoo'!D1713="","",'Ordenes_Odoo'!D1713)</f>
        <v/>
      </c>
      <c r="E1713" s="79">
        <f>IF('Ordenes_Odoo'!E1713="","",'Ordenes_Odoo'!E1713)</f>
        <v/>
      </c>
      <c r="F1713" s="79">
        <f>IF('Ordenes_Odoo'!F1713="","",'Ordenes_Odoo'!F1713)</f>
        <v/>
      </c>
      <c r="G1713" s="79">
        <f>IF('Ordenes_Odoo'!G1713="","",'Ordenes_Odoo'!G1713)</f>
        <v/>
      </c>
      <c r="H1713" s="79">
        <f>IF('Ordenes_Odoo'!H1713="","",'Ordenes_Odoo'!H1713)</f>
        <v/>
      </c>
      <c r="I1713" s="79">
        <f>IF('Ordenes_Odoo'!I1713="","",'Ordenes_Odoo'!I1713)</f>
        <v/>
      </c>
      <c r="J1713" s="79">
        <f>IF('Ordenes_Odoo'!J1713="","",'Ordenes_Odoo'!J1713)</f>
        <v/>
      </c>
      <c r="K1713" s="81">
        <f>IF('Ordenes_Odoo'!K1713="","",'Ordenes_Odoo'!K1713)</f>
        <v/>
      </c>
      <c r="L1713" s="81">
        <f>IF('Ordenes_Odoo'!L1713="","",'Ordenes_Odoo'!L1713)</f>
        <v/>
      </c>
      <c r="M1713" s="79">
        <f>IF('Ordenes_Odoo'!M1713="","",'Ordenes_Odoo'!M1713)</f>
        <v/>
      </c>
      <c r="N1713" s="79">
        <f>IF('Ordenes_Odoo'!N1713="","",'Ordenes_Odoo'!N1713)</f>
        <v/>
      </c>
      <c r="O1713" s="81">
        <f>IF('Ordenes_Odoo'!O1713="","",'Ordenes_Odoo'!O1713)</f>
        <v/>
      </c>
      <c r="P1713" s="81">
        <f>IF('Ordenes_Odoo'!P1713="","",'Ordenes_Odoo'!P1713)</f>
        <v/>
      </c>
      <c r="Q1713" s="79">
        <f>IF(A1713="","",IFERROR(INDEX(Facturas_Odoo!$B:$B, MATCH(A1713, Facturas_Odoo!$D:$D, 0)), "Sin Factura"))</f>
        <v/>
      </c>
      <c r="R1713" s="80">
        <f>IF(Q1713="Sin Factura","",IFERROR(INDEX(Facturas_Odoo!$A:$A, MATCH(Q1713, Facturas_Odoo!$B:$B, 0)), ""))</f>
        <v/>
      </c>
      <c r="S1713" s="79">
        <f>IF(Q1713="Sin Factura","",IFERROR(_xlfn.XLOOKUP(1, (Facturas_Odoo!$D:$D=A1713) * (Facturas_Odoo!$K:$K=I1713), Facturas_Odoo!$L:$L, ""), ""))</f>
        <v/>
      </c>
      <c r="T1713" s="81">
        <f>IF(Q1713="Sin Factura",0,IFERROR(_xlfn.XLOOKUP(1, (Facturas_Odoo!$D:$D=A1713) * (Facturas_Odoo!$K:$K=I1713), Facturas_Odoo!$M:$M, 0), 0))</f>
        <v/>
      </c>
      <c r="U1713" s="79">
        <f>IF(Q1713="Sin Factura",0,IFERROR(_xlfn.XLOOKUP(1, (Facturas_Odoo!$D:$D=A1713) * (Facturas_Odoo!$K:$K=I1713), Facturas_Odoo!$N:$N, 0), 0))</f>
        <v/>
      </c>
      <c r="V1713" s="79">
        <f>IF(Q1713="Sin Factura",0,IFERROR(_xlfn.XLOOKUP(1, (Facturas_Odoo!$D:$D=A1713) * (Facturas_Odoo!$K:$K=I1713), Facturas_Odoo!$O:$O, 0), 0))</f>
        <v/>
      </c>
      <c r="W1713" s="81">
        <f>IF(Q1713="Sin Factura",0,IFERROR(_xlfn.XLOOKUP(1, (Facturas_Odoo!$D:$D=A1713) * (Facturas_Odoo!$K:$K=I1713), Facturas_Odoo!$Q:$Q, 0), 0))</f>
        <v/>
      </c>
      <c r="X1713" s="79">
        <f>IF(OR(Q1713="Sin Factura",Q1713=""),"",IFERROR(INDEX(Pagos_Odoo!$B:$B, MATCH(Q1713, Pagos_Odoo!$I:$I, 0)), "Sin Pago"))</f>
        <v/>
      </c>
      <c r="Y1713" s="79">
        <f>IF(X1713="Sin Pago","",IFERROR(INDEX(Pagos_Odoo!$C:$C, MATCH(X1713, Pagos_Odoo!$B:$B, 0)), ""))</f>
        <v/>
      </c>
      <c r="Z1713" s="80">
        <f>IF(X1713="Sin Pago","",IFERROR(INDEX(Pagos_Odoo!$A:$A, MATCH(X1713, Pagos_Odoo!$B:$B, 0)), ""))</f>
        <v/>
      </c>
      <c r="AA1713" s="79">
        <f>IF(X1713="Sin Pago","",IFERROR(INDEX(Pagos_Odoo!$F:$F, MATCH(X1713, Pagos_Odoo!$B:$B, 0)), ""))</f>
        <v/>
      </c>
      <c r="AB1713" s="81">
        <f>IF(X1713="Sin Pago",0,IFERROR(INDEX(Pagos_Odoo!$E:$E, MATCH(X1713, Pagos_Odoo!$B:$B, 0)), 0))</f>
        <v/>
      </c>
      <c r="AC1713" s="79">
        <f>IF(X1713="Sin Pago","",IFERROR(INDEX(Pagos_Odoo!$G:$G, MATCH(X1713, Pagos_Odoo!$B:$B, 0)), ""))</f>
        <v/>
      </c>
      <c r="AD1713" s="82" t="n">
        <v>0</v>
      </c>
      <c r="AE1713" s="82" t="n"/>
      <c r="AF1713" s="82" t="n"/>
      <c r="AG1713" s="82">
        <f>IF(AN1713="","",AD1713+AE1713+AF1713)</f>
        <v/>
      </c>
      <c r="AH1713" s="81">
        <f>IF(AN1713="","",P1713*(1-AG1713))</f>
        <v/>
      </c>
      <c r="AI1713" s="81">
        <f>IF(AN1713="","",IF(Q1713="Sin Factura",0,IFERROR(INDEX(Facturas_Odoo!$H:$H, MATCH(Q1713, Facturas_Odoo!$B:$B, 0)), 0)*(1-AG1713)))</f>
        <v/>
      </c>
      <c r="AJ1713" s="81">
        <f>IF(AN1713="","",_xlfn.LET(idVenta, AN1713&amp;"",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13" s="81">
        <f>IF(AN1713="","",AH1713-AJ1713)</f>
        <v/>
      </c>
      <c r="AL1713" s="81">
        <f>IF(AN1713="","",IF(Q1713="Sin Factura","",AI1713-AJ1713))</f>
        <v/>
      </c>
      <c r="AM1713" s="81">
        <f>IF(AN1713="","",IF(Q1713="Sin Factura",0,P1713-IFERROR(INDEX(Facturas_Odoo!$H:$H, MATCH(Q1713, Facturas_Odoo!$B:$B, 0)), 0)))</f>
        <v/>
      </c>
      <c r="AN1713" s="79">
        <f>IF(AND(A1713="", J1713=""), "", IF(A1713&lt;&gt;"", VALUE(MID(A1713,2,LEN(A1713))), AN1712))</f>
        <v/>
      </c>
      <c r="AO1713" s="79">
        <f>IF(AN1713="","",IF(AD1713=0,"OK",_xlfn.LET(monedaPago, IF(AA1713="","USD",AA1713), limitePermitido, IFERROR(VLOOKUP(monedaPago, Configuración!$A$2:$B$3, 2, FALSE), 0.15), IF(AD1713&gt;limitePermitido, "ALERTA: EXCESO (" &amp; TEXT(limitePermitido, "0%") &amp; " máx)", "OK"))))</f>
        <v/>
      </c>
      <c r="AP1713" s="79">
        <f>IF(AN1713="","",IF(AE1713=0,"OK",_xlfn.LET(fechaPago, Z1713, fechaFactura, R1713, diasCredito, IF(E1713="Pago inmediato", 0, IFERROR(VALUE(MID(E1713, 1, SEARCH(" ", E1713)-1)),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13" s="79">
        <f>IF(AN1713="","",IF(AND(N1713&gt;0, AG1713&gt;0), IF(Configuración!$K$2="NO", "ALERTA: DESCUENTO DOBLE NO PERMITIDO", "OK"), "OK"))</f>
        <v/>
      </c>
      <c r="AR1713" s="79">
        <f>IF(AN1713="","",IF(OR(AO1713&lt;&gt;"OK", AP1713&lt;&gt;"OK", AQ1713&lt;&gt;"OK"), "⚠️ REVISAR", "OK"))</f>
        <v/>
      </c>
    </row>
    <row r="1714">
      <c r="A1714" s="79">
        <f>IF('Ordenes_Odoo'!A1714="","",'Ordenes_Odoo'!A1714)</f>
        <v/>
      </c>
      <c r="B1714" s="80">
        <f>IF('Ordenes_Odoo'!B1714="","",'Ordenes_Odoo'!B1714)</f>
        <v/>
      </c>
      <c r="C1714" s="79">
        <f>IF('Ordenes_Odoo'!C1714="","",'Ordenes_Odoo'!C1714)</f>
        <v/>
      </c>
      <c r="D1714" s="79">
        <f>IF('Ordenes_Odoo'!D1714="","",'Ordenes_Odoo'!D1714)</f>
        <v/>
      </c>
      <c r="E1714" s="79">
        <f>IF('Ordenes_Odoo'!E1714="","",'Ordenes_Odoo'!E1714)</f>
        <v/>
      </c>
      <c r="F1714" s="79">
        <f>IF('Ordenes_Odoo'!F1714="","",'Ordenes_Odoo'!F1714)</f>
        <v/>
      </c>
      <c r="G1714" s="79">
        <f>IF('Ordenes_Odoo'!G1714="","",'Ordenes_Odoo'!G1714)</f>
        <v/>
      </c>
      <c r="H1714" s="79">
        <f>IF('Ordenes_Odoo'!H1714="","",'Ordenes_Odoo'!H1714)</f>
        <v/>
      </c>
      <c r="I1714" s="79">
        <f>IF('Ordenes_Odoo'!I1714="","",'Ordenes_Odoo'!I1714)</f>
        <v/>
      </c>
      <c r="J1714" s="79">
        <f>IF('Ordenes_Odoo'!J1714="","",'Ordenes_Odoo'!J1714)</f>
        <v/>
      </c>
      <c r="K1714" s="81">
        <f>IF('Ordenes_Odoo'!K1714="","",'Ordenes_Odoo'!K1714)</f>
        <v/>
      </c>
      <c r="L1714" s="81">
        <f>IF('Ordenes_Odoo'!L1714="","",'Ordenes_Odoo'!L1714)</f>
        <v/>
      </c>
      <c r="M1714" s="79">
        <f>IF('Ordenes_Odoo'!M1714="","",'Ordenes_Odoo'!M1714)</f>
        <v/>
      </c>
      <c r="N1714" s="79">
        <f>IF('Ordenes_Odoo'!N1714="","",'Ordenes_Odoo'!N1714)</f>
        <v/>
      </c>
      <c r="O1714" s="81">
        <f>IF('Ordenes_Odoo'!O1714="","",'Ordenes_Odoo'!O1714)</f>
        <v/>
      </c>
      <c r="P1714" s="81">
        <f>IF('Ordenes_Odoo'!P1714="","",'Ordenes_Odoo'!P1714)</f>
        <v/>
      </c>
      <c r="Q1714" s="79">
        <f>IF(A1714="","",IFERROR(INDEX(Facturas_Odoo!$B:$B, MATCH(A1714, Facturas_Odoo!$D:$D, 0)), "Sin Factura"))</f>
        <v/>
      </c>
      <c r="R1714" s="80">
        <f>IF(Q1714="Sin Factura","",IFERROR(INDEX(Facturas_Odoo!$A:$A, MATCH(Q1714, Facturas_Odoo!$B:$B, 0)), ""))</f>
        <v/>
      </c>
      <c r="S1714" s="79">
        <f>IF(Q1714="Sin Factura","",IFERROR(_xlfn.XLOOKUP(1, (Facturas_Odoo!$D:$D=A1714) * (Facturas_Odoo!$K:$K=I1714), Facturas_Odoo!$L:$L, ""), ""))</f>
        <v/>
      </c>
      <c r="T1714" s="81">
        <f>IF(Q1714="Sin Factura",0,IFERROR(_xlfn.XLOOKUP(1, (Facturas_Odoo!$D:$D=A1714) * (Facturas_Odoo!$K:$K=I1714), Facturas_Odoo!$M:$M, 0), 0))</f>
        <v/>
      </c>
      <c r="U1714" s="79">
        <f>IF(Q1714="Sin Factura",0,IFERROR(_xlfn.XLOOKUP(1, (Facturas_Odoo!$D:$D=A1714) * (Facturas_Odoo!$K:$K=I1714), Facturas_Odoo!$N:$N, 0), 0))</f>
        <v/>
      </c>
      <c r="V1714" s="79">
        <f>IF(Q1714="Sin Factura",0,IFERROR(_xlfn.XLOOKUP(1, (Facturas_Odoo!$D:$D=A1714) * (Facturas_Odoo!$K:$K=I1714), Facturas_Odoo!$O:$O, 0), 0))</f>
        <v/>
      </c>
      <c r="W1714" s="81">
        <f>IF(Q1714="Sin Factura",0,IFERROR(_xlfn.XLOOKUP(1, (Facturas_Odoo!$D:$D=A1714) * (Facturas_Odoo!$K:$K=I1714), Facturas_Odoo!$Q:$Q, 0), 0))</f>
        <v/>
      </c>
      <c r="X1714" s="79">
        <f>IF(OR(Q1714="Sin Factura",Q1714=""),"",IFERROR(INDEX(Pagos_Odoo!$B:$B, MATCH(Q1714, Pagos_Odoo!$I:$I, 0)), "Sin Pago"))</f>
        <v/>
      </c>
      <c r="Y1714" s="79">
        <f>IF(X1714="Sin Pago","",IFERROR(INDEX(Pagos_Odoo!$C:$C, MATCH(X1714, Pagos_Odoo!$B:$B, 0)), ""))</f>
        <v/>
      </c>
      <c r="Z1714" s="80">
        <f>IF(X1714="Sin Pago","",IFERROR(INDEX(Pagos_Odoo!$A:$A, MATCH(X1714, Pagos_Odoo!$B:$B, 0)), ""))</f>
        <v/>
      </c>
      <c r="AA1714" s="79">
        <f>IF(X1714="Sin Pago","",IFERROR(INDEX(Pagos_Odoo!$F:$F, MATCH(X1714, Pagos_Odoo!$B:$B, 0)), ""))</f>
        <v/>
      </c>
      <c r="AB1714" s="81">
        <f>IF(X1714="Sin Pago",0,IFERROR(INDEX(Pagos_Odoo!$E:$E, MATCH(X1714, Pagos_Odoo!$B:$B, 0)), 0))</f>
        <v/>
      </c>
      <c r="AC1714" s="79">
        <f>IF(X1714="Sin Pago","",IFERROR(INDEX(Pagos_Odoo!$G:$G, MATCH(X1714, Pagos_Odoo!$B:$B, 0)), ""))</f>
        <v/>
      </c>
      <c r="AD1714" s="82" t="n">
        <v>0</v>
      </c>
      <c r="AE1714" s="82" t="n"/>
      <c r="AF1714" s="82" t="n"/>
      <c r="AG1714" s="82">
        <f>IF(AN1714="","",AD1714+AE1714+AF1714)</f>
        <v/>
      </c>
      <c r="AH1714" s="81">
        <f>IF(AN1714="","",P1714*(1-AG1714))</f>
        <v/>
      </c>
      <c r="AI1714" s="81">
        <f>IF(AN1714="","",IF(Q1714="Sin Factura",0,IFERROR(INDEX(Facturas_Odoo!$H:$H, MATCH(Q1714, Facturas_Odoo!$B:$B, 0)), 0)*(1-AG1714)))</f>
        <v/>
      </c>
      <c r="AJ1714" s="81">
        <f>IF(AN1714="","",_xlfn.LET(idVenta, AN1714&amp;"",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14" s="81">
        <f>IF(AN1714="","",AH1714-AJ1714)</f>
        <v/>
      </c>
      <c r="AL1714" s="81">
        <f>IF(AN1714="","",IF(Q1714="Sin Factura","",AI1714-AJ1714))</f>
        <v/>
      </c>
      <c r="AM1714" s="81">
        <f>IF(AN1714="","",IF(Q1714="Sin Factura",0,P1714-IFERROR(INDEX(Facturas_Odoo!$H:$H, MATCH(Q1714, Facturas_Odoo!$B:$B, 0)), 0)))</f>
        <v/>
      </c>
      <c r="AN1714" s="79">
        <f>IF(AND(A1714="", J1714=""), "", IF(A1714&lt;&gt;"", VALUE(MID(A1714,2,LEN(A1714))), AN1713))</f>
        <v/>
      </c>
      <c r="AO1714" s="79">
        <f>IF(AN1714="","",IF(AD1714=0,"OK",_xlfn.LET(monedaPago, IF(AA1714="","USD",AA1714), limitePermitido, IFERROR(VLOOKUP(monedaPago, Configuración!$A$2:$B$3, 2, FALSE), 0.15), IF(AD1714&gt;limitePermitido, "ALERTA: EXCESO (" &amp; TEXT(limitePermitido, "0%") &amp; " máx)", "OK"))))</f>
        <v/>
      </c>
      <c r="AP1714" s="79">
        <f>IF(AN1714="","",IF(AE1714=0,"OK",_xlfn.LET(fechaPago, Z1714, fechaFactura, R1714, diasCredito, IF(E1714="Pago inmediato", 0, IFERROR(VALUE(MID(E1714, 1, SEARCH(" ", E1714)-1)),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14" s="79">
        <f>IF(AN1714="","",IF(AND(N1714&gt;0, AG1714&gt;0), IF(Configuración!$K$2="NO", "ALERTA: DESCUENTO DOBLE NO PERMITIDO", "OK"), "OK"))</f>
        <v/>
      </c>
      <c r="AR1714" s="79">
        <f>IF(AN1714="","",IF(OR(AO1714&lt;&gt;"OK", AP1714&lt;&gt;"OK", AQ1714&lt;&gt;"OK"), "⚠️ REVISAR", "OK"))</f>
        <v/>
      </c>
    </row>
    <row r="1715">
      <c r="A1715" s="79">
        <f>IF('Ordenes_Odoo'!A1715="","",'Ordenes_Odoo'!A1715)</f>
        <v/>
      </c>
      <c r="B1715" s="80">
        <f>IF('Ordenes_Odoo'!B1715="","",'Ordenes_Odoo'!B1715)</f>
        <v/>
      </c>
      <c r="C1715" s="79">
        <f>IF('Ordenes_Odoo'!C1715="","",'Ordenes_Odoo'!C1715)</f>
        <v/>
      </c>
      <c r="D1715" s="79">
        <f>IF('Ordenes_Odoo'!D1715="","",'Ordenes_Odoo'!D1715)</f>
        <v/>
      </c>
      <c r="E1715" s="79">
        <f>IF('Ordenes_Odoo'!E1715="","",'Ordenes_Odoo'!E1715)</f>
        <v/>
      </c>
      <c r="F1715" s="79">
        <f>IF('Ordenes_Odoo'!F1715="","",'Ordenes_Odoo'!F1715)</f>
        <v/>
      </c>
      <c r="G1715" s="79">
        <f>IF('Ordenes_Odoo'!G1715="","",'Ordenes_Odoo'!G1715)</f>
        <v/>
      </c>
      <c r="H1715" s="79">
        <f>IF('Ordenes_Odoo'!H1715="","",'Ordenes_Odoo'!H1715)</f>
        <v/>
      </c>
      <c r="I1715" s="79">
        <f>IF('Ordenes_Odoo'!I1715="","",'Ordenes_Odoo'!I1715)</f>
        <v/>
      </c>
      <c r="J1715" s="79">
        <f>IF('Ordenes_Odoo'!J1715="","",'Ordenes_Odoo'!J1715)</f>
        <v/>
      </c>
      <c r="K1715" s="81">
        <f>IF('Ordenes_Odoo'!K1715="","",'Ordenes_Odoo'!K1715)</f>
        <v/>
      </c>
      <c r="L1715" s="81">
        <f>IF('Ordenes_Odoo'!L1715="","",'Ordenes_Odoo'!L1715)</f>
        <v/>
      </c>
      <c r="M1715" s="79">
        <f>IF('Ordenes_Odoo'!M1715="","",'Ordenes_Odoo'!M1715)</f>
        <v/>
      </c>
      <c r="N1715" s="79">
        <f>IF('Ordenes_Odoo'!N1715="","",'Ordenes_Odoo'!N1715)</f>
        <v/>
      </c>
      <c r="O1715" s="81">
        <f>IF('Ordenes_Odoo'!O1715="","",'Ordenes_Odoo'!O1715)</f>
        <v/>
      </c>
      <c r="P1715" s="81">
        <f>IF('Ordenes_Odoo'!P1715="","",'Ordenes_Odoo'!P1715)</f>
        <v/>
      </c>
      <c r="Q1715" s="79">
        <f>IF(A1715="","",IFERROR(INDEX(Facturas_Odoo!$B:$B, MATCH(A1715, Facturas_Odoo!$D:$D, 0)), "Sin Factura"))</f>
        <v/>
      </c>
      <c r="R1715" s="80">
        <f>IF(Q1715="Sin Factura","",IFERROR(INDEX(Facturas_Odoo!$A:$A, MATCH(Q1715, Facturas_Odoo!$B:$B, 0)), ""))</f>
        <v/>
      </c>
      <c r="S1715" s="79">
        <f>IF(Q1715="Sin Factura","",IFERROR(_xlfn.XLOOKUP(1, (Facturas_Odoo!$D:$D=A1715) * (Facturas_Odoo!$K:$K=I1715), Facturas_Odoo!$L:$L, ""), ""))</f>
        <v/>
      </c>
      <c r="T1715" s="81">
        <f>IF(Q1715="Sin Factura",0,IFERROR(_xlfn.XLOOKUP(1, (Facturas_Odoo!$D:$D=A1715) * (Facturas_Odoo!$K:$K=I1715), Facturas_Odoo!$M:$M, 0), 0))</f>
        <v/>
      </c>
      <c r="U1715" s="79">
        <f>IF(Q1715="Sin Factura",0,IFERROR(_xlfn.XLOOKUP(1, (Facturas_Odoo!$D:$D=A1715) * (Facturas_Odoo!$K:$K=I1715), Facturas_Odoo!$N:$N, 0), 0))</f>
        <v/>
      </c>
      <c r="V1715" s="79">
        <f>IF(Q1715="Sin Factura",0,IFERROR(_xlfn.XLOOKUP(1, (Facturas_Odoo!$D:$D=A1715) * (Facturas_Odoo!$K:$K=I1715), Facturas_Odoo!$O:$O, 0), 0))</f>
        <v/>
      </c>
      <c r="W1715" s="81">
        <f>IF(Q1715="Sin Factura",0,IFERROR(_xlfn.XLOOKUP(1, (Facturas_Odoo!$D:$D=A1715) * (Facturas_Odoo!$K:$K=I1715), Facturas_Odoo!$Q:$Q, 0), 0))</f>
        <v/>
      </c>
      <c r="X1715" s="79">
        <f>IF(OR(Q1715="Sin Factura",Q1715=""),"",IFERROR(INDEX(Pagos_Odoo!$B:$B, MATCH(Q1715, Pagos_Odoo!$I:$I, 0)), "Sin Pago"))</f>
        <v/>
      </c>
      <c r="Y1715" s="79">
        <f>IF(X1715="Sin Pago","",IFERROR(INDEX(Pagos_Odoo!$C:$C, MATCH(X1715, Pagos_Odoo!$B:$B, 0)), ""))</f>
        <v/>
      </c>
      <c r="Z1715" s="80">
        <f>IF(X1715="Sin Pago","",IFERROR(INDEX(Pagos_Odoo!$A:$A, MATCH(X1715, Pagos_Odoo!$B:$B, 0)), ""))</f>
        <v/>
      </c>
      <c r="AA1715" s="79">
        <f>IF(X1715="Sin Pago","",IFERROR(INDEX(Pagos_Odoo!$F:$F, MATCH(X1715, Pagos_Odoo!$B:$B, 0)), ""))</f>
        <v/>
      </c>
      <c r="AB1715" s="81">
        <f>IF(X1715="Sin Pago",0,IFERROR(INDEX(Pagos_Odoo!$E:$E, MATCH(X1715, Pagos_Odoo!$B:$B, 0)), 0))</f>
        <v/>
      </c>
      <c r="AC1715" s="79">
        <f>IF(X1715="Sin Pago","",IFERROR(INDEX(Pagos_Odoo!$G:$G, MATCH(X1715, Pagos_Odoo!$B:$B, 0)), ""))</f>
        <v/>
      </c>
      <c r="AD1715" s="82" t="n">
        <v>0</v>
      </c>
      <c r="AE1715" s="82" t="n"/>
      <c r="AF1715" s="82" t="n"/>
      <c r="AG1715" s="82">
        <f>IF(AN1715="","",AD1715+AE1715+AF1715)</f>
        <v/>
      </c>
      <c r="AH1715" s="81">
        <f>IF(AN1715="","",P1715*(1-AG1715))</f>
        <v/>
      </c>
      <c r="AI1715" s="81">
        <f>IF(AN1715="","",IF(Q1715="Sin Factura",0,IFERROR(INDEX(Facturas_Odoo!$H:$H, MATCH(Q1715, Facturas_Odoo!$B:$B, 0)), 0)*(1-AG1715)))</f>
        <v/>
      </c>
      <c r="AJ1715" s="81">
        <f>IF(AN1715="","",_xlfn.LET(idVenta, AN1715&amp;"",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15" s="81">
        <f>IF(AN1715="","",AH1715-AJ1715)</f>
        <v/>
      </c>
      <c r="AL1715" s="81">
        <f>IF(AN1715="","",IF(Q1715="Sin Factura","",AI1715-AJ1715))</f>
        <v/>
      </c>
      <c r="AM1715" s="81">
        <f>IF(AN1715="","",IF(Q1715="Sin Factura",0,P1715-IFERROR(INDEX(Facturas_Odoo!$H:$H, MATCH(Q1715, Facturas_Odoo!$B:$B, 0)), 0)))</f>
        <v/>
      </c>
      <c r="AN1715" s="79">
        <f>IF(AND(A1715="", J1715=""), "", IF(A1715&lt;&gt;"", VALUE(MID(A1715,2,LEN(A1715))), AN1714))</f>
        <v/>
      </c>
      <c r="AO1715" s="79">
        <f>IF(AN1715="","",IF(AD1715=0,"OK",_xlfn.LET(monedaPago, IF(AA1715="","USD",AA1715), limitePermitido, IFERROR(VLOOKUP(monedaPago, Configuración!$A$2:$B$3, 2, FALSE), 0.15), IF(AD1715&gt;limitePermitido, "ALERTA: EXCESO (" &amp; TEXT(limitePermitido, "0%") &amp; " máx)", "OK"))))</f>
        <v/>
      </c>
      <c r="AP1715" s="79">
        <f>IF(AN1715="","",IF(AE1715=0,"OK",_xlfn.LET(fechaPago, Z1715, fechaFactura, R1715, diasCredito, IF(E1715="Pago inmediato", 0, IFERROR(VALUE(MID(E1715, 1, SEARCH(" ", E1715)-1)),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15" s="79">
        <f>IF(AN1715="","",IF(AND(N1715&gt;0, AG1715&gt;0), IF(Configuración!$K$2="NO", "ALERTA: DESCUENTO DOBLE NO PERMITIDO", "OK"), "OK"))</f>
        <v/>
      </c>
      <c r="AR1715" s="79">
        <f>IF(AN1715="","",IF(OR(AO1715&lt;&gt;"OK", AP1715&lt;&gt;"OK", AQ1715&lt;&gt;"OK"), "⚠️ REVISAR", "OK"))</f>
        <v/>
      </c>
    </row>
    <row r="1716">
      <c r="A1716" s="79">
        <f>IF('Ordenes_Odoo'!A1716="","",'Ordenes_Odoo'!A1716)</f>
        <v/>
      </c>
      <c r="B1716" s="80">
        <f>IF('Ordenes_Odoo'!B1716="","",'Ordenes_Odoo'!B1716)</f>
        <v/>
      </c>
      <c r="C1716" s="79">
        <f>IF('Ordenes_Odoo'!C1716="","",'Ordenes_Odoo'!C1716)</f>
        <v/>
      </c>
      <c r="D1716" s="79">
        <f>IF('Ordenes_Odoo'!D1716="","",'Ordenes_Odoo'!D1716)</f>
        <v/>
      </c>
      <c r="E1716" s="79">
        <f>IF('Ordenes_Odoo'!E1716="","",'Ordenes_Odoo'!E1716)</f>
        <v/>
      </c>
      <c r="F1716" s="79">
        <f>IF('Ordenes_Odoo'!F1716="","",'Ordenes_Odoo'!F1716)</f>
        <v/>
      </c>
      <c r="G1716" s="79">
        <f>IF('Ordenes_Odoo'!G1716="","",'Ordenes_Odoo'!G1716)</f>
        <v/>
      </c>
      <c r="H1716" s="79">
        <f>IF('Ordenes_Odoo'!H1716="","",'Ordenes_Odoo'!H1716)</f>
        <v/>
      </c>
      <c r="I1716" s="79">
        <f>IF('Ordenes_Odoo'!I1716="","",'Ordenes_Odoo'!I1716)</f>
        <v/>
      </c>
      <c r="J1716" s="79">
        <f>IF('Ordenes_Odoo'!J1716="","",'Ordenes_Odoo'!J1716)</f>
        <v/>
      </c>
      <c r="K1716" s="81">
        <f>IF('Ordenes_Odoo'!K1716="","",'Ordenes_Odoo'!K1716)</f>
        <v/>
      </c>
      <c r="L1716" s="81">
        <f>IF('Ordenes_Odoo'!L1716="","",'Ordenes_Odoo'!L1716)</f>
        <v/>
      </c>
      <c r="M1716" s="79">
        <f>IF('Ordenes_Odoo'!M1716="","",'Ordenes_Odoo'!M1716)</f>
        <v/>
      </c>
      <c r="N1716" s="79">
        <f>IF('Ordenes_Odoo'!N1716="","",'Ordenes_Odoo'!N1716)</f>
        <v/>
      </c>
      <c r="O1716" s="81">
        <f>IF('Ordenes_Odoo'!O1716="","",'Ordenes_Odoo'!O1716)</f>
        <v/>
      </c>
      <c r="P1716" s="81">
        <f>IF('Ordenes_Odoo'!P1716="","",'Ordenes_Odoo'!P1716)</f>
        <v/>
      </c>
      <c r="Q1716" s="79">
        <f>IF(A1716="","",IFERROR(INDEX(Facturas_Odoo!$B:$B, MATCH(A1716, Facturas_Odoo!$D:$D, 0)), "Sin Factura"))</f>
        <v/>
      </c>
      <c r="R1716" s="80">
        <f>IF(Q1716="Sin Factura","",IFERROR(INDEX(Facturas_Odoo!$A:$A, MATCH(Q1716, Facturas_Odoo!$B:$B, 0)), ""))</f>
        <v/>
      </c>
      <c r="S1716" s="79">
        <f>IF(Q1716="Sin Factura","",IFERROR(_xlfn.XLOOKUP(1, (Facturas_Odoo!$D:$D=A1716) * (Facturas_Odoo!$K:$K=I1716), Facturas_Odoo!$L:$L, ""), ""))</f>
        <v/>
      </c>
      <c r="T1716" s="81">
        <f>IF(Q1716="Sin Factura",0,IFERROR(_xlfn.XLOOKUP(1, (Facturas_Odoo!$D:$D=A1716) * (Facturas_Odoo!$K:$K=I1716), Facturas_Odoo!$M:$M, 0), 0))</f>
        <v/>
      </c>
      <c r="U1716" s="79">
        <f>IF(Q1716="Sin Factura",0,IFERROR(_xlfn.XLOOKUP(1, (Facturas_Odoo!$D:$D=A1716) * (Facturas_Odoo!$K:$K=I1716), Facturas_Odoo!$N:$N, 0), 0))</f>
        <v/>
      </c>
      <c r="V1716" s="79">
        <f>IF(Q1716="Sin Factura",0,IFERROR(_xlfn.XLOOKUP(1, (Facturas_Odoo!$D:$D=A1716) * (Facturas_Odoo!$K:$K=I1716), Facturas_Odoo!$O:$O, 0), 0))</f>
        <v/>
      </c>
      <c r="W1716" s="81">
        <f>IF(Q1716="Sin Factura",0,IFERROR(_xlfn.XLOOKUP(1, (Facturas_Odoo!$D:$D=A1716) * (Facturas_Odoo!$K:$K=I1716), Facturas_Odoo!$Q:$Q, 0), 0))</f>
        <v/>
      </c>
      <c r="X1716" s="79">
        <f>IF(OR(Q1716="Sin Factura",Q1716=""),"",IFERROR(INDEX(Pagos_Odoo!$B:$B, MATCH(Q1716, Pagos_Odoo!$I:$I, 0)), "Sin Pago"))</f>
        <v/>
      </c>
      <c r="Y1716" s="79">
        <f>IF(X1716="Sin Pago","",IFERROR(INDEX(Pagos_Odoo!$C:$C, MATCH(X1716, Pagos_Odoo!$B:$B, 0)), ""))</f>
        <v/>
      </c>
      <c r="Z1716" s="80">
        <f>IF(X1716="Sin Pago","",IFERROR(INDEX(Pagos_Odoo!$A:$A, MATCH(X1716, Pagos_Odoo!$B:$B, 0)), ""))</f>
        <v/>
      </c>
      <c r="AA1716" s="79">
        <f>IF(X1716="Sin Pago","",IFERROR(INDEX(Pagos_Odoo!$F:$F, MATCH(X1716, Pagos_Odoo!$B:$B, 0)), ""))</f>
        <v/>
      </c>
      <c r="AB1716" s="81">
        <f>IF(X1716="Sin Pago",0,IFERROR(INDEX(Pagos_Odoo!$E:$E, MATCH(X1716, Pagos_Odoo!$B:$B, 0)), 0))</f>
        <v/>
      </c>
      <c r="AC1716" s="79">
        <f>IF(X1716="Sin Pago","",IFERROR(INDEX(Pagos_Odoo!$G:$G, MATCH(X1716, Pagos_Odoo!$B:$B, 0)), ""))</f>
        <v/>
      </c>
      <c r="AD1716" s="82" t="n">
        <v>0</v>
      </c>
      <c r="AE1716" s="82" t="n"/>
      <c r="AF1716" s="82" t="n"/>
      <c r="AG1716" s="82">
        <f>IF(AN1716="","",AD1716+AE1716+AF1716)</f>
        <v/>
      </c>
      <c r="AH1716" s="81">
        <f>IF(AN1716="","",P1716*(1-AG1716))</f>
        <v/>
      </c>
      <c r="AI1716" s="81">
        <f>IF(AN1716="","",IF(Q1716="Sin Factura",0,IFERROR(INDEX(Facturas_Odoo!$H:$H, MATCH(Q1716, Facturas_Odoo!$B:$B, 0)), 0)*(1-AG1716)))</f>
        <v/>
      </c>
      <c r="AJ1716" s="81">
        <f>IF(AN1716="","",_xlfn.LET(idVenta, AN1716&amp;"",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16" s="81">
        <f>IF(AN1716="","",AH1716-AJ1716)</f>
        <v/>
      </c>
      <c r="AL1716" s="81">
        <f>IF(AN1716="","",IF(Q1716="Sin Factura","",AI1716-AJ1716))</f>
        <v/>
      </c>
      <c r="AM1716" s="81">
        <f>IF(AN1716="","",IF(Q1716="Sin Factura",0,P1716-IFERROR(INDEX(Facturas_Odoo!$H:$H, MATCH(Q1716, Facturas_Odoo!$B:$B, 0)), 0)))</f>
        <v/>
      </c>
      <c r="AN1716" s="79">
        <f>IF(AND(A1716="", J1716=""), "", IF(A1716&lt;&gt;"", VALUE(MID(A1716,2,LEN(A1716))), AN1715))</f>
        <v/>
      </c>
      <c r="AO1716" s="79">
        <f>IF(AN1716="","",IF(AD1716=0,"OK",_xlfn.LET(monedaPago, IF(AA1716="","USD",AA1716), limitePermitido, IFERROR(VLOOKUP(monedaPago, Configuración!$A$2:$B$3, 2, FALSE), 0.15), IF(AD1716&gt;limitePermitido, "ALERTA: EXCESO (" &amp; TEXT(limitePermitido, "0%") &amp; " máx)", "OK"))))</f>
        <v/>
      </c>
      <c r="AP1716" s="79">
        <f>IF(AN1716="","",IF(AE1716=0,"OK",_xlfn.LET(fechaPago, Z1716, fechaFactura, R1716, diasCredito, IF(E1716="Pago inmediato", 0, IFERROR(VALUE(MID(E1716, 1, SEARCH(" ", E1716)-1)),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16" s="79">
        <f>IF(AN1716="","",IF(AND(N1716&gt;0, AG1716&gt;0), IF(Configuración!$K$2="NO", "ALERTA: DESCUENTO DOBLE NO PERMITIDO", "OK"), "OK"))</f>
        <v/>
      </c>
      <c r="AR1716" s="79">
        <f>IF(AN1716="","",IF(OR(AO1716&lt;&gt;"OK", AP1716&lt;&gt;"OK", AQ1716&lt;&gt;"OK"), "⚠️ REVISAR", "OK"))</f>
        <v/>
      </c>
    </row>
    <row r="1717">
      <c r="A1717" s="79">
        <f>IF('Ordenes_Odoo'!A1717="","",'Ordenes_Odoo'!A1717)</f>
        <v/>
      </c>
      <c r="B1717" s="80">
        <f>IF('Ordenes_Odoo'!B1717="","",'Ordenes_Odoo'!B1717)</f>
        <v/>
      </c>
      <c r="C1717" s="79">
        <f>IF('Ordenes_Odoo'!C1717="","",'Ordenes_Odoo'!C1717)</f>
        <v/>
      </c>
      <c r="D1717" s="79">
        <f>IF('Ordenes_Odoo'!D1717="","",'Ordenes_Odoo'!D1717)</f>
        <v/>
      </c>
      <c r="E1717" s="79">
        <f>IF('Ordenes_Odoo'!E1717="","",'Ordenes_Odoo'!E1717)</f>
        <v/>
      </c>
      <c r="F1717" s="79">
        <f>IF('Ordenes_Odoo'!F1717="","",'Ordenes_Odoo'!F1717)</f>
        <v/>
      </c>
      <c r="G1717" s="79">
        <f>IF('Ordenes_Odoo'!G1717="","",'Ordenes_Odoo'!G1717)</f>
        <v/>
      </c>
      <c r="H1717" s="79">
        <f>IF('Ordenes_Odoo'!H1717="","",'Ordenes_Odoo'!H1717)</f>
        <v/>
      </c>
      <c r="I1717" s="79">
        <f>IF('Ordenes_Odoo'!I1717="","",'Ordenes_Odoo'!I1717)</f>
        <v/>
      </c>
      <c r="J1717" s="79">
        <f>IF('Ordenes_Odoo'!J1717="","",'Ordenes_Odoo'!J1717)</f>
        <v/>
      </c>
      <c r="K1717" s="81">
        <f>IF('Ordenes_Odoo'!K1717="","",'Ordenes_Odoo'!K1717)</f>
        <v/>
      </c>
      <c r="L1717" s="81">
        <f>IF('Ordenes_Odoo'!L1717="","",'Ordenes_Odoo'!L1717)</f>
        <v/>
      </c>
      <c r="M1717" s="79">
        <f>IF('Ordenes_Odoo'!M1717="","",'Ordenes_Odoo'!M1717)</f>
        <v/>
      </c>
      <c r="N1717" s="79">
        <f>IF('Ordenes_Odoo'!N1717="","",'Ordenes_Odoo'!N1717)</f>
        <v/>
      </c>
      <c r="O1717" s="81">
        <f>IF('Ordenes_Odoo'!O1717="","",'Ordenes_Odoo'!O1717)</f>
        <v/>
      </c>
      <c r="P1717" s="81">
        <f>IF('Ordenes_Odoo'!P1717="","",'Ordenes_Odoo'!P1717)</f>
        <v/>
      </c>
      <c r="Q1717" s="79">
        <f>IF(A1717="","",IFERROR(INDEX(Facturas_Odoo!$B:$B, MATCH(A1717, Facturas_Odoo!$D:$D, 0)), "Sin Factura"))</f>
        <v/>
      </c>
      <c r="R1717" s="80">
        <f>IF(Q1717="Sin Factura","",IFERROR(INDEX(Facturas_Odoo!$A:$A, MATCH(Q1717, Facturas_Odoo!$B:$B, 0)), ""))</f>
        <v/>
      </c>
      <c r="S1717" s="79">
        <f>IF(Q1717="Sin Factura","",IFERROR(_xlfn.XLOOKUP(1, (Facturas_Odoo!$D:$D=A1717) * (Facturas_Odoo!$K:$K=I1717), Facturas_Odoo!$L:$L, ""), ""))</f>
        <v/>
      </c>
      <c r="T1717" s="81">
        <f>IF(Q1717="Sin Factura",0,IFERROR(_xlfn.XLOOKUP(1, (Facturas_Odoo!$D:$D=A1717) * (Facturas_Odoo!$K:$K=I1717), Facturas_Odoo!$M:$M, 0), 0))</f>
        <v/>
      </c>
      <c r="U1717" s="79">
        <f>IF(Q1717="Sin Factura",0,IFERROR(_xlfn.XLOOKUP(1, (Facturas_Odoo!$D:$D=A1717) * (Facturas_Odoo!$K:$K=I1717), Facturas_Odoo!$N:$N, 0), 0))</f>
        <v/>
      </c>
      <c r="V1717" s="79">
        <f>IF(Q1717="Sin Factura",0,IFERROR(_xlfn.XLOOKUP(1, (Facturas_Odoo!$D:$D=A1717) * (Facturas_Odoo!$K:$K=I1717), Facturas_Odoo!$O:$O, 0), 0))</f>
        <v/>
      </c>
      <c r="W1717" s="81">
        <f>IF(Q1717="Sin Factura",0,IFERROR(_xlfn.XLOOKUP(1, (Facturas_Odoo!$D:$D=A1717) * (Facturas_Odoo!$K:$K=I1717), Facturas_Odoo!$Q:$Q, 0), 0))</f>
        <v/>
      </c>
      <c r="X1717" s="79">
        <f>IF(OR(Q1717="Sin Factura",Q1717=""),"",IFERROR(INDEX(Pagos_Odoo!$B:$B, MATCH(Q1717, Pagos_Odoo!$I:$I, 0)), "Sin Pago"))</f>
        <v/>
      </c>
      <c r="Y1717" s="79">
        <f>IF(X1717="Sin Pago","",IFERROR(INDEX(Pagos_Odoo!$C:$C, MATCH(X1717, Pagos_Odoo!$B:$B, 0)), ""))</f>
        <v/>
      </c>
      <c r="Z1717" s="80">
        <f>IF(X1717="Sin Pago","",IFERROR(INDEX(Pagos_Odoo!$A:$A, MATCH(X1717, Pagos_Odoo!$B:$B, 0)), ""))</f>
        <v/>
      </c>
      <c r="AA1717" s="79">
        <f>IF(X1717="Sin Pago","",IFERROR(INDEX(Pagos_Odoo!$F:$F, MATCH(X1717, Pagos_Odoo!$B:$B, 0)), ""))</f>
        <v/>
      </c>
      <c r="AB1717" s="81">
        <f>IF(X1717="Sin Pago",0,IFERROR(INDEX(Pagos_Odoo!$E:$E, MATCH(X1717, Pagos_Odoo!$B:$B, 0)), 0))</f>
        <v/>
      </c>
      <c r="AC1717" s="79">
        <f>IF(X1717="Sin Pago","",IFERROR(INDEX(Pagos_Odoo!$G:$G, MATCH(X1717, Pagos_Odoo!$B:$B, 0)), ""))</f>
        <v/>
      </c>
      <c r="AD1717" s="82" t="n">
        <v>0</v>
      </c>
      <c r="AE1717" s="82" t="n"/>
      <c r="AF1717" s="82" t="n"/>
      <c r="AG1717" s="82">
        <f>IF(AN1717="","",AD1717+AE1717+AF1717)</f>
        <v/>
      </c>
      <c r="AH1717" s="81">
        <f>IF(AN1717="","",P1717*(1-AG1717))</f>
        <v/>
      </c>
      <c r="AI1717" s="81">
        <f>IF(AN1717="","",IF(Q1717="Sin Factura",0,IFERROR(INDEX(Facturas_Odoo!$H:$H, MATCH(Q1717, Facturas_Odoo!$B:$B, 0)), 0)*(1-AG1717)))</f>
        <v/>
      </c>
      <c r="AJ1717" s="81">
        <f>IF(AN1717="","",_xlfn.LET(idVenta, AN1717&amp;"",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17" s="81">
        <f>IF(AN1717="","",AH1717-AJ1717)</f>
        <v/>
      </c>
      <c r="AL1717" s="81">
        <f>IF(AN1717="","",IF(Q1717="Sin Factura","",AI1717-AJ1717))</f>
        <v/>
      </c>
      <c r="AM1717" s="81">
        <f>IF(AN1717="","",IF(Q1717="Sin Factura",0,P1717-IFERROR(INDEX(Facturas_Odoo!$H:$H, MATCH(Q1717, Facturas_Odoo!$B:$B, 0)), 0)))</f>
        <v/>
      </c>
      <c r="AN1717" s="79">
        <f>IF(AND(A1717="", J1717=""), "", IF(A1717&lt;&gt;"", VALUE(MID(A1717,2,LEN(A1717))), AN1716))</f>
        <v/>
      </c>
      <c r="AO1717" s="79">
        <f>IF(AN1717="","",IF(AD1717=0,"OK",_xlfn.LET(monedaPago, IF(AA1717="","USD",AA1717), limitePermitido, IFERROR(VLOOKUP(monedaPago, Configuración!$A$2:$B$3, 2, FALSE), 0.15), IF(AD1717&gt;limitePermitido, "ALERTA: EXCESO (" &amp; TEXT(limitePermitido, "0%") &amp; " máx)", "OK"))))</f>
        <v/>
      </c>
      <c r="AP1717" s="79">
        <f>IF(AN1717="","",IF(AE1717=0,"OK",_xlfn.LET(fechaPago, Z1717, fechaFactura, R1717, diasCredito, IF(E1717="Pago inmediato", 0, IFERROR(VALUE(MID(E1717, 1, SEARCH(" ", E1717)-1)),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17" s="79">
        <f>IF(AN1717="","",IF(AND(N1717&gt;0, AG1717&gt;0), IF(Configuración!$K$2="NO", "ALERTA: DESCUENTO DOBLE NO PERMITIDO", "OK"), "OK"))</f>
        <v/>
      </c>
      <c r="AR1717" s="79">
        <f>IF(AN1717="","",IF(OR(AO1717&lt;&gt;"OK", AP1717&lt;&gt;"OK", AQ1717&lt;&gt;"OK"), "⚠️ REVISAR", "OK"))</f>
        <v/>
      </c>
    </row>
    <row r="1718">
      <c r="A1718" s="79">
        <f>IF('Ordenes_Odoo'!A1718="","",'Ordenes_Odoo'!A1718)</f>
        <v/>
      </c>
      <c r="B1718" s="80">
        <f>IF('Ordenes_Odoo'!B1718="","",'Ordenes_Odoo'!B1718)</f>
        <v/>
      </c>
      <c r="C1718" s="79">
        <f>IF('Ordenes_Odoo'!C1718="","",'Ordenes_Odoo'!C1718)</f>
        <v/>
      </c>
      <c r="D1718" s="79">
        <f>IF('Ordenes_Odoo'!D1718="","",'Ordenes_Odoo'!D1718)</f>
        <v/>
      </c>
      <c r="E1718" s="79">
        <f>IF('Ordenes_Odoo'!E1718="","",'Ordenes_Odoo'!E1718)</f>
        <v/>
      </c>
      <c r="F1718" s="79">
        <f>IF('Ordenes_Odoo'!F1718="","",'Ordenes_Odoo'!F1718)</f>
        <v/>
      </c>
      <c r="G1718" s="79">
        <f>IF('Ordenes_Odoo'!G1718="","",'Ordenes_Odoo'!G1718)</f>
        <v/>
      </c>
      <c r="H1718" s="79">
        <f>IF('Ordenes_Odoo'!H1718="","",'Ordenes_Odoo'!H1718)</f>
        <v/>
      </c>
      <c r="I1718" s="79">
        <f>IF('Ordenes_Odoo'!I1718="","",'Ordenes_Odoo'!I1718)</f>
        <v/>
      </c>
      <c r="J1718" s="79">
        <f>IF('Ordenes_Odoo'!J1718="","",'Ordenes_Odoo'!J1718)</f>
        <v/>
      </c>
      <c r="K1718" s="81">
        <f>IF('Ordenes_Odoo'!K1718="","",'Ordenes_Odoo'!K1718)</f>
        <v/>
      </c>
      <c r="L1718" s="81">
        <f>IF('Ordenes_Odoo'!L1718="","",'Ordenes_Odoo'!L1718)</f>
        <v/>
      </c>
      <c r="M1718" s="79">
        <f>IF('Ordenes_Odoo'!M1718="","",'Ordenes_Odoo'!M1718)</f>
        <v/>
      </c>
      <c r="N1718" s="79">
        <f>IF('Ordenes_Odoo'!N1718="","",'Ordenes_Odoo'!N1718)</f>
        <v/>
      </c>
      <c r="O1718" s="81">
        <f>IF('Ordenes_Odoo'!O1718="","",'Ordenes_Odoo'!O1718)</f>
        <v/>
      </c>
      <c r="P1718" s="81">
        <f>IF('Ordenes_Odoo'!P1718="","",'Ordenes_Odoo'!P1718)</f>
        <v/>
      </c>
      <c r="Q1718" s="79">
        <f>IF(A1718="","",IFERROR(INDEX(Facturas_Odoo!$B:$B, MATCH(A1718, Facturas_Odoo!$D:$D, 0)), "Sin Factura"))</f>
        <v/>
      </c>
      <c r="R1718" s="80">
        <f>IF(Q1718="Sin Factura","",IFERROR(INDEX(Facturas_Odoo!$A:$A, MATCH(Q1718, Facturas_Odoo!$B:$B, 0)), ""))</f>
        <v/>
      </c>
      <c r="S1718" s="79">
        <f>IF(Q1718="Sin Factura","",IFERROR(_xlfn.XLOOKUP(1, (Facturas_Odoo!$D:$D=A1718) * (Facturas_Odoo!$K:$K=I1718), Facturas_Odoo!$L:$L, ""), ""))</f>
        <v/>
      </c>
      <c r="T1718" s="81">
        <f>IF(Q1718="Sin Factura",0,IFERROR(_xlfn.XLOOKUP(1, (Facturas_Odoo!$D:$D=A1718) * (Facturas_Odoo!$K:$K=I1718), Facturas_Odoo!$M:$M, 0), 0))</f>
        <v/>
      </c>
      <c r="U1718" s="79">
        <f>IF(Q1718="Sin Factura",0,IFERROR(_xlfn.XLOOKUP(1, (Facturas_Odoo!$D:$D=A1718) * (Facturas_Odoo!$K:$K=I1718), Facturas_Odoo!$N:$N, 0), 0))</f>
        <v/>
      </c>
      <c r="V1718" s="79">
        <f>IF(Q1718="Sin Factura",0,IFERROR(_xlfn.XLOOKUP(1, (Facturas_Odoo!$D:$D=A1718) * (Facturas_Odoo!$K:$K=I1718), Facturas_Odoo!$O:$O, 0), 0))</f>
        <v/>
      </c>
      <c r="W1718" s="81">
        <f>IF(Q1718="Sin Factura",0,IFERROR(_xlfn.XLOOKUP(1, (Facturas_Odoo!$D:$D=A1718) * (Facturas_Odoo!$K:$K=I1718), Facturas_Odoo!$Q:$Q, 0), 0))</f>
        <v/>
      </c>
      <c r="X1718" s="79">
        <f>IF(OR(Q1718="Sin Factura",Q1718=""),"",IFERROR(INDEX(Pagos_Odoo!$B:$B, MATCH(Q1718, Pagos_Odoo!$I:$I, 0)), "Sin Pago"))</f>
        <v/>
      </c>
      <c r="Y1718" s="79">
        <f>IF(X1718="Sin Pago","",IFERROR(INDEX(Pagos_Odoo!$C:$C, MATCH(X1718, Pagos_Odoo!$B:$B, 0)), ""))</f>
        <v/>
      </c>
      <c r="Z1718" s="80">
        <f>IF(X1718="Sin Pago","",IFERROR(INDEX(Pagos_Odoo!$A:$A, MATCH(X1718, Pagos_Odoo!$B:$B, 0)), ""))</f>
        <v/>
      </c>
      <c r="AA1718" s="79">
        <f>IF(X1718="Sin Pago","",IFERROR(INDEX(Pagos_Odoo!$F:$F, MATCH(X1718, Pagos_Odoo!$B:$B, 0)), ""))</f>
        <v/>
      </c>
      <c r="AB1718" s="81">
        <f>IF(X1718="Sin Pago",0,IFERROR(INDEX(Pagos_Odoo!$E:$E, MATCH(X1718, Pagos_Odoo!$B:$B, 0)), 0))</f>
        <v/>
      </c>
      <c r="AC1718" s="79">
        <f>IF(X1718="Sin Pago","",IFERROR(INDEX(Pagos_Odoo!$G:$G, MATCH(X1718, Pagos_Odoo!$B:$B, 0)), ""))</f>
        <v/>
      </c>
      <c r="AD1718" s="82" t="n">
        <v>0</v>
      </c>
      <c r="AE1718" s="82" t="n"/>
      <c r="AF1718" s="82" t="n"/>
      <c r="AG1718" s="82">
        <f>IF(AN1718="","",AD1718+AE1718+AF1718)</f>
        <v/>
      </c>
      <c r="AH1718" s="81">
        <f>IF(AN1718="","",P1718*(1-AG1718))</f>
        <v/>
      </c>
      <c r="AI1718" s="81">
        <f>IF(AN1718="","",IF(Q1718="Sin Factura",0,IFERROR(INDEX(Facturas_Odoo!$H:$H, MATCH(Q1718, Facturas_Odoo!$B:$B, 0)), 0)*(1-AG1718)))</f>
        <v/>
      </c>
      <c r="AJ1718" s="81">
        <f>IF(AN1718="","",_xlfn.LET(idVenta, AN1718&amp;"",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18" s="81">
        <f>IF(AN1718="","",AH1718-AJ1718)</f>
        <v/>
      </c>
      <c r="AL1718" s="81">
        <f>IF(AN1718="","",IF(Q1718="Sin Factura","",AI1718-AJ1718))</f>
        <v/>
      </c>
      <c r="AM1718" s="81">
        <f>IF(AN1718="","",IF(Q1718="Sin Factura",0,P1718-IFERROR(INDEX(Facturas_Odoo!$H:$H, MATCH(Q1718, Facturas_Odoo!$B:$B, 0)), 0)))</f>
        <v/>
      </c>
      <c r="AN1718" s="79">
        <f>IF(AND(A1718="", J1718=""), "", IF(A1718&lt;&gt;"", VALUE(MID(A1718,2,LEN(A1718))), AN1717))</f>
        <v/>
      </c>
      <c r="AO1718" s="79">
        <f>IF(AN1718="","",IF(AD1718=0,"OK",_xlfn.LET(monedaPago, IF(AA1718="","USD",AA1718), limitePermitido, IFERROR(VLOOKUP(monedaPago, Configuración!$A$2:$B$3, 2, FALSE), 0.15), IF(AD1718&gt;limitePermitido, "ALERTA: EXCESO (" &amp; TEXT(limitePermitido, "0%") &amp; " máx)", "OK"))))</f>
        <v/>
      </c>
      <c r="AP1718" s="79">
        <f>IF(AN1718="","",IF(AE1718=0,"OK",_xlfn.LET(fechaPago, Z1718, fechaFactura, R1718, diasCredito, IF(E1718="Pago inmediato", 0, IFERROR(VALUE(MID(E1718, 1, SEARCH(" ", E1718)-1)),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18" s="79">
        <f>IF(AN1718="","",IF(AND(N1718&gt;0, AG1718&gt;0), IF(Configuración!$K$2="NO", "ALERTA: DESCUENTO DOBLE NO PERMITIDO", "OK"), "OK"))</f>
        <v/>
      </c>
      <c r="AR1718" s="79">
        <f>IF(AN1718="","",IF(OR(AO1718&lt;&gt;"OK", AP1718&lt;&gt;"OK", AQ1718&lt;&gt;"OK"), "⚠️ REVISAR", "OK"))</f>
        <v/>
      </c>
    </row>
    <row r="1719">
      <c r="A1719" s="79">
        <f>IF('Ordenes_Odoo'!A1719="","",'Ordenes_Odoo'!A1719)</f>
        <v/>
      </c>
      <c r="B1719" s="80">
        <f>IF('Ordenes_Odoo'!B1719="","",'Ordenes_Odoo'!B1719)</f>
        <v/>
      </c>
      <c r="C1719" s="79">
        <f>IF('Ordenes_Odoo'!C1719="","",'Ordenes_Odoo'!C1719)</f>
        <v/>
      </c>
      <c r="D1719" s="79">
        <f>IF('Ordenes_Odoo'!D1719="","",'Ordenes_Odoo'!D1719)</f>
        <v/>
      </c>
      <c r="E1719" s="79">
        <f>IF('Ordenes_Odoo'!E1719="","",'Ordenes_Odoo'!E1719)</f>
        <v/>
      </c>
      <c r="F1719" s="79">
        <f>IF('Ordenes_Odoo'!F1719="","",'Ordenes_Odoo'!F1719)</f>
        <v/>
      </c>
      <c r="G1719" s="79">
        <f>IF('Ordenes_Odoo'!G1719="","",'Ordenes_Odoo'!G1719)</f>
        <v/>
      </c>
      <c r="H1719" s="79">
        <f>IF('Ordenes_Odoo'!H1719="","",'Ordenes_Odoo'!H1719)</f>
        <v/>
      </c>
      <c r="I1719" s="79">
        <f>IF('Ordenes_Odoo'!I1719="","",'Ordenes_Odoo'!I1719)</f>
        <v/>
      </c>
      <c r="J1719" s="79">
        <f>IF('Ordenes_Odoo'!J1719="","",'Ordenes_Odoo'!J1719)</f>
        <v/>
      </c>
      <c r="K1719" s="81">
        <f>IF('Ordenes_Odoo'!K1719="","",'Ordenes_Odoo'!K1719)</f>
        <v/>
      </c>
      <c r="L1719" s="81">
        <f>IF('Ordenes_Odoo'!L1719="","",'Ordenes_Odoo'!L1719)</f>
        <v/>
      </c>
      <c r="M1719" s="79">
        <f>IF('Ordenes_Odoo'!M1719="","",'Ordenes_Odoo'!M1719)</f>
        <v/>
      </c>
      <c r="N1719" s="79">
        <f>IF('Ordenes_Odoo'!N1719="","",'Ordenes_Odoo'!N1719)</f>
        <v/>
      </c>
      <c r="O1719" s="81">
        <f>IF('Ordenes_Odoo'!O1719="","",'Ordenes_Odoo'!O1719)</f>
        <v/>
      </c>
      <c r="P1719" s="81">
        <f>IF('Ordenes_Odoo'!P1719="","",'Ordenes_Odoo'!P1719)</f>
        <v/>
      </c>
      <c r="Q1719" s="79">
        <f>IF(A1719="","",IFERROR(INDEX(Facturas_Odoo!$B:$B, MATCH(A1719, Facturas_Odoo!$D:$D, 0)), "Sin Factura"))</f>
        <v/>
      </c>
      <c r="R1719" s="80">
        <f>IF(Q1719="Sin Factura","",IFERROR(INDEX(Facturas_Odoo!$A:$A, MATCH(Q1719, Facturas_Odoo!$B:$B, 0)), ""))</f>
        <v/>
      </c>
      <c r="S1719" s="79">
        <f>IF(Q1719="Sin Factura","",IFERROR(_xlfn.XLOOKUP(1, (Facturas_Odoo!$D:$D=A1719) * (Facturas_Odoo!$K:$K=I1719), Facturas_Odoo!$L:$L, ""), ""))</f>
        <v/>
      </c>
      <c r="T1719" s="81">
        <f>IF(Q1719="Sin Factura",0,IFERROR(_xlfn.XLOOKUP(1, (Facturas_Odoo!$D:$D=A1719) * (Facturas_Odoo!$K:$K=I1719), Facturas_Odoo!$M:$M, 0), 0))</f>
        <v/>
      </c>
      <c r="U1719" s="79">
        <f>IF(Q1719="Sin Factura",0,IFERROR(_xlfn.XLOOKUP(1, (Facturas_Odoo!$D:$D=A1719) * (Facturas_Odoo!$K:$K=I1719), Facturas_Odoo!$N:$N, 0), 0))</f>
        <v/>
      </c>
      <c r="V1719" s="79">
        <f>IF(Q1719="Sin Factura",0,IFERROR(_xlfn.XLOOKUP(1, (Facturas_Odoo!$D:$D=A1719) * (Facturas_Odoo!$K:$K=I1719), Facturas_Odoo!$O:$O, 0), 0))</f>
        <v/>
      </c>
      <c r="W1719" s="81">
        <f>IF(Q1719="Sin Factura",0,IFERROR(_xlfn.XLOOKUP(1, (Facturas_Odoo!$D:$D=A1719) * (Facturas_Odoo!$K:$K=I1719), Facturas_Odoo!$Q:$Q, 0), 0))</f>
        <v/>
      </c>
      <c r="X1719" s="79">
        <f>IF(OR(Q1719="Sin Factura",Q1719=""),"",IFERROR(INDEX(Pagos_Odoo!$B:$B, MATCH(Q1719, Pagos_Odoo!$I:$I, 0)), "Sin Pago"))</f>
        <v/>
      </c>
      <c r="Y1719" s="79">
        <f>IF(X1719="Sin Pago","",IFERROR(INDEX(Pagos_Odoo!$C:$C, MATCH(X1719, Pagos_Odoo!$B:$B, 0)), ""))</f>
        <v/>
      </c>
      <c r="Z1719" s="80">
        <f>IF(X1719="Sin Pago","",IFERROR(INDEX(Pagos_Odoo!$A:$A, MATCH(X1719, Pagos_Odoo!$B:$B, 0)), ""))</f>
        <v/>
      </c>
      <c r="AA1719" s="79">
        <f>IF(X1719="Sin Pago","",IFERROR(INDEX(Pagos_Odoo!$F:$F, MATCH(X1719, Pagos_Odoo!$B:$B, 0)), ""))</f>
        <v/>
      </c>
      <c r="AB1719" s="81">
        <f>IF(X1719="Sin Pago",0,IFERROR(INDEX(Pagos_Odoo!$E:$E, MATCH(X1719, Pagos_Odoo!$B:$B, 0)), 0))</f>
        <v/>
      </c>
      <c r="AC1719" s="79">
        <f>IF(X1719="Sin Pago","",IFERROR(INDEX(Pagos_Odoo!$G:$G, MATCH(X1719, Pagos_Odoo!$B:$B, 0)), ""))</f>
        <v/>
      </c>
      <c r="AD1719" s="82" t="n">
        <v>0</v>
      </c>
      <c r="AE1719" s="82" t="n"/>
      <c r="AF1719" s="82" t="n"/>
      <c r="AG1719" s="82">
        <f>IF(AN1719="","",AD1719+AE1719+AF1719)</f>
        <v/>
      </c>
      <c r="AH1719" s="81">
        <f>IF(AN1719="","",P1719*(1-AG1719))</f>
        <v/>
      </c>
      <c r="AI1719" s="81">
        <f>IF(AN1719="","",IF(Q1719="Sin Factura",0,IFERROR(INDEX(Facturas_Odoo!$H:$H, MATCH(Q1719, Facturas_Odoo!$B:$B, 0)), 0)*(1-AG1719)))</f>
        <v/>
      </c>
      <c r="AJ1719" s="81">
        <f>IF(AN1719="","",_xlfn.LET(idVenta, AN1719&amp;"",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19" s="81">
        <f>IF(AN1719="","",AH1719-AJ1719)</f>
        <v/>
      </c>
      <c r="AL1719" s="81">
        <f>IF(AN1719="","",IF(Q1719="Sin Factura","",AI1719-AJ1719))</f>
        <v/>
      </c>
      <c r="AM1719" s="81">
        <f>IF(AN1719="","",IF(Q1719="Sin Factura",0,P1719-IFERROR(INDEX(Facturas_Odoo!$H:$H, MATCH(Q1719, Facturas_Odoo!$B:$B, 0)), 0)))</f>
        <v/>
      </c>
      <c r="AN1719" s="79">
        <f>IF(AND(A1719="", J1719=""), "", IF(A1719&lt;&gt;"", VALUE(MID(A1719,2,LEN(A1719))), AN1718))</f>
        <v/>
      </c>
      <c r="AO1719" s="79">
        <f>IF(AN1719="","",IF(AD1719=0,"OK",_xlfn.LET(monedaPago, IF(AA1719="","USD",AA1719), limitePermitido, IFERROR(VLOOKUP(monedaPago, Configuración!$A$2:$B$3, 2, FALSE), 0.15), IF(AD1719&gt;limitePermitido, "ALERTA: EXCESO (" &amp; TEXT(limitePermitido, "0%") &amp; " máx)", "OK"))))</f>
        <v/>
      </c>
      <c r="AP1719" s="79">
        <f>IF(AN1719="","",IF(AE1719=0,"OK",_xlfn.LET(fechaPago, Z1719, fechaFactura, R1719, diasCredito, IF(E1719="Pago inmediato", 0, IFERROR(VALUE(MID(E1719, 1, SEARCH(" ", E1719)-1)),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19" s="79">
        <f>IF(AN1719="","",IF(AND(N1719&gt;0, AG1719&gt;0), IF(Configuración!$K$2="NO", "ALERTA: DESCUENTO DOBLE NO PERMITIDO", "OK"), "OK"))</f>
        <v/>
      </c>
      <c r="AR1719" s="79">
        <f>IF(AN1719="","",IF(OR(AO1719&lt;&gt;"OK", AP1719&lt;&gt;"OK", AQ1719&lt;&gt;"OK"), "⚠️ REVISAR", "OK"))</f>
        <v/>
      </c>
    </row>
    <row r="1720">
      <c r="A1720" s="79">
        <f>IF('Ordenes_Odoo'!A1720="","",'Ordenes_Odoo'!A1720)</f>
        <v/>
      </c>
      <c r="B1720" s="80">
        <f>IF('Ordenes_Odoo'!B1720="","",'Ordenes_Odoo'!B1720)</f>
        <v/>
      </c>
      <c r="C1720" s="79">
        <f>IF('Ordenes_Odoo'!C1720="","",'Ordenes_Odoo'!C1720)</f>
        <v/>
      </c>
      <c r="D1720" s="79">
        <f>IF('Ordenes_Odoo'!D1720="","",'Ordenes_Odoo'!D1720)</f>
        <v/>
      </c>
      <c r="E1720" s="79">
        <f>IF('Ordenes_Odoo'!E1720="","",'Ordenes_Odoo'!E1720)</f>
        <v/>
      </c>
      <c r="F1720" s="79">
        <f>IF('Ordenes_Odoo'!F1720="","",'Ordenes_Odoo'!F1720)</f>
        <v/>
      </c>
      <c r="G1720" s="79">
        <f>IF('Ordenes_Odoo'!G1720="","",'Ordenes_Odoo'!G1720)</f>
        <v/>
      </c>
      <c r="H1720" s="79">
        <f>IF('Ordenes_Odoo'!H1720="","",'Ordenes_Odoo'!H1720)</f>
        <v/>
      </c>
      <c r="I1720" s="79">
        <f>IF('Ordenes_Odoo'!I1720="","",'Ordenes_Odoo'!I1720)</f>
        <v/>
      </c>
      <c r="J1720" s="79">
        <f>IF('Ordenes_Odoo'!J1720="","",'Ordenes_Odoo'!J1720)</f>
        <v/>
      </c>
      <c r="K1720" s="81">
        <f>IF('Ordenes_Odoo'!K1720="","",'Ordenes_Odoo'!K1720)</f>
        <v/>
      </c>
      <c r="L1720" s="81">
        <f>IF('Ordenes_Odoo'!L1720="","",'Ordenes_Odoo'!L1720)</f>
        <v/>
      </c>
      <c r="M1720" s="79">
        <f>IF('Ordenes_Odoo'!M1720="","",'Ordenes_Odoo'!M1720)</f>
        <v/>
      </c>
      <c r="N1720" s="79">
        <f>IF('Ordenes_Odoo'!N1720="","",'Ordenes_Odoo'!N1720)</f>
        <v/>
      </c>
      <c r="O1720" s="81">
        <f>IF('Ordenes_Odoo'!O1720="","",'Ordenes_Odoo'!O1720)</f>
        <v/>
      </c>
      <c r="P1720" s="81">
        <f>IF('Ordenes_Odoo'!P1720="","",'Ordenes_Odoo'!P1720)</f>
        <v/>
      </c>
      <c r="Q1720" s="79">
        <f>IF(A1720="","",IFERROR(INDEX(Facturas_Odoo!$B:$B, MATCH(A1720, Facturas_Odoo!$D:$D, 0)), "Sin Factura"))</f>
        <v/>
      </c>
      <c r="R1720" s="80">
        <f>IF(Q1720="Sin Factura","",IFERROR(INDEX(Facturas_Odoo!$A:$A, MATCH(Q1720, Facturas_Odoo!$B:$B, 0)), ""))</f>
        <v/>
      </c>
      <c r="S1720" s="79">
        <f>IF(Q1720="Sin Factura","",IFERROR(_xlfn.XLOOKUP(1, (Facturas_Odoo!$D:$D=A1720) * (Facturas_Odoo!$K:$K=I1720), Facturas_Odoo!$L:$L, ""), ""))</f>
        <v/>
      </c>
      <c r="T1720" s="81">
        <f>IF(Q1720="Sin Factura",0,IFERROR(_xlfn.XLOOKUP(1, (Facturas_Odoo!$D:$D=A1720) * (Facturas_Odoo!$K:$K=I1720), Facturas_Odoo!$M:$M, 0), 0))</f>
        <v/>
      </c>
      <c r="U1720" s="79">
        <f>IF(Q1720="Sin Factura",0,IFERROR(_xlfn.XLOOKUP(1, (Facturas_Odoo!$D:$D=A1720) * (Facturas_Odoo!$K:$K=I1720), Facturas_Odoo!$N:$N, 0), 0))</f>
        <v/>
      </c>
      <c r="V1720" s="79">
        <f>IF(Q1720="Sin Factura",0,IFERROR(_xlfn.XLOOKUP(1, (Facturas_Odoo!$D:$D=A1720) * (Facturas_Odoo!$K:$K=I1720), Facturas_Odoo!$O:$O, 0), 0))</f>
        <v/>
      </c>
      <c r="W1720" s="81">
        <f>IF(Q1720="Sin Factura",0,IFERROR(_xlfn.XLOOKUP(1, (Facturas_Odoo!$D:$D=A1720) * (Facturas_Odoo!$K:$K=I1720), Facturas_Odoo!$Q:$Q, 0), 0))</f>
        <v/>
      </c>
      <c r="X1720" s="79">
        <f>IF(OR(Q1720="Sin Factura",Q1720=""),"",IFERROR(INDEX(Pagos_Odoo!$B:$B, MATCH(Q1720, Pagos_Odoo!$I:$I, 0)), "Sin Pago"))</f>
        <v/>
      </c>
      <c r="Y1720" s="79">
        <f>IF(X1720="Sin Pago","",IFERROR(INDEX(Pagos_Odoo!$C:$C, MATCH(X1720, Pagos_Odoo!$B:$B, 0)), ""))</f>
        <v/>
      </c>
      <c r="Z1720" s="80">
        <f>IF(X1720="Sin Pago","",IFERROR(INDEX(Pagos_Odoo!$A:$A, MATCH(X1720, Pagos_Odoo!$B:$B, 0)), ""))</f>
        <v/>
      </c>
      <c r="AA1720" s="79">
        <f>IF(X1720="Sin Pago","",IFERROR(INDEX(Pagos_Odoo!$F:$F, MATCH(X1720, Pagos_Odoo!$B:$B, 0)), ""))</f>
        <v/>
      </c>
      <c r="AB1720" s="81">
        <f>IF(X1720="Sin Pago",0,IFERROR(INDEX(Pagos_Odoo!$E:$E, MATCH(X1720, Pagos_Odoo!$B:$B, 0)), 0))</f>
        <v/>
      </c>
      <c r="AC1720" s="79">
        <f>IF(X1720="Sin Pago","",IFERROR(INDEX(Pagos_Odoo!$G:$G, MATCH(X1720, Pagos_Odoo!$B:$B, 0)), ""))</f>
        <v/>
      </c>
      <c r="AD1720" s="82" t="n">
        <v>0</v>
      </c>
      <c r="AE1720" s="82" t="n"/>
      <c r="AF1720" s="82" t="n"/>
      <c r="AG1720" s="82">
        <f>IF(AN1720="","",AD1720+AE1720+AF1720)</f>
        <v/>
      </c>
      <c r="AH1720" s="81">
        <f>IF(AN1720="","",P1720*(1-AG1720))</f>
        <v/>
      </c>
      <c r="AI1720" s="81">
        <f>IF(AN1720="","",IF(Q1720="Sin Factura",0,IFERROR(INDEX(Facturas_Odoo!$H:$H, MATCH(Q1720, Facturas_Odoo!$B:$B, 0)), 0)*(1-AG1720)))</f>
        <v/>
      </c>
      <c r="AJ1720" s="81">
        <f>IF(AN1720="","",_xlfn.LET(idVenta, AN1720&amp;"",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20" s="81">
        <f>IF(AN1720="","",AH1720-AJ1720)</f>
        <v/>
      </c>
      <c r="AL1720" s="81">
        <f>IF(AN1720="","",IF(Q1720="Sin Factura","",AI1720-AJ1720))</f>
        <v/>
      </c>
      <c r="AM1720" s="81">
        <f>IF(AN1720="","",IF(Q1720="Sin Factura",0,P1720-IFERROR(INDEX(Facturas_Odoo!$H:$H, MATCH(Q1720, Facturas_Odoo!$B:$B, 0)), 0)))</f>
        <v/>
      </c>
      <c r="AN1720" s="79">
        <f>IF(AND(A1720="", J1720=""), "", IF(A1720&lt;&gt;"", VALUE(MID(A1720,2,LEN(A1720))), AN1719))</f>
        <v/>
      </c>
      <c r="AO1720" s="79">
        <f>IF(AN1720="","",IF(AD1720=0,"OK",_xlfn.LET(monedaPago, IF(AA1720="","USD",AA1720), limitePermitido, IFERROR(VLOOKUP(monedaPago, Configuración!$A$2:$B$3, 2, FALSE), 0.15), IF(AD1720&gt;limitePermitido, "ALERTA: EXCESO (" &amp; TEXT(limitePermitido, "0%") &amp; " máx)", "OK"))))</f>
        <v/>
      </c>
      <c r="AP1720" s="79">
        <f>IF(AN1720="","",IF(AE1720=0,"OK",_xlfn.LET(fechaPago, Z1720, fechaFactura, R1720, diasCredito, IF(E1720="Pago inmediato", 0, IFERROR(VALUE(MID(E1720, 1, SEARCH(" ", E1720)-1)),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20" s="79">
        <f>IF(AN1720="","",IF(AND(N1720&gt;0, AG1720&gt;0), IF(Configuración!$K$2="NO", "ALERTA: DESCUENTO DOBLE NO PERMITIDO", "OK"), "OK"))</f>
        <v/>
      </c>
      <c r="AR1720" s="79">
        <f>IF(AN1720="","",IF(OR(AO1720&lt;&gt;"OK", AP1720&lt;&gt;"OK", AQ1720&lt;&gt;"OK"), "⚠️ REVISAR", "OK"))</f>
        <v/>
      </c>
    </row>
    <row r="1721">
      <c r="A1721" s="79">
        <f>IF('Ordenes_Odoo'!A1721="","",'Ordenes_Odoo'!A1721)</f>
        <v/>
      </c>
      <c r="B1721" s="80">
        <f>IF('Ordenes_Odoo'!B1721="","",'Ordenes_Odoo'!B1721)</f>
        <v/>
      </c>
      <c r="C1721" s="79">
        <f>IF('Ordenes_Odoo'!C1721="","",'Ordenes_Odoo'!C1721)</f>
        <v/>
      </c>
      <c r="D1721" s="79">
        <f>IF('Ordenes_Odoo'!D1721="","",'Ordenes_Odoo'!D1721)</f>
        <v/>
      </c>
      <c r="E1721" s="79">
        <f>IF('Ordenes_Odoo'!E1721="","",'Ordenes_Odoo'!E1721)</f>
        <v/>
      </c>
      <c r="F1721" s="79">
        <f>IF('Ordenes_Odoo'!F1721="","",'Ordenes_Odoo'!F1721)</f>
        <v/>
      </c>
      <c r="G1721" s="79">
        <f>IF('Ordenes_Odoo'!G1721="","",'Ordenes_Odoo'!G1721)</f>
        <v/>
      </c>
      <c r="H1721" s="79">
        <f>IF('Ordenes_Odoo'!H1721="","",'Ordenes_Odoo'!H1721)</f>
        <v/>
      </c>
      <c r="I1721" s="79">
        <f>IF('Ordenes_Odoo'!I1721="","",'Ordenes_Odoo'!I1721)</f>
        <v/>
      </c>
      <c r="J1721" s="79">
        <f>IF('Ordenes_Odoo'!J1721="","",'Ordenes_Odoo'!J1721)</f>
        <v/>
      </c>
      <c r="K1721" s="81">
        <f>IF('Ordenes_Odoo'!K1721="","",'Ordenes_Odoo'!K1721)</f>
        <v/>
      </c>
      <c r="L1721" s="81">
        <f>IF('Ordenes_Odoo'!L1721="","",'Ordenes_Odoo'!L1721)</f>
        <v/>
      </c>
      <c r="M1721" s="79">
        <f>IF('Ordenes_Odoo'!M1721="","",'Ordenes_Odoo'!M1721)</f>
        <v/>
      </c>
      <c r="N1721" s="79">
        <f>IF('Ordenes_Odoo'!N1721="","",'Ordenes_Odoo'!N1721)</f>
        <v/>
      </c>
      <c r="O1721" s="81">
        <f>IF('Ordenes_Odoo'!O1721="","",'Ordenes_Odoo'!O1721)</f>
        <v/>
      </c>
      <c r="P1721" s="81">
        <f>IF('Ordenes_Odoo'!P1721="","",'Ordenes_Odoo'!P1721)</f>
        <v/>
      </c>
      <c r="Q1721" s="79">
        <f>IF(A1721="","",IFERROR(INDEX(Facturas_Odoo!$B:$B, MATCH(A1721, Facturas_Odoo!$D:$D, 0)), "Sin Factura"))</f>
        <v/>
      </c>
      <c r="R1721" s="80">
        <f>IF(Q1721="Sin Factura","",IFERROR(INDEX(Facturas_Odoo!$A:$A, MATCH(Q1721, Facturas_Odoo!$B:$B, 0)), ""))</f>
        <v/>
      </c>
      <c r="S1721" s="79">
        <f>IF(Q1721="Sin Factura","",IFERROR(_xlfn.XLOOKUP(1, (Facturas_Odoo!$D:$D=A1721) * (Facturas_Odoo!$K:$K=I1721), Facturas_Odoo!$L:$L, ""), ""))</f>
        <v/>
      </c>
      <c r="T1721" s="81">
        <f>IF(Q1721="Sin Factura",0,IFERROR(_xlfn.XLOOKUP(1, (Facturas_Odoo!$D:$D=A1721) * (Facturas_Odoo!$K:$K=I1721), Facturas_Odoo!$M:$M, 0), 0))</f>
        <v/>
      </c>
      <c r="U1721" s="79">
        <f>IF(Q1721="Sin Factura",0,IFERROR(_xlfn.XLOOKUP(1, (Facturas_Odoo!$D:$D=A1721) * (Facturas_Odoo!$K:$K=I1721), Facturas_Odoo!$N:$N, 0), 0))</f>
        <v/>
      </c>
      <c r="V1721" s="79">
        <f>IF(Q1721="Sin Factura",0,IFERROR(_xlfn.XLOOKUP(1, (Facturas_Odoo!$D:$D=A1721) * (Facturas_Odoo!$K:$K=I1721), Facturas_Odoo!$O:$O, 0), 0))</f>
        <v/>
      </c>
      <c r="W1721" s="81">
        <f>IF(Q1721="Sin Factura",0,IFERROR(_xlfn.XLOOKUP(1, (Facturas_Odoo!$D:$D=A1721) * (Facturas_Odoo!$K:$K=I1721), Facturas_Odoo!$Q:$Q, 0), 0))</f>
        <v/>
      </c>
      <c r="X1721" s="79">
        <f>IF(OR(Q1721="Sin Factura",Q1721=""),"",IFERROR(INDEX(Pagos_Odoo!$B:$B, MATCH(Q1721, Pagos_Odoo!$I:$I, 0)), "Sin Pago"))</f>
        <v/>
      </c>
      <c r="Y1721" s="79">
        <f>IF(X1721="Sin Pago","",IFERROR(INDEX(Pagos_Odoo!$C:$C, MATCH(X1721, Pagos_Odoo!$B:$B, 0)), ""))</f>
        <v/>
      </c>
      <c r="Z1721" s="80">
        <f>IF(X1721="Sin Pago","",IFERROR(INDEX(Pagos_Odoo!$A:$A, MATCH(X1721, Pagos_Odoo!$B:$B, 0)), ""))</f>
        <v/>
      </c>
      <c r="AA1721" s="79">
        <f>IF(X1721="Sin Pago","",IFERROR(INDEX(Pagos_Odoo!$F:$F, MATCH(X1721, Pagos_Odoo!$B:$B, 0)), ""))</f>
        <v/>
      </c>
      <c r="AB1721" s="81">
        <f>IF(X1721="Sin Pago",0,IFERROR(INDEX(Pagos_Odoo!$E:$E, MATCH(X1721, Pagos_Odoo!$B:$B, 0)), 0))</f>
        <v/>
      </c>
      <c r="AC1721" s="79">
        <f>IF(X1721="Sin Pago","",IFERROR(INDEX(Pagos_Odoo!$G:$G, MATCH(X1721, Pagos_Odoo!$B:$B, 0)), ""))</f>
        <v/>
      </c>
      <c r="AD1721" s="82" t="n">
        <v>0</v>
      </c>
      <c r="AE1721" s="82" t="n"/>
      <c r="AF1721" s="82" t="n"/>
      <c r="AG1721" s="82">
        <f>IF(AN1721="","",AD1721+AE1721+AF1721)</f>
        <v/>
      </c>
      <c r="AH1721" s="81">
        <f>IF(AN1721="","",P1721*(1-AG1721))</f>
        <v/>
      </c>
      <c r="AI1721" s="81">
        <f>IF(AN1721="","",IF(Q1721="Sin Factura",0,IFERROR(INDEX(Facturas_Odoo!$H:$H, MATCH(Q1721, Facturas_Odoo!$B:$B, 0)), 0)*(1-AG1721)))</f>
        <v/>
      </c>
      <c r="AJ1721" s="81">
        <f>IF(AN1721="","",_xlfn.LET(idVenta, AN1721&amp;"",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21" s="81">
        <f>IF(AN1721="","",AH1721-AJ1721)</f>
        <v/>
      </c>
      <c r="AL1721" s="81">
        <f>IF(AN1721="","",IF(Q1721="Sin Factura","",AI1721-AJ1721))</f>
        <v/>
      </c>
      <c r="AM1721" s="81">
        <f>IF(AN1721="","",IF(Q1721="Sin Factura",0,P1721-IFERROR(INDEX(Facturas_Odoo!$H:$H, MATCH(Q1721, Facturas_Odoo!$B:$B, 0)), 0)))</f>
        <v/>
      </c>
      <c r="AN1721" s="79">
        <f>IF(AND(A1721="", J1721=""), "", IF(A1721&lt;&gt;"", VALUE(MID(A1721,2,LEN(A1721))), AN1720))</f>
        <v/>
      </c>
      <c r="AO1721" s="79">
        <f>IF(AN1721="","",IF(AD1721=0,"OK",_xlfn.LET(monedaPago, IF(AA1721="","USD",AA1721), limitePermitido, IFERROR(VLOOKUP(monedaPago, Configuración!$A$2:$B$3, 2, FALSE), 0.15), IF(AD1721&gt;limitePermitido, "ALERTA: EXCESO (" &amp; TEXT(limitePermitido, "0%") &amp; " máx)", "OK"))))</f>
        <v/>
      </c>
      <c r="AP1721" s="79">
        <f>IF(AN1721="","",IF(AE1721=0,"OK",_xlfn.LET(fechaPago, Z1721, fechaFactura, R1721, diasCredito, IF(E1721="Pago inmediato", 0, IFERROR(VALUE(MID(E1721, 1, SEARCH(" ", E1721)-1)),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21" s="79">
        <f>IF(AN1721="","",IF(AND(N1721&gt;0, AG1721&gt;0), IF(Configuración!$K$2="NO", "ALERTA: DESCUENTO DOBLE NO PERMITIDO", "OK"), "OK"))</f>
        <v/>
      </c>
      <c r="AR1721" s="79">
        <f>IF(AN1721="","",IF(OR(AO1721&lt;&gt;"OK", AP1721&lt;&gt;"OK", AQ1721&lt;&gt;"OK"), "⚠️ REVISAR", "OK"))</f>
        <v/>
      </c>
    </row>
    <row r="1722">
      <c r="A1722" s="79">
        <f>IF('Ordenes_Odoo'!A1722="","",'Ordenes_Odoo'!A1722)</f>
        <v/>
      </c>
      <c r="B1722" s="80">
        <f>IF('Ordenes_Odoo'!B1722="","",'Ordenes_Odoo'!B1722)</f>
        <v/>
      </c>
      <c r="C1722" s="79">
        <f>IF('Ordenes_Odoo'!C1722="","",'Ordenes_Odoo'!C1722)</f>
        <v/>
      </c>
      <c r="D1722" s="79">
        <f>IF('Ordenes_Odoo'!D1722="","",'Ordenes_Odoo'!D1722)</f>
        <v/>
      </c>
      <c r="E1722" s="79">
        <f>IF('Ordenes_Odoo'!E1722="","",'Ordenes_Odoo'!E1722)</f>
        <v/>
      </c>
      <c r="F1722" s="79">
        <f>IF('Ordenes_Odoo'!F1722="","",'Ordenes_Odoo'!F1722)</f>
        <v/>
      </c>
      <c r="G1722" s="79">
        <f>IF('Ordenes_Odoo'!G1722="","",'Ordenes_Odoo'!G1722)</f>
        <v/>
      </c>
      <c r="H1722" s="79">
        <f>IF('Ordenes_Odoo'!H1722="","",'Ordenes_Odoo'!H1722)</f>
        <v/>
      </c>
      <c r="I1722" s="79">
        <f>IF('Ordenes_Odoo'!I1722="","",'Ordenes_Odoo'!I1722)</f>
        <v/>
      </c>
      <c r="J1722" s="79">
        <f>IF('Ordenes_Odoo'!J1722="","",'Ordenes_Odoo'!J1722)</f>
        <v/>
      </c>
      <c r="K1722" s="81">
        <f>IF('Ordenes_Odoo'!K1722="","",'Ordenes_Odoo'!K1722)</f>
        <v/>
      </c>
      <c r="L1722" s="81">
        <f>IF('Ordenes_Odoo'!L1722="","",'Ordenes_Odoo'!L1722)</f>
        <v/>
      </c>
      <c r="M1722" s="79">
        <f>IF('Ordenes_Odoo'!M1722="","",'Ordenes_Odoo'!M1722)</f>
        <v/>
      </c>
      <c r="N1722" s="79">
        <f>IF('Ordenes_Odoo'!N1722="","",'Ordenes_Odoo'!N1722)</f>
        <v/>
      </c>
      <c r="O1722" s="81">
        <f>IF('Ordenes_Odoo'!O1722="","",'Ordenes_Odoo'!O1722)</f>
        <v/>
      </c>
      <c r="P1722" s="81">
        <f>IF('Ordenes_Odoo'!P1722="","",'Ordenes_Odoo'!P1722)</f>
        <v/>
      </c>
      <c r="Q1722" s="79">
        <f>IF(A1722="","",IFERROR(INDEX(Facturas_Odoo!$B:$B, MATCH(A1722, Facturas_Odoo!$D:$D, 0)), "Sin Factura"))</f>
        <v/>
      </c>
      <c r="R1722" s="80">
        <f>IF(Q1722="Sin Factura","",IFERROR(INDEX(Facturas_Odoo!$A:$A, MATCH(Q1722, Facturas_Odoo!$B:$B, 0)), ""))</f>
        <v/>
      </c>
      <c r="S1722" s="79">
        <f>IF(Q1722="Sin Factura","",IFERROR(_xlfn.XLOOKUP(1, (Facturas_Odoo!$D:$D=A1722) * (Facturas_Odoo!$K:$K=I1722), Facturas_Odoo!$L:$L, ""), ""))</f>
        <v/>
      </c>
      <c r="T1722" s="81">
        <f>IF(Q1722="Sin Factura",0,IFERROR(_xlfn.XLOOKUP(1, (Facturas_Odoo!$D:$D=A1722) * (Facturas_Odoo!$K:$K=I1722), Facturas_Odoo!$M:$M, 0), 0))</f>
        <v/>
      </c>
      <c r="U1722" s="79">
        <f>IF(Q1722="Sin Factura",0,IFERROR(_xlfn.XLOOKUP(1, (Facturas_Odoo!$D:$D=A1722) * (Facturas_Odoo!$K:$K=I1722), Facturas_Odoo!$N:$N, 0), 0))</f>
        <v/>
      </c>
      <c r="V1722" s="79">
        <f>IF(Q1722="Sin Factura",0,IFERROR(_xlfn.XLOOKUP(1, (Facturas_Odoo!$D:$D=A1722) * (Facturas_Odoo!$K:$K=I1722), Facturas_Odoo!$O:$O, 0), 0))</f>
        <v/>
      </c>
      <c r="W1722" s="81">
        <f>IF(Q1722="Sin Factura",0,IFERROR(_xlfn.XLOOKUP(1, (Facturas_Odoo!$D:$D=A1722) * (Facturas_Odoo!$K:$K=I1722), Facturas_Odoo!$Q:$Q, 0), 0))</f>
        <v/>
      </c>
      <c r="X1722" s="79">
        <f>IF(OR(Q1722="Sin Factura",Q1722=""),"",IFERROR(INDEX(Pagos_Odoo!$B:$B, MATCH(Q1722, Pagos_Odoo!$I:$I, 0)), "Sin Pago"))</f>
        <v/>
      </c>
      <c r="Y1722" s="79">
        <f>IF(X1722="Sin Pago","",IFERROR(INDEX(Pagos_Odoo!$C:$C, MATCH(X1722, Pagos_Odoo!$B:$B, 0)), ""))</f>
        <v/>
      </c>
      <c r="Z1722" s="80">
        <f>IF(X1722="Sin Pago","",IFERROR(INDEX(Pagos_Odoo!$A:$A, MATCH(X1722, Pagos_Odoo!$B:$B, 0)), ""))</f>
        <v/>
      </c>
      <c r="AA1722" s="79">
        <f>IF(X1722="Sin Pago","",IFERROR(INDEX(Pagos_Odoo!$F:$F, MATCH(X1722, Pagos_Odoo!$B:$B, 0)), ""))</f>
        <v/>
      </c>
      <c r="AB1722" s="81">
        <f>IF(X1722="Sin Pago",0,IFERROR(INDEX(Pagos_Odoo!$E:$E, MATCH(X1722, Pagos_Odoo!$B:$B, 0)), 0))</f>
        <v/>
      </c>
      <c r="AC1722" s="79">
        <f>IF(X1722="Sin Pago","",IFERROR(INDEX(Pagos_Odoo!$G:$G, MATCH(X1722, Pagos_Odoo!$B:$B, 0)), ""))</f>
        <v/>
      </c>
      <c r="AD1722" s="82" t="n">
        <v>0</v>
      </c>
      <c r="AE1722" s="82" t="n"/>
      <c r="AF1722" s="82" t="n"/>
      <c r="AG1722" s="82">
        <f>IF(AN1722="","",AD1722+AE1722+AF1722)</f>
        <v/>
      </c>
      <c r="AH1722" s="81">
        <f>IF(AN1722="","",P1722*(1-AG1722))</f>
        <v/>
      </c>
      <c r="AI1722" s="81">
        <f>IF(AN1722="","",IF(Q1722="Sin Factura",0,IFERROR(INDEX(Facturas_Odoo!$H:$H, MATCH(Q1722, Facturas_Odoo!$B:$B, 0)), 0)*(1-AG1722)))</f>
        <v/>
      </c>
      <c r="AJ1722" s="81">
        <f>IF(AN1722="","",_xlfn.LET(idVenta, AN1722&amp;"",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22" s="81">
        <f>IF(AN1722="","",AH1722-AJ1722)</f>
        <v/>
      </c>
      <c r="AL1722" s="81">
        <f>IF(AN1722="","",IF(Q1722="Sin Factura","",AI1722-AJ1722))</f>
        <v/>
      </c>
      <c r="AM1722" s="81">
        <f>IF(AN1722="","",IF(Q1722="Sin Factura",0,P1722-IFERROR(INDEX(Facturas_Odoo!$H:$H, MATCH(Q1722, Facturas_Odoo!$B:$B, 0)), 0)))</f>
        <v/>
      </c>
      <c r="AN1722" s="79">
        <f>IF(AND(A1722="", J1722=""), "", IF(A1722&lt;&gt;"", VALUE(MID(A1722,2,LEN(A1722))), AN1721))</f>
        <v/>
      </c>
      <c r="AO1722" s="79">
        <f>IF(AN1722="","",IF(AD1722=0,"OK",_xlfn.LET(monedaPago, IF(AA1722="","USD",AA1722), limitePermitido, IFERROR(VLOOKUP(monedaPago, Configuración!$A$2:$B$3, 2, FALSE), 0.15), IF(AD1722&gt;limitePermitido, "ALERTA: EXCESO (" &amp; TEXT(limitePermitido, "0%") &amp; " máx)", "OK"))))</f>
        <v/>
      </c>
      <c r="AP1722" s="79">
        <f>IF(AN1722="","",IF(AE1722=0,"OK",_xlfn.LET(fechaPago, Z1722, fechaFactura, R1722, diasCredito, IF(E1722="Pago inmediato", 0, IFERROR(VALUE(MID(E1722, 1, SEARCH(" ", E1722)-1)),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22" s="79">
        <f>IF(AN1722="","",IF(AND(N1722&gt;0, AG1722&gt;0), IF(Configuración!$K$2="NO", "ALERTA: DESCUENTO DOBLE NO PERMITIDO", "OK"), "OK"))</f>
        <v/>
      </c>
      <c r="AR1722" s="79">
        <f>IF(AN1722="","",IF(OR(AO1722&lt;&gt;"OK", AP1722&lt;&gt;"OK", AQ1722&lt;&gt;"OK"), "⚠️ REVISAR", "OK"))</f>
        <v/>
      </c>
    </row>
    <row r="1723">
      <c r="A1723" s="79">
        <f>IF('Ordenes_Odoo'!A1723="","",'Ordenes_Odoo'!A1723)</f>
        <v/>
      </c>
      <c r="B1723" s="80">
        <f>IF('Ordenes_Odoo'!B1723="","",'Ordenes_Odoo'!B1723)</f>
        <v/>
      </c>
      <c r="C1723" s="79">
        <f>IF('Ordenes_Odoo'!C1723="","",'Ordenes_Odoo'!C1723)</f>
        <v/>
      </c>
      <c r="D1723" s="79">
        <f>IF('Ordenes_Odoo'!D1723="","",'Ordenes_Odoo'!D1723)</f>
        <v/>
      </c>
      <c r="E1723" s="79">
        <f>IF('Ordenes_Odoo'!E1723="","",'Ordenes_Odoo'!E1723)</f>
        <v/>
      </c>
      <c r="F1723" s="79">
        <f>IF('Ordenes_Odoo'!F1723="","",'Ordenes_Odoo'!F1723)</f>
        <v/>
      </c>
      <c r="G1723" s="79">
        <f>IF('Ordenes_Odoo'!G1723="","",'Ordenes_Odoo'!G1723)</f>
        <v/>
      </c>
      <c r="H1723" s="79">
        <f>IF('Ordenes_Odoo'!H1723="","",'Ordenes_Odoo'!H1723)</f>
        <v/>
      </c>
      <c r="I1723" s="79">
        <f>IF('Ordenes_Odoo'!I1723="","",'Ordenes_Odoo'!I1723)</f>
        <v/>
      </c>
      <c r="J1723" s="79">
        <f>IF('Ordenes_Odoo'!J1723="","",'Ordenes_Odoo'!J1723)</f>
        <v/>
      </c>
      <c r="K1723" s="81">
        <f>IF('Ordenes_Odoo'!K1723="","",'Ordenes_Odoo'!K1723)</f>
        <v/>
      </c>
      <c r="L1723" s="81">
        <f>IF('Ordenes_Odoo'!L1723="","",'Ordenes_Odoo'!L1723)</f>
        <v/>
      </c>
      <c r="M1723" s="79">
        <f>IF('Ordenes_Odoo'!M1723="","",'Ordenes_Odoo'!M1723)</f>
        <v/>
      </c>
      <c r="N1723" s="79">
        <f>IF('Ordenes_Odoo'!N1723="","",'Ordenes_Odoo'!N1723)</f>
        <v/>
      </c>
      <c r="O1723" s="81">
        <f>IF('Ordenes_Odoo'!O1723="","",'Ordenes_Odoo'!O1723)</f>
        <v/>
      </c>
      <c r="P1723" s="81">
        <f>IF('Ordenes_Odoo'!P1723="","",'Ordenes_Odoo'!P1723)</f>
        <v/>
      </c>
      <c r="Q1723" s="79">
        <f>IF(A1723="","",IFERROR(INDEX(Facturas_Odoo!$B:$B, MATCH(A1723, Facturas_Odoo!$D:$D, 0)), "Sin Factura"))</f>
        <v/>
      </c>
      <c r="R1723" s="80">
        <f>IF(Q1723="Sin Factura","",IFERROR(INDEX(Facturas_Odoo!$A:$A, MATCH(Q1723, Facturas_Odoo!$B:$B, 0)), ""))</f>
        <v/>
      </c>
      <c r="S1723" s="79">
        <f>IF(Q1723="Sin Factura","",IFERROR(_xlfn.XLOOKUP(1, (Facturas_Odoo!$D:$D=A1723) * (Facturas_Odoo!$K:$K=I1723), Facturas_Odoo!$L:$L, ""), ""))</f>
        <v/>
      </c>
      <c r="T1723" s="81">
        <f>IF(Q1723="Sin Factura",0,IFERROR(_xlfn.XLOOKUP(1, (Facturas_Odoo!$D:$D=A1723) * (Facturas_Odoo!$K:$K=I1723), Facturas_Odoo!$M:$M, 0), 0))</f>
        <v/>
      </c>
      <c r="U1723" s="79">
        <f>IF(Q1723="Sin Factura",0,IFERROR(_xlfn.XLOOKUP(1, (Facturas_Odoo!$D:$D=A1723) * (Facturas_Odoo!$K:$K=I1723), Facturas_Odoo!$N:$N, 0), 0))</f>
        <v/>
      </c>
      <c r="V1723" s="79">
        <f>IF(Q1723="Sin Factura",0,IFERROR(_xlfn.XLOOKUP(1, (Facturas_Odoo!$D:$D=A1723) * (Facturas_Odoo!$K:$K=I1723), Facturas_Odoo!$O:$O, 0), 0))</f>
        <v/>
      </c>
      <c r="W1723" s="81">
        <f>IF(Q1723="Sin Factura",0,IFERROR(_xlfn.XLOOKUP(1, (Facturas_Odoo!$D:$D=A1723) * (Facturas_Odoo!$K:$K=I1723), Facturas_Odoo!$Q:$Q, 0), 0))</f>
        <v/>
      </c>
      <c r="X1723" s="79">
        <f>IF(OR(Q1723="Sin Factura",Q1723=""),"",IFERROR(INDEX(Pagos_Odoo!$B:$B, MATCH(Q1723, Pagos_Odoo!$I:$I, 0)), "Sin Pago"))</f>
        <v/>
      </c>
      <c r="Y1723" s="79">
        <f>IF(X1723="Sin Pago","",IFERROR(INDEX(Pagos_Odoo!$C:$C, MATCH(X1723, Pagos_Odoo!$B:$B, 0)), ""))</f>
        <v/>
      </c>
      <c r="Z1723" s="80">
        <f>IF(X1723="Sin Pago","",IFERROR(INDEX(Pagos_Odoo!$A:$A, MATCH(X1723, Pagos_Odoo!$B:$B, 0)), ""))</f>
        <v/>
      </c>
      <c r="AA1723" s="79">
        <f>IF(X1723="Sin Pago","",IFERROR(INDEX(Pagos_Odoo!$F:$F, MATCH(X1723, Pagos_Odoo!$B:$B, 0)), ""))</f>
        <v/>
      </c>
      <c r="AB1723" s="81">
        <f>IF(X1723="Sin Pago",0,IFERROR(INDEX(Pagos_Odoo!$E:$E, MATCH(X1723, Pagos_Odoo!$B:$B, 0)), 0))</f>
        <v/>
      </c>
      <c r="AC1723" s="79">
        <f>IF(X1723="Sin Pago","",IFERROR(INDEX(Pagos_Odoo!$G:$G, MATCH(X1723, Pagos_Odoo!$B:$B, 0)), ""))</f>
        <v/>
      </c>
      <c r="AD1723" s="82" t="n">
        <v>0</v>
      </c>
      <c r="AE1723" s="82" t="n"/>
      <c r="AF1723" s="82" t="n"/>
      <c r="AG1723" s="82">
        <f>IF(AN1723="","",AD1723+AE1723+AF1723)</f>
        <v/>
      </c>
      <c r="AH1723" s="81">
        <f>IF(AN1723="","",P1723*(1-AG1723))</f>
        <v/>
      </c>
      <c r="AI1723" s="81">
        <f>IF(AN1723="","",IF(Q1723="Sin Factura",0,IFERROR(INDEX(Facturas_Odoo!$H:$H, MATCH(Q1723, Facturas_Odoo!$B:$B, 0)), 0)*(1-AG1723)))</f>
        <v/>
      </c>
      <c r="AJ1723" s="81">
        <f>IF(AN1723="","",_xlfn.LET(idVenta, AN1723&amp;"",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23" s="81">
        <f>IF(AN1723="","",AH1723-AJ1723)</f>
        <v/>
      </c>
      <c r="AL1723" s="81">
        <f>IF(AN1723="","",IF(Q1723="Sin Factura","",AI1723-AJ1723))</f>
        <v/>
      </c>
      <c r="AM1723" s="81">
        <f>IF(AN1723="","",IF(Q1723="Sin Factura",0,P1723-IFERROR(INDEX(Facturas_Odoo!$H:$H, MATCH(Q1723, Facturas_Odoo!$B:$B, 0)), 0)))</f>
        <v/>
      </c>
      <c r="AN1723" s="79">
        <f>IF(AND(A1723="", J1723=""), "", IF(A1723&lt;&gt;"", VALUE(MID(A1723,2,LEN(A1723))), AN1722))</f>
        <v/>
      </c>
      <c r="AO1723" s="79">
        <f>IF(AN1723="","",IF(AD1723=0,"OK",_xlfn.LET(monedaPago, IF(AA1723="","USD",AA1723), limitePermitido, IFERROR(VLOOKUP(monedaPago, Configuración!$A$2:$B$3, 2, FALSE), 0.15), IF(AD1723&gt;limitePermitido, "ALERTA: EXCESO (" &amp; TEXT(limitePermitido, "0%") &amp; " máx)", "OK"))))</f>
        <v/>
      </c>
      <c r="AP1723" s="79">
        <f>IF(AN1723="","",IF(AE1723=0,"OK",_xlfn.LET(fechaPago, Z1723, fechaFactura, R1723, diasCredito, IF(E1723="Pago inmediato", 0, IFERROR(VALUE(MID(E1723, 1, SEARCH(" ", E1723)-1)),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23" s="79">
        <f>IF(AN1723="","",IF(AND(N1723&gt;0, AG1723&gt;0), IF(Configuración!$K$2="NO", "ALERTA: DESCUENTO DOBLE NO PERMITIDO", "OK"), "OK"))</f>
        <v/>
      </c>
      <c r="AR1723" s="79">
        <f>IF(AN1723="","",IF(OR(AO1723&lt;&gt;"OK", AP1723&lt;&gt;"OK", AQ1723&lt;&gt;"OK"), "⚠️ REVISAR", "OK"))</f>
        <v/>
      </c>
    </row>
    <row r="1724">
      <c r="A1724" s="79">
        <f>IF('Ordenes_Odoo'!A1724="","",'Ordenes_Odoo'!A1724)</f>
        <v/>
      </c>
      <c r="B1724" s="80">
        <f>IF('Ordenes_Odoo'!B1724="","",'Ordenes_Odoo'!B1724)</f>
        <v/>
      </c>
      <c r="C1724" s="79">
        <f>IF('Ordenes_Odoo'!C1724="","",'Ordenes_Odoo'!C1724)</f>
        <v/>
      </c>
      <c r="D1724" s="79">
        <f>IF('Ordenes_Odoo'!D1724="","",'Ordenes_Odoo'!D1724)</f>
        <v/>
      </c>
      <c r="E1724" s="79">
        <f>IF('Ordenes_Odoo'!E1724="","",'Ordenes_Odoo'!E1724)</f>
        <v/>
      </c>
      <c r="F1724" s="79">
        <f>IF('Ordenes_Odoo'!F1724="","",'Ordenes_Odoo'!F1724)</f>
        <v/>
      </c>
      <c r="G1724" s="79">
        <f>IF('Ordenes_Odoo'!G1724="","",'Ordenes_Odoo'!G1724)</f>
        <v/>
      </c>
      <c r="H1724" s="79">
        <f>IF('Ordenes_Odoo'!H1724="","",'Ordenes_Odoo'!H1724)</f>
        <v/>
      </c>
      <c r="I1724" s="79">
        <f>IF('Ordenes_Odoo'!I1724="","",'Ordenes_Odoo'!I1724)</f>
        <v/>
      </c>
      <c r="J1724" s="79">
        <f>IF('Ordenes_Odoo'!J1724="","",'Ordenes_Odoo'!J1724)</f>
        <v/>
      </c>
      <c r="K1724" s="81">
        <f>IF('Ordenes_Odoo'!K1724="","",'Ordenes_Odoo'!K1724)</f>
        <v/>
      </c>
      <c r="L1724" s="81">
        <f>IF('Ordenes_Odoo'!L1724="","",'Ordenes_Odoo'!L1724)</f>
        <v/>
      </c>
      <c r="M1724" s="79">
        <f>IF('Ordenes_Odoo'!M1724="","",'Ordenes_Odoo'!M1724)</f>
        <v/>
      </c>
      <c r="N1724" s="79">
        <f>IF('Ordenes_Odoo'!N1724="","",'Ordenes_Odoo'!N1724)</f>
        <v/>
      </c>
      <c r="O1724" s="81">
        <f>IF('Ordenes_Odoo'!O1724="","",'Ordenes_Odoo'!O1724)</f>
        <v/>
      </c>
      <c r="P1724" s="81">
        <f>IF('Ordenes_Odoo'!P1724="","",'Ordenes_Odoo'!P1724)</f>
        <v/>
      </c>
      <c r="Q1724" s="79">
        <f>IF(A1724="","",IFERROR(INDEX(Facturas_Odoo!$B:$B, MATCH(A1724, Facturas_Odoo!$D:$D, 0)), "Sin Factura"))</f>
        <v/>
      </c>
      <c r="R1724" s="80">
        <f>IF(Q1724="Sin Factura","",IFERROR(INDEX(Facturas_Odoo!$A:$A, MATCH(Q1724, Facturas_Odoo!$B:$B, 0)), ""))</f>
        <v/>
      </c>
      <c r="S1724" s="79">
        <f>IF(Q1724="Sin Factura","",IFERROR(_xlfn.XLOOKUP(1, (Facturas_Odoo!$D:$D=A1724) * (Facturas_Odoo!$K:$K=I1724), Facturas_Odoo!$L:$L, ""), ""))</f>
        <v/>
      </c>
      <c r="T1724" s="81">
        <f>IF(Q1724="Sin Factura",0,IFERROR(_xlfn.XLOOKUP(1, (Facturas_Odoo!$D:$D=A1724) * (Facturas_Odoo!$K:$K=I1724), Facturas_Odoo!$M:$M, 0), 0))</f>
        <v/>
      </c>
      <c r="U1724" s="79">
        <f>IF(Q1724="Sin Factura",0,IFERROR(_xlfn.XLOOKUP(1, (Facturas_Odoo!$D:$D=A1724) * (Facturas_Odoo!$K:$K=I1724), Facturas_Odoo!$N:$N, 0), 0))</f>
        <v/>
      </c>
      <c r="V1724" s="79">
        <f>IF(Q1724="Sin Factura",0,IFERROR(_xlfn.XLOOKUP(1, (Facturas_Odoo!$D:$D=A1724) * (Facturas_Odoo!$K:$K=I1724), Facturas_Odoo!$O:$O, 0), 0))</f>
        <v/>
      </c>
      <c r="W1724" s="81">
        <f>IF(Q1724="Sin Factura",0,IFERROR(_xlfn.XLOOKUP(1, (Facturas_Odoo!$D:$D=A1724) * (Facturas_Odoo!$K:$K=I1724), Facturas_Odoo!$Q:$Q, 0), 0))</f>
        <v/>
      </c>
      <c r="X1724" s="79">
        <f>IF(OR(Q1724="Sin Factura",Q1724=""),"",IFERROR(INDEX(Pagos_Odoo!$B:$B, MATCH(Q1724, Pagos_Odoo!$I:$I, 0)), "Sin Pago"))</f>
        <v/>
      </c>
      <c r="Y1724" s="79">
        <f>IF(X1724="Sin Pago","",IFERROR(INDEX(Pagos_Odoo!$C:$C, MATCH(X1724, Pagos_Odoo!$B:$B, 0)), ""))</f>
        <v/>
      </c>
      <c r="Z1724" s="80">
        <f>IF(X1724="Sin Pago","",IFERROR(INDEX(Pagos_Odoo!$A:$A, MATCH(X1724, Pagos_Odoo!$B:$B, 0)), ""))</f>
        <v/>
      </c>
      <c r="AA1724" s="79">
        <f>IF(X1724="Sin Pago","",IFERROR(INDEX(Pagos_Odoo!$F:$F, MATCH(X1724, Pagos_Odoo!$B:$B, 0)), ""))</f>
        <v/>
      </c>
      <c r="AB1724" s="81">
        <f>IF(X1724="Sin Pago",0,IFERROR(INDEX(Pagos_Odoo!$E:$E, MATCH(X1724, Pagos_Odoo!$B:$B, 0)), 0))</f>
        <v/>
      </c>
      <c r="AC1724" s="79">
        <f>IF(X1724="Sin Pago","",IFERROR(INDEX(Pagos_Odoo!$G:$G, MATCH(X1724, Pagos_Odoo!$B:$B, 0)), ""))</f>
        <v/>
      </c>
      <c r="AD1724" s="82" t="n">
        <v>0</v>
      </c>
      <c r="AE1724" s="82" t="n"/>
      <c r="AF1724" s="82" t="n"/>
      <c r="AG1724" s="82">
        <f>IF(AN1724="","",AD1724+AE1724+AF1724)</f>
        <v/>
      </c>
      <c r="AH1724" s="81">
        <f>IF(AN1724="","",P1724*(1-AG1724))</f>
        <v/>
      </c>
      <c r="AI1724" s="81">
        <f>IF(AN1724="","",IF(Q1724="Sin Factura",0,IFERROR(INDEX(Facturas_Odoo!$H:$H, MATCH(Q1724, Facturas_Odoo!$B:$B, 0)), 0)*(1-AG1724)))</f>
        <v/>
      </c>
      <c r="AJ1724" s="81">
        <f>IF(AN1724="","",_xlfn.LET(idVenta, AN1724&amp;"",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24" s="81">
        <f>IF(AN1724="","",AH1724-AJ1724)</f>
        <v/>
      </c>
      <c r="AL1724" s="81">
        <f>IF(AN1724="","",IF(Q1724="Sin Factura","",AI1724-AJ1724))</f>
        <v/>
      </c>
      <c r="AM1724" s="81">
        <f>IF(AN1724="","",IF(Q1724="Sin Factura",0,P1724-IFERROR(INDEX(Facturas_Odoo!$H:$H, MATCH(Q1724, Facturas_Odoo!$B:$B, 0)), 0)))</f>
        <v/>
      </c>
      <c r="AN1724" s="79">
        <f>IF(AND(A1724="", J1724=""), "", IF(A1724&lt;&gt;"", VALUE(MID(A1724,2,LEN(A1724))), AN1723))</f>
        <v/>
      </c>
      <c r="AO1724" s="79">
        <f>IF(AN1724="","",IF(AD1724=0,"OK",_xlfn.LET(monedaPago, IF(AA1724="","USD",AA1724), limitePermitido, IFERROR(VLOOKUP(monedaPago, Configuración!$A$2:$B$3, 2, FALSE), 0.15), IF(AD1724&gt;limitePermitido, "ALERTA: EXCESO (" &amp; TEXT(limitePermitido, "0%") &amp; " máx)", "OK"))))</f>
        <v/>
      </c>
      <c r="AP1724" s="79">
        <f>IF(AN1724="","",IF(AE1724=0,"OK",_xlfn.LET(fechaPago, Z1724, fechaFactura, R1724, diasCredito, IF(E1724="Pago inmediato", 0, IFERROR(VALUE(MID(E1724, 1, SEARCH(" ", E1724)-1)),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24" s="79">
        <f>IF(AN1724="","",IF(AND(N1724&gt;0, AG1724&gt;0), IF(Configuración!$K$2="NO", "ALERTA: DESCUENTO DOBLE NO PERMITIDO", "OK"), "OK"))</f>
        <v/>
      </c>
      <c r="AR1724" s="79">
        <f>IF(AN1724="","",IF(OR(AO1724&lt;&gt;"OK", AP1724&lt;&gt;"OK", AQ1724&lt;&gt;"OK"), "⚠️ REVISAR", "OK"))</f>
        <v/>
      </c>
    </row>
    <row r="1725">
      <c r="A1725" s="79">
        <f>IF('Ordenes_Odoo'!A1725="","",'Ordenes_Odoo'!A1725)</f>
        <v/>
      </c>
      <c r="B1725" s="80">
        <f>IF('Ordenes_Odoo'!B1725="","",'Ordenes_Odoo'!B1725)</f>
        <v/>
      </c>
      <c r="C1725" s="79">
        <f>IF('Ordenes_Odoo'!C1725="","",'Ordenes_Odoo'!C1725)</f>
        <v/>
      </c>
      <c r="D1725" s="79">
        <f>IF('Ordenes_Odoo'!D1725="","",'Ordenes_Odoo'!D1725)</f>
        <v/>
      </c>
      <c r="E1725" s="79">
        <f>IF('Ordenes_Odoo'!E1725="","",'Ordenes_Odoo'!E1725)</f>
        <v/>
      </c>
      <c r="F1725" s="79">
        <f>IF('Ordenes_Odoo'!F1725="","",'Ordenes_Odoo'!F1725)</f>
        <v/>
      </c>
      <c r="G1725" s="79">
        <f>IF('Ordenes_Odoo'!G1725="","",'Ordenes_Odoo'!G1725)</f>
        <v/>
      </c>
      <c r="H1725" s="79">
        <f>IF('Ordenes_Odoo'!H1725="","",'Ordenes_Odoo'!H1725)</f>
        <v/>
      </c>
      <c r="I1725" s="79">
        <f>IF('Ordenes_Odoo'!I1725="","",'Ordenes_Odoo'!I1725)</f>
        <v/>
      </c>
      <c r="J1725" s="79">
        <f>IF('Ordenes_Odoo'!J1725="","",'Ordenes_Odoo'!J1725)</f>
        <v/>
      </c>
      <c r="K1725" s="81">
        <f>IF('Ordenes_Odoo'!K1725="","",'Ordenes_Odoo'!K1725)</f>
        <v/>
      </c>
      <c r="L1725" s="81">
        <f>IF('Ordenes_Odoo'!L1725="","",'Ordenes_Odoo'!L1725)</f>
        <v/>
      </c>
      <c r="M1725" s="79">
        <f>IF('Ordenes_Odoo'!M1725="","",'Ordenes_Odoo'!M1725)</f>
        <v/>
      </c>
      <c r="N1725" s="79">
        <f>IF('Ordenes_Odoo'!N1725="","",'Ordenes_Odoo'!N1725)</f>
        <v/>
      </c>
      <c r="O1725" s="81">
        <f>IF('Ordenes_Odoo'!O1725="","",'Ordenes_Odoo'!O1725)</f>
        <v/>
      </c>
      <c r="P1725" s="81">
        <f>IF('Ordenes_Odoo'!P1725="","",'Ordenes_Odoo'!P1725)</f>
        <v/>
      </c>
      <c r="Q1725" s="79">
        <f>IF(A1725="","",IFERROR(INDEX(Facturas_Odoo!$B:$B, MATCH(A1725, Facturas_Odoo!$D:$D, 0)), "Sin Factura"))</f>
        <v/>
      </c>
      <c r="R1725" s="80">
        <f>IF(Q1725="Sin Factura","",IFERROR(INDEX(Facturas_Odoo!$A:$A, MATCH(Q1725, Facturas_Odoo!$B:$B, 0)), ""))</f>
        <v/>
      </c>
      <c r="S1725" s="79">
        <f>IF(Q1725="Sin Factura","",IFERROR(_xlfn.XLOOKUP(1, (Facturas_Odoo!$D:$D=A1725) * (Facturas_Odoo!$K:$K=I1725), Facturas_Odoo!$L:$L, ""), ""))</f>
        <v/>
      </c>
      <c r="T1725" s="81">
        <f>IF(Q1725="Sin Factura",0,IFERROR(_xlfn.XLOOKUP(1, (Facturas_Odoo!$D:$D=A1725) * (Facturas_Odoo!$K:$K=I1725), Facturas_Odoo!$M:$M, 0), 0))</f>
        <v/>
      </c>
      <c r="U1725" s="79">
        <f>IF(Q1725="Sin Factura",0,IFERROR(_xlfn.XLOOKUP(1, (Facturas_Odoo!$D:$D=A1725) * (Facturas_Odoo!$K:$K=I1725), Facturas_Odoo!$N:$N, 0), 0))</f>
        <v/>
      </c>
      <c r="V1725" s="79">
        <f>IF(Q1725="Sin Factura",0,IFERROR(_xlfn.XLOOKUP(1, (Facturas_Odoo!$D:$D=A1725) * (Facturas_Odoo!$K:$K=I1725), Facturas_Odoo!$O:$O, 0), 0))</f>
        <v/>
      </c>
      <c r="W1725" s="81">
        <f>IF(Q1725="Sin Factura",0,IFERROR(_xlfn.XLOOKUP(1, (Facturas_Odoo!$D:$D=A1725) * (Facturas_Odoo!$K:$K=I1725), Facturas_Odoo!$Q:$Q, 0), 0))</f>
        <v/>
      </c>
      <c r="X1725" s="79">
        <f>IF(OR(Q1725="Sin Factura",Q1725=""),"",IFERROR(INDEX(Pagos_Odoo!$B:$B, MATCH(Q1725, Pagos_Odoo!$I:$I, 0)), "Sin Pago"))</f>
        <v/>
      </c>
      <c r="Y1725" s="79">
        <f>IF(X1725="Sin Pago","",IFERROR(INDEX(Pagos_Odoo!$C:$C, MATCH(X1725, Pagos_Odoo!$B:$B, 0)), ""))</f>
        <v/>
      </c>
      <c r="Z1725" s="80">
        <f>IF(X1725="Sin Pago","",IFERROR(INDEX(Pagos_Odoo!$A:$A, MATCH(X1725, Pagos_Odoo!$B:$B, 0)), ""))</f>
        <v/>
      </c>
      <c r="AA1725" s="79">
        <f>IF(X1725="Sin Pago","",IFERROR(INDEX(Pagos_Odoo!$F:$F, MATCH(X1725, Pagos_Odoo!$B:$B, 0)), ""))</f>
        <v/>
      </c>
      <c r="AB1725" s="81">
        <f>IF(X1725="Sin Pago",0,IFERROR(INDEX(Pagos_Odoo!$E:$E, MATCH(X1725, Pagos_Odoo!$B:$B, 0)), 0))</f>
        <v/>
      </c>
      <c r="AC1725" s="79">
        <f>IF(X1725="Sin Pago","",IFERROR(INDEX(Pagos_Odoo!$G:$G, MATCH(X1725, Pagos_Odoo!$B:$B, 0)), ""))</f>
        <v/>
      </c>
      <c r="AD1725" s="82" t="n">
        <v>0</v>
      </c>
      <c r="AE1725" s="82" t="n"/>
      <c r="AF1725" s="82" t="n"/>
      <c r="AG1725" s="82">
        <f>IF(AN1725="","",AD1725+AE1725+AF1725)</f>
        <v/>
      </c>
      <c r="AH1725" s="81">
        <f>IF(AN1725="","",P1725*(1-AG1725))</f>
        <v/>
      </c>
      <c r="AI1725" s="81">
        <f>IF(AN1725="","",IF(Q1725="Sin Factura",0,IFERROR(INDEX(Facturas_Odoo!$H:$H, MATCH(Q1725, Facturas_Odoo!$B:$B, 0)), 0)*(1-AG1725)))</f>
        <v/>
      </c>
      <c r="AJ1725" s="81">
        <f>IF(AN1725="","",_xlfn.LET(idVenta, AN1725&amp;"",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25" s="81">
        <f>IF(AN1725="","",AH1725-AJ1725)</f>
        <v/>
      </c>
      <c r="AL1725" s="81">
        <f>IF(AN1725="","",IF(Q1725="Sin Factura","",AI1725-AJ1725))</f>
        <v/>
      </c>
      <c r="AM1725" s="81">
        <f>IF(AN1725="","",IF(Q1725="Sin Factura",0,P1725-IFERROR(INDEX(Facturas_Odoo!$H:$H, MATCH(Q1725, Facturas_Odoo!$B:$B, 0)), 0)))</f>
        <v/>
      </c>
      <c r="AN1725" s="79">
        <f>IF(AND(A1725="", J1725=""), "", IF(A1725&lt;&gt;"", VALUE(MID(A1725,2,LEN(A1725))), AN1724))</f>
        <v/>
      </c>
      <c r="AO1725" s="79">
        <f>IF(AN1725="","",IF(AD1725=0,"OK",_xlfn.LET(monedaPago, IF(AA1725="","USD",AA1725), limitePermitido, IFERROR(VLOOKUP(monedaPago, Configuración!$A$2:$B$3, 2, FALSE), 0.15), IF(AD1725&gt;limitePermitido, "ALERTA: EXCESO (" &amp; TEXT(limitePermitido, "0%") &amp; " máx)", "OK"))))</f>
        <v/>
      </c>
      <c r="AP1725" s="79">
        <f>IF(AN1725="","",IF(AE1725=0,"OK",_xlfn.LET(fechaPago, Z1725, fechaFactura, R1725, diasCredito, IF(E1725="Pago inmediato", 0, IFERROR(VALUE(MID(E1725, 1, SEARCH(" ", E1725)-1)),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25" s="79">
        <f>IF(AN1725="","",IF(AND(N1725&gt;0, AG1725&gt;0), IF(Configuración!$K$2="NO", "ALERTA: DESCUENTO DOBLE NO PERMITIDO", "OK"), "OK"))</f>
        <v/>
      </c>
      <c r="AR1725" s="79">
        <f>IF(AN1725="","",IF(OR(AO1725&lt;&gt;"OK", AP1725&lt;&gt;"OK", AQ1725&lt;&gt;"OK"), "⚠️ REVISAR", "OK"))</f>
        <v/>
      </c>
    </row>
    <row r="1726">
      <c r="A1726" s="79">
        <f>IF('Ordenes_Odoo'!A1726="","",'Ordenes_Odoo'!A1726)</f>
        <v/>
      </c>
      <c r="B1726" s="80">
        <f>IF('Ordenes_Odoo'!B1726="","",'Ordenes_Odoo'!B1726)</f>
        <v/>
      </c>
      <c r="C1726" s="79">
        <f>IF('Ordenes_Odoo'!C1726="","",'Ordenes_Odoo'!C1726)</f>
        <v/>
      </c>
      <c r="D1726" s="79">
        <f>IF('Ordenes_Odoo'!D1726="","",'Ordenes_Odoo'!D1726)</f>
        <v/>
      </c>
      <c r="E1726" s="79">
        <f>IF('Ordenes_Odoo'!E1726="","",'Ordenes_Odoo'!E1726)</f>
        <v/>
      </c>
      <c r="F1726" s="79">
        <f>IF('Ordenes_Odoo'!F1726="","",'Ordenes_Odoo'!F1726)</f>
        <v/>
      </c>
      <c r="G1726" s="79">
        <f>IF('Ordenes_Odoo'!G1726="","",'Ordenes_Odoo'!G1726)</f>
        <v/>
      </c>
      <c r="H1726" s="79">
        <f>IF('Ordenes_Odoo'!H1726="","",'Ordenes_Odoo'!H1726)</f>
        <v/>
      </c>
      <c r="I1726" s="79">
        <f>IF('Ordenes_Odoo'!I1726="","",'Ordenes_Odoo'!I1726)</f>
        <v/>
      </c>
      <c r="J1726" s="79">
        <f>IF('Ordenes_Odoo'!J1726="","",'Ordenes_Odoo'!J1726)</f>
        <v/>
      </c>
      <c r="K1726" s="81">
        <f>IF('Ordenes_Odoo'!K1726="","",'Ordenes_Odoo'!K1726)</f>
        <v/>
      </c>
      <c r="L1726" s="81">
        <f>IF('Ordenes_Odoo'!L1726="","",'Ordenes_Odoo'!L1726)</f>
        <v/>
      </c>
      <c r="M1726" s="79">
        <f>IF('Ordenes_Odoo'!M1726="","",'Ordenes_Odoo'!M1726)</f>
        <v/>
      </c>
      <c r="N1726" s="79">
        <f>IF('Ordenes_Odoo'!N1726="","",'Ordenes_Odoo'!N1726)</f>
        <v/>
      </c>
      <c r="O1726" s="81">
        <f>IF('Ordenes_Odoo'!O1726="","",'Ordenes_Odoo'!O1726)</f>
        <v/>
      </c>
      <c r="P1726" s="81">
        <f>IF('Ordenes_Odoo'!P1726="","",'Ordenes_Odoo'!P1726)</f>
        <v/>
      </c>
      <c r="Q1726" s="79">
        <f>IF(A1726="","",IFERROR(INDEX(Facturas_Odoo!$B:$B, MATCH(A1726, Facturas_Odoo!$D:$D, 0)), "Sin Factura"))</f>
        <v/>
      </c>
      <c r="R1726" s="80">
        <f>IF(Q1726="Sin Factura","",IFERROR(INDEX(Facturas_Odoo!$A:$A, MATCH(Q1726, Facturas_Odoo!$B:$B, 0)), ""))</f>
        <v/>
      </c>
      <c r="S1726" s="79">
        <f>IF(Q1726="Sin Factura","",IFERROR(_xlfn.XLOOKUP(1, (Facturas_Odoo!$D:$D=A1726) * (Facturas_Odoo!$K:$K=I1726), Facturas_Odoo!$L:$L, ""), ""))</f>
        <v/>
      </c>
      <c r="T1726" s="81">
        <f>IF(Q1726="Sin Factura",0,IFERROR(_xlfn.XLOOKUP(1, (Facturas_Odoo!$D:$D=A1726) * (Facturas_Odoo!$K:$K=I1726), Facturas_Odoo!$M:$M, 0), 0))</f>
        <v/>
      </c>
      <c r="U1726" s="79">
        <f>IF(Q1726="Sin Factura",0,IFERROR(_xlfn.XLOOKUP(1, (Facturas_Odoo!$D:$D=A1726) * (Facturas_Odoo!$K:$K=I1726), Facturas_Odoo!$N:$N, 0), 0))</f>
        <v/>
      </c>
      <c r="V1726" s="79">
        <f>IF(Q1726="Sin Factura",0,IFERROR(_xlfn.XLOOKUP(1, (Facturas_Odoo!$D:$D=A1726) * (Facturas_Odoo!$K:$K=I1726), Facturas_Odoo!$O:$O, 0), 0))</f>
        <v/>
      </c>
      <c r="W1726" s="81">
        <f>IF(Q1726="Sin Factura",0,IFERROR(_xlfn.XLOOKUP(1, (Facturas_Odoo!$D:$D=A1726) * (Facturas_Odoo!$K:$K=I1726), Facturas_Odoo!$Q:$Q, 0), 0))</f>
        <v/>
      </c>
      <c r="X1726" s="79">
        <f>IF(OR(Q1726="Sin Factura",Q1726=""),"",IFERROR(INDEX(Pagos_Odoo!$B:$B, MATCH(Q1726, Pagos_Odoo!$I:$I, 0)), "Sin Pago"))</f>
        <v/>
      </c>
      <c r="Y1726" s="79">
        <f>IF(X1726="Sin Pago","",IFERROR(INDEX(Pagos_Odoo!$C:$C, MATCH(X1726, Pagos_Odoo!$B:$B, 0)), ""))</f>
        <v/>
      </c>
      <c r="Z1726" s="80">
        <f>IF(X1726="Sin Pago","",IFERROR(INDEX(Pagos_Odoo!$A:$A, MATCH(X1726, Pagos_Odoo!$B:$B, 0)), ""))</f>
        <v/>
      </c>
      <c r="AA1726" s="79">
        <f>IF(X1726="Sin Pago","",IFERROR(INDEX(Pagos_Odoo!$F:$F, MATCH(X1726, Pagos_Odoo!$B:$B, 0)), ""))</f>
        <v/>
      </c>
      <c r="AB1726" s="81">
        <f>IF(X1726="Sin Pago",0,IFERROR(INDEX(Pagos_Odoo!$E:$E, MATCH(X1726, Pagos_Odoo!$B:$B, 0)), 0))</f>
        <v/>
      </c>
      <c r="AC1726" s="79">
        <f>IF(X1726="Sin Pago","",IFERROR(INDEX(Pagos_Odoo!$G:$G, MATCH(X1726, Pagos_Odoo!$B:$B, 0)), ""))</f>
        <v/>
      </c>
      <c r="AD1726" s="82" t="n">
        <v>0</v>
      </c>
      <c r="AE1726" s="82" t="n"/>
      <c r="AF1726" s="82" t="n"/>
      <c r="AG1726" s="82">
        <f>IF(AN1726="","",AD1726+AE1726+AF1726)</f>
        <v/>
      </c>
      <c r="AH1726" s="81">
        <f>IF(AN1726="","",P1726*(1-AG1726))</f>
        <v/>
      </c>
      <c r="AI1726" s="81">
        <f>IF(AN1726="","",IF(Q1726="Sin Factura",0,IFERROR(INDEX(Facturas_Odoo!$H:$H, MATCH(Q1726, Facturas_Odoo!$B:$B, 0)), 0)*(1-AG1726)))</f>
        <v/>
      </c>
      <c r="AJ1726" s="81">
        <f>IF(AN1726="","",_xlfn.LET(idVenta, AN1726&amp;"",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26" s="81">
        <f>IF(AN1726="","",AH1726-AJ1726)</f>
        <v/>
      </c>
      <c r="AL1726" s="81">
        <f>IF(AN1726="","",IF(Q1726="Sin Factura","",AI1726-AJ1726))</f>
        <v/>
      </c>
      <c r="AM1726" s="81">
        <f>IF(AN1726="","",IF(Q1726="Sin Factura",0,P1726-IFERROR(INDEX(Facturas_Odoo!$H:$H, MATCH(Q1726, Facturas_Odoo!$B:$B, 0)), 0)))</f>
        <v/>
      </c>
      <c r="AN1726" s="79">
        <f>IF(AND(A1726="", J1726=""), "", IF(A1726&lt;&gt;"", VALUE(MID(A1726,2,LEN(A1726))), AN1725))</f>
        <v/>
      </c>
      <c r="AO1726" s="79">
        <f>IF(AN1726="","",IF(AD1726=0,"OK",_xlfn.LET(monedaPago, IF(AA1726="","USD",AA1726), limitePermitido, IFERROR(VLOOKUP(monedaPago, Configuración!$A$2:$B$3, 2, FALSE), 0.15), IF(AD1726&gt;limitePermitido, "ALERTA: EXCESO (" &amp; TEXT(limitePermitido, "0%") &amp; " máx)", "OK"))))</f>
        <v/>
      </c>
      <c r="AP1726" s="79">
        <f>IF(AN1726="","",IF(AE1726=0,"OK",_xlfn.LET(fechaPago, Z1726, fechaFactura, R1726, diasCredito, IF(E1726="Pago inmediato", 0, IFERROR(VALUE(MID(E1726, 1, SEARCH(" ", E1726)-1)),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26" s="79">
        <f>IF(AN1726="","",IF(AND(N1726&gt;0, AG1726&gt;0), IF(Configuración!$K$2="NO", "ALERTA: DESCUENTO DOBLE NO PERMITIDO", "OK"), "OK"))</f>
        <v/>
      </c>
      <c r="AR1726" s="79">
        <f>IF(AN1726="","",IF(OR(AO1726&lt;&gt;"OK", AP1726&lt;&gt;"OK", AQ1726&lt;&gt;"OK"), "⚠️ REVISAR", "OK"))</f>
        <v/>
      </c>
    </row>
    <row r="1727">
      <c r="A1727" s="79">
        <f>IF('Ordenes_Odoo'!A1727="","",'Ordenes_Odoo'!A1727)</f>
        <v/>
      </c>
      <c r="B1727" s="80">
        <f>IF('Ordenes_Odoo'!B1727="","",'Ordenes_Odoo'!B1727)</f>
        <v/>
      </c>
      <c r="C1727" s="79">
        <f>IF('Ordenes_Odoo'!C1727="","",'Ordenes_Odoo'!C1727)</f>
        <v/>
      </c>
      <c r="D1727" s="79">
        <f>IF('Ordenes_Odoo'!D1727="","",'Ordenes_Odoo'!D1727)</f>
        <v/>
      </c>
      <c r="E1727" s="79">
        <f>IF('Ordenes_Odoo'!E1727="","",'Ordenes_Odoo'!E1727)</f>
        <v/>
      </c>
      <c r="F1727" s="79">
        <f>IF('Ordenes_Odoo'!F1727="","",'Ordenes_Odoo'!F1727)</f>
        <v/>
      </c>
      <c r="G1727" s="79">
        <f>IF('Ordenes_Odoo'!G1727="","",'Ordenes_Odoo'!G1727)</f>
        <v/>
      </c>
      <c r="H1727" s="79">
        <f>IF('Ordenes_Odoo'!H1727="","",'Ordenes_Odoo'!H1727)</f>
        <v/>
      </c>
      <c r="I1727" s="79">
        <f>IF('Ordenes_Odoo'!I1727="","",'Ordenes_Odoo'!I1727)</f>
        <v/>
      </c>
      <c r="J1727" s="79">
        <f>IF('Ordenes_Odoo'!J1727="","",'Ordenes_Odoo'!J1727)</f>
        <v/>
      </c>
      <c r="K1727" s="81">
        <f>IF('Ordenes_Odoo'!K1727="","",'Ordenes_Odoo'!K1727)</f>
        <v/>
      </c>
      <c r="L1727" s="81">
        <f>IF('Ordenes_Odoo'!L1727="","",'Ordenes_Odoo'!L1727)</f>
        <v/>
      </c>
      <c r="M1727" s="79">
        <f>IF('Ordenes_Odoo'!M1727="","",'Ordenes_Odoo'!M1727)</f>
        <v/>
      </c>
      <c r="N1727" s="79">
        <f>IF('Ordenes_Odoo'!N1727="","",'Ordenes_Odoo'!N1727)</f>
        <v/>
      </c>
      <c r="O1727" s="81">
        <f>IF('Ordenes_Odoo'!O1727="","",'Ordenes_Odoo'!O1727)</f>
        <v/>
      </c>
      <c r="P1727" s="81">
        <f>IF('Ordenes_Odoo'!P1727="","",'Ordenes_Odoo'!P1727)</f>
        <v/>
      </c>
      <c r="Q1727" s="79">
        <f>IF(A1727="","",IFERROR(INDEX(Facturas_Odoo!$B:$B, MATCH(A1727, Facturas_Odoo!$D:$D, 0)), "Sin Factura"))</f>
        <v/>
      </c>
      <c r="R1727" s="80">
        <f>IF(Q1727="Sin Factura","",IFERROR(INDEX(Facturas_Odoo!$A:$A, MATCH(Q1727, Facturas_Odoo!$B:$B, 0)), ""))</f>
        <v/>
      </c>
      <c r="S1727" s="79">
        <f>IF(Q1727="Sin Factura","",IFERROR(_xlfn.XLOOKUP(1, (Facturas_Odoo!$D:$D=A1727) * (Facturas_Odoo!$K:$K=I1727), Facturas_Odoo!$L:$L, ""), ""))</f>
        <v/>
      </c>
      <c r="T1727" s="81">
        <f>IF(Q1727="Sin Factura",0,IFERROR(_xlfn.XLOOKUP(1, (Facturas_Odoo!$D:$D=A1727) * (Facturas_Odoo!$K:$K=I1727), Facturas_Odoo!$M:$M, 0), 0))</f>
        <v/>
      </c>
      <c r="U1727" s="79">
        <f>IF(Q1727="Sin Factura",0,IFERROR(_xlfn.XLOOKUP(1, (Facturas_Odoo!$D:$D=A1727) * (Facturas_Odoo!$K:$K=I1727), Facturas_Odoo!$N:$N, 0), 0))</f>
        <v/>
      </c>
      <c r="V1727" s="79">
        <f>IF(Q1727="Sin Factura",0,IFERROR(_xlfn.XLOOKUP(1, (Facturas_Odoo!$D:$D=A1727) * (Facturas_Odoo!$K:$K=I1727), Facturas_Odoo!$O:$O, 0), 0))</f>
        <v/>
      </c>
      <c r="W1727" s="81">
        <f>IF(Q1727="Sin Factura",0,IFERROR(_xlfn.XLOOKUP(1, (Facturas_Odoo!$D:$D=A1727) * (Facturas_Odoo!$K:$K=I1727), Facturas_Odoo!$Q:$Q, 0), 0))</f>
        <v/>
      </c>
      <c r="X1727" s="79">
        <f>IF(OR(Q1727="Sin Factura",Q1727=""),"",IFERROR(INDEX(Pagos_Odoo!$B:$B, MATCH(Q1727, Pagos_Odoo!$I:$I, 0)), "Sin Pago"))</f>
        <v/>
      </c>
      <c r="Y1727" s="79">
        <f>IF(X1727="Sin Pago","",IFERROR(INDEX(Pagos_Odoo!$C:$C, MATCH(X1727, Pagos_Odoo!$B:$B, 0)), ""))</f>
        <v/>
      </c>
      <c r="Z1727" s="80">
        <f>IF(X1727="Sin Pago","",IFERROR(INDEX(Pagos_Odoo!$A:$A, MATCH(X1727, Pagos_Odoo!$B:$B, 0)), ""))</f>
        <v/>
      </c>
      <c r="AA1727" s="79">
        <f>IF(X1727="Sin Pago","",IFERROR(INDEX(Pagos_Odoo!$F:$F, MATCH(X1727, Pagos_Odoo!$B:$B, 0)), ""))</f>
        <v/>
      </c>
      <c r="AB1727" s="81">
        <f>IF(X1727="Sin Pago",0,IFERROR(INDEX(Pagos_Odoo!$E:$E, MATCH(X1727, Pagos_Odoo!$B:$B, 0)), 0))</f>
        <v/>
      </c>
      <c r="AC1727" s="79">
        <f>IF(X1727="Sin Pago","",IFERROR(INDEX(Pagos_Odoo!$G:$G, MATCH(X1727, Pagos_Odoo!$B:$B, 0)), ""))</f>
        <v/>
      </c>
      <c r="AD1727" s="82" t="n">
        <v>0</v>
      </c>
      <c r="AE1727" s="82" t="n"/>
      <c r="AF1727" s="82" t="n"/>
      <c r="AG1727" s="82">
        <f>IF(AN1727="","",AD1727+AE1727+AF1727)</f>
        <v/>
      </c>
      <c r="AH1727" s="81">
        <f>IF(AN1727="","",P1727*(1-AG1727))</f>
        <v/>
      </c>
      <c r="AI1727" s="81">
        <f>IF(AN1727="","",IF(Q1727="Sin Factura",0,IFERROR(INDEX(Facturas_Odoo!$H:$H, MATCH(Q1727, Facturas_Odoo!$B:$B, 0)), 0)*(1-AG1727)))</f>
        <v/>
      </c>
      <c r="AJ1727" s="81">
        <f>IF(AN1727="","",_xlfn.LET(idVenta, AN1727&amp;"",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27" s="81">
        <f>IF(AN1727="","",AH1727-AJ1727)</f>
        <v/>
      </c>
      <c r="AL1727" s="81">
        <f>IF(AN1727="","",IF(Q1727="Sin Factura","",AI1727-AJ1727))</f>
        <v/>
      </c>
      <c r="AM1727" s="81">
        <f>IF(AN1727="","",IF(Q1727="Sin Factura",0,P1727-IFERROR(INDEX(Facturas_Odoo!$H:$H, MATCH(Q1727, Facturas_Odoo!$B:$B, 0)), 0)))</f>
        <v/>
      </c>
      <c r="AN1727" s="79">
        <f>IF(AND(A1727="", J1727=""), "", IF(A1727&lt;&gt;"", VALUE(MID(A1727,2,LEN(A1727))), AN1726))</f>
        <v/>
      </c>
      <c r="AO1727" s="79">
        <f>IF(AN1727="","",IF(AD1727=0,"OK",_xlfn.LET(monedaPago, IF(AA1727="","USD",AA1727), limitePermitido, IFERROR(VLOOKUP(monedaPago, Configuración!$A$2:$B$3, 2, FALSE), 0.15), IF(AD1727&gt;limitePermitido, "ALERTA: EXCESO (" &amp; TEXT(limitePermitido, "0%") &amp; " máx)", "OK"))))</f>
        <v/>
      </c>
      <c r="AP1727" s="79">
        <f>IF(AN1727="","",IF(AE1727=0,"OK",_xlfn.LET(fechaPago, Z1727, fechaFactura, R1727, diasCredito, IF(E1727="Pago inmediato", 0, IFERROR(VALUE(MID(E1727, 1, SEARCH(" ", E1727)-1)),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27" s="79">
        <f>IF(AN1727="","",IF(AND(N1727&gt;0, AG1727&gt;0), IF(Configuración!$K$2="NO", "ALERTA: DESCUENTO DOBLE NO PERMITIDO", "OK"), "OK"))</f>
        <v/>
      </c>
      <c r="AR1727" s="79">
        <f>IF(AN1727="","",IF(OR(AO1727&lt;&gt;"OK", AP1727&lt;&gt;"OK", AQ1727&lt;&gt;"OK"), "⚠️ REVISAR", "OK"))</f>
        <v/>
      </c>
    </row>
    <row r="1728">
      <c r="A1728" s="79">
        <f>IF('Ordenes_Odoo'!A1728="","",'Ordenes_Odoo'!A1728)</f>
        <v/>
      </c>
      <c r="B1728" s="80">
        <f>IF('Ordenes_Odoo'!B1728="","",'Ordenes_Odoo'!B1728)</f>
        <v/>
      </c>
      <c r="C1728" s="79">
        <f>IF('Ordenes_Odoo'!C1728="","",'Ordenes_Odoo'!C1728)</f>
        <v/>
      </c>
      <c r="D1728" s="79">
        <f>IF('Ordenes_Odoo'!D1728="","",'Ordenes_Odoo'!D1728)</f>
        <v/>
      </c>
      <c r="E1728" s="79">
        <f>IF('Ordenes_Odoo'!E1728="","",'Ordenes_Odoo'!E1728)</f>
        <v/>
      </c>
      <c r="F1728" s="79">
        <f>IF('Ordenes_Odoo'!F1728="","",'Ordenes_Odoo'!F1728)</f>
        <v/>
      </c>
      <c r="G1728" s="79">
        <f>IF('Ordenes_Odoo'!G1728="","",'Ordenes_Odoo'!G1728)</f>
        <v/>
      </c>
      <c r="H1728" s="79">
        <f>IF('Ordenes_Odoo'!H1728="","",'Ordenes_Odoo'!H1728)</f>
        <v/>
      </c>
      <c r="I1728" s="79">
        <f>IF('Ordenes_Odoo'!I1728="","",'Ordenes_Odoo'!I1728)</f>
        <v/>
      </c>
      <c r="J1728" s="79">
        <f>IF('Ordenes_Odoo'!J1728="","",'Ordenes_Odoo'!J1728)</f>
        <v/>
      </c>
      <c r="K1728" s="81">
        <f>IF('Ordenes_Odoo'!K1728="","",'Ordenes_Odoo'!K1728)</f>
        <v/>
      </c>
      <c r="L1728" s="81">
        <f>IF('Ordenes_Odoo'!L1728="","",'Ordenes_Odoo'!L1728)</f>
        <v/>
      </c>
      <c r="M1728" s="79">
        <f>IF('Ordenes_Odoo'!M1728="","",'Ordenes_Odoo'!M1728)</f>
        <v/>
      </c>
      <c r="N1728" s="79">
        <f>IF('Ordenes_Odoo'!N1728="","",'Ordenes_Odoo'!N1728)</f>
        <v/>
      </c>
      <c r="O1728" s="81">
        <f>IF('Ordenes_Odoo'!O1728="","",'Ordenes_Odoo'!O1728)</f>
        <v/>
      </c>
      <c r="P1728" s="81">
        <f>IF('Ordenes_Odoo'!P1728="","",'Ordenes_Odoo'!P1728)</f>
        <v/>
      </c>
      <c r="Q1728" s="79">
        <f>IF(A1728="","",IFERROR(INDEX(Facturas_Odoo!$B:$B, MATCH(A1728, Facturas_Odoo!$D:$D, 0)), "Sin Factura"))</f>
        <v/>
      </c>
      <c r="R1728" s="80">
        <f>IF(Q1728="Sin Factura","",IFERROR(INDEX(Facturas_Odoo!$A:$A, MATCH(Q1728, Facturas_Odoo!$B:$B, 0)), ""))</f>
        <v/>
      </c>
      <c r="S1728" s="79">
        <f>IF(Q1728="Sin Factura","",IFERROR(_xlfn.XLOOKUP(1, (Facturas_Odoo!$D:$D=A1728) * (Facturas_Odoo!$K:$K=I1728), Facturas_Odoo!$L:$L, ""), ""))</f>
        <v/>
      </c>
      <c r="T1728" s="81">
        <f>IF(Q1728="Sin Factura",0,IFERROR(_xlfn.XLOOKUP(1, (Facturas_Odoo!$D:$D=A1728) * (Facturas_Odoo!$K:$K=I1728), Facturas_Odoo!$M:$M, 0), 0))</f>
        <v/>
      </c>
      <c r="U1728" s="79">
        <f>IF(Q1728="Sin Factura",0,IFERROR(_xlfn.XLOOKUP(1, (Facturas_Odoo!$D:$D=A1728) * (Facturas_Odoo!$K:$K=I1728), Facturas_Odoo!$N:$N, 0), 0))</f>
        <v/>
      </c>
      <c r="V1728" s="79">
        <f>IF(Q1728="Sin Factura",0,IFERROR(_xlfn.XLOOKUP(1, (Facturas_Odoo!$D:$D=A1728) * (Facturas_Odoo!$K:$K=I1728), Facturas_Odoo!$O:$O, 0), 0))</f>
        <v/>
      </c>
      <c r="W1728" s="81">
        <f>IF(Q1728="Sin Factura",0,IFERROR(_xlfn.XLOOKUP(1, (Facturas_Odoo!$D:$D=A1728) * (Facturas_Odoo!$K:$K=I1728), Facturas_Odoo!$Q:$Q, 0), 0))</f>
        <v/>
      </c>
      <c r="X1728" s="79">
        <f>IF(OR(Q1728="Sin Factura",Q1728=""),"",IFERROR(INDEX(Pagos_Odoo!$B:$B, MATCH(Q1728, Pagos_Odoo!$I:$I, 0)), "Sin Pago"))</f>
        <v/>
      </c>
      <c r="Y1728" s="79">
        <f>IF(X1728="Sin Pago","",IFERROR(INDEX(Pagos_Odoo!$C:$C, MATCH(X1728, Pagos_Odoo!$B:$B, 0)), ""))</f>
        <v/>
      </c>
      <c r="Z1728" s="80">
        <f>IF(X1728="Sin Pago","",IFERROR(INDEX(Pagos_Odoo!$A:$A, MATCH(X1728, Pagos_Odoo!$B:$B, 0)), ""))</f>
        <v/>
      </c>
      <c r="AA1728" s="79">
        <f>IF(X1728="Sin Pago","",IFERROR(INDEX(Pagos_Odoo!$F:$F, MATCH(X1728, Pagos_Odoo!$B:$B, 0)), ""))</f>
        <v/>
      </c>
      <c r="AB1728" s="81">
        <f>IF(X1728="Sin Pago",0,IFERROR(INDEX(Pagos_Odoo!$E:$E, MATCH(X1728, Pagos_Odoo!$B:$B, 0)), 0))</f>
        <v/>
      </c>
      <c r="AC1728" s="79">
        <f>IF(X1728="Sin Pago","",IFERROR(INDEX(Pagos_Odoo!$G:$G, MATCH(X1728, Pagos_Odoo!$B:$B, 0)), ""))</f>
        <v/>
      </c>
      <c r="AD1728" s="82" t="n">
        <v>0</v>
      </c>
      <c r="AE1728" s="82" t="n"/>
      <c r="AF1728" s="82" t="n"/>
      <c r="AG1728" s="82">
        <f>IF(AN1728="","",AD1728+AE1728+AF1728)</f>
        <v/>
      </c>
      <c r="AH1728" s="81">
        <f>IF(AN1728="","",P1728*(1-AG1728))</f>
        <v/>
      </c>
      <c r="AI1728" s="81">
        <f>IF(AN1728="","",IF(Q1728="Sin Factura",0,IFERROR(INDEX(Facturas_Odoo!$H:$H, MATCH(Q1728, Facturas_Odoo!$B:$B, 0)), 0)*(1-AG1728)))</f>
        <v/>
      </c>
      <c r="AJ1728" s="81">
        <f>IF(AN1728="","",_xlfn.LET(idVenta, AN1728&amp;"",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28" s="81">
        <f>IF(AN1728="","",AH1728-AJ1728)</f>
        <v/>
      </c>
      <c r="AL1728" s="81">
        <f>IF(AN1728="","",IF(Q1728="Sin Factura","",AI1728-AJ1728))</f>
        <v/>
      </c>
      <c r="AM1728" s="81">
        <f>IF(AN1728="","",IF(Q1728="Sin Factura",0,P1728-IFERROR(INDEX(Facturas_Odoo!$H:$H, MATCH(Q1728, Facturas_Odoo!$B:$B, 0)), 0)))</f>
        <v/>
      </c>
      <c r="AN1728" s="79">
        <f>IF(AND(A1728="", J1728=""), "", IF(A1728&lt;&gt;"", VALUE(MID(A1728,2,LEN(A1728))), AN1727))</f>
        <v/>
      </c>
      <c r="AO1728" s="79">
        <f>IF(AN1728="","",IF(AD1728=0,"OK",_xlfn.LET(monedaPago, IF(AA1728="","USD",AA1728), limitePermitido, IFERROR(VLOOKUP(monedaPago, Configuración!$A$2:$B$3, 2, FALSE), 0.15), IF(AD1728&gt;limitePermitido, "ALERTA: EXCESO (" &amp; TEXT(limitePermitido, "0%") &amp; " máx)", "OK"))))</f>
        <v/>
      </c>
      <c r="AP1728" s="79">
        <f>IF(AN1728="","",IF(AE1728=0,"OK",_xlfn.LET(fechaPago, Z1728, fechaFactura, R1728, diasCredito, IF(E1728="Pago inmediato", 0, IFERROR(VALUE(MID(E1728, 1, SEARCH(" ", E1728)-1)),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28" s="79">
        <f>IF(AN1728="","",IF(AND(N1728&gt;0, AG1728&gt;0), IF(Configuración!$K$2="NO", "ALERTA: DESCUENTO DOBLE NO PERMITIDO", "OK"), "OK"))</f>
        <v/>
      </c>
      <c r="AR1728" s="79">
        <f>IF(AN1728="","",IF(OR(AO1728&lt;&gt;"OK", AP1728&lt;&gt;"OK", AQ1728&lt;&gt;"OK"), "⚠️ REVISAR", "OK"))</f>
        <v/>
      </c>
    </row>
    <row r="1729">
      <c r="A1729" s="79">
        <f>IF('Ordenes_Odoo'!A1729="","",'Ordenes_Odoo'!A1729)</f>
        <v/>
      </c>
      <c r="B1729" s="80">
        <f>IF('Ordenes_Odoo'!B1729="","",'Ordenes_Odoo'!B1729)</f>
        <v/>
      </c>
      <c r="C1729" s="79">
        <f>IF('Ordenes_Odoo'!C1729="","",'Ordenes_Odoo'!C1729)</f>
        <v/>
      </c>
      <c r="D1729" s="79">
        <f>IF('Ordenes_Odoo'!D1729="","",'Ordenes_Odoo'!D1729)</f>
        <v/>
      </c>
      <c r="E1729" s="79">
        <f>IF('Ordenes_Odoo'!E1729="","",'Ordenes_Odoo'!E1729)</f>
        <v/>
      </c>
      <c r="F1729" s="79">
        <f>IF('Ordenes_Odoo'!F1729="","",'Ordenes_Odoo'!F1729)</f>
        <v/>
      </c>
      <c r="G1729" s="79">
        <f>IF('Ordenes_Odoo'!G1729="","",'Ordenes_Odoo'!G1729)</f>
        <v/>
      </c>
      <c r="H1729" s="79">
        <f>IF('Ordenes_Odoo'!H1729="","",'Ordenes_Odoo'!H1729)</f>
        <v/>
      </c>
      <c r="I1729" s="79">
        <f>IF('Ordenes_Odoo'!I1729="","",'Ordenes_Odoo'!I1729)</f>
        <v/>
      </c>
      <c r="J1729" s="79">
        <f>IF('Ordenes_Odoo'!J1729="","",'Ordenes_Odoo'!J1729)</f>
        <v/>
      </c>
      <c r="K1729" s="81">
        <f>IF('Ordenes_Odoo'!K1729="","",'Ordenes_Odoo'!K1729)</f>
        <v/>
      </c>
      <c r="L1729" s="81">
        <f>IF('Ordenes_Odoo'!L1729="","",'Ordenes_Odoo'!L1729)</f>
        <v/>
      </c>
      <c r="M1729" s="79">
        <f>IF('Ordenes_Odoo'!M1729="","",'Ordenes_Odoo'!M1729)</f>
        <v/>
      </c>
      <c r="N1729" s="79">
        <f>IF('Ordenes_Odoo'!N1729="","",'Ordenes_Odoo'!N1729)</f>
        <v/>
      </c>
      <c r="O1729" s="81">
        <f>IF('Ordenes_Odoo'!O1729="","",'Ordenes_Odoo'!O1729)</f>
        <v/>
      </c>
      <c r="P1729" s="81">
        <f>IF('Ordenes_Odoo'!P1729="","",'Ordenes_Odoo'!P1729)</f>
        <v/>
      </c>
      <c r="Q1729" s="79">
        <f>IF(A1729="","",IFERROR(INDEX(Facturas_Odoo!$B:$B, MATCH(A1729, Facturas_Odoo!$D:$D, 0)), "Sin Factura"))</f>
        <v/>
      </c>
      <c r="R1729" s="80">
        <f>IF(Q1729="Sin Factura","",IFERROR(INDEX(Facturas_Odoo!$A:$A, MATCH(Q1729, Facturas_Odoo!$B:$B, 0)), ""))</f>
        <v/>
      </c>
      <c r="S1729" s="79">
        <f>IF(Q1729="Sin Factura","",IFERROR(_xlfn.XLOOKUP(1, (Facturas_Odoo!$D:$D=A1729) * (Facturas_Odoo!$K:$K=I1729), Facturas_Odoo!$L:$L, ""), ""))</f>
        <v/>
      </c>
      <c r="T1729" s="81">
        <f>IF(Q1729="Sin Factura",0,IFERROR(_xlfn.XLOOKUP(1, (Facturas_Odoo!$D:$D=A1729) * (Facturas_Odoo!$K:$K=I1729), Facturas_Odoo!$M:$M, 0), 0))</f>
        <v/>
      </c>
      <c r="U1729" s="79">
        <f>IF(Q1729="Sin Factura",0,IFERROR(_xlfn.XLOOKUP(1, (Facturas_Odoo!$D:$D=A1729) * (Facturas_Odoo!$K:$K=I1729), Facturas_Odoo!$N:$N, 0), 0))</f>
        <v/>
      </c>
      <c r="V1729" s="79">
        <f>IF(Q1729="Sin Factura",0,IFERROR(_xlfn.XLOOKUP(1, (Facturas_Odoo!$D:$D=A1729) * (Facturas_Odoo!$K:$K=I1729), Facturas_Odoo!$O:$O, 0), 0))</f>
        <v/>
      </c>
      <c r="W1729" s="81">
        <f>IF(Q1729="Sin Factura",0,IFERROR(_xlfn.XLOOKUP(1, (Facturas_Odoo!$D:$D=A1729) * (Facturas_Odoo!$K:$K=I1729), Facturas_Odoo!$Q:$Q, 0), 0))</f>
        <v/>
      </c>
      <c r="X1729" s="79">
        <f>IF(OR(Q1729="Sin Factura",Q1729=""),"",IFERROR(INDEX(Pagos_Odoo!$B:$B, MATCH(Q1729, Pagos_Odoo!$I:$I, 0)), "Sin Pago"))</f>
        <v/>
      </c>
      <c r="Y1729" s="79">
        <f>IF(X1729="Sin Pago","",IFERROR(INDEX(Pagos_Odoo!$C:$C, MATCH(X1729, Pagos_Odoo!$B:$B, 0)), ""))</f>
        <v/>
      </c>
      <c r="Z1729" s="80">
        <f>IF(X1729="Sin Pago","",IFERROR(INDEX(Pagos_Odoo!$A:$A, MATCH(X1729, Pagos_Odoo!$B:$B, 0)), ""))</f>
        <v/>
      </c>
      <c r="AA1729" s="79">
        <f>IF(X1729="Sin Pago","",IFERROR(INDEX(Pagos_Odoo!$F:$F, MATCH(X1729, Pagos_Odoo!$B:$B, 0)), ""))</f>
        <v/>
      </c>
      <c r="AB1729" s="81">
        <f>IF(X1729="Sin Pago",0,IFERROR(INDEX(Pagos_Odoo!$E:$E, MATCH(X1729, Pagos_Odoo!$B:$B, 0)), 0))</f>
        <v/>
      </c>
      <c r="AC1729" s="79">
        <f>IF(X1729="Sin Pago","",IFERROR(INDEX(Pagos_Odoo!$G:$G, MATCH(X1729, Pagos_Odoo!$B:$B, 0)), ""))</f>
        <v/>
      </c>
      <c r="AD1729" s="82" t="n">
        <v>0</v>
      </c>
      <c r="AE1729" s="82" t="n"/>
      <c r="AF1729" s="82" t="n"/>
      <c r="AG1729" s="82">
        <f>IF(AN1729="","",AD1729+AE1729+AF1729)</f>
        <v/>
      </c>
      <c r="AH1729" s="81">
        <f>IF(AN1729="","",P1729*(1-AG1729))</f>
        <v/>
      </c>
      <c r="AI1729" s="81">
        <f>IF(AN1729="","",IF(Q1729="Sin Factura",0,IFERROR(INDEX(Facturas_Odoo!$H:$H, MATCH(Q1729, Facturas_Odoo!$B:$B, 0)), 0)*(1-AG1729)))</f>
        <v/>
      </c>
      <c r="AJ1729" s="81">
        <f>IF(AN1729="","",_xlfn.LET(idVenta, AN1729&amp;"",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29" s="81">
        <f>IF(AN1729="","",AH1729-AJ1729)</f>
        <v/>
      </c>
      <c r="AL1729" s="81">
        <f>IF(AN1729="","",IF(Q1729="Sin Factura","",AI1729-AJ1729))</f>
        <v/>
      </c>
      <c r="AM1729" s="81">
        <f>IF(AN1729="","",IF(Q1729="Sin Factura",0,P1729-IFERROR(INDEX(Facturas_Odoo!$H:$H, MATCH(Q1729, Facturas_Odoo!$B:$B, 0)), 0)))</f>
        <v/>
      </c>
      <c r="AN1729" s="79">
        <f>IF(AND(A1729="", J1729=""), "", IF(A1729&lt;&gt;"", VALUE(MID(A1729,2,LEN(A1729))), AN1728))</f>
        <v/>
      </c>
      <c r="AO1729" s="79">
        <f>IF(AN1729="","",IF(AD1729=0,"OK",_xlfn.LET(monedaPago, IF(AA1729="","USD",AA1729), limitePermitido, IFERROR(VLOOKUP(monedaPago, Configuración!$A$2:$B$3, 2, FALSE), 0.15), IF(AD1729&gt;limitePermitido, "ALERTA: EXCESO (" &amp; TEXT(limitePermitido, "0%") &amp; " máx)", "OK"))))</f>
        <v/>
      </c>
      <c r="AP1729" s="79">
        <f>IF(AN1729="","",IF(AE1729=0,"OK",_xlfn.LET(fechaPago, Z1729, fechaFactura, R1729, diasCredito, IF(E1729="Pago inmediato", 0, IFERROR(VALUE(MID(E1729, 1, SEARCH(" ", E1729)-1)),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29" s="79">
        <f>IF(AN1729="","",IF(AND(N1729&gt;0, AG1729&gt;0), IF(Configuración!$K$2="NO", "ALERTA: DESCUENTO DOBLE NO PERMITIDO", "OK"), "OK"))</f>
        <v/>
      </c>
      <c r="AR1729" s="79">
        <f>IF(AN1729="","",IF(OR(AO1729&lt;&gt;"OK", AP1729&lt;&gt;"OK", AQ1729&lt;&gt;"OK"), "⚠️ REVISAR", "OK"))</f>
        <v/>
      </c>
    </row>
    <row r="1730">
      <c r="A1730" s="79">
        <f>IF('Ordenes_Odoo'!A1730="","",'Ordenes_Odoo'!A1730)</f>
        <v/>
      </c>
      <c r="B1730" s="80">
        <f>IF('Ordenes_Odoo'!B1730="","",'Ordenes_Odoo'!B1730)</f>
        <v/>
      </c>
      <c r="C1730" s="79">
        <f>IF('Ordenes_Odoo'!C1730="","",'Ordenes_Odoo'!C1730)</f>
        <v/>
      </c>
      <c r="D1730" s="79">
        <f>IF('Ordenes_Odoo'!D1730="","",'Ordenes_Odoo'!D1730)</f>
        <v/>
      </c>
      <c r="E1730" s="79">
        <f>IF('Ordenes_Odoo'!E1730="","",'Ordenes_Odoo'!E1730)</f>
        <v/>
      </c>
      <c r="F1730" s="79">
        <f>IF('Ordenes_Odoo'!F1730="","",'Ordenes_Odoo'!F1730)</f>
        <v/>
      </c>
      <c r="G1730" s="79">
        <f>IF('Ordenes_Odoo'!G1730="","",'Ordenes_Odoo'!G1730)</f>
        <v/>
      </c>
      <c r="H1730" s="79">
        <f>IF('Ordenes_Odoo'!H1730="","",'Ordenes_Odoo'!H1730)</f>
        <v/>
      </c>
      <c r="I1730" s="79">
        <f>IF('Ordenes_Odoo'!I1730="","",'Ordenes_Odoo'!I1730)</f>
        <v/>
      </c>
      <c r="J1730" s="79">
        <f>IF('Ordenes_Odoo'!J1730="","",'Ordenes_Odoo'!J1730)</f>
        <v/>
      </c>
      <c r="K1730" s="81">
        <f>IF('Ordenes_Odoo'!K1730="","",'Ordenes_Odoo'!K1730)</f>
        <v/>
      </c>
      <c r="L1730" s="81">
        <f>IF('Ordenes_Odoo'!L1730="","",'Ordenes_Odoo'!L1730)</f>
        <v/>
      </c>
      <c r="M1730" s="79">
        <f>IF('Ordenes_Odoo'!M1730="","",'Ordenes_Odoo'!M1730)</f>
        <v/>
      </c>
      <c r="N1730" s="79">
        <f>IF('Ordenes_Odoo'!N1730="","",'Ordenes_Odoo'!N1730)</f>
        <v/>
      </c>
      <c r="O1730" s="81">
        <f>IF('Ordenes_Odoo'!O1730="","",'Ordenes_Odoo'!O1730)</f>
        <v/>
      </c>
      <c r="P1730" s="81">
        <f>IF('Ordenes_Odoo'!P1730="","",'Ordenes_Odoo'!P1730)</f>
        <v/>
      </c>
      <c r="Q1730" s="79">
        <f>IF(A1730="","",IFERROR(INDEX(Facturas_Odoo!$B:$B, MATCH(A1730, Facturas_Odoo!$D:$D, 0)), "Sin Factura"))</f>
        <v/>
      </c>
      <c r="R1730" s="80">
        <f>IF(Q1730="Sin Factura","",IFERROR(INDEX(Facturas_Odoo!$A:$A, MATCH(Q1730, Facturas_Odoo!$B:$B, 0)), ""))</f>
        <v/>
      </c>
      <c r="S1730" s="79">
        <f>IF(Q1730="Sin Factura","",IFERROR(_xlfn.XLOOKUP(1, (Facturas_Odoo!$D:$D=A1730) * (Facturas_Odoo!$K:$K=I1730), Facturas_Odoo!$L:$L, ""), ""))</f>
        <v/>
      </c>
      <c r="T1730" s="81">
        <f>IF(Q1730="Sin Factura",0,IFERROR(_xlfn.XLOOKUP(1, (Facturas_Odoo!$D:$D=A1730) * (Facturas_Odoo!$K:$K=I1730), Facturas_Odoo!$M:$M, 0), 0))</f>
        <v/>
      </c>
      <c r="U1730" s="79">
        <f>IF(Q1730="Sin Factura",0,IFERROR(_xlfn.XLOOKUP(1, (Facturas_Odoo!$D:$D=A1730) * (Facturas_Odoo!$K:$K=I1730), Facturas_Odoo!$N:$N, 0), 0))</f>
        <v/>
      </c>
      <c r="V1730" s="79">
        <f>IF(Q1730="Sin Factura",0,IFERROR(_xlfn.XLOOKUP(1, (Facturas_Odoo!$D:$D=A1730) * (Facturas_Odoo!$K:$K=I1730), Facturas_Odoo!$O:$O, 0), 0))</f>
        <v/>
      </c>
      <c r="W1730" s="81">
        <f>IF(Q1730="Sin Factura",0,IFERROR(_xlfn.XLOOKUP(1, (Facturas_Odoo!$D:$D=A1730) * (Facturas_Odoo!$K:$K=I1730), Facturas_Odoo!$Q:$Q, 0), 0))</f>
        <v/>
      </c>
      <c r="X1730" s="79">
        <f>IF(OR(Q1730="Sin Factura",Q1730=""),"",IFERROR(INDEX(Pagos_Odoo!$B:$B, MATCH(Q1730, Pagos_Odoo!$I:$I, 0)), "Sin Pago"))</f>
        <v/>
      </c>
      <c r="Y1730" s="79">
        <f>IF(X1730="Sin Pago","",IFERROR(INDEX(Pagos_Odoo!$C:$C, MATCH(X1730, Pagos_Odoo!$B:$B, 0)), ""))</f>
        <v/>
      </c>
      <c r="Z1730" s="80">
        <f>IF(X1730="Sin Pago","",IFERROR(INDEX(Pagos_Odoo!$A:$A, MATCH(X1730, Pagos_Odoo!$B:$B, 0)), ""))</f>
        <v/>
      </c>
      <c r="AA1730" s="79">
        <f>IF(X1730="Sin Pago","",IFERROR(INDEX(Pagos_Odoo!$F:$F, MATCH(X1730, Pagos_Odoo!$B:$B, 0)), ""))</f>
        <v/>
      </c>
      <c r="AB1730" s="81">
        <f>IF(X1730="Sin Pago",0,IFERROR(INDEX(Pagos_Odoo!$E:$E, MATCH(X1730, Pagos_Odoo!$B:$B, 0)), 0))</f>
        <v/>
      </c>
      <c r="AC1730" s="79">
        <f>IF(X1730="Sin Pago","",IFERROR(INDEX(Pagos_Odoo!$G:$G, MATCH(X1730, Pagos_Odoo!$B:$B, 0)), ""))</f>
        <v/>
      </c>
      <c r="AD1730" s="82" t="n">
        <v>0</v>
      </c>
      <c r="AE1730" s="82" t="n"/>
      <c r="AF1730" s="82" t="n"/>
      <c r="AG1730" s="82">
        <f>IF(AN1730="","",AD1730+AE1730+AF1730)</f>
        <v/>
      </c>
      <c r="AH1730" s="81">
        <f>IF(AN1730="","",P1730*(1-AG1730))</f>
        <v/>
      </c>
      <c r="AI1730" s="81">
        <f>IF(AN1730="","",IF(Q1730="Sin Factura",0,IFERROR(INDEX(Facturas_Odoo!$H:$H, MATCH(Q1730, Facturas_Odoo!$B:$B, 0)), 0)*(1-AG1730)))</f>
        <v/>
      </c>
      <c r="AJ1730" s="81">
        <f>IF(AN1730="","",_xlfn.LET(idVenta, AN1730&amp;"",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30" s="81">
        <f>IF(AN1730="","",AH1730-AJ1730)</f>
        <v/>
      </c>
      <c r="AL1730" s="81">
        <f>IF(AN1730="","",IF(Q1730="Sin Factura","",AI1730-AJ1730))</f>
        <v/>
      </c>
      <c r="AM1730" s="81">
        <f>IF(AN1730="","",IF(Q1730="Sin Factura",0,P1730-IFERROR(INDEX(Facturas_Odoo!$H:$H, MATCH(Q1730, Facturas_Odoo!$B:$B, 0)), 0)))</f>
        <v/>
      </c>
      <c r="AN1730" s="79">
        <f>IF(AND(A1730="", J1730=""), "", IF(A1730&lt;&gt;"", VALUE(MID(A1730,2,LEN(A1730))), AN1729))</f>
        <v/>
      </c>
      <c r="AO1730" s="79">
        <f>IF(AN1730="","",IF(AD1730=0,"OK",_xlfn.LET(monedaPago, IF(AA1730="","USD",AA1730), limitePermitido, IFERROR(VLOOKUP(monedaPago, Configuración!$A$2:$B$3, 2, FALSE), 0.15), IF(AD1730&gt;limitePermitido, "ALERTA: EXCESO (" &amp; TEXT(limitePermitido, "0%") &amp; " máx)", "OK"))))</f>
        <v/>
      </c>
      <c r="AP1730" s="79">
        <f>IF(AN1730="","",IF(AE1730=0,"OK",_xlfn.LET(fechaPago, Z1730, fechaFactura, R1730, diasCredito, IF(E1730="Pago inmediato", 0, IFERROR(VALUE(MID(E1730, 1, SEARCH(" ", E1730)-1)),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30" s="79">
        <f>IF(AN1730="","",IF(AND(N1730&gt;0, AG1730&gt;0), IF(Configuración!$K$2="NO", "ALERTA: DESCUENTO DOBLE NO PERMITIDO", "OK"), "OK"))</f>
        <v/>
      </c>
      <c r="AR1730" s="79">
        <f>IF(AN1730="","",IF(OR(AO1730&lt;&gt;"OK", AP1730&lt;&gt;"OK", AQ1730&lt;&gt;"OK"), "⚠️ REVISAR", "OK"))</f>
        <v/>
      </c>
    </row>
    <row r="1731">
      <c r="A1731" s="79">
        <f>IF('Ordenes_Odoo'!A1731="","",'Ordenes_Odoo'!A1731)</f>
        <v/>
      </c>
      <c r="B1731" s="80">
        <f>IF('Ordenes_Odoo'!B1731="","",'Ordenes_Odoo'!B1731)</f>
        <v/>
      </c>
      <c r="C1731" s="79">
        <f>IF('Ordenes_Odoo'!C1731="","",'Ordenes_Odoo'!C1731)</f>
        <v/>
      </c>
      <c r="D1731" s="79">
        <f>IF('Ordenes_Odoo'!D1731="","",'Ordenes_Odoo'!D1731)</f>
        <v/>
      </c>
      <c r="E1731" s="79">
        <f>IF('Ordenes_Odoo'!E1731="","",'Ordenes_Odoo'!E1731)</f>
        <v/>
      </c>
      <c r="F1731" s="79">
        <f>IF('Ordenes_Odoo'!F1731="","",'Ordenes_Odoo'!F1731)</f>
        <v/>
      </c>
      <c r="G1731" s="79">
        <f>IF('Ordenes_Odoo'!G1731="","",'Ordenes_Odoo'!G1731)</f>
        <v/>
      </c>
      <c r="H1731" s="79">
        <f>IF('Ordenes_Odoo'!H1731="","",'Ordenes_Odoo'!H1731)</f>
        <v/>
      </c>
      <c r="I1731" s="79">
        <f>IF('Ordenes_Odoo'!I1731="","",'Ordenes_Odoo'!I1731)</f>
        <v/>
      </c>
      <c r="J1731" s="79">
        <f>IF('Ordenes_Odoo'!J1731="","",'Ordenes_Odoo'!J1731)</f>
        <v/>
      </c>
      <c r="K1731" s="81">
        <f>IF('Ordenes_Odoo'!K1731="","",'Ordenes_Odoo'!K1731)</f>
        <v/>
      </c>
      <c r="L1731" s="81">
        <f>IF('Ordenes_Odoo'!L1731="","",'Ordenes_Odoo'!L1731)</f>
        <v/>
      </c>
      <c r="M1731" s="79">
        <f>IF('Ordenes_Odoo'!M1731="","",'Ordenes_Odoo'!M1731)</f>
        <v/>
      </c>
      <c r="N1731" s="79">
        <f>IF('Ordenes_Odoo'!N1731="","",'Ordenes_Odoo'!N1731)</f>
        <v/>
      </c>
      <c r="O1731" s="81">
        <f>IF('Ordenes_Odoo'!O1731="","",'Ordenes_Odoo'!O1731)</f>
        <v/>
      </c>
      <c r="P1731" s="81">
        <f>IF('Ordenes_Odoo'!P1731="","",'Ordenes_Odoo'!P1731)</f>
        <v/>
      </c>
      <c r="Q1731" s="79">
        <f>IF(A1731="","",IFERROR(INDEX(Facturas_Odoo!$B:$B, MATCH(A1731, Facturas_Odoo!$D:$D, 0)), "Sin Factura"))</f>
        <v/>
      </c>
      <c r="R1731" s="80">
        <f>IF(Q1731="Sin Factura","",IFERROR(INDEX(Facturas_Odoo!$A:$A, MATCH(Q1731, Facturas_Odoo!$B:$B, 0)), ""))</f>
        <v/>
      </c>
      <c r="S1731" s="79">
        <f>IF(Q1731="Sin Factura","",IFERROR(_xlfn.XLOOKUP(1, (Facturas_Odoo!$D:$D=A1731) * (Facturas_Odoo!$K:$K=I1731), Facturas_Odoo!$L:$L, ""), ""))</f>
        <v/>
      </c>
      <c r="T1731" s="81">
        <f>IF(Q1731="Sin Factura",0,IFERROR(_xlfn.XLOOKUP(1, (Facturas_Odoo!$D:$D=A1731) * (Facturas_Odoo!$K:$K=I1731), Facturas_Odoo!$M:$M, 0), 0))</f>
        <v/>
      </c>
      <c r="U1731" s="79">
        <f>IF(Q1731="Sin Factura",0,IFERROR(_xlfn.XLOOKUP(1, (Facturas_Odoo!$D:$D=A1731) * (Facturas_Odoo!$K:$K=I1731), Facturas_Odoo!$N:$N, 0), 0))</f>
        <v/>
      </c>
      <c r="V1731" s="79">
        <f>IF(Q1731="Sin Factura",0,IFERROR(_xlfn.XLOOKUP(1, (Facturas_Odoo!$D:$D=A1731) * (Facturas_Odoo!$K:$K=I1731), Facturas_Odoo!$O:$O, 0), 0))</f>
        <v/>
      </c>
      <c r="W1731" s="81">
        <f>IF(Q1731="Sin Factura",0,IFERROR(_xlfn.XLOOKUP(1, (Facturas_Odoo!$D:$D=A1731) * (Facturas_Odoo!$K:$K=I1731), Facturas_Odoo!$Q:$Q, 0), 0))</f>
        <v/>
      </c>
      <c r="X1731" s="79">
        <f>IF(OR(Q1731="Sin Factura",Q1731=""),"",IFERROR(INDEX(Pagos_Odoo!$B:$B, MATCH(Q1731, Pagos_Odoo!$I:$I, 0)), "Sin Pago"))</f>
        <v/>
      </c>
      <c r="Y1731" s="79">
        <f>IF(X1731="Sin Pago","",IFERROR(INDEX(Pagos_Odoo!$C:$C, MATCH(X1731, Pagos_Odoo!$B:$B, 0)), ""))</f>
        <v/>
      </c>
      <c r="Z1731" s="80">
        <f>IF(X1731="Sin Pago","",IFERROR(INDEX(Pagos_Odoo!$A:$A, MATCH(X1731, Pagos_Odoo!$B:$B, 0)), ""))</f>
        <v/>
      </c>
      <c r="AA1731" s="79">
        <f>IF(X1731="Sin Pago","",IFERROR(INDEX(Pagos_Odoo!$F:$F, MATCH(X1731, Pagos_Odoo!$B:$B, 0)), ""))</f>
        <v/>
      </c>
      <c r="AB1731" s="81">
        <f>IF(X1731="Sin Pago",0,IFERROR(INDEX(Pagos_Odoo!$E:$E, MATCH(X1731, Pagos_Odoo!$B:$B, 0)), 0))</f>
        <v/>
      </c>
      <c r="AC1731" s="79">
        <f>IF(X1731="Sin Pago","",IFERROR(INDEX(Pagos_Odoo!$G:$G, MATCH(X1731, Pagos_Odoo!$B:$B, 0)), ""))</f>
        <v/>
      </c>
      <c r="AD1731" s="82" t="n">
        <v>0</v>
      </c>
      <c r="AE1731" s="82" t="n"/>
      <c r="AF1731" s="82" t="n"/>
      <c r="AG1731" s="82">
        <f>IF(AN1731="","",AD1731+AE1731+AF1731)</f>
        <v/>
      </c>
      <c r="AH1731" s="81">
        <f>IF(AN1731="","",P1731*(1-AG1731))</f>
        <v/>
      </c>
      <c r="AI1731" s="81">
        <f>IF(AN1731="","",IF(Q1731="Sin Factura",0,IFERROR(INDEX(Facturas_Odoo!$H:$H, MATCH(Q1731, Facturas_Odoo!$B:$B, 0)), 0)*(1-AG1731)))</f>
        <v/>
      </c>
      <c r="AJ1731" s="81">
        <f>IF(AN1731="","",_xlfn.LET(idVenta, AN1731&amp;"",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31" s="81">
        <f>IF(AN1731="","",AH1731-AJ1731)</f>
        <v/>
      </c>
      <c r="AL1731" s="81">
        <f>IF(AN1731="","",IF(Q1731="Sin Factura","",AI1731-AJ1731))</f>
        <v/>
      </c>
      <c r="AM1731" s="81">
        <f>IF(AN1731="","",IF(Q1731="Sin Factura",0,P1731-IFERROR(INDEX(Facturas_Odoo!$H:$H, MATCH(Q1731, Facturas_Odoo!$B:$B, 0)), 0)))</f>
        <v/>
      </c>
      <c r="AN1731" s="79">
        <f>IF(AND(A1731="", J1731=""), "", IF(A1731&lt;&gt;"", VALUE(MID(A1731,2,LEN(A1731))), AN1730))</f>
        <v/>
      </c>
      <c r="AO1731" s="79">
        <f>IF(AN1731="","",IF(AD1731=0,"OK",_xlfn.LET(monedaPago, IF(AA1731="","USD",AA1731), limitePermitido, IFERROR(VLOOKUP(monedaPago, Configuración!$A$2:$B$3, 2, FALSE), 0.15), IF(AD1731&gt;limitePermitido, "ALERTA: EXCESO (" &amp; TEXT(limitePermitido, "0%") &amp; " máx)", "OK"))))</f>
        <v/>
      </c>
      <c r="AP1731" s="79">
        <f>IF(AN1731="","",IF(AE1731=0,"OK",_xlfn.LET(fechaPago, Z1731, fechaFactura, R1731, diasCredito, IF(E1731="Pago inmediato", 0, IFERROR(VALUE(MID(E1731, 1, SEARCH(" ", E1731)-1)),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31" s="79">
        <f>IF(AN1731="","",IF(AND(N1731&gt;0, AG1731&gt;0), IF(Configuración!$K$2="NO", "ALERTA: DESCUENTO DOBLE NO PERMITIDO", "OK"), "OK"))</f>
        <v/>
      </c>
      <c r="AR1731" s="79">
        <f>IF(AN1731="","",IF(OR(AO1731&lt;&gt;"OK", AP1731&lt;&gt;"OK", AQ1731&lt;&gt;"OK"), "⚠️ REVISAR", "OK"))</f>
        <v/>
      </c>
    </row>
    <row r="1732">
      <c r="A1732" s="79">
        <f>IF('Ordenes_Odoo'!A1732="","",'Ordenes_Odoo'!A1732)</f>
        <v/>
      </c>
      <c r="B1732" s="80">
        <f>IF('Ordenes_Odoo'!B1732="","",'Ordenes_Odoo'!B1732)</f>
        <v/>
      </c>
      <c r="C1732" s="79">
        <f>IF('Ordenes_Odoo'!C1732="","",'Ordenes_Odoo'!C1732)</f>
        <v/>
      </c>
      <c r="D1732" s="79">
        <f>IF('Ordenes_Odoo'!D1732="","",'Ordenes_Odoo'!D1732)</f>
        <v/>
      </c>
      <c r="E1732" s="79">
        <f>IF('Ordenes_Odoo'!E1732="","",'Ordenes_Odoo'!E1732)</f>
        <v/>
      </c>
      <c r="F1732" s="79">
        <f>IF('Ordenes_Odoo'!F1732="","",'Ordenes_Odoo'!F1732)</f>
        <v/>
      </c>
      <c r="G1732" s="79">
        <f>IF('Ordenes_Odoo'!G1732="","",'Ordenes_Odoo'!G1732)</f>
        <v/>
      </c>
      <c r="H1732" s="79">
        <f>IF('Ordenes_Odoo'!H1732="","",'Ordenes_Odoo'!H1732)</f>
        <v/>
      </c>
      <c r="I1732" s="79">
        <f>IF('Ordenes_Odoo'!I1732="","",'Ordenes_Odoo'!I1732)</f>
        <v/>
      </c>
      <c r="J1732" s="79">
        <f>IF('Ordenes_Odoo'!J1732="","",'Ordenes_Odoo'!J1732)</f>
        <v/>
      </c>
      <c r="K1732" s="81">
        <f>IF('Ordenes_Odoo'!K1732="","",'Ordenes_Odoo'!K1732)</f>
        <v/>
      </c>
      <c r="L1732" s="81">
        <f>IF('Ordenes_Odoo'!L1732="","",'Ordenes_Odoo'!L1732)</f>
        <v/>
      </c>
      <c r="M1732" s="79">
        <f>IF('Ordenes_Odoo'!M1732="","",'Ordenes_Odoo'!M1732)</f>
        <v/>
      </c>
      <c r="N1732" s="79">
        <f>IF('Ordenes_Odoo'!N1732="","",'Ordenes_Odoo'!N1732)</f>
        <v/>
      </c>
      <c r="O1732" s="81">
        <f>IF('Ordenes_Odoo'!O1732="","",'Ordenes_Odoo'!O1732)</f>
        <v/>
      </c>
      <c r="P1732" s="81">
        <f>IF('Ordenes_Odoo'!P1732="","",'Ordenes_Odoo'!P1732)</f>
        <v/>
      </c>
      <c r="Q1732" s="79">
        <f>IF(A1732="","",IFERROR(INDEX(Facturas_Odoo!$B:$B, MATCH(A1732, Facturas_Odoo!$D:$D, 0)), "Sin Factura"))</f>
        <v/>
      </c>
      <c r="R1732" s="80">
        <f>IF(Q1732="Sin Factura","",IFERROR(INDEX(Facturas_Odoo!$A:$A, MATCH(Q1732, Facturas_Odoo!$B:$B, 0)), ""))</f>
        <v/>
      </c>
      <c r="S1732" s="79">
        <f>IF(Q1732="Sin Factura","",IFERROR(_xlfn.XLOOKUP(1, (Facturas_Odoo!$D:$D=A1732) * (Facturas_Odoo!$K:$K=I1732), Facturas_Odoo!$L:$L, ""), ""))</f>
        <v/>
      </c>
      <c r="T1732" s="81">
        <f>IF(Q1732="Sin Factura",0,IFERROR(_xlfn.XLOOKUP(1, (Facturas_Odoo!$D:$D=A1732) * (Facturas_Odoo!$K:$K=I1732), Facturas_Odoo!$M:$M, 0), 0))</f>
        <v/>
      </c>
      <c r="U1732" s="79">
        <f>IF(Q1732="Sin Factura",0,IFERROR(_xlfn.XLOOKUP(1, (Facturas_Odoo!$D:$D=A1732) * (Facturas_Odoo!$K:$K=I1732), Facturas_Odoo!$N:$N, 0), 0))</f>
        <v/>
      </c>
      <c r="V1732" s="79">
        <f>IF(Q1732="Sin Factura",0,IFERROR(_xlfn.XLOOKUP(1, (Facturas_Odoo!$D:$D=A1732) * (Facturas_Odoo!$K:$K=I1732), Facturas_Odoo!$O:$O, 0), 0))</f>
        <v/>
      </c>
      <c r="W1732" s="81">
        <f>IF(Q1732="Sin Factura",0,IFERROR(_xlfn.XLOOKUP(1, (Facturas_Odoo!$D:$D=A1732) * (Facturas_Odoo!$K:$K=I1732), Facturas_Odoo!$Q:$Q, 0), 0))</f>
        <v/>
      </c>
      <c r="X1732" s="79">
        <f>IF(OR(Q1732="Sin Factura",Q1732=""),"",IFERROR(INDEX(Pagos_Odoo!$B:$B, MATCH(Q1732, Pagos_Odoo!$I:$I, 0)), "Sin Pago"))</f>
        <v/>
      </c>
      <c r="Y1732" s="79">
        <f>IF(X1732="Sin Pago","",IFERROR(INDEX(Pagos_Odoo!$C:$C, MATCH(X1732, Pagos_Odoo!$B:$B, 0)), ""))</f>
        <v/>
      </c>
      <c r="Z1732" s="80">
        <f>IF(X1732="Sin Pago","",IFERROR(INDEX(Pagos_Odoo!$A:$A, MATCH(X1732, Pagos_Odoo!$B:$B, 0)), ""))</f>
        <v/>
      </c>
      <c r="AA1732" s="79">
        <f>IF(X1732="Sin Pago","",IFERROR(INDEX(Pagos_Odoo!$F:$F, MATCH(X1732, Pagos_Odoo!$B:$B, 0)), ""))</f>
        <v/>
      </c>
      <c r="AB1732" s="81">
        <f>IF(X1732="Sin Pago",0,IFERROR(INDEX(Pagos_Odoo!$E:$E, MATCH(X1732, Pagos_Odoo!$B:$B, 0)), 0))</f>
        <v/>
      </c>
      <c r="AC1732" s="79">
        <f>IF(X1732="Sin Pago","",IFERROR(INDEX(Pagos_Odoo!$G:$G, MATCH(X1732, Pagos_Odoo!$B:$B, 0)), ""))</f>
        <v/>
      </c>
      <c r="AD1732" s="82" t="n">
        <v>0</v>
      </c>
      <c r="AE1732" s="82" t="n"/>
      <c r="AF1732" s="82" t="n"/>
      <c r="AG1732" s="82">
        <f>IF(AN1732="","",AD1732+AE1732+AF1732)</f>
        <v/>
      </c>
      <c r="AH1732" s="81">
        <f>IF(AN1732="","",P1732*(1-AG1732))</f>
        <v/>
      </c>
      <c r="AI1732" s="81">
        <f>IF(AN1732="","",IF(Q1732="Sin Factura",0,IFERROR(INDEX(Facturas_Odoo!$H:$H, MATCH(Q1732, Facturas_Odoo!$B:$B, 0)), 0)*(1-AG1732)))</f>
        <v/>
      </c>
      <c r="AJ1732" s="81">
        <f>IF(AN1732="","",_xlfn.LET(idVenta, AN1732&amp;"",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32" s="81">
        <f>IF(AN1732="","",AH1732-AJ1732)</f>
        <v/>
      </c>
      <c r="AL1732" s="81">
        <f>IF(AN1732="","",IF(Q1732="Sin Factura","",AI1732-AJ1732))</f>
        <v/>
      </c>
      <c r="AM1732" s="81">
        <f>IF(AN1732="","",IF(Q1732="Sin Factura",0,P1732-IFERROR(INDEX(Facturas_Odoo!$H:$H, MATCH(Q1732, Facturas_Odoo!$B:$B, 0)), 0)))</f>
        <v/>
      </c>
      <c r="AN1732" s="79">
        <f>IF(AND(A1732="", J1732=""), "", IF(A1732&lt;&gt;"", VALUE(MID(A1732,2,LEN(A1732))), AN1731))</f>
        <v/>
      </c>
      <c r="AO1732" s="79">
        <f>IF(AN1732="","",IF(AD1732=0,"OK",_xlfn.LET(monedaPago, IF(AA1732="","USD",AA1732), limitePermitido, IFERROR(VLOOKUP(monedaPago, Configuración!$A$2:$B$3, 2, FALSE), 0.15), IF(AD1732&gt;limitePermitido, "ALERTA: EXCESO (" &amp; TEXT(limitePermitido, "0%") &amp; " máx)", "OK"))))</f>
        <v/>
      </c>
      <c r="AP1732" s="79">
        <f>IF(AN1732="","",IF(AE1732=0,"OK",_xlfn.LET(fechaPago, Z1732, fechaFactura, R1732, diasCredito, IF(E1732="Pago inmediato", 0, IFERROR(VALUE(MID(E1732, 1, SEARCH(" ", E1732)-1)),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32" s="79">
        <f>IF(AN1732="","",IF(AND(N1732&gt;0, AG1732&gt;0), IF(Configuración!$K$2="NO", "ALERTA: DESCUENTO DOBLE NO PERMITIDO", "OK"), "OK"))</f>
        <v/>
      </c>
      <c r="AR1732" s="79">
        <f>IF(AN1732="","",IF(OR(AO1732&lt;&gt;"OK", AP1732&lt;&gt;"OK", AQ1732&lt;&gt;"OK"), "⚠️ REVISAR", "OK"))</f>
        <v/>
      </c>
    </row>
    <row r="1733">
      <c r="A1733" s="79">
        <f>IF('Ordenes_Odoo'!A1733="","",'Ordenes_Odoo'!A1733)</f>
        <v/>
      </c>
      <c r="B1733" s="80">
        <f>IF('Ordenes_Odoo'!B1733="","",'Ordenes_Odoo'!B1733)</f>
        <v/>
      </c>
      <c r="C1733" s="79">
        <f>IF('Ordenes_Odoo'!C1733="","",'Ordenes_Odoo'!C1733)</f>
        <v/>
      </c>
      <c r="D1733" s="79">
        <f>IF('Ordenes_Odoo'!D1733="","",'Ordenes_Odoo'!D1733)</f>
        <v/>
      </c>
      <c r="E1733" s="79">
        <f>IF('Ordenes_Odoo'!E1733="","",'Ordenes_Odoo'!E1733)</f>
        <v/>
      </c>
      <c r="F1733" s="79">
        <f>IF('Ordenes_Odoo'!F1733="","",'Ordenes_Odoo'!F1733)</f>
        <v/>
      </c>
      <c r="G1733" s="79">
        <f>IF('Ordenes_Odoo'!G1733="","",'Ordenes_Odoo'!G1733)</f>
        <v/>
      </c>
      <c r="H1733" s="79">
        <f>IF('Ordenes_Odoo'!H1733="","",'Ordenes_Odoo'!H1733)</f>
        <v/>
      </c>
      <c r="I1733" s="79">
        <f>IF('Ordenes_Odoo'!I1733="","",'Ordenes_Odoo'!I1733)</f>
        <v/>
      </c>
      <c r="J1733" s="79">
        <f>IF('Ordenes_Odoo'!J1733="","",'Ordenes_Odoo'!J1733)</f>
        <v/>
      </c>
      <c r="K1733" s="81">
        <f>IF('Ordenes_Odoo'!K1733="","",'Ordenes_Odoo'!K1733)</f>
        <v/>
      </c>
      <c r="L1733" s="81">
        <f>IF('Ordenes_Odoo'!L1733="","",'Ordenes_Odoo'!L1733)</f>
        <v/>
      </c>
      <c r="M1733" s="79">
        <f>IF('Ordenes_Odoo'!M1733="","",'Ordenes_Odoo'!M1733)</f>
        <v/>
      </c>
      <c r="N1733" s="79">
        <f>IF('Ordenes_Odoo'!N1733="","",'Ordenes_Odoo'!N1733)</f>
        <v/>
      </c>
      <c r="O1733" s="81">
        <f>IF('Ordenes_Odoo'!O1733="","",'Ordenes_Odoo'!O1733)</f>
        <v/>
      </c>
      <c r="P1733" s="81">
        <f>IF('Ordenes_Odoo'!P1733="","",'Ordenes_Odoo'!P1733)</f>
        <v/>
      </c>
      <c r="Q1733" s="79">
        <f>IF(A1733="","",IFERROR(INDEX(Facturas_Odoo!$B:$B, MATCH(A1733, Facturas_Odoo!$D:$D, 0)), "Sin Factura"))</f>
        <v/>
      </c>
      <c r="R1733" s="80">
        <f>IF(Q1733="Sin Factura","",IFERROR(INDEX(Facturas_Odoo!$A:$A, MATCH(Q1733, Facturas_Odoo!$B:$B, 0)), ""))</f>
        <v/>
      </c>
      <c r="S1733" s="79">
        <f>IF(Q1733="Sin Factura","",IFERROR(_xlfn.XLOOKUP(1, (Facturas_Odoo!$D:$D=A1733) * (Facturas_Odoo!$K:$K=I1733), Facturas_Odoo!$L:$L, ""), ""))</f>
        <v/>
      </c>
      <c r="T1733" s="81">
        <f>IF(Q1733="Sin Factura",0,IFERROR(_xlfn.XLOOKUP(1, (Facturas_Odoo!$D:$D=A1733) * (Facturas_Odoo!$K:$K=I1733), Facturas_Odoo!$M:$M, 0), 0))</f>
        <v/>
      </c>
      <c r="U1733" s="79">
        <f>IF(Q1733="Sin Factura",0,IFERROR(_xlfn.XLOOKUP(1, (Facturas_Odoo!$D:$D=A1733) * (Facturas_Odoo!$K:$K=I1733), Facturas_Odoo!$N:$N, 0), 0))</f>
        <v/>
      </c>
      <c r="V1733" s="79">
        <f>IF(Q1733="Sin Factura",0,IFERROR(_xlfn.XLOOKUP(1, (Facturas_Odoo!$D:$D=A1733) * (Facturas_Odoo!$K:$K=I1733), Facturas_Odoo!$O:$O, 0), 0))</f>
        <v/>
      </c>
      <c r="W1733" s="81">
        <f>IF(Q1733="Sin Factura",0,IFERROR(_xlfn.XLOOKUP(1, (Facturas_Odoo!$D:$D=A1733) * (Facturas_Odoo!$K:$K=I1733), Facturas_Odoo!$Q:$Q, 0), 0))</f>
        <v/>
      </c>
      <c r="X1733" s="79">
        <f>IF(OR(Q1733="Sin Factura",Q1733=""),"",IFERROR(INDEX(Pagos_Odoo!$B:$B, MATCH(Q1733, Pagos_Odoo!$I:$I, 0)), "Sin Pago"))</f>
        <v/>
      </c>
      <c r="Y1733" s="79">
        <f>IF(X1733="Sin Pago","",IFERROR(INDEX(Pagos_Odoo!$C:$C, MATCH(X1733, Pagos_Odoo!$B:$B, 0)), ""))</f>
        <v/>
      </c>
      <c r="Z1733" s="80">
        <f>IF(X1733="Sin Pago","",IFERROR(INDEX(Pagos_Odoo!$A:$A, MATCH(X1733, Pagos_Odoo!$B:$B, 0)), ""))</f>
        <v/>
      </c>
      <c r="AA1733" s="79">
        <f>IF(X1733="Sin Pago","",IFERROR(INDEX(Pagos_Odoo!$F:$F, MATCH(X1733, Pagos_Odoo!$B:$B, 0)), ""))</f>
        <v/>
      </c>
      <c r="AB1733" s="81">
        <f>IF(X1733="Sin Pago",0,IFERROR(INDEX(Pagos_Odoo!$E:$E, MATCH(X1733, Pagos_Odoo!$B:$B, 0)), 0))</f>
        <v/>
      </c>
      <c r="AC1733" s="79">
        <f>IF(X1733="Sin Pago","",IFERROR(INDEX(Pagos_Odoo!$G:$G, MATCH(X1733, Pagos_Odoo!$B:$B, 0)), ""))</f>
        <v/>
      </c>
      <c r="AD1733" s="82" t="n">
        <v>0</v>
      </c>
      <c r="AE1733" s="82" t="n"/>
      <c r="AF1733" s="82" t="n"/>
      <c r="AG1733" s="82">
        <f>IF(AN1733="","",AD1733+AE1733+AF1733)</f>
        <v/>
      </c>
      <c r="AH1733" s="81">
        <f>IF(AN1733="","",P1733*(1-AG1733))</f>
        <v/>
      </c>
      <c r="AI1733" s="81">
        <f>IF(AN1733="","",IF(Q1733="Sin Factura",0,IFERROR(INDEX(Facturas_Odoo!$H:$H, MATCH(Q1733, Facturas_Odoo!$B:$B, 0)), 0)*(1-AG1733)))</f>
        <v/>
      </c>
      <c r="AJ1733" s="81">
        <f>IF(AN1733="","",_xlfn.LET(idVenta, AN1733&amp;"",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33" s="81">
        <f>IF(AN1733="","",AH1733-AJ1733)</f>
        <v/>
      </c>
      <c r="AL1733" s="81">
        <f>IF(AN1733="","",IF(Q1733="Sin Factura","",AI1733-AJ1733))</f>
        <v/>
      </c>
      <c r="AM1733" s="81">
        <f>IF(AN1733="","",IF(Q1733="Sin Factura",0,P1733-IFERROR(INDEX(Facturas_Odoo!$H:$H, MATCH(Q1733, Facturas_Odoo!$B:$B, 0)), 0)))</f>
        <v/>
      </c>
      <c r="AN1733" s="79">
        <f>IF(AND(A1733="", J1733=""), "", IF(A1733&lt;&gt;"", VALUE(MID(A1733,2,LEN(A1733))), AN1732))</f>
        <v/>
      </c>
      <c r="AO1733" s="79">
        <f>IF(AN1733="","",IF(AD1733=0,"OK",_xlfn.LET(monedaPago, IF(AA1733="","USD",AA1733), limitePermitido, IFERROR(VLOOKUP(monedaPago, Configuración!$A$2:$B$3, 2, FALSE), 0.15), IF(AD1733&gt;limitePermitido, "ALERTA: EXCESO (" &amp; TEXT(limitePermitido, "0%") &amp; " máx)", "OK"))))</f>
        <v/>
      </c>
      <c r="AP1733" s="79">
        <f>IF(AN1733="","",IF(AE1733=0,"OK",_xlfn.LET(fechaPago, Z1733, fechaFactura, R1733, diasCredito, IF(E1733="Pago inmediato", 0, IFERROR(VALUE(MID(E1733, 1, SEARCH(" ", E1733)-1)),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33" s="79">
        <f>IF(AN1733="","",IF(AND(N1733&gt;0, AG1733&gt;0), IF(Configuración!$K$2="NO", "ALERTA: DESCUENTO DOBLE NO PERMITIDO", "OK"), "OK"))</f>
        <v/>
      </c>
      <c r="AR1733" s="79">
        <f>IF(AN1733="","",IF(OR(AO1733&lt;&gt;"OK", AP1733&lt;&gt;"OK", AQ1733&lt;&gt;"OK"), "⚠️ REVISAR", "OK"))</f>
        <v/>
      </c>
    </row>
    <row r="1734">
      <c r="A1734" s="79">
        <f>IF('Ordenes_Odoo'!A1734="","",'Ordenes_Odoo'!A1734)</f>
        <v/>
      </c>
      <c r="B1734" s="80">
        <f>IF('Ordenes_Odoo'!B1734="","",'Ordenes_Odoo'!B1734)</f>
        <v/>
      </c>
      <c r="C1734" s="79">
        <f>IF('Ordenes_Odoo'!C1734="","",'Ordenes_Odoo'!C1734)</f>
        <v/>
      </c>
      <c r="D1734" s="79">
        <f>IF('Ordenes_Odoo'!D1734="","",'Ordenes_Odoo'!D1734)</f>
        <v/>
      </c>
      <c r="E1734" s="79">
        <f>IF('Ordenes_Odoo'!E1734="","",'Ordenes_Odoo'!E1734)</f>
        <v/>
      </c>
      <c r="F1734" s="79">
        <f>IF('Ordenes_Odoo'!F1734="","",'Ordenes_Odoo'!F1734)</f>
        <v/>
      </c>
      <c r="G1734" s="79">
        <f>IF('Ordenes_Odoo'!G1734="","",'Ordenes_Odoo'!G1734)</f>
        <v/>
      </c>
      <c r="H1734" s="79">
        <f>IF('Ordenes_Odoo'!H1734="","",'Ordenes_Odoo'!H1734)</f>
        <v/>
      </c>
      <c r="I1734" s="79">
        <f>IF('Ordenes_Odoo'!I1734="","",'Ordenes_Odoo'!I1734)</f>
        <v/>
      </c>
      <c r="J1734" s="79">
        <f>IF('Ordenes_Odoo'!J1734="","",'Ordenes_Odoo'!J1734)</f>
        <v/>
      </c>
      <c r="K1734" s="81">
        <f>IF('Ordenes_Odoo'!K1734="","",'Ordenes_Odoo'!K1734)</f>
        <v/>
      </c>
      <c r="L1734" s="81">
        <f>IF('Ordenes_Odoo'!L1734="","",'Ordenes_Odoo'!L1734)</f>
        <v/>
      </c>
      <c r="M1734" s="79">
        <f>IF('Ordenes_Odoo'!M1734="","",'Ordenes_Odoo'!M1734)</f>
        <v/>
      </c>
      <c r="N1734" s="79">
        <f>IF('Ordenes_Odoo'!N1734="","",'Ordenes_Odoo'!N1734)</f>
        <v/>
      </c>
      <c r="O1734" s="81">
        <f>IF('Ordenes_Odoo'!O1734="","",'Ordenes_Odoo'!O1734)</f>
        <v/>
      </c>
      <c r="P1734" s="81">
        <f>IF('Ordenes_Odoo'!P1734="","",'Ordenes_Odoo'!P1734)</f>
        <v/>
      </c>
      <c r="Q1734" s="79">
        <f>IF(A1734="","",IFERROR(INDEX(Facturas_Odoo!$B:$B, MATCH(A1734, Facturas_Odoo!$D:$D, 0)), "Sin Factura"))</f>
        <v/>
      </c>
      <c r="R1734" s="80">
        <f>IF(Q1734="Sin Factura","",IFERROR(INDEX(Facturas_Odoo!$A:$A, MATCH(Q1734, Facturas_Odoo!$B:$B, 0)), ""))</f>
        <v/>
      </c>
      <c r="S1734" s="79">
        <f>IF(Q1734="Sin Factura","",IFERROR(_xlfn.XLOOKUP(1, (Facturas_Odoo!$D:$D=A1734) * (Facturas_Odoo!$K:$K=I1734), Facturas_Odoo!$L:$L, ""), ""))</f>
        <v/>
      </c>
      <c r="T1734" s="81">
        <f>IF(Q1734="Sin Factura",0,IFERROR(_xlfn.XLOOKUP(1, (Facturas_Odoo!$D:$D=A1734) * (Facturas_Odoo!$K:$K=I1734), Facturas_Odoo!$M:$M, 0), 0))</f>
        <v/>
      </c>
      <c r="U1734" s="79">
        <f>IF(Q1734="Sin Factura",0,IFERROR(_xlfn.XLOOKUP(1, (Facturas_Odoo!$D:$D=A1734) * (Facturas_Odoo!$K:$K=I1734), Facturas_Odoo!$N:$N, 0), 0))</f>
        <v/>
      </c>
      <c r="V1734" s="79">
        <f>IF(Q1734="Sin Factura",0,IFERROR(_xlfn.XLOOKUP(1, (Facturas_Odoo!$D:$D=A1734) * (Facturas_Odoo!$K:$K=I1734), Facturas_Odoo!$O:$O, 0), 0))</f>
        <v/>
      </c>
      <c r="W1734" s="81">
        <f>IF(Q1734="Sin Factura",0,IFERROR(_xlfn.XLOOKUP(1, (Facturas_Odoo!$D:$D=A1734) * (Facturas_Odoo!$K:$K=I1734), Facturas_Odoo!$Q:$Q, 0), 0))</f>
        <v/>
      </c>
      <c r="X1734" s="79">
        <f>IF(OR(Q1734="Sin Factura",Q1734=""),"",IFERROR(INDEX(Pagos_Odoo!$B:$B, MATCH(Q1734, Pagos_Odoo!$I:$I, 0)), "Sin Pago"))</f>
        <v/>
      </c>
      <c r="Y1734" s="79">
        <f>IF(X1734="Sin Pago","",IFERROR(INDEX(Pagos_Odoo!$C:$C, MATCH(X1734, Pagos_Odoo!$B:$B, 0)), ""))</f>
        <v/>
      </c>
      <c r="Z1734" s="80">
        <f>IF(X1734="Sin Pago","",IFERROR(INDEX(Pagos_Odoo!$A:$A, MATCH(X1734, Pagos_Odoo!$B:$B, 0)), ""))</f>
        <v/>
      </c>
      <c r="AA1734" s="79">
        <f>IF(X1734="Sin Pago","",IFERROR(INDEX(Pagos_Odoo!$F:$F, MATCH(X1734, Pagos_Odoo!$B:$B, 0)), ""))</f>
        <v/>
      </c>
      <c r="AB1734" s="81">
        <f>IF(X1734="Sin Pago",0,IFERROR(INDEX(Pagos_Odoo!$E:$E, MATCH(X1734, Pagos_Odoo!$B:$B, 0)), 0))</f>
        <v/>
      </c>
      <c r="AC1734" s="79">
        <f>IF(X1734="Sin Pago","",IFERROR(INDEX(Pagos_Odoo!$G:$G, MATCH(X1734, Pagos_Odoo!$B:$B, 0)), ""))</f>
        <v/>
      </c>
      <c r="AD1734" s="82" t="n">
        <v>0</v>
      </c>
      <c r="AE1734" s="82" t="n"/>
      <c r="AF1734" s="82" t="n"/>
      <c r="AG1734" s="82">
        <f>IF(AN1734="","",AD1734+AE1734+AF1734)</f>
        <v/>
      </c>
      <c r="AH1734" s="81">
        <f>IF(AN1734="","",P1734*(1-AG1734))</f>
        <v/>
      </c>
      <c r="AI1734" s="81">
        <f>IF(AN1734="","",IF(Q1734="Sin Factura",0,IFERROR(INDEX(Facturas_Odoo!$H:$H, MATCH(Q1734, Facturas_Odoo!$B:$B, 0)), 0)*(1-AG1734)))</f>
        <v/>
      </c>
      <c r="AJ1734" s="81">
        <f>IF(AN1734="","",_xlfn.LET(idVenta, AN1734&amp;"",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34" s="81">
        <f>IF(AN1734="","",AH1734-AJ1734)</f>
        <v/>
      </c>
      <c r="AL1734" s="81">
        <f>IF(AN1734="","",IF(Q1734="Sin Factura","",AI1734-AJ1734))</f>
        <v/>
      </c>
      <c r="AM1734" s="81">
        <f>IF(AN1734="","",IF(Q1734="Sin Factura",0,P1734-IFERROR(INDEX(Facturas_Odoo!$H:$H, MATCH(Q1734, Facturas_Odoo!$B:$B, 0)), 0)))</f>
        <v/>
      </c>
      <c r="AN1734" s="79">
        <f>IF(AND(A1734="", J1734=""), "", IF(A1734&lt;&gt;"", VALUE(MID(A1734,2,LEN(A1734))), AN1733))</f>
        <v/>
      </c>
      <c r="AO1734" s="79">
        <f>IF(AN1734="","",IF(AD1734=0,"OK",_xlfn.LET(monedaPago, IF(AA1734="","USD",AA1734), limitePermitido, IFERROR(VLOOKUP(monedaPago, Configuración!$A$2:$B$3, 2, FALSE), 0.15), IF(AD1734&gt;limitePermitido, "ALERTA: EXCESO (" &amp; TEXT(limitePermitido, "0%") &amp; " máx)", "OK"))))</f>
        <v/>
      </c>
      <c r="AP1734" s="79">
        <f>IF(AN1734="","",IF(AE1734=0,"OK",_xlfn.LET(fechaPago, Z1734, fechaFactura, R1734, diasCredito, IF(E1734="Pago inmediato", 0, IFERROR(VALUE(MID(E1734, 1, SEARCH(" ", E1734)-1)),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34" s="79">
        <f>IF(AN1734="","",IF(AND(N1734&gt;0, AG1734&gt;0), IF(Configuración!$K$2="NO", "ALERTA: DESCUENTO DOBLE NO PERMITIDO", "OK"), "OK"))</f>
        <v/>
      </c>
      <c r="AR1734" s="79">
        <f>IF(AN1734="","",IF(OR(AO1734&lt;&gt;"OK", AP1734&lt;&gt;"OK", AQ1734&lt;&gt;"OK"), "⚠️ REVISAR", "OK"))</f>
        <v/>
      </c>
    </row>
    <row r="1735">
      <c r="A1735" s="79">
        <f>IF('Ordenes_Odoo'!A1735="","",'Ordenes_Odoo'!A1735)</f>
        <v/>
      </c>
      <c r="B1735" s="80">
        <f>IF('Ordenes_Odoo'!B1735="","",'Ordenes_Odoo'!B1735)</f>
        <v/>
      </c>
      <c r="C1735" s="79">
        <f>IF('Ordenes_Odoo'!C1735="","",'Ordenes_Odoo'!C1735)</f>
        <v/>
      </c>
      <c r="D1735" s="79">
        <f>IF('Ordenes_Odoo'!D1735="","",'Ordenes_Odoo'!D1735)</f>
        <v/>
      </c>
      <c r="E1735" s="79">
        <f>IF('Ordenes_Odoo'!E1735="","",'Ordenes_Odoo'!E1735)</f>
        <v/>
      </c>
      <c r="F1735" s="79">
        <f>IF('Ordenes_Odoo'!F1735="","",'Ordenes_Odoo'!F1735)</f>
        <v/>
      </c>
      <c r="G1735" s="79">
        <f>IF('Ordenes_Odoo'!G1735="","",'Ordenes_Odoo'!G1735)</f>
        <v/>
      </c>
      <c r="H1735" s="79">
        <f>IF('Ordenes_Odoo'!H1735="","",'Ordenes_Odoo'!H1735)</f>
        <v/>
      </c>
      <c r="I1735" s="79">
        <f>IF('Ordenes_Odoo'!I1735="","",'Ordenes_Odoo'!I1735)</f>
        <v/>
      </c>
      <c r="J1735" s="79">
        <f>IF('Ordenes_Odoo'!J1735="","",'Ordenes_Odoo'!J1735)</f>
        <v/>
      </c>
      <c r="K1735" s="81">
        <f>IF('Ordenes_Odoo'!K1735="","",'Ordenes_Odoo'!K1735)</f>
        <v/>
      </c>
      <c r="L1735" s="81">
        <f>IF('Ordenes_Odoo'!L1735="","",'Ordenes_Odoo'!L1735)</f>
        <v/>
      </c>
      <c r="M1735" s="79">
        <f>IF('Ordenes_Odoo'!M1735="","",'Ordenes_Odoo'!M1735)</f>
        <v/>
      </c>
      <c r="N1735" s="79">
        <f>IF('Ordenes_Odoo'!N1735="","",'Ordenes_Odoo'!N1735)</f>
        <v/>
      </c>
      <c r="O1735" s="81">
        <f>IF('Ordenes_Odoo'!O1735="","",'Ordenes_Odoo'!O1735)</f>
        <v/>
      </c>
      <c r="P1735" s="81">
        <f>IF('Ordenes_Odoo'!P1735="","",'Ordenes_Odoo'!P1735)</f>
        <v/>
      </c>
      <c r="Q1735" s="79">
        <f>IF(A1735="","",IFERROR(INDEX(Facturas_Odoo!$B:$B, MATCH(A1735, Facturas_Odoo!$D:$D, 0)), "Sin Factura"))</f>
        <v/>
      </c>
      <c r="R1735" s="80">
        <f>IF(Q1735="Sin Factura","",IFERROR(INDEX(Facturas_Odoo!$A:$A, MATCH(Q1735, Facturas_Odoo!$B:$B, 0)), ""))</f>
        <v/>
      </c>
      <c r="S1735" s="79">
        <f>IF(Q1735="Sin Factura","",IFERROR(_xlfn.XLOOKUP(1, (Facturas_Odoo!$D:$D=A1735) * (Facturas_Odoo!$K:$K=I1735), Facturas_Odoo!$L:$L, ""), ""))</f>
        <v/>
      </c>
      <c r="T1735" s="81">
        <f>IF(Q1735="Sin Factura",0,IFERROR(_xlfn.XLOOKUP(1, (Facturas_Odoo!$D:$D=A1735) * (Facturas_Odoo!$K:$K=I1735), Facturas_Odoo!$M:$M, 0), 0))</f>
        <v/>
      </c>
      <c r="U1735" s="79">
        <f>IF(Q1735="Sin Factura",0,IFERROR(_xlfn.XLOOKUP(1, (Facturas_Odoo!$D:$D=A1735) * (Facturas_Odoo!$K:$K=I1735), Facturas_Odoo!$N:$N, 0), 0))</f>
        <v/>
      </c>
      <c r="V1735" s="79">
        <f>IF(Q1735="Sin Factura",0,IFERROR(_xlfn.XLOOKUP(1, (Facturas_Odoo!$D:$D=A1735) * (Facturas_Odoo!$K:$K=I1735), Facturas_Odoo!$O:$O, 0), 0))</f>
        <v/>
      </c>
      <c r="W1735" s="81">
        <f>IF(Q1735="Sin Factura",0,IFERROR(_xlfn.XLOOKUP(1, (Facturas_Odoo!$D:$D=A1735) * (Facturas_Odoo!$K:$K=I1735), Facturas_Odoo!$Q:$Q, 0), 0))</f>
        <v/>
      </c>
      <c r="X1735" s="79">
        <f>IF(OR(Q1735="Sin Factura",Q1735=""),"",IFERROR(INDEX(Pagos_Odoo!$B:$B, MATCH(Q1735, Pagos_Odoo!$I:$I, 0)), "Sin Pago"))</f>
        <v/>
      </c>
      <c r="Y1735" s="79">
        <f>IF(X1735="Sin Pago","",IFERROR(INDEX(Pagos_Odoo!$C:$C, MATCH(X1735, Pagos_Odoo!$B:$B, 0)), ""))</f>
        <v/>
      </c>
      <c r="Z1735" s="80">
        <f>IF(X1735="Sin Pago","",IFERROR(INDEX(Pagos_Odoo!$A:$A, MATCH(X1735, Pagos_Odoo!$B:$B, 0)), ""))</f>
        <v/>
      </c>
      <c r="AA1735" s="79">
        <f>IF(X1735="Sin Pago","",IFERROR(INDEX(Pagos_Odoo!$F:$F, MATCH(X1735, Pagos_Odoo!$B:$B, 0)), ""))</f>
        <v/>
      </c>
      <c r="AB1735" s="81">
        <f>IF(X1735="Sin Pago",0,IFERROR(INDEX(Pagos_Odoo!$E:$E, MATCH(X1735, Pagos_Odoo!$B:$B, 0)), 0))</f>
        <v/>
      </c>
      <c r="AC1735" s="79">
        <f>IF(X1735="Sin Pago","",IFERROR(INDEX(Pagos_Odoo!$G:$G, MATCH(X1735, Pagos_Odoo!$B:$B, 0)), ""))</f>
        <v/>
      </c>
      <c r="AD1735" s="82" t="n">
        <v>0</v>
      </c>
      <c r="AE1735" s="82" t="n"/>
      <c r="AF1735" s="82" t="n"/>
      <c r="AG1735" s="82">
        <f>IF(AN1735="","",AD1735+AE1735+AF1735)</f>
        <v/>
      </c>
      <c r="AH1735" s="81">
        <f>IF(AN1735="","",P1735*(1-AG1735))</f>
        <v/>
      </c>
      <c r="AI1735" s="81">
        <f>IF(AN1735="","",IF(Q1735="Sin Factura",0,IFERROR(INDEX(Facturas_Odoo!$H:$H, MATCH(Q1735, Facturas_Odoo!$B:$B, 0)), 0)*(1-AG1735)))</f>
        <v/>
      </c>
      <c r="AJ1735" s="81">
        <f>IF(AN1735="","",_xlfn.LET(idVenta, AN1735&amp;"",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35" s="81">
        <f>IF(AN1735="","",AH1735-AJ1735)</f>
        <v/>
      </c>
      <c r="AL1735" s="81">
        <f>IF(AN1735="","",IF(Q1735="Sin Factura","",AI1735-AJ1735))</f>
        <v/>
      </c>
      <c r="AM1735" s="81">
        <f>IF(AN1735="","",IF(Q1735="Sin Factura",0,P1735-IFERROR(INDEX(Facturas_Odoo!$H:$H, MATCH(Q1735, Facturas_Odoo!$B:$B, 0)), 0)))</f>
        <v/>
      </c>
      <c r="AN1735" s="79">
        <f>IF(AND(A1735="", J1735=""), "", IF(A1735&lt;&gt;"", VALUE(MID(A1735,2,LEN(A1735))), AN1734))</f>
        <v/>
      </c>
      <c r="AO1735" s="79">
        <f>IF(AN1735="","",IF(AD1735=0,"OK",_xlfn.LET(monedaPago, IF(AA1735="","USD",AA1735), limitePermitido, IFERROR(VLOOKUP(monedaPago, Configuración!$A$2:$B$3, 2, FALSE), 0.15), IF(AD1735&gt;limitePermitido, "ALERTA: EXCESO (" &amp; TEXT(limitePermitido, "0%") &amp; " máx)", "OK"))))</f>
        <v/>
      </c>
      <c r="AP1735" s="79">
        <f>IF(AN1735="","",IF(AE1735=0,"OK",_xlfn.LET(fechaPago, Z1735, fechaFactura, R1735, diasCredito, IF(E1735="Pago inmediato", 0, IFERROR(VALUE(MID(E1735, 1, SEARCH(" ", E1735)-1)),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35" s="79">
        <f>IF(AN1735="","",IF(AND(N1735&gt;0, AG1735&gt;0), IF(Configuración!$K$2="NO", "ALERTA: DESCUENTO DOBLE NO PERMITIDO", "OK"), "OK"))</f>
        <v/>
      </c>
      <c r="AR1735" s="79">
        <f>IF(AN1735="","",IF(OR(AO1735&lt;&gt;"OK", AP1735&lt;&gt;"OK", AQ1735&lt;&gt;"OK"), "⚠️ REVISAR", "OK"))</f>
        <v/>
      </c>
    </row>
    <row r="1736">
      <c r="A1736" s="79">
        <f>IF('Ordenes_Odoo'!A1736="","",'Ordenes_Odoo'!A1736)</f>
        <v/>
      </c>
      <c r="B1736" s="80">
        <f>IF('Ordenes_Odoo'!B1736="","",'Ordenes_Odoo'!B1736)</f>
        <v/>
      </c>
      <c r="C1736" s="79">
        <f>IF('Ordenes_Odoo'!C1736="","",'Ordenes_Odoo'!C1736)</f>
        <v/>
      </c>
      <c r="D1736" s="79">
        <f>IF('Ordenes_Odoo'!D1736="","",'Ordenes_Odoo'!D1736)</f>
        <v/>
      </c>
      <c r="E1736" s="79">
        <f>IF('Ordenes_Odoo'!E1736="","",'Ordenes_Odoo'!E1736)</f>
        <v/>
      </c>
      <c r="F1736" s="79">
        <f>IF('Ordenes_Odoo'!F1736="","",'Ordenes_Odoo'!F1736)</f>
        <v/>
      </c>
      <c r="G1736" s="79">
        <f>IF('Ordenes_Odoo'!G1736="","",'Ordenes_Odoo'!G1736)</f>
        <v/>
      </c>
      <c r="H1736" s="79">
        <f>IF('Ordenes_Odoo'!H1736="","",'Ordenes_Odoo'!H1736)</f>
        <v/>
      </c>
      <c r="I1736" s="79">
        <f>IF('Ordenes_Odoo'!I1736="","",'Ordenes_Odoo'!I1736)</f>
        <v/>
      </c>
      <c r="J1736" s="79">
        <f>IF('Ordenes_Odoo'!J1736="","",'Ordenes_Odoo'!J1736)</f>
        <v/>
      </c>
      <c r="K1736" s="81">
        <f>IF('Ordenes_Odoo'!K1736="","",'Ordenes_Odoo'!K1736)</f>
        <v/>
      </c>
      <c r="L1736" s="81">
        <f>IF('Ordenes_Odoo'!L1736="","",'Ordenes_Odoo'!L1736)</f>
        <v/>
      </c>
      <c r="M1736" s="79">
        <f>IF('Ordenes_Odoo'!M1736="","",'Ordenes_Odoo'!M1736)</f>
        <v/>
      </c>
      <c r="N1736" s="79">
        <f>IF('Ordenes_Odoo'!N1736="","",'Ordenes_Odoo'!N1736)</f>
        <v/>
      </c>
      <c r="O1736" s="81">
        <f>IF('Ordenes_Odoo'!O1736="","",'Ordenes_Odoo'!O1736)</f>
        <v/>
      </c>
      <c r="P1736" s="81">
        <f>IF('Ordenes_Odoo'!P1736="","",'Ordenes_Odoo'!P1736)</f>
        <v/>
      </c>
      <c r="Q1736" s="79">
        <f>IF(A1736="","",IFERROR(INDEX(Facturas_Odoo!$B:$B, MATCH(A1736, Facturas_Odoo!$D:$D, 0)), "Sin Factura"))</f>
        <v/>
      </c>
      <c r="R1736" s="80">
        <f>IF(Q1736="Sin Factura","",IFERROR(INDEX(Facturas_Odoo!$A:$A, MATCH(Q1736, Facturas_Odoo!$B:$B, 0)), ""))</f>
        <v/>
      </c>
      <c r="S1736" s="79">
        <f>IF(Q1736="Sin Factura","",IFERROR(_xlfn.XLOOKUP(1, (Facturas_Odoo!$D:$D=A1736) * (Facturas_Odoo!$K:$K=I1736), Facturas_Odoo!$L:$L, ""), ""))</f>
        <v/>
      </c>
      <c r="T1736" s="81">
        <f>IF(Q1736="Sin Factura",0,IFERROR(_xlfn.XLOOKUP(1, (Facturas_Odoo!$D:$D=A1736) * (Facturas_Odoo!$K:$K=I1736), Facturas_Odoo!$M:$M, 0), 0))</f>
        <v/>
      </c>
      <c r="U1736" s="79">
        <f>IF(Q1736="Sin Factura",0,IFERROR(_xlfn.XLOOKUP(1, (Facturas_Odoo!$D:$D=A1736) * (Facturas_Odoo!$K:$K=I1736), Facturas_Odoo!$N:$N, 0), 0))</f>
        <v/>
      </c>
      <c r="V1736" s="79">
        <f>IF(Q1736="Sin Factura",0,IFERROR(_xlfn.XLOOKUP(1, (Facturas_Odoo!$D:$D=A1736) * (Facturas_Odoo!$K:$K=I1736), Facturas_Odoo!$O:$O, 0), 0))</f>
        <v/>
      </c>
      <c r="W1736" s="81">
        <f>IF(Q1736="Sin Factura",0,IFERROR(_xlfn.XLOOKUP(1, (Facturas_Odoo!$D:$D=A1736) * (Facturas_Odoo!$K:$K=I1736), Facturas_Odoo!$Q:$Q, 0), 0))</f>
        <v/>
      </c>
      <c r="X1736" s="79">
        <f>IF(OR(Q1736="Sin Factura",Q1736=""),"",IFERROR(INDEX(Pagos_Odoo!$B:$B, MATCH(Q1736, Pagos_Odoo!$I:$I, 0)), "Sin Pago"))</f>
        <v/>
      </c>
      <c r="Y1736" s="79">
        <f>IF(X1736="Sin Pago","",IFERROR(INDEX(Pagos_Odoo!$C:$C, MATCH(X1736, Pagos_Odoo!$B:$B, 0)), ""))</f>
        <v/>
      </c>
      <c r="Z1736" s="80">
        <f>IF(X1736="Sin Pago","",IFERROR(INDEX(Pagos_Odoo!$A:$A, MATCH(X1736, Pagos_Odoo!$B:$B, 0)), ""))</f>
        <v/>
      </c>
      <c r="AA1736" s="79">
        <f>IF(X1736="Sin Pago","",IFERROR(INDEX(Pagos_Odoo!$F:$F, MATCH(X1736, Pagos_Odoo!$B:$B, 0)), ""))</f>
        <v/>
      </c>
      <c r="AB1736" s="81">
        <f>IF(X1736="Sin Pago",0,IFERROR(INDEX(Pagos_Odoo!$E:$E, MATCH(X1736, Pagos_Odoo!$B:$B, 0)), 0))</f>
        <v/>
      </c>
      <c r="AC1736" s="79">
        <f>IF(X1736="Sin Pago","",IFERROR(INDEX(Pagos_Odoo!$G:$G, MATCH(X1736, Pagos_Odoo!$B:$B, 0)), ""))</f>
        <v/>
      </c>
      <c r="AD1736" s="82" t="n">
        <v>0</v>
      </c>
      <c r="AE1736" s="82" t="n"/>
      <c r="AF1736" s="82" t="n"/>
      <c r="AG1736" s="82">
        <f>IF(AN1736="","",AD1736+AE1736+AF1736)</f>
        <v/>
      </c>
      <c r="AH1736" s="81">
        <f>IF(AN1736="","",P1736*(1-AG1736))</f>
        <v/>
      </c>
      <c r="AI1736" s="81">
        <f>IF(AN1736="","",IF(Q1736="Sin Factura",0,IFERROR(INDEX(Facturas_Odoo!$H:$H, MATCH(Q1736, Facturas_Odoo!$B:$B, 0)), 0)*(1-AG1736)))</f>
        <v/>
      </c>
      <c r="AJ1736" s="81">
        <f>IF(AN1736="","",_xlfn.LET(idVenta, AN1736&amp;"",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36" s="81">
        <f>IF(AN1736="","",AH1736-AJ1736)</f>
        <v/>
      </c>
      <c r="AL1736" s="81">
        <f>IF(AN1736="","",IF(Q1736="Sin Factura","",AI1736-AJ1736))</f>
        <v/>
      </c>
      <c r="AM1736" s="81">
        <f>IF(AN1736="","",IF(Q1736="Sin Factura",0,P1736-IFERROR(INDEX(Facturas_Odoo!$H:$H, MATCH(Q1736, Facturas_Odoo!$B:$B, 0)), 0)))</f>
        <v/>
      </c>
      <c r="AN1736" s="79">
        <f>IF(AND(A1736="", J1736=""), "", IF(A1736&lt;&gt;"", VALUE(MID(A1736,2,LEN(A1736))), AN1735))</f>
        <v/>
      </c>
      <c r="AO1736" s="79">
        <f>IF(AN1736="","",IF(AD1736=0,"OK",_xlfn.LET(monedaPago, IF(AA1736="","USD",AA1736), limitePermitido, IFERROR(VLOOKUP(monedaPago, Configuración!$A$2:$B$3, 2, FALSE), 0.15), IF(AD1736&gt;limitePermitido, "ALERTA: EXCESO (" &amp; TEXT(limitePermitido, "0%") &amp; " máx)", "OK"))))</f>
        <v/>
      </c>
      <c r="AP1736" s="79">
        <f>IF(AN1736="","",IF(AE1736=0,"OK",_xlfn.LET(fechaPago, Z1736, fechaFactura, R1736, diasCredito, IF(E1736="Pago inmediato", 0, IFERROR(VALUE(MID(E1736, 1, SEARCH(" ", E1736)-1)),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36" s="79">
        <f>IF(AN1736="","",IF(AND(N1736&gt;0, AG1736&gt;0), IF(Configuración!$K$2="NO", "ALERTA: DESCUENTO DOBLE NO PERMITIDO", "OK"), "OK"))</f>
        <v/>
      </c>
      <c r="AR1736" s="79">
        <f>IF(AN1736="","",IF(OR(AO1736&lt;&gt;"OK", AP1736&lt;&gt;"OK", AQ1736&lt;&gt;"OK"), "⚠️ REVISAR", "OK"))</f>
        <v/>
      </c>
    </row>
    <row r="1737">
      <c r="A1737" s="79">
        <f>IF('Ordenes_Odoo'!A1737="","",'Ordenes_Odoo'!A1737)</f>
        <v/>
      </c>
      <c r="B1737" s="80">
        <f>IF('Ordenes_Odoo'!B1737="","",'Ordenes_Odoo'!B1737)</f>
        <v/>
      </c>
      <c r="C1737" s="79">
        <f>IF('Ordenes_Odoo'!C1737="","",'Ordenes_Odoo'!C1737)</f>
        <v/>
      </c>
      <c r="D1737" s="79">
        <f>IF('Ordenes_Odoo'!D1737="","",'Ordenes_Odoo'!D1737)</f>
        <v/>
      </c>
      <c r="E1737" s="79">
        <f>IF('Ordenes_Odoo'!E1737="","",'Ordenes_Odoo'!E1737)</f>
        <v/>
      </c>
      <c r="F1737" s="79">
        <f>IF('Ordenes_Odoo'!F1737="","",'Ordenes_Odoo'!F1737)</f>
        <v/>
      </c>
      <c r="G1737" s="79">
        <f>IF('Ordenes_Odoo'!G1737="","",'Ordenes_Odoo'!G1737)</f>
        <v/>
      </c>
      <c r="H1737" s="79">
        <f>IF('Ordenes_Odoo'!H1737="","",'Ordenes_Odoo'!H1737)</f>
        <v/>
      </c>
      <c r="I1737" s="79">
        <f>IF('Ordenes_Odoo'!I1737="","",'Ordenes_Odoo'!I1737)</f>
        <v/>
      </c>
      <c r="J1737" s="79">
        <f>IF('Ordenes_Odoo'!J1737="","",'Ordenes_Odoo'!J1737)</f>
        <v/>
      </c>
      <c r="K1737" s="81">
        <f>IF('Ordenes_Odoo'!K1737="","",'Ordenes_Odoo'!K1737)</f>
        <v/>
      </c>
      <c r="L1737" s="81">
        <f>IF('Ordenes_Odoo'!L1737="","",'Ordenes_Odoo'!L1737)</f>
        <v/>
      </c>
      <c r="M1737" s="79">
        <f>IF('Ordenes_Odoo'!M1737="","",'Ordenes_Odoo'!M1737)</f>
        <v/>
      </c>
      <c r="N1737" s="79">
        <f>IF('Ordenes_Odoo'!N1737="","",'Ordenes_Odoo'!N1737)</f>
        <v/>
      </c>
      <c r="O1737" s="81">
        <f>IF('Ordenes_Odoo'!O1737="","",'Ordenes_Odoo'!O1737)</f>
        <v/>
      </c>
      <c r="P1737" s="81">
        <f>IF('Ordenes_Odoo'!P1737="","",'Ordenes_Odoo'!P1737)</f>
        <v/>
      </c>
      <c r="Q1737" s="79">
        <f>IF(A1737="","",IFERROR(INDEX(Facturas_Odoo!$B:$B, MATCH(A1737, Facturas_Odoo!$D:$D, 0)), "Sin Factura"))</f>
        <v/>
      </c>
      <c r="R1737" s="80">
        <f>IF(Q1737="Sin Factura","",IFERROR(INDEX(Facturas_Odoo!$A:$A, MATCH(Q1737, Facturas_Odoo!$B:$B, 0)), ""))</f>
        <v/>
      </c>
      <c r="S1737" s="79">
        <f>IF(Q1737="Sin Factura","",IFERROR(_xlfn.XLOOKUP(1, (Facturas_Odoo!$D:$D=A1737) * (Facturas_Odoo!$K:$K=I1737), Facturas_Odoo!$L:$L, ""), ""))</f>
        <v/>
      </c>
      <c r="T1737" s="81">
        <f>IF(Q1737="Sin Factura",0,IFERROR(_xlfn.XLOOKUP(1, (Facturas_Odoo!$D:$D=A1737) * (Facturas_Odoo!$K:$K=I1737), Facturas_Odoo!$M:$M, 0), 0))</f>
        <v/>
      </c>
      <c r="U1737" s="79">
        <f>IF(Q1737="Sin Factura",0,IFERROR(_xlfn.XLOOKUP(1, (Facturas_Odoo!$D:$D=A1737) * (Facturas_Odoo!$K:$K=I1737), Facturas_Odoo!$N:$N, 0), 0))</f>
        <v/>
      </c>
      <c r="V1737" s="79">
        <f>IF(Q1737="Sin Factura",0,IFERROR(_xlfn.XLOOKUP(1, (Facturas_Odoo!$D:$D=A1737) * (Facturas_Odoo!$K:$K=I1737), Facturas_Odoo!$O:$O, 0), 0))</f>
        <v/>
      </c>
      <c r="W1737" s="81">
        <f>IF(Q1737="Sin Factura",0,IFERROR(_xlfn.XLOOKUP(1, (Facturas_Odoo!$D:$D=A1737) * (Facturas_Odoo!$K:$K=I1737), Facturas_Odoo!$Q:$Q, 0), 0))</f>
        <v/>
      </c>
      <c r="X1737" s="79">
        <f>IF(OR(Q1737="Sin Factura",Q1737=""),"",IFERROR(INDEX(Pagos_Odoo!$B:$B, MATCH(Q1737, Pagos_Odoo!$I:$I, 0)), "Sin Pago"))</f>
        <v/>
      </c>
      <c r="Y1737" s="79">
        <f>IF(X1737="Sin Pago","",IFERROR(INDEX(Pagos_Odoo!$C:$C, MATCH(X1737, Pagos_Odoo!$B:$B, 0)), ""))</f>
        <v/>
      </c>
      <c r="Z1737" s="80">
        <f>IF(X1737="Sin Pago","",IFERROR(INDEX(Pagos_Odoo!$A:$A, MATCH(X1737, Pagos_Odoo!$B:$B, 0)), ""))</f>
        <v/>
      </c>
      <c r="AA1737" s="79">
        <f>IF(X1737="Sin Pago","",IFERROR(INDEX(Pagos_Odoo!$F:$F, MATCH(X1737, Pagos_Odoo!$B:$B, 0)), ""))</f>
        <v/>
      </c>
      <c r="AB1737" s="81">
        <f>IF(X1737="Sin Pago",0,IFERROR(INDEX(Pagos_Odoo!$E:$E, MATCH(X1737, Pagos_Odoo!$B:$B, 0)), 0))</f>
        <v/>
      </c>
      <c r="AC1737" s="79">
        <f>IF(X1737="Sin Pago","",IFERROR(INDEX(Pagos_Odoo!$G:$G, MATCH(X1737, Pagos_Odoo!$B:$B, 0)), ""))</f>
        <v/>
      </c>
      <c r="AD1737" s="82" t="n">
        <v>0</v>
      </c>
      <c r="AE1737" s="82" t="n"/>
      <c r="AF1737" s="82" t="n"/>
      <c r="AG1737" s="82">
        <f>IF(AN1737="","",AD1737+AE1737+AF1737)</f>
        <v/>
      </c>
      <c r="AH1737" s="81">
        <f>IF(AN1737="","",P1737*(1-AG1737))</f>
        <v/>
      </c>
      <c r="AI1737" s="81">
        <f>IF(AN1737="","",IF(Q1737="Sin Factura",0,IFERROR(INDEX(Facturas_Odoo!$H:$H, MATCH(Q1737, Facturas_Odoo!$B:$B, 0)), 0)*(1-AG1737)))</f>
        <v/>
      </c>
      <c r="AJ1737" s="81">
        <f>IF(AN1737="","",_xlfn.LET(idVenta, AN1737&amp;"",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37" s="81">
        <f>IF(AN1737="","",AH1737-AJ1737)</f>
        <v/>
      </c>
      <c r="AL1737" s="81">
        <f>IF(AN1737="","",IF(Q1737="Sin Factura","",AI1737-AJ1737))</f>
        <v/>
      </c>
      <c r="AM1737" s="81">
        <f>IF(AN1737="","",IF(Q1737="Sin Factura",0,P1737-IFERROR(INDEX(Facturas_Odoo!$H:$H, MATCH(Q1737, Facturas_Odoo!$B:$B, 0)), 0)))</f>
        <v/>
      </c>
      <c r="AN1737" s="79">
        <f>IF(AND(A1737="", J1737=""), "", IF(A1737&lt;&gt;"", VALUE(MID(A1737,2,LEN(A1737))), AN1736))</f>
        <v/>
      </c>
      <c r="AO1737" s="79">
        <f>IF(AN1737="","",IF(AD1737=0,"OK",_xlfn.LET(monedaPago, IF(AA1737="","USD",AA1737), limitePermitido, IFERROR(VLOOKUP(monedaPago, Configuración!$A$2:$B$3, 2, FALSE), 0.15), IF(AD1737&gt;limitePermitido, "ALERTA: EXCESO (" &amp; TEXT(limitePermitido, "0%") &amp; " máx)", "OK"))))</f>
        <v/>
      </c>
      <c r="AP1737" s="79">
        <f>IF(AN1737="","",IF(AE1737=0,"OK",_xlfn.LET(fechaPago, Z1737, fechaFactura, R1737, diasCredito, IF(E1737="Pago inmediato", 0, IFERROR(VALUE(MID(E1737, 1, SEARCH(" ", E1737)-1)),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37" s="79">
        <f>IF(AN1737="","",IF(AND(N1737&gt;0, AG1737&gt;0), IF(Configuración!$K$2="NO", "ALERTA: DESCUENTO DOBLE NO PERMITIDO", "OK"), "OK"))</f>
        <v/>
      </c>
      <c r="AR1737" s="79">
        <f>IF(AN1737="","",IF(OR(AO1737&lt;&gt;"OK", AP1737&lt;&gt;"OK", AQ1737&lt;&gt;"OK"), "⚠️ REVISAR", "OK"))</f>
        <v/>
      </c>
    </row>
    <row r="1738">
      <c r="A1738" s="79">
        <f>IF('Ordenes_Odoo'!A1738="","",'Ordenes_Odoo'!A1738)</f>
        <v/>
      </c>
      <c r="B1738" s="80">
        <f>IF('Ordenes_Odoo'!B1738="","",'Ordenes_Odoo'!B1738)</f>
        <v/>
      </c>
      <c r="C1738" s="79">
        <f>IF('Ordenes_Odoo'!C1738="","",'Ordenes_Odoo'!C1738)</f>
        <v/>
      </c>
      <c r="D1738" s="79">
        <f>IF('Ordenes_Odoo'!D1738="","",'Ordenes_Odoo'!D1738)</f>
        <v/>
      </c>
      <c r="E1738" s="79">
        <f>IF('Ordenes_Odoo'!E1738="","",'Ordenes_Odoo'!E1738)</f>
        <v/>
      </c>
      <c r="F1738" s="79">
        <f>IF('Ordenes_Odoo'!F1738="","",'Ordenes_Odoo'!F1738)</f>
        <v/>
      </c>
      <c r="G1738" s="79">
        <f>IF('Ordenes_Odoo'!G1738="","",'Ordenes_Odoo'!G1738)</f>
        <v/>
      </c>
      <c r="H1738" s="79">
        <f>IF('Ordenes_Odoo'!H1738="","",'Ordenes_Odoo'!H1738)</f>
        <v/>
      </c>
      <c r="I1738" s="79">
        <f>IF('Ordenes_Odoo'!I1738="","",'Ordenes_Odoo'!I1738)</f>
        <v/>
      </c>
      <c r="J1738" s="79">
        <f>IF('Ordenes_Odoo'!J1738="","",'Ordenes_Odoo'!J1738)</f>
        <v/>
      </c>
      <c r="K1738" s="81">
        <f>IF('Ordenes_Odoo'!K1738="","",'Ordenes_Odoo'!K1738)</f>
        <v/>
      </c>
      <c r="L1738" s="81">
        <f>IF('Ordenes_Odoo'!L1738="","",'Ordenes_Odoo'!L1738)</f>
        <v/>
      </c>
      <c r="M1738" s="79">
        <f>IF('Ordenes_Odoo'!M1738="","",'Ordenes_Odoo'!M1738)</f>
        <v/>
      </c>
      <c r="N1738" s="79">
        <f>IF('Ordenes_Odoo'!N1738="","",'Ordenes_Odoo'!N1738)</f>
        <v/>
      </c>
      <c r="O1738" s="81">
        <f>IF('Ordenes_Odoo'!O1738="","",'Ordenes_Odoo'!O1738)</f>
        <v/>
      </c>
      <c r="P1738" s="81">
        <f>IF('Ordenes_Odoo'!P1738="","",'Ordenes_Odoo'!P1738)</f>
        <v/>
      </c>
      <c r="Q1738" s="79">
        <f>IF(A1738="","",IFERROR(INDEX(Facturas_Odoo!$B:$B, MATCH(A1738, Facturas_Odoo!$D:$D, 0)), "Sin Factura"))</f>
        <v/>
      </c>
      <c r="R1738" s="80">
        <f>IF(Q1738="Sin Factura","",IFERROR(INDEX(Facturas_Odoo!$A:$A, MATCH(Q1738, Facturas_Odoo!$B:$B, 0)), ""))</f>
        <v/>
      </c>
      <c r="S1738" s="79">
        <f>IF(Q1738="Sin Factura","",IFERROR(_xlfn.XLOOKUP(1, (Facturas_Odoo!$D:$D=A1738) * (Facturas_Odoo!$K:$K=I1738), Facturas_Odoo!$L:$L, ""), ""))</f>
        <v/>
      </c>
      <c r="T1738" s="81">
        <f>IF(Q1738="Sin Factura",0,IFERROR(_xlfn.XLOOKUP(1, (Facturas_Odoo!$D:$D=A1738) * (Facturas_Odoo!$K:$K=I1738), Facturas_Odoo!$M:$M, 0), 0))</f>
        <v/>
      </c>
      <c r="U1738" s="79">
        <f>IF(Q1738="Sin Factura",0,IFERROR(_xlfn.XLOOKUP(1, (Facturas_Odoo!$D:$D=A1738) * (Facturas_Odoo!$K:$K=I1738), Facturas_Odoo!$N:$N, 0), 0))</f>
        <v/>
      </c>
      <c r="V1738" s="79">
        <f>IF(Q1738="Sin Factura",0,IFERROR(_xlfn.XLOOKUP(1, (Facturas_Odoo!$D:$D=A1738) * (Facturas_Odoo!$K:$K=I1738), Facturas_Odoo!$O:$O, 0), 0))</f>
        <v/>
      </c>
      <c r="W1738" s="81">
        <f>IF(Q1738="Sin Factura",0,IFERROR(_xlfn.XLOOKUP(1, (Facturas_Odoo!$D:$D=A1738) * (Facturas_Odoo!$K:$K=I1738), Facturas_Odoo!$Q:$Q, 0), 0))</f>
        <v/>
      </c>
      <c r="X1738" s="79">
        <f>IF(OR(Q1738="Sin Factura",Q1738=""),"",IFERROR(INDEX(Pagos_Odoo!$B:$B, MATCH(Q1738, Pagos_Odoo!$I:$I, 0)), "Sin Pago"))</f>
        <v/>
      </c>
      <c r="Y1738" s="79">
        <f>IF(X1738="Sin Pago","",IFERROR(INDEX(Pagos_Odoo!$C:$C, MATCH(X1738, Pagos_Odoo!$B:$B, 0)), ""))</f>
        <v/>
      </c>
      <c r="Z1738" s="80">
        <f>IF(X1738="Sin Pago","",IFERROR(INDEX(Pagos_Odoo!$A:$A, MATCH(X1738, Pagos_Odoo!$B:$B, 0)), ""))</f>
        <v/>
      </c>
      <c r="AA1738" s="79">
        <f>IF(X1738="Sin Pago","",IFERROR(INDEX(Pagos_Odoo!$F:$F, MATCH(X1738, Pagos_Odoo!$B:$B, 0)), ""))</f>
        <v/>
      </c>
      <c r="AB1738" s="81">
        <f>IF(X1738="Sin Pago",0,IFERROR(INDEX(Pagos_Odoo!$E:$E, MATCH(X1738, Pagos_Odoo!$B:$B, 0)), 0))</f>
        <v/>
      </c>
      <c r="AC1738" s="79">
        <f>IF(X1738="Sin Pago","",IFERROR(INDEX(Pagos_Odoo!$G:$G, MATCH(X1738, Pagos_Odoo!$B:$B, 0)), ""))</f>
        <v/>
      </c>
      <c r="AD1738" s="82" t="n">
        <v>0</v>
      </c>
      <c r="AE1738" s="82" t="n"/>
      <c r="AF1738" s="82" t="n"/>
      <c r="AG1738" s="82">
        <f>IF(AN1738="","",AD1738+AE1738+AF1738)</f>
        <v/>
      </c>
      <c r="AH1738" s="81">
        <f>IF(AN1738="","",P1738*(1-AG1738))</f>
        <v/>
      </c>
      <c r="AI1738" s="81">
        <f>IF(AN1738="","",IF(Q1738="Sin Factura",0,IFERROR(INDEX(Facturas_Odoo!$H:$H, MATCH(Q1738, Facturas_Odoo!$B:$B, 0)), 0)*(1-AG1738)))</f>
        <v/>
      </c>
      <c r="AJ1738" s="81">
        <f>IF(AN1738="","",_xlfn.LET(idVenta, AN1738&amp;"",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38" s="81">
        <f>IF(AN1738="","",AH1738-AJ1738)</f>
        <v/>
      </c>
      <c r="AL1738" s="81">
        <f>IF(AN1738="","",IF(Q1738="Sin Factura","",AI1738-AJ1738))</f>
        <v/>
      </c>
      <c r="AM1738" s="81">
        <f>IF(AN1738="","",IF(Q1738="Sin Factura",0,P1738-IFERROR(INDEX(Facturas_Odoo!$H:$H, MATCH(Q1738, Facturas_Odoo!$B:$B, 0)), 0)))</f>
        <v/>
      </c>
      <c r="AN1738" s="79">
        <f>IF(AND(A1738="", J1738=""), "", IF(A1738&lt;&gt;"", VALUE(MID(A1738,2,LEN(A1738))), AN1737))</f>
        <v/>
      </c>
      <c r="AO1738" s="79">
        <f>IF(AN1738="","",IF(AD1738=0,"OK",_xlfn.LET(monedaPago, IF(AA1738="","USD",AA1738), limitePermitido, IFERROR(VLOOKUP(monedaPago, Configuración!$A$2:$B$3, 2, FALSE), 0.15), IF(AD1738&gt;limitePermitido, "ALERTA: EXCESO (" &amp; TEXT(limitePermitido, "0%") &amp; " máx)", "OK"))))</f>
        <v/>
      </c>
      <c r="AP1738" s="79">
        <f>IF(AN1738="","",IF(AE1738=0,"OK",_xlfn.LET(fechaPago, Z1738, fechaFactura, R1738, diasCredito, IF(E1738="Pago inmediato", 0, IFERROR(VALUE(MID(E1738, 1, SEARCH(" ", E1738)-1)),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38" s="79">
        <f>IF(AN1738="","",IF(AND(N1738&gt;0, AG1738&gt;0), IF(Configuración!$K$2="NO", "ALERTA: DESCUENTO DOBLE NO PERMITIDO", "OK"), "OK"))</f>
        <v/>
      </c>
      <c r="AR1738" s="79">
        <f>IF(AN1738="","",IF(OR(AO1738&lt;&gt;"OK", AP1738&lt;&gt;"OK", AQ1738&lt;&gt;"OK"), "⚠️ REVISAR", "OK"))</f>
        <v/>
      </c>
    </row>
    <row r="1739">
      <c r="A1739" s="79">
        <f>IF('Ordenes_Odoo'!A1739="","",'Ordenes_Odoo'!A1739)</f>
        <v/>
      </c>
      <c r="B1739" s="80">
        <f>IF('Ordenes_Odoo'!B1739="","",'Ordenes_Odoo'!B1739)</f>
        <v/>
      </c>
      <c r="C1739" s="79">
        <f>IF('Ordenes_Odoo'!C1739="","",'Ordenes_Odoo'!C1739)</f>
        <v/>
      </c>
      <c r="D1739" s="79">
        <f>IF('Ordenes_Odoo'!D1739="","",'Ordenes_Odoo'!D1739)</f>
        <v/>
      </c>
      <c r="E1739" s="79">
        <f>IF('Ordenes_Odoo'!E1739="","",'Ordenes_Odoo'!E1739)</f>
        <v/>
      </c>
      <c r="F1739" s="79">
        <f>IF('Ordenes_Odoo'!F1739="","",'Ordenes_Odoo'!F1739)</f>
        <v/>
      </c>
      <c r="G1739" s="79">
        <f>IF('Ordenes_Odoo'!G1739="","",'Ordenes_Odoo'!G1739)</f>
        <v/>
      </c>
      <c r="H1739" s="79">
        <f>IF('Ordenes_Odoo'!H1739="","",'Ordenes_Odoo'!H1739)</f>
        <v/>
      </c>
      <c r="I1739" s="79">
        <f>IF('Ordenes_Odoo'!I1739="","",'Ordenes_Odoo'!I1739)</f>
        <v/>
      </c>
      <c r="J1739" s="79">
        <f>IF('Ordenes_Odoo'!J1739="","",'Ordenes_Odoo'!J1739)</f>
        <v/>
      </c>
      <c r="K1739" s="81">
        <f>IF('Ordenes_Odoo'!K1739="","",'Ordenes_Odoo'!K1739)</f>
        <v/>
      </c>
      <c r="L1739" s="81">
        <f>IF('Ordenes_Odoo'!L1739="","",'Ordenes_Odoo'!L1739)</f>
        <v/>
      </c>
      <c r="M1739" s="79">
        <f>IF('Ordenes_Odoo'!M1739="","",'Ordenes_Odoo'!M1739)</f>
        <v/>
      </c>
      <c r="N1739" s="79">
        <f>IF('Ordenes_Odoo'!N1739="","",'Ordenes_Odoo'!N1739)</f>
        <v/>
      </c>
      <c r="O1739" s="81">
        <f>IF('Ordenes_Odoo'!O1739="","",'Ordenes_Odoo'!O1739)</f>
        <v/>
      </c>
      <c r="P1739" s="81">
        <f>IF('Ordenes_Odoo'!P1739="","",'Ordenes_Odoo'!P1739)</f>
        <v/>
      </c>
      <c r="Q1739" s="79">
        <f>IF(A1739="","",IFERROR(INDEX(Facturas_Odoo!$B:$B, MATCH(A1739, Facturas_Odoo!$D:$D, 0)), "Sin Factura"))</f>
        <v/>
      </c>
      <c r="R1739" s="80">
        <f>IF(Q1739="Sin Factura","",IFERROR(INDEX(Facturas_Odoo!$A:$A, MATCH(Q1739, Facturas_Odoo!$B:$B, 0)), ""))</f>
        <v/>
      </c>
      <c r="S1739" s="79">
        <f>IF(Q1739="Sin Factura","",IFERROR(_xlfn.XLOOKUP(1, (Facturas_Odoo!$D:$D=A1739) * (Facturas_Odoo!$K:$K=I1739), Facturas_Odoo!$L:$L, ""), ""))</f>
        <v/>
      </c>
      <c r="T1739" s="81">
        <f>IF(Q1739="Sin Factura",0,IFERROR(_xlfn.XLOOKUP(1, (Facturas_Odoo!$D:$D=A1739) * (Facturas_Odoo!$K:$K=I1739), Facturas_Odoo!$M:$M, 0), 0))</f>
        <v/>
      </c>
      <c r="U1739" s="79">
        <f>IF(Q1739="Sin Factura",0,IFERROR(_xlfn.XLOOKUP(1, (Facturas_Odoo!$D:$D=A1739) * (Facturas_Odoo!$K:$K=I1739), Facturas_Odoo!$N:$N, 0), 0))</f>
        <v/>
      </c>
      <c r="V1739" s="79">
        <f>IF(Q1739="Sin Factura",0,IFERROR(_xlfn.XLOOKUP(1, (Facturas_Odoo!$D:$D=A1739) * (Facturas_Odoo!$K:$K=I1739), Facturas_Odoo!$O:$O, 0), 0))</f>
        <v/>
      </c>
      <c r="W1739" s="81">
        <f>IF(Q1739="Sin Factura",0,IFERROR(_xlfn.XLOOKUP(1, (Facturas_Odoo!$D:$D=A1739) * (Facturas_Odoo!$K:$K=I1739), Facturas_Odoo!$Q:$Q, 0), 0))</f>
        <v/>
      </c>
      <c r="X1739" s="79">
        <f>IF(OR(Q1739="Sin Factura",Q1739=""),"",IFERROR(INDEX(Pagos_Odoo!$B:$B, MATCH(Q1739, Pagos_Odoo!$I:$I, 0)), "Sin Pago"))</f>
        <v/>
      </c>
      <c r="Y1739" s="79">
        <f>IF(X1739="Sin Pago","",IFERROR(INDEX(Pagos_Odoo!$C:$C, MATCH(X1739, Pagos_Odoo!$B:$B, 0)), ""))</f>
        <v/>
      </c>
      <c r="Z1739" s="80">
        <f>IF(X1739="Sin Pago","",IFERROR(INDEX(Pagos_Odoo!$A:$A, MATCH(X1739, Pagos_Odoo!$B:$B, 0)), ""))</f>
        <v/>
      </c>
      <c r="AA1739" s="79">
        <f>IF(X1739="Sin Pago","",IFERROR(INDEX(Pagos_Odoo!$F:$F, MATCH(X1739, Pagos_Odoo!$B:$B, 0)), ""))</f>
        <v/>
      </c>
      <c r="AB1739" s="81">
        <f>IF(X1739="Sin Pago",0,IFERROR(INDEX(Pagos_Odoo!$E:$E, MATCH(X1739, Pagos_Odoo!$B:$B, 0)), 0))</f>
        <v/>
      </c>
      <c r="AC1739" s="79">
        <f>IF(X1739="Sin Pago","",IFERROR(INDEX(Pagos_Odoo!$G:$G, MATCH(X1739, Pagos_Odoo!$B:$B, 0)), ""))</f>
        <v/>
      </c>
      <c r="AD1739" s="82" t="n">
        <v>0</v>
      </c>
      <c r="AE1739" s="82" t="n"/>
      <c r="AF1739" s="82" t="n"/>
      <c r="AG1739" s="82">
        <f>IF(AN1739="","",AD1739+AE1739+AF1739)</f>
        <v/>
      </c>
      <c r="AH1739" s="81">
        <f>IF(AN1739="","",P1739*(1-AG1739))</f>
        <v/>
      </c>
      <c r="AI1739" s="81">
        <f>IF(AN1739="","",IF(Q1739="Sin Factura",0,IFERROR(INDEX(Facturas_Odoo!$H:$H, MATCH(Q1739, Facturas_Odoo!$B:$B, 0)), 0)*(1-AG1739)))</f>
        <v/>
      </c>
      <c r="AJ1739" s="81">
        <f>IF(AN1739="","",_xlfn.LET(idVenta, AN1739&amp;"",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39" s="81">
        <f>IF(AN1739="","",AH1739-AJ1739)</f>
        <v/>
      </c>
      <c r="AL1739" s="81">
        <f>IF(AN1739="","",IF(Q1739="Sin Factura","",AI1739-AJ1739))</f>
        <v/>
      </c>
      <c r="AM1739" s="81">
        <f>IF(AN1739="","",IF(Q1739="Sin Factura",0,P1739-IFERROR(INDEX(Facturas_Odoo!$H:$H, MATCH(Q1739, Facturas_Odoo!$B:$B, 0)), 0)))</f>
        <v/>
      </c>
      <c r="AN1739" s="79">
        <f>IF(AND(A1739="", J1739=""), "", IF(A1739&lt;&gt;"", VALUE(MID(A1739,2,LEN(A1739))), AN1738))</f>
        <v/>
      </c>
      <c r="AO1739" s="79">
        <f>IF(AN1739="","",IF(AD1739=0,"OK",_xlfn.LET(monedaPago, IF(AA1739="","USD",AA1739), limitePermitido, IFERROR(VLOOKUP(monedaPago, Configuración!$A$2:$B$3, 2, FALSE), 0.15), IF(AD1739&gt;limitePermitido, "ALERTA: EXCESO (" &amp; TEXT(limitePermitido, "0%") &amp; " máx)", "OK"))))</f>
        <v/>
      </c>
      <c r="AP1739" s="79">
        <f>IF(AN1739="","",IF(AE1739=0,"OK",_xlfn.LET(fechaPago, Z1739, fechaFactura, R1739, diasCredito, IF(E1739="Pago inmediato", 0, IFERROR(VALUE(MID(E1739, 1, SEARCH(" ", E1739)-1)),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39" s="79">
        <f>IF(AN1739="","",IF(AND(N1739&gt;0, AG1739&gt;0), IF(Configuración!$K$2="NO", "ALERTA: DESCUENTO DOBLE NO PERMITIDO", "OK"), "OK"))</f>
        <v/>
      </c>
      <c r="AR1739" s="79">
        <f>IF(AN1739="","",IF(OR(AO1739&lt;&gt;"OK", AP1739&lt;&gt;"OK", AQ1739&lt;&gt;"OK"), "⚠️ REVISAR", "OK"))</f>
        <v/>
      </c>
    </row>
    <row r="1740">
      <c r="A1740" s="79">
        <f>IF('Ordenes_Odoo'!A1740="","",'Ordenes_Odoo'!A1740)</f>
        <v/>
      </c>
      <c r="B1740" s="80">
        <f>IF('Ordenes_Odoo'!B1740="","",'Ordenes_Odoo'!B1740)</f>
        <v/>
      </c>
      <c r="C1740" s="79">
        <f>IF('Ordenes_Odoo'!C1740="","",'Ordenes_Odoo'!C1740)</f>
        <v/>
      </c>
      <c r="D1740" s="79">
        <f>IF('Ordenes_Odoo'!D1740="","",'Ordenes_Odoo'!D1740)</f>
        <v/>
      </c>
      <c r="E1740" s="79">
        <f>IF('Ordenes_Odoo'!E1740="","",'Ordenes_Odoo'!E1740)</f>
        <v/>
      </c>
      <c r="F1740" s="79">
        <f>IF('Ordenes_Odoo'!F1740="","",'Ordenes_Odoo'!F1740)</f>
        <v/>
      </c>
      <c r="G1740" s="79">
        <f>IF('Ordenes_Odoo'!G1740="","",'Ordenes_Odoo'!G1740)</f>
        <v/>
      </c>
      <c r="H1740" s="79">
        <f>IF('Ordenes_Odoo'!H1740="","",'Ordenes_Odoo'!H1740)</f>
        <v/>
      </c>
      <c r="I1740" s="79">
        <f>IF('Ordenes_Odoo'!I1740="","",'Ordenes_Odoo'!I1740)</f>
        <v/>
      </c>
      <c r="J1740" s="79">
        <f>IF('Ordenes_Odoo'!J1740="","",'Ordenes_Odoo'!J1740)</f>
        <v/>
      </c>
      <c r="K1740" s="81">
        <f>IF('Ordenes_Odoo'!K1740="","",'Ordenes_Odoo'!K1740)</f>
        <v/>
      </c>
      <c r="L1740" s="81">
        <f>IF('Ordenes_Odoo'!L1740="","",'Ordenes_Odoo'!L1740)</f>
        <v/>
      </c>
      <c r="M1740" s="79">
        <f>IF('Ordenes_Odoo'!M1740="","",'Ordenes_Odoo'!M1740)</f>
        <v/>
      </c>
      <c r="N1740" s="79">
        <f>IF('Ordenes_Odoo'!N1740="","",'Ordenes_Odoo'!N1740)</f>
        <v/>
      </c>
      <c r="O1740" s="81">
        <f>IF('Ordenes_Odoo'!O1740="","",'Ordenes_Odoo'!O1740)</f>
        <v/>
      </c>
      <c r="P1740" s="81">
        <f>IF('Ordenes_Odoo'!P1740="","",'Ordenes_Odoo'!P1740)</f>
        <v/>
      </c>
      <c r="Q1740" s="79">
        <f>IF(A1740="","",IFERROR(INDEX(Facturas_Odoo!$B:$B, MATCH(A1740, Facturas_Odoo!$D:$D, 0)), "Sin Factura"))</f>
        <v/>
      </c>
      <c r="R1740" s="80">
        <f>IF(Q1740="Sin Factura","",IFERROR(INDEX(Facturas_Odoo!$A:$A, MATCH(Q1740, Facturas_Odoo!$B:$B, 0)), ""))</f>
        <v/>
      </c>
      <c r="S1740" s="79">
        <f>IF(Q1740="Sin Factura","",IFERROR(_xlfn.XLOOKUP(1, (Facturas_Odoo!$D:$D=A1740) * (Facturas_Odoo!$K:$K=I1740), Facturas_Odoo!$L:$L, ""), ""))</f>
        <v/>
      </c>
      <c r="T1740" s="81">
        <f>IF(Q1740="Sin Factura",0,IFERROR(_xlfn.XLOOKUP(1, (Facturas_Odoo!$D:$D=A1740) * (Facturas_Odoo!$K:$K=I1740), Facturas_Odoo!$M:$M, 0), 0))</f>
        <v/>
      </c>
      <c r="U1740" s="79">
        <f>IF(Q1740="Sin Factura",0,IFERROR(_xlfn.XLOOKUP(1, (Facturas_Odoo!$D:$D=A1740) * (Facturas_Odoo!$K:$K=I1740), Facturas_Odoo!$N:$N, 0), 0))</f>
        <v/>
      </c>
      <c r="V1740" s="79">
        <f>IF(Q1740="Sin Factura",0,IFERROR(_xlfn.XLOOKUP(1, (Facturas_Odoo!$D:$D=A1740) * (Facturas_Odoo!$K:$K=I1740), Facturas_Odoo!$O:$O, 0), 0))</f>
        <v/>
      </c>
      <c r="W1740" s="81">
        <f>IF(Q1740="Sin Factura",0,IFERROR(_xlfn.XLOOKUP(1, (Facturas_Odoo!$D:$D=A1740) * (Facturas_Odoo!$K:$K=I1740), Facturas_Odoo!$Q:$Q, 0), 0))</f>
        <v/>
      </c>
      <c r="X1740" s="79">
        <f>IF(OR(Q1740="Sin Factura",Q1740=""),"",IFERROR(INDEX(Pagos_Odoo!$B:$B, MATCH(Q1740, Pagos_Odoo!$I:$I, 0)), "Sin Pago"))</f>
        <v/>
      </c>
      <c r="Y1740" s="79">
        <f>IF(X1740="Sin Pago","",IFERROR(INDEX(Pagos_Odoo!$C:$C, MATCH(X1740, Pagos_Odoo!$B:$B, 0)), ""))</f>
        <v/>
      </c>
      <c r="Z1740" s="80">
        <f>IF(X1740="Sin Pago","",IFERROR(INDEX(Pagos_Odoo!$A:$A, MATCH(X1740, Pagos_Odoo!$B:$B, 0)), ""))</f>
        <v/>
      </c>
      <c r="AA1740" s="79">
        <f>IF(X1740="Sin Pago","",IFERROR(INDEX(Pagos_Odoo!$F:$F, MATCH(X1740, Pagos_Odoo!$B:$B, 0)), ""))</f>
        <v/>
      </c>
      <c r="AB1740" s="81">
        <f>IF(X1740="Sin Pago",0,IFERROR(INDEX(Pagos_Odoo!$E:$E, MATCH(X1740, Pagos_Odoo!$B:$B, 0)), 0))</f>
        <v/>
      </c>
      <c r="AC1740" s="79">
        <f>IF(X1740="Sin Pago","",IFERROR(INDEX(Pagos_Odoo!$G:$G, MATCH(X1740, Pagos_Odoo!$B:$B, 0)), ""))</f>
        <v/>
      </c>
      <c r="AD1740" s="82" t="n">
        <v>0</v>
      </c>
      <c r="AE1740" s="82" t="n"/>
      <c r="AF1740" s="82" t="n"/>
      <c r="AG1740" s="82">
        <f>IF(AN1740="","",AD1740+AE1740+AF1740)</f>
        <v/>
      </c>
      <c r="AH1740" s="81">
        <f>IF(AN1740="","",P1740*(1-AG1740))</f>
        <v/>
      </c>
      <c r="AI1740" s="81">
        <f>IF(AN1740="","",IF(Q1740="Sin Factura",0,IFERROR(INDEX(Facturas_Odoo!$H:$H, MATCH(Q1740, Facturas_Odoo!$B:$B, 0)), 0)*(1-AG1740)))</f>
        <v/>
      </c>
      <c r="AJ1740" s="81">
        <f>IF(AN1740="","",_xlfn.LET(idVenta, AN1740&amp;"",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40" s="81">
        <f>IF(AN1740="","",AH1740-AJ1740)</f>
        <v/>
      </c>
      <c r="AL1740" s="81">
        <f>IF(AN1740="","",IF(Q1740="Sin Factura","",AI1740-AJ1740))</f>
        <v/>
      </c>
      <c r="AM1740" s="81">
        <f>IF(AN1740="","",IF(Q1740="Sin Factura",0,P1740-IFERROR(INDEX(Facturas_Odoo!$H:$H, MATCH(Q1740, Facturas_Odoo!$B:$B, 0)), 0)))</f>
        <v/>
      </c>
      <c r="AN1740" s="79">
        <f>IF(AND(A1740="", J1740=""), "", IF(A1740&lt;&gt;"", VALUE(MID(A1740,2,LEN(A1740))), AN1739))</f>
        <v/>
      </c>
      <c r="AO1740" s="79">
        <f>IF(AN1740="","",IF(AD1740=0,"OK",_xlfn.LET(monedaPago, IF(AA1740="","USD",AA1740), limitePermitido, IFERROR(VLOOKUP(monedaPago, Configuración!$A$2:$B$3, 2, FALSE), 0.15), IF(AD1740&gt;limitePermitido, "ALERTA: EXCESO (" &amp; TEXT(limitePermitido, "0%") &amp; " máx)", "OK"))))</f>
        <v/>
      </c>
      <c r="AP1740" s="79">
        <f>IF(AN1740="","",IF(AE1740=0,"OK",_xlfn.LET(fechaPago, Z1740, fechaFactura, R1740, diasCredito, IF(E1740="Pago inmediato", 0, IFERROR(VALUE(MID(E1740, 1, SEARCH(" ", E1740)-1)),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40" s="79">
        <f>IF(AN1740="","",IF(AND(N1740&gt;0, AG1740&gt;0), IF(Configuración!$K$2="NO", "ALERTA: DESCUENTO DOBLE NO PERMITIDO", "OK"), "OK"))</f>
        <v/>
      </c>
      <c r="AR1740" s="79">
        <f>IF(AN1740="","",IF(OR(AO1740&lt;&gt;"OK", AP1740&lt;&gt;"OK", AQ1740&lt;&gt;"OK"), "⚠️ REVISAR", "OK"))</f>
        <v/>
      </c>
    </row>
    <row r="1741">
      <c r="A1741" s="79">
        <f>IF('Ordenes_Odoo'!A1741="","",'Ordenes_Odoo'!A1741)</f>
        <v/>
      </c>
      <c r="B1741" s="80">
        <f>IF('Ordenes_Odoo'!B1741="","",'Ordenes_Odoo'!B1741)</f>
        <v/>
      </c>
      <c r="C1741" s="79">
        <f>IF('Ordenes_Odoo'!C1741="","",'Ordenes_Odoo'!C1741)</f>
        <v/>
      </c>
      <c r="D1741" s="79">
        <f>IF('Ordenes_Odoo'!D1741="","",'Ordenes_Odoo'!D1741)</f>
        <v/>
      </c>
      <c r="E1741" s="79">
        <f>IF('Ordenes_Odoo'!E1741="","",'Ordenes_Odoo'!E1741)</f>
        <v/>
      </c>
      <c r="F1741" s="79">
        <f>IF('Ordenes_Odoo'!F1741="","",'Ordenes_Odoo'!F1741)</f>
        <v/>
      </c>
      <c r="G1741" s="79">
        <f>IF('Ordenes_Odoo'!G1741="","",'Ordenes_Odoo'!G1741)</f>
        <v/>
      </c>
      <c r="H1741" s="79">
        <f>IF('Ordenes_Odoo'!H1741="","",'Ordenes_Odoo'!H1741)</f>
        <v/>
      </c>
      <c r="I1741" s="79">
        <f>IF('Ordenes_Odoo'!I1741="","",'Ordenes_Odoo'!I1741)</f>
        <v/>
      </c>
      <c r="J1741" s="79">
        <f>IF('Ordenes_Odoo'!J1741="","",'Ordenes_Odoo'!J1741)</f>
        <v/>
      </c>
      <c r="K1741" s="81">
        <f>IF('Ordenes_Odoo'!K1741="","",'Ordenes_Odoo'!K1741)</f>
        <v/>
      </c>
      <c r="L1741" s="81">
        <f>IF('Ordenes_Odoo'!L1741="","",'Ordenes_Odoo'!L1741)</f>
        <v/>
      </c>
      <c r="M1741" s="79">
        <f>IF('Ordenes_Odoo'!M1741="","",'Ordenes_Odoo'!M1741)</f>
        <v/>
      </c>
      <c r="N1741" s="79">
        <f>IF('Ordenes_Odoo'!N1741="","",'Ordenes_Odoo'!N1741)</f>
        <v/>
      </c>
      <c r="O1741" s="81">
        <f>IF('Ordenes_Odoo'!O1741="","",'Ordenes_Odoo'!O1741)</f>
        <v/>
      </c>
      <c r="P1741" s="81">
        <f>IF('Ordenes_Odoo'!P1741="","",'Ordenes_Odoo'!P1741)</f>
        <v/>
      </c>
      <c r="Q1741" s="79">
        <f>IF(A1741="","",IFERROR(INDEX(Facturas_Odoo!$B:$B, MATCH(A1741, Facturas_Odoo!$D:$D, 0)), "Sin Factura"))</f>
        <v/>
      </c>
      <c r="R1741" s="80">
        <f>IF(Q1741="Sin Factura","",IFERROR(INDEX(Facturas_Odoo!$A:$A, MATCH(Q1741, Facturas_Odoo!$B:$B, 0)), ""))</f>
        <v/>
      </c>
      <c r="S1741" s="79">
        <f>IF(Q1741="Sin Factura","",IFERROR(_xlfn.XLOOKUP(1, (Facturas_Odoo!$D:$D=A1741) * (Facturas_Odoo!$K:$K=I1741), Facturas_Odoo!$L:$L, ""), ""))</f>
        <v/>
      </c>
      <c r="T1741" s="81">
        <f>IF(Q1741="Sin Factura",0,IFERROR(_xlfn.XLOOKUP(1, (Facturas_Odoo!$D:$D=A1741) * (Facturas_Odoo!$K:$K=I1741), Facturas_Odoo!$M:$M, 0), 0))</f>
        <v/>
      </c>
      <c r="U1741" s="79">
        <f>IF(Q1741="Sin Factura",0,IFERROR(_xlfn.XLOOKUP(1, (Facturas_Odoo!$D:$D=A1741) * (Facturas_Odoo!$K:$K=I1741), Facturas_Odoo!$N:$N, 0), 0))</f>
        <v/>
      </c>
      <c r="V1741" s="79">
        <f>IF(Q1741="Sin Factura",0,IFERROR(_xlfn.XLOOKUP(1, (Facturas_Odoo!$D:$D=A1741) * (Facturas_Odoo!$K:$K=I1741), Facturas_Odoo!$O:$O, 0), 0))</f>
        <v/>
      </c>
      <c r="W1741" s="81">
        <f>IF(Q1741="Sin Factura",0,IFERROR(_xlfn.XLOOKUP(1, (Facturas_Odoo!$D:$D=A1741) * (Facturas_Odoo!$K:$K=I1741), Facturas_Odoo!$Q:$Q, 0), 0))</f>
        <v/>
      </c>
      <c r="X1741" s="79">
        <f>IF(OR(Q1741="Sin Factura",Q1741=""),"",IFERROR(INDEX(Pagos_Odoo!$B:$B, MATCH(Q1741, Pagos_Odoo!$I:$I, 0)), "Sin Pago"))</f>
        <v/>
      </c>
      <c r="Y1741" s="79">
        <f>IF(X1741="Sin Pago","",IFERROR(INDEX(Pagos_Odoo!$C:$C, MATCH(X1741, Pagos_Odoo!$B:$B, 0)), ""))</f>
        <v/>
      </c>
      <c r="Z1741" s="80">
        <f>IF(X1741="Sin Pago","",IFERROR(INDEX(Pagos_Odoo!$A:$A, MATCH(X1741, Pagos_Odoo!$B:$B, 0)), ""))</f>
        <v/>
      </c>
      <c r="AA1741" s="79">
        <f>IF(X1741="Sin Pago","",IFERROR(INDEX(Pagos_Odoo!$F:$F, MATCH(X1741, Pagos_Odoo!$B:$B, 0)), ""))</f>
        <v/>
      </c>
      <c r="AB1741" s="81">
        <f>IF(X1741="Sin Pago",0,IFERROR(INDEX(Pagos_Odoo!$E:$E, MATCH(X1741, Pagos_Odoo!$B:$B, 0)), 0))</f>
        <v/>
      </c>
      <c r="AC1741" s="79">
        <f>IF(X1741="Sin Pago","",IFERROR(INDEX(Pagos_Odoo!$G:$G, MATCH(X1741, Pagos_Odoo!$B:$B, 0)), ""))</f>
        <v/>
      </c>
      <c r="AD1741" s="82" t="n">
        <v>0</v>
      </c>
      <c r="AE1741" s="82" t="n"/>
      <c r="AF1741" s="82" t="n"/>
      <c r="AG1741" s="82">
        <f>IF(AN1741="","",AD1741+AE1741+AF1741)</f>
        <v/>
      </c>
      <c r="AH1741" s="81">
        <f>IF(AN1741="","",P1741*(1-AG1741))</f>
        <v/>
      </c>
      <c r="AI1741" s="81">
        <f>IF(AN1741="","",IF(Q1741="Sin Factura",0,IFERROR(INDEX(Facturas_Odoo!$H:$H, MATCH(Q1741, Facturas_Odoo!$B:$B, 0)), 0)*(1-AG1741)))</f>
        <v/>
      </c>
      <c r="AJ1741" s="81">
        <f>IF(AN1741="","",_xlfn.LET(idVenta, AN1741&amp;"",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41" s="81">
        <f>IF(AN1741="","",AH1741-AJ1741)</f>
        <v/>
      </c>
      <c r="AL1741" s="81">
        <f>IF(AN1741="","",IF(Q1741="Sin Factura","",AI1741-AJ1741))</f>
        <v/>
      </c>
      <c r="AM1741" s="81">
        <f>IF(AN1741="","",IF(Q1741="Sin Factura",0,P1741-IFERROR(INDEX(Facturas_Odoo!$H:$H, MATCH(Q1741, Facturas_Odoo!$B:$B, 0)), 0)))</f>
        <v/>
      </c>
      <c r="AN1741" s="79">
        <f>IF(AND(A1741="", J1741=""), "", IF(A1741&lt;&gt;"", VALUE(MID(A1741,2,LEN(A1741))), AN1740))</f>
        <v/>
      </c>
      <c r="AO1741" s="79">
        <f>IF(AN1741="","",IF(AD1741=0,"OK",_xlfn.LET(monedaPago, IF(AA1741="","USD",AA1741), limitePermitido, IFERROR(VLOOKUP(monedaPago, Configuración!$A$2:$B$3, 2, FALSE), 0.15), IF(AD1741&gt;limitePermitido, "ALERTA: EXCESO (" &amp; TEXT(limitePermitido, "0%") &amp; " máx)", "OK"))))</f>
        <v/>
      </c>
      <c r="AP1741" s="79">
        <f>IF(AN1741="","",IF(AE1741=0,"OK",_xlfn.LET(fechaPago, Z1741, fechaFactura, R1741, diasCredito, IF(E1741="Pago inmediato", 0, IFERROR(VALUE(MID(E1741, 1, SEARCH(" ", E1741)-1)),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41" s="79">
        <f>IF(AN1741="","",IF(AND(N1741&gt;0, AG1741&gt;0), IF(Configuración!$K$2="NO", "ALERTA: DESCUENTO DOBLE NO PERMITIDO", "OK"), "OK"))</f>
        <v/>
      </c>
      <c r="AR1741" s="79">
        <f>IF(AN1741="","",IF(OR(AO1741&lt;&gt;"OK", AP1741&lt;&gt;"OK", AQ1741&lt;&gt;"OK"), "⚠️ REVISAR", "OK"))</f>
        <v/>
      </c>
    </row>
    <row r="1742">
      <c r="A1742" s="79">
        <f>IF('Ordenes_Odoo'!A1742="","",'Ordenes_Odoo'!A1742)</f>
        <v/>
      </c>
      <c r="B1742" s="80">
        <f>IF('Ordenes_Odoo'!B1742="","",'Ordenes_Odoo'!B1742)</f>
        <v/>
      </c>
      <c r="C1742" s="79">
        <f>IF('Ordenes_Odoo'!C1742="","",'Ordenes_Odoo'!C1742)</f>
        <v/>
      </c>
      <c r="D1742" s="79">
        <f>IF('Ordenes_Odoo'!D1742="","",'Ordenes_Odoo'!D1742)</f>
        <v/>
      </c>
      <c r="E1742" s="79">
        <f>IF('Ordenes_Odoo'!E1742="","",'Ordenes_Odoo'!E1742)</f>
        <v/>
      </c>
      <c r="F1742" s="79">
        <f>IF('Ordenes_Odoo'!F1742="","",'Ordenes_Odoo'!F1742)</f>
        <v/>
      </c>
      <c r="G1742" s="79">
        <f>IF('Ordenes_Odoo'!G1742="","",'Ordenes_Odoo'!G1742)</f>
        <v/>
      </c>
      <c r="H1742" s="79">
        <f>IF('Ordenes_Odoo'!H1742="","",'Ordenes_Odoo'!H1742)</f>
        <v/>
      </c>
      <c r="I1742" s="79">
        <f>IF('Ordenes_Odoo'!I1742="","",'Ordenes_Odoo'!I1742)</f>
        <v/>
      </c>
      <c r="J1742" s="79">
        <f>IF('Ordenes_Odoo'!J1742="","",'Ordenes_Odoo'!J1742)</f>
        <v/>
      </c>
      <c r="K1742" s="81">
        <f>IF('Ordenes_Odoo'!K1742="","",'Ordenes_Odoo'!K1742)</f>
        <v/>
      </c>
      <c r="L1742" s="81">
        <f>IF('Ordenes_Odoo'!L1742="","",'Ordenes_Odoo'!L1742)</f>
        <v/>
      </c>
      <c r="M1742" s="79">
        <f>IF('Ordenes_Odoo'!M1742="","",'Ordenes_Odoo'!M1742)</f>
        <v/>
      </c>
      <c r="N1742" s="79">
        <f>IF('Ordenes_Odoo'!N1742="","",'Ordenes_Odoo'!N1742)</f>
        <v/>
      </c>
      <c r="O1742" s="81">
        <f>IF('Ordenes_Odoo'!O1742="","",'Ordenes_Odoo'!O1742)</f>
        <v/>
      </c>
      <c r="P1742" s="81">
        <f>IF('Ordenes_Odoo'!P1742="","",'Ordenes_Odoo'!P1742)</f>
        <v/>
      </c>
      <c r="Q1742" s="79">
        <f>IF(A1742="","",IFERROR(INDEX(Facturas_Odoo!$B:$B, MATCH(A1742, Facturas_Odoo!$D:$D, 0)), "Sin Factura"))</f>
        <v/>
      </c>
      <c r="R1742" s="80">
        <f>IF(Q1742="Sin Factura","",IFERROR(INDEX(Facturas_Odoo!$A:$A, MATCH(Q1742, Facturas_Odoo!$B:$B, 0)), ""))</f>
        <v/>
      </c>
      <c r="S1742" s="79">
        <f>IF(Q1742="Sin Factura","",IFERROR(_xlfn.XLOOKUP(1, (Facturas_Odoo!$D:$D=A1742) * (Facturas_Odoo!$K:$K=I1742), Facturas_Odoo!$L:$L, ""), ""))</f>
        <v/>
      </c>
      <c r="T1742" s="81">
        <f>IF(Q1742="Sin Factura",0,IFERROR(_xlfn.XLOOKUP(1, (Facturas_Odoo!$D:$D=A1742) * (Facturas_Odoo!$K:$K=I1742), Facturas_Odoo!$M:$M, 0), 0))</f>
        <v/>
      </c>
      <c r="U1742" s="79">
        <f>IF(Q1742="Sin Factura",0,IFERROR(_xlfn.XLOOKUP(1, (Facturas_Odoo!$D:$D=A1742) * (Facturas_Odoo!$K:$K=I1742), Facturas_Odoo!$N:$N, 0), 0))</f>
        <v/>
      </c>
      <c r="V1742" s="79">
        <f>IF(Q1742="Sin Factura",0,IFERROR(_xlfn.XLOOKUP(1, (Facturas_Odoo!$D:$D=A1742) * (Facturas_Odoo!$K:$K=I1742), Facturas_Odoo!$O:$O, 0), 0))</f>
        <v/>
      </c>
      <c r="W1742" s="81">
        <f>IF(Q1742="Sin Factura",0,IFERROR(_xlfn.XLOOKUP(1, (Facturas_Odoo!$D:$D=A1742) * (Facturas_Odoo!$K:$K=I1742), Facturas_Odoo!$Q:$Q, 0), 0))</f>
        <v/>
      </c>
      <c r="X1742" s="79">
        <f>IF(OR(Q1742="Sin Factura",Q1742=""),"",IFERROR(INDEX(Pagos_Odoo!$B:$B, MATCH(Q1742, Pagos_Odoo!$I:$I, 0)), "Sin Pago"))</f>
        <v/>
      </c>
      <c r="Y1742" s="79">
        <f>IF(X1742="Sin Pago","",IFERROR(INDEX(Pagos_Odoo!$C:$C, MATCH(X1742, Pagos_Odoo!$B:$B, 0)), ""))</f>
        <v/>
      </c>
      <c r="Z1742" s="80">
        <f>IF(X1742="Sin Pago","",IFERROR(INDEX(Pagos_Odoo!$A:$A, MATCH(X1742, Pagos_Odoo!$B:$B, 0)), ""))</f>
        <v/>
      </c>
      <c r="AA1742" s="79">
        <f>IF(X1742="Sin Pago","",IFERROR(INDEX(Pagos_Odoo!$F:$F, MATCH(X1742, Pagos_Odoo!$B:$B, 0)), ""))</f>
        <v/>
      </c>
      <c r="AB1742" s="81">
        <f>IF(X1742="Sin Pago",0,IFERROR(INDEX(Pagos_Odoo!$E:$E, MATCH(X1742, Pagos_Odoo!$B:$B, 0)), 0))</f>
        <v/>
      </c>
      <c r="AC1742" s="79">
        <f>IF(X1742="Sin Pago","",IFERROR(INDEX(Pagos_Odoo!$G:$G, MATCH(X1742, Pagos_Odoo!$B:$B, 0)), ""))</f>
        <v/>
      </c>
      <c r="AD1742" s="82" t="n">
        <v>0</v>
      </c>
      <c r="AE1742" s="82" t="n"/>
      <c r="AF1742" s="82" t="n"/>
      <c r="AG1742" s="82">
        <f>IF(AN1742="","",AD1742+AE1742+AF1742)</f>
        <v/>
      </c>
      <c r="AH1742" s="81">
        <f>IF(AN1742="","",P1742*(1-AG1742))</f>
        <v/>
      </c>
      <c r="AI1742" s="81">
        <f>IF(AN1742="","",IF(Q1742="Sin Factura",0,IFERROR(INDEX(Facturas_Odoo!$H:$H, MATCH(Q1742, Facturas_Odoo!$B:$B, 0)), 0)*(1-AG1742)))</f>
        <v/>
      </c>
      <c r="AJ1742" s="81">
        <f>IF(AN1742="","",_xlfn.LET(idVenta, AN1742&amp;"",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42" s="81">
        <f>IF(AN1742="","",AH1742-AJ1742)</f>
        <v/>
      </c>
      <c r="AL1742" s="81">
        <f>IF(AN1742="","",IF(Q1742="Sin Factura","",AI1742-AJ1742))</f>
        <v/>
      </c>
      <c r="AM1742" s="81">
        <f>IF(AN1742="","",IF(Q1742="Sin Factura",0,P1742-IFERROR(INDEX(Facturas_Odoo!$H:$H, MATCH(Q1742, Facturas_Odoo!$B:$B, 0)), 0)))</f>
        <v/>
      </c>
      <c r="AN1742" s="79">
        <f>IF(AND(A1742="", J1742=""), "", IF(A1742&lt;&gt;"", VALUE(MID(A1742,2,LEN(A1742))), AN1741))</f>
        <v/>
      </c>
      <c r="AO1742" s="79">
        <f>IF(AN1742="","",IF(AD1742=0,"OK",_xlfn.LET(monedaPago, IF(AA1742="","USD",AA1742), limitePermitido, IFERROR(VLOOKUP(monedaPago, Configuración!$A$2:$B$3, 2, FALSE), 0.15), IF(AD1742&gt;limitePermitido, "ALERTA: EXCESO (" &amp; TEXT(limitePermitido, "0%") &amp; " máx)", "OK"))))</f>
        <v/>
      </c>
      <c r="AP1742" s="79">
        <f>IF(AN1742="","",IF(AE1742=0,"OK",_xlfn.LET(fechaPago, Z1742, fechaFactura, R1742, diasCredito, IF(E1742="Pago inmediato", 0, IFERROR(VALUE(MID(E1742, 1, SEARCH(" ", E1742)-1)),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42" s="79">
        <f>IF(AN1742="","",IF(AND(N1742&gt;0, AG1742&gt;0), IF(Configuración!$K$2="NO", "ALERTA: DESCUENTO DOBLE NO PERMITIDO", "OK"), "OK"))</f>
        <v/>
      </c>
      <c r="AR1742" s="79">
        <f>IF(AN1742="","",IF(OR(AO1742&lt;&gt;"OK", AP1742&lt;&gt;"OK", AQ1742&lt;&gt;"OK"), "⚠️ REVISAR", "OK"))</f>
        <v/>
      </c>
    </row>
    <row r="1743">
      <c r="A1743" s="79">
        <f>IF('Ordenes_Odoo'!A1743="","",'Ordenes_Odoo'!A1743)</f>
        <v/>
      </c>
      <c r="B1743" s="80">
        <f>IF('Ordenes_Odoo'!B1743="","",'Ordenes_Odoo'!B1743)</f>
        <v/>
      </c>
      <c r="C1743" s="79">
        <f>IF('Ordenes_Odoo'!C1743="","",'Ordenes_Odoo'!C1743)</f>
        <v/>
      </c>
      <c r="D1743" s="79">
        <f>IF('Ordenes_Odoo'!D1743="","",'Ordenes_Odoo'!D1743)</f>
        <v/>
      </c>
      <c r="E1743" s="79">
        <f>IF('Ordenes_Odoo'!E1743="","",'Ordenes_Odoo'!E1743)</f>
        <v/>
      </c>
      <c r="F1743" s="79">
        <f>IF('Ordenes_Odoo'!F1743="","",'Ordenes_Odoo'!F1743)</f>
        <v/>
      </c>
      <c r="G1743" s="79">
        <f>IF('Ordenes_Odoo'!G1743="","",'Ordenes_Odoo'!G1743)</f>
        <v/>
      </c>
      <c r="H1743" s="79">
        <f>IF('Ordenes_Odoo'!H1743="","",'Ordenes_Odoo'!H1743)</f>
        <v/>
      </c>
      <c r="I1743" s="79">
        <f>IF('Ordenes_Odoo'!I1743="","",'Ordenes_Odoo'!I1743)</f>
        <v/>
      </c>
      <c r="J1743" s="79">
        <f>IF('Ordenes_Odoo'!J1743="","",'Ordenes_Odoo'!J1743)</f>
        <v/>
      </c>
      <c r="K1743" s="81">
        <f>IF('Ordenes_Odoo'!K1743="","",'Ordenes_Odoo'!K1743)</f>
        <v/>
      </c>
      <c r="L1743" s="81">
        <f>IF('Ordenes_Odoo'!L1743="","",'Ordenes_Odoo'!L1743)</f>
        <v/>
      </c>
      <c r="M1743" s="79">
        <f>IF('Ordenes_Odoo'!M1743="","",'Ordenes_Odoo'!M1743)</f>
        <v/>
      </c>
      <c r="N1743" s="79">
        <f>IF('Ordenes_Odoo'!N1743="","",'Ordenes_Odoo'!N1743)</f>
        <v/>
      </c>
      <c r="O1743" s="81">
        <f>IF('Ordenes_Odoo'!O1743="","",'Ordenes_Odoo'!O1743)</f>
        <v/>
      </c>
      <c r="P1743" s="81">
        <f>IF('Ordenes_Odoo'!P1743="","",'Ordenes_Odoo'!P1743)</f>
        <v/>
      </c>
      <c r="Q1743" s="79">
        <f>IF(A1743="","",IFERROR(INDEX(Facturas_Odoo!$B:$B, MATCH(A1743, Facturas_Odoo!$D:$D, 0)), "Sin Factura"))</f>
        <v/>
      </c>
      <c r="R1743" s="80">
        <f>IF(Q1743="Sin Factura","",IFERROR(INDEX(Facturas_Odoo!$A:$A, MATCH(Q1743, Facturas_Odoo!$B:$B, 0)), ""))</f>
        <v/>
      </c>
      <c r="S1743" s="79">
        <f>IF(Q1743="Sin Factura","",IFERROR(_xlfn.XLOOKUP(1, (Facturas_Odoo!$D:$D=A1743) * (Facturas_Odoo!$K:$K=I1743), Facturas_Odoo!$L:$L, ""), ""))</f>
        <v/>
      </c>
      <c r="T1743" s="81">
        <f>IF(Q1743="Sin Factura",0,IFERROR(_xlfn.XLOOKUP(1, (Facturas_Odoo!$D:$D=A1743) * (Facturas_Odoo!$K:$K=I1743), Facturas_Odoo!$M:$M, 0), 0))</f>
        <v/>
      </c>
      <c r="U1743" s="79">
        <f>IF(Q1743="Sin Factura",0,IFERROR(_xlfn.XLOOKUP(1, (Facturas_Odoo!$D:$D=A1743) * (Facturas_Odoo!$K:$K=I1743), Facturas_Odoo!$N:$N, 0), 0))</f>
        <v/>
      </c>
      <c r="V1743" s="79">
        <f>IF(Q1743="Sin Factura",0,IFERROR(_xlfn.XLOOKUP(1, (Facturas_Odoo!$D:$D=A1743) * (Facturas_Odoo!$K:$K=I1743), Facturas_Odoo!$O:$O, 0), 0))</f>
        <v/>
      </c>
      <c r="W1743" s="81">
        <f>IF(Q1743="Sin Factura",0,IFERROR(_xlfn.XLOOKUP(1, (Facturas_Odoo!$D:$D=A1743) * (Facturas_Odoo!$K:$K=I1743), Facturas_Odoo!$Q:$Q, 0), 0))</f>
        <v/>
      </c>
      <c r="X1743" s="79">
        <f>IF(OR(Q1743="Sin Factura",Q1743=""),"",IFERROR(INDEX(Pagos_Odoo!$B:$B, MATCH(Q1743, Pagos_Odoo!$I:$I, 0)), "Sin Pago"))</f>
        <v/>
      </c>
      <c r="Y1743" s="79">
        <f>IF(X1743="Sin Pago","",IFERROR(INDEX(Pagos_Odoo!$C:$C, MATCH(X1743, Pagos_Odoo!$B:$B, 0)), ""))</f>
        <v/>
      </c>
      <c r="Z1743" s="80">
        <f>IF(X1743="Sin Pago","",IFERROR(INDEX(Pagos_Odoo!$A:$A, MATCH(X1743, Pagos_Odoo!$B:$B, 0)), ""))</f>
        <v/>
      </c>
      <c r="AA1743" s="79">
        <f>IF(X1743="Sin Pago","",IFERROR(INDEX(Pagos_Odoo!$F:$F, MATCH(X1743, Pagos_Odoo!$B:$B, 0)), ""))</f>
        <v/>
      </c>
      <c r="AB1743" s="81">
        <f>IF(X1743="Sin Pago",0,IFERROR(INDEX(Pagos_Odoo!$E:$E, MATCH(X1743, Pagos_Odoo!$B:$B, 0)), 0))</f>
        <v/>
      </c>
      <c r="AC1743" s="79">
        <f>IF(X1743="Sin Pago","",IFERROR(INDEX(Pagos_Odoo!$G:$G, MATCH(X1743, Pagos_Odoo!$B:$B, 0)), ""))</f>
        <v/>
      </c>
      <c r="AD1743" s="82" t="n">
        <v>0</v>
      </c>
      <c r="AE1743" s="82" t="n"/>
      <c r="AF1743" s="82" t="n"/>
      <c r="AG1743" s="82">
        <f>IF(AN1743="","",AD1743+AE1743+AF1743)</f>
        <v/>
      </c>
      <c r="AH1743" s="81">
        <f>IF(AN1743="","",P1743*(1-AG1743))</f>
        <v/>
      </c>
      <c r="AI1743" s="81">
        <f>IF(AN1743="","",IF(Q1743="Sin Factura",0,IFERROR(INDEX(Facturas_Odoo!$H:$H, MATCH(Q1743, Facturas_Odoo!$B:$B, 0)), 0)*(1-AG1743)))</f>
        <v/>
      </c>
      <c r="AJ1743" s="81">
        <f>IF(AN1743="","",_xlfn.LET(idVenta, AN1743&amp;"",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43" s="81">
        <f>IF(AN1743="","",AH1743-AJ1743)</f>
        <v/>
      </c>
      <c r="AL1743" s="81">
        <f>IF(AN1743="","",IF(Q1743="Sin Factura","",AI1743-AJ1743))</f>
        <v/>
      </c>
      <c r="AM1743" s="81">
        <f>IF(AN1743="","",IF(Q1743="Sin Factura",0,P1743-IFERROR(INDEX(Facturas_Odoo!$H:$H, MATCH(Q1743, Facturas_Odoo!$B:$B, 0)), 0)))</f>
        <v/>
      </c>
      <c r="AN1743" s="79">
        <f>IF(AND(A1743="", J1743=""), "", IF(A1743&lt;&gt;"", VALUE(MID(A1743,2,LEN(A1743))), AN1742))</f>
        <v/>
      </c>
      <c r="AO1743" s="79">
        <f>IF(AN1743="","",IF(AD1743=0,"OK",_xlfn.LET(monedaPago, IF(AA1743="","USD",AA1743), limitePermitido, IFERROR(VLOOKUP(monedaPago, Configuración!$A$2:$B$3, 2, FALSE), 0.15), IF(AD1743&gt;limitePermitido, "ALERTA: EXCESO (" &amp; TEXT(limitePermitido, "0%") &amp; " máx)", "OK"))))</f>
        <v/>
      </c>
      <c r="AP1743" s="79">
        <f>IF(AN1743="","",IF(AE1743=0,"OK",_xlfn.LET(fechaPago, Z1743, fechaFactura, R1743, diasCredito, IF(E1743="Pago inmediato", 0, IFERROR(VALUE(MID(E1743, 1, SEARCH(" ", E1743)-1)),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43" s="79">
        <f>IF(AN1743="","",IF(AND(N1743&gt;0, AG1743&gt;0), IF(Configuración!$K$2="NO", "ALERTA: DESCUENTO DOBLE NO PERMITIDO", "OK"), "OK"))</f>
        <v/>
      </c>
      <c r="AR1743" s="79">
        <f>IF(AN1743="","",IF(OR(AO1743&lt;&gt;"OK", AP1743&lt;&gt;"OK", AQ1743&lt;&gt;"OK"), "⚠️ REVISAR", "OK"))</f>
        <v/>
      </c>
    </row>
    <row r="1744">
      <c r="A1744" s="79">
        <f>IF('Ordenes_Odoo'!A1744="","",'Ordenes_Odoo'!A1744)</f>
        <v/>
      </c>
      <c r="B1744" s="80">
        <f>IF('Ordenes_Odoo'!B1744="","",'Ordenes_Odoo'!B1744)</f>
        <v/>
      </c>
      <c r="C1744" s="79">
        <f>IF('Ordenes_Odoo'!C1744="","",'Ordenes_Odoo'!C1744)</f>
        <v/>
      </c>
      <c r="D1744" s="79">
        <f>IF('Ordenes_Odoo'!D1744="","",'Ordenes_Odoo'!D1744)</f>
        <v/>
      </c>
      <c r="E1744" s="79">
        <f>IF('Ordenes_Odoo'!E1744="","",'Ordenes_Odoo'!E1744)</f>
        <v/>
      </c>
      <c r="F1744" s="79">
        <f>IF('Ordenes_Odoo'!F1744="","",'Ordenes_Odoo'!F1744)</f>
        <v/>
      </c>
      <c r="G1744" s="79">
        <f>IF('Ordenes_Odoo'!G1744="","",'Ordenes_Odoo'!G1744)</f>
        <v/>
      </c>
      <c r="H1744" s="79">
        <f>IF('Ordenes_Odoo'!H1744="","",'Ordenes_Odoo'!H1744)</f>
        <v/>
      </c>
      <c r="I1744" s="79">
        <f>IF('Ordenes_Odoo'!I1744="","",'Ordenes_Odoo'!I1744)</f>
        <v/>
      </c>
      <c r="J1744" s="79">
        <f>IF('Ordenes_Odoo'!J1744="","",'Ordenes_Odoo'!J1744)</f>
        <v/>
      </c>
      <c r="K1744" s="81">
        <f>IF('Ordenes_Odoo'!K1744="","",'Ordenes_Odoo'!K1744)</f>
        <v/>
      </c>
      <c r="L1744" s="81">
        <f>IF('Ordenes_Odoo'!L1744="","",'Ordenes_Odoo'!L1744)</f>
        <v/>
      </c>
      <c r="M1744" s="79">
        <f>IF('Ordenes_Odoo'!M1744="","",'Ordenes_Odoo'!M1744)</f>
        <v/>
      </c>
      <c r="N1744" s="79">
        <f>IF('Ordenes_Odoo'!N1744="","",'Ordenes_Odoo'!N1744)</f>
        <v/>
      </c>
      <c r="O1744" s="81">
        <f>IF('Ordenes_Odoo'!O1744="","",'Ordenes_Odoo'!O1744)</f>
        <v/>
      </c>
      <c r="P1744" s="81">
        <f>IF('Ordenes_Odoo'!P1744="","",'Ordenes_Odoo'!P1744)</f>
        <v/>
      </c>
      <c r="Q1744" s="79">
        <f>IF(A1744="","",IFERROR(INDEX(Facturas_Odoo!$B:$B, MATCH(A1744, Facturas_Odoo!$D:$D, 0)), "Sin Factura"))</f>
        <v/>
      </c>
      <c r="R1744" s="80">
        <f>IF(Q1744="Sin Factura","",IFERROR(INDEX(Facturas_Odoo!$A:$A, MATCH(Q1744, Facturas_Odoo!$B:$B, 0)), ""))</f>
        <v/>
      </c>
      <c r="S1744" s="79">
        <f>IF(Q1744="Sin Factura","",IFERROR(_xlfn.XLOOKUP(1, (Facturas_Odoo!$D:$D=A1744) * (Facturas_Odoo!$K:$K=I1744), Facturas_Odoo!$L:$L, ""), ""))</f>
        <v/>
      </c>
      <c r="T1744" s="81">
        <f>IF(Q1744="Sin Factura",0,IFERROR(_xlfn.XLOOKUP(1, (Facturas_Odoo!$D:$D=A1744) * (Facturas_Odoo!$K:$K=I1744), Facturas_Odoo!$M:$M, 0), 0))</f>
        <v/>
      </c>
      <c r="U1744" s="79">
        <f>IF(Q1744="Sin Factura",0,IFERROR(_xlfn.XLOOKUP(1, (Facturas_Odoo!$D:$D=A1744) * (Facturas_Odoo!$K:$K=I1744), Facturas_Odoo!$N:$N, 0), 0))</f>
        <v/>
      </c>
      <c r="V1744" s="79">
        <f>IF(Q1744="Sin Factura",0,IFERROR(_xlfn.XLOOKUP(1, (Facturas_Odoo!$D:$D=A1744) * (Facturas_Odoo!$K:$K=I1744), Facturas_Odoo!$O:$O, 0), 0))</f>
        <v/>
      </c>
      <c r="W1744" s="81">
        <f>IF(Q1744="Sin Factura",0,IFERROR(_xlfn.XLOOKUP(1, (Facturas_Odoo!$D:$D=A1744) * (Facturas_Odoo!$K:$K=I1744), Facturas_Odoo!$Q:$Q, 0), 0))</f>
        <v/>
      </c>
      <c r="X1744" s="79">
        <f>IF(OR(Q1744="Sin Factura",Q1744=""),"",IFERROR(INDEX(Pagos_Odoo!$B:$B, MATCH(Q1744, Pagos_Odoo!$I:$I, 0)), "Sin Pago"))</f>
        <v/>
      </c>
      <c r="Y1744" s="79">
        <f>IF(X1744="Sin Pago","",IFERROR(INDEX(Pagos_Odoo!$C:$C, MATCH(X1744, Pagos_Odoo!$B:$B, 0)), ""))</f>
        <v/>
      </c>
      <c r="Z1744" s="80">
        <f>IF(X1744="Sin Pago","",IFERROR(INDEX(Pagos_Odoo!$A:$A, MATCH(X1744, Pagos_Odoo!$B:$B, 0)), ""))</f>
        <v/>
      </c>
      <c r="AA1744" s="79">
        <f>IF(X1744="Sin Pago","",IFERROR(INDEX(Pagos_Odoo!$F:$F, MATCH(X1744, Pagos_Odoo!$B:$B, 0)), ""))</f>
        <v/>
      </c>
      <c r="AB1744" s="81">
        <f>IF(X1744="Sin Pago",0,IFERROR(INDEX(Pagos_Odoo!$E:$E, MATCH(X1744, Pagos_Odoo!$B:$B, 0)), 0))</f>
        <v/>
      </c>
      <c r="AC1744" s="79">
        <f>IF(X1744="Sin Pago","",IFERROR(INDEX(Pagos_Odoo!$G:$G, MATCH(X1744, Pagos_Odoo!$B:$B, 0)), ""))</f>
        <v/>
      </c>
      <c r="AD1744" s="82" t="n">
        <v>0</v>
      </c>
      <c r="AE1744" s="82" t="n"/>
      <c r="AF1744" s="82" t="n"/>
      <c r="AG1744" s="82">
        <f>IF(AN1744="","",AD1744+AE1744+AF1744)</f>
        <v/>
      </c>
      <c r="AH1744" s="81">
        <f>IF(AN1744="","",P1744*(1-AG1744))</f>
        <v/>
      </c>
      <c r="AI1744" s="81">
        <f>IF(AN1744="","",IF(Q1744="Sin Factura",0,IFERROR(INDEX(Facturas_Odoo!$H:$H, MATCH(Q1744, Facturas_Odoo!$B:$B, 0)), 0)*(1-AG1744)))</f>
        <v/>
      </c>
      <c r="AJ1744" s="81">
        <f>IF(AN1744="","",_xlfn.LET(idVenta, AN1744&amp;"",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44" s="81">
        <f>IF(AN1744="","",AH1744-AJ1744)</f>
        <v/>
      </c>
      <c r="AL1744" s="81">
        <f>IF(AN1744="","",IF(Q1744="Sin Factura","",AI1744-AJ1744))</f>
        <v/>
      </c>
      <c r="AM1744" s="81">
        <f>IF(AN1744="","",IF(Q1744="Sin Factura",0,P1744-IFERROR(INDEX(Facturas_Odoo!$H:$H, MATCH(Q1744, Facturas_Odoo!$B:$B, 0)), 0)))</f>
        <v/>
      </c>
      <c r="AN1744" s="79">
        <f>IF(AND(A1744="", J1744=""), "", IF(A1744&lt;&gt;"", VALUE(MID(A1744,2,LEN(A1744))), AN1743))</f>
        <v/>
      </c>
      <c r="AO1744" s="79">
        <f>IF(AN1744="","",IF(AD1744=0,"OK",_xlfn.LET(monedaPago, IF(AA1744="","USD",AA1744), limitePermitido, IFERROR(VLOOKUP(monedaPago, Configuración!$A$2:$B$3, 2, FALSE), 0.15), IF(AD1744&gt;limitePermitido, "ALERTA: EXCESO (" &amp; TEXT(limitePermitido, "0%") &amp; " máx)", "OK"))))</f>
        <v/>
      </c>
      <c r="AP1744" s="79">
        <f>IF(AN1744="","",IF(AE1744=0,"OK",_xlfn.LET(fechaPago, Z1744, fechaFactura, R1744, diasCredito, IF(E1744="Pago inmediato", 0, IFERROR(VALUE(MID(E1744, 1, SEARCH(" ", E1744)-1)),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44" s="79">
        <f>IF(AN1744="","",IF(AND(N1744&gt;0, AG1744&gt;0), IF(Configuración!$K$2="NO", "ALERTA: DESCUENTO DOBLE NO PERMITIDO", "OK"), "OK"))</f>
        <v/>
      </c>
      <c r="AR1744" s="79">
        <f>IF(AN1744="","",IF(OR(AO1744&lt;&gt;"OK", AP1744&lt;&gt;"OK", AQ1744&lt;&gt;"OK"), "⚠️ REVISAR", "OK"))</f>
        <v/>
      </c>
    </row>
    <row r="1745">
      <c r="A1745" s="79">
        <f>IF('Ordenes_Odoo'!A1745="","",'Ordenes_Odoo'!A1745)</f>
        <v/>
      </c>
      <c r="B1745" s="80">
        <f>IF('Ordenes_Odoo'!B1745="","",'Ordenes_Odoo'!B1745)</f>
        <v/>
      </c>
      <c r="C1745" s="79">
        <f>IF('Ordenes_Odoo'!C1745="","",'Ordenes_Odoo'!C1745)</f>
        <v/>
      </c>
      <c r="D1745" s="79">
        <f>IF('Ordenes_Odoo'!D1745="","",'Ordenes_Odoo'!D1745)</f>
        <v/>
      </c>
      <c r="E1745" s="79">
        <f>IF('Ordenes_Odoo'!E1745="","",'Ordenes_Odoo'!E1745)</f>
        <v/>
      </c>
      <c r="F1745" s="79">
        <f>IF('Ordenes_Odoo'!F1745="","",'Ordenes_Odoo'!F1745)</f>
        <v/>
      </c>
      <c r="G1745" s="79">
        <f>IF('Ordenes_Odoo'!G1745="","",'Ordenes_Odoo'!G1745)</f>
        <v/>
      </c>
      <c r="H1745" s="79">
        <f>IF('Ordenes_Odoo'!H1745="","",'Ordenes_Odoo'!H1745)</f>
        <v/>
      </c>
      <c r="I1745" s="79">
        <f>IF('Ordenes_Odoo'!I1745="","",'Ordenes_Odoo'!I1745)</f>
        <v/>
      </c>
      <c r="J1745" s="79">
        <f>IF('Ordenes_Odoo'!J1745="","",'Ordenes_Odoo'!J1745)</f>
        <v/>
      </c>
      <c r="K1745" s="81">
        <f>IF('Ordenes_Odoo'!K1745="","",'Ordenes_Odoo'!K1745)</f>
        <v/>
      </c>
      <c r="L1745" s="81">
        <f>IF('Ordenes_Odoo'!L1745="","",'Ordenes_Odoo'!L1745)</f>
        <v/>
      </c>
      <c r="M1745" s="79">
        <f>IF('Ordenes_Odoo'!M1745="","",'Ordenes_Odoo'!M1745)</f>
        <v/>
      </c>
      <c r="N1745" s="79">
        <f>IF('Ordenes_Odoo'!N1745="","",'Ordenes_Odoo'!N1745)</f>
        <v/>
      </c>
      <c r="O1745" s="81">
        <f>IF('Ordenes_Odoo'!O1745="","",'Ordenes_Odoo'!O1745)</f>
        <v/>
      </c>
      <c r="P1745" s="81">
        <f>IF('Ordenes_Odoo'!P1745="","",'Ordenes_Odoo'!P1745)</f>
        <v/>
      </c>
      <c r="Q1745" s="79">
        <f>IF(A1745="","",IFERROR(INDEX(Facturas_Odoo!$B:$B, MATCH(A1745, Facturas_Odoo!$D:$D, 0)), "Sin Factura"))</f>
        <v/>
      </c>
      <c r="R1745" s="80">
        <f>IF(Q1745="Sin Factura","",IFERROR(INDEX(Facturas_Odoo!$A:$A, MATCH(Q1745, Facturas_Odoo!$B:$B, 0)), ""))</f>
        <v/>
      </c>
      <c r="S1745" s="79">
        <f>IF(Q1745="Sin Factura","",IFERROR(_xlfn.XLOOKUP(1, (Facturas_Odoo!$D:$D=A1745) * (Facturas_Odoo!$K:$K=I1745), Facturas_Odoo!$L:$L, ""), ""))</f>
        <v/>
      </c>
      <c r="T1745" s="81">
        <f>IF(Q1745="Sin Factura",0,IFERROR(_xlfn.XLOOKUP(1, (Facturas_Odoo!$D:$D=A1745) * (Facturas_Odoo!$K:$K=I1745), Facturas_Odoo!$M:$M, 0), 0))</f>
        <v/>
      </c>
      <c r="U1745" s="79">
        <f>IF(Q1745="Sin Factura",0,IFERROR(_xlfn.XLOOKUP(1, (Facturas_Odoo!$D:$D=A1745) * (Facturas_Odoo!$K:$K=I1745), Facturas_Odoo!$N:$N, 0), 0))</f>
        <v/>
      </c>
      <c r="V1745" s="79">
        <f>IF(Q1745="Sin Factura",0,IFERROR(_xlfn.XLOOKUP(1, (Facturas_Odoo!$D:$D=A1745) * (Facturas_Odoo!$K:$K=I1745), Facturas_Odoo!$O:$O, 0), 0))</f>
        <v/>
      </c>
      <c r="W1745" s="81">
        <f>IF(Q1745="Sin Factura",0,IFERROR(_xlfn.XLOOKUP(1, (Facturas_Odoo!$D:$D=A1745) * (Facturas_Odoo!$K:$K=I1745), Facturas_Odoo!$Q:$Q, 0), 0))</f>
        <v/>
      </c>
      <c r="X1745" s="79">
        <f>IF(OR(Q1745="Sin Factura",Q1745=""),"",IFERROR(INDEX(Pagos_Odoo!$B:$B, MATCH(Q1745, Pagos_Odoo!$I:$I, 0)), "Sin Pago"))</f>
        <v/>
      </c>
      <c r="Y1745" s="79">
        <f>IF(X1745="Sin Pago","",IFERROR(INDEX(Pagos_Odoo!$C:$C, MATCH(X1745, Pagos_Odoo!$B:$B, 0)), ""))</f>
        <v/>
      </c>
      <c r="Z1745" s="80">
        <f>IF(X1745="Sin Pago","",IFERROR(INDEX(Pagos_Odoo!$A:$A, MATCH(X1745, Pagos_Odoo!$B:$B, 0)), ""))</f>
        <v/>
      </c>
      <c r="AA1745" s="79">
        <f>IF(X1745="Sin Pago","",IFERROR(INDEX(Pagos_Odoo!$F:$F, MATCH(X1745, Pagos_Odoo!$B:$B, 0)), ""))</f>
        <v/>
      </c>
      <c r="AB1745" s="81">
        <f>IF(X1745="Sin Pago",0,IFERROR(INDEX(Pagos_Odoo!$E:$E, MATCH(X1745, Pagos_Odoo!$B:$B, 0)), 0))</f>
        <v/>
      </c>
      <c r="AC1745" s="79">
        <f>IF(X1745="Sin Pago","",IFERROR(INDEX(Pagos_Odoo!$G:$G, MATCH(X1745, Pagos_Odoo!$B:$B, 0)), ""))</f>
        <v/>
      </c>
      <c r="AD1745" s="82" t="n">
        <v>0</v>
      </c>
      <c r="AE1745" s="82" t="n"/>
      <c r="AF1745" s="82" t="n"/>
      <c r="AG1745" s="82">
        <f>IF(AN1745="","",AD1745+AE1745+AF1745)</f>
        <v/>
      </c>
      <c r="AH1745" s="81">
        <f>IF(AN1745="","",P1745*(1-AG1745))</f>
        <v/>
      </c>
      <c r="AI1745" s="81">
        <f>IF(AN1745="","",IF(Q1745="Sin Factura",0,IFERROR(INDEX(Facturas_Odoo!$H:$H, MATCH(Q1745, Facturas_Odoo!$B:$B, 0)), 0)*(1-AG1745)))</f>
        <v/>
      </c>
      <c r="AJ1745" s="81">
        <f>IF(AN1745="","",_xlfn.LET(idVenta, AN1745&amp;"",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45" s="81">
        <f>IF(AN1745="","",AH1745-AJ1745)</f>
        <v/>
      </c>
      <c r="AL1745" s="81">
        <f>IF(AN1745="","",IF(Q1745="Sin Factura","",AI1745-AJ1745))</f>
        <v/>
      </c>
      <c r="AM1745" s="81">
        <f>IF(AN1745="","",IF(Q1745="Sin Factura",0,P1745-IFERROR(INDEX(Facturas_Odoo!$H:$H, MATCH(Q1745, Facturas_Odoo!$B:$B, 0)), 0)))</f>
        <v/>
      </c>
      <c r="AN1745" s="79">
        <f>IF(AND(A1745="", J1745=""), "", IF(A1745&lt;&gt;"", VALUE(MID(A1745,2,LEN(A1745))), AN1744))</f>
        <v/>
      </c>
      <c r="AO1745" s="79">
        <f>IF(AN1745="","",IF(AD1745=0,"OK",_xlfn.LET(monedaPago, IF(AA1745="","USD",AA1745), limitePermitido, IFERROR(VLOOKUP(monedaPago, Configuración!$A$2:$B$3, 2, FALSE), 0.15), IF(AD1745&gt;limitePermitido, "ALERTA: EXCESO (" &amp; TEXT(limitePermitido, "0%") &amp; " máx)", "OK"))))</f>
        <v/>
      </c>
      <c r="AP1745" s="79">
        <f>IF(AN1745="","",IF(AE1745=0,"OK",_xlfn.LET(fechaPago, Z1745, fechaFactura, R1745, diasCredito, IF(E1745="Pago inmediato", 0, IFERROR(VALUE(MID(E1745, 1, SEARCH(" ", E1745)-1)),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45" s="79">
        <f>IF(AN1745="","",IF(AND(N1745&gt;0, AG1745&gt;0), IF(Configuración!$K$2="NO", "ALERTA: DESCUENTO DOBLE NO PERMITIDO", "OK"), "OK"))</f>
        <v/>
      </c>
      <c r="AR1745" s="79">
        <f>IF(AN1745="","",IF(OR(AO1745&lt;&gt;"OK", AP1745&lt;&gt;"OK", AQ1745&lt;&gt;"OK"), "⚠️ REVISAR", "OK"))</f>
        <v/>
      </c>
    </row>
    <row r="1746">
      <c r="A1746" s="79">
        <f>IF('Ordenes_Odoo'!A1746="","",'Ordenes_Odoo'!A1746)</f>
        <v/>
      </c>
      <c r="B1746" s="80">
        <f>IF('Ordenes_Odoo'!B1746="","",'Ordenes_Odoo'!B1746)</f>
        <v/>
      </c>
      <c r="C1746" s="79">
        <f>IF('Ordenes_Odoo'!C1746="","",'Ordenes_Odoo'!C1746)</f>
        <v/>
      </c>
      <c r="D1746" s="79">
        <f>IF('Ordenes_Odoo'!D1746="","",'Ordenes_Odoo'!D1746)</f>
        <v/>
      </c>
      <c r="E1746" s="79">
        <f>IF('Ordenes_Odoo'!E1746="","",'Ordenes_Odoo'!E1746)</f>
        <v/>
      </c>
      <c r="F1746" s="79">
        <f>IF('Ordenes_Odoo'!F1746="","",'Ordenes_Odoo'!F1746)</f>
        <v/>
      </c>
      <c r="G1746" s="79">
        <f>IF('Ordenes_Odoo'!G1746="","",'Ordenes_Odoo'!G1746)</f>
        <v/>
      </c>
      <c r="H1746" s="79">
        <f>IF('Ordenes_Odoo'!H1746="","",'Ordenes_Odoo'!H1746)</f>
        <v/>
      </c>
      <c r="I1746" s="79">
        <f>IF('Ordenes_Odoo'!I1746="","",'Ordenes_Odoo'!I1746)</f>
        <v/>
      </c>
      <c r="J1746" s="79">
        <f>IF('Ordenes_Odoo'!J1746="","",'Ordenes_Odoo'!J1746)</f>
        <v/>
      </c>
      <c r="K1746" s="81">
        <f>IF('Ordenes_Odoo'!K1746="","",'Ordenes_Odoo'!K1746)</f>
        <v/>
      </c>
      <c r="L1746" s="81">
        <f>IF('Ordenes_Odoo'!L1746="","",'Ordenes_Odoo'!L1746)</f>
        <v/>
      </c>
      <c r="M1746" s="79">
        <f>IF('Ordenes_Odoo'!M1746="","",'Ordenes_Odoo'!M1746)</f>
        <v/>
      </c>
      <c r="N1746" s="79">
        <f>IF('Ordenes_Odoo'!N1746="","",'Ordenes_Odoo'!N1746)</f>
        <v/>
      </c>
      <c r="O1746" s="81">
        <f>IF('Ordenes_Odoo'!O1746="","",'Ordenes_Odoo'!O1746)</f>
        <v/>
      </c>
      <c r="P1746" s="81">
        <f>IF('Ordenes_Odoo'!P1746="","",'Ordenes_Odoo'!P1746)</f>
        <v/>
      </c>
      <c r="Q1746" s="79">
        <f>IF(A1746="","",IFERROR(INDEX(Facturas_Odoo!$B:$B, MATCH(A1746, Facturas_Odoo!$D:$D, 0)), "Sin Factura"))</f>
        <v/>
      </c>
      <c r="R1746" s="80">
        <f>IF(Q1746="Sin Factura","",IFERROR(INDEX(Facturas_Odoo!$A:$A, MATCH(Q1746, Facturas_Odoo!$B:$B, 0)), ""))</f>
        <v/>
      </c>
      <c r="S1746" s="79">
        <f>IF(Q1746="Sin Factura","",IFERROR(_xlfn.XLOOKUP(1, (Facturas_Odoo!$D:$D=A1746) * (Facturas_Odoo!$K:$K=I1746), Facturas_Odoo!$L:$L, ""), ""))</f>
        <v/>
      </c>
      <c r="T1746" s="81">
        <f>IF(Q1746="Sin Factura",0,IFERROR(_xlfn.XLOOKUP(1, (Facturas_Odoo!$D:$D=A1746) * (Facturas_Odoo!$K:$K=I1746), Facturas_Odoo!$M:$M, 0), 0))</f>
        <v/>
      </c>
      <c r="U1746" s="79">
        <f>IF(Q1746="Sin Factura",0,IFERROR(_xlfn.XLOOKUP(1, (Facturas_Odoo!$D:$D=A1746) * (Facturas_Odoo!$K:$K=I1746), Facturas_Odoo!$N:$N, 0), 0))</f>
        <v/>
      </c>
      <c r="V1746" s="79">
        <f>IF(Q1746="Sin Factura",0,IFERROR(_xlfn.XLOOKUP(1, (Facturas_Odoo!$D:$D=A1746) * (Facturas_Odoo!$K:$K=I1746), Facturas_Odoo!$O:$O, 0), 0))</f>
        <v/>
      </c>
      <c r="W1746" s="81">
        <f>IF(Q1746="Sin Factura",0,IFERROR(_xlfn.XLOOKUP(1, (Facturas_Odoo!$D:$D=A1746) * (Facturas_Odoo!$K:$K=I1746), Facturas_Odoo!$Q:$Q, 0), 0))</f>
        <v/>
      </c>
      <c r="X1746" s="79">
        <f>IF(OR(Q1746="Sin Factura",Q1746=""),"",IFERROR(INDEX(Pagos_Odoo!$B:$B, MATCH(Q1746, Pagos_Odoo!$I:$I, 0)), "Sin Pago"))</f>
        <v/>
      </c>
      <c r="Y1746" s="79">
        <f>IF(X1746="Sin Pago","",IFERROR(INDEX(Pagos_Odoo!$C:$C, MATCH(X1746, Pagos_Odoo!$B:$B, 0)), ""))</f>
        <v/>
      </c>
      <c r="Z1746" s="80">
        <f>IF(X1746="Sin Pago","",IFERROR(INDEX(Pagos_Odoo!$A:$A, MATCH(X1746, Pagos_Odoo!$B:$B, 0)), ""))</f>
        <v/>
      </c>
      <c r="AA1746" s="79">
        <f>IF(X1746="Sin Pago","",IFERROR(INDEX(Pagos_Odoo!$F:$F, MATCH(X1746, Pagos_Odoo!$B:$B, 0)), ""))</f>
        <v/>
      </c>
      <c r="AB1746" s="81">
        <f>IF(X1746="Sin Pago",0,IFERROR(INDEX(Pagos_Odoo!$E:$E, MATCH(X1746, Pagos_Odoo!$B:$B, 0)), 0))</f>
        <v/>
      </c>
      <c r="AC1746" s="79">
        <f>IF(X1746="Sin Pago","",IFERROR(INDEX(Pagos_Odoo!$G:$G, MATCH(X1746, Pagos_Odoo!$B:$B, 0)), ""))</f>
        <v/>
      </c>
      <c r="AD1746" s="82" t="n">
        <v>0</v>
      </c>
      <c r="AE1746" s="82" t="n"/>
      <c r="AF1746" s="82" t="n"/>
      <c r="AG1746" s="82">
        <f>IF(AN1746="","",AD1746+AE1746+AF1746)</f>
        <v/>
      </c>
      <c r="AH1746" s="81">
        <f>IF(AN1746="","",P1746*(1-AG1746))</f>
        <v/>
      </c>
      <c r="AI1746" s="81">
        <f>IF(AN1746="","",IF(Q1746="Sin Factura",0,IFERROR(INDEX(Facturas_Odoo!$H:$H, MATCH(Q1746, Facturas_Odoo!$B:$B, 0)), 0)*(1-AG1746)))</f>
        <v/>
      </c>
      <c r="AJ1746" s="81">
        <f>IF(AN1746="","",_xlfn.LET(idVenta, AN1746&amp;"",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46" s="81">
        <f>IF(AN1746="","",AH1746-AJ1746)</f>
        <v/>
      </c>
      <c r="AL1746" s="81">
        <f>IF(AN1746="","",IF(Q1746="Sin Factura","",AI1746-AJ1746))</f>
        <v/>
      </c>
      <c r="AM1746" s="81">
        <f>IF(AN1746="","",IF(Q1746="Sin Factura",0,P1746-IFERROR(INDEX(Facturas_Odoo!$H:$H, MATCH(Q1746, Facturas_Odoo!$B:$B, 0)), 0)))</f>
        <v/>
      </c>
      <c r="AN1746" s="79">
        <f>IF(AND(A1746="", J1746=""), "", IF(A1746&lt;&gt;"", VALUE(MID(A1746,2,LEN(A1746))), AN1745))</f>
        <v/>
      </c>
      <c r="AO1746" s="79">
        <f>IF(AN1746="","",IF(AD1746=0,"OK",_xlfn.LET(monedaPago, IF(AA1746="","USD",AA1746), limitePermitido, IFERROR(VLOOKUP(monedaPago, Configuración!$A$2:$B$3, 2, FALSE), 0.15), IF(AD1746&gt;limitePermitido, "ALERTA: EXCESO (" &amp; TEXT(limitePermitido, "0%") &amp; " máx)", "OK"))))</f>
        <v/>
      </c>
      <c r="AP1746" s="79">
        <f>IF(AN1746="","",IF(AE1746=0,"OK",_xlfn.LET(fechaPago, Z1746, fechaFactura, R1746, diasCredito, IF(E1746="Pago inmediato", 0, IFERROR(VALUE(MID(E1746, 1, SEARCH(" ", E1746)-1)),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46" s="79">
        <f>IF(AN1746="","",IF(AND(N1746&gt;0, AG1746&gt;0), IF(Configuración!$K$2="NO", "ALERTA: DESCUENTO DOBLE NO PERMITIDO", "OK"), "OK"))</f>
        <v/>
      </c>
      <c r="AR1746" s="79">
        <f>IF(AN1746="","",IF(OR(AO1746&lt;&gt;"OK", AP1746&lt;&gt;"OK", AQ1746&lt;&gt;"OK"), "⚠️ REVISAR", "OK"))</f>
        <v/>
      </c>
    </row>
    <row r="1747">
      <c r="A1747" s="79">
        <f>IF('Ordenes_Odoo'!A1747="","",'Ordenes_Odoo'!A1747)</f>
        <v/>
      </c>
      <c r="B1747" s="80">
        <f>IF('Ordenes_Odoo'!B1747="","",'Ordenes_Odoo'!B1747)</f>
        <v/>
      </c>
      <c r="C1747" s="79">
        <f>IF('Ordenes_Odoo'!C1747="","",'Ordenes_Odoo'!C1747)</f>
        <v/>
      </c>
      <c r="D1747" s="79">
        <f>IF('Ordenes_Odoo'!D1747="","",'Ordenes_Odoo'!D1747)</f>
        <v/>
      </c>
      <c r="E1747" s="79">
        <f>IF('Ordenes_Odoo'!E1747="","",'Ordenes_Odoo'!E1747)</f>
        <v/>
      </c>
      <c r="F1747" s="79">
        <f>IF('Ordenes_Odoo'!F1747="","",'Ordenes_Odoo'!F1747)</f>
        <v/>
      </c>
      <c r="G1747" s="79">
        <f>IF('Ordenes_Odoo'!G1747="","",'Ordenes_Odoo'!G1747)</f>
        <v/>
      </c>
      <c r="H1747" s="79">
        <f>IF('Ordenes_Odoo'!H1747="","",'Ordenes_Odoo'!H1747)</f>
        <v/>
      </c>
      <c r="I1747" s="79">
        <f>IF('Ordenes_Odoo'!I1747="","",'Ordenes_Odoo'!I1747)</f>
        <v/>
      </c>
      <c r="J1747" s="79">
        <f>IF('Ordenes_Odoo'!J1747="","",'Ordenes_Odoo'!J1747)</f>
        <v/>
      </c>
      <c r="K1747" s="81">
        <f>IF('Ordenes_Odoo'!K1747="","",'Ordenes_Odoo'!K1747)</f>
        <v/>
      </c>
      <c r="L1747" s="81">
        <f>IF('Ordenes_Odoo'!L1747="","",'Ordenes_Odoo'!L1747)</f>
        <v/>
      </c>
      <c r="M1747" s="79">
        <f>IF('Ordenes_Odoo'!M1747="","",'Ordenes_Odoo'!M1747)</f>
        <v/>
      </c>
      <c r="N1747" s="79">
        <f>IF('Ordenes_Odoo'!N1747="","",'Ordenes_Odoo'!N1747)</f>
        <v/>
      </c>
      <c r="O1747" s="81">
        <f>IF('Ordenes_Odoo'!O1747="","",'Ordenes_Odoo'!O1747)</f>
        <v/>
      </c>
      <c r="P1747" s="81">
        <f>IF('Ordenes_Odoo'!P1747="","",'Ordenes_Odoo'!P1747)</f>
        <v/>
      </c>
      <c r="Q1747" s="79">
        <f>IF(A1747="","",IFERROR(INDEX(Facturas_Odoo!$B:$B, MATCH(A1747, Facturas_Odoo!$D:$D, 0)), "Sin Factura"))</f>
        <v/>
      </c>
      <c r="R1747" s="80">
        <f>IF(Q1747="Sin Factura","",IFERROR(INDEX(Facturas_Odoo!$A:$A, MATCH(Q1747, Facturas_Odoo!$B:$B, 0)), ""))</f>
        <v/>
      </c>
      <c r="S1747" s="79">
        <f>IF(Q1747="Sin Factura","",IFERROR(_xlfn.XLOOKUP(1, (Facturas_Odoo!$D:$D=A1747) * (Facturas_Odoo!$K:$K=I1747), Facturas_Odoo!$L:$L, ""), ""))</f>
        <v/>
      </c>
      <c r="T1747" s="81">
        <f>IF(Q1747="Sin Factura",0,IFERROR(_xlfn.XLOOKUP(1, (Facturas_Odoo!$D:$D=A1747) * (Facturas_Odoo!$K:$K=I1747), Facturas_Odoo!$M:$M, 0), 0))</f>
        <v/>
      </c>
      <c r="U1747" s="79">
        <f>IF(Q1747="Sin Factura",0,IFERROR(_xlfn.XLOOKUP(1, (Facturas_Odoo!$D:$D=A1747) * (Facturas_Odoo!$K:$K=I1747), Facturas_Odoo!$N:$N, 0), 0))</f>
        <v/>
      </c>
      <c r="V1747" s="79">
        <f>IF(Q1747="Sin Factura",0,IFERROR(_xlfn.XLOOKUP(1, (Facturas_Odoo!$D:$D=A1747) * (Facturas_Odoo!$K:$K=I1747), Facturas_Odoo!$O:$O, 0), 0))</f>
        <v/>
      </c>
      <c r="W1747" s="81">
        <f>IF(Q1747="Sin Factura",0,IFERROR(_xlfn.XLOOKUP(1, (Facturas_Odoo!$D:$D=A1747) * (Facturas_Odoo!$K:$K=I1747), Facturas_Odoo!$Q:$Q, 0), 0))</f>
        <v/>
      </c>
      <c r="X1747" s="79">
        <f>IF(OR(Q1747="Sin Factura",Q1747=""),"",IFERROR(INDEX(Pagos_Odoo!$B:$B, MATCH(Q1747, Pagos_Odoo!$I:$I, 0)), "Sin Pago"))</f>
        <v/>
      </c>
      <c r="Y1747" s="79">
        <f>IF(X1747="Sin Pago","",IFERROR(INDEX(Pagos_Odoo!$C:$C, MATCH(X1747, Pagos_Odoo!$B:$B, 0)), ""))</f>
        <v/>
      </c>
      <c r="Z1747" s="80">
        <f>IF(X1747="Sin Pago","",IFERROR(INDEX(Pagos_Odoo!$A:$A, MATCH(X1747, Pagos_Odoo!$B:$B, 0)), ""))</f>
        <v/>
      </c>
      <c r="AA1747" s="79">
        <f>IF(X1747="Sin Pago","",IFERROR(INDEX(Pagos_Odoo!$F:$F, MATCH(X1747, Pagos_Odoo!$B:$B, 0)), ""))</f>
        <v/>
      </c>
      <c r="AB1747" s="81">
        <f>IF(X1747="Sin Pago",0,IFERROR(INDEX(Pagos_Odoo!$E:$E, MATCH(X1747, Pagos_Odoo!$B:$B, 0)), 0))</f>
        <v/>
      </c>
      <c r="AC1747" s="79">
        <f>IF(X1747="Sin Pago","",IFERROR(INDEX(Pagos_Odoo!$G:$G, MATCH(X1747, Pagos_Odoo!$B:$B, 0)), ""))</f>
        <v/>
      </c>
      <c r="AD1747" s="82" t="n">
        <v>0</v>
      </c>
      <c r="AE1747" s="82" t="n"/>
      <c r="AF1747" s="82" t="n"/>
      <c r="AG1747" s="82">
        <f>IF(AN1747="","",AD1747+AE1747+AF1747)</f>
        <v/>
      </c>
      <c r="AH1747" s="81">
        <f>IF(AN1747="","",P1747*(1-AG1747))</f>
        <v/>
      </c>
      <c r="AI1747" s="81">
        <f>IF(AN1747="","",IF(Q1747="Sin Factura",0,IFERROR(INDEX(Facturas_Odoo!$H:$H, MATCH(Q1747, Facturas_Odoo!$B:$B, 0)), 0)*(1-AG1747)))</f>
        <v/>
      </c>
      <c r="AJ1747" s="81">
        <f>IF(AN1747="","",_xlfn.LET(idVenta, AN1747&amp;"",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47" s="81">
        <f>IF(AN1747="","",AH1747-AJ1747)</f>
        <v/>
      </c>
      <c r="AL1747" s="81">
        <f>IF(AN1747="","",IF(Q1747="Sin Factura","",AI1747-AJ1747))</f>
        <v/>
      </c>
      <c r="AM1747" s="81">
        <f>IF(AN1747="","",IF(Q1747="Sin Factura",0,P1747-IFERROR(INDEX(Facturas_Odoo!$H:$H, MATCH(Q1747, Facturas_Odoo!$B:$B, 0)), 0)))</f>
        <v/>
      </c>
      <c r="AN1747" s="79">
        <f>IF(AND(A1747="", J1747=""), "", IF(A1747&lt;&gt;"", VALUE(MID(A1747,2,LEN(A1747))), AN1746))</f>
        <v/>
      </c>
      <c r="AO1747" s="79">
        <f>IF(AN1747="","",IF(AD1747=0,"OK",_xlfn.LET(monedaPago, IF(AA1747="","USD",AA1747), limitePermitido, IFERROR(VLOOKUP(monedaPago, Configuración!$A$2:$B$3, 2, FALSE), 0.15), IF(AD1747&gt;limitePermitido, "ALERTA: EXCESO (" &amp; TEXT(limitePermitido, "0%") &amp; " máx)", "OK"))))</f>
        <v/>
      </c>
      <c r="AP1747" s="79">
        <f>IF(AN1747="","",IF(AE1747=0,"OK",_xlfn.LET(fechaPago, Z1747, fechaFactura, R1747, diasCredito, IF(E1747="Pago inmediato", 0, IFERROR(VALUE(MID(E1747, 1, SEARCH(" ", E1747)-1)),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47" s="79">
        <f>IF(AN1747="","",IF(AND(N1747&gt;0, AG1747&gt;0), IF(Configuración!$K$2="NO", "ALERTA: DESCUENTO DOBLE NO PERMITIDO", "OK"), "OK"))</f>
        <v/>
      </c>
      <c r="AR1747" s="79">
        <f>IF(AN1747="","",IF(OR(AO1747&lt;&gt;"OK", AP1747&lt;&gt;"OK", AQ1747&lt;&gt;"OK"), "⚠️ REVISAR", "OK"))</f>
        <v/>
      </c>
    </row>
    <row r="1748">
      <c r="A1748" s="79">
        <f>IF('Ordenes_Odoo'!A1748="","",'Ordenes_Odoo'!A1748)</f>
        <v/>
      </c>
      <c r="B1748" s="80">
        <f>IF('Ordenes_Odoo'!B1748="","",'Ordenes_Odoo'!B1748)</f>
        <v/>
      </c>
      <c r="C1748" s="79">
        <f>IF('Ordenes_Odoo'!C1748="","",'Ordenes_Odoo'!C1748)</f>
        <v/>
      </c>
      <c r="D1748" s="79">
        <f>IF('Ordenes_Odoo'!D1748="","",'Ordenes_Odoo'!D1748)</f>
        <v/>
      </c>
      <c r="E1748" s="79">
        <f>IF('Ordenes_Odoo'!E1748="","",'Ordenes_Odoo'!E1748)</f>
        <v/>
      </c>
      <c r="F1748" s="79">
        <f>IF('Ordenes_Odoo'!F1748="","",'Ordenes_Odoo'!F1748)</f>
        <v/>
      </c>
      <c r="G1748" s="79">
        <f>IF('Ordenes_Odoo'!G1748="","",'Ordenes_Odoo'!G1748)</f>
        <v/>
      </c>
      <c r="H1748" s="79">
        <f>IF('Ordenes_Odoo'!H1748="","",'Ordenes_Odoo'!H1748)</f>
        <v/>
      </c>
      <c r="I1748" s="79">
        <f>IF('Ordenes_Odoo'!I1748="","",'Ordenes_Odoo'!I1748)</f>
        <v/>
      </c>
      <c r="J1748" s="79">
        <f>IF('Ordenes_Odoo'!J1748="","",'Ordenes_Odoo'!J1748)</f>
        <v/>
      </c>
      <c r="K1748" s="81">
        <f>IF('Ordenes_Odoo'!K1748="","",'Ordenes_Odoo'!K1748)</f>
        <v/>
      </c>
      <c r="L1748" s="81">
        <f>IF('Ordenes_Odoo'!L1748="","",'Ordenes_Odoo'!L1748)</f>
        <v/>
      </c>
      <c r="M1748" s="79">
        <f>IF('Ordenes_Odoo'!M1748="","",'Ordenes_Odoo'!M1748)</f>
        <v/>
      </c>
      <c r="N1748" s="79">
        <f>IF('Ordenes_Odoo'!N1748="","",'Ordenes_Odoo'!N1748)</f>
        <v/>
      </c>
      <c r="O1748" s="81">
        <f>IF('Ordenes_Odoo'!O1748="","",'Ordenes_Odoo'!O1748)</f>
        <v/>
      </c>
      <c r="P1748" s="81">
        <f>IF('Ordenes_Odoo'!P1748="","",'Ordenes_Odoo'!P1748)</f>
        <v/>
      </c>
      <c r="Q1748" s="79">
        <f>IF(A1748="","",IFERROR(INDEX(Facturas_Odoo!$B:$B, MATCH(A1748, Facturas_Odoo!$D:$D, 0)), "Sin Factura"))</f>
        <v/>
      </c>
      <c r="R1748" s="80">
        <f>IF(Q1748="Sin Factura","",IFERROR(INDEX(Facturas_Odoo!$A:$A, MATCH(Q1748, Facturas_Odoo!$B:$B, 0)), ""))</f>
        <v/>
      </c>
      <c r="S1748" s="79">
        <f>IF(Q1748="Sin Factura","",IFERROR(_xlfn.XLOOKUP(1, (Facturas_Odoo!$D:$D=A1748) * (Facturas_Odoo!$K:$K=I1748), Facturas_Odoo!$L:$L, ""), ""))</f>
        <v/>
      </c>
      <c r="T1748" s="81">
        <f>IF(Q1748="Sin Factura",0,IFERROR(_xlfn.XLOOKUP(1, (Facturas_Odoo!$D:$D=A1748) * (Facturas_Odoo!$K:$K=I1748), Facturas_Odoo!$M:$M, 0), 0))</f>
        <v/>
      </c>
      <c r="U1748" s="79">
        <f>IF(Q1748="Sin Factura",0,IFERROR(_xlfn.XLOOKUP(1, (Facturas_Odoo!$D:$D=A1748) * (Facturas_Odoo!$K:$K=I1748), Facturas_Odoo!$N:$N, 0), 0))</f>
        <v/>
      </c>
      <c r="V1748" s="79">
        <f>IF(Q1748="Sin Factura",0,IFERROR(_xlfn.XLOOKUP(1, (Facturas_Odoo!$D:$D=A1748) * (Facturas_Odoo!$K:$K=I1748), Facturas_Odoo!$O:$O, 0), 0))</f>
        <v/>
      </c>
      <c r="W1748" s="81">
        <f>IF(Q1748="Sin Factura",0,IFERROR(_xlfn.XLOOKUP(1, (Facturas_Odoo!$D:$D=A1748) * (Facturas_Odoo!$K:$K=I1748), Facturas_Odoo!$Q:$Q, 0), 0))</f>
        <v/>
      </c>
      <c r="X1748" s="79">
        <f>IF(OR(Q1748="Sin Factura",Q1748=""),"",IFERROR(INDEX(Pagos_Odoo!$B:$B, MATCH(Q1748, Pagos_Odoo!$I:$I, 0)), "Sin Pago"))</f>
        <v/>
      </c>
      <c r="Y1748" s="79">
        <f>IF(X1748="Sin Pago","",IFERROR(INDEX(Pagos_Odoo!$C:$C, MATCH(X1748, Pagos_Odoo!$B:$B, 0)), ""))</f>
        <v/>
      </c>
      <c r="Z1748" s="80">
        <f>IF(X1748="Sin Pago","",IFERROR(INDEX(Pagos_Odoo!$A:$A, MATCH(X1748, Pagos_Odoo!$B:$B, 0)), ""))</f>
        <v/>
      </c>
      <c r="AA1748" s="79">
        <f>IF(X1748="Sin Pago","",IFERROR(INDEX(Pagos_Odoo!$F:$F, MATCH(X1748, Pagos_Odoo!$B:$B, 0)), ""))</f>
        <v/>
      </c>
      <c r="AB1748" s="81">
        <f>IF(X1748="Sin Pago",0,IFERROR(INDEX(Pagos_Odoo!$E:$E, MATCH(X1748, Pagos_Odoo!$B:$B, 0)), 0))</f>
        <v/>
      </c>
      <c r="AC1748" s="79">
        <f>IF(X1748="Sin Pago","",IFERROR(INDEX(Pagos_Odoo!$G:$G, MATCH(X1748, Pagos_Odoo!$B:$B, 0)), ""))</f>
        <v/>
      </c>
      <c r="AD1748" s="82" t="n">
        <v>0</v>
      </c>
      <c r="AE1748" s="82" t="n"/>
      <c r="AF1748" s="82" t="n"/>
      <c r="AG1748" s="82">
        <f>IF(AN1748="","",AD1748+AE1748+AF1748)</f>
        <v/>
      </c>
      <c r="AH1748" s="81">
        <f>IF(AN1748="","",P1748*(1-AG1748))</f>
        <v/>
      </c>
      <c r="AI1748" s="81">
        <f>IF(AN1748="","",IF(Q1748="Sin Factura",0,IFERROR(INDEX(Facturas_Odoo!$H:$H, MATCH(Q1748, Facturas_Odoo!$B:$B, 0)), 0)*(1-AG1748)))</f>
        <v/>
      </c>
      <c r="AJ1748" s="81">
        <f>IF(AN1748="","",_xlfn.LET(idVenta, AN1748&amp;"",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48" s="81">
        <f>IF(AN1748="","",AH1748-AJ1748)</f>
        <v/>
      </c>
      <c r="AL1748" s="81">
        <f>IF(AN1748="","",IF(Q1748="Sin Factura","",AI1748-AJ1748))</f>
        <v/>
      </c>
      <c r="AM1748" s="81">
        <f>IF(AN1748="","",IF(Q1748="Sin Factura",0,P1748-IFERROR(INDEX(Facturas_Odoo!$H:$H, MATCH(Q1748, Facturas_Odoo!$B:$B, 0)), 0)))</f>
        <v/>
      </c>
      <c r="AN1748" s="79">
        <f>IF(AND(A1748="", J1748=""), "", IF(A1748&lt;&gt;"", VALUE(MID(A1748,2,LEN(A1748))), AN1747))</f>
        <v/>
      </c>
      <c r="AO1748" s="79">
        <f>IF(AN1748="","",IF(AD1748=0,"OK",_xlfn.LET(monedaPago, IF(AA1748="","USD",AA1748), limitePermitido, IFERROR(VLOOKUP(monedaPago, Configuración!$A$2:$B$3, 2, FALSE), 0.15), IF(AD1748&gt;limitePermitido, "ALERTA: EXCESO (" &amp; TEXT(limitePermitido, "0%") &amp; " máx)", "OK"))))</f>
        <v/>
      </c>
      <c r="AP1748" s="79">
        <f>IF(AN1748="","",IF(AE1748=0,"OK",_xlfn.LET(fechaPago, Z1748, fechaFactura, R1748, diasCredito, IF(E1748="Pago inmediato", 0, IFERROR(VALUE(MID(E1748, 1, SEARCH(" ", E1748)-1)),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48" s="79">
        <f>IF(AN1748="","",IF(AND(N1748&gt;0, AG1748&gt;0), IF(Configuración!$K$2="NO", "ALERTA: DESCUENTO DOBLE NO PERMITIDO", "OK"), "OK"))</f>
        <v/>
      </c>
      <c r="AR1748" s="79">
        <f>IF(AN1748="","",IF(OR(AO1748&lt;&gt;"OK", AP1748&lt;&gt;"OK", AQ1748&lt;&gt;"OK"), "⚠️ REVISAR", "OK"))</f>
        <v/>
      </c>
    </row>
    <row r="1749">
      <c r="A1749" s="79">
        <f>IF('Ordenes_Odoo'!A1749="","",'Ordenes_Odoo'!A1749)</f>
        <v/>
      </c>
      <c r="B1749" s="80">
        <f>IF('Ordenes_Odoo'!B1749="","",'Ordenes_Odoo'!B1749)</f>
        <v/>
      </c>
      <c r="C1749" s="79">
        <f>IF('Ordenes_Odoo'!C1749="","",'Ordenes_Odoo'!C1749)</f>
        <v/>
      </c>
      <c r="D1749" s="79">
        <f>IF('Ordenes_Odoo'!D1749="","",'Ordenes_Odoo'!D1749)</f>
        <v/>
      </c>
      <c r="E1749" s="79">
        <f>IF('Ordenes_Odoo'!E1749="","",'Ordenes_Odoo'!E1749)</f>
        <v/>
      </c>
      <c r="F1749" s="79">
        <f>IF('Ordenes_Odoo'!F1749="","",'Ordenes_Odoo'!F1749)</f>
        <v/>
      </c>
      <c r="G1749" s="79">
        <f>IF('Ordenes_Odoo'!G1749="","",'Ordenes_Odoo'!G1749)</f>
        <v/>
      </c>
      <c r="H1749" s="79">
        <f>IF('Ordenes_Odoo'!H1749="","",'Ordenes_Odoo'!H1749)</f>
        <v/>
      </c>
      <c r="I1749" s="79">
        <f>IF('Ordenes_Odoo'!I1749="","",'Ordenes_Odoo'!I1749)</f>
        <v/>
      </c>
      <c r="J1749" s="79">
        <f>IF('Ordenes_Odoo'!J1749="","",'Ordenes_Odoo'!J1749)</f>
        <v/>
      </c>
      <c r="K1749" s="81">
        <f>IF('Ordenes_Odoo'!K1749="","",'Ordenes_Odoo'!K1749)</f>
        <v/>
      </c>
      <c r="L1749" s="81">
        <f>IF('Ordenes_Odoo'!L1749="","",'Ordenes_Odoo'!L1749)</f>
        <v/>
      </c>
      <c r="M1749" s="79">
        <f>IF('Ordenes_Odoo'!M1749="","",'Ordenes_Odoo'!M1749)</f>
        <v/>
      </c>
      <c r="N1749" s="79">
        <f>IF('Ordenes_Odoo'!N1749="","",'Ordenes_Odoo'!N1749)</f>
        <v/>
      </c>
      <c r="O1749" s="81">
        <f>IF('Ordenes_Odoo'!O1749="","",'Ordenes_Odoo'!O1749)</f>
        <v/>
      </c>
      <c r="P1749" s="81">
        <f>IF('Ordenes_Odoo'!P1749="","",'Ordenes_Odoo'!P1749)</f>
        <v/>
      </c>
      <c r="Q1749" s="79">
        <f>IF(A1749="","",IFERROR(INDEX(Facturas_Odoo!$B:$B, MATCH(A1749, Facturas_Odoo!$D:$D, 0)), "Sin Factura"))</f>
        <v/>
      </c>
      <c r="R1749" s="80">
        <f>IF(Q1749="Sin Factura","",IFERROR(INDEX(Facturas_Odoo!$A:$A, MATCH(Q1749, Facturas_Odoo!$B:$B, 0)), ""))</f>
        <v/>
      </c>
      <c r="S1749" s="79">
        <f>IF(Q1749="Sin Factura","",IFERROR(_xlfn.XLOOKUP(1, (Facturas_Odoo!$D:$D=A1749) * (Facturas_Odoo!$K:$K=I1749), Facturas_Odoo!$L:$L, ""), ""))</f>
        <v/>
      </c>
      <c r="T1749" s="81">
        <f>IF(Q1749="Sin Factura",0,IFERROR(_xlfn.XLOOKUP(1, (Facturas_Odoo!$D:$D=A1749) * (Facturas_Odoo!$K:$K=I1749), Facturas_Odoo!$M:$M, 0), 0))</f>
        <v/>
      </c>
      <c r="U1749" s="79">
        <f>IF(Q1749="Sin Factura",0,IFERROR(_xlfn.XLOOKUP(1, (Facturas_Odoo!$D:$D=A1749) * (Facturas_Odoo!$K:$K=I1749), Facturas_Odoo!$N:$N, 0), 0))</f>
        <v/>
      </c>
      <c r="V1749" s="79">
        <f>IF(Q1749="Sin Factura",0,IFERROR(_xlfn.XLOOKUP(1, (Facturas_Odoo!$D:$D=A1749) * (Facturas_Odoo!$K:$K=I1749), Facturas_Odoo!$O:$O, 0), 0))</f>
        <v/>
      </c>
      <c r="W1749" s="81">
        <f>IF(Q1749="Sin Factura",0,IFERROR(_xlfn.XLOOKUP(1, (Facturas_Odoo!$D:$D=A1749) * (Facturas_Odoo!$K:$K=I1749), Facturas_Odoo!$Q:$Q, 0), 0))</f>
        <v/>
      </c>
      <c r="X1749" s="79">
        <f>IF(OR(Q1749="Sin Factura",Q1749=""),"",IFERROR(INDEX(Pagos_Odoo!$B:$B, MATCH(Q1749, Pagos_Odoo!$I:$I, 0)), "Sin Pago"))</f>
        <v/>
      </c>
      <c r="Y1749" s="79">
        <f>IF(X1749="Sin Pago","",IFERROR(INDEX(Pagos_Odoo!$C:$C, MATCH(X1749, Pagos_Odoo!$B:$B, 0)), ""))</f>
        <v/>
      </c>
      <c r="Z1749" s="80">
        <f>IF(X1749="Sin Pago","",IFERROR(INDEX(Pagos_Odoo!$A:$A, MATCH(X1749, Pagos_Odoo!$B:$B, 0)), ""))</f>
        <v/>
      </c>
      <c r="AA1749" s="79">
        <f>IF(X1749="Sin Pago","",IFERROR(INDEX(Pagos_Odoo!$F:$F, MATCH(X1749, Pagos_Odoo!$B:$B, 0)), ""))</f>
        <v/>
      </c>
      <c r="AB1749" s="81">
        <f>IF(X1749="Sin Pago",0,IFERROR(INDEX(Pagos_Odoo!$E:$E, MATCH(X1749, Pagos_Odoo!$B:$B, 0)), 0))</f>
        <v/>
      </c>
      <c r="AC1749" s="79">
        <f>IF(X1749="Sin Pago","",IFERROR(INDEX(Pagos_Odoo!$G:$G, MATCH(X1749, Pagos_Odoo!$B:$B, 0)), ""))</f>
        <v/>
      </c>
      <c r="AD1749" s="82" t="n">
        <v>0</v>
      </c>
      <c r="AE1749" s="82" t="n"/>
      <c r="AF1749" s="82" t="n"/>
      <c r="AG1749" s="82">
        <f>IF(AN1749="","",AD1749+AE1749+AF1749)</f>
        <v/>
      </c>
      <c r="AH1749" s="81">
        <f>IF(AN1749="","",P1749*(1-AG1749))</f>
        <v/>
      </c>
      <c r="AI1749" s="81">
        <f>IF(AN1749="","",IF(Q1749="Sin Factura",0,IFERROR(INDEX(Facturas_Odoo!$H:$H, MATCH(Q1749, Facturas_Odoo!$B:$B, 0)), 0)*(1-AG1749)))</f>
        <v/>
      </c>
      <c r="AJ1749" s="81">
        <f>IF(AN1749="","",_xlfn.LET(idVenta, AN1749&amp;"",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49" s="81">
        <f>IF(AN1749="","",AH1749-AJ1749)</f>
        <v/>
      </c>
      <c r="AL1749" s="81">
        <f>IF(AN1749="","",IF(Q1749="Sin Factura","",AI1749-AJ1749))</f>
        <v/>
      </c>
      <c r="AM1749" s="81">
        <f>IF(AN1749="","",IF(Q1749="Sin Factura",0,P1749-IFERROR(INDEX(Facturas_Odoo!$H:$H, MATCH(Q1749, Facturas_Odoo!$B:$B, 0)), 0)))</f>
        <v/>
      </c>
      <c r="AN1749" s="79">
        <f>IF(AND(A1749="", J1749=""), "", IF(A1749&lt;&gt;"", VALUE(MID(A1749,2,LEN(A1749))), AN1748))</f>
        <v/>
      </c>
      <c r="AO1749" s="79">
        <f>IF(AN1749="","",IF(AD1749=0,"OK",_xlfn.LET(monedaPago, IF(AA1749="","USD",AA1749), limitePermitido, IFERROR(VLOOKUP(monedaPago, Configuración!$A$2:$B$3, 2, FALSE), 0.15), IF(AD1749&gt;limitePermitido, "ALERTA: EXCESO (" &amp; TEXT(limitePermitido, "0%") &amp; " máx)", "OK"))))</f>
        <v/>
      </c>
      <c r="AP1749" s="79">
        <f>IF(AN1749="","",IF(AE1749=0,"OK",_xlfn.LET(fechaPago, Z1749, fechaFactura, R1749, diasCredito, IF(E1749="Pago inmediato", 0, IFERROR(VALUE(MID(E1749, 1, SEARCH(" ", E1749)-1)),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49" s="79">
        <f>IF(AN1749="","",IF(AND(N1749&gt;0, AG1749&gt;0), IF(Configuración!$K$2="NO", "ALERTA: DESCUENTO DOBLE NO PERMITIDO", "OK"), "OK"))</f>
        <v/>
      </c>
      <c r="AR1749" s="79">
        <f>IF(AN1749="","",IF(OR(AO1749&lt;&gt;"OK", AP1749&lt;&gt;"OK", AQ1749&lt;&gt;"OK"), "⚠️ REVISAR", "OK"))</f>
        <v/>
      </c>
    </row>
    <row r="1750">
      <c r="A1750" s="79">
        <f>IF('Ordenes_Odoo'!A1750="","",'Ordenes_Odoo'!A1750)</f>
        <v/>
      </c>
      <c r="B1750" s="80">
        <f>IF('Ordenes_Odoo'!B1750="","",'Ordenes_Odoo'!B1750)</f>
        <v/>
      </c>
      <c r="C1750" s="79">
        <f>IF('Ordenes_Odoo'!C1750="","",'Ordenes_Odoo'!C1750)</f>
        <v/>
      </c>
      <c r="D1750" s="79">
        <f>IF('Ordenes_Odoo'!D1750="","",'Ordenes_Odoo'!D1750)</f>
        <v/>
      </c>
      <c r="E1750" s="79">
        <f>IF('Ordenes_Odoo'!E1750="","",'Ordenes_Odoo'!E1750)</f>
        <v/>
      </c>
      <c r="F1750" s="79">
        <f>IF('Ordenes_Odoo'!F1750="","",'Ordenes_Odoo'!F1750)</f>
        <v/>
      </c>
      <c r="G1750" s="79">
        <f>IF('Ordenes_Odoo'!G1750="","",'Ordenes_Odoo'!G1750)</f>
        <v/>
      </c>
      <c r="H1750" s="79">
        <f>IF('Ordenes_Odoo'!H1750="","",'Ordenes_Odoo'!H1750)</f>
        <v/>
      </c>
      <c r="I1750" s="79">
        <f>IF('Ordenes_Odoo'!I1750="","",'Ordenes_Odoo'!I1750)</f>
        <v/>
      </c>
      <c r="J1750" s="79">
        <f>IF('Ordenes_Odoo'!J1750="","",'Ordenes_Odoo'!J1750)</f>
        <v/>
      </c>
      <c r="K1750" s="81">
        <f>IF('Ordenes_Odoo'!K1750="","",'Ordenes_Odoo'!K1750)</f>
        <v/>
      </c>
      <c r="L1750" s="81">
        <f>IF('Ordenes_Odoo'!L1750="","",'Ordenes_Odoo'!L1750)</f>
        <v/>
      </c>
      <c r="M1750" s="79">
        <f>IF('Ordenes_Odoo'!M1750="","",'Ordenes_Odoo'!M1750)</f>
        <v/>
      </c>
      <c r="N1750" s="79">
        <f>IF('Ordenes_Odoo'!N1750="","",'Ordenes_Odoo'!N1750)</f>
        <v/>
      </c>
      <c r="O1750" s="81">
        <f>IF('Ordenes_Odoo'!O1750="","",'Ordenes_Odoo'!O1750)</f>
        <v/>
      </c>
      <c r="P1750" s="81">
        <f>IF('Ordenes_Odoo'!P1750="","",'Ordenes_Odoo'!P1750)</f>
        <v/>
      </c>
      <c r="Q1750" s="79">
        <f>IF(A1750="","",IFERROR(INDEX(Facturas_Odoo!$B:$B, MATCH(A1750, Facturas_Odoo!$D:$D, 0)), "Sin Factura"))</f>
        <v/>
      </c>
      <c r="R1750" s="80">
        <f>IF(Q1750="Sin Factura","",IFERROR(INDEX(Facturas_Odoo!$A:$A, MATCH(Q1750, Facturas_Odoo!$B:$B, 0)), ""))</f>
        <v/>
      </c>
      <c r="S1750" s="79">
        <f>IF(Q1750="Sin Factura","",IFERROR(_xlfn.XLOOKUP(1, (Facturas_Odoo!$D:$D=A1750) * (Facturas_Odoo!$K:$K=I1750), Facturas_Odoo!$L:$L, ""), ""))</f>
        <v/>
      </c>
      <c r="T1750" s="81">
        <f>IF(Q1750="Sin Factura",0,IFERROR(_xlfn.XLOOKUP(1, (Facturas_Odoo!$D:$D=A1750) * (Facturas_Odoo!$K:$K=I1750), Facturas_Odoo!$M:$M, 0), 0))</f>
        <v/>
      </c>
      <c r="U1750" s="79">
        <f>IF(Q1750="Sin Factura",0,IFERROR(_xlfn.XLOOKUP(1, (Facturas_Odoo!$D:$D=A1750) * (Facturas_Odoo!$K:$K=I1750), Facturas_Odoo!$N:$N, 0), 0))</f>
        <v/>
      </c>
      <c r="V1750" s="79">
        <f>IF(Q1750="Sin Factura",0,IFERROR(_xlfn.XLOOKUP(1, (Facturas_Odoo!$D:$D=A1750) * (Facturas_Odoo!$K:$K=I1750), Facturas_Odoo!$O:$O, 0), 0))</f>
        <v/>
      </c>
      <c r="W1750" s="81">
        <f>IF(Q1750="Sin Factura",0,IFERROR(_xlfn.XLOOKUP(1, (Facturas_Odoo!$D:$D=A1750) * (Facturas_Odoo!$K:$K=I1750), Facturas_Odoo!$Q:$Q, 0), 0))</f>
        <v/>
      </c>
      <c r="X1750" s="79">
        <f>IF(OR(Q1750="Sin Factura",Q1750=""),"",IFERROR(INDEX(Pagos_Odoo!$B:$B, MATCH(Q1750, Pagos_Odoo!$I:$I, 0)), "Sin Pago"))</f>
        <v/>
      </c>
      <c r="Y1750" s="79">
        <f>IF(X1750="Sin Pago","",IFERROR(INDEX(Pagos_Odoo!$C:$C, MATCH(X1750, Pagos_Odoo!$B:$B, 0)), ""))</f>
        <v/>
      </c>
      <c r="Z1750" s="80">
        <f>IF(X1750="Sin Pago","",IFERROR(INDEX(Pagos_Odoo!$A:$A, MATCH(X1750, Pagos_Odoo!$B:$B, 0)), ""))</f>
        <v/>
      </c>
      <c r="AA1750" s="79">
        <f>IF(X1750="Sin Pago","",IFERROR(INDEX(Pagos_Odoo!$F:$F, MATCH(X1750, Pagos_Odoo!$B:$B, 0)), ""))</f>
        <v/>
      </c>
      <c r="AB1750" s="81">
        <f>IF(X1750="Sin Pago",0,IFERROR(INDEX(Pagos_Odoo!$E:$E, MATCH(X1750, Pagos_Odoo!$B:$B, 0)), 0))</f>
        <v/>
      </c>
      <c r="AC1750" s="79">
        <f>IF(X1750="Sin Pago","",IFERROR(INDEX(Pagos_Odoo!$G:$G, MATCH(X1750, Pagos_Odoo!$B:$B, 0)), ""))</f>
        <v/>
      </c>
      <c r="AD1750" s="82" t="n">
        <v>0</v>
      </c>
      <c r="AE1750" s="82" t="n"/>
      <c r="AF1750" s="82" t="n"/>
      <c r="AG1750" s="82">
        <f>IF(AN1750="","",AD1750+AE1750+AF1750)</f>
        <v/>
      </c>
      <c r="AH1750" s="81">
        <f>IF(AN1750="","",P1750*(1-AG1750))</f>
        <v/>
      </c>
      <c r="AI1750" s="81">
        <f>IF(AN1750="","",IF(Q1750="Sin Factura",0,IFERROR(INDEX(Facturas_Odoo!$H:$H, MATCH(Q1750, Facturas_Odoo!$B:$B, 0)), 0)*(1-AG1750)))</f>
        <v/>
      </c>
      <c r="AJ1750" s="81">
        <f>IF(AN1750="","",_xlfn.LET(idVenta, AN1750&amp;"",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50" s="81">
        <f>IF(AN1750="","",AH1750-AJ1750)</f>
        <v/>
      </c>
      <c r="AL1750" s="81">
        <f>IF(AN1750="","",IF(Q1750="Sin Factura","",AI1750-AJ1750))</f>
        <v/>
      </c>
      <c r="AM1750" s="81">
        <f>IF(AN1750="","",IF(Q1750="Sin Factura",0,P1750-IFERROR(INDEX(Facturas_Odoo!$H:$H, MATCH(Q1750, Facturas_Odoo!$B:$B, 0)), 0)))</f>
        <v/>
      </c>
      <c r="AN1750" s="79">
        <f>IF(AND(A1750="", J1750=""), "", IF(A1750&lt;&gt;"", VALUE(MID(A1750,2,LEN(A1750))), AN1749))</f>
        <v/>
      </c>
      <c r="AO1750" s="79">
        <f>IF(AN1750="","",IF(AD1750=0,"OK",_xlfn.LET(monedaPago, IF(AA1750="","USD",AA1750), limitePermitido, IFERROR(VLOOKUP(monedaPago, Configuración!$A$2:$B$3, 2, FALSE), 0.15), IF(AD1750&gt;limitePermitido, "ALERTA: EXCESO (" &amp; TEXT(limitePermitido, "0%") &amp; " máx)", "OK"))))</f>
        <v/>
      </c>
      <c r="AP1750" s="79">
        <f>IF(AN1750="","",IF(AE1750=0,"OK",_xlfn.LET(fechaPago, Z1750, fechaFactura, R1750, diasCredito, IF(E1750="Pago inmediato", 0, IFERROR(VALUE(MID(E1750, 1, SEARCH(" ", E1750)-1)),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50" s="79">
        <f>IF(AN1750="","",IF(AND(N1750&gt;0, AG1750&gt;0), IF(Configuración!$K$2="NO", "ALERTA: DESCUENTO DOBLE NO PERMITIDO", "OK"), "OK"))</f>
        <v/>
      </c>
      <c r="AR1750" s="79">
        <f>IF(AN1750="","",IF(OR(AO1750&lt;&gt;"OK", AP1750&lt;&gt;"OK", AQ1750&lt;&gt;"OK"), "⚠️ REVISAR", "OK"))</f>
        <v/>
      </c>
    </row>
    <row r="1751">
      <c r="A1751" s="79">
        <f>IF('Ordenes_Odoo'!A1751="","",'Ordenes_Odoo'!A1751)</f>
        <v/>
      </c>
      <c r="B1751" s="80">
        <f>IF('Ordenes_Odoo'!B1751="","",'Ordenes_Odoo'!B1751)</f>
        <v/>
      </c>
      <c r="C1751" s="79">
        <f>IF('Ordenes_Odoo'!C1751="","",'Ordenes_Odoo'!C1751)</f>
        <v/>
      </c>
      <c r="D1751" s="79">
        <f>IF('Ordenes_Odoo'!D1751="","",'Ordenes_Odoo'!D1751)</f>
        <v/>
      </c>
      <c r="E1751" s="79">
        <f>IF('Ordenes_Odoo'!E1751="","",'Ordenes_Odoo'!E1751)</f>
        <v/>
      </c>
      <c r="F1751" s="79">
        <f>IF('Ordenes_Odoo'!F1751="","",'Ordenes_Odoo'!F1751)</f>
        <v/>
      </c>
      <c r="G1751" s="79">
        <f>IF('Ordenes_Odoo'!G1751="","",'Ordenes_Odoo'!G1751)</f>
        <v/>
      </c>
      <c r="H1751" s="79">
        <f>IF('Ordenes_Odoo'!H1751="","",'Ordenes_Odoo'!H1751)</f>
        <v/>
      </c>
      <c r="I1751" s="79">
        <f>IF('Ordenes_Odoo'!I1751="","",'Ordenes_Odoo'!I1751)</f>
        <v/>
      </c>
      <c r="J1751" s="79">
        <f>IF('Ordenes_Odoo'!J1751="","",'Ordenes_Odoo'!J1751)</f>
        <v/>
      </c>
      <c r="K1751" s="81">
        <f>IF('Ordenes_Odoo'!K1751="","",'Ordenes_Odoo'!K1751)</f>
        <v/>
      </c>
      <c r="L1751" s="81">
        <f>IF('Ordenes_Odoo'!L1751="","",'Ordenes_Odoo'!L1751)</f>
        <v/>
      </c>
      <c r="M1751" s="79">
        <f>IF('Ordenes_Odoo'!M1751="","",'Ordenes_Odoo'!M1751)</f>
        <v/>
      </c>
      <c r="N1751" s="79">
        <f>IF('Ordenes_Odoo'!N1751="","",'Ordenes_Odoo'!N1751)</f>
        <v/>
      </c>
      <c r="O1751" s="81">
        <f>IF('Ordenes_Odoo'!O1751="","",'Ordenes_Odoo'!O1751)</f>
        <v/>
      </c>
      <c r="P1751" s="81">
        <f>IF('Ordenes_Odoo'!P1751="","",'Ordenes_Odoo'!P1751)</f>
        <v/>
      </c>
      <c r="Q1751" s="79">
        <f>IF(A1751="","",IFERROR(INDEX(Facturas_Odoo!$B:$B, MATCH(A1751, Facturas_Odoo!$D:$D, 0)), "Sin Factura"))</f>
        <v/>
      </c>
      <c r="R1751" s="80">
        <f>IF(Q1751="Sin Factura","",IFERROR(INDEX(Facturas_Odoo!$A:$A, MATCH(Q1751, Facturas_Odoo!$B:$B, 0)), ""))</f>
        <v/>
      </c>
      <c r="S1751" s="79">
        <f>IF(Q1751="Sin Factura","",IFERROR(_xlfn.XLOOKUP(1, (Facturas_Odoo!$D:$D=A1751) * (Facturas_Odoo!$K:$K=I1751), Facturas_Odoo!$L:$L, ""), ""))</f>
        <v/>
      </c>
      <c r="T1751" s="81">
        <f>IF(Q1751="Sin Factura",0,IFERROR(_xlfn.XLOOKUP(1, (Facturas_Odoo!$D:$D=A1751) * (Facturas_Odoo!$K:$K=I1751), Facturas_Odoo!$M:$M, 0), 0))</f>
        <v/>
      </c>
      <c r="U1751" s="79">
        <f>IF(Q1751="Sin Factura",0,IFERROR(_xlfn.XLOOKUP(1, (Facturas_Odoo!$D:$D=A1751) * (Facturas_Odoo!$K:$K=I1751), Facturas_Odoo!$N:$N, 0), 0))</f>
        <v/>
      </c>
      <c r="V1751" s="79">
        <f>IF(Q1751="Sin Factura",0,IFERROR(_xlfn.XLOOKUP(1, (Facturas_Odoo!$D:$D=A1751) * (Facturas_Odoo!$K:$K=I1751), Facturas_Odoo!$O:$O, 0), 0))</f>
        <v/>
      </c>
      <c r="W1751" s="81">
        <f>IF(Q1751="Sin Factura",0,IFERROR(_xlfn.XLOOKUP(1, (Facturas_Odoo!$D:$D=A1751) * (Facturas_Odoo!$K:$K=I1751), Facturas_Odoo!$Q:$Q, 0), 0))</f>
        <v/>
      </c>
      <c r="X1751" s="79">
        <f>IF(OR(Q1751="Sin Factura",Q1751=""),"",IFERROR(INDEX(Pagos_Odoo!$B:$B, MATCH(Q1751, Pagos_Odoo!$I:$I, 0)), "Sin Pago"))</f>
        <v/>
      </c>
      <c r="Y1751" s="79">
        <f>IF(X1751="Sin Pago","",IFERROR(INDEX(Pagos_Odoo!$C:$C, MATCH(X1751, Pagos_Odoo!$B:$B, 0)), ""))</f>
        <v/>
      </c>
      <c r="Z1751" s="80">
        <f>IF(X1751="Sin Pago","",IFERROR(INDEX(Pagos_Odoo!$A:$A, MATCH(X1751, Pagos_Odoo!$B:$B, 0)), ""))</f>
        <v/>
      </c>
      <c r="AA1751" s="79">
        <f>IF(X1751="Sin Pago","",IFERROR(INDEX(Pagos_Odoo!$F:$F, MATCH(X1751, Pagos_Odoo!$B:$B, 0)), ""))</f>
        <v/>
      </c>
      <c r="AB1751" s="81">
        <f>IF(X1751="Sin Pago",0,IFERROR(INDEX(Pagos_Odoo!$E:$E, MATCH(X1751, Pagos_Odoo!$B:$B, 0)), 0))</f>
        <v/>
      </c>
      <c r="AC1751" s="79">
        <f>IF(X1751="Sin Pago","",IFERROR(INDEX(Pagos_Odoo!$G:$G, MATCH(X1751, Pagos_Odoo!$B:$B, 0)), ""))</f>
        <v/>
      </c>
      <c r="AD1751" s="82" t="n">
        <v>0</v>
      </c>
      <c r="AE1751" s="82" t="n"/>
      <c r="AF1751" s="82" t="n"/>
      <c r="AG1751" s="82">
        <f>IF(AN1751="","",AD1751+AE1751+AF1751)</f>
        <v/>
      </c>
      <c r="AH1751" s="81">
        <f>IF(AN1751="","",P1751*(1-AG1751))</f>
        <v/>
      </c>
      <c r="AI1751" s="81">
        <f>IF(AN1751="","",IF(Q1751="Sin Factura",0,IFERROR(INDEX(Facturas_Odoo!$H:$H, MATCH(Q1751, Facturas_Odoo!$B:$B, 0)), 0)*(1-AG1751)))</f>
        <v/>
      </c>
      <c r="AJ1751" s="81">
        <f>IF(AN1751="","",_xlfn.LET(idVenta, AN1751&amp;"",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51" s="81">
        <f>IF(AN1751="","",AH1751-AJ1751)</f>
        <v/>
      </c>
      <c r="AL1751" s="81">
        <f>IF(AN1751="","",IF(Q1751="Sin Factura","",AI1751-AJ1751))</f>
        <v/>
      </c>
      <c r="AM1751" s="81">
        <f>IF(AN1751="","",IF(Q1751="Sin Factura",0,P1751-IFERROR(INDEX(Facturas_Odoo!$H:$H, MATCH(Q1751, Facturas_Odoo!$B:$B, 0)), 0)))</f>
        <v/>
      </c>
      <c r="AN1751" s="79">
        <f>IF(AND(A1751="", J1751=""), "", IF(A1751&lt;&gt;"", VALUE(MID(A1751,2,LEN(A1751))), AN1750))</f>
        <v/>
      </c>
      <c r="AO1751" s="79">
        <f>IF(AN1751="","",IF(AD1751=0,"OK",_xlfn.LET(monedaPago, IF(AA1751="","USD",AA1751), limitePermitido, IFERROR(VLOOKUP(monedaPago, Configuración!$A$2:$B$3, 2, FALSE), 0.15), IF(AD1751&gt;limitePermitido, "ALERTA: EXCESO (" &amp; TEXT(limitePermitido, "0%") &amp; " máx)", "OK"))))</f>
        <v/>
      </c>
      <c r="AP1751" s="79">
        <f>IF(AN1751="","",IF(AE1751=0,"OK",_xlfn.LET(fechaPago, Z1751, fechaFactura, R1751, diasCredito, IF(E1751="Pago inmediato", 0, IFERROR(VALUE(MID(E1751, 1, SEARCH(" ", E1751)-1)),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51" s="79">
        <f>IF(AN1751="","",IF(AND(N1751&gt;0, AG1751&gt;0), IF(Configuración!$K$2="NO", "ALERTA: DESCUENTO DOBLE NO PERMITIDO", "OK"), "OK"))</f>
        <v/>
      </c>
      <c r="AR1751" s="79">
        <f>IF(AN1751="","",IF(OR(AO1751&lt;&gt;"OK", AP1751&lt;&gt;"OK", AQ1751&lt;&gt;"OK"), "⚠️ REVISAR", "OK"))</f>
        <v/>
      </c>
    </row>
    <row r="1752">
      <c r="A1752" s="79">
        <f>IF('Ordenes_Odoo'!A1752="","",'Ordenes_Odoo'!A1752)</f>
        <v/>
      </c>
      <c r="B1752" s="80">
        <f>IF('Ordenes_Odoo'!B1752="","",'Ordenes_Odoo'!B1752)</f>
        <v/>
      </c>
      <c r="C1752" s="79">
        <f>IF('Ordenes_Odoo'!C1752="","",'Ordenes_Odoo'!C1752)</f>
        <v/>
      </c>
      <c r="D1752" s="79">
        <f>IF('Ordenes_Odoo'!D1752="","",'Ordenes_Odoo'!D1752)</f>
        <v/>
      </c>
      <c r="E1752" s="79">
        <f>IF('Ordenes_Odoo'!E1752="","",'Ordenes_Odoo'!E1752)</f>
        <v/>
      </c>
      <c r="F1752" s="79">
        <f>IF('Ordenes_Odoo'!F1752="","",'Ordenes_Odoo'!F1752)</f>
        <v/>
      </c>
      <c r="G1752" s="79">
        <f>IF('Ordenes_Odoo'!G1752="","",'Ordenes_Odoo'!G1752)</f>
        <v/>
      </c>
      <c r="H1752" s="79">
        <f>IF('Ordenes_Odoo'!H1752="","",'Ordenes_Odoo'!H1752)</f>
        <v/>
      </c>
      <c r="I1752" s="79">
        <f>IF('Ordenes_Odoo'!I1752="","",'Ordenes_Odoo'!I1752)</f>
        <v/>
      </c>
      <c r="J1752" s="79">
        <f>IF('Ordenes_Odoo'!J1752="","",'Ordenes_Odoo'!J1752)</f>
        <v/>
      </c>
      <c r="K1752" s="81">
        <f>IF('Ordenes_Odoo'!K1752="","",'Ordenes_Odoo'!K1752)</f>
        <v/>
      </c>
      <c r="L1752" s="81">
        <f>IF('Ordenes_Odoo'!L1752="","",'Ordenes_Odoo'!L1752)</f>
        <v/>
      </c>
      <c r="M1752" s="79">
        <f>IF('Ordenes_Odoo'!M1752="","",'Ordenes_Odoo'!M1752)</f>
        <v/>
      </c>
      <c r="N1752" s="79">
        <f>IF('Ordenes_Odoo'!N1752="","",'Ordenes_Odoo'!N1752)</f>
        <v/>
      </c>
      <c r="O1752" s="81">
        <f>IF('Ordenes_Odoo'!O1752="","",'Ordenes_Odoo'!O1752)</f>
        <v/>
      </c>
      <c r="P1752" s="81">
        <f>IF('Ordenes_Odoo'!P1752="","",'Ordenes_Odoo'!P1752)</f>
        <v/>
      </c>
      <c r="Q1752" s="79">
        <f>IF(A1752="","",IFERROR(INDEX(Facturas_Odoo!$B:$B, MATCH(A1752, Facturas_Odoo!$D:$D, 0)), "Sin Factura"))</f>
        <v/>
      </c>
      <c r="R1752" s="80">
        <f>IF(Q1752="Sin Factura","",IFERROR(INDEX(Facturas_Odoo!$A:$A, MATCH(Q1752, Facturas_Odoo!$B:$B, 0)), ""))</f>
        <v/>
      </c>
      <c r="S1752" s="79">
        <f>IF(Q1752="Sin Factura","",IFERROR(_xlfn.XLOOKUP(1, (Facturas_Odoo!$D:$D=A1752) * (Facturas_Odoo!$K:$K=I1752), Facturas_Odoo!$L:$L, ""), ""))</f>
        <v/>
      </c>
      <c r="T1752" s="81">
        <f>IF(Q1752="Sin Factura",0,IFERROR(_xlfn.XLOOKUP(1, (Facturas_Odoo!$D:$D=A1752) * (Facturas_Odoo!$K:$K=I1752), Facturas_Odoo!$M:$M, 0), 0))</f>
        <v/>
      </c>
      <c r="U1752" s="79">
        <f>IF(Q1752="Sin Factura",0,IFERROR(_xlfn.XLOOKUP(1, (Facturas_Odoo!$D:$D=A1752) * (Facturas_Odoo!$K:$K=I1752), Facturas_Odoo!$N:$N, 0), 0))</f>
        <v/>
      </c>
      <c r="V1752" s="79">
        <f>IF(Q1752="Sin Factura",0,IFERROR(_xlfn.XLOOKUP(1, (Facturas_Odoo!$D:$D=A1752) * (Facturas_Odoo!$K:$K=I1752), Facturas_Odoo!$O:$O, 0), 0))</f>
        <v/>
      </c>
      <c r="W1752" s="81">
        <f>IF(Q1752="Sin Factura",0,IFERROR(_xlfn.XLOOKUP(1, (Facturas_Odoo!$D:$D=A1752) * (Facturas_Odoo!$K:$K=I1752), Facturas_Odoo!$Q:$Q, 0), 0))</f>
        <v/>
      </c>
      <c r="X1752" s="79">
        <f>IF(OR(Q1752="Sin Factura",Q1752=""),"",IFERROR(INDEX(Pagos_Odoo!$B:$B, MATCH(Q1752, Pagos_Odoo!$I:$I, 0)), "Sin Pago"))</f>
        <v/>
      </c>
      <c r="Y1752" s="79">
        <f>IF(X1752="Sin Pago","",IFERROR(INDEX(Pagos_Odoo!$C:$C, MATCH(X1752, Pagos_Odoo!$B:$B, 0)), ""))</f>
        <v/>
      </c>
      <c r="Z1752" s="80">
        <f>IF(X1752="Sin Pago","",IFERROR(INDEX(Pagos_Odoo!$A:$A, MATCH(X1752, Pagos_Odoo!$B:$B, 0)), ""))</f>
        <v/>
      </c>
      <c r="AA1752" s="79">
        <f>IF(X1752="Sin Pago","",IFERROR(INDEX(Pagos_Odoo!$F:$F, MATCH(X1752, Pagos_Odoo!$B:$B, 0)), ""))</f>
        <v/>
      </c>
      <c r="AB1752" s="81">
        <f>IF(X1752="Sin Pago",0,IFERROR(INDEX(Pagos_Odoo!$E:$E, MATCH(X1752, Pagos_Odoo!$B:$B, 0)), 0))</f>
        <v/>
      </c>
      <c r="AC1752" s="79">
        <f>IF(X1752="Sin Pago","",IFERROR(INDEX(Pagos_Odoo!$G:$G, MATCH(X1752, Pagos_Odoo!$B:$B, 0)), ""))</f>
        <v/>
      </c>
      <c r="AD1752" s="82" t="n">
        <v>0</v>
      </c>
      <c r="AE1752" s="82" t="n"/>
      <c r="AF1752" s="82" t="n"/>
      <c r="AG1752" s="82">
        <f>IF(AN1752="","",AD1752+AE1752+AF1752)</f>
        <v/>
      </c>
      <c r="AH1752" s="81">
        <f>IF(AN1752="","",P1752*(1-AG1752))</f>
        <v/>
      </c>
      <c r="AI1752" s="81">
        <f>IF(AN1752="","",IF(Q1752="Sin Factura",0,IFERROR(INDEX(Facturas_Odoo!$H:$H, MATCH(Q1752, Facturas_Odoo!$B:$B, 0)), 0)*(1-AG1752)))</f>
        <v/>
      </c>
      <c r="AJ1752" s="81">
        <f>IF(AN1752="","",_xlfn.LET(idVenta, AN1752&amp;"",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52" s="81">
        <f>IF(AN1752="","",AH1752-AJ1752)</f>
        <v/>
      </c>
      <c r="AL1752" s="81">
        <f>IF(AN1752="","",IF(Q1752="Sin Factura","",AI1752-AJ1752))</f>
        <v/>
      </c>
      <c r="AM1752" s="81">
        <f>IF(AN1752="","",IF(Q1752="Sin Factura",0,P1752-IFERROR(INDEX(Facturas_Odoo!$H:$H, MATCH(Q1752, Facturas_Odoo!$B:$B, 0)), 0)))</f>
        <v/>
      </c>
      <c r="AN1752" s="79">
        <f>IF(AND(A1752="", J1752=""), "", IF(A1752&lt;&gt;"", VALUE(MID(A1752,2,LEN(A1752))), AN1751))</f>
        <v/>
      </c>
      <c r="AO1752" s="79">
        <f>IF(AN1752="","",IF(AD1752=0,"OK",_xlfn.LET(monedaPago, IF(AA1752="","USD",AA1752), limitePermitido, IFERROR(VLOOKUP(monedaPago, Configuración!$A$2:$B$3, 2, FALSE), 0.15), IF(AD1752&gt;limitePermitido, "ALERTA: EXCESO (" &amp; TEXT(limitePermitido, "0%") &amp; " máx)", "OK"))))</f>
        <v/>
      </c>
      <c r="AP1752" s="79">
        <f>IF(AN1752="","",IF(AE1752=0,"OK",_xlfn.LET(fechaPago, Z1752, fechaFactura, R1752, diasCredito, IF(E1752="Pago inmediato", 0, IFERROR(VALUE(MID(E1752, 1, SEARCH(" ", E1752)-1)),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52" s="79">
        <f>IF(AN1752="","",IF(AND(N1752&gt;0, AG1752&gt;0), IF(Configuración!$K$2="NO", "ALERTA: DESCUENTO DOBLE NO PERMITIDO", "OK"), "OK"))</f>
        <v/>
      </c>
      <c r="AR1752" s="79">
        <f>IF(AN1752="","",IF(OR(AO1752&lt;&gt;"OK", AP1752&lt;&gt;"OK", AQ1752&lt;&gt;"OK"), "⚠️ REVISAR", "OK"))</f>
        <v/>
      </c>
    </row>
    <row r="1753">
      <c r="A1753" s="79">
        <f>IF('Ordenes_Odoo'!A1753="","",'Ordenes_Odoo'!A1753)</f>
        <v/>
      </c>
      <c r="B1753" s="80">
        <f>IF('Ordenes_Odoo'!B1753="","",'Ordenes_Odoo'!B1753)</f>
        <v/>
      </c>
      <c r="C1753" s="79">
        <f>IF('Ordenes_Odoo'!C1753="","",'Ordenes_Odoo'!C1753)</f>
        <v/>
      </c>
      <c r="D1753" s="79">
        <f>IF('Ordenes_Odoo'!D1753="","",'Ordenes_Odoo'!D1753)</f>
        <v/>
      </c>
      <c r="E1753" s="79">
        <f>IF('Ordenes_Odoo'!E1753="","",'Ordenes_Odoo'!E1753)</f>
        <v/>
      </c>
      <c r="F1753" s="79">
        <f>IF('Ordenes_Odoo'!F1753="","",'Ordenes_Odoo'!F1753)</f>
        <v/>
      </c>
      <c r="G1753" s="79">
        <f>IF('Ordenes_Odoo'!G1753="","",'Ordenes_Odoo'!G1753)</f>
        <v/>
      </c>
      <c r="H1753" s="79">
        <f>IF('Ordenes_Odoo'!H1753="","",'Ordenes_Odoo'!H1753)</f>
        <v/>
      </c>
      <c r="I1753" s="79">
        <f>IF('Ordenes_Odoo'!I1753="","",'Ordenes_Odoo'!I1753)</f>
        <v/>
      </c>
      <c r="J1753" s="79">
        <f>IF('Ordenes_Odoo'!J1753="","",'Ordenes_Odoo'!J1753)</f>
        <v/>
      </c>
      <c r="K1753" s="81">
        <f>IF('Ordenes_Odoo'!K1753="","",'Ordenes_Odoo'!K1753)</f>
        <v/>
      </c>
      <c r="L1753" s="81">
        <f>IF('Ordenes_Odoo'!L1753="","",'Ordenes_Odoo'!L1753)</f>
        <v/>
      </c>
      <c r="M1753" s="79">
        <f>IF('Ordenes_Odoo'!M1753="","",'Ordenes_Odoo'!M1753)</f>
        <v/>
      </c>
      <c r="N1753" s="79">
        <f>IF('Ordenes_Odoo'!N1753="","",'Ordenes_Odoo'!N1753)</f>
        <v/>
      </c>
      <c r="O1753" s="81">
        <f>IF('Ordenes_Odoo'!O1753="","",'Ordenes_Odoo'!O1753)</f>
        <v/>
      </c>
      <c r="P1753" s="81">
        <f>IF('Ordenes_Odoo'!P1753="","",'Ordenes_Odoo'!P1753)</f>
        <v/>
      </c>
      <c r="Q1753" s="79">
        <f>IF(A1753="","",IFERROR(INDEX(Facturas_Odoo!$B:$B, MATCH(A1753, Facturas_Odoo!$D:$D, 0)), "Sin Factura"))</f>
        <v/>
      </c>
      <c r="R1753" s="80">
        <f>IF(Q1753="Sin Factura","",IFERROR(INDEX(Facturas_Odoo!$A:$A, MATCH(Q1753, Facturas_Odoo!$B:$B, 0)), ""))</f>
        <v/>
      </c>
      <c r="S1753" s="79">
        <f>IF(Q1753="Sin Factura","",IFERROR(_xlfn.XLOOKUP(1, (Facturas_Odoo!$D:$D=A1753) * (Facturas_Odoo!$K:$K=I1753), Facturas_Odoo!$L:$L, ""), ""))</f>
        <v/>
      </c>
      <c r="T1753" s="81">
        <f>IF(Q1753="Sin Factura",0,IFERROR(_xlfn.XLOOKUP(1, (Facturas_Odoo!$D:$D=A1753) * (Facturas_Odoo!$K:$K=I1753), Facturas_Odoo!$M:$M, 0), 0))</f>
        <v/>
      </c>
      <c r="U1753" s="79">
        <f>IF(Q1753="Sin Factura",0,IFERROR(_xlfn.XLOOKUP(1, (Facturas_Odoo!$D:$D=A1753) * (Facturas_Odoo!$K:$K=I1753), Facturas_Odoo!$N:$N, 0), 0))</f>
        <v/>
      </c>
      <c r="V1753" s="79">
        <f>IF(Q1753="Sin Factura",0,IFERROR(_xlfn.XLOOKUP(1, (Facturas_Odoo!$D:$D=A1753) * (Facturas_Odoo!$K:$K=I1753), Facturas_Odoo!$O:$O, 0), 0))</f>
        <v/>
      </c>
      <c r="W1753" s="81">
        <f>IF(Q1753="Sin Factura",0,IFERROR(_xlfn.XLOOKUP(1, (Facturas_Odoo!$D:$D=A1753) * (Facturas_Odoo!$K:$K=I1753), Facturas_Odoo!$Q:$Q, 0), 0))</f>
        <v/>
      </c>
      <c r="X1753" s="79">
        <f>IF(OR(Q1753="Sin Factura",Q1753=""),"",IFERROR(INDEX(Pagos_Odoo!$B:$B, MATCH(Q1753, Pagos_Odoo!$I:$I, 0)), "Sin Pago"))</f>
        <v/>
      </c>
      <c r="Y1753" s="79">
        <f>IF(X1753="Sin Pago","",IFERROR(INDEX(Pagos_Odoo!$C:$C, MATCH(X1753, Pagos_Odoo!$B:$B, 0)), ""))</f>
        <v/>
      </c>
      <c r="Z1753" s="80">
        <f>IF(X1753="Sin Pago","",IFERROR(INDEX(Pagos_Odoo!$A:$A, MATCH(X1753, Pagos_Odoo!$B:$B, 0)), ""))</f>
        <v/>
      </c>
      <c r="AA1753" s="79">
        <f>IF(X1753="Sin Pago","",IFERROR(INDEX(Pagos_Odoo!$F:$F, MATCH(X1753, Pagos_Odoo!$B:$B, 0)), ""))</f>
        <v/>
      </c>
      <c r="AB1753" s="81">
        <f>IF(X1753="Sin Pago",0,IFERROR(INDEX(Pagos_Odoo!$E:$E, MATCH(X1753, Pagos_Odoo!$B:$B, 0)), 0))</f>
        <v/>
      </c>
      <c r="AC1753" s="79">
        <f>IF(X1753="Sin Pago","",IFERROR(INDEX(Pagos_Odoo!$G:$G, MATCH(X1753, Pagos_Odoo!$B:$B, 0)), ""))</f>
        <v/>
      </c>
      <c r="AD1753" s="82" t="n">
        <v>0</v>
      </c>
      <c r="AE1753" s="82" t="n"/>
      <c r="AF1753" s="82" t="n"/>
      <c r="AG1753" s="82">
        <f>IF(AN1753="","",AD1753+AE1753+AF1753)</f>
        <v/>
      </c>
      <c r="AH1753" s="81">
        <f>IF(AN1753="","",P1753*(1-AG1753))</f>
        <v/>
      </c>
      <c r="AI1753" s="81">
        <f>IF(AN1753="","",IF(Q1753="Sin Factura",0,IFERROR(INDEX(Facturas_Odoo!$H:$H, MATCH(Q1753, Facturas_Odoo!$B:$B, 0)), 0)*(1-AG1753)))</f>
        <v/>
      </c>
      <c r="AJ1753" s="81">
        <f>IF(AN1753="","",_xlfn.LET(idVenta, AN1753&amp;"",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53" s="81">
        <f>IF(AN1753="","",AH1753-AJ1753)</f>
        <v/>
      </c>
      <c r="AL1753" s="81">
        <f>IF(AN1753="","",IF(Q1753="Sin Factura","",AI1753-AJ1753))</f>
        <v/>
      </c>
      <c r="AM1753" s="81">
        <f>IF(AN1753="","",IF(Q1753="Sin Factura",0,P1753-IFERROR(INDEX(Facturas_Odoo!$H:$H, MATCH(Q1753, Facturas_Odoo!$B:$B, 0)), 0)))</f>
        <v/>
      </c>
      <c r="AN1753" s="79">
        <f>IF(AND(A1753="", J1753=""), "", IF(A1753&lt;&gt;"", VALUE(MID(A1753,2,LEN(A1753))), AN1752))</f>
        <v/>
      </c>
      <c r="AO1753" s="79">
        <f>IF(AN1753="","",IF(AD1753=0,"OK",_xlfn.LET(monedaPago, IF(AA1753="","USD",AA1753), limitePermitido, IFERROR(VLOOKUP(monedaPago, Configuración!$A$2:$B$3, 2, FALSE), 0.15), IF(AD1753&gt;limitePermitido, "ALERTA: EXCESO (" &amp; TEXT(limitePermitido, "0%") &amp; " máx)", "OK"))))</f>
        <v/>
      </c>
      <c r="AP1753" s="79">
        <f>IF(AN1753="","",IF(AE1753=0,"OK",_xlfn.LET(fechaPago, Z1753, fechaFactura, R1753, diasCredito, IF(E1753="Pago inmediato", 0, IFERROR(VALUE(MID(E1753, 1, SEARCH(" ", E1753)-1)),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53" s="79">
        <f>IF(AN1753="","",IF(AND(N1753&gt;0, AG1753&gt;0), IF(Configuración!$K$2="NO", "ALERTA: DESCUENTO DOBLE NO PERMITIDO", "OK"), "OK"))</f>
        <v/>
      </c>
      <c r="AR1753" s="79">
        <f>IF(AN1753="","",IF(OR(AO1753&lt;&gt;"OK", AP1753&lt;&gt;"OK", AQ1753&lt;&gt;"OK"), "⚠️ REVISAR", "OK"))</f>
        <v/>
      </c>
    </row>
    <row r="1754">
      <c r="A1754" s="79">
        <f>IF('Ordenes_Odoo'!A1754="","",'Ordenes_Odoo'!A1754)</f>
        <v/>
      </c>
      <c r="B1754" s="80">
        <f>IF('Ordenes_Odoo'!B1754="","",'Ordenes_Odoo'!B1754)</f>
        <v/>
      </c>
      <c r="C1754" s="79">
        <f>IF('Ordenes_Odoo'!C1754="","",'Ordenes_Odoo'!C1754)</f>
        <v/>
      </c>
      <c r="D1754" s="79">
        <f>IF('Ordenes_Odoo'!D1754="","",'Ordenes_Odoo'!D1754)</f>
        <v/>
      </c>
      <c r="E1754" s="79">
        <f>IF('Ordenes_Odoo'!E1754="","",'Ordenes_Odoo'!E1754)</f>
        <v/>
      </c>
      <c r="F1754" s="79">
        <f>IF('Ordenes_Odoo'!F1754="","",'Ordenes_Odoo'!F1754)</f>
        <v/>
      </c>
      <c r="G1754" s="79">
        <f>IF('Ordenes_Odoo'!G1754="","",'Ordenes_Odoo'!G1754)</f>
        <v/>
      </c>
      <c r="H1754" s="79">
        <f>IF('Ordenes_Odoo'!H1754="","",'Ordenes_Odoo'!H1754)</f>
        <v/>
      </c>
      <c r="I1754" s="79">
        <f>IF('Ordenes_Odoo'!I1754="","",'Ordenes_Odoo'!I1754)</f>
        <v/>
      </c>
      <c r="J1754" s="79">
        <f>IF('Ordenes_Odoo'!J1754="","",'Ordenes_Odoo'!J1754)</f>
        <v/>
      </c>
      <c r="K1754" s="81">
        <f>IF('Ordenes_Odoo'!K1754="","",'Ordenes_Odoo'!K1754)</f>
        <v/>
      </c>
      <c r="L1754" s="81">
        <f>IF('Ordenes_Odoo'!L1754="","",'Ordenes_Odoo'!L1754)</f>
        <v/>
      </c>
      <c r="M1754" s="79">
        <f>IF('Ordenes_Odoo'!M1754="","",'Ordenes_Odoo'!M1754)</f>
        <v/>
      </c>
      <c r="N1754" s="79">
        <f>IF('Ordenes_Odoo'!N1754="","",'Ordenes_Odoo'!N1754)</f>
        <v/>
      </c>
      <c r="O1754" s="81">
        <f>IF('Ordenes_Odoo'!O1754="","",'Ordenes_Odoo'!O1754)</f>
        <v/>
      </c>
      <c r="P1754" s="81">
        <f>IF('Ordenes_Odoo'!P1754="","",'Ordenes_Odoo'!P1754)</f>
        <v/>
      </c>
      <c r="Q1754" s="79">
        <f>IF(A1754="","",IFERROR(INDEX(Facturas_Odoo!$B:$B, MATCH(A1754, Facturas_Odoo!$D:$D, 0)), "Sin Factura"))</f>
        <v/>
      </c>
      <c r="R1754" s="80">
        <f>IF(Q1754="Sin Factura","",IFERROR(INDEX(Facturas_Odoo!$A:$A, MATCH(Q1754, Facturas_Odoo!$B:$B, 0)), ""))</f>
        <v/>
      </c>
      <c r="S1754" s="79">
        <f>IF(Q1754="Sin Factura","",IFERROR(_xlfn.XLOOKUP(1, (Facturas_Odoo!$D:$D=A1754) * (Facturas_Odoo!$K:$K=I1754), Facturas_Odoo!$L:$L, ""), ""))</f>
        <v/>
      </c>
      <c r="T1754" s="81">
        <f>IF(Q1754="Sin Factura",0,IFERROR(_xlfn.XLOOKUP(1, (Facturas_Odoo!$D:$D=A1754) * (Facturas_Odoo!$K:$K=I1754), Facturas_Odoo!$M:$M, 0), 0))</f>
        <v/>
      </c>
      <c r="U1754" s="79">
        <f>IF(Q1754="Sin Factura",0,IFERROR(_xlfn.XLOOKUP(1, (Facturas_Odoo!$D:$D=A1754) * (Facturas_Odoo!$K:$K=I1754), Facturas_Odoo!$N:$N, 0), 0))</f>
        <v/>
      </c>
      <c r="V1754" s="79">
        <f>IF(Q1754="Sin Factura",0,IFERROR(_xlfn.XLOOKUP(1, (Facturas_Odoo!$D:$D=A1754) * (Facturas_Odoo!$K:$K=I1754), Facturas_Odoo!$O:$O, 0), 0))</f>
        <v/>
      </c>
      <c r="W1754" s="81">
        <f>IF(Q1754="Sin Factura",0,IFERROR(_xlfn.XLOOKUP(1, (Facturas_Odoo!$D:$D=A1754) * (Facturas_Odoo!$K:$K=I1754), Facturas_Odoo!$Q:$Q, 0), 0))</f>
        <v/>
      </c>
      <c r="X1754" s="79">
        <f>IF(OR(Q1754="Sin Factura",Q1754=""),"",IFERROR(INDEX(Pagos_Odoo!$B:$B, MATCH(Q1754, Pagos_Odoo!$I:$I, 0)), "Sin Pago"))</f>
        <v/>
      </c>
      <c r="Y1754" s="79">
        <f>IF(X1754="Sin Pago","",IFERROR(INDEX(Pagos_Odoo!$C:$C, MATCH(X1754, Pagos_Odoo!$B:$B, 0)), ""))</f>
        <v/>
      </c>
      <c r="Z1754" s="80">
        <f>IF(X1754="Sin Pago","",IFERROR(INDEX(Pagos_Odoo!$A:$A, MATCH(X1754, Pagos_Odoo!$B:$B, 0)), ""))</f>
        <v/>
      </c>
      <c r="AA1754" s="79">
        <f>IF(X1754="Sin Pago","",IFERROR(INDEX(Pagos_Odoo!$F:$F, MATCH(X1754, Pagos_Odoo!$B:$B, 0)), ""))</f>
        <v/>
      </c>
      <c r="AB1754" s="81">
        <f>IF(X1754="Sin Pago",0,IFERROR(INDEX(Pagos_Odoo!$E:$E, MATCH(X1754, Pagos_Odoo!$B:$B, 0)), 0))</f>
        <v/>
      </c>
      <c r="AC1754" s="79">
        <f>IF(X1754="Sin Pago","",IFERROR(INDEX(Pagos_Odoo!$G:$G, MATCH(X1754, Pagos_Odoo!$B:$B, 0)), ""))</f>
        <v/>
      </c>
      <c r="AD1754" s="82" t="n">
        <v>0</v>
      </c>
      <c r="AE1754" s="82" t="n"/>
      <c r="AF1754" s="82" t="n"/>
      <c r="AG1754" s="82">
        <f>IF(AN1754="","",AD1754+AE1754+AF1754)</f>
        <v/>
      </c>
      <c r="AH1754" s="81">
        <f>IF(AN1754="","",P1754*(1-AG1754))</f>
        <v/>
      </c>
      <c r="AI1754" s="81">
        <f>IF(AN1754="","",IF(Q1754="Sin Factura",0,IFERROR(INDEX(Facturas_Odoo!$H:$H, MATCH(Q1754, Facturas_Odoo!$B:$B, 0)), 0)*(1-AG1754)))</f>
        <v/>
      </c>
      <c r="AJ1754" s="81">
        <f>IF(AN1754="","",_xlfn.LET(idVenta, AN1754&amp;"",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54" s="81">
        <f>IF(AN1754="","",AH1754-AJ1754)</f>
        <v/>
      </c>
      <c r="AL1754" s="81">
        <f>IF(AN1754="","",IF(Q1754="Sin Factura","",AI1754-AJ1754))</f>
        <v/>
      </c>
      <c r="AM1754" s="81">
        <f>IF(AN1754="","",IF(Q1754="Sin Factura",0,P1754-IFERROR(INDEX(Facturas_Odoo!$H:$H, MATCH(Q1754, Facturas_Odoo!$B:$B, 0)), 0)))</f>
        <v/>
      </c>
      <c r="AN1754" s="79">
        <f>IF(AND(A1754="", J1754=""), "", IF(A1754&lt;&gt;"", VALUE(MID(A1754,2,LEN(A1754))), AN1753))</f>
        <v/>
      </c>
      <c r="AO1754" s="79">
        <f>IF(AN1754="","",IF(AD1754=0,"OK",_xlfn.LET(monedaPago, IF(AA1754="","USD",AA1754), limitePermitido, IFERROR(VLOOKUP(monedaPago, Configuración!$A$2:$B$3, 2, FALSE), 0.15), IF(AD1754&gt;limitePermitido, "ALERTA: EXCESO (" &amp; TEXT(limitePermitido, "0%") &amp; " máx)", "OK"))))</f>
        <v/>
      </c>
      <c r="AP1754" s="79">
        <f>IF(AN1754="","",IF(AE1754=0,"OK",_xlfn.LET(fechaPago, Z1754, fechaFactura, R1754, diasCredito, IF(E1754="Pago inmediato", 0, IFERROR(VALUE(MID(E1754, 1, SEARCH(" ", E1754)-1)),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54" s="79">
        <f>IF(AN1754="","",IF(AND(N1754&gt;0, AG1754&gt;0), IF(Configuración!$K$2="NO", "ALERTA: DESCUENTO DOBLE NO PERMITIDO", "OK"), "OK"))</f>
        <v/>
      </c>
      <c r="AR1754" s="79">
        <f>IF(AN1754="","",IF(OR(AO1754&lt;&gt;"OK", AP1754&lt;&gt;"OK", AQ1754&lt;&gt;"OK"), "⚠️ REVISAR", "OK"))</f>
        <v/>
      </c>
    </row>
    <row r="1755">
      <c r="A1755" s="79">
        <f>IF('Ordenes_Odoo'!A1755="","",'Ordenes_Odoo'!A1755)</f>
        <v/>
      </c>
      <c r="B1755" s="80">
        <f>IF('Ordenes_Odoo'!B1755="","",'Ordenes_Odoo'!B1755)</f>
        <v/>
      </c>
      <c r="C1755" s="79">
        <f>IF('Ordenes_Odoo'!C1755="","",'Ordenes_Odoo'!C1755)</f>
        <v/>
      </c>
      <c r="D1755" s="79">
        <f>IF('Ordenes_Odoo'!D1755="","",'Ordenes_Odoo'!D1755)</f>
        <v/>
      </c>
      <c r="E1755" s="79">
        <f>IF('Ordenes_Odoo'!E1755="","",'Ordenes_Odoo'!E1755)</f>
        <v/>
      </c>
      <c r="F1755" s="79">
        <f>IF('Ordenes_Odoo'!F1755="","",'Ordenes_Odoo'!F1755)</f>
        <v/>
      </c>
      <c r="G1755" s="79">
        <f>IF('Ordenes_Odoo'!G1755="","",'Ordenes_Odoo'!G1755)</f>
        <v/>
      </c>
      <c r="H1755" s="79">
        <f>IF('Ordenes_Odoo'!H1755="","",'Ordenes_Odoo'!H1755)</f>
        <v/>
      </c>
      <c r="I1755" s="79">
        <f>IF('Ordenes_Odoo'!I1755="","",'Ordenes_Odoo'!I1755)</f>
        <v/>
      </c>
      <c r="J1755" s="79">
        <f>IF('Ordenes_Odoo'!J1755="","",'Ordenes_Odoo'!J1755)</f>
        <v/>
      </c>
      <c r="K1755" s="81">
        <f>IF('Ordenes_Odoo'!K1755="","",'Ordenes_Odoo'!K1755)</f>
        <v/>
      </c>
      <c r="L1755" s="81">
        <f>IF('Ordenes_Odoo'!L1755="","",'Ordenes_Odoo'!L1755)</f>
        <v/>
      </c>
      <c r="M1755" s="79">
        <f>IF('Ordenes_Odoo'!M1755="","",'Ordenes_Odoo'!M1755)</f>
        <v/>
      </c>
      <c r="N1755" s="79">
        <f>IF('Ordenes_Odoo'!N1755="","",'Ordenes_Odoo'!N1755)</f>
        <v/>
      </c>
      <c r="O1755" s="81">
        <f>IF('Ordenes_Odoo'!O1755="","",'Ordenes_Odoo'!O1755)</f>
        <v/>
      </c>
      <c r="P1755" s="81">
        <f>IF('Ordenes_Odoo'!P1755="","",'Ordenes_Odoo'!P1755)</f>
        <v/>
      </c>
      <c r="Q1755" s="79">
        <f>IF(A1755="","",IFERROR(INDEX(Facturas_Odoo!$B:$B, MATCH(A1755, Facturas_Odoo!$D:$D, 0)), "Sin Factura"))</f>
        <v/>
      </c>
      <c r="R1755" s="80">
        <f>IF(Q1755="Sin Factura","",IFERROR(INDEX(Facturas_Odoo!$A:$A, MATCH(Q1755, Facturas_Odoo!$B:$B, 0)), ""))</f>
        <v/>
      </c>
      <c r="S1755" s="79">
        <f>IF(Q1755="Sin Factura","",IFERROR(_xlfn.XLOOKUP(1, (Facturas_Odoo!$D:$D=A1755) * (Facturas_Odoo!$K:$K=I1755), Facturas_Odoo!$L:$L, ""), ""))</f>
        <v/>
      </c>
      <c r="T1755" s="81">
        <f>IF(Q1755="Sin Factura",0,IFERROR(_xlfn.XLOOKUP(1, (Facturas_Odoo!$D:$D=A1755) * (Facturas_Odoo!$K:$K=I1755), Facturas_Odoo!$M:$M, 0), 0))</f>
        <v/>
      </c>
      <c r="U1755" s="79">
        <f>IF(Q1755="Sin Factura",0,IFERROR(_xlfn.XLOOKUP(1, (Facturas_Odoo!$D:$D=A1755) * (Facturas_Odoo!$K:$K=I1755), Facturas_Odoo!$N:$N, 0), 0))</f>
        <v/>
      </c>
      <c r="V1755" s="79">
        <f>IF(Q1755="Sin Factura",0,IFERROR(_xlfn.XLOOKUP(1, (Facturas_Odoo!$D:$D=A1755) * (Facturas_Odoo!$K:$K=I1755), Facturas_Odoo!$O:$O, 0), 0))</f>
        <v/>
      </c>
      <c r="W1755" s="81">
        <f>IF(Q1755="Sin Factura",0,IFERROR(_xlfn.XLOOKUP(1, (Facturas_Odoo!$D:$D=A1755) * (Facturas_Odoo!$K:$K=I1755), Facturas_Odoo!$Q:$Q, 0), 0))</f>
        <v/>
      </c>
      <c r="X1755" s="79">
        <f>IF(OR(Q1755="Sin Factura",Q1755=""),"",IFERROR(INDEX(Pagos_Odoo!$B:$B, MATCH(Q1755, Pagos_Odoo!$I:$I, 0)), "Sin Pago"))</f>
        <v/>
      </c>
      <c r="Y1755" s="79">
        <f>IF(X1755="Sin Pago","",IFERROR(INDEX(Pagos_Odoo!$C:$C, MATCH(X1755, Pagos_Odoo!$B:$B, 0)), ""))</f>
        <v/>
      </c>
      <c r="Z1755" s="80">
        <f>IF(X1755="Sin Pago","",IFERROR(INDEX(Pagos_Odoo!$A:$A, MATCH(X1755, Pagos_Odoo!$B:$B, 0)), ""))</f>
        <v/>
      </c>
      <c r="AA1755" s="79">
        <f>IF(X1755="Sin Pago","",IFERROR(INDEX(Pagos_Odoo!$F:$F, MATCH(X1755, Pagos_Odoo!$B:$B, 0)), ""))</f>
        <v/>
      </c>
      <c r="AB1755" s="81">
        <f>IF(X1755="Sin Pago",0,IFERROR(INDEX(Pagos_Odoo!$E:$E, MATCH(X1755, Pagos_Odoo!$B:$B, 0)), 0))</f>
        <v/>
      </c>
      <c r="AC1755" s="79">
        <f>IF(X1755="Sin Pago","",IFERROR(INDEX(Pagos_Odoo!$G:$G, MATCH(X1755, Pagos_Odoo!$B:$B, 0)), ""))</f>
        <v/>
      </c>
      <c r="AD1755" s="82" t="n">
        <v>0</v>
      </c>
      <c r="AE1755" s="82" t="n"/>
      <c r="AF1755" s="82" t="n"/>
      <c r="AG1755" s="82">
        <f>IF(AN1755="","",AD1755+AE1755+AF1755)</f>
        <v/>
      </c>
      <c r="AH1755" s="81">
        <f>IF(AN1755="","",P1755*(1-AG1755))</f>
        <v/>
      </c>
      <c r="AI1755" s="81">
        <f>IF(AN1755="","",IF(Q1755="Sin Factura",0,IFERROR(INDEX(Facturas_Odoo!$H:$H, MATCH(Q1755, Facturas_Odoo!$B:$B, 0)), 0)*(1-AG1755)))</f>
        <v/>
      </c>
      <c r="AJ1755" s="81">
        <f>IF(AN1755="","",_xlfn.LET(idVenta, AN1755&amp;"",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55" s="81">
        <f>IF(AN1755="","",AH1755-AJ1755)</f>
        <v/>
      </c>
      <c r="AL1755" s="81">
        <f>IF(AN1755="","",IF(Q1755="Sin Factura","",AI1755-AJ1755))</f>
        <v/>
      </c>
      <c r="AM1755" s="81">
        <f>IF(AN1755="","",IF(Q1755="Sin Factura",0,P1755-IFERROR(INDEX(Facturas_Odoo!$H:$H, MATCH(Q1755, Facturas_Odoo!$B:$B, 0)), 0)))</f>
        <v/>
      </c>
      <c r="AN1755" s="79">
        <f>IF(AND(A1755="", J1755=""), "", IF(A1755&lt;&gt;"", VALUE(MID(A1755,2,LEN(A1755))), AN1754))</f>
        <v/>
      </c>
      <c r="AO1755" s="79">
        <f>IF(AN1755="","",IF(AD1755=0,"OK",_xlfn.LET(monedaPago, IF(AA1755="","USD",AA1755), limitePermitido, IFERROR(VLOOKUP(monedaPago, Configuración!$A$2:$B$3, 2, FALSE), 0.15), IF(AD1755&gt;limitePermitido, "ALERTA: EXCESO (" &amp; TEXT(limitePermitido, "0%") &amp; " máx)", "OK"))))</f>
        <v/>
      </c>
      <c r="AP1755" s="79">
        <f>IF(AN1755="","",IF(AE1755=0,"OK",_xlfn.LET(fechaPago, Z1755, fechaFactura, R1755, diasCredito, IF(E1755="Pago inmediato", 0, IFERROR(VALUE(MID(E1755, 1, SEARCH(" ", E1755)-1)),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55" s="79">
        <f>IF(AN1755="","",IF(AND(N1755&gt;0, AG1755&gt;0), IF(Configuración!$K$2="NO", "ALERTA: DESCUENTO DOBLE NO PERMITIDO", "OK"), "OK"))</f>
        <v/>
      </c>
      <c r="AR1755" s="79">
        <f>IF(AN1755="","",IF(OR(AO1755&lt;&gt;"OK", AP1755&lt;&gt;"OK", AQ1755&lt;&gt;"OK"), "⚠️ REVISAR", "OK"))</f>
        <v/>
      </c>
    </row>
    <row r="1756">
      <c r="A1756" s="79">
        <f>IF('Ordenes_Odoo'!A1756="","",'Ordenes_Odoo'!A1756)</f>
        <v/>
      </c>
      <c r="B1756" s="80">
        <f>IF('Ordenes_Odoo'!B1756="","",'Ordenes_Odoo'!B1756)</f>
        <v/>
      </c>
      <c r="C1756" s="79">
        <f>IF('Ordenes_Odoo'!C1756="","",'Ordenes_Odoo'!C1756)</f>
        <v/>
      </c>
      <c r="D1756" s="79">
        <f>IF('Ordenes_Odoo'!D1756="","",'Ordenes_Odoo'!D1756)</f>
        <v/>
      </c>
      <c r="E1756" s="79">
        <f>IF('Ordenes_Odoo'!E1756="","",'Ordenes_Odoo'!E1756)</f>
        <v/>
      </c>
      <c r="F1756" s="79">
        <f>IF('Ordenes_Odoo'!F1756="","",'Ordenes_Odoo'!F1756)</f>
        <v/>
      </c>
      <c r="G1756" s="79">
        <f>IF('Ordenes_Odoo'!G1756="","",'Ordenes_Odoo'!G1756)</f>
        <v/>
      </c>
      <c r="H1756" s="79">
        <f>IF('Ordenes_Odoo'!H1756="","",'Ordenes_Odoo'!H1756)</f>
        <v/>
      </c>
      <c r="I1756" s="79">
        <f>IF('Ordenes_Odoo'!I1756="","",'Ordenes_Odoo'!I1756)</f>
        <v/>
      </c>
      <c r="J1756" s="79">
        <f>IF('Ordenes_Odoo'!J1756="","",'Ordenes_Odoo'!J1756)</f>
        <v/>
      </c>
      <c r="K1756" s="81">
        <f>IF('Ordenes_Odoo'!K1756="","",'Ordenes_Odoo'!K1756)</f>
        <v/>
      </c>
      <c r="L1756" s="81">
        <f>IF('Ordenes_Odoo'!L1756="","",'Ordenes_Odoo'!L1756)</f>
        <v/>
      </c>
      <c r="M1756" s="79">
        <f>IF('Ordenes_Odoo'!M1756="","",'Ordenes_Odoo'!M1756)</f>
        <v/>
      </c>
      <c r="N1756" s="79">
        <f>IF('Ordenes_Odoo'!N1756="","",'Ordenes_Odoo'!N1756)</f>
        <v/>
      </c>
      <c r="O1756" s="81">
        <f>IF('Ordenes_Odoo'!O1756="","",'Ordenes_Odoo'!O1756)</f>
        <v/>
      </c>
      <c r="P1756" s="81">
        <f>IF('Ordenes_Odoo'!P1756="","",'Ordenes_Odoo'!P1756)</f>
        <v/>
      </c>
      <c r="Q1756" s="79">
        <f>IF(A1756="","",IFERROR(INDEX(Facturas_Odoo!$B:$B, MATCH(A1756, Facturas_Odoo!$D:$D, 0)), "Sin Factura"))</f>
        <v/>
      </c>
      <c r="R1756" s="80">
        <f>IF(Q1756="Sin Factura","",IFERROR(INDEX(Facturas_Odoo!$A:$A, MATCH(Q1756, Facturas_Odoo!$B:$B, 0)), ""))</f>
        <v/>
      </c>
      <c r="S1756" s="79">
        <f>IF(Q1756="Sin Factura","",IFERROR(_xlfn.XLOOKUP(1, (Facturas_Odoo!$D:$D=A1756) * (Facturas_Odoo!$K:$K=I1756), Facturas_Odoo!$L:$L, ""), ""))</f>
        <v/>
      </c>
      <c r="T1756" s="81">
        <f>IF(Q1756="Sin Factura",0,IFERROR(_xlfn.XLOOKUP(1, (Facturas_Odoo!$D:$D=A1756) * (Facturas_Odoo!$K:$K=I1756), Facturas_Odoo!$M:$M, 0), 0))</f>
        <v/>
      </c>
      <c r="U1756" s="79">
        <f>IF(Q1756="Sin Factura",0,IFERROR(_xlfn.XLOOKUP(1, (Facturas_Odoo!$D:$D=A1756) * (Facturas_Odoo!$K:$K=I1756), Facturas_Odoo!$N:$N, 0), 0))</f>
        <v/>
      </c>
      <c r="V1756" s="79">
        <f>IF(Q1756="Sin Factura",0,IFERROR(_xlfn.XLOOKUP(1, (Facturas_Odoo!$D:$D=A1756) * (Facturas_Odoo!$K:$K=I1756), Facturas_Odoo!$O:$O, 0), 0))</f>
        <v/>
      </c>
      <c r="W1756" s="81">
        <f>IF(Q1756="Sin Factura",0,IFERROR(_xlfn.XLOOKUP(1, (Facturas_Odoo!$D:$D=A1756) * (Facturas_Odoo!$K:$K=I1756), Facturas_Odoo!$Q:$Q, 0), 0))</f>
        <v/>
      </c>
      <c r="X1756" s="79">
        <f>IF(OR(Q1756="Sin Factura",Q1756=""),"",IFERROR(INDEX(Pagos_Odoo!$B:$B, MATCH(Q1756, Pagos_Odoo!$I:$I, 0)), "Sin Pago"))</f>
        <v/>
      </c>
      <c r="Y1756" s="79">
        <f>IF(X1756="Sin Pago","",IFERROR(INDEX(Pagos_Odoo!$C:$C, MATCH(X1756, Pagos_Odoo!$B:$B, 0)), ""))</f>
        <v/>
      </c>
      <c r="Z1756" s="80">
        <f>IF(X1756="Sin Pago","",IFERROR(INDEX(Pagos_Odoo!$A:$A, MATCH(X1756, Pagos_Odoo!$B:$B, 0)), ""))</f>
        <v/>
      </c>
      <c r="AA1756" s="79">
        <f>IF(X1756="Sin Pago","",IFERROR(INDEX(Pagos_Odoo!$F:$F, MATCH(X1756, Pagos_Odoo!$B:$B, 0)), ""))</f>
        <v/>
      </c>
      <c r="AB1756" s="81">
        <f>IF(X1756="Sin Pago",0,IFERROR(INDEX(Pagos_Odoo!$E:$E, MATCH(X1756, Pagos_Odoo!$B:$B, 0)), 0))</f>
        <v/>
      </c>
      <c r="AC1756" s="79">
        <f>IF(X1756="Sin Pago","",IFERROR(INDEX(Pagos_Odoo!$G:$G, MATCH(X1756, Pagos_Odoo!$B:$B, 0)), ""))</f>
        <v/>
      </c>
      <c r="AD1756" s="82" t="n">
        <v>0</v>
      </c>
      <c r="AE1756" s="82" t="n"/>
      <c r="AF1756" s="82" t="n"/>
      <c r="AG1756" s="82">
        <f>IF(AN1756="","",AD1756+AE1756+AF1756)</f>
        <v/>
      </c>
      <c r="AH1756" s="81">
        <f>IF(AN1756="","",P1756*(1-AG1756))</f>
        <v/>
      </c>
      <c r="AI1756" s="81">
        <f>IF(AN1756="","",IF(Q1756="Sin Factura",0,IFERROR(INDEX(Facturas_Odoo!$H:$H, MATCH(Q1756, Facturas_Odoo!$B:$B, 0)), 0)*(1-AG1756)))</f>
        <v/>
      </c>
      <c r="AJ1756" s="81">
        <f>IF(AN1756="","",_xlfn.LET(idVenta, AN1756&amp;"",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56" s="81">
        <f>IF(AN1756="","",AH1756-AJ1756)</f>
        <v/>
      </c>
      <c r="AL1756" s="81">
        <f>IF(AN1756="","",IF(Q1756="Sin Factura","",AI1756-AJ1756))</f>
        <v/>
      </c>
      <c r="AM1756" s="81">
        <f>IF(AN1756="","",IF(Q1756="Sin Factura",0,P1756-IFERROR(INDEX(Facturas_Odoo!$H:$H, MATCH(Q1756, Facturas_Odoo!$B:$B, 0)), 0)))</f>
        <v/>
      </c>
      <c r="AN1756" s="79">
        <f>IF(AND(A1756="", J1756=""), "", IF(A1756&lt;&gt;"", VALUE(MID(A1756,2,LEN(A1756))), AN1755))</f>
        <v/>
      </c>
      <c r="AO1756" s="79">
        <f>IF(AN1756="","",IF(AD1756=0,"OK",_xlfn.LET(monedaPago, IF(AA1756="","USD",AA1756), limitePermitido, IFERROR(VLOOKUP(monedaPago, Configuración!$A$2:$B$3, 2, FALSE), 0.15), IF(AD1756&gt;limitePermitido, "ALERTA: EXCESO (" &amp; TEXT(limitePermitido, "0%") &amp; " máx)", "OK"))))</f>
        <v/>
      </c>
      <c r="AP1756" s="79">
        <f>IF(AN1756="","",IF(AE1756=0,"OK",_xlfn.LET(fechaPago, Z1756, fechaFactura, R1756, diasCredito, IF(E1756="Pago inmediato", 0, IFERROR(VALUE(MID(E1756, 1, SEARCH(" ", E1756)-1)),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56" s="79">
        <f>IF(AN1756="","",IF(AND(N1756&gt;0, AG1756&gt;0), IF(Configuración!$K$2="NO", "ALERTA: DESCUENTO DOBLE NO PERMITIDO", "OK"), "OK"))</f>
        <v/>
      </c>
      <c r="AR1756" s="79">
        <f>IF(AN1756="","",IF(OR(AO1756&lt;&gt;"OK", AP1756&lt;&gt;"OK", AQ1756&lt;&gt;"OK"), "⚠️ REVISAR", "OK"))</f>
        <v/>
      </c>
    </row>
    <row r="1757">
      <c r="A1757" s="79">
        <f>IF('Ordenes_Odoo'!A1757="","",'Ordenes_Odoo'!A1757)</f>
        <v/>
      </c>
      <c r="B1757" s="80">
        <f>IF('Ordenes_Odoo'!B1757="","",'Ordenes_Odoo'!B1757)</f>
        <v/>
      </c>
      <c r="C1757" s="79">
        <f>IF('Ordenes_Odoo'!C1757="","",'Ordenes_Odoo'!C1757)</f>
        <v/>
      </c>
      <c r="D1757" s="79">
        <f>IF('Ordenes_Odoo'!D1757="","",'Ordenes_Odoo'!D1757)</f>
        <v/>
      </c>
      <c r="E1757" s="79">
        <f>IF('Ordenes_Odoo'!E1757="","",'Ordenes_Odoo'!E1757)</f>
        <v/>
      </c>
      <c r="F1757" s="79">
        <f>IF('Ordenes_Odoo'!F1757="","",'Ordenes_Odoo'!F1757)</f>
        <v/>
      </c>
      <c r="G1757" s="79">
        <f>IF('Ordenes_Odoo'!G1757="","",'Ordenes_Odoo'!G1757)</f>
        <v/>
      </c>
      <c r="H1757" s="79">
        <f>IF('Ordenes_Odoo'!H1757="","",'Ordenes_Odoo'!H1757)</f>
        <v/>
      </c>
      <c r="I1757" s="79">
        <f>IF('Ordenes_Odoo'!I1757="","",'Ordenes_Odoo'!I1757)</f>
        <v/>
      </c>
      <c r="J1757" s="79">
        <f>IF('Ordenes_Odoo'!J1757="","",'Ordenes_Odoo'!J1757)</f>
        <v/>
      </c>
      <c r="K1757" s="81">
        <f>IF('Ordenes_Odoo'!K1757="","",'Ordenes_Odoo'!K1757)</f>
        <v/>
      </c>
      <c r="L1757" s="81">
        <f>IF('Ordenes_Odoo'!L1757="","",'Ordenes_Odoo'!L1757)</f>
        <v/>
      </c>
      <c r="M1757" s="79">
        <f>IF('Ordenes_Odoo'!M1757="","",'Ordenes_Odoo'!M1757)</f>
        <v/>
      </c>
      <c r="N1757" s="79">
        <f>IF('Ordenes_Odoo'!N1757="","",'Ordenes_Odoo'!N1757)</f>
        <v/>
      </c>
      <c r="O1757" s="81">
        <f>IF('Ordenes_Odoo'!O1757="","",'Ordenes_Odoo'!O1757)</f>
        <v/>
      </c>
      <c r="P1757" s="81">
        <f>IF('Ordenes_Odoo'!P1757="","",'Ordenes_Odoo'!P1757)</f>
        <v/>
      </c>
      <c r="Q1757" s="79">
        <f>IF(A1757="","",IFERROR(INDEX(Facturas_Odoo!$B:$B, MATCH(A1757, Facturas_Odoo!$D:$D, 0)), "Sin Factura"))</f>
        <v/>
      </c>
      <c r="R1757" s="80">
        <f>IF(Q1757="Sin Factura","",IFERROR(INDEX(Facturas_Odoo!$A:$A, MATCH(Q1757, Facturas_Odoo!$B:$B, 0)), ""))</f>
        <v/>
      </c>
      <c r="S1757" s="79">
        <f>IF(Q1757="Sin Factura","",IFERROR(_xlfn.XLOOKUP(1, (Facturas_Odoo!$D:$D=A1757) * (Facturas_Odoo!$K:$K=I1757), Facturas_Odoo!$L:$L, ""), ""))</f>
        <v/>
      </c>
      <c r="T1757" s="81">
        <f>IF(Q1757="Sin Factura",0,IFERROR(_xlfn.XLOOKUP(1, (Facturas_Odoo!$D:$D=A1757) * (Facturas_Odoo!$K:$K=I1757), Facturas_Odoo!$M:$M, 0), 0))</f>
        <v/>
      </c>
      <c r="U1757" s="79">
        <f>IF(Q1757="Sin Factura",0,IFERROR(_xlfn.XLOOKUP(1, (Facturas_Odoo!$D:$D=A1757) * (Facturas_Odoo!$K:$K=I1757), Facturas_Odoo!$N:$N, 0), 0))</f>
        <v/>
      </c>
      <c r="V1757" s="79">
        <f>IF(Q1757="Sin Factura",0,IFERROR(_xlfn.XLOOKUP(1, (Facturas_Odoo!$D:$D=A1757) * (Facturas_Odoo!$K:$K=I1757), Facturas_Odoo!$O:$O, 0), 0))</f>
        <v/>
      </c>
      <c r="W1757" s="81">
        <f>IF(Q1757="Sin Factura",0,IFERROR(_xlfn.XLOOKUP(1, (Facturas_Odoo!$D:$D=A1757) * (Facturas_Odoo!$K:$K=I1757), Facturas_Odoo!$Q:$Q, 0), 0))</f>
        <v/>
      </c>
      <c r="X1757" s="79">
        <f>IF(OR(Q1757="Sin Factura",Q1757=""),"",IFERROR(INDEX(Pagos_Odoo!$B:$B, MATCH(Q1757, Pagos_Odoo!$I:$I, 0)), "Sin Pago"))</f>
        <v/>
      </c>
      <c r="Y1757" s="79">
        <f>IF(X1757="Sin Pago","",IFERROR(INDEX(Pagos_Odoo!$C:$C, MATCH(X1757, Pagos_Odoo!$B:$B, 0)), ""))</f>
        <v/>
      </c>
      <c r="Z1757" s="80">
        <f>IF(X1757="Sin Pago","",IFERROR(INDEX(Pagos_Odoo!$A:$A, MATCH(X1757, Pagos_Odoo!$B:$B, 0)), ""))</f>
        <v/>
      </c>
      <c r="AA1757" s="79">
        <f>IF(X1757="Sin Pago","",IFERROR(INDEX(Pagos_Odoo!$F:$F, MATCH(X1757, Pagos_Odoo!$B:$B, 0)), ""))</f>
        <v/>
      </c>
      <c r="AB1757" s="81">
        <f>IF(X1757="Sin Pago",0,IFERROR(INDEX(Pagos_Odoo!$E:$E, MATCH(X1757, Pagos_Odoo!$B:$B, 0)), 0))</f>
        <v/>
      </c>
      <c r="AC1757" s="79">
        <f>IF(X1757="Sin Pago","",IFERROR(INDEX(Pagos_Odoo!$G:$G, MATCH(X1757, Pagos_Odoo!$B:$B, 0)), ""))</f>
        <v/>
      </c>
      <c r="AD1757" s="82" t="n">
        <v>0</v>
      </c>
      <c r="AE1757" s="82" t="n"/>
      <c r="AF1757" s="82" t="n"/>
      <c r="AG1757" s="82">
        <f>IF(AN1757="","",AD1757+AE1757+AF1757)</f>
        <v/>
      </c>
      <c r="AH1757" s="81">
        <f>IF(AN1757="","",P1757*(1-AG1757))</f>
        <v/>
      </c>
      <c r="AI1757" s="81">
        <f>IF(AN1757="","",IF(Q1757="Sin Factura",0,IFERROR(INDEX(Facturas_Odoo!$H:$H, MATCH(Q1757, Facturas_Odoo!$B:$B, 0)), 0)*(1-AG1757)))</f>
        <v/>
      </c>
      <c r="AJ1757" s="81">
        <f>IF(AN1757="","",_xlfn.LET(idVenta, AN1757&amp;"",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57" s="81">
        <f>IF(AN1757="","",AH1757-AJ1757)</f>
        <v/>
      </c>
      <c r="AL1757" s="81">
        <f>IF(AN1757="","",IF(Q1757="Sin Factura","",AI1757-AJ1757))</f>
        <v/>
      </c>
      <c r="AM1757" s="81">
        <f>IF(AN1757="","",IF(Q1757="Sin Factura",0,P1757-IFERROR(INDEX(Facturas_Odoo!$H:$H, MATCH(Q1757, Facturas_Odoo!$B:$B, 0)), 0)))</f>
        <v/>
      </c>
      <c r="AN1757" s="79">
        <f>IF(AND(A1757="", J1757=""), "", IF(A1757&lt;&gt;"", VALUE(MID(A1757,2,LEN(A1757))), AN1756))</f>
        <v/>
      </c>
      <c r="AO1757" s="79">
        <f>IF(AN1757="","",IF(AD1757=0,"OK",_xlfn.LET(monedaPago, IF(AA1757="","USD",AA1757), limitePermitido, IFERROR(VLOOKUP(monedaPago, Configuración!$A$2:$B$3, 2, FALSE), 0.15), IF(AD1757&gt;limitePermitido, "ALERTA: EXCESO (" &amp; TEXT(limitePermitido, "0%") &amp; " máx)", "OK"))))</f>
        <v/>
      </c>
      <c r="AP1757" s="79">
        <f>IF(AN1757="","",IF(AE1757=0,"OK",_xlfn.LET(fechaPago, Z1757, fechaFactura, R1757, diasCredito, IF(E1757="Pago inmediato", 0, IFERROR(VALUE(MID(E1757, 1, SEARCH(" ", E1757)-1)),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57" s="79">
        <f>IF(AN1757="","",IF(AND(N1757&gt;0, AG1757&gt;0), IF(Configuración!$K$2="NO", "ALERTA: DESCUENTO DOBLE NO PERMITIDO", "OK"), "OK"))</f>
        <v/>
      </c>
      <c r="AR1757" s="79">
        <f>IF(AN1757="","",IF(OR(AO1757&lt;&gt;"OK", AP1757&lt;&gt;"OK", AQ1757&lt;&gt;"OK"), "⚠️ REVISAR", "OK"))</f>
        <v/>
      </c>
    </row>
    <row r="1758">
      <c r="A1758" s="79">
        <f>IF('Ordenes_Odoo'!A1758="","",'Ordenes_Odoo'!A1758)</f>
        <v/>
      </c>
      <c r="B1758" s="80">
        <f>IF('Ordenes_Odoo'!B1758="","",'Ordenes_Odoo'!B1758)</f>
        <v/>
      </c>
      <c r="C1758" s="79">
        <f>IF('Ordenes_Odoo'!C1758="","",'Ordenes_Odoo'!C1758)</f>
        <v/>
      </c>
      <c r="D1758" s="79">
        <f>IF('Ordenes_Odoo'!D1758="","",'Ordenes_Odoo'!D1758)</f>
        <v/>
      </c>
      <c r="E1758" s="79">
        <f>IF('Ordenes_Odoo'!E1758="","",'Ordenes_Odoo'!E1758)</f>
        <v/>
      </c>
      <c r="F1758" s="79">
        <f>IF('Ordenes_Odoo'!F1758="","",'Ordenes_Odoo'!F1758)</f>
        <v/>
      </c>
      <c r="G1758" s="79">
        <f>IF('Ordenes_Odoo'!G1758="","",'Ordenes_Odoo'!G1758)</f>
        <v/>
      </c>
      <c r="H1758" s="79">
        <f>IF('Ordenes_Odoo'!H1758="","",'Ordenes_Odoo'!H1758)</f>
        <v/>
      </c>
      <c r="I1758" s="79">
        <f>IF('Ordenes_Odoo'!I1758="","",'Ordenes_Odoo'!I1758)</f>
        <v/>
      </c>
      <c r="J1758" s="79">
        <f>IF('Ordenes_Odoo'!J1758="","",'Ordenes_Odoo'!J1758)</f>
        <v/>
      </c>
      <c r="K1758" s="81">
        <f>IF('Ordenes_Odoo'!K1758="","",'Ordenes_Odoo'!K1758)</f>
        <v/>
      </c>
      <c r="L1758" s="81">
        <f>IF('Ordenes_Odoo'!L1758="","",'Ordenes_Odoo'!L1758)</f>
        <v/>
      </c>
      <c r="M1758" s="79">
        <f>IF('Ordenes_Odoo'!M1758="","",'Ordenes_Odoo'!M1758)</f>
        <v/>
      </c>
      <c r="N1758" s="79">
        <f>IF('Ordenes_Odoo'!N1758="","",'Ordenes_Odoo'!N1758)</f>
        <v/>
      </c>
      <c r="O1758" s="81">
        <f>IF('Ordenes_Odoo'!O1758="","",'Ordenes_Odoo'!O1758)</f>
        <v/>
      </c>
      <c r="P1758" s="81">
        <f>IF('Ordenes_Odoo'!P1758="","",'Ordenes_Odoo'!P1758)</f>
        <v/>
      </c>
      <c r="Q1758" s="79">
        <f>IF(A1758="","",IFERROR(INDEX(Facturas_Odoo!$B:$B, MATCH(A1758, Facturas_Odoo!$D:$D, 0)), "Sin Factura"))</f>
        <v/>
      </c>
      <c r="R1758" s="80">
        <f>IF(Q1758="Sin Factura","",IFERROR(INDEX(Facturas_Odoo!$A:$A, MATCH(Q1758, Facturas_Odoo!$B:$B, 0)), ""))</f>
        <v/>
      </c>
      <c r="S1758" s="79">
        <f>IF(Q1758="Sin Factura","",IFERROR(_xlfn.XLOOKUP(1, (Facturas_Odoo!$D:$D=A1758) * (Facturas_Odoo!$K:$K=I1758), Facturas_Odoo!$L:$L, ""), ""))</f>
        <v/>
      </c>
      <c r="T1758" s="81">
        <f>IF(Q1758="Sin Factura",0,IFERROR(_xlfn.XLOOKUP(1, (Facturas_Odoo!$D:$D=A1758) * (Facturas_Odoo!$K:$K=I1758), Facturas_Odoo!$M:$M, 0), 0))</f>
        <v/>
      </c>
      <c r="U1758" s="79">
        <f>IF(Q1758="Sin Factura",0,IFERROR(_xlfn.XLOOKUP(1, (Facturas_Odoo!$D:$D=A1758) * (Facturas_Odoo!$K:$K=I1758), Facturas_Odoo!$N:$N, 0), 0))</f>
        <v/>
      </c>
      <c r="V1758" s="79">
        <f>IF(Q1758="Sin Factura",0,IFERROR(_xlfn.XLOOKUP(1, (Facturas_Odoo!$D:$D=A1758) * (Facturas_Odoo!$K:$K=I1758), Facturas_Odoo!$O:$O, 0), 0))</f>
        <v/>
      </c>
      <c r="W1758" s="81">
        <f>IF(Q1758="Sin Factura",0,IFERROR(_xlfn.XLOOKUP(1, (Facturas_Odoo!$D:$D=A1758) * (Facturas_Odoo!$K:$K=I1758), Facturas_Odoo!$Q:$Q, 0), 0))</f>
        <v/>
      </c>
      <c r="X1758" s="79">
        <f>IF(OR(Q1758="Sin Factura",Q1758=""),"",IFERROR(INDEX(Pagos_Odoo!$B:$B, MATCH(Q1758, Pagos_Odoo!$I:$I, 0)), "Sin Pago"))</f>
        <v/>
      </c>
      <c r="Y1758" s="79">
        <f>IF(X1758="Sin Pago","",IFERROR(INDEX(Pagos_Odoo!$C:$C, MATCH(X1758, Pagos_Odoo!$B:$B, 0)), ""))</f>
        <v/>
      </c>
      <c r="Z1758" s="80">
        <f>IF(X1758="Sin Pago","",IFERROR(INDEX(Pagos_Odoo!$A:$A, MATCH(X1758, Pagos_Odoo!$B:$B, 0)), ""))</f>
        <v/>
      </c>
      <c r="AA1758" s="79">
        <f>IF(X1758="Sin Pago","",IFERROR(INDEX(Pagos_Odoo!$F:$F, MATCH(X1758, Pagos_Odoo!$B:$B, 0)), ""))</f>
        <v/>
      </c>
      <c r="AB1758" s="81">
        <f>IF(X1758="Sin Pago",0,IFERROR(INDEX(Pagos_Odoo!$E:$E, MATCH(X1758, Pagos_Odoo!$B:$B, 0)), 0))</f>
        <v/>
      </c>
      <c r="AC1758" s="79">
        <f>IF(X1758="Sin Pago","",IFERROR(INDEX(Pagos_Odoo!$G:$G, MATCH(X1758, Pagos_Odoo!$B:$B, 0)), ""))</f>
        <v/>
      </c>
      <c r="AD1758" s="82" t="n">
        <v>0</v>
      </c>
      <c r="AE1758" s="82" t="n"/>
      <c r="AF1758" s="82" t="n"/>
      <c r="AG1758" s="82">
        <f>IF(AN1758="","",AD1758+AE1758+AF1758)</f>
        <v/>
      </c>
      <c r="AH1758" s="81">
        <f>IF(AN1758="","",P1758*(1-AG1758))</f>
        <v/>
      </c>
      <c r="AI1758" s="81">
        <f>IF(AN1758="","",IF(Q1758="Sin Factura",0,IFERROR(INDEX(Facturas_Odoo!$H:$H, MATCH(Q1758, Facturas_Odoo!$B:$B, 0)), 0)*(1-AG1758)))</f>
        <v/>
      </c>
      <c r="AJ1758" s="81">
        <f>IF(AN1758="","",_xlfn.LET(idVenta, AN1758&amp;"",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58" s="81">
        <f>IF(AN1758="","",AH1758-AJ1758)</f>
        <v/>
      </c>
      <c r="AL1758" s="81">
        <f>IF(AN1758="","",IF(Q1758="Sin Factura","",AI1758-AJ1758))</f>
        <v/>
      </c>
      <c r="AM1758" s="81">
        <f>IF(AN1758="","",IF(Q1758="Sin Factura",0,P1758-IFERROR(INDEX(Facturas_Odoo!$H:$H, MATCH(Q1758, Facturas_Odoo!$B:$B, 0)), 0)))</f>
        <v/>
      </c>
      <c r="AN1758" s="79">
        <f>IF(AND(A1758="", J1758=""), "", IF(A1758&lt;&gt;"", VALUE(MID(A1758,2,LEN(A1758))), AN1757))</f>
        <v/>
      </c>
      <c r="AO1758" s="79">
        <f>IF(AN1758="","",IF(AD1758=0,"OK",_xlfn.LET(monedaPago, IF(AA1758="","USD",AA1758), limitePermitido, IFERROR(VLOOKUP(monedaPago, Configuración!$A$2:$B$3, 2, FALSE), 0.15), IF(AD1758&gt;limitePermitido, "ALERTA: EXCESO (" &amp; TEXT(limitePermitido, "0%") &amp; " máx)", "OK"))))</f>
        <v/>
      </c>
      <c r="AP1758" s="79">
        <f>IF(AN1758="","",IF(AE1758=0,"OK",_xlfn.LET(fechaPago, Z1758, fechaFactura, R1758, diasCredito, IF(E1758="Pago inmediato", 0, IFERROR(VALUE(MID(E1758, 1, SEARCH(" ", E1758)-1)),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58" s="79">
        <f>IF(AN1758="","",IF(AND(N1758&gt;0, AG1758&gt;0), IF(Configuración!$K$2="NO", "ALERTA: DESCUENTO DOBLE NO PERMITIDO", "OK"), "OK"))</f>
        <v/>
      </c>
      <c r="AR1758" s="79">
        <f>IF(AN1758="","",IF(OR(AO1758&lt;&gt;"OK", AP1758&lt;&gt;"OK", AQ1758&lt;&gt;"OK"), "⚠️ REVISAR", "OK"))</f>
        <v/>
      </c>
    </row>
    <row r="1759">
      <c r="A1759" s="79">
        <f>IF('Ordenes_Odoo'!A1759="","",'Ordenes_Odoo'!A1759)</f>
        <v/>
      </c>
      <c r="B1759" s="80">
        <f>IF('Ordenes_Odoo'!B1759="","",'Ordenes_Odoo'!B1759)</f>
        <v/>
      </c>
      <c r="C1759" s="79">
        <f>IF('Ordenes_Odoo'!C1759="","",'Ordenes_Odoo'!C1759)</f>
        <v/>
      </c>
      <c r="D1759" s="79">
        <f>IF('Ordenes_Odoo'!D1759="","",'Ordenes_Odoo'!D1759)</f>
        <v/>
      </c>
      <c r="E1759" s="79">
        <f>IF('Ordenes_Odoo'!E1759="","",'Ordenes_Odoo'!E1759)</f>
        <v/>
      </c>
      <c r="F1759" s="79">
        <f>IF('Ordenes_Odoo'!F1759="","",'Ordenes_Odoo'!F1759)</f>
        <v/>
      </c>
      <c r="G1759" s="79">
        <f>IF('Ordenes_Odoo'!G1759="","",'Ordenes_Odoo'!G1759)</f>
        <v/>
      </c>
      <c r="H1759" s="79">
        <f>IF('Ordenes_Odoo'!H1759="","",'Ordenes_Odoo'!H1759)</f>
        <v/>
      </c>
      <c r="I1759" s="79">
        <f>IF('Ordenes_Odoo'!I1759="","",'Ordenes_Odoo'!I1759)</f>
        <v/>
      </c>
      <c r="J1759" s="79">
        <f>IF('Ordenes_Odoo'!J1759="","",'Ordenes_Odoo'!J1759)</f>
        <v/>
      </c>
      <c r="K1759" s="81">
        <f>IF('Ordenes_Odoo'!K1759="","",'Ordenes_Odoo'!K1759)</f>
        <v/>
      </c>
      <c r="L1759" s="81">
        <f>IF('Ordenes_Odoo'!L1759="","",'Ordenes_Odoo'!L1759)</f>
        <v/>
      </c>
      <c r="M1759" s="79">
        <f>IF('Ordenes_Odoo'!M1759="","",'Ordenes_Odoo'!M1759)</f>
        <v/>
      </c>
      <c r="N1759" s="79">
        <f>IF('Ordenes_Odoo'!N1759="","",'Ordenes_Odoo'!N1759)</f>
        <v/>
      </c>
      <c r="O1759" s="81">
        <f>IF('Ordenes_Odoo'!O1759="","",'Ordenes_Odoo'!O1759)</f>
        <v/>
      </c>
      <c r="P1759" s="81">
        <f>IF('Ordenes_Odoo'!P1759="","",'Ordenes_Odoo'!P1759)</f>
        <v/>
      </c>
      <c r="Q1759" s="79">
        <f>IF(A1759="","",IFERROR(INDEX(Facturas_Odoo!$B:$B, MATCH(A1759, Facturas_Odoo!$D:$D, 0)), "Sin Factura"))</f>
        <v/>
      </c>
      <c r="R1759" s="80">
        <f>IF(Q1759="Sin Factura","",IFERROR(INDEX(Facturas_Odoo!$A:$A, MATCH(Q1759, Facturas_Odoo!$B:$B, 0)), ""))</f>
        <v/>
      </c>
      <c r="S1759" s="79">
        <f>IF(Q1759="Sin Factura","",IFERROR(_xlfn.XLOOKUP(1, (Facturas_Odoo!$D:$D=A1759) * (Facturas_Odoo!$K:$K=I1759), Facturas_Odoo!$L:$L, ""), ""))</f>
        <v/>
      </c>
      <c r="T1759" s="81">
        <f>IF(Q1759="Sin Factura",0,IFERROR(_xlfn.XLOOKUP(1, (Facturas_Odoo!$D:$D=A1759) * (Facturas_Odoo!$K:$K=I1759), Facturas_Odoo!$M:$M, 0), 0))</f>
        <v/>
      </c>
      <c r="U1759" s="79">
        <f>IF(Q1759="Sin Factura",0,IFERROR(_xlfn.XLOOKUP(1, (Facturas_Odoo!$D:$D=A1759) * (Facturas_Odoo!$K:$K=I1759), Facturas_Odoo!$N:$N, 0), 0))</f>
        <v/>
      </c>
      <c r="V1759" s="79">
        <f>IF(Q1759="Sin Factura",0,IFERROR(_xlfn.XLOOKUP(1, (Facturas_Odoo!$D:$D=A1759) * (Facturas_Odoo!$K:$K=I1759), Facturas_Odoo!$O:$O, 0), 0))</f>
        <v/>
      </c>
      <c r="W1759" s="81">
        <f>IF(Q1759="Sin Factura",0,IFERROR(_xlfn.XLOOKUP(1, (Facturas_Odoo!$D:$D=A1759) * (Facturas_Odoo!$K:$K=I1759), Facturas_Odoo!$Q:$Q, 0), 0))</f>
        <v/>
      </c>
      <c r="X1759" s="79">
        <f>IF(OR(Q1759="Sin Factura",Q1759=""),"",IFERROR(INDEX(Pagos_Odoo!$B:$B, MATCH(Q1759, Pagos_Odoo!$I:$I, 0)), "Sin Pago"))</f>
        <v/>
      </c>
      <c r="Y1759" s="79">
        <f>IF(X1759="Sin Pago","",IFERROR(INDEX(Pagos_Odoo!$C:$C, MATCH(X1759, Pagos_Odoo!$B:$B, 0)), ""))</f>
        <v/>
      </c>
      <c r="Z1759" s="80">
        <f>IF(X1759="Sin Pago","",IFERROR(INDEX(Pagos_Odoo!$A:$A, MATCH(X1759, Pagos_Odoo!$B:$B, 0)), ""))</f>
        <v/>
      </c>
      <c r="AA1759" s="79">
        <f>IF(X1759="Sin Pago","",IFERROR(INDEX(Pagos_Odoo!$F:$F, MATCH(X1759, Pagos_Odoo!$B:$B, 0)), ""))</f>
        <v/>
      </c>
      <c r="AB1759" s="81">
        <f>IF(X1759="Sin Pago",0,IFERROR(INDEX(Pagos_Odoo!$E:$E, MATCH(X1759, Pagos_Odoo!$B:$B, 0)), 0))</f>
        <v/>
      </c>
      <c r="AC1759" s="79">
        <f>IF(X1759="Sin Pago","",IFERROR(INDEX(Pagos_Odoo!$G:$G, MATCH(X1759, Pagos_Odoo!$B:$B, 0)), ""))</f>
        <v/>
      </c>
      <c r="AD1759" s="82" t="n">
        <v>0</v>
      </c>
      <c r="AE1759" s="82" t="n"/>
      <c r="AF1759" s="82" t="n"/>
      <c r="AG1759" s="82">
        <f>IF(AN1759="","",AD1759+AE1759+AF1759)</f>
        <v/>
      </c>
      <c r="AH1759" s="81">
        <f>IF(AN1759="","",P1759*(1-AG1759))</f>
        <v/>
      </c>
      <c r="AI1759" s="81">
        <f>IF(AN1759="","",IF(Q1759="Sin Factura",0,IFERROR(INDEX(Facturas_Odoo!$H:$H, MATCH(Q1759, Facturas_Odoo!$B:$B, 0)), 0)*(1-AG1759)))</f>
        <v/>
      </c>
      <c r="AJ1759" s="81">
        <f>IF(AN1759="","",_xlfn.LET(idVenta, AN1759&amp;"",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59" s="81">
        <f>IF(AN1759="","",AH1759-AJ1759)</f>
        <v/>
      </c>
      <c r="AL1759" s="81">
        <f>IF(AN1759="","",IF(Q1759="Sin Factura","",AI1759-AJ1759))</f>
        <v/>
      </c>
      <c r="AM1759" s="81">
        <f>IF(AN1759="","",IF(Q1759="Sin Factura",0,P1759-IFERROR(INDEX(Facturas_Odoo!$H:$H, MATCH(Q1759, Facturas_Odoo!$B:$B, 0)), 0)))</f>
        <v/>
      </c>
      <c r="AN1759" s="79">
        <f>IF(AND(A1759="", J1759=""), "", IF(A1759&lt;&gt;"", VALUE(MID(A1759,2,LEN(A1759))), AN1758))</f>
        <v/>
      </c>
      <c r="AO1759" s="79">
        <f>IF(AN1759="","",IF(AD1759=0,"OK",_xlfn.LET(monedaPago, IF(AA1759="","USD",AA1759), limitePermitido, IFERROR(VLOOKUP(monedaPago, Configuración!$A$2:$B$3, 2, FALSE), 0.15), IF(AD1759&gt;limitePermitido, "ALERTA: EXCESO (" &amp; TEXT(limitePermitido, "0%") &amp; " máx)", "OK"))))</f>
        <v/>
      </c>
      <c r="AP1759" s="79">
        <f>IF(AN1759="","",IF(AE1759=0,"OK",_xlfn.LET(fechaPago, Z1759, fechaFactura, R1759, diasCredito, IF(E1759="Pago inmediato", 0, IFERROR(VALUE(MID(E1759, 1, SEARCH(" ", E1759)-1)),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59" s="79">
        <f>IF(AN1759="","",IF(AND(N1759&gt;0, AG1759&gt;0), IF(Configuración!$K$2="NO", "ALERTA: DESCUENTO DOBLE NO PERMITIDO", "OK"), "OK"))</f>
        <v/>
      </c>
      <c r="AR1759" s="79">
        <f>IF(AN1759="","",IF(OR(AO1759&lt;&gt;"OK", AP1759&lt;&gt;"OK", AQ1759&lt;&gt;"OK"), "⚠️ REVISAR", "OK"))</f>
        <v/>
      </c>
    </row>
    <row r="1760">
      <c r="A1760" s="79">
        <f>IF('Ordenes_Odoo'!A1760="","",'Ordenes_Odoo'!A1760)</f>
        <v/>
      </c>
      <c r="B1760" s="80">
        <f>IF('Ordenes_Odoo'!B1760="","",'Ordenes_Odoo'!B1760)</f>
        <v/>
      </c>
      <c r="C1760" s="79">
        <f>IF('Ordenes_Odoo'!C1760="","",'Ordenes_Odoo'!C1760)</f>
        <v/>
      </c>
      <c r="D1760" s="79">
        <f>IF('Ordenes_Odoo'!D1760="","",'Ordenes_Odoo'!D1760)</f>
        <v/>
      </c>
      <c r="E1760" s="79">
        <f>IF('Ordenes_Odoo'!E1760="","",'Ordenes_Odoo'!E1760)</f>
        <v/>
      </c>
      <c r="F1760" s="79">
        <f>IF('Ordenes_Odoo'!F1760="","",'Ordenes_Odoo'!F1760)</f>
        <v/>
      </c>
      <c r="G1760" s="79">
        <f>IF('Ordenes_Odoo'!G1760="","",'Ordenes_Odoo'!G1760)</f>
        <v/>
      </c>
      <c r="H1760" s="79">
        <f>IF('Ordenes_Odoo'!H1760="","",'Ordenes_Odoo'!H1760)</f>
        <v/>
      </c>
      <c r="I1760" s="79">
        <f>IF('Ordenes_Odoo'!I1760="","",'Ordenes_Odoo'!I1760)</f>
        <v/>
      </c>
      <c r="J1760" s="79">
        <f>IF('Ordenes_Odoo'!J1760="","",'Ordenes_Odoo'!J1760)</f>
        <v/>
      </c>
      <c r="K1760" s="81">
        <f>IF('Ordenes_Odoo'!K1760="","",'Ordenes_Odoo'!K1760)</f>
        <v/>
      </c>
      <c r="L1760" s="81">
        <f>IF('Ordenes_Odoo'!L1760="","",'Ordenes_Odoo'!L1760)</f>
        <v/>
      </c>
      <c r="M1760" s="79">
        <f>IF('Ordenes_Odoo'!M1760="","",'Ordenes_Odoo'!M1760)</f>
        <v/>
      </c>
      <c r="N1760" s="79">
        <f>IF('Ordenes_Odoo'!N1760="","",'Ordenes_Odoo'!N1760)</f>
        <v/>
      </c>
      <c r="O1760" s="81">
        <f>IF('Ordenes_Odoo'!O1760="","",'Ordenes_Odoo'!O1760)</f>
        <v/>
      </c>
      <c r="P1760" s="81">
        <f>IF('Ordenes_Odoo'!P1760="","",'Ordenes_Odoo'!P1760)</f>
        <v/>
      </c>
      <c r="Q1760" s="79">
        <f>IF(A1760="","",IFERROR(INDEX(Facturas_Odoo!$B:$B, MATCH(A1760, Facturas_Odoo!$D:$D, 0)), "Sin Factura"))</f>
        <v/>
      </c>
      <c r="R1760" s="80">
        <f>IF(Q1760="Sin Factura","",IFERROR(INDEX(Facturas_Odoo!$A:$A, MATCH(Q1760, Facturas_Odoo!$B:$B, 0)), ""))</f>
        <v/>
      </c>
      <c r="S1760" s="79">
        <f>IF(Q1760="Sin Factura","",IFERROR(_xlfn.XLOOKUP(1, (Facturas_Odoo!$D:$D=A1760) * (Facturas_Odoo!$K:$K=I1760), Facturas_Odoo!$L:$L, ""), ""))</f>
        <v/>
      </c>
      <c r="T1760" s="81">
        <f>IF(Q1760="Sin Factura",0,IFERROR(_xlfn.XLOOKUP(1, (Facturas_Odoo!$D:$D=A1760) * (Facturas_Odoo!$K:$K=I1760), Facturas_Odoo!$M:$M, 0), 0))</f>
        <v/>
      </c>
      <c r="U1760" s="79">
        <f>IF(Q1760="Sin Factura",0,IFERROR(_xlfn.XLOOKUP(1, (Facturas_Odoo!$D:$D=A1760) * (Facturas_Odoo!$K:$K=I1760), Facturas_Odoo!$N:$N, 0), 0))</f>
        <v/>
      </c>
      <c r="V1760" s="79">
        <f>IF(Q1760="Sin Factura",0,IFERROR(_xlfn.XLOOKUP(1, (Facturas_Odoo!$D:$D=A1760) * (Facturas_Odoo!$K:$K=I1760), Facturas_Odoo!$O:$O, 0), 0))</f>
        <v/>
      </c>
      <c r="W1760" s="81">
        <f>IF(Q1760="Sin Factura",0,IFERROR(_xlfn.XLOOKUP(1, (Facturas_Odoo!$D:$D=A1760) * (Facturas_Odoo!$K:$K=I1760), Facturas_Odoo!$Q:$Q, 0), 0))</f>
        <v/>
      </c>
      <c r="X1760" s="79">
        <f>IF(OR(Q1760="Sin Factura",Q1760=""),"",IFERROR(INDEX(Pagos_Odoo!$B:$B, MATCH(Q1760, Pagos_Odoo!$I:$I, 0)), "Sin Pago"))</f>
        <v/>
      </c>
      <c r="Y1760" s="79">
        <f>IF(X1760="Sin Pago","",IFERROR(INDEX(Pagos_Odoo!$C:$C, MATCH(X1760, Pagos_Odoo!$B:$B, 0)), ""))</f>
        <v/>
      </c>
      <c r="Z1760" s="80">
        <f>IF(X1760="Sin Pago","",IFERROR(INDEX(Pagos_Odoo!$A:$A, MATCH(X1760, Pagos_Odoo!$B:$B, 0)), ""))</f>
        <v/>
      </c>
      <c r="AA1760" s="79">
        <f>IF(X1760="Sin Pago","",IFERROR(INDEX(Pagos_Odoo!$F:$F, MATCH(X1760, Pagos_Odoo!$B:$B, 0)), ""))</f>
        <v/>
      </c>
      <c r="AB1760" s="81">
        <f>IF(X1760="Sin Pago",0,IFERROR(INDEX(Pagos_Odoo!$E:$E, MATCH(X1760, Pagos_Odoo!$B:$B, 0)), 0))</f>
        <v/>
      </c>
      <c r="AC1760" s="79">
        <f>IF(X1760="Sin Pago","",IFERROR(INDEX(Pagos_Odoo!$G:$G, MATCH(X1760, Pagos_Odoo!$B:$B, 0)), ""))</f>
        <v/>
      </c>
      <c r="AD1760" s="82" t="n">
        <v>0</v>
      </c>
      <c r="AE1760" s="82" t="n"/>
      <c r="AF1760" s="82" t="n"/>
      <c r="AG1760" s="82">
        <f>IF(AN1760="","",AD1760+AE1760+AF1760)</f>
        <v/>
      </c>
      <c r="AH1760" s="81">
        <f>IF(AN1760="","",P1760*(1-AG1760))</f>
        <v/>
      </c>
      <c r="AI1760" s="81">
        <f>IF(AN1760="","",IF(Q1760="Sin Factura",0,IFERROR(INDEX(Facturas_Odoo!$H:$H, MATCH(Q1760, Facturas_Odoo!$B:$B, 0)), 0)*(1-AG1760)))</f>
        <v/>
      </c>
      <c r="AJ1760" s="81">
        <f>IF(AN1760="","",_xlfn.LET(idVenta, AN1760&amp;"",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60" s="81">
        <f>IF(AN1760="","",AH1760-AJ1760)</f>
        <v/>
      </c>
      <c r="AL1760" s="81">
        <f>IF(AN1760="","",IF(Q1760="Sin Factura","",AI1760-AJ1760))</f>
        <v/>
      </c>
      <c r="AM1760" s="81">
        <f>IF(AN1760="","",IF(Q1760="Sin Factura",0,P1760-IFERROR(INDEX(Facturas_Odoo!$H:$H, MATCH(Q1760, Facturas_Odoo!$B:$B, 0)), 0)))</f>
        <v/>
      </c>
      <c r="AN1760" s="79">
        <f>IF(AND(A1760="", J1760=""), "", IF(A1760&lt;&gt;"", VALUE(MID(A1760,2,LEN(A1760))), AN1759))</f>
        <v/>
      </c>
      <c r="AO1760" s="79">
        <f>IF(AN1760="","",IF(AD1760=0,"OK",_xlfn.LET(monedaPago, IF(AA1760="","USD",AA1760), limitePermitido, IFERROR(VLOOKUP(monedaPago, Configuración!$A$2:$B$3, 2, FALSE), 0.15), IF(AD1760&gt;limitePermitido, "ALERTA: EXCESO (" &amp; TEXT(limitePermitido, "0%") &amp; " máx)", "OK"))))</f>
        <v/>
      </c>
      <c r="AP1760" s="79">
        <f>IF(AN1760="","",IF(AE1760=0,"OK",_xlfn.LET(fechaPago, Z1760, fechaFactura, R1760, diasCredito, IF(E1760="Pago inmediato", 0, IFERROR(VALUE(MID(E1760, 1, SEARCH(" ", E1760)-1)),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60" s="79">
        <f>IF(AN1760="","",IF(AND(N1760&gt;0, AG1760&gt;0), IF(Configuración!$K$2="NO", "ALERTA: DESCUENTO DOBLE NO PERMITIDO", "OK"), "OK"))</f>
        <v/>
      </c>
      <c r="AR1760" s="79">
        <f>IF(AN1760="","",IF(OR(AO1760&lt;&gt;"OK", AP1760&lt;&gt;"OK", AQ1760&lt;&gt;"OK"), "⚠️ REVISAR", "OK"))</f>
        <v/>
      </c>
    </row>
    <row r="1761">
      <c r="A1761" s="79">
        <f>IF('Ordenes_Odoo'!A1761="","",'Ordenes_Odoo'!A1761)</f>
        <v/>
      </c>
      <c r="B1761" s="80">
        <f>IF('Ordenes_Odoo'!B1761="","",'Ordenes_Odoo'!B1761)</f>
        <v/>
      </c>
      <c r="C1761" s="79">
        <f>IF('Ordenes_Odoo'!C1761="","",'Ordenes_Odoo'!C1761)</f>
        <v/>
      </c>
      <c r="D1761" s="79">
        <f>IF('Ordenes_Odoo'!D1761="","",'Ordenes_Odoo'!D1761)</f>
        <v/>
      </c>
      <c r="E1761" s="79">
        <f>IF('Ordenes_Odoo'!E1761="","",'Ordenes_Odoo'!E1761)</f>
        <v/>
      </c>
      <c r="F1761" s="79">
        <f>IF('Ordenes_Odoo'!F1761="","",'Ordenes_Odoo'!F1761)</f>
        <v/>
      </c>
      <c r="G1761" s="79">
        <f>IF('Ordenes_Odoo'!G1761="","",'Ordenes_Odoo'!G1761)</f>
        <v/>
      </c>
      <c r="H1761" s="79">
        <f>IF('Ordenes_Odoo'!H1761="","",'Ordenes_Odoo'!H1761)</f>
        <v/>
      </c>
      <c r="I1761" s="79">
        <f>IF('Ordenes_Odoo'!I1761="","",'Ordenes_Odoo'!I1761)</f>
        <v/>
      </c>
      <c r="J1761" s="79">
        <f>IF('Ordenes_Odoo'!J1761="","",'Ordenes_Odoo'!J1761)</f>
        <v/>
      </c>
      <c r="K1761" s="81">
        <f>IF('Ordenes_Odoo'!K1761="","",'Ordenes_Odoo'!K1761)</f>
        <v/>
      </c>
      <c r="L1761" s="81">
        <f>IF('Ordenes_Odoo'!L1761="","",'Ordenes_Odoo'!L1761)</f>
        <v/>
      </c>
      <c r="M1761" s="79">
        <f>IF('Ordenes_Odoo'!M1761="","",'Ordenes_Odoo'!M1761)</f>
        <v/>
      </c>
      <c r="N1761" s="79">
        <f>IF('Ordenes_Odoo'!N1761="","",'Ordenes_Odoo'!N1761)</f>
        <v/>
      </c>
      <c r="O1761" s="81">
        <f>IF('Ordenes_Odoo'!O1761="","",'Ordenes_Odoo'!O1761)</f>
        <v/>
      </c>
      <c r="P1761" s="81">
        <f>IF('Ordenes_Odoo'!P1761="","",'Ordenes_Odoo'!P1761)</f>
        <v/>
      </c>
      <c r="Q1761" s="79">
        <f>IF(A1761="","",IFERROR(INDEX(Facturas_Odoo!$B:$B, MATCH(A1761, Facturas_Odoo!$D:$D, 0)), "Sin Factura"))</f>
        <v/>
      </c>
      <c r="R1761" s="80">
        <f>IF(Q1761="Sin Factura","",IFERROR(INDEX(Facturas_Odoo!$A:$A, MATCH(Q1761, Facturas_Odoo!$B:$B, 0)), ""))</f>
        <v/>
      </c>
      <c r="S1761" s="79">
        <f>IF(Q1761="Sin Factura","",IFERROR(_xlfn.XLOOKUP(1, (Facturas_Odoo!$D:$D=A1761) * (Facturas_Odoo!$K:$K=I1761), Facturas_Odoo!$L:$L, ""), ""))</f>
        <v/>
      </c>
      <c r="T1761" s="81">
        <f>IF(Q1761="Sin Factura",0,IFERROR(_xlfn.XLOOKUP(1, (Facturas_Odoo!$D:$D=A1761) * (Facturas_Odoo!$K:$K=I1761), Facturas_Odoo!$M:$M, 0), 0))</f>
        <v/>
      </c>
      <c r="U1761" s="79">
        <f>IF(Q1761="Sin Factura",0,IFERROR(_xlfn.XLOOKUP(1, (Facturas_Odoo!$D:$D=A1761) * (Facturas_Odoo!$K:$K=I1761), Facturas_Odoo!$N:$N, 0), 0))</f>
        <v/>
      </c>
      <c r="V1761" s="79">
        <f>IF(Q1761="Sin Factura",0,IFERROR(_xlfn.XLOOKUP(1, (Facturas_Odoo!$D:$D=A1761) * (Facturas_Odoo!$K:$K=I1761), Facturas_Odoo!$O:$O, 0), 0))</f>
        <v/>
      </c>
      <c r="W1761" s="81">
        <f>IF(Q1761="Sin Factura",0,IFERROR(_xlfn.XLOOKUP(1, (Facturas_Odoo!$D:$D=A1761) * (Facturas_Odoo!$K:$K=I1761), Facturas_Odoo!$Q:$Q, 0), 0))</f>
        <v/>
      </c>
      <c r="X1761" s="79">
        <f>IF(OR(Q1761="Sin Factura",Q1761=""),"",IFERROR(INDEX(Pagos_Odoo!$B:$B, MATCH(Q1761, Pagos_Odoo!$I:$I, 0)), "Sin Pago"))</f>
        <v/>
      </c>
      <c r="Y1761" s="79">
        <f>IF(X1761="Sin Pago","",IFERROR(INDEX(Pagos_Odoo!$C:$C, MATCH(X1761, Pagos_Odoo!$B:$B, 0)), ""))</f>
        <v/>
      </c>
      <c r="Z1761" s="80">
        <f>IF(X1761="Sin Pago","",IFERROR(INDEX(Pagos_Odoo!$A:$A, MATCH(X1761, Pagos_Odoo!$B:$B, 0)), ""))</f>
        <v/>
      </c>
      <c r="AA1761" s="79">
        <f>IF(X1761="Sin Pago","",IFERROR(INDEX(Pagos_Odoo!$F:$F, MATCH(X1761, Pagos_Odoo!$B:$B, 0)), ""))</f>
        <v/>
      </c>
      <c r="AB1761" s="81">
        <f>IF(X1761="Sin Pago",0,IFERROR(INDEX(Pagos_Odoo!$E:$E, MATCH(X1761, Pagos_Odoo!$B:$B, 0)), 0))</f>
        <v/>
      </c>
      <c r="AC1761" s="79">
        <f>IF(X1761="Sin Pago","",IFERROR(INDEX(Pagos_Odoo!$G:$G, MATCH(X1761, Pagos_Odoo!$B:$B, 0)), ""))</f>
        <v/>
      </c>
      <c r="AD1761" s="82" t="n">
        <v>0</v>
      </c>
      <c r="AE1761" s="82" t="n"/>
      <c r="AF1761" s="82" t="n"/>
      <c r="AG1761" s="82">
        <f>IF(AN1761="","",AD1761+AE1761+AF1761)</f>
        <v/>
      </c>
      <c r="AH1761" s="81">
        <f>IF(AN1761="","",P1761*(1-AG1761))</f>
        <v/>
      </c>
      <c r="AI1761" s="81">
        <f>IF(AN1761="","",IF(Q1761="Sin Factura",0,IFERROR(INDEX(Facturas_Odoo!$H:$H, MATCH(Q1761, Facturas_Odoo!$B:$B, 0)), 0)*(1-AG1761)))</f>
        <v/>
      </c>
      <c r="AJ1761" s="81">
        <f>IF(AN1761="","",_xlfn.LET(idVenta, AN1761&amp;"",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61" s="81">
        <f>IF(AN1761="","",AH1761-AJ1761)</f>
        <v/>
      </c>
      <c r="AL1761" s="81">
        <f>IF(AN1761="","",IF(Q1761="Sin Factura","",AI1761-AJ1761))</f>
        <v/>
      </c>
      <c r="AM1761" s="81">
        <f>IF(AN1761="","",IF(Q1761="Sin Factura",0,P1761-IFERROR(INDEX(Facturas_Odoo!$H:$H, MATCH(Q1761, Facturas_Odoo!$B:$B, 0)), 0)))</f>
        <v/>
      </c>
      <c r="AN1761" s="79">
        <f>IF(AND(A1761="", J1761=""), "", IF(A1761&lt;&gt;"", VALUE(MID(A1761,2,LEN(A1761))), AN1760))</f>
        <v/>
      </c>
      <c r="AO1761" s="79">
        <f>IF(AN1761="","",IF(AD1761=0,"OK",_xlfn.LET(monedaPago, IF(AA1761="","USD",AA1761), limitePermitido, IFERROR(VLOOKUP(monedaPago, Configuración!$A$2:$B$3, 2, FALSE), 0.15), IF(AD1761&gt;limitePermitido, "ALERTA: EXCESO (" &amp; TEXT(limitePermitido, "0%") &amp; " máx)", "OK"))))</f>
        <v/>
      </c>
      <c r="AP1761" s="79">
        <f>IF(AN1761="","",IF(AE1761=0,"OK",_xlfn.LET(fechaPago, Z1761, fechaFactura, R1761, diasCredito, IF(E1761="Pago inmediato", 0, IFERROR(VALUE(MID(E1761, 1, SEARCH(" ", E1761)-1)),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61" s="79">
        <f>IF(AN1761="","",IF(AND(N1761&gt;0, AG1761&gt;0), IF(Configuración!$K$2="NO", "ALERTA: DESCUENTO DOBLE NO PERMITIDO", "OK"), "OK"))</f>
        <v/>
      </c>
      <c r="AR1761" s="79">
        <f>IF(AN1761="","",IF(OR(AO1761&lt;&gt;"OK", AP1761&lt;&gt;"OK", AQ1761&lt;&gt;"OK"), "⚠️ REVISAR", "OK"))</f>
        <v/>
      </c>
    </row>
    <row r="1762">
      <c r="A1762" s="79">
        <f>IF('Ordenes_Odoo'!A1762="","",'Ordenes_Odoo'!A1762)</f>
        <v/>
      </c>
      <c r="B1762" s="80">
        <f>IF('Ordenes_Odoo'!B1762="","",'Ordenes_Odoo'!B1762)</f>
        <v/>
      </c>
      <c r="C1762" s="79">
        <f>IF('Ordenes_Odoo'!C1762="","",'Ordenes_Odoo'!C1762)</f>
        <v/>
      </c>
      <c r="D1762" s="79">
        <f>IF('Ordenes_Odoo'!D1762="","",'Ordenes_Odoo'!D1762)</f>
        <v/>
      </c>
      <c r="E1762" s="79">
        <f>IF('Ordenes_Odoo'!E1762="","",'Ordenes_Odoo'!E1762)</f>
        <v/>
      </c>
      <c r="F1762" s="79">
        <f>IF('Ordenes_Odoo'!F1762="","",'Ordenes_Odoo'!F1762)</f>
        <v/>
      </c>
      <c r="G1762" s="79">
        <f>IF('Ordenes_Odoo'!G1762="","",'Ordenes_Odoo'!G1762)</f>
        <v/>
      </c>
      <c r="H1762" s="79">
        <f>IF('Ordenes_Odoo'!H1762="","",'Ordenes_Odoo'!H1762)</f>
        <v/>
      </c>
      <c r="I1762" s="79">
        <f>IF('Ordenes_Odoo'!I1762="","",'Ordenes_Odoo'!I1762)</f>
        <v/>
      </c>
      <c r="J1762" s="79">
        <f>IF('Ordenes_Odoo'!J1762="","",'Ordenes_Odoo'!J1762)</f>
        <v/>
      </c>
      <c r="K1762" s="81">
        <f>IF('Ordenes_Odoo'!K1762="","",'Ordenes_Odoo'!K1762)</f>
        <v/>
      </c>
      <c r="L1762" s="81">
        <f>IF('Ordenes_Odoo'!L1762="","",'Ordenes_Odoo'!L1762)</f>
        <v/>
      </c>
      <c r="M1762" s="79">
        <f>IF('Ordenes_Odoo'!M1762="","",'Ordenes_Odoo'!M1762)</f>
        <v/>
      </c>
      <c r="N1762" s="79">
        <f>IF('Ordenes_Odoo'!N1762="","",'Ordenes_Odoo'!N1762)</f>
        <v/>
      </c>
      <c r="O1762" s="81">
        <f>IF('Ordenes_Odoo'!O1762="","",'Ordenes_Odoo'!O1762)</f>
        <v/>
      </c>
      <c r="P1762" s="81">
        <f>IF('Ordenes_Odoo'!P1762="","",'Ordenes_Odoo'!P1762)</f>
        <v/>
      </c>
      <c r="Q1762" s="79">
        <f>IF(A1762="","",IFERROR(INDEX(Facturas_Odoo!$B:$B, MATCH(A1762, Facturas_Odoo!$D:$D, 0)), "Sin Factura"))</f>
        <v/>
      </c>
      <c r="R1762" s="80">
        <f>IF(Q1762="Sin Factura","",IFERROR(INDEX(Facturas_Odoo!$A:$A, MATCH(Q1762, Facturas_Odoo!$B:$B, 0)), ""))</f>
        <v/>
      </c>
      <c r="S1762" s="79">
        <f>IF(Q1762="Sin Factura","",IFERROR(_xlfn.XLOOKUP(1, (Facturas_Odoo!$D:$D=A1762) * (Facturas_Odoo!$K:$K=I1762), Facturas_Odoo!$L:$L, ""), ""))</f>
        <v/>
      </c>
      <c r="T1762" s="81">
        <f>IF(Q1762="Sin Factura",0,IFERROR(_xlfn.XLOOKUP(1, (Facturas_Odoo!$D:$D=A1762) * (Facturas_Odoo!$K:$K=I1762), Facturas_Odoo!$M:$M, 0), 0))</f>
        <v/>
      </c>
      <c r="U1762" s="79">
        <f>IF(Q1762="Sin Factura",0,IFERROR(_xlfn.XLOOKUP(1, (Facturas_Odoo!$D:$D=A1762) * (Facturas_Odoo!$K:$K=I1762), Facturas_Odoo!$N:$N, 0), 0))</f>
        <v/>
      </c>
      <c r="V1762" s="79">
        <f>IF(Q1762="Sin Factura",0,IFERROR(_xlfn.XLOOKUP(1, (Facturas_Odoo!$D:$D=A1762) * (Facturas_Odoo!$K:$K=I1762), Facturas_Odoo!$O:$O, 0), 0))</f>
        <v/>
      </c>
      <c r="W1762" s="81">
        <f>IF(Q1762="Sin Factura",0,IFERROR(_xlfn.XLOOKUP(1, (Facturas_Odoo!$D:$D=A1762) * (Facturas_Odoo!$K:$K=I1762), Facturas_Odoo!$Q:$Q, 0), 0))</f>
        <v/>
      </c>
      <c r="X1762" s="79">
        <f>IF(OR(Q1762="Sin Factura",Q1762=""),"",IFERROR(INDEX(Pagos_Odoo!$B:$B, MATCH(Q1762, Pagos_Odoo!$I:$I, 0)), "Sin Pago"))</f>
        <v/>
      </c>
      <c r="Y1762" s="79">
        <f>IF(X1762="Sin Pago","",IFERROR(INDEX(Pagos_Odoo!$C:$C, MATCH(X1762, Pagos_Odoo!$B:$B, 0)), ""))</f>
        <v/>
      </c>
      <c r="Z1762" s="80">
        <f>IF(X1762="Sin Pago","",IFERROR(INDEX(Pagos_Odoo!$A:$A, MATCH(X1762, Pagos_Odoo!$B:$B, 0)), ""))</f>
        <v/>
      </c>
      <c r="AA1762" s="79">
        <f>IF(X1762="Sin Pago","",IFERROR(INDEX(Pagos_Odoo!$F:$F, MATCH(X1762, Pagos_Odoo!$B:$B, 0)), ""))</f>
        <v/>
      </c>
      <c r="AB1762" s="81">
        <f>IF(X1762="Sin Pago",0,IFERROR(INDEX(Pagos_Odoo!$E:$E, MATCH(X1762, Pagos_Odoo!$B:$B, 0)), 0))</f>
        <v/>
      </c>
      <c r="AC1762" s="79">
        <f>IF(X1762="Sin Pago","",IFERROR(INDEX(Pagos_Odoo!$G:$G, MATCH(X1762, Pagos_Odoo!$B:$B, 0)), ""))</f>
        <v/>
      </c>
      <c r="AD1762" s="82" t="n">
        <v>0</v>
      </c>
      <c r="AE1762" s="82" t="n"/>
      <c r="AF1762" s="82" t="n"/>
      <c r="AG1762" s="82">
        <f>IF(AN1762="","",AD1762+AE1762+AF1762)</f>
        <v/>
      </c>
      <c r="AH1762" s="81">
        <f>IF(AN1762="","",P1762*(1-AG1762))</f>
        <v/>
      </c>
      <c r="AI1762" s="81">
        <f>IF(AN1762="","",IF(Q1762="Sin Factura",0,IFERROR(INDEX(Facturas_Odoo!$H:$H, MATCH(Q1762, Facturas_Odoo!$B:$B, 0)), 0)*(1-AG1762)))</f>
        <v/>
      </c>
      <c r="AJ1762" s="81">
        <f>IF(AN1762="","",_xlfn.LET(idVenta, AN1762&amp;"",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62" s="81">
        <f>IF(AN1762="","",AH1762-AJ1762)</f>
        <v/>
      </c>
      <c r="AL1762" s="81">
        <f>IF(AN1762="","",IF(Q1762="Sin Factura","",AI1762-AJ1762))</f>
        <v/>
      </c>
      <c r="AM1762" s="81">
        <f>IF(AN1762="","",IF(Q1762="Sin Factura",0,P1762-IFERROR(INDEX(Facturas_Odoo!$H:$H, MATCH(Q1762, Facturas_Odoo!$B:$B, 0)), 0)))</f>
        <v/>
      </c>
      <c r="AN1762" s="79">
        <f>IF(AND(A1762="", J1762=""), "", IF(A1762&lt;&gt;"", VALUE(MID(A1762,2,LEN(A1762))), AN1761))</f>
        <v/>
      </c>
      <c r="AO1762" s="79">
        <f>IF(AN1762="","",IF(AD1762=0,"OK",_xlfn.LET(monedaPago, IF(AA1762="","USD",AA1762), limitePermitido, IFERROR(VLOOKUP(monedaPago, Configuración!$A$2:$B$3, 2, FALSE), 0.15), IF(AD1762&gt;limitePermitido, "ALERTA: EXCESO (" &amp; TEXT(limitePermitido, "0%") &amp; " máx)", "OK"))))</f>
        <v/>
      </c>
      <c r="AP1762" s="79">
        <f>IF(AN1762="","",IF(AE1762=0,"OK",_xlfn.LET(fechaPago, Z1762, fechaFactura, R1762, diasCredito, IF(E1762="Pago inmediato", 0, IFERROR(VALUE(MID(E1762, 1, SEARCH(" ", E1762)-1)),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62" s="79">
        <f>IF(AN1762="","",IF(AND(N1762&gt;0, AG1762&gt;0), IF(Configuración!$K$2="NO", "ALERTA: DESCUENTO DOBLE NO PERMITIDO", "OK"), "OK"))</f>
        <v/>
      </c>
      <c r="AR1762" s="79">
        <f>IF(AN1762="","",IF(OR(AO1762&lt;&gt;"OK", AP1762&lt;&gt;"OK", AQ1762&lt;&gt;"OK"), "⚠️ REVISAR", "OK"))</f>
        <v/>
      </c>
    </row>
    <row r="1763">
      <c r="A1763" s="79">
        <f>IF('Ordenes_Odoo'!A1763="","",'Ordenes_Odoo'!A1763)</f>
        <v/>
      </c>
      <c r="B1763" s="80">
        <f>IF('Ordenes_Odoo'!B1763="","",'Ordenes_Odoo'!B1763)</f>
        <v/>
      </c>
      <c r="C1763" s="79">
        <f>IF('Ordenes_Odoo'!C1763="","",'Ordenes_Odoo'!C1763)</f>
        <v/>
      </c>
      <c r="D1763" s="79">
        <f>IF('Ordenes_Odoo'!D1763="","",'Ordenes_Odoo'!D1763)</f>
        <v/>
      </c>
      <c r="E1763" s="79">
        <f>IF('Ordenes_Odoo'!E1763="","",'Ordenes_Odoo'!E1763)</f>
        <v/>
      </c>
      <c r="F1763" s="79">
        <f>IF('Ordenes_Odoo'!F1763="","",'Ordenes_Odoo'!F1763)</f>
        <v/>
      </c>
      <c r="G1763" s="79">
        <f>IF('Ordenes_Odoo'!G1763="","",'Ordenes_Odoo'!G1763)</f>
        <v/>
      </c>
      <c r="H1763" s="79">
        <f>IF('Ordenes_Odoo'!H1763="","",'Ordenes_Odoo'!H1763)</f>
        <v/>
      </c>
      <c r="I1763" s="79">
        <f>IF('Ordenes_Odoo'!I1763="","",'Ordenes_Odoo'!I1763)</f>
        <v/>
      </c>
      <c r="J1763" s="79">
        <f>IF('Ordenes_Odoo'!J1763="","",'Ordenes_Odoo'!J1763)</f>
        <v/>
      </c>
      <c r="K1763" s="81">
        <f>IF('Ordenes_Odoo'!K1763="","",'Ordenes_Odoo'!K1763)</f>
        <v/>
      </c>
      <c r="L1763" s="81">
        <f>IF('Ordenes_Odoo'!L1763="","",'Ordenes_Odoo'!L1763)</f>
        <v/>
      </c>
      <c r="M1763" s="79">
        <f>IF('Ordenes_Odoo'!M1763="","",'Ordenes_Odoo'!M1763)</f>
        <v/>
      </c>
      <c r="N1763" s="79">
        <f>IF('Ordenes_Odoo'!N1763="","",'Ordenes_Odoo'!N1763)</f>
        <v/>
      </c>
      <c r="O1763" s="81">
        <f>IF('Ordenes_Odoo'!O1763="","",'Ordenes_Odoo'!O1763)</f>
        <v/>
      </c>
      <c r="P1763" s="81">
        <f>IF('Ordenes_Odoo'!P1763="","",'Ordenes_Odoo'!P1763)</f>
        <v/>
      </c>
      <c r="Q1763" s="79">
        <f>IF(A1763="","",IFERROR(INDEX(Facturas_Odoo!$B:$B, MATCH(A1763, Facturas_Odoo!$D:$D, 0)), "Sin Factura"))</f>
        <v/>
      </c>
      <c r="R1763" s="80">
        <f>IF(Q1763="Sin Factura","",IFERROR(INDEX(Facturas_Odoo!$A:$A, MATCH(Q1763, Facturas_Odoo!$B:$B, 0)), ""))</f>
        <v/>
      </c>
      <c r="S1763" s="79">
        <f>IF(Q1763="Sin Factura","",IFERROR(_xlfn.XLOOKUP(1, (Facturas_Odoo!$D:$D=A1763) * (Facturas_Odoo!$K:$K=I1763), Facturas_Odoo!$L:$L, ""), ""))</f>
        <v/>
      </c>
      <c r="T1763" s="81">
        <f>IF(Q1763="Sin Factura",0,IFERROR(_xlfn.XLOOKUP(1, (Facturas_Odoo!$D:$D=A1763) * (Facturas_Odoo!$K:$K=I1763), Facturas_Odoo!$M:$M, 0), 0))</f>
        <v/>
      </c>
      <c r="U1763" s="79">
        <f>IF(Q1763="Sin Factura",0,IFERROR(_xlfn.XLOOKUP(1, (Facturas_Odoo!$D:$D=A1763) * (Facturas_Odoo!$K:$K=I1763), Facturas_Odoo!$N:$N, 0), 0))</f>
        <v/>
      </c>
      <c r="V1763" s="79">
        <f>IF(Q1763="Sin Factura",0,IFERROR(_xlfn.XLOOKUP(1, (Facturas_Odoo!$D:$D=A1763) * (Facturas_Odoo!$K:$K=I1763), Facturas_Odoo!$O:$O, 0), 0))</f>
        <v/>
      </c>
      <c r="W1763" s="81">
        <f>IF(Q1763="Sin Factura",0,IFERROR(_xlfn.XLOOKUP(1, (Facturas_Odoo!$D:$D=A1763) * (Facturas_Odoo!$K:$K=I1763), Facturas_Odoo!$Q:$Q, 0), 0))</f>
        <v/>
      </c>
      <c r="X1763" s="79">
        <f>IF(OR(Q1763="Sin Factura",Q1763=""),"",IFERROR(INDEX(Pagos_Odoo!$B:$B, MATCH(Q1763, Pagos_Odoo!$I:$I, 0)), "Sin Pago"))</f>
        <v/>
      </c>
      <c r="Y1763" s="79">
        <f>IF(X1763="Sin Pago","",IFERROR(INDEX(Pagos_Odoo!$C:$C, MATCH(X1763, Pagos_Odoo!$B:$B, 0)), ""))</f>
        <v/>
      </c>
      <c r="Z1763" s="80">
        <f>IF(X1763="Sin Pago","",IFERROR(INDEX(Pagos_Odoo!$A:$A, MATCH(X1763, Pagos_Odoo!$B:$B, 0)), ""))</f>
        <v/>
      </c>
      <c r="AA1763" s="79">
        <f>IF(X1763="Sin Pago","",IFERROR(INDEX(Pagos_Odoo!$F:$F, MATCH(X1763, Pagos_Odoo!$B:$B, 0)), ""))</f>
        <v/>
      </c>
      <c r="AB1763" s="81">
        <f>IF(X1763="Sin Pago",0,IFERROR(INDEX(Pagos_Odoo!$E:$E, MATCH(X1763, Pagos_Odoo!$B:$B, 0)), 0))</f>
        <v/>
      </c>
      <c r="AC1763" s="79">
        <f>IF(X1763="Sin Pago","",IFERROR(INDEX(Pagos_Odoo!$G:$G, MATCH(X1763, Pagos_Odoo!$B:$B, 0)), ""))</f>
        <v/>
      </c>
      <c r="AD1763" s="82" t="n">
        <v>0</v>
      </c>
      <c r="AE1763" s="82" t="n"/>
      <c r="AF1763" s="82" t="n"/>
      <c r="AG1763" s="82">
        <f>IF(AN1763="","",AD1763+AE1763+AF1763)</f>
        <v/>
      </c>
      <c r="AH1763" s="81">
        <f>IF(AN1763="","",P1763*(1-AG1763))</f>
        <v/>
      </c>
      <c r="AI1763" s="81">
        <f>IF(AN1763="","",IF(Q1763="Sin Factura",0,IFERROR(INDEX(Facturas_Odoo!$H:$H, MATCH(Q1763, Facturas_Odoo!$B:$B, 0)), 0)*(1-AG1763)))</f>
        <v/>
      </c>
      <c r="AJ1763" s="81">
        <f>IF(AN1763="","",_xlfn.LET(idVenta, AN1763&amp;"",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63" s="81">
        <f>IF(AN1763="","",AH1763-AJ1763)</f>
        <v/>
      </c>
      <c r="AL1763" s="81">
        <f>IF(AN1763="","",IF(Q1763="Sin Factura","",AI1763-AJ1763))</f>
        <v/>
      </c>
      <c r="AM1763" s="81">
        <f>IF(AN1763="","",IF(Q1763="Sin Factura",0,P1763-IFERROR(INDEX(Facturas_Odoo!$H:$H, MATCH(Q1763, Facturas_Odoo!$B:$B, 0)), 0)))</f>
        <v/>
      </c>
      <c r="AN1763" s="79">
        <f>IF(AND(A1763="", J1763=""), "", IF(A1763&lt;&gt;"", VALUE(MID(A1763,2,LEN(A1763))), AN1762))</f>
        <v/>
      </c>
      <c r="AO1763" s="79">
        <f>IF(AN1763="","",IF(AD1763=0,"OK",_xlfn.LET(monedaPago, IF(AA1763="","USD",AA1763), limitePermitido, IFERROR(VLOOKUP(monedaPago, Configuración!$A$2:$B$3, 2, FALSE), 0.15), IF(AD1763&gt;limitePermitido, "ALERTA: EXCESO (" &amp; TEXT(limitePermitido, "0%") &amp; " máx)", "OK"))))</f>
        <v/>
      </c>
      <c r="AP1763" s="79">
        <f>IF(AN1763="","",IF(AE1763=0,"OK",_xlfn.LET(fechaPago, Z1763, fechaFactura, R1763, diasCredito, IF(E1763="Pago inmediato", 0, IFERROR(VALUE(MID(E1763, 1, SEARCH(" ", E1763)-1)),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63" s="79">
        <f>IF(AN1763="","",IF(AND(N1763&gt;0, AG1763&gt;0), IF(Configuración!$K$2="NO", "ALERTA: DESCUENTO DOBLE NO PERMITIDO", "OK"), "OK"))</f>
        <v/>
      </c>
      <c r="AR1763" s="79">
        <f>IF(AN1763="","",IF(OR(AO1763&lt;&gt;"OK", AP1763&lt;&gt;"OK", AQ1763&lt;&gt;"OK"), "⚠️ REVISAR", "OK"))</f>
        <v/>
      </c>
    </row>
    <row r="1764">
      <c r="A1764" s="79">
        <f>IF('Ordenes_Odoo'!A1764="","",'Ordenes_Odoo'!A1764)</f>
        <v/>
      </c>
      <c r="B1764" s="80">
        <f>IF('Ordenes_Odoo'!B1764="","",'Ordenes_Odoo'!B1764)</f>
        <v/>
      </c>
      <c r="C1764" s="79">
        <f>IF('Ordenes_Odoo'!C1764="","",'Ordenes_Odoo'!C1764)</f>
        <v/>
      </c>
      <c r="D1764" s="79">
        <f>IF('Ordenes_Odoo'!D1764="","",'Ordenes_Odoo'!D1764)</f>
        <v/>
      </c>
      <c r="E1764" s="79">
        <f>IF('Ordenes_Odoo'!E1764="","",'Ordenes_Odoo'!E1764)</f>
        <v/>
      </c>
      <c r="F1764" s="79">
        <f>IF('Ordenes_Odoo'!F1764="","",'Ordenes_Odoo'!F1764)</f>
        <v/>
      </c>
      <c r="G1764" s="79">
        <f>IF('Ordenes_Odoo'!G1764="","",'Ordenes_Odoo'!G1764)</f>
        <v/>
      </c>
      <c r="H1764" s="79">
        <f>IF('Ordenes_Odoo'!H1764="","",'Ordenes_Odoo'!H1764)</f>
        <v/>
      </c>
      <c r="I1764" s="79">
        <f>IF('Ordenes_Odoo'!I1764="","",'Ordenes_Odoo'!I1764)</f>
        <v/>
      </c>
      <c r="J1764" s="79">
        <f>IF('Ordenes_Odoo'!J1764="","",'Ordenes_Odoo'!J1764)</f>
        <v/>
      </c>
      <c r="K1764" s="81">
        <f>IF('Ordenes_Odoo'!K1764="","",'Ordenes_Odoo'!K1764)</f>
        <v/>
      </c>
      <c r="L1764" s="81">
        <f>IF('Ordenes_Odoo'!L1764="","",'Ordenes_Odoo'!L1764)</f>
        <v/>
      </c>
      <c r="M1764" s="79">
        <f>IF('Ordenes_Odoo'!M1764="","",'Ordenes_Odoo'!M1764)</f>
        <v/>
      </c>
      <c r="N1764" s="79">
        <f>IF('Ordenes_Odoo'!N1764="","",'Ordenes_Odoo'!N1764)</f>
        <v/>
      </c>
      <c r="O1764" s="81">
        <f>IF('Ordenes_Odoo'!O1764="","",'Ordenes_Odoo'!O1764)</f>
        <v/>
      </c>
      <c r="P1764" s="81">
        <f>IF('Ordenes_Odoo'!P1764="","",'Ordenes_Odoo'!P1764)</f>
        <v/>
      </c>
      <c r="Q1764" s="79">
        <f>IF(A1764="","",IFERROR(INDEX(Facturas_Odoo!$B:$B, MATCH(A1764, Facturas_Odoo!$D:$D, 0)), "Sin Factura"))</f>
        <v/>
      </c>
      <c r="R1764" s="80">
        <f>IF(Q1764="Sin Factura","",IFERROR(INDEX(Facturas_Odoo!$A:$A, MATCH(Q1764, Facturas_Odoo!$B:$B, 0)), ""))</f>
        <v/>
      </c>
      <c r="S1764" s="79">
        <f>IF(Q1764="Sin Factura","",IFERROR(_xlfn.XLOOKUP(1, (Facturas_Odoo!$D:$D=A1764) * (Facturas_Odoo!$K:$K=I1764), Facturas_Odoo!$L:$L, ""), ""))</f>
        <v/>
      </c>
      <c r="T1764" s="81">
        <f>IF(Q1764="Sin Factura",0,IFERROR(_xlfn.XLOOKUP(1, (Facturas_Odoo!$D:$D=A1764) * (Facturas_Odoo!$K:$K=I1764), Facturas_Odoo!$M:$M, 0), 0))</f>
        <v/>
      </c>
      <c r="U1764" s="79">
        <f>IF(Q1764="Sin Factura",0,IFERROR(_xlfn.XLOOKUP(1, (Facturas_Odoo!$D:$D=A1764) * (Facturas_Odoo!$K:$K=I1764), Facturas_Odoo!$N:$N, 0), 0))</f>
        <v/>
      </c>
      <c r="V1764" s="79">
        <f>IF(Q1764="Sin Factura",0,IFERROR(_xlfn.XLOOKUP(1, (Facturas_Odoo!$D:$D=A1764) * (Facturas_Odoo!$K:$K=I1764), Facturas_Odoo!$O:$O, 0), 0))</f>
        <v/>
      </c>
      <c r="W1764" s="81">
        <f>IF(Q1764="Sin Factura",0,IFERROR(_xlfn.XLOOKUP(1, (Facturas_Odoo!$D:$D=A1764) * (Facturas_Odoo!$K:$K=I1764), Facturas_Odoo!$Q:$Q, 0), 0))</f>
        <v/>
      </c>
      <c r="X1764" s="79">
        <f>IF(OR(Q1764="Sin Factura",Q1764=""),"",IFERROR(INDEX(Pagos_Odoo!$B:$B, MATCH(Q1764, Pagos_Odoo!$I:$I, 0)), "Sin Pago"))</f>
        <v/>
      </c>
      <c r="Y1764" s="79">
        <f>IF(X1764="Sin Pago","",IFERROR(INDEX(Pagos_Odoo!$C:$C, MATCH(X1764, Pagos_Odoo!$B:$B, 0)), ""))</f>
        <v/>
      </c>
      <c r="Z1764" s="80">
        <f>IF(X1764="Sin Pago","",IFERROR(INDEX(Pagos_Odoo!$A:$A, MATCH(X1764, Pagos_Odoo!$B:$B, 0)), ""))</f>
        <v/>
      </c>
      <c r="AA1764" s="79">
        <f>IF(X1764="Sin Pago","",IFERROR(INDEX(Pagos_Odoo!$F:$F, MATCH(X1764, Pagos_Odoo!$B:$B, 0)), ""))</f>
        <v/>
      </c>
      <c r="AB1764" s="81">
        <f>IF(X1764="Sin Pago",0,IFERROR(INDEX(Pagos_Odoo!$E:$E, MATCH(X1764, Pagos_Odoo!$B:$B, 0)), 0))</f>
        <v/>
      </c>
      <c r="AC1764" s="79">
        <f>IF(X1764="Sin Pago","",IFERROR(INDEX(Pagos_Odoo!$G:$G, MATCH(X1764, Pagos_Odoo!$B:$B, 0)), ""))</f>
        <v/>
      </c>
      <c r="AD1764" s="82" t="n">
        <v>0</v>
      </c>
      <c r="AE1764" s="82" t="n"/>
      <c r="AF1764" s="82" t="n"/>
      <c r="AG1764" s="82">
        <f>IF(AN1764="","",AD1764+AE1764+AF1764)</f>
        <v/>
      </c>
      <c r="AH1764" s="81">
        <f>IF(AN1764="","",P1764*(1-AG1764))</f>
        <v/>
      </c>
      <c r="AI1764" s="81">
        <f>IF(AN1764="","",IF(Q1764="Sin Factura",0,IFERROR(INDEX(Facturas_Odoo!$H:$H, MATCH(Q1764, Facturas_Odoo!$B:$B, 0)), 0)*(1-AG1764)))</f>
        <v/>
      </c>
      <c r="AJ1764" s="81">
        <f>IF(AN1764="","",_xlfn.LET(idVenta, AN1764&amp;"",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64" s="81">
        <f>IF(AN1764="","",AH1764-AJ1764)</f>
        <v/>
      </c>
      <c r="AL1764" s="81">
        <f>IF(AN1764="","",IF(Q1764="Sin Factura","",AI1764-AJ1764))</f>
        <v/>
      </c>
      <c r="AM1764" s="81">
        <f>IF(AN1764="","",IF(Q1764="Sin Factura",0,P1764-IFERROR(INDEX(Facturas_Odoo!$H:$H, MATCH(Q1764, Facturas_Odoo!$B:$B, 0)), 0)))</f>
        <v/>
      </c>
      <c r="AN1764" s="79">
        <f>IF(AND(A1764="", J1764=""), "", IF(A1764&lt;&gt;"", VALUE(MID(A1764,2,LEN(A1764))), AN1763))</f>
        <v/>
      </c>
      <c r="AO1764" s="79">
        <f>IF(AN1764="","",IF(AD1764=0,"OK",_xlfn.LET(monedaPago, IF(AA1764="","USD",AA1764), limitePermitido, IFERROR(VLOOKUP(monedaPago, Configuración!$A$2:$B$3, 2, FALSE), 0.15), IF(AD1764&gt;limitePermitido, "ALERTA: EXCESO (" &amp; TEXT(limitePermitido, "0%") &amp; " máx)", "OK"))))</f>
        <v/>
      </c>
      <c r="AP1764" s="79">
        <f>IF(AN1764="","",IF(AE1764=0,"OK",_xlfn.LET(fechaPago, Z1764, fechaFactura, R1764, diasCredito, IF(E1764="Pago inmediato", 0, IFERROR(VALUE(MID(E1764, 1, SEARCH(" ", E1764)-1)),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64" s="79">
        <f>IF(AN1764="","",IF(AND(N1764&gt;0, AG1764&gt;0), IF(Configuración!$K$2="NO", "ALERTA: DESCUENTO DOBLE NO PERMITIDO", "OK"), "OK"))</f>
        <v/>
      </c>
      <c r="AR1764" s="79">
        <f>IF(AN1764="","",IF(OR(AO1764&lt;&gt;"OK", AP1764&lt;&gt;"OK", AQ1764&lt;&gt;"OK"), "⚠️ REVISAR", "OK"))</f>
        <v/>
      </c>
    </row>
    <row r="1765">
      <c r="A1765" s="79">
        <f>IF('Ordenes_Odoo'!A1765="","",'Ordenes_Odoo'!A1765)</f>
        <v/>
      </c>
      <c r="B1765" s="80">
        <f>IF('Ordenes_Odoo'!B1765="","",'Ordenes_Odoo'!B1765)</f>
        <v/>
      </c>
      <c r="C1765" s="79">
        <f>IF('Ordenes_Odoo'!C1765="","",'Ordenes_Odoo'!C1765)</f>
        <v/>
      </c>
      <c r="D1765" s="79">
        <f>IF('Ordenes_Odoo'!D1765="","",'Ordenes_Odoo'!D1765)</f>
        <v/>
      </c>
      <c r="E1765" s="79">
        <f>IF('Ordenes_Odoo'!E1765="","",'Ordenes_Odoo'!E1765)</f>
        <v/>
      </c>
      <c r="F1765" s="79">
        <f>IF('Ordenes_Odoo'!F1765="","",'Ordenes_Odoo'!F1765)</f>
        <v/>
      </c>
      <c r="G1765" s="79">
        <f>IF('Ordenes_Odoo'!G1765="","",'Ordenes_Odoo'!G1765)</f>
        <v/>
      </c>
      <c r="H1765" s="79">
        <f>IF('Ordenes_Odoo'!H1765="","",'Ordenes_Odoo'!H1765)</f>
        <v/>
      </c>
      <c r="I1765" s="79">
        <f>IF('Ordenes_Odoo'!I1765="","",'Ordenes_Odoo'!I1765)</f>
        <v/>
      </c>
      <c r="J1765" s="79">
        <f>IF('Ordenes_Odoo'!J1765="","",'Ordenes_Odoo'!J1765)</f>
        <v/>
      </c>
      <c r="K1765" s="81">
        <f>IF('Ordenes_Odoo'!K1765="","",'Ordenes_Odoo'!K1765)</f>
        <v/>
      </c>
      <c r="L1765" s="81">
        <f>IF('Ordenes_Odoo'!L1765="","",'Ordenes_Odoo'!L1765)</f>
        <v/>
      </c>
      <c r="M1765" s="79">
        <f>IF('Ordenes_Odoo'!M1765="","",'Ordenes_Odoo'!M1765)</f>
        <v/>
      </c>
      <c r="N1765" s="79">
        <f>IF('Ordenes_Odoo'!N1765="","",'Ordenes_Odoo'!N1765)</f>
        <v/>
      </c>
      <c r="O1765" s="81">
        <f>IF('Ordenes_Odoo'!O1765="","",'Ordenes_Odoo'!O1765)</f>
        <v/>
      </c>
      <c r="P1765" s="81">
        <f>IF('Ordenes_Odoo'!P1765="","",'Ordenes_Odoo'!P1765)</f>
        <v/>
      </c>
      <c r="Q1765" s="79">
        <f>IF(A1765="","",IFERROR(INDEX(Facturas_Odoo!$B:$B, MATCH(A1765, Facturas_Odoo!$D:$D, 0)), "Sin Factura"))</f>
        <v/>
      </c>
      <c r="R1765" s="80">
        <f>IF(Q1765="Sin Factura","",IFERROR(INDEX(Facturas_Odoo!$A:$A, MATCH(Q1765, Facturas_Odoo!$B:$B, 0)), ""))</f>
        <v/>
      </c>
      <c r="S1765" s="79">
        <f>IF(Q1765="Sin Factura","",IFERROR(_xlfn.XLOOKUP(1, (Facturas_Odoo!$D:$D=A1765) * (Facturas_Odoo!$K:$K=I1765), Facturas_Odoo!$L:$L, ""), ""))</f>
        <v/>
      </c>
      <c r="T1765" s="81">
        <f>IF(Q1765="Sin Factura",0,IFERROR(_xlfn.XLOOKUP(1, (Facturas_Odoo!$D:$D=A1765) * (Facturas_Odoo!$K:$K=I1765), Facturas_Odoo!$M:$M, 0), 0))</f>
        <v/>
      </c>
      <c r="U1765" s="79">
        <f>IF(Q1765="Sin Factura",0,IFERROR(_xlfn.XLOOKUP(1, (Facturas_Odoo!$D:$D=A1765) * (Facturas_Odoo!$K:$K=I1765), Facturas_Odoo!$N:$N, 0), 0))</f>
        <v/>
      </c>
      <c r="V1765" s="79">
        <f>IF(Q1765="Sin Factura",0,IFERROR(_xlfn.XLOOKUP(1, (Facturas_Odoo!$D:$D=A1765) * (Facturas_Odoo!$K:$K=I1765), Facturas_Odoo!$O:$O, 0), 0))</f>
        <v/>
      </c>
      <c r="W1765" s="81">
        <f>IF(Q1765="Sin Factura",0,IFERROR(_xlfn.XLOOKUP(1, (Facturas_Odoo!$D:$D=A1765) * (Facturas_Odoo!$K:$K=I1765), Facturas_Odoo!$Q:$Q, 0), 0))</f>
        <v/>
      </c>
      <c r="X1765" s="79">
        <f>IF(OR(Q1765="Sin Factura",Q1765=""),"",IFERROR(INDEX(Pagos_Odoo!$B:$B, MATCH(Q1765, Pagos_Odoo!$I:$I, 0)), "Sin Pago"))</f>
        <v/>
      </c>
      <c r="Y1765" s="79">
        <f>IF(X1765="Sin Pago","",IFERROR(INDEX(Pagos_Odoo!$C:$C, MATCH(X1765, Pagos_Odoo!$B:$B, 0)), ""))</f>
        <v/>
      </c>
      <c r="Z1765" s="80">
        <f>IF(X1765="Sin Pago","",IFERROR(INDEX(Pagos_Odoo!$A:$A, MATCH(X1765, Pagos_Odoo!$B:$B, 0)), ""))</f>
        <v/>
      </c>
      <c r="AA1765" s="79">
        <f>IF(X1765="Sin Pago","",IFERROR(INDEX(Pagos_Odoo!$F:$F, MATCH(X1765, Pagos_Odoo!$B:$B, 0)), ""))</f>
        <v/>
      </c>
      <c r="AB1765" s="81">
        <f>IF(X1765="Sin Pago",0,IFERROR(INDEX(Pagos_Odoo!$E:$E, MATCH(X1765, Pagos_Odoo!$B:$B, 0)), 0))</f>
        <v/>
      </c>
      <c r="AC1765" s="79">
        <f>IF(X1765="Sin Pago","",IFERROR(INDEX(Pagos_Odoo!$G:$G, MATCH(X1765, Pagos_Odoo!$B:$B, 0)), ""))</f>
        <v/>
      </c>
      <c r="AD1765" s="82" t="n">
        <v>0</v>
      </c>
      <c r="AE1765" s="82" t="n"/>
      <c r="AF1765" s="82" t="n"/>
      <c r="AG1765" s="82">
        <f>IF(AN1765="","",AD1765+AE1765+AF1765)</f>
        <v/>
      </c>
      <c r="AH1765" s="81">
        <f>IF(AN1765="","",P1765*(1-AG1765))</f>
        <v/>
      </c>
      <c r="AI1765" s="81">
        <f>IF(AN1765="","",IF(Q1765="Sin Factura",0,IFERROR(INDEX(Facturas_Odoo!$H:$H, MATCH(Q1765, Facturas_Odoo!$B:$B, 0)), 0)*(1-AG1765)))</f>
        <v/>
      </c>
      <c r="AJ1765" s="81">
        <f>IF(AN1765="","",_xlfn.LET(idVenta, AN1765&amp;"",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65" s="81">
        <f>IF(AN1765="","",AH1765-AJ1765)</f>
        <v/>
      </c>
      <c r="AL1765" s="81">
        <f>IF(AN1765="","",IF(Q1765="Sin Factura","",AI1765-AJ1765))</f>
        <v/>
      </c>
      <c r="AM1765" s="81">
        <f>IF(AN1765="","",IF(Q1765="Sin Factura",0,P1765-IFERROR(INDEX(Facturas_Odoo!$H:$H, MATCH(Q1765, Facturas_Odoo!$B:$B, 0)), 0)))</f>
        <v/>
      </c>
      <c r="AN1765" s="79">
        <f>IF(AND(A1765="", J1765=""), "", IF(A1765&lt;&gt;"", VALUE(MID(A1765,2,LEN(A1765))), AN1764))</f>
        <v/>
      </c>
      <c r="AO1765" s="79">
        <f>IF(AN1765="","",IF(AD1765=0,"OK",_xlfn.LET(monedaPago, IF(AA1765="","USD",AA1765), limitePermitido, IFERROR(VLOOKUP(monedaPago, Configuración!$A$2:$B$3, 2, FALSE), 0.15), IF(AD1765&gt;limitePermitido, "ALERTA: EXCESO (" &amp; TEXT(limitePermitido, "0%") &amp; " máx)", "OK"))))</f>
        <v/>
      </c>
      <c r="AP1765" s="79">
        <f>IF(AN1765="","",IF(AE1765=0,"OK",_xlfn.LET(fechaPago, Z1765, fechaFactura, R1765, diasCredito, IF(E1765="Pago inmediato", 0, IFERROR(VALUE(MID(E1765, 1, SEARCH(" ", E1765)-1)),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65" s="79">
        <f>IF(AN1765="","",IF(AND(N1765&gt;0, AG1765&gt;0), IF(Configuración!$K$2="NO", "ALERTA: DESCUENTO DOBLE NO PERMITIDO", "OK"), "OK"))</f>
        <v/>
      </c>
      <c r="AR1765" s="79">
        <f>IF(AN1765="","",IF(OR(AO1765&lt;&gt;"OK", AP1765&lt;&gt;"OK", AQ1765&lt;&gt;"OK"), "⚠️ REVISAR", "OK"))</f>
        <v/>
      </c>
    </row>
    <row r="1766">
      <c r="A1766" s="79">
        <f>IF('Ordenes_Odoo'!A1766="","",'Ordenes_Odoo'!A1766)</f>
        <v/>
      </c>
      <c r="B1766" s="80">
        <f>IF('Ordenes_Odoo'!B1766="","",'Ordenes_Odoo'!B1766)</f>
        <v/>
      </c>
      <c r="C1766" s="79">
        <f>IF('Ordenes_Odoo'!C1766="","",'Ordenes_Odoo'!C1766)</f>
        <v/>
      </c>
      <c r="D1766" s="79">
        <f>IF('Ordenes_Odoo'!D1766="","",'Ordenes_Odoo'!D1766)</f>
        <v/>
      </c>
      <c r="E1766" s="79">
        <f>IF('Ordenes_Odoo'!E1766="","",'Ordenes_Odoo'!E1766)</f>
        <v/>
      </c>
      <c r="F1766" s="79">
        <f>IF('Ordenes_Odoo'!F1766="","",'Ordenes_Odoo'!F1766)</f>
        <v/>
      </c>
      <c r="G1766" s="79">
        <f>IF('Ordenes_Odoo'!G1766="","",'Ordenes_Odoo'!G1766)</f>
        <v/>
      </c>
      <c r="H1766" s="79">
        <f>IF('Ordenes_Odoo'!H1766="","",'Ordenes_Odoo'!H1766)</f>
        <v/>
      </c>
      <c r="I1766" s="79">
        <f>IF('Ordenes_Odoo'!I1766="","",'Ordenes_Odoo'!I1766)</f>
        <v/>
      </c>
      <c r="J1766" s="79">
        <f>IF('Ordenes_Odoo'!J1766="","",'Ordenes_Odoo'!J1766)</f>
        <v/>
      </c>
      <c r="K1766" s="81">
        <f>IF('Ordenes_Odoo'!K1766="","",'Ordenes_Odoo'!K1766)</f>
        <v/>
      </c>
      <c r="L1766" s="81">
        <f>IF('Ordenes_Odoo'!L1766="","",'Ordenes_Odoo'!L1766)</f>
        <v/>
      </c>
      <c r="M1766" s="79">
        <f>IF('Ordenes_Odoo'!M1766="","",'Ordenes_Odoo'!M1766)</f>
        <v/>
      </c>
      <c r="N1766" s="79">
        <f>IF('Ordenes_Odoo'!N1766="","",'Ordenes_Odoo'!N1766)</f>
        <v/>
      </c>
      <c r="O1766" s="81">
        <f>IF('Ordenes_Odoo'!O1766="","",'Ordenes_Odoo'!O1766)</f>
        <v/>
      </c>
      <c r="P1766" s="81">
        <f>IF('Ordenes_Odoo'!P1766="","",'Ordenes_Odoo'!P1766)</f>
        <v/>
      </c>
      <c r="Q1766" s="79">
        <f>IF(A1766="","",IFERROR(INDEX(Facturas_Odoo!$B:$B, MATCH(A1766, Facturas_Odoo!$D:$D, 0)), "Sin Factura"))</f>
        <v/>
      </c>
      <c r="R1766" s="80">
        <f>IF(Q1766="Sin Factura","",IFERROR(INDEX(Facturas_Odoo!$A:$A, MATCH(Q1766, Facturas_Odoo!$B:$B, 0)), ""))</f>
        <v/>
      </c>
      <c r="S1766" s="79">
        <f>IF(Q1766="Sin Factura","",IFERROR(_xlfn.XLOOKUP(1, (Facturas_Odoo!$D:$D=A1766) * (Facturas_Odoo!$K:$K=I1766), Facturas_Odoo!$L:$L, ""), ""))</f>
        <v/>
      </c>
      <c r="T1766" s="81">
        <f>IF(Q1766="Sin Factura",0,IFERROR(_xlfn.XLOOKUP(1, (Facturas_Odoo!$D:$D=A1766) * (Facturas_Odoo!$K:$K=I1766), Facturas_Odoo!$M:$M, 0), 0))</f>
        <v/>
      </c>
      <c r="U1766" s="79">
        <f>IF(Q1766="Sin Factura",0,IFERROR(_xlfn.XLOOKUP(1, (Facturas_Odoo!$D:$D=A1766) * (Facturas_Odoo!$K:$K=I1766), Facturas_Odoo!$N:$N, 0), 0))</f>
        <v/>
      </c>
      <c r="V1766" s="79">
        <f>IF(Q1766="Sin Factura",0,IFERROR(_xlfn.XLOOKUP(1, (Facturas_Odoo!$D:$D=A1766) * (Facturas_Odoo!$K:$K=I1766), Facturas_Odoo!$O:$O, 0), 0))</f>
        <v/>
      </c>
      <c r="W1766" s="81">
        <f>IF(Q1766="Sin Factura",0,IFERROR(_xlfn.XLOOKUP(1, (Facturas_Odoo!$D:$D=A1766) * (Facturas_Odoo!$K:$K=I1766), Facturas_Odoo!$Q:$Q, 0), 0))</f>
        <v/>
      </c>
      <c r="X1766" s="79">
        <f>IF(OR(Q1766="Sin Factura",Q1766=""),"",IFERROR(INDEX(Pagos_Odoo!$B:$B, MATCH(Q1766, Pagos_Odoo!$I:$I, 0)), "Sin Pago"))</f>
        <v/>
      </c>
      <c r="Y1766" s="79">
        <f>IF(X1766="Sin Pago","",IFERROR(INDEX(Pagos_Odoo!$C:$C, MATCH(X1766, Pagos_Odoo!$B:$B, 0)), ""))</f>
        <v/>
      </c>
      <c r="Z1766" s="80">
        <f>IF(X1766="Sin Pago","",IFERROR(INDEX(Pagos_Odoo!$A:$A, MATCH(X1766, Pagos_Odoo!$B:$B, 0)), ""))</f>
        <v/>
      </c>
      <c r="AA1766" s="79">
        <f>IF(X1766="Sin Pago","",IFERROR(INDEX(Pagos_Odoo!$F:$F, MATCH(X1766, Pagos_Odoo!$B:$B, 0)), ""))</f>
        <v/>
      </c>
      <c r="AB1766" s="81">
        <f>IF(X1766="Sin Pago",0,IFERROR(INDEX(Pagos_Odoo!$E:$E, MATCH(X1766, Pagos_Odoo!$B:$B, 0)), 0))</f>
        <v/>
      </c>
      <c r="AC1766" s="79">
        <f>IF(X1766="Sin Pago","",IFERROR(INDEX(Pagos_Odoo!$G:$G, MATCH(X1766, Pagos_Odoo!$B:$B, 0)), ""))</f>
        <v/>
      </c>
      <c r="AD1766" s="82" t="n">
        <v>0</v>
      </c>
      <c r="AE1766" s="82" t="n"/>
      <c r="AF1766" s="82" t="n"/>
      <c r="AG1766" s="82">
        <f>IF(AN1766="","",AD1766+AE1766+AF1766)</f>
        <v/>
      </c>
      <c r="AH1766" s="81">
        <f>IF(AN1766="","",P1766*(1-AG1766))</f>
        <v/>
      </c>
      <c r="AI1766" s="81">
        <f>IF(AN1766="","",IF(Q1766="Sin Factura",0,IFERROR(INDEX(Facturas_Odoo!$H:$H, MATCH(Q1766, Facturas_Odoo!$B:$B, 0)), 0)*(1-AG1766)))</f>
        <v/>
      </c>
      <c r="AJ1766" s="81">
        <f>IF(AN1766="","",_xlfn.LET(idVenta, AN1766&amp;"",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66" s="81">
        <f>IF(AN1766="","",AH1766-AJ1766)</f>
        <v/>
      </c>
      <c r="AL1766" s="81">
        <f>IF(AN1766="","",IF(Q1766="Sin Factura","",AI1766-AJ1766))</f>
        <v/>
      </c>
      <c r="AM1766" s="81">
        <f>IF(AN1766="","",IF(Q1766="Sin Factura",0,P1766-IFERROR(INDEX(Facturas_Odoo!$H:$H, MATCH(Q1766, Facturas_Odoo!$B:$B, 0)), 0)))</f>
        <v/>
      </c>
      <c r="AN1766" s="79">
        <f>IF(AND(A1766="", J1766=""), "", IF(A1766&lt;&gt;"", VALUE(MID(A1766,2,LEN(A1766))), AN1765))</f>
        <v/>
      </c>
      <c r="AO1766" s="79">
        <f>IF(AN1766="","",IF(AD1766=0,"OK",_xlfn.LET(monedaPago, IF(AA1766="","USD",AA1766), limitePermitido, IFERROR(VLOOKUP(monedaPago, Configuración!$A$2:$B$3, 2, FALSE), 0.15), IF(AD1766&gt;limitePermitido, "ALERTA: EXCESO (" &amp; TEXT(limitePermitido, "0%") &amp; " máx)", "OK"))))</f>
        <v/>
      </c>
      <c r="AP1766" s="79">
        <f>IF(AN1766="","",IF(AE1766=0,"OK",_xlfn.LET(fechaPago, Z1766, fechaFactura, R1766, diasCredito, IF(E1766="Pago inmediato", 0, IFERROR(VALUE(MID(E1766, 1, SEARCH(" ", E1766)-1)),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66" s="79">
        <f>IF(AN1766="","",IF(AND(N1766&gt;0, AG1766&gt;0), IF(Configuración!$K$2="NO", "ALERTA: DESCUENTO DOBLE NO PERMITIDO", "OK"), "OK"))</f>
        <v/>
      </c>
      <c r="AR1766" s="79">
        <f>IF(AN1766="","",IF(OR(AO1766&lt;&gt;"OK", AP1766&lt;&gt;"OK", AQ1766&lt;&gt;"OK"), "⚠️ REVISAR", "OK"))</f>
        <v/>
      </c>
    </row>
    <row r="1767">
      <c r="A1767" s="79">
        <f>IF('Ordenes_Odoo'!A1767="","",'Ordenes_Odoo'!A1767)</f>
        <v/>
      </c>
      <c r="B1767" s="80">
        <f>IF('Ordenes_Odoo'!B1767="","",'Ordenes_Odoo'!B1767)</f>
        <v/>
      </c>
      <c r="C1767" s="79">
        <f>IF('Ordenes_Odoo'!C1767="","",'Ordenes_Odoo'!C1767)</f>
        <v/>
      </c>
      <c r="D1767" s="79">
        <f>IF('Ordenes_Odoo'!D1767="","",'Ordenes_Odoo'!D1767)</f>
        <v/>
      </c>
      <c r="E1767" s="79">
        <f>IF('Ordenes_Odoo'!E1767="","",'Ordenes_Odoo'!E1767)</f>
        <v/>
      </c>
      <c r="F1767" s="79">
        <f>IF('Ordenes_Odoo'!F1767="","",'Ordenes_Odoo'!F1767)</f>
        <v/>
      </c>
      <c r="G1767" s="79">
        <f>IF('Ordenes_Odoo'!G1767="","",'Ordenes_Odoo'!G1767)</f>
        <v/>
      </c>
      <c r="H1767" s="79">
        <f>IF('Ordenes_Odoo'!H1767="","",'Ordenes_Odoo'!H1767)</f>
        <v/>
      </c>
      <c r="I1767" s="79">
        <f>IF('Ordenes_Odoo'!I1767="","",'Ordenes_Odoo'!I1767)</f>
        <v/>
      </c>
      <c r="J1767" s="79">
        <f>IF('Ordenes_Odoo'!J1767="","",'Ordenes_Odoo'!J1767)</f>
        <v/>
      </c>
      <c r="K1767" s="81">
        <f>IF('Ordenes_Odoo'!K1767="","",'Ordenes_Odoo'!K1767)</f>
        <v/>
      </c>
      <c r="L1767" s="81">
        <f>IF('Ordenes_Odoo'!L1767="","",'Ordenes_Odoo'!L1767)</f>
        <v/>
      </c>
      <c r="M1767" s="79">
        <f>IF('Ordenes_Odoo'!M1767="","",'Ordenes_Odoo'!M1767)</f>
        <v/>
      </c>
      <c r="N1767" s="79">
        <f>IF('Ordenes_Odoo'!N1767="","",'Ordenes_Odoo'!N1767)</f>
        <v/>
      </c>
      <c r="O1767" s="81">
        <f>IF('Ordenes_Odoo'!O1767="","",'Ordenes_Odoo'!O1767)</f>
        <v/>
      </c>
      <c r="P1767" s="81">
        <f>IF('Ordenes_Odoo'!P1767="","",'Ordenes_Odoo'!P1767)</f>
        <v/>
      </c>
      <c r="Q1767" s="79">
        <f>IF(A1767="","",IFERROR(INDEX(Facturas_Odoo!$B:$B, MATCH(A1767, Facturas_Odoo!$D:$D, 0)), "Sin Factura"))</f>
        <v/>
      </c>
      <c r="R1767" s="80">
        <f>IF(Q1767="Sin Factura","",IFERROR(INDEX(Facturas_Odoo!$A:$A, MATCH(Q1767, Facturas_Odoo!$B:$B, 0)), ""))</f>
        <v/>
      </c>
      <c r="S1767" s="79">
        <f>IF(Q1767="Sin Factura","",IFERROR(_xlfn.XLOOKUP(1, (Facturas_Odoo!$D:$D=A1767) * (Facturas_Odoo!$K:$K=I1767), Facturas_Odoo!$L:$L, ""), ""))</f>
        <v/>
      </c>
      <c r="T1767" s="81">
        <f>IF(Q1767="Sin Factura",0,IFERROR(_xlfn.XLOOKUP(1, (Facturas_Odoo!$D:$D=A1767) * (Facturas_Odoo!$K:$K=I1767), Facturas_Odoo!$M:$M, 0), 0))</f>
        <v/>
      </c>
      <c r="U1767" s="79">
        <f>IF(Q1767="Sin Factura",0,IFERROR(_xlfn.XLOOKUP(1, (Facturas_Odoo!$D:$D=A1767) * (Facturas_Odoo!$K:$K=I1767), Facturas_Odoo!$N:$N, 0), 0))</f>
        <v/>
      </c>
      <c r="V1767" s="79">
        <f>IF(Q1767="Sin Factura",0,IFERROR(_xlfn.XLOOKUP(1, (Facturas_Odoo!$D:$D=A1767) * (Facturas_Odoo!$K:$K=I1767), Facturas_Odoo!$O:$O, 0), 0))</f>
        <v/>
      </c>
      <c r="W1767" s="81">
        <f>IF(Q1767="Sin Factura",0,IFERROR(_xlfn.XLOOKUP(1, (Facturas_Odoo!$D:$D=A1767) * (Facturas_Odoo!$K:$K=I1767), Facturas_Odoo!$Q:$Q, 0), 0))</f>
        <v/>
      </c>
      <c r="X1767" s="79">
        <f>IF(OR(Q1767="Sin Factura",Q1767=""),"",IFERROR(INDEX(Pagos_Odoo!$B:$B, MATCH(Q1767, Pagos_Odoo!$I:$I, 0)), "Sin Pago"))</f>
        <v/>
      </c>
      <c r="Y1767" s="79">
        <f>IF(X1767="Sin Pago","",IFERROR(INDEX(Pagos_Odoo!$C:$C, MATCH(X1767, Pagos_Odoo!$B:$B, 0)), ""))</f>
        <v/>
      </c>
      <c r="Z1767" s="80">
        <f>IF(X1767="Sin Pago","",IFERROR(INDEX(Pagos_Odoo!$A:$A, MATCH(X1767, Pagos_Odoo!$B:$B, 0)), ""))</f>
        <v/>
      </c>
      <c r="AA1767" s="79">
        <f>IF(X1767="Sin Pago","",IFERROR(INDEX(Pagos_Odoo!$F:$F, MATCH(X1767, Pagos_Odoo!$B:$B, 0)), ""))</f>
        <v/>
      </c>
      <c r="AB1767" s="81">
        <f>IF(X1767="Sin Pago",0,IFERROR(INDEX(Pagos_Odoo!$E:$E, MATCH(X1767, Pagos_Odoo!$B:$B, 0)), 0))</f>
        <v/>
      </c>
      <c r="AC1767" s="79">
        <f>IF(X1767="Sin Pago","",IFERROR(INDEX(Pagos_Odoo!$G:$G, MATCH(X1767, Pagos_Odoo!$B:$B, 0)), ""))</f>
        <v/>
      </c>
      <c r="AD1767" s="82" t="n">
        <v>0</v>
      </c>
      <c r="AE1767" s="82" t="n"/>
      <c r="AF1767" s="82" t="n"/>
      <c r="AG1767" s="82">
        <f>IF(AN1767="","",AD1767+AE1767+AF1767)</f>
        <v/>
      </c>
      <c r="AH1767" s="81">
        <f>IF(AN1767="","",P1767*(1-AG1767))</f>
        <v/>
      </c>
      <c r="AI1767" s="81">
        <f>IF(AN1767="","",IF(Q1767="Sin Factura",0,IFERROR(INDEX(Facturas_Odoo!$H:$H, MATCH(Q1767, Facturas_Odoo!$B:$B, 0)), 0)*(1-AG1767)))</f>
        <v/>
      </c>
      <c r="AJ1767" s="81">
        <f>IF(AN1767="","",_xlfn.LET(idVenta, AN1767&amp;"",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67" s="81">
        <f>IF(AN1767="","",AH1767-AJ1767)</f>
        <v/>
      </c>
      <c r="AL1767" s="81">
        <f>IF(AN1767="","",IF(Q1767="Sin Factura","",AI1767-AJ1767))</f>
        <v/>
      </c>
      <c r="AM1767" s="81">
        <f>IF(AN1767="","",IF(Q1767="Sin Factura",0,P1767-IFERROR(INDEX(Facturas_Odoo!$H:$H, MATCH(Q1767, Facturas_Odoo!$B:$B, 0)), 0)))</f>
        <v/>
      </c>
      <c r="AN1767" s="79">
        <f>IF(AND(A1767="", J1767=""), "", IF(A1767&lt;&gt;"", VALUE(MID(A1767,2,LEN(A1767))), AN1766))</f>
        <v/>
      </c>
      <c r="AO1767" s="79">
        <f>IF(AN1767="","",IF(AD1767=0,"OK",_xlfn.LET(monedaPago, IF(AA1767="","USD",AA1767), limitePermitido, IFERROR(VLOOKUP(monedaPago, Configuración!$A$2:$B$3, 2, FALSE), 0.15), IF(AD1767&gt;limitePermitido, "ALERTA: EXCESO (" &amp; TEXT(limitePermitido, "0%") &amp; " máx)", "OK"))))</f>
        <v/>
      </c>
      <c r="AP1767" s="79">
        <f>IF(AN1767="","",IF(AE1767=0,"OK",_xlfn.LET(fechaPago, Z1767, fechaFactura, R1767, diasCredito, IF(E1767="Pago inmediato", 0, IFERROR(VALUE(MID(E1767, 1, SEARCH(" ", E1767)-1)),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67" s="79">
        <f>IF(AN1767="","",IF(AND(N1767&gt;0, AG1767&gt;0), IF(Configuración!$K$2="NO", "ALERTA: DESCUENTO DOBLE NO PERMITIDO", "OK"), "OK"))</f>
        <v/>
      </c>
      <c r="AR1767" s="79">
        <f>IF(AN1767="","",IF(OR(AO1767&lt;&gt;"OK", AP1767&lt;&gt;"OK", AQ1767&lt;&gt;"OK"), "⚠️ REVISAR", "OK"))</f>
        <v/>
      </c>
    </row>
    <row r="1768">
      <c r="A1768" s="79">
        <f>IF('Ordenes_Odoo'!A1768="","",'Ordenes_Odoo'!A1768)</f>
        <v/>
      </c>
      <c r="B1768" s="80">
        <f>IF('Ordenes_Odoo'!B1768="","",'Ordenes_Odoo'!B1768)</f>
        <v/>
      </c>
      <c r="C1768" s="79">
        <f>IF('Ordenes_Odoo'!C1768="","",'Ordenes_Odoo'!C1768)</f>
        <v/>
      </c>
      <c r="D1768" s="79">
        <f>IF('Ordenes_Odoo'!D1768="","",'Ordenes_Odoo'!D1768)</f>
        <v/>
      </c>
      <c r="E1768" s="79">
        <f>IF('Ordenes_Odoo'!E1768="","",'Ordenes_Odoo'!E1768)</f>
        <v/>
      </c>
      <c r="F1768" s="79">
        <f>IF('Ordenes_Odoo'!F1768="","",'Ordenes_Odoo'!F1768)</f>
        <v/>
      </c>
      <c r="G1768" s="79">
        <f>IF('Ordenes_Odoo'!G1768="","",'Ordenes_Odoo'!G1768)</f>
        <v/>
      </c>
      <c r="H1768" s="79">
        <f>IF('Ordenes_Odoo'!H1768="","",'Ordenes_Odoo'!H1768)</f>
        <v/>
      </c>
      <c r="I1768" s="79">
        <f>IF('Ordenes_Odoo'!I1768="","",'Ordenes_Odoo'!I1768)</f>
        <v/>
      </c>
      <c r="J1768" s="79">
        <f>IF('Ordenes_Odoo'!J1768="","",'Ordenes_Odoo'!J1768)</f>
        <v/>
      </c>
      <c r="K1768" s="81">
        <f>IF('Ordenes_Odoo'!K1768="","",'Ordenes_Odoo'!K1768)</f>
        <v/>
      </c>
      <c r="L1768" s="81">
        <f>IF('Ordenes_Odoo'!L1768="","",'Ordenes_Odoo'!L1768)</f>
        <v/>
      </c>
      <c r="M1768" s="79">
        <f>IF('Ordenes_Odoo'!M1768="","",'Ordenes_Odoo'!M1768)</f>
        <v/>
      </c>
      <c r="N1768" s="79">
        <f>IF('Ordenes_Odoo'!N1768="","",'Ordenes_Odoo'!N1768)</f>
        <v/>
      </c>
      <c r="O1768" s="81">
        <f>IF('Ordenes_Odoo'!O1768="","",'Ordenes_Odoo'!O1768)</f>
        <v/>
      </c>
      <c r="P1768" s="81">
        <f>IF('Ordenes_Odoo'!P1768="","",'Ordenes_Odoo'!P1768)</f>
        <v/>
      </c>
      <c r="Q1768" s="79">
        <f>IF(A1768="","",IFERROR(INDEX(Facturas_Odoo!$B:$B, MATCH(A1768, Facturas_Odoo!$D:$D, 0)), "Sin Factura"))</f>
        <v/>
      </c>
      <c r="R1768" s="80">
        <f>IF(Q1768="Sin Factura","",IFERROR(INDEX(Facturas_Odoo!$A:$A, MATCH(Q1768, Facturas_Odoo!$B:$B, 0)), ""))</f>
        <v/>
      </c>
      <c r="S1768" s="79">
        <f>IF(Q1768="Sin Factura","",IFERROR(_xlfn.XLOOKUP(1, (Facturas_Odoo!$D:$D=A1768) * (Facturas_Odoo!$K:$K=I1768), Facturas_Odoo!$L:$L, ""), ""))</f>
        <v/>
      </c>
      <c r="T1768" s="81">
        <f>IF(Q1768="Sin Factura",0,IFERROR(_xlfn.XLOOKUP(1, (Facturas_Odoo!$D:$D=A1768) * (Facturas_Odoo!$K:$K=I1768), Facturas_Odoo!$M:$M, 0), 0))</f>
        <v/>
      </c>
      <c r="U1768" s="79">
        <f>IF(Q1768="Sin Factura",0,IFERROR(_xlfn.XLOOKUP(1, (Facturas_Odoo!$D:$D=A1768) * (Facturas_Odoo!$K:$K=I1768), Facturas_Odoo!$N:$N, 0), 0))</f>
        <v/>
      </c>
      <c r="V1768" s="79">
        <f>IF(Q1768="Sin Factura",0,IFERROR(_xlfn.XLOOKUP(1, (Facturas_Odoo!$D:$D=A1768) * (Facturas_Odoo!$K:$K=I1768), Facturas_Odoo!$O:$O, 0), 0))</f>
        <v/>
      </c>
      <c r="W1768" s="81">
        <f>IF(Q1768="Sin Factura",0,IFERROR(_xlfn.XLOOKUP(1, (Facturas_Odoo!$D:$D=A1768) * (Facturas_Odoo!$K:$K=I1768), Facturas_Odoo!$Q:$Q, 0), 0))</f>
        <v/>
      </c>
      <c r="X1768" s="79">
        <f>IF(OR(Q1768="Sin Factura",Q1768=""),"",IFERROR(INDEX(Pagos_Odoo!$B:$B, MATCH(Q1768, Pagos_Odoo!$I:$I, 0)), "Sin Pago"))</f>
        <v/>
      </c>
      <c r="Y1768" s="79">
        <f>IF(X1768="Sin Pago","",IFERROR(INDEX(Pagos_Odoo!$C:$C, MATCH(X1768, Pagos_Odoo!$B:$B, 0)), ""))</f>
        <v/>
      </c>
      <c r="Z1768" s="80">
        <f>IF(X1768="Sin Pago","",IFERROR(INDEX(Pagos_Odoo!$A:$A, MATCH(X1768, Pagos_Odoo!$B:$B, 0)), ""))</f>
        <v/>
      </c>
      <c r="AA1768" s="79">
        <f>IF(X1768="Sin Pago","",IFERROR(INDEX(Pagos_Odoo!$F:$F, MATCH(X1768, Pagos_Odoo!$B:$B, 0)), ""))</f>
        <v/>
      </c>
      <c r="AB1768" s="81">
        <f>IF(X1768="Sin Pago",0,IFERROR(INDEX(Pagos_Odoo!$E:$E, MATCH(X1768, Pagos_Odoo!$B:$B, 0)), 0))</f>
        <v/>
      </c>
      <c r="AC1768" s="79">
        <f>IF(X1768="Sin Pago","",IFERROR(INDEX(Pagos_Odoo!$G:$G, MATCH(X1768, Pagos_Odoo!$B:$B, 0)), ""))</f>
        <v/>
      </c>
      <c r="AD1768" s="82" t="n">
        <v>0</v>
      </c>
      <c r="AE1768" s="82" t="n"/>
      <c r="AF1768" s="82" t="n"/>
      <c r="AG1768" s="82">
        <f>IF(AN1768="","",AD1768+AE1768+AF1768)</f>
        <v/>
      </c>
      <c r="AH1768" s="81">
        <f>IF(AN1768="","",P1768*(1-AG1768))</f>
        <v/>
      </c>
      <c r="AI1768" s="81">
        <f>IF(AN1768="","",IF(Q1768="Sin Factura",0,IFERROR(INDEX(Facturas_Odoo!$H:$H, MATCH(Q1768, Facturas_Odoo!$B:$B, 0)), 0)*(1-AG1768)))</f>
        <v/>
      </c>
      <c r="AJ1768" s="81">
        <f>IF(AN1768="","",_xlfn.LET(idVenta, AN1768&amp;"",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68" s="81">
        <f>IF(AN1768="","",AH1768-AJ1768)</f>
        <v/>
      </c>
      <c r="AL1768" s="81">
        <f>IF(AN1768="","",IF(Q1768="Sin Factura","",AI1768-AJ1768))</f>
        <v/>
      </c>
      <c r="AM1768" s="81">
        <f>IF(AN1768="","",IF(Q1768="Sin Factura",0,P1768-IFERROR(INDEX(Facturas_Odoo!$H:$H, MATCH(Q1768, Facturas_Odoo!$B:$B, 0)), 0)))</f>
        <v/>
      </c>
      <c r="AN1768" s="79">
        <f>IF(AND(A1768="", J1768=""), "", IF(A1768&lt;&gt;"", VALUE(MID(A1768,2,LEN(A1768))), AN1767))</f>
        <v/>
      </c>
      <c r="AO1768" s="79">
        <f>IF(AN1768="","",IF(AD1768=0,"OK",_xlfn.LET(monedaPago, IF(AA1768="","USD",AA1768), limitePermitido, IFERROR(VLOOKUP(monedaPago, Configuración!$A$2:$B$3, 2, FALSE), 0.15), IF(AD1768&gt;limitePermitido, "ALERTA: EXCESO (" &amp; TEXT(limitePermitido, "0%") &amp; " máx)", "OK"))))</f>
        <v/>
      </c>
      <c r="AP1768" s="79">
        <f>IF(AN1768="","",IF(AE1768=0,"OK",_xlfn.LET(fechaPago, Z1768, fechaFactura, R1768, diasCredito, IF(E1768="Pago inmediato", 0, IFERROR(VALUE(MID(E1768, 1, SEARCH(" ", E1768)-1)),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68" s="79">
        <f>IF(AN1768="","",IF(AND(N1768&gt;0, AG1768&gt;0), IF(Configuración!$K$2="NO", "ALERTA: DESCUENTO DOBLE NO PERMITIDO", "OK"), "OK"))</f>
        <v/>
      </c>
      <c r="AR1768" s="79">
        <f>IF(AN1768="","",IF(OR(AO1768&lt;&gt;"OK", AP1768&lt;&gt;"OK", AQ1768&lt;&gt;"OK"), "⚠️ REVISAR", "OK"))</f>
        <v/>
      </c>
    </row>
    <row r="1769">
      <c r="A1769" s="79">
        <f>IF('Ordenes_Odoo'!A1769="","",'Ordenes_Odoo'!A1769)</f>
        <v/>
      </c>
      <c r="B1769" s="80">
        <f>IF('Ordenes_Odoo'!B1769="","",'Ordenes_Odoo'!B1769)</f>
        <v/>
      </c>
      <c r="C1769" s="79">
        <f>IF('Ordenes_Odoo'!C1769="","",'Ordenes_Odoo'!C1769)</f>
        <v/>
      </c>
      <c r="D1769" s="79">
        <f>IF('Ordenes_Odoo'!D1769="","",'Ordenes_Odoo'!D1769)</f>
        <v/>
      </c>
      <c r="E1769" s="79">
        <f>IF('Ordenes_Odoo'!E1769="","",'Ordenes_Odoo'!E1769)</f>
        <v/>
      </c>
      <c r="F1769" s="79">
        <f>IF('Ordenes_Odoo'!F1769="","",'Ordenes_Odoo'!F1769)</f>
        <v/>
      </c>
      <c r="G1769" s="79">
        <f>IF('Ordenes_Odoo'!G1769="","",'Ordenes_Odoo'!G1769)</f>
        <v/>
      </c>
      <c r="H1769" s="79">
        <f>IF('Ordenes_Odoo'!H1769="","",'Ordenes_Odoo'!H1769)</f>
        <v/>
      </c>
      <c r="I1769" s="79">
        <f>IF('Ordenes_Odoo'!I1769="","",'Ordenes_Odoo'!I1769)</f>
        <v/>
      </c>
      <c r="J1769" s="79">
        <f>IF('Ordenes_Odoo'!J1769="","",'Ordenes_Odoo'!J1769)</f>
        <v/>
      </c>
      <c r="K1769" s="81">
        <f>IF('Ordenes_Odoo'!K1769="","",'Ordenes_Odoo'!K1769)</f>
        <v/>
      </c>
      <c r="L1769" s="81">
        <f>IF('Ordenes_Odoo'!L1769="","",'Ordenes_Odoo'!L1769)</f>
        <v/>
      </c>
      <c r="M1769" s="79">
        <f>IF('Ordenes_Odoo'!M1769="","",'Ordenes_Odoo'!M1769)</f>
        <v/>
      </c>
      <c r="N1769" s="79">
        <f>IF('Ordenes_Odoo'!N1769="","",'Ordenes_Odoo'!N1769)</f>
        <v/>
      </c>
      <c r="O1769" s="81">
        <f>IF('Ordenes_Odoo'!O1769="","",'Ordenes_Odoo'!O1769)</f>
        <v/>
      </c>
      <c r="P1769" s="81">
        <f>IF('Ordenes_Odoo'!P1769="","",'Ordenes_Odoo'!P1769)</f>
        <v/>
      </c>
      <c r="Q1769" s="79">
        <f>IF(A1769="","",IFERROR(INDEX(Facturas_Odoo!$B:$B, MATCH(A1769, Facturas_Odoo!$D:$D, 0)), "Sin Factura"))</f>
        <v/>
      </c>
      <c r="R1769" s="80">
        <f>IF(Q1769="Sin Factura","",IFERROR(INDEX(Facturas_Odoo!$A:$A, MATCH(Q1769, Facturas_Odoo!$B:$B, 0)), ""))</f>
        <v/>
      </c>
      <c r="S1769" s="79">
        <f>IF(Q1769="Sin Factura","",IFERROR(_xlfn.XLOOKUP(1, (Facturas_Odoo!$D:$D=A1769) * (Facturas_Odoo!$K:$K=I1769), Facturas_Odoo!$L:$L, ""), ""))</f>
        <v/>
      </c>
      <c r="T1769" s="81">
        <f>IF(Q1769="Sin Factura",0,IFERROR(_xlfn.XLOOKUP(1, (Facturas_Odoo!$D:$D=A1769) * (Facturas_Odoo!$K:$K=I1769), Facturas_Odoo!$M:$M, 0), 0))</f>
        <v/>
      </c>
      <c r="U1769" s="79">
        <f>IF(Q1769="Sin Factura",0,IFERROR(_xlfn.XLOOKUP(1, (Facturas_Odoo!$D:$D=A1769) * (Facturas_Odoo!$K:$K=I1769), Facturas_Odoo!$N:$N, 0), 0))</f>
        <v/>
      </c>
      <c r="V1769" s="79">
        <f>IF(Q1769="Sin Factura",0,IFERROR(_xlfn.XLOOKUP(1, (Facturas_Odoo!$D:$D=A1769) * (Facturas_Odoo!$K:$K=I1769), Facturas_Odoo!$O:$O, 0), 0))</f>
        <v/>
      </c>
      <c r="W1769" s="81">
        <f>IF(Q1769="Sin Factura",0,IFERROR(_xlfn.XLOOKUP(1, (Facturas_Odoo!$D:$D=A1769) * (Facturas_Odoo!$K:$K=I1769), Facturas_Odoo!$Q:$Q, 0), 0))</f>
        <v/>
      </c>
      <c r="X1769" s="79">
        <f>IF(OR(Q1769="Sin Factura",Q1769=""),"",IFERROR(INDEX(Pagos_Odoo!$B:$B, MATCH(Q1769, Pagos_Odoo!$I:$I, 0)), "Sin Pago"))</f>
        <v/>
      </c>
      <c r="Y1769" s="79">
        <f>IF(X1769="Sin Pago","",IFERROR(INDEX(Pagos_Odoo!$C:$C, MATCH(X1769, Pagos_Odoo!$B:$B, 0)), ""))</f>
        <v/>
      </c>
      <c r="Z1769" s="80">
        <f>IF(X1769="Sin Pago","",IFERROR(INDEX(Pagos_Odoo!$A:$A, MATCH(X1769, Pagos_Odoo!$B:$B, 0)), ""))</f>
        <v/>
      </c>
      <c r="AA1769" s="79">
        <f>IF(X1769="Sin Pago","",IFERROR(INDEX(Pagos_Odoo!$F:$F, MATCH(X1769, Pagos_Odoo!$B:$B, 0)), ""))</f>
        <v/>
      </c>
      <c r="AB1769" s="81">
        <f>IF(X1769="Sin Pago",0,IFERROR(INDEX(Pagos_Odoo!$E:$E, MATCH(X1769, Pagos_Odoo!$B:$B, 0)), 0))</f>
        <v/>
      </c>
      <c r="AC1769" s="79">
        <f>IF(X1769="Sin Pago","",IFERROR(INDEX(Pagos_Odoo!$G:$G, MATCH(X1769, Pagos_Odoo!$B:$B, 0)), ""))</f>
        <v/>
      </c>
      <c r="AD1769" s="82" t="n">
        <v>0</v>
      </c>
      <c r="AE1769" s="82" t="n"/>
      <c r="AF1769" s="82" t="n"/>
      <c r="AG1769" s="82">
        <f>IF(AN1769="","",AD1769+AE1769+AF1769)</f>
        <v/>
      </c>
      <c r="AH1769" s="81">
        <f>IF(AN1769="","",P1769*(1-AG1769))</f>
        <v/>
      </c>
      <c r="AI1769" s="81">
        <f>IF(AN1769="","",IF(Q1769="Sin Factura",0,IFERROR(INDEX(Facturas_Odoo!$H:$H, MATCH(Q1769, Facturas_Odoo!$B:$B, 0)), 0)*(1-AG1769)))</f>
        <v/>
      </c>
      <c r="AJ1769" s="81">
        <f>IF(AN1769="","",_xlfn.LET(idVenta, AN1769&amp;"",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69" s="81">
        <f>IF(AN1769="","",AH1769-AJ1769)</f>
        <v/>
      </c>
      <c r="AL1769" s="81">
        <f>IF(AN1769="","",IF(Q1769="Sin Factura","",AI1769-AJ1769))</f>
        <v/>
      </c>
      <c r="AM1769" s="81">
        <f>IF(AN1769="","",IF(Q1769="Sin Factura",0,P1769-IFERROR(INDEX(Facturas_Odoo!$H:$H, MATCH(Q1769, Facturas_Odoo!$B:$B, 0)), 0)))</f>
        <v/>
      </c>
      <c r="AN1769" s="79">
        <f>IF(AND(A1769="", J1769=""), "", IF(A1769&lt;&gt;"", VALUE(MID(A1769,2,LEN(A1769))), AN1768))</f>
        <v/>
      </c>
      <c r="AO1769" s="79">
        <f>IF(AN1769="","",IF(AD1769=0,"OK",_xlfn.LET(monedaPago, IF(AA1769="","USD",AA1769), limitePermitido, IFERROR(VLOOKUP(monedaPago, Configuración!$A$2:$B$3, 2, FALSE), 0.15), IF(AD1769&gt;limitePermitido, "ALERTA: EXCESO (" &amp; TEXT(limitePermitido, "0%") &amp; " máx)", "OK"))))</f>
        <v/>
      </c>
      <c r="AP1769" s="79">
        <f>IF(AN1769="","",IF(AE1769=0,"OK",_xlfn.LET(fechaPago, Z1769, fechaFactura, R1769, diasCredito, IF(E1769="Pago inmediato", 0, IFERROR(VALUE(MID(E1769, 1, SEARCH(" ", E1769)-1)),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69" s="79">
        <f>IF(AN1769="","",IF(AND(N1769&gt;0, AG1769&gt;0), IF(Configuración!$K$2="NO", "ALERTA: DESCUENTO DOBLE NO PERMITIDO", "OK"), "OK"))</f>
        <v/>
      </c>
      <c r="AR1769" s="79">
        <f>IF(AN1769="","",IF(OR(AO1769&lt;&gt;"OK", AP1769&lt;&gt;"OK", AQ1769&lt;&gt;"OK"), "⚠️ REVISAR", "OK"))</f>
        <v/>
      </c>
    </row>
    <row r="1770">
      <c r="A1770" s="79">
        <f>IF('Ordenes_Odoo'!A1770="","",'Ordenes_Odoo'!A1770)</f>
        <v/>
      </c>
      <c r="B1770" s="80">
        <f>IF('Ordenes_Odoo'!B1770="","",'Ordenes_Odoo'!B1770)</f>
        <v/>
      </c>
      <c r="C1770" s="79">
        <f>IF('Ordenes_Odoo'!C1770="","",'Ordenes_Odoo'!C1770)</f>
        <v/>
      </c>
      <c r="D1770" s="79">
        <f>IF('Ordenes_Odoo'!D1770="","",'Ordenes_Odoo'!D1770)</f>
        <v/>
      </c>
      <c r="E1770" s="79">
        <f>IF('Ordenes_Odoo'!E1770="","",'Ordenes_Odoo'!E1770)</f>
        <v/>
      </c>
      <c r="F1770" s="79">
        <f>IF('Ordenes_Odoo'!F1770="","",'Ordenes_Odoo'!F1770)</f>
        <v/>
      </c>
      <c r="G1770" s="79">
        <f>IF('Ordenes_Odoo'!G1770="","",'Ordenes_Odoo'!G1770)</f>
        <v/>
      </c>
      <c r="H1770" s="79">
        <f>IF('Ordenes_Odoo'!H1770="","",'Ordenes_Odoo'!H1770)</f>
        <v/>
      </c>
      <c r="I1770" s="79">
        <f>IF('Ordenes_Odoo'!I1770="","",'Ordenes_Odoo'!I1770)</f>
        <v/>
      </c>
      <c r="J1770" s="79">
        <f>IF('Ordenes_Odoo'!J1770="","",'Ordenes_Odoo'!J1770)</f>
        <v/>
      </c>
      <c r="K1770" s="81">
        <f>IF('Ordenes_Odoo'!K1770="","",'Ordenes_Odoo'!K1770)</f>
        <v/>
      </c>
      <c r="L1770" s="81">
        <f>IF('Ordenes_Odoo'!L1770="","",'Ordenes_Odoo'!L1770)</f>
        <v/>
      </c>
      <c r="M1770" s="79">
        <f>IF('Ordenes_Odoo'!M1770="","",'Ordenes_Odoo'!M1770)</f>
        <v/>
      </c>
      <c r="N1770" s="79">
        <f>IF('Ordenes_Odoo'!N1770="","",'Ordenes_Odoo'!N1770)</f>
        <v/>
      </c>
      <c r="O1770" s="81">
        <f>IF('Ordenes_Odoo'!O1770="","",'Ordenes_Odoo'!O1770)</f>
        <v/>
      </c>
      <c r="P1770" s="81">
        <f>IF('Ordenes_Odoo'!P1770="","",'Ordenes_Odoo'!P1770)</f>
        <v/>
      </c>
      <c r="Q1770" s="79">
        <f>IF(A1770="","",IFERROR(INDEX(Facturas_Odoo!$B:$B, MATCH(A1770, Facturas_Odoo!$D:$D, 0)), "Sin Factura"))</f>
        <v/>
      </c>
      <c r="R1770" s="80">
        <f>IF(Q1770="Sin Factura","",IFERROR(INDEX(Facturas_Odoo!$A:$A, MATCH(Q1770, Facturas_Odoo!$B:$B, 0)), ""))</f>
        <v/>
      </c>
      <c r="S1770" s="79">
        <f>IF(Q1770="Sin Factura","",IFERROR(_xlfn.XLOOKUP(1, (Facturas_Odoo!$D:$D=A1770) * (Facturas_Odoo!$K:$K=I1770), Facturas_Odoo!$L:$L, ""), ""))</f>
        <v/>
      </c>
      <c r="T1770" s="81">
        <f>IF(Q1770="Sin Factura",0,IFERROR(_xlfn.XLOOKUP(1, (Facturas_Odoo!$D:$D=A1770) * (Facturas_Odoo!$K:$K=I1770), Facturas_Odoo!$M:$M, 0), 0))</f>
        <v/>
      </c>
      <c r="U1770" s="79">
        <f>IF(Q1770="Sin Factura",0,IFERROR(_xlfn.XLOOKUP(1, (Facturas_Odoo!$D:$D=A1770) * (Facturas_Odoo!$K:$K=I1770), Facturas_Odoo!$N:$N, 0), 0))</f>
        <v/>
      </c>
      <c r="V1770" s="79">
        <f>IF(Q1770="Sin Factura",0,IFERROR(_xlfn.XLOOKUP(1, (Facturas_Odoo!$D:$D=A1770) * (Facturas_Odoo!$K:$K=I1770), Facturas_Odoo!$O:$O, 0), 0))</f>
        <v/>
      </c>
      <c r="W1770" s="81">
        <f>IF(Q1770="Sin Factura",0,IFERROR(_xlfn.XLOOKUP(1, (Facturas_Odoo!$D:$D=A1770) * (Facturas_Odoo!$K:$K=I1770), Facturas_Odoo!$Q:$Q, 0), 0))</f>
        <v/>
      </c>
      <c r="X1770" s="79">
        <f>IF(OR(Q1770="Sin Factura",Q1770=""),"",IFERROR(INDEX(Pagos_Odoo!$B:$B, MATCH(Q1770, Pagos_Odoo!$I:$I, 0)), "Sin Pago"))</f>
        <v/>
      </c>
      <c r="Y1770" s="79">
        <f>IF(X1770="Sin Pago","",IFERROR(INDEX(Pagos_Odoo!$C:$C, MATCH(X1770, Pagos_Odoo!$B:$B, 0)), ""))</f>
        <v/>
      </c>
      <c r="Z1770" s="80">
        <f>IF(X1770="Sin Pago","",IFERROR(INDEX(Pagos_Odoo!$A:$A, MATCH(X1770, Pagos_Odoo!$B:$B, 0)), ""))</f>
        <v/>
      </c>
      <c r="AA1770" s="79">
        <f>IF(X1770="Sin Pago","",IFERROR(INDEX(Pagos_Odoo!$F:$F, MATCH(X1770, Pagos_Odoo!$B:$B, 0)), ""))</f>
        <v/>
      </c>
      <c r="AB1770" s="81">
        <f>IF(X1770="Sin Pago",0,IFERROR(INDEX(Pagos_Odoo!$E:$E, MATCH(X1770, Pagos_Odoo!$B:$B, 0)), 0))</f>
        <v/>
      </c>
      <c r="AC1770" s="79">
        <f>IF(X1770="Sin Pago","",IFERROR(INDEX(Pagos_Odoo!$G:$G, MATCH(X1770, Pagos_Odoo!$B:$B, 0)), ""))</f>
        <v/>
      </c>
      <c r="AD1770" s="82" t="n">
        <v>0</v>
      </c>
      <c r="AE1770" s="82" t="n"/>
      <c r="AF1770" s="82" t="n"/>
      <c r="AG1770" s="82">
        <f>IF(AN1770="","",AD1770+AE1770+AF1770)</f>
        <v/>
      </c>
      <c r="AH1770" s="81">
        <f>IF(AN1770="","",P1770*(1-AG1770))</f>
        <v/>
      </c>
      <c r="AI1770" s="81">
        <f>IF(AN1770="","",IF(Q1770="Sin Factura",0,IFERROR(INDEX(Facturas_Odoo!$H:$H, MATCH(Q1770, Facturas_Odoo!$B:$B, 0)), 0)*(1-AG1770)))</f>
        <v/>
      </c>
      <c r="AJ1770" s="81">
        <f>IF(AN1770="","",_xlfn.LET(idVenta, AN1770&amp;"",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70" s="81">
        <f>IF(AN1770="","",AH1770-AJ1770)</f>
        <v/>
      </c>
      <c r="AL1770" s="81">
        <f>IF(AN1770="","",IF(Q1770="Sin Factura","",AI1770-AJ1770))</f>
        <v/>
      </c>
      <c r="AM1770" s="81">
        <f>IF(AN1770="","",IF(Q1770="Sin Factura",0,P1770-IFERROR(INDEX(Facturas_Odoo!$H:$H, MATCH(Q1770, Facturas_Odoo!$B:$B, 0)), 0)))</f>
        <v/>
      </c>
      <c r="AN1770" s="79">
        <f>IF(AND(A1770="", J1770=""), "", IF(A1770&lt;&gt;"", VALUE(MID(A1770,2,LEN(A1770))), AN1769))</f>
        <v/>
      </c>
      <c r="AO1770" s="79">
        <f>IF(AN1770="","",IF(AD1770=0,"OK",_xlfn.LET(monedaPago, IF(AA1770="","USD",AA1770), limitePermitido, IFERROR(VLOOKUP(monedaPago, Configuración!$A$2:$B$3, 2, FALSE), 0.15), IF(AD1770&gt;limitePermitido, "ALERTA: EXCESO (" &amp; TEXT(limitePermitido, "0%") &amp; " máx)", "OK"))))</f>
        <v/>
      </c>
      <c r="AP1770" s="79">
        <f>IF(AN1770="","",IF(AE1770=0,"OK",_xlfn.LET(fechaPago, Z1770, fechaFactura, R1770, diasCredito, IF(E1770="Pago inmediato", 0, IFERROR(VALUE(MID(E1770, 1, SEARCH(" ", E1770)-1)),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70" s="79">
        <f>IF(AN1770="","",IF(AND(N1770&gt;0, AG1770&gt;0), IF(Configuración!$K$2="NO", "ALERTA: DESCUENTO DOBLE NO PERMITIDO", "OK"), "OK"))</f>
        <v/>
      </c>
      <c r="AR1770" s="79">
        <f>IF(AN1770="","",IF(OR(AO1770&lt;&gt;"OK", AP1770&lt;&gt;"OK", AQ1770&lt;&gt;"OK"), "⚠️ REVISAR", "OK"))</f>
        <v/>
      </c>
    </row>
    <row r="1771">
      <c r="A1771" s="79">
        <f>IF('Ordenes_Odoo'!A1771="","",'Ordenes_Odoo'!A1771)</f>
        <v/>
      </c>
      <c r="B1771" s="80">
        <f>IF('Ordenes_Odoo'!B1771="","",'Ordenes_Odoo'!B1771)</f>
        <v/>
      </c>
      <c r="C1771" s="79">
        <f>IF('Ordenes_Odoo'!C1771="","",'Ordenes_Odoo'!C1771)</f>
        <v/>
      </c>
      <c r="D1771" s="79">
        <f>IF('Ordenes_Odoo'!D1771="","",'Ordenes_Odoo'!D1771)</f>
        <v/>
      </c>
      <c r="E1771" s="79">
        <f>IF('Ordenes_Odoo'!E1771="","",'Ordenes_Odoo'!E1771)</f>
        <v/>
      </c>
      <c r="F1771" s="79">
        <f>IF('Ordenes_Odoo'!F1771="","",'Ordenes_Odoo'!F1771)</f>
        <v/>
      </c>
      <c r="G1771" s="79">
        <f>IF('Ordenes_Odoo'!G1771="","",'Ordenes_Odoo'!G1771)</f>
        <v/>
      </c>
      <c r="H1771" s="79">
        <f>IF('Ordenes_Odoo'!H1771="","",'Ordenes_Odoo'!H1771)</f>
        <v/>
      </c>
      <c r="I1771" s="79">
        <f>IF('Ordenes_Odoo'!I1771="","",'Ordenes_Odoo'!I1771)</f>
        <v/>
      </c>
      <c r="J1771" s="79">
        <f>IF('Ordenes_Odoo'!J1771="","",'Ordenes_Odoo'!J1771)</f>
        <v/>
      </c>
      <c r="K1771" s="81">
        <f>IF('Ordenes_Odoo'!K1771="","",'Ordenes_Odoo'!K1771)</f>
        <v/>
      </c>
      <c r="L1771" s="81">
        <f>IF('Ordenes_Odoo'!L1771="","",'Ordenes_Odoo'!L1771)</f>
        <v/>
      </c>
      <c r="M1771" s="79">
        <f>IF('Ordenes_Odoo'!M1771="","",'Ordenes_Odoo'!M1771)</f>
        <v/>
      </c>
      <c r="N1771" s="79">
        <f>IF('Ordenes_Odoo'!N1771="","",'Ordenes_Odoo'!N1771)</f>
        <v/>
      </c>
      <c r="O1771" s="81">
        <f>IF('Ordenes_Odoo'!O1771="","",'Ordenes_Odoo'!O1771)</f>
        <v/>
      </c>
      <c r="P1771" s="81">
        <f>IF('Ordenes_Odoo'!P1771="","",'Ordenes_Odoo'!P1771)</f>
        <v/>
      </c>
      <c r="Q1771" s="79">
        <f>IF(A1771="","",IFERROR(INDEX(Facturas_Odoo!$B:$B, MATCH(A1771, Facturas_Odoo!$D:$D, 0)), "Sin Factura"))</f>
        <v/>
      </c>
      <c r="R1771" s="80">
        <f>IF(Q1771="Sin Factura","",IFERROR(INDEX(Facturas_Odoo!$A:$A, MATCH(Q1771, Facturas_Odoo!$B:$B, 0)), ""))</f>
        <v/>
      </c>
      <c r="S1771" s="79">
        <f>IF(Q1771="Sin Factura","",IFERROR(_xlfn.XLOOKUP(1, (Facturas_Odoo!$D:$D=A1771) * (Facturas_Odoo!$K:$K=I1771), Facturas_Odoo!$L:$L, ""), ""))</f>
        <v/>
      </c>
      <c r="T1771" s="81">
        <f>IF(Q1771="Sin Factura",0,IFERROR(_xlfn.XLOOKUP(1, (Facturas_Odoo!$D:$D=A1771) * (Facturas_Odoo!$K:$K=I1771), Facturas_Odoo!$M:$M, 0), 0))</f>
        <v/>
      </c>
      <c r="U1771" s="79">
        <f>IF(Q1771="Sin Factura",0,IFERROR(_xlfn.XLOOKUP(1, (Facturas_Odoo!$D:$D=A1771) * (Facturas_Odoo!$K:$K=I1771), Facturas_Odoo!$N:$N, 0), 0))</f>
        <v/>
      </c>
      <c r="V1771" s="79">
        <f>IF(Q1771="Sin Factura",0,IFERROR(_xlfn.XLOOKUP(1, (Facturas_Odoo!$D:$D=A1771) * (Facturas_Odoo!$K:$K=I1771), Facturas_Odoo!$O:$O, 0), 0))</f>
        <v/>
      </c>
      <c r="W1771" s="81">
        <f>IF(Q1771="Sin Factura",0,IFERROR(_xlfn.XLOOKUP(1, (Facturas_Odoo!$D:$D=A1771) * (Facturas_Odoo!$K:$K=I1771), Facturas_Odoo!$Q:$Q, 0), 0))</f>
        <v/>
      </c>
      <c r="X1771" s="79">
        <f>IF(OR(Q1771="Sin Factura",Q1771=""),"",IFERROR(INDEX(Pagos_Odoo!$B:$B, MATCH(Q1771, Pagos_Odoo!$I:$I, 0)), "Sin Pago"))</f>
        <v/>
      </c>
      <c r="Y1771" s="79">
        <f>IF(X1771="Sin Pago","",IFERROR(INDEX(Pagos_Odoo!$C:$C, MATCH(X1771, Pagos_Odoo!$B:$B, 0)), ""))</f>
        <v/>
      </c>
      <c r="Z1771" s="80">
        <f>IF(X1771="Sin Pago","",IFERROR(INDEX(Pagos_Odoo!$A:$A, MATCH(X1771, Pagos_Odoo!$B:$B, 0)), ""))</f>
        <v/>
      </c>
      <c r="AA1771" s="79">
        <f>IF(X1771="Sin Pago","",IFERROR(INDEX(Pagos_Odoo!$F:$F, MATCH(X1771, Pagos_Odoo!$B:$B, 0)), ""))</f>
        <v/>
      </c>
      <c r="AB1771" s="81">
        <f>IF(X1771="Sin Pago",0,IFERROR(INDEX(Pagos_Odoo!$E:$E, MATCH(X1771, Pagos_Odoo!$B:$B, 0)), 0))</f>
        <v/>
      </c>
      <c r="AC1771" s="79">
        <f>IF(X1771="Sin Pago","",IFERROR(INDEX(Pagos_Odoo!$G:$G, MATCH(X1771, Pagos_Odoo!$B:$B, 0)), ""))</f>
        <v/>
      </c>
      <c r="AD1771" s="82" t="n">
        <v>0</v>
      </c>
      <c r="AE1771" s="82" t="n"/>
      <c r="AF1771" s="82" t="n"/>
      <c r="AG1771" s="82">
        <f>IF(AN1771="","",AD1771+AE1771+AF1771)</f>
        <v/>
      </c>
      <c r="AH1771" s="81">
        <f>IF(AN1771="","",P1771*(1-AG1771))</f>
        <v/>
      </c>
      <c r="AI1771" s="81">
        <f>IF(AN1771="","",IF(Q1771="Sin Factura",0,IFERROR(INDEX(Facturas_Odoo!$H:$H, MATCH(Q1771, Facturas_Odoo!$B:$B, 0)), 0)*(1-AG1771)))</f>
        <v/>
      </c>
      <c r="AJ1771" s="81">
        <f>IF(AN1771="","",_xlfn.LET(idVenta, AN1771&amp;"",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71" s="81">
        <f>IF(AN1771="","",AH1771-AJ1771)</f>
        <v/>
      </c>
      <c r="AL1771" s="81">
        <f>IF(AN1771="","",IF(Q1771="Sin Factura","",AI1771-AJ1771))</f>
        <v/>
      </c>
      <c r="AM1771" s="81">
        <f>IF(AN1771="","",IF(Q1771="Sin Factura",0,P1771-IFERROR(INDEX(Facturas_Odoo!$H:$H, MATCH(Q1771, Facturas_Odoo!$B:$B, 0)), 0)))</f>
        <v/>
      </c>
      <c r="AN1771" s="79">
        <f>IF(AND(A1771="", J1771=""), "", IF(A1771&lt;&gt;"", VALUE(MID(A1771,2,LEN(A1771))), AN1770))</f>
        <v/>
      </c>
      <c r="AO1771" s="79">
        <f>IF(AN1771="","",IF(AD1771=0,"OK",_xlfn.LET(monedaPago, IF(AA1771="","USD",AA1771), limitePermitido, IFERROR(VLOOKUP(monedaPago, Configuración!$A$2:$B$3, 2, FALSE), 0.15), IF(AD1771&gt;limitePermitido, "ALERTA: EXCESO (" &amp; TEXT(limitePermitido, "0%") &amp; " máx)", "OK"))))</f>
        <v/>
      </c>
      <c r="AP1771" s="79">
        <f>IF(AN1771="","",IF(AE1771=0,"OK",_xlfn.LET(fechaPago, Z1771, fechaFactura, R1771, diasCredito, IF(E1771="Pago inmediato", 0, IFERROR(VALUE(MID(E1771, 1, SEARCH(" ", E1771)-1)),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71" s="79">
        <f>IF(AN1771="","",IF(AND(N1771&gt;0, AG1771&gt;0), IF(Configuración!$K$2="NO", "ALERTA: DESCUENTO DOBLE NO PERMITIDO", "OK"), "OK"))</f>
        <v/>
      </c>
      <c r="AR1771" s="79">
        <f>IF(AN1771="","",IF(OR(AO1771&lt;&gt;"OK", AP1771&lt;&gt;"OK", AQ1771&lt;&gt;"OK"), "⚠️ REVISAR", "OK"))</f>
        <v/>
      </c>
    </row>
    <row r="1772">
      <c r="A1772" s="79">
        <f>IF('Ordenes_Odoo'!A1772="","",'Ordenes_Odoo'!A1772)</f>
        <v/>
      </c>
      <c r="B1772" s="80">
        <f>IF('Ordenes_Odoo'!B1772="","",'Ordenes_Odoo'!B1772)</f>
        <v/>
      </c>
      <c r="C1772" s="79">
        <f>IF('Ordenes_Odoo'!C1772="","",'Ordenes_Odoo'!C1772)</f>
        <v/>
      </c>
      <c r="D1772" s="79">
        <f>IF('Ordenes_Odoo'!D1772="","",'Ordenes_Odoo'!D1772)</f>
        <v/>
      </c>
      <c r="E1772" s="79">
        <f>IF('Ordenes_Odoo'!E1772="","",'Ordenes_Odoo'!E1772)</f>
        <v/>
      </c>
      <c r="F1772" s="79">
        <f>IF('Ordenes_Odoo'!F1772="","",'Ordenes_Odoo'!F1772)</f>
        <v/>
      </c>
      <c r="G1772" s="79">
        <f>IF('Ordenes_Odoo'!G1772="","",'Ordenes_Odoo'!G1772)</f>
        <v/>
      </c>
      <c r="H1772" s="79">
        <f>IF('Ordenes_Odoo'!H1772="","",'Ordenes_Odoo'!H1772)</f>
        <v/>
      </c>
      <c r="I1772" s="79">
        <f>IF('Ordenes_Odoo'!I1772="","",'Ordenes_Odoo'!I1772)</f>
        <v/>
      </c>
      <c r="J1772" s="79">
        <f>IF('Ordenes_Odoo'!J1772="","",'Ordenes_Odoo'!J1772)</f>
        <v/>
      </c>
      <c r="K1772" s="81">
        <f>IF('Ordenes_Odoo'!K1772="","",'Ordenes_Odoo'!K1772)</f>
        <v/>
      </c>
      <c r="L1772" s="81">
        <f>IF('Ordenes_Odoo'!L1772="","",'Ordenes_Odoo'!L1772)</f>
        <v/>
      </c>
      <c r="M1772" s="79">
        <f>IF('Ordenes_Odoo'!M1772="","",'Ordenes_Odoo'!M1772)</f>
        <v/>
      </c>
      <c r="N1772" s="79">
        <f>IF('Ordenes_Odoo'!N1772="","",'Ordenes_Odoo'!N1772)</f>
        <v/>
      </c>
      <c r="O1772" s="81">
        <f>IF('Ordenes_Odoo'!O1772="","",'Ordenes_Odoo'!O1772)</f>
        <v/>
      </c>
      <c r="P1772" s="81">
        <f>IF('Ordenes_Odoo'!P1772="","",'Ordenes_Odoo'!P1772)</f>
        <v/>
      </c>
      <c r="Q1772" s="79">
        <f>IF(A1772="","",IFERROR(INDEX(Facturas_Odoo!$B:$B, MATCH(A1772, Facturas_Odoo!$D:$D, 0)), "Sin Factura"))</f>
        <v/>
      </c>
      <c r="R1772" s="80">
        <f>IF(Q1772="Sin Factura","",IFERROR(INDEX(Facturas_Odoo!$A:$A, MATCH(Q1772, Facturas_Odoo!$B:$B, 0)), ""))</f>
        <v/>
      </c>
      <c r="S1772" s="79">
        <f>IF(Q1772="Sin Factura","",IFERROR(_xlfn.XLOOKUP(1, (Facturas_Odoo!$D:$D=A1772) * (Facturas_Odoo!$K:$K=I1772), Facturas_Odoo!$L:$L, ""), ""))</f>
        <v/>
      </c>
      <c r="T1772" s="81">
        <f>IF(Q1772="Sin Factura",0,IFERROR(_xlfn.XLOOKUP(1, (Facturas_Odoo!$D:$D=A1772) * (Facturas_Odoo!$K:$K=I1772), Facturas_Odoo!$M:$M, 0), 0))</f>
        <v/>
      </c>
      <c r="U1772" s="79">
        <f>IF(Q1772="Sin Factura",0,IFERROR(_xlfn.XLOOKUP(1, (Facturas_Odoo!$D:$D=A1772) * (Facturas_Odoo!$K:$K=I1772), Facturas_Odoo!$N:$N, 0), 0))</f>
        <v/>
      </c>
      <c r="V1772" s="79">
        <f>IF(Q1772="Sin Factura",0,IFERROR(_xlfn.XLOOKUP(1, (Facturas_Odoo!$D:$D=A1772) * (Facturas_Odoo!$K:$K=I1772), Facturas_Odoo!$O:$O, 0), 0))</f>
        <v/>
      </c>
      <c r="W1772" s="81">
        <f>IF(Q1772="Sin Factura",0,IFERROR(_xlfn.XLOOKUP(1, (Facturas_Odoo!$D:$D=A1772) * (Facturas_Odoo!$K:$K=I1772), Facturas_Odoo!$Q:$Q, 0), 0))</f>
        <v/>
      </c>
      <c r="X1772" s="79">
        <f>IF(OR(Q1772="Sin Factura",Q1772=""),"",IFERROR(INDEX(Pagos_Odoo!$B:$B, MATCH(Q1772, Pagos_Odoo!$I:$I, 0)), "Sin Pago"))</f>
        <v/>
      </c>
      <c r="Y1772" s="79">
        <f>IF(X1772="Sin Pago","",IFERROR(INDEX(Pagos_Odoo!$C:$C, MATCH(X1772, Pagos_Odoo!$B:$B, 0)), ""))</f>
        <v/>
      </c>
      <c r="Z1772" s="80">
        <f>IF(X1772="Sin Pago","",IFERROR(INDEX(Pagos_Odoo!$A:$A, MATCH(X1772, Pagos_Odoo!$B:$B, 0)), ""))</f>
        <v/>
      </c>
      <c r="AA1772" s="79">
        <f>IF(X1772="Sin Pago","",IFERROR(INDEX(Pagos_Odoo!$F:$F, MATCH(X1772, Pagos_Odoo!$B:$B, 0)), ""))</f>
        <v/>
      </c>
      <c r="AB1772" s="81">
        <f>IF(X1772="Sin Pago",0,IFERROR(INDEX(Pagos_Odoo!$E:$E, MATCH(X1772, Pagos_Odoo!$B:$B, 0)), 0))</f>
        <v/>
      </c>
      <c r="AC1772" s="79">
        <f>IF(X1772="Sin Pago","",IFERROR(INDEX(Pagos_Odoo!$G:$G, MATCH(X1772, Pagos_Odoo!$B:$B, 0)), ""))</f>
        <v/>
      </c>
      <c r="AD1772" s="82" t="n">
        <v>0</v>
      </c>
      <c r="AE1772" s="82" t="n"/>
      <c r="AF1772" s="82" t="n"/>
      <c r="AG1772" s="82">
        <f>IF(AN1772="","",AD1772+AE1772+AF1772)</f>
        <v/>
      </c>
      <c r="AH1772" s="81">
        <f>IF(AN1772="","",P1772*(1-AG1772))</f>
        <v/>
      </c>
      <c r="AI1772" s="81">
        <f>IF(AN1772="","",IF(Q1772="Sin Factura",0,IFERROR(INDEX(Facturas_Odoo!$H:$H, MATCH(Q1772, Facturas_Odoo!$B:$B, 0)), 0)*(1-AG1772)))</f>
        <v/>
      </c>
      <c r="AJ1772" s="81">
        <f>IF(AN1772="","",_xlfn.LET(idVenta, AN1772&amp;"",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72" s="81">
        <f>IF(AN1772="","",AH1772-AJ1772)</f>
        <v/>
      </c>
      <c r="AL1772" s="81">
        <f>IF(AN1772="","",IF(Q1772="Sin Factura","",AI1772-AJ1772))</f>
        <v/>
      </c>
      <c r="AM1772" s="81">
        <f>IF(AN1772="","",IF(Q1772="Sin Factura",0,P1772-IFERROR(INDEX(Facturas_Odoo!$H:$H, MATCH(Q1772, Facturas_Odoo!$B:$B, 0)), 0)))</f>
        <v/>
      </c>
      <c r="AN1772" s="79">
        <f>IF(AND(A1772="", J1772=""), "", IF(A1772&lt;&gt;"", VALUE(MID(A1772,2,LEN(A1772))), AN1771))</f>
        <v/>
      </c>
      <c r="AO1772" s="79">
        <f>IF(AN1772="","",IF(AD1772=0,"OK",_xlfn.LET(monedaPago, IF(AA1772="","USD",AA1772), limitePermitido, IFERROR(VLOOKUP(monedaPago, Configuración!$A$2:$B$3, 2, FALSE), 0.15), IF(AD1772&gt;limitePermitido, "ALERTA: EXCESO (" &amp; TEXT(limitePermitido, "0%") &amp; " máx)", "OK"))))</f>
        <v/>
      </c>
      <c r="AP1772" s="79">
        <f>IF(AN1772="","",IF(AE1772=0,"OK",_xlfn.LET(fechaPago, Z1772, fechaFactura, R1772, diasCredito, IF(E1772="Pago inmediato", 0, IFERROR(VALUE(MID(E1772, 1, SEARCH(" ", E1772)-1)),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72" s="79">
        <f>IF(AN1772="","",IF(AND(N1772&gt;0, AG1772&gt;0), IF(Configuración!$K$2="NO", "ALERTA: DESCUENTO DOBLE NO PERMITIDO", "OK"), "OK"))</f>
        <v/>
      </c>
      <c r="AR1772" s="79">
        <f>IF(AN1772="","",IF(OR(AO1772&lt;&gt;"OK", AP1772&lt;&gt;"OK", AQ1772&lt;&gt;"OK"), "⚠️ REVISAR", "OK"))</f>
        <v/>
      </c>
    </row>
    <row r="1773">
      <c r="A1773" s="79">
        <f>IF('Ordenes_Odoo'!A1773="","",'Ordenes_Odoo'!A1773)</f>
        <v/>
      </c>
      <c r="B1773" s="80">
        <f>IF('Ordenes_Odoo'!B1773="","",'Ordenes_Odoo'!B1773)</f>
        <v/>
      </c>
      <c r="C1773" s="79">
        <f>IF('Ordenes_Odoo'!C1773="","",'Ordenes_Odoo'!C1773)</f>
        <v/>
      </c>
      <c r="D1773" s="79">
        <f>IF('Ordenes_Odoo'!D1773="","",'Ordenes_Odoo'!D1773)</f>
        <v/>
      </c>
      <c r="E1773" s="79">
        <f>IF('Ordenes_Odoo'!E1773="","",'Ordenes_Odoo'!E1773)</f>
        <v/>
      </c>
      <c r="F1773" s="79">
        <f>IF('Ordenes_Odoo'!F1773="","",'Ordenes_Odoo'!F1773)</f>
        <v/>
      </c>
      <c r="G1773" s="79">
        <f>IF('Ordenes_Odoo'!G1773="","",'Ordenes_Odoo'!G1773)</f>
        <v/>
      </c>
      <c r="H1773" s="79">
        <f>IF('Ordenes_Odoo'!H1773="","",'Ordenes_Odoo'!H1773)</f>
        <v/>
      </c>
      <c r="I1773" s="79">
        <f>IF('Ordenes_Odoo'!I1773="","",'Ordenes_Odoo'!I1773)</f>
        <v/>
      </c>
      <c r="J1773" s="79">
        <f>IF('Ordenes_Odoo'!J1773="","",'Ordenes_Odoo'!J1773)</f>
        <v/>
      </c>
      <c r="K1773" s="81">
        <f>IF('Ordenes_Odoo'!K1773="","",'Ordenes_Odoo'!K1773)</f>
        <v/>
      </c>
      <c r="L1773" s="81">
        <f>IF('Ordenes_Odoo'!L1773="","",'Ordenes_Odoo'!L1773)</f>
        <v/>
      </c>
      <c r="M1773" s="79">
        <f>IF('Ordenes_Odoo'!M1773="","",'Ordenes_Odoo'!M1773)</f>
        <v/>
      </c>
      <c r="N1773" s="79">
        <f>IF('Ordenes_Odoo'!N1773="","",'Ordenes_Odoo'!N1773)</f>
        <v/>
      </c>
      <c r="O1773" s="81">
        <f>IF('Ordenes_Odoo'!O1773="","",'Ordenes_Odoo'!O1773)</f>
        <v/>
      </c>
      <c r="P1773" s="81">
        <f>IF('Ordenes_Odoo'!P1773="","",'Ordenes_Odoo'!P1773)</f>
        <v/>
      </c>
      <c r="Q1773" s="79">
        <f>IF(A1773="","",IFERROR(INDEX(Facturas_Odoo!$B:$B, MATCH(A1773, Facturas_Odoo!$D:$D, 0)), "Sin Factura"))</f>
        <v/>
      </c>
      <c r="R1773" s="80">
        <f>IF(Q1773="Sin Factura","",IFERROR(INDEX(Facturas_Odoo!$A:$A, MATCH(Q1773, Facturas_Odoo!$B:$B, 0)), ""))</f>
        <v/>
      </c>
      <c r="S1773" s="79">
        <f>IF(Q1773="Sin Factura","",IFERROR(_xlfn.XLOOKUP(1, (Facturas_Odoo!$D:$D=A1773) * (Facturas_Odoo!$K:$K=I1773), Facturas_Odoo!$L:$L, ""), ""))</f>
        <v/>
      </c>
      <c r="T1773" s="81">
        <f>IF(Q1773="Sin Factura",0,IFERROR(_xlfn.XLOOKUP(1, (Facturas_Odoo!$D:$D=A1773) * (Facturas_Odoo!$K:$K=I1773), Facturas_Odoo!$M:$M, 0), 0))</f>
        <v/>
      </c>
      <c r="U1773" s="79">
        <f>IF(Q1773="Sin Factura",0,IFERROR(_xlfn.XLOOKUP(1, (Facturas_Odoo!$D:$D=A1773) * (Facturas_Odoo!$K:$K=I1773), Facturas_Odoo!$N:$N, 0), 0))</f>
        <v/>
      </c>
      <c r="V1773" s="79">
        <f>IF(Q1773="Sin Factura",0,IFERROR(_xlfn.XLOOKUP(1, (Facturas_Odoo!$D:$D=A1773) * (Facturas_Odoo!$K:$K=I1773), Facturas_Odoo!$O:$O, 0), 0))</f>
        <v/>
      </c>
      <c r="W1773" s="81">
        <f>IF(Q1773="Sin Factura",0,IFERROR(_xlfn.XLOOKUP(1, (Facturas_Odoo!$D:$D=A1773) * (Facturas_Odoo!$K:$K=I1773), Facturas_Odoo!$Q:$Q, 0), 0))</f>
        <v/>
      </c>
      <c r="X1773" s="79">
        <f>IF(OR(Q1773="Sin Factura",Q1773=""),"",IFERROR(INDEX(Pagos_Odoo!$B:$B, MATCH(Q1773, Pagos_Odoo!$I:$I, 0)), "Sin Pago"))</f>
        <v/>
      </c>
      <c r="Y1773" s="79">
        <f>IF(X1773="Sin Pago","",IFERROR(INDEX(Pagos_Odoo!$C:$C, MATCH(X1773, Pagos_Odoo!$B:$B, 0)), ""))</f>
        <v/>
      </c>
      <c r="Z1773" s="80">
        <f>IF(X1773="Sin Pago","",IFERROR(INDEX(Pagos_Odoo!$A:$A, MATCH(X1773, Pagos_Odoo!$B:$B, 0)), ""))</f>
        <v/>
      </c>
      <c r="AA1773" s="79">
        <f>IF(X1773="Sin Pago","",IFERROR(INDEX(Pagos_Odoo!$F:$F, MATCH(X1773, Pagos_Odoo!$B:$B, 0)), ""))</f>
        <v/>
      </c>
      <c r="AB1773" s="81">
        <f>IF(X1773="Sin Pago",0,IFERROR(INDEX(Pagos_Odoo!$E:$E, MATCH(X1773, Pagos_Odoo!$B:$B, 0)), 0))</f>
        <v/>
      </c>
      <c r="AC1773" s="79">
        <f>IF(X1773="Sin Pago","",IFERROR(INDEX(Pagos_Odoo!$G:$G, MATCH(X1773, Pagos_Odoo!$B:$B, 0)), ""))</f>
        <v/>
      </c>
      <c r="AD1773" s="82" t="n">
        <v>0</v>
      </c>
      <c r="AE1773" s="82" t="n"/>
      <c r="AF1773" s="82" t="n"/>
      <c r="AG1773" s="82">
        <f>IF(AN1773="","",AD1773+AE1773+AF1773)</f>
        <v/>
      </c>
      <c r="AH1773" s="81">
        <f>IF(AN1773="","",P1773*(1-AG1773))</f>
        <v/>
      </c>
      <c r="AI1773" s="81">
        <f>IF(AN1773="","",IF(Q1773="Sin Factura",0,IFERROR(INDEX(Facturas_Odoo!$H:$H, MATCH(Q1773, Facturas_Odoo!$B:$B, 0)), 0)*(1-AG1773)))</f>
        <v/>
      </c>
      <c r="AJ1773" s="81">
        <f>IF(AN1773="","",_xlfn.LET(idVenta, AN1773&amp;"",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73" s="81">
        <f>IF(AN1773="","",AH1773-AJ1773)</f>
        <v/>
      </c>
      <c r="AL1773" s="81">
        <f>IF(AN1773="","",IF(Q1773="Sin Factura","",AI1773-AJ1773))</f>
        <v/>
      </c>
      <c r="AM1773" s="81">
        <f>IF(AN1773="","",IF(Q1773="Sin Factura",0,P1773-IFERROR(INDEX(Facturas_Odoo!$H:$H, MATCH(Q1773, Facturas_Odoo!$B:$B, 0)), 0)))</f>
        <v/>
      </c>
      <c r="AN1773" s="79">
        <f>IF(AND(A1773="", J1773=""), "", IF(A1773&lt;&gt;"", VALUE(MID(A1773,2,LEN(A1773))), AN1772))</f>
        <v/>
      </c>
      <c r="AO1773" s="79">
        <f>IF(AN1773="","",IF(AD1773=0,"OK",_xlfn.LET(monedaPago, IF(AA1773="","USD",AA1773), limitePermitido, IFERROR(VLOOKUP(monedaPago, Configuración!$A$2:$B$3, 2, FALSE), 0.15), IF(AD1773&gt;limitePermitido, "ALERTA: EXCESO (" &amp; TEXT(limitePermitido, "0%") &amp; " máx)", "OK"))))</f>
        <v/>
      </c>
      <c r="AP1773" s="79">
        <f>IF(AN1773="","",IF(AE1773=0,"OK",_xlfn.LET(fechaPago, Z1773, fechaFactura, R1773, diasCredito, IF(E1773="Pago inmediato", 0, IFERROR(VALUE(MID(E1773, 1, SEARCH(" ", E1773)-1)),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73" s="79">
        <f>IF(AN1773="","",IF(AND(N1773&gt;0, AG1773&gt;0), IF(Configuración!$K$2="NO", "ALERTA: DESCUENTO DOBLE NO PERMITIDO", "OK"), "OK"))</f>
        <v/>
      </c>
      <c r="AR1773" s="79">
        <f>IF(AN1773="","",IF(OR(AO1773&lt;&gt;"OK", AP1773&lt;&gt;"OK", AQ1773&lt;&gt;"OK"), "⚠️ REVISAR", "OK"))</f>
        <v/>
      </c>
    </row>
    <row r="1774">
      <c r="A1774" s="79">
        <f>IF('Ordenes_Odoo'!A1774="","",'Ordenes_Odoo'!A1774)</f>
        <v/>
      </c>
      <c r="B1774" s="80">
        <f>IF('Ordenes_Odoo'!B1774="","",'Ordenes_Odoo'!B1774)</f>
        <v/>
      </c>
      <c r="C1774" s="79">
        <f>IF('Ordenes_Odoo'!C1774="","",'Ordenes_Odoo'!C1774)</f>
        <v/>
      </c>
      <c r="D1774" s="79">
        <f>IF('Ordenes_Odoo'!D1774="","",'Ordenes_Odoo'!D1774)</f>
        <v/>
      </c>
      <c r="E1774" s="79">
        <f>IF('Ordenes_Odoo'!E1774="","",'Ordenes_Odoo'!E1774)</f>
        <v/>
      </c>
      <c r="F1774" s="79">
        <f>IF('Ordenes_Odoo'!F1774="","",'Ordenes_Odoo'!F1774)</f>
        <v/>
      </c>
      <c r="G1774" s="79">
        <f>IF('Ordenes_Odoo'!G1774="","",'Ordenes_Odoo'!G1774)</f>
        <v/>
      </c>
      <c r="H1774" s="79">
        <f>IF('Ordenes_Odoo'!H1774="","",'Ordenes_Odoo'!H1774)</f>
        <v/>
      </c>
      <c r="I1774" s="79">
        <f>IF('Ordenes_Odoo'!I1774="","",'Ordenes_Odoo'!I1774)</f>
        <v/>
      </c>
      <c r="J1774" s="79">
        <f>IF('Ordenes_Odoo'!J1774="","",'Ordenes_Odoo'!J1774)</f>
        <v/>
      </c>
      <c r="K1774" s="81">
        <f>IF('Ordenes_Odoo'!K1774="","",'Ordenes_Odoo'!K1774)</f>
        <v/>
      </c>
      <c r="L1774" s="81">
        <f>IF('Ordenes_Odoo'!L1774="","",'Ordenes_Odoo'!L1774)</f>
        <v/>
      </c>
      <c r="M1774" s="79">
        <f>IF('Ordenes_Odoo'!M1774="","",'Ordenes_Odoo'!M1774)</f>
        <v/>
      </c>
      <c r="N1774" s="79">
        <f>IF('Ordenes_Odoo'!N1774="","",'Ordenes_Odoo'!N1774)</f>
        <v/>
      </c>
      <c r="O1774" s="81">
        <f>IF('Ordenes_Odoo'!O1774="","",'Ordenes_Odoo'!O1774)</f>
        <v/>
      </c>
      <c r="P1774" s="81">
        <f>IF('Ordenes_Odoo'!P1774="","",'Ordenes_Odoo'!P1774)</f>
        <v/>
      </c>
      <c r="Q1774" s="79">
        <f>IF(A1774="","",IFERROR(INDEX(Facturas_Odoo!$B:$B, MATCH(A1774, Facturas_Odoo!$D:$D, 0)), "Sin Factura"))</f>
        <v/>
      </c>
      <c r="R1774" s="80">
        <f>IF(Q1774="Sin Factura","",IFERROR(INDEX(Facturas_Odoo!$A:$A, MATCH(Q1774, Facturas_Odoo!$B:$B, 0)), ""))</f>
        <v/>
      </c>
      <c r="S1774" s="79">
        <f>IF(Q1774="Sin Factura","",IFERROR(_xlfn.XLOOKUP(1, (Facturas_Odoo!$D:$D=A1774) * (Facturas_Odoo!$K:$K=I1774), Facturas_Odoo!$L:$L, ""), ""))</f>
        <v/>
      </c>
      <c r="T1774" s="81">
        <f>IF(Q1774="Sin Factura",0,IFERROR(_xlfn.XLOOKUP(1, (Facturas_Odoo!$D:$D=A1774) * (Facturas_Odoo!$K:$K=I1774), Facturas_Odoo!$M:$M, 0), 0))</f>
        <v/>
      </c>
      <c r="U1774" s="79">
        <f>IF(Q1774="Sin Factura",0,IFERROR(_xlfn.XLOOKUP(1, (Facturas_Odoo!$D:$D=A1774) * (Facturas_Odoo!$K:$K=I1774), Facturas_Odoo!$N:$N, 0), 0))</f>
        <v/>
      </c>
      <c r="V1774" s="79">
        <f>IF(Q1774="Sin Factura",0,IFERROR(_xlfn.XLOOKUP(1, (Facturas_Odoo!$D:$D=A1774) * (Facturas_Odoo!$K:$K=I1774), Facturas_Odoo!$O:$O, 0), 0))</f>
        <v/>
      </c>
      <c r="W1774" s="81">
        <f>IF(Q1774="Sin Factura",0,IFERROR(_xlfn.XLOOKUP(1, (Facturas_Odoo!$D:$D=A1774) * (Facturas_Odoo!$K:$K=I1774), Facturas_Odoo!$Q:$Q, 0), 0))</f>
        <v/>
      </c>
      <c r="X1774" s="79">
        <f>IF(OR(Q1774="Sin Factura",Q1774=""),"",IFERROR(INDEX(Pagos_Odoo!$B:$B, MATCH(Q1774, Pagos_Odoo!$I:$I, 0)), "Sin Pago"))</f>
        <v/>
      </c>
      <c r="Y1774" s="79">
        <f>IF(X1774="Sin Pago","",IFERROR(INDEX(Pagos_Odoo!$C:$C, MATCH(X1774, Pagos_Odoo!$B:$B, 0)), ""))</f>
        <v/>
      </c>
      <c r="Z1774" s="80">
        <f>IF(X1774="Sin Pago","",IFERROR(INDEX(Pagos_Odoo!$A:$A, MATCH(X1774, Pagos_Odoo!$B:$B, 0)), ""))</f>
        <v/>
      </c>
      <c r="AA1774" s="79">
        <f>IF(X1774="Sin Pago","",IFERROR(INDEX(Pagos_Odoo!$F:$F, MATCH(X1774, Pagos_Odoo!$B:$B, 0)), ""))</f>
        <v/>
      </c>
      <c r="AB1774" s="81">
        <f>IF(X1774="Sin Pago",0,IFERROR(INDEX(Pagos_Odoo!$E:$E, MATCH(X1774, Pagos_Odoo!$B:$B, 0)), 0))</f>
        <v/>
      </c>
      <c r="AC1774" s="79">
        <f>IF(X1774="Sin Pago","",IFERROR(INDEX(Pagos_Odoo!$G:$G, MATCH(X1774, Pagos_Odoo!$B:$B, 0)), ""))</f>
        <v/>
      </c>
      <c r="AD1774" s="82" t="n">
        <v>0</v>
      </c>
      <c r="AE1774" s="82" t="n"/>
      <c r="AF1774" s="82" t="n"/>
      <c r="AG1774" s="82">
        <f>IF(AN1774="","",AD1774+AE1774+AF1774)</f>
        <v/>
      </c>
      <c r="AH1774" s="81">
        <f>IF(AN1774="","",P1774*(1-AG1774))</f>
        <v/>
      </c>
      <c r="AI1774" s="81">
        <f>IF(AN1774="","",IF(Q1774="Sin Factura",0,IFERROR(INDEX(Facturas_Odoo!$H:$H, MATCH(Q1774, Facturas_Odoo!$B:$B, 0)), 0)*(1-AG1774)))</f>
        <v/>
      </c>
      <c r="AJ1774" s="81">
        <f>IF(AN1774="","",_xlfn.LET(idVenta, AN1774&amp;"",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74" s="81">
        <f>IF(AN1774="","",AH1774-AJ1774)</f>
        <v/>
      </c>
      <c r="AL1774" s="81">
        <f>IF(AN1774="","",IF(Q1774="Sin Factura","",AI1774-AJ1774))</f>
        <v/>
      </c>
      <c r="AM1774" s="81">
        <f>IF(AN1774="","",IF(Q1774="Sin Factura",0,P1774-IFERROR(INDEX(Facturas_Odoo!$H:$H, MATCH(Q1774, Facturas_Odoo!$B:$B, 0)), 0)))</f>
        <v/>
      </c>
      <c r="AN1774" s="79">
        <f>IF(AND(A1774="", J1774=""), "", IF(A1774&lt;&gt;"", VALUE(MID(A1774,2,LEN(A1774))), AN1773))</f>
        <v/>
      </c>
      <c r="AO1774" s="79">
        <f>IF(AN1774="","",IF(AD1774=0,"OK",_xlfn.LET(monedaPago, IF(AA1774="","USD",AA1774), limitePermitido, IFERROR(VLOOKUP(monedaPago, Configuración!$A$2:$B$3, 2, FALSE), 0.15), IF(AD1774&gt;limitePermitido, "ALERTA: EXCESO (" &amp; TEXT(limitePermitido, "0%") &amp; " máx)", "OK"))))</f>
        <v/>
      </c>
      <c r="AP1774" s="79">
        <f>IF(AN1774="","",IF(AE1774=0,"OK",_xlfn.LET(fechaPago, Z1774, fechaFactura, R1774, diasCredito, IF(E1774="Pago inmediato", 0, IFERROR(VALUE(MID(E1774, 1, SEARCH(" ", E1774)-1)),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74" s="79">
        <f>IF(AN1774="","",IF(AND(N1774&gt;0, AG1774&gt;0), IF(Configuración!$K$2="NO", "ALERTA: DESCUENTO DOBLE NO PERMITIDO", "OK"), "OK"))</f>
        <v/>
      </c>
      <c r="AR1774" s="79">
        <f>IF(AN1774="","",IF(OR(AO1774&lt;&gt;"OK", AP1774&lt;&gt;"OK", AQ1774&lt;&gt;"OK"), "⚠️ REVISAR", "OK"))</f>
        <v/>
      </c>
    </row>
    <row r="1775">
      <c r="A1775" s="79">
        <f>IF('Ordenes_Odoo'!A1775="","",'Ordenes_Odoo'!A1775)</f>
        <v/>
      </c>
      <c r="B1775" s="80">
        <f>IF('Ordenes_Odoo'!B1775="","",'Ordenes_Odoo'!B1775)</f>
        <v/>
      </c>
      <c r="C1775" s="79">
        <f>IF('Ordenes_Odoo'!C1775="","",'Ordenes_Odoo'!C1775)</f>
        <v/>
      </c>
      <c r="D1775" s="79">
        <f>IF('Ordenes_Odoo'!D1775="","",'Ordenes_Odoo'!D1775)</f>
        <v/>
      </c>
      <c r="E1775" s="79">
        <f>IF('Ordenes_Odoo'!E1775="","",'Ordenes_Odoo'!E1775)</f>
        <v/>
      </c>
      <c r="F1775" s="79">
        <f>IF('Ordenes_Odoo'!F1775="","",'Ordenes_Odoo'!F1775)</f>
        <v/>
      </c>
      <c r="G1775" s="79">
        <f>IF('Ordenes_Odoo'!G1775="","",'Ordenes_Odoo'!G1775)</f>
        <v/>
      </c>
      <c r="H1775" s="79">
        <f>IF('Ordenes_Odoo'!H1775="","",'Ordenes_Odoo'!H1775)</f>
        <v/>
      </c>
      <c r="I1775" s="79">
        <f>IF('Ordenes_Odoo'!I1775="","",'Ordenes_Odoo'!I1775)</f>
        <v/>
      </c>
      <c r="J1775" s="79">
        <f>IF('Ordenes_Odoo'!J1775="","",'Ordenes_Odoo'!J1775)</f>
        <v/>
      </c>
      <c r="K1775" s="81">
        <f>IF('Ordenes_Odoo'!K1775="","",'Ordenes_Odoo'!K1775)</f>
        <v/>
      </c>
      <c r="L1775" s="81">
        <f>IF('Ordenes_Odoo'!L1775="","",'Ordenes_Odoo'!L1775)</f>
        <v/>
      </c>
      <c r="M1775" s="79">
        <f>IF('Ordenes_Odoo'!M1775="","",'Ordenes_Odoo'!M1775)</f>
        <v/>
      </c>
      <c r="N1775" s="79">
        <f>IF('Ordenes_Odoo'!N1775="","",'Ordenes_Odoo'!N1775)</f>
        <v/>
      </c>
      <c r="O1775" s="81">
        <f>IF('Ordenes_Odoo'!O1775="","",'Ordenes_Odoo'!O1775)</f>
        <v/>
      </c>
      <c r="P1775" s="81">
        <f>IF('Ordenes_Odoo'!P1775="","",'Ordenes_Odoo'!P1775)</f>
        <v/>
      </c>
      <c r="Q1775" s="79">
        <f>IF(A1775="","",IFERROR(INDEX(Facturas_Odoo!$B:$B, MATCH(A1775, Facturas_Odoo!$D:$D, 0)), "Sin Factura"))</f>
        <v/>
      </c>
      <c r="R1775" s="80">
        <f>IF(Q1775="Sin Factura","",IFERROR(INDEX(Facturas_Odoo!$A:$A, MATCH(Q1775, Facturas_Odoo!$B:$B, 0)), ""))</f>
        <v/>
      </c>
      <c r="S1775" s="79">
        <f>IF(Q1775="Sin Factura","",IFERROR(_xlfn.XLOOKUP(1, (Facturas_Odoo!$D:$D=A1775) * (Facturas_Odoo!$K:$K=I1775), Facturas_Odoo!$L:$L, ""), ""))</f>
        <v/>
      </c>
      <c r="T1775" s="81">
        <f>IF(Q1775="Sin Factura",0,IFERROR(_xlfn.XLOOKUP(1, (Facturas_Odoo!$D:$D=A1775) * (Facturas_Odoo!$K:$K=I1775), Facturas_Odoo!$M:$M, 0), 0))</f>
        <v/>
      </c>
      <c r="U1775" s="79">
        <f>IF(Q1775="Sin Factura",0,IFERROR(_xlfn.XLOOKUP(1, (Facturas_Odoo!$D:$D=A1775) * (Facturas_Odoo!$K:$K=I1775), Facturas_Odoo!$N:$N, 0), 0))</f>
        <v/>
      </c>
      <c r="V1775" s="79">
        <f>IF(Q1775="Sin Factura",0,IFERROR(_xlfn.XLOOKUP(1, (Facturas_Odoo!$D:$D=A1775) * (Facturas_Odoo!$K:$K=I1775), Facturas_Odoo!$O:$O, 0), 0))</f>
        <v/>
      </c>
      <c r="W1775" s="81">
        <f>IF(Q1775="Sin Factura",0,IFERROR(_xlfn.XLOOKUP(1, (Facturas_Odoo!$D:$D=A1775) * (Facturas_Odoo!$K:$K=I1775), Facturas_Odoo!$Q:$Q, 0), 0))</f>
        <v/>
      </c>
      <c r="X1775" s="79">
        <f>IF(OR(Q1775="Sin Factura",Q1775=""),"",IFERROR(INDEX(Pagos_Odoo!$B:$B, MATCH(Q1775, Pagos_Odoo!$I:$I, 0)), "Sin Pago"))</f>
        <v/>
      </c>
      <c r="Y1775" s="79">
        <f>IF(X1775="Sin Pago","",IFERROR(INDEX(Pagos_Odoo!$C:$C, MATCH(X1775, Pagos_Odoo!$B:$B, 0)), ""))</f>
        <v/>
      </c>
      <c r="Z1775" s="80">
        <f>IF(X1775="Sin Pago","",IFERROR(INDEX(Pagos_Odoo!$A:$A, MATCH(X1775, Pagos_Odoo!$B:$B, 0)), ""))</f>
        <v/>
      </c>
      <c r="AA1775" s="79">
        <f>IF(X1775="Sin Pago","",IFERROR(INDEX(Pagos_Odoo!$F:$F, MATCH(X1775, Pagos_Odoo!$B:$B, 0)), ""))</f>
        <v/>
      </c>
      <c r="AB1775" s="81">
        <f>IF(X1775="Sin Pago",0,IFERROR(INDEX(Pagos_Odoo!$E:$E, MATCH(X1775, Pagos_Odoo!$B:$B, 0)), 0))</f>
        <v/>
      </c>
      <c r="AC1775" s="79">
        <f>IF(X1775="Sin Pago","",IFERROR(INDEX(Pagos_Odoo!$G:$G, MATCH(X1775, Pagos_Odoo!$B:$B, 0)), ""))</f>
        <v/>
      </c>
      <c r="AD1775" s="82" t="n">
        <v>0</v>
      </c>
      <c r="AE1775" s="82" t="n"/>
      <c r="AF1775" s="82" t="n"/>
      <c r="AG1775" s="82">
        <f>IF(AN1775="","",AD1775+AE1775+AF1775)</f>
        <v/>
      </c>
      <c r="AH1775" s="81">
        <f>IF(AN1775="","",P1775*(1-AG1775))</f>
        <v/>
      </c>
      <c r="AI1775" s="81">
        <f>IF(AN1775="","",IF(Q1775="Sin Factura",0,IFERROR(INDEX(Facturas_Odoo!$H:$H, MATCH(Q1775, Facturas_Odoo!$B:$B, 0)), 0)*(1-AG1775)))</f>
        <v/>
      </c>
      <c r="AJ1775" s="81">
        <f>IF(AN1775="","",_xlfn.LET(idVenta, AN1775&amp;"",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75" s="81">
        <f>IF(AN1775="","",AH1775-AJ1775)</f>
        <v/>
      </c>
      <c r="AL1775" s="81">
        <f>IF(AN1775="","",IF(Q1775="Sin Factura","",AI1775-AJ1775))</f>
        <v/>
      </c>
      <c r="AM1775" s="81">
        <f>IF(AN1775="","",IF(Q1775="Sin Factura",0,P1775-IFERROR(INDEX(Facturas_Odoo!$H:$H, MATCH(Q1775, Facturas_Odoo!$B:$B, 0)), 0)))</f>
        <v/>
      </c>
      <c r="AN1775" s="79">
        <f>IF(AND(A1775="", J1775=""), "", IF(A1775&lt;&gt;"", VALUE(MID(A1775,2,LEN(A1775))), AN1774))</f>
        <v/>
      </c>
      <c r="AO1775" s="79">
        <f>IF(AN1775="","",IF(AD1775=0,"OK",_xlfn.LET(monedaPago, IF(AA1775="","USD",AA1775), limitePermitido, IFERROR(VLOOKUP(monedaPago, Configuración!$A$2:$B$3, 2, FALSE), 0.15), IF(AD1775&gt;limitePermitido, "ALERTA: EXCESO (" &amp; TEXT(limitePermitido, "0%") &amp; " máx)", "OK"))))</f>
        <v/>
      </c>
      <c r="AP1775" s="79">
        <f>IF(AN1775="","",IF(AE1775=0,"OK",_xlfn.LET(fechaPago, Z1775, fechaFactura, R1775, diasCredito, IF(E1775="Pago inmediato", 0, IFERROR(VALUE(MID(E1775, 1, SEARCH(" ", E1775)-1)),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75" s="79">
        <f>IF(AN1775="","",IF(AND(N1775&gt;0, AG1775&gt;0), IF(Configuración!$K$2="NO", "ALERTA: DESCUENTO DOBLE NO PERMITIDO", "OK"), "OK"))</f>
        <v/>
      </c>
      <c r="AR1775" s="79">
        <f>IF(AN1775="","",IF(OR(AO1775&lt;&gt;"OK", AP1775&lt;&gt;"OK", AQ1775&lt;&gt;"OK"), "⚠️ REVISAR", "OK"))</f>
        <v/>
      </c>
    </row>
    <row r="1776">
      <c r="A1776" s="79">
        <f>IF('Ordenes_Odoo'!A1776="","",'Ordenes_Odoo'!A1776)</f>
        <v/>
      </c>
      <c r="B1776" s="80">
        <f>IF('Ordenes_Odoo'!B1776="","",'Ordenes_Odoo'!B1776)</f>
        <v/>
      </c>
      <c r="C1776" s="79">
        <f>IF('Ordenes_Odoo'!C1776="","",'Ordenes_Odoo'!C1776)</f>
        <v/>
      </c>
      <c r="D1776" s="79">
        <f>IF('Ordenes_Odoo'!D1776="","",'Ordenes_Odoo'!D1776)</f>
        <v/>
      </c>
      <c r="E1776" s="79">
        <f>IF('Ordenes_Odoo'!E1776="","",'Ordenes_Odoo'!E1776)</f>
        <v/>
      </c>
      <c r="F1776" s="79">
        <f>IF('Ordenes_Odoo'!F1776="","",'Ordenes_Odoo'!F1776)</f>
        <v/>
      </c>
      <c r="G1776" s="79">
        <f>IF('Ordenes_Odoo'!G1776="","",'Ordenes_Odoo'!G1776)</f>
        <v/>
      </c>
      <c r="H1776" s="79">
        <f>IF('Ordenes_Odoo'!H1776="","",'Ordenes_Odoo'!H1776)</f>
        <v/>
      </c>
      <c r="I1776" s="79">
        <f>IF('Ordenes_Odoo'!I1776="","",'Ordenes_Odoo'!I1776)</f>
        <v/>
      </c>
      <c r="J1776" s="79">
        <f>IF('Ordenes_Odoo'!J1776="","",'Ordenes_Odoo'!J1776)</f>
        <v/>
      </c>
      <c r="K1776" s="81">
        <f>IF('Ordenes_Odoo'!K1776="","",'Ordenes_Odoo'!K1776)</f>
        <v/>
      </c>
      <c r="L1776" s="81">
        <f>IF('Ordenes_Odoo'!L1776="","",'Ordenes_Odoo'!L1776)</f>
        <v/>
      </c>
      <c r="M1776" s="79">
        <f>IF('Ordenes_Odoo'!M1776="","",'Ordenes_Odoo'!M1776)</f>
        <v/>
      </c>
      <c r="N1776" s="79">
        <f>IF('Ordenes_Odoo'!N1776="","",'Ordenes_Odoo'!N1776)</f>
        <v/>
      </c>
      <c r="O1776" s="81">
        <f>IF('Ordenes_Odoo'!O1776="","",'Ordenes_Odoo'!O1776)</f>
        <v/>
      </c>
      <c r="P1776" s="81">
        <f>IF('Ordenes_Odoo'!P1776="","",'Ordenes_Odoo'!P1776)</f>
        <v/>
      </c>
      <c r="Q1776" s="79">
        <f>IF(A1776="","",IFERROR(INDEX(Facturas_Odoo!$B:$B, MATCH(A1776, Facturas_Odoo!$D:$D, 0)), "Sin Factura"))</f>
        <v/>
      </c>
      <c r="R1776" s="80">
        <f>IF(Q1776="Sin Factura","",IFERROR(INDEX(Facturas_Odoo!$A:$A, MATCH(Q1776, Facturas_Odoo!$B:$B, 0)), ""))</f>
        <v/>
      </c>
      <c r="S1776" s="79">
        <f>IF(Q1776="Sin Factura","",IFERROR(_xlfn.XLOOKUP(1, (Facturas_Odoo!$D:$D=A1776) * (Facturas_Odoo!$K:$K=I1776), Facturas_Odoo!$L:$L, ""), ""))</f>
        <v/>
      </c>
      <c r="T1776" s="81">
        <f>IF(Q1776="Sin Factura",0,IFERROR(_xlfn.XLOOKUP(1, (Facturas_Odoo!$D:$D=A1776) * (Facturas_Odoo!$K:$K=I1776), Facturas_Odoo!$M:$M, 0), 0))</f>
        <v/>
      </c>
      <c r="U1776" s="79">
        <f>IF(Q1776="Sin Factura",0,IFERROR(_xlfn.XLOOKUP(1, (Facturas_Odoo!$D:$D=A1776) * (Facturas_Odoo!$K:$K=I1776), Facturas_Odoo!$N:$N, 0), 0))</f>
        <v/>
      </c>
      <c r="V1776" s="79">
        <f>IF(Q1776="Sin Factura",0,IFERROR(_xlfn.XLOOKUP(1, (Facturas_Odoo!$D:$D=A1776) * (Facturas_Odoo!$K:$K=I1776), Facturas_Odoo!$O:$O, 0), 0))</f>
        <v/>
      </c>
      <c r="W1776" s="81">
        <f>IF(Q1776="Sin Factura",0,IFERROR(_xlfn.XLOOKUP(1, (Facturas_Odoo!$D:$D=A1776) * (Facturas_Odoo!$K:$K=I1776), Facturas_Odoo!$Q:$Q, 0), 0))</f>
        <v/>
      </c>
      <c r="X1776" s="79">
        <f>IF(OR(Q1776="Sin Factura",Q1776=""),"",IFERROR(INDEX(Pagos_Odoo!$B:$B, MATCH(Q1776, Pagos_Odoo!$I:$I, 0)), "Sin Pago"))</f>
        <v/>
      </c>
      <c r="Y1776" s="79">
        <f>IF(X1776="Sin Pago","",IFERROR(INDEX(Pagos_Odoo!$C:$C, MATCH(X1776, Pagos_Odoo!$B:$B, 0)), ""))</f>
        <v/>
      </c>
      <c r="Z1776" s="80">
        <f>IF(X1776="Sin Pago","",IFERROR(INDEX(Pagos_Odoo!$A:$A, MATCH(X1776, Pagos_Odoo!$B:$B, 0)), ""))</f>
        <v/>
      </c>
      <c r="AA1776" s="79">
        <f>IF(X1776="Sin Pago","",IFERROR(INDEX(Pagos_Odoo!$F:$F, MATCH(X1776, Pagos_Odoo!$B:$B, 0)), ""))</f>
        <v/>
      </c>
      <c r="AB1776" s="81">
        <f>IF(X1776="Sin Pago",0,IFERROR(INDEX(Pagos_Odoo!$E:$E, MATCH(X1776, Pagos_Odoo!$B:$B, 0)), 0))</f>
        <v/>
      </c>
      <c r="AC1776" s="79">
        <f>IF(X1776="Sin Pago","",IFERROR(INDEX(Pagos_Odoo!$G:$G, MATCH(X1776, Pagos_Odoo!$B:$B, 0)), ""))</f>
        <v/>
      </c>
      <c r="AD1776" s="82" t="n">
        <v>0</v>
      </c>
      <c r="AE1776" s="82" t="n"/>
      <c r="AF1776" s="82" t="n"/>
      <c r="AG1776" s="82">
        <f>IF(AN1776="","",AD1776+AE1776+AF1776)</f>
        <v/>
      </c>
      <c r="AH1776" s="81">
        <f>IF(AN1776="","",P1776*(1-AG1776))</f>
        <v/>
      </c>
      <c r="AI1776" s="81">
        <f>IF(AN1776="","",IF(Q1776="Sin Factura",0,IFERROR(INDEX(Facturas_Odoo!$H:$H, MATCH(Q1776, Facturas_Odoo!$B:$B, 0)), 0)*(1-AG1776)))</f>
        <v/>
      </c>
      <c r="AJ1776" s="81">
        <f>IF(AN1776="","",_xlfn.LET(idVenta, AN1776&amp;"",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76" s="81">
        <f>IF(AN1776="","",AH1776-AJ1776)</f>
        <v/>
      </c>
      <c r="AL1776" s="81">
        <f>IF(AN1776="","",IF(Q1776="Sin Factura","",AI1776-AJ1776))</f>
        <v/>
      </c>
      <c r="AM1776" s="81">
        <f>IF(AN1776="","",IF(Q1776="Sin Factura",0,P1776-IFERROR(INDEX(Facturas_Odoo!$H:$H, MATCH(Q1776, Facturas_Odoo!$B:$B, 0)), 0)))</f>
        <v/>
      </c>
      <c r="AN1776" s="79">
        <f>IF(AND(A1776="", J1776=""), "", IF(A1776&lt;&gt;"", VALUE(MID(A1776,2,LEN(A1776))), AN1775))</f>
        <v/>
      </c>
      <c r="AO1776" s="79">
        <f>IF(AN1776="","",IF(AD1776=0,"OK",_xlfn.LET(monedaPago, IF(AA1776="","USD",AA1776), limitePermitido, IFERROR(VLOOKUP(monedaPago, Configuración!$A$2:$B$3, 2, FALSE), 0.15), IF(AD1776&gt;limitePermitido, "ALERTA: EXCESO (" &amp; TEXT(limitePermitido, "0%") &amp; " máx)", "OK"))))</f>
        <v/>
      </c>
      <c r="AP1776" s="79">
        <f>IF(AN1776="","",IF(AE1776=0,"OK",_xlfn.LET(fechaPago, Z1776, fechaFactura, R1776, diasCredito, IF(E1776="Pago inmediato", 0, IFERROR(VALUE(MID(E1776, 1, SEARCH(" ", E1776)-1)),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76" s="79">
        <f>IF(AN1776="","",IF(AND(N1776&gt;0, AG1776&gt;0), IF(Configuración!$K$2="NO", "ALERTA: DESCUENTO DOBLE NO PERMITIDO", "OK"), "OK"))</f>
        <v/>
      </c>
      <c r="AR1776" s="79">
        <f>IF(AN1776="","",IF(OR(AO1776&lt;&gt;"OK", AP1776&lt;&gt;"OK", AQ1776&lt;&gt;"OK"), "⚠️ REVISAR", "OK"))</f>
        <v/>
      </c>
    </row>
    <row r="1777">
      <c r="A1777" s="79">
        <f>IF('Ordenes_Odoo'!A1777="","",'Ordenes_Odoo'!A1777)</f>
        <v/>
      </c>
      <c r="B1777" s="80">
        <f>IF('Ordenes_Odoo'!B1777="","",'Ordenes_Odoo'!B1777)</f>
        <v/>
      </c>
      <c r="C1777" s="79">
        <f>IF('Ordenes_Odoo'!C1777="","",'Ordenes_Odoo'!C1777)</f>
        <v/>
      </c>
      <c r="D1777" s="79">
        <f>IF('Ordenes_Odoo'!D1777="","",'Ordenes_Odoo'!D1777)</f>
        <v/>
      </c>
      <c r="E1777" s="79">
        <f>IF('Ordenes_Odoo'!E1777="","",'Ordenes_Odoo'!E1777)</f>
        <v/>
      </c>
      <c r="F1777" s="79">
        <f>IF('Ordenes_Odoo'!F1777="","",'Ordenes_Odoo'!F1777)</f>
        <v/>
      </c>
      <c r="G1777" s="79">
        <f>IF('Ordenes_Odoo'!G1777="","",'Ordenes_Odoo'!G1777)</f>
        <v/>
      </c>
      <c r="H1777" s="79">
        <f>IF('Ordenes_Odoo'!H1777="","",'Ordenes_Odoo'!H1777)</f>
        <v/>
      </c>
      <c r="I1777" s="79">
        <f>IF('Ordenes_Odoo'!I1777="","",'Ordenes_Odoo'!I1777)</f>
        <v/>
      </c>
      <c r="J1777" s="79">
        <f>IF('Ordenes_Odoo'!J1777="","",'Ordenes_Odoo'!J1777)</f>
        <v/>
      </c>
      <c r="K1777" s="81">
        <f>IF('Ordenes_Odoo'!K1777="","",'Ordenes_Odoo'!K1777)</f>
        <v/>
      </c>
      <c r="L1777" s="81">
        <f>IF('Ordenes_Odoo'!L1777="","",'Ordenes_Odoo'!L1777)</f>
        <v/>
      </c>
      <c r="M1777" s="79">
        <f>IF('Ordenes_Odoo'!M1777="","",'Ordenes_Odoo'!M1777)</f>
        <v/>
      </c>
      <c r="N1777" s="79">
        <f>IF('Ordenes_Odoo'!N1777="","",'Ordenes_Odoo'!N1777)</f>
        <v/>
      </c>
      <c r="O1777" s="81">
        <f>IF('Ordenes_Odoo'!O1777="","",'Ordenes_Odoo'!O1777)</f>
        <v/>
      </c>
      <c r="P1777" s="81">
        <f>IF('Ordenes_Odoo'!P1777="","",'Ordenes_Odoo'!P1777)</f>
        <v/>
      </c>
      <c r="Q1777" s="79">
        <f>IF(A1777="","",IFERROR(INDEX(Facturas_Odoo!$B:$B, MATCH(A1777, Facturas_Odoo!$D:$D, 0)), "Sin Factura"))</f>
        <v/>
      </c>
      <c r="R1777" s="80">
        <f>IF(Q1777="Sin Factura","",IFERROR(INDEX(Facturas_Odoo!$A:$A, MATCH(Q1777, Facturas_Odoo!$B:$B, 0)), ""))</f>
        <v/>
      </c>
      <c r="S1777" s="79">
        <f>IF(Q1777="Sin Factura","",IFERROR(_xlfn.XLOOKUP(1, (Facturas_Odoo!$D:$D=A1777) * (Facturas_Odoo!$K:$K=I1777), Facturas_Odoo!$L:$L, ""), ""))</f>
        <v/>
      </c>
      <c r="T1777" s="81">
        <f>IF(Q1777="Sin Factura",0,IFERROR(_xlfn.XLOOKUP(1, (Facturas_Odoo!$D:$D=A1777) * (Facturas_Odoo!$K:$K=I1777), Facturas_Odoo!$M:$M, 0), 0))</f>
        <v/>
      </c>
      <c r="U1777" s="79">
        <f>IF(Q1777="Sin Factura",0,IFERROR(_xlfn.XLOOKUP(1, (Facturas_Odoo!$D:$D=A1777) * (Facturas_Odoo!$K:$K=I1777), Facturas_Odoo!$N:$N, 0), 0))</f>
        <v/>
      </c>
      <c r="V1777" s="79">
        <f>IF(Q1777="Sin Factura",0,IFERROR(_xlfn.XLOOKUP(1, (Facturas_Odoo!$D:$D=A1777) * (Facturas_Odoo!$K:$K=I1777), Facturas_Odoo!$O:$O, 0), 0))</f>
        <v/>
      </c>
      <c r="W1777" s="81">
        <f>IF(Q1777="Sin Factura",0,IFERROR(_xlfn.XLOOKUP(1, (Facturas_Odoo!$D:$D=A1777) * (Facturas_Odoo!$K:$K=I1777), Facturas_Odoo!$Q:$Q, 0), 0))</f>
        <v/>
      </c>
      <c r="X1777" s="79">
        <f>IF(OR(Q1777="Sin Factura",Q1777=""),"",IFERROR(INDEX(Pagos_Odoo!$B:$B, MATCH(Q1777, Pagos_Odoo!$I:$I, 0)), "Sin Pago"))</f>
        <v/>
      </c>
      <c r="Y1777" s="79">
        <f>IF(X1777="Sin Pago","",IFERROR(INDEX(Pagos_Odoo!$C:$C, MATCH(X1777, Pagos_Odoo!$B:$B, 0)), ""))</f>
        <v/>
      </c>
      <c r="Z1777" s="80">
        <f>IF(X1777="Sin Pago","",IFERROR(INDEX(Pagos_Odoo!$A:$A, MATCH(X1777, Pagos_Odoo!$B:$B, 0)), ""))</f>
        <v/>
      </c>
      <c r="AA1777" s="79">
        <f>IF(X1777="Sin Pago","",IFERROR(INDEX(Pagos_Odoo!$F:$F, MATCH(X1777, Pagos_Odoo!$B:$B, 0)), ""))</f>
        <v/>
      </c>
      <c r="AB1777" s="81">
        <f>IF(X1777="Sin Pago",0,IFERROR(INDEX(Pagos_Odoo!$E:$E, MATCH(X1777, Pagos_Odoo!$B:$B, 0)), 0))</f>
        <v/>
      </c>
      <c r="AC1777" s="79">
        <f>IF(X1777="Sin Pago","",IFERROR(INDEX(Pagos_Odoo!$G:$G, MATCH(X1777, Pagos_Odoo!$B:$B, 0)), ""))</f>
        <v/>
      </c>
      <c r="AD1777" s="82" t="n">
        <v>0</v>
      </c>
      <c r="AE1777" s="82" t="n"/>
      <c r="AF1777" s="82" t="n"/>
      <c r="AG1777" s="82">
        <f>IF(AN1777="","",AD1777+AE1777+AF1777)</f>
        <v/>
      </c>
      <c r="AH1777" s="81">
        <f>IF(AN1777="","",P1777*(1-AG1777))</f>
        <v/>
      </c>
      <c r="AI1777" s="81">
        <f>IF(AN1777="","",IF(Q1777="Sin Factura",0,IFERROR(INDEX(Facturas_Odoo!$H:$H, MATCH(Q1777, Facturas_Odoo!$B:$B, 0)), 0)*(1-AG1777)))</f>
        <v/>
      </c>
      <c r="AJ1777" s="81">
        <f>IF(AN1777="","",_xlfn.LET(idVenta, AN1777&amp;"",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77" s="81">
        <f>IF(AN1777="","",AH1777-AJ1777)</f>
        <v/>
      </c>
      <c r="AL1777" s="81">
        <f>IF(AN1777="","",IF(Q1777="Sin Factura","",AI1777-AJ1777))</f>
        <v/>
      </c>
      <c r="AM1777" s="81">
        <f>IF(AN1777="","",IF(Q1777="Sin Factura",0,P1777-IFERROR(INDEX(Facturas_Odoo!$H:$H, MATCH(Q1777, Facturas_Odoo!$B:$B, 0)), 0)))</f>
        <v/>
      </c>
      <c r="AN1777" s="79">
        <f>IF(AND(A1777="", J1777=""), "", IF(A1777&lt;&gt;"", VALUE(MID(A1777,2,LEN(A1777))), AN1776))</f>
        <v/>
      </c>
      <c r="AO1777" s="79">
        <f>IF(AN1777="","",IF(AD1777=0,"OK",_xlfn.LET(monedaPago, IF(AA1777="","USD",AA1777), limitePermitido, IFERROR(VLOOKUP(monedaPago, Configuración!$A$2:$B$3, 2, FALSE), 0.15), IF(AD1777&gt;limitePermitido, "ALERTA: EXCESO (" &amp; TEXT(limitePermitido, "0%") &amp; " máx)", "OK"))))</f>
        <v/>
      </c>
      <c r="AP1777" s="79">
        <f>IF(AN1777="","",IF(AE1777=0,"OK",_xlfn.LET(fechaPago, Z1777, fechaFactura, R1777, diasCredito, IF(E1777="Pago inmediato", 0, IFERROR(VALUE(MID(E1777, 1, SEARCH(" ", E1777)-1)),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77" s="79">
        <f>IF(AN1777="","",IF(AND(N1777&gt;0, AG1777&gt;0), IF(Configuración!$K$2="NO", "ALERTA: DESCUENTO DOBLE NO PERMITIDO", "OK"), "OK"))</f>
        <v/>
      </c>
      <c r="AR1777" s="79">
        <f>IF(AN1777="","",IF(OR(AO1777&lt;&gt;"OK", AP1777&lt;&gt;"OK", AQ1777&lt;&gt;"OK"), "⚠️ REVISAR", "OK"))</f>
        <v/>
      </c>
    </row>
    <row r="1778">
      <c r="A1778" s="79">
        <f>IF('Ordenes_Odoo'!A1778="","",'Ordenes_Odoo'!A1778)</f>
        <v/>
      </c>
      <c r="B1778" s="80">
        <f>IF('Ordenes_Odoo'!B1778="","",'Ordenes_Odoo'!B1778)</f>
        <v/>
      </c>
      <c r="C1778" s="79">
        <f>IF('Ordenes_Odoo'!C1778="","",'Ordenes_Odoo'!C1778)</f>
        <v/>
      </c>
      <c r="D1778" s="79">
        <f>IF('Ordenes_Odoo'!D1778="","",'Ordenes_Odoo'!D1778)</f>
        <v/>
      </c>
      <c r="E1778" s="79">
        <f>IF('Ordenes_Odoo'!E1778="","",'Ordenes_Odoo'!E1778)</f>
        <v/>
      </c>
      <c r="F1778" s="79">
        <f>IF('Ordenes_Odoo'!F1778="","",'Ordenes_Odoo'!F1778)</f>
        <v/>
      </c>
      <c r="G1778" s="79">
        <f>IF('Ordenes_Odoo'!G1778="","",'Ordenes_Odoo'!G1778)</f>
        <v/>
      </c>
      <c r="H1778" s="79">
        <f>IF('Ordenes_Odoo'!H1778="","",'Ordenes_Odoo'!H1778)</f>
        <v/>
      </c>
      <c r="I1778" s="79">
        <f>IF('Ordenes_Odoo'!I1778="","",'Ordenes_Odoo'!I1778)</f>
        <v/>
      </c>
      <c r="J1778" s="79">
        <f>IF('Ordenes_Odoo'!J1778="","",'Ordenes_Odoo'!J1778)</f>
        <v/>
      </c>
      <c r="K1778" s="81">
        <f>IF('Ordenes_Odoo'!K1778="","",'Ordenes_Odoo'!K1778)</f>
        <v/>
      </c>
      <c r="L1778" s="81">
        <f>IF('Ordenes_Odoo'!L1778="","",'Ordenes_Odoo'!L1778)</f>
        <v/>
      </c>
      <c r="M1778" s="79">
        <f>IF('Ordenes_Odoo'!M1778="","",'Ordenes_Odoo'!M1778)</f>
        <v/>
      </c>
      <c r="N1778" s="79">
        <f>IF('Ordenes_Odoo'!N1778="","",'Ordenes_Odoo'!N1778)</f>
        <v/>
      </c>
      <c r="O1778" s="81">
        <f>IF('Ordenes_Odoo'!O1778="","",'Ordenes_Odoo'!O1778)</f>
        <v/>
      </c>
      <c r="P1778" s="81">
        <f>IF('Ordenes_Odoo'!P1778="","",'Ordenes_Odoo'!P1778)</f>
        <v/>
      </c>
      <c r="Q1778" s="79">
        <f>IF(A1778="","",IFERROR(INDEX(Facturas_Odoo!$B:$B, MATCH(A1778, Facturas_Odoo!$D:$D, 0)), "Sin Factura"))</f>
        <v/>
      </c>
      <c r="R1778" s="80">
        <f>IF(Q1778="Sin Factura","",IFERROR(INDEX(Facturas_Odoo!$A:$A, MATCH(Q1778, Facturas_Odoo!$B:$B, 0)), ""))</f>
        <v/>
      </c>
      <c r="S1778" s="79">
        <f>IF(Q1778="Sin Factura","",IFERROR(_xlfn.XLOOKUP(1, (Facturas_Odoo!$D:$D=A1778) * (Facturas_Odoo!$K:$K=I1778), Facturas_Odoo!$L:$L, ""), ""))</f>
        <v/>
      </c>
      <c r="T1778" s="81">
        <f>IF(Q1778="Sin Factura",0,IFERROR(_xlfn.XLOOKUP(1, (Facturas_Odoo!$D:$D=A1778) * (Facturas_Odoo!$K:$K=I1778), Facturas_Odoo!$M:$M, 0), 0))</f>
        <v/>
      </c>
      <c r="U1778" s="79">
        <f>IF(Q1778="Sin Factura",0,IFERROR(_xlfn.XLOOKUP(1, (Facturas_Odoo!$D:$D=A1778) * (Facturas_Odoo!$K:$K=I1778), Facturas_Odoo!$N:$N, 0), 0))</f>
        <v/>
      </c>
      <c r="V1778" s="79">
        <f>IF(Q1778="Sin Factura",0,IFERROR(_xlfn.XLOOKUP(1, (Facturas_Odoo!$D:$D=A1778) * (Facturas_Odoo!$K:$K=I1778), Facturas_Odoo!$O:$O, 0), 0))</f>
        <v/>
      </c>
      <c r="W1778" s="81">
        <f>IF(Q1778="Sin Factura",0,IFERROR(_xlfn.XLOOKUP(1, (Facturas_Odoo!$D:$D=A1778) * (Facturas_Odoo!$K:$K=I1778), Facturas_Odoo!$Q:$Q, 0), 0))</f>
        <v/>
      </c>
      <c r="X1778" s="79">
        <f>IF(OR(Q1778="Sin Factura",Q1778=""),"",IFERROR(INDEX(Pagos_Odoo!$B:$B, MATCH(Q1778, Pagos_Odoo!$I:$I, 0)), "Sin Pago"))</f>
        <v/>
      </c>
      <c r="Y1778" s="79">
        <f>IF(X1778="Sin Pago","",IFERROR(INDEX(Pagos_Odoo!$C:$C, MATCH(X1778, Pagos_Odoo!$B:$B, 0)), ""))</f>
        <v/>
      </c>
      <c r="Z1778" s="80">
        <f>IF(X1778="Sin Pago","",IFERROR(INDEX(Pagos_Odoo!$A:$A, MATCH(X1778, Pagos_Odoo!$B:$B, 0)), ""))</f>
        <v/>
      </c>
      <c r="AA1778" s="79">
        <f>IF(X1778="Sin Pago","",IFERROR(INDEX(Pagos_Odoo!$F:$F, MATCH(X1778, Pagos_Odoo!$B:$B, 0)), ""))</f>
        <v/>
      </c>
      <c r="AB1778" s="81">
        <f>IF(X1778="Sin Pago",0,IFERROR(INDEX(Pagos_Odoo!$E:$E, MATCH(X1778, Pagos_Odoo!$B:$B, 0)), 0))</f>
        <v/>
      </c>
      <c r="AC1778" s="79">
        <f>IF(X1778="Sin Pago","",IFERROR(INDEX(Pagos_Odoo!$G:$G, MATCH(X1778, Pagos_Odoo!$B:$B, 0)), ""))</f>
        <v/>
      </c>
      <c r="AD1778" s="82" t="n">
        <v>0</v>
      </c>
      <c r="AE1778" s="82" t="n"/>
      <c r="AF1778" s="82" t="n"/>
      <c r="AG1778" s="82">
        <f>IF(AN1778="","",AD1778+AE1778+AF1778)</f>
        <v/>
      </c>
      <c r="AH1778" s="81">
        <f>IF(AN1778="","",P1778*(1-AG1778))</f>
        <v/>
      </c>
      <c r="AI1778" s="81">
        <f>IF(AN1778="","",IF(Q1778="Sin Factura",0,IFERROR(INDEX(Facturas_Odoo!$H:$H, MATCH(Q1778, Facturas_Odoo!$B:$B, 0)), 0)*(1-AG1778)))</f>
        <v/>
      </c>
      <c r="AJ1778" s="81">
        <f>IF(AN1778="","",_xlfn.LET(idVenta, AN1778&amp;"",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78" s="81">
        <f>IF(AN1778="","",AH1778-AJ1778)</f>
        <v/>
      </c>
      <c r="AL1778" s="81">
        <f>IF(AN1778="","",IF(Q1778="Sin Factura","",AI1778-AJ1778))</f>
        <v/>
      </c>
      <c r="AM1778" s="81">
        <f>IF(AN1778="","",IF(Q1778="Sin Factura",0,P1778-IFERROR(INDEX(Facturas_Odoo!$H:$H, MATCH(Q1778, Facturas_Odoo!$B:$B, 0)), 0)))</f>
        <v/>
      </c>
      <c r="AN1778" s="79">
        <f>IF(AND(A1778="", J1778=""), "", IF(A1778&lt;&gt;"", VALUE(MID(A1778,2,LEN(A1778))), AN1777))</f>
        <v/>
      </c>
      <c r="AO1778" s="79">
        <f>IF(AN1778="","",IF(AD1778=0,"OK",_xlfn.LET(monedaPago, IF(AA1778="","USD",AA1778), limitePermitido, IFERROR(VLOOKUP(monedaPago, Configuración!$A$2:$B$3, 2, FALSE), 0.15), IF(AD1778&gt;limitePermitido, "ALERTA: EXCESO (" &amp; TEXT(limitePermitido, "0%") &amp; " máx)", "OK"))))</f>
        <v/>
      </c>
      <c r="AP1778" s="79">
        <f>IF(AN1778="","",IF(AE1778=0,"OK",_xlfn.LET(fechaPago, Z1778, fechaFactura, R1778, diasCredito, IF(E1778="Pago inmediato", 0, IFERROR(VALUE(MID(E1778, 1, SEARCH(" ", E1778)-1)),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78" s="79">
        <f>IF(AN1778="","",IF(AND(N1778&gt;0, AG1778&gt;0), IF(Configuración!$K$2="NO", "ALERTA: DESCUENTO DOBLE NO PERMITIDO", "OK"), "OK"))</f>
        <v/>
      </c>
      <c r="AR1778" s="79">
        <f>IF(AN1778="","",IF(OR(AO1778&lt;&gt;"OK", AP1778&lt;&gt;"OK", AQ1778&lt;&gt;"OK"), "⚠️ REVISAR", "OK"))</f>
        <v/>
      </c>
    </row>
    <row r="1779">
      <c r="A1779" s="79">
        <f>IF('Ordenes_Odoo'!A1779="","",'Ordenes_Odoo'!A1779)</f>
        <v/>
      </c>
      <c r="B1779" s="80">
        <f>IF('Ordenes_Odoo'!B1779="","",'Ordenes_Odoo'!B1779)</f>
        <v/>
      </c>
      <c r="C1779" s="79">
        <f>IF('Ordenes_Odoo'!C1779="","",'Ordenes_Odoo'!C1779)</f>
        <v/>
      </c>
      <c r="D1779" s="79">
        <f>IF('Ordenes_Odoo'!D1779="","",'Ordenes_Odoo'!D1779)</f>
        <v/>
      </c>
      <c r="E1779" s="79">
        <f>IF('Ordenes_Odoo'!E1779="","",'Ordenes_Odoo'!E1779)</f>
        <v/>
      </c>
      <c r="F1779" s="79">
        <f>IF('Ordenes_Odoo'!F1779="","",'Ordenes_Odoo'!F1779)</f>
        <v/>
      </c>
      <c r="G1779" s="79">
        <f>IF('Ordenes_Odoo'!G1779="","",'Ordenes_Odoo'!G1779)</f>
        <v/>
      </c>
      <c r="H1779" s="79">
        <f>IF('Ordenes_Odoo'!H1779="","",'Ordenes_Odoo'!H1779)</f>
        <v/>
      </c>
      <c r="I1779" s="79">
        <f>IF('Ordenes_Odoo'!I1779="","",'Ordenes_Odoo'!I1779)</f>
        <v/>
      </c>
      <c r="J1779" s="79">
        <f>IF('Ordenes_Odoo'!J1779="","",'Ordenes_Odoo'!J1779)</f>
        <v/>
      </c>
      <c r="K1779" s="81">
        <f>IF('Ordenes_Odoo'!K1779="","",'Ordenes_Odoo'!K1779)</f>
        <v/>
      </c>
      <c r="L1779" s="81">
        <f>IF('Ordenes_Odoo'!L1779="","",'Ordenes_Odoo'!L1779)</f>
        <v/>
      </c>
      <c r="M1779" s="79">
        <f>IF('Ordenes_Odoo'!M1779="","",'Ordenes_Odoo'!M1779)</f>
        <v/>
      </c>
      <c r="N1779" s="79">
        <f>IF('Ordenes_Odoo'!N1779="","",'Ordenes_Odoo'!N1779)</f>
        <v/>
      </c>
      <c r="O1779" s="81">
        <f>IF('Ordenes_Odoo'!O1779="","",'Ordenes_Odoo'!O1779)</f>
        <v/>
      </c>
      <c r="P1779" s="81">
        <f>IF('Ordenes_Odoo'!P1779="","",'Ordenes_Odoo'!P1779)</f>
        <v/>
      </c>
      <c r="Q1779" s="79">
        <f>IF(A1779="","",IFERROR(INDEX(Facturas_Odoo!$B:$B, MATCH(A1779, Facturas_Odoo!$D:$D, 0)), "Sin Factura"))</f>
        <v/>
      </c>
      <c r="R1779" s="80">
        <f>IF(Q1779="Sin Factura","",IFERROR(INDEX(Facturas_Odoo!$A:$A, MATCH(Q1779, Facturas_Odoo!$B:$B, 0)), ""))</f>
        <v/>
      </c>
      <c r="S1779" s="79">
        <f>IF(Q1779="Sin Factura","",IFERROR(_xlfn.XLOOKUP(1, (Facturas_Odoo!$D:$D=A1779) * (Facturas_Odoo!$K:$K=I1779), Facturas_Odoo!$L:$L, ""), ""))</f>
        <v/>
      </c>
      <c r="T1779" s="81">
        <f>IF(Q1779="Sin Factura",0,IFERROR(_xlfn.XLOOKUP(1, (Facturas_Odoo!$D:$D=A1779) * (Facturas_Odoo!$K:$K=I1779), Facturas_Odoo!$M:$M, 0), 0))</f>
        <v/>
      </c>
      <c r="U1779" s="79">
        <f>IF(Q1779="Sin Factura",0,IFERROR(_xlfn.XLOOKUP(1, (Facturas_Odoo!$D:$D=A1779) * (Facturas_Odoo!$K:$K=I1779), Facturas_Odoo!$N:$N, 0), 0))</f>
        <v/>
      </c>
      <c r="V1779" s="79">
        <f>IF(Q1779="Sin Factura",0,IFERROR(_xlfn.XLOOKUP(1, (Facturas_Odoo!$D:$D=A1779) * (Facturas_Odoo!$K:$K=I1779), Facturas_Odoo!$O:$O, 0), 0))</f>
        <v/>
      </c>
      <c r="W1779" s="81">
        <f>IF(Q1779="Sin Factura",0,IFERROR(_xlfn.XLOOKUP(1, (Facturas_Odoo!$D:$D=A1779) * (Facturas_Odoo!$K:$K=I1779), Facturas_Odoo!$Q:$Q, 0), 0))</f>
        <v/>
      </c>
      <c r="X1779" s="79">
        <f>IF(OR(Q1779="Sin Factura",Q1779=""),"",IFERROR(INDEX(Pagos_Odoo!$B:$B, MATCH(Q1779, Pagos_Odoo!$I:$I, 0)), "Sin Pago"))</f>
        <v/>
      </c>
      <c r="Y1779" s="79">
        <f>IF(X1779="Sin Pago","",IFERROR(INDEX(Pagos_Odoo!$C:$C, MATCH(X1779, Pagos_Odoo!$B:$B, 0)), ""))</f>
        <v/>
      </c>
      <c r="Z1779" s="80">
        <f>IF(X1779="Sin Pago","",IFERROR(INDEX(Pagos_Odoo!$A:$A, MATCH(X1779, Pagos_Odoo!$B:$B, 0)), ""))</f>
        <v/>
      </c>
      <c r="AA1779" s="79">
        <f>IF(X1779="Sin Pago","",IFERROR(INDEX(Pagos_Odoo!$F:$F, MATCH(X1779, Pagos_Odoo!$B:$B, 0)), ""))</f>
        <v/>
      </c>
      <c r="AB1779" s="81">
        <f>IF(X1779="Sin Pago",0,IFERROR(INDEX(Pagos_Odoo!$E:$E, MATCH(X1779, Pagos_Odoo!$B:$B, 0)), 0))</f>
        <v/>
      </c>
      <c r="AC1779" s="79">
        <f>IF(X1779="Sin Pago","",IFERROR(INDEX(Pagos_Odoo!$G:$G, MATCH(X1779, Pagos_Odoo!$B:$B, 0)), ""))</f>
        <v/>
      </c>
      <c r="AD1779" s="82" t="n">
        <v>0</v>
      </c>
      <c r="AE1779" s="82" t="n"/>
      <c r="AF1779" s="82" t="n"/>
      <c r="AG1779" s="82">
        <f>IF(AN1779="","",AD1779+AE1779+AF1779)</f>
        <v/>
      </c>
      <c r="AH1779" s="81">
        <f>IF(AN1779="","",P1779*(1-AG1779))</f>
        <v/>
      </c>
      <c r="AI1779" s="81">
        <f>IF(AN1779="","",IF(Q1779="Sin Factura",0,IFERROR(INDEX(Facturas_Odoo!$H:$H, MATCH(Q1779, Facturas_Odoo!$B:$B, 0)), 0)*(1-AG1779)))</f>
        <v/>
      </c>
      <c r="AJ1779" s="81">
        <f>IF(AN1779="","",_xlfn.LET(idVenta, AN1779&amp;"",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79" s="81">
        <f>IF(AN1779="","",AH1779-AJ1779)</f>
        <v/>
      </c>
      <c r="AL1779" s="81">
        <f>IF(AN1779="","",IF(Q1779="Sin Factura","",AI1779-AJ1779))</f>
        <v/>
      </c>
      <c r="AM1779" s="81">
        <f>IF(AN1779="","",IF(Q1779="Sin Factura",0,P1779-IFERROR(INDEX(Facturas_Odoo!$H:$H, MATCH(Q1779, Facturas_Odoo!$B:$B, 0)), 0)))</f>
        <v/>
      </c>
      <c r="AN1779" s="79">
        <f>IF(AND(A1779="", J1779=""), "", IF(A1779&lt;&gt;"", VALUE(MID(A1779,2,LEN(A1779))), AN1778))</f>
        <v/>
      </c>
      <c r="AO1779" s="79">
        <f>IF(AN1779="","",IF(AD1779=0,"OK",_xlfn.LET(monedaPago, IF(AA1779="","USD",AA1779), limitePermitido, IFERROR(VLOOKUP(monedaPago, Configuración!$A$2:$B$3, 2, FALSE), 0.15), IF(AD1779&gt;limitePermitido, "ALERTA: EXCESO (" &amp; TEXT(limitePermitido, "0%") &amp; " máx)", "OK"))))</f>
        <v/>
      </c>
      <c r="AP1779" s="79">
        <f>IF(AN1779="","",IF(AE1779=0,"OK",_xlfn.LET(fechaPago, Z1779, fechaFactura, R1779, diasCredito, IF(E1779="Pago inmediato", 0, IFERROR(VALUE(MID(E1779, 1, SEARCH(" ", E1779)-1)),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79" s="79">
        <f>IF(AN1779="","",IF(AND(N1779&gt;0, AG1779&gt;0), IF(Configuración!$K$2="NO", "ALERTA: DESCUENTO DOBLE NO PERMITIDO", "OK"), "OK"))</f>
        <v/>
      </c>
      <c r="AR1779" s="79">
        <f>IF(AN1779="","",IF(OR(AO1779&lt;&gt;"OK", AP1779&lt;&gt;"OK", AQ1779&lt;&gt;"OK"), "⚠️ REVISAR", "OK"))</f>
        <v/>
      </c>
    </row>
    <row r="1780">
      <c r="A1780" s="79">
        <f>IF('Ordenes_Odoo'!A1780="","",'Ordenes_Odoo'!A1780)</f>
        <v/>
      </c>
      <c r="B1780" s="80">
        <f>IF('Ordenes_Odoo'!B1780="","",'Ordenes_Odoo'!B1780)</f>
        <v/>
      </c>
      <c r="C1780" s="79">
        <f>IF('Ordenes_Odoo'!C1780="","",'Ordenes_Odoo'!C1780)</f>
        <v/>
      </c>
      <c r="D1780" s="79">
        <f>IF('Ordenes_Odoo'!D1780="","",'Ordenes_Odoo'!D1780)</f>
        <v/>
      </c>
      <c r="E1780" s="79">
        <f>IF('Ordenes_Odoo'!E1780="","",'Ordenes_Odoo'!E1780)</f>
        <v/>
      </c>
      <c r="F1780" s="79">
        <f>IF('Ordenes_Odoo'!F1780="","",'Ordenes_Odoo'!F1780)</f>
        <v/>
      </c>
      <c r="G1780" s="79">
        <f>IF('Ordenes_Odoo'!G1780="","",'Ordenes_Odoo'!G1780)</f>
        <v/>
      </c>
      <c r="H1780" s="79">
        <f>IF('Ordenes_Odoo'!H1780="","",'Ordenes_Odoo'!H1780)</f>
        <v/>
      </c>
      <c r="I1780" s="79">
        <f>IF('Ordenes_Odoo'!I1780="","",'Ordenes_Odoo'!I1780)</f>
        <v/>
      </c>
      <c r="J1780" s="79">
        <f>IF('Ordenes_Odoo'!J1780="","",'Ordenes_Odoo'!J1780)</f>
        <v/>
      </c>
      <c r="K1780" s="81">
        <f>IF('Ordenes_Odoo'!K1780="","",'Ordenes_Odoo'!K1780)</f>
        <v/>
      </c>
      <c r="L1780" s="81">
        <f>IF('Ordenes_Odoo'!L1780="","",'Ordenes_Odoo'!L1780)</f>
        <v/>
      </c>
      <c r="M1780" s="79">
        <f>IF('Ordenes_Odoo'!M1780="","",'Ordenes_Odoo'!M1780)</f>
        <v/>
      </c>
      <c r="N1780" s="79">
        <f>IF('Ordenes_Odoo'!N1780="","",'Ordenes_Odoo'!N1780)</f>
        <v/>
      </c>
      <c r="O1780" s="81">
        <f>IF('Ordenes_Odoo'!O1780="","",'Ordenes_Odoo'!O1780)</f>
        <v/>
      </c>
      <c r="P1780" s="81">
        <f>IF('Ordenes_Odoo'!P1780="","",'Ordenes_Odoo'!P1780)</f>
        <v/>
      </c>
      <c r="Q1780" s="79">
        <f>IF(A1780="","",IFERROR(INDEX(Facturas_Odoo!$B:$B, MATCH(A1780, Facturas_Odoo!$D:$D, 0)), "Sin Factura"))</f>
        <v/>
      </c>
      <c r="R1780" s="80">
        <f>IF(Q1780="Sin Factura","",IFERROR(INDEX(Facturas_Odoo!$A:$A, MATCH(Q1780, Facturas_Odoo!$B:$B, 0)), ""))</f>
        <v/>
      </c>
      <c r="S1780" s="79">
        <f>IF(Q1780="Sin Factura","",IFERROR(_xlfn.XLOOKUP(1, (Facturas_Odoo!$D:$D=A1780) * (Facturas_Odoo!$K:$K=I1780), Facturas_Odoo!$L:$L, ""), ""))</f>
        <v/>
      </c>
      <c r="T1780" s="81">
        <f>IF(Q1780="Sin Factura",0,IFERROR(_xlfn.XLOOKUP(1, (Facturas_Odoo!$D:$D=A1780) * (Facturas_Odoo!$K:$K=I1780), Facturas_Odoo!$M:$M, 0), 0))</f>
        <v/>
      </c>
      <c r="U1780" s="79">
        <f>IF(Q1780="Sin Factura",0,IFERROR(_xlfn.XLOOKUP(1, (Facturas_Odoo!$D:$D=A1780) * (Facturas_Odoo!$K:$K=I1780), Facturas_Odoo!$N:$N, 0), 0))</f>
        <v/>
      </c>
      <c r="V1780" s="79">
        <f>IF(Q1780="Sin Factura",0,IFERROR(_xlfn.XLOOKUP(1, (Facturas_Odoo!$D:$D=A1780) * (Facturas_Odoo!$K:$K=I1780), Facturas_Odoo!$O:$O, 0), 0))</f>
        <v/>
      </c>
      <c r="W1780" s="81">
        <f>IF(Q1780="Sin Factura",0,IFERROR(_xlfn.XLOOKUP(1, (Facturas_Odoo!$D:$D=A1780) * (Facturas_Odoo!$K:$K=I1780), Facturas_Odoo!$Q:$Q, 0), 0))</f>
        <v/>
      </c>
      <c r="X1780" s="79">
        <f>IF(OR(Q1780="Sin Factura",Q1780=""),"",IFERROR(INDEX(Pagos_Odoo!$B:$B, MATCH(Q1780, Pagos_Odoo!$I:$I, 0)), "Sin Pago"))</f>
        <v/>
      </c>
      <c r="Y1780" s="79">
        <f>IF(X1780="Sin Pago","",IFERROR(INDEX(Pagos_Odoo!$C:$C, MATCH(X1780, Pagos_Odoo!$B:$B, 0)), ""))</f>
        <v/>
      </c>
      <c r="Z1780" s="80">
        <f>IF(X1780="Sin Pago","",IFERROR(INDEX(Pagos_Odoo!$A:$A, MATCH(X1780, Pagos_Odoo!$B:$B, 0)), ""))</f>
        <v/>
      </c>
      <c r="AA1780" s="79">
        <f>IF(X1780="Sin Pago","",IFERROR(INDEX(Pagos_Odoo!$F:$F, MATCH(X1780, Pagos_Odoo!$B:$B, 0)), ""))</f>
        <v/>
      </c>
      <c r="AB1780" s="81">
        <f>IF(X1780="Sin Pago",0,IFERROR(INDEX(Pagos_Odoo!$E:$E, MATCH(X1780, Pagos_Odoo!$B:$B, 0)), 0))</f>
        <v/>
      </c>
      <c r="AC1780" s="79">
        <f>IF(X1780="Sin Pago","",IFERROR(INDEX(Pagos_Odoo!$G:$G, MATCH(X1780, Pagos_Odoo!$B:$B, 0)), ""))</f>
        <v/>
      </c>
      <c r="AD1780" s="82" t="n">
        <v>0</v>
      </c>
      <c r="AE1780" s="82" t="n"/>
      <c r="AF1780" s="82" t="n"/>
      <c r="AG1780" s="82">
        <f>IF(AN1780="","",AD1780+AE1780+AF1780)</f>
        <v/>
      </c>
      <c r="AH1780" s="81">
        <f>IF(AN1780="","",P1780*(1-AG1780))</f>
        <v/>
      </c>
      <c r="AI1780" s="81">
        <f>IF(AN1780="","",IF(Q1780="Sin Factura",0,IFERROR(INDEX(Facturas_Odoo!$H:$H, MATCH(Q1780, Facturas_Odoo!$B:$B, 0)), 0)*(1-AG1780)))</f>
        <v/>
      </c>
      <c r="AJ1780" s="81">
        <f>IF(AN1780="","",_xlfn.LET(idVenta, AN1780&amp;"",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80" s="81">
        <f>IF(AN1780="","",AH1780-AJ1780)</f>
        <v/>
      </c>
      <c r="AL1780" s="81">
        <f>IF(AN1780="","",IF(Q1780="Sin Factura","",AI1780-AJ1780))</f>
        <v/>
      </c>
      <c r="AM1780" s="81">
        <f>IF(AN1780="","",IF(Q1780="Sin Factura",0,P1780-IFERROR(INDEX(Facturas_Odoo!$H:$H, MATCH(Q1780, Facturas_Odoo!$B:$B, 0)), 0)))</f>
        <v/>
      </c>
      <c r="AN1780" s="79">
        <f>IF(AND(A1780="", J1780=""), "", IF(A1780&lt;&gt;"", VALUE(MID(A1780,2,LEN(A1780))), AN1779))</f>
        <v/>
      </c>
      <c r="AO1780" s="79">
        <f>IF(AN1780="","",IF(AD1780=0,"OK",_xlfn.LET(monedaPago, IF(AA1780="","USD",AA1780), limitePermitido, IFERROR(VLOOKUP(monedaPago, Configuración!$A$2:$B$3, 2, FALSE), 0.15), IF(AD1780&gt;limitePermitido, "ALERTA: EXCESO (" &amp; TEXT(limitePermitido, "0%") &amp; " máx)", "OK"))))</f>
        <v/>
      </c>
      <c r="AP1780" s="79">
        <f>IF(AN1780="","",IF(AE1780=0,"OK",_xlfn.LET(fechaPago, Z1780, fechaFactura, R1780, diasCredito, IF(E1780="Pago inmediato", 0, IFERROR(VALUE(MID(E1780, 1, SEARCH(" ", E1780)-1)),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80" s="79">
        <f>IF(AN1780="","",IF(AND(N1780&gt;0, AG1780&gt;0), IF(Configuración!$K$2="NO", "ALERTA: DESCUENTO DOBLE NO PERMITIDO", "OK"), "OK"))</f>
        <v/>
      </c>
      <c r="AR1780" s="79">
        <f>IF(AN1780="","",IF(OR(AO1780&lt;&gt;"OK", AP1780&lt;&gt;"OK", AQ1780&lt;&gt;"OK"), "⚠️ REVISAR", "OK"))</f>
        <v/>
      </c>
    </row>
    <row r="1781">
      <c r="A1781" s="79">
        <f>IF('Ordenes_Odoo'!A1781="","",'Ordenes_Odoo'!A1781)</f>
        <v/>
      </c>
      <c r="B1781" s="80">
        <f>IF('Ordenes_Odoo'!B1781="","",'Ordenes_Odoo'!B1781)</f>
        <v/>
      </c>
      <c r="C1781" s="79">
        <f>IF('Ordenes_Odoo'!C1781="","",'Ordenes_Odoo'!C1781)</f>
        <v/>
      </c>
      <c r="D1781" s="79">
        <f>IF('Ordenes_Odoo'!D1781="","",'Ordenes_Odoo'!D1781)</f>
        <v/>
      </c>
      <c r="E1781" s="79">
        <f>IF('Ordenes_Odoo'!E1781="","",'Ordenes_Odoo'!E1781)</f>
        <v/>
      </c>
      <c r="F1781" s="79">
        <f>IF('Ordenes_Odoo'!F1781="","",'Ordenes_Odoo'!F1781)</f>
        <v/>
      </c>
      <c r="G1781" s="79">
        <f>IF('Ordenes_Odoo'!G1781="","",'Ordenes_Odoo'!G1781)</f>
        <v/>
      </c>
      <c r="H1781" s="79">
        <f>IF('Ordenes_Odoo'!H1781="","",'Ordenes_Odoo'!H1781)</f>
        <v/>
      </c>
      <c r="I1781" s="79">
        <f>IF('Ordenes_Odoo'!I1781="","",'Ordenes_Odoo'!I1781)</f>
        <v/>
      </c>
      <c r="J1781" s="79">
        <f>IF('Ordenes_Odoo'!J1781="","",'Ordenes_Odoo'!J1781)</f>
        <v/>
      </c>
      <c r="K1781" s="81">
        <f>IF('Ordenes_Odoo'!K1781="","",'Ordenes_Odoo'!K1781)</f>
        <v/>
      </c>
      <c r="L1781" s="81">
        <f>IF('Ordenes_Odoo'!L1781="","",'Ordenes_Odoo'!L1781)</f>
        <v/>
      </c>
      <c r="M1781" s="79">
        <f>IF('Ordenes_Odoo'!M1781="","",'Ordenes_Odoo'!M1781)</f>
        <v/>
      </c>
      <c r="N1781" s="79">
        <f>IF('Ordenes_Odoo'!N1781="","",'Ordenes_Odoo'!N1781)</f>
        <v/>
      </c>
      <c r="O1781" s="81">
        <f>IF('Ordenes_Odoo'!O1781="","",'Ordenes_Odoo'!O1781)</f>
        <v/>
      </c>
      <c r="P1781" s="81">
        <f>IF('Ordenes_Odoo'!P1781="","",'Ordenes_Odoo'!P1781)</f>
        <v/>
      </c>
      <c r="Q1781" s="79">
        <f>IF(A1781="","",IFERROR(INDEX(Facturas_Odoo!$B:$B, MATCH(A1781, Facturas_Odoo!$D:$D, 0)), "Sin Factura"))</f>
        <v/>
      </c>
      <c r="R1781" s="80">
        <f>IF(Q1781="Sin Factura","",IFERROR(INDEX(Facturas_Odoo!$A:$A, MATCH(Q1781, Facturas_Odoo!$B:$B, 0)), ""))</f>
        <v/>
      </c>
      <c r="S1781" s="79">
        <f>IF(Q1781="Sin Factura","",IFERROR(_xlfn.XLOOKUP(1, (Facturas_Odoo!$D:$D=A1781) * (Facturas_Odoo!$K:$K=I1781), Facturas_Odoo!$L:$L, ""), ""))</f>
        <v/>
      </c>
      <c r="T1781" s="81">
        <f>IF(Q1781="Sin Factura",0,IFERROR(_xlfn.XLOOKUP(1, (Facturas_Odoo!$D:$D=A1781) * (Facturas_Odoo!$K:$K=I1781), Facturas_Odoo!$M:$M, 0), 0))</f>
        <v/>
      </c>
      <c r="U1781" s="79">
        <f>IF(Q1781="Sin Factura",0,IFERROR(_xlfn.XLOOKUP(1, (Facturas_Odoo!$D:$D=A1781) * (Facturas_Odoo!$K:$K=I1781), Facturas_Odoo!$N:$N, 0), 0))</f>
        <v/>
      </c>
      <c r="V1781" s="79">
        <f>IF(Q1781="Sin Factura",0,IFERROR(_xlfn.XLOOKUP(1, (Facturas_Odoo!$D:$D=A1781) * (Facturas_Odoo!$K:$K=I1781), Facturas_Odoo!$O:$O, 0), 0))</f>
        <v/>
      </c>
      <c r="W1781" s="81">
        <f>IF(Q1781="Sin Factura",0,IFERROR(_xlfn.XLOOKUP(1, (Facturas_Odoo!$D:$D=A1781) * (Facturas_Odoo!$K:$K=I1781), Facturas_Odoo!$Q:$Q, 0), 0))</f>
        <v/>
      </c>
      <c r="X1781" s="79">
        <f>IF(OR(Q1781="Sin Factura",Q1781=""),"",IFERROR(INDEX(Pagos_Odoo!$B:$B, MATCH(Q1781, Pagos_Odoo!$I:$I, 0)), "Sin Pago"))</f>
        <v/>
      </c>
      <c r="Y1781" s="79">
        <f>IF(X1781="Sin Pago","",IFERROR(INDEX(Pagos_Odoo!$C:$C, MATCH(X1781, Pagos_Odoo!$B:$B, 0)), ""))</f>
        <v/>
      </c>
      <c r="Z1781" s="80">
        <f>IF(X1781="Sin Pago","",IFERROR(INDEX(Pagos_Odoo!$A:$A, MATCH(X1781, Pagos_Odoo!$B:$B, 0)), ""))</f>
        <v/>
      </c>
      <c r="AA1781" s="79">
        <f>IF(X1781="Sin Pago","",IFERROR(INDEX(Pagos_Odoo!$F:$F, MATCH(X1781, Pagos_Odoo!$B:$B, 0)), ""))</f>
        <v/>
      </c>
      <c r="AB1781" s="81">
        <f>IF(X1781="Sin Pago",0,IFERROR(INDEX(Pagos_Odoo!$E:$E, MATCH(X1781, Pagos_Odoo!$B:$B, 0)), 0))</f>
        <v/>
      </c>
      <c r="AC1781" s="79">
        <f>IF(X1781="Sin Pago","",IFERROR(INDEX(Pagos_Odoo!$G:$G, MATCH(X1781, Pagos_Odoo!$B:$B, 0)), ""))</f>
        <v/>
      </c>
      <c r="AD1781" s="82" t="n">
        <v>0</v>
      </c>
      <c r="AE1781" s="82" t="n"/>
      <c r="AF1781" s="82" t="n"/>
      <c r="AG1781" s="82">
        <f>IF(AN1781="","",AD1781+AE1781+AF1781)</f>
        <v/>
      </c>
      <c r="AH1781" s="81">
        <f>IF(AN1781="","",P1781*(1-AG1781))</f>
        <v/>
      </c>
      <c r="AI1781" s="81">
        <f>IF(AN1781="","",IF(Q1781="Sin Factura",0,IFERROR(INDEX(Facturas_Odoo!$H:$H, MATCH(Q1781, Facturas_Odoo!$B:$B, 0)), 0)*(1-AG1781)))</f>
        <v/>
      </c>
      <c r="AJ1781" s="81">
        <f>IF(AN1781="","",_xlfn.LET(idVenta, AN1781&amp;"",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81" s="81">
        <f>IF(AN1781="","",AH1781-AJ1781)</f>
        <v/>
      </c>
      <c r="AL1781" s="81">
        <f>IF(AN1781="","",IF(Q1781="Sin Factura","",AI1781-AJ1781))</f>
        <v/>
      </c>
      <c r="AM1781" s="81">
        <f>IF(AN1781="","",IF(Q1781="Sin Factura",0,P1781-IFERROR(INDEX(Facturas_Odoo!$H:$H, MATCH(Q1781, Facturas_Odoo!$B:$B, 0)), 0)))</f>
        <v/>
      </c>
      <c r="AN1781" s="79">
        <f>IF(AND(A1781="", J1781=""), "", IF(A1781&lt;&gt;"", VALUE(MID(A1781,2,LEN(A1781))), AN1780))</f>
        <v/>
      </c>
      <c r="AO1781" s="79">
        <f>IF(AN1781="","",IF(AD1781=0,"OK",_xlfn.LET(monedaPago, IF(AA1781="","USD",AA1781), limitePermitido, IFERROR(VLOOKUP(monedaPago, Configuración!$A$2:$B$3, 2, FALSE), 0.15), IF(AD1781&gt;limitePermitido, "ALERTA: EXCESO (" &amp; TEXT(limitePermitido, "0%") &amp; " máx)", "OK"))))</f>
        <v/>
      </c>
      <c r="AP1781" s="79">
        <f>IF(AN1781="","",IF(AE1781=0,"OK",_xlfn.LET(fechaPago, Z1781, fechaFactura, R1781, diasCredito, IF(E1781="Pago inmediato", 0, IFERROR(VALUE(MID(E1781, 1, SEARCH(" ", E1781)-1)),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81" s="79">
        <f>IF(AN1781="","",IF(AND(N1781&gt;0, AG1781&gt;0), IF(Configuración!$K$2="NO", "ALERTA: DESCUENTO DOBLE NO PERMITIDO", "OK"), "OK"))</f>
        <v/>
      </c>
      <c r="AR1781" s="79">
        <f>IF(AN1781="","",IF(OR(AO1781&lt;&gt;"OK", AP1781&lt;&gt;"OK", AQ1781&lt;&gt;"OK"), "⚠️ REVISAR", "OK"))</f>
        <v/>
      </c>
    </row>
    <row r="1782">
      <c r="A1782" s="79">
        <f>IF('Ordenes_Odoo'!A1782="","",'Ordenes_Odoo'!A1782)</f>
        <v/>
      </c>
      <c r="B1782" s="80">
        <f>IF('Ordenes_Odoo'!B1782="","",'Ordenes_Odoo'!B1782)</f>
        <v/>
      </c>
      <c r="C1782" s="79">
        <f>IF('Ordenes_Odoo'!C1782="","",'Ordenes_Odoo'!C1782)</f>
        <v/>
      </c>
      <c r="D1782" s="79">
        <f>IF('Ordenes_Odoo'!D1782="","",'Ordenes_Odoo'!D1782)</f>
        <v/>
      </c>
      <c r="E1782" s="79">
        <f>IF('Ordenes_Odoo'!E1782="","",'Ordenes_Odoo'!E1782)</f>
        <v/>
      </c>
      <c r="F1782" s="79">
        <f>IF('Ordenes_Odoo'!F1782="","",'Ordenes_Odoo'!F1782)</f>
        <v/>
      </c>
      <c r="G1782" s="79">
        <f>IF('Ordenes_Odoo'!G1782="","",'Ordenes_Odoo'!G1782)</f>
        <v/>
      </c>
      <c r="H1782" s="79">
        <f>IF('Ordenes_Odoo'!H1782="","",'Ordenes_Odoo'!H1782)</f>
        <v/>
      </c>
      <c r="I1782" s="79">
        <f>IF('Ordenes_Odoo'!I1782="","",'Ordenes_Odoo'!I1782)</f>
        <v/>
      </c>
      <c r="J1782" s="79">
        <f>IF('Ordenes_Odoo'!J1782="","",'Ordenes_Odoo'!J1782)</f>
        <v/>
      </c>
      <c r="K1782" s="81">
        <f>IF('Ordenes_Odoo'!K1782="","",'Ordenes_Odoo'!K1782)</f>
        <v/>
      </c>
      <c r="L1782" s="81">
        <f>IF('Ordenes_Odoo'!L1782="","",'Ordenes_Odoo'!L1782)</f>
        <v/>
      </c>
      <c r="M1782" s="79">
        <f>IF('Ordenes_Odoo'!M1782="","",'Ordenes_Odoo'!M1782)</f>
        <v/>
      </c>
      <c r="N1782" s="79">
        <f>IF('Ordenes_Odoo'!N1782="","",'Ordenes_Odoo'!N1782)</f>
        <v/>
      </c>
      <c r="O1782" s="81">
        <f>IF('Ordenes_Odoo'!O1782="","",'Ordenes_Odoo'!O1782)</f>
        <v/>
      </c>
      <c r="P1782" s="81">
        <f>IF('Ordenes_Odoo'!P1782="","",'Ordenes_Odoo'!P1782)</f>
        <v/>
      </c>
      <c r="Q1782" s="79">
        <f>IF(A1782="","",IFERROR(INDEX(Facturas_Odoo!$B:$B, MATCH(A1782, Facturas_Odoo!$D:$D, 0)), "Sin Factura"))</f>
        <v/>
      </c>
      <c r="R1782" s="80">
        <f>IF(Q1782="Sin Factura","",IFERROR(INDEX(Facturas_Odoo!$A:$A, MATCH(Q1782, Facturas_Odoo!$B:$B, 0)), ""))</f>
        <v/>
      </c>
      <c r="S1782" s="79">
        <f>IF(Q1782="Sin Factura","",IFERROR(_xlfn.XLOOKUP(1, (Facturas_Odoo!$D:$D=A1782) * (Facturas_Odoo!$K:$K=I1782), Facturas_Odoo!$L:$L, ""), ""))</f>
        <v/>
      </c>
      <c r="T1782" s="81">
        <f>IF(Q1782="Sin Factura",0,IFERROR(_xlfn.XLOOKUP(1, (Facturas_Odoo!$D:$D=A1782) * (Facturas_Odoo!$K:$K=I1782), Facturas_Odoo!$M:$M, 0), 0))</f>
        <v/>
      </c>
      <c r="U1782" s="79">
        <f>IF(Q1782="Sin Factura",0,IFERROR(_xlfn.XLOOKUP(1, (Facturas_Odoo!$D:$D=A1782) * (Facturas_Odoo!$K:$K=I1782), Facturas_Odoo!$N:$N, 0), 0))</f>
        <v/>
      </c>
      <c r="V1782" s="79">
        <f>IF(Q1782="Sin Factura",0,IFERROR(_xlfn.XLOOKUP(1, (Facturas_Odoo!$D:$D=A1782) * (Facturas_Odoo!$K:$K=I1782), Facturas_Odoo!$O:$O, 0), 0))</f>
        <v/>
      </c>
      <c r="W1782" s="81">
        <f>IF(Q1782="Sin Factura",0,IFERROR(_xlfn.XLOOKUP(1, (Facturas_Odoo!$D:$D=A1782) * (Facturas_Odoo!$K:$K=I1782), Facturas_Odoo!$Q:$Q, 0), 0))</f>
        <v/>
      </c>
      <c r="X1782" s="79">
        <f>IF(OR(Q1782="Sin Factura",Q1782=""),"",IFERROR(INDEX(Pagos_Odoo!$B:$B, MATCH(Q1782, Pagos_Odoo!$I:$I, 0)), "Sin Pago"))</f>
        <v/>
      </c>
      <c r="Y1782" s="79">
        <f>IF(X1782="Sin Pago","",IFERROR(INDEX(Pagos_Odoo!$C:$C, MATCH(X1782, Pagos_Odoo!$B:$B, 0)), ""))</f>
        <v/>
      </c>
      <c r="Z1782" s="80">
        <f>IF(X1782="Sin Pago","",IFERROR(INDEX(Pagos_Odoo!$A:$A, MATCH(X1782, Pagos_Odoo!$B:$B, 0)), ""))</f>
        <v/>
      </c>
      <c r="AA1782" s="79">
        <f>IF(X1782="Sin Pago","",IFERROR(INDEX(Pagos_Odoo!$F:$F, MATCH(X1782, Pagos_Odoo!$B:$B, 0)), ""))</f>
        <v/>
      </c>
      <c r="AB1782" s="81">
        <f>IF(X1782="Sin Pago",0,IFERROR(INDEX(Pagos_Odoo!$E:$E, MATCH(X1782, Pagos_Odoo!$B:$B, 0)), 0))</f>
        <v/>
      </c>
      <c r="AC1782" s="79">
        <f>IF(X1782="Sin Pago","",IFERROR(INDEX(Pagos_Odoo!$G:$G, MATCH(X1782, Pagos_Odoo!$B:$B, 0)), ""))</f>
        <v/>
      </c>
      <c r="AD1782" s="82" t="n">
        <v>0</v>
      </c>
      <c r="AE1782" s="82" t="n"/>
      <c r="AF1782" s="82" t="n"/>
      <c r="AG1782" s="82">
        <f>IF(AN1782="","",AD1782+AE1782+AF1782)</f>
        <v/>
      </c>
      <c r="AH1782" s="81">
        <f>IF(AN1782="","",P1782*(1-AG1782))</f>
        <v/>
      </c>
      <c r="AI1782" s="81">
        <f>IF(AN1782="","",IF(Q1782="Sin Factura",0,IFERROR(INDEX(Facturas_Odoo!$H:$H, MATCH(Q1782, Facturas_Odoo!$B:$B, 0)), 0)*(1-AG1782)))</f>
        <v/>
      </c>
      <c r="AJ1782" s="81">
        <f>IF(AN1782="","",_xlfn.LET(idVenta, AN1782&amp;"",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82" s="81">
        <f>IF(AN1782="","",AH1782-AJ1782)</f>
        <v/>
      </c>
      <c r="AL1782" s="81">
        <f>IF(AN1782="","",IF(Q1782="Sin Factura","",AI1782-AJ1782))</f>
        <v/>
      </c>
      <c r="AM1782" s="81">
        <f>IF(AN1782="","",IF(Q1782="Sin Factura",0,P1782-IFERROR(INDEX(Facturas_Odoo!$H:$H, MATCH(Q1782, Facturas_Odoo!$B:$B, 0)), 0)))</f>
        <v/>
      </c>
      <c r="AN1782" s="79">
        <f>IF(AND(A1782="", J1782=""), "", IF(A1782&lt;&gt;"", VALUE(MID(A1782,2,LEN(A1782))), AN1781))</f>
        <v/>
      </c>
      <c r="AO1782" s="79">
        <f>IF(AN1782="","",IF(AD1782=0,"OK",_xlfn.LET(monedaPago, IF(AA1782="","USD",AA1782), limitePermitido, IFERROR(VLOOKUP(monedaPago, Configuración!$A$2:$B$3, 2, FALSE), 0.15), IF(AD1782&gt;limitePermitido, "ALERTA: EXCESO (" &amp; TEXT(limitePermitido, "0%") &amp; " máx)", "OK"))))</f>
        <v/>
      </c>
      <c r="AP1782" s="79">
        <f>IF(AN1782="","",IF(AE1782=0,"OK",_xlfn.LET(fechaPago, Z1782, fechaFactura, R1782, diasCredito, IF(E1782="Pago inmediato", 0, IFERROR(VALUE(MID(E1782, 1, SEARCH(" ", E1782)-1)),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82" s="79">
        <f>IF(AN1782="","",IF(AND(N1782&gt;0, AG1782&gt;0), IF(Configuración!$K$2="NO", "ALERTA: DESCUENTO DOBLE NO PERMITIDO", "OK"), "OK"))</f>
        <v/>
      </c>
      <c r="AR1782" s="79">
        <f>IF(AN1782="","",IF(OR(AO1782&lt;&gt;"OK", AP1782&lt;&gt;"OK", AQ1782&lt;&gt;"OK"), "⚠️ REVISAR", "OK"))</f>
        <v/>
      </c>
    </row>
    <row r="1783">
      <c r="A1783" s="79">
        <f>IF('Ordenes_Odoo'!A1783="","",'Ordenes_Odoo'!A1783)</f>
        <v/>
      </c>
      <c r="B1783" s="80">
        <f>IF('Ordenes_Odoo'!B1783="","",'Ordenes_Odoo'!B1783)</f>
        <v/>
      </c>
      <c r="C1783" s="79">
        <f>IF('Ordenes_Odoo'!C1783="","",'Ordenes_Odoo'!C1783)</f>
        <v/>
      </c>
      <c r="D1783" s="79">
        <f>IF('Ordenes_Odoo'!D1783="","",'Ordenes_Odoo'!D1783)</f>
        <v/>
      </c>
      <c r="E1783" s="79">
        <f>IF('Ordenes_Odoo'!E1783="","",'Ordenes_Odoo'!E1783)</f>
        <v/>
      </c>
      <c r="F1783" s="79">
        <f>IF('Ordenes_Odoo'!F1783="","",'Ordenes_Odoo'!F1783)</f>
        <v/>
      </c>
      <c r="G1783" s="79">
        <f>IF('Ordenes_Odoo'!G1783="","",'Ordenes_Odoo'!G1783)</f>
        <v/>
      </c>
      <c r="H1783" s="79">
        <f>IF('Ordenes_Odoo'!H1783="","",'Ordenes_Odoo'!H1783)</f>
        <v/>
      </c>
      <c r="I1783" s="79">
        <f>IF('Ordenes_Odoo'!I1783="","",'Ordenes_Odoo'!I1783)</f>
        <v/>
      </c>
      <c r="J1783" s="79">
        <f>IF('Ordenes_Odoo'!J1783="","",'Ordenes_Odoo'!J1783)</f>
        <v/>
      </c>
      <c r="K1783" s="81">
        <f>IF('Ordenes_Odoo'!K1783="","",'Ordenes_Odoo'!K1783)</f>
        <v/>
      </c>
      <c r="L1783" s="81">
        <f>IF('Ordenes_Odoo'!L1783="","",'Ordenes_Odoo'!L1783)</f>
        <v/>
      </c>
      <c r="M1783" s="79">
        <f>IF('Ordenes_Odoo'!M1783="","",'Ordenes_Odoo'!M1783)</f>
        <v/>
      </c>
      <c r="N1783" s="79">
        <f>IF('Ordenes_Odoo'!N1783="","",'Ordenes_Odoo'!N1783)</f>
        <v/>
      </c>
      <c r="O1783" s="81">
        <f>IF('Ordenes_Odoo'!O1783="","",'Ordenes_Odoo'!O1783)</f>
        <v/>
      </c>
      <c r="P1783" s="81">
        <f>IF('Ordenes_Odoo'!P1783="","",'Ordenes_Odoo'!P1783)</f>
        <v/>
      </c>
      <c r="Q1783" s="79">
        <f>IF(A1783="","",IFERROR(INDEX(Facturas_Odoo!$B:$B, MATCH(A1783, Facturas_Odoo!$D:$D, 0)), "Sin Factura"))</f>
        <v/>
      </c>
      <c r="R1783" s="80">
        <f>IF(Q1783="Sin Factura","",IFERROR(INDEX(Facturas_Odoo!$A:$A, MATCH(Q1783, Facturas_Odoo!$B:$B, 0)), ""))</f>
        <v/>
      </c>
      <c r="S1783" s="79">
        <f>IF(Q1783="Sin Factura","",IFERROR(_xlfn.XLOOKUP(1, (Facturas_Odoo!$D:$D=A1783) * (Facturas_Odoo!$K:$K=I1783), Facturas_Odoo!$L:$L, ""), ""))</f>
        <v/>
      </c>
      <c r="T1783" s="81">
        <f>IF(Q1783="Sin Factura",0,IFERROR(_xlfn.XLOOKUP(1, (Facturas_Odoo!$D:$D=A1783) * (Facturas_Odoo!$K:$K=I1783), Facturas_Odoo!$M:$M, 0), 0))</f>
        <v/>
      </c>
      <c r="U1783" s="79">
        <f>IF(Q1783="Sin Factura",0,IFERROR(_xlfn.XLOOKUP(1, (Facturas_Odoo!$D:$D=A1783) * (Facturas_Odoo!$K:$K=I1783), Facturas_Odoo!$N:$N, 0), 0))</f>
        <v/>
      </c>
      <c r="V1783" s="79">
        <f>IF(Q1783="Sin Factura",0,IFERROR(_xlfn.XLOOKUP(1, (Facturas_Odoo!$D:$D=A1783) * (Facturas_Odoo!$K:$K=I1783), Facturas_Odoo!$O:$O, 0), 0))</f>
        <v/>
      </c>
      <c r="W1783" s="81">
        <f>IF(Q1783="Sin Factura",0,IFERROR(_xlfn.XLOOKUP(1, (Facturas_Odoo!$D:$D=A1783) * (Facturas_Odoo!$K:$K=I1783), Facturas_Odoo!$Q:$Q, 0), 0))</f>
        <v/>
      </c>
      <c r="X1783" s="79">
        <f>IF(OR(Q1783="Sin Factura",Q1783=""),"",IFERROR(INDEX(Pagos_Odoo!$B:$B, MATCH(Q1783, Pagos_Odoo!$I:$I, 0)), "Sin Pago"))</f>
        <v/>
      </c>
      <c r="Y1783" s="79">
        <f>IF(X1783="Sin Pago","",IFERROR(INDEX(Pagos_Odoo!$C:$C, MATCH(X1783, Pagos_Odoo!$B:$B, 0)), ""))</f>
        <v/>
      </c>
      <c r="Z1783" s="80">
        <f>IF(X1783="Sin Pago","",IFERROR(INDEX(Pagos_Odoo!$A:$A, MATCH(X1783, Pagos_Odoo!$B:$B, 0)), ""))</f>
        <v/>
      </c>
      <c r="AA1783" s="79">
        <f>IF(X1783="Sin Pago","",IFERROR(INDEX(Pagos_Odoo!$F:$F, MATCH(X1783, Pagos_Odoo!$B:$B, 0)), ""))</f>
        <v/>
      </c>
      <c r="AB1783" s="81">
        <f>IF(X1783="Sin Pago",0,IFERROR(INDEX(Pagos_Odoo!$E:$E, MATCH(X1783, Pagos_Odoo!$B:$B, 0)), 0))</f>
        <v/>
      </c>
      <c r="AC1783" s="79">
        <f>IF(X1783="Sin Pago","",IFERROR(INDEX(Pagos_Odoo!$G:$G, MATCH(X1783, Pagos_Odoo!$B:$B, 0)), ""))</f>
        <v/>
      </c>
      <c r="AD1783" s="82" t="n">
        <v>0</v>
      </c>
      <c r="AE1783" s="82" t="n"/>
      <c r="AF1783" s="82" t="n"/>
      <c r="AG1783" s="82">
        <f>IF(AN1783="","",AD1783+AE1783+AF1783)</f>
        <v/>
      </c>
      <c r="AH1783" s="81">
        <f>IF(AN1783="","",P1783*(1-AG1783))</f>
        <v/>
      </c>
      <c r="AI1783" s="81">
        <f>IF(AN1783="","",IF(Q1783="Sin Factura",0,IFERROR(INDEX(Facturas_Odoo!$H:$H, MATCH(Q1783, Facturas_Odoo!$B:$B, 0)), 0)*(1-AG1783)))</f>
        <v/>
      </c>
      <c r="AJ1783" s="81">
        <f>IF(AN1783="","",_xlfn.LET(idVenta, AN1783&amp;"",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83" s="81">
        <f>IF(AN1783="","",AH1783-AJ1783)</f>
        <v/>
      </c>
      <c r="AL1783" s="81">
        <f>IF(AN1783="","",IF(Q1783="Sin Factura","",AI1783-AJ1783))</f>
        <v/>
      </c>
      <c r="AM1783" s="81">
        <f>IF(AN1783="","",IF(Q1783="Sin Factura",0,P1783-IFERROR(INDEX(Facturas_Odoo!$H:$H, MATCH(Q1783, Facturas_Odoo!$B:$B, 0)), 0)))</f>
        <v/>
      </c>
      <c r="AN1783" s="79">
        <f>IF(AND(A1783="", J1783=""), "", IF(A1783&lt;&gt;"", VALUE(MID(A1783,2,LEN(A1783))), AN1782))</f>
        <v/>
      </c>
      <c r="AO1783" s="79">
        <f>IF(AN1783="","",IF(AD1783=0,"OK",_xlfn.LET(monedaPago, IF(AA1783="","USD",AA1783), limitePermitido, IFERROR(VLOOKUP(monedaPago, Configuración!$A$2:$B$3, 2, FALSE), 0.15), IF(AD1783&gt;limitePermitido, "ALERTA: EXCESO (" &amp; TEXT(limitePermitido, "0%") &amp; " máx)", "OK"))))</f>
        <v/>
      </c>
      <c r="AP1783" s="79">
        <f>IF(AN1783="","",IF(AE1783=0,"OK",_xlfn.LET(fechaPago, Z1783, fechaFactura, R1783, diasCredito, IF(E1783="Pago inmediato", 0, IFERROR(VALUE(MID(E1783, 1, SEARCH(" ", E1783)-1)),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83" s="79">
        <f>IF(AN1783="","",IF(AND(N1783&gt;0, AG1783&gt;0), IF(Configuración!$K$2="NO", "ALERTA: DESCUENTO DOBLE NO PERMITIDO", "OK"), "OK"))</f>
        <v/>
      </c>
      <c r="AR1783" s="79">
        <f>IF(AN1783="","",IF(OR(AO1783&lt;&gt;"OK", AP1783&lt;&gt;"OK", AQ1783&lt;&gt;"OK"), "⚠️ REVISAR", "OK"))</f>
        <v/>
      </c>
    </row>
    <row r="1784">
      <c r="A1784" s="79">
        <f>IF('Ordenes_Odoo'!A1784="","",'Ordenes_Odoo'!A1784)</f>
        <v/>
      </c>
      <c r="B1784" s="80">
        <f>IF('Ordenes_Odoo'!B1784="","",'Ordenes_Odoo'!B1784)</f>
        <v/>
      </c>
      <c r="C1784" s="79">
        <f>IF('Ordenes_Odoo'!C1784="","",'Ordenes_Odoo'!C1784)</f>
        <v/>
      </c>
      <c r="D1784" s="79">
        <f>IF('Ordenes_Odoo'!D1784="","",'Ordenes_Odoo'!D1784)</f>
        <v/>
      </c>
      <c r="E1784" s="79">
        <f>IF('Ordenes_Odoo'!E1784="","",'Ordenes_Odoo'!E1784)</f>
        <v/>
      </c>
      <c r="F1784" s="79">
        <f>IF('Ordenes_Odoo'!F1784="","",'Ordenes_Odoo'!F1784)</f>
        <v/>
      </c>
      <c r="G1784" s="79">
        <f>IF('Ordenes_Odoo'!G1784="","",'Ordenes_Odoo'!G1784)</f>
        <v/>
      </c>
      <c r="H1784" s="79">
        <f>IF('Ordenes_Odoo'!H1784="","",'Ordenes_Odoo'!H1784)</f>
        <v/>
      </c>
      <c r="I1784" s="79">
        <f>IF('Ordenes_Odoo'!I1784="","",'Ordenes_Odoo'!I1784)</f>
        <v/>
      </c>
      <c r="J1784" s="79">
        <f>IF('Ordenes_Odoo'!J1784="","",'Ordenes_Odoo'!J1784)</f>
        <v/>
      </c>
      <c r="K1784" s="81">
        <f>IF('Ordenes_Odoo'!K1784="","",'Ordenes_Odoo'!K1784)</f>
        <v/>
      </c>
      <c r="L1784" s="81">
        <f>IF('Ordenes_Odoo'!L1784="","",'Ordenes_Odoo'!L1784)</f>
        <v/>
      </c>
      <c r="M1784" s="79">
        <f>IF('Ordenes_Odoo'!M1784="","",'Ordenes_Odoo'!M1784)</f>
        <v/>
      </c>
      <c r="N1784" s="79">
        <f>IF('Ordenes_Odoo'!N1784="","",'Ordenes_Odoo'!N1784)</f>
        <v/>
      </c>
      <c r="O1784" s="81">
        <f>IF('Ordenes_Odoo'!O1784="","",'Ordenes_Odoo'!O1784)</f>
        <v/>
      </c>
      <c r="P1784" s="81">
        <f>IF('Ordenes_Odoo'!P1784="","",'Ordenes_Odoo'!P1784)</f>
        <v/>
      </c>
      <c r="Q1784" s="79">
        <f>IF(A1784="","",IFERROR(INDEX(Facturas_Odoo!$B:$B, MATCH(A1784, Facturas_Odoo!$D:$D, 0)), "Sin Factura"))</f>
        <v/>
      </c>
      <c r="R1784" s="80">
        <f>IF(Q1784="Sin Factura","",IFERROR(INDEX(Facturas_Odoo!$A:$A, MATCH(Q1784, Facturas_Odoo!$B:$B, 0)), ""))</f>
        <v/>
      </c>
      <c r="S1784" s="79">
        <f>IF(Q1784="Sin Factura","",IFERROR(_xlfn.XLOOKUP(1, (Facturas_Odoo!$D:$D=A1784) * (Facturas_Odoo!$K:$K=I1784), Facturas_Odoo!$L:$L, ""), ""))</f>
        <v/>
      </c>
      <c r="T1784" s="81">
        <f>IF(Q1784="Sin Factura",0,IFERROR(_xlfn.XLOOKUP(1, (Facturas_Odoo!$D:$D=A1784) * (Facturas_Odoo!$K:$K=I1784), Facturas_Odoo!$M:$M, 0), 0))</f>
        <v/>
      </c>
      <c r="U1784" s="79">
        <f>IF(Q1784="Sin Factura",0,IFERROR(_xlfn.XLOOKUP(1, (Facturas_Odoo!$D:$D=A1784) * (Facturas_Odoo!$K:$K=I1784), Facturas_Odoo!$N:$N, 0), 0))</f>
        <v/>
      </c>
      <c r="V1784" s="79">
        <f>IF(Q1784="Sin Factura",0,IFERROR(_xlfn.XLOOKUP(1, (Facturas_Odoo!$D:$D=A1784) * (Facturas_Odoo!$K:$K=I1784), Facturas_Odoo!$O:$O, 0), 0))</f>
        <v/>
      </c>
      <c r="W1784" s="81">
        <f>IF(Q1784="Sin Factura",0,IFERROR(_xlfn.XLOOKUP(1, (Facturas_Odoo!$D:$D=A1784) * (Facturas_Odoo!$K:$K=I1784), Facturas_Odoo!$Q:$Q, 0), 0))</f>
        <v/>
      </c>
      <c r="X1784" s="79">
        <f>IF(OR(Q1784="Sin Factura",Q1784=""),"",IFERROR(INDEX(Pagos_Odoo!$B:$B, MATCH(Q1784, Pagos_Odoo!$I:$I, 0)), "Sin Pago"))</f>
        <v/>
      </c>
      <c r="Y1784" s="79">
        <f>IF(X1784="Sin Pago","",IFERROR(INDEX(Pagos_Odoo!$C:$C, MATCH(X1784, Pagos_Odoo!$B:$B, 0)), ""))</f>
        <v/>
      </c>
      <c r="Z1784" s="80">
        <f>IF(X1784="Sin Pago","",IFERROR(INDEX(Pagos_Odoo!$A:$A, MATCH(X1784, Pagos_Odoo!$B:$B, 0)), ""))</f>
        <v/>
      </c>
      <c r="AA1784" s="79">
        <f>IF(X1784="Sin Pago","",IFERROR(INDEX(Pagos_Odoo!$F:$F, MATCH(X1784, Pagos_Odoo!$B:$B, 0)), ""))</f>
        <v/>
      </c>
      <c r="AB1784" s="81">
        <f>IF(X1784="Sin Pago",0,IFERROR(INDEX(Pagos_Odoo!$E:$E, MATCH(X1784, Pagos_Odoo!$B:$B, 0)), 0))</f>
        <v/>
      </c>
      <c r="AC1784" s="79">
        <f>IF(X1784="Sin Pago","",IFERROR(INDEX(Pagos_Odoo!$G:$G, MATCH(X1784, Pagos_Odoo!$B:$B, 0)), ""))</f>
        <v/>
      </c>
      <c r="AD1784" s="82" t="n">
        <v>0</v>
      </c>
      <c r="AE1784" s="82" t="n"/>
      <c r="AF1784" s="82" t="n"/>
      <c r="AG1784" s="82">
        <f>IF(AN1784="","",AD1784+AE1784+AF1784)</f>
        <v/>
      </c>
      <c r="AH1784" s="81">
        <f>IF(AN1784="","",P1784*(1-AG1784))</f>
        <v/>
      </c>
      <c r="AI1784" s="81">
        <f>IF(AN1784="","",IF(Q1784="Sin Factura",0,IFERROR(INDEX(Facturas_Odoo!$H:$H, MATCH(Q1784, Facturas_Odoo!$B:$B, 0)), 0)*(1-AG1784)))</f>
        <v/>
      </c>
      <c r="AJ1784" s="81">
        <f>IF(AN1784="","",_xlfn.LET(idVenta, AN1784&amp;"",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84" s="81">
        <f>IF(AN1784="","",AH1784-AJ1784)</f>
        <v/>
      </c>
      <c r="AL1784" s="81">
        <f>IF(AN1784="","",IF(Q1784="Sin Factura","",AI1784-AJ1784))</f>
        <v/>
      </c>
      <c r="AM1784" s="81">
        <f>IF(AN1784="","",IF(Q1784="Sin Factura",0,P1784-IFERROR(INDEX(Facturas_Odoo!$H:$H, MATCH(Q1784, Facturas_Odoo!$B:$B, 0)), 0)))</f>
        <v/>
      </c>
      <c r="AN1784" s="79">
        <f>IF(AND(A1784="", J1784=""), "", IF(A1784&lt;&gt;"", VALUE(MID(A1784,2,LEN(A1784))), AN1783))</f>
        <v/>
      </c>
      <c r="AO1784" s="79">
        <f>IF(AN1784="","",IF(AD1784=0,"OK",_xlfn.LET(monedaPago, IF(AA1784="","USD",AA1784), limitePermitido, IFERROR(VLOOKUP(monedaPago, Configuración!$A$2:$B$3, 2, FALSE), 0.15), IF(AD1784&gt;limitePermitido, "ALERTA: EXCESO (" &amp; TEXT(limitePermitido, "0%") &amp; " máx)", "OK"))))</f>
        <v/>
      </c>
      <c r="AP1784" s="79">
        <f>IF(AN1784="","",IF(AE1784=0,"OK",_xlfn.LET(fechaPago, Z1784, fechaFactura, R1784, diasCredito, IF(E1784="Pago inmediato", 0, IFERROR(VALUE(MID(E1784, 1, SEARCH(" ", E1784)-1)),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84" s="79">
        <f>IF(AN1784="","",IF(AND(N1784&gt;0, AG1784&gt;0), IF(Configuración!$K$2="NO", "ALERTA: DESCUENTO DOBLE NO PERMITIDO", "OK"), "OK"))</f>
        <v/>
      </c>
      <c r="AR1784" s="79">
        <f>IF(AN1784="","",IF(OR(AO1784&lt;&gt;"OK", AP1784&lt;&gt;"OK", AQ1784&lt;&gt;"OK"), "⚠️ REVISAR", "OK"))</f>
        <v/>
      </c>
    </row>
    <row r="1785">
      <c r="A1785" s="79">
        <f>IF('Ordenes_Odoo'!A1785="","",'Ordenes_Odoo'!A1785)</f>
        <v/>
      </c>
      <c r="B1785" s="80">
        <f>IF('Ordenes_Odoo'!B1785="","",'Ordenes_Odoo'!B1785)</f>
        <v/>
      </c>
      <c r="C1785" s="79">
        <f>IF('Ordenes_Odoo'!C1785="","",'Ordenes_Odoo'!C1785)</f>
        <v/>
      </c>
      <c r="D1785" s="79">
        <f>IF('Ordenes_Odoo'!D1785="","",'Ordenes_Odoo'!D1785)</f>
        <v/>
      </c>
      <c r="E1785" s="79">
        <f>IF('Ordenes_Odoo'!E1785="","",'Ordenes_Odoo'!E1785)</f>
        <v/>
      </c>
      <c r="F1785" s="79">
        <f>IF('Ordenes_Odoo'!F1785="","",'Ordenes_Odoo'!F1785)</f>
        <v/>
      </c>
      <c r="G1785" s="79">
        <f>IF('Ordenes_Odoo'!G1785="","",'Ordenes_Odoo'!G1785)</f>
        <v/>
      </c>
      <c r="H1785" s="79">
        <f>IF('Ordenes_Odoo'!H1785="","",'Ordenes_Odoo'!H1785)</f>
        <v/>
      </c>
      <c r="I1785" s="79">
        <f>IF('Ordenes_Odoo'!I1785="","",'Ordenes_Odoo'!I1785)</f>
        <v/>
      </c>
      <c r="J1785" s="79">
        <f>IF('Ordenes_Odoo'!J1785="","",'Ordenes_Odoo'!J1785)</f>
        <v/>
      </c>
      <c r="K1785" s="81">
        <f>IF('Ordenes_Odoo'!K1785="","",'Ordenes_Odoo'!K1785)</f>
        <v/>
      </c>
      <c r="L1785" s="81">
        <f>IF('Ordenes_Odoo'!L1785="","",'Ordenes_Odoo'!L1785)</f>
        <v/>
      </c>
      <c r="M1785" s="79">
        <f>IF('Ordenes_Odoo'!M1785="","",'Ordenes_Odoo'!M1785)</f>
        <v/>
      </c>
      <c r="N1785" s="79">
        <f>IF('Ordenes_Odoo'!N1785="","",'Ordenes_Odoo'!N1785)</f>
        <v/>
      </c>
      <c r="O1785" s="81">
        <f>IF('Ordenes_Odoo'!O1785="","",'Ordenes_Odoo'!O1785)</f>
        <v/>
      </c>
      <c r="P1785" s="81">
        <f>IF('Ordenes_Odoo'!P1785="","",'Ordenes_Odoo'!P1785)</f>
        <v/>
      </c>
      <c r="Q1785" s="79">
        <f>IF(A1785="","",IFERROR(INDEX(Facturas_Odoo!$B:$B, MATCH(A1785, Facturas_Odoo!$D:$D, 0)), "Sin Factura"))</f>
        <v/>
      </c>
      <c r="R1785" s="80">
        <f>IF(Q1785="Sin Factura","",IFERROR(INDEX(Facturas_Odoo!$A:$A, MATCH(Q1785, Facturas_Odoo!$B:$B, 0)), ""))</f>
        <v/>
      </c>
      <c r="S1785" s="79">
        <f>IF(Q1785="Sin Factura","",IFERROR(_xlfn.XLOOKUP(1, (Facturas_Odoo!$D:$D=A1785) * (Facturas_Odoo!$K:$K=I1785), Facturas_Odoo!$L:$L, ""), ""))</f>
        <v/>
      </c>
      <c r="T1785" s="81">
        <f>IF(Q1785="Sin Factura",0,IFERROR(_xlfn.XLOOKUP(1, (Facturas_Odoo!$D:$D=A1785) * (Facturas_Odoo!$K:$K=I1785), Facturas_Odoo!$M:$M, 0), 0))</f>
        <v/>
      </c>
      <c r="U1785" s="79">
        <f>IF(Q1785="Sin Factura",0,IFERROR(_xlfn.XLOOKUP(1, (Facturas_Odoo!$D:$D=A1785) * (Facturas_Odoo!$K:$K=I1785), Facturas_Odoo!$N:$N, 0), 0))</f>
        <v/>
      </c>
      <c r="V1785" s="79">
        <f>IF(Q1785="Sin Factura",0,IFERROR(_xlfn.XLOOKUP(1, (Facturas_Odoo!$D:$D=A1785) * (Facturas_Odoo!$K:$K=I1785), Facturas_Odoo!$O:$O, 0), 0))</f>
        <v/>
      </c>
      <c r="W1785" s="81">
        <f>IF(Q1785="Sin Factura",0,IFERROR(_xlfn.XLOOKUP(1, (Facturas_Odoo!$D:$D=A1785) * (Facturas_Odoo!$K:$K=I1785), Facturas_Odoo!$Q:$Q, 0), 0))</f>
        <v/>
      </c>
      <c r="X1785" s="79">
        <f>IF(OR(Q1785="Sin Factura",Q1785=""),"",IFERROR(INDEX(Pagos_Odoo!$B:$B, MATCH(Q1785, Pagos_Odoo!$I:$I, 0)), "Sin Pago"))</f>
        <v/>
      </c>
      <c r="Y1785" s="79">
        <f>IF(X1785="Sin Pago","",IFERROR(INDEX(Pagos_Odoo!$C:$C, MATCH(X1785, Pagos_Odoo!$B:$B, 0)), ""))</f>
        <v/>
      </c>
      <c r="Z1785" s="80">
        <f>IF(X1785="Sin Pago","",IFERROR(INDEX(Pagos_Odoo!$A:$A, MATCH(X1785, Pagos_Odoo!$B:$B, 0)), ""))</f>
        <v/>
      </c>
      <c r="AA1785" s="79">
        <f>IF(X1785="Sin Pago","",IFERROR(INDEX(Pagos_Odoo!$F:$F, MATCH(X1785, Pagos_Odoo!$B:$B, 0)), ""))</f>
        <v/>
      </c>
      <c r="AB1785" s="81">
        <f>IF(X1785="Sin Pago",0,IFERROR(INDEX(Pagos_Odoo!$E:$E, MATCH(X1785, Pagos_Odoo!$B:$B, 0)), 0))</f>
        <v/>
      </c>
      <c r="AC1785" s="79">
        <f>IF(X1785="Sin Pago","",IFERROR(INDEX(Pagos_Odoo!$G:$G, MATCH(X1785, Pagos_Odoo!$B:$B, 0)), ""))</f>
        <v/>
      </c>
      <c r="AD1785" s="82" t="n">
        <v>0</v>
      </c>
      <c r="AE1785" s="82" t="n"/>
      <c r="AF1785" s="82" t="n"/>
      <c r="AG1785" s="82">
        <f>IF(AN1785="","",AD1785+AE1785+AF1785)</f>
        <v/>
      </c>
      <c r="AH1785" s="81">
        <f>IF(AN1785="","",P1785*(1-AG1785))</f>
        <v/>
      </c>
      <c r="AI1785" s="81">
        <f>IF(AN1785="","",IF(Q1785="Sin Factura",0,IFERROR(INDEX(Facturas_Odoo!$H:$H, MATCH(Q1785, Facturas_Odoo!$B:$B, 0)), 0)*(1-AG1785)))</f>
        <v/>
      </c>
      <c r="AJ1785" s="81">
        <f>IF(AN1785="","",_xlfn.LET(idVenta, AN1785&amp;"",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85" s="81">
        <f>IF(AN1785="","",AH1785-AJ1785)</f>
        <v/>
      </c>
      <c r="AL1785" s="81">
        <f>IF(AN1785="","",IF(Q1785="Sin Factura","",AI1785-AJ1785))</f>
        <v/>
      </c>
      <c r="AM1785" s="81">
        <f>IF(AN1785="","",IF(Q1785="Sin Factura",0,P1785-IFERROR(INDEX(Facturas_Odoo!$H:$H, MATCH(Q1785, Facturas_Odoo!$B:$B, 0)), 0)))</f>
        <v/>
      </c>
      <c r="AN1785" s="79">
        <f>IF(AND(A1785="", J1785=""), "", IF(A1785&lt;&gt;"", VALUE(MID(A1785,2,LEN(A1785))), AN1784))</f>
        <v/>
      </c>
      <c r="AO1785" s="79">
        <f>IF(AN1785="","",IF(AD1785=0,"OK",_xlfn.LET(monedaPago, IF(AA1785="","USD",AA1785), limitePermitido, IFERROR(VLOOKUP(monedaPago, Configuración!$A$2:$B$3, 2, FALSE), 0.15), IF(AD1785&gt;limitePermitido, "ALERTA: EXCESO (" &amp; TEXT(limitePermitido, "0%") &amp; " máx)", "OK"))))</f>
        <v/>
      </c>
      <c r="AP1785" s="79">
        <f>IF(AN1785="","",IF(AE1785=0,"OK",_xlfn.LET(fechaPago, Z1785, fechaFactura, R1785, diasCredito, IF(E1785="Pago inmediato", 0, IFERROR(VALUE(MID(E1785, 1, SEARCH(" ", E1785)-1)),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85" s="79">
        <f>IF(AN1785="","",IF(AND(N1785&gt;0, AG1785&gt;0), IF(Configuración!$K$2="NO", "ALERTA: DESCUENTO DOBLE NO PERMITIDO", "OK"), "OK"))</f>
        <v/>
      </c>
      <c r="AR1785" s="79">
        <f>IF(AN1785="","",IF(OR(AO1785&lt;&gt;"OK", AP1785&lt;&gt;"OK", AQ1785&lt;&gt;"OK"), "⚠️ REVISAR", "OK"))</f>
        <v/>
      </c>
    </row>
    <row r="1786">
      <c r="A1786" s="79">
        <f>IF('Ordenes_Odoo'!A1786="","",'Ordenes_Odoo'!A1786)</f>
        <v/>
      </c>
      <c r="B1786" s="80">
        <f>IF('Ordenes_Odoo'!B1786="","",'Ordenes_Odoo'!B1786)</f>
        <v/>
      </c>
      <c r="C1786" s="79">
        <f>IF('Ordenes_Odoo'!C1786="","",'Ordenes_Odoo'!C1786)</f>
        <v/>
      </c>
      <c r="D1786" s="79">
        <f>IF('Ordenes_Odoo'!D1786="","",'Ordenes_Odoo'!D1786)</f>
        <v/>
      </c>
      <c r="E1786" s="79">
        <f>IF('Ordenes_Odoo'!E1786="","",'Ordenes_Odoo'!E1786)</f>
        <v/>
      </c>
      <c r="F1786" s="79">
        <f>IF('Ordenes_Odoo'!F1786="","",'Ordenes_Odoo'!F1786)</f>
        <v/>
      </c>
      <c r="G1786" s="79">
        <f>IF('Ordenes_Odoo'!G1786="","",'Ordenes_Odoo'!G1786)</f>
        <v/>
      </c>
      <c r="H1786" s="79">
        <f>IF('Ordenes_Odoo'!H1786="","",'Ordenes_Odoo'!H1786)</f>
        <v/>
      </c>
      <c r="I1786" s="79">
        <f>IF('Ordenes_Odoo'!I1786="","",'Ordenes_Odoo'!I1786)</f>
        <v/>
      </c>
      <c r="J1786" s="79">
        <f>IF('Ordenes_Odoo'!J1786="","",'Ordenes_Odoo'!J1786)</f>
        <v/>
      </c>
      <c r="K1786" s="81">
        <f>IF('Ordenes_Odoo'!K1786="","",'Ordenes_Odoo'!K1786)</f>
        <v/>
      </c>
      <c r="L1786" s="81">
        <f>IF('Ordenes_Odoo'!L1786="","",'Ordenes_Odoo'!L1786)</f>
        <v/>
      </c>
      <c r="M1786" s="79">
        <f>IF('Ordenes_Odoo'!M1786="","",'Ordenes_Odoo'!M1786)</f>
        <v/>
      </c>
      <c r="N1786" s="79">
        <f>IF('Ordenes_Odoo'!N1786="","",'Ordenes_Odoo'!N1786)</f>
        <v/>
      </c>
      <c r="O1786" s="81">
        <f>IF('Ordenes_Odoo'!O1786="","",'Ordenes_Odoo'!O1786)</f>
        <v/>
      </c>
      <c r="P1786" s="81">
        <f>IF('Ordenes_Odoo'!P1786="","",'Ordenes_Odoo'!P1786)</f>
        <v/>
      </c>
      <c r="Q1786" s="79">
        <f>IF(A1786="","",IFERROR(INDEX(Facturas_Odoo!$B:$B, MATCH(A1786, Facturas_Odoo!$D:$D, 0)), "Sin Factura"))</f>
        <v/>
      </c>
      <c r="R1786" s="80">
        <f>IF(Q1786="Sin Factura","",IFERROR(INDEX(Facturas_Odoo!$A:$A, MATCH(Q1786, Facturas_Odoo!$B:$B, 0)), ""))</f>
        <v/>
      </c>
      <c r="S1786" s="79">
        <f>IF(Q1786="Sin Factura","",IFERROR(_xlfn.XLOOKUP(1, (Facturas_Odoo!$D:$D=A1786) * (Facturas_Odoo!$K:$K=I1786), Facturas_Odoo!$L:$L, ""), ""))</f>
        <v/>
      </c>
      <c r="T1786" s="81">
        <f>IF(Q1786="Sin Factura",0,IFERROR(_xlfn.XLOOKUP(1, (Facturas_Odoo!$D:$D=A1786) * (Facturas_Odoo!$K:$K=I1786), Facturas_Odoo!$M:$M, 0), 0))</f>
        <v/>
      </c>
      <c r="U1786" s="79">
        <f>IF(Q1786="Sin Factura",0,IFERROR(_xlfn.XLOOKUP(1, (Facturas_Odoo!$D:$D=A1786) * (Facturas_Odoo!$K:$K=I1786), Facturas_Odoo!$N:$N, 0), 0))</f>
        <v/>
      </c>
      <c r="V1786" s="79">
        <f>IF(Q1786="Sin Factura",0,IFERROR(_xlfn.XLOOKUP(1, (Facturas_Odoo!$D:$D=A1786) * (Facturas_Odoo!$K:$K=I1786), Facturas_Odoo!$O:$O, 0), 0))</f>
        <v/>
      </c>
      <c r="W1786" s="81">
        <f>IF(Q1786="Sin Factura",0,IFERROR(_xlfn.XLOOKUP(1, (Facturas_Odoo!$D:$D=A1786) * (Facturas_Odoo!$K:$K=I1786), Facturas_Odoo!$Q:$Q, 0), 0))</f>
        <v/>
      </c>
      <c r="X1786" s="79">
        <f>IF(OR(Q1786="Sin Factura",Q1786=""),"",IFERROR(INDEX(Pagos_Odoo!$B:$B, MATCH(Q1786, Pagos_Odoo!$I:$I, 0)), "Sin Pago"))</f>
        <v/>
      </c>
      <c r="Y1786" s="79">
        <f>IF(X1786="Sin Pago","",IFERROR(INDEX(Pagos_Odoo!$C:$C, MATCH(X1786, Pagos_Odoo!$B:$B, 0)), ""))</f>
        <v/>
      </c>
      <c r="Z1786" s="80">
        <f>IF(X1786="Sin Pago","",IFERROR(INDEX(Pagos_Odoo!$A:$A, MATCH(X1786, Pagos_Odoo!$B:$B, 0)), ""))</f>
        <v/>
      </c>
      <c r="AA1786" s="79">
        <f>IF(X1786="Sin Pago","",IFERROR(INDEX(Pagos_Odoo!$F:$F, MATCH(X1786, Pagos_Odoo!$B:$B, 0)), ""))</f>
        <v/>
      </c>
      <c r="AB1786" s="81">
        <f>IF(X1786="Sin Pago",0,IFERROR(INDEX(Pagos_Odoo!$E:$E, MATCH(X1786, Pagos_Odoo!$B:$B, 0)), 0))</f>
        <v/>
      </c>
      <c r="AC1786" s="79">
        <f>IF(X1786="Sin Pago","",IFERROR(INDEX(Pagos_Odoo!$G:$G, MATCH(X1786, Pagos_Odoo!$B:$B, 0)), ""))</f>
        <v/>
      </c>
      <c r="AD1786" s="82" t="n">
        <v>0</v>
      </c>
      <c r="AE1786" s="82" t="n"/>
      <c r="AF1786" s="82" t="n"/>
      <c r="AG1786" s="82">
        <f>IF(AN1786="","",AD1786+AE1786+AF1786)</f>
        <v/>
      </c>
      <c r="AH1786" s="81">
        <f>IF(AN1786="","",P1786*(1-AG1786))</f>
        <v/>
      </c>
      <c r="AI1786" s="81">
        <f>IF(AN1786="","",IF(Q1786="Sin Factura",0,IFERROR(INDEX(Facturas_Odoo!$H:$H, MATCH(Q1786, Facturas_Odoo!$B:$B, 0)), 0)*(1-AG1786)))</f>
        <v/>
      </c>
      <c r="AJ1786" s="81">
        <f>IF(AN1786="","",_xlfn.LET(idVenta, AN1786&amp;"",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86" s="81">
        <f>IF(AN1786="","",AH1786-AJ1786)</f>
        <v/>
      </c>
      <c r="AL1786" s="81">
        <f>IF(AN1786="","",IF(Q1786="Sin Factura","",AI1786-AJ1786))</f>
        <v/>
      </c>
      <c r="AM1786" s="81">
        <f>IF(AN1786="","",IF(Q1786="Sin Factura",0,P1786-IFERROR(INDEX(Facturas_Odoo!$H:$H, MATCH(Q1786, Facturas_Odoo!$B:$B, 0)), 0)))</f>
        <v/>
      </c>
      <c r="AN1786" s="79">
        <f>IF(AND(A1786="", J1786=""), "", IF(A1786&lt;&gt;"", VALUE(MID(A1786,2,LEN(A1786))), AN1785))</f>
        <v/>
      </c>
      <c r="AO1786" s="79">
        <f>IF(AN1786="","",IF(AD1786=0,"OK",_xlfn.LET(monedaPago, IF(AA1786="","USD",AA1786), limitePermitido, IFERROR(VLOOKUP(monedaPago, Configuración!$A$2:$B$3, 2, FALSE), 0.15), IF(AD1786&gt;limitePermitido, "ALERTA: EXCESO (" &amp; TEXT(limitePermitido, "0%") &amp; " máx)", "OK"))))</f>
        <v/>
      </c>
      <c r="AP1786" s="79">
        <f>IF(AN1786="","",IF(AE1786=0,"OK",_xlfn.LET(fechaPago, Z1786, fechaFactura, R1786, diasCredito, IF(E1786="Pago inmediato", 0, IFERROR(VALUE(MID(E1786, 1, SEARCH(" ", E1786)-1)),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86" s="79">
        <f>IF(AN1786="","",IF(AND(N1786&gt;0, AG1786&gt;0), IF(Configuración!$K$2="NO", "ALERTA: DESCUENTO DOBLE NO PERMITIDO", "OK"), "OK"))</f>
        <v/>
      </c>
      <c r="AR1786" s="79">
        <f>IF(AN1786="","",IF(OR(AO1786&lt;&gt;"OK", AP1786&lt;&gt;"OK", AQ1786&lt;&gt;"OK"), "⚠️ REVISAR", "OK"))</f>
        <v/>
      </c>
    </row>
    <row r="1787">
      <c r="A1787" s="79">
        <f>IF('Ordenes_Odoo'!A1787="","",'Ordenes_Odoo'!A1787)</f>
        <v/>
      </c>
      <c r="B1787" s="80">
        <f>IF('Ordenes_Odoo'!B1787="","",'Ordenes_Odoo'!B1787)</f>
        <v/>
      </c>
      <c r="C1787" s="79">
        <f>IF('Ordenes_Odoo'!C1787="","",'Ordenes_Odoo'!C1787)</f>
        <v/>
      </c>
      <c r="D1787" s="79">
        <f>IF('Ordenes_Odoo'!D1787="","",'Ordenes_Odoo'!D1787)</f>
        <v/>
      </c>
      <c r="E1787" s="79">
        <f>IF('Ordenes_Odoo'!E1787="","",'Ordenes_Odoo'!E1787)</f>
        <v/>
      </c>
      <c r="F1787" s="79">
        <f>IF('Ordenes_Odoo'!F1787="","",'Ordenes_Odoo'!F1787)</f>
        <v/>
      </c>
      <c r="G1787" s="79">
        <f>IF('Ordenes_Odoo'!G1787="","",'Ordenes_Odoo'!G1787)</f>
        <v/>
      </c>
      <c r="H1787" s="79">
        <f>IF('Ordenes_Odoo'!H1787="","",'Ordenes_Odoo'!H1787)</f>
        <v/>
      </c>
      <c r="I1787" s="79">
        <f>IF('Ordenes_Odoo'!I1787="","",'Ordenes_Odoo'!I1787)</f>
        <v/>
      </c>
      <c r="J1787" s="79">
        <f>IF('Ordenes_Odoo'!J1787="","",'Ordenes_Odoo'!J1787)</f>
        <v/>
      </c>
      <c r="K1787" s="81">
        <f>IF('Ordenes_Odoo'!K1787="","",'Ordenes_Odoo'!K1787)</f>
        <v/>
      </c>
      <c r="L1787" s="81">
        <f>IF('Ordenes_Odoo'!L1787="","",'Ordenes_Odoo'!L1787)</f>
        <v/>
      </c>
      <c r="M1787" s="79">
        <f>IF('Ordenes_Odoo'!M1787="","",'Ordenes_Odoo'!M1787)</f>
        <v/>
      </c>
      <c r="N1787" s="79">
        <f>IF('Ordenes_Odoo'!N1787="","",'Ordenes_Odoo'!N1787)</f>
        <v/>
      </c>
      <c r="O1787" s="81">
        <f>IF('Ordenes_Odoo'!O1787="","",'Ordenes_Odoo'!O1787)</f>
        <v/>
      </c>
      <c r="P1787" s="81">
        <f>IF('Ordenes_Odoo'!P1787="","",'Ordenes_Odoo'!P1787)</f>
        <v/>
      </c>
      <c r="Q1787" s="79">
        <f>IF(A1787="","",IFERROR(INDEX(Facturas_Odoo!$B:$B, MATCH(A1787, Facturas_Odoo!$D:$D, 0)), "Sin Factura"))</f>
        <v/>
      </c>
      <c r="R1787" s="80">
        <f>IF(Q1787="Sin Factura","",IFERROR(INDEX(Facturas_Odoo!$A:$A, MATCH(Q1787, Facturas_Odoo!$B:$B, 0)), ""))</f>
        <v/>
      </c>
      <c r="S1787" s="79">
        <f>IF(Q1787="Sin Factura","",IFERROR(_xlfn.XLOOKUP(1, (Facturas_Odoo!$D:$D=A1787) * (Facturas_Odoo!$K:$K=I1787), Facturas_Odoo!$L:$L, ""), ""))</f>
        <v/>
      </c>
      <c r="T1787" s="81">
        <f>IF(Q1787="Sin Factura",0,IFERROR(_xlfn.XLOOKUP(1, (Facturas_Odoo!$D:$D=A1787) * (Facturas_Odoo!$K:$K=I1787), Facturas_Odoo!$M:$M, 0), 0))</f>
        <v/>
      </c>
      <c r="U1787" s="79">
        <f>IF(Q1787="Sin Factura",0,IFERROR(_xlfn.XLOOKUP(1, (Facturas_Odoo!$D:$D=A1787) * (Facturas_Odoo!$K:$K=I1787), Facturas_Odoo!$N:$N, 0), 0))</f>
        <v/>
      </c>
      <c r="V1787" s="79">
        <f>IF(Q1787="Sin Factura",0,IFERROR(_xlfn.XLOOKUP(1, (Facturas_Odoo!$D:$D=A1787) * (Facturas_Odoo!$K:$K=I1787), Facturas_Odoo!$O:$O, 0), 0))</f>
        <v/>
      </c>
      <c r="W1787" s="81">
        <f>IF(Q1787="Sin Factura",0,IFERROR(_xlfn.XLOOKUP(1, (Facturas_Odoo!$D:$D=A1787) * (Facturas_Odoo!$K:$K=I1787), Facturas_Odoo!$Q:$Q, 0), 0))</f>
        <v/>
      </c>
      <c r="X1787" s="79">
        <f>IF(OR(Q1787="Sin Factura",Q1787=""),"",IFERROR(INDEX(Pagos_Odoo!$B:$B, MATCH(Q1787, Pagos_Odoo!$I:$I, 0)), "Sin Pago"))</f>
        <v/>
      </c>
      <c r="Y1787" s="79">
        <f>IF(X1787="Sin Pago","",IFERROR(INDEX(Pagos_Odoo!$C:$C, MATCH(X1787, Pagos_Odoo!$B:$B, 0)), ""))</f>
        <v/>
      </c>
      <c r="Z1787" s="80">
        <f>IF(X1787="Sin Pago","",IFERROR(INDEX(Pagos_Odoo!$A:$A, MATCH(X1787, Pagos_Odoo!$B:$B, 0)), ""))</f>
        <v/>
      </c>
      <c r="AA1787" s="79">
        <f>IF(X1787="Sin Pago","",IFERROR(INDEX(Pagos_Odoo!$F:$F, MATCH(X1787, Pagos_Odoo!$B:$B, 0)), ""))</f>
        <v/>
      </c>
      <c r="AB1787" s="81">
        <f>IF(X1787="Sin Pago",0,IFERROR(INDEX(Pagos_Odoo!$E:$E, MATCH(X1787, Pagos_Odoo!$B:$B, 0)), 0))</f>
        <v/>
      </c>
      <c r="AC1787" s="79">
        <f>IF(X1787="Sin Pago","",IFERROR(INDEX(Pagos_Odoo!$G:$G, MATCH(X1787, Pagos_Odoo!$B:$B, 0)), ""))</f>
        <v/>
      </c>
      <c r="AD1787" s="82" t="n">
        <v>0</v>
      </c>
      <c r="AE1787" s="82" t="n"/>
      <c r="AF1787" s="82" t="n"/>
      <c r="AG1787" s="82">
        <f>IF(AN1787="","",AD1787+AE1787+AF1787)</f>
        <v/>
      </c>
      <c r="AH1787" s="81">
        <f>IF(AN1787="","",P1787*(1-AG1787))</f>
        <v/>
      </c>
      <c r="AI1787" s="81">
        <f>IF(AN1787="","",IF(Q1787="Sin Factura",0,IFERROR(INDEX(Facturas_Odoo!$H:$H, MATCH(Q1787, Facturas_Odoo!$B:$B, 0)), 0)*(1-AG1787)))</f>
        <v/>
      </c>
      <c r="AJ1787" s="81">
        <f>IF(AN1787="","",_xlfn.LET(idVenta, AN1787&amp;"",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87" s="81">
        <f>IF(AN1787="","",AH1787-AJ1787)</f>
        <v/>
      </c>
      <c r="AL1787" s="81">
        <f>IF(AN1787="","",IF(Q1787="Sin Factura","",AI1787-AJ1787))</f>
        <v/>
      </c>
      <c r="AM1787" s="81">
        <f>IF(AN1787="","",IF(Q1787="Sin Factura",0,P1787-IFERROR(INDEX(Facturas_Odoo!$H:$H, MATCH(Q1787, Facturas_Odoo!$B:$B, 0)), 0)))</f>
        <v/>
      </c>
      <c r="AN1787" s="79">
        <f>IF(AND(A1787="", J1787=""), "", IF(A1787&lt;&gt;"", VALUE(MID(A1787,2,LEN(A1787))), AN1786))</f>
        <v/>
      </c>
      <c r="AO1787" s="79">
        <f>IF(AN1787="","",IF(AD1787=0,"OK",_xlfn.LET(monedaPago, IF(AA1787="","USD",AA1787), limitePermitido, IFERROR(VLOOKUP(monedaPago, Configuración!$A$2:$B$3, 2, FALSE), 0.15), IF(AD1787&gt;limitePermitido, "ALERTA: EXCESO (" &amp; TEXT(limitePermitido, "0%") &amp; " máx)", "OK"))))</f>
        <v/>
      </c>
      <c r="AP1787" s="79">
        <f>IF(AN1787="","",IF(AE1787=0,"OK",_xlfn.LET(fechaPago, Z1787, fechaFactura, R1787, diasCredito, IF(E1787="Pago inmediato", 0, IFERROR(VALUE(MID(E1787, 1, SEARCH(" ", E1787)-1)),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87" s="79">
        <f>IF(AN1787="","",IF(AND(N1787&gt;0, AG1787&gt;0), IF(Configuración!$K$2="NO", "ALERTA: DESCUENTO DOBLE NO PERMITIDO", "OK"), "OK"))</f>
        <v/>
      </c>
      <c r="AR1787" s="79">
        <f>IF(AN1787="","",IF(OR(AO1787&lt;&gt;"OK", AP1787&lt;&gt;"OK", AQ1787&lt;&gt;"OK"), "⚠️ REVISAR", "OK"))</f>
        <v/>
      </c>
    </row>
    <row r="1788">
      <c r="A1788" s="79">
        <f>IF('Ordenes_Odoo'!A1788="","",'Ordenes_Odoo'!A1788)</f>
        <v/>
      </c>
      <c r="B1788" s="80">
        <f>IF('Ordenes_Odoo'!B1788="","",'Ordenes_Odoo'!B1788)</f>
        <v/>
      </c>
      <c r="C1788" s="79">
        <f>IF('Ordenes_Odoo'!C1788="","",'Ordenes_Odoo'!C1788)</f>
        <v/>
      </c>
      <c r="D1788" s="79">
        <f>IF('Ordenes_Odoo'!D1788="","",'Ordenes_Odoo'!D1788)</f>
        <v/>
      </c>
      <c r="E1788" s="79">
        <f>IF('Ordenes_Odoo'!E1788="","",'Ordenes_Odoo'!E1788)</f>
        <v/>
      </c>
      <c r="F1788" s="79">
        <f>IF('Ordenes_Odoo'!F1788="","",'Ordenes_Odoo'!F1788)</f>
        <v/>
      </c>
      <c r="G1788" s="79">
        <f>IF('Ordenes_Odoo'!G1788="","",'Ordenes_Odoo'!G1788)</f>
        <v/>
      </c>
      <c r="H1788" s="79">
        <f>IF('Ordenes_Odoo'!H1788="","",'Ordenes_Odoo'!H1788)</f>
        <v/>
      </c>
      <c r="I1788" s="79">
        <f>IF('Ordenes_Odoo'!I1788="","",'Ordenes_Odoo'!I1788)</f>
        <v/>
      </c>
      <c r="J1788" s="79">
        <f>IF('Ordenes_Odoo'!J1788="","",'Ordenes_Odoo'!J1788)</f>
        <v/>
      </c>
      <c r="K1788" s="81">
        <f>IF('Ordenes_Odoo'!K1788="","",'Ordenes_Odoo'!K1788)</f>
        <v/>
      </c>
      <c r="L1788" s="81">
        <f>IF('Ordenes_Odoo'!L1788="","",'Ordenes_Odoo'!L1788)</f>
        <v/>
      </c>
      <c r="M1788" s="79">
        <f>IF('Ordenes_Odoo'!M1788="","",'Ordenes_Odoo'!M1788)</f>
        <v/>
      </c>
      <c r="N1788" s="79">
        <f>IF('Ordenes_Odoo'!N1788="","",'Ordenes_Odoo'!N1788)</f>
        <v/>
      </c>
      <c r="O1788" s="81">
        <f>IF('Ordenes_Odoo'!O1788="","",'Ordenes_Odoo'!O1788)</f>
        <v/>
      </c>
      <c r="P1788" s="81">
        <f>IF('Ordenes_Odoo'!P1788="","",'Ordenes_Odoo'!P1788)</f>
        <v/>
      </c>
      <c r="Q1788" s="79">
        <f>IF(A1788="","",IFERROR(INDEX(Facturas_Odoo!$B:$B, MATCH(A1788, Facturas_Odoo!$D:$D, 0)), "Sin Factura"))</f>
        <v/>
      </c>
      <c r="R1788" s="80">
        <f>IF(Q1788="Sin Factura","",IFERROR(INDEX(Facturas_Odoo!$A:$A, MATCH(Q1788, Facturas_Odoo!$B:$B, 0)), ""))</f>
        <v/>
      </c>
      <c r="S1788" s="79">
        <f>IF(Q1788="Sin Factura","",IFERROR(_xlfn.XLOOKUP(1, (Facturas_Odoo!$D:$D=A1788) * (Facturas_Odoo!$K:$K=I1788), Facturas_Odoo!$L:$L, ""), ""))</f>
        <v/>
      </c>
      <c r="T1788" s="81">
        <f>IF(Q1788="Sin Factura",0,IFERROR(_xlfn.XLOOKUP(1, (Facturas_Odoo!$D:$D=A1788) * (Facturas_Odoo!$K:$K=I1788), Facturas_Odoo!$M:$M, 0), 0))</f>
        <v/>
      </c>
      <c r="U1788" s="79">
        <f>IF(Q1788="Sin Factura",0,IFERROR(_xlfn.XLOOKUP(1, (Facturas_Odoo!$D:$D=A1788) * (Facturas_Odoo!$K:$K=I1788), Facturas_Odoo!$N:$N, 0), 0))</f>
        <v/>
      </c>
      <c r="V1788" s="79">
        <f>IF(Q1788="Sin Factura",0,IFERROR(_xlfn.XLOOKUP(1, (Facturas_Odoo!$D:$D=A1788) * (Facturas_Odoo!$K:$K=I1788), Facturas_Odoo!$O:$O, 0), 0))</f>
        <v/>
      </c>
      <c r="W1788" s="81">
        <f>IF(Q1788="Sin Factura",0,IFERROR(_xlfn.XLOOKUP(1, (Facturas_Odoo!$D:$D=A1788) * (Facturas_Odoo!$K:$K=I1788), Facturas_Odoo!$Q:$Q, 0), 0))</f>
        <v/>
      </c>
      <c r="X1788" s="79">
        <f>IF(OR(Q1788="Sin Factura",Q1788=""),"",IFERROR(INDEX(Pagos_Odoo!$B:$B, MATCH(Q1788, Pagos_Odoo!$I:$I, 0)), "Sin Pago"))</f>
        <v/>
      </c>
      <c r="Y1788" s="79">
        <f>IF(X1788="Sin Pago","",IFERROR(INDEX(Pagos_Odoo!$C:$C, MATCH(X1788, Pagos_Odoo!$B:$B, 0)), ""))</f>
        <v/>
      </c>
      <c r="Z1788" s="80">
        <f>IF(X1788="Sin Pago","",IFERROR(INDEX(Pagos_Odoo!$A:$A, MATCH(X1788, Pagos_Odoo!$B:$B, 0)), ""))</f>
        <v/>
      </c>
      <c r="AA1788" s="79">
        <f>IF(X1788="Sin Pago","",IFERROR(INDEX(Pagos_Odoo!$F:$F, MATCH(X1788, Pagos_Odoo!$B:$B, 0)), ""))</f>
        <v/>
      </c>
      <c r="AB1788" s="81">
        <f>IF(X1788="Sin Pago",0,IFERROR(INDEX(Pagos_Odoo!$E:$E, MATCH(X1788, Pagos_Odoo!$B:$B, 0)), 0))</f>
        <v/>
      </c>
      <c r="AC1788" s="79">
        <f>IF(X1788="Sin Pago","",IFERROR(INDEX(Pagos_Odoo!$G:$G, MATCH(X1788, Pagos_Odoo!$B:$B, 0)), ""))</f>
        <v/>
      </c>
      <c r="AD1788" s="82" t="n">
        <v>0</v>
      </c>
      <c r="AE1788" s="82" t="n"/>
      <c r="AF1788" s="82" t="n"/>
      <c r="AG1788" s="82">
        <f>IF(AN1788="","",AD1788+AE1788+AF1788)</f>
        <v/>
      </c>
      <c r="AH1788" s="81">
        <f>IF(AN1788="","",P1788*(1-AG1788))</f>
        <v/>
      </c>
      <c r="AI1788" s="81">
        <f>IF(AN1788="","",IF(Q1788="Sin Factura",0,IFERROR(INDEX(Facturas_Odoo!$H:$H, MATCH(Q1788, Facturas_Odoo!$B:$B, 0)), 0)*(1-AG1788)))</f>
        <v/>
      </c>
      <c r="AJ1788" s="81">
        <f>IF(AN1788="","",_xlfn.LET(idVenta, AN1788&amp;"",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88" s="81">
        <f>IF(AN1788="","",AH1788-AJ1788)</f>
        <v/>
      </c>
      <c r="AL1788" s="81">
        <f>IF(AN1788="","",IF(Q1788="Sin Factura","",AI1788-AJ1788))</f>
        <v/>
      </c>
      <c r="AM1788" s="81">
        <f>IF(AN1788="","",IF(Q1788="Sin Factura",0,P1788-IFERROR(INDEX(Facturas_Odoo!$H:$H, MATCH(Q1788, Facturas_Odoo!$B:$B, 0)), 0)))</f>
        <v/>
      </c>
      <c r="AN1788" s="79">
        <f>IF(AND(A1788="", J1788=""), "", IF(A1788&lt;&gt;"", VALUE(MID(A1788,2,LEN(A1788))), AN1787))</f>
        <v/>
      </c>
      <c r="AO1788" s="79">
        <f>IF(AN1788="","",IF(AD1788=0,"OK",_xlfn.LET(monedaPago, IF(AA1788="","USD",AA1788), limitePermitido, IFERROR(VLOOKUP(monedaPago, Configuración!$A$2:$B$3, 2, FALSE), 0.15), IF(AD1788&gt;limitePermitido, "ALERTA: EXCESO (" &amp; TEXT(limitePermitido, "0%") &amp; " máx)", "OK"))))</f>
        <v/>
      </c>
      <c r="AP1788" s="79">
        <f>IF(AN1788="","",IF(AE1788=0,"OK",_xlfn.LET(fechaPago, Z1788, fechaFactura, R1788, diasCredito, IF(E1788="Pago inmediato", 0, IFERROR(VALUE(MID(E1788, 1, SEARCH(" ", E1788)-1)),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88" s="79">
        <f>IF(AN1788="","",IF(AND(N1788&gt;0, AG1788&gt;0), IF(Configuración!$K$2="NO", "ALERTA: DESCUENTO DOBLE NO PERMITIDO", "OK"), "OK"))</f>
        <v/>
      </c>
      <c r="AR1788" s="79">
        <f>IF(AN1788="","",IF(OR(AO1788&lt;&gt;"OK", AP1788&lt;&gt;"OK", AQ1788&lt;&gt;"OK"), "⚠️ REVISAR", "OK"))</f>
        <v/>
      </c>
    </row>
    <row r="1789">
      <c r="A1789" s="79">
        <f>IF('Ordenes_Odoo'!A1789="","",'Ordenes_Odoo'!A1789)</f>
        <v/>
      </c>
      <c r="B1789" s="80">
        <f>IF('Ordenes_Odoo'!B1789="","",'Ordenes_Odoo'!B1789)</f>
        <v/>
      </c>
      <c r="C1789" s="79">
        <f>IF('Ordenes_Odoo'!C1789="","",'Ordenes_Odoo'!C1789)</f>
        <v/>
      </c>
      <c r="D1789" s="79">
        <f>IF('Ordenes_Odoo'!D1789="","",'Ordenes_Odoo'!D1789)</f>
        <v/>
      </c>
      <c r="E1789" s="79">
        <f>IF('Ordenes_Odoo'!E1789="","",'Ordenes_Odoo'!E1789)</f>
        <v/>
      </c>
      <c r="F1789" s="79">
        <f>IF('Ordenes_Odoo'!F1789="","",'Ordenes_Odoo'!F1789)</f>
        <v/>
      </c>
      <c r="G1789" s="79">
        <f>IF('Ordenes_Odoo'!G1789="","",'Ordenes_Odoo'!G1789)</f>
        <v/>
      </c>
      <c r="H1789" s="79">
        <f>IF('Ordenes_Odoo'!H1789="","",'Ordenes_Odoo'!H1789)</f>
        <v/>
      </c>
      <c r="I1789" s="79">
        <f>IF('Ordenes_Odoo'!I1789="","",'Ordenes_Odoo'!I1789)</f>
        <v/>
      </c>
      <c r="J1789" s="79">
        <f>IF('Ordenes_Odoo'!J1789="","",'Ordenes_Odoo'!J1789)</f>
        <v/>
      </c>
      <c r="K1789" s="81">
        <f>IF('Ordenes_Odoo'!K1789="","",'Ordenes_Odoo'!K1789)</f>
        <v/>
      </c>
      <c r="L1789" s="81">
        <f>IF('Ordenes_Odoo'!L1789="","",'Ordenes_Odoo'!L1789)</f>
        <v/>
      </c>
      <c r="M1789" s="79">
        <f>IF('Ordenes_Odoo'!M1789="","",'Ordenes_Odoo'!M1789)</f>
        <v/>
      </c>
      <c r="N1789" s="79">
        <f>IF('Ordenes_Odoo'!N1789="","",'Ordenes_Odoo'!N1789)</f>
        <v/>
      </c>
      <c r="O1789" s="81">
        <f>IF('Ordenes_Odoo'!O1789="","",'Ordenes_Odoo'!O1789)</f>
        <v/>
      </c>
      <c r="P1789" s="81">
        <f>IF('Ordenes_Odoo'!P1789="","",'Ordenes_Odoo'!P1789)</f>
        <v/>
      </c>
      <c r="Q1789" s="79">
        <f>IF(A1789="","",IFERROR(INDEX(Facturas_Odoo!$B:$B, MATCH(A1789, Facturas_Odoo!$D:$D, 0)), "Sin Factura"))</f>
        <v/>
      </c>
      <c r="R1789" s="80">
        <f>IF(Q1789="Sin Factura","",IFERROR(INDEX(Facturas_Odoo!$A:$A, MATCH(Q1789, Facturas_Odoo!$B:$B, 0)), ""))</f>
        <v/>
      </c>
      <c r="S1789" s="79">
        <f>IF(Q1789="Sin Factura","",IFERROR(_xlfn.XLOOKUP(1, (Facturas_Odoo!$D:$D=A1789) * (Facturas_Odoo!$K:$K=I1789), Facturas_Odoo!$L:$L, ""), ""))</f>
        <v/>
      </c>
      <c r="T1789" s="81">
        <f>IF(Q1789="Sin Factura",0,IFERROR(_xlfn.XLOOKUP(1, (Facturas_Odoo!$D:$D=A1789) * (Facturas_Odoo!$K:$K=I1789), Facturas_Odoo!$M:$M, 0), 0))</f>
        <v/>
      </c>
      <c r="U1789" s="79">
        <f>IF(Q1789="Sin Factura",0,IFERROR(_xlfn.XLOOKUP(1, (Facturas_Odoo!$D:$D=A1789) * (Facturas_Odoo!$K:$K=I1789), Facturas_Odoo!$N:$N, 0), 0))</f>
        <v/>
      </c>
      <c r="V1789" s="79">
        <f>IF(Q1789="Sin Factura",0,IFERROR(_xlfn.XLOOKUP(1, (Facturas_Odoo!$D:$D=A1789) * (Facturas_Odoo!$K:$K=I1789), Facturas_Odoo!$O:$O, 0), 0))</f>
        <v/>
      </c>
      <c r="W1789" s="81">
        <f>IF(Q1789="Sin Factura",0,IFERROR(_xlfn.XLOOKUP(1, (Facturas_Odoo!$D:$D=A1789) * (Facturas_Odoo!$K:$K=I1789), Facturas_Odoo!$Q:$Q, 0), 0))</f>
        <v/>
      </c>
      <c r="X1789" s="79">
        <f>IF(OR(Q1789="Sin Factura",Q1789=""),"",IFERROR(INDEX(Pagos_Odoo!$B:$B, MATCH(Q1789, Pagos_Odoo!$I:$I, 0)), "Sin Pago"))</f>
        <v/>
      </c>
      <c r="Y1789" s="79">
        <f>IF(X1789="Sin Pago","",IFERROR(INDEX(Pagos_Odoo!$C:$C, MATCH(X1789, Pagos_Odoo!$B:$B, 0)), ""))</f>
        <v/>
      </c>
      <c r="Z1789" s="80">
        <f>IF(X1789="Sin Pago","",IFERROR(INDEX(Pagos_Odoo!$A:$A, MATCH(X1789, Pagos_Odoo!$B:$B, 0)), ""))</f>
        <v/>
      </c>
      <c r="AA1789" s="79">
        <f>IF(X1789="Sin Pago","",IFERROR(INDEX(Pagos_Odoo!$F:$F, MATCH(X1789, Pagos_Odoo!$B:$B, 0)), ""))</f>
        <v/>
      </c>
      <c r="AB1789" s="81">
        <f>IF(X1789="Sin Pago",0,IFERROR(INDEX(Pagos_Odoo!$E:$E, MATCH(X1789, Pagos_Odoo!$B:$B, 0)), 0))</f>
        <v/>
      </c>
      <c r="AC1789" s="79">
        <f>IF(X1789="Sin Pago","",IFERROR(INDEX(Pagos_Odoo!$G:$G, MATCH(X1789, Pagos_Odoo!$B:$B, 0)), ""))</f>
        <v/>
      </c>
      <c r="AD1789" s="82" t="n">
        <v>0</v>
      </c>
      <c r="AE1789" s="82" t="n"/>
      <c r="AF1789" s="82" t="n"/>
      <c r="AG1789" s="82">
        <f>IF(AN1789="","",AD1789+AE1789+AF1789)</f>
        <v/>
      </c>
      <c r="AH1789" s="81">
        <f>IF(AN1789="","",P1789*(1-AG1789))</f>
        <v/>
      </c>
      <c r="AI1789" s="81">
        <f>IF(AN1789="","",IF(Q1789="Sin Factura",0,IFERROR(INDEX(Facturas_Odoo!$H:$H, MATCH(Q1789, Facturas_Odoo!$B:$B, 0)), 0)*(1-AG1789)))</f>
        <v/>
      </c>
      <c r="AJ1789" s="81">
        <f>IF(AN1789="","",_xlfn.LET(idVenta, AN1789&amp;"",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89" s="81">
        <f>IF(AN1789="","",AH1789-AJ1789)</f>
        <v/>
      </c>
      <c r="AL1789" s="81">
        <f>IF(AN1789="","",IF(Q1789="Sin Factura","",AI1789-AJ1789))</f>
        <v/>
      </c>
      <c r="AM1789" s="81">
        <f>IF(AN1789="","",IF(Q1789="Sin Factura",0,P1789-IFERROR(INDEX(Facturas_Odoo!$H:$H, MATCH(Q1789, Facturas_Odoo!$B:$B, 0)), 0)))</f>
        <v/>
      </c>
      <c r="AN1789" s="79">
        <f>IF(AND(A1789="", J1789=""), "", IF(A1789&lt;&gt;"", VALUE(MID(A1789,2,LEN(A1789))), AN1788))</f>
        <v/>
      </c>
      <c r="AO1789" s="79">
        <f>IF(AN1789="","",IF(AD1789=0,"OK",_xlfn.LET(monedaPago, IF(AA1789="","USD",AA1789), limitePermitido, IFERROR(VLOOKUP(monedaPago, Configuración!$A$2:$B$3, 2, FALSE), 0.15), IF(AD1789&gt;limitePermitido, "ALERTA: EXCESO (" &amp; TEXT(limitePermitido, "0%") &amp; " máx)", "OK"))))</f>
        <v/>
      </c>
      <c r="AP1789" s="79">
        <f>IF(AN1789="","",IF(AE1789=0,"OK",_xlfn.LET(fechaPago, Z1789, fechaFactura, R1789, diasCredito, IF(E1789="Pago inmediato", 0, IFERROR(VALUE(MID(E1789, 1, SEARCH(" ", E1789)-1)),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89" s="79">
        <f>IF(AN1789="","",IF(AND(N1789&gt;0, AG1789&gt;0), IF(Configuración!$K$2="NO", "ALERTA: DESCUENTO DOBLE NO PERMITIDO", "OK"), "OK"))</f>
        <v/>
      </c>
      <c r="AR1789" s="79">
        <f>IF(AN1789="","",IF(OR(AO1789&lt;&gt;"OK", AP1789&lt;&gt;"OK", AQ1789&lt;&gt;"OK"), "⚠️ REVISAR", "OK"))</f>
        <v/>
      </c>
    </row>
    <row r="1790">
      <c r="A1790" s="79">
        <f>IF('Ordenes_Odoo'!A1790="","",'Ordenes_Odoo'!A1790)</f>
        <v/>
      </c>
      <c r="B1790" s="80">
        <f>IF('Ordenes_Odoo'!B1790="","",'Ordenes_Odoo'!B1790)</f>
        <v/>
      </c>
      <c r="C1790" s="79">
        <f>IF('Ordenes_Odoo'!C1790="","",'Ordenes_Odoo'!C1790)</f>
        <v/>
      </c>
      <c r="D1790" s="79">
        <f>IF('Ordenes_Odoo'!D1790="","",'Ordenes_Odoo'!D1790)</f>
        <v/>
      </c>
      <c r="E1790" s="79">
        <f>IF('Ordenes_Odoo'!E1790="","",'Ordenes_Odoo'!E1790)</f>
        <v/>
      </c>
      <c r="F1790" s="79">
        <f>IF('Ordenes_Odoo'!F1790="","",'Ordenes_Odoo'!F1790)</f>
        <v/>
      </c>
      <c r="G1790" s="79">
        <f>IF('Ordenes_Odoo'!G1790="","",'Ordenes_Odoo'!G1790)</f>
        <v/>
      </c>
      <c r="H1790" s="79">
        <f>IF('Ordenes_Odoo'!H1790="","",'Ordenes_Odoo'!H1790)</f>
        <v/>
      </c>
      <c r="I1790" s="79">
        <f>IF('Ordenes_Odoo'!I1790="","",'Ordenes_Odoo'!I1790)</f>
        <v/>
      </c>
      <c r="J1790" s="79">
        <f>IF('Ordenes_Odoo'!J1790="","",'Ordenes_Odoo'!J1790)</f>
        <v/>
      </c>
      <c r="K1790" s="81">
        <f>IF('Ordenes_Odoo'!K1790="","",'Ordenes_Odoo'!K1790)</f>
        <v/>
      </c>
      <c r="L1790" s="81">
        <f>IF('Ordenes_Odoo'!L1790="","",'Ordenes_Odoo'!L1790)</f>
        <v/>
      </c>
      <c r="M1790" s="79">
        <f>IF('Ordenes_Odoo'!M1790="","",'Ordenes_Odoo'!M1790)</f>
        <v/>
      </c>
      <c r="N1790" s="79">
        <f>IF('Ordenes_Odoo'!N1790="","",'Ordenes_Odoo'!N1790)</f>
        <v/>
      </c>
      <c r="O1790" s="81">
        <f>IF('Ordenes_Odoo'!O1790="","",'Ordenes_Odoo'!O1790)</f>
        <v/>
      </c>
      <c r="P1790" s="81">
        <f>IF('Ordenes_Odoo'!P1790="","",'Ordenes_Odoo'!P1790)</f>
        <v/>
      </c>
      <c r="Q1790" s="79">
        <f>IF(A1790="","",IFERROR(INDEX(Facturas_Odoo!$B:$B, MATCH(A1790, Facturas_Odoo!$D:$D, 0)), "Sin Factura"))</f>
        <v/>
      </c>
      <c r="R1790" s="80">
        <f>IF(Q1790="Sin Factura","",IFERROR(INDEX(Facturas_Odoo!$A:$A, MATCH(Q1790, Facturas_Odoo!$B:$B, 0)), ""))</f>
        <v/>
      </c>
      <c r="S1790" s="79">
        <f>IF(Q1790="Sin Factura","",IFERROR(_xlfn.XLOOKUP(1, (Facturas_Odoo!$D:$D=A1790) * (Facturas_Odoo!$K:$K=I1790), Facturas_Odoo!$L:$L, ""), ""))</f>
        <v/>
      </c>
      <c r="T1790" s="81">
        <f>IF(Q1790="Sin Factura",0,IFERROR(_xlfn.XLOOKUP(1, (Facturas_Odoo!$D:$D=A1790) * (Facturas_Odoo!$K:$K=I1790), Facturas_Odoo!$M:$M, 0), 0))</f>
        <v/>
      </c>
      <c r="U1790" s="79">
        <f>IF(Q1790="Sin Factura",0,IFERROR(_xlfn.XLOOKUP(1, (Facturas_Odoo!$D:$D=A1790) * (Facturas_Odoo!$K:$K=I1790), Facturas_Odoo!$N:$N, 0), 0))</f>
        <v/>
      </c>
      <c r="V1790" s="79">
        <f>IF(Q1790="Sin Factura",0,IFERROR(_xlfn.XLOOKUP(1, (Facturas_Odoo!$D:$D=A1790) * (Facturas_Odoo!$K:$K=I1790), Facturas_Odoo!$O:$O, 0), 0))</f>
        <v/>
      </c>
      <c r="W1790" s="81">
        <f>IF(Q1790="Sin Factura",0,IFERROR(_xlfn.XLOOKUP(1, (Facturas_Odoo!$D:$D=A1790) * (Facturas_Odoo!$K:$K=I1790), Facturas_Odoo!$Q:$Q, 0), 0))</f>
        <v/>
      </c>
      <c r="X1790" s="79">
        <f>IF(OR(Q1790="Sin Factura",Q1790=""),"",IFERROR(INDEX(Pagos_Odoo!$B:$B, MATCH(Q1790, Pagos_Odoo!$I:$I, 0)), "Sin Pago"))</f>
        <v/>
      </c>
      <c r="Y1790" s="79">
        <f>IF(X1790="Sin Pago","",IFERROR(INDEX(Pagos_Odoo!$C:$C, MATCH(X1790, Pagos_Odoo!$B:$B, 0)), ""))</f>
        <v/>
      </c>
      <c r="Z1790" s="80">
        <f>IF(X1790="Sin Pago","",IFERROR(INDEX(Pagos_Odoo!$A:$A, MATCH(X1790, Pagos_Odoo!$B:$B, 0)), ""))</f>
        <v/>
      </c>
      <c r="AA1790" s="79">
        <f>IF(X1790="Sin Pago","",IFERROR(INDEX(Pagos_Odoo!$F:$F, MATCH(X1790, Pagos_Odoo!$B:$B, 0)), ""))</f>
        <v/>
      </c>
      <c r="AB1790" s="81">
        <f>IF(X1790="Sin Pago",0,IFERROR(INDEX(Pagos_Odoo!$E:$E, MATCH(X1790, Pagos_Odoo!$B:$B, 0)), 0))</f>
        <v/>
      </c>
      <c r="AC1790" s="79">
        <f>IF(X1790="Sin Pago","",IFERROR(INDEX(Pagos_Odoo!$G:$G, MATCH(X1790, Pagos_Odoo!$B:$B, 0)), ""))</f>
        <v/>
      </c>
      <c r="AD1790" s="82" t="n">
        <v>0</v>
      </c>
      <c r="AE1790" s="82" t="n"/>
      <c r="AF1790" s="82" t="n"/>
      <c r="AG1790" s="82">
        <f>IF(AN1790="","",AD1790+AE1790+AF1790)</f>
        <v/>
      </c>
      <c r="AH1790" s="81">
        <f>IF(AN1790="","",P1790*(1-AG1790))</f>
        <v/>
      </c>
      <c r="AI1790" s="81">
        <f>IF(AN1790="","",IF(Q1790="Sin Factura",0,IFERROR(INDEX(Facturas_Odoo!$H:$H, MATCH(Q1790, Facturas_Odoo!$B:$B, 0)), 0)*(1-AG1790)))</f>
        <v/>
      </c>
      <c r="AJ1790" s="81">
        <f>IF(AN1790="","",_xlfn.LET(idVenta, AN1790&amp;"",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90" s="81">
        <f>IF(AN1790="","",AH1790-AJ1790)</f>
        <v/>
      </c>
      <c r="AL1790" s="81">
        <f>IF(AN1790="","",IF(Q1790="Sin Factura","",AI1790-AJ1790))</f>
        <v/>
      </c>
      <c r="AM1790" s="81">
        <f>IF(AN1790="","",IF(Q1790="Sin Factura",0,P1790-IFERROR(INDEX(Facturas_Odoo!$H:$H, MATCH(Q1790, Facturas_Odoo!$B:$B, 0)), 0)))</f>
        <v/>
      </c>
      <c r="AN1790" s="79">
        <f>IF(AND(A1790="", J1790=""), "", IF(A1790&lt;&gt;"", VALUE(MID(A1790,2,LEN(A1790))), AN1789))</f>
        <v/>
      </c>
      <c r="AO1790" s="79">
        <f>IF(AN1790="","",IF(AD1790=0,"OK",_xlfn.LET(monedaPago, IF(AA1790="","USD",AA1790), limitePermitido, IFERROR(VLOOKUP(monedaPago, Configuración!$A$2:$B$3, 2, FALSE), 0.15), IF(AD1790&gt;limitePermitido, "ALERTA: EXCESO (" &amp; TEXT(limitePermitido, "0%") &amp; " máx)", "OK"))))</f>
        <v/>
      </c>
      <c r="AP1790" s="79">
        <f>IF(AN1790="","",IF(AE1790=0,"OK",_xlfn.LET(fechaPago, Z1790, fechaFactura, R1790, diasCredito, IF(E1790="Pago inmediato", 0, IFERROR(VALUE(MID(E1790, 1, SEARCH(" ", E1790)-1)),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90" s="79">
        <f>IF(AN1790="","",IF(AND(N1790&gt;0, AG1790&gt;0), IF(Configuración!$K$2="NO", "ALERTA: DESCUENTO DOBLE NO PERMITIDO", "OK"), "OK"))</f>
        <v/>
      </c>
      <c r="AR1790" s="79">
        <f>IF(AN1790="","",IF(OR(AO1790&lt;&gt;"OK", AP1790&lt;&gt;"OK", AQ1790&lt;&gt;"OK"), "⚠️ REVISAR", "OK"))</f>
        <v/>
      </c>
    </row>
    <row r="1791">
      <c r="A1791" s="79">
        <f>IF('Ordenes_Odoo'!A1791="","",'Ordenes_Odoo'!A1791)</f>
        <v/>
      </c>
      <c r="B1791" s="80">
        <f>IF('Ordenes_Odoo'!B1791="","",'Ordenes_Odoo'!B1791)</f>
        <v/>
      </c>
      <c r="C1791" s="79">
        <f>IF('Ordenes_Odoo'!C1791="","",'Ordenes_Odoo'!C1791)</f>
        <v/>
      </c>
      <c r="D1791" s="79">
        <f>IF('Ordenes_Odoo'!D1791="","",'Ordenes_Odoo'!D1791)</f>
        <v/>
      </c>
      <c r="E1791" s="79">
        <f>IF('Ordenes_Odoo'!E1791="","",'Ordenes_Odoo'!E1791)</f>
        <v/>
      </c>
      <c r="F1791" s="79">
        <f>IF('Ordenes_Odoo'!F1791="","",'Ordenes_Odoo'!F1791)</f>
        <v/>
      </c>
      <c r="G1791" s="79">
        <f>IF('Ordenes_Odoo'!G1791="","",'Ordenes_Odoo'!G1791)</f>
        <v/>
      </c>
      <c r="H1791" s="79">
        <f>IF('Ordenes_Odoo'!H1791="","",'Ordenes_Odoo'!H1791)</f>
        <v/>
      </c>
      <c r="I1791" s="79">
        <f>IF('Ordenes_Odoo'!I1791="","",'Ordenes_Odoo'!I1791)</f>
        <v/>
      </c>
      <c r="J1791" s="79">
        <f>IF('Ordenes_Odoo'!J1791="","",'Ordenes_Odoo'!J1791)</f>
        <v/>
      </c>
      <c r="K1791" s="81">
        <f>IF('Ordenes_Odoo'!K1791="","",'Ordenes_Odoo'!K1791)</f>
        <v/>
      </c>
      <c r="L1791" s="81">
        <f>IF('Ordenes_Odoo'!L1791="","",'Ordenes_Odoo'!L1791)</f>
        <v/>
      </c>
      <c r="M1791" s="79">
        <f>IF('Ordenes_Odoo'!M1791="","",'Ordenes_Odoo'!M1791)</f>
        <v/>
      </c>
      <c r="N1791" s="79">
        <f>IF('Ordenes_Odoo'!N1791="","",'Ordenes_Odoo'!N1791)</f>
        <v/>
      </c>
      <c r="O1791" s="81">
        <f>IF('Ordenes_Odoo'!O1791="","",'Ordenes_Odoo'!O1791)</f>
        <v/>
      </c>
      <c r="P1791" s="81">
        <f>IF('Ordenes_Odoo'!P1791="","",'Ordenes_Odoo'!P1791)</f>
        <v/>
      </c>
      <c r="Q1791" s="79">
        <f>IF(A1791="","",IFERROR(INDEX(Facturas_Odoo!$B:$B, MATCH(A1791, Facturas_Odoo!$D:$D, 0)), "Sin Factura"))</f>
        <v/>
      </c>
      <c r="R1791" s="80">
        <f>IF(Q1791="Sin Factura","",IFERROR(INDEX(Facturas_Odoo!$A:$A, MATCH(Q1791, Facturas_Odoo!$B:$B, 0)), ""))</f>
        <v/>
      </c>
      <c r="S1791" s="79">
        <f>IF(Q1791="Sin Factura","",IFERROR(_xlfn.XLOOKUP(1, (Facturas_Odoo!$D:$D=A1791) * (Facturas_Odoo!$K:$K=I1791), Facturas_Odoo!$L:$L, ""), ""))</f>
        <v/>
      </c>
      <c r="T1791" s="81">
        <f>IF(Q1791="Sin Factura",0,IFERROR(_xlfn.XLOOKUP(1, (Facturas_Odoo!$D:$D=A1791) * (Facturas_Odoo!$K:$K=I1791), Facturas_Odoo!$M:$M, 0), 0))</f>
        <v/>
      </c>
      <c r="U1791" s="79">
        <f>IF(Q1791="Sin Factura",0,IFERROR(_xlfn.XLOOKUP(1, (Facturas_Odoo!$D:$D=A1791) * (Facturas_Odoo!$K:$K=I1791), Facturas_Odoo!$N:$N, 0), 0))</f>
        <v/>
      </c>
      <c r="V1791" s="79">
        <f>IF(Q1791="Sin Factura",0,IFERROR(_xlfn.XLOOKUP(1, (Facturas_Odoo!$D:$D=A1791) * (Facturas_Odoo!$K:$K=I1791), Facturas_Odoo!$O:$O, 0), 0))</f>
        <v/>
      </c>
      <c r="W1791" s="81">
        <f>IF(Q1791="Sin Factura",0,IFERROR(_xlfn.XLOOKUP(1, (Facturas_Odoo!$D:$D=A1791) * (Facturas_Odoo!$K:$K=I1791), Facturas_Odoo!$Q:$Q, 0), 0))</f>
        <v/>
      </c>
      <c r="X1791" s="79">
        <f>IF(OR(Q1791="Sin Factura",Q1791=""),"",IFERROR(INDEX(Pagos_Odoo!$B:$B, MATCH(Q1791, Pagos_Odoo!$I:$I, 0)), "Sin Pago"))</f>
        <v/>
      </c>
      <c r="Y1791" s="79">
        <f>IF(X1791="Sin Pago","",IFERROR(INDEX(Pagos_Odoo!$C:$C, MATCH(X1791, Pagos_Odoo!$B:$B, 0)), ""))</f>
        <v/>
      </c>
      <c r="Z1791" s="80">
        <f>IF(X1791="Sin Pago","",IFERROR(INDEX(Pagos_Odoo!$A:$A, MATCH(X1791, Pagos_Odoo!$B:$B, 0)), ""))</f>
        <v/>
      </c>
      <c r="AA1791" s="79">
        <f>IF(X1791="Sin Pago","",IFERROR(INDEX(Pagos_Odoo!$F:$F, MATCH(X1791, Pagos_Odoo!$B:$B, 0)), ""))</f>
        <v/>
      </c>
      <c r="AB1791" s="81">
        <f>IF(X1791="Sin Pago",0,IFERROR(INDEX(Pagos_Odoo!$E:$E, MATCH(X1791, Pagos_Odoo!$B:$B, 0)), 0))</f>
        <v/>
      </c>
      <c r="AC1791" s="79">
        <f>IF(X1791="Sin Pago","",IFERROR(INDEX(Pagos_Odoo!$G:$G, MATCH(X1791, Pagos_Odoo!$B:$B, 0)), ""))</f>
        <v/>
      </c>
      <c r="AD1791" s="82" t="n">
        <v>0</v>
      </c>
      <c r="AE1791" s="82" t="n"/>
      <c r="AF1791" s="82" t="n"/>
      <c r="AG1791" s="82">
        <f>IF(AN1791="","",AD1791+AE1791+AF1791)</f>
        <v/>
      </c>
      <c r="AH1791" s="81">
        <f>IF(AN1791="","",P1791*(1-AG1791))</f>
        <v/>
      </c>
      <c r="AI1791" s="81">
        <f>IF(AN1791="","",IF(Q1791="Sin Factura",0,IFERROR(INDEX(Facturas_Odoo!$H:$H, MATCH(Q1791, Facturas_Odoo!$B:$B, 0)), 0)*(1-AG1791)))</f>
        <v/>
      </c>
      <c r="AJ1791" s="81">
        <f>IF(AN1791="","",_xlfn.LET(idVenta, AN1791&amp;"",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91" s="81">
        <f>IF(AN1791="","",AH1791-AJ1791)</f>
        <v/>
      </c>
      <c r="AL1791" s="81">
        <f>IF(AN1791="","",IF(Q1791="Sin Factura","",AI1791-AJ1791))</f>
        <v/>
      </c>
      <c r="AM1791" s="81">
        <f>IF(AN1791="","",IF(Q1791="Sin Factura",0,P1791-IFERROR(INDEX(Facturas_Odoo!$H:$H, MATCH(Q1791, Facturas_Odoo!$B:$B, 0)), 0)))</f>
        <v/>
      </c>
      <c r="AN1791" s="79">
        <f>IF(AND(A1791="", J1791=""), "", IF(A1791&lt;&gt;"", VALUE(MID(A1791,2,LEN(A1791))), AN1790))</f>
        <v/>
      </c>
      <c r="AO1791" s="79">
        <f>IF(AN1791="","",IF(AD1791=0,"OK",_xlfn.LET(monedaPago, IF(AA1791="","USD",AA1791), limitePermitido, IFERROR(VLOOKUP(monedaPago, Configuración!$A$2:$B$3, 2, FALSE), 0.15), IF(AD1791&gt;limitePermitido, "ALERTA: EXCESO (" &amp; TEXT(limitePermitido, "0%") &amp; " máx)", "OK"))))</f>
        <v/>
      </c>
      <c r="AP1791" s="79">
        <f>IF(AN1791="","",IF(AE1791=0,"OK",_xlfn.LET(fechaPago, Z1791, fechaFactura, R1791, diasCredito, IF(E1791="Pago inmediato", 0, IFERROR(VALUE(MID(E1791, 1, SEARCH(" ", E1791)-1)),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91" s="79">
        <f>IF(AN1791="","",IF(AND(N1791&gt;0, AG1791&gt;0), IF(Configuración!$K$2="NO", "ALERTA: DESCUENTO DOBLE NO PERMITIDO", "OK"), "OK"))</f>
        <v/>
      </c>
      <c r="AR1791" s="79">
        <f>IF(AN1791="","",IF(OR(AO1791&lt;&gt;"OK", AP1791&lt;&gt;"OK", AQ1791&lt;&gt;"OK"), "⚠️ REVISAR", "OK"))</f>
        <v/>
      </c>
    </row>
    <row r="1792">
      <c r="A1792" s="79">
        <f>IF('Ordenes_Odoo'!A1792="","",'Ordenes_Odoo'!A1792)</f>
        <v/>
      </c>
      <c r="B1792" s="80">
        <f>IF('Ordenes_Odoo'!B1792="","",'Ordenes_Odoo'!B1792)</f>
        <v/>
      </c>
      <c r="C1792" s="79">
        <f>IF('Ordenes_Odoo'!C1792="","",'Ordenes_Odoo'!C1792)</f>
        <v/>
      </c>
      <c r="D1792" s="79">
        <f>IF('Ordenes_Odoo'!D1792="","",'Ordenes_Odoo'!D1792)</f>
        <v/>
      </c>
      <c r="E1792" s="79">
        <f>IF('Ordenes_Odoo'!E1792="","",'Ordenes_Odoo'!E1792)</f>
        <v/>
      </c>
      <c r="F1792" s="79">
        <f>IF('Ordenes_Odoo'!F1792="","",'Ordenes_Odoo'!F1792)</f>
        <v/>
      </c>
      <c r="G1792" s="79">
        <f>IF('Ordenes_Odoo'!G1792="","",'Ordenes_Odoo'!G1792)</f>
        <v/>
      </c>
      <c r="H1792" s="79">
        <f>IF('Ordenes_Odoo'!H1792="","",'Ordenes_Odoo'!H1792)</f>
        <v/>
      </c>
      <c r="I1792" s="79">
        <f>IF('Ordenes_Odoo'!I1792="","",'Ordenes_Odoo'!I1792)</f>
        <v/>
      </c>
      <c r="J1792" s="79">
        <f>IF('Ordenes_Odoo'!J1792="","",'Ordenes_Odoo'!J1792)</f>
        <v/>
      </c>
      <c r="K1792" s="81">
        <f>IF('Ordenes_Odoo'!K1792="","",'Ordenes_Odoo'!K1792)</f>
        <v/>
      </c>
      <c r="L1792" s="81">
        <f>IF('Ordenes_Odoo'!L1792="","",'Ordenes_Odoo'!L1792)</f>
        <v/>
      </c>
      <c r="M1792" s="79">
        <f>IF('Ordenes_Odoo'!M1792="","",'Ordenes_Odoo'!M1792)</f>
        <v/>
      </c>
      <c r="N1792" s="79">
        <f>IF('Ordenes_Odoo'!N1792="","",'Ordenes_Odoo'!N1792)</f>
        <v/>
      </c>
      <c r="O1792" s="81">
        <f>IF('Ordenes_Odoo'!O1792="","",'Ordenes_Odoo'!O1792)</f>
        <v/>
      </c>
      <c r="P1792" s="81">
        <f>IF('Ordenes_Odoo'!P1792="","",'Ordenes_Odoo'!P1792)</f>
        <v/>
      </c>
      <c r="Q1792" s="79">
        <f>IF(A1792="","",IFERROR(INDEX(Facturas_Odoo!$B:$B, MATCH(A1792, Facturas_Odoo!$D:$D, 0)), "Sin Factura"))</f>
        <v/>
      </c>
      <c r="R1792" s="80">
        <f>IF(Q1792="Sin Factura","",IFERROR(INDEX(Facturas_Odoo!$A:$A, MATCH(Q1792, Facturas_Odoo!$B:$B, 0)), ""))</f>
        <v/>
      </c>
      <c r="S1792" s="79">
        <f>IF(Q1792="Sin Factura","",IFERROR(_xlfn.XLOOKUP(1, (Facturas_Odoo!$D:$D=A1792) * (Facturas_Odoo!$K:$K=I1792), Facturas_Odoo!$L:$L, ""), ""))</f>
        <v/>
      </c>
      <c r="T1792" s="81">
        <f>IF(Q1792="Sin Factura",0,IFERROR(_xlfn.XLOOKUP(1, (Facturas_Odoo!$D:$D=A1792) * (Facturas_Odoo!$K:$K=I1792), Facturas_Odoo!$M:$M, 0), 0))</f>
        <v/>
      </c>
      <c r="U1792" s="79">
        <f>IF(Q1792="Sin Factura",0,IFERROR(_xlfn.XLOOKUP(1, (Facturas_Odoo!$D:$D=A1792) * (Facturas_Odoo!$K:$K=I1792), Facturas_Odoo!$N:$N, 0), 0))</f>
        <v/>
      </c>
      <c r="V1792" s="79">
        <f>IF(Q1792="Sin Factura",0,IFERROR(_xlfn.XLOOKUP(1, (Facturas_Odoo!$D:$D=A1792) * (Facturas_Odoo!$K:$K=I1792), Facturas_Odoo!$O:$O, 0), 0))</f>
        <v/>
      </c>
      <c r="W1792" s="81">
        <f>IF(Q1792="Sin Factura",0,IFERROR(_xlfn.XLOOKUP(1, (Facturas_Odoo!$D:$D=A1792) * (Facturas_Odoo!$K:$K=I1792), Facturas_Odoo!$Q:$Q, 0), 0))</f>
        <v/>
      </c>
      <c r="X1792" s="79">
        <f>IF(OR(Q1792="Sin Factura",Q1792=""),"",IFERROR(INDEX(Pagos_Odoo!$B:$B, MATCH(Q1792, Pagos_Odoo!$I:$I, 0)), "Sin Pago"))</f>
        <v/>
      </c>
      <c r="Y1792" s="79">
        <f>IF(X1792="Sin Pago","",IFERROR(INDEX(Pagos_Odoo!$C:$C, MATCH(X1792, Pagos_Odoo!$B:$B, 0)), ""))</f>
        <v/>
      </c>
      <c r="Z1792" s="80">
        <f>IF(X1792="Sin Pago","",IFERROR(INDEX(Pagos_Odoo!$A:$A, MATCH(X1792, Pagos_Odoo!$B:$B, 0)), ""))</f>
        <v/>
      </c>
      <c r="AA1792" s="79">
        <f>IF(X1792="Sin Pago","",IFERROR(INDEX(Pagos_Odoo!$F:$F, MATCH(X1792, Pagos_Odoo!$B:$B, 0)), ""))</f>
        <v/>
      </c>
      <c r="AB1792" s="81">
        <f>IF(X1792="Sin Pago",0,IFERROR(INDEX(Pagos_Odoo!$E:$E, MATCH(X1792, Pagos_Odoo!$B:$B, 0)), 0))</f>
        <v/>
      </c>
      <c r="AC1792" s="79">
        <f>IF(X1792="Sin Pago","",IFERROR(INDEX(Pagos_Odoo!$G:$G, MATCH(X1792, Pagos_Odoo!$B:$B, 0)), ""))</f>
        <v/>
      </c>
      <c r="AD1792" s="82" t="n">
        <v>0</v>
      </c>
      <c r="AE1792" s="82" t="n"/>
      <c r="AF1792" s="82" t="n"/>
      <c r="AG1792" s="82">
        <f>IF(AN1792="","",AD1792+AE1792+AF1792)</f>
        <v/>
      </c>
      <c r="AH1792" s="81">
        <f>IF(AN1792="","",P1792*(1-AG1792))</f>
        <v/>
      </c>
      <c r="AI1792" s="81">
        <f>IF(AN1792="","",IF(Q1792="Sin Factura",0,IFERROR(INDEX(Facturas_Odoo!$H:$H, MATCH(Q1792, Facturas_Odoo!$B:$B, 0)), 0)*(1-AG1792)))</f>
        <v/>
      </c>
      <c r="AJ1792" s="81">
        <f>IF(AN1792="","",_xlfn.LET(idVenta, AN1792&amp;"",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92" s="81">
        <f>IF(AN1792="","",AH1792-AJ1792)</f>
        <v/>
      </c>
      <c r="AL1792" s="81">
        <f>IF(AN1792="","",IF(Q1792="Sin Factura","",AI1792-AJ1792))</f>
        <v/>
      </c>
      <c r="AM1792" s="81">
        <f>IF(AN1792="","",IF(Q1792="Sin Factura",0,P1792-IFERROR(INDEX(Facturas_Odoo!$H:$H, MATCH(Q1792, Facturas_Odoo!$B:$B, 0)), 0)))</f>
        <v/>
      </c>
      <c r="AN1792" s="79">
        <f>IF(AND(A1792="", J1792=""), "", IF(A1792&lt;&gt;"", VALUE(MID(A1792,2,LEN(A1792))), AN1791))</f>
        <v/>
      </c>
      <c r="AO1792" s="79">
        <f>IF(AN1792="","",IF(AD1792=0,"OK",_xlfn.LET(monedaPago, IF(AA1792="","USD",AA1792), limitePermitido, IFERROR(VLOOKUP(monedaPago, Configuración!$A$2:$B$3, 2, FALSE), 0.15), IF(AD1792&gt;limitePermitido, "ALERTA: EXCESO (" &amp; TEXT(limitePermitido, "0%") &amp; " máx)", "OK"))))</f>
        <v/>
      </c>
      <c r="AP1792" s="79">
        <f>IF(AN1792="","",IF(AE1792=0,"OK",_xlfn.LET(fechaPago, Z1792, fechaFactura, R1792, diasCredito, IF(E1792="Pago inmediato", 0, IFERROR(VALUE(MID(E1792, 1, SEARCH(" ", E1792)-1)),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92" s="79">
        <f>IF(AN1792="","",IF(AND(N1792&gt;0, AG1792&gt;0), IF(Configuración!$K$2="NO", "ALERTA: DESCUENTO DOBLE NO PERMITIDO", "OK"), "OK"))</f>
        <v/>
      </c>
      <c r="AR1792" s="79">
        <f>IF(AN1792="","",IF(OR(AO1792&lt;&gt;"OK", AP1792&lt;&gt;"OK", AQ1792&lt;&gt;"OK"), "⚠️ REVISAR", "OK"))</f>
        <v/>
      </c>
    </row>
    <row r="1793">
      <c r="A1793" s="79">
        <f>IF('Ordenes_Odoo'!A1793="","",'Ordenes_Odoo'!A1793)</f>
        <v/>
      </c>
      <c r="B1793" s="80">
        <f>IF('Ordenes_Odoo'!B1793="","",'Ordenes_Odoo'!B1793)</f>
        <v/>
      </c>
      <c r="C1793" s="79">
        <f>IF('Ordenes_Odoo'!C1793="","",'Ordenes_Odoo'!C1793)</f>
        <v/>
      </c>
      <c r="D1793" s="79">
        <f>IF('Ordenes_Odoo'!D1793="","",'Ordenes_Odoo'!D1793)</f>
        <v/>
      </c>
      <c r="E1793" s="79">
        <f>IF('Ordenes_Odoo'!E1793="","",'Ordenes_Odoo'!E1793)</f>
        <v/>
      </c>
      <c r="F1793" s="79">
        <f>IF('Ordenes_Odoo'!F1793="","",'Ordenes_Odoo'!F1793)</f>
        <v/>
      </c>
      <c r="G1793" s="79">
        <f>IF('Ordenes_Odoo'!G1793="","",'Ordenes_Odoo'!G1793)</f>
        <v/>
      </c>
      <c r="H1793" s="79">
        <f>IF('Ordenes_Odoo'!H1793="","",'Ordenes_Odoo'!H1793)</f>
        <v/>
      </c>
      <c r="I1793" s="79">
        <f>IF('Ordenes_Odoo'!I1793="","",'Ordenes_Odoo'!I1793)</f>
        <v/>
      </c>
      <c r="J1793" s="79">
        <f>IF('Ordenes_Odoo'!J1793="","",'Ordenes_Odoo'!J1793)</f>
        <v/>
      </c>
      <c r="K1793" s="81">
        <f>IF('Ordenes_Odoo'!K1793="","",'Ordenes_Odoo'!K1793)</f>
        <v/>
      </c>
      <c r="L1793" s="81">
        <f>IF('Ordenes_Odoo'!L1793="","",'Ordenes_Odoo'!L1793)</f>
        <v/>
      </c>
      <c r="M1793" s="79">
        <f>IF('Ordenes_Odoo'!M1793="","",'Ordenes_Odoo'!M1793)</f>
        <v/>
      </c>
      <c r="N1793" s="79">
        <f>IF('Ordenes_Odoo'!N1793="","",'Ordenes_Odoo'!N1793)</f>
        <v/>
      </c>
      <c r="O1793" s="81">
        <f>IF('Ordenes_Odoo'!O1793="","",'Ordenes_Odoo'!O1793)</f>
        <v/>
      </c>
      <c r="P1793" s="81">
        <f>IF('Ordenes_Odoo'!P1793="","",'Ordenes_Odoo'!P1793)</f>
        <v/>
      </c>
      <c r="Q1793" s="79">
        <f>IF(A1793="","",IFERROR(INDEX(Facturas_Odoo!$B:$B, MATCH(A1793, Facturas_Odoo!$D:$D, 0)), "Sin Factura"))</f>
        <v/>
      </c>
      <c r="R1793" s="80">
        <f>IF(Q1793="Sin Factura","",IFERROR(INDEX(Facturas_Odoo!$A:$A, MATCH(Q1793, Facturas_Odoo!$B:$B, 0)), ""))</f>
        <v/>
      </c>
      <c r="S1793" s="79">
        <f>IF(Q1793="Sin Factura","",IFERROR(_xlfn.XLOOKUP(1, (Facturas_Odoo!$D:$D=A1793) * (Facturas_Odoo!$K:$K=I1793), Facturas_Odoo!$L:$L, ""), ""))</f>
        <v/>
      </c>
      <c r="T1793" s="81">
        <f>IF(Q1793="Sin Factura",0,IFERROR(_xlfn.XLOOKUP(1, (Facturas_Odoo!$D:$D=A1793) * (Facturas_Odoo!$K:$K=I1793), Facturas_Odoo!$M:$M, 0), 0))</f>
        <v/>
      </c>
      <c r="U1793" s="79">
        <f>IF(Q1793="Sin Factura",0,IFERROR(_xlfn.XLOOKUP(1, (Facturas_Odoo!$D:$D=A1793) * (Facturas_Odoo!$K:$K=I1793), Facturas_Odoo!$N:$N, 0), 0))</f>
        <v/>
      </c>
      <c r="V1793" s="79">
        <f>IF(Q1793="Sin Factura",0,IFERROR(_xlfn.XLOOKUP(1, (Facturas_Odoo!$D:$D=A1793) * (Facturas_Odoo!$K:$K=I1793), Facturas_Odoo!$O:$O, 0), 0))</f>
        <v/>
      </c>
      <c r="W1793" s="81">
        <f>IF(Q1793="Sin Factura",0,IFERROR(_xlfn.XLOOKUP(1, (Facturas_Odoo!$D:$D=A1793) * (Facturas_Odoo!$K:$K=I1793), Facturas_Odoo!$Q:$Q, 0), 0))</f>
        <v/>
      </c>
      <c r="X1793" s="79">
        <f>IF(OR(Q1793="Sin Factura",Q1793=""),"",IFERROR(INDEX(Pagos_Odoo!$B:$B, MATCH(Q1793, Pagos_Odoo!$I:$I, 0)), "Sin Pago"))</f>
        <v/>
      </c>
      <c r="Y1793" s="79">
        <f>IF(X1793="Sin Pago","",IFERROR(INDEX(Pagos_Odoo!$C:$C, MATCH(X1793, Pagos_Odoo!$B:$B, 0)), ""))</f>
        <v/>
      </c>
      <c r="Z1793" s="80">
        <f>IF(X1793="Sin Pago","",IFERROR(INDEX(Pagos_Odoo!$A:$A, MATCH(X1793, Pagos_Odoo!$B:$B, 0)), ""))</f>
        <v/>
      </c>
      <c r="AA1793" s="79">
        <f>IF(X1793="Sin Pago","",IFERROR(INDEX(Pagos_Odoo!$F:$F, MATCH(X1793, Pagos_Odoo!$B:$B, 0)), ""))</f>
        <v/>
      </c>
      <c r="AB1793" s="81">
        <f>IF(X1793="Sin Pago",0,IFERROR(INDEX(Pagos_Odoo!$E:$E, MATCH(X1793, Pagos_Odoo!$B:$B, 0)), 0))</f>
        <v/>
      </c>
      <c r="AC1793" s="79">
        <f>IF(X1793="Sin Pago","",IFERROR(INDEX(Pagos_Odoo!$G:$G, MATCH(X1793, Pagos_Odoo!$B:$B, 0)), ""))</f>
        <v/>
      </c>
      <c r="AD1793" s="82" t="n">
        <v>0</v>
      </c>
      <c r="AE1793" s="82" t="n"/>
      <c r="AF1793" s="82" t="n"/>
      <c r="AG1793" s="82">
        <f>IF(AN1793="","",AD1793+AE1793+AF1793)</f>
        <v/>
      </c>
      <c r="AH1793" s="81">
        <f>IF(AN1793="","",P1793*(1-AG1793))</f>
        <v/>
      </c>
      <c r="AI1793" s="81">
        <f>IF(AN1793="","",IF(Q1793="Sin Factura",0,IFERROR(INDEX(Facturas_Odoo!$H:$H, MATCH(Q1793, Facturas_Odoo!$B:$B, 0)), 0)*(1-AG1793)))</f>
        <v/>
      </c>
      <c r="AJ1793" s="81">
        <f>IF(AN1793="","",_xlfn.LET(idVenta, AN1793&amp;"",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93" s="81">
        <f>IF(AN1793="","",AH1793-AJ1793)</f>
        <v/>
      </c>
      <c r="AL1793" s="81">
        <f>IF(AN1793="","",IF(Q1793="Sin Factura","",AI1793-AJ1793))</f>
        <v/>
      </c>
      <c r="AM1793" s="81">
        <f>IF(AN1793="","",IF(Q1793="Sin Factura",0,P1793-IFERROR(INDEX(Facturas_Odoo!$H:$H, MATCH(Q1793, Facturas_Odoo!$B:$B, 0)), 0)))</f>
        <v/>
      </c>
      <c r="AN1793" s="79">
        <f>IF(AND(A1793="", J1793=""), "", IF(A1793&lt;&gt;"", VALUE(MID(A1793,2,LEN(A1793))), AN1792))</f>
        <v/>
      </c>
      <c r="AO1793" s="79">
        <f>IF(AN1793="","",IF(AD1793=0,"OK",_xlfn.LET(monedaPago, IF(AA1793="","USD",AA1793), limitePermitido, IFERROR(VLOOKUP(monedaPago, Configuración!$A$2:$B$3, 2, FALSE), 0.15), IF(AD1793&gt;limitePermitido, "ALERTA: EXCESO (" &amp; TEXT(limitePermitido, "0%") &amp; " máx)", "OK"))))</f>
        <v/>
      </c>
      <c r="AP1793" s="79">
        <f>IF(AN1793="","",IF(AE1793=0,"OK",_xlfn.LET(fechaPago, Z1793, fechaFactura, R1793, diasCredito, IF(E1793="Pago inmediato", 0, IFERROR(VALUE(MID(E1793, 1, SEARCH(" ", E1793)-1)),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93" s="79">
        <f>IF(AN1793="","",IF(AND(N1793&gt;0, AG1793&gt;0), IF(Configuración!$K$2="NO", "ALERTA: DESCUENTO DOBLE NO PERMITIDO", "OK"), "OK"))</f>
        <v/>
      </c>
      <c r="AR1793" s="79">
        <f>IF(AN1793="","",IF(OR(AO1793&lt;&gt;"OK", AP1793&lt;&gt;"OK", AQ1793&lt;&gt;"OK"), "⚠️ REVISAR", "OK"))</f>
        <v/>
      </c>
    </row>
    <row r="1794">
      <c r="A1794" s="79">
        <f>IF('Ordenes_Odoo'!A1794="","",'Ordenes_Odoo'!A1794)</f>
        <v/>
      </c>
      <c r="B1794" s="80">
        <f>IF('Ordenes_Odoo'!B1794="","",'Ordenes_Odoo'!B1794)</f>
        <v/>
      </c>
      <c r="C1794" s="79">
        <f>IF('Ordenes_Odoo'!C1794="","",'Ordenes_Odoo'!C1794)</f>
        <v/>
      </c>
      <c r="D1794" s="79">
        <f>IF('Ordenes_Odoo'!D1794="","",'Ordenes_Odoo'!D1794)</f>
        <v/>
      </c>
      <c r="E1794" s="79">
        <f>IF('Ordenes_Odoo'!E1794="","",'Ordenes_Odoo'!E1794)</f>
        <v/>
      </c>
      <c r="F1794" s="79">
        <f>IF('Ordenes_Odoo'!F1794="","",'Ordenes_Odoo'!F1794)</f>
        <v/>
      </c>
      <c r="G1794" s="79">
        <f>IF('Ordenes_Odoo'!G1794="","",'Ordenes_Odoo'!G1794)</f>
        <v/>
      </c>
      <c r="H1794" s="79">
        <f>IF('Ordenes_Odoo'!H1794="","",'Ordenes_Odoo'!H1794)</f>
        <v/>
      </c>
      <c r="I1794" s="79">
        <f>IF('Ordenes_Odoo'!I1794="","",'Ordenes_Odoo'!I1794)</f>
        <v/>
      </c>
      <c r="J1794" s="79">
        <f>IF('Ordenes_Odoo'!J1794="","",'Ordenes_Odoo'!J1794)</f>
        <v/>
      </c>
      <c r="K1794" s="81">
        <f>IF('Ordenes_Odoo'!K1794="","",'Ordenes_Odoo'!K1794)</f>
        <v/>
      </c>
      <c r="L1794" s="81">
        <f>IF('Ordenes_Odoo'!L1794="","",'Ordenes_Odoo'!L1794)</f>
        <v/>
      </c>
      <c r="M1794" s="79">
        <f>IF('Ordenes_Odoo'!M1794="","",'Ordenes_Odoo'!M1794)</f>
        <v/>
      </c>
      <c r="N1794" s="79">
        <f>IF('Ordenes_Odoo'!N1794="","",'Ordenes_Odoo'!N1794)</f>
        <v/>
      </c>
      <c r="O1794" s="81">
        <f>IF('Ordenes_Odoo'!O1794="","",'Ordenes_Odoo'!O1794)</f>
        <v/>
      </c>
      <c r="P1794" s="81">
        <f>IF('Ordenes_Odoo'!P1794="","",'Ordenes_Odoo'!P1794)</f>
        <v/>
      </c>
      <c r="Q1794" s="79">
        <f>IF(A1794="","",IFERROR(INDEX(Facturas_Odoo!$B:$B, MATCH(A1794, Facturas_Odoo!$D:$D, 0)), "Sin Factura"))</f>
        <v/>
      </c>
      <c r="R1794" s="80">
        <f>IF(Q1794="Sin Factura","",IFERROR(INDEX(Facturas_Odoo!$A:$A, MATCH(Q1794, Facturas_Odoo!$B:$B, 0)), ""))</f>
        <v/>
      </c>
      <c r="S1794" s="79">
        <f>IF(Q1794="Sin Factura","",IFERROR(_xlfn.XLOOKUP(1, (Facturas_Odoo!$D:$D=A1794) * (Facturas_Odoo!$K:$K=I1794), Facturas_Odoo!$L:$L, ""), ""))</f>
        <v/>
      </c>
      <c r="T1794" s="81">
        <f>IF(Q1794="Sin Factura",0,IFERROR(_xlfn.XLOOKUP(1, (Facturas_Odoo!$D:$D=A1794) * (Facturas_Odoo!$K:$K=I1794), Facturas_Odoo!$M:$M, 0), 0))</f>
        <v/>
      </c>
      <c r="U1794" s="79">
        <f>IF(Q1794="Sin Factura",0,IFERROR(_xlfn.XLOOKUP(1, (Facturas_Odoo!$D:$D=A1794) * (Facturas_Odoo!$K:$K=I1794), Facturas_Odoo!$N:$N, 0), 0))</f>
        <v/>
      </c>
      <c r="V1794" s="79">
        <f>IF(Q1794="Sin Factura",0,IFERROR(_xlfn.XLOOKUP(1, (Facturas_Odoo!$D:$D=A1794) * (Facturas_Odoo!$K:$K=I1794), Facturas_Odoo!$O:$O, 0), 0))</f>
        <v/>
      </c>
      <c r="W1794" s="81">
        <f>IF(Q1794="Sin Factura",0,IFERROR(_xlfn.XLOOKUP(1, (Facturas_Odoo!$D:$D=A1794) * (Facturas_Odoo!$K:$K=I1794), Facturas_Odoo!$Q:$Q, 0), 0))</f>
        <v/>
      </c>
      <c r="X1794" s="79">
        <f>IF(OR(Q1794="Sin Factura",Q1794=""),"",IFERROR(INDEX(Pagos_Odoo!$B:$B, MATCH(Q1794, Pagos_Odoo!$I:$I, 0)), "Sin Pago"))</f>
        <v/>
      </c>
      <c r="Y1794" s="79">
        <f>IF(X1794="Sin Pago","",IFERROR(INDEX(Pagos_Odoo!$C:$C, MATCH(X1794, Pagos_Odoo!$B:$B, 0)), ""))</f>
        <v/>
      </c>
      <c r="Z1794" s="80">
        <f>IF(X1794="Sin Pago","",IFERROR(INDEX(Pagos_Odoo!$A:$A, MATCH(X1794, Pagos_Odoo!$B:$B, 0)), ""))</f>
        <v/>
      </c>
      <c r="AA1794" s="79">
        <f>IF(X1794="Sin Pago","",IFERROR(INDEX(Pagos_Odoo!$F:$F, MATCH(X1794, Pagos_Odoo!$B:$B, 0)), ""))</f>
        <v/>
      </c>
      <c r="AB1794" s="81">
        <f>IF(X1794="Sin Pago",0,IFERROR(INDEX(Pagos_Odoo!$E:$E, MATCH(X1794, Pagos_Odoo!$B:$B, 0)), 0))</f>
        <v/>
      </c>
      <c r="AC1794" s="79">
        <f>IF(X1794="Sin Pago","",IFERROR(INDEX(Pagos_Odoo!$G:$G, MATCH(X1794, Pagos_Odoo!$B:$B, 0)), ""))</f>
        <v/>
      </c>
      <c r="AD1794" s="82" t="n">
        <v>0</v>
      </c>
      <c r="AE1794" s="82" t="n"/>
      <c r="AF1794" s="82" t="n"/>
      <c r="AG1794" s="82">
        <f>IF(AN1794="","",AD1794+AE1794+AF1794)</f>
        <v/>
      </c>
      <c r="AH1794" s="81">
        <f>IF(AN1794="","",P1794*(1-AG1794))</f>
        <v/>
      </c>
      <c r="AI1794" s="81">
        <f>IF(AN1794="","",IF(Q1794="Sin Factura",0,IFERROR(INDEX(Facturas_Odoo!$H:$H, MATCH(Q1794, Facturas_Odoo!$B:$B, 0)), 0)*(1-AG1794)))</f>
        <v/>
      </c>
      <c r="AJ1794" s="81">
        <f>IF(AN1794="","",_xlfn.LET(idVenta, AN1794&amp;"",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94" s="81">
        <f>IF(AN1794="","",AH1794-AJ1794)</f>
        <v/>
      </c>
      <c r="AL1794" s="81">
        <f>IF(AN1794="","",IF(Q1794="Sin Factura","",AI1794-AJ1794))</f>
        <v/>
      </c>
      <c r="AM1794" s="81">
        <f>IF(AN1794="","",IF(Q1794="Sin Factura",0,P1794-IFERROR(INDEX(Facturas_Odoo!$H:$H, MATCH(Q1794, Facturas_Odoo!$B:$B, 0)), 0)))</f>
        <v/>
      </c>
      <c r="AN1794" s="79">
        <f>IF(AND(A1794="", J1794=""), "", IF(A1794&lt;&gt;"", VALUE(MID(A1794,2,LEN(A1794))), AN1793))</f>
        <v/>
      </c>
      <c r="AO1794" s="79">
        <f>IF(AN1794="","",IF(AD1794=0,"OK",_xlfn.LET(monedaPago, IF(AA1794="","USD",AA1794), limitePermitido, IFERROR(VLOOKUP(monedaPago, Configuración!$A$2:$B$3, 2, FALSE), 0.15), IF(AD1794&gt;limitePermitido, "ALERTA: EXCESO (" &amp; TEXT(limitePermitido, "0%") &amp; " máx)", "OK"))))</f>
        <v/>
      </c>
      <c r="AP1794" s="79">
        <f>IF(AN1794="","",IF(AE1794=0,"OK",_xlfn.LET(fechaPago, Z1794, fechaFactura, R1794, diasCredito, IF(E1794="Pago inmediato", 0, IFERROR(VALUE(MID(E1794, 1, SEARCH(" ", E1794)-1)),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94" s="79">
        <f>IF(AN1794="","",IF(AND(N1794&gt;0, AG1794&gt;0), IF(Configuración!$K$2="NO", "ALERTA: DESCUENTO DOBLE NO PERMITIDO", "OK"), "OK"))</f>
        <v/>
      </c>
      <c r="AR1794" s="79">
        <f>IF(AN1794="","",IF(OR(AO1794&lt;&gt;"OK", AP1794&lt;&gt;"OK", AQ1794&lt;&gt;"OK"), "⚠️ REVISAR", "OK"))</f>
        <v/>
      </c>
    </row>
    <row r="1795">
      <c r="A1795" s="79">
        <f>IF('Ordenes_Odoo'!A1795="","",'Ordenes_Odoo'!A1795)</f>
        <v/>
      </c>
      <c r="B1795" s="80">
        <f>IF('Ordenes_Odoo'!B1795="","",'Ordenes_Odoo'!B1795)</f>
        <v/>
      </c>
      <c r="C1795" s="79">
        <f>IF('Ordenes_Odoo'!C1795="","",'Ordenes_Odoo'!C1795)</f>
        <v/>
      </c>
      <c r="D1795" s="79">
        <f>IF('Ordenes_Odoo'!D1795="","",'Ordenes_Odoo'!D1795)</f>
        <v/>
      </c>
      <c r="E1795" s="79">
        <f>IF('Ordenes_Odoo'!E1795="","",'Ordenes_Odoo'!E1795)</f>
        <v/>
      </c>
      <c r="F1795" s="79">
        <f>IF('Ordenes_Odoo'!F1795="","",'Ordenes_Odoo'!F1795)</f>
        <v/>
      </c>
      <c r="G1795" s="79">
        <f>IF('Ordenes_Odoo'!G1795="","",'Ordenes_Odoo'!G1795)</f>
        <v/>
      </c>
      <c r="H1795" s="79">
        <f>IF('Ordenes_Odoo'!H1795="","",'Ordenes_Odoo'!H1795)</f>
        <v/>
      </c>
      <c r="I1795" s="79">
        <f>IF('Ordenes_Odoo'!I1795="","",'Ordenes_Odoo'!I1795)</f>
        <v/>
      </c>
      <c r="J1795" s="79">
        <f>IF('Ordenes_Odoo'!J1795="","",'Ordenes_Odoo'!J1795)</f>
        <v/>
      </c>
      <c r="K1795" s="81">
        <f>IF('Ordenes_Odoo'!K1795="","",'Ordenes_Odoo'!K1795)</f>
        <v/>
      </c>
      <c r="L1795" s="81">
        <f>IF('Ordenes_Odoo'!L1795="","",'Ordenes_Odoo'!L1795)</f>
        <v/>
      </c>
      <c r="M1795" s="79">
        <f>IF('Ordenes_Odoo'!M1795="","",'Ordenes_Odoo'!M1795)</f>
        <v/>
      </c>
      <c r="N1795" s="79">
        <f>IF('Ordenes_Odoo'!N1795="","",'Ordenes_Odoo'!N1795)</f>
        <v/>
      </c>
      <c r="O1795" s="81">
        <f>IF('Ordenes_Odoo'!O1795="","",'Ordenes_Odoo'!O1795)</f>
        <v/>
      </c>
      <c r="P1795" s="81">
        <f>IF('Ordenes_Odoo'!P1795="","",'Ordenes_Odoo'!P1795)</f>
        <v/>
      </c>
      <c r="Q1795" s="79">
        <f>IF(A1795="","",IFERROR(INDEX(Facturas_Odoo!$B:$B, MATCH(A1795, Facturas_Odoo!$D:$D, 0)), "Sin Factura"))</f>
        <v/>
      </c>
      <c r="R1795" s="80">
        <f>IF(Q1795="Sin Factura","",IFERROR(INDEX(Facturas_Odoo!$A:$A, MATCH(Q1795, Facturas_Odoo!$B:$B, 0)), ""))</f>
        <v/>
      </c>
      <c r="S1795" s="79">
        <f>IF(Q1795="Sin Factura","",IFERROR(_xlfn.XLOOKUP(1, (Facturas_Odoo!$D:$D=A1795) * (Facturas_Odoo!$K:$K=I1795), Facturas_Odoo!$L:$L, ""), ""))</f>
        <v/>
      </c>
      <c r="T1795" s="81">
        <f>IF(Q1795="Sin Factura",0,IFERROR(_xlfn.XLOOKUP(1, (Facturas_Odoo!$D:$D=A1795) * (Facturas_Odoo!$K:$K=I1795), Facturas_Odoo!$M:$M, 0), 0))</f>
        <v/>
      </c>
      <c r="U1795" s="79">
        <f>IF(Q1795="Sin Factura",0,IFERROR(_xlfn.XLOOKUP(1, (Facturas_Odoo!$D:$D=A1795) * (Facturas_Odoo!$K:$K=I1795), Facturas_Odoo!$N:$N, 0), 0))</f>
        <v/>
      </c>
      <c r="V1795" s="79">
        <f>IF(Q1795="Sin Factura",0,IFERROR(_xlfn.XLOOKUP(1, (Facturas_Odoo!$D:$D=A1795) * (Facturas_Odoo!$K:$K=I1795), Facturas_Odoo!$O:$O, 0), 0))</f>
        <v/>
      </c>
      <c r="W1795" s="81">
        <f>IF(Q1795="Sin Factura",0,IFERROR(_xlfn.XLOOKUP(1, (Facturas_Odoo!$D:$D=A1795) * (Facturas_Odoo!$K:$K=I1795), Facturas_Odoo!$Q:$Q, 0), 0))</f>
        <v/>
      </c>
      <c r="X1795" s="79">
        <f>IF(OR(Q1795="Sin Factura",Q1795=""),"",IFERROR(INDEX(Pagos_Odoo!$B:$B, MATCH(Q1795, Pagos_Odoo!$I:$I, 0)), "Sin Pago"))</f>
        <v/>
      </c>
      <c r="Y1795" s="79">
        <f>IF(X1795="Sin Pago","",IFERROR(INDEX(Pagos_Odoo!$C:$C, MATCH(X1795, Pagos_Odoo!$B:$B, 0)), ""))</f>
        <v/>
      </c>
      <c r="Z1795" s="80">
        <f>IF(X1795="Sin Pago","",IFERROR(INDEX(Pagos_Odoo!$A:$A, MATCH(X1795, Pagos_Odoo!$B:$B, 0)), ""))</f>
        <v/>
      </c>
      <c r="AA1795" s="79">
        <f>IF(X1795="Sin Pago","",IFERROR(INDEX(Pagos_Odoo!$F:$F, MATCH(X1795, Pagos_Odoo!$B:$B, 0)), ""))</f>
        <v/>
      </c>
      <c r="AB1795" s="81">
        <f>IF(X1795="Sin Pago",0,IFERROR(INDEX(Pagos_Odoo!$E:$E, MATCH(X1795, Pagos_Odoo!$B:$B, 0)), 0))</f>
        <v/>
      </c>
      <c r="AC1795" s="79">
        <f>IF(X1795="Sin Pago","",IFERROR(INDEX(Pagos_Odoo!$G:$G, MATCH(X1795, Pagos_Odoo!$B:$B, 0)), ""))</f>
        <v/>
      </c>
      <c r="AD1795" s="82" t="n">
        <v>0</v>
      </c>
      <c r="AE1795" s="82" t="n"/>
      <c r="AF1795" s="82" t="n"/>
      <c r="AG1795" s="82">
        <f>IF(AN1795="","",AD1795+AE1795+AF1795)</f>
        <v/>
      </c>
      <c r="AH1795" s="81">
        <f>IF(AN1795="","",P1795*(1-AG1795))</f>
        <v/>
      </c>
      <c r="AI1795" s="81">
        <f>IF(AN1795="","",IF(Q1795="Sin Factura",0,IFERROR(INDEX(Facturas_Odoo!$H:$H, MATCH(Q1795, Facturas_Odoo!$B:$B, 0)), 0)*(1-AG1795)))</f>
        <v/>
      </c>
      <c r="AJ1795" s="81">
        <f>IF(AN1795="","",_xlfn.LET(idVenta, AN1795&amp;"",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95" s="81">
        <f>IF(AN1795="","",AH1795-AJ1795)</f>
        <v/>
      </c>
      <c r="AL1795" s="81">
        <f>IF(AN1795="","",IF(Q1795="Sin Factura","",AI1795-AJ1795))</f>
        <v/>
      </c>
      <c r="AM1795" s="81">
        <f>IF(AN1795="","",IF(Q1795="Sin Factura",0,P1795-IFERROR(INDEX(Facturas_Odoo!$H:$H, MATCH(Q1795, Facturas_Odoo!$B:$B, 0)), 0)))</f>
        <v/>
      </c>
      <c r="AN1795" s="79">
        <f>IF(AND(A1795="", J1795=""), "", IF(A1795&lt;&gt;"", VALUE(MID(A1795,2,LEN(A1795))), AN1794))</f>
        <v/>
      </c>
      <c r="AO1795" s="79">
        <f>IF(AN1795="","",IF(AD1795=0,"OK",_xlfn.LET(monedaPago, IF(AA1795="","USD",AA1795), limitePermitido, IFERROR(VLOOKUP(monedaPago, Configuración!$A$2:$B$3, 2, FALSE), 0.15), IF(AD1795&gt;limitePermitido, "ALERTA: EXCESO (" &amp; TEXT(limitePermitido, "0%") &amp; " máx)", "OK"))))</f>
        <v/>
      </c>
      <c r="AP1795" s="79">
        <f>IF(AN1795="","",IF(AE1795=0,"OK",_xlfn.LET(fechaPago, Z1795, fechaFactura, R1795, diasCredito, IF(E1795="Pago inmediato", 0, IFERROR(VALUE(MID(E1795, 1, SEARCH(" ", E1795)-1)),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95" s="79">
        <f>IF(AN1795="","",IF(AND(N1795&gt;0, AG1795&gt;0), IF(Configuración!$K$2="NO", "ALERTA: DESCUENTO DOBLE NO PERMITIDO", "OK"), "OK"))</f>
        <v/>
      </c>
      <c r="AR1795" s="79">
        <f>IF(AN1795="","",IF(OR(AO1795&lt;&gt;"OK", AP1795&lt;&gt;"OK", AQ1795&lt;&gt;"OK"), "⚠️ REVISAR", "OK"))</f>
        <v/>
      </c>
    </row>
    <row r="1796">
      <c r="A1796" s="79">
        <f>IF('Ordenes_Odoo'!A1796="","",'Ordenes_Odoo'!A1796)</f>
        <v/>
      </c>
      <c r="B1796" s="80">
        <f>IF('Ordenes_Odoo'!B1796="","",'Ordenes_Odoo'!B1796)</f>
        <v/>
      </c>
      <c r="C1796" s="79">
        <f>IF('Ordenes_Odoo'!C1796="","",'Ordenes_Odoo'!C1796)</f>
        <v/>
      </c>
      <c r="D1796" s="79">
        <f>IF('Ordenes_Odoo'!D1796="","",'Ordenes_Odoo'!D1796)</f>
        <v/>
      </c>
      <c r="E1796" s="79">
        <f>IF('Ordenes_Odoo'!E1796="","",'Ordenes_Odoo'!E1796)</f>
        <v/>
      </c>
      <c r="F1796" s="79">
        <f>IF('Ordenes_Odoo'!F1796="","",'Ordenes_Odoo'!F1796)</f>
        <v/>
      </c>
      <c r="G1796" s="79">
        <f>IF('Ordenes_Odoo'!G1796="","",'Ordenes_Odoo'!G1796)</f>
        <v/>
      </c>
      <c r="H1796" s="79">
        <f>IF('Ordenes_Odoo'!H1796="","",'Ordenes_Odoo'!H1796)</f>
        <v/>
      </c>
      <c r="I1796" s="79">
        <f>IF('Ordenes_Odoo'!I1796="","",'Ordenes_Odoo'!I1796)</f>
        <v/>
      </c>
      <c r="J1796" s="79">
        <f>IF('Ordenes_Odoo'!J1796="","",'Ordenes_Odoo'!J1796)</f>
        <v/>
      </c>
      <c r="K1796" s="81">
        <f>IF('Ordenes_Odoo'!K1796="","",'Ordenes_Odoo'!K1796)</f>
        <v/>
      </c>
      <c r="L1796" s="81">
        <f>IF('Ordenes_Odoo'!L1796="","",'Ordenes_Odoo'!L1796)</f>
        <v/>
      </c>
      <c r="M1796" s="79">
        <f>IF('Ordenes_Odoo'!M1796="","",'Ordenes_Odoo'!M1796)</f>
        <v/>
      </c>
      <c r="N1796" s="79">
        <f>IF('Ordenes_Odoo'!N1796="","",'Ordenes_Odoo'!N1796)</f>
        <v/>
      </c>
      <c r="O1796" s="81">
        <f>IF('Ordenes_Odoo'!O1796="","",'Ordenes_Odoo'!O1796)</f>
        <v/>
      </c>
      <c r="P1796" s="81">
        <f>IF('Ordenes_Odoo'!P1796="","",'Ordenes_Odoo'!P1796)</f>
        <v/>
      </c>
      <c r="Q1796" s="79">
        <f>IF(A1796="","",IFERROR(INDEX(Facturas_Odoo!$B:$B, MATCH(A1796, Facturas_Odoo!$D:$D, 0)), "Sin Factura"))</f>
        <v/>
      </c>
      <c r="R1796" s="80">
        <f>IF(Q1796="Sin Factura","",IFERROR(INDEX(Facturas_Odoo!$A:$A, MATCH(Q1796, Facturas_Odoo!$B:$B, 0)), ""))</f>
        <v/>
      </c>
      <c r="S1796" s="79">
        <f>IF(Q1796="Sin Factura","",IFERROR(_xlfn.XLOOKUP(1, (Facturas_Odoo!$D:$D=A1796) * (Facturas_Odoo!$K:$K=I1796), Facturas_Odoo!$L:$L, ""), ""))</f>
        <v/>
      </c>
      <c r="T1796" s="81">
        <f>IF(Q1796="Sin Factura",0,IFERROR(_xlfn.XLOOKUP(1, (Facturas_Odoo!$D:$D=A1796) * (Facturas_Odoo!$K:$K=I1796), Facturas_Odoo!$M:$M, 0), 0))</f>
        <v/>
      </c>
      <c r="U1796" s="79">
        <f>IF(Q1796="Sin Factura",0,IFERROR(_xlfn.XLOOKUP(1, (Facturas_Odoo!$D:$D=A1796) * (Facturas_Odoo!$K:$K=I1796), Facturas_Odoo!$N:$N, 0), 0))</f>
        <v/>
      </c>
      <c r="V1796" s="79">
        <f>IF(Q1796="Sin Factura",0,IFERROR(_xlfn.XLOOKUP(1, (Facturas_Odoo!$D:$D=A1796) * (Facturas_Odoo!$K:$K=I1796), Facturas_Odoo!$O:$O, 0), 0))</f>
        <v/>
      </c>
      <c r="W1796" s="81">
        <f>IF(Q1796="Sin Factura",0,IFERROR(_xlfn.XLOOKUP(1, (Facturas_Odoo!$D:$D=A1796) * (Facturas_Odoo!$K:$K=I1796), Facturas_Odoo!$Q:$Q, 0), 0))</f>
        <v/>
      </c>
      <c r="X1796" s="79">
        <f>IF(OR(Q1796="Sin Factura",Q1796=""),"",IFERROR(INDEX(Pagos_Odoo!$B:$B, MATCH(Q1796, Pagos_Odoo!$I:$I, 0)), "Sin Pago"))</f>
        <v/>
      </c>
      <c r="Y1796" s="79">
        <f>IF(X1796="Sin Pago","",IFERROR(INDEX(Pagos_Odoo!$C:$C, MATCH(X1796, Pagos_Odoo!$B:$B, 0)), ""))</f>
        <v/>
      </c>
      <c r="Z1796" s="80">
        <f>IF(X1796="Sin Pago","",IFERROR(INDEX(Pagos_Odoo!$A:$A, MATCH(X1796, Pagos_Odoo!$B:$B, 0)), ""))</f>
        <v/>
      </c>
      <c r="AA1796" s="79">
        <f>IF(X1796="Sin Pago","",IFERROR(INDEX(Pagos_Odoo!$F:$F, MATCH(X1796, Pagos_Odoo!$B:$B, 0)), ""))</f>
        <v/>
      </c>
      <c r="AB1796" s="81">
        <f>IF(X1796="Sin Pago",0,IFERROR(INDEX(Pagos_Odoo!$E:$E, MATCH(X1796, Pagos_Odoo!$B:$B, 0)), 0))</f>
        <v/>
      </c>
      <c r="AC1796" s="79">
        <f>IF(X1796="Sin Pago","",IFERROR(INDEX(Pagos_Odoo!$G:$G, MATCH(X1796, Pagos_Odoo!$B:$B, 0)), ""))</f>
        <v/>
      </c>
      <c r="AD1796" s="82" t="n">
        <v>0</v>
      </c>
      <c r="AE1796" s="82" t="n"/>
      <c r="AF1796" s="82" t="n"/>
      <c r="AG1796" s="82">
        <f>IF(AN1796="","",AD1796+AE1796+AF1796)</f>
        <v/>
      </c>
      <c r="AH1796" s="81">
        <f>IF(AN1796="","",P1796*(1-AG1796))</f>
        <v/>
      </c>
      <c r="AI1796" s="81">
        <f>IF(AN1796="","",IF(Q1796="Sin Factura",0,IFERROR(INDEX(Facturas_Odoo!$H:$H, MATCH(Q1796, Facturas_Odoo!$B:$B, 0)), 0)*(1-AG1796)))</f>
        <v/>
      </c>
      <c r="AJ1796" s="81">
        <f>IF(AN1796="","",_xlfn.LET(idVenta, AN1796&amp;"",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96" s="81">
        <f>IF(AN1796="","",AH1796-AJ1796)</f>
        <v/>
      </c>
      <c r="AL1796" s="81">
        <f>IF(AN1796="","",IF(Q1796="Sin Factura","",AI1796-AJ1796))</f>
        <v/>
      </c>
      <c r="AM1796" s="81">
        <f>IF(AN1796="","",IF(Q1796="Sin Factura",0,P1796-IFERROR(INDEX(Facturas_Odoo!$H:$H, MATCH(Q1796, Facturas_Odoo!$B:$B, 0)), 0)))</f>
        <v/>
      </c>
      <c r="AN1796" s="79">
        <f>IF(AND(A1796="", J1796=""), "", IF(A1796&lt;&gt;"", VALUE(MID(A1796,2,LEN(A1796))), AN1795))</f>
        <v/>
      </c>
      <c r="AO1796" s="79">
        <f>IF(AN1796="","",IF(AD1796=0,"OK",_xlfn.LET(monedaPago, IF(AA1796="","USD",AA1796), limitePermitido, IFERROR(VLOOKUP(monedaPago, Configuración!$A$2:$B$3, 2, FALSE), 0.15), IF(AD1796&gt;limitePermitido, "ALERTA: EXCESO (" &amp; TEXT(limitePermitido, "0%") &amp; " máx)", "OK"))))</f>
        <v/>
      </c>
      <c r="AP1796" s="79">
        <f>IF(AN1796="","",IF(AE1796=0,"OK",_xlfn.LET(fechaPago, Z1796, fechaFactura, R1796, diasCredito, IF(E1796="Pago inmediato", 0, IFERROR(VALUE(MID(E1796, 1, SEARCH(" ", E1796)-1)),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96" s="79">
        <f>IF(AN1796="","",IF(AND(N1796&gt;0, AG1796&gt;0), IF(Configuración!$K$2="NO", "ALERTA: DESCUENTO DOBLE NO PERMITIDO", "OK"), "OK"))</f>
        <v/>
      </c>
      <c r="AR1796" s="79">
        <f>IF(AN1796="","",IF(OR(AO1796&lt;&gt;"OK", AP1796&lt;&gt;"OK", AQ1796&lt;&gt;"OK"), "⚠️ REVISAR", "OK"))</f>
        <v/>
      </c>
    </row>
    <row r="1797">
      <c r="A1797" s="79">
        <f>IF('Ordenes_Odoo'!A1797="","",'Ordenes_Odoo'!A1797)</f>
        <v/>
      </c>
      <c r="B1797" s="80">
        <f>IF('Ordenes_Odoo'!B1797="","",'Ordenes_Odoo'!B1797)</f>
        <v/>
      </c>
      <c r="C1797" s="79">
        <f>IF('Ordenes_Odoo'!C1797="","",'Ordenes_Odoo'!C1797)</f>
        <v/>
      </c>
      <c r="D1797" s="79">
        <f>IF('Ordenes_Odoo'!D1797="","",'Ordenes_Odoo'!D1797)</f>
        <v/>
      </c>
      <c r="E1797" s="79">
        <f>IF('Ordenes_Odoo'!E1797="","",'Ordenes_Odoo'!E1797)</f>
        <v/>
      </c>
      <c r="F1797" s="79">
        <f>IF('Ordenes_Odoo'!F1797="","",'Ordenes_Odoo'!F1797)</f>
        <v/>
      </c>
      <c r="G1797" s="79">
        <f>IF('Ordenes_Odoo'!G1797="","",'Ordenes_Odoo'!G1797)</f>
        <v/>
      </c>
      <c r="H1797" s="79">
        <f>IF('Ordenes_Odoo'!H1797="","",'Ordenes_Odoo'!H1797)</f>
        <v/>
      </c>
      <c r="I1797" s="79">
        <f>IF('Ordenes_Odoo'!I1797="","",'Ordenes_Odoo'!I1797)</f>
        <v/>
      </c>
      <c r="J1797" s="79">
        <f>IF('Ordenes_Odoo'!J1797="","",'Ordenes_Odoo'!J1797)</f>
        <v/>
      </c>
      <c r="K1797" s="81">
        <f>IF('Ordenes_Odoo'!K1797="","",'Ordenes_Odoo'!K1797)</f>
        <v/>
      </c>
      <c r="L1797" s="81">
        <f>IF('Ordenes_Odoo'!L1797="","",'Ordenes_Odoo'!L1797)</f>
        <v/>
      </c>
      <c r="M1797" s="79">
        <f>IF('Ordenes_Odoo'!M1797="","",'Ordenes_Odoo'!M1797)</f>
        <v/>
      </c>
      <c r="N1797" s="79">
        <f>IF('Ordenes_Odoo'!N1797="","",'Ordenes_Odoo'!N1797)</f>
        <v/>
      </c>
      <c r="O1797" s="81">
        <f>IF('Ordenes_Odoo'!O1797="","",'Ordenes_Odoo'!O1797)</f>
        <v/>
      </c>
      <c r="P1797" s="81">
        <f>IF('Ordenes_Odoo'!P1797="","",'Ordenes_Odoo'!P1797)</f>
        <v/>
      </c>
      <c r="Q1797" s="79">
        <f>IF(A1797="","",IFERROR(INDEX(Facturas_Odoo!$B:$B, MATCH(A1797, Facturas_Odoo!$D:$D, 0)), "Sin Factura"))</f>
        <v/>
      </c>
      <c r="R1797" s="80">
        <f>IF(Q1797="Sin Factura","",IFERROR(INDEX(Facturas_Odoo!$A:$A, MATCH(Q1797, Facturas_Odoo!$B:$B, 0)), ""))</f>
        <v/>
      </c>
      <c r="S1797" s="79">
        <f>IF(Q1797="Sin Factura","",IFERROR(_xlfn.XLOOKUP(1, (Facturas_Odoo!$D:$D=A1797) * (Facturas_Odoo!$K:$K=I1797), Facturas_Odoo!$L:$L, ""), ""))</f>
        <v/>
      </c>
      <c r="T1797" s="81">
        <f>IF(Q1797="Sin Factura",0,IFERROR(_xlfn.XLOOKUP(1, (Facturas_Odoo!$D:$D=A1797) * (Facturas_Odoo!$K:$K=I1797), Facturas_Odoo!$M:$M, 0), 0))</f>
        <v/>
      </c>
      <c r="U1797" s="79">
        <f>IF(Q1797="Sin Factura",0,IFERROR(_xlfn.XLOOKUP(1, (Facturas_Odoo!$D:$D=A1797) * (Facturas_Odoo!$K:$K=I1797), Facturas_Odoo!$N:$N, 0), 0))</f>
        <v/>
      </c>
      <c r="V1797" s="79">
        <f>IF(Q1797="Sin Factura",0,IFERROR(_xlfn.XLOOKUP(1, (Facturas_Odoo!$D:$D=A1797) * (Facturas_Odoo!$K:$K=I1797), Facturas_Odoo!$O:$O, 0), 0))</f>
        <v/>
      </c>
      <c r="W1797" s="81">
        <f>IF(Q1797="Sin Factura",0,IFERROR(_xlfn.XLOOKUP(1, (Facturas_Odoo!$D:$D=A1797) * (Facturas_Odoo!$K:$K=I1797), Facturas_Odoo!$Q:$Q, 0), 0))</f>
        <v/>
      </c>
      <c r="X1797" s="79">
        <f>IF(OR(Q1797="Sin Factura",Q1797=""),"",IFERROR(INDEX(Pagos_Odoo!$B:$B, MATCH(Q1797, Pagos_Odoo!$I:$I, 0)), "Sin Pago"))</f>
        <v/>
      </c>
      <c r="Y1797" s="79">
        <f>IF(X1797="Sin Pago","",IFERROR(INDEX(Pagos_Odoo!$C:$C, MATCH(X1797, Pagos_Odoo!$B:$B, 0)), ""))</f>
        <v/>
      </c>
      <c r="Z1797" s="80">
        <f>IF(X1797="Sin Pago","",IFERROR(INDEX(Pagos_Odoo!$A:$A, MATCH(X1797, Pagos_Odoo!$B:$B, 0)), ""))</f>
        <v/>
      </c>
      <c r="AA1797" s="79">
        <f>IF(X1797="Sin Pago","",IFERROR(INDEX(Pagos_Odoo!$F:$F, MATCH(X1797, Pagos_Odoo!$B:$B, 0)), ""))</f>
        <v/>
      </c>
      <c r="AB1797" s="81">
        <f>IF(X1797="Sin Pago",0,IFERROR(INDEX(Pagos_Odoo!$E:$E, MATCH(X1797, Pagos_Odoo!$B:$B, 0)), 0))</f>
        <v/>
      </c>
      <c r="AC1797" s="79">
        <f>IF(X1797="Sin Pago","",IFERROR(INDEX(Pagos_Odoo!$G:$G, MATCH(X1797, Pagos_Odoo!$B:$B, 0)), ""))</f>
        <v/>
      </c>
      <c r="AD1797" s="82" t="n">
        <v>0</v>
      </c>
      <c r="AE1797" s="82" t="n"/>
      <c r="AF1797" s="82" t="n"/>
      <c r="AG1797" s="82">
        <f>IF(AN1797="","",AD1797+AE1797+AF1797)</f>
        <v/>
      </c>
      <c r="AH1797" s="81">
        <f>IF(AN1797="","",P1797*(1-AG1797))</f>
        <v/>
      </c>
      <c r="AI1797" s="81">
        <f>IF(AN1797="","",IF(Q1797="Sin Factura",0,IFERROR(INDEX(Facturas_Odoo!$H:$H, MATCH(Q1797, Facturas_Odoo!$B:$B, 0)), 0)*(1-AG1797)))</f>
        <v/>
      </c>
      <c r="AJ1797" s="81">
        <f>IF(AN1797="","",_xlfn.LET(idVenta, AN1797&amp;"",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97" s="81">
        <f>IF(AN1797="","",AH1797-AJ1797)</f>
        <v/>
      </c>
      <c r="AL1797" s="81">
        <f>IF(AN1797="","",IF(Q1797="Sin Factura","",AI1797-AJ1797))</f>
        <v/>
      </c>
      <c r="AM1797" s="81">
        <f>IF(AN1797="","",IF(Q1797="Sin Factura",0,P1797-IFERROR(INDEX(Facturas_Odoo!$H:$H, MATCH(Q1797, Facturas_Odoo!$B:$B, 0)), 0)))</f>
        <v/>
      </c>
      <c r="AN1797" s="79">
        <f>IF(AND(A1797="", J1797=""), "", IF(A1797&lt;&gt;"", VALUE(MID(A1797,2,LEN(A1797))), AN1796))</f>
        <v/>
      </c>
      <c r="AO1797" s="79">
        <f>IF(AN1797="","",IF(AD1797=0,"OK",_xlfn.LET(monedaPago, IF(AA1797="","USD",AA1797), limitePermitido, IFERROR(VLOOKUP(monedaPago, Configuración!$A$2:$B$3, 2, FALSE), 0.15), IF(AD1797&gt;limitePermitido, "ALERTA: EXCESO (" &amp; TEXT(limitePermitido, "0%") &amp; " máx)", "OK"))))</f>
        <v/>
      </c>
      <c r="AP1797" s="79">
        <f>IF(AN1797="","",IF(AE1797=0,"OK",_xlfn.LET(fechaPago, Z1797, fechaFactura, R1797, diasCredito, IF(E1797="Pago inmediato", 0, IFERROR(VALUE(MID(E1797, 1, SEARCH(" ", E1797)-1)),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97" s="79">
        <f>IF(AN1797="","",IF(AND(N1797&gt;0, AG1797&gt;0), IF(Configuración!$K$2="NO", "ALERTA: DESCUENTO DOBLE NO PERMITIDO", "OK"), "OK"))</f>
        <v/>
      </c>
      <c r="AR1797" s="79">
        <f>IF(AN1797="","",IF(OR(AO1797&lt;&gt;"OK", AP1797&lt;&gt;"OK", AQ1797&lt;&gt;"OK"), "⚠️ REVISAR", "OK"))</f>
        <v/>
      </c>
    </row>
    <row r="1798">
      <c r="A1798" s="79">
        <f>IF('Ordenes_Odoo'!A1798="","",'Ordenes_Odoo'!A1798)</f>
        <v/>
      </c>
      <c r="B1798" s="80">
        <f>IF('Ordenes_Odoo'!B1798="","",'Ordenes_Odoo'!B1798)</f>
        <v/>
      </c>
      <c r="C1798" s="79">
        <f>IF('Ordenes_Odoo'!C1798="","",'Ordenes_Odoo'!C1798)</f>
        <v/>
      </c>
      <c r="D1798" s="79">
        <f>IF('Ordenes_Odoo'!D1798="","",'Ordenes_Odoo'!D1798)</f>
        <v/>
      </c>
      <c r="E1798" s="79">
        <f>IF('Ordenes_Odoo'!E1798="","",'Ordenes_Odoo'!E1798)</f>
        <v/>
      </c>
      <c r="F1798" s="79">
        <f>IF('Ordenes_Odoo'!F1798="","",'Ordenes_Odoo'!F1798)</f>
        <v/>
      </c>
      <c r="G1798" s="79">
        <f>IF('Ordenes_Odoo'!G1798="","",'Ordenes_Odoo'!G1798)</f>
        <v/>
      </c>
      <c r="H1798" s="79">
        <f>IF('Ordenes_Odoo'!H1798="","",'Ordenes_Odoo'!H1798)</f>
        <v/>
      </c>
      <c r="I1798" s="79">
        <f>IF('Ordenes_Odoo'!I1798="","",'Ordenes_Odoo'!I1798)</f>
        <v/>
      </c>
      <c r="J1798" s="79">
        <f>IF('Ordenes_Odoo'!J1798="","",'Ordenes_Odoo'!J1798)</f>
        <v/>
      </c>
      <c r="K1798" s="81">
        <f>IF('Ordenes_Odoo'!K1798="","",'Ordenes_Odoo'!K1798)</f>
        <v/>
      </c>
      <c r="L1798" s="81">
        <f>IF('Ordenes_Odoo'!L1798="","",'Ordenes_Odoo'!L1798)</f>
        <v/>
      </c>
      <c r="M1798" s="79">
        <f>IF('Ordenes_Odoo'!M1798="","",'Ordenes_Odoo'!M1798)</f>
        <v/>
      </c>
      <c r="N1798" s="79">
        <f>IF('Ordenes_Odoo'!N1798="","",'Ordenes_Odoo'!N1798)</f>
        <v/>
      </c>
      <c r="O1798" s="81">
        <f>IF('Ordenes_Odoo'!O1798="","",'Ordenes_Odoo'!O1798)</f>
        <v/>
      </c>
      <c r="P1798" s="81">
        <f>IF('Ordenes_Odoo'!P1798="","",'Ordenes_Odoo'!P1798)</f>
        <v/>
      </c>
      <c r="Q1798" s="79">
        <f>IF(A1798="","",IFERROR(INDEX(Facturas_Odoo!$B:$B, MATCH(A1798, Facturas_Odoo!$D:$D, 0)), "Sin Factura"))</f>
        <v/>
      </c>
      <c r="R1798" s="80">
        <f>IF(Q1798="Sin Factura","",IFERROR(INDEX(Facturas_Odoo!$A:$A, MATCH(Q1798, Facturas_Odoo!$B:$B, 0)), ""))</f>
        <v/>
      </c>
      <c r="S1798" s="79">
        <f>IF(Q1798="Sin Factura","",IFERROR(_xlfn.XLOOKUP(1, (Facturas_Odoo!$D:$D=A1798) * (Facturas_Odoo!$K:$K=I1798), Facturas_Odoo!$L:$L, ""), ""))</f>
        <v/>
      </c>
      <c r="T1798" s="81">
        <f>IF(Q1798="Sin Factura",0,IFERROR(_xlfn.XLOOKUP(1, (Facturas_Odoo!$D:$D=A1798) * (Facturas_Odoo!$K:$K=I1798), Facturas_Odoo!$M:$M, 0), 0))</f>
        <v/>
      </c>
      <c r="U1798" s="79">
        <f>IF(Q1798="Sin Factura",0,IFERROR(_xlfn.XLOOKUP(1, (Facturas_Odoo!$D:$D=A1798) * (Facturas_Odoo!$K:$K=I1798), Facturas_Odoo!$N:$N, 0), 0))</f>
        <v/>
      </c>
      <c r="V1798" s="79">
        <f>IF(Q1798="Sin Factura",0,IFERROR(_xlfn.XLOOKUP(1, (Facturas_Odoo!$D:$D=A1798) * (Facturas_Odoo!$K:$K=I1798), Facturas_Odoo!$O:$O, 0), 0))</f>
        <v/>
      </c>
      <c r="W1798" s="81">
        <f>IF(Q1798="Sin Factura",0,IFERROR(_xlfn.XLOOKUP(1, (Facturas_Odoo!$D:$D=A1798) * (Facturas_Odoo!$K:$K=I1798), Facturas_Odoo!$Q:$Q, 0), 0))</f>
        <v/>
      </c>
      <c r="X1798" s="79">
        <f>IF(OR(Q1798="Sin Factura",Q1798=""),"",IFERROR(INDEX(Pagos_Odoo!$B:$B, MATCH(Q1798, Pagos_Odoo!$I:$I, 0)), "Sin Pago"))</f>
        <v/>
      </c>
      <c r="Y1798" s="79">
        <f>IF(X1798="Sin Pago","",IFERROR(INDEX(Pagos_Odoo!$C:$C, MATCH(X1798, Pagos_Odoo!$B:$B, 0)), ""))</f>
        <v/>
      </c>
      <c r="Z1798" s="80">
        <f>IF(X1798="Sin Pago","",IFERROR(INDEX(Pagos_Odoo!$A:$A, MATCH(X1798, Pagos_Odoo!$B:$B, 0)), ""))</f>
        <v/>
      </c>
      <c r="AA1798" s="79">
        <f>IF(X1798="Sin Pago","",IFERROR(INDEX(Pagos_Odoo!$F:$F, MATCH(X1798, Pagos_Odoo!$B:$B, 0)), ""))</f>
        <v/>
      </c>
      <c r="AB1798" s="81">
        <f>IF(X1798="Sin Pago",0,IFERROR(INDEX(Pagos_Odoo!$E:$E, MATCH(X1798, Pagos_Odoo!$B:$B, 0)), 0))</f>
        <v/>
      </c>
      <c r="AC1798" s="79">
        <f>IF(X1798="Sin Pago","",IFERROR(INDEX(Pagos_Odoo!$G:$G, MATCH(X1798, Pagos_Odoo!$B:$B, 0)), ""))</f>
        <v/>
      </c>
      <c r="AD1798" s="82" t="n">
        <v>0</v>
      </c>
      <c r="AE1798" s="82" t="n"/>
      <c r="AF1798" s="82" t="n"/>
      <c r="AG1798" s="82">
        <f>IF(AN1798="","",AD1798+AE1798+AF1798)</f>
        <v/>
      </c>
      <c r="AH1798" s="81">
        <f>IF(AN1798="","",P1798*(1-AG1798))</f>
        <v/>
      </c>
      <c r="AI1798" s="81">
        <f>IF(AN1798="","",IF(Q1798="Sin Factura",0,IFERROR(INDEX(Facturas_Odoo!$H:$H, MATCH(Q1798, Facturas_Odoo!$B:$B, 0)), 0)*(1-AG1798)))</f>
        <v/>
      </c>
      <c r="AJ1798" s="81">
        <f>IF(AN1798="","",_xlfn.LET(idVenta, AN1798&amp;"",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98" s="81">
        <f>IF(AN1798="","",AH1798-AJ1798)</f>
        <v/>
      </c>
      <c r="AL1798" s="81">
        <f>IF(AN1798="","",IF(Q1798="Sin Factura","",AI1798-AJ1798))</f>
        <v/>
      </c>
      <c r="AM1798" s="81">
        <f>IF(AN1798="","",IF(Q1798="Sin Factura",0,P1798-IFERROR(INDEX(Facturas_Odoo!$H:$H, MATCH(Q1798, Facturas_Odoo!$B:$B, 0)), 0)))</f>
        <v/>
      </c>
      <c r="AN1798" s="79">
        <f>IF(AND(A1798="", J1798=""), "", IF(A1798&lt;&gt;"", VALUE(MID(A1798,2,LEN(A1798))), AN1797))</f>
        <v/>
      </c>
      <c r="AO1798" s="79">
        <f>IF(AN1798="","",IF(AD1798=0,"OK",_xlfn.LET(monedaPago, IF(AA1798="","USD",AA1798), limitePermitido, IFERROR(VLOOKUP(monedaPago, Configuración!$A$2:$B$3, 2, FALSE), 0.15), IF(AD1798&gt;limitePermitido, "ALERTA: EXCESO (" &amp; TEXT(limitePermitido, "0%") &amp; " máx)", "OK"))))</f>
        <v/>
      </c>
      <c r="AP1798" s="79">
        <f>IF(AN1798="","",IF(AE1798=0,"OK",_xlfn.LET(fechaPago, Z1798, fechaFactura, R1798, diasCredito, IF(E1798="Pago inmediato", 0, IFERROR(VALUE(MID(E1798, 1, SEARCH(" ", E1798)-1)),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98" s="79">
        <f>IF(AN1798="","",IF(AND(N1798&gt;0, AG1798&gt;0), IF(Configuración!$K$2="NO", "ALERTA: DESCUENTO DOBLE NO PERMITIDO", "OK"), "OK"))</f>
        <v/>
      </c>
      <c r="AR1798" s="79">
        <f>IF(AN1798="","",IF(OR(AO1798&lt;&gt;"OK", AP1798&lt;&gt;"OK", AQ1798&lt;&gt;"OK"), "⚠️ REVISAR", "OK"))</f>
        <v/>
      </c>
    </row>
    <row r="1799">
      <c r="A1799" s="79">
        <f>IF('Ordenes_Odoo'!A1799="","",'Ordenes_Odoo'!A1799)</f>
        <v/>
      </c>
      <c r="B1799" s="80">
        <f>IF('Ordenes_Odoo'!B1799="","",'Ordenes_Odoo'!B1799)</f>
        <v/>
      </c>
      <c r="C1799" s="79">
        <f>IF('Ordenes_Odoo'!C1799="","",'Ordenes_Odoo'!C1799)</f>
        <v/>
      </c>
      <c r="D1799" s="79">
        <f>IF('Ordenes_Odoo'!D1799="","",'Ordenes_Odoo'!D1799)</f>
        <v/>
      </c>
      <c r="E1799" s="79">
        <f>IF('Ordenes_Odoo'!E1799="","",'Ordenes_Odoo'!E1799)</f>
        <v/>
      </c>
      <c r="F1799" s="79">
        <f>IF('Ordenes_Odoo'!F1799="","",'Ordenes_Odoo'!F1799)</f>
        <v/>
      </c>
      <c r="G1799" s="79">
        <f>IF('Ordenes_Odoo'!G1799="","",'Ordenes_Odoo'!G1799)</f>
        <v/>
      </c>
      <c r="H1799" s="79">
        <f>IF('Ordenes_Odoo'!H1799="","",'Ordenes_Odoo'!H1799)</f>
        <v/>
      </c>
      <c r="I1799" s="79">
        <f>IF('Ordenes_Odoo'!I1799="","",'Ordenes_Odoo'!I1799)</f>
        <v/>
      </c>
      <c r="J1799" s="79">
        <f>IF('Ordenes_Odoo'!J1799="","",'Ordenes_Odoo'!J1799)</f>
        <v/>
      </c>
      <c r="K1799" s="81">
        <f>IF('Ordenes_Odoo'!K1799="","",'Ordenes_Odoo'!K1799)</f>
        <v/>
      </c>
      <c r="L1799" s="81">
        <f>IF('Ordenes_Odoo'!L1799="","",'Ordenes_Odoo'!L1799)</f>
        <v/>
      </c>
      <c r="M1799" s="79">
        <f>IF('Ordenes_Odoo'!M1799="","",'Ordenes_Odoo'!M1799)</f>
        <v/>
      </c>
      <c r="N1799" s="79">
        <f>IF('Ordenes_Odoo'!N1799="","",'Ordenes_Odoo'!N1799)</f>
        <v/>
      </c>
      <c r="O1799" s="81">
        <f>IF('Ordenes_Odoo'!O1799="","",'Ordenes_Odoo'!O1799)</f>
        <v/>
      </c>
      <c r="P1799" s="81">
        <f>IF('Ordenes_Odoo'!P1799="","",'Ordenes_Odoo'!P1799)</f>
        <v/>
      </c>
      <c r="Q1799" s="79">
        <f>IF(A1799="","",IFERROR(INDEX(Facturas_Odoo!$B:$B, MATCH(A1799, Facturas_Odoo!$D:$D, 0)), "Sin Factura"))</f>
        <v/>
      </c>
      <c r="R1799" s="80">
        <f>IF(Q1799="Sin Factura","",IFERROR(INDEX(Facturas_Odoo!$A:$A, MATCH(Q1799, Facturas_Odoo!$B:$B, 0)), ""))</f>
        <v/>
      </c>
      <c r="S1799" s="79">
        <f>IF(Q1799="Sin Factura","",IFERROR(_xlfn.XLOOKUP(1, (Facturas_Odoo!$D:$D=A1799) * (Facturas_Odoo!$K:$K=I1799), Facturas_Odoo!$L:$L, ""), ""))</f>
        <v/>
      </c>
      <c r="T1799" s="81">
        <f>IF(Q1799="Sin Factura",0,IFERROR(_xlfn.XLOOKUP(1, (Facturas_Odoo!$D:$D=A1799) * (Facturas_Odoo!$K:$K=I1799), Facturas_Odoo!$M:$M, 0), 0))</f>
        <v/>
      </c>
      <c r="U1799" s="79">
        <f>IF(Q1799="Sin Factura",0,IFERROR(_xlfn.XLOOKUP(1, (Facturas_Odoo!$D:$D=A1799) * (Facturas_Odoo!$K:$K=I1799), Facturas_Odoo!$N:$N, 0), 0))</f>
        <v/>
      </c>
      <c r="V1799" s="79">
        <f>IF(Q1799="Sin Factura",0,IFERROR(_xlfn.XLOOKUP(1, (Facturas_Odoo!$D:$D=A1799) * (Facturas_Odoo!$K:$K=I1799), Facturas_Odoo!$O:$O, 0), 0))</f>
        <v/>
      </c>
      <c r="W1799" s="81">
        <f>IF(Q1799="Sin Factura",0,IFERROR(_xlfn.XLOOKUP(1, (Facturas_Odoo!$D:$D=A1799) * (Facturas_Odoo!$K:$K=I1799), Facturas_Odoo!$Q:$Q, 0), 0))</f>
        <v/>
      </c>
      <c r="X1799" s="79">
        <f>IF(OR(Q1799="Sin Factura",Q1799=""),"",IFERROR(INDEX(Pagos_Odoo!$B:$B, MATCH(Q1799, Pagos_Odoo!$I:$I, 0)), "Sin Pago"))</f>
        <v/>
      </c>
      <c r="Y1799" s="79">
        <f>IF(X1799="Sin Pago","",IFERROR(INDEX(Pagos_Odoo!$C:$C, MATCH(X1799, Pagos_Odoo!$B:$B, 0)), ""))</f>
        <v/>
      </c>
      <c r="Z1799" s="80">
        <f>IF(X1799="Sin Pago","",IFERROR(INDEX(Pagos_Odoo!$A:$A, MATCH(X1799, Pagos_Odoo!$B:$B, 0)), ""))</f>
        <v/>
      </c>
      <c r="AA1799" s="79">
        <f>IF(X1799="Sin Pago","",IFERROR(INDEX(Pagos_Odoo!$F:$F, MATCH(X1799, Pagos_Odoo!$B:$B, 0)), ""))</f>
        <v/>
      </c>
      <c r="AB1799" s="81">
        <f>IF(X1799="Sin Pago",0,IFERROR(INDEX(Pagos_Odoo!$E:$E, MATCH(X1799, Pagos_Odoo!$B:$B, 0)), 0))</f>
        <v/>
      </c>
      <c r="AC1799" s="79">
        <f>IF(X1799="Sin Pago","",IFERROR(INDEX(Pagos_Odoo!$G:$G, MATCH(X1799, Pagos_Odoo!$B:$B, 0)), ""))</f>
        <v/>
      </c>
      <c r="AD1799" s="82" t="n">
        <v>0</v>
      </c>
      <c r="AE1799" s="82" t="n"/>
      <c r="AF1799" s="82" t="n"/>
      <c r="AG1799" s="82">
        <f>IF(AN1799="","",AD1799+AE1799+AF1799)</f>
        <v/>
      </c>
      <c r="AH1799" s="81">
        <f>IF(AN1799="","",P1799*(1-AG1799))</f>
        <v/>
      </c>
      <c r="AI1799" s="81">
        <f>IF(AN1799="","",IF(Q1799="Sin Factura",0,IFERROR(INDEX(Facturas_Odoo!$H:$H, MATCH(Q1799, Facturas_Odoo!$B:$B, 0)), 0)*(1-AG1799)))</f>
        <v/>
      </c>
      <c r="AJ1799" s="81">
        <f>IF(AN1799="","",_xlfn.LET(idVenta, AN1799&amp;"",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799" s="81">
        <f>IF(AN1799="","",AH1799-AJ1799)</f>
        <v/>
      </c>
      <c r="AL1799" s="81">
        <f>IF(AN1799="","",IF(Q1799="Sin Factura","",AI1799-AJ1799))</f>
        <v/>
      </c>
      <c r="AM1799" s="81">
        <f>IF(AN1799="","",IF(Q1799="Sin Factura",0,P1799-IFERROR(INDEX(Facturas_Odoo!$H:$H, MATCH(Q1799, Facturas_Odoo!$B:$B, 0)), 0)))</f>
        <v/>
      </c>
      <c r="AN1799" s="79">
        <f>IF(AND(A1799="", J1799=""), "", IF(A1799&lt;&gt;"", VALUE(MID(A1799,2,LEN(A1799))), AN1798))</f>
        <v/>
      </c>
      <c r="AO1799" s="79">
        <f>IF(AN1799="","",IF(AD1799=0,"OK",_xlfn.LET(monedaPago, IF(AA1799="","USD",AA1799), limitePermitido, IFERROR(VLOOKUP(monedaPago, Configuración!$A$2:$B$3, 2, FALSE), 0.15), IF(AD1799&gt;limitePermitido, "ALERTA: EXCESO (" &amp; TEXT(limitePermitido, "0%") &amp; " máx)", "OK"))))</f>
        <v/>
      </c>
      <c r="AP1799" s="79">
        <f>IF(AN1799="","",IF(AE1799=0,"OK",_xlfn.LET(fechaPago, Z1799, fechaFactura, R1799, diasCredito, IF(E1799="Pago inmediato", 0, IFERROR(VALUE(MID(E1799, 1, SEARCH(" ", E1799)-1)),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799" s="79">
        <f>IF(AN1799="","",IF(AND(N1799&gt;0, AG1799&gt;0), IF(Configuración!$K$2="NO", "ALERTA: DESCUENTO DOBLE NO PERMITIDO", "OK"), "OK"))</f>
        <v/>
      </c>
      <c r="AR1799" s="79">
        <f>IF(AN1799="","",IF(OR(AO1799&lt;&gt;"OK", AP1799&lt;&gt;"OK", AQ1799&lt;&gt;"OK"), "⚠️ REVISAR", "OK"))</f>
        <v/>
      </c>
    </row>
    <row r="1800">
      <c r="A1800" s="79">
        <f>IF('Ordenes_Odoo'!A1800="","",'Ordenes_Odoo'!A1800)</f>
        <v/>
      </c>
      <c r="B1800" s="80">
        <f>IF('Ordenes_Odoo'!B1800="","",'Ordenes_Odoo'!B1800)</f>
        <v/>
      </c>
      <c r="C1800" s="79">
        <f>IF('Ordenes_Odoo'!C1800="","",'Ordenes_Odoo'!C1800)</f>
        <v/>
      </c>
      <c r="D1800" s="79">
        <f>IF('Ordenes_Odoo'!D1800="","",'Ordenes_Odoo'!D1800)</f>
        <v/>
      </c>
      <c r="E1800" s="79">
        <f>IF('Ordenes_Odoo'!E1800="","",'Ordenes_Odoo'!E1800)</f>
        <v/>
      </c>
      <c r="F1800" s="79">
        <f>IF('Ordenes_Odoo'!F1800="","",'Ordenes_Odoo'!F1800)</f>
        <v/>
      </c>
      <c r="G1800" s="79">
        <f>IF('Ordenes_Odoo'!G1800="","",'Ordenes_Odoo'!G1800)</f>
        <v/>
      </c>
      <c r="H1800" s="79">
        <f>IF('Ordenes_Odoo'!H1800="","",'Ordenes_Odoo'!H1800)</f>
        <v/>
      </c>
      <c r="I1800" s="79">
        <f>IF('Ordenes_Odoo'!I1800="","",'Ordenes_Odoo'!I1800)</f>
        <v/>
      </c>
      <c r="J1800" s="79">
        <f>IF('Ordenes_Odoo'!J1800="","",'Ordenes_Odoo'!J1800)</f>
        <v/>
      </c>
      <c r="K1800" s="81">
        <f>IF('Ordenes_Odoo'!K1800="","",'Ordenes_Odoo'!K1800)</f>
        <v/>
      </c>
      <c r="L1800" s="81">
        <f>IF('Ordenes_Odoo'!L1800="","",'Ordenes_Odoo'!L1800)</f>
        <v/>
      </c>
      <c r="M1800" s="79">
        <f>IF('Ordenes_Odoo'!M1800="","",'Ordenes_Odoo'!M1800)</f>
        <v/>
      </c>
      <c r="N1800" s="79">
        <f>IF('Ordenes_Odoo'!N1800="","",'Ordenes_Odoo'!N1800)</f>
        <v/>
      </c>
      <c r="O1800" s="81">
        <f>IF('Ordenes_Odoo'!O1800="","",'Ordenes_Odoo'!O1800)</f>
        <v/>
      </c>
      <c r="P1800" s="81">
        <f>IF('Ordenes_Odoo'!P1800="","",'Ordenes_Odoo'!P1800)</f>
        <v/>
      </c>
      <c r="Q1800" s="79">
        <f>IF(A1800="","",IFERROR(INDEX(Facturas_Odoo!$B:$B, MATCH(A1800, Facturas_Odoo!$D:$D, 0)), "Sin Factura"))</f>
        <v/>
      </c>
      <c r="R1800" s="80">
        <f>IF(Q1800="Sin Factura","",IFERROR(INDEX(Facturas_Odoo!$A:$A, MATCH(Q1800, Facturas_Odoo!$B:$B, 0)), ""))</f>
        <v/>
      </c>
      <c r="S1800" s="79">
        <f>IF(Q1800="Sin Factura","",IFERROR(_xlfn.XLOOKUP(1, (Facturas_Odoo!$D:$D=A1800) * (Facturas_Odoo!$K:$K=I1800), Facturas_Odoo!$L:$L, ""), ""))</f>
        <v/>
      </c>
      <c r="T1800" s="81">
        <f>IF(Q1800="Sin Factura",0,IFERROR(_xlfn.XLOOKUP(1, (Facturas_Odoo!$D:$D=A1800) * (Facturas_Odoo!$K:$K=I1800), Facturas_Odoo!$M:$M, 0), 0))</f>
        <v/>
      </c>
      <c r="U1800" s="79">
        <f>IF(Q1800="Sin Factura",0,IFERROR(_xlfn.XLOOKUP(1, (Facturas_Odoo!$D:$D=A1800) * (Facturas_Odoo!$K:$K=I1800), Facturas_Odoo!$N:$N, 0), 0))</f>
        <v/>
      </c>
      <c r="V1800" s="79">
        <f>IF(Q1800="Sin Factura",0,IFERROR(_xlfn.XLOOKUP(1, (Facturas_Odoo!$D:$D=A1800) * (Facturas_Odoo!$K:$K=I1800), Facturas_Odoo!$O:$O, 0), 0))</f>
        <v/>
      </c>
      <c r="W1800" s="81">
        <f>IF(Q1800="Sin Factura",0,IFERROR(_xlfn.XLOOKUP(1, (Facturas_Odoo!$D:$D=A1800) * (Facturas_Odoo!$K:$K=I1800), Facturas_Odoo!$Q:$Q, 0), 0))</f>
        <v/>
      </c>
      <c r="X1800" s="79">
        <f>IF(OR(Q1800="Sin Factura",Q1800=""),"",IFERROR(INDEX(Pagos_Odoo!$B:$B, MATCH(Q1800, Pagos_Odoo!$I:$I, 0)), "Sin Pago"))</f>
        <v/>
      </c>
      <c r="Y1800" s="79">
        <f>IF(X1800="Sin Pago","",IFERROR(INDEX(Pagos_Odoo!$C:$C, MATCH(X1800, Pagos_Odoo!$B:$B, 0)), ""))</f>
        <v/>
      </c>
      <c r="Z1800" s="80">
        <f>IF(X1800="Sin Pago","",IFERROR(INDEX(Pagos_Odoo!$A:$A, MATCH(X1800, Pagos_Odoo!$B:$B, 0)), ""))</f>
        <v/>
      </c>
      <c r="AA1800" s="79">
        <f>IF(X1800="Sin Pago","",IFERROR(INDEX(Pagos_Odoo!$F:$F, MATCH(X1800, Pagos_Odoo!$B:$B, 0)), ""))</f>
        <v/>
      </c>
      <c r="AB1800" s="81">
        <f>IF(X1800="Sin Pago",0,IFERROR(INDEX(Pagos_Odoo!$E:$E, MATCH(X1800, Pagos_Odoo!$B:$B, 0)), 0))</f>
        <v/>
      </c>
      <c r="AC1800" s="79">
        <f>IF(X1800="Sin Pago","",IFERROR(INDEX(Pagos_Odoo!$G:$G, MATCH(X1800, Pagos_Odoo!$B:$B, 0)), ""))</f>
        <v/>
      </c>
      <c r="AD1800" s="82" t="n">
        <v>0</v>
      </c>
      <c r="AE1800" s="82" t="n"/>
      <c r="AF1800" s="82" t="n"/>
      <c r="AG1800" s="82">
        <f>IF(AN1800="","",AD1800+AE1800+AF1800)</f>
        <v/>
      </c>
      <c r="AH1800" s="81">
        <f>IF(AN1800="","",P1800*(1-AG1800))</f>
        <v/>
      </c>
      <c r="AI1800" s="81">
        <f>IF(AN1800="","",IF(Q1800="Sin Factura",0,IFERROR(INDEX(Facturas_Odoo!$H:$H, MATCH(Q1800, Facturas_Odoo!$B:$B, 0)), 0)*(1-AG1800)))</f>
        <v/>
      </c>
      <c r="AJ1800" s="81">
        <f>IF(AN1800="","",_xlfn.LET(idVenta, AN1800&amp;"",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00" s="81">
        <f>IF(AN1800="","",AH1800-AJ1800)</f>
        <v/>
      </c>
      <c r="AL1800" s="81">
        <f>IF(AN1800="","",IF(Q1800="Sin Factura","",AI1800-AJ1800))</f>
        <v/>
      </c>
      <c r="AM1800" s="81">
        <f>IF(AN1800="","",IF(Q1800="Sin Factura",0,P1800-IFERROR(INDEX(Facturas_Odoo!$H:$H, MATCH(Q1800, Facturas_Odoo!$B:$B, 0)), 0)))</f>
        <v/>
      </c>
      <c r="AN1800" s="79">
        <f>IF(AND(A1800="", J1800=""), "", IF(A1800&lt;&gt;"", VALUE(MID(A1800,2,LEN(A1800))), AN1799))</f>
        <v/>
      </c>
      <c r="AO1800" s="79">
        <f>IF(AN1800="","",IF(AD1800=0,"OK",_xlfn.LET(monedaPago, IF(AA1800="","USD",AA1800), limitePermitido, IFERROR(VLOOKUP(monedaPago, Configuración!$A$2:$B$3, 2, FALSE), 0.15), IF(AD1800&gt;limitePermitido, "ALERTA: EXCESO (" &amp; TEXT(limitePermitido, "0%") &amp; " máx)", "OK"))))</f>
        <v/>
      </c>
      <c r="AP1800" s="79">
        <f>IF(AN1800="","",IF(AE1800=0,"OK",_xlfn.LET(fechaPago, Z1800, fechaFactura, R1800, diasCredito, IF(E1800="Pago inmediato", 0, IFERROR(VALUE(MID(E1800, 1, SEARCH(" ", E1800)-1)),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00" s="79">
        <f>IF(AN1800="","",IF(AND(N1800&gt;0, AG1800&gt;0), IF(Configuración!$K$2="NO", "ALERTA: DESCUENTO DOBLE NO PERMITIDO", "OK"), "OK"))</f>
        <v/>
      </c>
      <c r="AR1800" s="79">
        <f>IF(AN1800="","",IF(OR(AO1800&lt;&gt;"OK", AP1800&lt;&gt;"OK", AQ1800&lt;&gt;"OK"), "⚠️ REVISAR", "OK"))</f>
        <v/>
      </c>
    </row>
    <row r="1801">
      <c r="A1801" s="79">
        <f>IF('Ordenes_Odoo'!A1801="","",'Ordenes_Odoo'!A1801)</f>
        <v/>
      </c>
      <c r="B1801" s="80">
        <f>IF('Ordenes_Odoo'!B1801="","",'Ordenes_Odoo'!B1801)</f>
        <v/>
      </c>
      <c r="C1801" s="79">
        <f>IF('Ordenes_Odoo'!C1801="","",'Ordenes_Odoo'!C1801)</f>
        <v/>
      </c>
      <c r="D1801" s="79">
        <f>IF('Ordenes_Odoo'!D1801="","",'Ordenes_Odoo'!D1801)</f>
        <v/>
      </c>
      <c r="E1801" s="79">
        <f>IF('Ordenes_Odoo'!E1801="","",'Ordenes_Odoo'!E1801)</f>
        <v/>
      </c>
      <c r="F1801" s="79">
        <f>IF('Ordenes_Odoo'!F1801="","",'Ordenes_Odoo'!F1801)</f>
        <v/>
      </c>
      <c r="G1801" s="79">
        <f>IF('Ordenes_Odoo'!G1801="","",'Ordenes_Odoo'!G1801)</f>
        <v/>
      </c>
      <c r="H1801" s="79">
        <f>IF('Ordenes_Odoo'!H1801="","",'Ordenes_Odoo'!H1801)</f>
        <v/>
      </c>
      <c r="I1801" s="79">
        <f>IF('Ordenes_Odoo'!I1801="","",'Ordenes_Odoo'!I1801)</f>
        <v/>
      </c>
      <c r="J1801" s="79">
        <f>IF('Ordenes_Odoo'!J1801="","",'Ordenes_Odoo'!J1801)</f>
        <v/>
      </c>
      <c r="K1801" s="81">
        <f>IF('Ordenes_Odoo'!K1801="","",'Ordenes_Odoo'!K1801)</f>
        <v/>
      </c>
      <c r="L1801" s="81">
        <f>IF('Ordenes_Odoo'!L1801="","",'Ordenes_Odoo'!L1801)</f>
        <v/>
      </c>
      <c r="M1801" s="79">
        <f>IF('Ordenes_Odoo'!M1801="","",'Ordenes_Odoo'!M1801)</f>
        <v/>
      </c>
      <c r="N1801" s="79">
        <f>IF('Ordenes_Odoo'!N1801="","",'Ordenes_Odoo'!N1801)</f>
        <v/>
      </c>
      <c r="O1801" s="81">
        <f>IF('Ordenes_Odoo'!O1801="","",'Ordenes_Odoo'!O1801)</f>
        <v/>
      </c>
      <c r="P1801" s="81">
        <f>IF('Ordenes_Odoo'!P1801="","",'Ordenes_Odoo'!P1801)</f>
        <v/>
      </c>
      <c r="Q1801" s="79">
        <f>IF(A1801="","",IFERROR(INDEX(Facturas_Odoo!$B:$B, MATCH(A1801, Facturas_Odoo!$D:$D, 0)), "Sin Factura"))</f>
        <v/>
      </c>
      <c r="R1801" s="80">
        <f>IF(Q1801="Sin Factura","",IFERROR(INDEX(Facturas_Odoo!$A:$A, MATCH(Q1801, Facturas_Odoo!$B:$B, 0)), ""))</f>
        <v/>
      </c>
      <c r="S1801" s="79">
        <f>IF(Q1801="Sin Factura","",IFERROR(_xlfn.XLOOKUP(1, (Facturas_Odoo!$D:$D=A1801) * (Facturas_Odoo!$K:$K=I1801), Facturas_Odoo!$L:$L, ""), ""))</f>
        <v/>
      </c>
      <c r="T1801" s="81">
        <f>IF(Q1801="Sin Factura",0,IFERROR(_xlfn.XLOOKUP(1, (Facturas_Odoo!$D:$D=A1801) * (Facturas_Odoo!$K:$K=I1801), Facturas_Odoo!$M:$M, 0), 0))</f>
        <v/>
      </c>
      <c r="U1801" s="79">
        <f>IF(Q1801="Sin Factura",0,IFERROR(_xlfn.XLOOKUP(1, (Facturas_Odoo!$D:$D=A1801) * (Facturas_Odoo!$K:$K=I1801), Facturas_Odoo!$N:$N, 0), 0))</f>
        <v/>
      </c>
      <c r="V1801" s="79">
        <f>IF(Q1801="Sin Factura",0,IFERROR(_xlfn.XLOOKUP(1, (Facturas_Odoo!$D:$D=A1801) * (Facturas_Odoo!$K:$K=I1801), Facturas_Odoo!$O:$O, 0), 0))</f>
        <v/>
      </c>
      <c r="W1801" s="81">
        <f>IF(Q1801="Sin Factura",0,IFERROR(_xlfn.XLOOKUP(1, (Facturas_Odoo!$D:$D=A1801) * (Facturas_Odoo!$K:$K=I1801), Facturas_Odoo!$Q:$Q, 0), 0))</f>
        <v/>
      </c>
      <c r="X1801" s="79">
        <f>IF(OR(Q1801="Sin Factura",Q1801=""),"",IFERROR(INDEX(Pagos_Odoo!$B:$B, MATCH(Q1801, Pagos_Odoo!$I:$I, 0)), "Sin Pago"))</f>
        <v/>
      </c>
      <c r="Y1801" s="79">
        <f>IF(X1801="Sin Pago","",IFERROR(INDEX(Pagos_Odoo!$C:$C, MATCH(X1801, Pagos_Odoo!$B:$B, 0)), ""))</f>
        <v/>
      </c>
      <c r="Z1801" s="80">
        <f>IF(X1801="Sin Pago","",IFERROR(INDEX(Pagos_Odoo!$A:$A, MATCH(X1801, Pagos_Odoo!$B:$B, 0)), ""))</f>
        <v/>
      </c>
      <c r="AA1801" s="79">
        <f>IF(X1801="Sin Pago","",IFERROR(INDEX(Pagos_Odoo!$F:$F, MATCH(X1801, Pagos_Odoo!$B:$B, 0)), ""))</f>
        <v/>
      </c>
      <c r="AB1801" s="81">
        <f>IF(X1801="Sin Pago",0,IFERROR(INDEX(Pagos_Odoo!$E:$E, MATCH(X1801, Pagos_Odoo!$B:$B, 0)), 0))</f>
        <v/>
      </c>
      <c r="AC1801" s="79">
        <f>IF(X1801="Sin Pago","",IFERROR(INDEX(Pagos_Odoo!$G:$G, MATCH(X1801, Pagos_Odoo!$B:$B, 0)), ""))</f>
        <v/>
      </c>
      <c r="AD1801" s="82" t="n">
        <v>0</v>
      </c>
      <c r="AE1801" s="82" t="n"/>
      <c r="AF1801" s="82" t="n"/>
      <c r="AG1801" s="82">
        <f>IF(AN1801="","",AD1801+AE1801+AF1801)</f>
        <v/>
      </c>
      <c r="AH1801" s="81">
        <f>IF(AN1801="","",P1801*(1-AG1801))</f>
        <v/>
      </c>
      <c r="AI1801" s="81">
        <f>IF(AN1801="","",IF(Q1801="Sin Factura",0,IFERROR(INDEX(Facturas_Odoo!$H:$H, MATCH(Q1801, Facturas_Odoo!$B:$B, 0)), 0)*(1-AG1801)))</f>
        <v/>
      </c>
      <c r="AJ1801" s="81">
        <f>IF(AN1801="","",_xlfn.LET(idVenta, AN1801&amp;"",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01" s="81">
        <f>IF(AN1801="","",AH1801-AJ1801)</f>
        <v/>
      </c>
      <c r="AL1801" s="81">
        <f>IF(AN1801="","",IF(Q1801="Sin Factura","",AI1801-AJ1801))</f>
        <v/>
      </c>
      <c r="AM1801" s="81">
        <f>IF(AN1801="","",IF(Q1801="Sin Factura",0,P1801-IFERROR(INDEX(Facturas_Odoo!$H:$H, MATCH(Q1801, Facturas_Odoo!$B:$B, 0)), 0)))</f>
        <v/>
      </c>
      <c r="AN1801" s="79">
        <f>IF(AND(A1801="", J1801=""), "", IF(A1801&lt;&gt;"", VALUE(MID(A1801,2,LEN(A1801))), AN1800))</f>
        <v/>
      </c>
      <c r="AO1801" s="79">
        <f>IF(AN1801="","",IF(AD1801=0,"OK",_xlfn.LET(monedaPago, IF(AA1801="","USD",AA1801), limitePermitido, IFERROR(VLOOKUP(monedaPago, Configuración!$A$2:$B$3, 2, FALSE), 0.15), IF(AD1801&gt;limitePermitido, "ALERTA: EXCESO (" &amp; TEXT(limitePermitido, "0%") &amp; " máx)", "OK"))))</f>
        <v/>
      </c>
      <c r="AP1801" s="79">
        <f>IF(AN1801="","",IF(AE1801=0,"OK",_xlfn.LET(fechaPago, Z1801, fechaFactura, R1801, diasCredito, IF(E1801="Pago inmediato", 0, IFERROR(VALUE(MID(E1801, 1, SEARCH(" ", E1801)-1)),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01" s="79">
        <f>IF(AN1801="","",IF(AND(N1801&gt;0, AG1801&gt;0), IF(Configuración!$K$2="NO", "ALERTA: DESCUENTO DOBLE NO PERMITIDO", "OK"), "OK"))</f>
        <v/>
      </c>
      <c r="AR1801" s="79">
        <f>IF(AN1801="","",IF(OR(AO1801&lt;&gt;"OK", AP1801&lt;&gt;"OK", AQ1801&lt;&gt;"OK"), "⚠️ REVISAR", "OK"))</f>
        <v/>
      </c>
    </row>
    <row r="1802">
      <c r="A1802" s="79">
        <f>IF('Ordenes_Odoo'!A1802="","",'Ordenes_Odoo'!A1802)</f>
        <v/>
      </c>
      <c r="B1802" s="80">
        <f>IF('Ordenes_Odoo'!B1802="","",'Ordenes_Odoo'!B1802)</f>
        <v/>
      </c>
      <c r="C1802" s="79">
        <f>IF('Ordenes_Odoo'!C1802="","",'Ordenes_Odoo'!C1802)</f>
        <v/>
      </c>
      <c r="D1802" s="79">
        <f>IF('Ordenes_Odoo'!D1802="","",'Ordenes_Odoo'!D1802)</f>
        <v/>
      </c>
      <c r="E1802" s="79">
        <f>IF('Ordenes_Odoo'!E1802="","",'Ordenes_Odoo'!E1802)</f>
        <v/>
      </c>
      <c r="F1802" s="79">
        <f>IF('Ordenes_Odoo'!F1802="","",'Ordenes_Odoo'!F1802)</f>
        <v/>
      </c>
      <c r="G1802" s="79">
        <f>IF('Ordenes_Odoo'!G1802="","",'Ordenes_Odoo'!G1802)</f>
        <v/>
      </c>
      <c r="H1802" s="79">
        <f>IF('Ordenes_Odoo'!H1802="","",'Ordenes_Odoo'!H1802)</f>
        <v/>
      </c>
      <c r="I1802" s="79">
        <f>IF('Ordenes_Odoo'!I1802="","",'Ordenes_Odoo'!I1802)</f>
        <v/>
      </c>
      <c r="J1802" s="79">
        <f>IF('Ordenes_Odoo'!J1802="","",'Ordenes_Odoo'!J1802)</f>
        <v/>
      </c>
      <c r="K1802" s="81">
        <f>IF('Ordenes_Odoo'!K1802="","",'Ordenes_Odoo'!K1802)</f>
        <v/>
      </c>
      <c r="L1802" s="81">
        <f>IF('Ordenes_Odoo'!L1802="","",'Ordenes_Odoo'!L1802)</f>
        <v/>
      </c>
      <c r="M1802" s="79">
        <f>IF('Ordenes_Odoo'!M1802="","",'Ordenes_Odoo'!M1802)</f>
        <v/>
      </c>
      <c r="N1802" s="79">
        <f>IF('Ordenes_Odoo'!N1802="","",'Ordenes_Odoo'!N1802)</f>
        <v/>
      </c>
      <c r="O1802" s="81">
        <f>IF('Ordenes_Odoo'!O1802="","",'Ordenes_Odoo'!O1802)</f>
        <v/>
      </c>
      <c r="P1802" s="81">
        <f>IF('Ordenes_Odoo'!P1802="","",'Ordenes_Odoo'!P1802)</f>
        <v/>
      </c>
      <c r="Q1802" s="79">
        <f>IF(A1802="","",IFERROR(INDEX(Facturas_Odoo!$B:$B, MATCH(A1802, Facturas_Odoo!$D:$D, 0)), "Sin Factura"))</f>
        <v/>
      </c>
      <c r="R1802" s="80">
        <f>IF(Q1802="Sin Factura","",IFERROR(INDEX(Facturas_Odoo!$A:$A, MATCH(Q1802, Facturas_Odoo!$B:$B, 0)), ""))</f>
        <v/>
      </c>
      <c r="S1802" s="79">
        <f>IF(Q1802="Sin Factura","",IFERROR(_xlfn.XLOOKUP(1, (Facturas_Odoo!$D:$D=A1802) * (Facturas_Odoo!$K:$K=I1802), Facturas_Odoo!$L:$L, ""), ""))</f>
        <v/>
      </c>
      <c r="T1802" s="81">
        <f>IF(Q1802="Sin Factura",0,IFERROR(_xlfn.XLOOKUP(1, (Facturas_Odoo!$D:$D=A1802) * (Facturas_Odoo!$K:$K=I1802), Facturas_Odoo!$M:$M, 0), 0))</f>
        <v/>
      </c>
      <c r="U1802" s="79">
        <f>IF(Q1802="Sin Factura",0,IFERROR(_xlfn.XLOOKUP(1, (Facturas_Odoo!$D:$D=A1802) * (Facturas_Odoo!$K:$K=I1802), Facturas_Odoo!$N:$N, 0), 0))</f>
        <v/>
      </c>
      <c r="V1802" s="79">
        <f>IF(Q1802="Sin Factura",0,IFERROR(_xlfn.XLOOKUP(1, (Facturas_Odoo!$D:$D=A1802) * (Facturas_Odoo!$K:$K=I1802), Facturas_Odoo!$O:$O, 0), 0))</f>
        <v/>
      </c>
      <c r="W1802" s="81">
        <f>IF(Q1802="Sin Factura",0,IFERROR(_xlfn.XLOOKUP(1, (Facturas_Odoo!$D:$D=A1802) * (Facturas_Odoo!$K:$K=I1802), Facturas_Odoo!$Q:$Q, 0), 0))</f>
        <v/>
      </c>
      <c r="X1802" s="79">
        <f>IF(OR(Q1802="Sin Factura",Q1802=""),"",IFERROR(INDEX(Pagos_Odoo!$B:$B, MATCH(Q1802, Pagos_Odoo!$I:$I, 0)), "Sin Pago"))</f>
        <v/>
      </c>
      <c r="Y1802" s="79">
        <f>IF(X1802="Sin Pago","",IFERROR(INDEX(Pagos_Odoo!$C:$C, MATCH(X1802, Pagos_Odoo!$B:$B, 0)), ""))</f>
        <v/>
      </c>
      <c r="Z1802" s="80">
        <f>IF(X1802="Sin Pago","",IFERROR(INDEX(Pagos_Odoo!$A:$A, MATCH(X1802, Pagos_Odoo!$B:$B, 0)), ""))</f>
        <v/>
      </c>
      <c r="AA1802" s="79">
        <f>IF(X1802="Sin Pago","",IFERROR(INDEX(Pagos_Odoo!$F:$F, MATCH(X1802, Pagos_Odoo!$B:$B, 0)), ""))</f>
        <v/>
      </c>
      <c r="AB1802" s="81">
        <f>IF(X1802="Sin Pago",0,IFERROR(INDEX(Pagos_Odoo!$E:$E, MATCH(X1802, Pagos_Odoo!$B:$B, 0)), 0))</f>
        <v/>
      </c>
      <c r="AC1802" s="79">
        <f>IF(X1802="Sin Pago","",IFERROR(INDEX(Pagos_Odoo!$G:$G, MATCH(X1802, Pagos_Odoo!$B:$B, 0)), ""))</f>
        <v/>
      </c>
      <c r="AD1802" s="82" t="n">
        <v>0</v>
      </c>
      <c r="AE1802" s="82" t="n"/>
      <c r="AF1802" s="82" t="n"/>
      <c r="AG1802" s="82">
        <f>IF(AN1802="","",AD1802+AE1802+AF1802)</f>
        <v/>
      </c>
      <c r="AH1802" s="81">
        <f>IF(AN1802="","",P1802*(1-AG1802))</f>
        <v/>
      </c>
      <c r="AI1802" s="81">
        <f>IF(AN1802="","",IF(Q1802="Sin Factura",0,IFERROR(INDEX(Facturas_Odoo!$H:$H, MATCH(Q1802, Facturas_Odoo!$B:$B, 0)), 0)*(1-AG1802)))</f>
        <v/>
      </c>
      <c r="AJ1802" s="81">
        <f>IF(AN1802="","",_xlfn.LET(idVenta, AN1802&amp;"",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02" s="81">
        <f>IF(AN1802="","",AH1802-AJ1802)</f>
        <v/>
      </c>
      <c r="AL1802" s="81">
        <f>IF(AN1802="","",IF(Q1802="Sin Factura","",AI1802-AJ1802))</f>
        <v/>
      </c>
      <c r="AM1802" s="81">
        <f>IF(AN1802="","",IF(Q1802="Sin Factura",0,P1802-IFERROR(INDEX(Facturas_Odoo!$H:$H, MATCH(Q1802, Facturas_Odoo!$B:$B, 0)), 0)))</f>
        <v/>
      </c>
      <c r="AN1802" s="79">
        <f>IF(AND(A1802="", J1802=""), "", IF(A1802&lt;&gt;"", VALUE(MID(A1802,2,LEN(A1802))), AN1801))</f>
        <v/>
      </c>
      <c r="AO1802" s="79">
        <f>IF(AN1802="","",IF(AD1802=0,"OK",_xlfn.LET(monedaPago, IF(AA1802="","USD",AA1802), limitePermitido, IFERROR(VLOOKUP(monedaPago, Configuración!$A$2:$B$3, 2, FALSE), 0.15), IF(AD1802&gt;limitePermitido, "ALERTA: EXCESO (" &amp; TEXT(limitePermitido, "0%") &amp; " máx)", "OK"))))</f>
        <v/>
      </c>
      <c r="AP1802" s="79">
        <f>IF(AN1802="","",IF(AE1802=0,"OK",_xlfn.LET(fechaPago, Z1802, fechaFactura, R1802, diasCredito, IF(E1802="Pago inmediato", 0, IFERROR(VALUE(MID(E1802, 1, SEARCH(" ", E1802)-1)),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02" s="79">
        <f>IF(AN1802="","",IF(AND(N1802&gt;0, AG1802&gt;0), IF(Configuración!$K$2="NO", "ALERTA: DESCUENTO DOBLE NO PERMITIDO", "OK"), "OK"))</f>
        <v/>
      </c>
      <c r="AR1802" s="79">
        <f>IF(AN1802="","",IF(OR(AO1802&lt;&gt;"OK", AP1802&lt;&gt;"OK", AQ1802&lt;&gt;"OK"), "⚠️ REVISAR", "OK"))</f>
        <v/>
      </c>
    </row>
    <row r="1803">
      <c r="A1803" s="79">
        <f>IF('Ordenes_Odoo'!A1803="","",'Ordenes_Odoo'!A1803)</f>
        <v/>
      </c>
      <c r="B1803" s="80">
        <f>IF('Ordenes_Odoo'!B1803="","",'Ordenes_Odoo'!B1803)</f>
        <v/>
      </c>
      <c r="C1803" s="79">
        <f>IF('Ordenes_Odoo'!C1803="","",'Ordenes_Odoo'!C1803)</f>
        <v/>
      </c>
      <c r="D1803" s="79">
        <f>IF('Ordenes_Odoo'!D1803="","",'Ordenes_Odoo'!D1803)</f>
        <v/>
      </c>
      <c r="E1803" s="79">
        <f>IF('Ordenes_Odoo'!E1803="","",'Ordenes_Odoo'!E1803)</f>
        <v/>
      </c>
      <c r="F1803" s="79">
        <f>IF('Ordenes_Odoo'!F1803="","",'Ordenes_Odoo'!F1803)</f>
        <v/>
      </c>
      <c r="G1803" s="79">
        <f>IF('Ordenes_Odoo'!G1803="","",'Ordenes_Odoo'!G1803)</f>
        <v/>
      </c>
      <c r="H1803" s="79">
        <f>IF('Ordenes_Odoo'!H1803="","",'Ordenes_Odoo'!H1803)</f>
        <v/>
      </c>
      <c r="I1803" s="79">
        <f>IF('Ordenes_Odoo'!I1803="","",'Ordenes_Odoo'!I1803)</f>
        <v/>
      </c>
      <c r="J1803" s="79">
        <f>IF('Ordenes_Odoo'!J1803="","",'Ordenes_Odoo'!J1803)</f>
        <v/>
      </c>
      <c r="K1803" s="81">
        <f>IF('Ordenes_Odoo'!K1803="","",'Ordenes_Odoo'!K1803)</f>
        <v/>
      </c>
      <c r="L1803" s="81">
        <f>IF('Ordenes_Odoo'!L1803="","",'Ordenes_Odoo'!L1803)</f>
        <v/>
      </c>
      <c r="M1803" s="79">
        <f>IF('Ordenes_Odoo'!M1803="","",'Ordenes_Odoo'!M1803)</f>
        <v/>
      </c>
      <c r="N1803" s="79">
        <f>IF('Ordenes_Odoo'!N1803="","",'Ordenes_Odoo'!N1803)</f>
        <v/>
      </c>
      <c r="O1803" s="81">
        <f>IF('Ordenes_Odoo'!O1803="","",'Ordenes_Odoo'!O1803)</f>
        <v/>
      </c>
      <c r="P1803" s="81">
        <f>IF('Ordenes_Odoo'!P1803="","",'Ordenes_Odoo'!P1803)</f>
        <v/>
      </c>
      <c r="Q1803" s="79">
        <f>IF(A1803="","",IFERROR(INDEX(Facturas_Odoo!$B:$B, MATCH(A1803, Facturas_Odoo!$D:$D, 0)), "Sin Factura"))</f>
        <v/>
      </c>
      <c r="R1803" s="80">
        <f>IF(Q1803="Sin Factura","",IFERROR(INDEX(Facturas_Odoo!$A:$A, MATCH(Q1803, Facturas_Odoo!$B:$B, 0)), ""))</f>
        <v/>
      </c>
      <c r="S1803" s="79">
        <f>IF(Q1803="Sin Factura","",IFERROR(_xlfn.XLOOKUP(1, (Facturas_Odoo!$D:$D=A1803) * (Facturas_Odoo!$K:$K=I1803), Facturas_Odoo!$L:$L, ""), ""))</f>
        <v/>
      </c>
      <c r="T1803" s="81">
        <f>IF(Q1803="Sin Factura",0,IFERROR(_xlfn.XLOOKUP(1, (Facturas_Odoo!$D:$D=A1803) * (Facturas_Odoo!$K:$K=I1803), Facturas_Odoo!$M:$M, 0), 0))</f>
        <v/>
      </c>
      <c r="U1803" s="79">
        <f>IF(Q1803="Sin Factura",0,IFERROR(_xlfn.XLOOKUP(1, (Facturas_Odoo!$D:$D=A1803) * (Facturas_Odoo!$K:$K=I1803), Facturas_Odoo!$N:$N, 0), 0))</f>
        <v/>
      </c>
      <c r="V1803" s="79">
        <f>IF(Q1803="Sin Factura",0,IFERROR(_xlfn.XLOOKUP(1, (Facturas_Odoo!$D:$D=A1803) * (Facturas_Odoo!$K:$K=I1803), Facturas_Odoo!$O:$O, 0), 0))</f>
        <v/>
      </c>
      <c r="W1803" s="81">
        <f>IF(Q1803="Sin Factura",0,IFERROR(_xlfn.XLOOKUP(1, (Facturas_Odoo!$D:$D=A1803) * (Facturas_Odoo!$K:$K=I1803), Facturas_Odoo!$Q:$Q, 0), 0))</f>
        <v/>
      </c>
      <c r="X1803" s="79">
        <f>IF(OR(Q1803="Sin Factura",Q1803=""),"",IFERROR(INDEX(Pagos_Odoo!$B:$B, MATCH(Q1803, Pagos_Odoo!$I:$I, 0)), "Sin Pago"))</f>
        <v/>
      </c>
      <c r="Y1803" s="79">
        <f>IF(X1803="Sin Pago","",IFERROR(INDEX(Pagos_Odoo!$C:$C, MATCH(X1803, Pagos_Odoo!$B:$B, 0)), ""))</f>
        <v/>
      </c>
      <c r="Z1803" s="80">
        <f>IF(X1803="Sin Pago","",IFERROR(INDEX(Pagos_Odoo!$A:$A, MATCH(X1803, Pagos_Odoo!$B:$B, 0)), ""))</f>
        <v/>
      </c>
      <c r="AA1803" s="79">
        <f>IF(X1803="Sin Pago","",IFERROR(INDEX(Pagos_Odoo!$F:$F, MATCH(X1803, Pagos_Odoo!$B:$B, 0)), ""))</f>
        <v/>
      </c>
      <c r="AB1803" s="81">
        <f>IF(X1803="Sin Pago",0,IFERROR(INDEX(Pagos_Odoo!$E:$E, MATCH(X1803, Pagos_Odoo!$B:$B, 0)), 0))</f>
        <v/>
      </c>
      <c r="AC1803" s="79">
        <f>IF(X1803="Sin Pago","",IFERROR(INDEX(Pagos_Odoo!$G:$G, MATCH(X1803, Pagos_Odoo!$B:$B, 0)), ""))</f>
        <v/>
      </c>
      <c r="AD1803" s="82" t="n">
        <v>0</v>
      </c>
      <c r="AE1803" s="82" t="n"/>
      <c r="AF1803" s="82" t="n"/>
      <c r="AG1803" s="82">
        <f>IF(AN1803="","",AD1803+AE1803+AF1803)</f>
        <v/>
      </c>
      <c r="AH1803" s="81">
        <f>IF(AN1803="","",P1803*(1-AG1803))</f>
        <v/>
      </c>
      <c r="AI1803" s="81">
        <f>IF(AN1803="","",IF(Q1803="Sin Factura",0,IFERROR(INDEX(Facturas_Odoo!$H:$H, MATCH(Q1803, Facturas_Odoo!$B:$B, 0)), 0)*(1-AG1803)))</f>
        <v/>
      </c>
      <c r="AJ1803" s="81">
        <f>IF(AN1803="","",_xlfn.LET(idVenta, AN1803&amp;"",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03" s="81">
        <f>IF(AN1803="","",AH1803-AJ1803)</f>
        <v/>
      </c>
      <c r="AL1803" s="81">
        <f>IF(AN1803="","",IF(Q1803="Sin Factura","",AI1803-AJ1803))</f>
        <v/>
      </c>
      <c r="AM1803" s="81">
        <f>IF(AN1803="","",IF(Q1803="Sin Factura",0,P1803-IFERROR(INDEX(Facturas_Odoo!$H:$H, MATCH(Q1803, Facturas_Odoo!$B:$B, 0)), 0)))</f>
        <v/>
      </c>
      <c r="AN1803" s="79">
        <f>IF(AND(A1803="", J1803=""), "", IF(A1803&lt;&gt;"", VALUE(MID(A1803,2,LEN(A1803))), AN1802))</f>
        <v/>
      </c>
      <c r="AO1803" s="79">
        <f>IF(AN1803="","",IF(AD1803=0,"OK",_xlfn.LET(monedaPago, IF(AA1803="","USD",AA1803), limitePermitido, IFERROR(VLOOKUP(monedaPago, Configuración!$A$2:$B$3, 2, FALSE), 0.15), IF(AD1803&gt;limitePermitido, "ALERTA: EXCESO (" &amp; TEXT(limitePermitido, "0%") &amp; " máx)", "OK"))))</f>
        <v/>
      </c>
      <c r="AP1803" s="79">
        <f>IF(AN1803="","",IF(AE1803=0,"OK",_xlfn.LET(fechaPago, Z1803, fechaFactura, R1803, diasCredito, IF(E1803="Pago inmediato", 0, IFERROR(VALUE(MID(E1803, 1, SEARCH(" ", E1803)-1)),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03" s="79">
        <f>IF(AN1803="","",IF(AND(N1803&gt;0, AG1803&gt;0), IF(Configuración!$K$2="NO", "ALERTA: DESCUENTO DOBLE NO PERMITIDO", "OK"), "OK"))</f>
        <v/>
      </c>
      <c r="AR1803" s="79">
        <f>IF(AN1803="","",IF(OR(AO1803&lt;&gt;"OK", AP1803&lt;&gt;"OK", AQ1803&lt;&gt;"OK"), "⚠️ REVISAR", "OK"))</f>
        <v/>
      </c>
    </row>
    <row r="1804">
      <c r="A1804" s="79">
        <f>IF('Ordenes_Odoo'!A1804="","",'Ordenes_Odoo'!A1804)</f>
        <v/>
      </c>
      <c r="B1804" s="80">
        <f>IF('Ordenes_Odoo'!B1804="","",'Ordenes_Odoo'!B1804)</f>
        <v/>
      </c>
      <c r="C1804" s="79">
        <f>IF('Ordenes_Odoo'!C1804="","",'Ordenes_Odoo'!C1804)</f>
        <v/>
      </c>
      <c r="D1804" s="79">
        <f>IF('Ordenes_Odoo'!D1804="","",'Ordenes_Odoo'!D1804)</f>
        <v/>
      </c>
      <c r="E1804" s="79">
        <f>IF('Ordenes_Odoo'!E1804="","",'Ordenes_Odoo'!E1804)</f>
        <v/>
      </c>
      <c r="F1804" s="79">
        <f>IF('Ordenes_Odoo'!F1804="","",'Ordenes_Odoo'!F1804)</f>
        <v/>
      </c>
      <c r="G1804" s="79">
        <f>IF('Ordenes_Odoo'!G1804="","",'Ordenes_Odoo'!G1804)</f>
        <v/>
      </c>
      <c r="H1804" s="79">
        <f>IF('Ordenes_Odoo'!H1804="","",'Ordenes_Odoo'!H1804)</f>
        <v/>
      </c>
      <c r="I1804" s="79">
        <f>IF('Ordenes_Odoo'!I1804="","",'Ordenes_Odoo'!I1804)</f>
        <v/>
      </c>
      <c r="J1804" s="79">
        <f>IF('Ordenes_Odoo'!J1804="","",'Ordenes_Odoo'!J1804)</f>
        <v/>
      </c>
      <c r="K1804" s="81">
        <f>IF('Ordenes_Odoo'!K1804="","",'Ordenes_Odoo'!K1804)</f>
        <v/>
      </c>
      <c r="L1804" s="81">
        <f>IF('Ordenes_Odoo'!L1804="","",'Ordenes_Odoo'!L1804)</f>
        <v/>
      </c>
      <c r="M1804" s="79">
        <f>IF('Ordenes_Odoo'!M1804="","",'Ordenes_Odoo'!M1804)</f>
        <v/>
      </c>
      <c r="N1804" s="79">
        <f>IF('Ordenes_Odoo'!N1804="","",'Ordenes_Odoo'!N1804)</f>
        <v/>
      </c>
      <c r="O1804" s="81">
        <f>IF('Ordenes_Odoo'!O1804="","",'Ordenes_Odoo'!O1804)</f>
        <v/>
      </c>
      <c r="P1804" s="81">
        <f>IF('Ordenes_Odoo'!P1804="","",'Ordenes_Odoo'!P1804)</f>
        <v/>
      </c>
      <c r="Q1804" s="79">
        <f>IF(A1804="","",IFERROR(INDEX(Facturas_Odoo!$B:$B, MATCH(A1804, Facturas_Odoo!$D:$D, 0)), "Sin Factura"))</f>
        <v/>
      </c>
      <c r="R1804" s="80">
        <f>IF(Q1804="Sin Factura","",IFERROR(INDEX(Facturas_Odoo!$A:$A, MATCH(Q1804, Facturas_Odoo!$B:$B, 0)), ""))</f>
        <v/>
      </c>
      <c r="S1804" s="79">
        <f>IF(Q1804="Sin Factura","",IFERROR(_xlfn.XLOOKUP(1, (Facturas_Odoo!$D:$D=A1804) * (Facturas_Odoo!$K:$K=I1804), Facturas_Odoo!$L:$L, ""), ""))</f>
        <v/>
      </c>
      <c r="T1804" s="81">
        <f>IF(Q1804="Sin Factura",0,IFERROR(_xlfn.XLOOKUP(1, (Facturas_Odoo!$D:$D=A1804) * (Facturas_Odoo!$K:$K=I1804), Facturas_Odoo!$M:$M, 0), 0))</f>
        <v/>
      </c>
      <c r="U1804" s="79">
        <f>IF(Q1804="Sin Factura",0,IFERROR(_xlfn.XLOOKUP(1, (Facturas_Odoo!$D:$D=A1804) * (Facturas_Odoo!$K:$K=I1804), Facturas_Odoo!$N:$N, 0), 0))</f>
        <v/>
      </c>
      <c r="V1804" s="79">
        <f>IF(Q1804="Sin Factura",0,IFERROR(_xlfn.XLOOKUP(1, (Facturas_Odoo!$D:$D=A1804) * (Facturas_Odoo!$K:$K=I1804), Facturas_Odoo!$O:$O, 0), 0))</f>
        <v/>
      </c>
      <c r="W1804" s="81">
        <f>IF(Q1804="Sin Factura",0,IFERROR(_xlfn.XLOOKUP(1, (Facturas_Odoo!$D:$D=A1804) * (Facturas_Odoo!$K:$K=I1804), Facturas_Odoo!$Q:$Q, 0), 0))</f>
        <v/>
      </c>
      <c r="X1804" s="79">
        <f>IF(OR(Q1804="Sin Factura",Q1804=""),"",IFERROR(INDEX(Pagos_Odoo!$B:$B, MATCH(Q1804, Pagos_Odoo!$I:$I, 0)), "Sin Pago"))</f>
        <v/>
      </c>
      <c r="Y1804" s="79">
        <f>IF(X1804="Sin Pago","",IFERROR(INDEX(Pagos_Odoo!$C:$C, MATCH(X1804, Pagos_Odoo!$B:$B, 0)), ""))</f>
        <v/>
      </c>
      <c r="Z1804" s="80">
        <f>IF(X1804="Sin Pago","",IFERROR(INDEX(Pagos_Odoo!$A:$A, MATCH(X1804, Pagos_Odoo!$B:$B, 0)), ""))</f>
        <v/>
      </c>
      <c r="AA1804" s="79">
        <f>IF(X1804="Sin Pago","",IFERROR(INDEX(Pagos_Odoo!$F:$F, MATCH(X1804, Pagos_Odoo!$B:$B, 0)), ""))</f>
        <v/>
      </c>
      <c r="AB1804" s="81">
        <f>IF(X1804="Sin Pago",0,IFERROR(INDEX(Pagos_Odoo!$E:$E, MATCH(X1804, Pagos_Odoo!$B:$B, 0)), 0))</f>
        <v/>
      </c>
      <c r="AC1804" s="79">
        <f>IF(X1804="Sin Pago","",IFERROR(INDEX(Pagos_Odoo!$G:$G, MATCH(X1804, Pagos_Odoo!$B:$B, 0)), ""))</f>
        <v/>
      </c>
      <c r="AD1804" s="82" t="n">
        <v>0</v>
      </c>
      <c r="AE1804" s="82" t="n"/>
      <c r="AF1804" s="82" t="n"/>
      <c r="AG1804" s="82">
        <f>IF(AN1804="","",AD1804+AE1804+AF1804)</f>
        <v/>
      </c>
      <c r="AH1804" s="81">
        <f>IF(AN1804="","",P1804*(1-AG1804))</f>
        <v/>
      </c>
      <c r="AI1804" s="81">
        <f>IF(AN1804="","",IF(Q1804="Sin Factura",0,IFERROR(INDEX(Facturas_Odoo!$H:$H, MATCH(Q1804, Facturas_Odoo!$B:$B, 0)), 0)*(1-AG1804)))</f>
        <v/>
      </c>
      <c r="AJ1804" s="81">
        <f>IF(AN1804="","",_xlfn.LET(idVenta, AN1804&amp;"",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04" s="81">
        <f>IF(AN1804="","",AH1804-AJ1804)</f>
        <v/>
      </c>
      <c r="AL1804" s="81">
        <f>IF(AN1804="","",IF(Q1804="Sin Factura","",AI1804-AJ1804))</f>
        <v/>
      </c>
      <c r="AM1804" s="81">
        <f>IF(AN1804="","",IF(Q1804="Sin Factura",0,P1804-IFERROR(INDEX(Facturas_Odoo!$H:$H, MATCH(Q1804, Facturas_Odoo!$B:$B, 0)), 0)))</f>
        <v/>
      </c>
      <c r="AN1804" s="79">
        <f>IF(AND(A1804="", J1804=""), "", IF(A1804&lt;&gt;"", VALUE(MID(A1804,2,LEN(A1804))), AN1803))</f>
        <v/>
      </c>
      <c r="AO1804" s="79">
        <f>IF(AN1804="","",IF(AD1804=0,"OK",_xlfn.LET(monedaPago, IF(AA1804="","USD",AA1804), limitePermitido, IFERROR(VLOOKUP(monedaPago, Configuración!$A$2:$B$3, 2, FALSE), 0.15), IF(AD1804&gt;limitePermitido, "ALERTA: EXCESO (" &amp; TEXT(limitePermitido, "0%") &amp; " máx)", "OK"))))</f>
        <v/>
      </c>
      <c r="AP1804" s="79">
        <f>IF(AN1804="","",IF(AE1804=0,"OK",_xlfn.LET(fechaPago, Z1804, fechaFactura, R1804, diasCredito, IF(E1804="Pago inmediato", 0, IFERROR(VALUE(MID(E1804, 1, SEARCH(" ", E1804)-1)),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04" s="79">
        <f>IF(AN1804="","",IF(AND(N1804&gt;0, AG1804&gt;0), IF(Configuración!$K$2="NO", "ALERTA: DESCUENTO DOBLE NO PERMITIDO", "OK"), "OK"))</f>
        <v/>
      </c>
      <c r="AR1804" s="79">
        <f>IF(AN1804="","",IF(OR(AO1804&lt;&gt;"OK", AP1804&lt;&gt;"OK", AQ1804&lt;&gt;"OK"), "⚠️ REVISAR", "OK"))</f>
        <v/>
      </c>
    </row>
    <row r="1805">
      <c r="A1805" s="79">
        <f>IF('Ordenes_Odoo'!A1805="","",'Ordenes_Odoo'!A1805)</f>
        <v/>
      </c>
      <c r="B1805" s="80">
        <f>IF('Ordenes_Odoo'!B1805="","",'Ordenes_Odoo'!B1805)</f>
        <v/>
      </c>
      <c r="C1805" s="79">
        <f>IF('Ordenes_Odoo'!C1805="","",'Ordenes_Odoo'!C1805)</f>
        <v/>
      </c>
      <c r="D1805" s="79">
        <f>IF('Ordenes_Odoo'!D1805="","",'Ordenes_Odoo'!D1805)</f>
        <v/>
      </c>
      <c r="E1805" s="79">
        <f>IF('Ordenes_Odoo'!E1805="","",'Ordenes_Odoo'!E1805)</f>
        <v/>
      </c>
      <c r="F1805" s="79">
        <f>IF('Ordenes_Odoo'!F1805="","",'Ordenes_Odoo'!F1805)</f>
        <v/>
      </c>
      <c r="G1805" s="79">
        <f>IF('Ordenes_Odoo'!G1805="","",'Ordenes_Odoo'!G1805)</f>
        <v/>
      </c>
      <c r="H1805" s="79">
        <f>IF('Ordenes_Odoo'!H1805="","",'Ordenes_Odoo'!H1805)</f>
        <v/>
      </c>
      <c r="I1805" s="79">
        <f>IF('Ordenes_Odoo'!I1805="","",'Ordenes_Odoo'!I1805)</f>
        <v/>
      </c>
      <c r="J1805" s="79">
        <f>IF('Ordenes_Odoo'!J1805="","",'Ordenes_Odoo'!J1805)</f>
        <v/>
      </c>
      <c r="K1805" s="81">
        <f>IF('Ordenes_Odoo'!K1805="","",'Ordenes_Odoo'!K1805)</f>
        <v/>
      </c>
      <c r="L1805" s="81">
        <f>IF('Ordenes_Odoo'!L1805="","",'Ordenes_Odoo'!L1805)</f>
        <v/>
      </c>
      <c r="M1805" s="79">
        <f>IF('Ordenes_Odoo'!M1805="","",'Ordenes_Odoo'!M1805)</f>
        <v/>
      </c>
      <c r="N1805" s="79">
        <f>IF('Ordenes_Odoo'!N1805="","",'Ordenes_Odoo'!N1805)</f>
        <v/>
      </c>
      <c r="O1805" s="81">
        <f>IF('Ordenes_Odoo'!O1805="","",'Ordenes_Odoo'!O1805)</f>
        <v/>
      </c>
      <c r="P1805" s="81">
        <f>IF('Ordenes_Odoo'!P1805="","",'Ordenes_Odoo'!P1805)</f>
        <v/>
      </c>
      <c r="Q1805" s="79">
        <f>IF(A1805="","",IFERROR(INDEX(Facturas_Odoo!$B:$B, MATCH(A1805, Facturas_Odoo!$D:$D, 0)), "Sin Factura"))</f>
        <v/>
      </c>
      <c r="R1805" s="80">
        <f>IF(Q1805="Sin Factura","",IFERROR(INDEX(Facturas_Odoo!$A:$A, MATCH(Q1805, Facturas_Odoo!$B:$B, 0)), ""))</f>
        <v/>
      </c>
      <c r="S1805" s="79">
        <f>IF(Q1805="Sin Factura","",IFERROR(_xlfn.XLOOKUP(1, (Facturas_Odoo!$D:$D=A1805) * (Facturas_Odoo!$K:$K=I1805), Facturas_Odoo!$L:$L, ""), ""))</f>
        <v/>
      </c>
      <c r="T1805" s="81">
        <f>IF(Q1805="Sin Factura",0,IFERROR(_xlfn.XLOOKUP(1, (Facturas_Odoo!$D:$D=A1805) * (Facturas_Odoo!$K:$K=I1805), Facturas_Odoo!$M:$M, 0), 0))</f>
        <v/>
      </c>
      <c r="U1805" s="79">
        <f>IF(Q1805="Sin Factura",0,IFERROR(_xlfn.XLOOKUP(1, (Facturas_Odoo!$D:$D=A1805) * (Facturas_Odoo!$K:$K=I1805), Facturas_Odoo!$N:$N, 0), 0))</f>
        <v/>
      </c>
      <c r="V1805" s="79">
        <f>IF(Q1805="Sin Factura",0,IFERROR(_xlfn.XLOOKUP(1, (Facturas_Odoo!$D:$D=A1805) * (Facturas_Odoo!$K:$K=I1805), Facturas_Odoo!$O:$O, 0), 0))</f>
        <v/>
      </c>
      <c r="W1805" s="81">
        <f>IF(Q1805="Sin Factura",0,IFERROR(_xlfn.XLOOKUP(1, (Facturas_Odoo!$D:$D=A1805) * (Facturas_Odoo!$K:$K=I1805), Facturas_Odoo!$Q:$Q, 0), 0))</f>
        <v/>
      </c>
      <c r="X1805" s="79">
        <f>IF(OR(Q1805="Sin Factura",Q1805=""),"",IFERROR(INDEX(Pagos_Odoo!$B:$B, MATCH(Q1805, Pagos_Odoo!$I:$I, 0)), "Sin Pago"))</f>
        <v/>
      </c>
      <c r="Y1805" s="79">
        <f>IF(X1805="Sin Pago","",IFERROR(INDEX(Pagos_Odoo!$C:$C, MATCH(X1805, Pagos_Odoo!$B:$B, 0)), ""))</f>
        <v/>
      </c>
      <c r="Z1805" s="80">
        <f>IF(X1805="Sin Pago","",IFERROR(INDEX(Pagos_Odoo!$A:$A, MATCH(X1805, Pagos_Odoo!$B:$B, 0)), ""))</f>
        <v/>
      </c>
      <c r="AA1805" s="79">
        <f>IF(X1805="Sin Pago","",IFERROR(INDEX(Pagos_Odoo!$F:$F, MATCH(X1805, Pagos_Odoo!$B:$B, 0)), ""))</f>
        <v/>
      </c>
      <c r="AB1805" s="81">
        <f>IF(X1805="Sin Pago",0,IFERROR(INDEX(Pagos_Odoo!$E:$E, MATCH(X1805, Pagos_Odoo!$B:$B, 0)), 0))</f>
        <v/>
      </c>
      <c r="AC1805" s="79">
        <f>IF(X1805="Sin Pago","",IFERROR(INDEX(Pagos_Odoo!$G:$G, MATCH(X1805, Pagos_Odoo!$B:$B, 0)), ""))</f>
        <v/>
      </c>
      <c r="AD1805" s="82" t="n">
        <v>0</v>
      </c>
      <c r="AE1805" s="82" t="n"/>
      <c r="AF1805" s="82" t="n"/>
      <c r="AG1805" s="82">
        <f>IF(AN1805="","",AD1805+AE1805+AF1805)</f>
        <v/>
      </c>
      <c r="AH1805" s="81">
        <f>IF(AN1805="","",P1805*(1-AG1805))</f>
        <v/>
      </c>
      <c r="AI1805" s="81">
        <f>IF(AN1805="","",IF(Q1805="Sin Factura",0,IFERROR(INDEX(Facturas_Odoo!$H:$H, MATCH(Q1805, Facturas_Odoo!$B:$B, 0)), 0)*(1-AG1805)))</f>
        <v/>
      </c>
      <c r="AJ1805" s="81">
        <f>IF(AN1805="","",_xlfn.LET(idVenta, AN1805&amp;"",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05" s="81">
        <f>IF(AN1805="","",AH1805-AJ1805)</f>
        <v/>
      </c>
      <c r="AL1805" s="81">
        <f>IF(AN1805="","",IF(Q1805="Sin Factura","",AI1805-AJ1805))</f>
        <v/>
      </c>
      <c r="AM1805" s="81">
        <f>IF(AN1805="","",IF(Q1805="Sin Factura",0,P1805-IFERROR(INDEX(Facturas_Odoo!$H:$H, MATCH(Q1805, Facturas_Odoo!$B:$B, 0)), 0)))</f>
        <v/>
      </c>
      <c r="AN1805" s="79">
        <f>IF(AND(A1805="", J1805=""), "", IF(A1805&lt;&gt;"", VALUE(MID(A1805,2,LEN(A1805))), AN1804))</f>
        <v/>
      </c>
      <c r="AO1805" s="79">
        <f>IF(AN1805="","",IF(AD1805=0,"OK",_xlfn.LET(monedaPago, IF(AA1805="","USD",AA1805), limitePermitido, IFERROR(VLOOKUP(monedaPago, Configuración!$A$2:$B$3, 2, FALSE), 0.15), IF(AD1805&gt;limitePermitido, "ALERTA: EXCESO (" &amp; TEXT(limitePermitido, "0%") &amp; " máx)", "OK"))))</f>
        <v/>
      </c>
      <c r="AP1805" s="79">
        <f>IF(AN1805="","",IF(AE1805=0,"OK",_xlfn.LET(fechaPago, Z1805, fechaFactura, R1805, diasCredito, IF(E1805="Pago inmediato", 0, IFERROR(VALUE(MID(E1805, 1, SEARCH(" ", E1805)-1)),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05" s="79">
        <f>IF(AN1805="","",IF(AND(N1805&gt;0, AG1805&gt;0), IF(Configuración!$K$2="NO", "ALERTA: DESCUENTO DOBLE NO PERMITIDO", "OK"), "OK"))</f>
        <v/>
      </c>
      <c r="AR1805" s="79">
        <f>IF(AN1805="","",IF(OR(AO1805&lt;&gt;"OK", AP1805&lt;&gt;"OK", AQ1805&lt;&gt;"OK"), "⚠️ REVISAR", "OK"))</f>
        <v/>
      </c>
    </row>
    <row r="1806">
      <c r="A1806" s="79">
        <f>IF('Ordenes_Odoo'!A1806="","",'Ordenes_Odoo'!A1806)</f>
        <v/>
      </c>
      <c r="B1806" s="80">
        <f>IF('Ordenes_Odoo'!B1806="","",'Ordenes_Odoo'!B1806)</f>
        <v/>
      </c>
      <c r="C1806" s="79">
        <f>IF('Ordenes_Odoo'!C1806="","",'Ordenes_Odoo'!C1806)</f>
        <v/>
      </c>
      <c r="D1806" s="79">
        <f>IF('Ordenes_Odoo'!D1806="","",'Ordenes_Odoo'!D1806)</f>
        <v/>
      </c>
      <c r="E1806" s="79">
        <f>IF('Ordenes_Odoo'!E1806="","",'Ordenes_Odoo'!E1806)</f>
        <v/>
      </c>
      <c r="F1806" s="79">
        <f>IF('Ordenes_Odoo'!F1806="","",'Ordenes_Odoo'!F1806)</f>
        <v/>
      </c>
      <c r="G1806" s="79">
        <f>IF('Ordenes_Odoo'!G1806="","",'Ordenes_Odoo'!G1806)</f>
        <v/>
      </c>
      <c r="H1806" s="79">
        <f>IF('Ordenes_Odoo'!H1806="","",'Ordenes_Odoo'!H1806)</f>
        <v/>
      </c>
      <c r="I1806" s="79">
        <f>IF('Ordenes_Odoo'!I1806="","",'Ordenes_Odoo'!I1806)</f>
        <v/>
      </c>
      <c r="J1806" s="79">
        <f>IF('Ordenes_Odoo'!J1806="","",'Ordenes_Odoo'!J1806)</f>
        <v/>
      </c>
      <c r="K1806" s="81">
        <f>IF('Ordenes_Odoo'!K1806="","",'Ordenes_Odoo'!K1806)</f>
        <v/>
      </c>
      <c r="L1806" s="81">
        <f>IF('Ordenes_Odoo'!L1806="","",'Ordenes_Odoo'!L1806)</f>
        <v/>
      </c>
      <c r="M1806" s="79">
        <f>IF('Ordenes_Odoo'!M1806="","",'Ordenes_Odoo'!M1806)</f>
        <v/>
      </c>
      <c r="N1806" s="79">
        <f>IF('Ordenes_Odoo'!N1806="","",'Ordenes_Odoo'!N1806)</f>
        <v/>
      </c>
      <c r="O1806" s="81">
        <f>IF('Ordenes_Odoo'!O1806="","",'Ordenes_Odoo'!O1806)</f>
        <v/>
      </c>
      <c r="P1806" s="81">
        <f>IF('Ordenes_Odoo'!P1806="","",'Ordenes_Odoo'!P1806)</f>
        <v/>
      </c>
      <c r="Q1806" s="79">
        <f>IF(A1806="","",IFERROR(INDEX(Facturas_Odoo!$B:$B, MATCH(A1806, Facturas_Odoo!$D:$D, 0)), "Sin Factura"))</f>
        <v/>
      </c>
      <c r="R1806" s="80">
        <f>IF(Q1806="Sin Factura","",IFERROR(INDEX(Facturas_Odoo!$A:$A, MATCH(Q1806, Facturas_Odoo!$B:$B, 0)), ""))</f>
        <v/>
      </c>
      <c r="S1806" s="79">
        <f>IF(Q1806="Sin Factura","",IFERROR(_xlfn.XLOOKUP(1, (Facturas_Odoo!$D:$D=A1806) * (Facturas_Odoo!$K:$K=I1806), Facturas_Odoo!$L:$L, ""), ""))</f>
        <v/>
      </c>
      <c r="T1806" s="81">
        <f>IF(Q1806="Sin Factura",0,IFERROR(_xlfn.XLOOKUP(1, (Facturas_Odoo!$D:$D=A1806) * (Facturas_Odoo!$K:$K=I1806), Facturas_Odoo!$M:$M, 0), 0))</f>
        <v/>
      </c>
      <c r="U1806" s="79">
        <f>IF(Q1806="Sin Factura",0,IFERROR(_xlfn.XLOOKUP(1, (Facturas_Odoo!$D:$D=A1806) * (Facturas_Odoo!$K:$K=I1806), Facturas_Odoo!$N:$N, 0), 0))</f>
        <v/>
      </c>
      <c r="V1806" s="79">
        <f>IF(Q1806="Sin Factura",0,IFERROR(_xlfn.XLOOKUP(1, (Facturas_Odoo!$D:$D=A1806) * (Facturas_Odoo!$K:$K=I1806), Facturas_Odoo!$O:$O, 0), 0))</f>
        <v/>
      </c>
      <c r="W1806" s="81">
        <f>IF(Q1806="Sin Factura",0,IFERROR(_xlfn.XLOOKUP(1, (Facturas_Odoo!$D:$D=A1806) * (Facturas_Odoo!$K:$K=I1806), Facturas_Odoo!$Q:$Q, 0), 0))</f>
        <v/>
      </c>
      <c r="X1806" s="79">
        <f>IF(OR(Q1806="Sin Factura",Q1806=""),"",IFERROR(INDEX(Pagos_Odoo!$B:$B, MATCH(Q1806, Pagos_Odoo!$I:$I, 0)), "Sin Pago"))</f>
        <v/>
      </c>
      <c r="Y1806" s="79">
        <f>IF(X1806="Sin Pago","",IFERROR(INDEX(Pagos_Odoo!$C:$C, MATCH(X1806, Pagos_Odoo!$B:$B, 0)), ""))</f>
        <v/>
      </c>
      <c r="Z1806" s="80">
        <f>IF(X1806="Sin Pago","",IFERROR(INDEX(Pagos_Odoo!$A:$A, MATCH(X1806, Pagos_Odoo!$B:$B, 0)), ""))</f>
        <v/>
      </c>
      <c r="AA1806" s="79">
        <f>IF(X1806="Sin Pago","",IFERROR(INDEX(Pagos_Odoo!$F:$F, MATCH(X1806, Pagos_Odoo!$B:$B, 0)), ""))</f>
        <v/>
      </c>
      <c r="AB1806" s="81">
        <f>IF(X1806="Sin Pago",0,IFERROR(INDEX(Pagos_Odoo!$E:$E, MATCH(X1806, Pagos_Odoo!$B:$B, 0)), 0))</f>
        <v/>
      </c>
      <c r="AC1806" s="79">
        <f>IF(X1806="Sin Pago","",IFERROR(INDEX(Pagos_Odoo!$G:$G, MATCH(X1806, Pagos_Odoo!$B:$B, 0)), ""))</f>
        <v/>
      </c>
      <c r="AD1806" s="82" t="n">
        <v>0</v>
      </c>
      <c r="AE1806" s="82" t="n"/>
      <c r="AF1806" s="82" t="n"/>
      <c r="AG1806" s="82">
        <f>IF(AN1806="","",AD1806+AE1806+AF1806)</f>
        <v/>
      </c>
      <c r="AH1806" s="81">
        <f>IF(AN1806="","",P1806*(1-AG1806))</f>
        <v/>
      </c>
      <c r="AI1806" s="81">
        <f>IF(AN1806="","",IF(Q1806="Sin Factura",0,IFERROR(INDEX(Facturas_Odoo!$H:$H, MATCH(Q1806, Facturas_Odoo!$B:$B, 0)), 0)*(1-AG1806)))</f>
        <v/>
      </c>
      <c r="AJ1806" s="81">
        <f>IF(AN1806="","",_xlfn.LET(idVenta, AN1806&amp;"",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06" s="81">
        <f>IF(AN1806="","",AH1806-AJ1806)</f>
        <v/>
      </c>
      <c r="AL1806" s="81">
        <f>IF(AN1806="","",IF(Q1806="Sin Factura","",AI1806-AJ1806))</f>
        <v/>
      </c>
      <c r="AM1806" s="81">
        <f>IF(AN1806="","",IF(Q1806="Sin Factura",0,P1806-IFERROR(INDEX(Facturas_Odoo!$H:$H, MATCH(Q1806, Facturas_Odoo!$B:$B, 0)), 0)))</f>
        <v/>
      </c>
      <c r="AN1806" s="79">
        <f>IF(AND(A1806="", J1806=""), "", IF(A1806&lt;&gt;"", VALUE(MID(A1806,2,LEN(A1806))), AN1805))</f>
        <v/>
      </c>
      <c r="AO1806" s="79">
        <f>IF(AN1806="","",IF(AD1806=0,"OK",_xlfn.LET(monedaPago, IF(AA1806="","USD",AA1806), limitePermitido, IFERROR(VLOOKUP(monedaPago, Configuración!$A$2:$B$3, 2, FALSE), 0.15), IF(AD1806&gt;limitePermitido, "ALERTA: EXCESO (" &amp; TEXT(limitePermitido, "0%") &amp; " máx)", "OK"))))</f>
        <v/>
      </c>
      <c r="AP1806" s="79">
        <f>IF(AN1806="","",IF(AE1806=0,"OK",_xlfn.LET(fechaPago, Z1806, fechaFactura, R1806, diasCredito, IF(E1806="Pago inmediato", 0, IFERROR(VALUE(MID(E1806, 1, SEARCH(" ", E1806)-1)),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06" s="79">
        <f>IF(AN1806="","",IF(AND(N1806&gt;0, AG1806&gt;0), IF(Configuración!$K$2="NO", "ALERTA: DESCUENTO DOBLE NO PERMITIDO", "OK"), "OK"))</f>
        <v/>
      </c>
      <c r="AR1806" s="79">
        <f>IF(AN1806="","",IF(OR(AO1806&lt;&gt;"OK", AP1806&lt;&gt;"OK", AQ1806&lt;&gt;"OK"), "⚠️ REVISAR", "OK"))</f>
        <v/>
      </c>
    </row>
    <row r="1807">
      <c r="A1807" s="79">
        <f>IF('Ordenes_Odoo'!A1807="","",'Ordenes_Odoo'!A1807)</f>
        <v/>
      </c>
      <c r="B1807" s="80">
        <f>IF('Ordenes_Odoo'!B1807="","",'Ordenes_Odoo'!B1807)</f>
        <v/>
      </c>
      <c r="C1807" s="79">
        <f>IF('Ordenes_Odoo'!C1807="","",'Ordenes_Odoo'!C1807)</f>
        <v/>
      </c>
      <c r="D1807" s="79">
        <f>IF('Ordenes_Odoo'!D1807="","",'Ordenes_Odoo'!D1807)</f>
        <v/>
      </c>
      <c r="E1807" s="79">
        <f>IF('Ordenes_Odoo'!E1807="","",'Ordenes_Odoo'!E1807)</f>
        <v/>
      </c>
      <c r="F1807" s="79">
        <f>IF('Ordenes_Odoo'!F1807="","",'Ordenes_Odoo'!F1807)</f>
        <v/>
      </c>
      <c r="G1807" s="79">
        <f>IF('Ordenes_Odoo'!G1807="","",'Ordenes_Odoo'!G1807)</f>
        <v/>
      </c>
      <c r="H1807" s="79">
        <f>IF('Ordenes_Odoo'!H1807="","",'Ordenes_Odoo'!H1807)</f>
        <v/>
      </c>
      <c r="I1807" s="79">
        <f>IF('Ordenes_Odoo'!I1807="","",'Ordenes_Odoo'!I1807)</f>
        <v/>
      </c>
      <c r="J1807" s="79">
        <f>IF('Ordenes_Odoo'!J1807="","",'Ordenes_Odoo'!J1807)</f>
        <v/>
      </c>
      <c r="K1807" s="81">
        <f>IF('Ordenes_Odoo'!K1807="","",'Ordenes_Odoo'!K1807)</f>
        <v/>
      </c>
      <c r="L1807" s="81">
        <f>IF('Ordenes_Odoo'!L1807="","",'Ordenes_Odoo'!L1807)</f>
        <v/>
      </c>
      <c r="M1807" s="79">
        <f>IF('Ordenes_Odoo'!M1807="","",'Ordenes_Odoo'!M1807)</f>
        <v/>
      </c>
      <c r="N1807" s="79">
        <f>IF('Ordenes_Odoo'!N1807="","",'Ordenes_Odoo'!N1807)</f>
        <v/>
      </c>
      <c r="O1807" s="81">
        <f>IF('Ordenes_Odoo'!O1807="","",'Ordenes_Odoo'!O1807)</f>
        <v/>
      </c>
      <c r="P1807" s="81">
        <f>IF('Ordenes_Odoo'!P1807="","",'Ordenes_Odoo'!P1807)</f>
        <v/>
      </c>
      <c r="Q1807" s="79">
        <f>IF(A1807="","",IFERROR(INDEX(Facturas_Odoo!$B:$B, MATCH(A1807, Facturas_Odoo!$D:$D, 0)), "Sin Factura"))</f>
        <v/>
      </c>
      <c r="R1807" s="80">
        <f>IF(Q1807="Sin Factura","",IFERROR(INDEX(Facturas_Odoo!$A:$A, MATCH(Q1807, Facturas_Odoo!$B:$B, 0)), ""))</f>
        <v/>
      </c>
      <c r="S1807" s="79">
        <f>IF(Q1807="Sin Factura","",IFERROR(_xlfn.XLOOKUP(1, (Facturas_Odoo!$D:$D=A1807) * (Facturas_Odoo!$K:$K=I1807), Facturas_Odoo!$L:$L, ""), ""))</f>
        <v/>
      </c>
      <c r="T1807" s="81">
        <f>IF(Q1807="Sin Factura",0,IFERROR(_xlfn.XLOOKUP(1, (Facturas_Odoo!$D:$D=A1807) * (Facturas_Odoo!$K:$K=I1807), Facturas_Odoo!$M:$M, 0), 0))</f>
        <v/>
      </c>
      <c r="U1807" s="79">
        <f>IF(Q1807="Sin Factura",0,IFERROR(_xlfn.XLOOKUP(1, (Facturas_Odoo!$D:$D=A1807) * (Facturas_Odoo!$K:$K=I1807), Facturas_Odoo!$N:$N, 0), 0))</f>
        <v/>
      </c>
      <c r="V1807" s="79">
        <f>IF(Q1807="Sin Factura",0,IFERROR(_xlfn.XLOOKUP(1, (Facturas_Odoo!$D:$D=A1807) * (Facturas_Odoo!$K:$K=I1807), Facturas_Odoo!$O:$O, 0), 0))</f>
        <v/>
      </c>
      <c r="W1807" s="81">
        <f>IF(Q1807="Sin Factura",0,IFERROR(_xlfn.XLOOKUP(1, (Facturas_Odoo!$D:$D=A1807) * (Facturas_Odoo!$K:$K=I1807), Facturas_Odoo!$Q:$Q, 0), 0))</f>
        <v/>
      </c>
      <c r="X1807" s="79">
        <f>IF(OR(Q1807="Sin Factura",Q1807=""),"",IFERROR(INDEX(Pagos_Odoo!$B:$B, MATCH(Q1807, Pagos_Odoo!$I:$I, 0)), "Sin Pago"))</f>
        <v/>
      </c>
      <c r="Y1807" s="79">
        <f>IF(X1807="Sin Pago","",IFERROR(INDEX(Pagos_Odoo!$C:$C, MATCH(X1807, Pagos_Odoo!$B:$B, 0)), ""))</f>
        <v/>
      </c>
      <c r="Z1807" s="80">
        <f>IF(X1807="Sin Pago","",IFERROR(INDEX(Pagos_Odoo!$A:$A, MATCH(X1807, Pagos_Odoo!$B:$B, 0)), ""))</f>
        <v/>
      </c>
      <c r="AA1807" s="79">
        <f>IF(X1807="Sin Pago","",IFERROR(INDEX(Pagos_Odoo!$F:$F, MATCH(X1807, Pagos_Odoo!$B:$B, 0)), ""))</f>
        <v/>
      </c>
      <c r="AB1807" s="81">
        <f>IF(X1807="Sin Pago",0,IFERROR(INDEX(Pagos_Odoo!$E:$E, MATCH(X1807, Pagos_Odoo!$B:$B, 0)), 0))</f>
        <v/>
      </c>
      <c r="AC1807" s="79">
        <f>IF(X1807="Sin Pago","",IFERROR(INDEX(Pagos_Odoo!$G:$G, MATCH(X1807, Pagos_Odoo!$B:$B, 0)), ""))</f>
        <v/>
      </c>
      <c r="AD1807" s="82" t="n">
        <v>0</v>
      </c>
      <c r="AE1807" s="82" t="n"/>
      <c r="AF1807" s="82" t="n"/>
      <c r="AG1807" s="82">
        <f>IF(AN1807="","",AD1807+AE1807+AF1807)</f>
        <v/>
      </c>
      <c r="AH1807" s="81">
        <f>IF(AN1807="","",P1807*(1-AG1807))</f>
        <v/>
      </c>
      <c r="AI1807" s="81">
        <f>IF(AN1807="","",IF(Q1807="Sin Factura",0,IFERROR(INDEX(Facturas_Odoo!$H:$H, MATCH(Q1807, Facturas_Odoo!$B:$B, 0)), 0)*(1-AG1807)))</f>
        <v/>
      </c>
      <c r="AJ1807" s="81">
        <f>IF(AN1807="","",_xlfn.LET(idVenta, AN1807&amp;"",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07" s="81">
        <f>IF(AN1807="","",AH1807-AJ1807)</f>
        <v/>
      </c>
      <c r="AL1807" s="81">
        <f>IF(AN1807="","",IF(Q1807="Sin Factura","",AI1807-AJ1807))</f>
        <v/>
      </c>
      <c r="AM1807" s="81">
        <f>IF(AN1807="","",IF(Q1807="Sin Factura",0,P1807-IFERROR(INDEX(Facturas_Odoo!$H:$H, MATCH(Q1807, Facturas_Odoo!$B:$B, 0)), 0)))</f>
        <v/>
      </c>
      <c r="AN1807" s="79">
        <f>IF(AND(A1807="", J1807=""), "", IF(A1807&lt;&gt;"", VALUE(MID(A1807,2,LEN(A1807))), AN1806))</f>
        <v/>
      </c>
      <c r="AO1807" s="79">
        <f>IF(AN1807="","",IF(AD1807=0,"OK",_xlfn.LET(monedaPago, IF(AA1807="","USD",AA1807), limitePermitido, IFERROR(VLOOKUP(monedaPago, Configuración!$A$2:$B$3, 2, FALSE), 0.15), IF(AD1807&gt;limitePermitido, "ALERTA: EXCESO (" &amp; TEXT(limitePermitido, "0%") &amp; " máx)", "OK"))))</f>
        <v/>
      </c>
      <c r="AP1807" s="79">
        <f>IF(AN1807="","",IF(AE1807=0,"OK",_xlfn.LET(fechaPago, Z1807, fechaFactura, R1807, diasCredito, IF(E1807="Pago inmediato", 0, IFERROR(VALUE(MID(E1807, 1, SEARCH(" ", E1807)-1)),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07" s="79">
        <f>IF(AN1807="","",IF(AND(N1807&gt;0, AG1807&gt;0), IF(Configuración!$K$2="NO", "ALERTA: DESCUENTO DOBLE NO PERMITIDO", "OK"), "OK"))</f>
        <v/>
      </c>
      <c r="AR1807" s="79">
        <f>IF(AN1807="","",IF(OR(AO1807&lt;&gt;"OK", AP1807&lt;&gt;"OK", AQ1807&lt;&gt;"OK"), "⚠️ REVISAR", "OK"))</f>
        <v/>
      </c>
    </row>
    <row r="1808">
      <c r="A1808" s="79">
        <f>IF('Ordenes_Odoo'!A1808="","",'Ordenes_Odoo'!A1808)</f>
        <v/>
      </c>
      <c r="B1808" s="80">
        <f>IF('Ordenes_Odoo'!B1808="","",'Ordenes_Odoo'!B1808)</f>
        <v/>
      </c>
      <c r="C1808" s="79">
        <f>IF('Ordenes_Odoo'!C1808="","",'Ordenes_Odoo'!C1808)</f>
        <v/>
      </c>
      <c r="D1808" s="79">
        <f>IF('Ordenes_Odoo'!D1808="","",'Ordenes_Odoo'!D1808)</f>
        <v/>
      </c>
      <c r="E1808" s="79">
        <f>IF('Ordenes_Odoo'!E1808="","",'Ordenes_Odoo'!E1808)</f>
        <v/>
      </c>
      <c r="F1808" s="79">
        <f>IF('Ordenes_Odoo'!F1808="","",'Ordenes_Odoo'!F1808)</f>
        <v/>
      </c>
      <c r="G1808" s="79">
        <f>IF('Ordenes_Odoo'!G1808="","",'Ordenes_Odoo'!G1808)</f>
        <v/>
      </c>
      <c r="H1808" s="79">
        <f>IF('Ordenes_Odoo'!H1808="","",'Ordenes_Odoo'!H1808)</f>
        <v/>
      </c>
      <c r="I1808" s="79">
        <f>IF('Ordenes_Odoo'!I1808="","",'Ordenes_Odoo'!I1808)</f>
        <v/>
      </c>
      <c r="J1808" s="79">
        <f>IF('Ordenes_Odoo'!J1808="","",'Ordenes_Odoo'!J1808)</f>
        <v/>
      </c>
      <c r="K1808" s="81">
        <f>IF('Ordenes_Odoo'!K1808="","",'Ordenes_Odoo'!K1808)</f>
        <v/>
      </c>
      <c r="L1808" s="81">
        <f>IF('Ordenes_Odoo'!L1808="","",'Ordenes_Odoo'!L1808)</f>
        <v/>
      </c>
      <c r="M1808" s="79">
        <f>IF('Ordenes_Odoo'!M1808="","",'Ordenes_Odoo'!M1808)</f>
        <v/>
      </c>
      <c r="N1808" s="79">
        <f>IF('Ordenes_Odoo'!N1808="","",'Ordenes_Odoo'!N1808)</f>
        <v/>
      </c>
      <c r="O1808" s="81">
        <f>IF('Ordenes_Odoo'!O1808="","",'Ordenes_Odoo'!O1808)</f>
        <v/>
      </c>
      <c r="P1808" s="81">
        <f>IF('Ordenes_Odoo'!P1808="","",'Ordenes_Odoo'!P1808)</f>
        <v/>
      </c>
      <c r="Q1808" s="79">
        <f>IF(A1808="","",IFERROR(INDEX(Facturas_Odoo!$B:$B, MATCH(A1808, Facturas_Odoo!$D:$D, 0)), "Sin Factura"))</f>
        <v/>
      </c>
      <c r="R1808" s="80">
        <f>IF(Q1808="Sin Factura","",IFERROR(INDEX(Facturas_Odoo!$A:$A, MATCH(Q1808, Facturas_Odoo!$B:$B, 0)), ""))</f>
        <v/>
      </c>
      <c r="S1808" s="79">
        <f>IF(Q1808="Sin Factura","",IFERROR(_xlfn.XLOOKUP(1, (Facturas_Odoo!$D:$D=A1808) * (Facturas_Odoo!$K:$K=I1808), Facturas_Odoo!$L:$L, ""), ""))</f>
        <v/>
      </c>
      <c r="T1808" s="81">
        <f>IF(Q1808="Sin Factura",0,IFERROR(_xlfn.XLOOKUP(1, (Facturas_Odoo!$D:$D=A1808) * (Facturas_Odoo!$K:$K=I1808), Facturas_Odoo!$M:$M, 0), 0))</f>
        <v/>
      </c>
      <c r="U1808" s="79">
        <f>IF(Q1808="Sin Factura",0,IFERROR(_xlfn.XLOOKUP(1, (Facturas_Odoo!$D:$D=A1808) * (Facturas_Odoo!$K:$K=I1808), Facturas_Odoo!$N:$N, 0), 0))</f>
        <v/>
      </c>
      <c r="V1808" s="79">
        <f>IF(Q1808="Sin Factura",0,IFERROR(_xlfn.XLOOKUP(1, (Facturas_Odoo!$D:$D=A1808) * (Facturas_Odoo!$K:$K=I1808), Facturas_Odoo!$O:$O, 0), 0))</f>
        <v/>
      </c>
      <c r="W1808" s="81">
        <f>IF(Q1808="Sin Factura",0,IFERROR(_xlfn.XLOOKUP(1, (Facturas_Odoo!$D:$D=A1808) * (Facturas_Odoo!$K:$K=I1808), Facturas_Odoo!$Q:$Q, 0), 0))</f>
        <v/>
      </c>
      <c r="X1808" s="79">
        <f>IF(OR(Q1808="Sin Factura",Q1808=""),"",IFERROR(INDEX(Pagos_Odoo!$B:$B, MATCH(Q1808, Pagos_Odoo!$I:$I, 0)), "Sin Pago"))</f>
        <v/>
      </c>
      <c r="Y1808" s="79">
        <f>IF(X1808="Sin Pago","",IFERROR(INDEX(Pagos_Odoo!$C:$C, MATCH(X1808, Pagos_Odoo!$B:$B, 0)), ""))</f>
        <v/>
      </c>
      <c r="Z1808" s="80">
        <f>IF(X1808="Sin Pago","",IFERROR(INDEX(Pagos_Odoo!$A:$A, MATCH(X1808, Pagos_Odoo!$B:$B, 0)), ""))</f>
        <v/>
      </c>
      <c r="AA1808" s="79">
        <f>IF(X1808="Sin Pago","",IFERROR(INDEX(Pagos_Odoo!$F:$F, MATCH(X1808, Pagos_Odoo!$B:$B, 0)), ""))</f>
        <v/>
      </c>
      <c r="AB1808" s="81">
        <f>IF(X1808="Sin Pago",0,IFERROR(INDEX(Pagos_Odoo!$E:$E, MATCH(X1808, Pagos_Odoo!$B:$B, 0)), 0))</f>
        <v/>
      </c>
      <c r="AC1808" s="79">
        <f>IF(X1808="Sin Pago","",IFERROR(INDEX(Pagos_Odoo!$G:$G, MATCH(X1808, Pagos_Odoo!$B:$B, 0)), ""))</f>
        <v/>
      </c>
      <c r="AD1808" s="82" t="n">
        <v>0</v>
      </c>
      <c r="AE1808" s="82" t="n"/>
      <c r="AF1808" s="82" t="n"/>
      <c r="AG1808" s="82">
        <f>IF(AN1808="","",AD1808+AE1808+AF1808)</f>
        <v/>
      </c>
      <c r="AH1808" s="81">
        <f>IF(AN1808="","",P1808*(1-AG1808))</f>
        <v/>
      </c>
      <c r="AI1808" s="81">
        <f>IF(AN1808="","",IF(Q1808="Sin Factura",0,IFERROR(INDEX(Facturas_Odoo!$H:$H, MATCH(Q1808, Facturas_Odoo!$B:$B, 0)), 0)*(1-AG1808)))</f>
        <v/>
      </c>
      <c r="AJ1808" s="81">
        <f>IF(AN1808="","",_xlfn.LET(idVenta, AN1808&amp;"",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08" s="81">
        <f>IF(AN1808="","",AH1808-AJ1808)</f>
        <v/>
      </c>
      <c r="AL1808" s="81">
        <f>IF(AN1808="","",IF(Q1808="Sin Factura","",AI1808-AJ1808))</f>
        <v/>
      </c>
      <c r="AM1808" s="81">
        <f>IF(AN1808="","",IF(Q1808="Sin Factura",0,P1808-IFERROR(INDEX(Facturas_Odoo!$H:$H, MATCH(Q1808, Facturas_Odoo!$B:$B, 0)), 0)))</f>
        <v/>
      </c>
      <c r="AN1808" s="79">
        <f>IF(AND(A1808="", J1808=""), "", IF(A1808&lt;&gt;"", VALUE(MID(A1808,2,LEN(A1808))), AN1807))</f>
        <v/>
      </c>
      <c r="AO1808" s="79">
        <f>IF(AN1808="","",IF(AD1808=0,"OK",_xlfn.LET(monedaPago, IF(AA1808="","USD",AA1808), limitePermitido, IFERROR(VLOOKUP(monedaPago, Configuración!$A$2:$B$3, 2, FALSE), 0.15), IF(AD1808&gt;limitePermitido, "ALERTA: EXCESO (" &amp; TEXT(limitePermitido, "0%") &amp; " máx)", "OK"))))</f>
        <v/>
      </c>
      <c r="AP1808" s="79">
        <f>IF(AN1808="","",IF(AE1808=0,"OK",_xlfn.LET(fechaPago, Z1808, fechaFactura, R1808, diasCredito, IF(E1808="Pago inmediato", 0, IFERROR(VALUE(MID(E1808, 1, SEARCH(" ", E1808)-1)),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08" s="79">
        <f>IF(AN1808="","",IF(AND(N1808&gt;0, AG1808&gt;0), IF(Configuración!$K$2="NO", "ALERTA: DESCUENTO DOBLE NO PERMITIDO", "OK"), "OK"))</f>
        <v/>
      </c>
      <c r="AR1808" s="79">
        <f>IF(AN1808="","",IF(OR(AO1808&lt;&gt;"OK", AP1808&lt;&gt;"OK", AQ1808&lt;&gt;"OK"), "⚠️ REVISAR", "OK"))</f>
        <v/>
      </c>
    </row>
    <row r="1809">
      <c r="A1809" s="79">
        <f>IF('Ordenes_Odoo'!A1809="","",'Ordenes_Odoo'!A1809)</f>
        <v/>
      </c>
      <c r="B1809" s="80">
        <f>IF('Ordenes_Odoo'!B1809="","",'Ordenes_Odoo'!B1809)</f>
        <v/>
      </c>
      <c r="C1809" s="79">
        <f>IF('Ordenes_Odoo'!C1809="","",'Ordenes_Odoo'!C1809)</f>
        <v/>
      </c>
      <c r="D1809" s="79">
        <f>IF('Ordenes_Odoo'!D1809="","",'Ordenes_Odoo'!D1809)</f>
        <v/>
      </c>
      <c r="E1809" s="79">
        <f>IF('Ordenes_Odoo'!E1809="","",'Ordenes_Odoo'!E1809)</f>
        <v/>
      </c>
      <c r="F1809" s="79">
        <f>IF('Ordenes_Odoo'!F1809="","",'Ordenes_Odoo'!F1809)</f>
        <v/>
      </c>
      <c r="G1809" s="79">
        <f>IF('Ordenes_Odoo'!G1809="","",'Ordenes_Odoo'!G1809)</f>
        <v/>
      </c>
      <c r="H1809" s="79">
        <f>IF('Ordenes_Odoo'!H1809="","",'Ordenes_Odoo'!H1809)</f>
        <v/>
      </c>
      <c r="I1809" s="79">
        <f>IF('Ordenes_Odoo'!I1809="","",'Ordenes_Odoo'!I1809)</f>
        <v/>
      </c>
      <c r="J1809" s="79">
        <f>IF('Ordenes_Odoo'!J1809="","",'Ordenes_Odoo'!J1809)</f>
        <v/>
      </c>
      <c r="K1809" s="81">
        <f>IF('Ordenes_Odoo'!K1809="","",'Ordenes_Odoo'!K1809)</f>
        <v/>
      </c>
      <c r="L1809" s="81">
        <f>IF('Ordenes_Odoo'!L1809="","",'Ordenes_Odoo'!L1809)</f>
        <v/>
      </c>
      <c r="M1809" s="79">
        <f>IF('Ordenes_Odoo'!M1809="","",'Ordenes_Odoo'!M1809)</f>
        <v/>
      </c>
      <c r="N1809" s="79">
        <f>IF('Ordenes_Odoo'!N1809="","",'Ordenes_Odoo'!N1809)</f>
        <v/>
      </c>
      <c r="O1809" s="81">
        <f>IF('Ordenes_Odoo'!O1809="","",'Ordenes_Odoo'!O1809)</f>
        <v/>
      </c>
      <c r="P1809" s="81">
        <f>IF('Ordenes_Odoo'!P1809="","",'Ordenes_Odoo'!P1809)</f>
        <v/>
      </c>
      <c r="Q1809" s="79">
        <f>IF(A1809="","",IFERROR(INDEX(Facturas_Odoo!$B:$B, MATCH(A1809, Facturas_Odoo!$D:$D, 0)), "Sin Factura"))</f>
        <v/>
      </c>
      <c r="R1809" s="80">
        <f>IF(Q1809="Sin Factura","",IFERROR(INDEX(Facturas_Odoo!$A:$A, MATCH(Q1809, Facturas_Odoo!$B:$B, 0)), ""))</f>
        <v/>
      </c>
      <c r="S1809" s="79">
        <f>IF(Q1809="Sin Factura","",IFERROR(_xlfn.XLOOKUP(1, (Facturas_Odoo!$D:$D=A1809) * (Facturas_Odoo!$K:$K=I1809), Facturas_Odoo!$L:$L, ""), ""))</f>
        <v/>
      </c>
      <c r="T1809" s="81">
        <f>IF(Q1809="Sin Factura",0,IFERROR(_xlfn.XLOOKUP(1, (Facturas_Odoo!$D:$D=A1809) * (Facturas_Odoo!$K:$K=I1809), Facturas_Odoo!$M:$M, 0), 0))</f>
        <v/>
      </c>
      <c r="U1809" s="79">
        <f>IF(Q1809="Sin Factura",0,IFERROR(_xlfn.XLOOKUP(1, (Facturas_Odoo!$D:$D=A1809) * (Facturas_Odoo!$K:$K=I1809), Facturas_Odoo!$N:$N, 0), 0))</f>
        <v/>
      </c>
      <c r="V1809" s="79">
        <f>IF(Q1809="Sin Factura",0,IFERROR(_xlfn.XLOOKUP(1, (Facturas_Odoo!$D:$D=A1809) * (Facturas_Odoo!$K:$K=I1809), Facturas_Odoo!$O:$O, 0), 0))</f>
        <v/>
      </c>
      <c r="W1809" s="81">
        <f>IF(Q1809="Sin Factura",0,IFERROR(_xlfn.XLOOKUP(1, (Facturas_Odoo!$D:$D=A1809) * (Facturas_Odoo!$K:$K=I1809), Facturas_Odoo!$Q:$Q, 0), 0))</f>
        <v/>
      </c>
      <c r="X1809" s="79">
        <f>IF(OR(Q1809="Sin Factura",Q1809=""),"",IFERROR(INDEX(Pagos_Odoo!$B:$B, MATCH(Q1809, Pagos_Odoo!$I:$I, 0)), "Sin Pago"))</f>
        <v/>
      </c>
      <c r="Y1809" s="79">
        <f>IF(X1809="Sin Pago","",IFERROR(INDEX(Pagos_Odoo!$C:$C, MATCH(X1809, Pagos_Odoo!$B:$B, 0)), ""))</f>
        <v/>
      </c>
      <c r="Z1809" s="80">
        <f>IF(X1809="Sin Pago","",IFERROR(INDEX(Pagos_Odoo!$A:$A, MATCH(X1809, Pagos_Odoo!$B:$B, 0)), ""))</f>
        <v/>
      </c>
      <c r="AA1809" s="79">
        <f>IF(X1809="Sin Pago","",IFERROR(INDEX(Pagos_Odoo!$F:$F, MATCH(X1809, Pagos_Odoo!$B:$B, 0)), ""))</f>
        <v/>
      </c>
      <c r="AB1809" s="81">
        <f>IF(X1809="Sin Pago",0,IFERROR(INDEX(Pagos_Odoo!$E:$E, MATCH(X1809, Pagos_Odoo!$B:$B, 0)), 0))</f>
        <v/>
      </c>
      <c r="AC1809" s="79">
        <f>IF(X1809="Sin Pago","",IFERROR(INDEX(Pagos_Odoo!$G:$G, MATCH(X1809, Pagos_Odoo!$B:$B, 0)), ""))</f>
        <v/>
      </c>
      <c r="AD1809" s="82" t="n">
        <v>0</v>
      </c>
      <c r="AE1809" s="82" t="n"/>
      <c r="AF1809" s="82" t="n"/>
      <c r="AG1809" s="82">
        <f>IF(AN1809="","",AD1809+AE1809+AF1809)</f>
        <v/>
      </c>
      <c r="AH1809" s="81">
        <f>IF(AN1809="","",P1809*(1-AG1809))</f>
        <v/>
      </c>
      <c r="AI1809" s="81">
        <f>IF(AN1809="","",IF(Q1809="Sin Factura",0,IFERROR(INDEX(Facturas_Odoo!$H:$H, MATCH(Q1809, Facturas_Odoo!$B:$B, 0)), 0)*(1-AG1809)))</f>
        <v/>
      </c>
      <c r="AJ1809" s="81">
        <f>IF(AN1809="","",_xlfn.LET(idVenta, AN1809&amp;"",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09" s="81">
        <f>IF(AN1809="","",AH1809-AJ1809)</f>
        <v/>
      </c>
      <c r="AL1809" s="81">
        <f>IF(AN1809="","",IF(Q1809="Sin Factura","",AI1809-AJ1809))</f>
        <v/>
      </c>
      <c r="AM1809" s="81">
        <f>IF(AN1809="","",IF(Q1809="Sin Factura",0,P1809-IFERROR(INDEX(Facturas_Odoo!$H:$H, MATCH(Q1809, Facturas_Odoo!$B:$B, 0)), 0)))</f>
        <v/>
      </c>
      <c r="AN1809" s="79">
        <f>IF(AND(A1809="", J1809=""), "", IF(A1809&lt;&gt;"", VALUE(MID(A1809,2,LEN(A1809))), AN1808))</f>
        <v/>
      </c>
      <c r="AO1809" s="79">
        <f>IF(AN1809="","",IF(AD1809=0,"OK",_xlfn.LET(monedaPago, IF(AA1809="","USD",AA1809), limitePermitido, IFERROR(VLOOKUP(monedaPago, Configuración!$A$2:$B$3, 2, FALSE), 0.15), IF(AD1809&gt;limitePermitido, "ALERTA: EXCESO (" &amp; TEXT(limitePermitido, "0%") &amp; " máx)", "OK"))))</f>
        <v/>
      </c>
      <c r="AP1809" s="79">
        <f>IF(AN1809="","",IF(AE1809=0,"OK",_xlfn.LET(fechaPago, Z1809, fechaFactura, R1809, diasCredito, IF(E1809="Pago inmediato", 0, IFERROR(VALUE(MID(E1809, 1, SEARCH(" ", E1809)-1)),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09" s="79">
        <f>IF(AN1809="","",IF(AND(N1809&gt;0, AG1809&gt;0), IF(Configuración!$K$2="NO", "ALERTA: DESCUENTO DOBLE NO PERMITIDO", "OK"), "OK"))</f>
        <v/>
      </c>
      <c r="AR1809" s="79">
        <f>IF(AN1809="","",IF(OR(AO1809&lt;&gt;"OK", AP1809&lt;&gt;"OK", AQ1809&lt;&gt;"OK"), "⚠️ REVISAR", "OK"))</f>
        <v/>
      </c>
    </row>
    <row r="1810">
      <c r="A1810" s="79">
        <f>IF('Ordenes_Odoo'!A1810="","",'Ordenes_Odoo'!A1810)</f>
        <v/>
      </c>
      <c r="B1810" s="80">
        <f>IF('Ordenes_Odoo'!B1810="","",'Ordenes_Odoo'!B1810)</f>
        <v/>
      </c>
      <c r="C1810" s="79">
        <f>IF('Ordenes_Odoo'!C1810="","",'Ordenes_Odoo'!C1810)</f>
        <v/>
      </c>
      <c r="D1810" s="79">
        <f>IF('Ordenes_Odoo'!D1810="","",'Ordenes_Odoo'!D1810)</f>
        <v/>
      </c>
      <c r="E1810" s="79">
        <f>IF('Ordenes_Odoo'!E1810="","",'Ordenes_Odoo'!E1810)</f>
        <v/>
      </c>
      <c r="F1810" s="79">
        <f>IF('Ordenes_Odoo'!F1810="","",'Ordenes_Odoo'!F1810)</f>
        <v/>
      </c>
      <c r="G1810" s="79">
        <f>IF('Ordenes_Odoo'!G1810="","",'Ordenes_Odoo'!G1810)</f>
        <v/>
      </c>
      <c r="H1810" s="79">
        <f>IF('Ordenes_Odoo'!H1810="","",'Ordenes_Odoo'!H1810)</f>
        <v/>
      </c>
      <c r="I1810" s="79">
        <f>IF('Ordenes_Odoo'!I1810="","",'Ordenes_Odoo'!I1810)</f>
        <v/>
      </c>
      <c r="J1810" s="79">
        <f>IF('Ordenes_Odoo'!J1810="","",'Ordenes_Odoo'!J1810)</f>
        <v/>
      </c>
      <c r="K1810" s="81">
        <f>IF('Ordenes_Odoo'!K1810="","",'Ordenes_Odoo'!K1810)</f>
        <v/>
      </c>
      <c r="L1810" s="81">
        <f>IF('Ordenes_Odoo'!L1810="","",'Ordenes_Odoo'!L1810)</f>
        <v/>
      </c>
      <c r="M1810" s="79">
        <f>IF('Ordenes_Odoo'!M1810="","",'Ordenes_Odoo'!M1810)</f>
        <v/>
      </c>
      <c r="N1810" s="79">
        <f>IF('Ordenes_Odoo'!N1810="","",'Ordenes_Odoo'!N1810)</f>
        <v/>
      </c>
      <c r="O1810" s="81">
        <f>IF('Ordenes_Odoo'!O1810="","",'Ordenes_Odoo'!O1810)</f>
        <v/>
      </c>
      <c r="P1810" s="81">
        <f>IF('Ordenes_Odoo'!P1810="","",'Ordenes_Odoo'!P1810)</f>
        <v/>
      </c>
      <c r="Q1810" s="79">
        <f>IF(A1810="","",IFERROR(INDEX(Facturas_Odoo!$B:$B, MATCH(A1810, Facturas_Odoo!$D:$D, 0)), "Sin Factura"))</f>
        <v/>
      </c>
      <c r="R1810" s="80">
        <f>IF(Q1810="Sin Factura","",IFERROR(INDEX(Facturas_Odoo!$A:$A, MATCH(Q1810, Facturas_Odoo!$B:$B, 0)), ""))</f>
        <v/>
      </c>
      <c r="S1810" s="79">
        <f>IF(Q1810="Sin Factura","",IFERROR(_xlfn.XLOOKUP(1, (Facturas_Odoo!$D:$D=A1810) * (Facturas_Odoo!$K:$K=I1810), Facturas_Odoo!$L:$L, ""), ""))</f>
        <v/>
      </c>
      <c r="T1810" s="81">
        <f>IF(Q1810="Sin Factura",0,IFERROR(_xlfn.XLOOKUP(1, (Facturas_Odoo!$D:$D=A1810) * (Facturas_Odoo!$K:$K=I1810), Facturas_Odoo!$M:$M, 0), 0))</f>
        <v/>
      </c>
      <c r="U1810" s="79">
        <f>IF(Q1810="Sin Factura",0,IFERROR(_xlfn.XLOOKUP(1, (Facturas_Odoo!$D:$D=A1810) * (Facturas_Odoo!$K:$K=I1810), Facturas_Odoo!$N:$N, 0), 0))</f>
        <v/>
      </c>
      <c r="V1810" s="79">
        <f>IF(Q1810="Sin Factura",0,IFERROR(_xlfn.XLOOKUP(1, (Facturas_Odoo!$D:$D=A1810) * (Facturas_Odoo!$K:$K=I1810), Facturas_Odoo!$O:$O, 0), 0))</f>
        <v/>
      </c>
      <c r="W1810" s="81">
        <f>IF(Q1810="Sin Factura",0,IFERROR(_xlfn.XLOOKUP(1, (Facturas_Odoo!$D:$D=A1810) * (Facturas_Odoo!$K:$K=I1810), Facturas_Odoo!$Q:$Q, 0), 0))</f>
        <v/>
      </c>
      <c r="X1810" s="79">
        <f>IF(OR(Q1810="Sin Factura",Q1810=""),"",IFERROR(INDEX(Pagos_Odoo!$B:$B, MATCH(Q1810, Pagos_Odoo!$I:$I, 0)), "Sin Pago"))</f>
        <v/>
      </c>
      <c r="Y1810" s="79">
        <f>IF(X1810="Sin Pago","",IFERROR(INDEX(Pagos_Odoo!$C:$C, MATCH(X1810, Pagos_Odoo!$B:$B, 0)), ""))</f>
        <v/>
      </c>
      <c r="Z1810" s="80">
        <f>IF(X1810="Sin Pago","",IFERROR(INDEX(Pagos_Odoo!$A:$A, MATCH(X1810, Pagos_Odoo!$B:$B, 0)), ""))</f>
        <v/>
      </c>
      <c r="AA1810" s="79">
        <f>IF(X1810="Sin Pago","",IFERROR(INDEX(Pagos_Odoo!$F:$F, MATCH(X1810, Pagos_Odoo!$B:$B, 0)), ""))</f>
        <v/>
      </c>
      <c r="AB1810" s="81">
        <f>IF(X1810="Sin Pago",0,IFERROR(INDEX(Pagos_Odoo!$E:$E, MATCH(X1810, Pagos_Odoo!$B:$B, 0)), 0))</f>
        <v/>
      </c>
      <c r="AC1810" s="79">
        <f>IF(X1810="Sin Pago","",IFERROR(INDEX(Pagos_Odoo!$G:$G, MATCH(X1810, Pagos_Odoo!$B:$B, 0)), ""))</f>
        <v/>
      </c>
      <c r="AD1810" s="82" t="n">
        <v>0</v>
      </c>
      <c r="AE1810" s="82" t="n"/>
      <c r="AF1810" s="82" t="n"/>
      <c r="AG1810" s="82">
        <f>IF(AN1810="","",AD1810+AE1810+AF1810)</f>
        <v/>
      </c>
      <c r="AH1810" s="81">
        <f>IF(AN1810="","",P1810*(1-AG1810))</f>
        <v/>
      </c>
      <c r="AI1810" s="81">
        <f>IF(AN1810="","",IF(Q1810="Sin Factura",0,IFERROR(INDEX(Facturas_Odoo!$H:$H, MATCH(Q1810, Facturas_Odoo!$B:$B, 0)), 0)*(1-AG1810)))</f>
        <v/>
      </c>
      <c r="AJ1810" s="81">
        <f>IF(AN1810="","",_xlfn.LET(idVenta, AN1810&amp;"",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10" s="81">
        <f>IF(AN1810="","",AH1810-AJ1810)</f>
        <v/>
      </c>
      <c r="AL1810" s="81">
        <f>IF(AN1810="","",IF(Q1810="Sin Factura","",AI1810-AJ1810))</f>
        <v/>
      </c>
      <c r="AM1810" s="81">
        <f>IF(AN1810="","",IF(Q1810="Sin Factura",0,P1810-IFERROR(INDEX(Facturas_Odoo!$H:$H, MATCH(Q1810, Facturas_Odoo!$B:$B, 0)), 0)))</f>
        <v/>
      </c>
      <c r="AN1810" s="79">
        <f>IF(AND(A1810="", J1810=""), "", IF(A1810&lt;&gt;"", VALUE(MID(A1810,2,LEN(A1810))), AN1809))</f>
        <v/>
      </c>
      <c r="AO1810" s="79">
        <f>IF(AN1810="","",IF(AD1810=0,"OK",_xlfn.LET(monedaPago, IF(AA1810="","USD",AA1810), limitePermitido, IFERROR(VLOOKUP(monedaPago, Configuración!$A$2:$B$3, 2, FALSE), 0.15), IF(AD1810&gt;limitePermitido, "ALERTA: EXCESO (" &amp; TEXT(limitePermitido, "0%") &amp; " máx)", "OK"))))</f>
        <v/>
      </c>
      <c r="AP1810" s="79">
        <f>IF(AN1810="","",IF(AE1810=0,"OK",_xlfn.LET(fechaPago, Z1810, fechaFactura, R1810, diasCredito, IF(E1810="Pago inmediato", 0, IFERROR(VALUE(MID(E1810, 1, SEARCH(" ", E1810)-1)),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10" s="79">
        <f>IF(AN1810="","",IF(AND(N1810&gt;0, AG1810&gt;0), IF(Configuración!$K$2="NO", "ALERTA: DESCUENTO DOBLE NO PERMITIDO", "OK"), "OK"))</f>
        <v/>
      </c>
      <c r="AR1810" s="79">
        <f>IF(AN1810="","",IF(OR(AO1810&lt;&gt;"OK", AP1810&lt;&gt;"OK", AQ1810&lt;&gt;"OK"), "⚠️ REVISAR", "OK"))</f>
        <v/>
      </c>
    </row>
    <row r="1811">
      <c r="A1811" s="79">
        <f>IF('Ordenes_Odoo'!A1811="","",'Ordenes_Odoo'!A1811)</f>
        <v/>
      </c>
      <c r="B1811" s="80">
        <f>IF('Ordenes_Odoo'!B1811="","",'Ordenes_Odoo'!B1811)</f>
        <v/>
      </c>
      <c r="C1811" s="79">
        <f>IF('Ordenes_Odoo'!C1811="","",'Ordenes_Odoo'!C1811)</f>
        <v/>
      </c>
      <c r="D1811" s="79">
        <f>IF('Ordenes_Odoo'!D1811="","",'Ordenes_Odoo'!D1811)</f>
        <v/>
      </c>
      <c r="E1811" s="79">
        <f>IF('Ordenes_Odoo'!E1811="","",'Ordenes_Odoo'!E1811)</f>
        <v/>
      </c>
      <c r="F1811" s="79">
        <f>IF('Ordenes_Odoo'!F1811="","",'Ordenes_Odoo'!F1811)</f>
        <v/>
      </c>
      <c r="G1811" s="79">
        <f>IF('Ordenes_Odoo'!G1811="","",'Ordenes_Odoo'!G1811)</f>
        <v/>
      </c>
      <c r="H1811" s="79">
        <f>IF('Ordenes_Odoo'!H1811="","",'Ordenes_Odoo'!H1811)</f>
        <v/>
      </c>
      <c r="I1811" s="79">
        <f>IF('Ordenes_Odoo'!I1811="","",'Ordenes_Odoo'!I1811)</f>
        <v/>
      </c>
      <c r="J1811" s="79">
        <f>IF('Ordenes_Odoo'!J1811="","",'Ordenes_Odoo'!J1811)</f>
        <v/>
      </c>
      <c r="K1811" s="81">
        <f>IF('Ordenes_Odoo'!K1811="","",'Ordenes_Odoo'!K1811)</f>
        <v/>
      </c>
      <c r="L1811" s="81">
        <f>IF('Ordenes_Odoo'!L1811="","",'Ordenes_Odoo'!L1811)</f>
        <v/>
      </c>
      <c r="M1811" s="79">
        <f>IF('Ordenes_Odoo'!M1811="","",'Ordenes_Odoo'!M1811)</f>
        <v/>
      </c>
      <c r="N1811" s="79">
        <f>IF('Ordenes_Odoo'!N1811="","",'Ordenes_Odoo'!N1811)</f>
        <v/>
      </c>
      <c r="O1811" s="81">
        <f>IF('Ordenes_Odoo'!O1811="","",'Ordenes_Odoo'!O1811)</f>
        <v/>
      </c>
      <c r="P1811" s="81">
        <f>IF('Ordenes_Odoo'!P1811="","",'Ordenes_Odoo'!P1811)</f>
        <v/>
      </c>
      <c r="Q1811" s="79">
        <f>IF(A1811="","",IFERROR(INDEX(Facturas_Odoo!$B:$B, MATCH(A1811, Facturas_Odoo!$D:$D, 0)), "Sin Factura"))</f>
        <v/>
      </c>
      <c r="R1811" s="80">
        <f>IF(Q1811="Sin Factura","",IFERROR(INDEX(Facturas_Odoo!$A:$A, MATCH(Q1811, Facturas_Odoo!$B:$B, 0)), ""))</f>
        <v/>
      </c>
      <c r="S1811" s="79">
        <f>IF(Q1811="Sin Factura","",IFERROR(_xlfn.XLOOKUP(1, (Facturas_Odoo!$D:$D=A1811) * (Facturas_Odoo!$K:$K=I1811), Facturas_Odoo!$L:$L, ""), ""))</f>
        <v/>
      </c>
      <c r="T1811" s="81">
        <f>IF(Q1811="Sin Factura",0,IFERROR(_xlfn.XLOOKUP(1, (Facturas_Odoo!$D:$D=A1811) * (Facturas_Odoo!$K:$K=I1811), Facturas_Odoo!$M:$M, 0), 0))</f>
        <v/>
      </c>
      <c r="U1811" s="79">
        <f>IF(Q1811="Sin Factura",0,IFERROR(_xlfn.XLOOKUP(1, (Facturas_Odoo!$D:$D=A1811) * (Facturas_Odoo!$K:$K=I1811), Facturas_Odoo!$N:$N, 0), 0))</f>
        <v/>
      </c>
      <c r="V1811" s="79">
        <f>IF(Q1811="Sin Factura",0,IFERROR(_xlfn.XLOOKUP(1, (Facturas_Odoo!$D:$D=A1811) * (Facturas_Odoo!$K:$K=I1811), Facturas_Odoo!$O:$O, 0), 0))</f>
        <v/>
      </c>
      <c r="W1811" s="81">
        <f>IF(Q1811="Sin Factura",0,IFERROR(_xlfn.XLOOKUP(1, (Facturas_Odoo!$D:$D=A1811) * (Facturas_Odoo!$K:$K=I1811), Facturas_Odoo!$Q:$Q, 0), 0))</f>
        <v/>
      </c>
      <c r="X1811" s="79">
        <f>IF(OR(Q1811="Sin Factura",Q1811=""),"",IFERROR(INDEX(Pagos_Odoo!$B:$B, MATCH(Q1811, Pagos_Odoo!$I:$I, 0)), "Sin Pago"))</f>
        <v/>
      </c>
      <c r="Y1811" s="79">
        <f>IF(X1811="Sin Pago","",IFERROR(INDEX(Pagos_Odoo!$C:$C, MATCH(X1811, Pagos_Odoo!$B:$B, 0)), ""))</f>
        <v/>
      </c>
      <c r="Z1811" s="80">
        <f>IF(X1811="Sin Pago","",IFERROR(INDEX(Pagos_Odoo!$A:$A, MATCH(X1811, Pagos_Odoo!$B:$B, 0)), ""))</f>
        <v/>
      </c>
      <c r="AA1811" s="79">
        <f>IF(X1811="Sin Pago","",IFERROR(INDEX(Pagos_Odoo!$F:$F, MATCH(X1811, Pagos_Odoo!$B:$B, 0)), ""))</f>
        <v/>
      </c>
      <c r="AB1811" s="81">
        <f>IF(X1811="Sin Pago",0,IFERROR(INDEX(Pagos_Odoo!$E:$E, MATCH(X1811, Pagos_Odoo!$B:$B, 0)), 0))</f>
        <v/>
      </c>
      <c r="AC1811" s="79">
        <f>IF(X1811="Sin Pago","",IFERROR(INDEX(Pagos_Odoo!$G:$G, MATCH(X1811, Pagos_Odoo!$B:$B, 0)), ""))</f>
        <v/>
      </c>
      <c r="AD1811" s="82" t="n">
        <v>0</v>
      </c>
      <c r="AE1811" s="82" t="n"/>
      <c r="AF1811" s="82" t="n"/>
      <c r="AG1811" s="82">
        <f>IF(AN1811="","",AD1811+AE1811+AF1811)</f>
        <v/>
      </c>
      <c r="AH1811" s="81">
        <f>IF(AN1811="","",P1811*(1-AG1811))</f>
        <v/>
      </c>
      <c r="AI1811" s="81">
        <f>IF(AN1811="","",IF(Q1811="Sin Factura",0,IFERROR(INDEX(Facturas_Odoo!$H:$H, MATCH(Q1811, Facturas_Odoo!$B:$B, 0)), 0)*(1-AG1811)))</f>
        <v/>
      </c>
      <c r="AJ1811" s="81">
        <f>IF(AN1811="","",_xlfn.LET(idVenta, AN1811&amp;"",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11" s="81">
        <f>IF(AN1811="","",AH1811-AJ1811)</f>
        <v/>
      </c>
      <c r="AL1811" s="81">
        <f>IF(AN1811="","",IF(Q1811="Sin Factura","",AI1811-AJ1811))</f>
        <v/>
      </c>
      <c r="AM1811" s="81">
        <f>IF(AN1811="","",IF(Q1811="Sin Factura",0,P1811-IFERROR(INDEX(Facturas_Odoo!$H:$H, MATCH(Q1811, Facturas_Odoo!$B:$B, 0)), 0)))</f>
        <v/>
      </c>
      <c r="AN1811" s="79">
        <f>IF(AND(A1811="", J1811=""), "", IF(A1811&lt;&gt;"", VALUE(MID(A1811,2,LEN(A1811))), AN1810))</f>
        <v/>
      </c>
      <c r="AO1811" s="79">
        <f>IF(AN1811="","",IF(AD1811=0,"OK",_xlfn.LET(monedaPago, IF(AA1811="","USD",AA1811), limitePermitido, IFERROR(VLOOKUP(monedaPago, Configuración!$A$2:$B$3, 2, FALSE), 0.15), IF(AD1811&gt;limitePermitido, "ALERTA: EXCESO (" &amp; TEXT(limitePermitido, "0%") &amp; " máx)", "OK"))))</f>
        <v/>
      </c>
      <c r="AP1811" s="79">
        <f>IF(AN1811="","",IF(AE1811=0,"OK",_xlfn.LET(fechaPago, Z1811, fechaFactura, R1811, diasCredito, IF(E1811="Pago inmediato", 0, IFERROR(VALUE(MID(E1811, 1, SEARCH(" ", E1811)-1)),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11" s="79">
        <f>IF(AN1811="","",IF(AND(N1811&gt;0, AG1811&gt;0), IF(Configuración!$K$2="NO", "ALERTA: DESCUENTO DOBLE NO PERMITIDO", "OK"), "OK"))</f>
        <v/>
      </c>
      <c r="AR1811" s="79">
        <f>IF(AN1811="","",IF(OR(AO1811&lt;&gt;"OK", AP1811&lt;&gt;"OK", AQ1811&lt;&gt;"OK"), "⚠️ REVISAR", "OK"))</f>
        <v/>
      </c>
    </row>
    <row r="1812">
      <c r="A1812" s="79">
        <f>IF('Ordenes_Odoo'!A1812="","",'Ordenes_Odoo'!A1812)</f>
        <v/>
      </c>
      <c r="B1812" s="80">
        <f>IF('Ordenes_Odoo'!B1812="","",'Ordenes_Odoo'!B1812)</f>
        <v/>
      </c>
      <c r="C1812" s="79">
        <f>IF('Ordenes_Odoo'!C1812="","",'Ordenes_Odoo'!C1812)</f>
        <v/>
      </c>
      <c r="D1812" s="79">
        <f>IF('Ordenes_Odoo'!D1812="","",'Ordenes_Odoo'!D1812)</f>
        <v/>
      </c>
      <c r="E1812" s="79">
        <f>IF('Ordenes_Odoo'!E1812="","",'Ordenes_Odoo'!E1812)</f>
        <v/>
      </c>
      <c r="F1812" s="79">
        <f>IF('Ordenes_Odoo'!F1812="","",'Ordenes_Odoo'!F1812)</f>
        <v/>
      </c>
      <c r="G1812" s="79">
        <f>IF('Ordenes_Odoo'!G1812="","",'Ordenes_Odoo'!G1812)</f>
        <v/>
      </c>
      <c r="H1812" s="79">
        <f>IF('Ordenes_Odoo'!H1812="","",'Ordenes_Odoo'!H1812)</f>
        <v/>
      </c>
      <c r="I1812" s="79">
        <f>IF('Ordenes_Odoo'!I1812="","",'Ordenes_Odoo'!I1812)</f>
        <v/>
      </c>
      <c r="J1812" s="79">
        <f>IF('Ordenes_Odoo'!J1812="","",'Ordenes_Odoo'!J1812)</f>
        <v/>
      </c>
      <c r="K1812" s="81">
        <f>IF('Ordenes_Odoo'!K1812="","",'Ordenes_Odoo'!K1812)</f>
        <v/>
      </c>
      <c r="L1812" s="81">
        <f>IF('Ordenes_Odoo'!L1812="","",'Ordenes_Odoo'!L1812)</f>
        <v/>
      </c>
      <c r="M1812" s="79">
        <f>IF('Ordenes_Odoo'!M1812="","",'Ordenes_Odoo'!M1812)</f>
        <v/>
      </c>
      <c r="N1812" s="79">
        <f>IF('Ordenes_Odoo'!N1812="","",'Ordenes_Odoo'!N1812)</f>
        <v/>
      </c>
      <c r="O1812" s="81">
        <f>IF('Ordenes_Odoo'!O1812="","",'Ordenes_Odoo'!O1812)</f>
        <v/>
      </c>
      <c r="P1812" s="81">
        <f>IF('Ordenes_Odoo'!P1812="","",'Ordenes_Odoo'!P1812)</f>
        <v/>
      </c>
      <c r="Q1812" s="79">
        <f>IF(A1812="","",IFERROR(INDEX(Facturas_Odoo!$B:$B, MATCH(A1812, Facturas_Odoo!$D:$D, 0)), "Sin Factura"))</f>
        <v/>
      </c>
      <c r="R1812" s="80">
        <f>IF(Q1812="Sin Factura","",IFERROR(INDEX(Facturas_Odoo!$A:$A, MATCH(Q1812, Facturas_Odoo!$B:$B, 0)), ""))</f>
        <v/>
      </c>
      <c r="S1812" s="79">
        <f>IF(Q1812="Sin Factura","",IFERROR(_xlfn.XLOOKUP(1, (Facturas_Odoo!$D:$D=A1812) * (Facturas_Odoo!$K:$K=I1812), Facturas_Odoo!$L:$L, ""), ""))</f>
        <v/>
      </c>
      <c r="T1812" s="81">
        <f>IF(Q1812="Sin Factura",0,IFERROR(_xlfn.XLOOKUP(1, (Facturas_Odoo!$D:$D=A1812) * (Facturas_Odoo!$K:$K=I1812), Facturas_Odoo!$M:$M, 0), 0))</f>
        <v/>
      </c>
      <c r="U1812" s="79">
        <f>IF(Q1812="Sin Factura",0,IFERROR(_xlfn.XLOOKUP(1, (Facturas_Odoo!$D:$D=A1812) * (Facturas_Odoo!$K:$K=I1812), Facturas_Odoo!$N:$N, 0), 0))</f>
        <v/>
      </c>
      <c r="V1812" s="79">
        <f>IF(Q1812="Sin Factura",0,IFERROR(_xlfn.XLOOKUP(1, (Facturas_Odoo!$D:$D=A1812) * (Facturas_Odoo!$K:$K=I1812), Facturas_Odoo!$O:$O, 0), 0))</f>
        <v/>
      </c>
      <c r="W1812" s="81">
        <f>IF(Q1812="Sin Factura",0,IFERROR(_xlfn.XLOOKUP(1, (Facturas_Odoo!$D:$D=A1812) * (Facturas_Odoo!$K:$K=I1812), Facturas_Odoo!$Q:$Q, 0), 0))</f>
        <v/>
      </c>
      <c r="X1812" s="79">
        <f>IF(OR(Q1812="Sin Factura",Q1812=""),"",IFERROR(INDEX(Pagos_Odoo!$B:$B, MATCH(Q1812, Pagos_Odoo!$I:$I, 0)), "Sin Pago"))</f>
        <v/>
      </c>
      <c r="Y1812" s="79">
        <f>IF(X1812="Sin Pago","",IFERROR(INDEX(Pagos_Odoo!$C:$C, MATCH(X1812, Pagos_Odoo!$B:$B, 0)), ""))</f>
        <v/>
      </c>
      <c r="Z1812" s="80">
        <f>IF(X1812="Sin Pago","",IFERROR(INDEX(Pagos_Odoo!$A:$A, MATCH(X1812, Pagos_Odoo!$B:$B, 0)), ""))</f>
        <v/>
      </c>
      <c r="AA1812" s="79">
        <f>IF(X1812="Sin Pago","",IFERROR(INDEX(Pagos_Odoo!$F:$F, MATCH(X1812, Pagos_Odoo!$B:$B, 0)), ""))</f>
        <v/>
      </c>
      <c r="AB1812" s="81">
        <f>IF(X1812="Sin Pago",0,IFERROR(INDEX(Pagos_Odoo!$E:$E, MATCH(X1812, Pagos_Odoo!$B:$B, 0)), 0))</f>
        <v/>
      </c>
      <c r="AC1812" s="79">
        <f>IF(X1812="Sin Pago","",IFERROR(INDEX(Pagos_Odoo!$G:$G, MATCH(X1812, Pagos_Odoo!$B:$B, 0)), ""))</f>
        <v/>
      </c>
      <c r="AD1812" s="82" t="n">
        <v>0</v>
      </c>
      <c r="AE1812" s="82" t="n"/>
      <c r="AF1812" s="82" t="n"/>
      <c r="AG1812" s="82">
        <f>IF(AN1812="","",AD1812+AE1812+AF1812)</f>
        <v/>
      </c>
      <c r="AH1812" s="81">
        <f>IF(AN1812="","",P1812*(1-AG1812))</f>
        <v/>
      </c>
      <c r="AI1812" s="81">
        <f>IF(AN1812="","",IF(Q1812="Sin Factura",0,IFERROR(INDEX(Facturas_Odoo!$H:$H, MATCH(Q1812, Facturas_Odoo!$B:$B, 0)), 0)*(1-AG1812)))</f>
        <v/>
      </c>
      <c r="AJ1812" s="81">
        <f>IF(AN1812="","",_xlfn.LET(idVenta, AN1812&amp;"",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12" s="81">
        <f>IF(AN1812="","",AH1812-AJ1812)</f>
        <v/>
      </c>
      <c r="AL1812" s="81">
        <f>IF(AN1812="","",IF(Q1812="Sin Factura","",AI1812-AJ1812))</f>
        <v/>
      </c>
      <c r="AM1812" s="81">
        <f>IF(AN1812="","",IF(Q1812="Sin Factura",0,P1812-IFERROR(INDEX(Facturas_Odoo!$H:$H, MATCH(Q1812, Facturas_Odoo!$B:$B, 0)), 0)))</f>
        <v/>
      </c>
      <c r="AN1812" s="79">
        <f>IF(AND(A1812="", J1812=""), "", IF(A1812&lt;&gt;"", VALUE(MID(A1812,2,LEN(A1812))), AN1811))</f>
        <v/>
      </c>
      <c r="AO1812" s="79">
        <f>IF(AN1812="","",IF(AD1812=0,"OK",_xlfn.LET(monedaPago, IF(AA1812="","USD",AA1812), limitePermitido, IFERROR(VLOOKUP(monedaPago, Configuración!$A$2:$B$3, 2, FALSE), 0.15), IF(AD1812&gt;limitePermitido, "ALERTA: EXCESO (" &amp; TEXT(limitePermitido, "0%") &amp; " máx)", "OK"))))</f>
        <v/>
      </c>
      <c r="AP1812" s="79">
        <f>IF(AN1812="","",IF(AE1812=0,"OK",_xlfn.LET(fechaPago, Z1812, fechaFactura, R1812, diasCredito, IF(E1812="Pago inmediato", 0, IFERROR(VALUE(MID(E1812, 1, SEARCH(" ", E1812)-1)),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12" s="79">
        <f>IF(AN1812="","",IF(AND(N1812&gt;0, AG1812&gt;0), IF(Configuración!$K$2="NO", "ALERTA: DESCUENTO DOBLE NO PERMITIDO", "OK"), "OK"))</f>
        <v/>
      </c>
      <c r="AR1812" s="79">
        <f>IF(AN1812="","",IF(OR(AO1812&lt;&gt;"OK", AP1812&lt;&gt;"OK", AQ1812&lt;&gt;"OK"), "⚠️ REVISAR", "OK"))</f>
        <v/>
      </c>
    </row>
    <row r="1813">
      <c r="A1813" s="79">
        <f>IF('Ordenes_Odoo'!A1813="","",'Ordenes_Odoo'!A1813)</f>
        <v/>
      </c>
      <c r="B1813" s="80">
        <f>IF('Ordenes_Odoo'!B1813="","",'Ordenes_Odoo'!B1813)</f>
        <v/>
      </c>
      <c r="C1813" s="79">
        <f>IF('Ordenes_Odoo'!C1813="","",'Ordenes_Odoo'!C1813)</f>
        <v/>
      </c>
      <c r="D1813" s="79">
        <f>IF('Ordenes_Odoo'!D1813="","",'Ordenes_Odoo'!D1813)</f>
        <v/>
      </c>
      <c r="E1813" s="79">
        <f>IF('Ordenes_Odoo'!E1813="","",'Ordenes_Odoo'!E1813)</f>
        <v/>
      </c>
      <c r="F1813" s="79">
        <f>IF('Ordenes_Odoo'!F1813="","",'Ordenes_Odoo'!F1813)</f>
        <v/>
      </c>
      <c r="G1813" s="79">
        <f>IF('Ordenes_Odoo'!G1813="","",'Ordenes_Odoo'!G1813)</f>
        <v/>
      </c>
      <c r="H1813" s="79">
        <f>IF('Ordenes_Odoo'!H1813="","",'Ordenes_Odoo'!H1813)</f>
        <v/>
      </c>
      <c r="I1813" s="79">
        <f>IF('Ordenes_Odoo'!I1813="","",'Ordenes_Odoo'!I1813)</f>
        <v/>
      </c>
      <c r="J1813" s="79">
        <f>IF('Ordenes_Odoo'!J1813="","",'Ordenes_Odoo'!J1813)</f>
        <v/>
      </c>
      <c r="K1813" s="81">
        <f>IF('Ordenes_Odoo'!K1813="","",'Ordenes_Odoo'!K1813)</f>
        <v/>
      </c>
      <c r="L1813" s="81">
        <f>IF('Ordenes_Odoo'!L1813="","",'Ordenes_Odoo'!L1813)</f>
        <v/>
      </c>
      <c r="M1813" s="79">
        <f>IF('Ordenes_Odoo'!M1813="","",'Ordenes_Odoo'!M1813)</f>
        <v/>
      </c>
      <c r="N1813" s="79">
        <f>IF('Ordenes_Odoo'!N1813="","",'Ordenes_Odoo'!N1813)</f>
        <v/>
      </c>
      <c r="O1813" s="81">
        <f>IF('Ordenes_Odoo'!O1813="","",'Ordenes_Odoo'!O1813)</f>
        <v/>
      </c>
      <c r="P1813" s="81">
        <f>IF('Ordenes_Odoo'!P1813="","",'Ordenes_Odoo'!P1813)</f>
        <v/>
      </c>
      <c r="Q1813" s="79">
        <f>IF(A1813="","",IFERROR(INDEX(Facturas_Odoo!$B:$B, MATCH(A1813, Facturas_Odoo!$D:$D, 0)), "Sin Factura"))</f>
        <v/>
      </c>
      <c r="R1813" s="80">
        <f>IF(Q1813="Sin Factura","",IFERROR(INDEX(Facturas_Odoo!$A:$A, MATCH(Q1813, Facturas_Odoo!$B:$B, 0)), ""))</f>
        <v/>
      </c>
      <c r="S1813" s="79">
        <f>IF(Q1813="Sin Factura","",IFERROR(_xlfn.XLOOKUP(1, (Facturas_Odoo!$D:$D=A1813) * (Facturas_Odoo!$K:$K=I1813), Facturas_Odoo!$L:$L, ""), ""))</f>
        <v/>
      </c>
      <c r="T1813" s="81">
        <f>IF(Q1813="Sin Factura",0,IFERROR(_xlfn.XLOOKUP(1, (Facturas_Odoo!$D:$D=A1813) * (Facturas_Odoo!$K:$K=I1813), Facturas_Odoo!$M:$M, 0), 0))</f>
        <v/>
      </c>
      <c r="U1813" s="79">
        <f>IF(Q1813="Sin Factura",0,IFERROR(_xlfn.XLOOKUP(1, (Facturas_Odoo!$D:$D=A1813) * (Facturas_Odoo!$K:$K=I1813), Facturas_Odoo!$N:$N, 0), 0))</f>
        <v/>
      </c>
      <c r="V1813" s="79">
        <f>IF(Q1813="Sin Factura",0,IFERROR(_xlfn.XLOOKUP(1, (Facturas_Odoo!$D:$D=A1813) * (Facturas_Odoo!$K:$K=I1813), Facturas_Odoo!$O:$O, 0), 0))</f>
        <v/>
      </c>
      <c r="W1813" s="81">
        <f>IF(Q1813="Sin Factura",0,IFERROR(_xlfn.XLOOKUP(1, (Facturas_Odoo!$D:$D=A1813) * (Facturas_Odoo!$K:$K=I1813), Facturas_Odoo!$Q:$Q, 0), 0))</f>
        <v/>
      </c>
      <c r="X1813" s="79">
        <f>IF(OR(Q1813="Sin Factura",Q1813=""),"",IFERROR(INDEX(Pagos_Odoo!$B:$B, MATCH(Q1813, Pagos_Odoo!$I:$I, 0)), "Sin Pago"))</f>
        <v/>
      </c>
      <c r="Y1813" s="79">
        <f>IF(X1813="Sin Pago","",IFERROR(INDEX(Pagos_Odoo!$C:$C, MATCH(X1813, Pagos_Odoo!$B:$B, 0)), ""))</f>
        <v/>
      </c>
      <c r="Z1813" s="80">
        <f>IF(X1813="Sin Pago","",IFERROR(INDEX(Pagos_Odoo!$A:$A, MATCH(X1813, Pagos_Odoo!$B:$B, 0)), ""))</f>
        <v/>
      </c>
      <c r="AA1813" s="79">
        <f>IF(X1813="Sin Pago","",IFERROR(INDEX(Pagos_Odoo!$F:$F, MATCH(X1813, Pagos_Odoo!$B:$B, 0)), ""))</f>
        <v/>
      </c>
      <c r="AB1813" s="81">
        <f>IF(X1813="Sin Pago",0,IFERROR(INDEX(Pagos_Odoo!$E:$E, MATCH(X1813, Pagos_Odoo!$B:$B, 0)), 0))</f>
        <v/>
      </c>
      <c r="AC1813" s="79">
        <f>IF(X1813="Sin Pago","",IFERROR(INDEX(Pagos_Odoo!$G:$G, MATCH(X1813, Pagos_Odoo!$B:$B, 0)), ""))</f>
        <v/>
      </c>
      <c r="AD1813" s="82" t="n">
        <v>0</v>
      </c>
      <c r="AE1813" s="82" t="n"/>
      <c r="AF1813" s="82" t="n"/>
      <c r="AG1813" s="82">
        <f>IF(AN1813="","",AD1813+AE1813+AF1813)</f>
        <v/>
      </c>
      <c r="AH1813" s="81">
        <f>IF(AN1813="","",P1813*(1-AG1813))</f>
        <v/>
      </c>
      <c r="AI1813" s="81">
        <f>IF(AN1813="","",IF(Q1813="Sin Factura",0,IFERROR(INDEX(Facturas_Odoo!$H:$H, MATCH(Q1813, Facturas_Odoo!$B:$B, 0)), 0)*(1-AG1813)))</f>
        <v/>
      </c>
      <c r="AJ1813" s="81">
        <f>IF(AN1813="","",_xlfn.LET(idVenta, AN1813&amp;"",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13" s="81">
        <f>IF(AN1813="","",AH1813-AJ1813)</f>
        <v/>
      </c>
      <c r="AL1813" s="81">
        <f>IF(AN1813="","",IF(Q1813="Sin Factura","",AI1813-AJ1813))</f>
        <v/>
      </c>
      <c r="AM1813" s="81">
        <f>IF(AN1813="","",IF(Q1813="Sin Factura",0,P1813-IFERROR(INDEX(Facturas_Odoo!$H:$H, MATCH(Q1813, Facturas_Odoo!$B:$B, 0)), 0)))</f>
        <v/>
      </c>
      <c r="AN1813" s="79">
        <f>IF(AND(A1813="", J1813=""), "", IF(A1813&lt;&gt;"", VALUE(MID(A1813,2,LEN(A1813))), AN1812))</f>
        <v/>
      </c>
      <c r="AO1813" s="79">
        <f>IF(AN1813="","",IF(AD1813=0,"OK",_xlfn.LET(monedaPago, IF(AA1813="","USD",AA1813), limitePermitido, IFERROR(VLOOKUP(monedaPago, Configuración!$A$2:$B$3, 2, FALSE), 0.15), IF(AD1813&gt;limitePermitido, "ALERTA: EXCESO (" &amp; TEXT(limitePermitido, "0%") &amp; " máx)", "OK"))))</f>
        <v/>
      </c>
      <c r="AP1813" s="79">
        <f>IF(AN1813="","",IF(AE1813=0,"OK",_xlfn.LET(fechaPago, Z1813, fechaFactura, R1813, diasCredito, IF(E1813="Pago inmediato", 0, IFERROR(VALUE(MID(E1813, 1, SEARCH(" ", E1813)-1)),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13" s="79">
        <f>IF(AN1813="","",IF(AND(N1813&gt;0, AG1813&gt;0), IF(Configuración!$K$2="NO", "ALERTA: DESCUENTO DOBLE NO PERMITIDO", "OK"), "OK"))</f>
        <v/>
      </c>
      <c r="AR1813" s="79">
        <f>IF(AN1813="","",IF(OR(AO1813&lt;&gt;"OK", AP1813&lt;&gt;"OK", AQ1813&lt;&gt;"OK"), "⚠️ REVISAR", "OK"))</f>
        <v/>
      </c>
    </row>
    <row r="1814">
      <c r="A1814" s="79">
        <f>IF('Ordenes_Odoo'!A1814="","",'Ordenes_Odoo'!A1814)</f>
        <v/>
      </c>
      <c r="B1814" s="80">
        <f>IF('Ordenes_Odoo'!B1814="","",'Ordenes_Odoo'!B1814)</f>
        <v/>
      </c>
      <c r="C1814" s="79">
        <f>IF('Ordenes_Odoo'!C1814="","",'Ordenes_Odoo'!C1814)</f>
        <v/>
      </c>
      <c r="D1814" s="79">
        <f>IF('Ordenes_Odoo'!D1814="","",'Ordenes_Odoo'!D1814)</f>
        <v/>
      </c>
      <c r="E1814" s="79">
        <f>IF('Ordenes_Odoo'!E1814="","",'Ordenes_Odoo'!E1814)</f>
        <v/>
      </c>
      <c r="F1814" s="79">
        <f>IF('Ordenes_Odoo'!F1814="","",'Ordenes_Odoo'!F1814)</f>
        <v/>
      </c>
      <c r="G1814" s="79">
        <f>IF('Ordenes_Odoo'!G1814="","",'Ordenes_Odoo'!G1814)</f>
        <v/>
      </c>
      <c r="H1814" s="79">
        <f>IF('Ordenes_Odoo'!H1814="","",'Ordenes_Odoo'!H1814)</f>
        <v/>
      </c>
      <c r="I1814" s="79">
        <f>IF('Ordenes_Odoo'!I1814="","",'Ordenes_Odoo'!I1814)</f>
        <v/>
      </c>
      <c r="J1814" s="79">
        <f>IF('Ordenes_Odoo'!J1814="","",'Ordenes_Odoo'!J1814)</f>
        <v/>
      </c>
      <c r="K1814" s="81">
        <f>IF('Ordenes_Odoo'!K1814="","",'Ordenes_Odoo'!K1814)</f>
        <v/>
      </c>
      <c r="L1814" s="81">
        <f>IF('Ordenes_Odoo'!L1814="","",'Ordenes_Odoo'!L1814)</f>
        <v/>
      </c>
      <c r="M1814" s="79">
        <f>IF('Ordenes_Odoo'!M1814="","",'Ordenes_Odoo'!M1814)</f>
        <v/>
      </c>
      <c r="N1814" s="79">
        <f>IF('Ordenes_Odoo'!N1814="","",'Ordenes_Odoo'!N1814)</f>
        <v/>
      </c>
      <c r="O1814" s="81">
        <f>IF('Ordenes_Odoo'!O1814="","",'Ordenes_Odoo'!O1814)</f>
        <v/>
      </c>
      <c r="P1814" s="81">
        <f>IF('Ordenes_Odoo'!P1814="","",'Ordenes_Odoo'!P1814)</f>
        <v/>
      </c>
      <c r="Q1814" s="79">
        <f>IF(A1814="","",IFERROR(INDEX(Facturas_Odoo!$B:$B, MATCH(A1814, Facturas_Odoo!$D:$D, 0)), "Sin Factura"))</f>
        <v/>
      </c>
      <c r="R1814" s="80">
        <f>IF(Q1814="Sin Factura","",IFERROR(INDEX(Facturas_Odoo!$A:$A, MATCH(Q1814, Facturas_Odoo!$B:$B, 0)), ""))</f>
        <v/>
      </c>
      <c r="S1814" s="79">
        <f>IF(Q1814="Sin Factura","",IFERROR(_xlfn.XLOOKUP(1, (Facturas_Odoo!$D:$D=A1814) * (Facturas_Odoo!$K:$K=I1814), Facturas_Odoo!$L:$L, ""), ""))</f>
        <v/>
      </c>
      <c r="T1814" s="81">
        <f>IF(Q1814="Sin Factura",0,IFERROR(_xlfn.XLOOKUP(1, (Facturas_Odoo!$D:$D=A1814) * (Facturas_Odoo!$K:$K=I1814), Facturas_Odoo!$M:$M, 0), 0))</f>
        <v/>
      </c>
      <c r="U1814" s="79">
        <f>IF(Q1814="Sin Factura",0,IFERROR(_xlfn.XLOOKUP(1, (Facturas_Odoo!$D:$D=A1814) * (Facturas_Odoo!$K:$K=I1814), Facturas_Odoo!$N:$N, 0), 0))</f>
        <v/>
      </c>
      <c r="V1814" s="79">
        <f>IF(Q1814="Sin Factura",0,IFERROR(_xlfn.XLOOKUP(1, (Facturas_Odoo!$D:$D=A1814) * (Facturas_Odoo!$K:$K=I1814), Facturas_Odoo!$O:$O, 0), 0))</f>
        <v/>
      </c>
      <c r="W1814" s="81">
        <f>IF(Q1814="Sin Factura",0,IFERROR(_xlfn.XLOOKUP(1, (Facturas_Odoo!$D:$D=A1814) * (Facturas_Odoo!$K:$K=I1814), Facturas_Odoo!$Q:$Q, 0), 0))</f>
        <v/>
      </c>
      <c r="X1814" s="79">
        <f>IF(OR(Q1814="Sin Factura",Q1814=""),"",IFERROR(INDEX(Pagos_Odoo!$B:$B, MATCH(Q1814, Pagos_Odoo!$I:$I, 0)), "Sin Pago"))</f>
        <v/>
      </c>
      <c r="Y1814" s="79">
        <f>IF(X1814="Sin Pago","",IFERROR(INDEX(Pagos_Odoo!$C:$C, MATCH(X1814, Pagos_Odoo!$B:$B, 0)), ""))</f>
        <v/>
      </c>
      <c r="Z1814" s="80">
        <f>IF(X1814="Sin Pago","",IFERROR(INDEX(Pagos_Odoo!$A:$A, MATCH(X1814, Pagos_Odoo!$B:$B, 0)), ""))</f>
        <v/>
      </c>
      <c r="AA1814" s="79">
        <f>IF(X1814="Sin Pago","",IFERROR(INDEX(Pagos_Odoo!$F:$F, MATCH(X1814, Pagos_Odoo!$B:$B, 0)), ""))</f>
        <v/>
      </c>
      <c r="AB1814" s="81">
        <f>IF(X1814="Sin Pago",0,IFERROR(INDEX(Pagos_Odoo!$E:$E, MATCH(X1814, Pagos_Odoo!$B:$B, 0)), 0))</f>
        <v/>
      </c>
      <c r="AC1814" s="79">
        <f>IF(X1814="Sin Pago","",IFERROR(INDEX(Pagos_Odoo!$G:$G, MATCH(X1814, Pagos_Odoo!$B:$B, 0)), ""))</f>
        <v/>
      </c>
      <c r="AD1814" s="82" t="n">
        <v>0</v>
      </c>
      <c r="AE1814" s="82" t="n"/>
      <c r="AF1814" s="82" t="n"/>
      <c r="AG1814" s="82">
        <f>IF(AN1814="","",AD1814+AE1814+AF1814)</f>
        <v/>
      </c>
      <c r="AH1814" s="81">
        <f>IF(AN1814="","",P1814*(1-AG1814))</f>
        <v/>
      </c>
      <c r="AI1814" s="81">
        <f>IF(AN1814="","",IF(Q1814="Sin Factura",0,IFERROR(INDEX(Facturas_Odoo!$H:$H, MATCH(Q1814, Facturas_Odoo!$B:$B, 0)), 0)*(1-AG1814)))</f>
        <v/>
      </c>
      <c r="AJ1814" s="81">
        <f>IF(AN1814="","",_xlfn.LET(idVenta, AN1814&amp;"",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14" s="81">
        <f>IF(AN1814="","",AH1814-AJ1814)</f>
        <v/>
      </c>
      <c r="AL1814" s="81">
        <f>IF(AN1814="","",IF(Q1814="Sin Factura","",AI1814-AJ1814))</f>
        <v/>
      </c>
      <c r="AM1814" s="81">
        <f>IF(AN1814="","",IF(Q1814="Sin Factura",0,P1814-IFERROR(INDEX(Facturas_Odoo!$H:$H, MATCH(Q1814, Facturas_Odoo!$B:$B, 0)), 0)))</f>
        <v/>
      </c>
      <c r="AN1814" s="79">
        <f>IF(AND(A1814="", J1814=""), "", IF(A1814&lt;&gt;"", VALUE(MID(A1814,2,LEN(A1814))), AN1813))</f>
        <v/>
      </c>
      <c r="AO1814" s="79">
        <f>IF(AN1814="","",IF(AD1814=0,"OK",_xlfn.LET(monedaPago, IF(AA1814="","USD",AA1814), limitePermitido, IFERROR(VLOOKUP(monedaPago, Configuración!$A$2:$B$3, 2, FALSE), 0.15), IF(AD1814&gt;limitePermitido, "ALERTA: EXCESO (" &amp; TEXT(limitePermitido, "0%") &amp; " máx)", "OK"))))</f>
        <v/>
      </c>
      <c r="AP1814" s="79">
        <f>IF(AN1814="","",IF(AE1814=0,"OK",_xlfn.LET(fechaPago, Z1814, fechaFactura, R1814, diasCredito, IF(E1814="Pago inmediato", 0, IFERROR(VALUE(MID(E1814, 1, SEARCH(" ", E1814)-1)),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14" s="79">
        <f>IF(AN1814="","",IF(AND(N1814&gt;0, AG1814&gt;0), IF(Configuración!$K$2="NO", "ALERTA: DESCUENTO DOBLE NO PERMITIDO", "OK"), "OK"))</f>
        <v/>
      </c>
      <c r="AR1814" s="79">
        <f>IF(AN1814="","",IF(OR(AO1814&lt;&gt;"OK", AP1814&lt;&gt;"OK", AQ1814&lt;&gt;"OK"), "⚠️ REVISAR", "OK"))</f>
        <v/>
      </c>
    </row>
    <row r="1815">
      <c r="A1815" s="79">
        <f>IF('Ordenes_Odoo'!A1815="","",'Ordenes_Odoo'!A1815)</f>
        <v/>
      </c>
      <c r="B1815" s="80">
        <f>IF('Ordenes_Odoo'!B1815="","",'Ordenes_Odoo'!B1815)</f>
        <v/>
      </c>
      <c r="C1815" s="79">
        <f>IF('Ordenes_Odoo'!C1815="","",'Ordenes_Odoo'!C1815)</f>
        <v/>
      </c>
      <c r="D1815" s="79">
        <f>IF('Ordenes_Odoo'!D1815="","",'Ordenes_Odoo'!D1815)</f>
        <v/>
      </c>
      <c r="E1815" s="79">
        <f>IF('Ordenes_Odoo'!E1815="","",'Ordenes_Odoo'!E1815)</f>
        <v/>
      </c>
      <c r="F1815" s="79">
        <f>IF('Ordenes_Odoo'!F1815="","",'Ordenes_Odoo'!F1815)</f>
        <v/>
      </c>
      <c r="G1815" s="79">
        <f>IF('Ordenes_Odoo'!G1815="","",'Ordenes_Odoo'!G1815)</f>
        <v/>
      </c>
      <c r="H1815" s="79">
        <f>IF('Ordenes_Odoo'!H1815="","",'Ordenes_Odoo'!H1815)</f>
        <v/>
      </c>
      <c r="I1815" s="79">
        <f>IF('Ordenes_Odoo'!I1815="","",'Ordenes_Odoo'!I1815)</f>
        <v/>
      </c>
      <c r="J1815" s="79">
        <f>IF('Ordenes_Odoo'!J1815="","",'Ordenes_Odoo'!J1815)</f>
        <v/>
      </c>
      <c r="K1815" s="81">
        <f>IF('Ordenes_Odoo'!K1815="","",'Ordenes_Odoo'!K1815)</f>
        <v/>
      </c>
      <c r="L1815" s="81">
        <f>IF('Ordenes_Odoo'!L1815="","",'Ordenes_Odoo'!L1815)</f>
        <v/>
      </c>
      <c r="M1815" s="79">
        <f>IF('Ordenes_Odoo'!M1815="","",'Ordenes_Odoo'!M1815)</f>
        <v/>
      </c>
      <c r="N1815" s="79">
        <f>IF('Ordenes_Odoo'!N1815="","",'Ordenes_Odoo'!N1815)</f>
        <v/>
      </c>
      <c r="O1815" s="81">
        <f>IF('Ordenes_Odoo'!O1815="","",'Ordenes_Odoo'!O1815)</f>
        <v/>
      </c>
      <c r="P1815" s="81">
        <f>IF('Ordenes_Odoo'!P1815="","",'Ordenes_Odoo'!P1815)</f>
        <v/>
      </c>
      <c r="Q1815" s="79">
        <f>IF(A1815="","",IFERROR(INDEX(Facturas_Odoo!$B:$B, MATCH(A1815, Facturas_Odoo!$D:$D, 0)), "Sin Factura"))</f>
        <v/>
      </c>
      <c r="R1815" s="80">
        <f>IF(Q1815="Sin Factura","",IFERROR(INDEX(Facturas_Odoo!$A:$A, MATCH(Q1815, Facturas_Odoo!$B:$B, 0)), ""))</f>
        <v/>
      </c>
      <c r="S1815" s="79">
        <f>IF(Q1815="Sin Factura","",IFERROR(_xlfn.XLOOKUP(1, (Facturas_Odoo!$D:$D=A1815) * (Facturas_Odoo!$K:$K=I1815), Facturas_Odoo!$L:$L, ""), ""))</f>
        <v/>
      </c>
      <c r="T1815" s="81">
        <f>IF(Q1815="Sin Factura",0,IFERROR(_xlfn.XLOOKUP(1, (Facturas_Odoo!$D:$D=A1815) * (Facturas_Odoo!$K:$K=I1815), Facturas_Odoo!$M:$M, 0), 0))</f>
        <v/>
      </c>
      <c r="U1815" s="79">
        <f>IF(Q1815="Sin Factura",0,IFERROR(_xlfn.XLOOKUP(1, (Facturas_Odoo!$D:$D=A1815) * (Facturas_Odoo!$K:$K=I1815), Facturas_Odoo!$N:$N, 0), 0))</f>
        <v/>
      </c>
      <c r="V1815" s="79">
        <f>IF(Q1815="Sin Factura",0,IFERROR(_xlfn.XLOOKUP(1, (Facturas_Odoo!$D:$D=A1815) * (Facturas_Odoo!$K:$K=I1815), Facturas_Odoo!$O:$O, 0), 0))</f>
        <v/>
      </c>
      <c r="W1815" s="81">
        <f>IF(Q1815="Sin Factura",0,IFERROR(_xlfn.XLOOKUP(1, (Facturas_Odoo!$D:$D=A1815) * (Facturas_Odoo!$K:$K=I1815), Facturas_Odoo!$Q:$Q, 0), 0))</f>
        <v/>
      </c>
      <c r="X1815" s="79">
        <f>IF(OR(Q1815="Sin Factura",Q1815=""),"",IFERROR(INDEX(Pagos_Odoo!$B:$B, MATCH(Q1815, Pagos_Odoo!$I:$I, 0)), "Sin Pago"))</f>
        <v/>
      </c>
      <c r="Y1815" s="79">
        <f>IF(X1815="Sin Pago","",IFERROR(INDEX(Pagos_Odoo!$C:$C, MATCH(X1815, Pagos_Odoo!$B:$B, 0)), ""))</f>
        <v/>
      </c>
      <c r="Z1815" s="80">
        <f>IF(X1815="Sin Pago","",IFERROR(INDEX(Pagos_Odoo!$A:$A, MATCH(X1815, Pagos_Odoo!$B:$B, 0)), ""))</f>
        <v/>
      </c>
      <c r="AA1815" s="79">
        <f>IF(X1815="Sin Pago","",IFERROR(INDEX(Pagos_Odoo!$F:$F, MATCH(X1815, Pagos_Odoo!$B:$B, 0)), ""))</f>
        <v/>
      </c>
      <c r="AB1815" s="81">
        <f>IF(X1815="Sin Pago",0,IFERROR(INDEX(Pagos_Odoo!$E:$E, MATCH(X1815, Pagos_Odoo!$B:$B, 0)), 0))</f>
        <v/>
      </c>
      <c r="AC1815" s="79">
        <f>IF(X1815="Sin Pago","",IFERROR(INDEX(Pagos_Odoo!$G:$G, MATCH(X1815, Pagos_Odoo!$B:$B, 0)), ""))</f>
        <v/>
      </c>
      <c r="AD1815" s="82" t="n">
        <v>0</v>
      </c>
      <c r="AE1815" s="82" t="n"/>
      <c r="AF1815" s="82" t="n"/>
      <c r="AG1815" s="82">
        <f>IF(AN1815="","",AD1815+AE1815+AF1815)</f>
        <v/>
      </c>
      <c r="AH1815" s="81">
        <f>IF(AN1815="","",P1815*(1-AG1815))</f>
        <v/>
      </c>
      <c r="AI1815" s="81">
        <f>IF(AN1815="","",IF(Q1815="Sin Factura",0,IFERROR(INDEX(Facturas_Odoo!$H:$H, MATCH(Q1815, Facturas_Odoo!$B:$B, 0)), 0)*(1-AG1815)))</f>
        <v/>
      </c>
      <c r="AJ1815" s="81">
        <f>IF(AN1815="","",_xlfn.LET(idVenta, AN1815&amp;"",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15" s="81">
        <f>IF(AN1815="","",AH1815-AJ1815)</f>
        <v/>
      </c>
      <c r="AL1815" s="81">
        <f>IF(AN1815="","",IF(Q1815="Sin Factura","",AI1815-AJ1815))</f>
        <v/>
      </c>
      <c r="AM1815" s="81">
        <f>IF(AN1815="","",IF(Q1815="Sin Factura",0,P1815-IFERROR(INDEX(Facturas_Odoo!$H:$H, MATCH(Q1815, Facturas_Odoo!$B:$B, 0)), 0)))</f>
        <v/>
      </c>
      <c r="AN1815" s="79">
        <f>IF(AND(A1815="", J1815=""), "", IF(A1815&lt;&gt;"", VALUE(MID(A1815,2,LEN(A1815))), AN1814))</f>
        <v/>
      </c>
      <c r="AO1815" s="79">
        <f>IF(AN1815="","",IF(AD1815=0,"OK",_xlfn.LET(monedaPago, IF(AA1815="","USD",AA1815), limitePermitido, IFERROR(VLOOKUP(monedaPago, Configuración!$A$2:$B$3, 2, FALSE), 0.15), IF(AD1815&gt;limitePermitido, "ALERTA: EXCESO (" &amp; TEXT(limitePermitido, "0%") &amp; " máx)", "OK"))))</f>
        <v/>
      </c>
      <c r="AP1815" s="79">
        <f>IF(AN1815="","",IF(AE1815=0,"OK",_xlfn.LET(fechaPago, Z1815, fechaFactura, R1815, diasCredito, IF(E1815="Pago inmediato", 0, IFERROR(VALUE(MID(E1815, 1, SEARCH(" ", E1815)-1)),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15" s="79">
        <f>IF(AN1815="","",IF(AND(N1815&gt;0, AG1815&gt;0), IF(Configuración!$K$2="NO", "ALERTA: DESCUENTO DOBLE NO PERMITIDO", "OK"), "OK"))</f>
        <v/>
      </c>
      <c r="AR1815" s="79">
        <f>IF(AN1815="","",IF(OR(AO1815&lt;&gt;"OK", AP1815&lt;&gt;"OK", AQ1815&lt;&gt;"OK"), "⚠️ REVISAR", "OK"))</f>
        <v/>
      </c>
    </row>
    <row r="1816">
      <c r="A1816" s="79">
        <f>IF('Ordenes_Odoo'!A1816="","",'Ordenes_Odoo'!A1816)</f>
        <v/>
      </c>
      <c r="B1816" s="80">
        <f>IF('Ordenes_Odoo'!B1816="","",'Ordenes_Odoo'!B1816)</f>
        <v/>
      </c>
      <c r="C1816" s="79">
        <f>IF('Ordenes_Odoo'!C1816="","",'Ordenes_Odoo'!C1816)</f>
        <v/>
      </c>
      <c r="D1816" s="79">
        <f>IF('Ordenes_Odoo'!D1816="","",'Ordenes_Odoo'!D1816)</f>
        <v/>
      </c>
      <c r="E1816" s="79">
        <f>IF('Ordenes_Odoo'!E1816="","",'Ordenes_Odoo'!E1816)</f>
        <v/>
      </c>
      <c r="F1816" s="79">
        <f>IF('Ordenes_Odoo'!F1816="","",'Ordenes_Odoo'!F1816)</f>
        <v/>
      </c>
      <c r="G1816" s="79">
        <f>IF('Ordenes_Odoo'!G1816="","",'Ordenes_Odoo'!G1816)</f>
        <v/>
      </c>
      <c r="H1816" s="79">
        <f>IF('Ordenes_Odoo'!H1816="","",'Ordenes_Odoo'!H1816)</f>
        <v/>
      </c>
      <c r="I1816" s="79">
        <f>IF('Ordenes_Odoo'!I1816="","",'Ordenes_Odoo'!I1816)</f>
        <v/>
      </c>
      <c r="J1816" s="79">
        <f>IF('Ordenes_Odoo'!J1816="","",'Ordenes_Odoo'!J1816)</f>
        <v/>
      </c>
      <c r="K1816" s="81">
        <f>IF('Ordenes_Odoo'!K1816="","",'Ordenes_Odoo'!K1816)</f>
        <v/>
      </c>
      <c r="L1816" s="81">
        <f>IF('Ordenes_Odoo'!L1816="","",'Ordenes_Odoo'!L1816)</f>
        <v/>
      </c>
      <c r="M1816" s="79">
        <f>IF('Ordenes_Odoo'!M1816="","",'Ordenes_Odoo'!M1816)</f>
        <v/>
      </c>
      <c r="N1816" s="79">
        <f>IF('Ordenes_Odoo'!N1816="","",'Ordenes_Odoo'!N1816)</f>
        <v/>
      </c>
      <c r="O1816" s="81">
        <f>IF('Ordenes_Odoo'!O1816="","",'Ordenes_Odoo'!O1816)</f>
        <v/>
      </c>
      <c r="P1816" s="81">
        <f>IF('Ordenes_Odoo'!P1816="","",'Ordenes_Odoo'!P1816)</f>
        <v/>
      </c>
      <c r="Q1816" s="79">
        <f>IF(A1816="","",IFERROR(INDEX(Facturas_Odoo!$B:$B, MATCH(A1816, Facturas_Odoo!$D:$D, 0)), "Sin Factura"))</f>
        <v/>
      </c>
      <c r="R1816" s="80">
        <f>IF(Q1816="Sin Factura","",IFERROR(INDEX(Facturas_Odoo!$A:$A, MATCH(Q1816, Facturas_Odoo!$B:$B, 0)), ""))</f>
        <v/>
      </c>
      <c r="S1816" s="79">
        <f>IF(Q1816="Sin Factura","",IFERROR(_xlfn.XLOOKUP(1, (Facturas_Odoo!$D:$D=A1816) * (Facturas_Odoo!$K:$K=I1816), Facturas_Odoo!$L:$L, ""), ""))</f>
        <v/>
      </c>
      <c r="T1816" s="81">
        <f>IF(Q1816="Sin Factura",0,IFERROR(_xlfn.XLOOKUP(1, (Facturas_Odoo!$D:$D=A1816) * (Facturas_Odoo!$K:$K=I1816), Facturas_Odoo!$M:$M, 0), 0))</f>
        <v/>
      </c>
      <c r="U1816" s="79">
        <f>IF(Q1816="Sin Factura",0,IFERROR(_xlfn.XLOOKUP(1, (Facturas_Odoo!$D:$D=A1816) * (Facturas_Odoo!$K:$K=I1816), Facturas_Odoo!$N:$N, 0), 0))</f>
        <v/>
      </c>
      <c r="V1816" s="79">
        <f>IF(Q1816="Sin Factura",0,IFERROR(_xlfn.XLOOKUP(1, (Facturas_Odoo!$D:$D=A1816) * (Facturas_Odoo!$K:$K=I1816), Facturas_Odoo!$O:$O, 0), 0))</f>
        <v/>
      </c>
      <c r="W1816" s="81">
        <f>IF(Q1816="Sin Factura",0,IFERROR(_xlfn.XLOOKUP(1, (Facturas_Odoo!$D:$D=A1816) * (Facturas_Odoo!$K:$K=I1816), Facturas_Odoo!$Q:$Q, 0), 0))</f>
        <v/>
      </c>
      <c r="X1816" s="79">
        <f>IF(OR(Q1816="Sin Factura",Q1816=""),"",IFERROR(INDEX(Pagos_Odoo!$B:$B, MATCH(Q1816, Pagos_Odoo!$I:$I, 0)), "Sin Pago"))</f>
        <v/>
      </c>
      <c r="Y1816" s="79">
        <f>IF(X1816="Sin Pago","",IFERROR(INDEX(Pagos_Odoo!$C:$C, MATCH(X1816, Pagos_Odoo!$B:$B, 0)), ""))</f>
        <v/>
      </c>
      <c r="Z1816" s="80">
        <f>IF(X1816="Sin Pago","",IFERROR(INDEX(Pagos_Odoo!$A:$A, MATCH(X1816, Pagos_Odoo!$B:$B, 0)), ""))</f>
        <v/>
      </c>
      <c r="AA1816" s="79">
        <f>IF(X1816="Sin Pago","",IFERROR(INDEX(Pagos_Odoo!$F:$F, MATCH(X1816, Pagos_Odoo!$B:$B, 0)), ""))</f>
        <v/>
      </c>
      <c r="AB1816" s="81">
        <f>IF(X1816="Sin Pago",0,IFERROR(INDEX(Pagos_Odoo!$E:$E, MATCH(X1816, Pagos_Odoo!$B:$B, 0)), 0))</f>
        <v/>
      </c>
      <c r="AC1816" s="79">
        <f>IF(X1816="Sin Pago","",IFERROR(INDEX(Pagos_Odoo!$G:$G, MATCH(X1816, Pagos_Odoo!$B:$B, 0)), ""))</f>
        <v/>
      </c>
      <c r="AD1816" s="82" t="n">
        <v>0</v>
      </c>
      <c r="AE1816" s="82" t="n"/>
      <c r="AF1816" s="82" t="n"/>
      <c r="AG1816" s="82">
        <f>IF(AN1816="","",AD1816+AE1816+AF1816)</f>
        <v/>
      </c>
      <c r="AH1816" s="81">
        <f>IF(AN1816="","",P1816*(1-AG1816))</f>
        <v/>
      </c>
      <c r="AI1816" s="81">
        <f>IF(AN1816="","",IF(Q1816="Sin Factura",0,IFERROR(INDEX(Facturas_Odoo!$H:$H, MATCH(Q1816, Facturas_Odoo!$B:$B, 0)), 0)*(1-AG1816)))</f>
        <v/>
      </c>
      <c r="AJ1816" s="81">
        <f>IF(AN1816="","",_xlfn.LET(idVenta, AN1816&amp;"",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16" s="81">
        <f>IF(AN1816="","",AH1816-AJ1816)</f>
        <v/>
      </c>
      <c r="AL1816" s="81">
        <f>IF(AN1816="","",IF(Q1816="Sin Factura","",AI1816-AJ1816))</f>
        <v/>
      </c>
      <c r="AM1816" s="81">
        <f>IF(AN1816="","",IF(Q1816="Sin Factura",0,P1816-IFERROR(INDEX(Facturas_Odoo!$H:$H, MATCH(Q1816, Facturas_Odoo!$B:$B, 0)), 0)))</f>
        <v/>
      </c>
      <c r="AN1816" s="79">
        <f>IF(AND(A1816="", J1816=""), "", IF(A1816&lt;&gt;"", VALUE(MID(A1816,2,LEN(A1816))), AN1815))</f>
        <v/>
      </c>
      <c r="AO1816" s="79">
        <f>IF(AN1816="","",IF(AD1816=0,"OK",_xlfn.LET(monedaPago, IF(AA1816="","USD",AA1816), limitePermitido, IFERROR(VLOOKUP(monedaPago, Configuración!$A$2:$B$3, 2, FALSE), 0.15), IF(AD1816&gt;limitePermitido, "ALERTA: EXCESO (" &amp; TEXT(limitePermitido, "0%") &amp; " máx)", "OK"))))</f>
        <v/>
      </c>
      <c r="AP1816" s="79">
        <f>IF(AN1816="","",IF(AE1816=0,"OK",_xlfn.LET(fechaPago, Z1816, fechaFactura, R1816, diasCredito, IF(E1816="Pago inmediato", 0, IFERROR(VALUE(MID(E1816, 1, SEARCH(" ", E1816)-1)),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16" s="79">
        <f>IF(AN1816="","",IF(AND(N1816&gt;0, AG1816&gt;0), IF(Configuración!$K$2="NO", "ALERTA: DESCUENTO DOBLE NO PERMITIDO", "OK"), "OK"))</f>
        <v/>
      </c>
      <c r="AR1816" s="79">
        <f>IF(AN1816="","",IF(OR(AO1816&lt;&gt;"OK", AP1816&lt;&gt;"OK", AQ1816&lt;&gt;"OK"), "⚠️ REVISAR", "OK"))</f>
        <v/>
      </c>
    </row>
    <row r="1817">
      <c r="A1817" s="79">
        <f>IF('Ordenes_Odoo'!A1817="","",'Ordenes_Odoo'!A1817)</f>
        <v/>
      </c>
      <c r="B1817" s="80">
        <f>IF('Ordenes_Odoo'!B1817="","",'Ordenes_Odoo'!B1817)</f>
        <v/>
      </c>
      <c r="C1817" s="79">
        <f>IF('Ordenes_Odoo'!C1817="","",'Ordenes_Odoo'!C1817)</f>
        <v/>
      </c>
      <c r="D1817" s="79">
        <f>IF('Ordenes_Odoo'!D1817="","",'Ordenes_Odoo'!D1817)</f>
        <v/>
      </c>
      <c r="E1817" s="79">
        <f>IF('Ordenes_Odoo'!E1817="","",'Ordenes_Odoo'!E1817)</f>
        <v/>
      </c>
      <c r="F1817" s="79">
        <f>IF('Ordenes_Odoo'!F1817="","",'Ordenes_Odoo'!F1817)</f>
        <v/>
      </c>
      <c r="G1817" s="79">
        <f>IF('Ordenes_Odoo'!G1817="","",'Ordenes_Odoo'!G1817)</f>
        <v/>
      </c>
      <c r="H1817" s="79">
        <f>IF('Ordenes_Odoo'!H1817="","",'Ordenes_Odoo'!H1817)</f>
        <v/>
      </c>
      <c r="I1817" s="79">
        <f>IF('Ordenes_Odoo'!I1817="","",'Ordenes_Odoo'!I1817)</f>
        <v/>
      </c>
      <c r="J1817" s="79">
        <f>IF('Ordenes_Odoo'!J1817="","",'Ordenes_Odoo'!J1817)</f>
        <v/>
      </c>
      <c r="K1817" s="81">
        <f>IF('Ordenes_Odoo'!K1817="","",'Ordenes_Odoo'!K1817)</f>
        <v/>
      </c>
      <c r="L1817" s="81">
        <f>IF('Ordenes_Odoo'!L1817="","",'Ordenes_Odoo'!L1817)</f>
        <v/>
      </c>
      <c r="M1817" s="79">
        <f>IF('Ordenes_Odoo'!M1817="","",'Ordenes_Odoo'!M1817)</f>
        <v/>
      </c>
      <c r="N1817" s="79">
        <f>IF('Ordenes_Odoo'!N1817="","",'Ordenes_Odoo'!N1817)</f>
        <v/>
      </c>
      <c r="O1817" s="81">
        <f>IF('Ordenes_Odoo'!O1817="","",'Ordenes_Odoo'!O1817)</f>
        <v/>
      </c>
      <c r="P1817" s="81">
        <f>IF('Ordenes_Odoo'!P1817="","",'Ordenes_Odoo'!P1817)</f>
        <v/>
      </c>
      <c r="Q1817" s="79">
        <f>IF(A1817="","",IFERROR(INDEX(Facturas_Odoo!$B:$B, MATCH(A1817, Facturas_Odoo!$D:$D, 0)), "Sin Factura"))</f>
        <v/>
      </c>
      <c r="R1817" s="80">
        <f>IF(Q1817="Sin Factura","",IFERROR(INDEX(Facturas_Odoo!$A:$A, MATCH(Q1817, Facturas_Odoo!$B:$B, 0)), ""))</f>
        <v/>
      </c>
      <c r="S1817" s="79">
        <f>IF(Q1817="Sin Factura","",IFERROR(_xlfn.XLOOKUP(1, (Facturas_Odoo!$D:$D=A1817) * (Facturas_Odoo!$K:$K=I1817), Facturas_Odoo!$L:$L, ""), ""))</f>
        <v/>
      </c>
      <c r="T1817" s="81">
        <f>IF(Q1817="Sin Factura",0,IFERROR(_xlfn.XLOOKUP(1, (Facturas_Odoo!$D:$D=A1817) * (Facturas_Odoo!$K:$K=I1817), Facturas_Odoo!$M:$M, 0), 0))</f>
        <v/>
      </c>
      <c r="U1817" s="79">
        <f>IF(Q1817="Sin Factura",0,IFERROR(_xlfn.XLOOKUP(1, (Facturas_Odoo!$D:$D=A1817) * (Facturas_Odoo!$K:$K=I1817), Facturas_Odoo!$N:$N, 0), 0))</f>
        <v/>
      </c>
      <c r="V1817" s="79">
        <f>IF(Q1817="Sin Factura",0,IFERROR(_xlfn.XLOOKUP(1, (Facturas_Odoo!$D:$D=A1817) * (Facturas_Odoo!$K:$K=I1817), Facturas_Odoo!$O:$O, 0), 0))</f>
        <v/>
      </c>
      <c r="W1817" s="81">
        <f>IF(Q1817="Sin Factura",0,IFERROR(_xlfn.XLOOKUP(1, (Facturas_Odoo!$D:$D=A1817) * (Facturas_Odoo!$K:$K=I1817), Facturas_Odoo!$Q:$Q, 0), 0))</f>
        <v/>
      </c>
      <c r="X1817" s="79">
        <f>IF(OR(Q1817="Sin Factura",Q1817=""),"",IFERROR(INDEX(Pagos_Odoo!$B:$B, MATCH(Q1817, Pagos_Odoo!$I:$I, 0)), "Sin Pago"))</f>
        <v/>
      </c>
      <c r="Y1817" s="79">
        <f>IF(X1817="Sin Pago","",IFERROR(INDEX(Pagos_Odoo!$C:$C, MATCH(X1817, Pagos_Odoo!$B:$B, 0)), ""))</f>
        <v/>
      </c>
      <c r="Z1817" s="80">
        <f>IF(X1817="Sin Pago","",IFERROR(INDEX(Pagos_Odoo!$A:$A, MATCH(X1817, Pagos_Odoo!$B:$B, 0)), ""))</f>
        <v/>
      </c>
      <c r="AA1817" s="79">
        <f>IF(X1817="Sin Pago","",IFERROR(INDEX(Pagos_Odoo!$F:$F, MATCH(X1817, Pagos_Odoo!$B:$B, 0)), ""))</f>
        <v/>
      </c>
      <c r="AB1817" s="81">
        <f>IF(X1817="Sin Pago",0,IFERROR(INDEX(Pagos_Odoo!$E:$E, MATCH(X1817, Pagos_Odoo!$B:$B, 0)), 0))</f>
        <v/>
      </c>
      <c r="AC1817" s="79">
        <f>IF(X1817="Sin Pago","",IFERROR(INDEX(Pagos_Odoo!$G:$G, MATCH(X1817, Pagos_Odoo!$B:$B, 0)), ""))</f>
        <v/>
      </c>
      <c r="AD1817" s="82" t="n">
        <v>0</v>
      </c>
      <c r="AE1817" s="82" t="n"/>
      <c r="AF1817" s="82" t="n"/>
      <c r="AG1817" s="82">
        <f>IF(AN1817="","",AD1817+AE1817+AF1817)</f>
        <v/>
      </c>
      <c r="AH1817" s="81">
        <f>IF(AN1817="","",P1817*(1-AG1817))</f>
        <v/>
      </c>
      <c r="AI1817" s="81">
        <f>IF(AN1817="","",IF(Q1817="Sin Factura",0,IFERROR(INDEX(Facturas_Odoo!$H:$H, MATCH(Q1817, Facturas_Odoo!$B:$B, 0)), 0)*(1-AG1817)))</f>
        <v/>
      </c>
      <c r="AJ1817" s="81">
        <f>IF(AN1817="","",_xlfn.LET(idVenta, AN1817&amp;"",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17" s="81">
        <f>IF(AN1817="","",AH1817-AJ1817)</f>
        <v/>
      </c>
      <c r="AL1817" s="81">
        <f>IF(AN1817="","",IF(Q1817="Sin Factura","",AI1817-AJ1817))</f>
        <v/>
      </c>
      <c r="AM1817" s="81">
        <f>IF(AN1817="","",IF(Q1817="Sin Factura",0,P1817-IFERROR(INDEX(Facturas_Odoo!$H:$H, MATCH(Q1817, Facturas_Odoo!$B:$B, 0)), 0)))</f>
        <v/>
      </c>
      <c r="AN1817" s="79">
        <f>IF(AND(A1817="", J1817=""), "", IF(A1817&lt;&gt;"", VALUE(MID(A1817,2,LEN(A1817))), AN1816))</f>
        <v/>
      </c>
      <c r="AO1817" s="79">
        <f>IF(AN1817="","",IF(AD1817=0,"OK",_xlfn.LET(monedaPago, IF(AA1817="","USD",AA1817), limitePermitido, IFERROR(VLOOKUP(monedaPago, Configuración!$A$2:$B$3, 2, FALSE), 0.15), IF(AD1817&gt;limitePermitido, "ALERTA: EXCESO (" &amp; TEXT(limitePermitido, "0%") &amp; " máx)", "OK"))))</f>
        <v/>
      </c>
      <c r="AP1817" s="79">
        <f>IF(AN1817="","",IF(AE1817=0,"OK",_xlfn.LET(fechaPago, Z1817, fechaFactura, R1817, diasCredito, IF(E1817="Pago inmediato", 0, IFERROR(VALUE(MID(E1817, 1, SEARCH(" ", E1817)-1)),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17" s="79">
        <f>IF(AN1817="","",IF(AND(N1817&gt;0, AG1817&gt;0), IF(Configuración!$K$2="NO", "ALERTA: DESCUENTO DOBLE NO PERMITIDO", "OK"), "OK"))</f>
        <v/>
      </c>
      <c r="AR1817" s="79">
        <f>IF(AN1817="","",IF(OR(AO1817&lt;&gt;"OK", AP1817&lt;&gt;"OK", AQ1817&lt;&gt;"OK"), "⚠️ REVISAR", "OK"))</f>
        <v/>
      </c>
    </row>
    <row r="1818">
      <c r="A1818" s="79">
        <f>IF('Ordenes_Odoo'!A1818="","",'Ordenes_Odoo'!A1818)</f>
        <v/>
      </c>
      <c r="B1818" s="80">
        <f>IF('Ordenes_Odoo'!B1818="","",'Ordenes_Odoo'!B1818)</f>
        <v/>
      </c>
      <c r="C1818" s="79">
        <f>IF('Ordenes_Odoo'!C1818="","",'Ordenes_Odoo'!C1818)</f>
        <v/>
      </c>
      <c r="D1818" s="79">
        <f>IF('Ordenes_Odoo'!D1818="","",'Ordenes_Odoo'!D1818)</f>
        <v/>
      </c>
      <c r="E1818" s="79">
        <f>IF('Ordenes_Odoo'!E1818="","",'Ordenes_Odoo'!E1818)</f>
        <v/>
      </c>
      <c r="F1818" s="79">
        <f>IF('Ordenes_Odoo'!F1818="","",'Ordenes_Odoo'!F1818)</f>
        <v/>
      </c>
      <c r="G1818" s="79">
        <f>IF('Ordenes_Odoo'!G1818="","",'Ordenes_Odoo'!G1818)</f>
        <v/>
      </c>
      <c r="H1818" s="79">
        <f>IF('Ordenes_Odoo'!H1818="","",'Ordenes_Odoo'!H1818)</f>
        <v/>
      </c>
      <c r="I1818" s="79">
        <f>IF('Ordenes_Odoo'!I1818="","",'Ordenes_Odoo'!I1818)</f>
        <v/>
      </c>
      <c r="J1818" s="79">
        <f>IF('Ordenes_Odoo'!J1818="","",'Ordenes_Odoo'!J1818)</f>
        <v/>
      </c>
      <c r="K1818" s="81">
        <f>IF('Ordenes_Odoo'!K1818="","",'Ordenes_Odoo'!K1818)</f>
        <v/>
      </c>
      <c r="L1818" s="81">
        <f>IF('Ordenes_Odoo'!L1818="","",'Ordenes_Odoo'!L1818)</f>
        <v/>
      </c>
      <c r="M1818" s="79">
        <f>IF('Ordenes_Odoo'!M1818="","",'Ordenes_Odoo'!M1818)</f>
        <v/>
      </c>
      <c r="N1818" s="79">
        <f>IF('Ordenes_Odoo'!N1818="","",'Ordenes_Odoo'!N1818)</f>
        <v/>
      </c>
      <c r="O1818" s="81">
        <f>IF('Ordenes_Odoo'!O1818="","",'Ordenes_Odoo'!O1818)</f>
        <v/>
      </c>
      <c r="P1818" s="81">
        <f>IF('Ordenes_Odoo'!P1818="","",'Ordenes_Odoo'!P1818)</f>
        <v/>
      </c>
      <c r="Q1818" s="79">
        <f>IF(A1818="","",IFERROR(INDEX(Facturas_Odoo!$B:$B, MATCH(A1818, Facturas_Odoo!$D:$D, 0)), "Sin Factura"))</f>
        <v/>
      </c>
      <c r="R1818" s="80">
        <f>IF(Q1818="Sin Factura","",IFERROR(INDEX(Facturas_Odoo!$A:$A, MATCH(Q1818, Facturas_Odoo!$B:$B, 0)), ""))</f>
        <v/>
      </c>
      <c r="S1818" s="79">
        <f>IF(Q1818="Sin Factura","",IFERROR(_xlfn.XLOOKUP(1, (Facturas_Odoo!$D:$D=A1818) * (Facturas_Odoo!$K:$K=I1818), Facturas_Odoo!$L:$L, ""), ""))</f>
        <v/>
      </c>
      <c r="T1818" s="81">
        <f>IF(Q1818="Sin Factura",0,IFERROR(_xlfn.XLOOKUP(1, (Facturas_Odoo!$D:$D=A1818) * (Facturas_Odoo!$K:$K=I1818), Facturas_Odoo!$M:$M, 0), 0))</f>
        <v/>
      </c>
      <c r="U1818" s="79">
        <f>IF(Q1818="Sin Factura",0,IFERROR(_xlfn.XLOOKUP(1, (Facturas_Odoo!$D:$D=A1818) * (Facturas_Odoo!$K:$K=I1818), Facturas_Odoo!$N:$N, 0), 0))</f>
        <v/>
      </c>
      <c r="V1818" s="79">
        <f>IF(Q1818="Sin Factura",0,IFERROR(_xlfn.XLOOKUP(1, (Facturas_Odoo!$D:$D=A1818) * (Facturas_Odoo!$K:$K=I1818), Facturas_Odoo!$O:$O, 0), 0))</f>
        <v/>
      </c>
      <c r="W1818" s="81">
        <f>IF(Q1818="Sin Factura",0,IFERROR(_xlfn.XLOOKUP(1, (Facturas_Odoo!$D:$D=A1818) * (Facturas_Odoo!$K:$K=I1818), Facturas_Odoo!$Q:$Q, 0), 0))</f>
        <v/>
      </c>
      <c r="X1818" s="79">
        <f>IF(OR(Q1818="Sin Factura",Q1818=""),"",IFERROR(INDEX(Pagos_Odoo!$B:$B, MATCH(Q1818, Pagos_Odoo!$I:$I, 0)), "Sin Pago"))</f>
        <v/>
      </c>
      <c r="Y1818" s="79">
        <f>IF(X1818="Sin Pago","",IFERROR(INDEX(Pagos_Odoo!$C:$C, MATCH(X1818, Pagos_Odoo!$B:$B, 0)), ""))</f>
        <v/>
      </c>
      <c r="Z1818" s="80">
        <f>IF(X1818="Sin Pago","",IFERROR(INDEX(Pagos_Odoo!$A:$A, MATCH(X1818, Pagos_Odoo!$B:$B, 0)), ""))</f>
        <v/>
      </c>
      <c r="AA1818" s="79">
        <f>IF(X1818="Sin Pago","",IFERROR(INDEX(Pagos_Odoo!$F:$F, MATCH(X1818, Pagos_Odoo!$B:$B, 0)), ""))</f>
        <v/>
      </c>
      <c r="AB1818" s="81">
        <f>IF(X1818="Sin Pago",0,IFERROR(INDEX(Pagos_Odoo!$E:$E, MATCH(X1818, Pagos_Odoo!$B:$B, 0)), 0))</f>
        <v/>
      </c>
      <c r="AC1818" s="79">
        <f>IF(X1818="Sin Pago","",IFERROR(INDEX(Pagos_Odoo!$G:$G, MATCH(X1818, Pagos_Odoo!$B:$B, 0)), ""))</f>
        <v/>
      </c>
      <c r="AD1818" s="82" t="n">
        <v>0</v>
      </c>
      <c r="AE1818" s="82" t="n"/>
      <c r="AF1818" s="82" t="n"/>
      <c r="AG1818" s="82">
        <f>IF(AN1818="","",AD1818+AE1818+AF1818)</f>
        <v/>
      </c>
      <c r="AH1818" s="81">
        <f>IF(AN1818="","",P1818*(1-AG1818))</f>
        <v/>
      </c>
      <c r="AI1818" s="81">
        <f>IF(AN1818="","",IF(Q1818="Sin Factura",0,IFERROR(INDEX(Facturas_Odoo!$H:$H, MATCH(Q1818, Facturas_Odoo!$B:$B, 0)), 0)*(1-AG1818)))</f>
        <v/>
      </c>
      <c r="AJ1818" s="81">
        <f>IF(AN1818="","",_xlfn.LET(idVenta, AN1818&amp;"",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18" s="81">
        <f>IF(AN1818="","",AH1818-AJ1818)</f>
        <v/>
      </c>
      <c r="AL1818" s="81">
        <f>IF(AN1818="","",IF(Q1818="Sin Factura","",AI1818-AJ1818))</f>
        <v/>
      </c>
      <c r="AM1818" s="81">
        <f>IF(AN1818="","",IF(Q1818="Sin Factura",0,P1818-IFERROR(INDEX(Facturas_Odoo!$H:$H, MATCH(Q1818, Facturas_Odoo!$B:$B, 0)), 0)))</f>
        <v/>
      </c>
      <c r="AN1818" s="79">
        <f>IF(AND(A1818="", J1818=""), "", IF(A1818&lt;&gt;"", VALUE(MID(A1818,2,LEN(A1818))), AN1817))</f>
        <v/>
      </c>
      <c r="AO1818" s="79">
        <f>IF(AN1818="","",IF(AD1818=0,"OK",_xlfn.LET(monedaPago, IF(AA1818="","USD",AA1818), limitePermitido, IFERROR(VLOOKUP(monedaPago, Configuración!$A$2:$B$3, 2, FALSE), 0.15), IF(AD1818&gt;limitePermitido, "ALERTA: EXCESO (" &amp; TEXT(limitePermitido, "0%") &amp; " máx)", "OK"))))</f>
        <v/>
      </c>
      <c r="AP1818" s="79">
        <f>IF(AN1818="","",IF(AE1818=0,"OK",_xlfn.LET(fechaPago, Z1818, fechaFactura, R1818, diasCredito, IF(E1818="Pago inmediato", 0, IFERROR(VALUE(MID(E1818, 1, SEARCH(" ", E1818)-1)),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18" s="79">
        <f>IF(AN1818="","",IF(AND(N1818&gt;0, AG1818&gt;0), IF(Configuración!$K$2="NO", "ALERTA: DESCUENTO DOBLE NO PERMITIDO", "OK"), "OK"))</f>
        <v/>
      </c>
      <c r="AR1818" s="79">
        <f>IF(AN1818="","",IF(OR(AO1818&lt;&gt;"OK", AP1818&lt;&gt;"OK", AQ1818&lt;&gt;"OK"), "⚠️ REVISAR", "OK"))</f>
        <v/>
      </c>
    </row>
    <row r="1819">
      <c r="A1819" s="79">
        <f>IF('Ordenes_Odoo'!A1819="","",'Ordenes_Odoo'!A1819)</f>
        <v/>
      </c>
      <c r="B1819" s="80">
        <f>IF('Ordenes_Odoo'!B1819="","",'Ordenes_Odoo'!B1819)</f>
        <v/>
      </c>
      <c r="C1819" s="79">
        <f>IF('Ordenes_Odoo'!C1819="","",'Ordenes_Odoo'!C1819)</f>
        <v/>
      </c>
      <c r="D1819" s="79">
        <f>IF('Ordenes_Odoo'!D1819="","",'Ordenes_Odoo'!D1819)</f>
        <v/>
      </c>
      <c r="E1819" s="79">
        <f>IF('Ordenes_Odoo'!E1819="","",'Ordenes_Odoo'!E1819)</f>
        <v/>
      </c>
      <c r="F1819" s="79">
        <f>IF('Ordenes_Odoo'!F1819="","",'Ordenes_Odoo'!F1819)</f>
        <v/>
      </c>
      <c r="G1819" s="79">
        <f>IF('Ordenes_Odoo'!G1819="","",'Ordenes_Odoo'!G1819)</f>
        <v/>
      </c>
      <c r="H1819" s="79">
        <f>IF('Ordenes_Odoo'!H1819="","",'Ordenes_Odoo'!H1819)</f>
        <v/>
      </c>
      <c r="I1819" s="79">
        <f>IF('Ordenes_Odoo'!I1819="","",'Ordenes_Odoo'!I1819)</f>
        <v/>
      </c>
      <c r="J1819" s="79">
        <f>IF('Ordenes_Odoo'!J1819="","",'Ordenes_Odoo'!J1819)</f>
        <v/>
      </c>
      <c r="K1819" s="81">
        <f>IF('Ordenes_Odoo'!K1819="","",'Ordenes_Odoo'!K1819)</f>
        <v/>
      </c>
      <c r="L1819" s="81">
        <f>IF('Ordenes_Odoo'!L1819="","",'Ordenes_Odoo'!L1819)</f>
        <v/>
      </c>
      <c r="M1819" s="79">
        <f>IF('Ordenes_Odoo'!M1819="","",'Ordenes_Odoo'!M1819)</f>
        <v/>
      </c>
      <c r="N1819" s="79">
        <f>IF('Ordenes_Odoo'!N1819="","",'Ordenes_Odoo'!N1819)</f>
        <v/>
      </c>
      <c r="O1819" s="81">
        <f>IF('Ordenes_Odoo'!O1819="","",'Ordenes_Odoo'!O1819)</f>
        <v/>
      </c>
      <c r="P1819" s="81">
        <f>IF('Ordenes_Odoo'!P1819="","",'Ordenes_Odoo'!P1819)</f>
        <v/>
      </c>
      <c r="Q1819" s="79">
        <f>IF(A1819="","",IFERROR(INDEX(Facturas_Odoo!$B:$B, MATCH(A1819, Facturas_Odoo!$D:$D, 0)), "Sin Factura"))</f>
        <v/>
      </c>
      <c r="R1819" s="80">
        <f>IF(Q1819="Sin Factura","",IFERROR(INDEX(Facturas_Odoo!$A:$A, MATCH(Q1819, Facturas_Odoo!$B:$B, 0)), ""))</f>
        <v/>
      </c>
      <c r="S1819" s="79">
        <f>IF(Q1819="Sin Factura","",IFERROR(_xlfn.XLOOKUP(1, (Facturas_Odoo!$D:$D=A1819) * (Facturas_Odoo!$K:$K=I1819), Facturas_Odoo!$L:$L, ""), ""))</f>
        <v/>
      </c>
      <c r="T1819" s="81">
        <f>IF(Q1819="Sin Factura",0,IFERROR(_xlfn.XLOOKUP(1, (Facturas_Odoo!$D:$D=A1819) * (Facturas_Odoo!$K:$K=I1819), Facturas_Odoo!$M:$M, 0), 0))</f>
        <v/>
      </c>
      <c r="U1819" s="79">
        <f>IF(Q1819="Sin Factura",0,IFERROR(_xlfn.XLOOKUP(1, (Facturas_Odoo!$D:$D=A1819) * (Facturas_Odoo!$K:$K=I1819), Facturas_Odoo!$N:$N, 0), 0))</f>
        <v/>
      </c>
      <c r="V1819" s="79">
        <f>IF(Q1819="Sin Factura",0,IFERROR(_xlfn.XLOOKUP(1, (Facturas_Odoo!$D:$D=A1819) * (Facturas_Odoo!$K:$K=I1819), Facturas_Odoo!$O:$O, 0), 0))</f>
        <v/>
      </c>
      <c r="W1819" s="81">
        <f>IF(Q1819="Sin Factura",0,IFERROR(_xlfn.XLOOKUP(1, (Facturas_Odoo!$D:$D=A1819) * (Facturas_Odoo!$K:$K=I1819), Facturas_Odoo!$Q:$Q, 0), 0))</f>
        <v/>
      </c>
      <c r="X1819" s="79">
        <f>IF(OR(Q1819="Sin Factura",Q1819=""),"",IFERROR(INDEX(Pagos_Odoo!$B:$B, MATCH(Q1819, Pagos_Odoo!$I:$I, 0)), "Sin Pago"))</f>
        <v/>
      </c>
      <c r="Y1819" s="79">
        <f>IF(X1819="Sin Pago","",IFERROR(INDEX(Pagos_Odoo!$C:$C, MATCH(X1819, Pagos_Odoo!$B:$B, 0)), ""))</f>
        <v/>
      </c>
      <c r="Z1819" s="80">
        <f>IF(X1819="Sin Pago","",IFERROR(INDEX(Pagos_Odoo!$A:$A, MATCH(X1819, Pagos_Odoo!$B:$B, 0)), ""))</f>
        <v/>
      </c>
      <c r="AA1819" s="79">
        <f>IF(X1819="Sin Pago","",IFERROR(INDEX(Pagos_Odoo!$F:$F, MATCH(X1819, Pagos_Odoo!$B:$B, 0)), ""))</f>
        <v/>
      </c>
      <c r="AB1819" s="81">
        <f>IF(X1819="Sin Pago",0,IFERROR(INDEX(Pagos_Odoo!$E:$E, MATCH(X1819, Pagos_Odoo!$B:$B, 0)), 0))</f>
        <v/>
      </c>
      <c r="AC1819" s="79">
        <f>IF(X1819="Sin Pago","",IFERROR(INDEX(Pagos_Odoo!$G:$G, MATCH(X1819, Pagos_Odoo!$B:$B, 0)), ""))</f>
        <v/>
      </c>
      <c r="AD1819" s="82" t="n">
        <v>0</v>
      </c>
      <c r="AE1819" s="82" t="n"/>
      <c r="AF1819" s="82" t="n"/>
      <c r="AG1819" s="82">
        <f>IF(AN1819="","",AD1819+AE1819+AF1819)</f>
        <v/>
      </c>
      <c r="AH1819" s="81">
        <f>IF(AN1819="","",P1819*(1-AG1819))</f>
        <v/>
      </c>
      <c r="AI1819" s="81">
        <f>IF(AN1819="","",IF(Q1819="Sin Factura",0,IFERROR(INDEX(Facturas_Odoo!$H:$H, MATCH(Q1819, Facturas_Odoo!$B:$B, 0)), 0)*(1-AG1819)))</f>
        <v/>
      </c>
      <c r="AJ1819" s="81">
        <f>IF(AN1819="","",_xlfn.LET(idVenta, AN1819&amp;"",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19" s="81">
        <f>IF(AN1819="","",AH1819-AJ1819)</f>
        <v/>
      </c>
      <c r="AL1819" s="81">
        <f>IF(AN1819="","",IF(Q1819="Sin Factura","",AI1819-AJ1819))</f>
        <v/>
      </c>
      <c r="AM1819" s="81">
        <f>IF(AN1819="","",IF(Q1819="Sin Factura",0,P1819-IFERROR(INDEX(Facturas_Odoo!$H:$H, MATCH(Q1819, Facturas_Odoo!$B:$B, 0)), 0)))</f>
        <v/>
      </c>
      <c r="AN1819" s="79">
        <f>IF(AND(A1819="", J1819=""), "", IF(A1819&lt;&gt;"", VALUE(MID(A1819,2,LEN(A1819))), AN1818))</f>
        <v/>
      </c>
      <c r="AO1819" s="79">
        <f>IF(AN1819="","",IF(AD1819=0,"OK",_xlfn.LET(monedaPago, IF(AA1819="","USD",AA1819), limitePermitido, IFERROR(VLOOKUP(monedaPago, Configuración!$A$2:$B$3, 2, FALSE), 0.15), IF(AD1819&gt;limitePermitido, "ALERTA: EXCESO (" &amp; TEXT(limitePermitido, "0%") &amp; " máx)", "OK"))))</f>
        <v/>
      </c>
      <c r="AP1819" s="79">
        <f>IF(AN1819="","",IF(AE1819=0,"OK",_xlfn.LET(fechaPago, Z1819, fechaFactura, R1819, diasCredito, IF(E1819="Pago inmediato", 0, IFERROR(VALUE(MID(E1819, 1, SEARCH(" ", E1819)-1)),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19" s="79">
        <f>IF(AN1819="","",IF(AND(N1819&gt;0, AG1819&gt;0), IF(Configuración!$K$2="NO", "ALERTA: DESCUENTO DOBLE NO PERMITIDO", "OK"), "OK"))</f>
        <v/>
      </c>
      <c r="AR1819" s="79">
        <f>IF(AN1819="","",IF(OR(AO1819&lt;&gt;"OK", AP1819&lt;&gt;"OK", AQ1819&lt;&gt;"OK"), "⚠️ REVISAR", "OK"))</f>
        <v/>
      </c>
    </row>
    <row r="1820">
      <c r="A1820" s="79">
        <f>IF('Ordenes_Odoo'!A1820="","",'Ordenes_Odoo'!A1820)</f>
        <v/>
      </c>
      <c r="B1820" s="80">
        <f>IF('Ordenes_Odoo'!B1820="","",'Ordenes_Odoo'!B1820)</f>
        <v/>
      </c>
      <c r="C1820" s="79">
        <f>IF('Ordenes_Odoo'!C1820="","",'Ordenes_Odoo'!C1820)</f>
        <v/>
      </c>
      <c r="D1820" s="79">
        <f>IF('Ordenes_Odoo'!D1820="","",'Ordenes_Odoo'!D1820)</f>
        <v/>
      </c>
      <c r="E1820" s="79">
        <f>IF('Ordenes_Odoo'!E1820="","",'Ordenes_Odoo'!E1820)</f>
        <v/>
      </c>
      <c r="F1820" s="79">
        <f>IF('Ordenes_Odoo'!F1820="","",'Ordenes_Odoo'!F1820)</f>
        <v/>
      </c>
      <c r="G1820" s="79">
        <f>IF('Ordenes_Odoo'!G1820="","",'Ordenes_Odoo'!G1820)</f>
        <v/>
      </c>
      <c r="H1820" s="79">
        <f>IF('Ordenes_Odoo'!H1820="","",'Ordenes_Odoo'!H1820)</f>
        <v/>
      </c>
      <c r="I1820" s="79">
        <f>IF('Ordenes_Odoo'!I1820="","",'Ordenes_Odoo'!I1820)</f>
        <v/>
      </c>
      <c r="J1820" s="79">
        <f>IF('Ordenes_Odoo'!J1820="","",'Ordenes_Odoo'!J1820)</f>
        <v/>
      </c>
      <c r="K1820" s="81">
        <f>IF('Ordenes_Odoo'!K1820="","",'Ordenes_Odoo'!K1820)</f>
        <v/>
      </c>
      <c r="L1820" s="81">
        <f>IF('Ordenes_Odoo'!L1820="","",'Ordenes_Odoo'!L1820)</f>
        <v/>
      </c>
      <c r="M1820" s="79">
        <f>IF('Ordenes_Odoo'!M1820="","",'Ordenes_Odoo'!M1820)</f>
        <v/>
      </c>
      <c r="N1820" s="79">
        <f>IF('Ordenes_Odoo'!N1820="","",'Ordenes_Odoo'!N1820)</f>
        <v/>
      </c>
      <c r="O1820" s="81">
        <f>IF('Ordenes_Odoo'!O1820="","",'Ordenes_Odoo'!O1820)</f>
        <v/>
      </c>
      <c r="P1820" s="81">
        <f>IF('Ordenes_Odoo'!P1820="","",'Ordenes_Odoo'!P1820)</f>
        <v/>
      </c>
      <c r="Q1820" s="79">
        <f>IF(A1820="","",IFERROR(INDEX(Facturas_Odoo!$B:$B, MATCH(A1820, Facturas_Odoo!$D:$D, 0)), "Sin Factura"))</f>
        <v/>
      </c>
      <c r="R1820" s="80">
        <f>IF(Q1820="Sin Factura","",IFERROR(INDEX(Facturas_Odoo!$A:$A, MATCH(Q1820, Facturas_Odoo!$B:$B, 0)), ""))</f>
        <v/>
      </c>
      <c r="S1820" s="79">
        <f>IF(Q1820="Sin Factura","",IFERROR(_xlfn.XLOOKUP(1, (Facturas_Odoo!$D:$D=A1820) * (Facturas_Odoo!$K:$K=I1820), Facturas_Odoo!$L:$L, ""), ""))</f>
        <v/>
      </c>
      <c r="T1820" s="81">
        <f>IF(Q1820="Sin Factura",0,IFERROR(_xlfn.XLOOKUP(1, (Facturas_Odoo!$D:$D=A1820) * (Facturas_Odoo!$K:$K=I1820), Facturas_Odoo!$M:$M, 0), 0))</f>
        <v/>
      </c>
      <c r="U1820" s="79">
        <f>IF(Q1820="Sin Factura",0,IFERROR(_xlfn.XLOOKUP(1, (Facturas_Odoo!$D:$D=A1820) * (Facturas_Odoo!$K:$K=I1820), Facturas_Odoo!$N:$N, 0), 0))</f>
        <v/>
      </c>
      <c r="V1820" s="79">
        <f>IF(Q1820="Sin Factura",0,IFERROR(_xlfn.XLOOKUP(1, (Facturas_Odoo!$D:$D=A1820) * (Facturas_Odoo!$K:$K=I1820), Facturas_Odoo!$O:$O, 0), 0))</f>
        <v/>
      </c>
      <c r="W1820" s="81">
        <f>IF(Q1820="Sin Factura",0,IFERROR(_xlfn.XLOOKUP(1, (Facturas_Odoo!$D:$D=A1820) * (Facturas_Odoo!$K:$K=I1820), Facturas_Odoo!$Q:$Q, 0), 0))</f>
        <v/>
      </c>
      <c r="X1820" s="79">
        <f>IF(OR(Q1820="Sin Factura",Q1820=""),"",IFERROR(INDEX(Pagos_Odoo!$B:$B, MATCH(Q1820, Pagos_Odoo!$I:$I, 0)), "Sin Pago"))</f>
        <v/>
      </c>
      <c r="Y1820" s="79">
        <f>IF(X1820="Sin Pago","",IFERROR(INDEX(Pagos_Odoo!$C:$C, MATCH(X1820, Pagos_Odoo!$B:$B, 0)), ""))</f>
        <v/>
      </c>
      <c r="Z1820" s="80">
        <f>IF(X1820="Sin Pago","",IFERROR(INDEX(Pagos_Odoo!$A:$A, MATCH(X1820, Pagos_Odoo!$B:$B, 0)), ""))</f>
        <v/>
      </c>
      <c r="AA1820" s="79">
        <f>IF(X1820="Sin Pago","",IFERROR(INDEX(Pagos_Odoo!$F:$F, MATCH(X1820, Pagos_Odoo!$B:$B, 0)), ""))</f>
        <v/>
      </c>
      <c r="AB1820" s="81">
        <f>IF(X1820="Sin Pago",0,IFERROR(INDEX(Pagos_Odoo!$E:$E, MATCH(X1820, Pagos_Odoo!$B:$B, 0)), 0))</f>
        <v/>
      </c>
      <c r="AC1820" s="79">
        <f>IF(X1820="Sin Pago","",IFERROR(INDEX(Pagos_Odoo!$G:$G, MATCH(X1820, Pagos_Odoo!$B:$B, 0)), ""))</f>
        <v/>
      </c>
      <c r="AD1820" s="82" t="n">
        <v>0</v>
      </c>
      <c r="AE1820" s="82" t="n"/>
      <c r="AF1820" s="82" t="n"/>
      <c r="AG1820" s="82">
        <f>IF(AN1820="","",AD1820+AE1820+AF1820)</f>
        <v/>
      </c>
      <c r="AH1820" s="81">
        <f>IF(AN1820="","",P1820*(1-AG1820))</f>
        <v/>
      </c>
      <c r="AI1820" s="81">
        <f>IF(AN1820="","",IF(Q1820="Sin Factura",0,IFERROR(INDEX(Facturas_Odoo!$H:$H, MATCH(Q1820, Facturas_Odoo!$B:$B, 0)), 0)*(1-AG1820)))</f>
        <v/>
      </c>
      <c r="AJ1820" s="81">
        <f>IF(AN1820="","",_xlfn.LET(idVenta, AN1820&amp;"",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20" s="81">
        <f>IF(AN1820="","",AH1820-AJ1820)</f>
        <v/>
      </c>
      <c r="AL1820" s="81">
        <f>IF(AN1820="","",IF(Q1820="Sin Factura","",AI1820-AJ1820))</f>
        <v/>
      </c>
      <c r="AM1820" s="81">
        <f>IF(AN1820="","",IF(Q1820="Sin Factura",0,P1820-IFERROR(INDEX(Facturas_Odoo!$H:$H, MATCH(Q1820, Facturas_Odoo!$B:$B, 0)), 0)))</f>
        <v/>
      </c>
      <c r="AN1820" s="79">
        <f>IF(AND(A1820="", J1820=""), "", IF(A1820&lt;&gt;"", VALUE(MID(A1820,2,LEN(A1820))), AN1819))</f>
        <v/>
      </c>
      <c r="AO1820" s="79">
        <f>IF(AN1820="","",IF(AD1820=0,"OK",_xlfn.LET(monedaPago, IF(AA1820="","USD",AA1820), limitePermitido, IFERROR(VLOOKUP(monedaPago, Configuración!$A$2:$B$3, 2, FALSE), 0.15), IF(AD1820&gt;limitePermitido, "ALERTA: EXCESO (" &amp; TEXT(limitePermitido, "0%") &amp; " máx)", "OK"))))</f>
        <v/>
      </c>
      <c r="AP1820" s="79">
        <f>IF(AN1820="","",IF(AE1820=0,"OK",_xlfn.LET(fechaPago, Z1820, fechaFactura, R1820, diasCredito, IF(E1820="Pago inmediato", 0, IFERROR(VALUE(MID(E1820, 1, SEARCH(" ", E1820)-1)),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20" s="79">
        <f>IF(AN1820="","",IF(AND(N1820&gt;0, AG1820&gt;0), IF(Configuración!$K$2="NO", "ALERTA: DESCUENTO DOBLE NO PERMITIDO", "OK"), "OK"))</f>
        <v/>
      </c>
      <c r="AR1820" s="79">
        <f>IF(AN1820="","",IF(OR(AO1820&lt;&gt;"OK", AP1820&lt;&gt;"OK", AQ1820&lt;&gt;"OK"), "⚠️ REVISAR", "OK"))</f>
        <v/>
      </c>
    </row>
    <row r="1821">
      <c r="A1821" s="79">
        <f>IF('Ordenes_Odoo'!A1821="","",'Ordenes_Odoo'!A1821)</f>
        <v/>
      </c>
      <c r="B1821" s="80">
        <f>IF('Ordenes_Odoo'!B1821="","",'Ordenes_Odoo'!B1821)</f>
        <v/>
      </c>
      <c r="C1821" s="79">
        <f>IF('Ordenes_Odoo'!C1821="","",'Ordenes_Odoo'!C1821)</f>
        <v/>
      </c>
      <c r="D1821" s="79">
        <f>IF('Ordenes_Odoo'!D1821="","",'Ordenes_Odoo'!D1821)</f>
        <v/>
      </c>
      <c r="E1821" s="79">
        <f>IF('Ordenes_Odoo'!E1821="","",'Ordenes_Odoo'!E1821)</f>
        <v/>
      </c>
      <c r="F1821" s="79">
        <f>IF('Ordenes_Odoo'!F1821="","",'Ordenes_Odoo'!F1821)</f>
        <v/>
      </c>
      <c r="G1821" s="79">
        <f>IF('Ordenes_Odoo'!G1821="","",'Ordenes_Odoo'!G1821)</f>
        <v/>
      </c>
      <c r="H1821" s="79">
        <f>IF('Ordenes_Odoo'!H1821="","",'Ordenes_Odoo'!H1821)</f>
        <v/>
      </c>
      <c r="I1821" s="79">
        <f>IF('Ordenes_Odoo'!I1821="","",'Ordenes_Odoo'!I1821)</f>
        <v/>
      </c>
      <c r="J1821" s="79">
        <f>IF('Ordenes_Odoo'!J1821="","",'Ordenes_Odoo'!J1821)</f>
        <v/>
      </c>
      <c r="K1821" s="81">
        <f>IF('Ordenes_Odoo'!K1821="","",'Ordenes_Odoo'!K1821)</f>
        <v/>
      </c>
      <c r="L1821" s="81">
        <f>IF('Ordenes_Odoo'!L1821="","",'Ordenes_Odoo'!L1821)</f>
        <v/>
      </c>
      <c r="M1821" s="79">
        <f>IF('Ordenes_Odoo'!M1821="","",'Ordenes_Odoo'!M1821)</f>
        <v/>
      </c>
      <c r="N1821" s="79">
        <f>IF('Ordenes_Odoo'!N1821="","",'Ordenes_Odoo'!N1821)</f>
        <v/>
      </c>
      <c r="O1821" s="81">
        <f>IF('Ordenes_Odoo'!O1821="","",'Ordenes_Odoo'!O1821)</f>
        <v/>
      </c>
      <c r="P1821" s="81">
        <f>IF('Ordenes_Odoo'!P1821="","",'Ordenes_Odoo'!P1821)</f>
        <v/>
      </c>
      <c r="Q1821" s="79">
        <f>IF(A1821="","",IFERROR(INDEX(Facturas_Odoo!$B:$B, MATCH(A1821, Facturas_Odoo!$D:$D, 0)), "Sin Factura"))</f>
        <v/>
      </c>
      <c r="R1821" s="80">
        <f>IF(Q1821="Sin Factura","",IFERROR(INDEX(Facturas_Odoo!$A:$A, MATCH(Q1821, Facturas_Odoo!$B:$B, 0)), ""))</f>
        <v/>
      </c>
      <c r="S1821" s="79">
        <f>IF(Q1821="Sin Factura","",IFERROR(_xlfn.XLOOKUP(1, (Facturas_Odoo!$D:$D=A1821) * (Facturas_Odoo!$K:$K=I1821), Facturas_Odoo!$L:$L, ""), ""))</f>
        <v/>
      </c>
      <c r="T1821" s="81">
        <f>IF(Q1821="Sin Factura",0,IFERROR(_xlfn.XLOOKUP(1, (Facturas_Odoo!$D:$D=A1821) * (Facturas_Odoo!$K:$K=I1821), Facturas_Odoo!$M:$M, 0), 0))</f>
        <v/>
      </c>
      <c r="U1821" s="79">
        <f>IF(Q1821="Sin Factura",0,IFERROR(_xlfn.XLOOKUP(1, (Facturas_Odoo!$D:$D=A1821) * (Facturas_Odoo!$K:$K=I1821), Facturas_Odoo!$N:$N, 0), 0))</f>
        <v/>
      </c>
      <c r="V1821" s="79">
        <f>IF(Q1821="Sin Factura",0,IFERROR(_xlfn.XLOOKUP(1, (Facturas_Odoo!$D:$D=A1821) * (Facturas_Odoo!$K:$K=I1821), Facturas_Odoo!$O:$O, 0), 0))</f>
        <v/>
      </c>
      <c r="W1821" s="81">
        <f>IF(Q1821="Sin Factura",0,IFERROR(_xlfn.XLOOKUP(1, (Facturas_Odoo!$D:$D=A1821) * (Facturas_Odoo!$K:$K=I1821), Facturas_Odoo!$Q:$Q, 0), 0))</f>
        <v/>
      </c>
      <c r="X1821" s="79">
        <f>IF(OR(Q1821="Sin Factura",Q1821=""),"",IFERROR(INDEX(Pagos_Odoo!$B:$B, MATCH(Q1821, Pagos_Odoo!$I:$I, 0)), "Sin Pago"))</f>
        <v/>
      </c>
      <c r="Y1821" s="79">
        <f>IF(X1821="Sin Pago","",IFERROR(INDEX(Pagos_Odoo!$C:$C, MATCH(X1821, Pagos_Odoo!$B:$B, 0)), ""))</f>
        <v/>
      </c>
      <c r="Z1821" s="80">
        <f>IF(X1821="Sin Pago","",IFERROR(INDEX(Pagos_Odoo!$A:$A, MATCH(X1821, Pagos_Odoo!$B:$B, 0)), ""))</f>
        <v/>
      </c>
      <c r="AA1821" s="79">
        <f>IF(X1821="Sin Pago","",IFERROR(INDEX(Pagos_Odoo!$F:$F, MATCH(X1821, Pagos_Odoo!$B:$B, 0)), ""))</f>
        <v/>
      </c>
      <c r="AB1821" s="81">
        <f>IF(X1821="Sin Pago",0,IFERROR(INDEX(Pagos_Odoo!$E:$E, MATCH(X1821, Pagos_Odoo!$B:$B, 0)), 0))</f>
        <v/>
      </c>
      <c r="AC1821" s="79">
        <f>IF(X1821="Sin Pago","",IFERROR(INDEX(Pagos_Odoo!$G:$G, MATCH(X1821, Pagos_Odoo!$B:$B, 0)), ""))</f>
        <v/>
      </c>
      <c r="AD1821" s="82" t="n">
        <v>0</v>
      </c>
      <c r="AE1821" s="82" t="n"/>
      <c r="AF1821" s="82" t="n"/>
      <c r="AG1821" s="82">
        <f>IF(AN1821="","",AD1821+AE1821+AF1821)</f>
        <v/>
      </c>
      <c r="AH1821" s="81">
        <f>IF(AN1821="","",P1821*(1-AG1821))</f>
        <v/>
      </c>
      <c r="AI1821" s="81">
        <f>IF(AN1821="","",IF(Q1821="Sin Factura",0,IFERROR(INDEX(Facturas_Odoo!$H:$H, MATCH(Q1821, Facturas_Odoo!$B:$B, 0)), 0)*(1-AG1821)))</f>
        <v/>
      </c>
      <c r="AJ1821" s="81">
        <f>IF(AN1821="","",_xlfn.LET(idVenta, AN1821&amp;"",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21" s="81">
        <f>IF(AN1821="","",AH1821-AJ1821)</f>
        <v/>
      </c>
      <c r="AL1821" s="81">
        <f>IF(AN1821="","",IF(Q1821="Sin Factura","",AI1821-AJ1821))</f>
        <v/>
      </c>
      <c r="AM1821" s="81">
        <f>IF(AN1821="","",IF(Q1821="Sin Factura",0,P1821-IFERROR(INDEX(Facturas_Odoo!$H:$H, MATCH(Q1821, Facturas_Odoo!$B:$B, 0)), 0)))</f>
        <v/>
      </c>
      <c r="AN1821" s="79">
        <f>IF(AND(A1821="", J1821=""), "", IF(A1821&lt;&gt;"", VALUE(MID(A1821,2,LEN(A1821))), AN1820))</f>
        <v/>
      </c>
      <c r="AO1821" s="79">
        <f>IF(AN1821="","",IF(AD1821=0,"OK",_xlfn.LET(monedaPago, IF(AA1821="","USD",AA1821), limitePermitido, IFERROR(VLOOKUP(monedaPago, Configuración!$A$2:$B$3, 2, FALSE), 0.15), IF(AD1821&gt;limitePermitido, "ALERTA: EXCESO (" &amp; TEXT(limitePermitido, "0%") &amp; " máx)", "OK"))))</f>
        <v/>
      </c>
      <c r="AP1821" s="79">
        <f>IF(AN1821="","",IF(AE1821=0,"OK",_xlfn.LET(fechaPago, Z1821, fechaFactura, R1821, diasCredito, IF(E1821="Pago inmediato", 0, IFERROR(VALUE(MID(E1821, 1, SEARCH(" ", E1821)-1)),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21" s="79">
        <f>IF(AN1821="","",IF(AND(N1821&gt;0, AG1821&gt;0), IF(Configuración!$K$2="NO", "ALERTA: DESCUENTO DOBLE NO PERMITIDO", "OK"), "OK"))</f>
        <v/>
      </c>
      <c r="AR1821" s="79">
        <f>IF(AN1821="","",IF(OR(AO1821&lt;&gt;"OK", AP1821&lt;&gt;"OK", AQ1821&lt;&gt;"OK"), "⚠️ REVISAR", "OK"))</f>
        <v/>
      </c>
    </row>
    <row r="1822">
      <c r="A1822" s="79">
        <f>IF('Ordenes_Odoo'!A1822="","",'Ordenes_Odoo'!A1822)</f>
        <v/>
      </c>
      <c r="B1822" s="80">
        <f>IF('Ordenes_Odoo'!B1822="","",'Ordenes_Odoo'!B1822)</f>
        <v/>
      </c>
      <c r="C1822" s="79">
        <f>IF('Ordenes_Odoo'!C1822="","",'Ordenes_Odoo'!C1822)</f>
        <v/>
      </c>
      <c r="D1822" s="79">
        <f>IF('Ordenes_Odoo'!D1822="","",'Ordenes_Odoo'!D1822)</f>
        <v/>
      </c>
      <c r="E1822" s="79">
        <f>IF('Ordenes_Odoo'!E1822="","",'Ordenes_Odoo'!E1822)</f>
        <v/>
      </c>
      <c r="F1822" s="79">
        <f>IF('Ordenes_Odoo'!F1822="","",'Ordenes_Odoo'!F1822)</f>
        <v/>
      </c>
      <c r="G1822" s="79">
        <f>IF('Ordenes_Odoo'!G1822="","",'Ordenes_Odoo'!G1822)</f>
        <v/>
      </c>
      <c r="H1822" s="79">
        <f>IF('Ordenes_Odoo'!H1822="","",'Ordenes_Odoo'!H1822)</f>
        <v/>
      </c>
      <c r="I1822" s="79">
        <f>IF('Ordenes_Odoo'!I1822="","",'Ordenes_Odoo'!I1822)</f>
        <v/>
      </c>
      <c r="J1822" s="79">
        <f>IF('Ordenes_Odoo'!J1822="","",'Ordenes_Odoo'!J1822)</f>
        <v/>
      </c>
      <c r="K1822" s="81">
        <f>IF('Ordenes_Odoo'!K1822="","",'Ordenes_Odoo'!K1822)</f>
        <v/>
      </c>
      <c r="L1822" s="81">
        <f>IF('Ordenes_Odoo'!L1822="","",'Ordenes_Odoo'!L1822)</f>
        <v/>
      </c>
      <c r="M1822" s="79">
        <f>IF('Ordenes_Odoo'!M1822="","",'Ordenes_Odoo'!M1822)</f>
        <v/>
      </c>
      <c r="N1822" s="79">
        <f>IF('Ordenes_Odoo'!N1822="","",'Ordenes_Odoo'!N1822)</f>
        <v/>
      </c>
      <c r="O1822" s="81">
        <f>IF('Ordenes_Odoo'!O1822="","",'Ordenes_Odoo'!O1822)</f>
        <v/>
      </c>
      <c r="P1822" s="81">
        <f>IF('Ordenes_Odoo'!P1822="","",'Ordenes_Odoo'!P1822)</f>
        <v/>
      </c>
      <c r="Q1822" s="79">
        <f>IF(A1822="","",IFERROR(INDEX(Facturas_Odoo!$B:$B, MATCH(A1822, Facturas_Odoo!$D:$D, 0)), "Sin Factura"))</f>
        <v/>
      </c>
      <c r="R1822" s="80">
        <f>IF(Q1822="Sin Factura","",IFERROR(INDEX(Facturas_Odoo!$A:$A, MATCH(Q1822, Facturas_Odoo!$B:$B, 0)), ""))</f>
        <v/>
      </c>
      <c r="S1822" s="79">
        <f>IF(Q1822="Sin Factura","",IFERROR(_xlfn.XLOOKUP(1, (Facturas_Odoo!$D:$D=A1822) * (Facturas_Odoo!$K:$K=I1822), Facturas_Odoo!$L:$L, ""), ""))</f>
        <v/>
      </c>
      <c r="T1822" s="81">
        <f>IF(Q1822="Sin Factura",0,IFERROR(_xlfn.XLOOKUP(1, (Facturas_Odoo!$D:$D=A1822) * (Facturas_Odoo!$K:$K=I1822), Facturas_Odoo!$M:$M, 0), 0))</f>
        <v/>
      </c>
      <c r="U1822" s="79">
        <f>IF(Q1822="Sin Factura",0,IFERROR(_xlfn.XLOOKUP(1, (Facturas_Odoo!$D:$D=A1822) * (Facturas_Odoo!$K:$K=I1822), Facturas_Odoo!$N:$N, 0), 0))</f>
        <v/>
      </c>
      <c r="V1822" s="79">
        <f>IF(Q1822="Sin Factura",0,IFERROR(_xlfn.XLOOKUP(1, (Facturas_Odoo!$D:$D=A1822) * (Facturas_Odoo!$K:$K=I1822), Facturas_Odoo!$O:$O, 0), 0))</f>
        <v/>
      </c>
      <c r="W1822" s="81">
        <f>IF(Q1822="Sin Factura",0,IFERROR(_xlfn.XLOOKUP(1, (Facturas_Odoo!$D:$D=A1822) * (Facturas_Odoo!$K:$K=I1822), Facturas_Odoo!$Q:$Q, 0), 0))</f>
        <v/>
      </c>
      <c r="X1822" s="79">
        <f>IF(OR(Q1822="Sin Factura",Q1822=""),"",IFERROR(INDEX(Pagos_Odoo!$B:$B, MATCH(Q1822, Pagos_Odoo!$I:$I, 0)), "Sin Pago"))</f>
        <v/>
      </c>
      <c r="Y1822" s="79">
        <f>IF(X1822="Sin Pago","",IFERROR(INDEX(Pagos_Odoo!$C:$C, MATCH(X1822, Pagos_Odoo!$B:$B, 0)), ""))</f>
        <v/>
      </c>
      <c r="Z1822" s="80">
        <f>IF(X1822="Sin Pago","",IFERROR(INDEX(Pagos_Odoo!$A:$A, MATCH(X1822, Pagos_Odoo!$B:$B, 0)), ""))</f>
        <v/>
      </c>
      <c r="AA1822" s="79">
        <f>IF(X1822="Sin Pago","",IFERROR(INDEX(Pagos_Odoo!$F:$F, MATCH(X1822, Pagos_Odoo!$B:$B, 0)), ""))</f>
        <v/>
      </c>
      <c r="AB1822" s="81">
        <f>IF(X1822="Sin Pago",0,IFERROR(INDEX(Pagos_Odoo!$E:$E, MATCH(X1822, Pagos_Odoo!$B:$B, 0)), 0))</f>
        <v/>
      </c>
      <c r="AC1822" s="79">
        <f>IF(X1822="Sin Pago","",IFERROR(INDEX(Pagos_Odoo!$G:$G, MATCH(X1822, Pagos_Odoo!$B:$B, 0)), ""))</f>
        <v/>
      </c>
      <c r="AD1822" s="82" t="n">
        <v>0</v>
      </c>
      <c r="AE1822" s="82" t="n"/>
      <c r="AF1822" s="82" t="n"/>
      <c r="AG1822" s="82">
        <f>IF(AN1822="","",AD1822+AE1822+AF1822)</f>
        <v/>
      </c>
      <c r="AH1822" s="81">
        <f>IF(AN1822="","",P1822*(1-AG1822))</f>
        <v/>
      </c>
      <c r="AI1822" s="81">
        <f>IF(AN1822="","",IF(Q1822="Sin Factura",0,IFERROR(INDEX(Facturas_Odoo!$H:$H, MATCH(Q1822, Facturas_Odoo!$B:$B, 0)), 0)*(1-AG1822)))</f>
        <v/>
      </c>
      <c r="AJ1822" s="81">
        <f>IF(AN1822="","",_xlfn.LET(idVenta, AN1822&amp;"",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22" s="81">
        <f>IF(AN1822="","",AH1822-AJ1822)</f>
        <v/>
      </c>
      <c r="AL1822" s="81">
        <f>IF(AN1822="","",IF(Q1822="Sin Factura","",AI1822-AJ1822))</f>
        <v/>
      </c>
      <c r="AM1822" s="81">
        <f>IF(AN1822="","",IF(Q1822="Sin Factura",0,P1822-IFERROR(INDEX(Facturas_Odoo!$H:$H, MATCH(Q1822, Facturas_Odoo!$B:$B, 0)), 0)))</f>
        <v/>
      </c>
      <c r="AN1822" s="79">
        <f>IF(AND(A1822="", J1822=""), "", IF(A1822&lt;&gt;"", VALUE(MID(A1822,2,LEN(A1822))), AN1821))</f>
        <v/>
      </c>
      <c r="AO1822" s="79">
        <f>IF(AN1822="","",IF(AD1822=0,"OK",_xlfn.LET(monedaPago, IF(AA1822="","USD",AA1822), limitePermitido, IFERROR(VLOOKUP(monedaPago, Configuración!$A$2:$B$3, 2, FALSE), 0.15), IF(AD1822&gt;limitePermitido, "ALERTA: EXCESO (" &amp; TEXT(limitePermitido, "0%") &amp; " máx)", "OK"))))</f>
        <v/>
      </c>
      <c r="AP1822" s="79">
        <f>IF(AN1822="","",IF(AE1822=0,"OK",_xlfn.LET(fechaPago, Z1822, fechaFactura, R1822, diasCredito, IF(E1822="Pago inmediato", 0, IFERROR(VALUE(MID(E1822, 1, SEARCH(" ", E1822)-1)),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22" s="79">
        <f>IF(AN1822="","",IF(AND(N1822&gt;0, AG1822&gt;0), IF(Configuración!$K$2="NO", "ALERTA: DESCUENTO DOBLE NO PERMITIDO", "OK"), "OK"))</f>
        <v/>
      </c>
      <c r="AR1822" s="79">
        <f>IF(AN1822="","",IF(OR(AO1822&lt;&gt;"OK", AP1822&lt;&gt;"OK", AQ1822&lt;&gt;"OK"), "⚠️ REVISAR", "OK"))</f>
        <v/>
      </c>
    </row>
    <row r="1823">
      <c r="A1823" s="79">
        <f>IF('Ordenes_Odoo'!A1823="","",'Ordenes_Odoo'!A1823)</f>
        <v/>
      </c>
      <c r="B1823" s="80">
        <f>IF('Ordenes_Odoo'!B1823="","",'Ordenes_Odoo'!B1823)</f>
        <v/>
      </c>
      <c r="C1823" s="79">
        <f>IF('Ordenes_Odoo'!C1823="","",'Ordenes_Odoo'!C1823)</f>
        <v/>
      </c>
      <c r="D1823" s="79">
        <f>IF('Ordenes_Odoo'!D1823="","",'Ordenes_Odoo'!D1823)</f>
        <v/>
      </c>
      <c r="E1823" s="79">
        <f>IF('Ordenes_Odoo'!E1823="","",'Ordenes_Odoo'!E1823)</f>
        <v/>
      </c>
      <c r="F1823" s="79">
        <f>IF('Ordenes_Odoo'!F1823="","",'Ordenes_Odoo'!F1823)</f>
        <v/>
      </c>
      <c r="G1823" s="79">
        <f>IF('Ordenes_Odoo'!G1823="","",'Ordenes_Odoo'!G1823)</f>
        <v/>
      </c>
      <c r="H1823" s="79">
        <f>IF('Ordenes_Odoo'!H1823="","",'Ordenes_Odoo'!H1823)</f>
        <v/>
      </c>
      <c r="I1823" s="79">
        <f>IF('Ordenes_Odoo'!I1823="","",'Ordenes_Odoo'!I1823)</f>
        <v/>
      </c>
      <c r="J1823" s="79">
        <f>IF('Ordenes_Odoo'!J1823="","",'Ordenes_Odoo'!J1823)</f>
        <v/>
      </c>
      <c r="K1823" s="81">
        <f>IF('Ordenes_Odoo'!K1823="","",'Ordenes_Odoo'!K1823)</f>
        <v/>
      </c>
      <c r="L1823" s="81">
        <f>IF('Ordenes_Odoo'!L1823="","",'Ordenes_Odoo'!L1823)</f>
        <v/>
      </c>
      <c r="M1823" s="79">
        <f>IF('Ordenes_Odoo'!M1823="","",'Ordenes_Odoo'!M1823)</f>
        <v/>
      </c>
      <c r="N1823" s="79">
        <f>IF('Ordenes_Odoo'!N1823="","",'Ordenes_Odoo'!N1823)</f>
        <v/>
      </c>
      <c r="O1823" s="81">
        <f>IF('Ordenes_Odoo'!O1823="","",'Ordenes_Odoo'!O1823)</f>
        <v/>
      </c>
      <c r="P1823" s="81">
        <f>IF('Ordenes_Odoo'!P1823="","",'Ordenes_Odoo'!P1823)</f>
        <v/>
      </c>
      <c r="Q1823" s="79">
        <f>IF(A1823="","",IFERROR(INDEX(Facturas_Odoo!$B:$B, MATCH(A1823, Facturas_Odoo!$D:$D, 0)), "Sin Factura"))</f>
        <v/>
      </c>
      <c r="R1823" s="80">
        <f>IF(Q1823="Sin Factura","",IFERROR(INDEX(Facturas_Odoo!$A:$A, MATCH(Q1823, Facturas_Odoo!$B:$B, 0)), ""))</f>
        <v/>
      </c>
      <c r="S1823" s="79">
        <f>IF(Q1823="Sin Factura","",IFERROR(_xlfn.XLOOKUP(1, (Facturas_Odoo!$D:$D=A1823) * (Facturas_Odoo!$K:$K=I1823), Facturas_Odoo!$L:$L, ""), ""))</f>
        <v/>
      </c>
      <c r="T1823" s="81">
        <f>IF(Q1823="Sin Factura",0,IFERROR(_xlfn.XLOOKUP(1, (Facturas_Odoo!$D:$D=A1823) * (Facturas_Odoo!$K:$K=I1823), Facturas_Odoo!$M:$M, 0), 0))</f>
        <v/>
      </c>
      <c r="U1823" s="79">
        <f>IF(Q1823="Sin Factura",0,IFERROR(_xlfn.XLOOKUP(1, (Facturas_Odoo!$D:$D=A1823) * (Facturas_Odoo!$K:$K=I1823), Facturas_Odoo!$N:$N, 0), 0))</f>
        <v/>
      </c>
      <c r="V1823" s="79">
        <f>IF(Q1823="Sin Factura",0,IFERROR(_xlfn.XLOOKUP(1, (Facturas_Odoo!$D:$D=A1823) * (Facturas_Odoo!$K:$K=I1823), Facturas_Odoo!$O:$O, 0), 0))</f>
        <v/>
      </c>
      <c r="W1823" s="81">
        <f>IF(Q1823="Sin Factura",0,IFERROR(_xlfn.XLOOKUP(1, (Facturas_Odoo!$D:$D=A1823) * (Facturas_Odoo!$K:$K=I1823), Facturas_Odoo!$Q:$Q, 0), 0))</f>
        <v/>
      </c>
      <c r="X1823" s="79">
        <f>IF(OR(Q1823="Sin Factura",Q1823=""),"",IFERROR(INDEX(Pagos_Odoo!$B:$B, MATCH(Q1823, Pagos_Odoo!$I:$I, 0)), "Sin Pago"))</f>
        <v/>
      </c>
      <c r="Y1823" s="79">
        <f>IF(X1823="Sin Pago","",IFERROR(INDEX(Pagos_Odoo!$C:$C, MATCH(X1823, Pagos_Odoo!$B:$B, 0)), ""))</f>
        <v/>
      </c>
      <c r="Z1823" s="80">
        <f>IF(X1823="Sin Pago","",IFERROR(INDEX(Pagos_Odoo!$A:$A, MATCH(X1823, Pagos_Odoo!$B:$B, 0)), ""))</f>
        <v/>
      </c>
      <c r="AA1823" s="79">
        <f>IF(X1823="Sin Pago","",IFERROR(INDEX(Pagos_Odoo!$F:$F, MATCH(X1823, Pagos_Odoo!$B:$B, 0)), ""))</f>
        <v/>
      </c>
      <c r="AB1823" s="81">
        <f>IF(X1823="Sin Pago",0,IFERROR(INDEX(Pagos_Odoo!$E:$E, MATCH(X1823, Pagos_Odoo!$B:$B, 0)), 0))</f>
        <v/>
      </c>
      <c r="AC1823" s="79">
        <f>IF(X1823="Sin Pago","",IFERROR(INDEX(Pagos_Odoo!$G:$G, MATCH(X1823, Pagos_Odoo!$B:$B, 0)), ""))</f>
        <v/>
      </c>
      <c r="AD1823" s="82" t="n">
        <v>0</v>
      </c>
      <c r="AE1823" s="82" t="n"/>
      <c r="AF1823" s="82" t="n"/>
      <c r="AG1823" s="82">
        <f>IF(AN1823="","",AD1823+AE1823+AF1823)</f>
        <v/>
      </c>
      <c r="AH1823" s="81">
        <f>IF(AN1823="","",P1823*(1-AG1823))</f>
        <v/>
      </c>
      <c r="AI1823" s="81">
        <f>IF(AN1823="","",IF(Q1823="Sin Factura",0,IFERROR(INDEX(Facturas_Odoo!$H:$H, MATCH(Q1823, Facturas_Odoo!$B:$B, 0)), 0)*(1-AG1823)))</f>
        <v/>
      </c>
      <c r="AJ1823" s="81">
        <f>IF(AN1823="","",_xlfn.LET(idVenta, AN1823&amp;"",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23" s="81">
        <f>IF(AN1823="","",AH1823-AJ1823)</f>
        <v/>
      </c>
      <c r="AL1823" s="81">
        <f>IF(AN1823="","",IF(Q1823="Sin Factura","",AI1823-AJ1823))</f>
        <v/>
      </c>
      <c r="AM1823" s="81">
        <f>IF(AN1823="","",IF(Q1823="Sin Factura",0,P1823-IFERROR(INDEX(Facturas_Odoo!$H:$H, MATCH(Q1823, Facturas_Odoo!$B:$B, 0)), 0)))</f>
        <v/>
      </c>
      <c r="AN1823" s="79">
        <f>IF(AND(A1823="", J1823=""), "", IF(A1823&lt;&gt;"", VALUE(MID(A1823,2,LEN(A1823))), AN1822))</f>
        <v/>
      </c>
      <c r="AO1823" s="79">
        <f>IF(AN1823="","",IF(AD1823=0,"OK",_xlfn.LET(monedaPago, IF(AA1823="","USD",AA1823), limitePermitido, IFERROR(VLOOKUP(monedaPago, Configuración!$A$2:$B$3, 2, FALSE), 0.15), IF(AD1823&gt;limitePermitido, "ALERTA: EXCESO (" &amp; TEXT(limitePermitido, "0%") &amp; " máx)", "OK"))))</f>
        <v/>
      </c>
      <c r="AP1823" s="79">
        <f>IF(AN1823="","",IF(AE1823=0,"OK",_xlfn.LET(fechaPago, Z1823, fechaFactura, R1823, diasCredito, IF(E1823="Pago inmediato", 0, IFERROR(VALUE(MID(E1823, 1, SEARCH(" ", E1823)-1)),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23" s="79">
        <f>IF(AN1823="","",IF(AND(N1823&gt;0, AG1823&gt;0), IF(Configuración!$K$2="NO", "ALERTA: DESCUENTO DOBLE NO PERMITIDO", "OK"), "OK"))</f>
        <v/>
      </c>
      <c r="AR1823" s="79">
        <f>IF(AN1823="","",IF(OR(AO1823&lt;&gt;"OK", AP1823&lt;&gt;"OK", AQ1823&lt;&gt;"OK"), "⚠️ REVISAR", "OK"))</f>
        <v/>
      </c>
    </row>
    <row r="1824">
      <c r="A1824" s="79">
        <f>IF('Ordenes_Odoo'!A1824="","",'Ordenes_Odoo'!A1824)</f>
        <v/>
      </c>
      <c r="B1824" s="80">
        <f>IF('Ordenes_Odoo'!B1824="","",'Ordenes_Odoo'!B1824)</f>
        <v/>
      </c>
      <c r="C1824" s="79">
        <f>IF('Ordenes_Odoo'!C1824="","",'Ordenes_Odoo'!C1824)</f>
        <v/>
      </c>
      <c r="D1824" s="79">
        <f>IF('Ordenes_Odoo'!D1824="","",'Ordenes_Odoo'!D1824)</f>
        <v/>
      </c>
      <c r="E1824" s="79">
        <f>IF('Ordenes_Odoo'!E1824="","",'Ordenes_Odoo'!E1824)</f>
        <v/>
      </c>
      <c r="F1824" s="79">
        <f>IF('Ordenes_Odoo'!F1824="","",'Ordenes_Odoo'!F1824)</f>
        <v/>
      </c>
      <c r="G1824" s="79">
        <f>IF('Ordenes_Odoo'!G1824="","",'Ordenes_Odoo'!G1824)</f>
        <v/>
      </c>
      <c r="H1824" s="79">
        <f>IF('Ordenes_Odoo'!H1824="","",'Ordenes_Odoo'!H1824)</f>
        <v/>
      </c>
      <c r="I1824" s="79">
        <f>IF('Ordenes_Odoo'!I1824="","",'Ordenes_Odoo'!I1824)</f>
        <v/>
      </c>
      <c r="J1824" s="79">
        <f>IF('Ordenes_Odoo'!J1824="","",'Ordenes_Odoo'!J1824)</f>
        <v/>
      </c>
      <c r="K1824" s="81">
        <f>IF('Ordenes_Odoo'!K1824="","",'Ordenes_Odoo'!K1824)</f>
        <v/>
      </c>
      <c r="L1824" s="81">
        <f>IF('Ordenes_Odoo'!L1824="","",'Ordenes_Odoo'!L1824)</f>
        <v/>
      </c>
      <c r="M1824" s="79">
        <f>IF('Ordenes_Odoo'!M1824="","",'Ordenes_Odoo'!M1824)</f>
        <v/>
      </c>
      <c r="N1824" s="79">
        <f>IF('Ordenes_Odoo'!N1824="","",'Ordenes_Odoo'!N1824)</f>
        <v/>
      </c>
      <c r="O1824" s="81">
        <f>IF('Ordenes_Odoo'!O1824="","",'Ordenes_Odoo'!O1824)</f>
        <v/>
      </c>
      <c r="P1824" s="81">
        <f>IF('Ordenes_Odoo'!P1824="","",'Ordenes_Odoo'!P1824)</f>
        <v/>
      </c>
      <c r="Q1824" s="79">
        <f>IF(A1824="","",IFERROR(INDEX(Facturas_Odoo!$B:$B, MATCH(A1824, Facturas_Odoo!$D:$D, 0)), "Sin Factura"))</f>
        <v/>
      </c>
      <c r="R1824" s="80">
        <f>IF(Q1824="Sin Factura","",IFERROR(INDEX(Facturas_Odoo!$A:$A, MATCH(Q1824, Facturas_Odoo!$B:$B, 0)), ""))</f>
        <v/>
      </c>
      <c r="S1824" s="79">
        <f>IF(Q1824="Sin Factura","",IFERROR(_xlfn.XLOOKUP(1, (Facturas_Odoo!$D:$D=A1824) * (Facturas_Odoo!$K:$K=I1824), Facturas_Odoo!$L:$L, ""), ""))</f>
        <v/>
      </c>
      <c r="T1824" s="81">
        <f>IF(Q1824="Sin Factura",0,IFERROR(_xlfn.XLOOKUP(1, (Facturas_Odoo!$D:$D=A1824) * (Facturas_Odoo!$K:$K=I1824), Facturas_Odoo!$M:$M, 0), 0))</f>
        <v/>
      </c>
      <c r="U1824" s="79">
        <f>IF(Q1824="Sin Factura",0,IFERROR(_xlfn.XLOOKUP(1, (Facturas_Odoo!$D:$D=A1824) * (Facturas_Odoo!$K:$K=I1824), Facturas_Odoo!$N:$N, 0), 0))</f>
        <v/>
      </c>
      <c r="V1824" s="79">
        <f>IF(Q1824="Sin Factura",0,IFERROR(_xlfn.XLOOKUP(1, (Facturas_Odoo!$D:$D=A1824) * (Facturas_Odoo!$K:$K=I1824), Facturas_Odoo!$O:$O, 0), 0))</f>
        <v/>
      </c>
      <c r="W1824" s="81">
        <f>IF(Q1824="Sin Factura",0,IFERROR(_xlfn.XLOOKUP(1, (Facturas_Odoo!$D:$D=A1824) * (Facturas_Odoo!$K:$K=I1824), Facturas_Odoo!$Q:$Q, 0), 0))</f>
        <v/>
      </c>
      <c r="X1824" s="79">
        <f>IF(OR(Q1824="Sin Factura",Q1824=""),"",IFERROR(INDEX(Pagos_Odoo!$B:$B, MATCH(Q1824, Pagos_Odoo!$I:$I, 0)), "Sin Pago"))</f>
        <v/>
      </c>
      <c r="Y1824" s="79">
        <f>IF(X1824="Sin Pago","",IFERROR(INDEX(Pagos_Odoo!$C:$C, MATCH(X1824, Pagos_Odoo!$B:$B, 0)), ""))</f>
        <v/>
      </c>
      <c r="Z1824" s="80">
        <f>IF(X1824="Sin Pago","",IFERROR(INDEX(Pagos_Odoo!$A:$A, MATCH(X1824, Pagos_Odoo!$B:$B, 0)), ""))</f>
        <v/>
      </c>
      <c r="AA1824" s="79">
        <f>IF(X1824="Sin Pago","",IFERROR(INDEX(Pagos_Odoo!$F:$F, MATCH(X1824, Pagos_Odoo!$B:$B, 0)), ""))</f>
        <v/>
      </c>
      <c r="AB1824" s="81">
        <f>IF(X1824="Sin Pago",0,IFERROR(INDEX(Pagos_Odoo!$E:$E, MATCH(X1824, Pagos_Odoo!$B:$B, 0)), 0))</f>
        <v/>
      </c>
      <c r="AC1824" s="79">
        <f>IF(X1824="Sin Pago","",IFERROR(INDEX(Pagos_Odoo!$G:$G, MATCH(X1824, Pagos_Odoo!$B:$B, 0)), ""))</f>
        <v/>
      </c>
      <c r="AD1824" s="82" t="n">
        <v>0</v>
      </c>
      <c r="AE1824" s="82" t="n"/>
      <c r="AF1824" s="82" t="n"/>
      <c r="AG1824" s="82">
        <f>IF(AN1824="","",AD1824+AE1824+AF1824)</f>
        <v/>
      </c>
      <c r="AH1824" s="81">
        <f>IF(AN1824="","",P1824*(1-AG1824))</f>
        <v/>
      </c>
      <c r="AI1824" s="81">
        <f>IF(AN1824="","",IF(Q1824="Sin Factura",0,IFERROR(INDEX(Facturas_Odoo!$H:$H, MATCH(Q1824, Facturas_Odoo!$B:$B, 0)), 0)*(1-AG1824)))</f>
        <v/>
      </c>
      <c r="AJ1824" s="81">
        <f>IF(AN1824="","",_xlfn.LET(idVenta, AN1824&amp;"",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24" s="81">
        <f>IF(AN1824="","",AH1824-AJ1824)</f>
        <v/>
      </c>
      <c r="AL1824" s="81">
        <f>IF(AN1824="","",IF(Q1824="Sin Factura","",AI1824-AJ1824))</f>
        <v/>
      </c>
      <c r="AM1824" s="81">
        <f>IF(AN1824="","",IF(Q1824="Sin Factura",0,P1824-IFERROR(INDEX(Facturas_Odoo!$H:$H, MATCH(Q1824, Facturas_Odoo!$B:$B, 0)), 0)))</f>
        <v/>
      </c>
      <c r="AN1824" s="79">
        <f>IF(AND(A1824="", J1824=""), "", IF(A1824&lt;&gt;"", VALUE(MID(A1824,2,LEN(A1824))), AN1823))</f>
        <v/>
      </c>
      <c r="AO1824" s="79">
        <f>IF(AN1824="","",IF(AD1824=0,"OK",_xlfn.LET(monedaPago, IF(AA1824="","USD",AA1824), limitePermitido, IFERROR(VLOOKUP(monedaPago, Configuración!$A$2:$B$3, 2, FALSE), 0.15), IF(AD1824&gt;limitePermitido, "ALERTA: EXCESO (" &amp; TEXT(limitePermitido, "0%") &amp; " máx)", "OK"))))</f>
        <v/>
      </c>
      <c r="AP1824" s="79">
        <f>IF(AN1824="","",IF(AE1824=0,"OK",_xlfn.LET(fechaPago, Z1824, fechaFactura, R1824, diasCredito, IF(E1824="Pago inmediato", 0, IFERROR(VALUE(MID(E1824, 1, SEARCH(" ", E1824)-1)),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24" s="79">
        <f>IF(AN1824="","",IF(AND(N1824&gt;0, AG1824&gt;0), IF(Configuración!$K$2="NO", "ALERTA: DESCUENTO DOBLE NO PERMITIDO", "OK"), "OK"))</f>
        <v/>
      </c>
      <c r="AR1824" s="79">
        <f>IF(AN1824="","",IF(OR(AO1824&lt;&gt;"OK", AP1824&lt;&gt;"OK", AQ1824&lt;&gt;"OK"), "⚠️ REVISAR", "OK"))</f>
        <v/>
      </c>
    </row>
    <row r="1825">
      <c r="A1825" s="79">
        <f>IF('Ordenes_Odoo'!A1825="","",'Ordenes_Odoo'!A1825)</f>
        <v/>
      </c>
      <c r="B1825" s="80">
        <f>IF('Ordenes_Odoo'!B1825="","",'Ordenes_Odoo'!B1825)</f>
        <v/>
      </c>
      <c r="C1825" s="79">
        <f>IF('Ordenes_Odoo'!C1825="","",'Ordenes_Odoo'!C1825)</f>
        <v/>
      </c>
      <c r="D1825" s="79">
        <f>IF('Ordenes_Odoo'!D1825="","",'Ordenes_Odoo'!D1825)</f>
        <v/>
      </c>
      <c r="E1825" s="79">
        <f>IF('Ordenes_Odoo'!E1825="","",'Ordenes_Odoo'!E1825)</f>
        <v/>
      </c>
      <c r="F1825" s="79">
        <f>IF('Ordenes_Odoo'!F1825="","",'Ordenes_Odoo'!F1825)</f>
        <v/>
      </c>
      <c r="G1825" s="79">
        <f>IF('Ordenes_Odoo'!G1825="","",'Ordenes_Odoo'!G1825)</f>
        <v/>
      </c>
      <c r="H1825" s="79">
        <f>IF('Ordenes_Odoo'!H1825="","",'Ordenes_Odoo'!H1825)</f>
        <v/>
      </c>
      <c r="I1825" s="79">
        <f>IF('Ordenes_Odoo'!I1825="","",'Ordenes_Odoo'!I1825)</f>
        <v/>
      </c>
      <c r="J1825" s="79">
        <f>IF('Ordenes_Odoo'!J1825="","",'Ordenes_Odoo'!J1825)</f>
        <v/>
      </c>
      <c r="K1825" s="81">
        <f>IF('Ordenes_Odoo'!K1825="","",'Ordenes_Odoo'!K1825)</f>
        <v/>
      </c>
      <c r="L1825" s="81">
        <f>IF('Ordenes_Odoo'!L1825="","",'Ordenes_Odoo'!L1825)</f>
        <v/>
      </c>
      <c r="M1825" s="79">
        <f>IF('Ordenes_Odoo'!M1825="","",'Ordenes_Odoo'!M1825)</f>
        <v/>
      </c>
      <c r="N1825" s="79">
        <f>IF('Ordenes_Odoo'!N1825="","",'Ordenes_Odoo'!N1825)</f>
        <v/>
      </c>
      <c r="O1825" s="81">
        <f>IF('Ordenes_Odoo'!O1825="","",'Ordenes_Odoo'!O1825)</f>
        <v/>
      </c>
      <c r="P1825" s="81">
        <f>IF('Ordenes_Odoo'!P1825="","",'Ordenes_Odoo'!P1825)</f>
        <v/>
      </c>
      <c r="Q1825" s="79">
        <f>IF(A1825="","",IFERROR(INDEX(Facturas_Odoo!$B:$B, MATCH(A1825, Facturas_Odoo!$D:$D, 0)), "Sin Factura"))</f>
        <v/>
      </c>
      <c r="R1825" s="80">
        <f>IF(Q1825="Sin Factura","",IFERROR(INDEX(Facturas_Odoo!$A:$A, MATCH(Q1825, Facturas_Odoo!$B:$B, 0)), ""))</f>
        <v/>
      </c>
      <c r="S1825" s="79">
        <f>IF(Q1825="Sin Factura","",IFERROR(_xlfn.XLOOKUP(1, (Facturas_Odoo!$D:$D=A1825) * (Facturas_Odoo!$K:$K=I1825), Facturas_Odoo!$L:$L, ""), ""))</f>
        <v/>
      </c>
      <c r="T1825" s="81">
        <f>IF(Q1825="Sin Factura",0,IFERROR(_xlfn.XLOOKUP(1, (Facturas_Odoo!$D:$D=A1825) * (Facturas_Odoo!$K:$K=I1825), Facturas_Odoo!$M:$M, 0), 0))</f>
        <v/>
      </c>
      <c r="U1825" s="79">
        <f>IF(Q1825="Sin Factura",0,IFERROR(_xlfn.XLOOKUP(1, (Facturas_Odoo!$D:$D=A1825) * (Facturas_Odoo!$K:$K=I1825), Facturas_Odoo!$N:$N, 0), 0))</f>
        <v/>
      </c>
      <c r="V1825" s="79">
        <f>IF(Q1825="Sin Factura",0,IFERROR(_xlfn.XLOOKUP(1, (Facturas_Odoo!$D:$D=A1825) * (Facturas_Odoo!$K:$K=I1825), Facturas_Odoo!$O:$O, 0), 0))</f>
        <v/>
      </c>
      <c r="W1825" s="81">
        <f>IF(Q1825="Sin Factura",0,IFERROR(_xlfn.XLOOKUP(1, (Facturas_Odoo!$D:$D=A1825) * (Facturas_Odoo!$K:$K=I1825), Facturas_Odoo!$Q:$Q, 0), 0))</f>
        <v/>
      </c>
      <c r="X1825" s="79">
        <f>IF(OR(Q1825="Sin Factura",Q1825=""),"",IFERROR(INDEX(Pagos_Odoo!$B:$B, MATCH(Q1825, Pagos_Odoo!$I:$I, 0)), "Sin Pago"))</f>
        <v/>
      </c>
      <c r="Y1825" s="79">
        <f>IF(X1825="Sin Pago","",IFERROR(INDEX(Pagos_Odoo!$C:$C, MATCH(X1825, Pagos_Odoo!$B:$B, 0)), ""))</f>
        <v/>
      </c>
      <c r="Z1825" s="80">
        <f>IF(X1825="Sin Pago","",IFERROR(INDEX(Pagos_Odoo!$A:$A, MATCH(X1825, Pagos_Odoo!$B:$B, 0)), ""))</f>
        <v/>
      </c>
      <c r="AA1825" s="79">
        <f>IF(X1825="Sin Pago","",IFERROR(INDEX(Pagos_Odoo!$F:$F, MATCH(X1825, Pagos_Odoo!$B:$B, 0)), ""))</f>
        <v/>
      </c>
      <c r="AB1825" s="81">
        <f>IF(X1825="Sin Pago",0,IFERROR(INDEX(Pagos_Odoo!$E:$E, MATCH(X1825, Pagos_Odoo!$B:$B, 0)), 0))</f>
        <v/>
      </c>
      <c r="AC1825" s="79">
        <f>IF(X1825="Sin Pago","",IFERROR(INDEX(Pagos_Odoo!$G:$G, MATCH(X1825, Pagos_Odoo!$B:$B, 0)), ""))</f>
        <v/>
      </c>
      <c r="AD1825" s="82" t="n">
        <v>0</v>
      </c>
      <c r="AE1825" s="82" t="n"/>
      <c r="AF1825" s="82" t="n"/>
      <c r="AG1825" s="82">
        <f>IF(AN1825="","",AD1825+AE1825+AF1825)</f>
        <v/>
      </c>
      <c r="AH1825" s="81">
        <f>IF(AN1825="","",P1825*(1-AG1825))</f>
        <v/>
      </c>
      <c r="AI1825" s="81">
        <f>IF(AN1825="","",IF(Q1825="Sin Factura",0,IFERROR(INDEX(Facturas_Odoo!$H:$H, MATCH(Q1825, Facturas_Odoo!$B:$B, 0)), 0)*(1-AG1825)))</f>
        <v/>
      </c>
      <c r="AJ1825" s="81">
        <f>IF(AN1825="","",_xlfn.LET(idVenta, AN1825&amp;"",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25" s="81">
        <f>IF(AN1825="","",AH1825-AJ1825)</f>
        <v/>
      </c>
      <c r="AL1825" s="81">
        <f>IF(AN1825="","",IF(Q1825="Sin Factura","",AI1825-AJ1825))</f>
        <v/>
      </c>
      <c r="AM1825" s="81">
        <f>IF(AN1825="","",IF(Q1825="Sin Factura",0,P1825-IFERROR(INDEX(Facturas_Odoo!$H:$H, MATCH(Q1825, Facturas_Odoo!$B:$B, 0)), 0)))</f>
        <v/>
      </c>
      <c r="AN1825" s="79">
        <f>IF(AND(A1825="", J1825=""), "", IF(A1825&lt;&gt;"", VALUE(MID(A1825,2,LEN(A1825))), AN1824))</f>
        <v/>
      </c>
      <c r="AO1825" s="79">
        <f>IF(AN1825="","",IF(AD1825=0,"OK",_xlfn.LET(monedaPago, IF(AA1825="","USD",AA1825), limitePermitido, IFERROR(VLOOKUP(monedaPago, Configuración!$A$2:$B$3, 2, FALSE), 0.15), IF(AD1825&gt;limitePermitido, "ALERTA: EXCESO (" &amp; TEXT(limitePermitido, "0%") &amp; " máx)", "OK"))))</f>
        <v/>
      </c>
      <c r="AP1825" s="79">
        <f>IF(AN1825="","",IF(AE1825=0,"OK",_xlfn.LET(fechaPago, Z1825, fechaFactura, R1825, diasCredito, IF(E1825="Pago inmediato", 0, IFERROR(VALUE(MID(E1825, 1, SEARCH(" ", E1825)-1)),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25" s="79">
        <f>IF(AN1825="","",IF(AND(N1825&gt;0, AG1825&gt;0), IF(Configuración!$K$2="NO", "ALERTA: DESCUENTO DOBLE NO PERMITIDO", "OK"), "OK"))</f>
        <v/>
      </c>
      <c r="AR1825" s="79">
        <f>IF(AN1825="","",IF(OR(AO1825&lt;&gt;"OK", AP1825&lt;&gt;"OK", AQ1825&lt;&gt;"OK"), "⚠️ REVISAR", "OK"))</f>
        <v/>
      </c>
    </row>
    <row r="1826">
      <c r="A1826" s="79">
        <f>IF('Ordenes_Odoo'!A1826="","",'Ordenes_Odoo'!A1826)</f>
        <v/>
      </c>
      <c r="B1826" s="80">
        <f>IF('Ordenes_Odoo'!B1826="","",'Ordenes_Odoo'!B1826)</f>
        <v/>
      </c>
      <c r="C1826" s="79">
        <f>IF('Ordenes_Odoo'!C1826="","",'Ordenes_Odoo'!C1826)</f>
        <v/>
      </c>
      <c r="D1826" s="79">
        <f>IF('Ordenes_Odoo'!D1826="","",'Ordenes_Odoo'!D1826)</f>
        <v/>
      </c>
      <c r="E1826" s="79">
        <f>IF('Ordenes_Odoo'!E1826="","",'Ordenes_Odoo'!E1826)</f>
        <v/>
      </c>
      <c r="F1826" s="79">
        <f>IF('Ordenes_Odoo'!F1826="","",'Ordenes_Odoo'!F1826)</f>
        <v/>
      </c>
      <c r="G1826" s="79">
        <f>IF('Ordenes_Odoo'!G1826="","",'Ordenes_Odoo'!G1826)</f>
        <v/>
      </c>
      <c r="H1826" s="79">
        <f>IF('Ordenes_Odoo'!H1826="","",'Ordenes_Odoo'!H1826)</f>
        <v/>
      </c>
      <c r="I1826" s="79">
        <f>IF('Ordenes_Odoo'!I1826="","",'Ordenes_Odoo'!I1826)</f>
        <v/>
      </c>
      <c r="J1826" s="79">
        <f>IF('Ordenes_Odoo'!J1826="","",'Ordenes_Odoo'!J1826)</f>
        <v/>
      </c>
      <c r="K1826" s="81">
        <f>IF('Ordenes_Odoo'!K1826="","",'Ordenes_Odoo'!K1826)</f>
        <v/>
      </c>
      <c r="L1826" s="81">
        <f>IF('Ordenes_Odoo'!L1826="","",'Ordenes_Odoo'!L1826)</f>
        <v/>
      </c>
      <c r="M1826" s="79">
        <f>IF('Ordenes_Odoo'!M1826="","",'Ordenes_Odoo'!M1826)</f>
        <v/>
      </c>
      <c r="N1826" s="79">
        <f>IF('Ordenes_Odoo'!N1826="","",'Ordenes_Odoo'!N1826)</f>
        <v/>
      </c>
      <c r="O1826" s="81">
        <f>IF('Ordenes_Odoo'!O1826="","",'Ordenes_Odoo'!O1826)</f>
        <v/>
      </c>
      <c r="P1826" s="81">
        <f>IF('Ordenes_Odoo'!P1826="","",'Ordenes_Odoo'!P1826)</f>
        <v/>
      </c>
      <c r="Q1826" s="79">
        <f>IF(A1826="","",IFERROR(INDEX(Facturas_Odoo!$B:$B, MATCH(A1826, Facturas_Odoo!$D:$D, 0)), "Sin Factura"))</f>
        <v/>
      </c>
      <c r="R1826" s="80">
        <f>IF(Q1826="Sin Factura","",IFERROR(INDEX(Facturas_Odoo!$A:$A, MATCH(Q1826, Facturas_Odoo!$B:$B, 0)), ""))</f>
        <v/>
      </c>
      <c r="S1826" s="79">
        <f>IF(Q1826="Sin Factura","",IFERROR(_xlfn.XLOOKUP(1, (Facturas_Odoo!$D:$D=A1826) * (Facturas_Odoo!$K:$K=I1826), Facturas_Odoo!$L:$L, ""), ""))</f>
        <v/>
      </c>
      <c r="T1826" s="81">
        <f>IF(Q1826="Sin Factura",0,IFERROR(_xlfn.XLOOKUP(1, (Facturas_Odoo!$D:$D=A1826) * (Facturas_Odoo!$K:$K=I1826), Facturas_Odoo!$M:$M, 0), 0))</f>
        <v/>
      </c>
      <c r="U1826" s="79">
        <f>IF(Q1826="Sin Factura",0,IFERROR(_xlfn.XLOOKUP(1, (Facturas_Odoo!$D:$D=A1826) * (Facturas_Odoo!$K:$K=I1826), Facturas_Odoo!$N:$N, 0), 0))</f>
        <v/>
      </c>
      <c r="V1826" s="79">
        <f>IF(Q1826="Sin Factura",0,IFERROR(_xlfn.XLOOKUP(1, (Facturas_Odoo!$D:$D=A1826) * (Facturas_Odoo!$K:$K=I1826), Facturas_Odoo!$O:$O, 0), 0))</f>
        <v/>
      </c>
      <c r="W1826" s="81">
        <f>IF(Q1826="Sin Factura",0,IFERROR(_xlfn.XLOOKUP(1, (Facturas_Odoo!$D:$D=A1826) * (Facturas_Odoo!$K:$K=I1826), Facturas_Odoo!$Q:$Q, 0), 0))</f>
        <v/>
      </c>
      <c r="X1826" s="79">
        <f>IF(OR(Q1826="Sin Factura",Q1826=""),"",IFERROR(INDEX(Pagos_Odoo!$B:$B, MATCH(Q1826, Pagos_Odoo!$I:$I, 0)), "Sin Pago"))</f>
        <v/>
      </c>
      <c r="Y1826" s="79">
        <f>IF(X1826="Sin Pago","",IFERROR(INDEX(Pagos_Odoo!$C:$C, MATCH(X1826, Pagos_Odoo!$B:$B, 0)), ""))</f>
        <v/>
      </c>
      <c r="Z1826" s="80">
        <f>IF(X1826="Sin Pago","",IFERROR(INDEX(Pagos_Odoo!$A:$A, MATCH(X1826, Pagos_Odoo!$B:$B, 0)), ""))</f>
        <v/>
      </c>
      <c r="AA1826" s="79">
        <f>IF(X1826="Sin Pago","",IFERROR(INDEX(Pagos_Odoo!$F:$F, MATCH(X1826, Pagos_Odoo!$B:$B, 0)), ""))</f>
        <v/>
      </c>
      <c r="AB1826" s="81">
        <f>IF(X1826="Sin Pago",0,IFERROR(INDEX(Pagos_Odoo!$E:$E, MATCH(X1826, Pagos_Odoo!$B:$B, 0)), 0))</f>
        <v/>
      </c>
      <c r="AC1826" s="79">
        <f>IF(X1826="Sin Pago","",IFERROR(INDEX(Pagos_Odoo!$G:$G, MATCH(X1826, Pagos_Odoo!$B:$B, 0)), ""))</f>
        <v/>
      </c>
      <c r="AD1826" s="82" t="n">
        <v>0</v>
      </c>
      <c r="AE1826" s="82" t="n"/>
      <c r="AF1826" s="82" t="n"/>
      <c r="AG1826" s="82">
        <f>IF(AN1826="","",AD1826+AE1826+AF1826)</f>
        <v/>
      </c>
      <c r="AH1826" s="81">
        <f>IF(AN1826="","",P1826*(1-AG1826))</f>
        <v/>
      </c>
      <c r="AI1826" s="81">
        <f>IF(AN1826="","",IF(Q1826="Sin Factura",0,IFERROR(INDEX(Facturas_Odoo!$H:$H, MATCH(Q1826, Facturas_Odoo!$B:$B, 0)), 0)*(1-AG1826)))</f>
        <v/>
      </c>
      <c r="AJ1826" s="81">
        <f>IF(AN1826="","",_xlfn.LET(idVenta, AN1826&amp;"",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26" s="81">
        <f>IF(AN1826="","",AH1826-AJ1826)</f>
        <v/>
      </c>
      <c r="AL1826" s="81">
        <f>IF(AN1826="","",IF(Q1826="Sin Factura","",AI1826-AJ1826))</f>
        <v/>
      </c>
      <c r="AM1826" s="81">
        <f>IF(AN1826="","",IF(Q1826="Sin Factura",0,P1826-IFERROR(INDEX(Facturas_Odoo!$H:$H, MATCH(Q1826, Facturas_Odoo!$B:$B, 0)), 0)))</f>
        <v/>
      </c>
      <c r="AN1826" s="79">
        <f>IF(AND(A1826="", J1826=""), "", IF(A1826&lt;&gt;"", VALUE(MID(A1826,2,LEN(A1826))), AN1825))</f>
        <v/>
      </c>
      <c r="AO1826" s="79">
        <f>IF(AN1826="","",IF(AD1826=0,"OK",_xlfn.LET(monedaPago, IF(AA1826="","USD",AA1826), limitePermitido, IFERROR(VLOOKUP(monedaPago, Configuración!$A$2:$B$3, 2, FALSE), 0.15), IF(AD1826&gt;limitePermitido, "ALERTA: EXCESO (" &amp; TEXT(limitePermitido, "0%") &amp; " máx)", "OK"))))</f>
        <v/>
      </c>
      <c r="AP1826" s="79">
        <f>IF(AN1826="","",IF(AE1826=0,"OK",_xlfn.LET(fechaPago, Z1826, fechaFactura, R1826, diasCredito, IF(E1826="Pago inmediato", 0, IFERROR(VALUE(MID(E1826, 1, SEARCH(" ", E1826)-1)),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26" s="79">
        <f>IF(AN1826="","",IF(AND(N1826&gt;0, AG1826&gt;0), IF(Configuración!$K$2="NO", "ALERTA: DESCUENTO DOBLE NO PERMITIDO", "OK"), "OK"))</f>
        <v/>
      </c>
      <c r="AR1826" s="79">
        <f>IF(AN1826="","",IF(OR(AO1826&lt;&gt;"OK", AP1826&lt;&gt;"OK", AQ1826&lt;&gt;"OK"), "⚠️ REVISAR", "OK"))</f>
        <v/>
      </c>
    </row>
    <row r="1827">
      <c r="A1827" s="79">
        <f>IF('Ordenes_Odoo'!A1827="","",'Ordenes_Odoo'!A1827)</f>
        <v/>
      </c>
      <c r="B1827" s="80">
        <f>IF('Ordenes_Odoo'!B1827="","",'Ordenes_Odoo'!B1827)</f>
        <v/>
      </c>
      <c r="C1827" s="79">
        <f>IF('Ordenes_Odoo'!C1827="","",'Ordenes_Odoo'!C1827)</f>
        <v/>
      </c>
      <c r="D1827" s="79">
        <f>IF('Ordenes_Odoo'!D1827="","",'Ordenes_Odoo'!D1827)</f>
        <v/>
      </c>
      <c r="E1827" s="79">
        <f>IF('Ordenes_Odoo'!E1827="","",'Ordenes_Odoo'!E1827)</f>
        <v/>
      </c>
      <c r="F1827" s="79">
        <f>IF('Ordenes_Odoo'!F1827="","",'Ordenes_Odoo'!F1827)</f>
        <v/>
      </c>
      <c r="G1827" s="79">
        <f>IF('Ordenes_Odoo'!G1827="","",'Ordenes_Odoo'!G1827)</f>
        <v/>
      </c>
      <c r="H1827" s="79">
        <f>IF('Ordenes_Odoo'!H1827="","",'Ordenes_Odoo'!H1827)</f>
        <v/>
      </c>
      <c r="I1827" s="79">
        <f>IF('Ordenes_Odoo'!I1827="","",'Ordenes_Odoo'!I1827)</f>
        <v/>
      </c>
      <c r="J1827" s="79">
        <f>IF('Ordenes_Odoo'!J1827="","",'Ordenes_Odoo'!J1827)</f>
        <v/>
      </c>
      <c r="K1827" s="81">
        <f>IF('Ordenes_Odoo'!K1827="","",'Ordenes_Odoo'!K1827)</f>
        <v/>
      </c>
      <c r="L1827" s="81">
        <f>IF('Ordenes_Odoo'!L1827="","",'Ordenes_Odoo'!L1827)</f>
        <v/>
      </c>
      <c r="M1827" s="79">
        <f>IF('Ordenes_Odoo'!M1827="","",'Ordenes_Odoo'!M1827)</f>
        <v/>
      </c>
      <c r="N1827" s="79">
        <f>IF('Ordenes_Odoo'!N1827="","",'Ordenes_Odoo'!N1827)</f>
        <v/>
      </c>
      <c r="O1827" s="81">
        <f>IF('Ordenes_Odoo'!O1827="","",'Ordenes_Odoo'!O1827)</f>
        <v/>
      </c>
      <c r="P1827" s="81">
        <f>IF('Ordenes_Odoo'!P1827="","",'Ordenes_Odoo'!P1827)</f>
        <v/>
      </c>
      <c r="Q1827" s="79">
        <f>IF(A1827="","",IFERROR(INDEX(Facturas_Odoo!$B:$B, MATCH(A1827, Facturas_Odoo!$D:$D, 0)), "Sin Factura"))</f>
        <v/>
      </c>
      <c r="R1827" s="80">
        <f>IF(Q1827="Sin Factura","",IFERROR(INDEX(Facturas_Odoo!$A:$A, MATCH(Q1827, Facturas_Odoo!$B:$B, 0)), ""))</f>
        <v/>
      </c>
      <c r="S1827" s="79">
        <f>IF(Q1827="Sin Factura","",IFERROR(_xlfn.XLOOKUP(1, (Facturas_Odoo!$D:$D=A1827) * (Facturas_Odoo!$K:$K=I1827), Facturas_Odoo!$L:$L, ""), ""))</f>
        <v/>
      </c>
      <c r="T1827" s="81">
        <f>IF(Q1827="Sin Factura",0,IFERROR(_xlfn.XLOOKUP(1, (Facturas_Odoo!$D:$D=A1827) * (Facturas_Odoo!$K:$K=I1827), Facturas_Odoo!$M:$M, 0), 0))</f>
        <v/>
      </c>
      <c r="U1827" s="79">
        <f>IF(Q1827="Sin Factura",0,IFERROR(_xlfn.XLOOKUP(1, (Facturas_Odoo!$D:$D=A1827) * (Facturas_Odoo!$K:$K=I1827), Facturas_Odoo!$N:$N, 0), 0))</f>
        <v/>
      </c>
      <c r="V1827" s="79">
        <f>IF(Q1827="Sin Factura",0,IFERROR(_xlfn.XLOOKUP(1, (Facturas_Odoo!$D:$D=A1827) * (Facturas_Odoo!$K:$K=I1827), Facturas_Odoo!$O:$O, 0), 0))</f>
        <v/>
      </c>
      <c r="W1827" s="81">
        <f>IF(Q1827="Sin Factura",0,IFERROR(_xlfn.XLOOKUP(1, (Facturas_Odoo!$D:$D=A1827) * (Facturas_Odoo!$K:$K=I1827), Facturas_Odoo!$Q:$Q, 0), 0))</f>
        <v/>
      </c>
      <c r="X1827" s="79">
        <f>IF(OR(Q1827="Sin Factura",Q1827=""),"",IFERROR(INDEX(Pagos_Odoo!$B:$B, MATCH(Q1827, Pagos_Odoo!$I:$I, 0)), "Sin Pago"))</f>
        <v/>
      </c>
      <c r="Y1827" s="79">
        <f>IF(X1827="Sin Pago","",IFERROR(INDEX(Pagos_Odoo!$C:$C, MATCH(X1827, Pagos_Odoo!$B:$B, 0)), ""))</f>
        <v/>
      </c>
      <c r="Z1827" s="80">
        <f>IF(X1827="Sin Pago","",IFERROR(INDEX(Pagos_Odoo!$A:$A, MATCH(X1827, Pagos_Odoo!$B:$B, 0)), ""))</f>
        <v/>
      </c>
      <c r="AA1827" s="79">
        <f>IF(X1827="Sin Pago","",IFERROR(INDEX(Pagos_Odoo!$F:$F, MATCH(X1827, Pagos_Odoo!$B:$B, 0)), ""))</f>
        <v/>
      </c>
      <c r="AB1827" s="81">
        <f>IF(X1827="Sin Pago",0,IFERROR(INDEX(Pagos_Odoo!$E:$E, MATCH(X1827, Pagos_Odoo!$B:$B, 0)), 0))</f>
        <v/>
      </c>
      <c r="AC1827" s="79">
        <f>IF(X1827="Sin Pago","",IFERROR(INDEX(Pagos_Odoo!$G:$G, MATCH(X1827, Pagos_Odoo!$B:$B, 0)), ""))</f>
        <v/>
      </c>
      <c r="AD1827" s="82" t="n">
        <v>0</v>
      </c>
      <c r="AE1827" s="82" t="n"/>
      <c r="AF1827" s="82" t="n"/>
      <c r="AG1827" s="82">
        <f>IF(AN1827="","",AD1827+AE1827+AF1827)</f>
        <v/>
      </c>
      <c r="AH1827" s="81">
        <f>IF(AN1827="","",P1827*(1-AG1827))</f>
        <v/>
      </c>
      <c r="AI1827" s="81">
        <f>IF(AN1827="","",IF(Q1827="Sin Factura",0,IFERROR(INDEX(Facturas_Odoo!$H:$H, MATCH(Q1827, Facturas_Odoo!$B:$B, 0)), 0)*(1-AG1827)))</f>
        <v/>
      </c>
      <c r="AJ1827" s="81">
        <f>IF(AN1827="","",_xlfn.LET(idVenta, AN1827&amp;"",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27" s="81">
        <f>IF(AN1827="","",AH1827-AJ1827)</f>
        <v/>
      </c>
      <c r="AL1827" s="81">
        <f>IF(AN1827="","",IF(Q1827="Sin Factura","",AI1827-AJ1827))</f>
        <v/>
      </c>
      <c r="AM1827" s="81">
        <f>IF(AN1827="","",IF(Q1827="Sin Factura",0,P1827-IFERROR(INDEX(Facturas_Odoo!$H:$H, MATCH(Q1827, Facturas_Odoo!$B:$B, 0)), 0)))</f>
        <v/>
      </c>
      <c r="AN1827" s="79">
        <f>IF(AND(A1827="", J1827=""), "", IF(A1827&lt;&gt;"", VALUE(MID(A1827,2,LEN(A1827))), AN1826))</f>
        <v/>
      </c>
      <c r="AO1827" s="79">
        <f>IF(AN1827="","",IF(AD1827=0,"OK",_xlfn.LET(monedaPago, IF(AA1827="","USD",AA1827), limitePermitido, IFERROR(VLOOKUP(monedaPago, Configuración!$A$2:$B$3, 2, FALSE), 0.15), IF(AD1827&gt;limitePermitido, "ALERTA: EXCESO (" &amp; TEXT(limitePermitido, "0%") &amp; " máx)", "OK"))))</f>
        <v/>
      </c>
      <c r="AP1827" s="79">
        <f>IF(AN1827="","",IF(AE1827=0,"OK",_xlfn.LET(fechaPago, Z1827, fechaFactura, R1827, diasCredito, IF(E1827="Pago inmediato", 0, IFERROR(VALUE(MID(E1827, 1, SEARCH(" ", E1827)-1)),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27" s="79">
        <f>IF(AN1827="","",IF(AND(N1827&gt;0, AG1827&gt;0), IF(Configuración!$K$2="NO", "ALERTA: DESCUENTO DOBLE NO PERMITIDO", "OK"), "OK"))</f>
        <v/>
      </c>
      <c r="AR1827" s="79">
        <f>IF(AN1827="","",IF(OR(AO1827&lt;&gt;"OK", AP1827&lt;&gt;"OK", AQ1827&lt;&gt;"OK"), "⚠️ REVISAR", "OK"))</f>
        <v/>
      </c>
    </row>
    <row r="1828">
      <c r="A1828" s="79">
        <f>IF('Ordenes_Odoo'!A1828="","",'Ordenes_Odoo'!A1828)</f>
        <v/>
      </c>
      <c r="B1828" s="80">
        <f>IF('Ordenes_Odoo'!B1828="","",'Ordenes_Odoo'!B1828)</f>
        <v/>
      </c>
      <c r="C1828" s="79">
        <f>IF('Ordenes_Odoo'!C1828="","",'Ordenes_Odoo'!C1828)</f>
        <v/>
      </c>
      <c r="D1828" s="79">
        <f>IF('Ordenes_Odoo'!D1828="","",'Ordenes_Odoo'!D1828)</f>
        <v/>
      </c>
      <c r="E1828" s="79">
        <f>IF('Ordenes_Odoo'!E1828="","",'Ordenes_Odoo'!E1828)</f>
        <v/>
      </c>
      <c r="F1828" s="79">
        <f>IF('Ordenes_Odoo'!F1828="","",'Ordenes_Odoo'!F1828)</f>
        <v/>
      </c>
      <c r="G1828" s="79">
        <f>IF('Ordenes_Odoo'!G1828="","",'Ordenes_Odoo'!G1828)</f>
        <v/>
      </c>
      <c r="H1828" s="79">
        <f>IF('Ordenes_Odoo'!H1828="","",'Ordenes_Odoo'!H1828)</f>
        <v/>
      </c>
      <c r="I1828" s="79">
        <f>IF('Ordenes_Odoo'!I1828="","",'Ordenes_Odoo'!I1828)</f>
        <v/>
      </c>
      <c r="J1828" s="79">
        <f>IF('Ordenes_Odoo'!J1828="","",'Ordenes_Odoo'!J1828)</f>
        <v/>
      </c>
      <c r="K1828" s="81">
        <f>IF('Ordenes_Odoo'!K1828="","",'Ordenes_Odoo'!K1828)</f>
        <v/>
      </c>
      <c r="L1828" s="81">
        <f>IF('Ordenes_Odoo'!L1828="","",'Ordenes_Odoo'!L1828)</f>
        <v/>
      </c>
      <c r="M1828" s="79">
        <f>IF('Ordenes_Odoo'!M1828="","",'Ordenes_Odoo'!M1828)</f>
        <v/>
      </c>
      <c r="N1828" s="79">
        <f>IF('Ordenes_Odoo'!N1828="","",'Ordenes_Odoo'!N1828)</f>
        <v/>
      </c>
      <c r="O1828" s="81">
        <f>IF('Ordenes_Odoo'!O1828="","",'Ordenes_Odoo'!O1828)</f>
        <v/>
      </c>
      <c r="P1828" s="81">
        <f>IF('Ordenes_Odoo'!P1828="","",'Ordenes_Odoo'!P1828)</f>
        <v/>
      </c>
      <c r="Q1828" s="79">
        <f>IF(A1828="","",IFERROR(INDEX(Facturas_Odoo!$B:$B, MATCH(A1828, Facturas_Odoo!$D:$D, 0)), "Sin Factura"))</f>
        <v/>
      </c>
      <c r="R1828" s="80">
        <f>IF(Q1828="Sin Factura","",IFERROR(INDEX(Facturas_Odoo!$A:$A, MATCH(Q1828, Facturas_Odoo!$B:$B, 0)), ""))</f>
        <v/>
      </c>
      <c r="S1828" s="79">
        <f>IF(Q1828="Sin Factura","",IFERROR(_xlfn.XLOOKUP(1, (Facturas_Odoo!$D:$D=A1828) * (Facturas_Odoo!$K:$K=I1828), Facturas_Odoo!$L:$L, ""), ""))</f>
        <v/>
      </c>
      <c r="T1828" s="81">
        <f>IF(Q1828="Sin Factura",0,IFERROR(_xlfn.XLOOKUP(1, (Facturas_Odoo!$D:$D=A1828) * (Facturas_Odoo!$K:$K=I1828), Facturas_Odoo!$M:$M, 0), 0))</f>
        <v/>
      </c>
      <c r="U1828" s="79">
        <f>IF(Q1828="Sin Factura",0,IFERROR(_xlfn.XLOOKUP(1, (Facturas_Odoo!$D:$D=A1828) * (Facturas_Odoo!$K:$K=I1828), Facturas_Odoo!$N:$N, 0), 0))</f>
        <v/>
      </c>
      <c r="V1828" s="79">
        <f>IF(Q1828="Sin Factura",0,IFERROR(_xlfn.XLOOKUP(1, (Facturas_Odoo!$D:$D=A1828) * (Facturas_Odoo!$K:$K=I1828), Facturas_Odoo!$O:$O, 0), 0))</f>
        <v/>
      </c>
      <c r="W1828" s="81">
        <f>IF(Q1828="Sin Factura",0,IFERROR(_xlfn.XLOOKUP(1, (Facturas_Odoo!$D:$D=A1828) * (Facturas_Odoo!$K:$K=I1828), Facturas_Odoo!$Q:$Q, 0), 0))</f>
        <v/>
      </c>
      <c r="X1828" s="79">
        <f>IF(OR(Q1828="Sin Factura",Q1828=""),"",IFERROR(INDEX(Pagos_Odoo!$B:$B, MATCH(Q1828, Pagos_Odoo!$I:$I, 0)), "Sin Pago"))</f>
        <v/>
      </c>
      <c r="Y1828" s="79">
        <f>IF(X1828="Sin Pago","",IFERROR(INDEX(Pagos_Odoo!$C:$C, MATCH(X1828, Pagos_Odoo!$B:$B, 0)), ""))</f>
        <v/>
      </c>
      <c r="Z1828" s="80">
        <f>IF(X1828="Sin Pago","",IFERROR(INDEX(Pagos_Odoo!$A:$A, MATCH(X1828, Pagos_Odoo!$B:$B, 0)), ""))</f>
        <v/>
      </c>
      <c r="AA1828" s="79">
        <f>IF(X1828="Sin Pago","",IFERROR(INDEX(Pagos_Odoo!$F:$F, MATCH(X1828, Pagos_Odoo!$B:$B, 0)), ""))</f>
        <v/>
      </c>
      <c r="AB1828" s="81">
        <f>IF(X1828="Sin Pago",0,IFERROR(INDEX(Pagos_Odoo!$E:$E, MATCH(X1828, Pagos_Odoo!$B:$B, 0)), 0))</f>
        <v/>
      </c>
      <c r="AC1828" s="79">
        <f>IF(X1828="Sin Pago","",IFERROR(INDEX(Pagos_Odoo!$G:$G, MATCH(X1828, Pagos_Odoo!$B:$B, 0)), ""))</f>
        <v/>
      </c>
      <c r="AD1828" s="82" t="n">
        <v>0</v>
      </c>
      <c r="AE1828" s="82" t="n"/>
      <c r="AF1828" s="82" t="n"/>
      <c r="AG1828" s="82">
        <f>IF(AN1828="","",AD1828+AE1828+AF1828)</f>
        <v/>
      </c>
      <c r="AH1828" s="81">
        <f>IF(AN1828="","",P1828*(1-AG1828))</f>
        <v/>
      </c>
      <c r="AI1828" s="81">
        <f>IF(AN1828="","",IF(Q1828="Sin Factura",0,IFERROR(INDEX(Facturas_Odoo!$H:$H, MATCH(Q1828, Facturas_Odoo!$B:$B, 0)), 0)*(1-AG1828)))</f>
        <v/>
      </c>
      <c r="AJ1828" s="81">
        <f>IF(AN1828="","",_xlfn.LET(idVenta, AN1828&amp;"",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28" s="81">
        <f>IF(AN1828="","",AH1828-AJ1828)</f>
        <v/>
      </c>
      <c r="AL1828" s="81">
        <f>IF(AN1828="","",IF(Q1828="Sin Factura","",AI1828-AJ1828))</f>
        <v/>
      </c>
      <c r="AM1828" s="81">
        <f>IF(AN1828="","",IF(Q1828="Sin Factura",0,P1828-IFERROR(INDEX(Facturas_Odoo!$H:$H, MATCH(Q1828, Facturas_Odoo!$B:$B, 0)), 0)))</f>
        <v/>
      </c>
      <c r="AN1828" s="79">
        <f>IF(AND(A1828="", J1828=""), "", IF(A1828&lt;&gt;"", VALUE(MID(A1828,2,LEN(A1828))), AN1827))</f>
        <v/>
      </c>
      <c r="AO1828" s="79">
        <f>IF(AN1828="","",IF(AD1828=0,"OK",_xlfn.LET(monedaPago, IF(AA1828="","USD",AA1828), limitePermitido, IFERROR(VLOOKUP(monedaPago, Configuración!$A$2:$B$3, 2, FALSE), 0.15), IF(AD1828&gt;limitePermitido, "ALERTA: EXCESO (" &amp; TEXT(limitePermitido, "0%") &amp; " máx)", "OK"))))</f>
        <v/>
      </c>
      <c r="AP1828" s="79">
        <f>IF(AN1828="","",IF(AE1828=0,"OK",_xlfn.LET(fechaPago, Z1828, fechaFactura, R1828, diasCredito, IF(E1828="Pago inmediato", 0, IFERROR(VALUE(MID(E1828, 1, SEARCH(" ", E1828)-1)),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28" s="79">
        <f>IF(AN1828="","",IF(AND(N1828&gt;0, AG1828&gt;0), IF(Configuración!$K$2="NO", "ALERTA: DESCUENTO DOBLE NO PERMITIDO", "OK"), "OK"))</f>
        <v/>
      </c>
      <c r="AR1828" s="79">
        <f>IF(AN1828="","",IF(OR(AO1828&lt;&gt;"OK", AP1828&lt;&gt;"OK", AQ1828&lt;&gt;"OK"), "⚠️ REVISAR", "OK"))</f>
        <v/>
      </c>
    </row>
    <row r="1829">
      <c r="A1829" s="79">
        <f>IF('Ordenes_Odoo'!A1829="","",'Ordenes_Odoo'!A1829)</f>
        <v/>
      </c>
      <c r="B1829" s="80">
        <f>IF('Ordenes_Odoo'!B1829="","",'Ordenes_Odoo'!B1829)</f>
        <v/>
      </c>
      <c r="C1829" s="79">
        <f>IF('Ordenes_Odoo'!C1829="","",'Ordenes_Odoo'!C1829)</f>
        <v/>
      </c>
      <c r="D1829" s="79">
        <f>IF('Ordenes_Odoo'!D1829="","",'Ordenes_Odoo'!D1829)</f>
        <v/>
      </c>
      <c r="E1829" s="79">
        <f>IF('Ordenes_Odoo'!E1829="","",'Ordenes_Odoo'!E1829)</f>
        <v/>
      </c>
      <c r="F1829" s="79">
        <f>IF('Ordenes_Odoo'!F1829="","",'Ordenes_Odoo'!F1829)</f>
        <v/>
      </c>
      <c r="G1829" s="79">
        <f>IF('Ordenes_Odoo'!G1829="","",'Ordenes_Odoo'!G1829)</f>
        <v/>
      </c>
      <c r="H1829" s="79">
        <f>IF('Ordenes_Odoo'!H1829="","",'Ordenes_Odoo'!H1829)</f>
        <v/>
      </c>
      <c r="I1829" s="79">
        <f>IF('Ordenes_Odoo'!I1829="","",'Ordenes_Odoo'!I1829)</f>
        <v/>
      </c>
      <c r="J1829" s="79">
        <f>IF('Ordenes_Odoo'!J1829="","",'Ordenes_Odoo'!J1829)</f>
        <v/>
      </c>
      <c r="K1829" s="81">
        <f>IF('Ordenes_Odoo'!K1829="","",'Ordenes_Odoo'!K1829)</f>
        <v/>
      </c>
      <c r="L1829" s="81">
        <f>IF('Ordenes_Odoo'!L1829="","",'Ordenes_Odoo'!L1829)</f>
        <v/>
      </c>
      <c r="M1829" s="79">
        <f>IF('Ordenes_Odoo'!M1829="","",'Ordenes_Odoo'!M1829)</f>
        <v/>
      </c>
      <c r="N1829" s="79">
        <f>IF('Ordenes_Odoo'!N1829="","",'Ordenes_Odoo'!N1829)</f>
        <v/>
      </c>
      <c r="O1829" s="81">
        <f>IF('Ordenes_Odoo'!O1829="","",'Ordenes_Odoo'!O1829)</f>
        <v/>
      </c>
      <c r="P1829" s="81">
        <f>IF('Ordenes_Odoo'!P1829="","",'Ordenes_Odoo'!P1829)</f>
        <v/>
      </c>
      <c r="Q1829" s="79">
        <f>IF(A1829="","",IFERROR(INDEX(Facturas_Odoo!$B:$B, MATCH(A1829, Facturas_Odoo!$D:$D, 0)), "Sin Factura"))</f>
        <v/>
      </c>
      <c r="R1829" s="80">
        <f>IF(Q1829="Sin Factura","",IFERROR(INDEX(Facturas_Odoo!$A:$A, MATCH(Q1829, Facturas_Odoo!$B:$B, 0)), ""))</f>
        <v/>
      </c>
      <c r="S1829" s="79">
        <f>IF(Q1829="Sin Factura","",IFERROR(_xlfn.XLOOKUP(1, (Facturas_Odoo!$D:$D=A1829) * (Facturas_Odoo!$K:$K=I1829), Facturas_Odoo!$L:$L, ""), ""))</f>
        <v/>
      </c>
      <c r="T1829" s="81">
        <f>IF(Q1829="Sin Factura",0,IFERROR(_xlfn.XLOOKUP(1, (Facturas_Odoo!$D:$D=A1829) * (Facturas_Odoo!$K:$K=I1829), Facturas_Odoo!$M:$M, 0), 0))</f>
        <v/>
      </c>
      <c r="U1829" s="79">
        <f>IF(Q1829="Sin Factura",0,IFERROR(_xlfn.XLOOKUP(1, (Facturas_Odoo!$D:$D=A1829) * (Facturas_Odoo!$K:$K=I1829), Facturas_Odoo!$N:$N, 0), 0))</f>
        <v/>
      </c>
      <c r="V1829" s="79">
        <f>IF(Q1829="Sin Factura",0,IFERROR(_xlfn.XLOOKUP(1, (Facturas_Odoo!$D:$D=A1829) * (Facturas_Odoo!$K:$K=I1829), Facturas_Odoo!$O:$O, 0), 0))</f>
        <v/>
      </c>
      <c r="W1829" s="81">
        <f>IF(Q1829="Sin Factura",0,IFERROR(_xlfn.XLOOKUP(1, (Facturas_Odoo!$D:$D=A1829) * (Facturas_Odoo!$K:$K=I1829), Facturas_Odoo!$Q:$Q, 0), 0))</f>
        <v/>
      </c>
      <c r="X1829" s="79">
        <f>IF(OR(Q1829="Sin Factura",Q1829=""),"",IFERROR(INDEX(Pagos_Odoo!$B:$B, MATCH(Q1829, Pagos_Odoo!$I:$I, 0)), "Sin Pago"))</f>
        <v/>
      </c>
      <c r="Y1829" s="79">
        <f>IF(X1829="Sin Pago","",IFERROR(INDEX(Pagos_Odoo!$C:$C, MATCH(X1829, Pagos_Odoo!$B:$B, 0)), ""))</f>
        <v/>
      </c>
      <c r="Z1829" s="80">
        <f>IF(X1829="Sin Pago","",IFERROR(INDEX(Pagos_Odoo!$A:$A, MATCH(X1829, Pagos_Odoo!$B:$B, 0)), ""))</f>
        <v/>
      </c>
      <c r="AA1829" s="79">
        <f>IF(X1829="Sin Pago","",IFERROR(INDEX(Pagos_Odoo!$F:$F, MATCH(X1829, Pagos_Odoo!$B:$B, 0)), ""))</f>
        <v/>
      </c>
      <c r="AB1829" s="81">
        <f>IF(X1829="Sin Pago",0,IFERROR(INDEX(Pagos_Odoo!$E:$E, MATCH(X1829, Pagos_Odoo!$B:$B, 0)), 0))</f>
        <v/>
      </c>
      <c r="AC1829" s="79">
        <f>IF(X1829="Sin Pago","",IFERROR(INDEX(Pagos_Odoo!$G:$G, MATCH(X1829, Pagos_Odoo!$B:$B, 0)), ""))</f>
        <v/>
      </c>
      <c r="AD1829" s="82" t="n">
        <v>0</v>
      </c>
      <c r="AE1829" s="82" t="n"/>
      <c r="AF1829" s="82" t="n"/>
      <c r="AG1829" s="82">
        <f>IF(AN1829="","",AD1829+AE1829+AF1829)</f>
        <v/>
      </c>
      <c r="AH1829" s="81">
        <f>IF(AN1829="","",P1829*(1-AG1829))</f>
        <v/>
      </c>
      <c r="AI1829" s="81">
        <f>IF(AN1829="","",IF(Q1829="Sin Factura",0,IFERROR(INDEX(Facturas_Odoo!$H:$H, MATCH(Q1829, Facturas_Odoo!$B:$B, 0)), 0)*(1-AG1829)))</f>
        <v/>
      </c>
      <c r="AJ1829" s="81">
        <f>IF(AN1829="","",_xlfn.LET(idVenta, AN1829&amp;"",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29" s="81">
        <f>IF(AN1829="","",AH1829-AJ1829)</f>
        <v/>
      </c>
      <c r="AL1829" s="81">
        <f>IF(AN1829="","",IF(Q1829="Sin Factura","",AI1829-AJ1829))</f>
        <v/>
      </c>
      <c r="AM1829" s="81">
        <f>IF(AN1829="","",IF(Q1829="Sin Factura",0,P1829-IFERROR(INDEX(Facturas_Odoo!$H:$H, MATCH(Q1829, Facturas_Odoo!$B:$B, 0)), 0)))</f>
        <v/>
      </c>
      <c r="AN1829" s="79">
        <f>IF(AND(A1829="", J1829=""), "", IF(A1829&lt;&gt;"", VALUE(MID(A1829,2,LEN(A1829))), AN1828))</f>
        <v/>
      </c>
      <c r="AO1829" s="79">
        <f>IF(AN1829="","",IF(AD1829=0,"OK",_xlfn.LET(monedaPago, IF(AA1829="","USD",AA1829), limitePermitido, IFERROR(VLOOKUP(monedaPago, Configuración!$A$2:$B$3, 2, FALSE), 0.15), IF(AD1829&gt;limitePermitido, "ALERTA: EXCESO (" &amp; TEXT(limitePermitido, "0%") &amp; " máx)", "OK"))))</f>
        <v/>
      </c>
      <c r="AP1829" s="79">
        <f>IF(AN1829="","",IF(AE1829=0,"OK",_xlfn.LET(fechaPago, Z1829, fechaFactura, R1829, diasCredito, IF(E1829="Pago inmediato", 0, IFERROR(VALUE(MID(E1829, 1, SEARCH(" ", E1829)-1)),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29" s="79">
        <f>IF(AN1829="","",IF(AND(N1829&gt;0, AG1829&gt;0), IF(Configuración!$K$2="NO", "ALERTA: DESCUENTO DOBLE NO PERMITIDO", "OK"), "OK"))</f>
        <v/>
      </c>
      <c r="AR1829" s="79">
        <f>IF(AN1829="","",IF(OR(AO1829&lt;&gt;"OK", AP1829&lt;&gt;"OK", AQ1829&lt;&gt;"OK"), "⚠️ REVISAR", "OK"))</f>
        <v/>
      </c>
    </row>
    <row r="1830">
      <c r="A1830" s="79">
        <f>IF('Ordenes_Odoo'!A1830="","",'Ordenes_Odoo'!A1830)</f>
        <v/>
      </c>
      <c r="B1830" s="80">
        <f>IF('Ordenes_Odoo'!B1830="","",'Ordenes_Odoo'!B1830)</f>
        <v/>
      </c>
      <c r="C1830" s="79">
        <f>IF('Ordenes_Odoo'!C1830="","",'Ordenes_Odoo'!C1830)</f>
        <v/>
      </c>
      <c r="D1830" s="79">
        <f>IF('Ordenes_Odoo'!D1830="","",'Ordenes_Odoo'!D1830)</f>
        <v/>
      </c>
      <c r="E1830" s="79">
        <f>IF('Ordenes_Odoo'!E1830="","",'Ordenes_Odoo'!E1830)</f>
        <v/>
      </c>
      <c r="F1830" s="79">
        <f>IF('Ordenes_Odoo'!F1830="","",'Ordenes_Odoo'!F1830)</f>
        <v/>
      </c>
      <c r="G1830" s="79">
        <f>IF('Ordenes_Odoo'!G1830="","",'Ordenes_Odoo'!G1830)</f>
        <v/>
      </c>
      <c r="H1830" s="79">
        <f>IF('Ordenes_Odoo'!H1830="","",'Ordenes_Odoo'!H1830)</f>
        <v/>
      </c>
      <c r="I1830" s="79">
        <f>IF('Ordenes_Odoo'!I1830="","",'Ordenes_Odoo'!I1830)</f>
        <v/>
      </c>
      <c r="J1830" s="79">
        <f>IF('Ordenes_Odoo'!J1830="","",'Ordenes_Odoo'!J1830)</f>
        <v/>
      </c>
      <c r="K1830" s="81">
        <f>IF('Ordenes_Odoo'!K1830="","",'Ordenes_Odoo'!K1830)</f>
        <v/>
      </c>
      <c r="L1830" s="81">
        <f>IF('Ordenes_Odoo'!L1830="","",'Ordenes_Odoo'!L1830)</f>
        <v/>
      </c>
      <c r="M1830" s="79">
        <f>IF('Ordenes_Odoo'!M1830="","",'Ordenes_Odoo'!M1830)</f>
        <v/>
      </c>
      <c r="N1830" s="79">
        <f>IF('Ordenes_Odoo'!N1830="","",'Ordenes_Odoo'!N1830)</f>
        <v/>
      </c>
      <c r="O1830" s="81">
        <f>IF('Ordenes_Odoo'!O1830="","",'Ordenes_Odoo'!O1830)</f>
        <v/>
      </c>
      <c r="P1830" s="81">
        <f>IF('Ordenes_Odoo'!P1830="","",'Ordenes_Odoo'!P1830)</f>
        <v/>
      </c>
      <c r="Q1830" s="79">
        <f>IF(A1830="","",IFERROR(INDEX(Facturas_Odoo!$B:$B, MATCH(A1830, Facturas_Odoo!$D:$D, 0)), "Sin Factura"))</f>
        <v/>
      </c>
      <c r="R1830" s="80">
        <f>IF(Q1830="Sin Factura","",IFERROR(INDEX(Facturas_Odoo!$A:$A, MATCH(Q1830, Facturas_Odoo!$B:$B, 0)), ""))</f>
        <v/>
      </c>
      <c r="S1830" s="79">
        <f>IF(Q1830="Sin Factura","",IFERROR(_xlfn.XLOOKUP(1, (Facturas_Odoo!$D:$D=A1830) * (Facturas_Odoo!$K:$K=I1830), Facturas_Odoo!$L:$L, ""), ""))</f>
        <v/>
      </c>
      <c r="T1830" s="81">
        <f>IF(Q1830="Sin Factura",0,IFERROR(_xlfn.XLOOKUP(1, (Facturas_Odoo!$D:$D=A1830) * (Facturas_Odoo!$K:$K=I1830), Facturas_Odoo!$M:$M, 0), 0))</f>
        <v/>
      </c>
      <c r="U1830" s="79">
        <f>IF(Q1830="Sin Factura",0,IFERROR(_xlfn.XLOOKUP(1, (Facturas_Odoo!$D:$D=A1830) * (Facturas_Odoo!$K:$K=I1830), Facturas_Odoo!$N:$N, 0), 0))</f>
        <v/>
      </c>
      <c r="V1830" s="79">
        <f>IF(Q1830="Sin Factura",0,IFERROR(_xlfn.XLOOKUP(1, (Facturas_Odoo!$D:$D=A1830) * (Facturas_Odoo!$K:$K=I1830), Facturas_Odoo!$O:$O, 0), 0))</f>
        <v/>
      </c>
      <c r="W1830" s="81">
        <f>IF(Q1830="Sin Factura",0,IFERROR(_xlfn.XLOOKUP(1, (Facturas_Odoo!$D:$D=A1830) * (Facturas_Odoo!$K:$K=I1830), Facturas_Odoo!$Q:$Q, 0), 0))</f>
        <v/>
      </c>
      <c r="X1830" s="79">
        <f>IF(OR(Q1830="Sin Factura",Q1830=""),"",IFERROR(INDEX(Pagos_Odoo!$B:$B, MATCH(Q1830, Pagos_Odoo!$I:$I, 0)), "Sin Pago"))</f>
        <v/>
      </c>
      <c r="Y1830" s="79">
        <f>IF(X1830="Sin Pago","",IFERROR(INDEX(Pagos_Odoo!$C:$C, MATCH(X1830, Pagos_Odoo!$B:$B, 0)), ""))</f>
        <v/>
      </c>
      <c r="Z1830" s="80">
        <f>IF(X1830="Sin Pago","",IFERROR(INDEX(Pagos_Odoo!$A:$A, MATCH(X1830, Pagos_Odoo!$B:$B, 0)), ""))</f>
        <v/>
      </c>
      <c r="AA1830" s="79">
        <f>IF(X1830="Sin Pago","",IFERROR(INDEX(Pagos_Odoo!$F:$F, MATCH(X1830, Pagos_Odoo!$B:$B, 0)), ""))</f>
        <v/>
      </c>
      <c r="AB1830" s="81">
        <f>IF(X1830="Sin Pago",0,IFERROR(INDEX(Pagos_Odoo!$E:$E, MATCH(X1830, Pagos_Odoo!$B:$B, 0)), 0))</f>
        <v/>
      </c>
      <c r="AC1830" s="79">
        <f>IF(X1830="Sin Pago","",IFERROR(INDEX(Pagos_Odoo!$G:$G, MATCH(X1830, Pagos_Odoo!$B:$B, 0)), ""))</f>
        <v/>
      </c>
      <c r="AD1830" s="82" t="n">
        <v>0</v>
      </c>
      <c r="AE1830" s="82" t="n"/>
      <c r="AF1830" s="82" t="n"/>
      <c r="AG1830" s="82">
        <f>IF(AN1830="","",AD1830+AE1830+AF1830)</f>
        <v/>
      </c>
      <c r="AH1830" s="81">
        <f>IF(AN1830="","",P1830*(1-AG1830))</f>
        <v/>
      </c>
      <c r="AI1830" s="81">
        <f>IF(AN1830="","",IF(Q1830="Sin Factura",0,IFERROR(INDEX(Facturas_Odoo!$H:$H, MATCH(Q1830, Facturas_Odoo!$B:$B, 0)), 0)*(1-AG1830)))</f>
        <v/>
      </c>
      <c r="AJ1830" s="81">
        <f>IF(AN1830="","",_xlfn.LET(idVenta, AN1830&amp;"",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30" s="81">
        <f>IF(AN1830="","",AH1830-AJ1830)</f>
        <v/>
      </c>
      <c r="AL1830" s="81">
        <f>IF(AN1830="","",IF(Q1830="Sin Factura","",AI1830-AJ1830))</f>
        <v/>
      </c>
      <c r="AM1830" s="81">
        <f>IF(AN1830="","",IF(Q1830="Sin Factura",0,P1830-IFERROR(INDEX(Facturas_Odoo!$H:$H, MATCH(Q1830, Facturas_Odoo!$B:$B, 0)), 0)))</f>
        <v/>
      </c>
      <c r="AN1830" s="79">
        <f>IF(AND(A1830="", J1830=""), "", IF(A1830&lt;&gt;"", VALUE(MID(A1830,2,LEN(A1830))), AN1829))</f>
        <v/>
      </c>
      <c r="AO1830" s="79">
        <f>IF(AN1830="","",IF(AD1830=0,"OK",_xlfn.LET(monedaPago, IF(AA1830="","USD",AA1830), limitePermitido, IFERROR(VLOOKUP(monedaPago, Configuración!$A$2:$B$3, 2, FALSE), 0.15), IF(AD1830&gt;limitePermitido, "ALERTA: EXCESO (" &amp; TEXT(limitePermitido, "0%") &amp; " máx)", "OK"))))</f>
        <v/>
      </c>
      <c r="AP1830" s="79">
        <f>IF(AN1830="","",IF(AE1830=0,"OK",_xlfn.LET(fechaPago, Z1830, fechaFactura, R1830, diasCredito, IF(E1830="Pago inmediato", 0, IFERROR(VALUE(MID(E1830, 1, SEARCH(" ", E1830)-1)),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30" s="79">
        <f>IF(AN1830="","",IF(AND(N1830&gt;0, AG1830&gt;0), IF(Configuración!$K$2="NO", "ALERTA: DESCUENTO DOBLE NO PERMITIDO", "OK"), "OK"))</f>
        <v/>
      </c>
      <c r="AR1830" s="79">
        <f>IF(AN1830="","",IF(OR(AO1830&lt;&gt;"OK", AP1830&lt;&gt;"OK", AQ1830&lt;&gt;"OK"), "⚠️ REVISAR", "OK"))</f>
        <v/>
      </c>
    </row>
    <row r="1831">
      <c r="A1831" s="79">
        <f>IF('Ordenes_Odoo'!A1831="","",'Ordenes_Odoo'!A1831)</f>
        <v/>
      </c>
      <c r="B1831" s="80">
        <f>IF('Ordenes_Odoo'!B1831="","",'Ordenes_Odoo'!B1831)</f>
        <v/>
      </c>
      <c r="C1831" s="79">
        <f>IF('Ordenes_Odoo'!C1831="","",'Ordenes_Odoo'!C1831)</f>
        <v/>
      </c>
      <c r="D1831" s="79">
        <f>IF('Ordenes_Odoo'!D1831="","",'Ordenes_Odoo'!D1831)</f>
        <v/>
      </c>
      <c r="E1831" s="79">
        <f>IF('Ordenes_Odoo'!E1831="","",'Ordenes_Odoo'!E1831)</f>
        <v/>
      </c>
      <c r="F1831" s="79">
        <f>IF('Ordenes_Odoo'!F1831="","",'Ordenes_Odoo'!F1831)</f>
        <v/>
      </c>
      <c r="G1831" s="79">
        <f>IF('Ordenes_Odoo'!G1831="","",'Ordenes_Odoo'!G1831)</f>
        <v/>
      </c>
      <c r="H1831" s="79">
        <f>IF('Ordenes_Odoo'!H1831="","",'Ordenes_Odoo'!H1831)</f>
        <v/>
      </c>
      <c r="I1831" s="79">
        <f>IF('Ordenes_Odoo'!I1831="","",'Ordenes_Odoo'!I1831)</f>
        <v/>
      </c>
      <c r="J1831" s="79">
        <f>IF('Ordenes_Odoo'!J1831="","",'Ordenes_Odoo'!J1831)</f>
        <v/>
      </c>
      <c r="K1831" s="81">
        <f>IF('Ordenes_Odoo'!K1831="","",'Ordenes_Odoo'!K1831)</f>
        <v/>
      </c>
      <c r="L1831" s="81">
        <f>IF('Ordenes_Odoo'!L1831="","",'Ordenes_Odoo'!L1831)</f>
        <v/>
      </c>
      <c r="M1831" s="79">
        <f>IF('Ordenes_Odoo'!M1831="","",'Ordenes_Odoo'!M1831)</f>
        <v/>
      </c>
      <c r="N1831" s="79">
        <f>IF('Ordenes_Odoo'!N1831="","",'Ordenes_Odoo'!N1831)</f>
        <v/>
      </c>
      <c r="O1831" s="81">
        <f>IF('Ordenes_Odoo'!O1831="","",'Ordenes_Odoo'!O1831)</f>
        <v/>
      </c>
      <c r="P1831" s="81">
        <f>IF('Ordenes_Odoo'!P1831="","",'Ordenes_Odoo'!P1831)</f>
        <v/>
      </c>
      <c r="Q1831" s="79">
        <f>IF(A1831="","",IFERROR(INDEX(Facturas_Odoo!$B:$B, MATCH(A1831, Facturas_Odoo!$D:$D, 0)), "Sin Factura"))</f>
        <v/>
      </c>
      <c r="R1831" s="80">
        <f>IF(Q1831="Sin Factura","",IFERROR(INDEX(Facturas_Odoo!$A:$A, MATCH(Q1831, Facturas_Odoo!$B:$B, 0)), ""))</f>
        <v/>
      </c>
      <c r="S1831" s="79">
        <f>IF(Q1831="Sin Factura","",IFERROR(_xlfn.XLOOKUP(1, (Facturas_Odoo!$D:$D=A1831) * (Facturas_Odoo!$K:$K=I1831), Facturas_Odoo!$L:$L, ""), ""))</f>
        <v/>
      </c>
      <c r="T1831" s="81">
        <f>IF(Q1831="Sin Factura",0,IFERROR(_xlfn.XLOOKUP(1, (Facturas_Odoo!$D:$D=A1831) * (Facturas_Odoo!$K:$K=I1831), Facturas_Odoo!$M:$M, 0), 0))</f>
        <v/>
      </c>
      <c r="U1831" s="79">
        <f>IF(Q1831="Sin Factura",0,IFERROR(_xlfn.XLOOKUP(1, (Facturas_Odoo!$D:$D=A1831) * (Facturas_Odoo!$K:$K=I1831), Facturas_Odoo!$N:$N, 0), 0))</f>
        <v/>
      </c>
      <c r="V1831" s="79">
        <f>IF(Q1831="Sin Factura",0,IFERROR(_xlfn.XLOOKUP(1, (Facturas_Odoo!$D:$D=A1831) * (Facturas_Odoo!$K:$K=I1831), Facturas_Odoo!$O:$O, 0), 0))</f>
        <v/>
      </c>
      <c r="W1831" s="81">
        <f>IF(Q1831="Sin Factura",0,IFERROR(_xlfn.XLOOKUP(1, (Facturas_Odoo!$D:$D=A1831) * (Facturas_Odoo!$K:$K=I1831), Facturas_Odoo!$Q:$Q, 0), 0))</f>
        <v/>
      </c>
      <c r="X1831" s="79">
        <f>IF(OR(Q1831="Sin Factura",Q1831=""),"",IFERROR(INDEX(Pagos_Odoo!$B:$B, MATCH(Q1831, Pagos_Odoo!$I:$I, 0)), "Sin Pago"))</f>
        <v/>
      </c>
      <c r="Y1831" s="79">
        <f>IF(X1831="Sin Pago","",IFERROR(INDEX(Pagos_Odoo!$C:$C, MATCH(X1831, Pagos_Odoo!$B:$B, 0)), ""))</f>
        <v/>
      </c>
      <c r="Z1831" s="80">
        <f>IF(X1831="Sin Pago","",IFERROR(INDEX(Pagos_Odoo!$A:$A, MATCH(X1831, Pagos_Odoo!$B:$B, 0)), ""))</f>
        <v/>
      </c>
      <c r="AA1831" s="79">
        <f>IF(X1831="Sin Pago","",IFERROR(INDEX(Pagos_Odoo!$F:$F, MATCH(X1831, Pagos_Odoo!$B:$B, 0)), ""))</f>
        <v/>
      </c>
      <c r="AB1831" s="81">
        <f>IF(X1831="Sin Pago",0,IFERROR(INDEX(Pagos_Odoo!$E:$E, MATCH(X1831, Pagos_Odoo!$B:$B, 0)), 0))</f>
        <v/>
      </c>
      <c r="AC1831" s="79">
        <f>IF(X1831="Sin Pago","",IFERROR(INDEX(Pagos_Odoo!$G:$G, MATCH(X1831, Pagos_Odoo!$B:$B, 0)), ""))</f>
        <v/>
      </c>
      <c r="AD1831" s="82" t="n">
        <v>0</v>
      </c>
      <c r="AE1831" s="82" t="n"/>
      <c r="AF1831" s="82" t="n"/>
      <c r="AG1831" s="82">
        <f>IF(AN1831="","",AD1831+AE1831+AF1831)</f>
        <v/>
      </c>
      <c r="AH1831" s="81">
        <f>IF(AN1831="","",P1831*(1-AG1831))</f>
        <v/>
      </c>
      <c r="AI1831" s="81">
        <f>IF(AN1831="","",IF(Q1831="Sin Factura",0,IFERROR(INDEX(Facturas_Odoo!$H:$H, MATCH(Q1831, Facturas_Odoo!$B:$B, 0)), 0)*(1-AG1831)))</f>
        <v/>
      </c>
      <c r="AJ1831" s="81">
        <f>IF(AN1831="","",_xlfn.LET(idVenta, AN1831&amp;"",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31" s="81">
        <f>IF(AN1831="","",AH1831-AJ1831)</f>
        <v/>
      </c>
      <c r="AL1831" s="81">
        <f>IF(AN1831="","",IF(Q1831="Sin Factura","",AI1831-AJ1831))</f>
        <v/>
      </c>
      <c r="AM1831" s="81">
        <f>IF(AN1831="","",IF(Q1831="Sin Factura",0,P1831-IFERROR(INDEX(Facturas_Odoo!$H:$H, MATCH(Q1831, Facturas_Odoo!$B:$B, 0)), 0)))</f>
        <v/>
      </c>
      <c r="AN1831" s="79">
        <f>IF(AND(A1831="", J1831=""), "", IF(A1831&lt;&gt;"", VALUE(MID(A1831,2,LEN(A1831))), AN1830))</f>
        <v/>
      </c>
      <c r="AO1831" s="79">
        <f>IF(AN1831="","",IF(AD1831=0,"OK",_xlfn.LET(monedaPago, IF(AA1831="","USD",AA1831), limitePermitido, IFERROR(VLOOKUP(monedaPago, Configuración!$A$2:$B$3, 2, FALSE), 0.15), IF(AD1831&gt;limitePermitido, "ALERTA: EXCESO (" &amp; TEXT(limitePermitido, "0%") &amp; " máx)", "OK"))))</f>
        <v/>
      </c>
      <c r="AP1831" s="79">
        <f>IF(AN1831="","",IF(AE1831=0,"OK",_xlfn.LET(fechaPago, Z1831, fechaFactura, R1831, diasCredito, IF(E1831="Pago inmediato", 0, IFERROR(VALUE(MID(E1831, 1, SEARCH(" ", E1831)-1)),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31" s="79">
        <f>IF(AN1831="","",IF(AND(N1831&gt;0, AG1831&gt;0), IF(Configuración!$K$2="NO", "ALERTA: DESCUENTO DOBLE NO PERMITIDO", "OK"), "OK"))</f>
        <v/>
      </c>
      <c r="AR1831" s="79">
        <f>IF(AN1831="","",IF(OR(AO1831&lt;&gt;"OK", AP1831&lt;&gt;"OK", AQ1831&lt;&gt;"OK"), "⚠️ REVISAR", "OK"))</f>
        <v/>
      </c>
    </row>
    <row r="1832">
      <c r="A1832" s="79">
        <f>IF('Ordenes_Odoo'!A1832="","",'Ordenes_Odoo'!A1832)</f>
        <v/>
      </c>
      <c r="B1832" s="80">
        <f>IF('Ordenes_Odoo'!B1832="","",'Ordenes_Odoo'!B1832)</f>
        <v/>
      </c>
      <c r="C1832" s="79">
        <f>IF('Ordenes_Odoo'!C1832="","",'Ordenes_Odoo'!C1832)</f>
        <v/>
      </c>
      <c r="D1832" s="79">
        <f>IF('Ordenes_Odoo'!D1832="","",'Ordenes_Odoo'!D1832)</f>
        <v/>
      </c>
      <c r="E1832" s="79">
        <f>IF('Ordenes_Odoo'!E1832="","",'Ordenes_Odoo'!E1832)</f>
        <v/>
      </c>
      <c r="F1832" s="79">
        <f>IF('Ordenes_Odoo'!F1832="","",'Ordenes_Odoo'!F1832)</f>
        <v/>
      </c>
      <c r="G1832" s="79">
        <f>IF('Ordenes_Odoo'!G1832="","",'Ordenes_Odoo'!G1832)</f>
        <v/>
      </c>
      <c r="H1832" s="79">
        <f>IF('Ordenes_Odoo'!H1832="","",'Ordenes_Odoo'!H1832)</f>
        <v/>
      </c>
      <c r="I1832" s="79">
        <f>IF('Ordenes_Odoo'!I1832="","",'Ordenes_Odoo'!I1832)</f>
        <v/>
      </c>
      <c r="J1832" s="79">
        <f>IF('Ordenes_Odoo'!J1832="","",'Ordenes_Odoo'!J1832)</f>
        <v/>
      </c>
      <c r="K1832" s="81">
        <f>IF('Ordenes_Odoo'!K1832="","",'Ordenes_Odoo'!K1832)</f>
        <v/>
      </c>
      <c r="L1832" s="81">
        <f>IF('Ordenes_Odoo'!L1832="","",'Ordenes_Odoo'!L1832)</f>
        <v/>
      </c>
      <c r="M1832" s="79">
        <f>IF('Ordenes_Odoo'!M1832="","",'Ordenes_Odoo'!M1832)</f>
        <v/>
      </c>
      <c r="N1832" s="79">
        <f>IF('Ordenes_Odoo'!N1832="","",'Ordenes_Odoo'!N1832)</f>
        <v/>
      </c>
      <c r="O1832" s="81">
        <f>IF('Ordenes_Odoo'!O1832="","",'Ordenes_Odoo'!O1832)</f>
        <v/>
      </c>
      <c r="P1832" s="81">
        <f>IF('Ordenes_Odoo'!P1832="","",'Ordenes_Odoo'!P1832)</f>
        <v/>
      </c>
      <c r="Q1832" s="79">
        <f>IF(A1832="","",IFERROR(INDEX(Facturas_Odoo!$B:$B, MATCH(A1832, Facturas_Odoo!$D:$D, 0)), "Sin Factura"))</f>
        <v/>
      </c>
      <c r="R1832" s="80">
        <f>IF(Q1832="Sin Factura","",IFERROR(INDEX(Facturas_Odoo!$A:$A, MATCH(Q1832, Facturas_Odoo!$B:$B, 0)), ""))</f>
        <v/>
      </c>
      <c r="S1832" s="79">
        <f>IF(Q1832="Sin Factura","",IFERROR(_xlfn.XLOOKUP(1, (Facturas_Odoo!$D:$D=A1832) * (Facturas_Odoo!$K:$K=I1832), Facturas_Odoo!$L:$L, ""), ""))</f>
        <v/>
      </c>
      <c r="T1832" s="81">
        <f>IF(Q1832="Sin Factura",0,IFERROR(_xlfn.XLOOKUP(1, (Facturas_Odoo!$D:$D=A1832) * (Facturas_Odoo!$K:$K=I1832), Facturas_Odoo!$M:$M, 0), 0))</f>
        <v/>
      </c>
      <c r="U1832" s="79">
        <f>IF(Q1832="Sin Factura",0,IFERROR(_xlfn.XLOOKUP(1, (Facturas_Odoo!$D:$D=A1832) * (Facturas_Odoo!$K:$K=I1832), Facturas_Odoo!$N:$N, 0), 0))</f>
        <v/>
      </c>
      <c r="V1832" s="79">
        <f>IF(Q1832="Sin Factura",0,IFERROR(_xlfn.XLOOKUP(1, (Facturas_Odoo!$D:$D=A1832) * (Facturas_Odoo!$K:$K=I1832), Facturas_Odoo!$O:$O, 0), 0))</f>
        <v/>
      </c>
      <c r="W1832" s="81">
        <f>IF(Q1832="Sin Factura",0,IFERROR(_xlfn.XLOOKUP(1, (Facturas_Odoo!$D:$D=A1832) * (Facturas_Odoo!$K:$K=I1832), Facturas_Odoo!$Q:$Q, 0), 0))</f>
        <v/>
      </c>
      <c r="X1832" s="79">
        <f>IF(OR(Q1832="Sin Factura",Q1832=""),"",IFERROR(INDEX(Pagos_Odoo!$B:$B, MATCH(Q1832, Pagos_Odoo!$I:$I, 0)), "Sin Pago"))</f>
        <v/>
      </c>
      <c r="Y1832" s="79">
        <f>IF(X1832="Sin Pago","",IFERROR(INDEX(Pagos_Odoo!$C:$C, MATCH(X1832, Pagos_Odoo!$B:$B, 0)), ""))</f>
        <v/>
      </c>
      <c r="Z1832" s="80">
        <f>IF(X1832="Sin Pago","",IFERROR(INDEX(Pagos_Odoo!$A:$A, MATCH(X1832, Pagos_Odoo!$B:$B, 0)), ""))</f>
        <v/>
      </c>
      <c r="AA1832" s="79">
        <f>IF(X1832="Sin Pago","",IFERROR(INDEX(Pagos_Odoo!$F:$F, MATCH(X1832, Pagos_Odoo!$B:$B, 0)), ""))</f>
        <v/>
      </c>
      <c r="AB1832" s="81">
        <f>IF(X1832="Sin Pago",0,IFERROR(INDEX(Pagos_Odoo!$E:$E, MATCH(X1832, Pagos_Odoo!$B:$B, 0)), 0))</f>
        <v/>
      </c>
      <c r="AC1832" s="79">
        <f>IF(X1832="Sin Pago","",IFERROR(INDEX(Pagos_Odoo!$G:$G, MATCH(X1832, Pagos_Odoo!$B:$B, 0)), ""))</f>
        <v/>
      </c>
      <c r="AD1832" s="82" t="n">
        <v>0</v>
      </c>
      <c r="AE1832" s="82" t="n"/>
      <c r="AF1832" s="82" t="n"/>
      <c r="AG1832" s="82">
        <f>IF(AN1832="","",AD1832+AE1832+AF1832)</f>
        <v/>
      </c>
      <c r="AH1832" s="81">
        <f>IF(AN1832="","",P1832*(1-AG1832))</f>
        <v/>
      </c>
      <c r="AI1832" s="81">
        <f>IF(AN1832="","",IF(Q1832="Sin Factura",0,IFERROR(INDEX(Facturas_Odoo!$H:$H, MATCH(Q1832, Facturas_Odoo!$B:$B, 0)), 0)*(1-AG1832)))</f>
        <v/>
      </c>
      <c r="AJ1832" s="81">
        <f>IF(AN1832="","",_xlfn.LET(idVenta, AN1832&amp;"",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32" s="81">
        <f>IF(AN1832="","",AH1832-AJ1832)</f>
        <v/>
      </c>
      <c r="AL1832" s="81">
        <f>IF(AN1832="","",IF(Q1832="Sin Factura","",AI1832-AJ1832))</f>
        <v/>
      </c>
      <c r="AM1832" s="81">
        <f>IF(AN1832="","",IF(Q1832="Sin Factura",0,P1832-IFERROR(INDEX(Facturas_Odoo!$H:$H, MATCH(Q1832, Facturas_Odoo!$B:$B, 0)), 0)))</f>
        <v/>
      </c>
      <c r="AN1832" s="79">
        <f>IF(AND(A1832="", J1832=""), "", IF(A1832&lt;&gt;"", VALUE(MID(A1832,2,LEN(A1832))), AN1831))</f>
        <v/>
      </c>
      <c r="AO1832" s="79">
        <f>IF(AN1832="","",IF(AD1832=0,"OK",_xlfn.LET(monedaPago, IF(AA1832="","USD",AA1832), limitePermitido, IFERROR(VLOOKUP(monedaPago, Configuración!$A$2:$B$3, 2, FALSE), 0.15), IF(AD1832&gt;limitePermitido, "ALERTA: EXCESO (" &amp; TEXT(limitePermitido, "0%") &amp; " máx)", "OK"))))</f>
        <v/>
      </c>
      <c r="AP1832" s="79">
        <f>IF(AN1832="","",IF(AE1832=0,"OK",_xlfn.LET(fechaPago, Z1832, fechaFactura, R1832, diasCredito, IF(E1832="Pago inmediato", 0, IFERROR(VALUE(MID(E1832, 1, SEARCH(" ", E1832)-1)),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32" s="79">
        <f>IF(AN1832="","",IF(AND(N1832&gt;0, AG1832&gt;0), IF(Configuración!$K$2="NO", "ALERTA: DESCUENTO DOBLE NO PERMITIDO", "OK"), "OK"))</f>
        <v/>
      </c>
      <c r="AR1832" s="79">
        <f>IF(AN1832="","",IF(OR(AO1832&lt;&gt;"OK", AP1832&lt;&gt;"OK", AQ1832&lt;&gt;"OK"), "⚠️ REVISAR", "OK"))</f>
        <v/>
      </c>
    </row>
    <row r="1833">
      <c r="A1833" s="79">
        <f>IF('Ordenes_Odoo'!A1833="","",'Ordenes_Odoo'!A1833)</f>
        <v/>
      </c>
      <c r="B1833" s="80">
        <f>IF('Ordenes_Odoo'!B1833="","",'Ordenes_Odoo'!B1833)</f>
        <v/>
      </c>
      <c r="C1833" s="79">
        <f>IF('Ordenes_Odoo'!C1833="","",'Ordenes_Odoo'!C1833)</f>
        <v/>
      </c>
      <c r="D1833" s="79">
        <f>IF('Ordenes_Odoo'!D1833="","",'Ordenes_Odoo'!D1833)</f>
        <v/>
      </c>
      <c r="E1833" s="79">
        <f>IF('Ordenes_Odoo'!E1833="","",'Ordenes_Odoo'!E1833)</f>
        <v/>
      </c>
      <c r="F1833" s="79">
        <f>IF('Ordenes_Odoo'!F1833="","",'Ordenes_Odoo'!F1833)</f>
        <v/>
      </c>
      <c r="G1833" s="79">
        <f>IF('Ordenes_Odoo'!G1833="","",'Ordenes_Odoo'!G1833)</f>
        <v/>
      </c>
      <c r="H1833" s="79">
        <f>IF('Ordenes_Odoo'!H1833="","",'Ordenes_Odoo'!H1833)</f>
        <v/>
      </c>
      <c r="I1833" s="79">
        <f>IF('Ordenes_Odoo'!I1833="","",'Ordenes_Odoo'!I1833)</f>
        <v/>
      </c>
      <c r="J1833" s="79">
        <f>IF('Ordenes_Odoo'!J1833="","",'Ordenes_Odoo'!J1833)</f>
        <v/>
      </c>
      <c r="K1833" s="81">
        <f>IF('Ordenes_Odoo'!K1833="","",'Ordenes_Odoo'!K1833)</f>
        <v/>
      </c>
      <c r="L1833" s="81">
        <f>IF('Ordenes_Odoo'!L1833="","",'Ordenes_Odoo'!L1833)</f>
        <v/>
      </c>
      <c r="M1833" s="79">
        <f>IF('Ordenes_Odoo'!M1833="","",'Ordenes_Odoo'!M1833)</f>
        <v/>
      </c>
      <c r="N1833" s="79">
        <f>IF('Ordenes_Odoo'!N1833="","",'Ordenes_Odoo'!N1833)</f>
        <v/>
      </c>
      <c r="O1833" s="81">
        <f>IF('Ordenes_Odoo'!O1833="","",'Ordenes_Odoo'!O1833)</f>
        <v/>
      </c>
      <c r="P1833" s="81">
        <f>IF('Ordenes_Odoo'!P1833="","",'Ordenes_Odoo'!P1833)</f>
        <v/>
      </c>
      <c r="Q1833" s="79">
        <f>IF(A1833="","",IFERROR(INDEX(Facturas_Odoo!$B:$B, MATCH(A1833, Facturas_Odoo!$D:$D, 0)), "Sin Factura"))</f>
        <v/>
      </c>
      <c r="R1833" s="80">
        <f>IF(Q1833="Sin Factura","",IFERROR(INDEX(Facturas_Odoo!$A:$A, MATCH(Q1833, Facturas_Odoo!$B:$B, 0)), ""))</f>
        <v/>
      </c>
      <c r="S1833" s="79">
        <f>IF(Q1833="Sin Factura","",IFERROR(_xlfn.XLOOKUP(1, (Facturas_Odoo!$D:$D=A1833) * (Facturas_Odoo!$K:$K=I1833), Facturas_Odoo!$L:$L, ""), ""))</f>
        <v/>
      </c>
      <c r="T1833" s="81">
        <f>IF(Q1833="Sin Factura",0,IFERROR(_xlfn.XLOOKUP(1, (Facturas_Odoo!$D:$D=A1833) * (Facturas_Odoo!$K:$K=I1833), Facturas_Odoo!$M:$M, 0), 0))</f>
        <v/>
      </c>
      <c r="U1833" s="79">
        <f>IF(Q1833="Sin Factura",0,IFERROR(_xlfn.XLOOKUP(1, (Facturas_Odoo!$D:$D=A1833) * (Facturas_Odoo!$K:$K=I1833), Facturas_Odoo!$N:$N, 0), 0))</f>
        <v/>
      </c>
      <c r="V1833" s="79">
        <f>IF(Q1833="Sin Factura",0,IFERROR(_xlfn.XLOOKUP(1, (Facturas_Odoo!$D:$D=A1833) * (Facturas_Odoo!$K:$K=I1833), Facturas_Odoo!$O:$O, 0), 0))</f>
        <v/>
      </c>
      <c r="W1833" s="81">
        <f>IF(Q1833="Sin Factura",0,IFERROR(_xlfn.XLOOKUP(1, (Facturas_Odoo!$D:$D=A1833) * (Facturas_Odoo!$K:$K=I1833), Facturas_Odoo!$Q:$Q, 0), 0))</f>
        <v/>
      </c>
      <c r="X1833" s="79">
        <f>IF(OR(Q1833="Sin Factura",Q1833=""),"",IFERROR(INDEX(Pagos_Odoo!$B:$B, MATCH(Q1833, Pagos_Odoo!$I:$I, 0)), "Sin Pago"))</f>
        <v/>
      </c>
      <c r="Y1833" s="79">
        <f>IF(X1833="Sin Pago","",IFERROR(INDEX(Pagos_Odoo!$C:$C, MATCH(X1833, Pagos_Odoo!$B:$B, 0)), ""))</f>
        <v/>
      </c>
      <c r="Z1833" s="80">
        <f>IF(X1833="Sin Pago","",IFERROR(INDEX(Pagos_Odoo!$A:$A, MATCH(X1833, Pagos_Odoo!$B:$B, 0)), ""))</f>
        <v/>
      </c>
      <c r="AA1833" s="79">
        <f>IF(X1833="Sin Pago","",IFERROR(INDEX(Pagos_Odoo!$F:$F, MATCH(X1833, Pagos_Odoo!$B:$B, 0)), ""))</f>
        <v/>
      </c>
      <c r="AB1833" s="81">
        <f>IF(X1833="Sin Pago",0,IFERROR(INDEX(Pagos_Odoo!$E:$E, MATCH(X1833, Pagos_Odoo!$B:$B, 0)), 0))</f>
        <v/>
      </c>
      <c r="AC1833" s="79">
        <f>IF(X1833="Sin Pago","",IFERROR(INDEX(Pagos_Odoo!$G:$G, MATCH(X1833, Pagos_Odoo!$B:$B, 0)), ""))</f>
        <v/>
      </c>
      <c r="AD1833" s="82" t="n">
        <v>0</v>
      </c>
      <c r="AE1833" s="82" t="n"/>
      <c r="AF1833" s="82" t="n"/>
      <c r="AG1833" s="82">
        <f>IF(AN1833="","",AD1833+AE1833+AF1833)</f>
        <v/>
      </c>
      <c r="AH1833" s="81">
        <f>IF(AN1833="","",P1833*(1-AG1833))</f>
        <v/>
      </c>
      <c r="AI1833" s="81">
        <f>IF(AN1833="","",IF(Q1833="Sin Factura",0,IFERROR(INDEX(Facturas_Odoo!$H:$H, MATCH(Q1833, Facturas_Odoo!$B:$B, 0)), 0)*(1-AG1833)))</f>
        <v/>
      </c>
      <c r="AJ1833" s="81">
        <f>IF(AN1833="","",_xlfn.LET(idVenta, AN1833&amp;"",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33" s="81">
        <f>IF(AN1833="","",AH1833-AJ1833)</f>
        <v/>
      </c>
      <c r="AL1833" s="81">
        <f>IF(AN1833="","",IF(Q1833="Sin Factura","",AI1833-AJ1833))</f>
        <v/>
      </c>
      <c r="AM1833" s="81">
        <f>IF(AN1833="","",IF(Q1833="Sin Factura",0,P1833-IFERROR(INDEX(Facturas_Odoo!$H:$H, MATCH(Q1833, Facturas_Odoo!$B:$B, 0)), 0)))</f>
        <v/>
      </c>
      <c r="AN1833" s="79">
        <f>IF(AND(A1833="", J1833=""), "", IF(A1833&lt;&gt;"", VALUE(MID(A1833,2,LEN(A1833))), AN1832))</f>
        <v/>
      </c>
      <c r="AO1833" s="79">
        <f>IF(AN1833="","",IF(AD1833=0,"OK",_xlfn.LET(monedaPago, IF(AA1833="","USD",AA1833), limitePermitido, IFERROR(VLOOKUP(monedaPago, Configuración!$A$2:$B$3, 2, FALSE), 0.15), IF(AD1833&gt;limitePermitido, "ALERTA: EXCESO (" &amp; TEXT(limitePermitido, "0%") &amp; " máx)", "OK"))))</f>
        <v/>
      </c>
      <c r="AP1833" s="79">
        <f>IF(AN1833="","",IF(AE1833=0,"OK",_xlfn.LET(fechaPago, Z1833, fechaFactura, R1833, diasCredito, IF(E1833="Pago inmediato", 0, IFERROR(VALUE(MID(E1833, 1, SEARCH(" ", E1833)-1)),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33" s="79">
        <f>IF(AN1833="","",IF(AND(N1833&gt;0, AG1833&gt;0), IF(Configuración!$K$2="NO", "ALERTA: DESCUENTO DOBLE NO PERMITIDO", "OK"), "OK"))</f>
        <v/>
      </c>
      <c r="AR1833" s="79">
        <f>IF(AN1833="","",IF(OR(AO1833&lt;&gt;"OK", AP1833&lt;&gt;"OK", AQ1833&lt;&gt;"OK"), "⚠️ REVISAR", "OK"))</f>
        <v/>
      </c>
    </row>
    <row r="1834">
      <c r="A1834" s="79">
        <f>IF('Ordenes_Odoo'!A1834="","",'Ordenes_Odoo'!A1834)</f>
        <v/>
      </c>
      <c r="B1834" s="80">
        <f>IF('Ordenes_Odoo'!B1834="","",'Ordenes_Odoo'!B1834)</f>
        <v/>
      </c>
      <c r="C1834" s="79">
        <f>IF('Ordenes_Odoo'!C1834="","",'Ordenes_Odoo'!C1834)</f>
        <v/>
      </c>
      <c r="D1834" s="79">
        <f>IF('Ordenes_Odoo'!D1834="","",'Ordenes_Odoo'!D1834)</f>
        <v/>
      </c>
      <c r="E1834" s="79">
        <f>IF('Ordenes_Odoo'!E1834="","",'Ordenes_Odoo'!E1834)</f>
        <v/>
      </c>
      <c r="F1834" s="79">
        <f>IF('Ordenes_Odoo'!F1834="","",'Ordenes_Odoo'!F1834)</f>
        <v/>
      </c>
      <c r="G1834" s="79">
        <f>IF('Ordenes_Odoo'!G1834="","",'Ordenes_Odoo'!G1834)</f>
        <v/>
      </c>
      <c r="H1834" s="79">
        <f>IF('Ordenes_Odoo'!H1834="","",'Ordenes_Odoo'!H1834)</f>
        <v/>
      </c>
      <c r="I1834" s="79">
        <f>IF('Ordenes_Odoo'!I1834="","",'Ordenes_Odoo'!I1834)</f>
        <v/>
      </c>
      <c r="J1834" s="79">
        <f>IF('Ordenes_Odoo'!J1834="","",'Ordenes_Odoo'!J1834)</f>
        <v/>
      </c>
      <c r="K1834" s="81">
        <f>IF('Ordenes_Odoo'!K1834="","",'Ordenes_Odoo'!K1834)</f>
        <v/>
      </c>
      <c r="L1834" s="81">
        <f>IF('Ordenes_Odoo'!L1834="","",'Ordenes_Odoo'!L1834)</f>
        <v/>
      </c>
      <c r="M1834" s="79">
        <f>IF('Ordenes_Odoo'!M1834="","",'Ordenes_Odoo'!M1834)</f>
        <v/>
      </c>
      <c r="N1834" s="79">
        <f>IF('Ordenes_Odoo'!N1834="","",'Ordenes_Odoo'!N1834)</f>
        <v/>
      </c>
      <c r="O1834" s="81">
        <f>IF('Ordenes_Odoo'!O1834="","",'Ordenes_Odoo'!O1834)</f>
        <v/>
      </c>
      <c r="P1834" s="81">
        <f>IF('Ordenes_Odoo'!P1834="","",'Ordenes_Odoo'!P1834)</f>
        <v/>
      </c>
      <c r="Q1834" s="79">
        <f>IF(A1834="","",IFERROR(INDEX(Facturas_Odoo!$B:$B, MATCH(A1834, Facturas_Odoo!$D:$D, 0)), "Sin Factura"))</f>
        <v/>
      </c>
      <c r="R1834" s="80">
        <f>IF(Q1834="Sin Factura","",IFERROR(INDEX(Facturas_Odoo!$A:$A, MATCH(Q1834, Facturas_Odoo!$B:$B, 0)), ""))</f>
        <v/>
      </c>
      <c r="S1834" s="79">
        <f>IF(Q1834="Sin Factura","",IFERROR(_xlfn.XLOOKUP(1, (Facturas_Odoo!$D:$D=A1834) * (Facturas_Odoo!$K:$K=I1834), Facturas_Odoo!$L:$L, ""), ""))</f>
        <v/>
      </c>
      <c r="T1834" s="81">
        <f>IF(Q1834="Sin Factura",0,IFERROR(_xlfn.XLOOKUP(1, (Facturas_Odoo!$D:$D=A1834) * (Facturas_Odoo!$K:$K=I1834), Facturas_Odoo!$M:$M, 0), 0))</f>
        <v/>
      </c>
      <c r="U1834" s="79">
        <f>IF(Q1834="Sin Factura",0,IFERROR(_xlfn.XLOOKUP(1, (Facturas_Odoo!$D:$D=A1834) * (Facturas_Odoo!$K:$K=I1834), Facturas_Odoo!$N:$N, 0), 0))</f>
        <v/>
      </c>
      <c r="V1834" s="79">
        <f>IF(Q1834="Sin Factura",0,IFERROR(_xlfn.XLOOKUP(1, (Facturas_Odoo!$D:$D=A1834) * (Facturas_Odoo!$K:$K=I1834), Facturas_Odoo!$O:$O, 0), 0))</f>
        <v/>
      </c>
      <c r="W1834" s="81">
        <f>IF(Q1834="Sin Factura",0,IFERROR(_xlfn.XLOOKUP(1, (Facturas_Odoo!$D:$D=A1834) * (Facturas_Odoo!$K:$K=I1834), Facturas_Odoo!$Q:$Q, 0), 0))</f>
        <v/>
      </c>
      <c r="X1834" s="79">
        <f>IF(OR(Q1834="Sin Factura",Q1834=""),"",IFERROR(INDEX(Pagos_Odoo!$B:$B, MATCH(Q1834, Pagos_Odoo!$I:$I, 0)), "Sin Pago"))</f>
        <v/>
      </c>
      <c r="Y1834" s="79">
        <f>IF(X1834="Sin Pago","",IFERROR(INDEX(Pagos_Odoo!$C:$C, MATCH(X1834, Pagos_Odoo!$B:$B, 0)), ""))</f>
        <v/>
      </c>
      <c r="Z1834" s="80">
        <f>IF(X1834="Sin Pago","",IFERROR(INDEX(Pagos_Odoo!$A:$A, MATCH(X1834, Pagos_Odoo!$B:$B, 0)), ""))</f>
        <v/>
      </c>
      <c r="AA1834" s="79">
        <f>IF(X1834="Sin Pago","",IFERROR(INDEX(Pagos_Odoo!$F:$F, MATCH(X1834, Pagos_Odoo!$B:$B, 0)), ""))</f>
        <v/>
      </c>
      <c r="AB1834" s="81">
        <f>IF(X1834="Sin Pago",0,IFERROR(INDEX(Pagos_Odoo!$E:$E, MATCH(X1834, Pagos_Odoo!$B:$B, 0)), 0))</f>
        <v/>
      </c>
      <c r="AC1834" s="79">
        <f>IF(X1834="Sin Pago","",IFERROR(INDEX(Pagos_Odoo!$G:$G, MATCH(X1834, Pagos_Odoo!$B:$B, 0)), ""))</f>
        <v/>
      </c>
      <c r="AD1834" s="82" t="n">
        <v>0</v>
      </c>
      <c r="AE1834" s="82" t="n"/>
      <c r="AF1834" s="82" t="n"/>
      <c r="AG1834" s="82">
        <f>IF(AN1834="","",AD1834+AE1834+AF1834)</f>
        <v/>
      </c>
      <c r="AH1834" s="81">
        <f>IF(AN1834="","",P1834*(1-AG1834))</f>
        <v/>
      </c>
      <c r="AI1834" s="81">
        <f>IF(AN1834="","",IF(Q1834="Sin Factura",0,IFERROR(INDEX(Facturas_Odoo!$H:$H, MATCH(Q1834, Facturas_Odoo!$B:$B, 0)), 0)*(1-AG1834)))</f>
        <v/>
      </c>
      <c r="AJ1834" s="81">
        <f>IF(AN1834="","",_xlfn.LET(idVenta, AN1834&amp;"",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34" s="81">
        <f>IF(AN1834="","",AH1834-AJ1834)</f>
        <v/>
      </c>
      <c r="AL1834" s="81">
        <f>IF(AN1834="","",IF(Q1834="Sin Factura","",AI1834-AJ1834))</f>
        <v/>
      </c>
      <c r="AM1834" s="81">
        <f>IF(AN1834="","",IF(Q1834="Sin Factura",0,P1834-IFERROR(INDEX(Facturas_Odoo!$H:$H, MATCH(Q1834, Facturas_Odoo!$B:$B, 0)), 0)))</f>
        <v/>
      </c>
      <c r="AN1834" s="79">
        <f>IF(AND(A1834="", J1834=""), "", IF(A1834&lt;&gt;"", VALUE(MID(A1834,2,LEN(A1834))), AN1833))</f>
        <v/>
      </c>
      <c r="AO1834" s="79">
        <f>IF(AN1834="","",IF(AD1834=0,"OK",_xlfn.LET(monedaPago, IF(AA1834="","USD",AA1834), limitePermitido, IFERROR(VLOOKUP(monedaPago, Configuración!$A$2:$B$3, 2, FALSE), 0.15), IF(AD1834&gt;limitePermitido, "ALERTA: EXCESO (" &amp; TEXT(limitePermitido, "0%") &amp; " máx)", "OK"))))</f>
        <v/>
      </c>
      <c r="AP1834" s="79">
        <f>IF(AN1834="","",IF(AE1834=0,"OK",_xlfn.LET(fechaPago, Z1834, fechaFactura, R1834, diasCredito, IF(E1834="Pago inmediato", 0, IFERROR(VALUE(MID(E1834, 1, SEARCH(" ", E1834)-1)),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34" s="79">
        <f>IF(AN1834="","",IF(AND(N1834&gt;0, AG1834&gt;0), IF(Configuración!$K$2="NO", "ALERTA: DESCUENTO DOBLE NO PERMITIDO", "OK"), "OK"))</f>
        <v/>
      </c>
      <c r="AR1834" s="79">
        <f>IF(AN1834="","",IF(OR(AO1834&lt;&gt;"OK", AP1834&lt;&gt;"OK", AQ1834&lt;&gt;"OK"), "⚠️ REVISAR", "OK"))</f>
        <v/>
      </c>
    </row>
    <row r="1835">
      <c r="A1835" s="79">
        <f>IF('Ordenes_Odoo'!A1835="","",'Ordenes_Odoo'!A1835)</f>
        <v/>
      </c>
      <c r="B1835" s="80">
        <f>IF('Ordenes_Odoo'!B1835="","",'Ordenes_Odoo'!B1835)</f>
        <v/>
      </c>
      <c r="C1835" s="79">
        <f>IF('Ordenes_Odoo'!C1835="","",'Ordenes_Odoo'!C1835)</f>
        <v/>
      </c>
      <c r="D1835" s="79">
        <f>IF('Ordenes_Odoo'!D1835="","",'Ordenes_Odoo'!D1835)</f>
        <v/>
      </c>
      <c r="E1835" s="79">
        <f>IF('Ordenes_Odoo'!E1835="","",'Ordenes_Odoo'!E1835)</f>
        <v/>
      </c>
      <c r="F1835" s="79">
        <f>IF('Ordenes_Odoo'!F1835="","",'Ordenes_Odoo'!F1835)</f>
        <v/>
      </c>
      <c r="G1835" s="79">
        <f>IF('Ordenes_Odoo'!G1835="","",'Ordenes_Odoo'!G1835)</f>
        <v/>
      </c>
      <c r="H1835" s="79">
        <f>IF('Ordenes_Odoo'!H1835="","",'Ordenes_Odoo'!H1835)</f>
        <v/>
      </c>
      <c r="I1835" s="79">
        <f>IF('Ordenes_Odoo'!I1835="","",'Ordenes_Odoo'!I1835)</f>
        <v/>
      </c>
      <c r="J1835" s="79">
        <f>IF('Ordenes_Odoo'!J1835="","",'Ordenes_Odoo'!J1835)</f>
        <v/>
      </c>
      <c r="K1835" s="81">
        <f>IF('Ordenes_Odoo'!K1835="","",'Ordenes_Odoo'!K1835)</f>
        <v/>
      </c>
      <c r="L1835" s="81">
        <f>IF('Ordenes_Odoo'!L1835="","",'Ordenes_Odoo'!L1835)</f>
        <v/>
      </c>
      <c r="M1835" s="79">
        <f>IF('Ordenes_Odoo'!M1835="","",'Ordenes_Odoo'!M1835)</f>
        <v/>
      </c>
      <c r="N1835" s="79">
        <f>IF('Ordenes_Odoo'!N1835="","",'Ordenes_Odoo'!N1835)</f>
        <v/>
      </c>
      <c r="O1835" s="81">
        <f>IF('Ordenes_Odoo'!O1835="","",'Ordenes_Odoo'!O1835)</f>
        <v/>
      </c>
      <c r="P1835" s="81">
        <f>IF('Ordenes_Odoo'!P1835="","",'Ordenes_Odoo'!P1835)</f>
        <v/>
      </c>
      <c r="Q1835" s="79">
        <f>IF(A1835="","",IFERROR(INDEX(Facturas_Odoo!$B:$B, MATCH(A1835, Facturas_Odoo!$D:$D, 0)), "Sin Factura"))</f>
        <v/>
      </c>
      <c r="R1835" s="80">
        <f>IF(Q1835="Sin Factura","",IFERROR(INDEX(Facturas_Odoo!$A:$A, MATCH(Q1835, Facturas_Odoo!$B:$B, 0)), ""))</f>
        <v/>
      </c>
      <c r="S1835" s="79">
        <f>IF(Q1835="Sin Factura","",IFERROR(_xlfn.XLOOKUP(1, (Facturas_Odoo!$D:$D=A1835) * (Facturas_Odoo!$K:$K=I1835), Facturas_Odoo!$L:$L, ""), ""))</f>
        <v/>
      </c>
      <c r="T1835" s="81">
        <f>IF(Q1835="Sin Factura",0,IFERROR(_xlfn.XLOOKUP(1, (Facturas_Odoo!$D:$D=A1835) * (Facturas_Odoo!$K:$K=I1835), Facturas_Odoo!$M:$M, 0), 0))</f>
        <v/>
      </c>
      <c r="U1835" s="79">
        <f>IF(Q1835="Sin Factura",0,IFERROR(_xlfn.XLOOKUP(1, (Facturas_Odoo!$D:$D=A1835) * (Facturas_Odoo!$K:$K=I1835), Facturas_Odoo!$N:$N, 0), 0))</f>
        <v/>
      </c>
      <c r="V1835" s="79">
        <f>IF(Q1835="Sin Factura",0,IFERROR(_xlfn.XLOOKUP(1, (Facturas_Odoo!$D:$D=A1835) * (Facturas_Odoo!$K:$K=I1835), Facturas_Odoo!$O:$O, 0), 0))</f>
        <v/>
      </c>
      <c r="W1835" s="81">
        <f>IF(Q1835="Sin Factura",0,IFERROR(_xlfn.XLOOKUP(1, (Facturas_Odoo!$D:$D=A1835) * (Facturas_Odoo!$K:$K=I1835), Facturas_Odoo!$Q:$Q, 0), 0))</f>
        <v/>
      </c>
      <c r="X1835" s="79">
        <f>IF(OR(Q1835="Sin Factura",Q1835=""),"",IFERROR(INDEX(Pagos_Odoo!$B:$B, MATCH(Q1835, Pagos_Odoo!$I:$I, 0)), "Sin Pago"))</f>
        <v/>
      </c>
      <c r="Y1835" s="79">
        <f>IF(X1835="Sin Pago","",IFERROR(INDEX(Pagos_Odoo!$C:$C, MATCH(X1835, Pagos_Odoo!$B:$B, 0)), ""))</f>
        <v/>
      </c>
      <c r="Z1835" s="80">
        <f>IF(X1835="Sin Pago","",IFERROR(INDEX(Pagos_Odoo!$A:$A, MATCH(X1835, Pagos_Odoo!$B:$B, 0)), ""))</f>
        <v/>
      </c>
      <c r="AA1835" s="79">
        <f>IF(X1835="Sin Pago","",IFERROR(INDEX(Pagos_Odoo!$F:$F, MATCH(X1835, Pagos_Odoo!$B:$B, 0)), ""))</f>
        <v/>
      </c>
      <c r="AB1835" s="81">
        <f>IF(X1835="Sin Pago",0,IFERROR(INDEX(Pagos_Odoo!$E:$E, MATCH(X1835, Pagos_Odoo!$B:$B, 0)), 0))</f>
        <v/>
      </c>
      <c r="AC1835" s="79">
        <f>IF(X1835="Sin Pago","",IFERROR(INDEX(Pagos_Odoo!$G:$G, MATCH(X1835, Pagos_Odoo!$B:$B, 0)), ""))</f>
        <v/>
      </c>
      <c r="AD1835" s="82" t="n">
        <v>0</v>
      </c>
      <c r="AE1835" s="82" t="n"/>
      <c r="AF1835" s="82" t="n"/>
      <c r="AG1835" s="82">
        <f>IF(AN1835="","",AD1835+AE1835+AF1835)</f>
        <v/>
      </c>
      <c r="AH1835" s="81">
        <f>IF(AN1835="","",P1835*(1-AG1835))</f>
        <v/>
      </c>
      <c r="AI1835" s="81">
        <f>IF(AN1835="","",IF(Q1835="Sin Factura",0,IFERROR(INDEX(Facturas_Odoo!$H:$H, MATCH(Q1835, Facturas_Odoo!$B:$B, 0)), 0)*(1-AG1835)))</f>
        <v/>
      </c>
      <c r="AJ1835" s="81">
        <f>IF(AN1835="","",_xlfn.LET(idVenta, AN1835&amp;"",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35" s="81">
        <f>IF(AN1835="","",AH1835-AJ1835)</f>
        <v/>
      </c>
      <c r="AL1835" s="81">
        <f>IF(AN1835="","",IF(Q1835="Sin Factura","",AI1835-AJ1835))</f>
        <v/>
      </c>
      <c r="AM1835" s="81">
        <f>IF(AN1835="","",IF(Q1835="Sin Factura",0,P1835-IFERROR(INDEX(Facturas_Odoo!$H:$H, MATCH(Q1835, Facturas_Odoo!$B:$B, 0)), 0)))</f>
        <v/>
      </c>
      <c r="AN1835" s="79">
        <f>IF(AND(A1835="", J1835=""), "", IF(A1835&lt;&gt;"", VALUE(MID(A1835,2,LEN(A1835))), AN1834))</f>
        <v/>
      </c>
      <c r="AO1835" s="79">
        <f>IF(AN1835="","",IF(AD1835=0,"OK",_xlfn.LET(monedaPago, IF(AA1835="","USD",AA1835), limitePermitido, IFERROR(VLOOKUP(monedaPago, Configuración!$A$2:$B$3, 2, FALSE), 0.15), IF(AD1835&gt;limitePermitido, "ALERTA: EXCESO (" &amp; TEXT(limitePermitido, "0%") &amp; " máx)", "OK"))))</f>
        <v/>
      </c>
      <c r="AP1835" s="79">
        <f>IF(AN1835="","",IF(AE1835=0,"OK",_xlfn.LET(fechaPago, Z1835, fechaFactura, R1835, diasCredito, IF(E1835="Pago inmediato", 0, IFERROR(VALUE(MID(E1835, 1, SEARCH(" ", E1835)-1)),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35" s="79">
        <f>IF(AN1835="","",IF(AND(N1835&gt;0, AG1835&gt;0), IF(Configuración!$K$2="NO", "ALERTA: DESCUENTO DOBLE NO PERMITIDO", "OK"), "OK"))</f>
        <v/>
      </c>
      <c r="AR1835" s="79">
        <f>IF(AN1835="","",IF(OR(AO1835&lt;&gt;"OK", AP1835&lt;&gt;"OK", AQ1835&lt;&gt;"OK"), "⚠️ REVISAR", "OK"))</f>
        <v/>
      </c>
    </row>
    <row r="1836">
      <c r="A1836" s="79">
        <f>IF('Ordenes_Odoo'!A1836="","",'Ordenes_Odoo'!A1836)</f>
        <v/>
      </c>
      <c r="B1836" s="80">
        <f>IF('Ordenes_Odoo'!B1836="","",'Ordenes_Odoo'!B1836)</f>
        <v/>
      </c>
      <c r="C1836" s="79">
        <f>IF('Ordenes_Odoo'!C1836="","",'Ordenes_Odoo'!C1836)</f>
        <v/>
      </c>
      <c r="D1836" s="79">
        <f>IF('Ordenes_Odoo'!D1836="","",'Ordenes_Odoo'!D1836)</f>
        <v/>
      </c>
      <c r="E1836" s="79">
        <f>IF('Ordenes_Odoo'!E1836="","",'Ordenes_Odoo'!E1836)</f>
        <v/>
      </c>
      <c r="F1836" s="79">
        <f>IF('Ordenes_Odoo'!F1836="","",'Ordenes_Odoo'!F1836)</f>
        <v/>
      </c>
      <c r="G1836" s="79">
        <f>IF('Ordenes_Odoo'!G1836="","",'Ordenes_Odoo'!G1836)</f>
        <v/>
      </c>
      <c r="H1836" s="79">
        <f>IF('Ordenes_Odoo'!H1836="","",'Ordenes_Odoo'!H1836)</f>
        <v/>
      </c>
      <c r="I1836" s="79">
        <f>IF('Ordenes_Odoo'!I1836="","",'Ordenes_Odoo'!I1836)</f>
        <v/>
      </c>
      <c r="J1836" s="79">
        <f>IF('Ordenes_Odoo'!J1836="","",'Ordenes_Odoo'!J1836)</f>
        <v/>
      </c>
      <c r="K1836" s="81">
        <f>IF('Ordenes_Odoo'!K1836="","",'Ordenes_Odoo'!K1836)</f>
        <v/>
      </c>
      <c r="L1836" s="81">
        <f>IF('Ordenes_Odoo'!L1836="","",'Ordenes_Odoo'!L1836)</f>
        <v/>
      </c>
      <c r="M1836" s="79">
        <f>IF('Ordenes_Odoo'!M1836="","",'Ordenes_Odoo'!M1836)</f>
        <v/>
      </c>
      <c r="N1836" s="79">
        <f>IF('Ordenes_Odoo'!N1836="","",'Ordenes_Odoo'!N1836)</f>
        <v/>
      </c>
      <c r="O1836" s="81">
        <f>IF('Ordenes_Odoo'!O1836="","",'Ordenes_Odoo'!O1836)</f>
        <v/>
      </c>
      <c r="P1836" s="81">
        <f>IF('Ordenes_Odoo'!P1836="","",'Ordenes_Odoo'!P1836)</f>
        <v/>
      </c>
      <c r="Q1836" s="79">
        <f>IF(A1836="","",IFERROR(INDEX(Facturas_Odoo!$B:$B, MATCH(A1836, Facturas_Odoo!$D:$D, 0)), "Sin Factura"))</f>
        <v/>
      </c>
      <c r="R1836" s="80">
        <f>IF(Q1836="Sin Factura","",IFERROR(INDEX(Facturas_Odoo!$A:$A, MATCH(Q1836, Facturas_Odoo!$B:$B, 0)), ""))</f>
        <v/>
      </c>
      <c r="S1836" s="79">
        <f>IF(Q1836="Sin Factura","",IFERROR(_xlfn.XLOOKUP(1, (Facturas_Odoo!$D:$D=A1836) * (Facturas_Odoo!$K:$K=I1836), Facturas_Odoo!$L:$L, ""), ""))</f>
        <v/>
      </c>
      <c r="T1836" s="81">
        <f>IF(Q1836="Sin Factura",0,IFERROR(_xlfn.XLOOKUP(1, (Facturas_Odoo!$D:$D=A1836) * (Facturas_Odoo!$K:$K=I1836), Facturas_Odoo!$M:$M, 0), 0))</f>
        <v/>
      </c>
      <c r="U1836" s="79">
        <f>IF(Q1836="Sin Factura",0,IFERROR(_xlfn.XLOOKUP(1, (Facturas_Odoo!$D:$D=A1836) * (Facturas_Odoo!$K:$K=I1836), Facturas_Odoo!$N:$N, 0), 0))</f>
        <v/>
      </c>
      <c r="V1836" s="79">
        <f>IF(Q1836="Sin Factura",0,IFERROR(_xlfn.XLOOKUP(1, (Facturas_Odoo!$D:$D=A1836) * (Facturas_Odoo!$K:$K=I1836), Facturas_Odoo!$O:$O, 0), 0))</f>
        <v/>
      </c>
      <c r="W1836" s="81">
        <f>IF(Q1836="Sin Factura",0,IFERROR(_xlfn.XLOOKUP(1, (Facturas_Odoo!$D:$D=A1836) * (Facturas_Odoo!$K:$K=I1836), Facturas_Odoo!$Q:$Q, 0), 0))</f>
        <v/>
      </c>
      <c r="X1836" s="79">
        <f>IF(OR(Q1836="Sin Factura",Q1836=""),"",IFERROR(INDEX(Pagos_Odoo!$B:$B, MATCH(Q1836, Pagos_Odoo!$I:$I, 0)), "Sin Pago"))</f>
        <v/>
      </c>
      <c r="Y1836" s="79">
        <f>IF(X1836="Sin Pago","",IFERROR(INDEX(Pagos_Odoo!$C:$C, MATCH(X1836, Pagos_Odoo!$B:$B, 0)), ""))</f>
        <v/>
      </c>
      <c r="Z1836" s="80">
        <f>IF(X1836="Sin Pago","",IFERROR(INDEX(Pagos_Odoo!$A:$A, MATCH(X1836, Pagos_Odoo!$B:$B, 0)), ""))</f>
        <v/>
      </c>
      <c r="AA1836" s="79">
        <f>IF(X1836="Sin Pago","",IFERROR(INDEX(Pagos_Odoo!$F:$F, MATCH(X1836, Pagos_Odoo!$B:$B, 0)), ""))</f>
        <v/>
      </c>
      <c r="AB1836" s="81">
        <f>IF(X1836="Sin Pago",0,IFERROR(INDEX(Pagos_Odoo!$E:$E, MATCH(X1836, Pagos_Odoo!$B:$B, 0)), 0))</f>
        <v/>
      </c>
      <c r="AC1836" s="79">
        <f>IF(X1836="Sin Pago","",IFERROR(INDEX(Pagos_Odoo!$G:$G, MATCH(X1836, Pagos_Odoo!$B:$B, 0)), ""))</f>
        <v/>
      </c>
      <c r="AD1836" s="82" t="n">
        <v>0</v>
      </c>
      <c r="AE1836" s="82" t="n"/>
      <c r="AF1836" s="82" t="n"/>
      <c r="AG1836" s="82">
        <f>IF(AN1836="","",AD1836+AE1836+AF1836)</f>
        <v/>
      </c>
      <c r="AH1836" s="81">
        <f>IF(AN1836="","",P1836*(1-AG1836))</f>
        <v/>
      </c>
      <c r="AI1836" s="81">
        <f>IF(AN1836="","",IF(Q1836="Sin Factura",0,IFERROR(INDEX(Facturas_Odoo!$H:$H, MATCH(Q1836, Facturas_Odoo!$B:$B, 0)), 0)*(1-AG1836)))</f>
        <v/>
      </c>
      <c r="AJ1836" s="81">
        <f>IF(AN1836="","",_xlfn.LET(idVenta, AN1836&amp;"",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36" s="81">
        <f>IF(AN1836="","",AH1836-AJ1836)</f>
        <v/>
      </c>
      <c r="AL1836" s="81">
        <f>IF(AN1836="","",IF(Q1836="Sin Factura","",AI1836-AJ1836))</f>
        <v/>
      </c>
      <c r="AM1836" s="81">
        <f>IF(AN1836="","",IF(Q1836="Sin Factura",0,P1836-IFERROR(INDEX(Facturas_Odoo!$H:$H, MATCH(Q1836, Facturas_Odoo!$B:$B, 0)), 0)))</f>
        <v/>
      </c>
      <c r="AN1836" s="79">
        <f>IF(AND(A1836="", J1836=""), "", IF(A1836&lt;&gt;"", VALUE(MID(A1836,2,LEN(A1836))), AN1835))</f>
        <v/>
      </c>
      <c r="AO1836" s="79">
        <f>IF(AN1836="","",IF(AD1836=0,"OK",_xlfn.LET(monedaPago, IF(AA1836="","USD",AA1836), limitePermitido, IFERROR(VLOOKUP(monedaPago, Configuración!$A$2:$B$3, 2, FALSE), 0.15), IF(AD1836&gt;limitePermitido, "ALERTA: EXCESO (" &amp; TEXT(limitePermitido, "0%") &amp; " máx)", "OK"))))</f>
        <v/>
      </c>
      <c r="AP1836" s="79">
        <f>IF(AN1836="","",IF(AE1836=0,"OK",_xlfn.LET(fechaPago, Z1836, fechaFactura, R1836, diasCredito, IF(E1836="Pago inmediato", 0, IFERROR(VALUE(MID(E1836, 1, SEARCH(" ", E1836)-1)),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36" s="79">
        <f>IF(AN1836="","",IF(AND(N1836&gt;0, AG1836&gt;0), IF(Configuración!$K$2="NO", "ALERTA: DESCUENTO DOBLE NO PERMITIDO", "OK"), "OK"))</f>
        <v/>
      </c>
      <c r="AR1836" s="79">
        <f>IF(AN1836="","",IF(OR(AO1836&lt;&gt;"OK", AP1836&lt;&gt;"OK", AQ1836&lt;&gt;"OK"), "⚠️ REVISAR", "OK"))</f>
        <v/>
      </c>
    </row>
    <row r="1837">
      <c r="A1837" s="79">
        <f>IF('Ordenes_Odoo'!A1837="","",'Ordenes_Odoo'!A1837)</f>
        <v/>
      </c>
      <c r="B1837" s="80">
        <f>IF('Ordenes_Odoo'!B1837="","",'Ordenes_Odoo'!B1837)</f>
        <v/>
      </c>
      <c r="C1837" s="79">
        <f>IF('Ordenes_Odoo'!C1837="","",'Ordenes_Odoo'!C1837)</f>
        <v/>
      </c>
      <c r="D1837" s="79">
        <f>IF('Ordenes_Odoo'!D1837="","",'Ordenes_Odoo'!D1837)</f>
        <v/>
      </c>
      <c r="E1837" s="79">
        <f>IF('Ordenes_Odoo'!E1837="","",'Ordenes_Odoo'!E1837)</f>
        <v/>
      </c>
      <c r="F1837" s="79">
        <f>IF('Ordenes_Odoo'!F1837="","",'Ordenes_Odoo'!F1837)</f>
        <v/>
      </c>
      <c r="G1837" s="79">
        <f>IF('Ordenes_Odoo'!G1837="","",'Ordenes_Odoo'!G1837)</f>
        <v/>
      </c>
      <c r="H1837" s="79">
        <f>IF('Ordenes_Odoo'!H1837="","",'Ordenes_Odoo'!H1837)</f>
        <v/>
      </c>
      <c r="I1837" s="79">
        <f>IF('Ordenes_Odoo'!I1837="","",'Ordenes_Odoo'!I1837)</f>
        <v/>
      </c>
      <c r="J1837" s="79">
        <f>IF('Ordenes_Odoo'!J1837="","",'Ordenes_Odoo'!J1837)</f>
        <v/>
      </c>
      <c r="K1837" s="81">
        <f>IF('Ordenes_Odoo'!K1837="","",'Ordenes_Odoo'!K1837)</f>
        <v/>
      </c>
      <c r="L1837" s="81">
        <f>IF('Ordenes_Odoo'!L1837="","",'Ordenes_Odoo'!L1837)</f>
        <v/>
      </c>
      <c r="M1837" s="79">
        <f>IF('Ordenes_Odoo'!M1837="","",'Ordenes_Odoo'!M1837)</f>
        <v/>
      </c>
      <c r="N1837" s="79">
        <f>IF('Ordenes_Odoo'!N1837="","",'Ordenes_Odoo'!N1837)</f>
        <v/>
      </c>
      <c r="O1837" s="81">
        <f>IF('Ordenes_Odoo'!O1837="","",'Ordenes_Odoo'!O1837)</f>
        <v/>
      </c>
      <c r="P1837" s="81">
        <f>IF('Ordenes_Odoo'!P1837="","",'Ordenes_Odoo'!P1837)</f>
        <v/>
      </c>
      <c r="Q1837" s="79">
        <f>IF(A1837="","",IFERROR(INDEX(Facturas_Odoo!$B:$B, MATCH(A1837, Facturas_Odoo!$D:$D, 0)), "Sin Factura"))</f>
        <v/>
      </c>
      <c r="R1837" s="80">
        <f>IF(Q1837="Sin Factura","",IFERROR(INDEX(Facturas_Odoo!$A:$A, MATCH(Q1837, Facturas_Odoo!$B:$B, 0)), ""))</f>
        <v/>
      </c>
      <c r="S1837" s="79">
        <f>IF(Q1837="Sin Factura","",IFERROR(_xlfn.XLOOKUP(1, (Facturas_Odoo!$D:$D=A1837) * (Facturas_Odoo!$K:$K=I1837), Facturas_Odoo!$L:$L, ""), ""))</f>
        <v/>
      </c>
      <c r="T1837" s="81">
        <f>IF(Q1837="Sin Factura",0,IFERROR(_xlfn.XLOOKUP(1, (Facturas_Odoo!$D:$D=A1837) * (Facturas_Odoo!$K:$K=I1837), Facturas_Odoo!$M:$M, 0), 0))</f>
        <v/>
      </c>
      <c r="U1837" s="79">
        <f>IF(Q1837="Sin Factura",0,IFERROR(_xlfn.XLOOKUP(1, (Facturas_Odoo!$D:$D=A1837) * (Facturas_Odoo!$K:$K=I1837), Facturas_Odoo!$N:$N, 0), 0))</f>
        <v/>
      </c>
      <c r="V1837" s="79">
        <f>IF(Q1837="Sin Factura",0,IFERROR(_xlfn.XLOOKUP(1, (Facturas_Odoo!$D:$D=A1837) * (Facturas_Odoo!$K:$K=I1837), Facturas_Odoo!$O:$O, 0), 0))</f>
        <v/>
      </c>
      <c r="W1837" s="81">
        <f>IF(Q1837="Sin Factura",0,IFERROR(_xlfn.XLOOKUP(1, (Facturas_Odoo!$D:$D=A1837) * (Facturas_Odoo!$K:$K=I1837), Facturas_Odoo!$Q:$Q, 0), 0))</f>
        <v/>
      </c>
      <c r="X1837" s="79">
        <f>IF(OR(Q1837="Sin Factura",Q1837=""),"",IFERROR(INDEX(Pagos_Odoo!$B:$B, MATCH(Q1837, Pagos_Odoo!$I:$I, 0)), "Sin Pago"))</f>
        <v/>
      </c>
      <c r="Y1837" s="79">
        <f>IF(X1837="Sin Pago","",IFERROR(INDEX(Pagos_Odoo!$C:$C, MATCH(X1837, Pagos_Odoo!$B:$B, 0)), ""))</f>
        <v/>
      </c>
      <c r="Z1837" s="80">
        <f>IF(X1837="Sin Pago","",IFERROR(INDEX(Pagos_Odoo!$A:$A, MATCH(X1837, Pagos_Odoo!$B:$B, 0)), ""))</f>
        <v/>
      </c>
      <c r="AA1837" s="79">
        <f>IF(X1837="Sin Pago","",IFERROR(INDEX(Pagos_Odoo!$F:$F, MATCH(X1837, Pagos_Odoo!$B:$B, 0)), ""))</f>
        <v/>
      </c>
      <c r="AB1837" s="81">
        <f>IF(X1837="Sin Pago",0,IFERROR(INDEX(Pagos_Odoo!$E:$E, MATCH(X1837, Pagos_Odoo!$B:$B, 0)), 0))</f>
        <v/>
      </c>
      <c r="AC1837" s="79">
        <f>IF(X1837="Sin Pago","",IFERROR(INDEX(Pagos_Odoo!$G:$G, MATCH(X1837, Pagos_Odoo!$B:$B, 0)), ""))</f>
        <v/>
      </c>
      <c r="AD1837" s="82" t="n">
        <v>0</v>
      </c>
      <c r="AE1837" s="82" t="n"/>
      <c r="AF1837" s="82" t="n"/>
      <c r="AG1837" s="82">
        <f>IF(AN1837="","",AD1837+AE1837+AF1837)</f>
        <v/>
      </c>
      <c r="AH1837" s="81">
        <f>IF(AN1837="","",P1837*(1-AG1837))</f>
        <v/>
      </c>
      <c r="AI1837" s="81">
        <f>IF(AN1837="","",IF(Q1837="Sin Factura",0,IFERROR(INDEX(Facturas_Odoo!$H:$H, MATCH(Q1837, Facturas_Odoo!$B:$B, 0)), 0)*(1-AG1837)))</f>
        <v/>
      </c>
      <c r="AJ1837" s="81">
        <f>IF(AN1837="","",_xlfn.LET(idVenta, AN1837&amp;"",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37" s="81">
        <f>IF(AN1837="","",AH1837-AJ1837)</f>
        <v/>
      </c>
      <c r="AL1837" s="81">
        <f>IF(AN1837="","",IF(Q1837="Sin Factura","",AI1837-AJ1837))</f>
        <v/>
      </c>
      <c r="AM1837" s="81">
        <f>IF(AN1837="","",IF(Q1837="Sin Factura",0,P1837-IFERROR(INDEX(Facturas_Odoo!$H:$H, MATCH(Q1837, Facturas_Odoo!$B:$B, 0)), 0)))</f>
        <v/>
      </c>
      <c r="AN1837" s="79">
        <f>IF(AND(A1837="", J1837=""), "", IF(A1837&lt;&gt;"", VALUE(MID(A1837,2,LEN(A1837))), AN1836))</f>
        <v/>
      </c>
      <c r="AO1837" s="79">
        <f>IF(AN1837="","",IF(AD1837=0,"OK",_xlfn.LET(monedaPago, IF(AA1837="","USD",AA1837), limitePermitido, IFERROR(VLOOKUP(monedaPago, Configuración!$A$2:$B$3, 2, FALSE), 0.15), IF(AD1837&gt;limitePermitido, "ALERTA: EXCESO (" &amp; TEXT(limitePermitido, "0%") &amp; " máx)", "OK"))))</f>
        <v/>
      </c>
      <c r="AP1837" s="79">
        <f>IF(AN1837="","",IF(AE1837=0,"OK",_xlfn.LET(fechaPago, Z1837, fechaFactura, R1837, diasCredito, IF(E1837="Pago inmediato", 0, IFERROR(VALUE(MID(E1837, 1, SEARCH(" ", E1837)-1)),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37" s="79">
        <f>IF(AN1837="","",IF(AND(N1837&gt;0, AG1837&gt;0), IF(Configuración!$K$2="NO", "ALERTA: DESCUENTO DOBLE NO PERMITIDO", "OK"), "OK"))</f>
        <v/>
      </c>
      <c r="AR1837" s="79">
        <f>IF(AN1837="","",IF(OR(AO1837&lt;&gt;"OK", AP1837&lt;&gt;"OK", AQ1837&lt;&gt;"OK"), "⚠️ REVISAR", "OK"))</f>
        <v/>
      </c>
    </row>
    <row r="1838">
      <c r="A1838" s="79">
        <f>IF('Ordenes_Odoo'!A1838="","",'Ordenes_Odoo'!A1838)</f>
        <v/>
      </c>
      <c r="B1838" s="80">
        <f>IF('Ordenes_Odoo'!B1838="","",'Ordenes_Odoo'!B1838)</f>
        <v/>
      </c>
      <c r="C1838" s="79">
        <f>IF('Ordenes_Odoo'!C1838="","",'Ordenes_Odoo'!C1838)</f>
        <v/>
      </c>
      <c r="D1838" s="79">
        <f>IF('Ordenes_Odoo'!D1838="","",'Ordenes_Odoo'!D1838)</f>
        <v/>
      </c>
      <c r="E1838" s="79">
        <f>IF('Ordenes_Odoo'!E1838="","",'Ordenes_Odoo'!E1838)</f>
        <v/>
      </c>
      <c r="F1838" s="79">
        <f>IF('Ordenes_Odoo'!F1838="","",'Ordenes_Odoo'!F1838)</f>
        <v/>
      </c>
      <c r="G1838" s="79">
        <f>IF('Ordenes_Odoo'!G1838="","",'Ordenes_Odoo'!G1838)</f>
        <v/>
      </c>
      <c r="H1838" s="79">
        <f>IF('Ordenes_Odoo'!H1838="","",'Ordenes_Odoo'!H1838)</f>
        <v/>
      </c>
      <c r="I1838" s="79">
        <f>IF('Ordenes_Odoo'!I1838="","",'Ordenes_Odoo'!I1838)</f>
        <v/>
      </c>
      <c r="J1838" s="79">
        <f>IF('Ordenes_Odoo'!J1838="","",'Ordenes_Odoo'!J1838)</f>
        <v/>
      </c>
      <c r="K1838" s="81">
        <f>IF('Ordenes_Odoo'!K1838="","",'Ordenes_Odoo'!K1838)</f>
        <v/>
      </c>
      <c r="L1838" s="81">
        <f>IF('Ordenes_Odoo'!L1838="","",'Ordenes_Odoo'!L1838)</f>
        <v/>
      </c>
      <c r="M1838" s="79">
        <f>IF('Ordenes_Odoo'!M1838="","",'Ordenes_Odoo'!M1838)</f>
        <v/>
      </c>
      <c r="N1838" s="79">
        <f>IF('Ordenes_Odoo'!N1838="","",'Ordenes_Odoo'!N1838)</f>
        <v/>
      </c>
      <c r="O1838" s="81">
        <f>IF('Ordenes_Odoo'!O1838="","",'Ordenes_Odoo'!O1838)</f>
        <v/>
      </c>
      <c r="P1838" s="81">
        <f>IF('Ordenes_Odoo'!P1838="","",'Ordenes_Odoo'!P1838)</f>
        <v/>
      </c>
      <c r="Q1838" s="79">
        <f>IF(A1838="","",IFERROR(INDEX(Facturas_Odoo!$B:$B, MATCH(A1838, Facturas_Odoo!$D:$D, 0)), "Sin Factura"))</f>
        <v/>
      </c>
      <c r="R1838" s="80">
        <f>IF(Q1838="Sin Factura","",IFERROR(INDEX(Facturas_Odoo!$A:$A, MATCH(Q1838, Facturas_Odoo!$B:$B, 0)), ""))</f>
        <v/>
      </c>
      <c r="S1838" s="79">
        <f>IF(Q1838="Sin Factura","",IFERROR(_xlfn.XLOOKUP(1, (Facturas_Odoo!$D:$D=A1838) * (Facturas_Odoo!$K:$K=I1838), Facturas_Odoo!$L:$L, ""), ""))</f>
        <v/>
      </c>
      <c r="T1838" s="81">
        <f>IF(Q1838="Sin Factura",0,IFERROR(_xlfn.XLOOKUP(1, (Facturas_Odoo!$D:$D=A1838) * (Facturas_Odoo!$K:$K=I1838), Facturas_Odoo!$M:$M, 0), 0))</f>
        <v/>
      </c>
      <c r="U1838" s="79">
        <f>IF(Q1838="Sin Factura",0,IFERROR(_xlfn.XLOOKUP(1, (Facturas_Odoo!$D:$D=A1838) * (Facturas_Odoo!$K:$K=I1838), Facturas_Odoo!$N:$N, 0), 0))</f>
        <v/>
      </c>
      <c r="V1838" s="79">
        <f>IF(Q1838="Sin Factura",0,IFERROR(_xlfn.XLOOKUP(1, (Facturas_Odoo!$D:$D=A1838) * (Facturas_Odoo!$K:$K=I1838), Facturas_Odoo!$O:$O, 0), 0))</f>
        <v/>
      </c>
      <c r="W1838" s="81">
        <f>IF(Q1838="Sin Factura",0,IFERROR(_xlfn.XLOOKUP(1, (Facturas_Odoo!$D:$D=A1838) * (Facturas_Odoo!$K:$K=I1838), Facturas_Odoo!$Q:$Q, 0), 0))</f>
        <v/>
      </c>
      <c r="X1838" s="79">
        <f>IF(OR(Q1838="Sin Factura",Q1838=""),"",IFERROR(INDEX(Pagos_Odoo!$B:$B, MATCH(Q1838, Pagos_Odoo!$I:$I, 0)), "Sin Pago"))</f>
        <v/>
      </c>
      <c r="Y1838" s="79">
        <f>IF(X1838="Sin Pago","",IFERROR(INDEX(Pagos_Odoo!$C:$C, MATCH(X1838, Pagos_Odoo!$B:$B, 0)), ""))</f>
        <v/>
      </c>
      <c r="Z1838" s="80">
        <f>IF(X1838="Sin Pago","",IFERROR(INDEX(Pagos_Odoo!$A:$A, MATCH(X1838, Pagos_Odoo!$B:$B, 0)), ""))</f>
        <v/>
      </c>
      <c r="AA1838" s="79">
        <f>IF(X1838="Sin Pago","",IFERROR(INDEX(Pagos_Odoo!$F:$F, MATCH(X1838, Pagos_Odoo!$B:$B, 0)), ""))</f>
        <v/>
      </c>
      <c r="AB1838" s="81">
        <f>IF(X1838="Sin Pago",0,IFERROR(INDEX(Pagos_Odoo!$E:$E, MATCH(X1838, Pagos_Odoo!$B:$B, 0)), 0))</f>
        <v/>
      </c>
      <c r="AC1838" s="79">
        <f>IF(X1838="Sin Pago","",IFERROR(INDEX(Pagos_Odoo!$G:$G, MATCH(X1838, Pagos_Odoo!$B:$B, 0)), ""))</f>
        <v/>
      </c>
      <c r="AD1838" s="82" t="n">
        <v>0</v>
      </c>
      <c r="AE1838" s="82" t="n"/>
      <c r="AF1838" s="82" t="n"/>
      <c r="AG1838" s="82">
        <f>IF(AN1838="","",AD1838+AE1838+AF1838)</f>
        <v/>
      </c>
      <c r="AH1838" s="81">
        <f>IF(AN1838="","",P1838*(1-AG1838))</f>
        <v/>
      </c>
      <c r="AI1838" s="81">
        <f>IF(AN1838="","",IF(Q1838="Sin Factura",0,IFERROR(INDEX(Facturas_Odoo!$H:$H, MATCH(Q1838, Facturas_Odoo!$B:$B, 0)), 0)*(1-AG1838)))</f>
        <v/>
      </c>
      <c r="AJ1838" s="81">
        <f>IF(AN1838="","",_xlfn.LET(idVenta, AN1838&amp;"",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38" s="81">
        <f>IF(AN1838="","",AH1838-AJ1838)</f>
        <v/>
      </c>
      <c r="AL1838" s="81">
        <f>IF(AN1838="","",IF(Q1838="Sin Factura","",AI1838-AJ1838))</f>
        <v/>
      </c>
      <c r="AM1838" s="81">
        <f>IF(AN1838="","",IF(Q1838="Sin Factura",0,P1838-IFERROR(INDEX(Facturas_Odoo!$H:$H, MATCH(Q1838, Facturas_Odoo!$B:$B, 0)), 0)))</f>
        <v/>
      </c>
      <c r="AN1838" s="79">
        <f>IF(AND(A1838="", J1838=""), "", IF(A1838&lt;&gt;"", VALUE(MID(A1838,2,LEN(A1838))), AN1837))</f>
        <v/>
      </c>
      <c r="AO1838" s="79">
        <f>IF(AN1838="","",IF(AD1838=0,"OK",_xlfn.LET(monedaPago, IF(AA1838="","USD",AA1838), limitePermitido, IFERROR(VLOOKUP(monedaPago, Configuración!$A$2:$B$3, 2, FALSE), 0.15), IF(AD1838&gt;limitePermitido, "ALERTA: EXCESO (" &amp; TEXT(limitePermitido, "0%") &amp; " máx)", "OK"))))</f>
        <v/>
      </c>
      <c r="AP1838" s="79">
        <f>IF(AN1838="","",IF(AE1838=0,"OK",_xlfn.LET(fechaPago, Z1838, fechaFactura, R1838, diasCredito, IF(E1838="Pago inmediato", 0, IFERROR(VALUE(MID(E1838, 1, SEARCH(" ", E1838)-1)),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38" s="79">
        <f>IF(AN1838="","",IF(AND(N1838&gt;0, AG1838&gt;0), IF(Configuración!$K$2="NO", "ALERTA: DESCUENTO DOBLE NO PERMITIDO", "OK"), "OK"))</f>
        <v/>
      </c>
      <c r="AR1838" s="79">
        <f>IF(AN1838="","",IF(OR(AO1838&lt;&gt;"OK", AP1838&lt;&gt;"OK", AQ1838&lt;&gt;"OK"), "⚠️ REVISAR", "OK"))</f>
        <v/>
      </c>
    </row>
    <row r="1839">
      <c r="A1839" s="79">
        <f>IF('Ordenes_Odoo'!A1839="","",'Ordenes_Odoo'!A1839)</f>
        <v/>
      </c>
      <c r="B1839" s="80">
        <f>IF('Ordenes_Odoo'!B1839="","",'Ordenes_Odoo'!B1839)</f>
        <v/>
      </c>
      <c r="C1839" s="79">
        <f>IF('Ordenes_Odoo'!C1839="","",'Ordenes_Odoo'!C1839)</f>
        <v/>
      </c>
      <c r="D1839" s="79">
        <f>IF('Ordenes_Odoo'!D1839="","",'Ordenes_Odoo'!D1839)</f>
        <v/>
      </c>
      <c r="E1839" s="79">
        <f>IF('Ordenes_Odoo'!E1839="","",'Ordenes_Odoo'!E1839)</f>
        <v/>
      </c>
      <c r="F1839" s="79">
        <f>IF('Ordenes_Odoo'!F1839="","",'Ordenes_Odoo'!F1839)</f>
        <v/>
      </c>
      <c r="G1839" s="79">
        <f>IF('Ordenes_Odoo'!G1839="","",'Ordenes_Odoo'!G1839)</f>
        <v/>
      </c>
      <c r="H1839" s="79">
        <f>IF('Ordenes_Odoo'!H1839="","",'Ordenes_Odoo'!H1839)</f>
        <v/>
      </c>
      <c r="I1839" s="79">
        <f>IF('Ordenes_Odoo'!I1839="","",'Ordenes_Odoo'!I1839)</f>
        <v/>
      </c>
      <c r="J1839" s="79">
        <f>IF('Ordenes_Odoo'!J1839="","",'Ordenes_Odoo'!J1839)</f>
        <v/>
      </c>
      <c r="K1839" s="81">
        <f>IF('Ordenes_Odoo'!K1839="","",'Ordenes_Odoo'!K1839)</f>
        <v/>
      </c>
      <c r="L1839" s="81">
        <f>IF('Ordenes_Odoo'!L1839="","",'Ordenes_Odoo'!L1839)</f>
        <v/>
      </c>
      <c r="M1839" s="79">
        <f>IF('Ordenes_Odoo'!M1839="","",'Ordenes_Odoo'!M1839)</f>
        <v/>
      </c>
      <c r="N1839" s="79">
        <f>IF('Ordenes_Odoo'!N1839="","",'Ordenes_Odoo'!N1839)</f>
        <v/>
      </c>
      <c r="O1839" s="81">
        <f>IF('Ordenes_Odoo'!O1839="","",'Ordenes_Odoo'!O1839)</f>
        <v/>
      </c>
      <c r="P1839" s="81">
        <f>IF('Ordenes_Odoo'!P1839="","",'Ordenes_Odoo'!P1839)</f>
        <v/>
      </c>
      <c r="Q1839" s="79">
        <f>IF(A1839="","",IFERROR(INDEX(Facturas_Odoo!$B:$B, MATCH(A1839, Facturas_Odoo!$D:$D, 0)), "Sin Factura"))</f>
        <v/>
      </c>
      <c r="R1839" s="80">
        <f>IF(Q1839="Sin Factura","",IFERROR(INDEX(Facturas_Odoo!$A:$A, MATCH(Q1839, Facturas_Odoo!$B:$B, 0)), ""))</f>
        <v/>
      </c>
      <c r="S1839" s="79">
        <f>IF(Q1839="Sin Factura","",IFERROR(_xlfn.XLOOKUP(1, (Facturas_Odoo!$D:$D=A1839) * (Facturas_Odoo!$K:$K=I1839), Facturas_Odoo!$L:$L, ""), ""))</f>
        <v/>
      </c>
      <c r="T1839" s="81">
        <f>IF(Q1839="Sin Factura",0,IFERROR(_xlfn.XLOOKUP(1, (Facturas_Odoo!$D:$D=A1839) * (Facturas_Odoo!$K:$K=I1839), Facturas_Odoo!$M:$M, 0), 0))</f>
        <v/>
      </c>
      <c r="U1839" s="79">
        <f>IF(Q1839="Sin Factura",0,IFERROR(_xlfn.XLOOKUP(1, (Facturas_Odoo!$D:$D=A1839) * (Facturas_Odoo!$K:$K=I1839), Facturas_Odoo!$N:$N, 0), 0))</f>
        <v/>
      </c>
      <c r="V1839" s="79">
        <f>IF(Q1839="Sin Factura",0,IFERROR(_xlfn.XLOOKUP(1, (Facturas_Odoo!$D:$D=A1839) * (Facturas_Odoo!$K:$K=I1839), Facturas_Odoo!$O:$O, 0), 0))</f>
        <v/>
      </c>
      <c r="W1839" s="81">
        <f>IF(Q1839="Sin Factura",0,IFERROR(_xlfn.XLOOKUP(1, (Facturas_Odoo!$D:$D=A1839) * (Facturas_Odoo!$K:$K=I1839), Facturas_Odoo!$Q:$Q, 0), 0))</f>
        <v/>
      </c>
      <c r="X1839" s="79">
        <f>IF(OR(Q1839="Sin Factura",Q1839=""),"",IFERROR(INDEX(Pagos_Odoo!$B:$B, MATCH(Q1839, Pagos_Odoo!$I:$I, 0)), "Sin Pago"))</f>
        <v/>
      </c>
      <c r="Y1839" s="79">
        <f>IF(X1839="Sin Pago","",IFERROR(INDEX(Pagos_Odoo!$C:$C, MATCH(X1839, Pagos_Odoo!$B:$B, 0)), ""))</f>
        <v/>
      </c>
      <c r="Z1839" s="80">
        <f>IF(X1839="Sin Pago","",IFERROR(INDEX(Pagos_Odoo!$A:$A, MATCH(X1839, Pagos_Odoo!$B:$B, 0)), ""))</f>
        <v/>
      </c>
      <c r="AA1839" s="79">
        <f>IF(X1839="Sin Pago","",IFERROR(INDEX(Pagos_Odoo!$F:$F, MATCH(X1839, Pagos_Odoo!$B:$B, 0)), ""))</f>
        <v/>
      </c>
      <c r="AB1839" s="81">
        <f>IF(X1839="Sin Pago",0,IFERROR(INDEX(Pagos_Odoo!$E:$E, MATCH(X1839, Pagos_Odoo!$B:$B, 0)), 0))</f>
        <v/>
      </c>
      <c r="AC1839" s="79">
        <f>IF(X1839="Sin Pago","",IFERROR(INDEX(Pagos_Odoo!$G:$G, MATCH(X1839, Pagos_Odoo!$B:$B, 0)), ""))</f>
        <v/>
      </c>
      <c r="AD1839" s="82" t="n">
        <v>0</v>
      </c>
      <c r="AE1839" s="82" t="n"/>
      <c r="AF1839" s="82" t="n"/>
      <c r="AG1839" s="82">
        <f>IF(AN1839="","",AD1839+AE1839+AF1839)</f>
        <v/>
      </c>
      <c r="AH1839" s="81">
        <f>IF(AN1839="","",P1839*(1-AG1839))</f>
        <v/>
      </c>
      <c r="AI1839" s="81">
        <f>IF(AN1839="","",IF(Q1839="Sin Factura",0,IFERROR(INDEX(Facturas_Odoo!$H:$H, MATCH(Q1839, Facturas_Odoo!$B:$B, 0)), 0)*(1-AG1839)))</f>
        <v/>
      </c>
      <c r="AJ1839" s="81">
        <f>IF(AN1839="","",_xlfn.LET(idVenta, AN1839&amp;"",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39" s="81">
        <f>IF(AN1839="","",AH1839-AJ1839)</f>
        <v/>
      </c>
      <c r="AL1839" s="81">
        <f>IF(AN1839="","",IF(Q1839="Sin Factura","",AI1839-AJ1839))</f>
        <v/>
      </c>
      <c r="AM1839" s="81">
        <f>IF(AN1839="","",IF(Q1839="Sin Factura",0,P1839-IFERROR(INDEX(Facturas_Odoo!$H:$H, MATCH(Q1839, Facturas_Odoo!$B:$B, 0)), 0)))</f>
        <v/>
      </c>
      <c r="AN1839" s="79">
        <f>IF(AND(A1839="", J1839=""), "", IF(A1839&lt;&gt;"", VALUE(MID(A1839,2,LEN(A1839))), AN1838))</f>
        <v/>
      </c>
      <c r="AO1839" s="79">
        <f>IF(AN1839="","",IF(AD1839=0,"OK",_xlfn.LET(monedaPago, IF(AA1839="","USD",AA1839), limitePermitido, IFERROR(VLOOKUP(monedaPago, Configuración!$A$2:$B$3, 2, FALSE), 0.15), IF(AD1839&gt;limitePermitido, "ALERTA: EXCESO (" &amp; TEXT(limitePermitido, "0%") &amp; " máx)", "OK"))))</f>
        <v/>
      </c>
      <c r="AP1839" s="79">
        <f>IF(AN1839="","",IF(AE1839=0,"OK",_xlfn.LET(fechaPago, Z1839, fechaFactura, R1839, diasCredito, IF(E1839="Pago inmediato", 0, IFERROR(VALUE(MID(E1839, 1, SEARCH(" ", E1839)-1)),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39" s="79">
        <f>IF(AN1839="","",IF(AND(N1839&gt;0, AG1839&gt;0), IF(Configuración!$K$2="NO", "ALERTA: DESCUENTO DOBLE NO PERMITIDO", "OK"), "OK"))</f>
        <v/>
      </c>
      <c r="AR1839" s="79">
        <f>IF(AN1839="","",IF(OR(AO1839&lt;&gt;"OK", AP1839&lt;&gt;"OK", AQ1839&lt;&gt;"OK"), "⚠️ REVISAR", "OK"))</f>
        <v/>
      </c>
    </row>
    <row r="1840">
      <c r="A1840" s="79">
        <f>IF('Ordenes_Odoo'!A1840="","",'Ordenes_Odoo'!A1840)</f>
        <v/>
      </c>
      <c r="B1840" s="80">
        <f>IF('Ordenes_Odoo'!B1840="","",'Ordenes_Odoo'!B1840)</f>
        <v/>
      </c>
      <c r="C1840" s="79">
        <f>IF('Ordenes_Odoo'!C1840="","",'Ordenes_Odoo'!C1840)</f>
        <v/>
      </c>
      <c r="D1840" s="79">
        <f>IF('Ordenes_Odoo'!D1840="","",'Ordenes_Odoo'!D1840)</f>
        <v/>
      </c>
      <c r="E1840" s="79">
        <f>IF('Ordenes_Odoo'!E1840="","",'Ordenes_Odoo'!E1840)</f>
        <v/>
      </c>
      <c r="F1840" s="79">
        <f>IF('Ordenes_Odoo'!F1840="","",'Ordenes_Odoo'!F1840)</f>
        <v/>
      </c>
      <c r="G1840" s="79">
        <f>IF('Ordenes_Odoo'!G1840="","",'Ordenes_Odoo'!G1840)</f>
        <v/>
      </c>
      <c r="H1840" s="79">
        <f>IF('Ordenes_Odoo'!H1840="","",'Ordenes_Odoo'!H1840)</f>
        <v/>
      </c>
      <c r="I1840" s="79">
        <f>IF('Ordenes_Odoo'!I1840="","",'Ordenes_Odoo'!I1840)</f>
        <v/>
      </c>
      <c r="J1840" s="79">
        <f>IF('Ordenes_Odoo'!J1840="","",'Ordenes_Odoo'!J1840)</f>
        <v/>
      </c>
      <c r="K1840" s="81">
        <f>IF('Ordenes_Odoo'!K1840="","",'Ordenes_Odoo'!K1840)</f>
        <v/>
      </c>
      <c r="L1840" s="81">
        <f>IF('Ordenes_Odoo'!L1840="","",'Ordenes_Odoo'!L1840)</f>
        <v/>
      </c>
      <c r="M1840" s="79">
        <f>IF('Ordenes_Odoo'!M1840="","",'Ordenes_Odoo'!M1840)</f>
        <v/>
      </c>
      <c r="N1840" s="79">
        <f>IF('Ordenes_Odoo'!N1840="","",'Ordenes_Odoo'!N1840)</f>
        <v/>
      </c>
      <c r="O1840" s="81">
        <f>IF('Ordenes_Odoo'!O1840="","",'Ordenes_Odoo'!O1840)</f>
        <v/>
      </c>
      <c r="P1840" s="81">
        <f>IF('Ordenes_Odoo'!P1840="","",'Ordenes_Odoo'!P1840)</f>
        <v/>
      </c>
      <c r="Q1840" s="79">
        <f>IF(A1840="","",IFERROR(INDEX(Facturas_Odoo!$B:$B, MATCH(A1840, Facturas_Odoo!$D:$D, 0)), "Sin Factura"))</f>
        <v/>
      </c>
      <c r="R1840" s="80">
        <f>IF(Q1840="Sin Factura","",IFERROR(INDEX(Facturas_Odoo!$A:$A, MATCH(Q1840, Facturas_Odoo!$B:$B, 0)), ""))</f>
        <v/>
      </c>
      <c r="S1840" s="79">
        <f>IF(Q1840="Sin Factura","",IFERROR(_xlfn.XLOOKUP(1, (Facturas_Odoo!$D:$D=A1840) * (Facturas_Odoo!$K:$K=I1840), Facturas_Odoo!$L:$L, ""), ""))</f>
        <v/>
      </c>
      <c r="T1840" s="81">
        <f>IF(Q1840="Sin Factura",0,IFERROR(_xlfn.XLOOKUP(1, (Facturas_Odoo!$D:$D=A1840) * (Facturas_Odoo!$K:$K=I1840), Facturas_Odoo!$M:$M, 0), 0))</f>
        <v/>
      </c>
      <c r="U1840" s="79">
        <f>IF(Q1840="Sin Factura",0,IFERROR(_xlfn.XLOOKUP(1, (Facturas_Odoo!$D:$D=A1840) * (Facturas_Odoo!$K:$K=I1840), Facturas_Odoo!$N:$N, 0), 0))</f>
        <v/>
      </c>
      <c r="V1840" s="79">
        <f>IF(Q1840="Sin Factura",0,IFERROR(_xlfn.XLOOKUP(1, (Facturas_Odoo!$D:$D=A1840) * (Facturas_Odoo!$K:$K=I1840), Facturas_Odoo!$O:$O, 0), 0))</f>
        <v/>
      </c>
      <c r="W1840" s="81">
        <f>IF(Q1840="Sin Factura",0,IFERROR(_xlfn.XLOOKUP(1, (Facturas_Odoo!$D:$D=A1840) * (Facturas_Odoo!$K:$K=I1840), Facturas_Odoo!$Q:$Q, 0), 0))</f>
        <v/>
      </c>
      <c r="X1840" s="79">
        <f>IF(OR(Q1840="Sin Factura",Q1840=""),"",IFERROR(INDEX(Pagos_Odoo!$B:$B, MATCH(Q1840, Pagos_Odoo!$I:$I, 0)), "Sin Pago"))</f>
        <v/>
      </c>
      <c r="Y1840" s="79">
        <f>IF(X1840="Sin Pago","",IFERROR(INDEX(Pagos_Odoo!$C:$C, MATCH(X1840, Pagos_Odoo!$B:$B, 0)), ""))</f>
        <v/>
      </c>
      <c r="Z1840" s="80">
        <f>IF(X1840="Sin Pago","",IFERROR(INDEX(Pagos_Odoo!$A:$A, MATCH(X1840, Pagos_Odoo!$B:$B, 0)), ""))</f>
        <v/>
      </c>
      <c r="AA1840" s="79">
        <f>IF(X1840="Sin Pago","",IFERROR(INDEX(Pagos_Odoo!$F:$F, MATCH(X1840, Pagos_Odoo!$B:$B, 0)), ""))</f>
        <v/>
      </c>
      <c r="AB1840" s="81">
        <f>IF(X1840="Sin Pago",0,IFERROR(INDEX(Pagos_Odoo!$E:$E, MATCH(X1840, Pagos_Odoo!$B:$B, 0)), 0))</f>
        <v/>
      </c>
      <c r="AC1840" s="79">
        <f>IF(X1840="Sin Pago","",IFERROR(INDEX(Pagos_Odoo!$G:$G, MATCH(X1840, Pagos_Odoo!$B:$B, 0)), ""))</f>
        <v/>
      </c>
      <c r="AD1840" s="82" t="n">
        <v>0</v>
      </c>
      <c r="AE1840" s="82" t="n"/>
      <c r="AF1840" s="82" t="n"/>
      <c r="AG1840" s="82">
        <f>IF(AN1840="","",AD1840+AE1840+AF1840)</f>
        <v/>
      </c>
      <c r="AH1840" s="81">
        <f>IF(AN1840="","",P1840*(1-AG1840))</f>
        <v/>
      </c>
      <c r="AI1840" s="81">
        <f>IF(AN1840="","",IF(Q1840="Sin Factura",0,IFERROR(INDEX(Facturas_Odoo!$H:$H, MATCH(Q1840, Facturas_Odoo!$B:$B, 0)), 0)*(1-AG1840)))</f>
        <v/>
      </c>
      <c r="AJ1840" s="81">
        <f>IF(AN1840="","",_xlfn.LET(idVenta, AN1840&amp;"",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40" s="81">
        <f>IF(AN1840="","",AH1840-AJ1840)</f>
        <v/>
      </c>
      <c r="AL1840" s="81">
        <f>IF(AN1840="","",IF(Q1840="Sin Factura","",AI1840-AJ1840))</f>
        <v/>
      </c>
      <c r="AM1840" s="81">
        <f>IF(AN1840="","",IF(Q1840="Sin Factura",0,P1840-IFERROR(INDEX(Facturas_Odoo!$H:$H, MATCH(Q1840, Facturas_Odoo!$B:$B, 0)), 0)))</f>
        <v/>
      </c>
      <c r="AN1840" s="79">
        <f>IF(AND(A1840="", J1840=""), "", IF(A1840&lt;&gt;"", VALUE(MID(A1840,2,LEN(A1840))), AN1839))</f>
        <v/>
      </c>
      <c r="AO1840" s="79">
        <f>IF(AN1840="","",IF(AD1840=0,"OK",_xlfn.LET(monedaPago, IF(AA1840="","USD",AA1840), limitePermitido, IFERROR(VLOOKUP(monedaPago, Configuración!$A$2:$B$3, 2, FALSE), 0.15), IF(AD1840&gt;limitePermitido, "ALERTA: EXCESO (" &amp; TEXT(limitePermitido, "0%") &amp; " máx)", "OK"))))</f>
        <v/>
      </c>
      <c r="AP1840" s="79">
        <f>IF(AN1840="","",IF(AE1840=0,"OK",_xlfn.LET(fechaPago, Z1840, fechaFactura, R1840, diasCredito, IF(E1840="Pago inmediato", 0, IFERROR(VALUE(MID(E1840, 1, SEARCH(" ", E1840)-1)),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40" s="79">
        <f>IF(AN1840="","",IF(AND(N1840&gt;0, AG1840&gt;0), IF(Configuración!$K$2="NO", "ALERTA: DESCUENTO DOBLE NO PERMITIDO", "OK"), "OK"))</f>
        <v/>
      </c>
      <c r="AR1840" s="79">
        <f>IF(AN1840="","",IF(OR(AO1840&lt;&gt;"OK", AP1840&lt;&gt;"OK", AQ1840&lt;&gt;"OK"), "⚠️ REVISAR", "OK"))</f>
        <v/>
      </c>
    </row>
    <row r="1841">
      <c r="A1841" s="79">
        <f>IF('Ordenes_Odoo'!A1841="","",'Ordenes_Odoo'!A1841)</f>
        <v/>
      </c>
      <c r="B1841" s="80">
        <f>IF('Ordenes_Odoo'!B1841="","",'Ordenes_Odoo'!B1841)</f>
        <v/>
      </c>
      <c r="C1841" s="79">
        <f>IF('Ordenes_Odoo'!C1841="","",'Ordenes_Odoo'!C1841)</f>
        <v/>
      </c>
      <c r="D1841" s="79">
        <f>IF('Ordenes_Odoo'!D1841="","",'Ordenes_Odoo'!D1841)</f>
        <v/>
      </c>
      <c r="E1841" s="79">
        <f>IF('Ordenes_Odoo'!E1841="","",'Ordenes_Odoo'!E1841)</f>
        <v/>
      </c>
      <c r="F1841" s="79">
        <f>IF('Ordenes_Odoo'!F1841="","",'Ordenes_Odoo'!F1841)</f>
        <v/>
      </c>
      <c r="G1841" s="79">
        <f>IF('Ordenes_Odoo'!G1841="","",'Ordenes_Odoo'!G1841)</f>
        <v/>
      </c>
      <c r="H1841" s="79">
        <f>IF('Ordenes_Odoo'!H1841="","",'Ordenes_Odoo'!H1841)</f>
        <v/>
      </c>
      <c r="I1841" s="79">
        <f>IF('Ordenes_Odoo'!I1841="","",'Ordenes_Odoo'!I1841)</f>
        <v/>
      </c>
      <c r="J1841" s="79">
        <f>IF('Ordenes_Odoo'!J1841="","",'Ordenes_Odoo'!J1841)</f>
        <v/>
      </c>
      <c r="K1841" s="81">
        <f>IF('Ordenes_Odoo'!K1841="","",'Ordenes_Odoo'!K1841)</f>
        <v/>
      </c>
      <c r="L1841" s="81">
        <f>IF('Ordenes_Odoo'!L1841="","",'Ordenes_Odoo'!L1841)</f>
        <v/>
      </c>
      <c r="M1841" s="79">
        <f>IF('Ordenes_Odoo'!M1841="","",'Ordenes_Odoo'!M1841)</f>
        <v/>
      </c>
      <c r="N1841" s="79">
        <f>IF('Ordenes_Odoo'!N1841="","",'Ordenes_Odoo'!N1841)</f>
        <v/>
      </c>
      <c r="O1841" s="81">
        <f>IF('Ordenes_Odoo'!O1841="","",'Ordenes_Odoo'!O1841)</f>
        <v/>
      </c>
      <c r="P1841" s="81">
        <f>IF('Ordenes_Odoo'!P1841="","",'Ordenes_Odoo'!P1841)</f>
        <v/>
      </c>
      <c r="Q1841" s="79">
        <f>IF(A1841="","",IFERROR(INDEX(Facturas_Odoo!$B:$B, MATCH(A1841, Facturas_Odoo!$D:$D, 0)), "Sin Factura"))</f>
        <v/>
      </c>
      <c r="R1841" s="80">
        <f>IF(Q1841="Sin Factura","",IFERROR(INDEX(Facturas_Odoo!$A:$A, MATCH(Q1841, Facturas_Odoo!$B:$B, 0)), ""))</f>
        <v/>
      </c>
      <c r="S1841" s="79">
        <f>IF(Q1841="Sin Factura","",IFERROR(_xlfn.XLOOKUP(1, (Facturas_Odoo!$D:$D=A1841) * (Facturas_Odoo!$K:$K=I1841), Facturas_Odoo!$L:$L, ""), ""))</f>
        <v/>
      </c>
      <c r="T1841" s="81">
        <f>IF(Q1841="Sin Factura",0,IFERROR(_xlfn.XLOOKUP(1, (Facturas_Odoo!$D:$D=A1841) * (Facturas_Odoo!$K:$K=I1841), Facturas_Odoo!$M:$M, 0), 0))</f>
        <v/>
      </c>
      <c r="U1841" s="79">
        <f>IF(Q1841="Sin Factura",0,IFERROR(_xlfn.XLOOKUP(1, (Facturas_Odoo!$D:$D=A1841) * (Facturas_Odoo!$K:$K=I1841), Facturas_Odoo!$N:$N, 0), 0))</f>
        <v/>
      </c>
      <c r="V1841" s="79">
        <f>IF(Q1841="Sin Factura",0,IFERROR(_xlfn.XLOOKUP(1, (Facturas_Odoo!$D:$D=A1841) * (Facturas_Odoo!$K:$K=I1841), Facturas_Odoo!$O:$O, 0), 0))</f>
        <v/>
      </c>
      <c r="W1841" s="81">
        <f>IF(Q1841="Sin Factura",0,IFERROR(_xlfn.XLOOKUP(1, (Facturas_Odoo!$D:$D=A1841) * (Facturas_Odoo!$K:$K=I1841), Facturas_Odoo!$Q:$Q, 0), 0))</f>
        <v/>
      </c>
      <c r="X1841" s="79">
        <f>IF(OR(Q1841="Sin Factura",Q1841=""),"",IFERROR(INDEX(Pagos_Odoo!$B:$B, MATCH(Q1841, Pagos_Odoo!$I:$I, 0)), "Sin Pago"))</f>
        <v/>
      </c>
      <c r="Y1841" s="79">
        <f>IF(X1841="Sin Pago","",IFERROR(INDEX(Pagos_Odoo!$C:$C, MATCH(X1841, Pagos_Odoo!$B:$B, 0)), ""))</f>
        <v/>
      </c>
      <c r="Z1841" s="80">
        <f>IF(X1841="Sin Pago","",IFERROR(INDEX(Pagos_Odoo!$A:$A, MATCH(X1841, Pagos_Odoo!$B:$B, 0)), ""))</f>
        <v/>
      </c>
      <c r="AA1841" s="79">
        <f>IF(X1841="Sin Pago","",IFERROR(INDEX(Pagos_Odoo!$F:$F, MATCH(X1841, Pagos_Odoo!$B:$B, 0)), ""))</f>
        <v/>
      </c>
      <c r="AB1841" s="81">
        <f>IF(X1841="Sin Pago",0,IFERROR(INDEX(Pagos_Odoo!$E:$E, MATCH(X1841, Pagos_Odoo!$B:$B, 0)), 0))</f>
        <v/>
      </c>
      <c r="AC1841" s="79">
        <f>IF(X1841="Sin Pago","",IFERROR(INDEX(Pagos_Odoo!$G:$G, MATCH(X1841, Pagos_Odoo!$B:$B, 0)), ""))</f>
        <v/>
      </c>
      <c r="AD1841" s="82" t="n">
        <v>0</v>
      </c>
      <c r="AE1841" s="82" t="n"/>
      <c r="AF1841" s="82" t="n"/>
      <c r="AG1841" s="82">
        <f>IF(AN1841="","",AD1841+AE1841+AF1841)</f>
        <v/>
      </c>
      <c r="AH1841" s="81">
        <f>IF(AN1841="","",P1841*(1-AG1841))</f>
        <v/>
      </c>
      <c r="AI1841" s="81">
        <f>IF(AN1841="","",IF(Q1841="Sin Factura",0,IFERROR(INDEX(Facturas_Odoo!$H:$H, MATCH(Q1841, Facturas_Odoo!$B:$B, 0)), 0)*(1-AG1841)))</f>
        <v/>
      </c>
      <c r="AJ1841" s="81">
        <f>IF(AN1841="","",_xlfn.LET(idVenta, AN1841&amp;"",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41" s="81">
        <f>IF(AN1841="","",AH1841-AJ1841)</f>
        <v/>
      </c>
      <c r="AL1841" s="81">
        <f>IF(AN1841="","",IF(Q1841="Sin Factura","",AI1841-AJ1841))</f>
        <v/>
      </c>
      <c r="AM1841" s="81">
        <f>IF(AN1841="","",IF(Q1841="Sin Factura",0,P1841-IFERROR(INDEX(Facturas_Odoo!$H:$H, MATCH(Q1841, Facturas_Odoo!$B:$B, 0)), 0)))</f>
        <v/>
      </c>
      <c r="AN1841" s="79">
        <f>IF(AND(A1841="", J1841=""), "", IF(A1841&lt;&gt;"", VALUE(MID(A1841,2,LEN(A1841))), AN1840))</f>
        <v/>
      </c>
      <c r="AO1841" s="79">
        <f>IF(AN1841="","",IF(AD1841=0,"OK",_xlfn.LET(monedaPago, IF(AA1841="","USD",AA1841), limitePermitido, IFERROR(VLOOKUP(monedaPago, Configuración!$A$2:$B$3, 2, FALSE), 0.15), IF(AD1841&gt;limitePermitido, "ALERTA: EXCESO (" &amp; TEXT(limitePermitido, "0%") &amp; " máx)", "OK"))))</f>
        <v/>
      </c>
      <c r="AP1841" s="79">
        <f>IF(AN1841="","",IF(AE1841=0,"OK",_xlfn.LET(fechaPago, Z1841, fechaFactura, R1841, diasCredito, IF(E1841="Pago inmediato", 0, IFERROR(VALUE(MID(E1841, 1, SEARCH(" ", E1841)-1)),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41" s="79">
        <f>IF(AN1841="","",IF(AND(N1841&gt;0, AG1841&gt;0), IF(Configuración!$K$2="NO", "ALERTA: DESCUENTO DOBLE NO PERMITIDO", "OK"), "OK"))</f>
        <v/>
      </c>
      <c r="AR1841" s="79">
        <f>IF(AN1841="","",IF(OR(AO1841&lt;&gt;"OK", AP1841&lt;&gt;"OK", AQ1841&lt;&gt;"OK"), "⚠️ REVISAR", "OK"))</f>
        <v/>
      </c>
    </row>
    <row r="1842">
      <c r="A1842" s="79">
        <f>IF('Ordenes_Odoo'!A1842="","",'Ordenes_Odoo'!A1842)</f>
        <v/>
      </c>
      <c r="B1842" s="80">
        <f>IF('Ordenes_Odoo'!B1842="","",'Ordenes_Odoo'!B1842)</f>
        <v/>
      </c>
      <c r="C1842" s="79">
        <f>IF('Ordenes_Odoo'!C1842="","",'Ordenes_Odoo'!C1842)</f>
        <v/>
      </c>
      <c r="D1842" s="79">
        <f>IF('Ordenes_Odoo'!D1842="","",'Ordenes_Odoo'!D1842)</f>
        <v/>
      </c>
      <c r="E1842" s="79">
        <f>IF('Ordenes_Odoo'!E1842="","",'Ordenes_Odoo'!E1842)</f>
        <v/>
      </c>
      <c r="F1842" s="79">
        <f>IF('Ordenes_Odoo'!F1842="","",'Ordenes_Odoo'!F1842)</f>
        <v/>
      </c>
      <c r="G1842" s="79">
        <f>IF('Ordenes_Odoo'!G1842="","",'Ordenes_Odoo'!G1842)</f>
        <v/>
      </c>
      <c r="H1842" s="79">
        <f>IF('Ordenes_Odoo'!H1842="","",'Ordenes_Odoo'!H1842)</f>
        <v/>
      </c>
      <c r="I1842" s="79">
        <f>IF('Ordenes_Odoo'!I1842="","",'Ordenes_Odoo'!I1842)</f>
        <v/>
      </c>
      <c r="J1842" s="79">
        <f>IF('Ordenes_Odoo'!J1842="","",'Ordenes_Odoo'!J1842)</f>
        <v/>
      </c>
      <c r="K1842" s="81">
        <f>IF('Ordenes_Odoo'!K1842="","",'Ordenes_Odoo'!K1842)</f>
        <v/>
      </c>
      <c r="L1842" s="81">
        <f>IF('Ordenes_Odoo'!L1842="","",'Ordenes_Odoo'!L1842)</f>
        <v/>
      </c>
      <c r="M1842" s="79">
        <f>IF('Ordenes_Odoo'!M1842="","",'Ordenes_Odoo'!M1842)</f>
        <v/>
      </c>
      <c r="N1842" s="79">
        <f>IF('Ordenes_Odoo'!N1842="","",'Ordenes_Odoo'!N1842)</f>
        <v/>
      </c>
      <c r="O1842" s="81">
        <f>IF('Ordenes_Odoo'!O1842="","",'Ordenes_Odoo'!O1842)</f>
        <v/>
      </c>
      <c r="P1842" s="81">
        <f>IF('Ordenes_Odoo'!P1842="","",'Ordenes_Odoo'!P1842)</f>
        <v/>
      </c>
      <c r="Q1842" s="79">
        <f>IF(A1842="","",IFERROR(INDEX(Facturas_Odoo!$B:$B, MATCH(A1842, Facturas_Odoo!$D:$D, 0)), "Sin Factura"))</f>
        <v/>
      </c>
      <c r="R1842" s="80">
        <f>IF(Q1842="Sin Factura","",IFERROR(INDEX(Facturas_Odoo!$A:$A, MATCH(Q1842, Facturas_Odoo!$B:$B, 0)), ""))</f>
        <v/>
      </c>
      <c r="S1842" s="79">
        <f>IF(Q1842="Sin Factura","",IFERROR(_xlfn.XLOOKUP(1, (Facturas_Odoo!$D:$D=A1842) * (Facturas_Odoo!$K:$K=I1842), Facturas_Odoo!$L:$L, ""), ""))</f>
        <v/>
      </c>
      <c r="T1842" s="81">
        <f>IF(Q1842="Sin Factura",0,IFERROR(_xlfn.XLOOKUP(1, (Facturas_Odoo!$D:$D=A1842) * (Facturas_Odoo!$K:$K=I1842), Facturas_Odoo!$M:$M, 0), 0))</f>
        <v/>
      </c>
      <c r="U1842" s="79">
        <f>IF(Q1842="Sin Factura",0,IFERROR(_xlfn.XLOOKUP(1, (Facturas_Odoo!$D:$D=A1842) * (Facturas_Odoo!$K:$K=I1842), Facturas_Odoo!$N:$N, 0), 0))</f>
        <v/>
      </c>
      <c r="V1842" s="79">
        <f>IF(Q1842="Sin Factura",0,IFERROR(_xlfn.XLOOKUP(1, (Facturas_Odoo!$D:$D=A1842) * (Facturas_Odoo!$K:$K=I1842), Facturas_Odoo!$O:$O, 0), 0))</f>
        <v/>
      </c>
      <c r="W1842" s="81">
        <f>IF(Q1842="Sin Factura",0,IFERROR(_xlfn.XLOOKUP(1, (Facturas_Odoo!$D:$D=A1842) * (Facturas_Odoo!$K:$K=I1842), Facturas_Odoo!$Q:$Q, 0), 0))</f>
        <v/>
      </c>
      <c r="X1842" s="79">
        <f>IF(OR(Q1842="Sin Factura",Q1842=""),"",IFERROR(INDEX(Pagos_Odoo!$B:$B, MATCH(Q1842, Pagos_Odoo!$I:$I, 0)), "Sin Pago"))</f>
        <v/>
      </c>
      <c r="Y1842" s="79">
        <f>IF(X1842="Sin Pago","",IFERROR(INDEX(Pagos_Odoo!$C:$C, MATCH(X1842, Pagos_Odoo!$B:$B, 0)), ""))</f>
        <v/>
      </c>
      <c r="Z1842" s="80">
        <f>IF(X1842="Sin Pago","",IFERROR(INDEX(Pagos_Odoo!$A:$A, MATCH(X1842, Pagos_Odoo!$B:$B, 0)), ""))</f>
        <v/>
      </c>
      <c r="AA1842" s="79">
        <f>IF(X1842="Sin Pago","",IFERROR(INDEX(Pagos_Odoo!$F:$F, MATCH(X1842, Pagos_Odoo!$B:$B, 0)), ""))</f>
        <v/>
      </c>
      <c r="AB1842" s="81">
        <f>IF(X1842="Sin Pago",0,IFERROR(INDEX(Pagos_Odoo!$E:$E, MATCH(X1842, Pagos_Odoo!$B:$B, 0)), 0))</f>
        <v/>
      </c>
      <c r="AC1842" s="79">
        <f>IF(X1842="Sin Pago","",IFERROR(INDEX(Pagos_Odoo!$G:$G, MATCH(X1842, Pagos_Odoo!$B:$B, 0)), ""))</f>
        <v/>
      </c>
      <c r="AD1842" s="82" t="n">
        <v>0</v>
      </c>
      <c r="AE1842" s="82" t="n"/>
      <c r="AF1842" s="82" t="n"/>
      <c r="AG1842" s="82">
        <f>IF(AN1842="","",AD1842+AE1842+AF1842)</f>
        <v/>
      </c>
      <c r="AH1842" s="81">
        <f>IF(AN1842="","",P1842*(1-AG1842))</f>
        <v/>
      </c>
      <c r="AI1842" s="81">
        <f>IF(AN1842="","",IF(Q1842="Sin Factura",0,IFERROR(INDEX(Facturas_Odoo!$H:$H, MATCH(Q1842, Facturas_Odoo!$B:$B, 0)), 0)*(1-AG1842)))</f>
        <v/>
      </c>
      <c r="AJ1842" s="81">
        <f>IF(AN1842="","",_xlfn.LET(idVenta, AN1842&amp;"",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42" s="81">
        <f>IF(AN1842="","",AH1842-AJ1842)</f>
        <v/>
      </c>
      <c r="AL1842" s="81">
        <f>IF(AN1842="","",IF(Q1842="Sin Factura","",AI1842-AJ1842))</f>
        <v/>
      </c>
      <c r="AM1842" s="81">
        <f>IF(AN1842="","",IF(Q1842="Sin Factura",0,P1842-IFERROR(INDEX(Facturas_Odoo!$H:$H, MATCH(Q1842, Facturas_Odoo!$B:$B, 0)), 0)))</f>
        <v/>
      </c>
      <c r="AN1842" s="79">
        <f>IF(AND(A1842="", J1842=""), "", IF(A1842&lt;&gt;"", VALUE(MID(A1842,2,LEN(A1842))), AN1841))</f>
        <v/>
      </c>
      <c r="AO1842" s="79">
        <f>IF(AN1842="","",IF(AD1842=0,"OK",_xlfn.LET(monedaPago, IF(AA1842="","USD",AA1842), limitePermitido, IFERROR(VLOOKUP(monedaPago, Configuración!$A$2:$B$3, 2, FALSE), 0.15), IF(AD1842&gt;limitePermitido, "ALERTA: EXCESO (" &amp; TEXT(limitePermitido, "0%") &amp; " máx)", "OK"))))</f>
        <v/>
      </c>
      <c r="AP1842" s="79">
        <f>IF(AN1842="","",IF(AE1842=0,"OK",_xlfn.LET(fechaPago, Z1842, fechaFactura, R1842, diasCredito, IF(E1842="Pago inmediato", 0, IFERROR(VALUE(MID(E1842, 1, SEARCH(" ", E1842)-1)),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42" s="79">
        <f>IF(AN1842="","",IF(AND(N1842&gt;0, AG1842&gt;0), IF(Configuración!$K$2="NO", "ALERTA: DESCUENTO DOBLE NO PERMITIDO", "OK"), "OK"))</f>
        <v/>
      </c>
      <c r="AR1842" s="79">
        <f>IF(AN1842="","",IF(OR(AO1842&lt;&gt;"OK", AP1842&lt;&gt;"OK", AQ1842&lt;&gt;"OK"), "⚠️ REVISAR", "OK"))</f>
        <v/>
      </c>
    </row>
    <row r="1843">
      <c r="A1843" s="79">
        <f>IF('Ordenes_Odoo'!A1843="","",'Ordenes_Odoo'!A1843)</f>
        <v/>
      </c>
      <c r="B1843" s="80">
        <f>IF('Ordenes_Odoo'!B1843="","",'Ordenes_Odoo'!B1843)</f>
        <v/>
      </c>
      <c r="C1843" s="79">
        <f>IF('Ordenes_Odoo'!C1843="","",'Ordenes_Odoo'!C1843)</f>
        <v/>
      </c>
      <c r="D1843" s="79">
        <f>IF('Ordenes_Odoo'!D1843="","",'Ordenes_Odoo'!D1843)</f>
        <v/>
      </c>
      <c r="E1843" s="79">
        <f>IF('Ordenes_Odoo'!E1843="","",'Ordenes_Odoo'!E1843)</f>
        <v/>
      </c>
      <c r="F1843" s="79">
        <f>IF('Ordenes_Odoo'!F1843="","",'Ordenes_Odoo'!F1843)</f>
        <v/>
      </c>
      <c r="G1843" s="79">
        <f>IF('Ordenes_Odoo'!G1843="","",'Ordenes_Odoo'!G1843)</f>
        <v/>
      </c>
      <c r="H1843" s="79">
        <f>IF('Ordenes_Odoo'!H1843="","",'Ordenes_Odoo'!H1843)</f>
        <v/>
      </c>
      <c r="I1843" s="79">
        <f>IF('Ordenes_Odoo'!I1843="","",'Ordenes_Odoo'!I1843)</f>
        <v/>
      </c>
      <c r="J1843" s="79">
        <f>IF('Ordenes_Odoo'!J1843="","",'Ordenes_Odoo'!J1843)</f>
        <v/>
      </c>
      <c r="K1843" s="81">
        <f>IF('Ordenes_Odoo'!K1843="","",'Ordenes_Odoo'!K1843)</f>
        <v/>
      </c>
      <c r="L1843" s="81">
        <f>IF('Ordenes_Odoo'!L1843="","",'Ordenes_Odoo'!L1843)</f>
        <v/>
      </c>
      <c r="M1843" s="79">
        <f>IF('Ordenes_Odoo'!M1843="","",'Ordenes_Odoo'!M1843)</f>
        <v/>
      </c>
      <c r="N1843" s="79">
        <f>IF('Ordenes_Odoo'!N1843="","",'Ordenes_Odoo'!N1843)</f>
        <v/>
      </c>
      <c r="O1843" s="81">
        <f>IF('Ordenes_Odoo'!O1843="","",'Ordenes_Odoo'!O1843)</f>
        <v/>
      </c>
      <c r="P1843" s="81">
        <f>IF('Ordenes_Odoo'!P1843="","",'Ordenes_Odoo'!P1843)</f>
        <v/>
      </c>
      <c r="Q1843" s="79">
        <f>IF(A1843="","",IFERROR(INDEX(Facturas_Odoo!$B:$B, MATCH(A1843, Facturas_Odoo!$D:$D, 0)), "Sin Factura"))</f>
        <v/>
      </c>
      <c r="R1843" s="80">
        <f>IF(Q1843="Sin Factura","",IFERROR(INDEX(Facturas_Odoo!$A:$A, MATCH(Q1843, Facturas_Odoo!$B:$B, 0)), ""))</f>
        <v/>
      </c>
      <c r="S1843" s="79">
        <f>IF(Q1843="Sin Factura","",IFERROR(_xlfn.XLOOKUP(1, (Facturas_Odoo!$D:$D=A1843) * (Facturas_Odoo!$K:$K=I1843), Facturas_Odoo!$L:$L, ""), ""))</f>
        <v/>
      </c>
      <c r="T1843" s="81">
        <f>IF(Q1843="Sin Factura",0,IFERROR(_xlfn.XLOOKUP(1, (Facturas_Odoo!$D:$D=A1843) * (Facturas_Odoo!$K:$K=I1843), Facturas_Odoo!$M:$M, 0), 0))</f>
        <v/>
      </c>
      <c r="U1843" s="79">
        <f>IF(Q1843="Sin Factura",0,IFERROR(_xlfn.XLOOKUP(1, (Facturas_Odoo!$D:$D=A1843) * (Facturas_Odoo!$K:$K=I1843), Facturas_Odoo!$N:$N, 0), 0))</f>
        <v/>
      </c>
      <c r="V1843" s="79">
        <f>IF(Q1843="Sin Factura",0,IFERROR(_xlfn.XLOOKUP(1, (Facturas_Odoo!$D:$D=A1843) * (Facturas_Odoo!$K:$K=I1843), Facturas_Odoo!$O:$O, 0), 0))</f>
        <v/>
      </c>
      <c r="W1843" s="81">
        <f>IF(Q1843="Sin Factura",0,IFERROR(_xlfn.XLOOKUP(1, (Facturas_Odoo!$D:$D=A1843) * (Facturas_Odoo!$K:$K=I1843), Facturas_Odoo!$Q:$Q, 0), 0))</f>
        <v/>
      </c>
      <c r="X1843" s="79">
        <f>IF(OR(Q1843="Sin Factura",Q1843=""),"",IFERROR(INDEX(Pagos_Odoo!$B:$B, MATCH(Q1843, Pagos_Odoo!$I:$I, 0)), "Sin Pago"))</f>
        <v/>
      </c>
      <c r="Y1843" s="79">
        <f>IF(X1843="Sin Pago","",IFERROR(INDEX(Pagos_Odoo!$C:$C, MATCH(X1843, Pagos_Odoo!$B:$B, 0)), ""))</f>
        <v/>
      </c>
      <c r="Z1843" s="80">
        <f>IF(X1843="Sin Pago","",IFERROR(INDEX(Pagos_Odoo!$A:$A, MATCH(X1843, Pagos_Odoo!$B:$B, 0)), ""))</f>
        <v/>
      </c>
      <c r="AA1843" s="79">
        <f>IF(X1843="Sin Pago","",IFERROR(INDEX(Pagos_Odoo!$F:$F, MATCH(X1843, Pagos_Odoo!$B:$B, 0)), ""))</f>
        <v/>
      </c>
      <c r="AB1843" s="81">
        <f>IF(X1843="Sin Pago",0,IFERROR(INDEX(Pagos_Odoo!$E:$E, MATCH(X1843, Pagos_Odoo!$B:$B, 0)), 0))</f>
        <v/>
      </c>
      <c r="AC1843" s="79">
        <f>IF(X1843="Sin Pago","",IFERROR(INDEX(Pagos_Odoo!$G:$G, MATCH(X1843, Pagos_Odoo!$B:$B, 0)), ""))</f>
        <v/>
      </c>
      <c r="AD1843" s="82" t="n">
        <v>0</v>
      </c>
      <c r="AE1843" s="82" t="n"/>
      <c r="AF1843" s="82" t="n"/>
      <c r="AG1843" s="82">
        <f>IF(AN1843="","",AD1843+AE1843+AF1843)</f>
        <v/>
      </c>
      <c r="AH1843" s="81">
        <f>IF(AN1843="","",P1843*(1-AG1843))</f>
        <v/>
      </c>
      <c r="AI1843" s="81">
        <f>IF(AN1843="","",IF(Q1843="Sin Factura",0,IFERROR(INDEX(Facturas_Odoo!$H:$H, MATCH(Q1843, Facturas_Odoo!$B:$B, 0)), 0)*(1-AG1843)))</f>
        <v/>
      </c>
      <c r="AJ1843" s="81">
        <f>IF(AN1843="","",_xlfn.LET(idVenta, AN1843&amp;"",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43" s="81">
        <f>IF(AN1843="","",AH1843-AJ1843)</f>
        <v/>
      </c>
      <c r="AL1843" s="81">
        <f>IF(AN1843="","",IF(Q1843="Sin Factura","",AI1843-AJ1843))</f>
        <v/>
      </c>
      <c r="AM1843" s="81">
        <f>IF(AN1843="","",IF(Q1843="Sin Factura",0,P1843-IFERROR(INDEX(Facturas_Odoo!$H:$H, MATCH(Q1843, Facturas_Odoo!$B:$B, 0)), 0)))</f>
        <v/>
      </c>
      <c r="AN1843" s="79">
        <f>IF(AND(A1843="", J1843=""), "", IF(A1843&lt;&gt;"", VALUE(MID(A1843,2,LEN(A1843))), AN1842))</f>
        <v/>
      </c>
      <c r="AO1843" s="79">
        <f>IF(AN1843="","",IF(AD1843=0,"OK",_xlfn.LET(monedaPago, IF(AA1843="","USD",AA1843), limitePermitido, IFERROR(VLOOKUP(monedaPago, Configuración!$A$2:$B$3, 2, FALSE), 0.15), IF(AD1843&gt;limitePermitido, "ALERTA: EXCESO (" &amp; TEXT(limitePermitido, "0%") &amp; " máx)", "OK"))))</f>
        <v/>
      </c>
      <c r="AP1843" s="79">
        <f>IF(AN1843="","",IF(AE1843=0,"OK",_xlfn.LET(fechaPago, Z1843, fechaFactura, R1843, diasCredito, IF(E1843="Pago inmediato", 0, IFERROR(VALUE(MID(E1843, 1, SEARCH(" ", E1843)-1)),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43" s="79">
        <f>IF(AN1843="","",IF(AND(N1843&gt;0, AG1843&gt;0), IF(Configuración!$K$2="NO", "ALERTA: DESCUENTO DOBLE NO PERMITIDO", "OK"), "OK"))</f>
        <v/>
      </c>
      <c r="AR1843" s="79">
        <f>IF(AN1843="","",IF(OR(AO1843&lt;&gt;"OK", AP1843&lt;&gt;"OK", AQ1843&lt;&gt;"OK"), "⚠️ REVISAR", "OK"))</f>
        <v/>
      </c>
    </row>
    <row r="1844">
      <c r="A1844" s="79">
        <f>IF('Ordenes_Odoo'!A1844="","",'Ordenes_Odoo'!A1844)</f>
        <v/>
      </c>
      <c r="B1844" s="80">
        <f>IF('Ordenes_Odoo'!B1844="","",'Ordenes_Odoo'!B1844)</f>
        <v/>
      </c>
      <c r="C1844" s="79">
        <f>IF('Ordenes_Odoo'!C1844="","",'Ordenes_Odoo'!C1844)</f>
        <v/>
      </c>
      <c r="D1844" s="79">
        <f>IF('Ordenes_Odoo'!D1844="","",'Ordenes_Odoo'!D1844)</f>
        <v/>
      </c>
      <c r="E1844" s="79">
        <f>IF('Ordenes_Odoo'!E1844="","",'Ordenes_Odoo'!E1844)</f>
        <v/>
      </c>
      <c r="F1844" s="79">
        <f>IF('Ordenes_Odoo'!F1844="","",'Ordenes_Odoo'!F1844)</f>
        <v/>
      </c>
      <c r="G1844" s="79">
        <f>IF('Ordenes_Odoo'!G1844="","",'Ordenes_Odoo'!G1844)</f>
        <v/>
      </c>
      <c r="H1844" s="79">
        <f>IF('Ordenes_Odoo'!H1844="","",'Ordenes_Odoo'!H1844)</f>
        <v/>
      </c>
      <c r="I1844" s="79">
        <f>IF('Ordenes_Odoo'!I1844="","",'Ordenes_Odoo'!I1844)</f>
        <v/>
      </c>
      <c r="J1844" s="79">
        <f>IF('Ordenes_Odoo'!J1844="","",'Ordenes_Odoo'!J1844)</f>
        <v/>
      </c>
      <c r="K1844" s="81">
        <f>IF('Ordenes_Odoo'!K1844="","",'Ordenes_Odoo'!K1844)</f>
        <v/>
      </c>
      <c r="L1844" s="81">
        <f>IF('Ordenes_Odoo'!L1844="","",'Ordenes_Odoo'!L1844)</f>
        <v/>
      </c>
      <c r="M1844" s="79">
        <f>IF('Ordenes_Odoo'!M1844="","",'Ordenes_Odoo'!M1844)</f>
        <v/>
      </c>
      <c r="N1844" s="79">
        <f>IF('Ordenes_Odoo'!N1844="","",'Ordenes_Odoo'!N1844)</f>
        <v/>
      </c>
      <c r="O1844" s="81">
        <f>IF('Ordenes_Odoo'!O1844="","",'Ordenes_Odoo'!O1844)</f>
        <v/>
      </c>
      <c r="P1844" s="81">
        <f>IF('Ordenes_Odoo'!P1844="","",'Ordenes_Odoo'!P1844)</f>
        <v/>
      </c>
      <c r="Q1844" s="79">
        <f>IF(A1844="","",IFERROR(INDEX(Facturas_Odoo!$B:$B, MATCH(A1844, Facturas_Odoo!$D:$D, 0)), "Sin Factura"))</f>
        <v/>
      </c>
      <c r="R1844" s="80">
        <f>IF(Q1844="Sin Factura","",IFERROR(INDEX(Facturas_Odoo!$A:$A, MATCH(Q1844, Facturas_Odoo!$B:$B, 0)), ""))</f>
        <v/>
      </c>
      <c r="S1844" s="79">
        <f>IF(Q1844="Sin Factura","",IFERROR(_xlfn.XLOOKUP(1, (Facturas_Odoo!$D:$D=A1844) * (Facturas_Odoo!$K:$K=I1844), Facturas_Odoo!$L:$L, ""), ""))</f>
        <v/>
      </c>
      <c r="T1844" s="81">
        <f>IF(Q1844="Sin Factura",0,IFERROR(_xlfn.XLOOKUP(1, (Facturas_Odoo!$D:$D=A1844) * (Facturas_Odoo!$K:$K=I1844), Facturas_Odoo!$M:$M, 0), 0))</f>
        <v/>
      </c>
      <c r="U1844" s="79">
        <f>IF(Q1844="Sin Factura",0,IFERROR(_xlfn.XLOOKUP(1, (Facturas_Odoo!$D:$D=A1844) * (Facturas_Odoo!$K:$K=I1844), Facturas_Odoo!$N:$N, 0), 0))</f>
        <v/>
      </c>
      <c r="V1844" s="79">
        <f>IF(Q1844="Sin Factura",0,IFERROR(_xlfn.XLOOKUP(1, (Facturas_Odoo!$D:$D=A1844) * (Facturas_Odoo!$K:$K=I1844), Facturas_Odoo!$O:$O, 0), 0))</f>
        <v/>
      </c>
      <c r="W1844" s="81">
        <f>IF(Q1844="Sin Factura",0,IFERROR(_xlfn.XLOOKUP(1, (Facturas_Odoo!$D:$D=A1844) * (Facturas_Odoo!$K:$K=I1844), Facturas_Odoo!$Q:$Q, 0), 0))</f>
        <v/>
      </c>
      <c r="X1844" s="79">
        <f>IF(OR(Q1844="Sin Factura",Q1844=""),"",IFERROR(INDEX(Pagos_Odoo!$B:$B, MATCH(Q1844, Pagos_Odoo!$I:$I, 0)), "Sin Pago"))</f>
        <v/>
      </c>
      <c r="Y1844" s="79">
        <f>IF(X1844="Sin Pago","",IFERROR(INDEX(Pagos_Odoo!$C:$C, MATCH(X1844, Pagos_Odoo!$B:$B, 0)), ""))</f>
        <v/>
      </c>
      <c r="Z1844" s="80">
        <f>IF(X1844="Sin Pago","",IFERROR(INDEX(Pagos_Odoo!$A:$A, MATCH(X1844, Pagos_Odoo!$B:$B, 0)), ""))</f>
        <v/>
      </c>
      <c r="AA1844" s="79">
        <f>IF(X1844="Sin Pago","",IFERROR(INDEX(Pagos_Odoo!$F:$F, MATCH(X1844, Pagos_Odoo!$B:$B, 0)), ""))</f>
        <v/>
      </c>
      <c r="AB1844" s="81">
        <f>IF(X1844="Sin Pago",0,IFERROR(INDEX(Pagos_Odoo!$E:$E, MATCH(X1844, Pagos_Odoo!$B:$B, 0)), 0))</f>
        <v/>
      </c>
      <c r="AC1844" s="79">
        <f>IF(X1844="Sin Pago","",IFERROR(INDEX(Pagos_Odoo!$G:$G, MATCH(X1844, Pagos_Odoo!$B:$B, 0)), ""))</f>
        <v/>
      </c>
      <c r="AD1844" s="82" t="n">
        <v>0</v>
      </c>
      <c r="AE1844" s="82" t="n"/>
      <c r="AF1844" s="82" t="n"/>
      <c r="AG1844" s="82">
        <f>IF(AN1844="","",AD1844+AE1844+AF1844)</f>
        <v/>
      </c>
      <c r="AH1844" s="81">
        <f>IF(AN1844="","",P1844*(1-AG1844))</f>
        <v/>
      </c>
      <c r="AI1844" s="81">
        <f>IF(AN1844="","",IF(Q1844="Sin Factura",0,IFERROR(INDEX(Facturas_Odoo!$H:$H, MATCH(Q1844, Facturas_Odoo!$B:$B, 0)), 0)*(1-AG1844)))</f>
        <v/>
      </c>
      <c r="AJ1844" s="81">
        <f>IF(AN1844="","",_xlfn.LET(idVenta, AN1844&amp;"",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44" s="81">
        <f>IF(AN1844="","",AH1844-AJ1844)</f>
        <v/>
      </c>
      <c r="AL1844" s="81">
        <f>IF(AN1844="","",IF(Q1844="Sin Factura","",AI1844-AJ1844))</f>
        <v/>
      </c>
      <c r="AM1844" s="81">
        <f>IF(AN1844="","",IF(Q1844="Sin Factura",0,P1844-IFERROR(INDEX(Facturas_Odoo!$H:$H, MATCH(Q1844, Facturas_Odoo!$B:$B, 0)), 0)))</f>
        <v/>
      </c>
      <c r="AN1844" s="79">
        <f>IF(AND(A1844="", J1844=""), "", IF(A1844&lt;&gt;"", VALUE(MID(A1844,2,LEN(A1844))), AN1843))</f>
        <v/>
      </c>
      <c r="AO1844" s="79">
        <f>IF(AN1844="","",IF(AD1844=0,"OK",_xlfn.LET(monedaPago, IF(AA1844="","USD",AA1844), limitePermitido, IFERROR(VLOOKUP(monedaPago, Configuración!$A$2:$B$3, 2, FALSE), 0.15), IF(AD1844&gt;limitePermitido, "ALERTA: EXCESO (" &amp; TEXT(limitePermitido, "0%") &amp; " máx)", "OK"))))</f>
        <v/>
      </c>
      <c r="AP1844" s="79">
        <f>IF(AN1844="","",IF(AE1844=0,"OK",_xlfn.LET(fechaPago, Z1844, fechaFactura, R1844, diasCredito, IF(E1844="Pago inmediato", 0, IFERROR(VALUE(MID(E1844, 1, SEARCH(" ", E1844)-1)),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44" s="79">
        <f>IF(AN1844="","",IF(AND(N1844&gt;0, AG1844&gt;0), IF(Configuración!$K$2="NO", "ALERTA: DESCUENTO DOBLE NO PERMITIDO", "OK"), "OK"))</f>
        <v/>
      </c>
      <c r="AR1844" s="79">
        <f>IF(AN1844="","",IF(OR(AO1844&lt;&gt;"OK", AP1844&lt;&gt;"OK", AQ1844&lt;&gt;"OK"), "⚠️ REVISAR", "OK"))</f>
        <v/>
      </c>
    </row>
    <row r="1845">
      <c r="A1845" s="79">
        <f>IF('Ordenes_Odoo'!A1845="","",'Ordenes_Odoo'!A1845)</f>
        <v/>
      </c>
      <c r="B1845" s="80">
        <f>IF('Ordenes_Odoo'!B1845="","",'Ordenes_Odoo'!B1845)</f>
        <v/>
      </c>
      <c r="C1845" s="79">
        <f>IF('Ordenes_Odoo'!C1845="","",'Ordenes_Odoo'!C1845)</f>
        <v/>
      </c>
      <c r="D1845" s="79">
        <f>IF('Ordenes_Odoo'!D1845="","",'Ordenes_Odoo'!D1845)</f>
        <v/>
      </c>
      <c r="E1845" s="79">
        <f>IF('Ordenes_Odoo'!E1845="","",'Ordenes_Odoo'!E1845)</f>
        <v/>
      </c>
      <c r="F1845" s="79">
        <f>IF('Ordenes_Odoo'!F1845="","",'Ordenes_Odoo'!F1845)</f>
        <v/>
      </c>
      <c r="G1845" s="79">
        <f>IF('Ordenes_Odoo'!G1845="","",'Ordenes_Odoo'!G1845)</f>
        <v/>
      </c>
      <c r="H1845" s="79">
        <f>IF('Ordenes_Odoo'!H1845="","",'Ordenes_Odoo'!H1845)</f>
        <v/>
      </c>
      <c r="I1845" s="79">
        <f>IF('Ordenes_Odoo'!I1845="","",'Ordenes_Odoo'!I1845)</f>
        <v/>
      </c>
      <c r="J1845" s="79">
        <f>IF('Ordenes_Odoo'!J1845="","",'Ordenes_Odoo'!J1845)</f>
        <v/>
      </c>
      <c r="K1845" s="81">
        <f>IF('Ordenes_Odoo'!K1845="","",'Ordenes_Odoo'!K1845)</f>
        <v/>
      </c>
      <c r="L1845" s="81">
        <f>IF('Ordenes_Odoo'!L1845="","",'Ordenes_Odoo'!L1845)</f>
        <v/>
      </c>
      <c r="M1845" s="79">
        <f>IF('Ordenes_Odoo'!M1845="","",'Ordenes_Odoo'!M1845)</f>
        <v/>
      </c>
      <c r="N1845" s="79">
        <f>IF('Ordenes_Odoo'!N1845="","",'Ordenes_Odoo'!N1845)</f>
        <v/>
      </c>
      <c r="O1845" s="81">
        <f>IF('Ordenes_Odoo'!O1845="","",'Ordenes_Odoo'!O1845)</f>
        <v/>
      </c>
      <c r="P1845" s="81">
        <f>IF('Ordenes_Odoo'!P1845="","",'Ordenes_Odoo'!P1845)</f>
        <v/>
      </c>
      <c r="Q1845" s="79">
        <f>IF(A1845="","",IFERROR(INDEX(Facturas_Odoo!$B:$B, MATCH(A1845, Facturas_Odoo!$D:$D, 0)), "Sin Factura"))</f>
        <v/>
      </c>
      <c r="R1845" s="80">
        <f>IF(Q1845="Sin Factura","",IFERROR(INDEX(Facturas_Odoo!$A:$A, MATCH(Q1845, Facturas_Odoo!$B:$B, 0)), ""))</f>
        <v/>
      </c>
      <c r="S1845" s="79">
        <f>IF(Q1845="Sin Factura","",IFERROR(_xlfn.XLOOKUP(1, (Facturas_Odoo!$D:$D=A1845) * (Facturas_Odoo!$K:$K=I1845), Facturas_Odoo!$L:$L, ""), ""))</f>
        <v/>
      </c>
      <c r="T1845" s="81">
        <f>IF(Q1845="Sin Factura",0,IFERROR(_xlfn.XLOOKUP(1, (Facturas_Odoo!$D:$D=A1845) * (Facturas_Odoo!$K:$K=I1845), Facturas_Odoo!$M:$M, 0), 0))</f>
        <v/>
      </c>
      <c r="U1845" s="79">
        <f>IF(Q1845="Sin Factura",0,IFERROR(_xlfn.XLOOKUP(1, (Facturas_Odoo!$D:$D=A1845) * (Facturas_Odoo!$K:$K=I1845), Facturas_Odoo!$N:$N, 0), 0))</f>
        <v/>
      </c>
      <c r="V1845" s="79">
        <f>IF(Q1845="Sin Factura",0,IFERROR(_xlfn.XLOOKUP(1, (Facturas_Odoo!$D:$D=A1845) * (Facturas_Odoo!$K:$K=I1845), Facturas_Odoo!$O:$O, 0), 0))</f>
        <v/>
      </c>
      <c r="W1845" s="81">
        <f>IF(Q1845="Sin Factura",0,IFERROR(_xlfn.XLOOKUP(1, (Facturas_Odoo!$D:$D=A1845) * (Facturas_Odoo!$K:$K=I1845), Facturas_Odoo!$Q:$Q, 0), 0))</f>
        <v/>
      </c>
      <c r="X1845" s="79">
        <f>IF(OR(Q1845="Sin Factura",Q1845=""),"",IFERROR(INDEX(Pagos_Odoo!$B:$B, MATCH(Q1845, Pagos_Odoo!$I:$I, 0)), "Sin Pago"))</f>
        <v/>
      </c>
      <c r="Y1845" s="79">
        <f>IF(X1845="Sin Pago","",IFERROR(INDEX(Pagos_Odoo!$C:$C, MATCH(X1845, Pagos_Odoo!$B:$B, 0)), ""))</f>
        <v/>
      </c>
      <c r="Z1845" s="80">
        <f>IF(X1845="Sin Pago","",IFERROR(INDEX(Pagos_Odoo!$A:$A, MATCH(X1845, Pagos_Odoo!$B:$B, 0)), ""))</f>
        <v/>
      </c>
      <c r="AA1845" s="79">
        <f>IF(X1845="Sin Pago","",IFERROR(INDEX(Pagos_Odoo!$F:$F, MATCH(X1845, Pagos_Odoo!$B:$B, 0)), ""))</f>
        <v/>
      </c>
      <c r="AB1845" s="81">
        <f>IF(X1845="Sin Pago",0,IFERROR(INDEX(Pagos_Odoo!$E:$E, MATCH(X1845, Pagos_Odoo!$B:$B, 0)), 0))</f>
        <v/>
      </c>
      <c r="AC1845" s="79">
        <f>IF(X1845="Sin Pago","",IFERROR(INDEX(Pagos_Odoo!$G:$G, MATCH(X1845, Pagos_Odoo!$B:$B, 0)), ""))</f>
        <v/>
      </c>
      <c r="AD1845" s="82" t="n">
        <v>0</v>
      </c>
      <c r="AE1845" s="82" t="n"/>
      <c r="AF1845" s="82" t="n"/>
      <c r="AG1845" s="82">
        <f>IF(AN1845="","",AD1845+AE1845+AF1845)</f>
        <v/>
      </c>
      <c r="AH1845" s="81">
        <f>IF(AN1845="","",P1845*(1-AG1845))</f>
        <v/>
      </c>
      <c r="AI1845" s="81">
        <f>IF(AN1845="","",IF(Q1845="Sin Factura",0,IFERROR(INDEX(Facturas_Odoo!$H:$H, MATCH(Q1845, Facturas_Odoo!$B:$B, 0)), 0)*(1-AG1845)))</f>
        <v/>
      </c>
      <c r="AJ1845" s="81">
        <f>IF(AN1845="","",_xlfn.LET(idVenta, AN1845&amp;"",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45" s="81">
        <f>IF(AN1845="","",AH1845-AJ1845)</f>
        <v/>
      </c>
      <c r="AL1845" s="81">
        <f>IF(AN1845="","",IF(Q1845="Sin Factura","",AI1845-AJ1845))</f>
        <v/>
      </c>
      <c r="AM1845" s="81">
        <f>IF(AN1845="","",IF(Q1845="Sin Factura",0,P1845-IFERROR(INDEX(Facturas_Odoo!$H:$H, MATCH(Q1845, Facturas_Odoo!$B:$B, 0)), 0)))</f>
        <v/>
      </c>
      <c r="AN1845" s="79">
        <f>IF(AND(A1845="", J1845=""), "", IF(A1845&lt;&gt;"", VALUE(MID(A1845,2,LEN(A1845))), AN1844))</f>
        <v/>
      </c>
      <c r="AO1845" s="79">
        <f>IF(AN1845="","",IF(AD1845=0,"OK",_xlfn.LET(monedaPago, IF(AA1845="","USD",AA1845), limitePermitido, IFERROR(VLOOKUP(monedaPago, Configuración!$A$2:$B$3, 2, FALSE), 0.15), IF(AD1845&gt;limitePermitido, "ALERTA: EXCESO (" &amp; TEXT(limitePermitido, "0%") &amp; " máx)", "OK"))))</f>
        <v/>
      </c>
      <c r="AP1845" s="79">
        <f>IF(AN1845="","",IF(AE1845=0,"OK",_xlfn.LET(fechaPago, Z1845, fechaFactura, R1845, diasCredito, IF(E1845="Pago inmediato", 0, IFERROR(VALUE(MID(E1845, 1, SEARCH(" ", E1845)-1)),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45" s="79">
        <f>IF(AN1845="","",IF(AND(N1845&gt;0, AG1845&gt;0), IF(Configuración!$K$2="NO", "ALERTA: DESCUENTO DOBLE NO PERMITIDO", "OK"), "OK"))</f>
        <v/>
      </c>
      <c r="AR1845" s="79">
        <f>IF(AN1845="","",IF(OR(AO1845&lt;&gt;"OK", AP1845&lt;&gt;"OK", AQ1845&lt;&gt;"OK"), "⚠️ REVISAR", "OK"))</f>
        <v/>
      </c>
    </row>
    <row r="1846">
      <c r="A1846" s="79">
        <f>IF('Ordenes_Odoo'!A1846="","",'Ordenes_Odoo'!A1846)</f>
        <v/>
      </c>
      <c r="B1846" s="80">
        <f>IF('Ordenes_Odoo'!B1846="","",'Ordenes_Odoo'!B1846)</f>
        <v/>
      </c>
      <c r="C1846" s="79">
        <f>IF('Ordenes_Odoo'!C1846="","",'Ordenes_Odoo'!C1846)</f>
        <v/>
      </c>
      <c r="D1846" s="79">
        <f>IF('Ordenes_Odoo'!D1846="","",'Ordenes_Odoo'!D1846)</f>
        <v/>
      </c>
      <c r="E1846" s="79">
        <f>IF('Ordenes_Odoo'!E1846="","",'Ordenes_Odoo'!E1846)</f>
        <v/>
      </c>
      <c r="F1846" s="79">
        <f>IF('Ordenes_Odoo'!F1846="","",'Ordenes_Odoo'!F1846)</f>
        <v/>
      </c>
      <c r="G1846" s="79">
        <f>IF('Ordenes_Odoo'!G1846="","",'Ordenes_Odoo'!G1846)</f>
        <v/>
      </c>
      <c r="H1846" s="79">
        <f>IF('Ordenes_Odoo'!H1846="","",'Ordenes_Odoo'!H1846)</f>
        <v/>
      </c>
      <c r="I1846" s="79">
        <f>IF('Ordenes_Odoo'!I1846="","",'Ordenes_Odoo'!I1846)</f>
        <v/>
      </c>
      <c r="J1846" s="79">
        <f>IF('Ordenes_Odoo'!J1846="","",'Ordenes_Odoo'!J1846)</f>
        <v/>
      </c>
      <c r="K1846" s="81">
        <f>IF('Ordenes_Odoo'!K1846="","",'Ordenes_Odoo'!K1846)</f>
        <v/>
      </c>
      <c r="L1846" s="81">
        <f>IF('Ordenes_Odoo'!L1846="","",'Ordenes_Odoo'!L1846)</f>
        <v/>
      </c>
      <c r="M1846" s="79">
        <f>IF('Ordenes_Odoo'!M1846="","",'Ordenes_Odoo'!M1846)</f>
        <v/>
      </c>
      <c r="N1846" s="79">
        <f>IF('Ordenes_Odoo'!N1846="","",'Ordenes_Odoo'!N1846)</f>
        <v/>
      </c>
      <c r="O1846" s="81">
        <f>IF('Ordenes_Odoo'!O1846="","",'Ordenes_Odoo'!O1846)</f>
        <v/>
      </c>
      <c r="P1846" s="81">
        <f>IF('Ordenes_Odoo'!P1846="","",'Ordenes_Odoo'!P1846)</f>
        <v/>
      </c>
      <c r="Q1846" s="79">
        <f>IF(A1846="","",IFERROR(INDEX(Facturas_Odoo!$B:$B, MATCH(A1846, Facturas_Odoo!$D:$D, 0)), "Sin Factura"))</f>
        <v/>
      </c>
      <c r="R1846" s="80">
        <f>IF(Q1846="Sin Factura","",IFERROR(INDEX(Facturas_Odoo!$A:$A, MATCH(Q1846, Facturas_Odoo!$B:$B, 0)), ""))</f>
        <v/>
      </c>
      <c r="S1846" s="79">
        <f>IF(Q1846="Sin Factura","",IFERROR(_xlfn.XLOOKUP(1, (Facturas_Odoo!$D:$D=A1846) * (Facturas_Odoo!$K:$K=I1846), Facturas_Odoo!$L:$L, ""), ""))</f>
        <v/>
      </c>
      <c r="T1846" s="81">
        <f>IF(Q1846="Sin Factura",0,IFERROR(_xlfn.XLOOKUP(1, (Facturas_Odoo!$D:$D=A1846) * (Facturas_Odoo!$K:$K=I1846), Facturas_Odoo!$M:$M, 0), 0))</f>
        <v/>
      </c>
      <c r="U1846" s="79">
        <f>IF(Q1846="Sin Factura",0,IFERROR(_xlfn.XLOOKUP(1, (Facturas_Odoo!$D:$D=A1846) * (Facturas_Odoo!$K:$K=I1846), Facturas_Odoo!$N:$N, 0), 0))</f>
        <v/>
      </c>
      <c r="V1846" s="79">
        <f>IF(Q1846="Sin Factura",0,IFERROR(_xlfn.XLOOKUP(1, (Facturas_Odoo!$D:$D=A1846) * (Facturas_Odoo!$K:$K=I1846), Facturas_Odoo!$O:$O, 0), 0))</f>
        <v/>
      </c>
      <c r="W1846" s="81">
        <f>IF(Q1846="Sin Factura",0,IFERROR(_xlfn.XLOOKUP(1, (Facturas_Odoo!$D:$D=A1846) * (Facturas_Odoo!$K:$K=I1846), Facturas_Odoo!$Q:$Q, 0), 0))</f>
        <v/>
      </c>
      <c r="X1846" s="79">
        <f>IF(OR(Q1846="Sin Factura",Q1846=""),"",IFERROR(INDEX(Pagos_Odoo!$B:$B, MATCH(Q1846, Pagos_Odoo!$I:$I, 0)), "Sin Pago"))</f>
        <v/>
      </c>
      <c r="Y1846" s="79">
        <f>IF(X1846="Sin Pago","",IFERROR(INDEX(Pagos_Odoo!$C:$C, MATCH(X1846, Pagos_Odoo!$B:$B, 0)), ""))</f>
        <v/>
      </c>
      <c r="Z1846" s="80">
        <f>IF(X1846="Sin Pago","",IFERROR(INDEX(Pagos_Odoo!$A:$A, MATCH(X1846, Pagos_Odoo!$B:$B, 0)), ""))</f>
        <v/>
      </c>
      <c r="AA1846" s="79">
        <f>IF(X1846="Sin Pago","",IFERROR(INDEX(Pagos_Odoo!$F:$F, MATCH(X1846, Pagos_Odoo!$B:$B, 0)), ""))</f>
        <v/>
      </c>
      <c r="AB1846" s="81">
        <f>IF(X1846="Sin Pago",0,IFERROR(INDEX(Pagos_Odoo!$E:$E, MATCH(X1846, Pagos_Odoo!$B:$B, 0)), 0))</f>
        <v/>
      </c>
      <c r="AC1846" s="79">
        <f>IF(X1846="Sin Pago","",IFERROR(INDEX(Pagos_Odoo!$G:$G, MATCH(X1846, Pagos_Odoo!$B:$B, 0)), ""))</f>
        <v/>
      </c>
      <c r="AD1846" s="82" t="n">
        <v>0</v>
      </c>
      <c r="AE1846" s="82" t="n"/>
      <c r="AF1846" s="82" t="n"/>
      <c r="AG1846" s="82">
        <f>IF(AN1846="","",AD1846+AE1846+AF1846)</f>
        <v/>
      </c>
      <c r="AH1846" s="81">
        <f>IF(AN1846="","",P1846*(1-AG1846))</f>
        <v/>
      </c>
      <c r="AI1846" s="81">
        <f>IF(AN1846="","",IF(Q1846="Sin Factura",0,IFERROR(INDEX(Facturas_Odoo!$H:$H, MATCH(Q1846, Facturas_Odoo!$B:$B, 0)), 0)*(1-AG1846)))</f>
        <v/>
      </c>
      <c r="AJ1846" s="81">
        <f>IF(AN1846="","",_xlfn.LET(idVenta, AN1846&amp;"",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46" s="81">
        <f>IF(AN1846="","",AH1846-AJ1846)</f>
        <v/>
      </c>
      <c r="AL1846" s="81">
        <f>IF(AN1846="","",IF(Q1846="Sin Factura","",AI1846-AJ1846))</f>
        <v/>
      </c>
      <c r="AM1846" s="81">
        <f>IF(AN1846="","",IF(Q1846="Sin Factura",0,P1846-IFERROR(INDEX(Facturas_Odoo!$H:$H, MATCH(Q1846, Facturas_Odoo!$B:$B, 0)), 0)))</f>
        <v/>
      </c>
      <c r="AN1846" s="79">
        <f>IF(AND(A1846="", J1846=""), "", IF(A1846&lt;&gt;"", VALUE(MID(A1846,2,LEN(A1846))), AN1845))</f>
        <v/>
      </c>
      <c r="AO1846" s="79">
        <f>IF(AN1846="","",IF(AD1846=0,"OK",_xlfn.LET(monedaPago, IF(AA1846="","USD",AA1846), limitePermitido, IFERROR(VLOOKUP(monedaPago, Configuración!$A$2:$B$3, 2, FALSE), 0.15), IF(AD1846&gt;limitePermitido, "ALERTA: EXCESO (" &amp; TEXT(limitePermitido, "0%") &amp; " máx)", "OK"))))</f>
        <v/>
      </c>
      <c r="AP1846" s="79">
        <f>IF(AN1846="","",IF(AE1846=0,"OK",_xlfn.LET(fechaPago, Z1846, fechaFactura, R1846, diasCredito, IF(E1846="Pago inmediato", 0, IFERROR(VALUE(MID(E1846, 1, SEARCH(" ", E1846)-1)),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46" s="79">
        <f>IF(AN1846="","",IF(AND(N1846&gt;0, AG1846&gt;0), IF(Configuración!$K$2="NO", "ALERTA: DESCUENTO DOBLE NO PERMITIDO", "OK"), "OK"))</f>
        <v/>
      </c>
      <c r="AR1846" s="79">
        <f>IF(AN1846="","",IF(OR(AO1846&lt;&gt;"OK", AP1846&lt;&gt;"OK", AQ1846&lt;&gt;"OK"), "⚠️ REVISAR", "OK"))</f>
        <v/>
      </c>
    </row>
    <row r="1847">
      <c r="A1847" s="79">
        <f>IF('Ordenes_Odoo'!A1847="","",'Ordenes_Odoo'!A1847)</f>
        <v/>
      </c>
      <c r="B1847" s="80">
        <f>IF('Ordenes_Odoo'!B1847="","",'Ordenes_Odoo'!B1847)</f>
        <v/>
      </c>
      <c r="C1847" s="79">
        <f>IF('Ordenes_Odoo'!C1847="","",'Ordenes_Odoo'!C1847)</f>
        <v/>
      </c>
      <c r="D1847" s="79">
        <f>IF('Ordenes_Odoo'!D1847="","",'Ordenes_Odoo'!D1847)</f>
        <v/>
      </c>
      <c r="E1847" s="79">
        <f>IF('Ordenes_Odoo'!E1847="","",'Ordenes_Odoo'!E1847)</f>
        <v/>
      </c>
      <c r="F1847" s="79">
        <f>IF('Ordenes_Odoo'!F1847="","",'Ordenes_Odoo'!F1847)</f>
        <v/>
      </c>
      <c r="G1847" s="79">
        <f>IF('Ordenes_Odoo'!G1847="","",'Ordenes_Odoo'!G1847)</f>
        <v/>
      </c>
      <c r="H1847" s="79">
        <f>IF('Ordenes_Odoo'!H1847="","",'Ordenes_Odoo'!H1847)</f>
        <v/>
      </c>
      <c r="I1847" s="79">
        <f>IF('Ordenes_Odoo'!I1847="","",'Ordenes_Odoo'!I1847)</f>
        <v/>
      </c>
      <c r="J1847" s="79">
        <f>IF('Ordenes_Odoo'!J1847="","",'Ordenes_Odoo'!J1847)</f>
        <v/>
      </c>
      <c r="K1847" s="81">
        <f>IF('Ordenes_Odoo'!K1847="","",'Ordenes_Odoo'!K1847)</f>
        <v/>
      </c>
      <c r="L1847" s="81">
        <f>IF('Ordenes_Odoo'!L1847="","",'Ordenes_Odoo'!L1847)</f>
        <v/>
      </c>
      <c r="M1847" s="79">
        <f>IF('Ordenes_Odoo'!M1847="","",'Ordenes_Odoo'!M1847)</f>
        <v/>
      </c>
      <c r="N1847" s="79">
        <f>IF('Ordenes_Odoo'!N1847="","",'Ordenes_Odoo'!N1847)</f>
        <v/>
      </c>
      <c r="O1847" s="81">
        <f>IF('Ordenes_Odoo'!O1847="","",'Ordenes_Odoo'!O1847)</f>
        <v/>
      </c>
      <c r="P1847" s="81">
        <f>IF('Ordenes_Odoo'!P1847="","",'Ordenes_Odoo'!P1847)</f>
        <v/>
      </c>
      <c r="Q1847" s="79">
        <f>IF(A1847="","",IFERROR(INDEX(Facturas_Odoo!$B:$B, MATCH(A1847, Facturas_Odoo!$D:$D, 0)), "Sin Factura"))</f>
        <v/>
      </c>
      <c r="R1847" s="80">
        <f>IF(Q1847="Sin Factura","",IFERROR(INDEX(Facturas_Odoo!$A:$A, MATCH(Q1847, Facturas_Odoo!$B:$B, 0)), ""))</f>
        <v/>
      </c>
      <c r="S1847" s="79">
        <f>IF(Q1847="Sin Factura","",IFERROR(_xlfn.XLOOKUP(1, (Facturas_Odoo!$D:$D=A1847) * (Facturas_Odoo!$K:$K=I1847), Facturas_Odoo!$L:$L, ""), ""))</f>
        <v/>
      </c>
      <c r="T1847" s="81">
        <f>IF(Q1847="Sin Factura",0,IFERROR(_xlfn.XLOOKUP(1, (Facturas_Odoo!$D:$D=A1847) * (Facturas_Odoo!$K:$K=I1847), Facturas_Odoo!$M:$M, 0), 0))</f>
        <v/>
      </c>
      <c r="U1847" s="79">
        <f>IF(Q1847="Sin Factura",0,IFERROR(_xlfn.XLOOKUP(1, (Facturas_Odoo!$D:$D=A1847) * (Facturas_Odoo!$K:$K=I1847), Facturas_Odoo!$N:$N, 0), 0))</f>
        <v/>
      </c>
      <c r="V1847" s="79">
        <f>IF(Q1847="Sin Factura",0,IFERROR(_xlfn.XLOOKUP(1, (Facturas_Odoo!$D:$D=A1847) * (Facturas_Odoo!$K:$K=I1847), Facturas_Odoo!$O:$O, 0), 0))</f>
        <v/>
      </c>
      <c r="W1847" s="81">
        <f>IF(Q1847="Sin Factura",0,IFERROR(_xlfn.XLOOKUP(1, (Facturas_Odoo!$D:$D=A1847) * (Facturas_Odoo!$K:$K=I1847), Facturas_Odoo!$Q:$Q, 0), 0))</f>
        <v/>
      </c>
      <c r="X1847" s="79">
        <f>IF(OR(Q1847="Sin Factura",Q1847=""),"",IFERROR(INDEX(Pagos_Odoo!$B:$B, MATCH(Q1847, Pagos_Odoo!$I:$I, 0)), "Sin Pago"))</f>
        <v/>
      </c>
      <c r="Y1847" s="79">
        <f>IF(X1847="Sin Pago","",IFERROR(INDEX(Pagos_Odoo!$C:$C, MATCH(X1847, Pagos_Odoo!$B:$B, 0)), ""))</f>
        <v/>
      </c>
      <c r="Z1847" s="80">
        <f>IF(X1847="Sin Pago","",IFERROR(INDEX(Pagos_Odoo!$A:$A, MATCH(X1847, Pagos_Odoo!$B:$B, 0)), ""))</f>
        <v/>
      </c>
      <c r="AA1847" s="79">
        <f>IF(X1847="Sin Pago","",IFERROR(INDEX(Pagos_Odoo!$F:$F, MATCH(X1847, Pagos_Odoo!$B:$B, 0)), ""))</f>
        <v/>
      </c>
      <c r="AB1847" s="81">
        <f>IF(X1847="Sin Pago",0,IFERROR(INDEX(Pagos_Odoo!$E:$E, MATCH(X1847, Pagos_Odoo!$B:$B, 0)), 0))</f>
        <v/>
      </c>
      <c r="AC1847" s="79">
        <f>IF(X1847="Sin Pago","",IFERROR(INDEX(Pagos_Odoo!$G:$G, MATCH(X1847, Pagos_Odoo!$B:$B, 0)), ""))</f>
        <v/>
      </c>
      <c r="AD1847" s="82" t="n">
        <v>0</v>
      </c>
      <c r="AE1847" s="82" t="n"/>
      <c r="AF1847" s="82" t="n"/>
      <c r="AG1847" s="82">
        <f>IF(AN1847="","",AD1847+AE1847+AF1847)</f>
        <v/>
      </c>
      <c r="AH1847" s="81">
        <f>IF(AN1847="","",P1847*(1-AG1847))</f>
        <v/>
      </c>
      <c r="AI1847" s="81">
        <f>IF(AN1847="","",IF(Q1847="Sin Factura",0,IFERROR(INDEX(Facturas_Odoo!$H:$H, MATCH(Q1847, Facturas_Odoo!$B:$B, 0)), 0)*(1-AG1847)))</f>
        <v/>
      </c>
      <c r="AJ1847" s="81">
        <f>IF(AN1847="","",_xlfn.LET(idVenta, AN1847&amp;"",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47" s="81">
        <f>IF(AN1847="","",AH1847-AJ1847)</f>
        <v/>
      </c>
      <c r="AL1847" s="81">
        <f>IF(AN1847="","",IF(Q1847="Sin Factura","",AI1847-AJ1847))</f>
        <v/>
      </c>
      <c r="AM1847" s="81">
        <f>IF(AN1847="","",IF(Q1847="Sin Factura",0,P1847-IFERROR(INDEX(Facturas_Odoo!$H:$H, MATCH(Q1847, Facturas_Odoo!$B:$B, 0)), 0)))</f>
        <v/>
      </c>
      <c r="AN1847" s="79">
        <f>IF(AND(A1847="", J1847=""), "", IF(A1847&lt;&gt;"", VALUE(MID(A1847,2,LEN(A1847))), AN1846))</f>
        <v/>
      </c>
      <c r="AO1847" s="79">
        <f>IF(AN1847="","",IF(AD1847=0,"OK",_xlfn.LET(monedaPago, IF(AA1847="","USD",AA1847), limitePermitido, IFERROR(VLOOKUP(monedaPago, Configuración!$A$2:$B$3, 2, FALSE), 0.15), IF(AD1847&gt;limitePermitido, "ALERTA: EXCESO (" &amp; TEXT(limitePermitido, "0%") &amp; " máx)", "OK"))))</f>
        <v/>
      </c>
      <c r="AP1847" s="79">
        <f>IF(AN1847="","",IF(AE1847=0,"OK",_xlfn.LET(fechaPago, Z1847, fechaFactura, R1847, diasCredito, IF(E1847="Pago inmediato", 0, IFERROR(VALUE(MID(E1847, 1, SEARCH(" ", E1847)-1)),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47" s="79">
        <f>IF(AN1847="","",IF(AND(N1847&gt;0, AG1847&gt;0), IF(Configuración!$K$2="NO", "ALERTA: DESCUENTO DOBLE NO PERMITIDO", "OK"), "OK"))</f>
        <v/>
      </c>
      <c r="AR1847" s="79">
        <f>IF(AN1847="","",IF(OR(AO1847&lt;&gt;"OK", AP1847&lt;&gt;"OK", AQ1847&lt;&gt;"OK"), "⚠️ REVISAR", "OK"))</f>
        <v/>
      </c>
    </row>
    <row r="1848">
      <c r="A1848" s="79">
        <f>IF('Ordenes_Odoo'!A1848="","",'Ordenes_Odoo'!A1848)</f>
        <v/>
      </c>
      <c r="B1848" s="80">
        <f>IF('Ordenes_Odoo'!B1848="","",'Ordenes_Odoo'!B1848)</f>
        <v/>
      </c>
      <c r="C1848" s="79">
        <f>IF('Ordenes_Odoo'!C1848="","",'Ordenes_Odoo'!C1848)</f>
        <v/>
      </c>
      <c r="D1848" s="79">
        <f>IF('Ordenes_Odoo'!D1848="","",'Ordenes_Odoo'!D1848)</f>
        <v/>
      </c>
      <c r="E1848" s="79">
        <f>IF('Ordenes_Odoo'!E1848="","",'Ordenes_Odoo'!E1848)</f>
        <v/>
      </c>
      <c r="F1848" s="79">
        <f>IF('Ordenes_Odoo'!F1848="","",'Ordenes_Odoo'!F1848)</f>
        <v/>
      </c>
      <c r="G1848" s="79">
        <f>IF('Ordenes_Odoo'!G1848="","",'Ordenes_Odoo'!G1848)</f>
        <v/>
      </c>
      <c r="H1848" s="79">
        <f>IF('Ordenes_Odoo'!H1848="","",'Ordenes_Odoo'!H1848)</f>
        <v/>
      </c>
      <c r="I1848" s="79">
        <f>IF('Ordenes_Odoo'!I1848="","",'Ordenes_Odoo'!I1848)</f>
        <v/>
      </c>
      <c r="J1848" s="79">
        <f>IF('Ordenes_Odoo'!J1848="","",'Ordenes_Odoo'!J1848)</f>
        <v/>
      </c>
      <c r="K1848" s="81">
        <f>IF('Ordenes_Odoo'!K1848="","",'Ordenes_Odoo'!K1848)</f>
        <v/>
      </c>
      <c r="L1848" s="81">
        <f>IF('Ordenes_Odoo'!L1848="","",'Ordenes_Odoo'!L1848)</f>
        <v/>
      </c>
      <c r="M1848" s="79">
        <f>IF('Ordenes_Odoo'!M1848="","",'Ordenes_Odoo'!M1848)</f>
        <v/>
      </c>
      <c r="N1848" s="79">
        <f>IF('Ordenes_Odoo'!N1848="","",'Ordenes_Odoo'!N1848)</f>
        <v/>
      </c>
      <c r="O1848" s="81">
        <f>IF('Ordenes_Odoo'!O1848="","",'Ordenes_Odoo'!O1848)</f>
        <v/>
      </c>
      <c r="P1848" s="81">
        <f>IF('Ordenes_Odoo'!P1848="","",'Ordenes_Odoo'!P1848)</f>
        <v/>
      </c>
      <c r="Q1848" s="79">
        <f>IF(A1848="","",IFERROR(INDEX(Facturas_Odoo!$B:$B, MATCH(A1848, Facturas_Odoo!$D:$D, 0)), "Sin Factura"))</f>
        <v/>
      </c>
      <c r="R1848" s="80">
        <f>IF(Q1848="Sin Factura","",IFERROR(INDEX(Facturas_Odoo!$A:$A, MATCH(Q1848, Facturas_Odoo!$B:$B, 0)), ""))</f>
        <v/>
      </c>
      <c r="S1848" s="79">
        <f>IF(Q1848="Sin Factura","",IFERROR(_xlfn.XLOOKUP(1, (Facturas_Odoo!$D:$D=A1848) * (Facturas_Odoo!$K:$K=I1848), Facturas_Odoo!$L:$L, ""), ""))</f>
        <v/>
      </c>
      <c r="T1848" s="81">
        <f>IF(Q1848="Sin Factura",0,IFERROR(_xlfn.XLOOKUP(1, (Facturas_Odoo!$D:$D=A1848) * (Facturas_Odoo!$K:$K=I1848), Facturas_Odoo!$M:$M, 0), 0))</f>
        <v/>
      </c>
      <c r="U1848" s="79">
        <f>IF(Q1848="Sin Factura",0,IFERROR(_xlfn.XLOOKUP(1, (Facturas_Odoo!$D:$D=A1848) * (Facturas_Odoo!$K:$K=I1848), Facturas_Odoo!$N:$N, 0), 0))</f>
        <v/>
      </c>
      <c r="V1848" s="79">
        <f>IF(Q1848="Sin Factura",0,IFERROR(_xlfn.XLOOKUP(1, (Facturas_Odoo!$D:$D=A1848) * (Facturas_Odoo!$K:$K=I1848), Facturas_Odoo!$O:$O, 0), 0))</f>
        <v/>
      </c>
      <c r="W1848" s="81">
        <f>IF(Q1848="Sin Factura",0,IFERROR(_xlfn.XLOOKUP(1, (Facturas_Odoo!$D:$D=A1848) * (Facturas_Odoo!$K:$K=I1848), Facturas_Odoo!$Q:$Q, 0), 0))</f>
        <v/>
      </c>
      <c r="X1848" s="79">
        <f>IF(OR(Q1848="Sin Factura",Q1848=""),"",IFERROR(INDEX(Pagos_Odoo!$B:$B, MATCH(Q1848, Pagos_Odoo!$I:$I, 0)), "Sin Pago"))</f>
        <v/>
      </c>
      <c r="Y1848" s="79">
        <f>IF(X1848="Sin Pago","",IFERROR(INDEX(Pagos_Odoo!$C:$C, MATCH(X1848, Pagos_Odoo!$B:$B, 0)), ""))</f>
        <v/>
      </c>
      <c r="Z1848" s="80">
        <f>IF(X1848="Sin Pago","",IFERROR(INDEX(Pagos_Odoo!$A:$A, MATCH(X1848, Pagos_Odoo!$B:$B, 0)), ""))</f>
        <v/>
      </c>
      <c r="AA1848" s="79">
        <f>IF(X1848="Sin Pago","",IFERROR(INDEX(Pagos_Odoo!$F:$F, MATCH(X1848, Pagos_Odoo!$B:$B, 0)), ""))</f>
        <v/>
      </c>
      <c r="AB1848" s="81">
        <f>IF(X1848="Sin Pago",0,IFERROR(INDEX(Pagos_Odoo!$E:$E, MATCH(X1848, Pagos_Odoo!$B:$B, 0)), 0))</f>
        <v/>
      </c>
      <c r="AC1848" s="79">
        <f>IF(X1848="Sin Pago","",IFERROR(INDEX(Pagos_Odoo!$G:$G, MATCH(X1848, Pagos_Odoo!$B:$B, 0)), ""))</f>
        <v/>
      </c>
      <c r="AD1848" s="82" t="n">
        <v>0</v>
      </c>
      <c r="AE1848" s="82" t="n"/>
      <c r="AF1848" s="82" t="n"/>
      <c r="AG1848" s="82">
        <f>IF(AN1848="","",AD1848+AE1848+AF1848)</f>
        <v/>
      </c>
      <c r="AH1848" s="81">
        <f>IF(AN1848="","",P1848*(1-AG1848))</f>
        <v/>
      </c>
      <c r="AI1848" s="81">
        <f>IF(AN1848="","",IF(Q1848="Sin Factura",0,IFERROR(INDEX(Facturas_Odoo!$H:$H, MATCH(Q1848, Facturas_Odoo!$B:$B, 0)), 0)*(1-AG1848)))</f>
        <v/>
      </c>
      <c r="AJ1848" s="81">
        <f>IF(AN1848="","",_xlfn.LET(idVenta, AN1848&amp;"",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48" s="81">
        <f>IF(AN1848="","",AH1848-AJ1848)</f>
        <v/>
      </c>
      <c r="AL1848" s="81">
        <f>IF(AN1848="","",IF(Q1848="Sin Factura","",AI1848-AJ1848))</f>
        <v/>
      </c>
      <c r="AM1848" s="81">
        <f>IF(AN1848="","",IF(Q1848="Sin Factura",0,P1848-IFERROR(INDEX(Facturas_Odoo!$H:$H, MATCH(Q1848, Facturas_Odoo!$B:$B, 0)), 0)))</f>
        <v/>
      </c>
      <c r="AN1848" s="79">
        <f>IF(AND(A1848="", J1848=""), "", IF(A1848&lt;&gt;"", VALUE(MID(A1848,2,LEN(A1848))), AN1847))</f>
        <v/>
      </c>
      <c r="AO1848" s="79">
        <f>IF(AN1848="","",IF(AD1848=0,"OK",_xlfn.LET(monedaPago, IF(AA1848="","USD",AA1848), limitePermitido, IFERROR(VLOOKUP(monedaPago, Configuración!$A$2:$B$3, 2, FALSE), 0.15), IF(AD1848&gt;limitePermitido, "ALERTA: EXCESO (" &amp; TEXT(limitePermitido, "0%") &amp; " máx)", "OK"))))</f>
        <v/>
      </c>
      <c r="AP1848" s="79">
        <f>IF(AN1848="","",IF(AE1848=0,"OK",_xlfn.LET(fechaPago, Z1848, fechaFactura, R1848, diasCredito, IF(E1848="Pago inmediato", 0, IFERROR(VALUE(MID(E1848, 1, SEARCH(" ", E1848)-1)),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48" s="79">
        <f>IF(AN1848="","",IF(AND(N1848&gt;0, AG1848&gt;0), IF(Configuración!$K$2="NO", "ALERTA: DESCUENTO DOBLE NO PERMITIDO", "OK"), "OK"))</f>
        <v/>
      </c>
      <c r="AR1848" s="79">
        <f>IF(AN1848="","",IF(OR(AO1848&lt;&gt;"OK", AP1848&lt;&gt;"OK", AQ1848&lt;&gt;"OK"), "⚠️ REVISAR", "OK"))</f>
        <v/>
      </c>
    </row>
    <row r="1849">
      <c r="A1849" s="79">
        <f>IF('Ordenes_Odoo'!A1849="","",'Ordenes_Odoo'!A1849)</f>
        <v/>
      </c>
      <c r="B1849" s="80">
        <f>IF('Ordenes_Odoo'!B1849="","",'Ordenes_Odoo'!B1849)</f>
        <v/>
      </c>
      <c r="C1849" s="79">
        <f>IF('Ordenes_Odoo'!C1849="","",'Ordenes_Odoo'!C1849)</f>
        <v/>
      </c>
      <c r="D1849" s="79">
        <f>IF('Ordenes_Odoo'!D1849="","",'Ordenes_Odoo'!D1849)</f>
        <v/>
      </c>
      <c r="E1849" s="79">
        <f>IF('Ordenes_Odoo'!E1849="","",'Ordenes_Odoo'!E1849)</f>
        <v/>
      </c>
      <c r="F1849" s="79">
        <f>IF('Ordenes_Odoo'!F1849="","",'Ordenes_Odoo'!F1849)</f>
        <v/>
      </c>
      <c r="G1849" s="79">
        <f>IF('Ordenes_Odoo'!G1849="","",'Ordenes_Odoo'!G1849)</f>
        <v/>
      </c>
      <c r="H1849" s="79">
        <f>IF('Ordenes_Odoo'!H1849="","",'Ordenes_Odoo'!H1849)</f>
        <v/>
      </c>
      <c r="I1849" s="79">
        <f>IF('Ordenes_Odoo'!I1849="","",'Ordenes_Odoo'!I1849)</f>
        <v/>
      </c>
      <c r="J1849" s="79">
        <f>IF('Ordenes_Odoo'!J1849="","",'Ordenes_Odoo'!J1849)</f>
        <v/>
      </c>
      <c r="K1849" s="81">
        <f>IF('Ordenes_Odoo'!K1849="","",'Ordenes_Odoo'!K1849)</f>
        <v/>
      </c>
      <c r="L1849" s="81">
        <f>IF('Ordenes_Odoo'!L1849="","",'Ordenes_Odoo'!L1849)</f>
        <v/>
      </c>
      <c r="M1849" s="79">
        <f>IF('Ordenes_Odoo'!M1849="","",'Ordenes_Odoo'!M1849)</f>
        <v/>
      </c>
      <c r="N1849" s="79">
        <f>IF('Ordenes_Odoo'!N1849="","",'Ordenes_Odoo'!N1849)</f>
        <v/>
      </c>
      <c r="O1849" s="81">
        <f>IF('Ordenes_Odoo'!O1849="","",'Ordenes_Odoo'!O1849)</f>
        <v/>
      </c>
      <c r="P1849" s="81">
        <f>IF('Ordenes_Odoo'!P1849="","",'Ordenes_Odoo'!P1849)</f>
        <v/>
      </c>
      <c r="Q1849" s="79">
        <f>IF(A1849="","",IFERROR(INDEX(Facturas_Odoo!$B:$B, MATCH(A1849, Facturas_Odoo!$D:$D, 0)), "Sin Factura"))</f>
        <v/>
      </c>
      <c r="R1849" s="80">
        <f>IF(Q1849="Sin Factura","",IFERROR(INDEX(Facturas_Odoo!$A:$A, MATCH(Q1849, Facturas_Odoo!$B:$B, 0)), ""))</f>
        <v/>
      </c>
      <c r="S1849" s="79">
        <f>IF(Q1849="Sin Factura","",IFERROR(_xlfn.XLOOKUP(1, (Facturas_Odoo!$D:$D=A1849) * (Facturas_Odoo!$K:$K=I1849), Facturas_Odoo!$L:$L, ""), ""))</f>
        <v/>
      </c>
      <c r="T1849" s="81">
        <f>IF(Q1849="Sin Factura",0,IFERROR(_xlfn.XLOOKUP(1, (Facturas_Odoo!$D:$D=A1849) * (Facturas_Odoo!$K:$K=I1849), Facturas_Odoo!$M:$M, 0), 0))</f>
        <v/>
      </c>
      <c r="U1849" s="79">
        <f>IF(Q1849="Sin Factura",0,IFERROR(_xlfn.XLOOKUP(1, (Facturas_Odoo!$D:$D=A1849) * (Facturas_Odoo!$K:$K=I1849), Facturas_Odoo!$N:$N, 0), 0))</f>
        <v/>
      </c>
      <c r="V1849" s="79">
        <f>IF(Q1849="Sin Factura",0,IFERROR(_xlfn.XLOOKUP(1, (Facturas_Odoo!$D:$D=A1849) * (Facturas_Odoo!$K:$K=I1849), Facturas_Odoo!$O:$O, 0), 0))</f>
        <v/>
      </c>
      <c r="W1849" s="81">
        <f>IF(Q1849="Sin Factura",0,IFERROR(_xlfn.XLOOKUP(1, (Facturas_Odoo!$D:$D=A1849) * (Facturas_Odoo!$K:$K=I1849), Facturas_Odoo!$Q:$Q, 0), 0))</f>
        <v/>
      </c>
      <c r="X1849" s="79">
        <f>IF(OR(Q1849="Sin Factura",Q1849=""),"",IFERROR(INDEX(Pagos_Odoo!$B:$B, MATCH(Q1849, Pagos_Odoo!$I:$I, 0)), "Sin Pago"))</f>
        <v/>
      </c>
      <c r="Y1849" s="79">
        <f>IF(X1849="Sin Pago","",IFERROR(INDEX(Pagos_Odoo!$C:$C, MATCH(X1849, Pagos_Odoo!$B:$B, 0)), ""))</f>
        <v/>
      </c>
      <c r="Z1849" s="80">
        <f>IF(X1849="Sin Pago","",IFERROR(INDEX(Pagos_Odoo!$A:$A, MATCH(X1849, Pagos_Odoo!$B:$B, 0)), ""))</f>
        <v/>
      </c>
      <c r="AA1849" s="79">
        <f>IF(X1849="Sin Pago","",IFERROR(INDEX(Pagos_Odoo!$F:$F, MATCH(X1849, Pagos_Odoo!$B:$B, 0)), ""))</f>
        <v/>
      </c>
      <c r="AB1849" s="81">
        <f>IF(X1849="Sin Pago",0,IFERROR(INDEX(Pagos_Odoo!$E:$E, MATCH(X1849, Pagos_Odoo!$B:$B, 0)), 0))</f>
        <v/>
      </c>
      <c r="AC1849" s="79">
        <f>IF(X1849="Sin Pago","",IFERROR(INDEX(Pagos_Odoo!$G:$G, MATCH(X1849, Pagos_Odoo!$B:$B, 0)), ""))</f>
        <v/>
      </c>
      <c r="AD1849" s="82" t="n">
        <v>0</v>
      </c>
      <c r="AE1849" s="82" t="n"/>
      <c r="AF1849" s="82" t="n"/>
      <c r="AG1849" s="82">
        <f>IF(AN1849="","",AD1849+AE1849+AF1849)</f>
        <v/>
      </c>
      <c r="AH1849" s="81">
        <f>IF(AN1849="","",P1849*(1-AG1849))</f>
        <v/>
      </c>
      <c r="AI1849" s="81">
        <f>IF(AN1849="","",IF(Q1849="Sin Factura",0,IFERROR(INDEX(Facturas_Odoo!$H:$H, MATCH(Q1849, Facturas_Odoo!$B:$B, 0)), 0)*(1-AG1849)))</f>
        <v/>
      </c>
      <c r="AJ1849" s="81">
        <f>IF(AN1849="","",_xlfn.LET(idVenta, AN1849&amp;"",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49" s="81">
        <f>IF(AN1849="","",AH1849-AJ1849)</f>
        <v/>
      </c>
      <c r="AL1849" s="81">
        <f>IF(AN1849="","",IF(Q1849="Sin Factura","",AI1849-AJ1849))</f>
        <v/>
      </c>
      <c r="AM1849" s="81">
        <f>IF(AN1849="","",IF(Q1849="Sin Factura",0,P1849-IFERROR(INDEX(Facturas_Odoo!$H:$H, MATCH(Q1849, Facturas_Odoo!$B:$B, 0)), 0)))</f>
        <v/>
      </c>
      <c r="AN1849" s="79">
        <f>IF(AND(A1849="", J1849=""), "", IF(A1849&lt;&gt;"", VALUE(MID(A1849,2,LEN(A1849))), AN1848))</f>
        <v/>
      </c>
      <c r="AO1849" s="79">
        <f>IF(AN1849="","",IF(AD1849=0,"OK",_xlfn.LET(monedaPago, IF(AA1849="","USD",AA1849), limitePermitido, IFERROR(VLOOKUP(monedaPago, Configuración!$A$2:$B$3, 2, FALSE), 0.15), IF(AD1849&gt;limitePermitido, "ALERTA: EXCESO (" &amp; TEXT(limitePermitido, "0%") &amp; " máx)", "OK"))))</f>
        <v/>
      </c>
      <c r="AP1849" s="79">
        <f>IF(AN1849="","",IF(AE1849=0,"OK",_xlfn.LET(fechaPago, Z1849, fechaFactura, R1849, diasCredito, IF(E1849="Pago inmediato", 0, IFERROR(VALUE(MID(E1849, 1, SEARCH(" ", E1849)-1)),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49" s="79">
        <f>IF(AN1849="","",IF(AND(N1849&gt;0, AG1849&gt;0), IF(Configuración!$K$2="NO", "ALERTA: DESCUENTO DOBLE NO PERMITIDO", "OK"), "OK"))</f>
        <v/>
      </c>
      <c r="AR1849" s="79">
        <f>IF(AN1849="","",IF(OR(AO1849&lt;&gt;"OK", AP1849&lt;&gt;"OK", AQ1849&lt;&gt;"OK"), "⚠️ REVISAR", "OK"))</f>
        <v/>
      </c>
    </row>
    <row r="1850">
      <c r="A1850" s="79">
        <f>IF('Ordenes_Odoo'!A1850="","",'Ordenes_Odoo'!A1850)</f>
        <v/>
      </c>
      <c r="B1850" s="80">
        <f>IF('Ordenes_Odoo'!B1850="","",'Ordenes_Odoo'!B1850)</f>
        <v/>
      </c>
      <c r="C1850" s="79">
        <f>IF('Ordenes_Odoo'!C1850="","",'Ordenes_Odoo'!C1850)</f>
        <v/>
      </c>
      <c r="D1850" s="79">
        <f>IF('Ordenes_Odoo'!D1850="","",'Ordenes_Odoo'!D1850)</f>
        <v/>
      </c>
      <c r="E1850" s="79">
        <f>IF('Ordenes_Odoo'!E1850="","",'Ordenes_Odoo'!E1850)</f>
        <v/>
      </c>
      <c r="F1850" s="79">
        <f>IF('Ordenes_Odoo'!F1850="","",'Ordenes_Odoo'!F1850)</f>
        <v/>
      </c>
      <c r="G1850" s="79">
        <f>IF('Ordenes_Odoo'!G1850="","",'Ordenes_Odoo'!G1850)</f>
        <v/>
      </c>
      <c r="H1850" s="79">
        <f>IF('Ordenes_Odoo'!H1850="","",'Ordenes_Odoo'!H1850)</f>
        <v/>
      </c>
      <c r="I1850" s="79">
        <f>IF('Ordenes_Odoo'!I1850="","",'Ordenes_Odoo'!I1850)</f>
        <v/>
      </c>
      <c r="J1850" s="79">
        <f>IF('Ordenes_Odoo'!J1850="","",'Ordenes_Odoo'!J1850)</f>
        <v/>
      </c>
      <c r="K1850" s="81">
        <f>IF('Ordenes_Odoo'!K1850="","",'Ordenes_Odoo'!K1850)</f>
        <v/>
      </c>
      <c r="L1850" s="81">
        <f>IF('Ordenes_Odoo'!L1850="","",'Ordenes_Odoo'!L1850)</f>
        <v/>
      </c>
      <c r="M1850" s="79">
        <f>IF('Ordenes_Odoo'!M1850="","",'Ordenes_Odoo'!M1850)</f>
        <v/>
      </c>
      <c r="N1850" s="79">
        <f>IF('Ordenes_Odoo'!N1850="","",'Ordenes_Odoo'!N1850)</f>
        <v/>
      </c>
      <c r="O1850" s="81">
        <f>IF('Ordenes_Odoo'!O1850="","",'Ordenes_Odoo'!O1850)</f>
        <v/>
      </c>
      <c r="P1850" s="81">
        <f>IF('Ordenes_Odoo'!P1850="","",'Ordenes_Odoo'!P1850)</f>
        <v/>
      </c>
      <c r="Q1850" s="79">
        <f>IF(A1850="","",IFERROR(INDEX(Facturas_Odoo!$B:$B, MATCH(A1850, Facturas_Odoo!$D:$D, 0)), "Sin Factura"))</f>
        <v/>
      </c>
      <c r="R1850" s="80">
        <f>IF(Q1850="Sin Factura","",IFERROR(INDEX(Facturas_Odoo!$A:$A, MATCH(Q1850, Facturas_Odoo!$B:$B, 0)), ""))</f>
        <v/>
      </c>
      <c r="S1850" s="79">
        <f>IF(Q1850="Sin Factura","",IFERROR(_xlfn.XLOOKUP(1, (Facturas_Odoo!$D:$D=A1850) * (Facturas_Odoo!$K:$K=I1850), Facturas_Odoo!$L:$L, ""), ""))</f>
        <v/>
      </c>
      <c r="T1850" s="81">
        <f>IF(Q1850="Sin Factura",0,IFERROR(_xlfn.XLOOKUP(1, (Facturas_Odoo!$D:$D=A1850) * (Facturas_Odoo!$K:$K=I1850), Facturas_Odoo!$M:$M, 0), 0))</f>
        <v/>
      </c>
      <c r="U1850" s="79">
        <f>IF(Q1850="Sin Factura",0,IFERROR(_xlfn.XLOOKUP(1, (Facturas_Odoo!$D:$D=A1850) * (Facturas_Odoo!$K:$K=I1850), Facturas_Odoo!$N:$N, 0), 0))</f>
        <v/>
      </c>
      <c r="V1850" s="79">
        <f>IF(Q1850="Sin Factura",0,IFERROR(_xlfn.XLOOKUP(1, (Facturas_Odoo!$D:$D=A1850) * (Facturas_Odoo!$K:$K=I1850), Facturas_Odoo!$O:$O, 0), 0))</f>
        <v/>
      </c>
      <c r="W1850" s="81">
        <f>IF(Q1850="Sin Factura",0,IFERROR(_xlfn.XLOOKUP(1, (Facturas_Odoo!$D:$D=A1850) * (Facturas_Odoo!$K:$K=I1850), Facturas_Odoo!$Q:$Q, 0), 0))</f>
        <v/>
      </c>
      <c r="X1850" s="79">
        <f>IF(OR(Q1850="Sin Factura",Q1850=""),"",IFERROR(INDEX(Pagos_Odoo!$B:$B, MATCH(Q1850, Pagos_Odoo!$I:$I, 0)), "Sin Pago"))</f>
        <v/>
      </c>
      <c r="Y1850" s="79">
        <f>IF(X1850="Sin Pago","",IFERROR(INDEX(Pagos_Odoo!$C:$C, MATCH(X1850, Pagos_Odoo!$B:$B, 0)), ""))</f>
        <v/>
      </c>
      <c r="Z1850" s="80">
        <f>IF(X1850="Sin Pago","",IFERROR(INDEX(Pagos_Odoo!$A:$A, MATCH(X1850, Pagos_Odoo!$B:$B, 0)), ""))</f>
        <v/>
      </c>
      <c r="AA1850" s="79">
        <f>IF(X1850="Sin Pago","",IFERROR(INDEX(Pagos_Odoo!$F:$F, MATCH(X1850, Pagos_Odoo!$B:$B, 0)), ""))</f>
        <v/>
      </c>
      <c r="AB1850" s="81">
        <f>IF(X1850="Sin Pago",0,IFERROR(INDEX(Pagos_Odoo!$E:$E, MATCH(X1850, Pagos_Odoo!$B:$B, 0)), 0))</f>
        <v/>
      </c>
      <c r="AC1850" s="79">
        <f>IF(X1850="Sin Pago","",IFERROR(INDEX(Pagos_Odoo!$G:$G, MATCH(X1850, Pagos_Odoo!$B:$B, 0)), ""))</f>
        <v/>
      </c>
      <c r="AD1850" s="82" t="n">
        <v>0</v>
      </c>
      <c r="AE1850" s="82" t="n"/>
      <c r="AF1850" s="82" t="n"/>
      <c r="AG1850" s="82">
        <f>IF(AN1850="","",AD1850+AE1850+AF1850)</f>
        <v/>
      </c>
      <c r="AH1850" s="81">
        <f>IF(AN1850="","",P1850*(1-AG1850))</f>
        <v/>
      </c>
      <c r="AI1850" s="81">
        <f>IF(AN1850="","",IF(Q1850="Sin Factura",0,IFERROR(INDEX(Facturas_Odoo!$H:$H, MATCH(Q1850, Facturas_Odoo!$B:$B, 0)), 0)*(1-AG1850)))</f>
        <v/>
      </c>
      <c r="AJ1850" s="81">
        <f>IF(AN1850="","",_xlfn.LET(idVenta, AN1850&amp;"",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50" s="81">
        <f>IF(AN1850="","",AH1850-AJ1850)</f>
        <v/>
      </c>
      <c r="AL1850" s="81">
        <f>IF(AN1850="","",IF(Q1850="Sin Factura","",AI1850-AJ1850))</f>
        <v/>
      </c>
      <c r="AM1850" s="81">
        <f>IF(AN1850="","",IF(Q1850="Sin Factura",0,P1850-IFERROR(INDEX(Facturas_Odoo!$H:$H, MATCH(Q1850, Facturas_Odoo!$B:$B, 0)), 0)))</f>
        <v/>
      </c>
      <c r="AN1850" s="79">
        <f>IF(AND(A1850="", J1850=""), "", IF(A1850&lt;&gt;"", VALUE(MID(A1850,2,LEN(A1850))), AN1849))</f>
        <v/>
      </c>
      <c r="AO1850" s="79">
        <f>IF(AN1850="","",IF(AD1850=0,"OK",_xlfn.LET(monedaPago, IF(AA1850="","USD",AA1850), limitePermitido, IFERROR(VLOOKUP(monedaPago, Configuración!$A$2:$B$3, 2, FALSE), 0.15), IF(AD1850&gt;limitePermitido, "ALERTA: EXCESO (" &amp; TEXT(limitePermitido, "0%") &amp; " máx)", "OK"))))</f>
        <v/>
      </c>
      <c r="AP1850" s="79">
        <f>IF(AN1850="","",IF(AE1850=0,"OK",_xlfn.LET(fechaPago, Z1850, fechaFactura, R1850, diasCredito, IF(E1850="Pago inmediato", 0, IFERROR(VALUE(MID(E1850, 1, SEARCH(" ", E1850)-1)),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50" s="79">
        <f>IF(AN1850="","",IF(AND(N1850&gt;0, AG1850&gt;0), IF(Configuración!$K$2="NO", "ALERTA: DESCUENTO DOBLE NO PERMITIDO", "OK"), "OK"))</f>
        <v/>
      </c>
      <c r="AR1850" s="79">
        <f>IF(AN1850="","",IF(OR(AO1850&lt;&gt;"OK", AP1850&lt;&gt;"OK", AQ1850&lt;&gt;"OK"), "⚠️ REVISAR", "OK"))</f>
        <v/>
      </c>
    </row>
    <row r="1851">
      <c r="A1851" s="79">
        <f>IF('Ordenes_Odoo'!A1851="","",'Ordenes_Odoo'!A1851)</f>
        <v/>
      </c>
      <c r="B1851" s="80">
        <f>IF('Ordenes_Odoo'!B1851="","",'Ordenes_Odoo'!B1851)</f>
        <v/>
      </c>
      <c r="C1851" s="79">
        <f>IF('Ordenes_Odoo'!C1851="","",'Ordenes_Odoo'!C1851)</f>
        <v/>
      </c>
      <c r="D1851" s="79">
        <f>IF('Ordenes_Odoo'!D1851="","",'Ordenes_Odoo'!D1851)</f>
        <v/>
      </c>
      <c r="E1851" s="79">
        <f>IF('Ordenes_Odoo'!E1851="","",'Ordenes_Odoo'!E1851)</f>
        <v/>
      </c>
      <c r="F1851" s="79">
        <f>IF('Ordenes_Odoo'!F1851="","",'Ordenes_Odoo'!F1851)</f>
        <v/>
      </c>
      <c r="G1851" s="79">
        <f>IF('Ordenes_Odoo'!G1851="","",'Ordenes_Odoo'!G1851)</f>
        <v/>
      </c>
      <c r="H1851" s="79">
        <f>IF('Ordenes_Odoo'!H1851="","",'Ordenes_Odoo'!H1851)</f>
        <v/>
      </c>
      <c r="I1851" s="79">
        <f>IF('Ordenes_Odoo'!I1851="","",'Ordenes_Odoo'!I1851)</f>
        <v/>
      </c>
      <c r="J1851" s="79">
        <f>IF('Ordenes_Odoo'!J1851="","",'Ordenes_Odoo'!J1851)</f>
        <v/>
      </c>
      <c r="K1851" s="81">
        <f>IF('Ordenes_Odoo'!K1851="","",'Ordenes_Odoo'!K1851)</f>
        <v/>
      </c>
      <c r="L1851" s="81">
        <f>IF('Ordenes_Odoo'!L1851="","",'Ordenes_Odoo'!L1851)</f>
        <v/>
      </c>
      <c r="M1851" s="79">
        <f>IF('Ordenes_Odoo'!M1851="","",'Ordenes_Odoo'!M1851)</f>
        <v/>
      </c>
      <c r="N1851" s="79">
        <f>IF('Ordenes_Odoo'!N1851="","",'Ordenes_Odoo'!N1851)</f>
        <v/>
      </c>
      <c r="O1851" s="81">
        <f>IF('Ordenes_Odoo'!O1851="","",'Ordenes_Odoo'!O1851)</f>
        <v/>
      </c>
      <c r="P1851" s="81">
        <f>IF('Ordenes_Odoo'!P1851="","",'Ordenes_Odoo'!P1851)</f>
        <v/>
      </c>
      <c r="Q1851" s="79">
        <f>IF(A1851="","",IFERROR(INDEX(Facturas_Odoo!$B:$B, MATCH(A1851, Facturas_Odoo!$D:$D, 0)), "Sin Factura"))</f>
        <v/>
      </c>
      <c r="R1851" s="80">
        <f>IF(Q1851="Sin Factura","",IFERROR(INDEX(Facturas_Odoo!$A:$A, MATCH(Q1851, Facturas_Odoo!$B:$B, 0)), ""))</f>
        <v/>
      </c>
      <c r="S1851" s="79">
        <f>IF(Q1851="Sin Factura","",IFERROR(_xlfn.XLOOKUP(1, (Facturas_Odoo!$D:$D=A1851) * (Facturas_Odoo!$K:$K=I1851), Facturas_Odoo!$L:$L, ""), ""))</f>
        <v/>
      </c>
      <c r="T1851" s="81">
        <f>IF(Q1851="Sin Factura",0,IFERROR(_xlfn.XLOOKUP(1, (Facturas_Odoo!$D:$D=A1851) * (Facturas_Odoo!$K:$K=I1851), Facturas_Odoo!$M:$M, 0), 0))</f>
        <v/>
      </c>
      <c r="U1851" s="79">
        <f>IF(Q1851="Sin Factura",0,IFERROR(_xlfn.XLOOKUP(1, (Facturas_Odoo!$D:$D=A1851) * (Facturas_Odoo!$K:$K=I1851), Facturas_Odoo!$N:$N, 0), 0))</f>
        <v/>
      </c>
      <c r="V1851" s="79">
        <f>IF(Q1851="Sin Factura",0,IFERROR(_xlfn.XLOOKUP(1, (Facturas_Odoo!$D:$D=A1851) * (Facturas_Odoo!$K:$K=I1851), Facturas_Odoo!$O:$O, 0), 0))</f>
        <v/>
      </c>
      <c r="W1851" s="81">
        <f>IF(Q1851="Sin Factura",0,IFERROR(_xlfn.XLOOKUP(1, (Facturas_Odoo!$D:$D=A1851) * (Facturas_Odoo!$K:$K=I1851), Facturas_Odoo!$Q:$Q, 0), 0))</f>
        <v/>
      </c>
      <c r="X1851" s="79">
        <f>IF(OR(Q1851="Sin Factura",Q1851=""),"",IFERROR(INDEX(Pagos_Odoo!$B:$B, MATCH(Q1851, Pagos_Odoo!$I:$I, 0)), "Sin Pago"))</f>
        <v/>
      </c>
      <c r="Y1851" s="79">
        <f>IF(X1851="Sin Pago","",IFERROR(INDEX(Pagos_Odoo!$C:$C, MATCH(X1851, Pagos_Odoo!$B:$B, 0)), ""))</f>
        <v/>
      </c>
      <c r="Z1851" s="80">
        <f>IF(X1851="Sin Pago","",IFERROR(INDEX(Pagos_Odoo!$A:$A, MATCH(X1851, Pagos_Odoo!$B:$B, 0)), ""))</f>
        <v/>
      </c>
      <c r="AA1851" s="79">
        <f>IF(X1851="Sin Pago","",IFERROR(INDEX(Pagos_Odoo!$F:$F, MATCH(X1851, Pagos_Odoo!$B:$B, 0)), ""))</f>
        <v/>
      </c>
      <c r="AB1851" s="81">
        <f>IF(X1851="Sin Pago",0,IFERROR(INDEX(Pagos_Odoo!$E:$E, MATCH(X1851, Pagos_Odoo!$B:$B, 0)), 0))</f>
        <v/>
      </c>
      <c r="AC1851" s="79">
        <f>IF(X1851="Sin Pago","",IFERROR(INDEX(Pagos_Odoo!$G:$G, MATCH(X1851, Pagos_Odoo!$B:$B, 0)), ""))</f>
        <v/>
      </c>
      <c r="AD1851" s="82" t="n">
        <v>0</v>
      </c>
      <c r="AE1851" s="82" t="n"/>
      <c r="AF1851" s="82" t="n"/>
      <c r="AG1851" s="82">
        <f>IF(AN1851="","",AD1851+AE1851+AF1851)</f>
        <v/>
      </c>
      <c r="AH1851" s="81">
        <f>IF(AN1851="","",P1851*(1-AG1851))</f>
        <v/>
      </c>
      <c r="AI1851" s="81">
        <f>IF(AN1851="","",IF(Q1851="Sin Factura",0,IFERROR(INDEX(Facturas_Odoo!$H:$H, MATCH(Q1851, Facturas_Odoo!$B:$B, 0)), 0)*(1-AG1851)))</f>
        <v/>
      </c>
      <c r="AJ1851" s="81">
        <f>IF(AN1851="","",_xlfn.LET(idVenta, AN1851&amp;"",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51" s="81">
        <f>IF(AN1851="","",AH1851-AJ1851)</f>
        <v/>
      </c>
      <c r="AL1851" s="81">
        <f>IF(AN1851="","",IF(Q1851="Sin Factura","",AI1851-AJ1851))</f>
        <v/>
      </c>
      <c r="AM1851" s="81">
        <f>IF(AN1851="","",IF(Q1851="Sin Factura",0,P1851-IFERROR(INDEX(Facturas_Odoo!$H:$H, MATCH(Q1851, Facturas_Odoo!$B:$B, 0)), 0)))</f>
        <v/>
      </c>
      <c r="AN1851" s="79">
        <f>IF(AND(A1851="", J1851=""), "", IF(A1851&lt;&gt;"", VALUE(MID(A1851,2,LEN(A1851))), AN1850))</f>
        <v/>
      </c>
      <c r="AO1851" s="79">
        <f>IF(AN1851="","",IF(AD1851=0,"OK",_xlfn.LET(monedaPago, IF(AA1851="","USD",AA1851), limitePermitido, IFERROR(VLOOKUP(monedaPago, Configuración!$A$2:$B$3, 2, FALSE), 0.15), IF(AD1851&gt;limitePermitido, "ALERTA: EXCESO (" &amp; TEXT(limitePermitido, "0%") &amp; " máx)", "OK"))))</f>
        <v/>
      </c>
      <c r="AP1851" s="79">
        <f>IF(AN1851="","",IF(AE1851=0,"OK",_xlfn.LET(fechaPago, Z1851, fechaFactura, R1851, diasCredito, IF(E1851="Pago inmediato", 0, IFERROR(VALUE(MID(E1851, 1, SEARCH(" ", E1851)-1)),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51" s="79">
        <f>IF(AN1851="","",IF(AND(N1851&gt;0, AG1851&gt;0), IF(Configuración!$K$2="NO", "ALERTA: DESCUENTO DOBLE NO PERMITIDO", "OK"), "OK"))</f>
        <v/>
      </c>
      <c r="AR1851" s="79">
        <f>IF(AN1851="","",IF(OR(AO1851&lt;&gt;"OK", AP1851&lt;&gt;"OK", AQ1851&lt;&gt;"OK"), "⚠️ REVISAR", "OK"))</f>
        <v/>
      </c>
    </row>
    <row r="1852">
      <c r="A1852" s="79">
        <f>IF('Ordenes_Odoo'!A1852="","",'Ordenes_Odoo'!A1852)</f>
        <v/>
      </c>
      <c r="B1852" s="80">
        <f>IF('Ordenes_Odoo'!B1852="","",'Ordenes_Odoo'!B1852)</f>
        <v/>
      </c>
      <c r="C1852" s="79">
        <f>IF('Ordenes_Odoo'!C1852="","",'Ordenes_Odoo'!C1852)</f>
        <v/>
      </c>
      <c r="D1852" s="79">
        <f>IF('Ordenes_Odoo'!D1852="","",'Ordenes_Odoo'!D1852)</f>
        <v/>
      </c>
      <c r="E1852" s="79">
        <f>IF('Ordenes_Odoo'!E1852="","",'Ordenes_Odoo'!E1852)</f>
        <v/>
      </c>
      <c r="F1852" s="79">
        <f>IF('Ordenes_Odoo'!F1852="","",'Ordenes_Odoo'!F1852)</f>
        <v/>
      </c>
      <c r="G1852" s="79">
        <f>IF('Ordenes_Odoo'!G1852="","",'Ordenes_Odoo'!G1852)</f>
        <v/>
      </c>
      <c r="H1852" s="79">
        <f>IF('Ordenes_Odoo'!H1852="","",'Ordenes_Odoo'!H1852)</f>
        <v/>
      </c>
      <c r="I1852" s="79">
        <f>IF('Ordenes_Odoo'!I1852="","",'Ordenes_Odoo'!I1852)</f>
        <v/>
      </c>
      <c r="J1852" s="79">
        <f>IF('Ordenes_Odoo'!J1852="","",'Ordenes_Odoo'!J1852)</f>
        <v/>
      </c>
      <c r="K1852" s="81">
        <f>IF('Ordenes_Odoo'!K1852="","",'Ordenes_Odoo'!K1852)</f>
        <v/>
      </c>
      <c r="L1852" s="81">
        <f>IF('Ordenes_Odoo'!L1852="","",'Ordenes_Odoo'!L1852)</f>
        <v/>
      </c>
      <c r="M1852" s="79">
        <f>IF('Ordenes_Odoo'!M1852="","",'Ordenes_Odoo'!M1852)</f>
        <v/>
      </c>
      <c r="N1852" s="79">
        <f>IF('Ordenes_Odoo'!N1852="","",'Ordenes_Odoo'!N1852)</f>
        <v/>
      </c>
      <c r="O1852" s="81">
        <f>IF('Ordenes_Odoo'!O1852="","",'Ordenes_Odoo'!O1852)</f>
        <v/>
      </c>
      <c r="P1852" s="81">
        <f>IF('Ordenes_Odoo'!P1852="","",'Ordenes_Odoo'!P1852)</f>
        <v/>
      </c>
      <c r="Q1852" s="79">
        <f>IF(A1852="","",IFERROR(INDEX(Facturas_Odoo!$B:$B, MATCH(A1852, Facturas_Odoo!$D:$D, 0)), "Sin Factura"))</f>
        <v/>
      </c>
      <c r="R1852" s="80">
        <f>IF(Q1852="Sin Factura","",IFERROR(INDEX(Facturas_Odoo!$A:$A, MATCH(Q1852, Facturas_Odoo!$B:$B, 0)), ""))</f>
        <v/>
      </c>
      <c r="S1852" s="79">
        <f>IF(Q1852="Sin Factura","",IFERROR(_xlfn.XLOOKUP(1, (Facturas_Odoo!$D:$D=A1852) * (Facturas_Odoo!$K:$K=I1852), Facturas_Odoo!$L:$L, ""), ""))</f>
        <v/>
      </c>
      <c r="T1852" s="81">
        <f>IF(Q1852="Sin Factura",0,IFERROR(_xlfn.XLOOKUP(1, (Facturas_Odoo!$D:$D=A1852) * (Facturas_Odoo!$K:$K=I1852), Facturas_Odoo!$M:$M, 0), 0))</f>
        <v/>
      </c>
      <c r="U1852" s="79">
        <f>IF(Q1852="Sin Factura",0,IFERROR(_xlfn.XLOOKUP(1, (Facturas_Odoo!$D:$D=A1852) * (Facturas_Odoo!$K:$K=I1852), Facturas_Odoo!$N:$N, 0), 0))</f>
        <v/>
      </c>
      <c r="V1852" s="79">
        <f>IF(Q1852="Sin Factura",0,IFERROR(_xlfn.XLOOKUP(1, (Facturas_Odoo!$D:$D=A1852) * (Facturas_Odoo!$K:$K=I1852), Facturas_Odoo!$O:$O, 0), 0))</f>
        <v/>
      </c>
      <c r="W1852" s="81">
        <f>IF(Q1852="Sin Factura",0,IFERROR(_xlfn.XLOOKUP(1, (Facturas_Odoo!$D:$D=A1852) * (Facturas_Odoo!$K:$K=I1852), Facturas_Odoo!$Q:$Q, 0), 0))</f>
        <v/>
      </c>
      <c r="X1852" s="79">
        <f>IF(OR(Q1852="Sin Factura",Q1852=""),"",IFERROR(INDEX(Pagos_Odoo!$B:$B, MATCH(Q1852, Pagos_Odoo!$I:$I, 0)), "Sin Pago"))</f>
        <v/>
      </c>
      <c r="Y1852" s="79">
        <f>IF(X1852="Sin Pago","",IFERROR(INDEX(Pagos_Odoo!$C:$C, MATCH(X1852, Pagos_Odoo!$B:$B, 0)), ""))</f>
        <v/>
      </c>
      <c r="Z1852" s="80">
        <f>IF(X1852="Sin Pago","",IFERROR(INDEX(Pagos_Odoo!$A:$A, MATCH(X1852, Pagos_Odoo!$B:$B, 0)), ""))</f>
        <v/>
      </c>
      <c r="AA1852" s="79">
        <f>IF(X1852="Sin Pago","",IFERROR(INDEX(Pagos_Odoo!$F:$F, MATCH(X1852, Pagos_Odoo!$B:$B, 0)), ""))</f>
        <v/>
      </c>
      <c r="AB1852" s="81">
        <f>IF(X1852="Sin Pago",0,IFERROR(INDEX(Pagos_Odoo!$E:$E, MATCH(X1852, Pagos_Odoo!$B:$B, 0)), 0))</f>
        <v/>
      </c>
      <c r="AC1852" s="79">
        <f>IF(X1852="Sin Pago","",IFERROR(INDEX(Pagos_Odoo!$G:$G, MATCH(X1852, Pagos_Odoo!$B:$B, 0)), ""))</f>
        <v/>
      </c>
      <c r="AD1852" s="82" t="n">
        <v>0</v>
      </c>
      <c r="AE1852" s="82" t="n"/>
      <c r="AF1852" s="82" t="n"/>
      <c r="AG1852" s="82">
        <f>IF(AN1852="","",AD1852+AE1852+AF1852)</f>
        <v/>
      </c>
      <c r="AH1852" s="81">
        <f>IF(AN1852="","",P1852*(1-AG1852))</f>
        <v/>
      </c>
      <c r="AI1852" s="81">
        <f>IF(AN1852="","",IF(Q1852="Sin Factura",0,IFERROR(INDEX(Facturas_Odoo!$H:$H, MATCH(Q1852, Facturas_Odoo!$B:$B, 0)), 0)*(1-AG1852)))</f>
        <v/>
      </c>
      <c r="AJ1852" s="81">
        <f>IF(AN1852="","",_xlfn.LET(idVenta, AN1852&amp;"",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52" s="81">
        <f>IF(AN1852="","",AH1852-AJ1852)</f>
        <v/>
      </c>
      <c r="AL1852" s="81">
        <f>IF(AN1852="","",IF(Q1852="Sin Factura","",AI1852-AJ1852))</f>
        <v/>
      </c>
      <c r="AM1852" s="81">
        <f>IF(AN1852="","",IF(Q1852="Sin Factura",0,P1852-IFERROR(INDEX(Facturas_Odoo!$H:$H, MATCH(Q1852, Facturas_Odoo!$B:$B, 0)), 0)))</f>
        <v/>
      </c>
      <c r="AN1852" s="79">
        <f>IF(AND(A1852="", J1852=""), "", IF(A1852&lt;&gt;"", VALUE(MID(A1852,2,LEN(A1852))), AN1851))</f>
        <v/>
      </c>
      <c r="AO1852" s="79">
        <f>IF(AN1852="","",IF(AD1852=0,"OK",_xlfn.LET(monedaPago, IF(AA1852="","USD",AA1852), limitePermitido, IFERROR(VLOOKUP(monedaPago, Configuración!$A$2:$B$3, 2, FALSE), 0.15), IF(AD1852&gt;limitePermitido, "ALERTA: EXCESO (" &amp; TEXT(limitePermitido, "0%") &amp; " máx)", "OK"))))</f>
        <v/>
      </c>
      <c r="AP1852" s="79">
        <f>IF(AN1852="","",IF(AE1852=0,"OK",_xlfn.LET(fechaPago, Z1852, fechaFactura, R1852, diasCredito, IF(E1852="Pago inmediato", 0, IFERROR(VALUE(MID(E1852, 1, SEARCH(" ", E1852)-1)),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52" s="79">
        <f>IF(AN1852="","",IF(AND(N1852&gt;0, AG1852&gt;0), IF(Configuración!$K$2="NO", "ALERTA: DESCUENTO DOBLE NO PERMITIDO", "OK"), "OK"))</f>
        <v/>
      </c>
      <c r="AR1852" s="79">
        <f>IF(AN1852="","",IF(OR(AO1852&lt;&gt;"OK", AP1852&lt;&gt;"OK", AQ1852&lt;&gt;"OK"), "⚠️ REVISAR", "OK"))</f>
        <v/>
      </c>
    </row>
    <row r="1853">
      <c r="A1853" s="79">
        <f>IF('Ordenes_Odoo'!A1853="","",'Ordenes_Odoo'!A1853)</f>
        <v/>
      </c>
      <c r="B1853" s="80">
        <f>IF('Ordenes_Odoo'!B1853="","",'Ordenes_Odoo'!B1853)</f>
        <v/>
      </c>
      <c r="C1853" s="79">
        <f>IF('Ordenes_Odoo'!C1853="","",'Ordenes_Odoo'!C1853)</f>
        <v/>
      </c>
      <c r="D1853" s="79">
        <f>IF('Ordenes_Odoo'!D1853="","",'Ordenes_Odoo'!D1853)</f>
        <v/>
      </c>
      <c r="E1853" s="79">
        <f>IF('Ordenes_Odoo'!E1853="","",'Ordenes_Odoo'!E1853)</f>
        <v/>
      </c>
      <c r="F1853" s="79">
        <f>IF('Ordenes_Odoo'!F1853="","",'Ordenes_Odoo'!F1853)</f>
        <v/>
      </c>
      <c r="G1853" s="79">
        <f>IF('Ordenes_Odoo'!G1853="","",'Ordenes_Odoo'!G1853)</f>
        <v/>
      </c>
      <c r="H1853" s="79">
        <f>IF('Ordenes_Odoo'!H1853="","",'Ordenes_Odoo'!H1853)</f>
        <v/>
      </c>
      <c r="I1853" s="79">
        <f>IF('Ordenes_Odoo'!I1853="","",'Ordenes_Odoo'!I1853)</f>
        <v/>
      </c>
      <c r="J1853" s="79">
        <f>IF('Ordenes_Odoo'!J1853="","",'Ordenes_Odoo'!J1853)</f>
        <v/>
      </c>
      <c r="K1853" s="81">
        <f>IF('Ordenes_Odoo'!K1853="","",'Ordenes_Odoo'!K1853)</f>
        <v/>
      </c>
      <c r="L1853" s="81">
        <f>IF('Ordenes_Odoo'!L1853="","",'Ordenes_Odoo'!L1853)</f>
        <v/>
      </c>
      <c r="M1853" s="79">
        <f>IF('Ordenes_Odoo'!M1853="","",'Ordenes_Odoo'!M1853)</f>
        <v/>
      </c>
      <c r="N1853" s="79">
        <f>IF('Ordenes_Odoo'!N1853="","",'Ordenes_Odoo'!N1853)</f>
        <v/>
      </c>
      <c r="O1853" s="81">
        <f>IF('Ordenes_Odoo'!O1853="","",'Ordenes_Odoo'!O1853)</f>
        <v/>
      </c>
      <c r="P1853" s="81">
        <f>IF('Ordenes_Odoo'!P1853="","",'Ordenes_Odoo'!P1853)</f>
        <v/>
      </c>
      <c r="Q1853" s="79">
        <f>IF(A1853="","",IFERROR(INDEX(Facturas_Odoo!$B:$B, MATCH(A1853, Facturas_Odoo!$D:$D, 0)), "Sin Factura"))</f>
        <v/>
      </c>
      <c r="R1853" s="80">
        <f>IF(Q1853="Sin Factura","",IFERROR(INDEX(Facturas_Odoo!$A:$A, MATCH(Q1853, Facturas_Odoo!$B:$B, 0)), ""))</f>
        <v/>
      </c>
      <c r="S1853" s="79">
        <f>IF(Q1853="Sin Factura","",IFERROR(_xlfn.XLOOKUP(1, (Facturas_Odoo!$D:$D=A1853) * (Facturas_Odoo!$K:$K=I1853), Facturas_Odoo!$L:$L, ""), ""))</f>
        <v/>
      </c>
      <c r="T1853" s="81">
        <f>IF(Q1853="Sin Factura",0,IFERROR(_xlfn.XLOOKUP(1, (Facturas_Odoo!$D:$D=A1853) * (Facturas_Odoo!$K:$K=I1853), Facturas_Odoo!$M:$M, 0), 0))</f>
        <v/>
      </c>
      <c r="U1853" s="79">
        <f>IF(Q1853="Sin Factura",0,IFERROR(_xlfn.XLOOKUP(1, (Facturas_Odoo!$D:$D=A1853) * (Facturas_Odoo!$K:$K=I1853), Facturas_Odoo!$N:$N, 0), 0))</f>
        <v/>
      </c>
      <c r="V1853" s="79">
        <f>IF(Q1853="Sin Factura",0,IFERROR(_xlfn.XLOOKUP(1, (Facturas_Odoo!$D:$D=A1853) * (Facturas_Odoo!$K:$K=I1853), Facturas_Odoo!$O:$O, 0), 0))</f>
        <v/>
      </c>
      <c r="W1853" s="81">
        <f>IF(Q1853="Sin Factura",0,IFERROR(_xlfn.XLOOKUP(1, (Facturas_Odoo!$D:$D=A1853) * (Facturas_Odoo!$K:$K=I1853), Facturas_Odoo!$Q:$Q, 0), 0))</f>
        <v/>
      </c>
      <c r="X1853" s="79">
        <f>IF(OR(Q1853="Sin Factura",Q1853=""),"",IFERROR(INDEX(Pagos_Odoo!$B:$B, MATCH(Q1853, Pagos_Odoo!$I:$I, 0)), "Sin Pago"))</f>
        <v/>
      </c>
      <c r="Y1853" s="79">
        <f>IF(X1853="Sin Pago","",IFERROR(INDEX(Pagos_Odoo!$C:$C, MATCH(X1853, Pagos_Odoo!$B:$B, 0)), ""))</f>
        <v/>
      </c>
      <c r="Z1853" s="80">
        <f>IF(X1853="Sin Pago","",IFERROR(INDEX(Pagos_Odoo!$A:$A, MATCH(X1853, Pagos_Odoo!$B:$B, 0)), ""))</f>
        <v/>
      </c>
      <c r="AA1853" s="79">
        <f>IF(X1853="Sin Pago","",IFERROR(INDEX(Pagos_Odoo!$F:$F, MATCH(X1853, Pagos_Odoo!$B:$B, 0)), ""))</f>
        <v/>
      </c>
      <c r="AB1853" s="81">
        <f>IF(X1853="Sin Pago",0,IFERROR(INDEX(Pagos_Odoo!$E:$E, MATCH(X1853, Pagos_Odoo!$B:$B, 0)), 0))</f>
        <v/>
      </c>
      <c r="AC1853" s="79">
        <f>IF(X1853="Sin Pago","",IFERROR(INDEX(Pagos_Odoo!$G:$G, MATCH(X1853, Pagos_Odoo!$B:$B, 0)), ""))</f>
        <v/>
      </c>
      <c r="AD1853" s="82" t="n">
        <v>0</v>
      </c>
      <c r="AE1853" s="82" t="n"/>
      <c r="AF1853" s="82" t="n"/>
      <c r="AG1853" s="82">
        <f>IF(AN1853="","",AD1853+AE1853+AF1853)</f>
        <v/>
      </c>
      <c r="AH1853" s="81">
        <f>IF(AN1853="","",P1853*(1-AG1853))</f>
        <v/>
      </c>
      <c r="AI1853" s="81">
        <f>IF(AN1853="","",IF(Q1853="Sin Factura",0,IFERROR(INDEX(Facturas_Odoo!$H:$H, MATCH(Q1853, Facturas_Odoo!$B:$B, 0)), 0)*(1-AG1853)))</f>
        <v/>
      </c>
      <c r="AJ1853" s="81">
        <f>IF(AN1853="","",_xlfn.LET(idVenta, AN1853&amp;"",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53" s="81">
        <f>IF(AN1853="","",AH1853-AJ1853)</f>
        <v/>
      </c>
      <c r="AL1853" s="81">
        <f>IF(AN1853="","",IF(Q1853="Sin Factura","",AI1853-AJ1853))</f>
        <v/>
      </c>
      <c r="AM1853" s="81">
        <f>IF(AN1853="","",IF(Q1853="Sin Factura",0,P1853-IFERROR(INDEX(Facturas_Odoo!$H:$H, MATCH(Q1853, Facturas_Odoo!$B:$B, 0)), 0)))</f>
        <v/>
      </c>
      <c r="AN1853" s="79">
        <f>IF(AND(A1853="", J1853=""), "", IF(A1853&lt;&gt;"", VALUE(MID(A1853,2,LEN(A1853))), AN1852))</f>
        <v/>
      </c>
      <c r="AO1853" s="79">
        <f>IF(AN1853="","",IF(AD1853=0,"OK",_xlfn.LET(monedaPago, IF(AA1853="","USD",AA1853), limitePermitido, IFERROR(VLOOKUP(monedaPago, Configuración!$A$2:$B$3, 2, FALSE), 0.15), IF(AD1853&gt;limitePermitido, "ALERTA: EXCESO (" &amp; TEXT(limitePermitido, "0%") &amp; " máx)", "OK"))))</f>
        <v/>
      </c>
      <c r="AP1853" s="79">
        <f>IF(AN1853="","",IF(AE1853=0,"OK",_xlfn.LET(fechaPago, Z1853, fechaFactura, R1853, diasCredito, IF(E1853="Pago inmediato", 0, IFERROR(VALUE(MID(E1853, 1, SEARCH(" ", E1853)-1)),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53" s="79">
        <f>IF(AN1853="","",IF(AND(N1853&gt;0, AG1853&gt;0), IF(Configuración!$K$2="NO", "ALERTA: DESCUENTO DOBLE NO PERMITIDO", "OK"), "OK"))</f>
        <v/>
      </c>
      <c r="AR1853" s="79">
        <f>IF(AN1853="","",IF(OR(AO1853&lt;&gt;"OK", AP1853&lt;&gt;"OK", AQ1853&lt;&gt;"OK"), "⚠️ REVISAR", "OK"))</f>
        <v/>
      </c>
    </row>
    <row r="1854">
      <c r="A1854" s="79">
        <f>IF('Ordenes_Odoo'!A1854="","",'Ordenes_Odoo'!A1854)</f>
        <v/>
      </c>
      <c r="B1854" s="80">
        <f>IF('Ordenes_Odoo'!B1854="","",'Ordenes_Odoo'!B1854)</f>
        <v/>
      </c>
      <c r="C1854" s="79">
        <f>IF('Ordenes_Odoo'!C1854="","",'Ordenes_Odoo'!C1854)</f>
        <v/>
      </c>
      <c r="D1854" s="79">
        <f>IF('Ordenes_Odoo'!D1854="","",'Ordenes_Odoo'!D1854)</f>
        <v/>
      </c>
      <c r="E1854" s="79">
        <f>IF('Ordenes_Odoo'!E1854="","",'Ordenes_Odoo'!E1854)</f>
        <v/>
      </c>
      <c r="F1854" s="79">
        <f>IF('Ordenes_Odoo'!F1854="","",'Ordenes_Odoo'!F1854)</f>
        <v/>
      </c>
      <c r="G1854" s="79">
        <f>IF('Ordenes_Odoo'!G1854="","",'Ordenes_Odoo'!G1854)</f>
        <v/>
      </c>
      <c r="H1854" s="79">
        <f>IF('Ordenes_Odoo'!H1854="","",'Ordenes_Odoo'!H1854)</f>
        <v/>
      </c>
      <c r="I1854" s="79">
        <f>IF('Ordenes_Odoo'!I1854="","",'Ordenes_Odoo'!I1854)</f>
        <v/>
      </c>
      <c r="J1854" s="79">
        <f>IF('Ordenes_Odoo'!J1854="","",'Ordenes_Odoo'!J1854)</f>
        <v/>
      </c>
      <c r="K1854" s="81">
        <f>IF('Ordenes_Odoo'!K1854="","",'Ordenes_Odoo'!K1854)</f>
        <v/>
      </c>
      <c r="L1854" s="81">
        <f>IF('Ordenes_Odoo'!L1854="","",'Ordenes_Odoo'!L1854)</f>
        <v/>
      </c>
      <c r="M1854" s="79">
        <f>IF('Ordenes_Odoo'!M1854="","",'Ordenes_Odoo'!M1854)</f>
        <v/>
      </c>
      <c r="N1854" s="79">
        <f>IF('Ordenes_Odoo'!N1854="","",'Ordenes_Odoo'!N1854)</f>
        <v/>
      </c>
      <c r="O1854" s="81">
        <f>IF('Ordenes_Odoo'!O1854="","",'Ordenes_Odoo'!O1854)</f>
        <v/>
      </c>
      <c r="P1854" s="81">
        <f>IF('Ordenes_Odoo'!P1854="","",'Ordenes_Odoo'!P1854)</f>
        <v/>
      </c>
      <c r="Q1854" s="79">
        <f>IF(A1854="","",IFERROR(INDEX(Facturas_Odoo!$B:$B, MATCH(A1854, Facturas_Odoo!$D:$D, 0)), "Sin Factura"))</f>
        <v/>
      </c>
      <c r="R1854" s="80">
        <f>IF(Q1854="Sin Factura","",IFERROR(INDEX(Facturas_Odoo!$A:$A, MATCH(Q1854, Facturas_Odoo!$B:$B, 0)), ""))</f>
        <v/>
      </c>
      <c r="S1854" s="79">
        <f>IF(Q1854="Sin Factura","",IFERROR(_xlfn.XLOOKUP(1, (Facturas_Odoo!$D:$D=A1854) * (Facturas_Odoo!$K:$K=I1854), Facturas_Odoo!$L:$L, ""), ""))</f>
        <v/>
      </c>
      <c r="T1854" s="81">
        <f>IF(Q1854="Sin Factura",0,IFERROR(_xlfn.XLOOKUP(1, (Facturas_Odoo!$D:$D=A1854) * (Facturas_Odoo!$K:$K=I1854), Facturas_Odoo!$M:$M, 0), 0))</f>
        <v/>
      </c>
      <c r="U1854" s="79">
        <f>IF(Q1854="Sin Factura",0,IFERROR(_xlfn.XLOOKUP(1, (Facturas_Odoo!$D:$D=A1854) * (Facturas_Odoo!$K:$K=I1854), Facturas_Odoo!$N:$N, 0), 0))</f>
        <v/>
      </c>
      <c r="V1854" s="79">
        <f>IF(Q1854="Sin Factura",0,IFERROR(_xlfn.XLOOKUP(1, (Facturas_Odoo!$D:$D=A1854) * (Facturas_Odoo!$K:$K=I1854), Facturas_Odoo!$O:$O, 0), 0))</f>
        <v/>
      </c>
      <c r="W1854" s="81">
        <f>IF(Q1854="Sin Factura",0,IFERROR(_xlfn.XLOOKUP(1, (Facturas_Odoo!$D:$D=A1854) * (Facturas_Odoo!$K:$K=I1854), Facturas_Odoo!$Q:$Q, 0), 0))</f>
        <v/>
      </c>
      <c r="X1854" s="79">
        <f>IF(OR(Q1854="Sin Factura",Q1854=""),"",IFERROR(INDEX(Pagos_Odoo!$B:$B, MATCH(Q1854, Pagos_Odoo!$I:$I, 0)), "Sin Pago"))</f>
        <v/>
      </c>
      <c r="Y1854" s="79">
        <f>IF(X1854="Sin Pago","",IFERROR(INDEX(Pagos_Odoo!$C:$C, MATCH(X1854, Pagos_Odoo!$B:$B, 0)), ""))</f>
        <v/>
      </c>
      <c r="Z1854" s="80">
        <f>IF(X1854="Sin Pago","",IFERROR(INDEX(Pagos_Odoo!$A:$A, MATCH(X1854, Pagos_Odoo!$B:$B, 0)), ""))</f>
        <v/>
      </c>
      <c r="AA1854" s="79">
        <f>IF(X1854="Sin Pago","",IFERROR(INDEX(Pagos_Odoo!$F:$F, MATCH(X1854, Pagos_Odoo!$B:$B, 0)), ""))</f>
        <v/>
      </c>
      <c r="AB1854" s="81">
        <f>IF(X1854="Sin Pago",0,IFERROR(INDEX(Pagos_Odoo!$E:$E, MATCH(X1854, Pagos_Odoo!$B:$B, 0)), 0))</f>
        <v/>
      </c>
      <c r="AC1854" s="79">
        <f>IF(X1854="Sin Pago","",IFERROR(INDEX(Pagos_Odoo!$G:$G, MATCH(X1854, Pagos_Odoo!$B:$B, 0)), ""))</f>
        <v/>
      </c>
      <c r="AD1854" s="82" t="n">
        <v>0</v>
      </c>
      <c r="AE1854" s="82" t="n"/>
      <c r="AF1854" s="82" t="n"/>
      <c r="AG1854" s="82">
        <f>IF(AN1854="","",AD1854+AE1854+AF1854)</f>
        <v/>
      </c>
      <c r="AH1854" s="81">
        <f>IF(AN1854="","",P1854*(1-AG1854))</f>
        <v/>
      </c>
      <c r="AI1854" s="81">
        <f>IF(AN1854="","",IF(Q1854="Sin Factura",0,IFERROR(INDEX(Facturas_Odoo!$H:$H, MATCH(Q1854, Facturas_Odoo!$B:$B, 0)), 0)*(1-AG1854)))</f>
        <v/>
      </c>
      <c r="AJ1854" s="81">
        <f>IF(AN1854="","",_xlfn.LET(idVenta, AN1854&amp;"",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54" s="81">
        <f>IF(AN1854="","",AH1854-AJ1854)</f>
        <v/>
      </c>
      <c r="AL1854" s="81">
        <f>IF(AN1854="","",IF(Q1854="Sin Factura","",AI1854-AJ1854))</f>
        <v/>
      </c>
      <c r="AM1854" s="81">
        <f>IF(AN1854="","",IF(Q1854="Sin Factura",0,P1854-IFERROR(INDEX(Facturas_Odoo!$H:$H, MATCH(Q1854, Facturas_Odoo!$B:$B, 0)), 0)))</f>
        <v/>
      </c>
      <c r="AN1854" s="79">
        <f>IF(AND(A1854="", J1854=""), "", IF(A1854&lt;&gt;"", VALUE(MID(A1854,2,LEN(A1854))), AN1853))</f>
        <v/>
      </c>
      <c r="AO1854" s="79">
        <f>IF(AN1854="","",IF(AD1854=0,"OK",_xlfn.LET(monedaPago, IF(AA1854="","USD",AA1854), limitePermitido, IFERROR(VLOOKUP(monedaPago, Configuración!$A$2:$B$3, 2, FALSE), 0.15), IF(AD1854&gt;limitePermitido, "ALERTA: EXCESO (" &amp; TEXT(limitePermitido, "0%") &amp; " máx)", "OK"))))</f>
        <v/>
      </c>
      <c r="AP1854" s="79">
        <f>IF(AN1854="","",IF(AE1854=0,"OK",_xlfn.LET(fechaPago, Z1854, fechaFactura, R1854, diasCredito, IF(E1854="Pago inmediato", 0, IFERROR(VALUE(MID(E1854, 1, SEARCH(" ", E1854)-1)),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54" s="79">
        <f>IF(AN1854="","",IF(AND(N1854&gt;0, AG1854&gt;0), IF(Configuración!$K$2="NO", "ALERTA: DESCUENTO DOBLE NO PERMITIDO", "OK"), "OK"))</f>
        <v/>
      </c>
      <c r="AR1854" s="79">
        <f>IF(AN1854="","",IF(OR(AO1854&lt;&gt;"OK", AP1854&lt;&gt;"OK", AQ1854&lt;&gt;"OK"), "⚠️ REVISAR", "OK"))</f>
        <v/>
      </c>
    </row>
    <row r="1855">
      <c r="A1855" s="79">
        <f>IF('Ordenes_Odoo'!A1855="","",'Ordenes_Odoo'!A1855)</f>
        <v/>
      </c>
      <c r="B1855" s="80">
        <f>IF('Ordenes_Odoo'!B1855="","",'Ordenes_Odoo'!B1855)</f>
        <v/>
      </c>
      <c r="C1855" s="79">
        <f>IF('Ordenes_Odoo'!C1855="","",'Ordenes_Odoo'!C1855)</f>
        <v/>
      </c>
      <c r="D1855" s="79">
        <f>IF('Ordenes_Odoo'!D1855="","",'Ordenes_Odoo'!D1855)</f>
        <v/>
      </c>
      <c r="E1855" s="79">
        <f>IF('Ordenes_Odoo'!E1855="","",'Ordenes_Odoo'!E1855)</f>
        <v/>
      </c>
      <c r="F1855" s="79">
        <f>IF('Ordenes_Odoo'!F1855="","",'Ordenes_Odoo'!F1855)</f>
        <v/>
      </c>
      <c r="G1855" s="79">
        <f>IF('Ordenes_Odoo'!G1855="","",'Ordenes_Odoo'!G1855)</f>
        <v/>
      </c>
      <c r="H1855" s="79">
        <f>IF('Ordenes_Odoo'!H1855="","",'Ordenes_Odoo'!H1855)</f>
        <v/>
      </c>
      <c r="I1855" s="79">
        <f>IF('Ordenes_Odoo'!I1855="","",'Ordenes_Odoo'!I1855)</f>
        <v/>
      </c>
      <c r="J1855" s="79">
        <f>IF('Ordenes_Odoo'!J1855="","",'Ordenes_Odoo'!J1855)</f>
        <v/>
      </c>
      <c r="K1855" s="81">
        <f>IF('Ordenes_Odoo'!K1855="","",'Ordenes_Odoo'!K1855)</f>
        <v/>
      </c>
      <c r="L1855" s="81">
        <f>IF('Ordenes_Odoo'!L1855="","",'Ordenes_Odoo'!L1855)</f>
        <v/>
      </c>
      <c r="M1855" s="79">
        <f>IF('Ordenes_Odoo'!M1855="","",'Ordenes_Odoo'!M1855)</f>
        <v/>
      </c>
      <c r="N1855" s="79">
        <f>IF('Ordenes_Odoo'!N1855="","",'Ordenes_Odoo'!N1855)</f>
        <v/>
      </c>
      <c r="O1855" s="81">
        <f>IF('Ordenes_Odoo'!O1855="","",'Ordenes_Odoo'!O1855)</f>
        <v/>
      </c>
      <c r="P1855" s="81">
        <f>IF('Ordenes_Odoo'!P1855="","",'Ordenes_Odoo'!P1855)</f>
        <v/>
      </c>
      <c r="Q1855" s="79">
        <f>IF(A1855="","",IFERROR(INDEX(Facturas_Odoo!$B:$B, MATCH(A1855, Facturas_Odoo!$D:$D, 0)), "Sin Factura"))</f>
        <v/>
      </c>
      <c r="R1855" s="80">
        <f>IF(Q1855="Sin Factura","",IFERROR(INDEX(Facturas_Odoo!$A:$A, MATCH(Q1855, Facturas_Odoo!$B:$B, 0)), ""))</f>
        <v/>
      </c>
      <c r="S1855" s="79">
        <f>IF(Q1855="Sin Factura","",IFERROR(_xlfn.XLOOKUP(1, (Facturas_Odoo!$D:$D=A1855) * (Facturas_Odoo!$K:$K=I1855), Facturas_Odoo!$L:$L, ""), ""))</f>
        <v/>
      </c>
      <c r="T1855" s="81">
        <f>IF(Q1855="Sin Factura",0,IFERROR(_xlfn.XLOOKUP(1, (Facturas_Odoo!$D:$D=A1855) * (Facturas_Odoo!$K:$K=I1855), Facturas_Odoo!$M:$M, 0), 0))</f>
        <v/>
      </c>
      <c r="U1855" s="79">
        <f>IF(Q1855="Sin Factura",0,IFERROR(_xlfn.XLOOKUP(1, (Facturas_Odoo!$D:$D=A1855) * (Facturas_Odoo!$K:$K=I1855), Facturas_Odoo!$N:$N, 0), 0))</f>
        <v/>
      </c>
      <c r="V1855" s="79">
        <f>IF(Q1855="Sin Factura",0,IFERROR(_xlfn.XLOOKUP(1, (Facturas_Odoo!$D:$D=A1855) * (Facturas_Odoo!$K:$K=I1855), Facturas_Odoo!$O:$O, 0), 0))</f>
        <v/>
      </c>
      <c r="W1855" s="81">
        <f>IF(Q1855="Sin Factura",0,IFERROR(_xlfn.XLOOKUP(1, (Facturas_Odoo!$D:$D=A1855) * (Facturas_Odoo!$K:$K=I1855), Facturas_Odoo!$Q:$Q, 0), 0))</f>
        <v/>
      </c>
      <c r="X1855" s="79">
        <f>IF(OR(Q1855="Sin Factura",Q1855=""),"",IFERROR(INDEX(Pagos_Odoo!$B:$B, MATCH(Q1855, Pagos_Odoo!$I:$I, 0)), "Sin Pago"))</f>
        <v/>
      </c>
      <c r="Y1855" s="79">
        <f>IF(X1855="Sin Pago","",IFERROR(INDEX(Pagos_Odoo!$C:$C, MATCH(X1855, Pagos_Odoo!$B:$B, 0)), ""))</f>
        <v/>
      </c>
      <c r="Z1855" s="80">
        <f>IF(X1855="Sin Pago","",IFERROR(INDEX(Pagos_Odoo!$A:$A, MATCH(X1855, Pagos_Odoo!$B:$B, 0)), ""))</f>
        <v/>
      </c>
      <c r="AA1855" s="79">
        <f>IF(X1855="Sin Pago","",IFERROR(INDEX(Pagos_Odoo!$F:$F, MATCH(X1855, Pagos_Odoo!$B:$B, 0)), ""))</f>
        <v/>
      </c>
      <c r="AB1855" s="81">
        <f>IF(X1855="Sin Pago",0,IFERROR(INDEX(Pagos_Odoo!$E:$E, MATCH(X1855, Pagos_Odoo!$B:$B, 0)), 0))</f>
        <v/>
      </c>
      <c r="AC1855" s="79">
        <f>IF(X1855="Sin Pago","",IFERROR(INDEX(Pagos_Odoo!$G:$G, MATCH(X1855, Pagos_Odoo!$B:$B, 0)), ""))</f>
        <v/>
      </c>
      <c r="AD1855" s="82" t="n">
        <v>0</v>
      </c>
      <c r="AE1855" s="82" t="n"/>
      <c r="AF1855" s="82" t="n"/>
      <c r="AG1855" s="82">
        <f>IF(AN1855="","",AD1855+AE1855+AF1855)</f>
        <v/>
      </c>
      <c r="AH1855" s="81">
        <f>IF(AN1855="","",P1855*(1-AG1855))</f>
        <v/>
      </c>
      <c r="AI1855" s="81">
        <f>IF(AN1855="","",IF(Q1855="Sin Factura",0,IFERROR(INDEX(Facturas_Odoo!$H:$H, MATCH(Q1855, Facturas_Odoo!$B:$B, 0)), 0)*(1-AG1855)))</f>
        <v/>
      </c>
      <c r="AJ1855" s="81">
        <f>IF(AN1855="","",_xlfn.LET(idVenta, AN1855&amp;"",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55" s="81">
        <f>IF(AN1855="","",AH1855-AJ1855)</f>
        <v/>
      </c>
      <c r="AL1855" s="81">
        <f>IF(AN1855="","",IF(Q1855="Sin Factura","",AI1855-AJ1855))</f>
        <v/>
      </c>
      <c r="AM1855" s="81">
        <f>IF(AN1855="","",IF(Q1855="Sin Factura",0,P1855-IFERROR(INDEX(Facturas_Odoo!$H:$H, MATCH(Q1855, Facturas_Odoo!$B:$B, 0)), 0)))</f>
        <v/>
      </c>
      <c r="AN1855" s="79">
        <f>IF(AND(A1855="", J1855=""), "", IF(A1855&lt;&gt;"", VALUE(MID(A1855,2,LEN(A1855))), AN1854))</f>
        <v/>
      </c>
      <c r="AO1855" s="79">
        <f>IF(AN1855="","",IF(AD1855=0,"OK",_xlfn.LET(monedaPago, IF(AA1855="","USD",AA1855), limitePermitido, IFERROR(VLOOKUP(monedaPago, Configuración!$A$2:$B$3, 2, FALSE), 0.15), IF(AD1855&gt;limitePermitido, "ALERTA: EXCESO (" &amp; TEXT(limitePermitido, "0%") &amp; " máx)", "OK"))))</f>
        <v/>
      </c>
      <c r="AP1855" s="79">
        <f>IF(AN1855="","",IF(AE1855=0,"OK",_xlfn.LET(fechaPago, Z1855, fechaFactura, R1855, diasCredito, IF(E1855="Pago inmediato", 0, IFERROR(VALUE(MID(E1855, 1, SEARCH(" ", E1855)-1)),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55" s="79">
        <f>IF(AN1855="","",IF(AND(N1855&gt;0, AG1855&gt;0), IF(Configuración!$K$2="NO", "ALERTA: DESCUENTO DOBLE NO PERMITIDO", "OK"), "OK"))</f>
        <v/>
      </c>
      <c r="AR1855" s="79">
        <f>IF(AN1855="","",IF(OR(AO1855&lt;&gt;"OK", AP1855&lt;&gt;"OK", AQ1855&lt;&gt;"OK"), "⚠️ REVISAR", "OK"))</f>
        <v/>
      </c>
    </row>
    <row r="1856">
      <c r="A1856" s="79">
        <f>IF('Ordenes_Odoo'!A1856="","",'Ordenes_Odoo'!A1856)</f>
        <v/>
      </c>
      <c r="B1856" s="80">
        <f>IF('Ordenes_Odoo'!B1856="","",'Ordenes_Odoo'!B1856)</f>
        <v/>
      </c>
      <c r="C1856" s="79">
        <f>IF('Ordenes_Odoo'!C1856="","",'Ordenes_Odoo'!C1856)</f>
        <v/>
      </c>
      <c r="D1856" s="79">
        <f>IF('Ordenes_Odoo'!D1856="","",'Ordenes_Odoo'!D1856)</f>
        <v/>
      </c>
      <c r="E1856" s="79">
        <f>IF('Ordenes_Odoo'!E1856="","",'Ordenes_Odoo'!E1856)</f>
        <v/>
      </c>
      <c r="F1856" s="79">
        <f>IF('Ordenes_Odoo'!F1856="","",'Ordenes_Odoo'!F1856)</f>
        <v/>
      </c>
      <c r="G1856" s="79">
        <f>IF('Ordenes_Odoo'!G1856="","",'Ordenes_Odoo'!G1856)</f>
        <v/>
      </c>
      <c r="H1856" s="79">
        <f>IF('Ordenes_Odoo'!H1856="","",'Ordenes_Odoo'!H1856)</f>
        <v/>
      </c>
      <c r="I1856" s="79">
        <f>IF('Ordenes_Odoo'!I1856="","",'Ordenes_Odoo'!I1856)</f>
        <v/>
      </c>
      <c r="J1856" s="79">
        <f>IF('Ordenes_Odoo'!J1856="","",'Ordenes_Odoo'!J1856)</f>
        <v/>
      </c>
      <c r="K1856" s="81">
        <f>IF('Ordenes_Odoo'!K1856="","",'Ordenes_Odoo'!K1856)</f>
        <v/>
      </c>
      <c r="L1856" s="81">
        <f>IF('Ordenes_Odoo'!L1856="","",'Ordenes_Odoo'!L1856)</f>
        <v/>
      </c>
      <c r="M1856" s="79">
        <f>IF('Ordenes_Odoo'!M1856="","",'Ordenes_Odoo'!M1856)</f>
        <v/>
      </c>
      <c r="N1856" s="79">
        <f>IF('Ordenes_Odoo'!N1856="","",'Ordenes_Odoo'!N1856)</f>
        <v/>
      </c>
      <c r="O1856" s="81">
        <f>IF('Ordenes_Odoo'!O1856="","",'Ordenes_Odoo'!O1856)</f>
        <v/>
      </c>
      <c r="P1856" s="81">
        <f>IF('Ordenes_Odoo'!P1856="","",'Ordenes_Odoo'!P1856)</f>
        <v/>
      </c>
      <c r="Q1856" s="79">
        <f>IF(A1856="","",IFERROR(INDEX(Facturas_Odoo!$B:$B, MATCH(A1856, Facturas_Odoo!$D:$D, 0)), "Sin Factura"))</f>
        <v/>
      </c>
      <c r="R1856" s="80">
        <f>IF(Q1856="Sin Factura","",IFERROR(INDEX(Facturas_Odoo!$A:$A, MATCH(Q1856, Facturas_Odoo!$B:$B, 0)), ""))</f>
        <v/>
      </c>
      <c r="S1856" s="79">
        <f>IF(Q1856="Sin Factura","",IFERROR(_xlfn.XLOOKUP(1, (Facturas_Odoo!$D:$D=A1856) * (Facturas_Odoo!$K:$K=I1856), Facturas_Odoo!$L:$L, ""), ""))</f>
        <v/>
      </c>
      <c r="T1856" s="81">
        <f>IF(Q1856="Sin Factura",0,IFERROR(_xlfn.XLOOKUP(1, (Facturas_Odoo!$D:$D=A1856) * (Facturas_Odoo!$K:$K=I1856), Facturas_Odoo!$M:$M, 0), 0))</f>
        <v/>
      </c>
      <c r="U1856" s="79">
        <f>IF(Q1856="Sin Factura",0,IFERROR(_xlfn.XLOOKUP(1, (Facturas_Odoo!$D:$D=A1856) * (Facturas_Odoo!$K:$K=I1856), Facturas_Odoo!$N:$N, 0), 0))</f>
        <v/>
      </c>
      <c r="V1856" s="79">
        <f>IF(Q1856="Sin Factura",0,IFERROR(_xlfn.XLOOKUP(1, (Facturas_Odoo!$D:$D=A1856) * (Facturas_Odoo!$K:$K=I1856), Facturas_Odoo!$O:$O, 0), 0))</f>
        <v/>
      </c>
      <c r="W1856" s="81">
        <f>IF(Q1856="Sin Factura",0,IFERROR(_xlfn.XLOOKUP(1, (Facturas_Odoo!$D:$D=A1856) * (Facturas_Odoo!$K:$K=I1856), Facturas_Odoo!$Q:$Q, 0), 0))</f>
        <v/>
      </c>
      <c r="X1856" s="79">
        <f>IF(OR(Q1856="Sin Factura",Q1856=""),"",IFERROR(INDEX(Pagos_Odoo!$B:$B, MATCH(Q1856, Pagos_Odoo!$I:$I, 0)), "Sin Pago"))</f>
        <v/>
      </c>
      <c r="Y1856" s="79">
        <f>IF(X1856="Sin Pago","",IFERROR(INDEX(Pagos_Odoo!$C:$C, MATCH(X1856, Pagos_Odoo!$B:$B, 0)), ""))</f>
        <v/>
      </c>
      <c r="Z1856" s="80">
        <f>IF(X1856="Sin Pago","",IFERROR(INDEX(Pagos_Odoo!$A:$A, MATCH(X1856, Pagos_Odoo!$B:$B, 0)), ""))</f>
        <v/>
      </c>
      <c r="AA1856" s="79">
        <f>IF(X1856="Sin Pago","",IFERROR(INDEX(Pagos_Odoo!$F:$F, MATCH(X1856, Pagos_Odoo!$B:$B, 0)), ""))</f>
        <v/>
      </c>
      <c r="AB1856" s="81">
        <f>IF(X1856="Sin Pago",0,IFERROR(INDEX(Pagos_Odoo!$E:$E, MATCH(X1856, Pagos_Odoo!$B:$B, 0)), 0))</f>
        <v/>
      </c>
      <c r="AC1856" s="79">
        <f>IF(X1856="Sin Pago","",IFERROR(INDEX(Pagos_Odoo!$G:$G, MATCH(X1856, Pagos_Odoo!$B:$B, 0)), ""))</f>
        <v/>
      </c>
      <c r="AD1856" s="82" t="n">
        <v>0</v>
      </c>
      <c r="AE1856" s="82" t="n"/>
      <c r="AF1856" s="82" t="n"/>
      <c r="AG1856" s="82">
        <f>IF(AN1856="","",AD1856+AE1856+AF1856)</f>
        <v/>
      </c>
      <c r="AH1856" s="81">
        <f>IF(AN1856="","",P1856*(1-AG1856))</f>
        <v/>
      </c>
      <c r="AI1856" s="81">
        <f>IF(AN1856="","",IF(Q1856="Sin Factura",0,IFERROR(INDEX(Facturas_Odoo!$H:$H, MATCH(Q1856, Facturas_Odoo!$B:$B, 0)), 0)*(1-AG1856)))</f>
        <v/>
      </c>
      <c r="AJ1856" s="81">
        <f>IF(AN1856="","",_xlfn.LET(idVenta, AN1856&amp;"",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56" s="81">
        <f>IF(AN1856="","",AH1856-AJ1856)</f>
        <v/>
      </c>
      <c r="AL1856" s="81">
        <f>IF(AN1856="","",IF(Q1856="Sin Factura","",AI1856-AJ1856))</f>
        <v/>
      </c>
      <c r="AM1856" s="81">
        <f>IF(AN1856="","",IF(Q1856="Sin Factura",0,P1856-IFERROR(INDEX(Facturas_Odoo!$H:$H, MATCH(Q1856, Facturas_Odoo!$B:$B, 0)), 0)))</f>
        <v/>
      </c>
      <c r="AN1856" s="79">
        <f>IF(AND(A1856="", J1856=""), "", IF(A1856&lt;&gt;"", VALUE(MID(A1856,2,LEN(A1856))), AN1855))</f>
        <v/>
      </c>
      <c r="AO1856" s="79">
        <f>IF(AN1856="","",IF(AD1856=0,"OK",_xlfn.LET(monedaPago, IF(AA1856="","USD",AA1856), limitePermitido, IFERROR(VLOOKUP(monedaPago, Configuración!$A$2:$B$3, 2, FALSE), 0.15), IF(AD1856&gt;limitePermitido, "ALERTA: EXCESO (" &amp; TEXT(limitePermitido, "0%") &amp; " máx)", "OK"))))</f>
        <v/>
      </c>
      <c r="AP1856" s="79">
        <f>IF(AN1856="","",IF(AE1856=0,"OK",_xlfn.LET(fechaPago, Z1856, fechaFactura, R1856, diasCredito, IF(E1856="Pago inmediato", 0, IFERROR(VALUE(MID(E1856, 1, SEARCH(" ", E1856)-1)),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56" s="79">
        <f>IF(AN1856="","",IF(AND(N1856&gt;0, AG1856&gt;0), IF(Configuración!$K$2="NO", "ALERTA: DESCUENTO DOBLE NO PERMITIDO", "OK"), "OK"))</f>
        <v/>
      </c>
      <c r="AR1856" s="79">
        <f>IF(AN1856="","",IF(OR(AO1856&lt;&gt;"OK", AP1856&lt;&gt;"OK", AQ1856&lt;&gt;"OK"), "⚠️ REVISAR", "OK"))</f>
        <v/>
      </c>
    </row>
    <row r="1857">
      <c r="A1857" s="79">
        <f>IF('Ordenes_Odoo'!A1857="","",'Ordenes_Odoo'!A1857)</f>
        <v/>
      </c>
      <c r="B1857" s="80">
        <f>IF('Ordenes_Odoo'!B1857="","",'Ordenes_Odoo'!B1857)</f>
        <v/>
      </c>
      <c r="C1857" s="79">
        <f>IF('Ordenes_Odoo'!C1857="","",'Ordenes_Odoo'!C1857)</f>
        <v/>
      </c>
      <c r="D1857" s="79">
        <f>IF('Ordenes_Odoo'!D1857="","",'Ordenes_Odoo'!D1857)</f>
        <v/>
      </c>
      <c r="E1857" s="79">
        <f>IF('Ordenes_Odoo'!E1857="","",'Ordenes_Odoo'!E1857)</f>
        <v/>
      </c>
      <c r="F1857" s="79">
        <f>IF('Ordenes_Odoo'!F1857="","",'Ordenes_Odoo'!F1857)</f>
        <v/>
      </c>
      <c r="G1857" s="79">
        <f>IF('Ordenes_Odoo'!G1857="","",'Ordenes_Odoo'!G1857)</f>
        <v/>
      </c>
      <c r="H1857" s="79">
        <f>IF('Ordenes_Odoo'!H1857="","",'Ordenes_Odoo'!H1857)</f>
        <v/>
      </c>
      <c r="I1857" s="79">
        <f>IF('Ordenes_Odoo'!I1857="","",'Ordenes_Odoo'!I1857)</f>
        <v/>
      </c>
      <c r="J1857" s="79">
        <f>IF('Ordenes_Odoo'!J1857="","",'Ordenes_Odoo'!J1857)</f>
        <v/>
      </c>
      <c r="K1857" s="81">
        <f>IF('Ordenes_Odoo'!K1857="","",'Ordenes_Odoo'!K1857)</f>
        <v/>
      </c>
      <c r="L1857" s="81">
        <f>IF('Ordenes_Odoo'!L1857="","",'Ordenes_Odoo'!L1857)</f>
        <v/>
      </c>
      <c r="M1857" s="79">
        <f>IF('Ordenes_Odoo'!M1857="","",'Ordenes_Odoo'!M1857)</f>
        <v/>
      </c>
      <c r="N1857" s="79">
        <f>IF('Ordenes_Odoo'!N1857="","",'Ordenes_Odoo'!N1857)</f>
        <v/>
      </c>
      <c r="O1857" s="81">
        <f>IF('Ordenes_Odoo'!O1857="","",'Ordenes_Odoo'!O1857)</f>
        <v/>
      </c>
      <c r="P1857" s="81">
        <f>IF('Ordenes_Odoo'!P1857="","",'Ordenes_Odoo'!P1857)</f>
        <v/>
      </c>
      <c r="Q1857" s="79">
        <f>IF(A1857="","",IFERROR(INDEX(Facturas_Odoo!$B:$B, MATCH(A1857, Facturas_Odoo!$D:$D, 0)), "Sin Factura"))</f>
        <v/>
      </c>
      <c r="R1857" s="80">
        <f>IF(Q1857="Sin Factura","",IFERROR(INDEX(Facturas_Odoo!$A:$A, MATCH(Q1857, Facturas_Odoo!$B:$B, 0)), ""))</f>
        <v/>
      </c>
      <c r="S1857" s="79">
        <f>IF(Q1857="Sin Factura","",IFERROR(_xlfn.XLOOKUP(1, (Facturas_Odoo!$D:$D=A1857) * (Facturas_Odoo!$K:$K=I1857), Facturas_Odoo!$L:$L, ""), ""))</f>
        <v/>
      </c>
      <c r="T1857" s="81">
        <f>IF(Q1857="Sin Factura",0,IFERROR(_xlfn.XLOOKUP(1, (Facturas_Odoo!$D:$D=A1857) * (Facturas_Odoo!$K:$K=I1857), Facturas_Odoo!$M:$M, 0), 0))</f>
        <v/>
      </c>
      <c r="U1857" s="79">
        <f>IF(Q1857="Sin Factura",0,IFERROR(_xlfn.XLOOKUP(1, (Facturas_Odoo!$D:$D=A1857) * (Facturas_Odoo!$K:$K=I1857), Facturas_Odoo!$N:$N, 0), 0))</f>
        <v/>
      </c>
      <c r="V1857" s="79">
        <f>IF(Q1857="Sin Factura",0,IFERROR(_xlfn.XLOOKUP(1, (Facturas_Odoo!$D:$D=A1857) * (Facturas_Odoo!$K:$K=I1857), Facturas_Odoo!$O:$O, 0), 0))</f>
        <v/>
      </c>
      <c r="W1857" s="81">
        <f>IF(Q1857="Sin Factura",0,IFERROR(_xlfn.XLOOKUP(1, (Facturas_Odoo!$D:$D=A1857) * (Facturas_Odoo!$K:$K=I1857), Facturas_Odoo!$Q:$Q, 0), 0))</f>
        <v/>
      </c>
      <c r="X1857" s="79">
        <f>IF(OR(Q1857="Sin Factura",Q1857=""),"",IFERROR(INDEX(Pagos_Odoo!$B:$B, MATCH(Q1857, Pagos_Odoo!$I:$I, 0)), "Sin Pago"))</f>
        <v/>
      </c>
      <c r="Y1857" s="79">
        <f>IF(X1857="Sin Pago","",IFERROR(INDEX(Pagos_Odoo!$C:$C, MATCH(X1857, Pagos_Odoo!$B:$B, 0)), ""))</f>
        <v/>
      </c>
      <c r="Z1857" s="80">
        <f>IF(X1857="Sin Pago","",IFERROR(INDEX(Pagos_Odoo!$A:$A, MATCH(X1857, Pagos_Odoo!$B:$B, 0)), ""))</f>
        <v/>
      </c>
      <c r="AA1857" s="79">
        <f>IF(X1857="Sin Pago","",IFERROR(INDEX(Pagos_Odoo!$F:$F, MATCH(X1857, Pagos_Odoo!$B:$B, 0)), ""))</f>
        <v/>
      </c>
      <c r="AB1857" s="81">
        <f>IF(X1857="Sin Pago",0,IFERROR(INDEX(Pagos_Odoo!$E:$E, MATCH(X1857, Pagos_Odoo!$B:$B, 0)), 0))</f>
        <v/>
      </c>
      <c r="AC1857" s="79">
        <f>IF(X1857="Sin Pago","",IFERROR(INDEX(Pagos_Odoo!$G:$G, MATCH(X1857, Pagos_Odoo!$B:$B, 0)), ""))</f>
        <v/>
      </c>
      <c r="AD1857" s="82" t="n">
        <v>0</v>
      </c>
      <c r="AE1857" s="82" t="n"/>
      <c r="AF1857" s="82" t="n"/>
      <c r="AG1857" s="82">
        <f>IF(AN1857="","",AD1857+AE1857+AF1857)</f>
        <v/>
      </c>
      <c r="AH1857" s="81">
        <f>IF(AN1857="","",P1857*(1-AG1857))</f>
        <v/>
      </c>
      <c r="AI1857" s="81">
        <f>IF(AN1857="","",IF(Q1857="Sin Factura",0,IFERROR(INDEX(Facturas_Odoo!$H:$H, MATCH(Q1857, Facturas_Odoo!$B:$B, 0)), 0)*(1-AG1857)))</f>
        <v/>
      </c>
      <c r="AJ1857" s="81">
        <f>IF(AN1857="","",_xlfn.LET(idVenta, AN1857&amp;"",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57" s="81">
        <f>IF(AN1857="","",AH1857-AJ1857)</f>
        <v/>
      </c>
      <c r="AL1857" s="81">
        <f>IF(AN1857="","",IF(Q1857="Sin Factura","",AI1857-AJ1857))</f>
        <v/>
      </c>
      <c r="AM1857" s="81">
        <f>IF(AN1857="","",IF(Q1857="Sin Factura",0,P1857-IFERROR(INDEX(Facturas_Odoo!$H:$H, MATCH(Q1857, Facturas_Odoo!$B:$B, 0)), 0)))</f>
        <v/>
      </c>
      <c r="AN1857" s="79">
        <f>IF(AND(A1857="", J1857=""), "", IF(A1857&lt;&gt;"", VALUE(MID(A1857,2,LEN(A1857))), AN1856))</f>
        <v/>
      </c>
      <c r="AO1857" s="79">
        <f>IF(AN1857="","",IF(AD1857=0,"OK",_xlfn.LET(monedaPago, IF(AA1857="","USD",AA1857), limitePermitido, IFERROR(VLOOKUP(monedaPago, Configuración!$A$2:$B$3, 2, FALSE), 0.15), IF(AD1857&gt;limitePermitido, "ALERTA: EXCESO (" &amp; TEXT(limitePermitido, "0%") &amp; " máx)", "OK"))))</f>
        <v/>
      </c>
      <c r="AP1857" s="79">
        <f>IF(AN1857="","",IF(AE1857=0,"OK",_xlfn.LET(fechaPago, Z1857, fechaFactura, R1857, diasCredito, IF(E1857="Pago inmediato", 0, IFERROR(VALUE(MID(E1857, 1, SEARCH(" ", E1857)-1)),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57" s="79">
        <f>IF(AN1857="","",IF(AND(N1857&gt;0, AG1857&gt;0), IF(Configuración!$K$2="NO", "ALERTA: DESCUENTO DOBLE NO PERMITIDO", "OK"), "OK"))</f>
        <v/>
      </c>
      <c r="AR1857" s="79">
        <f>IF(AN1857="","",IF(OR(AO1857&lt;&gt;"OK", AP1857&lt;&gt;"OK", AQ1857&lt;&gt;"OK"), "⚠️ REVISAR", "OK"))</f>
        <v/>
      </c>
    </row>
    <row r="1858">
      <c r="A1858" s="79">
        <f>IF('Ordenes_Odoo'!A1858="","",'Ordenes_Odoo'!A1858)</f>
        <v/>
      </c>
      <c r="B1858" s="80">
        <f>IF('Ordenes_Odoo'!B1858="","",'Ordenes_Odoo'!B1858)</f>
        <v/>
      </c>
      <c r="C1858" s="79">
        <f>IF('Ordenes_Odoo'!C1858="","",'Ordenes_Odoo'!C1858)</f>
        <v/>
      </c>
      <c r="D1858" s="79">
        <f>IF('Ordenes_Odoo'!D1858="","",'Ordenes_Odoo'!D1858)</f>
        <v/>
      </c>
      <c r="E1858" s="79">
        <f>IF('Ordenes_Odoo'!E1858="","",'Ordenes_Odoo'!E1858)</f>
        <v/>
      </c>
      <c r="F1858" s="79">
        <f>IF('Ordenes_Odoo'!F1858="","",'Ordenes_Odoo'!F1858)</f>
        <v/>
      </c>
      <c r="G1858" s="79">
        <f>IF('Ordenes_Odoo'!G1858="","",'Ordenes_Odoo'!G1858)</f>
        <v/>
      </c>
      <c r="H1858" s="79">
        <f>IF('Ordenes_Odoo'!H1858="","",'Ordenes_Odoo'!H1858)</f>
        <v/>
      </c>
      <c r="I1858" s="79">
        <f>IF('Ordenes_Odoo'!I1858="","",'Ordenes_Odoo'!I1858)</f>
        <v/>
      </c>
      <c r="J1858" s="79">
        <f>IF('Ordenes_Odoo'!J1858="","",'Ordenes_Odoo'!J1858)</f>
        <v/>
      </c>
      <c r="K1858" s="81">
        <f>IF('Ordenes_Odoo'!K1858="","",'Ordenes_Odoo'!K1858)</f>
        <v/>
      </c>
      <c r="L1858" s="81">
        <f>IF('Ordenes_Odoo'!L1858="","",'Ordenes_Odoo'!L1858)</f>
        <v/>
      </c>
      <c r="M1858" s="79">
        <f>IF('Ordenes_Odoo'!M1858="","",'Ordenes_Odoo'!M1858)</f>
        <v/>
      </c>
      <c r="N1858" s="79">
        <f>IF('Ordenes_Odoo'!N1858="","",'Ordenes_Odoo'!N1858)</f>
        <v/>
      </c>
      <c r="O1858" s="81">
        <f>IF('Ordenes_Odoo'!O1858="","",'Ordenes_Odoo'!O1858)</f>
        <v/>
      </c>
      <c r="P1858" s="81">
        <f>IF('Ordenes_Odoo'!P1858="","",'Ordenes_Odoo'!P1858)</f>
        <v/>
      </c>
      <c r="Q1858" s="79">
        <f>IF(A1858="","",IFERROR(INDEX(Facturas_Odoo!$B:$B, MATCH(A1858, Facturas_Odoo!$D:$D, 0)), "Sin Factura"))</f>
        <v/>
      </c>
      <c r="R1858" s="80">
        <f>IF(Q1858="Sin Factura","",IFERROR(INDEX(Facturas_Odoo!$A:$A, MATCH(Q1858, Facturas_Odoo!$B:$B, 0)), ""))</f>
        <v/>
      </c>
      <c r="S1858" s="79">
        <f>IF(Q1858="Sin Factura","",IFERROR(_xlfn.XLOOKUP(1, (Facturas_Odoo!$D:$D=A1858) * (Facturas_Odoo!$K:$K=I1858), Facturas_Odoo!$L:$L, ""), ""))</f>
        <v/>
      </c>
      <c r="T1858" s="81">
        <f>IF(Q1858="Sin Factura",0,IFERROR(_xlfn.XLOOKUP(1, (Facturas_Odoo!$D:$D=A1858) * (Facturas_Odoo!$K:$K=I1858), Facturas_Odoo!$M:$M, 0), 0))</f>
        <v/>
      </c>
      <c r="U1858" s="79">
        <f>IF(Q1858="Sin Factura",0,IFERROR(_xlfn.XLOOKUP(1, (Facturas_Odoo!$D:$D=A1858) * (Facturas_Odoo!$K:$K=I1858), Facturas_Odoo!$N:$N, 0), 0))</f>
        <v/>
      </c>
      <c r="V1858" s="79">
        <f>IF(Q1858="Sin Factura",0,IFERROR(_xlfn.XLOOKUP(1, (Facturas_Odoo!$D:$D=A1858) * (Facturas_Odoo!$K:$K=I1858), Facturas_Odoo!$O:$O, 0), 0))</f>
        <v/>
      </c>
      <c r="W1858" s="81">
        <f>IF(Q1858="Sin Factura",0,IFERROR(_xlfn.XLOOKUP(1, (Facturas_Odoo!$D:$D=A1858) * (Facturas_Odoo!$K:$K=I1858), Facturas_Odoo!$Q:$Q, 0), 0))</f>
        <v/>
      </c>
      <c r="X1858" s="79">
        <f>IF(OR(Q1858="Sin Factura",Q1858=""),"",IFERROR(INDEX(Pagos_Odoo!$B:$B, MATCH(Q1858, Pagos_Odoo!$I:$I, 0)), "Sin Pago"))</f>
        <v/>
      </c>
      <c r="Y1858" s="79">
        <f>IF(X1858="Sin Pago","",IFERROR(INDEX(Pagos_Odoo!$C:$C, MATCH(X1858, Pagos_Odoo!$B:$B, 0)), ""))</f>
        <v/>
      </c>
      <c r="Z1858" s="80">
        <f>IF(X1858="Sin Pago","",IFERROR(INDEX(Pagos_Odoo!$A:$A, MATCH(X1858, Pagos_Odoo!$B:$B, 0)), ""))</f>
        <v/>
      </c>
      <c r="AA1858" s="79">
        <f>IF(X1858="Sin Pago","",IFERROR(INDEX(Pagos_Odoo!$F:$F, MATCH(X1858, Pagos_Odoo!$B:$B, 0)), ""))</f>
        <v/>
      </c>
      <c r="AB1858" s="81">
        <f>IF(X1858="Sin Pago",0,IFERROR(INDEX(Pagos_Odoo!$E:$E, MATCH(X1858, Pagos_Odoo!$B:$B, 0)), 0))</f>
        <v/>
      </c>
      <c r="AC1858" s="79">
        <f>IF(X1858="Sin Pago","",IFERROR(INDEX(Pagos_Odoo!$G:$G, MATCH(X1858, Pagos_Odoo!$B:$B, 0)), ""))</f>
        <v/>
      </c>
      <c r="AD1858" s="82" t="n">
        <v>0</v>
      </c>
      <c r="AE1858" s="82" t="n"/>
      <c r="AF1858" s="82" t="n"/>
      <c r="AG1858" s="82">
        <f>IF(AN1858="","",AD1858+AE1858+AF1858)</f>
        <v/>
      </c>
      <c r="AH1858" s="81">
        <f>IF(AN1858="","",P1858*(1-AG1858))</f>
        <v/>
      </c>
      <c r="AI1858" s="81">
        <f>IF(AN1858="","",IF(Q1858="Sin Factura",0,IFERROR(INDEX(Facturas_Odoo!$H:$H, MATCH(Q1858, Facturas_Odoo!$B:$B, 0)), 0)*(1-AG1858)))</f>
        <v/>
      </c>
      <c r="AJ1858" s="81">
        <f>IF(AN1858="","",_xlfn.LET(idVenta, AN1858&amp;"",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58" s="81">
        <f>IF(AN1858="","",AH1858-AJ1858)</f>
        <v/>
      </c>
      <c r="AL1858" s="81">
        <f>IF(AN1858="","",IF(Q1858="Sin Factura","",AI1858-AJ1858))</f>
        <v/>
      </c>
      <c r="AM1858" s="81">
        <f>IF(AN1858="","",IF(Q1858="Sin Factura",0,P1858-IFERROR(INDEX(Facturas_Odoo!$H:$H, MATCH(Q1858, Facturas_Odoo!$B:$B, 0)), 0)))</f>
        <v/>
      </c>
      <c r="AN1858" s="79">
        <f>IF(AND(A1858="", J1858=""), "", IF(A1858&lt;&gt;"", VALUE(MID(A1858,2,LEN(A1858))), AN1857))</f>
        <v/>
      </c>
      <c r="AO1858" s="79">
        <f>IF(AN1858="","",IF(AD1858=0,"OK",_xlfn.LET(monedaPago, IF(AA1858="","USD",AA1858), limitePermitido, IFERROR(VLOOKUP(monedaPago, Configuración!$A$2:$B$3, 2, FALSE), 0.15), IF(AD1858&gt;limitePermitido, "ALERTA: EXCESO (" &amp; TEXT(limitePermitido, "0%") &amp; " máx)", "OK"))))</f>
        <v/>
      </c>
      <c r="AP1858" s="79">
        <f>IF(AN1858="","",IF(AE1858=0,"OK",_xlfn.LET(fechaPago, Z1858, fechaFactura, R1858, diasCredito, IF(E1858="Pago inmediato", 0, IFERROR(VALUE(MID(E1858, 1, SEARCH(" ", E1858)-1)),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58" s="79">
        <f>IF(AN1858="","",IF(AND(N1858&gt;0, AG1858&gt;0), IF(Configuración!$K$2="NO", "ALERTA: DESCUENTO DOBLE NO PERMITIDO", "OK"), "OK"))</f>
        <v/>
      </c>
      <c r="AR1858" s="79">
        <f>IF(AN1858="","",IF(OR(AO1858&lt;&gt;"OK", AP1858&lt;&gt;"OK", AQ1858&lt;&gt;"OK"), "⚠️ REVISAR", "OK"))</f>
        <v/>
      </c>
    </row>
    <row r="1859">
      <c r="A1859" s="79">
        <f>IF('Ordenes_Odoo'!A1859="","",'Ordenes_Odoo'!A1859)</f>
        <v/>
      </c>
      <c r="B1859" s="80">
        <f>IF('Ordenes_Odoo'!B1859="","",'Ordenes_Odoo'!B1859)</f>
        <v/>
      </c>
      <c r="C1859" s="79">
        <f>IF('Ordenes_Odoo'!C1859="","",'Ordenes_Odoo'!C1859)</f>
        <v/>
      </c>
      <c r="D1859" s="79">
        <f>IF('Ordenes_Odoo'!D1859="","",'Ordenes_Odoo'!D1859)</f>
        <v/>
      </c>
      <c r="E1859" s="79">
        <f>IF('Ordenes_Odoo'!E1859="","",'Ordenes_Odoo'!E1859)</f>
        <v/>
      </c>
      <c r="F1859" s="79">
        <f>IF('Ordenes_Odoo'!F1859="","",'Ordenes_Odoo'!F1859)</f>
        <v/>
      </c>
      <c r="G1859" s="79">
        <f>IF('Ordenes_Odoo'!G1859="","",'Ordenes_Odoo'!G1859)</f>
        <v/>
      </c>
      <c r="H1859" s="79">
        <f>IF('Ordenes_Odoo'!H1859="","",'Ordenes_Odoo'!H1859)</f>
        <v/>
      </c>
      <c r="I1859" s="79">
        <f>IF('Ordenes_Odoo'!I1859="","",'Ordenes_Odoo'!I1859)</f>
        <v/>
      </c>
      <c r="J1859" s="79">
        <f>IF('Ordenes_Odoo'!J1859="","",'Ordenes_Odoo'!J1859)</f>
        <v/>
      </c>
      <c r="K1859" s="81">
        <f>IF('Ordenes_Odoo'!K1859="","",'Ordenes_Odoo'!K1859)</f>
        <v/>
      </c>
      <c r="L1859" s="81">
        <f>IF('Ordenes_Odoo'!L1859="","",'Ordenes_Odoo'!L1859)</f>
        <v/>
      </c>
      <c r="M1859" s="79">
        <f>IF('Ordenes_Odoo'!M1859="","",'Ordenes_Odoo'!M1859)</f>
        <v/>
      </c>
      <c r="N1859" s="79">
        <f>IF('Ordenes_Odoo'!N1859="","",'Ordenes_Odoo'!N1859)</f>
        <v/>
      </c>
      <c r="O1859" s="81">
        <f>IF('Ordenes_Odoo'!O1859="","",'Ordenes_Odoo'!O1859)</f>
        <v/>
      </c>
      <c r="P1859" s="81">
        <f>IF('Ordenes_Odoo'!P1859="","",'Ordenes_Odoo'!P1859)</f>
        <v/>
      </c>
      <c r="Q1859" s="79">
        <f>IF(A1859="","",IFERROR(INDEX(Facturas_Odoo!$B:$B, MATCH(A1859, Facturas_Odoo!$D:$D, 0)), "Sin Factura"))</f>
        <v/>
      </c>
      <c r="R1859" s="80">
        <f>IF(Q1859="Sin Factura","",IFERROR(INDEX(Facturas_Odoo!$A:$A, MATCH(Q1859, Facturas_Odoo!$B:$B, 0)), ""))</f>
        <v/>
      </c>
      <c r="S1859" s="79">
        <f>IF(Q1859="Sin Factura","",IFERROR(_xlfn.XLOOKUP(1, (Facturas_Odoo!$D:$D=A1859) * (Facturas_Odoo!$K:$K=I1859), Facturas_Odoo!$L:$L, ""), ""))</f>
        <v/>
      </c>
      <c r="T1859" s="81">
        <f>IF(Q1859="Sin Factura",0,IFERROR(_xlfn.XLOOKUP(1, (Facturas_Odoo!$D:$D=A1859) * (Facturas_Odoo!$K:$K=I1859), Facturas_Odoo!$M:$M, 0), 0))</f>
        <v/>
      </c>
      <c r="U1859" s="79">
        <f>IF(Q1859="Sin Factura",0,IFERROR(_xlfn.XLOOKUP(1, (Facturas_Odoo!$D:$D=A1859) * (Facturas_Odoo!$K:$K=I1859), Facturas_Odoo!$N:$N, 0), 0))</f>
        <v/>
      </c>
      <c r="V1859" s="79">
        <f>IF(Q1859="Sin Factura",0,IFERROR(_xlfn.XLOOKUP(1, (Facturas_Odoo!$D:$D=A1859) * (Facturas_Odoo!$K:$K=I1859), Facturas_Odoo!$O:$O, 0), 0))</f>
        <v/>
      </c>
      <c r="W1859" s="81">
        <f>IF(Q1859="Sin Factura",0,IFERROR(_xlfn.XLOOKUP(1, (Facturas_Odoo!$D:$D=A1859) * (Facturas_Odoo!$K:$K=I1859), Facturas_Odoo!$Q:$Q, 0), 0))</f>
        <v/>
      </c>
      <c r="X1859" s="79">
        <f>IF(OR(Q1859="Sin Factura",Q1859=""),"",IFERROR(INDEX(Pagos_Odoo!$B:$B, MATCH(Q1859, Pagos_Odoo!$I:$I, 0)), "Sin Pago"))</f>
        <v/>
      </c>
      <c r="Y1859" s="79">
        <f>IF(X1859="Sin Pago","",IFERROR(INDEX(Pagos_Odoo!$C:$C, MATCH(X1859, Pagos_Odoo!$B:$B, 0)), ""))</f>
        <v/>
      </c>
      <c r="Z1859" s="80">
        <f>IF(X1859="Sin Pago","",IFERROR(INDEX(Pagos_Odoo!$A:$A, MATCH(X1859, Pagos_Odoo!$B:$B, 0)), ""))</f>
        <v/>
      </c>
      <c r="AA1859" s="79">
        <f>IF(X1859="Sin Pago","",IFERROR(INDEX(Pagos_Odoo!$F:$F, MATCH(X1859, Pagos_Odoo!$B:$B, 0)), ""))</f>
        <v/>
      </c>
      <c r="AB1859" s="81">
        <f>IF(X1859="Sin Pago",0,IFERROR(INDEX(Pagos_Odoo!$E:$E, MATCH(X1859, Pagos_Odoo!$B:$B, 0)), 0))</f>
        <v/>
      </c>
      <c r="AC1859" s="79">
        <f>IF(X1859="Sin Pago","",IFERROR(INDEX(Pagos_Odoo!$G:$G, MATCH(X1859, Pagos_Odoo!$B:$B, 0)), ""))</f>
        <v/>
      </c>
      <c r="AD1859" s="82" t="n">
        <v>0</v>
      </c>
      <c r="AE1859" s="82" t="n"/>
      <c r="AF1859" s="82" t="n"/>
      <c r="AG1859" s="82">
        <f>IF(AN1859="","",AD1859+AE1859+AF1859)</f>
        <v/>
      </c>
      <c r="AH1859" s="81">
        <f>IF(AN1859="","",P1859*(1-AG1859))</f>
        <v/>
      </c>
      <c r="AI1859" s="81">
        <f>IF(AN1859="","",IF(Q1859="Sin Factura",0,IFERROR(INDEX(Facturas_Odoo!$H:$H, MATCH(Q1859, Facturas_Odoo!$B:$B, 0)), 0)*(1-AG1859)))</f>
        <v/>
      </c>
      <c r="AJ1859" s="81">
        <f>IF(AN1859="","",_xlfn.LET(idVenta, AN1859&amp;"",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59" s="81">
        <f>IF(AN1859="","",AH1859-AJ1859)</f>
        <v/>
      </c>
      <c r="AL1859" s="81">
        <f>IF(AN1859="","",IF(Q1859="Sin Factura","",AI1859-AJ1859))</f>
        <v/>
      </c>
      <c r="AM1859" s="81">
        <f>IF(AN1859="","",IF(Q1859="Sin Factura",0,P1859-IFERROR(INDEX(Facturas_Odoo!$H:$H, MATCH(Q1859, Facturas_Odoo!$B:$B, 0)), 0)))</f>
        <v/>
      </c>
      <c r="AN1859" s="79">
        <f>IF(AND(A1859="", J1859=""), "", IF(A1859&lt;&gt;"", VALUE(MID(A1859,2,LEN(A1859))), AN1858))</f>
        <v/>
      </c>
      <c r="AO1859" s="79">
        <f>IF(AN1859="","",IF(AD1859=0,"OK",_xlfn.LET(monedaPago, IF(AA1859="","USD",AA1859), limitePermitido, IFERROR(VLOOKUP(monedaPago, Configuración!$A$2:$B$3, 2, FALSE), 0.15), IF(AD1859&gt;limitePermitido, "ALERTA: EXCESO (" &amp; TEXT(limitePermitido, "0%") &amp; " máx)", "OK"))))</f>
        <v/>
      </c>
      <c r="AP1859" s="79">
        <f>IF(AN1859="","",IF(AE1859=0,"OK",_xlfn.LET(fechaPago, Z1859, fechaFactura, R1859, diasCredito, IF(E1859="Pago inmediato", 0, IFERROR(VALUE(MID(E1859, 1, SEARCH(" ", E1859)-1)),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59" s="79">
        <f>IF(AN1859="","",IF(AND(N1859&gt;0, AG1859&gt;0), IF(Configuración!$K$2="NO", "ALERTA: DESCUENTO DOBLE NO PERMITIDO", "OK"), "OK"))</f>
        <v/>
      </c>
      <c r="AR1859" s="79">
        <f>IF(AN1859="","",IF(OR(AO1859&lt;&gt;"OK", AP1859&lt;&gt;"OK", AQ1859&lt;&gt;"OK"), "⚠️ REVISAR", "OK"))</f>
        <v/>
      </c>
    </row>
    <row r="1860">
      <c r="A1860" s="79">
        <f>IF('Ordenes_Odoo'!A1860="","",'Ordenes_Odoo'!A1860)</f>
        <v/>
      </c>
      <c r="B1860" s="80">
        <f>IF('Ordenes_Odoo'!B1860="","",'Ordenes_Odoo'!B1860)</f>
        <v/>
      </c>
      <c r="C1860" s="79">
        <f>IF('Ordenes_Odoo'!C1860="","",'Ordenes_Odoo'!C1860)</f>
        <v/>
      </c>
      <c r="D1860" s="79">
        <f>IF('Ordenes_Odoo'!D1860="","",'Ordenes_Odoo'!D1860)</f>
        <v/>
      </c>
      <c r="E1860" s="79">
        <f>IF('Ordenes_Odoo'!E1860="","",'Ordenes_Odoo'!E1860)</f>
        <v/>
      </c>
      <c r="F1860" s="79">
        <f>IF('Ordenes_Odoo'!F1860="","",'Ordenes_Odoo'!F1860)</f>
        <v/>
      </c>
      <c r="G1860" s="79">
        <f>IF('Ordenes_Odoo'!G1860="","",'Ordenes_Odoo'!G1860)</f>
        <v/>
      </c>
      <c r="H1860" s="79">
        <f>IF('Ordenes_Odoo'!H1860="","",'Ordenes_Odoo'!H1860)</f>
        <v/>
      </c>
      <c r="I1860" s="79">
        <f>IF('Ordenes_Odoo'!I1860="","",'Ordenes_Odoo'!I1860)</f>
        <v/>
      </c>
      <c r="J1860" s="79">
        <f>IF('Ordenes_Odoo'!J1860="","",'Ordenes_Odoo'!J1860)</f>
        <v/>
      </c>
      <c r="K1860" s="81">
        <f>IF('Ordenes_Odoo'!K1860="","",'Ordenes_Odoo'!K1860)</f>
        <v/>
      </c>
      <c r="L1860" s="81">
        <f>IF('Ordenes_Odoo'!L1860="","",'Ordenes_Odoo'!L1860)</f>
        <v/>
      </c>
      <c r="M1860" s="79">
        <f>IF('Ordenes_Odoo'!M1860="","",'Ordenes_Odoo'!M1860)</f>
        <v/>
      </c>
      <c r="N1860" s="79">
        <f>IF('Ordenes_Odoo'!N1860="","",'Ordenes_Odoo'!N1860)</f>
        <v/>
      </c>
      <c r="O1860" s="81">
        <f>IF('Ordenes_Odoo'!O1860="","",'Ordenes_Odoo'!O1860)</f>
        <v/>
      </c>
      <c r="P1860" s="81">
        <f>IF('Ordenes_Odoo'!P1860="","",'Ordenes_Odoo'!P1860)</f>
        <v/>
      </c>
      <c r="Q1860" s="79">
        <f>IF(A1860="","",IFERROR(INDEX(Facturas_Odoo!$B:$B, MATCH(A1860, Facturas_Odoo!$D:$D, 0)), "Sin Factura"))</f>
        <v/>
      </c>
      <c r="R1860" s="80">
        <f>IF(Q1860="Sin Factura","",IFERROR(INDEX(Facturas_Odoo!$A:$A, MATCH(Q1860, Facturas_Odoo!$B:$B, 0)), ""))</f>
        <v/>
      </c>
      <c r="S1860" s="79">
        <f>IF(Q1860="Sin Factura","",IFERROR(_xlfn.XLOOKUP(1, (Facturas_Odoo!$D:$D=A1860) * (Facturas_Odoo!$K:$K=I1860), Facturas_Odoo!$L:$L, ""), ""))</f>
        <v/>
      </c>
      <c r="T1860" s="81">
        <f>IF(Q1860="Sin Factura",0,IFERROR(_xlfn.XLOOKUP(1, (Facturas_Odoo!$D:$D=A1860) * (Facturas_Odoo!$K:$K=I1860), Facturas_Odoo!$M:$M, 0), 0))</f>
        <v/>
      </c>
      <c r="U1860" s="79">
        <f>IF(Q1860="Sin Factura",0,IFERROR(_xlfn.XLOOKUP(1, (Facturas_Odoo!$D:$D=A1860) * (Facturas_Odoo!$K:$K=I1860), Facturas_Odoo!$N:$N, 0), 0))</f>
        <v/>
      </c>
      <c r="V1860" s="79">
        <f>IF(Q1860="Sin Factura",0,IFERROR(_xlfn.XLOOKUP(1, (Facturas_Odoo!$D:$D=A1860) * (Facturas_Odoo!$K:$K=I1860), Facturas_Odoo!$O:$O, 0), 0))</f>
        <v/>
      </c>
      <c r="W1860" s="81">
        <f>IF(Q1860="Sin Factura",0,IFERROR(_xlfn.XLOOKUP(1, (Facturas_Odoo!$D:$D=A1860) * (Facturas_Odoo!$K:$K=I1860), Facturas_Odoo!$Q:$Q, 0), 0))</f>
        <v/>
      </c>
      <c r="X1860" s="79">
        <f>IF(OR(Q1860="Sin Factura",Q1860=""),"",IFERROR(INDEX(Pagos_Odoo!$B:$B, MATCH(Q1860, Pagos_Odoo!$I:$I, 0)), "Sin Pago"))</f>
        <v/>
      </c>
      <c r="Y1860" s="79">
        <f>IF(X1860="Sin Pago","",IFERROR(INDEX(Pagos_Odoo!$C:$C, MATCH(X1860, Pagos_Odoo!$B:$B, 0)), ""))</f>
        <v/>
      </c>
      <c r="Z1860" s="80">
        <f>IF(X1860="Sin Pago","",IFERROR(INDEX(Pagos_Odoo!$A:$A, MATCH(X1860, Pagos_Odoo!$B:$B, 0)), ""))</f>
        <v/>
      </c>
      <c r="AA1860" s="79">
        <f>IF(X1860="Sin Pago","",IFERROR(INDEX(Pagos_Odoo!$F:$F, MATCH(X1860, Pagos_Odoo!$B:$B, 0)), ""))</f>
        <v/>
      </c>
      <c r="AB1860" s="81">
        <f>IF(X1860="Sin Pago",0,IFERROR(INDEX(Pagos_Odoo!$E:$E, MATCH(X1860, Pagos_Odoo!$B:$B, 0)), 0))</f>
        <v/>
      </c>
      <c r="AC1860" s="79">
        <f>IF(X1860="Sin Pago","",IFERROR(INDEX(Pagos_Odoo!$G:$G, MATCH(X1860, Pagos_Odoo!$B:$B, 0)), ""))</f>
        <v/>
      </c>
      <c r="AD1860" s="82" t="n">
        <v>0</v>
      </c>
      <c r="AE1860" s="82" t="n"/>
      <c r="AF1860" s="82" t="n"/>
      <c r="AG1860" s="82">
        <f>IF(AN1860="","",AD1860+AE1860+AF1860)</f>
        <v/>
      </c>
      <c r="AH1860" s="81">
        <f>IF(AN1860="","",P1860*(1-AG1860))</f>
        <v/>
      </c>
      <c r="AI1860" s="81">
        <f>IF(AN1860="","",IF(Q1860="Sin Factura",0,IFERROR(INDEX(Facturas_Odoo!$H:$H, MATCH(Q1860, Facturas_Odoo!$B:$B, 0)), 0)*(1-AG1860)))</f>
        <v/>
      </c>
      <c r="AJ1860" s="81">
        <f>IF(AN1860="","",_xlfn.LET(idVenta, AN1860&amp;"",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60" s="81">
        <f>IF(AN1860="","",AH1860-AJ1860)</f>
        <v/>
      </c>
      <c r="AL1860" s="81">
        <f>IF(AN1860="","",IF(Q1860="Sin Factura","",AI1860-AJ1860))</f>
        <v/>
      </c>
      <c r="AM1860" s="81">
        <f>IF(AN1860="","",IF(Q1860="Sin Factura",0,P1860-IFERROR(INDEX(Facturas_Odoo!$H:$H, MATCH(Q1860, Facturas_Odoo!$B:$B, 0)), 0)))</f>
        <v/>
      </c>
      <c r="AN1860" s="79">
        <f>IF(AND(A1860="", J1860=""), "", IF(A1860&lt;&gt;"", VALUE(MID(A1860,2,LEN(A1860))), AN1859))</f>
        <v/>
      </c>
      <c r="AO1860" s="79">
        <f>IF(AN1860="","",IF(AD1860=0,"OK",_xlfn.LET(monedaPago, IF(AA1860="","USD",AA1860), limitePermitido, IFERROR(VLOOKUP(monedaPago, Configuración!$A$2:$B$3, 2, FALSE), 0.15), IF(AD1860&gt;limitePermitido, "ALERTA: EXCESO (" &amp; TEXT(limitePermitido, "0%") &amp; " máx)", "OK"))))</f>
        <v/>
      </c>
      <c r="AP1860" s="79">
        <f>IF(AN1860="","",IF(AE1860=0,"OK",_xlfn.LET(fechaPago, Z1860, fechaFactura, R1860, diasCredito, IF(E1860="Pago inmediato", 0, IFERROR(VALUE(MID(E1860, 1, SEARCH(" ", E1860)-1)),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60" s="79">
        <f>IF(AN1860="","",IF(AND(N1860&gt;0, AG1860&gt;0), IF(Configuración!$K$2="NO", "ALERTA: DESCUENTO DOBLE NO PERMITIDO", "OK"), "OK"))</f>
        <v/>
      </c>
      <c r="AR1860" s="79">
        <f>IF(AN1860="","",IF(OR(AO1860&lt;&gt;"OK", AP1860&lt;&gt;"OK", AQ1860&lt;&gt;"OK"), "⚠️ REVISAR", "OK"))</f>
        <v/>
      </c>
    </row>
    <row r="1861">
      <c r="A1861" s="79">
        <f>IF('Ordenes_Odoo'!A1861="","",'Ordenes_Odoo'!A1861)</f>
        <v/>
      </c>
      <c r="B1861" s="80">
        <f>IF('Ordenes_Odoo'!B1861="","",'Ordenes_Odoo'!B1861)</f>
        <v/>
      </c>
      <c r="C1861" s="79">
        <f>IF('Ordenes_Odoo'!C1861="","",'Ordenes_Odoo'!C1861)</f>
        <v/>
      </c>
      <c r="D1861" s="79">
        <f>IF('Ordenes_Odoo'!D1861="","",'Ordenes_Odoo'!D1861)</f>
        <v/>
      </c>
      <c r="E1861" s="79">
        <f>IF('Ordenes_Odoo'!E1861="","",'Ordenes_Odoo'!E1861)</f>
        <v/>
      </c>
      <c r="F1861" s="79">
        <f>IF('Ordenes_Odoo'!F1861="","",'Ordenes_Odoo'!F1861)</f>
        <v/>
      </c>
      <c r="G1861" s="79">
        <f>IF('Ordenes_Odoo'!G1861="","",'Ordenes_Odoo'!G1861)</f>
        <v/>
      </c>
      <c r="H1861" s="79">
        <f>IF('Ordenes_Odoo'!H1861="","",'Ordenes_Odoo'!H1861)</f>
        <v/>
      </c>
      <c r="I1861" s="79">
        <f>IF('Ordenes_Odoo'!I1861="","",'Ordenes_Odoo'!I1861)</f>
        <v/>
      </c>
      <c r="J1861" s="79">
        <f>IF('Ordenes_Odoo'!J1861="","",'Ordenes_Odoo'!J1861)</f>
        <v/>
      </c>
      <c r="K1861" s="81">
        <f>IF('Ordenes_Odoo'!K1861="","",'Ordenes_Odoo'!K1861)</f>
        <v/>
      </c>
      <c r="L1861" s="81">
        <f>IF('Ordenes_Odoo'!L1861="","",'Ordenes_Odoo'!L1861)</f>
        <v/>
      </c>
      <c r="M1861" s="79">
        <f>IF('Ordenes_Odoo'!M1861="","",'Ordenes_Odoo'!M1861)</f>
        <v/>
      </c>
      <c r="N1861" s="79">
        <f>IF('Ordenes_Odoo'!N1861="","",'Ordenes_Odoo'!N1861)</f>
        <v/>
      </c>
      <c r="O1861" s="81">
        <f>IF('Ordenes_Odoo'!O1861="","",'Ordenes_Odoo'!O1861)</f>
        <v/>
      </c>
      <c r="P1861" s="81">
        <f>IF('Ordenes_Odoo'!P1861="","",'Ordenes_Odoo'!P1861)</f>
        <v/>
      </c>
      <c r="Q1861" s="79">
        <f>IF(A1861="","",IFERROR(INDEX(Facturas_Odoo!$B:$B, MATCH(A1861, Facturas_Odoo!$D:$D, 0)), "Sin Factura"))</f>
        <v/>
      </c>
      <c r="R1861" s="80">
        <f>IF(Q1861="Sin Factura","",IFERROR(INDEX(Facturas_Odoo!$A:$A, MATCH(Q1861, Facturas_Odoo!$B:$B, 0)), ""))</f>
        <v/>
      </c>
      <c r="S1861" s="79">
        <f>IF(Q1861="Sin Factura","",IFERROR(_xlfn.XLOOKUP(1, (Facturas_Odoo!$D:$D=A1861) * (Facturas_Odoo!$K:$K=I1861), Facturas_Odoo!$L:$L, ""), ""))</f>
        <v/>
      </c>
      <c r="T1861" s="81">
        <f>IF(Q1861="Sin Factura",0,IFERROR(_xlfn.XLOOKUP(1, (Facturas_Odoo!$D:$D=A1861) * (Facturas_Odoo!$K:$K=I1861), Facturas_Odoo!$M:$M, 0), 0))</f>
        <v/>
      </c>
      <c r="U1861" s="79">
        <f>IF(Q1861="Sin Factura",0,IFERROR(_xlfn.XLOOKUP(1, (Facturas_Odoo!$D:$D=A1861) * (Facturas_Odoo!$K:$K=I1861), Facturas_Odoo!$N:$N, 0), 0))</f>
        <v/>
      </c>
      <c r="V1861" s="79">
        <f>IF(Q1861="Sin Factura",0,IFERROR(_xlfn.XLOOKUP(1, (Facturas_Odoo!$D:$D=A1861) * (Facturas_Odoo!$K:$K=I1861), Facturas_Odoo!$O:$O, 0), 0))</f>
        <v/>
      </c>
      <c r="W1861" s="81">
        <f>IF(Q1861="Sin Factura",0,IFERROR(_xlfn.XLOOKUP(1, (Facturas_Odoo!$D:$D=A1861) * (Facturas_Odoo!$K:$K=I1861), Facturas_Odoo!$Q:$Q, 0), 0))</f>
        <v/>
      </c>
      <c r="X1861" s="79">
        <f>IF(OR(Q1861="Sin Factura",Q1861=""),"",IFERROR(INDEX(Pagos_Odoo!$B:$B, MATCH(Q1861, Pagos_Odoo!$I:$I, 0)), "Sin Pago"))</f>
        <v/>
      </c>
      <c r="Y1861" s="79">
        <f>IF(X1861="Sin Pago","",IFERROR(INDEX(Pagos_Odoo!$C:$C, MATCH(X1861, Pagos_Odoo!$B:$B, 0)), ""))</f>
        <v/>
      </c>
      <c r="Z1861" s="80">
        <f>IF(X1861="Sin Pago","",IFERROR(INDEX(Pagos_Odoo!$A:$A, MATCH(X1861, Pagos_Odoo!$B:$B, 0)), ""))</f>
        <v/>
      </c>
      <c r="AA1861" s="79">
        <f>IF(X1861="Sin Pago","",IFERROR(INDEX(Pagos_Odoo!$F:$F, MATCH(X1861, Pagos_Odoo!$B:$B, 0)), ""))</f>
        <v/>
      </c>
      <c r="AB1861" s="81">
        <f>IF(X1861="Sin Pago",0,IFERROR(INDEX(Pagos_Odoo!$E:$E, MATCH(X1861, Pagos_Odoo!$B:$B, 0)), 0))</f>
        <v/>
      </c>
      <c r="AC1861" s="79">
        <f>IF(X1861="Sin Pago","",IFERROR(INDEX(Pagos_Odoo!$G:$G, MATCH(X1861, Pagos_Odoo!$B:$B, 0)), ""))</f>
        <v/>
      </c>
      <c r="AD1861" s="82" t="n">
        <v>0</v>
      </c>
      <c r="AE1861" s="82" t="n"/>
      <c r="AF1861" s="82" t="n"/>
      <c r="AG1861" s="82">
        <f>IF(AN1861="","",AD1861+AE1861+AF1861)</f>
        <v/>
      </c>
      <c r="AH1861" s="81">
        <f>IF(AN1861="","",P1861*(1-AG1861))</f>
        <v/>
      </c>
      <c r="AI1861" s="81">
        <f>IF(AN1861="","",IF(Q1861="Sin Factura",0,IFERROR(INDEX(Facturas_Odoo!$H:$H, MATCH(Q1861, Facturas_Odoo!$B:$B, 0)), 0)*(1-AG1861)))</f>
        <v/>
      </c>
      <c r="AJ1861" s="81">
        <f>IF(AN1861="","",_xlfn.LET(idVenta, AN1861&amp;"",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61" s="81">
        <f>IF(AN1861="","",AH1861-AJ1861)</f>
        <v/>
      </c>
      <c r="AL1861" s="81">
        <f>IF(AN1861="","",IF(Q1861="Sin Factura","",AI1861-AJ1861))</f>
        <v/>
      </c>
      <c r="AM1861" s="81">
        <f>IF(AN1861="","",IF(Q1861="Sin Factura",0,P1861-IFERROR(INDEX(Facturas_Odoo!$H:$H, MATCH(Q1861, Facturas_Odoo!$B:$B, 0)), 0)))</f>
        <v/>
      </c>
      <c r="AN1861" s="79">
        <f>IF(AND(A1861="", J1861=""), "", IF(A1861&lt;&gt;"", VALUE(MID(A1861,2,LEN(A1861))), AN1860))</f>
        <v/>
      </c>
      <c r="AO1861" s="79">
        <f>IF(AN1861="","",IF(AD1861=0,"OK",_xlfn.LET(monedaPago, IF(AA1861="","USD",AA1861), limitePermitido, IFERROR(VLOOKUP(monedaPago, Configuración!$A$2:$B$3, 2, FALSE), 0.15), IF(AD1861&gt;limitePermitido, "ALERTA: EXCESO (" &amp; TEXT(limitePermitido, "0%") &amp; " máx)", "OK"))))</f>
        <v/>
      </c>
      <c r="AP1861" s="79">
        <f>IF(AN1861="","",IF(AE1861=0,"OK",_xlfn.LET(fechaPago, Z1861, fechaFactura, R1861, diasCredito, IF(E1861="Pago inmediato", 0, IFERROR(VALUE(MID(E1861, 1, SEARCH(" ", E1861)-1)),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61" s="79">
        <f>IF(AN1861="","",IF(AND(N1861&gt;0, AG1861&gt;0), IF(Configuración!$K$2="NO", "ALERTA: DESCUENTO DOBLE NO PERMITIDO", "OK"), "OK"))</f>
        <v/>
      </c>
      <c r="AR1861" s="79">
        <f>IF(AN1861="","",IF(OR(AO1861&lt;&gt;"OK", AP1861&lt;&gt;"OK", AQ1861&lt;&gt;"OK"), "⚠️ REVISAR", "OK"))</f>
        <v/>
      </c>
    </row>
    <row r="1862">
      <c r="A1862" s="79">
        <f>IF('Ordenes_Odoo'!A1862="","",'Ordenes_Odoo'!A1862)</f>
        <v/>
      </c>
      <c r="B1862" s="80">
        <f>IF('Ordenes_Odoo'!B1862="","",'Ordenes_Odoo'!B1862)</f>
        <v/>
      </c>
      <c r="C1862" s="79">
        <f>IF('Ordenes_Odoo'!C1862="","",'Ordenes_Odoo'!C1862)</f>
        <v/>
      </c>
      <c r="D1862" s="79">
        <f>IF('Ordenes_Odoo'!D1862="","",'Ordenes_Odoo'!D1862)</f>
        <v/>
      </c>
      <c r="E1862" s="79">
        <f>IF('Ordenes_Odoo'!E1862="","",'Ordenes_Odoo'!E1862)</f>
        <v/>
      </c>
      <c r="F1862" s="79">
        <f>IF('Ordenes_Odoo'!F1862="","",'Ordenes_Odoo'!F1862)</f>
        <v/>
      </c>
      <c r="G1862" s="79">
        <f>IF('Ordenes_Odoo'!G1862="","",'Ordenes_Odoo'!G1862)</f>
        <v/>
      </c>
      <c r="H1862" s="79">
        <f>IF('Ordenes_Odoo'!H1862="","",'Ordenes_Odoo'!H1862)</f>
        <v/>
      </c>
      <c r="I1862" s="79">
        <f>IF('Ordenes_Odoo'!I1862="","",'Ordenes_Odoo'!I1862)</f>
        <v/>
      </c>
      <c r="J1862" s="79">
        <f>IF('Ordenes_Odoo'!J1862="","",'Ordenes_Odoo'!J1862)</f>
        <v/>
      </c>
      <c r="K1862" s="81">
        <f>IF('Ordenes_Odoo'!K1862="","",'Ordenes_Odoo'!K1862)</f>
        <v/>
      </c>
      <c r="L1862" s="81">
        <f>IF('Ordenes_Odoo'!L1862="","",'Ordenes_Odoo'!L1862)</f>
        <v/>
      </c>
      <c r="M1862" s="79">
        <f>IF('Ordenes_Odoo'!M1862="","",'Ordenes_Odoo'!M1862)</f>
        <v/>
      </c>
      <c r="N1862" s="79">
        <f>IF('Ordenes_Odoo'!N1862="","",'Ordenes_Odoo'!N1862)</f>
        <v/>
      </c>
      <c r="O1862" s="81">
        <f>IF('Ordenes_Odoo'!O1862="","",'Ordenes_Odoo'!O1862)</f>
        <v/>
      </c>
      <c r="P1862" s="81">
        <f>IF('Ordenes_Odoo'!P1862="","",'Ordenes_Odoo'!P1862)</f>
        <v/>
      </c>
      <c r="Q1862" s="79">
        <f>IF(A1862="","",IFERROR(INDEX(Facturas_Odoo!$B:$B, MATCH(A1862, Facturas_Odoo!$D:$D, 0)), "Sin Factura"))</f>
        <v/>
      </c>
      <c r="R1862" s="80">
        <f>IF(Q1862="Sin Factura","",IFERROR(INDEX(Facturas_Odoo!$A:$A, MATCH(Q1862, Facturas_Odoo!$B:$B, 0)), ""))</f>
        <v/>
      </c>
      <c r="S1862" s="79">
        <f>IF(Q1862="Sin Factura","",IFERROR(_xlfn.XLOOKUP(1, (Facturas_Odoo!$D:$D=A1862) * (Facturas_Odoo!$K:$K=I1862), Facturas_Odoo!$L:$L, ""), ""))</f>
        <v/>
      </c>
      <c r="T1862" s="81">
        <f>IF(Q1862="Sin Factura",0,IFERROR(_xlfn.XLOOKUP(1, (Facturas_Odoo!$D:$D=A1862) * (Facturas_Odoo!$K:$K=I1862), Facturas_Odoo!$M:$M, 0), 0))</f>
        <v/>
      </c>
      <c r="U1862" s="79">
        <f>IF(Q1862="Sin Factura",0,IFERROR(_xlfn.XLOOKUP(1, (Facturas_Odoo!$D:$D=A1862) * (Facturas_Odoo!$K:$K=I1862), Facturas_Odoo!$N:$N, 0), 0))</f>
        <v/>
      </c>
      <c r="V1862" s="79">
        <f>IF(Q1862="Sin Factura",0,IFERROR(_xlfn.XLOOKUP(1, (Facturas_Odoo!$D:$D=A1862) * (Facturas_Odoo!$K:$K=I1862), Facturas_Odoo!$O:$O, 0), 0))</f>
        <v/>
      </c>
      <c r="W1862" s="81">
        <f>IF(Q1862="Sin Factura",0,IFERROR(_xlfn.XLOOKUP(1, (Facturas_Odoo!$D:$D=A1862) * (Facturas_Odoo!$K:$K=I1862), Facturas_Odoo!$Q:$Q, 0), 0))</f>
        <v/>
      </c>
      <c r="X1862" s="79">
        <f>IF(OR(Q1862="Sin Factura",Q1862=""),"",IFERROR(INDEX(Pagos_Odoo!$B:$B, MATCH(Q1862, Pagos_Odoo!$I:$I, 0)), "Sin Pago"))</f>
        <v/>
      </c>
      <c r="Y1862" s="79">
        <f>IF(X1862="Sin Pago","",IFERROR(INDEX(Pagos_Odoo!$C:$C, MATCH(X1862, Pagos_Odoo!$B:$B, 0)), ""))</f>
        <v/>
      </c>
      <c r="Z1862" s="80">
        <f>IF(X1862="Sin Pago","",IFERROR(INDEX(Pagos_Odoo!$A:$A, MATCH(X1862, Pagos_Odoo!$B:$B, 0)), ""))</f>
        <v/>
      </c>
      <c r="AA1862" s="79">
        <f>IF(X1862="Sin Pago","",IFERROR(INDEX(Pagos_Odoo!$F:$F, MATCH(X1862, Pagos_Odoo!$B:$B, 0)), ""))</f>
        <v/>
      </c>
      <c r="AB1862" s="81">
        <f>IF(X1862="Sin Pago",0,IFERROR(INDEX(Pagos_Odoo!$E:$E, MATCH(X1862, Pagos_Odoo!$B:$B, 0)), 0))</f>
        <v/>
      </c>
      <c r="AC1862" s="79">
        <f>IF(X1862="Sin Pago","",IFERROR(INDEX(Pagos_Odoo!$G:$G, MATCH(X1862, Pagos_Odoo!$B:$B, 0)), ""))</f>
        <v/>
      </c>
      <c r="AD1862" s="82" t="n">
        <v>0</v>
      </c>
      <c r="AE1862" s="82" t="n"/>
      <c r="AF1862" s="82" t="n"/>
      <c r="AG1862" s="82">
        <f>IF(AN1862="","",AD1862+AE1862+AF1862)</f>
        <v/>
      </c>
      <c r="AH1862" s="81">
        <f>IF(AN1862="","",P1862*(1-AG1862))</f>
        <v/>
      </c>
      <c r="AI1862" s="81">
        <f>IF(AN1862="","",IF(Q1862="Sin Factura",0,IFERROR(INDEX(Facturas_Odoo!$H:$H, MATCH(Q1862, Facturas_Odoo!$B:$B, 0)), 0)*(1-AG1862)))</f>
        <v/>
      </c>
      <c r="AJ1862" s="81">
        <f>IF(AN1862="","",_xlfn.LET(idVenta, AN1862&amp;"",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62" s="81">
        <f>IF(AN1862="","",AH1862-AJ1862)</f>
        <v/>
      </c>
      <c r="AL1862" s="81">
        <f>IF(AN1862="","",IF(Q1862="Sin Factura","",AI1862-AJ1862))</f>
        <v/>
      </c>
      <c r="AM1862" s="81">
        <f>IF(AN1862="","",IF(Q1862="Sin Factura",0,P1862-IFERROR(INDEX(Facturas_Odoo!$H:$H, MATCH(Q1862, Facturas_Odoo!$B:$B, 0)), 0)))</f>
        <v/>
      </c>
      <c r="AN1862" s="79">
        <f>IF(AND(A1862="", J1862=""), "", IF(A1862&lt;&gt;"", VALUE(MID(A1862,2,LEN(A1862))), AN1861))</f>
        <v/>
      </c>
      <c r="AO1862" s="79">
        <f>IF(AN1862="","",IF(AD1862=0,"OK",_xlfn.LET(monedaPago, IF(AA1862="","USD",AA1862), limitePermitido, IFERROR(VLOOKUP(monedaPago, Configuración!$A$2:$B$3, 2, FALSE), 0.15), IF(AD1862&gt;limitePermitido, "ALERTA: EXCESO (" &amp; TEXT(limitePermitido, "0%") &amp; " máx)", "OK"))))</f>
        <v/>
      </c>
      <c r="AP1862" s="79">
        <f>IF(AN1862="","",IF(AE1862=0,"OK",_xlfn.LET(fechaPago, Z1862, fechaFactura, R1862, diasCredito, IF(E1862="Pago inmediato", 0, IFERROR(VALUE(MID(E1862, 1, SEARCH(" ", E1862)-1)),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62" s="79">
        <f>IF(AN1862="","",IF(AND(N1862&gt;0, AG1862&gt;0), IF(Configuración!$K$2="NO", "ALERTA: DESCUENTO DOBLE NO PERMITIDO", "OK"), "OK"))</f>
        <v/>
      </c>
      <c r="AR1862" s="79">
        <f>IF(AN1862="","",IF(OR(AO1862&lt;&gt;"OK", AP1862&lt;&gt;"OK", AQ1862&lt;&gt;"OK"), "⚠️ REVISAR", "OK"))</f>
        <v/>
      </c>
    </row>
    <row r="1863">
      <c r="A1863" s="79">
        <f>IF('Ordenes_Odoo'!A1863="","",'Ordenes_Odoo'!A1863)</f>
        <v/>
      </c>
      <c r="B1863" s="80">
        <f>IF('Ordenes_Odoo'!B1863="","",'Ordenes_Odoo'!B1863)</f>
        <v/>
      </c>
      <c r="C1863" s="79">
        <f>IF('Ordenes_Odoo'!C1863="","",'Ordenes_Odoo'!C1863)</f>
        <v/>
      </c>
      <c r="D1863" s="79">
        <f>IF('Ordenes_Odoo'!D1863="","",'Ordenes_Odoo'!D1863)</f>
        <v/>
      </c>
      <c r="E1863" s="79">
        <f>IF('Ordenes_Odoo'!E1863="","",'Ordenes_Odoo'!E1863)</f>
        <v/>
      </c>
      <c r="F1863" s="79">
        <f>IF('Ordenes_Odoo'!F1863="","",'Ordenes_Odoo'!F1863)</f>
        <v/>
      </c>
      <c r="G1863" s="79">
        <f>IF('Ordenes_Odoo'!G1863="","",'Ordenes_Odoo'!G1863)</f>
        <v/>
      </c>
      <c r="H1863" s="79">
        <f>IF('Ordenes_Odoo'!H1863="","",'Ordenes_Odoo'!H1863)</f>
        <v/>
      </c>
      <c r="I1863" s="79">
        <f>IF('Ordenes_Odoo'!I1863="","",'Ordenes_Odoo'!I1863)</f>
        <v/>
      </c>
      <c r="J1863" s="79">
        <f>IF('Ordenes_Odoo'!J1863="","",'Ordenes_Odoo'!J1863)</f>
        <v/>
      </c>
      <c r="K1863" s="81">
        <f>IF('Ordenes_Odoo'!K1863="","",'Ordenes_Odoo'!K1863)</f>
        <v/>
      </c>
      <c r="L1863" s="81">
        <f>IF('Ordenes_Odoo'!L1863="","",'Ordenes_Odoo'!L1863)</f>
        <v/>
      </c>
      <c r="M1863" s="79">
        <f>IF('Ordenes_Odoo'!M1863="","",'Ordenes_Odoo'!M1863)</f>
        <v/>
      </c>
      <c r="N1863" s="79">
        <f>IF('Ordenes_Odoo'!N1863="","",'Ordenes_Odoo'!N1863)</f>
        <v/>
      </c>
      <c r="O1863" s="81">
        <f>IF('Ordenes_Odoo'!O1863="","",'Ordenes_Odoo'!O1863)</f>
        <v/>
      </c>
      <c r="P1863" s="81">
        <f>IF('Ordenes_Odoo'!P1863="","",'Ordenes_Odoo'!P1863)</f>
        <v/>
      </c>
      <c r="Q1863" s="79">
        <f>IF(A1863="","",IFERROR(INDEX(Facturas_Odoo!$B:$B, MATCH(A1863, Facturas_Odoo!$D:$D, 0)), "Sin Factura"))</f>
        <v/>
      </c>
      <c r="R1863" s="80">
        <f>IF(Q1863="Sin Factura","",IFERROR(INDEX(Facturas_Odoo!$A:$A, MATCH(Q1863, Facturas_Odoo!$B:$B, 0)), ""))</f>
        <v/>
      </c>
      <c r="S1863" s="79">
        <f>IF(Q1863="Sin Factura","",IFERROR(_xlfn.XLOOKUP(1, (Facturas_Odoo!$D:$D=A1863) * (Facturas_Odoo!$K:$K=I1863), Facturas_Odoo!$L:$L, ""), ""))</f>
        <v/>
      </c>
      <c r="T1863" s="81">
        <f>IF(Q1863="Sin Factura",0,IFERROR(_xlfn.XLOOKUP(1, (Facturas_Odoo!$D:$D=A1863) * (Facturas_Odoo!$K:$K=I1863), Facturas_Odoo!$M:$M, 0), 0))</f>
        <v/>
      </c>
      <c r="U1863" s="79">
        <f>IF(Q1863="Sin Factura",0,IFERROR(_xlfn.XLOOKUP(1, (Facturas_Odoo!$D:$D=A1863) * (Facturas_Odoo!$K:$K=I1863), Facturas_Odoo!$N:$N, 0), 0))</f>
        <v/>
      </c>
      <c r="V1863" s="79">
        <f>IF(Q1863="Sin Factura",0,IFERROR(_xlfn.XLOOKUP(1, (Facturas_Odoo!$D:$D=A1863) * (Facturas_Odoo!$K:$K=I1863), Facturas_Odoo!$O:$O, 0), 0))</f>
        <v/>
      </c>
      <c r="W1863" s="81">
        <f>IF(Q1863="Sin Factura",0,IFERROR(_xlfn.XLOOKUP(1, (Facturas_Odoo!$D:$D=A1863) * (Facturas_Odoo!$K:$K=I1863), Facturas_Odoo!$Q:$Q, 0), 0))</f>
        <v/>
      </c>
      <c r="X1863" s="79">
        <f>IF(OR(Q1863="Sin Factura",Q1863=""),"",IFERROR(INDEX(Pagos_Odoo!$B:$B, MATCH(Q1863, Pagos_Odoo!$I:$I, 0)), "Sin Pago"))</f>
        <v/>
      </c>
      <c r="Y1863" s="79">
        <f>IF(X1863="Sin Pago","",IFERROR(INDEX(Pagos_Odoo!$C:$C, MATCH(X1863, Pagos_Odoo!$B:$B, 0)), ""))</f>
        <v/>
      </c>
      <c r="Z1863" s="80">
        <f>IF(X1863="Sin Pago","",IFERROR(INDEX(Pagos_Odoo!$A:$A, MATCH(X1863, Pagos_Odoo!$B:$B, 0)), ""))</f>
        <v/>
      </c>
      <c r="AA1863" s="79">
        <f>IF(X1863="Sin Pago","",IFERROR(INDEX(Pagos_Odoo!$F:$F, MATCH(X1863, Pagos_Odoo!$B:$B, 0)), ""))</f>
        <v/>
      </c>
      <c r="AB1863" s="81">
        <f>IF(X1863="Sin Pago",0,IFERROR(INDEX(Pagos_Odoo!$E:$E, MATCH(X1863, Pagos_Odoo!$B:$B, 0)), 0))</f>
        <v/>
      </c>
      <c r="AC1863" s="79">
        <f>IF(X1863="Sin Pago","",IFERROR(INDEX(Pagos_Odoo!$G:$G, MATCH(X1863, Pagos_Odoo!$B:$B, 0)), ""))</f>
        <v/>
      </c>
      <c r="AD1863" s="82" t="n">
        <v>0</v>
      </c>
      <c r="AE1863" s="82" t="n"/>
      <c r="AF1863" s="82" t="n"/>
      <c r="AG1863" s="82">
        <f>IF(AN1863="","",AD1863+AE1863+AF1863)</f>
        <v/>
      </c>
      <c r="AH1863" s="81">
        <f>IF(AN1863="","",P1863*(1-AG1863))</f>
        <v/>
      </c>
      <c r="AI1863" s="81">
        <f>IF(AN1863="","",IF(Q1863="Sin Factura",0,IFERROR(INDEX(Facturas_Odoo!$H:$H, MATCH(Q1863, Facturas_Odoo!$B:$B, 0)), 0)*(1-AG1863)))</f>
        <v/>
      </c>
      <c r="AJ1863" s="81">
        <f>IF(AN1863="","",_xlfn.LET(idVenta, AN1863&amp;"",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63" s="81">
        <f>IF(AN1863="","",AH1863-AJ1863)</f>
        <v/>
      </c>
      <c r="AL1863" s="81">
        <f>IF(AN1863="","",IF(Q1863="Sin Factura","",AI1863-AJ1863))</f>
        <v/>
      </c>
      <c r="AM1863" s="81">
        <f>IF(AN1863="","",IF(Q1863="Sin Factura",0,P1863-IFERROR(INDEX(Facturas_Odoo!$H:$H, MATCH(Q1863, Facturas_Odoo!$B:$B, 0)), 0)))</f>
        <v/>
      </c>
      <c r="AN1863" s="79">
        <f>IF(AND(A1863="", J1863=""), "", IF(A1863&lt;&gt;"", VALUE(MID(A1863,2,LEN(A1863))), AN1862))</f>
        <v/>
      </c>
      <c r="AO1863" s="79">
        <f>IF(AN1863="","",IF(AD1863=0,"OK",_xlfn.LET(monedaPago, IF(AA1863="","USD",AA1863), limitePermitido, IFERROR(VLOOKUP(monedaPago, Configuración!$A$2:$B$3, 2, FALSE), 0.15), IF(AD1863&gt;limitePermitido, "ALERTA: EXCESO (" &amp; TEXT(limitePermitido, "0%") &amp; " máx)", "OK"))))</f>
        <v/>
      </c>
      <c r="AP1863" s="79">
        <f>IF(AN1863="","",IF(AE1863=0,"OK",_xlfn.LET(fechaPago, Z1863, fechaFactura, R1863, diasCredito, IF(E1863="Pago inmediato", 0, IFERROR(VALUE(MID(E1863, 1, SEARCH(" ", E1863)-1)),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63" s="79">
        <f>IF(AN1863="","",IF(AND(N1863&gt;0, AG1863&gt;0), IF(Configuración!$K$2="NO", "ALERTA: DESCUENTO DOBLE NO PERMITIDO", "OK"), "OK"))</f>
        <v/>
      </c>
      <c r="AR1863" s="79">
        <f>IF(AN1863="","",IF(OR(AO1863&lt;&gt;"OK", AP1863&lt;&gt;"OK", AQ1863&lt;&gt;"OK"), "⚠️ REVISAR", "OK"))</f>
        <v/>
      </c>
    </row>
    <row r="1864">
      <c r="A1864" s="79">
        <f>IF('Ordenes_Odoo'!A1864="","",'Ordenes_Odoo'!A1864)</f>
        <v/>
      </c>
      <c r="B1864" s="80">
        <f>IF('Ordenes_Odoo'!B1864="","",'Ordenes_Odoo'!B1864)</f>
        <v/>
      </c>
      <c r="C1864" s="79">
        <f>IF('Ordenes_Odoo'!C1864="","",'Ordenes_Odoo'!C1864)</f>
        <v/>
      </c>
      <c r="D1864" s="79">
        <f>IF('Ordenes_Odoo'!D1864="","",'Ordenes_Odoo'!D1864)</f>
        <v/>
      </c>
      <c r="E1864" s="79">
        <f>IF('Ordenes_Odoo'!E1864="","",'Ordenes_Odoo'!E1864)</f>
        <v/>
      </c>
      <c r="F1864" s="79">
        <f>IF('Ordenes_Odoo'!F1864="","",'Ordenes_Odoo'!F1864)</f>
        <v/>
      </c>
      <c r="G1864" s="79">
        <f>IF('Ordenes_Odoo'!G1864="","",'Ordenes_Odoo'!G1864)</f>
        <v/>
      </c>
      <c r="H1864" s="79">
        <f>IF('Ordenes_Odoo'!H1864="","",'Ordenes_Odoo'!H1864)</f>
        <v/>
      </c>
      <c r="I1864" s="79">
        <f>IF('Ordenes_Odoo'!I1864="","",'Ordenes_Odoo'!I1864)</f>
        <v/>
      </c>
      <c r="J1864" s="79">
        <f>IF('Ordenes_Odoo'!J1864="","",'Ordenes_Odoo'!J1864)</f>
        <v/>
      </c>
      <c r="K1864" s="81">
        <f>IF('Ordenes_Odoo'!K1864="","",'Ordenes_Odoo'!K1864)</f>
        <v/>
      </c>
      <c r="L1864" s="81">
        <f>IF('Ordenes_Odoo'!L1864="","",'Ordenes_Odoo'!L1864)</f>
        <v/>
      </c>
      <c r="M1864" s="79">
        <f>IF('Ordenes_Odoo'!M1864="","",'Ordenes_Odoo'!M1864)</f>
        <v/>
      </c>
      <c r="N1864" s="79">
        <f>IF('Ordenes_Odoo'!N1864="","",'Ordenes_Odoo'!N1864)</f>
        <v/>
      </c>
      <c r="O1864" s="81">
        <f>IF('Ordenes_Odoo'!O1864="","",'Ordenes_Odoo'!O1864)</f>
        <v/>
      </c>
      <c r="P1864" s="81">
        <f>IF('Ordenes_Odoo'!P1864="","",'Ordenes_Odoo'!P1864)</f>
        <v/>
      </c>
      <c r="Q1864" s="79">
        <f>IF(A1864="","",IFERROR(INDEX(Facturas_Odoo!$B:$B, MATCH(A1864, Facturas_Odoo!$D:$D, 0)), "Sin Factura"))</f>
        <v/>
      </c>
      <c r="R1864" s="80">
        <f>IF(Q1864="Sin Factura","",IFERROR(INDEX(Facturas_Odoo!$A:$A, MATCH(Q1864, Facturas_Odoo!$B:$B, 0)), ""))</f>
        <v/>
      </c>
      <c r="S1864" s="79">
        <f>IF(Q1864="Sin Factura","",IFERROR(_xlfn.XLOOKUP(1, (Facturas_Odoo!$D:$D=A1864) * (Facturas_Odoo!$K:$K=I1864), Facturas_Odoo!$L:$L, ""), ""))</f>
        <v/>
      </c>
      <c r="T1864" s="81">
        <f>IF(Q1864="Sin Factura",0,IFERROR(_xlfn.XLOOKUP(1, (Facturas_Odoo!$D:$D=A1864) * (Facturas_Odoo!$K:$K=I1864), Facturas_Odoo!$M:$M, 0), 0))</f>
        <v/>
      </c>
      <c r="U1864" s="79">
        <f>IF(Q1864="Sin Factura",0,IFERROR(_xlfn.XLOOKUP(1, (Facturas_Odoo!$D:$D=A1864) * (Facturas_Odoo!$K:$K=I1864), Facturas_Odoo!$N:$N, 0), 0))</f>
        <v/>
      </c>
      <c r="V1864" s="79">
        <f>IF(Q1864="Sin Factura",0,IFERROR(_xlfn.XLOOKUP(1, (Facturas_Odoo!$D:$D=A1864) * (Facturas_Odoo!$K:$K=I1864), Facturas_Odoo!$O:$O, 0), 0))</f>
        <v/>
      </c>
      <c r="W1864" s="81">
        <f>IF(Q1864="Sin Factura",0,IFERROR(_xlfn.XLOOKUP(1, (Facturas_Odoo!$D:$D=A1864) * (Facturas_Odoo!$K:$K=I1864), Facturas_Odoo!$Q:$Q, 0), 0))</f>
        <v/>
      </c>
      <c r="X1864" s="79">
        <f>IF(OR(Q1864="Sin Factura",Q1864=""),"",IFERROR(INDEX(Pagos_Odoo!$B:$B, MATCH(Q1864, Pagos_Odoo!$I:$I, 0)), "Sin Pago"))</f>
        <v/>
      </c>
      <c r="Y1864" s="79">
        <f>IF(X1864="Sin Pago","",IFERROR(INDEX(Pagos_Odoo!$C:$C, MATCH(X1864, Pagos_Odoo!$B:$B, 0)), ""))</f>
        <v/>
      </c>
      <c r="Z1864" s="80">
        <f>IF(X1864="Sin Pago","",IFERROR(INDEX(Pagos_Odoo!$A:$A, MATCH(X1864, Pagos_Odoo!$B:$B, 0)), ""))</f>
        <v/>
      </c>
      <c r="AA1864" s="79">
        <f>IF(X1864="Sin Pago","",IFERROR(INDEX(Pagos_Odoo!$F:$F, MATCH(X1864, Pagos_Odoo!$B:$B, 0)), ""))</f>
        <v/>
      </c>
      <c r="AB1864" s="81">
        <f>IF(X1864="Sin Pago",0,IFERROR(INDEX(Pagos_Odoo!$E:$E, MATCH(X1864, Pagos_Odoo!$B:$B, 0)), 0))</f>
        <v/>
      </c>
      <c r="AC1864" s="79">
        <f>IF(X1864="Sin Pago","",IFERROR(INDEX(Pagos_Odoo!$G:$G, MATCH(X1864, Pagos_Odoo!$B:$B, 0)), ""))</f>
        <v/>
      </c>
      <c r="AD1864" s="82" t="n">
        <v>0</v>
      </c>
      <c r="AE1864" s="82" t="n"/>
      <c r="AF1864" s="82" t="n"/>
      <c r="AG1864" s="82">
        <f>IF(AN1864="","",AD1864+AE1864+AF1864)</f>
        <v/>
      </c>
      <c r="AH1864" s="81">
        <f>IF(AN1864="","",P1864*(1-AG1864))</f>
        <v/>
      </c>
      <c r="AI1864" s="81">
        <f>IF(AN1864="","",IF(Q1864="Sin Factura",0,IFERROR(INDEX(Facturas_Odoo!$H:$H, MATCH(Q1864, Facturas_Odoo!$B:$B, 0)), 0)*(1-AG1864)))</f>
        <v/>
      </c>
      <c r="AJ1864" s="81">
        <f>IF(AN1864="","",_xlfn.LET(idVenta, AN1864&amp;"",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64" s="81">
        <f>IF(AN1864="","",AH1864-AJ1864)</f>
        <v/>
      </c>
      <c r="AL1864" s="81">
        <f>IF(AN1864="","",IF(Q1864="Sin Factura","",AI1864-AJ1864))</f>
        <v/>
      </c>
      <c r="AM1864" s="81">
        <f>IF(AN1864="","",IF(Q1864="Sin Factura",0,P1864-IFERROR(INDEX(Facturas_Odoo!$H:$H, MATCH(Q1864, Facturas_Odoo!$B:$B, 0)), 0)))</f>
        <v/>
      </c>
      <c r="AN1864" s="79">
        <f>IF(AND(A1864="", J1864=""), "", IF(A1864&lt;&gt;"", VALUE(MID(A1864,2,LEN(A1864))), AN1863))</f>
        <v/>
      </c>
      <c r="AO1864" s="79">
        <f>IF(AN1864="","",IF(AD1864=0,"OK",_xlfn.LET(monedaPago, IF(AA1864="","USD",AA1864), limitePermitido, IFERROR(VLOOKUP(monedaPago, Configuración!$A$2:$B$3, 2, FALSE), 0.15), IF(AD1864&gt;limitePermitido, "ALERTA: EXCESO (" &amp; TEXT(limitePermitido, "0%") &amp; " máx)", "OK"))))</f>
        <v/>
      </c>
      <c r="AP1864" s="79">
        <f>IF(AN1864="","",IF(AE1864=0,"OK",_xlfn.LET(fechaPago, Z1864, fechaFactura, R1864, diasCredito, IF(E1864="Pago inmediato", 0, IFERROR(VALUE(MID(E1864, 1, SEARCH(" ", E1864)-1)),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64" s="79">
        <f>IF(AN1864="","",IF(AND(N1864&gt;0, AG1864&gt;0), IF(Configuración!$K$2="NO", "ALERTA: DESCUENTO DOBLE NO PERMITIDO", "OK"), "OK"))</f>
        <v/>
      </c>
      <c r="AR1864" s="79">
        <f>IF(AN1864="","",IF(OR(AO1864&lt;&gt;"OK", AP1864&lt;&gt;"OK", AQ1864&lt;&gt;"OK"), "⚠️ REVISAR", "OK"))</f>
        <v/>
      </c>
    </row>
    <row r="1865">
      <c r="A1865" s="79">
        <f>IF('Ordenes_Odoo'!A1865="","",'Ordenes_Odoo'!A1865)</f>
        <v/>
      </c>
      <c r="B1865" s="80">
        <f>IF('Ordenes_Odoo'!B1865="","",'Ordenes_Odoo'!B1865)</f>
        <v/>
      </c>
      <c r="C1865" s="79">
        <f>IF('Ordenes_Odoo'!C1865="","",'Ordenes_Odoo'!C1865)</f>
        <v/>
      </c>
      <c r="D1865" s="79">
        <f>IF('Ordenes_Odoo'!D1865="","",'Ordenes_Odoo'!D1865)</f>
        <v/>
      </c>
      <c r="E1865" s="79">
        <f>IF('Ordenes_Odoo'!E1865="","",'Ordenes_Odoo'!E1865)</f>
        <v/>
      </c>
      <c r="F1865" s="79">
        <f>IF('Ordenes_Odoo'!F1865="","",'Ordenes_Odoo'!F1865)</f>
        <v/>
      </c>
      <c r="G1865" s="79">
        <f>IF('Ordenes_Odoo'!G1865="","",'Ordenes_Odoo'!G1865)</f>
        <v/>
      </c>
      <c r="H1865" s="79">
        <f>IF('Ordenes_Odoo'!H1865="","",'Ordenes_Odoo'!H1865)</f>
        <v/>
      </c>
      <c r="I1865" s="79">
        <f>IF('Ordenes_Odoo'!I1865="","",'Ordenes_Odoo'!I1865)</f>
        <v/>
      </c>
      <c r="J1865" s="79">
        <f>IF('Ordenes_Odoo'!J1865="","",'Ordenes_Odoo'!J1865)</f>
        <v/>
      </c>
      <c r="K1865" s="81">
        <f>IF('Ordenes_Odoo'!K1865="","",'Ordenes_Odoo'!K1865)</f>
        <v/>
      </c>
      <c r="L1865" s="81">
        <f>IF('Ordenes_Odoo'!L1865="","",'Ordenes_Odoo'!L1865)</f>
        <v/>
      </c>
      <c r="M1865" s="79">
        <f>IF('Ordenes_Odoo'!M1865="","",'Ordenes_Odoo'!M1865)</f>
        <v/>
      </c>
      <c r="N1865" s="79">
        <f>IF('Ordenes_Odoo'!N1865="","",'Ordenes_Odoo'!N1865)</f>
        <v/>
      </c>
      <c r="O1865" s="81">
        <f>IF('Ordenes_Odoo'!O1865="","",'Ordenes_Odoo'!O1865)</f>
        <v/>
      </c>
      <c r="P1865" s="81">
        <f>IF('Ordenes_Odoo'!P1865="","",'Ordenes_Odoo'!P1865)</f>
        <v/>
      </c>
      <c r="Q1865" s="79">
        <f>IF(A1865="","",IFERROR(INDEX(Facturas_Odoo!$B:$B, MATCH(A1865, Facturas_Odoo!$D:$D, 0)), "Sin Factura"))</f>
        <v/>
      </c>
      <c r="R1865" s="80">
        <f>IF(Q1865="Sin Factura","",IFERROR(INDEX(Facturas_Odoo!$A:$A, MATCH(Q1865, Facturas_Odoo!$B:$B, 0)), ""))</f>
        <v/>
      </c>
      <c r="S1865" s="79">
        <f>IF(Q1865="Sin Factura","",IFERROR(_xlfn.XLOOKUP(1, (Facturas_Odoo!$D:$D=A1865) * (Facturas_Odoo!$K:$K=I1865), Facturas_Odoo!$L:$L, ""), ""))</f>
        <v/>
      </c>
      <c r="T1865" s="81">
        <f>IF(Q1865="Sin Factura",0,IFERROR(_xlfn.XLOOKUP(1, (Facturas_Odoo!$D:$D=A1865) * (Facturas_Odoo!$K:$K=I1865), Facturas_Odoo!$M:$M, 0), 0))</f>
        <v/>
      </c>
      <c r="U1865" s="79">
        <f>IF(Q1865="Sin Factura",0,IFERROR(_xlfn.XLOOKUP(1, (Facturas_Odoo!$D:$D=A1865) * (Facturas_Odoo!$K:$K=I1865), Facturas_Odoo!$N:$N, 0), 0))</f>
        <v/>
      </c>
      <c r="V1865" s="79">
        <f>IF(Q1865="Sin Factura",0,IFERROR(_xlfn.XLOOKUP(1, (Facturas_Odoo!$D:$D=A1865) * (Facturas_Odoo!$K:$K=I1865), Facturas_Odoo!$O:$O, 0), 0))</f>
        <v/>
      </c>
      <c r="W1865" s="81">
        <f>IF(Q1865="Sin Factura",0,IFERROR(_xlfn.XLOOKUP(1, (Facturas_Odoo!$D:$D=A1865) * (Facturas_Odoo!$K:$K=I1865), Facturas_Odoo!$Q:$Q, 0), 0))</f>
        <v/>
      </c>
      <c r="X1865" s="79">
        <f>IF(OR(Q1865="Sin Factura",Q1865=""),"",IFERROR(INDEX(Pagos_Odoo!$B:$B, MATCH(Q1865, Pagos_Odoo!$I:$I, 0)), "Sin Pago"))</f>
        <v/>
      </c>
      <c r="Y1865" s="79">
        <f>IF(X1865="Sin Pago","",IFERROR(INDEX(Pagos_Odoo!$C:$C, MATCH(X1865, Pagos_Odoo!$B:$B, 0)), ""))</f>
        <v/>
      </c>
      <c r="Z1865" s="80">
        <f>IF(X1865="Sin Pago","",IFERROR(INDEX(Pagos_Odoo!$A:$A, MATCH(X1865, Pagos_Odoo!$B:$B, 0)), ""))</f>
        <v/>
      </c>
      <c r="AA1865" s="79">
        <f>IF(X1865="Sin Pago","",IFERROR(INDEX(Pagos_Odoo!$F:$F, MATCH(X1865, Pagos_Odoo!$B:$B, 0)), ""))</f>
        <v/>
      </c>
      <c r="AB1865" s="81">
        <f>IF(X1865="Sin Pago",0,IFERROR(INDEX(Pagos_Odoo!$E:$E, MATCH(X1865, Pagos_Odoo!$B:$B, 0)), 0))</f>
        <v/>
      </c>
      <c r="AC1865" s="79">
        <f>IF(X1865="Sin Pago","",IFERROR(INDEX(Pagos_Odoo!$G:$G, MATCH(X1865, Pagos_Odoo!$B:$B, 0)), ""))</f>
        <v/>
      </c>
      <c r="AD1865" s="82" t="n">
        <v>0</v>
      </c>
      <c r="AE1865" s="82" t="n"/>
      <c r="AF1865" s="82" t="n"/>
      <c r="AG1865" s="82">
        <f>IF(AN1865="","",AD1865+AE1865+AF1865)</f>
        <v/>
      </c>
      <c r="AH1865" s="81">
        <f>IF(AN1865="","",P1865*(1-AG1865))</f>
        <v/>
      </c>
      <c r="AI1865" s="81">
        <f>IF(AN1865="","",IF(Q1865="Sin Factura",0,IFERROR(INDEX(Facturas_Odoo!$H:$H, MATCH(Q1865, Facturas_Odoo!$B:$B, 0)), 0)*(1-AG1865)))</f>
        <v/>
      </c>
      <c r="AJ1865" s="81">
        <f>IF(AN1865="","",_xlfn.LET(idVenta, AN1865&amp;"",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65" s="81">
        <f>IF(AN1865="","",AH1865-AJ1865)</f>
        <v/>
      </c>
      <c r="AL1865" s="81">
        <f>IF(AN1865="","",IF(Q1865="Sin Factura","",AI1865-AJ1865))</f>
        <v/>
      </c>
      <c r="AM1865" s="81">
        <f>IF(AN1865="","",IF(Q1865="Sin Factura",0,P1865-IFERROR(INDEX(Facturas_Odoo!$H:$H, MATCH(Q1865, Facturas_Odoo!$B:$B, 0)), 0)))</f>
        <v/>
      </c>
      <c r="AN1865" s="79">
        <f>IF(AND(A1865="", J1865=""), "", IF(A1865&lt;&gt;"", VALUE(MID(A1865,2,LEN(A1865))), AN1864))</f>
        <v/>
      </c>
      <c r="AO1865" s="79">
        <f>IF(AN1865="","",IF(AD1865=0,"OK",_xlfn.LET(monedaPago, IF(AA1865="","USD",AA1865), limitePermitido, IFERROR(VLOOKUP(monedaPago, Configuración!$A$2:$B$3, 2, FALSE), 0.15), IF(AD1865&gt;limitePermitido, "ALERTA: EXCESO (" &amp; TEXT(limitePermitido, "0%") &amp; " máx)", "OK"))))</f>
        <v/>
      </c>
      <c r="AP1865" s="79">
        <f>IF(AN1865="","",IF(AE1865=0,"OK",_xlfn.LET(fechaPago, Z1865, fechaFactura, R1865, diasCredito, IF(E1865="Pago inmediato", 0, IFERROR(VALUE(MID(E1865, 1, SEARCH(" ", E1865)-1)),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65" s="79">
        <f>IF(AN1865="","",IF(AND(N1865&gt;0, AG1865&gt;0), IF(Configuración!$K$2="NO", "ALERTA: DESCUENTO DOBLE NO PERMITIDO", "OK"), "OK"))</f>
        <v/>
      </c>
      <c r="AR1865" s="79">
        <f>IF(AN1865="","",IF(OR(AO1865&lt;&gt;"OK", AP1865&lt;&gt;"OK", AQ1865&lt;&gt;"OK"), "⚠️ REVISAR", "OK"))</f>
        <v/>
      </c>
    </row>
    <row r="1866">
      <c r="A1866" s="79">
        <f>IF('Ordenes_Odoo'!A1866="","",'Ordenes_Odoo'!A1866)</f>
        <v/>
      </c>
      <c r="B1866" s="80">
        <f>IF('Ordenes_Odoo'!B1866="","",'Ordenes_Odoo'!B1866)</f>
        <v/>
      </c>
      <c r="C1866" s="79">
        <f>IF('Ordenes_Odoo'!C1866="","",'Ordenes_Odoo'!C1866)</f>
        <v/>
      </c>
      <c r="D1866" s="79">
        <f>IF('Ordenes_Odoo'!D1866="","",'Ordenes_Odoo'!D1866)</f>
        <v/>
      </c>
      <c r="E1866" s="79">
        <f>IF('Ordenes_Odoo'!E1866="","",'Ordenes_Odoo'!E1866)</f>
        <v/>
      </c>
      <c r="F1866" s="79">
        <f>IF('Ordenes_Odoo'!F1866="","",'Ordenes_Odoo'!F1866)</f>
        <v/>
      </c>
      <c r="G1866" s="79">
        <f>IF('Ordenes_Odoo'!G1866="","",'Ordenes_Odoo'!G1866)</f>
        <v/>
      </c>
      <c r="H1866" s="79">
        <f>IF('Ordenes_Odoo'!H1866="","",'Ordenes_Odoo'!H1866)</f>
        <v/>
      </c>
      <c r="I1866" s="79">
        <f>IF('Ordenes_Odoo'!I1866="","",'Ordenes_Odoo'!I1866)</f>
        <v/>
      </c>
      <c r="J1866" s="79">
        <f>IF('Ordenes_Odoo'!J1866="","",'Ordenes_Odoo'!J1866)</f>
        <v/>
      </c>
      <c r="K1866" s="81">
        <f>IF('Ordenes_Odoo'!K1866="","",'Ordenes_Odoo'!K1866)</f>
        <v/>
      </c>
      <c r="L1866" s="81">
        <f>IF('Ordenes_Odoo'!L1866="","",'Ordenes_Odoo'!L1866)</f>
        <v/>
      </c>
      <c r="M1866" s="79">
        <f>IF('Ordenes_Odoo'!M1866="","",'Ordenes_Odoo'!M1866)</f>
        <v/>
      </c>
      <c r="N1866" s="79">
        <f>IF('Ordenes_Odoo'!N1866="","",'Ordenes_Odoo'!N1866)</f>
        <v/>
      </c>
      <c r="O1866" s="81">
        <f>IF('Ordenes_Odoo'!O1866="","",'Ordenes_Odoo'!O1866)</f>
        <v/>
      </c>
      <c r="P1866" s="81">
        <f>IF('Ordenes_Odoo'!P1866="","",'Ordenes_Odoo'!P1866)</f>
        <v/>
      </c>
      <c r="Q1866" s="79">
        <f>IF(A1866="","",IFERROR(INDEX(Facturas_Odoo!$B:$B, MATCH(A1866, Facturas_Odoo!$D:$D, 0)), "Sin Factura"))</f>
        <v/>
      </c>
      <c r="R1866" s="80">
        <f>IF(Q1866="Sin Factura","",IFERROR(INDEX(Facturas_Odoo!$A:$A, MATCH(Q1866, Facturas_Odoo!$B:$B, 0)), ""))</f>
        <v/>
      </c>
      <c r="S1866" s="79">
        <f>IF(Q1866="Sin Factura","",IFERROR(_xlfn.XLOOKUP(1, (Facturas_Odoo!$D:$D=A1866) * (Facturas_Odoo!$K:$K=I1866), Facturas_Odoo!$L:$L, ""), ""))</f>
        <v/>
      </c>
      <c r="T1866" s="81">
        <f>IF(Q1866="Sin Factura",0,IFERROR(_xlfn.XLOOKUP(1, (Facturas_Odoo!$D:$D=A1866) * (Facturas_Odoo!$K:$K=I1866), Facturas_Odoo!$M:$M, 0), 0))</f>
        <v/>
      </c>
      <c r="U1866" s="79">
        <f>IF(Q1866="Sin Factura",0,IFERROR(_xlfn.XLOOKUP(1, (Facturas_Odoo!$D:$D=A1866) * (Facturas_Odoo!$K:$K=I1866), Facturas_Odoo!$N:$N, 0), 0))</f>
        <v/>
      </c>
      <c r="V1866" s="79">
        <f>IF(Q1866="Sin Factura",0,IFERROR(_xlfn.XLOOKUP(1, (Facturas_Odoo!$D:$D=A1866) * (Facturas_Odoo!$K:$K=I1866), Facturas_Odoo!$O:$O, 0), 0))</f>
        <v/>
      </c>
      <c r="W1866" s="81">
        <f>IF(Q1866="Sin Factura",0,IFERROR(_xlfn.XLOOKUP(1, (Facturas_Odoo!$D:$D=A1866) * (Facturas_Odoo!$K:$K=I1866), Facturas_Odoo!$Q:$Q, 0), 0))</f>
        <v/>
      </c>
      <c r="X1866" s="79">
        <f>IF(OR(Q1866="Sin Factura",Q1866=""),"",IFERROR(INDEX(Pagos_Odoo!$B:$B, MATCH(Q1866, Pagos_Odoo!$I:$I, 0)), "Sin Pago"))</f>
        <v/>
      </c>
      <c r="Y1866" s="79">
        <f>IF(X1866="Sin Pago","",IFERROR(INDEX(Pagos_Odoo!$C:$C, MATCH(X1866, Pagos_Odoo!$B:$B, 0)), ""))</f>
        <v/>
      </c>
      <c r="Z1866" s="80">
        <f>IF(X1866="Sin Pago","",IFERROR(INDEX(Pagos_Odoo!$A:$A, MATCH(X1866, Pagos_Odoo!$B:$B, 0)), ""))</f>
        <v/>
      </c>
      <c r="AA1866" s="79">
        <f>IF(X1866="Sin Pago","",IFERROR(INDEX(Pagos_Odoo!$F:$F, MATCH(X1866, Pagos_Odoo!$B:$B, 0)), ""))</f>
        <v/>
      </c>
      <c r="AB1866" s="81">
        <f>IF(X1866="Sin Pago",0,IFERROR(INDEX(Pagos_Odoo!$E:$E, MATCH(X1866, Pagos_Odoo!$B:$B, 0)), 0))</f>
        <v/>
      </c>
      <c r="AC1866" s="79">
        <f>IF(X1866="Sin Pago","",IFERROR(INDEX(Pagos_Odoo!$G:$G, MATCH(X1866, Pagos_Odoo!$B:$B, 0)), ""))</f>
        <v/>
      </c>
      <c r="AD1866" s="82" t="n">
        <v>0</v>
      </c>
      <c r="AE1866" s="82" t="n"/>
      <c r="AF1866" s="82" t="n"/>
      <c r="AG1866" s="82">
        <f>IF(AN1866="","",AD1866+AE1866+AF1866)</f>
        <v/>
      </c>
      <c r="AH1866" s="81">
        <f>IF(AN1866="","",P1866*(1-AG1866))</f>
        <v/>
      </c>
      <c r="AI1866" s="81">
        <f>IF(AN1866="","",IF(Q1866="Sin Factura",0,IFERROR(INDEX(Facturas_Odoo!$H:$H, MATCH(Q1866, Facturas_Odoo!$B:$B, 0)), 0)*(1-AG1866)))</f>
        <v/>
      </c>
      <c r="AJ1866" s="81">
        <f>IF(AN1866="","",_xlfn.LET(idVenta, AN1866&amp;"",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66" s="81">
        <f>IF(AN1866="","",AH1866-AJ1866)</f>
        <v/>
      </c>
      <c r="AL1866" s="81">
        <f>IF(AN1866="","",IF(Q1866="Sin Factura","",AI1866-AJ1866))</f>
        <v/>
      </c>
      <c r="AM1866" s="81">
        <f>IF(AN1866="","",IF(Q1866="Sin Factura",0,P1866-IFERROR(INDEX(Facturas_Odoo!$H:$H, MATCH(Q1866, Facturas_Odoo!$B:$B, 0)), 0)))</f>
        <v/>
      </c>
      <c r="AN1866" s="79">
        <f>IF(AND(A1866="", J1866=""), "", IF(A1866&lt;&gt;"", VALUE(MID(A1866,2,LEN(A1866))), AN1865))</f>
        <v/>
      </c>
      <c r="AO1866" s="79">
        <f>IF(AN1866="","",IF(AD1866=0,"OK",_xlfn.LET(monedaPago, IF(AA1866="","USD",AA1866), limitePermitido, IFERROR(VLOOKUP(monedaPago, Configuración!$A$2:$B$3, 2, FALSE), 0.15), IF(AD1866&gt;limitePermitido, "ALERTA: EXCESO (" &amp; TEXT(limitePermitido, "0%") &amp; " máx)", "OK"))))</f>
        <v/>
      </c>
      <c r="AP1866" s="79">
        <f>IF(AN1866="","",IF(AE1866=0,"OK",_xlfn.LET(fechaPago, Z1866, fechaFactura, R1866, diasCredito, IF(E1866="Pago inmediato", 0, IFERROR(VALUE(MID(E1866, 1, SEARCH(" ", E1866)-1)),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66" s="79">
        <f>IF(AN1866="","",IF(AND(N1866&gt;0, AG1866&gt;0), IF(Configuración!$K$2="NO", "ALERTA: DESCUENTO DOBLE NO PERMITIDO", "OK"), "OK"))</f>
        <v/>
      </c>
      <c r="AR1866" s="79">
        <f>IF(AN1866="","",IF(OR(AO1866&lt;&gt;"OK", AP1866&lt;&gt;"OK", AQ1866&lt;&gt;"OK"), "⚠️ REVISAR", "OK"))</f>
        <v/>
      </c>
    </row>
    <row r="1867">
      <c r="A1867" s="79">
        <f>IF('Ordenes_Odoo'!A1867="","",'Ordenes_Odoo'!A1867)</f>
        <v/>
      </c>
      <c r="B1867" s="80">
        <f>IF('Ordenes_Odoo'!B1867="","",'Ordenes_Odoo'!B1867)</f>
        <v/>
      </c>
      <c r="C1867" s="79">
        <f>IF('Ordenes_Odoo'!C1867="","",'Ordenes_Odoo'!C1867)</f>
        <v/>
      </c>
      <c r="D1867" s="79">
        <f>IF('Ordenes_Odoo'!D1867="","",'Ordenes_Odoo'!D1867)</f>
        <v/>
      </c>
      <c r="E1867" s="79">
        <f>IF('Ordenes_Odoo'!E1867="","",'Ordenes_Odoo'!E1867)</f>
        <v/>
      </c>
      <c r="F1867" s="79">
        <f>IF('Ordenes_Odoo'!F1867="","",'Ordenes_Odoo'!F1867)</f>
        <v/>
      </c>
      <c r="G1867" s="79">
        <f>IF('Ordenes_Odoo'!G1867="","",'Ordenes_Odoo'!G1867)</f>
        <v/>
      </c>
      <c r="H1867" s="79">
        <f>IF('Ordenes_Odoo'!H1867="","",'Ordenes_Odoo'!H1867)</f>
        <v/>
      </c>
      <c r="I1867" s="79">
        <f>IF('Ordenes_Odoo'!I1867="","",'Ordenes_Odoo'!I1867)</f>
        <v/>
      </c>
      <c r="J1867" s="79">
        <f>IF('Ordenes_Odoo'!J1867="","",'Ordenes_Odoo'!J1867)</f>
        <v/>
      </c>
      <c r="K1867" s="81">
        <f>IF('Ordenes_Odoo'!K1867="","",'Ordenes_Odoo'!K1867)</f>
        <v/>
      </c>
      <c r="L1867" s="81">
        <f>IF('Ordenes_Odoo'!L1867="","",'Ordenes_Odoo'!L1867)</f>
        <v/>
      </c>
      <c r="M1867" s="79">
        <f>IF('Ordenes_Odoo'!M1867="","",'Ordenes_Odoo'!M1867)</f>
        <v/>
      </c>
      <c r="N1867" s="79">
        <f>IF('Ordenes_Odoo'!N1867="","",'Ordenes_Odoo'!N1867)</f>
        <v/>
      </c>
      <c r="O1867" s="81">
        <f>IF('Ordenes_Odoo'!O1867="","",'Ordenes_Odoo'!O1867)</f>
        <v/>
      </c>
      <c r="P1867" s="81">
        <f>IF('Ordenes_Odoo'!P1867="","",'Ordenes_Odoo'!P1867)</f>
        <v/>
      </c>
      <c r="Q1867" s="79">
        <f>IF(A1867="","",IFERROR(INDEX(Facturas_Odoo!$B:$B, MATCH(A1867, Facturas_Odoo!$D:$D, 0)), "Sin Factura"))</f>
        <v/>
      </c>
      <c r="R1867" s="80">
        <f>IF(Q1867="Sin Factura","",IFERROR(INDEX(Facturas_Odoo!$A:$A, MATCH(Q1867, Facturas_Odoo!$B:$B, 0)), ""))</f>
        <v/>
      </c>
      <c r="S1867" s="79">
        <f>IF(Q1867="Sin Factura","",IFERROR(_xlfn.XLOOKUP(1, (Facturas_Odoo!$D:$D=A1867) * (Facturas_Odoo!$K:$K=I1867), Facturas_Odoo!$L:$L, ""), ""))</f>
        <v/>
      </c>
      <c r="T1867" s="81">
        <f>IF(Q1867="Sin Factura",0,IFERROR(_xlfn.XLOOKUP(1, (Facturas_Odoo!$D:$D=A1867) * (Facturas_Odoo!$K:$K=I1867), Facturas_Odoo!$M:$M, 0), 0))</f>
        <v/>
      </c>
      <c r="U1867" s="79">
        <f>IF(Q1867="Sin Factura",0,IFERROR(_xlfn.XLOOKUP(1, (Facturas_Odoo!$D:$D=A1867) * (Facturas_Odoo!$K:$K=I1867), Facturas_Odoo!$N:$N, 0), 0))</f>
        <v/>
      </c>
      <c r="V1867" s="79">
        <f>IF(Q1867="Sin Factura",0,IFERROR(_xlfn.XLOOKUP(1, (Facturas_Odoo!$D:$D=A1867) * (Facturas_Odoo!$K:$K=I1867), Facturas_Odoo!$O:$O, 0), 0))</f>
        <v/>
      </c>
      <c r="W1867" s="81">
        <f>IF(Q1867="Sin Factura",0,IFERROR(_xlfn.XLOOKUP(1, (Facturas_Odoo!$D:$D=A1867) * (Facturas_Odoo!$K:$K=I1867), Facturas_Odoo!$Q:$Q, 0), 0))</f>
        <v/>
      </c>
      <c r="X1867" s="79">
        <f>IF(OR(Q1867="Sin Factura",Q1867=""),"",IFERROR(INDEX(Pagos_Odoo!$B:$B, MATCH(Q1867, Pagos_Odoo!$I:$I, 0)), "Sin Pago"))</f>
        <v/>
      </c>
      <c r="Y1867" s="79">
        <f>IF(X1867="Sin Pago","",IFERROR(INDEX(Pagos_Odoo!$C:$C, MATCH(X1867, Pagos_Odoo!$B:$B, 0)), ""))</f>
        <v/>
      </c>
      <c r="Z1867" s="80">
        <f>IF(X1867="Sin Pago","",IFERROR(INDEX(Pagos_Odoo!$A:$A, MATCH(X1867, Pagos_Odoo!$B:$B, 0)), ""))</f>
        <v/>
      </c>
      <c r="AA1867" s="79">
        <f>IF(X1867="Sin Pago","",IFERROR(INDEX(Pagos_Odoo!$F:$F, MATCH(X1867, Pagos_Odoo!$B:$B, 0)), ""))</f>
        <v/>
      </c>
      <c r="AB1867" s="81">
        <f>IF(X1867="Sin Pago",0,IFERROR(INDEX(Pagos_Odoo!$E:$E, MATCH(X1867, Pagos_Odoo!$B:$B, 0)), 0))</f>
        <v/>
      </c>
      <c r="AC1867" s="79">
        <f>IF(X1867="Sin Pago","",IFERROR(INDEX(Pagos_Odoo!$G:$G, MATCH(X1867, Pagos_Odoo!$B:$B, 0)), ""))</f>
        <v/>
      </c>
      <c r="AD1867" s="82" t="n">
        <v>0</v>
      </c>
      <c r="AE1867" s="82" t="n"/>
      <c r="AF1867" s="82" t="n"/>
      <c r="AG1867" s="82">
        <f>IF(AN1867="","",AD1867+AE1867+AF1867)</f>
        <v/>
      </c>
      <c r="AH1867" s="81">
        <f>IF(AN1867="","",P1867*(1-AG1867))</f>
        <v/>
      </c>
      <c r="AI1867" s="81">
        <f>IF(AN1867="","",IF(Q1867="Sin Factura",0,IFERROR(INDEX(Facturas_Odoo!$H:$H, MATCH(Q1867, Facturas_Odoo!$B:$B, 0)), 0)*(1-AG1867)))</f>
        <v/>
      </c>
      <c r="AJ1867" s="81">
        <f>IF(AN1867="","",_xlfn.LET(idVenta, AN1867&amp;"",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67" s="81">
        <f>IF(AN1867="","",AH1867-AJ1867)</f>
        <v/>
      </c>
      <c r="AL1867" s="81">
        <f>IF(AN1867="","",IF(Q1867="Sin Factura","",AI1867-AJ1867))</f>
        <v/>
      </c>
      <c r="AM1867" s="81">
        <f>IF(AN1867="","",IF(Q1867="Sin Factura",0,P1867-IFERROR(INDEX(Facturas_Odoo!$H:$H, MATCH(Q1867, Facturas_Odoo!$B:$B, 0)), 0)))</f>
        <v/>
      </c>
      <c r="AN1867" s="79">
        <f>IF(AND(A1867="", J1867=""), "", IF(A1867&lt;&gt;"", VALUE(MID(A1867,2,LEN(A1867))), AN1866))</f>
        <v/>
      </c>
      <c r="AO1867" s="79">
        <f>IF(AN1867="","",IF(AD1867=0,"OK",_xlfn.LET(monedaPago, IF(AA1867="","USD",AA1867), limitePermitido, IFERROR(VLOOKUP(monedaPago, Configuración!$A$2:$B$3, 2, FALSE), 0.15), IF(AD1867&gt;limitePermitido, "ALERTA: EXCESO (" &amp; TEXT(limitePermitido, "0%") &amp; " máx)", "OK"))))</f>
        <v/>
      </c>
      <c r="AP1867" s="79">
        <f>IF(AN1867="","",IF(AE1867=0,"OK",_xlfn.LET(fechaPago, Z1867, fechaFactura, R1867, diasCredito, IF(E1867="Pago inmediato", 0, IFERROR(VALUE(MID(E1867, 1, SEARCH(" ", E1867)-1)),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67" s="79">
        <f>IF(AN1867="","",IF(AND(N1867&gt;0, AG1867&gt;0), IF(Configuración!$K$2="NO", "ALERTA: DESCUENTO DOBLE NO PERMITIDO", "OK"), "OK"))</f>
        <v/>
      </c>
      <c r="AR1867" s="79">
        <f>IF(AN1867="","",IF(OR(AO1867&lt;&gt;"OK", AP1867&lt;&gt;"OK", AQ1867&lt;&gt;"OK"), "⚠️ REVISAR", "OK"))</f>
        <v/>
      </c>
    </row>
    <row r="1868">
      <c r="A1868" s="79">
        <f>IF('Ordenes_Odoo'!A1868="","",'Ordenes_Odoo'!A1868)</f>
        <v/>
      </c>
      <c r="B1868" s="80">
        <f>IF('Ordenes_Odoo'!B1868="","",'Ordenes_Odoo'!B1868)</f>
        <v/>
      </c>
      <c r="C1868" s="79">
        <f>IF('Ordenes_Odoo'!C1868="","",'Ordenes_Odoo'!C1868)</f>
        <v/>
      </c>
      <c r="D1868" s="79">
        <f>IF('Ordenes_Odoo'!D1868="","",'Ordenes_Odoo'!D1868)</f>
        <v/>
      </c>
      <c r="E1868" s="79">
        <f>IF('Ordenes_Odoo'!E1868="","",'Ordenes_Odoo'!E1868)</f>
        <v/>
      </c>
      <c r="F1868" s="79">
        <f>IF('Ordenes_Odoo'!F1868="","",'Ordenes_Odoo'!F1868)</f>
        <v/>
      </c>
      <c r="G1868" s="79">
        <f>IF('Ordenes_Odoo'!G1868="","",'Ordenes_Odoo'!G1868)</f>
        <v/>
      </c>
      <c r="H1868" s="79">
        <f>IF('Ordenes_Odoo'!H1868="","",'Ordenes_Odoo'!H1868)</f>
        <v/>
      </c>
      <c r="I1868" s="79">
        <f>IF('Ordenes_Odoo'!I1868="","",'Ordenes_Odoo'!I1868)</f>
        <v/>
      </c>
      <c r="J1868" s="79">
        <f>IF('Ordenes_Odoo'!J1868="","",'Ordenes_Odoo'!J1868)</f>
        <v/>
      </c>
      <c r="K1868" s="81">
        <f>IF('Ordenes_Odoo'!K1868="","",'Ordenes_Odoo'!K1868)</f>
        <v/>
      </c>
      <c r="L1868" s="81">
        <f>IF('Ordenes_Odoo'!L1868="","",'Ordenes_Odoo'!L1868)</f>
        <v/>
      </c>
      <c r="M1868" s="79">
        <f>IF('Ordenes_Odoo'!M1868="","",'Ordenes_Odoo'!M1868)</f>
        <v/>
      </c>
      <c r="N1868" s="79">
        <f>IF('Ordenes_Odoo'!N1868="","",'Ordenes_Odoo'!N1868)</f>
        <v/>
      </c>
      <c r="O1868" s="81">
        <f>IF('Ordenes_Odoo'!O1868="","",'Ordenes_Odoo'!O1868)</f>
        <v/>
      </c>
      <c r="P1868" s="81">
        <f>IF('Ordenes_Odoo'!P1868="","",'Ordenes_Odoo'!P1868)</f>
        <v/>
      </c>
      <c r="Q1868" s="79">
        <f>IF(A1868="","",IFERROR(INDEX(Facturas_Odoo!$B:$B, MATCH(A1868, Facturas_Odoo!$D:$D, 0)), "Sin Factura"))</f>
        <v/>
      </c>
      <c r="R1868" s="80">
        <f>IF(Q1868="Sin Factura","",IFERROR(INDEX(Facturas_Odoo!$A:$A, MATCH(Q1868, Facturas_Odoo!$B:$B, 0)), ""))</f>
        <v/>
      </c>
      <c r="S1868" s="79">
        <f>IF(Q1868="Sin Factura","",IFERROR(_xlfn.XLOOKUP(1, (Facturas_Odoo!$D:$D=A1868) * (Facturas_Odoo!$K:$K=I1868), Facturas_Odoo!$L:$L, ""), ""))</f>
        <v/>
      </c>
      <c r="T1868" s="81">
        <f>IF(Q1868="Sin Factura",0,IFERROR(_xlfn.XLOOKUP(1, (Facturas_Odoo!$D:$D=A1868) * (Facturas_Odoo!$K:$K=I1868), Facturas_Odoo!$M:$M, 0), 0))</f>
        <v/>
      </c>
      <c r="U1868" s="79">
        <f>IF(Q1868="Sin Factura",0,IFERROR(_xlfn.XLOOKUP(1, (Facturas_Odoo!$D:$D=A1868) * (Facturas_Odoo!$K:$K=I1868), Facturas_Odoo!$N:$N, 0), 0))</f>
        <v/>
      </c>
      <c r="V1868" s="79">
        <f>IF(Q1868="Sin Factura",0,IFERROR(_xlfn.XLOOKUP(1, (Facturas_Odoo!$D:$D=A1868) * (Facturas_Odoo!$K:$K=I1868), Facturas_Odoo!$O:$O, 0), 0))</f>
        <v/>
      </c>
      <c r="W1868" s="81">
        <f>IF(Q1868="Sin Factura",0,IFERROR(_xlfn.XLOOKUP(1, (Facturas_Odoo!$D:$D=A1868) * (Facturas_Odoo!$K:$K=I1868), Facturas_Odoo!$Q:$Q, 0), 0))</f>
        <v/>
      </c>
      <c r="X1868" s="79">
        <f>IF(OR(Q1868="Sin Factura",Q1868=""),"",IFERROR(INDEX(Pagos_Odoo!$B:$B, MATCH(Q1868, Pagos_Odoo!$I:$I, 0)), "Sin Pago"))</f>
        <v/>
      </c>
      <c r="Y1868" s="79">
        <f>IF(X1868="Sin Pago","",IFERROR(INDEX(Pagos_Odoo!$C:$C, MATCH(X1868, Pagos_Odoo!$B:$B, 0)), ""))</f>
        <v/>
      </c>
      <c r="Z1868" s="80">
        <f>IF(X1868="Sin Pago","",IFERROR(INDEX(Pagos_Odoo!$A:$A, MATCH(X1868, Pagos_Odoo!$B:$B, 0)), ""))</f>
        <v/>
      </c>
      <c r="AA1868" s="79">
        <f>IF(X1868="Sin Pago","",IFERROR(INDEX(Pagos_Odoo!$F:$F, MATCH(X1868, Pagos_Odoo!$B:$B, 0)), ""))</f>
        <v/>
      </c>
      <c r="AB1868" s="81">
        <f>IF(X1868="Sin Pago",0,IFERROR(INDEX(Pagos_Odoo!$E:$E, MATCH(X1868, Pagos_Odoo!$B:$B, 0)), 0))</f>
        <v/>
      </c>
      <c r="AC1868" s="79">
        <f>IF(X1868="Sin Pago","",IFERROR(INDEX(Pagos_Odoo!$G:$G, MATCH(X1868, Pagos_Odoo!$B:$B, 0)), ""))</f>
        <v/>
      </c>
      <c r="AD1868" s="82" t="n">
        <v>0</v>
      </c>
      <c r="AE1868" s="82" t="n"/>
      <c r="AF1868" s="82" t="n"/>
      <c r="AG1868" s="82">
        <f>IF(AN1868="","",AD1868+AE1868+AF1868)</f>
        <v/>
      </c>
      <c r="AH1868" s="81">
        <f>IF(AN1868="","",P1868*(1-AG1868))</f>
        <v/>
      </c>
      <c r="AI1868" s="81">
        <f>IF(AN1868="","",IF(Q1868="Sin Factura",0,IFERROR(INDEX(Facturas_Odoo!$H:$H, MATCH(Q1868, Facturas_Odoo!$B:$B, 0)), 0)*(1-AG1868)))</f>
        <v/>
      </c>
      <c r="AJ1868" s="81">
        <f>IF(AN1868="","",_xlfn.LET(idVenta, AN1868&amp;"",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68" s="81">
        <f>IF(AN1868="","",AH1868-AJ1868)</f>
        <v/>
      </c>
      <c r="AL1868" s="81">
        <f>IF(AN1868="","",IF(Q1868="Sin Factura","",AI1868-AJ1868))</f>
        <v/>
      </c>
      <c r="AM1868" s="81">
        <f>IF(AN1868="","",IF(Q1868="Sin Factura",0,P1868-IFERROR(INDEX(Facturas_Odoo!$H:$H, MATCH(Q1868, Facturas_Odoo!$B:$B, 0)), 0)))</f>
        <v/>
      </c>
      <c r="AN1868" s="79">
        <f>IF(AND(A1868="", J1868=""), "", IF(A1868&lt;&gt;"", VALUE(MID(A1868,2,LEN(A1868))), AN1867))</f>
        <v/>
      </c>
      <c r="AO1868" s="79">
        <f>IF(AN1868="","",IF(AD1868=0,"OK",_xlfn.LET(monedaPago, IF(AA1868="","USD",AA1868), limitePermitido, IFERROR(VLOOKUP(monedaPago, Configuración!$A$2:$B$3, 2, FALSE), 0.15), IF(AD1868&gt;limitePermitido, "ALERTA: EXCESO (" &amp; TEXT(limitePermitido, "0%") &amp; " máx)", "OK"))))</f>
        <v/>
      </c>
      <c r="AP1868" s="79">
        <f>IF(AN1868="","",IF(AE1868=0,"OK",_xlfn.LET(fechaPago, Z1868, fechaFactura, R1868, diasCredito, IF(E1868="Pago inmediato", 0, IFERROR(VALUE(MID(E1868, 1, SEARCH(" ", E1868)-1)),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68" s="79">
        <f>IF(AN1868="","",IF(AND(N1868&gt;0, AG1868&gt;0), IF(Configuración!$K$2="NO", "ALERTA: DESCUENTO DOBLE NO PERMITIDO", "OK"), "OK"))</f>
        <v/>
      </c>
      <c r="AR1868" s="79">
        <f>IF(AN1868="","",IF(OR(AO1868&lt;&gt;"OK", AP1868&lt;&gt;"OK", AQ1868&lt;&gt;"OK"), "⚠️ REVISAR", "OK"))</f>
        <v/>
      </c>
    </row>
    <row r="1869">
      <c r="A1869" s="79">
        <f>IF('Ordenes_Odoo'!A1869="","",'Ordenes_Odoo'!A1869)</f>
        <v/>
      </c>
      <c r="B1869" s="80">
        <f>IF('Ordenes_Odoo'!B1869="","",'Ordenes_Odoo'!B1869)</f>
        <v/>
      </c>
      <c r="C1869" s="79">
        <f>IF('Ordenes_Odoo'!C1869="","",'Ordenes_Odoo'!C1869)</f>
        <v/>
      </c>
      <c r="D1869" s="79">
        <f>IF('Ordenes_Odoo'!D1869="","",'Ordenes_Odoo'!D1869)</f>
        <v/>
      </c>
      <c r="E1869" s="79">
        <f>IF('Ordenes_Odoo'!E1869="","",'Ordenes_Odoo'!E1869)</f>
        <v/>
      </c>
      <c r="F1869" s="79">
        <f>IF('Ordenes_Odoo'!F1869="","",'Ordenes_Odoo'!F1869)</f>
        <v/>
      </c>
      <c r="G1869" s="79">
        <f>IF('Ordenes_Odoo'!G1869="","",'Ordenes_Odoo'!G1869)</f>
        <v/>
      </c>
      <c r="H1869" s="79">
        <f>IF('Ordenes_Odoo'!H1869="","",'Ordenes_Odoo'!H1869)</f>
        <v/>
      </c>
      <c r="I1869" s="79">
        <f>IF('Ordenes_Odoo'!I1869="","",'Ordenes_Odoo'!I1869)</f>
        <v/>
      </c>
      <c r="J1869" s="79">
        <f>IF('Ordenes_Odoo'!J1869="","",'Ordenes_Odoo'!J1869)</f>
        <v/>
      </c>
      <c r="K1869" s="81">
        <f>IF('Ordenes_Odoo'!K1869="","",'Ordenes_Odoo'!K1869)</f>
        <v/>
      </c>
      <c r="L1869" s="81">
        <f>IF('Ordenes_Odoo'!L1869="","",'Ordenes_Odoo'!L1869)</f>
        <v/>
      </c>
      <c r="M1869" s="79">
        <f>IF('Ordenes_Odoo'!M1869="","",'Ordenes_Odoo'!M1869)</f>
        <v/>
      </c>
      <c r="N1869" s="79">
        <f>IF('Ordenes_Odoo'!N1869="","",'Ordenes_Odoo'!N1869)</f>
        <v/>
      </c>
      <c r="O1869" s="81">
        <f>IF('Ordenes_Odoo'!O1869="","",'Ordenes_Odoo'!O1869)</f>
        <v/>
      </c>
      <c r="P1869" s="81">
        <f>IF('Ordenes_Odoo'!P1869="","",'Ordenes_Odoo'!P1869)</f>
        <v/>
      </c>
      <c r="Q1869" s="79">
        <f>IF(A1869="","",IFERROR(INDEX(Facturas_Odoo!$B:$B, MATCH(A1869, Facturas_Odoo!$D:$D, 0)), "Sin Factura"))</f>
        <v/>
      </c>
      <c r="R1869" s="80">
        <f>IF(Q1869="Sin Factura","",IFERROR(INDEX(Facturas_Odoo!$A:$A, MATCH(Q1869, Facturas_Odoo!$B:$B, 0)), ""))</f>
        <v/>
      </c>
      <c r="S1869" s="79">
        <f>IF(Q1869="Sin Factura","",IFERROR(_xlfn.XLOOKUP(1, (Facturas_Odoo!$D:$D=A1869) * (Facturas_Odoo!$K:$K=I1869), Facturas_Odoo!$L:$L, ""), ""))</f>
        <v/>
      </c>
      <c r="T1869" s="81">
        <f>IF(Q1869="Sin Factura",0,IFERROR(_xlfn.XLOOKUP(1, (Facturas_Odoo!$D:$D=A1869) * (Facturas_Odoo!$K:$K=I1869), Facturas_Odoo!$M:$M, 0), 0))</f>
        <v/>
      </c>
      <c r="U1869" s="79">
        <f>IF(Q1869="Sin Factura",0,IFERROR(_xlfn.XLOOKUP(1, (Facturas_Odoo!$D:$D=A1869) * (Facturas_Odoo!$K:$K=I1869), Facturas_Odoo!$N:$N, 0), 0))</f>
        <v/>
      </c>
      <c r="V1869" s="79">
        <f>IF(Q1869="Sin Factura",0,IFERROR(_xlfn.XLOOKUP(1, (Facturas_Odoo!$D:$D=A1869) * (Facturas_Odoo!$K:$K=I1869), Facturas_Odoo!$O:$O, 0), 0))</f>
        <v/>
      </c>
      <c r="W1869" s="81">
        <f>IF(Q1869="Sin Factura",0,IFERROR(_xlfn.XLOOKUP(1, (Facturas_Odoo!$D:$D=A1869) * (Facturas_Odoo!$K:$K=I1869), Facturas_Odoo!$Q:$Q, 0), 0))</f>
        <v/>
      </c>
      <c r="X1869" s="79">
        <f>IF(OR(Q1869="Sin Factura",Q1869=""),"",IFERROR(INDEX(Pagos_Odoo!$B:$B, MATCH(Q1869, Pagos_Odoo!$I:$I, 0)), "Sin Pago"))</f>
        <v/>
      </c>
      <c r="Y1869" s="79">
        <f>IF(X1869="Sin Pago","",IFERROR(INDEX(Pagos_Odoo!$C:$C, MATCH(X1869, Pagos_Odoo!$B:$B, 0)), ""))</f>
        <v/>
      </c>
      <c r="Z1869" s="80">
        <f>IF(X1869="Sin Pago","",IFERROR(INDEX(Pagos_Odoo!$A:$A, MATCH(X1869, Pagos_Odoo!$B:$B, 0)), ""))</f>
        <v/>
      </c>
      <c r="AA1869" s="79">
        <f>IF(X1869="Sin Pago","",IFERROR(INDEX(Pagos_Odoo!$F:$F, MATCH(X1869, Pagos_Odoo!$B:$B, 0)), ""))</f>
        <v/>
      </c>
      <c r="AB1869" s="81">
        <f>IF(X1869="Sin Pago",0,IFERROR(INDEX(Pagos_Odoo!$E:$E, MATCH(X1869, Pagos_Odoo!$B:$B, 0)), 0))</f>
        <v/>
      </c>
      <c r="AC1869" s="79">
        <f>IF(X1869="Sin Pago","",IFERROR(INDEX(Pagos_Odoo!$G:$G, MATCH(X1869, Pagos_Odoo!$B:$B, 0)), ""))</f>
        <v/>
      </c>
      <c r="AD1869" s="82" t="n">
        <v>0</v>
      </c>
      <c r="AE1869" s="82" t="n"/>
      <c r="AF1869" s="82" t="n"/>
      <c r="AG1869" s="82">
        <f>IF(AN1869="","",AD1869+AE1869+AF1869)</f>
        <v/>
      </c>
      <c r="AH1869" s="81">
        <f>IF(AN1869="","",P1869*(1-AG1869))</f>
        <v/>
      </c>
      <c r="AI1869" s="81">
        <f>IF(AN1869="","",IF(Q1869="Sin Factura",0,IFERROR(INDEX(Facturas_Odoo!$H:$H, MATCH(Q1869, Facturas_Odoo!$B:$B, 0)), 0)*(1-AG1869)))</f>
        <v/>
      </c>
      <c r="AJ1869" s="81">
        <f>IF(AN1869="","",_xlfn.LET(idVenta, AN1869&amp;"",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69" s="81">
        <f>IF(AN1869="","",AH1869-AJ1869)</f>
        <v/>
      </c>
      <c r="AL1869" s="81">
        <f>IF(AN1869="","",IF(Q1869="Sin Factura","",AI1869-AJ1869))</f>
        <v/>
      </c>
      <c r="AM1869" s="81">
        <f>IF(AN1869="","",IF(Q1869="Sin Factura",0,P1869-IFERROR(INDEX(Facturas_Odoo!$H:$H, MATCH(Q1869, Facturas_Odoo!$B:$B, 0)), 0)))</f>
        <v/>
      </c>
      <c r="AN1869" s="79">
        <f>IF(AND(A1869="", J1869=""), "", IF(A1869&lt;&gt;"", VALUE(MID(A1869,2,LEN(A1869))), AN1868))</f>
        <v/>
      </c>
      <c r="AO1869" s="79">
        <f>IF(AN1869="","",IF(AD1869=0,"OK",_xlfn.LET(monedaPago, IF(AA1869="","USD",AA1869), limitePermitido, IFERROR(VLOOKUP(monedaPago, Configuración!$A$2:$B$3, 2, FALSE), 0.15), IF(AD1869&gt;limitePermitido, "ALERTA: EXCESO (" &amp; TEXT(limitePermitido, "0%") &amp; " máx)", "OK"))))</f>
        <v/>
      </c>
      <c r="AP1869" s="79">
        <f>IF(AN1869="","",IF(AE1869=0,"OK",_xlfn.LET(fechaPago, Z1869, fechaFactura, R1869, diasCredito, IF(E1869="Pago inmediato", 0, IFERROR(VALUE(MID(E1869, 1, SEARCH(" ", E1869)-1)),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69" s="79">
        <f>IF(AN1869="","",IF(AND(N1869&gt;0, AG1869&gt;0), IF(Configuración!$K$2="NO", "ALERTA: DESCUENTO DOBLE NO PERMITIDO", "OK"), "OK"))</f>
        <v/>
      </c>
      <c r="AR1869" s="79">
        <f>IF(AN1869="","",IF(OR(AO1869&lt;&gt;"OK", AP1869&lt;&gt;"OK", AQ1869&lt;&gt;"OK"), "⚠️ REVISAR", "OK"))</f>
        <v/>
      </c>
    </row>
    <row r="1870">
      <c r="A1870" s="79">
        <f>IF('Ordenes_Odoo'!A1870="","",'Ordenes_Odoo'!A1870)</f>
        <v/>
      </c>
      <c r="B1870" s="80">
        <f>IF('Ordenes_Odoo'!B1870="","",'Ordenes_Odoo'!B1870)</f>
        <v/>
      </c>
      <c r="C1870" s="79">
        <f>IF('Ordenes_Odoo'!C1870="","",'Ordenes_Odoo'!C1870)</f>
        <v/>
      </c>
      <c r="D1870" s="79">
        <f>IF('Ordenes_Odoo'!D1870="","",'Ordenes_Odoo'!D1870)</f>
        <v/>
      </c>
      <c r="E1870" s="79">
        <f>IF('Ordenes_Odoo'!E1870="","",'Ordenes_Odoo'!E1870)</f>
        <v/>
      </c>
      <c r="F1870" s="79">
        <f>IF('Ordenes_Odoo'!F1870="","",'Ordenes_Odoo'!F1870)</f>
        <v/>
      </c>
      <c r="G1870" s="79">
        <f>IF('Ordenes_Odoo'!G1870="","",'Ordenes_Odoo'!G1870)</f>
        <v/>
      </c>
      <c r="H1870" s="79">
        <f>IF('Ordenes_Odoo'!H1870="","",'Ordenes_Odoo'!H1870)</f>
        <v/>
      </c>
      <c r="I1870" s="79">
        <f>IF('Ordenes_Odoo'!I1870="","",'Ordenes_Odoo'!I1870)</f>
        <v/>
      </c>
      <c r="J1870" s="79">
        <f>IF('Ordenes_Odoo'!J1870="","",'Ordenes_Odoo'!J1870)</f>
        <v/>
      </c>
      <c r="K1870" s="81">
        <f>IF('Ordenes_Odoo'!K1870="","",'Ordenes_Odoo'!K1870)</f>
        <v/>
      </c>
      <c r="L1870" s="81">
        <f>IF('Ordenes_Odoo'!L1870="","",'Ordenes_Odoo'!L1870)</f>
        <v/>
      </c>
      <c r="M1870" s="79">
        <f>IF('Ordenes_Odoo'!M1870="","",'Ordenes_Odoo'!M1870)</f>
        <v/>
      </c>
      <c r="N1870" s="79">
        <f>IF('Ordenes_Odoo'!N1870="","",'Ordenes_Odoo'!N1870)</f>
        <v/>
      </c>
      <c r="O1870" s="81">
        <f>IF('Ordenes_Odoo'!O1870="","",'Ordenes_Odoo'!O1870)</f>
        <v/>
      </c>
      <c r="P1870" s="81">
        <f>IF('Ordenes_Odoo'!P1870="","",'Ordenes_Odoo'!P1870)</f>
        <v/>
      </c>
      <c r="Q1870" s="79">
        <f>IF(A1870="","",IFERROR(INDEX(Facturas_Odoo!$B:$B, MATCH(A1870, Facturas_Odoo!$D:$D, 0)), "Sin Factura"))</f>
        <v/>
      </c>
      <c r="R1870" s="80">
        <f>IF(Q1870="Sin Factura","",IFERROR(INDEX(Facturas_Odoo!$A:$A, MATCH(Q1870, Facturas_Odoo!$B:$B, 0)), ""))</f>
        <v/>
      </c>
      <c r="S1870" s="79">
        <f>IF(Q1870="Sin Factura","",IFERROR(_xlfn.XLOOKUP(1, (Facturas_Odoo!$D:$D=A1870) * (Facturas_Odoo!$K:$K=I1870), Facturas_Odoo!$L:$L, ""), ""))</f>
        <v/>
      </c>
      <c r="T1870" s="81">
        <f>IF(Q1870="Sin Factura",0,IFERROR(_xlfn.XLOOKUP(1, (Facturas_Odoo!$D:$D=A1870) * (Facturas_Odoo!$K:$K=I1870), Facturas_Odoo!$M:$M, 0), 0))</f>
        <v/>
      </c>
      <c r="U1870" s="79">
        <f>IF(Q1870="Sin Factura",0,IFERROR(_xlfn.XLOOKUP(1, (Facturas_Odoo!$D:$D=A1870) * (Facturas_Odoo!$K:$K=I1870), Facturas_Odoo!$N:$N, 0), 0))</f>
        <v/>
      </c>
      <c r="V1870" s="79">
        <f>IF(Q1870="Sin Factura",0,IFERROR(_xlfn.XLOOKUP(1, (Facturas_Odoo!$D:$D=A1870) * (Facturas_Odoo!$K:$K=I1870), Facturas_Odoo!$O:$O, 0), 0))</f>
        <v/>
      </c>
      <c r="W1870" s="81">
        <f>IF(Q1870="Sin Factura",0,IFERROR(_xlfn.XLOOKUP(1, (Facturas_Odoo!$D:$D=A1870) * (Facturas_Odoo!$K:$K=I1870), Facturas_Odoo!$Q:$Q, 0), 0))</f>
        <v/>
      </c>
      <c r="X1870" s="79">
        <f>IF(OR(Q1870="Sin Factura",Q1870=""),"",IFERROR(INDEX(Pagos_Odoo!$B:$B, MATCH(Q1870, Pagos_Odoo!$I:$I, 0)), "Sin Pago"))</f>
        <v/>
      </c>
      <c r="Y1870" s="79">
        <f>IF(X1870="Sin Pago","",IFERROR(INDEX(Pagos_Odoo!$C:$C, MATCH(X1870, Pagos_Odoo!$B:$B, 0)), ""))</f>
        <v/>
      </c>
      <c r="Z1870" s="80">
        <f>IF(X1870="Sin Pago","",IFERROR(INDEX(Pagos_Odoo!$A:$A, MATCH(X1870, Pagos_Odoo!$B:$B, 0)), ""))</f>
        <v/>
      </c>
      <c r="AA1870" s="79">
        <f>IF(X1870="Sin Pago","",IFERROR(INDEX(Pagos_Odoo!$F:$F, MATCH(X1870, Pagos_Odoo!$B:$B, 0)), ""))</f>
        <v/>
      </c>
      <c r="AB1870" s="81">
        <f>IF(X1870="Sin Pago",0,IFERROR(INDEX(Pagos_Odoo!$E:$E, MATCH(X1870, Pagos_Odoo!$B:$B, 0)), 0))</f>
        <v/>
      </c>
      <c r="AC1870" s="79">
        <f>IF(X1870="Sin Pago","",IFERROR(INDEX(Pagos_Odoo!$G:$G, MATCH(X1870, Pagos_Odoo!$B:$B, 0)), ""))</f>
        <v/>
      </c>
      <c r="AD1870" s="82" t="n">
        <v>0</v>
      </c>
      <c r="AE1870" s="82" t="n"/>
      <c r="AF1870" s="82" t="n"/>
      <c r="AG1870" s="82">
        <f>IF(AN1870="","",AD1870+AE1870+AF1870)</f>
        <v/>
      </c>
      <c r="AH1870" s="81">
        <f>IF(AN1870="","",P1870*(1-AG1870))</f>
        <v/>
      </c>
      <c r="AI1870" s="81">
        <f>IF(AN1870="","",IF(Q1870="Sin Factura",0,IFERROR(INDEX(Facturas_Odoo!$H:$H, MATCH(Q1870, Facturas_Odoo!$B:$B, 0)), 0)*(1-AG1870)))</f>
        <v/>
      </c>
      <c r="AJ1870" s="81">
        <f>IF(AN1870="","",_xlfn.LET(idVenta, AN1870&amp;"",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70" s="81">
        <f>IF(AN1870="","",AH1870-AJ1870)</f>
        <v/>
      </c>
      <c r="AL1870" s="81">
        <f>IF(AN1870="","",IF(Q1870="Sin Factura","",AI1870-AJ1870))</f>
        <v/>
      </c>
      <c r="AM1870" s="81">
        <f>IF(AN1870="","",IF(Q1870="Sin Factura",0,P1870-IFERROR(INDEX(Facturas_Odoo!$H:$H, MATCH(Q1870, Facturas_Odoo!$B:$B, 0)), 0)))</f>
        <v/>
      </c>
      <c r="AN1870" s="79">
        <f>IF(AND(A1870="", J1870=""), "", IF(A1870&lt;&gt;"", VALUE(MID(A1870,2,LEN(A1870))), AN1869))</f>
        <v/>
      </c>
      <c r="AO1870" s="79">
        <f>IF(AN1870="","",IF(AD1870=0,"OK",_xlfn.LET(monedaPago, IF(AA1870="","USD",AA1870), limitePermitido, IFERROR(VLOOKUP(monedaPago, Configuración!$A$2:$B$3, 2, FALSE), 0.15), IF(AD1870&gt;limitePermitido, "ALERTA: EXCESO (" &amp; TEXT(limitePermitido, "0%") &amp; " máx)", "OK"))))</f>
        <v/>
      </c>
      <c r="AP1870" s="79">
        <f>IF(AN1870="","",IF(AE1870=0,"OK",_xlfn.LET(fechaPago, Z1870, fechaFactura, R1870, diasCredito, IF(E1870="Pago inmediato", 0, IFERROR(VALUE(MID(E1870, 1, SEARCH(" ", E1870)-1)),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70" s="79">
        <f>IF(AN1870="","",IF(AND(N1870&gt;0, AG1870&gt;0), IF(Configuración!$K$2="NO", "ALERTA: DESCUENTO DOBLE NO PERMITIDO", "OK"), "OK"))</f>
        <v/>
      </c>
      <c r="AR1870" s="79">
        <f>IF(AN1870="","",IF(OR(AO1870&lt;&gt;"OK", AP1870&lt;&gt;"OK", AQ1870&lt;&gt;"OK"), "⚠️ REVISAR", "OK"))</f>
        <v/>
      </c>
    </row>
    <row r="1871">
      <c r="A1871" s="79">
        <f>IF('Ordenes_Odoo'!A1871="","",'Ordenes_Odoo'!A1871)</f>
        <v/>
      </c>
      <c r="B1871" s="80">
        <f>IF('Ordenes_Odoo'!B1871="","",'Ordenes_Odoo'!B1871)</f>
        <v/>
      </c>
      <c r="C1871" s="79">
        <f>IF('Ordenes_Odoo'!C1871="","",'Ordenes_Odoo'!C1871)</f>
        <v/>
      </c>
      <c r="D1871" s="79">
        <f>IF('Ordenes_Odoo'!D1871="","",'Ordenes_Odoo'!D1871)</f>
        <v/>
      </c>
      <c r="E1871" s="79">
        <f>IF('Ordenes_Odoo'!E1871="","",'Ordenes_Odoo'!E1871)</f>
        <v/>
      </c>
      <c r="F1871" s="79">
        <f>IF('Ordenes_Odoo'!F1871="","",'Ordenes_Odoo'!F1871)</f>
        <v/>
      </c>
      <c r="G1871" s="79">
        <f>IF('Ordenes_Odoo'!G1871="","",'Ordenes_Odoo'!G1871)</f>
        <v/>
      </c>
      <c r="H1871" s="79">
        <f>IF('Ordenes_Odoo'!H1871="","",'Ordenes_Odoo'!H1871)</f>
        <v/>
      </c>
      <c r="I1871" s="79">
        <f>IF('Ordenes_Odoo'!I1871="","",'Ordenes_Odoo'!I1871)</f>
        <v/>
      </c>
      <c r="J1871" s="79">
        <f>IF('Ordenes_Odoo'!J1871="","",'Ordenes_Odoo'!J1871)</f>
        <v/>
      </c>
      <c r="K1871" s="81">
        <f>IF('Ordenes_Odoo'!K1871="","",'Ordenes_Odoo'!K1871)</f>
        <v/>
      </c>
      <c r="L1871" s="81">
        <f>IF('Ordenes_Odoo'!L1871="","",'Ordenes_Odoo'!L1871)</f>
        <v/>
      </c>
      <c r="M1871" s="79">
        <f>IF('Ordenes_Odoo'!M1871="","",'Ordenes_Odoo'!M1871)</f>
        <v/>
      </c>
      <c r="N1871" s="79">
        <f>IF('Ordenes_Odoo'!N1871="","",'Ordenes_Odoo'!N1871)</f>
        <v/>
      </c>
      <c r="O1871" s="81">
        <f>IF('Ordenes_Odoo'!O1871="","",'Ordenes_Odoo'!O1871)</f>
        <v/>
      </c>
      <c r="P1871" s="81">
        <f>IF('Ordenes_Odoo'!P1871="","",'Ordenes_Odoo'!P1871)</f>
        <v/>
      </c>
      <c r="Q1871" s="79">
        <f>IF(A1871="","",IFERROR(INDEX(Facturas_Odoo!$B:$B, MATCH(A1871, Facturas_Odoo!$D:$D, 0)), "Sin Factura"))</f>
        <v/>
      </c>
      <c r="R1871" s="80">
        <f>IF(Q1871="Sin Factura","",IFERROR(INDEX(Facturas_Odoo!$A:$A, MATCH(Q1871, Facturas_Odoo!$B:$B, 0)), ""))</f>
        <v/>
      </c>
      <c r="S1871" s="79">
        <f>IF(Q1871="Sin Factura","",IFERROR(_xlfn.XLOOKUP(1, (Facturas_Odoo!$D:$D=A1871) * (Facturas_Odoo!$K:$K=I1871), Facturas_Odoo!$L:$L, ""), ""))</f>
        <v/>
      </c>
      <c r="T1871" s="81">
        <f>IF(Q1871="Sin Factura",0,IFERROR(_xlfn.XLOOKUP(1, (Facturas_Odoo!$D:$D=A1871) * (Facturas_Odoo!$K:$K=I1871), Facturas_Odoo!$M:$M, 0), 0))</f>
        <v/>
      </c>
      <c r="U1871" s="79">
        <f>IF(Q1871="Sin Factura",0,IFERROR(_xlfn.XLOOKUP(1, (Facturas_Odoo!$D:$D=A1871) * (Facturas_Odoo!$K:$K=I1871), Facturas_Odoo!$N:$N, 0), 0))</f>
        <v/>
      </c>
      <c r="V1871" s="79">
        <f>IF(Q1871="Sin Factura",0,IFERROR(_xlfn.XLOOKUP(1, (Facturas_Odoo!$D:$D=A1871) * (Facturas_Odoo!$K:$K=I1871), Facturas_Odoo!$O:$O, 0), 0))</f>
        <v/>
      </c>
      <c r="W1871" s="81">
        <f>IF(Q1871="Sin Factura",0,IFERROR(_xlfn.XLOOKUP(1, (Facturas_Odoo!$D:$D=A1871) * (Facturas_Odoo!$K:$K=I1871), Facturas_Odoo!$Q:$Q, 0), 0))</f>
        <v/>
      </c>
      <c r="X1871" s="79">
        <f>IF(OR(Q1871="Sin Factura",Q1871=""),"",IFERROR(INDEX(Pagos_Odoo!$B:$B, MATCH(Q1871, Pagos_Odoo!$I:$I, 0)), "Sin Pago"))</f>
        <v/>
      </c>
      <c r="Y1871" s="79">
        <f>IF(X1871="Sin Pago","",IFERROR(INDEX(Pagos_Odoo!$C:$C, MATCH(X1871, Pagos_Odoo!$B:$B, 0)), ""))</f>
        <v/>
      </c>
      <c r="Z1871" s="80">
        <f>IF(X1871="Sin Pago","",IFERROR(INDEX(Pagos_Odoo!$A:$A, MATCH(X1871, Pagos_Odoo!$B:$B, 0)), ""))</f>
        <v/>
      </c>
      <c r="AA1871" s="79">
        <f>IF(X1871="Sin Pago","",IFERROR(INDEX(Pagos_Odoo!$F:$F, MATCH(X1871, Pagos_Odoo!$B:$B, 0)), ""))</f>
        <v/>
      </c>
      <c r="AB1871" s="81">
        <f>IF(X1871="Sin Pago",0,IFERROR(INDEX(Pagos_Odoo!$E:$E, MATCH(X1871, Pagos_Odoo!$B:$B, 0)), 0))</f>
        <v/>
      </c>
      <c r="AC1871" s="79">
        <f>IF(X1871="Sin Pago","",IFERROR(INDEX(Pagos_Odoo!$G:$G, MATCH(X1871, Pagos_Odoo!$B:$B, 0)), ""))</f>
        <v/>
      </c>
      <c r="AD1871" s="82" t="n">
        <v>0</v>
      </c>
      <c r="AE1871" s="82" t="n"/>
      <c r="AF1871" s="82" t="n"/>
      <c r="AG1871" s="82">
        <f>IF(AN1871="","",AD1871+AE1871+AF1871)</f>
        <v/>
      </c>
      <c r="AH1871" s="81">
        <f>IF(AN1871="","",P1871*(1-AG1871))</f>
        <v/>
      </c>
      <c r="AI1871" s="81">
        <f>IF(AN1871="","",IF(Q1871="Sin Factura",0,IFERROR(INDEX(Facturas_Odoo!$H:$H, MATCH(Q1871, Facturas_Odoo!$B:$B, 0)), 0)*(1-AG1871)))</f>
        <v/>
      </c>
      <c r="AJ1871" s="81">
        <f>IF(AN1871="","",_xlfn.LET(idVenta, AN1871&amp;"",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71" s="81">
        <f>IF(AN1871="","",AH1871-AJ1871)</f>
        <v/>
      </c>
      <c r="AL1871" s="81">
        <f>IF(AN1871="","",IF(Q1871="Sin Factura","",AI1871-AJ1871))</f>
        <v/>
      </c>
      <c r="AM1871" s="81">
        <f>IF(AN1871="","",IF(Q1871="Sin Factura",0,P1871-IFERROR(INDEX(Facturas_Odoo!$H:$H, MATCH(Q1871, Facturas_Odoo!$B:$B, 0)), 0)))</f>
        <v/>
      </c>
      <c r="AN1871" s="79">
        <f>IF(AND(A1871="", J1871=""), "", IF(A1871&lt;&gt;"", VALUE(MID(A1871,2,LEN(A1871))), AN1870))</f>
        <v/>
      </c>
      <c r="AO1871" s="79">
        <f>IF(AN1871="","",IF(AD1871=0,"OK",_xlfn.LET(monedaPago, IF(AA1871="","USD",AA1871), limitePermitido, IFERROR(VLOOKUP(monedaPago, Configuración!$A$2:$B$3, 2, FALSE), 0.15), IF(AD1871&gt;limitePermitido, "ALERTA: EXCESO (" &amp; TEXT(limitePermitido, "0%") &amp; " máx)", "OK"))))</f>
        <v/>
      </c>
      <c r="AP1871" s="79">
        <f>IF(AN1871="","",IF(AE1871=0,"OK",_xlfn.LET(fechaPago, Z1871, fechaFactura, R1871, diasCredito, IF(E1871="Pago inmediato", 0, IFERROR(VALUE(MID(E1871, 1, SEARCH(" ", E1871)-1)),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71" s="79">
        <f>IF(AN1871="","",IF(AND(N1871&gt;0, AG1871&gt;0), IF(Configuración!$K$2="NO", "ALERTA: DESCUENTO DOBLE NO PERMITIDO", "OK"), "OK"))</f>
        <v/>
      </c>
      <c r="AR1871" s="79">
        <f>IF(AN1871="","",IF(OR(AO1871&lt;&gt;"OK", AP1871&lt;&gt;"OK", AQ1871&lt;&gt;"OK"), "⚠️ REVISAR", "OK"))</f>
        <v/>
      </c>
    </row>
    <row r="1872">
      <c r="A1872" s="79">
        <f>IF('Ordenes_Odoo'!A1872="","",'Ordenes_Odoo'!A1872)</f>
        <v/>
      </c>
      <c r="B1872" s="80">
        <f>IF('Ordenes_Odoo'!B1872="","",'Ordenes_Odoo'!B1872)</f>
        <v/>
      </c>
      <c r="C1872" s="79">
        <f>IF('Ordenes_Odoo'!C1872="","",'Ordenes_Odoo'!C1872)</f>
        <v/>
      </c>
      <c r="D1872" s="79">
        <f>IF('Ordenes_Odoo'!D1872="","",'Ordenes_Odoo'!D1872)</f>
        <v/>
      </c>
      <c r="E1872" s="79">
        <f>IF('Ordenes_Odoo'!E1872="","",'Ordenes_Odoo'!E1872)</f>
        <v/>
      </c>
      <c r="F1872" s="79">
        <f>IF('Ordenes_Odoo'!F1872="","",'Ordenes_Odoo'!F1872)</f>
        <v/>
      </c>
      <c r="G1872" s="79">
        <f>IF('Ordenes_Odoo'!G1872="","",'Ordenes_Odoo'!G1872)</f>
        <v/>
      </c>
      <c r="H1872" s="79">
        <f>IF('Ordenes_Odoo'!H1872="","",'Ordenes_Odoo'!H1872)</f>
        <v/>
      </c>
      <c r="I1872" s="79">
        <f>IF('Ordenes_Odoo'!I1872="","",'Ordenes_Odoo'!I1872)</f>
        <v/>
      </c>
      <c r="J1872" s="79">
        <f>IF('Ordenes_Odoo'!J1872="","",'Ordenes_Odoo'!J1872)</f>
        <v/>
      </c>
      <c r="K1872" s="81">
        <f>IF('Ordenes_Odoo'!K1872="","",'Ordenes_Odoo'!K1872)</f>
        <v/>
      </c>
      <c r="L1872" s="81">
        <f>IF('Ordenes_Odoo'!L1872="","",'Ordenes_Odoo'!L1872)</f>
        <v/>
      </c>
      <c r="M1872" s="79">
        <f>IF('Ordenes_Odoo'!M1872="","",'Ordenes_Odoo'!M1872)</f>
        <v/>
      </c>
      <c r="N1872" s="79">
        <f>IF('Ordenes_Odoo'!N1872="","",'Ordenes_Odoo'!N1872)</f>
        <v/>
      </c>
      <c r="O1872" s="81">
        <f>IF('Ordenes_Odoo'!O1872="","",'Ordenes_Odoo'!O1872)</f>
        <v/>
      </c>
      <c r="P1872" s="81">
        <f>IF('Ordenes_Odoo'!P1872="","",'Ordenes_Odoo'!P1872)</f>
        <v/>
      </c>
      <c r="Q1872" s="79">
        <f>IF(A1872="","",IFERROR(INDEX(Facturas_Odoo!$B:$B, MATCH(A1872, Facturas_Odoo!$D:$D, 0)), "Sin Factura"))</f>
        <v/>
      </c>
      <c r="R1872" s="80">
        <f>IF(Q1872="Sin Factura","",IFERROR(INDEX(Facturas_Odoo!$A:$A, MATCH(Q1872, Facturas_Odoo!$B:$B, 0)), ""))</f>
        <v/>
      </c>
      <c r="S1872" s="79">
        <f>IF(Q1872="Sin Factura","",IFERROR(_xlfn.XLOOKUP(1, (Facturas_Odoo!$D:$D=A1872) * (Facturas_Odoo!$K:$K=I1872), Facturas_Odoo!$L:$L, ""), ""))</f>
        <v/>
      </c>
      <c r="T1872" s="81">
        <f>IF(Q1872="Sin Factura",0,IFERROR(_xlfn.XLOOKUP(1, (Facturas_Odoo!$D:$D=A1872) * (Facturas_Odoo!$K:$K=I1872), Facturas_Odoo!$M:$M, 0), 0))</f>
        <v/>
      </c>
      <c r="U1872" s="79">
        <f>IF(Q1872="Sin Factura",0,IFERROR(_xlfn.XLOOKUP(1, (Facturas_Odoo!$D:$D=A1872) * (Facturas_Odoo!$K:$K=I1872), Facturas_Odoo!$N:$N, 0), 0))</f>
        <v/>
      </c>
      <c r="V1872" s="79">
        <f>IF(Q1872="Sin Factura",0,IFERROR(_xlfn.XLOOKUP(1, (Facturas_Odoo!$D:$D=A1872) * (Facturas_Odoo!$K:$K=I1872), Facturas_Odoo!$O:$O, 0), 0))</f>
        <v/>
      </c>
      <c r="W1872" s="81">
        <f>IF(Q1872="Sin Factura",0,IFERROR(_xlfn.XLOOKUP(1, (Facturas_Odoo!$D:$D=A1872) * (Facturas_Odoo!$K:$K=I1872), Facturas_Odoo!$Q:$Q, 0), 0))</f>
        <v/>
      </c>
      <c r="X1872" s="79">
        <f>IF(OR(Q1872="Sin Factura",Q1872=""),"",IFERROR(INDEX(Pagos_Odoo!$B:$B, MATCH(Q1872, Pagos_Odoo!$I:$I, 0)), "Sin Pago"))</f>
        <v/>
      </c>
      <c r="Y1872" s="79">
        <f>IF(X1872="Sin Pago","",IFERROR(INDEX(Pagos_Odoo!$C:$C, MATCH(X1872, Pagos_Odoo!$B:$B, 0)), ""))</f>
        <v/>
      </c>
      <c r="Z1872" s="80">
        <f>IF(X1872="Sin Pago","",IFERROR(INDEX(Pagos_Odoo!$A:$A, MATCH(X1872, Pagos_Odoo!$B:$B, 0)), ""))</f>
        <v/>
      </c>
      <c r="AA1872" s="79">
        <f>IF(X1872="Sin Pago","",IFERROR(INDEX(Pagos_Odoo!$F:$F, MATCH(X1872, Pagos_Odoo!$B:$B, 0)), ""))</f>
        <v/>
      </c>
      <c r="AB1872" s="81">
        <f>IF(X1872="Sin Pago",0,IFERROR(INDEX(Pagos_Odoo!$E:$E, MATCH(X1872, Pagos_Odoo!$B:$B, 0)), 0))</f>
        <v/>
      </c>
      <c r="AC1872" s="79">
        <f>IF(X1872="Sin Pago","",IFERROR(INDEX(Pagos_Odoo!$G:$G, MATCH(X1872, Pagos_Odoo!$B:$B, 0)), ""))</f>
        <v/>
      </c>
      <c r="AD1872" s="82" t="n">
        <v>0</v>
      </c>
      <c r="AE1872" s="82" t="n"/>
      <c r="AF1872" s="82" t="n"/>
      <c r="AG1872" s="82">
        <f>IF(AN1872="","",AD1872+AE1872+AF1872)</f>
        <v/>
      </c>
      <c r="AH1872" s="81">
        <f>IF(AN1872="","",P1872*(1-AG1872))</f>
        <v/>
      </c>
      <c r="AI1872" s="81">
        <f>IF(AN1872="","",IF(Q1872="Sin Factura",0,IFERROR(INDEX(Facturas_Odoo!$H:$H, MATCH(Q1872, Facturas_Odoo!$B:$B, 0)), 0)*(1-AG1872)))</f>
        <v/>
      </c>
      <c r="AJ1872" s="81">
        <f>IF(AN1872="","",_xlfn.LET(idVenta, AN1872&amp;"",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72" s="81">
        <f>IF(AN1872="","",AH1872-AJ1872)</f>
        <v/>
      </c>
      <c r="AL1872" s="81">
        <f>IF(AN1872="","",IF(Q1872="Sin Factura","",AI1872-AJ1872))</f>
        <v/>
      </c>
      <c r="AM1872" s="81">
        <f>IF(AN1872="","",IF(Q1872="Sin Factura",0,P1872-IFERROR(INDEX(Facturas_Odoo!$H:$H, MATCH(Q1872, Facturas_Odoo!$B:$B, 0)), 0)))</f>
        <v/>
      </c>
      <c r="AN1872" s="79">
        <f>IF(AND(A1872="", J1872=""), "", IF(A1872&lt;&gt;"", VALUE(MID(A1872,2,LEN(A1872))), AN1871))</f>
        <v/>
      </c>
      <c r="AO1872" s="79">
        <f>IF(AN1872="","",IF(AD1872=0,"OK",_xlfn.LET(monedaPago, IF(AA1872="","USD",AA1872), limitePermitido, IFERROR(VLOOKUP(monedaPago, Configuración!$A$2:$B$3, 2, FALSE), 0.15), IF(AD1872&gt;limitePermitido, "ALERTA: EXCESO (" &amp; TEXT(limitePermitido, "0%") &amp; " máx)", "OK"))))</f>
        <v/>
      </c>
      <c r="AP1872" s="79">
        <f>IF(AN1872="","",IF(AE1872=0,"OK",_xlfn.LET(fechaPago, Z1872, fechaFactura, R1872, diasCredito, IF(E1872="Pago inmediato", 0, IFERROR(VALUE(MID(E1872, 1, SEARCH(" ", E1872)-1)),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72" s="79">
        <f>IF(AN1872="","",IF(AND(N1872&gt;0, AG1872&gt;0), IF(Configuración!$K$2="NO", "ALERTA: DESCUENTO DOBLE NO PERMITIDO", "OK"), "OK"))</f>
        <v/>
      </c>
      <c r="AR1872" s="79">
        <f>IF(AN1872="","",IF(OR(AO1872&lt;&gt;"OK", AP1872&lt;&gt;"OK", AQ1872&lt;&gt;"OK"), "⚠️ REVISAR", "OK"))</f>
        <v/>
      </c>
    </row>
    <row r="1873">
      <c r="A1873" s="79">
        <f>IF('Ordenes_Odoo'!A1873="","",'Ordenes_Odoo'!A1873)</f>
        <v/>
      </c>
      <c r="B1873" s="80">
        <f>IF('Ordenes_Odoo'!B1873="","",'Ordenes_Odoo'!B1873)</f>
        <v/>
      </c>
      <c r="C1873" s="79">
        <f>IF('Ordenes_Odoo'!C1873="","",'Ordenes_Odoo'!C1873)</f>
        <v/>
      </c>
      <c r="D1873" s="79">
        <f>IF('Ordenes_Odoo'!D1873="","",'Ordenes_Odoo'!D1873)</f>
        <v/>
      </c>
      <c r="E1873" s="79">
        <f>IF('Ordenes_Odoo'!E1873="","",'Ordenes_Odoo'!E1873)</f>
        <v/>
      </c>
      <c r="F1873" s="79">
        <f>IF('Ordenes_Odoo'!F1873="","",'Ordenes_Odoo'!F1873)</f>
        <v/>
      </c>
      <c r="G1873" s="79">
        <f>IF('Ordenes_Odoo'!G1873="","",'Ordenes_Odoo'!G1873)</f>
        <v/>
      </c>
      <c r="H1873" s="79">
        <f>IF('Ordenes_Odoo'!H1873="","",'Ordenes_Odoo'!H1873)</f>
        <v/>
      </c>
      <c r="I1873" s="79">
        <f>IF('Ordenes_Odoo'!I1873="","",'Ordenes_Odoo'!I1873)</f>
        <v/>
      </c>
      <c r="J1873" s="79">
        <f>IF('Ordenes_Odoo'!J1873="","",'Ordenes_Odoo'!J1873)</f>
        <v/>
      </c>
      <c r="K1873" s="81">
        <f>IF('Ordenes_Odoo'!K1873="","",'Ordenes_Odoo'!K1873)</f>
        <v/>
      </c>
      <c r="L1873" s="81">
        <f>IF('Ordenes_Odoo'!L1873="","",'Ordenes_Odoo'!L1873)</f>
        <v/>
      </c>
      <c r="M1873" s="79">
        <f>IF('Ordenes_Odoo'!M1873="","",'Ordenes_Odoo'!M1873)</f>
        <v/>
      </c>
      <c r="N1873" s="79">
        <f>IF('Ordenes_Odoo'!N1873="","",'Ordenes_Odoo'!N1873)</f>
        <v/>
      </c>
      <c r="O1873" s="81">
        <f>IF('Ordenes_Odoo'!O1873="","",'Ordenes_Odoo'!O1873)</f>
        <v/>
      </c>
      <c r="P1873" s="81">
        <f>IF('Ordenes_Odoo'!P1873="","",'Ordenes_Odoo'!P1873)</f>
        <v/>
      </c>
      <c r="Q1873" s="79">
        <f>IF(A1873="","",IFERROR(INDEX(Facturas_Odoo!$B:$B, MATCH(A1873, Facturas_Odoo!$D:$D, 0)), "Sin Factura"))</f>
        <v/>
      </c>
      <c r="R1873" s="80">
        <f>IF(Q1873="Sin Factura","",IFERROR(INDEX(Facturas_Odoo!$A:$A, MATCH(Q1873, Facturas_Odoo!$B:$B, 0)), ""))</f>
        <v/>
      </c>
      <c r="S1873" s="79">
        <f>IF(Q1873="Sin Factura","",IFERROR(_xlfn.XLOOKUP(1, (Facturas_Odoo!$D:$D=A1873) * (Facturas_Odoo!$K:$K=I1873), Facturas_Odoo!$L:$L, ""), ""))</f>
        <v/>
      </c>
      <c r="T1873" s="81">
        <f>IF(Q1873="Sin Factura",0,IFERROR(_xlfn.XLOOKUP(1, (Facturas_Odoo!$D:$D=A1873) * (Facturas_Odoo!$K:$K=I1873), Facturas_Odoo!$M:$M, 0), 0))</f>
        <v/>
      </c>
      <c r="U1873" s="79">
        <f>IF(Q1873="Sin Factura",0,IFERROR(_xlfn.XLOOKUP(1, (Facturas_Odoo!$D:$D=A1873) * (Facturas_Odoo!$K:$K=I1873), Facturas_Odoo!$N:$N, 0), 0))</f>
        <v/>
      </c>
      <c r="V1873" s="79">
        <f>IF(Q1873="Sin Factura",0,IFERROR(_xlfn.XLOOKUP(1, (Facturas_Odoo!$D:$D=A1873) * (Facturas_Odoo!$K:$K=I1873), Facturas_Odoo!$O:$O, 0), 0))</f>
        <v/>
      </c>
      <c r="W1873" s="81">
        <f>IF(Q1873="Sin Factura",0,IFERROR(_xlfn.XLOOKUP(1, (Facturas_Odoo!$D:$D=A1873) * (Facturas_Odoo!$K:$K=I1873), Facturas_Odoo!$Q:$Q, 0), 0))</f>
        <v/>
      </c>
      <c r="X1873" s="79">
        <f>IF(OR(Q1873="Sin Factura",Q1873=""),"",IFERROR(INDEX(Pagos_Odoo!$B:$B, MATCH(Q1873, Pagos_Odoo!$I:$I, 0)), "Sin Pago"))</f>
        <v/>
      </c>
      <c r="Y1873" s="79">
        <f>IF(X1873="Sin Pago","",IFERROR(INDEX(Pagos_Odoo!$C:$C, MATCH(X1873, Pagos_Odoo!$B:$B, 0)), ""))</f>
        <v/>
      </c>
      <c r="Z1873" s="80">
        <f>IF(X1873="Sin Pago","",IFERROR(INDEX(Pagos_Odoo!$A:$A, MATCH(X1873, Pagos_Odoo!$B:$B, 0)), ""))</f>
        <v/>
      </c>
      <c r="AA1873" s="79">
        <f>IF(X1873="Sin Pago","",IFERROR(INDEX(Pagos_Odoo!$F:$F, MATCH(X1873, Pagos_Odoo!$B:$B, 0)), ""))</f>
        <v/>
      </c>
      <c r="AB1873" s="81">
        <f>IF(X1873="Sin Pago",0,IFERROR(INDEX(Pagos_Odoo!$E:$E, MATCH(X1873, Pagos_Odoo!$B:$B, 0)), 0))</f>
        <v/>
      </c>
      <c r="AC1873" s="79">
        <f>IF(X1873="Sin Pago","",IFERROR(INDEX(Pagos_Odoo!$G:$G, MATCH(X1873, Pagos_Odoo!$B:$B, 0)), ""))</f>
        <v/>
      </c>
      <c r="AD1873" s="82" t="n">
        <v>0</v>
      </c>
      <c r="AE1873" s="82" t="n"/>
      <c r="AF1873" s="82" t="n"/>
      <c r="AG1873" s="82">
        <f>IF(AN1873="","",AD1873+AE1873+AF1873)</f>
        <v/>
      </c>
      <c r="AH1873" s="81">
        <f>IF(AN1873="","",P1873*(1-AG1873))</f>
        <v/>
      </c>
      <c r="AI1873" s="81">
        <f>IF(AN1873="","",IF(Q1873="Sin Factura",0,IFERROR(INDEX(Facturas_Odoo!$H:$H, MATCH(Q1873, Facturas_Odoo!$B:$B, 0)), 0)*(1-AG1873)))</f>
        <v/>
      </c>
      <c r="AJ1873" s="81">
        <f>IF(AN1873="","",_xlfn.LET(idVenta, AN1873&amp;"",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73" s="81">
        <f>IF(AN1873="","",AH1873-AJ1873)</f>
        <v/>
      </c>
      <c r="AL1873" s="81">
        <f>IF(AN1873="","",IF(Q1873="Sin Factura","",AI1873-AJ1873))</f>
        <v/>
      </c>
      <c r="AM1873" s="81">
        <f>IF(AN1873="","",IF(Q1873="Sin Factura",0,P1873-IFERROR(INDEX(Facturas_Odoo!$H:$H, MATCH(Q1873, Facturas_Odoo!$B:$B, 0)), 0)))</f>
        <v/>
      </c>
      <c r="AN1873" s="79">
        <f>IF(AND(A1873="", J1873=""), "", IF(A1873&lt;&gt;"", VALUE(MID(A1873,2,LEN(A1873))), AN1872))</f>
        <v/>
      </c>
      <c r="AO1873" s="79">
        <f>IF(AN1873="","",IF(AD1873=0,"OK",_xlfn.LET(monedaPago, IF(AA1873="","USD",AA1873), limitePermitido, IFERROR(VLOOKUP(monedaPago, Configuración!$A$2:$B$3, 2, FALSE), 0.15), IF(AD1873&gt;limitePermitido, "ALERTA: EXCESO (" &amp; TEXT(limitePermitido, "0%") &amp; " máx)", "OK"))))</f>
        <v/>
      </c>
      <c r="AP1873" s="79">
        <f>IF(AN1873="","",IF(AE1873=0,"OK",_xlfn.LET(fechaPago, Z1873, fechaFactura, R1873, diasCredito, IF(E1873="Pago inmediato", 0, IFERROR(VALUE(MID(E1873, 1, SEARCH(" ", E1873)-1)),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73" s="79">
        <f>IF(AN1873="","",IF(AND(N1873&gt;0, AG1873&gt;0), IF(Configuración!$K$2="NO", "ALERTA: DESCUENTO DOBLE NO PERMITIDO", "OK"), "OK"))</f>
        <v/>
      </c>
      <c r="AR1873" s="79">
        <f>IF(AN1873="","",IF(OR(AO1873&lt;&gt;"OK", AP1873&lt;&gt;"OK", AQ1873&lt;&gt;"OK"), "⚠️ REVISAR", "OK"))</f>
        <v/>
      </c>
    </row>
    <row r="1874">
      <c r="A1874" s="79">
        <f>IF('Ordenes_Odoo'!A1874="","",'Ordenes_Odoo'!A1874)</f>
        <v/>
      </c>
      <c r="B1874" s="80">
        <f>IF('Ordenes_Odoo'!B1874="","",'Ordenes_Odoo'!B1874)</f>
        <v/>
      </c>
      <c r="C1874" s="79">
        <f>IF('Ordenes_Odoo'!C1874="","",'Ordenes_Odoo'!C1874)</f>
        <v/>
      </c>
      <c r="D1874" s="79">
        <f>IF('Ordenes_Odoo'!D1874="","",'Ordenes_Odoo'!D1874)</f>
        <v/>
      </c>
      <c r="E1874" s="79">
        <f>IF('Ordenes_Odoo'!E1874="","",'Ordenes_Odoo'!E1874)</f>
        <v/>
      </c>
      <c r="F1874" s="79">
        <f>IF('Ordenes_Odoo'!F1874="","",'Ordenes_Odoo'!F1874)</f>
        <v/>
      </c>
      <c r="G1874" s="79">
        <f>IF('Ordenes_Odoo'!G1874="","",'Ordenes_Odoo'!G1874)</f>
        <v/>
      </c>
      <c r="H1874" s="79">
        <f>IF('Ordenes_Odoo'!H1874="","",'Ordenes_Odoo'!H1874)</f>
        <v/>
      </c>
      <c r="I1874" s="79">
        <f>IF('Ordenes_Odoo'!I1874="","",'Ordenes_Odoo'!I1874)</f>
        <v/>
      </c>
      <c r="J1874" s="79">
        <f>IF('Ordenes_Odoo'!J1874="","",'Ordenes_Odoo'!J1874)</f>
        <v/>
      </c>
      <c r="K1874" s="81">
        <f>IF('Ordenes_Odoo'!K1874="","",'Ordenes_Odoo'!K1874)</f>
        <v/>
      </c>
      <c r="L1874" s="81">
        <f>IF('Ordenes_Odoo'!L1874="","",'Ordenes_Odoo'!L1874)</f>
        <v/>
      </c>
      <c r="M1874" s="79">
        <f>IF('Ordenes_Odoo'!M1874="","",'Ordenes_Odoo'!M1874)</f>
        <v/>
      </c>
      <c r="N1874" s="79">
        <f>IF('Ordenes_Odoo'!N1874="","",'Ordenes_Odoo'!N1874)</f>
        <v/>
      </c>
      <c r="O1874" s="81">
        <f>IF('Ordenes_Odoo'!O1874="","",'Ordenes_Odoo'!O1874)</f>
        <v/>
      </c>
      <c r="P1874" s="81">
        <f>IF('Ordenes_Odoo'!P1874="","",'Ordenes_Odoo'!P1874)</f>
        <v/>
      </c>
      <c r="Q1874" s="79">
        <f>IF(A1874="","",IFERROR(INDEX(Facturas_Odoo!$B:$B, MATCH(A1874, Facturas_Odoo!$D:$D, 0)), "Sin Factura"))</f>
        <v/>
      </c>
      <c r="R1874" s="80">
        <f>IF(Q1874="Sin Factura","",IFERROR(INDEX(Facturas_Odoo!$A:$A, MATCH(Q1874, Facturas_Odoo!$B:$B, 0)), ""))</f>
        <v/>
      </c>
      <c r="S1874" s="79">
        <f>IF(Q1874="Sin Factura","",IFERROR(_xlfn.XLOOKUP(1, (Facturas_Odoo!$D:$D=A1874) * (Facturas_Odoo!$K:$K=I1874), Facturas_Odoo!$L:$L, ""), ""))</f>
        <v/>
      </c>
      <c r="T1874" s="81">
        <f>IF(Q1874="Sin Factura",0,IFERROR(_xlfn.XLOOKUP(1, (Facturas_Odoo!$D:$D=A1874) * (Facturas_Odoo!$K:$K=I1874), Facturas_Odoo!$M:$M, 0), 0))</f>
        <v/>
      </c>
      <c r="U1874" s="79">
        <f>IF(Q1874="Sin Factura",0,IFERROR(_xlfn.XLOOKUP(1, (Facturas_Odoo!$D:$D=A1874) * (Facturas_Odoo!$K:$K=I1874), Facturas_Odoo!$N:$N, 0), 0))</f>
        <v/>
      </c>
      <c r="V1874" s="79">
        <f>IF(Q1874="Sin Factura",0,IFERROR(_xlfn.XLOOKUP(1, (Facturas_Odoo!$D:$D=A1874) * (Facturas_Odoo!$K:$K=I1874), Facturas_Odoo!$O:$O, 0), 0))</f>
        <v/>
      </c>
      <c r="W1874" s="81">
        <f>IF(Q1874="Sin Factura",0,IFERROR(_xlfn.XLOOKUP(1, (Facturas_Odoo!$D:$D=A1874) * (Facturas_Odoo!$K:$K=I1874), Facturas_Odoo!$Q:$Q, 0), 0))</f>
        <v/>
      </c>
      <c r="X1874" s="79">
        <f>IF(OR(Q1874="Sin Factura",Q1874=""),"",IFERROR(INDEX(Pagos_Odoo!$B:$B, MATCH(Q1874, Pagos_Odoo!$I:$I, 0)), "Sin Pago"))</f>
        <v/>
      </c>
      <c r="Y1874" s="79">
        <f>IF(X1874="Sin Pago","",IFERROR(INDEX(Pagos_Odoo!$C:$C, MATCH(X1874, Pagos_Odoo!$B:$B, 0)), ""))</f>
        <v/>
      </c>
      <c r="Z1874" s="80">
        <f>IF(X1874="Sin Pago","",IFERROR(INDEX(Pagos_Odoo!$A:$A, MATCH(X1874, Pagos_Odoo!$B:$B, 0)), ""))</f>
        <v/>
      </c>
      <c r="AA1874" s="79">
        <f>IF(X1874="Sin Pago","",IFERROR(INDEX(Pagos_Odoo!$F:$F, MATCH(X1874, Pagos_Odoo!$B:$B, 0)), ""))</f>
        <v/>
      </c>
      <c r="AB1874" s="81">
        <f>IF(X1874="Sin Pago",0,IFERROR(INDEX(Pagos_Odoo!$E:$E, MATCH(X1874, Pagos_Odoo!$B:$B, 0)), 0))</f>
        <v/>
      </c>
      <c r="AC1874" s="79">
        <f>IF(X1874="Sin Pago","",IFERROR(INDEX(Pagos_Odoo!$G:$G, MATCH(X1874, Pagos_Odoo!$B:$B, 0)), ""))</f>
        <v/>
      </c>
      <c r="AD1874" s="82" t="n">
        <v>0</v>
      </c>
      <c r="AE1874" s="82" t="n"/>
      <c r="AF1874" s="82" t="n"/>
      <c r="AG1874" s="82">
        <f>IF(AN1874="","",AD1874+AE1874+AF1874)</f>
        <v/>
      </c>
      <c r="AH1874" s="81">
        <f>IF(AN1874="","",P1874*(1-AG1874))</f>
        <v/>
      </c>
      <c r="AI1874" s="81">
        <f>IF(AN1874="","",IF(Q1874="Sin Factura",0,IFERROR(INDEX(Facturas_Odoo!$H:$H, MATCH(Q1874, Facturas_Odoo!$B:$B, 0)), 0)*(1-AG1874)))</f>
        <v/>
      </c>
      <c r="AJ1874" s="81">
        <f>IF(AN1874="","",_xlfn.LET(idVenta, AN1874&amp;"",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74" s="81">
        <f>IF(AN1874="","",AH1874-AJ1874)</f>
        <v/>
      </c>
      <c r="AL1874" s="81">
        <f>IF(AN1874="","",IF(Q1874="Sin Factura","",AI1874-AJ1874))</f>
        <v/>
      </c>
      <c r="AM1874" s="81">
        <f>IF(AN1874="","",IF(Q1874="Sin Factura",0,P1874-IFERROR(INDEX(Facturas_Odoo!$H:$H, MATCH(Q1874, Facturas_Odoo!$B:$B, 0)), 0)))</f>
        <v/>
      </c>
      <c r="AN1874" s="79">
        <f>IF(AND(A1874="", J1874=""), "", IF(A1874&lt;&gt;"", VALUE(MID(A1874,2,LEN(A1874))), AN1873))</f>
        <v/>
      </c>
      <c r="AO1874" s="79">
        <f>IF(AN1874="","",IF(AD1874=0,"OK",_xlfn.LET(monedaPago, IF(AA1874="","USD",AA1874), limitePermitido, IFERROR(VLOOKUP(monedaPago, Configuración!$A$2:$B$3, 2, FALSE), 0.15), IF(AD1874&gt;limitePermitido, "ALERTA: EXCESO (" &amp; TEXT(limitePermitido, "0%") &amp; " máx)", "OK"))))</f>
        <v/>
      </c>
      <c r="AP1874" s="79">
        <f>IF(AN1874="","",IF(AE1874=0,"OK",_xlfn.LET(fechaPago, Z1874, fechaFactura, R1874, diasCredito, IF(E1874="Pago inmediato", 0, IFERROR(VALUE(MID(E1874, 1, SEARCH(" ", E1874)-1)),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74" s="79">
        <f>IF(AN1874="","",IF(AND(N1874&gt;0, AG1874&gt;0), IF(Configuración!$K$2="NO", "ALERTA: DESCUENTO DOBLE NO PERMITIDO", "OK"), "OK"))</f>
        <v/>
      </c>
      <c r="AR1874" s="79">
        <f>IF(AN1874="","",IF(OR(AO1874&lt;&gt;"OK", AP1874&lt;&gt;"OK", AQ1874&lt;&gt;"OK"), "⚠️ REVISAR", "OK"))</f>
        <v/>
      </c>
    </row>
    <row r="1875">
      <c r="A1875" s="79">
        <f>IF('Ordenes_Odoo'!A1875="","",'Ordenes_Odoo'!A1875)</f>
        <v/>
      </c>
      <c r="B1875" s="80">
        <f>IF('Ordenes_Odoo'!B1875="","",'Ordenes_Odoo'!B1875)</f>
        <v/>
      </c>
      <c r="C1875" s="79">
        <f>IF('Ordenes_Odoo'!C1875="","",'Ordenes_Odoo'!C1875)</f>
        <v/>
      </c>
      <c r="D1875" s="79">
        <f>IF('Ordenes_Odoo'!D1875="","",'Ordenes_Odoo'!D1875)</f>
        <v/>
      </c>
      <c r="E1875" s="79">
        <f>IF('Ordenes_Odoo'!E1875="","",'Ordenes_Odoo'!E1875)</f>
        <v/>
      </c>
      <c r="F1875" s="79">
        <f>IF('Ordenes_Odoo'!F1875="","",'Ordenes_Odoo'!F1875)</f>
        <v/>
      </c>
      <c r="G1875" s="79">
        <f>IF('Ordenes_Odoo'!G1875="","",'Ordenes_Odoo'!G1875)</f>
        <v/>
      </c>
      <c r="H1875" s="79">
        <f>IF('Ordenes_Odoo'!H1875="","",'Ordenes_Odoo'!H1875)</f>
        <v/>
      </c>
      <c r="I1875" s="79">
        <f>IF('Ordenes_Odoo'!I1875="","",'Ordenes_Odoo'!I1875)</f>
        <v/>
      </c>
      <c r="J1875" s="79">
        <f>IF('Ordenes_Odoo'!J1875="","",'Ordenes_Odoo'!J1875)</f>
        <v/>
      </c>
      <c r="K1875" s="81">
        <f>IF('Ordenes_Odoo'!K1875="","",'Ordenes_Odoo'!K1875)</f>
        <v/>
      </c>
      <c r="L1875" s="81">
        <f>IF('Ordenes_Odoo'!L1875="","",'Ordenes_Odoo'!L1875)</f>
        <v/>
      </c>
      <c r="M1875" s="79">
        <f>IF('Ordenes_Odoo'!M1875="","",'Ordenes_Odoo'!M1875)</f>
        <v/>
      </c>
      <c r="N1875" s="79">
        <f>IF('Ordenes_Odoo'!N1875="","",'Ordenes_Odoo'!N1875)</f>
        <v/>
      </c>
      <c r="O1875" s="81">
        <f>IF('Ordenes_Odoo'!O1875="","",'Ordenes_Odoo'!O1875)</f>
        <v/>
      </c>
      <c r="P1875" s="81">
        <f>IF('Ordenes_Odoo'!P1875="","",'Ordenes_Odoo'!P1875)</f>
        <v/>
      </c>
      <c r="Q1875" s="79">
        <f>IF(A1875="","",IFERROR(INDEX(Facturas_Odoo!$B:$B, MATCH(A1875, Facturas_Odoo!$D:$D, 0)), "Sin Factura"))</f>
        <v/>
      </c>
      <c r="R1875" s="80">
        <f>IF(Q1875="Sin Factura","",IFERROR(INDEX(Facturas_Odoo!$A:$A, MATCH(Q1875, Facturas_Odoo!$B:$B, 0)), ""))</f>
        <v/>
      </c>
      <c r="S1875" s="79">
        <f>IF(Q1875="Sin Factura","",IFERROR(_xlfn.XLOOKUP(1, (Facturas_Odoo!$D:$D=A1875) * (Facturas_Odoo!$K:$K=I1875), Facturas_Odoo!$L:$L, ""), ""))</f>
        <v/>
      </c>
      <c r="T1875" s="81">
        <f>IF(Q1875="Sin Factura",0,IFERROR(_xlfn.XLOOKUP(1, (Facturas_Odoo!$D:$D=A1875) * (Facturas_Odoo!$K:$K=I1875), Facturas_Odoo!$M:$M, 0), 0))</f>
        <v/>
      </c>
      <c r="U1875" s="79">
        <f>IF(Q1875="Sin Factura",0,IFERROR(_xlfn.XLOOKUP(1, (Facturas_Odoo!$D:$D=A1875) * (Facturas_Odoo!$K:$K=I1875), Facturas_Odoo!$N:$N, 0), 0))</f>
        <v/>
      </c>
      <c r="V1875" s="79">
        <f>IF(Q1875="Sin Factura",0,IFERROR(_xlfn.XLOOKUP(1, (Facturas_Odoo!$D:$D=A1875) * (Facturas_Odoo!$K:$K=I1875), Facturas_Odoo!$O:$O, 0), 0))</f>
        <v/>
      </c>
      <c r="W1875" s="81">
        <f>IF(Q1875="Sin Factura",0,IFERROR(_xlfn.XLOOKUP(1, (Facturas_Odoo!$D:$D=A1875) * (Facturas_Odoo!$K:$K=I1875), Facturas_Odoo!$Q:$Q, 0), 0))</f>
        <v/>
      </c>
      <c r="X1875" s="79">
        <f>IF(OR(Q1875="Sin Factura",Q1875=""),"",IFERROR(INDEX(Pagos_Odoo!$B:$B, MATCH(Q1875, Pagos_Odoo!$I:$I, 0)), "Sin Pago"))</f>
        <v/>
      </c>
      <c r="Y1875" s="79">
        <f>IF(X1875="Sin Pago","",IFERROR(INDEX(Pagos_Odoo!$C:$C, MATCH(X1875, Pagos_Odoo!$B:$B, 0)), ""))</f>
        <v/>
      </c>
      <c r="Z1875" s="80">
        <f>IF(X1875="Sin Pago","",IFERROR(INDEX(Pagos_Odoo!$A:$A, MATCH(X1875, Pagos_Odoo!$B:$B, 0)), ""))</f>
        <v/>
      </c>
      <c r="AA1875" s="79">
        <f>IF(X1875="Sin Pago","",IFERROR(INDEX(Pagos_Odoo!$F:$F, MATCH(X1875, Pagos_Odoo!$B:$B, 0)), ""))</f>
        <v/>
      </c>
      <c r="AB1875" s="81">
        <f>IF(X1875="Sin Pago",0,IFERROR(INDEX(Pagos_Odoo!$E:$E, MATCH(X1875, Pagos_Odoo!$B:$B, 0)), 0))</f>
        <v/>
      </c>
      <c r="AC1875" s="79">
        <f>IF(X1875="Sin Pago","",IFERROR(INDEX(Pagos_Odoo!$G:$G, MATCH(X1875, Pagos_Odoo!$B:$B, 0)), ""))</f>
        <v/>
      </c>
      <c r="AD1875" s="82" t="n">
        <v>0</v>
      </c>
      <c r="AE1875" s="82" t="n"/>
      <c r="AF1875" s="82" t="n"/>
      <c r="AG1875" s="82">
        <f>IF(AN1875="","",AD1875+AE1875+AF1875)</f>
        <v/>
      </c>
      <c r="AH1875" s="81">
        <f>IF(AN1875="","",P1875*(1-AG1875))</f>
        <v/>
      </c>
      <c r="AI1875" s="81">
        <f>IF(AN1875="","",IF(Q1875="Sin Factura",0,IFERROR(INDEX(Facturas_Odoo!$H:$H, MATCH(Q1875, Facturas_Odoo!$B:$B, 0)), 0)*(1-AG1875)))</f>
        <v/>
      </c>
      <c r="AJ1875" s="81">
        <f>IF(AN1875="","",_xlfn.LET(idVenta, AN1875&amp;"",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75" s="81">
        <f>IF(AN1875="","",AH1875-AJ1875)</f>
        <v/>
      </c>
      <c r="AL1875" s="81">
        <f>IF(AN1875="","",IF(Q1875="Sin Factura","",AI1875-AJ1875))</f>
        <v/>
      </c>
      <c r="AM1875" s="81">
        <f>IF(AN1875="","",IF(Q1875="Sin Factura",0,P1875-IFERROR(INDEX(Facturas_Odoo!$H:$H, MATCH(Q1875, Facturas_Odoo!$B:$B, 0)), 0)))</f>
        <v/>
      </c>
      <c r="AN1875" s="79">
        <f>IF(AND(A1875="", J1875=""), "", IF(A1875&lt;&gt;"", VALUE(MID(A1875,2,LEN(A1875))), AN1874))</f>
        <v/>
      </c>
      <c r="AO1875" s="79">
        <f>IF(AN1875="","",IF(AD1875=0,"OK",_xlfn.LET(monedaPago, IF(AA1875="","USD",AA1875), limitePermitido, IFERROR(VLOOKUP(monedaPago, Configuración!$A$2:$B$3, 2, FALSE), 0.15), IF(AD1875&gt;limitePermitido, "ALERTA: EXCESO (" &amp; TEXT(limitePermitido, "0%") &amp; " máx)", "OK"))))</f>
        <v/>
      </c>
      <c r="AP1875" s="79">
        <f>IF(AN1875="","",IF(AE1875=0,"OK",_xlfn.LET(fechaPago, Z1875, fechaFactura, R1875, diasCredito, IF(E1875="Pago inmediato", 0, IFERROR(VALUE(MID(E1875, 1, SEARCH(" ", E1875)-1)),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75" s="79">
        <f>IF(AN1875="","",IF(AND(N1875&gt;0, AG1875&gt;0), IF(Configuración!$K$2="NO", "ALERTA: DESCUENTO DOBLE NO PERMITIDO", "OK"), "OK"))</f>
        <v/>
      </c>
      <c r="AR1875" s="79">
        <f>IF(AN1875="","",IF(OR(AO1875&lt;&gt;"OK", AP1875&lt;&gt;"OK", AQ1875&lt;&gt;"OK"), "⚠️ REVISAR", "OK"))</f>
        <v/>
      </c>
    </row>
    <row r="1876">
      <c r="A1876" s="79">
        <f>IF('Ordenes_Odoo'!A1876="","",'Ordenes_Odoo'!A1876)</f>
        <v/>
      </c>
      <c r="B1876" s="80">
        <f>IF('Ordenes_Odoo'!B1876="","",'Ordenes_Odoo'!B1876)</f>
        <v/>
      </c>
      <c r="C1876" s="79">
        <f>IF('Ordenes_Odoo'!C1876="","",'Ordenes_Odoo'!C1876)</f>
        <v/>
      </c>
      <c r="D1876" s="79">
        <f>IF('Ordenes_Odoo'!D1876="","",'Ordenes_Odoo'!D1876)</f>
        <v/>
      </c>
      <c r="E1876" s="79">
        <f>IF('Ordenes_Odoo'!E1876="","",'Ordenes_Odoo'!E1876)</f>
        <v/>
      </c>
      <c r="F1876" s="79">
        <f>IF('Ordenes_Odoo'!F1876="","",'Ordenes_Odoo'!F1876)</f>
        <v/>
      </c>
      <c r="G1876" s="79">
        <f>IF('Ordenes_Odoo'!G1876="","",'Ordenes_Odoo'!G1876)</f>
        <v/>
      </c>
      <c r="H1876" s="79">
        <f>IF('Ordenes_Odoo'!H1876="","",'Ordenes_Odoo'!H1876)</f>
        <v/>
      </c>
      <c r="I1876" s="79">
        <f>IF('Ordenes_Odoo'!I1876="","",'Ordenes_Odoo'!I1876)</f>
        <v/>
      </c>
      <c r="J1876" s="79">
        <f>IF('Ordenes_Odoo'!J1876="","",'Ordenes_Odoo'!J1876)</f>
        <v/>
      </c>
      <c r="K1876" s="81">
        <f>IF('Ordenes_Odoo'!K1876="","",'Ordenes_Odoo'!K1876)</f>
        <v/>
      </c>
      <c r="L1876" s="81">
        <f>IF('Ordenes_Odoo'!L1876="","",'Ordenes_Odoo'!L1876)</f>
        <v/>
      </c>
      <c r="M1876" s="79">
        <f>IF('Ordenes_Odoo'!M1876="","",'Ordenes_Odoo'!M1876)</f>
        <v/>
      </c>
      <c r="N1876" s="79">
        <f>IF('Ordenes_Odoo'!N1876="","",'Ordenes_Odoo'!N1876)</f>
        <v/>
      </c>
      <c r="O1876" s="81">
        <f>IF('Ordenes_Odoo'!O1876="","",'Ordenes_Odoo'!O1876)</f>
        <v/>
      </c>
      <c r="P1876" s="81">
        <f>IF('Ordenes_Odoo'!P1876="","",'Ordenes_Odoo'!P1876)</f>
        <v/>
      </c>
      <c r="Q1876" s="79">
        <f>IF(A1876="","",IFERROR(INDEX(Facturas_Odoo!$B:$B, MATCH(A1876, Facturas_Odoo!$D:$D, 0)), "Sin Factura"))</f>
        <v/>
      </c>
      <c r="R1876" s="80">
        <f>IF(Q1876="Sin Factura","",IFERROR(INDEX(Facturas_Odoo!$A:$A, MATCH(Q1876, Facturas_Odoo!$B:$B, 0)), ""))</f>
        <v/>
      </c>
      <c r="S1876" s="79">
        <f>IF(Q1876="Sin Factura","",IFERROR(_xlfn.XLOOKUP(1, (Facturas_Odoo!$D:$D=A1876) * (Facturas_Odoo!$K:$K=I1876), Facturas_Odoo!$L:$L, ""), ""))</f>
        <v/>
      </c>
      <c r="T1876" s="81">
        <f>IF(Q1876="Sin Factura",0,IFERROR(_xlfn.XLOOKUP(1, (Facturas_Odoo!$D:$D=A1876) * (Facturas_Odoo!$K:$K=I1876), Facturas_Odoo!$M:$M, 0), 0))</f>
        <v/>
      </c>
      <c r="U1876" s="79">
        <f>IF(Q1876="Sin Factura",0,IFERROR(_xlfn.XLOOKUP(1, (Facturas_Odoo!$D:$D=A1876) * (Facturas_Odoo!$K:$K=I1876), Facturas_Odoo!$N:$N, 0), 0))</f>
        <v/>
      </c>
      <c r="V1876" s="79">
        <f>IF(Q1876="Sin Factura",0,IFERROR(_xlfn.XLOOKUP(1, (Facturas_Odoo!$D:$D=A1876) * (Facturas_Odoo!$K:$K=I1876), Facturas_Odoo!$O:$O, 0), 0))</f>
        <v/>
      </c>
      <c r="W1876" s="81">
        <f>IF(Q1876="Sin Factura",0,IFERROR(_xlfn.XLOOKUP(1, (Facturas_Odoo!$D:$D=A1876) * (Facturas_Odoo!$K:$K=I1876), Facturas_Odoo!$Q:$Q, 0), 0))</f>
        <v/>
      </c>
      <c r="X1876" s="79">
        <f>IF(OR(Q1876="Sin Factura",Q1876=""),"",IFERROR(INDEX(Pagos_Odoo!$B:$B, MATCH(Q1876, Pagos_Odoo!$I:$I, 0)), "Sin Pago"))</f>
        <v/>
      </c>
      <c r="Y1876" s="79">
        <f>IF(X1876="Sin Pago","",IFERROR(INDEX(Pagos_Odoo!$C:$C, MATCH(X1876, Pagos_Odoo!$B:$B, 0)), ""))</f>
        <v/>
      </c>
      <c r="Z1876" s="80">
        <f>IF(X1876="Sin Pago","",IFERROR(INDEX(Pagos_Odoo!$A:$A, MATCH(X1876, Pagos_Odoo!$B:$B, 0)), ""))</f>
        <v/>
      </c>
      <c r="AA1876" s="79">
        <f>IF(X1876="Sin Pago","",IFERROR(INDEX(Pagos_Odoo!$F:$F, MATCH(X1876, Pagos_Odoo!$B:$B, 0)), ""))</f>
        <v/>
      </c>
      <c r="AB1876" s="81">
        <f>IF(X1876="Sin Pago",0,IFERROR(INDEX(Pagos_Odoo!$E:$E, MATCH(X1876, Pagos_Odoo!$B:$B, 0)), 0))</f>
        <v/>
      </c>
      <c r="AC1876" s="79">
        <f>IF(X1876="Sin Pago","",IFERROR(INDEX(Pagos_Odoo!$G:$G, MATCH(X1876, Pagos_Odoo!$B:$B, 0)), ""))</f>
        <v/>
      </c>
      <c r="AD1876" s="82" t="n">
        <v>0</v>
      </c>
      <c r="AE1876" s="82" t="n"/>
      <c r="AF1876" s="82" t="n"/>
      <c r="AG1876" s="82">
        <f>IF(AN1876="","",AD1876+AE1876+AF1876)</f>
        <v/>
      </c>
      <c r="AH1876" s="81">
        <f>IF(AN1876="","",P1876*(1-AG1876))</f>
        <v/>
      </c>
      <c r="AI1876" s="81">
        <f>IF(AN1876="","",IF(Q1876="Sin Factura",0,IFERROR(INDEX(Facturas_Odoo!$H:$H, MATCH(Q1876, Facturas_Odoo!$B:$B, 0)), 0)*(1-AG1876)))</f>
        <v/>
      </c>
      <c r="AJ1876" s="81">
        <f>IF(AN1876="","",_xlfn.LET(idVenta, AN1876&amp;"",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76" s="81">
        <f>IF(AN1876="","",AH1876-AJ1876)</f>
        <v/>
      </c>
      <c r="AL1876" s="81">
        <f>IF(AN1876="","",IF(Q1876="Sin Factura","",AI1876-AJ1876))</f>
        <v/>
      </c>
      <c r="AM1876" s="81">
        <f>IF(AN1876="","",IF(Q1876="Sin Factura",0,P1876-IFERROR(INDEX(Facturas_Odoo!$H:$H, MATCH(Q1876, Facturas_Odoo!$B:$B, 0)), 0)))</f>
        <v/>
      </c>
      <c r="AN1876" s="79">
        <f>IF(AND(A1876="", J1876=""), "", IF(A1876&lt;&gt;"", VALUE(MID(A1876,2,LEN(A1876))), AN1875))</f>
        <v/>
      </c>
      <c r="AO1876" s="79">
        <f>IF(AN1876="","",IF(AD1876=0,"OK",_xlfn.LET(monedaPago, IF(AA1876="","USD",AA1876), limitePermitido, IFERROR(VLOOKUP(monedaPago, Configuración!$A$2:$B$3, 2, FALSE), 0.15), IF(AD1876&gt;limitePermitido, "ALERTA: EXCESO (" &amp; TEXT(limitePermitido, "0%") &amp; " máx)", "OK"))))</f>
        <v/>
      </c>
      <c r="AP1876" s="79">
        <f>IF(AN1876="","",IF(AE1876=0,"OK",_xlfn.LET(fechaPago, Z1876, fechaFactura, R1876, diasCredito, IF(E1876="Pago inmediato", 0, IFERROR(VALUE(MID(E1876, 1, SEARCH(" ", E1876)-1)),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76" s="79">
        <f>IF(AN1876="","",IF(AND(N1876&gt;0, AG1876&gt;0), IF(Configuración!$K$2="NO", "ALERTA: DESCUENTO DOBLE NO PERMITIDO", "OK"), "OK"))</f>
        <v/>
      </c>
      <c r="AR1876" s="79">
        <f>IF(AN1876="","",IF(OR(AO1876&lt;&gt;"OK", AP1876&lt;&gt;"OK", AQ1876&lt;&gt;"OK"), "⚠️ REVISAR", "OK"))</f>
        <v/>
      </c>
    </row>
    <row r="1877">
      <c r="A1877" s="79">
        <f>IF('Ordenes_Odoo'!A1877="","",'Ordenes_Odoo'!A1877)</f>
        <v/>
      </c>
      <c r="B1877" s="80">
        <f>IF('Ordenes_Odoo'!B1877="","",'Ordenes_Odoo'!B1877)</f>
        <v/>
      </c>
      <c r="C1877" s="79">
        <f>IF('Ordenes_Odoo'!C1877="","",'Ordenes_Odoo'!C1877)</f>
        <v/>
      </c>
      <c r="D1877" s="79">
        <f>IF('Ordenes_Odoo'!D1877="","",'Ordenes_Odoo'!D1877)</f>
        <v/>
      </c>
      <c r="E1877" s="79">
        <f>IF('Ordenes_Odoo'!E1877="","",'Ordenes_Odoo'!E1877)</f>
        <v/>
      </c>
      <c r="F1877" s="79">
        <f>IF('Ordenes_Odoo'!F1877="","",'Ordenes_Odoo'!F1877)</f>
        <v/>
      </c>
      <c r="G1877" s="79">
        <f>IF('Ordenes_Odoo'!G1877="","",'Ordenes_Odoo'!G1877)</f>
        <v/>
      </c>
      <c r="H1877" s="79">
        <f>IF('Ordenes_Odoo'!H1877="","",'Ordenes_Odoo'!H1877)</f>
        <v/>
      </c>
      <c r="I1877" s="79">
        <f>IF('Ordenes_Odoo'!I1877="","",'Ordenes_Odoo'!I1877)</f>
        <v/>
      </c>
      <c r="J1877" s="79">
        <f>IF('Ordenes_Odoo'!J1877="","",'Ordenes_Odoo'!J1877)</f>
        <v/>
      </c>
      <c r="K1877" s="81">
        <f>IF('Ordenes_Odoo'!K1877="","",'Ordenes_Odoo'!K1877)</f>
        <v/>
      </c>
      <c r="L1877" s="81">
        <f>IF('Ordenes_Odoo'!L1877="","",'Ordenes_Odoo'!L1877)</f>
        <v/>
      </c>
      <c r="M1877" s="79">
        <f>IF('Ordenes_Odoo'!M1877="","",'Ordenes_Odoo'!M1877)</f>
        <v/>
      </c>
      <c r="N1877" s="79">
        <f>IF('Ordenes_Odoo'!N1877="","",'Ordenes_Odoo'!N1877)</f>
        <v/>
      </c>
      <c r="O1877" s="81">
        <f>IF('Ordenes_Odoo'!O1877="","",'Ordenes_Odoo'!O1877)</f>
        <v/>
      </c>
      <c r="P1877" s="81">
        <f>IF('Ordenes_Odoo'!P1877="","",'Ordenes_Odoo'!P1877)</f>
        <v/>
      </c>
      <c r="Q1877" s="79">
        <f>IF(A1877="","",IFERROR(INDEX(Facturas_Odoo!$B:$B, MATCH(A1877, Facturas_Odoo!$D:$D, 0)), "Sin Factura"))</f>
        <v/>
      </c>
      <c r="R1877" s="80">
        <f>IF(Q1877="Sin Factura","",IFERROR(INDEX(Facturas_Odoo!$A:$A, MATCH(Q1877, Facturas_Odoo!$B:$B, 0)), ""))</f>
        <v/>
      </c>
      <c r="S1877" s="79">
        <f>IF(Q1877="Sin Factura","",IFERROR(_xlfn.XLOOKUP(1, (Facturas_Odoo!$D:$D=A1877) * (Facturas_Odoo!$K:$K=I1877), Facturas_Odoo!$L:$L, ""), ""))</f>
        <v/>
      </c>
      <c r="T1877" s="81">
        <f>IF(Q1877="Sin Factura",0,IFERROR(_xlfn.XLOOKUP(1, (Facturas_Odoo!$D:$D=A1877) * (Facturas_Odoo!$K:$K=I1877), Facturas_Odoo!$M:$M, 0), 0))</f>
        <v/>
      </c>
      <c r="U1877" s="79">
        <f>IF(Q1877="Sin Factura",0,IFERROR(_xlfn.XLOOKUP(1, (Facturas_Odoo!$D:$D=A1877) * (Facturas_Odoo!$K:$K=I1877), Facturas_Odoo!$N:$N, 0), 0))</f>
        <v/>
      </c>
      <c r="V1877" s="79">
        <f>IF(Q1877="Sin Factura",0,IFERROR(_xlfn.XLOOKUP(1, (Facturas_Odoo!$D:$D=A1877) * (Facturas_Odoo!$K:$K=I1877), Facturas_Odoo!$O:$O, 0), 0))</f>
        <v/>
      </c>
      <c r="W1877" s="81">
        <f>IF(Q1877="Sin Factura",0,IFERROR(_xlfn.XLOOKUP(1, (Facturas_Odoo!$D:$D=A1877) * (Facturas_Odoo!$K:$K=I1877), Facturas_Odoo!$Q:$Q, 0), 0))</f>
        <v/>
      </c>
      <c r="X1877" s="79">
        <f>IF(OR(Q1877="Sin Factura",Q1877=""),"",IFERROR(INDEX(Pagos_Odoo!$B:$B, MATCH(Q1877, Pagos_Odoo!$I:$I, 0)), "Sin Pago"))</f>
        <v/>
      </c>
      <c r="Y1877" s="79">
        <f>IF(X1877="Sin Pago","",IFERROR(INDEX(Pagos_Odoo!$C:$C, MATCH(X1877, Pagos_Odoo!$B:$B, 0)), ""))</f>
        <v/>
      </c>
      <c r="Z1877" s="80">
        <f>IF(X1877="Sin Pago","",IFERROR(INDEX(Pagos_Odoo!$A:$A, MATCH(X1877, Pagos_Odoo!$B:$B, 0)), ""))</f>
        <v/>
      </c>
      <c r="AA1877" s="79">
        <f>IF(X1877="Sin Pago","",IFERROR(INDEX(Pagos_Odoo!$F:$F, MATCH(X1877, Pagos_Odoo!$B:$B, 0)), ""))</f>
        <v/>
      </c>
      <c r="AB1877" s="81">
        <f>IF(X1877="Sin Pago",0,IFERROR(INDEX(Pagos_Odoo!$E:$E, MATCH(X1877, Pagos_Odoo!$B:$B, 0)), 0))</f>
        <v/>
      </c>
      <c r="AC1877" s="79">
        <f>IF(X1877="Sin Pago","",IFERROR(INDEX(Pagos_Odoo!$G:$G, MATCH(X1877, Pagos_Odoo!$B:$B, 0)), ""))</f>
        <v/>
      </c>
      <c r="AD1877" s="82" t="n">
        <v>0</v>
      </c>
      <c r="AE1877" s="82" t="n"/>
      <c r="AF1877" s="82" t="n"/>
      <c r="AG1877" s="82">
        <f>IF(AN1877="","",AD1877+AE1877+AF1877)</f>
        <v/>
      </c>
      <c r="AH1877" s="81">
        <f>IF(AN1877="","",P1877*(1-AG1877))</f>
        <v/>
      </c>
      <c r="AI1877" s="81">
        <f>IF(AN1877="","",IF(Q1877="Sin Factura",0,IFERROR(INDEX(Facturas_Odoo!$H:$H, MATCH(Q1877, Facturas_Odoo!$B:$B, 0)), 0)*(1-AG1877)))</f>
        <v/>
      </c>
      <c r="AJ1877" s="81">
        <f>IF(AN1877="","",_xlfn.LET(idVenta, AN1877&amp;"",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77" s="81">
        <f>IF(AN1877="","",AH1877-AJ1877)</f>
        <v/>
      </c>
      <c r="AL1877" s="81">
        <f>IF(AN1877="","",IF(Q1877="Sin Factura","",AI1877-AJ1877))</f>
        <v/>
      </c>
      <c r="AM1877" s="81">
        <f>IF(AN1877="","",IF(Q1877="Sin Factura",0,P1877-IFERROR(INDEX(Facturas_Odoo!$H:$H, MATCH(Q1877, Facturas_Odoo!$B:$B, 0)), 0)))</f>
        <v/>
      </c>
      <c r="AN1877" s="79">
        <f>IF(AND(A1877="", J1877=""), "", IF(A1877&lt;&gt;"", VALUE(MID(A1877,2,LEN(A1877))), AN1876))</f>
        <v/>
      </c>
      <c r="AO1877" s="79">
        <f>IF(AN1877="","",IF(AD1877=0,"OK",_xlfn.LET(monedaPago, IF(AA1877="","USD",AA1877), limitePermitido, IFERROR(VLOOKUP(monedaPago, Configuración!$A$2:$B$3, 2, FALSE), 0.15), IF(AD1877&gt;limitePermitido, "ALERTA: EXCESO (" &amp; TEXT(limitePermitido, "0%") &amp; " máx)", "OK"))))</f>
        <v/>
      </c>
      <c r="AP1877" s="79">
        <f>IF(AN1877="","",IF(AE1877=0,"OK",_xlfn.LET(fechaPago, Z1877, fechaFactura, R1877, diasCredito, IF(E1877="Pago inmediato", 0, IFERROR(VALUE(MID(E1877, 1, SEARCH(" ", E1877)-1)),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77" s="79">
        <f>IF(AN1877="","",IF(AND(N1877&gt;0, AG1877&gt;0), IF(Configuración!$K$2="NO", "ALERTA: DESCUENTO DOBLE NO PERMITIDO", "OK"), "OK"))</f>
        <v/>
      </c>
      <c r="AR1877" s="79">
        <f>IF(AN1877="","",IF(OR(AO1877&lt;&gt;"OK", AP1877&lt;&gt;"OK", AQ1877&lt;&gt;"OK"), "⚠️ REVISAR", "OK"))</f>
        <v/>
      </c>
    </row>
    <row r="1878">
      <c r="A1878" s="79">
        <f>IF('Ordenes_Odoo'!A1878="","",'Ordenes_Odoo'!A1878)</f>
        <v/>
      </c>
      <c r="B1878" s="80">
        <f>IF('Ordenes_Odoo'!B1878="","",'Ordenes_Odoo'!B1878)</f>
        <v/>
      </c>
      <c r="C1878" s="79">
        <f>IF('Ordenes_Odoo'!C1878="","",'Ordenes_Odoo'!C1878)</f>
        <v/>
      </c>
      <c r="D1878" s="79">
        <f>IF('Ordenes_Odoo'!D1878="","",'Ordenes_Odoo'!D1878)</f>
        <v/>
      </c>
      <c r="E1878" s="79">
        <f>IF('Ordenes_Odoo'!E1878="","",'Ordenes_Odoo'!E1878)</f>
        <v/>
      </c>
      <c r="F1878" s="79">
        <f>IF('Ordenes_Odoo'!F1878="","",'Ordenes_Odoo'!F1878)</f>
        <v/>
      </c>
      <c r="G1878" s="79">
        <f>IF('Ordenes_Odoo'!G1878="","",'Ordenes_Odoo'!G1878)</f>
        <v/>
      </c>
      <c r="H1878" s="79">
        <f>IF('Ordenes_Odoo'!H1878="","",'Ordenes_Odoo'!H1878)</f>
        <v/>
      </c>
      <c r="I1878" s="79">
        <f>IF('Ordenes_Odoo'!I1878="","",'Ordenes_Odoo'!I1878)</f>
        <v/>
      </c>
      <c r="J1878" s="79">
        <f>IF('Ordenes_Odoo'!J1878="","",'Ordenes_Odoo'!J1878)</f>
        <v/>
      </c>
      <c r="K1878" s="81">
        <f>IF('Ordenes_Odoo'!K1878="","",'Ordenes_Odoo'!K1878)</f>
        <v/>
      </c>
      <c r="L1878" s="81">
        <f>IF('Ordenes_Odoo'!L1878="","",'Ordenes_Odoo'!L1878)</f>
        <v/>
      </c>
      <c r="M1878" s="79">
        <f>IF('Ordenes_Odoo'!M1878="","",'Ordenes_Odoo'!M1878)</f>
        <v/>
      </c>
      <c r="N1878" s="79">
        <f>IF('Ordenes_Odoo'!N1878="","",'Ordenes_Odoo'!N1878)</f>
        <v/>
      </c>
      <c r="O1878" s="81">
        <f>IF('Ordenes_Odoo'!O1878="","",'Ordenes_Odoo'!O1878)</f>
        <v/>
      </c>
      <c r="P1878" s="81">
        <f>IF('Ordenes_Odoo'!P1878="","",'Ordenes_Odoo'!P1878)</f>
        <v/>
      </c>
      <c r="Q1878" s="79">
        <f>IF(A1878="","",IFERROR(INDEX(Facturas_Odoo!$B:$B, MATCH(A1878, Facturas_Odoo!$D:$D, 0)), "Sin Factura"))</f>
        <v/>
      </c>
      <c r="R1878" s="80">
        <f>IF(Q1878="Sin Factura","",IFERROR(INDEX(Facturas_Odoo!$A:$A, MATCH(Q1878, Facturas_Odoo!$B:$B, 0)), ""))</f>
        <v/>
      </c>
      <c r="S1878" s="79">
        <f>IF(Q1878="Sin Factura","",IFERROR(_xlfn.XLOOKUP(1, (Facturas_Odoo!$D:$D=A1878) * (Facturas_Odoo!$K:$K=I1878), Facturas_Odoo!$L:$L, ""), ""))</f>
        <v/>
      </c>
      <c r="T1878" s="81">
        <f>IF(Q1878="Sin Factura",0,IFERROR(_xlfn.XLOOKUP(1, (Facturas_Odoo!$D:$D=A1878) * (Facturas_Odoo!$K:$K=I1878), Facturas_Odoo!$M:$M, 0), 0))</f>
        <v/>
      </c>
      <c r="U1878" s="79">
        <f>IF(Q1878="Sin Factura",0,IFERROR(_xlfn.XLOOKUP(1, (Facturas_Odoo!$D:$D=A1878) * (Facturas_Odoo!$K:$K=I1878), Facturas_Odoo!$N:$N, 0), 0))</f>
        <v/>
      </c>
      <c r="V1878" s="79">
        <f>IF(Q1878="Sin Factura",0,IFERROR(_xlfn.XLOOKUP(1, (Facturas_Odoo!$D:$D=A1878) * (Facturas_Odoo!$K:$K=I1878), Facturas_Odoo!$O:$O, 0), 0))</f>
        <v/>
      </c>
      <c r="W1878" s="81">
        <f>IF(Q1878="Sin Factura",0,IFERROR(_xlfn.XLOOKUP(1, (Facturas_Odoo!$D:$D=A1878) * (Facturas_Odoo!$K:$K=I1878), Facturas_Odoo!$Q:$Q, 0), 0))</f>
        <v/>
      </c>
      <c r="X1878" s="79">
        <f>IF(OR(Q1878="Sin Factura",Q1878=""),"",IFERROR(INDEX(Pagos_Odoo!$B:$B, MATCH(Q1878, Pagos_Odoo!$I:$I, 0)), "Sin Pago"))</f>
        <v/>
      </c>
      <c r="Y1878" s="79">
        <f>IF(X1878="Sin Pago","",IFERROR(INDEX(Pagos_Odoo!$C:$C, MATCH(X1878, Pagos_Odoo!$B:$B, 0)), ""))</f>
        <v/>
      </c>
      <c r="Z1878" s="80">
        <f>IF(X1878="Sin Pago","",IFERROR(INDEX(Pagos_Odoo!$A:$A, MATCH(X1878, Pagos_Odoo!$B:$B, 0)), ""))</f>
        <v/>
      </c>
      <c r="AA1878" s="79">
        <f>IF(X1878="Sin Pago","",IFERROR(INDEX(Pagos_Odoo!$F:$F, MATCH(X1878, Pagos_Odoo!$B:$B, 0)), ""))</f>
        <v/>
      </c>
      <c r="AB1878" s="81">
        <f>IF(X1878="Sin Pago",0,IFERROR(INDEX(Pagos_Odoo!$E:$E, MATCH(X1878, Pagos_Odoo!$B:$B, 0)), 0))</f>
        <v/>
      </c>
      <c r="AC1878" s="79">
        <f>IF(X1878="Sin Pago","",IFERROR(INDEX(Pagos_Odoo!$G:$G, MATCH(X1878, Pagos_Odoo!$B:$B, 0)), ""))</f>
        <v/>
      </c>
      <c r="AD1878" s="82" t="n">
        <v>0</v>
      </c>
      <c r="AE1878" s="82" t="n"/>
      <c r="AF1878" s="82" t="n"/>
      <c r="AG1878" s="82">
        <f>IF(AN1878="","",AD1878+AE1878+AF1878)</f>
        <v/>
      </c>
      <c r="AH1878" s="81">
        <f>IF(AN1878="","",P1878*(1-AG1878))</f>
        <v/>
      </c>
      <c r="AI1878" s="81">
        <f>IF(AN1878="","",IF(Q1878="Sin Factura",0,IFERROR(INDEX(Facturas_Odoo!$H:$H, MATCH(Q1878, Facturas_Odoo!$B:$B, 0)), 0)*(1-AG1878)))</f>
        <v/>
      </c>
      <c r="AJ1878" s="81">
        <f>IF(AN1878="","",_xlfn.LET(idVenta, AN1878&amp;"",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78" s="81">
        <f>IF(AN1878="","",AH1878-AJ1878)</f>
        <v/>
      </c>
      <c r="AL1878" s="81">
        <f>IF(AN1878="","",IF(Q1878="Sin Factura","",AI1878-AJ1878))</f>
        <v/>
      </c>
      <c r="AM1878" s="81">
        <f>IF(AN1878="","",IF(Q1878="Sin Factura",0,P1878-IFERROR(INDEX(Facturas_Odoo!$H:$H, MATCH(Q1878, Facturas_Odoo!$B:$B, 0)), 0)))</f>
        <v/>
      </c>
      <c r="AN1878" s="79">
        <f>IF(AND(A1878="", J1878=""), "", IF(A1878&lt;&gt;"", VALUE(MID(A1878,2,LEN(A1878))), AN1877))</f>
        <v/>
      </c>
      <c r="AO1878" s="79">
        <f>IF(AN1878="","",IF(AD1878=0,"OK",_xlfn.LET(monedaPago, IF(AA1878="","USD",AA1878), limitePermitido, IFERROR(VLOOKUP(monedaPago, Configuración!$A$2:$B$3, 2, FALSE), 0.15), IF(AD1878&gt;limitePermitido, "ALERTA: EXCESO (" &amp; TEXT(limitePermitido, "0%") &amp; " máx)", "OK"))))</f>
        <v/>
      </c>
      <c r="AP1878" s="79">
        <f>IF(AN1878="","",IF(AE1878=0,"OK",_xlfn.LET(fechaPago, Z1878, fechaFactura, R1878, diasCredito, IF(E1878="Pago inmediato", 0, IFERROR(VALUE(MID(E1878, 1, SEARCH(" ", E1878)-1)),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78" s="79">
        <f>IF(AN1878="","",IF(AND(N1878&gt;0, AG1878&gt;0), IF(Configuración!$K$2="NO", "ALERTA: DESCUENTO DOBLE NO PERMITIDO", "OK"), "OK"))</f>
        <v/>
      </c>
      <c r="AR1878" s="79">
        <f>IF(AN1878="","",IF(OR(AO1878&lt;&gt;"OK", AP1878&lt;&gt;"OK", AQ1878&lt;&gt;"OK"), "⚠️ REVISAR", "OK"))</f>
        <v/>
      </c>
    </row>
    <row r="1879">
      <c r="A1879" s="79">
        <f>IF('Ordenes_Odoo'!A1879="","",'Ordenes_Odoo'!A1879)</f>
        <v/>
      </c>
      <c r="B1879" s="80">
        <f>IF('Ordenes_Odoo'!B1879="","",'Ordenes_Odoo'!B1879)</f>
        <v/>
      </c>
      <c r="C1879" s="79">
        <f>IF('Ordenes_Odoo'!C1879="","",'Ordenes_Odoo'!C1879)</f>
        <v/>
      </c>
      <c r="D1879" s="79">
        <f>IF('Ordenes_Odoo'!D1879="","",'Ordenes_Odoo'!D1879)</f>
        <v/>
      </c>
      <c r="E1879" s="79">
        <f>IF('Ordenes_Odoo'!E1879="","",'Ordenes_Odoo'!E1879)</f>
        <v/>
      </c>
      <c r="F1879" s="79">
        <f>IF('Ordenes_Odoo'!F1879="","",'Ordenes_Odoo'!F1879)</f>
        <v/>
      </c>
      <c r="G1879" s="79">
        <f>IF('Ordenes_Odoo'!G1879="","",'Ordenes_Odoo'!G1879)</f>
        <v/>
      </c>
      <c r="H1879" s="79">
        <f>IF('Ordenes_Odoo'!H1879="","",'Ordenes_Odoo'!H1879)</f>
        <v/>
      </c>
      <c r="I1879" s="79">
        <f>IF('Ordenes_Odoo'!I1879="","",'Ordenes_Odoo'!I1879)</f>
        <v/>
      </c>
      <c r="J1879" s="79">
        <f>IF('Ordenes_Odoo'!J1879="","",'Ordenes_Odoo'!J1879)</f>
        <v/>
      </c>
      <c r="K1879" s="81">
        <f>IF('Ordenes_Odoo'!K1879="","",'Ordenes_Odoo'!K1879)</f>
        <v/>
      </c>
      <c r="L1879" s="81">
        <f>IF('Ordenes_Odoo'!L1879="","",'Ordenes_Odoo'!L1879)</f>
        <v/>
      </c>
      <c r="M1879" s="79">
        <f>IF('Ordenes_Odoo'!M1879="","",'Ordenes_Odoo'!M1879)</f>
        <v/>
      </c>
      <c r="N1879" s="79">
        <f>IF('Ordenes_Odoo'!N1879="","",'Ordenes_Odoo'!N1879)</f>
        <v/>
      </c>
      <c r="O1879" s="81">
        <f>IF('Ordenes_Odoo'!O1879="","",'Ordenes_Odoo'!O1879)</f>
        <v/>
      </c>
      <c r="P1879" s="81">
        <f>IF('Ordenes_Odoo'!P1879="","",'Ordenes_Odoo'!P1879)</f>
        <v/>
      </c>
      <c r="Q1879" s="79">
        <f>IF(A1879="","",IFERROR(INDEX(Facturas_Odoo!$B:$B, MATCH(A1879, Facturas_Odoo!$D:$D, 0)), "Sin Factura"))</f>
        <v/>
      </c>
      <c r="R1879" s="80">
        <f>IF(Q1879="Sin Factura","",IFERROR(INDEX(Facturas_Odoo!$A:$A, MATCH(Q1879, Facturas_Odoo!$B:$B, 0)), ""))</f>
        <v/>
      </c>
      <c r="S1879" s="79">
        <f>IF(Q1879="Sin Factura","",IFERROR(_xlfn.XLOOKUP(1, (Facturas_Odoo!$D:$D=A1879) * (Facturas_Odoo!$K:$K=I1879), Facturas_Odoo!$L:$L, ""), ""))</f>
        <v/>
      </c>
      <c r="T1879" s="81">
        <f>IF(Q1879="Sin Factura",0,IFERROR(_xlfn.XLOOKUP(1, (Facturas_Odoo!$D:$D=A1879) * (Facturas_Odoo!$K:$K=I1879), Facturas_Odoo!$M:$M, 0), 0))</f>
        <v/>
      </c>
      <c r="U1879" s="79">
        <f>IF(Q1879="Sin Factura",0,IFERROR(_xlfn.XLOOKUP(1, (Facturas_Odoo!$D:$D=A1879) * (Facturas_Odoo!$K:$K=I1879), Facturas_Odoo!$N:$N, 0), 0))</f>
        <v/>
      </c>
      <c r="V1879" s="79">
        <f>IF(Q1879="Sin Factura",0,IFERROR(_xlfn.XLOOKUP(1, (Facturas_Odoo!$D:$D=A1879) * (Facturas_Odoo!$K:$K=I1879), Facturas_Odoo!$O:$O, 0), 0))</f>
        <v/>
      </c>
      <c r="W1879" s="81">
        <f>IF(Q1879="Sin Factura",0,IFERROR(_xlfn.XLOOKUP(1, (Facturas_Odoo!$D:$D=A1879) * (Facturas_Odoo!$K:$K=I1879), Facturas_Odoo!$Q:$Q, 0), 0))</f>
        <v/>
      </c>
      <c r="X1879" s="79">
        <f>IF(OR(Q1879="Sin Factura",Q1879=""),"",IFERROR(INDEX(Pagos_Odoo!$B:$B, MATCH(Q1879, Pagos_Odoo!$I:$I, 0)), "Sin Pago"))</f>
        <v/>
      </c>
      <c r="Y1879" s="79">
        <f>IF(X1879="Sin Pago","",IFERROR(INDEX(Pagos_Odoo!$C:$C, MATCH(X1879, Pagos_Odoo!$B:$B, 0)), ""))</f>
        <v/>
      </c>
      <c r="Z1879" s="80">
        <f>IF(X1879="Sin Pago","",IFERROR(INDEX(Pagos_Odoo!$A:$A, MATCH(X1879, Pagos_Odoo!$B:$B, 0)), ""))</f>
        <v/>
      </c>
      <c r="AA1879" s="79">
        <f>IF(X1879="Sin Pago","",IFERROR(INDEX(Pagos_Odoo!$F:$F, MATCH(X1879, Pagos_Odoo!$B:$B, 0)), ""))</f>
        <v/>
      </c>
      <c r="AB1879" s="81">
        <f>IF(X1879="Sin Pago",0,IFERROR(INDEX(Pagos_Odoo!$E:$E, MATCH(X1879, Pagos_Odoo!$B:$B, 0)), 0))</f>
        <v/>
      </c>
      <c r="AC1879" s="79">
        <f>IF(X1879="Sin Pago","",IFERROR(INDEX(Pagos_Odoo!$G:$G, MATCH(X1879, Pagos_Odoo!$B:$B, 0)), ""))</f>
        <v/>
      </c>
      <c r="AD1879" s="82" t="n">
        <v>0</v>
      </c>
      <c r="AE1879" s="82" t="n"/>
      <c r="AF1879" s="82" t="n"/>
      <c r="AG1879" s="82">
        <f>IF(AN1879="","",AD1879+AE1879+AF1879)</f>
        <v/>
      </c>
      <c r="AH1879" s="81">
        <f>IF(AN1879="","",P1879*(1-AG1879))</f>
        <v/>
      </c>
      <c r="AI1879" s="81">
        <f>IF(AN1879="","",IF(Q1879="Sin Factura",0,IFERROR(INDEX(Facturas_Odoo!$H:$H, MATCH(Q1879, Facturas_Odoo!$B:$B, 0)), 0)*(1-AG1879)))</f>
        <v/>
      </c>
      <c r="AJ1879" s="81">
        <f>IF(AN1879="","",_xlfn.LET(idVenta, AN1879&amp;"",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79" s="81">
        <f>IF(AN1879="","",AH1879-AJ1879)</f>
        <v/>
      </c>
      <c r="AL1879" s="81">
        <f>IF(AN1879="","",IF(Q1879="Sin Factura","",AI1879-AJ1879))</f>
        <v/>
      </c>
      <c r="AM1879" s="81">
        <f>IF(AN1879="","",IF(Q1879="Sin Factura",0,P1879-IFERROR(INDEX(Facturas_Odoo!$H:$H, MATCH(Q1879, Facturas_Odoo!$B:$B, 0)), 0)))</f>
        <v/>
      </c>
      <c r="AN1879" s="79">
        <f>IF(AND(A1879="", J1879=""), "", IF(A1879&lt;&gt;"", VALUE(MID(A1879,2,LEN(A1879))), AN1878))</f>
        <v/>
      </c>
      <c r="AO1879" s="79">
        <f>IF(AN1879="","",IF(AD1879=0,"OK",_xlfn.LET(monedaPago, IF(AA1879="","USD",AA1879), limitePermitido, IFERROR(VLOOKUP(monedaPago, Configuración!$A$2:$B$3, 2, FALSE), 0.15), IF(AD1879&gt;limitePermitido, "ALERTA: EXCESO (" &amp; TEXT(limitePermitido, "0%") &amp; " máx)", "OK"))))</f>
        <v/>
      </c>
      <c r="AP1879" s="79">
        <f>IF(AN1879="","",IF(AE1879=0,"OK",_xlfn.LET(fechaPago, Z1879, fechaFactura, R1879, diasCredito, IF(E1879="Pago inmediato", 0, IFERROR(VALUE(MID(E1879, 1, SEARCH(" ", E1879)-1)),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79" s="79">
        <f>IF(AN1879="","",IF(AND(N1879&gt;0, AG1879&gt;0), IF(Configuración!$K$2="NO", "ALERTA: DESCUENTO DOBLE NO PERMITIDO", "OK"), "OK"))</f>
        <v/>
      </c>
      <c r="AR1879" s="79">
        <f>IF(AN1879="","",IF(OR(AO1879&lt;&gt;"OK", AP1879&lt;&gt;"OK", AQ1879&lt;&gt;"OK"), "⚠️ REVISAR", "OK"))</f>
        <v/>
      </c>
    </row>
    <row r="1880">
      <c r="A1880" s="79">
        <f>IF('Ordenes_Odoo'!A1880="","",'Ordenes_Odoo'!A1880)</f>
        <v/>
      </c>
      <c r="B1880" s="80">
        <f>IF('Ordenes_Odoo'!B1880="","",'Ordenes_Odoo'!B1880)</f>
        <v/>
      </c>
      <c r="C1880" s="79">
        <f>IF('Ordenes_Odoo'!C1880="","",'Ordenes_Odoo'!C1880)</f>
        <v/>
      </c>
      <c r="D1880" s="79">
        <f>IF('Ordenes_Odoo'!D1880="","",'Ordenes_Odoo'!D1880)</f>
        <v/>
      </c>
      <c r="E1880" s="79">
        <f>IF('Ordenes_Odoo'!E1880="","",'Ordenes_Odoo'!E1880)</f>
        <v/>
      </c>
      <c r="F1880" s="79">
        <f>IF('Ordenes_Odoo'!F1880="","",'Ordenes_Odoo'!F1880)</f>
        <v/>
      </c>
      <c r="G1880" s="79">
        <f>IF('Ordenes_Odoo'!G1880="","",'Ordenes_Odoo'!G1880)</f>
        <v/>
      </c>
      <c r="H1880" s="79">
        <f>IF('Ordenes_Odoo'!H1880="","",'Ordenes_Odoo'!H1880)</f>
        <v/>
      </c>
      <c r="I1880" s="79">
        <f>IF('Ordenes_Odoo'!I1880="","",'Ordenes_Odoo'!I1880)</f>
        <v/>
      </c>
      <c r="J1880" s="79">
        <f>IF('Ordenes_Odoo'!J1880="","",'Ordenes_Odoo'!J1880)</f>
        <v/>
      </c>
      <c r="K1880" s="81">
        <f>IF('Ordenes_Odoo'!K1880="","",'Ordenes_Odoo'!K1880)</f>
        <v/>
      </c>
      <c r="L1880" s="81">
        <f>IF('Ordenes_Odoo'!L1880="","",'Ordenes_Odoo'!L1880)</f>
        <v/>
      </c>
      <c r="M1880" s="79">
        <f>IF('Ordenes_Odoo'!M1880="","",'Ordenes_Odoo'!M1880)</f>
        <v/>
      </c>
      <c r="N1880" s="79">
        <f>IF('Ordenes_Odoo'!N1880="","",'Ordenes_Odoo'!N1880)</f>
        <v/>
      </c>
      <c r="O1880" s="81">
        <f>IF('Ordenes_Odoo'!O1880="","",'Ordenes_Odoo'!O1880)</f>
        <v/>
      </c>
      <c r="P1880" s="81">
        <f>IF('Ordenes_Odoo'!P1880="","",'Ordenes_Odoo'!P1880)</f>
        <v/>
      </c>
      <c r="Q1880" s="79">
        <f>IF(A1880="","",IFERROR(INDEX(Facturas_Odoo!$B:$B, MATCH(A1880, Facturas_Odoo!$D:$D, 0)), "Sin Factura"))</f>
        <v/>
      </c>
      <c r="R1880" s="80">
        <f>IF(Q1880="Sin Factura","",IFERROR(INDEX(Facturas_Odoo!$A:$A, MATCH(Q1880, Facturas_Odoo!$B:$B, 0)), ""))</f>
        <v/>
      </c>
      <c r="S1880" s="79">
        <f>IF(Q1880="Sin Factura","",IFERROR(_xlfn.XLOOKUP(1, (Facturas_Odoo!$D:$D=A1880) * (Facturas_Odoo!$K:$K=I1880), Facturas_Odoo!$L:$L, ""), ""))</f>
        <v/>
      </c>
      <c r="T1880" s="81">
        <f>IF(Q1880="Sin Factura",0,IFERROR(_xlfn.XLOOKUP(1, (Facturas_Odoo!$D:$D=A1880) * (Facturas_Odoo!$K:$K=I1880), Facturas_Odoo!$M:$M, 0), 0))</f>
        <v/>
      </c>
      <c r="U1880" s="79">
        <f>IF(Q1880="Sin Factura",0,IFERROR(_xlfn.XLOOKUP(1, (Facturas_Odoo!$D:$D=A1880) * (Facturas_Odoo!$K:$K=I1880), Facturas_Odoo!$N:$N, 0), 0))</f>
        <v/>
      </c>
      <c r="V1880" s="79">
        <f>IF(Q1880="Sin Factura",0,IFERROR(_xlfn.XLOOKUP(1, (Facturas_Odoo!$D:$D=A1880) * (Facturas_Odoo!$K:$K=I1880), Facturas_Odoo!$O:$O, 0), 0))</f>
        <v/>
      </c>
      <c r="W1880" s="81">
        <f>IF(Q1880="Sin Factura",0,IFERROR(_xlfn.XLOOKUP(1, (Facturas_Odoo!$D:$D=A1880) * (Facturas_Odoo!$K:$K=I1880), Facturas_Odoo!$Q:$Q, 0), 0))</f>
        <v/>
      </c>
      <c r="X1880" s="79">
        <f>IF(OR(Q1880="Sin Factura",Q1880=""),"",IFERROR(INDEX(Pagos_Odoo!$B:$B, MATCH(Q1880, Pagos_Odoo!$I:$I, 0)), "Sin Pago"))</f>
        <v/>
      </c>
      <c r="Y1880" s="79">
        <f>IF(X1880="Sin Pago","",IFERROR(INDEX(Pagos_Odoo!$C:$C, MATCH(X1880, Pagos_Odoo!$B:$B, 0)), ""))</f>
        <v/>
      </c>
      <c r="Z1880" s="80">
        <f>IF(X1880="Sin Pago","",IFERROR(INDEX(Pagos_Odoo!$A:$A, MATCH(X1880, Pagos_Odoo!$B:$B, 0)), ""))</f>
        <v/>
      </c>
      <c r="AA1880" s="79">
        <f>IF(X1880="Sin Pago","",IFERROR(INDEX(Pagos_Odoo!$F:$F, MATCH(X1880, Pagos_Odoo!$B:$B, 0)), ""))</f>
        <v/>
      </c>
      <c r="AB1880" s="81">
        <f>IF(X1880="Sin Pago",0,IFERROR(INDEX(Pagos_Odoo!$E:$E, MATCH(X1880, Pagos_Odoo!$B:$B, 0)), 0))</f>
        <v/>
      </c>
      <c r="AC1880" s="79">
        <f>IF(X1880="Sin Pago","",IFERROR(INDEX(Pagos_Odoo!$G:$G, MATCH(X1880, Pagos_Odoo!$B:$B, 0)), ""))</f>
        <v/>
      </c>
      <c r="AD1880" s="82" t="n">
        <v>0</v>
      </c>
      <c r="AE1880" s="82" t="n"/>
      <c r="AF1880" s="82" t="n"/>
      <c r="AG1880" s="82">
        <f>IF(AN1880="","",AD1880+AE1880+AF1880)</f>
        <v/>
      </c>
      <c r="AH1880" s="81">
        <f>IF(AN1880="","",P1880*(1-AG1880))</f>
        <v/>
      </c>
      <c r="AI1880" s="81">
        <f>IF(AN1880="","",IF(Q1880="Sin Factura",0,IFERROR(INDEX(Facturas_Odoo!$H:$H, MATCH(Q1880, Facturas_Odoo!$B:$B, 0)), 0)*(1-AG1880)))</f>
        <v/>
      </c>
      <c r="AJ1880" s="81">
        <f>IF(AN1880="","",_xlfn.LET(idVenta, AN1880&amp;"",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80" s="81">
        <f>IF(AN1880="","",AH1880-AJ1880)</f>
        <v/>
      </c>
      <c r="AL1880" s="81">
        <f>IF(AN1880="","",IF(Q1880="Sin Factura","",AI1880-AJ1880))</f>
        <v/>
      </c>
      <c r="AM1880" s="81">
        <f>IF(AN1880="","",IF(Q1880="Sin Factura",0,P1880-IFERROR(INDEX(Facturas_Odoo!$H:$H, MATCH(Q1880, Facturas_Odoo!$B:$B, 0)), 0)))</f>
        <v/>
      </c>
      <c r="AN1880" s="79">
        <f>IF(AND(A1880="", J1880=""), "", IF(A1880&lt;&gt;"", VALUE(MID(A1880,2,LEN(A1880))), AN1879))</f>
        <v/>
      </c>
      <c r="AO1880" s="79">
        <f>IF(AN1880="","",IF(AD1880=0,"OK",_xlfn.LET(monedaPago, IF(AA1880="","USD",AA1880), limitePermitido, IFERROR(VLOOKUP(monedaPago, Configuración!$A$2:$B$3, 2, FALSE), 0.15), IF(AD1880&gt;limitePermitido, "ALERTA: EXCESO (" &amp; TEXT(limitePermitido, "0%") &amp; " máx)", "OK"))))</f>
        <v/>
      </c>
      <c r="AP1880" s="79">
        <f>IF(AN1880="","",IF(AE1880=0,"OK",_xlfn.LET(fechaPago, Z1880, fechaFactura, R1880, diasCredito, IF(E1880="Pago inmediato", 0, IFERROR(VALUE(MID(E1880, 1, SEARCH(" ", E1880)-1)),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80" s="79">
        <f>IF(AN1880="","",IF(AND(N1880&gt;0, AG1880&gt;0), IF(Configuración!$K$2="NO", "ALERTA: DESCUENTO DOBLE NO PERMITIDO", "OK"), "OK"))</f>
        <v/>
      </c>
      <c r="AR1880" s="79">
        <f>IF(AN1880="","",IF(OR(AO1880&lt;&gt;"OK", AP1880&lt;&gt;"OK", AQ1880&lt;&gt;"OK"), "⚠️ REVISAR", "OK"))</f>
        <v/>
      </c>
    </row>
    <row r="1881">
      <c r="A1881" s="79">
        <f>IF('Ordenes_Odoo'!A1881="","",'Ordenes_Odoo'!A1881)</f>
        <v/>
      </c>
      <c r="B1881" s="80">
        <f>IF('Ordenes_Odoo'!B1881="","",'Ordenes_Odoo'!B1881)</f>
        <v/>
      </c>
      <c r="C1881" s="79">
        <f>IF('Ordenes_Odoo'!C1881="","",'Ordenes_Odoo'!C1881)</f>
        <v/>
      </c>
      <c r="D1881" s="79">
        <f>IF('Ordenes_Odoo'!D1881="","",'Ordenes_Odoo'!D1881)</f>
        <v/>
      </c>
      <c r="E1881" s="79">
        <f>IF('Ordenes_Odoo'!E1881="","",'Ordenes_Odoo'!E1881)</f>
        <v/>
      </c>
      <c r="F1881" s="79">
        <f>IF('Ordenes_Odoo'!F1881="","",'Ordenes_Odoo'!F1881)</f>
        <v/>
      </c>
      <c r="G1881" s="79">
        <f>IF('Ordenes_Odoo'!G1881="","",'Ordenes_Odoo'!G1881)</f>
        <v/>
      </c>
      <c r="H1881" s="79">
        <f>IF('Ordenes_Odoo'!H1881="","",'Ordenes_Odoo'!H1881)</f>
        <v/>
      </c>
      <c r="I1881" s="79">
        <f>IF('Ordenes_Odoo'!I1881="","",'Ordenes_Odoo'!I1881)</f>
        <v/>
      </c>
      <c r="J1881" s="79">
        <f>IF('Ordenes_Odoo'!J1881="","",'Ordenes_Odoo'!J1881)</f>
        <v/>
      </c>
      <c r="K1881" s="81">
        <f>IF('Ordenes_Odoo'!K1881="","",'Ordenes_Odoo'!K1881)</f>
        <v/>
      </c>
      <c r="L1881" s="81">
        <f>IF('Ordenes_Odoo'!L1881="","",'Ordenes_Odoo'!L1881)</f>
        <v/>
      </c>
      <c r="M1881" s="79">
        <f>IF('Ordenes_Odoo'!M1881="","",'Ordenes_Odoo'!M1881)</f>
        <v/>
      </c>
      <c r="N1881" s="79">
        <f>IF('Ordenes_Odoo'!N1881="","",'Ordenes_Odoo'!N1881)</f>
        <v/>
      </c>
      <c r="O1881" s="81">
        <f>IF('Ordenes_Odoo'!O1881="","",'Ordenes_Odoo'!O1881)</f>
        <v/>
      </c>
      <c r="P1881" s="81">
        <f>IF('Ordenes_Odoo'!P1881="","",'Ordenes_Odoo'!P1881)</f>
        <v/>
      </c>
      <c r="Q1881" s="79">
        <f>IF(A1881="","",IFERROR(INDEX(Facturas_Odoo!$B:$B, MATCH(A1881, Facturas_Odoo!$D:$D, 0)), "Sin Factura"))</f>
        <v/>
      </c>
      <c r="R1881" s="80">
        <f>IF(Q1881="Sin Factura","",IFERROR(INDEX(Facturas_Odoo!$A:$A, MATCH(Q1881, Facturas_Odoo!$B:$B, 0)), ""))</f>
        <v/>
      </c>
      <c r="S1881" s="79">
        <f>IF(Q1881="Sin Factura","",IFERROR(_xlfn.XLOOKUP(1, (Facturas_Odoo!$D:$D=A1881) * (Facturas_Odoo!$K:$K=I1881), Facturas_Odoo!$L:$L, ""), ""))</f>
        <v/>
      </c>
      <c r="T1881" s="81">
        <f>IF(Q1881="Sin Factura",0,IFERROR(_xlfn.XLOOKUP(1, (Facturas_Odoo!$D:$D=A1881) * (Facturas_Odoo!$K:$K=I1881), Facturas_Odoo!$M:$M, 0), 0))</f>
        <v/>
      </c>
      <c r="U1881" s="79">
        <f>IF(Q1881="Sin Factura",0,IFERROR(_xlfn.XLOOKUP(1, (Facturas_Odoo!$D:$D=A1881) * (Facturas_Odoo!$K:$K=I1881), Facturas_Odoo!$N:$N, 0), 0))</f>
        <v/>
      </c>
      <c r="V1881" s="79">
        <f>IF(Q1881="Sin Factura",0,IFERROR(_xlfn.XLOOKUP(1, (Facturas_Odoo!$D:$D=A1881) * (Facturas_Odoo!$K:$K=I1881), Facturas_Odoo!$O:$O, 0), 0))</f>
        <v/>
      </c>
      <c r="W1881" s="81">
        <f>IF(Q1881="Sin Factura",0,IFERROR(_xlfn.XLOOKUP(1, (Facturas_Odoo!$D:$D=A1881) * (Facturas_Odoo!$K:$K=I1881), Facturas_Odoo!$Q:$Q, 0), 0))</f>
        <v/>
      </c>
      <c r="X1881" s="79">
        <f>IF(OR(Q1881="Sin Factura",Q1881=""),"",IFERROR(INDEX(Pagos_Odoo!$B:$B, MATCH(Q1881, Pagos_Odoo!$I:$I, 0)), "Sin Pago"))</f>
        <v/>
      </c>
      <c r="Y1881" s="79">
        <f>IF(X1881="Sin Pago","",IFERROR(INDEX(Pagos_Odoo!$C:$C, MATCH(X1881, Pagos_Odoo!$B:$B, 0)), ""))</f>
        <v/>
      </c>
      <c r="Z1881" s="80">
        <f>IF(X1881="Sin Pago","",IFERROR(INDEX(Pagos_Odoo!$A:$A, MATCH(X1881, Pagos_Odoo!$B:$B, 0)), ""))</f>
        <v/>
      </c>
      <c r="AA1881" s="79">
        <f>IF(X1881="Sin Pago","",IFERROR(INDEX(Pagos_Odoo!$F:$F, MATCH(X1881, Pagos_Odoo!$B:$B, 0)), ""))</f>
        <v/>
      </c>
      <c r="AB1881" s="81">
        <f>IF(X1881="Sin Pago",0,IFERROR(INDEX(Pagos_Odoo!$E:$E, MATCH(X1881, Pagos_Odoo!$B:$B, 0)), 0))</f>
        <v/>
      </c>
      <c r="AC1881" s="79">
        <f>IF(X1881="Sin Pago","",IFERROR(INDEX(Pagos_Odoo!$G:$G, MATCH(X1881, Pagos_Odoo!$B:$B, 0)), ""))</f>
        <v/>
      </c>
      <c r="AD1881" s="82" t="n">
        <v>0</v>
      </c>
      <c r="AE1881" s="82" t="n"/>
      <c r="AF1881" s="82" t="n"/>
      <c r="AG1881" s="82">
        <f>IF(AN1881="","",AD1881+AE1881+AF1881)</f>
        <v/>
      </c>
      <c r="AH1881" s="81">
        <f>IF(AN1881="","",P1881*(1-AG1881))</f>
        <v/>
      </c>
      <c r="AI1881" s="81">
        <f>IF(AN1881="","",IF(Q1881="Sin Factura",0,IFERROR(INDEX(Facturas_Odoo!$H:$H, MATCH(Q1881, Facturas_Odoo!$B:$B, 0)), 0)*(1-AG1881)))</f>
        <v/>
      </c>
      <c r="AJ1881" s="81">
        <f>IF(AN1881="","",_xlfn.LET(idVenta, AN1881&amp;"",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81" s="81">
        <f>IF(AN1881="","",AH1881-AJ1881)</f>
        <v/>
      </c>
      <c r="AL1881" s="81">
        <f>IF(AN1881="","",IF(Q1881="Sin Factura","",AI1881-AJ1881))</f>
        <v/>
      </c>
      <c r="AM1881" s="81">
        <f>IF(AN1881="","",IF(Q1881="Sin Factura",0,P1881-IFERROR(INDEX(Facturas_Odoo!$H:$H, MATCH(Q1881, Facturas_Odoo!$B:$B, 0)), 0)))</f>
        <v/>
      </c>
      <c r="AN1881" s="79">
        <f>IF(AND(A1881="", J1881=""), "", IF(A1881&lt;&gt;"", VALUE(MID(A1881,2,LEN(A1881))), AN1880))</f>
        <v/>
      </c>
      <c r="AO1881" s="79">
        <f>IF(AN1881="","",IF(AD1881=0,"OK",_xlfn.LET(monedaPago, IF(AA1881="","USD",AA1881), limitePermitido, IFERROR(VLOOKUP(monedaPago, Configuración!$A$2:$B$3, 2, FALSE), 0.15), IF(AD1881&gt;limitePermitido, "ALERTA: EXCESO (" &amp; TEXT(limitePermitido, "0%") &amp; " máx)", "OK"))))</f>
        <v/>
      </c>
      <c r="AP1881" s="79">
        <f>IF(AN1881="","",IF(AE1881=0,"OK",_xlfn.LET(fechaPago, Z1881, fechaFactura, R1881, diasCredito, IF(E1881="Pago inmediato", 0, IFERROR(VALUE(MID(E1881, 1, SEARCH(" ", E1881)-1)),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81" s="79">
        <f>IF(AN1881="","",IF(AND(N1881&gt;0, AG1881&gt;0), IF(Configuración!$K$2="NO", "ALERTA: DESCUENTO DOBLE NO PERMITIDO", "OK"), "OK"))</f>
        <v/>
      </c>
      <c r="AR1881" s="79">
        <f>IF(AN1881="","",IF(OR(AO1881&lt;&gt;"OK", AP1881&lt;&gt;"OK", AQ1881&lt;&gt;"OK"), "⚠️ REVISAR", "OK"))</f>
        <v/>
      </c>
    </row>
    <row r="1882">
      <c r="A1882" s="79">
        <f>IF('Ordenes_Odoo'!A1882="","",'Ordenes_Odoo'!A1882)</f>
        <v/>
      </c>
      <c r="B1882" s="80">
        <f>IF('Ordenes_Odoo'!B1882="","",'Ordenes_Odoo'!B1882)</f>
        <v/>
      </c>
      <c r="C1882" s="79">
        <f>IF('Ordenes_Odoo'!C1882="","",'Ordenes_Odoo'!C1882)</f>
        <v/>
      </c>
      <c r="D1882" s="79">
        <f>IF('Ordenes_Odoo'!D1882="","",'Ordenes_Odoo'!D1882)</f>
        <v/>
      </c>
      <c r="E1882" s="79">
        <f>IF('Ordenes_Odoo'!E1882="","",'Ordenes_Odoo'!E1882)</f>
        <v/>
      </c>
      <c r="F1882" s="79">
        <f>IF('Ordenes_Odoo'!F1882="","",'Ordenes_Odoo'!F1882)</f>
        <v/>
      </c>
      <c r="G1882" s="79">
        <f>IF('Ordenes_Odoo'!G1882="","",'Ordenes_Odoo'!G1882)</f>
        <v/>
      </c>
      <c r="H1882" s="79">
        <f>IF('Ordenes_Odoo'!H1882="","",'Ordenes_Odoo'!H1882)</f>
        <v/>
      </c>
      <c r="I1882" s="79">
        <f>IF('Ordenes_Odoo'!I1882="","",'Ordenes_Odoo'!I1882)</f>
        <v/>
      </c>
      <c r="J1882" s="79">
        <f>IF('Ordenes_Odoo'!J1882="","",'Ordenes_Odoo'!J1882)</f>
        <v/>
      </c>
      <c r="K1882" s="81">
        <f>IF('Ordenes_Odoo'!K1882="","",'Ordenes_Odoo'!K1882)</f>
        <v/>
      </c>
      <c r="L1882" s="81">
        <f>IF('Ordenes_Odoo'!L1882="","",'Ordenes_Odoo'!L1882)</f>
        <v/>
      </c>
      <c r="M1882" s="79">
        <f>IF('Ordenes_Odoo'!M1882="","",'Ordenes_Odoo'!M1882)</f>
        <v/>
      </c>
      <c r="N1882" s="79">
        <f>IF('Ordenes_Odoo'!N1882="","",'Ordenes_Odoo'!N1882)</f>
        <v/>
      </c>
      <c r="O1882" s="81">
        <f>IF('Ordenes_Odoo'!O1882="","",'Ordenes_Odoo'!O1882)</f>
        <v/>
      </c>
      <c r="P1882" s="81">
        <f>IF('Ordenes_Odoo'!P1882="","",'Ordenes_Odoo'!P1882)</f>
        <v/>
      </c>
      <c r="Q1882" s="79">
        <f>IF(A1882="","",IFERROR(INDEX(Facturas_Odoo!$B:$B, MATCH(A1882, Facturas_Odoo!$D:$D, 0)), "Sin Factura"))</f>
        <v/>
      </c>
      <c r="R1882" s="80">
        <f>IF(Q1882="Sin Factura","",IFERROR(INDEX(Facturas_Odoo!$A:$A, MATCH(Q1882, Facturas_Odoo!$B:$B, 0)), ""))</f>
        <v/>
      </c>
      <c r="S1882" s="79">
        <f>IF(Q1882="Sin Factura","",IFERROR(_xlfn.XLOOKUP(1, (Facturas_Odoo!$D:$D=A1882) * (Facturas_Odoo!$K:$K=I1882), Facturas_Odoo!$L:$L, ""), ""))</f>
        <v/>
      </c>
      <c r="T1882" s="81">
        <f>IF(Q1882="Sin Factura",0,IFERROR(_xlfn.XLOOKUP(1, (Facturas_Odoo!$D:$D=A1882) * (Facturas_Odoo!$K:$K=I1882), Facturas_Odoo!$M:$M, 0), 0))</f>
        <v/>
      </c>
      <c r="U1882" s="79">
        <f>IF(Q1882="Sin Factura",0,IFERROR(_xlfn.XLOOKUP(1, (Facturas_Odoo!$D:$D=A1882) * (Facturas_Odoo!$K:$K=I1882), Facturas_Odoo!$N:$N, 0), 0))</f>
        <v/>
      </c>
      <c r="V1882" s="79">
        <f>IF(Q1882="Sin Factura",0,IFERROR(_xlfn.XLOOKUP(1, (Facturas_Odoo!$D:$D=A1882) * (Facturas_Odoo!$K:$K=I1882), Facturas_Odoo!$O:$O, 0), 0))</f>
        <v/>
      </c>
      <c r="W1882" s="81">
        <f>IF(Q1882="Sin Factura",0,IFERROR(_xlfn.XLOOKUP(1, (Facturas_Odoo!$D:$D=A1882) * (Facturas_Odoo!$K:$K=I1882), Facturas_Odoo!$Q:$Q, 0), 0))</f>
        <v/>
      </c>
      <c r="X1882" s="79">
        <f>IF(OR(Q1882="Sin Factura",Q1882=""),"",IFERROR(INDEX(Pagos_Odoo!$B:$B, MATCH(Q1882, Pagos_Odoo!$I:$I, 0)), "Sin Pago"))</f>
        <v/>
      </c>
      <c r="Y1882" s="79">
        <f>IF(X1882="Sin Pago","",IFERROR(INDEX(Pagos_Odoo!$C:$C, MATCH(X1882, Pagos_Odoo!$B:$B, 0)), ""))</f>
        <v/>
      </c>
      <c r="Z1882" s="80">
        <f>IF(X1882="Sin Pago","",IFERROR(INDEX(Pagos_Odoo!$A:$A, MATCH(X1882, Pagos_Odoo!$B:$B, 0)), ""))</f>
        <v/>
      </c>
      <c r="AA1882" s="79">
        <f>IF(X1882="Sin Pago","",IFERROR(INDEX(Pagos_Odoo!$F:$F, MATCH(X1882, Pagos_Odoo!$B:$B, 0)), ""))</f>
        <v/>
      </c>
      <c r="AB1882" s="81">
        <f>IF(X1882="Sin Pago",0,IFERROR(INDEX(Pagos_Odoo!$E:$E, MATCH(X1882, Pagos_Odoo!$B:$B, 0)), 0))</f>
        <v/>
      </c>
      <c r="AC1882" s="79">
        <f>IF(X1882="Sin Pago","",IFERROR(INDEX(Pagos_Odoo!$G:$G, MATCH(X1882, Pagos_Odoo!$B:$B, 0)), ""))</f>
        <v/>
      </c>
      <c r="AD1882" s="82" t="n">
        <v>0</v>
      </c>
      <c r="AE1882" s="82" t="n"/>
      <c r="AF1882" s="82" t="n"/>
      <c r="AG1882" s="82">
        <f>IF(AN1882="","",AD1882+AE1882+AF1882)</f>
        <v/>
      </c>
      <c r="AH1882" s="81">
        <f>IF(AN1882="","",P1882*(1-AG1882))</f>
        <v/>
      </c>
      <c r="AI1882" s="81">
        <f>IF(AN1882="","",IF(Q1882="Sin Factura",0,IFERROR(INDEX(Facturas_Odoo!$H:$H, MATCH(Q1882, Facturas_Odoo!$B:$B, 0)), 0)*(1-AG1882)))</f>
        <v/>
      </c>
      <c r="AJ1882" s="81">
        <f>IF(AN1882="","",_xlfn.LET(idVenta, AN1882&amp;"",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82" s="81">
        <f>IF(AN1882="","",AH1882-AJ1882)</f>
        <v/>
      </c>
      <c r="AL1882" s="81">
        <f>IF(AN1882="","",IF(Q1882="Sin Factura","",AI1882-AJ1882))</f>
        <v/>
      </c>
      <c r="AM1882" s="81">
        <f>IF(AN1882="","",IF(Q1882="Sin Factura",0,P1882-IFERROR(INDEX(Facturas_Odoo!$H:$H, MATCH(Q1882, Facturas_Odoo!$B:$B, 0)), 0)))</f>
        <v/>
      </c>
      <c r="AN1882" s="79">
        <f>IF(AND(A1882="", J1882=""), "", IF(A1882&lt;&gt;"", VALUE(MID(A1882,2,LEN(A1882))), AN1881))</f>
        <v/>
      </c>
      <c r="AO1882" s="79">
        <f>IF(AN1882="","",IF(AD1882=0,"OK",_xlfn.LET(monedaPago, IF(AA1882="","USD",AA1882), limitePermitido, IFERROR(VLOOKUP(monedaPago, Configuración!$A$2:$B$3, 2, FALSE), 0.15), IF(AD1882&gt;limitePermitido, "ALERTA: EXCESO (" &amp; TEXT(limitePermitido, "0%") &amp; " máx)", "OK"))))</f>
        <v/>
      </c>
      <c r="AP1882" s="79">
        <f>IF(AN1882="","",IF(AE1882=0,"OK",_xlfn.LET(fechaPago, Z1882, fechaFactura, R1882, diasCredito, IF(E1882="Pago inmediato", 0, IFERROR(VALUE(MID(E1882, 1, SEARCH(" ", E1882)-1)),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82" s="79">
        <f>IF(AN1882="","",IF(AND(N1882&gt;0, AG1882&gt;0), IF(Configuración!$K$2="NO", "ALERTA: DESCUENTO DOBLE NO PERMITIDO", "OK"), "OK"))</f>
        <v/>
      </c>
      <c r="AR1882" s="79">
        <f>IF(AN1882="","",IF(OR(AO1882&lt;&gt;"OK", AP1882&lt;&gt;"OK", AQ1882&lt;&gt;"OK"), "⚠️ REVISAR", "OK"))</f>
        <v/>
      </c>
    </row>
    <row r="1883">
      <c r="A1883" s="79">
        <f>IF('Ordenes_Odoo'!A1883="","",'Ordenes_Odoo'!A1883)</f>
        <v/>
      </c>
      <c r="B1883" s="80">
        <f>IF('Ordenes_Odoo'!B1883="","",'Ordenes_Odoo'!B1883)</f>
        <v/>
      </c>
      <c r="C1883" s="79">
        <f>IF('Ordenes_Odoo'!C1883="","",'Ordenes_Odoo'!C1883)</f>
        <v/>
      </c>
      <c r="D1883" s="79">
        <f>IF('Ordenes_Odoo'!D1883="","",'Ordenes_Odoo'!D1883)</f>
        <v/>
      </c>
      <c r="E1883" s="79">
        <f>IF('Ordenes_Odoo'!E1883="","",'Ordenes_Odoo'!E1883)</f>
        <v/>
      </c>
      <c r="F1883" s="79">
        <f>IF('Ordenes_Odoo'!F1883="","",'Ordenes_Odoo'!F1883)</f>
        <v/>
      </c>
      <c r="G1883" s="79">
        <f>IF('Ordenes_Odoo'!G1883="","",'Ordenes_Odoo'!G1883)</f>
        <v/>
      </c>
      <c r="H1883" s="79">
        <f>IF('Ordenes_Odoo'!H1883="","",'Ordenes_Odoo'!H1883)</f>
        <v/>
      </c>
      <c r="I1883" s="79">
        <f>IF('Ordenes_Odoo'!I1883="","",'Ordenes_Odoo'!I1883)</f>
        <v/>
      </c>
      <c r="J1883" s="79">
        <f>IF('Ordenes_Odoo'!J1883="","",'Ordenes_Odoo'!J1883)</f>
        <v/>
      </c>
      <c r="K1883" s="81">
        <f>IF('Ordenes_Odoo'!K1883="","",'Ordenes_Odoo'!K1883)</f>
        <v/>
      </c>
      <c r="L1883" s="81">
        <f>IF('Ordenes_Odoo'!L1883="","",'Ordenes_Odoo'!L1883)</f>
        <v/>
      </c>
      <c r="M1883" s="79">
        <f>IF('Ordenes_Odoo'!M1883="","",'Ordenes_Odoo'!M1883)</f>
        <v/>
      </c>
      <c r="N1883" s="79">
        <f>IF('Ordenes_Odoo'!N1883="","",'Ordenes_Odoo'!N1883)</f>
        <v/>
      </c>
      <c r="O1883" s="81">
        <f>IF('Ordenes_Odoo'!O1883="","",'Ordenes_Odoo'!O1883)</f>
        <v/>
      </c>
      <c r="P1883" s="81">
        <f>IF('Ordenes_Odoo'!P1883="","",'Ordenes_Odoo'!P1883)</f>
        <v/>
      </c>
      <c r="Q1883" s="79">
        <f>IF(A1883="","",IFERROR(INDEX(Facturas_Odoo!$B:$B, MATCH(A1883, Facturas_Odoo!$D:$D, 0)), "Sin Factura"))</f>
        <v/>
      </c>
      <c r="R1883" s="80">
        <f>IF(Q1883="Sin Factura","",IFERROR(INDEX(Facturas_Odoo!$A:$A, MATCH(Q1883, Facturas_Odoo!$B:$B, 0)), ""))</f>
        <v/>
      </c>
      <c r="S1883" s="79">
        <f>IF(Q1883="Sin Factura","",IFERROR(_xlfn.XLOOKUP(1, (Facturas_Odoo!$D:$D=A1883) * (Facturas_Odoo!$K:$K=I1883), Facturas_Odoo!$L:$L, ""), ""))</f>
        <v/>
      </c>
      <c r="T1883" s="81">
        <f>IF(Q1883="Sin Factura",0,IFERROR(_xlfn.XLOOKUP(1, (Facturas_Odoo!$D:$D=A1883) * (Facturas_Odoo!$K:$K=I1883), Facturas_Odoo!$M:$M, 0), 0))</f>
        <v/>
      </c>
      <c r="U1883" s="79">
        <f>IF(Q1883="Sin Factura",0,IFERROR(_xlfn.XLOOKUP(1, (Facturas_Odoo!$D:$D=A1883) * (Facturas_Odoo!$K:$K=I1883), Facturas_Odoo!$N:$N, 0), 0))</f>
        <v/>
      </c>
      <c r="V1883" s="79">
        <f>IF(Q1883="Sin Factura",0,IFERROR(_xlfn.XLOOKUP(1, (Facturas_Odoo!$D:$D=A1883) * (Facturas_Odoo!$K:$K=I1883), Facturas_Odoo!$O:$O, 0), 0))</f>
        <v/>
      </c>
      <c r="W1883" s="81">
        <f>IF(Q1883="Sin Factura",0,IFERROR(_xlfn.XLOOKUP(1, (Facturas_Odoo!$D:$D=A1883) * (Facturas_Odoo!$K:$K=I1883), Facturas_Odoo!$Q:$Q, 0), 0))</f>
        <v/>
      </c>
      <c r="X1883" s="79">
        <f>IF(OR(Q1883="Sin Factura",Q1883=""),"",IFERROR(INDEX(Pagos_Odoo!$B:$B, MATCH(Q1883, Pagos_Odoo!$I:$I, 0)), "Sin Pago"))</f>
        <v/>
      </c>
      <c r="Y1883" s="79">
        <f>IF(X1883="Sin Pago","",IFERROR(INDEX(Pagos_Odoo!$C:$C, MATCH(X1883, Pagos_Odoo!$B:$B, 0)), ""))</f>
        <v/>
      </c>
      <c r="Z1883" s="80">
        <f>IF(X1883="Sin Pago","",IFERROR(INDEX(Pagos_Odoo!$A:$A, MATCH(X1883, Pagos_Odoo!$B:$B, 0)), ""))</f>
        <v/>
      </c>
      <c r="AA1883" s="79">
        <f>IF(X1883="Sin Pago","",IFERROR(INDEX(Pagos_Odoo!$F:$F, MATCH(X1883, Pagos_Odoo!$B:$B, 0)), ""))</f>
        <v/>
      </c>
      <c r="AB1883" s="81">
        <f>IF(X1883="Sin Pago",0,IFERROR(INDEX(Pagos_Odoo!$E:$E, MATCH(X1883, Pagos_Odoo!$B:$B, 0)), 0))</f>
        <v/>
      </c>
      <c r="AC1883" s="79">
        <f>IF(X1883="Sin Pago","",IFERROR(INDEX(Pagos_Odoo!$G:$G, MATCH(X1883, Pagos_Odoo!$B:$B, 0)), ""))</f>
        <v/>
      </c>
      <c r="AD1883" s="82" t="n">
        <v>0</v>
      </c>
      <c r="AE1883" s="82" t="n"/>
      <c r="AF1883" s="82" t="n"/>
      <c r="AG1883" s="82">
        <f>IF(AN1883="","",AD1883+AE1883+AF1883)</f>
        <v/>
      </c>
      <c r="AH1883" s="81">
        <f>IF(AN1883="","",P1883*(1-AG1883))</f>
        <v/>
      </c>
      <c r="AI1883" s="81">
        <f>IF(AN1883="","",IF(Q1883="Sin Factura",0,IFERROR(INDEX(Facturas_Odoo!$H:$H, MATCH(Q1883, Facturas_Odoo!$B:$B, 0)), 0)*(1-AG1883)))</f>
        <v/>
      </c>
      <c r="AJ1883" s="81">
        <f>IF(AN1883="","",_xlfn.LET(idVenta, AN1883&amp;"",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83" s="81">
        <f>IF(AN1883="","",AH1883-AJ1883)</f>
        <v/>
      </c>
      <c r="AL1883" s="81">
        <f>IF(AN1883="","",IF(Q1883="Sin Factura","",AI1883-AJ1883))</f>
        <v/>
      </c>
      <c r="AM1883" s="81">
        <f>IF(AN1883="","",IF(Q1883="Sin Factura",0,P1883-IFERROR(INDEX(Facturas_Odoo!$H:$H, MATCH(Q1883, Facturas_Odoo!$B:$B, 0)), 0)))</f>
        <v/>
      </c>
      <c r="AN1883" s="79">
        <f>IF(AND(A1883="", J1883=""), "", IF(A1883&lt;&gt;"", VALUE(MID(A1883,2,LEN(A1883))), AN1882))</f>
        <v/>
      </c>
      <c r="AO1883" s="79">
        <f>IF(AN1883="","",IF(AD1883=0,"OK",_xlfn.LET(monedaPago, IF(AA1883="","USD",AA1883), limitePermitido, IFERROR(VLOOKUP(monedaPago, Configuración!$A$2:$B$3, 2, FALSE), 0.15), IF(AD1883&gt;limitePermitido, "ALERTA: EXCESO (" &amp; TEXT(limitePermitido, "0%") &amp; " máx)", "OK"))))</f>
        <v/>
      </c>
      <c r="AP1883" s="79">
        <f>IF(AN1883="","",IF(AE1883=0,"OK",_xlfn.LET(fechaPago, Z1883, fechaFactura, R1883, diasCredito, IF(E1883="Pago inmediato", 0, IFERROR(VALUE(MID(E1883, 1, SEARCH(" ", E1883)-1)),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83" s="79">
        <f>IF(AN1883="","",IF(AND(N1883&gt;0, AG1883&gt;0), IF(Configuración!$K$2="NO", "ALERTA: DESCUENTO DOBLE NO PERMITIDO", "OK"), "OK"))</f>
        <v/>
      </c>
      <c r="AR1883" s="79">
        <f>IF(AN1883="","",IF(OR(AO1883&lt;&gt;"OK", AP1883&lt;&gt;"OK", AQ1883&lt;&gt;"OK"), "⚠️ REVISAR", "OK"))</f>
        <v/>
      </c>
    </row>
    <row r="1884">
      <c r="A1884" s="79">
        <f>IF('Ordenes_Odoo'!A1884="","",'Ordenes_Odoo'!A1884)</f>
        <v/>
      </c>
      <c r="B1884" s="80">
        <f>IF('Ordenes_Odoo'!B1884="","",'Ordenes_Odoo'!B1884)</f>
        <v/>
      </c>
      <c r="C1884" s="79">
        <f>IF('Ordenes_Odoo'!C1884="","",'Ordenes_Odoo'!C1884)</f>
        <v/>
      </c>
      <c r="D1884" s="79">
        <f>IF('Ordenes_Odoo'!D1884="","",'Ordenes_Odoo'!D1884)</f>
        <v/>
      </c>
      <c r="E1884" s="79">
        <f>IF('Ordenes_Odoo'!E1884="","",'Ordenes_Odoo'!E1884)</f>
        <v/>
      </c>
      <c r="F1884" s="79">
        <f>IF('Ordenes_Odoo'!F1884="","",'Ordenes_Odoo'!F1884)</f>
        <v/>
      </c>
      <c r="G1884" s="79">
        <f>IF('Ordenes_Odoo'!G1884="","",'Ordenes_Odoo'!G1884)</f>
        <v/>
      </c>
      <c r="H1884" s="79">
        <f>IF('Ordenes_Odoo'!H1884="","",'Ordenes_Odoo'!H1884)</f>
        <v/>
      </c>
      <c r="I1884" s="79">
        <f>IF('Ordenes_Odoo'!I1884="","",'Ordenes_Odoo'!I1884)</f>
        <v/>
      </c>
      <c r="J1884" s="79">
        <f>IF('Ordenes_Odoo'!J1884="","",'Ordenes_Odoo'!J1884)</f>
        <v/>
      </c>
      <c r="K1884" s="81">
        <f>IF('Ordenes_Odoo'!K1884="","",'Ordenes_Odoo'!K1884)</f>
        <v/>
      </c>
      <c r="L1884" s="81">
        <f>IF('Ordenes_Odoo'!L1884="","",'Ordenes_Odoo'!L1884)</f>
        <v/>
      </c>
      <c r="M1884" s="79">
        <f>IF('Ordenes_Odoo'!M1884="","",'Ordenes_Odoo'!M1884)</f>
        <v/>
      </c>
      <c r="N1884" s="79">
        <f>IF('Ordenes_Odoo'!N1884="","",'Ordenes_Odoo'!N1884)</f>
        <v/>
      </c>
      <c r="O1884" s="81">
        <f>IF('Ordenes_Odoo'!O1884="","",'Ordenes_Odoo'!O1884)</f>
        <v/>
      </c>
      <c r="P1884" s="81">
        <f>IF('Ordenes_Odoo'!P1884="","",'Ordenes_Odoo'!P1884)</f>
        <v/>
      </c>
      <c r="Q1884" s="79">
        <f>IF(A1884="","",IFERROR(INDEX(Facturas_Odoo!$B:$B, MATCH(A1884, Facturas_Odoo!$D:$D, 0)), "Sin Factura"))</f>
        <v/>
      </c>
      <c r="R1884" s="80">
        <f>IF(Q1884="Sin Factura","",IFERROR(INDEX(Facturas_Odoo!$A:$A, MATCH(Q1884, Facturas_Odoo!$B:$B, 0)), ""))</f>
        <v/>
      </c>
      <c r="S1884" s="79">
        <f>IF(Q1884="Sin Factura","",IFERROR(_xlfn.XLOOKUP(1, (Facturas_Odoo!$D:$D=A1884) * (Facturas_Odoo!$K:$K=I1884), Facturas_Odoo!$L:$L, ""), ""))</f>
        <v/>
      </c>
      <c r="T1884" s="81">
        <f>IF(Q1884="Sin Factura",0,IFERROR(_xlfn.XLOOKUP(1, (Facturas_Odoo!$D:$D=A1884) * (Facturas_Odoo!$K:$K=I1884), Facturas_Odoo!$M:$M, 0), 0))</f>
        <v/>
      </c>
      <c r="U1884" s="79">
        <f>IF(Q1884="Sin Factura",0,IFERROR(_xlfn.XLOOKUP(1, (Facturas_Odoo!$D:$D=A1884) * (Facturas_Odoo!$K:$K=I1884), Facturas_Odoo!$N:$N, 0), 0))</f>
        <v/>
      </c>
      <c r="V1884" s="79">
        <f>IF(Q1884="Sin Factura",0,IFERROR(_xlfn.XLOOKUP(1, (Facturas_Odoo!$D:$D=A1884) * (Facturas_Odoo!$K:$K=I1884), Facturas_Odoo!$O:$O, 0), 0))</f>
        <v/>
      </c>
      <c r="W1884" s="81">
        <f>IF(Q1884="Sin Factura",0,IFERROR(_xlfn.XLOOKUP(1, (Facturas_Odoo!$D:$D=A1884) * (Facturas_Odoo!$K:$K=I1884), Facturas_Odoo!$Q:$Q, 0), 0))</f>
        <v/>
      </c>
      <c r="X1884" s="79">
        <f>IF(OR(Q1884="Sin Factura",Q1884=""),"",IFERROR(INDEX(Pagos_Odoo!$B:$B, MATCH(Q1884, Pagos_Odoo!$I:$I, 0)), "Sin Pago"))</f>
        <v/>
      </c>
      <c r="Y1884" s="79">
        <f>IF(X1884="Sin Pago","",IFERROR(INDEX(Pagos_Odoo!$C:$C, MATCH(X1884, Pagos_Odoo!$B:$B, 0)), ""))</f>
        <v/>
      </c>
      <c r="Z1884" s="80">
        <f>IF(X1884="Sin Pago","",IFERROR(INDEX(Pagos_Odoo!$A:$A, MATCH(X1884, Pagos_Odoo!$B:$B, 0)), ""))</f>
        <v/>
      </c>
      <c r="AA1884" s="79">
        <f>IF(X1884="Sin Pago","",IFERROR(INDEX(Pagos_Odoo!$F:$F, MATCH(X1884, Pagos_Odoo!$B:$B, 0)), ""))</f>
        <v/>
      </c>
      <c r="AB1884" s="81">
        <f>IF(X1884="Sin Pago",0,IFERROR(INDEX(Pagos_Odoo!$E:$E, MATCH(X1884, Pagos_Odoo!$B:$B, 0)), 0))</f>
        <v/>
      </c>
      <c r="AC1884" s="79">
        <f>IF(X1884="Sin Pago","",IFERROR(INDEX(Pagos_Odoo!$G:$G, MATCH(X1884, Pagos_Odoo!$B:$B, 0)), ""))</f>
        <v/>
      </c>
      <c r="AD1884" s="82" t="n">
        <v>0</v>
      </c>
      <c r="AE1884" s="82" t="n"/>
      <c r="AF1884" s="82" t="n"/>
      <c r="AG1884" s="82">
        <f>IF(AN1884="","",AD1884+AE1884+AF1884)</f>
        <v/>
      </c>
      <c r="AH1884" s="81">
        <f>IF(AN1884="","",P1884*(1-AG1884))</f>
        <v/>
      </c>
      <c r="AI1884" s="81">
        <f>IF(AN1884="","",IF(Q1884="Sin Factura",0,IFERROR(INDEX(Facturas_Odoo!$H:$H, MATCH(Q1884, Facturas_Odoo!$B:$B, 0)), 0)*(1-AG1884)))</f>
        <v/>
      </c>
      <c r="AJ1884" s="81">
        <f>IF(AN1884="","",_xlfn.LET(idVenta, AN1884&amp;"",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84" s="81">
        <f>IF(AN1884="","",AH1884-AJ1884)</f>
        <v/>
      </c>
      <c r="AL1884" s="81">
        <f>IF(AN1884="","",IF(Q1884="Sin Factura","",AI1884-AJ1884))</f>
        <v/>
      </c>
      <c r="AM1884" s="81">
        <f>IF(AN1884="","",IF(Q1884="Sin Factura",0,P1884-IFERROR(INDEX(Facturas_Odoo!$H:$H, MATCH(Q1884, Facturas_Odoo!$B:$B, 0)), 0)))</f>
        <v/>
      </c>
      <c r="AN1884" s="79">
        <f>IF(AND(A1884="", J1884=""), "", IF(A1884&lt;&gt;"", VALUE(MID(A1884,2,LEN(A1884))), AN1883))</f>
        <v/>
      </c>
      <c r="AO1884" s="79">
        <f>IF(AN1884="","",IF(AD1884=0,"OK",_xlfn.LET(monedaPago, IF(AA1884="","USD",AA1884), limitePermitido, IFERROR(VLOOKUP(monedaPago, Configuración!$A$2:$B$3, 2, FALSE), 0.15), IF(AD1884&gt;limitePermitido, "ALERTA: EXCESO (" &amp; TEXT(limitePermitido, "0%") &amp; " máx)", "OK"))))</f>
        <v/>
      </c>
      <c r="AP1884" s="79">
        <f>IF(AN1884="","",IF(AE1884=0,"OK",_xlfn.LET(fechaPago, Z1884, fechaFactura, R1884, diasCredito, IF(E1884="Pago inmediato", 0, IFERROR(VALUE(MID(E1884, 1, SEARCH(" ", E1884)-1)),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84" s="79">
        <f>IF(AN1884="","",IF(AND(N1884&gt;0, AG1884&gt;0), IF(Configuración!$K$2="NO", "ALERTA: DESCUENTO DOBLE NO PERMITIDO", "OK"), "OK"))</f>
        <v/>
      </c>
      <c r="AR1884" s="79">
        <f>IF(AN1884="","",IF(OR(AO1884&lt;&gt;"OK", AP1884&lt;&gt;"OK", AQ1884&lt;&gt;"OK"), "⚠️ REVISAR", "OK"))</f>
        <v/>
      </c>
    </row>
    <row r="1885">
      <c r="A1885" s="79">
        <f>IF('Ordenes_Odoo'!A1885="","",'Ordenes_Odoo'!A1885)</f>
        <v/>
      </c>
      <c r="B1885" s="80">
        <f>IF('Ordenes_Odoo'!B1885="","",'Ordenes_Odoo'!B1885)</f>
        <v/>
      </c>
      <c r="C1885" s="79">
        <f>IF('Ordenes_Odoo'!C1885="","",'Ordenes_Odoo'!C1885)</f>
        <v/>
      </c>
      <c r="D1885" s="79">
        <f>IF('Ordenes_Odoo'!D1885="","",'Ordenes_Odoo'!D1885)</f>
        <v/>
      </c>
      <c r="E1885" s="79">
        <f>IF('Ordenes_Odoo'!E1885="","",'Ordenes_Odoo'!E1885)</f>
        <v/>
      </c>
      <c r="F1885" s="79">
        <f>IF('Ordenes_Odoo'!F1885="","",'Ordenes_Odoo'!F1885)</f>
        <v/>
      </c>
      <c r="G1885" s="79">
        <f>IF('Ordenes_Odoo'!G1885="","",'Ordenes_Odoo'!G1885)</f>
        <v/>
      </c>
      <c r="H1885" s="79">
        <f>IF('Ordenes_Odoo'!H1885="","",'Ordenes_Odoo'!H1885)</f>
        <v/>
      </c>
      <c r="I1885" s="79">
        <f>IF('Ordenes_Odoo'!I1885="","",'Ordenes_Odoo'!I1885)</f>
        <v/>
      </c>
      <c r="J1885" s="79">
        <f>IF('Ordenes_Odoo'!J1885="","",'Ordenes_Odoo'!J1885)</f>
        <v/>
      </c>
      <c r="K1885" s="81">
        <f>IF('Ordenes_Odoo'!K1885="","",'Ordenes_Odoo'!K1885)</f>
        <v/>
      </c>
      <c r="L1885" s="81">
        <f>IF('Ordenes_Odoo'!L1885="","",'Ordenes_Odoo'!L1885)</f>
        <v/>
      </c>
      <c r="M1885" s="79">
        <f>IF('Ordenes_Odoo'!M1885="","",'Ordenes_Odoo'!M1885)</f>
        <v/>
      </c>
      <c r="N1885" s="79">
        <f>IF('Ordenes_Odoo'!N1885="","",'Ordenes_Odoo'!N1885)</f>
        <v/>
      </c>
      <c r="O1885" s="81">
        <f>IF('Ordenes_Odoo'!O1885="","",'Ordenes_Odoo'!O1885)</f>
        <v/>
      </c>
      <c r="P1885" s="81">
        <f>IF('Ordenes_Odoo'!P1885="","",'Ordenes_Odoo'!P1885)</f>
        <v/>
      </c>
      <c r="Q1885" s="79">
        <f>IF(A1885="","",IFERROR(INDEX(Facturas_Odoo!$B:$B, MATCH(A1885, Facturas_Odoo!$D:$D, 0)), "Sin Factura"))</f>
        <v/>
      </c>
      <c r="R1885" s="80">
        <f>IF(Q1885="Sin Factura","",IFERROR(INDEX(Facturas_Odoo!$A:$A, MATCH(Q1885, Facturas_Odoo!$B:$B, 0)), ""))</f>
        <v/>
      </c>
      <c r="S1885" s="79">
        <f>IF(Q1885="Sin Factura","",IFERROR(_xlfn.XLOOKUP(1, (Facturas_Odoo!$D:$D=A1885) * (Facturas_Odoo!$K:$K=I1885), Facturas_Odoo!$L:$L, ""), ""))</f>
        <v/>
      </c>
      <c r="T1885" s="81">
        <f>IF(Q1885="Sin Factura",0,IFERROR(_xlfn.XLOOKUP(1, (Facturas_Odoo!$D:$D=A1885) * (Facturas_Odoo!$K:$K=I1885), Facturas_Odoo!$M:$M, 0), 0))</f>
        <v/>
      </c>
      <c r="U1885" s="79">
        <f>IF(Q1885="Sin Factura",0,IFERROR(_xlfn.XLOOKUP(1, (Facturas_Odoo!$D:$D=A1885) * (Facturas_Odoo!$K:$K=I1885), Facturas_Odoo!$N:$N, 0), 0))</f>
        <v/>
      </c>
      <c r="V1885" s="79">
        <f>IF(Q1885="Sin Factura",0,IFERROR(_xlfn.XLOOKUP(1, (Facturas_Odoo!$D:$D=A1885) * (Facturas_Odoo!$K:$K=I1885), Facturas_Odoo!$O:$O, 0), 0))</f>
        <v/>
      </c>
      <c r="W1885" s="81">
        <f>IF(Q1885="Sin Factura",0,IFERROR(_xlfn.XLOOKUP(1, (Facturas_Odoo!$D:$D=A1885) * (Facturas_Odoo!$K:$K=I1885), Facturas_Odoo!$Q:$Q, 0), 0))</f>
        <v/>
      </c>
      <c r="X1885" s="79">
        <f>IF(OR(Q1885="Sin Factura",Q1885=""),"",IFERROR(INDEX(Pagos_Odoo!$B:$B, MATCH(Q1885, Pagos_Odoo!$I:$I, 0)), "Sin Pago"))</f>
        <v/>
      </c>
      <c r="Y1885" s="79">
        <f>IF(X1885="Sin Pago","",IFERROR(INDEX(Pagos_Odoo!$C:$C, MATCH(X1885, Pagos_Odoo!$B:$B, 0)), ""))</f>
        <v/>
      </c>
      <c r="Z1885" s="80">
        <f>IF(X1885="Sin Pago","",IFERROR(INDEX(Pagos_Odoo!$A:$A, MATCH(X1885, Pagos_Odoo!$B:$B, 0)), ""))</f>
        <v/>
      </c>
      <c r="AA1885" s="79">
        <f>IF(X1885="Sin Pago","",IFERROR(INDEX(Pagos_Odoo!$F:$F, MATCH(X1885, Pagos_Odoo!$B:$B, 0)), ""))</f>
        <v/>
      </c>
      <c r="AB1885" s="81">
        <f>IF(X1885="Sin Pago",0,IFERROR(INDEX(Pagos_Odoo!$E:$E, MATCH(X1885, Pagos_Odoo!$B:$B, 0)), 0))</f>
        <v/>
      </c>
      <c r="AC1885" s="79">
        <f>IF(X1885="Sin Pago","",IFERROR(INDEX(Pagos_Odoo!$G:$G, MATCH(X1885, Pagos_Odoo!$B:$B, 0)), ""))</f>
        <v/>
      </c>
      <c r="AD1885" s="82" t="n">
        <v>0</v>
      </c>
      <c r="AE1885" s="82" t="n"/>
      <c r="AF1885" s="82" t="n"/>
      <c r="AG1885" s="82">
        <f>IF(AN1885="","",AD1885+AE1885+AF1885)</f>
        <v/>
      </c>
      <c r="AH1885" s="81">
        <f>IF(AN1885="","",P1885*(1-AG1885))</f>
        <v/>
      </c>
      <c r="AI1885" s="81">
        <f>IF(AN1885="","",IF(Q1885="Sin Factura",0,IFERROR(INDEX(Facturas_Odoo!$H:$H, MATCH(Q1885, Facturas_Odoo!$B:$B, 0)), 0)*(1-AG1885)))</f>
        <v/>
      </c>
      <c r="AJ1885" s="81">
        <f>IF(AN1885="","",_xlfn.LET(idVenta, AN1885&amp;"",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85" s="81">
        <f>IF(AN1885="","",AH1885-AJ1885)</f>
        <v/>
      </c>
      <c r="AL1885" s="81">
        <f>IF(AN1885="","",IF(Q1885="Sin Factura","",AI1885-AJ1885))</f>
        <v/>
      </c>
      <c r="AM1885" s="81">
        <f>IF(AN1885="","",IF(Q1885="Sin Factura",0,P1885-IFERROR(INDEX(Facturas_Odoo!$H:$H, MATCH(Q1885, Facturas_Odoo!$B:$B, 0)), 0)))</f>
        <v/>
      </c>
      <c r="AN1885" s="79">
        <f>IF(AND(A1885="", J1885=""), "", IF(A1885&lt;&gt;"", VALUE(MID(A1885,2,LEN(A1885))), AN1884))</f>
        <v/>
      </c>
      <c r="AO1885" s="79">
        <f>IF(AN1885="","",IF(AD1885=0,"OK",_xlfn.LET(monedaPago, IF(AA1885="","USD",AA1885), limitePermitido, IFERROR(VLOOKUP(monedaPago, Configuración!$A$2:$B$3, 2, FALSE), 0.15), IF(AD1885&gt;limitePermitido, "ALERTA: EXCESO (" &amp; TEXT(limitePermitido, "0%") &amp; " máx)", "OK"))))</f>
        <v/>
      </c>
      <c r="AP1885" s="79">
        <f>IF(AN1885="","",IF(AE1885=0,"OK",_xlfn.LET(fechaPago, Z1885, fechaFactura, R1885, diasCredito, IF(E1885="Pago inmediato", 0, IFERROR(VALUE(MID(E1885, 1, SEARCH(" ", E1885)-1)),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85" s="79">
        <f>IF(AN1885="","",IF(AND(N1885&gt;0, AG1885&gt;0), IF(Configuración!$K$2="NO", "ALERTA: DESCUENTO DOBLE NO PERMITIDO", "OK"), "OK"))</f>
        <v/>
      </c>
      <c r="AR1885" s="79">
        <f>IF(AN1885="","",IF(OR(AO1885&lt;&gt;"OK", AP1885&lt;&gt;"OK", AQ1885&lt;&gt;"OK"), "⚠️ REVISAR", "OK"))</f>
        <v/>
      </c>
    </row>
    <row r="1886">
      <c r="A1886" s="79">
        <f>IF('Ordenes_Odoo'!A1886="","",'Ordenes_Odoo'!A1886)</f>
        <v/>
      </c>
      <c r="B1886" s="80">
        <f>IF('Ordenes_Odoo'!B1886="","",'Ordenes_Odoo'!B1886)</f>
        <v/>
      </c>
      <c r="C1886" s="79">
        <f>IF('Ordenes_Odoo'!C1886="","",'Ordenes_Odoo'!C1886)</f>
        <v/>
      </c>
      <c r="D1886" s="79">
        <f>IF('Ordenes_Odoo'!D1886="","",'Ordenes_Odoo'!D1886)</f>
        <v/>
      </c>
      <c r="E1886" s="79">
        <f>IF('Ordenes_Odoo'!E1886="","",'Ordenes_Odoo'!E1886)</f>
        <v/>
      </c>
      <c r="F1886" s="79">
        <f>IF('Ordenes_Odoo'!F1886="","",'Ordenes_Odoo'!F1886)</f>
        <v/>
      </c>
      <c r="G1886" s="79">
        <f>IF('Ordenes_Odoo'!G1886="","",'Ordenes_Odoo'!G1886)</f>
        <v/>
      </c>
      <c r="H1886" s="79">
        <f>IF('Ordenes_Odoo'!H1886="","",'Ordenes_Odoo'!H1886)</f>
        <v/>
      </c>
      <c r="I1886" s="79">
        <f>IF('Ordenes_Odoo'!I1886="","",'Ordenes_Odoo'!I1886)</f>
        <v/>
      </c>
      <c r="J1886" s="79">
        <f>IF('Ordenes_Odoo'!J1886="","",'Ordenes_Odoo'!J1886)</f>
        <v/>
      </c>
      <c r="K1886" s="81">
        <f>IF('Ordenes_Odoo'!K1886="","",'Ordenes_Odoo'!K1886)</f>
        <v/>
      </c>
      <c r="L1886" s="81">
        <f>IF('Ordenes_Odoo'!L1886="","",'Ordenes_Odoo'!L1886)</f>
        <v/>
      </c>
      <c r="M1886" s="79">
        <f>IF('Ordenes_Odoo'!M1886="","",'Ordenes_Odoo'!M1886)</f>
        <v/>
      </c>
      <c r="N1886" s="79">
        <f>IF('Ordenes_Odoo'!N1886="","",'Ordenes_Odoo'!N1886)</f>
        <v/>
      </c>
      <c r="O1886" s="81">
        <f>IF('Ordenes_Odoo'!O1886="","",'Ordenes_Odoo'!O1886)</f>
        <v/>
      </c>
      <c r="P1886" s="81">
        <f>IF('Ordenes_Odoo'!P1886="","",'Ordenes_Odoo'!P1886)</f>
        <v/>
      </c>
      <c r="Q1886" s="79">
        <f>IF(A1886="","",IFERROR(INDEX(Facturas_Odoo!$B:$B, MATCH(A1886, Facturas_Odoo!$D:$D, 0)), "Sin Factura"))</f>
        <v/>
      </c>
      <c r="R1886" s="80">
        <f>IF(Q1886="Sin Factura","",IFERROR(INDEX(Facturas_Odoo!$A:$A, MATCH(Q1886, Facturas_Odoo!$B:$B, 0)), ""))</f>
        <v/>
      </c>
      <c r="S1886" s="79">
        <f>IF(Q1886="Sin Factura","",IFERROR(_xlfn.XLOOKUP(1, (Facturas_Odoo!$D:$D=A1886) * (Facturas_Odoo!$K:$K=I1886), Facturas_Odoo!$L:$L, ""), ""))</f>
        <v/>
      </c>
      <c r="T1886" s="81">
        <f>IF(Q1886="Sin Factura",0,IFERROR(_xlfn.XLOOKUP(1, (Facturas_Odoo!$D:$D=A1886) * (Facturas_Odoo!$K:$K=I1886), Facturas_Odoo!$M:$M, 0), 0))</f>
        <v/>
      </c>
      <c r="U1886" s="79">
        <f>IF(Q1886="Sin Factura",0,IFERROR(_xlfn.XLOOKUP(1, (Facturas_Odoo!$D:$D=A1886) * (Facturas_Odoo!$K:$K=I1886), Facturas_Odoo!$N:$N, 0), 0))</f>
        <v/>
      </c>
      <c r="V1886" s="79">
        <f>IF(Q1886="Sin Factura",0,IFERROR(_xlfn.XLOOKUP(1, (Facturas_Odoo!$D:$D=A1886) * (Facturas_Odoo!$K:$K=I1886), Facturas_Odoo!$O:$O, 0), 0))</f>
        <v/>
      </c>
      <c r="W1886" s="81">
        <f>IF(Q1886="Sin Factura",0,IFERROR(_xlfn.XLOOKUP(1, (Facturas_Odoo!$D:$D=A1886) * (Facturas_Odoo!$K:$K=I1886), Facturas_Odoo!$Q:$Q, 0), 0))</f>
        <v/>
      </c>
      <c r="X1886" s="79">
        <f>IF(OR(Q1886="Sin Factura",Q1886=""),"",IFERROR(INDEX(Pagos_Odoo!$B:$B, MATCH(Q1886, Pagos_Odoo!$I:$I, 0)), "Sin Pago"))</f>
        <v/>
      </c>
      <c r="Y1886" s="79">
        <f>IF(X1886="Sin Pago","",IFERROR(INDEX(Pagos_Odoo!$C:$C, MATCH(X1886, Pagos_Odoo!$B:$B, 0)), ""))</f>
        <v/>
      </c>
      <c r="Z1886" s="80">
        <f>IF(X1886="Sin Pago","",IFERROR(INDEX(Pagos_Odoo!$A:$A, MATCH(X1886, Pagos_Odoo!$B:$B, 0)), ""))</f>
        <v/>
      </c>
      <c r="AA1886" s="79">
        <f>IF(X1886="Sin Pago","",IFERROR(INDEX(Pagos_Odoo!$F:$F, MATCH(X1886, Pagos_Odoo!$B:$B, 0)), ""))</f>
        <v/>
      </c>
      <c r="AB1886" s="81">
        <f>IF(X1886="Sin Pago",0,IFERROR(INDEX(Pagos_Odoo!$E:$E, MATCH(X1886, Pagos_Odoo!$B:$B, 0)), 0))</f>
        <v/>
      </c>
      <c r="AC1886" s="79">
        <f>IF(X1886="Sin Pago","",IFERROR(INDEX(Pagos_Odoo!$G:$G, MATCH(X1886, Pagos_Odoo!$B:$B, 0)), ""))</f>
        <v/>
      </c>
      <c r="AD1886" s="82" t="n">
        <v>0</v>
      </c>
      <c r="AE1886" s="82" t="n"/>
      <c r="AF1886" s="82" t="n"/>
      <c r="AG1886" s="82">
        <f>IF(AN1886="","",AD1886+AE1886+AF1886)</f>
        <v/>
      </c>
      <c r="AH1886" s="81">
        <f>IF(AN1886="","",P1886*(1-AG1886))</f>
        <v/>
      </c>
      <c r="AI1886" s="81">
        <f>IF(AN1886="","",IF(Q1886="Sin Factura",0,IFERROR(INDEX(Facturas_Odoo!$H:$H, MATCH(Q1886, Facturas_Odoo!$B:$B, 0)), 0)*(1-AG1886)))</f>
        <v/>
      </c>
      <c r="AJ1886" s="81">
        <f>IF(AN1886="","",_xlfn.LET(idVenta, AN1886&amp;"",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86" s="81">
        <f>IF(AN1886="","",AH1886-AJ1886)</f>
        <v/>
      </c>
      <c r="AL1886" s="81">
        <f>IF(AN1886="","",IF(Q1886="Sin Factura","",AI1886-AJ1886))</f>
        <v/>
      </c>
      <c r="AM1886" s="81">
        <f>IF(AN1886="","",IF(Q1886="Sin Factura",0,P1886-IFERROR(INDEX(Facturas_Odoo!$H:$H, MATCH(Q1886, Facturas_Odoo!$B:$B, 0)), 0)))</f>
        <v/>
      </c>
      <c r="AN1886" s="79">
        <f>IF(AND(A1886="", J1886=""), "", IF(A1886&lt;&gt;"", VALUE(MID(A1886,2,LEN(A1886))), AN1885))</f>
        <v/>
      </c>
      <c r="AO1886" s="79">
        <f>IF(AN1886="","",IF(AD1886=0,"OK",_xlfn.LET(monedaPago, IF(AA1886="","USD",AA1886), limitePermitido, IFERROR(VLOOKUP(monedaPago, Configuración!$A$2:$B$3, 2, FALSE), 0.15), IF(AD1886&gt;limitePermitido, "ALERTA: EXCESO (" &amp; TEXT(limitePermitido, "0%") &amp; " máx)", "OK"))))</f>
        <v/>
      </c>
      <c r="AP1886" s="79">
        <f>IF(AN1886="","",IF(AE1886=0,"OK",_xlfn.LET(fechaPago, Z1886, fechaFactura, R1886, diasCredito, IF(E1886="Pago inmediato", 0, IFERROR(VALUE(MID(E1886, 1, SEARCH(" ", E1886)-1)),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86" s="79">
        <f>IF(AN1886="","",IF(AND(N1886&gt;0, AG1886&gt;0), IF(Configuración!$K$2="NO", "ALERTA: DESCUENTO DOBLE NO PERMITIDO", "OK"), "OK"))</f>
        <v/>
      </c>
      <c r="AR1886" s="79">
        <f>IF(AN1886="","",IF(OR(AO1886&lt;&gt;"OK", AP1886&lt;&gt;"OK", AQ1886&lt;&gt;"OK"), "⚠️ REVISAR", "OK"))</f>
        <v/>
      </c>
    </row>
    <row r="1887">
      <c r="A1887" s="79">
        <f>IF('Ordenes_Odoo'!A1887="","",'Ordenes_Odoo'!A1887)</f>
        <v/>
      </c>
      <c r="B1887" s="80">
        <f>IF('Ordenes_Odoo'!B1887="","",'Ordenes_Odoo'!B1887)</f>
        <v/>
      </c>
      <c r="C1887" s="79">
        <f>IF('Ordenes_Odoo'!C1887="","",'Ordenes_Odoo'!C1887)</f>
        <v/>
      </c>
      <c r="D1887" s="79">
        <f>IF('Ordenes_Odoo'!D1887="","",'Ordenes_Odoo'!D1887)</f>
        <v/>
      </c>
      <c r="E1887" s="79">
        <f>IF('Ordenes_Odoo'!E1887="","",'Ordenes_Odoo'!E1887)</f>
        <v/>
      </c>
      <c r="F1887" s="79">
        <f>IF('Ordenes_Odoo'!F1887="","",'Ordenes_Odoo'!F1887)</f>
        <v/>
      </c>
      <c r="G1887" s="79">
        <f>IF('Ordenes_Odoo'!G1887="","",'Ordenes_Odoo'!G1887)</f>
        <v/>
      </c>
      <c r="H1887" s="79">
        <f>IF('Ordenes_Odoo'!H1887="","",'Ordenes_Odoo'!H1887)</f>
        <v/>
      </c>
      <c r="I1887" s="79">
        <f>IF('Ordenes_Odoo'!I1887="","",'Ordenes_Odoo'!I1887)</f>
        <v/>
      </c>
      <c r="J1887" s="79">
        <f>IF('Ordenes_Odoo'!J1887="","",'Ordenes_Odoo'!J1887)</f>
        <v/>
      </c>
      <c r="K1887" s="81">
        <f>IF('Ordenes_Odoo'!K1887="","",'Ordenes_Odoo'!K1887)</f>
        <v/>
      </c>
      <c r="L1887" s="81">
        <f>IF('Ordenes_Odoo'!L1887="","",'Ordenes_Odoo'!L1887)</f>
        <v/>
      </c>
      <c r="M1887" s="79">
        <f>IF('Ordenes_Odoo'!M1887="","",'Ordenes_Odoo'!M1887)</f>
        <v/>
      </c>
      <c r="N1887" s="79">
        <f>IF('Ordenes_Odoo'!N1887="","",'Ordenes_Odoo'!N1887)</f>
        <v/>
      </c>
      <c r="O1887" s="81">
        <f>IF('Ordenes_Odoo'!O1887="","",'Ordenes_Odoo'!O1887)</f>
        <v/>
      </c>
      <c r="P1887" s="81">
        <f>IF('Ordenes_Odoo'!P1887="","",'Ordenes_Odoo'!P1887)</f>
        <v/>
      </c>
      <c r="Q1887" s="79">
        <f>IF(A1887="","",IFERROR(INDEX(Facturas_Odoo!$B:$B, MATCH(A1887, Facturas_Odoo!$D:$D, 0)), "Sin Factura"))</f>
        <v/>
      </c>
      <c r="R1887" s="80">
        <f>IF(Q1887="Sin Factura","",IFERROR(INDEX(Facturas_Odoo!$A:$A, MATCH(Q1887, Facturas_Odoo!$B:$B, 0)), ""))</f>
        <v/>
      </c>
      <c r="S1887" s="79">
        <f>IF(Q1887="Sin Factura","",IFERROR(_xlfn.XLOOKUP(1, (Facturas_Odoo!$D:$D=A1887) * (Facturas_Odoo!$K:$K=I1887), Facturas_Odoo!$L:$L, ""), ""))</f>
        <v/>
      </c>
      <c r="T1887" s="81">
        <f>IF(Q1887="Sin Factura",0,IFERROR(_xlfn.XLOOKUP(1, (Facturas_Odoo!$D:$D=A1887) * (Facturas_Odoo!$K:$K=I1887), Facturas_Odoo!$M:$M, 0), 0))</f>
        <v/>
      </c>
      <c r="U1887" s="79">
        <f>IF(Q1887="Sin Factura",0,IFERROR(_xlfn.XLOOKUP(1, (Facturas_Odoo!$D:$D=A1887) * (Facturas_Odoo!$K:$K=I1887), Facturas_Odoo!$N:$N, 0), 0))</f>
        <v/>
      </c>
      <c r="V1887" s="79">
        <f>IF(Q1887="Sin Factura",0,IFERROR(_xlfn.XLOOKUP(1, (Facturas_Odoo!$D:$D=A1887) * (Facturas_Odoo!$K:$K=I1887), Facturas_Odoo!$O:$O, 0), 0))</f>
        <v/>
      </c>
      <c r="W1887" s="81">
        <f>IF(Q1887="Sin Factura",0,IFERROR(_xlfn.XLOOKUP(1, (Facturas_Odoo!$D:$D=A1887) * (Facturas_Odoo!$K:$K=I1887), Facturas_Odoo!$Q:$Q, 0), 0))</f>
        <v/>
      </c>
      <c r="X1887" s="79">
        <f>IF(OR(Q1887="Sin Factura",Q1887=""),"",IFERROR(INDEX(Pagos_Odoo!$B:$B, MATCH(Q1887, Pagos_Odoo!$I:$I, 0)), "Sin Pago"))</f>
        <v/>
      </c>
      <c r="Y1887" s="79">
        <f>IF(X1887="Sin Pago","",IFERROR(INDEX(Pagos_Odoo!$C:$C, MATCH(X1887, Pagos_Odoo!$B:$B, 0)), ""))</f>
        <v/>
      </c>
      <c r="Z1887" s="80">
        <f>IF(X1887="Sin Pago","",IFERROR(INDEX(Pagos_Odoo!$A:$A, MATCH(X1887, Pagos_Odoo!$B:$B, 0)), ""))</f>
        <v/>
      </c>
      <c r="AA1887" s="79">
        <f>IF(X1887="Sin Pago","",IFERROR(INDEX(Pagos_Odoo!$F:$F, MATCH(X1887, Pagos_Odoo!$B:$B, 0)), ""))</f>
        <v/>
      </c>
      <c r="AB1887" s="81">
        <f>IF(X1887="Sin Pago",0,IFERROR(INDEX(Pagos_Odoo!$E:$E, MATCH(X1887, Pagos_Odoo!$B:$B, 0)), 0))</f>
        <v/>
      </c>
      <c r="AC1887" s="79">
        <f>IF(X1887="Sin Pago","",IFERROR(INDEX(Pagos_Odoo!$G:$G, MATCH(X1887, Pagos_Odoo!$B:$B, 0)), ""))</f>
        <v/>
      </c>
      <c r="AD1887" s="82" t="n">
        <v>0</v>
      </c>
      <c r="AE1887" s="82" t="n"/>
      <c r="AF1887" s="82" t="n"/>
      <c r="AG1887" s="82">
        <f>IF(AN1887="","",AD1887+AE1887+AF1887)</f>
        <v/>
      </c>
      <c r="AH1887" s="81">
        <f>IF(AN1887="","",P1887*(1-AG1887))</f>
        <v/>
      </c>
      <c r="AI1887" s="81">
        <f>IF(AN1887="","",IF(Q1887="Sin Factura",0,IFERROR(INDEX(Facturas_Odoo!$H:$H, MATCH(Q1887, Facturas_Odoo!$B:$B, 0)), 0)*(1-AG1887)))</f>
        <v/>
      </c>
      <c r="AJ1887" s="81">
        <f>IF(AN1887="","",_xlfn.LET(idVenta, AN1887&amp;"",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87" s="81">
        <f>IF(AN1887="","",AH1887-AJ1887)</f>
        <v/>
      </c>
      <c r="AL1887" s="81">
        <f>IF(AN1887="","",IF(Q1887="Sin Factura","",AI1887-AJ1887))</f>
        <v/>
      </c>
      <c r="AM1887" s="81">
        <f>IF(AN1887="","",IF(Q1887="Sin Factura",0,P1887-IFERROR(INDEX(Facturas_Odoo!$H:$H, MATCH(Q1887, Facturas_Odoo!$B:$B, 0)), 0)))</f>
        <v/>
      </c>
      <c r="AN1887" s="79">
        <f>IF(AND(A1887="", J1887=""), "", IF(A1887&lt;&gt;"", VALUE(MID(A1887,2,LEN(A1887))), AN1886))</f>
        <v/>
      </c>
      <c r="AO1887" s="79">
        <f>IF(AN1887="","",IF(AD1887=0,"OK",_xlfn.LET(monedaPago, IF(AA1887="","USD",AA1887), limitePermitido, IFERROR(VLOOKUP(monedaPago, Configuración!$A$2:$B$3, 2, FALSE), 0.15), IF(AD1887&gt;limitePermitido, "ALERTA: EXCESO (" &amp; TEXT(limitePermitido, "0%") &amp; " máx)", "OK"))))</f>
        <v/>
      </c>
      <c r="AP1887" s="79">
        <f>IF(AN1887="","",IF(AE1887=0,"OK",_xlfn.LET(fechaPago, Z1887, fechaFactura, R1887, diasCredito, IF(E1887="Pago inmediato", 0, IFERROR(VALUE(MID(E1887, 1, SEARCH(" ", E1887)-1)),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87" s="79">
        <f>IF(AN1887="","",IF(AND(N1887&gt;0, AG1887&gt;0), IF(Configuración!$K$2="NO", "ALERTA: DESCUENTO DOBLE NO PERMITIDO", "OK"), "OK"))</f>
        <v/>
      </c>
      <c r="AR1887" s="79">
        <f>IF(AN1887="","",IF(OR(AO1887&lt;&gt;"OK", AP1887&lt;&gt;"OK", AQ1887&lt;&gt;"OK"), "⚠️ REVISAR", "OK"))</f>
        <v/>
      </c>
    </row>
    <row r="1888">
      <c r="A1888" s="79">
        <f>IF('Ordenes_Odoo'!A1888="","",'Ordenes_Odoo'!A1888)</f>
        <v/>
      </c>
      <c r="B1888" s="80">
        <f>IF('Ordenes_Odoo'!B1888="","",'Ordenes_Odoo'!B1888)</f>
        <v/>
      </c>
      <c r="C1888" s="79">
        <f>IF('Ordenes_Odoo'!C1888="","",'Ordenes_Odoo'!C1888)</f>
        <v/>
      </c>
      <c r="D1888" s="79">
        <f>IF('Ordenes_Odoo'!D1888="","",'Ordenes_Odoo'!D1888)</f>
        <v/>
      </c>
      <c r="E1888" s="79">
        <f>IF('Ordenes_Odoo'!E1888="","",'Ordenes_Odoo'!E1888)</f>
        <v/>
      </c>
      <c r="F1888" s="79">
        <f>IF('Ordenes_Odoo'!F1888="","",'Ordenes_Odoo'!F1888)</f>
        <v/>
      </c>
      <c r="G1888" s="79">
        <f>IF('Ordenes_Odoo'!G1888="","",'Ordenes_Odoo'!G1888)</f>
        <v/>
      </c>
      <c r="H1888" s="79">
        <f>IF('Ordenes_Odoo'!H1888="","",'Ordenes_Odoo'!H1888)</f>
        <v/>
      </c>
      <c r="I1888" s="79">
        <f>IF('Ordenes_Odoo'!I1888="","",'Ordenes_Odoo'!I1888)</f>
        <v/>
      </c>
      <c r="J1888" s="79">
        <f>IF('Ordenes_Odoo'!J1888="","",'Ordenes_Odoo'!J1888)</f>
        <v/>
      </c>
      <c r="K1888" s="81">
        <f>IF('Ordenes_Odoo'!K1888="","",'Ordenes_Odoo'!K1888)</f>
        <v/>
      </c>
      <c r="L1888" s="81">
        <f>IF('Ordenes_Odoo'!L1888="","",'Ordenes_Odoo'!L1888)</f>
        <v/>
      </c>
      <c r="M1888" s="79">
        <f>IF('Ordenes_Odoo'!M1888="","",'Ordenes_Odoo'!M1888)</f>
        <v/>
      </c>
      <c r="N1888" s="79">
        <f>IF('Ordenes_Odoo'!N1888="","",'Ordenes_Odoo'!N1888)</f>
        <v/>
      </c>
      <c r="O1888" s="81">
        <f>IF('Ordenes_Odoo'!O1888="","",'Ordenes_Odoo'!O1888)</f>
        <v/>
      </c>
      <c r="P1888" s="81">
        <f>IF('Ordenes_Odoo'!P1888="","",'Ordenes_Odoo'!P1888)</f>
        <v/>
      </c>
      <c r="Q1888" s="79">
        <f>IF(A1888="","",IFERROR(INDEX(Facturas_Odoo!$B:$B, MATCH(A1888, Facturas_Odoo!$D:$D, 0)), "Sin Factura"))</f>
        <v/>
      </c>
      <c r="R1888" s="80">
        <f>IF(Q1888="Sin Factura","",IFERROR(INDEX(Facturas_Odoo!$A:$A, MATCH(Q1888, Facturas_Odoo!$B:$B, 0)), ""))</f>
        <v/>
      </c>
      <c r="S1888" s="79">
        <f>IF(Q1888="Sin Factura","",IFERROR(_xlfn.XLOOKUP(1, (Facturas_Odoo!$D:$D=A1888) * (Facturas_Odoo!$K:$K=I1888), Facturas_Odoo!$L:$L, ""), ""))</f>
        <v/>
      </c>
      <c r="T1888" s="81">
        <f>IF(Q1888="Sin Factura",0,IFERROR(_xlfn.XLOOKUP(1, (Facturas_Odoo!$D:$D=A1888) * (Facturas_Odoo!$K:$K=I1888), Facturas_Odoo!$M:$M, 0), 0))</f>
        <v/>
      </c>
      <c r="U1888" s="79">
        <f>IF(Q1888="Sin Factura",0,IFERROR(_xlfn.XLOOKUP(1, (Facturas_Odoo!$D:$D=A1888) * (Facturas_Odoo!$K:$K=I1888), Facturas_Odoo!$N:$N, 0), 0))</f>
        <v/>
      </c>
      <c r="V1888" s="79">
        <f>IF(Q1888="Sin Factura",0,IFERROR(_xlfn.XLOOKUP(1, (Facturas_Odoo!$D:$D=A1888) * (Facturas_Odoo!$K:$K=I1888), Facturas_Odoo!$O:$O, 0), 0))</f>
        <v/>
      </c>
      <c r="W1888" s="81">
        <f>IF(Q1888="Sin Factura",0,IFERROR(_xlfn.XLOOKUP(1, (Facturas_Odoo!$D:$D=A1888) * (Facturas_Odoo!$K:$K=I1888), Facturas_Odoo!$Q:$Q, 0), 0))</f>
        <v/>
      </c>
      <c r="X1888" s="79">
        <f>IF(OR(Q1888="Sin Factura",Q1888=""),"",IFERROR(INDEX(Pagos_Odoo!$B:$B, MATCH(Q1888, Pagos_Odoo!$I:$I, 0)), "Sin Pago"))</f>
        <v/>
      </c>
      <c r="Y1888" s="79">
        <f>IF(X1888="Sin Pago","",IFERROR(INDEX(Pagos_Odoo!$C:$C, MATCH(X1888, Pagos_Odoo!$B:$B, 0)), ""))</f>
        <v/>
      </c>
      <c r="Z1888" s="80">
        <f>IF(X1888="Sin Pago","",IFERROR(INDEX(Pagos_Odoo!$A:$A, MATCH(X1888, Pagos_Odoo!$B:$B, 0)), ""))</f>
        <v/>
      </c>
      <c r="AA1888" s="79">
        <f>IF(X1888="Sin Pago","",IFERROR(INDEX(Pagos_Odoo!$F:$F, MATCH(X1888, Pagos_Odoo!$B:$B, 0)), ""))</f>
        <v/>
      </c>
      <c r="AB1888" s="81">
        <f>IF(X1888="Sin Pago",0,IFERROR(INDEX(Pagos_Odoo!$E:$E, MATCH(X1888, Pagos_Odoo!$B:$B, 0)), 0))</f>
        <v/>
      </c>
      <c r="AC1888" s="79">
        <f>IF(X1888="Sin Pago","",IFERROR(INDEX(Pagos_Odoo!$G:$G, MATCH(X1888, Pagos_Odoo!$B:$B, 0)), ""))</f>
        <v/>
      </c>
      <c r="AD1888" s="82" t="n">
        <v>0</v>
      </c>
      <c r="AE1888" s="82" t="n"/>
      <c r="AF1888" s="82" t="n"/>
      <c r="AG1888" s="82">
        <f>IF(AN1888="","",AD1888+AE1888+AF1888)</f>
        <v/>
      </c>
      <c r="AH1888" s="81">
        <f>IF(AN1888="","",P1888*(1-AG1888))</f>
        <v/>
      </c>
      <c r="AI1888" s="81">
        <f>IF(AN1888="","",IF(Q1888="Sin Factura",0,IFERROR(INDEX(Facturas_Odoo!$H:$H, MATCH(Q1888, Facturas_Odoo!$B:$B, 0)), 0)*(1-AG1888)))</f>
        <v/>
      </c>
      <c r="AJ1888" s="81">
        <f>IF(AN1888="","",_xlfn.LET(idVenta, AN1888&amp;"",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88" s="81">
        <f>IF(AN1888="","",AH1888-AJ1888)</f>
        <v/>
      </c>
      <c r="AL1888" s="81">
        <f>IF(AN1888="","",IF(Q1888="Sin Factura","",AI1888-AJ1888))</f>
        <v/>
      </c>
      <c r="AM1888" s="81">
        <f>IF(AN1888="","",IF(Q1888="Sin Factura",0,P1888-IFERROR(INDEX(Facturas_Odoo!$H:$H, MATCH(Q1888, Facturas_Odoo!$B:$B, 0)), 0)))</f>
        <v/>
      </c>
      <c r="AN1888" s="79">
        <f>IF(AND(A1888="", J1888=""), "", IF(A1888&lt;&gt;"", VALUE(MID(A1888,2,LEN(A1888))), AN1887))</f>
        <v/>
      </c>
      <c r="AO1888" s="79">
        <f>IF(AN1888="","",IF(AD1888=0,"OK",_xlfn.LET(monedaPago, IF(AA1888="","USD",AA1888), limitePermitido, IFERROR(VLOOKUP(monedaPago, Configuración!$A$2:$B$3, 2, FALSE), 0.15), IF(AD1888&gt;limitePermitido, "ALERTA: EXCESO (" &amp; TEXT(limitePermitido, "0%") &amp; " máx)", "OK"))))</f>
        <v/>
      </c>
      <c r="AP1888" s="79">
        <f>IF(AN1888="","",IF(AE1888=0,"OK",_xlfn.LET(fechaPago, Z1888, fechaFactura, R1888, diasCredito, IF(E1888="Pago inmediato", 0, IFERROR(VALUE(MID(E1888, 1, SEARCH(" ", E1888)-1)),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88" s="79">
        <f>IF(AN1888="","",IF(AND(N1888&gt;0, AG1888&gt;0), IF(Configuración!$K$2="NO", "ALERTA: DESCUENTO DOBLE NO PERMITIDO", "OK"), "OK"))</f>
        <v/>
      </c>
      <c r="AR1888" s="79">
        <f>IF(AN1888="","",IF(OR(AO1888&lt;&gt;"OK", AP1888&lt;&gt;"OK", AQ1888&lt;&gt;"OK"), "⚠️ REVISAR", "OK"))</f>
        <v/>
      </c>
    </row>
    <row r="1889">
      <c r="A1889" s="79">
        <f>IF('Ordenes_Odoo'!A1889="","",'Ordenes_Odoo'!A1889)</f>
        <v/>
      </c>
      <c r="B1889" s="80">
        <f>IF('Ordenes_Odoo'!B1889="","",'Ordenes_Odoo'!B1889)</f>
        <v/>
      </c>
      <c r="C1889" s="79">
        <f>IF('Ordenes_Odoo'!C1889="","",'Ordenes_Odoo'!C1889)</f>
        <v/>
      </c>
      <c r="D1889" s="79">
        <f>IF('Ordenes_Odoo'!D1889="","",'Ordenes_Odoo'!D1889)</f>
        <v/>
      </c>
      <c r="E1889" s="79">
        <f>IF('Ordenes_Odoo'!E1889="","",'Ordenes_Odoo'!E1889)</f>
        <v/>
      </c>
      <c r="F1889" s="79">
        <f>IF('Ordenes_Odoo'!F1889="","",'Ordenes_Odoo'!F1889)</f>
        <v/>
      </c>
      <c r="G1889" s="79">
        <f>IF('Ordenes_Odoo'!G1889="","",'Ordenes_Odoo'!G1889)</f>
        <v/>
      </c>
      <c r="H1889" s="79">
        <f>IF('Ordenes_Odoo'!H1889="","",'Ordenes_Odoo'!H1889)</f>
        <v/>
      </c>
      <c r="I1889" s="79">
        <f>IF('Ordenes_Odoo'!I1889="","",'Ordenes_Odoo'!I1889)</f>
        <v/>
      </c>
      <c r="J1889" s="79">
        <f>IF('Ordenes_Odoo'!J1889="","",'Ordenes_Odoo'!J1889)</f>
        <v/>
      </c>
      <c r="K1889" s="81">
        <f>IF('Ordenes_Odoo'!K1889="","",'Ordenes_Odoo'!K1889)</f>
        <v/>
      </c>
      <c r="L1889" s="81">
        <f>IF('Ordenes_Odoo'!L1889="","",'Ordenes_Odoo'!L1889)</f>
        <v/>
      </c>
      <c r="M1889" s="79">
        <f>IF('Ordenes_Odoo'!M1889="","",'Ordenes_Odoo'!M1889)</f>
        <v/>
      </c>
      <c r="N1889" s="79">
        <f>IF('Ordenes_Odoo'!N1889="","",'Ordenes_Odoo'!N1889)</f>
        <v/>
      </c>
      <c r="O1889" s="81">
        <f>IF('Ordenes_Odoo'!O1889="","",'Ordenes_Odoo'!O1889)</f>
        <v/>
      </c>
      <c r="P1889" s="81">
        <f>IF('Ordenes_Odoo'!P1889="","",'Ordenes_Odoo'!P1889)</f>
        <v/>
      </c>
      <c r="Q1889" s="79">
        <f>IF(A1889="","",IFERROR(INDEX(Facturas_Odoo!$B:$B, MATCH(A1889, Facturas_Odoo!$D:$D, 0)), "Sin Factura"))</f>
        <v/>
      </c>
      <c r="R1889" s="80">
        <f>IF(Q1889="Sin Factura","",IFERROR(INDEX(Facturas_Odoo!$A:$A, MATCH(Q1889, Facturas_Odoo!$B:$B, 0)), ""))</f>
        <v/>
      </c>
      <c r="S1889" s="79">
        <f>IF(Q1889="Sin Factura","",IFERROR(_xlfn.XLOOKUP(1, (Facturas_Odoo!$D:$D=A1889) * (Facturas_Odoo!$K:$K=I1889), Facturas_Odoo!$L:$L, ""), ""))</f>
        <v/>
      </c>
      <c r="T1889" s="81">
        <f>IF(Q1889="Sin Factura",0,IFERROR(_xlfn.XLOOKUP(1, (Facturas_Odoo!$D:$D=A1889) * (Facturas_Odoo!$K:$K=I1889), Facturas_Odoo!$M:$M, 0), 0))</f>
        <v/>
      </c>
      <c r="U1889" s="79">
        <f>IF(Q1889="Sin Factura",0,IFERROR(_xlfn.XLOOKUP(1, (Facturas_Odoo!$D:$D=A1889) * (Facturas_Odoo!$K:$K=I1889), Facturas_Odoo!$N:$N, 0), 0))</f>
        <v/>
      </c>
      <c r="V1889" s="79">
        <f>IF(Q1889="Sin Factura",0,IFERROR(_xlfn.XLOOKUP(1, (Facturas_Odoo!$D:$D=A1889) * (Facturas_Odoo!$K:$K=I1889), Facturas_Odoo!$O:$O, 0), 0))</f>
        <v/>
      </c>
      <c r="W1889" s="81">
        <f>IF(Q1889="Sin Factura",0,IFERROR(_xlfn.XLOOKUP(1, (Facturas_Odoo!$D:$D=A1889) * (Facturas_Odoo!$K:$K=I1889), Facturas_Odoo!$Q:$Q, 0), 0))</f>
        <v/>
      </c>
      <c r="X1889" s="79">
        <f>IF(OR(Q1889="Sin Factura",Q1889=""),"",IFERROR(INDEX(Pagos_Odoo!$B:$B, MATCH(Q1889, Pagos_Odoo!$I:$I, 0)), "Sin Pago"))</f>
        <v/>
      </c>
      <c r="Y1889" s="79">
        <f>IF(X1889="Sin Pago","",IFERROR(INDEX(Pagos_Odoo!$C:$C, MATCH(X1889, Pagos_Odoo!$B:$B, 0)), ""))</f>
        <v/>
      </c>
      <c r="Z1889" s="80">
        <f>IF(X1889="Sin Pago","",IFERROR(INDEX(Pagos_Odoo!$A:$A, MATCH(X1889, Pagos_Odoo!$B:$B, 0)), ""))</f>
        <v/>
      </c>
      <c r="AA1889" s="79">
        <f>IF(X1889="Sin Pago","",IFERROR(INDEX(Pagos_Odoo!$F:$F, MATCH(X1889, Pagos_Odoo!$B:$B, 0)), ""))</f>
        <v/>
      </c>
      <c r="AB1889" s="81">
        <f>IF(X1889="Sin Pago",0,IFERROR(INDEX(Pagos_Odoo!$E:$E, MATCH(X1889, Pagos_Odoo!$B:$B, 0)), 0))</f>
        <v/>
      </c>
      <c r="AC1889" s="79">
        <f>IF(X1889="Sin Pago","",IFERROR(INDEX(Pagos_Odoo!$G:$G, MATCH(X1889, Pagos_Odoo!$B:$B, 0)), ""))</f>
        <v/>
      </c>
      <c r="AD1889" s="82" t="n">
        <v>0</v>
      </c>
      <c r="AE1889" s="82" t="n"/>
      <c r="AF1889" s="82" t="n"/>
      <c r="AG1889" s="82">
        <f>IF(AN1889="","",AD1889+AE1889+AF1889)</f>
        <v/>
      </c>
      <c r="AH1889" s="81">
        <f>IF(AN1889="","",P1889*(1-AG1889))</f>
        <v/>
      </c>
      <c r="AI1889" s="81">
        <f>IF(AN1889="","",IF(Q1889="Sin Factura",0,IFERROR(INDEX(Facturas_Odoo!$H:$H, MATCH(Q1889, Facturas_Odoo!$B:$B, 0)), 0)*(1-AG1889)))</f>
        <v/>
      </c>
      <c r="AJ1889" s="81">
        <f>IF(AN1889="","",_xlfn.LET(idVenta, AN1889&amp;"",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89" s="81">
        <f>IF(AN1889="","",AH1889-AJ1889)</f>
        <v/>
      </c>
      <c r="AL1889" s="81">
        <f>IF(AN1889="","",IF(Q1889="Sin Factura","",AI1889-AJ1889))</f>
        <v/>
      </c>
      <c r="AM1889" s="81">
        <f>IF(AN1889="","",IF(Q1889="Sin Factura",0,P1889-IFERROR(INDEX(Facturas_Odoo!$H:$H, MATCH(Q1889, Facturas_Odoo!$B:$B, 0)), 0)))</f>
        <v/>
      </c>
      <c r="AN1889" s="79">
        <f>IF(AND(A1889="", J1889=""), "", IF(A1889&lt;&gt;"", VALUE(MID(A1889,2,LEN(A1889))), AN1888))</f>
        <v/>
      </c>
      <c r="AO1889" s="79">
        <f>IF(AN1889="","",IF(AD1889=0,"OK",_xlfn.LET(monedaPago, IF(AA1889="","USD",AA1889), limitePermitido, IFERROR(VLOOKUP(monedaPago, Configuración!$A$2:$B$3, 2, FALSE), 0.15), IF(AD1889&gt;limitePermitido, "ALERTA: EXCESO (" &amp; TEXT(limitePermitido, "0%") &amp; " máx)", "OK"))))</f>
        <v/>
      </c>
      <c r="AP1889" s="79">
        <f>IF(AN1889="","",IF(AE1889=0,"OK",_xlfn.LET(fechaPago, Z1889, fechaFactura, R1889, diasCredito, IF(E1889="Pago inmediato", 0, IFERROR(VALUE(MID(E1889, 1, SEARCH(" ", E1889)-1)),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89" s="79">
        <f>IF(AN1889="","",IF(AND(N1889&gt;0, AG1889&gt;0), IF(Configuración!$K$2="NO", "ALERTA: DESCUENTO DOBLE NO PERMITIDO", "OK"), "OK"))</f>
        <v/>
      </c>
      <c r="AR1889" s="79">
        <f>IF(AN1889="","",IF(OR(AO1889&lt;&gt;"OK", AP1889&lt;&gt;"OK", AQ1889&lt;&gt;"OK"), "⚠️ REVISAR", "OK"))</f>
        <v/>
      </c>
    </row>
    <row r="1890">
      <c r="A1890" s="79">
        <f>IF('Ordenes_Odoo'!A1890="","",'Ordenes_Odoo'!A1890)</f>
        <v/>
      </c>
      <c r="B1890" s="80">
        <f>IF('Ordenes_Odoo'!B1890="","",'Ordenes_Odoo'!B1890)</f>
        <v/>
      </c>
      <c r="C1890" s="79">
        <f>IF('Ordenes_Odoo'!C1890="","",'Ordenes_Odoo'!C1890)</f>
        <v/>
      </c>
      <c r="D1890" s="79">
        <f>IF('Ordenes_Odoo'!D1890="","",'Ordenes_Odoo'!D1890)</f>
        <v/>
      </c>
      <c r="E1890" s="79">
        <f>IF('Ordenes_Odoo'!E1890="","",'Ordenes_Odoo'!E1890)</f>
        <v/>
      </c>
      <c r="F1890" s="79">
        <f>IF('Ordenes_Odoo'!F1890="","",'Ordenes_Odoo'!F1890)</f>
        <v/>
      </c>
      <c r="G1890" s="79">
        <f>IF('Ordenes_Odoo'!G1890="","",'Ordenes_Odoo'!G1890)</f>
        <v/>
      </c>
      <c r="H1890" s="79">
        <f>IF('Ordenes_Odoo'!H1890="","",'Ordenes_Odoo'!H1890)</f>
        <v/>
      </c>
      <c r="I1890" s="79">
        <f>IF('Ordenes_Odoo'!I1890="","",'Ordenes_Odoo'!I1890)</f>
        <v/>
      </c>
      <c r="J1890" s="79">
        <f>IF('Ordenes_Odoo'!J1890="","",'Ordenes_Odoo'!J1890)</f>
        <v/>
      </c>
      <c r="K1890" s="81">
        <f>IF('Ordenes_Odoo'!K1890="","",'Ordenes_Odoo'!K1890)</f>
        <v/>
      </c>
      <c r="L1890" s="81">
        <f>IF('Ordenes_Odoo'!L1890="","",'Ordenes_Odoo'!L1890)</f>
        <v/>
      </c>
      <c r="M1890" s="79">
        <f>IF('Ordenes_Odoo'!M1890="","",'Ordenes_Odoo'!M1890)</f>
        <v/>
      </c>
      <c r="N1890" s="79">
        <f>IF('Ordenes_Odoo'!N1890="","",'Ordenes_Odoo'!N1890)</f>
        <v/>
      </c>
      <c r="O1890" s="81">
        <f>IF('Ordenes_Odoo'!O1890="","",'Ordenes_Odoo'!O1890)</f>
        <v/>
      </c>
      <c r="P1890" s="81">
        <f>IF('Ordenes_Odoo'!P1890="","",'Ordenes_Odoo'!P1890)</f>
        <v/>
      </c>
      <c r="Q1890" s="79">
        <f>IF(A1890="","",IFERROR(INDEX(Facturas_Odoo!$B:$B, MATCH(A1890, Facturas_Odoo!$D:$D, 0)), "Sin Factura"))</f>
        <v/>
      </c>
      <c r="R1890" s="80">
        <f>IF(Q1890="Sin Factura","",IFERROR(INDEX(Facturas_Odoo!$A:$A, MATCH(Q1890, Facturas_Odoo!$B:$B, 0)), ""))</f>
        <v/>
      </c>
      <c r="S1890" s="79">
        <f>IF(Q1890="Sin Factura","",IFERROR(_xlfn.XLOOKUP(1, (Facturas_Odoo!$D:$D=A1890) * (Facturas_Odoo!$K:$K=I1890), Facturas_Odoo!$L:$L, ""), ""))</f>
        <v/>
      </c>
      <c r="T1890" s="81">
        <f>IF(Q1890="Sin Factura",0,IFERROR(_xlfn.XLOOKUP(1, (Facturas_Odoo!$D:$D=A1890) * (Facturas_Odoo!$K:$K=I1890), Facturas_Odoo!$M:$M, 0), 0))</f>
        <v/>
      </c>
      <c r="U1890" s="79">
        <f>IF(Q1890="Sin Factura",0,IFERROR(_xlfn.XLOOKUP(1, (Facturas_Odoo!$D:$D=A1890) * (Facturas_Odoo!$K:$K=I1890), Facturas_Odoo!$N:$N, 0), 0))</f>
        <v/>
      </c>
      <c r="V1890" s="79">
        <f>IF(Q1890="Sin Factura",0,IFERROR(_xlfn.XLOOKUP(1, (Facturas_Odoo!$D:$D=A1890) * (Facturas_Odoo!$K:$K=I1890), Facturas_Odoo!$O:$O, 0), 0))</f>
        <v/>
      </c>
      <c r="W1890" s="81">
        <f>IF(Q1890="Sin Factura",0,IFERROR(_xlfn.XLOOKUP(1, (Facturas_Odoo!$D:$D=A1890) * (Facturas_Odoo!$K:$K=I1890), Facturas_Odoo!$Q:$Q, 0), 0))</f>
        <v/>
      </c>
      <c r="X1890" s="79">
        <f>IF(OR(Q1890="Sin Factura",Q1890=""),"",IFERROR(INDEX(Pagos_Odoo!$B:$B, MATCH(Q1890, Pagos_Odoo!$I:$I, 0)), "Sin Pago"))</f>
        <v/>
      </c>
      <c r="Y1890" s="79">
        <f>IF(X1890="Sin Pago","",IFERROR(INDEX(Pagos_Odoo!$C:$C, MATCH(X1890, Pagos_Odoo!$B:$B, 0)), ""))</f>
        <v/>
      </c>
      <c r="Z1890" s="80">
        <f>IF(X1890="Sin Pago","",IFERROR(INDEX(Pagos_Odoo!$A:$A, MATCH(X1890, Pagos_Odoo!$B:$B, 0)), ""))</f>
        <v/>
      </c>
      <c r="AA1890" s="79">
        <f>IF(X1890="Sin Pago","",IFERROR(INDEX(Pagos_Odoo!$F:$F, MATCH(X1890, Pagos_Odoo!$B:$B, 0)), ""))</f>
        <v/>
      </c>
      <c r="AB1890" s="81">
        <f>IF(X1890="Sin Pago",0,IFERROR(INDEX(Pagos_Odoo!$E:$E, MATCH(X1890, Pagos_Odoo!$B:$B, 0)), 0))</f>
        <v/>
      </c>
      <c r="AC1890" s="79">
        <f>IF(X1890="Sin Pago","",IFERROR(INDEX(Pagos_Odoo!$G:$G, MATCH(X1890, Pagos_Odoo!$B:$B, 0)), ""))</f>
        <v/>
      </c>
      <c r="AD1890" s="82" t="n">
        <v>0</v>
      </c>
      <c r="AE1890" s="82" t="n"/>
      <c r="AF1890" s="82" t="n"/>
      <c r="AG1890" s="82">
        <f>IF(AN1890="","",AD1890+AE1890+AF1890)</f>
        <v/>
      </c>
      <c r="AH1890" s="81">
        <f>IF(AN1890="","",P1890*(1-AG1890))</f>
        <v/>
      </c>
      <c r="AI1890" s="81">
        <f>IF(AN1890="","",IF(Q1890="Sin Factura",0,IFERROR(INDEX(Facturas_Odoo!$H:$H, MATCH(Q1890, Facturas_Odoo!$B:$B, 0)), 0)*(1-AG1890)))</f>
        <v/>
      </c>
      <c r="AJ1890" s="81">
        <f>IF(AN1890="","",_xlfn.LET(idVenta, AN1890&amp;"",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90" s="81">
        <f>IF(AN1890="","",AH1890-AJ1890)</f>
        <v/>
      </c>
      <c r="AL1890" s="81">
        <f>IF(AN1890="","",IF(Q1890="Sin Factura","",AI1890-AJ1890))</f>
        <v/>
      </c>
      <c r="AM1890" s="81">
        <f>IF(AN1890="","",IF(Q1890="Sin Factura",0,P1890-IFERROR(INDEX(Facturas_Odoo!$H:$H, MATCH(Q1890, Facturas_Odoo!$B:$B, 0)), 0)))</f>
        <v/>
      </c>
      <c r="AN1890" s="79">
        <f>IF(AND(A1890="", J1890=""), "", IF(A1890&lt;&gt;"", VALUE(MID(A1890,2,LEN(A1890))), AN1889))</f>
        <v/>
      </c>
      <c r="AO1890" s="79">
        <f>IF(AN1890="","",IF(AD1890=0,"OK",_xlfn.LET(monedaPago, IF(AA1890="","USD",AA1890), limitePermitido, IFERROR(VLOOKUP(monedaPago, Configuración!$A$2:$B$3, 2, FALSE), 0.15), IF(AD1890&gt;limitePermitido, "ALERTA: EXCESO (" &amp; TEXT(limitePermitido, "0%") &amp; " máx)", "OK"))))</f>
        <v/>
      </c>
      <c r="AP1890" s="79">
        <f>IF(AN1890="","",IF(AE1890=0,"OK",_xlfn.LET(fechaPago, Z1890, fechaFactura, R1890, diasCredito, IF(E1890="Pago inmediato", 0, IFERROR(VALUE(MID(E1890, 1, SEARCH(" ", E1890)-1)),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90" s="79">
        <f>IF(AN1890="","",IF(AND(N1890&gt;0, AG1890&gt;0), IF(Configuración!$K$2="NO", "ALERTA: DESCUENTO DOBLE NO PERMITIDO", "OK"), "OK"))</f>
        <v/>
      </c>
      <c r="AR1890" s="79">
        <f>IF(AN1890="","",IF(OR(AO1890&lt;&gt;"OK", AP1890&lt;&gt;"OK", AQ1890&lt;&gt;"OK"), "⚠️ REVISAR", "OK"))</f>
        <v/>
      </c>
    </row>
    <row r="1891">
      <c r="A1891" s="79">
        <f>IF('Ordenes_Odoo'!A1891="","",'Ordenes_Odoo'!A1891)</f>
        <v/>
      </c>
      <c r="B1891" s="80">
        <f>IF('Ordenes_Odoo'!B1891="","",'Ordenes_Odoo'!B1891)</f>
        <v/>
      </c>
      <c r="C1891" s="79">
        <f>IF('Ordenes_Odoo'!C1891="","",'Ordenes_Odoo'!C1891)</f>
        <v/>
      </c>
      <c r="D1891" s="79">
        <f>IF('Ordenes_Odoo'!D1891="","",'Ordenes_Odoo'!D1891)</f>
        <v/>
      </c>
      <c r="E1891" s="79">
        <f>IF('Ordenes_Odoo'!E1891="","",'Ordenes_Odoo'!E1891)</f>
        <v/>
      </c>
      <c r="F1891" s="79">
        <f>IF('Ordenes_Odoo'!F1891="","",'Ordenes_Odoo'!F1891)</f>
        <v/>
      </c>
      <c r="G1891" s="79">
        <f>IF('Ordenes_Odoo'!G1891="","",'Ordenes_Odoo'!G1891)</f>
        <v/>
      </c>
      <c r="H1891" s="79">
        <f>IF('Ordenes_Odoo'!H1891="","",'Ordenes_Odoo'!H1891)</f>
        <v/>
      </c>
      <c r="I1891" s="79">
        <f>IF('Ordenes_Odoo'!I1891="","",'Ordenes_Odoo'!I1891)</f>
        <v/>
      </c>
      <c r="J1891" s="79">
        <f>IF('Ordenes_Odoo'!J1891="","",'Ordenes_Odoo'!J1891)</f>
        <v/>
      </c>
      <c r="K1891" s="81">
        <f>IF('Ordenes_Odoo'!K1891="","",'Ordenes_Odoo'!K1891)</f>
        <v/>
      </c>
      <c r="L1891" s="81">
        <f>IF('Ordenes_Odoo'!L1891="","",'Ordenes_Odoo'!L1891)</f>
        <v/>
      </c>
      <c r="M1891" s="79">
        <f>IF('Ordenes_Odoo'!M1891="","",'Ordenes_Odoo'!M1891)</f>
        <v/>
      </c>
      <c r="N1891" s="79">
        <f>IF('Ordenes_Odoo'!N1891="","",'Ordenes_Odoo'!N1891)</f>
        <v/>
      </c>
      <c r="O1891" s="81">
        <f>IF('Ordenes_Odoo'!O1891="","",'Ordenes_Odoo'!O1891)</f>
        <v/>
      </c>
      <c r="P1891" s="81">
        <f>IF('Ordenes_Odoo'!P1891="","",'Ordenes_Odoo'!P1891)</f>
        <v/>
      </c>
      <c r="Q1891" s="79">
        <f>IF(A1891="","",IFERROR(INDEX(Facturas_Odoo!$B:$B, MATCH(A1891, Facturas_Odoo!$D:$D, 0)), "Sin Factura"))</f>
        <v/>
      </c>
      <c r="R1891" s="80">
        <f>IF(Q1891="Sin Factura","",IFERROR(INDEX(Facturas_Odoo!$A:$A, MATCH(Q1891, Facturas_Odoo!$B:$B, 0)), ""))</f>
        <v/>
      </c>
      <c r="S1891" s="79">
        <f>IF(Q1891="Sin Factura","",IFERROR(_xlfn.XLOOKUP(1, (Facturas_Odoo!$D:$D=A1891) * (Facturas_Odoo!$K:$K=I1891), Facturas_Odoo!$L:$L, ""), ""))</f>
        <v/>
      </c>
      <c r="T1891" s="81">
        <f>IF(Q1891="Sin Factura",0,IFERROR(_xlfn.XLOOKUP(1, (Facturas_Odoo!$D:$D=A1891) * (Facturas_Odoo!$K:$K=I1891), Facturas_Odoo!$M:$M, 0), 0))</f>
        <v/>
      </c>
      <c r="U1891" s="79">
        <f>IF(Q1891="Sin Factura",0,IFERROR(_xlfn.XLOOKUP(1, (Facturas_Odoo!$D:$D=A1891) * (Facturas_Odoo!$K:$K=I1891), Facturas_Odoo!$N:$N, 0), 0))</f>
        <v/>
      </c>
      <c r="V1891" s="79">
        <f>IF(Q1891="Sin Factura",0,IFERROR(_xlfn.XLOOKUP(1, (Facturas_Odoo!$D:$D=A1891) * (Facturas_Odoo!$K:$K=I1891), Facturas_Odoo!$O:$O, 0), 0))</f>
        <v/>
      </c>
      <c r="W1891" s="81">
        <f>IF(Q1891="Sin Factura",0,IFERROR(_xlfn.XLOOKUP(1, (Facturas_Odoo!$D:$D=A1891) * (Facturas_Odoo!$K:$K=I1891), Facturas_Odoo!$Q:$Q, 0), 0))</f>
        <v/>
      </c>
      <c r="X1891" s="79">
        <f>IF(OR(Q1891="Sin Factura",Q1891=""),"",IFERROR(INDEX(Pagos_Odoo!$B:$B, MATCH(Q1891, Pagos_Odoo!$I:$I, 0)), "Sin Pago"))</f>
        <v/>
      </c>
      <c r="Y1891" s="79">
        <f>IF(X1891="Sin Pago","",IFERROR(INDEX(Pagos_Odoo!$C:$C, MATCH(X1891, Pagos_Odoo!$B:$B, 0)), ""))</f>
        <v/>
      </c>
      <c r="Z1891" s="80">
        <f>IF(X1891="Sin Pago","",IFERROR(INDEX(Pagos_Odoo!$A:$A, MATCH(X1891, Pagos_Odoo!$B:$B, 0)), ""))</f>
        <v/>
      </c>
      <c r="AA1891" s="79">
        <f>IF(X1891="Sin Pago","",IFERROR(INDEX(Pagos_Odoo!$F:$F, MATCH(X1891, Pagos_Odoo!$B:$B, 0)), ""))</f>
        <v/>
      </c>
      <c r="AB1891" s="81">
        <f>IF(X1891="Sin Pago",0,IFERROR(INDEX(Pagos_Odoo!$E:$E, MATCH(X1891, Pagos_Odoo!$B:$B, 0)), 0))</f>
        <v/>
      </c>
      <c r="AC1891" s="79">
        <f>IF(X1891="Sin Pago","",IFERROR(INDEX(Pagos_Odoo!$G:$G, MATCH(X1891, Pagos_Odoo!$B:$B, 0)), ""))</f>
        <v/>
      </c>
      <c r="AD1891" s="82" t="n">
        <v>0</v>
      </c>
      <c r="AE1891" s="82" t="n"/>
      <c r="AF1891" s="82" t="n"/>
      <c r="AG1891" s="82">
        <f>IF(AN1891="","",AD1891+AE1891+AF1891)</f>
        <v/>
      </c>
      <c r="AH1891" s="81">
        <f>IF(AN1891="","",P1891*(1-AG1891))</f>
        <v/>
      </c>
      <c r="AI1891" s="81">
        <f>IF(AN1891="","",IF(Q1891="Sin Factura",0,IFERROR(INDEX(Facturas_Odoo!$H:$H, MATCH(Q1891, Facturas_Odoo!$B:$B, 0)), 0)*(1-AG1891)))</f>
        <v/>
      </c>
      <c r="AJ1891" s="81">
        <f>IF(AN1891="","",_xlfn.LET(idVenta, AN1891&amp;"",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91" s="81">
        <f>IF(AN1891="","",AH1891-AJ1891)</f>
        <v/>
      </c>
      <c r="AL1891" s="81">
        <f>IF(AN1891="","",IF(Q1891="Sin Factura","",AI1891-AJ1891))</f>
        <v/>
      </c>
      <c r="AM1891" s="81">
        <f>IF(AN1891="","",IF(Q1891="Sin Factura",0,P1891-IFERROR(INDEX(Facturas_Odoo!$H:$H, MATCH(Q1891, Facturas_Odoo!$B:$B, 0)), 0)))</f>
        <v/>
      </c>
      <c r="AN1891" s="79">
        <f>IF(AND(A1891="", J1891=""), "", IF(A1891&lt;&gt;"", VALUE(MID(A1891,2,LEN(A1891))), AN1890))</f>
        <v/>
      </c>
      <c r="AO1891" s="79">
        <f>IF(AN1891="","",IF(AD1891=0,"OK",_xlfn.LET(monedaPago, IF(AA1891="","USD",AA1891), limitePermitido, IFERROR(VLOOKUP(monedaPago, Configuración!$A$2:$B$3, 2, FALSE), 0.15), IF(AD1891&gt;limitePermitido, "ALERTA: EXCESO (" &amp; TEXT(limitePermitido, "0%") &amp; " máx)", "OK"))))</f>
        <v/>
      </c>
      <c r="AP1891" s="79">
        <f>IF(AN1891="","",IF(AE1891=0,"OK",_xlfn.LET(fechaPago, Z1891, fechaFactura, R1891, diasCredito, IF(E1891="Pago inmediato", 0, IFERROR(VALUE(MID(E1891, 1, SEARCH(" ", E1891)-1)),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91" s="79">
        <f>IF(AN1891="","",IF(AND(N1891&gt;0, AG1891&gt;0), IF(Configuración!$K$2="NO", "ALERTA: DESCUENTO DOBLE NO PERMITIDO", "OK"), "OK"))</f>
        <v/>
      </c>
      <c r="AR1891" s="79">
        <f>IF(AN1891="","",IF(OR(AO1891&lt;&gt;"OK", AP1891&lt;&gt;"OK", AQ1891&lt;&gt;"OK"), "⚠️ REVISAR", "OK"))</f>
        <v/>
      </c>
    </row>
    <row r="1892">
      <c r="A1892" s="79">
        <f>IF('Ordenes_Odoo'!A1892="","",'Ordenes_Odoo'!A1892)</f>
        <v/>
      </c>
      <c r="B1892" s="80">
        <f>IF('Ordenes_Odoo'!B1892="","",'Ordenes_Odoo'!B1892)</f>
        <v/>
      </c>
      <c r="C1892" s="79">
        <f>IF('Ordenes_Odoo'!C1892="","",'Ordenes_Odoo'!C1892)</f>
        <v/>
      </c>
      <c r="D1892" s="79">
        <f>IF('Ordenes_Odoo'!D1892="","",'Ordenes_Odoo'!D1892)</f>
        <v/>
      </c>
      <c r="E1892" s="79">
        <f>IF('Ordenes_Odoo'!E1892="","",'Ordenes_Odoo'!E1892)</f>
        <v/>
      </c>
      <c r="F1892" s="79">
        <f>IF('Ordenes_Odoo'!F1892="","",'Ordenes_Odoo'!F1892)</f>
        <v/>
      </c>
      <c r="G1892" s="79">
        <f>IF('Ordenes_Odoo'!G1892="","",'Ordenes_Odoo'!G1892)</f>
        <v/>
      </c>
      <c r="H1892" s="79">
        <f>IF('Ordenes_Odoo'!H1892="","",'Ordenes_Odoo'!H1892)</f>
        <v/>
      </c>
      <c r="I1892" s="79">
        <f>IF('Ordenes_Odoo'!I1892="","",'Ordenes_Odoo'!I1892)</f>
        <v/>
      </c>
      <c r="J1892" s="79">
        <f>IF('Ordenes_Odoo'!J1892="","",'Ordenes_Odoo'!J1892)</f>
        <v/>
      </c>
      <c r="K1892" s="81">
        <f>IF('Ordenes_Odoo'!K1892="","",'Ordenes_Odoo'!K1892)</f>
        <v/>
      </c>
      <c r="L1892" s="81">
        <f>IF('Ordenes_Odoo'!L1892="","",'Ordenes_Odoo'!L1892)</f>
        <v/>
      </c>
      <c r="M1892" s="79">
        <f>IF('Ordenes_Odoo'!M1892="","",'Ordenes_Odoo'!M1892)</f>
        <v/>
      </c>
      <c r="N1892" s="79">
        <f>IF('Ordenes_Odoo'!N1892="","",'Ordenes_Odoo'!N1892)</f>
        <v/>
      </c>
      <c r="O1892" s="81">
        <f>IF('Ordenes_Odoo'!O1892="","",'Ordenes_Odoo'!O1892)</f>
        <v/>
      </c>
      <c r="P1892" s="81">
        <f>IF('Ordenes_Odoo'!P1892="","",'Ordenes_Odoo'!P1892)</f>
        <v/>
      </c>
      <c r="Q1892" s="79">
        <f>IF(A1892="","",IFERROR(INDEX(Facturas_Odoo!$B:$B, MATCH(A1892, Facturas_Odoo!$D:$D, 0)), "Sin Factura"))</f>
        <v/>
      </c>
      <c r="R1892" s="80">
        <f>IF(Q1892="Sin Factura","",IFERROR(INDEX(Facturas_Odoo!$A:$A, MATCH(Q1892, Facturas_Odoo!$B:$B, 0)), ""))</f>
        <v/>
      </c>
      <c r="S1892" s="79">
        <f>IF(Q1892="Sin Factura","",IFERROR(_xlfn.XLOOKUP(1, (Facturas_Odoo!$D:$D=A1892) * (Facturas_Odoo!$K:$K=I1892), Facturas_Odoo!$L:$L, ""), ""))</f>
        <v/>
      </c>
      <c r="T1892" s="81">
        <f>IF(Q1892="Sin Factura",0,IFERROR(_xlfn.XLOOKUP(1, (Facturas_Odoo!$D:$D=A1892) * (Facturas_Odoo!$K:$K=I1892), Facturas_Odoo!$M:$M, 0), 0))</f>
        <v/>
      </c>
      <c r="U1892" s="79">
        <f>IF(Q1892="Sin Factura",0,IFERROR(_xlfn.XLOOKUP(1, (Facturas_Odoo!$D:$D=A1892) * (Facturas_Odoo!$K:$K=I1892), Facturas_Odoo!$N:$N, 0), 0))</f>
        <v/>
      </c>
      <c r="V1892" s="79">
        <f>IF(Q1892="Sin Factura",0,IFERROR(_xlfn.XLOOKUP(1, (Facturas_Odoo!$D:$D=A1892) * (Facturas_Odoo!$K:$K=I1892), Facturas_Odoo!$O:$O, 0), 0))</f>
        <v/>
      </c>
      <c r="W1892" s="81">
        <f>IF(Q1892="Sin Factura",0,IFERROR(_xlfn.XLOOKUP(1, (Facturas_Odoo!$D:$D=A1892) * (Facturas_Odoo!$K:$K=I1892), Facturas_Odoo!$Q:$Q, 0), 0))</f>
        <v/>
      </c>
      <c r="X1892" s="79">
        <f>IF(OR(Q1892="Sin Factura",Q1892=""),"",IFERROR(INDEX(Pagos_Odoo!$B:$B, MATCH(Q1892, Pagos_Odoo!$I:$I, 0)), "Sin Pago"))</f>
        <v/>
      </c>
      <c r="Y1892" s="79">
        <f>IF(X1892="Sin Pago","",IFERROR(INDEX(Pagos_Odoo!$C:$C, MATCH(X1892, Pagos_Odoo!$B:$B, 0)), ""))</f>
        <v/>
      </c>
      <c r="Z1892" s="80">
        <f>IF(X1892="Sin Pago","",IFERROR(INDEX(Pagos_Odoo!$A:$A, MATCH(X1892, Pagos_Odoo!$B:$B, 0)), ""))</f>
        <v/>
      </c>
      <c r="AA1892" s="79">
        <f>IF(X1892="Sin Pago","",IFERROR(INDEX(Pagos_Odoo!$F:$F, MATCH(X1892, Pagos_Odoo!$B:$B, 0)), ""))</f>
        <v/>
      </c>
      <c r="AB1892" s="81">
        <f>IF(X1892="Sin Pago",0,IFERROR(INDEX(Pagos_Odoo!$E:$E, MATCH(X1892, Pagos_Odoo!$B:$B, 0)), 0))</f>
        <v/>
      </c>
      <c r="AC1892" s="79">
        <f>IF(X1892="Sin Pago","",IFERROR(INDEX(Pagos_Odoo!$G:$G, MATCH(X1892, Pagos_Odoo!$B:$B, 0)), ""))</f>
        <v/>
      </c>
      <c r="AD1892" s="82" t="n">
        <v>0</v>
      </c>
      <c r="AE1892" s="82" t="n"/>
      <c r="AF1892" s="82" t="n"/>
      <c r="AG1892" s="82">
        <f>IF(AN1892="","",AD1892+AE1892+AF1892)</f>
        <v/>
      </c>
      <c r="AH1892" s="81">
        <f>IF(AN1892="","",P1892*(1-AG1892))</f>
        <v/>
      </c>
      <c r="AI1892" s="81">
        <f>IF(AN1892="","",IF(Q1892="Sin Factura",0,IFERROR(INDEX(Facturas_Odoo!$H:$H, MATCH(Q1892, Facturas_Odoo!$B:$B, 0)), 0)*(1-AG1892)))</f>
        <v/>
      </c>
      <c r="AJ1892" s="81">
        <f>IF(AN1892="","",_xlfn.LET(idVenta, AN1892&amp;"",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92" s="81">
        <f>IF(AN1892="","",AH1892-AJ1892)</f>
        <v/>
      </c>
      <c r="AL1892" s="81">
        <f>IF(AN1892="","",IF(Q1892="Sin Factura","",AI1892-AJ1892))</f>
        <v/>
      </c>
      <c r="AM1892" s="81">
        <f>IF(AN1892="","",IF(Q1892="Sin Factura",0,P1892-IFERROR(INDEX(Facturas_Odoo!$H:$H, MATCH(Q1892, Facturas_Odoo!$B:$B, 0)), 0)))</f>
        <v/>
      </c>
      <c r="AN1892" s="79">
        <f>IF(AND(A1892="", J1892=""), "", IF(A1892&lt;&gt;"", VALUE(MID(A1892,2,LEN(A1892))), AN1891))</f>
        <v/>
      </c>
      <c r="AO1892" s="79">
        <f>IF(AN1892="","",IF(AD1892=0,"OK",_xlfn.LET(monedaPago, IF(AA1892="","USD",AA1892), limitePermitido, IFERROR(VLOOKUP(monedaPago, Configuración!$A$2:$B$3, 2, FALSE), 0.15), IF(AD1892&gt;limitePermitido, "ALERTA: EXCESO (" &amp; TEXT(limitePermitido, "0%") &amp; " máx)", "OK"))))</f>
        <v/>
      </c>
      <c r="AP1892" s="79">
        <f>IF(AN1892="","",IF(AE1892=0,"OK",_xlfn.LET(fechaPago, Z1892, fechaFactura, R1892, diasCredito, IF(E1892="Pago inmediato", 0, IFERROR(VALUE(MID(E1892, 1, SEARCH(" ", E1892)-1)),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92" s="79">
        <f>IF(AN1892="","",IF(AND(N1892&gt;0, AG1892&gt;0), IF(Configuración!$K$2="NO", "ALERTA: DESCUENTO DOBLE NO PERMITIDO", "OK"), "OK"))</f>
        <v/>
      </c>
      <c r="AR1892" s="79">
        <f>IF(AN1892="","",IF(OR(AO1892&lt;&gt;"OK", AP1892&lt;&gt;"OK", AQ1892&lt;&gt;"OK"), "⚠️ REVISAR", "OK"))</f>
        <v/>
      </c>
    </row>
    <row r="1893">
      <c r="A1893" s="79">
        <f>IF('Ordenes_Odoo'!A1893="","",'Ordenes_Odoo'!A1893)</f>
        <v/>
      </c>
      <c r="B1893" s="80">
        <f>IF('Ordenes_Odoo'!B1893="","",'Ordenes_Odoo'!B1893)</f>
        <v/>
      </c>
      <c r="C1893" s="79">
        <f>IF('Ordenes_Odoo'!C1893="","",'Ordenes_Odoo'!C1893)</f>
        <v/>
      </c>
      <c r="D1893" s="79">
        <f>IF('Ordenes_Odoo'!D1893="","",'Ordenes_Odoo'!D1893)</f>
        <v/>
      </c>
      <c r="E1893" s="79">
        <f>IF('Ordenes_Odoo'!E1893="","",'Ordenes_Odoo'!E1893)</f>
        <v/>
      </c>
      <c r="F1893" s="79">
        <f>IF('Ordenes_Odoo'!F1893="","",'Ordenes_Odoo'!F1893)</f>
        <v/>
      </c>
      <c r="G1893" s="79">
        <f>IF('Ordenes_Odoo'!G1893="","",'Ordenes_Odoo'!G1893)</f>
        <v/>
      </c>
      <c r="H1893" s="79">
        <f>IF('Ordenes_Odoo'!H1893="","",'Ordenes_Odoo'!H1893)</f>
        <v/>
      </c>
      <c r="I1893" s="79">
        <f>IF('Ordenes_Odoo'!I1893="","",'Ordenes_Odoo'!I1893)</f>
        <v/>
      </c>
      <c r="J1893" s="79">
        <f>IF('Ordenes_Odoo'!J1893="","",'Ordenes_Odoo'!J1893)</f>
        <v/>
      </c>
      <c r="K1893" s="81">
        <f>IF('Ordenes_Odoo'!K1893="","",'Ordenes_Odoo'!K1893)</f>
        <v/>
      </c>
      <c r="L1893" s="81">
        <f>IF('Ordenes_Odoo'!L1893="","",'Ordenes_Odoo'!L1893)</f>
        <v/>
      </c>
      <c r="M1893" s="79">
        <f>IF('Ordenes_Odoo'!M1893="","",'Ordenes_Odoo'!M1893)</f>
        <v/>
      </c>
      <c r="N1893" s="79">
        <f>IF('Ordenes_Odoo'!N1893="","",'Ordenes_Odoo'!N1893)</f>
        <v/>
      </c>
      <c r="O1893" s="81">
        <f>IF('Ordenes_Odoo'!O1893="","",'Ordenes_Odoo'!O1893)</f>
        <v/>
      </c>
      <c r="P1893" s="81">
        <f>IF('Ordenes_Odoo'!P1893="","",'Ordenes_Odoo'!P1893)</f>
        <v/>
      </c>
      <c r="Q1893" s="79">
        <f>IF(A1893="","",IFERROR(INDEX(Facturas_Odoo!$B:$B, MATCH(A1893, Facturas_Odoo!$D:$D, 0)), "Sin Factura"))</f>
        <v/>
      </c>
      <c r="R1893" s="80">
        <f>IF(Q1893="Sin Factura","",IFERROR(INDEX(Facturas_Odoo!$A:$A, MATCH(Q1893, Facturas_Odoo!$B:$B, 0)), ""))</f>
        <v/>
      </c>
      <c r="S1893" s="79">
        <f>IF(Q1893="Sin Factura","",IFERROR(_xlfn.XLOOKUP(1, (Facturas_Odoo!$D:$D=A1893) * (Facturas_Odoo!$K:$K=I1893), Facturas_Odoo!$L:$L, ""), ""))</f>
        <v/>
      </c>
      <c r="T1893" s="81">
        <f>IF(Q1893="Sin Factura",0,IFERROR(_xlfn.XLOOKUP(1, (Facturas_Odoo!$D:$D=A1893) * (Facturas_Odoo!$K:$K=I1893), Facturas_Odoo!$M:$M, 0), 0))</f>
        <v/>
      </c>
      <c r="U1893" s="79">
        <f>IF(Q1893="Sin Factura",0,IFERROR(_xlfn.XLOOKUP(1, (Facturas_Odoo!$D:$D=A1893) * (Facturas_Odoo!$K:$K=I1893), Facturas_Odoo!$N:$N, 0), 0))</f>
        <v/>
      </c>
      <c r="V1893" s="79">
        <f>IF(Q1893="Sin Factura",0,IFERROR(_xlfn.XLOOKUP(1, (Facturas_Odoo!$D:$D=A1893) * (Facturas_Odoo!$K:$K=I1893), Facturas_Odoo!$O:$O, 0), 0))</f>
        <v/>
      </c>
      <c r="W1893" s="81">
        <f>IF(Q1893="Sin Factura",0,IFERROR(_xlfn.XLOOKUP(1, (Facturas_Odoo!$D:$D=A1893) * (Facturas_Odoo!$K:$K=I1893), Facturas_Odoo!$Q:$Q, 0), 0))</f>
        <v/>
      </c>
      <c r="X1893" s="79">
        <f>IF(OR(Q1893="Sin Factura",Q1893=""),"",IFERROR(INDEX(Pagos_Odoo!$B:$B, MATCH(Q1893, Pagos_Odoo!$I:$I, 0)), "Sin Pago"))</f>
        <v/>
      </c>
      <c r="Y1893" s="79">
        <f>IF(X1893="Sin Pago","",IFERROR(INDEX(Pagos_Odoo!$C:$C, MATCH(X1893, Pagos_Odoo!$B:$B, 0)), ""))</f>
        <v/>
      </c>
      <c r="Z1893" s="80">
        <f>IF(X1893="Sin Pago","",IFERROR(INDEX(Pagos_Odoo!$A:$A, MATCH(X1893, Pagos_Odoo!$B:$B, 0)), ""))</f>
        <v/>
      </c>
      <c r="AA1893" s="79">
        <f>IF(X1893="Sin Pago","",IFERROR(INDEX(Pagos_Odoo!$F:$F, MATCH(X1893, Pagos_Odoo!$B:$B, 0)), ""))</f>
        <v/>
      </c>
      <c r="AB1893" s="81">
        <f>IF(X1893="Sin Pago",0,IFERROR(INDEX(Pagos_Odoo!$E:$E, MATCH(X1893, Pagos_Odoo!$B:$B, 0)), 0))</f>
        <v/>
      </c>
      <c r="AC1893" s="79">
        <f>IF(X1893="Sin Pago","",IFERROR(INDEX(Pagos_Odoo!$G:$G, MATCH(X1893, Pagos_Odoo!$B:$B, 0)), ""))</f>
        <v/>
      </c>
      <c r="AD1893" s="82" t="n">
        <v>0</v>
      </c>
      <c r="AE1893" s="82" t="n"/>
      <c r="AF1893" s="82" t="n"/>
      <c r="AG1893" s="82">
        <f>IF(AN1893="","",AD1893+AE1893+AF1893)</f>
        <v/>
      </c>
      <c r="AH1893" s="81">
        <f>IF(AN1893="","",P1893*(1-AG1893))</f>
        <v/>
      </c>
      <c r="AI1893" s="81">
        <f>IF(AN1893="","",IF(Q1893="Sin Factura",0,IFERROR(INDEX(Facturas_Odoo!$H:$H, MATCH(Q1893, Facturas_Odoo!$B:$B, 0)), 0)*(1-AG1893)))</f>
        <v/>
      </c>
      <c r="AJ1893" s="81">
        <f>IF(AN1893="","",_xlfn.LET(idVenta, AN1893&amp;"",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93" s="81">
        <f>IF(AN1893="","",AH1893-AJ1893)</f>
        <v/>
      </c>
      <c r="AL1893" s="81">
        <f>IF(AN1893="","",IF(Q1893="Sin Factura","",AI1893-AJ1893))</f>
        <v/>
      </c>
      <c r="AM1893" s="81">
        <f>IF(AN1893="","",IF(Q1893="Sin Factura",0,P1893-IFERROR(INDEX(Facturas_Odoo!$H:$H, MATCH(Q1893, Facturas_Odoo!$B:$B, 0)), 0)))</f>
        <v/>
      </c>
      <c r="AN1893" s="79">
        <f>IF(AND(A1893="", J1893=""), "", IF(A1893&lt;&gt;"", VALUE(MID(A1893,2,LEN(A1893))), AN1892))</f>
        <v/>
      </c>
      <c r="AO1893" s="79">
        <f>IF(AN1893="","",IF(AD1893=0,"OK",_xlfn.LET(monedaPago, IF(AA1893="","USD",AA1893), limitePermitido, IFERROR(VLOOKUP(monedaPago, Configuración!$A$2:$B$3, 2, FALSE), 0.15), IF(AD1893&gt;limitePermitido, "ALERTA: EXCESO (" &amp; TEXT(limitePermitido, "0%") &amp; " máx)", "OK"))))</f>
        <v/>
      </c>
      <c r="AP1893" s="79">
        <f>IF(AN1893="","",IF(AE1893=0,"OK",_xlfn.LET(fechaPago, Z1893, fechaFactura, R1893, diasCredito, IF(E1893="Pago inmediato", 0, IFERROR(VALUE(MID(E1893, 1, SEARCH(" ", E1893)-1)),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93" s="79">
        <f>IF(AN1893="","",IF(AND(N1893&gt;0, AG1893&gt;0), IF(Configuración!$K$2="NO", "ALERTA: DESCUENTO DOBLE NO PERMITIDO", "OK"), "OK"))</f>
        <v/>
      </c>
      <c r="AR1893" s="79">
        <f>IF(AN1893="","",IF(OR(AO1893&lt;&gt;"OK", AP1893&lt;&gt;"OK", AQ1893&lt;&gt;"OK"), "⚠️ REVISAR", "OK"))</f>
        <v/>
      </c>
    </row>
    <row r="1894">
      <c r="A1894" s="79">
        <f>IF('Ordenes_Odoo'!A1894="","",'Ordenes_Odoo'!A1894)</f>
        <v/>
      </c>
      <c r="B1894" s="80">
        <f>IF('Ordenes_Odoo'!B1894="","",'Ordenes_Odoo'!B1894)</f>
        <v/>
      </c>
      <c r="C1894" s="79">
        <f>IF('Ordenes_Odoo'!C1894="","",'Ordenes_Odoo'!C1894)</f>
        <v/>
      </c>
      <c r="D1894" s="79">
        <f>IF('Ordenes_Odoo'!D1894="","",'Ordenes_Odoo'!D1894)</f>
        <v/>
      </c>
      <c r="E1894" s="79">
        <f>IF('Ordenes_Odoo'!E1894="","",'Ordenes_Odoo'!E1894)</f>
        <v/>
      </c>
      <c r="F1894" s="79">
        <f>IF('Ordenes_Odoo'!F1894="","",'Ordenes_Odoo'!F1894)</f>
        <v/>
      </c>
      <c r="G1894" s="79">
        <f>IF('Ordenes_Odoo'!G1894="","",'Ordenes_Odoo'!G1894)</f>
        <v/>
      </c>
      <c r="H1894" s="79">
        <f>IF('Ordenes_Odoo'!H1894="","",'Ordenes_Odoo'!H1894)</f>
        <v/>
      </c>
      <c r="I1894" s="79">
        <f>IF('Ordenes_Odoo'!I1894="","",'Ordenes_Odoo'!I1894)</f>
        <v/>
      </c>
      <c r="J1894" s="79">
        <f>IF('Ordenes_Odoo'!J1894="","",'Ordenes_Odoo'!J1894)</f>
        <v/>
      </c>
      <c r="K1894" s="81">
        <f>IF('Ordenes_Odoo'!K1894="","",'Ordenes_Odoo'!K1894)</f>
        <v/>
      </c>
      <c r="L1894" s="81">
        <f>IF('Ordenes_Odoo'!L1894="","",'Ordenes_Odoo'!L1894)</f>
        <v/>
      </c>
      <c r="M1894" s="79">
        <f>IF('Ordenes_Odoo'!M1894="","",'Ordenes_Odoo'!M1894)</f>
        <v/>
      </c>
      <c r="N1894" s="79">
        <f>IF('Ordenes_Odoo'!N1894="","",'Ordenes_Odoo'!N1894)</f>
        <v/>
      </c>
      <c r="O1894" s="81">
        <f>IF('Ordenes_Odoo'!O1894="","",'Ordenes_Odoo'!O1894)</f>
        <v/>
      </c>
      <c r="P1894" s="81">
        <f>IF('Ordenes_Odoo'!P1894="","",'Ordenes_Odoo'!P1894)</f>
        <v/>
      </c>
      <c r="Q1894" s="79">
        <f>IF(A1894="","",IFERROR(INDEX(Facturas_Odoo!$B:$B, MATCH(A1894, Facturas_Odoo!$D:$D, 0)), "Sin Factura"))</f>
        <v/>
      </c>
      <c r="R1894" s="80">
        <f>IF(Q1894="Sin Factura","",IFERROR(INDEX(Facturas_Odoo!$A:$A, MATCH(Q1894, Facturas_Odoo!$B:$B, 0)), ""))</f>
        <v/>
      </c>
      <c r="S1894" s="79">
        <f>IF(Q1894="Sin Factura","",IFERROR(_xlfn.XLOOKUP(1, (Facturas_Odoo!$D:$D=A1894) * (Facturas_Odoo!$K:$K=I1894), Facturas_Odoo!$L:$L, ""), ""))</f>
        <v/>
      </c>
      <c r="T1894" s="81">
        <f>IF(Q1894="Sin Factura",0,IFERROR(_xlfn.XLOOKUP(1, (Facturas_Odoo!$D:$D=A1894) * (Facturas_Odoo!$K:$K=I1894), Facturas_Odoo!$M:$M, 0), 0))</f>
        <v/>
      </c>
      <c r="U1894" s="79">
        <f>IF(Q1894="Sin Factura",0,IFERROR(_xlfn.XLOOKUP(1, (Facturas_Odoo!$D:$D=A1894) * (Facturas_Odoo!$K:$K=I1894), Facturas_Odoo!$N:$N, 0), 0))</f>
        <v/>
      </c>
      <c r="V1894" s="79">
        <f>IF(Q1894="Sin Factura",0,IFERROR(_xlfn.XLOOKUP(1, (Facturas_Odoo!$D:$D=A1894) * (Facturas_Odoo!$K:$K=I1894), Facturas_Odoo!$O:$O, 0), 0))</f>
        <v/>
      </c>
      <c r="W1894" s="81">
        <f>IF(Q1894="Sin Factura",0,IFERROR(_xlfn.XLOOKUP(1, (Facturas_Odoo!$D:$D=A1894) * (Facturas_Odoo!$K:$K=I1894), Facturas_Odoo!$Q:$Q, 0), 0))</f>
        <v/>
      </c>
      <c r="X1894" s="79">
        <f>IF(OR(Q1894="Sin Factura",Q1894=""),"",IFERROR(INDEX(Pagos_Odoo!$B:$B, MATCH(Q1894, Pagos_Odoo!$I:$I, 0)), "Sin Pago"))</f>
        <v/>
      </c>
      <c r="Y1894" s="79">
        <f>IF(X1894="Sin Pago","",IFERROR(INDEX(Pagos_Odoo!$C:$C, MATCH(X1894, Pagos_Odoo!$B:$B, 0)), ""))</f>
        <v/>
      </c>
      <c r="Z1894" s="80">
        <f>IF(X1894="Sin Pago","",IFERROR(INDEX(Pagos_Odoo!$A:$A, MATCH(X1894, Pagos_Odoo!$B:$B, 0)), ""))</f>
        <v/>
      </c>
      <c r="AA1894" s="79">
        <f>IF(X1894="Sin Pago","",IFERROR(INDEX(Pagos_Odoo!$F:$F, MATCH(X1894, Pagos_Odoo!$B:$B, 0)), ""))</f>
        <v/>
      </c>
      <c r="AB1894" s="81">
        <f>IF(X1894="Sin Pago",0,IFERROR(INDEX(Pagos_Odoo!$E:$E, MATCH(X1894, Pagos_Odoo!$B:$B, 0)), 0))</f>
        <v/>
      </c>
      <c r="AC1894" s="79">
        <f>IF(X1894="Sin Pago","",IFERROR(INDEX(Pagos_Odoo!$G:$G, MATCH(X1894, Pagos_Odoo!$B:$B, 0)), ""))</f>
        <v/>
      </c>
      <c r="AD1894" s="82" t="n">
        <v>0</v>
      </c>
      <c r="AE1894" s="82" t="n"/>
      <c r="AF1894" s="82" t="n"/>
      <c r="AG1894" s="82">
        <f>IF(AN1894="","",AD1894+AE1894+AF1894)</f>
        <v/>
      </c>
      <c r="AH1894" s="81">
        <f>IF(AN1894="","",P1894*(1-AG1894))</f>
        <v/>
      </c>
      <c r="AI1894" s="81">
        <f>IF(AN1894="","",IF(Q1894="Sin Factura",0,IFERROR(INDEX(Facturas_Odoo!$H:$H, MATCH(Q1894, Facturas_Odoo!$B:$B, 0)), 0)*(1-AG1894)))</f>
        <v/>
      </c>
      <c r="AJ1894" s="81">
        <f>IF(AN1894="","",_xlfn.LET(idVenta, AN1894&amp;"",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94" s="81">
        <f>IF(AN1894="","",AH1894-AJ1894)</f>
        <v/>
      </c>
      <c r="AL1894" s="81">
        <f>IF(AN1894="","",IF(Q1894="Sin Factura","",AI1894-AJ1894))</f>
        <v/>
      </c>
      <c r="AM1894" s="81">
        <f>IF(AN1894="","",IF(Q1894="Sin Factura",0,P1894-IFERROR(INDEX(Facturas_Odoo!$H:$H, MATCH(Q1894, Facturas_Odoo!$B:$B, 0)), 0)))</f>
        <v/>
      </c>
      <c r="AN1894" s="79">
        <f>IF(AND(A1894="", J1894=""), "", IF(A1894&lt;&gt;"", VALUE(MID(A1894,2,LEN(A1894))), AN1893))</f>
        <v/>
      </c>
      <c r="AO1894" s="79">
        <f>IF(AN1894="","",IF(AD1894=0,"OK",_xlfn.LET(monedaPago, IF(AA1894="","USD",AA1894), limitePermitido, IFERROR(VLOOKUP(monedaPago, Configuración!$A$2:$B$3, 2, FALSE), 0.15), IF(AD1894&gt;limitePermitido, "ALERTA: EXCESO (" &amp; TEXT(limitePermitido, "0%") &amp; " máx)", "OK"))))</f>
        <v/>
      </c>
      <c r="AP1894" s="79">
        <f>IF(AN1894="","",IF(AE1894=0,"OK",_xlfn.LET(fechaPago, Z1894, fechaFactura, R1894, diasCredito, IF(E1894="Pago inmediato", 0, IFERROR(VALUE(MID(E1894, 1, SEARCH(" ", E1894)-1)),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94" s="79">
        <f>IF(AN1894="","",IF(AND(N1894&gt;0, AG1894&gt;0), IF(Configuración!$K$2="NO", "ALERTA: DESCUENTO DOBLE NO PERMITIDO", "OK"), "OK"))</f>
        <v/>
      </c>
      <c r="AR1894" s="79">
        <f>IF(AN1894="","",IF(OR(AO1894&lt;&gt;"OK", AP1894&lt;&gt;"OK", AQ1894&lt;&gt;"OK"), "⚠️ REVISAR", "OK"))</f>
        <v/>
      </c>
    </row>
    <row r="1895">
      <c r="A1895" s="79">
        <f>IF('Ordenes_Odoo'!A1895="","",'Ordenes_Odoo'!A1895)</f>
        <v/>
      </c>
      <c r="B1895" s="80">
        <f>IF('Ordenes_Odoo'!B1895="","",'Ordenes_Odoo'!B1895)</f>
        <v/>
      </c>
      <c r="C1895" s="79">
        <f>IF('Ordenes_Odoo'!C1895="","",'Ordenes_Odoo'!C1895)</f>
        <v/>
      </c>
      <c r="D1895" s="79">
        <f>IF('Ordenes_Odoo'!D1895="","",'Ordenes_Odoo'!D1895)</f>
        <v/>
      </c>
      <c r="E1895" s="79">
        <f>IF('Ordenes_Odoo'!E1895="","",'Ordenes_Odoo'!E1895)</f>
        <v/>
      </c>
      <c r="F1895" s="79">
        <f>IF('Ordenes_Odoo'!F1895="","",'Ordenes_Odoo'!F1895)</f>
        <v/>
      </c>
      <c r="G1895" s="79">
        <f>IF('Ordenes_Odoo'!G1895="","",'Ordenes_Odoo'!G1895)</f>
        <v/>
      </c>
      <c r="H1895" s="79">
        <f>IF('Ordenes_Odoo'!H1895="","",'Ordenes_Odoo'!H1895)</f>
        <v/>
      </c>
      <c r="I1895" s="79">
        <f>IF('Ordenes_Odoo'!I1895="","",'Ordenes_Odoo'!I1895)</f>
        <v/>
      </c>
      <c r="J1895" s="79">
        <f>IF('Ordenes_Odoo'!J1895="","",'Ordenes_Odoo'!J1895)</f>
        <v/>
      </c>
      <c r="K1895" s="81">
        <f>IF('Ordenes_Odoo'!K1895="","",'Ordenes_Odoo'!K1895)</f>
        <v/>
      </c>
      <c r="L1895" s="81">
        <f>IF('Ordenes_Odoo'!L1895="","",'Ordenes_Odoo'!L1895)</f>
        <v/>
      </c>
      <c r="M1895" s="79">
        <f>IF('Ordenes_Odoo'!M1895="","",'Ordenes_Odoo'!M1895)</f>
        <v/>
      </c>
      <c r="N1895" s="79">
        <f>IF('Ordenes_Odoo'!N1895="","",'Ordenes_Odoo'!N1895)</f>
        <v/>
      </c>
      <c r="O1895" s="81">
        <f>IF('Ordenes_Odoo'!O1895="","",'Ordenes_Odoo'!O1895)</f>
        <v/>
      </c>
      <c r="P1895" s="81">
        <f>IF('Ordenes_Odoo'!P1895="","",'Ordenes_Odoo'!P1895)</f>
        <v/>
      </c>
      <c r="Q1895" s="79">
        <f>IF(A1895="","",IFERROR(INDEX(Facturas_Odoo!$B:$B, MATCH(A1895, Facturas_Odoo!$D:$D, 0)), "Sin Factura"))</f>
        <v/>
      </c>
      <c r="R1895" s="80">
        <f>IF(Q1895="Sin Factura","",IFERROR(INDEX(Facturas_Odoo!$A:$A, MATCH(Q1895, Facturas_Odoo!$B:$B, 0)), ""))</f>
        <v/>
      </c>
      <c r="S1895" s="79">
        <f>IF(Q1895="Sin Factura","",IFERROR(_xlfn.XLOOKUP(1, (Facturas_Odoo!$D:$D=A1895) * (Facturas_Odoo!$K:$K=I1895), Facturas_Odoo!$L:$L, ""), ""))</f>
        <v/>
      </c>
      <c r="T1895" s="81">
        <f>IF(Q1895="Sin Factura",0,IFERROR(_xlfn.XLOOKUP(1, (Facturas_Odoo!$D:$D=A1895) * (Facturas_Odoo!$K:$K=I1895), Facturas_Odoo!$M:$M, 0), 0))</f>
        <v/>
      </c>
      <c r="U1895" s="79">
        <f>IF(Q1895="Sin Factura",0,IFERROR(_xlfn.XLOOKUP(1, (Facturas_Odoo!$D:$D=A1895) * (Facturas_Odoo!$K:$K=I1895), Facturas_Odoo!$N:$N, 0), 0))</f>
        <v/>
      </c>
      <c r="V1895" s="79">
        <f>IF(Q1895="Sin Factura",0,IFERROR(_xlfn.XLOOKUP(1, (Facturas_Odoo!$D:$D=A1895) * (Facturas_Odoo!$K:$K=I1895), Facturas_Odoo!$O:$O, 0), 0))</f>
        <v/>
      </c>
      <c r="W1895" s="81">
        <f>IF(Q1895="Sin Factura",0,IFERROR(_xlfn.XLOOKUP(1, (Facturas_Odoo!$D:$D=A1895) * (Facturas_Odoo!$K:$K=I1895), Facturas_Odoo!$Q:$Q, 0), 0))</f>
        <v/>
      </c>
      <c r="X1895" s="79">
        <f>IF(OR(Q1895="Sin Factura",Q1895=""),"",IFERROR(INDEX(Pagos_Odoo!$B:$B, MATCH(Q1895, Pagos_Odoo!$I:$I, 0)), "Sin Pago"))</f>
        <v/>
      </c>
      <c r="Y1895" s="79">
        <f>IF(X1895="Sin Pago","",IFERROR(INDEX(Pagos_Odoo!$C:$C, MATCH(X1895, Pagos_Odoo!$B:$B, 0)), ""))</f>
        <v/>
      </c>
      <c r="Z1895" s="80">
        <f>IF(X1895="Sin Pago","",IFERROR(INDEX(Pagos_Odoo!$A:$A, MATCH(X1895, Pagos_Odoo!$B:$B, 0)), ""))</f>
        <v/>
      </c>
      <c r="AA1895" s="79">
        <f>IF(X1895="Sin Pago","",IFERROR(INDEX(Pagos_Odoo!$F:$F, MATCH(X1895, Pagos_Odoo!$B:$B, 0)), ""))</f>
        <v/>
      </c>
      <c r="AB1895" s="81">
        <f>IF(X1895="Sin Pago",0,IFERROR(INDEX(Pagos_Odoo!$E:$E, MATCH(X1895, Pagos_Odoo!$B:$B, 0)), 0))</f>
        <v/>
      </c>
      <c r="AC1895" s="79">
        <f>IF(X1895="Sin Pago","",IFERROR(INDEX(Pagos_Odoo!$G:$G, MATCH(X1895, Pagos_Odoo!$B:$B, 0)), ""))</f>
        <v/>
      </c>
      <c r="AD1895" s="82" t="n">
        <v>0</v>
      </c>
      <c r="AE1895" s="82" t="n"/>
      <c r="AF1895" s="82" t="n"/>
      <c r="AG1895" s="82">
        <f>IF(AN1895="","",AD1895+AE1895+AF1895)</f>
        <v/>
      </c>
      <c r="AH1895" s="81">
        <f>IF(AN1895="","",P1895*(1-AG1895))</f>
        <v/>
      </c>
      <c r="AI1895" s="81">
        <f>IF(AN1895="","",IF(Q1895="Sin Factura",0,IFERROR(INDEX(Facturas_Odoo!$H:$H, MATCH(Q1895, Facturas_Odoo!$B:$B, 0)), 0)*(1-AG1895)))</f>
        <v/>
      </c>
      <c r="AJ1895" s="81">
        <f>IF(AN1895="","",_xlfn.LET(idVenta, AN1895&amp;"",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95" s="81">
        <f>IF(AN1895="","",AH1895-AJ1895)</f>
        <v/>
      </c>
      <c r="AL1895" s="81">
        <f>IF(AN1895="","",IF(Q1895="Sin Factura","",AI1895-AJ1895))</f>
        <v/>
      </c>
      <c r="AM1895" s="81">
        <f>IF(AN1895="","",IF(Q1895="Sin Factura",0,P1895-IFERROR(INDEX(Facturas_Odoo!$H:$H, MATCH(Q1895, Facturas_Odoo!$B:$B, 0)), 0)))</f>
        <v/>
      </c>
      <c r="AN1895" s="79">
        <f>IF(AND(A1895="", J1895=""), "", IF(A1895&lt;&gt;"", VALUE(MID(A1895,2,LEN(A1895))), AN1894))</f>
        <v/>
      </c>
      <c r="AO1895" s="79">
        <f>IF(AN1895="","",IF(AD1895=0,"OK",_xlfn.LET(monedaPago, IF(AA1895="","USD",AA1895), limitePermitido, IFERROR(VLOOKUP(monedaPago, Configuración!$A$2:$B$3, 2, FALSE), 0.15), IF(AD1895&gt;limitePermitido, "ALERTA: EXCESO (" &amp; TEXT(limitePermitido, "0%") &amp; " máx)", "OK"))))</f>
        <v/>
      </c>
      <c r="AP1895" s="79">
        <f>IF(AN1895="","",IF(AE1895=0,"OK",_xlfn.LET(fechaPago, Z1895, fechaFactura, R1895, diasCredito, IF(E1895="Pago inmediato", 0, IFERROR(VALUE(MID(E1895, 1, SEARCH(" ", E1895)-1)),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95" s="79">
        <f>IF(AN1895="","",IF(AND(N1895&gt;0, AG1895&gt;0), IF(Configuración!$K$2="NO", "ALERTA: DESCUENTO DOBLE NO PERMITIDO", "OK"), "OK"))</f>
        <v/>
      </c>
      <c r="AR1895" s="79">
        <f>IF(AN1895="","",IF(OR(AO1895&lt;&gt;"OK", AP1895&lt;&gt;"OK", AQ1895&lt;&gt;"OK"), "⚠️ REVISAR", "OK"))</f>
        <v/>
      </c>
    </row>
    <row r="1896">
      <c r="A1896" s="79">
        <f>IF('Ordenes_Odoo'!A1896="","",'Ordenes_Odoo'!A1896)</f>
        <v/>
      </c>
      <c r="B1896" s="80">
        <f>IF('Ordenes_Odoo'!B1896="","",'Ordenes_Odoo'!B1896)</f>
        <v/>
      </c>
      <c r="C1896" s="79">
        <f>IF('Ordenes_Odoo'!C1896="","",'Ordenes_Odoo'!C1896)</f>
        <v/>
      </c>
      <c r="D1896" s="79">
        <f>IF('Ordenes_Odoo'!D1896="","",'Ordenes_Odoo'!D1896)</f>
        <v/>
      </c>
      <c r="E1896" s="79">
        <f>IF('Ordenes_Odoo'!E1896="","",'Ordenes_Odoo'!E1896)</f>
        <v/>
      </c>
      <c r="F1896" s="79">
        <f>IF('Ordenes_Odoo'!F1896="","",'Ordenes_Odoo'!F1896)</f>
        <v/>
      </c>
      <c r="G1896" s="79">
        <f>IF('Ordenes_Odoo'!G1896="","",'Ordenes_Odoo'!G1896)</f>
        <v/>
      </c>
      <c r="H1896" s="79">
        <f>IF('Ordenes_Odoo'!H1896="","",'Ordenes_Odoo'!H1896)</f>
        <v/>
      </c>
      <c r="I1896" s="79">
        <f>IF('Ordenes_Odoo'!I1896="","",'Ordenes_Odoo'!I1896)</f>
        <v/>
      </c>
      <c r="J1896" s="79">
        <f>IF('Ordenes_Odoo'!J1896="","",'Ordenes_Odoo'!J1896)</f>
        <v/>
      </c>
      <c r="K1896" s="81">
        <f>IF('Ordenes_Odoo'!K1896="","",'Ordenes_Odoo'!K1896)</f>
        <v/>
      </c>
      <c r="L1896" s="81">
        <f>IF('Ordenes_Odoo'!L1896="","",'Ordenes_Odoo'!L1896)</f>
        <v/>
      </c>
      <c r="M1896" s="79">
        <f>IF('Ordenes_Odoo'!M1896="","",'Ordenes_Odoo'!M1896)</f>
        <v/>
      </c>
      <c r="N1896" s="79">
        <f>IF('Ordenes_Odoo'!N1896="","",'Ordenes_Odoo'!N1896)</f>
        <v/>
      </c>
      <c r="O1896" s="81">
        <f>IF('Ordenes_Odoo'!O1896="","",'Ordenes_Odoo'!O1896)</f>
        <v/>
      </c>
      <c r="P1896" s="81">
        <f>IF('Ordenes_Odoo'!P1896="","",'Ordenes_Odoo'!P1896)</f>
        <v/>
      </c>
      <c r="Q1896" s="79">
        <f>IF(A1896="","",IFERROR(INDEX(Facturas_Odoo!$B:$B, MATCH(A1896, Facturas_Odoo!$D:$D, 0)), "Sin Factura"))</f>
        <v/>
      </c>
      <c r="R1896" s="80">
        <f>IF(Q1896="Sin Factura","",IFERROR(INDEX(Facturas_Odoo!$A:$A, MATCH(Q1896, Facturas_Odoo!$B:$B, 0)), ""))</f>
        <v/>
      </c>
      <c r="S1896" s="79">
        <f>IF(Q1896="Sin Factura","",IFERROR(_xlfn.XLOOKUP(1, (Facturas_Odoo!$D:$D=A1896) * (Facturas_Odoo!$K:$K=I1896), Facturas_Odoo!$L:$L, ""), ""))</f>
        <v/>
      </c>
      <c r="T1896" s="81">
        <f>IF(Q1896="Sin Factura",0,IFERROR(_xlfn.XLOOKUP(1, (Facturas_Odoo!$D:$D=A1896) * (Facturas_Odoo!$K:$K=I1896), Facturas_Odoo!$M:$M, 0), 0))</f>
        <v/>
      </c>
      <c r="U1896" s="79">
        <f>IF(Q1896="Sin Factura",0,IFERROR(_xlfn.XLOOKUP(1, (Facturas_Odoo!$D:$D=A1896) * (Facturas_Odoo!$K:$K=I1896), Facturas_Odoo!$N:$N, 0), 0))</f>
        <v/>
      </c>
      <c r="V1896" s="79">
        <f>IF(Q1896="Sin Factura",0,IFERROR(_xlfn.XLOOKUP(1, (Facturas_Odoo!$D:$D=A1896) * (Facturas_Odoo!$K:$K=I1896), Facturas_Odoo!$O:$O, 0), 0))</f>
        <v/>
      </c>
      <c r="W1896" s="81">
        <f>IF(Q1896="Sin Factura",0,IFERROR(_xlfn.XLOOKUP(1, (Facturas_Odoo!$D:$D=A1896) * (Facturas_Odoo!$K:$K=I1896), Facturas_Odoo!$Q:$Q, 0), 0))</f>
        <v/>
      </c>
      <c r="X1896" s="79">
        <f>IF(OR(Q1896="Sin Factura",Q1896=""),"",IFERROR(INDEX(Pagos_Odoo!$B:$B, MATCH(Q1896, Pagos_Odoo!$I:$I, 0)), "Sin Pago"))</f>
        <v/>
      </c>
      <c r="Y1896" s="79">
        <f>IF(X1896="Sin Pago","",IFERROR(INDEX(Pagos_Odoo!$C:$C, MATCH(X1896, Pagos_Odoo!$B:$B, 0)), ""))</f>
        <v/>
      </c>
      <c r="Z1896" s="80">
        <f>IF(X1896="Sin Pago","",IFERROR(INDEX(Pagos_Odoo!$A:$A, MATCH(X1896, Pagos_Odoo!$B:$B, 0)), ""))</f>
        <v/>
      </c>
      <c r="AA1896" s="79">
        <f>IF(X1896="Sin Pago","",IFERROR(INDEX(Pagos_Odoo!$F:$F, MATCH(X1896, Pagos_Odoo!$B:$B, 0)), ""))</f>
        <v/>
      </c>
      <c r="AB1896" s="81">
        <f>IF(X1896="Sin Pago",0,IFERROR(INDEX(Pagos_Odoo!$E:$E, MATCH(X1896, Pagos_Odoo!$B:$B, 0)), 0))</f>
        <v/>
      </c>
      <c r="AC1896" s="79">
        <f>IF(X1896="Sin Pago","",IFERROR(INDEX(Pagos_Odoo!$G:$G, MATCH(X1896, Pagos_Odoo!$B:$B, 0)), ""))</f>
        <v/>
      </c>
      <c r="AD1896" s="82" t="n">
        <v>0</v>
      </c>
      <c r="AE1896" s="82" t="n"/>
      <c r="AF1896" s="82" t="n"/>
      <c r="AG1896" s="82">
        <f>IF(AN1896="","",AD1896+AE1896+AF1896)</f>
        <v/>
      </c>
      <c r="AH1896" s="81">
        <f>IF(AN1896="","",P1896*(1-AG1896))</f>
        <v/>
      </c>
      <c r="AI1896" s="81">
        <f>IF(AN1896="","",IF(Q1896="Sin Factura",0,IFERROR(INDEX(Facturas_Odoo!$H:$H, MATCH(Q1896, Facturas_Odoo!$B:$B, 0)), 0)*(1-AG1896)))</f>
        <v/>
      </c>
      <c r="AJ1896" s="81">
        <f>IF(AN1896="","",_xlfn.LET(idVenta, AN1896&amp;"",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96" s="81">
        <f>IF(AN1896="","",AH1896-AJ1896)</f>
        <v/>
      </c>
      <c r="AL1896" s="81">
        <f>IF(AN1896="","",IF(Q1896="Sin Factura","",AI1896-AJ1896))</f>
        <v/>
      </c>
      <c r="AM1896" s="81">
        <f>IF(AN1896="","",IF(Q1896="Sin Factura",0,P1896-IFERROR(INDEX(Facturas_Odoo!$H:$H, MATCH(Q1896, Facturas_Odoo!$B:$B, 0)), 0)))</f>
        <v/>
      </c>
      <c r="AN1896" s="79">
        <f>IF(AND(A1896="", J1896=""), "", IF(A1896&lt;&gt;"", VALUE(MID(A1896,2,LEN(A1896))), AN1895))</f>
        <v/>
      </c>
      <c r="AO1896" s="79">
        <f>IF(AN1896="","",IF(AD1896=0,"OK",_xlfn.LET(monedaPago, IF(AA1896="","USD",AA1896), limitePermitido, IFERROR(VLOOKUP(monedaPago, Configuración!$A$2:$B$3, 2, FALSE), 0.15), IF(AD1896&gt;limitePermitido, "ALERTA: EXCESO (" &amp; TEXT(limitePermitido, "0%") &amp; " máx)", "OK"))))</f>
        <v/>
      </c>
      <c r="AP1896" s="79">
        <f>IF(AN1896="","",IF(AE1896=0,"OK",_xlfn.LET(fechaPago, Z1896, fechaFactura, R1896, diasCredito, IF(E1896="Pago inmediato", 0, IFERROR(VALUE(MID(E1896, 1, SEARCH(" ", E1896)-1)),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96" s="79">
        <f>IF(AN1896="","",IF(AND(N1896&gt;0, AG1896&gt;0), IF(Configuración!$K$2="NO", "ALERTA: DESCUENTO DOBLE NO PERMITIDO", "OK"), "OK"))</f>
        <v/>
      </c>
      <c r="AR1896" s="79">
        <f>IF(AN1896="","",IF(OR(AO1896&lt;&gt;"OK", AP1896&lt;&gt;"OK", AQ1896&lt;&gt;"OK"), "⚠️ REVISAR", "OK"))</f>
        <v/>
      </c>
    </row>
    <row r="1897">
      <c r="A1897" s="79">
        <f>IF('Ordenes_Odoo'!A1897="","",'Ordenes_Odoo'!A1897)</f>
        <v/>
      </c>
      <c r="B1897" s="80">
        <f>IF('Ordenes_Odoo'!B1897="","",'Ordenes_Odoo'!B1897)</f>
        <v/>
      </c>
      <c r="C1897" s="79">
        <f>IF('Ordenes_Odoo'!C1897="","",'Ordenes_Odoo'!C1897)</f>
        <v/>
      </c>
      <c r="D1897" s="79">
        <f>IF('Ordenes_Odoo'!D1897="","",'Ordenes_Odoo'!D1897)</f>
        <v/>
      </c>
      <c r="E1897" s="79">
        <f>IF('Ordenes_Odoo'!E1897="","",'Ordenes_Odoo'!E1897)</f>
        <v/>
      </c>
      <c r="F1897" s="79">
        <f>IF('Ordenes_Odoo'!F1897="","",'Ordenes_Odoo'!F1897)</f>
        <v/>
      </c>
      <c r="G1897" s="79">
        <f>IF('Ordenes_Odoo'!G1897="","",'Ordenes_Odoo'!G1897)</f>
        <v/>
      </c>
      <c r="H1897" s="79">
        <f>IF('Ordenes_Odoo'!H1897="","",'Ordenes_Odoo'!H1897)</f>
        <v/>
      </c>
      <c r="I1897" s="79">
        <f>IF('Ordenes_Odoo'!I1897="","",'Ordenes_Odoo'!I1897)</f>
        <v/>
      </c>
      <c r="J1897" s="79">
        <f>IF('Ordenes_Odoo'!J1897="","",'Ordenes_Odoo'!J1897)</f>
        <v/>
      </c>
      <c r="K1897" s="81">
        <f>IF('Ordenes_Odoo'!K1897="","",'Ordenes_Odoo'!K1897)</f>
        <v/>
      </c>
      <c r="L1897" s="81">
        <f>IF('Ordenes_Odoo'!L1897="","",'Ordenes_Odoo'!L1897)</f>
        <v/>
      </c>
      <c r="M1897" s="79">
        <f>IF('Ordenes_Odoo'!M1897="","",'Ordenes_Odoo'!M1897)</f>
        <v/>
      </c>
      <c r="N1897" s="79">
        <f>IF('Ordenes_Odoo'!N1897="","",'Ordenes_Odoo'!N1897)</f>
        <v/>
      </c>
      <c r="O1897" s="81">
        <f>IF('Ordenes_Odoo'!O1897="","",'Ordenes_Odoo'!O1897)</f>
        <v/>
      </c>
      <c r="P1897" s="81">
        <f>IF('Ordenes_Odoo'!P1897="","",'Ordenes_Odoo'!P1897)</f>
        <v/>
      </c>
      <c r="Q1897" s="79">
        <f>IF(A1897="","",IFERROR(INDEX(Facturas_Odoo!$B:$B, MATCH(A1897, Facturas_Odoo!$D:$D, 0)), "Sin Factura"))</f>
        <v/>
      </c>
      <c r="R1897" s="80">
        <f>IF(Q1897="Sin Factura","",IFERROR(INDEX(Facturas_Odoo!$A:$A, MATCH(Q1897, Facturas_Odoo!$B:$B, 0)), ""))</f>
        <v/>
      </c>
      <c r="S1897" s="79">
        <f>IF(Q1897="Sin Factura","",IFERROR(_xlfn.XLOOKUP(1, (Facturas_Odoo!$D:$D=A1897) * (Facturas_Odoo!$K:$K=I1897), Facturas_Odoo!$L:$L, ""), ""))</f>
        <v/>
      </c>
      <c r="T1897" s="81">
        <f>IF(Q1897="Sin Factura",0,IFERROR(_xlfn.XLOOKUP(1, (Facturas_Odoo!$D:$D=A1897) * (Facturas_Odoo!$K:$K=I1897), Facturas_Odoo!$M:$M, 0), 0))</f>
        <v/>
      </c>
      <c r="U1897" s="79">
        <f>IF(Q1897="Sin Factura",0,IFERROR(_xlfn.XLOOKUP(1, (Facturas_Odoo!$D:$D=A1897) * (Facturas_Odoo!$K:$K=I1897), Facturas_Odoo!$N:$N, 0), 0))</f>
        <v/>
      </c>
      <c r="V1897" s="79">
        <f>IF(Q1897="Sin Factura",0,IFERROR(_xlfn.XLOOKUP(1, (Facturas_Odoo!$D:$D=A1897) * (Facturas_Odoo!$K:$K=I1897), Facturas_Odoo!$O:$O, 0), 0))</f>
        <v/>
      </c>
      <c r="W1897" s="81">
        <f>IF(Q1897="Sin Factura",0,IFERROR(_xlfn.XLOOKUP(1, (Facturas_Odoo!$D:$D=A1897) * (Facturas_Odoo!$K:$K=I1897), Facturas_Odoo!$Q:$Q, 0), 0))</f>
        <v/>
      </c>
      <c r="X1897" s="79">
        <f>IF(OR(Q1897="Sin Factura",Q1897=""),"",IFERROR(INDEX(Pagos_Odoo!$B:$B, MATCH(Q1897, Pagos_Odoo!$I:$I, 0)), "Sin Pago"))</f>
        <v/>
      </c>
      <c r="Y1897" s="79">
        <f>IF(X1897="Sin Pago","",IFERROR(INDEX(Pagos_Odoo!$C:$C, MATCH(X1897, Pagos_Odoo!$B:$B, 0)), ""))</f>
        <v/>
      </c>
      <c r="Z1897" s="80">
        <f>IF(X1897="Sin Pago","",IFERROR(INDEX(Pagos_Odoo!$A:$A, MATCH(X1897, Pagos_Odoo!$B:$B, 0)), ""))</f>
        <v/>
      </c>
      <c r="AA1897" s="79">
        <f>IF(X1897="Sin Pago","",IFERROR(INDEX(Pagos_Odoo!$F:$F, MATCH(X1897, Pagos_Odoo!$B:$B, 0)), ""))</f>
        <v/>
      </c>
      <c r="AB1897" s="81">
        <f>IF(X1897="Sin Pago",0,IFERROR(INDEX(Pagos_Odoo!$E:$E, MATCH(X1897, Pagos_Odoo!$B:$B, 0)), 0))</f>
        <v/>
      </c>
      <c r="AC1897" s="79">
        <f>IF(X1897="Sin Pago","",IFERROR(INDEX(Pagos_Odoo!$G:$G, MATCH(X1897, Pagos_Odoo!$B:$B, 0)), ""))</f>
        <v/>
      </c>
      <c r="AD1897" s="82" t="n">
        <v>0</v>
      </c>
      <c r="AE1897" s="82" t="n"/>
      <c r="AF1897" s="82" t="n"/>
      <c r="AG1897" s="82">
        <f>IF(AN1897="","",AD1897+AE1897+AF1897)</f>
        <v/>
      </c>
      <c r="AH1897" s="81">
        <f>IF(AN1897="","",P1897*(1-AG1897))</f>
        <v/>
      </c>
      <c r="AI1897" s="81">
        <f>IF(AN1897="","",IF(Q1897="Sin Factura",0,IFERROR(INDEX(Facturas_Odoo!$H:$H, MATCH(Q1897, Facturas_Odoo!$B:$B, 0)), 0)*(1-AG1897)))</f>
        <v/>
      </c>
      <c r="AJ1897" s="81">
        <f>IF(AN1897="","",_xlfn.LET(idVenta, AN1897&amp;"",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97" s="81">
        <f>IF(AN1897="","",AH1897-AJ1897)</f>
        <v/>
      </c>
      <c r="AL1897" s="81">
        <f>IF(AN1897="","",IF(Q1897="Sin Factura","",AI1897-AJ1897))</f>
        <v/>
      </c>
      <c r="AM1897" s="81">
        <f>IF(AN1897="","",IF(Q1897="Sin Factura",0,P1897-IFERROR(INDEX(Facturas_Odoo!$H:$H, MATCH(Q1897, Facturas_Odoo!$B:$B, 0)), 0)))</f>
        <v/>
      </c>
      <c r="AN1897" s="79">
        <f>IF(AND(A1897="", J1897=""), "", IF(A1897&lt;&gt;"", VALUE(MID(A1897,2,LEN(A1897))), AN1896))</f>
        <v/>
      </c>
      <c r="AO1897" s="79">
        <f>IF(AN1897="","",IF(AD1897=0,"OK",_xlfn.LET(monedaPago, IF(AA1897="","USD",AA1897), limitePermitido, IFERROR(VLOOKUP(monedaPago, Configuración!$A$2:$B$3, 2, FALSE), 0.15), IF(AD1897&gt;limitePermitido, "ALERTA: EXCESO (" &amp; TEXT(limitePermitido, "0%") &amp; " máx)", "OK"))))</f>
        <v/>
      </c>
      <c r="AP1897" s="79">
        <f>IF(AN1897="","",IF(AE1897=0,"OK",_xlfn.LET(fechaPago, Z1897, fechaFactura, R1897, diasCredito, IF(E1897="Pago inmediato", 0, IFERROR(VALUE(MID(E1897, 1, SEARCH(" ", E1897)-1)),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97" s="79">
        <f>IF(AN1897="","",IF(AND(N1897&gt;0, AG1897&gt;0), IF(Configuración!$K$2="NO", "ALERTA: DESCUENTO DOBLE NO PERMITIDO", "OK"), "OK"))</f>
        <v/>
      </c>
      <c r="AR1897" s="79">
        <f>IF(AN1897="","",IF(OR(AO1897&lt;&gt;"OK", AP1897&lt;&gt;"OK", AQ1897&lt;&gt;"OK"), "⚠️ REVISAR", "OK"))</f>
        <v/>
      </c>
    </row>
    <row r="1898">
      <c r="A1898" s="79">
        <f>IF('Ordenes_Odoo'!A1898="","",'Ordenes_Odoo'!A1898)</f>
        <v/>
      </c>
      <c r="B1898" s="80">
        <f>IF('Ordenes_Odoo'!B1898="","",'Ordenes_Odoo'!B1898)</f>
        <v/>
      </c>
      <c r="C1898" s="79">
        <f>IF('Ordenes_Odoo'!C1898="","",'Ordenes_Odoo'!C1898)</f>
        <v/>
      </c>
      <c r="D1898" s="79">
        <f>IF('Ordenes_Odoo'!D1898="","",'Ordenes_Odoo'!D1898)</f>
        <v/>
      </c>
      <c r="E1898" s="79">
        <f>IF('Ordenes_Odoo'!E1898="","",'Ordenes_Odoo'!E1898)</f>
        <v/>
      </c>
      <c r="F1898" s="79">
        <f>IF('Ordenes_Odoo'!F1898="","",'Ordenes_Odoo'!F1898)</f>
        <v/>
      </c>
      <c r="G1898" s="79">
        <f>IF('Ordenes_Odoo'!G1898="","",'Ordenes_Odoo'!G1898)</f>
        <v/>
      </c>
      <c r="H1898" s="79">
        <f>IF('Ordenes_Odoo'!H1898="","",'Ordenes_Odoo'!H1898)</f>
        <v/>
      </c>
      <c r="I1898" s="79">
        <f>IF('Ordenes_Odoo'!I1898="","",'Ordenes_Odoo'!I1898)</f>
        <v/>
      </c>
      <c r="J1898" s="79">
        <f>IF('Ordenes_Odoo'!J1898="","",'Ordenes_Odoo'!J1898)</f>
        <v/>
      </c>
      <c r="K1898" s="81">
        <f>IF('Ordenes_Odoo'!K1898="","",'Ordenes_Odoo'!K1898)</f>
        <v/>
      </c>
      <c r="L1898" s="81">
        <f>IF('Ordenes_Odoo'!L1898="","",'Ordenes_Odoo'!L1898)</f>
        <v/>
      </c>
      <c r="M1898" s="79">
        <f>IF('Ordenes_Odoo'!M1898="","",'Ordenes_Odoo'!M1898)</f>
        <v/>
      </c>
      <c r="N1898" s="79">
        <f>IF('Ordenes_Odoo'!N1898="","",'Ordenes_Odoo'!N1898)</f>
        <v/>
      </c>
      <c r="O1898" s="81">
        <f>IF('Ordenes_Odoo'!O1898="","",'Ordenes_Odoo'!O1898)</f>
        <v/>
      </c>
      <c r="P1898" s="81">
        <f>IF('Ordenes_Odoo'!P1898="","",'Ordenes_Odoo'!P1898)</f>
        <v/>
      </c>
      <c r="Q1898" s="79">
        <f>IF(A1898="","",IFERROR(INDEX(Facturas_Odoo!$B:$B, MATCH(A1898, Facturas_Odoo!$D:$D, 0)), "Sin Factura"))</f>
        <v/>
      </c>
      <c r="R1898" s="80">
        <f>IF(Q1898="Sin Factura","",IFERROR(INDEX(Facturas_Odoo!$A:$A, MATCH(Q1898, Facturas_Odoo!$B:$B, 0)), ""))</f>
        <v/>
      </c>
      <c r="S1898" s="79">
        <f>IF(Q1898="Sin Factura","",IFERROR(_xlfn.XLOOKUP(1, (Facturas_Odoo!$D:$D=A1898) * (Facturas_Odoo!$K:$K=I1898), Facturas_Odoo!$L:$L, ""), ""))</f>
        <v/>
      </c>
      <c r="T1898" s="81">
        <f>IF(Q1898="Sin Factura",0,IFERROR(_xlfn.XLOOKUP(1, (Facturas_Odoo!$D:$D=A1898) * (Facturas_Odoo!$K:$K=I1898), Facturas_Odoo!$M:$M, 0), 0))</f>
        <v/>
      </c>
      <c r="U1898" s="79">
        <f>IF(Q1898="Sin Factura",0,IFERROR(_xlfn.XLOOKUP(1, (Facturas_Odoo!$D:$D=A1898) * (Facturas_Odoo!$K:$K=I1898), Facturas_Odoo!$N:$N, 0), 0))</f>
        <v/>
      </c>
      <c r="V1898" s="79">
        <f>IF(Q1898="Sin Factura",0,IFERROR(_xlfn.XLOOKUP(1, (Facturas_Odoo!$D:$D=A1898) * (Facturas_Odoo!$K:$K=I1898), Facturas_Odoo!$O:$O, 0), 0))</f>
        <v/>
      </c>
      <c r="W1898" s="81">
        <f>IF(Q1898="Sin Factura",0,IFERROR(_xlfn.XLOOKUP(1, (Facturas_Odoo!$D:$D=A1898) * (Facturas_Odoo!$K:$K=I1898), Facturas_Odoo!$Q:$Q, 0), 0))</f>
        <v/>
      </c>
      <c r="X1898" s="79">
        <f>IF(OR(Q1898="Sin Factura",Q1898=""),"",IFERROR(INDEX(Pagos_Odoo!$B:$B, MATCH(Q1898, Pagos_Odoo!$I:$I, 0)), "Sin Pago"))</f>
        <v/>
      </c>
      <c r="Y1898" s="79">
        <f>IF(X1898="Sin Pago","",IFERROR(INDEX(Pagos_Odoo!$C:$C, MATCH(X1898, Pagos_Odoo!$B:$B, 0)), ""))</f>
        <v/>
      </c>
      <c r="Z1898" s="80">
        <f>IF(X1898="Sin Pago","",IFERROR(INDEX(Pagos_Odoo!$A:$A, MATCH(X1898, Pagos_Odoo!$B:$B, 0)), ""))</f>
        <v/>
      </c>
      <c r="AA1898" s="79">
        <f>IF(X1898="Sin Pago","",IFERROR(INDEX(Pagos_Odoo!$F:$F, MATCH(X1898, Pagos_Odoo!$B:$B, 0)), ""))</f>
        <v/>
      </c>
      <c r="AB1898" s="81">
        <f>IF(X1898="Sin Pago",0,IFERROR(INDEX(Pagos_Odoo!$E:$E, MATCH(X1898, Pagos_Odoo!$B:$B, 0)), 0))</f>
        <v/>
      </c>
      <c r="AC1898" s="79">
        <f>IF(X1898="Sin Pago","",IFERROR(INDEX(Pagos_Odoo!$G:$G, MATCH(X1898, Pagos_Odoo!$B:$B, 0)), ""))</f>
        <v/>
      </c>
      <c r="AD1898" s="82" t="n">
        <v>0</v>
      </c>
      <c r="AE1898" s="82" t="n"/>
      <c r="AF1898" s="82" t="n"/>
      <c r="AG1898" s="82">
        <f>IF(AN1898="","",AD1898+AE1898+AF1898)</f>
        <v/>
      </c>
      <c r="AH1898" s="81">
        <f>IF(AN1898="","",P1898*(1-AG1898))</f>
        <v/>
      </c>
      <c r="AI1898" s="81">
        <f>IF(AN1898="","",IF(Q1898="Sin Factura",0,IFERROR(INDEX(Facturas_Odoo!$H:$H, MATCH(Q1898, Facturas_Odoo!$B:$B, 0)), 0)*(1-AG1898)))</f>
        <v/>
      </c>
      <c r="AJ1898" s="81">
        <f>IF(AN1898="","",_xlfn.LET(idVenta, AN1898&amp;"",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98" s="81">
        <f>IF(AN1898="","",AH1898-AJ1898)</f>
        <v/>
      </c>
      <c r="AL1898" s="81">
        <f>IF(AN1898="","",IF(Q1898="Sin Factura","",AI1898-AJ1898))</f>
        <v/>
      </c>
      <c r="AM1898" s="81">
        <f>IF(AN1898="","",IF(Q1898="Sin Factura",0,P1898-IFERROR(INDEX(Facturas_Odoo!$H:$H, MATCH(Q1898, Facturas_Odoo!$B:$B, 0)), 0)))</f>
        <v/>
      </c>
      <c r="AN1898" s="79">
        <f>IF(AND(A1898="", J1898=""), "", IF(A1898&lt;&gt;"", VALUE(MID(A1898,2,LEN(A1898))), AN1897))</f>
        <v/>
      </c>
      <c r="AO1898" s="79">
        <f>IF(AN1898="","",IF(AD1898=0,"OK",_xlfn.LET(monedaPago, IF(AA1898="","USD",AA1898), limitePermitido, IFERROR(VLOOKUP(monedaPago, Configuración!$A$2:$B$3, 2, FALSE), 0.15), IF(AD1898&gt;limitePermitido, "ALERTA: EXCESO (" &amp; TEXT(limitePermitido, "0%") &amp; " máx)", "OK"))))</f>
        <v/>
      </c>
      <c r="AP1898" s="79">
        <f>IF(AN1898="","",IF(AE1898=0,"OK",_xlfn.LET(fechaPago, Z1898, fechaFactura, R1898, diasCredito, IF(E1898="Pago inmediato", 0, IFERROR(VALUE(MID(E1898, 1, SEARCH(" ", E1898)-1)),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98" s="79">
        <f>IF(AN1898="","",IF(AND(N1898&gt;0, AG1898&gt;0), IF(Configuración!$K$2="NO", "ALERTA: DESCUENTO DOBLE NO PERMITIDO", "OK"), "OK"))</f>
        <v/>
      </c>
      <c r="AR1898" s="79">
        <f>IF(AN1898="","",IF(OR(AO1898&lt;&gt;"OK", AP1898&lt;&gt;"OK", AQ1898&lt;&gt;"OK"), "⚠️ REVISAR", "OK"))</f>
        <v/>
      </c>
    </row>
    <row r="1899">
      <c r="A1899" s="79">
        <f>IF('Ordenes_Odoo'!A1899="","",'Ordenes_Odoo'!A1899)</f>
        <v/>
      </c>
      <c r="B1899" s="80">
        <f>IF('Ordenes_Odoo'!B1899="","",'Ordenes_Odoo'!B1899)</f>
        <v/>
      </c>
      <c r="C1899" s="79">
        <f>IF('Ordenes_Odoo'!C1899="","",'Ordenes_Odoo'!C1899)</f>
        <v/>
      </c>
      <c r="D1899" s="79">
        <f>IF('Ordenes_Odoo'!D1899="","",'Ordenes_Odoo'!D1899)</f>
        <v/>
      </c>
      <c r="E1899" s="79">
        <f>IF('Ordenes_Odoo'!E1899="","",'Ordenes_Odoo'!E1899)</f>
        <v/>
      </c>
      <c r="F1899" s="79">
        <f>IF('Ordenes_Odoo'!F1899="","",'Ordenes_Odoo'!F1899)</f>
        <v/>
      </c>
      <c r="G1899" s="79">
        <f>IF('Ordenes_Odoo'!G1899="","",'Ordenes_Odoo'!G1899)</f>
        <v/>
      </c>
      <c r="H1899" s="79">
        <f>IF('Ordenes_Odoo'!H1899="","",'Ordenes_Odoo'!H1899)</f>
        <v/>
      </c>
      <c r="I1899" s="79">
        <f>IF('Ordenes_Odoo'!I1899="","",'Ordenes_Odoo'!I1899)</f>
        <v/>
      </c>
      <c r="J1899" s="79">
        <f>IF('Ordenes_Odoo'!J1899="","",'Ordenes_Odoo'!J1899)</f>
        <v/>
      </c>
      <c r="K1899" s="81">
        <f>IF('Ordenes_Odoo'!K1899="","",'Ordenes_Odoo'!K1899)</f>
        <v/>
      </c>
      <c r="L1899" s="81">
        <f>IF('Ordenes_Odoo'!L1899="","",'Ordenes_Odoo'!L1899)</f>
        <v/>
      </c>
      <c r="M1899" s="79">
        <f>IF('Ordenes_Odoo'!M1899="","",'Ordenes_Odoo'!M1899)</f>
        <v/>
      </c>
      <c r="N1899" s="79">
        <f>IF('Ordenes_Odoo'!N1899="","",'Ordenes_Odoo'!N1899)</f>
        <v/>
      </c>
      <c r="O1899" s="81">
        <f>IF('Ordenes_Odoo'!O1899="","",'Ordenes_Odoo'!O1899)</f>
        <v/>
      </c>
      <c r="P1899" s="81">
        <f>IF('Ordenes_Odoo'!P1899="","",'Ordenes_Odoo'!P1899)</f>
        <v/>
      </c>
      <c r="Q1899" s="79">
        <f>IF(A1899="","",IFERROR(INDEX(Facturas_Odoo!$B:$B, MATCH(A1899, Facturas_Odoo!$D:$D, 0)), "Sin Factura"))</f>
        <v/>
      </c>
      <c r="R1899" s="80">
        <f>IF(Q1899="Sin Factura","",IFERROR(INDEX(Facturas_Odoo!$A:$A, MATCH(Q1899, Facturas_Odoo!$B:$B, 0)), ""))</f>
        <v/>
      </c>
      <c r="S1899" s="79">
        <f>IF(Q1899="Sin Factura","",IFERROR(_xlfn.XLOOKUP(1, (Facturas_Odoo!$D:$D=A1899) * (Facturas_Odoo!$K:$K=I1899), Facturas_Odoo!$L:$L, ""), ""))</f>
        <v/>
      </c>
      <c r="T1899" s="81">
        <f>IF(Q1899="Sin Factura",0,IFERROR(_xlfn.XLOOKUP(1, (Facturas_Odoo!$D:$D=A1899) * (Facturas_Odoo!$K:$K=I1899), Facturas_Odoo!$M:$M, 0), 0))</f>
        <v/>
      </c>
      <c r="U1899" s="79">
        <f>IF(Q1899="Sin Factura",0,IFERROR(_xlfn.XLOOKUP(1, (Facturas_Odoo!$D:$D=A1899) * (Facturas_Odoo!$K:$K=I1899), Facturas_Odoo!$N:$N, 0), 0))</f>
        <v/>
      </c>
      <c r="V1899" s="79">
        <f>IF(Q1899="Sin Factura",0,IFERROR(_xlfn.XLOOKUP(1, (Facturas_Odoo!$D:$D=A1899) * (Facturas_Odoo!$K:$K=I1899), Facturas_Odoo!$O:$O, 0), 0))</f>
        <v/>
      </c>
      <c r="W1899" s="81">
        <f>IF(Q1899="Sin Factura",0,IFERROR(_xlfn.XLOOKUP(1, (Facturas_Odoo!$D:$D=A1899) * (Facturas_Odoo!$K:$K=I1899), Facturas_Odoo!$Q:$Q, 0), 0))</f>
        <v/>
      </c>
      <c r="X1899" s="79">
        <f>IF(OR(Q1899="Sin Factura",Q1899=""),"",IFERROR(INDEX(Pagos_Odoo!$B:$B, MATCH(Q1899, Pagos_Odoo!$I:$I, 0)), "Sin Pago"))</f>
        <v/>
      </c>
      <c r="Y1899" s="79">
        <f>IF(X1899="Sin Pago","",IFERROR(INDEX(Pagos_Odoo!$C:$C, MATCH(X1899, Pagos_Odoo!$B:$B, 0)), ""))</f>
        <v/>
      </c>
      <c r="Z1899" s="80">
        <f>IF(X1899="Sin Pago","",IFERROR(INDEX(Pagos_Odoo!$A:$A, MATCH(X1899, Pagos_Odoo!$B:$B, 0)), ""))</f>
        <v/>
      </c>
      <c r="AA1899" s="79">
        <f>IF(X1899="Sin Pago","",IFERROR(INDEX(Pagos_Odoo!$F:$F, MATCH(X1899, Pagos_Odoo!$B:$B, 0)), ""))</f>
        <v/>
      </c>
      <c r="AB1899" s="81">
        <f>IF(X1899="Sin Pago",0,IFERROR(INDEX(Pagos_Odoo!$E:$E, MATCH(X1899, Pagos_Odoo!$B:$B, 0)), 0))</f>
        <v/>
      </c>
      <c r="AC1899" s="79">
        <f>IF(X1899="Sin Pago","",IFERROR(INDEX(Pagos_Odoo!$G:$G, MATCH(X1899, Pagos_Odoo!$B:$B, 0)), ""))</f>
        <v/>
      </c>
      <c r="AD1899" s="82" t="n">
        <v>0</v>
      </c>
      <c r="AE1899" s="82" t="n"/>
      <c r="AF1899" s="82" t="n"/>
      <c r="AG1899" s="82">
        <f>IF(AN1899="","",AD1899+AE1899+AF1899)</f>
        <v/>
      </c>
      <c r="AH1899" s="81">
        <f>IF(AN1899="","",P1899*(1-AG1899))</f>
        <v/>
      </c>
      <c r="AI1899" s="81">
        <f>IF(AN1899="","",IF(Q1899="Sin Factura",0,IFERROR(INDEX(Facturas_Odoo!$H:$H, MATCH(Q1899, Facturas_Odoo!$B:$B, 0)), 0)*(1-AG1899)))</f>
        <v/>
      </c>
      <c r="AJ1899" s="81">
        <f>IF(AN1899="","",_xlfn.LET(idVenta, AN1899&amp;"",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899" s="81">
        <f>IF(AN1899="","",AH1899-AJ1899)</f>
        <v/>
      </c>
      <c r="AL1899" s="81">
        <f>IF(AN1899="","",IF(Q1899="Sin Factura","",AI1899-AJ1899))</f>
        <v/>
      </c>
      <c r="AM1899" s="81">
        <f>IF(AN1899="","",IF(Q1899="Sin Factura",0,P1899-IFERROR(INDEX(Facturas_Odoo!$H:$H, MATCH(Q1899, Facturas_Odoo!$B:$B, 0)), 0)))</f>
        <v/>
      </c>
      <c r="AN1899" s="79">
        <f>IF(AND(A1899="", J1899=""), "", IF(A1899&lt;&gt;"", VALUE(MID(A1899,2,LEN(A1899))), AN1898))</f>
        <v/>
      </c>
      <c r="AO1899" s="79">
        <f>IF(AN1899="","",IF(AD1899=0,"OK",_xlfn.LET(monedaPago, IF(AA1899="","USD",AA1899), limitePermitido, IFERROR(VLOOKUP(monedaPago, Configuración!$A$2:$B$3, 2, FALSE), 0.15), IF(AD1899&gt;limitePermitido, "ALERTA: EXCESO (" &amp; TEXT(limitePermitido, "0%") &amp; " máx)", "OK"))))</f>
        <v/>
      </c>
      <c r="AP1899" s="79">
        <f>IF(AN1899="","",IF(AE1899=0,"OK",_xlfn.LET(fechaPago, Z1899, fechaFactura, R1899, diasCredito, IF(E1899="Pago inmediato", 0, IFERROR(VALUE(MID(E1899, 1, SEARCH(" ", E1899)-1)),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899" s="79">
        <f>IF(AN1899="","",IF(AND(N1899&gt;0, AG1899&gt;0), IF(Configuración!$K$2="NO", "ALERTA: DESCUENTO DOBLE NO PERMITIDO", "OK"), "OK"))</f>
        <v/>
      </c>
      <c r="AR1899" s="79">
        <f>IF(AN1899="","",IF(OR(AO1899&lt;&gt;"OK", AP1899&lt;&gt;"OK", AQ1899&lt;&gt;"OK"), "⚠️ REVISAR", "OK"))</f>
        <v/>
      </c>
    </row>
    <row r="1900">
      <c r="A1900" s="79">
        <f>IF('Ordenes_Odoo'!A1900="","",'Ordenes_Odoo'!A1900)</f>
        <v/>
      </c>
      <c r="B1900" s="80">
        <f>IF('Ordenes_Odoo'!B1900="","",'Ordenes_Odoo'!B1900)</f>
        <v/>
      </c>
      <c r="C1900" s="79">
        <f>IF('Ordenes_Odoo'!C1900="","",'Ordenes_Odoo'!C1900)</f>
        <v/>
      </c>
      <c r="D1900" s="79">
        <f>IF('Ordenes_Odoo'!D1900="","",'Ordenes_Odoo'!D1900)</f>
        <v/>
      </c>
      <c r="E1900" s="79">
        <f>IF('Ordenes_Odoo'!E1900="","",'Ordenes_Odoo'!E1900)</f>
        <v/>
      </c>
      <c r="F1900" s="79">
        <f>IF('Ordenes_Odoo'!F1900="","",'Ordenes_Odoo'!F1900)</f>
        <v/>
      </c>
      <c r="G1900" s="79">
        <f>IF('Ordenes_Odoo'!G1900="","",'Ordenes_Odoo'!G1900)</f>
        <v/>
      </c>
      <c r="H1900" s="79">
        <f>IF('Ordenes_Odoo'!H1900="","",'Ordenes_Odoo'!H1900)</f>
        <v/>
      </c>
      <c r="I1900" s="79">
        <f>IF('Ordenes_Odoo'!I1900="","",'Ordenes_Odoo'!I1900)</f>
        <v/>
      </c>
      <c r="J1900" s="79">
        <f>IF('Ordenes_Odoo'!J1900="","",'Ordenes_Odoo'!J1900)</f>
        <v/>
      </c>
      <c r="K1900" s="81">
        <f>IF('Ordenes_Odoo'!K1900="","",'Ordenes_Odoo'!K1900)</f>
        <v/>
      </c>
      <c r="L1900" s="81">
        <f>IF('Ordenes_Odoo'!L1900="","",'Ordenes_Odoo'!L1900)</f>
        <v/>
      </c>
      <c r="M1900" s="79">
        <f>IF('Ordenes_Odoo'!M1900="","",'Ordenes_Odoo'!M1900)</f>
        <v/>
      </c>
      <c r="N1900" s="79">
        <f>IF('Ordenes_Odoo'!N1900="","",'Ordenes_Odoo'!N1900)</f>
        <v/>
      </c>
      <c r="O1900" s="81">
        <f>IF('Ordenes_Odoo'!O1900="","",'Ordenes_Odoo'!O1900)</f>
        <v/>
      </c>
      <c r="P1900" s="81">
        <f>IF('Ordenes_Odoo'!P1900="","",'Ordenes_Odoo'!P1900)</f>
        <v/>
      </c>
      <c r="Q1900" s="79">
        <f>IF(A1900="","",IFERROR(INDEX(Facturas_Odoo!$B:$B, MATCH(A1900, Facturas_Odoo!$D:$D, 0)), "Sin Factura"))</f>
        <v/>
      </c>
      <c r="R1900" s="80">
        <f>IF(Q1900="Sin Factura","",IFERROR(INDEX(Facturas_Odoo!$A:$A, MATCH(Q1900, Facturas_Odoo!$B:$B, 0)), ""))</f>
        <v/>
      </c>
      <c r="S1900" s="79">
        <f>IF(Q1900="Sin Factura","",IFERROR(_xlfn.XLOOKUP(1, (Facturas_Odoo!$D:$D=A1900) * (Facturas_Odoo!$K:$K=I1900), Facturas_Odoo!$L:$L, ""), ""))</f>
        <v/>
      </c>
      <c r="T1900" s="81">
        <f>IF(Q1900="Sin Factura",0,IFERROR(_xlfn.XLOOKUP(1, (Facturas_Odoo!$D:$D=A1900) * (Facturas_Odoo!$K:$K=I1900), Facturas_Odoo!$M:$M, 0), 0))</f>
        <v/>
      </c>
      <c r="U1900" s="79">
        <f>IF(Q1900="Sin Factura",0,IFERROR(_xlfn.XLOOKUP(1, (Facturas_Odoo!$D:$D=A1900) * (Facturas_Odoo!$K:$K=I1900), Facturas_Odoo!$N:$N, 0), 0))</f>
        <v/>
      </c>
      <c r="V1900" s="79">
        <f>IF(Q1900="Sin Factura",0,IFERROR(_xlfn.XLOOKUP(1, (Facturas_Odoo!$D:$D=A1900) * (Facturas_Odoo!$K:$K=I1900), Facturas_Odoo!$O:$O, 0), 0))</f>
        <v/>
      </c>
      <c r="W1900" s="81">
        <f>IF(Q1900="Sin Factura",0,IFERROR(_xlfn.XLOOKUP(1, (Facturas_Odoo!$D:$D=A1900) * (Facturas_Odoo!$K:$K=I1900), Facturas_Odoo!$Q:$Q, 0), 0))</f>
        <v/>
      </c>
      <c r="X1900" s="79">
        <f>IF(OR(Q1900="Sin Factura",Q1900=""),"",IFERROR(INDEX(Pagos_Odoo!$B:$B, MATCH(Q1900, Pagos_Odoo!$I:$I, 0)), "Sin Pago"))</f>
        <v/>
      </c>
      <c r="Y1900" s="79">
        <f>IF(X1900="Sin Pago","",IFERROR(INDEX(Pagos_Odoo!$C:$C, MATCH(X1900, Pagos_Odoo!$B:$B, 0)), ""))</f>
        <v/>
      </c>
      <c r="Z1900" s="80">
        <f>IF(X1900="Sin Pago","",IFERROR(INDEX(Pagos_Odoo!$A:$A, MATCH(X1900, Pagos_Odoo!$B:$B, 0)), ""))</f>
        <v/>
      </c>
      <c r="AA1900" s="79">
        <f>IF(X1900="Sin Pago","",IFERROR(INDEX(Pagos_Odoo!$F:$F, MATCH(X1900, Pagos_Odoo!$B:$B, 0)), ""))</f>
        <v/>
      </c>
      <c r="AB1900" s="81">
        <f>IF(X1900="Sin Pago",0,IFERROR(INDEX(Pagos_Odoo!$E:$E, MATCH(X1900, Pagos_Odoo!$B:$B, 0)), 0))</f>
        <v/>
      </c>
      <c r="AC1900" s="79">
        <f>IF(X1900="Sin Pago","",IFERROR(INDEX(Pagos_Odoo!$G:$G, MATCH(X1900, Pagos_Odoo!$B:$B, 0)), ""))</f>
        <v/>
      </c>
      <c r="AD1900" s="82" t="n">
        <v>0</v>
      </c>
      <c r="AE1900" s="82" t="n"/>
      <c r="AF1900" s="82" t="n"/>
      <c r="AG1900" s="82">
        <f>IF(AN1900="","",AD1900+AE1900+AF1900)</f>
        <v/>
      </c>
      <c r="AH1900" s="81">
        <f>IF(AN1900="","",P1900*(1-AG1900))</f>
        <v/>
      </c>
      <c r="AI1900" s="81">
        <f>IF(AN1900="","",IF(Q1900="Sin Factura",0,IFERROR(INDEX(Facturas_Odoo!$H:$H, MATCH(Q1900, Facturas_Odoo!$B:$B, 0)), 0)*(1-AG1900)))</f>
        <v/>
      </c>
      <c r="AJ1900" s="81">
        <f>IF(AN1900="","",_xlfn.LET(idVenta, AN1900&amp;"",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00" s="81">
        <f>IF(AN1900="","",AH1900-AJ1900)</f>
        <v/>
      </c>
      <c r="AL1900" s="81">
        <f>IF(AN1900="","",IF(Q1900="Sin Factura","",AI1900-AJ1900))</f>
        <v/>
      </c>
      <c r="AM1900" s="81">
        <f>IF(AN1900="","",IF(Q1900="Sin Factura",0,P1900-IFERROR(INDEX(Facturas_Odoo!$H:$H, MATCH(Q1900, Facturas_Odoo!$B:$B, 0)), 0)))</f>
        <v/>
      </c>
      <c r="AN1900" s="79">
        <f>IF(AND(A1900="", J1900=""), "", IF(A1900&lt;&gt;"", VALUE(MID(A1900,2,LEN(A1900))), AN1899))</f>
        <v/>
      </c>
      <c r="AO1900" s="79">
        <f>IF(AN1900="","",IF(AD1900=0,"OK",_xlfn.LET(monedaPago, IF(AA1900="","USD",AA1900), limitePermitido, IFERROR(VLOOKUP(monedaPago, Configuración!$A$2:$B$3, 2, FALSE), 0.15), IF(AD1900&gt;limitePermitido, "ALERTA: EXCESO (" &amp; TEXT(limitePermitido, "0%") &amp; " máx)", "OK"))))</f>
        <v/>
      </c>
      <c r="AP1900" s="79">
        <f>IF(AN1900="","",IF(AE1900=0,"OK",_xlfn.LET(fechaPago, Z1900, fechaFactura, R1900, diasCredito, IF(E1900="Pago inmediato", 0, IFERROR(VALUE(MID(E1900, 1, SEARCH(" ", E1900)-1)),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00" s="79">
        <f>IF(AN1900="","",IF(AND(N1900&gt;0, AG1900&gt;0), IF(Configuración!$K$2="NO", "ALERTA: DESCUENTO DOBLE NO PERMITIDO", "OK"), "OK"))</f>
        <v/>
      </c>
      <c r="AR1900" s="79">
        <f>IF(AN1900="","",IF(OR(AO1900&lt;&gt;"OK", AP1900&lt;&gt;"OK", AQ1900&lt;&gt;"OK"), "⚠️ REVISAR", "OK"))</f>
        <v/>
      </c>
    </row>
    <row r="1901">
      <c r="A1901" s="79">
        <f>IF('Ordenes_Odoo'!A1901="","",'Ordenes_Odoo'!A1901)</f>
        <v/>
      </c>
      <c r="B1901" s="80">
        <f>IF('Ordenes_Odoo'!B1901="","",'Ordenes_Odoo'!B1901)</f>
        <v/>
      </c>
      <c r="C1901" s="79">
        <f>IF('Ordenes_Odoo'!C1901="","",'Ordenes_Odoo'!C1901)</f>
        <v/>
      </c>
      <c r="D1901" s="79">
        <f>IF('Ordenes_Odoo'!D1901="","",'Ordenes_Odoo'!D1901)</f>
        <v/>
      </c>
      <c r="E1901" s="79">
        <f>IF('Ordenes_Odoo'!E1901="","",'Ordenes_Odoo'!E1901)</f>
        <v/>
      </c>
      <c r="F1901" s="79">
        <f>IF('Ordenes_Odoo'!F1901="","",'Ordenes_Odoo'!F1901)</f>
        <v/>
      </c>
      <c r="G1901" s="79">
        <f>IF('Ordenes_Odoo'!G1901="","",'Ordenes_Odoo'!G1901)</f>
        <v/>
      </c>
      <c r="H1901" s="79">
        <f>IF('Ordenes_Odoo'!H1901="","",'Ordenes_Odoo'!H1901)</f>
        <v/>
      </c>
      <c r="I1901" s="79">
        <f>IF('Ordenes_Odoo'!I1901="","",'Ordenes_Odoo'!I1901)</f>
        <v/>
      </c>
      <c r="J1901" s="79">
        <f>IF('Ordenes_Odoo'!J1901="","",'Ordenes_Odoo'!J1901)</f>
        <v/>
      </c>
      <c r="K1901" s="81">
        <f>IF('Ordenes_Odoo'!K1901="","",'Ordenes_Odoo'!K1901)</f>
        <v/>
      </c>
      <c r="L1901" s="81">
        <f>IF('Ordenes_Odoo'!L1901="","",'Ordenes_Odoo'!L1901)</f>
        <v/>
      </c>
      <c r="M1901" s="79">
        <f>IF('Ordenes_Odoo'!M1901="","",'Ordenes_Odoo'!M1901)</f>
        <v/>
      </c>
      <c r="N1901" s="79">
        <f>IF('Ordenes_Odoo'!N1901="","",'Ordenes_Odoo'!N1901)</f>
        <v/>
      </c>
      <c r="O1901" s="81">
        <f>IF('Ordenes_Odoo'!O1901="","",'Ordenes_Odoo'!O1901)</f>
        <v/>
      </c>
      <c r="P1901" s="81">
        <f>IF('Ordenes_Odoo'!P1901="","",'Ordenes_Odoo'!P1901)</f>
        <v/>
      </c>
      <c r="Q1901" s="79">
        <f>IF(A1901="","",IFERROR(INDEX(Facturas_Odoo!$B:$B, MATCH(A1901, Facturas_Odoo!$D:$D, 0)), "Sin Factura"))</f>
        <v/>
      </c>
      <c r="R1901" s="80">
        <f>IF(Q1901="Sin Factura","",IFERROR(INDEX(Facturas_Odoo!$A:$A, MATCH(Q1901, Facturas_Odoo!$B:$B, 0)), ""))</f>
        <v/>
      </c>
      <c r="S1901" s="79">
        <f>IF(Q1901="Sin Factura","",IFERROR(_xlfn.XLOOKUP(1, (Facturas_Odoo!$D:$D=A1901) * (Facturas_Odoo!$K:$K=I1901), Facturas_Odoo!$L:$L, ""), ""))</f>
        <v/>
      </c>
      <c r="T1901" s="81">
        <f>IF(Q1901="Sin Factura",0,IFERROR(_xlfn.XLOOKUP(1, (Facturas_Odoo!$D:$D=A1901) * (Facturas_Odoo!$K:$K=I1901), Facturas_Odoo!$M:$M, 0), 0))</f>
        <v/>
      </c>
      <c r="U1901" s="79">
        <f>IF(Q1901="Sin Factura",0,IFERROR(_xlfn.XLOOKUP(1, (Facturas_Odoo!$D:$D=A1901) * (Facturas_Odoo!$K:$K=I1901), Facturas_Odoo!$N:$N, 0), 0))</f>
        <v/>
      </c>
      <c r="V1901" s="79">
        <f>IF(Q1901="Sin Factura",0,IFERROR(_xlfn.XLOOKUP(1, (Facturas_Odoo!$D:$D=A1901) * (Facturas_Odoo!$K:$K=I1901), Facturas_Odoo!$O:$O, 0), 0))</f>
        <v/>
      </c>
      <c r="W1901" s="81">
        <f>IF(Q1901="Sin Factura",0,IFERROR(_xlfn.XLOOKUP(1, (Facturas_Odoo!$D:$D=A1901) * (Facturas_Odoo!$K:$K=I1901), Facturas_Odoo!$Q:$Q, 0), 0))</f>
        <v/>
      </c>
      <c r="X1901" s="79">
        <f>IF(OR(Q1901="Sin Factura",Q1901=""),"",IFERROR(INDEX(Pagos_Odoo!$B:$B, MATCH(Q1901, Pagos_Odoo!$I:$I, 0)), "Sin Pago"))</f>
        <v/>
      </c>
      <c r="Y1901" s="79">
        <f>IF(X1901="Sin Pago","",IFERROR(INDEX(Pagos_Odoo!$C:$C, MATCH(X1901, Pagos_Odoo!$B:$B, 0)), ""))</f>
        <v/>
      </c>
      <c r="Z1901" s="80">
        <f>IF(X1901="Sin Pago","",IFERROR(INDEX(Pagos_Odoo!$A:$A, MATCH(X1901, Pagos_Odoo!$B:$B, 0)), ""))</f>
        <v/>
      </c>
      <c r="AA1901" s="79">
        <f>IF(X1901="Sin Pago","",IFERROR(INDEX(Pagos_Odoo!$F:$F, MATCH(X1901, Pagos_Odoo!$B:$B, 0)), ""))</f>
        <v/>
      </c>
      <c r="AB1901" s="81">
        <f>IF(X1901="Sin Pago",0,IFERROR(INDEX(Pagos_Odoo!$E:$E, MATCH(X1901, Pagos_Odoo!$B:$B, 0)), 0))</f>
        <v/>
      </c>
      <c r="AC1901" s="79">
        <f>IF(X1901="Sin Pago","",IFERROR(INDEX(Pagos_Odoo!$G:$G, MATCH(X1901, Pagos_Odoo!$B:$B, 0)), ""))</f>
        <v/>
      </c>
      <c r="AD1901" s="82" t="n">
        <v>0</v>
      </c>
      <c r="AE1901" s="82" t="n"/>
      <c r="AF1901" s="82" t="n"/>
      <c r="AG1901" s="82">
        <f>IF(AN1901="","",AD1901+AE1901+AF1901)</f>
        <v/>
      </c>
      <c r="AH1901" s="81">
        <f>IF(AN1901="","",P1901*(1-AG1901))</f>
        <v/>
      </c>
      <c r="AI1901" s="81">
        <f>IF(AN1901="","",IF(Q1901="Sin Factura",0,IFERROR(INDEX(Facturas_Odoo!$H:$H, MATCH(Q1901, Facturas_Odoo!$B:$B, 0)), 0)*(1-AG1901)))</f>
        <v/>
      </c>
      <c r="AJ1901" s="81">
        <f>IF(AN1901="","",_xlfn.LET(idVenta, AN1901&amp;"",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01" s="81">
        <f>IF(AN1901="","",AH1901-AJ1901)</f>
        <v/>
      </c>
      <c r="AL1901" s="81">
        <f>IF(AN1901="","",IF(Q1901="Sin Factura","",AI1901-AJ1901))</f>
        <v/>
      </c>
      <c r="AM1901" s="81">
        <f>IF(AN1901="","",IF(Q1901="Sin Factura",0,P1901-IFERROR(INDEX(Facturas_Odoo!$H:$H, MATCH(Q1901, Facturas_Odoo!$B:$B, 0)), 0)))</f>
        <v/>
      </c>
      <c r="AN1901" s="79">
        <f>IF(AND(A1901="", J1901=""), "", IF(A1901&lt;&gt;"", VALUE(MID(A1901,2,LEN(A1901))), AN1900))</f>
        <v/>
      </c>
      <c r="AO1901" s="79">
        <f>IF(AN1901="","",IF(AD1901=0,"OK",_xlfn.LET(monedaPago, IF(AA1901="","USD",AA1901), limitePermitido, IFERROR(VLOOKUP(monedaPago, Configuración!$A$2:$B$3, 2, FALSE), 0.15), IF(AD1901&gt;limitePermitido, "ALERTA: EXCESO (" &amp; TEXT(limitePermitido, "0%") &amp; " máx)", "OK"))))</f>
        <v/>
      </c>
      <c r="AP1901" s="79">
        <f>IF(AN1901="","",IF(AE1901=0,"OK",_xlfn.LET(fechaPago, Z1901, fechaFactura, R1901, diasCredito, IF(E1901="Pago inmediato", 0, IFERROR(VALUE(MID(E1901, 1, SEARCH(" ", E1901)-1)),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01" s="79">
        <f>IF(AN1901="","",IF(AND(N1901&gt;0, AG1901&gt;0), IF(Configuración!$K$2="NO", "ALERTA: DESCUENTO DOBLE NO PERMITIDO", "OK"), "OK"))</f>
        <v/>
      </c>
      <c r="AR1901" s="79">
        <f>IF(AN1901="","",IF(OR(AO1901&lt;&gt;"OK", AP1901&lt;&gt;"OK", AQ1901&lt;&gt;"OK"), "⚠️ REVISAR", "OK"))</f>
        <v/>
      </c>
    </row>
    <row r="1902">
      <c r="A1902" s="79">
        <f>IF('Ordenes_Odoo'!A1902="","",'Ordenes_Odoo'!A1902)</f>
        <v/>
      </c>
      <c r="B1902" s="80">
        <f>IF('Ordenes_Odoo'!B1902="","",'Ordenes_Odoo'!B1902)</f>
        <v/>
      </c>
      <c r="C1902" s="79">
        <f>IF('Ordenes_Odoo'!C1902="","",'Ordenes_Odoo'!C1902)</f>
        <v/>
      </c>
      <c r="D1902" s="79">
        <f>IF('Ordenes_Odoo'!D1902="","",'Ordenes_Odoo'!D1902)</f>
        <v/>
      </c>
      <c r="E1902" s="79">
        <f>IF('Ordenes_Odoo'!E1902="","",'Ordenes_Odoo'!E1902)</f>
        <v/>
      </c>
      <c r="F1902" s="79">
        <f>IF('Ordenes_Odoo'!F1902="","",'Ordenes_Odoo'!F1902)</f>
        <v/>
      </c>
      <c r="G1902" s="79">
        <f>IF('Ordenes_Odoo'!G1902="","",'Ordenes_Odoo'!G1902)</f>
        <v/>
      </c>
      <c r="H1902" s="79">
        <f>IF('Ordenes_Odoo'!H1902="","",'Ordenes_Odoo'!H1902)</f>
        <v/>
      </c>
      <c r="I1902" s="79">
        <f>IF('Ordenes_Odoo'!I1902="","",'Ordenes_Odoo'!I1902)</f>
        <v/>
      </c>
      <c r="J1902" s="79">
        <f>IF('Ordenes_Odoo'!J1902="","",'Ordenes_Odoo'!J1902)</f>
        <v/>
      </c>
      <c r="K1902" s="81">
        <f>IF('Ordenes_Odoo'!K1902="","",'Ordenes_Odoo'!K1902)</f>
        <v/>
      </c>
      <c r="L1902" s="81">
        <f>IF('Ordenes_Odoo'!L1902="","",'Ordenes_Odoo'!L1902)</f>
        <v/>
      </c>
      <c r="M1902" s="79">
        <f>IF('Ordenes_Odoo'!M1902="","",'Ordenes_Odoo'!M1902)</f>
        <v/>
      </c>
      <c r="N1902" s="79">
        <f>IF('Ordenes_Odoo'!N1902="","",'Ordenes_Odoo'!N1902)</f>
        <v/>
      </c>
      <c r="O1902" s="81">
        <f>IF('Ordenes_Odoo'!O1902="","",'Ordenes_Odoo'!O1902)</f>
        <v/>
      </c>
      <c r="P1902" s="81">
        <f>IF('Ordenes_Odoo'!P1902="","",'Ordenes_Odoo'!P1902)</f>
        <v/>
      </c>
      <c r="Q1902" s="79">
        <f>IF(A1902="","",IFERROR(INDEX(Facturas_Odoo!$B:$B, MATCH(A1902, Facturas_Odoo!$D:$D, 0)), "Sin Factura"))</f>
        <v/>
      </c>
      <c r="R1902" s="80">
        <f>IF(Q1902="Sin Factura","",IFERROR(INDEX(Facturas_Odoo!$A:$A, MATCH(Q1902, Facturas_Odoo!$B:$B, 0)), ""))</f>
        <v/>
      </c>
      <c r="S1902" s="79">
        <f>IF(Q1902="Sin Factura","",IFERROR(_xlfn.XLOOKUP(1, (Facturas_Odoo!$D:$D=A1902) * (Facturas_Odoo!$K:$K=I1902), Facturas_Odoo!$L:$L, ""), ""))</f>
        <v/>
      </c>
      <c r="T1902" s="81">
        <f>IF(Q1902="Sin Factura",0,IFERROR(_xlfn.XLOOKUP(1, (Facturas_Odoo!$D:$D=A1902) * (Facturas_Odoo!$K:$K=I1902), Facturas_Odoo!$M:$M, 0), 0))</f>
        <v/>
      </c>
      <c r="U1902" s="79">
        <f>IF(Q1902="Sin Factura",0,IFERROR(_xlfn.XLOOKUP(1, (Facturas_Odoo!$D:$D=A1902) * (Facturas_Odoo!$K:$K=I1902), Facturas_Odoo!$N:$N, 0), 0))</f>
        <v/>
      </c>
      <c r="V1902" s="79">
        <f>IF(Q1902="Sin Factura",0,IFERROR(_xlfn.XLOOKUP(1, (Facturas_Odoo!$D:$D=A1902) * (Facturas_Odoo!$K:$K=I1902), Facturas_Odoo!$O:$O, 0), 0))</f>
        <v/>
      </c>
      <c r="W1902" s="81">
        <f>IF(Q1902="Sin Factura",0,IFERROR(_xlfn.XLOOKUP(1, (Facturas_Odoo!$D:$D=A1902) * (Facturas_Odoo!$K:$K=I1902), Facturas_Odoo!$Q:$Q, 0), 0))</f>
        <v/>
      </c>
      <c r="X1902" s="79">
        <f>IF(OR(Q1902="Sin Factura",Q1902=""),"",IFERROR(INDEX(Pagos_Odoo!$B:$B, MATCH(Q1902, Pagos_Odoo!$I:$I, 0)), "Sin Pago"))</f>
        <v/>
      </c>
      <c r="Y1902" s="79">
        <f>IF(X1902="Sin Pago","",IFERROR(INDEX(Pagos_Odoo!$C:$C, MATCH(X1902, Pagos_Odoo!$B:$B, 0)), ""))</f>
        <v/>
      </c>
      <c r="Z1902" s="80">
        <f>IF(X1902="Sin Pago","",IFERROR(INDEX(Pagos_Odoo!$A:$A, MATCH(X1902, Pagos_Odoo!$B:$B, 0)), ""))</f>
        <v/>
      </c>
      <c r="AA1902" s="79">
        <f>IF(X1902="Sin Pago","",IFERROR(INDEX(Pagos_Odoo!$F:$F, MATCH(X1902, Pagos_Odoo!$B:$B, 0)), ""))</f>
        <v/>
      </c>
      <c r="AB1902" s="81">
        <f>IF(X1902="Sin Pago",0,IFERROR(INDEX(Pagos_Odoo!$E:$E, MATCH(X1902, Pagos_Odoo!$B:$B, 0)), 0))</f>
        <v/>
      </c>
      <c r="AC1902" s="79">
        <f>IF(X1902="Sin Pago","",IFERROR(INDEX(Pagos_Odoo!$G:$G, MATCH(X1902, Pagos_Odoo!$B:$B, 0)), ""))</f>
        <v/>
      </c>
      <c r="AD1902" s="82" t="n">
        <v>0</v>
      </c>
      <c r="AE1902" s="82" t="n"/>
      <c r="AF1902" s="82" t="n"/>
      <c r="AG1902" s="82">
        <f>IF(AN1902="","",AD1902+AE1902+AF1902)</f>
        <v/>
      </c>
      <c r="AH1902" s="81">
        <f>IF(AN1902="","",P1902*(1-AG1902))</f>
        <v/>
      </c>
      <c r="AI1902" s="81">
        <f>IF(AN1902="","",IF(Q1902="Sin Factura",0,IFERROR(INDEX(Facturas_Odoo!$H:$H, MATCH(Q1902, Facturas_Odoo!$B:$B, 0)), 0)*(1-AG1902)))</f>
        <v/>
      </c>
      <c r="AJ1902" s="81">
        <f>IF(AN1902="","",_xlfn.LET(idVenta, AN1902&amp;"",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02" s="81">
        <f>IF(AN1902="","",AH1902-AJ1902)</f>
        <v/>
      </c>
      <c r="AL1902" s="81">
        <f>IF(AN1902="","",IF(Q1902="Sin Factura","",AI1902-AJ1902))</f>
        <v/>
      </c>
      <c r="AM1902" s="81">
        <f>IF(AN1902="","",IF(Q1902="Sin Factura",0,P1902-IFERROR(INDEX(Facturas_Odoo!$H:$H, MATCH(Q1902, Facturas_Odoo!$B:$B, 0)), 0)))</f>
        <v/>
      </c>
      <c r="AN1902" s="79">
        <f>IF(AND(A1902="", J1902=""), "", IF(A1902&lt;&gt;"", VALUE(MID(A1902,2,LEN(A1902))), AN1901))</f>
        <v/>
      </c>
      <c r="AO1902" s="79">
        <f>IF(AN1902="","",IF(AD1902=0,"OK",_xlfn.LET(monedaPago, IF(AA1902="","USD",AA1902), limitePermitido, IFERROR(VLOOKUP(monedaPago, Configuración!$A$2:$B$3, 2, FALSE), 0.15), IF(AD1902&gt;limitePermitido, "ALERTA: EXCESO (" &amp; TEXT(limitePermitido, "0%") &amp; " máx)", "OK"))))</f>
        <v/>
      </c>
      <c r="AP1902" s="79">
        <f>IF(AN1902="","",IF(AE1902=0,"OK",_xlfn.LET(fechaPago, Z1902, fechaFactura, R1902, diasCredito, IF(E1902="Pago inmediato", 0, IFERROR(VALUE(MID(E1902, 1, SEARCH(" ", E1902)-1)),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02" s="79">
        <f>IF(AN1902="","",IF(AND(N1902&gt;0, AG1902&gt;0), IF(Configuración!$K$2="NO", "ALERTA: DESCUENTO DOBLE NO PERMITIDO", "OK"), "OK"))</f>
        <v/>
      </c>
      <c r="AR1902" s="79">
        <f>IF(AN1902="","",IF(OR(AO1902&lt;&gt;"OK", AP1902&lt;&gt;"OK", AQ1902&lt;&gt;"OK"), "⚠️ REVISAR", "OK"))</f>
        <v/>
      </c>
    </row>
    <row r="1903">
      <c r="A1903" s="79">
        <f>IF('Ordenes_Odoo'!A1903="","",'Ordenes_Odoo'!A1903)</f>
        <v/>
      </c>
      <c r="B1903" s="80">
        <f>IF('Ordenes_Odoo'!B1903="","",'Ordenes_Odoo'!B1903)</f>
        <v/>
      </c>
      <c r="C1903" s="79">
        <f>IF('Ordenes_Odoo'!C1903="","",'Ordenes_Odoo'!C1903)</f>
        <v/>
      </c>
      <c r="D1903" s="79">
        <f>IF('Ordenes_Odoo'!D1903="","",'Ordenes_Odoo'!D1903)</f>
        <v/>
      </c>
      <c r="E1903" s="79">
        <f>IF('Ordenes_Odoo'!E1903="","",'Ordenes_Odoo'!E1903)</f>
        <v/>
      </c>
      <c r="F1903" s="79">
        <f>IF('Ordenes_Odoo'!F1903="","",'Ordenes_Odoo'!F1903)</f>
        <v/>
      </c>
      <c r="G1903" s="79">
        <f>IF('Ordenes_Odoo'!G1903="","",'Ordenes_Odoo'!G1903)</f>
        <v/>
      </c>
      <c r="H1903" s="79">
        <f>IF('Ordenes_Odoo'!H1903="","",'Ordenes_Odoo'!H1903)</f>
        <v/>
      </c>
      <c r="I1903" s="79">
        <f>IF('Ordenes_Odoo'!I1903="","",'Ordenes_Odoo'!I1903)</f>
        <v/>
      </c>
      <c r="J1903" s="79">
        <f>IF('Ordenes_Odoo'!J1903="","",'Ordenes_Odoo'!J1903)</f>
        <v/>
      </c>
      <c r="K1903" s="81">
        <f>IF('Ordenes_Odoo'!K1903="","",'Ordenes_Odoo'!K1903)</f>
        <v/>
      </c>
      <c r="L1903" s="81">
        <f>IF('Ordenes_Odoo'!L1903="","",'Ordenes_Odoo'!L1903)</f>
        <v/>
      </c>
      <c r="M1903" s="79">
        <f>IF('Ordenes_Odoo'!M1903="","",'Ordenes_Odoo'!M1903)</f>
        <v/>
      </c>
      <c r="N1903" s="79">
        <f>IF('Ordenes_Odoo'!N1903="","",'Ordenes_Odoo'!N1903)</f>
        <v/>
      </c>
      <c r="O1903" s="81">
        <f>IF('Ordenes_Odoo'!O1903="","",'Ordenes_Odoo'!O1903)</f>
        <v/>
      </c>
      <c r="P1903" s="81">
        <f>IF('Ordenes_Odoo'!P1903="","",'Ordenes_Odoo'!P1903)</f>
        <v/>
      </c>
      <c r="Q1903" s="79">
        <f>IF(A1903="","",IFERROR(INDEX(Facturas_Odoo!$B:$B, MATCH(A1903, Facturas_Odoo!$D:$D, 0)), "Sin Factura"))</f>
        <v/>
      </c>
      <c r="R1903" s="80">
        <f>IF(Q1903="Sin Factura","",IFERROR(INDEX(Facturas_Odoo!$A:$A, MATCH(Q1903, Facturas_Odoo!$B:$B, 0)), ""))</f>
        <v/>
      </c>
      <c r="S1903" s="79">
        <f>IF(Q1903="Sin Factura","",IFERROR(_xlfn.XLOOKUP(1, (Facturas_Odoo!$D:$D=A1903) * (Facturas_Odoo!$K:$K=I1903), Facturas_Odoo!$L:$L, ""), ""))</f>
        <v/>
      </c>
      <c r="T1903" s="81">
        <f>IF(Q1903="Sin Factura",0,IFERROR(_xlfn.XLOOKUP(1, (Facturas_Odoo!$D:$D=A1903) * (Facturas_Odoo!$K:$K=I1903), Facturas_Odoo!$M:$M, 0), 0))</f>
        <v/>
      </c>
      <c r="U1903" s="79">
        <f>IF(Q1903="Sin Factura",0,IFERROR(_xlfn.XLOOKUP(1, (Facturas_Odoo!$D:$D=A1903) * (Facturas_Odoo!$K:$K=I1903), Facturas_Odoo!$N:$N, 0), 0))</f>
        <v/>
      </c>
      <c r="V1903" s="79">
        <f>IF(Q1903="Sin Factura",0,IFERROR(_xlfn.XLOOKUP(1, (Facturas_Odoo!$D:$D=A1903) * (Facturas_Odoo!$K:$K=I1903), Facturas_Odoo!$O:$O, 0), 0))</f>
        <v/>
      </c>
      <c r="W1903" s="81">
        <f>IF(Q1903="Sin Factura",0,IFERROR(_xlfn.XLOOKUP(1, (Facturas_Odoo!$D:$D=A1903) * (Facturas_Odoo!$K:$K=I1903), Facturas_Odoo!$Q:$Q, 0), 0))</f>
        <v/>
      </c>
      <c r="X1903" s="79">
        <f>IF(OR(Q1903="Sin Factura",Q1903=""),"",IFERROR(INDEX(Pagos_Odoo!$B:$B, MATCH(Q1903, Pagos_Odoo!$I:$I, 0)), "Sin Pago"))</f>
        <v/>
      </c>
      <c r="Y1903" s="79">
        <f>IF(X1903="Sin Pago","",IFERROR(INDEX(Pagos_Odoo!$C:$C, MATCH(X1903, Pagos_Odoo!$B:$B, 0)), ""))</f>
        <v/>
      </c>
      <c r="Z1903" s="80">
        <f>IF(X1903="Sin Pago","",IFERROR(INDEX(Pagos_Odoo!$A:$A, MATCH(X1903, Pagos_Odoo!$B:$B, 0)), ""))</f>
        <v/>
      </c>
      <c r="AA1903" s="79">
        <f>IF(X1903="Sin Pago","",IFERROR(INDEX(Pagos_Odoo!$F:$F, MATCH(X1903, Pagos_Odoo!$B:$B, 0)), ""))</f>
        <v/>
      </c>
      <c r="AB1903" s="81">
        <f>IF(X1903="Sin Pago",0,IFERROR(INDEX(Pagos_Odoo!$E:$E, MATCH(X1903, Pagos_Odoo!$B:$B, 0)), 0))</f>
        <v/>
      </c>
      <c r="AC1903" s="79">
        <f>IF(X1903="Sin Pago","",IFERROR(INDEX(Pagos_Odoo!$G:$G, MATCH(X1903, Pagos_Odoo!$B:$B, 0)), ""))</f>
        <v/>
      </c>
      <c r="AD1903" s="82" t="n">
        <v>0</v>
      </c>
      <c r="AE1903" s="82" t="n"/>
      <c r="AF1903" s="82" t="n"/>
      <c r="AG1903" s="82">
        <f>IF(AN1903="","",AD1903+AE1903+AF1903)</f>
        <v/>
      </c>
      <c r="AH1903" s="81">
        <f>IF(AN1903="","",P1903*(1-AG1903))</f>
        <v/>
      </c>
      <c r="AI1903" s="81">
        <f>IF(AN1903="","",IF(Q1903="Sin Factura",0,IFERROR(INDEX(Facturas_Odoo!$H:$H, MATCH(Q1903, Facturas_Odoo!$B:$B, 0)), 0)*(1-AG1903)))</f>
        <v/>
      </c>
      <c r="AJ1903" s="81">
        <f>IF(AN1903="","",_xlfn.LET(idVenta, AN1903&amp;"",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03" s="81">
        <f>IF(AN1903="","",AH1903-AJ1903)</f>
        <v/>
      </c>
      <c r="AL1903" s="81">
        <f>IF(AN1903="","",IF(Q1903="Sin Factura","",AI1903-AJ1903))</f>
        <v/>
      </c>
      <c r="AM1903" s="81">
        <f>IF(AN1903="","",IF(Q1903="Sin Factura",0,P1903-IFERROR(INDEX(Facturas_Odoo!$H:$H, MATCH(Q1903, Facturas_Odoo!$B:$B, 0)), 0)))</f>
        <v/>
      </c>
      <c r="AN1903" s="79">
        <f>IF(AND(A1903="", J1903=""), "", IF(A1903&lt;&gt;"", VALUE(MID(A1903,2,LEN(A1903))), AN1902))</f>
        <v/>
      </c>
      <c r="AO1903" s="79">
        <f>IF(AN1903="","",IF(AD1903=0,"OK",_xlfn.LET(monedaPago, IF(AA1903="","USD",AA1903), limitePermitido, IFERROR(VLOOKUP(monedaPago, Configuración!$A$2:$B$3, 2, FALSE), 0.15), IF(AD1903&gt;limitePermitido, "ALERTA: EXCESO (" &amp; TEXT(limitePermitido, "0%") &amp; " máx)", "OK"))))</f>
        <v/>
      </c>
      <c r="AP1903" s="79">
        <f>IF(AN1903="","",IF(AE1903=0,"OK",_xlfn.LET(fechaPago, Z1903, fechaFactura, R1903, diasCredito, IF(E1903="Pago inmediato", 0, IFERROR(VALUE(MID(E1903, 1, SEARCH(" ", E1903)-1)),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03" s="79">
        <f>IF(AN1903="","",IF(AND(N1903&gt;0, AG1903&gt;0), IF(Configuración!$K$2="NO", "ALERTA: DESCUENTO DOBLE NO PERMITIDO", "OK"), "OK"))</f>
        <v/>
      </c>
      <c r="AR1903" s="79">
        <f>IF(AN1903="","",IF(OR(AO1903&lt;&gt;"OK", AP1903&lt;&gt;"OK", AQ1903&lt;&gt;"OK"), "⚠️ REVISAR", "OK"))</f>
        <v/>
      </c>
    </row>
    <row r="1904">
      <c r="A1904" s="79">
        <f>IF('Ordenes_Odoo'!A1904="","",'Ordenes_Odoo'!A1904)</f>
        <v/>
      </c>
      <c r="B1904" s="80">
        <f>IF('Ordenes_Odoo'!B1904="","",'Ordenes_Odoo'!B1904)</f>
        <v/>
      </c>
      <c r="C1904" s="79">
        <f>IF('Ordenes_Odoo'!C1904="","",'Ordenes_Odoo'!C1904)</f>
        <v/>
      </c>
      <c r="D1904" s="79">
        <f>IF('Ordenes_Odoo'!D1904="","",'Ordenes_Odoo'!D1904)</f>
        <v/>
      </c>
      <c r="E1904" s="79">
        <f>IF('Ordenes_Odoo'!E1904="","",'Ordenes_Odoo'!E1904)</f>
        <v/>
      </c>
      <c r="F1904" s="79">
        <f>IF('Ordenes_Odoo'!F1904="","",'Ordenes_Odoo'!F1904)</f>
        <v/>
      </c>
      <c r="G1904" s="79">
        <f>IF('Ordenes_Odoo'!G1904="","",'Ordenes_Odoo'!G1904)</f>
        <v/>
      </c>
      <c r="H1904" s="79">
        <f>IF('Ordenes_Odoo'!H1904="","",'Ordenes_Odoo'!H1904)</f>
        <v/>
      </c>
      <c r="I1904" s="79">
        <f>IF('Ordenes_Odoo'!I1904="","",'Ordenes_Odoo'!I1904)</f>
        <v/>
      </c>
      <c r="J1904" s="79">
        <f>IF('Ordenes_Odoo'!J1904="","",'Ordenes_Odoo'!J1904)</f>
        <v/>
      </c>
      <c r="K1904" s="81">
        <f>IF('Ordenes_Odoo'!K1904="","",'Ordenes_Odoo'!K1904)</f>
        <v/>
      </c>
      <c r="L1904" s="81">
        <f>IF('Ordenes_Odoo'!L1904="","",'Ordenes_Odoo'!L1904)</f>
        <v/>
      </c>
      <c r="M1904" s="79">
        <f>IF('Ordenes_Odoo'!M1904="","",'Ordenes_Odoo'!M1904)</f>
        <v/>
      </c>
      <c r="N1904" s="79">
        <f>IF('Ordenes_Odoo'!N1904="","",'Ordenes_Odoo'!N1904)</f>
        <v/>
      </c>
      <c r="O1904" s="81">
        <f>IF('Ordenes_Odoo'!O1904="","",'Ordenes_Odoo'!O1904)</f>
        <v/>
      </c>
      <c r="P1904" s="81">
        <f>IF('Ordenes_Odoo'!P1904="","",'Ordenes_Odoo'!P1904)</f>
        <v/>
      </c>
      <c r="Q1904" s="79">
        <f>IF(A1904="","",IFERROR(INDEX(Facturas_Odoo!$B:$B, MATCH(A1904, Facturas_Odoo!$D:$D, 0)), "Sin Factura"))</f>
        <v/>
      </c>
      <c r="R1904" s="80">
        <f>IF(Q1904="Sin Factura","",IFERROR(INDEX(Facturas_Odoo!$A:$A, MATCH(Q1904, Facturas_Odoo!$B:$B, 0)), ""))</f>
        <v/>
      </c>
      <c r="S1904" s="79">
        <f>IF(Q1904="Sin Factura","",IFERROR(_xlfn.XLOOKUP(1, (Facturas_Odoo!$D:$D=A1904) * (Facturas_Odoo!$K:$K=I1904), Facturas_Odoo!$L:$L, ""), ""))</f>
        <v/>
      </c>
      <c r="T1904" s="81">
        <f>IF(Q1904="Sin Factura",0,IFERROR(_xlfn.XLOOKUP(1, (Facturas_Odoo!$D:$D=A1904) * (Facturas_Odoo!$K:$K=I1904), Facturas_Odoo!$M:$M, 0), 0))</f>
        <v/>
      </c>
      <c r="U1904" s="79">
        <f>IF(Q1904="Sin Factura",0,IFERROR(_xlfn.XLOOKUP(1, (Facturas_Odoo!$D:$D=A1904) * (Facturas_Odoo!$K:$K=I1904), Facturas_Odoo!$N:$N, 0), 0))</f>
        <v/>
      </c>
      <c r="V1904" s="79">
        <f>IF(Q1904="Sin Factura",0,IFERROR(_xlfn.XLOOKUP(1, (Facturas_Odoo!$D:$D=A1904) * (Facturas_Odoo!$K:$K=I1904), Facturas_Odoo!$O:$O, 0), 0))</f>
        <v/>
      </c>
      <c r="W1904" s="81">
        <f>IF(Q1904="Sin Factura",0,IFERROR(_xlfn.XLOOKUP(1, (Facturas_Odoo!$D:$D=A1904) * (Facturas_Odoo!$K:$K=I1904), Facturas_Odoo!$Q:$Q, 0), 0))</f>
        <v/>
      </c>
      <c r="X1904" s="79">
        <f>IF(OR(Q1904="Sin Factura",Q1904=""),"",IFERROR(INDEX(Pagos_Odoo!$B:$B, MATCH(Q1904, Pagos_Odoo!$I:$I, 0)), "Sin Pago"))</f>
        <v/>
      </c>
      <c r="Y1904" s="79">
        <f>IF(X1904="Sin Pago","",IFERROR(INDEX(Pagos_Odoo!$C:$C, MATCH(X1904, Pagos_Odoo!$B:$B, 0)), ""))</f>
        <v/>
      </c>
      <c r="Z1904" s="80">
        <f>IF(X1904="Sin Pago","",IFERROR(INDEX(Pagos_Odoo!$A:$A, MATCH(X1904, Pagos_Odoo!$B:$B, 0)), ""))</f>
        <v/>
      </c>
      <c r="AA1904" s="79">
        <f>IF(X1904="Sin Pago","",IFERROR(INDEX(Pagos_Odoo!$F:$F, MATCH(X1904, Pagos_Odoo!$B:$B, 0)), ""))</f>
        <v/>
      </c>
      <c r="AB1904" s="81">
        <f>IF(X1904="Sin Pago",0,IFERROR(INDEX(Pagos_Odoo!$E:$E, MATCH(X1904, Pagos_Odoo!$B:$B, 0)), 0))</f>
        <v/>
      </c>
      <c r="AC1904" s="79">
        <f>IF(X1904="Sin Pago","",IFERROR(INDEX(Pagos_Odoo!$G:$G, MATCH(X1904, Pagos_Odoo!$B:$B, 0)), ""))</f>
        <v/>
      </c>
      <c r="AD1904" s="82" t="n">
        <v>0</v>
      </c>
      <c r="AE1904" s="82" t="n"/>
      <c r="AF1904" s="82" t="n"/>
      <c r="AG1904" s="82">
        <f>IF(AN1904="","",AD1904+AE1904+AF1904)</f>
        <v/>
      </c>
      <c r="AH1904" s="81">
        <f>IF(AN1904="","",P1904*(1-AG1904))</f>
        <v/>
      </c>
      <c r="AI1904" s="81">
        <f>IF(AN1904="","",IF(Q1904="Sin Factura",0,IFERROR(INDEX(Facturas_Odoo!$H:$H, MATCH(Q1904, Facturas_Odoo!$B:$B, 0)), 0)*(1-AG1904)))</f>
        <v/>
      </c>
      <c r="AJ1904" s="81">
        <f>IF(AN1904="","",_xlfn.LET(idVenta, AN1904&amp;"",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04" s="81">
        <f>IF(AN1904="","",AH1904-AJ1904)</f>
        <v/>
      </c>
      <c r="AL1904" s="81">
        <f>IF(AN1904="","",IF(Q1904="Sin Factura","",AI1904-AJ1904))</f>
        <v/>
      </c>
      <c r="AM1904" s="81">
        <f>IF(AN1904="","",IF(Q1904="Sin Factura",0,P1904-IFERROR(INDEX(Facturas_Odoo!$H:$H, MATCH(Q1904, Facturas_Odoo!$B:$B, 0)), 0)))</f>
        <v/>
      </c>
      <c r="AN1904" s="79">
        <f>IF(AND(A1904="", J1904=""), "", IF(A1904&lt;&gt;"", VALUE(MID(A1904,2,LEN(A1904))), AN1903))</f>
        <v/>
      </c>
      <c r="AO1904" s="79">
        <f>IF(AN1904="","",IF(AD1904=0,"OK",_xlfn.LET(monedaPago, IF(AA1904="","USD",AA1904), limitePermitido, IFERROR(VLOOKUP(monedaPago, Configuración!$A$2:$B$3, 2, FALSE), 0.15), IF(AD1904&gt;limitePermitido, "ALERTA: EXCESO (" &amp; TEXT(limitePermitido, "0%") &amp; " máx)", "OK"))))</f>
        <v/>
      </c>
      <c r="AP1904" s="79">
        <f>IF(AN1904="","",IF(AE1904=0,"OK",_xlfn.LET(fechaPago, Z1904, fechaFactura, R1904, diasCredito, IF(E1904="Pago inmediato", 0, IFERROR(VALUE(MID(E1904, 1, SEARCH(" ", E1904)-1)),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04" s="79">
        <f>IF(AN1904="","",IF(AND(N1904&gt;0, AG1904&gt;0), IF(Configuración!$K$2="NO", "ALERTA: DESCUENTO DOBLE NO PERMITIDO", "OK"), "OK"))</f>
        <v/>
      </c>
      <c r="AR1904" s="79">
        <f>IF(AN1904="","",IF(OR(AO1904&lt;&gt;"OK", AP1904&lt;&gt;"OK", AQ1904&lt;&gt;"OK"), "⚠️ REVISAR", "OK"))</f>
        <v/>
      </c>
    </row>
    <row r="1905">
      <c r="A1905" s="79">
        <f>IF('Ordenes_Odoo'!A1905="","",'Ordenes_Odoo'!A1905)</f>
        <v/>
      </c>
      <c r="B1905" s="80">
        <f>IF('Ordenes_Odoo'!B1905="","",'Ordenes_Odoo'!B1905)</f>
        <v/>
      </c>
      <c r="C1905" s="79">
        <f>IF('Ordenes_Odoo'!C1905="","",'Ordenes_Odoo'!C1905)</f>
        <v/>
      </c>
      <c r="D1905" s="79">
        <f>IF('Ordenes_Odoo'!D1905="","",'Ordenes_Odoo'!D1905)</f>
        <v/>
      </c>
      <c r="E1905" s="79">
        <f>IF('Ordenes_Odoo'!E1905="","",'Ordenes_Odoo'!E1905)</f>
        <v/>
      </c>
      <c r="F1905" s="79">
        <f>IF('Ordenes_Odoo'!F1905="","",'Ordenes_Odoo'!F1905)</f>
        <v/>
      </c>
      <c r="G1905" s="79">
        <f>IF('Ordenes_Odoo'!G1905="","",'Ordenes_Odoo'!G1905)</f>
        <v/>
      </c>
      <c r="H1905" s="79">
        <f>IF('Ordenes_Odoo'!H1905="","",'Ordenes_Odoo'!H1905)</f>
        <v/>
      </c>
      <c r="I1905" s="79">
        <f>IF('Ordenes_Odoo'!I1905="","",'Ordenes_Odoo'!I1905)</f>
        <v/>
      </c>
      <c r="J1905" s="79">
        <f>IF('Ordenes_Odoo'!J1905="","",'Ordenes_Odoo'!J1905)</f>
        <v/>
      </c>
      <c r="K1905" s="81">
        <f>IF('Ordenes_Odoo'!K1905="","",'Ordenes_Odoo'!K1905)</f>
        <v/>
      </c>
      <c r="L1905" s="81">
        <f>IF('Ordenes_Odoo'!L1905="","",'Ordenes_Odoo'!L1905)</f>
        <v/>
      </c>
      <c r="M1905" s="79">
        <f>IF('Ordenes_Odoo'!M1905="","",'Ordenes_Odoo'!M1905)</f>
        <v/>
      </c>
      <c r="N1905" s="79">
        <f>IF('Ordenes_Odoo'!N1905="","",'Ordenes_Odoo'!N1905)</f>
        <v/>
      </c>
      <c r="O1905" s="81">
        <f>IF('Ordenes_Odoo'!O1905="","",'Ordenes_Odoo'!O1905)</f>
        <v/>
      </c>
      <c r="P1905" s="81">
        <f>IF('Ordenes_Odoo'!P1905="","",'Ordenes_Odoo'!P1905)</f>
        <v/>
      </c>
      <c r="Q1905" s="79">
        <f>IF(A1905="","",IFERROR(INDEX(Facturas_Odoo!$B:$B, MATCH(A1905, Facturas_Odoo!$D:$D, 0)), "Sin Factura"))</f>
        <v/>
      </c>
      <c r="R1905" s="80">
        <f>IF(Q1905="Sin Factura","",IFERROR(INDEX(Facturas_Odoo!$A:$A, MATCH(Q1905, Facturas_Odoo!$B:$B, 0)), ""))</f>
        <v/>
      </c>
      <c r="S1905" s="79">
        <f>IF(Q1905="Sin Factura","",IFERROR(_xlfn.XLOOKUP(1, (Facturas_Odoo!$D:$D=A1905) * (Facturas_Odoo!$K:$K=I1905), Facturas_Odoo!$L:$L, ""), ""))</f>
        <v/>
      </c>
      <c r="T1905" s="81">
        <f>IF(Q1905="Sin Factura",0,IFERROR(_xlfn.XLOOKUP(1, (Facturas_Odoo!$D:$D=A1905) * (Facturas_Odoo!$K:$K=I1905), Facturas_Odoo!$M:$M, 0), 0))</f>
        <v/>
      </c>
      <c r="U1905" s="79">
        <f>IF(Q1905="Sin Factura",0,IFERROR(_xlfn.XLOOKUP(1, (Facturas_Odoo!$D:$D=A1905) * (Facturas_Odoo!$K:$K=I1905), Facturas_Odoo!$N:$N, 0), 0))</f>
        <v/>
      </c>
      <c r="V1905" s="79">
        <f>IF(Q1905="Sin Factura",0,IFERROR(_xlfn.XLOOKUP(1, (Facturas_Odoo!$D:$D=A1905) * (Facturas_Odoo!$K:$K=I1905), Facturas_Odoo!$O:$O, 0), 0))</f>
        <v/>
      </c>
      <c r="W1905" s="81">
        <f>IF(Q1905="Sin Factura",0,IFERROR(_xlfn.XLOOKUP(1, (Facturas_Odoo!$D:$D=A1905) * (Facturas_Odoo!$K:$K=I1905), Facturas_Odoo!$Q:$Q, 0), 0))</f>
        <v/>
      </c>
      <c r="X1905" s="79">
        <f>IF(OR(Q1905="Sin Factura",Q1905=""),"",IFERROR(INDEX(Pagos_Odoo!$B:$B, MATCH(Q1905, Pagos_Odoo!$I:$I, 0)), "Sin Pago"))</f>
        <v/>
      </c>
      <c r="Y1905" s="79">
        <f>IF(X1905="Sin Pago","",IFERROR(INDEX(Pagos_Odoo!$C:$C, MATCH(X1905, Pagos_Odoo!$B:$B, 0)), ""))</f>
        <v/>
      </c>
      <c r="Z1905" s="80">
        <f>IF(X1905="Sin Pago","",IFERROR(INDEX(Pagos_Odoo!$A:$A, MATCH(X1905, Pagos_Odoo!$B:$B, 0)), ""))</f>
        <v/>
      </c>
      <c r="AA1905" s="79">
        <f>IF(X1905="Sin Pago","",IFERROR(INDEX(Pagos_Odoo!$F:$F, MATCH(X1905, Pagos_Odoo!$B:$B, 0)), ""))</f>
        <v/>
      </c>
      <c r="AB1905" s="81">
        <f>IF(X1905="Sin Pago",0,IFERROR(INDEX(Pagos_Odoo!$E:$E, MATCH(X1905, Pagos_Odoo!$B:$B, 0)), 0))</f>
        <v/>
      </c>
      <c r="AC1905" s="79">
        <f>IF(X1905="Sin Pago","",IFERROR(INDEX(Pagos_Odoo!$G:$G, MATCH(X1905, Pagos_Odoo!$B:$B, 0)), ""))</f>
        <v/>
      </c>
      <c r="AD1905" s="82" t="n">
        <v>0</v>
      </c>
      <c r="AE1905" s="82" t="n"/>
      <c r="AF1905" s="82" t="n"/>
      <c r="AG1905" s="82">
        <f>IF(AN1905="","",AD1905+AE1905+AF1905)</f>
        <v/>
      </c>
      <c r="AH1905" s="81">
        <f>IF(AN1905="","",P1905*(1-AG1905))</f>
        <v/>
      </c>
      <c r="AI1905" s="81">
        <f>IF(AN1905="","",IF(Q1905="Sin Factura",0,IFERROR(INDEX(Facturas_Odoo!$H:$H, MATCH(Q1905, Facturas_Odoo!$B:$B, 0)), 0)*(1-AG1905)))</f>
        <v/>
      </c>
      <c r="AJ1905" s="81">
        <f>IF(AN1905="","",_xlfn.LET(idVenta, AN1905&amp;"",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05" s="81">
        <f>IF(AN1905="","",AH1905-AJ1905)</f>
        <v/>
      </c>
      <c r="AL1905" s="81">
        <f>IF(AN1905="","",IF(Q1905="Sin Factura","",AI1905-AJ1905))</f>
        <v/>
      </c>
      <c r="AM1905" s="81">
        <f>IF(AN1905="","",IF(Q1905="Sin Factura",0,P1905-IFERROR(INDEX(Facturas_Odoo!$H:$H, MATCH(Q1905, Facturas_Odoo!$B:$B, 0)), 0)))</f>
        <v/>
      </c>
      <c r="AN1905" s="79">
        <f>IF(AND(A1905="", J1905=""), "", IF(A1905&lt;&gt;"", VALUE(MID(A1905,2,LEN(A1905))), AN1904))</f>
        <v/>
      </c>
      <c r="AO1905" s="79">
        <f>IF(AN1905="","",IF(AD1905=0,"OK",_xlfn.LET(monedaPago, IF(AA1905="","USD",AA1905), limitePermitido, IFERROR(VLOOKUP(monedaPago, Configuración!$A$2:$B$3, 2, FALSE), 0.15), IF(AD1905&gt;limitePermitido, "ALERTA: EXCESO (" &amp; TEXT(limitePermitido, "0%") &amp; " máx)", "OK"))))</f>
        <v/>
      </c>
      <c r="AP1905" s="79">
        <f>IF(AN1905="","",IF(AE1905=0,"OK",_xlfn.LET(fechaPago, Z1905, fechaFactura, R1905, diasCredito, IF(E1905="Pago inmediato", 0, IFERROR(VALUE(MID(E1905, 1, SEARCH(" ", E1905)-1)),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05" s="79">
        <f>IF(AN1905="","",IF(AND(N1905&gt;0, AG1905&gt;0), IF(Configuración!$K$2="NO", "ALERTA: DESCUENTO DOBLE NO PERMITIDO", "OK"), "OK"))</f>
        <v/>
      </c>
      <c r="AR1905" s="79">
        <f>IF(AN1905="","",IF(OR(AO1905&lt;&gt;"OK", AP1905&lt;&gt;"OK", AQ1905&lt;&gt;"OK"), "⚠️ REVISAR", "OK"))</f>
        <v/>
      </c>
    </row>
    <row r="1906">
      <c r="A1906" s="79">
        <f>IF('Ordenes_Odoo'!A1906="","",'Ordenes_Odoo'!A1906)</f>
        <v/>
      </c>
      <c r="B1906" s="80">
        <f>IF('Ordenes_Odoo'!B1906="","",'Ordenes_Odoo'!B1906)</f>
        <v/>
      </c>
      <c r="C1906" s="79">
        <f>IF('Ordenes_Odoo'!C1906="","",'Ordenes_Odoo'!C1906)</f>
        <v/>
      </c>
      <c r="D1906" s="79">
        <f>IF('Ordenes_Odoo'!D1906="","",'Ordenes_Odoo'!D1906)</f>
        <v/>
      </c>
      <c r="E1906" s="79">
        <f>IF('Ordenes_Odoo'!E1906="","",'Ordenes_Odoo'!E1906)</f>
        <v/>
      </c>
      <c r="F1906" s="79">
        <f>IF('Ordenes_Odoo'!F1906="","",'Ordenes_Odoo'!F1906)</f>
        <v/>
      </c>
      <c r="G1906" s="79">
        <f>IF('Ordenes_Odoo'!G1906="","",'Ordenes_Odoo'!G1906)</f>
        <v/>
      </c>
      <c r="H1906" s="79">
        <f>IF('Ordenes_Odoo'!H1906="","",'Ordenes_Odoo'!H1906)</f>
        <v/>
      </c>
      <c r="I1906" s="79">
        <f>IF('Ordenes_Odoo'!I1906="","",'Ordenes_Odoo'!I1906)</f>
        <v/>
      </c>
      <c r="J1906" s="79">
        <f>IF('Ordenes_Odoo'!J1906="","",'Ordenes_Odoo'!J1906)</f>
        <v/>
      </c>
      <c r="K1906" s="81">
        <f>IF('Ordenes_Odoo'!K1906="","",'Ordenes_Odoo'!K1906)</f>
        <v/>
      </c>
      <c r="L1906" s="81">
        <f>IF('Ordenes_Odoo'!L1906="","",'Ordenes_Odoo'!L1906)</f>
        <v/>
      </c>
      <c r="M1906" s="79">
        <f>IF('Ordenes_Odoo'!M1906="","",'Ordenes_Odoo'!M1906)</f>
        <v/>
      </c>
      <c r="N1906" s="79">
        <f>IF('Ordenes_Odoo'!N1906="","",'Ordenes_Odoo'!N1906)</f>
        <v/>
      </c>
      <c r="O1906" s="81">
        <f>IF('Ordenes_Odoo'!O1906="","",'Ordenes_Odoo'!O1906)</f>
        <v/>
      </c>
      <c r="P1906" s="81">
        <f>IF('Ordenes_Odoo'!P1906="","",'Ordenes_Odoo'!P1906)</f>
        <v/>
      </c>
      <c r="Q1906" s="79">
        <f>IF(A1906="","",IFERROR(INDEX(Facturas_Odoo!$B:$B, MATCH(A1906, Facturas_Odoo!$D:$D, 0)), "Sin Factura"))</f>
        <v/>
      </c>
      <c r="R1906" s="80">
        <f>IF(Q1906="Sin Factura","",IFERROR(INDEX(Facturas_Odoo!$A:$A, MATCH(Q1906, Facturas_Odoo!$B:$B, 0)), ""))</f>
        <v/>
      </c>
      <c r="S1906" s="79">
        <f>IF(Q1906="Sin Factura","",IFERROR(_xlfn.XLOOKUP(1, (Facturas_Odoo!$D:$D=A1906) * (Facturas_Odoo!$K:$K=I1906), Facturas_Odoo!$L:$L, ""), ""))</f>
        <v/>
      </c>
      <c r="T1906" s="81">
        <f>IF(Q1906="Sin Factura",0,IFERROR(_xlfn.XLOOKUP(1, (Facturas_Odoo!$D:$D=A1906) * (Facturas_Odoo!$K:$K=I1906), Facturas_Odoo!$M:$M, 0), 0))</f>
        <v/>
      </c>
      <c r="U1906" s="79">
        <f>IF(Q1906="Sin Factura",0,IFERROR(_xlfn.XLOOKUP(1, (Facturas_Odoo!$D:$D=A1906) * (Facturas_Odoo!$K:$K=I1906), Facturas_Odoo!$N:$N, 0), 0))</f>
        <v/>
      </c>
      <c r="V1906" s="79">
        <f>IF(Q1906="Sin Factura",0,IFERROR(_xlfn.XLOOKUP(1, (Facturas_Odoo!$D:$D=A1906) * (Facturas_Odoo!$K:$K=I1906), Facturas_Odoo!$O:$O, 0), 0))</f>
        <v/>
      </c>
      <c r="W1906" s="81">
        <f>IF(Q1906="Sin Factura",0,IFERROR(_xlfn.XLOOKUP(1, (Facturas_Odoo!$D:$D=A1906) * (Facturas_Odoo!$K:$K=I1906), Facturas_Odoo!$Q:$Q, 0), 0))</f>
        <v/>
      </c>
      <c r="X1906" s="79">
        <f>IF(OR(Q1906="Sin Factura",Q1906=""),"",IFERROR(INDEX(Pagos_Odoo!$B:$B, MATCH(Q1906, Pagos_Odoo!$I:$I, 0)), "Sin Pago"))</f>
        <v/>
      </c>
      <c r="Y1906" s="79">
        <f>IF(X1906="Sin Pago","",IFERROR(INDEX(Pagos_Odoo!$C:$C, MATCH(X1906, Pagos_Odoo!$B:$B, 0)), ""))</f>
        <v/>
      </c>
      <c r="Z1906" s="80">
        <f>IF(X1906="Sin Pago","",IFERROR(INDEX(Pagos_Odoo!$A:$A, MATCH(X1906, Pagos_Odoo!$B:$B, 0)), ""))</f>
        <v/>
      </c>
      <c r="AA1906" s="79">
        <f>IF(X1906="Sin Pago","",IFERROR(INDEX(Pagos_Odoo!$F:$F, MATCH(X1906, Pagos_Odoo!$B:$B, 0)), ""))</f>
        <v/>
      </c>
      <c r="AB1906" s="81">
        <f>IF(X1906="Sin Pago",0,IFERROR(INDEX(Pagos_Odoo!$E:$E, MATCH(X1906, Pagos_Odoo!$B:$B, 0)), 0))</f>
        <v/>
      </c>
      <c r="AC1906" s="79">
        <f>IF(X1906="Sin Pago","",IFERROR(INDEX(Pagos_Odoo!$G:$G, MATCH(X1906, Pagos_Odoo!$B:$B, 0)), ""))</f>
        <v/>
      </c>
      <c r="AD1906" s="82" t="n">
        <v>0</v>
      </c>
      <c r="AE1906" s="82" t="n"/>
      <c r="AF1906" s="82" t="n"/>
      <c r="AG1906" s="82">
        <f>IF(AN1906="","",AD1906+AE1906+AF1906)</f>
        <v/>
      </c>
      <c r="AH1906" s="81">
        <f>IF(AN1906="","",P1906*(1-AG1906))</f>
        <v/>
      </c>
      <c r="AI1906" s="81">
        <f>IF(AN1906="","",IF(Q1906="Sin Factura",0,IFERROR(INDEX(Facturas_Odoo!$H:$H, MATCH(Q1906, Facturas_Odoo!$B:$B, 0)), 0)*(1-AG1906)))</f>
        <v/>
      </c>
      <c r="AJ1906" s="81">
        <f>IF(AN1906="","",_xlfn.LET(idVenta, AN1906&amp;"",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06" s="81">
        <f>IF(AN1906="","",AH1906-AJ1906)</f>
        <v/>
      </c>
      <c r="AL1906" s="81">
        <f>IF(AN1906="","",IF(Q1906="Sin Factura","",AI1906-AJ1906))</f>
        <v/>
      </c>
      <c r="AM1906" s="81">
        <f>IF(AN1906="","",IF(Q1906="Sin Factura",0,P1906-IFERROR(INDEX(Facturas_Odoo!$H:$H, MATCH(Q1906, Facturas_Odoo!$B:$B, 0)), 0)))</f>
        <v/>
      </c>
      <c r="AN1906" s="79">
        <f>IF(AND(A1906="", J1906=""), "", IF(A1906&lt;&gt;"", VALUE(MID(A1906,2,LEN(A1906))), AN1905))</f>
        <v/>
      </c>
      <c r="AO1906" s="79">
        <f>IF(AN1906="","",IF(AD1906=0,"OK",_xlfn.LET(monedaPago, IF(AA1906="","USD",AA1906), limitePermitido, IFERROR(VLOOKUP(monedaPago, Configuración!$A$2:$B$3, 2, FALSE), 0.15), IF(AD1906&gt;limitePermitido, "ALERTA: EXCESO (" &amp; TEXT(limitePermitido, "0%") &amp; " máx)", "OK"))))</f>
        <v/>
      </c>
      <c r="AP1906" s="79">
        <f>IF(AN1906="","",IF(AE1906=0,"OK",_xlfn.LET(fechaPago, Z1906, fechaFactura, R1906, diasCredito, IF(E1906="Pago inmediato", 0, IFERROR(VALUE(MID(E1906, 1, SEARCH(" ", E1906)-1)),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06" s="79">
        <f>IF(AN1906="","",IF(AND(N1906&gt;0, AG1906&gt;0), IF(Configuración!$K$2="NO", "ALERTA: DESCUENTO DOBLE NO PERMITIDO", "OK"), "OK"))</f>
        <v/>
      </c>
      <c r="AR1906" s="79">
        <f>IF(AN1906="","",IF(OR(AO1906&lt;&gt;"OK", AP1906&lt;&gt;"OK", AQ1906&lt;&gt;"OK"), "⚠️ REVISAR", "OK"))</f>
        <v/>
      </c>
    </row>
    <row r="1907">
      <c r="A1907" s="79">
        <f>IF('Ordenes_Odoo'!A1907="","",'Ordenes_Odoo'!A1907)</f>
        <v/>
      </c>
      <c r="B1907" s="80">
        <f>IF('Ordenes_Odoo'!B1907="","",'Ordenes_Odoo'!B1907)</f>
        <v/>
      </c>
      <c r="C1907" s="79">
        <f>IF('Ordenes_Odoo'!C1907="","",'Ordenes_Odoo'!C1907)</f>
        <v/>
      </c>
      <c r="D1907" s="79">
        <f>IF('Ordenes_Odoo'!D1907="","",'Ordenes_Odoo'!D1907)</f>
        <v/>
      </c>
      <c r="E1907" s="79">
        <f>IF('Ordenes_Odoo'!E1907="","",'Ordenes_Odoo'!E1907)</f>
        <v/>
      </c>
      <c r="F1907" s="79">
        <f>IF('Ordenes_Odoo'!F1907="","",'Ordenes_Odoo'!F1907)</f>
        <v/>
      </c>
      <c r="G1907" s="79">
        <f>IF('Ordenes_Odoo'!G1907="","",'Ordenes_Odoo'!G1907)</f>
        <v/>
      </c>
      <c r="H1907" s="79">
        <f>IF('Ordenes_Odoo'!H1907="","",'Ordenes_Odoo'!H1907)</f>
        <v/>
      </c>
      <c r="I1907" s="79">
        <f>IF('Ordenes_Odoo'!I1907="","",'Ordenes_Odoo'!I1907)</f>
        <v/>
      </c>
      <c r="J1907" s="79">
        <f>IF('Ordenes_Odoo'!J1907="","",'Ordenes_Odoo'!J1907)</f>
        <v/>
      </c>
      <c r="K1907" s="81">
        <f>IF('Ordenes_Odoo'!K1907="","",'Ordenes_Odoo'!K1907)</f>
        <v/>
      </c>
      <c r="L1907" s="81">
        <f>IF('Ordenes_Odoo'!L1907="","",'Ordenes_Odoo'!L1907)</f>
        <v/>
      </c>
      <c r="M1907" s="79">
        <f>IF('Ordenes_Odoo'!M1907="","",'Ordenes_Odoo'!M1907)</f>
        <v/>
      </c>
      <c r="N1907" s="79">
        <f>IF('Ordenes_Odoo'!N1907="","",'Ordenes_Odoo'!N1907)</f>
        <v/>
      </c>
      <c r="O1907" s="81">
        <f>IF('Ordenes_Odoo'!O1907="","",'Ordenes_Odoo'!O1907)</f>
        <v/>
      </c>
      <c r="P1907" s="81">
        <f>IF('Ordenes_Odoo'!P1907="","",'Ordenes_Odoo'!P1907)</f>
        <v/>
      </c>
      <c r="Q1907" s="79">
        <f>IF(A1907="","",IFERROR(INDEX(Facturas_Odoo!$B:$B, MATCH(A1907, Facturas_Odoo!$D:$D, 0)), "Sin Factura"))</f>
        <v/>
      </c>
      <c r="R1907" s="80">
        <f>IF(Q1907="Sin Factura","",IFERROR(INDEX(Facturas_Odoo!$A:$A, MATCH(Q1907, Facturas_Odoo!$B:$B, 0)), ""))</f>
        <v/>
      </c>
      <c r="S1907" s="79">
        <f>IF(Q1907="Sin Factura","",IFERROR(_xlfn.XLOOKUP(1, (Facturas_Odoo!$D:$D=A1907) * (Facturas_Odoo!$K:$K=I1907), Facturas_Odoo!$L:$L, ""), ""))</f>
        <v/>
      </c>
      <c r="T1907" s="81">
        <f>IF(Q1907="Sin Factura",0,IFERROR(_xlfn.XLOOKUP(1, (Facturas_Odoo!$D:$D=A1907) * (Facturas_Odoo!$K:$K=I1907), Facturas_Odoo!$M:$M, 0), 0))</f>
        <v/>
      </c>
      <c r="U1907" s="79">
        <f>IF(Q1907="Sin Factura",0,IFERROR(_xlfn.XLOOKUP(1, (Facturas_Odoo!$D:$D=A1907) * (Facturas_Odoo!$K:$K=I1907), Facturas_Odoo!$N:$N, 0), 0))</f>
        <v/>
      </c>
      <c r="V1907" s="79">
        <f>IF(Q1907="Sin Factura",0,IFERROR(_xlfn.XLOOKUP(1, (Facturas_Odoo!$D:$D=A1907) * (Facturas_Odoo!$K:$K=I1907), Facturas_Odoo!$O:$O, 0), 0))</f>
        <v/>
      </c>
      <c r="W1907" s="81">
        <f>IF(Q1907="Sin Factura",0,IFERROR(_xlfn.XLOOKUP(1, (Facturas_Odoo!$D:$D=A1907) * (Facturas_Odoo!$K:$K=I1907), Facturas_Odoo!$Q:$Q, 0), 0))</f>
        <v/>
      </c>
      <c r="X1907" s="79">
        <f>IF(OR(Q1907="Sin Factura",Q1907=""),"",IFERROR(INDEX(Pagos_Odoo!$B:$B, MATCH(Q1907, Pagos_Odoo!$I:$I, 0)), "Sin Pago"))</f>
        <v/>
      </c>
      <c r="Y1907" s="79">
        <f>IF(X1907="Sin Pago","",IFERROR(INDEX(Pagos_Odoo!$C:$C, MATCH(X1907, Pagos_Odoo!$B:$B, 0)), ""))</f>
        <v/>
      </c>
      <c r="Z1907" s="80">
        <f>IF(X1907="Sin Pago","",IFERROR(INDEX(Pagos_Odoo!$A:$A, MATCH(X1907, Pagos_Odoo!$B:$B, 0)), ""))</f>
        <v/>
      </c>
      <c r="AA1907" s="79">
        <f>IF(X1907="Sin Pago","",IFERROR(INDEX(Pagos_Odoo!$F:$F, MATCH(X1907, Pagos_Odoo!$B:$B, 0)), ""))</f>
        <v/>
      </c>
      <c r="AB1907" s="81">
        <f>IF(X1907="Sin Pago",0,IFERROR(INDEX(Pagos_Odoo!$E:$E, MATCH(X1907, Pagos_Odoo!$B:$B, 0)), 0))</f>
        <v/>
      </c>
      <c r="AC1907" s="79">
        <f>IF(X1907="Sin Pago","",IFERROR(INDEX(Pagos_Odoo!$G:$G, MATCH(X1907, Pagos_Odoo!$B:$B, 0)), ""))</f>
        <v/>
      </c>
      <c r="AD1907" s="82" t="n">
        <v>0</v>
      </c>
      <c r="AE1907" s="82" t="n"/>
      <c r="AF1907" s="82" t="n"/>
      <c r="AG1907" s="82">
        <f>IF(AN1907="","",AD1907+AE1907+AF1907)</f>
        <v/>
      </c>
      <c r="AH1907" s="81">
        <f>IF(AN1907="","",P1907*(1-AG1907))</f>
        <v/>
      </c>
      <c r="AI1907" s="81">
        <f>IF(AN1907="","",IF(Q1907="Sin Factura",0,IFERROR(INDEX(Facturas_Odoo!$H:$H, MATCH(Q1907, Facturas_Odoo!$B:$B, 0)), 0)*(1-AG1907)))</f>
        <v/>
      </c>
      <c r="AJ1907" s="81">
        <f>IF(AN1907="","",_xlfn.LET(idVenta, AN1907&amp;"",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07" s="81">
        <f>IF(AN1907="","",AH1907-AJ1907)</f>
        <v/>
      </c>
      <c r="AL1907" s="81">
        <f>IF(AN1907="","",IF(Q1907="Sin Factura","",AI1907-AJ1907))</f>
        <v/>
      </c>
      <c r="AM1907" s="81">
        <f>IF(AN1907="","",IF(Q1907="Sin Factura",0,P1907-IFERROR(INDEX(Facturas_Odoo!$H:$H, MATCH(Q1907, Facturas_Odoo!$B:$B, 0)), 0)))</f>
        <v/>
      </c>
      <c r="AN1907" s="79">
        <f>IF(AND(A1907="", J1907=""), "", IF(A1907&lt;&gt;"", VALUE(MID(A1907,2,LEN(A1907))), AN1906))</f>
        <v/>
      </c>
      <c r="AO1907" s="79">
        <f>IF(AN1907="","",IF(AD1907=0,"OK",_xlfn.LET(monedaPago, IF(AA1907="","USD",AA1907), limitePermitido, IFERROR(VLOOKUP(monedaPago, Configuración!$A$2:$B$3, 2, FALSE), 0.15), IF(AD1907&gt;limitePermitido, "ALERTA: EXCESO (" &amp; TEXT(limitePermitido, "0%") &amp; " máx)", "OK"))))</f>
        <v/>
      </c>
      <c r="AP1907" s="79">
        <f>IF(AN1907="","",IF(AE1907=0,"OK",_xlfn.LET(fechaPago, Z1907, fechaFactura, R1907, diasCredito, IF(E1907="Pago inmediato", 0, IFERROR(VALUE(MID(E1907, 1, SEARCH(" ", E1907)-1)),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07" s="79">
        <f>IF(AN1907="","",IF(AND(N1907&gt;0, AG1907&gt;0), IF(Configuración!$K$2="NO", "ALERTA: DESCUENTO DOBLE NO PERMITIDO", "OK"), "OK"))</f>
        <v/>
      </c>
      <c r="AR1907" s="79">
        <f>IF(AN1907="","",IF(OR(AO1907&lt;&gt;"OK", AP1907&lt;&gt;"OK", AQ1907&lt;&gt;"OK"), "⚠️ REVISAR", "OK"))</f>
        <v/>
      </c>
    </row>
    <row r="1908">
      <c r="A1908" s="79">
        <f>IF('Ordenes_Odoo'!A1908="","",'Ordenes_Odoo'!A1908)</f>
        <v/>
      </c>
      <c r="B1908" s="80">
        <f>IF('Ordenes_Odoo'!B1908="","",'Ordenes_Odoo'!B1908)</f>
        <v/>
      </c>
      <c r="C1908" s="79">
        <f>IF('Ordenes_Odoo'!C1908="","",'Ordenes_Odoo'!C1908)</f>
        <v/>
      </c>
      <c r="D1908" s="79">
        <f>IF('Ordenes_Odoo'!D1908="","",'Ordenes_Odoo'!D1908)</f>
        <v/>
      </c>
      <c r="E1908" s="79">
        <f>IF('Ordenes_Odoo'!E1908="","",'Ordenes_Odoo'!E1908)</f>
        <v/>
      </c>
      <c r="F1908" s="79">
        <f>IF('Ordenes_Odoo'!F1908="","",'Ordenes_Odoo'!F1908)</f>
        <v/>
      </c>
      <c r="G1908" s="79">
        <f>IF('Ordenes_Odoo'!G1908="","",'Ordenes_Odoo'!G1908)</f>
        <v/>
      </c>
      <c r="H1908" s="79">
        <f>IF('Ordenes_Odoo'!H1908="","",'Ordenes_Odoo'!H1908)</f>
        <v/>
      </c>
      <c r="I1908" s="79">
        <f>IF('Ordenes_Odoo'!I1908="","",'Ordenes_Odoo'!I1908)</f>
        <v/>
      </c>
      <c r="J1908" s="79">
        <f>IF('Ordenes_Odoo'!J1908="","",'Ordenes_Odoo'!J1908)</f>
        <v/>
      </c>
      <c r="K1908" s="81">
        <f>IF('Ordenes_Odoo'!K1908="","",'Ordenes_Odoo'!K1908)</f>
        <v/>
      </c>
      <c r="L1908" s="81">
        <f>IF('Ordenes_Odoo'!L1908="","",'Ordenes_Odoo'!L1908)</f>
        <v/>
      </c>
      <c r="M1908" s="79">
        <f>IF('Ordenes_Odoo'!M1908="","",'Ordenes_Odoo'!M1908)</f>
        <v/>
      </c>
      <c r="N1908" s="79">
        <f>IF('Ordenes_Odoo'!N1908="","",'Ordenes_Odoo'!N1908)</f>
        <v/>
      </c>
      <c r="O1908" s="81">
        <f>IF('Ordenes_Odoo'!O1908="","",'Ordenes_Odoo'!O1908)</f>
        <v/>
      </c>
      <c r="P1908" s="81">
        <f>IF('Ordenes_Odoo'!P1908="","",'Ordenes_Odoo'!P1908)</f>
        <v/>
      </c>
      <c r="Q1908" s="79">
        <f>IF(A1908="","",IFERROR(INDEX(Facturas_Odoo!$B:$B, MATCH(A1908, Facturas_Odoo!$D:$D, 0)), "Sin Factura"))</f>
        <v/>
      </c>
      <c r="R1908" s="80">
        <f>IF(Q1908="Sin Factura","",IFERROR(INDEX(Facturas_Odoo!$A:$A, MATCH(Q1908, Facturas_Odoo!$B:$B, 0)), ""))</f>
        <v/>
      </c>
      <c r="S1908" s="79">
        <f>IF(Q1908="Sin Factura","",IFERROR(_xlfn.XLOOKUP(1, (Facturas_Odoo!$D:$D=A1908) * (Facturas_Odoo!$K:$K=I1908), Facturas_Odoo!$L:$L, ""), ""))</f>
        <v/>
      </c>
      <c r="T1908" s="81">
        <f>IF(Q1908="Sin Factura",0,IFERROR(_xlfn.XLOOKUP(1, (Facturas_Odoo!$D:$D=A1908) * (Facturas_Odoo!$K:$K=I1908), Facturas_Odoo!$M:$M, 0), 0))</f>
        <v/>
      </c>
      <c r="U1908" s="79">
        <f>IF(Q1908="Sin Factura",0,IFERROR(_xlfn.XLOOKUP(1, (Facturas_Odoo!$D:$D=A1908) * (Facturas_Odoo!$K:$K=I1908), Facturas_Odoo!$N:$N, 0), 0))</f>
        <v/>
      </c>
      <c r="V1908" s="79">
        <f>IF(Q1908="Sin Factura",0,IFERROR(_xlfn.XLOOKUP(1, (Facturas_Odoo!$D:$D=A1908) * (Facturas_Odoo!$K:$K=I1908), Facturas_Odoo!$O:$O, 0), 0))</f>
        <v/>
      </c>
      <c r="W1908" s="81">
        <f>IF(Q1908="Sin Factura",0,IFERROR(_xlfn.XLOOKUP(1, (Facturas_Odoo!$D:$D=A1908) * (Facturas_Odoo!$K:$K=I1908), Facturas_Odoo!$Q:$Q, 0), 0))</f>
        <v/>
      </c>
      <c r="X1908" s="79">
        <f>IF(OR(Q1908="Sin Factura",Q1908=""),"",IFERROR(INDEX(Pagos_Odoo!$B:$B, MATCH(Q1908, Pagos_Odoo!$I:$I, 0)), "Sin Pago"))</f>
        <v/>
      </c>
      <c r="Y1908" s="79">
        <f>IF(X1908="Sin Pago","",IFERROR(INDEX(Pagos_Odoo!$C:$C, MATCH(X1908, Pagos_Odoo!$B:$B, 0)), ""))</f>
        <v/>
      </c>
      <c r="Z1908" s="80">
        <f>IF(X1908="Sin Pago","",IFERROR(INDEX(Pagos_Odoo!$A:$A, MATCH(X1908, Pagos_Odoo!$B:$B, 0)), ""))</f>
        <v/>
      </c>
      <c r="AA1908" s="79">
        <f>IF(X1908="Sin Pago","",IFERROR(INDEX(Pagos_Odoo!$F:$F, MATCH(X1908, Pagos_Odoo!$B:$B, 0)), ""))</f>
        <v/>
      </c>
      <c r="AB1908" s="81">
        <f>IF(X1908="Sin Pago",0,IFERROR(INDEX(Pagos_Odoo!$E:$E, MATCH(X1908, Pagos_Odoo!$B:$B, 0)), 0))</f>
        <v/>
      </c>
      <c r="AC1908" s="79">
        <f>IF(X1908="Sin Pago","",IFERROR(INDEX(Pagos_Odoo!$G:$G, MATCH(X1908, Pagos_Odoo!$B:$B, 0)), ""))</f>
        <v/>
      </c>
      <c r="AD1908" s="82" t="n">
        <v>0</v>
      </c>
      <c r="AE1908" s="82" t="n"/>
      <c r="AF1908" s="82" t="n"/>
      <c r="AG1908" s="82">
        <f>IF(AN1908="","",AD1908+AE1908+AF1908)</f>
        <v/>
      </c>
      <c r="AH1908" s="81">
        <f>IF(AN1908="","",P1908*(1-AG1908))</f>
        <v/>
      </c>
      <c r="AI1908" s="81">
        <f>IF(AN1908="","",IF(Q1908="Sin Factura",0,IFERROR(INDEX(Facturas_Odoo!$H:$H, MATCH(Q1908, Facturas_Odoo!$B:$B, 0)), 0)*(1-AG1908)))</f>
        <v/>
      </c>
      <c r="AJ1908" s="81">
        <f>IF(AN1908="","",_xlfn.LET(idVenta, AN1908&amp;"",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08" s="81">
        <f>IF(AN1908="","",AH1908-AJ1908)</f>
        <v/>
      </c>
      <c r="AL1908" s="81">
        <f>IF(AN1908="","",IF(Q1908="Sin Factura","",AI1908-AJ1908))</f>
        <v/>
      </c>
      <c r="AM1908" s="81">
        <f>IF(AN1908="","",IF(Q1908="Sin Factura",0,P1908-IFERROR(INDEX(Facturas_Odoo!$H:$H, MATCH(Q1908, Facturas_Odoo!$B:$B, 0)), 0)))</f>
        <v/>
      </c>
      <c r="AN1908" s="79">
        <f>IF(AND(A1908="", J1908=""), "", IF(A1908&lt;&gt;"", VALUE(MID(A1908,2,LEN(A1908))), AN1907))</f>
        <v/>
      </c>
      <c r="AO1908" s="79">
        <f>IF(AN1908="","",IF(AD1908=0,"OK",_xlfn.LET(monedaPago, IF(AA1908="","USD",AA1908), limitePermitido, IFERROR(VLOOKUP(monedaPago, Configuración!$A$2:$B$3, 2, FALSE), 0.15), IF(AD1908&gt;limitePermitido, "ALERTA: EXCESO (" &amp; TEXT(limitePermitido, "0%") &amp; " máx)", "OK"))))</f>
        <v/>
      </c>
      <c r="AP1908" s="79">
        <f>IF(AN1908="","",IF(AE1908=0,"OK",_xlfn.LET(fechaPago, Z1908, fechaFactura, R1908, diasCredito, IF(E1908="Pago inmediato", 0, IFERROR(VALUE(MID(E1908, 1, SEARCH(" ", E1908)-1)),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08" s="79">
        <f>IF(AN1908="","",IF(AND(N1908&gt;0, AG1908&gt;0), IF(Configuración!$K$2="NO", "ALERTA: DESCUENTO DOBLE NO PERMITIDO", "OK"), "OK"))</f>
        <v/>
      </c>
      <c r="AR1908" s="79">
        <f>IF(AN1908="","",IF(OR(AO1908&lt;&gt;"OK", AP1908&lt;&gt;"OK", AQ1908&lt;&gt;"OK"), "⚠️ REVISAR", "OK"))</f>
        <v/>
      </c>
    </row>
    <row r="1909">
      <c r="A1909" s="79">
        <f>IF('Ordenes_Odoo'!A1909="","",'Ordenes_Odoo'!A1909)</f>
        <v/>
      </c>
      <c r="B1909" s="80">
        <f>IF('Ordenes_Odoo'!B1909="","",'Ordenes_Odoo'!B1909)</f>
        <v/>
      </c>
      <c r="C1909" s="79">
        <f>IF('Ordenes_Odoo'!C1909="","",'Ordenes_Odoo'!C1909)</f>
        <v/>
      </c>
      <c r="D1909" s="79">
        <f>IF('Ordenes_Odoo'!D1909="","",'Ordenes_Odoo'!D1909)</f>
        <v/>
      </c>
      <c r="E1909" s="79">
        <f>IF('Ordenes_Odoo'!E1909="","",'Ordenes_Odoo'!E1909)</f>
        <v/>
      </c>
      <c r="F1909" s="79">
        <f>IF('Ordenes_Odoo'!F1909="","",'Ordenes_Odoo'!F1909)</f>
        <v/>
      </c>
      <c r="G1909" s="79">
        <f>IF('Ordenes_Odoo'!G1909="","",'Ordenes_Odoo'!G1909)</f>
        <v/>
      </c>
      <c r="H1909" s="79">
        <f>IF('Ordenes_Odoo'!H1909="","",'Ordenes_Odoo'!H1909)</f>
        <v/>
      </c>
      <c r="I1909" s="79">
        <f>IF('Ordenes_Odoo'!I1909="","",'Ordenes_Odoo'!I1909)</f>
        <v/>
      </c>
      <c r="J1909" s="79">
        <f>IF('Ordenes_Odoo'!J1909="","",'Ordenes_Odoo'!J1909)</f>
        <v/>
      </c>
      <c r="K1909" s="81">
        <f>IF('Ordenes_Odoo'!K1909="","",'Ordenes_Odoo'!K1909)</f>
        <v/>
      </c>
      <c r="L1909" s="81">
        <f>IF('Ordenes_Odoo'!L1909="","",'Ordenes_Odoo'!L1909)</f>
        <v/>
      </c>
      <c r="M1909" s="79">
        <f>IF('Ordenes_Odoo'!M1909="","",'Ordenes_Odoo'!M1909)</f>
        <v/>
      </c>
      <c r="N1909" s="79">
        <f>IF('Ordenes_Odoo'!N1909="","",'Ordenes_Odoo'!N1909)</f>
        <v/>
      </c>
      <c r="O1909" s="81">
        <f>IF('Ordenes_Odoo'!O1909="","",'Ordenes_Odoo'!O1909)</f>
        <v/>
      </c>
      <c r="P1909" s="81">
        <f>IF('Ordenes_Odoo'!P1909="","",'Ordenes_Odoo'!P1909)</f>
        <v/>
      </c>
      <c r="Q1909" s="79">
        <f>IF(A1909="","",IFERROR(INDEX(Facturas_Odoo!$B:$B, MATCH(A1909, Facturas_Odoo!$D:$D, 0)), "Sin Factura"))</f>
        <v/>
      </c>
      <c r="R1909" s="80">
        <f>IF(Q1909="Sin Factura","",IFERROR(INDEX(Facturas_Odoo!$A:$A, MATCH(Q1909, Facturas_Odoo!$B:$B, 0)), ""))</f>
        <v/>
      </c>
      <c r="S1909" s="79">
        <f>IF(Q1909="Sin Factura","",IFERROR(_xlfn.XLOOKUP(1, (Facturas_Odoo!$D:$D=A1909) * (Facturas_Odoo!$K:$K=I1909), Facturas_Odoo!$L:$L, ""), ""))</f>
        <v/>
      </c>
      <c r="T1909" s="81">
        <f>IF(Q1909="Sin Factura",0,IFERROR(_xlfn.XLOOKUP(1, (Facturas_Odoo!$D:$D=A1909) * (Facturas_Odoo!$K:$K=I1909), Facturas_Odoo!$M:$M, 0), 0))</f>
        <v/>
      </c>
      <c r="U1909" s="79">
        <f>IF(Q1909="Sin Factura",0,IFERROR(_xlfn.XLOOKUP(1, (Facturas_Odoo!$D:$D=A1909) * (Facturas_Odoo!$K:$K=I1909), Facturas_Odoo!$N:$N, 0), 0))</f>
        <v/>
      </c>
      <c r="V1909" s="79">
        <f>IF(Q1909="Sin Factura",0,IFERROR(_xlfn.XLOOKUP(1, (Facturas_Odoo!$D:$D=A1909) * (Facturas_Odoo!$K:$K=I1909), Facturas_Odoo!$O:$O, 0), 0))</f>
        <v/>
      </c>
      <c r="W1909" s="81">
        <f>IF(Q1909="Sin Factura",0,IFERROR(_xlfn.XLOOKUP(1, (Facturas_Odoo!$D:$D=A1909) * (Facturas_Odoo!$K:$K=I1909), Facturas_Odoo!$Q:$Q, 0), 0))</f>
        <v/>
      </c>
      <c r="X1909" s="79">
        <f>IF(OR(Q1909="Sin Factura",Q1909=""),"",IFERROR(INDEX(Pagos_Odoo!$B:$B, MATCH(Q1909, Pagos_Odoo!$I:$I, 0)), "Sin Pago"))</f>
        <v/>
      </c>
      <c r="Y1909" s="79">
        <f>IF(X1909="Sin Pago","",IFERROR(INDEX(Pagos_Odoo!$C:$C, MATCH(X1909, Pagos_Odoo!$B:$B, 0)), ""))</f>
        <v/>
      </c>
      <c r="Z1909" s="80">
        <f>IF(X1909="Sin Pago","",IFERROR(INDEX(Pagos_Odoo!$A:$A, MATCH(X1909, Pagos_Odoo!$B:$B, 0)), ""))</f>
        <v/>
      </c>
      <c r="AA1909" s="79">
        <f>IF(X1909="Sin Pago","",IFERROR(INDEX(Pagos_Odoo!$F:$F, MATCH(X1909, Pagos_Odoo!$B:$B, 0)), ""))</f>
        <v/>
      </c>
      <c r="AB1909" s="81">
        <f>IF(X1909="Sin Pago",0,IFERROR(INDEX(Pagos_Odoo!$E:$E, MATCH(X1909, Pagos_Odoo!$B:$B, 0)), 0))</f>
        <v/>
      </c>
      <c r="AC1909" s="79">
        <f>IF(X1909="Sin Pago","",IFERROR(INDEX(Pagos_Odoo!$G:$G, MATCH(X1909, Pagos_Odoo!$B:$B, 0)), ""))</f>
        <v/>
      </c>
      <c r="AD1909" s="82" t="n">
        <v>0</v>
      </c>
      <c r="AE1909" s="82" t="n"/>
      <c r="AF1909" s="82" t="n"/>
      <c r="AG1909" s="82">
        <f>IF(AN1909="","",AD1909+AE1909+AF1909)</f>
        <v/>
      </c>
      <c r="AH1909" s="81">
        <f>IF(AN1909="","",P1909*(1-AG1909))</f>
        <v/>
      </c>
      <c r="AI1909" s="81">
        <f>IF(AN1909="","",IF(Q1909="Sin Factura",0,IFERROR(INDEX(Facturas_Odoo!$H:$H, MATCH(Q1909, Facturas_Odoo!$B:$B, 0)), 0)*(1-AG1909)))</f>
        <v/>
      </c>
      <c r="AJ1909" s="81">
        <f>IF(AN1909="","",_xlfn.LET(idVenta, AN1909&amp;"",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09" s="81">
        <f>IF(AN1909="","",AH1909-AJ1909)</f>
        <v/>
      </c>
      <c r="AL1909" s="81">
        <f>IF(AN1909="","",IF(Q1909="Sin Factura","",AI1909-AJ1909))</f>
        <v/>
      </c>
      <c r="AM1909" s="81">
        <f>IF(AN1909="","",IF(Q1909="Sin Factura",0,P1909-IFERROR(INDEX(Facturas_Odoo!$H:$H, MATCH(Q1909, Facturas_Odoo!$B:$B, 0)), 0)))</f>
        <v/>
      </c>
      <c r="AN1909" s="79">
        <f>IF(AND(A1909="", J1909=""), "", IF(A1909&lt;&gt;"", VALUE(MID(A1909,2,LEN(A1909))), AN1908))</f>
        <v/>
      </c>
      <c r="AO1909" s="79">
        <f>IF(AN1909="","",IF(AD1909=0,"OK",_xlfn.LET(monedaPago, IF(AA1909="","USD",AA1909), limitePermitido, IFERROR(VLOOKUP(monedaPago, Configuración!$A$2:$B$3, 2, FALSE), 0.15), IF(AD1909&gt;limitePermitido, "ALERTA: EXCESO (" &amp; TEXT(limitePermitido, "0%") &amp; " máx)", "OK"))))</f>
        <v/>
      </c>
      <c r="AP1909" s="79">
        <f>IF(AN1909="","",IF(AE1909=0,"OK",_xlfn.LET(fechaPago, Z1909, fechaFactura, R1909, diasCredito, IF(E1909="Pago inmediato", 0, IFERROR(VALUE(MID(E1909, 1, SEARCH(" ", E1909)-1)),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09" s="79">
        <f>IF(AN1909="","",IF(AND(N1909&gt;0, AG1909&gt;0), IF(Configuración!$K$2="NO", "ALERTA: DESCUENTO DOBLE NO PERMITIDO", "OK"), "OK"))</f>
        <v/>
      </c>
      <c r="AR1909" s="79">
        <f>IF(AN1909="","",IF(OR(AO1909&lt;&gt;"OK", AP1909&lt;&gt;"OK", AQ1909&lt;&gt;"OK"), "⚠️ REVISAR", "OK"))</f>
        <v/>
      </c>
    </row>
    <row r="1910">
      <c r="A1910" s="79">
        <f>IF('Ordenes_Odoo'!A1910="","",'Ordenes_Odoo'!A1910)</f>
        <v/>
      </c>
      <c r="B1910" s="80">
        <f>IF('Ordenes_Odoo'!B1910="","",'Ordenes_Odoo'!B1910)</f>
        <v/>
      </c>
      <c r="C1910" s="79">
        <f>IF('Ordenes_Odoo'!C1910="","",'Ordenes_Odoo'!C1910)</f>
        <v/>
      </c>
      <c r="D1910" s="79">
        <f>IF('Ordenes_Odoo'!D1910="","",'Ordenes_Odoo'!D1910)</f>
        <v/>
      </c>
      <c r="E1910" s="79">
        <f>IF('Ordenes_Odoo'!E1910="","",'Ordenes_Odoo'!E1910)</f>
        <v/>
      </c>
      <c r="F1910" s="79">
        <f>IF('Ordenes_Odoo'!F1910="","",'Ordenes_Odoo'!F1910)</f>
        <v/>
      </c>
      <c r="G1910" s="79">
        <f>IF('Ordenes_Odoo'!G1910="","",'Ordenes_Odoo'!G1910)</f>
        <v/>
      </c>
      <c r="H1910" s="79">
        <f>IF('Ordenes_Odoo'!H1910="","",'Ordenes_Odoo'!H1910)</f>
        <v/>
      </c>
      <c r="I1910" s="79">
        <f>IF('Ordenes_Odoo'!I1910="","",'Ordenes_Odoo'!I1910)</f>
        <v/>
      </c>
      <c r="J1910" s="79">
        <f>IF('Ordenes_Odoo'!J1910="","",'Ordenes_Odoo'!J1910)</f>
        <v/>
      </c>
      <c r="K1910" s="81">
        <f>IF('Ordenes_Odoo'!K1910="","",'Ordenes_Odoo'!K1910)</f>
        <v/>
      </c>
      <c r="L1910" s="81">
        <f>IF('Ordenes_Odoo'!L1910="","",'Ordenes_Odoo'!L1910)</f>
        <v/>
      </c>
      <c r="M1910" s="79">
        <f>IF('Ordenes_Odoo'!M1910="","",'Ordenes_Odoo'!M1910)</f>
        <v/>
      </c>
      <c r="N1910" s="79">
        <f>IF('Ordenes_Odoo'!N1910="","",'Ordenes_Odoo'!N1910)</f>
        <v/>
      </c>
      <c r="O1910" s="81">
        <f>IF('Ordenes_Odoo'!O1910="","",'Ordenes_Odoo'!O1910)</f>
        <v/>
      </c>
      <c r="P1910" s="81">
        <f>IF('Ordenes_Odoo'!P1910="","",'Ordenes_Odoo'!P1910)</f>
        <v/>
      </c>
      <c r="Q1910" s="79">
        <f>IF(A1910="","",IFERROR(INDEX(Facturas_Odoo!$B:$B, MATCH(A1910, Facturas_Odoo!$D:$D, 0)), "Sin Factura"))</f>
        <v/>
      </c>
      <c r="R1910" s="80">
        <f>IF(Q1910="Sin Factura","",IFERROR(INDEX(Facturas_Odoo!$A:$A, MATCH(Q1910, Facturas_Odoo!$B:$B, 0)), ""))</f>
        <v/>
      </c>
      <c r="S1910" s="79">
        <f>IF(Q1910="Sin Factura","",IFERROR(_xlfn.XLOOKUP(1, (Facturas_Odoo!$D:$D=A1910) * (Facturas_Odoo!$K:$K=I1910), Facturas_Odoo!$L:$L, ""), ""))</f>
        <v/>
      </c>
      <c r="T1910" s="81">
        <f>IF(Q1910="Sin Factura",0,IFERROR(_xlfn.XLOOKUP(1, (Facturas_Odoo!$D:$D=A1910) * (Facturas_Odoo!$K:$K=I1910), Facturas_Odoo!$M:$M, 0), 0))</f>
        <v/>
      </c>
      <c r="U1910" s="79">
        <f>IF(Q1910="Sin Factura",0,IFERROR(_xlfn.XLOOKUP(1, (Facturas_Odoo!$D:$D=A1910) * (Facturas_Odoo!$K:$K=I1910), Facturas_Odoo!$N:$N, 0), 0))</f>
        <v/>
      </c>
      <c r="V1910" s="79">
        <f>IF(Q1910="Sin Factura",0,IFERROR(_xlfn.XLOOKUP(1, (Facturas_Odoo!$D:$D=A1910) * (Facturas_Odoo!$K:$K=I1910), Facturas_Odoo!$O:$O, 0), 0))</f>
        <v/>
      </c>
      <c r="W1910" s="81">
        <f>IF(Q1910="Sin Factura",0,IFERROR(_xlfn.XLOOKUP(1, (Facturas_Odoo!$D:$D=A1910) * (Facturas_Odoo!$K:$K=I1910), Facturas_Odoo!$Q:$Q, 0), 0))</f>
        <v/>
      </c>
      <c r="X1910" s="79">
        <f>IF(OR(Q1910="Sin Factura",Q1910=""),"",IFERROR(INDEX(Pagos_Odoo!$B:$B, MATCH(Q1910, Pagos_Odoo!$I:$I, 0)), "Sin Pago"))</f>
        <v/>
      </c>
      <c r="Y1910" s="79">
        <f>IF(X1910="Sin Pago","",IFERROR(INDEX(Pagos_Odoo!$C:$C, MATCH(X1910, Pagos_Odoo!$B:$B, 0)), ""))</f>
        <v/>
      </c>
      <c r="Z1910" s="80">
        <f>IF(X1910="Sin Pago","",IFERROR(INDEX(Pagos_Odoo!$A:$A, MATCH(X1910, Pagos_Odoo!$B:$B, 0)), ""))</f>
        <v/>
      </c>
      <c r="AA1910" s="79">
        <f>IF(X1910="Sin Pago","",IFERROR(INDEX(Pagos_Odoo!$F:$F, MATCH(X1910, Pagos_Odoo!$B:$B, 0)), ""))</f>
        <v/>
      </c>
      <c r="AB1910" s="81">
        <f>IF(X1910="Sin Pago",0,IFERROR(INDEX(Pagos_Odoo!$E:$E, MATCH(X1910, Pagos_Odoo!$B:$B, 0)), 0))</f>
        <v/>
      </c>
      <c r="AC1910" s="79">
        <f>IF(X1910="Sin Pago","",IFERROR(INDEX(Pagos_Odoo!$G:$G, MATCH(X1910, Pagos_Odoo!$B:$B, 0)), ""))</f>
        <v/>
      </c>
      <c r="AD1910" s="82" t="n">
        <v>0</v>
      </c>
      <c r="AE1910" s="82" t="n"/>
      <c r="AF1910" s="82" t="n"/>
      <c r="AG1910" s="82">
        <f>IF(AN1910="","",AD1910+AE1910+AF1910)</f>
        <v/>
      </c>
      <c r="AH1910" s="81">
        <f>IF(AN1910="","",P1910*(1-AG1910))</f>
        <v/>
      </c>
      <c r="AI1910" s="81">
        <f>IF(AN1910="","",IF(Q1910="Sin Factura",0,IFERROR(INDEX(Facturas_Odoo!$H:$H, MATCH(Q1910, Facturas_Odoo!$B:$B, 0)), 0)*(1-AG1910)))</f>
        <v/>
      </c>
      <c r="AJ1910" s="81">
        <f>IF(AN1910="","",_xlfn.LET(idVenta, AN1910&amp;"",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10" s="81">
        <f>IF(AN1910="","",AH1910-AJ1910)</f>
        <v/>
      </c>
      <c r="AL1910" s="81">
        <f>IF(AN1910="","",IF(Q1910="Sin Factura","",AI1910-AJ1910))</f>
        <v/>
      </c>
      <c r="AM1910" s="81">
        <f>IF(AN1910="","",IF(Q1910="Sin Factura",0,P1910-IFERROR(INDEX(Facturas_Odoo!$H:$H, MATCH(Q1910, Facturas_Odoo!$B:$B, 0)), 0)))</f>
        <v/>
      </c>
      <c r="AN1910" s="79">
        <f>IF(AND(A1910="", J1910=""), "", IF(A1910&lt;&gt;"", VALUE(MID(A1910,2,LEN(A1910))), AN1909))</f>
        <v/>
      </c>
      <c r="AO1910" s="79">
        <f>IF(AN1910="","",IF(AD1910=0,"OK",_xlfn.LET(monedaPago, IF(AA1910="","USD",AA1910), limitePermitido, IFERROR(VLOOKUP(monedaPago, Configuración!$A$2:$B$3, 2, FALSE), 0.15), IF(AD1910&gt;limitePermitido, "ALERTA: EXCESO (" &amp; TEXT(limitePermitido, "0%") &amp; " máx)", "OK"))))</f>
        <v/>
      </c>
      <c r="AP1910" s="79">
        <f>IF(AN1910="","",IF(AE1910=0,"OK",_xlfn.LET(fechaPago, Z1910, fechaFactura, R1910, diasCredito, IF(E1910="Pago inmediato", 0, IFERROR(VALUE(MID(E1910, 1, SEARCH(" ", E1910)-1)),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10" s="79">
        <f>IF(AN1910="","",IF(AND(N1910&gt;0, AG1910&gt;0), IF(Configuración!$K$2="NO", "ALERTA: DESCUENTO DOBLE NO PERMITIDO", "OK"), "OK"))</f>
        <v/>
      </c>
      <c r="AR1910" s="79">
        <f>IF(AN1910="","",IF(OR(AO1910&lt;&gt;"OK", AP1910&lt;&gt;"OK", AQ1910&lt;&gt;"OK"), "⚠️ REVISAR", "OK"))</f>
        <v/>
      </c>
    </row>
    <row r="1911">
      <c r="A1911" s="79">
        <f>IF('Ordenes_Odoo'!A1911="","",'Ordenes_Odoo'!A1911)</f>
        <v/>
      </c>
      <c r="B1911" s="80">
        <f>IF('Ordenes_Odoo'!B1911="","",'Ordenes_Odoo'!B1911)</f>
        <v/>
      </c>
      <c r="C1911" s="79">
        <f>IF('Ordenes_Odoo'!C1911="","",'Ordenes_Odoo'!C1911)</f>
        <v/>
      </c>
      <c r="D1911" s="79">
        <f>IF('Ordenes_Odoo'!D1911="","",'Ordenes_Odoo'!D1911)</f>
        <v/>
      </c>
      <c r="E1911" s="79">
        <f>IF('Ordenes_Odoo'!E1911="","",'Ordenes_Odoo'!E1911)</f>
        <v/>
      </c>
      <c r="F1911" s="79">
        <f>IF('Ordenes_Odoo'!F1911="","",'Ordenes_Odoo'!F1911)</f>
        <v/>
      </c>
      <c r="G1911" s="79">
        <f>IF('Ordenes_Odoo'!G1911="","",'Ordenes_Odoo'!G1911)</f>
        <v/>
      </c>
      <c r="H1911" s="79">
        <f>IF('Ordenes_Odoo'!H1911="","",'Ordenes_Odoo'!H1911)</f>
        <v/>
      </c>
      <c r="I1911" s="79">
        <f>IF('Ordenes_Odoo'!I1911="","",'Ordenes_Odoo'!I1911)</f>
        <v/>
      </c>
      <c r="J1911" s="79">
        <f>IF('Ordenes_Odoo'!J1911="","",'Ordenes_Odoo'!J1911)</f>
        <v/>
      </c>
      <c r="K1911" s="81">
        <f>IF('Ordenes_Odoo'!K1911="","",'Ordenes_Odoo'!K1911)</f>
        <v/>
      </c>
      <c r="L1911" s="81">
        <f>IF('Ordenes_Odoo'!L1911="","",'Ordenes_Odoo'!L1911)</f>
        <v/>
      </c>
      <c r="M1911" s="79">
        <f>IF('Ordenes_Odoo'!M1911="","",'Ordenes_Odoo'!M1911)</f>
        <v/>
      </c>
      <c r="N1911" s="79">
        <f>IF('Ordenes_Odoo'!N1911="","",'Ordenes_Odoo'!N1911)</f>
        <v/>
      </c>
      <c r="O1911" s="81">
        <f>IF('Ordenes_Odoo'!O1911="","",'Ordenes_Odoo'!O1911)</f>
        <v/>
      </c>
      <c r="P1911" s="81">
        <f>IF('Ordenes_Odoo'!P1911="","",'Ordenes_Odoo'!P1911)</f>
        <v/>
      </c>
      <c r="Q1911" s="79">
        <f>IF(A1911="","",IFERROR(INDEX(Facturas_Odoo!$B:$B, MATCH(A1911, Facturas_Odoo!$D:$D, 0)), "Sin Factura"))</f>
        <v/>
      </c>
      <c r="R1911" s="80">
        <f>IF(Q1911="Sin Factura","",IFERROR(INDEX(Facturas_Odoo!$A:$A, MATCH(Q1911, Facturas_Odoo!$B:$B, 0)), ""))</f>
        <v/>
      </c>
      <c r="S1911" s="79">
        <f>IF(Q1911="Sin Factura","",IFERROR(_xlfn.XLOOKUP(1, (Facturas_Odoo!$D:$D=A1911) * (Facturas_Odoo!$K:$K=I1911), Facturas_Odoo!$L:$L, ""), ""))</f>
        <v/>
      </c>
      <c r="T1911" s="81">
        <f>IF(Q1911="Sin Factura",0,IFERROR(_xlfn.XLOOKUP(1, (Facturas_Odoo!$D:$D=A1911) * (Facturas_Odoo!$K:$K=I1911), Facturas_Odoo!$M:$M, 0), 0))</f>
        <v/>
      </c>
      <c r="U1911" s="79">
        <f>IF(Q1911="Sin Factura",0,IFERROR(_xlfn.XLOOKUP(1, (Facturas_Odoo!$D:$D=A1911) * (Facturas_Odoo!$K:$K=I1911), Facturas_Odoo!$N:$N, 0), 0))</f>
        <v/>
      </c>
      <c r="V1911" s="79">
        <f>IF(Q1911="Sin Factura",0,IFERROR(_xlfn.XLOOKUP(1, (Facturas_Odoo!$D:$D=A1911) * (Facturas_Odoo!$K:$K=I1911), Facturas_Odoo!$O:$O, 0), 0))</f>
        <v/>
      </c>
      <c r="W1911" s="81">
        <f>IF(Q1911="Sin Factura",0,IFERROR(_xlfn.XLOOKUP(1, (Facturas_Odoo!$D:$D=A1911) * (Facturas_Odoo!$K:$K=I1911), Facturas_Odoo!$Q:$Q, 0), 0))</f>
        <v/>
      </c>
      <c r="X1911" s="79">
        <f>IF(OR(Q1911="Sin Factura",Q1911=""),"",IFERROR(INDEX(Pagos_Odoo!$B:$B, MATCH(Q1911, Pagos_Odoo!$I:$I, 0)), "Sin Pago"))</f>
        <v/>
      </c>
      <c r="Y1911" s="79">
        <f>IF(X1911="Sin Pago","",IFERROR(INDEX(Pagos_Odoo!$C:$C, MATCH(X1911, Pagos_Odoo!$B:$B, 0)), ""))</f>
        <v/>
      </c>
      <c r="Z1911" s="80">
        <f>IF(X1911="Sin Pago","",IFERROR(INDEX(Pagos_Odoo!$A:$A, MATCH(X1911, Pagos_Odoo!$B:$B, 0)), ""))</f>
        <v/>
      </c>
      <c r="AA1911" s="79">
        <f>IF(X1911="Sin Pago","",IFERROR(INDEX(Pagos_Odoo!$F:$F, MATCH(X1911, Pagos_Odoo!$B:$B, 0)), ""))</f>
        <v/>
      </c>
      <c r="AB1911" s="81">
        <f>IF(X1911="Sin Pago",0,IFERROR(INDEX(Pagos_Odoo!$E:$E, MATCH(X1911, Pagos_Odoo!$B:$B, 0)), 0))</f>
        <v/>
      </c>
      <c r="AC1911" s="79">
        <f>IF(X1911="Sin Pago","",IFERROR(INDEX(Pagos_Odoo!$G:$G, MATCH(X1911, Pagos_Odoo!$B:$B, 0)), ""))</f>
        <v/>
      </c>
      <c r="AD1911" s="82" t="n">
        <v>0</v>
      </c>
      <c r="AE1911" s="82" t="n"/>
      <c r="AF1911" s="82" t="n"/>
      <c r="AG1911" s="82">
        <f>IF(AN1911="","",AD1911+AE1911+AF1911)</f>
        <v/>
      </c>
      <c r="AH1911" s="81">
        <f>IF(AN1911="","",P1911*(1-AG1911))</f>
        <v/>
      </c>
      <c r="AI1911" s="81">
        <f>IF(AN1911="","",IF(Q1911="Sin Factura",0,IFERROR(INDEX(Facturas_Odoo!$H:$H, MATCH(Q1911, Facturas_Odoo!$B:$B, 0)), 0)*(1-AG1911)))</f>
        <v/>
      </c>
      <c r="AJ1911" s="81">
        <f>IF(AN1911="","",_xlfn.LET(idVenta, AN1911&amp;"",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11" s="81">
        <f>IF(AN1911="","",AH1911-AJ1911)</f>
        <v/>
      </c>
      <c r="AL1911" s="81">
        <f>IF(AN1911="","",IF(Q1911="Sin Factura","",AI1911-AJ1911))</f>
        <v/>
      </c>
      <c r="AM1911" s="81">
        <f>IF(AN1911="","",IF(Q1911="Sin Factura",0,P1911-IFERROR(INDEX(Facturas_Odoo!$H:$H, MATCH(Q1911, Facturas_Odoo!$B:$B, 0)), 0)))</f>
        <v/>
      </c>
      <c r="AN1911" s="79">
        <f>IF(AND(A1911="", J1911=""), "", IF(A1911&lt;&gt;"", VALUE(MID(A1911,2,LEN(A1911))), AN1910))</f>
        <v/>
      </c>
      <c r="AO1911" s="79">
        <f>IF(AN1911="","",IF(AD1911=0,"OK",_xlfn.LET(monedaPago, IF(AA1911="","USD",AA1911), limitePermitido, IFERROR(VLOOKUP(monedaPago, Configuración!$A$2:$B$3, 2, FALSE), 0.15), IF(AD1911&gt;limitePermitido, "ALERTA: EXCESO (" &amp; TEXT(limitePermitido, "0%") &amp; " máx)", "OK"))))</f>
        <v/>
      </c>
      <c r="AP1911" s="79">
        <f>IF(AN1911="","",IF(AE1911=0,"OK",_xlfn.LET(fechaPago, Z1911, fechaFactura, R1911, diasCredito, IF(E1911="Pago inmediato", 0, IFERROR(VALUE(MID(E1911, 1, SEARCH(" ", E1911)-1)),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11" s="79">
        <f>IF(AN1911="","",IF(AND(N1911&gt;0, AG1911&gt;0), IF(Configuración!$K$2="NO", "ALERTA: DESCUENTO DOBLE NO PERMITIDO", "OK"), "OK"))</f>
        <v/>
      </c>
      <c r="AR1911" s="79">
        <f>IF(AN1911="","",IF(OR(AO1911&lt;&gt;"OK", AP1911&lt;&gt;"OK", AQ1911&lt;&gt;"OK"), "⚠️ REVISAR", "OK"))</f>
        <v/>
      </c>
    </row>
    <row r="1912">
      <c r="A1912" s="79">
        <f>IF('Ordenes_Odoo'!A1912="","",'Ordenes_Odoo'!A1912)</f>
        <v/>
      </c>
      <c r="B1912" s="80">
        <f>IF('Ordenes_Odoo'!B1912="","",'Ordenes_Odoo'!B1912)</f>
        <v/>
      </c>
      <c r="C1912" s="79">
        <f>IF('Ordenes_Odoo'!C1912="","",'Ordenes_Odoo'!C1912)</f>
        <v/>
      </c>
      <c r="D1912" s="79">
        <f>IF('Ordenes_Odoo'!D1912="","",'Ordenes_Odoo'!D1912)</f>
        <v/>
      </c>
      <c r="E1912" s="79">
        <f>IF('Ordenes_Odoo'!E1912="","",'Ordenes_Odoo'!E1912)</f>
        <v/>
      </c>
      <c r="F1912" s="79">
        <f>IF('Ordenes_Odoo'!F1912="","",'Ordenes_Odoo'!F1912)</f>
        <v/>
      </c>
      <c r="G1912" s="79">
        <f>IF('Ordenes_Odoo'!G1912="","",'Ordenes_Odoo'!G1912)</f>
        <v/>
      </c>
      <c r="H1912" s="79">
        <f>IF('Ordenes_Odoo'!H1912="","",'Ordenes_Odoo'!H1912)</f>
        <v/>
      </c>
      <c r="I1912" s="79">
        <f>IF('Ordenes_Odoo'!I1912="","",'Ordenes_Odoo'!I1912)</f>
        <v/>
      </c>
      <c r="J1912" s="79">
        <f>IF('Ordenes_Odoo'!J1912="","",'Ordenes_Odoo'!J1912)</f>
        <v/>
      </c>
      <c r="K1912" s="81">
        <f>IF('Ordenes_Odoo'!K1912="","",'Ordenes_Odoo'!K1912)</f>
        <v/>
      </c>
      <c r="L1912" s="81">
        <f>IF('Ordenes_Odoo'!L1912="","",'Ordenes_Odoo'!L1912)</f>
        <v/>
      </c>
      <c r="M1912" s="79">
        <f>IF('Ordenes_Odoo'!M1912="","",'Ordenes_Odoo'!M1912)</f>
        <v/>
      </c>
      <c r="N1912" s="79">
        <f>IF('Ordenes_Odoo'!N1912="","",'Ordenes_Odoo'!N1912)</f>
        <v/>
      </c>
      <c r="O1912" s="81">
        <f>IF('Ordenes_Odoo'!O1912="","",'Ordenes_Odoo'!O1912)</f>
        <v/>
      </c>
      <c r="P1912" s="81">
        <f>IF('Ordenes_Odoo'!P1912="","",'Ordenes_Odoo'!P1912)</f>
        <v/>
      </c>
      <c r="Q1912" s="79">
        <f>IF(A1912="","",IFERROR(INDEX(Facturas_Odoo!$B:$B, MATCH(A1912, Facturas_Odoo!$D:$D, 0)), "Sin Factura"))</f>
        <v/>
      </c>
      <c r="R1912" s="80">
        <f>IF(Q1912="Sin Factura","",IFERROR(INDEX(Facturas_Odoo!$A:$A, MATCH(Q1912, Facturas_Odoo!$B:$B, 0)), ""))</f>
        <v/>
      </c>
      <c r="S1912" s="79">
        <f>IF(Q1912="Sin Factura","",IFERROR(_xlfn.XLOOKUP(1, (Facturas_Odoo!$D:$D=A1912) * (Facturas_Odoo!$K:$K=I1912), Facturas_Odoo!$L:$L, ""), ""))</f>
        <v/>
      </c>
      <c r="T1912" s="81">
        <f>IF(Q1912="Sin Factura",0,IFERROR(_xlfn.XLOOKUP(1, (Facturas_Odoo!$D:$D=A1912) * (Facturas_Odoo!$K:$K=I1912), Facturas_Odoo!$M:$M, 0), 0))</f>
        <v/>
      </c>
      <c r="U1912" s="79">
        <f>IF(Q1912="Sin Factura",0,IFERROR(_xlfn.XLOOKUP(1, (Facturas_Odoo!$D:$D=A1912) * (Facturas_Odoo!$K:$K=I1912), Facturas_Odoo!$N:$N, 0), 0))</f>
        <v/>
      </c>
      <c r="V1912" s="79">
        <f>IF(Q1912="Sin Factura",0,IFERROR(_xlfn.XLOOKUP(1, (Facturas_Odoo!$D:$D=A1912) * (Facturas_Odoo!$K:$K=I1912), Facturas_Odoo!$O:$O, 0), 0))</f>
        <v/>
      </c>
      <c r="W1912" s="81">
        <f>IF(Q1912="Sin Factura",0,IFERROR(_xlfn.XLOOKUP(1, (Facturas_Odoo!$D:$D=A1912) * (Facturas_Odoo!$K:$K=I1912), Facturas_Odoo!$Q:$Q, 0), 0))</f>
        <v/>
      </c>
      <c r="X1912" s="79">
        <f>IF(OR(Q1912="Sin Factura",Q1912=""),"",IFERROR(INDEX(Pagos_Odoo!$B:$B, MATCH(Q1912, Pagos_Odoo!$I:$I, 0)), "Sin Pago"))</f>
        <v/>
      </c>
      <c r="Y1912" s="79">
        <f>IF(X1912="Sin Pago","",IFERROR(INDEX(Pagos_Odoo!$C:$C, MATCH(X1912, Pagos_Odoo!$B:$B, 0)), ""))</f>
        <v/>
      </c>
      <c r="Z1912" s="80">
        <f>IF(X1912="Sin Pago","",IFERROR(INDEX(Pagos_Odoo!$A:$A, MATCH(X1912, Pagos_Odoo!$B:$B, 0)), ""))</f>
        <v/>
      </c>
      <c r="AA1912" s="79">
        <f>IF(X1912="Sin Pago","",IFERROR(INDEX(Pagos_Odoo!$F:$F, MATCH(X1912, Pagos_Odoo!$B:$B, 0)), ""))</f>
        <v/>
      </c>
      <c r="AB1912" s="81">
        <f>IF(X1912="Sin Pago",0,IFERROR(INDEX(Pagos_Odoo!$E:$E, MATCH(X1912, Pagos_Odoo!$B:$B, 0)), 0))</f>
        <v/>
      </c>
      <c r="AC1912" s="79">
        <f>IF(X1912="Sin Pago","",IFERROR(INDEX(Pagos_Odoo!$G:$G, MATCH(X1912, Pagos_Odoo!$B:$B, 0)), ""))</f>
        <v/>
      </c>
      <c r="AD1912" s="82" t="n">
        <v>0</v>
      </c>
      <c r="AE1912" s="82" t="n"/>
      <c r="AF1912" s="82" t="n"/>
      <c r="AG1912" s="82">
        <f>IF(AN1912="","",AD1912+AE1912+AF1912)</f>
        <v/>
      </c>
      <c r="AH1912" s="81">
        <f>IF(AN1912="","",P1912*(1-AG1912))</f>
        <v/>
      </c>
      <c r="AI1912" s="81">
        <f>IF(AN1912="","",IF(Q1912="Sin Factura",0,IFERROR(INDEX(Facturas_Odoo!$H:$H, MATCH(Q1912, Facturas_Odoo!$B:$B, 0)), 0)*(1-AG1912)))</f>
        <v/>
      </c>
      <c r="AJ1912" s="81">
        <f>IF(AN1912="","",_xlfn.LET(idVenta, AN1912&amp;"",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12" s="81">
        <f>IF(AN1912="","",AH1912-AJ1912)</f>
        <v/>
      </c>
      <c r="AL1912" s="81">
        <f>IF(AN1912="","",IF(Q1912="Sin Factura","",AI1912-AJ1912))</f>
        <v/>
      </c>
      <c r="AM1912" s="81">
        <f>IF(AN1912="","",IF(Q1912="Sin Factura",0,P1912-IFERROR(INDEX(Facturas_Odoo!$H:$H, MATCH(Q1912, Facturas_Odoo!$B:$B, 0)), 0)))</f>
        <v/>
      </c>
      <c r="AN1912" s="79">
        <f>IF(AND(A1912="", J1912=""), "", IF(A1912&lt;&gt;"", VALUE(MID(A1912,2,LEN(A1912))), AN1911))</f>
        <v/>
      </c>
      <c r="AO1912" s="79">
        <f>IF(AN1912="","",IF(AD1912=0,"OK",_xlfn.LET(monedaPago, IF(AA1912="","USD",AA1912), limitePermitido, IFERROR(VLOOKUP(monedaPago, Configuración!$A$2:$B$3, 2, FALSE), 0.15), IF(AD1912&gt;limitePermitido, "ALERTA: EXCESO (" &amp; TEXT(limitePermitido, "0%") &amp; " máx)", "OK"))))</f>
        <v/>
      </c>
      <c r="AP1912" s="79">
        <f>IF(AN1912="","",IF(AE1912=0,"OK",_xlfn.LET(fechaPago, Z1912, fechaFactura, R1912, diasCredito, IF(E1912="Pago inmediato", 0, IFERROR(VALUE(MID(E1912, 1, SEARCH(" ", E1912)-1)),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12" s="79">
        <f>IF(AN1912="","",IF(AND(N1912&gt;0, AG1912&gt;0), IF(Configuración!$K$2="NO", "ALERTA: DESCUENTO DOBLE NO PERMITIDO", "OK"), "OK"))</f>
        <v/>
      </c>
      <c r="AR1912" s="79">
        <f>IF(AN1912="","",IF(OR(AO1912&lt;&gt;"OK", AP1912&lt;&gt;"OK", AQ1912&lt;&gt;"OK"), "⚠️ REVISAR", "OK"))</f>
        <v/>
      </c>
    </row>
    <row r="1913">
      <c r="A1913" s="79">
        <f>IF('Ordenes_Odoo'!A1913="","",'Ordenes_Odoo'!A1913)</f>
        <v/>
      </c>
      <c r="B1913" s="80">
        <f>IF('Ordenes_Odoo'!B1913="","",'Ordenes_Odoo'!B1913)</f>
        <v/>
      </c>
      <c r="C1913" s="79">
        <f>IF('Ordenes_Odoo'!C1913="","",'Ordenes_Odoo'!C1913)</f>
        <v/>
      </c>
      <c r="D1913" s="79">
        <f>IF('Ordenes_Odoo'!D1913="","",'Ordenes_Odoo'!D1913)</f>
        <v/>
      </c>
      <c r="E1913" s="79">
        <f>IF('Ordenes_Odoo'!E1913="","",'Ordenes_Odoo'!E1913)</f>
        <v/>
      </c>
      <c r="F1913" s="79">
        <f>IF('Ordenes_Odoo'!F1913="","",'Ordenes_Odoo'!F1913)</f>
        <v/>
      </c>
      <c r="G1913" s="79">
        <f>IF('Ordenes_Odoo'!G1913="","",'Ordenes_Odoo'!G1913)</f>
        <v/>
      </c>
      <c r="H1913" s="79">
        <f>IF('Ordenes_Odoo'!H1913="","",'Ordenes_Odoo'!H1913)</f>
        <v/>
      </c>
      <c r="I1913" s="79">
        <f>IF('Ordenes_Odoo'!I1913="","",'Ordenes_Odoo'!I1913)</f>
        <v/>
      </c>
      <c r="J1913" s="79">
        <f>IF('Ordenes_Odoo'!J1913="","",'Ordenes_Odoo'!J1913)</f>
        <v/>
      </c>
      <c r="K1913" s="81">
        <f>IF('Ordenes_Odoo'!K1913="","",'Ordenes_Odoo'!K1913)</f>
        <v/>
      </c>
      <c r="L1913" s="81">
        <f>IF('Ordenes_Odoo'!L1913="","",'Ordenes_Odoo'!L1913)</f>
        <v/>
      </c>
      <c r="M1913" s="79">
        <f>IF('Ordenes_Odoo'!M1913="","",'Ordenes_Odoo'!M1913)</f>
        <v/>
      </c>
      <c r="N1913" s="79">
        <f>IF('Ordenes_Odoo'!N1913="","",'Ordenes_Odoo'!N1913)</f>
        <v/>
      </c>
      <c r="O1913" s="81">
        <f>IF('Ordenes_Odoo'!O1913="","",'Ordenes_Odoo'!O1913)</f>
        <v/>
      </c>
      <c r="P1913" s="81">
        <f>IF('Ordenes_Odoo'!P1913="","",'Ordenes_Odoo'!P1913)</f>
        <v/>
      </c>
      <c r="Q1913" s="79">
        <f>IF(A1913="","",IFERROR(INDEX(Facturas_Odoo!$B:$B, MATCH(A1913, Facturas_Odoo!$D:$D, 0)), "Sin Factura"))</f>
        <v/>
      </c>
      <c r="R1913" s="80">
        <f>IF(Q1913="Sin Factura","",IFERROR(INDEX(Facturas_Odoo!$A:$A, MATCH(Q1913, Facturas_Odoo!$B:$B, 0)), ""))</f>
        <v/>
      </c>
      <c r="S1913" s="79">
        <f>IF(Q1913="Sin Factura","",IFERROR(_xlfn.XLOOKUP(1, (Facturas_Odoo!$D:$D=A1913) * (Facturas_Odoo!$K:$K=I1913), Facturas_Odoo!$L:$L, ""), ""))</f>
        <v/>
      </c>
      <c r="T1913" s="81">
        <f>IF(Q1913="Sin Factura",0,IFERROR(_xlfn.XLOOKUP(1, (Facturas_Odoo!$D:$D=A1913) * (Facturas_Odoo!$K:$K=I1913), Facturas_Odoo!$M:$M, 0), 0))</f>
        <v/>
      </c>
      <c r="U1913" s="79">
        <f>IF(Q1913="Sin Factura",0,IFERROR(_xlfn.XLOOKUP(1, (Facturas_Odoo!$D:$D=A1913) * (Facturas_Odoo!$K:$K=I1913), Facturas_Odoo!$N:$N, 0), 0))</f>
        <v/>
      </c>
      <c r="V1913" s="79">
        <f>IF(Q1913="Sin Factura",0,IFERROR(_xlfn.XLOOKUP(1, (Facturas_Odoo!$D:$D=A1913) * (Facturas_Odoo!$K:$K=I1913), Facturas_Odoo!$O:$O, 0), 0))</f>
        <v/>
      </c>
      <c r="W1913" s="81">
        <f>IF(Q1913="Sin Factura",0,IFERROR(_xlfn.XLOOKUP(1, (Facturas_Odoo!$D:$D=A1913) * (Facturas_Odoo!$K:$K=I1913), Facturas_Odoo!$Q:$Q, 0), 0))</f>
        <v/>
      </c>
      <c r="X1913" s="79">
        <f>IF(OR(Q1913="Sin Factura",Q1913=""),"",IFERROR(INDEX(Pagos_Odoo!$B:$B, MATCH(Q1913, Pagos_Odoo!$I:$I, 0)), "Sin Pago"))</f>
        <v/>
      </c>
      <c r="Y1913" s="79">
        <f>IF(X1913="Sin Pago","",IFERROR(INDEX(Pagos_Odoo!$C:$C, MATCH(X1913, Pagos_Odoo!$B:$B, 0)), ""))</f>
        <v/>
      </c>
      <c r="Z1913" s="80">
        <f>IF(X1913="Sin Pago","",IFERROR(INDEX(Pagos_Odoo!$A:$A, MATCH(X1913, Pagos_Odoo!$B:$B, 0)), ""))</f>
        <v/>
      </c>
      <c r="AA1913" s="79">
        <f>IF(X1913="Sin Pago","",IFERROR(INDEX(Pagos_Odoo!$F:$F, MATCH(X1913, Pagos_Odoo!$B:$B, 0)), ""))</f>
        <v/>
      </c>
      <c r="AB1913" s="81">
        <f>IF(X1913="Sin Pago",0,IFERROR(INDEX(Pagos_Odoo!$E:$E, MATCH(X1913, Pagos_Odoo!$B:$B, 0)), 0))</f>
        <v/>
      </c>
      <c r="AC1913" s="79">
        <f>IF(X1913="Sin Pago","",IFERROR(INDEX(Pagos_Odoo!$G:$G, MATCH(X1913, Pagos_Odoo!$B:$B, 0)), ""))</f>
        <v/>
      </c>
      <c r="AD1913" s="82" t="n">
        <v>0</v>
      </c>
      <c r="AE1913" s="82" t="n"/>
      <c r="AF1913" s="82" t="n"/>
      <c r="AG1913" s="82">
        <f>IF(AN1913="","",AD1913+AE1913+AF1913)</f>
        <v/>
      </c>
      <c r="AH1913" s="81">
        <f>IF(AN1913="","",P1913*(1-AG1913))</f>
        <v/>
      </c>
      <c r="AI1913" s="81">
        <f>IF(AN1913="","",IF(Q1913="Sin Factura",0,IFERROR(INDEX(Facturas_Odoo!$H:$H, MATCH(Q1913, Facturas_Odoo!$B:$B, 0)), 0)*(1-AG1913)))</f>
        <v/>
      </c>
      <c r="AJ1913" s="81">
        <f>IF(AN1913="","",_xlfn.LET(idVenta, AN1913&amp;"",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13" s="81">
        <f>IF(AN1913="","",AH1913-AJ1913)</f>
        <v/>
      </c>
      <c r="AL1913" s="81">
        <f>IF(AN1913="","",IF(Q1913="Sin Factura","",AI1913-AJ1913))</f>
        <v/>
      </c>
      <c r="AM1913" s="81">
        <f>IF(AN1913="","",IF(Q1913="Sin Factura",0,P1913-IFERROR(INDEX(Facturas_Odoo!$H:$H, MATCH(Q1913, Facturas_Odoo!$B:$B, 0)), 0)))</f>
        <v/>
      </c>
      <c r="AN1913" s="79">
        <f>IF(AND(A1913="", J1913=""), "", IF(A1913&lt;&gt;"", VALUE(MID(A1913,2,LEN(A1913))), AN1912))</f>
        <v/>
      </c>
      <c r="AO1913" s="79">
        <f>IF(AN1913="","",IF(AD1913=0,"OK",_xlfn.LET(monedaPago, IF(AA1913="","USD",AA1913), limitePermitido, IFERROR(VLOOKUP(monedaPago, Configuración!$A$2:$B$3, 2, FALSE), 0.15), IF(AD1913&gt;limitePermitido, "ALERTA: EXCESO (" &amp; TEXT(limitePermitido, "0%") &amp; " máx)", "OK"))))</f>
        <v/>
      </c>
      <c r="AP1913" s="79">
        <f>IF(AN1913="","",IF(AE1913=0,"OK",_xlfn.LET(fechaPago, Z1913, fechaFactura, R1913, diasCredito, IF(E1913="Pago inmediato", 0, IFERROR(VALUE(MID(E1913, 1, SEARCH(" ", E1913)-1)),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13" s="79">
        <f>IF(AN1913="","",IF(AND(N1913&gt;0, AG1913&gt;0), IF(Configuración!$K$2="NO", "ALERTA: DESCUENTO DOBLE NO PERMITIDO", "OK"), "OK"))</f>
        <v/>
      </c>
      <c r="AR1913" s="79">
        <f>IF(AN1913="","",IF(OR(AO1913&lt;&gt;"OK", AP1913&lt;&gt;"OK", AQ1913&lt;&gt;"OK"), "⚠️ REVISAR", "OK"))</f>
        <v/>
      </c>
    </row>
    <row r="1914">
      <c r="A1914" s="79">
        <f>IF('Ordenes_Odoo'!A1914="","",'Ordenes_Odoo'!A1914)</f>
        <v/>
      </c>
      <c r="B1914" s="80">
        <f>IF('Ordenes_Odoo'!B1914="","",'Ordenes_Odoo'!B1914)</f>
        <v/>
      </c>
      <c r="C1914" s="79">
        <f>IF('Ordenes_Odoo'!C1914="","",'Ordenes_Odoo'!C1914)</f>
        <v/>
      </c>
      <c r="D1914" s="79">
        <f>IF('Ordenes_Odoo'!D1914="","",'Ordenes_Odoo'!D1914)</f>
        <v/>
      </c>
      <c r="E1914" s="79">
        <f>IF('Ordenes_Odoo'!E1914="","",'Ordenes_Odoo'!E1914)</f>
        <v/>
      </c>
      <c r="F1914" s="79">
        <f>IF('Ordenes_Odoo'!F1914="","",'Ordenes_Odoo'!F1914)</f>
        <v/>
      </c>
      <c r="G1914" s="79">
        <f>IF('Ordenes_Odoo'!G1914="","",'Ordenes_Odoo'!G1914)</f>
        <v/>
      </c>
      <c r="H1914" s="79">
        <f>IF('Ordenes_Odoo'!H1914="","",'Ordenes_Odoo'!H1914)</f>
        <v/>
      </c>
      <c r="I1914" s="79">
        <f>IF('Ordenes_Odoo'!I1914="","",'Ordenes_Odoo'!I1914)</f>
        <v/>
      </c>
      <c r="J1914" s="79">
        <f>IF('Ordenes_Odoo'!J1914="","",'Ordenes_Odoo'!J1914)</f>
        <v/>
      </c>
      <c r="K1914" s="81">
        <f>IF('Ordenes_Odoo'!K1914="","",'Ordenes_Odoo'!K1914)</f>
        <v/>
      </c>
      <c r="L1914" s="81">
        <f>IF('Ordenes_Odoo'!L1914="","",'Ordenes_Odoo'!L1914)</f>
        <v/>
      </c>
      <c r="M1914" s="79">
        <f>IF('Ordenes_Odoo'!M1914="","",'Ordenes_Odoo'!M1914)</f>
        <v/>
      </c>
      <c r="N1914" s="79">
        <f>IF('Ordenes_Odoo'!N1914="","",'Ordenes_Odoo'!N1914)</f>
        <v/>
      </c>
      <c r="O1914" s="81">
        <f>IF('Ordenes_Odoo'!O1914="","",'Ordenes_Odoo'!O1914)</f>
        <v/>
      </c>
      <c r="P1914" s="81">
        <f>IF('Ordenes_Odoo'!P1914="","",'Ordenes_Odoo'!P1914)</f>
        <v/>
      </c>
      <c r="Q1914" s="79">
        <f>IF(A1914="","",IFERROR(INDEX(Facturas_Odoo!$B:$B, MATCH(A1914, Facturas_Odoo!$D:$D, 0)), "Sin Factura"))</f>
        <v/>
      </c>
      <c r="R1914" s="80">
        <f>IF(Q1914="Sin Factura","",IFERROR(INDEX(Facturas_Odoo!$A:$A, MATCH(Q1914, Facturas_Odoo!$B:$B, 0)), ""))</f>
        <v/>
      </c>
      <c r="S1914" s="79">
        <f>IF(Q1914="Sin Factura","",IFERROR(_xlfn.XLOOKUP(1, (Facturas_Odoo!$D:$D=A1914) * (Facturas_Odoo!$K:$K=I1914), Facturas_Odoo!$L:$L, ""), ""))</f>
        <v/>
      </c>
      <c r="T1914" s="81">
        <f>IF(Q1914="Sin Factura",0,IFERROR(_xlfn.XLOOKUP(1, (Facturas_Odoo!$D:$D=A1914) * (Facturas_Odoo!$K:$K=I1914), Facturas_Odoo!$M:$M, 0), 0))</f>
        <v/>
      </c>
      <c r="U1914" s="79">
        <f>IF(Q1914="Sin Factura",0,IFERROR(_xlfn.XLOOKUP(1, (Facturas_Odoo!$D:$D=A1914) * (Facturas_Odoo!$K:$K=I1914), Facturas_Odoo!$N:$N, 0), 0))</f>
        <v/>
      </c>
      <c r="V1914" s="79">
        <f>IF(Q1914="Sin Factura",0,IFERROR(_xlfn.XLOOKUP(1, (Facturas_Odoo!$D:$D=A1914) * (Facturas_Odoo!$K:$K=I1914), Facturas_Odoo!$O:$O, 0), 0))</f>
        <v/>
      </c>
      <c r="W1914" s="81">
        <f>IF(Q1914="Sin Factura",0,IFERROR(_xlfn.XLOOKUP(1, (Facturas_Odoo!$D:$D=A1914) * (Facturas_Odoo!$K:$K=I1914), Facturas_Odoo!$Q:$Q, 0), 0))</f>
        <v/>
      </c>
      <c r="X1914" s="79">
        <f>IF(OR(Q1914="Sin Factura",Q1914=""),"",IFERROR(INDEX(Pagos_Odoo!$B:$B, MATCH(Q1914, Pagos_Odoo!$I:$I, 0)), "Sin Pago"))</f>
        <v/>
      </c>
      <c r="Y1914" s="79">
        <f>IF(X1914="Sin Pago","",IFERROR(INDEX(Pagos_Odoo!$C:$C, MATCH(X1914, Pagos_Odoo!$B:$B, 0)), ""))</f>
        <v/>
      </c>
      <c r="Z1914" s="80">
        <f>IF(X1914="Sin Pago","",IFERROR(INDEX(Pagos_Odoo!$A:$A, MATCH(X1914, Pagos_Odoo!$B:$B, 0)), ""))</f>
        <v/>
      </c>
      <c r="AA1914" s="79">
        <f>IF(X1914="Sin Pago","",IFERROR(INDEX(Pagos_Odoo!$F:$F, MATCH(X1914, Pagos_Odoo!$B:$B, 0)), ""))</f>
        <v/>
      </c>
      <c r="AB1914" s="81">
        <f>IF(X1914="Sin Pago",0,IFERROR(INDEX(Pagos_Odoo!$E:$E, MATCH(X1914, Pagos_Odoo!$B:$B, 0)), 0))</f>
        <v/>
      </c>
      <c r="AC1914" s="79">
        <f>IF(X1914="Sin Pago","",IFERROR(INDEX(Pagos_Odoo!$G:$G, MATCH(X1914, Pagos_Odoo!$B:$B, 0)), ""))</f>
        <v/>
      </c>
      <c r="AD1914" s="82" t="n">
        <v>0</v>
      </c>
      <c r="AE1914" s="82" t="n"/>
      <c r="AF1914" s="82" t="n"/>
      <c r="AG1914" s="82">
        <f>IF(AN1914="","",AD1914+AE1914+AF1914)</f>
        <v/>
      </c>
      <c r="AH1914" s="81">
        <f>IF(AN1914="","",P1914*(1-AG1914))</f>
        <v/>
      </c>
      <c r="AI1914" s="81">
        <f>IF(AN1914="","",IF(Q1914="Sin Factura",0,IFERROR(INDEX(Facturas_Odoo!$H:$H, MATCH(Q1914, Facturas_Odoo!$B:$B, 0)), 0)*(1-AG1914)))</f>
        <v/>
      </c>
      <c r="AJ1914" s="81">
        <f>IF(AN1914="","",_xlfn.LET(idVenta, AN1914&amp;"",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14" s="81">
        <f>IF(AN1914="","",AH1914-AJ1914)</f>
        <v/>
      </c>
      <c r="AL1914" s="81">
        <f>IF(AN1914="","",IF(Q1914="Sin Factura","",AI1914-AJ1914))</f>
        <v/>
      </c>
      <c r="AM1914" s="81">
        <f>IF(AN1914="","",IF(Q1914="Sin Factura",0,P1914-IFERROR(INDEX(Facturas_Odoo!$H:$H, MATCH(Q1914, Facturas_Odoo!$B:$B, 0)), 0)))</f>
        <v/>
      </c>
      <c r="AN1914" s="79">
        <f>IF(AND(A1914="", J1914=""), "", IF(A1914&lt;&gt;"", VALUE(MID(A1914,2,LEN(A1914))), AN1913))</f>
        <v/>
      </c>
      <c r="AO1914" s="79">
        <f>IF(AN1914="","",IF(AD1914=0,"OK",_xlfn.LET(monedaPago, IF(AA1914="","USD",AA1914), limitePermitido, IFERROR(VLOOKUP(monedaPago, Configuración!$A$2:$B$3, 2, FALSE), 0.15), IF(AD1914&gt;limitePermitido, "ALERTA: EXCESO (" &amp; TEXT(limitePermitido, "0%") &amp; " máx)", "OK"))))</f>
        <v/>
      </c>
      <c r="AP1914" s="79">
        <f>IF(AN1914="","",IF(AE1914=0,"OK",_xlfn.LET(fechaPago, Z1914, fechaFactura, R1914, diasCredito, IF(E1914="Pago inmediato", 0, IFERROR(VALUE(MID(E1914, 1, SEARCH(" ", E1914)-1)),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14" s="79">
        <f>IF(AN1914="","",IF(AND(N1914&gt;0, AG1914&gt;0), IF(Configuración!$K$2="NO", "ALERTA: DESCUENTO DOBLE NO PERMITIDO", "OK"), "OK"))</f>
        <v/>
      </c>
      <c r="AR1914" s="79">
        <f>IF(AN1914="","",IF(OR(AO1914&lt;&gt;"OK", AP1914&lt;&gt;"OK", AQ1914&lt;&gt;"OK"), "⚠️ REVISAR", "OK"))</f>
        <v/>
      </c>
    </row>
    <row r="1915">
      <c r="A1915" s="79">
        <f>IF('Ordenes_Odoo'!A1915="","",'Ordenes_Odoo'!A1915)</f>
        <v/>
      </c>
      <c r="B1915" s="80">
        <f>IF('Ordenes_Odoo'!B1915="","",'Ordenes_Odoo'!B1915)</f>
        <v/>
      </c>
      <c r="C1915" s="79">
        <f>IF('Ordenes_Odoo'!C1915="","",'Ordenes_Odoo'!C1915)</f>
        <v/>
      </c>
      <c r="D1915" s="79">
        <f>IF('Ordenes_Odoo'!D1915="","",'Ordenes_Odoo'!D1915)</f>
        <v/>
      </c>
      <c r="E1915" s="79">
        <f>IF('Ordenes_Odoo'!E1915="","",'Ordenes_Odoo'!E1915)</f>
        <v/>
      </c>
      <c r="F1915" s="79">
        <f>IF('Ordenes_Odoo'!F1915="","",'Ordenes_Odoo'!F1915)</f>
        <v/>
      </c>
      <c r="G1915" s="79">
        <f>IF('Ordenes_Odoo'!G1915="","",'Ordenes_Odoo'!G1915)</f>
        <v/>
      </c>
      <c r="H1915" s="79">
        <f>IF('Ordenes_Odoo'!H1915="","",'Ordenes_Odoo'!H1915)</f>
        <v/>
      </c>
      <c r="I1915" s="79">
        <f>IF('Ordenes_Odoo'!I1915="","",'Ordenes_Odoo'!I1915)</f>
        <v/>
      </c>
      <c r="J1915" s="79">
        <f>IF('Ordenes_Odoo'!J1915="","",'Ordenes_Odoo'!J1915)</f>
        <v/>
      </c>
      <c r="K1915" s="81">
        <f>IF('Ordenes_Odoo'!K1915="","",'Ordenes_Odoo'!K1915)</f>
        <v/>
      </c>
      <c r="L1915" s="81">
        <f>IF('Ordenes_Odoo'!L1915="","",'Ordenes_Odoo'!L1915)</f>
        <v/>
      </c>
      <c r="M1915" s="79">
        <f>IF('Ordenes_Odoo'!M1915="","",'Ordenes_Odoo'!M1915)</f>
        <v/>
      </c>
      <c r="N1915" s="79">
        <f>IF('Ordenes_Odoo'!N1915="","",'Ordenes_Odoo'!N1915)</f>
        <v/>
      </c>
      <c r="O1915" s="81">
        <f>IF('Ordenes_Odoo'!O1915="","",'Ordenes_Odoo'!O1915)</f>
        <v/>
      </c>
      <c r="P1915" s="81">
        <f>IF('Ordenes_Odoo'!P1915="","",'Ordenes_Odoo'!P1915)</f>
        <v/>
      </c>
      <c r="Q1915" s="79">
        <f>IF(A1915="","",IFERROR(INDEX(Facturas_Odoo!$B:$B, MATCH(A1915, Facturas_Odoo!$D:$D, 0)), "Sin Factura"))</f>
        <v/>
      </c>
      <c r="R1915" s="80">
        <f>IF(Q1915="Sin Factura","",IFERROR(INDEX(Facturas_Odoo!$A:$A, MATCH(Q1915, Facturas_Odoo!$B:$B, 0)), ""))</f>
        <v/>
      </c>
      <c r="S1915" s="79">
        <f>IF(Q1915="Sin Factura","",IFERROR(_xlfn.XLOOKUP(1, (Facturas_Odoo!$D:$D=A1915) * (Facturas_Odoo!$K:$K=I1915), Facturas_Odoo!$L:$L, ""), ""))</f>
        <v/>
      </c>
      <c r="T1915" s="81">
        <f>IF(Q1915="Sin Factura",0,IFERROR(_xlfn.XLOOKUP(1, (Facturas_Odoo!$D:$D=A1915) * (Facturas_Odoo!$K:$K=I1915), Facturas_Odoo!$M:$M, 0), 0))</f>
        <v/>
      </c>
      <c r="U1915" s="79">
        <f>IF(Q1915="Sin Factura",0,IFERROR(_xlfn.XLOOKUP(1, (Facturas_Odoo!$D:$D=A1915) * (Facturas_Odoo!$K:$K=I1915), Facturas_Odoo!$N:$N, 0), 0))</f>
        <v/>
      </c>
      <c r="V1915" s="79">
        <f>IF(Q1915="Sin Factura",0,IFERROR(_xlfn.XLOOKUP(1, (Facturas_Odoo!$D:$D=A1915) * (Facturas_Odoo!$K:$K=I1915), Facturas_Odoo!$O:$O, 0), 0))</f>
        <v/>
      </c>
      <c r="W1915" s="81">
        <f>IF(Q1915="Sin Factura",0,IFERROR(_xlfn.XLOOKUP(1, (Facturas_Odoo!$D:$D=A1915) * (Facturas_Odoo!$K:$K=I1915), Facturas_Odoo!$Q:$Q, 0), 0))</f>
        <v/>
      </c>
      <c r="X1915" s="79">
        <f>IF(OR(Q1915="Sin Factura",Q1915=""),"",IFERROR(INDEX(Pagos_Odoo!$B:$B, MATCH(Q1915, Pagos_Odoo!$I:$I, 0)), "Sin Pago"))</f>
        <v/>
      </c>
      <c r="Y1915" s="79">
        <f>IF(X1915="Sin Pago","",IFERROR(INDEX(Pagos_Odoo!$C:$C, MATCH(X1915, Pagos_Odoo!$B:$B, 0)), ""))</f>
        <v/>
      </c>
      <c r="Z1915" s="80">
        <f>IF(X1915="Sin Pago","",IFERROR(INDEX(Pagos_Odoo!$A:$A, MATCH(X1915, Pagos_Odoo!$B:$B, 0)), ""))</f>
        <v/>
      </c>
      <c r="AA1915" s="79">
        <f>IF(X1915="Sin Pago","",IFERROR(INDEX(Pagos_Odoo!$F:$F, MATCH(X1915, Pagos_Odoo!$B:$B, 0)), ""))</f>
        <v/>
      </c>
      <c r="AB1915" s="81">
        <f>IF(X1915="Sin Pago",0,IFERROR(INDEX(Pagos_Odoo!$E:$E, MATCH(X1915, Pagos_Odoo!$B:$B, 0)), 0))</f>
        <v/>
      </c>
      <c r="AC1915" s="79">
        <f>IF(X1915="Sin Pago","",IFERROR(INDEX(Pagos_Odoo!$G:$G, MATCH(X1915, Pagos_Odoo!$B:$B, 0)), ""))</f>
        <v/>
      </c>
      <c r="AD1915" s="82" t="n">
        <v>0</v>
      </c>
      <c r="AE1915" s="82" t="n"/>
      <c r="AF1915" s="82" t="n"/>
      <c r="AG1915" s="82">
        <f>IF(AN1915="","",AD1915+AE1915+AF1915)</f>
        <v/>
      </c>
      <c r="AH1915" s="81">
        <f>IF(AN1915="","",P1915*(1-AG1915))</f>
        <v/>
      </c>
      <c r="AI1915" s="81">
        <f>IF(AN1915="","",IF(Q1915="Sin Factura",0,IFERROR(INDEX(Facturas_Odoo!$H:$H, MATCH(Q1915, Facturas_Odoo!$B:$B, 0)), 0)*(1-AG1915)))</f>
        <v/>
      </c>
      <c r="AJ1915" s="81">
        <f>IF(AN1915="","",_xlfn.LET(idVenta, AN1915&amp;"",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15" s="81">
        <f>IF(AN1915="","",AH1915-AJ1915)</f>
        <v/>
      </c>
      <c r="AL1915" s="81">
        <f>IF(AN1915="","",IF(Q1915="Sin Factura","",AI1915-AJ1915))</f>
        <v/>
      </c>
      <c r="AM1915" s="81">
        <f>IF(AN1915="","",IF(Q1915="Sin Factura",0,P1915-IFERROR(INDEX(Facturas_Odoo!$H:$H, MATCH(Q1915, Facturas_Odoo!$B:$B, 0)), 0)))</f>
        <v/>
      </c>
      <c r="AN1915" s="79">
        <f>IF(AND(A1915="", J1915=""), "", IF(A1915&lt;&gt;"", VALUE(MID(A1915,2,LEN(A1915))), AN1914))</f>
        <v/>
      </c>
      <c r="AO1915" s="79">
        <f>IF(AN1915="","",IF(AD1915=0,"OK",_xlfn.LET(monedaPago, IF(AA1915="","USD",AA1915), limitePermitido, IFERROR(VLOOKUP(monedaPago, Configuración!$A$2:$B$3, 2, FALSE), 0.15), IF(AD1915&gt;limitePermitido, "ALERTA: EXCESO (" &amp; TEXT(limitePermitido, "0%") &amp; " máx)", "OK"))))</f>
        <v/>
      </c>
      <c r="AP1915" s="79">
        <f>IF(AN1915="","",IF(AE1915=0,"OK",_xlfn.LET(fechaPago, Z1915, fechaFactura, R1915, diasCredito, IF(E1915="Pago inmediato", 0, IFERROR(VALUE(MID(E1915, 1, SEARCH(" ", E1915)-1)),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15" s="79">
        <f>IF(AN1915="","",IF(AND(N1915&gt;0, AG1915&gt;0), IF(Configuración!$K$2="NO", "ALERTA: DESCUENTO DOBLE NO PERMITIDO", "OK"), "OK"))</f>
        <v/>
      </c>
      <c r="AR1915" s="79">
        <f>IF(AN1915="","",IF(OR(AO1915&lt;&gt;"OK", AP1915&lt;&gt;"OK", AQ1915&lt;&gt;"OK"), "⚠️ REVISAR", "OK"))</f>
        <v/>
      </c>
    </row>
    <row r="1916">
      <c r="A1916" s="79">
        <f>IF('Ordenes_Odoo'!A1916="","",'Ordenes_Odoo'!A1916)</f>
        <v/>
      </c>
      <c r="B1916" s="80">
        <f>IF('Ordenes_Odoo'!B1916="","",'Ordenes_Odoo'!B1916)</f>
        <v/>
      </c>
      <c r="C1916" s="79">
        <f>IF('Ordenes_Odoo'!C1916="","",'Ordenes_Odoo'!C1916)</f>
        <v/>
      </c>
      <c r="D1916" s="79">
        <f>IF('Ordenes_Odoo'!D1916="","",'Ordenes_Odoo'!D1916)</f>
        <v/>
      </c>
      <c r="E1916" s="79">
        <f>IF('Ordenes_Odoo'!E1916="","",'Ordenes_Odoo'!E1916)</f>
        <v/>
      </c>
      <c r="F1916" s="79">
        <f>IF('Ordenes_Odoo'!F1916="","",'Ordenes_Odoo'!F1916)</f>
        <v/>
      </c>
      <c r="G1916" s="79">
        <f>IF('Ordenes_Odoo'!G1916="","",'Ordenes_Odoo'!G1916)</f>
        <v/>
      </c>
      <c r="H1916" s="79">
        <f>IF('Ordenes_Odoo'!H1916="","",'Ordenes_Odoo'!H1916)</f>
        <v/>
      </c>
      <c r="I1916" s="79">
        <f>IF('Ordenes_Odoo'!I1916="","",'Ordenes_Odoo'!I1916)</f>
        <v/>
      </c>
      <c r="J1916" s="79">
        <f>IF('Ordenes_Odoo'!J1916="","",'Ordenes_Odoo'!J1916)</f>
        <v/>
      </c>
      <c r="K1916" s="81">
        <f>IF('Ordenes_Odoo'!K1916="","",'Ordenes_Odoo'!K1916)</f>
        <v/>
      </c>
      <c r="L1916" s="81">
        <f>IF('Ordenes_Odoo'!L1916="","",'Ordenes_Odoo'!L1916)</f>
        <v/>
      </c>
      <c r="M1916" s="79">
        <f>IF('Ordenes_Odoo'!M1916="","",'Ordenes_Odoo'!M1916)</f>
        <v/>
      </c>
      <c r="N1916" s="79">
        <f>IF('Ordenes_Odoo'!N1916="","",'Ordenes_Odoo'!N1916)</f>
        <v/>
      </c>
      <c r="O1916" s="81">
        <f>IF('Ordenes_Odoo'!O1916="","",'Ordenes_Odoo'!O1916)</f>
        <v/>
      </c>
      <c r="P1916" s="81">
        <f>IF('Ordenes_Odoo'!P1916="","",'Ordenes_Odoo'!P1916)</f>
        <v/>
      </c>
      <c r="Q1916" s="79">
        <f>IF(A1916="","",IFERROR(INDEX(Facturas_Odoo!$B:$B, MATCH(A1916, Facturas_Odoo!$D:$D, 0)), "Sin Factura"))</f>
        <v/>
      </c>
      <c r="R1916" s="80">
        <f>IF(Q1916="Sin Factura","",IFERROR(INDEX(Facturas_Odoo!$A:$A, MATCH(Q1916, Facturas_Odoo!$B:$B, 0)), ""))</f>
        <v/>
      </c>
      <c r="S1916" s="79">
        <f>IF(Q1916="Sin Factura","",IFERROR(_xlfn.XLOOKUP(1, (Facturas_Odoo!$D:$D=A1916) * (Facturas_Odoo!$K:$K=I1916), Facturas_Odoo!$L:$L, ""), ""))</f>
        <v/>
      </c>
      <c r="T1916" s="81">
        <f>IF(Q1916="Sin Factura",0,IFERROR(_xlfn.XLOOKUP(1, (Facturas_Odoo!$D:$D=A1916) * (Facturas_Odoo!$K:$K=I1916), Facturas_Odoo!$M:$M, 0), 0))</f>
        <v/>
      </c>
      <c r="U1916" s="79">
        <f>IF(Q1916="Sin Factura",0,IFERROR(_xlfn.XLOOKUP(1, (Facturas_Odoo!$D:$D=A1916) * (Facturas_Odoo!$K:$K=I1916), Facturas_Odoo!$N:$N, 0), 0))</f>
        <v/>
      </c>
      <c r="V1916" s="79">
        <f>IF(Q1916="Sin Factura",0,IFERROR(_xlfn.XLOOKUP(1, (Facturas_Odoo!$D:$D=A1916) * (Facturas_Odoo!$K:$K=I1916), Facturas_Odoo!$O:$O, 0), 0))</f>
        <v/>
      </c>
      <c r="W1916" s="81">
        <f>IF(Q1916="Sin Factura",0,IFERROR(_xlfn.XLOOKUP(1, (Facturas_Odoo!$D:$D=A1916) * (Facturas_Odoo!$K:$K=I1916), Facturas_Odoo!$Q:$Q, 0), 0))</f>
        <v/>
      </c>
      <c r="X1916" s="79">
        <f>IF(OR(Q1916="Sin Factura",Q1916=""),"",IFERROR(INDEX(Pagos_Odoo!$B:$B, MATCH(Q1916, Pagos_Odoo!$I:$I, 0)), "Sin Pago"))</f>
        <v/>
      </c>
      <c r="Y1916" s="79">
        <f>IF(X1916="Sin Pago","",IFERROR(INDEX(Pagos_Odoo!$C:$C, MATCH(X1916, Pagos_Odoo!$B:$B, 0)), ""))</f>
        <v/>
      </c>
      <c r="Z1916" s="80">
        <f>IF(X1916="Sin Pago","",IFERROR(INDEX(Pagos_Odoo!$A:$A, MATCH(X1916, Pagos_Odoo!$B:$B, 0)), ""))</f>
        <v/>
      </c>
      <c r="AA1916" s="79">
        <f>IF(X1916="Sin Pago","",IFERROR(INDEX(Pagos_Odoo!$F:$F, MATCH(X1916, Pagos_Odoo!$B:$B, 0)), ""))</f>
        <v/>
      </c>
      <c r="AB1916" s="81">
        <f>IF(X1916="Sin Pago",0,IFERROR(INDEX(Pagos_Odoo!$E:$E, MATCH(X1916, Pagos_Odoo!$B:$B, 0)), 0))</f>
        <v/>
      </c>
      <c r="AC1916" s="79">
        <f>IF(X1916="Sin Pago","",IFERROR(INDEX(Pagos_Odoo!$G:$G, MATCH(X1916, Pagos_Odoo!$B:$B, 0)), ""))</f>
        <v/>
      </c>
      <c r="AD1916" s="82" t="n">
        <v>0</v>
      </c>
      <c r="AE1916" s="82" t="n"/>
      <c r="AF1916" s="82" t="n"/>
      <c r="AG1916" s="82">
        <f>IF(AN1916="","",AD1916+AE1916+AF1916)</f>
        <v/>
      </c>
      <c r="AH1916" s="81">
        <f>IF(AN1916="","",P1916*(1-AG1916))</f>
        <v/>
      </c>
      <c r="AI1916" s="81">
        <f>IF(AN1916="","",IF(Q1916="Sin Factura",0,IFERROR(INDEX(Facturas_Odoo!$H:$H, MATCH(Q1916, Facturas_Odoo!$B:$B, 0)), 0)*(1-AG1916)))</f>
        <v/>
      </c>
      <c r="AJ1916" s="81">
        <f>IF(AN1916="","",_xlfn.LET(idVenta, AN1916&amp;"",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16" s="81">
        <f>IF(AN1916="","",AH1916-AJ1916)</f>
        <v/>
      </c>
      <c r="AL1916" s="81">
        <f>IF(AN1916="","",IF(Q1916="Sin Factura","",AI1916-AJ1916))</f>
        <v/>
      </c>
      <c r="AM1916" s="81">
        <f>IF(AN1916="","",IF(Q1916="Sin Factura",0,P1916-IFERROR(INDEX(Facturas_Odoo!$H:$H, MATCH(Q1916, Facturas_Odoo!$B:$B, 0)), 0)))</f>
        <v/>
      </c>
      <c r="AN1916" s="79">
        <f>IF(AND(A1916="", J1916=""), "", IF(A1916&lt;&gt;"", VALUE(MID(A1916,2,LEN(A1916))), AN1915))</f>
        <v/>
      </c>
      <c r="AO1916" s="79">
        <f>IF(AN1916="","",IF(AD1916=0,"OK",_xlfn.LET(monedaPago, IF(AA1916="","USD",AA1916), limitePermitido, IFERROR(VLOOKUP(monedaPago, Configuración!$A$2:$B$3, 2, FALSE), 0.15), IF(AD1916&gt;limitePermitido, "ALERTA: EXCESO (" &amp; TEXT(limitePermitido, "0%") &amp; " máx)", "OK"))))</f>
        <v/>
      </c>
      <c r="AP1916" s="79">
        <f>IF(AN1916="","",IF(AE1916=0,"OK",_xlfn.LET(fechaPago, Z1916, fechaFactura, R1916, diasCredito, IF(E1916="Pago inmediato", 0, IFERROR(VALUE(MID(E1916, 1, SEARCH(" ", E1916)-1)),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16" s="79">
        <f>IF(AN1916="","",IF(AND(N1916&gt;0, AG1916&gt;0), IF(Configuración!$K$2="NO", "ALERTA: DESCUENTO DOBLE NO PERMITIDO", "OK"), "OK"))</f>
        <v/>
      </c>
      <c r="AR1916" s="79">
        <f>IF(AN1916="","",IF(OR(AO1916&lt;&gt;"OK", AP1916&lt;&gt;"OK", AQ1916&lt;&gt;"OK"), "⚠️ REVISAR", "OK"))</f>
        <v/>
      </c>
    </row>
    <row r="1917">
      <c r="A1917" s="79">
        <f>IF('Ordenes_Odoo'!A1917="","",'Ordenes_Odoo'!A1917)</f>
        <v/>
      </c>
      <c r="B1917" s="80">
        <f>IF('Ordenes_Odoo'!B1917="","",'Ordenes_Odoo'!B1917)</f>
        <v/>
      </c>
      <c r="C1917" s="79">
        <f>IF('Ordenes_Odoo'!C1917="","",'Ordenes_Odoo'!C1917)</f>
        <v/>
      </c>
      <c r="D1917" s="79">
        <f>IF('Ordenes_Odoo'!D1917="","",'Ordenes_Odoo'!D1917)</f>
        <v/>
      </c>
      <c r="E1917" s="79">
        <f>IF('Ordenes_Odoo'!E1917="","",'Ordenes_Odoo'!E1917)</f>
        <v/>
      </c>
      <c r="F1917" s="79">
        <f>IF('Ordenes_Odoo'!F1917="","",'Ordenes_Odoo'!F1917)</f>
        <v/>
      </c>
      <c r="G1917" s="79">
        <f>IF('Ordenes_Odoo'!G1917="","",'Ordenes_Odoo'!G1917)</f>
        <v/>
      </c>
      <c r="H1917" s="79">
        <f>IF('Ordenes_Odoo'!H1917="","",'Ordenes_Odoo'!H1917)</f>
        <v/>
      </c>
      <c r="I1917" s="79">
        <f>IF('Ordenes_Odoo'!I1917="","",'Ordenes_Odoo'!I1917)</f>
        <v/>
      </c>
      <c r="J1917" s="79">
        <f>IF('Ordenes_Odoo'!J1917="","",'Ordenes_Odoo'!J1917)</f>
        <v/>
      </c>
      <c r="K1917" s="81">
        <f>IF('Ordenes_Odoo'!K1917="","",'Ordenes_Odoo'!K1917)</f>
        <v/>
      </c>
      <c r="L1917" s="81">
        <f>IF('Ordenes_Odoo'!L1917="","",'Ordenes_Odoo'!L1917)</f>
        <v/>
      </c>
      <c r="M1917" s="79">
        <f>IF('Ordenes_Odoo'!M1917="","",'Ordenes_Odoo'!M1917)</f>
        <v/>
      </c>
      <c r="N1917" s="79">
        <f>IF('Ordenes_Odoo'!N1917="","",'Ordenes_Odoo'!N1917)</f>
        <v/>
      </c>
      <c r="O1917" s="81">
        <f>IF('Ordenes_Odoo'!O1917="","",'Ordenes_Odoo'!O1917)</f>
        <v/>
      </c>
      <c r="P1917" s="81">
        <f>IF('Ordenes_Odoo'!P1917="","",'Ordenes_Odoo'!P1917)</f>
        <v/>
      </c>
      <c r="Q1917" s="79">
        <f>IF(A1917="","",IFERROR(INDEX(Facturas_Odoo!$B:$B, MATCH(A1917, Facturas_Odoo!$D:$D, 0)), "Sin Factura"))</f>
        <v/>
      </c>
      <c r="R1917" s="80">
        <f>IF(Q1917="Sin Factura","",IFERROR(INDEX(Facturas_Odoo!$A:$A, MATCH(Q1917, Facturas_Odoo!$B:$B, 0)), ""))</f>
        <v/>
      </c>
      <c r="S1917" s="79">
        <f>IF(Q1917="Sin Factura","",IFERROR(_xlfn.XLOOKUP(1, (Facturas_Odoo!$D:$D=A1917) * (Facturas_Odoo!$K:$K=I1917), Facturas_Odoo!$L:$L, ""), ""))</f>
        <v/>
      </c>
      <c r="T1917" s="81">
        <f>IF(Q1917="Sin Factura",0,IFERROR(_xlfn.XLOOKUP(1, (Facturas_Odoo!$D:$D=A1917) * (Facturas_Odoo!$K:$K=I1917), Facturas_Odoo!$M:$M, 0), 0))</f>
        <v/>
      </c>
      <c r="U1917" s="79">
        <f>IF(Q1917="Sin Factura",0,IFERROR(_xlfn.XLOOKUP(1, (Facturas_Odoo!$D:$D=A1917) * (Facturas_Odoo!$K:$K=I1917), Facturas_Odoo!$N:$N, 0), 0))</f>
        <v/>
      </c>
      <c r="V1917" s="79">
        <f>IF(Q1917="Sin Factura",0,IFERROR(_xlfn.XLOOKUP(1, (Facturas_Odoo!$D:$D=A1917) * (Facturas_Odoo!$K:$K=I1917), Facturas_Odoo!$O:$O, 0), 0))</f>
        <v/>
      </c>
      <c r="W1917" s="81">
        <f>IF(Q1917="Sin Factura",0,IFERROR(_xlfn.XLOOKUP(1, (Facturas_Odoo!$D:$D=A1917) * (Facturas_Odoo!$K:$K=I1917), Facturas_Odoo!$Q:$Q, 0), 0))</f>
        <v/>
      </c>
      <c r="X1917" s="79">
        <f>IF(OR(Q1917="Sin Factura",Q1917=""),"",IFERROR(INDEX(Pagos_Odoo!$B:$B, MATCH(Q1917, Pagos_Odoo!$I:$I, 0)), "Sin Pago"))</f>
        <v/>
      </c>
      <c r="Y1917" s="79">
        <f>IF(X1917="Sin Pago","",IFERROR(INDEX(Pagos_Odoo!$C:$C, MATCH(X1917, Pagos_Odoo!$B:$B, 0)), ""))</f>
        <v/>
      </c>
      <c r="Z1917" s="80">
        <f>IF(X1917="Sin Pago","",IFERROR(INDEX(Pagos_Odoo!$A:$A, MATCH(X1917, Pagos_Odoo!$B:$B, 0)), ""))</f>
        <v/>
      </c>
      <c r="AA1917" s="79">
        <f>IF(X1917="Sin Pago","",IFERROR(INDEX(Pagos_Odoo!$F:$F, MATCH(X1917, Pagos_Odoo!$B:$B, 0)), ""))</f>
        <v/>
      </c>
      <c r="AB1917" s="81">
        <f>IF(X1917="Sin Pago",0,IFERROR(INDEX(Pagos_Odoo!$E:$E, MATCH(X1917, Pagos_Odoo!$B:$B, 0)), 0))</f>
        <v/>
      </c>
      <c r="AC1917" s="79">
        <f>IF(X1917="Sin Pago","",IFERROR(INDEX(Pagos_Odoo!$G:$G, MATCH(X1917, Pagos_Odoo!$B:$B, 0)), ""))</f>
        <v/>
      </c>
      <c r="AD1917" s="82" t="n">
        <v>0</v>
      </c>
      <c r="AE1917" s="82" t="n"/>
      <c r="AF1917" s="82" t="n"/>
      <c r="AG1917" s="82">
        <f>IF(AN1917="","",AD1917+AE1917+AF1917)</f>
        <v/>
      </c>
      <c r="AH1917" s="81">
        <f>IF(AN1917="","",P1917*(1-AG1917))</f>
        <v/>
      </c>
      <c r="AI1917" s="81">
        <f>IF(AN1917="","",IF(Q1917="Sin Factura",0,IFERROR(INDEX(Facturas_Odoo!$H:$H, MATCH(Q1917, Facturas_Odoo!$B:$B, 0)), 0)*(1-AG1917)))</f>
        <v/>
      </c>
      <c r="AJ1917" s="81">
        <f>IF(AN1917="","",_xlfn.LET(idVenta, AN1917&amp;"",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17" s="81">
        <f>IF(AN1917="","",AH1917-AJ1917)</f>
        <v/>
      </c>
      <c r="AL1917" s="81">
        <f>IF(AN1917="","",IF(Q1917="Sin Factura","",AI1917-AJ1917))</f>
        <v/>
      </c>
      <c r="AM1917" s="81">
        <f>IF(AN1917="","",IF(Q1917="Sin Factura",0,P1917-IFERROR(INDEX(Facturas_Odoo!$H:$H, MATCH(Q1917, Facturas_Odoo!$B:$B, 0)), 0)))</f>
        <v/>
      </c>
      <c r="AN1917" s="79">
        <f>IF(AND(A1917="", J1917=""), "", IF(A1917&lt;&gt;"", VALUE(MID(A1917,2,LEN(A1917))), AN1916))</f>
        <v/>
      </c>
      <c r="AO1917" s="79">
        <f>IF(AN1917="","",IF(AD1917=0,"OK",_xlfn.LET(monedaPago, IF(AA1917="","USD",AA1917), limitePermitido, IFERROR(VLOOKUP(monedaPago, Configuración!$A$2:$B$3, 2, FALSE), 0.15), IF(AD1917&gt;limitePermitido, "ALERTA: EXCESO (" &amp; TEXT(limitePermitido, "0%") &amp; " máx)", "OK"))))</f>
        <v/>
      </c>
      <c r="AP1917" s="79">
        <f>IF(AN1917="","",IF(AE1917=0,"OK",_xlfn.LET(fechaPago, Z1917, fechaFactura, R1917, diasCredito, IF(E1917="Pago inmediato", 0, IFERROR(VALUE(MID(E1917, 1, SEARCH(" ", E1917)-1)),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17" s="79">
        <f>IF(AN1917="","",IF(AND(N1917&gt;0, AG1917&gt;0), IF(Configuración!$K$2="NO", "ALERTA: DESCUENTO DOBLE NO PERMITIDO", "OK"), "OK"))</f>
        <v/>
      </c>
      <c r="AR1917" s="79">
        <f>IF(AN1917="","",IF(OR(AO1917&lt;&gt;"OK", AP1917&lt;&gt;"OK", AQ1917&lt;&gt;"OK"), "⚠️ REVISAR", "OK"))</f>
        <v/>
      </c>
    </row>
    <row r="1918">
      <c r="A1918" s="79">
        <f>IF('Ordenes_Odoo'!A1918="","",'Ordenes_Odoo'!A1918)</f>
        <v/>
      </c>
      <c r="B1918" s="80">
        <f>IF('Ordenes_Odoo'!B1918="","",'Ordenes_Odoo'!B1918)</f>
        <v/>
      </c>
      <c r="C1918" s="79">
        <f>IF('Ordenes_Odoo'!C1918="","",'Ordenes_Odoo'!C1918)</f>
        <v/>
      </c>
      <c r="D1918" s="79">
        <f>IF('Ordenes_Odoo'!D1918="","",'Ordenes_Odoo'!D1918)</f>
        <v/>
      </c>
      <c r="E1918" s="79">
        <f>IF('Ordenes_Odoo'!E1918="","",'Ordenes_Odoo'!E1918)</f>
        <v/>
      </c>
      <c r="F1918" s="79">
        <f>IF('Ordenes_Odoo'!F1918="","",'Ordenes_Odoo'!F1918)</f>
        <v/>
      </c>
      <c r="G1918" s="79">
        <f>IF('Ordenes_Odoo'!G1918="","",'Ordenes_Odoo'!G1918)</f>
        <v/>
      </c>
      <c r="H1918" s="79">
        <f>IF('Ordenes_Odoo'!H1918="","",'Ordenes_Odoo'!H1918)</f>
        <v/>
      </c>
      <c r="I1918" s="79">
        <f>IF('Ordenes_Odoo'!I1918="","",'Ordenes_Odoo'!I1918)</f>
        <v/>
      </c>
      <c r="J1918" s="79">
        <f>IF('Ordenes_Odoo'!J1918="","",'Ordenes_Odoo'!J1918)</f>
        <v/>
      </c>
      <c r="K1918" s="81">
        <f>IF('Ordenes_Odoo'!K1918="","",'Ordenes_Odoo'!K1918)</f>
        <v/>
      </c>
      <c r="L1918" s="81">
        <f>IF('Ordenes_Odoo'!L1918="","",'Ordenes_Odoo'!L1918)</f>
        <v/>
      </c>
      <c r="M1918" s="79">
        <f>IF('Ordenes_Odoo'!M1918="","",'Ordenes_Odoo'!M1918)</f>
        <v/>
      </c>
      <c r="N1918" s="79">
        <f>IF('Ordenes_Odoo'!N1918="","",'Ordenes_Odoo'!N1918)</f>
        <v/>
      </c>
      <c r="O1918" s="81">
        <f>IF('Ordenes_Odoo'!O1918="","",'Ordenes_Odoo'!O1918)</f>
        <v/>
      </c>
      <c r="P1918" s="81">
        <f>IF('Ordenes_Odoo'!P1918="","",'Ordenes_Odoo'!P1918)</f>
        <v/>
      </c>
      <c r="Q1918" s="79">
        <f>IF(A1918="","",IFERROR(INDEX(Facturas_Odoo!$B:$B, MATCH(A1918, Facturas_Odoo!$D:$D, 0)), "Sin Factura"))</f>
        <v/>
      </c>
      <c r="R1918" s="80">
        <f>IF(Q1918="Sin Factura","",IFERROR(INDEX(Facturas_Odoo!$A:$A, MATCH(Q1918, Facturas_Odoo!$B:$B, 0)), ""))</f>
        <v/>
      </c>
      <c r="S1918" s="79">
        <f>IF(Q1918="Sin Factura","",IFERROR(_xlfn.XLOOKUP(1, (Facturas_Odoo!$D:$D=A1918) * (Facturas_Odoo!$K:$K=I1918), Facturas_Odoo!$L:$L, ""), ""))</f>
        <v/>
      </c>
      <c r="T1918" s="81">
        <f>IF(Q1918="Sin Factura",0,IFERROR(_xlfn.XLOOKUP(1, (Facturas_Odoo!$D:$D=A1918) * (Facturas_Odoo!$K:$K=I1918), Facturas_Odoo!$M:$M, 0), 0))</f>
        <v/>
      </c>
      <c r="U1918" s="79">
        <f>IF(Q1918="Sin Factura",0,IFERROR(_xlfn.XLOOKUP(1, (Facturas_Odoo!$D:$D=A1918) * (Facturas_Odoo!$K:$K=I1918), Facturas_Odoo!$N:$N, 0), 0))</f>
        <v/>
      </c>
      <c r="V1918" s="79">
        <f>IF(Q1918="Sin Factura",0,IFERROR(_xlfn.XLOOKUP(1, (Facturas_Odoo!$D:$D=A1918) * (Facturas_Odoo!$K:$K=I1918), Facturas_Odoo!$O:$O, 0), 0))</f>
        <v/>
      </c>
      <c r="W1918" s="81">
        <f>IF(Q1918="Sin Factura",0,IFERROR(_xlfn.XLOOKUP(1, (Facturas_Odoo!$D:$D=A1918) * (Facturas_Odoo!$K:$K=I1918), Facturas_Odoo!$Q:$Q, 0), 0))</f>
        <v/>
      </c>
      <c r="X1918" s="79">
        <f>IF(OR(Q1918="Sin Factura",Q1918=""),"",IFERROR(INDEX(Pagos_Odoo!$B:$B, MATCH(Q1918, Pagos_Odoo!$I:$I, 0)), "Sin Pago"))</f>
        <v/>
      </c>
      <c r="Y1918" s="79">
        <f>IF(X1918="Sin Pago","",IFERROR(INDEX(Pagos_Odoo!$C:$C, MATCH(X1918, Pagos_Odoo!$B:$B, 0)), ""))</f>
        <v/>
      </c>
      <c r="Z1918" s="80">
        <f>IF(X1918="Sin Pago","",IFERROR(INDEX(Pagos_Odoo!$A:$A, MATCH(X1918, Pagos_Odoo!$B:$B, 0)), ""))</f>
        <v/>
      </c>
      <c r="AA1918" s="79">
        <f>IF(X1918="Sin Pago","",IFERROR(INDEX(Pagos_Odoo!$F:$F, MATCH(X1918, Pagos_Odoo!$B:$B, 0)), ""))</f>
        <v/>
      </c>
      <c r="AB1918" s="81">
        <f>IF(X1918="Sin Pago",0,IFERROR(INDEX(Pagos_Odoo!$E:$E, MATCH(X1918, Pagos_Odoo!$B:$B, 0)), 0))</f>
        <v/>
      </c>
      <c r="AC1918" s="79">
        <f>IF(X1918="Sin Pago","",IFERROR(INDEX(Pagos_Odoo!$G:$G, MATCH(X1918, Pagos_Odoo!$B:$B, 0)), ""))</f>
        <v/>
      </c>
      <c r="AD1918" s="82" t="n">
        <v>0</v>
      </c>
      <c r="AE1918" s="82" t="n"/>
      <c r="AF1918" s="82" t="n"/>
      <c r="AG1918" s="82">
        <f>IF(AN1918="","",AD1918+AE1918+AF1918)</f>
        <v/>
      </c>
      <c r="AH1918" s="81">
        <f>IF(AN1918="","",P1918*(1-AG1918))</f>
        <v/>
      </c>
      <c r="AI1918" s="81">
        <f>IF(AN1918="","",IF(Q1918="Sin Factura",0,IFERROR(INDEX(Facturas_Odoo!$H:$H, MATCH(Q1918, Facturas_Odoo!$B:$B, 0)), 0)*(1-AG1918)))</f>
        <v/>
      </c>
      <c r="AJ1918" s="81">
        <f>IF(AN1918="","",_xlfn.LET(idVenta, AN1918&amp;"",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18" s="81">
        <f>IF(AN1918="","",AH1918-AJ1918)</f>
        <v/>
      </c>
      <c r="AL1918" s="81">
        <f>IF(AN1918="","",IF(Q1918="Sin Factura","",AI1918-AJ1918))</f>
        <v/>
      </c>
      <c r="AM1918" s="81">
        <f>IF(AN1918="","",IF(Q1918="Sin Factura",0,P1918-IFERROR(INDEX(Facturas_Odoo!$H:$H, MATCH(Q1918, Facturas_Odoo!$B:$B, 0)), 0)))</f>
        <v/>
      </c>
      <c r="AN1918" s="79">
        <f>IF(AND(A1918="", J1918=""), "", IF(A1918&lt;&gt;"", VALUE(MID(A1918,2,LEN(A1918))), AN1917))</f>
        <v/>
      </c>
      <c r="AO1918" s="79">
        <f>IF(AN1918="","",IF(AD1918=0,"OK",_xlfn.LET(monedaPago, IF(AA1918="","USD",AA1918), limitePermitido, IFERROR(VLOOKUP(monedaPago, Configuración!$A$2:$B$3, 2, FALSE), 0.15), IF(AD1918&gt;limitePermitido, "ALERTA: EXCESO (" &amp; TEXT(limitePermitido, "0%") &amp; " máx)", "OK"))))</f>
        <v/>
      </c>
      <c r="AP1918" s="79">
        <f>IF(AN1918="","",IF(AE1918=0,"OK",_xlfn.LET(fechaPago, Z1918, fechaFactura, R1918, diasCredito, IF(E1918="Pago inmediato", 0, IFERROR(VALUE(MID(E1918, 1, SEARCH(" ", E1918)-1)),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18" s="79">
        <f>IF(AN1918="","",IF(AND(N1918&gt;0, AG1918&gt;0), IF(Configuración!$K$2="NO", "ALERTA: DESCUENTO DOBLE NO PERMITIDO", "OK"), "OK"))</f>
        <v/>
      </c>
      <c r="AR1918" s="79">
        <f>IF(AN1918="","",IF(OR(AO1918&lt;&gt;"OK", AP1918&lt;&gt;"OK", AQ1918&lt;&gt;"OK"), "⚠️ REVISAR", "OK"))</f>
        <v/>
      </c>
    </row>
    <row r="1919">
      <c r="A1919" s="79">
        <f>IF('Ordenes_Odoo'!A1919="","",'Ordenes_Odoo'!A1919)</f>
        <v/>
      </c>
      <c r="B1919" s="80">
        <f>IF('Ordenes_Odoo'!B1919="","",'Ordenes_Odoo'!B1919)</f>
        <v/>
      </c>
      <c r="C1919" s="79">
        <f>IF('Ordenes_Odoo'!C1919="","",'Ordenes_Odoo'!C1919)</f>
        <v/>
      </c>
      <c r="D1919" s="79">
        <f>IF('Ordenes_Odoo'!D1919="","",'Ordenes_Odoo'!D1919)</f>
        <v/>
      </c>
      <c r="E1919" s="79">
        <f>IF('Ordenes_Odoo'!E1919="","",'Ordenes_Odoo'!E1919)</f>
        <v/>
      </c>
      <c r="F1919" s="79">
        <f>IF('Ordenes_Odoo'!F1919="","",'Ordenes_Odoo'!F1919)</f>
        <v/>
      </c>
      <c r="G1919" s="79">
        <f>IF('Ordenes_Odoo'!G1919="","",'Ordenes_Odoo'!G1919)</f>
        <v/>
      </c>
      <c r="H1919" s="79">
        <f>IF('Ordenes_Odoo'!H1919="","",'Ordenes_Odoo'!H1919)</f>
        <v/>
      </c>
      <c r="I1919" s="79">
        <f>IF('Ordenes_Odoo'!I1919="","",'Ordenes_Odoo'!I1919)</f>
        <v/>
      </c>
      <c r="J1919" s="79">
        <f>IF('Ordenes_Odoo'!J1919="","",'Ordenes_Odoo'!J1919)</f>
        <v/>
      </c>
      <c r="K1919" s="81">
        <f>IF('Ordenes_Odoo'!K1919="","",'Ordenes_Odoo'!K1919)</f>
        <v/>
      </c>
      <c r="L1919" s="81">
        <f>IF('Ordenes_Odoo'!L1919="","",'Ordenes_Odoo'!L1919)</f>
        <v/>
      </c>
      <c r="M1919" s="79">
        <f>IF('Ordenes_Odoo'!M1919="","",'Ordenes_Odoo'!M1919)</f>
        <v/>
      </c>
      <c r="N1919" s="79">
        <f>IF('Ordenes_Odoo'!N1919="","",'Ordenes_Odoo'!N1919)</f>
        <v/>
      </c>
      <c r="O1919" s="81">
        <f>IF('Ordenes_Odoo'!O1919="","",'Ordenes_Odoo'!O1919)</f>
        <v/>
      </c>
      <c r="P1919" s="81">
        <f>IF('Ordenes_Odoo'!P1919="","",'Ordenes_Odoo'!P1919)</f>
        <v/>
      </c>
      <c r="Q1919" s="79">
        <f>IF(A1919="","",IFERROR(INDEX(Facturas_Odoo!$B:$B, MATCH(A1919, Facturas_Odoo!$D:$D, 0)), "Sin Factura"))</f>
        <v/>
      </c>
      <c r="R1919" s="80">
        <f>IF(Q1919="Sin Factura","",IFERROR(INDEX(Facturas_Odoo!$A:$A, MATCH(Q1919, Facturas_Odoo!$B:$B, 0)), ""))</f>
        <v/>
      </c>
      <c r="S1919" s="79">
        <f>IF(Q1919="Sin Factura","",IFERROR(_xlfn.XLOOKUP(1, (Facturas_Odoo!$D:$D=A1919) * (Facturas_Odoo!$K:$K=I1919), Facturas_Odoo!$L:$L, ""), ""))</f>
        <v/>
      </c>
      <c r="T1919" s="81">
        <f>IF(Q1919="Sin Factura",0,IFERROR(_xlfn.XLOOKUP(1, (Facturas_Odoo!$D:$D=A1919) * (Facturas_Odoo!$K:$K=I1919), Facturas_Odoo!$M:$M, 0), 0))</f>
        <v/>
      </c>
      <c r="U1919" s="79">
        <f>IF(Q1919="Sin Factura",0,IFERROR(_xlfn.XLOOKUP(1, (Facturas_Odoo!$D:$D=A1919) * (Facturas_Odoo!$K:$K=I1919), Facturas_Odoo!$N:$N, 0), 0))</f>
        <v/>
      </c>
      <c r="V1919" s="79">
        <f>IF(Q1919="Sin Factura",0,IFERROR(_xlfn.XLOOKUP(1, (Facturas_Odoo!$D:$D=A1919) * (Facturas_Odoo!$K:$K=I1919), Facturas_Odoo!$O:$O, 0), 0))</f>
        <v/>
      </c>
      <c r="W1919" s="81">
        <f>IF(Q1919="Sin Factura",0,IFERROR(_xlfn.XLOOKUP(1, (Facturas_Odoo!$D:$D=A1919) * (Facturas_Odoo!$K:$K=I1919), Facturas_Odoo!$Q:$Q, 0), 0))</f>
        <v/>
      </c>
      <c r="X1919" s="79">
        <f>IF(OR(Q1919="Sin Factura",Q1919=""),"",IFERROR(INDEX(Pagos_Odoo!$B:$B, MATCH(Q1919, Pagos_Odoo!$I:$I, 0)), "Sin Pago"))</f>
        <v/>
      </c>
      <c r="Y1919" s="79">
        <f>IF(X1919="Sin Pago","",IFERROR(INDEX(Pagos_Odoo!$C:$C, MATCH(X1919, Pagos_Odoo!$B:$B, 0)), ""))</f>
        <v/>
      </c>
      <c r="Z1919" s="80">
        <f>IF(X1919="Sin Pago","",IFERROR(INDEX(Pagos_Odoo!$A:$A, MATCH(X1919, Pagos_Odoo!$B:$B, 0)), ""))</f>
        <v/>
      </c>
      <c r="AA1919" s="79">
        <f>IF(X1919="Sin Pago","",IFERROR(INDEX(Pagos_Odoo!$F:$F, MATCH(X1919, Pagos_Odoo!$B:$B, 0)), ""))</f>
        <v/>
      </c>
      <c r="AB1919" s="81">
        <f>IF(X1919="Sin Pago",0,IFERROR(INDEX(Pagos_Odoo!$E:$E, MATCH(X1919, Pagos_Odoo!$B:$B, 0)), 0))</f>
        <v/>
      </c>
      <c r="AC1919" s="79">
        <f>IF(X1919="Sin Pago","",IFERROR(INDEX(Pagos_Odoo!$G:$G, MATCH(X1919, Pagos_Odoo!$B:$B, 0)), ""))</f>
        <v/>
      </c>
      <c r="AD1919" s="82" t="n">
        <v>0</v>
      </c>
      <c r="AE1919" s="82" t="n"/>
      <c r="AF1919" s="82" t="n"/>
      <c r="AG1919" s="82">
        <f>IF(AN1919="","",AD1919+AE1919+AF1919)</f>
        <v/>
      </c>
      <c r="AH1919" s="81">
        <f>IF(AN1919="","",P1919*(1-AG1919))</f>
        <v/>
      </c>
      <c r="AI1919" s="81">
        <f>IF(AN1919="","",IF(Q1919="Sin Factura",0,IFERROR(INDEX(Facturas_Odoo!$H:$H, MATCH(Q1919, Facturas_Odoo!$B:$B, 0)), 0)*(1-AG1919)))</f>
        <v/>
      </c>
      <c r="AJ1919" s="81">
        <f>IF(AN1919="","",_xlfn.LET(idVenta, AN1919&amp;"",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19" s="81">
        <f>IF(AN1919="","",AH1919-AJ1919)</f>
        <v/>
      </c>
      <c r="AL1919" s="81">
        <f>IF(AN1919="","",IF(Q1919="Sin Factura","",AI1919-AJ1919))</f>
        <v/>
      </c>
      <c r="AM1919" s="81">
        <f>IF(AN1919="","",IF(Q1919="Sin Factura",0,P1919-IFERROR(INDEX(Facturas_Odoo!$H:$H, MATCH(Q1919, Facturas_Odoo!$B:$B, 0)), 0)))</f>
        <v/>
      </c>
      <c r="AN1919" s="79">
        <f>IF(AND(A1919="", J1919=""), "", IF(A1919&lt;&gt;"", VALUE(MID(A1919,2,LEN(A1919))), AN1918))</f>
        <v/>
      </c>
      <c r="AO1919" s="79">
        <f>IF(AN1919="","",IF(AD1919=0,"OK",_xlfn.LET(monedaPago, IF(AA1919="","USD",AA1919), limitePermitido, IFERROR(VLOOKUP(monedaPago, Configuración!$A$2:$B$3, 2, FALSE), 0.15), IF(AD1919&gt;limitePermitido, "ALERTA: EXCESO (" &amp; TEXT(limitePermitido, "0%") &amp; " máx)", "OK"))))</f>
        <v/>
      </c>
      <c r="AP1919" s="79">
        <f>IF(AN1919="","",IF(AE1919=0,"OK",_xlfn.LET(fechaPago, Z1919, fechaFactura, R1919, diasCredito, IF(E1919="Pago inmediato", 0, IFERROR(VALUE(MID(E1919, 1, SEARCH(" ", E1919)-1)),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19" s="79">
        <f>IF(AN1919="","",IF(AND(N1919&gt;0, AG1919&gt;0), IF(Configuración!$K$2="NO", "ALERTA: DESCUENTO DOBLE NO PERMITIDO", "OK"), "OK"))</f>
        <v/>
      </c>
      <c r="AR1919" s="79">
        <f>IF(AN1919="","",IF(OR(AO1919&lt;&gt;"OK", AP1919&lt;&gt;"OK", AQ1919&lt;&gt;"OK"), "⚠️ REVISAR", "OK"))</f>
        <v/>
      </c>
    </row>
    <row r="1920">
      <c r="A1920" s="79">
        <f>IF('Ordenes_Odoo'!A1920="","",'Ordenes_Odoo'!A1920)</f>
        <v/>
      </c>
      <c r="B1920" s="80">
        <f>IF('Ordenes_Odoo'!B1920="","",'Ordenes_Odoo'!B1920)</f>
        <v/>
      </c>
      <c r="C1920" s="79">
        <f>IF('Ordenes_Odoo'!C1920="","",'Ordenes_Odoo'!C1920)</f>
        <v/>
      </c>
      <c r="D1920" s="79">
        <f>IF('Ordenes_Odoo'!D1920="","",'Ordenes_Odoo'!D1920)</f>
        <v/>
      </c>
      <c r="E1920" s="79">
        <f>IF('Ordenes_Odoo'!E1920="","",'Ordenes_Odoo'!E1920)</f>
        <v/>
      </c>
      <c r="F1920" s="79">
        <f>IF('Ordenes_Odoo'!F1920="","",'Ordenes_Odoo'!F1920)</f>
        <v/>
      </c>
      <c r="G1920" s="79">
        <f>IF('Ordenes_Odoo'!G1920="","",'Ordenes_Odoo'!G1920)</f>
        <v/>
      </c>
      <c r="H1920" s="79">
        <f>IF('Ordenes_Odoo'!H1920="","",'Ordenes_Odoo'!H1920)</f>
        <v/>
      </c>
      <c r="I1920" s="79">
        <f>IF('Ordenes_Odoo'!I1920="","",'Ordenes_Odoo'!I1920)</f>
        <v/>
      </c>
      <c r="J1920" s="79">
        <f>IF('Ordenes_Odoo'!J1920="","",'Ordenes_Odoo'!J1920)</f>
        <v/>
      </c>
      <c r="K1920" s="81">
        <f>IF('Ordenes_Odoo'!K1920="","",'Ordenes_Odoo'!K1920)</f>
        <v/>
      </c>
      <c r="L1920" s="81">
        <f>IF('Ordenes_Odoo'!L1920="","",'Ordenes_Odoo'!L1920)</f>
        <v/>
      </c>
      <c r="M1920" s="79">
        <f>IF('Ordenes_Odoo'!M1920="","",'Ordenes_Odoo'!M1920)</f>
        <v/>
      </c>
      <c r="N1920" s="79">
        <f>IF('Ordenes_Odoo'!N1920="","",'Ordenes_Odoo'!N1920)</f>
        <v/>
      </c>
      <c r="O1920" s="81">
        <f>IF('Ordenes_Odoo'!O1920="","",'Ordenes_Odoo'!O1920)</f>
        <v/>
      </c>
      <c r="P1920" s="81">
        <f>IF('Ordenes_Odoo'!P1920="","",'Ordenes_Odoo'!P1920)</f>
        <v/>
      </c>
      <c r="Q1920" s="79">
        <f>IF(A1920="","",IFERROR(INDEX(Facturas_Odoo!$B:$B, MATCH(A1920, Facturas_Odoo!$D:$D, 0)), "Sin Factura"))</f>
        <v/>
      </c>
      <c r="R1920" s="80">
        <f>IF(Q1920="Sin Factura","",IFERROR(INDEX(Facturas_Odoo!$A:$A, MATCH(Q1920, Facturas_Odoo!$B:$B, 0)), ""))</f>
        <v/>
      </c>
      <c r="S1920" s="79">
        <f>IF(Q1920="Sin Factura","",IFERROR(_xlfn.XLOOKUP(1, (Facturas_Odoo!$D:$D=A1920) * (Facturas_Odoo!$K:$K=I1920), Facturas_Odoo!$L:$L, ""), ""))</f>
        <v/>
      </c>
      <c r="T1920" s="81">
        <f>IF(Q1920="Sin Factura",0,IFERROR(_xlfn.XLOOKUP(1, (Facturas_Odoo!$D:$D=A1920) * (Facturas_Odoo!$K:$K=I1920), Facturas_Odoo!$M:$M, 0), 0))</f>
        <v/>
      </c>
      <c r="U1920" s="79">
        <f>IF(Q1920="Sin Factura",0,IFERROR(_xlfn.XLOOKUP(1, (Facturas_Odoo!$D:$D=A1920) * (Facturas_Odoo!$K:$K=I1920), Facturas_Odoo!$N:$N, 0), 0))</f>
        <v/>
      </c>
      <c r="V1920" s="79">
        <f>IF(Q1920="Sin Factura",0,IFERROR(_xlfn.XLOOKUP(1, (Facturas_Odoo!$D:$D=A1920) * (Facturas_Odoo!$K:$K=I1920), Facturas_Odoo!$O:$O, 0), 0))</f>
        <v/>
      </c>
      <c r="W1920" s="81">
        <f>IF(Q1920="Sin Factura",0,IFERROR(_xlfn.XLOOKUP(1, (Facturas_Odoo!$D:$D=A1920) * (Facturas_Odoo!$K:$K=I1920), Facturas_Odoo!$Q:$Q, 0), 0))</f>
        <v/>
      </c>
      <c r="X1920" s="79">
        <f>IF(OR(Q1920="Sin Factura",Q1920=""),"",IFERROR(INDEX(Pagos_Odoo!$B:$B, MATCH(Q1920, Pagos_Odoo!$I:$I, 0)), "Sin Pago"))</f>
        <v/>
      </c>
      <c r="Y1920" s="79">
        <f>IF(X1920="Sin Pago","",IFERROR(INDEX(Pagos_Odoo!$C:$C, MATCH(X1920, Pagos_Odoo!$B:$B, 0)), ""))</f>
        <v/>
      </c>
      <c r="Z1920" s="80">
        <f>IF(X1920="Sin Pago","",IFERROR(INDEX(Pagos_Odoo!$A:$A, MATCH(X1920, Pagos_Odoo!$B:$B, 0)), ""))</f>
        <v/>
      </c>
      <c r="AA1920" s="79">
        <f>IF(X1920="Sin Pago","",IFERROR(INDEX(Pagos_Odoo!$F:$F, MATCH(X1920, Pagos_Odoo!$B:$B, 0)), ""))</f>
        <v/>
      </c>
      <c r="AB1920" s="81">
        <f>IF(X1920="Sin Pago",0,IFERROR(INDEX(Pagos_Odoo!$E:$E, MATCH(X1920, Pagos_Odoo!$B:$B, 0)), 0))</f>
        <v/>
      </c>
      <c r="AC1920" s="79">
        <f>IF(X1920="Sin Pago","",IFERROR(INDEX(Pagos_Odoo!$G:$G, MATCH(X1920, Pagos_Odoo!$B:$B, 0)), ""))</f>
        <v/>
      </c>
      <c r="AD1920" s="82" t="n">
        <v>0</v>
      </c>
      <c r="AE1920" s="82" t="n"/>
      <c r="AF1920" s="82" t="n"/>
      <c r="AG1920" s="82">
        <f>IF(AN1920="","",AD1920+AE1920+AF1920)</f>
        <v/>
      </c>
      <c r="AH1920" s="81">
        <f>IF(AN1920="","",P1920*(1-AG1920))</f>
        <v/>
      </c>
      <c r="AI1920" s="81">
        <f>IF(AN1920="","",IF(Q1920="Sin Factura",0,IFERROR(INDEX(Facturas_Odoo!$H:$H, MATCH(Q1920, Facturas_Odoo!$B:$B, 0)), 0)*(1-AG1920)))</f>
        <v/>
      </c>
      <c r="AJ1920" s="81">
        <f>IF(AN1920="","",_xlfn.LET(idVenta, AN1920&amp;"",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20" s="81">
        <f>IF(AN1920="","",AH1920-AJ1920)</f>
        <v/>
      </c>
      <c r="AL1920" s="81">
        <f>IF(AN1920="","",IF(Q1920="Sin Factura","",AI1920-AJ1920))</f>
        <v/>
      </c>
      <c r="AM1920" s="81">
        <f>IF(AN1920="","",IF(Q1920="Sin Factura",0,P1920-IFERROR(INDEX(Facturas_Odoo!$H:$H, MATCH(Q1920, Facturas_Odoo!$B:$B, 0)), 0)))</f>
        <v/>
      </c>
      <c r="AN1920" s="79">
        <f>IF(AND(A1920="", J1920=""), "", IF(A1920&lt;&gt;"", VALUE(MID(A1920,2,LEN(A1920))), AN1919))</f>
        <v/>
      </c>
      <c r="AO1920" s="79">
        <f>IF(AN1920="","",IF(AD1920=0,"OK",_xlfn.LET(monedaPago, IF(AA1920="","USD",AA1920), limitePermitido, IFERROR(VLOOKUP(monedaPago, Configuración!$A$2:$B$3, 2, FALSE), 0.15), IF(AD1920&gt;limitePermitido, "ALERTA: EXCESO (" &amp; TEXT(limitePermitido, "0%") &amp; " máx)", "OK"))))</f>
        <v/>
      </c>
      <c r="AP1920" s="79">
        <f>IF(AN1920="","",IF(AE1920=0,"OK",_xlfn.LET(fechaPago, Z1920, fechaFactura, R1920, diasCredito, IF(E1920="Pago inmediato", 0, IFERROR(VALUE(MID(E1920, 1, SEARCH(" ", E1920)-1)),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20" s="79">
        <f>IF(AN1920="","",IF(AND(N1920&gt;0, AG1920&gt;0), IF(Configuración!$K$2="NO", "ALERTA: DESCUENTO DOBLE NO PERMITIDO", "OK"), "OK"))</f>
        <v/>
      </c>
      <c r="AR1920" s="79">
        <f>IF(AN1920="","",IF(OR(AO1920&lt;&gt;"OK", AP1920&lt;&gt;"OK", AQ1920&lt;&gt;"OK"), "⚠️ REVISAR", "OK"))</f>
        <v/>
      </c>
    </row>
    <row r="1921">
      <c r="A1921" s="79">
        <f>IF('Ordenes_Odoo'!A1921="","",'Ordenes_Odoo'!A1921)</f>
        <v/>
      </c>
      <c r="B1921" s="80">
        <f>IF('Ordenes_Odoo'!B1921="","",'Ordenes_Odoo'!B1921)</f>
        <v/>
      </c>
      <c r="C1921" s="79">
        <f>IF('Ordenes_Odoo'!C1921="","",'Ordenes_Odoo'!C1921)</f>
        <v/>
      </c>
      <c r="D1921" s="79">
        <f>IF('Ordenes_Odoo'!D1921="","",'Ordenes_Odoo'!D1921)</f>
        <v/>
      </c>
      <c r="E1921" s="79">
        <f>IF('Ordenes_Odoo'!E1921="","",'Ordenes_Odoo'!E1921)</f>
        <v/>
      </c>
      <c r="F1921" s="79">
        <f>IF('Ordenes_Odoo'!F1921="","",'Ordenes_Odoo'!F1921)</f>
        <v/>
      </c>
      <c r="G1921" s="79">
        <f>IF('Ordenes_Odoo'!G1921="","",'Ordenes_Odoo'!G1921)</f>
        <v/>
      </c>
      <c r="H1921" s="79">
        <f>IF('Ordenes_Odoo'!H1921="","",'Ordenes_Odoo'!H1921)</f>
        <v/>
      </c>
      <c r="I1921" s="79">
        <f>IF('Ordenes_Odoo'!I1921="","",'Ordenes_Odoo'!I1921)</f>
        <v/>
      </c>
      <c r="J1921" s="79">
        <f>IF('Ordenes_Odoo'!J1921="","",'Ordenes_Odoo'!J1921)</f>
        <v/>
      </c>
      <c r="K1921" s="81">
        <f>IF('Ordenes_Odoo'!K1921="","",'Ordenes_Odoo'!K1921)</f>
        <v/>
      </c>
      <c r="L1921" s="81">
        <f>IF('Ordenes_Odoo'!L1921="","",'Ordenes_Odoo'!L1921)</f>
        <v/>
      </c>
      <c r="M1921" s="79">
        <f>IF('Ordenes_Odoo'!M1921="","",'Ordenes_Odoo'!M1921)</f>
        <v/>
      </c>
      <c r="N1921" s="79">
        <f>IF('Ordenes_Odoo'!N1921="","",'Ordenes_Odoo'!N1921)</f>
        <v/>
      </c>
      <c r="O1921" s="81">
        <f>IF('Ordenes_Odoo'!O1921="","",'Ordenes_Odoo'!O1921)</f>
        <v/>
      </c>
      <c r="P1921" s="81">
        <f>IF('Ordenes_Odoo'!P1921="","",'Ordenes_Odoo'!P1921)</f>
        <v/>
      </c>
      <c r="Q1921" s="79">
        <f>IF(A1921="","",IFERROR(INDEX(Facturas_Odoo!$B:$B, MATCH(A1921, Facturas_Odoo!$D:$D, 0)), "Sin Factura"))</f>
        <v/>
      </c>
      <c r="R1921" s="80">
        <f>IF(Q1921="Sin Factura","",IFERROR(INDEX(Facturas_Odoo!$A:$A, MATCH(Q1921, Facturas_Odoo!$B:$B, 0)), ""))</f>
        <v/>
      </c>
      <c r="S1921" s="79">
        <f>IF(Q1921="Sin Factura","",IFERROR(_xlfn.XLOOKUP(1, (Facturas_Odoo!$D:$D=A1921) * (Facturas_Odoo!$K:$K=I1921), Facturas_Odoo!$L:$L, ""), ""))</f>
        <v/>
      </c>
      <c r="T1921" s="81">
        <f>IF(Q1921="Sin Factura",0,IFERROR(_xlfn.XLOOKUP(1, (Facturas_Odoo!$D:$D=A1921) * (Facturas_Odoo!$K:$K=I1921), Facturas_Odoo!$M:$M, 0), 0))</f>
        <v/>
      </c>
      <c r="U1921" s="79">
        <f>IF(Q1921="Sin Factura",0,IFERROR(_xlfn.XLOOKUP(1, (Facturas_Odoo!$D:$D=A1921) * (Facturas_Odoo!$K:$K=I1921), Facturas_Odoo!$N:$N, 0), 0))</f>
        <v/>
      </c>
      <c r="V1921" s="79">
        <f>IF(Q1921="Sin Factura",0,IFERROR(_xlfn.XLOOKUP(1, (Facturas_Odoo!$D:$D=A1921) * (Facturas_Odoo!$K:$K=I1921), Facturas_Odoo!$O:$O, 0), 0))</f>
        <v/>
      </c>
      <c r="W1921" s="81">
        <f>IF(Q1921="Sin Factura",0,IFERROR(_xlfn.XLOOKUP(1, (Facturas_Odoo!$D:$D=A1921) * (Facturas_Odoo!$K:$K=I1921), Facturas_Odoo!$Q:$Q, 0), 0))</f>
        <v/>
      </c>
      <c r="X1921" s="79">
        <f>IF(OR(Q1921="Sin Factura",Q1921=""),"",IFERROR(INDEX(Pagos_Odoo!$B:$B, MATCH(Q1921, Pagos_Odoo!$I:$I, 0)), "Sin Pago"))</f>
        <v/>
      </c>
      <c r="Y1921" s="79">
        <f>IF(X1921="Sin Pago","",IFERROR(INDEX(Pagos_Odoo!$C:$C, MATCH(X1921, Pagos_Odoo!$B:$B, 0)), ""))</f>
        <v/>
      </c>
      <c r="Z1921" s="80">
        <f>IF(X1921="Sin Pago","",IFERROR(INDEX(Pagos_Odoo!$A:$A, MATCH(X1921, Pagos_Odoo!$B:$B, 0)), ""))</f>
        <v/>
      </c>
      <c r="AA1921" s="79">
        <f>IF(X1921="Sin Pago","",IFERROR(INDEX(Pagos_Odoo!$F:$F, MATCH(X1921, Pagos_Odoo!$B:$B, 0)), ""))</f>
        <v/>
      </c>
      <c r="AB1921" s="81">
        <f>IF(X1921="Sin Pago",0,IFERROR(INDEX(Pagos_Odoo!$E:$E, MATCH(X1921, Pagos_Odoo!$B:$B, 0)), 0))</f>
        <v/>
      </c>
      <c r="AC1921" s="79">
        <f>IF(X1921="Sin Pago","",IFERROR(INDEX(Pagos_Odoo!$G:$G, MATCH(X1921, Pagos_Odoo!$B:$B, 0)), ""))</f>
        <v/>
      </c>
      <c r="AD1921" s="82" t="n">
        <v>0</v>
      </c>
      <c r="AE1921" s="82" t="n"/>
      <c r="AF1921" s="82" t="n"/>
      <c r="AG1921" s="82">
        <f>IF(AN1921="","",AD1921+AE1921+AF1921)</f>
        <v/>
      </c>
      <c r="AH1921" s="81">
        <f>IF(AN1921="","",P1921*(1-AG1921))</f>
        <v/>
      </c>
      <c r="AI1921" s="81">
        <f>IF(AN1921="","",IF(Q1921="Sin Factura",0,IFERROR(INDEX(Facturas_Odoo!$H:$H, MATCH(Q1921, Facturas_Odoo!$B:$B, 0)), 0)*(1-AG1921)))</f>
        <v/>
      </c>
      <c r="AJ1921" s="81">
        <f>IF(AN1921="","",_xlfn.LET(idVenta, AN1921&amp;"",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21" s="81">
        <f>IF(AN1921="","",AH1921-AJ1921)</f>
        <v/>
      </c>
      <c r="AL1921" s="81">
        <f>IF(AN1921="","",IF(Q1921="Sin Factura","",AI1921-AJ1921))</f>
        <v/>
      </c>
      <c r="AM1921" s="81">
        <f>IF(AN1921="","",IF(Q1921="Sin Factura",0,P1921-IFERROR(INDEX(Facturas_Odoo!$H:$H, MATCH(Q1921, Facturas_Odoo!$B:$B, 0)), 0)))</f>
        <v/>
      </c>
      <c r="AN1921" s="79">
        <f>IF(AND(A1921="", J1921=""), "", IF(A1921&lt;&gt;"", VALUE(MID(A1921,2,LEN(A1921))), AN1920))</f>
        <v/>
      </c>
      <c r="AO1921" s="79">
        <f>IF(AN1921="","",IF(AD1921=0,"OK",_xlfn.LET(monedaPago, IF(AA1921="","USD",AA1921), limitePermitido, IFERROR(VLOOKUP(monedaPago, Configuración!$A$2:$B$3, 2, FALSE), 0.15), IF(AD1921&gt;limitePermitido, "ALERTA: EXCESO (" &amp; TEXT(limitePermitido, "0%") &amp; " máx)", "OK"))))</f>
        <v/>
      </c>
      <c r="AP1921" s="79">
        <f>IF(AN1921="","",IF(AE1921=0,"OK",_xlfn.LET(fechaPago, Z1921, fechaFactura, R1921, diasCredito, IF(E1921="Pago inmediato", 0, IFERROR(VALUE(MID(E1921, 1, SEARCH(" ", E1921)-1)),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21" s="79">
        <f>IF(AN1921="","",IF(AND(N1921&gt;0, AG1921&gt;0), IF(Configuración!$K$2="NO", "ALERTA: DESCUENTO DOBLE NO PERMITIDO", "OK"), "OK"))</f>
        <v/>
      </c>
      <c r="AR1921" s="79">
        <f>IF(AN1921="","",IF(OR(AO1921&lt;&gt;"OK", AP1921&lt;&gt;"OK", AQ1921&lt;&gt;"OK"), "⚠️ REVISAR", "OK"))</f>
        <v/>
      </c>
    </row>
    <row r="1922">
      <c r="A1922" s="79">
        <f>IF('Ordenes_Odoo'!A1922="","",'Ordenes_Odoo'!A1922)</f>
        <v/>
      </c>
      <c r="B1922" s="80">
        <f>IF('Ordenes_Odoo'!B1922="","",'Ordenes_Odoo'!B1922)</f>
        <v/>
      </c>
      <c r="C1922" s="79">
        <f>IF('Ordenes_Odoo'!C1922="","",'Ordenes_Odoo'!C1922)</f>
        <v/>
      </c>
      <c r="D1922" s="79">
        <f>IF('Ordenes_Odoo'!D1922="","",'Ordenes_Odoo'!D1922)</f>
        <v/>
      </c>
      <c r="E1922" s="79">
        <f>IF('Ordenes_Odoo'!E1922="","",'Ordenes_Odoo'!E1922)</f>
        <v/>
      </c>
      <c r="F1922" s="79">
        <f>IF('Ordenes_Odoo'!F1922="","",'Ordenes_Odoo'!F1922)</f>
        <v/>
      </c>
      <c r="G1922" s="79">
        <f>IF('Ordenes_Odoo'!G1922="","",'Ordenes_Odoo'!G1922)</f>
        <v/>
      </c>
      <c r="H1922" s="79">
        <f>IF('Ordenes_Odoo'!H1922="","",'Ordenes_Odoo'!H1922)</f>
        <v/>
      </c>
      <c r="I1922" s="79">
        <f>IF('Ordenes_Odoo'!I1922="","",'Ordenes_Odoo'!I1922)</f>
        <v/>
      </c>
      <c r="J1922" s="79">
        <f>IF('Ordenes_Odoo'!J1922="","",'Ordenes_Odoo'!J1922)</f>
        <v/>
      </c>
      <c r="K1922" s="81">
        <f>IF('Ordenes_Odoo'!K1922="","",'Ordenes_Odoo'!K1922)</f>
        <v/>
      </c>
      <c r="L1922" s="81">
        <f>IF('Ordenes_Odoo'!L1922="","",'Ordenes_Odoo'!L1922)</f>
        <v/>
      </c>
      <c r="M1922" s="79">
        <f>IF('Ordenes_Odoo'!M1922="","",'Ordenes_Odoo'!M1922)</f>
        <v/>
      </c>
      <c r="N1922" s="79">
        <f>IF('Ordenes_Odoo'!N1922="","",'Ordenes_Odoo'!N1922)</f>
        <v/>
      </c>
      <c r="O1922" s="81">
        <f>IF('Ordenes_Odoo'!O1922="","",'Ordenes_Odoo'!O1922)</f>
        <v/>
      </c>
      <c r="P1922" s="81">
        <f>IF('Ordenes_Odoo'!P1922="","",'Ordenes_Odoo'!P1922)</f>
        <v/>
      </c>
      <c r="Q1922" s="79">
        <f>IF(A1922="","",IFERROR(INDEX(Facturas_Odoo!$B:$B, MATCH(A1922, Facturas_Odoo!$D:$D, 0)), "Sin Factura"))</f>
        <v/>
      </c>
      <c r="R1922" s="80">
        <f>IF(Q1922="Sin Factura","",IFERROR(INDEX(Facturas_Odoo!$A:$A, MATCH(Q1922, Facturas_Odoo!$B:$B, 0)), ""))</f>
        <v/>
      </c>
      <c r="S1922" s="79">
        <f>IF(Q1922="Sin Factura","",IFERROR(_xlfn.XLOOKUP(1, (Facturas_Odoo!$D:$D=A1922) * (Facturas_Odoo!$K:$K=I1922), Facturas_Odoo!$L:$L, ""), ""))</f>
        <v/>
      </c>
      <c r="T1922" s="81">
        <f>IF(Q1922="Sin Factura",0,IFERROR(_xlfn.XLOOKUP(1, (Facturas_Odoo!$D:$D=A1922) * (Facturas_Odoo!$K:$K=I1922), Facturas_Odoo!$M:$M, 0), 0))</f>
        <v/>
      </c>
      <c r="U1922" s="79">
        <f>IF(Q1922="Sin Factura",0,IFERROR(_xlfn.XLOOKUP(1, (Facturas_Odoo!$D:$D=A1922) * (Facturas_Odoo!$K:$K=I1922), Facturas_Odoo!$N:$N, 0), 0))</f>
        <v/>
      </c>
      <c r="V1922" s="79">
        <f>IF(Q1922="Sin Factura",0,IFERROR(_xlfn.XLOOKUP(1, (Facturas_Odoo!$D:$D=A1922) * (Facturas_Odoo!$K:$K=I1922), Facturas_Odoo!$O:$O, 0), 0))</f>
        <v/>
      </c>
      <c r="W1922" s="81">
        <f>IF(Q1922="Sin Factura",0,IFERROR(_xlfn.XLOOKUP(1, (Facturas_Odoo!$D:$D=A1922) * (Facturas_Odoo!$K:$K=I1922), Facturas_Odoo!$Q:$Q, 0), 0))</f>
        <v/>
      </c>
      <c r="X1922" s="79">
        <f>IF(OR(Q1922="Sin Factura",Q1922=""),"",IFERROR(INDEX(Pagos_Odoo!$B:$B, MATCH(Q1922, Pagos_Odoo!$I:$I, 0)), "Sin Pago"))</f>
        <v/>
      </c>
      <c r="Y1922" s="79">
        <f>IF(X1922="Sin Pago","",IFERROR(INDEX(Pagos_Odoo!$C:$C, MATCH(X1922, Pagos_Odoo!$B:$B, 0)), ""))</f>
        <v/>
      </c>
      <c r="Z1922" s="80">
        <f>IF(X1922="Sin Pago","",IFERROR(INDEX(Pagos_Odoo!$A:$A, MATCH(X1922, Pagos_Odoo!$B:$B, 0)), ""))</f>
        <v/>
      </c>
      <c r="AA1922" s="79">
        <f>IF(X1922="Sin Pago","",IFERROR(INDEX(Pagos_Odoo!$F:$F, MATCH(X1922, Pagos_Odoo!$B:$B, 0)), ""))</f>
        <v/>
      </c>
      <c r="AB1922" s="81">
        <f>IF(X1922="Sin Pago",0,IFERROR(INDEX(Pagos_Odoo!$E:$E, MATCH(X1922, Pagos_Odoo!$B:$B, 0)), 0))</f>
        <v/>
      </c>
      <c r="AC1922" s="79">
        <f>IF(X1922="Sin Pago","",IFERROR(INDEX(Pagos_Odoo!$G:$G, MATCH(X1922, Pagos_Odoo!$B:$B, 0)), ""))</f>
        <v/>
      </c>
      <c r="AD1922" s="82" t="n">
        <v>0</v>
      </c>
      <c r="AE1922" s="82" t="n"/>
      <c r="AF1922" s="82" t="n"/>
      <c r="AG1922" s="82">
        <f>IF(AN1922="","",AD1922+AE1922+AF1922)</f>
        <v/>
      </c>
      <c r="AH1922" s="81">
        <f>IF(AN1922="","",P1922*(1-AG1922))</f>
        <v/>
      </c>
      <c r="AI1922" s="81">
        <f>IF(AN1922="","",IF(Q1922="Sin Factura",0,IFERROR(INDEX(Facturas_Odoo!$H:$H, MATCH(Q1922, Facturas_Odoo!$B:$B, 0)), 0)*(1-AG1922)))</f>
        <v/>
      </c>
      <c r="AJ1922" s="81">
        <f>IF(AN1922="","",_xlfn.LET(idVenta, AN1922&amp;"",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22" s="81">
        <f>IF(AN1922="","",AH1922-AJ1922)</f>
        <v/>
      </c>
      <c r="AL1922" s="81">
        <f>IF(AN1922="","",IF(Q1922="Sin Factura","",AI1922-AJ1922))</f>
        <v/>
      </c>
      <c r="AM1922" s="81">
        <f>IF(AN1922="","",IF(Q1922="Sin Factura",0,P1922-IFERROR(INDEX(Facturas_Odoo!$H:$H, MATCH(Q1922, Facturas_Odoo!$B:$B, 0)), 0)))</f>
        <v/>
      </c>
      <c r="AN1922" s="79">
        <f>IF(AND(A1922="", J1922=""), "", IF(A1922&lt;&gt;"", VALUE(MID(A1922,2,LEN(A1922))), AN1921))</f>
        <v/>
      </c>
      <c r="AO1922" s="79">
        <f>IF(AN1922="","",IF(AD1922=0,"OK",_xlfn.LET(monedaPago, IF(AA1922="","USD",AA1922), limitePermitido, IFERROR(VLOOKUP(monedaPago, Configuración!$A$2:$B$3, 2, FALSE), 0.15), IF(AD1922&gt;limitePermitido, "ALERTA: EXCESO (" &amp; TEXT(limitePermitido, "0%") &amp; " máx)", "OK"))))</f>
        <v/>
      </c>
      <c r="AP1922" s="79">
        <f>IF(AN1922="","",IF(AE1922=0,"OK",_xlfn.LET(fechaPago, Z1922, fechaFactura, R1922, diasCredito, IF(E1922="Pago inmediato", 0, IFERROR(VALUE(MID(E1922, 1, SEARCH(" ", E1922)-1)),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22" s="79">
        <f>IF(AN1922="","",IF(AND(N1922&gt;0, AG1922&gt;0), IF(Configuración!$K$2="NO", "ALERTA: DESCUENTO DOBLE NO PERMITIDO", "OK"), "OK"))</f>
        <v/>
      </c>
      <c r="AR1922" s="79">
        <f>IF(AN1922="","",IF(OR(AO1922&lt;&gt;"OK", AP1922&lt;&gt;"OK", AQ1922&lt;&gt;"OK"), "⚠️ REVISAR", "OK"))</f>
        <v/>
      </c>
    </row>
    <row r="1923">
      <c r="A1923" s="79">
        <f>IF('Ordenes_Odoo'!A1923="","",'Ordenes_Odoo'!A1923)</f>
        <v/>
      </c>
      <c r="B1923" s="80">
        <f>IF('Ordenes_Odoo'!B1923="","",'Ordenes_Odoo'!B1923)</f>
        <v/>
      </c>
      <c r="C1923" s="79">
        <f>IF('Ordenes_Odoo'!C1923="","",'Ordenes_Odoo'!C1923)</f>
        <v/>
      </c>
      <c r="D1923" s="79">
        <f>IF('Ordenes_Odoo'!D1923="","",'Ordenes_Odoo'!D1923)</f>
        <v/>
      </c>
      <c r="E1923" s="79">
        <f>IF('Ordenes_Odoo'!E1923="","",'Ordenes_Odoo'!E1923)</f>
        <v/>
      </c>
      <c r="F1923" s="79">
        <f>IF('Ordenes_Odoo'!F1923="","",'Ordenes_Odoo'!F1923)</f>
        <v/>
      </c>
      <c r="G1923" s="79">
        <f>IF('Ordenes_Odoo'!G1923="","",'Ordenes_Odoo'!G1923)</f>
        <v/>
      </c>
      <c r="H1923" s="79">
        <f>IF('Ordenes_Odoo'!H1923="","",'Ordenes_Odoo'!H1923)</f>
        <v/>
      </c>
      <c r="I1923" s="79">
        <f>IF('Ordenes_Odoo'!I1923="","",'Ordenes_Odoo'!I1923)</f>
        <v/>
      </c>
      <c r="J1923" s="79">
        <f>IF('Ordenes_Odoo'!J1923="","",'Ordenes_Odoo'!J1923)</f>
        <v/>
      </c>
      <c r="K1923" s="81">
        <f>IF('Ordenes_Odoo'!K1923="","",'Ordenes_Odoo'!K1923)</f>
        <v/>
      </c>
      <c r="L1923" s="81">
        <f>IF('Ordenes_Odoo'!L1923="","",'Ordenes_Odoo'!L1923)</f>
        <v/>
      </c>
      <c r="M1923" s="79">
        <f>IF('Ordenes_Odoo'!M1923="","",'Ordenes_Odoo'!M1923)</f>
        <v/>
      </c>
      <c r="N1923" s="79">
        <f>IF('Ordenes_Odoo'!N1923="","",'Ordenes_Odoo'!N1923)</f>
        <v/>
      </c>
      <c r="O1923" s="81">
        <f>IF('Ordenes_Odoo'!O1923="","",'Ordenes_Odoo'!O1923)</f>
        <v/>
      </c>
      <c r="P1923" s="81">
        <f>IF('Ordenes_Odoo'!P1923="","",'Ordenes_Odoo'!P1923)</f>
        <v/>
      </c>
      <c r="Q1923" s="79">
        <f>IF(A1923="","",IFERROR(INDEX(Facturas_Odoo!$B:$B, MATCH(A1923, Facturas_Odoo!$D:$D, 0)), "Sin Factura"))</f>
        <v/>
      </c>
      <c r="R1923" s="80">
        <f>IF(Q1923="Sin Factura","",IFERROR(INDEX(Facturas_Odoo!$A:$A, MATCH(Q1923, Facturas_Odoo!$B:$B, 0)), ""))</f>
        <v/>
      </c>
      <c r="S1923" s="79">
        <f>IF(Q1923="Sin Factura","",IFERROR(_xlfn.XLOOKUP(1, (Facturas_Odoo!$D:$D=A1923) * (Facturas_Odoo!$K:$K=I1923), Facturas_Odoo!$L:$L, ""), ""))</f>
        <v/>
      </c>
      <c r="T1923" s="81">
        <f>IF(Q1923="Sin Factura",0,IFERROR(_xlfn.XLOOKUP(1, (Facturas_Odoo!$D:$D=A1923) * (Facturas_Odoo!$K:$K=I1923), Facturas_Odoo!$M:$M, 0), 0))</f>
        <v/>
      </c>
      <c r="U1923" s="79">
        <f>IF(Q1923="Sin Factura",0,IFERROR(_xlfn.XLOOKUP(1, (Facturas_Odoo!$D:$D=A1923) * (Facturas_Odoo!$K:$K=I1923), Facturas_Odoo!$N:$N, 0), 0))</f>
        <v/>
      </c>
      <c r="V1923" s="79">
        <f>IF(Q1923="Sin Factura",0,IFERROR(_xlfn.XLOOKUP(1, (Facturas_Odoo!$D:$D=A1923) * (Facturas_Odoo!$K:$K=I1923), Facturas_Odoo!$O:$O, 0), 0))</f>
        <v/>
      </c>
      <c r="W1923" s="81">
        <f>IF(Q1923="Sin Factura",0,IFERROR(_xlfn.XLOOKUP(1, (Facturas_Odoo!$D:$D=A1923) * (Facturas_Odoo!$K:$K=I1923), Facturas_Odoo!$Q:$Q, 0), 0))</f>
        <v/>
      </c>
      <c r="X1923" s="79">
        <f>IF(OR(Q1923="Sin Factura",Q1923=""),"",IFERROR(INDEX(Pagos_Odoo!$B:$B, MATCH(Q1923, Pagos_Odoo!$I:$I, 0)), "Sin Pago"))</f>
        <v/>
      </c>
      <c r="Y1923" s="79">
        <f>IF(X1923="Sin Pago","",IFERROR(INDEX(Pagos_Odoo!$C:$C, MATCH(X1923, Pagos_Odoo!$B:$B, 0)), ""))</f>
        <v/>
      </c>
      <c r="Z1923" s="80">
        <f>IF(X1923="Sin Pago","",IFERROR(INDEX(Pagos_Odoo!$A:$A, MATCH(X1923, Pagos_Odoo!$B:$B, 0)), ""))</f>
        <v/>
      </c>
      <c r="AA1923" s="79">
        <f>IF(X1923="Sin Pago","",IFERROR(INDEX(Pagos_Odoo!$F:$F, MATCH(X1923, Pagos_Odoo!$B:$B, 0)), ""))</f>
        <v/>
      </c>
      <c r="AB1923" s="81">
        <f>IF(X1923="Sin Pago",0,IFERROR(INDEX(Pagos_Odoo!$E:$E, MATCH(X1923, Pagos_Odoo!$B:$B, 0)), 0))</f>
        <v/>
      </c>
      <c r="AC1923" s="79">
        <f>IF(X1923="Sin Pago","",IFERROR(INDEX(Pagos_Odoo!$G:$G, MATCH(X1923, Pagos_Odoo!$B:$B, 0)), ""))</f>
        <v/>
      </c>
      <c r="AD1923" s="82" t="n">
        <v>0</v>
      </c>
      <c r="AE1923" s="82" t="n"/>
      <c r="AF1923" s="82" t="n"/>
      <c r="AG1923" s="82">
        <f>IF(AN1923="","",AD1923+AE1923+AF1923)</f>
        <v/>
      </c>
      <c r="AH1923" s="81">
        <f>IF(AN1923="","",P1923*(1-AG1923))</f>
        <v/>
      </c>
      <c r="AI1923" s="81">
        <f>IF(AN1923="","",IF(Q1923="Sin Factura",0,IFERROR(INDEX(Facturas_Odoo!$H:$H, MATCH(Q1923, Facturas_Odoo!$B:$B, 0)), 0)*(1-AG1923)))</f>
        <v/>
      </c>
      <c r="AJ1923" s="81">
        <f>IF(AN1923="","",_xlfn.LET(idVenta, AN1923&amp;"",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23" s="81">
        <f>IF(AN1923="","",AH1923-AJ1923)</f>
        <v/>
      </c>
      <c r="AL1923" s="81">
        <f>IF(AN1923="","",IF(Q1923="Sin Factura","",AI1923-AJ1923))</f>
        <v/>
      </c>
      <c r="AM1923" s="81">
        <f>IF(AN1923="","",IF(Q1923="Sin Factura",0,P1923-IFERROR(INDEX(Facturas_Odoo!$H:$H, MATCH(Q1923, Facturas_Odoo!$B:$B, 0)), 0)))</f>
        <v/>
      </c>
      <c r="AN1923" s="79">
        <f>IF(AND(A1923="", J1923=""), "", IF(A1923&lt;&gt;"", VALUE(MID(A1923,2,LEN(A1923))), AN1922))</f>
        <v/>
      </c>
      <c r="AO1923" s="79">
        <f>IF(AN1923="","",IF(AD1923=0,"OK",_xlfn.LET(monedaPago, IF(AA1923="","USD",AA1923), limitePermitido, IFERROR(VLOOKUP(monedaPago, Configuración!$A$2:$B$3, 2, FALSE), 0.15), IF(AD1923&gt;limitePermitido, "ALERTA: EXCESO (" &amp; TEXT(limitePermitido, "0%") &amp; " máx)", "OK"))))</f>
        <v/>
      </c>
      <c r="AP1923" s="79">
        <f>IF(AN1923="","",IF(AE1923=0,"OK",_xlfn.LET(fechaPago, Z1923, fechaFactura, R1923, diasCredito, IF(E1923="Pago inmediato", 0, IFERROR(VALUE(MID(E1923, 1, SEARCH(" ", E1923)-1)),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23" s="79">
        <f>IF(AN1923="","",IF(AND(N1923&gt;0, AG1923&gt;0), IF(Configuración!$K$2="NO", "ALERTA: DESCUENTO DOBLE NO PERMITIDO", "OK"), "OK"))</f>
        <v/>
      </c>
      <c r="AR1923" s="79">
        <f>IF(AN1923="","",IF(OR(AO1923&lt;&gt;"OK", AP1923&lt;&gt;"OK", AQ1923&lt;&gt;"OK"), "⚠️ REVISAR", "OK"))</f>
        <v/>
      </c>
    </row>
    <row r="1924">
      <c r="A1924" s="79">
        <f>IF('Ordenes_Odoo'!A1924="","",'Ordenes_Odoo'!A1924)</f>
        <v/>
      </c>
      <c r="B1924" s="80">
        <f>IF('Ordenes_Odoo'!B1924="","",'Ordenes_Odoo'!B1924)</f>
        <v/>
      </c>
      <c r="C1924" s="79">
        <f>IF('Ordenes_Odoo'!C1924="","",'Ordenes_Odoo'!C1924)</f>
        <v/>
      </c>
      <c r="D1924" s="79">
        <f>IF('Ordenes_Odoo'!D1924="","",'Ordenes_Odoo'!D1924)</f>
        <v/>
      </c>
      <c r="E1924" s="79">
        <f>IF('Ordenes_Odoo'!E1924="","",'Ordenes_Odoo'!E1924)</f>
        <v/>
      </c>
      <c r="F1924" s="79">
        <f>IF('Ordenes_Odoo'!F1924="","",'Ordenes_Odoo'!F1924)</f>
        <v/>
      </c>
      <c r="G1924" s="79">
        <f>IF('Ordenes_Odoo'!G1924="","",'Ordenes_Odoo'!G1924)</f>
        <v/>
      </c>
      <c r="H1924" s="79">
        <f>IF('Ordenes_Odoo'!H1924="","",'Ordenes_Odoo'!H1924)</f>
        <v/>
      </c>
      <c r="I1924" s="79">
        <f>IF('Ordenes_Odoo'!I1924="","",'Ordenes_Odoo'!I1924)</f>
        <v/>
      </c>
      <c r="J1924" s="79">
        <f>IF('Ordenes_Odoo'!J1924="","",'Ordenes_Odoo'!J1924)</f>
        <v/>
      </c>
      <c r="K1924" s="81">
        <f>IF('Ordenes_Odoo'!K1924="","",'Ordenes_Odoo'!K1924)</f>
        <v/>
      </c>
      <c r="L1924" s="81">
        <f>IF('Ordenes_Odoo'!L1924="","",'Ordenes_Odoo'!L1924)</f>
        <v/>
      </c>
      <c r="M1924" s="79">
        <f>IF('Ordenes_Odoo'!M1924="","",'Ordenes_Odoo'!M1924)</f>
        <v/>
      </c>
      <c r="N1924" s="79">
        <f>IF('Ordenes_Odoo'!N1924="","",'Ordenes_Odoo'!N1924)</f>
        <v/>
      </c>
      <c r="O1924" s="81">
        <f>IF('Ordenes_Odoo'!O1924="","",'Ordenes_Odoo'!O1924)</f>
        <v/>
      </c>
      <c r="P1924" s="81">
        <f>IF('Ordenes_Odoo'!P1924="","",'Ordenes_Odoo'!P1924)</f>
        <v/>
      </c>
      <c r="Q1924" s="79">
        <f>IF(A1924="","",IFERROR(INDEX(Facturas_Odoo!$B:$B, MATCH(A1924, Facturas_Odoo!$D:$D, 0)), "Sin Factura"))</f>
        <v/>
      </c>
      <c r="R1924" s="80">
        <f>IF(Q1924="Sin Factura","",IFERROR(INDEX(Facturas_Odoo!$A:$A, MATCH(Q1924, Facturas_Odoo!$B:$B, 0)), ""))</f>
        <v/>
      </c>
      <c r="S1924" s="79">
        <f>IF(Q1924="Sin Factura","",IFERROR(_xlfn.XLOOKUP(1, (Facturas_Odoo!$D:$D=A1924) * (Facturas_Odoo!$K:$K=I1924), Facturas_Odoo!$L:$L, ""), ""))</f>
        <v/>
      </c>
      <c r="T1924" s="81">
        <f>IF(Q1924="Sin Factura",0,IFERROR(_xlfn.XLOOKUP(1, (Facturas_Odoo!$D:$D=A1924) * (Facturas_Odoo!$K:$K=I1924), Facturas_Odoo!$M:$M, 0), 0))</f>
        <v/>
      </c>
      <c r="U1924" s="79">
        <f>IF(Q1924="Sin Factura",0,IFERROR(_xlfn.XLOOKUP(1, (Facturas_Odoo!$D:$D=A1924) * (Facturas_Odoo!$K:$K=I1924), Facturas_Odoo!$N:$N, 0), 0))</f>
        <v/>
      </c>
      <c r="V1924" s="79">
        <f>IF(Q1924="Sin Factura",0,IFERROR(_xlfn.XLOOKUP(1, (Facturas_Odoo!$D:$D=A1924) * (Facturas_Odoo!$K:$K=I1924), Facturas_Odoo!$O:$O, 0), 0))</f>
        <v/>
      </c>
      <c r="W1924" s="81">
        <f>IF(Q1924="Sin Factura",0,IFERROR(_xlfn.XLOOKUP(1, (Facturas_Odoo!$D:$D=A1924) * (Facturas_Odoo!$K:$K=I1924), Facturas_Odoo!$Q:$Q, 0), 0))</f>
        <v/>
      </c>
      <c r="X1924" s="79">
        <f>IF(OR(Q1924="Sin Factura",Q1924=""),"",IFERROR(INDEX(Pagos_Odoo!$B:$B, MATCH(Q1924, Pagos_Odoo!$I:$I, 0)), "Sin Pago"))</f>
        <v/>
      </c>
      <c r="Y1924" s="79">
        <f>IF(X1924="Sin Pago","",IFERROR(INDEX(Pagos_Odoo!$C:$C, MATCH(X1924, Pagos_Odoo!$B:$B, 0)), ""))</f>
        <v/>
      </c>
      <c r="Z1924" s="80">
        <f>IF(X1924="Sin Pago","",IFERROR(INDEX(Pagos_Odoo!$A:$A, MATCH(X1924, Pagos_Odoo!$B:$B, 0)), ""))</f>
        <v/>
      </c>
      <c r="AA1924" s="79">
        <f>IF(X1924="Sin Pago","",IFERROR(INDEX(Pagos_Odoo!$F:$F, MATCH(X1924, Pagos_Odoo!$B:$B, 0)), ""))</f>
        <v/>
      </c>
      <c r="AB1924" s="81">
        <f>IF(X1924="Sin Pago",0,IFERROR(INDEX(Pagos_Odoo!$E:$E, MATCH(X1924, Pagos_Odoo!$B:$B, 0)), 0))</f>
        <v/>
      </c>
      <c r="AC1924" s="79">
        <f>IF(X1924="Sin Pago","",IFERROR(INDEX(Pagos_Odoo!$G:$G, MATCH(X1924, Pagos_Odoo!$B:$B, 0)), ""))</f>
        <v/>
      </c>
      <c r="AD1924" s="82" t="n">
        <v>0</v>
      </c>
      <c r="AE1924" s="82" t="n"/>
      <c r="AF1924" s="82" t="n"/>
      <c r="AG1924" s="82">
        <f>IF(AN1924="","",AD1924+AE1924+AF1924)</f>
        <v/>
      </c>
      <c r="AH1924" s="81">
        <f>IF(AN1924="","",P1924*(1-AG1924))</f>
        <v/>
      </c>
      <c r="AI1924" s="81">
        <f>IF(AN1924="","",IF(Q1924="Sin Factura",0,IFERROR(INDEX(Facturas_Odoo!$H:$H, MATCH(Q1924, Facturas_Odoo!$B:$B, 0)), 0)*(1-AG1924)))</f>
        <v/>
      </c>
      <c r="AJ1924" s="81">
        <f>IF(AN1924="","",_xlfn.LET(idVenta, AN1924&amp;"",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24" s="81">
        <f>IF(AN1924="","",AH1924-AJ1924)</f>
        <v/>
      </c>
      <c r="AL1924" s="81">
        <f>IF(AN1924="","",IF(Q1924="Sin Factura","",AI1924-AJ1924))</f>
        <v/>
      </c>
      <c r="AM1924" s="81">
        <f>IF(AN1924="","",IF(Q1924="Sin Factura",0,P1924-IFERROR(INDEX(Facturas_Odoo!$H:$H, MATCH(Q1924, Facturas_Odoo!$B:$B, 0)), 0)))</f>
        <v/>
      </c>
      <c r="AN1924" s="79">
        <f>IF(AND(A1924="", J1924=""), "", IF(A1924&lt;&gt;"", VALUE(MID(A1924,2,LEN(A1924))), AN1923))</f>
        <v/>
      </c>
      <c r="AO1924" s="79">
        <f>IF(AN1924="","",IF(AD1924=0,"OK",_xlfn.LET(monedaPago, IF(AA1924="","USD",AA1924), limitePermitido, IFERROR(VLOOKUP(monedaPago, Configuración!$A$2:$B$3, 2, FALSE), 0.15), IF(AD1924&gt;limitePermitido, "ALERTA: EXCESO (" &amp; TEXT(limitePermitido, "0%") &amp; " máx)", "OK"))))</f>
        <v/>
      </c>
      <c r="AP1924" s="79">
        <f>IF(AN1924="","",IF(AE1924=0,"OK",_xlfn.LET(fechaPago, Z1924, fechaFactura, R1924, diasCredito, IF(E1924="Pago inmediato", 0, IFERROR(VALUE(MID(E1924, 1, SEARCH(" ", E1924)-1)),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24" s="79">
        <f>IF(AN1924="","",IF(AND(N1924&gt;0, AG1924&gt;0), IF(Configuración!$K$2="NO", "ALERTA: DESCUENTO DOBLE NO PERMITIDO", "OK"), "OK"))</f>
        <v/>
      </c>
      <c r="AR1924" s="79">
        <f>IF(AN1924="","",IF(OR(AO1924&lt;&gt;"OK", AP1924&lt;&gt;"OK", AQ1924&lt;&gt;"OK"), "⚠️ REVISAR", "OK"))</f>
        <v/>
      </c>
    </row>
    <row r="1925">
      <c r="A1925" s="79">
        <f>IF('Ordenes_Odoo'!A1925="","",'Ordenes_Odoo'!A1925)</f>
        <v/>
      </c>
      <c r="B1925" s="80">
        <f>IF('Ordenes_Odoo'!B1925="","",'Ordenes_Odoo'!B1925)</f>
        <v/>
      </c>
      <c r="C1925" s="79">
        <f>IF('Ordenes_Odoo'!C1925="","",'Ordenes_Odoo'!C1925)</f>
        <v/>
      </c>
      <c r="D1925" s="79">
        <f>IF('Ordenes_Odoo'!D1925="","",'Ordenes_Odoo'!D1925)</f>
        <v/>
      </c>
      <c r="E1925" s="79">
        <f>IF('Ordenes_Odoo'!E1925="","",'Ordenes_Odoo'!E1925)</f>
        <v/>
      </c>
      <c r="F1925" s="79">
        <f>IF('Ordenes_Odoo'!F1925="","",'Ordenes_Odoo'!F1925)</f>
        <v/>
      </c>
      <c r="G1925" s="79">
        <f>IF('Ordenes_Odoo'!G1925="","",'Ordenes_Odoo'!G1925)</f>
        <v/>
      </c>
      <c r="H1925" s="79">
        <f>IF('Ordenes_Odoo'!H1925="","",'Ordenes_Odoo'!H1925)</f>
        <v/>
      </c>
      <c r="I1925" s="79">
        <f>IF('Ordenes_Odoo'!I1925="","",'Ordenes_Odoo'!I1925)</f>
        <v/>
      </c>
      <c r="J1925" s="79">
        <f>IF('Ordenes_Odoo'!J1925="","",'Ordenes_Odoo'!J1925)</f>
        <v/>
      </c>
      <c r="K1925" s="81">
        <f>IF('Ordenes_Odoo'!K1925="","",'Ordenes_Odoo'!K1925)</f>
        <v/>
      </c>
      <c r="L1925" s="81">
        <f>IF('Ordenes_Odoo'!L1925="","",'Ordenes_Odoo'!L1925)</f>
        <v/>
      </c>
      <c r="M1925" s="79">
        <f>IF('Ordenes_Odoo'!M1925="","",'Ordenes_Odoo'!M1925)</f>
        <v/>
      </c>
      <c r="N1925" s="79">
        <f>IF('Ordenes_Odoo'!N1925="","",'Ordenes_Odoo'!N1925)</f>
        <v/>
      </c>
      <c r="O1925" s="81">
        <f>IF('Ordenes_Odoo'!O1925="","",'Ordenes_Odoo'!O1925)</f>
        <v/>
      </c>
      <c r="P1925" s="81">
        <f>IF('Ordenes_Odoo'!P1925="","",'Ordenes_Odoo'!P1925)</f>
        <v/>
      </c>
      <c r="Q1925" s="79">
        <f>IF(A1925="","",IFERROR(INDEX(Facturas_Odoo!$B:$B, MATCH(A1925, Facturas_Odoo!$D:$D, 0)), "Sin Factura"))</f>
        <v/>
      </c>
      <c r="R1925" s="80">
        <f>IF(Q1925="Sin Factura","",IFERROR(INDEX(Facturas_Odoo!$A:$A, MATCH(Q1925, Facturas_Odoo!$B:$B, 0)), ""))</f>
        <v/>
      </c>
      <c r="S1925" s="79">
        <f>IF(Q1925="Sin Factura","",IFERROR(_xlfn.XLOOKUP(1, (Facturas_Odoo!$D:$D=A1925) * (Facturas_Odoo!$K:$K=I1925), Facturas_Odoo!$L:$L, ""), ""))</f>
        <v/>
      </c>
      <c r="T1925" s="81">
        <f>IF(Q1925="Sin Factura",0,IFERROR(_xlfn.XLOOKUP(1, (Facturas_Odoo!$D:$D=A1925) * (Facturas_Odoo!$K:$K=I1925), Facturas_Odoo!$M:$M, 0), 0))</f>
        <v/>
      </c>
      <c r="U1925" s="79">
        <f>IF(Q1925="Sin Factura",0,IFERROR(_xlfn.XLOOKUP(1, (Facturas_Odoo!$D:$D=A1925) * (Facturas_Odoo!$K:$K=I1925), Facturas_Odoo!$N:$N, 0), 0))</f>
        <v/>
      </c>
      <c r="V1925" s="79">
        <f>IF(Q1925="Sin Factura",0,IFERROR(_xlfn.XLOOKUP(1, (Facturas_Odoo!$D:$D=A1925) * (Facturas_Odoo!$K:$K=I1925), Facturas_Odoo!$O:$O, 0), 0))</f>
        <v/>
      </c>
      <c r="W1925" s="81">
        <f>IF(Q1925="Sin Factura",0,IFERROR(_xlfn.XLOOKUP(1, (Facturas_Odoo!$D:$D=A1925) * (Facturas_Odoo!$K:$K=I1925), Facturas_Odoo!$Q:$Q, 0), 0))</f>
        <v/>
      </c>
      <c r="X1925" s="79">
        <f>IF(OR(Q1925="Sin Factura",Q1925=""),"",IFERROR(INDEX(Pagos_Odoo!$B:$B, MATCH(Q1925, Pagos_Odoo!$I:$I, 0)), "Sin Pago"))</f>
        <v/>
      </c>
      <c r="Y1925" s="79">
        <f>IF(X1925="Sin Pago","",IFERROR(INDEX(Pagos_Odoo!$C:$C, MATCH(X1925, Pagos_Odoo!$B:$B, 0)), ""))</f>
        <v/>
      </c>
      <c r="Z1925" s="80">
        <f>IF(X1925="Sin Pago","",IFERROR(INDEX(Pagos_Odoo!$A:$A, MATCH(X1925, Pagos_Odoo!$B:$B, 0)), ""))</f>
        <v/>
      </c>
      <c r="AA1925" s="79">
        <f>IF(X1925="Sin Pago","",IFERROR(INDEX(Pagos_Odoo!$F:$F, MATCH(X1925, Pagos_Odoo!$B:$B, 0)), ""))</f>
        <v/>
      </c>
      <c r="AB1925" s="81">
        <f>IF(X1925="Sin Pago",0,IFERROR(INDEX(Pagos_Odoo!$E:$E, MATCH(X1925, Pagos_Odoo!$B:$B, 0)), 0))</f>
        <v/>
      </c>
      <c r="AC1925" s="79">
        <f>IF(X1925="Sin Pago","",IFERROR(INDEX(Pagos_Odoo!$G:$G, MATCH(X1925, Pagos_Odoo!$B:$B, 0)), ""))</f>
        <v/>
      </c>
      <c r="AD1925" s="82" t="n">
        <v>0</v>
      </c>
      <c r="AE1925" s="82" t="n"/>
      <c r="AF1925" s="82" t="n"/>
      <c r="AG1925" s="82">
        <f>IF(AN1925="","",AD1925+AE1925+AF1925)</f>
        <v/>
      </c>
      <c r="AH1925" s="81">
        <f>IF(AN1925="","",P1925*(1-AG1925))</f>
        <v/>
      </c>
      <c r="AI1925" s="81">
        <f>IF(AN1925="","",IF(Q1925="Sin Factura",0,IFERROR(INDEX(Facturas_Odoo!$H:$H, MATCH(Q1925, Facturas_Odoo!$B:$B, 0)), 0)*(1-AG1925)))</f>
        <v/>
      </c>
      <c r="AJ1925" s="81">
        <f>IF(AN1925="","",_xlfn.LET(idVenta, AN1925&amp;"",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25" s="81">
        <f>IF(AN1925="","",AH1925-AJ1925)</f>
        <v/>
      </c>
      <c r="AL1925" s="81">
        <f>IF(AN1925="","",IF(Q1925="Sin Factura","",AI1925-AJ1925))</f>
        <v/>
      </c>
      <c r="AM1925" s="81">
        <f>IF(AN1925="","",IF(Q1925="Sin Factura",0,P1925-IFERROR(INDEX(Facturas_Odoo!$H:$H, MATCH(Q1925, Facturas_Odoo!$B:$B, 0)), 0)))</f>
        <v/>
      </c>
      <c r="AN1925" s="79">
        <f>IF(AND(A1925="", J1925=""), "", IF(A1925&lt;&gt;"", VALUE(MID(A1925,2,LEN(A1925))), AN1924))</f>
        <v/>
      </c>
      <c r="AO1925" s="79">
        <f>IF(AN1925="","",IF(AD1925=0,"OK",_xlfn.LET(monedaPago, IF(AA1925="","USD",AA1925), limitePermitido, IFERROR(VLOOKUP(monedaPago, Configuración!$A$2:$B$3, 2, FALSE), 0.15), IF(AD1925&gt;limitePermitido, "ALERTA: EXCESO (" &amp; TEXT(limitePermitido, "0%") &amp; " máx)", "OK"))))</f>
        <v/>
      </c>
      <c r="AP1925" s="79">
        <f>IF(AN1925="","",IF(AE1925=0,"OK",_xlfn.LET(fechaPago, Z1925, fechaFactura, R1925, diasCredito, IF(E1925="Pago inmediato", 0, IFERROR(VALUE(MID(E1925, 1, SEARCH(" ", E1925)-1)),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25" s="79">
        <f>IF(AN1925="","",IF(AND(N1925&gt;0, AG1925&gt;0), IF(Configuración!$K$2="NO", "ALERTA: DESCUENTO DOBLE NO PERMITIDO", "OK"), "OK"))</f>
        <v/>
      </c>
      <c r="AR1925" s="79">
        <f>IF(AN1925="","",IF(OR(AO1925&lt;&gt;"OK", AP1925&lt;&gt;"OK", AQ1925&lt;&gt;"OK"), "⚠️ REVISAR", "OK"))</f>
        <v/>
      </c>
    </row>
    <row r="1926">
      <c r="A1926" s="79">
        <f>IF('Ordenes_Odoo'!A1926="","",'Ordenes_Odoo'!A1926)</f>
        <v/>
      </c>
      <c r="B1926" s="80">
        <f>IF('Ordenes_Odoo'!B1926="","",'Ordenes_Odoo'!B1926)</f>
        <v/>
      </c>
      <c r="C1926" s="79">
        <f>IF('Ordenes_Odoo'!C1926="","",'Ordenes_Odoo'!C1926)</f>
        <v/>
      </c>
      <c r="D1926" s="79">
        <f>IF('Ordenes_Odoo'!D1926="","",'Ordenes_Odoo'!D1926)</f>
        <v/>
      </c>
      <c r="E1926" s="79">
        <f>IF('Ordenes_Odoo'!E1926="","",'Ordenes_Odoo'!E1926)</f>
        <v/>
      </c>
      <c r="F1926" s="79">
        <f>IF('Ordenes_Odoo'!F1926="","",'Ordenes_Odoo'!F1926)</f>
        <v/>
      </c>
      <c r="G1926" s="79">
        <f>IF('Ordenes_Odoo'!G1926="","",'Ordenes_Odoo'!G1926)</f>
        <v/>
      </c>
      <c r="H1926" s="79">
        <f>IF('Ordenes_Odoo'!H1926="","",'Ordenes_Odoo'!H1926)</f>
        <v/>
      </c>
      <c r="I1926" s="79">
        <f>IF('Ordenes_Odoo'!I1926="","",'Ordenes_Odoo'!I1926)</f>
        <v/>
      </c>
      <c r="J1926" s="79">
        <f>IF('Ordenes_Odoo'!J1926="","",'Ordenes_Odoo'!J1926)</f>
        <v/>
      </c>
      <c r="K1926" s="81">
        <f>IF('Ordenes_Odoo'!K1926="","",'Ordenes_Odoo'!K1926)</f>
        <v/>
      </c>
      <c r="L1926" s="81">
        <f>IF('Ordenes_Odoo'!L1926="","",'Ordenes_Odoo'!L1926)</f>
        <v/>
      </c>
      <c r="M1926" s="79">
        <f>IF('Ordenes_Odoo'!M1926="","",'Ordenes_Odoo'!M1926)</f>
        <v/>
      </c>
      <c r="N1926" s="79">
        <f>IF('Ordenes_Odoo'!N1926="","",'Ordenes_Odoo'!N1926)</f>
        <v/>
      </c>
      <c r="O1926" s="81">
        <f>IF('Ordenes_Odoo'!O1926="","",'Ordenes_Odoo'!O1926)</f>
        <v/>
      </c>
      <c r="P1926" s="81">
        <f>IF('Ordenes_Odoo'!P1926="","",'Ordenes_Odoo'!P1926)</f>
        <v/>
      </c>
      <c r="Q1926" s="79">
        <f>IF(A1926="","",IFERROR(INDEX(Facturas_Odoo!$B:$B, MATCH(A1926, Facturas_Odoo!$D:$D, 0)), "Sin Factura"))</f>
        <v/>
      </c>
      <c r="R1926" s="80">
        <f>IF(Q1926="Sin Factura","",IFERROR(INDEX(Facturas_Odoo!$A:$A, MATCH(Q1926, Facturas_Odoo!$B:$B, 0)), ""))</f>
        <v/>
      </c>
      <c r="S1926" s="79">
        <f>IF(Q1926="Sin Factura","",IFERROR(_xlfn.XLOOKUP(1, (Facturas_Odoo!$D:$D=A1926) * (Facturas_Odoo!$K:$K=I1926), Facturas_Odoo!$L:$L, ""), ""))</f>
        <v/>
      </c>
      <c r="T1926" s="81">
        <f>IF(Q1926="Sin Factura",0,IFERROR(_xlfn.XLOOKUP(1, (Facturas_Odoo!$D:$D=A1926) * (Facturas_Odoo!$K:$K=I1926), Facturas_Odoo!$M:$M, 0), 0))</f>
        <v/>
      </c>
      <c r="U1926" s="79">
        <f>IF(Q1926="Sin Factura",0,IFERROR(_xlfn.XLOOKUP(1, (Facturas_Odoo!$D:$D=A1926) * (Facturas_Odoo!$K:$K=I1926), Facturas_Odoo!$N:$N, 0), 0))</f>
        <v/>
      </c>
      <c r="V1926" s="79">
        <f>IF(Q1926="Sin Factura",0,IFERROR(_xlfn.XLOOKUP(1, (Facturas_Odoo!$D:$D=A1926) * (Facturas_Odoo!$K:$K=I1926), Facturas_Odoo!$O:$O, 0), 0))</f>
        <v/>
      </c>
      <c r="W1926" s="81">
        <f>IF(Q1926="Sin Factura",0,IFERROR(_xlfn.XLOOKUP(1, (Facturas_Odoo!$D:$D=A1926) * (Facturas_Odoo!$K:$K=I1926), Facturas_Odoo!$Q:$Q, 0), 0))</f>
        <v/>
      </c>
      <c r="X1926" s="79">
        <f>IF(OR(Q1926="Sin Factura",Q1926=""),"",IFERROR(INDEX(Pagos_Odoo!$B:$B, MATCH(Q1926, Pagos_Odoo!$I:$I, 0)), "Sin Pago"))</f>
        <v/>
      </c>
      <c r="Y1926" s="79">
        <f>IF(X1926="Sin Pago","",IFERROR(INDEX(Pagos_Odoo!$C:$C, MATCH(X1926, Pagos_Odoo!$B:$B, 0)), ""))</f>
        <v/>
      </c>
      <c r="Z1926" s="80">
        <f>IF(X1926="Sin Pago","",IFERROR(INDEX(Pagos_Odoo!$A:$A, MATCH(X1926, Pagos_Odoo!$B:$B, 0)), ""))</f>
        <v/>
      </c>
      <c r="AA1926" s="79">
        <f>IF(X1926="Sin Pago","",IFERROR(INDEX(Pagos_Odoo!$F:$F, MATCH(X1926, Pagos_Odoo!$B:$B, 0)), ""))</f>
        <v/>
      </c>
      <c r="AB1926" s="81">
        <f>IF(X1926="Sin Pago",0,IFERROR(INDEX(Pagos_Odoo!$E:$E, MATCH(X1926, Pagos_Odoo!$B:$B, 0)), 0))</f>
        <v/>
      </c>
      <c r="AC1926" s="79">
        <f>IF(X1926="Sin Pago","",IFERROR(INDEX(Pagos_Odoo!$G:$G, MATCH(X1926, Pagos_Odoo!$B:$B, 0)), ""))</f>
        <v/>
      </c>
      <c r="AD1926" s="82" t="n">
        <v>0</v>
      </c>
      <c r="AE1926" s="82" t="n"/>
      <c r="AF1926" s="82" t="n"/>
      <c r="AG1926" s="82">
        <f>IF(AN1926="","",AD1926+AE1926+AF1926)</f>
        <v/>
      </c>
      <c r="AH1926" s="81">
        <f>IF(AN1926="","",P1926*(1-AG1926))</f>
        <v/>
      </c>
      <c r="AI1926" s="81">
        <f>IF(AN1926="","",IF(Q1926="Sin Factura",0,IFERROR(INDEX(Facturas_Odoo!$H:$H, MATCH(Q1926, Facturas_Odoo!$B:$B, 0)), 0)*(1-AG1926)))</f>
        <v/>
      </c>
      <c r="AJ1926" s="81">
        <f>IF(AN1926="","",_xlfn.LET(idVenta, AN1926&amp;"",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26" s="81">
        <f>IF(AN1926="","",AH1926-AJ1926)</f>
        <v/>
      </c>
      <c r="AL1926" s="81">
        <f>IF(AN1926="","",IF(Q1926="Sin Factura","",AI1926-AJ1926))</f>
        <v/>
      </c>
      <c r="AM1926" s="81">
        <f>IF(AN1926="","",IF(Q1926="Sin Factura",0,P1926-IFERROR(INDEX(Facturas_Odoo!$H:$H, MATCH(Q1926, Facturas_Odoo!$B:$B, 0)), 0)))</f>
        <v/>
      </c>
      <c r="AN1926" s="79">
        <f>IF(AND(A1926="", J1926=""), "", IF(A1926&lt;&gt;"", VALUE(MID(A1926,2,LEN(A1926))), AN1925))</f>
        <v/>
      </c>
      <c r="AO1926" s="79">
        <f>IF(AN1926="","",IF(AD1926=0,"OK",_xlfn.LET(monedaPago, IF(AA1926="","USD",AA1926), limitePermitido, IFERROR(VLOOKUP(monedaPago, Configuración!$A$2:$B$3, 2, FALSE), 0.15), IF(AD1926&gt;limitePermitido, "ALERTA: EXCESO (" &amp; TEXT(limitePermitido, "0%") &amp; " máx)", "OK"))))</f>
        <v/>
      </c>
      <c r="AP1926" s="79">
        <f>IF(AN1926="","",IF(AE1926=0,"OK",_xlfn.LET(fechaPago, Z1926, fechaFactura, R1926, diasCredito, IF(E1926="Pago inmediato", 0, IFERROR(VALUE(MID(E1926, 1, SEARCH(" ", E1926)-1)),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26" s="79">
        <f>IF(AN1926="","",IF(AND(N1926&gt;0, AG1926&gt;0), IF(Configuración!$K$2="NO", "ALERTA: DESCUENTO DOBLE NO PERMITIDO", "OK"), "OK"))</f>
        <v/>
      </c>
      <c r="AR1926" s="79">
        <f>IF(AN1926="","",IF(OR(AO1926&lt;&gt;"OK", AP1926&lt;&gt;"OK", AQ1926&lt;&gt;"OK"), "⚠️ REVISAR", "OK"))</f>
        <v/>
      </c>
    </row>
    <row r="1927">
      <c r="A1927" s="79">
        <f>IF('Ordenes_Odoo'!A1927="","",'Ordenes_Odoo'!A1927)</f>
        <v/>
      </c>
      <c r="B1927" s="80">
        <f>IF('Ordenes_Odoo'!B1927="","",'Ordenes_Odoo'!B1927)</f>
        <v/>
      </c>
      <c r="C1927" s="79">
        <f>IF('Ordenes_Odoo'!C1927="","",'Ordenes_Odoo'!C1927)</f>
        <v/>
      </c>
      <c r="D1927" s="79">
        <f>IF('Ordenes_Odoo'!D1927="","",'Ordenes_Odoo'!D1927)</f>
        <v/>
      </c>
      <c r="E1927" s="79">
        <f>IF('Ordenes_Odoo'!E1927="","",'Ordenes_Odoo'!E1927)</f>
        <v/>
      </c>
      <c r="F1927" s="79">
        <f>IF('Ordenes_Odoo'!F1927="","",'Ordenes_Odoo'!F1927)</f>
        <v/>
      </c>
      <c r="G1927" s="79">
        <f>IF('Ordenes_Odoo'!G1927="","",'Ordenes_Odoo'!G1927)</f>
        <v/>
      </c>
      <c r="H1927" s="79">
        <f>IF('Ordenes_Odoo'!H1927="","",'Ordenes_Odoo'!H1927)</f>
        <v/>
      </c>
      <c r="I1927" s="79">
        <f>IF('Ordenes_Odoo'!I1927="","",'Ordenes_Odoo'!I1927)</f>
        <v/>
      </c>
      <c r="J1927" s="79">
        <f>IF('Ordenes_Odoo'!J1927="","",'Ordenes_Odoo'!J1927)</f>
        <v/>
      </c>
      <c r="K1927" s="81">
        <f>IF('Ordenes_Odoo'!K1927="","",'Ordenes_Odoo'!K1927)</f>
        <v/>
      </c>
      <c r="L1927" s="81">
        <f>IF('Ordenes_Odoo'!L1927="","",'Ordenes_Odoo'!L1927)</f>
        <v/>
      </c>
      <c r="M1927" s="79">
        <f>IF('Ordenes_Odoo'!M1927="","",'Ordenes_Odoo'!M1927)</f>
        <v/>
      </c>
      <c r="N1927" s="79">
        <f>IF('Ordenes_Odoo'!N1927="","",'Ordenes_Odoo'!N1927)</f>
        <v/>
      </c>
      <c r="O1927" s="81">
        <f>IF('Ordenes_Odoo'!O1927="","",'Ordenes_Odoo'!O1927)</f>
        <v/>
      </c>
      <c r="P1927" s="81">
        <f>IF('Ordenes_Odoo'!P1927="","",'Ordenes_Odoo'!P1927)</f>
        <v/>
      </c>
      <c r="Q1927" s="79">
        <f>IF(A1927="","",IFERROR(INDEX(Facturas_Odoo!$B:$B, MATCH(A1927, Facturas_Odoo!$D:$D, 0)), "Sin Factura"))</f>
        <v/>
      </c>
      <c r="R1927" s="80">
        <f>IF(Q1927="Sin Factura","",IFERROR(INDEX(Facturas_Odoo!$A:$A, MATCH(Q1927, Facturas_Odoo!$B:$B, 0)), ""))</f>
        <v/>
      </c>
      <c r="S1927" s="79">
        <f>IF(Q1927="Sin Factura","",IFERROR(_xlfn.XLOOKUP(1, (Facturas_Odoo!$D:$D=A1927) * (Facturas_Odoo!$K:$K=I1927), Facturas_Odoo!$L:$L, ""), ""))</f>
        <v/>
      </c>
      <c r="T1927" s="81">
        <f>IF(Q1927="Sin Factura",0,IFERROR(_xlfn.XLOOKUP(1, (Facturas_Odoo!$D:$D=A1927) * (Facturas_Odoo!$K:$K=I1927), Facturas_Odoo!$M:$M, 0), 0))</f>
        <v/>
      </c>
      <c r="U1927" s="79">
        <f>IF(Q1927="Sin Factura",0,IFERROR(_xlfn.XLOOKUP(1, (Facturas_Odoo!$D:$D=A1927) * (Facturas_Odoo!$K:$K=I1927), Facturas_Odoo!$N:$N, 0), 0))</f>
        <v/>
      </c>
      <c r="V1927" s="79">
        <f>IF(Q1927="Sin Factura",0,IFERROR(_xlfn.XLOOKUP(1, (Facturas_Odoo!$D:$D=A1927) * (Facturas_Odoo!$K:$K=I1927), Facturas_Odoo!$O:$O, 0), 0))</f>
        <v/>
      </c>
      <c r="W1927" s="81">
        <f>IF(Q1927="Sin Factura",0,IFERROR(_xlfn.XLOOKUP(1, (Facturas_Odoo!$D:$D=A1927) * (Facturas_Odoo!$K:$K=I1927), Facturas_Odoo!$Q:$Q, 0), 0))</f>
        <v/>
      </c>
      <c r="X1927" s="79">
        <f>IF(OR(Q1927="Sin Factura",Q1927=""),"",IFERROR(INDEX(Pagos_Odoo!$B:$B, MATCH(Q1927, Pagos_Odoo!$I:$I, 0)), "Sin Pago"))</f>
        <v/>
      </c>
      <c r="Y1927" s="79">
        <f>IF(X1927="Sin Pago","",IFERROR(INDEX(Pagos_Odoo!$C:$C, MATCH(X1927, Pagos_Odoo!$B:$B, 0)), ""))</f>
        <v/>
      </c>
      <c r="Z1927" s="80">
        <f>IF(X1927="Sin Pago","",IFERROR(INDEX(Pagos_Odoo!$A:$A, MATCH(X1927, Pagos_Odoo!$B:$B, 0)), ""))</f>
        <v/>
      </c>
      <c r="AA1927" s="79">
        <f>IF(X1927="Sin Pago","",IFERROR(INDEX(Pagos_Odoo!$F:$F, MATCH(X1927, Pagos_Odoo!$B:$B, 0)), ""))</f>
        <v/>
      </c>
      <c r="AB1927" s="81">
        <f>IF(X1927="Sin Pago",0,IFERROR(INDEX(Pagos_Odoo!$E:$E, MATCH(X1927, Pagos_Odoo!$B:$B, 0)), 0))</f>
        <v/>
      </c>
      <c r="AC1927" s="79">
        <f>IF(X1927="Sin Pago","",IFERROR(INDEX(Pagos_Odoo!$G:$G, MATCH(X1927, Pagos_Odoo!$B:$B, 0)), ""))</f>
        <v/>
      </c>
      <c r="AD1927" s="82" t="n">
        <v>0</v>
      </c>
      <c r="AE1927" s="82" t="n"/>
      <c r="AF1927" s="82" t="n"/>
      <c r="AG1927" s="82">
        <f>IF(AN1927="","",AD1927+AE1927+AF1927)</f>
        <v/>
      </c>
      <c r="AH1927" s="81">
        <f>IF(AN1927="","",P1927*(1-AG1927))</f>
        <v/>
      </c>
      <c r="AI1927" s="81">
        <f>IF(AN1927="","",IF(Q1927="Sin Factura",0,IFERROR(INDEX(Facturas_Odoo!$H:$H, MATCH(Q1927, Facturas_Odoo!$B:$B, 0)), 0)*(1-AG1927)))</f>
        <v/>
      </c>
      <c r="AJ1927" s="81">
        <f>IF(AN1927="","",_xlfn.LET(idVenta, AN1927&amp;"",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27" s="81">
        <f>IF(AN1927="","",AH1927-AJ1927)</f>
        <v/>
      </c>
      <c r="AL1927" s="81">
        <f>IF(AN1927="","",IF(Q1927="Sin Factura","",AI1927-AJ1927))</f>
        <v/>
      </c>
      <c r="AM1927" s="81">
        <f>IF(AN1927="","",IF(Q1927="Sin Factura",0,P1927-IFERROR(INDEX(Facturas_Odoo!$H:$H, MATCH(Q1927, Facturas_Odoo!$B:$B, 0)), 0)))</f>
        <v/>
      </c>
      <c r="AN1927" s="79">
        <f>IF(AND(A1927="", J1927=""), "", IF(A1927&lt;&gt;"", VALUE(MID(A1927,2,LEN(A1927))), AN1926))</f>
        <v/>
      </c>
      <c r="AO1927" s="79">
        <f>IF(AN1927="","",IF(AD1927=0,"OK",_xlfn.LET(monedaPago, IF(AA1927="","USD",AA1927), limitePermitido, IFERROR(VLOOKUP(monedaPago, Configuración!$A$2:$B$3, 2, FALSE), 0.15), IF(AD1927&gt;limitePermitido, "ALERTA: EXCESO (" &amp; TEXT(limitePermitido, "0%") &amp; " máx)", "OK"))))</f>
        <v/>
      </c>
      <c r="AP1927" s="79">
        <f>IF(AN1927="","",IF(AE1927=0,"OK",_xlfn.LET(fechaPago, Z1927, fechaFactura, R1927, diasCredito, IF(E1927="Pago inmediato", 0, IFERROR(VALUE(MID(E1927, 1, SEARCH(" ", E1927)-1)),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27" s="79">
        <f>IF(AN1927="","",IF(AND(N1927&gt;0, AG1927&gt;0), IF(Configuración!$K$2="NO", "ALERTA: DESCUENTO DOBLE NO PERMITIDO", "OK"), "OK"))</f>
        <v/>
      </c>
      <c r="AR1927" s="79">
        <f>IF(AN1927="","",IF(OR(AO1927&lt;&gt;"OK", AP1927&lt;&gt;"OK", AQ1927&lt;&gt;"OK"), "⚠️ REVISAR", "OK"))</f>
        <v/>
      </c>
    </row>
    <row r="1928">
      <c r="A1928" s="79">
        <f>IF('Ordenes_Odoo'!A1928="","",'Ordenes_Odoo'!A1928)</f>
        <v/>
      </c>
      <c r="B1928" s="80">
        <f>IF('Ordenes_Odoo'!B1928="","",'Ordenes_Odoo'!B1928)</f>
        <v/>
      </c>
      <c r="C1928" s="79">
        <f>IF('Ordenes_Odoo'!C1928="","",'Ordenes_Odoo'!C1928)</f>
        <v/>
      </c>
      <c r="D1928" s="79">
        <f>IF('Ordenes_Odoo'!D1928="","",'Ordenes_Odoo'!D1928)</f>
        <v/>
      </c>
      <c r="E1928" s="79">
        <f>IF('Ordenes_Odoo'!E1928="","",'Ordenes_Odoo'!E1928)</f>
        <v/>
      </c>
      <c r="F1928" s="79">
        <f>IF('Ordenes_Odoo'!F1928="","",'Ordenes_Odoo'!F1928)</f>
        <v/>
      </c>
      <c r="G1928" s="79">
        <f>IF('Ordenes_Odoo'!G1928="","",'Ordenes_Odoo'!G1928)</f>
        <v/>
      </c>
      <c r="H1928" s="79">
        <f>IF('Ordenes_Odoo'!H1928="","",'Ordenes_Odoo'!H1928)</f>
        <v/>
      </c>
      <c r="I1928" s="79">
        <f>IF('Ordenes_Odoo'!I1928="","",'Ordenes_Odoo'!I1928)</f>
        <v/>
      </c>
      <c r="J1928" s="79">
        <f>IF('Ordenes_Odoo'!J1928="","",'Ordenes_Odoo'!J1928)</f>
        <v/>
      </c>
      <c r="K1928" s="81">
        <f>IF('Ordenes_Odoo'!K1928="","",'Ordenes_Odoo'!K1928)</f>
        <v/>
      </c>
      <c r="L1928" s="81">
        <f>IF('Ordenes_Odoo'!L1928="","",'Ordenes_Odoo'!L1928)</f>
        <v/>
      </c>
      <c r="M1928" s="79">
        <f>IF('Ordenes_Odoo'!M1928="","",'Ordenes_Odoo'!M1928)</f>
        <v/>
      </c>
      <c r="N1928" s="79">
        <f>IF('Ordenes_Odoo'!N1928="","",'Ordenes_Odoo'!N1928)</f>
        <v/>
      </c>
      <c r="O1928" s="81">
        <f>IF('Ordenes_Odoo'!O1928="","",'Ordenes_Odoo'!O1928)</f>
        <v/>
      </c>
      <c r="P1928" s="81">
        <f>IF('Ordenes_Odoo'!P1928="","",'Ordenes_Odoo'!P1928)</f>
        <v/>
      </c>
      <c r="Q1928" s="79">
        <f>IF(A1928="","",IFERROR(INDEX(Facturas_Odoo!$B:$B, MATCH(A1928, Facturas_Odoo!$D:$D, 0)), "Sin Factura"))</f>
        <v/>
      </c>
      <c r="R1928" s="80">
        <f>IF(Q1928="Sin Factura","",IFERROR(INDEX(Facturas_Odoo!$A:$A, MATCH(Q1928, Facturas_Odoo!$B:$B, 0)), ""))</f>
        <v/>
      </c>
      <c r="S1928" s="79">
        <f>IF(Q1928="Sin Factura","",IFERROR(_xlfn.XLOOKUP(1, (Facturas_Odoo!$D:$D=A1928) * (Facturas_Odoo!$K:$K=I1928), Facturas_Odoo!$L:$L, ""), ""))</f>
        <v/>
      </c>
      <c r="T1928" s="81">
        <f>IF(Q1928="Sin Factura",0,IFERROR(_xlfn.XLOOKUP(1, (Facturas_Odoo!$D:$D=A1928) * (Facturas_Odoo!$K:$K=I1928), Facturas_Odoo!$M:$M, 0), 0))</f>
        <v/>
      </c>
      <c r="U1928" s="79">
        <f>IF(Q1928="Sin Factura",0,IFERROR(_xlfn.XLOOKUP(1, (Facturas_Odoo!$D:$D=A1928) * (Facturas_Odoo!$K:$K=I1928), Facturas_Odoo!$N:$N, 0), 0))</f>
        <v/>
      </c>
      <c r="V1928" s="79">
        <f>IF(Q1928="Sin Factura",0,IFERROR(_xlfn.XLOOKUP(1, (Facturas_Odoo!$D:$D=A1928) * (Facturas_Odoo!$K:$K=I1928), Facturas_Odoo!$O:$O, 0), 0))</f>
        <v/>
      </c>
      <c r="W1928" s="81">
        <f>IF(Q1928="Sin Factura",0,IFERROR(_xlfn.XLOOKUP(1, (Facturas_Odoo!$D:$D=A1928) * (Facturas_Odoo!$K:$K=I1928), Facturas_Odoo!$Q:$Q, 0), 0))</f>
        <v/>
      </c>
      <c r="X1928" s="79">
        <f>IF(OR(Q1928="Sin Factura",Q1928=""),"",IFERROR(INDEX(Pagos_Odoo!$B:$B, MATCH(Q1928, Pagos_Odoo!$I:$I, 0)), "Sin Pago"))</f>
        <v/>
      </c>
      <c r="Y1928" s="79">
        <f>IF(X1928="Sin Pago","",IFERROR(INDEX(Pagos_Odoo!$C:$C, MATCH(X1928, Pagos_Odoo!$B:$B, 0)), ""))</f>
        <v/>
      </c>
      <c r="Z1928" s="80">
        <f>IF(X1928="Sin Pago","",IFERROR(INDEX(Pagos_Odoo!$A:$A, MATCH(X1928, Pagos_Odoo!$B:$B, 0)), ""))</f>
        <v/>
      </c>
      <c r="AA1928" s="79">
        <f>IF(X1928="Sin Pago","",IFERROR(INDEX(Pagos_Odoo!$F:$F, MATCH(X1928, Pagos_Odoo!$B:$B, 0)), ""))</f>
        <v/>
      </c>
      <c r="AB1928" s="81">
        <f>IF(X1928="Sin Pago",0,IFERROR(INDEX(Pagos_Odoo!$E:$E, MATCH(X1928, Pagos_Odoo!$B:$B, 0)), 0))</f>
        <v/>
      </c>
      <c r="AC1928" s="79">
        <f>IF(X1928="Sin Pago","",IFERROR(INDEX(Pagos_Odoo!$G:$G, MATCH(X1928, Pagos_Odoo!$B:$B, 0)), ""))</f>
        <v/>
      </c>
      <c r="AD1928" s="82" t="n">
        <v>0</v>
      </c>
      <c r="AE1928" s="82" t="n"/>
      <c r="AF1928" s="82" t="n"/>
      <c r="AG1928" s="82">
        <f>IF(AN1928="","",AD1928+AE1928+AF1928)</f>
        <v/>
      </c>
      <c r="AH1928" s="81">
        <f>IF(AN1928="","",P1928*(1-AG1928))</f>
        <v/>
      </c>
      <c r="AI1928" s="81">
        <f>IF(AN1928="","",IF(Q1928="Sin Factura",0,IFERROR(INDEX(Facturas_Odoo!$H:$H, MATCH(Q1928, Facturas_Odoo!$B:$B, 0)), 0)*(1-AG1928)))</f>
        <v/>
      </c>
      <c r="AJ1928" s="81">
        <f>IF(AN1928="","",_xlfn.LET(idVenta, AN1928&amp;"",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28" s="81">
        <f>IF(AN1928="","",AH1928-AJ1928)</f>
        <v/>
      </c>
      <c r="AL1928" s="81">
        <f>IF(AN1928="","",IF(Q1928="Sin Factura","",AI1928-AJ1928))</f>
        <v/>
      </c>
      <c r="AM1928" s="81">
        <f>IF(AN1928="","",IF(Q1928="Sin Factura",0,P1928-IFERROR(INDEX(Facturas_Odoo!$H:$H, MATCH(Q1928, Facturas_Odoo!$B:$B, 0)), 0)))</f>
        <v/>
      </c>
      <c r="AN1928" s="79">
        <f>IF(AND(A1928="", J1928=""), "", IF(A1928&lt;&gt;"", VALUE(MID(A1928,2,LEN(A1928))), AN1927))</f>
        <v/>
      </c>
      <c r="AO1928" s="79">
        <f>IF(AN1928="","",IF(AD1928=0,"OK",_xlfn.LET(monedaPago, IF(AA1928="","USD",AA1928), limitePermitido, IFERROR(VLOOKUP(monedaPago, Configuración!$A$2:$B$3, 2, FALSE), 0.15), IF(AD1928&gt;limitePermitido, "ALERTA: EXCESO (" &amp; TEXT(limitePermitido, "0%") &amp; " máx)", "OK"))))</f>
        <v/>
      </c>
      <c r="AP1928" s="79">
        <f>IF(AN1928="","",IF(AE1928=0,"OK",_xlfn.LET(fechaPago, Z1928, fechaFactura, R1928, diasCredito, IF(E1928="Pago inmediato", 0, IFERROR(VALUE(MID(E1928, 1, SEARCH(" ", E1928)-1)),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28" s="79">
        <f>IF(AN1928="","",IF(AND(N1928&gt;0, AG1928&gt;0), IF(Configuración!$K$2="NO", "ALERTA: DESCUENTO DOBLE NO PERMITIDO", "OK"), "OK"))</f>
        <v/>
      </c>
      <c r="AR1928" s="79">
        <f>IF(AN1928="","",IF(OR(AO1928&lt;&gt;"OK", AP1928&lt;&gt;"OK", AQ1928&lt;&gt;"OK"), "⚠️ REVISAR", "OK"))</f>
        <v/>
      </c>
    </row>
    <row r="1929">
      <c r="A1929" s="79">
        <f>IF('Ordenes_Odoo'!A1929="","",'Ordenes_Odoo'!A1929)</f>
        <v/>
      </c>
      <c r="B1929" s="80">
        <f>IF('Ordenes_Odoo'!B1929="","",'Ordenes_Odoo'!B1929)</f>
        <v/>
      </c>
      <c r="C1929" s="79">
        <f>IF('Ordenes_Odoo'!C1929="","",'Ordenes_Odoo'!C1929)</f>
        <v/>
      </c>
      <c r="D1929" s="79">
        <f>IF('Ordenes_Odoo'!D1929="","",'Ordenes_Odoo'!D1929)</f>
        <v/>
      </c>
      <c r="E1929" s="79">
        <f>IF('Ordenes_Odoo'!E1929="","",'Ordenes_Odoo'!E1929)</f>
        <v/>
      </c>
      <c r="F1929" s="79">
        <f>IF('Ordenes_Odoo'!F1929="","",'Ordenes_Odoo'!F1929)</f>
        <v/>
      </c>
      <c r="G1929" s="79">
        <f>IF('Ordenes_Odoo'!G1929="","",'Ordenes_Odoo'!G1929)</f>
        <v/>
      </c>
      <c r="H1929" s="79">
        <f>IF('Ordenes_Odoo'!H1929="","",'Ordenes_Odoo'!H1929)</f>
        <v/>
      </c>
      <c r="I1929" s="79">
        <f>IF('Ordenes_Odoo'!I1929="","",'Ordenes_Odoo'!I1929)</f>
        <v/>
      </c>
      <c r="J1929" s="79">
        <f>IF('Ordenes_Odoo'!J1929="","",'Ordenes_Odoo'!J1929)</f>
        <v/>
      </c>
      <c r="K1929" s="81">
        <f>IF('Ordenes_Odoo'!K1929="","",'Ordenes_Odoo'!K1929)</f>
        <v/>
      </c>
      <c r="L1929" s="81">
        <f>IF('Ordenes_Odoo'!L1929="","",'Ordenes_Odoo'!L1929)</f>
        <v/>
      </c>
      <c r="M1929" s="79">
        <f>IF('Ordenes_Odoo'!M1929="","",'Ordenes_Odoo'!M1929)</f>
        <v/>
      </c>
      <c r="N1929" s="79">
        <f>IF('Ordenes_Odoo'!N1929="","",'Ordenes_Odoo'!N1929)</f>
        <v/>
      </c>
      <c r="O1929" s="81">
        <f>IF('Ordenes_Odoo'!O1929="","",'Ordenes_Odoo'!O1929)</f>
        <v/>
      </c>
      <c r="P1929" s="81">
        <f>IF('Ordenes_Odoo'!P1929="","",'Ordenes_Odoo'!P1929)</f>
        <v/>
      </c>
      <c r="Q1929" s="79">
        <f>IF(A1929="","",IFERROR(INDEX(Facturas_Odoo!$B:$B, MATCH(A1929, Facturas_Odoo!$D:$D, 0)), "Sin Factura"))</f>
        <v/>
      </c>
      <c r="R1929" s="80">
        <f>IF(Q1929="Sin Factura","",IFERROR(INDEX(Facturas_Odoo!$A:$A, MATCH(Q1929, Facturas_Odoo!$B:$B, 0)), ""))</f>
        <v/>
      </c>
      <c r="S1929" s="79">
        <f>IF(Q1929="Sin Factura","",IFERROR(_xlfn.XLOOKUP(1, (Facturas_Odoo!$D:$D=A1929) * (Facturas_Odoo!$K:$K=I1929), Facturas_Odoo!$L:$L, ""), ""))</f>
        <v/>
      </c>
      <c r="T1929" s="81">
        <f>IF(Q1929="Sin Factura",0,IFERROR(_xlfn.XLOOKUP(1, (Facturas_Odoo!$D:$D=A1929) * (Facturas_Odoo!$K:$K=I1929), Facturas_Odoo!$M:$M, 0), 0))</f>
        <v/>
      </c>
      <c r="U1929" s="79">
        <f>IF(Q1929="Sin Factura",0,IFERROR(_xlfn.XLOOKUP(1, (Facturas_Odoo!$D:$D=A1929) * (Facturas_Odoo!$K:$K=I1929), Facturas_Odoo!$N:$N, 0), 0))</f>
        <v/>
      </c>
      <c r="V1929" s="79">
        <f>IF(Q1929="Sin Factura",0,IFERROR(_xlfn.XLOOKUP(1, (Facturas_Odoo!$D:$D=A1929) * (Facturas_Odoo!$K:$K=I1929), Facturas_Odoo!$O:$O, 0), 0))</f>
        <v/>
      </c>
      <c r="W1929" s="81">
        <f>IF(Q1929="Sin Factura",0,IFERROR(_xlfn.XLOOKUP(1, (Facturas_Odoo!$D:$D=A1929) * (Facturas_Odoo!$K:$K=I1929), Facturas_Odoo!$Q:$Q, 0), 0))</f>
        <v/>
      </c>
      <c r="X1929" s="79">
        <f>IF(OR(Q1929="Sin Factura",Q1929=""),"",IFERROR(INDEX(Pagos_Odoo!$B:$B, MATCH(Q1929, Pagos_Odoo!$I:$I, 0)), "Sin Pago"))</f>
        <v/>
      </c>
      <c r="Y1929" s="79">
        <f>IF(X1929="Sin Pago","",IFERROR(INDEX(Pagos_Odoo!$C:$C, MATCH(X1929, Pagos_Odoo!$B:$B, 0)), ""))</f>
        <v/>
      </c>
      <c r="Z1929" s="80">
        <f>IF(X1929="Sin Pago","",IFERROR(INDEX(Pagos_Odoo!$A:$A, MATCH(X1929, Pagos_Odoo!$B:$B, 0)), ""))</f>
        <v/>
      </c>
      <c r="AA1929" s="79">
        <f>IF(X1929="Sin Pago","",IFERROR(INDEX(Pagos_Odoo!$F:$F, MATCH(X1929, Pagos_Odoo!$B:$B, 0)), ""))</f>
        <v/>
      </c>
      <c r="AB1929" s="81">
        <f>IF(X1929="Sin Pago",0,IFERROR(INDEX(Pagos_Odoo!$E:$E, MATCH(X1929, Pagos_Odoo!$B:$B, 0)), 0))</f>
        <v/>
      </c>
      <c r="AC1929" s="79">
        <f>IF(X1929="Sin Pago","",IFERROR(INDEX(Pagos_Odoo!$G:$G, MATCH(X1929, Pagos_Odoo!$B:$B, 0)), ""))</f>
        <v/>
      </c>
      <c r="AD1929" s="82" t="n">
        <v>0</v>
      </c>
      <c r="AE1929" s="82" t="n"/>
      <c r="AF1929" s="82" t="n"/>
      <c r="AG1929" s="82">
        <f>IF(AN1929="","",AD1929+AE1929+AF1929)</f>
        <v/>
      </c>
      <c r="AH1929" s="81">
        <f>IF(AN1929="","",P1929*(1-AG1929))</f>
        <v/>
      </c>
      <c r="AI1929" s="81">
        <f>IF(AN1929="","",IF(Q1929="Sin Factura",0,IFERROR(INDEX(Facturas_Odoo!$H:$H, MATCH(Q1929, Facturas_Odoo!$B:$B, 0)), 0)*(1-AG1929)))</f>
        <v/>
      </c>
      <c r="AJ1929" s="81">
        <f>IF(AN1929="","",_xlfn.LET(idVenta, AN1929&amp;"",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29" s="81">
        <f>IF(AN1929="","",AH1929-AJ1929)</f>
        <v/>
      </c>
      <c r="AL1929" s="81">
        <f>IF(AN1929="","",IF(Q1929="Sin Factura","",AI1929-AJ1929))</f>
        <v/>
      </c>
      <c r="AM1929" s="81">
        <f>IF(AN1929="","",IF(Q1929="Sin Factura",0,P1929-IFERROR(INDEX(Facturas_Odoo!$H:$H, MATCH(Q1929, Facturas_Odoo!$B:$B, 0)), 0)))</f>
        <v/>
      </c>
      <c r="AN1929" s="79">
        <f>IF(AND(A1929="", J1929=""), "", IF(A1929&lt;&gt;"", VALUE(MID(A1929,2,LEN(A1929))), AN1928))</f>
        <v/>
      </c>
      <c r="AO1929" s="79">
        <f>IF(AN1929="","",IF(AD1929=0,"OK",_xlfn.LET(monedaPago, IF(AA1929="","USD",AA1929), limitePermitido, IFERROR(VLOOKUP(monedaPago, Configuración!$A$2:$B$3, 2, FALSE), 0.15), IF(AD1929&gt;limitePermitido, "ALERTA: EXCESO (" &amp; TEXT(limitePermitido, "0%") &amp; " máx)", "OK"))))</f>
        <v/>
      </c>
      <c r="AP1929" s="79">
        <f>IF(AN1929="","",IF(AE1929=0,"OK",_xlfn.LET(fechaPago, Z1929, fechaFactura, R1929, diasCredito, IF(E1929="Pago inmediato", 0, IFERROR(VALUE(MID(E1929, 1, SEARCH(" ", E1929)-1)),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29" s="79">
        <f>IF(AN1929="","",IF(AND(N1929&gt;0, AG1929&gt;0), IF(Configuración!$K$2="NO", "ALERTA: DESCUENTO DOBLE NO PERMITIDO", "OK"), "OK"))</f>
        <v/>
      </c>
      <c r="AR1929" s="79">
        <f>IF(AN1929="","",IF(OR(AO1929&lt;&gt;"OK", AP1929&lt;&gt;"OK", AQ1929&lt;&gt;"OK"), "⚠️ REVISAR", "OK"))</f>
        <v/>
      </c>
    </row>
    <row r="1930">
      <c r="A1930" s="79">
        <f>IF('Ordenes_Odoo'!A1930="","",'Ordenes_Odoo'!A1930)</f>
        <v/>
      </c>
      <c r="B1930" s="80">
        <f>IF('Ordenes_Odoo'!B1930="","",'Ordenes_Odoo'!B1930)</f>
        <v/>
      </c>
      <c r="C1930" s="79">
        <f>IF('Ordenes_Odoo'!C1930="","",'Ordenes_Odoo'!C1930)</f>
        <v/>
      </c>
      <c r="D1930" s="79">
        <f>IF('Ordenes_Odoo'!D1930="","",'Ordenes_Odoo'!D1930)</f>
        <v/>
      </c>
      <c r="E1930" s="79">
        <f>IF('Ordenes_Odoo'!E1930="","",'Ordenes_Odoo'!E1930)</f>
        <v/>
      </c>
      <c r="F1930" s="79">
        <f>IF('Ordenes_Odoo'!F1930="","",'Ordenes_Odoo'!F1930)</f>
        <v/>
      </c>
      <c r="G1930" s="79">
        <f>IF('Ordenes_Odoo'!G1930="","",'Ordenes_Odoo'!G1930)</f>
        <v/>
      </c>
      <c r="H1930" s="79">
        <f>IF('Ordenes_Odoo'!H1930="","",'Ordenes_Odoo'!H1930)</f>
        <v/>
      </c>
      <c r="I1930" s="79">
        <f>IF('Ordenes_Odoo'!I1930="","",'Ordenes_Odoo'!I1930)</f>
        <v/>
      </c>
      <c r="J1930" s="79">
        <f>IF('Ordenes_Odoo'!J1930="","",'Ordenes_Odoo'!J1930)</f>
        <v/>
      </c>
      <c r="K1930" s="81">
        <f>IF('Ordenes_Odoo'!K1930="","",'Ordenes_Odoo'!K1930)</f>
        <v/>
      </c>
      <c r="L1930" s="81">
        <f>IF('Ordenes_Odoo'!L1930="","",'Ordenes_Odoo'!L1930)</f>
        <v/>
      </c>
      <c r="M1930" s="79">
        <f>IF('Ordenes_Odoo'!M1930="","",'Ordenes_Odoo'!M1930)</f>
        <v/>
      </c>
      <c r="N1930" s="79">
        <f>IF('Ordenes_Odoo'!N1930="","",'Ordenes_Odoo'!N1930)</f>
        <v/>
      </c>
      <c r="O1930" s="81">
        <f>IF('Ordenes_Odoo'!O1930="","",'Ordenes_Odoo'!O1930)</f>
        <v/>
      </c>
      <c r="P1930" s="81">
        <f>IF('Ordenes_Odoo'!P1930="","",'Ordenes_Odoo'!P1930)</f>
        <v/>
      </c>
      <c r="Q1930" s="79">
        <f>IF(A1930="","",IFERROR(INDEX(Facturas_Odoo!$B:$B, MATCH(A1930, Facturas_Odoo!$D:$D, 0)), "Sin Factura"))</f>
        <v/>
      </c>
      <c r="R1930" s="80">
        <f>IF(Q1930="Sin Factura","",IFERROR(INDEX(Facturas_Odoo!$A:$A, MATCH(Q1930, Facturas_Odoo!$B:$B, 0)), ""))</f>
        <v/>
      </c>
      <c r="S1930" s="79">
        <f>IF(Q1930="Sin Factura","",IFERROR(_xlfn.XLOOKUP(1, (Facturas_Odoo!$D:$D=A1930) * (Facturas_Odoo!$K:$K=I1930), Facturas_Odoo!$L:$L, ""), ""))</f>
        <v/>
      </c>
      <c r="T1930" s="81">
        <f>IF(Q1930="Sin Factura",0,IFERROR(_xlfn.XLOOKUP(1, (Facturas_Odoo!$D:$D=A1930) * (Facturas_Odoo!$K:$K=I1930), Facturas_Odoo!$M:$M, 0), 0))</f>
        <v/>
      </c>
      <c r="U1930" s="79">
        <f>IF(Q1930="Sin Factura",0,IFERROR(_xlfn.XLOOKUP(1, (Facturas_Odoo!$D:$D=A1930) * (Facturas_Odoo!$K:$K=I1930), Facturas_Odoo!$N:$N, 0), 0))</f>
        <v/>
      </c>
      <c r="V1930" s="79">
        <f>IF(Q1930="Sin Factura",0,IFERROR(_xlfn.XLOOKUP(1, (Facturas_Odoo!$D:$D=A1930) * (Facturas_Odoo!$K:$K=I1930), Facturas_Odoo!$O:$O, 0), 0))</f>
        <v/>
      </c>
      <c r="W1930" s="81">
        <f>IF(Q1930="Sin Factura",0,IFERROR(_xlfn.XLOOKUP(1, (Facturas_Odoo!$D:$D=A1930) * (Facturas_Odoo!$K:$K=I1930), Facturas_Odoo!$Q:$Q, 0), 0))</f>
        <v/>
      </c>
      <c r="X1930" s="79">
        <f>IF(OR(Q1930="Sin Factura",Q1930=""),"",IFERROR(INDEX(Pagos_Odoo!$B:$B, MATCH(Q1930, Pagos_Odoo!$I:$I, 0)), "Sin Pago"))</f>
        <v/>
      </c>
      <c r="Y1930" s="79">
        <f>IF(X1930="Sin Pago","",IFERROR(INDEX(Pagos_Odoo!$C:$C, MATCH(X1930, Pagos_Odoo!$B:$B, 0)), ""))</f>
        <v/>
      </c>
      <c r="Z1930" s="80">
        <f>IF(X1930="Sin Pago","",IFERROR(INDEX(Pagos_Odoo!$A:$A, MATCH(X1930, Pagos_Odoo!$B:$B, 0)), ""))</f>
        <v/>
      </c>
      <c r="AA1930" s="79">
        <f>IF(X1930="Sin Pago","",IFERROR(INDEX(Pagos_Odoo!$F:$F, MATCH(X1930, Pagos_Odoo!$B:$B, 0)), ""))</f>
        <v/>
      </c>
      <c r="AB1930" s="81">
        <f>IF(X1930="Sin Pago",0,IFERROR(INDEX(Pagos_Odoo!$E:$E, MATCH(X1930, Pagos_Odoo!$B:$B, 0)), 0))</f>
        <v/>
      </c>
      <c r="AC1930" s="79">
        <f>IF(X1930="Sin Pago","",IFERROR(INDEX(Pagos_Odoo!$G:$G, MATCH(X1930, Pagos_Odoo!$B:$B, 0)), ""))</f>
        <v/>
      </c>
      <c r="AD1930" s="82" t="n">
        <v>0</v>
      </c>
      <c r="AE1930" s="82" t="n"/>
      <c r="AF1930" s="82" t="n"/>
      <c r="AG1930" s="82">
        <f>IF(AN1930="","",AD1930+AE1930+AF1930)</f>
        <v/>
      </c>
      <c r="AH1930" s="81">
        <f>IF(AN1930="","",P1930*(1-AG1930))</f>
        <v/>
      </c>
      <c r="AI1930" s="81">
        <f>IF(AN1930="","",IF(Q1930="Sin Factura",0,IFERROR(INDEX(Facturas_Odoo!$H:$H, MATCH(Q1930, Facturas_Odoo!$B:$B, 0)), 0)*(1-AG1930)))</f>
        <v/>
      </c>
      <c r="AJ1930" s="81">
        <f>IF(AN1930="","",_xlfn.LET(idVenta, AN1930&amp;"",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30" s="81">
        <f>IF(AN1930="","",AH1930-AJ1930)</f>
        <v/>
      </c>
      <c r="AL1930" s="81">
        <f>IF(AN1930="","",IF(Q1930="Sin Factura","",AI1930-AJ1930))</f>
        <v/>
      </c>
      <c r="AM1930" s="81">
        <f>IF(AN1930="","",IF(Q1930="Sin Factura",0,P1930-IFERROR(INDEX(Facturas_Odoo!$H:$H, MATCH(Q1930, Facturas_Odoo!$B:$B, 0)), 0)))</f>
        <v/>
      </c>
      <c r="AN1930" s="79">
        <f>IF(AND(A1930="", J1930=""), "", IF(A1930&lt;&gt;"", VALUE(MID(A1930,2,LEN(A1930))), AN1929))</f>
        <v/>
      </c>
      <c r="AO1930" s="79">
        <f>IF(AN1930="","",IF(AD1930=0,"OK",_xlfn.LET(monedaPago, IF(AA1930="","USD",AA1930), limitePermitido, IFERROR(VLOOKUP(monedaPago, Configuración!$A$2:$B$3, 2, FALSE), 0.15), IF(AD1930&gt;limitePermitido, "ALERTA: EXCESO (" &amp; TEXT(limitePermitido, "0%") &amp; " máx)", "OK"))))</f>
        <v/>
      </c>
      <c r="AP1930" s="79">
        <f>IF(AN1930="","",IF(AE1930=0,"OK",_xlfn.LET(fechaPago, Z1930, fechaFactura, R1930, diasCredito, IF(E1930="Pago inmediato", 0, IFERROR(VALUE(MID(E1930, 1, SEARCH(" ", E1930)-1)),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30" s="79">
        <f>IF(AN1930="","",IF(AND(N1930&gt;0, AG1930&gt;0), IF(Configuración!$K$2="NO", "ALERTA: DESCUENTO DOBLE NO PERMITIDO", "OK"), "OK"))</f>
        <v/>
      </c>
      <c r="AR1930" s="79">
        <f>IF(AN1930="","",IF(OR(AO1930&lt;&gt;"OK", AP1930&lt;&gt;"OK", AQ1930&lt;&gt;"OK"), "⚠️ REVISAR", "OK"))</f>
        <v/>
      </c>
    </row>
    <row r="1931">
      <c r="A1931" s="79">
        <f>IF('Ordenes_Odoo'!A1931="","",'Ordenes_Odoo'!A1931)</f>
        <v/>
      </c>
      <c r="B1931" s="80">
        <f>IF('Ordenes_Odoo'!B1931="","",'Ordenes_Odoo'!B1931)</f>
        <v/>
      </c>
      <c r="C1931" s="79">
        <f>IF('Ordenes_Odoo'!C1931="","",'Ordenes_Odoo'!C1931)</f>
        <v/>
      </c>
      <c r="D1931" s="79">
        <f>IF('Ordenes_Odoo'!D1931="","",'Ordenes_Odoo'!D1931)</f>
        <v/>
      </c>
      <c r="E1931" s="79">
        <f>IF('Ordenes_Odoo'!E1931="","",'Ordenes_Odoo'!E1931)</f>
        <v/>
      </c>
      <c r="F1931" s="79">
        <f>IF('Ordenes_Odoo'!F1931="","",'Ordenes_Odoo'!F1931)</f>
        <v/>
      </c>
      <c r="G1931" s="79">
        <f>IF('Ordenes_Odoo'!G1931="","",'Ordenes_Odoo'!G1931)</f>
        <v/>
      </c>
      <c r="H1931" s="79">
        <f>IF('Ordenes_Odoo'!H1931="","",'Ordenes_Odoo'!H1931)</f>
        <v/>
      </c>
      <c r="I1931" s="79">
        <f>IF('Ordenes_Odoo'!I1931="","",'Ordenes_Odoo'!I1931)</f>
        <v/>
      </c>
      <c r="J1931" s="79">
        <f>IF('Ordenes_Odoo'!J1931="","",'Ordenes_Odoo'!J1931)</f>
        <v/>
      </c>
      <c r="K1931" s="81">
        <f>IF('Ordenes_Odoo'!K1931="","",'Ordenes_Odoo'!K1931)</f>
        <v/>
      </c>
      <c r="L1931" s="81">
        <f>IF('Ordenes_Odoo'!L1931="","",'Ordenes_Odoo'!L1931)</f>
        <v/>
      </c>
      <c r="M1931" s="79">
        <f>IF('Ordenes_Odoo'!M1931="","",'Ordenes_Odoo'!M1931)</f>
        <v/>
      </c>
      <c r="N1931" s="79">
        <f>IF('Ordenes_Odoo'!N1931="","",'Ordenes_Odoo'!N1931)</f>
        <v/>
      </c>
      <c r="O1931" s="81">
        <f>IF('Ordenes_Odoo'!O1931="","",'Ordenes_Odoo'!O1931)</f>
        <v/>
      </c>
      <c r="P1931" s="81">
        <f>IF('Ordenes_Odoo'!P1931="","",'Ordenes_Odoo'!P1931)</f>
        <v/>
      </c>
      <c r="Q1931" s="79">
        <f>IF(A1931="","",IFERROR(INDEX(Facturas_Odoo!$B:$B, MATCH(A1931, Facturas_Odoo!$D:$D, 0)), "Sin Factura"))</f>
        <v/>
      </c>
      <c r="R1931" s="80">
        <f>IF(Q1931="Sin Factura","",IFERROR(INDEX(Facturas_Odoo!$A:$A, MATCH(Q1931, Facturas_Odoo!$B:$B, 0)), ""))</f>
        <v/>
      </c>
      <c r="S1931" s="79">
        <f>IF(Q1931="Sin Factura","",IFERROR(_xlfn.XLOOKUP(1, (Facturas_Odoo!$D:$D=A1931) * (Facturas_Odoo!$K:$K=I1931), Facturas_Odoo!$L:$L, ""), ""))</f>
        <v/>
      </c>
      <c r="T1931" s="81">
        <f>IF(Q1931="Sin Factura",0,IFERROR(_xlfn.XLOOKUP(1, (Facturas_Odoo!$D:$D=A1931) * (Facturas_Odoo!$K:$K=I1931), Facturas_Odoo!$M:$M, 0), 0))</f>
        <v/>
      </c>
      <c r="U1931" s="79">
        <f>IF(Q1931="Sin Factura",0,IFERROR(_xlfn.XLOOKUP(1, (Facturas_Odoo!$D:$D=A1931) * (Facturas_Odoo!$K:$K=I1931), Facturas_Odoo!$N:$N, 0), 0))</f>
        <v/>
      </c>
      <c r="V1931" s="79">
        <f>IF(Q1931="Sin Factura",0,IFERROR(_xlfn.XLOOKUP(1, (Facturas_Odoo!$D:$D=A1931) * (Facturas_Odoo!$K:$K=I1931), Facturas_Odoo!$O:$O, 0), 0))</f>
        <v/>
      </c>
      <c r="W1931" s="81">
        <f>IF(Q1931="Sin Factura",0,IFERROR(_xlfn.XLOOKUP(1, (Facturas_Odoo!$D:$D=A1931) * (Facturas_Odoo!$K:$K=I1931), Facturas_Odoo!$Q:$Q, 0), 0))</f>
        <v/>
      </c>
      <c r="X1931" s="79">
        <f>IF(OR(Q1931="Sin Factura",Q1931=""),"",IFERROR(INDEX(Pagos_Odoo!$B:$B, MATCH(Q1931, Pagos_Odoo!$I:$I, 0)), "Sin Pago"))</f>
        <v/>
      </c>
      <c r="Y1931" s="79">
        <f>IF(X1931="Sin Pago","",IFERROR(INDEX(Pagos_Odoo!$C:$C, MATCH(X1931, Pagos_Odoo!$B:$B, 0)), ""))</f>
        <v/>
      </c>
      <c r="Z1931" s="80">
        <f>IF(X1931="Sin Pago","",IFERROR(INDEX(Pagos_Odoo!$A:$A, MATCH(X1931, Pagos_Odoo!$B:$B, 0)), ""))</f>
        <v/>
      </c>
      <c r="AA1931" s="79">
        <f>IF(X1931="Sin Pago","",IFERROR(INDEX(Pagos_Odoo!$F:$F, MATCH(X1931, Pagos_Odoo!$B:$B, 0)), ""))</f>
        <v/>
      </c>
      <c r="AB1931" s="81">
        <f>IF(X1931="Sin Pago",0,IFERROR(INDEX(Pagos_Odoo!$E:$E, MATCH(X1931, Pagos_Odoo!$B:$B, 0)), 0))</f>
        <v/>
      </c>
      <c r="AC1931" s="79">
        <f>IF(X1931="Sin Pago","",IFERROR(INDEX(Pagos_Odoo!$G:$G, MATCH(X1931, Pagos_Odoo!$B:$B, 0)), ""))</f>
        <v/>
      </c>
      <c r="AD1931" s="82" t="n">
        <v>0</v>
      </c>
      <c r="AE1931" s="82" t="n"/>
      <c r="AF1931" s="82" t="n"/>
      <c r="AG1931" s="82">
        <f>IF(AN1931="","",AD1931+AE1931+AF1931)</f>
        <v/>
      </c>
      <c r="AH1931" s="81">
        <f>IF(AN1931="","",P1931*(1-AG1931))</f>
        <v/>
      </c>
      <c r="AI1931" s="81">
        <f>IF(AN1931="","",IF(Q1931="Sin Factura",0,IFERROR(INDEX(Facturas_Odoo!$H:$H, MATCH(Q1931, Facturas_Odoo!$B:$B, 0)), 0)*(1-AG1931)))</f>
        <v/>
      </c>
      <c r="AJ1931" s="81">
        <f>IF(AN1931="","",_xlfn.LET(idVenta, AN1931&amp;"",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31" s="81">
        <f>IF(AN1931="","",AH1931-AJ1931)</f>
        <v/>
      </c>
      <c r="AL1931" s="81">
        <f>IF(AN1931="","",IF(Q1931="Sin Factura","",AI1931-AJ1931))</f>
        <v/>
      </c>
      <c r="AM1931" s="81">
        <f>IF(AN1931="","",IF(Q1931="Sin Factura",0,P1931-IFERROR(INDEX(Facturas_Odoo!$H:$H, MATCH(Q1931, Facturas_Odoo!$B:$B, 0)), 0)))</f>
        <v/>
      </c>
      <c r="AN1931" s="79">
        <f>IF(AND(A1931="", J1931=""), "", IF(A1931&lt;&gt;"", VALUE(MID(A1931,2,LEN(A1931))), AN1930))</f>
        <v/>
      </c>
      <c r="AO1931" s="79">
        <f>IF(AN1931="","",IF(AD1931=0,"OK",_xlfn.LET(monedaPago, IF(AA1931="","USD",AA1931), limitePermitido, IFERROR(VLOOKUP(monedaPago, Configuración!$A$2:$B$3, 2, FALSE), 0.15), IF(AD1931&gt;limitePermitido, "ALERTA: EXCESO (" &amp; TEXT(limitePermitido, "0%") &amp; " máx)", "OK"))))</f>
        <v/>
      </c>
      <c r="AP1931" s="79">
        <f>IF(AN1931="","",IF(AE1931=0,"OK",_xlfn.LET(fechaPago, Z1931, fechaFactura, R1931, diasCredito, IF(E1931="Pago inmediato", 0, IFERROR(VALUE(MID(E1931, 1, SEARCH(" ", E1931)-1)),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31" s="79">
        <f>IF(AN1931="","",IF(AND(N1931&gt;0, AG1931&gt;0), IF(Configuración!$K$2="NO", "ALERTA: DESCUENTO DOBLE NO PERMITIDO", "OK"), "OK"))</f>
        <v/>
      </c>
      <c r="AR1931" s="79">
        <f>IF(AN1931="","",IF(OR(AO1931&lt;&gt;"OK", AP1931&lt;&gt;"OK", AQ1931&lt;&gt;"OK"), "⚠️ REVISAR", "OK"))</f>
        <v/>
      </c>
    </row>
    <row r="1932">
      <c r="A1932" s="79">
        <f>IF('Ordenes_Odoo'!A1932="","",'Ordenes_Odoo'!A1932)</f>
        <v/>
      </c>
      <c r="B1932" s="80">
        <f>IF('Ordenes_Odoo'!B1932="","",'Ordenes_Odoo'!B1932)</f>
        <v/>
      </c>
      <c r="C1932" s="79">
        <f>IF('Ordenes_Odoo'!C1932="","",'Ordenes_Odoo'!C1932)</f>
        <v/>
      </c>
      <c r="D1932" s="79">
        <f>IF('Ordenes_Odoo'!D1932="","",'Ordenes_Odoo'!D1932)</f>
        <v/>
      </c>
      <c r="E1932" s="79">
        <f>IF('Ordenes_Odoo'!E1932="","",'Ordenes_Odoo'!E1932)</f>
        <v/>
      </c>
      <c r="F1932" s="79">
        <f>IF('Ordenes_Odoo'!F1932="","",'Ordenes_Odoo'!F1932)</f>
        <v/>
      </c>
      <c r="G1932" s="79">
        <f>IF('Ordenes_Odoo'!G1932="","",'Ordenes_Odoo'!G1932)</f>
        <v/>
      </c>
      <c r="H1932" s="79">
        <f>IF('Ordenes_Odoo'!H1932="","",'Ordenes_Odoo'!H1932)</f>
        <v/>
      </c>
      <c r="I1932" s="79">
        <f>IF('Ordenes_Odoo'!I1932="","",'Ordenes_Odoo'!I1932)</f>
        <v/>
      </c>
      <c r="J1932" s="79">
        <f>IF('Ordenes_Odoo'!J1932="","",'Ordenes_Odoo'!J1932)</f>
        <v/>
      </c>
      <c r="K1932" s="81">
        <f>IF('Ordenes_Odoo'!K1932="","",'Ordenes_Odoo'!K1932)</f>
        <v/>
      </c>
      <c r="L1932" s="81">
        <f>IF('Ordenes_Odoo'!L1932="","",'Ordenes_Odoo'!L1932)</f>
        <v/>
      </c>
      <c r="M1932" s="79">
        <f>IF('Ordenes_Odoo'!M1932="","",'Ordenes_Odoo'!M1932)</f>
        <v/>
      </c>
      <c r="N1932" s="79">
        <f>IF('Ordenes_Odoo'!N1932="","",'Ordenes_Odoo'!N1932)</f>
        <v/>
      </c>
      <c r="O1932" s="81">
        <f>IF('Ordenes_Odoo'!O1932="","",'Ordenes_Odoo'!O1932)</f>
        <v/>
      </c>
      <c r="P1932" s="81">
        <f>IF('Ordenes_Odoo'!P1932="","",'Ordenes_Odoo'!P1932)</f>
        <v/>
      </c>
      <c r="Q1932" s="79">
        <f>IF(A1932="","",IFERROR(INDEX(Facturas_Odoo!$B:$B, MATCH(A1932, Facturas_Odoo!$D:$D, 0)), "Sin Factura"))</f>
        <v/>
      </c>
      <c r="R1932" s="80">
        <f>IF(Q1932="Sin Factura","",IFERROR(INDEX(Facturas_Odoo!$A:$A, MATCH(Q1932, Facturas_Odoo!$B:$B, 0)), ""))</f>
        <v/>
      </c>
      <c r="S1932" s="79">
        <f>IF(Q1932="Sin Factura","",IFERROR(_xlfn.XLOOKUP(1, (Facturas_Odoo!$D:$D=A1932) * (Facturas_Odoo!$K:$K=I1932), Facturas_Odoo!$L:$L, ""), ""))</f>
        <v/>
      </c>
      <c r="T1932" s="81">
        <f>IF(Q1932="Sin Factura",0,IFERROR(_xlfn.XLOOKUP(1, (Facturas_Odoo!$D:$D=A1932) * (Facturas_Odoo!$K:$K=I1932), Facturas_Odoo!$M:$M, 0), 0))</f>
        <v/>
      </c>
      <c r="U1932" s="79">
        <f>IF(Q1932="Sin Factura",0,IFERROR(_xlfn.XLOOKUP(1, (Facturas_Odoo!$D:$D=A1932) * (Facturas_Odoo!$K:$K=I1932), Facturas_Odoo!$N:$N, 0), 0))</f>
        <v/>
      </c>
      <c r="V1932" s="79">
        <f>IF(Q1932="Sin Factura",0,IFERROR(_xlfn.XLOOKUP(1, (Facturas_Odoo!$D:$D=A1932) * (Facturas_Odoo!$K:$K=I1932), Facturas_Odoo!$O:$O, 0), 0))</f>
        <v/>
      </c>
      <c r="W1932" s="81">
        <f>IF(Q1932="Sin Factura",0,IFERROR(_xlfn.XLOOKUP(1, (Facturas_Odoo!$D:$D=A1932) * (Facturas_Odoo!$K:$K=I1932), Facturas_Odoo!$Q:$Q, 0), 0))</f>
        <v/>
      </c>
      <c r="X1932" s="79">
        <f>IF(OR(Q1932="Sin Factura",Q1932=""),"",IFERROR(INDEX(Pagos_Odoo!$B:$B, MATCH(Q1932, Pagos_Odoo!$I:$I, 0)), "Sin Pago"))</f>
        <v/>
      </c>
      <c r="Y1932" s="79">
        <f>IF(X1932="Sin Pago","",IFERROR(INDEX(Pagos_Odoo!$C:$C, MATCH(X1932, Pagos_Odoo!$B:$B, 0)), ""))</f>
        <v/>
      </c>
      <c r="Z1932" s="80">
        <f>IF(X1932="Sin Pago","",IFERROR(INDEX(Pagos_Odoo!$A:$A, MATCH(X1932, Pagos_Odoo!$B:$B, 0)), ""))</f>
        <v/>
      </c>
      <c r="AA1932" s="79">
        <f>IF(X1932="Sin Pago","",IFERROR(INDEX(Pagos_Odoo!$F:$F, MATCH(X1932, Pagos_Odoo!$B:$B, 0)), ""))</f>
        <v/>
      </c>
      <c r="AB1932" s="81">
        <f>IF(X1932="Sin Pago",0,IFERROR(INDEX(Pagos_Odoo!$E:$E, MATCH(X1932, Pagos_Odoo!$B:$B, 0)), 0))</f>
        <v/>
      </c>
      <c r="AC1932" s="79">
        <f>IF(X1932="Sin Pago","",IFERROR(INDEX(Pagos_Odoo!$G:$G, MATCH(X1932, Pagos_Odoo!$B:$B, 0)), ""))</f>
        <v/>
      </c>
      <c r="AD1932" s="82" t="n">
        <v>0</v>
      </c>
      <c r="AE1932" s="82" t="n"/>
      <c r="AF1932" s="82" t="n"/>
      <c r="AG1932" s="82">
        <f>IF(AN1932="","",AD1932+AE1932+AF1932)</f>
        <v/>
      </c>
      <c r="AH1932" s="81">
        <f>IF(AN1932="","",P1932*(1-AG1932))</f>
        <v/>
      </c>
      <c r="AI1932" s="81">
        <f>IF(AN1932="","",IF(Q1932="Sin Factura",0,IFERROR(INDEX(Facturas_Odoo!$H:$H, MATCH(Q1932, Facturas_Odoo!$B:$B, 0)), 0)*(1-AG1932)))</f>
        <v/>
      </c>
      <c r="AJ1932" s="81">
        <f>IF(AN1932="","",_xlfn.LET(idVenta, AN1932&amp;"",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32" s="81">
        <f>IF(AN1932="","",AH1932-AJ1932)</f>
        <v/>
      </c>
      <c r="AL1932" s="81">
        <f>IF(AN1932="","",IF(Q1932="Sin Factura","",AI1932-AJ1932))</f>
        <v/>
      </c>
      <c r="AM1932" s="81">
        <f>IF(AN1932="","",IF(Q1932="Sin Factura",0,P1932-IFERROR(INDEX(Facturas_Odoo!$H:$H, MATCH(Q1932, Facturas_Odoo!$B:$B, 0)), 0)))</f>
        <v/>
      </c>
      <c r="AN1932" s="79">
        <f>IF(AND(A1932="", J1932=""), "", IF(A1932&lt;&gt;"", VALUE(MID(A1932,2,LEN(A1932))), AN1931))</f>
        <v/>
      </c>
      <c r="AO1932" s="79">
        <f>IF(AN1932="","",IF(AD1932=0,"OK",_xlfn.LET(monedaPago, IF(AA1932="","USD",AA1932), limitePermitido, IFERROR(VLOOKUP(monedaPago, Configuración!$A$2:$B$3, 2, FALSE), 0.15), IF(AD1932&gt;limitePermitido, "ALERTA: EXCESO (" &amp; TEXT(limitePermitido, "0%") &amp; " máx)", "OK"))))</f>
        <v/>
      </c>
      <c r="AP1932" s="79">
        <f>IF(AN1932="","",IF(AE1932=0,"OK",_xlfn.LET(fechaPago, Z1932, fechaFactura, R1932, diasCredito, IF(E1932="Pago inmediato", 0, IFERROR(VALUE(MID(E1932, 1, SEARCH(" ", E1932)-1)),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32" s="79">
        <f>IF(AN1932="","",IF(AND(N1932&gt;0, AG1932&gt;0), IF(Configuración!$K$2="NO", "ALERTA: DESCUENTO DOBLE NO PERMITIDO", "OK"), "OK"))</f>
        <v/>
      </c>
      <c r="AR1932" s="79">
        <f>IF(AN1932="","",IF(OR(AO1932&lt;&gt;"OK", AP1932&lt;&gt;"OK", AQ1932&lt;&gt;"OK"), "⚠️ REVISAR", "OK"))</f>
        <v/>
      </c>
    </row>
    <row r="1933">
      <c r="A1933" s="79">
        <f>IF('Ordenes_Odoo'!A1933="","",'Ordenes_Odoo'!A1933)</f>
        <v/>
      </c>
      <c r="B1933" s="80">
        <f>IF('Ordenes_Odoo'!B1933="","",'Ordenes_Odoo'!B1933)</f>
        <v/>
      </c>
      <c r="C1933" s="79">
        <f>IF('Ordenes_Odoo'!C1933="","",'Ordenes_Odoo'!C1933)</f>
        <v/>
      </c>
      <c r="D1933" s="79">
        <f>IF('Ordenes_Odoo'!D1933="","",'Ordenes_Odoo'!D1933)</f>
        <v/>
      </c>
      <c r="E1933" s="79">
        <f>IF('Ordenes_Odoo'!E1933="","",'Ordenes_Odoo'!E1933)</f>
        <v/>
      </c>
      <c r="F1933" s="79">
        <f>IF('Ordenes_Odoo'!F1933="","",'Ordenes_Odoo'!F1933)</f>
        <v/>
      </c>
      <c r="G1933" s="79">
        <f>IF('Ordenes_Odoo'!G1933="","",'Ordenes_Odoo'!G1933)</f>
        <v/>
      </c>
      <c r="H1933" s="79">
        <f>IF('Ordenes_Odoo'!H1933="","",'Ordenes_Odoo'!H1933)</f>
        <v/>
      </c>
      <c r="I1933" s="79">
        <f>IF('Ordenes_Odoo'!I1933="","",'Ordenes_Odoo'!I1933)</f>
        <v/>
      </c>
      <c r="J1933" s="79">
        <f>IF('Ordenes_Odoo'!J1933="","",'Ordenes_Odoo'!J1933)</f>
        <v/>
      </c>
      <c r="K1933" s="81">
        <f>IF('Ordenes_Odoo'!K1933="","",'Ordenes_Odoo'!K1933)</f>
        <v/>
      </c>
      <c r="L1933" s="81">
        <f>IF('Ordenes_Odoo'!L1933="","",'Ordenes_Odoo'!L1933)</f>
        <v/>
      </c>
      <c r="M1933" s="79">
        <f>IF('Ordenes_Odoo'!M1933="","",'Ordenes_Odoo'!M1933)</f>
        <v/>
      </c>
      <c r="N1933" s="79">
        <f>IF('Ordenes_Odoo'!N1933="","",'Ordenes_Odoo'!N1933)</f>
        <v/>
      </c>
      <c r="O1933" s="81">
        <f>IF('Ordenes_Odoo'!O1933="","",'Ordenes_Odoo'!O1933)</f>
        <v/>
      </c>
      <c r="P1933" s="81">
        <f>IF('Ordenes_Odoo'!P1933="","",'Ordenes_Odoo'!P1933)</f>
        <v/>
      </c>
      <c r="Q1933" s="79">
        <f>IF(A1933="","",IFERROR(INDEX(Facturas_Odoo!$B:$B, MATCH(A1933, Facturas_Odoo!$D:$D, 0)), "Sin Factura"))</f>
        <v/>
      </c>
      <c r="R1933" s="80">
        <f>IF(Q1933="Sin Factura","",IFERROR(INDEX(Facturas_Odoo!$A:$A, MATCH(Q1933, Facturas_Odoo!$B:$B, 0)), ""))</f>
        <v/>
      </c>
      <c r="S1933" s="79">
        <f>IF(Q1933="Sin Factura","",IFERROR(_xlfn.XLOOKUP(1, (Facturas_Odoo!$D:$D=A1933) * (Facturas_Odoo!$K:$K=I1933), Facturas_Odoo!$L:$L, ""), ""))</f>
        <v/>
      </c>
      <c r="T1933" s="81">
        <f>IF(Q1933="Sin Factura",0,IFERROR(_xlfn.XLOOKUP(1, (Facturas_Odoo!$D:$D=A1933) * (Facturas_Odoo!$K:$K=I1933), Facturas_Odoo!$M:$M, 0), 0))</f>
        <v/>
      </c>
      <c r="U1933" s="79">
        <f>IF(Q1933="Sin Factura",0,IFERROR(_xlfn.XLOOKUP(1, (Facturas_Odoo!$D:$D=A1933) * (Facturas_Odoo!$K:$K=I1933), Facturas_Odoo!$N:$N, 0), 0))</f>
        <v/>
      </c>
      <c r="V1933" s="79">
        <f>IF(Q1933="Sin Factura",0,IFERROR(_xlfn.XLOOKUP(1, (Facturas_Odoo!$D:$D=A1933) * (Facturas_Odoo!$K:$K=I1933), Facturas_Odoo!$O:$O, 0), 0))</f>
        <v/>
      </c>
      <c r="W1933" s="81">
        <f>IF(Q1933="Sin Factura",0,IFERROR(_xlfn.XLOOKUP(1, (Facturas_Odoo!$D:$D=A1933) * (Facturas_Odoo!$K:$K=I1933), Facturas_Odoo!$Q:$Q, 0), 0))</f>
        <v/>
      </c>
      <c r="X1933" s="79">
        <f>IF(OR(Q1933="Sin Factura",Q1933=""),"",IFERROR(INDEX(Pagos_Odoo!$B:$B, MATCH(Q1933, Pagos_Odoo!$I:$I, 0)), "Sin Pago"))</f>
        <v/>
      </c>
      <c r="Y1933" s="79">
        <f>IF(X1933="Sin Pago","",IFERROR(INDEX(Pagos_Odoo!$C:$C, MATCH(X1933, Pagos_Odoo!$B:$B, 0)), ""))</f>
        <v/>
      </c>
      <c r="Z1933" s="80">
        <f>IF(X1933="Sin Pago","",IFERROR(INDEX(Pagos_Odoo!$A:$A, MATCH(X1933, Pagos_Odoo!$B:$B, 0)), ""))</f>
        <v/>
      </c>
      <c r="AA1933" s="79">
        <f>IF(X1933="Sin Pago","",IFERROR(INDEX(Pagos_Odoo!$F:$F, MATCH(X1933, Pagos_Odoo!$B:$B, 0)), ""))</f>
        <v/>
      </c>
      <c r="AB1933" s="81">
        <f>IF(X1933="Sin Pago",0,IFERROR(INDEX(Pagos_Odoo!$E:$E, MATCH(X1933, Pagos_Odoo!$B:$B, 0)), 0))</f>
        <v/>
      </c>
      <c r="AC1933" s="79">
        <f>IF(X1933="Sin Pago","",IFERROR(INDEX(Pagos_Odoo!$G:$G, MATCH(X1933, Pagos_Odoo!$B:$B, 0)), ""))</f>
        <v/>
      </c>
      <c r="AD1933" s="82" t="n">
        <v>0</v>
      </c>
      <c r="AE1933" s="82" t="n"/>
      <c r="AF1933" s="82" t="n"/>
      <c r="AG1933" s="82">
        <f>IF(AN1933="","",AD1933+AE1933+AF1933)</f>
        <v/>
      </c>
      <c r="AH1933" s="81">
        <f>IF(AN1933="","",P1933*(1-AG1933))</f>
        <v/>
      </c>
      <c r="AI1933" s="81">
        <f>IF(AN1933="","",IF(Q1933="Sin Factura",0,IFERROR(INDEX(Facturas_Odoo!$H:$H, MATCH(Q1933, Facturas_Odoo!$B:$B, 0)), 0)*(1-AG1933)))</f>
        <v/>
      </c>
      <c r="AJ1933" s="81">
        <f>IF(AN1933="","",_xlfn.LET(idVenta, AN1933&amp;"",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33" s="81">
        <f>IF(AN1933="","",AH1933-AJ1933)</f>
        <v/>
      </c>
      <c r="AL1933" s="81">
        <f>IF(AN1933="","",IF(Q1933="Sin Factura","",AI1933-AJ1933))</f>
        <v/>
      </c>
      <c r="AM1933" s="81">
        <f>IF(AN1933="","",IF(Q1933="Sin Factura",0,P1933-IFERROR(INDEX(Facturas_Odoo!$H:$H, MATCH(Q1933, Facturas_Odoo!$B:$B, 0)), 0)))</f>
        <v/>
      </c>
      <c r="AN1933" s="79">
        <f>IF(AND(A1933="", J1933=""), "", IF(A1933&lt;&gt;"", VALUE(MID(A1933,2,LEN(A1933))), AN1932))</f>
        <v/>
      </c>
      <c r="AO1933" s="79">
        <f>IF(AN1933="","",IF(AD1933=0,"OK",_xlfn.LET(monedaPago, IF(AA1933="","USD",AA1933), limitePermitido, IFERROR(VLOOKUP(monedaPago, Configuración!$A$2:$B$3, 2, FALSE), 0.15), IF(AD1933&gt;limitePermitido, "ALERTA: EXCESO (" &amp; TEXT(limitePermitido, "0%") &amp; " máx)", "OK"))))</f>
        <v/>
      </c>
      <c r="AP1933" s="79">
        <f>IF(AN1933="","",IF(AE1933=0,"OK",_xlfn.LET(fechaPago, Z1933, fechaFactura, R1933, diasCredito, IF(E1933="Pago inmediato", 0, IFERROR(VALUE(MID(E1933, 1, SEARCH(" ", E1933)-1)),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33" s="79">
        <f>IF(AN1933="","",IF(AND(N1933&gt;0, AG1933&gt;0), IF(Configuración!$K$2="NO", "ALERTA: DESCUENTO DOBLE NO PERMITIDO", "OK"), "OK"))</f>
        <v/>
      </c>
      <c r="AR1933" s="79">
        <f>IF(AN1933="","",IF(OR(AO1933&lt;&gt;"OK", AP1933&lt;&gt;"OK", AQ1933&lt;&gt;"OK"), "⚠️ REVISAR", "OK"))</f>
        <v/>
      </c>
    </row>
    <row r="1934">
      <c r="A1934" s="79">
        <f>IF('Ordenes_Odoo'!A1934="","",'Ordenes_Odoo'!A1934)</f>
        <v/>
      </c>
      <c r="B1934" s="80">
        <f>IF('Ordenes_Odoo'!B1934="","",'Ordenes_Odoo'!B1934)</f>
        <v/>
      </c>
      <c r="C1934" s="79">
        <f>IF('Ordenes_Odoo'!C1934="","",'Ordenes_Odoo'!C1934)</f>
        <v/>
      </c>
      <c r="D1934" s="79">
        <f>IF('Ordenes_Odoo'!D1934="","",'Ordenes_Odoo'!D1934)</f>
        <v/>
      </c>
      <c r="E1934" s="79">
        <f>IF('Ordenes_Odoo'!E1934="","",'Ordenes_Odoo'!E1934)</f>
        <v/>
      </c>
      <c r="F1934" s="79">
        <f>IF('Ordenes_Odoo'!F1934="","",'Ordenes_Odoo'!F1934)</f>
        <v/>
      </c>
      <c r="G1934" s="79">
        <f>IF('Ordenes_Odoo'!G1934="","",'Ordenes_Odoo'!G1934)</f>
        <v/>
      </c>
      <c r="H1934" s="79">
        <f>IF('Ordenes_Odoo'!H1934="","",'Ordenes_Odoo'!H1934)</f>
        <v/>
      </c>
      <c r="I1934" s="79">
        <f>IF('Ordenes_Odoo'!I1934="","",'Ordenes_Odoo'!I1934)</f>
        <v/>
      </c>
      <c r="J1934" s="79">
        <f>IF('Ordenes_Odoo'!J1934="","",'Ordenes_Odoo'!J1934)</f>
        <v/>
      </c>
      <c r="K1934" s="81">
        <f>IF('Ordenes_Odoo'!K1934="","",'Ordenes_Odoo'!K1934)</f>
        <v/>
      </c>
      <c r="L1934" s="81">
        <f>IF('Ordenes_Odoo'!L1934="","",'Ordenes_Odoo'!L1934)</f>
        <v/>
      </c>
      <c r="M1934" s="79">
        <f>IF('Ordenes_Odoo'!M1934="","",'Ordenes_Odoo'!M1934)</f>
        <v/>
      </c>
      <c r="N1934" s="79">
        <f>IF('Ordenes_Odoo'!N1934="","",'Ordenes_Odoo'!N1934)</f>
        <v/>
      </c>
      <c r="O1934" s="81">
        <f>IF('Ordenes_Odoo'!O1934="","",'Ordenes_Odoo'!O1934)</f>
        <v/>
      </c>
      <c r="P1934" s="81">
        <f>IF('Ordenes_Odoo'!P1934="","",'Ordenes_Odoo'!P1934)</f>
        <v/>
      </c>
      <c r="Q1934" s="79">
        <f>IF(A1934="","",IFERROR(INDEX(Facturas_Odoo!$B:$B, MATCH(A1934, Facturas_Odoo!$D:$D, 0)), "Sin Factura"))</f>
        <v/>
      </c>
      <c r="R1934" s="80">
        <f>IF(Q1934="Sin Factura","",IFERROR(INDEX(Facturas_Odoo!$A:$A, MATCH(Q1934, Facturas_Odoo!$B:$B, 0)), ""))</f>
        <v/>
      </c>
      <c r="S1934" s="79">
        <f>IF(Q1934="Sin Factura","",IFERROR(_xlfn.XLOOKUP(1, (Facturas_Odoo!$D:$D=A1934) * (Facturas_Odoo!$K:$K=I1934), Facturas_Odoo!$L:$L, ""), ""))</f>
        <v/>
      </c>
      <c r="T1934" s="81">
        <f>IF(Q1934="Sin Factura",0,IFERROR(_xlfn.XLOOKUP(1, (Facturas_Odoo!$D:$D=A1934) * (Facturas_Odoo!$K:$K=I1934), Facturas_Odoo!$M:$M, 0), 0))</f>
        <v/>
      </c>
      <c r="U1934" s="79">
        <f>IF(Q1934="Sin Factura",0,IFERROR(_xlfn.XLOOKUP(1, (Facturas_Odoo!$D:$D=A1934) * (Facturas_Odoo!$K:$K=I1934), Facturas_Odoo!$N:$N, 0), 0))</f>
        <v/>
      </c>
      <c r="V1934" s="79">
        <f>IF(Q1934="Sin Factura",0,IFERROR(_xlfn.XLOOKUP(1, (Facturas_Odoo!$D:$D=A1934) * (Facturas_Odoo!$K:$K=I1934), Facturas_Odoo!$O:$O, 0), 0))</f>
        <v/>
      </c>
      <c r="W1934" s="81">
        <f>IF(Q1934="Sin Factura",0,IFERROR(_xlfn.XLOOKUP(1, (Facturas_Odoo!$D:$D=A1934) * (Facturas_Odoo!$K:$K=I1934), Facturas_Odoo!$Q:$Q, 0), 0))</f>
        <v/>
      </c>
      <c r="X1934" s="79">
        <f>IF(OR(Q1934="Sin Factura",Q1934=""),"",IFERROR(INDEX(Pagos_Odoo!$B:$B, MATCH(Q1934, Pagos_Odoo!$I:$I, 0)), "Sin Pago"))</f>
        <v/>
      </c>
      <c r="Y1934" s="79">
        <f>IF(X1934="Sin Pago","",IFERROR(INDEX(Pagos_Odoo!$C:$C, MATCH(X1934, Pagos_Odoo!$B:$B, 0)), ""))</f>
        <v/>
      </c>
      <c r="Z1934" s="80">
        <f>IF(X1934="Sin Pago","",IFERROR(INDEX(Pagos_Odoo!$A:$A, MATCH(X1934, Pagos_Odoo!$B:$B, 0)), ""))</f>
        <v/>
      </c>
      <c r="AA1934" s="79">
        <f>IF(X1934="Sin Pago","",IFERROR(INDEX(Pagos_Odoo!$F:$F, MATCH(X1934, Pagos_Odoo!$B:$B, 0)), ""))</f>
        <v/>
      </c>
      <c r="AB1934" s="81">
        <f>IF(X1934="Sin Pago",0,IFERROR(INDEX(Pagos_Odoo!$E:$E, MATCH(X1934, Pagos_Odoo!$B:$B, 0)), 0))</f>
        <v/>
      </c>
      <c r="AC1934" s="79">
        <f>IF(X1934="Sin Pago","",IFERROR(INDEX(Pagos_Odoo!$G:$G, MATCH(X1934, Pagos_Odoo!$B:$B, 0)), ""))</f>
        <v/>
      </c>
      <c r="AD1934" s="82" t="n">
        <v>0</v>
      </c>
      <c r="AE1934" s="82" t="n"/>
      <c r="AF1934" s="82" t="n"/>
      <c r="AG1934" s="82">
        <f>IF(AN1934="","",AD1934+AE1934+AF1934)</f>
        <v/>
      </c>
      <c r="AH1934" s="81">
        <f>IF(AN1934="","",P1934*(1-AG1934))</f>
        <v/>
      </c>
      <c r="AI1934" s="81">
        <f>IF(AN1934="","",IF(Q1934="Sin Factura",0,IFERROR(INDEX(Facturas_Odoo!$H:$H, MATCH(Q1934, Facturas_Odoo!$B:$B, 0)), 0)*(1-AG1934)))</f>
        <v/>
      </c>
      <c r="AJ1934" s="81">
        <f>IF(AN1934="","",_xlfn.LET(idVenta, AN1934&amp;"",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34" s="81">
        <f>IF(AN1934="","",AH1934-AJ1934)</f>
        <v/>
      </c>
      <c r="AL1934" s="81">
        <f>IF(AN1934="","",IF(Q1934="Sin Factura","",AI1934-AJ1934))</f>
        <v/>
      </c>
      <c r="AM1934" s="81">
        <f>IF(AN1934="","",IF(Q1934="Sin Factura",0,P1934-IFERROR(INDEX(Facturas_Odoo!$H:$H, MATCH(Q1934, Facturas_Odoo!$B:$B, 0)), 0)))</f>
        <v/>
      </c>
      <c r="AN1934" s="79">
        <f>IF(AND(A1934="", J1934=""), "", IF(A1934&lt;&gt;"", VALUE(MID(A1934,2,LEN(A1934))), AN1933))</f>
        <v/>
      </c>
      <c r="AO1934" s="79">
        <f>IF(AN1934="","",IF(AD1934=0,"OK",_xlfn.LET(monedaPago, IF(AA1934="","USD",AA1934), limitePermitido, IFERROR(VLOOKUP(monedaPago, Configuración!$A$2:$B$3, 2, FALSE), 0.15), IF(AD1934&gt;limitePermitido, "ALERTA: EXCESO (" &amp; TEXT(limitePermitido, "0%") &amp; " máx)", "OK"))))</f>
        <v/>
      </c>
      <c r="AP1934" s="79">
        <f>IF(AN1934="","",IF(AE1934=0,"OK",_xlfn.LET(fechaPago, Z1934, fechaFactura, R1934, diasCredito, IF(E1934="Pago inmediato", 0, IFERROR(VALUE(MID(E1934, 1, SEARCH(" ", E1934)-1)),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34" s="79">
        <f>IF(AN1934="","",IF(AND(N1934&gt;0, AG1934&gt;0), IF(Configuración!$K$2="NO", "ALERTA: DESCUENTO DOBLE NO PERMITIDO", "OK"), "OK"))</f>
        <v/>
      </c>
      <c r="AR1934" s="79">
        <f>IF(AN1934="","",IF(OR(AO1934&lt;&gt;"OK", AP1934&lt;&gt;"OK", AQ1934&lt;&gt;"OK"), "⚠️ REVISAR", "OK"))</f>
        <v/>
      </c>
    </row>
    <row r="1935">
      <c r="A1935" s="79">
        <f>IF('Ordenes_Odoo'!A1935="","",'Ordenes_Odoo'!A1935)</f>
        <v/>
      </c>
      <c r="B1935" s="80">
        <f>IF('Ordenes_Odoo'!B1935="","",'Ordenes_Odoo'!B1935)</f>
        <v/>
      </c>
      <c r="C1935" s="79">
        <f>IF('Ordenes_Odoo'!C1935="","",'Ordenes_Odoo'!C1935)</f>
        <v/>
      </c>
      <c r="D1935" s="79">
        <f>IF('Ordenes_Odoo'!D1935="","",'Ordenes_Odoo'!D1935)</f>
        <v/>
      </c>
      <c r="E1935" s="79">
        <f>IF('Ordenes_Odoo'!E1935="","",'Ordenes_Odoo'!E1935)</f>
        <v/>
      </c>
      <c r="F1935" s="79">
        <f>IF('Ordenes_Odoo'!F1935="","",'Ordenes_Odoo'!F1935)</f>
        <v/>
      </c>
      <c r="G1935" s="79">
        <f>IF('Ordenes_Odoo'!G1935="","",'Ordenes_Odoo'!G1935)</f>
        <v/>
      </c>
      <c r="H1935" s="79">
        <f>IF('Ordenes_Odoo'!H1935="","",'Ordenes_Odoo'!H1935)</f>
        <v/>
      </c>
      <c r="I1935" s="79">
        <f>IF('Ordenes_Odoo'!I1935="","",'Ordenes_Odoo'!I1935)</f>
        <v/>
      </c>
      <c r="J1935" s="79">
        <f>IF('Ordenes_Odoo'!J1935="","",'Ordenes_Odoo'!J1935)</f>
        <v/>
      </c>
      <c r="K1935" s="81">
        <f>IF('Ordenes_Odoo'!K1935="","",'Ordenes_Odoo'!K1935)</f>
        <v/>
      </c>
      <c r="L1935" s="81">
        <f>IF('Ordenes_Odoo'!L1935="","",'Ordenes_Odoo'!L1935)</f>
        <v/>
      </c>
      <c r="M1935" s="79">
        <f>IF('Ordenes_Odoo'!M1935="","",'Ordenes_Odoo'!M1935)</f>
        <v/>
      </c>
      <c r="N1935" s="79">
        <f>IF('Ordenes_Odoo'!N1935="","",'Ordenes_Odoo'!N1935)</f>
        <v/>
      </c>
      <c r="O1935" s="81">
        <f>IF('Ordenes_Odoo'!O1935="","",'Ordenes_Odoo'!O1935)</f>
        <v/>
      </c>
      <c r="P1935" s="81">
        <f>IF('Ordenes_Odoo'!P1935="","",'Ordenes_Odoo'!P1935)</f>
        <v/>
      </c>
      <c r="Q1935" s="79">
        <f>IF(A1935="","",IFERROR(INDEX(Facturas_Odoo!$B:$B, MATCH(A1935, Facturas_Odoo!$D:$D, 0)), "Sin Factura"))</f>
        <v/>
      </c>
      <c r="R1935" s="80">
        <f>IF(Q1935="Sin Factura","",IFERROR(INDEX(Facturas_Odoo!$A:$A, MATCH(Q1935, Facturas_Odoo!$B:$B, 0)), ""))</f>
        <v/>
      </c>
      <c r="S1935" s="79">
        <f>IF(Q1935="Sin Factura","",IFERROR(_xlfn.XLOOKUP(1, (Facturas_Odoo!$D:$D=A1935) * (Facturas_Odoo!$K:$K=I1935), Facturas_Odoo!$L:$L, ""), ""))</f>
        <v/>
      </c>
      <c r="T1935" s="81">
        <f>IF(Q1935="Sin Factura",0,IFERROR(_xlfn.XLOOKUP(1, (Facturas_Odoo!$D:$D=A1935) * (Facturas_Odoo!$K:$K=I1935), Facturas_Odoo!$M:$M, 0), 0))</f>
        <v/>
      </c>
      <c r="U1935" s="79">
        <f>IF(Q1935="Sin Factura",0,IFERROR(_xlfn.XLOOKUP(1, (Facturas_Odoo!$D:$D=A1935) * (Facturas_Odoo!$K:$K=I1935), Facturas_Odoo!$N:$N, 0), 0))</f>
        <v/>
      </c>
      <c r="V1935" s="79">
        <f>IF(Q1935="Sin Factura",0,IFERROR(_xlfn.XLOOKUP(1, (Facturas_Odoo!$D:$D=A1935) * (Facturas_Odoo!$K:$K=I1935), Facturas_Odoo!$O:$O, 0), 0))</f>
        <v/>
      </c>
      <c r="W1935" s="81">
        <f>IF(Q1935="Sin Factura",0,IFERROR(_xlfn.XLOOKUP(1, (Facturas_Odoo!$D:$D=A1935) * (Facturas_Odoo!$K:$K=I1935), Facturas_Odoo!$Q:$Q, 0), 0))</f>
        <v/>
      </c>
      <c r="X1935" s="79">
        <f>IF(OR(Q1935="Sin Factura",Q1935=""),"",IFERROR(INDEX(Pagos_Odoo!$B:$B, MATCH(Q1935, Pagos_Odoo!$I:$I, 0)), "Sin Pago"))</f>
        <v/>
      </c>
      <c r="Y1935" s="79">
        <f>IF(X1935="Sin Pago","",IFERROR(INDEX(Pagos_Odoo!$C:$C, MATCH(X1935, Pagos_Odoo!$B:$B, 0)), ""))</f>
        <v/>
      </c>
      <c r="Z1935" s="80">
        <f>IF(X1935="Sin Pago","",IFERROR(INDEX(Pagos_Odoo!$A:$A, MATCH(X1935, Pagos_Odoo!$B:$B, 0)), ""))</f>
        <v/>
      </c>
      <c r="AA1935" s="79">
        <f>IF(X1935="Sin Pago","",IFERROR(INDEX(Pagos_Odoo!$F:$F, MATCH(X1935, Pagos_Odoo!$B:$B, 0)), ""))</f>
        <v/>
      </c>
      <c r="AB1935" s="81">
        <f>IF(X1935="Sin Pago",0,IFERROR(INDEX(Pagos_Odoo!$E:$E, MATCH(X1935, Pagos_Odoo!$B:$B, 0)), 0))</f>
        <v/>
      </c>
      <c r="AC1935" s="79">
        <f>IF(X1935="Sin Pago","",IFERROR(INDEX(Pagos_Odoo!$G:$G, MATCH(X1935, Pagos_Odoo!$B:$B, 0)), ""))</f>
        <v/>
      </c>
      <c r="AD1935" s="82" t="n">
        <v>0</v>
      </c>
      <c r="AE1935" s="82" t="n"/>
      <c r="AF1935" s="82" t="n"/>
      <c r="AG1935" s="82">
        <f>IF(AN1935="","",AD1935+AE1935+AF1935)</f>
        <v/>
      </c>
      <c r="AH1935" s="81">
        <f>IF(AN1935="","",P1935*(1-AG1935))</f>
        <v/>
      </c>
      <c r="AI1935" s="81">
        <f>IF(AN1935="","",IF(Q1935="Sin Factura",0,IFERROR(INDEX(Facturas_Odoo!$H:$H, MATCH(Q1935, Facturas_Odoo!$B:$B, 0)), 0)*(1-AG1935)))</f>
        <v/>
      </c>
      <c r="AJ1935" s="81">
        <f>IF(AN1935="","",_xlfn.LET(idVenta, AN1935&amp;"",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35" s="81">
        <f>IF(AN1935="","",AH1935-AJ1935)</f>
        <v/>
      </c>
      <c r="AL1935" s="81">
        <f>IF(AN1935="","",IF(Q1935="Sin Factura","",AI1935-AJ1935))</f>
        <v/>
      </c>
      <c r="AM1935" s="81">
        <f>IF(AN1935="","",IF(Q1935="Sin Factura",0,P1935-IFERROR(INDEX(Facturas_Odoo!$H:$H, MATCH(Q1935, Facturas_Odoo!$B:$B, 0)), 0)))</f>
        <v/>
      </c>
      <c r="AN1935" s="79">
        <f>IF(AND(A1935="", J1935=""), "", IF(A1935&lt;&gt;"", VALUE(MID(A1935,2,LEN(A1935))), AN1934))</f>
        <v/>
      </c>
      <c r="AO1935" s="79">
        <f>IF(AN1935="","",IF(AD1935=0,"OK",_xlfn.LET(monedaPago, IF(AA1935="","USD",AA1935), limitePermitido, IFERROR(VLOOKUP(monedaPago, Configuración!$A$2:$B$3, 2, FALSE), 0.15), IF(AD1935&gt;limitePermitido, "ALERTA: EXCESO (" &amp; TEXT(limitePermitido, "0%") &amp; " máx)", "OK"))))</f>
        <v/>
      </c>
      <c r="AP1935" s="79">
        <f>IF(AN1935="","",IF(AE1935=0,"OK",_xlfn.LET(fechaPago, Z1935, fechaFactura, R1935, diasCredito, IF(E1935="Pago inmediato", 0, IFERROR(VALUE(MID(E1935, 1, SEARCH(" ", E1935)-1)),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35" s="79">
        <f>IF(AN1935="","",IF(AND(N1935&gt;0, AG1935&gt;0), IF(Configuración!$K$2="NO", "ALERTA: DESCUENTO DOBLE NO PERMITIDO", "OK"), "OK"))</f>
        <v/>
      </c>
      <c r="AR1935" s="79">
        <f>IF(AN1935="","",IF(OR(AO1935&lt;&gt;"OK", AP1935&lt;&gt;"OK", AQ1935&lt;&gt;"OK"), "⚠️ REVISAR", "OK"))</f>
        <v/>
      </c>
    </row>
    <row r="1936">
      <c r="A1936" s="79">
        <f>IF('Ordenes_Odoo'!A1936="","",'Ordenes_Odoo'!A1936)</f>
        <v/>
      </c>
      <c r="B1936" s="80">
        <f>IF('Ordenes_Odoo'!B1936="","",'Ordenes_Odoo'!B1936)</f>
        <v/>
      </c>
      <c r="C1936" s="79">
        <f>IF('Ordenes_Odoo'!C1936="","",'Ordenes_Odoo'!C1936)</f>
        <v/>
      </c>
      <c r="D1936" s="79">
        <f>IF('Ordenes_Odoo'!D1936="","",'Ordenes_Odoo'!D1936)</f>
        <v/>
      </c>
      <c r="E1936" s="79">
        <f>IF('Ordenes_Odoo'!E1936="","",'Ordenes_Odoo'!E1936)</f>
        <v/>
      </c>
      <c r="F1936" s="79">
        <f>IF('Ordenes_Odoo'!F1936="","",'Ordenes_Odoo'!F1936)</f>
        <v/>
      </c>
      <c r="G1936" s="79">
        <f>IF('Ordenes_Odoo'!G1936="","",'Ordenes_Odoo'!G1936)</f>
        <v/>
      </c>
      <c r="H1936" s="79">
        <f>IF('Ordenes_Odoo'!H1936="","",'Ordenes_Odoo'!H1936)</f>
        <v/>
      </c>
      <c r="I1936" s="79">
        <f>IF('Ordenes_Odoo'!I1936="","",'Ordenes_Odoo'!I1936)</f>
        <v/>
      </c>
      <c r="J1936" s="79">
        <f>IF('Ordenes_Odoo'!J1936="","",'Ordenes_Odoo'!J1936)</f>
        <v/>
      </c>
      <c r="K1936" s="81">
        <f>IF('Ordenes_Odoo'!K1936="","",'Ordenes_Odoo'!K1936)</f>
        <v/>
      </c>
      <c r="L1936" s="81">
        <f>IF('Ordenes_Odoo'!L1936="","",'Ordenes_Odoo'!L1936)</f>
        <v/>
      </c>
      <c r="M1936" s="79">
        <f>IF('Ordenes_Odoo'!M1936="","",'Ordenes_Odoo'!M1936)</f>
        <v/>
      </c>
      <c r="N1936" s="79">
        <f>IF('Ordenes_Odoo'!N1936="","",'Ordenes_Odoo'!N1936)</f>
        <v/>
      </c>
      <c r="O1936" s="81">
        <f>IF('Ordenes_Odoo'!O1936="","",'Ordenes_Odoo'!O1936)</f>
        <v/>
      </c>
      <c r="P1936" s="81">
        <f>IF('Ordenes_Odoo'!P1936="","",'Ordenes_Odoo'!P1936)</f>
        <v/>
      </c>
      <c r="Q1936" s="79">
        <f>IF(A1936="","",IFERROR(INDEX(Facturas_Odoo!$B:$B, MATCH(A1936, Facturas_Odoo!$D:$D, 0)), "Sin Factura"))</f>
        <v/>
      </c>
      <c r="R1936" s="80">
        <f>IF(Q1936="Sin Factura","",IFERROR(INDEX(Facturas_Odoo!$A:$A, MATCH(Q1936, Facturas_Odoo!$B:$B, 0)), ""))</f>
        <v/>
      </c>
      <c r="S1936" s="79">
        <f>IF(Q1936="Sin Factura","",IFERROR(_xlfn.XLOOKUP(1, (Facturas_Odoo!$D:$D=A1936) * (Facturas_Odoo!$K:$K=I1936), Facturas_Odoo!$L:$L, ""), ""))</f>
        <v/>
      </c>
      <c r="T1936" s="81">
        <f>IF(Q1936="Sin Factura",0,IFERROR(_xlfn.XLOOKUP(1, (Facturas_Odoo!$D:$D=A1936) * (Facturas_Odoo!$K:$K=I1936), Facturas_Odoo!$M:$M, 0), 0))</f>
        <v/>
      </c>
      <c r="U1936" s="79">
        <f>IF(Q1936="Sin Factura",0,IFERROR(_xlfn.XLOOKUP(1, (Facturas_Odoo!$D:$D=A1936) * (Facturas_Odoo!$K:$K=I1936), Facturas_Odoo!$N:$N, 0), 0))</f>
        <v/>
      </c>
      <c r="V1936" s="79">
        <f>IF(Q1936="Sin Factura",0,IFERROR(_xlfn.XLOOKUP(1, (Facturas_Odoo!$D:$D=A1936) * (Facturas_Odoo!$K:$K=I1936), Facturas_Odoo!$O:$O, 0), 0))</f>
        <v/>
      </c>
      <c r="W1936" s="81">
        <f>IF(Q1936="Sin Factura",0,IFERROR(_xlfn.XLOOKUP(1, (Facturas_Odoo!$D:$D=A1936) * (Facturas_Odoo!$K:$K=I1936), Facturas_Odoo!$Q:$Q, 0), 0))</f>
        <v/>
      </c>
      <c r="X1936" s="79">
        <f>IF(OR(Q1936="Sin Factura",Q1936=""),"",IFERROR(INDEX(Pagos_Odoo!$B:$B, MATCH(Q1936, Pagos_Odoo!$I:$I, 0)), "Sin Pago"))</f>
        <v/>
      </c>
      <c r="Y1936" s="79">
        <f>IF(X1936="Sin Pago","",IFERROR(INDEX(Pagos_Odoo!$C:$C, MATCH(X1936, Pagos_Odoo!$B:$B, 0)), ""))</f>
        <v/>
      </c>
      <c r="Z1936" s="80">
        <f>IF(X1936="Sin Pago","",IFERROR(INDEX(Pagos_Odoo!$A:$A, MATCH(X1936, Pagos_Odoo!$B:$B, 0)), ""))</f>
        <v/>
      </c>
      <c r="AA1936" s="79">
        <f>IF(X1936="Sin Pago","",IFERROR(INDEX(Pagos_Odoo!$F:$F, MATCH(X1936, Pagos_Odoo!$B:$B, 0)), ""))</f>
        <v/>
      </c>
      <c r="AB1936" s="81">
        <f>IF(X1936="Sin Pago",0,IFERROR(INDEX(Pagos_Odoo!$E:$E, MATCH(X1936, Pagos_Odoo!$B:$B, 0)), 0))</f>
        <v/>
      </c>
      <c r="AC1936" s="79">
        <f>IF(X1936="Sin Pago","",IFERROR(INDEX(Pagos_Odoo!$G:$G, MATCH(X1936, Pagos_Odoo!$B:$B, 0)), ""))</f>
        <v/>
      </c>
      <c r="AD1936" s="82" t="n">
        <v>0</v>
      </c>
      <c r="AE1936" s="82" t="n"/>
      <c r="AF1936" s="82" t="n"/>
      <c r="AG1936" s="82">
        <f>IF(AN1936="","",AD1936+AE1936+AF1936)</f>
        <v/>
      </c>
      <c r="AH1936" s="81">
        <f>IF(AN1936="","",P1936*(1-AG1936))</f>
        <v/>
      </c>
      <c r="AI1936" s="81">
        <f>IF(AN1936="","",IF(Q1936="Sin Factura",0,IFERROR(INDEX(Facturas_Odoo!$H:$H, MATCH(Q1936, Facturas_Odoo!$B:$B, 0)), 0)*(1-AG1936)))</f>
        <v/>
      </c>
      <c r="AJ1936" s="81">
        <f>IF(AN1936="","",_xlfn.LET(idVenta, AN1936&amp;"",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36" s="81">
        <f>IF(AN1936="","",AH1936-AJ1936)</f>
        <v/>
      </c>
      <c r="AL1936" s="81">
        <f>IF(AN1936="","",IF(Q1936="Sin Factura","",AI1936-AJ1936))</f>
        <v/>
      </c>
      <c r="AM1936" s="81">
        <f>IF(AN1936="","",IF(Q1936="Sin Factura",0,P1936-IFERROR(INDEX(Facturas_Odoo!$H:$H, MATCH(Q1936, Facturas_Odoo!$B:$B, 0)), 0)))</f>
        <v/>
      </c>
      <c r="AN1936" s="79">
        <f>IF(AND(A1936="", J1936=""), "", IF(A1936&lt;&gt;"", VALUE(MID(A1936,2,LEN(A1936))), AN1935))</f>
        <v/>
      </c>
      <c r="AO1936" s="79">
        <f>IF(AN1936="","",IF(AD1936=0,"OK",_xlfn.LET(monedaPago, IF(AA1936="","USD",AA1936), limitePermitido, IFERROR(VLOOKUP(monedaPago, Configuración!$A$2:$B$3, 2, FALSE), 0.15), IF(AD1936&gt;limitePermitido, "ALERTA: EXCESO (" &amp; TEXT(limitePermitido, "0%") &amp; " máx)", "OK"))))</f>
        <v/>
      </c>
      <c r="AP1936" s="79">
        <f>IF(AN1936="","",IF(AE1936=0,"OK",_xlfn.LET(fechaPago, Z1936, fechaFactura, R1936, diasCredito, IF(E1936="Pago inmediato", 0, IFERROR(VALUE(MID(E1936, 1, SEARCH(" ", E1936)-1)),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36" s="79">
        <f>IF(AN1936="","",IF(AND(N1936&gt;0, AG1936&gt;0), IF(Configuración!$K$2="NO", "ALERTA: DESCUENTO DOBLE NO PERMITIDO", "OK"), "OK"))</f>
        <v/>
      </c>
      <c r="AR1936" s="79">
        <f>IF(AN1936="","",IF(OR(AO1936&lt;&gt;"OK", AP1936&lt;&gt;"OK", AQ1936&lt;&gt;"OK"), "⚠️ REVISAR", "OK"))</f>
        <v/>
      </c>
    </row>
    <row r="1937">
      <c r="A1937" s="79">
        <f>IF('Ordenes_Odoo'!A1937="","",'Ordenes_Odoo'!A1937)</f>
        <v/>
      </c>
      <c r="B1937" s="80">
        <f>IF('Ordenes_Odoo'!B1937="","",'Ordenes_Odoo'!B1937)</f>
        <v/>
      </c>
      <c r="C1937" s="79">
        <f>IF('Ordenes_Odoo'!C1937="","",'Ordenes_Odoo'!C1937)</f>
        <v/>
      </c>
      <c r="D1937" s="79">
        <f>IF('Ordenes_Odoo'!D1937="","",'Ordenes_Odoo'!D1937)</f>
        <v/>
      </c>
      <c r="E1937" s="79">
        <f>IF('Ordenes_Odoo'!E1937="","",'Ordenes_Odoo'!E1937)</f>
        <v/>
      </c>
      <c r="F1937" s="79">
        <f>IF('Ordenes_Odoo'!F1937="","",'Ordenes_Odoo'!F1937)</f>
        <v/>
      </c>
      <c r="G1937" s="79">
        <f>IF('Ordenes_Odoo'!G1937="","",'Ordenes_Odoo'!G1937)</f>
        <v/>
      </c>
      <c r="H1937" s="79">
        <f>IF('Ordenes_Odoo'!H1937="","",'Ordenes_Odoo'!H1937)</f>
        <v/>
      </c>
      <c r="I1937" s="79">
        <f>IF('Ordenes_Odoo'!I1937="","",'Ordenes_Odoo'!I1937)</f>
        <v/>
      </c>
      <c r="J1937" s="79">
        <f>IF('Ordenes_Odoo'!J1937="","",'Ordenes_Odoo'!J1937)</f>
        <v/>
      </c>
      <c r="K1937" s="81">
        <f>IF('Ordenes_Odoo'!K1937="","",'Ordenes_Odoo'!K1937)</f>
        <v/>
      </c>
      <c r="L1937" s="81">
        <f>IF('Ordenes_Odoo'!L1937="","",'Ordenes_Odoo'!L1937)</f>
        <v/>
      </c>
      <c r="M1937" s="79">
        <f>IF('Ordenes_Odoo'!M1937="","",'Ordenes_Odoo'!M1937)</f>
        <v/>
      </c>
      <c r="N1937" s="79">
        <f>IF('Ordenes_Odoo'!N1937="","",'Ordenes_Odoo'!N1937)</f>
        <v/>
      </c>
      <c r="O1937" s="81">
        <f>IF('Ordenes_Odoo'!O1937="","",'Ordenes_Odoo'!O1937)</f>
        <v/>
      </c>
      <c r="P1937" s="81">
        <f>IF('Ordenes_Odoo'!P1937="","",'Ordenes_Odoo'!P1937)</f>
        <v/>
      </c>
      <c r="Q1937" s="79">
        <f>IF(A1937="","",IFERROR(INDEX(Facturas_Odoo!$B:$B, MATCH(A1937, Facturas_Odoo!$D:$D, 0)), "Sin Factura"))</f>
        <v/>
      </c>
      <c r="R1937" s="80">
        <f>IF(Q1937="Sin Factura","",IFERROR(INDEX(Facturas_Odoo!$A:$A, MATCH(Q1937, Facturas_Odoo!$B:$B, 0)), ""))</f>
        <v/>
      </c>
      <c r="S1937" s="79">
        <f>IF(Q1937="Sin Factura","",IFERROR(_xlfn.XLOOKUP(1, (Facturas_Odoo!$D:$D=A1937) * (Facturas_Odoo!$K:$K=I1937), Facturas_Odoo!$L:$L, ""), ""))</f>
        <v/>
      </c>
      <c r="T1937" s="81">
        <f>IF(Q1937="Sin Factura",0,IFERROR(_xlfn.XLOOKUP(1, (Facturas_Odoo!$D:$D=A1937) * (Facturas_Odoo!$K:$K=I1937), Facturas_Odoo!$M:$M, 0), 0))</f>
        <v/>
      </c>
      <c r="U1937" s="79">
        <f>IF(Q1937="Sin Factura",0,IFERROR(_xlfn.XLOOKUP(1, (Facturas_Odoo!$D:$D=A1937) * (Facturas_Odoo!$K:$K=I1937), Facturas_Odoo!$N:$N, 0), 0))</f>
        <v/>
      </c>
      <c r="V1937" s="79">
        <f>IF(Q1937="Sin Factura",0,IFERROR(_xlfn.XLOOKUP(1, (Facturas_Odoo!$D:$D=A1937) * (Facturas_Odoo!$K:$K=I1937), Facturas_Odoo!$O:$O, 0), 0))</f>
        <v/>
      </c>
      <c r="W1937" s="81">
        <f>IF(Q1937="Sin Factura",0,IFERROR(_xlfn.XLOOKUP(1, (Facturas_Odoo!$D:$D=A1937) * (Facturas_Odoo!$K:$K=I1937), Facturas_Odoo!$Q:$Q, 0), 0))</f>
        <v/>
      </c>
      <c r="X1937" s="79">
        <f>IF(OR(Q1937="Sin Factura",Q1937=""),"",IFERROR(INDEX(Pagos_Odoo!$B:$B, MATCH(Q1937, Pagos_Odoo!$I:$I, 0)), "Sin Pago"))</f>
        <v/>
      </c>
      <c r="Y1937" s="79">
        <f>IF(X1937="Sin Pago","",IFERROR(INDEX(Pagos_Odoo!$C:$C, MATCH(X1937, Pagos_Odoo!$B:$B, 0)), ""))</f>
        <v/>
      </c>
      <c r="Z1937" s="80">
        <f>IF(X1937="Sin Pago","",IFERROR(INDEX(Pagos_Odoo!$A:$A, MATCH(X1937, Pagos_Odoo!$B:$B, 0)), ""))</f>
        <v/>
      </c>
      <c r="AA1937" s="79">
        <f>IF(X1937="Sin Pago","",IFERROR(INDEX(Pagos_Odoo!$F:$F, MATCH(X1937, Pagos_Odoo!$B:$B, 0)), ""))</f>
        <v/>
      </c>
      <c r="AB1937" s="81">
        <f>IF(X1937="Sin Pago",0,IFERROR(INDEX(Pagos_Odoo!$E:$E, MATCH(X1937, Pagos_Odoo!$B:$B, 0)), 0))</f>
        <v/>
      </c>
      <c r="AC1937" s="79">
        <f>IF(X1937="Sin Pago","",IFERROR(INDEX(Pagos_Odoo!$G:$G, MATCH(X1937, Pagos_Odoo!$B:$B, 0)), ""))</f>
        <v/>
      </c>
      <c r="AD1937" s="82" t="n">
        <v>0</v>
      </c>
      <c r="AE1937" s="82" t="n"/>
      <c r="AF1937" s="82" t="n"/>
      <c r="AG1937" s="82">
        <f>IF(AN1937="","",AD1937+AE1937+AF1937)</f>
        <v/>
      </c>
      <c r="AH1937" s="81">
        <f>IF(AN1937="","",P1937*(1-AG1937))</f>
        <v/>
      </c>
      <c r="AI1937" s="81">
        <f>IF(AN1937="","",IF(Q1937="Sin Factura",0,IFERROR(INDEX(Facturas_Odoo!$H:$H, MATCH(Q1937, Facturas_Odoo!$B:$B, 0)), 0)*(1-AG1937)))</f>
        <v/>
      </c>
      <c r="AJ1937" s="81">
        <f>IF(AN1937="","",_xlfn.LET(idVenta, AN1937&amp;"",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37" s="81">
        <f>IF(AN1937="","",AH1937-AJ1937)</f>
        <v/>
      </c>
      <c r="AL1937" s="81">
        <f>IF(AN1937="","",IF(Q1937="Sin Factura","",AI1937-AJ1937))</f>
        <v/>
      </c>
      <c r="AM1937" s="81">
        <f>IF(AN1937="","",IF(Q1937="Sin Factura",0,P1937-IFERROR(INDEX(Facturas_Odoo!$H:$H, MATCH(Q1937, Facturas_Odoo!$B:$B, 0)), 0)))</f>
        <v/>
      </c>
      <c r="AN1937" s="79">
        <f>IF(AND(A1937="", J1937=""), "", IF(A1937&lt;&gt;"", VALUE(MID(A1937,2,LEN(A1937))), AN1936))</f>
        <v/>
      </c>
      <c r="AO1937" s="79">
        <f>IF(AN1937="","",IF(AD1937=0,"OK",_xlfn.LET(monedaPago, IF(AA1937="","USD",AA1937), limitePermitido, IFERROR(VLOOKUP(monedaPago, Configuración!$A$2:$B$3, 2, FALSE), 0.15), IF(AD1937&gt;limitePermitido, "ALERTA: EXCESO (" &amp; TEXT(limitePermitido, "0%") &amp; " máx)", "OK"))))</f>
        <v/>
      </c>
      <c r="AP1937" s="79">
        <f>IF(AN1937="","",IF(AE1937=0,"OK",_xlfn.LET(fechaPago, Z1937, fechaFactura, R1937, diasCredito, IF(E1937="Pago inmediato", 0, IFERROR(VALUE(MID(E1937, 1, SEARCH(" ", E1937)-1)),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37" s="79">
        <f>IF(AN1937="","",IF(AND(N1937&gt;0, AG1937&gt;0), IF(Configuración!$K$2="NO", "ALERTA: DESCUENTO DOBLE NO PERMITIDO", "OK"), "OK"))</f>
        <v/>
      </c>
      <c r="AR1937" s="79">
        <f>IF(AN1937="","",IF(OR(AO1937&lt;&gt;"OK", AP1937&lt;&gt;"OK", AQ1937&lt;&gt;"OK"), "⚠️ REVISAR", "OK"))</f>
        <v/>
      </c>
    </row>
    <row r="1938">
      <c r="A1938" s="79">
        <f>IF('Ordenes_Odoo'!A1938="","",'Ordenes_Odoo'!A1938)</f>
        <v/>
      </c>
      <c r="B1938" s="80">
        <f>IF('Ordenes_Odoo'!B1938="","",'Ordenes_Odoo'!B1938)</f>
        <v/>
      </c>
      <c r="C1938" s="79">
        <f>IF('Ordenes_Odoo'!C1938="","",'Ordenes_Odoo'!C1938)</f>
        <v/>
      </c>
      <c r="D1938" s="79">
        <f>IF('Ordenes_Odoo'!D1938="","",'Ordenes_Odoo'!D1938)</f>
        <v/>
      </c>
      <c r="E1938" s="79">
        <f>IF('Ordenes_Odoo'!E1938="","",'Ordenes_Odoo'!E1938)</f>
        <v/>
      </c>
      <c r="F1938" s="79">
        <f>IF('Ordenes_Odoo'!F1938="","",'Ordenes_Odoo'!F1938)</f>
        <v/>
      </c>
      <c r="G1938" s="79">
        <f>IF('Ordenes_Odoo'!G1938="","",'Ordenes_Odoo'!G1938)</f>
        <v/>
      </c>
      <c r="H1938" s="79">
        <f>IF('Ordenes_Odoo'!H1938="","",'Ordenes_Odoo'!H1938)</f>
        <v/>
      </c>
      <c r="I1938" s="79">
        <f>IF('Ordenes_Odoo'!I1938="","",'Ordenes_Odoo'!I1938)</f>
        <v/>
      </c>
      <c r="J1938" s="79">
        <f>IF('Ordenes_Odoo'!J1938="","",'Ordenes_Odoo'!J1938)</f>
        <v/>
      </c>
      <c r="K1938" s="81">
        <f>IF('Ordenes_Odoo'!K1938="","",'Ordenes_Odoo'!K1938)</f>
        <v/>
      </c>
      <c r="L1938" s="81">
        <f>IF('Ordenes_Odoo'!L1938="","",'Ordenes_Odoo'!L1938)</f>
        <v/>
      </c>
      <c r="M1938" s="79">
        <f>IF('Ordenes_Odoo'!M1938="","",'Ordenes_Odoo'!M1938)</f>
        <v/>
      </c>
      <c r="N1938" s="79">
        <f>IF('Ordenes_Odoo'!N1938="","",'Ordenes_Odoo'!N1938)</f>
        <v/>
      </c>
      <c r="O1938" s="81">
        <f>IF('Ordenes_Odoo'!O1938="","",'Ordenes_Odoo'!O1938)</f>
        <v/>
      </c>
      <c r="P1938" s="81">
        <f>IF('Ordenes_Odoo'!P1938="","",'Ordenes_Odoo'!P1938)</f>
        <v/>
      </c>
      <c r="Q1938" s="79">
        <f>IF(A1938="","",IFERROR(INDEX(Facturas_Odoo!$B:$B, MATCH(A1938, Facturas_Odoo!$D:$D, 0)), "Sin Factura"))</f>
        <v/>
      </c>
      <c r="R1938" s="80">
        <f>IF(Q1938="Sin Factura","",IFERROR(INDEX(Facturas_Odoo!$A:$A, MATCH(Q1938, Facturas_Odoo!$B:$B, 0)), ""))</f>
        <v/>
      </c>
      <c r="S1938" s="79">
        <f>IF(Q1938="Sin Factura","",IFERROR(_xlfn.XLOOKUP(1, (Facturas_Odoo!$D:$D=A1938) * (Facturas_Odoo!$K:$K=I1938), Facturas_Odoo!$L:$L, ""), ""))</f>
        <v/>
      </c>
      <c r="T1938" s="81">
        <f>IF(Q1938="Sin Factura",0,IFERROR(_xlfn.XLOOKUP(1, (Facturas_Odoo!$D:$D=A1938) * (Facturas_Odoo!$K:$K=I1938), Facturas_Odoo!$M:$M, 0), 0))</f>
        <v/>
      </c>
      <c r="U1938" s="79">
        <f>IF(Q1938="Sin Factura",0,IFERROR(_xlfn.XLOOKUP(1, (Facturas_Odoo!$D:$D=A1938) * (Facturas_Odoo!$K:$K=I1938), Facturas_Odoo!$N:$N, 0), 0))</f>
        <v/>
      </c>
      <c r="V1938" s="79">
        <f>IF(Q1938="Sin Factura",0,IFERROR(_xlfn.XLOOKUP(1, (Facturas_Odoo!$D:$D=A1938) * (Facturas_Odoo!$K:$K=I1938), Facturas_Odoo!$O:$O, 0), 0))</f>
        <v/>
      </c>
      <c r="W1938" s="81">
        <f>IF(Q1938="Sin Factura",0,IFERROR(_xlfn.XLOOKUP(1, (Facturas_Odoo!$D:$D=A1938) * (Facturas_Odoo!$K:$K=I1938), Facturas_Odoo!$Q:$Q, 0), 0))</f>
        <v/>
      </c>
      <c r="X1938" s="79">
        <f>IF(OR(Q1938="Sin Factura",Q1938=""),"",IFERROR(INDEX(Pagos_Odoo!$B:$B, MATCH(Q1938, Pagos_Odoo!$I:$I, 0)), "Sin Pago"))</f>
        <v/>
      </c>
      <c r="Y1938" s="79">
        <f>IF(X1938="Sin Pago","",IFERROR(INDEX(Pagos_Odoo!$C:$C, MATCH(X1938, Pagos_Odoo!$B:$B, 0)), ""))</f>
        <v/>
      </c>
      <c r="Z1938" s="80">
        <f>IF(X1938="Sin Pago","",IFERROR(INDEX(Pagos_Odoo!$A:$A, MATCH(X1938, Pagos_Odoo!$B:$B, 0)), ""))</f>
        <v/>
      </c>
      <c r="AA1938" s="79">
        <f>IF(X1938="Sin Pago","",IFERROR(INDEX(Pagos_Odoo!$F:$F, MATCH(X1938, Pagos_Odoo!$B:$B, 0)), ""))</f>
        <v/>
      </c>
      <c r="AB1938" s="81">
        <f>IF(X1938="Sin Pago",0,IFERROR(INDEX(Pagos_Odoo!$E:$E, MATCH(X1938, Pagos_Odoo!$B:$B, 0)), 0))</f>
        <v/>
      </c>
      <c r="AC1938" s="79">
        <f>IF(X1938="Sin Pago","",IFERROR(INDEX(Pagos_Odoo!$G:$G, MATCH(X1938, Pagos_Odoo!$B:$B, 0)), ""))</f>
        <v/>
      </c>
      <c r="AD1938" s="82" t="n">
        <v>0</v>
      </c>
      <c r="AE1938" s="82" t="n"/>
      <c r="AF1938" s="82" t="n"/>
      <c r="AG1938" s="82">
        <f>IF(AN1938="","",AD1938+AE1938+AF1938)</f>
        <v/>
      </c>
      <c r="AH1938" s="81">
        <f>IF(AN1938="","",P1938*(1-AG1938))</f>
        <v/>
      </c>
      <c r="AI1938" s="81">
        <f>IF(AN1938="","",IF(Q1938="Sin Factura",0,IFERROR(INDEX(Facturas_Odoo!$H:$H, MATCH(Q1938, Facturas_Odoo!$B:$B, 0)), 0)*(1-AG1938)))</f>
        <v/>
      </c>
      <c r="AJ1938" s="81">
        <f>IF(AN1938="","",_xlfn.LET(idVenta, AN1938&amp;"",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38" s="81">
        <f>IF(AN1938="","",AH1938-AJ1938)</f>
        <v/>
      </c>
      <c r="AL1938" s="81">
        <f>IF(AN1938="","",IF(Q1938="Sin Factura","",AI1938-AJ1938))</f>
        <v/>
      </c>
      <c r="AM1938" s="81">
        <f>IF(AN1938="","",IF(Q1938="Sin Factura",0,P1938-IFERROR(INDEX(Facturas_Odoo!$H:$H, MATCH(Q1938, Facturas_Odoo!$B:$B, 0)), 0)))</f>
        <v/>
      </c>
      <c r="AN1938" s="79">
        <f>IF(AND(A1938="", J1938=""), "", IF(A1938&lt;&gt;"", VALUE(MID(A1938,2,LEN(A1938))), AN1937))</f>
        <v/>
      </c>
      <c r="AO1938" s="79">
        <f>IF(AN1938="","",IF(AD1938=0,"OK",_xlfn.LET(monedaPago, IF(AA1938="","USD",AA1938), limitePermitido, IFERROR(VLOOKUP(monedaPago, Configuración!$A$2:$B$3, 2, FALSE), 0.15), IF(AD1938&gt;limitePermitido, "ALERTA: EXCESO (" &amp; TEXT(limitePermitido, "0%") &amp; " máx)", "OK"))))</f>
        <v/>
      </c>
      <c r="AP1938" s="79">
        <f>IF(AN1938="","",IF(AE1938=0,"OK",_xlfn.LET(fechaPago, Z1938, fechaFactura, R1938, diasCredito, IF(E1938="Pago inmediato", 0, IFERROR(VALUE(MID(E1938, 1, SEARCH(" ", E1938)-1)),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38" s="79">
        <f>IF(AN1938="","",IF(AND(N1938&gt;0, AG1938&gt;0), IF(Configuración!$K$2="NO", "ALERTA: DESCUENTO DOBLE NO PERMITIDO", "OK"), "OK"))</f>
        <v/>
      </c>
      <c r="AR1938" s="79">
        <f>IF(AN1938="","",IF(OR(AO1938&lt;&gt;"OK", AP1938&lt;&gt;"OK", AQ1938&lt;&gt;"OK"), "⚠️ REVISAR", "OK"))</f>
        <v/>
      </c>
    </row>
    <row r="1939">
      <c r="A1939" s="79">
        <f>IF('Ordenes_Odoo'!A1939="","",'Ordenes_Odoo'!A1939)</f>
        <v/>
      </c>
      <c r="B1939" s="80">
        <f>IF('Ordenes_Odoo'!B1939="","",'Ordenes_Odoo'!B1939)</f>
        <v/>
      </c>
      <c r="C1939" s="79">
        <f>IF('Ordenes_Odoo'!C1939="","",'Ordenes_Odoo'!C1939)</f>
        <v/>
      </c>
      <c r="D1939" s="79">
        <f>IF('Ordenes_Odoo'!D1939="","",'Ordenes_Odoo'!D1939)</f>
        <v/>
      </c>
      <c r="E1939" s="79">
        <f>IF('Ordenes_Odoo'!E1939="","",'Ordenes_Odoo'!E1939)</f>
        <v/>
      </c>
      <c r="F1939" s="79">
        <f>IF('Ordenes_Odoo'!F1939="","",'Ordenes_Odoo'!F1939)</f>
        <v/>
      </c>
      <c r="G1939" s="79">
        <f>IF('Ordenes_Odoo'!G1939="","",'Ordenes_Odoo'!G1939)</f>
        <v/>
      </c>
      <c r="H1939" s="79">
        <f>IF('Ordenes_Odoo'!H1939="","",'Ordenes_Odoo'!H1939)</f>
        <v/>
      </c>
      <c r="I1939" s="79">
        <f>IF('Ordenes_Odoo'!I1939="","",'Ordenes_Odoo'!I1939)</f>
        <v/>
      </c>
      <c r="J1939" s="79">
        <f>IF('Ordenes_Odoo'!J1939="","",'Ordenes_Odoo'!J1939)</f>
        <v/>
      </c>
      <c r="K1939" s="81">
        <f>IF('Ordenes_Odoo'!K1939="","",'Ordenes_Odoo'!K1939)</f>
        <v/>
      </c>
      <c r="L1939" s="81">
        <f>IF('Ordenes_Odoo'!L1939="","",'Ordenes_Odoo'!L1939)</f>
        <v/>
      </c>
      <c r="M1939" s="79">
        <f>IF('Ordenes_Odoo'!M1939="","",'Ordenes_Odoo'!M1939)</f>
        <v/>
      </c>
      <c r="N1939" s="79">
        <f>IF('Ordenes_Odoo'!N1939="","",'Ordenes_Odoo'!N1939)</f>
        <v/>
      </c>
      <c r="O1939" s="81">
        <f>IF('Ordenes_Odoo'!O1939="","",'Ordenes_Odoo'!O1939)</f>
        <v/>
      </c>
      <c r="P1939" s="81">
        <f>IF('Ordenes_Odoo'!P1939="","",'Ordenes_Odoo'!P1939)</f>
        <v/>
      </c>
      <c r="Q1939" s="79">
        <f>IF(A1939="","",IFERROR(INDEX(Facturas_Odoo!$B:$B, MATCH(A1939, Facturas_Odoo!$D:$D, 0)), "Sin Factura"))</f>
        <v/>
      </c>
      <c r="R1939" s="80">
        <f>IF(Q1939="Sin Factura","",IFERROR(INDEX(Facturas_Odoo!$A:$A, MATCH(Q1939, Facturas_Odoo!$B:$B, 0)), ""))</f>
        <v/>
      </c>
      <c r="S1939" s="79">
        <f>IF(Q1939="Sin Factura","",IFERROR(_xlfn.XLOOKUP(1, (Facturas_Odoo!$D:$D=A1939) * (Facturas_Odoo!$K:$K=I1939), Facturas_Odoo!$L:$L, ""), ""))</f>
        <v/>
      </c>
      <c r="T1939" s="81">
        <f>IF(Q1939="Sin Factura",0,IFERROR(_xlfn.XLOOKUP(1, (Facturas_Odoo!$D:$D=A1939) * (Facturas_Odoo!$K:$K=I1939), Facturas_Odoo!$M:$M, 0), 0))</f>
        <v/>
      </c>
      <c r="U1939" s="79">
        <f>IF(Q1939="Sin Factura",0,IFERROR(_xlfn.XLOOKUP(1, (Facturas_Odoo!$D:$D=A1939) * (Facturas_Odoo!$K:$K=I1939), Facturas_Odoo!$N:$N, 0), 0))</f>
        <v/>
      </c>
      <c r="V1939" s="79">
        <f>IF(Q1939="Sin Factura",0,IFERROR(_xlfn.XLOOKUP(1, (Facturas_Odoo!$D:$D=A1939) * (Facturas_Odoo!$K:$K=I1939), Facturas_Odoo!$O:$O, 0), 0))</f>
        <v/>
      </c>
      <c r="W1939" s="81">
        <f>IF(Q1939="Sin Factura",0,IFERROR(_xlfn.XLOOKUP(1, (Facturas_Odoo!$D:$D=A1939) * (Facturas_Odoo!$K:$K=I1939), Facturas_Odoo!$Q:$Q, 0), 0))</f>
        <v/>
      </c>
      <c r="X1939" s="79">
        <f>IF(OR(Q1939="Sin Factura",Q1939=""),"",IFERROR(INDEX(Pagos_Odoo!$B:$B, MATCH(Q1939, Pagos_Odoo!$I:$I, 0)), "Sin Pago"))</f>
        <v/>
      </c>
      <c r="Y1939" s="79">
        <f>IF(X1939="Sin Pago","",IFERROR(INDEX(Pagos_Odoo!$C:$C, MATCH(X1939, Pagos_Odoo!$B:$B, 0)), ""))</f>
        <v/>
      </c>
      <c r="Z1939" s="80">
        <f>IF(X1939="Sin Pago","",IFERROR(INDEX(Pagos_Odoo!$A:$A, MATCH(X1939, Pagos_Odoo!$B:$B, 0)), ""))</f>
        <v/>
      </c>
      <c r="AA1939" s="79">
        <f>IF(X1939="Sin Pago","",IFERROR(INDEX(Pagos_Odoo!$F:$F, MATCH(X1939, Pagos_Odoo!$B:$B, 0)), ""))</f>
        <v/>
      </c>
      <c r="AB1939" s="81">
        <f>IF(X1939="Sin Pago",0,IFERROR(INDEX(Pagos_Odoo!$E:$E, MATCH(X1939, Pagos_Odoo!$B:$B, 0)), 0))</f>
        <v/>
      </c>
      <c r="AC1939" s="79">
        <f>IF(X1939="Sin Pago","",IFERROR(INDEX(Pagos_Odoo!$G:$G, MATCH(X1939, Pagos_Odoo!$B:$B, 0)), ""))</f>
        <v/>
      </c>
      <c r="AD1939" s="82" t="n">
        <v>0</v>
      </c>
      <c r="AE1939" s="82" t="n"/>
      <c r="AF1939" s="82" t="n"/>
      <c r="AG1939" s="82">
        <f>IF(AN1939="","",AD1939+AE1939+AF1939)</f>
        <v/>
      </c>
      <c r="AH1939" s="81">
        <f>IF(AN1939="","",P1939*(1-AG1939))</f>
        <v/>
      </c>
      <c r="AI1939" s="81">
        <f>IF(AN1939="","",IF(Q1939="Sin Factura",0,IFERROR(INDEX(Facturas_Odoo!$H:$H, MATCH(Q1939, Facturas_Odoo!$B:$B, 0)), 0)*(1-AG1939)))</f>
        <v/>
      </c>
      <c r="AJ1939" s="81">
        <f>IF(AN1939="","",_xlfn.LET(idVenta, AN1939&amp;"",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39" s="81">
        <f>IF(AN1939="","",AH1939-AJ1939)</f>
        <v/>
      </c>
      <c r="AL1939" s="81">
        <f>IF(AN1939="","",IF(Q1939="Sin Factura","",AI1939-AJ1939))</f>
        <v/>
      </c>
      <c r="AM1939" s="81">
        <f>IF(AN1939="","",IF(Q1939="Sin Factura",0,P1939-IFERROR(INDEX(Facturas_Odoo!$H:$H, MATCH(Q1939, Facturas_Odoo!$B:$B, 0)), 0)))</f>
        <v/>
      </c>
      <c r="AN1939" s="79">
        <f>IF(AND(A1939="", J1939=""), "", IF(A1939&lt;&gt;"", VALUE(MID(A1939,2,LEN(A1939))), AN1938))</f>
        <v/>
      </c>
      <c r="AO1939" s="79">
        <f>IF(AN1939="","",IF(AD1939=0,"OK",_xlfn.LET(monedaPago, IF(AA1939="","USD",AA1939), limitePermitido, IFERROR(VLOOKUP(monedaPago, Configuración!$A$2:$B$3, 2, FALSE), 0.15), IF(AD1939&gt;limitePermitido, "ALERTA: EXCESO (" &amp; TEXT(limitePermitido, "0%") &amp; " máx)", "OK"))))</f>
        <v/>
      </c>
      <c r="AP1939" s="79">
        <f>IF(AN1939="","",IF(AE1939=0,"OK",_xlfn.LET(fechaPago, Z1939, fechaFactura, R1939, diasCredito, IF(E1939="Pago inmediato", 0, IFERROR(VALUE(MID(E1939, 1, SEARCH(" ", E1939)-1)),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39" s="79">
        <f>IF(AN1939="","",IF(AND(N1939&gt;0, AG1939&gt;0), IF(Configuración!$K$2="NO", "ALERTA: DESCUENTO DOBLE NO PERMITIDO", "OK"), "OK"))</f>
        <v/>
      </c>
      <c r="AR1939" s="79">
        <f>IF(AN1939="","",IF(OR(AO1939&lt;&gt;"OK", AP1939&lt;&gt;"OK", AQ1939&lt;&gt;"OK"), "⚠️ REVISAR", "OK"))</f>
        <v/>
      </c>
    </row>
    <row r="1940">
      <c r="A1940" s="79">
        <f>IF('Ordenes_Odoo'!A1940="","",'Ordenes_Odoo'!A1940)</f>
        <v/>
      </c>
      <c r="B1940" s="80">
        <f>IF('Ordenes_Odoo'!B1940="","",'Ordenes_Odoo'!B1940)</f>
        <v/>
      </c>
      <c r="C1940" s="79">
        <f>IF('Ordenes_Odoo'!C1940="","",'Ordenes_Odoo'!C1940)</f>
        <v/>
      </c>
      <c r="D1940" s="79">
        <f>IF('Ordenes_Odoo'!D1940="","",'Ordenes_Odoo'!D1940)</f>
        <v/>
      </c>
      <c r="E1940" s="79">
        <f>IF('Ordenes_Odoo'!E1940="","",'Ordenes_Odoo'!E1940)</f>
        <v/>
      </c>
      <c r="F1940" s="79">
        <f>IF('Ordenes_Odoo'!F1940="","",'Ordenes_Odoo'!F1940)</f>
        <v/>
      </c>
      <c r="G1940" s="79">
        <f>IF('Ordenes_Odoo'!G1940="","",'Ordenes_Odoo'!G1940)</f>
        <v/>
      </c>
      <c r="H1940" s="79">
        <f>IF('Ordenes_Odoo'!H1940="","",'Ordenes_Odoo'!H1940)</f>
        <v/>
      </c>
      <c r="I1940" s="79">
        <f>IF('Ordenes_Odoo'!I1940="","",'Ordenes_Odoo'!I1940)</f>
        <v/>
      </c>
      <c r="J1940" s="79">
        <f>IF('Ordenes_Odoo'!J1940="","",'Ordenes_Odoo'!J1940)</f>
        <v/>
      </c>
      <c r="K1940" s="81">
        <f>IF('Ordenes_Odoo'!K1940="","",'Ordenes_Odoo'!K1940)</f>
        <v/>
      </c>
      <c r="L1940" s="81">
        <f>IF('Ordenes_Odoo'!L1940="","",'Ordenes_Odoo'!L1940)</f>
        <v/>
      </c>
      <c r="M1940" s="79">
        <f>IF('Ordenes_Odoo'!M1940="","",'Ordenes_Odoo'!M1940)</f>
        <v/>
      </c>
      <c r="N1940" s="79">
        <f>IF('Ordenes_Odoo'!N1940="","",'Ordenes_Odoo'!N1940)</f>
        <v/>
      </c>
      <c r="O1940" s="81">
        <f>IF('Ordenes_Odoo'!O1940="","",'Ordenes_Odoo'!O1940)</f>
        <v/>
      </c>
      <c r="P1940" s="81">
        <f>IF('Ordenes_Odoo'!P1940="","",'Ordenes_Odoo'!P1940)</f>
        <v/>
      </c>
      <c r="Q1940" s="79">
        <f>IF(A1940="","",IFERROR(INDEX(Facturas_Odoo!$B:$B, MATCH(A1940, Facturas_Odoo!$D:$D, 0)), "Sin Factura"))</f>
        <v/>
      </c>
      <c r="R1940" s="80">
        <f>IF(Q1940="Sin Factura","",IFERROR(INDEX(Facturas_Odoo!$A:$A, MATCH(Q1940, Facturas_Odoo!$B:$B, 0)), ""))</f>
        <v/>
      </c>
      <c r="S1940" s="79">
        <f>IF(Q1940="Sin Factura","",IFERROR(_xlfn.XLOOKUP(1, (Facturas_Odoo!$D:$D=A1940) * (Facturas_Odoo!$K:$K=I1940), Facturas_Odoo!$L:$L, ""), ""))</f>
        <v/>
      </c>
      <c r="T1940" s="81">
        <f>IF(Q1940="Sin Factura",0,IFERROR(_xlfn.XLOOKUP(1, (Facturas_Odoo!$D:$D=A1940) * (Facturas_Odoo!$K:$K=I1940), Facturas_Odoo!$M:$M, 0), 0))</f>
        <v/>
      </c>
      <c r="U1940" s="79">
        <f>IF(Q1940="Sin Factura",0,IFERROR(_xlfn.XLOOKUP(1, (Facturas_Odoo!$D:$D=A1940) * (Facturas_Odoo!$K:$K=I1940), Facturas_Odoo!$N:$N, 0), 0))</f>
        <v/>
      </c>
      <c r="V1940" s="79">
        <f>IF(Q1940="Sin Factura",0,IFERROR(_xlfn.XLOOKUP(1, (Facturas_Odoo!$D:$D=A1940) * (Facturas_Odoo!$K:$K=I1940), Facturas_Odoo!$O:$O, 0), 0))</f>
        <v/>
      </c>
      <c r="W1940" s="81">
        <f>IF(Q1940="Sin Factura",0,IFERROR(_xlfn.XLOOKUP(1, (Facturas_Odoo!$D:$D=A1940) * (Facturas_Odoo!$K:$K=I1940), Facturas_Odoo!$Q:$Q, 0), 0))</f>
        <v/>
      </c>
      <c r="X1940" s="79">
        <f>IF(OR(Q1940="Sin Factura",Q1940=""),"",IFERROR(INDEX(Pagos_Odoo!$B:$B, MATCH(Q1940, Pagos_Odoo!$I:$I, 0)), "Sin Pago"))</f>
        <v/>
      </c>
      <c r="Y1940" s="79">
        <f>IF(X1940="Sin Pago","",IFERROR(INDEX(Pagos_Odoo!$C:$C, MATCH(X1940, Pagos_Odoo!$B:$B, 0)), ""))</f>
        <v/>
      </c>
      <c r="Z1940" s="80">
        <f>IF(X1940="Sin Pago","",IFERROR(INDEX(Pagos_Odoo!$A:$A, MATCH(X1940, Pagos_Odoo!$B:$B, 0)), ""))</f>
        <v/>
      </c>
      <c r="AA1940" s="79">
        <f>IF(X1940="Sin Pago","",IFERROR(INDEX(Pagos_Odoo!$F:$F, MATCH(X1940, Pagos_Odoo!$B:$B, 0)), ""))</f>
        <v/>
      </c>
      <c r="AB1940" s="81">
        <f>IF(X1940="Sin Pago",0,IFERROR(INDEX(Pagos_Odoo!$E:$E, MATCH(X1940, Pagos_Odoo!$B:$B, 0)), 0))</f>
        <v/>
      </c>
      <c r="AC1940" s="79">
        <f>IF(X1940="Sin Pago","",IFERROR(INDEX(Pagos_Odoo!$G:$G, MATCH(X1940, Pagos_Odoo!$B:$B, 0)), ""))</f>
        <v/>
      </c>
      <c r="AD1940" s="82" t="n">
        <v>0</v>
      </c>
      <c r="AE1940" s="82" t="n"/>
      <c r="AF1940" s="82" t="n"/>
      <c r="AG1940" s="82">
        <f>IF(AN1940="","",AD1940+AE1940+AF1940)</f>
        <v/>
      </c>
      <c r="AH1940" s="81">
        <f>IF(AN1940="","",P1940*(1-AG1940))</f>
        <v/>
      </c>
      <c r="AI1940" s="81">
        <f>IF(AN1940="","",IF(Q1940="Sin Factura",0,IFERROR(INDEX(Facturas_Odoo!$H:$H, MATCH(Q1940, Facturas_Odoo!$B:$B, 0)), 0)*(1-AG1940)))</f>
        <v/>
      </c>
      <c r="AJ1940" s="81">
        <f>IF(AN1940="","",_xlfn.LET(idVenta, AN1940&amp;"",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40" s="81">
        <f>IF(AN1940="","",AH1940-AJ1940)</f>
        <v/>
      </c>
      <c r="AL1940" s="81">
        <f>IF(AN1940="","",IF(Q1940="Sin Factura","",AI1940-AJ1940))</f>
        <v/>
      </c>
      <c r="AM1940" s="81">
        <f>IF(AN1940="","",IF(Q1940="Sin Factura",0,P1940-IFERROR(INDEX(Facturas_Odoo!$H:$H, MATCH(Q1940, Facturas_Odoo!$B:$B, 0)), 0)))</f>
        <v/>
      </c>
      <c r="AN1940" s="79">
        <f>IF(AND(A1940="", J1940=""), "", IF(A1940&lt;&gt;"", VALUE(MID(A1940,2,LEN(A1940))), AN1939))</f>
        <v/>
      </c>
      <c r="AO1940" s="79">
        <f>IF(AN1940="","",IF(AD1940=0,"OK",_xlfn.LET(monedaPago, IF(AA1940="","USD",AA1940), limitePermitido, IFERROR(VLOOKUP(monedaPago, Configuración!$A$2:$B$3, 2, FALSE), 0.15), IF(AD1940&gt;limitePermitido, "ALERTA: EXCESO (" &amp; TEXT(limitePermitido, "0%") &amp; " máx)", "OK"))))</f>
        <v/>
      </c>
      <c r="AP1940" s="79">
        <f>IF(AN1940="","",IF(AE1940=0,"OK",_xlfn.LET(fechaPago, Z1940, fechaFactura, R1940, diasCredito, IF(E1940="Pago inmediato", 0, IFERROR(VALUE(MID(E1940, 1, SEARCH(" ", E1940)-1)),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40" s="79">
        <f>IF(AN1940="","",IF(AND(N1940&gt;0, AG1940&gt;0), IF(Configuración!$K$2="NO", "ALERTA: DESCUENTO DOBLE NO PERMITIDO", "OK"), "OK"))</f>
        <v/>
      </c>
      <c r="AR1940" s="79">
        <f>IF(AN1940="","",IF(OR(AO1940&lt;&gt;"OK", AP1940&lt;&gt;"OK", AQ1940&lt;&gt;"OK"), "⚠️ REVISAR", "OK"))</f>
        <v/>
      </c>
    </row>
    <row r="1941">
      <c r="A1941" s="79">
        <f>IF('Ordenes_Odoo'!A1941="","",'Ordenes_Odoo'!A1941)</f>
        <v/>
      </c>
      <c r="B1941" s="80">
        <f>IF('Ordenes_Odoo'!B1941="","",'Ordenes_Odoo'!B1941)</f>
        <v/>
      </c>
      <c r="C1941" s="79">
        <f>IF('Ordenes_Odoo'!C1941="","",'Ordenes_Odoo'!C1941)</f>
        <v/>
      </c>
      <c r="D1941" s="79">
        <f>IF('Ordenes_Odoo'!D1941="","",'Ordenes_Odoo'!D1941)</f>
        <v/>
      </c>
      <c r="E1941" s="79">
        <f>IF('Ordenes_Odoo'!E1941="","",'Ordenes_Odoo'!E1941)</f>
        <v/>
      </c>
      <c r="F1941" s="79">
        <f>IF('Ordenes_Odoo'!F1941="","",'Ordenes_Odoo'!F1941)</f>
        <v/>
      </c>
      <c r="G1941" s="79">
        <f>IF('Ordenes_Odoo'!G1941="","",'Ordenes_Odoo'!G1941)</f>
        <v/>
      </c>
      <c r="H1941" s="79">
        <f>IF('Ordenes_Odoo'!H1941="","",'Ordenes_Odoo'!H1941)</f>
        <v/>
      </c>
      <c r="I1941" s="79">
        <f>IF('Ordenes_Odoo'!I1941="","",'Ordenes_Odoo'!I1941)</f>
        <v/>
      </c>
      <c r="J1941" s="79">
        <f>IF('Ordenes_Odoo'!J1941="","",'Ordenes_Odoo'!J1941)</f>
        <v/>
      </c>
      <c r="K1941" s="81">
        <f>IF('Ordenes_Odoo'!K1941="","",'Ordenes_Odoo'!K1941)</f>
        <v/>
      </c>
      <c r="L1941" s="81">
        <f>IF('Ordenes_Odoo'!L1941="","",'Ordenes_Odoo'!L1941)</f>
        <v/>
      </c>
      <c r="M1941" s="79">
        <f>IF('Ordenes_Odoo'!M1941="","",'Ordenes_Odoo'!M1941)</f>
        <v/>
      </c>
      <c r="N1941" s="79">
        <f>IF('Ordenes_Odoo'!N1941="","",'Ordenes_Odoo'!N1941)</f>
        <v/>
      </c>
      <c r="O1941" s="81">
        <f>IF('Ordenes_Odoo'!O1941="","",'Ordenes_Odoo'!O1941)</f>
        <v/>
      </c>
      <c r="P1941" s="81">
        <f>IF('Ordenes_Odoo'!P1941="","",'Ordenes_Odoo'!P1941)</f>
        <v/>
      </c>
      <c r="Q1941" s="79">
        <f>IF(A1941="","",IFERROR(INDEX(Facturas_Odoo!$B:$B, MATCH(A1941, Facturas_Odoo!$D:$D, 0)), "Sin Factura"))</f>
        <v/>
      </c>
      <c r="R1941" s="80">
        <f>IF(Q1941="Sin Factura","",IFERROR(INDEX(Facturas_Odoo!$A:$A, MATCH(Q1941, Facturas_Odoo!$B:$B, 0)), ""))</f>
        <v/>
      </c>
      <c r="S1941" s="79">
        <f>IF(Q1941="Sin Factura","",IFERROR(_xlfn.XLOOKUP(1, (Facturas_Odoo!$D:$D=A1941) * (Facturas_Odoo!$K:$K=I1941), Facturas_Odoo!$L:$L, ""), ""))</f>
        <v/>
      </c>
      <c r="T1941" s="81">
        <f>IF(Q1941="Sin Factura",0,IFERROR(_xlfn.XLOOKUP(1, (Facturas_Odoo!$D:$D=A1941) * (Facturas_Odoo!$K:$K=I1941), Facturas_Odoo!$M:$M, 0), 0))</f>
        <v/>
      </c>
      <c r="U1941" s="79">
        <f>IF(Q1941="Sin Factura",0,IFERROR(_xlfn.XLOOKUP(1, (Facturas_Odoo!$D:$D=A1941) * (Facturas_Odoo!$K:$K=I1941), Facturas_Odoo!$N:$N, 0), 0))</f>
        <v/>
      </c>
      <c r="V1941" s="79">
        <f>IF(Q1941="Sin Factura",0,IFERROR(_xlfn.XLOOKUP(1, (Facturas_Odoo!$D:$D=A1941) * (Facturas_Odoo!$K:$K=I1941), Facturas_Odoo!$O:$O, 0), 0))</f>
        <v/>
      </c>
      <c r="W1941" s="81">
        <f>IF(Q1941="Sin Factura",0,IFERROR(_xlfn.XLOOKUP(1, (Facturas_Odoo!$D:$D=A1941) * (Facturas_Odoo!$K:$K=I1941), Facturas_Odoo!$Q:$Q, 0), 0))</f>
        <v/>
      </c>
      <c r="X1941" s="79">
        <f>IF(OR(Q1941="Sin Factura",Q1941=""),"",IFERROR(INDEX(Pagos_Odoo!$B:$B, MATCH(Q1941, Pagos_Odoo!$I:$I, 0)), "Sin Pago"))</f>
        <v/>
      </c>
      <c r="Y1941" s="79">
        <f>IF(X1941="Sin Pago","",IFERROR(INDEX(Pagos_Odoo!$C:$C, MATCH(X1941, Pagos_Odoo!$B:$B, 0)), ""))</f>
        <v/>
      </c>
      <c r="Z1941" s="80">
        <f>IF(X1941="Sin Pago","",IFERROR(INDEX(Pagos_Odoo!$A:$A, MATCH(X1941, Pagos_Odoo!$B:$B, 0)), ""))</f>
        <v/>
      </c>
      <c r="AA1941" s="79">
        <f>IF(X1941="Sin Pago","",IFERROR(INDEX(Pagos_Odoo!$F:$F, MATCH(X1941, Pagos_Odoo!$B:$B, 0)), ""))</f>
        <v/>
      </c>
      <c r="AB1941" s="81">
        <f>IF(X1941="Sin Pago",0,IFERROR(INDEX(Pagos_Odoo!$E:$E, MATCH(X1941, Pagos_Odoo!$B:$B, 0)), 0))</f>
        <v/>
      </c>
      <c r="AC1941" s="79">
        <f>IF(X1941="Sin Pago","",IFERROR(INDEX(Pagos_Odoo!$G:$G, MATCH(X1941, Pagos_Odoo!$B:$B, 0)), ""))</f>
        <v/>
      </c>
      <c r="AD1941" s="82" t="n">
        <v>0</v>
      </c>
      <c r="AE1941" s="82" t="n"/>
      <c r="AF1941" s="82" t="n"/>
      <c r="AG1941" s="82">
        <f>IF(AN1941="","",AD1941+AE1941+AF1941)</f>
        <v/>
      </c>
      <c r="AH1941" s="81">
        <f>IF(AN1941="","",P1941*(1-AG1941))</f>
        <v/>
      </c>
      <c r="AI1941" s="81">
        <f>IF(AN1941="","",IF(Q1941="Sin Factura",0,IFERROR(INDEX(Facturas_Odoo!$H:$H, MATCH(Q1941, Facturas_Odoo!$B:$B, 0)), 0)*(1-AG1941)))</f>
        <v/>
      </c>
      <c r="AJ1941" s="81">
        <f>IF(AN1941="","",_xlfn.LET(idVenta, AN1941&amp;"",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41" s="81">
        <f>IF(AN1941="","",AH1941-AJ1941)</f>
        <v/>
      </c>
      <c r="AL1941" s="81">
        <f>IF(AN1941="","",IF(Q1941="Sin Factura","",AI1941-AJ1941))</f>
        <v/>
      </c>
      <c r="AM1941" s="81">
        <f>IF(AN1941="","",IF(Q1941="Sin Factura",0,P1941-IFERROR(INDEX(Facturas_Odoo!$H:$H, MATCH(Q1941, Facturas_Odoo!$B:$B, 0)), 0)))</f>
        <v/>
      </c>
      <c r="AN1941" s="79">
        <f>IF(AND(A1941="", J1941=""), "", IF(A1941&lt;&gt;"", VALUE(MID(A1941,2,LEN(A1941))), AN1940))</f>
        <v/>
      </c>
      <c r="AO1941" s="79">
        <f>IF(AN1941="","",IF(AD1941=0,"OK",_xlfn.LET(monedaPago, IF(AA1941="","USD",AA1941), limitePermitido, IFERROR(VLOOKUP(monedaPago, Configuración!$A$2:$B$3, 2, FALSE), 0.15), IF(AD1941&gt;limitePermitido, "ALERTA: EXCESO (" &amp; TEXT(limitePermitido, "0%") &amp; " máx)", "OK"))))</f>
        <v/>
      </c>
      <c r="AP1941" s="79">
        <f>IF(AN1941="","",IF(AE1941=0,"OK",_xlfn.LET(fechaPago, Z1941, fechaFactura, R1941, diasCredito, IF(E1941="Pago inmediato", 0, IFERROR(VALUE(MID(E1941, 1, SEARCH(" ", E1941)-1)),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41" s="79">
        <f>IF(AN1941="","",IF(AND(N1941&gt;0, AG1941&gt;0), IF(Configuración!$K$2="NO", "ALERTA: DESCUENTO DOBLE NO PERMITIDO", "OK"), "OK"))</f>
        <v/>
      </c>
      <c r="AR1941" s="79">
        <f>IF(AN1941="","",IF(OR(AO1941&lt;&gt;"OK", AP1941&lt;&gt;"OK", AQ1941&lt;&gt;"OK"), "⚠️ REVISAR", "OK"))</f>
        <v/>
      </c>
    </row>
    <row r="1942">
      <c r="A1942" s="79">
        <f>IF('Ordenes_Odoo'!A1942="","",'Ordenes_Odoo'!A1942)</f>
        <v/>
      </c>
      <c r="B1942" s="80">
        <f>IF('Ordenes_Odoo'!B1942="","",'Ordenes_Odoo'!B1942)</f>
        <v/>
      </c>
      <c r="C1942" s="79">
        <f>IF('Ordenes_Odoo'!C1942="","",'Ordenes_Odoo'!C1942)</f>
        <v/>
      </c>
      <c r="D1942" s="79">
        <f>IF('Ordenes_Odoo'!D1942="","",'Ordenes_Odoo'!D1942)</f>
        <v/>
      </c>
      <c r="E1942" s="79">
        <f>IF('Ordenes_Odoo'!E1942="","",'Ordenes_Odoo'!E1942)</f>
        <v/>
      </c>
      <c r="F1942" s="79">
        <f>IF('Ordenes_Odoo'!F1942="","",'Ordenes_Odoo'!F1942)</f>
        <v/>
      </c>
      <c r="G1942" s="79">
        <f>IF('Ordenes_Odoo'!G1942="","",'Ordenes_Odoo'!G1942)</f>
        <v/>
      </c>
      <c r="H1942" s="79">
        <f>IF('Ordenes_Odoo'!H1942="","",'Ordenes_Odoo'!H1942)</f>
        <v/>
      </c>
      <c r="I1942" s="79">
        <f>IF('Ordenes_Odoo'!I1942="","",'Ordenes_Odoo'!I1942)</f>
        <v/>
      </c>
      <c r="J1942" s="79">
        <f>IF('Ordenes_Odoo'!J1942="","",'Ordenes_Odoo'!J1942)</f>
        <v/>
      </c>
      <c r="K1942" s="81">
        <f>IF('Ordenes_Odoo'!K1942="","",'Ordenes_Odoo'!K1942)</f>
        <v/>
      </c>
      <c r="L1942" s="81">
        <f>IF('Ordenes_Odoo'!L1942="","",'Ordenes_Odoo'!L1942)</f>
        <v/>
      </c>
      <c r="M1942" s="79">
        <f>IF('Ordenes_Odoo'!M1942="","",'Ordenes_Odoo'!M1942)</f>
        <v/>
      </c>
      <c r="N1942" s="79">
        <f>IF('Ordenes_Odoo'!N1942="","",'Ordenes_Odoo'!N1942)</f>
        <v/>
      </c>
      <c r="O1942" s="81">
        <f>IF('Ordenes_Odoo'!O1942="","",'Ordenes_Odoo'!O1942)</f>
        <v/>
      </c>
      <c r="P1942" s="81">
        <f>IF('Ordenes_Odoo'!P1942="","",'Ordenes_Odoo'!P1942)</f>
        <v/>
      </c>
      <c r="Q1942" s="79">
        <f>IF(A1942="","",IFERROR(INDEX(Facturas_Odoo!$B:$B, MATCH(A1942, Facturas_Odoo!$D:$D, 0)), "Sin Factura"))</f>
        <v/>
      </c>
      <c r="R1942" s="80">
        <f>IF(Q1942="Sin Factura","",IFERROR(INDEX(Facturas_Odoo!$A:$A, MATCH(Q1942, Facturas_Odoo!$B:$B, 0)), ""))</f>
        <v/>
      </c>
      <c r="S1942" s="79">
        <f>IF(Q1942="Sin Factura","",IFERROR(_xlfn.XLOOKUP(1, (Facturas_Odoo!$D:$D=A1942) * (Facturas_Odoo!$K:$K=I1942), Facturas_Odoo!$L:$L, ""), ""))</f>
        <v/>
      </c>
      <c r="T1942" s="81">
        <f>IF(Q1942="Sin Factura",0,IFERROR(_xlfn.XLOOKUP(1, (Facturas_Odoo!$D:$D=A1942) * (Facturas_Odoo!$K:$K=I1942), Facturas_Odoo!$M:$M, 0), 0))</f>
        <v/>
      </c>
      <c r="U1942" s="79">
        <f>IF(Q1942="Sin Factura",0,IFERROR(_xlfn.XLOOKUP(1, (Facturas_Odoo!$D:$D=A1942) * (Facturas_Odoo!$K:$K=I1942), Facturas_Odoo!$N:$N, 0), 0))</f>
        <v/>
      </c>
      <c r="V1942" s="79">
        <f>IF(Q1942="Sin Factura",0,IFERROR(_xlfn.XLOOKUP(1, (Facturas_Odoo!$D:$D=A1942) * (Facturas_Odoo!$K:$K=I1942), Facturas_Odoo!$O:$O, 0), 0))</f>
        <v/>
      </c>
      <c r="W1942" s="81">
        <f>IF(Q1942="Sin Factura",0,IFERROR(_xlfn.XLOOKUP(1, (Facturas_Odoo!$D:$D=A1942) * (Facturas_Odoo!$K:$K=I1942), Facturas_Odoo!$Q:$Q, 0), 0))</f>
        <v/>
      </c>
      <c r="X1942" s="79">
        <f>IF(OR(Q1942="Sin Factura",Q1942=""),"",IFERROR(INDEX(Pagos_Odoo!$B:$B, MATCH(Q1942, Pagos_Odoo!$I:$I, 0)), "Sin Pago"))</f>
        <v/>
      </c>
      <c r="Y1942" s="79">
        <f>IF(X1942="Sin Pago","",IFERROR(INDEX(Pagos_Odoo!$C:$C, MATCH(X1942, Pagos_Odoo!$B:$B, 0)), ""))</f>
        <v/>
      </c>
      <c r="Z1942" s="80">
        <f>IF(X1942="Sin Pago","",IFERROR(INDEX(Pagos_Odoo!$A:$A, MATCH(X1942, Pagos_Odoo!$B:$B, 0)), ""))</f>
        <v/>
      </c>
      <c r="AA1942" s="79">
        <f>IF(X1942="Sin Pago","",IFERROR(INDEX(Pagos_Odoo!$F:$F, MATCH(X1942, Pagos_Odoo!$B:$B, 0)), ""))</f>
        <v/>
      </c>
      <c r="AB1942" s="81">
        <f>IF(X1942="Sin Pago",0,IFERROR(INDEX(Pagos_Odoo!$E:$E, MATCH(X1942, Pagos_Odoo!$B:$B, 0)), 0))</f>
        <v/>
      </c>
      <c r="AC1942" s="79">
        <f>IF(X1942="Sin Pago","",IFERROR(INDEX(Pagos_Odoo!$G:$G, MATCH(X1942, Pagos_Odoo!$B:$B, 0)), ""))</f>
        <v/>
      </c>
      <c r="AD1942" s="82" t="n">
        <v>0</v>
      </c>
      <c r="AE1942" s="82" t="n"/>
      <c r="AF1942" s="82" t="n"/>
      <c r="AG1942" s="82">
        <f>IF(AN1942="","",AD1942+AE1942+AF1942)</f>
        <v/>
      </c>
      <c r="AH1942" s="81">
        <f>IF(AN1942="","",P1942*(1-AG1942))</f>
        <v/>
      </c>
      <c r="AI1942" s="81">
        <f>IF(AN1942="","",IF(Q1942="Sin Factura",0,IFERROR(INDEX(Facturas_Odoo!$H:$H, MATCH(Q1942, Facturas_Odoo!$B:$B, 0)), 0)*(1-AG1942)))</f>
        <v/>
      </c>
      <c r="AJ1942" s="81">
        <f>IF(AN1942="","",_xlfn.LET(idVenta, AN1942&amp;"",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42" s="81">
        <f>IF(AN1942="","",AH1942-AJ1942)</f>
        <v/>
      </c>
      <c r="AL1942" s="81">
        <f>IF(AN1942="","",IF(Q1942="Sin Factura","",AI1942-AJ1942))</f>
        <v/>
      </c>
      <c r="AM1942" s="81">
        <f>IF(AN1942="","",IF(Q1942="Sin Factura",0,P1942-IFERROR(INDEX(Facturas_Odoo!$H:$H, MATCH(Q1942, Facturas_Odoo!$B:$B, 0)), 0)))</f>
        <v/>
      </c>
      <c r="AN1942" s="79">
        <f>IF(AND(A1942="", J1942=""), "", IF(A1942&lt;&gt;"", VALUE(MID(A1942,2,LEN(A1942))), AN1941))</f>
        <v/>
      </c>
      <c r="AO1942" s="79">
        <f>IF(AN1942="","",IF(AD1942=0,"OK",_xlfn.LET(monedaPago, IF(AA1942="","USD",AA1942), limitePermitido, IFERROR(VLOOKUP(monedaPago, Configuración!$A$2:$B$3, 2, FALSE), 0.15), IF(AD1942&gt;limitePermitido, "ALERTA: EXCESO (" &amp; TEXT(limitePermitido, "0%") &amp; " máx)", "OK"))))</f>
        <v/>
      </c>
      <c r="AP1942" s="79">
        <f>IF(AN1942="","",IF(AE1942=0,"OK",_xlfn.LET(fechaPago, Z1942, fechaFactura, R1942, diasCredito, IF(E1942="Pago inmediato", 0, IFERROR(VALUE(MID(E1942, 1, SEARCH(" ", E1942)-1)),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42" s="79">
        <f>IF(AN1942="","",IF(AND(N1942&gt;0, AG1942&gt;0), IF(Configuración!$K$2="NO", "ALERTA: DESCUENTO DOBLE NO PERMITIDO", "OK"), "OK"))</f>
        <v/>
      </c>
      <c r="AR1942" s="79">
        <f>IF(AN1942="","",IF(OR(AO1942&lt;&gt;"OK", AP1942&lt;&gt;"OK", AQ1942&lt;&gt;"OK"), "⚠️ REVISAR", "OK"))</f>
        <v/>
      </c>
    </row>
    <row r="1943">
      <c r="A1943" s="79">
        <f>IF('Ordenes_Odoo'!A1943="","",'Ordenes_Odoo'!A1943)</f>
        <v/>
      </c>
      <c r="B1943" s="80">
        <f>IF('Ordenes_Odoo'!B1943="","",'Ordenes_Odoo'!B1943)</f>
        <v/>
      </c>
      <c r="C1943" s="79">
        <f>IF('Ordenes_Odoo'!C1943="","",'Ordenes_Odoo'!C1943)</f>
        <v/>
      </c>
      <c r="D1943" s="79">
        <f>IF('Ordenes_Odoo'!D1943="","",'Ordenes_Odoo'!D1943)</f>
        <v/>
      </c>
      <c r="E1943" s="79">
        <f>IF('Ordenes_Odoo'!E1943="","",'Ordenes_Odoo'!E1943)</f>
        <v/>
      </c>
      <c r="F1943" s="79">
        <f>IF('Ordenes_Odoo'!F1943="","",'Ordenes_Odoo'!F1943)</f>
        <v/>
      </c>
      <c r="G1943" s="79">
        <f>IF('Ordenes_Odoo'!G1943="","",'Ordenes_Odoo'!G1943)</f>
        <v/>
      </c>
      <c r="H1943" s="79">
        <f>IF('Ordenes_Odoo'!H1943="","",'Ordenes_Odoo'!H1943)</f>
        <v/>
      </c>
      <c r="I1943" s="79">
        <f>IF('Ordenes_Odoo'!I1943="","",'Ordenes_Odoo'!I1943)</f>
        <v/>
      </c>
      <c r="J1943" s="79">
        <f>IF('Ordenes_Odoo'!J1943="","",'Ordenes_Odoo'!J1943)</f>
        <v/>
      </c>
      <c r="K1943" s="81">
        <f>IF('Ordenes_Odoo'!K1943="","",'Ordenes_Odoo'!K1943)</f>
        <v/>
      </c>
      <c r="L1943" s="81">
        <f>IF('Ordenes_Odoo'!L1943="","",'Ordenes_Odoo'!L1943)</f>
        <v/>
      </c>
      <c r="M1943" s="79">
        <f>IF('Ordenes_Odoo'!M1943="","",'Ordenes_Odoo'!M1943)</f>
        <v/>
      </c>
      <c r="N1943" s="79">
        <f>IF('Ordenes_Odoo'!N1943="","",'Ordenes_Odoo'!N1943)</f>
        <v/>
      </c>
      <c r="O1943" s="81">
        <f>IF('Ordenes_Odoo'!O1943="","",'Ordenes_Odoo'!O1943)</f>
        <v/>
      </c>
      <c r="P1943" s="81">
        <f>IF('Ordenes_Odoo'!P1943="","",'Ordenes_Odoo'!P1943)</f>
        <v/>
      </c>
      <c r="Q1943" s="79">
        <f>IF(A1943="","",IFERROR(INDEX(Facturas_Odoo!$B:$B, MATCH(A1943, Facturas_Odoo!$D:$D, 0)), "Sin Factura"))</f>
        <v/>
      </c>
      <c r="R1943" s="80">
        <f>IF(Q1943="Sin Factura","",IFERROR(INDEX(Facturas_Odoo!$A:$A, MATCH(Q1943, Facturas_Odoo!$B:$B, 0)), ""))</f>
        <v/>
      </c>
      <c r="S1943" s="79">
        <f>IF(Q1943="Sin Factura","",IFERROR(_xlfn.XLOOKUP(1, (Facturas_Odoo!$D:$D=A1943) * (Facturas_Odoo!$K:$K=I1943), Facturas_Odoo!$L:$L, ""), ""))</f>
        <v/>
      </c>
      <c r="T1943" s="81">
        <f>IF(Q1943="Sin Factura",0,IFERROR(_xlfn.XLOOKUP(1, (Facturas_Odoo!$D:$D=A1943) * (Facturas_Odoo!$K:$K=I1943), Facturas_Odoo!$M:$M, 0), 0))</f>
        <v/>
      </c>
      <c r="U1943" s="79">
        <f>IF(Q1943="Sin Factura",0,IFERROR(_xlfn.XLOOKUP(1, (Facturas_Odoo!$D:$D=A1943) * (Facturas_Odoo!$K:$K=I1943), Facturas_Odoo!$N:$N, 0), 0))</f>
        <v/>
      </c>
      <c r="V1943" s="79">
        <f>IF(Q1943="Sin Factura",0,IFERROR(_xlfn.XLOOKUP(1, (Facturas_Odoo!$D:$D=A1943) * (Facturas_Odoo!$K:$K=I1943), Facturas_Odoo!$O:$O, 0), 0))</f>
        <v/>
      </c>
      <c r="W1943" s="81">
        <f>IF(Q1943="Sin Factura",0,IFERROR(_xlfn.XLOOKUP(1, (Facturas_Odoo!$D:$D=A1943) * (Facturas_Odoo!$K:$K=I1943), Facturas_Odoo!$Q:$Q, 0), 0))</f>
        <v/>
      </c>
      <c r="X1943" s="79">
        <f>IF(OR(Q1943="Sin Factura",Q1943=""),"",IFERROR(INDEX(Pagos_Odoo!$B:$B, MATCH(Q1943, Pagos_Odoo!$I:$I, 0)), "Sin Pago"))</f>
        <v/>
      </c>
      <c r="Y1943" s="79">
        <f>IF(X1943="Sin Pago","",IFERROR(INDEX(Pagos_Odoo!$C:$C, MATCH(X1943, Pagos_Odoo!$B:$B, 0)), ""))</f>
        <v/>
      </c>
      <c r="Z1943" s="80">
        <f>IF(X1943="Sin Pago","",IFERROR(INDEX(Pagos_Odoo!$A:$A, MATCH(X1943, Pagos_Odoo!$B:$B, 0)), ""))</f>
        <v/>
      </c>
      <c r="AA1943" s="79">
        <f>IF(X1943="Sin Pago","",IFERROR(INDEX(Pagos_Odoo!$F:$F, MATCH(X1943, Pagos_Odoo!$B:$B, 0)), ""))</f>
        <v/>
      </c>
      <c r="AB1943" s="81">
        <f>IF(X1943="Sin Pago",0,IFERROR(INDEX(Pagos_Odoo!$E:$E, MATCH(X1943, Pagos_Odoo!$B:$B, 0)), 0))</f>
        <v/>
      </c>
      <c r="AC1943" s="79">
        <f>IF(X1943="Sin Pago","",IFERROR(INDEX(Pagos_Odoo!$G:$G, MATCH(X1943, Pagos_Odoo!$B:$B, 0)), ""))</f>
        <v/>
      </c>
      <c r="AD1943" s="82" t="n">
        <v>0</v>
      </c>
      <c r="AE1943" s="82" t="n"/>
      <c r="AF1943" s="82" t="n"/>
      <c r="AG1943" s="82">
        <f>IF(AN1943="","",AD1943+AE1943+AF1943)</f>
        <v/>
      </c>
      <c r="AH1943" s="81">
        <f>IF(AN1943="","",P1943*(1-AG1943))</f>
        <v/>
      </c>
      <c r="AI1943" s="81">
        <f>IF(AN1943="","",IF(Q1943="Sin Factura",0,IFERROR(INDEX(Facturas_Odoo!$H:$H, MATCH(Q1943, Facturas_Odoo!$B:$B, 0)), 0)*(1-AG1943)))</f>
        <v/>
      </c>
      <c r="AJ1943" s="81">
        <f>IF(AN1943="","",_xlfn.LET(idVenta, AN1943&amp;"",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43" s="81">
        <f>IF(AN1943="","",AH1943-AJ1943)</f>
        <v/>
      </c>
      <c r="AL1943" s="81">
        <f>IF(AN1943="","",IF(Q1943="Sin Factura","",AI1943-AJ1943))</f>
        <v/>
      </c>
      <c r="AM1943" s="81">
        <f>IF(AN1943="","",IF(Q1943="Sin Factura",0,P1943-IFERROR(INDEX(Facturas_Odoo!$H:$H, MATCH(Q1943, Facturas_Odoo!$B:$B, 0)), 0)))</f>
        <v/>
      </c>
      <c r="AN1943" s="79">
        <f>IF(AND(A1943="", J1943=""), "", IF(A1943&lt;&gt;"", VALUE(MID(A1943,2,LEN(A1943))), AN1942))</f>
        <v/>
      </c>
      <c r="AO1943" s="79">
        <f>IF(AN1943="","",IF(AD1943=0,"OK",_xlfn.LET(monedaPago, IF(AA1943="","USD",AA1943), limitePermitido, IFERROR(VLOOKUP(monedaPago, Configuración!$A$2:$B$3, 2, FALSE), 0.15), IF(AD1943&gt;limitePermitido, "ALERTA: EXCESO (" &amp; TEXT(limitePermitido, "0%") &amp; " máx)", "OK"))))</f>
        <v/>
      </c>
      <c r="AP1943" s="79">
        <f>IF(AN1943="","",IF(AE1943=0,"OK",_xlfn.LET(fechaPago, Z1943, fechaFactura, R1943, diasCredito, IF(E1943="Pago inmediato", 0, IFERROR(VALUE(MID(E1943, 1, SEARCH(" ", E1943)-1)),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43" s="79">
        <f>IF(AN1943="","",IF(AND(N1943&gt;0, AG1943&gt;0), IF(Configuración!$K$2="NO", "ALERTA: DESCUENTO DOBLE NO PERMITIDO", "OK"), "OK"))</f>
        <v/>
      </c>
      <c r="AR1943" s="79">
        <f>IF(AN1943="","",IF(OR(AO1943&lt;&gt;"OK", AP1943&lt;&gt;"OK", AQ1943&lt;&gt;"OK"), "⚠️ REVISAR", "OK"))</f>
        <v/>
      </c>
    </row>
    <row r="1944">
      <c r="A1944" s="79">
        <f>IF('Ordenes_Odoo'!A1944="","",'Ordenes_Odoo'!A1944)</f>
        <v/>
      </c>
      <c r="B1944" s="80">
        <f>IF('Ordenes_Odoo'!B1944="","",'Ordenes_Odoo'!B1944)</f>
        <v/>
      </c>
      <c r="C1944" s="79">
        <f>IF('Ordenes_Odoo'!C1944="","",'Ordenes_Odoo'!C1944)</f>
        <v/>
      </c>
      <c r="D1944" s="79">
        <f>IF('Ordenes_Odoo'!D1944="","",'Ordenes_Odoo'!D1944)</f>
        <v/>
      </c>
      <c r="E1944" s="79">
        <f>IF('Ordenes_Odoo'!E1944="","",'Ordenes_Odoo'!E1944)</f>
        <v/>
      </c>
      <c r="F1944" s="79">
        <f>IF('Ordenes_Odoo'!F1944="","",'Ordenes_Odoo'!F1944)</f>
        <v/>
      </c>
      <c r="G1944" s="79">
        <f>IF('Ordenes_Odoo'!G1944="","",'Ordenes_Odoo'!G1944)</f>
        <v/>
      </c>
      <c r="H1944" s="79">
        <f>IF('Ordenes_Odoo'!H1944="","",'Ordenes_Odoo'!H1944)</f>
        <v/>
      </c>
      <c r="I1944" s="79">
        <f>IF('Ordenes_Odoo'!I1944="","",'Ordenes_Odoo'!I1944)</f>
        <v/>
      </c>
      <c r="J1944" s="79">
        <f>IF('Ordenes_Odoo'!J1944="","",'Ordenes_Odoo'!J1944)</f>
        <v/>
      </c>
      <c r="K1944" s="81">
        <f>IF('Ordenes_Odoo'!K1944="","",'Ordenes_Odoo'!K1944)</f>
        <v/>
      </c>
      <c r="L1944" s="81">
        <f>IF('Ordenes_Odoo'!L1944="","",'Ordenes_Odoo'!L1944)</f>
        <v/>
      </c>
      <c r="M1944" s="79">
        <f>IF('Ordenes_Odoo'!M1944="","",'Ordenes_Odoo'!M1944)</f>
        <v/>
      </c>
      <c r="N1944" s="79">
        <f>IF('Ordenes_Odoo'!N1944="","",'Ordenes_Odoo'!N1944)</f>
        <v/>
      </c>
      <c r="O1944" s="81">
        <f>IF('Ordenes_Odoo'!O1944="","",'Ordenes_Odoo'!O1944)</f>
        <v/>
      </c>
      <c r="P1944" s="81">
        <f>IF('Ordenes_Odoo'!P1944="","",'Ordenes_Odoo'!P1944)</f>
        <v/>
      </c>
      <c r="Q1944" s="79">
        <f>IF(A1944="","",IFERROR(INDEX(Facturas_Odoo!$B:$B, MATCH(A1944, Facturas_Odoo!$D:$D, 0)), "Sin Factura"))</f>
        <v/>
      </c>
      <c r="R1944" s="80">
        <f>IF(Q1944="Sin Factura","",IFERROR(INDEX(Facturas_Odoo!$A:$A, MATCH(Q1944, Facturas_Odoo!$B:$B, 0)), ""))</f>
        <v/>
      </c>
      <c r="S1944" s="79">
        <f>IF(Q1944="Sin Factura","",IFERROR(_xlfn.XLOOKUP(1, (Facturas_Odoo!$D:$D=A1944) * (Facturas_Odoo!$K:$K=I1944), Facturas_Odoo!$L:$L, ""), ""))</f>
        <v/>
      </c>
      <c r="T1944" s="81">
        <f>IF(Q1944="Sin Factura",0,IFERROR(_xlfn.XLOOKUP(1, (Facturas_Odoo!$D:$D=A1944) * (Facturas_Odoo!$K:$K=I1944), Facturas_Odoo!$M:$M, 0), 0))</f>
        <v/>
      </c>
      <c r="U1944" s="79">
        <f>IF(Q1944="Sin Factura",0,IFERROR(_xlfn.XLOOKUP(1, (Facturas_Odoo!$D:$D=A1944) * (Facturas_Odoo!$K:$K=I1944), Facturas_Odoo!$N:$N, 0), 0))</f>
        <v/>
      </c>
      <c r="V1944" s="79">
        <f>IF(Q1944="Sin Factura",0,IFERROR(_xlfn.XLOOKUP(1, (Facturas_Odoo!$D:$D=A1944) * (Facturas_Odoo!$K:$K=I1944), Facturas_Odoo!$O:$O, 0), 0))</f>
        <v/>
      </c>
      <c r="W1944" s="81">
        <f>IF(Q1944="Sin Factura",0,IFERROR(_xlfn.XLOOKUP(1, (Facturas_Odoo!$D:$D=A1944) * (Facturas_Odoo!$K:$K=I1944), Facturas_Odoo!$Q:$Q, 0), 0))</f>
        <v/>
      </c>
      <c r="X1944" s="79">
        <f>IF(OR(Q1944="Sin Factura",Q1944=""),"",IFERROR(INDEX(Pagos_Odoo!$B:$B, MATCH(Q1944, Pagos_Odoo!$I:$I, 0)), "Sin Pago"))</f>
        <v/>
      </c>
      <c r="Y1944" s="79">
        <f>IF(X1944="Sin Pago","",IFERROR(INDEX(Pagos_Odoo!$C:$C, MATCH(X1944, Pagos_Odoo!$B:$B, 0)), ""))</f>
        <v/>
      </c>
      <c r="Z1944" s="80">
        <f>IF(X1944="Sin Pago","",IFERROR(INDEX(Pagos_Odoo!$A:$A, MATCH(X1944, Pagos_Odoo!$B:$B, 0)), ""))</f>
        <v/>
      </c>
      <c r="AA1944" s="79">
        <f>IF(X1944="Sin Pago","",IFERROR(INDEX(Pagos_Odoo!$F:$F, MATCH(X1944, Pagos_Odoo!$B:$B, 0)), ""))</f>
        <v/>
      </c>
      <c r="AB1944" s="81">
        <f>IF(X1944="Sin Pago",0,IFERROR(INDEX(Pagos_Odoo!$E:$E, MATCH(X1944, Pagos_Odoo!$B:$B, 0)), 0))</f>
        <v/>
      </c>
      <c r="AC1944" s="79">
        <f>IF(X1944="Sin Pago","",IFERROR(INDEX(Pagos_Odoo!$G:$G, MATCH(X1944, Pagos_Odoo!$B:$B, 0)), ""))</f>
        <v/>
      </c>
      <c r="AD1944" s="82" t="n">
        <v>0</v>
      </c>
      <c r="AE1944" s="82" t="n"/>
      <c r="AF1944" s="82" t="n"/>
      <c r="AG1944" s="82">
        <f>IF(AN1944="","",AD1944+AE1944+AF1944)</f>
        <v/>
      </c>
      <c r="AH1944" s="81">
        <f>IF(AN1944="","",P1944*(1-AG1944))</f>
        <v/>
      </c>
      <c r="AI1944" s="81">
        <f>IF(AN1944="","",IF(Q1944="Sin Factura",0,IFERROR(INDEX(Facturas_Odoo!$H:$H, MATCH(Q1944, Facturas_Odoo!$B:$B, 0)), 0)*(1-AG1944)))</f>
        <v/>
      </c>
      <c r="AJ1944" s="81">
        <f>IF(AN1944="","",_xlfn.LET(idVenta, AN1944&amp;"",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44" s="81">
        <f>IF(AN1944="","",AH1944-AJ1944)</f>
        <v/>
      </c>
      <c r="AL1944" s="81">
        <f>IF(AN1944="","",IF(Q1944="Sin Factura","",AI1944-AJ1944))</f>
        <v/>
      </c>
      <c r="AM1944" s="81">
        <f>IF(AN1944="","",IF(Q1944="Sin Factura",0,P1944-IFERROR(INDEX(Facturas_Odoo!$H:$H, MATCH(Q1944, Facturas_Odoo!$B:$B, 0)), 0)))</f>
        <v/>
      </c>
      <c r="AN1944" s="79">
        <f>IF(AND(A1944="", J1944=""), "", IF(A1944&lt;&gt;"", VALUE(MID(A1944,2,LEN(A1944))), AN1943))</f>
        <v/>
      </c>
      <c r="AO1944" s="79">
        <f>IF(AN1944="","",IF(AD1944=0,"OK",_xlfn.LET(monedaPago, IF(AA1944="","USD",AA1944), limitePermitido, IFERROR(VLOOKUP(monedaPago, Configuración!$A$2:$B$3, 2, FALSE), 0.15), IF(AD1944&gt;limitePermitido, "ALERTA: EXCESO (" &amp; TEXT(limitePermitido, "0%") &amp; " máx)", "OK"))))</f>
        <v/>
      </c>
      <c r="AP1944" s="79">
        <f>IF(AN1944="","",IF(AE1944=0,"OK",_xlfn.LET(fechaPago, Z1944, fechaFactura, R1944, diasCredito, IF(E1944="Pago inmediato", 0, IFERROR(VALUE(MID(E1944, 1, SEARCH(" ", E1944)-1)),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44" s="79">
        <f>IF(AN1944="","",IF(AND(N1944&gt;0, AG1944&gt;0), IF(Configuración!$K$2="NO", "ALERTA: DESCUENTO DOBLE NO PERMITIDO", "OK"), "OK"))</f>
        <v/>
      </c>
      <c r="AR1944" s="79">
        <f>IF(AN1944="","",IF(OR(AO1944&lt;&gt;"OK", AP1944&lt;&gt;"OK", AQ1944&lt;&gt;"OK"), "⚠️ REVISAR", "OK"))</f>
        <v/>
      </c>
    </row>
    <row r="1945">
      <c r="A1945" s="79">
        <f>IF('Ordenes_Odoo'!A1945="","",'Ordenes_Odoo'!A1945)</f>
        <v/>
      </c>
      <c r="B1945" s="80">
        <f>IF('Ordenes_Odoo'!B1945="","",'Ordenes_Odoo'!B1945)</f>
        <v/>
      </c>
      <c r="C1945" s="79">
        <f>IF('Ordenes_Odoo'!C1945="","",'Ordenes_Odoo'!C1945)</f>
        <v/>
      </c>
      <c r="D1945" s="79">
        <f>IF('Ordenes_Odoo'!D1945="","",'Ordenes_Odoo'!D1945)</f>
        <v/>
      </c>
      <c r="E1945" s="79">
        <f>IF('Ordenes_Odoo'!E1945="","",'Ordenes_Odoo'!E1945)</f>
        <v/>
      </c>
      <c r="F1945" s="79">
        <f>IF('Ordenes_Odoo'!F1945="","",'Ordenes_Odoo'!F1945)</f>
        <v/>
      </c>
      <c r="G1945" s="79">
        <f>IF('Ordenes_Odoo'!G1945="","",'Ordenes_Odoo'!G1945)</f>
        <v/>
      </c>
      <c r="H1945" s="79">
        <f>IF('Ordenes_Odoo'!H1945="","",'Ordenes_Odoo'!H1945)</f>
        <v/>
      </c>
      <c r="I1945" s="79">
        <f>IF('Ordenes_Odoo'!I1945="","",'Ordenes_Odoo'!I1945)</f>
        <v/>
      </c>
      <c r="J1945" s="79">
        <f>IF('Ordenes_Odoo'!J1945="","",'Ordenes_Odoo'!J1945)</f>
        <v/>
      </c>
      <c r="K1945" s="81">
        <f>IF('Ordenes_Odoo'!K1945="","",'Ordenes_Odoo'!K1945)</f>
        <v/>
      </c>
      <c r="L1945" s="81">
        <f>IF('Ordenes_Odoo'!L1945="","",'Ordenes_Odoo'!L1945)</f>
        <v/>
      </c>
      <c r="M1945" s="79">
        <f>IF('Ordenes_Odoo'!M1945="","",'Ordenes_Odoo'!M1945)</f>
        <v/>
      </c>
      <c r="N1945" s="79">
        <f>IF('Ordenes_Odoo'!N1945="","",'Ordenes_Odoo'!N1945)</f>
        <v/>
      </c>
      <c r="O1945" s="81">
        <f>IF('Ordenes_Odoo'!O1945="","",'Ordenes_Odoo'!O1945)</f>
        <v/>
      </c>
      <c r="P1945" s="81">
        <f>IF('Ordenes_Odoo'!P1945="","",'Ordenes_Odoo'!P1945)</f>
        <v/>
      </c>
      <c r="Q1945" s="79">
        <f>IF(A1945="","",IFERROR(INDEX(Facturas_Odoo!$B:$B, MATCH(A1945, Facturas_Odoo!$D:$D, 0)), "Sin Factura"))</f>
        <v/>
      </c>
      <c r="R1945" s="80">
        <f>IF(Q1945="Sin Factura","",IFERROR(INDEX(Facturas_Odoo!$A:$A, MATCH(Q1945, Facturas_Odoo!$B:$B, 0)), ""))</f>
        <v/>
      </c>
      <c r="S1945" s="79">
        <f>IF(Q1945="Sin Factura","",IFERROR(_xlfn.XLOOKUP(1, (Facturas_Odoo!$D:$D=A1945) * (Facturas_Odoo!$K:$K=I1945), Facturas_Odoo!$L:$L, ""), ""))</f>
        <v/>
      </c>
      <c r="T1945" s="81">
        <f>IF(Q1945="Sin Factura",0,IFERROR(_xlfn.XLOOKUP(1, (Facturas_Odoo!$D:$D=A1945) * (Facturas_Odoo!$K:$K=I1945), Facturas_Odoo!$M:$M, 0), 0))</f>
        <v/>
      </c>
      <c r="U1945" s="79">
        <f>IF(Q1945="Sin Factura",0,IFERROR(_xlfn.XLOOKUP(1, (Facturas_Odoo!$D:$D=A1945) * (Facturas_Odoo!$K:$K=I1945), Facturas_Odoo!$N:$N, 0), 0))</f>
        <v/>
      </c>
      <c r="V1945" s="79">
        <f>IF(Q1945="Sin Factura",0,IFERROR(_xlfn.XLOOKUP(1, (Facturas_Odoo!$D:$D=A1945) * (Facturas_Odoo!$K:$K=I1945), Facturas_Odoo!$O:$O, 0), 0))</f>
        <v/>
      </c>
      <c r="W1945" s="81">
        <f>IF(Q1945="Sin Factura",0,IFERROR(_xlfn.XLOOKUP(1, (Facturas_Odoo!$D:$D=A1945) * (Facturas_Odoo!$K:$K=I1945), Facturas_Odoo!$Q:$Q, 0), 0))</f>
        <v/>
      </c>
      <c r="X1945" s="79">
        <f>IF(OR(Q1945="Sin Factura",Q1945=""),"",IFERROR(INDEX(Pagos_Odoo!$B:$B, MATCH(Q1945, Pagos_Odoo!$I:$I, 0)), "Sin Pago"))</f>
        <v/>
      </c>
      <c r="Y1945" s="79">
        <f>IF(X1945="Sin Pago","",IFERROR(INDEX(Pagos_Odoo!$C:$C, MATCH(X1945, Pagos_Odoo!$B:$B, 0)), ""))</f>
        <v/>
      </c>
      <c r="Z1945" s="80">
        <f>IF(X1945="Sin Pago","",IFERROR(INDEX(Pagos_Odoo!$A:$A, MATCH(X1945, Pagos_Odoo!$B:$B, 0)), ""))</f>
        <v/>
      </c>
      <c r="AA1945" s="79">
        <f>IF(X1945="Sin Pago","",IFERROR(INDEX(Pagos_Odoo!$F:$F, MATCH(X1945, Pagos_Odoo!$B:$B, 0)), ""))</f>
        <v/>
      </c>
      <c r="AB1945" s="81">
        <f>IF(X1945="Sin Pago",0,IFERROR(INDEX(Pagos_Odoo!$E:$E, MATCH(X1945, Pagos_Odoo!$B:$B, 0)), 0))</f>
        <v/>
      </c>
      <c r="AC1945" s="79">
        <f>IF(X1945="Sin Pago","",IFERROR(INDEX(Pagos_Odoo!$G:$G, MATCH(X1945, Pagos_Odoo!$B:$B, 0)), ""))</f>
        <v/>
      </c>
      <c r="AD1945" s="82" t="n">
        <v>0</v>
      </c>
      <c r="AE1945" s="82" t="n"/>
      <c r="AF1945" s="82" t="n"/>
      <c r="AG1945" s="82">
        <f>IF(AN1945="","",AD1945+AE1945+AF1945)</f>
        <v/>
      </c>
      <c r="AH1945" s="81">
        <f>IF(AN1945="","",P1945*(1-AG1945))</f>
        <v/>
      </c>
      <c r="AI1945" s="81">
        <f>IF(AN1945="","",IF(Q1945="Sin Factura",0,IFERROR(INDEX(Facturas_Odoo!$H:$H, MATCH(Q1945, Facturas_Odoo!$B:$B, 0)), 0)*(1-AG1945)))</f>
        <v/>
      </c>
      <c r="AJ1945" s="81">
        <f>IF(AN1945="","",_xlfn.LET(idVenta, AN1945&amp;"",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45" s="81">
        <f>IF(AN1945="","",AH1945-AJ1945)</f>
        <v/>
      </c>
      <c r="AL1945" s="81">
        <f>IF(AN1945="","",IF(Q1945="Sin Factura","",AI1945-AJ1945))</f>
        <v/>
      </c>
      <c r="AM1945" s="81">
        <f>IF(AN1945="","",IF(Q1945="Sin Factura",0,P1945-IFERROR(INDEX(Facturas_Odoo!$H:$H, MATCH(Q1945, Facturas_Odoo!$B:$B, 0)), 0)))</f>
        <v/>
      </c>
      <c r="AN1945" s="79">
        <f>IF(AND(A1945="", J1945=""), "", IF(A1945&lt;&gt;"", VALUE(MID(A1945,2,LEN(A1945))), AN1944))</f>
        <v/>
      </c>
      <c r="AO1945" s="79">
        <f>IF(AN1945="","",IF(AD1945=0,"OK",_xlfn.LET(monedaPago, IF(AA1945="","USD",AA1945), limitePermitido, IFERROR(VLOOKUP(monedaPago, Configuración!$A$2:$B$3, 2, FALSE), 0.15), IF(AD1945&gt;limitePermitido, "ALERTA: EXCESO (" &amp; TEXT(limitePermitido, "0%") &amp; " máx)", "OK"))))</f>
        <v/>
      </c>
      <c r="AP1945" s="79">
        <f>IF(AN1945="","",IF(AE1945=0,"OK",_xlfn.LET(fechaPago, Z1945, fechaFactura, R1945, diasCredito, IF(E1945="Pago inmediato", 0, IFERROR(VALUE(MID(E1945, 1, SEARCH(" ", E1945)-1)),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45" s="79">
        <f>IF(AN1945="","",IF(AND(N1945&gt;0, AG1945&gt;0), IF(Configuración!$K$2="NO", "ALERTA: DESCUENTO DOBLE NO PERMITIDO", "OK"), "OK"))</f>
        <v/>
      </c>
      <c r="AR1945" s="79">
        <f>IF(AN1945="","",IF(OR(AO1945&lt;&gt;"OK", AP1945&lt;&gt;"OK", AQ1945&lt;&gt;"OK"), "⚠️ REVISAR", "OK"))</f>
        <v/>
      </c>
    </row>
    <row r="1946">
      <c r="A1946" s="79">
        <f>IF('Ordenes_Odoo'!A1946="","",'Ordenes_Odoo'!A1946)</f>
        <v/>
      </c>
      <c r="B1946" s="80">
        <f>IF('Ordenes_Odoo'!B1946="","",'Ordenes_Odoo'!B1946)</f>
        <v/>
      </c>
      <c r="C1946" s="79">
        <f>IF('Ordenes_Odoo'!C1946="","",'Ordenes_Odoo'!C1946)</f>
        <v/>
      </c>
      <c r="D1946" s="79">
        <f>IF('Ordenes_Odoo'!D1946="","",'Ordenes_Odoo'!D1946)</f>
        <v/>
      </c>
      <c r="E1946" s="79">
        <f>IF('Ordenes_Odoo'!E1946="","",'Ordenes_Odoo'!E1946)</f>
        <v/>
      </c>
      <c r="F1946" s="79">
        <f>IF('Ordenes_Odoo'!F1946="","",'Ordenes_Odoo'!F1946)</f>
        <v/>
      </c>
      <c r="G1946" s="79">
        <f>IF('Ordenes_Odoo'!G1946="","",'Ordenes_Odoo'!G1946)</f>
        <v/>
      </c>
      <c r="H1946" s="79">
        <f>IF('Ordenes_Odoo'!H1946="","",'Ordenes_Odoo'!H1946)</f>
        <v/>
      </c>
      <c r="I1946" s="79">
        <f>IF('Ordenes_Odoo'!I1946="","",'Ordenes_Odoo'!I1946)</f>
        <v/>
      </c>
      <c r="J1946" s="79">
        <f>IF('Ordenes_Odoo'!J1946="","",'Ordenes_Odoo'!J1946)</f>
        <v/>
      </c>
      <c r="K1946" s="81">
        <f>IF('Ordenes_Odoo'!K1946="","",'Ordenes_Odoo'!K1946)</f>
        <v/>
      </c>
      <c r="L1946" s="81">
        <f>IF('Ordenes_Odoo'!L1946="","",'Ordenes_Odoo'!L1946)</f>
        <v/>
      </c>
      <c r="M1946" s="79">
        <f>IF('Ordenes_Odoo'!M1946="","",'Ordenes_Odoo'!M1946)</f>
        <v/>
      </c>
      <c r="N1946" s="79">
        <f>IF('Ordenes_Odoo'!N1946="","",'Ordenes_Odoo'!N1946)</f>
        <v/>
      </c>
      <c r="O1946" s="81">
        <f>IF('Ordenes_Odoo'!O1946="","",'Ordenes_Odoo'!O1946)</f>
        <v/>
      </c>
      <c r="P1946" s="81">
        <f>IF('Ordenes_Odoo'!P1946="","",'Ordenes_Odoo'!P1946)</f>
        <v/>
      </c>
      <c r="Q1946" s="79">
        <f>IF(A1946="","",IFERROR(INDEX(Facturas_Odoo!$B:$B, MATCH(A1946, Facturas_Odoo!$D:$D, 0)), "Sin Factura"))</f>
        <v/>
      </c>
      <c r="R1946" s="80">
        <f>IF(Q1946="Sin Factura","",IFERROR(INDEX(Facturas_Odoo!$A:$A, MATCH(Q1946, Facturas_Odoo!$B:$B, 0)), ""))</f>
        <v/>
      </c>
      <c r="S1946" s="79">
        <f>IF(Q1946="Sin Factura","",IFERROR(_xlfn.XLOOKUP(1, (Facturas_Odoo!$D:$D=A1946) * (Facturas_Odoo!$K:$K=I1946), Facturas_Odoo!$L:$L, ""), ""))</f>
        <v/>
      </c>
      <c r="T1946" s="81">
        <f>IF(Q1946="Sin Factura",0,IFERROR(_xlfn.XLOOKUP(1, (Facturas_Odoo!$D:$D=A1946) * (Facturas_Odoo!$K:$K=I1946), Facturas_Odoo!$M:$M, 0), 0))</f>
        <v/>
      </c>
      <c r="U1946" s="79">
        <f>IF(Q1946="Sin Factura",0,IFERROR(_xlfn.XLOOKUP(1, (Facturas_Odoo!$D:$D=A1946) * (Facturas_Odoo!$K:$K=I1946), Facturas_Odoo!$N:$N, 0), 0))</f>
        <v/>
      </c>
      <c r="V1946" s="79">
        <f>IF(Q1946="Sin Factura",0,IFERROR(_xlfn.XLOOKUP(1, (Facturas_Odoo!$D:$D=A1946) * (Facturas_Odoo!$K:$K=I1946), Facturas_Odoo!$O:$O, 0), 0))</f>
        <v/>
      </c>
      <c r="W1946" s="81">
        <f>IF(Q1946="Sin Factura",0,IFERROR(_xlfn.XLOOKUP(1, (Facturas_Odoo!$D:$D=A1946) * (Facturas_Odoo!$K:$K=I1946), Facturas_Odoo!$Q:$Q, 0), 0))</f>
        <v/>
      </c>
      <c r="X1946" s="79">
        <f>IF(OR(Q1946="Sin Factura",Q1946=""),"",IFERROR(INDEX(Pagos_Odoo!$B:$B, MATCH(Q1946, Pagos_Odoo!$I:$I, 0)), "Sin Pago"))</f>
        <v/>
      </c>
      <c r="Y1946" s="79">
        <f>IF(X1946="Sin Pago","",IFERROR(INDEX(Pagos_Odoo!$C:$C, MATCH(X1946, Pagos_Odoo!$B:$B, 0)), ""))</f>
        <v/>
      </c>
      <c r="Z1946" s="80">
        <f>IF(X1946="Sin Pago","",IFERROR(INDEX(Pagos_Odoo!$A:$A, MATCH(X1946, Pagos_Odoo!$B:$B, 0)), ""))</f>
        <v/>
      </c>
      <c r="AA1946" s="79">
        <f>IF(X1946="Sin Pago","",IFERROR(INDEX(Pagos_Odoo!$F:$F, MATCH(X1946, Pagos_Odoo!$B:$B, 0)), ""))</f>
        <v/>
      </c>
      <c r="AB1946" s="81">
        <f>IF(X1946="Sin Pago",0,IFERROR(INDEX(Pagos_Odoo!$E:$E, MATCH(X1946, Pagos_Odoo!$B:$B, 0)), 0))</f>
        <v/>
      </c>
      <c r="AC1946" s="79">
        <f>IF(X1946="Sin Pago","",IFERROR(INDEX(Pagos_Odoo!$G:$G, MATCH(X1946, Pagos_Odoo!$B:$B, 0)), ""))</f>
        <v/>
      </c>
      <c r="AD1946" s="82" t="n">
        <v>0</v>
      </c>
      <c r="AE1946" s="82" t="n"/>
      <c r="AF1946" s="82" t="n"/>
      <c r="AG1946" s="82">
        <f>IF(AN1946="","",AD1946+AE1946+AF1946)</f>
        <v/>
      </c>
      <c r="AH1946" s="81">
        <f>IF(AN1946="","",P1946*(1-AG1946))</f>
        <v/>
      </c>
      <c r="AI1946" s="81">
        <f>IF(AN1946="","",IF(Q1946="Sin Factura",0,IFERROR(INDEX(Facturas_Odoo!$H:$H, MATCH(Q1946, Facturas_Odoo!$B:$B, 0)), 0)*(1-AG1946)))</f>
        <v/>
      </c>
      <c r="AJ1946" s="81">
        <f>IF(AN1946="","",_xlfn.LET(idVenta, AN1946&amp;"",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46" s="81">
        <f>IF(AN1946="","",AH1946-AJ1946)</f>
        <v/>
      </c>
      <c r="AL1946" s="81">
        <f>IF(AN1946="","",IF(Q1946="Sin Factura","",AI1946-AJ1946))</f>
        <v/>
      </c>
      <c r="AM1946" s="81">
        <f>IF(AN1946="","",IF(Q1946="Sin Factura",0,P1946-IFERROR(INDEX(Facturas_Odoo!$H:$H, MATCH(Q1946, Facturas_Odoo!$B:$B, 0)), 0)))</f>
        <v/>
      </c>
      <c r="AN1946" s="79">
        <f>IF(AND(A1946="", J1946=""), "", IF(A1946&lt;&gt;"", VALUE(MID(A1946,2,LEN(A1946))), AN1945))</f>
        <v/>
      </c>
      <c r="AO1946" s="79">
        <f>IF(AN1946="","",IF(AD1946=0,"OK",_xlfn.LET(monedaPago, IF(AA1946="","USD",AA1946), limitePermitido, IFERROR(VLOOKUP(monedaPago, Configuración!$A$2:$B$3, 2, FALSE), 0.15), IF(AD1946&gt;limitePermitido, "ALERTA: EXCESO (" &amp; TEXT(limitePermitido, "0%") &amp; " máx)", "OK"))))</f>
        <v/>
      </c>
      <c r="AP1946" s="79">
        <f>IF(AN1946="","",IF(AE1946=0,"OK",_xlfn.LET(fechaPago, Z1946, fechaFactura, R1946, diasCredito, IF(E1946="Pago inmediato", 0, IFERROR(VALUE(MID(E1946, 1, SEARCH(" ", E1946)-1)),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46" s="79">
        <f>IF(AN1946="","",IF(AND(N1946&gt;0, AG1946&gt;0), IF(Configuración!$K$2="NO", "ALERTA: DESCUENTO DOBLE NO PERMITIDO", "OK"), "OK"))</f>
        <v/>
      </c>
      <c r="AR1946" s="79">
        <f>IF(AN1946="","",IF(OR(AO1946&lt;&gt;"OK", AP1946&lt;&gt;"OK", AQ1946&lt;&gt;"OK"), "⚠️ REVISAR", "OK"))</f>
        <v/>
      </c>
    </row>
    <row r="1947">
      <c r="A1947" s="79">
        <f>IF('Ordenes_Odoo'!A1947="","",'Ordenes_Odoo'!A1947)</f>
        <v/>
      </c>
      <c r="B1947" s="80">
        <f>IF('Ordenes_Odoo'!B1947="","",'Ordenes_Odoo'!B1947)</f>
        <v/>
      </c>
      <c r="C1947" s="79">
        <f>IF('Ordenes_Odoo'!C1947="","",'Ordenes_Odoo'!C1947)</f>
        <v/>
      </c>
      <c r="D1947" s="79">
        <f>IF('Ordenes_Odoo'!D1947="","",'Ordenes_Odoo'!D1947)</f>
        <v/>
      </c>
      <c r="E1947" s="79">
        <f>IF('Ordenes_Odoo'!E1947="","",'Ordenes_Odoo'!E1947)</f>
        <v/>
      </c>
      <c r="F1947" s="79">
        <f>IF('Ordenes_Odoo'!F1947="","",'Ordenes_Odoo'!F1947)</f>
        <v/>
      </c>
      <c r="G1947" s="79">
        <f>IF('Ordenes_Odoo'!G1947="","",'Ordenes_Odoo'!G1947)</f>
        <v/>
      </c>
      <c r="H1947" s="79">
        <f>IF('Ordenes_Odoo'!H1947="","",'Ordenes_Odoo'!H1947)</f>
        <v/>
      </c>
      <c r="I1947" s="79">
        <f>IF('Ordenes_Odoo'!I1947="","",'Ordenes_Odoo'!I1947)</f>
        <v/>
      </c>
      <c r="J1947" s="79">
        <f>IF('Ordenes_Odoo'!J1947="","",'Ordenes_Odoo'!J1947)</f>
        <v/>
      </c>
      <c r="K1947" s="81">
        <f>IF('Ordenes_Odoo'!K1947="","",'Ordenes_Odoo'!K1947)</f>
        <v/>
      </c>
      <c r="L1947" s="81">
        <f>IF('Ordenes_Odoo'!L1947="","",'Ordenes_Odoo'!L1947)</f>
        <v/>
      </c>
      <c r="M1947" s="79">
        <f>IF('Ordenes_Odoo'!M1947="","",'Ordenes_Odoo'!M1947)</f>
        <v/>
      </c>
      <c r="N1947" s="79">
        <f>IF('Ordenes_Odoo'!N1947="","",'Ordenes_Odoo'!N1947)</f>
        <v/>
      </c>
      <c r="O1947" s="81">
        <f>IF('Ordenes_Odoo'!O1947="","",'Ordenes_Odoo'!O1947)</f>
        <v/>
      </c>
      <c r="P1947" s="81">
        <f>IF('Ordenes_Odoo'!P1947="","",'Ordenes_Odoo'!P1947)</f>
        <v/>
      </c>
      <c r="Q1947" s="79">
        <f>IF(A1947="","",IFERROR(INDEX(Facturas_Odoo!$B:$B, MATCH(A1947, Facturas_Odoo!$D:$D, 0)), "Sin Factura"))</f>
        <v/>
      </c>
      <c r="R1947" s="80">
        <f>IF(Q1947="Sin Factura","",IFERROR(INDEX(Facturas_Odoo!$A:$A, MATCH(Q1947, Facturas_Odoo!$B:$B, 0)), ""))</f>
        <v/>
      </c>
      <c r="S1947" s="79">
        <f>IF(Q1947="Sin Factura","",IFERROR(_xlfn.XLOOKUP(1, (Facturas_Odoo!$D:$D=A1947) * (Facturas_Odoo!$K:$K=I1947), Facturas_Odoo!$L:$L, ""), ""))</f>
        <v/>
      </c>
      <c r="T1947" s="81">
        <f>IF(Q1947="Sin Factura",0,IFERROR(_xlfn.XLOOKUP(1, (Facturas_Odoo!$D:$D=A1947) * (Facturas_Odoo!$K:$K=I1947), Facturas_Odoo!$M:$M, 0), 0))</f>
        <v/>
      </c>
      <c r="U1947" s="79">
        <f>IF(Q1947="Sin Factura",0,IFERROR(_xlfn.XLOOKUP(1, (Facturas_Odoo!$D:$D=A1947) * (Facturas_Odoo!$K:$K=I1947), Facturas_Odoo!$N:$N, 0), 0))</f>
        <v/>
      </c>
      <c r="V1947" s="79">
        <f>IF(Q1947="Sin Factura",0,IFERROR(_xlfn.XLOOKUP(1, (Facturas_Odoo!$D:$D=A1947) * (Facturas_Odoo!$K:$K=I1947), Facturas_Odoo!$O:$O, 0), 0))</f>
        <v/>
      </c>
      <c r="W1947" s="81">
        <f>IF(Q1947="Sin Factura",0,IFERROR(_xlfn.XLOOKUP(1, (Facturas_Odoo!$D:$D=A1947) * (Facturas_Odoo!$K:$K=I1947), Facturas_Odoo!$Q:$Q, 0), 0))</f>
        <v/>
      </c>
      <c r="X1947" s="79">
        <f>IF(OR(Q1947="Sin Factura",Q1947=""),"",IFERROR(INDEX(Pagos_Odoo!$B:$B, MATCH(Q1947, Pagos_Odoo!$I:$I, 0)), "Sin Pago"))</f>
        <v/>
      </c>
      <c r="Y1947" s="79">
        <f>IF(X1947="Sin Pago","",IFERROR(INDEX(Pagos_Odoo!$C:$C, MATCH(X1947, Pagos_Odoo!$B:$B, 0)), ""))</f>
        <v/>
      </c>
      <c r="Z1947" s="80">
        <f>IF(X1947="Sin Pago","",IFERROR(INDEX(Pagos_Odoo!$A:$A, MATCH(X1947, Pagos_Odoo!$B:$B, 0)), ""))</f>
        <v/>
      </c>
      <c r="AA1947" s="79">
        <f>IF(X1947="Sin Pago","",IFERROR(INDEX(Pagos_Odoo!$F:$F, MATCH(X1947, Pagos_Odoo!$B:$B, 0)), ""))</f>
        <v/>
      </c>
      <c r="AB1947" s="81">
        <f>IF(X1947="Sin Pago",0,IFERROR(INDEX(Pagos_Odoo!$E:$E, MATCH(X1947, Pagos_Odoo!$B:$B, 0)), 0))</f>
        <v/>
      </c>
      <c r="AC1947" s="79">
        <f>IF(X1947="Sin Pago","",IFERROR(INDEX(Pagos_Odoo!$G:$G, MATCH(X1947, Pagos_Odoo!$B:$B, 0)), ""))</f>
        <v/>
      </c>
      <c r="AD1947" s="82" t="n">
        <v>0</v>
      </c>
      <c r="AE1947" s="82" t="n"/>
      <c r="AF1947" s="82" t="n"/>
      <c r="AG1947" s="82">
        <f>IF(AN1947="","",AD1947+AE1947+AF1947)</f>
        <v/>
      </c>
      <c r="AH1947" s="81">
        <f>IF(AN1947="","",P1947*(1-AG1947))</f>
        <v/>
      </c>
      <c r="AI1947" s="81">
        <f>IF(AN1947="","",IF(Q1947="Sin Factura",0,IFERROR(INDEX(Facturas_Odoo!$H:$H, MATCH(Q1947, Facturas_Odoo!$B:$B, 0)), 0)*(1-AG1947)))</f>
        <v/>
      </c>
      <c r="AJ1947" s="81">
        <f>IF(AN1947="","",_xlfn.LET(idVenta, AN1947&amp;"",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47" s="81">
        <f>IF(AN1947="","",AH1947-AJ1947)</f>
        <v/>
      </c>
      <c r="AL1947" s="81">
        <f>IF(AN1947="","",IF(Q1947="Sin Factura","",AI1947-AJ1947))</f>
        <v/>
      </c>
      <c r="AM1947" s="81">
        <f>IF(AN1947="","",IF(Q1947="Sin Factura",0,P1947-IFERROR(INDEX(Facturas_Odoo!$H:$H, MATCH(Q1947, Facturas_Odoo!$B:$B, 0)), 0)))</f>
        <v/>
      </c>
      <c r="AN1947" s="79">
        <f>IF(AND(A1947="", J1947=""), "", IF(A1947&lt;&gt;"", VALUE(MID(A1947,2,LEN(A1947))), AN1946))</f>
        <v/>
      </c>
      <c r="AO1947" s="79">
        <f>IF(AN1947="","",IF(AD1947=0,"OK",_xlfn.LET(monedaPago, IF(AA1947="","USD",AA1947), limitePermitido, IFERROR(VLOOKUP(monedaPago, Configuración!$A$2:$B$3, 2, FALSE), 0.15), IF(AD1947&gt;limitePermitido, "ALERTA: EXCESO (" &amp; TEXT(limitePermitido, "0%") &amp; " máx)", "OK"))))</f>
        <v/>
      </c>
      <c r="AP1947" s="79">
        <f>IF(AN1947="","",IF(AE1947=0,"OK",_xlfn.LET(fechaPago, Z1947, fechaFactura, R1947, diasCredito, IF(E1947="Pago inmediato", 0, IFERROR(VALUE(MID(E1947, 1, SEARCH(" ", E1947)-1)),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47" s="79">
        <f>IF(AN1947="","",IF(AND(N1947&gt;0, AG1947&gt;0), IF(Configuración!$K$2="NO", "ALERTA: DESCUENTO DOBLE NO PERMITIDO", "OK"), "OK"))</f>
        <v/>
      </c>
      <c r="AR1947" s="79">
        <f>IF(AN1947="","",IF(OR(AO1947&lt;&gt;"OK", AP1947&lt;&gt;"OK", AQ1947&lt;&gt;"OK"), "⚠️ REVISAR", "OK"))</f>
        <v/>
      </c>
    </row>
    <row r="1948">
      <c r="A1948" s="79">
        <f>IF('Ordenes_Odoo'!A1948="","",'Ordenes_Odoo'!A1948)</f>
        <v/>
      </c>
      <c r="B1948" s="80">
        <f>IF('Ordenes_Odoo'!B1948="","",'Ordenes_Odoo'!B1948)</f>
        <v/>
      </c>
      <c r="C1948" s="79">
        <f>IF('Ordenes_Odoo'!C1948="","",'Ordenes_Odoo'!C1948)</f>
        <v/>
      </c>
      <c r="D1948" s="79">
        <f>IF('Ordenes_Odoo'!D1948="","",'Ordenes_Odoo'!D1948)</f>
        <v/>
      </c>
      <c r="E1948" s="79">
        <f>IF('Ordenes_Odoo'!E1948="","",'Ordenes_Odoo'!E1948)</f>
        <v/>
      </c>
      <c r="F1948" s="79">
        <f>IF('Ordenes_Odoo'!F1948="","",'Ordenes_Odoo'!F1948)</f>
        <v/>
      </c>
      <c r="G1948" s="79">
        <f>IF('Ordenes_Odoo'!G1948="","",'Ordenes_Odoo'!G1948)</f>
        <v/>
      </c>
      <c r="H1948" s="79">
        <f>IF('Ordenes_Odoo'!H1948="","",'Ordenes_Odoo'!H1948)</f>
        <v/>
      </c>
      <c r="I1948" s="79">
        <f>IF('Ordenes_Odoo'!I1948="","",'Ordenes_Odoo'!I1948)</f>
        <v/>
      </c>
      <c r="J1948" s="79">
        <f>IF('Ordenes_Odoo'!J1948="","",'Ordenes_Odoo'!J1948)</f>
        <v/>
      </c>
      <c r="K1948" s="81">
        <f>IF('Ordenes_Odoo'!K1948="","",'Ordenes_Odoo'!K1948)</f>
        <v/>
      </c>
      <c r="L1948" s="81">
        <f>IF('Ordenes_Odoo'!L1948="","",'Ordenes_Odoo'!L1948)</f>
        <v/>
      </c>
      <c r="M1948" s="79">
        <f>IF('Ordenes_Odoo'!M1948="","",'Ordenes_Odoo'!M1948)</f>
        <v/>
      </c>
      <c r="N1948" s="79">
        <f>IF('Ordenes_Odoo'!N1948="","",'Ordenes_Odoo'!N1948)</f>
        <v/>
      </c>
      <c r="O1948" s="81">
        <f>IF('Ordenes_Odoo'!O1948="","",'Ordenes_Odoo'!O1948)</f>
        <v/>
      </c>
      <c r="P1948" s="81">
        <f>IF('Ordenes_Odoo'!P1948="","",'Ordenes_Odoo'!P1948)</f>
        <v/>
      </c>
      <c r="Q1948" s="79">
        <f>IF(A1948="","",IFERROR(INDEX(Facturas_Odoo!$B:$B, MATCH(A1948, Facturas_Odoo!$D:$D, 0)), "Sin Factura"))</f>
        <v/>
      </c>
      <c r="R1948" s="80">
        <f>IF(Q1948="Sin Factura","",IFERROR(INDEX(Facturas_Odoo!$A:$A, MATCH(Q1948, Facturas_Odoo!$B:$B, 0)), ""))</f>
        <v/>
      </c>
      <c r="S1948" s="79">
        <f>IF(Q1948="Sin Factura","",IFERROR(_xlfn.XLOOKUP(1, (Facturas_Odoo!$D:$D=A1948) * (Facturas_Odoo!$K:$K=I1948), Facturas_Odoo!$L:$L, ""), ""))</f>
        <v/>
      </c>
      <c r="T1948" s="81">
        <f>IF(Q1948="Sin Factura",0,IFERROR(_xlfn.XLOOKUP(1, (Facturas_Odoo!$D:$D=A1948) * (Facturas_Odoo!$K:$K=I1948), Facturas_Odoo!$M:$M, 0), 0))</f>
        <v/>
      </c>
      <c r="U1948" s="79">
        <f>IF(Q1948="Sin Factura",0,IFERROR(_xlfn.XLOOKUP(1, (Facturas_Odoo!$D:$D=A1948) * (Facturas_Odoo!$K:$K=I1948), Facturas_Odoo!$N:$N, 0), 0))</f>
        <v/>
      </c>
      <c r="V1948" s="79">
        <f>IF(Q1948="Sin Factura",0,IFERROR(_xlfn.XLOOKUP(1, (Facturas_Odoo!$D:$D=A1948) * (Facturas_Odoo!$K:$K=I1948), Facturas_Odoo!$O:$O, 0), 0))</f>
        <v/>
      </c>
      <c r="W1948" s="81">
        <f>IF(Q1948="Sin Factura",0,IFERROR(_xlfn.XLOOKUP(1, (Facturas_Odoo!$D:$D=A1948) * (Facturas_Odoo!$K:$K=I1948), Facturas_Odoo!$Q:$Q, 0), 0))</f>
        <v/>
      </c>
      <c r="X1948" s="79">
        <f>IF(OR(Q1948="Sin Factura",Q1948=""),"",IFERROR(INDEX(Pagos_Odoo!$B:$B, MATCH(Q1948, Pagos_Odoo!$I:$I, 0)), "Sin Pago"))</f>
        <v/>
      </c>
      <c r="Y1948" s="79">
        <f>IF(X1948="Sin Pago","",IFERROR(INDEX(Pagos_Odoo!$C:$C, MATCH(X1948, Pagos_Odoo!$B:$B, 0)), ""))</f>
        <v/>
      </c>
      <c r="Z1948" s="80">
        <f>IF(X1948="Sin Pago","",IFERROR(INDEX(Pagos_Odoo!$A:$A, MATCH(X1948, Pagos_Odoo!$B:$B, 0)), ""))</f>
        <v/>
      </c>
      <c r="AA1948" s="79">
        <f>IF(X1948="Sin Pago","",IFERROR(INDEX(Pagos_Odoo!$F:$F, MATCH(X1948, Pagos_Odoo!$B:$B, 0)), ""))</f>
        <v/>
      </c>
      <c r="AB1948" s="81">
        <f>IF(X1948="Sin Pago",0,IFERROR(INDEX(Pagos_Odoo!$E:$E, MATCH(X1948, Pagos_Odoo!$B:$B, 0)), 0))</f>
        <v/>
      </c>
      <c r="AC1948" s="79">
        <f>IF(X1948="Sin Pago","",IFERROR(INDEX(Pagos_Odoo!$G:$G, MATCH(X1948, Pagos_Odoo!$B:$B, 0)), ""))</f>
        <v/>
      </c>
      <c r="AD1948" s="82" t="n">
        <v>0</v>
      </c>
      <c r="AE1948" s="82" t="n"/>
      <c r="AF1948" s="82" t="n"/>
      <c r="AG1948" s="82">
        <f>IF(AN1948="","",AD1948+AE1948+AF1948)</f>
        <v/>
      </c>
      <c r="AH1948" s="81">
        <f>IF(AN1948="","",P1948*(1-AG1948))</f>
        <v/>
      </c>
      <c r="AI1948" s="81">
        <f>IF(AN1948="","",IF(Q1948="Sin Factura",0,IFERROR(INDEX(Facturas_Odoo!$H:$H, MATCH(Q1948, Facturas_Odoo!$B:$B, 0)), 0)*(1-AG1948)))</f>
        <v/>
      </c>
      <c r="AJ1948" s="81">
        <f>IF(AN1948="","",_xlfn.LET(idVenta, AN1948&amp;"",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48" s="81">
        <f>IF(AN1948="","",AH1948-AJ1948)</f>
        <v/>
      </c>
      <c r="AL1948" s="81">
        <f>IF(AN1948="","",IF(Q1948="Sin Factura","",AI1948-AJ1948))</f>
        <v/>
      </c>
      <c r="AM1948" s="81">
        <f>IF(AN1948="","",IF(Q1948="Sin Factura",0,P1948-IFERROR(INDEX(Facturas_Odoo!$H:$H, MATCH(Q1948, Facturas_Odoo!$B:$B, 0)), 0)))</f>
        <v/>
      </c>
      <c r="AN1948" s="79">
        <f>IF(AND(A1948="", J1948=""), "", IF(A1948&lt;&gt;"", VALUE(MID(A1948,2,LEN(A1948))), AN1947))</f>
        <v/>
      </c>
      <c r="AO1948" s="79">
        <f>IF(AN1948="","",IF(AD1948=0,"OK",_xlfn.LET(monedaPago, IF(AA1948="","USD",AA1948), limitePermitido, IFERROR(VLOOKUP(monedaPago, Configuración!$A$2:$B$3, 2, FALSE), 0.15), IF(AD1948&gt;limitePermitido, "ALERTA: EXCESO (" &amp; TEXT(limitePermitido, "0%") &amp; " máx)", "OK"))))</f>
        <v/>
      </c>
      <c r="AP1948" s="79">
        <f>IF(AN1948="","",IF(AE1948=0,"OK",_xlfn.LET(fechaPago, Z1948, fechaFactura, R1948, diasCredito, IF(E1948="Pago inmediato", 0, IFERROR(VALUE(MID(E1948, 1, SEARCH(" ", E1948)-1)),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48" s="79">
        <f>IF(AN1948="","",IF(AND(N1948&gt;0, AG1948&gt;0), IF(Configuración!$K$2="NO", "ALERTA: DESCUENTO DOBLE NO PERMITIDO", "OK"), "OK"))</f>
        <v/>
      </c>
      <c r="AR1948" s="79">
        <f>IF(AN1948="","",IF(OR(AO1948&lt;&gt;"OK", AP1948&lt;&gt;"OK", AQ1948&lt;&gt;"OK"), "⚠️ REVISAR", "OK"))</f>
        <v/>
      </c>
    </row>
    <row r="1949">
      <c r="A1949" s="79">
        <f>IF('Ordenes_Odoo'!A1949="","",'Ordenes_Odoo'!A1949)</f>
        <v/>
      </c>
      <c r="B1949" s="80">
        <f>IF('Ordenes_Odoo'!B1949="","",'Ordenes_Odoo'!B1949)</f>
        <v/>
      </c>
      <c r="C1949" s="79">
        <f>IF('Ordenes_Odoo'!C1949="","",'Ordenes_Odoo'!C1949)</f>
        <v/>
      </c>
      <c r="D1949" s="79">
        <f>IF('Ordenes_Odoo'!D1949="","",'Ordenes_Odoo'!D1949)</f>
        <v/>
      </c>
      <c r="E1949" s="79">
        <f>IF('Ordenes_Odoo'!E1949="","",'Ordenes_Odoo'!E1949)</f>
        <v/>
      </c>
      <c r="F1949" s="79">
        <f>IF('Ordenes_Odoo'!F1949="","",'Ordenes_Odoo'!F1949)</f>
        <v/>
      </c>
      <c r="G1949" s="79">
        <f>IF('Ordenes_Odoo'!G1949="","",'Ordenes_Odoo'!G1949)</f>
        <v/>
      </c>
      <c r="H1949" s="79">
        <f>IF('Ordenes_Odoo'!H1949="","",'Ordenes_Odoo'!H1949)</f>
        <v/>
      </c>
      <c r="I1949" s="79">
        <f>IF('Ordenes_Odoo'!I1949="","",'Ordenes_Odoo'!I1949)</f>
        <v/>
      </c>
      <c r="J1949" s="79">
        <f>IF('Ordenes_Odoo'!J1949="","",'Ordenes_Odoo'!J1949)</f>
        <v/>
      </c>
      <c r="K1949" s="81">
        <f>IF('Ordenes_Odoo'!K1949="","",'Ordenes_Odoo'!K1949)</f>
        <v/>
      </c>
      <c r="L1949" s="81">
        <f>IF('Ordenes_Odoo'!L1949="","",'Ordenes_Odoo'!L1949)</f>
        <v/>
      </c>
      <c r="M1949" s="79">
        <f>IF('Ordenes_Odoo'!M1949="","",'Ordenes_Odoo'!M1949)</f>
        <v/>
      </c>
      <c r="N1949" s="79">
        <f>IF('Ordenes_Odoo'!N1949="","",'Ordenes_Odoo'!N1949)</f>
        <v/>
      </c>
      <c r="O1949" s="81">
        <f>IF('Ordenes_Odoo'!O1949="","",'Ordenes_Odoo'!O1949)</f>
        <v/>
      </c>
      <c r="P1949" s="81">
        <f>IF('Ordenes_Odoo'!P1949="","",'Ordenes_Odoo'!P1949)</f>
        <v/>
      </c>
      <c r="Q1949" s="79">
        <f>IF(A1949="","",IFERROR(INDEX(Facturas_Odoo!$B:$B, MATCH(A1949, Facturas_Odoo!$D:$D, 0)), "Sin Factura"))</f>
        <v/>
      </c>
      <c r="R1949" s="80">
        <f>IF(Q1949="Sin Factura","",IFERROR(INDEX(Facturas_Odoo!$A:$A, MATCH(Q1949, Facturas_Odoo!$B:$B, 0)), ""))</f>
        <v/>
      </c>
      <c r="S1949" s="79">
        <f>IF(Q1949="Sin Factura","",IFERROR(_xlfn.XLOOKUP(1, (Facturas_Odoo!$D:$D=A1949) * (Facturas_Odoo!$K:$K=I1949), Facturas_Odoo!$L:$L, ""), ""))</f>
        <v/>
      </c>
      <c r="T1949" s="81">
        <f>IF(Q1949="Sin Factura",0,IFERROR(_xlfn.XLOOKUP(1, (Facturas_Odoo!$D:$D=A1949) * (Facturas_Odoo!$K:$K=I1949), Facturas_Odoo!$M:$M, 0), 0))</f>
        <v/>
      </c>
      <c r="U1949" s="79">
        <f>IF(Q1949="Sin Factura",0,IFERROR(_xlfn.XLOOKUP(1, (Facturas_Odoo!$D:$D=A1949) * (Facturas_Odoo!$K:$K=I1949), Facturas_Odoo!$N:$N, 0), 0))</f>
        <v/>
      </c>
      <c r="V1949" s="79">
        <f>IF(Q1949="Sin Factura",0,IFERROR(_xlfn.XLOOKUP(1, (Facturas_Odoo!$D:$D=A1949) * (Facturas_Odoo!$K:$K=I1949), Facturas_Odoo!$O:$O, 0), 0))</f>
        <v/>
      </c>
      <c r="W1949" s="81">
        <f>IF(Q1949="Sin Factura",0,IFERROR(_xlfn.XLOOKUP(1, (Facturas_Odoo!$D:$D=A1949) * (Facturas_Odoo!$K:$K=I1949), Facturas_Odoo!$Q:$Q, 0), 0))</f>
        <v/>
      </c>
      <c r="X1949" s="79">
        <f>IF(OR(Q1949="Sin Factura",Q1949=""),"",IFERROR(INDEX(Pagos_Odoo!$B:$B, MATCH(Q1949, Pagos_Odoo!$I:$I, 0)), "Sin Pago"))</f>
        <v/>
      </c>
      <c r="Y1949" s="79">
        <f>IF(X1949="Sin Pago","",IFERROR(INDEX(Pagos_Odoo!$C:$C, MATCH(X1949, Pagos_Odoo!$B:$B, 0)), ""))</f>
        <v/>
      </c>
      <c r="Z1949" s="80">
        <f>IF(X1949="Sin Pago","",IFERROR(INDEX(Pagos_Odoo!$A:$A, MATCH(X1949, Pagos_Odoo!$B:$B, 0)), ""))</f>
        <v/>
      </c>
      <c r="AA1949" s="79">
        <f>IF(X1949="Sin Pago","",IFERROR(INDEX(Pagos_Odoo!$F:$F, MATCH(X1949, Pagos_Odoo!$B:$B, 0)), ""))</f>
        <v/>
      </c>
      <c r="AB1949" s="81">
        <f>IF(X1949="Sin Pago",0,IFERROR(INDEX(Pagos_Odoo!$E:$E, MATCH(X1949, Pagos_Odoo!$B:$B, 0)), 0))</f>
        <v/>
      </c>
      <c r="AC1949" s="79">
        <f>IF(X1949="Sin Pago","",IFERROR(INDEX(Pagos_Odoo!$G:$G, MATCH(X1949, Pagos_Odoo!$B:$B, 0)), ""))</f>
        <v/>
      </c>
      <c r="AD1949" s="82" t="n">
        <v>0</v>
      </c>
      <c r="AE1949" s="82" t="n"/>
      <c r="AF1949" s="82" t="n"/>
      <c r="AG1949" s="82">
        <f>IF(AN1949="","",AD1949+AE1949+AF1949)</f>
        <v/>
      </c>
      <c r="AH1949" s="81">
        <f>IF(AN1949="","",P1949*(1-AG1949))</f>
        <v/>
      </c>
      <c r="AI1949" s="81">
        <f>IF(AN1949="","",IF(Q1949="Sin Factura",0,IFERROR(INDEX(Facturas_Odoo!$H:$H, MATCH(Q1949, Facturas_Odoo!$B:$B, 0)), 0)*(1-AG1949)))</f>
        <v/>
      </c>
      <c r="AJ1949" s="81">
        <f>IF(AN1949="","",_xlfn.LET(idVenta, AN1949&amp;"",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49" s="81">
        <f>IF(AN1949="","",AH1949-AJ1949)</f>
        <v/>
      </c>
      <c r="AL1949" s="81">
        <f>IF(AN1949="","",IF(Q1949="Sin Factura","",AI1949-AJ1949))</f>
        <v/>
      </c>
      <c r="AM1949" s="81">
        <f>IF(AN1949="","",IF(Q1949="Sin Factura",0,P1949-IFERROR(INDEX(Facturas_Odoo!$H:$H, MATCH(Q1949, Facturas_Odoo!$B:$B, 0)), 0)))</f>
        <v/>
      </c>
      <c r="AN1949" s="79">
        <f>IF(AND(A1949="", J1949=""), "", IF(A1949&lt;&gt;"", VALUE(MID(A1949,2,LEN(A1949))), AN1948))</f>
        <v/>
      </c>
      <c r="AO1949" s="79">
        <f>IF(AN1949="","",IF(AD1949=0,"OK",_xlfn.LET(monedaPago, IF(AA1949="","USD",AA1949), limitePermitido, IFERROR(VLOOKUP(monedaPago, Configuración!$A$2:$B$3, 2, FALSE), 0.15), IF(AD1949&gt;limitePermitido, "ALERTA: EXCESO (" &amp; TEXT(limitePermitido, "0%") &amp; " máx)", "OK"))))</f>
        <v/>
      </c>
      <c r="AP1949" s="79">
        <f>IF(AN1949="","",IF(AE1949=0,"OK",_xlfn.LET(fechaPago, Z1949, fechaFactura, R1949, diasCredito, IF(E1949="Pago inmediato", 0, IFERROR(VALUE(MID(E1949, 1, SEARCH(" ", E1949)-1)),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49" s="79">
        <f>IF(AN1949="","",IF(AND(N1949&gt;0, AG1949&gt;0), IF(Configuración!$K$2="NO", "ALERTA: DESCUENTO DOBLE NO PERMITIDO", "OK"), "OK"))</f>
        <v/>
      </c>
      <c r="AR1949" s="79">
        <f>IF(AN1949="","",IF(OR(AO1949&lt;&gt;"OK", AP1949&lt;&gt;"OK", AQ1949&lt;&gt;"OK"), "⚠️ REVISAR", "OK"))</f>
        <v/>
      </c>
    </row>
    <row r="1950">
      <c r="A1950" s="79">
        <f>IF('Ordenes_Odoo'!A1950="","",'Ordenes_Odoo'!A1950)</f>
        <v/>
      </c>
      <c r="B1950" s="80">
        <f>IF('Ordenes_Odoo'!B1950="","",'Ordenes_Odoo'!B1950)</f>
        <v/>
      </c>
      <c r="C1950" s="79">
        <f>IF('Ordenes_Odoo'!C1950="","",'Ordenes_Odoo'!C1950)</f>
        <v/>
      </c>
      <c r="D1950" s="79">
        <f>IF('Ordenes_Odoo'!D1950="","",'Ordenes_Odoo'!D1950)</f>
        <v/>
      </c>
      <c r="E1950" s="79">
        <f>IF('Ordenes_Odoo'!E1950="","",'Ordenes_Odoo'!E1950)</f>
        <v/>
      </c>
      <c r="F1950" s="79">
        <f>IF('Ordenes_Odoo'!F1950="","",'Ordenes_Odoo'!F1950)</f>
        <v/>
      </c>
      <c r="G1950" s="79">
        <f>IF('Ordenes_Odoo'!G1950="","",'Ordenes_Odoo'!G1950)</f>
        <v/>
      </c>
      <c r="H1950" s="79">
        <f>IF('Ordenes_Odoo'!H1950="","",'Ordenes_Odoo'!H1950)</f>
        <v/>
      </c>
      <c r="I1950" s="79">
        <f>IF('Ordenes_Odoo'!I1950="","",'Ordenes_Odoo'!I1950)</f>
        <v/>
      </c>
      <c r="J1950" s="79">
        <f>IF('Ordenes_Odoo'!J1950="","",'Ordenes_Odoo'!J1950)</f>
        <v/>
      </c>
      <c r="K1950" s="81">
        <f>IF('Ordenes_Odoo'!K1950="","",'Ordenes_Odoo'!K1950)</f>
        <v/>
      </c>
      <c r="L1950" s="81">
        <f>IF('Ordenes_Odoo'!L1950="","",'Ordenes_Odoo'!L1950)</f>
        <v/>
      </c>
      <c r="M1950" s="79">
        <f>IF('Ordenes_Odoo'!M1950="","",'Ordenes_Odoo'!M1950)</f>
        <v/>
      </c>
      <c r="N1950" s="79">
        <f>IF('Ordenes_Odoo'!N1950="","",'Ordenes_Odoo'!N1950)</f>
        <v/>
      </c>
      <c r="O1950" s="81">
        <f>IF('Ordenes_Odoo'!O1950="","",'Ordenes_Odoo'!O1950)</f>
        <v/>
      </c>
      <c r="P1950" s="81">
        <f>IF('Ordenes_Odoo'!P1950="","",'Ordenes_Odoo'!P1950)</f>
        <v/>
      </c>
      <c r="Q1950" s="79">
        <f>IF(A1950="","",IFERROR(INDEX(Facturas_Odoo!$B:$B, MATCH(A1950, Facturas_Odoo!$D:$D, 0)), "Sin Factura"))</f>
        <v/>
      </c>
      <c r="R1950" s="80">
        <f>IF(Q1950="Sin Factura","",IFERROR(INDEX(Facturas_Odoo!$A:$A, MATCH(Q1950, Facturas_Odoo!$B:$B, 0)), ""))</f>
        <v/>
      </c>
      <c r="S1950" s="79">
        <f>IF(Q1950="Sin Factura","",IFERROR(_xlfn.XLOOKUP(1, (Facturas_Odoo!$D:$D=A1950) * (Facturas_Odoo!$K:$K=I1950), Facturas_Odoo!$L:$L, ""), ""))</f>
        <v/>
      </c>
      <c r="T1950" s="81">
        <f>IF(Q1950="Sin Factura",0,IFERROR(_xlfn.XLOOKUP(1, (Facturas_Odoo!$D:$D=A1950) * (Facturas_Odoo!$K:$K=I1950), Facturas_Odoo!$M:$M, 0), 0))</f>
        <v/>
      </c>
      <c r="U1950" s="79">
        <f>IF(Q1950="Sin Factura",0,IFERROR(_xlfn.XLOOKUP(1, (Facturas_Odoo!$D:$D=A1950) * (Facturas_Odoo!$K:$K=I1950), Facturas_Odoo!$N:$N, 0), 0))</f>
        <v/>
      </c>
      <c r="V1950" s="79">
        <f>IF(Q1950="Sin Factura",0,IFERROR(_xlfn.XLOOKUP(1, (Facturas_Odoo!$D:$D=A1950) * (Facturas_Odoo!$K:$K=I1950), Facturas_Odoo!$O:$O, 0), 0))</f>
        <v/>
      </c>
      <c r="W1950" s="81">
        <f>IF(Q1950="Sin Factura",0,IFERROR(_xlfn.XLOOKUP(1, (Facturas_Odoo!$D:$D=A1950) * (Facturas_Odoo!$K:$K=I1950), Facturas_Odoo!$Q:$Q, 0), 0))</f>
        <v/>
      </c>
      <c r="X1950" s="79">
        <f>IF(OR(Q1950="Sin Factura",Q1950=""),"",IFERROR(INDEX(Pagos_Odoo!$B:$B, MATCH(Q1950, Pagos_Odoo!$I:$I, 0)), "Sin Pago"))</f>
        <v/>
      </c>
      <c r="Y1950" s="79">
        <f>IF(X1950="Sin Pago","",IFERROR(INDEX(Pagos_Odoo!$C:$C, MATCH(X1950, Pagos_Odoo!$B:$B, 0)), ""))</f>
        <v/>
      </c>
      <c r="Z1950" s="80">
        <f>IF(X1950="Sin Pago","",IFERROR(INDEX(Pagos_Odoo!$A:$A, MATCH(X1950, Pagos_Odoo!$B:$B, 0)), ""))</f>
        <v/>
      </c>
      <c r="AA1950" s="79">
        <f>IF(X1950="Sin Pago","",IFERROR(INDEX(Pagos_Odoo!$F:$F, MATCH(X1950, Pagos_Odoo!$B:$B, 0)), ""))</f>
        <v/>
      </c>
      <c r="AB1950" s="81">
        <f>IF(X1950="Sin Pago",0,IFERROR(INDEX(Pagos_Odoo!$E:$E, MATCH(X1950, Pagos_Odoo!$B:$B, 0)), 0))</f>
        <v/>
      </c>
      <c r="AC1950" s="79">
        <f>IF(X1950="Sin Pago","",IFERROR(INDEX(Pagos_Odoo!$G:$G, MATCH(X1950, Pagos_Odoo!$B:$B, 0)), ""))</f>
        <v/>
      </c>
      <c r="AD1950" s="82" t="n">
        <v>0</v>
      </c>
      <c r="AE1950" s="82" t="n"/>
      <c r="AF1950" s="82" t="n"/>
      <c r="AG1950" s="82">
        <f>IF(AN1950="","",AD1950+AE1950+AF1950)</f>
        <v/>
      </c>
      <c r="AH1950" s="81">
        <f>IF(AN1950="","",P1950*(1-AG1950))</f>
        <v/>
      </c>
      <c r="AI1950" s="81">
        <f>IF(AN1950="","",IF(Q1950="Sin Factura",0,IFERROR(INDEX(Facturas_Odoo!$H:$H, MATCH(Q1950, Facturas_Odoo!$B:$B, 0)), 0)*(1-AG1950)))</f>
        <v/>
      </c>
      <c r="AJ1950" s="81">
        <f>IF(AN1950="","",_xlfn.LET(idVenta, AN1950&amp;"",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50" s="81">
        <f>IF(AN1950="","",AH1950-AJ1950)</f>
        <v/>
      </c>
      <c r="AL1950" s="81">
        <f>IF(AN1950="","",IF(Q1950="Sin Factura","",AI1950-AJ1950))</f>
        <v/>
      </c>
      <c r="AM1950" s="81">
        <f>IF(AN1950="","",IF(Q1950="Sin Factura",0,P1950-IFERROR(INDEX(Facturas_Odoo!$H:$H, MATCH(Q1950, Facturas_Odoo!$B:$B, 0)), 0)))</f>
        <v/>
      </c>
      <c r="AN1950" s="79">
        <f>IF(AND(A1950="", J1950=""), "", IF(A1950&lt;&gt;"", VALUE(MID(A1950,2,LEN(A1950))), AN1949))</f>
        <v/>
      </c>
      <c r="AO1950" s="79">
        <f>IF(AN1950="","",IF(AD1950=0,"OK",_xlfn.LET(monedaPago, IF(AA1950="","USD",AA1950), limitePermitido, IFERROR(VLOOKUP(monedaPago, Configuración!$A$2:$B$3, 2, FALSE), 0.15), IF(AD1950&gt;limitePermitido, "ALERTA: EXCESO (" &amp; TEXT(limitePermitido, "0%") &amp; " máx)", "OK"))))</f>
        <v/>
      </c>
      <c r="AP1950" s="79">
        <f>IF(AN1950="","",IF(AE1950=0,"OK",_xlfn.LET(fechaPago, Z1950, fechaFactura, R1950, diasCredito, IF(E1950="Pago inmediato", 0, IFERROR(VALUE(MID(E1950, 1, SEARCH(" ", E1950)-1)),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50" s="79">
        <f>IF(AN1950="","",IF(AND(N1950&gt;0, AG1950&gt;0), IF(Configuración!$K$2="NO", "ALERTA: DESCUENTO DOBLE NO PERMITIDO", "OK"), "OK"))</f>
        <v/>
      </c>
      <c r="AR1950" s="79">
        <f>IF(AN1950="","",IF(OR(AO1950&lt;&gt;"OK", AP1950&lt;&gt;"OK", AQ1950&lt;&gt;"OK"), "⚠️ REVISAR", "OK"))</f>
        <v/>
      </c>
    </row>
    <row r="1951">
      <c r="A1951" s="79">
        <f>IF('Ordenes_Odoo'!A1951="","",'Ordenes_Odoo'!A1951)</f>
        <v/>
      </c>
      <c r="B1951" s="80">
        <f>IF('Ordenes_Odoo'!B1951="","",'Ordenes_Odoo'!B1951)</f>
        <v/>
      </c>
      <c r="C1951" s="79">
        <f>IF('Ordenes_Odoo'!C1951="","",'Ordenes_Odoo'!C1951)</f>
        <v/>
      </c>
      <c r="D1951" s="79">
        <f>IF('Ordenes_Odoo'!D1951="","",'Ordenes_Odoo'!D1951)</f>
        <v/>
      </c>
      <c r="E1951" s="79">
        <f>IF('Ordenes_Odoo'!E1951="","",'Ordenes_Odoo'!E1951)</f>
        <v/>
      </c>
      <c r="F1951" s="79">
        <f>IF('Ordenes_Odoo'!F1951="","",'Ordenes_Odoo'!F1951)</f>
        <v/>
      </c>
      <c r="G1951" s="79">
        <f>IF('Ordenes_Odoo'!G1951="","",'Ordenes_Odoo'!G1951)</f>
        <v/>
      </c>
      <c r="H1951" s="79">
        <f>IF('Ordenes_Odoo'!H1951="","",'Ordenes_Odoo'!H1951)</f>
        <v/>
      </c>
      <c r="I1951" s="79">
        <f>IF('Ordenes_Odoo'!I1951="","",'Ordenes_Odoo'!I1951)</f>
        <v/>
      </c>
      <c r="J1951" s="79">
        <f>IF('Ordenes_Odoo'!J1951="","",'Ordenes_Odoo'!J1951)</f>
        <v/>
      </c>
      <c r="K1951" s="81">
        <f>IF('Ordenes_Odoo'!K1951="","",'Ordenes_Odoo'!K1951)</f>
        <v/>
      </c>
      <c r="L1951" s="81">
        <f>IF('Ordenes_Odoo'!L1951="","",'Ordenes_Odoo'!L1951)</f>
        <v/>
      </c>
      <c r="M1951" s="79">
        <f>IF('Ordenes_Odoo'!M1951="","",'Ordenes_Odoo'!M1951)</f>
        <v/>
      </c>
      <c r="N1951" s="79">
        <f>IF('Ordenes_Odoo'!N1951="","",'Ordenes_Odoo'!N1951)</f>
        <v/>
      </c>
      <c r="O1951" s="81">
        <f>IF('Ordenes_Odoo'!O1951="","",'Ordenes_Odoo'!O1951)</f>
        <v/>
      </c>
      <c r="P1951" s="81">
        <f>IF('Ordenes_Odoo'!P1951="","",'Ordenes_Odoo'!P1951)</f>
        <v/>
      </c>
      <c r="Q1951" s="79">
        <f>IF(A1951="","",IFERROR(INDEX(Facturas_Odoo!$B:$B, MATCH(A1951, Facturas_Odoo!$D:$D, 0)), "Sin Factura"))</f>
        <v/>
      </c>
      <c r="R1951" s="80">
        <f>IF(Q1951="Sin Factura","",IFERROR(INDEX(Facturas_Odoo!$A:$A, MATCH(Q1951, Facturas_Odoo!$B:$B, 0)), ""))</f>
        <v/>
      </c>
      <c r="S1951" s="79">
        <f>IF(Q1951="Sin Factura","",IFERROR(_xlfn.XLOOKUP(1, (Facturas_Odoo!$D:$D=A1951) * (Facturas_Odoo!$K:$K=I1951), Facturas_Odoo!$L:$L, ""), ""))</f>
        <v/>
      </c>
      <c r="T1951" s="81">
        <f>IF(Q1951="Sin Factura",0,IFERROR(_xlfn.XLOOKUP(1, (Facturas_Odoo!$D:$D=A1951) * (Facturas_Odoo!$K:$K=I1951), Facturas_Odoo!$M:$M, 0), 0))</f>
        <v/>
      </c>
      <c r="U1951" s="79">
        <f>IF(Q1951="Sin Factura",0,IFERROR(_xlfn.XLOOKUP(1, (Facturas_Odoo!$D:$D=A1951) * (Facturas_Odoo!$K:$K=I1951), Facturas_Odoo!$N:$N, 0), 0))</f>
        <v/>
      </c>
      <c r="V1951" s="79">
        <f>IF(Q1951="Sin Factura",0,IFERROR(_xlfn.XLOOKUP(1, (Facturas_Odoo!$D:$D=A1951) * (Facturas_Odoo!$K:$K=I1951), Facturas_Odoo!$O:$O, 0), 0))</f>
        <v/>
      </c>
      <c r="W1951" s="81">
        <f>IF(Q1951="Sin Factura",0,IFERROR(_xlfn.XLOOKUP(1, (Facturas_Odoo!$D:$D=A1951) * (Facturas_Odoo!$K:$K=I1951), Facturas_Odoo!$Q:$Q, 0), 0))</f>
        <v/>
      </c>
      <c r="X1951" s="79">
        <f>IF(OR(Q1951="Sin Factura",Q1951=""),"",IFERROR(INDEX(Pagos_Odoo!$B:$B, MATCH(Q1951, Pagos_Odoo!$I:$I, 0)), "Sin Pago"))</f>
        <v/>
      </c>
      <c r="Y1951" s="79">
        <f>IF(X1951="Sin Pago","",IFERROR(INDEX(Pagos_Odoo!$C:$C, MATCH(X1951, Pagos_Odoo!$B:$B, 0)), ""))</f>
        <v/>
      </c>
      <c r="Z1951" s="80">
        <f>IF(X1951="Sin Pago","",IFERROR(INDEX(Pagos_Odoo!$A:$A, MATCH(X1951, Pagos_Odoo!$B:$B, 0)), ""))</f>
        <v/>
      </c>
      <c r="AA1951" s="79">
        <f>IF(X1951="Sin Pago","",IFERROR(INDEX(Pagos_Odoo!$F:$F, MATCH(X1951, Pagos_Odoo!$B:$B, 0)), ""))</f>
        <v/>
      </c>
      <c r="AB1951" s="81">
        <f>IF(X1951="Sin Pago",0,IFERROR(INDEX(Pagos_Odoo!$E:$E, MATCH(X1951, Pagos_Odoo!$B:$B, 0)), 0))</f>
        <v/>
      </c>
      <c r="AC1951" s="79">
        <f>IF(X1951="Sin Pago","",IFERROR(INDEX(Pagos_Odoo!$G:$G, MATCH(X1951, Pagos_Odoo!$B:$B, 0)), ""))</f>
        <v/>
      </c>
      <c r="AD1951" s="82" t="n">
        <v>0</v>
      </c>
      <c r="AE1951" s="82" t="n"/>
      <c r="AF1951" s="82" t="n"/>
      <c r="AG1951" s="82">
        <f>IF(AN1951="","",AD1951+AE1951+AF1951)</f>
        <v/>
      </c>
      <c r="AH1951" s="81">
        <f>IF(AN1951="","",P1951*(1-AG1951))</f>
        <v/>
      </c>
      <c r="AI1951" s="81">
        <f>IF(AN1951="","",IF(Q1951="Sin Factura",0,IFERROR(INDEX(Facturas_Odoo!$H:$H, MATCH(Q1951, Facturas_Odoo!$B:$B, 0)), 0)*(1-AG1951)))</f>
        <v/>
      </c>
      <c r="AJ1951" s="81">
        <f>IF(AN1951="","",_xlfn.LET(idVenta, AN1951&amp;"",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51" s="81">
        <f>IF(AN1951="","",AH1951-AJ1951)</f>
        <v/>
      </c>
      <c r="AL1951" s="81">
        <f>IF(AN1951="","",IF(Q1951="Sin Factura","",AI1951-AJ1951))</f>
        <v/>
      </c>
      <c r="AM1951" s="81">
        <f>IF(AN1951="","",IF(Q1951="Sin Factura",0,P1951-IFERROR(INDEX(Facturas_Odoo!$H:$H, MATCH(Q1951, Facturas_Odoo!$B:$B, 0)), 0)))</f>
        <v/>
      </c>
      <c r="AN1951" s="79">
        <f>IF(AND(A1951="", J1951=""), "", IF(A1951&lt;&gt;"", VALUE(MID(A1951,2,LEN(A1951))), AN1950))</f>
        <v/>
      </c>
      <c r="AO1951" s="79">
        <f>IF(AN1951="","",IF(AD1951=0,"OK",_xlfn.LET(monedaPago, IF(AA1951="","USD",AA1951), limitePermitido, IFERROR(VLOOKUP(monedaPago, Configuración!$A$2:$B$3, 2, FALSE), 0.15), IF(AD1951&gt;limitePermitido, "ALERTA: EXCESO (" &amp; TEXT(limitePermitido, "0%") &amp; " máx)", "OK"))))</f>
        <v/>
      </c>
      <c r="AP1951" s="79">
        <f>IF(AN1951="","",IF(AE1951=0,"OK",_xlfn.LET(fechaPago, Z1951, fechaFactura, R1951, diasCredito, IF(E1951="Pago inmediato", 0, IFERROR(VALUE(MID(E1951, 1, SEARCH(" ", E1951)-1)),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51" s="79">
        <f>IF(AN1951="","",IF(AND(N1951&gt;0, AG1951&gt;0), IF(Configuración!$K$2="NO", "ALERTA: DESCUENTO DOBLE NO PERMITIDO", "OK"), "OK"))</f>
        <v/>
      </c>
      <c r="AR1951" s="79">
        <f>IF(AN1951="","",IF(OR(AO1951&lt;&gt;"OK", AP1951&lt;&gt;"OK", AQ1951&lt;&gt;"OK"), "⚠️ REVISAR", "OK"))</f>
        <v/>
      </c>
    </row>
    <row r="1952">
      <c r="A1952" s="79">
        <f>IF('Ordenes_Odoo'!A1952="","",'Ordenes_Odoo'!A1952)</f>
        <v/>
      </c>
      <c r="B1952" s="80">
        <f>IF('Ordenes_Odoo'!B1952="","",'Ordenes_Odoo'!B1952)</f>
        <v/>
      </c>
      <c r="C1952" s="79">
        <f>IF('Ordenes_Odoo'!C1952="","",'Ordenes_Odoo'!C1952)</f>
        <v/>
      </c>
      <c r="D1952" s="79">
        <f>IF('Ordenes_Odoo'!D1952="","",'Ordenes_Odoo'!D1952)</f>
        <v/>
      </c>
      <c r="E1952" s="79">
        <f>IF('Ordenes_Odoo'!E1952="","",'Ordenes_Odoo'!E1952)</f>
        <v/>
      </c>
      <c r="F1952" s="79">
        <f>IF('Ordenes_Odoo'!F1952="","",'Ordenes_Odoo'!F1952)</f>
        <v/>
      </c>
      <c r="G1952" s="79">
        <f>IF('Ordenes_Odoo'!G1952="","",'Ordenes_Odoo'!G1952)</f>
        <v/>
      </c>
      <c r="H1952" s="79">
        <f>IF('Ordenes_Odoo'!H1952="","",'Ordenes_Odoo'!H1952)</f>
        <v/>
      </c>
      <c r="I1952" s="79">
        <f>IF('Ordenes_Odoo'!I1952="","",'Ordenes_Odoo'!I1952)</f>
        <v/>
      </c>
      <c r="J1952" s="79">
        <f>IF('Ordenes_Odoo'!J1952="","",'Ordenes_Odoo'!J1952)</f>
        <v/>
      </c>
      <c r="K1952" s="81">
        <f>IF('Ordenes_Odoo'!K1952="","",'Ordenes_Odoo'!K1952)</f>
        <v/>
      </c>
      <c r="L1952" s="81">
        <f>IF('Ordenes_Odoo'!L1952="","",'Ordenes_Odoo'!L1952)</f>
        <v/>
      </c>
      <c r="M1952" s="79">
        <f>IF('Ordenes_Odoo'!M1952="","",'Ordenes_Odoo'!M1952)</f>
        <v/>
      </c>
      <c r="N1952" s="79">
        <f>IF('Ordenes_Odoo'!N1952="","",'Ordenes_Odoo'!N1952)</f>
        <v/>
      </c>
      <c r="O1952" s="81">
        <f>IF('Ordenes_Odoo'!O1952="","",'Ordenes_Odoo'!O1952)</f>
        <v/>
      </c>
      <c r="P1952" s="81">
        <f>IF('Ordenes_Odoo'!P1952="","",'Ordenes_Odoo'!P1952)</f>
        <v/>
      </c>
      <c r="Q1952" s="79">
        <f>IF(A1952="","",IFERROR(INDEX(Facturas_Odoo!$B:$B, MATCH(A1952, Facturas_Odoo!$D:$D, 0)), "Sin Factura"))</f>
        <v/>
      </c>
      <c r="R1952" s="80">
        <f>IF(Q1952="Sin Factura","",IFERROR(INDEX(Facturas_Odoo!$A:$A, MATCH(Q1952, Facturas_Odoo!$B:$B, 0)), ""))</f>
        <v/>
      </c>
      <c r="S1952" s="79">
        <f>IF(Q1952="Sin Factura","",IFERROR(_xlfn.XLOOKUP(1, (Facturas_Odoo!$D:$D=A1952) * (Facturas_Odoo!$K:$K=I1952), Facturas_Odoo!$L:$L, ""), ""))</f>
        <v/>
      </c>
      <c r="T1952" s="81">
        <f>IF(Q1952="Sin Factura",0,IFERROR(_xlfn.XLOOKUP(1, (Facturas_Odoo!$D:$D=A1952) * (Facturas_Odoo!$K:$K=I1952), Facturas_Odoo!$M:$M, 0), 0))</f>
        <v/>
      </c>
      <c r="U1952" s="79">
        <f>IF(Q1952="Sin Factura",0,IFERROR(_xlfn.XLOOKUP(1, (Facturas_Odoo!$D:$D=A1952) * (Facturas_Odoo!$K:$K=I1952), Facturas_Odoo!$N:$N, 0), 0))</f>
        <v/>
      </c>
      <c r="V1952" s="79">
        <f>IF(Q1952="Sin Factura",0,IFERROR(_xlfn.XLOOKUP(1, (Facturas_Odoo!$D:$D=A1952) * (Facturas_Odoo!$K:$K=I1952), Facturas_Odoo!$O:$O, 0), 0))</f>
        <v/>
      </c>
      <c r="W1952" s="81">
        <f>IF(Q1952="Sin Factura",0,IFERROR(_xlfn.XLOOKUP(1, (Facturas_Odoo!$D:$D=A1952) * (Facturas_Odoo!$K:$K=I1952), Facturas_Odoo!$Q:$Q, 0), 0))</f>
        <v/>
      </c>
      <c r="X1952" s="79">
        <f>IF(OR(Q1952="Sin Factura",Q1952=""),"",IFERROR(INDEX(Pagos_Odoo!$B:$B, MATCH(Q1952, Pagos_Odoo!$I:$I, 0)), "Sin Pago"))</f>
        <v/>
      </c>
      <c r="Y1952" s="79">
        <f>IF(X1952="Sin Pago","",IFERROR(INDEX(Pagos_Odoo!$C:$C, MATCH(X1952, Pagos_Odoo!$B:$B, 0)), ""))</f>
        <v/>
      </c>
      <c r="Z1952" s="80">
        <f>IF(X1952="Sin Pago","",IFERROR(INDEX(Pagos_Odoo!$A:$A, MATCH(X1952, Pagos_Odoo!$B:$B, 0)), ""))</f>
        <v/>
      </c>
      <c r="AA1952" s="79">
        <f>IF(X1952="Sin Pago","",IFERROR(INDEX(Pagos_Odoo!$F:$F, MATCH(X1952, Pagos_Odoo!$B:$B, 0)), ""))</f>
        <v/>
      </c>
      <c r="AB1952" s="81">
        <f>IF(X1952="Sin Pago",0,IFERROR(INDEX(Pagos_Odoo!$E:$E, MATCH(X1952, Pagos_Odoo!$B:$B, 0)), 0))</f>
        <v/>
      </c>
      <c r="AC1952" s="79">
        <f>IF(X1952="Sin Pago","",IFERROR(INDEX(Pagos_Odoo!$G:$G, MATCH(X1952, Pagos_Odoo!$B:$B, 0)), ""))</f>
        <v/>
      </c>
      <c r="AD1952" s="82" t="n">
        <v>0</v>
      </c>
      <c r="AE1952" s="82" t="n"/>
      <c r="AF1952" s="82" t="n"/>
      <c r="AG1952" s="82">
        <f>IF(AN1952="","",AD1952+AE1952+AF1952)</f>
        <v/>
      </c>
      <c r="AH1952" s="81">
        <f>IF(AN1952="","",P1952*(1-AG1952))</f>
        <v/>
      </c>
      <c r="AI1952" s="81">
        <f>IF(AN1952="","",IF(Q1952="Sin Factura",0,IFERROR(INDEX(Facturas_Odoo!$H:$H, MATCH(Q1952, Facturas_Odoo!$B:$B, 0)), 0)*(1-AG1952)))</f>
        <v/>
      </c>
      <c r="AJ1952" s="81">
        <f>IF(AN1952="","",_xlfn.LET(idVenta, AN1952&amp;"",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52" s="81">
        <f>IF(AN1952="","",AH1952-AJ1952)</f>
        <v/>
      </c>
      <c r="AL1952" s="81">
        <f>IF(AN1952="","",IF(Q1952="Sin Factura","",AI1952-AJ1952))</f>
        <v/>
      </c>
      <c r="AM1952" s="81">
        <f>IF(AN1952="","",IF(Q1952="Sin Factura",0,P1952-IFERROR(INDEX(Facturas_Odoo!$H:$H, MATCH(Q1952, Facturas_Odoo!$B:$B, 0)), 0)))</f>
        <v/>
      </c>
      <c r="AN1952" s="79">
        <f>IF(AND(A1952="", J1952=""), "", IF(A1952&lt;&gt;"", VALUE(MID(A1952,2,LEN(A1952))), AN1951))</f>
        <v/>
      </c>
      <c r="AO1952" s="79">
        <f>IF(AN1952="","",IF(AD1952=0,"OK",_xlfn.LET(monedaPago, IF(AA1952="","USD",AA1952), limitePermitido, IFERROR(VLOOKUP(monedaPago, Configuración!$A$2:$B$3, 2, FALSE), 0.15), IF(AD1952&gt;limitePermitido, "ALERTA: EXCESO (" &amp; TEXT(limitePermitido, "0%") &amp; " máx)", "OK"))))</f>
        <v/>
      </c>
      <c r="AP1952" s="79">
        <f>IF(AN1952="","",IF(AE1952=0,"OK",_xlfn.LET(fechaPago, Z1952, fechaFactura, R1952, diasCredito, IF(E1952="Pago inmediato", 0, IFERROR(VALUE(MID(E1952, 1, SEARCH(" ", E1952)-1)),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52" s="79">
        <f>IF(AN1952="","",IF(AND(N1952&gt;0, AG1952&gt;0), IF(Configuración!$K$2="NO", "ALERTA: DESCUENTO DOBLE NO PERMITIDO", "OK"), "OK"))</f>
        <v/>
      </c>
      <c r="AR1952" s="79">
        <f>IF(AN1952="","",IF(OR(AO1952&lt;&gt;"OK", AP1952&lt;&gt;"OK", AQ1952&lt;&gt;"OK"), "⚠️ REVISAR", "OK"))</f>
        <v/>
      </c>
    </row>
    <row r="1953">
      <c r="A1953" s="79">
        <f>IF('Ordenes_Odoo'!A1953="","",'Ordenes_Odoo'!A1953)</f>
        <v/>
      </c>
      <c r="B1953" s="80">
        <f>IF('Ordenes_Odoo'!B1953="","",'Ordenes_Odoo'!B1953)</f>
        <v/>
      </c>
      <c r="C1953" s="79">
        <f>IF('Ordenes_Odoo'!C1953="","",'Ordenes_Odoo'!C1953)</f>
        <v/>
      </c>
      <c r="D1953" s="79">
        <f>IF('Ordenes_Odoo'!D1953="","",'Ordenes_Odoo'!D1953)</f>
        <v/>
      </c>
      <c r="E1953" s="79">
        <f>IF('Ordenes_Odoo'!E1953="","",'Ordenes_Odoo'!E1953)</f>
        <v/>
      </c>
      <c r="F1953" s="79">
        <f>IF('Ordenes_Odoo'!F1953="","",'Ordenes_Odoo'!F1953)</f>
        <v/>
      </c>
      <c r="G1953" s="79">
        <f>IF('Ordenes_Odoo'!G1953="","",'Ordenes_Odoo'!G1953)</f>
        <v/>
      </c>
      <c r="H1953" s="79">
        <f>IF('Ordenes_Odoo'!H1953="","",'Ordenes_Odoo'!H1953)</f>
        <v/>
      </c>
      <c r="I1953" s="79">
        <f>IF('Ordenes_Odoo'!I1953="","",'Ordenes_Odoo'!I1953)</f>
        <v/>
      </c>
      <c r="J1953" s="79">
        <f>IF('Ordenes_Odoo'!J1953="","",'Ordenes_Odoo'!J1953)</f>
        <v/>
      </c>
      <c r="K1953" s="81">
        <f>IF('Ordenes_Odoo'!K1953="","",'Ordenes_Odoo'!K1953)</f>
        <v/>
      </c>
      <c r="L1953" s="81">
        <f>IF('Ordenes_Odoo'!L1953="","",'Ordenes_Odoo'!L1953)</f>
        <v/>
      </c>
      <c r="M1953" s="79">
        <f>IF('Ordenes_Odoo'!M1953="","",'Ordenes_Odoo'!M1953)</f>
        <v/>
      </c>
      <c r="N1953" s="79">
        <f>IF('Ordenes_Odoo'!N1953="","",'Ordenes_Odoo'!N1953)</f>
        <v/>
      </c>
      <c r="O1953" s="81">
        <f>IF('Ordenes_Odoo'!O1953="","",'Ordenes_Odoo'!O1953)</f>
        <v/>
      </c>
      <c r="P1953" s="81">
        <f>IF('Ordenes_Odoo'!P1953="","",'Ordenes_Odoo'!P1953)</f>
        <v/>
      </c>
      <c r="Q1953" s="79">
        <f>IF(A1953="","",IFERROR(INDEX(Facturas_Odoo!$B:$B, MATCH(A1953, Facturas_Odoo!$D:$D, 0)), "Sin Factura"))</f>
        <v/>
      </c>
      <c r="R1953" s="80">
        <f>IF(Q1953="Sin Factura","",IFERROR(INDEX(Facturas_Odoo!$A:$A, MATCH(Q1953, Facturas_Odoo!$B:$B, 0)), ""))</f>
        <v/>
      </c>
      <c r="S1953" s="79">
        <f>IF(Q1953="Sin Factura","",IFERROR(_xlfn.XLOOKUP(1, (Facturas_Odoo!$D:$D=A1953) * (Facturas_Odoo!$K:$K=I1953), Facturas_Odoo!$L:$L, ""), ""))</f>
        <v/>
      </c>
      <c r="T1953" s="81">
        <f>IF(Q1953="Sin Factura",0,IFERROR(_xlfn.XLOOKUP(1, (Facturas_Odoo!$D:$D=A1953) * (Facturas_Odoo!$K:$K=I1953), Facturas_Odoo!$M:$M, 0), 0))</f>
        <v/>
      </c>
      <c r="U1953" s="79">
        <f>IF(Q1953="Sin Factura",0,IFERROR(_xlfn.XLOOKUP(1, (Facturas_Odoo!$D:$D=A1953) * (Facturas_Odoo!$K:$K=I1953), Facturas_Odoo!$N:$N, 0), 0))</f>
        <v/>
      </c>
      <c r="V1953" s="79">
        <f>IF(Q1953="Sin Factura",0,IFERROR(_xlfn.XLOOKUP(1, (Facturas_Odoo!$D:$D=A1953) * (Facturas_Odoo!$K:$K=I1953), Facturas_Odoo!$O:$O, 0), 0))</f>
        <v/>
      </c>
      <c r="W1953" s="81">
        <f>IF(Q1953="Sin Factura",0,IFERROR(_xlfn.XLOOKUP(1, (Facturas_Odoo!$D:$D=A1953) * (Facturas_Odoo!$K:$K=I1953), Facturas_Odoo!$Q:$Q, 0), 0))</f>
        <v/>
      </c>
      <c r="X1953" s="79">
        <f>IF(OR(Q1953="Sin Factura",Q1953=""),"",IFERROR(INDEX(Pagos_Odoo!$B:$B, MATCH(Q1953, Pagos_Odoo!$I:$I, 0)), "Sin Pago"))</f>
        <v/>
      </c>
      <c r="Y1953" s="79">
        <f>IF(X1953="Sin Pago","",IFERROR(INDEX(Pagos_Odoo!$C:$C, MATCH(X1953, Pagos_Odoo!$B:$B, 0)), ""))</f>
        <v/>
      </c>
      <c r="Z1953" s="80">
        <f>IF(X1953="Sin Pago","",IFERROR(INDEX(Pagos_Odoo!$A:$A, MATCH(X1953, Pagos_Odoo!$B:$B, 0)), ""))</f>
        <v/>
      </c>
      <c r="AA1953" s="79">
        <f>IF(X1953="Sin Pago","",IFERROR(INDEX(Pagos_Odoo!$F:$F, MATCH(X1953, Pagos_Odoo!$B:$B, 0)), ""))</f>
        <v/>
      </c>
      <c r="AB1953" s="81">
        <f>IF(X1953="Sin Pago",0,IFERROR(INDEX(Pagos_Odoo!$E:$E, MATCH(X1953, Pagos_Odoo!$B:$B, 0)), 0))</f>
        <v/>
      </c>
      <c r="AC1953" s="79">
        <f>IF(X1953="Sin Pago","",IFERROR(INDEX(Pagos_Odoo!$G:$G, MATCH(X1953, Pagos_Odoo!$B:$B, 0)), ""))</f>
        <v/>
      </c>
      <c r="AD1953" s="82" t="n">
        <v>0</v>
      </c>
      <c r="AE1953" s="82" t="n"/>
      <c r="AF1953" s="82" t="n"/>
      <c r="AG1953" s="82">
        <f>IF(AN1953="","",AD1953+AE1953+AF1953)</f>
        <v/>
      </c>
      <c r="AH1953" s="81">
        <f>IF(AN1953="","",P1953*(1-AG1953))</f>
        <v/>
      </c>
      <c r="AI1953" s="81">
        <f>IF(AN1953="","",IF(Q1953="Sin Factura",0,IFERROR(INDEX(Facturas_Odoo!$H:$H, MATCH(Q1953, Facturas_Odoo!$B:$B, 0)), 0)*(1-AG1953)))</f>
        <v/>
      </c>
      <c r="AJ1953" s="81">
        <f>IF(AN1953="","",_xlfn.LET(idVenta, AN1953&amp;"",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53" s="81">
        <f>IF(AN1953="","",AH1953-AJ1953)</f>
        <v/>
      </c>
      <c r="AL1953" s="81">
        <f>IF(AN1953="","",IF(Q1953="Sin Factura","",AI1953-AJ1953))</f>
        <v/>
      </c>
      <c r="AM1953" s="81">
        <f>IF(AN1953="","",IF(Q1953="Sin Factura",0,P1953-IFERROR(INDEX(Facturas_Odoo!$H:$H, MATCH(Q1953, Facturas_Odoo!$B:$B, 0)), 0)))</f>
        <v/>
      </c>
      <c r="AN1953" s="79">
        <f>IF(AND(A1953="", J1953=""), "", IF(A1953&lt;&gt;"", VALUE(MID(A1953,2,LEN(A1953))), AN1952))</f>
        <v/>
      </c>
      <c r="AO1953" s="79">
        <f>IF(AN1953="","",IF(AD1953=0,"OK",_xlfn.LET(monedaPago, IF(AA1953="","USD",AA1953), limitePermitido, IFERROR(VLOOKUP(monedaPago, Configuración!$A$2:$B$3, 2, FALSE), 0.15), IF(AD1953&gt;limitePermitido, "ALERTA: EXCESO (" &amp; TEXT(limitePermitido, "0%") &amp; " máx)", "OK"))))</f>
        <v/>
      </c>
      <c r="AP1953" s="79">
        <f>IF(AN1953="","",IF(AE1953=0,"OK",_xlfn.LET(fechaPago, Z1953, fechaFactura, R1953, diasCredito, IF(E1953="Pago inmediato", 0, IFERROR(VALUE(MID(E1953, 1, SEARCH(" ", E1953)-1)),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53" s="79">
        <f>IF(AN1953="","",IF(AND(N1953&gt;0, AG1953&gt;0), IF(Configuración!$K$2="NO", "ALERTA: DESCUENTO DOBLE NO PERMITIDO", "OK"), "OK"))</f>
        <v/>
      </c>
      <c r="AR1953" s="79">
        <f>IF(AN1953="","",IF(OR(AO1953&lt;&gt;"OK", AP1953&lt;&gt;"OK", AQ1953&lt;&gt;"OK"), "⚠️ REVISAR", "OK"))</f>
        <v/>
      </c>
    </row>
    <row r="1954">
      <c r="A1954" s="79">
        <f>IF('Ordenes_Odoo'!A1954="","",'Ordenes_Odoo'!A1954)</f>
        <v/>
      </c>
      <c r="B1954" s="80">
        <f>IF('Ordenes_Odoo'!B1954="","",'Ordenes_Odoo'!B1954)</f>
        <v/>
      </c>
      <c r="C1954" s="79">
        <f>IF('Ordenes_Odoo'!C1954="","",'Ordenes_Odoo'!C1954)</f>
        <v/>
      </c>
      <c r="D1954" s="79">
        <f>IF('Ordenes_Odoo'!D1954="","",'Ordenes_Odoo'!D1954)</f>
        <v/>
      </c>
      <c r="E1954" s="79">
        <f>IF('Ordenes_Odoo'!E1954="","",'Ordenes_Odoo'!E1954)</f>
        <v/>
      </c>
      <c r="F1954" s="79">
        <f>IF('Ordenes_Odoo'!F1954="","",'Ordenes_Odoo'!F1954)</f>
        <v/>
      </c>
      <c r="G1954" s="79">
        <f>IF('Ordenes_Odoo'!G1954="","",'Ordenes_Odoo'!G1954)</f>
        <v/>
      </c>
      <c r="H1954" s="79">
        <f>IF('Ordenes_Odoo'!H1954="","",'Ordenes_Odoo'!H1954)</f>
        <v/>
      </c>
      <c r="I1954" s="79">
        <f>IF('Ordenes_Odoo'!I1954="","",'Ordenes_Odoo'!I1954)</f>
        <v/>
      </c>
      <c r="J1954" s="79">
        <f>IF('Ordenes_Odoo'!J1954="","",'Ordenes_Odoo'!J1954)</f>
        <v/>
      </c>
      <c r="K1954" s="81">
        <f>IF('Ordenes_Odoo'!K1954="","",'Ordenes_Odoo'!K1954)</f>
        <v/>
      </c>
      <c r="L1954" s="81">
        <f>IF('Ordenes_Odoo'!L1954="","",'Ordenes_Odoo'!L1954)</f>
        <v/>
      </c>
      <c r="M1954" s="79">
        <f>IF('Ordenes_Odoo'!M1954="","",'Ordenes_Odoo'!M1954)</f>
        <v/>
      </c>
      <c r="N1954" s="79">
        <f>IF('Ordenes_Odoo'!N1954="","",'Ordenes_Odoo'!N1954)</f>
        <v/>
      </c>
      <c r="O1954" s="81">
        <f>IF('Ordenes_Odoo'!O1954="","",'Ordenes_Odoo'!O1954)</f>
        <v/>
      </c>
      <c r="P1954" s="81">
        <f>IF('Ordenes_Odoo'!P1954="","",'Ordenes_Odoo'!P1954)</f>
        <v/>
      </c>
      <c r="Q1954" s="79">
        <f>IF(A1954="","",IFERROR(INDEX(Facturas_Odoo!$B:$B, MATCH(A1954, Facturas_Odoo!$D:$D, 0)), "Sin Factura"))</f>
        <v/>
      </c>
      <c r="R1954" s="80">
        <f>IF(Q1954="Sin Factura","",IFERROR(INDEX(Facturas_Odoo!$A:$A, MATCH(Q1954, Facturas_Odoo!$B:$B, 0)), ""))</f>
        <v/>
      </c>
      <c r="S1954" s="79">
        <f>IF(Q1954="Sin Factura","",IFERROR(_xlfn.XLOOKUP(1, (Facturas_Odoo!$D:$D=A1954) * (Facturas_Odoo!$K:$K=I1954), Facturas_Odoo!$L:$L, ""), ""))</f>
        <v/>
      </c>
      <c r="T1954" s="81">
        <f>IF(Q1954="Sin Factura",0,IFERROR(_xlfn.XLOOKUP(1, (Facturas_Odoo!$D:$D=A1954) * (Facturas_Odoo!$K:$K=I1954), Facturas_Odoo!$M:$M, 0), 0))</f>
        <v/>
      </c>
      <c r="U1954" s="79">
        <f>IF(Q1954="Sin Factura",0,IFERROR(_xlfn.XLOOKUP(1, (Facturas_Odoo!$D:$D=A1954) * (Facturas_Odoo!$K:$K=I1954), Facturas_Odoo!$N:$N, 0), 0))</f>
        <v/>
      </c>
      <c r="V1954" s="79">
        <f>IF(Q1954="Sin Factura",0,IFERROR(_xlfn.XLOOKUP(1, (Facturas_Odoo!$D:$D=A1954) * (Facturas_Odoo!$K:$K=I1954), Facturas_Odoo!$O:$O, 0), 0))</f>
        <v/>
      </c>
      <c r="W1954" s="81">
        <f>IF(Q1954="Sin Factura",0,IFERROR(_xlfn.XLOOKUP(1, (Facturas_Odoo!$D:$D=A1954) * (Facturas_Odoo!$K:$K=I1954), Facturas_Odoo!$Q:$Q, 0), 0))</f>
        <v/>
      </c>
      <c r="X1954" s="79">
        <f>IF(OR(Q1954="Sin Factura",Q1954=""),"",IFERROR(INDEX(Pagos_Odoo!$B:$B, MATCH(Q1954, Pagos_Odoo!$I:$I, 0)), "Sin Pago"))</f>
        <v/>
      </c>
      <c r="Y1954" s="79">
        <f>IF(X1954="Sin Pago","",IFERROR(INDEX(Pagos_Odoo!$C:$C, MATCH(X1954, Pagos_Odoo!$B:$B, 0)), ""))</f>
        <v/>
      </c>
      <c r="Z1954" s="80">
        <f>IF(X1954="Sin Pago","",IFERROR(INDEX(Pagos_Odoo!$A:$A, MATCH(X1954, Pagos_Odoo!$B:$B, 0)), ""))</f>
        <v/>
      </c>
      <c r="AA1954" s="79">
        <f>IF(X1954="Sin Pago","",IFERROR(INDEX(Pagos_Odoo!$F:$F, MATCH(X1954, Pagos_Odoo!$B:$B, 0)), ""))</f>
        <v/>
      </c>
      <c r="AB1954" s="81">
        <f>IF(X1954="Sin Pago",0,IFERROR(INDEX(Pagos_Odoo!$E:$E, MATCH(X1954, Pagos_Odoo!$B:$B, 0)), 0))</f>
        <v/>
      </c>
      <c r="AC1954" s="79">
        <f>IF(X1954="Sin Pago","",IFERROR(INDEX(Pagos_Odoo!$G:$G, MATCH(X1954, Pagos_Odoo!$B:$B, 0)), ""))</f>
        <v/>
      </c>
      <c r="AD1954" s="82" t="n">
        <v>0</v>
      </c>
      <c r="AE1954" s="82" t="n"/>
      <c r="AF1954" s="82" t="n"/>
      <c r="AG1954" s="82">
        <f>IF(AN1954="","",AD1954+AE1954+AF1954)</f>
        <v/>
      </c>
      <c r="AH1954" s="81">
        <f>IF(AN1954="","",P1954*(1-AG1954))</f>
        <v/>
      </c>
      <c r="AI1954" s="81">
        <f>IF(AN1954="","",IF(Q1954="Sin Factura",0,IFERROR(INDEX(Facturas_Odoo!$H:$H, MATCH(Q1954, Facturas_Odoo!$B:$B, 0)), 0)*(1-AG1954)))</f>
        <v/>
      </c>
      <c r="AJ1954" s="81">
        <f>IF(AN1954="","",_xlfn.LET(idVenta, AN1954&amp;"",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54" s="81">
        <f>IF(AN1954="","",AH1954-AJ1954)</f>
        <v/>
      </c>
      <c r="AL1954" s="81">
        <f>IF(AN1954="","",IF(Q1954="Sin Factura","",AI1954-AJ1954))</f>
        <v/>
      </c>
      <c r="AM1954" s="81">
        <f>IF(AN1954="","",IF(Q1954="Sin Factura",0,P1954-IFERROR(INDEX(Facturas_Odoo!$H:$H, MATCH(Q1954, Facturas_Odoo!$B:$B, 0)), 0)))</f>
        <v/>
      </c>
      <c r="AN1954" s="79">
        <f>IF(AND(A1954="", J1954=""), "", IF(A1954&lt;&gt;"", VALUE(MID(A1954,2,LEN(A1954))), AN1953))</f>
        <v/>
      </c>
      <c r="AO1954" s="79">
        <f>IF(AN1954="","",IF(AD1954=0,"OK",_xlfn.LET(monedaPago, IF(AA1954="","USD",AA1954), limitePermitido, IFERROR(VLOOKUP(monedaPago, Configuración!$A$2:$B$3, 2, FALSE), 0.15), IF(AD1954&gt;limitePermitido, "ALERTA: EXCESO (" &amp; TEXT(limitePermitido, "0%") &amp; " máx)", "OK"))))</f>
        <v/>
      </c>
      <c r="AP1954" s="79">
        <f>IF(AN1954="","",IF(AE1954=0,"OK",_xlfn.LET(fechaPago, Z1954, fechaFactura, R1954, diasCredito, IF(E1954="Pago inmediato", 0, IFERROR(VALUE(MID(E1954, 1, SEARCH(" ", E1954)-1)),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54" s="79">
        <f>IF(AN1954="","",IF(AND(N1954&gt;0, AG1954&gt;0), IF(Configuración!$K$2="NO", "ALERTA: DESCUENTO DOBLE NO PERMITIDO", "OK"), "OK"))</f>
        <v/>
      </c>
      <c r="AR1954" s="79">
        <f>IF(AN1954="","",IF(OR(AO1954&lt;&gt;"OK", AP1954&lt;&gt;"OK", AQ1954&lt;&gt;"OK"), "⚠️ REVISAR", "OK"))</f>
        <v/>
      </c>
    </row>
    <row r="1955">
      <c r="A1955" s="79">
        <f>IF('Ordenes_Odoo'!A1955="","",'Ordenes_Odoo'!A1955)</f>
        <v/>
      </c>
      <c r="B1955" s="80">
        <f>IF('Ordenes_Odoo'!B1955="","",'Ordenes_Odoo'!B1955)</f>
        <v/>
      </c>
      <c r="C1955" s="79">
        <f>IF('Ordenes_Odoo'!C1955="","",'Ordenes_Odoo'!C1955)</f>
        <v/>
      </c>
      <c r="D1955" s="79">
        <f>IF('Ordenes_Odoo'!D1955="","",'Ordenes_Odoo'!D1955)</f>
        <v/>
      </c>
      <c r="E1955" s="79">
        <f>IF('Ordenes_Odoo'!E1955="","",'Ordenes_Odoo'!E1955)</f>
        <v/>
      </c>
      <c r="F1955" s="79">
        <f>IF('Ordenes_Odoo'!F1955="","",'Ordenes_Odoo'!F1955)</f>
        <v/>
      </c>
      <c r="G1955" s="79">
        <f>IF('Ordenes_Odoo'!G1955="","",'Ordenes_Odoo'!G1955)</f>
        <v/>
      </c>
      <c r="H1955" s="79">
        <f>IF('Ordenes_Odoo'!H1955="","",'Ordenes_Odoo'!H1955)</f>
        <v/>
      </c>
      <c r="I1955" s="79">
        <f>IF('Ordenes_Odoo'!I1955="","",'Ordenes_Odoo'!I1955)</f>
        <v/>
      </c>
      <c r="J1955" s="79">
        <f>IF('Ordenes_Odoo'!J1955="","",'Ordenes_Odoo'!J1955)</f>
        <v/>
      </c>
      <c r="K1955" s="81">
        <f>IF('Ordenes_Odoo'!K1955="","",'Ordenes_Odoo'!K1955)</f>
        <v/>
      </c>
      <c r="L1955" s="81">
        <f>IF('Ordenes_Odoo'!L1955="","",'Ordenes_Odoo'!L1955)</f>
        <v/>
      </c>
      <c r="M1955" s="79">
        <f>IF('Ordenes_Odoo'!M1955="","",'Ordenes_Odoo'!M1955)</f>
        <v/>
      </c>
      <c r="N1955" s="79">
        <f>IF('Ordenes_Odoo'!N1955="","",'Ordenes_Odoo'!N1955)</f>
        <v/>
      </c>
      <c r="O1955" s="81">
        <f>IF('Ordenes_Odoo'!O1955="","",'Ordenes_Odoo'!O1955)</f>
        <v/>
      </c>
      <c r="P1955" s="81">
        <f>IF('Ordenes_Odoo'!P1955="","",'Ordenes_Odoo'!P1955)</f>
        <v/>
      </c>
      <c r="Q1955" s="79">
        <f>IF(A1955="","",IFERROR(INDEX(Facturas_Odoo!$B:$B, MATCH(A1955, Facturas_Odoo!$D:$D, 0)), "Sin Factura"))</f>
        <v/>
      </c>
      <c r="R1955" s="80">
        <f>IF(Q1955="Sin Factura","",IFERROR(INDEX(Facturas_Odoo!$A:$A, MATCH(Q1955, Facturas_Odoo!$B:$B, 0)), ""))</f>
        <v/>
      </c>
      <c r="S1955" s="79">
        <f>IF(Q1955="Sin Factura","",IFERROR(_xlfn.XLOOKUP(1, (Facturas_Odoo!$D:$D=A1955) * (Facturas_Odoo!$K:$K=I1955), Facturas_Odoo!$L:$L, ""), ""))</f>
        <v/>
      </c>
      <c r="T1955" s="81">
        <f>IF(Q1955="Sin Factura",0,IFERROR(_xlfn.XLOOKUP(1, (Facturas_Odoo!$D:$D=A1955) * (Facturas_Odoo!$K:$K=I1955), Facturas_Odoo!$M:$M, 0), 0))</f>
        <v/>
      </c>
      <c r="U1955" s="79">
        <f>IF(Q1955="Sin Factura",0,IFERROR(_xlfn.XLOOKUP(1, (Facturas_Odoo!$D:$D=A1955) * (Facturas_Odoo!$K:$K=I1955), Facturas_Odoo!$N:$N, 0), 0))</f>
        <v/>
      </c>
      <c r="V1955" s="79">
        <f>IF(Q1955="Sin Factura",0,IFERROR(_xlfn.XLOOKUP(1, (Facturas_Odoo!$D:$D=A1955) * (Facturas_Odoo!$K:$K=I1955), Facturas_Odoo!$O:$O, 0), 0))</f>
        <v/>
      </c>
      <c r="W1955" s="81">
        <f>IF(Q1955="Sin Factura",0,IFERROR(_xlfn.XLOOKUP(1, (Facturas_Odoo!$D:$D=A1955) * (Facturas_Odoo!$K:$K=I1955), Facturas_Odoo!$Q:$Q, 0), 0))</f>
        <v/>
      </c>
      <c r="X1955" s="79">
        <f>IF(OR(Q1955="Sin Factura",Q1955=""),"",IFERROR(INDEX(Pagos_Odoo!$B:$B, MATCH(Q1955, Pagos_Odoo!$I:$I, 0)), "Sin Pago"))</f>
        <v/>
      </c>
      <c r="Y1955" s="79">
        <f>IF(X1955="Sin Pago","",IFERROR(INDEX(Pagos_Odoo!$C:$C, MATCH(X1955, Pagos_Odoo!$B:$B, 0)), ""))</f>
        <v/>
      </c>
      <c r="Z1955" s="80">
        <f>IF(X1955="Sin Pago","",IFERROR(INDEX(Pagos_Odoo!$A:$A, MATCH(X1955, Pagos_Odoo!$B:$B, 0)), ""))</f>
        <v/>
      </c>
      <c r="AA1955" s="79">
        <f>IF(X1955="Sin Pago","",IFERROR(INDEX(Pagos_Odoo!$F:$F, MATCH(X1955, Pagos_Odoo!$B:$B, 0)), ""))</f>
        <v/>
      </c>
      <c r="AB1955" s="81">
        <f>IF(X1955="Sin Pago",0,IFERROR(INDEX(Pagos_Odoo!$E:$E, MATCH(X1955, Pagos_Odoo!$B:$B, 0)), 0))</f>
        <v/>
      </c>
      <c r="AC1955" s="79">
        <f>IF(X1955="Sin Pago","",IFERROR(INDEX(Pagos_Odoo!$G:$G, MATCH(X1955, Pagos_Odoo!$B:$B, 0)), ""))</f>
        <v/>
      </c>
      <c r="AD1955" s="82" t="n">
        <v>0</v>
      </c>
      <c r="AE1955" s="82" t="n"/>
      <c r="AF1955" s="82" t="n"/>
      <c r="AG1955" s="82">
        <f>IF(AN1955="","",AD1955+AE1955+AF1955)</f>
        <v/>
      </c>
      <c r="AH1955" s="81">
        <f>IF(AN1955="","",P1955*(1-AG1955))</f>
        <v/>
      </c>
      <c r="AI1955" s="81">
        <f>IF(AN1955="","",IF(Q1955="Sin Factura",0,IFERROR(INDEX(Facturas_Odoo!$H:$H, MATCH(Q1955, Facturas_Odoo!$B:$B, 0)), 0)*(1-AG1955)))</f>
        <v/>
      </c>
      <c r="AJ1955" s="81">
        <f>IF(AN1955="","",_xlfn.LET(idVenta, AN1955&amp;"",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55" s="81">
        <f>IF(AN1955="","",AH1955-AJ1955)</f>
        <v/>
      </c>
      <c r="AL1955" s="81">
        <f>IF(AN1955="","",IF(Q1955="Sin Factura","",AI1955-AJ1955))</f>
        <v/>
      </c>
      <c r="AM1955" s="81">
        <f>IF(AN1955="","",IF(Q1955="Sin Factura",0,P1955-IFERROR(INDEX(Facturas_Odoo!$H:$H, MATCH(Q1955, Facturas_Odoo!$B:$B, 0)), 0)))</f>
        <v/>
      </c>
      <c r="AN1955" s="79">
        <f>IF(AND(A1955="", J1955=""), "", IF(A1955&lt;&gt;"", VALUE(MID(A1955,2,LEN(A1955))), AN1954))</f>
        <v/>
      </c>
      <c r="AO1955" s="79">
        <f>IF(AN1955="","",IF(AD1955=0,"OK",_xlfn.LET(monedaPago, IF(AA1955="","USD",AA1955), limitePermitido, IFERROR(VLOOKUP(monedaPago, Configuración!$A$2:$B$3, 2, FALSE), 0.15), IF(AD1955&gt;limitePermitido, "ALERTA: EXCESO (" &amp; TEXT(limitePermitido, "0%") &amp; " máx)", "OK"))))</f>
        <v/>
      </c>
      <c r="AP1955" s="79">
        <f>IF(AN1955="","",IF(AE1955=0,"OK",_xlfn.LET(fechaPago, Z1955, fechaFactura, R1955, diasCredito, IF(E1955="Pago inmediato", 0, IFERROR(VALUE(MID(E1955, 1, SEARCH(" ", E1955)-1)),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55" s="79">
        <f>IF(AN1955="","",IF(AND(N1955&gt;0, AG1955&gt;0), IF(Configuración!$K$2="NO", "ALERTA: DESCUENTO DOBLE NO PERMITIDO", "OK"), "OK"))</f>
        <v/>
      </c>
      <c r="AR1955" s="79">
        <f>IF(AN1955="","",IF(OR(AO1955&lt;&gt;"OK", AP1955&lt;&gt;"OK", AQ1955&lt;&gt;"OK"), "⚠️ REVISAR", "OK"))</f>
        <v/>
      </c>
    </row>
    <row r="1956">
      <c r="A1956" s="79">
        <f>IF('Ordenes_Odoo'!A1956="","",'Ordenes_Odoo'!A1956)</f>
        <v/>
      </c>
      <c r="B1956" s="80">
        <f>IF('Ordenes_Odoo'!B1956="","",'Ordenes_Odoo'!B1956)</f>
        <v/>
      </c>
      <c r="C1956" s="79">
        <f>IF('Ordenes_Odoo'!C1956="","",'Ordenes_Odoo'!C1956)</f>
        <v/>
      </c>
      <c r="D1956" s="79">
        <f>IF('Ordenes_Odoo'!D1956="","",'Ordenes_Odoo'!D1956)</f>
        <v/>
      </c>
      <c r="E1956" s="79">
        <f>IF('Ordenes_Odoo'!E1956="","",'Ordenes_Odoo'!E1956)</f>
        <v/>
      </c>
      <c r="F1956" s="79">
        <f>IF('Ordenes_Odoo'!F1956="","",'Ordenes_Odoo'!F1956)</f>
        <v/>
      </c>
      <c r="G1956" s="79">
        <f>IF('Ordenes_Odoo'!G1956="","",'Ordenes_Odoo'!G1956)</f>
        <v/>
      </c>
      <c r="H1956" s="79">
        <f>IF('Ordenes_Odoo'!H1956="","",'Ordenes_Odoo'!H1956)</f>
        <v/>
      </c>
      <c r="I1956" s="79">
        <f>IF('Ordenes_Odoo'!I1956="","",'Ordenes_Odoo'!I1956)</f>
        <v/>
      </c>
      <c r="J1956" s="79">
        <f>IF('Ordenes_Odoo'!J1956="","",'Ordenes_Odoo'!J1956)</f>
        <v/>
      </c>
      <c r="K1956" s="81">
        <f>IF('Ordenes_Odoo'!K1956="","",'Ordenes_Odoo'!K1956)</f>
        <v/>
      </c>
      <c r="L1956" s="81">
        <f>IF('Ordenes_Odoo'!L1956="","",'Ordenes_Odoo'!L1956)</f>
        <v/>
      </c>
      <c r="M1956" s="79">
        <f>IF('Ordenes_Odoo'!M1956="","",'Ordenes_Odoo'!M1956)</f>
        <v/>
      </c>
      <c r="N1956" s="79">
        <f>IF('Ordenes_Odoo'!N1956="","",'Ordenes_Odoo'!N1956)</f>
        <v/>
      </c>
      <c r="O1956" s="81">
        <f>IF('Ordenes_Odoo'!O1956="","",'Ordenes_Odoo'!O1956)</f>
        <v/>
      </c>
      <c r="P1956" s="81">
        <f>IF('Ordenes_Odoo'!P1956="","",'Ordenes_Odoo'!P1956)</f>
        <v/>
      </c>
      <c r="Q1956" s="79">
        <f>IF(A1956="","",IFERROR(INDEX(Facturas_Odoo!$B:$B, MATCH(A1956, Facturas_Odoo!$D:$D, 0)), "Sin Factura"))</f>
        <v/>
      </c>
      <c r="R1956" s="80">
        <f>IF(Q1956="Sin Factura","",IFERROR(INDEX(Facturas_Odoo!$A:$A, MATCH(Q1956, Facturas_Odoo!$B:$B, 0)), ""))</f>
        <v/>
      </c>
      <c r="S1956" s="79">
        <f>IF(Q1956="Sin Factura","",IFERROR(_xlfn.XLOOKUP(1, (Facturas_Odoo!$D:$D=A1956) * (Facturas_Odoo!$K:$K=I1956), Facturas_Odoo!$L:$L, ""), ""))</f>
        <v/>
      </c>
      <c r="T1956" s="81">
        <f>IF(Q1956="Sin Factura",0,IFERROR(_xlfn.XLOOKUP(1, (Facturas_Odoo!$D:$D=A1956) * (Facturas_Odoo!$K:$K=I1956), Facturas_Odoo!$M:$M, 0), 0))</f>
        <v/>
      </c>
      <c r="U1956" s="79">
        <f>IF(Q1956="Sin Factura",0,IFERROR(_xlfn.XLOOKUP(1, (Facturas_Odoo!$D:$D=A1956) * (Facturas_Odoo!$K:$K=I1956), Facturas_Odoo!$N:$N, 0), 0))</f>
        <v/>
      </c>
      <c r="V1956" s="79">
        <f>IF(Q1956="Sin Factura",0,IFERROR(_xlfn.XLOOKUP(1, (Facturas_Odoo!$D:$D=A1956) * (Facturas_Odoo!$K:$K=I1956), Facturas_Odoo!$O:$O, 0), 0))</f>
        <v/>
      </c>
      <c r="W1956" s="81">
        <f>IF(Q1956="Sin Factura",0,IFERROR(_xlfn.XLOOKUP(1, (Facturas_Odoo!$D:$D=A1956) * (Facturas_Odoo!$K:$K=I1956), Facturas_Odoo!$Q:$Q, 0), 0))</f>
        <v/>
      </c>
      <c r="X1956" s="79">
        <f>IF(OR(Q1956="Sin Factura",Q1956=""),"",IFERROR(INDEX(Pagos_Odoo!$B:$B, MATCH(Q1956, Pagos_Odoo!$I:$I, 0)), "Sin Pago"))</f>
        <v/>
      </c>
      <c r="Y1956" s="79">
        <f>IF(X1956="Sin Pago","",IFERROR(INDEX(Pagos_Odoo!$C:$C, MATCH(X1956, Pagos_Odoo!$B:$B, 0)), ""))</f>
        <v/>
      </c>
      <c r="Z1956" s="80">
        <f>IF(X1956="Sin Pago","",IFERROR(INDEX(Pagos_Odoo!$A:$A, MATCH(X1956, Pagos_Odoo!$B:$B, 0)), ""))</f>
        <v/>
      </c>
      <c r="AA1956" s="79">
        <f>IF(X1956="Sin Pago","",IFERROR(INDEX(Pagos_Odoo!$F:$F, MATCH(X1956, Pagos_Odoo!$B:$B, 0)), ""))</f>
        <v/>
      </c>
      <c r="AB1956" s="81">
        <f>IF(X1956="Sin Pago",0,IFERROR(INDEX(Pagos_Odoo!$E:$E, MATCH(X1956, Pagos_Odoo!$B:$B, 0)), 0))</f>
        <v/>
      </c>
      <c r="AC1956" s="79">
        <f>IF(X1956="Sin Pago","",IFERROR(INDEX(Pagos_Odoo!$G:$G, MATCH(X1956, Pagos_Odoo!$B:$B, 0)), ""))</f>
        <v/>
      </c>
      <c r="AD1956" s="82" t="n">
        <v>0</v>
      </c>
      <c r="AE1956" s="82" t="n"/>
      <c r="AF1956" s="82" t="n"/>
      <c r="AG1956" s="82">
        <f>IF(AN1956="","",AD1956+AE1956+AF1956)</f>
        <v/>
      </c>
      <c r="AH1956" s="81">
        <f>IF(AN1956="","",P1956*(1-AG1956))</f>
        <v/>
      </c>
      <c r="AI1956" s="81">
        <f>IF(AN1956="","",IF(Q1956="Sin Factura",0,IFERROR(INDEX(Facturas_Odoo!$H:$H, MATCH(Q1956, Facturas_Odoo!$B:$B, 0)), 0)*(1-AG1956)))</f>
        <v/>
      </c>
      <c r="AJ1956" s="81">
        <f>IF(AN1956="","",_xlfn.LET(idVenta, AN1956&amp;"",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56" s="81">
        <f>IF(AN1956="","",AH1956-AJ1956)</f>
        <v/>
      </c>
      <c r="AL1956" s="81">
        <f>IF(AN1956="","",IF(Q1956="Sin Factura","",AI1956-AJ1956))</f>
        <v/>
      </c>
      <c r="AM1956" s="81">
        <f>IF(AN1956="","",IF(Q1956="Sin Factura",0,P1956-IFERROR(INDEX(Facturas_Odoo!$H:$H, MATCH(Q1956, Facturas_Odoo!$B:$B, 0)), 0)))</f>
        <v/>
      </c>
      <c r="AN1956" s="79">
        <f>IF(AND(A1956="", J1956=""), "", IF(A1956&lt;&gt;"", VALUE(MID(A1956,2,LEN(A1956))), AN1955))</f>
        <v/>
      </c>
      <c r="AO1956" s="79">
        <f>IF(AN1956="","",IF(AD1956=0,"OK",_xlfn.LET(monedaPago, IF(AA1956="","USD",AA1956), limitePermitido, IFERROR(VLOOKUP(monedaPago, Configuración!$A$2:$B$3, 2, FALSE), 0.15), IF(AD1956&gt;limitePermitido, "ALERTA: EXCESO (" &amp; TEXT(limitePermitido, "0%") &amp; " máx)", "OK"))))</f>
        <v/>
      </c>
      <c r="AP1956" s="79">
        <f>IF(AN1956="","",IF(AE1956=0,"OK",_xlfn.LET(fechaPago, Z1956, fechaFactura, R1956, diasCredito, IF(E1956="Pago inmediato", 0, IFERROR(VALUE(MID(E1956, 1, SEARCH(" ", E1956)-1)),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56" s="79">
        <f>IF(AN1956="","",IF(AND(N1956&gt;0, AG1956&gt;0), IF(Configuración!$K$2="NO", "ALERTA: DESCUENTO DOBLE NO PERMITIDO", "OK"), "OK"))</f>
        <v/>
      </c>
      <c r="AR1956" s="79">
        <f>IF(AN1956="","",IF(OR(AO1956&lt;&gt;"OK", AP1956&lt;&gt;"OK", AQ1956&lt;&gt;"OK"), "⚠️ REVISAR", "OK"))</f>
        <v/>
      </c>
    </row>
    <row r="1957">
      <c r="A1957" s="79">
        <f>IF('Ordenes_Odoo'!A1957="","",'Ordenes_Odoo'!A1957)</f>
        <v/>
      </c>
      <c r="B1957" s="80">
        <f>IF('Ordenes_Odoo'!B1957="","",'Ordenes_Odoo'!B1957)</f>
        <v/>
      </c>
      <c r="C1957" s="79">
        <f>IF('Ordenes_Odoo'!C1957="","",'Ordenes_Odoo'!C1957)</f>
        <v/>
      </c>
      <c r="D1957" s="79">
        <f>IF('Ordenes_Odoo'!D1957="","",'Ordenes_Odoo'!D1957)</f>
        <v/>
      </c>
      <c r="E1957" s="79">
        <f>IF('Ordenes_Odoo'!E1957="","",'Ordenes_Odoo'!E1957)</f>
        <v/>
      </c>
      <c r="F1957" s="79">
        <f>IF('Ordenes_Odoo'!F1957="","",'Ordenes_Odoo'!F1957)</f>
        <v/>
      </c>
      <c r="G1957" s="79">
        <f>IF('Ordenes_Odoo'!G1957="","",'Ordenes_Odoo'!G1957)</f>
        <v/>
      </c>
      <c r="H1957" s="79">
        <f>IF('Ordenes_Odoo'!H1957="","",'Ordenes_Odoo'!H1957)</f>
        <v/>
      </c>
      <c r="I1957" s="79">
        <f>IF('Ordenes_Odoo'!I1957="","",'Ordenes_Odoo'!I1957)</f>
        <v/>
      </c>
      <c r="J1957" s="79">
        <f>IF('Ordenes_Odoo'!J1957="","",'Ordenes_Odoo'!J1957)</f>
        <v/>
      </c>
      <c r="K1957" s="81">
        <f>IF('Ordenes_Odoo'!K1957="","",'Ordenes_Odoo'!K1957)</f>
        <v/>
      </c>
      <c r="L1957" s="81">
        <f>IF('Ordenes_Odoo'!L1957="","",'Ordenes_Odoo'!L1957)</f>
        <v/>
      </c>
      <c r="M1957" s="79">
        <f>IF('Ordenes_Odoo'!M1957="","",'Ordenes_Odoo'!M1957)</f>
        <v/>
      </c>
      <c r="N1957" s="79">
        <f>IF('Ordenes_Odoo'!N1957="","",'Ordenes_Odoo'!N1957)</f>
        <v/>
      </c>
      <c r="O1957" s="81">
        <f>IF('Ordenes_Odoo'!O1957="","",'Ordenes_Odoo'!O1957)</f>
        <v/>
      </c>
      <c r="P1957" s="81">
        <f>IF('Ordenes_Odoo'!P1957="","",'Ordenes_Odoo'!P1957)</f>
        <v/>
      </c>
      <c r="Q1957" s="79">
        <f>IF(A1957="","",IFERROR(INDEX(Facturas_Odoo!$B:$B, MATCH(A1957, Facturas_Odoo!$D:$D, 0)), "Sin Factura"))</f>
        <v/>
      </c>
      <c r="R1957" s="80">
        <f>IF(Q1957="Sin Factura","",IFERROR(INDEX(Facturas_Odoo!$A:$A, MATCH(Q1957, Facturas_Odoo!$B:$B, 0)), ""))</f>
        <v/>
      </c>
      <c r="S1957" s="79">
        <f>IF(Q1957="Sin Factura","",IFERROR(_xlfn.XLOOKUP(1, (Facturas_Odoo!$D:$D=A1957) * (Facturas_Odoo!$K:$K=I1957), Facturas_Odoo!$L:$L, ""), ""))</f>
        <v/>
      </c>
      <c r="T1957" s="81">
        <f>IF(Q1957="Sin Factura",0,IFERROR(_xlfn.XLOOKUP(1, (Facturas_Odoo!$D:$D=A1957) * (Facturas_Odoo!$K:$K=I1957), Facturas_Odoo!$M:$M, 0), 0))</f>
        <v/>
      </c>
      <c r="U1957" s="79">
        <f>IF(Q1957="Sin Factura",0,IFERROR(_xlfn.XLOOKUP(1, (Facturas_Odoo!$D:$D=A1957) * (Facturas_Odoo!$K:$K=I1957), Facturas_Odoo!$N:$N, 0), 0))</f>
        <v/>
      </c>
      <c r="V1957" s="79">
        <f>IF(Q1957="Sin Factura",0,IFERROR(_xlfn.XLOOKUP(1, (Facturas_Odoo!$D:$D=A1957) * (Facturas_Odoo!$K:$K=I1957), Facturas_Odoo!$O:$O, 0), 0))</f>
        <v/>
      </c>
      <c r="W1957" s="81">
        <f>IF(Q1957="Sin Factura",0,IFERROR(_xlfn.XLOOKUP(1, (Facturas_Odoo!$D:$D=A1957) * (Facturas_Odoo!$K:$K=I1957), Facturas_Odoo!$Q:$Q, 0), 0))</f>
        <v/>
      </c>
      <c r="X1957" s="79">
        <f>IF(OR(Q1957="Sin Factura",Q1957=""),"",IFERROR(INDEX(Pagos_Odoo!$B:$B, MATCH(Q1957, Pagos_Odoo!$I:$I, 0)), "Sin Pago"))</f>
        <v/>
      </c>
      <c r="Y1957" s="79">
        <f>IF(X1957="Sin Pago","",IFERROR(INDEX(Pagos_Odoo!$C:$C, MATCH(X1957, Pagos_Odoo!$B:$B, 0)), ""))</f>
        <v/>
      </c>
      <c r="Z1957" s="80">
        <f>IF(X1957="Sin Pago","",IFERROR(INDEX(Pagos_Odoo!$A:$A, MATCH(X1957, Pagos_Odoo!$B:$B, 0)), ""))</f>
        <v/>
      </c>
      <c r="AA1957" s="79">
        <f>IF(X1957="Sin Pago","",IFERROR(INDEX(Pagos_Odoo!$F:$F, MATCH(X1957, Pagos_Odoo!$B:$B, 0)), ""))</f>
        <v/>
      </c>
      <c r="AB1957" s="81">
        <f>IF(X1957="Sin Pago",0,IFERROR(INDEX(Pagos_Odoo!$E:$E, MATCH(X1957, Pagos_Odoo!$B:$B, 0)), 0))</f>
        <v/>
      </c>
      <c r="AC1957" s="79">
        <f>IF(X1957="Sin Pago","",IFERROR(INDEX(Pagos_Odoo!$G:$G, MATCH(X1957, Pagos_Odoo!$B:$B, 0)), ""))</f>
        <v/>
      </c>
      <c r="AD1957" s="82" t="n">
        <v>0</v>
      </c>
      <c r="AE1957" s="82" t="n"/>
      <c r="AF1957" s="82" t="n"/>
      <c r="AG1957" s="82">
        <f>IF(AN1957="","",AD1957+AE1957+AF1957)</f>
        <v/>
      </c>
      <c r="AH1957" s="81">
        <f>IF(AN1957="","",P1957*(1-AG1957))</f>
        <v/>
      </c>
      <c r="AI1957" s="81">
        <f>IF(AN1957="","",IF(Q1957="Sin Factura",0,IFERROR(INDEX(Facturas_Odoo!$H:$H, MATCH(Q1957, Facturas_Odoo!$B:$B, 0)), 0)*(1-AG1957)))</f>
        <v/>
      </c>
      <c r="AJ1957" s="81">
        <f>IF(AN1957="","",_xlfn.LET(idVenta, AN1957&amp;"",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57" s="81">
        <f>IF(AN1957="","",AH1957-AJ1957)</f>
        <v/>
      </c>
      <c r="AL1957" s="81">
        <f>IF(AN1957="","",IF(Q1957="Sin Factura","",AI1957-AJ1957))</f>
        <v/>
      </c>
      <c r="AM1957" s="81">
        <f>IF(AN1957="","",IF(Q1957="Sin Factura",0,P1957-IFERROR(INDEX(Facturas_Odoo!$H:$H, MATCH(Q1957, Facturas_Odoo!$B:$B, 0)), 0)))</f>
        <v/>
      </c>
      <c r="AN1957" s="79">
        <f>IF(AND(A1957="", J1957=""), "", IF(A1957&lt;&gt;"", VALUE(MID(A1957,2,LEN(A1957))), AN1956))</f>
        <v/>
      </c>
      <c r="AO1957" s="79">
        <f>IF(AN1957="","",IF(AD1957=0,"OK",_xlfn.LET(monedaPago, IF(AA1957="","USD",AA1957), limitePermitido, IFERROR(VLOOKUP(monedaPago, Configuración!$A$2:$B$3, 2, FALSE), 0.15), IF(AD1957&gt;limitePermitido, "ALERTA: EXCESO (" &amp; TEXT(limitePermitido, "0%") &amp; " máx)", "OK"))))</f>
        <v/>
      </c>
      <c r="AP1957" s="79">
        <f>IF(AN1957="","",IF(AE1957=0,"OK",_xlfn.LET(fechaPago, Z1957, fechaFactura, R1957, diasCredito, IF(E1957="Pago inmediato", 0, IFERROR(VALUE(MID(E1957, 1, SEARCH(" ", E1957)-1)),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57" s="79">
        <f>IF(AN1957="","",IF(AND(N1957&gt;0, AG1957&gt;0), IF(Configuración!$K$2="NO", "ALERTA: DESCUENTO DOBLE NO PERMITIDO", "OK"), "OK"))</f>
        <v/>
      </c>
      <c r="AR1957" s="79">
        <f>IF(AN1957="","",IF(OR(AO1957&lt;&gt;"OK", AP1957&lt;&gt;"OK", AQ1957&lt;&gt;"OK"), "⚠️ REVISAR", "OK"))</f>
        <v/>
      </c>
    </row>
    <row r="1958">
      <c r="A1958" s="79">
        <f>IF('Ordenes_Odoo'!A1958="","",'Ordenes_Odoo'!A1958)</f>
        <v/>
      </c>
      <c r="B1958" s="80">
        <f>IF('Ordenes_Odoo'!B1958="","",'Ordenes_Odoo'!B1958)</f>
        <v/>
      </c>
      <c r="C1958" s="79">
        <f>IF('Ordenes_Odoo'!C1958="","",'Ordenes_Odoo'!C1958)</f>
        <v/>
      </c>
      <c r="D1958" s="79">
        <f>IF('Ordenes_Odoo'!D1958="","",'Ordenes_Odoo'!D1958)</f>
        <v/>
      </c>
      <c r="E1958" s="79">
        <f>IF('Ordenes_Odoo'!E1958="","",'Ordenes_Odoo'!E1958)</f>
        <v/>
      </c>
      <c r="F1958" s="79">
        <f>IF('Ordenes_Odoo'!F1958="","",'Ordenes_Odoo'!F1958)</f>
        <v/>
      </c>
      <c r="G1958" s="79">
        <f>IF('Ordenes_Odoo'!G1958="","",'Ordenes_Odoo'!G1958)</f>
        <v/>
      </c>
      <c r="H1958" s="79">
        <f>IF('Ordenes_Odoo'!H1958="","",'Ordenes_Odoo'!H1958)</f>
        <v/>
      </c>
      <c r="I1958" s="79">
        <f>IF('Ordenes_Odoo'!I1958="","",'Ordenes_Odoo'!I1958)</f>
        <v/>
      </c>
      <c r="J1958" s="79">
        <f>IF('Ordenes_Odoo'!J1958="","",'Ordenes_Odoo'!J1958)</f>
        <v/>
      </c>
      <c r="K1958" s="81">
        <f>IF('Ordenes_Odoo'!K1958="","",'Ordenes_Odoo'!K1958)</f>
        <v/>
      </c>
      <c r="L1958" s="81">
        <f>IF('Ordenes_Odoo'!L1958="","",'Ordenes_Odoo'!L1958)</f>
        <v/>
      </c>
      <c r="M1958" s="79">
        <f>IF('Ordenes_Odoo'!M1958="","",'Ordenes_Odoo'!M1958)</f>
        <v/>
      </c>
      <c r="N1958" s="79">
        <f>IF('Ordenes_Odoo'!N1958="","",'Ordenes_Odoo'!N1958)</f>
        <v/>
      </c>
      <c r="O1958" s="81">
        <f>IF('Ordenes_Odoo'!O1958="","",'Ordenes_Odoo'!O1958)</f>
        <v/>
      </c>
      <c r="P1958" s="81">
        <f>IF('Ordenes_Odoo'!P1958="","",'Ordenes_Odoo'!P1958)</f>
        <v/>
      </c>
      <c r="Q1958" s="79">
        <f>IF(A1958="","",IFERROR(INDEX(Facturas_Odoo!$B:$B, MATCH(A1958, Facturas_Odoo!$D:$D, 0)), "Sin Factura"))</f>
        <v/>
      </c>
      <c r="R1958" s="80">
        <f>IF(Q1958="Sin Factura","",IFERROR(INDEX(Facturas_Odoo!$A:$A, MATCH(Q1958, Facturas_Odoo!$B:$B, 0)), ""))</f>
        <v/>
      </c>
      <c r="S1958" s="79">
        <f>IF(Q1958="Sin Factura","",IFERROR(_xlfn.XLOOKUP(1, (Facturas_Odoo!$D:$D=A1958) * (Facturas_Odoo!$K:$K=I1958), Facturas_Odoo!$L:$L, ""), ""))</f>
        <v/>
      </c>
      <c r="T1958" s="81">
        <f>IF(Q1958="Sin Factura",0,IFERROR(_xlfn.XLOOKUP(1, (Facturas_Odoo!$D:$D=A1958) * (Facturas_Odoo!$K:$K=I1958), Facturas_Odoo!$M:$M, 0), 0))</f>
        <v/>
      </c>
      <c r="U1958" s="79">
        <f>IF(Q1958="Sin Factura",0,IFERROR(_xlfn.XLOOKUP(1, (Facturas_Odoo!$D:$D=A1958) * (Facturas_Odoo!$K:$K=I1958), Facturas_Odoo!$N:$N, 0), 0))</f>
        <v/>
      </c>
      <c r="V1958" s="79">
        <f>IF(Q1958="Sin Factura",0,IFERROR(_xlfn.XLOOKUP(1, (Facturas_Odoo!$D:$D=A1958) * (Facturas_Odoo!$K:$K=I1958), Facturas_Odoo!$O:$O, 0), 0))</f>
        <v/>
      </c>
      <c r="W1958" s="81">
        <f>IF(Q1958="Sin Factura",0,IFERROR(_xlfn.XLOOKUP(1, (Facturas_Odoo!$D:$D=A1958) * (Facturas_Odoo!$K:$K=I1958), Facturas_Odoo!$Q:$Q, 0), 0))</f>
        <v/>
      </c>
      <c r="X1958" s="79">
        <f>IF(OR(Q1958="Sin Factura",Q1958=""),"",IFERROR(INDEX(Pagos_Odoo!$B:$B, MATCH(Q1958, Pagos_Odoo!$I:$I, 0)), "Sin Pago"))</f>
        <v/>
      </c>
      <c r="Y1958" s="79">
        <f>IF(X1958="Sin Pago","",IFERROR(INDEX(Pagos_Odoo!$C:$C, MATCH(X1958, Pagos_Odoo!$B:$B, 0)), ""))</f>
        <v/>
      </c>
      <c r="Z1958" s="80">
        <f>IF(X1958="Sin Pago","",IFERROR(INDEX(Pagos_Odoo!$A:$A, MATCH(X1958, Pagos_Odoo!$B:$B, 0)), ""))</f>
        <v/>
      </c>
      <c r="AA1958" s="79">
        <f>IF(X1958="Sin Pago","",IFERROR(INDEX(Pagos_Odoo!$F:$F, MATCH(X1958, Pagos_Odoo!$B:$B, 0)), ""))</f>
        <v/>
      </c>
      <c r="AB1958" s="81">
        <f>IF(X1958="Sin Pago",0,IFERROR(INDEX(Pagos_Odoo!$E:$E, MATCH(X1958, Pagos_Odoo!$B:$B, 0)), 0))</f>
        <v/>
      </c>
      <c r="AC1958" s="79">
        <f>IF(X1958="Sin Pago","",IFERROR(INDEX(Pagos_Odoo!$G:$G, MATCH(X1958, Pagos_Odoo!$B:$B, 0)), ""))</f>
        <v/>
      </c>
      <c r="AD1958" s="82" t="n">
        <v>0</v>
      </c>
      <c r="AE1958" s="82" t="n"/>
      <c r="AF1958" s="82" t="n"/>
      <c r="AG1958" s="82">
        <f>IF(AN1958="","",AD1958+AE1958+AF1958)</f>
        <v/>
      </c>
      <c r="AH1958" s="81">
        <f>IF(AN1958="","",P1958*(1-AG1958))</f>
        <v/>
      </c>
      <c r="AI1958" s="81">
        <f>IF(AN1958="","",IF(Q1958="Sin Factura",0,IFERROR(INDEX(Facturas_Odoo!$H:$H, MATCH(Q1958, Facturas_Odoo!$B:$B, 0)), 0)*(1-AG1958)))</f>
        <v/>
      </c>
      <c r="AJ1958" s="81">
        <f>IF(AN1958="","",_xlfn.LET(idVenta, AN1958&amp;"",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58" s="81">
        <f>IF(AN1958="","",AH1958-AJ1958)</f>
        <v/>
      </c>
      <c r="AL1958" s="81">
        <f>IF(AN1958="","",IF(Q1958="Sin Factura","",AI1958-AJ1958))</f>
        <v/>
      </c>
      <c r="AM1958" s="81">
        <f>IF(AN1958="","",IF(Q1958="Sin Factura",0,P1958-IFERROR(INDEX(Facturas_Odoo!$H:$H, MATCH(Q1958, Facturas_Odoo!$B:$B, 0)), 0)))</f>
        <v/>
      </c>
      <c r="AN1958" s="79">
        <f>IF(AND(A1958="", J1958=""), "", IF(A1958&lt;&gt;"", VALUE(MID(A1958,2,LEN(A1958))), AN1957))</f>
        <v/>
      </c>
      <c r="AO1958" s="79">
        <f>IF(AN1958="","",IF(AD1958=0,"OK",_xlfn.LET(monedaPago, IF(AA1958="","USD",AA1958), limitePermitido, IFERROR(VLOOKUP(monedaPago, Configuración!$A$2:$B$3, 2, FALSE), 0.15), IF(AD1958&gt;limitePermitido, "ALERTA: EXCESO (" &amp; TEXT(limitePermitido, "0%") &amp; " máx)", "OK"))))</f>
        <v/>
      </c>
      <c r="AP1958" s="79">
        <f>IF(AN1958="","",IF(AE1958=0,"OK",_xlfn.LET(fechaPago, Z1958, fechaFactura, R1958, diasCredito, IF(E1958="Pago inmediato", 0, IFERROR(VALUE(MID(E1958, 1, SEARCH(" ", E1958)-1)),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58" s="79">
        <f>IF(AN1958="","",IF(AND(N1958&gt;0, AG1958&gt;0), IF(Configuración!$K$2="NO", "ALERTA: DESCUENTO DOBLE NO PERMITIDO", "OK"), "OK"))</f>
        <v/>
      </c>
      <c r="AR1958" s="79">
        <f>IF(AN1958="","",IF(OR(AO1958&lt;&gt;"OK", AP1958&lt;&gt;"OK", AQ1958&lt;&gt;"OK"), "⚠️ REVISAR", "OK"))</f>
        <v/>
      </c>
    </row>
    <row r="1959">
      <c r="A1959" s="79">
        <f>IF('Ordenes_Odoo'!A1959="","",'Ordenes_Odoo'!A1959)</f>
        <v/>
      </c>
      <c r="B1959" s="80">
        <f>IF('Ordenes_Odoo'!B1959="","",'Ordenes_Odoo'!B1959)</f>
        <v/>
      </c>
      <c r="C1959" s="79">
        <f>IF('Ordenes_Odoo'!C1959="","",'Ordenes_Odoo'!C1959)</f>
        <v/>
      </c>
      <c r="D1959" s="79">
        <f>IF('Ordenes_Odoo'!D1959="","",'Ordenes_Odoo'!D1959)</f>
        <v/>
      </c>
      <c r="E1959" s="79">
        <f>IF('Ordenes_Odoo'!E1959="","",'Ordenes_Odoo'!E1959)</f>
        <v/>
      </c>
      <c r="F1959" s="79">
        <f>IF('Ordenes_Odoo'!F1959="","",'Ordenes_Odoo'!F1959)</f>
        <v/>
      </c>
      <c r="G1959" s="79">
        <f>IF('Ordenes_Odoo'!G1959="","",'Ordenes_Odoo'!G1959)</f>
        <v/>
      </c>
      <c r="H1959" s="79">
        <f>IF('Ordenes_Odoo'!H1959="","",'Ordenes_Odoo'!H1959)</f>
        <v/>
      </c>
      <c r="I1959" s="79">
        <f>IF('Ordenes_Odoo'!I1959="","",'Ordenes_Odoo'!I1959)</f>
        <v/>
      </c>
      <c r="J1959" s="79">
        <f>IF('Ordenes_Odoo'!J1959="","",'Ordenes_Odoo'!J1959)</f>
        <v/>
      </c>
      <c r="K1959" s="81">
        <f>IF('Ordenes_Odoo'!K1959="","",'Ordenes_Odoo'!K1959)</f>
        <v/>
      </c>
      <c r="L1959" s="81">
        <f>IF('Ordenes_Odoo'!L1959="","",'Ordenes_Odoo'!L1959)</f>
        <v/>
      </c>
      <c r="M1959" s="79">
        <f>IF('Ordenes_Odoo'!M1959="","",'Ordenes_Odoo'!M1959)</f>
        <v/>
      </c>
      <c r="N1959" s="79">
        <f>IF('Ordenes_Odoo'!N1959="","",'Ordenes_Odoo'!N1959)</f>
        <v/>
      </c>
      <c r="O1959" s="81">
        <f>IF('Ordenes_Odoo'!O1959="","",'Ordenes_Odoo'!O1959)</f>
        <v/>
      </c>
      <c r="P1959" s="81">
        <f>IF('Ordenes_Odoo'!P1959="","",'Ordenes_Odoo'!P1959)</f>
        <v/>
      </c>
      <c r="Q1959" s="79">
        <f>IF(A1959="","",IFERROR(INDEX(Facturas_Odoo!$B:$B, MATCH(A1959, Facturas_Odoo!$D:$D, 0)), "Sin Factura"))</f>
        <v/>
      </c>
      <c r="R1959" s="80">
        <f>IF(Q1959="Sin Factura","",IFERROR(INDEX(Facturas_Odoo!$A:$A, MATCH(Q1959, Facturas_Odoo!$B:$B, 0)), ""))</f>
        <v/>
      </c>
      <c r="S1959" s="79">
        <f>IF(Q1959="Sin Factura","",IFERROR(_xlfn.XLOOKUP(1, (Facturas_Odoo!$D:$D=A1959) * (Facturas_Odoo!$K:$K=I1959), Facturas_Odoo!$L:$L, ""), ""))</f>
        <v/>
      </c>
      <c r="T1959" s="81">
        <f>IF(Q1959="Sin Factura",0,IFERROR(_xlfn.XLOOKUP(1, (Facturas_Odoo!$D:$D=A1959) * (Facturas_Odoo!$K:$K=I1959), Facturas_Odoo!$M:$M, 0), 0))</f>
        <v/>
      </c>
      <c r="U1959" s="79">
        <f>IF(Q1959="Sin Factura",0,IFERROR(_xlfn.XLOOKUP(1, (Facturas_Odoo!$D:$D=A1959) * (Facturas_Odoo!$K:$K=I1959), Facturas_Odoo!$N:$N, 0), 0))</f>
        <v/>
      </c>
      <c r="V1959" s="79">
        <f>IF(Q1959="Sin Factura",0,IFERROR(_xlfn.XLOOKUP(1, (Facturas_Odoo!$D:$D=A1959) * (Facturas_Odoo!$K:$K=I1959), Facturas_Odoo!$O:$O, 0), 0))</f>
        <v/>
      </c>
      <c r="W1959" s="81">
        <f>IF(Q1959="Sin Factura",0,IFERROR(_xlfn.XLOOKUP(1, (Facturas_Odoo!$D:$D=A1959) * (Facturas_Odoo!$K:$K=I1959), Facturas_Odoo!$Q:$Q, 0), 0))</f>
        <v/>
      </c>
      <c r="X1959" s="79">
        <f>IF(OR(Q1959="Sin Factura",Q1959=""),"",IFERROR(INDEX(Pagos_Odoo!$B:$B, MATCH(Q1959, Pagos_Odoo!$I:$I, 0)), "Sin Pago"))</f>
        <v/>
      </c>
      <c r="Y1959" s="79">
        <f>IF(X1959="Sin Pago","",IFERROR(INDEX(Pagos_Odoo!$C:$C, MATCH(X1959, Pagos_Odoo!$B:$B, 0)), ""))</f>
        <v/>
      </c>
      <c r="Z1959" s="80">
        <f>IF(X1959="Sin Pago","",IFERROR(INDEX(Pagos_Odoo!$A:$A, MATCH(X1959, Pagos_Odoo!$B:$B, 0)), ""))</f>
        <v/>
      </c>
      <c r="AA1959" s="79">
        <f>IF(X1959="Sin Pago","",IFERROR(INDEX(Pagos_Odoo!$F:$F, MATCH(X1959, Pagos_Odoo!$B:$B, 0)), ""))</f>
        <v/>
      </c>
      <c r="AB1959" s="81">
        <f>IF(X1959="Sin Pago",0,IFERROR(INDEX(Pagos_Odoo!$E:$E, MATCH(X1959, Pagos_Odoo!$B:$B, 0)), 0))</f>
        <v/>
      </c>
      <c r="AC1959" s="79">
        <f>IF(X1959="Sin Pago","",IFERROR(INDEX(Pagos_Odoo!$G:$G, MATCH(X1959, Pagos_Odoo!$B:$B, 0)), ""))</f>
        <v/>
      </c>
      <c r="AD1959" s="82" t="n">
        <v>0</v>
      </c>
      <c r="AE1959" s="82" t="n"/>
      <c r="AF1959" s="82" t="n"/>
      <c r="AG1959" s="82">
        <f>IF(AN1959="","",AD1959+AE1959+AF1959)</f>
        <v/>
      </c>
      <c r="AH1959" s="81">
        <f>IF(AN1959="","",P1959*(1-AG1959))</f>
        <v/>
      </c>
      <c r="AI1959" s="81">
        <f>IF(AN1959="","",IF(Q1959="Sin Factura",0,IFERROR(INDEX(Facturas_Odoo!$H:$H, MATCH(Q1959, Facturas_Odoo!$B:$B, 0)), 0)*(1-AG1959)))</f>
        <v/>
      </c>
      <c r="AJ1959" s="81">
        <f>IF(AN1959="","",_xlfn.LET(idVenta, AN1959&amp;"",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59" s="81">
        <f>IF(AN1959="","",AH1959-AJ1959)</f>
        <v/>
      </c>
      <c r="AL1959" s="81">
        <f>IF(AN1959="","",IF(Q1959="Sin Factura","",AI1959-AJ1959))</f>
        <v/>
      </c>
      <c r="AM1959" s="81">
        <f>IF(AN1959="","",IF(Q1959="Sin Factura",0,P1959-IFERROR(INDEX(Facturas_Odoo!$H:$H, MATCH(Q1959, Facturas_Odoo!$B:$B, 0)), 0)))</f>
        <v/>
      </c>
      <c r="AN1959" s="79">
        <f>IF(AND(A1959="", J1959=""), "", IF(A1959&lt;&gt;"", VALUE(MID(A1959,2,LEN(A1959))), AN1958))</f>
        <v/>
      </c>
      <c r="AO1959" s="79">
        <f>IF(AN1959="","",IF(AD1959=0,"OK",_xlfn.LET(monedaPago, IF(AA1959="","USD",AA1959), limitePermitido, IFERROR(VLOOKUP(monedaPago, Configuración!$A$2:$B$3, 2, FALSE), 0.15), IF(AD1959&gt;limitePermitido, "ALERTA: EXCESO (" &amp; TEXT(limitePermitido, "0%") &amp; " máx)", "OK"))))</f>
        <v/>
      </c>
      <c r="AP1959" s="79">
        <f>IF(AN1959="","",IF(AE1959=0,"OK",_xlfn.LET(fechaPago, Z1959, fechaFactura, R1959, diasCredito, IF(E1959="Pago inmediato", 0, IFERROR(VALUE(MID(E1959, 1, SEARCH(" ", E1959)-1)),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59" s="79">
        <f>IF(AN1959="","",IF(AND(N1959&gt;0, AG1959&gt;0), IF(Configuración!$K$2="NO", "ALERTA: DESCUENTO DOBLE NO PERMITIDO", "OK"), "OK"))</f>
        <v/>
      </c>
      <c r="AR1959" s="79">
        <f>IF(AN1959="","",IF(OR(AO1959&lt;&gt;"OK", AP1959&lt;&gt;"OK", AQ1959&lt;&gt;"OK"), "⚠️ REVISAR", "OK"))</f>
        <v/>
      </c>
    </row>
    <row r="1960">
      <c r="A1960" s="79">
        <f>IF('Ordenes_Odoo'!A1960="","",'Ordenes_Odoo'!A1960)</f>
        <v/>
      </c>
      <c r="B1960" s="80">
        <f>IF('Ordenes_Odoo'!B1960="","",'Ordenes_Odoo'!B1960)</f>
        <v/>
      </c>
      <c r="C1960" s="79">
        <f>IF('Ordenes_Odoo'!C1960="","",'Ordenes_Odoo'!C1960)</f>
        <v/>
      </c>
      <c r="D1960" s="79">
        <f>IF('Ordenes_Odoo'!D1960="","",'Ordenes_Odoo'!D1960)</f>
        <v/>
      </c>
      <c r="E1960" s="79">
        <f>IF('Ordenes_Odoo'!E1960="","",'Ordenes_Odoo'!E1960)</f>
        <v/>
      </c>
      <c r="F1960" s="79">
        <f>IF('Ordenes_Odoo'!F1960="","",'Ordenes_Odoo'!F1960)</f>
        <v/>
      </c>
      <c r="G1960" s="79">
        <f>IF('Ordenes_Odoo'!G1960="","",'Ordenes_Odoo'!G1960)</f>
        <v/>
      </c>
      <c r="H1960" s="79">
        <f>IF('Ordenes_Odoo'!H1960="","",'Ordenes_Odoo'!H1960)</f>
        <v/>
      </c>
      <c r="I1960" s="79">
        <f>IF('Ordenes_Odoo'!I1960="","",'Ordenes_Odoo'!I1960)</f>
        <v/>
      </c>
      <c r="J1960" s="79">
        <f>IF('Ordenes_Odoo'!J1960="","",'Ordenes_Odoo'!J1960)</f>
        <v/>
      </c>
      <c r="K1960" s="81">
        <f>IF('Ordenes_Odoo'!K1960="","",'Ordenes_Odoo'!K1960)</f>
        <v/>
      </c>
      <c r="L1960" s="81">
        <f>IF('Ordenes_Odoo'!L1960="","",'Ordenes_Odoo'!L1960)</f>
        <v/>
      </c>
      <c r="M1960" s="79">
        <f>IF('Ordenes_Odoo'!M1960="","",'Ordenes_Odoo'!M1960)</f>
        <v/>
      </c>
      <c r="N1960" s="79">
        <f>IF('Ordenes_Odoo'!N1960="","",'Ordenes_Odoo'!N1960)</f>
        <v/>
      </c>
      <c r="O1960" s="81">
        <f>IF('Ordenes_Odoo'!O1960="","",'Ordenes_Odoo'!O1960)</f>
        <v/>
      </c>
      <c r="P1960" s="81">
        <f>IF('Ordenes_Odoo'!P1960="","",'Ordenes_Odoo'!P1960)</f>
        <v/>
      </c>
      <c r="Q1960" s="79">
        <f>IF(A1960="","",IFERROR(INDEX(Facturas_Odoo!$B:$B, MATCH(A1960, Facturas_Odoo!$D:$D, 0)), "Sin Factura"))</f>
        <v/>
      </c>
      <c r="R1960" s="80">
        <f>IF(Q1960="Sin Factura","",IFERROR(INDEX(Facturas_Odoo!$A:$A, MATCH(Q1960, Facturas_Odoo!$B:$B, 0)), ""))</f>
        <v/>
      </c>
      <c r="S1960" s="79">
        <f>IF(Q1960="Sin Factura","",IFERROR(_xlfn.XLOOKUP(1, (Facturas_Odoo!$D:$D=A1960) * (Facturas_Odoo!$K:$K=I1960), Facturas_Odoo!$L:$L, ""), ""))</f>
        <v/>
      </c>
      <c r="T1960" s="81">
        <f>IF(Q1960="Sin Factura",0,IFERROR(_xlfn.XLOOKUP(1, (Facturas_Odoo!$D:$D=A1960) * (Facturas_Odoo!$K:$K=I1960), Facturas_Odoo!$M:$M, 0), 0))</f>
        <v/>
      </c>
      <c r="U1960" s="79">
        <f>IF(Q1960="Sin Factura",0,IFERROR(_xlfn.XLOOKUP(1, (Facturas_Odoo!$D:$D=A1960) * (Facturas_Odoo!$K:$K=I1960), Facturas_Odoo!$N:$N, 0), 0))</f>
        <v/>
      </c>
      <c r="V1960" s="79">
        <f>IF(Q1960="Sin Factura",0,IFERROR(_xlfn.XLOOKUP(1, (Facturas_Odoo!$D:$D=A1960) * (Facturas_Odoo!$K:$K=I1960), Facturas_Odoo!$O:$O, 0), 0))</f>
        <v/>
      </c>
      <c r="W1960" s="81">
        <f>IF(Q1960="Sin Factura",0,IFERROR(_xlfn.XLOOKUP(1, (Facturas_Odoo!$D:$D=A1960) * (Facturas_Odoo!$K:$K=I1960), Facturas_Odoo!$Q:$Q, 0), 0))</f>
        <v/>
      </c>
      <c r="X1960" s="79">
        <f>IF(OR(Q1960="Sin Factura",Q1960=""),"",IFERROR(INDEX(Pagos_Odoo!$B:$B, MATCH(Q1960, Pagos_Odoo!$I:$I, 0)), "Sin Pago"))</f>
        <v/>
      </c>
      <c r="Y1960" s="79">
        <f>IF(X1960="Sin Pago","",IFERROR(INDEX(Pagos_Odoo!$C:$C, MATCH(X1960, Pagos_Odoo!$B:$B, 0)), ""))</f>
        <v/>
      </c>
      <c r="Z1960" s="80">
        <f>IF(X1960="Sin Pago","",IFERROR(INDEX(Pagos_Odoo!$A:$A, MATCH(X1960, Pagos_Odoo!$B:$B, 0)), ""))</f>
        <v/>
      </c>
      <c r="AA1960" s="79">
        <f>IF(X1960="Sin Pago","",IFERROR(INDEX(Pagos_Odoo!$F:$F, MATCH(X1960, Pagos_Odoo!$B:$B, 0)), ""))</f>
        <v/>
      </c>
      <c r="AB1960" s="81">
        <f>IF(X1960="Sin Pago",0,IFERROR(INDEX(Pagos_Odoo!$E:$E, MATCH(X1960, Pagos_Odoo!$B:$B, 0)), 0))</f>
        <v/>
      </c>
      <c r="AC1960" s="79">
        <f>IF(X1960="Sin Pago","",IFERROR(INDEX(Pagos_Odoo!$G:$G, MATCH(X1960, Pagos_Odoo!$B:$B, 0)), ""))</f>
        <v/>
      </c>
      <c r="AD1960" s="82" t="n">
        <v>0</v>
      </c>
      <c r="AE1960" s="82" t="n"/>
      <c r="AF1960" s="82" t="n"/>
      <c r="AG1960" s="82">
        <f>IF(AN1960="","",AD1960+AE1960+AF1960)</f>
        <v/>
      </c>
      <c r="AH1960" s="81">
        <f>IF(AN1960="","",P1960*(1-AG1960))</f>
        <v/>
      </c>
      <c r="AI1960" s="81">
        <f>IF(AN1960="","",IF(Q1960="Sin Factura",0,IFERROR(INDEX(Facturas_Odoo!$H:$H, MATCH(Q1960, Facturas_Odoo!$B:$B, 0)), 0)*(1-AG1960)))</f>
        <v/>
      </c>
      <c r="AJ1960" s="81">
        <f>IF(AN1960="","",_xlfn.LET(idVenta, AN1960&amp;"",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60" s="81">
        <f>IF(AN1960="","",AH1960-AJ1960)</f>
        <v/>
      </c>
      <c r="AL1960" s="81">
        <f>IF(AN1960="","",IF(Q1960="Sin Factura","",AI1960-AJ1960))</f>
        <v/>
      </c>
      <c r="AM1960" s="81">
        <f>IF(AN1960="","",IF(Q1960="Sin Factura",0,P1960-IFERROR(INDEX(Facturas_Odoo!$H:$H, MATCH(Q1960, Facturas_Odoo!$B:$B, 0)), 0)))</f>
        <v/>
      </c>
      <c r="AN1960" s="79">
        <f>IF(AND(A1960="", J1960=""), "", IF(A1960&lt;&gt;"", VALUE(MID(A1960,2,LEN(A1960))), AN1959))</f>
        <v/>
      </c>
      <c r="AO1960" s="79">
        <f>IF(AN1960="","",IF(AD1960=0,"OK",_xlfn.LET(monedaPago, IF(AA1960="","USD",AA1960), limitePermitido, IFERROR(VLOOKUP(monedaPago, Configuración!$A$2:$B$3, 2, FALSE), 0.15), IF(AD1960&gt;limitePermitido, "ALERTA: EXCESO (" &amp; TEXT(limitePermitido, "0%") &amp; " máx)", "OK"))))</f>
        <v/>
      </c>
      <c r="AP1960" s="79">
        <f>IF(AN1960="","",IF(AE1960=0,"OK",_xlfn.LET(fechaPago, Z1960, fechaFactura, R1960, diasCredito, IF(E1960="Pago inmediato", 0, IFERROR(VALUE(MID(E1960, 1, SEARCH(" ", E1960)-1)),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60" s="79">
        <f>IF(AN1960="","",IF(AND(N1960&gt;0, AG1960&gt;0), IF(Configuración!$K$2="NO", "ALERTA: DESCUENTO DOBLE NO PERMITIDO", "OK"), "OK"))</f>
        <v/>
      </c>
      <c r="AR1960" s="79">
        <f>IF(AN1960="","",IF(OR(AO1960&lt;&gt;"OK", AP1960&lt;&gt;"OK", AQ1960&lt;&gt;"OK"), "⚠️ REVISAR", "OK"))</f>
        <v/>
      </c>
    </row>
    <row r="1961">
      <c r="A1961" s="79">
        <f>IF('Ordenes_Odoo'!A1961="","",'Ordenes_Odoo'!A1961)</f>
        <v/>
      </c>
      <c r="B1961" s="80">
        <f>IF('Ordenes_Odoo'!B1961="","",'Ordenes_Odoo'!B1961)</f>
        <v/>
      </c>
      <c r="C1961" s="79">
        <f>IF('Ordenes_Odoo'!C1961="","",'Ordenes_Odoo'!C1961)</f>
        <v/>
      </c>
      <c r="D1961" s="79">
        <f>IF('Ordenes_Odoo'!D1961="","",'Ordenes_Odoo'!D1961)</f>
        <v/>
      </c>
      <c r="E1961" s="79">
        <f>IF('Ordenes_Odoo'!E1961="","",'Ordenes_Odoo'!E1961)</f>
        <v/>
      </c>
      <c r="F1961" s="79">
        <f>IF('Ordenes_Odoo'!F1961="","",'Ordenes_Odoo'!F1961)</f>
        <v/>
      </c>
      <c r="G1961" s="79">
        <f>IF('Ordenes_Odoo'!G1961="","",'Ordenes_Odoo'!G1961)</f>
        <v/>
      </c>
      <c r="H1961" s="79">
        <f>IF('Ordenes_Odoo'!H1961="","",'Ordenes_Odoo'!H1961)</f>
        <v/>
      </c>
      <c r="I1961" s="79">
        <f>IF('Ordenes_Odoo'!I1961="","",'Ordenes_Odoo'!I1961)</f>
        <v/>
      </c>
      <c r="J1961" s="79">
        <f>IF('Ordenes_Odoo'!J1961="","",'Ordenes_Odoo'!J1961)</f>
        <v/>
      </c>
      <c r="K1961" s="81">
        <f>IF('Ordenes_Odoo'!K1961="","",'Ordenes_Odoo'!K1961)</f>
        <v/>
      </c>
      <c r="L1961" s="81">
        <f>IF('Ordenes_Odoo'!L1961="","",'Ordenes_Odoo'!L1961)</f>
        <v/>
      </c>
      <c r="M1961" s="79">
        <f>IF('Ordenes_Odoo'!M1961="","",'Ordenes_Odoo'!M1961)</f>
        <v/>
      </c>
      <c r="N1961" s="79">
        <f>IF('Ordenes_Odoo'!N1961="","",'Ordenes_Odoo'!N1961)</f>
        <v/>
      </c>
      <c r="O1961" s="81">
        <f>IF('Ordenes_Odoo'!O1961="","",'Ordenes_Odoo'!O1961)</f>
        <v/>
      </c>
      <c r="P1961" s="81">
        <f>IF('Ordenes_Odoo'!P1961="","",'Ordenes_Odoo'!P1961)</f>
        <v/>
      </c>
      <c r="Q1961" s="79">
        <f>IF(A1961="","",IFERROR(INDEX(Facturas_Odoo!$B:$B, MATCH(A1961, Facturas_Odoo!$D:$D, 0)), "Sin Factura"))</f>
        <v/>
      </c>
      <c r="R1961" s="80">
        <f>IF(Q1961="Sin Factura","",IFERROR(INDEX(Facturas_Odoo!$A:$A, MATCH(Q1961, Facturas_Odoo!$B:$B, 0)), ""))</f>
        <v/>
      </c>
      <c r="S1961" s="79">
        <f>IF(Q1961="Sin Factura","",IFERROR(_xlfn.XLOOKUP(1, (Facturas_Odoo!$D:$D=A1961) * (Facturas_Odoo!$K:$K=I1961), Facturas_Odoo!$L:$L, ""), ""))</f>
        <v/>
      </c>
      <c r="T1961" s="81">
        <f>IF(Q1961="Sin Factura",0,IFERROR(_xlfn.XLOOKUP(1, (Facturas_Odoo!$D:$D=A1961) * (Facturas_Odoo!$K:$K=I1961), Facturas_Odoo!$M:$M, 0), 0))</f>
        <v/>
      </c>
      <c r="U1961" s="79">
        <f>IF(Q1961="Sin Factura",0,IFERROR(_xlfn.XLOOKUP(1, (Facturas_Odoo!$D:$D=A1961) * (Facturas_Odoo!$K:$K=I1961), Facturas_Odoo!$N:$N, 0), 0))</f>
        <v/>
      </c>
      <c r="V1961" s="79">
        <f>IF(Q1961="Sin Factura",0,IFERROR(_xlfn.XLOOKUP(1, (Facturas_Odoo!$D:$D=A1961) * (Facturas_Odoo!$K:$K=I1961), Facturas_Odoo!$O:$O, 0), 0))</f>
        <v/>
      </c>
      <c r="W1961" s="81">
        <f>IF(Q1961="Sin Factura",0,IFERROR(_xlfn.XLOOKUP(1, (Facturas_Odoo!$D:$D=A1961) * (Facturas_Odoo!$K:$K=I1961), Facturas_Odoo!$Q:$Q, 0), 0))</f>
        <v/>
      </c>
      <c r="X1961" s="79">
        <f>IF(OR(Q1961="Sin Factura",Q1961=""),"",IFERROR(INDEX(Pagos_Odoo!$B:$B, MATCH(Q1961, Pagos_Odoo!$I:$I, 0)), "Sin Pago"))</f>
        <v/>
      </c>
      <c r="Y1961" s="79">
        <f>IF(X1961="Sin Pago","",IFERROR(INDEX(Pagos_Odoo!$C:$C, MATCH(X1961, Pagos_Odoo!$B:$B, 0)), ""))</f>
        <v/>
      </c>
      <c r="Z1961" s="80">
        <f>IF(X1961="Sin Pago","",IFERROR(INDEX(Pagos_Odoo!$A:$A, MATCH(X1961, Pagos_Odoo!$B:$B, 0)), ""))</f>
        <v/>
      </c>
      <c r="AA1961" s="79">
        <f>IF(X1961="Sin Pago","",IFERROR(INDEX(Pagos_Odoo!$F:$F, MATCH(X1961, Pagos_Odoo!$B:$B, 0)), ""))</f>
        <v/>
      </c>
      <c r="AB1961" s="81">
        <f>IF(X1961="Sin Pago",0,IFERROR(INDEX(Pagos_Odoo!$E:$E, MATCH(X1961, Pagos_Odoo!$B:$B, 0)), 0))</f>
        <v/>
      </c>
      <c r="AC1961" s="79">
        <f>IF(X1961="Sin Pago","",IFERROR(INDEX(Pagos_Odoo!$G:$G, MATCH(X1961, Pagos_Odoo!$B:$B, 0)), ""))</f>
        <v/>
      </c>
      <c r="AD1961" s="82" t="n">
        <v>0</v>
      </c>
      <c r="AE1961" s="82" t="n"/>
      <c r="AF1961" s="82" t="n"/>
      <c r="AG1961" s="82">
        <f>IF(AN1961="","",AD1961+AE1961+AF1961)</f>
        <v/>
      </c>
      <c r="AH1961" s="81">
        <f>IF(AN1961="","",P1961*(1-AG1961))</f>
        <v/>
      </c>
      <c r="AI1961" s="81">
        <f>IF(AN1961="","",IF(Q1961="Sin Factura",0,IFERROR(INDEX(Facturas_Odoo!$H:$H, MATCH(Q1961, Facturas_Odoo!$B:$B, 0)), 0)*(1-AG1961)))</f>
        <v/>
      </c>
      <c r="AJ1961" s="81">
        <f>IF(AN1961="","",_xlfn.LET(idVenta, AN1961&amp;"",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61" s="81">
        <f>IF(AN1961="","",AH1961-AJ1961)</f>
        <v/>
      </c>
      <c r="AL1961" s="81">
        <f>IF(AN1961="","",IF(Q1961="Sin Factura","",AI1961-AJ1961))</f>
        <v/>
      </c>
      <c r="AM1961" s="81">
        <f>IF(AN1961="","",IF(Q1961="Sin Factura",0,P1961-IFERROR(INDEX(Facturas_Odoo!$H:$H, MATCH(Q1961, Facturas_Odoo!$B:$B, 0)), 0)))</f>
        <v/>
      </c>
      <c r="AN1961" s="79">
        <f>IF(AND(A1961="", J1961=""), "", IF(A1961&lt;&gt;"", VALUE(MID(A1961,2,LEN(A1961))), AN1960))</f>
        <v/>
      </c>
      <c r="AO1961" s="79">
        <f>IF(AN1961="","",IF(AD1961=0,"OK",_xlfn.LET(monedaPago, IF(AA1961="","USD",AA1961), limitePermitido, IFERROR(VLOOKUP(monedaPago, Configuración!$A$2:$B$3, 2, FALSE), 0.15), IF(AD1961&gt;limitePermitido, "ALERTA: EXCESO (" &amp; TEXT(limitePermitido, "0%") &amp; " máx)", "OK"))))</f>
        <v/>
      </c>
      <c r="AP1961" s="79">
        <f>IF(AN1961="","",IF(AE1961=0,"OK",_xlfn.LET(fechaPago, Z1961, fechaFactura, R1961, diasCredito, IF(E1961="Pago inmediato", 0, IFERROR(VALUE(MID(E1961, 1, SEARCH(" ", E1961)-1)),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61" s="79">
        <f>IF(AN1961="","",IF(AND(N1961&gt;0, AG1961&gt;0), IF(Configuración!$K$2="NO", "ALERTA: DESCUENTO DOBLE NO PERMITIDO", "OK"), "OK"))</f>
        <v/>
      </c>
      <c r="AR1961" s="79">
        <f>IF(AN1961="","",IF(OR(AO1961&lt;&gt;"OK", AP1961&lt;&gt;"OK", AQ1961&lt;&gt;"OK"), "⚠️ REVISAR", "OK"))</f>
        <v/>
      </c>
    </row>
    <row r="1962">
      <c r="A1962" s="79">
        <f>IF('Ordenes_Odoo'!A1962="","",'Ordenes_Odoo'!A1962)</f>
        <v/>
      </c>
      <c r="B1962" s="80">
        <f>IF('Ordenes_Odoo'!B1962="","",'Ordenes_Odoo'!B1962)</f>
        <v/>
      </c>
      <c r="C1962" s="79">
        <f>IF('Ordenes_Odoo'!C1962="","",'Ordenes_Odoo'!C1962)</f>
        <v/>
      </c>
      <c r="D1962" s="79">
        <f>IF('Ordenes_Odoo'!D1962="","",'Ordenes_Odoo'!D1962)</f>
        <v/>
      </c>
      <c r="E1962" s="79">
        <f>IF('Ordenes_Odoo'!E1962="","",'Ordenes_Odoo'!E1962)</f>
        <v/>
      </c>
      <c r="F1962" s="79">
        <f>IF('Ordenes_Odoo'!F1962="","",'Ordenes_Odoo'!F1962)</f>
        <v/>
      </c>
      <c r="G1962" s="79">
        <f>IF('Ordenes_Odoo'!G1962="","",'Ordenes_Odoo'!G1962)</f>
        <v/>
      </c>
      <c r="H1962" s="79">
        <f>IF('Ordenes_Odoo'!H1962="","",'Ordenes_Odoo'!H1962)</f>
        <v/>
      </c>
      <c r="I1962" s="79">
        <f>IF('Ordenes_Odoo'!I1962="","",'Ordenes_Odoo'!I1962)</f>
        <v/>
      </c>
      <c r="J1962" s="79">
        <f>IF('Ordenes_Odoo'!J1962="","",'Ordenes_Odoo'!J1962)</f>
        <v/>
      </c>
      <c r="K1962" s="81">
        <f>IF('Ordenes_Odoo'!K1962="","",'Ordenes_Odoo'!K1962)</f>
        <v/>
      </c>
      <c r="L1962" s="81">
        <f>IF('Ordenes_Odoo'!L1962="","",'Ordenes_Odoo'!L1962)</f>
        <v/>
      </c>
      <c r="M1962" s="79">
        <f>IF('Ordenes_Odoo'!M1962="","",'Ordenes_Odoo'!M1962)</f>
        <v/>
      </c>
      <c r="N1962" s="79">
        <f>IF('Ordenes_Odoo'!N1962="","",'Ordenes_Odoo'!N1962)</f>
        <v/>
      </c>
      <c r="O1962" s="81">
        <f>IF('Ordenes_Odoo'!O1962="","",'Ordenes_Odoo'!O1962)</f>
        <v/>
      </c>
      <c r="P1962" s="81">
        <f>IF('Ordenes_Odoo'!P1962="","",'Ordenes_Odoo'!P1962)</f>
        <v/>
      </c>
      <c r="Q1962" s="79">
        <f>IF(A1962="","",IFERROR(INDEX(Facturas_Odoo!$B:$B, MATCH(A1962, Facturas_Odoo!$D:$D, 0)), "Sin Factura"))</f>
        <v/>
      </c>
      <c r="R1962" s="80">
        <f>IF(Q1962="Sin Factura","",IFERROR(INDEX(Facturas_Odoo!$A:$A, MATCH(Q1962, Facturas_Odoo!$B:$B, 0)), ""))</f>
        <v/>
      </c>
      <c r="S1962" s="79">
        <f>IF(Q1962="Sin Factura","",IFERROR(_xlfn.XLOOKUP(1, (Facturas_Odoo!$D:$D=A1962) * (Facturas_Odoo!$K:$K=I1962), Facturas_Odoo!$L:$L, ""), ""))</f>
        <v/>
      </c>
      <c r="T1962" s="81">
        <f>IF(Q1962="Sin Factura",0,IFERROR(_xlfn.XLOOKUP(1, (Facturas_Odoo!$D:$D=A1962) * (Facturas_Odoo!$K:$K=I1962), Facturas_Odoo!$M:$M, 0), 0))</f>
        <v/>
      </c>
      <c r="U1962" s="79">
        <f>IF(Q1962="Sin Factura",0,IFERROR(_xlfn.XLOOKUP(1, (Facturas_Odoo!$D:$D=A1962) * (Facturas_Odoo!$K:$K=I1962), Facturas_Odoo!$N:$N, 0), 0))</f>
        <v/>
      </c>
      <c r="V1962" s="79">
        <f>IF(Q1962="Sin Factura",0,IFERROR(_xlfn.XLOOKUP(1, (Facturas_Odoo!$D:$D=A1962) * (Facturas_Odoo!$K:$K=I1962), Facturas_Odoo!$O:$O, 0), 0))</f>
        <v/>
      </c>
      <c r="W1962" s="81">
        <f>IF(Q1962="Sin Factura",0,IFERROR(_xlfn.XLOOKUP(1, (Facturas_Odoo!$D:$D=A1962) * (Facturas_Odoo!$K:$K=I1962), Facturas_Odoo!$Q:$Q, 0), 0))</f>
        <v/>
      </c>
      <c r="X1962" s="79">
        <f>IF(OR(Q1962="Sin Factura",Q1962=""),"",IFERROR(INDEX(Pagos_Odoo!$B:$B, MATCH(Q1962, Pagos_Odoo!$I:$I, 0)), "Sin Pago"))</f>
        <v/>
      </c>
      <c r="Y1962" s="79">
        <f>IF(X1962="Sin Pago","",IFERROR(INDEX(Pagos_Odoo!$C:$C, MATCH(X1962, Pagos_Odoo!$B:$B, 0)), ""))</f>
        <v/>
      </c>
      <c r="Z1962" s="80">
        <f>IF(X1962="Sin Pago","",IFERROR(INDEX(Pagos_Odoo!$A:$A, MATCH(X1962, Pagos_Odoo!$B:$B, 0)), ""))</f>
        <v/>
      </c>
      <c r="AA1962" s="79">
        <f>IF(X1962="Sin Pago","",IFERROR(INDEX(Pagos_Odoo!$F:$F, MATCH(X1962, Pagos_Odoo!$B:$B, 0)), ""))</f>
        <v/>
      </c>
      <c r="AB1962" s="81">
        <f>IF(X1962="Sin Pago",0,IFERROR(INDEX(Pagos_Odoo!$E:$E, MATCH(X1962, Pagos_Odoo!$B:$B, 0)), 0))</f>
        <v/>
      </c>
      <c r="AC1962" s="79">
        <f>IF(X1962="Sin Pago","",IFERROR(INDEX(Pagos_Odoo!$G:$G, MATCH(X1962, Pagos_Odoo!$B:$B, 0)), ""))</f>
        <v/>
      </c>
      <c r="AD1962" s="82" t="n">
        <v>0</v>
      </c>
      <c r="AE1962" s="82" t="n"/>
      <c r="AF1962" s="82" t="n"/>
      <c r="AG1962" s="82">
        <f>IF(AN1962="","",AD1962+AE1962+AF1962)</f>
        <v/>
      </c>
      <c r="AH1962" s="81">
        <f>IF(AN1962="","",P1962*(1-AG1962))</f>
        <v/>
      </c>
      <c r="AI1962" s="81">
        <f>IF(AN1962="","",IF(Q1962="Sin Factura",0,IFERROR(INDEX(Facturas_Odoo!$H:$H, MATCH(Q1962, Facturas_Odoo!$B:$B, 0)), 0)*(1-AG1962)))</f>
        <v/>
      </c>
      <c r="AJ1962" s="81">
        <f>IF(AN1962="","",_xlfn.LET(idVenta, AN1962&amp;"",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62" s="81">
        <f>IF(AN1962="","",AH1962-AJ1962)</f>
        <v/>
      </c>
      <c r="AL1962" s="81">
        <f>IF(AN1962="","",IF(Q1962="Sin Factura","",AI1962-AJ1962))</f>
        <v/>
      </c>
      <c r="AM1962" s="81">
        <f>IF(AN1962="","",IF(Q1962="Sin Factura",0,P1962-IFERROR(INDEX(Facturas_Odoo!$H:$H, MATCH(Q1962, Facturas_Odoo!$B:$B, 0)), 0)))</f>
        <v/>
      </c>
      <c r="AN1962" s="79">
        <f>IF(AND(A1962="", J1962=""), "", IF(A1962&lt;&gt;"", VALUE(MID(A1962,2,LEN(A1962))), AN1961))</f>
        <v/>
      </c>
      <c r="AO1962" s="79">
        <f>IF(AN1962="","",IF(AD1962=0,"OK",_xlfn.LET(monedaPago, IF(AA1962="","USD",AA1962), limitePermitido, IFERROR(VLOOKUP(monedaPago, Configuración!$A$2:$B$3, 2, FALSE), 0.15), IF(AD1962&gt;limitePermitido, "ALERTA: EXCESO (" &amp; TEXT(limitePermitido, "0%") &amp; " máx)", "OK"))))</f>
        <v/>
      </c>
      <c r="AP1962" s="79">
        <f>IF(AN1962="","",IF(AE1962=0,"OK",_xlfn.LET(fechaPago, Z1962, fechaFactura, R1962, diasCredito, IF(E1962="Pago inmediato", 0, IFERROR(VALUE(MID(E1962, 1, SEARCH(" ", E1962)-1)),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62" s="79">
        <f>IF(AN1962="","",IF(AND(N1962&gt;0, AG1962&gt;0), IF(Configuración!$K$2="NO", "ALERTA: DESCUENTO DOBLE NO PERMITIDO", "OK"), "OK"))</f>
        <v/>
      </c>
      <c r="AR1962" s="79">
        <f>IF(AN1962="","",IF(OR(AO1962&lt;&gt;"OK", AP1962&lt;&gt;"OK", AQ1962&lt;&gt;"OK"), "⚠️ REVISAR", "OK"))</f>
        <v/>
      </c>
    </row>
    <row r="1963">
      <c r="A1963" s="79">
        <f>IF('Ordenes_Odoo'!A1963="","",'Ordenes_Odoo'!A1963)</f>
        <v/>
      </c>
      <c r="B1963" s="80">
        <f>IF('Ordenes_Odoo'!B1963="","",'Ordenes_Odoo'!B1963)</f>
        <v/>
      </c>
      <c r="C1963" s="79">
        <f>IF('Ordenes_Odoo'!C1963="","",'Ordenes_Odoo'!C1963)</f>
        <v/>
      </c>
      <c r="D1963" s="79">
        <f>IF('Ordenes_Odoo'!D1963="","",'Ordenes_Odoo'!D1963)</f>
        <v/>
      </c>
      <c r="E1963" s="79">
        <f>IF('Ordenes_Odoo'!E1963="","",'Ordenes_Odoo'!E1963)</f>
        <v/>
      </c>
      <c r="F1963" s="79">
        <f>IF('Ordenes_Odoo'!F1963="","",'Ordenes_Odoo'!F1963)</f>
        <v/>
      </c>
      <c r="G1963" s="79">
        <f>IF('Ordenes_Odoo'!G1963="","",'Ordenes_Odoo'!G1963)</f>
        <v/>
      </c>
      <c r="H1963" s="79">
        <f>IF('Ordenes_Odoo'!H1963="","",'Ordenes_Odoo'!H1963)</f>
        <v/>
      </c>
      <c r="I1963" s="79">
        <f>IF('Ordenes_Odoo'!I1963="","",'Ordenes_Odoo'!I1963)</f>
        <v/>
      </c>
      <c r="J1963" s="79">
        <f>IF('Ordenes_Odoo'!J1963="","",'Ordenes_Odoo'!J1963)</f>
        <v/>
      </c>
      <c r="K1963" s="81">
        <f>IF('Ordenes_Odoo'!K1963="","",'Ordenes_Odoo'!K1963)</f>
        <v/>
      </c>
      <c r="L1963" s="81">
        <f>IF('Ordenes_Odoo'!L1963="","",'Ordenes_Odoo'!L1963)</f>
        <v/>
      </c>
      <c r="M1963" s="79">
        <f>IF('Ordenes_Odoo'!M1963="","",'Ordenes_Odoo'!M1963)</f>
        <v/>
      </c>
      <c r="N1963" s="79">
        <f>IF('Ordenes_Odoo'!N1963="","",'Ordenes_Odoo'!N1963)</f>
        <v/>
      </c>
      <c r="O1963" s="81">
        <f>IF('Ordenes_Odoo'!O1963="","",'Ordenes_Odoo'!O1963)</f>
        <v/>
      </c>
      <c r="P1963" s="81">
        <f>IF('Ordenes_Odoo'!P1963="","",'Ordenes_Odoo'!P1963)</f>
        <v/>
      </c>
      <c r="Q1963" s="79">
        <f>IF(A1963="","",IFERROR(INDEX(Facturas_Odoo!$B:$B, MATCH(A1963, Facturas_Odoo!$D:$D, 0)), "Sin Factura"))</f>
        <v/>
      </c>
      <c r="R1963" s="80">
        <f>IF(Q1963="Sin Factura","",IFERROR(INDEX(Facturas_Odoo!$A:$A, MATCH(Q1963, Facturas_Odoo!$B:$B, 0)), ""))</f>
        <v/>
      </c>
      <c r="S1963" s="79">
        <f>IF(Q1963="Sin Factura","",IFERROR(_xlfn.XLOOKUP(1, (Facturas_Odoo!$D:$D=A1963) * (Facturas_Odoo!$K:$K=I1963), Facturas_Odoo!$L:$L, ""), ""))</f>
        <v/>
      </c>
      <c r="T1963" s="81">
        <f>IF(Q1963="Sin Factura",0,IFERROR(_xlfn.XLOOKUP(1, (Facturas_Odoo!$D:$D=A1963) * (Facturas_Odoo!$K:$K=I1963), Facturas_Odoo!$M:$M, 0), 0))</f>
        <v/>
      </c>
      <c r="U1963" s="79">
        <f>IF(Q1963="Sin Factura",0,IFERROR(_xlfn.XLOOKUP(1, (Facturas_Odoo!$D:$D=A1963) * (Facturas_Odoo!$K:$K=I1963), Facturas_Odoo!$N:$N, 0), 0))</f>
        <v/>
      </c>
      <c r="V1963" s="79">
        <f>IF(Q1963="Sin Factura",0,IFERROR(_xlfn.XLOOKUP(1, (Facturas_Odoo!$D:$D=A1963) * (Facturas_Odoo!$K:$K=I1963), Facturas_Odoo!$O:$O, 0), 0))</f>
        <v/>
      </c>
      <c r="W1963" s="81">
        <f>IF(Q1963="Sin Factura",0,IFERROR(_xlfn.XLOOKUP(1, (Facturas_Odoo!$D:$D=A1963) * (Facturas_Odoo!$K:$K=I1963), Facturas_Odoo!$Q:$Q, 0), 0))</f>
        <v/>
      </c>
      <c r="X1963" s="79">
        <f>IF(OR(Q1963="Sin Factura",Q1963=""),"",IFERROR(INDEX(Pagos_Odoo!$B:$B, MATCH(Q1963, Pagos_Odoo!$I:$I, 0)), "Sin Pago"))</f>
        <v/>
      </c>
      <c r="Y1963" s="79">
        <f>IF(X1963="Sin Pago","",IFERROR(INDEX(Pagos_Odoo!$C:$C, MATCH(X1963, Pagos_Odoo!$B:$B, 0)), ""))</f>
        <v/>
      </c>
      <c r="Z1963" s="80">
        <f>IF(X1963="Sin Pago","",IFERROR(INDEX(Pagos_Odoo!$A:$A, MATCH(X1963, Pagos_Odoo!$B:$B, 0)), ""))</f>
        <v/>
      </c>
      <c r="AA1963" s="79">
        <f>IF(X1963="Sin Pago","",IFERROR(INDEX(Pagos_Odoo!$F:$F, MATCH(X1963, Pagos_Odoo!$B:$B, 0)), ""))</f>
        <v/>
      </c>
      <c r="AB1963" s="81">
        <f>IF(X1963="Sin Pago",0,IFERROR(INDEX(Pagos_Odoo!$E:$E, MATCH(X1963, Pagos_Odoo!$B:$B, 0)), 0))</f>
        <v/>
      </c>
      <c r="AC1963" s="79">
        <f>IF(X1963="Sin Pago","",IFERROR(INDEX(Pagos_Odoo!$G:$G, MATCH(X1963, Pagos_Odoo!$B:$B, 0)), ""))</f>
        <v/>
      </c>
      <c r="AD1963" s="82" t="n">
        <v>0</v>
      </c>
      <c r="AE1963" s="82" t="n"/>
      <c r="AF1963" s="82" t="n"/>
      <c r="AG1963" s="82">
        <f>IF(AN1963="","",AD1963+AE1963+AF1963)</f>
        <v/>
      </c>
      <c r="AH1963" s="81">
        <f>IF(AN1963="","",P1963*(1-AG1963))</f>
        <v/>
      </c>
      <c r="AI1963" s="81">
        <f>IF(AN1963="","",IF(Q1963="Sin Factura",0,IFERROR(INDEX(Facturas_Odoo!$H:$H, MATCH(Q1963, Facturas_Odoo!$B:$B, 0)), 0)*(1-AG1963)))</f>
        <v/>
      </c>
      <c r="AJ1963" s="81">
        <f>IF(AN1963="","",_xlfn.LET(idVenta, AN1963&amp;"",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63" s="81">
        <f>IF(AN1963="","",AH1963-AJ1963)</f>
        <v/>
      </c>
      <c r="AL1963" s="81">
        <f>IF(AN1963="","",IF(Q1963="Sin Factura","",AI1963-AJ1963))</f>
        <v/>
      </c>
      <c r="AM1963" s="81">
        <f>IF(AN1963="","",IF(Q1963="Sin Factura",0,P1963-IFERROR(INDEX(Facturas_Odoo!$H:$H, MATCH(Q1963, Facturas_Odoo!$B:$B, 0)), 0)))</f>
        <v/>
      </c>
      <c r="AN1963" s="79">
        <f>IF(AND(A1963="", J1963=""), "", IF(A1963&lt;&gt;"", VALUE(MID(A1963,2,LEN(A1963))), AN1962))</f>
        <v/>
      </c>
      <c r="AO1963" s="79">
        <f>IF(AN1963="","",IF(AD1963=0,"OK",_xlfn.LET(monedaPago, IF(AA1963="","USD",AA1963), limitePermitido, IFERROR(VLOOKUP(monedaPago, Configuración!$A$2:$B$3, 2, FALSE), 0.15), IF(AD1963&gt;limitePermitido, "ALERTA: EXCESO (" &amp; TEXT(limitePermitido, "0%") &amp; " máx)", "OK"))))</f>
        <v/>
      </c>
      <c r="AP1963" s="79">
        <f>IF(AN1963="","",IF(AE1963=0,"OK",_xlfn.LET(fechaPago, Z1963, fechaFactura, R1963, diasCredito, IF(E1963="Pago inmediato", 0, IFERROR(VALUE(MID(E1963, 1, SEARCH(" ", E1963)-1)),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63" s="79">
        <f>IF(AN1963="","",IF(AND(N1963&gt;0, AG1963&gt;0), IF(Configuración!$K$2="NO", "ALERTA: DESCUENTO DOBLE NO PERMITIDO", "OK"), "OK"))</f>
        <v/>
      </c>
      <c r="AR1963" s="79">
        <f>IF(AN1963="","",IF(OR(AO1963&lt;&gt;"OK", AP1963&lt;&gt;"OK", AQ1963&lt;&gt;"OK"), "⚠️ REVISAR", "OK"))</f>
        <v/>
      </c>
    </row>
    <row r="1964">
      <c r="A1964" s="79">
        <f>IF('Ordenes_Odoo'!A1964="","",'Ordenes_Odoo'!A1964)</f>
        <v/>
      </c>
      <c r="B1964" s="80">
        <f>IF('Ordenes_Odoo'!B1964="","",'Ordenes_Odoo'!B1964)</f>
        <v/>
      </c>
      <c r="C1964" s="79">
        <f>IF('Ordenes_Odoo'!C1964="","",'Ordenes_Odoo'!C1964)</f>
        <v/>
      </c>
      <c r="D1964" s="79">
        <f>IF('Ordenes_Odoo'!D1964="","",'Ordenes_Odoo'!D1964)</f>
        <v/>
      </c>
      <c r="E1964" s="79">
        <f>IF('Ordenes_Odoo'!E1964="","",'Ordenes_Odoo'!E1964)</f>
        <v/>
      </c>
      <c r="F1964" s="79">
        <f>IF('Ordenes_Odoo'!F1964="","",'Ordenes_Odoo'!F1964)</f>
        <v/>
      </c>
      <c r="G1964" s="79">
        <f>IF('Ordenes_Odoo'!G1964="","",'Ordenes_Odoo'!G1964)</f>
        <v/>
      </c>
      <c r="H1964" s="79">
        <f>IF('Ordenes_Odoo'!H1964="","",'Ordenes_Odoo'!H1964)</f>
        <v/>
      </c>
      <c r="I1964" s="79">
        <f>IF('Ordenes_Odoo'!I1964="","",'Ordenes_Odoo'!I1964)</f>
        <v/>
      </c>
      <c r="J1964" s="79">
        <f>IF('Ordenes_Odoo'!J1964="","",'Ordenes_Odoo'!J1964)</f>
        <v/>
      </c>
      <c r="K1964" s="81">
        <f>IF('Ordenes_Odoo'!K1964="","",'Ordenes_Odoo'!K1964)</f>
        <v/>
      </c>
      <c r="L1964" s="81">
        <f>IF('Ordenes_Odoo'!L1964="","",'Ordenes_Odoo'!L1964)</f>
        <v/>
      </c>
      <c r="M1964" s="79">
        <f>IF('Ordenes_Odoo'!M1964="","",'Ordenes_Odoo'!M1964)</f>
        <v/>
      </c>
      <c r="N1964" s="79">
        <f>IF('Ordenes_Odoo'!N1964="","",'Ordenes_Odoo'!N1964)</f>
        <v/>
      </c>
      <c r="O1964" s="81">
        <f>IF('Ordenes_Odoo'!O1964="","",'Ordenes_Odoo'!O1964)</f>
        <v/>
      </c>
      <c r="P1964" s="81">
        <f>IF('Ordenes_Odoo'!P1964="","",'Ordenes_Odoo'!P1964)</f>
        <v/>
      </c>
      <c r="Q1964" s="79">
        <f>IF(A1964="","",IFERROR(INDEX(Facturas_Odoo!$B:$B, MATCH(A1964, Facturas_Odoo!$D:$D, 0)), "Sin Factura"))</f>
        <v/>
      </c>
      <c r="R1964" s="80">
        <f>IF(Q1964="Sin Factura","",IFERROR(INDEX(Facturas_Odoo!$A:$A, MATCH(Q1964, Facturas_Odoo!$B:$B, 0)), ""))</f>
        <v/>
      </c>
      <c r="S1964" s="79">
        <f>IF(Q1964="Sin Factura","",IFERROR(_xlfn.XLOOKUP(1, (Facturas_Odoo!$D:$D=A1964) * (Facturas_Odoo!$K:$K=I1964), Facturas_Odoo!$L:$L, ""), ""))</f>
        <v/>
      </c>
      <c r="T1964" s="81">
        <f>IF(Q1964="Sin Factura",0,IFERROR(_xlfn.XLOOKUP(1, (Facturas_Odoo!$D:$D=A1964) * (Facturas_Odoo!$K:$K=I1964), Facturas_Odoo!$M:$M, 0), 0))</f>
        <v/>
      </c>
      <c r="U1964" s="79">
        <f>IF(Q1964="Sin Factura",0,IFERROR(_xlfn.XLOOKUP(1, (Facturas_Odoo!$D:$D=A1964) * (Facturas_Odoo!$K:$K=I1964), Facturas_Odoo!$N:$N, 0), 0))</f>
        <v/>
      </c>
      <c r="V1964" s="79">
        <f>IF(Q1964="Sin Factura",0,IFERROR(_xlfn.XLOOKUP(1, (Facturas_Odoo!$D:$D=A1964) * (Facturas_Odoo!$K:$K=I1964), Facturas_Odoo!$O:$O, 0), 0))</f>
        <v/>
      </c>
      <c r="W1964" s="81">
        <f>IF(Q1964="Sin Factura",0,IFERROR(_xlfn.XLOOKUP(1, (Facturas_Odoo!$D:$D=A1964) * (Facturas_Odoo!$K:$K=I1964), Facturas_Odoo!$Q:$Q, 0), 0))</f>
        <v/>
      </c>
      <c r="X1964" s="79">
        <f>IF(OR(Q1964="Sin Factura",Q1964=""),"",IFERROR(INDEX(Pagos_Odoo!$B:$B, MATCH(Q1964, Pagos_Odoo!$I:$I, 0)), "Sin Pago"))</f>
        <v/>
      </c>
      <c r="Y1964" s="79">
        <f>IF(X1964="Sin Pago","",IFERROR(INDEX(Pagos_Odoo!$C:$C, MATCH(X1964, Pagos_Odoo!$B:$B, 0)), ""))</f>
        <v/>
      </c>
      <c r="Z1964" s="80">
        <f>IF(X1964="Sin Pago","",IFERROR(INDEX(Pagos_Odoo!$A:$A, MATCH(X1964, Pagos_Odoo!$B:$B, 0)), ""))</f>
        <v/>
      </c>
      <c r="AA1964" s="79">
        <f>IF(X1964="Sin Pago","",IFERROR(INDEX(Pagos_Odoo!$F:$F, MATCH(X1964, Pagos_Odoo!$B:$B, 0)), ""))</f>
        <v/>
      </c>
      <c r="AB1964" s="81">
        <f>IF(X1964="Sin Pago",0,IFERROR(INDEX(Pagos_Odoo!$E:$E, MATCH(X1964, Pagos_Odoo!$B:$B, 0)), 0))</f>
        <v/>
      </c>
      <c r="AC1964" s="79">
        <f>IF(X1964="Sin Pago","",IFERROR(INDEX(Pagos_Odoo!$G:$G, MATCH(X1964, Pagos_Odoo!$B:$B, 0)), ""))</f>
        <v/>
      </c>
      <c r="AD1964" s="82" t="n">
        <v>0</v>
      </c>
      <c r="AE1964" s="82" t="n"/>
      <c r="AF1964" s="82" t="n"/>
      <c r="AG1964" s="82">
        <f>IF(AN1964="","",AD1964+AE1964+AF1964)</f>
        <v/>
      </c>
      <c r="AH1964" s="81">
        <f>IF(AN1964="","",P1964*(1-AG1964))</f>
        <v/>
      </c>
      <c r="AI1964" s="81">
        <f>IF(AN1964="","",IF(Q1964="Sin Factura",0,IFERROR(INDEX(Facturas_Odoo!$H:$H, MATCH(Q1964, Facturas_Odoo!$B:$B, 0)), 0)*(1-AG1964)))</f>
        <v/>
      </c>
      <c r="AJ1964" s="81">
        <f>IF(AN1964="","",_xlfn.LET(idVenta, AN1964&amp;"",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64" s="81">
        <f>IF(AN1964="","",AH1964-AJ1964)</f>
        <v/>
      </c>
      <c r="AL1964" s="81">
        <f>IF(AN1964="","",IF(Q1964="Sin Factura","",AI1964-AJ1964))</f>
        <v/>
      </c>
      <c r="AM1964" s="81">
        <f>IF(AN1964="","",IF(Q1964="Sin Factura",0,P1964-IFERROR(INDEX(Facturas_Odoo!$H:$H, MATCH(Q1964, Facturas_Odoo!$B:$B, 0)), 0)))</f>
        <v/>
      </c>
      <c r="AN1964" s="79">
        <f>IF(AND(A1964="", J1964=""), "", IF(A1964&lt;&gt;"", VALUE(MID(A1964,2,LEN(A1964))), AN1963))</f>
        <v/>
      </c>
      <c r="AO1964" s="79">
        <f>IF(AN1964="","",IF(AD1964=0,"OK",_xlfn.LET(monedaPago, IF(AA1964="","USD",AA1964), limitePermitido, IFERROR(VLOOKUP(monedaPago, Configuración!$A$2:$B$3, 2, FALSE), 0.15), IF(AD1964&gt;limitePermitido, "ALERTA: EXCESO (" &amp; TEXT(limitePermitido, "0%") &amp; " máx)", "OK"))))</f>
        <v/>
      </c>
      <c r="AP1964" s="79">
        <f>IF(AN1964="","",IF(AE1964=0,"OK",_xlfn.LET(fechaPago, Z1964, fechaFactura, R1964, diasCredito, IF(E1964="Pago inmediato", 0, IFERROR(VALUE(MID(E1964, 1, SEARCH(" ", E1964)-1)),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64" s="79">
        <f>IF(AN1964="","",IF(AND(N1964&gt;0, AG1964&gt;0), IF(Configuración!$K$2="NO", "ALERTA: DESCUENTO DOBLE NO PERMITIDO", "OK"), "OK"))</f>
        <v/>
      </c>
      <c r="AR1964" s="79">
        <f>IF(AN1964="","",IF(OR(AO1964&lt;&gt;"OK", AP1964&lt;&gt;"OK", AQ1964&lt;&gt;"OK"), "⚠️ REVISAR", "OK"))</f>
        <v/>
      </c>
    </row>
    <row r="1965">
      <c r="A1965" s="79">
        <f>IF('Ordenes_Odoo'!A1965="","",'Ordenes_Odoo'!A1965)</f>
        <v/>
      </c>
      <c r="B1965" s="80">
        <f>IF('Ordenes_Odoo'!B1965="","",'Ordenes_Odoo'!B1965)</f>
        <v/>
      </c>
      <c r="C1965" s="79">
        <f>IF('Ordenes_Odoo'!C1965="","",'Ordenes_Odoo'!C1965)</f>
        <v/>
      </c>
      <c r="D1965" s="79">
        <f>IF('Ordenes_Odoo'!D1965="","",'Ordenes_Odoo'!D1965)</f>
        <v/>
      </c>
      <c r="E1965" s="79">
        <f>IF('Ordenes_Odoo'!E1965="","",'Ordenes_Odoo'!E1965)</f>
        <v/>
      </c>
      <c r="F1965" s="79">
        <f>IF('Ordenes_Odoo'!F1965="","",'Ordenes_Odoo'!F1965)</f>
        <v/>
      </c>
      <c r="G1965" s="79">
        <f>IF('Ordenes_Odoo'!G1965="","",'Ordenes_Odoo'!G1965)</f>
        <v/>
      </c>
      <c r="H1965" s="79">
        <f>IF('Ordenes_Odoo'!H1965="","",'Ordenes_Odoo'!H1965)</f>
        <v/>
      </c>
      <c r="I1965" s="79">
        <f>IF('Ordenes_Odoo'!I1965="","",'Ordenes_Odoo'!I1965)</f>
        <v/>
      </c>
      <c r="J1965" s="79">
        <f>IF('Ordenes_Odoo'!J1965="","",'Ordenes_Odoo'!J1965)</f>
        <v/>
      </c>
      <c r="K1965" s="81">
        <f>IF('Ordenes_Odoo'!K1965="","",'Ordenes_Odoo'!K1965)</f>
        <v/>
      </c>
      <c r="L1965" s="81">
        <f>IF('Ordenes_Odoo'!L1965="","",'Ordenes_Odoo'!L1965)</f>
        <v/>
      </c>
      <c r="M1965" s="79">
        <f>IF('Ordenes_Odoo'!M1965="","",'Ordenes_Odoo'!M1965)</f>
        <v/>
      </c>
      <c r="N1965" s="79">
        <f>IF('Ordenes_Odoo'!N1965="","",'Ordenes_Odoo'!N1965)</f>
        <v/>
      </c>
      <c r="O1965" s="81">
        <f>IF('Ordenes_Odoo'!O1965="","",'Ordenes_Odoo'!O1965)</f>
        <v/>
      </c>
      <c r="P1965" s="81">
        <f>IF('Ordenes_Odoo'!P1965="","",'Ordenes_Odoo'!P1965)</f>
        <v/>
      </c>
      <c r="Q1965" s="79">
        <f>IF(A1965="","",IFERROR(INDEX(Facturas_Odoo!$B:$B, MATCH(A1965, Facturas_Odoo!$D:$D, 0)), "Sin Factura"))</f>
        <v/>
      </c>
      <c r="R1965" s="80">
        <f>IF(Q1965="Sin Factura","",IFERROR(INDEX(Facturas_Odoo!$A:$A, MATCH(Q1965, Facturas_Odoo!$B:$B, 0)), ""))</f>
        <v/>
      </c>
      <c r="S1965" s="79">
        <f>IF(Q1965="Sin Factura","",IFERROR(_xlfn.XLOOKUP(1, (Facturas_Odoo!$D:$D=A1965) * (Facturas_Odoo!$K:$K=I1965), Facturas_Odoo!$L:$L, ""), ""))</f>
        <v/>
      </c>
      <c r="T1965" s="81">
        <f>IF(Q1965="Sin Factura",0,IFERROR(_xlfn.XLOOKUP(1, (Facturas_Odoo!$D:$D=A1965) * (Facturas_Odoo!$K:$K=I1965), Facturas_Odoo!$M:$M, 0), 0))</f>
        <v/>
      </c>
      <c r="U1965" s="79">
        <f>IF(Q1965="Sin Factura",0,IFERROR(_xlfn.XLOOKUP(1, (Facturas_Odoo!$D:$D=A1965) * (Facturas_Odoo!$K:$K=I1965), Facturas_Odoo!$N:$N, 0), 0))</f>
        <v/>
      </c>
      <c r="V1965" s="79">
        <f>IF(Q1965="Sin Factura",0,IFERROR(_xlfn.XLOOKUP(1, (Facturas_Odoo!$D:$D=A1965) * (Facturas_Odoo!$K:$K=I1965), Facturas_Odoo!$O:$O, 0), 0))</f>
        <v/>
      </c>
      <c r="W1965" s="81">
        <f>IF(Q1965="Sin Factura",0,IFERROR(_xlfn.XLOOKUP(1, (Facturas_Odoo!$D:$D=A1965) * (Facturas_Odoo!$K:$K=I1965), Facturas_Odoo!$Q:$Q, 0), 0))</f>
        <v/>
      </c>
      <c r="X1965" s="79">
        <f>IF(OR(Q1965="Sin Factura",Q1965=""),"",IFERROR(INDEX(Pagos_Odoo!$B:$B, MATCH(Q1965, Pagos_Odoo!$I:$I, 0)), "Sin Pago"))</f>
        <v/>
      </c>
      <c r="Y1965" s="79">
        <f>IF(X1965="Sin Pago","",IFERROR(INDEX(Pagos_Odoo!$C:$C, MATCH(X1965, Pagos_Odoo!$B:$B, 0)), ""))</f>
        <v/>
      </c>
      <c r="Z1965" s="80">
        <f>IF(X1965="Sin Pago","",IFERROR(INDEX(Pagos_Odoo!$A:$A, MATCH(X1965, Pagos_Odoo!$B:$B, 0)), ""))</f>
        <v/>
      </c>
      <c r="AA1965" s="79">
        <f>IF(X1965="Sin Pago","",IFERROR(INDEX(Pagos_Odoo!$F:$F, MATCH(X1965, Pagos_Odoo!$B:$B, 0)), ""))</f>
        <v/>
      </c>
      <c r="AB1965" s="81">
        <f>IF(X1965="Sin Pago",0,IFERROR(INDEX(Pagos_Odoo!$E:$E, MATCH(X1965, Pagos_Odoo!$B:$B, 0)), 0))</f>
        <v/>
      </c>
      <c r="AC1965" s="79">
        <f>IF(X1965="Sin Pago","",IFERROR(INDEX(Pagos_Odoo!$G:$G, MATCH(X1965, Pagos_Odoo!$B:$B, 0)), ""))</f>
        <v/>
      </c>
      <c r="AD1965" s="82" t="n">
        <v>0</v>
      </c>
      <c r="AE1965" s="82" t="n"/>
      <c r="AF1965" s="82" t="n"/>
      <c r="AG1965" s="82">
        <f>IF(AN1965="","",AD1965+AE1965+AF1965)</f>
        <v/>
      </c>
      <c r="AH1965" s="81">
        <f>IF(AN1965="","",P1965*(1-AG1965))</f>
        <v/>
      </c>
      <c r="AI1965" s="81">
        <f>IF(AN1965="","",IF(Q1965="Sin Factura",0,IFERROR(INDEX(Facturas_Odoo!$H:$H, MATCH(Q1965, Facturas_Odoo!$B:$B, 0)), 0)*(1-AG1965)))</f>
        <v/>
      </c>
      <c r="AJ1965" s="81">
        <f>IF(AN1965="","",_xlfn.LET(idVenta, AN1965&amp;"",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65" s="81">
        <f>IF(AN1965="","",AH1965-AJ1965)</f>
        <v/>
      </c>
      <c r="AL1965" s="81">
        <f>IF(AN1965="","",IF(Q1965="Sin Factura","",AI1965-AJ1965))</f>
        <v/>
      </c>
      <c r="AM1965" s="81">
        <f>IF(AN1965="","",IF(Q1965="Sin Factura",0,P1965-IFERROR(INDEX(Facturas_Odoo!$H:$H, MATCH(Q1965, Facturas_Odoo!$B:$B, 0)), 0)))</f>
        <v/>
      </c>
      <c r="AN1965" s="79">
        <f>IF(AND(A1965="", J1965=""), "", IF(A1965&lt;&gt;"", VALUE(MID(A1965,2,LEN(A1965))), AN1964))</f>
        <v/>
      </c>
      <c r="AO1965" s="79">
        <f>IF(AN1965="","",IF(AD1965=0,"OK",_xlfn.LET(monedaPago, IF(AA1965="","USD",AA1965), limitePermitido, IFERROR(VLOOKUP(monedaPago, Configuración!$A$2:$B$3, 2, FALSE), 0.15), IF(AD1965&gt;limitePermitido, "ALERTA: EXCESO (" &amp; TEXT(limitePermitido, "0%") &amp; " máx)", "OK"))))</f>
        <v/>
      </c>
      <c r="AP1965" s="79">
        <f>IF(AN1965="","",IF(AE1965=0,"OK",_xlfn.LET(fechaPago, Z1965, fechaFactura, R1965, diasCredito, IF(E1965="Pago inmediato", 0, IFERROR(VALUE(MID(E1965, 1, SEARCH(" ", E1965)-1)),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65" s="79">
        <f>IF(AN1965="","",IF(AND(N1965&gt;0, AG1965&gt;0), IF(Configuración!$K$2="NO", "ALERTA: DESCUENTO DOBLE NO PERMITIDO", "OK"), "OK"))</f>
        <v/>
      </c>
      <c r="AR1965" s="79">
        <f>IF(AN1965="","",IF(OR(AO1965&lt;&gt;"OK", AP1965&lt;&gt;"OK", AQ1965&lt;&gt;"OK"), "⚠️ REVISAR", "OK"))</f>
        <v/>
      </c>
    </row>
    <row r="1966">
      <c r="A1966" s="79">
        <f>IF('Ordenes_Odoo'!A1966="","",'Ordenes_Odoo'!A1966)</f>
        <v/>
      </c>
      <c r="B1966" s="80">
        <f>IF('Ordenes_Odoo'!B1966="","",'Ordenes_Odoo'!B1966)</f>
        <v/>
      </c>
      <c r="C1966" s="79">
        <f>IF('Ordenes_Odoo'!C1966="","",'Ordenes_Odoo'!C1966)</f>
        <v/>
      </c>
      <c r="D1966" s="79">
        <f>IF('Ordenes_Odoo'!D1966="","",'Ordenes_Odoo'!D1966)</f>
        <v/>
      </c>
      <c r="E1966" s="79">
        <f>IF('Ordenes_Odoo'!E1966="","",'Ordenes_Odoo'!E1966)</f>
        <v/>
      </c>
      <c r="F1966" s="79">
        <f>IF('Ordenes_Odoo'!F1966="","",'Ordenes_Odoo'!F1966)</f>
        <v/>
      </c>
      <c r="G1966" s="79">
        <f>IF('Ordenes_Odoo'!G1966="","",'Ordenes_Odoo'!G1966)</f>
        <v/>
      </c>
      <c r="H1966" s="79">
        <f>IF('Ordenes_Odoo'!H1966="","",'Ordenes_Odoo'!H1966)</f>
        <v/>
      </c>
      <c r="I1966" s="79">
        <f>IF('Ordenes_Odoo'!I1966="","",'Ordenes_Odoo'!I1966)</f>
        <v/>
      </c>
      <c r="J1966" s="79">
        <f>IF('Ordenes_Odoo'!J1966="","",'Ordenes_Odoo'!J1966)</f>
        <v/>
      </c>
      <c r="K1966" s="81">
        <f>IF('Ordenes_Odoo'!K1966="","",'Ordenes_Odoo'!K1966)</f>
        <v/>
      </c>
      <c r="L1966" s="81">
        <f>IF('Ordenes_Odoo'!L1966="","",'Ordenes_Odoo'!L1966)</f>
        <v/>
      </c>
      <c r="M1966" s="79">
        <f>IF('Ordenes_Odoo'!M1966="","",'Ordenes_Odoo'!M1966)</f>
        <v/>
      </c>
      <c r="N1966" s="79">
        <f>IF('Ordenes_Odoo'!N1966="","",'Ordenes_Odoo'!N1966)</f>
        <v/>
      </c>
      <c r="O1966" s="81">
        <f>IF('Ordenes_Odoo'!O1966="","",'Ordenes_Odoo'!O1966)</f>
        <v/>
      </c>
      <c r="P1966" s="81">
        <f>IF('Ordenes_Odoo'!P1966="","",'Ordenes_Odoo'!P1966)</f>
        <v/>
      </c>
      <c r="Q1966" s="79">
        <f>IF(A1966="","",IFERROR(INDEX(Facturas_Odoo!$B:$B, MATCH(A1966, Facturas_Odoo!$D:$D, 0)), "Sin Factura"))</f>
        <v/>
      </c>
      <c r="R1966" s="80">
        <f>IF(Q1966="Sin Factura","",IFERROR(INDEX(Facturas_Odoo!$A:$A, MATCH(Q1966, Facturas_Odoo!$B:$B, 0)), ""))</f>
        <v/>
      </c>
      <c r="S1966" s="79">
        <f>IF(Q1966="Sin Factura","",IFERROR(_xlfn.XLOOKUP(1, (Facturas_Odoo!$D:$D=A1966) * (Facturas_Odoo!$K:$K=I1966), Facturas_Odoo!$L:$L, ""), ""))</f>
        <v/>
      </c>
      <c r="T1966" s="81">
        <f>IF(Q1966="Sin Factura",0,IFERROR(_xlfn.XLOOKUP(1, (Facturas_Odoo!$D:$D=A1966) * (Facturas_Odoo!$K:$K=I1966), Facturas_Odoo!$M:$M, 0), 0))</f>
        <v/>
      </c>
      <c r="U1966" s="79">
        <f>IF(Q1966="Sin Factura",0,IFERROR(_xlfn.XLOOKUP(1, (Facturas_Odoo!$D:$D=A1966) * (Facturas_Odoo!$K:$K=I1966), Facturas_Odoo!$N:$N, 0), 0))</f>
        <v/>
      </c>
      <c r="V1966" s="79">
        <f>IF(Q1966="Sin Factura",0,IFERROR(_xlfn.XLOOKUP(1, (Facturas_Odoo!$D:$D=A1966) * (Facturas_Odoo!$K:$K=I1966), Facturas_Odoo!$O:$O, 0), 0))</f>
        <v/>
      </c>
      <c r="W1966" s="81">
        <f>IF(Q1966="Sin Factura",0,IFERROR(_xlfn.XLOOKUP(1, (Facturas_Odoo!$D:$D=A1966) * (Facturas_Odoo!$K:$K=I1966), Facturas_Odoo!$Q:$Q, 0), 0))</f>
        <v/>
      </c>
      <c r="X1966" s="79">
        <f>IF(OR(Q1966="Sin Factura",Q1966=""),"",IFERROR(INDEX(Pagos_Odoo!$B:$B, MATCH(Q1966, Pagos_Odoo!$I:$I, 0)), "Sin Pago"))</f>
        <v/>
      </c>
      <c r="Y1966" s="79">
        <f>IF(X1966="Sin Pago","",IFERROR(INDEX(Pagos_Odoo!$C:$C, MATCH(X1966, Pagos_Odoo!$B:$B, 0)), ""))</f>
        <v/>
      </c>
      <c r="Z1966" s="80">
        <f>IF(X1966="Sin Pago","",IFERROR(INDEX(Pagos_Odoo!$A:$A, MATCH(X1966, Pagos_Odoo!$B:$B, 0)), ""))</f>
        <v/>
      </c>
      <c r="AA1966" s="79">
        <f>IF(X1966="Sin Pago","",IFERROR(INDEX(Pagos_Odoo!$F:$F, MATCH(X1966, Pagos_Odoo!$B:$B, 0)), ""))</f>
        <v/>
      </c>
      <c r="AB1966" s="81">
        <f>IF(X1966="Sin Pago",0,IFERROR(INDEX(Pagos_Odoo!$E:$E, MATCH(X1966, Pagos_Odoo!$B:$B, 0)), 0))</f>
        <v/>
      </c>
      <c r="AC1966" s="79">
        <f>IF(X1966="Sin Pago","",IFERROR(INDEX(Pagos_Odoo!$G:$G, MATCH(X1966, Pagos_Odoo!$B:$B, 0)), ""))</f>
        <v/>
      </c>
      <c r="AD1966" s="82" t="n">
        <v>0</v>
      </c>
      <c r="AE1966" s="82" t="n"/>
      <c r="AF1966" s="82" t="n"/>
      <c r="AG1966" s="82">
        <f>IF(AN1966="","",AD1966+AE1966+AF1966)</f>
        <v/>
      </c>
      <c r="AH1966" s="81">
        <f>IF(AN1966="","",P1966*(1-AG1966))</f>
        <v/>
      </c>
      <c r="AI1966" s="81">
        <f>IF(AN1966="","",IF(Q1966="Sin Factura",0,IFERROR(INDEX(Facturas_Odoo!$H:$H, MATCH(Q1966, Facturas_Odoo!$B:$B, 0)), 0)*(1-AG1966)))</f>
        <v/>
      </c>
      <c r="AJ1966" s="81">
        <f>IF(AN1966="","",_xlfn.LET(idVenta, AN1966&amp;"",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66" s="81">
        <f>IF(AN1966="","",AH1966-AJ1966)</f>
        <v/>
      </c>
      <c r="AL1966" s="81">
        <f>IF(AN1966="","",IF(Q1966="Sin Factura","",AI1966-AJ1966))</f>
        <v/>
      </c>
      <c r="AM1966" s="81">
        <f>IF(AN1966="","",IF(Q1966="Sin Factura",0,P1966-IFERROR(INDEX(Facturas_Odoo!$H:$H, MATCH(Q1966, Facturas_Odoo!$B:$B, 0)), 0)))</f>
        <v/>
      </c>
      <c r="AN1966" s="79">
        <f>IF(AND(A1966="", J1966=""), "", IF(A1966&lt;&gt;"", VALUE(MID(A1966,2,LEN(A1966))), AN1965))</f>
        <v/>
      </c>
      <c r="AO1966" s="79">
        <f>IF(AN1966="","",IF(AD1966=0,"OK",_xlfn.LET(monedaPago, IF(AA1966="","USD",AA1966), limitePermitido, IFERROR(VLOOKUP(monedaPago, Configuración!$A$2:$B$3, 2, FALSE), 0.15), IF(AD1966&gt;limitePermitido, "ALERTA: EXCESO (" &amp; TEXT(limitePermitido, "0%") &amp; " máx)", "OK"))))</f>
        <v/>
      </c>
      <c r="AP1966" s="79">
        <f>IF(AN1966="","",IF(AE1966=0,"OK",_xlfn.LET(fechaPago, Z1966, fechaFactura, R1966, diasCredito, IF(E1966="Pago inmediato", 0, IFERROR(VALUE(MID(E1966, 1, SEARCH(" ", E1966)-1)),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66" s="79">
        <f>IF(AN1966="","",IF(AND(N1966&gt;0, AG1966&gt;0), IF(Configuración!$K$2="NO", "ALERTA: DESCUENTO DOBLE NO PERMITIDO", "OK"), "OK"))</f>
        <v/>
      </c>
      <c r="AR1966" s="79">
        <f>IF(AN1966="","",IF(OR(AO1966&lt;&gt;"OK", AP1966&lt;&gt;"OK", AQ1966&lt;&gt;"OK"), "⚠️ REVISAR", "OK"))</f>
        <v/>
      </c>
    </row>
    <row r="1967">
      <c r="A1967" s="79">
        <f>IF('Ordenes_Odoo'!A1967="","",'Ordenes_Odoo'!A1967)</f>
        <v/>
      </c>
      <c r="B1967" s="80">
        <f>IF('Ordenes_Odoo'!B1967="","",'Ordenes_Odoo'!B1967)</f>
        <v/>
      </c>
      <c r="C1967" s="79">
        <f>IF('Ordenes_Odoo'!C1967="","",'Ordenes_Odoo'!C1967)</f>
        <v/>
      </c>
      <c r="D1967" s="79">
        <f>IF('Ordenes_Odoo'!D1967="","",'Ordenes_Odoo'!D1967)</f>
        <v/>
      </c>
      <c r="E1967" s="79">
        <f>IF('Ordenes_Odoo'!E1967="","",'Ordenes_Odoo'!E1967)</f>
        <v/>
      </c>
      <c r="F1967" s="79">
        <f>IF('Ordenes_Odoo'!F1967="","",'Ordenes_Odoo'!F1967)</f>
        <v/>
      </c>
      <c r="G1967" s="79">
        <f>IF('Ordenes_Odoo'!G1967="","",'Ordenes_Odoo'!G1967)</f>
        <v/>
      </c>
      <c r="H1967" s="79">
        <f>IF('Ordenes_Odoo'!H1967="","",'Ordenes_Odoo'!H1967)</f>
        <v/>
      </c>
      <c r="I1967" s="79">
        <f>IF('Ordenes_Odoo'!I1967="","",'Ordenes_Odoo'!I1967)</f>
        <v/>
      </c>
      <c r="J1967" s="79">
        <f>IF('Ordenes_Odoo'!J1967="","",'Ordenes_Odoo'!J1967)</f>
        <v/>
      </c>
      <c r="K1967" s="81">
        <f>IF('Ordenes_Odoo'!K1967="","",'Ordenes_Odoo'!K1967)</f>
        <v/>
      </c>
      <c r="L1967" s="81">
        <f>IF('Ordenes_Odoo'!L1967="","",'Ordenes_Odoo'!L1967)</f>
        <v/>
      </c>
      <c r="M1967" s="79">
        <f>IF('Ordenes_Odoo'!M1967="","",'Ordenes_Odoo'!M1967)</f>
        <v/>
      </c>
      <c r="N1967" s="79">
        <f>IF('Ordenes_Odoo'!N1967="","",'Ordenes_Odoo'!N1967)</f>
        <v/>
      </c>
      <c r="O1967" s="81">
        <f>IF('Ordenes_Odoo'!O1967="","",'Ordenes_Odoo'!O1967)</f>
        <v/>
      </c>
      <c r="P1967" s="81">
        <f>IF('Ordenes_Odoo'!P1967="","",'Ordenes_Odoo'!P1967)</f>
        <v/>
      </c>
      <c r="Q1967" s="79">
        <f>IF(A1967="","",IFERROR(INDEX(Facturas_Odoo!$B:$B, MATCH(A1967, Facturas_Odoo!$D:$D, 0)), "Sin Factura"))</f>
        <v/>
      </c>
      <c r="R1967" s="80">
        <f>IF(Q1967="Sin Factura","",IFERROR(INDEX(Facturas_Odoo!$A:$A, MATCH(Q1967, Facturas_Odoo!$B:$B, 0)), ""))</f>
        <v/>
      </c>
      <c r="S1967" s="79">
        <f>IF(Q1967="Sin Factura","",IFERROR(_xlfn.XLOOKUP(1, (Facturas_Odoo!$D:$D=A1967) * (Facturas_Odoo!$K:$K=I1967), Facturas_Odoo!$L:$L, ""), ""))</f>
        <v/>
      </c>
      <c r="T1967" s="81">
        <f>IF(Q1967="Sin Factura",0,IFERROR(_xlfn.XLOOKUP(1, (Facturas_Odoo!$D:$D=A1967) * (Facturas_Odoo!$K:$K=I1967), Facturas_Odoo!$M:$M, 0), 0))</f>
        <v/>
      </c>
      <c r="U1967" s="79">
        <f>IF(Q1967="Sin Factura",0,IFERROR(_xlfn.XLOOKUP(1, (Facturas_Odoo!$D:$D=A1967) * (Facturas_Odoo!$K:$K=I1967), Facturas_Odoo!$N:$N, 0), 0))</f>
        <v/>
      </c>
      <c r="V1967" s="79">
        <f>IF(Q1967="Sin Factura",0,IFERROR(_xlfn.XLOOKUP(1, (Facturas_Odoo!$D:$D=A1967) * (Facturas_Odoo!$K:$K=I1967), Facturas_Odoo!$O:$O, 0), 0))</f>
        <v/>
      </c>
      <c r="W1967" s="81">
        <f>IF(Q1967="Sin Factura",0,IFERROR(_xlfn.XLOOKUP(1, (Facturas_Odoo!$D:$D=A1967) * (Facturas_Odoo!$K:$K=I1967), Facturas_Odoo!$Q:$Q, 0), 0))</f>
        <v/>
      </c>
      <c r="X1967" s="79">
        <f>IF(OR(Q1967="Sin Factura",Q1967=""),"",IFERROR(INDEX(Pagos_Odoo!$B:$B, MATCH(Q1967, Pagos_Odoo!$I:$I, 0)), "Sin Pago"))</f>
        <v/>
      </c>
      <c r="Y1967" s="79">
        <f>IF(X1967="Sin Pago","",IFERROR(INDEX(Pagos_Odoo!$C:$C, MATCH(X1967, Pagos_Odoo!$B:$B, 0)), ""))</f>
        <v/>
      </c>
      <c r="Z1967" s="80">
        <f>IF(X1967="Sin Pago","",IFERROR(INDEX(Pagos_Odoo!$A:$A, MATCH(X1967, Pagos_Odoo!$B:$B, 0)), ""))</f>
        <v/>
      </c>
      <c r="AA1967" s="79">
        <f>IF(X1967="Sin Pago","",IFERROR(INDEX(Pagos_Odoo!$F:$F, MATCH(X1967, Pagos_Odoo!$B:$B, 0)), ""))</f>
        <v/>
      </c>
      <c r="AB1967" s="81">
        <f>IF(X1967="Sin Pago",0,IFERROR(INDEX(Pagos_Odoo!$E:$E, MATCH(X1967, Pagos_Odoo!$B:$B, 0)), 0))</f>
        <v/>
      </c>
      <c r="AC1967" s="79">
        <f>IF(X1967="Sin Pago","",IFERROR(INDEX(Pagos_Odoo!$G:$G, MATCH(X1967, Pagos_Odoo!$B:$B, 0)), ""))</f>
        <v/>
      </c>
      <c r="AD1967" s="82" t="n">
        <v>0</v>
      </c>
      <c r="AE1967" s="82" t="n"/>
      <c r="AF1967" s="82" t="n"/>
      <c r="AG1967" s="82">
        <f>IF(AN1967="","",AD1967+AE1967+AF1967)</f>
        <v/>
      </c>
      <c r="AH1967" s="81">
        <f>IF(AN1967="","",P1967*(1-AG1967))</f>
        <v/>
      </c>
      <c r="AI1967" s="81">
        <f>IF(AN1967="","",IF(Q1967="Sin Factura",0,IFERROR(INDEX(Facturas_Odoo!$H:$H, MATCH(Q1967, Facturas_Odoo!$B:$B, 0)), 0)*(1-AG1967)))</f>
        <v/>
      </c>
      <c r="AJ1967" s="81">
        <f>IF(AN1967="","",_xlfn.LET(idVenta, AN1967&amp;"",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67" s="81">
        <f>IF(AN1967="","",AH1967-AJ1967)</f>
        <v/>
      </c>
      <c r="AL1967" s="81">
        <f>IF(AN1967="","",IF(Q1967="Sin Factura","",AI1967-AJ1967))</f>
        <v/>
      </c>
      <c r="AM1967" s="81">
        <f>IF(AN1967="","",IF(Q1967="Sin Factura",0,P1967-IFERROR(INDEX(Facturas_Odoo!$H:$H, MATCH(Q1967, Facturas_Odoo!$B:$B, 0)), 0)))</f>
        <v/>
      </c>
      <c r="AN1967" s="79">
        <f>IF(AND(A1967="", J1967=""), "", IF(A1967&lt;&gt;"", VALUE(MID(A1967,2,LEN(A1967))), AN1966))</f>
        <v/>
      </c>
      <c r="AO1967" s="79">
        <f>IF(AN1967="","",IF(AD1967=0,"OK",_xlfn.LET(monedaPago, IF(AA1967="","USD",AA1967), limitePermitido, IFERROR(VLOOKUP(monedaPago, Configuración!$A$2:$B$3, 2, FALSE), 0.15), IF(AD1967&gt;limitePermitido, "ALERTA: EXCESO (" &amp; TEXT(limitePermitido, "0%") &amp; " máx)", "OK"))))</f>
        <v/>
      </c>
      <c r="AP1967" s="79">
        <f>IF(AN1967="","",IF(AE1967=0,"OK",_xlfn.LET(fechaPago, Z1967, fechaFactura, R1967, diasCredito, IF(E1967="Pago inmediato", 0, IFERROR(VALUE(MID(E1967, 1, SEARCH(" ", E1967)-1)),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67" s="79">
        <f>IF(AN1967="","",IF(AND(N1967&gt;0, AG1967&gt;0), IF(Configuración!$K$2="NO", "ALERTA: DESCUENTO DOBLE NO PERMITIDO", "OK"), "OK"))</f>
        <v/>
      </c>
      <c r="AR1967" s="79">
        <f>IF(AN1967="","",IF(OR(AO1967&lt;&gt;"OK", AP1967&lt;&gt;"OK", AQ1967&lt;&gt;"OK"), "⚠️ REVISAR", "OK"))</f>
        <v/>
      </c>
    </row>
    <row r="1968">
      <c r="A1968" s="79">
        <f>IF('Ordenes_Odoo'!A1968="","",'Ordenes_Odoo'!A1968)</f>
        <v/>
      </c>
      <c r="B1968" s="80">
        <f>IF('Ordenes_Odoo'!B1968="","",'Ordenes_Odoo'!B1968)</f>
        <v/>
      </c>
      <c r="C1968" s="79">
        <f>IF('Ordenes_Odoo'!C1968="","",'Ordenes_Odoo'!C1968)</f>
        <v/>
      </c>
      <c r="D1968" s="79">
        <f>IF('Ordenes_Odoo'!D1968="","",'Ordenes_Odoo'!D1968)</f>
        <v/>
      </c>
      <c r="E1968" s="79">
        <f>IF('Ordenes_Odoo'!E1968="","",'Ordenes_Odoo'!E1968)</f>
        <v/>
      </c>
      <c r="F1968" s="79">
        <f>IF('Ordenes_Odoo'!F1968="","",'Ordenes_Odoo'!F1968)</f>
        <v/>
      </c>
      <c r="G1968" s="79">
        <f>IF('Ordenes_Odoo'!G1968="","",'Ordenes_Odoo'!G1968)</f>
        <v/>
      </c>
      <c r="H1968" s="79">
        <f>IF('Ordenes_Odoo'!H1968="","",'Ordenes_Odoo'!H1968)</f>
        <v/>
      </c>
      <c r="I1968" s="79">
        <f>IF('Ordenes_Odoo'!I1968="","",'Ordenes_Odoo'!I1968)</f>
        <v/>
      </c>
      <c r="J1968" s="79">
        <f>IF('Ordenes_Odoo'!J1968="","",'Ordenes_Odoo'!J1968)</f>
        <v/>
      </c>
      <c r="K1968" s="81">
        <f>IF('Ordenes_Odoo'!K1968="","",'Ordenes_Odoo'!K1968)</f>
        <v/>
      </c>
      <c r="L1968" s="81">
        <f>IF('Ordenes_Odoo'!L1968="","",'Ordenes_Odoo'!L1968)</f>
        <v/>
      </c>
      <c r="M1968" s="79">
        <f>IF('Ordenes_Odoo'!M1968="","",'Ordenes_Odoo'!M1968)</f>
        <v/>
      </c>
      <c r="N1968" s="79">
        <f>IF('Ordenes_Odoo'!N1968="","",'Ordenes_Odoo'!N1968)</f>
        <v/>
      </c>
      <c r="O1968" s="81">
        <f>IF('Ordenes_Odoo'!O1968="","",'Ordenes_Odoo'!O1968)</f>
        <v/>
      </c>
      <c r="P1968" s="81">
        <f>IF('Ordenes_Odoo'!P1968="","",'Ordenes_Odoo'!P1968)</f>
        <v/>
      </c>
      <c r="Q1968" s="79">
        <f>IF(A1968="","",IFERROR(INDEX(Facturas_Odoo!$B:$B, MATCH(A1968, Facturas_Odoo!$D:$D, 0)), "Sin Factura"))</f>
        <v/>
      </c>
      <c r="R1968" s="80">
        <f>IF(Q1968="Sin Factura","",IFERROR(INDEX(Facturas_Odoo!$A:$A, MATCH(Q1968, Facturas_Odoo!$B:$B, 0)), ""))</f>
        <v/>
      </c>
      <c r="S1968" s="79">
        <f>IF(Q1968="Sin Factura","",IFERROR(_xlfn.XLOOKUP(1, (Facturas_Odoo!$D:$D=A1968) * (Facturas_Odoo!$K:$K=I1968), Facturas_Odoo!$L:$L, ""), ""))</f>
        <v/>
      </c>
      <c r="T1968" s="81">
        <f>IF(Q1968="Sin Factura",0,IFERROR(_xlfn.XLOOKUP(1, (Facturas_Odoo!$D:$D=A1968) * (Facturas_Odoo!$K:$K=I1968), Facturas_Odoo!$M:$M, 0), 0))</f>
        <v/>
      </c>
      <c r="U1968" s="79">
        <f>IF(Q1968="Sin Factura",0,IFERROR(_xlfn.XLOOKUP(1, (Facturas_Odoo!$D:$D=A1968) * (Facturas_Odoo!$K:$K=I1968), Facturas_Odoo!$N:$N, 0), 0))</f>
        <v/>
      </c>
      <c r="V1968" s="79">
        <f>IF(Q1968="Sin Factura",0,IFERROR(_xlfn.XLOOKUP(1, (Facturas_Odoo!$D:$D=A1968) * (Facturas_Odoo!$K:$K=I1968), Facturas_Odoo!$O:$O, 0), 0))</f>
        <v/>
      </c>
      <c r="W1968" s="81">
        <f>IF(Q1968="Sin Factura",0,IFERROR(_xlfn.XLOOKUP(1, (Facturas_Odoo!$D:$D=A1968) * (Facturas_Odoo!$K:$K=I1968), Facturas_Odoo!$Q:$Q, 0), 0))</f>
        <v/>
      </c>
      <c r="X1968" s="79">
        <f>IF(OR(Q1968="Sin Factura",Q1968=""),"",IFERROR(INDEX(Pagos_Odoo!$B:$B, MATCH(Q1968, Pagos_Odoo!$I:$I, 0)), "Sin Pago"))</f>
        <v/>
      </c>
      <c r="Y1968" s="79">
        <f>IF(X1968="Sin Pago","",IFERROR(INDEX(Pagos_Odoo!$C:$C, MATCH(X1968, Pagos_Odoo!$B:$B, 0)), ""))</f>
        <v/>
      </c>
      <c r="Z1968" s="80">
        <f>IF(X1968="Sin Pago","",IFERROR(INDEX(Pagos_Odoo!$A:$A, MATCH(X1968, Pagos_Odoo!$B:$B, 0)), ""))</f>
        <v/>
      </c>
      <c r="AA1968" s="79">
        <f>IF(X1968="Sin Pago","",IFERROR(INDEX(Pagos_Odoo!$F:$F, MATCH(X1968, Pagos_Odoo!$B:$B, 0)), ""))</f>
        <v/>
      </c>
      <c r="AB1968" s="81">
        <f>IF(X1968="Sin Pago",0,IFERROR(INDEX(Pagos_Odoo!$E:$E, MATCH(X1968, Pagos_Odoo!$B:$B, 0)), 0))</f>
        <v/>
      </c>
      <c r="AC1968" s="79">
        <f>IF(X1968="Sin Pago","",IFERROR(INDEX(Pagos_Odoo!$G:$G, MATCH(X1968, Pagos_Odoo!$B:$B, 0)), ""))</f>
        <v/>
      </c>
      <c r="AD1968" s="82" t="n">
        <v>0</v>
      </c>
      <c r="AE1968" s="82" t="n"/>
      <c r="AF1968" s="82" t="n"/>
      <c r="AG1968" s="82">
        <f>IF(AN1968="","",AD1968+AE1968+AF1968)</f>
        <v/>
      </c>
      <c r="AH1968" s="81">
        <f>IF(AN1968="","",P1968*(1-AG1968))</f>
        <v/>
      </c>
      <c r="AI1968" s="81">
        <f>IF(AN1968="","",IF(Q1968="Sin Factura",0,IFERROR(INDEX(Facturas_Odoo!$H:$H, MATCH(Q1968, Facturas_Odoo!$B:$B, 0)), 0)*(1-AG1968)))</f>
        <v/>
      </c>
      <c r="AJ1968" s="81">
        <f>IF(AN1968="","",_xlfn.LET(idVenta, AN1968&amp;"",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68" s="81">
        <f>IF(AN1968="","",AH1968-AJ1968)</f>
        <v/>
      </c>
      <c r="AL1968" s="81">
        <f>IF(AN1968="","",IF(Q1968="Sin Factura","",AI1968-AJ1968))</f>
        <v/>
      </c>
      <c r="AM1968" s="81">
        <f>IF(AN1968="","",IF(Q1968="Sin Factura",0,P1968-IFERROR(INDEX(Facturas_Odoo!$H:$H, MATCH(Q1968, Facturas_Odoo!$B:$B, 0)), 0)))</f>
        <v/>
      </c>
      <c r="AN1968" s="79">
        <f>IF(AND(A1968="", J1968=""), "", IF(A1968&lt;&gt;"", VALUE(MID(A1968,2,LEN(A1968))), AN1967))</f>
        <v/>
      </c>
      <c r="AO1968" s="79">
        <f>IF(AN1968="","",IF(AD1968=0,"OK",_xlfn.LET(monedaPago, IF(AA1968="","USD",AA1968), limitePermitido, IFERROR(VLOOKUP(monedaPago, Configuración!$A$2:$B$3, 2, FALSE), 0.15), IF(AD1968&gt;limitePermitido, "ALERTA: EXCESO (" &amp; TEXT(limitePermitido, "0%") &amp; " máx)", "OK"))))</f>
        <v/>
      </c>
      <c r="AP1968" s="79">
        <f>IF(AN1968="","",IF(AE1968=0,"OK",_xlfn.LET(fechaPago, Z1968, fechaFactura, R1968, diasCredito, IF(E1968="Pago inmediato", 0, IFERROR(VALUE(MID(E1968, 1, SEARCH(" ", E1968)-1)),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68" s="79">
        <f>IF(AN1968="","",IF(AND(N1968&gt;0, AG1968&gt;0), IF(Configuración!$K$2="NO", "ALERTA: DESCUENTO DOBLE NO PERMITIDO", "OK"), "OK"))</f>
        <v/>
      </c>
      <c r="AR1968" s="79">
        <f>IF(AN1968="","",IF(OR(AO1968&lt;&gt;"OK", AP1968&lt;&gt;"OK", AQ1968&lt;&gt;"OK"), "⚠️ REVISAR", "OK"))</f>
        <v/>
      </c>
    </row>
    <row r="1969">
      <c r="A1969" s="79">
        <f>IF('Ordenes_Odoo'!A1969="","",'Ordenes_Odoo'!A1969)</f>
        <v/>
      </c>
      <c r="B1969" s="80">
        <f>IF('Ordenes_Odoo'!B1969="","",'Ordenes_Odoo'!B1969)</f>
        <v/>
      </c>
      <c r="C1969" s="79">
        <f>IF('Ordenes_Odoo'!C1969="","",'Ordenes_Odoo'!C1969)</f>
        <v/>
      </c>
      <c r="D1969" s="79">
        <f>IF('Ordenes_Odoo'!D1969="","",'Ordenes_Odoo'!D1969)</f>
        <v/>
      </c>
      <c r="E1969" s="79">
        <f>IF('Ordenes_Odoo'!E1969="","",'Ordenes_Odoo'!E1969)</f>
        <v/>
      </c>
      <c r="F1969" s="79">
        <f>IF('Ordenes_Odoo'!F1969="","",'Ordenes_Odoo'!F1969)</f>
        <v/>
      </c>
      <c r="G1969" s="79">
        <f>IF('Ordenes_Odoo'!G1969="","",'Ordenes_Odoo'!G1969)</f>
        <v/>
      </c>
      <c r="H1969" s="79">
        <f>IF('Ordenes_Odoo'!H1969="","",'Ordenes_Odoo'!H1969)</f>
        <v/>
      </c>
      <c r="I1969" s="79">
        <f>IF('Ordenes_Odoo'!I1969="","",'Ordenes_Odoo'!I1969)</f>
        <v/>
      </c>
      <c r="J1969" s="79">
        <f>IF('Ordenes_Odoo'!J1969="","",'Ordenes_Odoo'!J1969)</f>
        <v/>
      </c>
      <c r="K1969" s="81">
        <f>IF('Ordenes_Odoo'!K1969="","",'Ordenes_Odoo'!K1969)</f>
        <v/>
      </c>
      <c r="L1969" s="81">
        <f>IF('Ordenes_Odoo'!L1969="","",'Ordenes_Odoo'!L1969)</f>
        <v/>
      </c>
      <c r="M1969" s="79">
        <f>IF('Ordenes_Odoo'!M1969="","",'Ordenes_Odoo'!M1969)</f>
        <v/>
      </c>
      <c r="N1969" s="79">
        <f>IF('Ordenes_Odoo'!N1969="","",'Ordenes_Odoo'!N1969)</f>
        <v/>
      </c>
      <c r="O1969" s="81">
        <f>IF('Ordenes_Odoo'!O1969="","",'Ordenes_Odoo'!O1969)</f>
        <v/>
      </c>
      <c r="P1969" s="81">
        <f>IF('Ordenes_Odoo'!P1969="","",'Ordenes_Odoo'!P1969)</f>
        <v/>
      </c>
      <c r="Q1969" s="79">
        <f>IF(A1969="","",IFERROR(INDEX(Facturas_Odoo!$B:$B, MATCH(A1969, Facturas_Odoo!$D:$D, 0)), "Sin Factura"))</f>
        <v/>
      </c>
      <c r="R1969" s="80">
        <f>IF(Q1969="Sin Factura","",IFERROR(INDEX(Facturas_Odoo!$A:$A, MATCH(Q1969, Facturas_Odoo!$B:$B, 0)), ""))</f>
        <v/>
      </c>
      <c r="S1969" s="79">
        <f>IF(Q1969="Sin Factura","",IFERROR(_xlfn.XLOOKUP(1, (Facturas_Odoo!$D:$D=A1969) * (Facturas_Odoo!$K:$K=I1969), Facturas_Odoo!$L:$L, ""), ""))</f>
        <v/>
      </c>
      <c r="T1969" s="81">
        <f>IF(Q1969="Sin Factura",0,IFERROR(_xlfn.XLOOKUP(1, (Facturas_Odoo!$D:$D=A1969) * (Facturas_Odoo!$K:$K=I1969), Facturas_Odoo!$M:$M, 0), 0))</f>
        <v/>
      </c>
      <c r="U1969" s="79">
        <f>IF(Q1969="Sin Factura",0,IFERROR(_xlfn.XLOOKUP(1, (Facturas_Odoo!$D:$D=A1969) * (Facturas_Odoo!$K:$K=I1969), Facturas_Odoo!$N:$N, 0), 0))</f>
        <v/>
      </c>
      <c r="V1969" s="79">
        <f>IF(Q1969="Sin Factura",0,IFERROR(_xlfn.XLOOKUP(1, (Facturas_Odoo!$D:$D=A1969) * (Facturas_Odoo!$K:$K=I1969), Facturas_Odoo!$O:$O, 0), 0))</f>
        <v/>
      </c>
      <c r="W1969" s="81">
        <f>IF(Q1969="Sin Factura",0,IFERROR(_xlfn.XLOOKUP(1, (Facturas_Odoo!$D:$D=A1969) * (Facturas_Odoo!$K:$K=I1969), Facturas_Odoo!$Q:$Q, 0), 0))</f>
        <v/>
      </c>
      <c r="X1969" s="79">
        <f>IF(OR(Q1969="Sin Factura",Q1969=""),"",IFERROR(INDEX(Pagos_Odoo!$B:$B, MATCH(Q1969, Pagos_Odoo!$I:$I, 0)), "Sin Pago"))</f>
        <v/>
      </c>
      <c r="Y1969" s="79">
        <f>IF(X1969="Sin Pago","",IFERROR(INDEX(Pagos_Odoo!$C:$C, MATCH(X1969, Pagos_Odoo!$B:$B, 0)), ""))</f>
        <v/>
      </c>
      <c r="Z1969" s="80">
        <f>IF(X1969="Sin Pago","",IFERROR(INDEX(Pagos_Odoo!$A:$A, MATCH(X1969, Pagos_Odoo!$B:$B, 0)), ""))</f>
        <v/>
      </c>
      <c r="AA1969" s="79">
        <f>IF(X1969="Sin Pago","",IFERROR(INDEX(Pagos_Odoo!$F:$F, MATCH(X1969, Pagos_Odoo!$B:$B, 0)), ""))</f>
        <v/>
      </c>
      <c r="AB1969" s="81">
        <f>IF(X1969="Sin Pago",0,IFERROR(INDEX(Pagos_Odoo!$E:$E, MATCH(X1969, Pagos_Odoo!$B:$B, 0)), 0))</f>
        <v/>
      </c>
      <c r="AC1969" s="79">
        <f>IF(X1969="Sin Pago","",IFERROR(INDEX(Pagos_Odoo!$G:$G, MATCH(X1969, Pagos_Odoo!$B:$B, 0)), ""))</f>
        <v/>
      </c>
      <c r="AD1969" s="82" t="n">
        <v>0</v>
      </c>
      <c r="AE1969" s="82" t="n"/>
      <c r="AF1969" s="82" t="n"/>
      <c r="AG1969" s="82">
        <f>IF(AN1969="","",AD1969+AE1969+AF1969)</f>
        <v/>
      </c>
      <c r="AH1969" s="81">
        <f>IF(AN1969="","",P1969*(1-AG1969))</f>
        <v/>
      </c>
      <c r="AI1969" s="81">
        <f>IF(AN1969="","",IF(Q1969="Sin Factura",0,IFERROR(INDEX(Facturas_Odoo!$H:$H, MATCH(Q1969, Facturas_Odoo!$B:$B, 0)), 0)*(1-AG1969)))</f>
        <v/>
      </c>
      <c r="AJ1969" s="81">
        <f>IF(AN1969="","",_xlfn.LET(idVenta, AN1969&amp;"",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69" s="81">
        <f>IF(AN1969="","",AH1969-AJ1969)</f>
        <v/>
      </c>
      <c r="AL1969" s="81">
        <f>IF(AN1969="","",IF(Q1969="Sin Factura","",AI1969-AJ1969))</f>
        <v/>
      </c>
      <c r="AM1969" s="81">
        <f>IF(AN1969="","",IF(Q1969="Sin Factura",0,P1969-IFERROR(INDEX(Facturas_Odoo!$H:$H, MATCH(Q1969, Facturas_Odoo!$B:$B, 0)), 0)))</f>
        <v/>
      </c>
      <c r="AN1969" s="79">
        <f>IF(AND(A1969="", J1969=""), "", IF(A1969&lt;&gt;"", VALUE(MID(A1969,2,LEN(A1969))), AN1968))</f>
        <v/>
      </c>
      <c r="AO1969" s="79">
        <f>IF(AN1969="","",IF(AD1969=0,"OK",_xlfn.LET(monedaPago, IF(AA1969="","USD",AA1969), limitePermitido, IFERROR(VLOOKUP(monedaPago, Configuración!$A$2:$B$3, 2, FALSE), 0.15), IF(AD1969&gt;limitePermitido, "ALERTA: EXCESO (" &amp; TEXT(limitePermitido, "0%") &amp; " máx)", "OK"))))</f>
        <v/>
      </c>
      <c r="AP1969" s="79">
        <f>IF(AN1969="","",IF(AE1969=0,"OK",_xlfn.LET(fechaPago, Z1969, fechaFactura, R1969, diasCredito, IF(E1969="Pago inmediato", 0, IFERROR(VALUE(MID(E1969, 1, SEARCH(" ", E1969)-1)),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69" s="79">
        <f>IF(AN1969="","",IF(AND(N1969&gt;0, AG1969&gt;0), IF(Configuración!$K$2="NO", "ALERTA: DESCUENTO DOBLE NO PERMITIDO", "OK"), "OK"))</f>
        <v/>
      </c>
      <c r="AR1969" s="79">
        <f>IF(AN1969="","",IF(OR(AO1969&lt;&gt;"OK", AP1969&lt;&gt;"OK", AQ1969&lt;&gt;"OK"), "⚠️ REVISAR", "OK"))</f>
        <v/>
      </c>
    </row>
    <row r="1970">
      <c r="A1970" s="79">
        <f>IF('Ordenes_Odoo'!A1970="","",'Ordenes_Odoo'!A1970)</f>
        <v/>
      </c>
      <c r="B1970" s="80">
        <f>IF('Ordenes_Odoo'!B1970="","",'Ordenes_Odoo'!B1970)</f>
        <v/>
      </c>
      <c r="C1970" s="79">
        <f>IF('Ordenes_Odoo'!C1970="","",'Ordenes_Odoo'!C1970)</f>
        <v/>
      </c>
      <c r="D1970" s="79">
        <f>IF('Ordenes_Odoo'!D1970="","",'Ordenes_Odoo'!D1970)</f>
        <v/>
      </c>
      <c r="E1970" s="79">
        <f>IF('Ordenes_Odoo'!E1970="","",'Ordenes_Odoo'!E1970)</f>
        <v/>
      </c>
      <c r="F1970" s="79">
        <f>IF('Ordenes_Odoo'!F1970="","",'Ordenes_Odoo'!F1970)</f>
        <v/>
      </c>
      <c r="G1970" s="79">
        <f>IF('Ordenes_Odoo'!G1970="","",'Ordenes_Odoo'!G1970)</f>
        <v/>
      </c>
      <c r="H1970" s="79">
        <f>IF('Ordenes_Odoo'!H1970="","",'Ordenes_Odoo'!H1970)</f>
        <v/>
      </c>
      <c r="I1970" s="79">
        <f>IF('Ordenes_Odoo'!I1970="","",'Ordenes_Odoo'!I1970)</f>
        <v/>
      </c>
      <c r="J1970" s="79">
        <f>IF('Ordenes_Odoo'!J1970="","",'Ordenes_Odoo'!J1970)</f>
        <v/>
      </c>
      <c r="K1970" s="81">
        <f>IF('Ordenes_Odoo'!K1970="","",'Ordenes_Odoo'!K1970)</f>
        <v/>
      </c>
      <c r="L1970" s="81">
        <f>IF('Ordenes_Odoo'!L1970="","",'Ordenes_Odoo'!L1970)</f>
        <v/>
      </c>
      <c r="M1970" s="79">
        <f>IF('Ordenes_Odoo'!M1970="","",'Ordenes_Odoo'!M1970)</f>
        <v/>
      </c>
      <c r="N1970" s="79">
        <f>IF('Ordenes_Odoo'!N1970="","",'Ordenes_Odoo'!N1970)</f>
        <v/>
      </c>
      <c r="O1970" s="81">
        <f>IF('Ordenes_Odoo'!O1970="","",'Ordenes_Odoo'!O1970)</f>
        <v/>
      </c>
      <c r="P1970" s="81">
        <f>IF('Ordenes_Odoo'!P1970="","",'Ordenes_Odoo'!P1970)</f>
        <v/>
      </c>
      <c r="Q1970" s="79">
        <f>IF(A1970="","",IFERROR(INDEX(Facturas_Odoo!$B:$B, MATCH(A1970, Facturas_Odoo!$D:$D, 0)), "Sin Factura"))</f>
        <v/>
      </c>
      <c r="R1970" s="80">
        <f>IF(Q1970="Sin Factura","",IFERROR(INDEX(Facturas_Odoo!$A:$A, MATCH(Q1970, Facturas_Odoo!$B:$B, 0)), ""))</f>
        <v/>
      </c>
      <c r="S1970" s="79">
        <f>IF(Q1970="Sin Factura","",IFERROR(_xlfn.XLOOKUP(1, (Facturas_Odoo!$D:$D=A1970) * (Facturas_Odoo!$K:$K=I1970), Facturas_Odoo!$L:$L, ""), ""))</f>
        <v/>
      </c>
      <c r="T1970" s="81">
        <f>IF(Q1970="Sin Factura",0,IFERROR(_xlfn.XLOOKUP(1, (Facturas_Odoo!$D:$D=A1970) * (Facturas_Odoo!$K:$K=I1970), Facturas_Odoo!$M:$M, 0), 0))</f>
        <v/>
      </c>
      <c r="U1970" s="79">
        <f>IF(Q1970="Sin Factura",0,IFERROR(_xlfn.XLOOKUP(1, (Facturas_Odoo!$D:$D=A1970) * (Facturas_Odoo!$K:$K=I1970), Facturas_Odoo!$N:$N, 0), 0))</f>
        <v/>
      </c>
      <c r="V1970" s="79">
        <f>IF(Q1970="Sin Factura",0,IFERROR(_xlfn.XLOOKUP(1, (Facturas_Odoo!$D:$D=A1970) * (Facturas_Odoo!$K:$K=I1970), Facturas_Odoo!$O:$O, 0), 0))</f>
        <v/>
      </c>
      <c r="W1970" s="81">
        <f>IF(Q1970="Sin Factura",0,IFERROR(_xlfn.XLOOKUP(1, (Facturas_Odoo!$D:$D=A1970) * (Facturas_Odoo!$K:$K=I1970), Facturas_Odoo!$Q:$Q, 0), 0))</f>
        <v/>
      </c>
      <c r="X1970" s="79">
        <f>IF(OR(Q1970="Sin Factura",Q1970=""),"",IFERROR(INDEX(Pagos_Odoo!$B:$B, MATCH(Q1970, Pagos_Odoo!$I:$I, 0)), "Sin Pago"))</f>
        <v/>
      </c>
      <c r="Y1970" s="79">
        <f>IF(X1970="Sin Pago","",IFERROR(INDEX(Pagos_Odoo!$C:$C, MATCH(X1970, Pagos_Odoo!$B:$B, 0)), ""))</f>
        <v/>
      </c>
      <c r="Z1970" s="80">
        <f>IF(X1970="Sin Pago","",IFERROR(INDEX(Pagos_Odoo!$A:$A, MATCH(X1970, Pagos_Odoo!$B:$B, 0)), ""))</f>
        <v/>
      </c>
      <c r="AA1970" s="79">
        <f>IF(X1970="Sin Pago","",IFERROR(INDEX(Pagos_Odoo!$F:$F, MATCH(X1970, Pagos_Odoo!$B:$B, 0)), ""))</f>
        <v/>
      </c>
      <c r="AB1970" s="81">
        <f>IF(X1970="Sin Pago",0,IFERROR(INDEX(Pagos_Odoo!$E:$E, MATCH(X1970, Pagos_Odoo!$B:$B, 0)), 0))</f>
        <v/>
      </c>
      <c r="AC1970" s="79">
        <f>IF(X1970="Sin Pago","",IFERROR(INDEX(Pagos_Odoo!$G:$G, MATCH(X1970, Pagos_Odoo!$B:$B, 0)), ""))</f>
        <v/>
      </c>
      <c r="AD1970" s="82" t="n">
        <v>0</v>
      </c>
      <c r="AE1970" s="82" t="n"/>
      <c r="AF1970" s="82" t="n"/>
      <c r="AG1970" s="82">
        <f>IF(AN1970="","",AD1970+AE1970+AF1970)</f>
        <v/>
      </c>
      <c r="AH1970" s="81">
        <f>IF(AN1970="","",P1970*(1-AG1970))</f>
        <v/>
      </c>
      <c r="AI1970" s="81">
        <f>IF(AN1970="","",IF(Q1970="Sin Factura",0,IFERROR(INDEX(Facturas_Odoo!$H:$H, MATCH(Q1970, Facturas_Odoo!$B:$B, 0)), 0)*(1-AG1970)))</f>
        <v/>
      </c>
      <c r="AJ1970" s="81">
        <f>IF(AN1970="","",_xlfn.LET(idVenta, AN1970&amp;"",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70" s="81">
        <f>IF(AN1970="","",AH1970-AJ1970)</f>
        <v/>
      </c>
      <c r="AL1970" s="81">
        <f>IF(AN1970="","",IF(Q1970="Sin Factura","",AI1970-AJ1970))</f>
        <v/>
      </c>
      <c r="AM1970" s="81">
        <f>IF(AN1970="","",IF(Q1970="Sin Factura",0,P1970-IFERROR(INDEX(Facturas_Odoo!$H:$H, MATCH(Q1970, Facturas_Odoo!$B:$B, 0)), 0)))</f>
        <v/>
      </c>
      <c r="AN1970" s="79">
        <f>IF(AND(A1970="", J1970=""), "", IF(A1970&lt;&gt;"", VALUE(MID(A1970,2,LEN(A1970))), AN1969))</f>
        <v/>
      </c>
      <c r="AO1970" s="79">
        <f>IF(AN1970="","",IF(AD1970=0,"OK",_xlfn.LET(monedaPago, IF(AA1970="","USD",AA1970), limitePermitido, IFERROR(VLOOKUP(monedaPago, Configuración!$A$2:$B$3, 2, FALSE), 0.15), IF(AD1970&gt;limitePermitido, "ALERTA: EXCESO (" &amp; TEXT(limitePermitido, "0%") &amp; " máx)", "OK"))))</f>
        <v/>
      </c>
      <c r="AP1970" s="79">
        <f>IF(AN1970="","",IF(AE1970=0,"OK",_xlfn.LET(fechaPago, Z1970, fechaFactura, R1970, diasCredito, IF(E1970="Pago inmediato", 0, IFERROR(VALUE(MID(E1970, 1, SEARCH(" ", E1970)-1)),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70" s="79">
        <f>IF(AN1970="","",IF(AND(N1970&gt;0, AG1970&gt;0), IF(Configuración!$K$2="NO", "ALERTA: DESCUENTO DOBLE NO PERMITIDO", "OK"), "OK"))</f>
        <v/>
      </c>
      <c r="AR1970" s="79">
        <f>IF(AN1970="","",IF(OR(AO1970&lt;&gt;"OK", AP1970&lt;&gt;"OK", AQ1970&lt;&gt;"OK"), "⚠️ REVISAR", "OK"))</f>
        <v/>
      </c>
    </row>
    <row r="1971">
      <c r="A1971" s="79">
        <f>IF('Ordenes_Odoo'!A1971="","",'Ordenes_Odoo'!A1971)</f>
        <v/>
      </c>
      <c r="B1971" s="80">
        <f>IF('Ordenes_Odoo'!B1971="","",'Ordenes_Odoo'!B1971)</f>
        <v/>
      </c>
      <c r="C1971" s="79">
        <f>IF('Ordenes_Odoo'!C1971="","",'Ordenes_Odoo'!C1971)</f>
        <v/>
      </c>
      <c r="D1971" s="79">
        <f>IF('Ordenes_Odoo'!D1971="","",'Ordenes_Odoo'!D1971)</f>
        <v/>
      </c>
      <c r="E1971" s="79">
        <f>IF('Ordenes_Odoo'!E1971="","",'Ordenes_Odoo'!E1971)</f>
        <v/>
      </c>
      <c r="F1971" s="79">
        <f>IF('Ordenes_Odoo'!F1971="","",'Ordenes_Odoo'!F1971)</f>
        <v/>
      </c>
      <c r="G1971" s="79">
        <f>IF('Ordenes_Odoo'!G1971="","",'Ordenes_Odoo'!G1971)</f>
        <v/>
      </c>
      <c r="H1971" s="79">
        <f>IF('Ordenes_Odoo'!H1971="","",'Ordenes_Odoo'!H1971)</f>
        <v/>
      </c>
      <c r="I1971" s="79">
        <f>IF('Ordenes_Odoo'!I1971="","",'Ordenes_Odoo'!I1971)</f>
        <v/>
      </c>
      <c r="J1971" s="79">
        <f>IF('Ordenes_Odoo'!J1971="","",'Ordenes_Odoo'!J1971)</f>
        <v/>
      </c>
      <c r="K1971" s="81">
        <f>IF('Ordenes_Odoo'!K1971="","",'Ordenes_Odoo'!K1971)</f>
        <v/>
      </c>
      <c r="L1971" s="81">
        <f>IF('Ordenes_Odoo'!L1971="","",'Ordenes_Odoo'!L1971)</f>
        <v/>
      </c>
      <c r="M1971" s="79">
        <f>IF('Ordenes_Odoo'!M1971="","",'Ordenes_Odoo'!M1971)</f>
        <v/>
      </c>
      <c r="N1971" s="79">
        <f>IF('Ordenes_Odoo'!N1971="","",'Ordenes_Odoo'!N1971)</f>
        <v/>
      </c>
      <c r="O1971" s="81">
        <f>IF('Ordenes_Odoo'!O1971="","",'Ordenes_Odoo'!O1971)</f>
        <v/>
      </c>
      <c r="P1971" s="81">
        <f>IF('Ordenes_Odoo'!P1971="","",'Ordenes_Odoo'!P1971)</f>
        <v/>
      </c>
      <c r="Q1971" s="79">
        <f>IF(A1971="","",IFERROR(INDEX(Facturas_Odoo!$B:$B, MATCH(A1971, Facturas_Odoo!$D:$D, 0)), "Sin Factura"))</f>
        <v/>
      </c>
      <c r="R1971" s="80">
        <f>IF(Q1971="Sin Factura","",IFERROR(INDEX(Facturas_Odoo!$A:$A, MATCH(Q1971, Facturas_Odoo!$B:$B, 0)), ""))</f>
        <v/>
      </c>
      <c r="S1971" s="79">
        <f>IF(Q1971="Sin Factura","",IFERROR(_xlfn.XLOOKUP(1, (Facturas_Odoo!$D:$D=A1971) * (Facturas_Odoo!$K:$K=I1971), Facturas_Odoo!$L:$L, ""), ""))</f>
        <v/>
      </c>
      <c r="T1971" s="81">
        <f>IF(Q1971="Sin Factura",0,IFERROR(_xlfn.XLOOKUP(1, (Facturas_Odoo!$D:$D=A1971) * (Facturas_Odoo!$K:$K=I1971), Facturas_Odoo!$M:$M, 0), 0))</f>
        <v/>
      </c>
      <c r="U1971" s="79">
        <f>IF(Q1971="Sin Factura",0,IFERROR(_xlfn.XLOOKUP(1, (Facturas_Odoo!$D:$D=A1971) * (Facturas_Odoo!$K:$K=I1971), Facturas_Odoo!$N:$N, 0), 0))</f>
        <v/>
      </c>
      <c r="V1971" s="79">
        <f>IF(Q1971="Sin Factura",0,IFERROR(_xlfn.XLOOKUP(1, (Facturas_Odoo!$D:$D=A1971) * (Facturas_Odoo!$K:$K=I1971), Facturas_Odoo!$O:$O, 0), 0))</f>
        <v/>
      </c>
      <c r="W1971" s="81">
        <f>IF(Q1971="Sin Factura",0,IFERROR(_xlfn.XLOOKUP(1, (Facturas_Odoo!$D:$D=A1971) * (Facturas_Odoo!$K:$K=I1971), Facturas_Odoo!$Q:$Q, 0), 0))</f>
        <v/>
      </c>
      <c r="X1971" s="79">
        <f>IF(OR(Q1971="Sin Factura",Q1971=""),"",IFERROR(INDEX(Pagos_Odoo!$B:$B, MATCH(Q1971, Pagos_Odoo!$I:$I, 0)), "Sin Pago"))</f>
        <v/>
      </c>
      <c r="Y1971" s="79">
        <f>IF(X1971="Sin Pago","",IFERROR(INDEX(Pagos_Odoo!$C:$C, MATCH(X1971, Pagos_Odoo!$B:$B, 0)), ""))</f>
        <v/>
      </c>
      <c r="Z1971" s="80">
        <f>IF(X1971="Sin Pago","",IFERROR(INDEX(Pagos_Odoo!$A:$A, MATCH(X1971, Pagos_Odoo!$B:$B, 0)), ""))</f>
        <v/>
      </c>
      <c r="AA1971" s="79">
        <f>IF(X1971="Sin Pago","",IFERROR(INDEX(Pagos_Odoo!$F:$F, MATCH(X1971, Pagos_Odoo!$B:$B, 0)), ""))</f>
        <v/>
      </c>
      <c r="AB1971" s="81">
        <f>IF(X1971="Sin Pago",0,IFERROR(INDEX(Pagos_Odoo!$E:$E, MATCH(X1971, Pagos_Odoo!$B:$B, 0)), 0))</f>
        <v/>
      </c>
      <c r="AC1971" s="79">
        <f>IF(X1971="Sin Pago","",IFERROR(INDEX(Pagos_Odoo!$G:$G, MATCH(X1971, Pagos_Odoo!$B:$B, 0)), ""))</f>
        <v/>
      </c>
      <c r="AD1971" s="82" t="n">
        <v>0</v>
      </c>
      <c r="AE1971" s="82" t="n"/>
      <c r="AF1971" s="82" t="n"/>
      <c r="AG1971" s="82">
        <f>IF(AN1971="","",AD1971+AE1971+AF1971)</f>
        <v/>
      </c>
      <c r="AH1971" s="81">
        <f>IF(AN1971="","",P1971*(1-AG1971))</f>
        <v/>
      </c>
      <c r="AI1971" s="81">
        <f>IF(AN1971="","",IF(Q1971="Sin Factura",0,IFERROR(INDEX(Facturas_Odoo!$H:$H, MATCH(Q1971, Facturas_Odoo!$B:$B, 0)), 0)*(1-AG1971)))</f>
        <v/>
      </c>
      <c r="AJ1971" s="81">
        <f>IF(AN1971="","",_xlfn.LET(idVenta, AN1971&amp;"",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71" s="81">
        <f>IF(AN1971="","",AH1971-AJ1971)</f>
        <v/>
      </c>
      <c r="AL1971" s="81">
        <f>IF(AN1971="","",IF(Q1971="Sin Factura","",AI1971-AJ1971))</f>
        <v/>
      </c>
      <c r="AM1971" s="81">
        <f>IF(AN1971="","",IF(Q1971="Sin Factura",0,P1971-IFERROR(INDEX(Facturas_Odoo!$H:$H, MATCH(Q1971, Facturas_Odoo!$B:$B, 0)), 0)))</f>
        <v/>
      </c>
      <c r="AN1971" s="79">
        <f>IF(AND(A1971="", J1971=""), "", IF(A1971&lt;&gt;"", VALUE(MID(A1971,2,LEN(A1971))), AN1970))</f>
        <v/>
      </c>
      <c r="AO1971" s="79">
        <f>IF(AN1971="","",IF(AD1971=0,"OK",_xlfn.LET(monedaPago, IF(AA1971="","USD",AA1971), limitePermitido, IFERROR(VLOOKUP(monedaPago, Configuración!$A$2:$B$3, 2, FALSE), 0.15), IF(AD1971&gt;limitePermitido, "ALERTA: EXCESO (" &amp; TEXT(limitePermitido, "0%") &amp; " máx)", "OK"))))</f>
        <v/>
      </c>
      <c r="AP1971" s="79">
        <f>IF(AN1971="","",IF(AE1971=0,"OK",_xlfn.LET(fechaPago, Z1971, fechaFactura, R1971, diasCredito, IF(E1971="Pago inmediato", 0, IFERROR(VALUE(MID(E1971, 1, SEARCH(" ", E1971)-1)),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71" s="79">
        <f>IF(AN1971="","",IF(AND(N1971&gt;0, AG1971&gt;0), IF(Configuración!$K$2="NO", "ALERTA: DESCUENTO DOBLE NO PERMITIDO", "OK"), "OK"))</f>
        <v/>
      </c>
      <c r="AR1971" s="79">
        <f>IF(AN1971="","",IF(OR(AO1971&lt;&gt;"OK", AP1971&lt;&gt;"OK", AQ1971&lt;&gt;"OK"), "⚠️ REVISAR", "OK"))</f>
        <v/>
      </c>
    </row>
    <row r="1972">
      <c r="A1972" s="79">
        <f>IF('Ordenes_Odoo'!A1972="","",'Ordenes_Odoo'!A1972)</f>
        <v/>
      </c>
      <c r="B1972" s="80">
        <f>IF('Ordenes_Odoo'!B1972="","",'Ordenes_Odoo'!B1972)</f>
        <v/>
      </c>
      <c r="C1972" s="79">
        <f>IF('Ordenes_Odoo'!C1972="","",'Ordenes_Odoo'!C1972)</f>
        <v/>
      </c>
      <c r="D1972" s="79">
        <f>IF('Ordenes_Odoo'!D1972="","",'Ordenes_Odoo'!D1972)</f>
        <v/>
      </c>
      <c r="E1972" s="79">
        <f>IF('Ordenes_Odoo'!E1972="","",'Ordenes_Odoo'!E1972)</f>
        <v/>
      </c>
      <c r="F1972" s="79">
        <f>IF('Ordenes_Odoo'!F1972="","",'Ordenes_Odoo'!F1972)</f>
        <v/>
      </c>
      <c r="G1972" s="79">
        <f>IF('Ordenes_Odoo'!G1972="","",'Ordenes_Odoo'!G1972)</f>
        <v/>
      </c>
      <c r="H1972" s="79">
        <f>IF('Ordenes_Odoo'!H1972="","",'Ordenes_Odoo'!H1972)</f>
        <v/>
      </c>
      <c r="I1972" s="79">
        <f>IF('Ordenes_Odoo'!I1972="","",'Ordenes_Odoo'!I1972)</f>
        <v/>
      </c>
      <c r="J1972" s="79">
        <f>IF('Ordenes_Odoo'!J1972="","",'Ordenes_Odoo'!J1972)</f>
        <v/>
      </c>
      <c r="K1972" s="81">
        <f>IF('Ordenes_Odoo'!K1972="","",'Ordenes_Odoo'!K1972)</f>
        <v/>
      </c>
      <c r="L1972" s="81">
        <f>IF('Ordenes_Odoo'!L1972="","",'Ordenes_Odoo'!L1972)</f>
        <v/>
      </c>
      <c r="M1972" s="79">
        <f>IF('Ordenes_Odoo'!M1972="","",'Ordenes_Odoo'!M1972)</f>
        <v/>
      </c>
      <c r="N1972" s="79">
        <f>IF('Ordenes_Odoo'!N1972="","",'Ordenes_Odoo'!N1972)</f>
        <v/>
      </c>
      <c r="O1972" s="81">
        <f>IF('Ordenes_Odoo'!O1972="","",'Ordenes_Odoo'!O1972)</f>
        <v/>
      </c>
      <c r="P1972" s="81">
        <f>IF('Ordenes_Odoo'!P1972="","",'Ordenes_Odoo'!P1972)</f>
        <v/>
      </c>
      <c r="Q1972" s="79">
        <f>IF(A1972="","",IFERROR(INDEX(Facturas_Odoo!$B:$B, MATCH(A1972, Facturas_Odoo!$D:$D, 0)), "Sin Factura"))</f>
        <v/>
      </c>
      <c r="R1972" s="80">
        <f>IF(Q1972="Sin Factura","",IFERROR(INDEX(Facturas_Odoo!$A:$A, MATCH(Q1972, Facturas_Odoo!$B:$B, 0)), ""))</f>
        <v/>
      </c>
      <c r="S1972" s="79">
        <f>IF(Q1972="Sin Factura","",IFERROR(_xlfn.XLOOKUP(1, (Facturas_Odoo!$D:$D=A1972) * (Facturas_Odoo!$K:$K=I1972), Facturas_Odoo!$L:$L, ""), ""))</f>
        <v/>
      </c>
      <c r="T1972" s="81">
        <f>IF(Q1972="Sin Factura",0,IFERROR(_xlfn.XLOOKUP(1, (Facturas_Odoo!$D:$D=A1972) * (Facturas_Odoo!$K:$K=I1972), Facturas_Odoo!$M:$M, 0), 0))</f>
        <v/>
      </c>
      <c r="U1972" s="79">
        <f>IF(Q1972="Sin Factura",0,IFERROR(_xlfn.XLOOKUP(1, (Facturas_Odoo!$D:$D=A1972) * (Facturas_Odoo!$K:$K=I1972), Facturas_Odoo!$N:$N, 0), 0))</f>
        <v/>
      </c>
      <c r="V1972" s="79">
        <f>IF(Q1972="Sin Factura",0,IFERROR(_xlfn.XLOOKUP(1, (Facturas_Odoo!$D:$D=A1972) * (Facturas_Odoo!$K:$K=I1972), Facturas_Odoo!$O:$O, 0), 0))</f>
        <v/>
      </c>
      <c r="W1972" s="81">
        <f>IF(Q1972="Sin Factura",0,IFERROR(_xlfn.XLOOKUP(1, (Facturas_Odoo!$D:$D=A1972) * (Facturas_Odoo!$K:$K=I1972), Facturas_Odoo!$Q:$Q, 0), 0))</f>
        <v/>
      </c>
      <c r="X1972" s="79">
        <f>IF(OR(Q1972="Sin Factura",Q1972=""),"",IFERROR(INDEX(Pagos_Odoo!$B:$B, MATCH(Q1972, Pagos_Odoo!$I:$I, 0)), "Sin Pago"))</f>
        <v/>
      </c>
      <c r="Y1972" s="79">
        <f>IF(X1972="Sin Pago","",IFERROR(INDEX(Pagos_Odoo!$C:$C, MATCH(X1972, Pagos_Odoo!$B:$B, 0)), ""))</f>
        <v/>
      </c>
      <c r="Z1972" s="80">
        <f>IF(X1972="Sin Pago","",IFERROR(INDEX(Pagos_Odoo!$A:$A, MATCH(X1972, Pagos_Odoo!$B:$B, 0)), ""))</f>
        <v/>
      </c>
      <c r="AA1972" s="79">
        <f>IF(X1972="Sin Pago","",IFERROR(INDEX(Pagos_Odoo!$F:$F, MATCH(X1972, Pagos_Odoo!$B:$B, 0)), ""))</f>
        <v/>
      </c>
      <c r="AB1972" s="81">
        <f>IF(X1972="Sin Pago",0,IFERROR(INDEX(Pagos_Odoo!$E:$E, MATCH(X1972, Pagos_Odoo!$B:$B, 0)), 0))</f>
        <v/>
      </c>
      <c r="AC1972" s="79">
        <f>IF(X1972="Sin Pago","",IFERROR(INDEX(Pagos_Odoo!$G:$G, MATCH(X1972, Pagos_Odoo!$B:$B, 0)), ""))</f>
        <v/>
      </c>
      <c r="AD1972" s="82" t="n">
        <v>0</v>
      </c>
      <c r="AE1972" s="82" t="n"/>
      <c r="AF1972" s="82" t="n"/>
      <c r="AG1972" s="82">
        <f>IF(AN1972="","",AD1972+AE1972+AF1972)</f>
        <v/>
      </c>
      <c r="AH1972" s="81">
        <f>IF(AN1972="","",P1972*(1-AG1972))</f>
        <v/>
      </c>
      <c r="AI1972" s="81">
        <f>IF(AN1972="","",IF(Q1972="Sin Factura",0,IFERROR(INDEX(Facturas_Odoo!$H:$H, MATCH(Q1972, Facturas_Odoo!$B:$B, 0)), 0)*(1-AG1972)))</f>
        <v/>
      </c>
      <c r="AJ1972" s="81">
        <f>IF(AN1972="","",_xlfn.LET(idVenta, AN1972&amp;"",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72" s="81">
        <f>IF(AN1972="","",AH1972-AJ1972)</f>
        <v/>
      </c>
      <c r="AL1972" s="81">
        <f>IF(AN1972="","",IF(Q1972="Sin Factura","",AI1972-AJ1972))</f>
        <v/>
      </c>
      <c r="AM1972" s="81">
        <f>IF(AN1972="","",IF(Q1972="Sin Factura",0,P1972-IFERROR(INDEX(Facturas_Odoo!$H:$H, MATCH(Q1972, Facturas_Odoo!$B:$B, 0)), 0)))</f>
        <v/>
      </c>
      <c r="AN1972" s="79">
        <f>IF(AND(A1972="", J1972=""), "", IF(A1972&lt;&gt;"", VALUE(MID(A1972,2,LEN(A1972))), AN1971))</f>
        <v/>
      </c>
      <c r="AO1972" s="79">
        <f>IF(AN1972="","",IF(AD1972=0,"OK",_xlfn.LET(monedaPago, IF(AA1972="","USD",AA1972), limitePermitido, IFERROR(VLOOKUP(monedaPago, Configuración!$A$2:$B$3, 2, FALSE), 0.15), IF(AD1972&gt;limitePermitido, "ALERTA: EXCESO (" &amp; TEXT(limitePermitido, "0%") &amp; " máx)", "OK"))))</f>
        <v/>
      </c>
      <c r="AP1972" s="79">
        <f>IF(AN1972="","",IF(AE1972=0,"OK",_xlfn.LET(fechaPago, Z1972, fechaFactura, R1972, diasCredito, IF(E1972="Pago inmediato", 0, IFERROR(VALUE(MID(E1972, 1, SEARCH(" ", E1972)-1)),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72" s="79">
        <f>IF(AN1972="","",IF(AND(N1972&gt;0, AG1972&gt;0), IF(Configuración!$K$2="NO", "ALERTA: DESCUENTO DOBLE NO PERMITIDO", "OK"), "OK"))</f>
        <v/>
      </c>
      <c r="AR1972" s="79">
        <f>IF(AN1972="","",IF(OR(AO1972&lt;&gt;"OK", AP1972&lt;&gt;"OK", AQ1972&lt;&gt;"OK"), "⚠️ REVISAR", "OK"))</f>
        <v/>
      </c>
    </row>
    <row r="1973">
      <c r="A1973" s="79">
        <f>IF('Ordenes_Odoo'!A1973="","",'Ordenes_Odoo'!A1973)</f>
        <v/>
      </c>
      <c r="B1973" s="80">
        <f>IF('Ordenes_Odoo'!B1973="","",'Ordenes_Odoo'!B1973)</f>
        <v/>
      </c>
      <c r="C1973" s="79">
        <f>IF('Ordenes_Odoo'!C1973="","",'Ordenes_Odoo'!C1973)</f>
        <v/>
      </c>
      <c r="D1973" s="79">
        <f>IF('Ordenes_Odoo'!D1973="","",'Ordenes_Odoo'!D1973)</f>
        <v/>
      </c>
      <c r="E1973" s="79">
        <f>IF('Ordenes_Odoo'!E1973="","",'Ordenes_Odoo'!E1973)</f>
        <v/>
      </c>
      <c r="F1973" s="79">
        <f>IF('Ordenes_Odoo'!F1973="","",'Ordenes_Odoo'!F1973)</f>
        <v/>
      </c>
      <c r="G1973" s="79">
        <f>IF('Ordenes_Odoo'!G1973="","",'Ordenes_Odoo'!G1973)</f>
        <v/>
      </c>
      <c r="H1973" s="79">
        <f>IF('Ordenes_Odoo'!H1973="","",'Ordenes_Odoo'!H1973)</f>
        <v/>
      </c>
      <c r="I1973" s="79">
        <f>IF('Ordenes_Odoo'!I1973="","",'Ordenes_Odoo'!I1973)</f>
        <v/>
      </c>
      <c r="J1973" s="79">
        <f>IF('Ordenes_Odoo'!J1973="","",'Ordenes_Odoo'!J1973)</f>
        <v/>
      </c>
      <c r="K1973" s="81">
        <f>IF('Ordenes_Odoo'!K1973="","",'Ordenes_Odoo'!K1973)</f>
        <v/>
      </c>
      <c r="L1973" s="81">
        <f>IF('Ordenes_Odoo'!L1973="","",'Ordenes_Odoo'!L1973)</f>
        <v/>
      </c>
      <c r="M1973" s="79">
        <f>IF('Ordenes_Odoo'!M1973="","",'Ordenes_Odoo'!M1973)</f>
        <v/>
      </c>
      <c r="N1973" s="79">
        <f>IF('Ordenes_Odoo'!N1973="","",'Ordenes_Odoo'!N1973)</f>
        <v/>
      </c>
      <c r="O1973" s="81">
        <f>IF('Ordenes_Odoo'!O1973="","",'Ordenes_Odoo'!O1973)</f>
        <v/>
      </c>
      <c r="P1973" s="81">
        <f>IF('Ordenes_Odoo'!P1973="","",'Ordenes_Odoo'!P1973)</f>
        <v/>
      </c>
      <c r="Q1973" s="79">
        <f>IF(A1973="","",IFERROR(INDEX(Facturas_Odoo!$B:$B, MATCH(A1973, Facturas_Odoo!$D:$D, 0)), "Sin Factura"))</f>
        <v/>
      </c>
      <c r="R1973" s="80">
        <f>IF(Q1973="Sin Factura","",IFERROR(INDEX(Facturas_Odoo!$A:$A, MATCH(Q1973, Facturas_Odoo!$B:$B, 0)), ""))</f>
        <v/>
      </c>
      <c r="S1973" s="79">
        <f>IF(Q1973="Sin Factura","",IFERROR(_xlfn.XLOOKUP(1, (Facturas_Odoo!$D:$D=A1973) * (Facturas_Odoo!$K:$K=I1973), Facturas_Odoo!$L:$L, ""), ""))</f>
        <v/>
      </c>
      <c r="T1973" s="81">
        <f>IF(Q1973="Sin Factura",0,IFERROR(_xlfn.XLOOKUP(1, (Facturas_Odoo!$D:$D=A1973) * (Facturas_Odoo!$K:$K=I1973), Facturas_Odoo!$M:$M, 0), 0))</f>
        <v/>
      </c>
      <c r="U1973" s="79">
        <f>IF(Q1973="Sin Factura",0,IFERROR(_xlfn.XLOOKUP(1, (Facturas_Odoo!$D:$D=A1973) * (Facturas_Odoo!$K:$K=I1973), Facturas_Odoo!$N:$N, 0), 0))</f>
        <v/>
      </c>
      <c r="V1973" s="79">
        <f>IF(Q1973="Sin Factura",0,IFERROR(_xlfn.XLOOKUP(1, (Facturas_Odoo!$D:$D=A1973) * (Facturas_Odoo!$K:$K=I1973), Facturas_Odoo!$O:$O, 0), 0))</f>
        <v/>
      </c>
      <c r="W1973" s="81">
        <f>IF(Q1973="Sin Factura",0,IFERROR(_xlfn.XLOOKUP(1, (Facturas_Odoo!$D:$D=A1973) * (Facturas_Odoo!$K:$K=I1973), Facturas_Odoo!$Q:$Q, 0), 0))</f>
        <v/>
      </c>
      <c r="X1973" s="79">
        <f>IF(OR(Q1973="Sin Factura",Q1973=""),"",IFERROR(INDEX(Pagos_Odoo!$B:$B, MATCH(Q1973, Pagos_Odoo!$I:$I, 0)), "Sin Pago"))</f>
        <v/>
      </c>
      <c r="Y1973" s="79">
        <f>IF(X1973="Sin Pago","",IFERROR(INDEX(Pagos_Odoo!$C:$C, MATCH(X1973, Pagos_Odoo!$B:$B, 0)), ""))</f>
        <v/>
      </c>
      <c r="Z1973" s="80">
        <f>IF(X1973="Sin Pago","",IFERROR(INDEX(Pagos_Odoo!$A:$A, MATCH(X1973, Pagos_Odoo!$B:$B, 0)), ""))</f>
        <v/>
      </c>
      <c r="AA1973" s="79">
        <f>IF(X1973="Sin Pago","",IFERROR(INDEX(Pagos_Odoo!$F:$F, MATCH(X1973, Pagos_Odoo!$B:$B, 0)), ""))</f>
        <v/>
      </c>
      <c r="AB1973" s="81">
        <f>IF(X1973="Sin Pago",0,IFERROR(INDEX(Pagos_Odoo!$E:$E, MATCH(X1973, Pagos_Odoo!$B:$B, 0)), 0))</f>
        <v/>
      </c>
      <c r="AC1973" s="79">
        <f>IF(X1973="Sin Pago","",IFERROR(INDEX(Pagos_Odoo!$G:$G, MATCH(X1973, Pagos_Odoo!$B:$B, 0)), ""))</f>
        <v/>
      </c>
      <c r="AD1973" s="82" t="n">
        <v>0</v>
      </c>
      <c r="AE1973" s="82" t="n"/>
      <c r="AF1973" s="82" t="n"/>
      <c r="AG1973" s="82">
        <f>IF(AN1973="","",AD1973+AE1973+AF1973)</f>
        <v/>
      </c>
      <c r="AH1973" s="81">
        <f>IF(AN1973="","",P1973*(1-AG1973))</f>
        <v/>
      </c>
      <c r="AI1973" s="81">
        <f>IF(AN1973="","",IF(Q1973="Sin Factura",0,IFERROR(INDEX(Facturas_Odoo!$H:$H, MATCH(Q1973, Facturas_Odoo!$B:$B, 0)), 0)*(1-AG1973)))</f>
        <v/>
      </c>
      <c r="AJ1973" s="81">
        <f>IF(AN1973="","",_xlfn.LET(idVenta, AN1973&amp;"",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73" s="81">
        <f>IF(AN1973="","",AH1973-AJ1973)</f>
        <v/>
      </c>
      <c r="AL1973" s="81">
        <f>IF(AN1973="","",IF(Q1973="Sin Factura","",AI1973-AJ1973))</f>
        <v/>
      </c>
      <c r="AM1973" s="81">
        <f>IF(AN1973="","",IF(Q1973="Sin Factura",0,P1973-IFERROR(INDEX(Facturas_Odoo!$H:$H, MATCH(Q1973, Facturas_Odoo!$B:$B, 0)), 0)))</f>
        <v/>
      </c>
      <c r="AN1973" s="79">
        <f>IF(AND(A1973="", J1973=""), "", IF(A1973&lt;&gt;"", VALUE(MID(A1973,2,LEN(A1973))), AN1972))</f>
        <v/>
      </c>
      <c r="AO1973" s="79">
        <f>IF(AN1973="","",IF(AD1973=0,"OK",_xlfn.LET(monedaPago, IF(AA1973="","USD",AA1973), limitePermitido, IFERROR(VLOOKUP(monedaPago, Configuración!$A$2:$B$3, 2, FALSE), 0.15), IF(AD1973&gt;limitePermitido, "ALERTA: EXCESO (" &amp; TEXT(limitePermitido, "0%") &amp; " máx)", "OK"))))</f>
        <v/>
      </c>
      <c r="AP1973" s="79">
        <f>IF(AN1973="","",IF(AE1973=0,"OK",_xlfn.LET(fechaPago, Z1973, fechaFactura, R1973, diasCredito, IF(E1973="Pago inmediato", 0, IFERROR(VALUE(MID(E1973, 1, SEARCH(" ", E1973)-1)),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73" s="79">
        <f>IF(AN1973="","",IF(AND(N1973&gt;0, AG1973&gt;0), IF(Configuración!$K$2="NO", "ALERTA: DESCUENTO DOBLE NO PERMITIDO", "OK"), "OK"))</f>
        <v/>
      </c>
      <c r="AR1973" s="79">
        <f>IF(AN1973="","",IF(OR(AO1973&lt;&gt;"OK", AP1973&lt;&gt;"OK", AQ1973&lt;&gt;"OK"), "⚠️ REVISAR", "OK"))</f>
        <v/>
      </c>
    </row>
    <row r="1974">
      <c r="A1974" s="79">
        <f>IF('Ordenes_Odoo'!A1974="","",'Ordenes_Odoo'!A1974)</f>
        <v/>
      </c>
      <c r="B1974" s="80">
        <f>IF('Ordenes_Odoo'!B1974="","",'Ordenes_Odoo'!B1974)</f>
        <v/>
      </c>
      <c r="C1974" s="79">
        <f>IF('Ordenes_Odoo'!C1974="","",'Ordenes_Odoo'!C1974)</f>
        <v/>
      </c>
      <c r="D1974" s="79">
        <f>IF('Ordenes_Odoo'!D1974="","",'Ordenes_Odoo'!D1974)</f>
        <v/>
      </c>
      <c r="E1974" s="79">
        <f>IF('Ordenes_Odoo'!E1974="","",'Ordenes_Odoo'!E1974)</f>
        <v/>
      </c>
      <c r="F1974" s="79">
        <f>IF('Ordenes_Odoo'!F1974="","",'Ordenes_Odoo'!F1974)</f>
        <v/>
      </c>
      <c r="G1974" s="79">
        <f>IF('Ordenes_Odoo'!G1974="","",'Ordenes_Odoo'!G1974)</f>
        <v/>
      </c>
      <c r="H1974" s="79">
        <f>IF('Ordenes_Odoo'!H1974="","",'Ordenes_Odoo'!H1974)</f>
        <v/>
      </c>
      <c r="I1974" s="79">
        <f>IF('Ordenes_Odoo'!I1974="","",'Ordenes_Odoo'!I1974)</f>
        <v/>
      </c>
      <c r="J1974" s="79">
        <f>IF('Ordenes_Odoo'!J1974="","",'Ordenes_Odoo'!J1974)</f>
        <v/>
      </c>
      <c r="K1974" s="81">
        <f>IF('Ordenes_Odoo'!K1974="","",'Ordenes_Odoo'!K1974)</f>
        <v/>
      </c>
      <c r="L1974" s="81">
        <f>IF('Ordenes_Odoo'!L1974="","",'Ordenes_Odoo'!L1974)</f>
        <v/>
      </c>
      <c r="M1974" s="79">
        <f>IF('Ordenes_Odoo'!M1974="","",'Ordenes_Odoo'!M1974)</f>
        <v/>
      </c>
      <c r="N1974" s="79">
        <f>IF('Ordenes_Odoo'!N1974="","",'Ordenes_Odoo'!N1974)</f>
        <v/>
      </c>
      <c r="O1974" s="81">
        <f>IF('Ordenes_Odoo'!O1974="","",'Ordenes_Odoo'!O1974)</f>
        <v/>
      </c>
      <c r="P1974" s="81">
        <f>IF('Ordenes_Odoo'!P1974="","",'Ordenes_Odoo'!P1974)</f>
        <v/>
      </c>
      <c r="Q1974" s="79">
        <f>IF(A1974="","",IFERROR(INDEX(Facturas_Odoo!$B:$B, MATCH(A1974, Facturas_Odoo!$D:$D, 0)), "Sin Factura"))</f>
        <v/>
      </c>
      <c r="R1974" s="80">
        <f>IF(Q1974="Sin Factura","",IFERROR(INDEX(Facturas_Odoo!$A:$A, MATCH(Q1974, Facturas_Odoo!$B:$B, 0)), ""))</f>
        <v/>
      </c>
      <c r="S1974" s="79">
        <f>IF(Q1974="Sin Factura","",IFERROR(_xlfn.XLOOKUP(1, (Facturas_Odoo!$D:$D=A1974) * (Facturas_Odoo!$K:$K=I1974), Facturas_Odoo!$L:$L, ""), ""))</f>
        <v/>
      </c>
      <c r="T1974" s="81">
        <f>IF(Q1974="Sin Factura",0,IFERROR(_xlfn.XLOOKUP(1, (Facturas_Odoo!$D:$D=A1974) * (Facturas_Odoo!$K:$K=I1974), Facturas_Odoo!$M:$M, 0), 0))</f>
        <v/>
      </c>
      <c r="U1974" s="79">
        <f>IF(Q1974="Sin Factura",0,IFERROR(_xlfn.XLOOKUP(1, (Facturas_Odoo!$D:$D=A1974) * (Facturas_Odoo!$K:$K=I1974), Facturas_Odoo!$N:$N, 0), 0))</f>
        <v/>
      </c>
      <c r="V1974" s="79">
        <f>IF(Q1974="Sin Factura",0,IFERROR(_xlfn.XLOOKUP(1, (Facturas_Odoo!$D:$D=A1974) * (Facturas_Odoo!$K:$K=I1974), Facturas_Odoo!$O:$O, 0), 0))</f>
        <v/>
      </c>
      <c r="W1974" s="81">
        <f>IF(Q1974="Sin Factura",0,IFERROR(_xlfn.XLOOKUP(1, (Facturas_Odoo!$D:$D=A1974) * (Facturas_Odoo!$K:$K=I1974), Facturas_Odoo!$Q:$Q, 0), 0))</f>
        <v/>
      </c>
      <c r="X1974" s="79">
        <f>IF(OR(Q1974="Sin Factura",Q1974=""),"",IFERROR(INDEX(Pagos_Odoo!$B:$B, MATCH(Q1974, Pagos_Odoo!$I:$I, 0)), "Sin Pago"))</f>
        <v/>
      </c>
      <c r="Y1974" s="79">
        <f>IF(X1974="Sin Pago","",IFERROR(INDEX(Pagos_Odoo!$C:$C, MATCH(X1974, Pagos_Odoo!$B:$B, 0)), ""))</f>
        <v/>
      </c>
      <c r="Z1974" s="80">
        <f>IF(X1974="Sin Pago","",IFERROR(INDEX(Pagos_Odoo!$A:$A, MATCH(X1974, Pagos_Odoo!$B:$B, 0)), ""))</f>
        <v/>
      </c>
      <c r="AA1974" s="79">
        <f>IF(X1974="Sin Pago","",IFERROR(INDEX(Pagos_Odoo!$F:$F, MATCH(X1974, Pagos_Odoo!$B:$B, 0)), ""))</f>
        <v/>
      </c>
      <c r="AB1974" s="81">
        <f>IF(X1974="Sin Pago",0,IFERROR(INDEX(Pagos_Odoo!$E:$E, MATCH(X1974, Pagos_Odoo!$B:$B, 0)), 0))</f>
        <v/>
      </c>
      <c r="AC1974" s="79">
        <f>IF(X1974="Sin Pago","",IFERROR(INDEX(Pagos_Odoo!$G:$G, MATCH(X1974, Pagos_Odoo!$B:$B, 0)), ""))</f>
        <v/>
      </c>
      <c r="AD1974" s="82" t="n">
        <v>0</v>
      </c>
      <c r="AE1974" s="82" t="n"/>
      <c r="AF1974" s="82" t="n"/>
      <c r="AG1974" s="82">
        <f>IF(AN1974="","",AD1974+AE1974+AF1974)</f>
        <v/>
      </c>
      <c r="AH1974" s="81">
        <f>IF(AN1974="","",P1974*(1-AG1974))</f>
        <v/>
      </c>
      <c r="AI1974" s="81">
        <f>IF(AN1974="","",IF(Q1974="Sin Factura",0,IFERROR(INDEX(Facturas_Odoo!$H:$H, MATCH(Q1974, Facturas_Odoo!$B:$B, 0)), 0)*(1-AG1974)))</f>
        <v/>
      </c>
      <c r="AJ1974" s="81">
        <f>IF(AN1974="","",_xlfn.LET(idVenta, AN1974&amp;"",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74" s="81">
        <f>IF(AN1974="","",AH1974-AJ1974)</f>
        <v/>
      </c>
      <c r="AL1974" s="81">
        <f>IF(AN1974="","",IF(Q1974="Sin Factura","",AI1974-AJ1974))</f>
        <v/>
      </c>
      <c r="AM1974" s="81">
        <f>IF(AN1974="","",IF(Q1974="Sin Factura",0,P1974-IFERROR(INDEX(Facturas_Odoo!$H:$H, MATCH(Q1974, Facturas_Odoo!$B:$B, 0)), 0)))</f>
        <v/>
      </c>
      <c r="AN1974" s="79">
        <f>IF(AND(A1974="", J1974=""), "", IF(A1974&lt;&gt;"", VALUE(MID(A1974,2,LEN(A1974))), AN1973))</f>
        <v/>
      </c>
      <c r="AO1974" s="79">
        <f>IF(AN1974="","",IF(AD1974=0,"OK",_xlfn.LET(monedaPago, IF(AA1974="","USD",AA1974), limitePermitido, IFERROR(VLOOKUP(monedaPago, Configuración!$A$2:$B$3, 2, FALSE), 0.15), IF(AD1974&gt;limitePermitido, "ALERTA: EXCESO (" &amp; TEXT(limitePermitido, "0%") &amp; " máx)", "OK"))))</f>
        <v/>
      </c>
      <c r="AP1974" s="79">
        <f>IF(AN1974="","",IF(AE1974=0,"OK",_xlfn.LET(fechaPago, Z1974, fechaFactura, R1974, diasCredito, IF(E1974="Pago inmediato", 0, IFERROR(VALUE(MID(E1974, 1, SEARCH(" ", E1974)-1)),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74" s="79">
        <f>IF(AN1974="","",IF(AND(N1974&gt;0, AG1974&gt;0), IF(Configuración!$K$2="NO", "ALERTA: DESCUENTO DOBLE NO PERMITIDO", "OK"), "OK"))</f>
        <v/>
      </c>
      <c r="AR1974" s="79">
        <f>IF(AN1974="","",IF(OR(AO1974&lt;&gt;"OK", AP1974&lt;&gt;"OK", AQ1974&lt;&gt;"OK"), "⚠️ REVISAR", "OK"))</f>
        <v/>
      </c>
    </row>
    <row r="1975">
      <c r="A1975" s="79">
        <f>IF('Ordenes_Odoo'!A1975="","",'Ordenes_Odoo'!A1975)</f>
        <v/>
      </c>
      <c r="B1975" s="80">
        <f>IF('Ordenes_Odoo'!B1975="","",'Ordenes_Odoo'!B1975)</f>
        <v/>
      </c>
      <c r="C1975" s="79">
        <f>IF('Ordenes_Odoo'!C1975="","",'Ordenes_Odoo'!C1975)</f>
        <v/>
      </c>
      <c r="D1975" s="79">
        <f>IF('Ordenes_Odoo'!D1975="","",'Ordenes_Odoo'!D1975)</f>
        <v/>
      </c>
      <c r="E1975" s="79">
        <f>IF('Ordenes_Odoo'!E1975="","",'Ordenes_Odoo'!E1975)</f>
        <v/>
      </c>
      <c r="F1975" s="79">
        <f>IF('Ordenes_Odoo'!F1975="","",'Ordenes_Odoo'!F1975)</f>
        <v/>
      </c>
      <c r="G1975" s="79">
        <f>IF('Ordenes_Odoo'!G1975="","",'Ordenes_Odoo'!G1975)</f>
        <v/>
      </c>
      <c r="H1975" s="79">
        <f>IF('Ordenes_Odoo'!H1975="","",'Ordenes_Odoo'!H1975)</f>
        <v/>
      </c>
      <c r="I1975" s="79">
        <f>IF('Ordenes_Odoo'!I1975="","",'Ordenes_Odoo'!I1975)</f>
        <v/>
      </c>
      <c r="J1975" s="79">
        <f>IF('Ordenes_Odoo'!J1975="","",'Ordenes_Odoo'!J1975)</f>
        <v/>
      </c>
      <c r="K1975" s="81">
        <f>IF('Ordenes_Odoo'!K1975="","",'Ordenes_Odoo'!K1975)</f>
        <v/>
      </c>
      <c r="L1975" s="81">
        <f>IF('Ordenes_Odoo'!L1975="","",'Ordenes_Odoo'!L1975)</f>
        <v/>
      </c>
      <c r="M1975" s="79">
        <f>IF('Ordenes_Odoo'!M1975="","",'Ordenes_Odoo'!M1975)</f>
        <v/>
      </c>
      <c r="N1975" s="79">
        <f>IF('Ordenes_Odoo'!N1975="","",'Ordenes_Odoo'!N1975)</f>
        <v/>
      </c>
      <c r="O1975" s="81">
        <f>IF('Ordenes_Odoo'!O1975="","",'Ordenes_Odoo'!O1975)</f>
        <v/>
      </c>
      <c r="P1975" s="81">
        <f>IF('Ordenes_Odoo'!P1975="","",'Ordenes_Odoo'!P1975)</f>
        <v/>
      </c>
      <c r="Q1975" s="79">
        <f>IF(A1975="","",IFERROR(INDEX(Facturas_Odoo!$B:$B, MATCH(A1975, Facturas_Odoo!$D:$D, 0)), "Sin Factura"))</f>
        <v/>
      </c>
      <c r="R1975" s="80">
        <f>IF(Q1975="Sin Factura","",IFERROR(INDEX(Facturas_Odoo!$A:$A, MATCH(Q1975, Facturas_Odoo!$B:$B, 0)), ""))</f>
        <v/>
      </c>
      <c r="S1975" s="79">
        <f>IF(Q1975="Sin Factura","",IFERROR(_xlfn.XLOOKUP(1, (Facturas_Odoo!$D:$D=A1975) * (Facturas_Odoo!$K:$K=I1975), Facturas_Odoo!$L:$L, ""), ""))</f>
        <v/>
      </c>
      <c r="T1975" s="81">
        <f>IF(Q1975="Sin Factura",0,IFERROR(_xlfn.XLOOKUP(1, (Facturas_Odoo!$D:$D=A1975) * (Facturas_Odoo!$K:$K=I1975), Facturas_Odoo!$M:$M, 0), 0))</f>
        <v/>
      </c>
      <c r="U1975" s="79">
        <f>IF(Q1975="Sin Factura",0,IFERROR(_xlfn.XLOOKUP(1, (Facturas_Odoo!$D:$D=A1975) * (Facturas_Odoo!$K:$K=I1975), Facturas_Odoo!$N:$N, 0), 0))</f>
        <v/>
      </c>
      <c r="V1975" s="79">
        <f>IF(Q1975="Sin Factura",0,IFERROR(_xlfn.XLOOKUP(1, (Facturas_Odoo!$D:$D=A1975) * (Facturas_Odoo!$K:$K=I1975), Facturas_Odoo!$O:$O, 0), 0))</f>
        <v/>
      </c>
      <c r="W1975" s="81">
        <f>IF(Q1975="Sin Factura",0,IFERROR(_xlfn.XLOOKUP(1, (Facturas_Odoo!$D:$D=A1975) * (Facturas_Odoo!$K:$K=I1975), Facturas_Odoo!$Q:$Q, 0), 0))</f>
        <v/>
      </c>
      <c r="X1975" s="79">
        <f>IF(OR(Q1975="Sin Factura",Q1975=""),"",IFERROR(INDEX(Pagos_Odoo!$B:$B, MATCH(Q1975, Pagos_Odoo!$I:$I, 0)), "Sin Pago"))</f>
        <v/>
      </c>
      <c r="Y1975" s="79">
        <f>IF(X1975="Sin Pago","",IFERROR(INDEX(Pagos_Odoo!$C:$C, MATCH(X1975, Pagos_Odoo!$B:$B, 0)), ""))</f>
        <v/>
      </c>
      <c r="Z1975" s="80">
        <f>IF(X1975="Sin Pago","",IFERROR(INDEX(Pagos_Odoo!$A:$A, MATCH(X1975, Pagos_Odoo!$B:$B, 0)), ""))</f>
        <v/>
      </c>
      <c r="AA1975" s="79">
        <f>IF(X1975="Sin Pago","",IFERROR(INDEX(Pagos_Odoo!$F:$F, MATCH(X1975, Pagos_Odoo!$B:$B, 0)), ""))</f>
        <v/>
      </c>
      <c r="AB1975" s="81">
        <f>IF(X1975="Sin Pago",0,IFERROR(INDEX(Pagos_Odoo!$E:$E, MATCH(X1975, Pagos_Odoo!$B:$B, 0)), 0))</f>
        <v/>
      </c>
      <c r="AC1975" s="79">
        <f>IF(X1975="Sin Pago","",IFERROR(INDEX(Pagos_Odoo!$G:$G, MATCH(X1975, Pagos_Odoo!$B:$B, 0)), ""))</f>
        <v/>
      </c>
      <c r="AD1975" s="82" t="n">
        <v>0</v>
      </c>
      <c r="AE1975" s="82" t="n"/>
      <c r="AF1975" s="82" t="n"/>
      <c r="AG1975" s="82">
        <f>IF(AN1975="","",AD1975+AE1975+AF1975)</f>
        <v/>
      </c>
      <c r="AH1975" s="81">
        <f>IF(AN1975="","",P1975*(1-AG1975))</f>
        <v/>
      </c>
      <c r="AI1975" s="81">
        <f>IF(AN1975="","",IF(Q1975="Sin Factura",0,IFERROR(INDEX(Facturas_Odoo!$H:$H, MATCH(Q1975, Facturas_Odoo!$B:$B, 0)), 0)*(1-AG1975)))</f>
        <v/>
      </c>
      <c r="AJ1975" s="81">
        <f>IF(AN1975="","",_xlfn.LET(idVenta, AN1975&amp;"",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75" s="81">
        <f>IF(AN1975="","",AH1975-AJ1975)</f>
        <v/>
      </c>
      <c r="AL1975" s="81">
        <f>IF(AN1975="","",IF(Q1975="Sin Factura","",AI1975-AJ1975))</f>
        <v/>
      </c>
      <c r="AM1975" s="81">
        <f>IF(AN1975="","",IF(Q1975="Sin Factura",0,P1975-IFERROR(INDEX(Facturas_Odoo!$H:$H, MATCH(Q1975, Facturas_Odoo!$B:$B, 0)), 0)))</f>
        <v/>
      </c>
      <c r="AN1975" s="79">
        <f>IF(AND(A1975="", J1975=""), "", IF(A1975&lt;&gt;"", VALUE(MID(A1975,2,LEN(A1975))), AN1974))</f>
        <v/>
      </c>
      <c r="AO1975" s="79">
        <f>IF(AN1975="","",IF(AD1975=0,"OK",_xlfn.LET(monedaPago, IF(AA1975="","USD",AA1975), limitePermitido, IFERROR(VLOOKUP(monedaPago, Configuración!$A$2:$B$3, 2, FALSE), 0.15), IF(AD1975&gt;limitePermitido, "ALERTA: EXCESO (" &amp; TEXT(limitePermitido, "0%") &amp; " máx)", "OK"))))</f>
        <v/>
      </c>
      <c r="AP1975" s="79">
        <f>IF(AN1975="","",IF(AE1975=0,"OK",_xlfn.LET(fechaPago, Z1975, fechaFactura, R1975, diasCredito, IF(E1975="Pago inmediato", 0, IFERROR(VALUE(MID(E1975, 1, SEARCH(" ", E1975)-1)),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75" s="79">
        <f>IF(AN1975="","",IF(AND(N1975&gt;0, AG1975&gt;0), IF(Configuración!$K$2="NO", "ALERTA: DESCUENTO DOBLE NO PERMITIDO", "OK"), "OK"))</f>
        <v/>
      </c>
      <c r="AR1975" s="79">
        <f>IF(AN1975="","",IF(OR(AO1975&lt;&gt;"OK", AP1975&lt;&gt;"OK", AQ1975&lt;&gt;"OK"), "⚠️ REVISAR", "OK"))</f>
        <v/>
      </c>
    </row>
    <row r="1976">
      <c r="A1976" s="79">
        <f>IF('Ordenes_Odoo'!A1976="","",'Ordenes_Odoo'!A1976)</f>
        <v/>
      </c>
      <c r="B1976" s="80">
        <f>IF('Ordenes_Odoo'!B1976="","",'Ordenes_Odoo'!B1976)</f>
        <v/>
      </c>
      <c r="C1976" s="79">
        <f>IF('Ordenes_Odoo'!C1976="","",'Ordenes_Odoo'!C1976)</f>
        <v/>
      </c>
      <c r="D1976" s="79">
        <f>IF('Ordenes_Odoo'!D1976="","",'Ordenes_Odoo'!D1976)</f>
        <v/>
      </c>
      <c r="E1976" s="79">
        <f>IF('Ordenes_Odoo'!E1976="","",'Ordenes_Odoo'!E1976)</f>
        <v/>
      </c>
      <c r="F1976" s="79">
        <f>IF('Ordenes_Odoo'!F1976="","",'Ordenes_Odoo'!F1976)</f>
        <v/>
      </c>
      <c r="G1976" s="79">
        <f>IF('Ordenes_Odoo'!G1976="","",'Ordenes_Odoo'!G1976)</f>
        <v/>
      </c>
      <c r="H1976" s="79">
        <f>IF('Ordenes_Odoo'!H1976="","",'Ordenes_Odoo'!H1976)</f>
        <v/>
      </c>
      <c r="I1976" s="79">
        <f>IF('Ordenes_Odoo'!I1976="","",'Ordenes_Odoo'!I1976)</f>
        <v/>
      </c>
      <c r="J1976" s="79">
        <f>IF('Ordenes_Odoo'!J1976="","",'Ordenes_Odoo'!J1976)</f>
        <v/>
      </c>
      <c r="K1976" s="81">
        <f>IF('Ordenes_Odoo'!K1976="","",'Ordenes_Odoo'!K1976)</f>
        <v/>
      </c>
      <c r="L1976" s="81">
        <f>IF('Ordenes_Odoo'!L1976="","",'Ordenes_Odoo'!L1976)</f>
        <v/>
      </c>
      <c r="M1976" s="79">
        <f>IF('Ordenes_Odoo'!M1976="","",'Ordenes_Odoo'!M1976)</f>
        <v/>
      </c>
      <c r="N1976" s="79">
        <f>IF('Ordenes_Odoo'!N1976="","",'Ordenes_Odoo'!N1976)</f>
        <v/>
      </c>
      <c r="O1976" s="81">
        <f>IF('Ordenes_Odoo'!O1976="","",'Ordenes_Odoo'!O1976)</f>
        <v/>
      </c>
      <c r="P1976" s="81">
        <f>IF('Ordenes_Odoo'!P1976="","",'Ordenes_Odoo'!P1976)</f>
        <v/>
      </c>
      <c r="Q1976" s="79">
        <f>IF(A1976="","",IFERROR(INDEX(Facturas_Odoo!$B:$B, MATCH(A1976, Facturas_Odoo!$D:$D, 0)), "Sin Factura"))</f>
        <v/>
      </c>
      <c r="R1976" s="80">
        <f>IF(Q1976="Sin Factura","",IFERROR(INDEX(Facturas_Odoo!$A:$A, MATCH(Q1976, Facturas_Odoo!$B:$B, 0)), ""))</f>
        <v/>
      </c>
      <c r="S1976" s="79">
        <f>IF(Q1976="Sin Factura","",IFERROR(_xlfn.XLOOKUP(1, (Facturas_Odoo!$D:$D=A1976) * (Facturas_Odoo!$K:$K=I1976), Facturas_Odoo!$L:$L, ""), ""))</f>
        <v/>
      </c>
      <c r="T1976" s="81">
        <f>IF(Q1976="Sin Factura",0,IFERROR(_xlfn.XLOOKUP(1, (Facturas_Odoo!$D:$D=A1976) * (Facturas_Odoo!$K:$K=I1976), Facturas_Odoo!$M:$M, 0), 0))</f>
        <v/>
      </c>
      <c r="U1976" s="79">
        <f>IF(Q1976="Sin Factura",0,IFERROR(_xlfn.XLOOKUP(1, (Facturas_Odoo!$D:$D=A1976) * (Facturas_Odoo!$K:$K=I1976), Facturas_Odoo!$N:$N, 0), 0))</f>
        <v/>
      </c>
      <c r="V1976" s="79">
        <f>IF(Q1976="Sin Factura",0,IFERROR(_xlfn.XLOOKUP(1, (Facturas_Odoo!$D:$D=A1976) * (Facturas_Odoo!$K:$K=I1976), Facturas_Odoo!$O:$O, 0), 0))</f>
        <v/>
      </c>
      <c r="W1976" s="81">
        <f>IF(Q1976="Sin Factura",0,IFERROR(_xlfn.XLOOKUP(1, (Facturas_Odoo!$D:$D=A1976) * (Facturas_Odoo!$K:$K=I1976), Facturas_Odoo!$Q:$Q, 0), 0))</f>
        <v/>
      </c>
      <c r="X1976" s="79">
        <f>IF(OR(Q1976="Sin Factura",Q1976=""),"",IFERROR(INDEX(Pagos_Odoo!$B:$B, MATCH(Q1976, Pagos_Odoo!$I:$I, 0)), "Sin Pago"))</f>
        <v/>
      </c>
      <c r="Y1976" s="79">
        <f>IF(X1976="Sin Pago","",IFERROR(INDEX(Pagos_Odoo!$C:$C, MATCH(X1976, Pagos_Odoo!$B:$B, 0)), ""))</f>
        <v/>
      </c>
      <c r="Z1976" s="80">
        <f>IF(X1976="Sin Pago","",IFERROR(INDEX(Pagos_Odoo!$A:$A, MATCH(X1976, Pagos_Odoo!$B:$B, 0)), ""))</f>
        <v/>
      </c>
      <c r="AA1976" s="79">
        <f>IF(X1976="Sin Pago","",IFERROR(INDEX(Pagos_Odoo!$F:$F, MATCH(X1976, Pagos_Odoo!$B:$B, 0)), ""))</f>
        <v/>
      </c>
      <c r="AB1976" s="81">
        <f>IF(X1976="Sin Pago",0,IFERROR(INDEX(Pagos_Odoo!$E:$E, MATCH(X1976, Pagos_Odoo!$B:$B, 0)), 0))</f>
        <v/>
      </c>
      <c r="AC1976" s="79">
        <f>IF(X1976="Sin Pago","",IFERROR(INDEX(Pagos_Odoo!$G:$G, MATCH(X1976, Pagos_Odoo!$B:$B, 0)), ""))</f>
        <v/>
      </c>
      <c r="AD1976" s="82" t="n">
        <v>0</v>
      </c>
      <c r="AE1976" s="82" t="n"/>
      <c r="AF1976" s="82" t="n"/>
      <c r="AG1976" s="82">
        <f>IF(AN1976="","",AD1976+AE1976+AF1976)</f>
        <v/>
      </c>
      <c r="AH1976" s="81">
        <f>IF(AN1976="","",P1976*(1-AG1976))</f>
        <v/>
      </c>
      <c r="AI1976" s="81">
        <f>IF(AN1976="","",IF(Q1976="Sin Factura",0,IFERROR(INDEX(Facturas_Odoo!$H:$H, MATCH(Q1976, Facturas_Odoo!$B:$B, 0)), 0)*(1-AG1976)))</f>
        <v/>
      </c>
      <c r="AJ1976" s="81">
        <f>IF(AN1976="","",_xlfn.LET(idVenta, AN1976&amp;"",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76" s="81">
        <f>IF(AN1976="","",AH1976-AJ1976)</f>
        <v/>
      </c>
      <c r="AL1976" s="81">
        <f>IF(AN1976="","",IF(Q1976="Sin Factura","",AI1976-AJ1976))</f>
        <v/>
      </c>
      <c r="AM1976" s="81">
        <f>IF(AN1976="","",IF(Q1976="Sin Factura",0,P1976-IFERROR(INDEX(Facturas_Odoo!$H:$H, MATCH(Q1976, Facturas_Odoo!$B:$B, 0)), 0)))</f>
        <v/>
      </c>
      <c r="AN1976" s="79">
        <f>IF(AND(A1976="", J1976=""), "", IF(A1976&lt;&gt;"", VALUE(MID(A1976,2,LEN(A1976))), AN1975))</f>
        <v/>
      </c>
      <c r="AO1976" s="79">
        <f>IF(AN1976="","",IF(AD1976=0,"OK",_xlfn.LET(monedaPago, IF(AA1976="","USD",AA1976), limitePermitido, IFERROR(VLOOKUP(monedaPago, Configuración!$A$2:$B$3, 2, FALSE), 0.15), IF(AD1976&gt;limitePermitido, "ALERTA: EXCESO (" &amp; TEXT(limitePermitido, "0%") &amp; " máx)", "OK"))))</f>
        <v/>
      </c>
      <c r="AP1976" s="79">
        <f>IF(AN1976="","",IF(AE1976=0,"OK",_xlfn.LET(fechaPago, Z1976, fechaFactura, R1976, diasCredito, IF(E1976="Pago inmediato", 0, IFERROR(VALUE(MID(E1976, 1, SEARCH(" ", E1976)-1)),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76" s="79">
        <f>IF(AN1976="","",IF(AND(N1976&gt;0, AG1976&gt;0), IF(Configuración!$K$2="NO", "ALERTA: DESCUENTO DOBLE NO PERMITIDO", "OK"), "OK"))</f>
        <v/>
      </c>
      <c r="AR1976" s="79">
        <f>IF(AN1976="","",IF(OR(AO1976&lt;&gt;"OK", AP1976&lt;&gt;"OK", AQ1976&lt;&gt;"OK"), "⚠️ REVISAR", "OK"))</f>
        <v/>
      </c>
    </row>
    <row r="1977">
      <c r="A1977" s="79">
        <f>IF('Ordenes_Odoo'!A1977="","",'Ordenes_Odoo'!A1977)</f>
        <v/>
      </c>
      <c r="B1977" s="80">
        <f>IF('Ordenes_Odoo'!B1977="","",'Ordenes_Odoo'!B1977)</f>
        <v/>
      </c>
      <c r="C1977" s="79">
        <f>IF('Ordenes_Odoo'!C1977="","",'Ordenes_Odoo'!C1977)</f>
        <v/>
      </c>
      <c r="D1977" s="79">
        <f>IF('Ordenes_Odoo'!D1977="","",'Ordenes_Odoo'!D1977)</f>
        <v/>
      </c>
      <c r="E1977" s="79">
        <f>IF('Ordenes_Odoo'!E1977="","",'Ordenes_Odoo'!E1977)</f>
        <v/>
      </c>
      <c r="F1977" s="79">
        <f>IF('Ordenes_Odoo'!F1977="","",'Ordenes_Odoo'!F1977)</f>
        <v/>
      </c>
      <c r="G1977" s="79">
        <f>IF('Ordenes_Odoo'!G1977="","",'Ordenes_Odoo'!G1977)</f>
        <v/>
      </c>
      <c r="H1977" s="79">
        <f>IF('Ordenes_Odoo'!H1977="","",'Ordenes_Odoo'!H1977)</f>
        <v/>
      </c>
      <c r="I1977" s="79">
        <f>IF('Ordenes_Odoo'!I1977="","",'Ordenes_Odoo'!I1977)</f>
        <v/>
      </c>
      <c r="J1977" s="79">
        <f>IF('Ordenes_Odoo'!J1977="","",'Ordenes_Odoo'!J1977)</f>
        <v/>
      </c>
      <c r="K1977" s="81">
        <f>IF('Ordenes_Odoo'!K1977="","",'Ordenes_Odoo'!K1977)</f>
        <v/>
      </c>
      <c r="L1977" s="81">
        <f>IF('Ordenes_Odoo'!L1977="","",'Ordenes_Odoo'!L1977)</f>
        <v/>
      </c>
      <c r="M1977" s="79">
        <f>IF('Ordenes_Odoo'!M1977="","",'Ordenes_Odoo'!M1977)</f>
        <v/>
      </c>
      <c r="N1977" s="79">
        <f>IF('Ordenes_Odoo'!N1977="","",'Ordenes_Odoo'!N1977)</f>
        <v/>
      </c>
      <c r="O1977" s="81">
        <f>IF('Ordenes_Odoo'!O1977="","",'Ordenes_Odoo'!O1977)</f>
        <v/>
      </c>
      <c r="P1977" s="81">
        <f>IF('Ordenes_Odoo'!P1977="","",'Ordenes_Odoo'!P1977)</f>
        <v/>
      </c>
      <c r="Q1977" s="79">
        <f>IF(A1977="","",IFERROR(INDEX(Facturas_Odoo!$B:$B, MATCH(A1977, Facturas_Odoo!$D:$D, 0)), "Sin Factura"))</f>
        <v/>
      </c>
      <c r="R1977" s="80">
        <f>IF(Q1977="Sin Factura","",IFERROR(INDEX(Facturas_Odoo!$A:$A, MATCH(Q1977, Facturas_Odoo!$B:$B, 0)), ""))</f>
        <v/>
      </c>
      <c r="S1977" s="79">
        <f>IF(Q1977="Sin Factura","",IFERROR(_xlfn.XLOOKUP(1, (Facturas_Odoo!$D:$D=A1977) * (Facturas_Odoo!$K:$K=I1977), Facturas_Odoo!$L:$L, ""), ""))</f>
        <v/>
      </c>
      <c r="T1977" s="81">
        <f>IF(Q1977="Sin Factura",0,IFERROR(_xlfn.XLOOKUP(1, (Facturas_Odoo!$D:$D=A1977) * (Facturas_Odoo!$K:$K=I1977), Facturas_Odoo!$M:$M, 0), 0))</f>
        <v/>
      </c>
      <c r="U1977" s="79">
        <f>IF(Q1977="Sin Factura",0,IFERROR(_xlfn.XLOOKUP(1, (Facturas_Odoo!$D:$D=A1977) * (Facturas_Odoo!$K:$K=I1977), Facturas_Odoo!$N:$N, 0), 0))</f>
        <v/>
      </c>
      <c r="V1977" s="79">
        <f>IF(Q1977="Sin Factura",0,IFERROR(_xlfn.XLOOKUP(1, (Facturas_Odoo!$D:$D=A1977) * (Facturas_Odoo!$K:$K=I1977), Facturas_Odoo!$O:$O, 0), 0))</f>
        <v/>
      </c>
      <c r="W1977" s="81">
        <f>IF(Q1977="Sin Factura",0,IFERROR(_xlfn.XLOOKUP(1, (Facturas_Odoo!$D:$D=A1977) * (Facturas_Odoo!$K:$K=I1977), Facturas_Odoo!$Q:$Q, 0), 0))</f>
        <v/>
      </c>
      <c r="X1977" s="79">
        <f>IF(OR(Q1977="Sin Factura",Q1977=""),"",IFERROR(INDEX(Pagos_Odoo!$B:$B, MATCH(Q1977, Pagos_Odoo!$I:$I, 0)), "Sin Pago"))</f>
        <v/>
      </c>
      <c r="Y1977" s="79">
        <f>IF(X1977="Sin Pago","",IFERROR(INDEX(Pagos_Odoo!$C:$C, MATCH(X1977, Pagos_Odoo!$B:$B, 0)), ""))</f>
        <v/>
      </c>
      <c r="Z1977" s="80">
        <f>IF(X1977="Sin Pago","",IFERROR(INDEX(Pagos_Odoo!$A:$A, MATCH(X1977, Pagos_Odoo!$B:$B, 0)), ""))</f>
        <v/>
      </c>
      <c r="AA1977" s="79">
        <f>IF(X1977="Sin Pago","",IFERROR(INDEX(Pagos_Odoo!$F:$F, MATCH(X1977, Pagos_Odoo!$B:$B, 0)), ""))</f>
        <v/>
      </c>
      <c r="AB1977" s="81">
        <f>IF(X1977="Sin Pago",0,IFERROR(INDEX(Pagos_Odoo!$E:$E, MATCH(X1977, Pagos_Odoo!$B:$B, 0)), 0))</f>
        <v/>
      </c>
      <c r="AC1977" s="79">
        <f>IF(X1977="Sin Pago","",IFERROR(INDEX(Pagos_Odoo!$G:$G, MATCH(X1977, Pagos_Odoo!$B:$B, 0)), ""))</f>
        <v/>
      </c>
      <c r="AD1977" s="82" t="n">
        <v>0</v>
      </c>
      <c r="AE1977" s="82" t="n"/>
      <c r="AF1977" s="82" t="n"/>
      <c r="AG1977" s="82">
        <f>IF(AN1977="","",AD1977+AE1977+AF1977)</f>
        <v/>
      </c>
      <c r="AH1977" s="81">
        <f>IF(AN1977="","",P1977*(1-AG1977))</f>
        <v/>
      </c>
      <c r="AI1977" s="81">
        <f>IF(AN1977="","",IF(Q1977="Sin Factura",0,IFERROR(INDEX(Facturas_Odoo!$H:$H, MATCH(Q1977, Facturas_Odoo!$B:$B, 0)), 0)*(1-AG1977)))</f>
        <v/>
      </c>
      <c r="AJ1977" s="81">
        <f>IF(AN1977="","",_xlfn.LET(idVenta, AN1977&amp;"",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77" s="81">
        <f>IF(AN1977="","",AH1977-AJ1977)</f>
        <v/>
      </c>
      <c r="AL1977" s="81">
        <f>IF(AN1977="","",IF(Q1977="Sin Factura","",AI1977-AJ1977))</f>
        <v/>
      </c>
      <c r="AM1977" s="81">
        <f>IF(AN1977="","",IF(Q1977="Sin Factura",0,P1977-IFERROR(INDEX(Facturas_Odoo!$H:$H, MATCH(Q1977, Facturas_Odoo!$B:$B, 0)), 0)))</f>
        <v/>
      </c>
      <c r="AN1977" s="79">
        <f>IF(AND(A1977="", J1977=""), "", IF(A1977&lt;&gt;"", VALUE(MID(A1977,2,LEN(A1977))), AN1976))</f>
        <v/>
      </c>
      <c r="AO1977" s="79">
        <f>IF(AN1977="","",IF(AD1977=0,"OK",_xlfn.LET(monedaPago, IF(AA1977="","USD",AA1977), limitePermitido, IFERROR(VLOOKUP(monedaPago, Configuración!$A$2:$B$3, 2, FALSE), 0.15), IF(AD1977&gt;limitePermitido, "ALERTA: EXCESO (" &amp; TEXT(limitePermitido, "0%") &amp; " máx)", "OK"))))</f>
        <v/>
      </c>
      <c r="AP1977" s="79">
        <f>IF(AN1977="","",IF(AE1977=0,"OK",_xlfn.LET(fechaPago, Z1977, fechaFactura, R1977, diasCredito, IF(E1977="Pago inmediato", 0, IFERROR(VALUE(MID(E1977, 1, SEARCH(" ", E1977)-1)),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77" s="79">
        <f>IF(AN1977="","",IF(AND(N1977&gt;0, AG1977&gt;0), IF(Configuración!$K$2="NO", "ALERTA: DESCUENTO DOBLE NO PERMITIDO", "OK"), "OK"))</f>
        <v/>
      </c>
      <c r="AR1977" s="79">
        <f>IF(AN1977="","",IF(OR(AO1977&lt;&gt;"OK", AP1977&lt;&gt;"OK", AQ1977&lt;&gt;"OK"), "⚠️ REVISAR", "OK"))</f>
        <v/>
      </c>
    </row>
    <row r="1978">
      <c r="A1978" s="79">
        <f>IF('Ordenes_Odoo'!A1978="","",'Ordenes_Odoo'!A1978)</f>
        <v/>
      </c>
      <c r="B1978" s="80">
        <f>IF('Ordenes_Odoo'!B1978="","",'Ordenes_Odoo'!B1978)</f>
        <v/>
      </c>
      <c r="C1978" s="79">
        <f>IF('Ordenes_Odoo'!C1978="","",'Ordenes_Odoo'!C1978)</f>
        <v/>
      </c>
      <c r="D1978" s="79">
        <f>IF('Ordenes_Odoo'!D1978="","",'Ordenes_Odoo'!D1978)</f>
        <v/>
      </c>
      <c r="E1978" s="79">
        <f>IF('Ordenes_Odoo'!E1978="","",'Ordenes_Odoo'!E1978)</f>
        <v/>
      </c>
      <c r="F1978" s="79">
        <f>IF('Ordenes_Odoo'!F1978="","",'Ordenes_Odoo'!F1978)</f>
        <v/>
      </c>
      <c r="G1978" s="79">
        <f>IF('Ordenes_Odoo'!G1978="","",'Ordenes_Odoo'!G1978)</f>
        <v/>
      </c>
      <c r="H1978" s="79">
        <f>IF('Ordenes_Odoo'!H1978="","",'Ordenes_Odoo'!H1978)</f>
        <v/>
      </c>
      <c r="I1978" s="79">
        <f>IF('Ordenes_Odoo'!I1978="","",'Ordenes_Odoo'!I1978)</f>
        <v/>
      </c>
      <c r="J1978" s="79">
        <f>IF('Ordenes_Odoo'!J1978="","",'Ordenes_Odoo'!J1978)</f>
        <v/>
      </c>
      <c r="K1978" s="81">
        <f>IF('Ordenes_Odoo'!K1978="","",'Ordenes_Odoo'!K1978)</f>
        <v/>
      </c>
      <c r="L1978" s="81">
        <f>IF('Ordenes_Odoo'!L1978="","",'Ordenes_Odoo'!L1978)</f>
        <v/>
      </c>
      <c r="M1978" s="79">
        <f>IF('Ordenes_Odoo'!M1978="","",'Ordenes_Odoo'!M1978)</f>
        <v/>
      </c>
      <c r="N1978" s="79">
        <f>IF('Ordenes_Odoo'!N1978="","",'Ordenes_Odoo'!N1978)</f>
        <v/>
      </c>
      <c r="O1978" s="81">
        <f>IF('Ordenes_Odoo'!O1978="","",'Ordenes_Odoo'!O1978)</f>
        <v/>
      </c>
      <c r="P1978" s="81">
        <f>IF('Ordenes_Odoo'!P1978="","",'Ordenes_Odoo'!P1978)</f>
        <v/>
      </c>
      <c r="Q1978" s="79">
        <f>IF(A1978="","",IFERROR(INDEX(Facturas_Odoo!$B:$B, MATCH(A1978, Facturas_Odoo!$D:$D, 0)), "Sin Factura"))</f>
        <v/>
      </c>
      <c r="R1978" s="80">
        <f>IF(Q1978="Sin Factura","",IFERROR(INDEX(Facturas_Odoo!$A:$A, MATCH(Q1978, Facturas_Odoo!$B:$B, 0)), ""))</f>
        <v/>
      </c>
      <c r="S1978" s="79">
        <f>IF(Q1978="Sin Factura","",IFERROR(_xlfn.XLOOKUP(1, (Facturas_Odoo!$D:$D=A1978) * (Facturas_Odoo!$K:$K=I1978), Facturas_Odoo!$L:$L, ""), ""))</f>
        <v/>
      </c>
      <c r="T1978" s="81">
        <f>IF(Q1978="Sin Factura",0,IFERROR(_xlfn.XLOOKUP(1, (Facturas_Odoo!$D:$D=A1978) * (Facturas_Odoo!$K:$K=I1978), Facturas_Odoo!$M:$M, 0), 0))</f>
        <v/>
      </c>
      <c r="U1978" s="79">
        <f>IF(Q1978="Sin Factura",0,IFERROR(_xlfn.XLOOKUP(1, (Facturas_Odoo!$D:$D=A1978) * (Facturas_Odoo!$K:$K=I1978), Facturas_Odoo!$N:$N, 0), 0))</f>
        <v/>
      </c>
      <c r="V1978" s="79">
        <f>IF(Q1978="Sin Factura",0,IFERROR(_xlfn.XLOOKUP(1, (Facturas_Odoo!$D:$D=A1978) * (Facturas_Odoo!$K:$K=I1978), Facturas_Odoo!$O:$O, 0), 0))</f>
        <v/>
      </c>
      <c r="W1978" s="81">
        <f>IF(Q1978="Sin Factura",0,IFERROR(_xlfn.XLOOKUP(1, (Facturas_Odoo!$D:$D=A1978) * (Facturas_Odoo!$K:$K=I1978), Facturas_Odoo!$Q:$Q, 0), 0))</f>
        <v/>
      </c>
      <c r="X1978" s="79">
        <f>IF(OR(Q1978="Sin Factura",Q1978=""),"",IFERROR(INDEX(Pagos_Odoo!$B:$B, MATCH(Q1978, Pagos_Odoo!$I:$I, 0)), "Sin Pago"))</f>
        <v/>
      </c>
      <c r="Y1978" s="79">
        <f>IF(X1978="Sin Pago","",IFERROR(INDEX(Pagos_Odoo!$C:$C, MATCH(X1978, Pagos_Odoo!$B:$B, 0)), ""))</f>
        <v/>
      </c>
      <c r="Z1978" s="80">
        <f>IF(X1978="Sin Pago","",IFERROR(INDEX(Pagos_Odoo!$A:$A, MATCH(X1978, Pagos_Odoo!$B:$B, 0)), ""))</f>
        <v/>
      </c>
      <c r="AA1978" s="79">
        <f>IF(X1978="Sin Pago","",IFERROR(INDEX(Pagos_Odoo!$F:$F, MATCH(X1978, Pagos_Odoo!$B:$B, 0)), ""))</f>
        <v/>
      </c>
      <c r="AB1978" s="81">
        <f>IF(X1978="Sin Pago",0,IFERROR(INDEX(Pagos_Odoo!$E:$E, MATCH(X1978, Pagos_Odoo!$B:$B, 0)), 0))</f>
        <v/>
      </c>
      <c r="AC1978" s="79">
        <f>IF(X1978="Sin Pago","",IFERROR(INDEX(Pagos_Odoo!$G:$G, MATCH(X1978, Pagos_Odoo!$B:$B, 0)), ""))</f>
        <v/>
      </c>
      <c r="AD1978" s="82" t="n">
        <v>0</v>
      </c>
      <c r="AE1978" s="82" t="n"/>
      <c r="AF1978" s="82" t="n"/>
      <c r="AG1978" s="82">
        <f>IF(AN1978="","",AD1978+AE1978+AF1978)</f>
        <v/>
      </c>
      <c r="AH1978" s="81">
        <f>IF(AN1978="","",P1978*(1-AG1978))</f>
        <v/>
      </c>
      <c r="AI1978" s="81">
        <f>IF(AN1978="","",IF(Q1978="Sin Factura",0,IFERROR(INDEX(Facturas_Odoo!$H:$H, MATCH(Q1978, Facturas_Odoo!$B:$B, 0)), 0)*(1-AG1978)))</f>
        <v/>
      </c>
      <c r="AJ1978" s="81">
        <f>IF(AN1978="","",_xlfn.LET(idVenta, AN1978&amp;"",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78" s="81">
        <f>IF(AN1978="","",AH1978-AJ1978)</f>
        <v/>
      </c>
      <c r="AL1978" s="81">
        <f>IF(AN1978="","",IF(Q1978="Sin Factura","",AI1978-AJ1978))</f>
        <v/>
      </c>
      <c r="AM1978" s="81">
        <f>IF(AN1978="","",IF(Q1978="Sin Factura",0,P1978-IFERROR(INDEX(Facturas_Odoo!$H:$H, MATCH(Q1978, Facturas_Odoo!$B:$B, 0)), 0)))</f>
        <v/>
      </c>
      <c r="AN1978" s="79">
        <f>IF(AND(A1978="", J1978=""), "", IF(A1978&lt;&gt;"", VALUE(MID(A1978,2,LEN(A1978))), AN1977))</f>
        <v/>
      </c>
      <c r="AO1978" s="79">
        <f>IF(AN1978="","",IF(AD1978=0,"OK",_xlfn.LET(monedaPago, IF(AA1978="","USD",AA1978), limitePermitido, IFERROR(VLOOKUP(monedaPago, Configuración!$A$2:$B$3, 2, FALSE), 0.15), IF(AD1978&gt;limitePermitido, "ALERTA: EXCESO (" &amp; TEXT(limitePermitido, "0%") &amp; " máx)", "OK"))))</f>
        <v/>
      </c>
      <c r="AP1978" s="79">
        <f>IF(AN1978="","",IF(AE1978=0,"OK",_xlfn.LET(fechaPago, Z1978, fechaFactura, R1978, diasCredito, IF(E1978="Pago inmediato", 0, IFERROR(VALUE(MID(E1978, 1, SEARCH(" ", E1978)-1)),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78" s="79">
        <f>IF(AN1978="","",IF(AND(N1978&gt;0, AG1978&gt;0), IF(Configuración!$K$2="NO", "ALERTA: DESCUENTO DOBLE NO PERMITIDO", "OK"), "OK"))</f>
        <v/>
      </c>
      <c r="AR1978" s="79">
        <f>IF(AN1978="","",IF(OR(AO1978&lt;&gt;"OK", AP1978&lt;&gt;"OK", AQ1978&lt;&gt;"OK"), "⚠️ REVISAR", "OK"))</f>
        <v/>
      </c>
    </row>
    <row r="1979">
      <c r="A1979" s="79">
        <f>IF('Ordenes_Odoo'!A1979="","",'Ordenes_Odoo'!A1979)</f>
        <v/>
      </c>
      <c r="B1979" s="80">
        <f>IF('Ordenes_Odoo'!B1979="","",'Ordenes_Odoo'!B1979)</f>
        <v/>
      </c>
      <c r="C1979" s="79">
        <f>IF('Ordenes_Odoo'!C1979="","",'Ordenes_Odoo'!C1979)</f>
        <v/>
      </c>
      <c r="D1979" s="79">
        <f>IF('Ordenes_Odoo'!D1979="","",'Ordenes_Odoo'!D1979)</f>
        <v/>
      </c>
      <c r="E1979" s="79">
        <f>IF('Ordenes_Odoo'!E1979="","",'Ordenes_Odoo'!E1979)</f>
        <v/>
      </c>
      <c r="F1979" s="79">
        <f>IF('Ordenes_Odoo'!F1979="","",'Ordenes_Odoo'!F1979)</f>
        <v/>
      </c>
      <c r="G1979" s="79">
        <f>IF('Ordenes_Odoo'!G1979="","",'Ordenes_Odoo'!G1979)</f>
        <v/>
      </c>
      <c r="H1979" s="79">
        <f>IF('Ordenes_Odoo'!H1979="","",'Ordenes_Odoo'!H1979)</f>
        <v/>
      </c>
      <c r="I1979" s="79">
        <f>IF('Ordenes_Odoo'!I1979="","",'Ordenes_Odoo'!I1979)</f>
        <v/>
      </c>
      <c r="J1979" s="79">
        <f>IF('Ordenes_Odoo'!J1979="","",'Ordenes_Odoo'!J1979)</f>
        <v/>
      </c>
      <c r="K1979" s="81">
        <f>IF('Ordenes_Odoo'!K1979="","",'Ordenes_Odoo'!K1979)</f>
        <v/>
      </c>
      <c r="L1979" s="81">
        <f>IF('Ordenes_Odoo'!L1979="","",'Ordenes_Odoo'!L1979)</f>
        <v/>
      </c>
      <c r="M1979" s="79">
        <f>IF('Ordenes_Odoo'!M1979="","",'Ordenes_Odoo'!M1979)</f>
        <v/>
      </c>
      <c r="N1979" s="79">
        <f>IF('Ordenes_Odoo'!N1979="","",'Ordenes_Odoo'!N1979)</f>
        <v/>
      </c>
      <c r="O1979" s="81">
        <f>IF('Ordenes_Odoo'!O1979="","",'Ordenes_Odoo'!O1979)</f>
        <v/>
      </c>
      <c r="P1979" s="81">
        <f>IF('Ordenes_Odoo'!P1979="","",'Ordenes_Odoo'!P1979)</f>
        <v/>
      </c>
      <c r="Q1979" s="79">
        <f>IF(A1979="","",IFERROR(INDEX(Facturas_Odoo!$B:$B, MATCH(A1979, Facturas_Odoo!$D:$D, 0)), "Sin Factura"))</f>
        <v/>
      </c>
      <c r="R1979" s="80">
        <f>IF(Q1979="Sin Factura","",IFERROR(INDEX(Facturas_Odoo!$A:$A, MATCH(Q1979, Facturas_Odoo!$B:$B, 0)), ""))</f>
        <v/>
      </c>
      <c r="S1979" s="79">
        <f>IF(Q1979="Sin Factura","",IFERROR(_xlfn.XLOOKUP(1, (Facturas_Odoo!$D:$D=A1979) * (Facturas_Odoo!$K:$K=I1979), Facturas_Odoo!$L:$L, ""), ""))</f>
        <v/>
      </c>
      <c r="T1979" s="81">
        <f>IF(Q1979="Sin Factura",0,IFERROR(_xlfn.XLOOKUP(1, (Facturas_Odoo!$D:$D=A1979) * (Facturas_Odoo!$K:$K=I1979), Facturas_Odoo!$M:$M, 0), 0))</f>
        <v/>
      </c>
      <c r="U1979" s="79">
        <f>IF(Q1979="Sin Factura",0,IFERROR(_xlfn.XLOOKUP(1, (Facturas_Odoo!$D:$D=A1979) * (Facturas_Odoo!$K:$K=I1979), Facturas_Odoo!$N:$N, 0), 0))</f>
        <v/>
      </c>
      <c r="V1979" s="79">
        <f>IF(Q1979="Sin Factura",0,IFERROR(_xlfn.XLOOKUP(1, (Facturas_Odoo!$D:$D=A1979) * (Facturas_Odoo!$K:$K=I1979), Facturas_Odoo!$O:$O, 0), 0))</f>
        <v/>
      </c>
      <c r="W1979" s="81">
        <f>IF(Q1979="Sin Factura",0,IFERROR(_xlfn.XLOOKUP(1, (Facturas_Odoo!$D:$D=A1979) * (Facturas_Odoo!$K:$K=I1979), Facturas_Odoo!$Q:$Q, 0), 0))</f>
        <v/>
      </c>
      <c r="X1979" s="79">
        <f>IF(OR(Q1979="Sin Factura",Q1979=""),"",IFERROR(INDEX(Pagos_Odoo!$B:$B, MATCH(Q1979, Pagos_Odoo!$I:$I, 0)), "Sin Pago"))</f>
        <v/>
      </c>
      <c r="Y1979" s="79">
        <f>IF(X1979="Sin Pago","",IFERROR(INDEX(Pagos_Odoo!$C:$C, MATCH(X1979, Pagos_Odoo!$B:$B, 0)), ""))</f>
        <v/>
      </c>
      <c r="Z1979" s="80">
        <f>IF(X1979="Sin Pago","",IFERROR(INDEX(Pagos_Odoo!$A:$A, MATCH(X1979, Pagos_Odoo!$B:$B, 0)), ""))</f>
        <v/>
      </c>
      <c r="AA1979" s="79">
        <f>IF(X1979="Sin Pago","",IFERROR(INDEX(Pagos_Odoo!$F:$F, MATCH(X1979, Pagos_Odoo!$B:$B, 0)), ""))</f>
        <v/>
      </c>
      <c r="AB1979" s="81">
        <f>IF(X1979="Sin Pago",0,IFERROR(INDEX(Pagos_Odoo!$E:$E, MATCH(X1979, Pagos_Odoo!$B:$B, 0)), 0))</f>
        <v/>
      </c>
      <c r="AC1979" s="79">
        <f>IF(X1979="Sin Pago","",IFERROR(INDEX(Pagos_Odoo!$G:$G, MATCH(X1979, Pagos_Odoo!$B:$B, 0)), ""))</f>
        <v/>
      </c>
      <c r="AD1979" s="82" t="n">
        <v>0</v>
      </c>
      <c r="AE1979" s="82" t="n"/>
      <c r="AF1979" s="82" t="n"/>
      <c r="AG1979" s="82">
        <f>IF(AN1979="","",AD1979+AE1979+AF1979)</f>
        <v/>
      </c>
      <c r="AH1979" s="81">
        <f>IF(AN1979="","",P1979*(1-AG1979))</f>
        <v/>
      </c>
      <c r="AI1979" s="81">
        <f>IF(AN1979="","",IF(Q1979="Sin Factura",0,IFERROR(INDEX(Facturas_Odoo!$H:$H, MATCH(Q1979, Facturas_Odoo!$B:$B, 0)), 0)*(1-AG1979)))</f>
        <v/>
      </c>
      <c r="AJ1979" s="81">
        <f>IF(AN1979="","",_xlfn.LET(idVenta, AN1979&amp;"",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79" s="81">
        <f>IF(AN1979="","",AH1979-AJ1979)</f>
        <v/>
      </c>
      <c r="AL1979" s="81">
        <f>IF(AN1979="","",IF(Q1979="Sin Factura","",AI1979-AJ1979))</f>
        <v/>
      </c>
      <c r="AM1979" s="81">
        <f>IF(AN1979="","",IF(Q1979="Sin Factura",0,P1979-IFERROR(INDEX(Facturas_Odoo!$H:$H, MATCH(Q1979, Facturas_Odoo!$B:$B, 0)), 0)))</f>
        <v/>
      </c>
      <c r="AN1979" s="79">
        <f>IF(AND(A1979="", J1979=""), "", IF(A1979&lt;&gt;"", VALUE(MID(A1979,2,LEN(A1979))), AN1978))</f>
        <v/>
      </c>
      <c r="AO1979" s="79">
        <f>IF(AN1979="","",IF(AD1979=0,"OK",_xlfn.LET(monedaPago, IF(AA1979="","USD",AA1979), limitePermitido, IFERROR(VLOOKUP(monedaPago, Configuración!$A$2:$B$3, 2, FALSE), 0.15), IF(AD1979&gt;limitePermitido, "ALERTA: EXCESO (" &amp; TEXT(limitePermitido, "0%") &amp; " máx)", "OK"))))</f>
        <v/>
      </c>
      <c r="AP1979" s="79">
        <f>IF(AN1979="","",IF(AE1979=0,"OK",_xlfn.LET(fechaPago, Z1979, fechaFactura, R1979, diasCredito, IF(E1979="Pago inmediato", 0, IFERROR(VALUE(MID(E1979, 1, SEARCH(" ", E1979)-1)),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79" s="79">
        <f>IF(AN1979="","",IF(AND(N1979&gt;0, AG1979&gt;0), IF(Configuración!$K$2="NO", "ALERTA: DESCUENTO DOBLE NO PERMITIDO", "OK"), "OK"))</f>
        <v/>
      </c>
      <c r="AR1979" s="79">
        <f>IF(AN1979="","",IF(OR(AO1979&lt;&gt;"OK", AP1979&lt;&gt;"OK", AQ1979&lt;&gt;"OK"), "⚠️ REVISAR", "OK"))</f>
        <v/>
      </c>
    </row>
    <row r="1980">
      <c r="A1980" s="79">
        <f>IF('Ordenes_Odoo'!A1980="","",'Ordenes_Odoo'!A1980)</f>
        <v/>
      </c>
      <c r="B1980" s="80">
        <f>IF('Ordenes_Odoo'!B1980="","",'Ordenes_Odoo'!B1980)</f>
        <v/>
      </c>
      <c r="C1980" s="79">
        <f>IF('Ordenes_Odoo'!C1980="","",'Ordenes_Odoo'!C1980)</f>
        <v/>
      </c>
      <c r="D1980" s="79">
        <f>IF('Ordenes_Odoo'!D1980="","",'Ordenes_Odoo'!D1980)</f>
        <v/>
      </c>
      <c r="E1980" s="79">
        <f>IF('Ordenes_Odoo'!E1980="","",'Ordenes_Odoo'!E1980)</f>
        <v/>
      </c>
      <c r="F1980" s="79">
        <f>IF('Ordenes_Odoo'!F1980="","",'Ordenes_Odoo'!F1980)</f>
        <v/>
      </c>
      <c r="G1980" s="79">
        <f>IF('Ordenes_Odoo'!G1980="","",'Ordenes_Odoo'!G1980)</f>
        <v/>
      </c>
      <c r="H1980" s="79">
        <f>IF('Ordenes_Odoo'!H1980="","",'Ordenes_Odoo'!H1980)</f>
        <v/>
      </c>
      <c r="I1980" s="79">
        <f>IF('Ordenes_Odoo'!I1980="","",'Ordenes_Odoo'!I1980)</f>
        <v/>
      </c>
      <c r="J1980" s="79">
        <f>IF('Ordenes_Odoo'!J1980="","",'Ordenes_Odoo'!J1980)</f>
        <v/>
      </c>
      <c r="K1980" s="81">
        <f>IF('Ordenes_Odoo'!K1980="","",'Ordenes_Odoo'!K1980)</f>
        <v/>
      </c>
      <c r="L1980" s="81">
        <f>IF('Ordenes_Odoo'!L1980="","",'Ordenes_Odoo'!L1980)</f>
        <v/>
      </c>
      <c r="M1980" s="79">
        <f>IF('Ordenes_Odoo'!M1980="","",'Ordenes_Odoo'!M1980)</f>
        <v/>
      </c>
      <c r="N1980" s="79">
        <f>IF('Ordenes_Odoo'!N1980="","",'Ordenes_Odoo'!N1980)</f>
        <v/>
      </c>
      <c r="O1980" s="81">
        <f>IF('Ordenes_Odoo'!O1980="","",'Ordenes_Odoo'!O1980)</f>
        <v/>
      </c>
      <c r="P1980" s="81">
        <f>IF('Ordenes_Odoo'!P1980="","",'Ordenes_Odoo'!P1980)</f>
        <v/>
      </c>
      <c r="Q1980" s="79">
        <f>IF(A1980="","",IFERROR(INDEX(Facturas_Odoo!$B:$B, MATCH(A1980, Facturas_Odoo!$D:$D, 0)), "Sin Factura"))</f>
        <v/>
      </c>
      <c r="R1980" s="80">
        <f>IF(Q1980="Sin Factura","",IFERROR(INDEX(Facturas_Odoo!$A:$A, MATCH(Q1980, Facturas_Odoo!$B:$B, 0)), ""))</f>
        <v/>
      </c>
      <c r="S1980" s="79">
        <f>IF(Q1980="Sin Factura","",IFERROR(_xlfn.XLOOKUP(1, (Facturas_Odoo!$D:$D=A1980) * (Facturas_Odoo!$K:$K=I1980), Facturas_Odoo!$L:$L, ""), ""))</f>
        <v/>
      </c>
      <c r="T1980" s="81">
        <f>IF(Q1980="Sin Factura",0,IFERROR(_xlfn.XLOOKUP(1, (Facturas_Odoo!$D:$D=A1980) * (Facturas_Odoo!$K:$K=I1980), Facturas_Odoo!$M:$M, 0), 0))</f>
        <v/>
      </c>
      <c r="U1980" s="79">
        <f>IF(Q1980="Sin Factura",0,IFERROR(_xlfn.XLOOKUP(1, (Facturas_Odoo!$D:$D=A1980) * (Facturas_Odoo!$K:$K=I1980), Facturas_Odoo!$N:$N, 0), 0))</f>
        <v/>
      </c>
      <c r="V1980" s="79">
        <f>IF(Q1980="Sin Factura",0,IFERROR(_xlfn.XLOOKUP(1, (Facturas_Odoo!$D:$D=A1980) * (Facturas_Odoo!$K:$K=I1980), Facturas_Odoo!$O:$O, 0), 0))</f>
        <v/>
      </c>
      <c r="W1980" s="81">
        <f>IF(Q1980="Sin Factura",0,IFERROR(_xlfn.XLOOKUP(1, (Facturas_Odoo!$D:$D=A1980) * (Facturas_Odoo!$K:$K=I1980), Facturas_Odoo!$Q:$Q, 0), 0))</f>
        <v/>
      </c>
      <c r="X1980" s="79">
        <f>IF(OR(Q1980="Sin Factura",Q1980=""),"",IFERROR(INDEX(Pagos_Odoo!$B:$B, MATCH(Q1980, Pagos_Odoo!$I:$I, 0)), "Sin Pago"))</f>
        <v/>
      </c>
      <c r="Y1980" s="79">
        <f>IF(X1980="Sin Pago","",IFERROR(INDEX(Pagos_Odoo!$C:$C, MATCH(X1980, Pagos_Odoo!$B:$B, 0)), ""))</f>
        <v/>
      </c>
      <c r="Z1980" s="80">
        <f>IF(X1980="Sin Pago","",IFERROR(INDEX(Pagos_Odoo!$A:$A, MATCH(X1980, Pagos_Odoo!$B:$B, 0)), ""))</f>
        <v/>
      </c>
      <c r="AA1980" s="79">
        <f>IF(X1980="Sin Pago","",IFERROR(INDEX(Pagos_Odoo!$F:$F, MATCH(X1980, Pagos_Odoo!$B:$B, 0)), ""))</f>
        <v/>
      </c>
      <c r="AB1980" s="81">
        <f>IF(X1980="Sin Pago",0,IFERROR(INDEX(Pagos_Odoo!$E:$E, MATCH(X1980, Pagos_Odoo!$B:$B, 0)), 0))</f>
        <v/>
      </c>
      <c r="AC1980" s="79">
        <f>IF(X1980="Sin Pago","",IFERROR(INDEX(Pagos_Odoo!$G:$G, MATCH(X1980, Pagos_Odoo!$B:$B, 0)), ""))</f>
        <v/>
      </c>
      <c r="AD1980" s="82" t="n">
        <v>0</v>
      </c>
      <c r="AE1980" s="82" t="n"/>
      <c r="AF1980" s="82" t="n"/>
      <c r="AG1980" s="82">
        <f>IF(AN1980="","",AD1980+AE1980+AF1980)</f>
        <v/>
      </c>
      <c r="AH1980" s="81">
        <f>IF(AN1980="","",P1980*(1-AG1980))</f>
        <v/>
      </c>
      <c r="AI1980" s="81">
        <f>IF(AN1980="","",IF(Q1980="Sin Factura",0,IFERROR(INDEX(Facturas_Odoo!$H:$H, MATCH(Q1980, Facturas_Odoo!$B:$B, 0)), 0)*(1-AG1980)))</f>
        <v/>
      </c>
      <c r="AJ1980" s="81">
        <f>IF(AN1980="","",_xlfn.LET(idVenta, AN1980&amp;"",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80" s="81">
        <f>IF(AN1980="","",AH1980-AJ1980)</f>
        <v/>
      </c>
      <c r="AL1980" s="81">
        <f>IF(AN1980="","",IF(Q1980="Sin Factura","",AI1980-AJ1980))</f>
        <v/>
      </c>
      <c r="AM1980" s="81">
        <f>IF(AN1980="","",IF(Q1980="Sin Factura",0,P1980-IFERROR(INDEX(Facturas_Odoo!$H:$H, MATCH(Q1980, Facturas_Odoo!$B:$B, 0)), 0)))</f>
        <v/>
      </c>
      <c r="AN1980" s="79">
        <f>IF(AND(A1980="", J1980=""), "", IF(A1980&lt;&gt;"", VALUE(MID(A1980,2,LEN(A1980))), AN1979))</f>
        <v/>
      </c>
      <c r="AO1980" s="79">
        <f>IF(AN1980="","",IF(AD1980=0,"OK",_xlfn.LET(monedaPago, IF(AA1980="","USD",AA1980), limitePermitido, IFERROR(VLOOKUP(monedaPago, Configuración!$A$2:$B$3, 2, FALSE), 0.15), IF(AD1980&gt;limitePermitido, "ALERTA: EXCESO (" &amp; TEXT(limitePermitido, "0%") &amp; " máx)", "OK"))))</f>
        <v/>
      </c>
      <c r="AP1980" s="79">
        <f>IF(AN1980="","",IF(AE1980=0,"OK",_xlfn.LET(fechaPago, Z1980, fechaFactura, R1980, diasCredito, IF(E1980="Pago inmediato", 0, IFERROR(VALUE(MID(E1980, 1, SEARCH(" ", E1980)-1)),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80" s="79">
        <f>IF(AN1980="","",IF(AND(N1980&gt;0, AG1980&gt;0), IF(Configuración!$K$2="NO", "ALERTA: DESCUENTO DOBLE NO PERMITIDO", "OK"), "OK"))</f>
        <v/>
      </c>
      <c r="AR1980" s="79">
        <f>IF(AN1980="","",IF(OR(AO1980&lt;&gt;"OK", AP1980&lt;&gt;"OK", AQ1980&lt;&gt;"OK"), "⚠️ REVISAR", "OK"))</f>
        <v/>
      </c>
    </row>
    <row r="1981">
      <c r="A1981" s="79">
        <f>IF('Ordenes_Odoo'!A1981="","",'Ordenes_Odoo'!A1981)</f>
        <v/>
      </c>
      <c r="B1981" s="80">
        <f>IF('Ordenes_Odoo'!B1981="","",'Ordenes_Odoo'!B1981)</f>
        <v/>
      </c>
      <c r="C1981" s="79">
        <f>IF('Ordenes_Odoo'!C1981="","",'Ordenes_Odoo'!C1981)</f>
        <v/>
      </c>
      <c r="D1981" s="79">
        <f>IF('Ordenes_Odoo'!D1981="","",'Ordenes_Odoo'!D1981)</f>
        <v/>
      </c>
      <c r="E1981" s="79">
        <f>IF('Ordenes_Odoo'!E1981="","",'Ordenes_Odoo'!E1981)</f>
        <v/>
      </c>
      <c r="F1981" s="79">
        <f>IF('Ordenes_Odoo'!F1981="","",'Ordenes_Odoo'!F1981)</f>
        <v/>
      </c>
      <c r="G1981" s="79">
        <f>IF('Ordenes_Odoo'!G1981="","",'Ordenes_Odoo'!G1981)</f>
        <v/>
      </c>
      <c r="H1981" s="79">
        <f>IF('Ordenes_Odoo'!H1981="","",'Ordenes_Odoo'!H1981)</f>
        <v/>
      </c>
      <c r="I1981" s="79">
        <f>IF('Ordenes_Odoo'!I1981="","",'Ordenes_Odoo'!I1981)</f>
        <v/>
      </c>
      <c r="J1981" s="79">
        <f>IF('Ordenes_Odoo'!J1981="","",'Ordenes_Odoo'!J1981)</f>
        <v/>
      </c>
      <c r="K1981" s="81">
        <f>IF('Ordenes_Odoo'!K1981="","",'Ordenes_Odoo'!K1981)</f>
        <v/>
      </c>
      <c r="L1981" s="81">
        <f>IF('Ordenes_Odoo'!L1981="","",'Ordenes_Odoo'!L1981)</f>
        <v/>
      </c>
      <c r="M1981" s="79">
        <f>IF('Ordenes_Odoo'!M1981="","",'Ordenes_Odoo'!M1981)</f>
        <v/>
      </c>
      <c r="N1981" s="79">
        <f>IF('Ordenes_Odoo'!N1981="","",'Ordenes_Odoo'!N1981)</f>
        <v/>
      </c>
      <c r="O1981" s="81">
        <f>IF('Ordenes_Odoo'!O1981="","",'Ordenes_Odoo'!O1981)</f>
        <v/>
      </c>
      <c r="P1981" s="81">
        <f>IF('Ordenes_Odoo'!P1981="","",'Ordenes_Odoo'!P1981)</f>
        <v/>
      </c>
      <c r="Q1981" s="79">
        <f>IF(A1981="","",IFERROR(INDEX(Facturas_Odoo!$B:$B, MATCH(A1981, Facturas_Odoo!$D:$D, 0)), "Sin Factura"))</f>
        <v/>
      </c>
      <c r="R1981" s="80">
        <f>IF(Q1981="Sin Factura","",IFERROR(INDEX(Facturas_Odoo!$A:$A, MATCH(Q1981, Facturas_Odoo!$B:$B, 0)), ""))</f>
        <v/>
      </c>
      <c r="S1981" s="79">
        <f>IF(Q1981="Sin Factura","",IFERROR(_xlfn.XLOOKUP(1, (Facturas_Odoo!$D:$D=A1981) * (Facturas_Odoo!$K:$K=I1981), Facturas_Odoo!$L:$L, ""), ""))</f>
        <v/>
      </c>
      <c r="T1981" s="81">
        <f>IF(Q1981="Sin Factura",0,IFERROR(_xlfn.XLOOKUP(1, (Facturas_Odoo!$D:$D=A1981) * (Facturas_Odoo!$K:$K=I1981), Facturas_Odoo!$M:$M, 0), 0))</f>
        <v/>
      </c>
      <c r="U1981" s="79">
        <f>IF(Q1981="Sin Factura",0,IFERROR(_xlfn.XLOOKUP(1, (Facturas_Odoo!$D:$D=A1981) * (Facturas_Odoo!$K:$K=I1981), Facturas_Odoo!$N:$N, 0), 0))</f>
        <v/>
      </c>
      <c r="V1981" s="79">
        <f>IF(Q1981="Sin Factura",0,IFERROR(_xlfn.XLOOKUP(1, (Facturas_Odoo!$D:$D=A1981) * (Facturas_Odoo!$K:$K=I1981), Facturas_Odoo!$O:$O, 0), 0))</f>
        <v/>
      </c>
      <c r="W1981" s="81">
        <f>IF(Q1981="Sin Factura",0,IFERROR(_xlfn.XLOOKUP(1, (Facturas_Odoo!$D:$D=A1981) * (Facturas_Odoo!$K:$K=I1981), Facturas_Odoo!$Q:$Q, 0), 0))</f>
        <v/>
      </c>
      <c r="X1981" s="79">
        <f>IF(OR(Q1981="Sin Factura",Q1981=""),"",IFERROR(INDEX(Pagos_Odoo!$B:$B, MATCH(Q1981, Pagos_Odoo!$I:$I, 0)), "Sin Pago"))</f>
        <v/>
      </c>
      <c r="Y1981" s="79">
        <f>IF(X1981="Sin Pago","",IFERROR(INDEX(Pagos_Odoo!$C:$C, MATCH(X1981, Pagos_Odoo!$B:$B, 0)), ""))</f>
        <v/>
      </c>
      <c r="Z1981" s="80">
        <f>IF(X1981="Sin Pago","",IFERROR(INDEX(Pagos_Odoo!$A:$A, MATCH(X1981, Pagos_Odoo!$B:$B, 0)), ""))</f>
        <v/>
      </c>
      <c r="AA1981" s="79">
        <f>IF(X1981="Sin Pago","",IFERROR(INDEX(Pagos_Odoo!$F:$F, MATCH(X1981, Pagos_Odoo!$B:$B, 0)), ""))</f>
        <v/>
      </c>
      <c r="AB1981" s="81">
        <f>IF(X1981="Sin Pago",0,IFERROR(INDEX(Pagos_Odoo!$E:$E, MATCH(X1981, Pagos_Odoo!$B:$B, 0)), 0))</f>
        <v/>
      </c>
      <c r="AC1981" s="79">
        <f>IF(X1981="Sin Pago","",IFERROR(INDEX(Pagos_Odoo!$G:$G, MATCH(X1981, Pagos_Odoo!$B:$B, 0)), ""))</f>
        <v/>
      </c>
      <c r="AD1981" s="82" t="n">
        <v>0</v>
      </c>
      <c r="AE1981" s="82" t="n"/>
      <c r="AF1981" s="82" t="n"/>
      <c r="AG1981" s="82">
        <f>IF(AN1981="","",AD1981+AE1981+AF1981)</f>
        <v/>
      </c>
      <c r="AH1981" s="81">
        <f>IF(AN1981="","",P1981*(1-AG1981))</f>
        <v/>
      </c>
      <c r="AI1981" s="81">
        <f>IF(AN1981="","",IF(Q1981="Sin Factura",0,IFERROR(INDEX(Facturas_Odoo!$H:$H, MATCH(Q1981, Facturas_Odoo!$B:$B, 0)), 0)*(1-AG1981)))</f>
        <v/>
      </c>
      <c r="AJ1981" s="81">
        <f>IF(AN1981="","",_xlfn.LET(idVenta, AN1981&amp;"",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81" s="81">
        <f>IF(AN1981="","",AH1981-AJ1981)</f>
        <v/>
      </c>
      <c r="AL1981" s="81">
        <f>IF(AN1981="","",IF(Q1981="Sin Factura","",AI1981-AJ1981))</f>
        <v/>
      </c>
      <c r="AM1981" s="81">
        <f>IF(AN1981="","",IF(Q1981="Sin Factura",0,P1981-IFERROR(INDEX(Facturas_Odoo!$H:$H, MATCH(Q1981, Facturas_Odoo!$B:$B, 0)), 0)))</f>
        <v/>
      </c>
      <c r="AN1981" s="79">
        <f>IF(AND(A1981="", J1981=""), "", IF(A1981&lt;&gt;"", VALUE(MID(A1981,2,LEN(A1981))), AN1980))</f>
        <v/>
      </c>
      <c r="AO1981" s="79">
        <f>IF(AN1981="","",IF(AD1981=0,"OK",_xlfn.LET(monedaPago, IF(AA1981="","USD",AA1981), limitePermitido, IFERROR(VLOOKUP(monedaPago, Configuración!$A$2:$B$3, 2, FALSE), 0.15), IF(AD1981&gt;limitePermitido, "ALERTA: EXCESO (" &amp; TEXT(limitePermitido, "0%") &amp; " máx)", "OK"))))</f>
        <v/>
      </c>
      <c r="AP1981" s="79">
        <f>IF(AN1981="","",IF(AE1981=0,"OK",_xlfn.LET(fechaPago, Z1981, fechaFactura, R1981, diasCredito, IF(E1981="Pago inmediato", 0, IFERROR(VALUE(MID(E1981, 1, SEARCH(" ", E1981)-1)),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81" s="79">
        <f>IF(AN1981="","",IF(AND(N1981&gt;0, AG1981&gt;0), IF(Configuración!$K$2="NO", "ALERTA: DESCUENTO DOBLE NO PERMITIDO", "OK"), "OK"))</f>
        <v/>
      </c>
      <c r="AR1981" s="79">
        <f>IF(AN1981="","",IF(OR(AO1981&lt;&gt;"OK", AP1981&lt;&gt;"OK", AQ1981&lt;&gt;"OK"), "⚠️ REVISAR", "OK"))</f>
        <v/>
      </c>
    </row>
    <row r="1982">
      <c r="A1982" s="79">
        <f>IF('Ordenes_Odoo'!A1982="","",'Ordenes_Odoo'!A1982)</f>
        <v/>
      </c>
      <c r="B1982" s="80">
        <f>IF('Ordenes_Odoo'!B1982="","",'Ordenes_Odoo'!B1982)</f>
        <v/>
      </c>
      <c r="C1982" s="79">
        <f>IF('Ordenes_Odoo'!C1982="","",'Ordenes_Odoo'!C1982)</f>
        <v/>
      </c>
      <c r="D1982" s="79">
        <f>IF('Ordenes_Odoo'!D1982="","",'Ordenes_Odoo'!D1982)</f>
        <v/>
      </c>
      <c r="E1982" s="79">
        <f>IF('Ordenes_Odoo'!E1982="","",'Ordenes_Odoo'!E1982)</f>
        <v/>
      </c>
      <c r="F1982" s="79">
        <f>IF('Ordenes_Odoo'!F1982="","",'Ordenes_Odoo'!F1982)</f>
        <v/>
      </c>
      <c r="G1982" s="79">
        <f>IF('Ordenes_Odoo'!G1982="","",'Ordenes_Odoo'!G1982)</f>
        <v/>
      </c>
      <c r="H1982" s="79">
        <f>IF('Ordenes_Odoo'!H1982="","",'Ordenes_Odoo'!H1982)</f>
        <v/>
      </c>
      <c r="I1982" s="79">
        <f>IF('Ordenes_Odoo'!I1982="","",'Ordenes_Odoo'!I1982)</f>
        <v/>
      </c>
      <c r="J1982" s="79">
        <f>IF('Ordenes_Odoo'!J1982="","",'Ordenes_Odoo'!J1982)</f>
        <v/>
      </c>
      <c r="K1982" s="81">
        <f>IF('Ordenes_Odoo'!K1982="","",'Ordenes_Odoo'!K1982)</f>
        <v/>
      </c>
      <c r="L1982" s="81">
        <f>IF('Ordenes_Odoo'!L1982="","",'Ordenes_Odoo'!L1982)</f>
        <v/>
      </c>
      <c r="M1982" s="79">
        <f>IF('Ordenes_Odoo'!M1982="","",'Ordenes_Odoo'!M1982)</f>
        <v/>
      </c>
      <c r="N1982" s="79">
        <f>IF('Ordenes_Odoo'!N1982="","",'Ordenes_Odoo'!N1982)</f>
        <v/>
      </c>
      <c r="O1982" s="81">
        <f>IF('Ordenes_Odoo'!O1982="","",'Ordenes_Odoo'!O1982)</f>
        <v/>
      </c>
      <c r="P1982" s="81">
        <f>IF('Ordenes_Odoo'!P1982="","",'Ordenes_Odoo'!P1982)</f>
        <v/>
      </c>
      <c r="Q1982" s="79">
        <f>IF(A1982="","",IFERROR(INDEX(Facturas_Odoo!$B:$B, MATCH(A1982, Facturas_Odoo!$D:$D, 0)), "Sin Factura"))</f>
        <v/>
      </c>
      <c r="R1982" s="80">
        <f>IF(Q1982="Sin Factura","",IFERROR(INDEX(Facturas_Odoo!$A:$A, MATCH(Q1982, Facturas_Odoo!$B:$B, 0)), ""))</f>
        <v/>
      </c>
      <c r="S1982" s="79">
        <f>IF(Q1982="Sin Factura","",IFERROR(_xlfn.XLOOKUP(1, (Facturas_Odoo!$D:$D=A1982) * (Facturas_Odoo!$K:$K=I1982), Facturas_Odoo!$L:$L, ""), ""))</f>
        <v/>
      </c>
      <c r="T1982" s="81">
        <f>IF(Q1982="Sin Factura",0,IFERROR(_xlfn.XLOOKUP(1, (Facturas_Odoo!$D:$D=A1982) * (Facturas_Odoo!$K:$K=I1982), Facturas_Odoo!$M:$M, 0), 0))</f>
        <v/>
      </c>
      <c r="U1982" s="79">
        <f>IF(Q1982="Sin Factura",0,IFERROR(_xlfn.XLOOKUP(1, (Facturas_Odoo!$D:$D=A1982) * (Facturas_Odoo!$K:$K=I1982), Facturas_Odoo!$N:$N, 0), 0))</f>
        <v/>
      </c>
      <c r="V1982" s="79">
        <f>IF(Q1982="Sin Factura",0,IFERROR(_xlfn.XLOOKUP(1, (Facturas_Odoo!$D:$D=A1982) * (Facturas_Odoo!$K:$K=I1982), Facturas_Odoo!$O:$O, 0), 0))</f>
        <v/>
      </c>
      <c r="W1982" s="81">
        <f>IF(Q1982="Sin Factura",0,IFERROR(_xlfn.XLOOKUP(1, (Facturas_Odoo!$D:$D=A1982) * (Facturas_Odoo!$K:$K=I1982), Facturas_Odoo!$Q:$Q, 0), 0))</f>
        <v/>
      </c>
      <c r="X1982" s="79">
        <f>IF(OR(Q1982="Sin Factura",Q1982=""),"",IFERROR(INDEX(Pagos_Odoo!$B:$B, MATCH(Q1982, Pagos_Odoo!$I:$I, 0)), "Sin Pago"))</f>
        <v/>
      </c>
      <c r="Y1982" s="79">
        <f>IF(X1982="Sin Pago","",IFERROR(INDEX(Pagos_Odoo!$C:$C, MATCH(X1982, Pagos_Odoo!$B:$B, 0)), ""))</f>
        <v/>
      </c>
      <c r="Z1982" s="80">
        <f>IF(X1982="Sin Pago","",IFERROR(INDEX(Pagos_Odoo!$A:$A, MATCH(X1982, Pagos_Odoo!$B:$B, 0)), ""))</f>
        <v/>
      </c>
      <c r="AA1982" s="79">
        <f>IF(X1982="Sin Pago","",IFERROR(INDEX(Pagos_Odoo!$F:$F, MATCH(X1982, Pagos_Odoo!$B:$B, 0)), ""))</f>
        <v/>
      </c>
      <c r="AB1982" s="81">
        <f>IF(X1982="Sin Pago",0,IFERROR(INDEX(Pagos_Odoo!$E:$E, MATCH(X1982, Pagos_Odoo!$B:$B, 0)), 0))</f>
        <v/>
      </c>
      <c r="AC1982" s="79">
        <f>IF(X1982="Sin Pago","",IFERROR(INDEX(Pagos_Odoo!$G:$G, MATCH(X1982, Pagos_Odoo!$B:$B, 0)), ""))</f>
        <v/>
      </c>
      <c r="AD1982" s="82" t="n">
        <v>0</v>
      </c>
      <c r="AE1982" s="82" t="n"/>
      <c r="AF1982" s="82" t="n"/>
      <c r="AG1982" s="82">
        <f>IF(AN1982="","",AD1982+AE1982+AF1982)</f>
        <v/>
      </c>
      <c r="AH1982" s="81">
        <f>IF(AN1982="","",P1982*(1-AG1982))</f>
        <v/>
      </c>
      <c r="AI1982" s="81">
        <f>IF(AN1982="","",IF(Q1982="Sin Factura",0,IFERROR(INDEX(Facturas_Odoo!$H:$H, MATCH(Q1982, Facturas_Odoo!$B:$B, 0)), 0)*(1-AG1982)))</f>
        <v/>
      </c>
      <c r="AJ1982" s="81">
        <f>IF(AN1982="","",_xlfn.LET(idVenta, AN1982&amp;"",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82" s="81">
        <f>IF(AN1982="","",AH1982-AJ1982)</f>
        <v/>
      </c>
      <c r="AL1982" s="81">
        <f>IF(AN1982="","",IF(Q1982="Sin Factura","",AI1982-AJ1982))</f>
        <v/>
      </c>
      <c r="AM1982" s="81">
        <f>IF(AN1982="","",IF(Q1982="Sin Factura",0,P1982-IFERROR(INDEX(Facturas_Odoo!$H:$H, MATCH(Q1982, Facturas_Odoo!$B:$B, 0)), 0)))</f>
        <v/>
      </c>
      <c r="AN1982" s="79">
        <f>IF(AND(A1982="", J1982=""), "", IF(A1982&lt;&gt;"", VALUE(MID(A1982,2,LEN(A1982))), AN1981))</f>
        <v/>
      </c>
      <c r="AO1982" s="79">
        <f>IF(AN1982="","",IF(AD1982=0,"OK",_xlfn.LET(monedaPago, IF(AA1982="","USD",AA1982), limitePermitido, IFERROR(VLOOKUP(monedaPago, Configuración!$A$2:$B$3, 2, FALSE), 0.15), IF(AD1982&gt;limitePermitido, "ALERTA: EXCESO (" &amp; TEXT(limitePermitido, "0%") &amp; " máx)", "OK"))))</f>
        <v/>
      </c>
      <c r="AP1982" s="79">
        <f>IF(AN1982="","",IF(AE1982=0,"OK",_xlfn.LET(fechaPago, Z1982, fechaFactura, R1982, diasCredito, IF(E1982="Pago inmediato", 0, IFERROR(VALUE(MID(E1982, 1, SEARCH(" ", E1982)-1)),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82" s="79">
        <f>IF(AN1982="","",IF(AND(N1982&gt;0, AG1982&gt;0), IF(Configuración!$K$2="NO", "ALERTA: DESCUENTO DOBLE NO PERMITIDO", "OK"), "OK"))</f>
        <v/>
      </c>
      <c r="AR1982" s="79">
        <f>IF(AN1982="","",IF(OR(AO1982&lt;&gt;"OK", AP1982&lt;&gt;"OK", AQ1982&lt;&gt;"OK"), "⚠️ REVISAR", "OK"))</f>
        <v/>
      </c>
    </row>
    <row r="1983">
      <c r="A1983" s="79">
        <f>IF('Ordenes_Odoo'!A1983="","",'Ordenes_Odoo'!A1983)</f>
        <v/>
      </c>
      <c r="B1983" s="80">
        <f>IF('Ordenes_Odoo'!B1983="","",'Ordenes_Odoo'!B1983)</f>
        <v/>
      </c>
      <c r="C1983" s="79">
        <f>IF('Ordenes_Odoo'!C1983="","",'Ordenes_Odoo'!C1983)</f>
        <v/>
      </c>
      <c r="D1983" s="79">
        <f>IF('Ordenes_Odoo'!D1983="","",'Ordenes_Odoo'!D1983)</f>
        <v/>
      </c>
      <c r="E1983" s="79">
        <f>IF('Ordenes_Odoo'!E1983="","",'Ordenes_Odoo'!E1983)</f>
        <v/>
      </c>
      <c r="F1983" s="79">
        <f>IF('Ordenes_Odoo'!F1983="","",'Ordenes_Odoo'!F1983)</f>
        <v/>
      </c>
      <c r="G1983" s="79">
        <f>IF('Ordenes_Odoo'!G1983="","",'Ordenes_Odoo'!G1983)</f>
        <v/>
      </c>
      <c r="H1983" s="79">
        <f>IF('Ordenes_Odoo'!H1983="","",'Ordenes_Odoo'!H1983)</f>
        <v/>
      </c>
      <c r="I1983" s="79">
        <f>IF('Ordenes_Odoo'!I1983="","",'Ordenes_Odoo'!I1983)</f>
        <v/>
      </c>
      <c r="J1983" s="79">
        <f>IF('Ordenes_Odoo'!J1983="","",'Ordenes_Odoo'!J1983)</f>
        <v/>
      </c>
      <c r="K1983" s="81">
        <f>IF('Ordenes_Odoo'!K1983="","",'Ordenes_Odoo'!K1983)</f>
        <v/>
      </c>
      <c r="L1983" s="81">
        <f>IF('Ordenes_Odoo'!L1983="","",'Ordenes_Odoo'!L1983)</f>
        <v/>
      </c>
      <c r="M1983" s="79">
        <f>IF('Ordenes_Odoo'!M1983="","",'Ordenes_Odoo'!M1983)</f>
        <v/>
      </c>
      <c r="N1983" s="79">
        <f>IF('Ordenes_Odoo'!N1983="","",'Ordenes_Odoo'!N1983)</f>
        <v/>
      </c>
      <c r="O1983" s="81">
        <f>IF('Ordenes_Odoo'!O1983="","",'Ordenes_Odoo'!O1983)</f>
        <v/>
      </c>
      <c r="P1983" s="81">
        <f>IF('Ordenes_Odoo'!P1983="","",'Ordenes_Odoo'!P1983)</f>
        <v/>
      </c>
      <c r="Q1983" s="79">
        <f>IF(A1983="","",IFERROR(INDEX(Facturas_Odoo!$B:$B, MATCH(A1983, Facturas_Odoo!$D:$D, 0)), "Sin Factura"))</f>
        <v/>
      </c>
      <c r="R1983" s="80">
        <f>IF(Q1983="Sin Factura","",IFERROR(INDEX(Facturas_Odoo!$A:$A, MATCH(Q1983, Facturas_Odoo!$B:$B, 0)), ""))</f>
        <v/>
      </c>
      <c r="S1983" s="79">
        <f>IF(Q1983="Sin Factura","",IFERROR(_xlfn.XLOOKUP(1, (Facturas_Odoo!$D:$D=A1983) * (Facturas_Odoo!$K:$K=I1983), Facturas_Odoo!$L:$L, ""), ""))</f>
        <v/>
      </c>
      <c r="T1983" s="81">
        <f>IF(Q1983="Sin Factura",0,IFERROR(_xlfn.XLOOKUP(1, (Facturas_Odoo!$D:$D=A1983) * (Facturas_Odoo!$K:$K=I1983), Facturas_Odoo!$M:$M, 0), 0))</f>
        <v/>
      </c>
      <c r="U1983" s="79">
        <f>IF(Q1983="Sin Factura",0,IFERROR(_xlfn.XLOOKUP(1, (Facturas_Odoo!$D:$D=A1983) * (Facturas_Odoo!$K:$K=I1983), Facturas_Odoo!$N:$N, 0), 0))</f>
        <v/>
      </c>
      <c r="V1983" s="79">
        <f>IF(Q1983="Sin Factura",0,IFERROR(_xlfn.XLOOKUP(1, (Facturas_Odoo!$D:$D=A1983) * (Facturas_Odoo!$K:$K=I1983), Facturas_Odoo!$O:$O, 0), 0))</f>
        <v/>
      </c>
      <c r="W1983" s="81">
        <f>IF(Q1983="Sin Factura",0,IFERROR(_xlfn.XLOOKUP(1, (Facturas_Odoo!$D:$D=A1983) * (Facturas_Odoo!$K:$K=I1983), Facturas_Odoo!$Q:$Q, 0), 0))</f>
        <v/>
      </c>
      <c r="X1983" s="79">
        <f>IF(OR(Q1983="Sin Factura",Q1983=""),"",IFERROR(INDEX(Pagos_Odoo!$B:$B, MATCH(Q1983, Pagos_Odoo!$I:$I, 0)), "Sin Pago"))</f>
        <v/>
      </c>
      <c r="Y1983" s="79">
        <f>IF(X1983="Sin Pago","",IFERROR(INDEX(Pagos_Odoo!$C:$C, MATCH(X1983, Pagos_Odoo!$B:$B, 0)), ""))</f>
        <v/>
      </c>
      <c r="Z1983" s="80">
        <f>IF(X1983="Sin Pago","",IFERROR(INDEX(Pagos_Odoo!$A:$A, MATCH(X1983, Pagos_Odoo!$B:$B, 0)), ""))</f>
        <v/>
      </c>
      <c r="AA1983" s="79">
        <f>IF(X1983="Sin Pago","",IFERROR(INDEX(Pagos_Odoo!$F:$F, MATCH(X1983, Pagos_Odoo!$B:$B, 0)), ""))</f>
        <v/>
      </c>
      <c r="AB1983" s="81">
        <f>IF(X1983="Sin Pago",0,IFERROR(INDEX(Pagos_Odoo!$E:$E, MATCH(X1983, Pagos_Odoo!$B:$B, 0)), 0))</f>
        <v/>
      </c>
      <c r="AC1983" s="79">
        <f>IF(X1983="Sin Pago","",IFERROR(INDEX(Pagos_Odoo!$G:$G, MATCH(X1983, Pagos_Odoo!$B:$B, 0)), ""))</f>
        <v/>
      </c>
      <c r="AD1983" s="82" t="n">
        <v>0</v>
      </c>
      <c r="AE1983" s="82" t="n"/>
      <c r="AF1983" s="82" t="n"/>
      <c r="AG1983" s="82">
        <f>IF(AN1983="","",AD1983+AE1983+AF1983)</f>
        <v/>
      </c>
      <c r="AH1983" s="81">
        <f>IF(AN1983="","",P1983*(1-AG1983))</f>
        <v/>
      </c>
      <c r="AI1983" s="81">
        <f>IF(AN1983="","",IF(Q1983="Sin Factura",0,IFERROR(INDEX(Facturas_Odoo!$H:$H, MATCH(Q1983, Facturas_Odoo!$B:$B, 0)), 0)*(1-AG1983)))</f>
        <v/>
      </c>
      <c r="AJ1983" s="81">
        <f>IF(AN1983="","",_xlfn.LET(idVenta, AN1983&amp;"",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83" s="81">
        <f>IF(AN1983="","",AH1983-AJ1983)</f>
        <v/>
      </c>
      <c r="AL1983" s="81">
        <f>IF(AN1983="","",IF(Q1983="Sin Factura","",AI1983-AJ1983))</f>
        <v/>
      </c>
      <c r="AM1983" s="81">
        <f>IF(AN1983="","",IF(Q1983="Sin Factura",0,P1983-IFERROR(INDEX(Facturas_Odoo!$H:$H, MATCH(Q1983, Facturas_Odoo!$B:$B, 0)), 0)))</f>
        <v/>
      </c>
      <c r="AN1983" s="79">
        <f>IF(AND(A1983="", J1983=""), "", IF(A1983&lt;&gt;"", VALUE(MID(A1983,2,LEN(A1983))), AN1982))</f>
        <v/>
      </c>
      <c r="AO1983" s="79">
        <f>IF(AN1983="","",IF(AD1983=0,"OK",_xlfn.LET(monedaPago, IF(AA1983="","USD",AA1983), limitePermitido, IFERROR(VLOOKUP(monedaPago, Configuración!$A$2:$B$3, 2, FALSE), 0.15), IF(AD1983&gt;limitePermitido, "ALERTA: EXCESO (" &amp; TEXT(limitePermitido, "0%") &amp; " máx)", "OK"))))</f>
        <v/>
      </c>
      <c r="AP1983" s="79">
        <f>IF(AN1983="","",IF(AE1983=0,"OK",_xlfn.LET(fechaPago, Z1983, fechaFactura, R1983, diasCredito, IF(E1983="Pago inmediato", 0, IFERROR(VALUE(MID(E1983, 1, SEARCH(" ", E1983)-1)),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83" s="79">
        <f>IF(AN1983="","",IF(AND(N1983&gt;0, AG1983&gt;0), IF(Configuración!$K$2="NO", "ALERTA: DESCUENTO DOBLE NO PERMITIDO", "OK"), "OK"))</f>
        <v/>
      </c>
      <c r="AR1983" s="79">
        <f>IF(AN1983="","",IF(OR(AO1983&lt;&gt;"OK", AP1983&lt;&gt;"OK", AQ1983&lt;&gt;"OK"), "⚠️ REVISAR", "OK"))</f>
        <v/>
      </c>
    </row>
    <row r="1984">
      <c r="A1984" s="79">
        <f>IF('Ordenes_Odoo'!A1984="","",'Ordenes_Odoo'!A1984)</f>
        <v/>
      </c>
      <c r="B1984" s="80">
        <f>IF('Ordenes_Odoo'!B1984="","",'Ordenes_Odoo'!B1984)</f>
        <v/>
      </c>
      <c r="C1984" s="79">
        <f>IF('Ordenes_Odoo'!C1984="","",'Ordenes_Odoo'!C1984)</f>
        <v/>
      </c>
      <c r="D1984" s="79">
        <f>IF('Ordenes_Odoo'!D1984="","",'Ordenes_Odoo'!D1984)</f>
        <v/>
      </c>
      <c r="E1984" s="79">
        <f>IF('Ordenes_Odoo'!E1984="","",'Ordenes_Odoo'!E1984)</f>
        <v/>
      </c>
      <c r="F1984" s="79">
        <f>IF('Ordenes_Odoo'!F1984="","",'Ordenes_Odoo'!F1984)</f>
        <v/>
      </c>
      <c r="G1984" s="79">
        <f>IF('Ordenes_Odoo'!G1984="","",'Ordenes_Odoo'!G1984)</f>
        <v/>
      </c>
      <c r="H1984" s="79">
        <f>IF('Ordenes_Odoo'!H1984="","",'Ordenes_Odoo'!H1984)</f>
        <v/>
      </c>
      <c r="I1984" s="79">
        <f>IF('Ordenes_Odoo'!I1984="","",'Ordenes_Odoo'!I1984)</f>
        <v/>
      </c>
      <c r="J1984" s="79">
        <f>IF('Ordenes_Odoo'!J1984="","",'Ordenes_Odoo'!J1984)</f>
        <v/>
      </c>
      <c r="K1984" s="81">
        <f>IF('Ordenes_Odoo'!K1984="","",'Ordenes_Odoo'!K1984)</f>
        <v/>
      </c>
      <c r="L1984" s="81">
        <f>IF('Ordenes_Odoo'!L1984="","",'Ordenes_Odoo'!L1984)</f>
        <v/>
      </c>
      <c r="M1984" s="79">
        <f>IF('Ordenes_Odoo'!M1984="","",'Ordenes_Odoo'!M1984)</f>
        <v/>
      </c>
      <c r="N1984" s="79">
        <f>IF('Ordenes_Odoo'!N1984="","",'Ordenes_Odoo'!N1984)</f>
        <v/>
      </c>
      <c r="O1984" s="81">
        <f>IF('Ordenes_Odoo'!O1984="","",'Ordenes_Odoo'!O1984)</f>
        <v/>
      </c>
      <c r="P1984" s="81">
        <f>IF('Ordenes_Odoo'!P1984="","",'Ordenes_Odoo'!P1984)</f>
        <v/>
      </c>
      <c r="Q1984" s="79">
        <f>IF(A1984="","",IFERROR(INDEX(Facturas_Odoo!$B:$B, MATCH(A1984, Facturas_Odoo!$D:$D, 0)), "Sin Factura"))</f>
        <v/>
      </c>
      <c r="R1984" s="80">
        <f>IF(Q1984="Sin Factura","",IFERROR(INDEX(Facturas_Odoo!$A:$A, MATCH(Q1984, Facturas_Odoo!$B:$B, 0)), ""))</f>
        <v/>
      </c>
      <c r="S1984" s="79">
        <f>IF(Q1984="Sin Factura","",IFERROR(_xlfn.XLOOKUP(1, (Facturas_Odoo!$D:$D=A1984) * (Facturas_Odoo!$K:$K=I1984), Facturas_Odoo!$L:$L, ""), ""))</f>
        <v/>
      </c>
      <c r="T1984" s="81">
        <f>IF(Q1984="Sin Factura",0,IFERROR(_xlfn.XLOOKUP(1, (Facturas_Odoo!$D:$D=A1984) * (Facturas_Odoo!$K:$K=I1984), Facturas_Odoo!$M:$M, 0), 0))</f>
        <v/>
      </c>
      <c r="U1984" s="79">
        <f>IF(Q1984="Sin Factura",0,IFERROR(_xlfn.XLOOKUP(1, (Facturas_Odoo!$D:$D=A1984) * (Facturas_Odoo!$K:$K=I1984), Facturas_Odoo!$N:$N, 0), 0))</f>
        <v/>
      </c>
      <c r="V1984" s="79">
        <f>IF(Q1984="Sin Factura",0,IFERROR(_xlfn.XLOOKUP(1, (Facturas_Odoo!$D:$D=A1984) * (Facturas_Odoo!$K:$K=I1984), Facturas_Odoo!$O:$O, 0), 0))</f>
        <v/>
      </c>
      <c r="W1984" s="81">
        <f>IF(Q1984="Sin Factura",0,IFERROR(_xlfn.XLOOKUP(1, (Facturas_Odoo!$D:$D=A1984) * (Facturas_Odoo!$K:$K=I1984), Facturas_Odoo!$Q:$Q, 0), 0))</f>
        <v/>
      </c>
      <c r="X1984" s="79">
        <f>IF(OR(Q1984="Sin Factura",Q1984=""),"",IFERROR(INDEX(Pagos_Odoo!$B:$B, MATCH(Q1984, Pagos_Odoo!$I:$I, 0)), "Sin Pago"))</f>
        <v/>
      </c>
      <c r="Y1984" s="79">
        <f>IF(X1984="Sin Pago","",IFERROR(INDEX(Pagos_Odoo!$C:$C, MATCH(X1984, Pagos_Odoo!$B:$B, 0)), ""))</f>
        <v/>
      </c>
      <c r="Z1984" s="80">
        <f>IF(X1984="Sin Pago","",IFERROR(INDEX(Pagos_Odoo!$A:$A, MATCH(X1984, Pagos_Odoo!$B:$B, 0)), ""))</f>
        <v/>
      </c>
      <c r="AA1984" s="79">
        <f>IF(X1984="Sin Pago","",IFERROR(INDEX(Pagos_Odoo!$F:$F, MATCH(X1984, Pagos_Odoo!$B:$B, 0)), ""))</f>
        <v/>
      </c>
      <c r="AB1984" s="81">
        <f>IF(X1984="Sin Pago",0,IFERROR(INDEX(Pagos_Odoo!$E:$E, MATCH(X1984, Pagos_Odoo!$B:$B, 0)), 0))</f>
        <v/>
      </c>
      <c r="AC1984" s="79">
        <f>IF(X1984="Sin Pago","",IFERROR(INDEX(Pagos_Odoo!$G:$G, MATCH(X1984, Pagos_Odoo!$B:$B, 0)), ""))</f>
        <v/>
      </c>
      <c r="AD1984" s="82" t="n">
        <v>0</v>
      </c>
      <c r="AE1984" s="82" t="n"/>
      <c r="AF1984" s="82" t="n"/>
      <c r="AG1984" s="82">
        <f>IF(AN1984="","",AD1984+AE1984+AF1984)</f>
        <v/>
      </c>
      <c r="AH1984" s="81">
        <f>IF(AN1984="","",P1984*(1-AG1984))</f>
        <v/>
      </c>
      <c r="AI1984" s="81">
        <f>IF(AN1984="","",IF(Q1984="Sin Factura",0,IFERROR(INDEX(Facturas_Odoo!$H:$H, MATCH(Q1984, Facturas_Odoo!$B:$B, 0)), 0)*(1-AG1984)))</f>
        <v/>
      </c>
      <c r="AJ1984" s="81">
        <f>IF(AN1984="","",_xlfn.LET(idVenta, AN1984&amp;"",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84" s="81">
        <f>IF(AN1984="","",AH1984-AJ1984)</f>
        <v/>
      </c>
      <c r="AL1984" s="81">
        <f>IF(AN1984="","",IF(Q1984="Sin Factura","",AI1984-AJ1984))</f>
        <v/>
      </c>
      <c r="AM1984" s="81">
        <f>IF(AN1984="","",IF(Q1984="Sin Factura",0,P1984-IFERROR(INDEX(Facturas_Odoo!$H:$H, MATCH(Q1984, Facturas_Odoo!$B:$B, 0)), 0)))</f>
        <v/>
      </c>
      <c r="AN1984" s="79">
        <f>IF(AND(A1984="", J1984=""), "", IF(A1984&lt;&gt;"", VALUE(MID(A1984,2,LEN(A1984))), AN1983))</f>
        <v/>
      </c>
      <c r="AO1984" s="79">
        <f>IF(AN1984="","",IF(AD1984=0,"OK",_xlfn.LET(monedaPago, IF(AA1984="","USD",AA1984), limitePermitido, IFERROR(VLOOKUP(monedaPago, Configuración!$A$2:$B$3, 2, FALSE), 0.15), IF(AD1984&gt;limitePermitido, "ALERTA: EXCESO (" &amp; TEXT(limitePermitido, "0%") &amp; " máx)", "OK"))))</f>
        <v/>
      </c>
      <c r="AP1984" s="79">
        <f>IF(AN1984="","",IF(AE1984=0,"OK",_xlfn.LET(fechaPago, Z1984, fechaFactura, R1984, diasCredito, IF(E1984="Pago inmediato", 0, IFERROR(VALUE(MID(E1984, 1, SEARCH(" ", E1984)-1)),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84" s="79">
        <f>IF(AN1984="","",IF(AND(N1984&gt;0, AG1984&gt;0), IF(Configuración!$K$2="NO", "ALERTA: DESCUENTO DOBLE NO PERMITIDO", "OK"), "OK"))</f>
        <v/>
      </c>
      <c r="AR1984" s="79">
        <f>IF(AN1984="","",IF(OR(AO1984&lt;&gt;"OK", AP1984&lt;&gt;"OK", AQ1984&lt;&gt;"OK"), "⚠️ REVISAR", "OK"))</f>
        <v/>
      </c>
    </row>
    <row r="1985">
      <c r="A1985" s="79">
        <f>IF('Ordenes_Odoo'!A1985="","",'Ordenes_Odoo'!A1985)</f>
        <v/>
      </c>
      <c r="B1985" s="80">
        <f>IF('Ordenes_Odoo'!B1985="","",'Ordenes_Odoo'!B1985)</f>
        <v/>
      </c>
      <c r="C1985" s="79">
        <f>IF('Ordenes_Odoo'!C1985="","",'Ordenes_Odoo'!C1985)</f>
        <v/>
      </c>
      <c r="D1985" s="79">
        <f>IF('Ordenes_Odoo'!D1985="","",'Ordenes_Odoo'!D1985)</f>
        <v/>
      </c>
      <c r="E1985" s="79">
        <f>IF('Ordenes_Odoo'!E1985="","",'Ordenes_Odoo'!E1985)</f>
        <v/>
      </c>
      <c r="F1985" s="79">
        <f>IF('Ordenes_Odoo'!F1985="","",'Ordenes_Odoo'!F1985)</f>
        <v/>
      </c>
      <c r="G1985" s="79">
        <f>IF('Ordenes_Odoo'!G1985="","",'Ordenes_Odoo'!G1985)</f>
        <v/>
      </c>
      <c r="H1985" s="79">
        <f>IF('Ordenes_Odoo'!H1985="","",'Ordenes_Odoo'!H1985)</f>
        <v/>
      </c>
      <c r="I1985" s="79">
        <f>IF('Ordenes_Odoo'!I1985="","",'Ordenes_Odoo'!I1985)</f>
        <v/>
      </c>
      <c r="J1985" s="79">
        <f>IF('Ordenes_Odoo'!J1985="","",'Ordenes_Odoo'!J1985)</f>
        <v/>
      </c>
      <c r="K1985" s="81">
        <f>IF('Ordenes_Odoo'!K1985="","",'Ordenes_Odoo'!K1985)</f>
        <v/>
      </c>
      <c r="L1985" s="81">
        <f>IF('Ordenes_Odoo'!L1985="","",'Ordenes_Odoo'!L1985)</f>
        <v/>
      </c>
      <c r="M1985" s="79">
        <f>IF('Ordenes_Odoo'!M1985="","",'Ordenes_Odoo'!M1985)</f>
        <v/>
      </c>
      <c r="N1985" s="79">
        <f>IF('Ordenes_Odoo'!N1985="","",'Ordenes_Odoo'!N1985)</f>
        <v/>
      </c>
      <c r="O1985" s="81">
        <f>IF('Ordenes_Odoo'!O1985="","",'Ordenes_Odoo'!O1985)</f>
        <v/>
      </c>
      <c r="P1985" s="81">
        <f>IF('Ordenes_Odoo'!P1985="","",'Ordenes_Odoo'!P1985)</f>
        <v/>
      </c>
      <c r="Q1985" s="79">
        <f>IF(A1985="","",IFERROR(INDEX(Facturas_Odoo!$B:$B, MATCH(A1985, Facturas_Odoo!$D:$D, 0)), "Sin Factura"))</f>
        <v/>
      </c>
      <c r="R1985" s="80">
        <f>IF(Q1985="Sin Factura","",IFERROR(INDEX(Facturas_Odoo!$A:$A, MATCH(Q1985, Facturas_Odoo!$B:$B, 0)), ""))</f>
        <v/>
      </c>
      <c r="S1985" s="79">
        <f>IF(Q1985="Sin Factura","",IFERROR(_xlfn.XLOOKUP(1, (Facturas_Odoo!$D:$D=A1985) * (Facturas_Odoo!$K:$K=I1985), Facturas_Odoo!$L:$L, ""), ""))</f>
        <v/>
      </c>
      <c r="T1985" s="81">
        <f>IF(Q1985="Sin Factura",0,IFERROR(_xlfn.XLOOKUP(1, (Facturas_Odoo!$D:$D=A1985) * (Facturas_Odoo!$K:$K=I1985), Facturas_Odoo!$M:$M, 0), 0))</f>
        <v/>
      </c>
      <c r="U1985" s="79">
        <f>IF(Q1985="Sin Factura",0,IFERROR(_xlfn.XLOOKUP(1, (Facturas_Odoo!$D:$D=A1985) * (Facturas_Odoo!$K:$K=I1985), Facturas_Odoo!$N:$N, 0), 0))</f>
        <v/>
      </c>
      <c r="V1985" s="79">
        <f>IF(Q1985="Sin Factura",0,IFERROR(_xlfn.XLOOKUP(1, (Facturas_Odoo!$D:$D=A1985) * (Facturas_Odoo!$K:$K=I1985), Facturas_Odoo!$O:$O, 0), 0))</f>
        <v/>
      </c>
      <c r="W1985" s="81">
        <f>IF(Q1985="Sin Factura",0,IFERROR(_xlfn.XLOOKUP(1, (Facturas_Odoo!$D:$D=A1985) * (Facturas_Odoo!$K:$K=I1985), Facturas_Odoo!$Q:$Q, 0), 0))</f>
        <v/>
      </c>
      <c r="X1985" s="79">
        <f>IF(OR(Q1985="Sin Factura",Q1985=""),"",IFERROR(INDEX(Pagos_Odoo!$B:$B, MATCH(Q1985, Pagos_Odoo!$I:$I, 0)), "Sin Pago"))</f>
        <v/>
      </c>
      <c r="Y1985" s="79">
        <f>IF(X1985="Sin Pago","",IFERROR(INDEX(Pagos_Odoo!$C:$C, MATCH(X1985, Pagos_Odoo!$B:$B, 0)), ""))</f>
        <v/>
      </c>
      <c r="Z1985" s="80">
        <f>IF(X1985="Sin Pago","",IFERROR(INDEX(Pagos_Odoo!$A:$A, MATCH(X1985, Pagos_Odoo!$B:$B, 0)), ""))</f>
        <v/>
      </c>
      <c r="AA1985" s="79">
        <f>IF(X1985="Sin Pago","",IFERROR(INDEX(Pagos_Odoo!$F:$F, MATCH(X1985, Pagos_Odoo!$B:$B, 0)), ""))</f>
        <v/>
      </c>
      <c r="AB1985" s="81">
        <f>IF(X1985="Sin Pago",0,IFERROR(INDEX(Pagos_Odoo!$E:$E, MATCH(X1985, Pagos_Odoo!$B:$B, 0)), 0))</f>
        <v/>
      </c>
      <c r="AC1985" s="79">
        <f>IF(X1985="Sin Pago","",IFERROR(INDEX(Pagos_Odoo!$G:$G, MATCH(X1985, Pagos_Odoo!$B:$B, 0)), ""))</f>
        <v/>
      </c>
      <c r="AD1985" s="82" t="n">
        <v>0</v>
      </c>
      <c r="AE1985" s="82" t="n"/>
      <c r="AF1985" s="82" t="n"/>
      <c r="AG1985" s="82">
        <f>IF(AN1985="","",AD1985+AE1985+AF1985)</f>
        <v/>
      </c>
      <c r="AH1985" s="81">
        <f>IF(AN1985="","",P1985*(1-AG1985))</f>
        <v/>
      </c>
      <c r="AI1985" s="81">
        <f>IF(AN1985="","",IF(Q1985="Sin Factura",0,IFERROR(INDEX(Facturas_Odoo!$H:$H, MATCH(Q1985, Facturas_Odoo!$B:$B, 0)), 0)*(1-AG1985)))</f>
        <v/>
      </c>
      <c r="AJ1985" s="81">
        <f>IF(AN1985="","",_xlfn.LET(idVenta, AN1985&amp;"",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85" s="81">
        <f>IF(AN1985="","",AH1985-AJ1985)</f>
        <v/>
      </c>
      <c r="AL1985" s="81">
        <f>IF(AN1985="","",IF(Q1985="Sin Factura","",AI1985-AJ1985))</f>
        <v/>
      </c>
      <c r="AM1985" s="81">
        <f>IF(AN1985="","",IF(Q1985="Sin Factura",0,P1985-IFERROR(INDEX(Facturas_Odoo!$H:$H, MATCH(Q1985, Facturas_Odoo!$B:$B, 0)), 0)))</f>
        <v/>
      </c>
      <c r="AN1985" s="79">
        <f>IF(AND(A1985="", J1985=""), "", IF(A1985&lt;&gt;"", VALUE(MID(A1985,2,LEN(A1985))), AN1984))</f>
        <v/>
      </c>
      <c r="AO1985" s="79">
        <f>IF(AN1985="","",IF(AD1985=0,"OK",_xlfn.LET(monedaPago, IF(AA1985="","USD",AA1985), limitePermitido, IFERROR(VLOOKUP(monedaPago, Configuración!$A$2:$B$3, 2, FALSE), 0.15), IF(AD1985&gt;limitePermitido, "ALERTA: EXCESO (" &amp; TEXT(limitePermitido, "0%") &amp; " máx)", "OK"))))</f>
        <v/>
      </c>
      <c r="AP1985" s="79">
        <f>IF(AN1985="","",IF(AE1985=0,"OK",_xlfn.LET(fechaPago, Z1985, fechaFactura, R1985, diasCredito, IF(E1985="Pago inmediato", 0, IFERROR(VALUE(MID(E1985, 1, SEARCH(" ", E1985)-1)),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85" s="79">
        <f>IF(AN1985="","",IF(AND(N1985&gt;0, AG1985&gt;0), IF(Configuración!$K$2="NO", "ALERTA: DESCUENTO DOBLE NO PERMITIDO", "OK"), "OK"))</f>
        <v/>
      </c>
      <c r="AR1985" s="79">
        <f>IF(AN1985="","",IF(OR(AO1985&lt;&gt;"OK", AP1985&lt;&gt;"OK", AQ1985&lt;&gt;"OK"), "⚠️ REVISAR", "OK"))</f>
        <v/>
      </c>
    </row>
    <row r="1986">
      <c r="A1986" s="79">
        <f>IF('Ordenes_Odoo'!A1986="","",'Ordenes_Odoo'!A1986)</f>
        <v/>
      </c>
      <c r="B1986" s="80">
        <f>IF('Ordenes_Odoo'!B1986="","",'Ordenes_Odoo'!B1986)</f>
        <v/>
      </c>
      <c r="C1986" s="79">
        <f>IF('Ordenes_Odoo'!C1986="","",'Ordenes_Odoo'!C1986)</f>
        <v/>
      </c>
      <c r="D1986" s="79">
        <f>IF('Ordenes_Odoo'!D1986="","",'Ordenes_Odoo'!D1986)</f>
        <v/>
      </c>
      <c r="E1986" s="79">
        <f>IF('Ordenes_Odoo'!E1986="","",'Ordenes_Odoo'!E1986)</f>
        <v/>
      </c>
      <c r="F1986" s="79">
        <f>IF('Ordenes_Odoo'!F1986="","",'Ordenes_Odoo'!F1986)</f>
        <v/>
      </c>
      <c r="G1986" s="79">
        <f>IF('Ordenes_Odoo'!G1986="","",'Ordenes_Odoo'!G1986)</f>
        <v/>
      </c>
      <c r="H1986" s="79">
        <f>IF('Ordenes_Odoo'!H1986="","",'Ordenes_Odoo'!H1986)</f>
        <v/>
      </c>
      <c r="I1986" s="79">
        <f>IF('Ordenes_Odoo'!I1986="","",'Ordenes_Odoo'!I1986)</f>
        <v/>
      </c>
      <c r="J1986" s="79">
        <f>IF('Ordenes_Odoo'!J1986="","",'Ordenes_Odoo'!J1986)</f>
        <v/>
      </c>
      <c r="K1986" s="81">
        <f>IF('Ordenes_Odoo'!K1986="","",'Ordenes_Odoo'!K1986)</f>
        <v/>
      </c>
      <c r="L1986" s="81">
        <f>IF('Ordenes_Odoo'!L1986="","",'Ordenes_Odoo'!L1986)</f>
        <v/>
      </c>
      <c r="M1986" s="79">
        <f>IF('Ordenes_Odoo'!M1986="","",'Ordenes_Odoo'!M1986)</f>
        <v/>
      </c>
      <c r="N1986" s="79">
        <f>IF('Ordenes_Odoo'!N1986="","",'Ordenes_Odoo'!N1986)</f>
        <v/>
      </c>
      <c r="O1986" s="81">
        <f>IF('Ordenes_Odoo'!O1986="","",'Ordenes_Odoo'!O1986)</f>
        <v/>
      </c>
      <c r="P1986" s="81">
        <f>IF('Ordenes_Odoo'!P1986="","",'Ordenes_Odoo'!P1986)</f>
        <v/>
      </c>
      <c r="Q1986" s="79">
        <f>IF(A1986="","",IFERROR(INDEX(Facturas_Odoo!$B:$B, MATCH(A1986, Facturas_Odoo!$D:$D, 0)), "Sin Factura"))</f>
        <v/>
      </c>
      <c r="R1986" s="80">
        <f>IF(Q1986="Sin Factura","",IFERROR(INDEX(Facturas_Odoo!$A:$A, MATCH(Q1986, Facturas_Odoo!$B:$B, 0)), ""))</f>
        <v/>
      </c>
      <c r="S1986" s="79">
        <f>IF(Q1986="Sin Factura","",IFERROR(_xlfn.XLOOKUP(1, (Facturas_Odoo!$D:$D=A1986) * (Facturas_Odoo!$K:$K=I1986), Facturas_Odoo!$L:$L, ""), ""))</f>
        <v/>
      </c>
      <c r="T1986" s="81">
        <f>IF(Q1986="Sin Factura",0,IFERROR(_xlfn.XLOOKUP(1, (Facturas_Odoo!$D:$D=A1986) * (Facturas_Odoo!$K:$K=I1986), Facturas_Odoo!$M:$M, 0), 0))</f>
        <v/>
      </c>
      <c r="U1986" s="79">
        <f>IF(Q1986="Sin Factura",0,IFERROR(_xlfn.XLOOKUP(1, (Facturas_Odoo!$D:$D=A1986) * (Facturas_Odoo!$K:$K=I1986), Facturas_Odoo!$N:$N, 0), 0))</f>
        <v/>
      </c>
      <c r="V1986" s="79">
        <f>IF(Q1986="Sin Factura",0,IFERROR(_xlfn.XLOOKUP(1, (Facturas_Odoo!$D:$D=A1986) * (Facturas_Odoo!$K:$K=I1986), Facturas_Odoo!$O:$O, 0), 0))</f>
        <v/>
      </c>
      <c r="W1986" s="81">
        <f>IF(Q1986="Sin Factura",0,IFERROR(_xlfn.XLOOKUP(1, (Facturas_Odoo!$D:$D=A1986) * (Facturas_Odoo!$K:$K=I1986), Facturas_Odoo!$Q:$Q, 0), 0))</f>
        <v/>
      </c>
      <c r="X1986" s="79">
        <f>IF(OR(Q1986="Sin Factura",Q1986=""),"",IFERROR(INDEX(Pagos_Odoo!$B:$B, MATCH(Q1986, Pagos_Odoo!$I:$I, 0)), "Sin Pago"))</f>
        <v/>
      </c>
      <c r="Y1986" s="79">
        <f>IF(X1986="Sin Pago","",IFERROR(INDEX(Pagos_Odoo!$C:$C, MATCH(X1986, Pagos_Odoo!$B:$B, 0)), ""))</f>
        <v/>
      </c>
      <c r="Z1986" s="80">
        <f>IF(X1986="Sin Pago","",IFERROR(INDEX(Pagos_Odoo!$A:$A, MATCH(X1986, Pagos_Odoo!$B:$B, 0)), ""))</f>
        <v/>
      </c>
      <c r="AA1986" s="79">
        <f>IF(X1986="Sin Pago","",IFERROR(INDEX(Pagos_Odoo!$F:$F, MATCH(X1986, Pagos_Odoo!$B:$B, 0)), ""))</f>
        <v/>
      </c>
      <c r="AB1986" s="81">
        <f>IF(X1986="Sin Pago",0,IFERROR(INDEX(Pagos_Odoo!$E:$E, MATCH(X1986, Pagos_Odoo!$B:$B, 0)), 0))</f>
        <v/>
      </c>
      <c r="AC1986" s="79">
        <f>IF(X1986="Sin Pago","",IFERROR(INDEX(Pagos_Odoo!$G:$G, MATCH(X1986, Pagos_Odoo!$B:$B, 0)), ""))</f>
        <v/>
      </c>
      <c r="AD1986" s="82" t="n">
        <v>0</v>
      </c>
      <c r="AE1986" s="82" t="n"/>
      <c r="AF1986" s="82" t="n"/>
      <c r="AG1986" s="82">
        <f>IF(AN1986="","",AD1986+AE1986+AF1986)</f>
        <v/>
      </c>
      <c r="AH1986" s="81">
        <f>IF(AN1986="","",P1986*(1-AG1986))</f>
        <v/>
      </c>
      <c r="AI1986" s="81">
        <f>IF(AN1986="","",IF(Q1986="Sin Factura",0,IFERROR(INDEX(Facturas_Odoo!$H:$H, MATCH(Q1986, Facturas_Odoo!$B:$B, 0)), 0)*(1-AG1986)))</f>
        <v/>
      </c>
      <c r="AJ1986" s="81">
        <f>IF(AN1986="","",_xlfn.LET(idVenta, AN1986&amp;"",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86" s="81">
        <f>IF(AN1986="","",AH1986-AJ1986)</f>
        <v/>
      </c>
      <c r="AL1986" s="81">
        <f>IF(AN1986="","",IF(Q1986="Sin Factura","",AI1986-AJ1986))</f>
        <v/>
      </c>
      <c r="AM1986" s="81">
        <f>IF(AN1986="","",IF(Q1986="Sin Factura",0,P1986-IFERROR(INDEX(Facturas_Odoo!$H:$H, MATCH(Q1986, Facturas_Odoo!$B:$B, 0)), 0)))</f>
        <v/>
      </c>
      <c r="AN1986" s="79">
        <f>IF(AND(A1986="", J1986=""), "", IF(A1986&lt;&gt;"", VALUE(MID(A1986,2,LEN(A1986))), AN1985))</f>
        <v/>
      </c>
      <c r="AO1986" s="79">
        <f>IF(AN1986="","",IF(AD1986=0,"OK",_xlfn.LET(monedaPago, IF(AA1986="","USD",AA1986), limitePermitido, IFERROR(VLOOKUP(monedaPago, Configuración!$A$2:$B$3, 2, FALSE), 0.15), IF(AD1986&gt;limitePermitido, "ALERTA: EXCESO (" &amp; TEXT(limitePermitido, "0%") &amp; " máx)", "OK"))))</f>
        <v/>
      </c>
      <c r="AP1986" s="79">
        <f>IF(AN1986="","",IF(AE1986=0,"OK",_xlfn.LET(fechaPago, Z1986, fechaFactura, R1986, diasCredito, IF(E1986="Pago inmediato", 0, IFERROR(VALUE(MID(E1986, 1, SEARCH(" ", E1986)-1)),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86" s="79">
        <f>IF(AN1986="","",IF(AND(N1986&gt;0, AG1986&gt;0), IF(Configuración!$K$2="NO", "ALERTA: DESCUENTO DOBLE NO PERMITIDO", "OK"), "OK"))</f>
        <v/>
      </c>
      <c r="AR1986" s="79">
        <f>IF(AN1986="","",IF(OR(AO1986&lt;&gt;"OK", AP1986&lt;&gt;"OK", AQ1986&lt;&gt;"OK"), "⚠️ REVISAR", "OK"))</f>
        <v/>
      </c>
    </row>
    <row r="1987">
      <c r="A1987" s="79">
        <f>IF('Ordenes_Odoo'!A1987="","",'Ordenes_Odoo'!A1987)</f>
        <v/>
      </c>
      <c r="B1987" s="80">
        <f>IF('Ordenes_Odoo'!B1987="","",'Ordenes_Odoo'!B1987)</f>
        <v/>
      </c>
      <c r="C1987" s="79">
        <f>IF('Ordenes_Odoo'!C1987="","",'Ordenes_Odoo'!C1987)</f>
        <v/>
      </c>
      <c r="D1987" s="79">
        <f>IF('Ordenes_Odoo'!D1987="","",'Ordenes_Odoo'!D1987)</f>
        <v/>
      </c>
      <c r="E1987" s="79">
        <f>IF('Ordenes_Odoo'!E1987="","",'Ordenes_Odoo'!E1987)</f>
        <v/>
      </c>
      <c r="F1987" s="79">
        <f>IF('Ordenes_Odoo'!F1987="","",'Ordenes_Odoo'!F1987)</f>
        <v/>
      </c>
      <c r="G1987" s="79">
        <f>IF('Ordenes_Odoo'!G1987="","",'Ordenes_Odoo'!G1987)</f>
        <v/>
      </c>
      <c r="H1987" s="79">
        <f>IF('Ordenes_Odoo'!H1987="","",'Ordenes_Odoo'!H1987)</f>
        <v/>
      </c>
      <c r="I1987" s="79">
        <f>IF('Ordenes_Odoo'!I1987="","",'Ordenes_Odoo'!I1987)</f>
        <v/>
      </c>
      <c r="J1987" s="79">
        <f>IF('Ordenes_Odoo'!J1987="","",'Ordenes_Odoo'!J1987)</f>
        <v/>
      </c>
      <c r="K1987" s="81">
        <f>IF('Ordenes_Odoo'!K1987="","",'Ordenes_Odoo'!K1987)</f>
        <v/>
      </c>
      <c r="L1987" s="81">
        <f>IF('Ordenes_Odoo'!L1987="","",'Ordenes_Odoo'!L1987)</f>
        <v/>
      </c>
      <c r="M1987" s="79">
        <f>IF('Ordenes_Odoo'!M1987="","",'Ordenes_Odoo'!M1987)</f>
        <v/>
      </c>
      <c r="N1987" s="79">
        <f>IF('Ordenes_Odoo'!N1987="","",'Ordenes_Odoo'!N1987)</f>
        <v/>
      </c>
      <c r="O1987" s="81">
        <f>IF('Ordenes_Odoo'!O1987="","",'Ordenes_Odoo'!O1987)</f>
        <v/>
      </c>
      <c r="P1987" s="81">
        <f>IF('Ordenes_Odoo'!P1987="","",'Ordenes_Odoo'!P1987)</f>
        <v/>
      </c>
      <c r="Q1987" s="79">
        <f>IF(A1987="","",IFERROR(INDEX(Facturas_Odoo!$B:$B, MATCH(A1987, Facturas_Odoo!$D:$D, 0)), "Sin Factura"))</f>
        <v/>
      </c>
      <c r="R1987" s="80">
        <f>IF(Q1987="Sin Factura","",IFERROR(INDEX(Facturas_Odoo!$A:$A, MATCH(Q1987, Facturas_Odoo!$B:$B, 0)), ""))</f>
        <v/>
      </c>
      <c r="S1987" s="79">
        <f>IF(Q1987="Sin Factura","",IFERROR(_xlfn.XLOOKUP(1, (Facturas_Odoo!$D:$D=A1987) * (Facturas_Odoo!$K:$K=I1987), Facturas_Odoo!$L:$L, ""), ""))</f>
        <v/>
      </c>
      <c r="T1987" s="81">
        <f>IF(Q1987="Sin Factura",0,IFERROR(_xlfn.XLOOKUP(1, (Facturas_Odoo!$D:$D=A1987) * (Facturas_Odoo!$K:$K=I1987), Facturas_Odoo!$M:$M, 0), 0))</f>
        <v/>
      </c>
      <c r="U1987" s="79">
        <f>IF(Q1987="Sin Factura",0,IFERROR(_xlfn.XLOOKUP(1, (Facturas_Odoo!$D:$D=A1987) * (Facturas_Odoo!$K:$K=I1987), Facturas_Odoo!$N:$N, 0), 0))</f>
        <v/>
      </c>
      <c r="V1987" s="79">
        <f>IF(Q1987="Sin Factura",0,IFERROR(_xlfn.XLOOKUP(1, (Facturas_Odoo!$D:$D=A1987) * (Facturas_Odoo!$K:$K=I1987), Facturas_Odoo!$O:$O, 0), 0))</f>
        <v/>
      </c>
      <c r="W1987" s="81">
        <f>IF(Q1987="Sin Factura",0,IFERROR(_xlfn.XLOOKUP(1, (Facturas_Odoo!$D:$D=A1987) * (Facturas_Odoo!$K:$K=I1987), Facturas_Odoo!$Q:$Q, 0), 0))</f>
        <v/>
      </c>
      <c r="X1987" s="79">
        <f>IF(OR(Q1987="Sin Factura",Q1987=""),"",IFERROR(INDEX(Pagos_Odoo!$B:$B, MATCH(Q1987, Pagos_Odoo!$I:$I, 0)), "Sin Pago"))</f>
        <v/>
      </c>
      <c r="Y1987" s="79">
        <f>IF(X1987="Sin Pago","",IFERROR(INDEX(Pagos_Odoo!$C:$C, MATCH(X1987, Pagos_Odoo!$B:$B, 0)), ""))</f>
        <v/>
      </c>
      <c r="Z1987" s="80">
        <f>IF(X1987="Sin Pago","",IFERROR(INDEX(Pagos_Odoo!$A:$A, MATCH(X1987, Pagos_Odoo!$B:$B, 0)), ""))</f>
        <v/>
      </c>
      <c r="AA1987" s="79">
        <f>IF(X1987="Sin Pago","",IFERROR(INDEX(Pagos_Odoo!$F:$F, MATCH(X1987, Pagos_Odoo!$B:$B, 0)), ""))</f>
        <v/>
      </c>
      <c r="AB1987" s="81">
        <f>IF(X1987="Sin Pago",0,IFERROR(INDEX(Pagos_Odoo!$E:$E, MATCH(X1987, Pagos_Odoo!$B:$B, 0)), 0))</f>
        <v/>
      </c>
      <c r="AC1987" s="79">
        <f>IF(X1987="Sin Pago","",IFERROR(INDEX(Pagos_Odoo!$G:$G, MATCH(X1987, Pagos_Odoo!$B:$B, 0)), ""))</f>
        <v/>
      </c>
      <c r="AD1987" s="82" t="n">
        <v>0</v>
      </c>
      <c r="AE1987" s="82" t="n"/>
      <c r="AF1987" s="82" t="n"/>
      <c r="AG1987" s="82">
        <f>IF(AN1987="","",AD1987+AE1987+AF1987)</f>
        <v/>
      </c>
      <c r="AH1987" s="81">
        <f>IF(AN1987="","",P1987*(1-AG1987))</f>
        <v/>
      </c>
      <c r="AI1987" s="81">
        <f>IF(AN1987="","",IF(Q1987="Sin Factura",0,IFERROR(INDEX(Facturas_Odoo!$H:$H, MATCH(Q1987, Facturas_Odoo!$B:$B, 0)), 0)*(1-AG1987)))</f>
        <v/>
      </c>
      <c r="AJ1987" s="81">
        <f>IF(AN1987="","",_xlfn.LET(idVenta, AN1987&amp;"",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87" s="81">
        <f>IF(AN1987="","",AH1987-AJ1987)</f>
        <v/>
      </c>
      <c r="AL1987" s="81">
        <f>IF(AN1987="","",IF(Q1987="Sin Factura","",AI1987-AJ1987))</f>
        <v/>
      </c>
      <c r="AM1987" s="81">
        <f>IF(AN1987="","",IF(Q1987="Sin Factura",0,P1987-IFERROR(INDEX(Facturas_Odoo!$H:$H, MATCH(Q1987, Facturas_Odoo!$B:$B, 0)), 0)))</f>
        <v/>
      </c>
      <c r="AN1987" s="79">
        <f>IF(AND(A1987="", J1987=""), "", IF(A1987&lt;&gt;"", VALUE(MID(A1987,2,LEN(A1987))), AN1986))</f>
        <v/>
      </c>
      <c r="AO1987" s="79">
        <f>IF(AN1987="","",IF(AD1987=0,"OK",_xlfn.LET(monedaPago, IF(AA1987="","USD",AA1987), limitePermitido, IFERROR(VLOOKUP(monedaPago, Configuración!$A$2:$B$3, 2, FALSE), 0.15), IF(AD1987&gt;limitePermitido, "ALERTA: EXCESO (" &amp; TEXT(limitePermitido, "0%") &amp; " máx)", "OK"))))</f>
        <v/>
      </c>
      <c r="AP1987" s="79">
        <f>IF(AN1987="","",IF(AE1987=0,"OK",_xlfn.LET(fechaPago, Z1987, fechaFactura, R1987, diasCredito, IF(E1987="Pago inmediato", 0, IFERROR(VALUE(MID(E1987, 1, SEARCH(" ", E1987)-1)),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87" s="79">
        <f>IF(AN1987="","",IF(AND(N1987&gt;0, AG1987&gt;0), IF(Configuración!$K$2="NO", "ALERTA: DESCUENTO DOBLE NO PERMITIDO", "OK"), "OK"))</f>
        <v/>
      </c>
      <c r="AR1987" s="79">
        <f>IF(AN1987="","",IF(OR(AO1987&lt;&gt;"OK", AP1987&lt;&gt;"OK", AQ1987&lt;&gt;"OK"), "⚠️ REVISAR", "OK"))</f>
        <v/>
      </c>
    </row>
    <row r="1988">
      <c r="A1988" s="79">
        <f>IF('Ordenes_Odoo'!A1988="","",'Ordenes_Odoo'!A1988)</f>
        <v/>
      </c>
      <c r="B1988" s="80">
        <f>IF('Ordenes_Odoo'!B1988="","",'Ordenes_Odoo'!B1988)</f>
        <v/>
      </c>
      <c r="C1988" s="79">
        <f>IF('Ordenes_Odoo'!C1988="","",'Ordenes_Odoo'!C1988)</f>
        <v/>
      </c>
      <c r="D1988" s="79">
        <f>IF('Ordenes_Odoo'!D1988="","",'Ordenes_Odoo'!D1988)</f>
        <v/>
      </c>
      <c r="E1988" s="79">
        <f>IF('Ordenes_Odoo'!E1988="","",'Ordenes_Odoo'!E1988)</f>
        <v/>
      </c>
      <c r="F1988" s="79">
        <f>IF('Ordenes_Odoo'!F1988="","",'Ordenes_Odoo'!F1988)</f>
        <v/>
      </c>
      <c r="G1988" s="79">
        <f>IF('Ordenes_Odoo'!G1988="","",'Ordenes_Odoo'!G1988)</f>
        <v/>
      </c>
      <c r="H1988" s="79">
        <f>IF('Ordenes_Odoo'!H1988="","",'Ordenes_Odoo'!H1988)</f>
        <v/>
      </c>
      <c r="I1988" s="79">
        <f>IF('Ordenes_Odoo'!I1988="","",'Ordenes_Odoo'!I1988)</f>
        <v/>
      </c>
      <c r="J1988" s="79">
        <f>IF('Ordenes_Odoo'!J1988="","",'Ordenes_Odoo'!J1988)</f>
        <v/>
      </c>
      <c r="K1988" s="81">
        <f>IF('Ordenes_Odoo'!K1988="","",'Ordenes_Odoo'!K1988)</f>
        <v/>
      </c>
      <c r="L1988" s="81">
        <f>IF('Ordenes_Odoo'!L1988="","",'Ordenes_Odoo'!L1988)</f>
        <v/>
      </c>
      <c r="M1988" s="79">
        <f>IF('Ordenes_Odoo'!M1988="","",'Ordenes_Odoo'!M1988)</f>
        <v/>
      </c>
      <c r="N1988" s="79">
        <f>IF('Ordenes_Odoo'!N1988="","",'Ordenes_Odoo'!N1988)</f>
        <v/>
      </c>
      <c r="O1988" s="81">
        <f>IF('Ordenes_Odoo'!O1988="","",'Ordenes_Odoo'!O1988)</f>
        <v/>
      </c>
      <c r="P1988" s="81">
        <f>IF('Ordenes_Odoo'!P1988="","",'Ordenes_Odoo'!P1988)</f>
        <v/>
      </c>
      <c r="Q1988" s="79">
        <f>IF(A1988="","",IFERROR(INDEX(Facturas_Odoo!$B:$B, MATCH(A1988, Facturas_Odoo!$D:$D, 0)), "Sin Factura"))</f>
        <v/>
      </c>
      <c r="R1988" s="80">
        <f>IF(Q1988="Sin Factura","",IFERROR(INDEX(Facturas_Odoo!$A:$A, MATCH(Q1988, Facturas_Odoo!$B:$B, 0)), ""))</f>
        <v/>
      </c>
      <c r="S1988" s="79">
        <f>IF(Q1988="Sin Factura","",IFERROR(_xlfn.XLOOKUP(1, (Facturas_Odoo!$D:$D=A1988) * (Facturas_Odoo!$K:$K=I1988), Facturas_Odoo!$L:$L, ""), ""))</f>
        <v/>
      </c>
      <c r="T1988" s="81">
        <f>IF(Q1988="Sin Factura",0,IFERROR(_xlfn.XLOOKUP(1, (Facturas_Odoo!$D:$D=A1988) * (Facturas_Odoo!$K:$K=I1988), Facturas_Odoo!$M:$M, 0), 0))</f>
        <v/>
      </c>
      <c r="U1988" s="79">
        <f>IF(Q1988="Sin Factura",0,IFERROR(_xlfn.XLOOKUP(1, (Facturas_Odoo!$D:$D=A1988) * (Facturas_Odoo!$K:$K=I1988), Facturas_Odoo!$N:$N, 0), 0))</f>
        <v/>
      </c>
      <c r="V1988" s="79">
        <f>IF(Q1988="Sin Factura",0,IFERROR(_xlfn.XLOOKUP(1, (Facturas_Odoo!$D:$D=A1988) * (Facturas_Odoo!$K:$K=I1988), Facturas_Odoo!$O:$O, 0), 0))</f>
        <v/>
      </c>
      <c r="W1988" s="81">
        <f>IF(Q1988="Sin Factura",0,IFERROR(_xlfn.XLOOKUP(1, (Facturas_Odoo!$D:$D=A1988) * (Facturas_Odoo!$K:$K=I1988), Facturas_Odoo!$Q:$Q, 0), 0))</f>
        <v/>
      </c>
      <c r="X1988" s="79">
        <f>IF(OR(Q1988="Sin Factura",Q1988=""),"",IFERROR(INDEX(Pagos_Odoo!$B:$B, MATCH(Q1988, Pagos_Odoo!$I:$I, 0)), "Sin Pago"))</f>
        <v/>
      </c>
      <c r="Y1988" s="79">
        <f>IF(X1988="Sin Pago","",IFERROR(INDEX(Pagos_Odoo!$C:$C, MATCH(X1988, Pagos_Odoo!$B:$B, 0)), ""))</f>
        <v/>
      </c>
      <c r="Z1988" s="80">
        <f>IF(X1988="Sin Pago","",IFERROR(INDEX(Pagos_Odoo!$A:$A, MATCH(X1988, Pagos_Odoo!$B:$B, 0)), ""))</f>
        <v/>
      </c>
      <c r="AA1988" s="79">
        <f>IF(X1988="Sin Pago","",IFERROR(INDEX(Pagos_Odoo!$F:$F, MATCH(X1988, Pagos_Odoo!$B:$B, 0)), ""))</f>
        <v/>
      </c>
      <c r="AB1988" s="81">
        <f>IF(X1988="Sin Pago",0,IFERROR(INDEX(Pagos_Odoo!$E:$E, MATCH(X1988, Pagos_Odoo!$B:$B, 0)), 0))</f>
        <v/>
      </c>
      <c r="AC1988" s="79">
        <f>IF(X1988="Sin Pago","",IFERROR(INDEX(Pagos_Odoo!$G:$G, MATCH(X1988, Pagos_Odoo!$B:$B, 0)), ""))</f>
        <v/>
      </c>
      <c r="AD1988" s="82" t="n">
        <v>0</v>
      </c>
      <c r="AE1988" s="82" t="n"/>
      <c r="AF1988" s="82" t="n"/>
      <c r="AG1988" s="82">
        <f>IF(AN1988="","",AD1988+AE1988+AF1988)</f>
        <v/>
      </c>
      <c r="AH1988" s="81">
        <f>IF(AN1988="","",P1988*(1-AG1988))</f>
        <v/>
      </c>
      <c r="AI1988" s="81">
        <f>IF(AN1988="","",IF(Q1988="Sin Factura",0,IFERROR(INDEX(Facturas_Odoo!$H:$H, MATCH(Q1988, Facturas_Odoo!$B:$B, 0)), 0)*(1-AG1988)))</f>
        <v/>
      </c>
      <c r="AJ1988" s="81">
        <f>IF(AN1988="","",_xlfn.LET(idVenta, AN1988&amp;"",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88" s="81">
        <f>IF(AN1988="","",AH1988-AJ1988)</f>
        <v/>
      </c>
      <c r="AL1988" s="81">
        <f>IF(AN1988="","",IF(Q1988="Sin Factura","",AI1988-AJ1988))</f>
        <v/>
      </c>
      <c r="AM1988" s="81">
        <f>IF(AN1988="","",IF(Q1988="Sin Factura",0,P1988-IFERROR(INDEX(Facturas_Odoo!$H:$H, MATCH(Q1988, Facturas_Odoo!$B:$B, 0)), 0)))</f>
        <v/>
      </c>
      <c r="AN1988" s="79">
        <f>IF(AND(A1988="", J1988=""), "", IF(A1988&lt;&gt;"", VALUE(MID(A1988,2,LEN(A1988))), AN1987))</f>
        <v/>
      </c>
      <c r="AO1988" s="79">
        <f>IF(AN1988="","",IF(AD1988=0,"OK",_xlfn.LET(monedaPago, IF(AA1988="","USD",AA1988), limitePermitido, IFERROR(VLOOKUP(monedaPago, Configuración!$A$2:$B$3, 2, FALSE), 0.15), IF(AD1988&gt;limitePermitido, "ALERTA: EXCESO (" &amp; TEXT(limitePermitido, "0%") &amp; " máx)", "OK"))))</f>
        <v/>
      </c>
      <c r="AP1988" s="79">
        <f>IF(AN1988="","",IF(AE1988=0,"OK",_xlfn.LET(fechaPago, Z1988, fechaFactura, R1988, diasCredito, IF(E1988="Pago inmediato", 0, IFERROR(VALUE(MID(E1988, 1, SEARCH(" ", E1988)-1)),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88" s="79">
        <f>IF(AN1988="","",IF(AND(N1988&gt;0, AG1988&gt;0), IF(Configuración!$K$2="NO", "ALERTA: DESCUENTO DOBLE NO PERMITIDO", "OK"), "OK"))</f>
        <v/>
      </c>
      <c r="AR1988" s="79">
        <f>IF(AN1988="","",IF(OR(AO1988&lt;&gt;"OK", AP1988&lt;&gt;"OK", AQ1988&lt;&gt;"OK"), "⚠️ REVISAR", "OK"))</f>
        <v/>
      </c>
    </row>
    <row r="1989">
      <c r="A1989" s="79">
        <f>IF('Ordenes_Odoo'!A1989="","",'Ordenes_Odoo'!A1989)</f>
        <v/>
      </c>
      <c r="B1989" s="80">
        <f>IF('Ordenes_Odoo'!B1989="","",'Ordenes_Odoo'!B1989)</f>
        <v/>
      </c>
      <c r="C1989" s="79">
        <f>IF('Ordenes_Odoo'!C1989="","",'Ordenes_Odoo'!C1989)</f>
        <v/>
      </c>
      <c r="D1989" s="79">
        <f>IF('Ordenes_Odoo'!D1989="","",'Ordenes_Odoo'!D1989)</f>
        <v/>
      </c>
      <c r="E1989" s="79">
        <f>IF('Ordenes_Odoo'!E1989="","",'Ordenes_Odoo'!E1989)</f>
        <v/>
      </c>
      <c r="F1989" s="79">
        <f>IF('Ordenes_Odoo'!F1989="","",'Ordenes_Odoo'!F1989)</f>
        <v/>
      </c>
      <c r="G1989" s="79">
        <f>IF('Ordenes_Odoo'!G1989="","",'Ordenes_Odoo'!G1989)</f>
        <v/>
      </c>
      <c r="H1989" s="79">
        <f>IF('Ordenes_Odoo'!H1989="","",'Ordenes_Odoo'!H1989)</f>
        <v/>
      </c>
      <c r="I1989" s="79">
        <f>IF('Ordenes_Odoo'!I1989="","",'Ordenes_Odoo'!I1989)</f>
        <v/>
      </c>
      <c r="J1989" s="79">
        <f>IF('Ordenes_Odoo'!J1989="","",'Ordenes_Odoo'!J1989)</f>
        <v/>
      </c>
      <c r="K1989" s="81">
        <f>IF('Ordenes_Odoo'!K1989="","",'Ordenes_Odoo'!K1989)</f>
        <v/>
      </c>
      <c r="L1989" s="81">
        <f>IF('Ordenes_Odoo'!L1989="","",'Ordenes_Odoo'!L1989)</f>
        <v/>
      </c>
      <c r="M1989" s="79">
        <f>IF('Ordenes_Odoo'!M1989="","",'Ordenes_Odoo'!M1989)</f>
        <v/>
      </c>
      <c r="N1989" s="79">
        <f>IF('Ordenes_Odoo'!N1989="","",'Ordenes_Odoo'!N1989)</f>
        <v/>
      </c>
      <c r="O1989" s="81">
        <f>IF('Ordenes_Odoo'!O1989="","",'Ordenes_Odoo'!O1989)</f>
        <v/>
      </c>
      <c r="P1989" s="81">
        <f>IF('Ordenes_Odoo'!P1989="","",'Ordenes_Odoo'!P1989)</f>
        <v/>
      </c>
      <c r="Q1989" s="79">
        <f>IF(A1989="","",IFERROR(INDEX(Facturas_Odoo!$B:$B, MATCH(A1989, Facturas_Odoo!$D:$D, 0)), "Sin Factura"))</f>
        <v/>
      </c>
      <c r="R1989" s="80">
        <f>IF(Q1989="Sin Factura","",IFERROR(INDEX(Facturas_Odoo!$A:$A, MATCH(Q1989, Facturas_Odoo!$B:$B, 0)), ""))</f>
        <v/>
      </c>
      <c r="S1989" s="79">
        <f>IF(Q1989="Sin Factura","",IFERROR(_xlfn.XLOOKUP(1, (Facturas_Odoo!$D:$D=A1989) * (Facturas_Odoo!$K:$K=I1989), Facturas_Odoo!$L:$L, ""), ""))</f>
        <v/>
      </c>
      <c r="T1989" s="81">
        <f>IF(Q1989="Sin Factura",0,IFERROR(_xlfn.XLOOKUP(1, (Facturas_Odoo!$D:$D=A1989) * (Facturas_Odoo!$K:$K=I1989), Facturas_Odoo!$M:$M, 0), 0))</f>
        <v/>
      </c>
      <c r="U1989" s="79">
        <f>IF(Q1989="Sin Factura",0,IFERROR(_xlfn.XLOOKUP(1, (Facturas_Odoo!$D:$D=A1989) * (Facturas_Odoo!$K:$K=I1989), Facturas_Odoo!$N:$N, 0), 0))</f>
        <v/>
      </c>
      <c r="V1989" s="79">
        <f>IF(Q1989="Sin Factura",0,IFERROR(_xlfn.XLOOKUP(1, (Facturas_Odoo!$D:$D=A1989) * (Facturas_Odoo!$K:$K=I1989), Facturas_Odoo!$O:$O, 0), 0))</f>
        <v/>
      </c>
      <c r="W1989" s="81">
        <f>IF(Q1989="Sin Factura",0,IFERROR(_xlfn.XLOOKUP(1, (Facturas_Odoo!$D:$D=A1989) * (Facturas_Odoo!$K:$K=I1989), Facturas_Odoo!$Q:$Q, 0), 0))</f>
        <v/>
      </c>
      <c r="X1989" s="79">
        <f>IF(OR(Q1989="Sin Factura",Q1989=""),"",IFERROR(INDEX(Pagos_Odoo!$B:$B, MATCH(Q1989, Pagos_Odoo!$I:$I, 0)), "Sin Pago"))</f>
        <v/>
      </c>
      <c r="Y1989" s="79">
        <f>IF(X1989="Sin Pago","",IFERROR(INDEX(Pagos_Odoo!$C:$C, MATCH(X1989, Pagos_Odoo!$B:$B, 0)), ""))</f>
        <v/>
      </c>
      <c r="Z1989" s="80">
        <f>IF(X1989="Sin Pago","",IFERROR(INDEX(Pagos_Odoo!$A:$A, MATCH(X1989, Pagos_Odoo!$B:$B, 0)), ""))</f>
        <v/>
      </c>
      <c r="AA1989" s="79">
        <f>IF(X1989="Sin Pago","",IFERROR(INDEX(Pagos_Odoo!$F:$F, MATCH(X1989, Pagos_Odoo!$B:$B, 0)), ""))</f>
        <v/>
      </c>
      <c r="AB1989" s="81">
        <f>IF(X1989="Sin Pago",0,IFERROR(INDEX(Pagos_Odoo!$E:$E, MATCH(X1989, Pagos_Odoo!$B:$B, 0)), 0))</f>
        <v/>
      </c>
      <c r="AC1989" s="79">
        <f>IF(X1989="Sin Pago","",IFERROR(INDEX(Pagos_Odoo!$G:$G, MATCH(X1989, Pagos_Odoo!$B:$B, 0)), ""))</f>
        <v/>
      </c>
      <c r="AD1989" s="82" t="n">
        <v>0</v>
      </c>
      <c r="AE1989" s="82" t="n"/>
      <c r="AF1989" s="82" t="n"/>
      <c r="AG1989" s="82">
        <f>IF(AN1989="","",AD1989+AE1989+AF1989)</f>
        <v/>
      </c>
      <c r="AH1989" s="81">
        <f>IF(AN1989="","",P1989*(1-AG1989))</f>
        <v/>
      </c>
      <c r="AI1989" s="81">
        <f>IF(AN1989="","",IF(Q1989="Sin Factura",0,IFERROR(INDEX(Facturas_Odoo!$H:$H, MATCH(Q1989, Facturas_Odoo!$B:$B, 0)), 0)*(1-AG1989)))</f>
        <v/>
      </c>
      <c r="AJ1989" s="81">
        <f>IF(AN1989="","",_xlfn.LET(idVenta, AN1989&amp;"",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89" s="81">
        <f>IF(AN1989="","",AH1989-AJ1989)</f>
        <v/>
      </c>
      <c r="AL1989" s="81">
        <f>IF(AN1989="","",IF(Q1989="Sin Factura","",AI1989-AJ1989))</f>
        <v/>
      </c>
      <c r="AM1989" s="81">
        <f>IF(AN1989="","",IF(Q1989="Sin Factura",0,P1989-IFERROR(INDEX(Facturas_Odoo!$H:$H, MATCH(Q1989, Facturas_Odoo!$B:$B, 0)), 0)))</f>
        <v/>
      </c>
      <c r="AN1989" s="79">
        <f>IF(AND(A1989="", J1989=""), "", IF(A1989&lt;&gt;"", VALUE(MID(A1989,2,LEN(A1989))), AN1988))</f>
        <v/>
      </c>
      <c r="AO1989" s="79">
        <f>IF(AN1989="","",IF(AD1989=0,"OK",_xlfn.LET(monedaPago, IF(AA1989="","USD",AA1989), limitePermitido, IFERROR(VLOOKUP(monedaPago, Configuración!$A$2:$B$3, 2, FALSE), 0.15), IF(AD1989&gt;limitePermitido, "ALERTA: EXCESO (" &amp; TEXT(limitePermitido, "0%") &amp; " máx)", "OK"))))</f>
        <v/>
      </c>
      <c r="AP1989" s="79">
        <f>IF(AN1989="","",IF(AE1989=0,"OK",_xlfn.LET(fechaPago, Z1989, fechaFactura, R1989, diasCredito, IF(E1989="Pago inmediato", 0, IFERROR(VALUE(MID(E1989, 1, SEARCH(" ", E1989)-1)),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89" s="79">
        <f>IF(AN1989="","",IF(AND(N1989&gt;0, AG1989&gt;0), IF(Configuración!$K$2="NO", "ALERTA: DESCUENTO DOBLE NO PERMITIDO", "OK"), "OK"))</f>
        <v/>
      </c>
      <c r="AR1989" s="79">
        <f>IF(AN1989="","",IF(OR(AO1989&lt;&gt;"OK", AP1989&lt;&gt;"OK", AQ1989&lt;&gt;"OK"), "⚠️ REVISAR", "OK"))</f>
        <v/>
      </c>
    </row>
    <row r="1990">
      <c r="A1990" s="79">
        <f>IF('Ordenes_Odoo'!A1990="","",'Ordenes_Odoo'!A1990)</f>
        <v/>
      </c>
      <c r="B1990" s="80">
        <f>IF('Ordenes_Odoo'!B1990="","",'Ordenes_Odoo'!B1990)</f>
        <v/>
      </c>
      <c r="C1990" s="79">
        <f>IF('Ordenes_Odoo'!C1990="","",'Ordenes_Odoo'!C1990)</f>
        <v/>
      </c>
      <c r="D1990" s="79">
        <f>IF('Ordenes_Odoo'!D1990="","",'Ordenes_Odoo'!D1990)</f>
        <v/>
      </c>
      <c r="E1990" s="79">
        <f>IF('Ordenes_Odoo'!E1990="","",'Ordenes_Odoo'!E1990)</f>
        <v/>
      </c>
      <c r="F1990" s="79">
        <f>IF('Ordenes_Odoo'!F1990="","",'Ordenes_Odoo'!F1990)</f>
        <v/>
      </c>
      <c r="G1990" s="79">
        <f>IF('Ordenes_Odoo'!G1990="","",'Ordenes_Odoo'!G1990)</f>
        <v/>
      </c>
      <c r="H1990" s="79">
        <f>IF('Ordenes_Odoo'!H1990="","",'Ordenes_Odoo'!H1990)</f>
        <v/>
      </c>
      <c r="I1990" s="79">
        <f>IF('Ordenes_Odoo'!I1990="","",'Ordenes_Odoo'!I1990)</f>
        <v/>
      </c>
      <c r="J1990" s="79">
        <f>IF('Ordenes_Odoo'!J1990="","",'Ordenes_Odoo'!J1990)</f>
        <v/>
      </c>
      <c r="K1990" s="81">
        <f>IF('Ordenes_Odoo'!K1990="","",'Ordenes_Odoo'!K1990)</f>
        <v/>
      </c>
      <c r="L1990" s="81">
        <f>IF('Ordenes_Odoo'!L1990="","",'Ordenes_Odoo'!L1990)</f>
        <v/>
      </c>
      <c r="M1990" s="79">
        <f>IF('Ordenes_Odoo'!M1990="","",'Ordenes_Odoo'!M1990)</f>
        <v/>
      </c>
      <c r="N1990" s="79">
        <f>IF('Ordenes_Odoo'!N1990="","",'Ordenes_Odoo'!N1990)</f>
        <v/>
      </c>
      <c r="O1990" s="81">
        <f>IF('Ordenes_Odoo'!O1990="","",'Ordenes_Odoo'!O1990)</f>
        <v/>
      </c>
      <c r="P1990" s="81">
        <f>IF('Ordenes_Odoo'!P1990="","",'Ordenes_Odoo'!P1990)</f>
        <v/>
      </c>
      <c r="Q1990" s="79">
        <f>IF(A1990="","",IFERROR(INDEX(Facturas_Odoo!$B:$B, MATCH(A1990, Facturas_Odoo!$D:$D, 0)), "Sin Factura"))</f>
        <v/>
      </c>
      <c r="R1990" s="80">
        <f>IF(Q1990="Sin Factura","",IFERROR(INDEX(Facturas_Odoo!$A:$A, MATCH(Q1990, Facturas_Odoo!$B:$B, 0)), ""))</f>
        <v/>
      </c>
      <c r="S1990" s="79">
        <f>IF(Q1990="Sin Factura","",IFERROR(_xlfn.XLOOKUP(1, (Facturas_Odoo!$D:$D=A1990) * (Facturas_Odoo!$K:$K=I1990), Facturas_Odoo!$L:$L, ""), ""))</f>
        <v/>
      </c>
      <c r="T1990" s="81">
        <f>IF(Q1990="Sin Factura",0,IFERROR(_xlfn.XLOOKUP(1, (Facturas_Odoo!$D:$D=A1990) * (Facturas_Odoo!$K:$K=I1990), Facturas_Odoo!$M:$M, 0), 0))</f>
        <v/>
      </c>
      <c r="U1990" s="79">
        <f>IF(Q1990="Sin Factura",0,IFERROR(_xlfn.XLOOKUP(1, (Facturas_Odoo!$D:$D=A1990) * (Facturas_Odoo!$K:$K=I1990), Facturas_Odoo!$N:$N, 0), 0))</f>
        <v/>
      </c>
      <c r="V1990" s="79">
        <f>IF(Q1990="Sin Factura",0,IFERROR(_xlfn.XLOOKUP(1, (Facturas_Odoo!$D:$D=A1990) * (Facturas_Odoo!$K:$K=I1990), Facturas_Odoo!$O:$O, 0), 0))</f>
        <v/>
      </c>
      <c r="W1990" s="81">
        <f>IF(Q1990="Sin Factura",0,IFERROR(_xlfn.XLOOKUP(1, (Facturas_Odoo!$D:$D=A1990) * (Facturas_Odoo!$K:$K=I1990), Facturas_Odoo!$Q:$Q, 0), 0))</f>
        <v/>
      </c>
      <c r="X1990" s="79">
        <f>IF(OR(Q1990="Sin Factura",Q1990=""),"",IFERROR(INDEX(Pagos_Odoo!$B:$B, MATCH(Q1990, Pagos_Odoo!$I:$I, 0)), "Sin Pago"))</f>
        <v/>
      </c>
      <c r="Y1990" s="79">
        <f>IF(X1990="Sin Pago","",IFERROR(INDEX(Pagos_Odoo!$C:$C, MATCH(X1990, Pagos_Odoo!$B:$B, 0)), ""))</f>
        <v/>
      </c>
      <c r="Z1990" s="80">
        <f>IF(X1990="Sin Pago","",IFERROR(INDEX(Pagos_Odoo!$A:$A, MATCH(X1990, Pagos_Odoo!$B:$B, 0)), ""))</f>
        <v/>
      </c>
      <c r="AA1990" s="79">
        <f>IF(X1990="Sin Pago","",IFERROR(INDEX(Pagos_Odoo!$F:$F, MATCH(X1990, Pagos_Odoo!$B:$B, 0)), ""))</f>
        <v/>
      </c>
      <c r="AB1990" s="81">
        <f>IF(X1990="Sin Pago",0,IFERROR(INDEX(Pagos_Odoo!$E:$E, MATCH(X1990, Pagos_Odoo!$B:$B, 0)), 0))</f>
        <v/>
      </c>
      <c r="AC1990" s="79">
        <f>IF(X1990="Sin Pago","",IFERROR(INDEX(Pagos_Odoo!$G:$G, MATCH(X1990, Pagos_Odoo!$B:$B, 0)), ""))</f>
        <v/>
      </c>
      <c r="AD1990" s="82" t="n">
        <v>0</v>
      </c>
      <c r="AE1990" s="82" t="n"/>
      <c r="AF1990" s="82" t="n"/>
      <c r="AG1990" s="82">
        <f>IF(AN1990="","",AD1990+AE1990+AF1990)</f>
        <v/>
      </c>
      <c r="AH1990" s="81">
        <f>IF(AN1990="","",P1990*(1-AG1990))</f>
        <v/>
      </c>
      <c r="AI1990" s="81">
        <f>IF(AN1990="","",IF(Q1990="Sin Factura",0,IFERROR(INDEX(Facturas_Odoo!$H:$H, MATCH(Q1990, Facturas_Odoo!$B:$B, 0)), 0)*(1-AG1990)))</f>
        <v/>
      </c>
      <c r="AJ1990" s="81">
        <f>IF(AN1990="","",_xlfn.LET(idVenta, AN1990&amp;"",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90" s="81">
        <f>IF(AN1990="","",AH1990-AJ1990)</f>
        <v/>
      </c>
      <c r="AL1990" s="81">
        <f>IF(AN1990="","",IF(Q1990="Sin Factura","",AI1990-AJ1990))</f>
        <v/>
      </c>
      <c r="AM1990" s="81">
        <f>IF(AN1990="","",IF(Q1990="Sin Factura",0,P1990-IFERROR(INDEX(Facturas_Odoo!$H:$H, MATCH(Q1990, Facturas_Odoo!$B:$B, 0)), 0)))</f>
        <v/>
      </c>
      <c r="AN1990" s="79">
        <f>IF(AND(A1990="", J1990=""), "", IF(A1990&lt;&gt;"", VALUE(MID(A1990,2,LEN(A1990))), AN1989))</f>
        <v/>
      </c>
      <c r="AO1990" s="79">
        <f>IF(AN1990="","",IF(AD1990=0,"OK",_xlfn.LET(monedaPago, IF(AA1990="","USD",AA1990), limitePermitido, IFERROR(VLOOKUP(monedaPago, Configuración!$A$2:$B$3, 2, FALSE), 0.15), IF(AD1990&gt;limitePermitido, "ALERTA: EXCESO (" &amp; TEXT(limitePermitido, "0%") &amp; " máx)", "OK"))))</f>
        <v/>
      </c>
      <c r="AP1990" s="79">
        <f>IF(AN1990="","",IF(AE1990=0,"OK",_xlfn.LET(fechaPago, Z1990, fechaFactura, R1990, diasCredito, IF(E1990="Pago inmediato", 0, IFERROR(VALUE(MID(E1990, 1, SEARCH(" ", E1990)-1)),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90" s="79">
        <f>IF(AN1990="","",IF(AND(N1990&gt;0, AG1990&gt;0), IF(Configuración!$K$2="NO", "ALERTA: DESCUENTO DOBLE NO PERMITIDO", "OK"), "OK"))</f>
        <v/>
      </c>
      <c r="AR1990" s="79">
        <f>IF(AN1990="","",IF(OR(AO1990&lt;&gt;"OK", AP1990&lt;&gt;"OK", AQ1990&lt;&gt;"OK"), "⚠️ REVISAR", "OK"))</f>
        <v/>
      </c>
    </row>
    <row r="1991">
      <c r="A1991" s="79">
        <f>IF('Ordenes_Odoo'!A1991="","",'Ordenes_Odoo'!A1991)</f>
        <v/>
      </c>
      <c r="B1991" s="80">
        <f>IF('Ordenes_Odoo'!B1991="","",'Ordenes_Odoo'!B1991)</f>
        <v/>
      </c>
      <c r="C1991" s="79">
        <f>IF('Ordenes_Odoo'!C1991="","",'Ordenes_Odoo'!C1991)</f>
        <v/>
      </c>
      <c r="D1991" s="79">
        <f>IF('Ordenes_Odoo'!D1991="","",'Ordenes_Odoo'!D1991)</f>
        <v/>
      </c>
      <c r="E1991" s="79">
        <f>IF('Ordenes_Odoo'!E1991="","",'Ordenes_Odoo'!E1991)</f>
        <v/>
      </c>
      <c r="F1991" s="79">
        <f>IF('Ordenes_Odoo'!F1991="","",'Ordenes_Odoo'!F1991)</f>
        <v/>
      </c>
      <c r="G1991" s="79">
        <f>IF('Ordenes_Odoo'!G1991="","",'Ordenes_Odoo'!G1991)</f>
        <v/>
      </c>
      <c r="H1991" s="79">
        <f>IF('Ordenes_Odoo'!H1991="","",'Ordenes_Odoo'!H1991)</f>
        <v/>
      </c>
      <c r="I1991" s="79">
        <f>IF('Ordenes_Odoo'!I1991="","",'Ordenes_Odoo'!I1991)</f>
        <v/>
      </c>
      <c r="J1991" s="79">
        <f>IF('Ordenes_Odoo'!J1991="","",'Ordenes_Odoo'!J1991)</f>
        <v/>
      </c>
      <c r="K1991" s="81">
        <f>IF('Ordenes_Odoo'!K1991="","",'Ordenes_Odoo'!K1991)</f>
        <v/>
      </c>
      <c r="L1991" s="81">
        <f>IF('Ordenes_Odoo'!L1991="","",'Ordenes_Odoo'!L1991)</f>
        <v/>
      </c>
      <c r="M1991" s="79">
        <f>IF('Ordenes_Odoo'!M1991="","",'Ordenes_Odoo'!M1991)</f>
        <v/>
      </c>
      <c r="N1991" s="79">
        <f>IF('Ordenes_Odoo'!N1991="","",'Ordenes_Odoo'!N1991)</f>
        <v/>
      </c>
      <c r="O1991" s="81">
        <f>IF('Ordenes_Odoo'!O1991="","",'Ordenes_Odoo'!O1991)</f>
        <v/>
      </c>
      <c r="P1991" s="81">
        <f>IF('Ordenes_Odoo'!P1991="","",'Ordenes_Odoo'!P1991)</f>
        <v/>
      </c>
      <c r="Q1991" s="79">
        <f>IF(A1991="","",IFERROR(INDEX(Facturas_Odoo!$B:$B, MATCH(A1991, Facturas_Odoo!$D:$D, 0)), "Sin Factura"))</f>
        <v/>
      </c>
      <c r="R1991" s="80">
        <f>IF(Q1991="Sin Factura","",IFERROR(INDEX(Facturas_Odoo!$A:$A, MATCH(Q1991, Facturas_Odoo!$B:$B, 0)), ""))</f>
        <v/>
      </c>
      <c r="S1991" s="79">
        <f>IF(Q1991="Sin Factura","",IFERROR(_xlfn.XLOOKUP(1, (Facturas_Odoo!$D:$D=A1991) * (Facturas_Odoo!$K:$K=I1991), Facturas_Odoo!$L:$L, ""), ""))</f>
        <v/>
      </c>
      <c r="T1991" s="81">
        <f>IF(Q1991="Sin Factura",0,IFERROR(_xlfn.XLOOKUP(1, (Facturas_Odoo!$D:$D=A1991) * (Facturas_Odoo!$K:$K=I1991), Facturas_Odoo!$M:$M, 0), 0))</f>
        <v/>
      </c>
      <c r="U1991" s="79">
        <f>IF(Q1991="Sin Factura",0,IFERROR(_xlfn.XLOOKUP(1, (Facturas_Odoo!$D:$D=A1991) * (Facturas_Odoo!$K:$K=I1991), Facturas_Odoo!$N:$N, 0), 0))</f>
        <v/>
      </c>
      <c r="V1991" s="79">
        <f>IF(Q1991="Sin Factura",0,IFERROR(_xlfn.XLOOKUP(1, (Facturas_Odoo!$D:$D=A1991) * (Facturas_Odoo!$K:$K=I1991), Facturas_Odoo!$O:$O, 0), 0))</f>
        <v/>
      </c>
      <c r="W1991" s="81">
        <f>IF(Q1991="Sin Factura",0,IFERROR(_xlfn.XLOOKUP(1, (Facturas_Odoo!$D:$D=A1991) * (Facturas_Odoo!$K:$K=I1991), Facturas_Odoo!$Q:$Q, 0), 0))</f>
        <v/>
      </c>
      <c r="X1991" s="79">
        <f>IF(OR(Q1991="Sin Factura",Q1991=""),"",IFERROR(INDEX(Pagos_Odoo!$B:$B, MATCH(Q1991, Pagos_Odoo!$I:$I, 0)), "Sin Pago"))</f>
        <v/>
      </c>
      <c r="Y1991" s="79">
        <f>IF(X1991="Sin Pago","",IFERROR(INDEX(Pagos_Odoo!$C:$C, MATCH(X1991, Pagos_Odoo!$B:$B, 0)), ""))</f>
        <v/>
      </c>
      <c r="Z1991" s="80">
        <f>IF(X1991="Sin Pago","",IFERROR(INDEX(Pagos_Odoo!$A:$A, MATCH(X1991, Pagos_Odoo!$B:$B, 0)), ""))</f>
        <v/>
      </c>
      <c r="AA1991" s="79">
        <f>IF(X1991="Sin Pago","",IFERROR(INDEX(Pagos_Odoo!$F:$F, MATCH(X1991, Pagos_Odoo!$B:$B, 0)), ""))</f>
        <v/>
      </c>
      <c r="AB1991" s="81">
        <f>IF(X1991="Sin Pago",0,IFERROR(INDEX(Pagos_Odoo!$E:$E, MATCH(X1991, Pagos_Odoo!$B:$B, 0)), 0))</f>
        <v/>
      </c>
      <c r="AC1991" s="79">
        <f>IF(X1991="Sin Pago","",IFERROR(INDEX(Pagos_Odoo!$G:$G, MATCH(X1991, Pagos_Odoo!$B:$B, 0)), ""))</f>
        <v/>
      </c>
      <c r="AD1991" s="82" t="n">
        <v>0</v>
      </c>
      <c r="AE1991" s="82" t="n"/>
      <c r="AF1991" s="82" t="n"/>
      <c r="AG1991" s="82">
        <f>IF(AN1991="","",AD1991+AE1991+AF1991)</f>
        <v/>
      </c>
      <c r="AH1991" s="81">
        <f>IF(AN1991="","",P1991*(1-AG1991))</f>
        <v/>
      </c>
      <c r="AI1991" s="81">
        <f>IF(AN1991="","",IF(Q1991="Sin Factura",0,IFERROR(INDEX(Facturas_Odoo!$H:$H, MATCH(Q1991, Facturas_Odoo!$B:$B, 0)), 0)*(1-AG1991)))</f>
        <v/>
      </c>
      <c r="AJ1991" s="81">
        <f>IF(AN1991="","",_xlfn.LET(idVenta, AN1991&amp;"",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91" s="81">
        <f>IF(AN1991="","",AH1991-AJ1991)</f>
        <v/>
      </c>
      <c r="AL1991" s="81">
        <f>IF(AN1991="","",IF(Q1991="Sin Factura","",AI1991-AJ1991))</f>
        <v/>
      </c>
      <c r="AM1991" s="81">
        <f>IF(AN1991="","",IF(Q1991="Sin Factura",0,P1991-IFERROR(INDEX(Facturas_Odoo!$H:$H, MATCH(Q1991, Facturas_Odoo!$B:$B, 0)), 0)))</f>
        <v/>
      </c>
      <c r="AN1991" s="79">
        <f>IF(AND(A1991="", J1991=""), "", IF(A1991&lt;&gt;"", VALUE(MID(A1991,2,LEN(A1991))), AN1990))</f>
        <v/>
      </c>
      <c r="AO1991" s="79">
        <f>IF(AN1991="","",IF(AD1991=0,"OK",_xlfn.LET(monedaPago, IF(AA1991="","USD",AA1991), limitePermitido, IFERROR(VLOOKUP(monedaPago, Configuración!$A$2:$B$3, 2, FALSE), 0.15), IF(AD1991&gt;limitePermitido, "ALERTA: EXCESO (" &amp; TEXT(limitePermitido, "0%") &amp; " máx)", "OK"))))</f>
        <v/>
      </c>
      <c r="AP1991" s="79">
        <f>IF(AN1991="","",IF(AE1991=0,"OK",_xlfn.LET(fechaPago, Z1991, fechaFactura, R1991, diasCredito, IF(E1991="Pago inmediato", 0, IFERROR(VALUE(MID(E1991, 1, SEARCH(" ", E1991)-1)),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91" s="79">
        <f>IF(AN1991="","",IF(AND(N1991&gt;0, AG1991&gt;0), IF(Configuración!$K$2="NO", "ALERTA: DESCUENTO DOBLE NO PERMITIDO", "OK"), "OK"))</f>
        <v/>
      </c>
      <c r="AR1991" s="79">
        <f>IF(AN1991="","",IF(OR(AO1991&lt;&gt;"OK", AP1991&lt;&gt;"OK", AQ1991&lt;&gt;"OK"), "⚠️ REVISAR", "OK"))</f>
        <v/>
      </c>
    </row>
    <row r="1992">
      <c r="A1992" s="79">
        <f>IF('Ordenes_Odoo'!A1992="","",'Ordenes_Odoo'!A1992)</f>
        <v/>
      </c>
      <c r="B1992" s="80">
        <f>IF('Ordenes_Odoo'!B1992="","",'Ordenes_Odoo'!B1992)</f>
        <v/>
      </c>
      <c r="C1992" s="79">
        <f>IF('Ordenes_Odoo'!C1992="","",'Ordenes_Odoo'!C1992)</f>
        <v/>
      </c>
      <c r="D1992" s="79">
        <f>IF('Ordenes_Odoo'!D1992="","",'Ordenes_Odoo'!D1992)</f>
        <v/>
      </c>
      <c r="E1992" s="79">
        <f>IF('Ordenes_Odoo'!E1992="","",'Ordenes_Odoo'!E1992)</f>
        <v/>
      </c>
      <c r="F1992" s="79">
        <f>IF('Ordenes_Odoo'!F1992="","",'Ordenes_Odoo'!F1992)</f>
        <v/>
      </c>
      <c r="G1992" s="79">
        <f>IF('Ordenes_Odoo'!G1992="","",'Ordenes_Odoo'!G1992)</f>
        <v/>
      </c>
      <c r="H1992" s="79">
        <f>IF('Ordenes_Odoo'!H1992="","",'Ordenes_Odoo'!H1992)</f>
        <v/>
      </c>
      <c r="I1992" s="79">
        <f>IF('Ordenes_Odoo'!I1992="","",'Ordenes_Odoo'!I1992)</f>
        <v/>
      </c>
      <c r="J1992" s="79">
        <f>IF('Ordenes_Odoo'!J1992="","",'Ordenes_Odoo'!J1992)</f>
        <v/>
      </c>
      <c r="K1992" s="81">
        <f>IF('Ordenes_Odoo'!K1992="","",'Ordenes_Odoo'!K1992)</f>
        <v/>
      </c>
      <c r="L1992" s="81">
        <f>IF('Ordenes_Odoo'!L1992="","",'Ordenes_Odoo'!L1992)</f>
        <v/>
      </c>
      <c r="M1992" s="79">
        <f>IF('Ordenes_Odoo'!M1992="","",'Ordenes_Odoo'!M1992)</f>
        <v/>
      </c>
      <c r="N1992" s="79">
        <f>IF('Ordenes_Odoo'!N1992="","",'Ordenes_Odoo'!N1992)</f>
        <v/>
      </c>
      <c r="O1992" s="81">
        <f>IF('Ordenes_Odoo'!O1992="","",'Ordenes_Odoo'!O1992)</f>
        <v/>
      </c>
      <c r="P1992" s="81">
        <f>IF('Ordenes_Odoo'!P1992="","",'Ordenes_Odoo'!P1992)</f>
        <v/>
      </c>
      <c r="Q1992" s="79">
        <f>IF(A1992="","",IFERROR(INDEX(Facturas_Odoo!$B:$B, MATCH(A1992, Facturas_Odoo!$D:$D, 0)), "Sin Factura"))</f>
        <v/>
      </c>
      <c r="R1992" s="80">
        <f>IF(Q1992="Sin Factura","",IFERROR(INDEX(Facturas_Odoo!$A:$A, MATCH(Q1992, Facturas_Odoo!$B:$B, 0)), ""))</f>
        <v/>
      </c>
      <c r="S1992" s="79">
        <f>IF(Q1992="Sin Factura","",IFERROR(_xlfn.XLOOKUP(1, (Facturas_Odoo!$D:$D=A1992) * (Facturas_Odoo!$K:$K=I1992), Facturas_Odoo!$L:$L, ""), ""))</f>
        <v/>
      </c>
      <c r="T1992" s="81">
        <f>IF(Q1992="Sin Factura",0,IFERROR(_xlfn.XLOOKUP(1, (Facturas_Odoo!$D:$D=A1992) * (Facturas_Odoo!$K:$K=I1992), Facturas_Odoo!$M:$M, 0), 0))</f>
        <v/>
      </c>
      <c r="U1992" s="79">
        <f>IF(Q1992="Sin Factura",0,IFERROR(_xlfn.XLOOKUP(1, (Facturas_Odoo!$D:$D=A1992) * (Facturas_Odoo!$K:$K=I1992), Facturas_Odoo!$N:$N, 0), 0))</f>
        <v/>
      </c>
      <c r="V1992" s="79">
        <f>IF(Q1992="Sin Factura",0,IFERROR(_xlfn.XLOOKUP(1, (Facturas_Odoo!$D:$D=A1992) * (Facturas_Odoo!$K:$K=I1992), Facturas_Odoo!$O:$O, 0), 0))</f>
        <v/>
      </c>
      <c r="W1992" s="81">
        <f>IF(Q1992="Sin Factura",0,IFERROR(_xlfn.XLOOKUP(1, (Facturas_Odoo!$D:$D=A1992) * (Facturas_Odoo!$K:$K=I1992), Facturas_Odoo!$Q:$Q, 0), 0))</f>
        <v/>
      </c>
      <c r="X1992" s="79">
        <f>IF(OR(Q1992="Sin Factura",Q1992=""),"",IFERROR(INDEX(Pagos_Odoo!$B:$B, MATCH(Q1992, Pagos_Odoo!$I:$I, 0)), "Sin Pago"))</f>
        <v/>
      </c>
      <c r="Y1992" s="79">
        <f>IF(X1992="Sin Pago","",IFERROR(INDEX(Pagos_Odoo!$C:$C, MATCH(X1992, Pagos_Odoo!$B:$B, 0)), ""))</f>
        <v/>
      </c>
      <c r="Z1992" s="80">
        <f>IF(X1992="Sin Pago","",IFERROR(INDEX(Pagos_Odoo!$A:$A, MATCH(X1992, Pagos_Odoo!$B:$B, 0)), ""))</f>
        <v/>
      </c>
      <c r="AA1992" s="79">
        <f>IF(X1992="Sin Pago","",IFERROR(INDEX(Pagos_Odoo!$F:$F, MATCH(X1992, Pagos_Odoo!$B:$B, 0)), ""))</f>
        <v/>
      </c>
      <c r="AB1992" s="81">
        <f>IF(X1992="Sin Pago",0,IFERROR(INDEX(Pagos_Odoo!$E:$E, MATCH(X1992, Pagos_Odoo!$B:$B, 0)), 0))</f>
        <v/>
      </c>
      <c r="AC1992" s="79">
        <f>IF(X1992="Sin Pago","",IFERROR(INDEX(Pagos_Odoo!$G:$G, MATCH(X1992, Pagos_Odoo!$B:$B, 0)), ""))</f>
        <v/>
      </c>
      <c r="AD1992" s="82" t="n">
        <v>0</v>
      </c>
      <c r="AE1992" s="82" t="n"/>
      <c r="AF1992" s="82" t="n"/>
      <c r="AG1992" s="82">
        <f>IF(AN1992="","",AD1992+AE1992+AF1992)</f>
        <v/>
      </c>
      <c r="AH1992" s="81">
        <f>IF(AN1992="","",P1992*(1-AG1992))</f>
        <v/>
      </c>
      <c r="AI1992" s="81">
        <f>IF(AN1992="","",IF(Q1992="Sin Factura",0,IFERROR(INDEX(Facturas_Odoo!$H:$H, MATCH(Q1992, Facturas_Odoo!$B:$B, 0)), 0)*(1-AG1992)))</f>
        <v/>
      </c>
      <c r="AJ1992" s="81">
        <f>IF(AN1992="","",_xlfn.LET(idVenta, AN1992&amp;"",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92" s="81">
        <f>IF(AN1992="","",AH1992-AJ1992)</f>
        <v/>
      </c>
      <c r="AL1992" s="81">
        <f>IF(AN1992="","",IF(Q1992="Sin Factura","",AI1992-AJ1992))</f>
        <v/>
      </c>
      <c r="AM1992" s="81">
        <f>IF(AN1992="","",IF(Q1992="Sin Factura",0,P1992-IFERROR(INDEX(Facturas_Odoo!$H:$H, MATCH(Q1992, Facturas_Odoo!$B:$B, 0)), 0)))</f>
        <v/>
      </c>
      <c r="AN1992" s="79">
        <f>IF(AND(A1992="", J1992=""), "", IF(A1992&lt;&gt;"", VALUE(MID(A1992,2,LEN(A1992))), AN1991))</f>
        <v/>
      </c>
      <c r="AO1992" s="79">
        <f>IF(AN1992="","",IF(AD1992=0,"OK",_xlfn.LET(monedaPago, IF(AA1992="","USD",AA1992), limitePermitido, IFERROR(VLOOKUP(monedaPago, Configuración!$A$2:$B$3, 2, FALSE), 0.15), IF(AD1992&gt;limitePermitido, "ALERTA: EXCESO (" &amp; TEXT(limitePermitido, "0%") &amp; " máx)", "OK"))))</f>
        <v/>
      </c>
      <c r="AP1992" s="79">
        <f>IF(AN1992="","",IF(AE1992=0,"OK",_xlfn.LET(fechaPago, Z1992, fechaFactura, R1992, diasCredito, IF(E1992="Pago inmediato", 0, IFERROR(VALUE(MID(E1992, 1, SEARCH(" ", E1992)-1)),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92" s="79">
        <f>IF(AN1992="","",IF(AND(N1992&gt;0, AG1992&gt;0), IF(Configuración!$K$2="NO", "ALERTA: DESCUENTO DOBLE NO PERMITIDO", "OK"), "OK"))</f>
        <v/>
      </c>
      <c r="AR1992" s="79">
        <f>IF(AN1992="","",IF(OR(AO1992&lt;&gt;"OK", AP1992&lt;&gt;"OK", AQ1992&lt;&gt;"OK"), "⚠️ REVISAR", "OK"))</f>
        <v/>
      </c>
    </row>
    <row r="1993">
      <c r="A1993" s="79">
        <f>IF('Ordenes_Odoo'!A1993="","",'Ordenes_Odoo'!A1993)</f>
        <v/>
      </c>
      <c r="B1993" s="80">
        <f>IF('Ordenes_Odoo'!B1993="","",'Ordenes_Odoo'!B1993)</f>
        <v/>
      </c>
      <c r="C1993" s="79">
        <f>IF('Ordenes_Odoo'!C1993="","",'Ordenes_Odoo'!C1993)</f>
        <v/>
      </c>
      <c r="D1993" s="79">
        <f>IF('Ordenes_Odoo'!D1993="","",'Ordenes_Odoo'!D1993)</f>
        <v/>
      </c>
      <c r="E1993" s="79">
        <f>IF('Ordenes_Odoo'!E1993="","",'Ordenes_Odoo'!E1993)</f>
        <v/>
      </c>
      <c r="F1993" s="79">
        <f>IF('Ordenes_Odoo'!F1993="","",'Ordenes_Odoo'!F1993)</f>
        <v/>
      </c>
      <c r="G1993" s="79">
        <f>IF('Ordenes_Odoo'!G1993="","",'Ordenes_Odoo'!G1993)</f>
        <v/>
      </c>
      <c r="H1993" s="79">
        <f>IF('Ordenes_Odoo'!H1993="","",'Ordenes_Odoo'!H1993)</f>
        <v/>
      </c>
      <c r="I1993" s="79">
        <f>IF('Ordenes_Odoo'!I1993="","",'Ordenes_Odoo'!I1993)</f>
        <v/>
      </c>
      <c r="J1993" s="79">
        <f>IF('Ordenes_Odoo'!J1993="","",'Ordenes_Odoo'!J1993)</f>
        <v/>
      </c>
      <c r="K1993" s="81">
        <f>IF('Ordenes_Odoo'!K1993="","",'Ordenes_Odoo'!K1993)</f>
        <v/>
      </c>
      <c r="L1993" s="81">
        <f>IF('Ordenes_Odoo'!L1993="","",'Ordenes_Odoo'!L1993)</f>
        <v/>
      </c>
      <c r="M1993" s="79">
        <f>IF('Ordenes_Odoo'!M1993="","",'Ordenes_Odoo'!M1993)</f>
        <v/>
      </c>
      <c r="N1993" s="79">
        <f>IF('Ordenes_Odoo'!N1993="","",'Ordenes_Odoo'!N1993)</f>
        <v/>
      </c>
      <c r="O1993" s="81">
        <f>IF('Ordenes_Odoo'!O1993="","",'Ordenes_Odoo'!O1993)</f>
        <v/>
      </c>
      <c r="P1993" s="81">
        <f>IF('Ordenes_Odoo'!P1993="","",'Ordenes_Odoo'!P1993)</f>
        <v/>
      </c>
      <c r="Q1993" s="79">
        <f>IF(A1993="","",IFERROR(INDEX(Facturas_Odoo!$B:$B, MATCH(A1993, Facturas_Odoo!$D:$D, 0)), "Sin Factura"))</f>
        <v/>
      </c>
      <c r="R1993" s="80">
        <f>IF(Q1993="Sin Factura","",IFERROR(INDEX(Facturas_Odoo!$A:$A, MATCH(Q1993, Facturas_Odoo!$B:$B, 0)), ""))</f>
        <v/>
      </c>
      <c r="S1993" s="79">
        <f>IF(Q1993="Sin Factura","",IFERROR(_xlfn.XLOOKUP(1, (Facturas_Odoo!$D:$D=A1993) * (Facturas_Odoo!$K:$K=I1993), Facturas_Odoo!$L:$L, ""), ""))</f>
        <v/>
      </c>
      <c r="T1993" s="81">
        <f>IF(Q1993="Sin Factura",0,IFERROR(_xlfn.XLOOKUP(1, (Facturas_Odoo!$D:$D=A1993) * (Facturas_Odoo!$K:$K=I1993), Facturas_Odoo!$M:$M, 0), 0))</f>
        <v/>
      </c>
      <c r="U1993" s="79">
        <f>IF(Q1993="Sin Factura",0,IFERROR(_xlfn.XLOOKUP(1, (Facturas_Odoo!$D:$D=A1993) * (Facturas_Odoo!$K:$K=I1993), Facturas_Odoo!$N:$N, 0), 0))</f>
        <v/>
      </c>
      <c r="V1993" s="79">
        <f>IF(Q1993="Sin Factura",0,IFERROR(_xlfn.XLOOKUP(1, (Facturas_Odoo!$D:$D=A1993) * (Facturas_Odoo!$K:$K=I1993), Facturas_Odoo!$O:$O, 0), 0))</f>
        <v/>
      </c>
      <c r="W1993" s="81">
        <f>IF(Q1993="Sin Factura",0,IFERROR(_xlfn.XLOOKUP(1, (Facturas_Odoo!$D:$D=A1993) * (Facturas_Odoo!$K:$K=I1993), Facturas_Odoo!$Q:$Q, 0), 0))</f>
        <v/>
      </c>
      <c r="X1993" s="79">
        <f>IF(OR(Q1993="Sin Factura",Q1993=""),"",IFERROR(INDEX(Pagos_Odoo!$B:$B, MATCH(Q1993, Pagos_Odoo!$I:$I, 0)), "Sin Pago"))</f>
        <v/>
      </c>
      <c r="Y1993" s="79">
        <f>IF(X1993="Sin Pago","",IFERROR(INDEX(Pagos_Odoo!$C:$C, MATCH(X1993, Pagos_Odoo!$B:$B, 0)), ""))</f>
        <v/>
      </c>
      <c r="Z1993" s="80">
        <f>IF(X1993="Sin Pago","",IFERROR(INDEX(Pagos_Odoo!$A:$A, MATCH(X1993, Pagos_Odoo!$B:$B, 0)), ""))</f>
        <v/>
      </c>
      <c r="AA1993" s="79">
        <f>IF(X1993="Sin Pago","",IFERROR(INDEX(Pagos_Odoo!$F:$F, MATCH(X1993, Pagos_Odoo!$B:$B, 0)), ""))</f>
        <v/>
      </c>
      <c r="AB1993" s="81">
        <f>IF(X1993="Sin Pago",0,IFERROR(INDEX(Pagos_Odoo!$E:$E, MATCH(X1993, Pagos_Odoo!$B:$B, 0)), 0))</f>
        <v/>
      </c>
      <c r="AC1993" s="79">
        <f>IF(X1993="Sin Pago","",IFERROR(INDEX(Pagos_Odoo!$G:$G, MATCH(X1993, Pagos_Odoo!$B:$B, 0)), ""))</f>
        <v/>
      </c>
      <c r="AD1993" s="82" t="n">
        <v>0</v>
      </c>
      <c r="AE1993" s="82" t="n"/>
      <c r="AF1993" s="82" t="n"/>
      <c r="AG1993" s="82">
        <f>IF(AN1993="","",AD1993+AE1993+AF1993)</f>
        <v/>
      </c>
      <c r="AH1993" s="81">
        <f>IF(AN1993="","",P1993*(1-AG1993))</f>
        <v/>
      </c>
      <c r="AI1993" s="81">
        <f>IF(AN1993="","",IF(Q1993="Sin Factura",0,IFERROR(INDEX(Facturas_Odoo!$H:$H, MATCH(Q1993, Facturas_Odoo!$B:$B, 0)), 0)*(1-AG1993)))</f>
        <v/>
      </c>
      <c r="AJ1993" s="81">
        <f>IF(AN1993="","",_xlfn.LET(idVenta, AN1993&amp;"",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93" s="81">
        <f>IF(AN1993="","",AH1993-AJ1993)</f>
        <v/>
      </c>
      <c r="AL1993" s="81">
        <f>IF(AN1993="","",IF(Q1993="Sin Factura","",AI1993-AJ1993))</f>
        <v/>
      </c>
      <c r="AM1993" s="81">
        <f>IF(AN1993="","",IF(Q1993="Sin Factura",0,P1993-IFERROR(INDEX(Facturas_Odoo!$H:$H, MATCH(Q1993, Facturas_Odoo!$B:$B, 0)), 0)))</f>
        <v/>
      </c>
      <c r="AN1993" s="79">
        <f>IF(AND(A1993="", J1993=""), "", IF(A1993&lt;&gt;"", VALUE(MID(A1993,2,LEN(A1993))), AN1992))</f>
        <v/>
      </c>
      <c r="AO1993" s="79">
        <f>IF(AN1993="","",IF(AD1993=0,"OK",_xlfn.LET(monedaPago, IF(AA1993="","USD",AA1993), limitePermitido, IFERROR(VLOOKUP(monedaPago, Configuración!$A$2:$B$3, 2, FALSE), 0.15), IF(AD1993&gt;limitePermitido, "ALERTA: EXCESO (" &amp; TEXT(limitePermitido, "0%") &amp; " máx)", "OK"))))</f>
        <v/>
      </c>
      <c r="AP1993" s="79">
        <f>IF(AN1993="","",IF(AE1993=0,"OK",_xlfn.LET(fechaPago, Z1993, fechaFactura, R1993, diasCredito, IF(E1993="Pago inmediato", 0, IFERROR(VALUE(MID(E1993, 1, SEARCH(" ", E1993)-1)),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93" s="79">
        <f>IF(AN1993="","",IF(AND(N1993&gt;0, AG1993&gt;0), IF(Configuración!$K$2="NO", "ALERTA: DESCUENTO DOBLE NO PERMITIDO", "OK"), "OK"))</f>
        <v/>
      </c>
      <c r="AR1993" s="79">
        <f>IF(AN1993="","",IF(OR(AO1993&lt;&gt;"OK", AP1993&lt;&gt;"OK", AQ1993&lt;&gt;"OK"), "⚠️ REVISAR", "OK"))</f>
        <v/>
      </c>
    </row>
    <row r="1994">
      <c r="A1994" s="79">
        <f>IF('Ordenes_Odoo'!A1994="","",'Ordenes_Odoo'!A1994)</f>
        <v/>
      </c>
      <c r="B1994" s="80">
        <f>IF('Ordenes_Odoo'!B1994="","",'Ordenes_Odoo'!B1994)</f>
        <v/>
      </c>
      <c r="C1994" s="79">
        <f>IF('Ordenes_Odoo'!C1994="","",'Ordenes_Odoo'!C1994)</f>
        <v/>
      </c>
      <c r="D1994" s="79">
        <f>IF('Ordenes_Odoo'!D1994="","",'Ordenes_Odoo'!D1994)</f>
        <v/>
      </c>
      <c r="E1994" s="79">
        <f>IF('Ordenes_Odoo'!E1994="","",'Ordenes_Odoo'!E1994)</f>
        <v/>
      </c>
      <c r="F1994" s="79">
        <f>IF('Ordenes_Odoo'!F1994="","",'Ordenes_Odoo'!F1994)</f>
        <v/>
      </c>
      <c r="G1994" s="79">
        <f>IF('Ordenes_Odoo'!G1994="","",'Ordenes_Odoo'!G1994)</f>
        <v/>
      </c>
      <c r="H1994" s="79">
        <f>IF('Ordenes_Odoo'!H1994="","",'Ordenes_Odoo'!H1994)</f>
        <v/>
      </c>
      <c r="I1994" s="79">
        <f>IF('Ordenes_Odoo'!I1994="","",'Ordenes_Odoo'!I1994)</f>
        <v/>
      </c>
      <c r="J1994" s="79">
        <f>IF('Ordenes_Odoo'!J1994="","",'Ordenes_Odoo'!J1994)</f>
        <v/>
      </c>
      <c r="K1994" s="81">
        <f>IF('Ordenes_Odoo'!K1994="","",'Ordenes_Odoo'!K1994)</f>
        <v/>
      </c>
      <c r="L1994" s="81">
        <f>IF('Ordenes_Odoo'!L1994="","",'Ordenes_Odoo'!L1994)</f>
        <v/>
      </c>
      <c r="M1994" s="79">
        <f>IF('Ordenes_Odoo'!M1994="","",'Ordenes_Odoo'!M1994)</f>
        <v/>
      </c>
      <c r="N1994" s="79">
        <f>IF('Ordenes_Odoo'!N1994="","",'Ordenes_Odoo'!N1994)</f>
        <v/>
      </c>
      <c r="O1994" s="81">
        <f>IF('Ordenes_Odoo'!O1994="","",'Ordenes_Odoo'!O1994)</f>
        <v/>
      </c>
      <c r="P1994" s="81">
        <f>IF('Ordenes_Odoo'!P1994="","",'Ordenes_Odoo'!P1994)</f>
        <v/>
      </c>
      <c r="Q1994" s="79">
        <f>IF(A1994="","",IFERROR(INDEX(Facturas_Odoo!$B:$B, MATCH(A1994, Facturas_Odoo!$D:$D, 0)), "Sin Factura"))</f>
        <v/>
      </c>
      <c r="R1994" s="80">
        <f>IF(Q1994="Sin Factura","",IFERROR(INDEX(Facturas_Odoo!$A:$A, MATCH(Q1994, Facturas_Odoo!$B:$B, 0)), ""))</f>
        <v/>
      </c>
      <c r="S1994" s="79">
        <f>IF(Q1994="Sin Factura","",IFERROR(_xlfn.XLOOKUP(1, (Facturas_Odoo!$D:$D=A1994) * (Facturas_Odoo!$K:$K=I1994), Facturas_Odoo!$L:$L, ""), ""))</f>
        <v/>
      </c>
      <c r="T1994" s="81">
        <f>IF(Q1994="Sin Factura",0,IFERROR(_xlfn.XLOOKUP(1, (Facturas_Odoo!$D:$D=A1994) * (Facturas_Odoo!$K:$K=I1994), Facturas_Odoo!$M:$M, 0), 0))</f>
        <v/>
      </c>
      <c r="U1994" s="79">
        <f>IF(Q1994="Sin Factura",0,IFERROR(_xlfn.XLOOKUP(1, (Facturas_Odoo!$D:$D=A1994) * (Facturas_Odoo!$K:$K=I1994), Facturas_Odoo!$N:$N, 0), 0))</f>
        <v/>
      </c>
      <c r="V1994" s="79">
        <f>IF(Q1994="Sin Factura",0,IFERROR(_xlfn.XLOOKUP(1, (Facturas_Odoo!$D:$D=A1994) * (Facturas_Odoo!$K:$K=I1994), Facturas_Odoo!$O:$O, 0), 0))</f>
        <v/>
      </c>
      <c r="W1994" s="81">
        <f>IF(Q1994="Sin Factura",0,IFERROR(_xlfn.XLOOKUP(1, (Facturas_Odoo!$D:$D=A1994) * (Facturas_Odoo!$K:$K=I1994), Facturas_Odoo!$Q:$Q, 0), 0))</f>
        <v/>
      </c>
      <c r="X1994" s="79">
        <f>IF(OR(Q1994="Sin Factura",Q1994=""),"",IFERROR(INDEX(Pagos_Odoo!$B:$B, MATCH(Q1994, Pagos_Odoo!$I:$I, 0)), "Sin Pago"))</f>
        <v/>
      </c>
      <c r="Y1994" s="79">
        <f>IF(X1994="Sin Pago","",IFERROR(INDEX(Pagos_Odoo!$C:$C, MATCH(X1994, Pagos_Odoo!$B:$B, 0)), ""))</f>
        <v/>
      </c>
      <c r="Z1994" s="80">
        <f>IF(X1994="Sin Pago","",IFERROR(INDEX(Pagos_Odoo!$A:$A, MATCH(X1994, Pagos_Odoo!$B:$B, 0)), ""))</f>
        <v/>
      </c>
      <c r="AA1994" s="79">
        <f>IF(X1994="Sin Pago","",IFERROR(INDEX(Pagos_Odoo!$F:$F, MATCH(X1994, Pagos_Odoo!$B:$B, 0)), ""))</f>
        <v/>
      </c>
      <c r="AB1994" s="81">
        <f>IF(X1994="Sin Pago",0,IFERROR(INDEX(Pagos_Odoo!$E:$E, MATCH(X1994, Pagos_Odoo!$B:$B, 0)), 0))</f>
        <v/>
      </c>
      <c r="AC1994" s="79">
        <f>IF(X1994="Sin Pago","",IFERROR(INDEX(Pagos_Odoo!$G:$G, MATCH(X1994, Pagos_Odoo!$B:$B, 0)), ""))</f>
        <v/>
      </c>
      <c r="AD1994" s="82" t="n">
        <v>0</v>
      </c>
      <c r="AE1994" s="82" t="n"/>
      <c r="AF1994" s="82" t="n"/>
      <c r="AG1994" s="82">
        <f>IF(AN1994="","",AD1994+AE1994+AF1994)</f>
        <v/>
      </c>
      <c r="AH1994" s="81">
        <f>IF(AN1994="","",P1994*(1-AG1994))</f>
        <v/>
      </c>
      <c r="AI1994" s="81">
        <f>IF(AN1994="","",IF(Q1994="Sin Factura",0,IFERROR(INDEX(Facturas_Odoo!$H:$H, MATCH(Q1994, Facturas_Odoo!$B:$B, 0)), 0)*(1-AG1994)))</f>
        <v/>
      </c>
      <c r="AJ1994" s="81">
        <f>IF(AN1994="","",_xlfn.LET(idVenta, AN1994&amp;"",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94" s="81">
        <f>IF(AN1994="","",AH1994-AJ1994)</f>
        <v/>
      </c>
      <c r="AL1994" s="81">
        <f>IF(AN1994="","",IF(Q1994="Sin Factura","",AI1994-AJ1994))</f>
        <v/>
      </c>
      <c r="AM1994" s="81">
        <f>IF(AN1994="","",IF(Q1994="Sin Factura",0,P1994-IFERROR(INDEX(Facturas_Odoo!$H:$H, MATCH(Q1994, Facturas_Odoo!$B:$B, 0)), 0)))</f>
        <v/>
      </c>
      <c r="AN1994" s="79">
        <f>IF(AND(A1994="", J1994=""), "", IF(A1994&lt;&gt;"", VALUE(MID(A1994,2,LEN(A1994))), AN1993))</f>
        <v/>
      </c>
      <c r="AO1994" s="79">
        <f>IF(AN1994="","",IF(AD1994=0,"OK",_xlfn.LET(monedaPago, IF(AA1994="","USD",AA1994), limitePermitido, IFERROR(VLOOKUP(monedaPago, Configuración!$A$2:$B$3, 2, FALSE), 0.15), IF(AD1994&gt;limitePermitido, "ALERTA: EXCESO (" &amp; TEXT(limitePermitido, "0%") &amp; " máx)", "OK"))))</f>
        <v/>
      </c>
      <c r="AP1994" s="79">
        <f>IF(AN1994="","",IF(AE1994=0,"OK",_xlfn.LET(fechaPago, Z1994, fechaFactura, R1994, diasCredito, IF(E1994="Pago inmediato", 0, IFERROR(VALUE(MID(E1994, 1, SEARCH(" ", E1994)-1)),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94" s="79">
        <f>IF(AN1994="","",IF(AND(N1994&gt;0, AG1994&gt;0), IF(Configuración!$K$2="NO", "ALERTA: DESCUENTO DOBLE NO PERMITIDO", "OK"), "OK"))</f>
        <v/>
      </c>
      <c r="AR1994" s="79">
        <f>IF(AN1994="","",IF(OR(AO1994&lt;&gt;"OK", AP1994&lt;&gt;"OK", AQ1994&lt;&gt;"OK"), "⚠️ REVISAR", "OK"))</f>
        <v/>
      </c>
    </row>
    <row r="1995">
      <c r="A1995" s="79">
        <f>IF('Ordenes_Odoo'!A1995="","",'Ordenes_Odoo'!A1995)</f>
        <v/>
      </c>
      <c r="B1995" s="80">
        <f>IF('Ordenes_Odoo'!B1995="","",'Ordenes_Odoo'!B1995)</f>
        <v/>
      </c>
      <c r="C1995" s="79">
        <f>IF('Ordenes_Odoo'!C1995="","",'Ordenes_Odoo'!C1995)</f>
        <v/>
      </c>
      <c r="D1995" s="79">
        <f>IF('Ordenes_Odoo'!D1995="","",'Ordenes_Odoo'!D1995)</f>
        <v/>
      </c>
      <c r="E1995" s="79">
        <f>IF('Ordenes_Odoo'!E1995="","",'Ordenes_Odoo'!E1995)</f>
        <v/>
      </c>
      <c r="F1995" s="79">
        <f>IF('Ordenes_Odoo'!F1995="","",'Ordenes_Odoo'!F1995)</f>
        <v/>
      </c>
      <c r="G1995" s="79">
        <f>IF('Ordenes_Odoo'!G1995="","",'Ordenes_Odoo'!G1995)</f>
        <v/>
      </c>
      <c r="H1995" s="79">
        <f>IF('Ordenes_Odoo'!H1995="","",'Ordenes_Odoo'!H1995)</f>
        <v/>
      </c>
      <c r="I1995" s="79">
        <f>IF('Ordenes_Odoo'!I1995="","",'Ordenes_Odoo'!I1995)</f>
        <v/>
      </c>
      <c r="J1995" s="79">
        <f>IF('Ordenes_Odoo'!J1995="","",'Ordenes_Odoo'!J1995)</f>
        <v/>
      </c>
      <c r="K1995" s="81">
        <f>IF('Ordenes_Odoo'!K1995="","",'Ordenes_Odoo'!K1995)</f>
        <v/>
      </c>
      <c r="L1995" s="81">
        <f>IF('Ordenes_Odoo'!L1995="","",'Ordenes_Odoo'!L1995)</f>
        <v/>
      </c>
      <c r="M1995" s="79">
        <f>IF('Ordenes_Odoo'!M1995="","",'Ordenes_Odoo'!M1995)</f>
        <v/>
      </c>
      <c r="N1995" s="79">
        <f>IF('Ordenes_Odoo'!N1995="","",'Ordenes_Odoo'!N1995)</f>
        <v/>
      </c>
      <c r="O1995" s="81">
        <f>IF('Ordenes_Odoo'!O1995="","",'Ordenes_Odoo'!O1995)</f>
        <v/>
      </c>
      <c r="P1995" s="81">
        <f>IF('Ordenes_Odoo'!P1995="","",'Ordenes_Odoo'!P1995)</f>
        <v/>
      </c>
      <c r="Q1995" s="79">
        <f>IF(A1995="","",IFERROR(INDEX(Facturas_Odoo!$B:$B, MATCH(A1995, Facturas_Odoo!$D:$D, 0)), "Sin Factura"))</f>
        <v/>
      </c>
      <c r="R1995" s="80">
        <f>IF(Q1995="Sin Factura","",IFERROR(INDEX(Facturas_Odoo!$A:$A, MATCH(Q1995, Facturas_Odoo!$B:$B, 0)), ""))</f>
        <v/>
      </c>
      <c r="S1995" s="79">
        <f>IF(Q1995="Sin Factura","",IFERROR(_xlfn.XLOOKUP(1, (Facturas_Odoo!$D:$D=A1995) * (Facturas_Odoo!$K:$K=I1995), Facturas_Odoo!$L:$L, ""), ""))</f>
        <v/>
      </c>
      <c r="T1995" s="81">
        <f>IF(Q1995="Sin Factura",0,IFERROR(_xlfn.XLOOKUP(1, (Facturas_Odoo!$D:$D=A1995) * (Facturas_Odoo!$K:$K=I1995), Facturas_Odoo!$M:$M, 0), 0))</f>
        <v/>
      </c>
      <c r="U1995" s="79">
        <f>IF(Q1995="Sin Factura",0,IFERROR(_xlfn.XLOOKUP(1, (Facturas_Odoo!$D:$D=A1995) * (Facturas_Odoo!$K:$K=I1995), Facturas_Odoo!$N:$N, 0), 0))</f>
        <v/>
      </c>
      <c r="V1995" s="79">
        <f>IF(Q1995="Sin Factura",0,IFERROR(_xlfn.XLOOKUP(1, (Facturas_Odoo!$D:$D=A1995) * (Facturas_Odoo!$K:$K=I1995), Facturas_Odoo!$O:$O, 0), 0))</f>
        <v/>
      </c>
      <c r="W1995" s="81">
        <f>IF(Q1995="Sin Factura",0,IFERROR(_xlfn.XLOOKUP(1, (Facturas_Odoo!$D:$D=A1995) * (Facturas_Odoo!$K:$K=I1995), Facturas_Odoo!$Q:$Q, 0), 0))</f>
        <v/>
      </c>
      <c r="X1995" s="79">
        <f>IF(OR(Q1995="Sin Factura",Q1995=""),"",IFERROR(INDEX(Pagos_Odoo!$B:$B, MATCH(Q1995, Pagos_Odoo!$I:$I, 0)), "Sin Pago"))</f>
        <v/>
      </c>
      <c r="Y1995" s="79">
        <f>IF(X1995="Sin Pago","",IFERROR(INDEX(Pagos_Odoo!$C:$C, MATCH(X1995, Pagos_Odoo!$B:$B, 0)), ""))</f>
        <v/>
      </c>
      <c r="Z1995" s="80">
        <f>IF(X1995="Sin Pago","",IFERROR(INDEX(Pagos_Odoo!$A:$A, MATCH(X1995, Pagos_Odoo!$B:$B, 0)), ""))</f>
        <v/>
      </c>
      <c r="AA1995" s="79">
        <f>IF(X1995="Sin Pago","",IFERROR(INDEX(Pagos_Odoo!$F:$F, MATCH(X1995, Pagos_Odoo!$B:$B, 0)), ""))</f>
        <v/>
      </c>
      <c r="AB1995" s="81">
        <f>IF(X1995="Sin Pago",0,IFERROR(INDEX(Pagos_Odoo!$E:$E, MATCH(X1995, Pagos_Odoo!$B:$B, 0)), 0))</f>
        <v/>
      </c>
      <c r="AC1995" s="79">
        <f>IF(X1995="Sin Pago","",IFERROR(INDEX(Pagos_Odoo!$G:$G, MATCH(X1995, Pagos_Odoo!$B:$B, 0)), ""))</f>
        <v/>
      </c>
      <c r="AD1995" s="82" t="n">
        <v>0</v>
      </c>
      <c r="AE1995" s="82" t="n"/>
      <c r="AF1995" s="82" t="n"/>
      <c r="AG1995" s="82">
        <f>IF(AN1995="","",AD1995+AE1995+AF1995)</f>
        <v/>
      </c>
      <c r="AH1995" s="81">
        <f>IF(AN1995="","",P1995*(1-AG1995))</f>
        <v/>
      </c>
      <c r="AI1995" s="81">
        <f>IF(AN1995="","",IF(Q1995="Sin Factura",0,IFERROR(INDEX(Facturas_Odoo!$H:$H, MATCH(Q1995, Facturas_Odoo!$B:$B, 0)), 0)*(1-AG1995)))</f>
        <v/>
      </c>
      <c r="AJ1995" s="81">
        <f>IF(AN1995="","",_xlfn.LET(idVenta, AN1995&amp;"",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95" s="81">
        <f>IF(AN1995="","",AH1995-AJ1995)</f>
        <v/>
      </c>
      <c r="AL1995" s="81">
        <f>IF(AN1995="","",IF(Q1995="Sin Factura","",AI1995-AJ1995))</f>
        <v/>
      </c>
      <c r="AM1995" s="81">
        <f>IF(AN1995="","",IF(Q1995="Sin Factura",0,P1995-IFERROR(INDEX(Facturas_Odoo!$H:$H, MATCH(Q1995, Facturas_Odoo!$B:$B, 0)), 0)))</f>
        <v/>
      </c>
      <c r="AN1995" s="79">
        <f>IF(AND(A1995="", J1995=""), "", IF(A1995&lt;&gt;"", VALUE(MID(A1995,2,LEN(A1995))), AN1994))</f>
        <v/>
      </c>
      <c r="AO1995" s="79">
        <f>IF(AN1995="","",IF(AD1995=0,"OK",_xlfn.LET(monedaPago, IF(AA1995="","USD",AA1995), limitePermitido, IFERROR(VLOOKUP(monedaPago, Configuración!$A$2:$B$3, 2, FALSE), 0.15), IF(AD1995&gt;limitePermitido, "ALERTA: EXCESO (" &amp; TEXT(limitePermitido, "0%") &amp; " máx)", "OK"))))</f>
        <v/>
      </c>
      <c r="AP1995" s="79">
        <f>IF(AN1995="","",IF(AE1995=0,"OK",_xlfn.LET(fechaPago, Z1995, fechaFactura, R1995, diasCredito, IF(E1995="Pago inmediato", 0, IFERROR(VALUE(MID(E1995, 1, SEARCH(" ", E1995)-1)),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95" s="79">
        <f>IF(AN1995="","",IF(AND(N1995&gt;0, AG1995&gt;0), IF(Configuración!$K$2="NO", "ALERTA: DESCUENTO DOBLE NO PERMITIDO", "OK"), "OK"))</f>
        <v/>
      </c>
      <c r="AR1995" s="79">
        <f>IF(AN1995="","",IF(OR(AO1995&lt;&gt;"OK", AP1995&lt;&gt;"OK", AQ1995&lt;&gt;"OK"), "⚠️ REVISAR", "OK"))</f>
        <v/>
      </c>
    </row>
    <row r="1996">
      <c r="A1996" s="79">
        <f>IF('Ordenes_Odoo'!A1996="","",'Ordenes_Odoo'!A1996)</f>
        <v/>
      </c>
      <c r="B1996" s="80">
        <f>IF('Ordenes_Odoo'!B1996="","",'Ordenes_Odoo'!B1996)</f>
        <v/>
      </c>
      <c r="C1996" s="79">
        <f>IF('Ordenes_Odoo'!C1996="","",'Ordenes_Odoo'!C1996)</f>
        <v/>
      </c>
      <c r="D1996" s="79">
        <f>IF('Ordenes_Odoo'!D1996="","",'Ordenes_Odoo'!D1996)</f>
        <v/>
      </c>
      <c r="E1996" s="79">
        <f>IF('Ordenes_Odoo'!E1996="","",'Ordenes_Odoo'!E1996)</f>
        <v/>
      </c>
      <c r="F1996" s="79">
        <f>IF('Ordenes_Odoo'!F1996="","",'Ordenes_Odoo'!F1996)</f>
        <v/>
      </c>
      <c r="G1996" s="79">
        <f>IF('Ordenes_Odoo'!G1996="","",'Ordenes_Odoo'!G1996)</f>
        <v/>
      </c>
      <c r="H1996" s="79">
        <f>IF('Ordenes_Odoo'!H1996="","",'Ordenes_Odoo'!H1996)</f>
        <v/>
      </c>
      <c r="I1996" s="79">
        <f>IF('Ordenes_Odoo'!I1996="","",'Ordenes_Odoo'!I1996)</f>
        <v/>
      </c>
      <c r="J1996" s="79">
        <f>IF('Ordenes_Odoo'!J1996="","",'Ordenes_Odoo'!J1996)</f>
        <v/>
      </c>
      <c r="K1996" s="81">
        <f>IF('Ordenes_Odoo'!K1996="","",'Ordenes_Odoo'!K1996)</f>
        <v/>
      </c>
      <c r="L1996" s="81">
        <f>IF('Ordenes_Odoo'!L1996="","",'Ordenes_Odoo'!L1996)</f>
        <v/>
      </c>
      <c r="M1996" s="79">
        <f>IF('Ordenes_Odoo'!M1996="","",'Ordenes_Odoo'!M1996)</f>
        <v/>
      </c>
      <c r="N1996" s="79">
        <f>IF('Ordenes_Odoo'!N1996="","",'Ordenes_Odoo'!N1996)</f>
        <v/>
      </c>
      <c r="O1996" s="81">
        <f>IF('Ordenes_Odoo'!O1996="","",'Ordenes_Odoo'!O1996)</f>
        <v/>
      </c>
      <c r="P1996" s="81">
        <f>IF('Ordenes_Odoo'!P1996="","",'Ordenes_Odoo'!P1996)</f>
        <v/>
      </c>
      <c r="Q1996" s="79">
        <f>IF(A1996="","",IFERROR(INDEX(Facturas_Odoo!$B:$B, MATCH(A1996, Facturas_Odoo!$D:$D, 0)), "Sin Factura"))</f>
        <v/>
      </c>
      <c r="R1996" s="80">
        <f>IF(Q1996="Sin Factura","",IFERROR(INDEX(Facturas_Odoo!$A:$A, MATCH(Q1996, Facturas_Odoo!$B:$B, 0)), ""))</f>
        <v/>
      </c>
      <c r="S1996" s="79">
        <f>IF(Q1996="Sin Factura","",IFERROR(_xlfn.XLOOKUP(1, (Facturas_Odoo!$D:$D=A1996) * (Facturas_Odoo!$K:$K=I1996), Facturas_Odoo!$L:$L, ""), ""))</f>
        <v/>
      </c>
      <c r="T1996" s="81">
        <f>IF(Q1996="Sin Factura",0,IFERROR(_xlfn.XLOOKUP(1, (Facturas_Odoo!$D:$D=A1996) * (Facturas_Odoo!$K:$K=I1996), Facturas_Odoo!$M:$M, 0), 0))</f>
        <v/>
      </c>
      <c r="U1996" s="79">
        <f>IF(Q1996="Sin Factura",0,IFERROR(_xlfn.XLOOKUP(1, (Facturas_Odoo!$D:$D=A1996) * (Facturas_Odoo!$K:$K=I1996), Facturas_Odoo!$N:$N, 0), 0))</f>
        <v/>
      </c>
      <c r="V1996" s="79">
        <f>IF(Q1996="Sin Factura",0,IFERROR(_xlfn.XLOOKUP(1, (Facturas_Odoo!$D:$D=A1996) * (Facturas_Odoo!$K:$K=I1996), Facturas_Odoo!$O:$O, 0), 0))</f>
        <v/>
      </c>
      <c r="W1996" s="81">
        <f>IF(Q1996="Sin Factura",0,IFERROR(_xlfn.XLOOKUP(1, (Facturas_Odoo!$D:$D=A1996) * (Facturas_Odoo!$K:$K=I1996), Facturas_Odoo!$Q:$Q, 0), 0))</f>
        <v/>
      </c>
      <c r="X1996" s="79">
        <f>IF(OR(Q1996="Sin Factura",Q1996=""),"",IFERROR(INDEX(Pagos_Odoo!$B:$B, MATCH(Q1996, Pagos_Odoo!$I:$I, 0)), "Sin Pago"))</f>
        <v/>
      </c>
      <c r="Y1996" s="79">
        <f>IF(X1996="Sin Pago","",IFERROR(INDEX(Pagos_Odoo!$C:$C, MATCH(X1996, Pagos_Odoo!$B:$B, 0)), ""))</f>
        <v/>
      </c>
      <c r="Z1996" s="80">
        <f>IF(X1996="Sin Pago","",IFERROR(INDEX(Pagos_Odoo!$A:$A, MATCH(X1996, Pagos_Odoo!$B:$B, 0)), ""))</f>
        <v/>
      </c>
      <c r="AA1996" s="79">
        <f>IF(X1996="Sin Pago","",IFERROR(INDEX(Pagos_Odoo!$F:$F, MATCH(X1996, Pagos_Odoo!$B:$B, 0)), ""))</f>
        <v/>
      </c>
      <c r="AB1996" s="81">
        <f>IF(X1996="Sin Pago",0,IFERROR(INDEX(Pagos_Odoo!$E:$E, MATCH(X1996, Pagos_Odoo!$B:$B, 0)), 0))</f>
        <v/>
      </c>
      <c r="AC1996" s="79">
        <f>IF(X1996="Sin Pago","",IFERROR(INDEX(Pagos_Odoo!$G:$G, MATCH(X1996, Pagos_Odoo!$B:$B, 0)), ""))</f>
        <v/>
      </c>
      <c r="AD1996" s="82" t="n">
        <v>0</v>
      </c>
      <c r="AE1996" s="82" t="n"/>
      <c r="AF1996" s="82" t="n"/>
      <c r="AG1996" s="82">
        <f>IF(AN1996="","",AD1996+AE1996+AF1996)</f>
        <v/>
      </c>
      <c r="AH1996" s="81">
        <f>IF(AN1996="","",P1996*(1-AG1996))</f>
        <v/>
      </c>
      <c r="AI1996" s="81">
        <f>IF(AN1996="","",IF(Q1996="Sin Factura",0,IFERROR(INDEX(Facturas_Odoo!$H:$H, MATCH(Q1996, Facturas_Odoo!$B:$B, 0)), 0)*(1-AG1996)))</f>
        <v/>
      </c>
      <c r="AJ1996" s="81">
        <f>IF(AN1996="","",_xlfn.LET(idVenta, AN1996&amp;"",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96" s="81">
        <f>IF(AN1996="","",AH1996-AJ1996)</f>
        <v/>
      </c>
      <c r="AL1996" s="81">
        <f>IF(AN1996="","",IF(Q1996="Sin Factura","",AI1996-AJ1996))</f>
        <v/>
      </c>
      <c r="AM1996" s="81">
        <f>IF(AN1996="","",IF(Q1996="Sin Factura",0,P1996-IFERROR(INDEX(Facturas_Odoo!$H:$H, MATCH(Q1996, Facturas_Odoo!$B:$B, 0)), 0)))</f>
        <v/>
      </c>
      <c r="AN1996" s="79">
        <f>IF(AND(A1996="", J1996=""), "", IF(A1996&lt;&gt;"", VALUE(MID(A1996,2,LEN(A1996))), AN1995))</f>
        <v/>
      </c>
      <c r="AO1996" s="79">
        <f>IF(AN1996="","",IF(AD1996=0,"OK",_xlfn.LET(monedaPago, IF(AA1996="","USD",AA1996), limitePermitido, IFERROR(VLOOKUP(monedaPago, Configuración!$A$2:$B$3, 2, FALSE), 0.15), IF(AD1996&gt;limitePermitido, "ALERTA: EXCESO (" &amp; TEXT(limitePermitido, "0%") &amp; " máx)", "OK"))))</f>
        <v/>
      </c>
      <c r="AP1996" s="79">
        <f>IF(AN1996="","",IF(AE1996=0,"OK",_xlfn.LET(fechaPago, Z1996, fechaFactura, R1996, diasCredito, IF(E1996="Pago inmediato", 0, IFERROR(VALUE(MID(E1996, 1, SEARCH(" ", E1996)-1)),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96" s="79">
        <f>IF(AN1996="","",IF(AND(N1996&gt;0, AG1996&gt;0), IF(Configuración!$K$2="NO", "ALERTA: DESCUENTO DOBLE NO PERMITIDO", "OK"), "OK"))</f>
        <v/>
      </c>
      <c r="AR1996" s="79">
        <f>IF(AN1996="","",IF(OR(AO1996&lt;&gt;"OK", AP1996&lt;&gt;"OK", AQ1996&lt;&gt;"OK"), "⚠️ REVISAR", "OK"))</f>
        <v/>
      </c>
    </row>
    <row r="1997">
      <c r="A1997" s="79">
        <f>IF('Ordenes_Odoo'!A1997="","",'Ordenes_Odoo'!A1997)</f>
        <v/>
      </c>
      <c r="B1997" s="80">
        <f>IF('Ordenes_Odoo'!B1997="","",'Ordenes_Odoo'!B1997)</f>
        <v/>
      </c>
      <c r="C1997" s="79">
        <f>IF('Ordenes_Odoo'!C1997="","",'Ordenes_Odoo'!C1997)</f>
        <v/>
      </c>
      <c r="D1997" s="79">
        <f>IF('Ordenes_Odoo'!D1997="","",'Ordenes_Odoo'!D1997)</f>
        <v/>
      </c>
      <c r="E1997" s="79">
        <f>IF('Ordenes_Odoo'!E1997="","",'Ordenes_Odoo'!E1997)</f>
        <v/>
      </c>
      <c r="F1997" s="79">
        <f>IF('Ordenes_Odoo'!F1997="","",'Ordenes_Odoo'!F1997)</f>
        <v/>
      </c>
      <c r="G1997" s="79">
        <f>IF('Ordenes_Odoo'!G1997="","",'Ordenes_Odoo'!G1997)</f>
        <v/>
      </c>
      <c r="H1997" s="79">
        <f>IF('Ordenes_Odoo'!H1997="","",'Ordenes_Odoo'!H1997)</f>
        <v/>
      </c>
      <c r="I1997" s="79">
        <f>IF('Ordenes_Odoo'!I1997="","",'Ordenes_Odoo'!I1997)</f>
        <v/>
      </c>
      <c r="J1997" s="79">
        <f>IF('Ordenes_Odoo'!J1997="","",'Ordenes_Odoo'!J1997)</f>
        <v/>
      </c>
      <c r="K1997" s="81">
        <f>IF('Ordenes_Odoo'!K1997="","",'Ordenes_Odoo'!K1997)</f>
        <v/>
      </c>
      <c r="L1997" s="81">
        <f>IF('Ordenes_Odoo'!L1997="","",'Ordenes_Odoo'!L1997)</f>
        <v/>
      </c>
      <c r="M1997" s="79">
        <f>IF('Ordenes_Odoo'!M1997="","",'Ordenes_Odoo'!M1997)</f>
        <v/>
      </c>
      <c r="N1997" s="79">
        <f>IF('Ordenes_Odoo'!N1997="","",'Ordenes_Odoo'!N1997)</f>
        <v/>
      </c>
      <c r="O1997" s="81">
        <f>IF('Ordenes_Odoo'!O1997="","",'Ordenes_Odoo'!O1997)</f>
        <v/>
      </c>
      <c r="P1997" s="81">
        <f>IF('Ordenes_Odoo'!P1997="","",'Ordenes_Odoo'!P1997)</f>
        <v/>
      </c>
      <c r="Q1997" s="79">
        <f>IF(A1997="","",IFERROR(INDEX(Facturas_Odoo!$B:$B, MATCH(A1997, Facturas_Odoo!$D:$D, 0)), "Sin Factura"))</f>
        <v/>
      </c>
      <c r="R1997" s="80">
        <f>IF(Q1997="Sin Factura","",IFERROR(INDEX(Facturas_Odoo!$A:$A, MATCH(Q1997, Facturas_Odoo!$B:$B, 0)), ""))</f>
        <v/>
      </c>
      <c r="S1997" s="79">
        <f>IF(Q1997="Sin Factura","",IFERROR(_xlfn.XLOOKUP(1, (Facturas_Odoo!$D:$D=A1997) * (Facturas_Odoo!$K:$K=I1997), Facturas_Odoo!$L:$L, ""), ""))</f>
        <v/>
      </c>
      <c r="T1997" s="81">
        <f>IF(Q1997="Sin Factura",0,IFERROR(_xlfn.XLOOKUP(1, (Facturas_Odoo!$D:$D=A1997) * (Facturas_Odoo!$K:$K=I1997), Facturas_Odoo!$M:$M, 0), 0))</f>
        <v/>
      </c>
      <c r="U1997" s="79">
        <f>IF(Q1997="Sin Factura",0,IFERROR(_xlfn.XLOOKUP(1, (Facturas_Odoo!$D:$D=A1997) * (Facturas_Odoo!$K:$K=I1997), Facturas_Odoo!$N:$N, 0), 0))</f>
        <v/>
      </c>
      <c r="V1997" s="79">
        <f>IF(Q1997="Sin Factura",0,IFERROR(_xlfn.XLOOKUP(1, (Facturas_Odoo!$D:$D=A1997) * (Facturas_Odoo!$K:$K=I1997), Facturas_Odoo!$O:$O, 0), 0))</f>
        <v/>
      </c>
      <c r="W1997" s="81">
        <f>IF(Q1997="Sin Factura",0,IFERROR(_xlfn.XLOOKUP(1, (Facturas_Odoo!$D:$D=A1997) * (Facturas_Odoo!$K:$K=I1997), Facturas_Odoo!$Q:$Q, 0), 0))</f>
        <v/>
      </c>
      <c r="X1997" s="79">
        <f>IF(OR(Q1997="Sin Factura",Q1997=""),"",IFERROR(INDEX(Pagos_Odoo!$B:$B, MATCH(Q1997, Pagos_Odoo!$I:$I, 0)), "Sin Pago"))</f>
        <v/>
      </c>
      <c r="Y1997" s="79">
        <f>IF(X1997="Sin Pago","",IFERROR(INDEX(Pagos_Odoo!$C:$C, MATCH(X1997, Pagos_Odoo!$B:$B, 0)), ""))</f>
        <v/>
      </c>
      <c r="Z1997" s="80">
        <f>IF(X1997="Sin Pago","",IFERROR(INDEX(Pagos_Odoo!$A:$A, MATCH(X1997, Pagos_Odoo!$B:$B, 0)), ""))</f>
        <v/>
      </c>
      <c r="AA1997" s="79">
        <f>IF(X1997="Sin Pago","",IFERROR(INDEX(Pagos_Odoo!$F:$F, MATCH(X1997, Pagos_Odoo!$B:$B, 0)), ""))</f>
        <v/>
      </c>
      <c r="AB1997" s="81">
        <f>IF(X1997="Sin Pago",0,IFERROR(INDEX(Pagos_Odoo!$E:$E, MATCH(X1997, Pagos_Odoo!$B:$B, 0)), 0))</f>
        <v/>
      </c>
      <c r="AC1997" s="79">
        <f>IF(X1997="Sin Pago","",IFERROR(INDEX(Pagos_Odoo!$G:$G, MATCH(X1997, Pagos_Odoo!$B:$B, 0)), ""))</f>
        <v/>
      </c>
      <c r="AD1997" s="82" t="n">
        <v>0</v>
      </c>
      <c r="AE1997" s="82" t="n"/>
      <c r="AF1997" s="82" t="n"/>
      <c r="AG1997" s="82">
        <f>IF(AN1997="","",AD1997+AE1997+AF1997)</f>
        <v/>
      </c>
      <c r="AH1997" s="81">
        <f>IF(AN1997="","",P1997*(1-AG1997))</f>
        <v/>
      </c>
      <c r="AI1997" s="81">
        <f>IF(AN1997="","",IF(Q1997="Sin Factura",0,IFERROR(INDEX(Facturas_Odoo!$H:$H, MATCH(Q1997, Facturas_Odoo!$B:$B, 0)), 0)*(1-AG1997)))</f>
        <v/>
      </c>
      <c r="AJ1997" s="81">
        <f>IF(AN1997="","",_xlfn.LET(idVenta, AN1997&amp;"",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97" s="81">
        <f>IF(AN1997="","",AH1997-AJ1997)</f>
        <v/>
      </c>
      <c r="AL1997" s="81">
        <f>IF(AN1997="","",IF(Q1997="Sin Factura","",AI1997-AJ1997))</f>
        <v/>
      </c>
      <c r="AM1997" s="81">
        <f>IF(AN1997="","",IF(Q1997="Sin Factura",0,P1997-IFERROR(INDEX(Facturas_Odoo!$H:$H, MATCH(Q1997, Facturas_Odoo!$B:$B, 0)), 0)))</f>
        <v/>
      </c>
      <c r="AN1997" s="79">
        <f>IF(AND(A1997="", J1997=""), "", IF(A1997&lt;&gt;"", VALUE(MID(A1997,2,LEN(A1997))), AN1996))</f>
        <v/>
      </c>
      <c r="AO1997" s="79">
        <f>IF(AN1997="","",IF(AD1997=0,"OK",_xlfn.LET(monedaPago, IF(AA1997="","USD",AA1997), limitePermitido, IFERROR(VLOOKUP(monedaPago, Configuración!$A$2:$B$3, 2, FALSE), 0.15), IF(AD1997&gt;limitePermitido, "ALERTA: EXCESO (" &amp; TEXT(limitePermitido, "0%") &amp; " máx)", "OK"))))</f>
        <v/>
      </c>
      <c r="AP1997" s="79">
        <f>IF(AN1997="","",IF(AE1997=0,"OK",_xlfn.LET(fechaPago, Z1997, fechaFactura, R1997, diasCredito, IF(E1997="Pago inmediato", 0, IFERROR(VALUE(MID(E1997, 1, SEARCH(" ", E1997)-1)),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97" s="79">
        <f>IF(AN1997="","",IF(AND(N1997&gt;0, AG1997&gt;0), IF(Configuración!$K$2="NO", "ALERTA: DESCUENTO DOBLE NO PERMITIDO", "OK"), "OK"))</f>
        <v/>
      </c>
      <c r="AR1997" s="79">
        <f>IF(AN1997="","",IF(OR(AO1997&lt;&gt;"OK", AP1997&lt;&gt;"OK", AQ1997&lt;&gt;"OK"), "⚠️ REVISAR", "OK"))</f>
        <v/>
      </c>
    </row>
    <row r="1998">
      <c r="A1998" s="79">
        <f>IF('Ordenes_Odoo'!A1998="","",'Ordenes_Odoo'!A1998)</f>
        <v/>
      </c>
      <c r="B1998" s="80">
        <f>IF('Ordenes_Odoo'!B1998="","",'Ordenes_Odoo'!B1998)</f>
        <v/>
      </c>
      <c r="C1998" s="79">
        <f>IF('Ordenes_Odoo'!C1998="","",'Ordenes_Odoo'!C1998)</f>
        <v/>
      </c>
      <c r="D1998" s="79">
        <f>IF('Ordenes_Odoo'!D1998="","",'Ordenes_Odoo'!D1998)</f>
        <v/>
      </c>
      <c r="E1998" s="79">
        <f>IF('Ordenes_Odoo'!E1998="","",'Ordenes_Odoo'!E1998)</f>
        <v/>
      </c>
      <c r="F1998" s="79">
        <f>IF('Ordenes_Odoo'!F1998="","",'Ordenes_Odoo'!F1998)</f>
        <v/>
      </c>
      <c r="G1998" s="79">
        <f>IF('Ordenes_Odoo'!G1998="","",'Ordenes_Odoo'!G1998)</f>
        <v/>
      </c>
      <c r="H1998" s="79">
        <f>IF('Ordenes_Odoo'!H1998="","",'Ordenes_Odoo'!H1998)</f>
        <v/>
      </c>
      <c r="I1998" s="79">
        <f>IF('Ordenes_Odoo'!I1998="","",'Ordenes_Odoo'!I1998)</f>
        <v/>
      </c>
      <c r="J1998" s="79">
        <f>IF('Ordenes_Odoo'!J1998="","",'Ordenes_Odoo'!J1998)</f>
        <v/>
      </c>
      <c r="K1998" s="81">
        <f>IF('Ordenes_Odoo'!K1998="","",'Ordenes_Odoo'!K1998)</f>
        <v/>
      </c>
      <c r="L1998" s="81">
        <f>IF('Ordenes_Odoo'!L1998="","",'Ordenes_Odoo'!L1998)</f>
        <v/>
      </c>
      <c r="M1998" s="79">
        <f>IF('Ordenes_Odoo'!M1998="","",'Ordenes_Odoo'!M1998)</f>
        <v/>
      </c>
      <c r="N1998" s="79">
        <f>IF('Ordenes_Odoo'!N1998="","",'Ordenes_Odoo'!N1998)</f>
        <v/>
      </c>
      <c r="O1998" s="81">
        <f>IF('Ordenes_Odoo'!O1998="","",'Ordenes_Odoo'!O1998)</f>
        <v/>
      </c>
      <c r="P1998" s="81">
        <f>IF('Ordenes_Odoo'!P1998="","",'Ordenes_Odoo'!P1998)</f>
        <v/>
      </c>
      <c r="Q1998" s="79">
        <f>IF(A1998="","",IFERROR(INDEX(Facturas_Odoo!$B:$B, MATCH(A1998, Facturas_Odoo!$D:$D, 0)), "Sin Factura"))</f>
        <v/>
      </c>
      <c r="R1998" s="80">
        <f>IF(Q1998="Sin Factura","",IFERROR(INDEX(Facturas_Odoo!$A:$A, MATCH(Q1998, Facturas_Odoo!$B:$B, 0)), ""))</f>
        <v/>
      </c>
      <c r="S1998" s="79">
        <f>IF(Q1998="Sin Factura","",IFERROR(_xlfn.XLOOKUP(1, (Facturas_Odoo!$D:$D=A1998) * (Facturas_Odoo!$K:$K=I1998), Facturas_Odoo!$L:$L, ""), ""))</f>
        <v/>
      </c>
      <c r="T1998" s="81">
        <f>IF(Q1998="Sin Factura",0,IFERROR(_xlfn.XLOOKUP(1, (Facturas_Odoo!$D:$D=A1998) * (Facturas_Odoo!$K:$K=I1998), Facturas_Odoo!$M:$M, 0), 0))</f>
        <v/>
      </c>
      <c r="U1998" s="79">
        <f>IF(Q1998="Sin Factura",0,IFERROR(_xlfn.XLOOKUP(1, (Facturas_Odoo!$D:$D=A1998) * (Facturas_Odoo!$K:$K=I1998), Facturas_Odoo!$N:$N, 0), 0))</f>
        <v/>
      </c>
      <c r="V1998" s="79">
        <f>IF(Q1998="Sin Factura",0,IFERROR(_xlfn.XLOOKUP(1, (Facturas_Odoo!$D:$D=A1998) * (Facturas_Odoo!$K:$K=I1998), Facturas_Odoo!$O:$O, 0), 0))</f>
        <v/>
      </c>
      <c r="W1998" s="81">
        <f>IF(Q1998="Sin Factura",0,IFERROR(_xlfn.XLOOKUP(1, (Facturas_Odoo!$D:$D=A1998) * (Facturas_Odoo!$K:$K=I1998), Facturas_Odoo!$Q:$Q, 0), 0))</f>
        <v/>
      </c>
      <c r="X1998" s="79">
        <f>IF(OR(Q1998="Sin Factura",Q1998=""),"",IFERROR(INDEX(Pagos_Odoo!$B:$B, MATCH(Q1998, Pagos_Odoo!$I:$I, 0)), "Sin Pago"))</f>
        <v/>
      </c>
      <c r="Y1998" s="79">
        <f>IF(X1998="Sin Pago","",IFERROR(INDEX(Pagos_Odoo!$C:$C, MATCH(X1998, Pagos_Odoo!$B:$B, 0)), ""))</f>
        <v/>
      </c>
      <c r="Z1998" s="80">
        <f>IF(X1998="Sin Pago","",IFERROR(INDEX(Pagos_Odoo!$A:$A, MATCH(X1998, Pagos_Odoo!$B:$B, 0)), ""))</f>
        <v/>
      </c>
      <c r="AA1998" s="79">
        <f>IF(X1998="Sin Pago","",IFERROR(INDEX(Pagos_Odoo!$F:$F, MATCH(X1998, Pagos_Odoo!$B:$B, 0)), ""))</f>
        <v/>
      </c>
      <c r="AB1998" s="81">
        <f>IF(X1998="Sin Pago",0,IFERROR(INDEX(Pagos_Odoo!$E:$E, MATCH(X1998, Pagos_Odoo!$B:$B, 0)), 0))</f>
        <v/>
      </c>
      <c r="AC1998" s="79">
        <f>IF(X1998="Sin Pago","",IFERROR(INDEX(Pagos_Odoo!$G:$G, MATCH(X1998, Pagos_Odoo!$B:$B, 0)), ""))</f>
        <v/>
      </c>
      <c r="AD1998" s="82" t="n">
        <v>0</v>
      </c>
      <c r="AE1998" s="82" t="n"/>
      <c r="AF1998" s="82" t="n"/>
      <c r="AG1998" s="82">
        <f>IF(AN1998="","",AD1998+AE1998+AF1998)</f>
        <v/>
      </c>
      <c r="AH1998" s="81">
        <f>IF(AN1998="","",P1998*(1-AG1998))</f>
        <v/>
      </c>
      <c r="AI1998" s="81">
        <f>IF(AN1998="","",IF(Q1998="Sin Factura",0,IFERROR(INDEX(Facturas_Odoo!$H:$H, MATCH(Q1998, Facturas_Odoo!$B:$B, 0)), 0)*(1-AG1998)))</f>
        <v/>
      </c>
      <c r="AJ1998" s="81">
        <f>IF(AN1998="","",_xlfn.LET(idVenta, AN1998&amp;"",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98" s="81">
        <f>IF(AN1998="","",AH1998-AJ1998)</f>
        <v/>
      </c>
      <c r="AL1998" s="81">
        <f>IF(AN1998="","",IF(Q1998="Sin Factura","",AI1998-AJ1998))</f>
        <v/>
      </c>
      <c r="AM1998" s="81">
        <f>IF(AN1998="","",IF(Q1998="Sin Factura",0,P1998-IFERROR(INDEX(Facturas_Odoo!$H:$H, MATCH(Q1998, Facturas_Odoo!$B:$B, 0)), 0)))</f>
        <v/>
      </c>
      <c r="AN1998" s="79">
        <f>IF(AND(A1998="", J1998=""), "", IF(A1998&lt;&gt;"", VALUE(MID(A1998,2,LEN(A1998))), AN1997))</f>
        <v/>
      </c>
      <c r="AO1998" s="79">
        <f>IF(AN1998="","",IF(AD1998=0,"OK",_xlfn.LET(monedaPago, IF(AA1998="","USD",AA1998), limitePermitido, IFERROR(VLOOKUP(monedaPago, Configuración!$A$2:$B$3, 2, FALSE), 0.15), IF(AD1998&gt;limitePermitido, "ALERTA: EXCESO (" &amp; TEXT(limitePermitido, "0%") &amp; " máx)", "OK"))))</f>
        <v/>
      </c>
      <c r="AP1998" s="79">
        <f>IF(AN1998="","",IF(AE1998=0,"OK",_xlfn.LET(fechaPago, Z1998, fechaFactura, R1998, diasCredito, IF(E1998="Pago inmediato", 0, IFERROR(VALUE(MID(E1998, 1, SEARCH(" ", E1998)-1)),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98" s="79">
        <f>IF(AN1998="","",IF(AND(N1998&gt;0, AG1998&gt;0), IF(Configuración!$K$2="NO", "ALERTA: DESCUENTO DOBLE NO PERMITIDO", "OK"), "OK"))</f>
        <v/>
      </c>
      <c r="AR1998" s="79">
        <f>IF(AN1998="","",IF(OR(AO1998&lt;&gt;"OK", AP1998&lt;&gt;"OK", AQ1998&lt;&gt;"OK"), "⚠️ REVISAR", "OK"))</f>
        <v/>
      </c>
    </row>
    <row r="1999">
      <c r="A1999" s="79">
        <f>IF('Ordenes_Odoo'!A1999="","",'Ordenes_Odoo'!A1999)</f>
        <v/>
      </c>
      <c r="B1999" s="80">
        <f>IF('Ordenes_Odoo'!B1999="","",'Ordenes_Odoo'!B1999)</f>
        <v/>
      </c>
      <c r="C1999" s="79">
        <f>IF('Ordenes_Odoo'!C1999="","",'Ordenes_Odoo'!C1999)</f>
        <v/>
      </c>
      <c r="D1999" s="79">
        <f>IF('Ordenes_Odoo'!D1999="","",'Ordenes_Odoo'!D1999)</f>
        <v/>
      </c>
      <c r="E1999" s="79">
        <f>IF('Ordenes_Odoo'!E1999="","",'Ordenes_Odoo'!E1999)</f>
        <v/>
      </c>
      <c r="F1999" s="79">
        <f>IF('Ordenes_Odoo'!F1999="","",'Ordenes_Odoo'!F1999)</f>
        <v/>
      </c>
      <c r="G1999" s="79">
        <f>IF('Ordenes_Odoo'!G1999="","",'Ordenes_Odoo'!G1999)</f>
        <v/>
      </c>
      <c r="H1999" s="79">
        <f>IF('Ordenes_Odoo'!H1999="","",'Ordenes_Odoo'!H1999)</f>
        <v/>
      </c>
      <c r="I1999" s="79">
        <f>IF('Ordenes_Odoo'!I1999="","",'Ordenes_Odoo'!I1999)</f>
        <v/>
      </c>
      <c r="J1999" s="79">
        <f>IF('Ordenes_Odoo'!J1999="","",'Ordenes_Odoo'!J1999)</f>
        <v/>
      </c>
      <c r="K1999" s="81">
        <f>IF('Ordenes_Odoo'!K1999="","",'Ordenes_Odoo'!K1999)</f>
        <v/>
      </c>
      <c r="L1999" s="81">
        <f>IF('Ordenes_Odoo'!L1999="","",'Ordenes_Odoo'!L1999)</f>
        <v/>
      </c>
      <c r="M1999" s="79">
        <f>IF('Ordenes_Odoo'!M1999="","",'Ordenes_Odoo'!M1999)</f>
        <v/>
      </c>
      <c r="N1999" s="79">
        <f>IF('Ordenes_Odoo'!N1999="","",'Ordenes_Odoo'!N1999)</f>
        <v/>
      </c>
      <c r="O1999" s="81">
        <f>IF('Ordenes_Odoo'!O1999="","",'Ordenes_Odoo'!O1999)</f>
        <v/>
      </c>
      <c r="P1999" s="81">
        <f>IF('Ordenes_Odoo'!P1999="","",'Ordenes_Odoo'!P1999)</f>
        <v/>
      </c>
      <c r="Q1999" s="79">
        <f>IF(A1999="","",IFERROR(INDEX(Facturas_Odoo!$B:$B, MATCH(A1999, Facturas_Odoo!$D:$D, 0)), "Sin Factura"))</f>
        <v/>
      </c>
      <c r="R1999" s="80">
        <f>IF(Q1999="Sin Factura","",IFERROR(INDEX(Facturas_Odoo!$A:$A, MATCH(Q1999, Facturas_Odoo!$B:$B, 0)), ""))</f>
        <v/>
      </c>
      <c r="S1999" s="79">
        <f>IF(Q1999="Sin Factura","",IFERROR(_xlfn.XLOOKUP(1, (Facturas_Odoo!$D:$D=A1999) * (Facturas_Odoo!$K:$K=I1999), Facturas_Odoo!$L:$L, ""), ""))</f>
        <v/>
      </c>
      <c r="T1999" s="81">
        <f>IF(Q1999="Sin Factura",0,IFERROR(_xlfn.XLOOKUP(1, (Facturas_Odoo!$D:$D=A1999) * (Facturas_Odoo!$K:$K=I1999), Facturas_Odoo!$M:$M, 0), 0))</f>
        <v/>
      </c>
      <c r="U1999" s="79">
        <f>IF(Q1999="Sin Factura",0,IFERROR(_xlfn.XLOOKUP(1, (Facturas_Odoo!$D:$D=A1999) * (Facturas_Odoo!$K:$K=I1999), Facturas_Odoo!$N:$N, 0), 0))</f>
        <v/>
      </c>
      <c r="V1999" s="79">
        <f>IF(Q1999="Sin Factura",0,IFERROR(_xlfn.XLOOKUP(1, (Facturas_Odoo!$D:$D=A1999) * (Facturas_Odoo!$K:$K=I1999), Facturas_Odoo!$O:$O, 0), 0))</f>
        <v/>
      </c>
      <c r="W1999" s="81">
        <f>IF(Q1999="Sin Factura",0,IFERROR(_xlfn.XLOOKUP(1, (Facturas_Odoo!$D:$D=A1999) * (Facturas_Odoo!$K:$K=I1999), Facturas_Odoo!$Q:$Q, 0), 0))</f>
        <v/>
      </c>
      <c r="X1999" s="79">
        <f>IF(OR(Q1999="Sin Factura",Q1999=""),"",IFERROR(INDEX(Pagos_Odoo!$B:$B, MATCH(Q1999, Pagos_Odoo!$I:$I, 0)), "Sin Pago"))</f>
        <v/>
      </c>
      <c r="Y1999" s="79">
        <f>IF(X1999="Sin Pago","",IFERROR(INDEX(Pagos_Odoo!$C:$C, MATCH(X1999, Pagos_Odoo!$B:$B, 0)), ""))</f>
        <v/>
      </c>
      <c r="Z1999" s="80">
        <f>IF(X1999="Sin Pago","",IFERROR(INDEX(Pagos_Odoo!$A:$A, MATCH(X1999, Pagos_Odoo!$B:$B, 0)), ""))</f>
        <v/>
      </c>
      <c r="AA1999" s="79">
        <f>IF(X1999="Sin Pago","",IFERROR(INDEX(Pagos_Odoo!$F:$F, MATCH(X1999, Pagos_Odoo!$B:$B, 0)), ""))</f>
        <v/>
      </c>
      <c r="AB1999" s="81">
        <f>IF(X1999="Sin Pago",0,IFERROR(INDEX(Pagos_Odoo!$E:$E, MATCH(X1999, Pagos_Odoo!$B:$B, 0)), 0))</f>
        <v/>
      </c>
      <c r="AC1999" s="79">
        <f>IF(X1999="Sin Pago","",IFERROR(INDEX(Pagos_Odoo!$G:$G, MATCH(X1999, Pagos_Odoo!$B:$B, 0)), ""))</f>
        <v/>
      </c>
      <c r="AD1999" s="82" t="n">
        <v>0</v>
      </c>
      <c r="AE1999" s="82" t="n"/>
      <c r="AF1999" s="82" t="n"/>
      <c r="AG1999" s="82">
        <f>IF(AN1999="","",AD1999+AE1999+AF1999)</f>
        <v/>
      </c>
      <c r="AH1999" s="81">
        <f>IF(AN1999="","",P1999*(1-AG1999))</f>
        <v/>
      </c>
      <c r="AI1999" s="81">
        <f>IF(AN1999="","",IF(Q1999="Sin Factura",0,IFERROR(INDEX(Facturas_Odoo!$H:$H, MATCH(Q1999, Facturas_Odoo!$B:$B, 0)), 0)*(1-AG1999)))</f>
        <v/>
      </c>
      <c r="AJ1999" s="81">
        <f>IF(AN1999="","",_xlfn.LET(idVenta, AN1999&amp;"",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1999" s="81">
        <f>IF(AN1999="","",AH1999-AJ1999)</f>
        <v/>
      </c>
      <c r="AL1999" s="81">
        <f>IF(AN1999="","",IF(Q1999="Sin Factura","",AI1999-AJ1999))</f>
        <v/>
      </c>
      <c r="AM1999" s="81">
        <f>IF(AN1999="","",IF(Q1999="Sin Factura",0,P1999-IFERROR(INDEX(Facturas_Odoo!$H:$H, MATCH(Q1999, Facturas_Odoo!$B:$B, 0)), 0)))</f>
        <v/>
      </c>
      <c r="AN1999" s="79">
        <f>IF(AND(A1999="", J1999=""), "", IF(A1999&lt;&gt;"", VALUE(MID(A1999,2,LEN(A1999))), AN1998))</f>
        <v/>
      </c>
      <c r="AO1999" s="79">
        <f>IF(AN1999="","",IF(AD1999=0,"OK",_xlfn.LET(monedaPago, IF(AA1999="","USD",AA1999), limitePermitido, IFERROR(VLOOKUP(monedaPago, Configuración!$A$2:$B$3, 2, FALSE), 0.15), IF(AD1999&gt;limitePermitido, "ALERTA: EXCESO (" &amp; TEXT(limitePermitido, "0%") &amp; " máx)", "OK"))))</f>
        <v/>
      </c>
      <c r="AP1999" s="79">
        <f>IF(AN1999="","",IF(AE1999=0,"OK",_xlfn.LET(fechaPago, Z1999, fechaFactura, R1999, diasCredito, IF(E1999="Pago inmediato", 0, IFERROR(VALUE(MID(E1999, 1, SEARCH(" ", E1999)-1)),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1999" s="79">
        <f>IF(AN1999="","",IF(AND(N1999&gt;0, AG1999&gt;0), IF(Configuración!$K$2="NO", "ALERTA: DESCUENTO DOBLE NO PERMITIDO", "OK"), "OK"))</f>
        <v/>
      </c>
      <c r="AR1999" s="79">
        <f>IF(AN1999="","",IF(OR(AO1999&lt;&gt;"OK", AP1999&lt;&gt;"OK", AQ1999&lt;&gt;"OK"), "⚠️ REVISAR", "OK"))</f>
        <v/>
      </c>
    </row>
    <row r="2000">
      <c r="A2000" s="79">
        <f>IF('Ordenes_Odoo'!A2000="","",'Ordenes_Odoo'!A2000)</f>
        <v/>
      </c>
      <c r="B2000" s="80">
        <f>IF('Ordenes_Odoo'!B2000="","",'Ordenes_Odoo'!B2000)</f>
        <v/>
      </c>
      <c r="C2000" s="79">
        <f>IF('Ordenes_Odoo'!C2000="","",'Ordenes_Odoo'!C2000)</f>
        <v/>
      </c>
      <c r="D2000" s="79">
        <f>IF('Ordenes_Odoo'!D2000="","",'Ordenes_Odoo'!D2000)</f>
        <v/>
      </c>
      <c r="E2000" s="79">
        <f>IF('Ordenes_Odoo'!E2000="","",'Ordenes_Odoo'!E2000)</f>
        <v/>
      </c>
      <c r="F2000" s="79">
        <f>IF('Ordenes_Odoo'!F2000="","",'Ordenes_Odoo'!F2000)</f>
        <v/>
      </c>
      <c r="G2000" s="79">
        <f>IF('Ordenes_Odoo'!G2000="","",'Ordenes_Odoo'!G2000)</f>
        <v/>
      </c>
      <c r="H2000" s="79">
        <f>IF('Ordenes_Odoo'!H2000="","",'Ordenes_Odoo'!H2000)</f>
        <v/>
      </c>
      <c r="I2000" s="79">
        <f>IF('Ordenes_Odoo'!I2000="","",'Ordenes_Odoo'!I2000)</f>
        <v/>
      </c>
      <c r="J2000" s="79">
        <f>IF('Ordenes_Odoo'!J2000="","",'Ordenes_Odoo'!J2000)</f>
        <v/>
      </c>
      <c r="K2000" s="81">
        <f>IF('Ordenes_Odoo'!K2000="","",'Ordenes_Odoo'!K2000)</f>
        <v/>
      </c>
      <c r="L2000" s="81">
        <f>IF('Ordenes_Odoo'!L2000="","",'Ordenes_Odoo'!L2000)</f>
        <v/>
      </c>
      <c r="M2000" s="79">
        <f>IF('Ordenes_Odoo'!M2000="","",'Ordenes_Odoo'!M2000)</f>
        <v/>
      </c>
      <c r="N2000" s="79">
        <f>IF('Ordenes_Odoo'!N2000="","",'Ordenes_Odoo'!N2000)</f>
        <v/>
      </c>
      <c r="O2000" s="81">
        <f>IF('Ordenes_Odoo'!O2000="","",'Ordenes_Odoo'!O2000)</f>
        <v/>
      </c>
      <c r="P2000" s="81">
        <f>IF('Ordenes_Odoo'!P2000="","",'Ordenes_Odoo'!P2000)</f>
        <v/>
      </c>
      <c r="Q2000" s="79">
        <f>IF(A2000="","",IFERROR(INDEX(Facturas_Odoo!$B:$B, MATCH(A2000, Facturas_Odoo!$D:$D, 0)), "Sin Factura"))</f>
        <v/>
      </c>
      <c r="R2000" s="80">
        <f>IF(Q2000="Sin Factura","",IFERROR(INDEX(Facturas_Odoo!$A:$A, MATCH(Q2000, Facturas_Odoo!$B:$B, 0)), ""))</f>
        <v/>
      </c>
      <c r="S2000" s="79">
        <f>IF(Q2000="Sin Factura","",IFERROR(_xlfn.XLOOKUP(1, (Facturas_Odoo!$D:$D=A2000) * (Facturas_Odoo!$K:$K=I2000), Facturas_Odoo!$L:$L, ""), ""))</f>
        <v/>
      </c>
      <c r="T2000" s="81">
        <f>IF(Q2000="Sin Factura",0,IFERROR(_xlfn.XLOOKUP(1, (Facturas_Odoo!$D:$D=A2000) * (Facturas_Odoo!$K:$K=I2000), Facturas_Odoo!$M:$M, 0), 0))</f>
        <v/>
      </c>
      <c r="U2000" s="79">
        <f>IF(Q2000="Sin Factura",0,IFERROR(_xlfn.XLOOKUP(1, (Facturas_Odoo!$D:$D=A2000) * (Facturas_Odoo!$K:$K=I2000), Facturas_Odoo!$N:$N, 0), 0))</f>
        <v/>
      </c>
      <c r="V2000" s="79">
        <f>IF(Q2000="Sin Factura",0,IFERROR(_xlfn.XLOOKUP(1, (Facturas_Odoo!$D:$D=A2000) * (Facturas_Odoo!$K:$K=I2000), Facturas_Odoo!$O:$O, 0), 0))</f>
        <v/>
      </c>
      <c r="W2000" s="81">
        <f>IF(Q2000="Sin Factura",0,IFERROR(_xlfn.XLOOKUP(1, (Facturas_Odoo!$D:$D=A2000) * (Facturas_Odoo!$K:$K=I2000), Facturas_Odoo!$Q:$Q, 0), 0))</f>
        <v/>
      </c>
      <c r="X2000" s="79">
        <f>IF(OR(Q2000="Sin Factura",Q2000=""),"",IFERROR(INDEX(Pagos_Odoo!$B:$B, MATCH(Q2000, Pagos_Odoo!$I:$I, 0)), "Sin Pago"))</f>
        <v/>
      </c>
      <c r="Y2000" s="79">
        <f>IF(X2000="Sin Pago","",IFERROR(INDEX(Pagos_Odoo!$C:$C, MATCH(X2000, Pagos_Odoo!$B:$B, 0)), ""))</f>
        <v/>
      </c>
      <c r="Z2000" s="80">
        <f>IF(X2000="Sin Pago","",IFERROR(INDEX(Pagos_Odoo!$A:$A, MATCH(X2000, Pagos_Odoo!$B:$B, 0)), ""))</f>
        <v/>
      </c>
      <c r="AA2000" s="79">
        <f>IF(X2000="Sin Pago","",IFERROR(INDEX(Pagos_Odoo!$F:$F, MATCH(X2000, Pagos_Odoo!$B:$B, 0)), ""))</f>
        <v/>
      </c>
      <c r="AB2000" s="81">
        <f>IF(X2000="Sin Pago",0,IFERROR(INDEX(Pagos_Odoo!$E:$E, MATCH(X2000, Pagos_Odoo!$B:$B, 0)), 0))</f>
        <v/>
      </c>
      <c r="AC2000" s="79">
        <f>IF(X2000="Sin Pago","",IFERROR(INDEX(Pagos_Odoo!$G:$G, MATCH(X2000, Pagos_Odoo!$B:$B, 0)), ""))</f>
        <v/>
      </c>
      <c r="AD2000" s="82" t="n">
        <v>0</v>
      </c>
      <c r="AE2000" s="82" t="n"/>
      <c r="AF2000" s="82" t="n"/>
      <c r="AG2000" s="82">
        <f>IF(AN2000="","",AD2000+AE2000+AF2000)</f>
        <v/>
      </c>
      <c r="AH2000" s="81">
        <f>IF(AN2000="","",P2000*(1-AG2000))</f>
        <v/>
      </c>
      <c r="AI2000" s="81">
        <f>IF(AN2000="","",IF(Q2000="Sin Factura",0,IFERROR(INDEX(Facturas_Odoo!$H:$H, MATCH(Q2000, Facturas_Odoo!$B:$B, 0)), 0)*(1-AG2000)))</f>
        <v/>
      </c>
      <c r="AJ2000" s="81">
        <f>IF(AN2000="","",_xlfn.LET(idVenta, AN2000&amp;"",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00" s="81">
        <f>IF(AN2000="","",AH2000-AJ2000)</f>
        <v/>
      </c>
      <c r="AL2000" s="81">
        <f>IF(AN2000="","",IF(Q2000="Sin Factura","",AI2000-AJ2000))</f>
        <v/>
      </c>
      <c r="AM2000" s="81">
        <f>IF(AN2000="","",IF(Q2000="Sin Factura",0,P2000-IFERROR(INDEX(Facturas_Odoo!$H:$H, MATCH(Q2000, Facturas_Odoo!$B:$B, 0)), 0)))</f>
        <v/>
      </c>
      <c r="AN2000" s="79">
        <f>IF(AND(A2000="", J2000=""), "", IF(A2000&lt;&gt;"", VALUE(MID(A2000,2,LEN(A2000))), AN1999))</f>
        <v/>
      </c>
      <c r="AO2000" s="79">
        <f>IF(AN2000="","",IF(AD2000=0,"OK",_xlfn.LET(monedaPago, IF(AA2000="","USD",AA2000), limitePermitido, IFERROR(VLOOKUP(monedaPago, Configuración!$A$2:$B$3, 2, FALSE), 0.15), IF(AD2000&gt;limitePermitido, "ALERTA: EXCESO (" &amp; TEXT(limitePermitido, "0%") &amp; " máx)", "OK"))))</f>
        <v/>
      </c>
      <c r="AP2000" s="79">
        <f>IF(AN2000="","",IF(AE2000=0,"OK",_xlfn.LET(fechaPago, Z2000, fechaFactura, R2000, diasCredito, IF(E2000="Pago inmediato", 0, IFERROR(VALUE(MID(E2000, 1, SEARCH(" ", E2000)-1)),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00" s="79">
        <f>IF(AN2000="","",IF(AND(N2000&gt;0, AG2000&gt;0), IF(Configuración!$K$2="NO", "ALERTA: DESCUENTO DOBLE NO PERMITIDO", "OK"), "OK"))</f>
        <v/>
      </c>
      <c r="AR2000" s="79">
        <f>IF(AN2000="","",IF(OR(AO2000&lt;&gt;"OK", AP2000&lt;&gt;"OK", AQ2000&lt;&gt;"OK"), "⚠️ REVISAR", "OK"))</f>
        <v/>
      </c>
    </row>
    <row r="2001">
      <c r="A2001" s="79">
        <f>IF('Ordenes_Odoo'!A2001="","",'Ordenes_Odoo'!A2001)</f>
        <v/>
      </c>
      <c r="B2001" s="80">
        <f>IF('Ordenes_Odoo'!B2001="","",'Ordenes_Odoo'!B2001)</f>
        <v/>
      </c>
      <c r="C2001" s="79">
        <f>IF('Ordenes_Odoo'!C2001="","",'Ordenes_Odoo'!C2001)</f>
        <v/>
      </c>
      <c r="D2001" s="79">
        <f>IF('Ordenes_Odoo'!D2001="","",'Ordenes_Odoo'!D2001)</f>
        <v/>
      </c>
      <c r="E2001" s="79">
        <f>IF('Ordenes_Odoo'!E2001="","",'Ordenes_Odoo'!E2001)</f>
        <v/>
      </c>
      <c r="F2001" s="79">
        <f>IF('Ordenes_Odoo'!F2001="","",'Ordenes_Odoo'!F2001)</f>
        <v/>
      </c>
      <c r="G2001" s="79">
        <f>IF('Ordenes_Odoo'!G2001="","",'Ordenes_Odoo'!G2001)</f>
        <v/>
      </c>
      <c r="H2001" s="79">
        <f>IF('Ordenes_Odoo'!H2001="","",'Ordenes_Odoo'!H2001)</f>
        <v/>
      </c>
      <c r="I2001" s="79">
        <f>IF('Ordenes_Odoo'!I2001="","",'Ordenes_Odoo'!I2001)</f>
        <v/>
      </c>
      <c r="J2001" s="79">
        <f>IF('Ordenes_Odoo'!J2001="","",'Ordenes_Odoo'!J2001)</f>
        <v/>
      </c>
      <c r="K2001" s="81">
        <f>IF('Ordenes_Odoo'!K2001="","",'Ordenes_Odoo'!K2001)</f>
        <v/>
      </c>
      <c r="L2001" s="81">
        <f>IF('Ordenes_Odoo'!L2001="","",'Ordenes_Odoo'!L2001)</f>
        <v/>
      </c>
      <c r="M2001" s="79">
        <f>IF('Ordenes_Odoo'!M2001="","",'Ordenes_Odoo'!M2001)</f>
        <v/>
      </c>
      <c r="N2001" s="79">
        <f>IF('Ordenes_Odoo'!N2001="","",'Ordenes_Odoo'!N2001)</f>
        <v/>
      </c>
      <c r="O2001" s="81">
        <f>IF('Ordenes_Odoo'!O2001="","",'Ordenes_Odoo'!O2001)</f>
        <v/>
      </c>
      <c r="P2001" s="81">
        <f>IF('Ordenes_Odoo'!P2001="","",'Ordenes_Odoo'!P2001)</f>
        <v/>
      </c>
      <c r="Q2001" s="79">
        <f>IF(A2001="","",IFERROR(INDEX(Facturas_Odoo!$B:$B, MATCH(A2001, Facturas_Odoo!$D:$D, 0)), "Sin Factura"))</f>
        <v/>
      </c>
      <c r="R2001" s="80">
        <f>IF(Q2001="Sin Factura","",IFERROR(INDEX(Facturas_Odoo!$A:$A, MATCH(Q2001, Facturas_Odoo!$B:$B, 0)), ""))</f>
        <v/>
      </c>
      <c r="S2001" s="79">
        <f>IF(Q2001="Sin Factura","",IFERROR(_xlfn.XLOOKUP(1, (Facturas_Odoo!$D:$D=A2001) * (Facturas_Odoo!$K:$K=I2001), Facturas_Odoo!$L:$L, ""), ""))</f>
        <v/>
      </c>
      <c r="T2001" s="81">
        <f>IF(Q2001="Sin Factura",0,IFERROR(_xlfn.XLOOKUP(1, (Facturas_Odoo!$D:$D=A2001) * (Facturas_Odoo!$K:$K=I2001), Facturas_Odoo!$M:$M, 0), 0))</f>
        <v/>
      </c>
      <c r="U2001" s="79">
        <f>IF(Q2001="Sin Factura",0,IFERROR(_xlfn.XLOOKUP(1, (Facturas_Odoo!$D:$D=A2001) * (Facturas_Odoo!$K:$K=I2001), Facturas_Odoo!$N:$N, 0), 0))</f>
        <v/>
      </c>
      <c r="V2001" s="79">
        <f>IF(Q2001="Sin Factura",0,IFERROR(_xlfn.XLOOKUP(1, (Facturas_Odoo!$D:$D=A2001) * (Facturas_Odoo!$K:$K=I2001), Facturas_Odoo!$O:$O, 0), 0))</f>
        <v/>
      </c>
      <c r="W2001" s="81">
        <f>IF(Q2001="Sin Factura",0,IFERROR(_xlfn.XLOOKUP(1, (Facturas_Odoo!$D:$D=A2001) * (Facturas_Odoo!$K:$K=I2001), Facturas_Odoo!$Q:$Q, 0), 0))</f>
        <v/>
      </c>
      <c r="X2001" s="79">
        <f>IF(OR(Q2001="Sin Factura",Q2001=""),"",IFERROR(INDEX(Pagos_Odoo!$B:$B, MATCH(Q2001, Pagos_Odoo!$I:$I, 0)), "Sin Pago"))</f>
        <v/>
      </c>
      <c r="Y2001" s="79">
        <f>IF(X2001="Sin Pago","",IFERROR(INDEX(Pagos_Odoo!$C:$C, MATCH(X2001, Pagos_Odoo!$B:$B, 0)), ""))</f>
        <v/>
      </c>
      <c r="Z2001" s="80">
        <f>IF(X2001="Sin Pago","",IFERROR(INDEX(Pagos_Odoo!$A:$A, MATCH(X2001, Pagos_Odoo!$B:$B, 0)), ""))</f>
        <v/>
      </c>
      <c r="AA2001" s="79">
        <f>IF(X2001="Sin Pago","",IFERROR(INDEX(Pagos_Odoo!$F:$F, MATCH(X2001, Pagos_Odoo!$B:$B, 0)), ""))</f>
        <v/>
      </c>
      <c r="AB2001" s="81">
        <f>IF(X2001="Sin Pago",0,IFERROR(INDEX(Pagos_Odoo!$E:$E, MATCH(X2001, Pagos_Odoo!$B:$B, 0)), 0))</f>
        <v/>
      </c>
      <c r="AC2001" s="79">
        <f>IF(X2001="Sin Pago","",IFERROR(INDEX(Pagos_Odoo!$G:$G, MATCH(X2001, Pagos_Odoo!$B:$B, 0)), ""))</f>
        <v/>
      </c>
      <c r="AD2001" s="82" t="n">
        <v>0</v>
      </c>
      <c r="AE2001" s="82" t="n"/>
      <c r="AF2001" s="82" t="n"/>
      <c r="AG2001" s="82">
        <f>IF(AN2001="","",AD2001+AE2001+AF2001)</f>
        <v/>
      </c>
      <c r="AH2001" s="81">
        <f>IF(AN2001="","",P2001*(1-AG2001))</f>
        <v/>
      </c>
      <c r="AI2001" s="81">
        <f>IF(AN2001="","",IF(Q2001="Sin Factura",0,IFERROR(INDEX(Facturas_Odoo!$H:$H, MATCH(Q2001, Facturas_Odoo!$B:$B, 0)), 0)*(1-AG2001)))</f>
        <v/>
      </c>
      <c r="AJ2001" s="81">
        <f>IF(AN2001="","",_xlfn.LET(idVenta, AN2001&amp;"",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01" s="81">
        <f>IF(AN2001="","",AH2001-AJ2001)</f>
        <v/>
      </c>
      <c r="AL2001" s="81">
        <f>IF(AN2001="","",IF(Q2001="Sin Factura","",AI2001-AJ2001))</f>
        <v/>
      </c>
      <c r="AM2001" s="81">
        <f>IF(AN2001="","",IF(Q2001="Sin Factura",0,P2001-IFERROR(INDEX(Facturas_Odoo!$H:$H, MATCH(Q2001, Facturas_Odoo!$B:$B, 0)), 0)))</f>
        <v/>
      </c>
      <c r="AN2001" s="79">
        <f>IF(AND(A2001="", J2001=""), "", IF(A2001&lt;&gt;"", VALUE(MID(A2001,2,LEN(A2001))), AN2000))</f>
        <v/>
      </c>
      <c r="AO2001" s="79">
        <f>IF(AN2001="","",IF(AD2001=0,"OK",_xlfn.LET(monedaPago, IF(AA2001="","USD",AA2001), limitePermitido, IFERROR(VLOOKUP(monedaPago, Configuración!$A$2:$B$3, 2, FALSE), 0.15), IF(AD2001&gt;limitePermitido, "ALERTA: EXCESO (" &amp; TEXT(limitePermitido, "0%") &amp; " máx)", "OK"))))</f>
        <v/>
      </c>
      <c r="AP2001" s="79">
        <f>IF(AN2001="","",IF(AE2001=0,"OK",_xlfn.LET(fechaPago, Z2001, fechaFactura, R2001, diasCredito, IF(E2001="Pago inmediato", 0, IFERROR(VALUE(MID(E2001, 1, SEARCH(" ", E2001)-1)),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01" s="79">
        <f>IF(AN2001="","",IF(AND(N2001&gt;0, AG2001&gt;0), IF(Configuración!$K$2="NO", "ALERTA: DESCUENTO DOBLE NO PERMITIDO", "OK"), "OK"))</f>
        <v/>
      </c>
      <c r="AR2001" s="79">
        <f>IF(AN2001="","",IF(OR(AO2001&lt;&gt;"OK", AP2001&lt;&gt;"OK", AQ2001&lt;&gt;"OK"), "⚠️ REVISAR", "OK"))</f>
        <v/>
      </c>
    </row>
    <row r="2002">
      <c r="A2002" s="79">
        <f>IF('Ordenes_Odoo'!A2002="","",'Ordenes_Odoo'!A2002)</f>
        <v/>
      </c>
      <c r="B2002" s="80">
        <f>IF('Ordenes_Odoo'!B2002="","",'Ordenes_Odoo'!B2002)</f>
        <v/>
      </c>
      <c r="C2002" s="79">
        <f>IF('Ordenes_Odoo'!C2002="","",'Ordenes_Odoo'!C2002)</f>
        <v/>
      </c>
      <c r="D2002" s="79">
        <f>IF('Ordenes_Odoo'!D2002="","",'Ordenes_Odoo'!D2002)</f>
        <v/>
      </c>
      <c r="E2002" s="79">
        <f>IF('Ordenes_Odoo'!E2002="","",'Ordenes_Odoo'!E2002)</f>
        <v/>
      </c>
      <c r="F2002" s="79">
        <f>IF('Ordenes_Odoo'!F2002="","",'Ordenes_Odoo'!F2002)</f>
        <v/>
      </c>
      <c r="G2002" s="79">
        <f>IF('Ordenes_Odoo'!G2002="","",'Ordenes_Odoo'!G2002)</f>
        <v/>
      </c>
      <c r="H2002" s="79">
        <f>IF('Ordenes_Odoo'!H2002="","",'Ordenes_Odoo'!H2002)</f>
        <v/>
      </c>
      <c r="I2002" s="79">
        <f>IF('Ordenes_Odoo'!I2002="","",'Ordenes_Odoo'!I2002)</f>
        <v/>
      </c>
      <c r="J2002" s="79">
        <f>IF('Ordenes_Odoo'!J2002="","",'Ordenes_Odoo'!J2002)</f>
        <v/>
      </c>
      <c r="K2002" s="81">
        <f>IF('Ordenes_Odoo'!K2002="","",'Ordenes_Odoo'!K2002)</f>
        <v/>
      </c>
      <c r="L2002" s="81">
        <f>IF('Ordenes_Odoo'!L2002="","",'Ordenes_Odoo'!L2002)</f>
        <v/>
      </c>
      <c r="M2002" s="79">
        <f>IF('Ordenes_Odoo'!M2002="","",'Ordenes_Odoo'!M2002)</f>
        <v/>
      </c>
      <c r="N2002" s="79">
        <f>IF('Ordenes_Odoo'!N2002="","",'Ordenes_Odoo'!N2002)</f>
        <v/>
      </c>
      <c r="O2002" s="81">
        <f>IF('Ordenes_Odoo'!O2002="","",'Ordenes_Odoo'!O2002)</f>
        <v/>
      </c>
      <c r="P2002" s="81">
        <f>IF('Ordenes_Odoo'!P2002="","",'Ordenes_Odoo'!P2002)</f>
        <v/>
      </c>
      <c r="Q2002" s="79">
        <f>IF(A2002="","",IFERROR(INDEX(Facturas_Odoo!$B:$B, MATCH(A2002, Facturas_Odoo!$D:$D, 0)), "Sin Factura"))</f>
        <v/>
      </c>
      <c r="R2002" s="80">
        <f>IF(Q2002="Sin Factura","",IFERROR(INDEX(Facturas_Odoo!$A:$A, MATCH(Q2002, Facturas_Odoo!$B:$B, 0)), ""))</f>
        <v/>
      </c>
      <c r="S2002" s="79">
        <f>IF(Q2002="Sin Factura","",IFERROR(_xlfn.XLOOKUP(1, (Facturas_Odoo!$D:$D=A2002) * (Facturas_Odoo!$K:$K=I2002), Facturas_Odoo!$L:$L, ""), ""))</f>
        <v/>
      </c>
      <c r="T2002" s="81">
        <f>IF(Q2002="Sin Factura",0,IFERROR(_xlfn.XLOOKUP(1, (Facturas_Odoo!$D:$D=A2002) * (Facturas_Odoo!$K:$K=I2002), Facturas_Odoo!$M:$M, 0), 0))</f>
        <v/>
      </c>
      <c r="U2002" s="79">
        <f>IF(Q2002="Sin Factura",0,IFERROR(_xlfn.XLOOKUP(1, (Facturas_Odoo!$D:$D=A2002) * (Facturas_Odoo!$K:$K=I2002), Facturas_Odoo!$N:$N, 0), 0))</f>
        <v/>
      </c>
      <c r="V2002" s="79">
        <f>IF(Q2002="Sin Factura",0,IFERROR(_xlfn.XLOOKUP(1, (Facturas_Odoo!$D:$D=A2002) * (Facturas_Odoo!$K:$K=I2002), Facturas_Odoo!$O:$O, 0), 0))</f>
        <v/>
      </c>
      <c r="W2002" s="81">
        <f>IF(Q2002="Sin Factura",0,IFERROR(_xlfn.XLOOKUP(1, (Facturas_Odoo!$D:$D=A2002) * (Facturas_Odoo!$K:$K=I2002), Facturas_Odoo!$Q:$Q, 0), 0))</f>
        <v/>
      </c>
      <c r="X2002" s="79">
        <f>IF(OR(Q2002="Sin Factura",Q2002=""),"",IFERROR(INDEX(Pagos_Odoo!$B:$B, MATCH(Q2002, Pagos_Odoo!$I:$I, 0)), "Sin Pago"))</f>
        <v/>
      </c>
      <c r="Y2002" s="79">
        <f>IF(X2002="Sin Pago","",IFERROR(INDEX(Pagos_Odoo!$C:$C, MATCH(X2002, Pagos_Odoo!$B:$B, 0)), ""))</f>
        <v/>
      </c>
      <c r="Z2002" s="80">
        <f>IF(X2002="Sin Pago","",IFERROR(INDEX(Pagos_Odoo!$A:$A, MATCH(X2002, Pagos_Odoo!$B:$B, 0)), ""))</f>
        <v/>
      </c>
      <c r="AA2002" s="79">
        <f>IF(X2002="Sin Pago","",IFERROR(INDEX(Pagos_Odoo!$F:$F, MATCH(X2002, Pagos_Odoo!$B:$B, 0)), ""))</f>
        <v/>
      </c>
      <c r="AB2002" s="81">
        <f>IF(X2002="Sin Pago",0,IFERROR(INDEX(Pagos_Odoo!$E:$E, MATCH(X2002, Pagos_Odoo!$B:$B, 0)), 0))</f>
        <v/>
      </c>
      <c r="AC2002" s="79">
        <f>IF(X2002="Sin Pago","",IFERROR(INDEX(Pagos_Odoo!$G:$G, MATCH(X2002, Pagos_Odoo!$B:$B, 0)), ""))</f>
        <v/>
      </c>
      <c r="AD2002" s="82" t="n">
        <v>0</v>
      </c>
      <c r="AE2002" s="82" t="n"/>
      <c r="AF2002" s="82" t="n"/>
      <c r="AG2002" s="82">
        <f>IF(AN2002="","",AD2002+AE2002+AF2002)</f>
        <v/>
      </c>
      <c r="AH2002" s="81">
        <f>IF(AN2002="","",P2002*(1-AG2002))</f>
        <v/>
      </c>
      <c r="AI2002" s="81">
        <f>IF(AN2002="","",IF(Q2002="Sin Factura",0,IFERROR(INDEX(Facturas_Odoo!$H:$H, MATCH(Q2002, Facturas_Odoo!$B:$B, 0)), 0)*(1-AG2002)))</f>
        <v/>
      </c>
      <c r="AJ2002" s="81">
        <f>IF(AN2002="","",_xlfn.LET(idVenta, AN2002&amp;"",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02" s="81">
        <f>IF(AN2002="","",AH2002-AJ2002)</f>
        <v/>
      </c>
      <c r="AL2002" s="81">
        <f>IF(AN2002="","",IF(Q2002="Sin Factura","",AI2002-AJ2002))</f>
        <v/>
      </c>
      <c r="AM2002" s="81">
        <f>IF(AN2002="","",IF(Q2002="Sin Factura",0,P2002-IFERROR(INDEX(Facturas_Odoo!$H:$H, MATCH(Q2002, Facturas_Odoo!$B:$B, 0)), 0)))</f>
        <v/>
      </c>
      <c r="AN2002" s="79">
        <f>IF(AND(A2002="", J2002=""), "", IF(A2002&lt;&gt;"", VALUE(MID(A2002,2,LEN(A2002))), AN2001))</f>
        <v/>
      </c>
      <c r="AO2002" s="79">
        <f>IF(AN2002="","",IF(AD2002=0,"OK",_xlfn.LET(monedaPago, IF(AA2002="","USD",AA2002), limitePermitido, IFERROR(VLOOKUP(monedaPago, Configuración!$A$2:$B$3, 2, FALSE), 0.15), IF(AD2002&gt;limitePermitido, "ALERTA: EXCESO (" &amp; TEXT(limitePermitido, "0%") &amp; " máx)", "OK"))))</f>
        <v/>
      </c>
      <c r="AP2002" s="79">
        <f>IF(AN2002="","",IF(AE2002=0,"OK",_xlfn.LET(fechaPago, Z2002, fechaFactura, R2002, diasCredito, IF(E2002="Pago inmediato", 0, IFERROR(VALUE(MID(E2002, 1, SEARCH(" ", E2002)-1)),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02" s="79">
        <f>IF(AN2002="","",IF(AND(N2002&gt;0, AG2002&gt;0), IF(Configuración!$K$2="NO", "ALERTA: DESCUENTO DOBLE NO PERMITIDO", "OK"), "OK"))</f>
        <v/>
      </c>
      <c r="AR2002" s="79">
        <f>IF(AN2002="","",IF(OR(AO2002&lt;&gt;"OK", AP2002&lt;&gt;"OK", AQ2002&lt;&gt;"OK"), "⚠️ REVISAR", "OK"))</f>
        <v/>
      </c>
    </row>
    <row r="2003">
      <c r="A2003" s="79">
        <f>IF('Ordenes_Odoo'!A2003="","",'Ordenes_Odoo'!A2003)</f>
        <v/>
      </c>
      <c r="B2003" s="80">
        <f>IF('Ordenes_Odoo'!B2003="","",'Ordenes_Odoo'!B2003)</f>
        <v/>
      </c>
      <c r="C2003" s="79">
        <f>IF('Ordenes_Odoo'!C2003="","",'Ordenes_Odoo'!C2003)</f>
        <v/>
      </c>
      <c r="D2003" s="79">
        <f>IF('Ordenes_Odoo'!D2003="","",'Ordenes_Odoo'!D2003)</f>
        <v/>
      </c>
      <c r="E2003" s="79">
        <f>IF('Ordenes_Odoo'!E2003="","",'Ordenes_Odoo'!E2003)</f>
        <v/>
      </c>
      <c r="F2003" s="79">
        <f>IF('Ordenes_Odoo'!F2003="","",'Ordenes_Odoo'!F2003)</f>
        <v/>
      </c>
      <c r="G2003" s="79">
        <f>IF('Ordenes_Odoo'!G2003="","",'Ordenes_Odoo'!G2003)</f>
        <v/>
      </c>
      <c r="H2003" s="79">
        <f>IF('Ordenes_Odoo'!H2003="","",'Ordenes_Odoo'!H2003)</f>
        <v/>
      </c>
      <c r="I2003" s="79">
        <f>IF('Ordenes_Odoo'!I2003="","",'Ordenes_Odoo'!I2003)</f>
        <v/>
      </c>
      <c r="J2003" s="79">
        <f>IF('Ordenes_Odoo'!J2003="","",'Ordenes_Odoo'!J2003)</f>
        <v/>
      </c>
      <c r="K2003" s="81">
        <f>IF('Ordenes_Odoo'!K2003="","",'Ordenes_Odoo'!K2003)</f>
        <v/>
      </c>
      <c r="L2003" s="81">
        <f>IF('Ordenes_Odoo'!L2003="","",'Ordenes_Odoo'!L2003)</f>
        <v/>
      </c>
      <c r="M2003" s="79">
        <f>IF('Ordenes_Odoo'!M2003="","",'Ordenes_Odoo'!M2003)</f>
        <v/>
      </c>
      <c r="N2003" s="79">
        <f>IF('Ordenes_Odoo'!N2003="","",'Ordenes_Odoo'!N2003)</f>
        <v/>
      </c>
      <c r="O2003" s="81">
        <f>IF('Ordenes_Odoo'!O2003="","",'Ordenes_Odoo'!O2003)</f>
        <v/>
      </c>
      <c r="P2003" s="81">
        <f>IF('Ordenes_Odoo'!P2003="","",'Ordenes_Odoo'!P2003)</f>
        <v/>
      </c>
      <c r="Q2003" s="79">
        <f>IF(A2003="","",IFERROR(INDEX(Facturas_Odoo!$B:$B, MATCH(A2003, Facturas_Odoo!$D:$D, 0)), "Sin Factura"))</f>
        <v/>
      </c>
      <c r="R2003" s="80">
        <f>IF(Q2003="Sin Factura","",IFERROR(INDEX(Facturas_Odoo!$A:$A, MATCH(Q2003, Facturas_Odoo!$B:$B, 0)), ""))</f>
        <v/>
      </c>
      <c r="S2003" s="79">
        <f>IF(Q2003="Sin Factura","",IFERROR(_xlfn.XLOOKUP(1, (Facturas_Odoo!$D:$D=A2003) * (Facturas_Odoo!$K:$K=I2003), Facturas_Odoo!$L:$L, ""), ""))</f>
        <v/>
      </c>
      <c r="T2003" s="81">
        <f>IF(Q2003="Sin Factura",0,IFERROR(_xlfn.XLOOKUP(1, (Facturas_Odoo!$D:$D=A2003) * (Facturas_Odoo!$K:$K=I2003), Facturas_Odoo!$M:$M, 0), 0))</f>
        <v/>
      </c>
      <c r="U2003" s="79">
        <f>IF(Q2003="Sin Factura",0,IFERROR(_xlfn.XLOOKUP(1, (Facturas_Odoo!$D:$D=A2003) * (Facturas_Odoo!$K:$K=I2003), Facturas_Odoo!$N:$N, 0), 0))</f>
        <v/>
      </c>
      <c r="V2003" s="79">
        <f>IF(Q2003="Sin Factura",0,IFERROR(_xlfn.XLOOKUP(1, (Facturas_Odoo!$D:$D=A2003) * (Facturas_Odoo!$K:$K=I2003), Facturas_Odoo!$O:$O, 0), 0))</f>
        <v/>
      </c>
      <c r="W2003" s="81">
        <f>IF(Q2003="Sin Factura",0,IFERROR(_xlfn.XLOOKUP(1, (Facturas_Odoo!$D:$D=A2003) * (Facturas_Odoo!$K:$K=I2003), Facturas_Odoo!$Q:$Q, 0), 0))</f>
        <v/>
      </c>
      <c r="X2003" s="79">
        <f>IF(OR(Q2003="Sin Factura",Q2003=""),"",IFERROR(INDEX(Pagos_Odoo!$B:$B, MATCH(Q2003, Pagos_Odoo!$I:$I, 0)), "Sin Pago"))</f>
        <v/>
      </c>
      <c r="Y2003" s="79">
        <f>IF(X2003="Sin Pago","",IFERROR(INDEX(Pagos_Odoo!$C:$C, MATCH(X2003, Pagos_Odoo!$B:$B, 0)), ""))</f>
        <v/>
      </c>
      <c r="Z2003" s="80">
        <f>IF(X2003="Sin Pago","",IFERROR(INDEX(Pagos_Odoo!$A:$A, MATCH(X2003, Pagos_Odoo!$B:$B, 0)), ""))</f>
        <v/>
      </c>
      <c r="AA2003" s="79">
        <f>IF(X2003="Sin Pago","",IFERROR(INDEX(Pagos_Odoo!$F:$F, MATCH(X2003, Pagos_Odoo!$B:$B, 0)), ""))</f>
        <v/>
      </c>
      <c r="AB2003" s="81">
        <f>IF(X2003="Sin Pago",0,IFERROR(INDEX(Pagos_Odoo!$E:$E, MATCH(X2003, Pagos_Odoo!$B:$B, 0)), 0))</f>
        <v/>
      </c>
      <c r="AC2003" s="79">
        <f>IF(X2003="Sin Pago","",IFERROR(INDEX(Pagos_Odoo!$G:$G, MATCH(X2003, Pagos_Odoo!$B:$B, 0)), ""))</f>
        <v/>
      </c>
      <c r="AD2003" s="82" t="n">
        <v>0</v>
      </c>
      <c r="AE2003" s="82" t="n"/>
      <c r="AF2003" s="82" t="n"/>
      <c r="AG2003" s="82">
        <f>IF(AN2003="","",AD2003+AE2003+AF2003)</f>
        <v/>
      </c>
      <c r="AH2003" s="81">
        <f>IF(AN2003="","",P2003*(1-AG2003))</f>
        <v/>
      </c>
      <c r="AI2003" s="81">
        <f>IF(AN2003="","",IF(Q2003="Sin Factura",0,IFERROR(INDEX(Facturas_Odoo!$H:$H, MATCH(Q2003, Facturas_Odoo!$B:$B, 0)), 0)*(1-AG2003)))</f>
        <v/>
      </c>
      <c r="AJ2003" s="81">
        <f>IF(AN2003="","",_xlfn.LET(idVenta, AN2003&amp;"",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03" s="81">
        <f>IF(AN2003="","",AH2003-AJ2003)</f>
        <v/>
      </c>
      <c r="AL2003" s="81">
        <f>IF(AN2003="","",IF(Q2003="Sin Factura","",AI2003-AJ2003))</f>
        <v/>
      </c>
      <c r="AM2003" s="81">
        <f>IF(AN2003="","",IF(Q2003="Sin Factura",0,P2003-IFERROR(INDEX(Facturas_Odoo!$H:$H, MATCH(Q2003, Facturas_Odoo!$B:$B, 0)), 0)))</f>
        <v/>
      </c>
      <c r="AN2003" s="79">
        <f>IF(AND(A2003="", J2003=""), "", IF(A2003&lt;&gt;"", VALUE(MID(A2003,2,LEN(A2003))), AN2002))</f>
        <v/>
      </c>
      <c r="AO2003" s="79">
        <f>IF(AN2003="","",IF(AD2003=0,"OK",_xlfn.LET(monedaPago, IF(AA2003="","USD",AA2003), limitePermitido, IFERROR(VLOOKUP(monedaPago, Configuración!$A$2:$B$3, 2, FALSE), 0.15), IF(AD2003&gt;limitePermitido, "ALERTA: EXCESO (" &amp; TEXT(limitePermitido, "0%") &amp; " máx)", "OK"))))</f>
        <v/>
      </c>
      <c r="AP2003" s="79">
        <f>IF(AN2003="","",IF(AE2003=0,"OK",_xlfn.LET(fechaPago, Z2003, fechaFactura, R2003, diasCredito, IF(E2003="Pago inmediato", 0, IFERROR(VALUE(MID(E2003, 1, SEARCH(" ", E2003)-1)),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03" s="79">
        <f>IF(AN2003="","",IF(AND(N2003&gt;0, AG2003&gt;0), IF(Configuración!$K$2="NO", "ALERTA: DESCUENTO DOBLE NO PERMITIDO", "OK"), "OK"))</f>
        <v/>
      </c>
      <c r="AR2003" s="79">
        <f>IF(AN2003="","",IF(OR(AO2003&lt;&gt;"OK", AP2003&lt;&gt;"OK", AQ2003&lt;&gt;"OK"), "⚠️ REVISAR", "OK"))</f>
        <v/>
      </c>
    </row>
    <row r="2004">
      <c r="A2004" s="79">
        <f>IF('Ordenes_Odoo'!A2004="","",'Ordenes_Odoo'!A2004)</f>
        <v/>
      </c>
      <c r="B2004" s="80">
        <f>IF('Ordenes_Odoo'!B2004="","",'Ordenes_Odoo'!B2004)</f>
        <v/>
      </c>
      <c r="C2004" s="79">
        <f>IF('Ordenes_Odoo'!C2004="","",'Ordenes_Odoo'!C2004)</f>
        <v/>
      </c>
      <c r="D2004" s="79">
        <f>IF('Ordenes_Odoo'!D2004="","",'Ordenes_Odoo'!D2004)</f>
        <v/>
      </c>
      <c r="E2004" s="79">
        <f>IF('Ordenes_Odoo'!E2004="","",'Ordenes_Odoo'!E2004)</f>
        <v/>
      </c>
      <c r="F2004" s="79">
        <f>IF('Ordenes_Odoo'!F2004="","",'Ordenes_Odoo'!F2004)</f>
        <v/>
      </c>
      <c r="G2004" s="79">
        <f>IF('Ordenes_Odoo'!G2004="","",'Ordenes_Odoo'!G2004)</f>
        <v/>
      </c>
      <c r="H2004" s="79">
        <f>IF('Ordenes_Odoo'!H2004="","",'Ordenes_Odoo'!H2004)</f>
        <v/>
      </c>
      <c r="I2004" s="79">
        <f>IF('Ordenes_Odoo'!I2004="","",'Ordenes_Odoo'!I2004)</f>
        <v/>
      </c>
      <c r="J2004" s="79">
        <f>IF('Ordenes_Odoo'!J2004="","",'Ordenes_Odoo'!J2004)</f>
        <v/>
      </c>
      <c r="K2004" s="81">
        <f>IF('Ordenes_Odoo'!K2004="","",'Ordenes_Odoo'!K2004)</f>
        <v/>
      </c>
      <c r="L2004" s="81">
        <f>IF('Ordenes_Odoo'!L2004="","",'Ordenes_Odoo'!L2004)</f>
        <v/>
      </c>
      <c r="M2004" s="79">
        <f>IF('Ordenes_Odoo'!M2004="","",'Ordenes_Odoo'!M2004)</f>
        <v/>
      </c>
      <c r="N2004" s="79">
        <f>IF('Ordenes_Odoo'!N2004="","",'Ordenes_Odoo'!N2004)</f>
        <v/>
      </c>
      <c r="O2004" s="81">
        <f>IF('Ordenes_Odoo'!O2004="","",'Ordenes_Odoo'!O2004)</f>
        <v/>
      </c>
      <c r="P2004" s="81">
        <f>IF('Ordenes_Odoo'!P2004="","",'Ordenes_Odoo'!P2004)</f>
        <v/>
      </c>
      <c r="Q2004" s="79">
        <f>IF(A2004="","",IFERROR(INDEX(Facturas_Odoo!$B:$B, MATCH(A2004, Facturas_Odoo!$D:$D, 0)), "Sin Factura"))</f>
        <v/>
      </c>
      <c r="R2004" s="80">
        <f>IF(Q2004="Sin Factura","",IFERROR(INDEX(Facturas_Odoo!$A:$A, MATCH(Q2004, Facturas_Odoo!$B:$B, 0)), ""))</f>
        <v/>
      </c>
      <c r="S2004" s="79">
        <f>IF(Q2004="Sin Factura","",IFERROR(_xlfn.XLOOKUP(1, (Facturas_Odoo!$D:$D=A2004) * (Facturas_Odoo!$K:$K=I2004), Facturas_Odoo!$L:$L, ""), ""))</f>
        <v/>
      </c>
      <c r="T2004" s="81">
        <f>IF(Q2004="Sin Factura",0,IFERROR(_xlfn.XLOOKUP(1, (Facturas_Odoo!$D:$D=A2004) * (Facturas_Odoo!$K:$K=I2004), Facturas_Odoo!$M:$M, 0), 0))</f>
        <v/>
      </c>
      <c r="U2004" s="79">
        <f>IF(Q2004="Sin Factura",0,IFERROR(_xlfn.XLOOKUP(1, (Facturas_Odoo!$D:$D=A2004) * (Facturas_Odoo!$K:$K=I2004), Facturas_Odoo!$N:$N, 0), 0))</f>
        <v/>
      </c>
      <c r="V2004" s="79">
        <f>IF(Q2004="Sin Factura",0,IFERROR(_xlfn.XLOOKUP(1, (Facturas_Odoo!$D:$D=A2004) * (Facturas_Odoo!$K:$K=I2004), Facturas_Odoo!$O:$O, 0), 0))</f>
        <v/>
      </c>
      <c r="W2004" s="81">
        <f>IF(Q2004="Sin Factura",0,IFERROR(_xlfn.XLOOKUP(1, (Facturas_Odoo!$D:$D=A2004) * (Facturas_Odoo!$K:$K=I2004), Facturas_Odoo!$Q:$Q, 0), 0))</f>
        <v/>
      </c>
      <c r="X2004" s="79">
        <f>IF(OR(Q2004="Sin Factura",Q2004=""),"",IFERROR(INDEX(Pagos_Odoo!$B:$B, MATCH(Q2004, Pagos_Odoo!$I:$I, 0)), "Sin Pago"))</f>
        <v/>
      </c>
      <c r="Y2004" s="79">
        <f>IF(X2004="Sin Pago","",IFERROR(INDEX(Pagos_Odoo!$C:$C, MATCH(X2004, Pagos_Odoo!$B:$B, 0)), ""))</f>
        <v/>
      </c>
      <c r="Z2004" s="80">
        <f>IF(X2004="Sin Pago","",IFERROR(INDEX(Pagos_Odoo!$A:$A, MATCH(X2004, Pagos_Odoo!$B:$B, 0)), ""))</f>
        <v/>
      </c>
      <c r="AA2004" s="79">
        <f>IF(X2004="Sin Pago","",IFERROR(INDEX(Pagos_Odoo!$F:$F, MATCH(X2004, Pagos_Odoo!$B:$B, 0)), ""))</f>
        <v/>
      </c>
      <c r="AB2004" s="81">
        <f>IF(X2004="Sin Pago",0,IFERROR(INDEX(Pagos_Odoo!$E:$E, MATCH(X2004, Pagos_Odoo!$B:$B, 0)), 0))</f>
        <v/>
      </c>
      <c r="AC2004" s="79">
        <f>IF(X2004="Sin Pago","",IFERROR(INDEX(Pagos_Odoo!$G:$G, MATCH(X2004, Pagos_Odoo!$B:$B, 0)), ""))</f>
        <v/>
      </c>
      <c r="AD2004" s="82" t="n">
        <v>0</v>
      </c>
      <c r="AE2004" s="82" t="n"/>
      <c r="AF2004" s="82" t="n"/>
      <c r="AG2004" s="82">
        <f>IF(AN2004="","",AD2004+AE2004+AF2004)</f>
        <v/>
      </c>
      <c r="AH2004" s="81">
        <f>IF(AN2004="","",P2004*(1-AG2004))</f>
        <v/>
      </c>
      <c r="AI2004" s="81">
        <f>IF(AN2004="","",IF(Q2004="Sin Factura",0,IFERROR(INDEX(Facturas_Odoo!$H:$H, MATCH(Q2004, Facturas_Odoo!$B:$B, 0)), 0)*(1-AG2004)))</f>
        <v/>
      </c>
      <c r="AJ2004" s="81">
        <f>IF(AN2004="","",_xlfn.LET(idVenta, AN2004&amp;"",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04" s="81">
        <f>IF(AN2004="","",AH2004-AJ2004)</f>
        <v/>
      </c>
      <c r="AL2004" s="81">
        <f>IF(AN2004="","",IF(Q2004="Sin Factura","",AI2004-AJ2004))</f>
        <v/>
      </c>
      <c r="AM2004" s="81">
        <f>IF(AN2004="","",IF(Q2004="Sin Factura",0,P2004-IFERROR(INDEX(Facturas_Odoo!$H:$H, MATCH(Q2004, Facturas_Odoo!$B:$B, 0)), 0)))</f>
        <v/>
      </c>
      <c r="AN2004" s="79">
        <f>IF(AND(A2004="", J2004=""), "", IF(A2004&lt;&gt;"", VALUE(MID(A2004,2,LEN(A2004))), AN2003))</f>
        <v/>
      </c>
      <c r="AO2004" s="79">
        <f>IF(AN2004="","",IF(AD2004=0,"OK",_xlfn.LET(monedaPago, IF(AA2004="","USD",AA2004), limitePermitido, IFERROR(VLOOKUP(monedaPago, Configuración!$A$2:$B$3, 2, FALSE), 0.15), IF(AD2004&gt;limitePermitido, "ALERTA: EXCESO (" &amp; TEXT(limitePermitido, "0%") &amp; " máx)", "OK"))))</f>
        <v/>
      </c>
      <c r="AP2004" s="79">
        <f>IF(AN2004="","",IF(AE2004=0,"OK",_xlfn.LET(fechaPago, Z2004, fechaFactura, R2004, diasCredito, IF(E2004="Pago inmediato", 0, IFERROR(VALUE(MID(E2004, 1, SEARCH(" ", E2004)-1)),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04" s="79">
        <f>IF(AN2004="","",IF(AND(N2004&gt;0, AG2004&gt;0), IF(Configuración!$K$2="NO", "ALERTA: DESCUENTO DOBLE NO PERMITIDO", "OK"), "OK"))</f>
        <v/>
      </c>
      <c r="AR2004" s="79">
        <f>IF(AN2004="","",IF(OR(AO2004&lt;&gt;"OK", AP2004&lt;&gt;"OK", AQ2004&lt;&gt;"OK"), "⚠️ REVISAR", "OK"))</f>
        <v/>
      </c>
    </row>
    <row r="2005">
      <c r="A2005" s="79">
        <f>IF('Ordenes_Odoo'!A2005="","",'Ordenes_Odoo'!A2005)</f>
        <v/>
      </c>
      <c r="B2005" s="80">
        <f>IF('Ordenes_Odoo'!B2005="","",'Ordenes_Odoo'!B2005)</f>
        <v/>
      </c>
      <c r="C2005" s="79">
        <f>IF('Ordenes_Odoo'!C2005="","",'Ordenes_Odoo'!C2005)</f>
        <v/>
      </c>
      <c r="D2005" s="79">
        <f>IF('Ordenes_Odoo'!D2005="","",'Ordenes_Odoo'!D2005)</f>
        <v/>
      </c>
      <c r="E2005" s="79">
        <f>IF('Ordenes_Odoo'!E2005="","",'Ordenes_Odoo'!E2005)</f>
        <v/>
      </c>
      <c r="F2005" s="79">
        <f>IF('Ordenes_Odoo'!F2005="","",'Ordenes_Odoo'!F2005)</f>
        <v/>
      </c>
      <c r="G2005" s="79">
        <f>IF('Ordenes_Odoo'!G2005="","",'Ordenes_Odoo'!G2005)</f>
        <v/>
      </c>
      <c r="H2005" s="79">
        <f>IF('Ordenes_Odoo'!H2005="","",'Ordenes_Odoo'!H2005)</f>
        <v/>
      </c>
      <c r="I2005" s="79">
        <f>IF('Ordenes_Odoo'!I2005="","",'Ordenes_Odoo'!I2005)</f>
        <v/>
      </c>
      <c r="J2005" s="79">
        <f>IF('Ordenes_Odoo'!J2005="","",'Ordenes_Odoo'!J2005)</f>
        <v/>
      </c>
      <c r="K2005" s="81">
        <f>IF('Ordenes_Odoo'!K2005="","",'Ordenes_Odoo'!K2005)</f>
        <v/>
      </c>
      <c r="L2005" s="81">
        <f>IF('Ordenes_Odoo'!L2005="","",'Ordenes_Odoo'!L2005)</f>
        <v/>
      </c>
      <c r="M2005" s="79">
        <f>IF('Ordenes_Odoo'!M2005="","",'Ordenes_Odoo'!M2005)</f>
        <v/>
      </c>
      <c r="N2005" s="79">
        <f>IF('Ordenes_Odoo'!N2005="","",'Ordenes_Odoo'!N2005)</f>
        <v/>
      </c>
      <c r="O2005" s="81">
        <f>IF('Ordenes_Odoo'!O2005="","",'Ordenes_Odoo'!O2005)</f>
        <v/>
      </c>
      <c r="P2005" s="81">
        <f>IF('Ordenes_Odoo'!P2005="","",'Ordenes_Odoo'!P2005)</f>
        <v/>
      </c>
      <c r="Q2005" s="79">
        <f>IF(A2005="","",IFERROR(INDEX(Facturas_Odoo!$B:$B, MATCH(A2005, Facturas_Odoo!$D:$D, 0)), "Sin Factura"))</f>
        <v/>
      </c>
      <c r="R2005" s="80">
        <f>IF(Q2005="Sin Factura","",IFERROR(INDEX(Facturas_Odoo!$A:$A, MATCH(Q2005, Facturas_Odoo!$B:$B, 0)), ""))</f>
        <v/>
      </c>
      <c r="S2005" s="79">
        <f>IF(Q2005="Sin Factura","",IFERROR(_xlfn.XLOOKUP(1, (Facturas_Odoo!$D:$D=A2005) * (Facturas_Odoo!$K:$K=I2005), Facturas_Odoo!$L:$L, ""), ""))</f>
        <v/>
      </c>
      <c r="T2005" s="81">
        <f>IF(Q2005="Sin Factura",0,IFERROR(_xlfn.XLOOKUP(1, (Facturas_Odoo!$D:$D=A2005) * (Facturas_Odoo!$K:$K=I2005), Facturas_Odoo!$M:$M, 0), 0))</f>
        <v/>
      </c>
      <c r="U2005" s="79">
        <f>IF(Q2005="Sin Factura",0,IFERROR(_xlfn.XLOOKUP(1, (Facturas_Odoo!$D:$D=A2005) * (Facturas_Odoo!$K:$K=I2005), Facturas_Odoo!$N:$N, 0), 0))</f>
        <v/>
      </c>
      <c r="V2005" s="79">
        <f>IF(Q2005="Sin Factura",0,IFERROR(_xlfn.XLOOKUP(1, (Facturas_Odoo!$D:$D=A2005) * (Facturas_Odoo!$K:$K=I2005), Facturas_Odoo!$O:$O, 0), 0))</f>
        <v/>
      </c>
      <c r="W2005" s="81">
        <f>IF(Q2005="Sin Factura",0,IFERROR(_xlfn.XLOOKUP(1, (Facturas_Odoo!$D:$D=A2005) * (Facturas_Odoo!$K:$K=I2005), Facturas_Odoo!$Q:$Q, 0), 0))</f>
        <v/>
      </c>
      <c r="X2005" s="79">
        <f>IF(OR(Q2005="Sin Factura",Q2005=""),"",IFERROR(INDEX(Pagos_Odoo!$B:$B, MATCH(Q2005, Pagos_Odoo!$I:$I, 0)), "Sin Pago"))</f>
        <v/>
      </c>
      <c r="Y2005" s="79">
        <f>IF(X2005="Sin Pago","",IFERROR(INDEX(Pagos_Odoo!$C:$C, MATCH(X2005, Pagos_Odoo!$B:$B, 0)), ""))</f>
        <v/>
      </c>
      <c r="Z2005" s="80">
        <f>IF(X2005="Sin Pago","",IFERROR(INDEX(Pagos_Odoo!$A:$A, MATCH(X2005, Pagos_Odoo!$B:$B, 0)), ""))</f>
        <v/>
      </c>
      <c r="AA2005" s="79">
        <f>IF(X2005="Sin Pago","",IFERROR(INDEX(Pagos_Odoo!$F:$F, MATCH(X2005, Pagos_Odoo!$B:$B, 0)), ""))</f>
        <v/>
      </c>
      <c r="AB2005" s="81">
        <f>IF(X2005="Sin Pago",0,IFERROR(INDEX(Pagos_Odoo!$E:$E, MATCH(X2005, Pagos_Odoo!$B:$B, 0)), 0))</f>
        <v/>
      </c>
      <c r="AC2005" s="79">
        <f>IF(X2005="Sin Pago","",IFERROR(INDEX(Pagos_Odoo!$G:$G, MATCH(X2005, Pagos_Odoo!$B:$B, 0)), ""))</f>
        <v/>
      </c>
      <c r="AD2005" s="82" t="n">
        <v>0</v>
      </c>
      <c r="AE2005" s="82" t="n"/>
      <c r="AF2005" s="82" t="n"/>
      <c r="AG2005" s="82">
        <f>IF(AN2005="","",AD2005+AE2005+AF2005)</f>
        <v/>
      </c>
      <c r="AH2005" s="81">
        <f>IF(AN2005="","",P2005*(1-AG2005))</f>
        <v/>
      </c>
      <c r="AI2005" s="81">
        <f>IF(AN2005="","",IF(Q2005="Sin Factura",0,IFERROR(INDEX(Facturas_Odoo!$H:$H, MATCH(Q2005, Facturas_Odoo!$B:$B, 0)), 0)*(1-AG2005)))</f>
        <v/>
      </c>
      <c r="AJ2005" s="81">
        <f>IF(AN2005="","",_xlfn.LET(idVenta, AN2005&amp;"",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05" s="81">
        <f>IF(AN2005="","",AH2005-AJ2005)</f>
        <v/>
      </c>
      <c r="AL2005" s="81">
        <f>IF(AN2005="","",IF(Q2005="Sin Factura","",AI2005-AJ2005))</f>
        <v/>
      </c>
      <c r="AM2005" s="81">
        <f>IF(AN2005="","",IF(Q2005="Sin Factura",0,P2005-IFERROR(INDEX(Facturas_Odoo!$H:$H, MATCH(Q2005, Facturas_Odoo!$B:$B, 0)), 0)))</f>
        <v/>
      </c>
      <c r="AN2005" s="79">
        <f>IF(AND(A2005="", J2005=""), "", IF(A2005&lt;&gt;"", VALUE(MID(A2005,2,LEN(A2005))), AN2004))</f>
        <v/>
      </c>
      <c r="AO2005" s="79">
        <f>IF(AN2005="","",IF(AD2005=0,"OK",_xlfn.LET(monedaPago, IF(AA2005="","USD",AA2005), limitePermitido, IFERROR(VLOOKUP(monedaPago, Configuración!$A$2:$B$3, 2, FALSE), 0.15), IF(AD2005&gt;limitePermitido, "ALERTA: EXCESO (" &amp; TEXT(limitePermitido, "0%") &amp; " máx)", "OK"))))</f>
        <v/>
      </c>
      <c r="AP2005" s="79">
        <f>IF(AN2005="","",IF(AE2005=0,"OK",_xlfn.LET(fechaPago, Z2005, fechaFactura, R2005, diasCredito, IF(E2005="Pago inmediato", 0, IFERROR(VALUE(MID(E2005, 1, SEARCH(" ", E2005)-1)),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05" s="79">
        <f>IF(AN2005="","",IF(AND(N2005&gt;0, AG2005&gt;0), IF(Configuración!$K$2="NO", "ALERTA: DESCUENTO DOBLE NO PERMITIDO", "OK"), "OK"))</f>
        <v/>
      </c>
      <c r="AR2005" s="79">
        <f>IF(AN2005="","",IF(OR(AO2005&lt;&gt;"OK", AP2005&lt;&gt;"OK", AQ2005&lt;&gt;"OK"), "⚠️ REVISAR", "OK"))</f>
        <v/>
      </c>
    </row>
    <row r="2006">
      <c r="A2006" s="79">
        <f>IF('Ordenes_Odoo'!A2006="","",'Ordenes_Odoo'!A2006)</f>
        <v/>
      </c>
      <c r="B2006" s="80">
        <f>IF('Ordenes_Odoo'!B2006="","",'Ordenes_Odoo'!B2006)</f>
        <v/>
      </c>
      <c r="C2006" s="79">
        <f>IF('Ordenes_Odoo'!C2006="","",'Ordenes_Odoo'!C2006)</f>
        <v/>
      </c>
      <c r="D2006" s="79">
        <f>IF('Ordenes_Odoo'!D2006="","",'Ordenes_Odoo'!D2006)</f>
        <v/>
      </c>
      <c r="E2006" s="79">
        <f>IF('Ordenes_Odoo'!E2006="","",'Ordenes_Odoo'!E2006)</f>
        <v/>
      </c>
      <c r="F2006" s="79">
        <f>IF('Ordenes_Odoo'!F2006="","",'Ordenes_Odoo'!F2006)</f>
        <v/>
      </c>
      <c r="G2006" s="79">
        <f>IF('Ordenes_Odoo'!G2006="","",'Ordenes_Odoo'!G2006)</f>
        <v/>
      </c>
      <c r="H2006" s="79">
        <f>IF('Ordenes_Odoo'!H2006="","",'Ordenes_Odoo'!H2006)</f>
        <v/>
      </c>
      <c r="I2006" s="79">
        <f>IF('Ordenes_Odoo'!I2006="","",'Ordenes_Odoo'!I2006)</f>
        <v/>
      </c>
      <c r="J2006" s="79">
        <f>IF('Ordenes_Odoo'!J2006="","",'Ordenes_Odoo'!J2006)</f>
        <v/>
      </c>
      <c r="K2006" s="81">
        <f>IF('Ordenes_Odoo'!K2006="","",'Ordenes_Odoo'!K2006)</f>
        <v/>
      </c>
      <c r="L2006" s="81">
        <f>IF('Ordenes_Odoo'!L2006="","",'Ordenes_Odoo'!L2006)</f>
        <v/>
      </c>
      <c r="M2006" s="79">
        <f>IF('Ordenes_Odoo'!M2006="","",'Ordenes_Odoo'!M2006)</f>
        <v/>
      </c>
      <c r="N2006" s="79">
        <f>IF('Ordenes_Odoo'!N2006="","",'Ordenes_Odoo'!N2006)</f>
        <v/>
      </c>
      <c r="O2006" s="81">
        <f>IF('Ordenes_Odoo'!O2006="","",'Ordenes_Odoo'!O2006)</f>
        <v/>
      </c>
      <c r="P2006" s="81">
        <f>IF('Ordenes_Odoo'!P2006="","",'Ordenes_Odoo'!P2006)</f>
        <v/>
      </c>
      <c r="Q2006" s="79">
        <f>IF(A2006="","",IFERROR(INDEX(Facturas_Odoo!$B:$B, MATCH(A2006, Facturas_Odoo!$D:$D, 0)), "Sin Factura"))</f>
        <v/>
      </c>
      <c r="R2006" s="80">
        <f>IF(Q2006="Sin Factura","",IFERROR(INDEX(Facturas_Odoo!$A:$A, MATCH(Q2006, Facturas_Odoo!$B:$B, 0)), ""))</f>
        <v/>
      </c>
      <c r="S2006" s="79">
        <f>IF(Q2006="Sin Factura","",IFERROR(_xlfn.XLOOKUP(1, (Facturas_Odoo!$D:$D=A2006) * (Facturas_Odoo!$K:$K=I2006), Facturas_Odoo!$L:$L, ""), ""))</f>
        <v/>
      </c>
      <c r="T2006" s="81">
        <f>IF(Q2006="Sin Factura",0,IFERROR(_xlfn.XLOOKUP(1, (Facturas_Odoo!$D:$D=A2006) * (Facturas_Odoo!$K:$K=I2006), Facturas_Odoo!$M:$M, 0), 0))</f>
        <v/>
      </c>
      <c r="U2006" s="79">
        <f>IF(Q2006="Sin Factura",0,IFERROR(_xlfn.XLOOKUP(1, (Facturas_Odoo!$D:$D=A2006) * (Facturas_Odoo!$K:$K=I2006), Facturas_Odoo!$N:$N, 0), 0))</f>
        <v/>
      </c>
      <c r="V2006" s="79">
        <f>IF(Q2006="Sin Factura",0,IFERROR(_xlfn.XLOOKUP(1, (Facturas_Odoo!$D:$D=A2006) * (Facturas_Odoo!$K:$K=I2006), Facturas_Odoo!$O:$O, 0), 0))</f>
        <v/>
      </c>
      <c r="W2006" s="81">
        <f>IF(Q2006="Sin Factura",0,IFERROR(_xlfn.XLOOKUP(1, (Facturas_Odoo!$D:$D=A2006) * (Facturas_Odoo!$K:$K=I2006), Facturas_Odoo!$Q:$Q, 0), 0))</f>
        <v/>
      </c>
      <c r="X2006" s="79">
        <f>IF(OR(Q2006="Sin Factura",Q2006=""),"",IFERROR(INDEX(Pagos_Odoo!$B:$B, MATCH(Q2006, Pagos_Odoo!$I:$I, 0)), "Sin Pago"))</f>
        <v/>
      </c>
      <c r="Y2006" s="79">
        <f>IF(X2006="Sin Pago","",IFERROR(INDEX(Pagos_Odoo!$C:$C, MATCH(X2006, Pagos_Odoo!$B:$B, 0)), ""))</f>
        <v/>
      </c>
      <c r="Z2006" s="80">
        <f>IF(X2006="Sin Pago","",IFERROR(INDEX(Pagos_Odoo!$A:$A, MATCH(X2006, Pagos_Odoo!$B:$B, 0)), ""))</f>
        <v/>
      </c>
      <c r="AA2006" s="79">
        <f>IF(X2006="Sin Pago","",IFERROR(INDEX(Pagos_Odoo!$F:$F, MATCH(X2006, Pagos_Odoo!$B:$B, 0)), ""))</f>
        <v/>
      </c>
      <c r="AB2006" s="81">
        <f>IF(X2006="Sin Pago",0,IFERROR(INDEX(Pagos_Odoo!$E:$E, MATCH(X2006, Pagos_Odoo!$B:$B, 0)), 0))</f>
        <v/>
      </c>
      <c r="AC2006" s="79">
        <f>IF(X2006="Sin Pago","",IFERROR(INDEX(Pagos_Odoo!$G:$G, MATCH(X2006, Pagos_Odoo!$B:$B, 0)), ""))</f>
        <v/>
      </c>
      <c r="AD2006" s="82" t="n">
        <v>0</v>
      </c>
      <c r="AE2006" s="82" t="n"/>
      <c r="AF2006" s="82" t="n"/>
      <c r="AG2006" s="82">
        <f>IF(AN2006="","",AD2006+AE2006+AF2006)</f>
        <v/>
      </c>
      <c r="AH2006" s="81">
        <f>IF(AN2006="","",P2006*(1-AG2006))</f>
        <v/>
      </c>
      <c r="AI2006" s="81">
        <f>IF(AN2006="","",IF(Q2006="Sin Factura",0,IFERROR(INDEX(Facturas_Odoo!$H:$H, MATCH(Q2006, Facturas_Odoo!$B:$B, 0)), 0)*(1-AG2006)))</f>
        <v/>
      </c>
      <c r="AJ2006" s="81">
        <f>IF(AN2006="","",_xlfn.LET(idVenta, AN2006&amp;"",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06" s="81">
        <f>IF(AN2006="","",AH2006-AJ2006)</f>
        <v/>
      </c>
      <c r="AL2006" s="81">
        <f>IF(AN2006="","",IF(Q2006="Sin Factura","",AI2006-AJ2006))</f>
        <v/>
      </c>
      <c r="AM2006" s="81">
        <f>IF(AN2006="","",IF(Q2006="Sin Factura",0,P2006-IFERROR(INDEX(Facturas_Odoo!$H:$H, MATCH(Q2006, Facturas_Odoo!$B:$B, 0)), 0)))</f>
        <v/>
      </c>
      <c r="AN2006" s="79">
        <f>IF(AND(A2006="", J2006=""), "", IF(A2006&lt;&gt;"", VALUE(MID(A2006,2,LEN(A2006))), AN2005))</f>
        <v/>
      </c>
      <c r="AO2006" s="79">
        <f>IF(AN2006="","",IF(AD2006=0,"OK",_xlfn.LET(monedaPago, IF(AA2006="","USD",AA2006), limitePermitido, IFERROR(VLOOKUP(monedaPago, Configuración!$A$2:$B$3, 2, FALSE), 0.15), IF(AD2006&gt;limitePermitido, "ALERTA: EXCESO (" &amp; TEXT(limitePermitido, "0%") &amp; " máx)", "OK"))))</f>
        <v/>
      </c>
      <c r="AP2006" s="79">
        <f>IF(AN2006="","",IF(AE2006=0,"OK",_xlfn.LET(fechaPago, Z2006, fechaFactura, R2006, diasCredito, IF(E2006="Pago inmediato", 0, IFERROR(VALUE(MID(E2006, 1, SEARCH(" ", E2006)-1)),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06" s="79">
        <f>IF(AN2006="","",IF(AND(N2006&gt;0, AG2006&gt;0), IF(Configuración!$K$2="NO", "ALERTA: DESCUENTO DOBLE NO PERMITIDO", "OK"), "OK"))</f>
        <v/>
      </c>
      <c r="AR2006" s="79">
        <f>IF(AN2006="","",IF(OR(AO2006&lt;&gt;"OK", AP2006&lt;&gt;"OK", AQ2006&lt;&gt;"OK"), "⚠️ REVISAR", "OK"))</f>
        <v/>
      </c>
    </row>
    <row r="2007">
      <c r="A2007" s="79">
        <f>IF('Ordenes_Odoo'!A2007="","",'Ordenes_Odoo'!A2007)</f>
        <v/>
      </c>
      <c r="B2007" s="80">
        <f>IF('Ordenes_Odoo'!B2007="","",'Ordenes_Odoo'!B2007)</f>
        <v/>
      </c>
      <c r="C2007" s="79">
        <f>IF('Ordenes_Odoo'!C2007="","",'Ordenes_Odoo'!C2007)</f>
        <v/>
      </c>
      <c r="D2007" s="79">
        <f>IF('Ordenes_Odoo'!D2007="","",'Ordenes_Odoo'!D2007)</f>
        <v/>
      </c>
      <c r="E2007" s="79">
        <f>IF('Ordenes_Odoo'!E2007="","",'Ordenes_Odoo'!E2007)</f>
        <v/>
      </c>
      <c r="F2007" s="79">
        <f>IF('Ordenes_Odoo'!F2007="","",'Ordenes_Odoo'!F2007)</f>
        <v/>
      </c>
      <c r="G2007" s="79">
        <f>IF('Ordenes_Odoo'!G2007="","",'Ordenes_Odoo'!G2007)</f>
        <v/>
      </c>
      <c r="H2007" s="79">
        <f>IF('Ordenes_Odoo'!H2007="","",'Ordenes_Odoo'!H2007)</f>
        <v/>
      </c>
      <c r="I2007" s="79">
        <f>IF('Ordenes_Odoo'!I2007="","",'Ordenes_Odoo'!I2007)</f>
        <v/>
      </c>
      <c r="J2007" s="79">
        <f>IF('Ordenes_Odoo'!J2007="","",'Ordenes_Odoo'!J2007)</f>
        <v/>
      </c>
      <c r="K2007" s="81">
        <f>IF('Ordenes_Odoo'!K2007="","",'Ordenes_Odoo'!K2007)</f>
        <v/>
      </c>
      <c r="L2007" s="81">
        <f>IF('Ordenes_Odoo'!L2007="","",'Ordenes_Odoo'!L2007)</f>
        <v/>
      </c>
      <c r="M2007" s="79">
        <f>IF('Ordenes_Odoo'!M2007="","",'Ordenes_Odoo'!M2007)</f>
        <v/>
      </c>
      <c r="N2007" s="79">
        <f>IF('Ordenes_Odoo'!N2007="","",'Ordenes_Odoo'!N2007)</f>
        <v/>
      </c>
      <c r="O2007" s="81">
        <f>IF('Ordenes_Odoo'!O2007="","",'Ordenes_Odoo'!O2007)</f>
        <v/>
      </c>
      <c r="P2007" s="81">
        <f>IF('Ordenes_Odoo'!P2007="","",'Ordenes_Odoo'!P2007)</f>
        <v/>
      </c>
      <c r="Q2007" s="79">
        <f>IF(A2007="","",IFERROR(INDEX(Facturas_Odoo!$B:$B, MATCH(A2007, Facturas_Odoo!$D:$D, 0)), "Sin Factura"))</f>
        <v/>
      </c>
      <c r="R2007" s="80">
        <f>IF(Q2007="Sin Factura","",IFERROR(INDEX(Facturas_Odoo!$A:$A, MATCH(Q2007, Facturas_Odoo!$B:$B, 0)), ""))</f>
        <v/>
      </c>
      <c r="S2007" s="79">
        <f>IF(Q2007="Sin Factura","",IFERROR(_xlfn.XLOOKUP(1, (Facturas_Odoo!$D:$D=A2007) * (Facturas_Odoo!$K:$K=I2007), Facturas_Odoo!$L:$L, ""), ""))</f>
        <v/>
      </c>
      <c r="T2007" s="81">
        <f>IF(Q2007="Sin Factura",0,IFERROR(_xlfn.XLOOKUP(1, (Facturas_Odoo!$D:$D=A2007) * (Facturas_Odoo!$K:$K=I2007), Facturas_Odoo!$M:$M, 0), 0))</f>
        <v/>
      </c>
      <c r="U2007" s="79">
        <f>IF(Q2007="Sin Factura",0,IFERROR(_xlfn.XLOOKUP(1, (Facturas_Odoo!$D:$D=A2007) * (Facturas_Odoo!$K:$K=I2007), Facturas_Odoo!$N:$N, 0), 0))</f>
        <v/>
      </c>
      <c r="V2007" s="79">
        <f>IF(Q2007="Sin Factura",0,IFERROR(_xlfn.XLOOKUP(1, (Facturas_Odoo!$D:$D=A2007) * (Facturas_Odoo!$K:$K=I2007), Facturas_Odoo!$O:$O, 0), 0))</f>
        <v/>
      </c>
      <c r="W2007" s="81">
        <f>IF(Q2007="Sin Factura",0,IFERROR(_xlfn.XLOOKUP(1, (Facturas_Odoo!$D:$D=A2007) * (Facturas_Odoo!$K:$K=I2007), Facturas_Odoo!$Q:$Q, 0), 0))</f>
        <v/>
      </c>
      <c r="X2007" s="79">
        <f>IF(OR(Q2007="Sin Factura",Q2007=""),"",IFERROR(INDEX(Pagos_Odoo!$B:$B, MATCH(Q2007, Pagos_Odoo!$I:$I, 0)), "Sin Pago"))</f>
        <v/>
      </c>
      <c r="Y2007" s="79">
        <f>IF(X2007="Sin Pago","",IFERROR(INDEX(Pagos_Odoo!$C:$C, MATCH(X2007, Pagos_Odoo!$B:$B, 0)), ""))</f>
        <v/>
      </c>
      <c r="Z2007" s="80">
        <f>IF(X2007="Sin Pago","",IFERROR(INDEX(Pagos_Odoo!$A:$A, MATCH(X2007, Pagos_Odoo!$B:$B, 0)), ""))</f>
        <v/>
      </c>
      <c r="AA2007" s="79">
        <f>IF(X2007="Sin Pago","",IFERROR(INDEX(Pagos_Odoo!$F:$F, MATCH(X2007, Pagos_Odoo!$B:$B, 0)), ""))</f>
        <v/>
      </c>
      <c r="AB2007" s="81">
        <f>IF(X2007="Sin Pago",0,IFERROR(INDEX(Pagos_Odoo!$E:$E, MATCH(X2007, Pagos_Odoo!$B:$B, 0)), 0))</f>
        <v/>
      </c>
      <c r="AC2007" s="79">
        <f>IF(X2007="Sin Pago","",IFERROR(INDEX(Pagos_Odoo!$G:$G, MATCH(X2007, Pagos_Odoo!$B:$B, 0)), ""))</f>
        <v/>
      </c>
      <c r="AD2007" s="82" t="n">
        <v>0</v>
      </c>
      <c r="AE2007" s="82" t="n"/>
      <c r="AF2007" s="82" t="n"/>
      <c r="AG2007" s="82">
        <f>IF(AN2007="","",AD2007+AE2007+AF2007)</f>
        <v/>
      </c>
      <c r="AH2007" s="81">
        <f>IF(AN2007="","",P2007*(1-AG2007))</f>
        <v/>
      </c>
      <c r="AI2007" s="81">
        <f>IF(AN2007="","",IF(Q2007="Sin Factura",0,IFERROR(INDEX(Facturas_Odoo!$H:$H, MATCH(Q2007, Facturas_Odoo!$B:$B, 0)), 0)*(1-AG2007)))</f>
        <v/>
      </c>
      <c r="AJ2007" s="81">
        <f>IF(AN2007="","",_xlfn.LET(idVenta, AN2007&amp;"",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07" s="81">
        <f>IF(AN2007="","",AH2007-AJ2007)</f>
        <v/>
      </c>
      <c r="AL2007" s="81">
        <f>IF(AN2007="","",IF(Q2007="Sin Factura","",AI2007-AJ2007))</f>
        <v/>
      </c>
      <c r="AM2007" s="81">
        <f>IF(AN2007="","",IF(Q2007="Sin Factura",0,P2007-IFERROR(INDEX(Facturas_Odoo!$H:$H, MATCH(Q2007, Facturas_Odoo!$B:$B, 0)), 0)))</f>
        <v/>
      </c>
      <c r="AN2007" s="79">
        <f>IF(AND(A2007="", J2007=""), "", IF(A2007&lt;&gt;"", VALUE(MID(A2007,2,LEN(A2007))), AN2006))</f>
        <v/>
      </c>
      <c r="AO2007" s="79">
        <f>IF(AN2007="","",IF(AD2007=0,"OK",_xlfn.LET(monedaPago, IF(AA2007="","USD",AA2007), limitePermitido, IFERROR(VLOOKUP(monedaPago, Configuración!$A$2:$B$3, 2, FALSE), 0.15), IF(AD2007&gt;limitePermitido, "ALERTA: EXCESO (" &amp; TEXT(limitePermitido, "0%") &amp; " máx)", "OK"))))</f>
        <v/>
      </c>
      <c r="AP2007" s="79">
        <f>IF(AN2007="","",IF(AE2007=0,"OK",_xlfn.LET(fechaPago, Z2007, fechaFactura, R2007, diasCredito, IF(E2007="Pago inmediato", 0, IFERROR(VALUE(MID(E2007, 1, SEARCH(" ", E2007)-1)),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07" s="79">
        <f>IF(AN2007="","",IF(AND(N2007&gt;0, AG2007&gt;0), IF(Configuración!$K$2="NO", "ALERTA: DESCUENTO DOBLE NO PERMITIDO", "OK"), "OK"))</f>
        <v/>
      </c>
      <c r="AR2007" s="79">
        <f>IF(AN2007="","",IF(OR(AO2007&lt;&gt;"OK", AP2007&lt;&gt;"OK", AQ2007&lt;&gt;"OK"), "⚠️ REVISAR", "OK"))</f>
        <v/>
      </c>
    </row>
    <row r="2008">
      <c r="A2008" s="79">
        <f>IF('Ordenes_Odoo'!A2008="","",'Ordenes_Odoo'!A2008)</f>
        <v/>
      </c>
      <c r="B2008" s="80">
        <f>IF('Ordenes_Odoo'!B2008="","",'Ordenes_Odoo'!B2008)</f>
        <v/>
      </c>
      <c r="C2008" s="79">
        <f>IF('Ordenes_Odoo'!C2008="","",'Ordenes_Odoo'!C2008)</f>
        <v/>
      </c>
      <c r="D2008" s="79">
        <f>IF('Ordenes_Odoo'!D2008="","",'Ordenes_Odoo'!D2008)</f>
        <v/>
      </c>
      <c r="E2008" s="79">
        <f>IF('Ordenes_Odoo'!E2008="","",'Ordenes_Odoo'!E2008)</f>
        <v/>
      </c>
      <c r="F2008" s="79">
        <f>IF('Ordenes_Odoo'!F2008="","",'Ordenes_Odoo'!F2008)</f>
        <v/>
      </c>
      <c r="G2008" s="79">
        <f>IF('Ordenes_Odoo'!G2008="","",'Ordenes_Odoo'!G2008)</f>
        <v/>
      </c>
      <c r="H2008" s="79">
        <f>IF('Ordenes_Odoo'!H2008="","",'Ordenes_Odoo'!H2008)</f>
        <v/>
      </c>
      <c r="I2008" s="79">
        <f>IF('Ordenes_Odoo'!I2008="","",'Ordenes_Odoo'!I2008)</f>
        <v/>
      </c>
      <c r="J2008" s="79">
        <f>IF('Ordenes_Odoo'!J2008="","",'Ordenes_Odoo'!J2008)</f>
        <v/>
      </c>
      <c r="K2008" s="81">
        <f>IF('Ordenes_Odoo'!K2008="","",'Ordenes_Odoo'!K2008)</f>
        <v/>
      </c>
      <c r="L2008" s="81">
        <f>IF('Ordenes_Odoo'!L2008="","",'Ordenes_Odoo'!L2008)</f>
        <v/>
      </c>
      <c r="M2008" s="79">
        <f>IF('Ordenes_Odoo'!M2008="","",'Ordenes_Odoo'!M2008)</f>
        <v/>
      </c>
      <c r="N2008" s="79">
        <f>IF('Ordenes_Odoo'!N2008="","",'Ordenes_Odoo'!N2008)</f>
        <v/>
      </c>
      <c r="O2008" s="81">
        <f>IF('Ordenes_Odoo'!O2008="","",'Ordenes_Odoo'!O2008)</f>
        <v/>
      </c>
      <c r="P2008" s="81">
        <f>IF('Ordenes_Odoo'!P2008="","",'Ordenes_Odoo'!P2008)</f>
        <v/>
      </c>
      <c r="Q2008" s="79">
        <f>IF(A2008="","",IFERROR(INDEX(Facturas_Odoo!$B:$B, MATCH(A2008, Facturas_Odoo!$D:$D, 0)), "Sin Factura"))</f>
        <v/>
      </c>
      <c r="R2008" s="80">
        <f>IF(Q2008="Sin Factura","",IFERROR(INDEX(Facturas_Odoo!$A:$A, MATCH(Q2008, Facturas_Odoo!$B:$B, 0)), ""))</f>
        <v/>
      </c>
      <c r="S2008" s="79">
        <f>IF(Q2008="Sin Factura","",IFERROR(_xlfn.XLOOKUP(1, (Facturas_Odoo!$D:$D=A2008) * (Facturas_Odoo!$K:$K=I2008), Facturas_Odoo!$L:$L, ""), ""))</f>
        <v/>
      </c>
      <c r="T2008" s="81">
        <f>IF(Q2008="Sin Factura",0,IFERROR(_xlfn.XLOOKUP(1, (Facturas_Odoo!$D:$D=A2008) * (Facturas_Odoo!$K:$K=I2008), Facturas_Odoo!$M:$M, 0), 0))</f>
        <v/>
      </c>
      <c r="U2008" s="79">
        <f>IF(Q2008="Sin Factura",0,IFERROR(_xlfn.XLOOKUP(1, (Facturas_Odoo!$D:$D=A2008) * (Facturas_Odoo!$K:$K=I2008), Facturas_Odoo!$N:$N, 0), 0))</f>
        <v/>
      </c>
      <c r="V2008" s="79">
        <f>IF(Q2008="Sin Factura",0,IFERROR(_xlfn.XLOOKUP(1, (Facturas_Odoo!$D:$D=A2008) * (Facturas_Odoo!$K:$K=I2008), Facturas_Odoo!$O:$O, 0), 0))</f>
        <v/>
      </c>
      <c r="W2008" s="81">
        <f>IF(Q2008="Sin Factura",0,IFERROR(_xlfn.XLOOKUP(1, (Facturas_Odoo!$D:$D=A2008) * (Facturas_Odoo!$K:$K=I2008), Facturas_Odoo!$Q:$Q, 0), 0))</f>
        <v/>
      </c>
      <c r="X2008" s="79">
        <f>IF(OR(Q2008="Sin Factura",Q2008=""),"",IFERROR(INDEX(Pagos_Odoo!$B:$B, MATCH(Q2008, Pagos_Odoo!$I:$I, 0)), "Sin Pago"))</f>
        <v/>
      </c>
      <c r="Y2008" s="79">
        <f>IF(X2008="Sin Pago","",IFERROR(INDEX(Pagos_Odoo!$C:$C, MATCH(X2008, Pagos_Odoo!$B:$B, 0)), ""))</f>
        <v/>
      </c>
      <c r="Z2008" s="80">
        <f>IF(X2008="Sin Pago","",IFERROR(INDEX(Pagos_Odoo!$A:$A, MATCH(X2008, Pagos_Odoo!$B:$B, 0)), ""))</f>
        <v/>
      </c>
      <c r="AA2008" s="79">
        <f>IF(X2008="Sin Pago","",IFERROR(INDEX(Pagos_Odoo!$F:$F, MATCH(X2008, Pagos_Odoo!$B:$B, 0)), ""))</f>
        <v/>
      </c>
      <c r="AB2008" s="81">
        <f>IF(X2008="Sin Pago",0,IFERROR(INDEX(Pagos_Odoo!$E:$E, MATCH(X2008, Pagos_Odoo!$B:$B, 0)), 0))</f>
        <v/>
      </c>
      <c r="AC2008" s="79">
        <f>IF(X2008="Sin Pago","",IFERROR(INDEX(Pagos_Odoo!$G:$G, MATCH(X2008, Pagos_Odoo!$B:$B, 0)), ""))</f>
        <v/>
      </c>
      <c r="AD2008" s="82" t="n">
        <v>0</v>
      </c>
      <c r="AE2008" s="82" t="n"/>
      <c r="AF2008" s="82" t="n"/>
      <c r="AG2008" s="82">
        <f>IF(AN2008="","",AD2008+AE2008+AF2008)</f>
        <v/>
      </c>
      <c r="AH2008" s="81">
        <f>IF(AN2008="","",P2008*(1-AG2008))</f>
        <v/>
      </c>
      <c r="AI2008" s="81">
        <f>IF(AN2008="","",IF(Q2008="Sin Factura",0,IFERROR(INDEX(Facturas_Odoo!$H:$H, MATCH(Q2008, Facturas_Odoo!$B:$B, 0)), 0)*(1-AG2008)))</f>
        <v/>
      </c>
      <c r="AJ2008" s="81">
        <f>IF(AN2008="","",_xlfn.LET(idVenta, AN2008&amp;"",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08" s="81">
        <f>IF(AN2008="","",AH2008-AJ2008)</f>
        <v/>
      </c>
      <c r="AL2008" s="81">
        <f>IF(AN2008="","",IF(Q2008="Sin Factura","",AI2008-AJ2008))</f>
        <v/>
      </c>
      <c r="AM2008" s="81">
        <f>IF(AN2008="","",IF(Q2008="Sin Factura",0,P2008-IFERROR(INDEX(Facturas_Odoo!$H:$H, MATCH(Q2008, Facturas_Odoo!$B:$B, 0)), 0)))</f>
        <v/>
      </c>
      <c r="AN2008" s="79">
        <f>IF(AND(A2008="", J2008=""), "", IF(A2008&lt;&gt;"", VALUE(MID(A2008,2,LEN(A2008))), AN2007))</f>
        <v/>
      </c>
      <c r="AO2008" s="79">
        <f>IF(AN2008="","",IF(AD2008=0,"OK",_xlfn.LET(monedaPago, IF(AA2008="","USD",AA2008), limitePermitido, IFERROR(VLOOKUP(monedaPago, Configuración!$A$2:$B$3, 2, FALSE), 0.15), IF(AD2008&gt;limitePermitido, "ALERTA: EXCESO (" &amp; TEXT(limitePermitido, "0%") &amp; " máx)", "OK"))))</f>
        <v/>
      </c>
      <c r="AP2008" s="79">
        <f>IF(AN2008="","",IF(AE2008=0,"OK",_xlfn.LET(fechaPago, Z2008, fechaFactura, R2008, diasCredito, IF(E2008="Pago inmediato", 0, IFERROR(VALUE(MID(E2008, 1, SEARCH(" ", E2008)-1)),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08" s="79">
        <f>IF(AN2008="","",IF(AND(N2008&gt;0, AG2008&gt;0), IF(Configuración!$K$2="NO", "ALERTA: DESCUENTO DOBLE NO PERMITIDO", "OK"), "OK"))</f>
        <v/>
      </c>
      <c r="AR2008" s="79">
        <f>IF(AN2008="","",IF(OR(AO2008&lt;&gt;"OK", AP2008&lt;&gt;"OK", AQ2008&lt;&gt;"OK"), "⚠️ REVISAR", "OK"))</f>
        <v/>
      </c>
    </row>
    <row r="2009">
      <c r="A2009" s="79">
        <f>IF('Ordenes_Odoo'!A2009="","",'Ordenes_Odoo'!A2009)</f>
        <v/>
      </c>
      <c r="B2009" s="80">
        <f>IF('Ordenes_Odoo'!B2009="","",'Ordenes_Odoo'!B2009)</f>
        <v/>
      </c>
      <c r="C2009" s="79">
        <f>IF('Ordenes_Odoo'!C2009="","",'Ordenes_Odoo'!C2009)</f>
        <v/>
      </c>
      <c r="D2009" s="79">
        <f>IF('Ordenes_Odoo'!D2009="","",'Ordenes_Odoo'!D2009)</f>
        <v/>
      </c>
      <c r="E2009" s="79">
        <f>IF('Ordenes_Odoo'!E2009="","",'Ordenes_Odoo'!E2009)</f>
        <v/>
      </c>
      <c r="F2009" s="79">
        <f>IF('Ordenes_Odoo'!F2009="","",'Ordenes_Odoo'!F2009)</f>
        <v/>
      </c>
      <c r="G2009" s="79">
        <f>IF('Ordenes_Odoo'!G2009="","",'Ordenes_Odoo'!G2009)</f>
        <v/>
      </c>
      <c r="H2009" s="79">
        <f>IF('Ordenes_Odoo'!H2009="","",'Ordenes_Odoo'!H2009)</f>
        <v/>
      </c>
      <c r="I2009" s="79">
        <f>IF('Ordenes_Odoo'!I2009="","",'Ordenes_Odoo'!I2009)</f>
        <v/>
      </c>
      <c r="J2009" s="79">
        <f>IF('Ordenes_Odoo'!J2009="","",'Ordenes_Odoo'!J2009)</f>
        <v/>
      </c>
      <c r="K2009" s="81">
        <f>IF('Ordenes_Odoo'!K2009="","",'Ordenes_Odoo'!K2009)</f>
        <v/>
      </c>
      <c r="L2009" s="81">
        <f>IF('Ordenes_Odoo'!L2009="","",'Ordenes_Odoo'!L2009)</f>
        <v/>
      </c>
      <c r="M2009" s="79">
        <f>IF('Ordenes_Odoo'!M2009="","",'Ordenes_Odoo'!M2009)</f>
        <v/>
      </c>
      <c r="N2009" s="79">
        <f>IF('Ordenes_Odoo'!N2009="","",'Ordenes_Odoo'!N2009)</f>
        <v/>
      </c>
      <c r="O2009" s="81">
        <f>IF('Ordenes_Odoo'!O2009="","",'Ordenes_Odoo'!O2009)</f>
        <v/>
      </c>
      <c r="P2009" s="81">
        <f>IF('Ordenes_Odoo'!P2009="","",'Ordenes_Odoo'!P2009)</f>
        <v/>
      </c>
      <c r="Q2009" s="79">
        <f>IF(A2009="","",IFERROR(INDEX(Facturas_Odoo!$B:$B, MATCH(A2009, Facturas_Odoo!$D:$D, 0)), "Sin Factura"))</f>
        <v/>
      </c>
      <c r="R2009" s="80">
        <f>IF(Q2009="Sin Factura","",IFERROR(INDEX(Facturas_Odoo!$A:$A, MATCH(Q2009, Facturas_Odoo!$B:$B, 0)), ""))</f>
        <v/>
      </c>
      <c r="S2009" s="79">
        <f>IF(Q2009="Sin Factura","",IFERROR(_xlfn.XLOOKUP(1, (Facturas_Odoo!$D:$D=A2009) * (Facturas_Odoo!$K:$K=I2009), Facturas_Odoo!$L:$L, ""), ""))</f>
        <v/>
      </c>
      <c r="T2009" s="81">
        <f>IF(Q2009="Sin Factura",0,IFERROR(_xlfn.XLOOKUP(1, (Facturas_Odoo!$D:$D=A2009) * (Facturas_Odoo!$K:$K=I2009), Facturas_Odoo!$M:$M, 0), 0))</f>
        <v/>
      </c>
      <c r="U2009" s="79">
        <f>IF(Q2009="Sin Factura",0,IFERROR(_xlfn.XLOOKUP(1, (Facturas_Odoo!$D:$D=A2009) * (Facturas_Odoo!$K:$K=I2009), Facturas_Odoo!$N:$N, 0), 0))</f>
        <v/>
      </c>
      <c r="V2009" s="79">
        <f>IF(Q2009="Sin Factura",0,IFERROR(_xlfn.XLOOKUP(1, (Facturas_Odoo!$D:$D=A2009) * (Facturas_Odoo!$K:$K=I2009), Facturas_Odoo!$O:$O, 0), 0))</f>
        <v/>
      </c>
      <c r="W2009" s="81">
        <f>IF(Q2009="Sin Factura",0,IFERROR(_xlfn.XLOOKUP(1, (Facturas_Odoo!$D:$D=A2009) * (Facturas_Odoo!$K:$K=I2009), Facturas_Odoo!$Q:$Q, 0), 0))</f>
        <v/>
      </c>
      <c r="X2009" s="79">
        <f>IF(OR(Q2009="Sin Factura",Q2009=""),"",IFERROR(INDEX(Pagos_Odoo!$B:$B, MATCH(Q2009, Pagos_Odoo!$I:$I, 0)), "Sin Pago"))</f>
        <v/>
      </c>
      <c r="Y2009" s="79">
        <f>IF(X2009="Sin Pago","",IFERROR(INDEX(Pagos_Odoo!$C:$C, MATCH(X2009, Pagos_Odoo!$B:$B, 0)), ""))</f>
        <v/>
      </c>
      <c r="Z2009" s="80">
        <f>IF(X2009="Sin Pago","",IFERROR(INDEX(Pagos_Odoo!$A:$A, MATCH(X2009, Pagos_Odoo!$B:$B, 0)), ""))</f>
        <v/>
      </c>
      <c r="AA2009" s="79">
        <f>IF(X2009="Sin Pago","",IFERROR(INDEX(Pagos_Odoo!$F:$F, MATCH(X2009, Pagos_Odoo!$B:$B, 0)), ""))</f>
        <v/>
      </c>
      <c r="AB2009" s="81">
        <f>IF(X2009="Sin Pago",0,IFERROR(INDEX(Pagos_Odoo!$E:$E, MATCH(X2009, Pagos_Odoo!$B:$B, 0)), 0))</f>
        <v/>
      </c>
      <c r="AC2009" s="79">
        <f>IF(X2009="Sin Pago","",IFERROR(INDEX(Pagos_Odoo!$G:$G, MATCH(X2009, Pagos_Odoo!$B:$B, 0)), ""))</f>
        <v/>
      </c>
      <c r="AD2009" s="82" t="n">
        <v>0</v>
      </c>
      <c r="AE2009" s="82" t="n"/>
      <c r="AF2009" s="82" t="n"/>
      <c r="AG2009" s="82">
        <f>IF(AN2009="","",AD2009+AE2009+AF2009)</f>
        <v/>
      </c>
      <c r="AH2009" s="81">
        <f>IF(AN2009="","",P2009*(1-AG2009))</f>
        <v/>
      </c>
      <c r="AI2009" s="81">
        <f>IF(AN2009="","",IF(Q2009="Sin Factura",0,IFERROR(INDEX(Facturas_Odoo!$H:$H, MATCH(Q2009, Facturas_Odoo!$B:$B, 0)), 0)*(1-AG2009)))</f>
        <v/>
      </c>
      <c r="AJ2009" s="81">
        <f>IF(AN2009="","",_xlfn.LET(idVenta, AN2009&amp;"",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09" s="81">
        <f>IF(AN2009="","",AH2009-AJ2009)</f>
        <v/>
      </c>
      <c r="AL2009" s="81">
        <f>IF(AN2009="","",IF(Q2009="Sin Factura","",AI2009-AJ2009))</f>
        <v/>
      </c>
      <c r="AM2009" s="81">
        <f>IF(AN2009="","",IF(Q2009="Sin Factura",0,P2009-IFERROR(INDEX(Facturas_Odoo!$H:$H, MATCH(Q2009, Facturas_Odoo!$B:$B, 0)), 0)))</f>
        <v/>
      </c>
      <c r="AN2009" s="79">
        <f>IF(AND(A2009="", J2009=""), "", IF(A2009&lt;&gt;"", VALUE(MID(A2009,2,LEN(A2009))), AN2008))</f>
        <v/>
      </c>
      <c r="AO2009" s="79">
        <f>IF(AN2009="","",IF(AD2009=0,"OK",_xlfn.LET(monedaPago, IF(AA2009="","USD",AA2009), limitePermitido, IFERROR(VLOOKUP(monedaPago, Configuración!$A$2:$B$3, 2, FALSE), 0.15), IF(AD2009&gt;limitePermitido, "ALERTA: EXCESO (" &amp; TEXT(limitePermitido, "0%") &amp; " máx)", "OK"))))</f>
        <v/>
      </c>
      <c r="AP2009" s="79">
        <f>IF(AN2009="","",IF(AE2009=0,"OK",_xlfn.LET(fechaPago, Z2009, fechaFactura, R2009, diasCredito, IF(E2009="Pago inmediato", 0, IFERROR(VALUE(MID(E2009, 1, SEARCH(" ", E2009)-1)),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09" s="79">
        <f>IF(AN2009="","",IF(AND(N2009&gt;0, AG2009&gt;0), IF(Configuración!$K$2="NO", "ALERTA: DESCUENTO DOBLE NO PERMITIDO", "OK"), "OK"))</f>
        <v/>
      </c>
      <c r="AR2009" s="79">
        <f>IF(AN2009="","",IF(OR(AO2009&lt;&gt;"OK", AP2009&lt;&gt;"OK", AQ2009&lt;&gt;"OK"), "⚠️ REVISAR", "OK"))</f>
        <v/>
      </c>
    </row>
    <row r="2010">
      <c r="A2010" s="79">
        <f>IF('Ordenes_Odoo'!A2010="","",'Ordenes_Odoo'!A2010)</f>
        <v/>
      </c>
      <c r="B2010" s="80">
        <f>IF('Ordenes_Odoo'!B2010="","",'Ordenes_Odoo'!B2010)</f>
        <v/>
      </c>
      <c r="C2010" s="79">
        <f>IF('Ordenes_Odoo'!C2010="","",'Ordenes_Odoo'!C2010)</f>
        <v/>
      </c>
      <c r="D2010" s="79">
        <f>IF('Ordenes_Odoo'!D2010="","",'Ordenes_Odoo'!D2010)</f>
        <v/>
      </c>
      <c r="E2010" s="79">
        <f>IF('Ordenes_Odoo'!E2010="","",'Ordenes_Odoo'!E2010)</f>
        <v/>
      </c>
      <c r="F2010" s="79">
        <f>IF('Ordenes_Odoo'!F2010="","",'Ordenes_Odoo'!F2010)</f>
        <v/>
      </c>
      <c r="G2010" s="79">
        <f>IF('Ordenes_Odoo'!G2010="","",'Ordenes_Odoo'!G2010)</f>
        <v/>
      </c>
      <c r="H2010" s="79">
        <f>IF('Ordenes_Odoo'!H2010="","",'Ordenes_Odoo'!H2010)</f>
        <v/>
      </c>
      <c r="I2010" s="79">
        <f>IF('Ordenes_Odoo'!I2010="","",'Ordenes_Odoo'!I2010)</f>
        <v/>
      </c>
      <c r="J2010" s="79">
        <f>IF('Ordenes_Odoo'!J2010="","",'Ordenes_Odoo'!J2010)</f>
        <v/>
      </c>
      <c r="K2010" s="81">
        <f>IF('Ordenes_Odoo'!K2010="","",'Ordenes_Odoo'!K2010)</f>
        <v/>
      </c>
      <c r="L2010" s="81">
        <f>IF('Ordenes_Odoo'!L2010="","",'Ordenes_Odoo'!L2010)</f>
        <v/>
      </c>
      <c r="M2010" s="79">
        <f>IF('Ordenes_Odoo'!M2010="","",'Ordenes_Odoo'!M2010)</f>
        <v/>
      </c>
      <c r="N2010" s="79">
        <f>IF('Ordenes_Odoo'!N2010="","",'Ordenes_Odoo'!N2010)</f>
        <v/>
      </c>
      <c r="O2010" s="81">
        <f>IF('Ordenes_Odoo'!O2010="","",'Ordenes_Odoo'!O2010)</f>
        <v/>
      </c>
      <c r="P2010" s="81">
        <f>IF('Ordenes_Odoo'!P2010="","",'Ordenes_Odoo'!P2010)</f>
        <v/>
      </c>
      <c r="Q2010" s="79">
        <f>IF(A2010="","",IFERROR(INDEX(Facturas_Odoo!$B:$B, MATCH(A2010, Facturas_Odoo!$D:$D, 0)), "Sin Factura"))</f>
        <v/>
      </c>
      <c r="R2010" s="80">
        <f>IF(Q2010="Sin Factura","",IFERROR(INDEX(Facturas_Odoo!$A:$A, MATCH(Q2010, Facturas_Odoo!$B:$B, 0)), ""))</f>
        <v/>
      </c>
      <c r="S2010" s="79">
        <f>IF(Q2010="Sin Factura","",IFERROR(_xlfn.XLOOKUP(1, (Facturas_Odoo!$D:$D=A2010) * (Facturas_Odoo!$K:$K=I2010), Facturas_Odoo!$L:$L, ""), ""))</f>
        <v/>
      </c>
      <c r="T2010" s="81">
        <f>IF(Q2010="Sin Factura",0,IFERROR(_xlfn.XLOOKUP(1, (Facturas_Odoo!$D:$D=A2010) * (Facturas_Odoo!$K:$K=I2010), Facturas_Odoo!$M:$M, 0), 0))</f>
        <v/>
      </c>
      <c r="U2010" s="79">
        <f>IF(Q2010="Sin Factura",0,IFERROR(_xlfn.XLOOKUP(1, (Facturas_Odoo!$D:$D=A2010) * (Facturas_Odoo!$K:$K=I2010), Facturas_Odoo!$N:$N, 0), 0))</f>
        <v/>
      </c>
      <c r="V2010" s="79">
        <f>IF(Q2010="Sin Factura",0,IFERROR(_xlfn.XLOOKUP(1, (Facturas_Odoo!$D:$D=A2010) * (Facturas_Odoo!$K:$K=I2010), Facturas_Odoo!$O:$O, 0), 0))</f>
        <v/>
      </c>
      <c r="W2010" s="81">
        <f>IF(Q2010="Sin Factura",0,IFERROR(_xlfn.XLOOKUP(1, (Facturas_Odoo!$D:$D=A2010) * (Facturas_Odoo!$K:$K=I2010), Facturas_Odoo!$Q:$Q, 0), 0))</f>
        <v/>
      </c>
      <c r="X2010" s="79">
        <f>IF(OR(Q2010="Sin Factura",Q2010=""),"",IFERROR(INDEX(Pagos_Odoo!$B:$B, MATCH(Q2010, Pagos_Odoo!$I:$I, 0)), "Sin Pago"))</f>
        <v/>
      </c>
      <c r="Y2010" s="79">
        <f>IF(X2010="Sin Pago","",IFERROR(INDEX(Pagos_Odoo!$C:$C, MATCH(X2010, Pagos_Odoo!$B:$B, 0)), ""))</f>
        <v/>
      </c>
      <c r="Z2010" s="80">
        <f>IF(X2010="Sin Pago","",IFERROR(INDEX(Pagos_Odoo!$A:$A, MATCH(X2010, Pagos_Odoo!$B:$B, 0)), ""))</f>
        <v/>
      </c>
      <c r="AA2010" s="79">
        <f>IF(X2010="Sin Pago","",IFERROR(INDEX(Pagos_Odoo!$F:$F, MATCH(X2010, Pagos_Odoo!$B:$B, 0)), ""))</f>
        <v/>
      </c>
      <c r="AB2010" s="81">
        <f>IF(X2010="Sin Pago",0,IFERROR(INDEX(Pagos_Odoo!$E:$E, MATCH(X2010, Pagos_Odoo!$B:$B, 0)), 0))</f>
        <v/>
      </c>
      <c r="AC2010" s="79">
        <f>IF(X2010="Sin Pago","",IFERROR(INDEX(Pagos_Odoo!$G:$G, MATCH(X2010, Pagos_Odoo!$B:$B, 0)), ""))</f>
        <v/>
      </c>
      <c r="AD2010" s="82" t="n">
        <v>0</v>
      </c>
      <c r="AE2010" s="82" t="n"/>
      <c r="AF2010" s="82" t="n"/>
      <c r="AG2010" s="82">
        <f>IF(AN2010="","",AD2010+AE2010+AF2010)</f>
        <v/>
      </c>
      <c r="AH2010" s="81">
        <f>IF(AN2010="","",P2010*(1-AG2010))</f>
        <v/>
      </c>
      <c r="AI2010" s="81">
        <f>IF(AN2010="","",IF(Q2010="Sin Factura",0,IFERROR(INDEX(Facturas_Odoo!$H:$H, MATCH(Q2010, Facturas_Odoo!$B:$B, 0)), 0)*(1-AG2010)))</f>
        <v/>
      </c>
      <c r="AJ2010" s="81">
        <f>IF(AN2010="","",_xlfn.LET(idVenta, AN2010&amp;"",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10" s="81">
        <f>IF(AN2010="","",AH2010-AJ2010)</f>
        <v/>
      </c>
      <c r="AL2010" s="81">
        <f>IF(AN2010="","",IF(Q2010="Sin Factura","",AI2010-AJ2010))</f>
        <v/>
      </c>
      <c r="AM2010" s="81">
        <f>IF(AN2010="","",IF(Q2010="Sin Factura",0,P2010-IFERROR(INDEX(Facturas_Odoo!$H:$H, MATCH(Q2010, Facturas_Odoo!$B:$B, 0)), 0)))</f>
        <v/>
      </c>
      <c r="AN2010" s="79">
        <f>IF(AND(A2010="", J2010=""), "", IF(A2010&lt;&gt;"", VALUE(MID(A2010,2,LEN(A2010))), AN2009))</f>
        <v/>
      </c>
      <c r="AO2010" s="79">
        <f>IF(AN2010="","",IF(AD2010=0,"OK",_xlfn.LET(monedaPago, IF(AA2010="","USD",AA2010), limitePermitido, IFERROR(VLOOKUP(monedaPago, Configuración!$A$2:$B$3, 2, FALSE), 0.15), IF(AD2010&gt;limitePermitido, "ALERTA: EXCESO (" &amp; TEXT(limitePermitido, "0%") &amp; " máx)", "OK"))))</f>
        <v/>
      </c>
      <c r="AP2010" s="79">
        <f>IF(AN2010="","",IF(AE2010=0,"OK",_xlfn.LET(fechaPago, Z2010, fechaFactura, R2010, diasCredito, IF(E2010="Pago inmediato", 0, IFERROR(VALUE(MID(E2010, 1, SEARCH(" ", E2010)-1)),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10" s="79">
        <f>IF(AN2010="","",IF(AND(N2010&gt;0, AG2010&gt;0), IF(Configuración!$K$2="NO", "ALERTA: DESCUENTO DOBLE NO PERMITIDO", "OK"), "OK"))</f>
        <v/>
      </c>
      <c r="AR2010" s="79">
        <f>IF(AN2010="","",IF(OR(AO2010&lt;&gt;"OK", AP2010&lt;&gt;"OK", AQ2010&lt;&gt;"OK"), "⚠️ REVISAR", "OK"))</f>
        <v/>
      </c>
    </row>
    <row r="2011">
      <c r="A2011" s="79">
        <f>IF('Ordenes_Odoo'!A2011="","",'Ordenes_Odoo'!A2011)</f>
        <v/>
      </c>
      <c r="B2011" s="80">
        <f>IF('Ordenes_Odoo'!B2011="","",'Ordenes_Odoo'!B2011)</f>
        <v/>
      </c>
      <c r="C2011" s="79">
        <f>IF('Ordenes_Odoo'!C2011="","",'Ordenes_Odoo'!C2011)</f>
        <v/>
      </c>
      <c r="D2011" s="79">
        <f>IF('Ordenes_Odoo'!D2011="","",'Ordenes_Odoo'!D2011)</f>
        <v/>
      </c>
      <c r="E2011" s="79">
        <f>IF('Ordenes_Odoo'!E2011="","",'Ordenes_Odoo'!E2011)</f>
        <v/>
      </c>
      <c r="F2011" s="79">
        <f>IF('Ordenes_Odoo'!F2011="","",'Ordenes_Odoo'!F2011)</f>
        <v/>
      </c>
      <c r="G2011" s="79">
        <f>IF('Ordenes_Odoo'!G2011="","",'Ordenes_Odoo'!G2011)</f>
        <v/>
      </c>
      <c r="H2011" s="79">
        <f>IF('Ordenes_Odoo'!H2011="","",'Ordenes_Odoo'!H2011)</f>
        <v/>
      </c>
      <c r="I2011" s="79">
        <f>IF('Ordenes_Odoo'!I2011="","",'Ordenes_Odoo'!I2011)</f>
        <v/>
      </c>
      <c r="J2011" s="79">
        <f>IF('Ordenes_Odoo'!J2011="","",'Ordenes_Odoo'!J2011)</f>
        <v/>
      </c>
      <c r="K2011" s="81">
        <f>IF('Ordenes_Odoo'!K2011="","",'Ordenes_Odoo'!K2011)</f>
        <v/>
      </c>
      <c r="L2011" s="81">
        <f>IF('Ordenes_Odoo'!L2011="","",'Ordenes_Odoo'!L2011)</f>
        <v/>
      </c>
      <c r="M2011" s="79">
        <f>IF('Ordenes_Odoo'!M2011="","",'Ordenes_Odoo'!M2011)</f>
        <v/>
      </c>
      <c r="N2011" s="79">
        <f>IF('Ordenes_Odoo'!N2011="","",'Ordenes_Odoo'!N2011)</f>
        <v/>
      </c>
      <c r="O2011" s="81">
        <f>IF('Ordenes_Odoo'!O2011="","",'Ordenes_Odoo'!O2011)</f>
        <v/>
      </c>
      <c r="P2011" s="81">
        <f>IF('Ordenes_Odoo'!P2011="","",'Ordenes_Odoo'!P2011)</f>
        <v/>
      </c>
      <c r="Q2011" s="79">
        <f>IF(A2011="","",IFERROR(INDEX(Facturas_Odoo!$B:$B, MATCH(A2011, Facturas_Odoo!$D:$D, 0)), "Sin Factura"))</f>
        <v/>
      </c>
      <c r="R2011" s="80">
        <f>IF(Q2011="Sin Factura","",IFERROR(INDEX(Facturas_Odoo!$A:$A, MATCH(Q2011, Facturas_Odoo!$B:$B, 0)), ""))</f>
        <v/>
      </c>
      <c r="S2011" s="79">
        <f>IF(Q2011="Sin Factura","",IFERROR(_xlfn.XLOOKUP(1, (Facturas_Odoo!$D:$D=A2011) * (Facturas_Odoo!$K:$K=I2011), Facturas_Odoo!$L:$L, ""), ""))</f>
        <v/>
      </c>
      <c r="T2011" s="81">
        <f>IF(Q2011="Sin Factura",0,IFERROR(_xlfn.XLOOKUP(1, (Facturas_Odoo!$D:$D=A2011) * (Facturas_Odoo!$K:$K=I2011), Facturas_Odoo!$M:$M, 0), 0))</f>
        <v/>
      </c>
      <c r="U2011" s="79">
        <f>IF(Q2011="Sin Factura",0,IFERROR(_xlfn.XLOOKUP(1, (Facturas_Odoo!$D:$D=A2011) * (Facturas_Odoo!$K:$K=I2011), Facturas_Odoo!$N:$N, 0), 0))</f>
        <v/>
      </c>
      <c r="V2011" s="79">
        <f>IF(Q2011="Sin Factura",0,IFERROR(_xlfn.XLOOKUP(1, (Facturas_Odoo!$D:$D=A2011) * (Facturas_Odoo!$K:$K=I2011), Facturas_Odoo!$O:$O, 0), 0))</f>
        <v/>
      </c>
      <c r="W2011" s="81">
        <f>IF(Q2011="Sin Factura",0,IFERROR(_xlfn.XLOOKUP(1, (Facturas_Odoo!$D:$D=A2011) * (Facturas_Odoo!$K:$K=I2011), Facturas_Odoo!$Q:$Q, 0), 0))</f>
        <v/>
      </c>
      <c r="X2011" s="79">
        <f>IF(OR(Q2011="Sin Factura",Q2011=""),"",IFERROR(INDEX(Pagos_Odoo!$B:$B, MATCH(Q2011, Pagos_Odoo!$I:$I, 0)), "Sin Pago"))</f>
        <v/>
      </c>
      <c r="Y2011" s="79">
        <f>IF(X2011="Sin Pago","",IFERROR(INDEX(Pagos_Odoo!$C:$C, MATCH(X2011, Pagos_Odoo!$B:$B, 0)), ""))</f>
        <v/>
      </c>
      <c r="Z2011" s="80">
        <f>IF(X2011="Sin Pago","",IFERROR(INDEX(Pagos_Odoo!$A:$A, MATCH(X2011, Pagos_Odoo!$B:$B, 0)), ""))</f>
        <v/>
      </c>
      <c r="AA2011" s="79">
        <f>IF(X2011="Sin Pago","",IFERROR(INDEX(Pagos_Odoo!$F:$F, MATCH(X2011, Pagos_Odoo!$B:$B, 0)), ""))</f>
        <v/>
      </c>
      <c r="AB2011" s="81">
        <f>IF(X2011="Sin Pago",0,IFERROR(INDEX(Pagos_Odoo!$E:$E, MATCH(X2011, Pagos_Odoo!$B:$B, 0)), 0))</f>
        <v/>
      </c>
      <c r="AC2011" s="79">
        <f>IF(X2011="Sin Pago","",IFERROR(INDEX(Pagos_Odoo!$G:$G, MATCH(X2011, Pagos_Odoo!$B:$B, 0)), ""))</f>
        <v/>
      </c>
      <c r="AD2011" s="82" t="n">
        <v>0</v>
      </c>
      <c r="AE2011" s="82" t="n"/>
      <c r="AF2011" s="82" t="n"/>
      <c r="AG2011" s="82">
        <f>IF(AN2011="","",AD2011+AE2011+AF2011)</f>
        <v/>
      </c>
      <c r="AH2011" s="81">
        <f>IF(AN2011="","",P2011*(1-AG2011))</f>
        <v/>
      </c>
      <c r="AI2011" s="81">
        <f>IF(AN2011="","",IF(Q2011="Sin Factura",0,IFERROR(INDEX(Facturas_Odoo!$H:$H, MATCH(Q2011, Facturas_Odoo!$B:$B, 0)), 0)*(1-AG2011)))</f>
        <v/>
      </c>
      <c r="AJ2011" s="81">
        <f>IF(AN2011="","",_xlfn.LET(idVenta, AN2011&amp;"",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11" s="81">
        <f>IF(AN2011="","",AH2011-AJ2011)</f>
        <v/>
      </c>
      <c r="AL2011" s="81">
        <f>IF(AN2011="","",IF(Q2011="Sin Factura","",AI2011-AJ2011))</f>
        <v/>
      </c>
      <c r="AM2011" s="81">
        <f>IF(AN2011="","",IF(Q2011="Sin Factura",0,P2011-IFERROR(INDEX(Facturas_Odoo!$H:$H, MATCH(Q2011, Facturas_Odoo!$B:$B, 0)), 0)))</f>
        <v/>
      </c>
      <c r="AN2011" s="79">
        <f>IF(AND(A2011="", J2011=""), "", IF(A2011&lt;&gt;"", VALUE(MID(A2011,2,LEN(A2011))), AN2010))</f>
        <v/>
      </c>
      <c r="AO2011" s="79">
        <f>IF(AN2011="","",IF(AD2011=0,"OK",_xlfn.LET(monedaPago, IF(AA2011="","USD",AA2011), limitePermitido, IFERROR(VLOOKUP(monedaPago, Configuración!$A$2:$B$3, 2, FALSE), 0.15), IF(AD2011&gt;limitePermitido, "ALERTA: EXCESO (" &amp; TEXT(limitePermitido, "0%") &amp; " máx)", "OK"))))</f>
        <v/>
      </c>
      <c r="AP2011" s="79">
        <f>IF(AN2011="","",IF(AE2011=0,"OK",_xlfn.LET(fechaPago, Z2011, fechaFactura, R2011, diasCredito, IF(E2011="Pago inmediato", 0, IFERROR(VALUE(MID(E2011, 1, SEARCH(" ", E2011)-1)),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11" s="79">
        <f>IF(AN2011="","",IF(AND(N2011&gt;0, AG2011&gt;0), IF(Configuración!$K$2="NO", "ALERTA: DESCUENTO DOBLE NO PERMITIDO", "OK"), "OK"))</f>
        <v/>
      </c>
      <c r="AR2011" s="79">
        <f>IF(AN2011="","",IF(OR(AO2011&lt;&gt;"OK", AP2011&lt;&gt;"OK", AQ2011&lt;&gt;"OK"), "⚠️ REVISAR", "OK"))</f>
        <v/>
      </c>
    </row>
    <row r="2012">
      <c r="A2012" s="79">
        <f>IF('Ordenes_Odoo'!A2012="","",'Ordenes_Odoo'!A2012)</f>
        <v/>
      </c>
      <c r="B2012" s="80">
        <f>IF('Ordenes_Odoo'!B2012="","",'Ordenes_Odoo'!B2012)</f>
        <v/>
      </c>
      <c r="C2012" s="79">
        <f>IF('Ordenes_Odoo'!C2012="","",'Ordenes_Odoo'!C2012)</f>
        <v/>
      </c>
      <c r="D2012" s="79">
        <f>IF('Ordenes_Odoo'!D2012="","",'Ordenes_Odoo'!D2012)</f>
        <v/>
      </c>
      <c r="E2012" s="79">
        <f>IF('Ordenes_Odoo'!E2012="","",'Ordenes_Odoo'!E2012)</f>
        <v/>
      </c>
      <c r="F2012" s="79">
        <f>IF('Ordenes_Odoo'!F2012="","",'Ordenes_Odoo'!F2012)</f>
        <v/>
      </c>
      <c r="G2012" s="79">
        <f>IF('Ordenes_Odoo'!G2012="","",'Ordenes_Odoo'!G2012)</f>
        <v/>
      </c>
      <c r="H2012" s="79">
        <f>IF('Ordenes_Odoo'!H2012="","",'Ordenes_Odoo'!H2012)</f>
        <v/>
      </c>
      <c r="I2012" s="79">
        <f>IF('Ordenes_Odoo'!I2012="","",'Ordenes_Odoo'!I2012)</f>
        <v/>
      </c>
      <c r="J2012" s="79">
        <f>IF('Ordenes_Odoo'!J2012="","",'Ordenes_Odoo'!J2012)</f>
        <v/>
      </c>
      <c r="K2012" s="81">
        <f>IF('Ordenes_Odoo'!K2012="","",'Ordenes_Odoo'!K2012)</f>
        <v/>
      </c>
      <c r="L2012" s="81">
        <f>IF('Ordenes_Odoo'!L2012="","",'Ordenes_Odoo'!L2012)</f>
        <v/>
      </c>
      <c r="M2012" s="79">
        <f>IF('Ordenes_Odoo'!M2012="","",'Ordenes_Odoo'!M2012)</f>
        <v/>
      </c>
      <c r="N2012" s="79">
        <f>IF('Ordenes_Odoo'!N2012="","",'Ordenes_Odoo'!N2012)</f>
        <v/>
      </c>
      <c r="O2012" s="81">
        <f>IF('Ordenes_Odoo'!O2012="","",'Ordenes_Odoo'!O2012)</f>
        <v/>
      </c>
      <c r="P2012" s="81">
        <f>IF('Ordenes_Odoo'!P2012="","",'Ordenes_Odoo'!P2012)</f>
        <v/>
      </c>
      <c r="Q2012" s="79">
        <f>IF(A2012="","",IFERROR(INDEX(Facturas_Odoo!$B:$B, MATCH(A2012, Facturas_Odoo!$D:$D, 0)), "Sin Factura"))</f>
        <v/>
      </c>
      <c r="R2012" s="80">
        <f>IF(Q2012="Sin Factura","",IFERROR(INDEX(Facturas_Odoo!$A:$A, MATCH(Q2012, Facturas_Odoo!$B:$B, 0)), ""))</f>
        <v/>
      </c>
      <c r="S2012" s="79">
        <f>IF(Q2012="Sin Factura","",IFERROR(_xlfn.XLOOKUP(1, (Facturas_Odoo!$D:$D=A2012) * (Facturas_Odoo!$K:$K=I2012), Facturas_Odoo!$L:$L, ""), ""))</f>
        <v/>
      </c>
      <c r="T2012" s="81">
        <f>IF(Q2012="Sin Factura",0,IFERROR(_xlfn.XLOOKUP(1, (Facturas_Odoo!$D:$D=A2012) * (Facturas_Odoo!$K:$K=I2012), Facturas_Odoo!$M:$M, 0), 0))</f>
        <v/>
      </c>
      <c r="U2012" s="79">
        <f>IF(Q2012="Sin Factura",0,IFERROR(_xlfn.XLOOKUP(1, (Facturas_Odoo!$D:$D=A2012) * (Facturas_Odoo!$K:$K=I2012), Facturas_Odoo!$N:$N, 0), 0))</f>
        <v/>
      </c>
      <c r="V2012" s="79">
        <f>IF(Q2012="Sin Factura",0,IFERROR(_xlfn.XLOOKUP(1, (Facturas_Odoo!$D:$D=A2012) * (Facturas_Odoo!$K:$K=I2012), Facturas_Odoo!$O:$O, 0), 0))</f>
        <v/>
      </c>
      <c r="W2012" s="81">
        <f>IF(Q2012="Sin Factura",0,IFERROR(_xlfn.XLOOKUP(1, (Facturas_Odoo!$D:$D=A2012) * (Facturas_Odoo!$K:$K=I2012), Facturas_Odoo!$Q:$Q, 0), 0))</f>
        <v/>
      </c>
      <c r="X2012" s="79">
        <f>IF(OR(Q2012="Sin Factura",Q2012=""),"",IFERROR(INDEX(Pagos_Odoo!$B:$B, MATCH(Q2012, Pagos_Odoo!$I:$I, 0)), "Sin Pago"))</f>
        <v/>
      </c>
      <c r="Y2012" s="79">
        <f>IF(X2012="Sin Pago","",IFERROR(INDEX(Pagos_Odoo!$C:$C, MATCH(X2012, Pagos_Odoo!$B:$B, 0)), ""))</f>
        <v/>
      </c>
      <c r="Z2012" s="80">
        <f>IF(X2012="Sin Pago","",IFERROR(INDEX(Pagos_Odoo!$A:$A, MATCH(X2012, Pagos_Odoo!$B:$B, 0)), ""))</f>
        <v/>
      </c>
      <c r="AA2012" s="79">
        <f>IF(X2012="Sin Pago","",IFERROR(INDEX(Pagos_Odoo!$F:$F, MATCH(X2012, Pagos_Odoo!$B:$B, 0)), ""))</f>
        <v/>
      </c>
      <c r="AB2012" s="81">
        <f>IF(X2012="Sin Pago",0,IFERROR(INDEX(Pagos_Odoo!$E:$E, MATCH(X2012, Pagos_Odoo!$B:$B, 0)), 0))</f>
        <v/>
      </c>
      <c r="AC2012" s="79">
        <f>IF(X2012="Sin Pago","",IFERROR(INDEX(Pagos_Odoo!$G:$G, MATCH(X2012, Pagos_Odoo!$B:$B, 0)), ""))</f>
        <v/>
      </c>
      <c r="AD2012" s="82" t="n">
        <v>0</v>
      </c>
      <c r="AE2012" s="82" t="n"/>
      <c r="AF2012" s="82" t="n"/>
      <c r="AG2012" s="82">
        <f>IF(AN2012="","",AD2012+AE2012+AF2012)</f>
        <v/>
      </c>
      <c r="AH2012" s="81">
        <f>IF(AN2012="","",P2012*(1-AG2012))</f>
        <v/>
      </c>
      <c r="AI2012" s="81">
        <f>IF(AN2012="","",IF(Q2012="Sin Factura",0,IFERROR(INDEX(Facturas_Odoo!$H:$H, MATCH(Q2012, Facturas_Odoo!$B:$B, 0)), 0)*(1-AG2012)))</f>
        <v/>
      </c>
      <c r="AJ2012" s="81">
        <f>IF(AN2012="","",_xlfn.LET(idVenta, AN2012&amp;"",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12" s="81">
        <f>IF(AN2012="","",AH2012-AJ2012)</f>
        <v/>
      </c>
      <c r="AL2012" s="81">
        <f>IF(AN2012="","",IF(Q2012="Sin Factura","",AI2012-AJ2012))</f>
        <v/>
      </c>
      <c r="AM2012" s="81">
        <f>IF(AN2012="","",IF(Q2012="Sin Factura",0,P2012-IFERROR(INDEX(Facturas_Odoo!$H:$H, MATCH(Q2012, Facturas_Odoo!$B:$B, 0)), 0)))</f>
        <v/>
      </c>
      <c r="AN2012" s="79">
        <f>IF(AND(A2012="", J2012=""), "", IF(A2012&lt;&gt;"", VALUE(MID(A2012,2,LEN(A2012))), AN2011))</f>
        <v/>
      </c>
      <c r="AO2012" s="79">
        <f>IF(AN2012="","",IF(AD2012=0,"OK",_xlfn.LET(monedaPago, IF(AA2012="","USD",AA2012), limitePermitido, IFERROR(VLOOKUP(monedaPago, Configuración!$A$2:$B$3, 2, FALSE), 0.15), IF(AD2012&gt;limitePermitido, "ALERTA: EXCESO (" &amp; TEXT(limitePermitido, "0%") &amp; " máx)", "OK"))))</f>
        <v/>
      </c>
      <c r="AP2012" s="79">
        <f>IF(AN2012="","",IF(AE2012=0,"OK",_xlfn.LET(fechaPago, Z2012, fechaFactura, R2012, diasCredito, IF(E2012="Pago inmediato", 0, IFERROR(VALUE(MID(E2012, 1, SEARCH(" ", E2012)-1)),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12" s="79">
        <f>IF(AN2012="","",IF(AND(N2012&gt;0, AG2012&gt;0), IF(Configuración!$K$2="NO", "ALERTA: DESCUENTO DOBLE NO PERMITIDO", "OK"), "OK"))</f>
        <v/>
      </c>
      <c r="AR2012" s="79">
        <f>IF(AN2012="","",IF(OR(AO2012&lt;&gt;"OK", AP2012&lt;&gt;"OK", AQ2012&lt;&gt;"OK"), "⚠️ REVISAR", "OK"))</f>
        <v/>
      </c>
    </row>
    <row r="2013">
      <c r="A2013" s="79">
        <f>IF('Ordenes_Odoo'!A2013="","",'Ordenes_Odoo'!A2013)</f>
        <v/>
      </c>
      <c r="B2013" s="80">
        <f>IF('Ordenes_Odoo'!B2013="","",'Ordenes_Odoo'!B2013)</f>
        <v/>
      </c>
      <c r="C2013" s="79">
        <f>IF('Ordenes_Odoo'!C2013="","",'Ordenes_Odoo'!C2013)</f>
        <v/>
      </c>
      <c r="D2013" s="79">
        <f>IF('Ordenes_Odoo'!D2013="","",'Ordenes_Odoo'!D2013)</f>
        <v/>
      </c>
      <c r="E2013" s="79">
        <f>IF('Ordenes_Odoo'!E2013="","",'Ordenes_Odoo'!E2013)</f>
        <v/>
      </c>
      <c r="F2013" s="79">
        <f>IF('Ordenes_Odoo'!F2013="","",'Ordenes_Odoo'!F2013)</f>
        <v/>
      </c>
      <c r="G2013" s="79">
        <f>IF('Ordenes_Odoo'!G2013="","",'Ordenes_Odoo'!G2013)</f>
        <v/>
      </c>
      <c r="H2013" s="79">
        <f>IF('Ordenes_Odoo'!H2013="","",'Ordenes_Odoo'!H2013)</f>
        <v/>
      </c>
      <c r="I2013" s="79">
        <f>IF('Ordenes_Odoo'!I2013="","",'Ordenes_Odoo'!I2013)</f>
        <v/>
      </c>
      <c r="J2013" s="79">
        <f>IF('Ordenes_Odoo'!J2013="","",'Ordenes_Odoo'!J2013)</f>
        <v/>
      </c>
      <c r="K2013" s="81">
        <f>IF('Ordenes_Odoo'!K2013="","",'Ordenes_Odoo'!K2013)</f>
        <v/>
      </c>
      <c r="L2013" s="81">
        <f>IF('Ordenes_Odoo'!L2013="","",'Ordenes_Odoo'!L2013)</f>
        <v/>
      </c>
      <c r="M2013" s="79">
        <f>IF('Ordenes_Odoo'!M2013="","",'Ordenes_Odoo'!M2013)</f>
        <v/>
      </c>
      <c r="N2013" s="79">
        <f>IF('Ordenes_Odoo'!N2013="","",'Ordenes_Odoo'!N2013)</f>
        <v/>
      </c>
      <c r="O2013" s="81">
        <f>IF('Ordenes_Odoo'!O2013="","",'Ordenes_Odoo'!O2013)</f>
        <v/>
      </c>
      <c r="P2013" s="81">
        <f>IF('Ordenes_Odoo'!P2013="","",'Ordenes_Odoo'!P2013)</f>
        <v/>
      </c>
      <c r="Q2013" s="79">
        <f>IF(A2013="","",IFERROR(INDEX(Facturas_Odoo!$B:$B, MATCH(A2013, Facturas_Odoo!$D:$D, 0)), "Sin Factura"))</f>
        <v/>
      </c>
      <c r="R2013" s="80">
        <f>IF(Q2013="Sin Factura","",IFERROR(INDEX(Facturas_Odoo!$A:$A, MATCH(Q2013, Facturas_Odoo!$B:$B, 0)), ""))</f>
        <v/>
      </c>
      <c r="S2013" s="79">
        <f>IF(Q2013="Sin Factura","",IFERROR(_xlfn.XLOOKUP(1, (Facturas_Odoo!$D:$D=A2013) * (Facturas_Odoo!$K:$K=I2013), Facturas_Odoo!$L:$L, ""), ""))</f>
        <v/>
      </c>
      <c r="T2013" s="81">
        <f>IF(Q2013="Sin Factura",0,IFERROR(_xlfn.XLOOKUP(1, (Facturas_Odoo!$D:$D=A2013) * (Facturas_Odoo!$K:$K=I2013), Facturas_Odoo!$M:$M, 0), 0))</f>
        <v/>
      </c>
      <c r="U2013" s="79">
        <f>IF(Q2013="Sin Factura",0,IFERROR(_xlfn.XLOOKUP(1, (Facturas_Odoo!$D:$D=A2013) * (Facturas_Odoo!$K:$K=I2013), Facturas_Odoo!$N:$N, 0), 0))</f>
        <v/>
      </c>
      <c r="V2013" s="79">
        <f>IF(Q2013="Sin Factura",0,IFERROR(_xlfn.XLOOKUP(1, (Facturas_Odoo!$D:$D=A2013) * (Facturas_Odoo!$K:$K=I2013), Facturas_Odoo!$O:$O, 0), 0))</f>
        <v/>
      </c>
      <c r="W2013" s="81">
        <f>IF(Q2013="Sin Factura",0,IFERROR(_xlfn.XLOOKUP(1, (Facturas_Odoo!$D:$D=A2013) * (Facturas_Odoo!$K:$K=I2013), Facturas_Odoo!$Q:$Q, 0), 0))</f>
        <v/>
      </c>
      <c r="X2013" s="79">
        <f>IF(OR(Q2013="Sin Factura",Q2013=""),"",IFERROR(INDEX(Pagos_Odoo!$B:$B, MATCH(Q2013, Pagos_Odoo!$I:$I, 0)), "Sin Pago"))</f>
        <v/>
      </c>
      <c r="Y2013" s="79">
        <f>IF(X2013="Sin Pago","",IFERROR(INDEX(Pagos_Odoo!$C:$C, MATCH(X2013, Pagos_Odoo!$B:$B, 0)), ""))</f>
        <v/>
      </c>
      <c r="Z2013" s="80">
        <f>IF(X2013="Sin Pago","",IFERROR(INDEX(Pagos_Odoo!$A:$A, MATCH(X2013, Pagos_Odoo!$B:$B, 0)), ""))</f>
        <v/>
      </c>
      <c r="AA2013" s="79">
        <f>IF(X2013="Sin Pago","",IFERROR(INDEX(Pagos_Odoo!$F:$F, MATCH(X2013, Pagos_Odoo!$B:$B, 0)), ""))</f>
        <v/>
      </c>
      <c r="AB2013" s="81">
        <f>IF(X2013="Sin Pago",0,IFERROR(INDEX(Pagos_Odoo!$E:$E, MATCH(X2013, Pagos_Odoo!$B:$B, 0)), 0))</f>
        <v/>
      </c>
      <c r="AC2013" s="79">
        <f>IF(X2013="Sin Pago","",IFERROR(INDEX(Pagos_Odoo!$G:$G, MATCH(X2013, Pagos_Odoo!$B:$B, 0)), ""))</f>
        <v/>
      </c>
      <c r="AD2013" s="82" t="n">
        <v>0</v>
      </c>
      <c r="AE2013" s="82" t="n"/>
      <c r="AF2013" s="82" t="n"/>
      <c r="AG2013" s="82">
        <f>IF(AN2013="","",AD2013+AE2013+AF2013)</f>
        <v/>
      </c>
      <c r="AH2013" s="81">
        <f>IF(AN2013="","",P2013*(1-AG2013))</f>
        <v/>
      </c>
      <c r="AI2013" s="81">
        <f>IF(AN2013="","",IF(Q2013="Sin Factura",0,IFERROR(INDEX(Facturas_Odoo!$H:$H, MATCH(Q2013, Facturas_Odoo!$B:$B, 0)), 0)*(1-AG2013)))</f>
        <v/>
      </c>
      <c r="AJ2013" s="81">
        <f>IF(AN2013="","",_xlfn.LET(idVenta, AN2013&amp;"",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13" s="81">
        <f>IF(AN2013="","",AH2013-AJ2013)</f>
        <v/>
      </c>
      <c r="AL2013" s="81">
        <f>IF(AN2013="","",IF(Q2013="Sin Factura","",AI2013-AJ2013))</f>
        <v/>
      </c>
      <c r="AM2013" s="81">
        <f>IF(AN2013="","",IF(Q2013="Sin Factura",0,P2013-IFERROR(INDEX(Facturas_Odoo!$H:$H, MATCH(Q2013, Facturas_Odoo!$B:$B, 0)), 0)))</f>
        <v/>
      </c>
      <c r="AN2013" s="79">
        <f>IF(AND(A2013="", J2013=""), "", IF(A2013&lt;&gt;"", VALUE(MID(A2013,2,LEN(A2013))), AN2012))</f>
        <v/>
      </c>
      <c r="AO2013" s="79">
        <f>IF(AN2013="","",IF(AD2013=0,"OK",_xlfn.LET(monedaPago, IF(AA2013="","USD",AA2013), limitePermitido, IFERROR(VLOOKUP(monedaPago, Configuración!$A$2:$B$3, 2, FALSE), 0.15), IF(AD2013&gt;limitePermitido, "ALERTA: EXCESO (" &amp; TEXT(limitePermitido, "0%") &amp; " máx)", "OK"))))</f>
        <v/>
      </c>
      <c r="AP2013" s="79">
        <f>IF(AN2013="","",IF(AE2013=0,"OK",_xlfn.LET(fechaPago, Z2013, fechaFactura, R2013, diasCredito, IF(E2013="Pago inmediato", 0, IFERROR(VALUE(MID(E2013, 1, SEARCH(" ", E2013)-1)),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13" s="79">
        <f>IF(AN2013="","",IF(AND(N2013&gt;0, AG2013&gt;0), IF(Configuración!$K$2="NO", "ALERTA: DESCUENTO DOBLE NO PERMITIDO", "OK"), "OK"))</f>
        <v/>
      </c>
      <c r="AR2013" s="79">
        <f>IF(AN2013="","",IF(OR(AO2013&lt;&gt;"OK", AP2013&lt;&gt;"OK", AQ2013&lt;&gt;"OK"), "⚠️ REVISAR", "OK"))</f>
        <v/>
      </c>
    </row>
    <row r="2014">
      <c r="A2014" s="79">
        <f>IF('Ordenes_Odoo'!A2014="","",'Ordenes_Odoo'!A2014)</f>
        <v/>
      </c>
      <c r="B2014" s="80">
        <f>IF('Ordenes_Odoo'!B2014="","",'Ordenes_Odoo'!B2014)</f>
        <v/>
      </c>
      <c r="C2014" s="79">
        <f>IF('Ordenes_Odoo'!C2014="","",'Ordenes_Odoo'!C2014)</f>
        <v/>
      </c>
      <c r="D2014" s="79">
        <f>IF('Ordenes_Odoo'!D2014="","",'Ordenes_Odoo'!D2014)</f>
        <v/>
      </c>
      <c r="E2014" s="79">
        <f>IF('Ordenes_Odoo'!E2014="","",'Ordenes_Odoo'!E2014)</f>
        <v/>
      </c>
      <c r="F2014" s="79">
        <f>IF('Ordenes_Odoo'!F2014="","",'Ordenes_Odoo'!F2014)</f>
        <v/>
      </c>
      <c r="G2014" s="79">
        <f>IF('Ordenes_Odoo'!G2014="","",'Ordenes_Odoo'!G2014)</f>
        <v/>
      </c>
      <c r="H2014" s="79">
        <f>IF('Ordenes_Odoo'!H2014="","",'Ordenes_Odoo'!H2014)</f>
        <v/>
      </c>
      <c r="I2014" s="79">
        <f>IF('Ordenes_Odoo'!I2014="","",'Ordenes_Odoo'!I2014)</f>
        <v/>
      </c>
      <c r="J2014" s="79">
        <f>IF('Ordenes_Odoo'!J2014="","",'Ordenes_Odoo'!J2014)</f>
        <v/>
      </c>
      <c r="K2014" s="81">
        <f>IF('Ordenes_Odoo'!K2014="","",'Ordenes_Odoo'!K2014)</f>
        <v/>
      </c>
      <c r="L2014" s="81">
        <f>IF('Ordenes_Odoo'!L2014="","",'Ordenes_Odoo'!L2014)</f>
        <v/>
      </c>
      <c r="M2014" s="79">
        <f>IF('Ordenes_Odoo'!M2014="","",'Ordenes_Odoo'!M2014)</f>
        <v/>
      </c>
      <c r="N2014" s="79">
        <f>IF('Ordenes_Odoo'!N2014="","",'Ordenes_Odoo'!N2014)</f>
        <v/>
      </c>
      <c r="O2014" s="81">
        <f>IF('Ordenes_Odoo'!O2014="","",'Ordenes_Odoo'!O2014)</f>
        <v/>
      </c>
      <c r="P2014" s="81">
        <f>IF('Ordenes_Odoo'!P2014="","",'Ordenes_Odoo'!P2014)</f>
        <v/>
      </c>
      <c r="Q2014" s="79">
        <f>IF(A2014="","",IFERROR(INDEX(Facturas_Odoo!$B:$B, MATCH(A2014, Facturas_Odoo!$D:$D, 0)), "Sin Factura"))</f>
        <v/>
      </c>
      <c r="R2014" s="80">
        <f>IF(Q2014="Sin Factura","",IFERROR(INDEX(Facturas_Odoo!$A:$A, MATCH(Q2014, Facturas_Odoo!$B:$B, 0)), ""))</f>
        <v/>
      </c>
      <c r="S2014" s="79">
        <f>IF(Q2014="Sin Factura","",IFERROR(_xlfn.XLOOKUP(1, (Facturas_Odoo!$D:$D=A2014) * (Facturas_Odoo!$K:$K=I2014), Facturas_Odoo!$L:$L, ""), ""))</f>
        <v/>
      </c>
      <c r="T2014" s="81">
        <f>IF(Q2014="Sin Factura",0,IFERROR(_xlfn.XLOOKUP(1, (Facturas_Odoo!$D:$D=A2014) * (Facturas_Odoo!$K:$K=I2014), Facturas_Odoo!$M:$M, 0), 0))</f>
        <v/>
      </c>
      <c r="U2014" s="79">
        <f>IF(Q2014="Sin Factura",0,IFERROR(_xlfn.XLOOKUP(1, (Facturas_Odoo!$D:$D=A2014) * (Facturas_Odoo!$K:$K=I2014), Facturas_Odoo!$N:$N, 0), 0))</f>
        <v/>
      </c>
      <c r="V2014" s="79">
        <f>IF(Q2014="Sin Factura",0,IFERROR(_xlfn.XLOOKUP(1, (Facturas_Odoo!$D:$D=A2014) * (Facturas_Odoo!$K:$K=I2014), Facturas_Odoo!$O:$O, 0), 0))</f>
        <v/>
      </c>
      <c r="W2014" s="81">
        <f>IF(Q2014="Sin Factura",0,IFERROR(_xlfn.XLOOKUP(1, (Facturas_Odoo!$D:$D=A2014) * (Facturas_Odoo!$K:$K=I2014), Facturas_Odoo!$Q:$Q, 0), 0))</f>
        <v/>
      </c>
      <c r="X2014" s="79">
        <f>IF(OR(Q2014="Sin Factura",Q2014=""),"",IFERROR(INDEX(Pagos_Odoo!$B:$B, MATCH(Q2014, Pagos_Odoo!$I:$I, 0)), "Sin Pago"))</f>
        <v/>
      </c>
      <c r="Y2014" s="79">
        <f>IF(X2014="Sin Pago","",IFERROR(INDEX(Pagos_Odoo!$C:$C, MATCH(X2014, Pagos_Odoo!$B:$B, 0)), ""))</f>
        <v/>
      </c>
      <c r="Z2014" s="80">
        <f>IF(X2014="Sin Pago","",IFERROR(INDEX(Pagos_Odoo!$A:$A, MATCH(X2014, Pagos_Odoo!$B:$B, 0)), ""))</f>
        <v/>
      </c>
      <c r="AA2014" s="79">
        <f>IF(X2014="Sin Pago","",IFERROR(INDEX(Pagos_Odoo!$F:$F, MATCH(X2014, Pagos_Odoo!$B:$B, 0)), ""))</f>
        <v/>
      </c>
      <c r="AB2014" s="81">
        <f>IF(X2014="Sin Pago",0,IFERROR(INDEX(Pagos_Odoo!$E:$E, MATCH(X2014, Pagos_Odoo!$B:$B, 0)), 0))</f>
        <v/>
      </c>
      <c r="AC2014" s="79">
        <f>IF(X2014="Sin Pago","",IFERROR(INDEX(Pagos_Odoo!$G:$G, MATCH(X2014, Pagos_Odoo!$B:$B, 0)), ""))</f>
        <v/>
      </c>
      <c r="AD2014" s="82" t="n">
        <v>0</v>
      </c>
      <c r="AE2014" s="82" t="n"/>
      <c r="AF2014" s="82" t="n"/>
      <c r="AG2014" s="82">
        <f>IF(AN2014="","",AD2014+AE2014+AF2014)</f>
        <v/>
      </c>
      <c r="AH2014" s="81">
        <f>IF(AN2014="","",P2014*(1-AG2014))</f>
        <v/>
      </c>
      <c r="AI2014" s="81">
        <f>IF(AN2014="","",IF(Q2014="Sin Factura",0,IFERROR(INDEX(Facturas_Odoo!$H:$H, MATCH(Q2014, Facturas_Odoo!$B:$B, 0)), 0)*(1-AG2014)))</f>
        <v/>
      </c>
      <c r="AJ2014" s="81">
        <f>IF(AN2014="","",_xlfn.LET(idVenta, AN2014&amp;"",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14" s="81">
        <f>IF(AN2014="","",AH2014-AJ2014)</f>
        <v/>
      </c>
      <c r="AL2014" s="81">
        <f>IF(AN2014="","",IF(Q2014="Sin Factura","",AI2014-AJ2014))</f>
        <v/>
      </c>
      <c r="AM2014" s="81">
        <f>IF(AN2014="","",IF(Q2014="Sin Factura",0,P2014-IFERROR(INDEX(Facturas_Odoo!$H:$H, MATCH(Q2014, Facturas_Odoo!$B:$B, 0)), 0)))</f>
        <v/>
      </c>
      <c r="AN2014" s="79">
        <f>IF(AND(A2014="", J2014=""), "", IF(A2014&lt;&gt;"", VALUE(MID(A2014,2,LEN(A2014))), AN2013))</f>
        <v/>
      </c>
      <c r="AO2014" s="79">
        <f>IF(AN2014="","",IF(AD2014=0,"OK",_xlfn.LET(monedaPago, IF(AA2014="","USD",AA2014), limitePermitido, IFERROR(VLOOKUP(monedaPago, Configuración!$A$2:$B$3, 2, FALSE), 0.15), IF(AD2014&gt;limitePermitido, "ALERTA: EXCESO (" &amp; TEXT(limitePermitido, "0%") &amp; " máx)", "OK"))))</f>
        <v/>
      </c>
      <c r="AP2014" s="79">
        <f>IF(AN2014="","",IF(AE2014=0,"OK",_xlfn.LET(fechaPago, Z2014, fechaFactura, R2014, diasCredito, IF(E2014="Pago inmediato", 0, IFERROR(VALUE(MID(E2014, 1, SEARCH(" ", E2014)-1)),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14" s="79">
        <f>IF(AN2014="","",IF(AND(N2014&gt;0, AG2014&gt;0), IF(Configuración!$K$2="NO", "ALERTA: DESCUENTO DOBLE NO PERMITIDO", "OK"), "OK"))</f>
        <v/>
      </c>
      <c r="AR2014" s="79">
        <f>IF(AN2014="","",IF(OR(AO2014&lt;&gt;"OK", AP2014&lt;&gt;"OK", AQ2014&lt;&gt;"OK"), "⚠️ REVISAR", "OK"))</f>
        <v/>
      </c>
    </row>
    <row r="2015">
      <c r="A2015" s="79">
        <f>IF('Ordenes_Odoo'!A2015="","",'Ordenes_Odoo'!A2015)</f>
        <v/>
      </c>
      <c r="B2015" s="80">
        <f>IF('Ordenes_Odoo'!B2015="","",'Ordenes_Odoo'!B2015)</f>
        <v/>
      </c>
      <c r="C2015" s="79">
        <f>IF('Ordenes_Odoo'!C2015="","",'Ordenes_Odoo'!C2015)</f>
        <v/>
      </c>
      <c r="D2015" s="79">
        <f>IF('Ordenes_Odoo'!D2015="","",'Ordenes_Odoo'!D2015)</f>
        <v/>
      </c>
      <c r="E2015" s="79">
        <f>IF('Ordenes_Odoo'!E2015="","",'Ordenes_Odoo'!E2015)</f>
        <v/>
      </c>
      <c r="F2015" s="79">
        <f>IF('Ordenes_Odoo'!F2015="","",'Ordenes_Odoo'!F2015)</f>
        <v/>
      </c>
      <c r="G2015" s="79">
        <f>IF('Ordenes_Odoo'!G2015="","",'Ordenes_Odoo'!G2015)</f>
        <v/>
      </c>
      <c r="H2015" s="79">
        <f>IF('Ordenes_Odoo'!H2015="","",'Ordenes_Odoo'!H2015)</f>
        <v/>
      </c>
      <c r="I2015" s="79">
        <f>IF('Ordenes_Odoo'!I2015="","",'Ordenes_Odoo'!I2015)</f>
        <v/>
      </c>
      <c r="J2015" s="79">
        <f>IF('Ordenes_Odoo'!J2015="","",'Ordenes_Odoo'!J2015)</f>
        <v/>
      </c>
      <c r="K2015" s="81">
        <f>IF('Ordenes_Odoo'!K2015="","",'Ordenes_Odoo'!K2015)</f>
        <v/>
      </c>
      <c r="L2015" s="81">
        <f>IF('Ordenes_Odoo'!L2015="","",'Ordenes_Odoo'!L2015)</f>
        <v/>
      </c>
      <c r="M2015" s="79">
        <f>IF('Ordenes_Odoo'!M2015="","",'Ordenes_Odoo'!M2015)</f>
        <v/>
      </c>
      <c r="N2015" s="79">
        <f>IF('Ordenes_Odoo'!N2015="","",'Ordenes_Odoo'!N2015)</f>
        <v/>
      </c>
      <c r="O2015" s="81">
        <f>IF('Ordenes_Odoo'!O2015="","",'Ordenes_Odoo'!O2015)</f>
        <v/>
      </c>
      <c r="P2015" s="81">
        <f>IF('Ordenes_Odoo'!P2015="","",'Ordenes_Odoo'!P2015)</f>
        <v/>
      </c>
      <c r="Q2015" s="79">
        <f>IF(A2015="","",IFERROR(INDEX(Facturas_Odoo!$B:$B, MATCH(A2015, Facturas_Odoo!$D:$D, 0)), "Sin Factura"))</f>
        <v/>
      </c>
      <c r="R2015" s="80">
        <f>IF(Q2015="Sin Factura","",IFERROR(INDEX(Facturas_Odoo!$A:$A, MATCH(Q2015, Facturas_Odoo!$B:$B, 0)), ""))</f>
        <v/>
      </c>
      <c r="S2015" s="79">
        <f>IF(Q2015="Sin Factura","",IFERROR(_xlfn.XLOOKUP(1, (Facturas_Odoo!$D:$D=A2015) * (Facturas_Odoo!$K:$K=I2015), Facturas_Odoo!$L:$L, ""), ""))</f>
        <v/>
      </c>
      <c r="T2015" s="81">
        <f>IF(Q2015="Sin Factura",0,IFERROR(_xlfn.XLOOKUP(1, (Facturas_Odoo!$D:$D=A2015) * (Facturas_Odoo!$K:$K=I2015), Facturas_Odoo!$M:$M, 0), 0))</f>
        <v/>
      </c>
      <c r="U2015" s="79">
        <f>IF(Q2015="Sin Factura",0,IFERROR(_xlfn.XLOOKUP(1, (Facturas_Odoo!$D:$D=A2015) * (Facturas_Odoo!$K:$K=I2015), Facturas_Odoo!$N:$N, 0), 0))</f>
        <v/>
      </c>
      <c r="V2015" s="79">
        <f>IF(Q2015="Sin Factura",0,IFERROR(_xlfn.XLOOKUP(1, (Facturas_Odoo!$D:$D=A2015) * (Facturas_Odoo!$K:$K=I2015), Facturas_Odoo!$O:$O, 0), 0))</f>
        <v/>
      </c>
      <c r="W2015" s="81">
        <f>IF(Q2015="Sin Factura",0,IFERROR(_xlfn.XLOOKUP(1, (Facturas_Odoo!$D:$D=A2015) * (Facturas_Odoo!$K:$K=I2015), Facturas_Odoo!$Q:$Q, 0), 0))</f>
        <v/>
      </c>
      <c r="X2015" s="79">
        <f>IF(OR(Q2015="Sin Factura",Q2015=""),"",IFERROR(INDEX(Pagos_Odoo!$B:$B, MATCH(Q2015, Pagos_Odoo!$I:$I, 0)), "Sin Pago"))</f>
        <v/>
      </c>
      <c r="Y2015" s="79">
        <f>IF(X2015="Sin Pago","",IFERROR(INDEX(Pagos_Odoo!$C:$C, MATCH(X2015, Pagos_Odoo!$B:$B, 0)), ""))</f>
        <v/>
      </c>
      <c r="Z2015" s="80">
        <f>IF(X2015="Sin Pago","",IFERROR(INDEX(Pagos_Odoo!$A:$A, MATCH(X2015, Pagos_Odoo!$B:$B, 0)), ""))</f>
        <v/>
      </c>
      <c r="AA2015" s="79">
        <f>IF(X2015="Sin Pago","",IFERROR(INDEX(Pagos_Odoo!$F:$F, MATCH(X2015, Pagos_Odoo!$B:$B, 0)), ""))</f>
        <v/>
      </c>
      <c r="AB2015" s="81">
        <f>IF(X2015="Sin Pago",0,IFERROR(INDEX(Pagos_Odoo!$E:$E, MATCH(X2015, Pagos_Odoo!$B:$B, 0)), 0))</f>
        <v/>
      </c>
      <c r="AC2015" s="79">
        <f>IF(X2015="Sin Pago","",IFERROR(INDEX(Pagos_Odoo!$G:$G, MATCH(X2015, Pagos_Odoo!$B:$B, 0)), ""))</f>
        <v/>
      </c>
      <c r="AD2015" s="82" t="n">
        <v>0</v>
      </c>
      <c r="AE2015" s="82" t="n"/>
      <c r="AF2015" s="82" t="n"/>
      <c r="AG2015" s="82">
        <f>IF(AN2015="","",AD2015+AE2015+AF2015)</f>
        <v/>
      </c>
      <c r="AH2015" s="81">
        <f>IF(AN2015="","",P2015*(1-AG2015))</f>
        <v/>
      </c>
      <c r="AI2015" s="81">
        <f>IF(AN2015="","",IF(Q2015="Sin Factura",0,IFERROR(INDEX(Facturas_Odoo!$H:$H, MATCH(Q2015, Facturas_Odoo!$B:$B, 0)), 0)*(1-AG2015)))</f>
        <v/>
      </c>
      <c r="AJ2015" s="81">
        <f>IF(AN2015="","",_xlfn.LET(idVenta, AN2015&amp;"",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15" s="81">
        <f>IF(AN2015="","",AH2015-AJ2015)</f>
        <v/>
      </c>
      <c r="AL2015" s="81">
        <f>IF(AN2015="","",IF(Q2015="Sin Factura","",AI2015-AJ2015))</f>
        <v/>
      </c>
      <c r="AM2015" s="81">
        <f>IF(AN2015="","",IF(Q2015="Sin Factura",0,P2015-IFERROR(INDEX(Facturas_Odoo!$H:$H, MATCH(Q2015, Facturas_Odoo!$B:$B, 0)), 0)))</f>
        <v/>
      </c>
      <c r="AN2015" s="79">
        <f>IF(AND(A2015="", J2015=""), "", IF(A2015&lt;&gt;"", VALUE(MID(A2015,2,LEN(A2015))), AN2014))</f>
        <v/>
      </c>
      <c r="AO2015" s="79">
        <f>IF(AN2015="","",IF(AD2015=0,"OK",_xlfn.LET(monedaPago, IF(AA2015="","USD",AA2015), limitePermitido, IFERROR(VLOOKUP(monedaPago, Configuración!$A$2:$B$3, 2, FALSE), 0.15), IF(AD2015&gt;limitePermitido, "ALERTA: EXCESO (" &amp; TEXT(limitePermitido, "0%") &amp; " máx)", "OK"))))</f>
        <v/>
      </c>
      <c r="AP2015" s="79">
        <f>IF(AN2015="","",IF(AE2015=0,"OK",_xlfn.LET(fechaPago, Z2015, fechaFactura, R2015, diasCredito, IF(E2015="Pago inmediato", 0, IFERROR(VALUE(MID(E2015, 1, SEARCH(" ", E2015)-1)),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15" s="79">
        <f>IF(AN2015="","",IF(AND(N2015&gt;0, AG2015&gt;0), IF(Configuración!$K$2="NO", "ALERTA: DESCUENTO DOBLE NO PERMITIDO", "OK"), "OK"))</f>
        <v/>
      </c>
      <c r="AR2015" s="79">
        <f>IF(AN2015="","",IF(OR(AO2015&lt;&gt;"OK", AP2015&lt;&gt;"OK", AQ2015&lt;&gt;"OK"), "⚠️ REVISAR", "OK"))</f>
        <v/>
      </c>
    </row>
    <row r="2016">
      <c r="A2016" s="79">
        <f>IF('Ordenes_Odoo'!A2016="","",'Ordenes_Odoo'!A2016)</f>
        <v/>
      </c>
      <c r="B2016" s="80">
        <f>IF('Ordenes_Odoo'!B2016="","",'Ordenes_Odoo'!B2016)</f>
        <v/>
      </c>
      <c r="C2016" s="79">
        <f>IF('Ordenes_Odoo'!C2016="","",'Ordenes_Odoo'!C2016)</f>
        <v/>
      </c>
      <c r="D2016" s="79">
        <f>IF('Ordenes_Odoo'!D2016="","",'Ordenes_Odoo'!D2016)</f>
        <v/>
      </c>
      <c r="E2016" s="79">
        <f>IF('Ordenes_Odoo'!E2016="","",'Ordenes_Odoo'!E2016)</f>
        <v/>
      </c>
      <c r="F2016" s="79">
        <f>IF('Ordenes_Odoo'!F2016="","",'Ordenes_Odoo'!F2016)</f>
        <v/>
      </c>
      <c r="G2016" s="79">
        <f>IF('Ordenes_Odoo'!G2016="","",'Ordenes_Odoo'!G2016)</f>
        <v/>
      </c>
      <c r="H2016" s="79">
        <f>IF('Ordenes_Odoo'!H2016="","",'Ordenes_Odoo'!H2016)</f>
        <v/>
      </c>
      <c r="I2016" s="79">
        <f>IF('Ordenes_Odoo'!I2016="","",'Ordenes_Odoo'!I2016)</f>
        <v/>
      </c>
      <c r="J2016" s="79">
        <f>IF('Ordenes_Odoo'!J2016="","",'Ordenes_Odoo'!J2016)</f>
        <v/>
      </c>
      <c r="K2016" s="81">
        <f>IF('Ordenes_Odoo'!K2016="","",'Ordenes_Odoo'!K2016)</f>
        <v/>
      </c>
      <c r="L2016" s="81">
        <f>IF('Ordenes_Odoo'!L2016="","",'Ordenes_Odoo'!L2016)</f>
        <v/>
      </c>
      <c r="M2016" s="79">
        <f>IF('Ordenes_Odoo'!M2016="","",'Ordenes_Odoo'!M2016)</f>
        <v/>
      </c>
      <c r="N2016" s="79">
        <f>IF('Ordenes_Odoo'!N2016="","",'Ordenes_Odoo'!N2016)</f>
        <v/>
      </c>
      <c r="O2016" s="81">
        <f>IF('Ordenes_Odoo'!O2016="","",'Ordenes_Odoo'!O2016)</f>
        <v/>
      </c>
      <c r="P2016" s="81">
        <f>IF('Ordenes_Odoo'!P2016="","",'Ordenes_Odoo'!P2016)</f>
        <v/>
      </c>
      <c r="Q2016" s="79">
        <f>IF(A2016="","",IFERROR(INDEX(Facturas_Odoo!$B:$B, MATCH(A2016, Facturas_Odoo!$D:$D, 0)), "Sin Factura"))</f>
        <v/>
      </c>
      <c r="R2016" s="80">
        <f>IF(Q2016="Sin Factura","",IFERROR(INDEX(Facturas_Odoo!$A:$A, MATCH(Q2016, Facturas_Odoo!$B:$B, 0)), ""))</f>
        <v/>
      </c>
      <c r="S2016" s="79">
        <f>IF(Q2016="Sin Factura","",IFERROR(_xlfn.XLOOKUP(1, (Facturas_Odoo!$D:$D=A2016) * (Facturas_Odoo!$K:$K=I2016), Facturas_Odoo!$L:$L, ""), ""))</f>
        <v/>
      </c>
      <c r="T2016" s="81">
        <f>IF(Q2016="Sin Factura",0,IFERROR(_xlfn.XLOOKUP(1, (Facturas_Odoo!$D:$D=A2016) * (Facturas_Odoo!$K:$K=I2016), Facturas_Odoo!$M:$M, 0), 0))</f>
        <v/>
      </c>
      <c r="U2016" s="79">
        <f>IF(Q2016="Sin Factura",0,IFERROR(_xlfn.XLOOKUP(1, (Facturas_Odoo!$D:$D=A2016) * (Facturas_Odoo!$K:$K=I2016), Facturas_Odoo!$N:$N, 0), 0))</f>
        <v/>
      </c>
      <c r="V2016" s="79">
        <f>IF(Q2016="Sin Factura",0,IFERROR(_xlfn.XLOOKUP(1, (Facturas_Odoo!$D:$D=A2016) * (Facturas_Odoo!$K:$K=I2016), Facturas_Odoo!$O:$O, 0), 0))</f>
        <v/>
      </c>
      <c r="W2016" s="81">
        <f>IF(Q2016="Sin Factura",0,IFERROR(_xlfn.XLOOKUP(1, (Facturas_Odoo!$D:$D=A2016) * (Facturas_Odoo!$K:$K=I2016), Facturas_Odoo!$Q:$Q, 0), 0))</f>
        <v/>
      </c>
      <c r="X2016" s="79">
        <f>IF(OR(Q2016="Sin Factura",Q2016=""),"",IFERROR(INDEX(Pagos_Odoo!$B:$B, MATCH(Q2016, Pagos_Odoo!$I:$I, 0)), "Sin Pago"))</f>
        <v/>
      </c>
      <c r="Y2016" s="79">
        <f>IF(X2016="Sin Pago","",IFERROR(INDEX(Pagos_Odoo!$C:$C, MATCH(X2016, Pagos_Odoo!$B:$B, 0)), ""))</f>
        <v/>
      </c>
      <c r="Z2016" s="80">
        <f>IF(X2016="Sin Pago","",IFERROR(INDEX(Pagos_Odoo!$A:$A, MATCH(X2016, Pagos_Odoo!$B:$B, 0)), ""))</f>
        <v/>
      </c>
      <c r="AA2016" s="79">
        <f>IF(X2016="Sin Pago","",IFERROR(INDEX(Pagos_Odoo!$F:$F, MATCH(X2016, Pagos_Odoo!$B:$B, 0)), ""))</f>
        <v/>
      </c>
      <c r="AB2016" s="81">
        <f>IF(X2016="Sin Pago",0,IFERROR(INDEX(Pagos_Odoo!$E:$E, MATCH(X2016, Pagos_Odoo!$B:$B, 0)), 0))</f>
        <v/>
      </c>
      <c r="AC2016" s="79">
        <f>IF(X2016="Sin Pago","",IFERROR(INDEX(Pagos_Odoo!$G:$G, MATCH(X2016, Pagos_Odoo!$B:$B, 0)), ""))</f>
        <v/>
      </c>
      <c r="AD2016" s="82" t="n">
        <v>0</v>
      </c>
      <c r="AE2016" s="82" t="n"/>
      <c r="AF2016" s="82" t="n"/>
      <c r="AG2016" s="82">
        <f>IF(AN2016="","",AD2016+AE2016+AF2016)</f>
        <v/>
      </c>
      <c r="AH2016" s="81">
        <f>IF(AN2016="","",P2016*(1-AG2016))</f>
        <v/>
      </c>
      <c r="AI2016" s="81">
        <f>IF(AN2016="","",IF(Q2016="Sin Factura",0,IFERROR(INDEX(Facturas_Odoo!$H:$H, MATCH(Q2016, Facturas_Odoo!$B:$B, 0)), 0)*(1-AG2016)))</f>
        <v/>
      </c>
      <c r="AJ2016" s="81">
        <f>IF(AN2016="","",_xlfn.LET(idVenta, AN2016&amp;"",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16" s="81">
        <f>IF(AN2016="","",AH2016-AJ2016)</f>
        <v/>
      </c>
      <c r="AL2016" s="81">
        <f>IF(AN2016="","",IF(Q2016="Sin Factura","",AI2016-AJ2016))</f>
        <v/>
      </c>
      <c r="AM2016" s="81">
        <f>IF(AN2016="","",IF(Q2016="Sin Factura",0,P2016-IFERROR(INDEX(Facturas_Odoo!$H:$H, MATCH(Q2016, Facturas_Odoo!$B:$B, 0)), 0)))</f>
        <v/>
      </c>
      <c r="AN2016" s="79">
        <f>IF(AND(A2016="", J2016=""), "", IF(A2016&lt;&gt;"", VALUE(MID(A2016,2,LEN(A2016))), AN2015))</f>
        <v/>
      </c>
      <c r="AO2016" s="79">
        <f>IF(AN2016="","",IF(AD2016=0,"OK",_xlfn.LET(monedaPago, IF(AA2016="","USD",AA2016), limitePermitido, IFERROR(VLOOKUP(monedaPago, Configuración!$A$2:$B$3, 2, FALSE), 0.15), IF(AD2016&gt;limitePermitido, "ALERTA: EXCESO (" &amp; TEXT(limitePermitido, "0%") &amp; " máx)", "OK"))))</f>
        <v/>
      </c>
      <c r="AP2016" s="79">
        <f>IF(AN2016="","",IF(AE2016=0,"OK",_xlfn.LET(fechaPago, Z2016, fechaFactura, R2016, diasCredito, IF(E2016="Pago inmediato", 0, IFERROR(VALUE(MID(E2016, 1, SEARCH(" ", E2016)-1)),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16" s="79">
        <f>IF(AN2016="","",IF(AND(N2016&gt;0, AG2016&gt;0), IF(Configuración!$K$2="NO", "ALERTA: DESCUENTO DOBLE NO PERMITIDO", "OK"), "OK"))</f>
        <v/>
      </c>
      <c r="AR2016" s="79">
        <f>IF(AN2016="","",IF(OR(AO2016&lt;&gt;"OK", AP2016&lt;&gt;"OK", AQ2016&lt;&gt;"OK"), "⚠️ REVISAR", "OK"))</f>
        <v/>
      </c>
    </row>
    <row r="2017">
      <c r="A2017" s="79">
        <f>IF('Ordenes_Odoo'!A2017="","",'Ordenes_Odoo'!A2017)</f>
        <v/>
      </c>
      <c r="B2017" s="80">
        <f>IF('Ordenes_Odoo'!B2017="","",'Ordenes_Odoo'!B2017)</f>
        <v/>
      </c>
      <c r="C2017" s="79">
        <f>IF('Ordenes_Odoo'!C2017="","",'Ordenes_Odoo'!C2017)</f>
        <v/>
      </c>
      <c r="D2017" s="79">
        <f>IF('Ordenes_Odoo'!D2017="","",'Ordenes_Odoo'!D2017)</f>
        <v/>
      </c>
      <c r="E2017" s="79">
        <f>IF('Ordenes_Odoo'!E2017="","",'Ordenes_Odoo'!E2017)</f>
        <v/>
      </c>
      <c r="F2017" s="79">
        <f>IF('Ordenes_Odoo'!F2017="","",'Ordenes_Odoo'!F2017)</f>
        <v/>
      </c>
      <c r="G2017" s="79">
        <f>IF('Ordenes_Odoo'!G2017="","",'Ordenes_Odoo'!G2017)</f>
        <v/>
      </c>
      <c r="H2017" s="79">
        <f>IF('Ordenes_Odoo'!H2017="","",'Ordenes_Odoo'!H2017)</f>
        <v/>
      </c>
      <c r="I2017" s="79">
        <f>IF('Ordenes_Odoo'!I2017="","",'Ordenes_Odoo'!I2017)</f>
        <v/>
      </c>
      <c r="J2017" s="79">
        <f>IF('Ordenes_Odoo'!J2017="","",'Ordenes_Odoo'!J2017)</f>
        <v/>
      </c>
      <c r="K2017" s="81">
        <f>IF('Ordenes_Odoo'!K2017="","",'Ordenes_Odoo'!K2017)</f>
        <v/>
      </c>
      <c r="L2017" s="81">
        <f>IF('Ordenes_Odoo'!L2017="","",'Ordenes_Odoo'!L2017)</f>
        <v/>
      </c>
      <c r="M2017" s="79">
        <f>IF('Ordenes_Odoo'!M2017="","",'Ordenes_Odoo'!M2017)</f>
        <v/>
      </c>
      <c r="N2017" s="79">
        <f>IF('Ordenes_Odoo'!N2017="","",'Ordenes_Odoo'!N2017)</f>
        <v/>
      </c>
      <c r="O2017" s="81">
        <f>IF('Ordenes_Odoo'!O2017="","",'Ordenes_Odoo'!O2017)</f>
        <v/>
      </c>
      <c r="P2017" s="81">
        <f>IF('Ordenes_Odoo'!P2017="","",'Ordenes_Odoo'!P2017)</f>
        <v/>
      </c>
      <c r="Q2017" s="79">
        <f>IF(A2017="","",IFERROR(INDEX(Facturas_Odoo!$B:$B, MATCH(A2017, Facturas_Odoo!$D:$D, 0)), "Sin Factura"))</f>
        <v/>
      </c>
      <c r="R2017" s="80">
        <f>IF(Q2017="Sin Factura","",IFERROR(INDEX(Facturas_Odoo!$A:$A, MATCH(Q2017, Facturas_Odoo!$B:$B, 0)), ""))</f>
        <v/>
      </c>
      <c r="S2017" s="79">
        <f>IF(Q2017="Sin Factura","",IFERROR(_xlfn.XLOOKUP(1, (Facturas_Odoo!$D:$D=A2017) * (Facturas_Odoo!$K:$K=I2017), Facturas_Odoo!$L:$L, ""), ""))</f>
        <v/>
      </c>
      <c r="T2017" s="81">
        <f>IF(Q2017="Sin Factura",0,IFERROR(_xlfn.XLOOKUP(1, (Facturas_Odoo!$D:$D=A2017) * (Facturas_Odoo!$K:$K=I2017), Facturas_Odoo!$M:$M, 0), 0))</f>
        <v/>
      </c>
      <c r="U2017" s="79">
        <f>IF(Q2017="Sin Factura",0,IFERROR(_xlfn.XLOOKUP(1, (Facturas_Odoo!$D:$D=A2017) * (Facturas_Odoo!$K:$K=I2017), Facturas_Odoo!$N:$N, 0), 0))</f>
        <v/>
      </c>
      <c r="V2017" s="79">
        <f>IF(Q2017="Sin Factura",0,IFERROR(_xlfn.XLOOKUP(1, (Facturas_Odoo!$D:$D=A2017) * (Facturas_Odoo!$K:$K=I2017), Facturas_Odoo!$O:$O, 0), 0))</f>
        <v/>
      </c>
      <c r="W2017" s="81">
        <f>IF(Q2017="Sin Factura",0,IFERROR(_xlfn.XLOOKUP(1, (Facturas_Odoo!$D:$D=A2017) * (Facturas_Odoo!$K:$K=I2017), Facturas_Odoo!$Q:$Q, 0), 0))</f>
        <v/>
      </c>
      <c r="X2017" s="79">
        <f>IF(OR(Q2017="Sin Factura",Q2017=""),"",IFERROR(INDEX(Pagos_Odoo!$B:$B, MATCH(Q2017, Pagos_Odoo!$I:$I, 0)), "Sin Pago"))</f>
        <v/>
      </c>
      <c r="Y2017" s="79">
        <f>IF(X2017="Sin Pago","",IFERROR(INDEX(Pagos_Odoo!$C:$C, MATCH(X2017, Pagos_Odoo!$B:$B, 0)), ""))</f>
        <v/>
      </c>
      <c r="Z2017" s="80">
        <f>IF(X2017="Sin Pago","",IFERROR(INDEX(Pagos_Odoo!$A:$A, MATCH(X2017, Pagos_Odoo!$B:$B, 0)), ""))</f>
        <v/>
      </c>
      <c r="AA2017" s="79">
        <f>IF(X2017="Sin Pago","",IFERROR(INDEX(Pagos_Odoo!$F:$F, MATCH(X2017, Pagos_Odoo!$B:$B, 0)), ""))</f>
        <v/>
      </c>
      <c r="AB2017" s="81">
        <f>IF(X2017="Sin Pago",0,IFERROR(INDEX(Pagos_Odoo!$E:$E, MATCH(X2017, Pagos_Odoo!$B:$B, 0)), 0))</f>
        <v/>
      </c>
      <c r="AC2017" s="79">
        <f>IF(X2017="Sin Pago","",IFERROR(INDEX(Pagos_Odoo!$G:$G, MATCH(X2017, Pagos_Odoo!$B:$B, 0)), ""))</f>
        <v/>
      </c>
      <c r="AD2017" s="82" t="n">
        <v>0</v>
      </c>
      <c r="AE2017" s="82" t="n"/>
      <c r="AF2017" s="82" t="n"/>
      <c r="AG2017" s="82">
        <f>IF(AN2017="","",AD2017+AE2017+AF2017)</f>
        <v/>
      </c>
      <c r="AH2017" s="81">
        <f>IF(AN2017="","",P2017*(1-AG2017))</f>
        <v/>
      </c>
      <c r="AI2017" s="81">
        <f>IF(AN2017="","",IF(Q2017="Sin Factura",0,IFERROR(INDEX(Facturas_Odoo!$H:$H, MATCH(Q2017, Facturas_Odoo!$B:$B, 0)), 0)*(1-AG2017)))</f>
        <v/>
      </c>
      <c r="AJ2017" s="81">
        <f>IF(AN2017="","",_xlfn.LET(idVenta, AN2017&amp;"",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17" s="81">
        <f>IF(AN2017="","",AH2017-AJ2017)</f>
        <v/>
      </c>
      <c r="AL2017" s="81">
        <f>IF(AN2017="","",IF(Q2017="Sin Factura","",AI2017-AJ2017))</f>
        <v/>
      </c>
      <c r="AM2017" s="81">
        <f>IF(AN2017="","",IF(Q2017="Sin Factura",0,P2017-IFERROR(INDEX(Facturas_Odoo!$H:$H, MATCH(Q2017, Facturas_Odoo!$B:$B, 0)), 0)))</f>
        <v/>
      </c>
      <c r="AN2017" s="79">
        <f>IF(AND(A2017="", J2017=""), "", IF(A2017&lt;&gt;"", VALUE(MID(A2017,2,LEN(A2017))), AN2016))</f>
        <v/>
      </c>
      <c r="AO2017" s="79">
        <f>IF(AN2017="","",IF(AD2017=0,"OK",_xlfn.LET(monedaPago, IF(AA2017="","USD",AA2017), limitePermitido, IFERROR(VLOOKUP(monedaPago, Configuración!$A$2:$B$3, 2, FALSE), 0.15), IF(AD2017&gt;limitePermitido, "ALERTA: EXCESO (" &amp; TEXT(limitePermitido, "0%") &amp; " máx)", "OK"))))</f>
        <v/>
      </c>
      <c r="AP2017" s="79">
        <f>IF(AN2017="","",IF(AE2017=0,"OK",_xlfn.LET(fechaPago, Z2017, fechaFactura, R2017, diasCredito, IF(E2017="Pago inmediato", 0, IFERROR(VALUE(MID(E2017, 1, SEARCH(" ", E2017)-1)),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17" s="79">
        <f>IF(AN2017="","",IF(AND(N2017&gt;0, AG2017&gt;0), IF(Configuración!$K$2="NO", "ALERTA: DESCUENTO DOBLE NO PERMITIDO", "OK"), "OK"))</f>
        <v/>
      </c>
      <c r="AR2017" s="79">
        <f>IF(AN2017="","",IF(OR(AO2017&lt;&gt;"OK", AP2017&lt;&gt;"OK", AQ2017&lt;&gt;"OK"), "⚠️ REVISAR", "OK"))</f>
        <v/>
      </c>
    </row>
    <row r="2018">
      <c r="A2018" s="79">
        <f>IF('Ordenes_Odoo'!A2018="","",'Ordenes_Odoo'!A2018)</f>
        <v/>
      </c>
      <c r="B2018" s="80">
        <f>IF('Ordenes_Odoo'!B2018="","",'Ordenes_Odoo'!B2018)</f>
        <v/>
      </c>
      <c r="C2018" s="79">
        <f>IF('Ordenes_Odoo'!C2018="","",'Ordenes_Odoo'!C2018)</f>
        <v/>
      </c>
      <c r="D2018" s="79">
        <f>IF('Ordenes_Odoo'!D2018="","",'Ordenes_Odoo'!D2018)</f>
        <v/>
      </c>
      <c r="E2018" s="79">
        <f>IF('Ordenes_Odoo'!E2018="","",'Ordenes_Odoo'!E2018)</f>
        <v/>
      </c>
      <c r="F2018" s="79">
        <f>IF('Ordenes_Odoo'!F2018="","",'Ordenes_Odoo'!F2018)</f>
        <v/>
      </c>
      <c r="G2018" s="79">
        <f>IF('Ordenes_Odoo'!G2018="","",'Ordenes_Odoo'!G2018)</f>
        <v/>
      </c>
      <c r="H2018" s="79">
        <f>IF('Ordenes_Odoo'!H2018="","",'Ordenes_Odoo'!H2018)</f>
        <v/>
      </c>
      <c r="I2018" s="79">
        <f>IF('Ordenes_Odoo'!I2018="","",'Ordenes_Odoo'!I2018)</f>
        <v/>
      </c>
      <c r="J2018" s="79">
        <f>IF('Ordenes_Odoo'!J2018="","",'Ordenes_Odoo'!J2018)</f>
        <v/>
      </c>
      <c r="K2018" s="81">
        <f>IF('Ordenes_Odoo'!K2018="","",'Ordenes_Odoo'!K2018)</f>
        <v/>
      </c>
      <c r="L2018" s="81">
        <f>IF('Ordenes_Odoo'!L2018="","",'Ordenes_Odoo'!L2018)</f>
        <v/>
      </c>
      <c r="M2018" s="79">
        <f>IF('Ordenes_Odoo'!M2018="","",'Ordenes_Odoo'!M2018)</f>
        <v/>
      </c>
      <c r="N2018" s="79">
        <f>IF('Ordenes_Odoo'!N2018="","",'Ordenes_Odoo'!N2018)</f>
        <v/>
      </c>
      <c r="O2018" s="81">
        <f>IF('Ordenes_Odoo'!O2018="","",'Ordenes_Odoo'!O2018)</f>
        <v/>
      </c>
      <c r="P2018" s="81">
        <f>IF('Ordenes_Odoo'!P2018="","",'Ordenes_Odoo'!P2018)</f>
        <v/>
      </c>
      <c r="Q2018" s="79">
        <f>IF(A2018="","",IFERROR(INDEX(Facturas_Odoo!$B:$B, MATCH(A2018, Facturas_Odoo!$D:$D, 0)), "Sin Factura"))</f>
        <v/>
      </c>
      <c r="R2018" s="80">
        <f>IF(Q2018="Sin Factura","",IFERROR(INDEX(Facturas_Odoo!$A:$A, MATCH(Q2018, Facturas_Odoo!$B:$B, 0)), ""))</f>
        <v/>
      </c>
      <c r="S2018" s="79">
        <f>IF(Q2018="Sin Factura","",IFERROR(_xlfn.XLOOKUP(1, (Facturas_Odoo!$D:$D=A2018) * (Facturas_Odoo!$K:$K=I2018), Facturas_Odoo!$L:$L, ""), ""))</f>
        <v/>
      </c>
      <c r="T2018" s="81">
        <f>IF(Q2018="Sin Factura",0,IFERROR(_xlfn.XLOOKUP(1, (Facturas_Odoo!$D:$D=A2018) * (Facturas_Odoo!$K:$K=I2018), Facturas_Odoo!$M:$M, 0), 0))</f>
        <v/>
      </c>
      <c r="U2018" s="79">
        <f>IF(Q2018="Sin Factura",0,IFERROR(_xlfn.XLOOKUP(1, (Facturas_Odoo!$D:$D=A2018) * (Facturas_Odoo!$K:$K=I2018), Facturas_Odoo!$N:$N, 0), 0))</f>
        <v/>
      </c>
      <c r="V2018" s="79">
        <f>IF(Q2018="Sin Factura",0,IFERROR(_xlfn.XLOOKUP(1, (Facturas_Odoo!$D:$D=A2018) * (Facturas_Odoo!$K:$K=I2018), Facturas_Odoo!$O:$O, 0), 0))</f>
        <v/>
      </c>
      <c r="W2018" s="81">
        <f>IF(Q2018="Sin Factura",0,IFERROR(_xlfn.XLOOKUP(1, (Facturas_Odoo!$D:$D=A2018) * (Facturas_Odoo!$K:$K=I2018), Facturas_Odoo!$Q:$Q, 0), 0))</f>
        <v/>
      </c>
      <c r="X2018" s="79">
        <f>IF(OR(Q2018="Sin Factura",Q2018=""),"",IFERROR(INDEX(Pagos_Odoo!$B:$B, MATCH(Q2018, Pagos_Odoo!$I:$I, 0)), "Sin Pago"))</f>
        <v/>
      </c>
      <c r="Y2018" s="79">
        <f>IF(X2018="Sin Pago","",IFERROR(INDEX(Pagos_Odoo!$C:$C, MATCH(X2018, Pagos_Odoo!$B:$B, 0)), ""))</f>
        <v/>
      </c>
      <c r="Z2018" s="80">
        <f>IF(X2018="Sin Pago","",IFERROR(INDEX(Pagos_Odoo!$A:$A, MATCH(X2018, Pagos_Odoo!$B:$B, 0)), ""))</f>
        <v/>
      </c>
      <c r="AA2018" s="79">
        <f>IF(X2018="Sin Pago","",IFERROR(INDEX(Pagos_Odoo!$F:$F, MATCH(X2018, Pagos_Odoo!$B:$B, 0)), ""))</f>
        <v/>
      </c>
      <c r="AB2018" s="81">
        <f>IF(X2018="Sin Pago",0,IFERROR(INDEX(Pagos_Odoo!$E:$E, MATCH(X2018, Pagos_Odoo!$B:$B, 0)), 0))</f>
        <v/>
      </c>
      <c r="AC2018" s="79">
        <f>IF(X2018="Sin Pago","",IFERROR(INDEX(Pagos_Odoo!$G:$G, MATCH(X2018, Pagos_Odoo!$B:$B, 0)), ""))</f>
        <v/>
      </c>
      <c r="AD2018" s="82" t="n">
        <v>0</v>
      </c>
      <c r="AE2018" s="82" t="n"/>
      <c r="AF2018" s="82" t="n"/>
      <c r="AG2018" s="82">
        <f>IF(AN2018="","",AD2018+AE2018+AF2018)</f>
        <v/>
      </c>
      <c r="AH2018" s="81">
        <f>IF(AN2018="","",P2018*(1-AG2018))</f>
        <v/>
      </c>
      <c r="AI2018" s="81">
        <f>IF(AN2018="","",IF(Q2018="Sin Factura",0,IFERROR(INDEX(Facturas_Odoo!$H:$H, MATCH(Q2018, Facturas_Odoo!$B:$B, 0)), 0)*(1-AG2018)))</f>
        <v/>
      </c>
      <c r="AJ2018" s="81">
        <f>IF(AN2018="","",_xlfn.LET(idVenta, AN2018&amp;"",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18" s="81">
        <f>IF(AN2018="","",AH2018-AJ2018)</f>
        <v/>
      </c>
      <c r="AL2018" s="81">
        <f>IF(AN2018="","",IF(Q2018="Sin Factura","",AI2018-AJ2018))</f>
        <v/>
      </c>
      <c r="AM2018" s="81">
        <f>IF(AN2018="","",IF(Q2018="Sin Factura",0,P2018-IFERROR(INDEX(Facturas_Odoo!$H:$H, MATCH(Q2018, Facturas_Odoo!$B:$B, 0)), 0)))</f>
        <v/>
      </c>
      <c r="AN2018" s="79">
        <f>IF(AND(A2018="", J2018=""), "", IF(A2018&lt;&gt;"", VALUE(MID(A2018,2,LEN(A2018))), AN2017))</f>
        <v/>
      </c>
      <c r="AO2018" s="79">
        <f>IF(AN2018="","",IF(AD2018=0,"OK",_xlfn.LET(monedaPago, IF(AA2018="","USD",AA2018), limitePermitido, IFERROR(VLOOKUP(monedaPago, Configuración!$A$2:$B$3, 2, FALSE), 0.15), IF(AD2018&gt;limitePermitido, "ALERTA: EXCESO (" &amp; TEXT(limitePermitido, "0%") &amp; " máx)", "OK"))))</f>
        <v/>
      </c>
      <c r="AP2018" s="79">
        <f>IF(AN2018="","",IF(AE2018=0,"OK",_xlfn.LET(fechaPago, Z2018, fechaFactura, R2018, diasCredito, IF(E2018="Pago inmediato", 0, IFERROR(VALUE(MID(E2018, 1, SEARCH(" ", E2018)-1)),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18" s="79">
        <f>IF(AN2018="","",IF(AND(N2018&gt;0, AG2018&gt;0), IF(Configuración!$K$2="NO", "ALERTA: DESCUENTO DOBLE NO PERMITIDO", "OK"), "OK"))</f>
        <v/>
      </c>
      <c r="AR2018" s="79">
        <f>IF(AN2018="","",IF(OR(AO2018&lt;&gt;"OK", AP2018&lt;&gt;"OK", AQ2018&lt;&gt;"OK"), "⚠️ REVISAR", "OK"))</f>
        <v/>
      </c>
    </row>
    <row r="2019">
      <c r="A2019" s="79">
        <f>IF('Ordenes_Odoo'!A2019="","",'Ordenes_Odoo'!A2019)</f>
        <v/>
      </c>
      <c r="B2019" s="80">
        <f>IF('Ordenes_Odoo'!B2019="","",'Ordenes_Odoo'!B2019)</f>
        <v/>
      </c>
      <c r="C2019" s="79">
        <f>IF('Ordenes_Odoo'!C2019="","",'Ordenes_Odoo'!C2019)</f>
        <v/>
      </c>
      <c r="D2019" s="79">
        <f>IF('Ordenes_Odoo'!D2019="","",'Ordenes_Odoo'!D2019)</f>
        <v/>
      </c>
      <c r="E2019" s="79">
        <f>IF('Ordenes_Odoo'!E2019="","",'Ordenes_Odoo'!E2019)</f>
        <v/>
      </c>
      <c r="F2019" s="79">
        <f>IF('Ordenes_Odoo'!F2019="","",'Ordenes_Odoo'!F2019)</f>
        <v/>
      </c>
      <c r="G2019" s="79">
        <f>IF('Ordenes_Odoo'!G2019="","",'Ordenes_Odoo'!G2019)</f>
        <v/>
      </c>
      <c r="H2019" s="79">
        <f>IF('Ordenes_Odoo'!H2019="","",'Ordenes_Odoo'!H2019)</f>
        <v/>
      </c>
      <c r="I2019" s="79">
        <f>IF('Ordenes_Odoo'!I2019="","",'Ordenes_Odoo'!I2019)</f>
        <v/>
      </c>
      <c r="J2019" s="79">
        <f>IF('Ordenes_Odoo'!J2019="","",'Ordenes_Odoo'!J2019)</f>
        <v/>
      </c>
      <c r="K2019" s="81">
        <f>IF('Ordenes_Odoo'!K2019="","",'Ordenes_Odoo'!K2019)</f>
        <v/>
      </c>
      <c r="L2019" s="81">
        <f>IF('Ordenes_Odoo'!L2019="","",'Ordenes_Odoo'!L2019)</f>
        <v/>
      </c>
      <c r="M2019" s="79">
        <f>IF('Ordenes_Odoo'!M2019="","",'Ordenes_Odoo'!M2019)</f>
        <v/>
      </c>
      <c r="N2019" s="79">
        <f>IF('Ordenes_Odoo'!N2019="","",'Ordenes_Odoo'!N2019)</f>
        <v/>
      </c>
      <c r="O2019" s="81">
        <f>IF('Ordenes_Odoo'!O2019="","",'Ordenes_Odoo'!O2019)</f>
        <v/>
      </c>
      <c r="P2019" s="81">
        <f>IF('Ordenes_Odoo'!P2019="","",'Ordenes_Odoo'!P2019)</f>
        <v/>
      </c>
      <c r="Q2019" s="79">
        <f>IF(A2019="","",IFERROR(INDEX(Facturas_Odoo!$B:$B, MATCH(A2019, Facturas_Odoo!$D:$D, 0)), "Sin Factura"))</f>
        <v/>
      </c>
      <c r="R2019" s="80">
        <f>IF(Q2019="Sin Factura","",IFERROR(INDEX(Facturas_Odoo!$A:$A, MATCH(Q2019, Facturas_Odoo!$B:$B, 0)), ""))</f>
        <v/>
      </c>
      <c r="S2019" s="79">
        <f>IF(Q2019="Sin Factura","",IFERROR(_xlfn.XLOOKUP(1, (Facturas_Odoo!$D:$D=A2019) * (Facturas_Odoo!$K:$K=I2019), Facturas_Odoo!$L:$L, ""), ""))</f>
        <v/>
      </c>
      <c r="T2019" s="81">
        <f>IF(Q2019="Sin Factura",0,IFERROR(_xlfn.XLOOKUP(1, (Facturas_Odoo!$D:$D=A2019) * (Facturas_Odoo!$K:$K=I2019), Facturas_Odoo!$M:$M, 0), 0))</f>
        <v/>
      </c>
      <c r="U2019" s="79">
        <f>IF(Q2019="Sin Factura",0,IFERROR(_xlfn.XLOOKUP(1, (Facturas_Odoo!$D:$D=A2019) * (Facturas_Odoo!$K:$K=I2019), Facturas_Odoo!$N:$N, 0), 0))</f>
        <v/>
      </c>
      <c r="V2019" s="79">
        <f>IF(Q2019="Sin Factura",0,IFERROR(_xlfn.XLOOKUP(1, (Facturas_Odoo!$D:$D=A2019) * (Facturas_Odoo!$K:$K=I2019), Facturas_Odoo!$O:$O, 0), 0))</f>
        <v/>
      </c>
      <c r="W2019" s="81">
        <f>IF(Q2019="Sin Factura",0,IFERROR(_xlfn.XLOOKUP(1, (Facturas_Odoo!$D:$D=A2019) * (Facturas_Odoo!$K:$K=I2019), Facturas_Odoo!$Q:$Q, 0), 0))</f>
        <v/>
      </c>
      <c r="X2019" s="79">
        <f>IF(OR(Q2019="Sin Factura",Q2019=""),"",IFERROR(INDEX(Pagos_Odoo!$B:$B, MATCH(Q2019, Pagos_Odoo!$I:$I, 0)), "Sin Pago"))</f>
        <v/>
      </c>
      <c r="Y2019" s="79">
        <f>IF(X2019="Sin Pago","",IFERROR(INDEX(Pagos_Odoo!$C:$C, MATCH(X2019, Pagos_Odoo!$B:$B, 0)), ""))</f>
        <v/>
      </c>
      <c r="Z2019" s="80">
        <f>IF(X2019="Sin Pago","",IFERROR(INDEX(Pagos_Odoo!$A:$A, MATCH(X2019, Pagos_Odoo!$B:$B, 0)), ""))</f>
        <v/>
      </c>
      <c r="AA2019" s="79">
        <f>IF(X2019="Sin Pago","",IFERROR(INDEX(Pagos_Odoo!$F:$F, MATCH(X2019, Pagos_Odoo!$B:$B, 0)), ""))</f>
        <v/>
      </c>
      <c r="AB2019" s="81">
        <f>IF(X2019="Sin Pago",0,IFERROR(INDEX(Pagos_Odoo!$E:$E, MATCH(X2019, Pagos_Odoo!$B:$B, 0)), 0))</f>
        <v/>
      </c>
      <c r="AC2019" s="79">
        <f>IF(X2019="Sin Pago","",IFERROR(INDEX(Pagos_Odoo!$G:$G, MATCH(X2019, Pagos_Odoo!$B:$B, 0)), ""))</f>
        <v/>
      </c>
      <c r="AD2019" s="82" t="n">
        <v>0</v>
      </c>
      <c r="AE2019" s="82" t="n"/>
      <c r="AF2019" s="82" t="n"/>
      <c r="AG2019" s="82">
        <f>IF(AN2019="","",AD2019+AE2019+AF2019)</f>
        <v/>
      </c>
      <c r="AH2019" s="81">
        <f>IF(AN2019="","",P2019*(1-AG2019))</f>
        <v/>
      </c>
      <c r="AI2019" s="81">
        <f>IF(AN2019="","",IF(Q2019="Sin Factura",0,IFERROR(INDEX(Facturas_Odoo!$H:$H, MATCH(Q2019, Facturas_Odoo!$B:$B, 0)), 0)*(1-AG2019)))</f>
        <v/>
      </c>
      <c r="AJ2019" s="81">
        <f>IF(AN2019="","",_xlfn.LET(idVenta, AN2019&amp;"",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19" s="81">
        <f>IF(AN2019="","",AH2019-AJ2019)</f>
        <v/>
      </c>
      <c r="AL2019" s="81">
        <f>IF(AN2019="","",IF(Q2019="Sin Factura","",AI2019-AJ2019))</f>
        <v/>
      </c>
      <c r="AM2019" s="81">
        <f>IF(AN2019="","",IF(Q2019="Sin Factura",0,P2019-IFERROR(INDEX(Facturas_Odoo!$H:$H, MATCH(Q2019, Facturas_Odoo!$B:$B, 0)), 0)))</f>
        <v/>
      </c>
      <c r="AN2019" s="79">
        <f>IF(AND(A2019="", J2019=""), "", IF(A2019&lt;&gt;"", VALUE(MID(A2019,2,LEN(A2019))), AN2018))</f>
        <v/>
      </c>
      <c r="AO2019" s="79">
        <f>IF(AN2019="","",IF(AD2019=0,"OK",_xlfn.LET(monedaPago, IF(AA2019="","USD",AA2019), limitePermitido, IFERROR(VLOOKUP(monedaPago, Configuración!$A$2:$B$3, 2, FALSE), 0.15), IF(AD2019&gt;limitePermitido, "ALERTA: EXCESO (" &amp; TEXT(limitePermitido, "0%") &amp; " máx)", "OK"))))</f>
        <v/>
      </c>
      <c r="AP2019" s="79">
        <f>IF(AN2019="","",IF(AE2019=0,"OK",_xlfn.LET(fechaPago, Z2019, fechaFactura, R2019, diasCredito, IF(E2019="Pago inmediato", 0, IFERROR(VALUE(MID(E2019, 1, SEARCH(" ", E2019)-1)),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19" s="79">
        <f>IF(AN2019="","",IF(AND(N2019&gt;0, AG2019&gt;0), IF(Configuración!$K$2="NO", "ALERTA: DESCUENTO DOBLE NO PERMITIDO", "OK"), "OK"))</f>
        <v/>
      </c>
      <c r="AR2019" s="79">
        <f>IF(AN2019="","",IF(OR(AO2019&lt;&gt;"OK", AP2019&lt;&gt;"OK", AQ2019&lt;&gt;"OK"), "⚠️ REVISAR", "OK"))</f>
        <v/>
      </c>
    </row>
    <row r="2020">
      <c r="A2020" s="79">
        <f>IF('Ordenes_Odoo'!A2020="","",'Ordenes_Odoo'!A2020)</f>
        <v/>
      </c>
      <c r="B2020" s="80">
        <f>IF('Ordenes_Odoo'!B2020="","",'Ordenes_Odoo'!B2020)</f>
        <v/>
      </c>
      <c r="C2020" s="79">
        <f>IF('Ordenes_Odoo'!C2020="","",'Ordenes_Odoo'!C2020)</f>
        <v/>
      </c>
      <c r="D2020" s="79">
        <f>IF('Ordenes_Odoo'!D2020="","",'Ordenes_Odoo'!D2020)</f>
        <v/>
      </c>
      <c r="E2020" s="79">
        <f>IF('Ordenes_Odoo'!E2020="","",'Ordenes_Odoo'!E2020)</f>
        <v/>
      </c>
      <c r="F2020" s="79">
        <f>IF('Ordenes_Odoo'!F2020="","",'Ordenes_Odoo'!F2020)</f>
        <v/>
      </c>
      <c r="G2020" s="79">
        <f>IF('Ordenes_Odoo'!G2020="","",'Ordenes_Odoo'!G2020)</f>
        <v/>
      </c>
      <c r="H2020" s="79">
        <f>IF('Ordenes_Odoo'!H2020="","",'Ordenes_Odoo'!H2020)</f>
        <v/>
      </c>
      <c r="I2020" s="79">
        <f>IF('Ordenes_Odoo'!I2020="","",'Ordenes_Odoo'!I2020)</f>
        <v/>
      </c>
      <c r="J2020" s="79">
        <f>IF('Ordenes_Odoo'!J2020="","",'Ordenes_Odoo'!J2020)</f>
        <v/>
      </c>
      <c r="K2020" s="81">
        <f>IF('Ordenes_Odoo'!K2020="","",'Ordenes_Odoo'!K2020)</f>
        <v/>
      </c>
      <c r="L2020" s="81">
        <f>IF('Ordenes_Odoo'!L2020="","",'Ordenes_Odoo'!L2020)</f>
        <v/>
      </c>
      <c r="M2020" s="79">
        <f>IF('Ordenes_Odoo'!M2020="","",'Ordenes_Odoo'!M2020)</f>
        <v/>
      </c>
      <c r="N2020" s="79">
        <f>IF('Ordenes_Odoo'!N2020="","",'Ordenes_Odoo'!N2020)</f>
        <v/>
      </c>
      <c r="O2020" s="81">
        <f>IF('Ordenes_Odoo'!O2020="","",'Ordenes_Odoo'!O2020)</f>
        <v/>
      </c>
      <c r="P2020" s="81">
        <f>IF('Ordenes_Odoo'!P2020="","",'Ordenes_Odoo'!P2020)</f>
        <v/>
      </c>
      <c r="Q2020" s="79">
        <f>IF(A2020="","",IFERROR(INDEX(Facturas_Odoo!$B:$B, MATCH(A2020, Facturas_Odoo!$D:$D, 0)), "Sin Factura"))</f>
        <v/>
      </c>
      <c r="R2020" s="80">
        <f>IF(Q2020="Sin Factura","",IFERROR(INDEX(Facturas_Odoo!$A:$A, MATCH(Q2020, Facturas_Odoo!$B:$B, 0)), ""))</f>
        <v/>
      </c>
      <c r="S2020" s="79">
        <f>IF(Q2020="Sin Factura","",IFERROR(_xlfn.XLOOKUP(1, (Facturas_Odoo!$D:$D=A2020) * (Facturas_Odoo!$K:$K=I2020), Facturas_Odoo!$L:$L, ""), ""))</f>
        <v/>
      </c>
      <c r="T2020" s="81">
        <f>IF(Q2020="Sin Factura",0,IFERROR(_xlfn.XLOOKUP(1, (Facturas_Odoo!$D:$D=A2020) * (Facturas_Odoo!$K:$K=I2020), Facturas_Odoo!$M:$M, 0), 0))</f>
        <v/>
      </c>
      <c r="U2020" s="79">
        <f>IF(Q2020="Sin Factura",0,IFERROR(_xlfn.XLOOKUP(1, (Facturas_Odoo!$D:$D=A2020) * (Facturas_Odoo!$K:$K=I2020), Facturas_Odoo!$N:$N, 0), 0))</f>
        <v/>
      </c>
      <c r="V2020" s="79">
        <f>IF(Q2020="Sin Factura",0,IFERROR(_xlfn.XLOOKUP(1, (Facturas_Odoo!$D:$D=A2020) * (Facturas_Odoo!$K:$K=I2020), Facturas_Odoo!$O:$O, 0), 0))</f>
        <v/>
      </c>
      <c r="W2020" s="81">
        <f>IF(Q2020="Sin Factura",0,IFERROR(_xlfn.XLOOKUP(1, (Facturas_Odoo!$D:$D=A2020) * (Facturas_Odoo!$K:$K=I2020), Facturas_Odoo!$Q:$Q, 0), 0))</f>
        <v/>
      </c>
      <c r="X2020" s="79">
        <f>IF(OR(Q2020="Sin Factura",Q2020=""),"",IFERROR(INDEX(Pagos_Odoo!$B:$B, MATCH(Q2020, Pagos_Odoo!$I:$I, 0)), "Sin Pago"))</f>
        <v/>
      </c>
      <c r="Y2020" s="79">
        <f>IF(X2020="Sin Pago","",IFERROR(INDEX(Pagos_Odoo!$C:$C, MATCH(X2020, Pagos_Odoo!$B:$B, 0)), ""))</f>
        <v/>
      </c>
      <c r="Z2020" s="80">
        <f>IF(X2020="Sin Pago","",IFERROR(INDEX(Pagos_Odoo!$A:$A, MATCH(X2020, Pagos_Odoo!$B:$B, 0)), ""))</f>
        <v/>
      </c>
      <c r="AA2020" s="79">
        <f>IF(X2020="Sin Pago","",IFERROR(INDEX(Pagos_Odoo!$F:$F, MATCH(X2020, Pagos_Odoo!$B:$B, 0)), ""))</f>
        <v/>
      </c>
      <c r="AB2020" s="81">
        <f>IF(X2020="Sin Pago",0,IFERROR(INDEX(Pagos_Odoo!$E:$E, MATCH(X2020, Pagos_Odoo!$B:$B, 0)), 0))</f>
        <v/>
      </c>
      <c r="AC2020" s="79">
        <f>IF(X2020="Sin Pago","",IFERROR(INDEX(Pagos_Odoo!$G:$G, MATCH(X2020, Pagos_Odoo!$B:$B, 0)), ""))</f>
        <v/>
      </c>
      <c r="AD2020" s="82" t="n">
        <v>0</v>
      </c>
      <c r="AE2020" s="82" t="n"/>
      <c r="AF2020" s="82" t="n"/>
      <c r="AG2020" s="82">
        <f>IF(AN2020="","",AD2020+AE2020+AF2020)</f>
        <v/>
      </c>
      <c r="AH2020" s="81">
        <f>IF(AN2020="","",P2020*(1-AG2020))</f>
        <v/>
      </c>
      <c r="AI2020" s="81">
        <f>IF(AN2020="","",IF(Q2020="Sin Factura",0,IFERROR(INDEX(Facturas_Odoo!$H:$H, MATCH(Q2020, Facturas_Odoo!$B:$B, 0)), 0)*(1-AG2020)))</f>
        <v/>
      </c>
      <c r="AJ2020" s="81">
        <f>IF(AN2020="","",_xlfn.LET(idVenta, AN2020&amp;"",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20" s="81">
        <f>IF(AN2020="","",AH2020-AJ2020)</f>
        <v/>
      </c>
      <c r="AL2020" s="81">
        <f>IF(AN2020="","",IF(Q2020="Sin Factura","",AI2020-AJ2020))</f>
        <v/>
      </c>
      <c r="AM2020" s="81">
        <f>IF(AN2020="","",IF(Q2020="Sin Factura",0,P2020-IFERROR(INDEX(Facturas_Odoo!$H:$H, MATCH(Q2020, Facturas_Odoo!$B:$B, 0)), 0)))</f>
        <v/>
      </c>
      <c r="AN2020" s="79">
        <f>IF(AND(A2020="", J2020=""), "", IF(A2020&lt;&gt;"", VALUE(MID(A2020,2,LEN(A2020))), AN2019))</f>
        <v/>
      </c>
      <c r="AO2020" s="79">
        <f>IF(AN2020="","",IF(AD2020=0,"OK",_xlfn.LET(monedaPago, IF(AA2020="","USD",AA2020), limitePermitido, IFERROR(VLOOKUP(monedaPago, Configuración!$A$2:$B$3, 2, FALSE), 0.15), IF(AD2020&gt;limitePermitido, "ALERTA: EXCESO (" &amp; TEXT(limitePermitido, "0%") &amp; " máx)", "OK"))))</f>
        <v/>
      </c>
      <c r="AP2020" s="79">
        <f>IF(AN2020="","",IF(AE2020=0,"OK",_xlfn.LET(fechaPago, Z2020, fechaFactura, R2020, diasCredito, IF(E2020="Pago inmediato", 0, IFERROR(VALUE(MID(E2020, 1, SEARCH(" ", E2020)-1)),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20" s="79">
        <f>IF(AN2020="","",IF(AND(N2020&gt;0, AG2020&gt;0), IF(Configuración!$K$2="NO", "ALERTA: DESCUENTO DOBLE NO PERMITIDO", "OK"), "OK"))</f>
        <v/>
      </c>
      <c r="AR2020" s="79">
        <f>IF(AN2020="","",IF(OR(AO2020&lt;&gt;"OK", AP2020&lt;&gt;"OK", AQ2020&lt;&gt;"OK"), "⚠️ REVISAR", "OK"))</f>
        <v/>
      </c>
    </row>
    <row r="2021">
      <c r="A2021" s="79">
        <f>IF('Ordenes_Odoo'!A2021="","",'Ordenes_Odoo'!A2021)</f>
        <v/>
      </c>
      <c r="B2021" s="80">
        <f>IF('Ordenes_Odoo'!B2021="","",'Ordenes_Odoo'!B2021)</f>
        <v/>
      </c>
      <c r="C2021" s="79">
        <f>IF('Ordenes_Odoo'!C2021="","",'Ordenes_Odoo'!C2021)</f>
        <v/>
      </c>
      <c r="D2021" s="79">
        <f>IF('Ordenes_Odoo'!D2021="","",'Ordenes_Odoo'!D2021)</f>
        <v/>
      </c>
      <c r="E2021" s="79">
        <f>IF('Ordenes_Odoo'!E2021="","",'Ordenes_Odoo'!E2021)</f>
        <v/>
      </c>
      <c r="F2021" s="79">
        <f>IF('Ordenes_Odoo'!F2021="","",'Ordenes_Odoo'!F2021)</f>
        <v/>
      </c>
      <c r="G2021" s="79">
        <f>IF('Ordenes_Odoo'!G2021="","",'Ordenes_Odoo'!G2021)</f>
        <v/>
      </c>
      <c r="H2021" s="79">
        <f>IF('Ordenes_Odoo'!H2021="","",'Ordenes_Odoo'!H2021)</f>
        <v/>
      </c>
      <c r="I2021" s="79">
        <f>IF('Ordenes_Odoo'!I2021="","",'Ordenes_Odoo'!I2021)</f>
        <v/>
      </c>
      <c r="J2021" s="79">
        <f>IF('Ordenes_Odoo'!J2021="","",'Ordenes_Odoo'!J2021)</f>
        <v/>
      </c>
      <c r="K2021" s="81">
        <f>IF('Ordenes_Odoo'!K2021="","",'Ordenes_Odoo'!K2021)</f>
        <v/>
      </c>
      <c r="L2021" s="81">
        <f>IF('Ordenes_Odoo'!L2021="","",'Ordenes_Odoo'!L2021)</f>
        <v/>
      </c>
      <c r="M2021" s="79">
        <f>IF('Ordenes_Odoo'!M2021="","",'Ordenes_Odoo'!M2021)</f>
        <v/>
      </c>
      <c r="N2021" s="79">
        <f>IF('Ordenes_Odoo'!N2021="","",'Ordenes_Odoo'!N2021)</f>
        <v/>
      </c>
      <c r="O2021" s="81">
        <f>IF('Ordenes_Odoo'!O2021="","",'Ordenes_Odoo'!O2021)</f>
        <v/>
      </c>
      <c r="P2021" s="81">
        <f>IF('Ordenes_Odoo'!P2021="","",'Ordenes_Odoo'!P2021)</f>
        <v/>
      </c>
      <c r="Q2021" s="79">
        <f>IF(A2021="","",IFERROR(INDEX(Facturas_Odoo!$B:$B, MATCH(A2021, Facturas_Odoo!$D:$D, 0)), "Sin Factura"))</f>
        <v/>
      </c>
      <c r="R2021" s="80">
        <f>IF(Q2021="Sin Factura","",IFERROR(INDEX(Facturas_Odoo!$A:$A, MATCH(Q2021, Facturas_Odoo!$B:$B, 0)), ""))</f>
        <v/>
      </c>
      <c r="S2021" s="79">
        <f>IF(Q2021="Sin Factura","",IFERROR(_xlfn.XLOOKUP(1, (Facturas_Odoo!$D:$D=A2021) * (Facturas_Odoo!$K:$K=I2021), Facturas_Odoo!$L:$L, ""), ""))</f>
        <v/>
      </c>
      <c r="T2021" s="81">
        <f>IF(Q2021="Sin Factura",0,IFERROR(_xlfn.XLOOKUP(1, (Facturas_Odoo!$D:$D=A2021) * (Facturas_Odoo!$K:$K=I2021), Facturas_Odoo!$M:$M, 0), 0))</f>
        <v/>
      </c>
      <c r="U2021" s="79">
        <f>IF(Q2021="Sin Factura",0,IFERROR(_xlfn.XLOOKUP(1, (Facturas_Odoo!$D:$D=A2021) * (Facturas_Odoo!$K:$K=I2021), Facturas_Odoo!$N:$N, 0), 0))</f>
        <v/>
      </c>
      <c r="V2021" s="79">
        <f>IF(Q2021="Sin Factura",0,IFERROR(_xlfn.XLOOKUP(1, (Facturas_Odoo!$D:$D=A2021) * (Facturas_Odoo!$K:$K=I2021), Facturas_Odoo!$O:$O, 0), 0))</f>
        <v/>
      </c>
      <c r="W2021" s="81">
        <f>IF(Q2021="Sin Factura",0,IFERROR(_xlfn.XLOOKUP(1, (Facturas_Odoo!$D:$D=A2021) * (Facturas_Odoo!$K:$K=I2021), Facturas_Odoo!$Q:$Q, 0), 0))</f>
        <v/>
      </c>
      <c r="X2021" s="79">
        <f>IF(OR(Q2021="Sin Factura",Q2021=""),"",IFERROR(INDEX(Pagos_Odoo!$B:$B, MATCH(Q2021, Pagos_Odoo!$I:$I, 0)), "Sin Pago"))</f>
        <v/>
      </c>
      <c r="Y2021" s="79">
        <f>IF(X2021="Sin Pago","",IFERROR(INDEX(Pagos_Odoo!$C:$C, MATCH(X2021, Pagos_Odoo!$B:$B, 0)), ""))</f>
        <v/>
      </c>
      <c r="Z2021" s="80">
        <f>IF(X2021="Sin Pago","",IFERROR(INDEX(Pagos_Odoo!$A:$A, MATCH(X2021, Pagos_Odoo!$B:$B, 0)), ""))</f>
        <v/>
      </c>
      <c r="AA2021" s="79">
        <f>IF(X2021="Sin Pago","",IFERROR(INDEX(Pagos_Odoo!$F:$F, MATCH(X2021, Pagos_Odoo!$B:$B, 0)), ""))</f>
        <v/>
      </c>
      <c r="AB2021" s="81">
        <f>IF(X2021="Sin Pago",0,IFERROR(INDEX(Pagos_Odoo!$E:$E, MATCH(X2021, Pagos_Odoo!$B:$B, 0)), 0))</f>
        <v/>
      </c>
      <c r="AC2021" s="79">
        <f>IF(X2021="Sin Pago","",IFERROR(INDEX(Pagos_Odoo!$G:$G, MATCH(X2021, Pagos_Odoo!$B:$B, 0)), ""))</f>
        <v/>
      </c>
      <c r="AD2021" s="82" t="n">
        <v>0</v>
      </c>
      <c r="AE2021" s="82" t="n"/>
      <c r="AF2021" s="82" t="n"/>
      <c r="AG2021" s="82">
        <f>IF(AN2021="","",AD2021+AE2021+AF2021)</f>
        <v/>
      </c>
      <c r="AH2021" s="81">
        <f>IF(AN2021="","",P2021*(1-AG2021))</f>
        <v/>
      </c>
      <c r="AI2021" s="81">
        <f>IF(AN2021="","",IF(Q2021="Sin Factura",0,IFERROR(INDEX(Facturas_Odoo!$H:$H, MATCH(Q2021, Facturas_Odoo!$B:$B, 0)), 0)*(1-AG2021)))</f>
        <v/>
      </c>
      <c r="AJ2021" s="81">
        <f>IF(AN2021="","",_xlfn.LET(idVenta, AN2021&amp;"",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21" s="81">
        <f>IF(AN2021="","",AH2021-AJ2021)</f>
        <v/>
      </c>
      <c r="AL2021" s="81">
        <f>IF(AN2021="","",IF(Q2021="Sin Factura","",AI2021-AJ2021))</f>
        <v/>
      </c>
      <c r="AM2021" s="81">
        <f>IF(AN2021="","",IF(Q2021="Sin Factura",0,P2021-IFERROR(INDEX(Facturas_Odoo!$H:$H, MATCH(Q2021, Facturas_Odoo!$B:$B, 0)), 0)))</f>
        <v/>
      </c>
      <c r="AN2021" s="79">
        <f>IF(AND(A2021="", J2021=""), "", IF(A2021&lt;&gt;"", VALUE(MID(A2021,2,LEN(A2021))), AN2020))</f>
        <v/>
      </c>
      <c r="AO2021" s="79">
        <f>IF(AN2021="","",IF(AD2021=0,"OK",_xlfn.LET(monedaPago, IF(AA2021="","USD",AA2021), limitePermitido, IFERROR(VLOOKUP(monedaPago, Configuración!$A$2:$B$3, 2, FALSE), 0.15), IF(AD2021&gt;limitePermitido, "ALERTA: EXCESO (" &amp; TEXT(limitePermitido, "0%") &amp; " máx)", "OK"))))</f>
        <v/>
      </c>
      <c r="AP2021" s="79">
        <f>IF(AN2021="","",IF(AE2021=0,"OK",_xlfn.LET(fechaPago, Z2021, fechaFactura, R2021, diasCredito, IF(E2021="Pago inmediato", 0, IFERROR(VALUE(MID(E2021, 1, SEARCH(" ", E2021)-1)),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21" s="79">
        <f>IF(AN2021="","",IF(AND(N2021&gt;0, AG2021&gt;0), IF(Configuración!$K$2="NO", "ALERTA: DESCUENTO DOBLE NO PERMITIDO", "OK"), "OK"))</f>
        <v/>
      </c>
      <c r="AR2021" s="79">
        <f>IF(AN2021="","",IF(OR(AO2021&lt;&gt;"OK", AP2021&lt;&gt;"OK", AQ2021&lt;&gt;"OK"), "⚠️ REVISAR", "OK"))</f>
        <v/>
      </c>
    </row>
    <row r="2022">
      <c r="A2022" s="79">
        <f>IF('Ordenes_Odoo'!A2022="","",'Ordenes_Odoo'!A2022)</f>
        <v/>
      </c>
      <c r="B2022" s="80">
        <f>IF('Ordenes_Odoo'!B2022="","",'Ordenes_Odoo'!B2022)</f>
        <v/>
      </c>
      <c r="C2022" s="79">
        <f>IF('Ordenes_Odoo'!C2022="","",'Ordenes_Odoo'!C2022)</f>
        <v/>
      </c>
      <c r="D2022" s="79">
        <f>IF('Ordenes_Odoo'!D2022="","",'Ordenes_Odoo'!D2022)</f>
        <v/>
      </c>
      <c r="E2022" s="79">
        <f>IF('Ordenes_Odoo'!E2022="","",'Ordenes_Odoo'!E2022)</f>
        <v/>
      </c>
      <c r="F2022" s="79">
        <f>IF('Ordenes_Odoo'!F2022="","",'Ordenes_Odoo'!F2022)</f>
        <v/>
      </c>
      <c r="G2022" s="79">
        <f>IF('Ordenes_Odoo'!G2022="","",'Ordenes_Odoo'!G2022)</f>
        <v/>
      </c>
      <c r="H2022" s="79">
        <f>IF('Ordenes_Odoo'!H2022="","",'Ordenes_Odoo'!H2022)</f>
        <v/>
      </c>
      <c r="I2022" s="79">
        <f>IF('Ordenes_Odoo'!I2022="","",'Ordenes_Odoo'!I2022)</f>
        <v/>
      </c>
      <c r="J2022" s="79">
        <f>IF('Ordenes_Odoo'!J2022="","",'Ordenes_Odoo'!J2022)</f>
        <v/>
      </c>
      <c r="K2022" s="81">
        <f>IF('Ordenes_Odoo'!K2022="","",'Ordenes_Odoo'!K2022)</f>
        <v/>
      </c>
      <c r="L2022" s="81">
        <f>IF('Ordenes_Odoo'!L2022="","",'Ordenes_Odoo'!L2022)</f>
        <v/>
      </c>
      <c r="M2022" s="79">
        <f>IF('Ordenes_Odoo'!M2022="","",'Ordenes_Odoo'!M2022)</f>
        <v/>
      </c>
      <c r="N2022" s="79">
        <f>IF('Ordenes_Odoo'!N2022="","",'Ordenes_Odoo'!N2022)</f>
        <v/>
      </c>
      <c r="O2022" s="81">
        <f>IF('Ordenes_Odoo'!O2022="","",'Ordenes_Odoo'!O2022)</f>
        <v/>
      </c>
      <c r="P2022" s="81">
        <f>IF('Ordenes_Odoo'!P2022="","",'Ordenes_Odoo'!P2022)</f>
        <v/>
      </c>
      <c r="Q2022" s="79">
        <f>IF(A2022="","",IFERROR(INDEX(Facturas_Odoo!$B:$B, MATCH(A2022, Facturas_Odoo!$D:$D, 0)), "Sin Factura"))</f>
        <v/>
      </c>
      <c r="R2022" s="80">
        <f>IF(Q2022="Sin Factura","",IFERROR(INDEX(Facturas_Odoo!$A:$A, MATCH(Q2022, Facturas_Odoo!$B:$B, 0)), ""))</f>
        <v/>
      </c>
      <c r="S2022" s="79">
        <f>IF(Q2022="Sin Factura","",IFERROR(_xlfn.XLOOKUP(1, (Facturas_Odoo!$D:$D=A2022) * (Facturas_Odoo!$K:$K=I2022), Facturas_Odoo!$L:$L, ""), ""))</f>
        <v/>
      </c>
      <c r="T2022" s="81">
        <f>IF(Q2022="Sin Factura",0,IFERROR(_xlfn.XLOOKUP(1, (Facturas_Odoo!$D:$D=A2022) * (Facturas_Odoo!$K:$K=I2022), Facturas_Odoo!$M:$M, 0), 0))</f>
        <v/>
      </c>
      <c r="U2022" s="79">
        <f>IF(Q2022="Sin Factura",0,IFERROR(_xlfn.XLOOKUP(1, (Facturas_Odoo!$D:$D=A2022) * (Facturas_Odoo!$K:$K=I2022), Facturas_Odoo!$N:$N, 0), 0))</f>
        <v/>
      </c>
      <c r="V2022" s="79">
        <f>IF(Q2022="Sin Factura",0,IFERROR(_xlfn.XLOOKUP(1, (Facturas_Odoo!$D:$D=A2022) * (Facturas_Odoo!$K:$K=I2022), Facturas_Odoo!$O:$O, 0), 0))</f>
        <v/>
      </c>
      <c r="W2022" s="81">
        <f>IF(Q2022="Sin Factura",0,IFERROR(_xlfn.XLOOKUP(1, (Facturas_Odoo!$D:$D=A2022) * (Facturas_Odoo!$K:$K=I2022), Facturas_Odoo!$Q:$Q, 0), 0))</f>
        <v/>
      </c>
      <c r="X2022" s="79">
        <f>IF(OR(Q2022="Sin Factura",Q2022=""),"",IFERROR(INDEX(Pagos_Odoo!$B:$B, MATCH(Q2022, Pagos_Odoo!$I:$I, 0)), "Sin Pago"))</f>
        <v/>
      </c>
      <c r="Y2022" s="79">
        <f>IF(X2022="Sin Pago","",IFERROR(INDEX(Pagos_Odoo!$C:$C, MATCH(X2022, Pagos_Odoo!$B:$B, 0)), ""))</f>
        <v/>
      </c>
      <c r="Z2022" s="80">
        <f>IF(X2022="Sin Pago","",IFERROR(INDEX(Pagos_Odoo!$A:$A, MATCH(X2022, Pagos_Odoo!$B:$B, 0)), ""))</f>
        <v/>
      </c>
      <c r="AA2022" s="79">
        <f>IF(X2022="Sin Pago","",IFERROR(INDEX(Pagos_Odoo!$F:$F, MATCH(X2022, Pagos_Odoo!$B:$B, 0)), ""))</f>
        <v/>
      </c>
      <c r="AB2022" s="81">
        <f>IF(X2022="Sin Pago",0,IFERROR(INDEX(Pagos_Odoo!$E:$E, MATCH(X2022, Pagos_Odoo!$B:$B, 0)), 0))</f>
        <v/>
      </c>
      <c r="AC2022" s="79">
        <f>IF(X2022="Sin Pago","",IFERROR(INDEX(Pagos_Odoo!$G:$G, MATCH(X2022, Pagos_Odoo!$B:$B, 0)), ""))</f>
        <v/>
      </c>
      <c r="AD2022" s="82" t="n">
        <v>0</v>
      </c>
      <c r="AE2022" s="82" t="n"/>
      <c r="AF2022" s="82" t="n"/>
      <c r="AG2022" s="82">
        <f>IF(AN2022="","",AD2022+AE2022+AF2022)</f>
        <v/>
      </c>
      <c r="AH2022" s="81">
        <f>IF(AN2022="","",P2022*(1-AG2022))</f>
        <v/>
      </c>
      <c r="AI2022" s="81">
        <f>IF(AN2022="","",IF(Q2022="Sin Factura",0,IFERROR(INDEX(Facturas_Odoo!$H:$H, MATCH(Q2022, Facturas_Odoo!$B:$B, 0)), 0)*(1-AG2022)))</f>
        <v/>
      </c>
      <c r="AJ2022" s="81">
        <f>IF(AN2022="","",_xlfn.LET(idVenta, AN2022&amp;"",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22" s="81">
        <f>IF(AN2022="","",AH2022-AJ2022)</f>
        <v/>
      </c>
      <c r="AL2022" s="81">
        <f>IF(AN2022="","",IF(Q2022="Sin Factura","",AI2022-AJ2022))</f>
        <v/>
      </c>
      <c r="AM2022" s="81">
        <f>IF(AN2022="","",IF(Q2022="Sin Factura",0,P2022-IFERROR(INDEX(Facturas_Odoo!$H:$H, MATCH(Q2022, Facturas_Odoo!$B:$B, 0)), 0)))</f>
        <v/>
      </c>
      <c r="AN2022" s="79">
        <f>IF(AND(A2022="", J2022=""), "", IF(A2022&lt;&gt;"", VALUE(MID(A2022,2,LEN(A2022))), AN2021))</f>
        <v/>
      </c>
      <c r="AO2022" s="79">
        <f>IF(AN2022="","",IF(AD2022=0,"OK",_xlfn.LET(monedaPago, IF(AA2022="","USD",AA2022), limitePermitido, IFERROR(VLOOKUP(monedaPago, Configuración!$A$2:$B$3, 2, FALSE), 0.15), IF(AD2022&gt;limitePermitido, "ALERTA: EXCESO (" &amp; TEXT(limitePermitido, "0%") &amp; " máx)", "OK"))))</f>
        <v/>
      </c>
      <c r="AP2022" s="79">
        <f>IF(AN2022="","",IF(AE2022=0,"OK",_xlfn.LET(fechaPago, Z2022, fechaFactura, R2022, diasCredito, IF(E2022="Pago inmediato", 0, IFERROR(VALUE(MID(E2022, 1, SEARCH(" ", E2022)-1)),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22" s="79">
        <f>IF(AN2022="","",IF(AND(N2022&gt;0, AG2022&gt;0), IF(Configuración!$K$2="NO", "ALERTA: DESCUENTO DOBLE NO PERMITIDO", "OK"), "OK"))</f>
        <v/>
      </c>
      <c r="AR2022" s="79">
        <f>IF(AN2022="","",IF(OR(AO2022&lt;&gt;"OK", AP2022&lt;&gt;"OK", AQ2022&lt;&gt;"OK"), "⚠️ REVISAR", "OK"))</f>
        <v/>
      </c>
    </row>
    <row r="2023">
      <c r="A2023" s="79">
        <f>IF('Ordenes_Odoo'!A2023="","",'Ordenes_Odoo'!A2023)</f>
        <v/>
      </c>
      <c r="B2023" s="80">
        <f>IF('Ordenes_Odoo'!B2023="","",'Ordenes_Odoo'!B2023)</f>
        <v/>
      </c>
      <c r="C2023" s="79">
        <f>IF('Ordenes_Odoo'!C2023="","",'Ordenes_Odoo'!C2023)</f>
        <v/>
      </c>
      <c r="D2023" s="79">
        <f>IF('Ordenes_Odoo'!D2023="","",'Ordenes_Odoo'!D2023)</f>
        <v/>
      </c>
      <c r="E2023" s="79">
        <f>IF('Ordenes_Odoo'!E2023="","",'Ordenes_Odoo'!E2023)</f>
        <v/>
      </c>
      <c r="F2023" s="79">
        <f>IF('Ordenes_Odoo'!F2023="","",'Ordenes_Odoo'!F2023)</f>
        <v/>
      </c>
      <c r="G2023" s="79">
        <f>IF('Ordenes_Odoo'!G2023="","",'Ordenes_Odoo'!G2023)</f>
        <v/>
      </c>
      <c r="H2023" s="79">
        <f>IF('Ordenes_Odoo'!H2023="","",'Ordenes_Odoo'!H2023)</f>
        <v/>
      </c>
      <c r="I2023" s="79">
        <f>IF('Ordenes_Odoo'!I2023="","",'Ordenes_Odoo'!I2023)</f>
        <v/>
      </c>
      <c r="J2023" s="79">
        <f>IF('Ordenes_Odoo'!J2023="","",'Ordenes_Odoo'!J2023)</f>
        <v/>
      </c>
      <c r="K2023" s="81">
        <f>IF('Ordenes_Odoo'!K2023="","",'Ordenes_Odoo'!K2023)</f>
        <v/>
      </c>
      <c r="L2023" s="81">
        <f>IF('Ordenes_Odoo'!L2023="","",'Ordenes_Odoo'!L2023)</f>
        <v/>
      </c>
      <c r="M2023" s="79">
        <f>IF('Ordenes_Odoo'!M2023="","",'Ordenes_Odoo'!M2023)</f>
        <v/>
      </c>
      <c r="N2023" s="79">
        <f>IF('Ordenes_Odoo'!N2023="","",'Ordenes_Odoo'!N2023)</f>
        <v/>
      </c>
      <c r="O2023" s="81">
        <f>IF('Ordenes_Odoo'!O2023="","",'Ordenes_Odoo'!O2023)</f>
        <v/>
      </c>
      <c r="P2023" s="81">
        <f>IF('Ordenes_Odoo'!P2023="","",'Ordenes_Odoo'!P2023)</f>
        <v/>
      </c>
      <c r="Q2023" s="79">
        <f>IF(A2023="","",IFERROR(INDEX(Facturas_Odoo!$B:$B, MATCH(A2023, Facturas_Odoo!$D:$D, 0)), "Sin Factura"))</f>
        <v/>
      </c>
      <c r="R2023" s="80">
        <f>IF(Q2023="Sin Factura","",IFERROR(INDEX(Facturas_Odoo!$A:$A, MATCH(Q2023, Facturas_Odoo!$B:$B, 0)), ""))</f>
        <v/>
      </c>
      <c r="S2023" s="79">
        <f>IF(Q2023="Sin Factura","",IFERROR(_xlfn.XLOOKUP(1, (Facturas_Odoo!$D:$D=A2023) * (Facturas_Odoo!$K:$K=I2023), Facturas_Odoo!$L:$L, ""), ""))</f>
        <v/>
      </c>
      <c r="T2023" s="81">
        <f>IF(Q2023="Sin Factura",0,IFERROR(_xlfn.XLOOKUP(1, (Facturas_Odoo!$D:$D=A2023) * (Facturas_Odoo!$K:$K=I2023), Facturas_Odoo!$M:$M, 0), 0))</f>
        <v/>
      </c>
      <c r="U2023" s="79">
        <f>IF(Q2023="Sin Factura",0,IFERROR(_xlfn.XLOOKUP(1, (Facturas_Odoo!$D:$D=A2023) * (Facturas_Odoo!$K:$K=I2023), Facturas_Odoo!$N:$N, 0), 0))</f>
        <v/>
      </c>
      <c r="V2023" s="79">
        <f>IF(Q2023="Sin Factura",0,IFERROR(_xlfn.XLOOKUP(1, (Facturas_Odoo!$D:$D=A2023) * (Facturas_Odoo!$K:$K=I2023), Facturas_Odoo!$O:$O, 0), 0))</f>
        <v/>
      </c>
      <c r="W2023" s="81">
        <f>IF(Q2023="Sin Factura",0,IFERROR(_xlfn.XLOOKUP(1, (Facturas_Odoo!$D:$D=A2023) * (Facturas_Odoo!$K:$K=I2023), Facturas_Odoo!$Q:$Q, 0), 0))</f>
        <v/>
      </c>
      <c r="X2023" s="79">
        <f>IF(OR(Q2023="Sin Factura",Q2023=""),"",IFERROR(INDEX(Pagos_Odoo!$B:$B, MATCH(Q2023, Pagos_Odoo!$I:$I, 0)), "Sin Pago"))</f>
        <v/>
      </c>
      <c r="Y2023" s="79">
        <f>IF(X2023="Sin Pago","",IFERROR(INDEX(Pagos_Odoo!$C:$C, MATCH(X2023, Pagos_Odoo!$B:$B, 0)), ""))</f>
        <v/>
      </c>
      <c r="Z2023" s="80">
        <f>IF(X2023="Sin Pago","",IFERROR(INDEX(Pagos_Odoo!$A:$A, MATCH(X2023, Pagos_Odoo!$B:$B, 0)), ""))</f>
        <v/>
      </c>
      <c r="AA2023" s="79">
        <f>IF(X2023="Sin Pago","",IFERROR(INDEX(Pagos_Odoo!$F:$F, MATCH(X2023, Pagos_Odoo!$B:$B, 0)), ""))</f>
        <v/>
      </c>
      <c r="AB2023" s="81">
        <f>IF(X2023="Sin Pago",0,IFERROR(INDEX(Pagos_Odoo!$E:$E, MATCH(X2023, Pagos_Odoo!$B:$B, 0)), 0))</f>
        <v/>
      </c>
      <c r="AC2023" s="79">
        <f>IF(X2023="Sin Pago","",IFERROR(INDEX(Pagos_Odoo!$G:$G, MATCH(X2023, Pagos_Odoo!$B:$B, 0)), ""))</f>
        <v/>
      </c>
      <c r="AD2023" s="82" t="n">
        <v>0</v>
      </c>
      <c r="AE2023" s="82" t="n"/>
      <c r="AF2023" s="82" t="n"/>
      <c r="AG2023" s="82">
        <f>IF(AN2023="","",AD2023+AE2023+AF2023)</f>
        <v/>
      </c>
      <c r="AH2023" s="81">
        <f>IF(AN2023="","",P2023*(1-AG2023))</f>
        <v/>
      </c>
      <c r="AI2023" s="81">
        <f>IF(AN2023="","",IF(Q2023="Sin Factura",0,IFERROR(INDEX(Facturas_Odoo!$H:$H, MATCH(Q2023, Facturas_Odoo!$B:$B, 0)), 0)*(1-AG2023)))</f>
        <v/>
      </c>
      <c r="AJ2023" s="81">
        <f>IF(AN2023="","",_xlfn.LET(idVenta, AN2023&amp;"",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23" s="81">
        <f>IF(AN2023="","",AH2023-AJ2023)</f>
        <v/>
      </c>
      <c r="AL2023" s="81">
        <f>IF(AN2023="","",IF(Q2023="Sin Factura","",AI2023-AJ2023))</f>
        <v/>
      </c>
      <c r="AM2023" s="81">
        <f>IF(AN2023="","",IF(Q2023="Sin Factura",0,P2023-IFERROR(INDEX(Facturas_Odoo!$H:$H, MATCH(Q2023, Facturas_Odoo!$B:$B, 0)), 0)))</f>
        <v/>
      </c>
      <c r="AN2023" s="79">
        <f>IF(AND(A2023="", J2023=""), "", IF(A2023&lt;&gt;"", VALUE(MID(A2023,2,LEN(A2023))), AN2022))</f>
        <v/>
      </c>
      <c r="AO2023" s="79">
        <f>IF(AN2023="","",IF(AD2023=0,"OK",_xlfn.LET(monedaPago, IF(AA2023="","USD",AA2023), limitePermitido, IFERROR(VLOOKUP(monedaPago, Configuración!$A$2:$B$3, 2, FALSE), 0.15), IF(AD2023&gt;limitePermitido, "ALERTA: EXCESO (" &amp; TEXT(limitePermitido, "0%") &amp; " máx)", "OK"))))</f>
        <v/>
      </c>
      <c r="AP2023" s="79">
        <f>IF(AN2023="","",IF(AE2023=0,"OK",_xlfn.LET(fechaPago, Z2023, fechaFactura, R2023, diasCredito, IF(E2023="Pago inmediato", 0, IFERROR(VALUE(MID(E2023, 1, SEARCH(" ", E2023)-1)),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23" s="79">
        <f>IF(AN2023="","",IF(AND(N2023&gt;0, AG2023&gt;0), IF(Configuración!$K$2="NO", "ALERTA: DESCUENTO DOBLE NO PERMITIDO", "OK"), "OK"))</f>
        <v/>
      </c>
      <c r="AR2023" s="79">
        <f>IF(AN2023="","",IF(OR(AO2023&lt;&gt;"OK", AP2023&lt;&gt;"OK", AQ2023&lt;&gt;"OK"), "⚠️ REVISAR", "OK"))</f>
        <v/>
      </c>
    </row>
    <row r="2024">
      <c r="A2024" s="79">
        <f>IF('Ordenes_Odoo'!A2024="","",'Ordenes_Odoo'!A2024)</f>
        <v/>
      </c>
      <c r="B2024" s="80">
        <f>IF('Ordenes_Odoo'!B2024="","",'Ordenes_Odoo'!B2024)</f>
        <v/>
      </c>
      <c r="C2024" s="79">
        <f>IF('Ordenes_Odoo'!C2024="","",'Ordenes_Odoo'!C2024)</f>
        <v/>
      </c>
      <c r="D2024" s="79">
        <f>IF('Ordenes_Odoo'!D2024="","",'Ordenes_Odoo'!D2024)</f>
        <v/>
      </c>
      <c r="E2024" s="79">
        <f>IF('Ordenes_Odoo'!E2024="","",'Ordenes_Odoo'!E2024)</f>
        <v/>
      </c>
      <c r="F2024" s="79">
        <f>IF('Ordenes_Odoo'!F2024="","",'Ordenes_Odoo'!F2024)</f>
        <v/>
      </c>
      <c r="G2024" s="79">
        <f>IF('Ordenes_Odoo'!G2024="","",'Ordenes_Odoo'!G2024)</f>
        <v/>
      </c>
      <c r="H2024" s="79">
        <f>IF('Ordenes_Odoo'!H2024="","",'Ordenes_Odoo'!H2024)</f>
        <v/>
      </c>
      <c r="I2024" s="79">
        <f>IF('Ordenes_Odoo'!I2024="","",'Ordenes_Odoo'!I2024)</f>
        <v/>
      </c>
      <c r="J2024" s="79">
        <f>IF('Ordenes_Odoo'!J2024="","",'Ordenes_Odoo'!J2024)</f>
        <v/>
      </c>
      <c r="K2024" s="81">
        <f>IF('Ordenes_Odoo'!K2024="","",'Ordenes_Odoo'!K2024)</f>
        <v/>
      </c>
      <c r="L2024" s="81">
        <f>IF('Ordenes_Odoo'!L2024="","",'Ordenes_Odoo'!L2024)</f>
        <v/>
      </c>
      <c r="M2024" s="79">
        <f>IF('Ordenes_Odoo'!M2024="","",'Ordenes_Odoo'!M2024)</f>
        <v/>
      </c>
      <c r="N2024" s="79">
        <f>IF('Ordenes_Odoo'!N2024="","",'Ordenes_Odoo'!N2024)</f>
        <v/>
      </c>
      <c r="O2024" s="81">
        <f>IF('Ordenes_Odoo'!O2024="","",'Ordenes_Odoo'!O2024)</f>
        <v/>
      </c>
      <c r="P2024" s="81">
        <f>IF('Ordenes_Odoo'!P2024="","",'Ordenes_Odoo'!P2024)</f>
        <v/>
      </c>
      <c r="Q2024" s="79">
        <f>IF(A2024="","",IFERROR(INDEX(Facturas_Odoo!$B:$B, MATCH(A2024, Facturas_Odoo!$D:$D, 0)), "Sin Factura"))</f>
        <v/>
      </c>
      <c r="R2024" s="80">
        <f>IF(Q2024="Sin Factura","",IFERROR(INDEX(Facturas_Odoo!$A:$A, MATCH(Q2024, Facturas_Odoo!$B:$B, 0)), ""))</f>
        <v/>
      </c>
      <c r="S2024" s="79">
        <f>IF(Q2024="Sin Factura","",IFERROR(_xlfn.XLOOKUP(1, (Facturas_Odoo!$D:$D=A2024) * (Facturas_Odoo!$K:$K=I2024), Facturas_Odoo!$L:$L, ""), ""))</f>
        <v/>
      </c>
      <c r="T2024" s="81">
        <f>IF(Q2024="Sin Factura",0,IFERROR(_xlfn.XLOOKUP(1, (Facturas_Odoo!$D:$D=A2024) * (Facturas_Odoo!$K:$K=I2024), Facturas_Odoo!$M:$M, 0), 0))</f>
        <v/>
      </c>
      <c r="U2024" s="79">
        <f>IF(Q2024="Sin Factura",0,IFERROR(_xlfn.XLOOKUP(1, (Facturas_Odoo!$D:$D=A2024) * (Facturas_Odoo!$K:$K=I2024), Facturas_Odoo!$N:$N, 0), 0))</f>
        <v/>
      </c>
      <c r="V2024" s="79">
        <f>IF(Q2024="Sin Factura",0,IFERROR(_xlfn.XLOOKUP(1, (Facturas_Odoo!$D:$D=A2024) * (Facturas_Odoo!$K:$K=I2024), Facturas_Odoo!$O:$O, 0), 0))</f>
        <v/>
      </c>
      <c r="W2024" s="81">
        <f>IF(Q2024="Sin Factura",0,IFERROR(_xlfn.XLOOKUP(1, (Facturas_Odoo!$D:$D=A2024) * (Facturas_Odoo!$K:$K=I2024), Facturas_Odoo!$Q:$Q, 0), 0))</f>
        <v/>
      </c>
      <c r="X2024" s="79">
        <f>IF(OR(Q2024="Sin Factura",Q2024=""),"",IFERROR(INDEX(Pagos_Odoo!$B:$B, MATCH(Q2024, Pagos_Odoo!$I:$I, 0)), "Sin Pago"))</f>
        <v/>
      </c>
      <c r="Y2024" s="79">
        <f>IF(X2024="Sin Pago","",IFERROR(INDEX(Pagos_Odoo!$C:$C, MATCH(X2024, Pagos_Odoo!$B:$B, 0)), ""))</f>
        <v/>
      </c>
      <c r="Z2024" s="80">
        <f>IF(X2024="Sin Pago","",IFERROR(INDEX(Pagos_Odoo!$A:$A, MATCH(X2024, Pagos_Odoo!$B:$B, 0)), ""))</f>
        <v/>
      </c>
      <c r="AA2024" s="79">
        <f>IF(X2024="Sin Pago","",IFERROR(INDEX(Pagos_Odoo!$F:$F, MATCH(X2024, Pagos_Odoo!$B:$B, 0)), ""))</f>
        <v/>
      </c>
      <c r="AB2024" s="81">
        <f>IF(X2024="Sin Pago",0,IFERROR(INDEX(Pagos_Odoo!$E:$E, MATCH(X2024, Pagos_Odoo!$B:$B, 0)), 0))</f>
        <v/>
      </c>
      <c r="AC2024" s="79">
        <f>IF(X2024="Sin Pago","",IFERROR(INDEX(Pagos_Odoo!$G:$G, MATCH(X2024, Pagos_Odoo!$B:$B, 0)), ""))</f>
        <v/>
      </c>
      <c r="AD2024" s="82" t="n">
        <v>0</v>
      </c>
      <c r="AE2024" s="82" t="n"/>
      <c r="AF2024" s="82" t="n"/>
      <c r="AG2024" s="82">
        <f>IF(AN2024="","",AD2024+AE2024+AF2024)</f>
        <v/>
      </c>
      <c r="AH2024" s="81">
        <f>IF(AN2024="","",P2024*(1-AG2024))</f>
        <v/>
      </c>
      <c r="AI2024" s="81">
        <f>IF(AN2024="","",IF(Q2024="Sin Factura",0,IFERROR(INDEX(Facturas_Odoo!$H:$H, MATCH(Q2024, Facturas_Odoo!$B:$B, 0)), 0)*(1-AG2024)))</f>
        <v/>
      </c>
      <c r="AJ2024" s="81">
        <f>IF(AN2024="","",_xlfn.LET(idVenta, AN2024&amp;"",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24" s="81">
        <f>IF(AN2024="","",AH2024-AJ2024)</f>
        <v/>
      </c>
      <c r="AL2024" s="81">
        <f>IF(AN2024="","",IF(Q2024="Sin Factura","",AI2024-AJ2024))</f>
        <v/>
      </c>
      <c r="AM2024" s="81">
        <f>IF(AN2024="","",IF(Q2024="Sin Factura",0,P2024-IFERROR(INDEX(Facturas_Odoo!$H:$H, MATCH(Q2024, Facturas_Odoo!$B:$B, 0)), 0)))</f>
        <v/>
      </c>
      <c r="AN2024" s="79">
        <f>IF(AND(A2024="", J2024=""), "", IF(A2024&lt;&gt;"", VALUE(MID(A2024,2,LEN(A2024))), AN2023))</f>
        <v/>
      </c>
      <c r="AO2024" s="79">
        <f>IF(AN2024="","",IF(AD2024=0,"OK",_xlfn.LET(monedaPago, IF(AA2024="","USD",AA2024), limitePermitido, IFERROR(VLOOKUP(monedaPago, Configuración!$A$2:$B$3, 2, FALSE), 0.15), IF(AD2024&gt;limitePermitido, "ALERTA: EXCESO (" &amp; TEXT(limitePermitido, "0%") &amp; " máx)", "OK"))))</f>
        <v/>
      </c>
      <c r="AP2024" s="79">
        <f>IF(AN2024="","",IF(AE2024=0,"OK",_xlfn.LET(fechaPago, Z2024, fechaFactura, R2024, diasCredito, IF(E2024="Pago inmediato", 0, IFERROR(VALUE(MID(E2024, 1, SEARCH(" ", E2024)-1)),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24" s="79">
        <f>IF(AN2024="","",IF(AND(N2024&gt;0, AG2024&gt;0), IF(Configuración!$K$2="NO", "ALERTA: DESCUENTO DOBLE NO PERMITIDO", "OK"), "OK"))</f>
        <v/>
      </c>
      <c r="AR2024" s="79">
        <f>IF(AN2024="","",IF(OR(AO2024&lt;&gt;"OK", AP2024&lt;&gt;"OK", AQ2024&lt;&gt;"OK"), "⚠️ REVISAR", "OK"))</f>
        <v/>
      </c>
    </row>
    <row r="2025">
      <c r="A2025" s="79">
        <f>IF('Ordenes_Odoo'!A2025="","",'Ordenes_Odoo'!A2025)</f>
        <v/>
      </c>
      <c r="B2025" s="80">
        <f>IF('Ordenes_Odoo'!B2025="","",'Ordenes_Odoo'!B2025)</f>
        <v/>
      </c>
      <c r="C2025" s="79">
        <f>IF('Ordenes_Odoo'!C2025="","",'Ordenes_Odoo'!C2025)</f>
        <v/>
      </c>
      <c r="D2025" s="79">
        <f>IF('Ordenes_Odoo'!D2025="","",'Ordenes_Odoo'!D2025)</f>
        <v/>
      </c>
      <c r="E2025" s="79">
        <f>IF('Ordenes_Odoo'!E2025="","",'Ordenes_Odoo'!E2025)</f>
        <v/>
      </c>
      <c r="F2025" s="79">
        <f>IF('Ordenes_Odoo'!F2025="","",'Ordenes_Odoo'!F2025)</f>
        <v/>
      </c>
      <c r="G2025" s="79">
        <f>IF('Ordenes_Odoo'!G2025="","",'Ordenes_Odoo'!G2025)</f>
        <v/>
      </c>
      <c r="H2025" s="79">
        <f>IF('Ordenes_Odoo'!H2025="","",'Ordenes_Odoo'!H2025)</f>
        <v/>
      </c>
      <c r="I2025" s="79">
        <f>IF('Ordenes_Odoo'!I2025="","",'Ordenes_Odoo'!I2025)</f>
        <v/>
      </c>
      <c r="J2025" s="79">
        <f>IF('Ordenes_Odoo'!J2025="","",'Ordenes_Odoo'!J2025)</f>
        <v/>
      </c>
      <c r="K2025" s="81">
        <f>IF('Ordenes_Odoo'!K2025="","",'Ordenes_Odoo'!K2025)</f>
        <v/>
      </c>
      <c r="L2025" s="81">
        <f>IF('Ordenes_Odoo'!L2025="","",'Ordenes_Odoo'!L2025)</f>
        <v/>
      </c>
      <c r="M2025" s="79">
        <f>IF('Ordenes_Odoo'!M2025="","",'Ordenes_Odoo'!M2025)</f>
        <v/>
      </c>
      <c r="N2025" s="79">
        <f>IF('Ordenes_Odoo'!N2025="","",'Ordenes_Odoo'!N2025)</f>
        <v/>
      </c>
      <c r="O2025" s="81">
        <f>IF('Ordenes_Odoo'!O2025="","",'Ordenes_Odoo'!O2025)</f>
        <v/>
      </c>
      <c r="P2025" s="81">
        <f>IF('Ordenes_Odoo'!P2025="","",'Ordenes_Odoo'!P2025)</f>
        <v/>
      </c>
      <c r="Q2025" s="79">
        <f>IF(A2025="","",IFERROR(INDEX(Facturas_Odoo!$B:$B, MATCH(A2025, Facturas_Odoo!$D:$D, 0)), "Sin Factura"))</f>
        <v/>
      </c>
      <c r="R2025" s="80">
        <f>IF(Q2025="Sin Factura","",IFERROR(INDEX(Facturas_Odoo!$A:$A, MATCH(Q2025, Facturas_Odoo!$B:$B, 0)), ""))</f>
        <v/>
      </c>
      <c r="S2025" s="79">
        <f>IF(Q2025="Sin Factura","",IFERROR(_xlfn.XLOOKUP(1, (Facturas_Odoo!$D:$D=A2025) * (Facturas_Odoo!$K:$K=I2025), Facturas_Odoo!$L:$L, ""), ""))</f>
        <v/>
      </c>
      <c r="T2025" s="81">
        <f>IF(Q2025="Sin Factura",0,IFERROR(_xlfn.XLOOKUP(1, (Facturas_Odoo!$D:$D=A2025) * (Facturas_Odoo!$K:$K=I2025), Facturas_Odoo!$M:$M, 0), 0))</f>
        <v/>
      </c>
      <c r="U2025" s="79">
        <f>IF(Q2025="Sin Factura",0,IFERROR(_xlfn.XLOOKUP(1, (Facturas_Odoo!$D:$D=A2025) * (Facturas_Odoo!$K:$K=I2025), Facturas_Odoo!$N:$N, 0), 0))</f>
        <v/>
      </c>
      <c r="V2025" s="79">
        <f>IF(Q2025="Sin Factura",0,IFERROR(_xlfn.XLOOKUP(1, (Facturas_Odoo!$D:$D=A2025) * (Facturas_Odoo!$K:$K=I2025), Facturas_Odoo!$O:$O, 0), 0))</f>
        <v/>
      </c>
      <c r="W2025" s="81">
        <f>IF(Q2025="Sin Factura",0,IFERROR(_xlfn.XLOOKUP(1, (Facturas_Odoo!$D:$D=A2025) * (Facturas_Odoo!$K:$K=I2025), Facturas_Odoo!$Q:$Q, 0), 0))</f>
        <v/>
      </c>
      <c r="X2025" s="79">
        <f>IF(OR(Q2025="Sin Factura",Q2025=""),"",IFERROR(INDEX(Pagos_Odoo!$B:$B, MATCH(Q2025, Pagos_Odoo!$I:$I, 0)), "Sin Pago"))</f>
        <v/>
      </c>
      <c r="Y2025" s="79">
        <f>IF(X2025="Sin Pago","",IFERROR(INDEX(Pagos_Odoo!$C:$C, MATCH(X2025, Pagos_Odoo!$B:$B, 0)), ""))</f>
        <v/>
      </c>
      <c r="Z2025" s="80">
        <f>IF(X2025="Sin Pago","",IFERROR(INDEX(Pagos_Odoo!$A:$A, MATCH(X2025, Pagos_Odoo!$B:$B, 0)), ""))</f>
        <v/>
      </c>
      <c r="AA2025" s="79">
        <f>IF(X2025="Sin Pago","",IFERROR(INDEX(Pagos_Odoo!$F:$F, MATCH(X2025, Pagos_Odoo!$B:$B, 0)), ""))</f>
        <v/>
      </c>
      <c r="AB2025" s="81">
        <f>IF(X2025="Sin Pago",0,IFERROR(INDEX(Pagos_Odoo!$E:$E, MATCH(X2025, Pagos_Odoo!$B:$B, 0)), 0))</f>
        <v/>
      </c>
      <c r="AC2025" s="79">
        <f>IF(X2025="Sin Pago","",IFERROR(INDEX(Pagos_Odoo!$G:$G, MATCH(X2025, Pagos_Odoo!$B:$B, 0)), ""))</f>
        <v/>
      </c>
      <c r="AD2025" s="82" t="n">
        <v>0</v>
      </c>
      <c r="AE2025" s="82" t="n"/>
      <c r="AF2025" s="82" t="n"/>
      <c r="AG2025" s="82">
        <f>IF(AN2025="","",AD2025+AE2025+AF2025)</f>
        <v/>
      </c>
      <c r="AH2025" s="81">
        <f>IF(AN2025="","",P2025*(1-AG2025))</f>
        <v/>
      </c>
      <c r="AI2025" s="81">
        <f>IF(AN2025="","",IF(Q2025="Sin Factura",0,IFERROR(INDEX(Facturas_Odoo!$H:$H, MATCH(Q2025, Facturas_Odoo!$B:$B, 0)), 0)*(1-AG2025)))</f>
        <v/>
      </c>
      <c r="AJ2025" s="81">
        <f>IF(AN2025="","",_xlfn.LET(idVenta, AN2025&amp;"",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25" s="81">
        <f>IF(AN2025="","",AH2025-AJ2025)</f>
        <v/>
      </c>
      <c r="AL2025" s="81">
        <f>IF(AN2025="","",IF(Q2025="Sin Factura","",AI2025-AJ2025))</f>
        <v/>
      </c>
      <c r="AM2025" s="81">
        <f>IF(AN2025="","",IF(Q2025="Sin Factura",0,P2025-IFERROR(INDEX(Facturas_Odoo!$H:$H, MATCH(Q2025, Facturas_Odoo!$B:$B, 0)), 0)))</f>
        <v/>
      </c>
      <c r="AN2025" s="79">
        <f>IF(AND(A2025="", J2025=""), "", IF(A2025&lt;&gt;"", VALUE(MID(A2025,2,LEN(A2025))), AN2024))</f>
        <v/>
      </c>
      <c r="AO2025" s="79">
        <f>IF(AN2025="","",IF(AD2025=0,"OK",_xlfn.LET(monedaPago, IF(AA2025="","USD",AA2025), limitePermitido, IFERROR(VLOOKUP(monedaPago, Configuración!$A$2:$B$3, 2, FALSE), 0.15), IF(AD2025&gt;limitePermitido, "ALERTA: EXCESO (" &amp; TEXT(limitePermitido, "0%") &amp; " máx)", "OK"))))</f>
        <v/>
      </c>
      <c r="AP2025" s="79">
        <f>IF(AN2025="","",IF(AE2025=0,"OK",_xlfn.LET(fechaPago, Z2025, fechaFactura, R2025, diasCredito, IF(E2025="Pago inmediato", 0, IFERROR(VALUE(MID(E2025, 1, SEARCH(" ", E2025)-1)),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25" s="79">
        <f>IF(AN2025="","",IF(AND(N2025&gt;0, AG2025&gt;0), IF(Configuración!$K$2="NO", "ALERTA: DESCUENTO DOBLE NO PERMITIDO", "OK"), "OK"))</f>
        <v/>
      </c>
      <c r="AR2025" s="79">
        <f>IF(AN2025="","",IF(OR(AO2025&lt;&gt;"OK", AP2025&lt;&gt;"OK", AQ2025&lt;&gt;"OK"), "⚠️ REVISAR", "OK"))</f>
        <v/>
      </c>
    </row>
    <row r="2026">
      <c r="A2026" s="79">
        <f>IF('Ordenes_Odoo'!A2026="","",'Ordenes_Odoo'!A2026)</f>
        <v/>
      </c>
      <c r="B2026" s="80">
        <f>IF('Ordenes_Odoo'!B2026="","",'Ordenes_Odoo'!B2026)</f>
        <v/>
      </c>
      <c r="C2026" s="79">
        <f>IF('Ordenes_Odoo'!C2026="","",'Ordenes_Odoo'!C2026)</f>
        <v/>
      </c>
      <c r="D2026" s="79">
        <f>IF('Ordenes_Odoo'!D2026="","",'Ordenes_Odoo'!D2026)</f>
        <v/>
      </c>
      <c r="E2026" s="79">
        <f>IF('Ordenes_Odoo'!E2026="","",'Ordenes_Odoo'!E2026)</f>
        <v/>
      </c>
      <c r="F2026" s="79">
        <f>IF('Ordenes_Odoo'!F2026="","",'Ordenes_Odoo'!F2026)</f>
        <v/>
      </c>
      <c r="G2026" s="79">
        <f>IF('Ordenes_Odoo'!G2026="","",'Ordenes_Odoo'!G2026)</f>
        <v/>
      </c>
      <c r="H2026" s="79">
        <f>IF('Ordenes_Odoo'!H2026="","",'Ordenes_Odoo'!H2026)</f>
        <v/>
      </c>
      <c r="I2026" s="79">
        <f>IF('Ordenes_Odoo'!I2026="","",'Ordenes_Odoo'!I2026)</f>
        <v/>
      </c>
      <c r="J2026" s="79">
        <f>IF('Ordenes_Odoo'!J2026="","",'Ordenes_Odoo'!J2026)</f>
        <v/>
      </c>
      <c r="K2026" s="81">
        <f>IF('Ordenes_Odoo'!K2026="","",'Ordenes_Odoo'!K2026)</f>
        <v/>
      </c>
      <c r="L2026" s="81">
        <f>IF('Ordenes_Odoo'!L2026="","",'Ordenes_Odoo'!L2026)</f>
        <v/>
      </c>
      <c r="M2026" s="79">
        <f>IF('Ordenes_Odoo'!M2026="","",'Ordenes_Odoo'!M2026)</f>
        <v/>
      </c>
      <c r="N2026" s="79">
        <f>IF('Ordenes_Odoo'!N2026="","",'Ordenes_Odoo'!N2026)</f>
        <v/>
      </c>
      <c r="O2026" s="81">
        <f>IF('Ordenes_Odoo'!O2026="","",'Ordenes_Odoo'!O2026)</f>
        <v/>
      </c>
      <c r="P2026" s="81">
        <f>IF('Ordenes_Odoo'!P2026="","",'Ordenes_Odoo'!P2026)</f>
        <v/>
      </c>
      <c r="Q2026" s="79">
        <f>IF(A2026="","",IFERROR(INDEX(Facturas_Odoo!$B:$B, MATCH(A2026, Facturas_Odoo!$D:$D, 0)), "Sin Factura"))</f>
        <v/>
      </c>
      <c r="R2026" s="80">
        <f>IF(Q2026="Sin Factura","",IFERROR(INDEX(Facturas_Odoo!$A:$A, MATCH(Q2026, Facturas_Odoo!$B:$B, 0)), ""))</f>
        <v/>
      </c>
      <c r="S2026" s="79">
        <f>IF(Q2026="Sin Factura","",IFERROR(_xlfn.XLOOKUP(1, (Facturas_Odoo!$D:$D=A2026) * (Facturas_Odoo!$K:$K=I2026), Facturas_Odoo!$L:$L, ""), ""))</f>
        <v/>
      </c>
      <c r="T2026" s="81">
        <f>IF(Q2026="Sin Factura",0,IFERROR(_xlfn.XLOOKUP(1, (Facturas_Odoo!$D:$D=A2026) * (Facturas_Odoo!$K:$K=I2026), Facturas_Odoo!$M:$M, 0), 0))</f>
        <v/>
      </c>
      <c r="U2026" s="79">
        <f>IF(Q2026="Sin Factura",0,IFERROR(_xlfn.XLOOKUP(1, (Facturas_Odoo!$D:$D=A2026) * (Facturas_Odoo!$K:$K=I2026), Facturas_Odoo!$N:$N, 0), 0))</f>
        <v/>
      </c>
      <c r="V2026" s="79">
        <f>IF(Q2026="Sin Factura",0,IFERROR(_xlfn.XLOOKUP(1, (Facturas_Odoo!$D:$D=A2026) * (Facturas_Odoo!$K:$K=I2026), Facturas_Odoo!$O:$O, 0), 0))</f>
        <v/>
      </c>
      <c r="W2026" s="81">
        <f>IF(Q2026="Sin Factura",0,IFERROR(_xlfn.XLOOKUP(1, (Facturas_Odoo!$D:$D=A2026) * (Facturas_Odoo!$K:$K=I2026), Facturas_Odoo!$Q:$Q, 0), 0))</f>
        <v/>
      </c>
      <c r="X2026" s="79">
        <f>IF(OR(Q2026="Sin Factura",Q2026=""),"",IFERROR(INDEX(Pagos_Odoo!$B:$B, MATCH(Q2026, Pagos_Odoo!$I:$I, 0)), "Sin Pago"))</f>
        <v/>
      </c>
      <c r="Y2026" s="79">
        <f>IF(X2026="Sin Pago","",IFERROR(INDEX(Pagos_Odoo!$C:$C, MATCH(X2026, Pagos_Odoo!$B:$B, 0)), ""))</f>
        <v/>
      </c>
      <c r="Z2026" s="80">
        <f>IF(X2026="Sin Pago","",IFERROR(INDEX(Pagos_Odoo!$A:$A, MATCH(X2026, Pagos_Odoo!$B:$B, 0)), ""))</f>
        <v/>
      </c>
      <c r="AA2026" s="79">
        <f>IF(X2026="Sin Pago","",IFERROR(INDEX(Pagos_Odoo!$F:$F, MATCH(X2026, Pagos_Odoo!$B:$B, 0)), ""))</f>
        <v/>
      </c>
      <c r="AB2026" s="81">
        <f>IF(X2026="Sin Pago",0,IFERROR(INDEX(Pagos_Odoo!$E:$E, MATCH(X2026, Pagos_Odoo!$B:$B, 0)), 0))</f>
        <v/>
      </c>
      <c r="AC2026" s="79">
        <f>IF(X2026="Sin Pago","",IFERROR(INDEX(Pagos_Odoo!$G:$G, MATCH(X2026, Pagos_Odoo!$B:$B, 0)), ""))</f>
        <v/>
      </c>
      <c r="AD2026" s="82" t="n">
        <v>0</v>
      </c>
      <c r="AE2026" s="82" t="n"/>
      <c r="AF2026" s="82" t="n"/>
      <c r="AG2026" s="82">
        <f>IF(AN2026="","",AD2026+AE2026+AF2026)</f>
        <v/>
      </c>
      <c r="AH2026" s="81">
        <f>IF(AN2026="","",P2026*(1-AG2026))</f>
        <v/>
      </c>
      <c r="AI2026" s="81">
        <f>IF(AN2026="","",IF(Q2026="Sin Factura",0,IFERROR(INDEX(Facturas_Odoo!$H:$H, MATCH(Q2026, Facturas_Odoo!$B:$B, 0)), 0)*(1-AG2026)))</f>
        <v/>
      </c>
      <c r="AJ2026" s="81">
        <f>IF(AN2026="","",_xlfn.LET(idVenta, AN2026&amp;"",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26" s="81">
        <f>IF(AN2026="","",AH2026-AJ2026)</f>
        <v/>
      </c>
      <c r="AL2026" s="81">
        <f>IF(AN2026="","",IF(Q2026="Sin Factura","",AI2026-AJ2026))</f>
        <v/>
      </c>
      <c r="AM2026" s="81">
        <f>IF(AN2026="","",IF(Q2026="Sin Factura",0,P2026-IFERROR(INDEX(Facturas_Odoo!$H:$H, MATCH(Q2026, Facturas_Odoo!$B:$B, 0)), 0)))</f>
        <v/>
      </c>
      <c r="AN2026" s="79">
        <f>IF(AND(A2026="", J2026=""), "", IF(A2026&lt;&gt;"", VALUE(MID(A2026,2,LEN(A2026))), AN2025))</f>
        <v/>
      </c>
      <c r="AO2026" s="79">
        <f>IF(AN2026="","",IF(AD2026=0,"OK",_xlfn.LET(monedaPago, IF(AA2026="","USD",AA2026), limitePermitido, IFERROR(VLOOKUP(monedaPago, Configuración!$A$2:$B$3, 2, FALSE), 0.15), IF(AD2026&gt;limitePermitido, "ALERTA: EXCESO (" &amp; TEXT(limitePermitido, "0%") &amp; " máx)", "OK"))))</f>
        <v/>
      </c>
      <c r="AP2026" s="79">
        <f>IF(AN2026="","",IF(AE2026=0,"OK",_xlfn.LET(fechaPago, Z2026, fechaFactura, R2026, diasCredito, IF(E2026="Pago inmediato", 0, IFERROR(VALUE(MID(E2026, 1, SEARCH(" ", E2026)-1)),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26" s="79">
        <f>IF(AN2026="","",IF(AND(N2026&gt;0, AG2026&gt;0), IF(Configuración!$K$2="NO", "ALERTA: DESCUENTO DOBLE NO PERMITIDO", "OK"), "OK"))</f>
        <v/>
      </c>
      <c r="AR2026" s="79">
        <f>IF(AN2026="","",IF(OR(AO2026&lt;&gt;"OK", AP2026&lt;&gt;"OK", AQ2026&lt;&gt;"OK"), "⚠️ REVISAR", "OK"))</f>
        <v/>
      </c>
    </row>
    <row r="2027">
      <c r="A2027" s="79">
        <f>IF('Ordenes_Odoo'!A2027="","",'Ordenes_Odoo'!A2027)</f>
        <v/>
      </c>
      <c r="B2027" s="80">
        <f>IF('Ordenes_Odoo'!B2027="","",'Ordenes_Odoo'!B2027)</f>
        <v/>
      </c>
      <c r="C2027" s="79">
        <f>IF('Ordenes_Odoo'!C2027="","",'Ordenes_Odoo'!C2027)</f>
        <v/>
      </c>
      <c r="D2027" s="79">
        <f>IF('Ordenes_Odoo'!D2027="","",'Ordenes_Odoo'!D2027)</f>
        <v/>
      </c>
      <c r="E2027" s="79">
        <f>IF('Ordenes_Odoo'!E2027="","",'Ordenes_Odoo'!E2027)</f>
        <v/>
      </c>
      <c r="F2027" s="79">
        <f>IF('Ordenes_Odoo'!F2027="","",'Ordenes_Odoo'!F2027)</f>
        <v/>
      </c>
      <c r="G2027" s="79">
        <f>IF('Ordenes_Odoo'!G2027="","",'Ordenes_Odoo'!G2027)</f>
        <v/>
      </c>
      <c r="H2027" s="79">
        <f>IF('Ordenes_Odoo'!H2027="","",'Ordenes_Odoo'!H2027)</f>
        <v/>
      </c>
      <c r="I2027" s="79">
        <f>IF('Ordenes_Odoo'!I2027="","",'Ordenes_Odoo'!I2027)</f>
        <v/>
      </c>
      <c r="J2027" s="79">
        <f>IF('Ordenes_Odoo'!J2027="","",'Ordenes_Odoo'!J2027)</f>
        <v/>
      </c>
      <c r="K2027" s="81">
        <f>IF('Ordenes_Odoo'!K2027="","",'Ordenes_Odoo'!K2027)</f>
        <v/>
      </c>
      <c r="L2027" s="81">
        <f>IF('Ordenes_Odoo'!L2027="","",'Ordenes_Odoo'!L2027)</f>
        <v/>
      </c>
      <c r="M2027" s="79">
        <f>IF('Ordenes_Odoo'!M2027="","",'Ordenes_Odoo'!M2027)</f>
        <v/>
      </c>
      <c r="N2027" s="79">
        <f>IF('Ordenes_Odoo'!N2027="","",'Ordenes_Odoo'!N2027)</f>
        <v/>
      </c>
      <c r="O2027" s="81">
        <f>IF('Ordenes_Odoo'!O2027="","",'Ordenes_Odoo'!O2027)</f>
        <v/>
      </c>
      <c r="P2027" s="81">
        <f>IF('Ordenes_Odoo'!P2027="","",'Ordenes_Odoo'!P2027)</f>
        <v/>
      </c>
      <c r="Q2027" s="79">
        <f>IF(A2027="","",IFERROR(INDEX(Facturas_Odoo!$B:$B, MATCH(A2027, Facturas_Odoo!$D:$D, 0)), "Sin Factura"))</f>
        <v/>
      </c>
      <c r="R2027" s="80">
        <f>IF(Q2027="Sin Factura","",IFERROR(INDEX(Facturas_Odoo!$A:$A, MATCH(Q2027, Facturas_Odoo!$B:$B, 0)), ""))</f>
        <v/>
      </c>
      <c r="S2027" s="79">
        <f>IF(Q2027="Sin Factura","",IFERROR(_xlfn.XLOOKUP(1, (Facturas_Odoo!$D:$D=A2027) * (Facturas_Odoo!$K:$K=I2027), Facturas_Odoo!$L:$L, ""), ""))</f>
        <v/>
      </c>
      <c r="T2027" s="81">
        <f>IF(Q2027="Sin Factura",0,IFERROR(_xlfn.XLOOKUP(1, (Facturas_Odoo!$D:$D=A2027) * (Facturas_Odoo!$K:$K=I2027), Facturas_Odoo!$M:$M, 0), 0))</f>
        <v/>
      </c>
      <c r="U2027" s="79">
        <f>IF(Q2027="Sin Factura",0,IFERROR(_xlfn.XLOOKUP(1, (Facturas_Odoo!$D:$D=A2027) * (Facturas_Odoo!$K:$K=I2027), Facturas_Odoo!$N:$N, 0), 0))</f>
        <v/>
      </c>
      <c r="V2027" s="79">
        <f>IF(Q2027="Sin Factura",0,IFERROR(_xlfn.XLOOKUP(1, (Facturas_Odoo!$D:$D=A2027) * (Facturas_Odoo!$K:$K=I2027), Facturas_Odoo!$O:$O, 0), 0))</f>
        <v/>
      </c>
      <c r="W2027" s="81">
        <f>IF(Q2027="Sin Factura",0,IFERROR(_xlfn.XLOOKUP(1, (Facturas_Odoo!$D:$D=A2027) * (Facturas_Odoo!$K:$K=I2027), Facturas_Odoo!$Q:$Q, 0), 0))</f>
        <v/>
      </c>
      <c r="X2027" s="79">
        <f>IF(OR(Q2027="Sin Factura",Q2027=""),"",IFERROR(INDEX(Pagos_Odoo!$B:$B, MATCH(Q2027, Pagos_Odoo!$I:$I, 0)), "Sin Pago"))</f>
        <v/>
      </c>
      <c r="Y2027" s="79">
        <f>IF(X2027="Sin Pago","",IFERROR(INDEX(Pagos_Odoo!$C:$C, MATCH(X2027, Pagos_Odoo!$B:$B, 0)), ""))</f>
        <v/>
      </c>
      <c r="Z2027" s="80">
        <f>IF(X2027="Sin Pago","",IFERROR(INDEX(Pagos_Odoo!$A:$A, MATCH(X2027, Pagos_Odoo!$B:$B, 0)), ""))</f>
        <v/>
      </c>
      <c r="AA2027" s="79">
        <f>IF(X2027="Sin Pago","",IFERROR(INDEX(Pagos_Odoo!$F:$F, MATCH(X2027, Pagos_Odoo!$B:$B, 0)), ""))</f>
        <v/>
      </c>
      <c r="AB2027" s="81">
        <f>IF(X2027="Sin Pago",0,IFERROR(INDEX(Pagos_Odoo!$E:$E, MATCH(X2027, Pagos_Odoo!$B:$B, 0)), 0))</f>
        <v/>
      </c>
      <c r="AC2027" s="79">
        <f>IF(X2027="Sin Pago","",IFERROR(INDEX(Pagos_Odoo!$G:$G, MATCH(X2027, Pagos_Odoo!$B:$B, 0)), ""))</f>
        <v/>
      </c>
      <c r="AD2027" s="82" t="n">
        <v>0</v>
      </c>
      <c r="AE2027" s="82" t="n"/>
      <c r="AF2027" s="82" t="n"/>
      <c r="AG2027" s="82">
        <f>IF(AN2027="","",AD2027+AE2027+AF2027)</f>
        <v/>
      </c>
      <c r="AH2027" s="81">
        <f>IF(AN2027="","",P2027*(1-AG2027))</f>
        <v/>
      </c>
      <c r="AI2027" s="81">
        <f>IF(AN2027="","",IF(Q2027="Sin Factura",0,IFERROR(INDEX(Facturas_Odoo!$H:$H, MATCH(Q2027, Facturas_Odoo!$B:$B, 0)), 0)*(1-AG2027)))</f>
        <v/>
      </c>
      <c r="AJ2027" s="81">
        <f>IF(AN2027="","",_xlfn.LET(idVenta, AN2027&amp;"",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27" s="81">
        <f>IF(AN2027="","",AH2027-AJ2027)</f>
        <v/>
      </c>
      <c r="AL2027" s="81">
        <f>IF(AN2027="","",IF(Q2027="Sin Factura","",AI2027-AJ2027))</f>
        <v/>
      </c>
      <c r="AM2027" s="81">
        <f>IF(AN2027="","",IF(Q2027="Sin Factura",0,P2027-IFERROR(INDEX(Facturas_Odoo!$H:$H, MATCH(Q2027, Facturas_Odoo!$B:$B, 0)), 0)))</f>
        <v/>
      </c>
      <c r="AN2027" s="79">
        <f>IF(AND(A2027="", J2027=""), "", IF(A2027&lt;&gt;"", VALUE(MID(A2027,2,LEN(A2027))), AN2026))</f>
        <v/>
      </c>
      <c r="AO2027" s="79">
        <f>IF(AN2027="","",IF(AD2027=0,"OK",_xlfn.LET(monedaPago, IF(AA2027="","USD",AA2027), limitePermitido, IFERROR(VLOOKUP(monedaPago, Configuración!$A$2:$B$3, 2, FALSE), 0.15), IF(AD2027&gt;limitePermitido, "ALERTA: EXCESO (" &amp; TEXT(limitePermitido, "0%") &amp; " máx)", "OK"))))</f>
        <v/>
      </c>
      <c r="AP2027" s="79">
        <f>IF(AN2027="","",IF(AE2027=0,"OK",_xlfn.LET(fechaPago, Z2027, fechaFactura, R2027, diasCredito, IF(E2027="Pago inmediato", 0, IFERROR(VALUE(MID(E2027, 1, SEARCH(" ", E2027)-1)),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27" s="79">
        <f>IF(AN2027="","",IF(AND(N2027&gt;0, AG2027&gt;0), IF(Configuración!$K$2="NO", "ALERTA: DESCUENTO DOBLE NO PERMITIDO", "OK"), "OK"))</f>
        <v/>
      </c>
      <c r="AR2027" s="79">
        <f>IF(AN2027="","",IF(OR(AO2027&lt;&gt;"OK", AP2027&lt;&gt;"OK", AQ2027&lt;&gt;"OK"), "⚠️ REVISAR", "OK"))</f>
        <v/>
      </c>
    </row>
    <row r="2028">
      <c r="A2028" s="79">
        <f>IF('Ordenes_Odoo'!A2028="","",'Ordenes_Odoo'!A2028)</f>
        <v/>
      </c>
      <c r="B2028" s="80">
        <f>IF('Ordenes_Odoo'!B2028="","",'Ordenes_Odoo'!B2028)</f>
        <v/>
      </c>
      <c r="C2028" s="79">
        <f>IF('Ordenes_Odoo'!C2028="","",'Ordenes_Odoo'!C2028)</f>
        <v/>
      </c>
      <c r="D2028" s="79">
        <f>IF('Ordenes_Odoo'!D2028="","",'Ordenes_Odoo'!D2028)</f>
        <v/>
      </c>
      <c r="E2028" s="79">
        <f>IF('Ordenes_Odoo'!E2028="","",'Ordenes_Odoo'!E2028)</f>
        <v/>
      </c>
      <c r="F2028" s="79">
        <f>IF('Ordenes_Odoo'!F2028="","",'Ordenes_Odoo'!F2028)</f>
        <v/>
      </c>
      <c r="G2028" s="79">
        <f>IF('Ordenes_Odoo'!G2028="","",'Ordenes_Odoo'!G2028)</f>
        <v/>
      </c>
      <c r="H2028" s="79">
        <f>IF('Ordenes_Odoo'!H2028="","",'Ordenes_Odoo'!H2028)</f>
        <v/>
      </c>
      <c r="I2028" s="79">
        <f>IF('Ordenes_Odoo'!I2028="","",'Ordenes_Odoo'!I2028)</f>
        <v/>
      </c>
      <c r="J2028" s="79">
        <f>IF('Ordenes_Odoo'!J2028="","",'Ordenes_Odoo'!J2028)</f>
        <v/>
      </c>
      <c r="K2028" s="81">
        <f>IF('Ordenes_Odoo'!K2028="","",'Ordenes_Odoo'!K2028)</f>
        <v/>
      </c>
      <c r="L2028" s="81">
        <f>IF('Ordenes_Odoo'!L2028="","",'Ordenes_Odoo'!L2028)</f>
        <v/>
      </c>
      <c r="M2028" s="79">
        <f>IF('Ordenes_Odoo'!M2028="","",'Ordenes_Odoo'!M2028)</f>
        <v/>
      </c>
      <c r="N2028" s="79">
        <f>IF('Ordenes_Odoo'!N2028="","",'Ordenes_Odoo'!N2028)</f>
        <v/>
      </c>
      <c r="O2028" s="81">
        <f>IF('Ordenes_Odoo'!O2028="","",'Ordenes_Odoo'!O2028)</f>
        <v/>
      </c>
      <c r="P2028" s="81">
        <f>IF('Ordenes_Odoo'!P2028="","",'Ordenes_Odoo'!P2028)</f>
        <v/>
      </c>
      <c r="Q2028" s="79">
        <f>IF(A2028="","",IFERROR(INDEX(Facturas_Odoo!$B:$B, MATCH(A2028, Facturas_Odoo!$D:$D, 0)), "Sin Factura"))</f>
        <v/>
      </c>
      <c r="R2028" s="80">
        <f>IF(Q2028="Sin Factura","",IFERROR(INDEX(Facturas_Odoo!$A:$A, MATCH(Q2028, Facturas_Odoo!$B:$B, 0)), ""))</f>
        <v/>
      </c>
      <c r="S2028" s="79">
        <f>IF(Q2028="Sin Factura","",IFERROR(_xlfn.XLOOKUP(1, (Facturas_Odoo!$D:$D=A2028) * (Facturas_Odoo!$K:$K=I2028), Facturas_Odoo!$L:$L, ""), ""))</f>
        <v/>
      </c>
      <c r="T2028" s="81">
        <f>IF(Q2028="Sin Factura",0,IFERROR(_xlfn.XLOOKUP(1, (Facturas_Odoo!$D:$D=A2028) * (Facturas_Odoo!$K:$K=I2028), Facturas_Odoo!$M:$M, 0), 0))</f>
        <v/>
      </c>
      <c r="U2028" s="79">
        <f>IF(Q2028="Sin Factura",0,IFERROR(_xlfn.XLOOKUP(1, (Facturas_Odoo!$D:$D=A2028) * (Facturas_Odoo!$K:$K=I2028), Facturas_Odoo!$N:$N, 0), 0))</f>
        <v/>
      </c>
      <c r="V2028" s="79">
        <f>IF(Q2028="Sin Factura",0,IFERROR(_xlfn.XLOOKUP(1, (Facturas_Odoo!$D:$D=A2028) * (Facturas_Odoo!$K:$K=I2028), Facturas_Odoo!$O:$O, 0), 0))</f>
        <v/>
      </c>
      <c r="W2028" s="81">
        <f>IF(Q2028="Sin Factura",0,IFERROR(_xlfn.XLOOKUP(1, (Facturas_Odoo!$D:$D=A2028) * (Facturas_Odoo!$K:$K=I2028), Facturas_Odoo!$Q:$Q, 0), 0))</f>
        <v/>
      </c>
      <c r="X2028" s="79">
        <f>IF(OR(Q2028="Sin Factura",Q2028=""),"",IFERROR(INDEX(Pagos_Odoo!$B:$B, MATCH(Q2028, Pagos_Odoo!$I:$I, 0)), "Sin Pago"))</f>
        <v/>
      </c>
      <c r="Y2028" s="79">
        <f>IF(X2028="Sin Pago","",IFERROR(INDEX(Pagos_Odoo!$C:$C, MATCH(X2028, Pagos_Odoo!$B:$B, 0)), ""))</f>
        <v/>
      </c>
      <c r="Z2028" s="80">
        <f>IF(X2028="Sin Pago","",IFERROR(INDEX(Pagos_Odoo!$A:$A, MATCH(X2028, Pagos_Odoo!$B:$B, 0)), ""))</f>
        <v/>
      </c>
      <c r="AA2028" s="79">
        <f>IF(X2028="Sin Pago","",IFERROR(INDEX(Pagos_Odoo!$F:$F, MATCH(X2028, Pagos_Odoo!$B:$B, 0)), ""))</f>
        <v/>
      </c>
      <c r="AB2028" s="81">
        <f>IF(X2028="Sin Pago",0,IFERROR(INDEX(Pagos_Odoo!$E:$E, MATCH(X2028, Pagos_Odoo!$B:$B, 0)), 0))</f>
        <v/>
      </c>
      <c r="AC2028" s="79">
        <f>IF(X2028="Sin Pago","",IFERROR(INDEX(Pagos_Odoo!$G:$G, MATCH(X2028, Pagos_Odoo!$B:$B, 0)), ""))</f>
        <v/>
      </c>
      <c r="AD2028" s="82" t="n">
        <v>0</v>
      </c>
      <c r="AE2028" s="82" t="n"/>
      <c r="AF2028" s="82" t="n"/>
      <c r="AG2028" s="82">
        <f>IF(AN2028="","",AD2028+AE2028+AF2028)</f>
        <v/>
      </c>
      <c r="AH2028" s="81">
        <f>IF(AN2028="","",P2028*(1-AG2028))</f>
        <v/>
      </c>
      <c r="AI2028" s="81">
        <f>IF(AN2028="","",IF(Q2028="Sin Factura",0,IFERROR(INDEX(Facturas_Odoo!$H:$H, MATCH(Q2028, Facturas_Odoo!$B:$B, 0)), 0)*(1-AG2028)))</f>
        <v/>
      </c>
      <c r="AJ2028" s="81">
        <f>IF(AN2028="","",_xlfn.LET(idVenta, AN2028&amp;"",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28" s="81">
        <f>IF(AN2028="","",AH2028-AJ2028)</f>
        <v/>
      </c>
      <c r="AL2028" s="81">
        <f>IF(AN2028="","",IF(Q2028="Sin Factura","",AI2028-AJ2028))</f>
        <v/>
      </c>
      <c r="AM2028" s="81">
        <f>IF(AN2028="","",IF(Q2028="Sin Factura",0,P2028-IFERROR(INDEX(Facturas_Odoo!$H:$H, MATCH(Q2028, Facturas_Odoo!$B:$B, 0)), 0)))</f>
        <v/>
      </c>
      <c r="AN2028" s="79">
        <f>IF(AND(A2028="", J2028=""), "", IF(A2028&lt;&gt;"", VALUE(MID(A2028,2,LEN(A2028))), AN2027))</f>
        <v/>
      </c>
      <c r="AO2028" s="79">
        <f>IF(AN2028="","",IF(AD2028=0,"OK",_xlfn.LET(monedaPago, IF(AA2028="","USD",AA2028), limitePermitido, IFERROR(VLOOKUP(monedaPago, Configuración!$A$2:$B$3, 2, FALSE), 0.15), IF(AD2028&gt;limitePermitido, "ALERTA: EXCESO (" &amp; TEXT(limitePermitido, "0%") &amp; " máx)", "OK"))))</f>
        <v/>
      </c>
      <c r="AP2028" s="79">
        <f>IF(AN2028="","",IF(AE2028=0,"OK",_xlfn.LET(fechaPago, Z2028, fechaFactura, R2028, diasCredito, IF(E2028="Pago inmediato", 0, IFERROR(VALUE(MID(E2028, 1, SEARCH(" ", E2028)-1)),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28" s="79">
        <f>IF(AN2028="","",IF(AND(N2028&gt;0, AG2028&gt;0), IF(Configuración!$K$2="NO", "ALERTA: DESCUENTO DOBLE NO PERMITIDO", "OK"), "OK"))</f>
        <v/>
      </c>
      <c r="AR2028" s="79">
        <f>IF(AN2028="","",IF(OR(AO2028&lt;&gt;"OK", AP2028&lt;&gt;"OK", AQ2028&lt;&gt;"OK"), "⚠️ REVISAR", "OK"))</f>
        <v/>
      </c>
    </row>
    <row r="2029">
      <c r="A2029" s="79">
        <f>IF('Ordenes_Odoo'!A2029="","",'Ordenes_Odoo'!A2029)</f>
        <v/>
      </c>
      <c r="B2029" s="80">
        <f>IF('Ordenes_Odoo'!B2029="","",'Ordenes_Odoo'!B2029)</f>
        <v/>
      </c>
      <c r="C2029" s="79">
        <f>IF('Ordenes_Odoo'!C2029="","",'Ordenes_Odoo'!C2029)</f>
        <v/>
      </c>
      <c r="D2029" s="79">
        <f>IF('Ordenes_Odoo'!D2029="","",'Ordenes_Odoo'!D2029)</f>
        <v/>
      </c>
      <c r="E2029" s="79">
        <f>IF('Ordenes_Odoo'!E2029="","",'Ordenes_Odoo'!E2029)</f>
        <v/>
      </c>
      <c r="F2029" s="79">
        <f>IF('Ordenes_Odoo'!F2029="","",'Ordenes_Odoo'!F2029)</f>
        <v/>
      </c>
      <c r="G2029" s="79">
        <f>IF('Ordenes_Odoo'!G2029="","",'Ordenes_Odoo'!G2029)</f>
        <v/>
      </c>
      <c r="H2029" s="79">
        <f>IF('Ordenes_Odoo'!H2029="","",'Ordenes_Odoo'!H2029)</f>
        <v/>
      </c>
      <c r="I2029" s="79">
        <f>IF('Ordenes_Odoo'!I2029="","",'Ordenes_Odoo'!I2029)</f>
        <v/>
      </c>
      <c r="J2029" s="79">
        <f>IF('Ordenes_Odoo'!J2029="","",'Ordenes_Odoo'!J2029)</f>
        <v/>
      </c>
      <c r="K2029" s="81">
        <f>IF('Ordenes_Odoo'!K2029="","",'Ordenes_Odoo'!K2029)</f>
        <v/>
      </c>
      <c r="L2029" s="81">
        <f>IF('Ordenes_Odoo'!L2029="","",'Ordenes_Odoo'!L2029)</f>
        <v/>
      </c>
      <c r="M2029" s="79">
        <f>IF('Ordenes_Odoo'!M2029="","",'Ordenes_Odoo'!M2029)</f>
        <v/>
      </c>
      <c r="N2029" s="79">
        <f>IF('Ordenes_Odoo'!N2029="","",'Ordenes_Odoo'!N2029)</f>
        <v/>
      </c>
      <c r="O2029" s="81">
        <f>IF('Ordenes_Odoo'!O2029="","",'Ordenes_Odoo'!O2029)</f>
        <v/>
      </c>
      <c r="P2029" s="81">
        <f>IF('Ordenes_Odoo'!P2029="","",'Ordenes_Odoo'!P2029)</f>
        <v/>
      </c>
      <c r="Q2029" s="79">
        <f>IF(A2029="","",IFERROR(INDEX(Facturas_Odoo!$B:$B, MATCH(A2029, Facturas_Odoo!$D:$D, 0)), "Sin Factura"))</f>
        <v/>
      </c>
      <c r="R2029" s="80">
        <f>IF(Q2029="Sin Factura","",IFERROR(INDEX(Facturas_Odoo!$A:$A, MATCH(Q2029, Facturas_Odoo!$B:$B, 0)), ""))</f>
        <v/>
      </c>
      <c r="S2029" s="79">
        <f>IF(Q2029="Sin Factura","",IFERROR(_xlfn.XLOOKUP(1, (Facturas_Odoo!$D:$D=A2029) * (Facturas_Odoo!$K:$K=I2029), Facturas_Odoo!$L:$L, ""), ""))</f>
        <v/>
      </c>
      <c r="T2029" s="81">
        <f>IF(Q2029="Sin Factura",0,IFERROR(_xlfn.XLOOKUP(1, (Facturas_Odoo!$D:$D=A2029) * (Facturas_Odoo!$K:$K=I2029), Facturas_Odoo!$M:$M, 0), 0))</f>
        <v/>
      </c>
      <c r="U2029" s="79">
        <f>IF(Q2029="Sin Factura",0,IFERROR(_xlfn.XLOOKUP(1, (Facturas_Odoo!$D:$D=A2029) * (Facturas_Odoo!$K:$K=I2029), Facturas_Odoo!$N:$N, 0), 0))</f>
        <v/>
      </c>
      <c r="V2029" s="79">
        <f>IF(Q2029="Sin Factura",0,IFERROR(_xlfn.XLOOKUP(1, (Facturas_Odoo!$D:$D=A2029) * (Facturas_Odoo!$K:$K=I2029), Facturas_Odoo!$O:$O, 0), 0))</f>
        <v/>
      </c>
      <c r="W2029" s="81">
        <f>IF(Q2029="Sin Factura",0,IFERROR(_xlfn.XLOOKUP(1, (Facturas_Odoo!$D:$D=A2029) * (Facturas_Odoo!$K:$K=I2029), Facturas_Odoo!$Q:$Q, 0), 0))</f>
        <v/>
      </c>
      <c r="X2029" s="79">
        <f>IF(OR(Q2029="Sin Factura",Q2029=""),"",IFERROR(INDEX(Pagos_Odoo!$B:$B, MATCH(Q2029, Pagos_Odoo!$I:$I, 0)), "Sin Pago"))</f>
        <v/>
      </c>
      <c r="Y2029" s="79">
        <f>IF(X2029="Sin Pago","",IFERROR(INDEX(Pagos_Odoo!$C:$C, MATCH(X2029, Pagos_Odoo!$B:$B, 0)), ""))</f>
        <v/>
      </c>
      <c r="Z2029" s="80">
        <f>IF(X2029="Sin Pago","",IFERROR(INDEX(Pagos_Odoo!$A:$A, MATCH(X2029, Pagos_Odoo!$B:$B, 0)), ""))</f>
        <v/>
      </c>
      <c r="AA2029" s="79">
        <f>IF(X2029="Sin Pago","",IFERROR(INDEX(Pagos_Odoo!$F:$F, MATCH(X2029, Pagos_Odoo!$B:$B, 0)), ""))</f>
        <v/>
      </c>
      <c r="AB2029" s="81">
        <f>IF(X2029="Sin Pago",0,IFERROR(INDEX(Pagos_Odoo!$E:$E, MATCH(X2029, Pagos_Odoo!$B:$B, 0)), 0))</f>
        <v/>
      </c>
      <c r="AC2029" s="79">
        <f>IF(X2029="Sin Pago","",IFERROR(INDEX(Pagos_Odoo!$G:$G, MATCH(X2029, Pagos_Odoo!$B:$B, 0)), ""))</f>
        <v/>
      </c>
      <c r="AD2029" s="82" t="n">
        <v>0</v>
      </c>
      <c r="AE2029" s="82" t="n"/>
      <c r="AF2029" s="82" t="n"/>
      <c r="AG2029" s="82">
        <f>IF(AN2029="","",AD2029+AE2029+AF2029)</f>
        <v/>
      </c>
      <c r="AH2029" s="81">
        <f>IF(AN2029="","",P2029*(1-AG2029))</f>
        <v/>
      </c>
      <c r="AI2029" s="81">
        <f>IF(AN2029="","",IF(Q2029="Sin Factura",0,IFERROR(INDEX(Facturas_Odoo!$H:$H, MATCH(Q2029, Facturas_Odoo!$B:$B, 0)), 0)*(1-AG2029)))</f>
        <v/>
      </c>
      <c r="AJ2029" s="81">
        <f>IF(AN2029="","",_xlfn.LET(idVenta, AN2029&amp;"",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29" s="81">
        <f>IF(AN2029="","",AH2029-AJ2029)</f>
        <v/>
      </c>
      <c r="AL2029" s="81">
        <f>IF(AN2029="","",IF(Q2029="Sin Factura","",AI2029-AJ2029))</f>
        <v/>
      </c>
      <c r="AM2029" s="81">
        <f>IF(AN2029="","",IF(Q2029="Sin Factura",0,P2029-IFERROR(INDEX(Facturas_Odoo!$H:$H, MATCH(Q2029, Facturas_Odoo!$B:$B, 0)), 0)))</f>
        <v/>
      </c>
      <c r="AN2029" s="79">
        <f>IF(AND(A2029="", J2029=""), "", IF(A2029&lt;&gt;"", VALUE(MID(A2029,2,LEN(A2029))), AN2028))</f>
        <v/>
      </c>
      <c r="AO2029" s="79">
        <f>IF(AN2029="","",IF(AD2029=0,"OK",_xlfn.LET(monedaPago, IF(AA2029="","USD",AA2029), limitePermitido, IFERROR(VLOOKUP(monedaPago, Configuración!$A$2:$B$3, 2, FALSE), 0.15), IF(AD2029&gt;limitePermitido, "ALERTA: EXCESO (" &amp; TEXT(limitePermitido, "0%") &amp; " máx)", "OK"))))</f>
        <v/>
      </c>
      <c r="AP2029" s="79">
        <f>IF(AN2029="","",IF(AE2029=0,"OK",_xlfn.LET(fechaPago, Z2029, fechaFactura, R2029, diasCredito, IF(E2029="Pago inmediato", 0, IFERROR(VALUE(MID(E2029, 1, SEARCH(" ", E2029)-1)),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29" s="79">
        <f>IF(AN2029="","",IF(AND(N2029&gt;0, AG2029&gt;0), IF(Configuración!$K$2="NO", "ALERTA: DESCUENTO DOBLE NO PERMITIDO", "OK"), "OK"))</f>
        <v/>
      </c>
      <c r="AR2029" s="79">
        <f>IF(AN2029="","",IF(OR(AO2029&lt;&gt;"OK", AP2029&lt;&gt;"OK", AQ2029&lt;&gt;"OK"), "⚠️ REVISAR", "OK"))</f>
        <v/>
      </c>
    </row>
    <row r="2030">
      <c r="A2030" s="79">
        <f>IF('Ordenes_Odoo'!A2030="","",'Ordenes_Odoo'!A2030)</f>
        <v/>
      </c>
      <c r="B2030" s="80">
        <f>IF('Ordenes_Odoo'!B2030="","",'Ordenes_Odoo'!B2030)</f>
        <v/>
      </c>
      <c r="C2030" s="79">
        <f>IF('Ordenes_Odoo'!C2030="","",'Ordenes_Odoo'!C2030)</f>
        <v/>
      </c>
      <c r="D2030" s="79">
        <f>IF('Ordenes_Odoo'!D2030="","",'Ordenes_Odoo'!D2030)</f>
        <v/>
      </c>
      <c r="E2030" s="79">
        <f>IF('Ordenes_Odoo'!E2030="","",'Ordenes_Odoo'!E2030)</f>
        <v/>
      </c>
      <c r="F2030" s="79">
        <f>IF('Ordenes_Odoo'!F2030="","",'Ordenes_Odoo'!F2030)</f>
        <v/>
      </c>
      <c r="G2030" s="79">
        <f>IF('Ordenes_Odoo'!G2030="","",'Ordenes_Odoo'!G2030)</f>
        <v/>
      </c>
      <c r="H2030" s="79">
        <f>IF('Ordenes_Odoo'!H2030="","",'Ordenes_Odoo'!H2030)</f>
        <v/>
      </c>
      <c r="I2030" s="79">
        <f>IF('Ordenes_Odoo'!I2030="","",'Ordenes_Odoo'!I2030)</f>
        <v/>
      </c>
      <c r="J2030" s="79">
        <f>IF('Ordenes_Odoo'!J2030="","",'Ordenes_Odoo'!J2030)</f>
        <v/>
      </c>
      <c r="K2030" s="81">
        <f>IF('Ordenes_Odoo'!K2030="","",'Ordenes_Odoo'!K2030)</f>
        <v/>
      </c>
      <c r="L2030" s="81">
        <f>IF('Ordenes_Odoo'!L2030="","",'Ordenes_Odoo'!L2030)</f>
        <v/>
      </c>
      <c r="M2030" s="79">
        <f>IF('Ordenes_Odoo'!M2030="","",'Ordenes_Odoo'!M2030)</f>
        <v/>
      </c>
      <c r="N2030" s="79">
        <f>IF('Ordenes_Odoo'!N2030="","",'Ordenes_Odoo'!N2030)</f>
        <v/>
      </c>
      <c r="O2030" s="81">
        <f>IF('Ordenes_Odoo'!O2030="","",'Ordenes_Odoo'!O2030)</f>
        <v/>
      </c>
      <c r="P2030" s="81">
        <f>IF('Ordenes_Odoo'!P2030="","",'Ordenes_Odoo'!P2030)</f>
        <v/>
      </c>
      <c r="Q2030" s="79">
        <f>IF(A2030="","",IFERROR(INDEX(Facturas_Odoo!$B:$B, MATCH(A2030, Facturas_Odoo!$D:$D, 0)), "Sin Factura"))</f>
        <v/>
      </c>
      <c r="R2030" s="80">
        <f>IF(Q2030="Sin Factura","",IFERROR(INDEX(Facturas_Odoo!$A:$A, MATCH(Q2030, Facturas_Odoo!$B:$B, 0)), ""))</f>
        <v/>
      </c>
      <c r="S2030" s="79">
        <f>IF(Q2030="Sin Factura","",IFERROR(_xlfn.XLOOKUP(1, (Facturas_Odoo!$D:$D=A2030) * (Facturas_Odoo!$K:$K=I2030), Facturas_Odoo!$L:$L, ""), ""))</f>
        <v/>
      </c>
      <c r="T2030" s="81">
        <f>IF(Q2030="Sin Factura",0,IFERROR(_xlfn.XLOOKUP(1, (Facturas_Odoo!$D:$D=A2030) * (Facturas_Odoo!$K:$K=I2030), Facturas_Odoo!$M:$M, 0), 0))</f>
        <v/>
      </c>
      <c r="U2030" s="79">
        <f>IF(Q2030="Sin Factura",0,IFERROR(_xlfn.XLOOKUP(1, (Facturas_Odoo!$D:$D=A2030) * (Facturas_Odoo!$K:$K=I2030), Facturas_Odoo!$N:$N, 0), 0))</f>
        <v/>
      </c>
      <c r="V2030" s="79">
        <f>IF(Q2030="Sin Factura",0,IFERROR(_xlfn.XLOOKUP(1, (Facturas_Odoo!$D:$D=A2030) * (Facturas_Odoo!$K:$K=I2030), Facturas_Odoo!$O:$O, 0), 0))</f>
        <v/>
      </c>
      <c r="W2030" s="81">
        <f>IF(Q2030="Sin Factura",0,IFERROR(_xlfn.XLOOKUP(1, (Facturas_Odoo!$D:$D=A2030) * (Facturas_Odoo!$K:$K=I2030), Facturas_Odoo!$Q:$Q, 0), 0))</f>
        <v/>
      </c>
      <c r="X2030" s="79">
        <f>IF(OR(Q2030="Sin Factura",Q2030=""),"",IFERROR(INDEX(Pagos_Odoo!$B:$B, MATCH(Q2030, Pagos_Odoo!$I:$I, 0)), "Sin Pago"))</f>
        <v/>
      </c>
      <c r="Y2030" s="79">
        <f>IF(X2030="Sin Pago","",IFERROR(INDEX(Pagos_Odoo!$C:$C, MATCH(X2030, Pagos_Odoo!$B:$B, 0)), ""))</f>
        <v/>
      </c>
      <c r="Z2030" s="80">
        <f>IF(X2030="Sin Pago","",IFERROR(INDEX(Pagos_Odoo!$A:$A, MATCH(X2030, Pagos_Odoo!$B:$B, 0)), ""))</f>
        <v/>
      </c>
      <c r="AA2030" s="79">
        <f>IF(X2030="Sin Pago","",IFERROR(INDEX(Pagos_Odoo!$F:$F, MATCH(X2030, Pagos_Odoo!$B:$B, 0)), ""))</f>
        <v/>
      </c>
      <c r="AB2030" s="81">
        <f>IF(X2030="Sin Pago",0,IFERROR(INDEX(Pagos_Odoo!$E:$E, MATCH(X2030, Pagos_Odoo!$B:$B, 0)), 0))</f>
        <v/>
      </c>
      <c r="AC2030" s="79">
        <f>IF(X2030="Sin Pago","",IFERROR(INDEX(Pagos_Odoo!$G:$G, MATCH(X2030, Pagos_Odoo!$B:$B, 0)), ""))</f>
        <v/>
      </c>
      <c r="AD2030" s="82" t="n">
        <v>0</v>
      </c>
      <c r="AE2030" s="82" t="n"/>
      <c r="AF2030" s="82" t="n"/>
      <c r="AG2030" s="82">
        <f>IF(AN2030="","",AD2030+AE2030+AF2030)</f>
        <v/>
      </c>
      <c r="AH2030" s="81">
        <f>IF(AN2030="","",P2030*(1-AG2030))</f>
        <v/>
      </c>
      <c r="AI2030" s="81">
        <f>IF(AN2030="","",IF(Q2030="Sin Factura",0,IFERROR(INDEX(Facturas_Odoo!$H:$H, MATCH(Q2030, Facturas_Odoo!$B:$B, 0)), 0)*(1-AG2030)))</f>
        <v/>
      </c>
      <c r="AJ2030" s="81">
        <f>IF(AN2030="","",_xlfn.LET(idVenta, AN2030&amp;"",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30" s="81">
        <f>IF(AN2030="","",AH2030-AJ2030)</f>
        <v/>
      </c>
      <c r="AL2030" s="81">
        <f>IF(AN2030="","",IF(Q2030="Sin Factura","",AI2030-AJ2030))</f>
        <v/>
      </c>
      <c r="AM2030" s="81">
        <f>IF(AN2030="","",IF(Q2030="Sin Factura",0,P2030-IFERROR(INDEX(Facturas_Odoo!$H:$H, MATCH(Q2030, Facturas_Odoo!$B:$B, 0)), 0)))</f>
        <v/>
      </c>
      <c r="AN2030" s="79">
        <f>IF(AND(A2030="", J2030=""), "", IF(A2030&lt;&gt;"", VALUE(MID(A2030,2,LEN(A2030))), AN2029))</f>
        <v/>
      </c>
      <c r="AO2030" s="79">
        <f>IF(AN2030="","",IF(AD2030=0,"OK",_xlfn.LET(monedaPago, IF(AA2030="","USD",AA2030), limitePermitido, IFERROR(VLOOKUP(monedaPago, Configuración!$A$2:$B$3, 2, FALSE), 0.15), IF(AD2030&gt;limitePermitido, "ALERTA: EXCESO (" &amp; TEXT(limitePermitido, "0%") &amp; " máx)", "OK"))))</f>
        <v/>
      </c>
      <c r="AP2030" s="79">
        <f>IF(AN2030="","",IF(AE2030=0,"OK",_xlfn.LET(fechaPago, Z2030, fechaFactura, R2030, diasCredito, IF(E2030="Pago inmediato", 0, IFERROR(VALUE(MID(E2030, 1, SEARCH(" ", E2030)-1)),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30" s="79">
        <f>IF(AN2030="","",IF(AND(N2030&gt;0, AG2030&gt;0), IF(Configuración!$K$2="NO", "ALERTA: DESCUENTO DOBLE NO PERMITIDO", "OK"), "OK"))</f>
        <v/>
      </c>
      <c r="AR2030" s="79">
        <f>IF(AN2030="","",IF(OR(AO2030&lt;&gt;"OK", AP2030&lt;&gt;"OK", AQ2030&lt;&gt;"OK"), "⚠️ REVISAR", "OK"))</f>
        <v/>
      </c>
    </row>
    <row r="2031">
      <c r="A2031" s="79">
        <f>IF('Ordenes_Odoo'!A2031="","",'Ordenes_Odoo'!A2031)</f>
        <v/>
      </c>
      <c r="B2031" s="80">
        <f>IF('Ordenes_Odoo'!B2031="","",'Ordenes_Odoo'!B2031)</f>
        <v/>
      </c>
      <c r="C2031" s="79">
        <f>IF('Ordenes_Odoo'!C2031="","",'Ordenes_Odoo'!C2031)</f>
        <v/>
      </c>
      <c r="D2031" s="79">
        <f>IF('Ordenes_Odoo'!D2031="","",'Ordenes_Odoo'!D2031)</f>
        <v/>
      </c>
      <c r="E2031" s="79">
        <f>IF('Ordenes_Odoo'!E2031="","",'Ordenes_Odoo'!E2031)</f>
        <v/>
      </c>
      <c r="F2031" s="79">
        <f>IF('Ordenes_Odoo'!F2031="","",'Ordenes_Odoo'!F2031)</f>
        <v/>
      </c>
      <c r="G2031" s="79">
        <f>IF('Ordenes_Odoo'!G2031="","",'Ordenes_Odoo'!G2031)</f>
        <v/>
      </c>
      <c r="H2031" s="79">
        <f>IF('Ordenes_Odoo'!H2031="","",'Ordenes_Odoo'!H2031)</f>
        <v/>
      </c>
      <c r="I2031" s="79">
        <f>IF('Ordenes_Odoo'!I2031="","",'Ordenes_Odoo'!I2031)</f>
        <v/>
      </c>
      <c r="J2031" s="79">
        <f>IF('Ordenes_Odoo'!J2031="","",'Ordenes_Odoo'!J2031)</f>
        <v/>
      </c>
      <c r="K2031" s="81">
        <f>IF('Ordenes_Odoo'!K2031="","",'Ordenes_Odoo'!K2031)</f>
        <v/>
      </c>
      <c r="L2031" s="81">
        <f>IF('Ordenes_Odoo'!L2031="","",'Ordenes_Odoo'!L2031)</f>
        <v/>
      </c>
      <c r="M2031" s="79">
        <f>IF('Ordenes_Odoo'!M2031="","",'Ordenes_Odoo'!M2031)</f>
        <v/>
      </c>
      <c r="N2031" s="79">
        <f>IF('Ordenes_Odoo'!N2031="","",'Ordenes_Odoo'!N2031)</f>
        <v/>
      </c>
      <c r="O2031" s="81">
        <f>IF('Ordenes_Odoo'!O2031="","",'Ordenes_Odoo'!O2031)</f>
        <v/>
      </c>
      <c r="P2031" s="81">
        <f>IF('Ordenes_Odoo'!P2031="","",'Ordenes_Odoo'!P2031)</f>
        <v/>
      </c>
      <c r="Q2031" s="79">
        <f>IF(A2031="","",IFERROR(INDEX(Facturas_Odoo!$B:$B, MATCH(A2031, Facturas_Odoo!$D:$D, 0)), "Sin Factura"))</f>
        <v/>
      </c>
      <c r="R2031" s="80">
        <f>IF(Q2031="Sin Factura","",IFERROR(INDEX(Facturas_Odoo!$A:$A, MATCH(Q2031, Facturas_Odoo!$B:$B, 0)), ""))</f>
        <v/>
      </c>
      <c r="S2031" s="79">
        <f>IF(Q2031="Sin Factura","",IFERROR(_xlfn.XLOOKUP(1, (Facturas_Odoo!$D:$D=A2031) * (Facturas_Odoo!$K:$K=I2031), Facturas_Odoo!$L:$L, ""), ""))</f>
        <v/>
      </c>
      <c r="T2031" s="81">
        <f>IF(Q2031="Sin Factura",0,IFERROR(_xlfn.XLOOKUP(1, (Facturas_Odoo!$D:$D=A2031) * (Facturas_Odoo!$K:$K=I2031), Facturas_Odoo!$M:$M, 0), 0))</f>
        <v/>
      </c>
      <c r="U2031" s="79">
        <f>IF(Q2031="Sin Factura",0,IFERROR(_xlfn.XLOOKUP(1, (Facturas_Odoo!$D:$D=A2031) * (Facturas_Odoo!$K:$K=I2031), Facturas_Odoo!$N:$N, 0), 0))</f>
        <v/>
      </c>
      <c r="V2031" s="79">
        <f>IF(Q2031="Sin Factura",0,IFERROR(_xlfn.XLOOKUP(1, (Facturas_Odoo!$D:$D=A2031) * (Facturas_Odoo!$K:$K=I2031), Facturas_Odoo!$O:$O, 0), 0))</f>
        <v/>
      </c>
      <c r="W2031" s="81">
        <f>IF(Q2031="Sin Factura",0,IFERROR(_xlfn.XLOOKUP(1, (Facturas_Odoo!$D:$D=A2031) * (Facturas_Odoo!$K:$K=I2031), Facturas_Odoo!$Q:$Q, 0), 0))</f>
        <v/>
      </c>
      <c r="X2031" s="79">
        <f>IF(OR(Q2031="Sin Factura",Q2031=""),"",IFERROR(INDEX(Pagos_Odoo!$B:$B, MATCH(Q2031, Pagos_Odoo!$I:$I, 0)), "Sin Pago"))</f>
        <v/>
      </c>
      <c r="Y2031" s="79">
        <f>IF(X2031="Sin Pago","",IFERROR(INDEX(Pagos_Odoo!$C:$C, MATCH(X2031, Pagos_Odoo!$B:$B, 0)), ""))</f>
        <v/>
      </c>
      <c r="Z2031" s="80">
        <f>IF(X2031="Sin Pago","",IFERROR(INDEX(Pagos_Odoo!$A:$A, MATCH(X2031, Pagos_Odoo!$B:$B, 0)), ""))</f>
        <v/>
      </c>
      <c r="AA2031" s="79">
        <f>IF(X2031="Sin Pago","",IFERROR(INDEX(Pagos_Odoo!$F:$F, MATCH(X2031, Pagos_Odoo!$B:$B, 0)), ""))</f>
        <v/>
      </c>
      <c r="AB2031" s="81">
        <f>IF(X2031="Sin Pago",0,IFERROR(INDEX(Pagos_Odoo!$E:$E, MATCH(X2031, Pagos_Odoo!$B:$B, 0)), 0))</f>
        <v/>
      </c>
      <c r="AC2031" s="79">
        <f>IF(X2031="Sin Pago","",IFERROR(INDEX(Pagos_Odoo!$G:$G, MATCH(X2031, Pagos_Odoo!$B:$B, 0)), ""))</f>
        <v/>
      </c>
      <c r="AD2031" s="82" t="n">
        <v>0</v>
      </c>
      <c r="AE2031" s="82" t="n"/>
      <c r="AF2031" s="82" t="n"/>
      <c r="AG2031" s="82">
        <f>IF(AN2031="","",AD2031+AE2031+AF2031)</f>
        <v/>
      </c>
      <c r="AH2031" s="81">
        <f>IF(AN2031="","",P2031*(1-AG2031))</f>
        <v/>
      </c>
      <c r="AI2031" s="81">
        <f>IF(AN2031="","",IF(Q2031="Sin Factura",0,IFERROR(INDEX(Facturas_Odoo!$H:$H, MATCH(Q2031, Facturas_Odoo!$B:$B, 0)), 0)*(1-AG2031)))</f>
        <v/>
      </c>
      <c r="AJ2031" s="81">
        <f>IF(AN2031="","",_xlfn.LET(idVenta, AN2031&amp;"",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31" s="81">
        <f>IF(AN2031="","",AH2031-AJ2031)</f>
        <v/>
      </c>
      <c r="AL2031" s="81">
        <f>IF(AN2031="","",IF(Q2031="Sin Factura","",AI2031-AJ2031))</f>
        <v/>
      </c>
      <c r="AM2031" s="81">
        <f>IF(AN2031="","",IF(Q2031="Sin Factura",0,P2031-IFERROR(INDEX(Facturas_Odoo!$H:$H, MATCH(Q2031, Facturas_Odoo!$B:$B, 0)), 0)))</f>
        <v/>
      </c>
      <c r="AN2031" s="79">
        <f>IF(AND(A2031="", J2031=""), "", IF(A2031&lt;&gt;"", VALUE(MID(A2031,2,LEN(A2031))), AN2030))</f>
        <v/>
      </c>
      <c r="AO2031" s="79">
        <f>IF(AN2031="","",IF(AD2031=0,"OK",_xlfn.LET(monedaPago, IF(AA2031="","USD",AA2031), limitePermitido, IFERROR(VLOOKUP(monedaPago, Configuración!$A$2:$B$3, 2, FALSE), 0.15), IF(AD2031&gt;limitePermitido, "ALERTA: EXCESO (" &amp; TEXT(limitePermitido, "0%") &amp; " máx)", "OK"))))</f>
        <v/>
      </c>
      <c r="AP2031" s="79">
        <f>IF(AN2031="","",IF(AE2031=0,"OK",_xlfn.LET(fechaPago, Z2031, fechaFactura, R2031, diasCredito, IF(E2031="Pago inmediato", 0, IFERROR(VALUE(MID(E2031, 1, SEARCH(" ", E2031)-1)),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31" s="79">
        <f>IF(AN2031="","",IF(AND(N2031&gt;0, AG2031&gt;0), IF(Configuración!$K$2="NO", "ALERTA: DESCUENTO DOBLE NO PERMITIDO", "OK"), "OK"))</f>
        <v/>
      </c>
      <c r="AR2031" s="79">
        <f>IF(AN2031="","",IF(OR(AO2031&lt;&gt;"OK", AP2031&lt;&gt;"OK", AQ2031&lt;&gt;"OK"), "⚠️ REVISAR", "OK"))</f>
        <v/>
      </c>
    </row>
    <row r="2032">
      <c r="A2032" s="79">
        <f>IF('Ordenes_Odoo'!A2032="","",'Ordenes_Odoo'!A2032)</f>
        <v/>
      </c>
      <c r="B2032" s="80">
        <f>IF('Ordenes_Odoo'!B2032="","",'Ordenes_Odoo'!B2032)</f>
        <v/>
      </c>
      <c r="C2032" s="79">
        <f>IF('Ordenes_Odoo'!C2032="","",'Ordenes_Odoo'!C2032)</f>
        <v/>
      </c>
      <c r="D2032" s="79">
        <f>IF('Ordenes_Odoo'!D2032="","",'Ordenes_Odoo'!D2032)</f>
        <v/>
      </c>
      <c r="E2032" s="79">
        <f>IF('Ordenes_Odoo'!E2032="","",'Ordenes_Odoo'!E2032)</f>
        <v/>
      </c>
      <c r="F2032" s="79">
        <f>IF('Ordenes_Odoo'!F2032="","",'Ordenes_Odoo'!F2032)</f>
        <v/>
      </c>
      <c r="G2032" s="79">
        <f>IF('Ordenes_Odoo'!G2032="","",'Ordenes_Odoo'!G2032)</f>
        <v/>
      </c>
      <c r="H2032" s="79">
        <f>IF('Ordenes_Odoo'!H2032="","",'Ordenes_Odoo'!H2032)</f>
        <v/>
      </c>
      <c r="I2032" s="79">
        <f>IF('Ordenes_Odoo'!I2032="","",'Ordenes_Odoo'!I2032)</f>
        <v/>
      </c>
      <c r="J2032" s="79">
        <f>IF('Ordenes_Odoo'!J2032="","",'Ordenes_Odoo'!J2032)</f>
        <v/>
      </c>
      <c r="K2032" s="81">
        <f>IF('Ordenes_Odoo'!K2032="","",'Ordenes_Odoo'!K2032)</f>
        <v/>
      </c>
      <c r="L2032" s="81">
        <f>IF('Ordenes_Odoo'!L2032="","",'Ordenes_Odoo'!L2032)</f>
        <v/>
      </c>
      <c r="M2032" s="79">
        <f>IF('Ordenes_Odoo'!M2032="","",'Ordenes_Odoo'!M2032)</f>
        <v/>
      </c>
      <c r="N2032" s="79">
        <f>IF('Ordenes_Odoo'!N2032="","",'Ordenes_Odoo'!N2032)</f>
        <v/>
      </c>
      <c r="O2032" s="81">
        <f>IF('Ordenes_Odoo'!O2032="","",'Ordenes_Odoo'!O2032)</f>
        <v/>
      </c>
      <c r="P2032" s="81">
        <f>IF('Ordenes_Odoo'!P2032="","",'Ordenes_Odoo'!P2032)</f>
        <v/>
      </c>
      <c r="Q2032" s="79">
        <f>IF(A2032="","",IFERROR(INDEX(Facturas_Odoo!$B:$B, MATCH(A2032, Facturas_Odoo!$D:$D, 0)), "Sin Factura"))</f>
        <v/>
      </c>
      <c r="R2032" s="80">
        <f>IF(Q2032="Sin Factura","",IFERROR(INDEX(Facturas_Odoo!$A:$A, MATCH(Q2032, Facturas_Odoo!$B:$B, 0)), ""))</f>
        <v/>
      </c>
      <c r="S2032" s="79">
        <f>IF(Q2032="Sin Factura","",IFERROR(_xlfn.XLOOKUP(1, (Facturas_Odoo!$D:$D=A2032) * (Facturas_Odoo!$K:$K=I2032), Facturas_Odoo!$L:$L, ""), ""))</f>
        <v/>
      </c>
      <c r="T2032" s="81">
        <f>IF(Q2032="Sin Factura",0,IFERROR(_xlfn.XLOOKUP(1, (Facturas_Odoo!$D:$D=A2032) * (Facturas_Odoo!$K:$K=I2032), Facturas_Odoo!$M:$M, 0), 0))</f>
        <v/>
      </c>
      <c r="U2032" s="79">
        <f>IF(Q2032="Sin Factura",0,IFERROR(_xlfn.XLOOKUP(1, (Facturas_Odoo!$D:$D=A2032) * (Facturas_Odoo!$K:$K=I2032), Facturas_Odoo!$N:$N, 0), 0))</f>
        <v/>
      </c>
      <c r="V2032" s="79">
        <f>IF(Q2032="Sin Factura",0,IFERROR(_xlfn.XLOOKUP(1, (Facturas_Odoo!$D:$D=A2032) * (Facturas_Odoo!$K:$K=I2032), Facturas_Odoo!$O:$O, 0), 0))</f>
        <v/>
      </c>
      <c r="W2032" s="81">
        <f>IF(Q2032="Sin Factura",0,IFERROR(_xlfn.XLOOKUP(1, (Facturas_Odoo!$D:$D=A2032) * (Facturas_Odoo!$K:$K=I2032), Facturas_Odoo!$Q:$Q, 0), 0))</f>
        <v/>
      </c>
      <c r="X2032" s="79">
        <f>IF(OR(Q2032="Sin Factura",Q2032=""),"",IFERROR(INDEX(Pagos_Odoo!$B:$B, MATCH(Q2032, Pagos_Odoo!$I:$I, 0)), "Sin Pago"))</f>
        <v/>
      </c>
      <c r="Y2032" s="79">
        <f>IF(X2032="Sin Pago","",IFERROR(INDEX(Pagos_Odoo!$C:$C, MATCH(X2032, Pagos_Odoo!$B:$B, 0)), ""))</f>
        <v/>
      </c>
      <c r="Z2032" s="80">
        <f>IF(X2032="Sin Pago","",IFERROR(INDEX(Pagos_Odoo!$A:$A, MATCH(X2032, Pagos_Odoo!$B:$B, 0)), ""))</f>
        <v/>
      </c>
      <c r="AA2032" s="79">
        <f>IF(X2032="Sin Pago","",IFERROR(INDEX(Pagos_Odoo!$F:$F, MATCH(X2032, Pagos_Odoo!$B:$B, 0)), ""))</f>
        <v/>
      </c>
      <c r="AB2032" s="81">
        <f>IF(X2032="Sin Pago",0,IFERROR(INDEX(Pagos_Odoo!$E:$E, MATCH(X2032, Pagos_Odoo!$B:$B, 0)), 0))</f>
        <v/>
      </c>
      <c r="AC2032" s="79">
        <f>IF(X2032="Sin Pago","",IFERROR(INDEX(Pagos_Odoo!$G:$G, MATCH(X2032, Pagos_Odoo!$B:$B, 0)), ""))</f>
        <v/>
      </c>
      <c r="AD2032" s="82" t="n">
        <v>0</v>
      </c>
      <c r="AE2032" s="82" t="n"/>
      <c r="AF2032" s="82" t="n"/>
      <c r="AG2032" s="82">
        <f>IF(AN2032="","",AD2032+AE2032+AF2032)</f>
        <v/>
      </c>
      <c r="AH2032" s="81">
        <f>IF(AN2032="","",P2032*(1-AG2032))</f>
        <v/>
      </c>
      <c r="AI2032" s="81">
        <f>IF(AN2032="","",IF(Q2032="Sin Factura",0,IFERROR(INDEX(Facturas_Odoo!$H:$H, MATCH(Q2032, Facturas_Odoo!$B:$B, 0)), 0)*(1-AG2032)))</f>
        <v/>
      </c>
      <c r="AJ2032" s="81">
        <f>IF(AN2032="","",_xlfn.LET(idVenta, AN2032&amp;"",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32" s="81">
        <f>IF(AN2032="","",AH2032-AJ2032)</f>
        <v/>
      </c>
      <c r="AL2032" s="81">
        <f>IF(AN2032="","",IF(Q2032="Sin Factura","",AI2032-AJ2032))</f>
        <v/>
      </c>
      <c r="AM2032" s="81">
        <f>IF(AN2032="","",IF(Q2032="Sin Factura",0,P2032-IFERROR(INDEX(Facturas_Odoo!$H:$H, MATCH(Q2032, Facturas_Odoo!$B:$B, 0)), 0)))</f>
        <v/>
      </c>
      <c r="AN2032" s="79">
        <f>IF(AND(A2032="", J2032=""), "", IF(A2032&lt;&gt;"", VALUE(MID(A2032,2,LEN(A2032))), AN2031))</f>
        <v/>
      </c>
      <c r="AO2032" s="79">
        <f>IF(AN2032="","",IF(AD2032=0,"OK",_xlfn.LET(monedaPago, IF(AA2032="","USD",AA2032), limitePermitido, IFERROR(VLOOKUP(monedaPago, Configuración!$A$2:$B$3, 2, FALSE), 0.15), IF(AD2032&gt;limitePermitido, "ALERTA: EXCESO (" &amp; TEXT(limitePermitido, "0%") &amp; " máx)", "OK"))))</f>
        <v/>
      </c>
      <c r="AP2032" s="79">
        <f>IF(AN2032="","",IF(AE2032=0,"OK",_xlfn.LET(fechaPago, Z2032, fechaFactura, R2032, diasCredito, IF(E2032="Pago inmediato", 0, IFERROR(VALUE(MID(E2032, 1, SEARCH(" ", E2032)-1)),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32" s="79">
        <f>IF(AN2032="","",IF(AND(N2032&gt;0, AG2032&gt;0), IF(Configuración!$K$2="NO", "ALERTA: DESCUENTO DOBLE NO PERMITIDO", "OK"), "OK"))</f>
        <v/>
      </c>
      <c r="AR2032" s="79">
        <f>IF(AN2032="","",IF(OR(AO2032&lt;&gt;"OK", AP2032&lt;&gt;"OK", AQ2032&lt;&gt;"OK"), "⚠️ REVISAR", "OK"))</f>
        <v/>
      </c>
    </row>
    <row r="2033">
      <c r="A2033" s="79">
        <f>IF('Ordenes_Odoo'!A2033="","",'Ordenes_Odoo'!A2033)</f>
        <v/>
      </c>
      <c r="B2033" s="80">
        <f>IF('Ordenes_Odoo'!B2033="","",'Ordenes_Odoo'!B2033)</f>
        <v/>
      </c>
      <c r="C2033" s="79">
        <f>IF('Ordenes_Odoo'!C2033="","",'Ordenes_Odoo'!C2033)</f>
        <v/>
      </c>
      <c r="D2033" s="79">
        <f>IF('Ordenes_Odoo'!D2033="","",'Ordenes_Odoo'!D2033)</f>
        <v/>
      </c>
      <c r="E2033" s="79">
        <f>IF('Ordenes_Odoo'!E2033="","",'Ordenes_Odoo'!E2033)</f>
        <v/>
      </c>
      <c r="F2033" s="79">
        <f>IF('Ordenes_Odoo'!F2033="","",'Ordenes_Odoo'!F2033)</f>
        <v/>
      </c>
      <c r="G2033" s="79">
        <f>IF('Ordenes_Odoo'!G2033="","",'Ordenes_Odoo'!G2033)</f>
        <v/>
      </c>
      <c r="H2033" s="79">
        <f>IF('Ordenes_Odoo'!H2033="","",'Ordenes_Odoo'!H2033)</f>
        <v/>
      </c>
      <c r="I2033" s="79">
        <f>IF('Ordenes_Odoo'!I2033="","",'Ordenes_Odoo'!I2033)</f>
        <v/>
      </c>
      <c r="J2033" s="79">
        <f>IF('Ordenes_Odoo'!J2033="","",'Ordenes_Odoo'!J2033)</f>
        <v/>
      </c>
      <c r="K2033" s="81">
        <f>IF('Ordenes_Odoo'!K2033="","",'Ordenes_Odoo'!K2033)</f>
        <v/>
      </c>
      <c r="L2033" s="81">
        <f>IF('Ordenes_Odoo'!L2033="","",'Ordenes_Odoo'!L2033)</f>
        <v/>
      </c>
      <c r="M2033" s="79">
        <f>IF('Ordenes_Odoo'!M2033="","",'Ordenes_Odoo'!M2033)</f>
        <v/>
      </c>
      <c r="N2033" s="79">
        <f>IF('Ordenes_Odoo'!N2033="","",'Ordenes_Odoo'!N2033)</f>
        <v/>
      </c>
      <c r="O2033" s="81">
        <f>IF('Ordenes_Odoo'!O2033="","",'Ordenes_Odoo'!O2033)</f>
        <v/>
      </c>
      <c r="P2033" s="81">
        <f>IF('Ordenes_Odoo'!P2033="","",'Ordenes_Odoo'!P2033)</f>
        <v/>
      </c>
      <c r="Q2033" s="79">
        <f>IF(A2033="","",IFERROR(INDEX(Facturas_Odoo!$B:$B, MATCH(A2033, Facturas_Odoo!$D:$D, 0)), "Sin Factura"))</f>
        <v/>
      </c>
      <c r="R2033" s="80">
        <f>IF(Q2033="Sin Factura","",IFERROR(INDEX(Facturas_Odoo!$A:$A, MATCH(Q2033, Facturas_Odoo!$B:$B, 0)), ""))</f>
        <v/>
      </c>
      <c r="S2033" s="79">
        <f>IF(Q2033="Sin Factura","",IFERROR(_xlfn.XLOOKUP(1, (Facturas_Odoo!$D:$D=A2033) * (Facturas_Odoo!$K:$K=I2033), Facturas_Odoo!$L:$L, ""), ""))</f>
        <v/>
      </c>
      <c r="T2033" s="81">
        <f>IF(Q2033="Sin Factura",0,IFERROR(_xlfn.XLOOKUP(1, (Facturas_Odoo!$D:$D=A2033) * (Facturas_Odoo!$K:$K=I2033), Facturas_Odoo!$M:$M, 0), 0))</f>
        <v/>
      </c>
      <c r="U2033" s="79">
        <f>IF(Q2033="Sin Factura",0,IFERROR(_xlfn.XLOOKUP(1, (Facturas_Odoo!$D:$D=A2033) * (Facturas_Odoo!$K:$K=I2033), Facturas_Odoo!$N:$N, 0), 0))</f>
        <v/>
      </c>
      <c r="V2033" s="79">
        <f>IF(Q2033="Sin Factura",0,IFERROR(_xlfn.XLOOKUP(1, (Facturas_Odoo!$D:$D=A2033) * (Facturas_Odoo!$K:$K=I2033), Facturas_Odoo!$O:$O, 0), 0))</f>
        <v/>
      </c>
      <c r="W2033" s="81">
        <f>IF(Q2033="Sin Factura",0,IFERROR(_xlfn.XLOOKUP(1, (Facturas_Odoo!$D:$D=A2033) * (Facturas_Odoo!$K:$K=I2033), Facturas_Odoo!$Q:$Q, 0), 0))</f>
        <v/>
      </c>
      <c r="X2033" s="79">
        <f>IF(OR(Q2033="Sin Factura",Q2033=""),"",IFERROR(INDEX(Pagos_Odoo!$B:$B, MATCH(Q2033, Pagos_Odoo!$I:$I, 0)), "Sin Pago"))</f>
        <v/>
      </c>
      <c r="Y2033" s="79">
        <f>IF(X2033="Sin Pago","",IFERROR(INDEX(Pagos_Odoo!$C:$C, MATCH(X2033, Pagos_Odoo!$B:$B, 0)), ""))</f>
        <v/>
      </c>
      <c r="Z2033" s="80">
        <f>IF(X2033="Sin Pago","",IFERROR(INDEX(Pagos_Odoo!$A:$A, MATCH(X2033, Pagos_Odoo!$B:$B, 0)), ""))</f>
        <v/>
      </c>
      <c r="AA2033" s="79">
        <f>IF(X2033="Sin Pago","",IFERROR(INDEX(Pagos_Odoo!$F:$F, MATCH(X2033, Pagos_Odoo!$B:$B, 0)), ""))</f>
        <v/>
      </c>
      <c r="AB2033" s="81">
        <f>IF(X2033="Sin Pago",0,IFERROR(INDEX(Pagos_Odoo!$E:$E, MATCH(X2033, Pagos_Odoo!$B:$B, 0)), 0))</f>
        <v/>
      </c>
      <c r="AC2033" s="79">
        <f>IF(X2033="Sin Pago","",IFERROR(INDEX(Pagos_Odoo!$G:$G, MATCH(X2033, Pagos_Odoo!$B:$B, 0)), ""))</f>
        <v/>
      </c>
      <c r="AD2033" s="82" t="n">
        <v>0</v>
      </c>
      <c r="AE2033" s="82" t="n"/>
      <c r="AF2033" s="82" t="n"/>
      <c r="AG2033" s="82">
        <f>IF(AN2033="","",AD2033+AE2033+AF2033)</f>
        <v/>
      </c>
      <c r="AH2033" s="81">
        <f>IF(AN2033="","",P2033*(1-AG2033))</f>
        <v/>
      </c>
      <c r="AI2033" s="81">
        <f>IF(AN2033="","",IF(Q2033="Sin Factura",0,IFERROR(INDEX(Facturas_Odoo!$H:$H, MATCH(Q2033, Facturas_Odoo!$B:$B, 0)), 0)*(1-AG2033)))</f>
        <v/>
      </c>
      <c r="AJ2033" s="81">
        <f>IF(AN2033="","",_xlfn.LET(idVenta, AN2033&amp;"",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33" s="81">
        <f>IF(AN2033="","",AH2033-AJ2033)</f>
        <v/>
      </c>
      <c r="AL2033" s="81">
        <f>IF(AN2033="","",IF(Q2033="Sin Factura","",AI2033-AJ2033))</f>
        <v/>
      </c>
      <c r="AM2033" s="81">
        <f>IF(AN2033="","",IF(Q2033="Sin Factura",0,P2033-IFERROR(INDEX(Facturas_Odoo!$H:$H, MATCH(Q2033, Facturas_Odoo!$B:$B, 0)), 0)))</f>
        <v/>
      </c>
      <c r="AN2033" s="79">
        <f>IF(AND(A2033="", J2033=""), "", IF(A2033&lt;&gt;"", VALUE(MID(A2033,2,LEN(A2033))), AN2032))</f>
        <v/>
      </c>
      <c r="AO2033" s="79">
        <f>IF(AN2033="","",IF(AD2033=0,"OK",_xlfn.LET(monedaPago, IF(AA2033="","USD",AA2033), limitePermitido, IFERROR(VLOOKUP(monedaPago, Configuración!$A$2:$B$3, 2, FALSE), 0.15), IF(AD2033&gt;limitePermitido, "ALERTA: EXCESO (" &amp; TEXT(limitePermitido, "0%") &amp; " máx)", "OK"))))</f>
        <v/>
      </c>
      <c r="AP2033" s="79">
        <f>IF(AN2033="","",IF(AE2033=0,"OK",_xlfn.LET(fechaPago, Z2033, fechaFactura, R2033, diasCredito, IF(E2033="Pago inmediato", 0, IFERROR(VALUE(MID(E2033, 1, SEARCH(" ", E2033)-1)),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33" s="79">
        <f>IF(AN2033="","",IF(AND(N2033&gt;0, AG2033&gt;0), IF(Configuración!$K$2="NO", "ALERTA: DESCUENTO DOBLE NO PERMITIDO", "OK"), "OK"))</f>
        <v/>
      </c>
      <c r="AR2033" s="79">
        <f>IF(AN2033="","",IF(OR(AO2033&lt;&gt;"OK", AP2033&lt;&gt;"OK", AQ2033&lt;&gt;"OK"), "⚠️ REVISAR", "OK"))</f>
        <v/>
      </c>
    </row>
    <row r="2034">
      <c r="A2034" s="79">
        <f>IF('Ordenes_Odoo'!A2034="","",'Ordenes_Odoo'!A2034)</f>
        <v/>
      </c>
      <c r="B2034" s="80">
        <f>IF('Ordenes_Odoo'!B2034="","",'Ordenes_Odoo'!B2034)</f>
        <v/>
      </c>
      <c r="C2034" s="79">
        <f>IF('Ordenes_Odoo'!C2034="","",'Ordenes_Odoo'!C2034)</f>
        <v/>
      </c>
      <c r="D2034" s="79">
        <f>IF('Ordenes_Odoo'!D2034="","",'Ordenes_Odoo'!D2034)</f>
        <v/>
      </c>
      <c r="E2034" s="79">
        <f>IF('Ordenes_Odoo'!E2034="","",'Ordenes_Odoo'!E2034)</f>
        <v/>
      </c>
      <c r="F2034" s="79">
        <f>IF('Ordenes_Odoo'!F2034="","",'Ordenes_Odoo'!F2034)</f>
        <v/>
      </c>
      <c r="G2034" s="79">
        <f>IF('Ordenes_Odoo'!G2034="","",'Ordenes_Odoo'!G2034)</f>
        <v/>
      </c>
      <c r="H2034" s="79">
        <f>IF('Ordenes_Odoo'!H2034="","",'Ordenes_Odoo'!H2034)</f>
        <v/>
      </c>
      <c r="I2034" s="79">
        <f>IF('Ordenes_Odoo'!I2034="","",'Ordenes_Odoo'!I2034)</f>
        <v/>
      </c>
      <c r="J2034" s="79">
        <f>IF('Ordenes_Odoo'!J2034="","",'Ordenes_Odoo'!J2034)</f>
        <v/>
      </c>
      <c r="K2034" s="81">
        <f>IF('Ordenes_Odoo'!K2034="","",'Ordenes_Odoo'!K2034)</f>
        <v/>
      </c>
      <c r="L2034" s="81">
        <f>IF('Ordenes_Odoo'!L2034="","",'Ordenes_Odoo'!L2034)</f>
        <v/>
      </c>
      <c r="M2034" s="79">
        <f>IF('Ordenes_Odoo'!M2034="","",'Ordenes_Odoo'!M2034)</f>
        <v/>
      </c>
      <c r="N2034" s="79">
        <f>IF('Ordenes_Odoo'!N2034="","",'Ordenes_Odoo'!N2034)</f>
        <v/>
      </c>
      <c r="O2034" s="81">
        <f>IF('Ordenes_Odoo'!O2034="","",'Ordenes_Odoo'!O2034)</f>
        <v/>
      </c>
      <c r="P2034" s="81">
        <f>IF('Ordenes_Odoo'!P2034="","",'Ordenes_Odoo'!P2034)</f>
        <v/>
      </c>
      <c r="Q2034" s="79">
        <f>IF(A2034="","",IFERROR(INDEX(Facturas_Odoo!$B:$B, MATCH(A2034, Facturas_Odoo!$D:$D, 0)), "Sin Factura"))</f>
        <v/>
      </c>
      <c r="R2034" s="80">
        <f>IF(Q2034="Sin Factura","",IFERROR(INDEX(Facturas_Odoo!$A:$A, MATCH(Q2034, Facturas_Odoo!$B:$B, 0)), ""))</f>
        <v/>
      </c>
      <c r="S2034" s="79">
        <f>IF(Q2034="Sin Factura","",IFERROR(_xlfn.XLOOKUP(1, (Facturas_Odoo!$D:$D=A2034) * (Facturas_Odoo!$K:$K=I2034), Facturas_Odoo!$L:$L, ""), ""))</f>
        <v/>
      </c>
      <c r="T2034" s="81">
        <f>IF(Q2034="Sin Factura",0,IFERROR(_xlfn.XLOOKUP(1, (Facturas_Odoo!$D:$D=A2034) * (Facturas_Odoo!$K:$K=I2034), Facturas_Odoo!$M:$M, 0), 0))</f>
        <v/>
      </c>
      <c r="U2034" s="79">
        <f>IF(Q2034="Sin Factura",0,IFERROR(_xlfn.XLOOKUP(1, (Facturas_Odoo!$D:$D=A2034) * (Facturas_Odoo!$K:$K=I2034), Facturas_Odoo!$N:$N, 0), 0))</f>
        <v/>
      </c>
      <c r="V2034" s="79">
        <f>IF(Q2034="Sin Factura",0,IFERROR(_xlfn.XLOOKUP(1, (Facturas_Odoo!$D:$D=A2034) * (Facturas_Odoo!$K:$K=I2034), Facturas_Odoo!$O:$O, 0), 0))</f>
        <v/>
      </c>
      <c r="W2034" s="81">
        <f>IF(Q2034="Sin Factura",0,IFERROR(_xlfn.XLOOKUP(1, (Facturas_Odoo!$D:$D=A2034) * (Facturas_Odoo!$K:$K=I2034), Facturas_Odoo!$Q:$Q, 0), 0))</f>
        <v/>
      </c>
      <c r="X2034" s="79">
        <f>IF(OR(Q2034="Sin Factura",Q2034=""),"",IFERROR(INDEX(Pagos_Odoo!$B:$B, MATCH(Q2034, Pagos_Odoo!$I:$I, 0)), "Sin Pago"))</f>
        <v/>
      </c>
      <c r="Y2034" s="79">
        <f>IF(X2034="Sin Pago","",IFERROR(INDEX(Pagos_Odoo!$C:$C, MATCH(X2034, Pagos_Odoo!$B:$B, 0)), ""))</f>
        <v/>
      </c>
      <c r="Z2034" s="80">
        <f>IF(X2034="Sin Pago","",IFERROR(INDEX(Pagos_Odoo!$A:$A, MATCH(X2034, Pagos_Odoo!$B:$B, 0)), ""))</f>
        <v/>
      </c>
      <c r="AA2034" s="79">
        <f>IF(X2034="Sin Pago","",IFERROR(INDEX(Pagos_Odoo!$F:$F, MATCH(X2034, Pagos_Odoo!$B:$B, 0)), ""))</f>
        <v/>
      </c>
      <c r="AB2034" s="81">
        <f>IF(X2034="Sin Pago",0,IFERROR(INDEX(Pagos_Odoo!$E:$E, MATCH(X2034, Pagos_Odoo!$B:$B, 0)), 0))</f>
        <v/>
      </c>
      <c r="AC2034" s="79">
        <f>IF(X2034="Sin Pago","",IFERROR(INDEX(Pagos_Odoo!$G:$G, MATCH(X2034, Pagos_Odoo!$B:$B, 0)), ""))</f>
        <v/>
      </c>
      <c r="AD2034" s="82" t="n">
        <v>0</v>
      </c>
      <c r="AE2034" s="82" t="n"/>
      <c r="AF2034" s="82" t="n"/>
      <c r="AG2034" s="82">
        <f>IF(AN2034="","",AD2034+AE2034+AF2034)</f>
        <v/>
      </c>
      <c r="AH2034" s="81">
        <f>IF(AN2034="","",P2034*(1-AG2034))</f>
        <v/>
      </c>
      <c r="AI2034" s="81">
        <f>IF(AN2034="","",IF(Q2034="Sin Factura",0,IFERROR(INDEX(Facturas_Odoo!$H:$H, MATCH(Q2034, Facturas_Odoo!$B:$B, 0)), 0)*(1-AG2034)))</f>
        <v/>
      </c>
      <c r="AJ2034" s="81">
        <f>IF(AN2034="","",_xlfn.LET(idVenta, AN2034&amp;"",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34" s="81">
        <f>IF(AN2034="","",AH2034-AJ2034)</f>
        <v/>
      </c>
      <c r="AL2034" s="81">
        <f>IF(AN2034="","",IF(Q2034="Sin Factura","",AI2034-AJ2034))</f>
        <v/>
      </c>
      <c r="AM2034" s="81">
        <f>IF(AN2034="","",IF(Q2034="Sin Factura",0,P2034-IFERROR(INDEX(Facturas_Odoo!$H:$H, MATCH(Q2034, Facturas_Odoo!$B:$B, 0)), 0)))</f>
        <v/>
      </c>
      <c r="AN2034" s="79">
        <f>IF(AND(A2034="", J2034=""), "", IF(A2034&lt;&gt;"", VALUE(MID(A2034,2,LEN(A2034))), AN2033))</f>
        <v/>
      </c>
      <c r="AO2034" s="79">
        <f>IF(AN2034="","",IF(AD2034=0,"OK",_xlfn.LET(monedaPago, IF(AA2034="","USD",AA2034), limitePermitido, IFERROR(VLOOKUP(monedaPago, Configuración!$A$2:$B$3, 2, FALSE), 0.15), IF(AD2034&gt;limitePermitido, "ALERTA: EXCESO (" &amp; TEXT(limitePermitido, "0%") &amp; " máx)", "OK"))))</f>
        <v/>
      </c>
      <c r="AP2034" s="79">
        <f>IF(AN2034="","",IF(AE2034=0,"OK",_xlfn.LET(fechaPago, Z2034, fechaFactura, R2034, diasCredito, IF(E2034="Pago inmediato", 0, IFERROR(VALUE(MID(E2034, 1, SEARCH(" ", E2034)-1)),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34" s="79">
        <f>IF(AN2034="","",IF(AND(N2034&gt;0, AG2034&gt;0), IF(Configuración!$K$2="NO", "ALERTA: DESCUENTO DOBLE NO PERMITIDO", "OK"), "OK"))</f>
        <v/>
      </c>
      <c r="AR2034" s="79">
        <f>IF(AN2034="","",IF(OR(AO2034&lt;&gt;"OK", AP2034&lt;&gt;"OK", AQ2034&lt;&gt;"OK"), "⚠️ REVISAR", "OK"))</f>
        <v/>
      </c>
    </row>
    <row r="2035">
      <c r="A2035" s="79">
        <f>IF('Ordenes_Odoo'!A2035="","",'Ordenes_Odoo'!A2035)</f>
        <v/>
      </c>
      <c r="B2035" s="80">
        <f>IF('Ordenes_Odoo'!B2035="","",'Ordenes_Odoo'!B2035)</f>
        <v/>
      </c>
      <c r="C2035" s="79">
        <f>IF('Ordenes_Odoo'!C2035="","",'Ordenes_Odoo'!C2035)</f>
        <v/>
      </c>
      <c r="D2035" s="79">
        <f>IF('Ordenes_Odoo'!D2035="","",'Ordenes_Odoo'!D2035)</f>
        <v/>
      </c>
      <c r="E2035" s="79">
        <f>IF('Ordenes_Odoo'!E2035="","",'Ordenes_Odoo'!E2035)</f>
        <v/>
      </c>
      <c r="F2035" s="79">
        <f>IF('Ordenes_Odoo'!F2035="","",'Ordenes_Odoo'!F2035)</f>
        <v/>
      </c>
      <c r="G2035" s="79">
        <f>IF('Ordenes_Odoo'!G2035="","",'Ordenes_Odoo'!G2035)</f>
        <v/>
      </c>
      <c r="H2035" s="79">
        <f>IF('Ordenes_Odoo'!H2035="","",'Ordenes_Odoo'!H2035)</f>
        <v/>
      </c>
      <c r="I2035" s="79">
        <f>IF('Ordenes_Odoo'!I2035="","",'Ordenes_Odoo'!I2035)</f>
        <v/>
      </c>
      <c r="J2035" s="79">
        <f>IF('Ordenes_Odoo'!J2035="","",'Ordenes_Odoo'!J2035)</f>
        <v/>
      </c>
      <c r="K2035" s="81">
        <f>IF('Ordenes_Odoo'!K2035="","",'Ordenes_Odoo'!K2035)</f>
        <v/>
      </c>
      <c r="L2035" s="81">
        <f>IF('Ordenes_Odoo'!L2035="","",'Ordenes_Odoo'!L2035)</f>
        <v/>
      </c>
      <c r="M2035" s="79">
        <f>IF('Ordenes_Odoo'!M2035="","",'Ordenes_Odoo'!M2035)</f>
        <v/>
      </c>
      <c r="N2035" s="79">
        <f>IF('Ordenes_Odoo'!N2035="","",'Ordenes_Odoo'!N2035)</f>
        <v/>
      </c>
      <c r="O2035" s="81">
        <f>IF('Ordenes_Odoo'!O2035="","",'Ordenes_Odoo'!O2035)</f>
        <v/>
      </c>
      <c r="P2035" s="81">
        <f>IF('Ordenes_Odoo'!P2035="","",'Ordenes_Odoo'!P2035)</f>
        <v/>
      </c>
      <c r="Q2035" s="79">
        <f>IF(A2035="","",IFERROR(INDEX(Facturas_Odoo!$B:$B, MATCH(A2035, Facturas_Odoo!$D:$D, 0)), "Sin Factura"))</f>
        <v/>
      </c>
      <c r="R2035" s="80">
        <f>IF(Q2035="Sin Factura","",IFERROR(INDEX(Facturas_Odoo!$A:$A, MATCH(Q2035, Facturas_Odoo!$B:$B, 0)), ""))</f>
        <v/>
      </c>
      <c r="S2035" s="79">
        <f>IF(Q2035="Sin Factura","",IFERROR(_xlfn.XLOOKUP(1, (Facturas_Odoo!$D:$D=A2035) * (Facturas_Odoo!$K:$K=I2035), Facturas_Odoo!$L:$L, ""), ""))</f>
        <v/>
      </c>
      <c r="T2035" s="81">
        <f>IF(Q2035="Sin Factura",0,IFERROR(_xlfn.XLOOKUP(1, (Facturas_Odoo!$D:$D=A2035) * (Facturas_Odoo!$K:$K=I2035), Facturas_Odoo!$M:$M, 0), 0))</f>
        <v/>
      </c>
      <c r="U2035" s="79">
        <f>IF(Q2035="Sin Factura",0,IFERROR(_xlfn.XLOOKUP(1, (Facturas_Odoo!$D:$D=A2035) * (Facturas_Odoo!$K:$K=I2035), Facturas_Odoo!$N:$N, 0), 0))</f>
        <v/>
      </c>
      <c r="V2035" s="79">
        <f>IF(Q2035="Sin Factura",0,IFERROR(_xlfn.XLOOKUP(1, (Facturas_Odoo!$D:$D=A2035) * (Facturas_Odoo!$K:$K=I2035), Facturas_Odoo!$O:$O, 0), 0))</f>
        <v/>
      </c>
      <c r="W2035" s="81">
        <f>IF(Q2035="Sin Factura",0,IFERROR(_xlfn.XLOOKUP(1, (Facturas_Odoo!$D:$D=A2035) * (Facturas_Odoo!$K:$K=I2035), Facturas_Odoo!$Q:$Q, 0), 0))</f>
        <v/>
      </c>
      <c r="X2035" s="79">
        <f>IF(OR(Q2035="Sin Factura",Q2035=""),"",IFERROR(INDEX(Pagos_Odoo!$B:$B, MATCH(Q2035, Pagos_Odoo!$I:$I, 0)), "Sin Pago"))</f>
        <v/>
      </c>
      <c r="Y2035" s="79">
        <f>IF(X2035="Sin Pago","",IFERROR(INDEX(Pagos_Odoo!$C:$C, MATCH(X2035, Pagos_Odoo!$B:$B, 0)), ""))</f>
        <v/>
      </c>
      <c r="Z2035" s="80">
        <f>IF(X2035="Sin Pago","",IFERROR(INDEX(Pagos_Odoo!$A:$A, MATCH(X2035, Pagos_Odoo!$B:$B, 0)), ""))</f>
        <v/>
      </c>
      <c r="AA2035" s="79">
        <f>IF(X2035="Sin Pago","",IFERROR(INDEX(Pagos_Odoo!$F:$F, MATCH(X2035, Pagos_Odoo!$B:$B, 0)), ""))</f>
        <v/>
      </c>
      <c r="AB2035" s="81">
        <f>IF(X2035="Sin Pago",0,IFERROR(INDEX(Pagos_Odoo!$E:$E, MATCH(X2035, Pagos_Odoo!$B:$B, 0)), 0))</f>
        <v/>
      </c>
      <c r="AC2035" s="79">
        <f>IF(X2035="Sin Pago","",IFERROR(INDEX(Pagos_Odoo!$G:$G, MATCH(X2035, Pagos_Odoo!$B:$B, 0)), ""))</f>
        <v/>
      </c>
      <c r="AD2035" s="82" t="n">
        <v>0</v>
      </c>
      <c r="AE2035" s="82" t="n"/>
      <c r="AF2035" s="82" t="n"/>
      <c r="AG2035" s="82">
        <f>IF(AN2035="","",AD2035+AE2035+AF2035)</f>
        <v/>
      </c>
      <c r="AH2035" s="81">
        <f>IF(AN2035="","",P2035*(1-AG2035))</f>
        <v/>
      </c>
      <c r="AI2035" s="81">
        <f>IF(AN2035="","",IF(Q2035="Sin Factura",0,IFERROR(INDEX(Facturas_Odoo!$H:$H, MATCH(Q2035, Facturas_Odoo!$B:$B, 0)), 0)*(1-AG2035)))</f>
        <v/>
      </c>
      <c r="AJ2035" s="81">
        <f>IF(AN2035="","",_xlfn.LET(idVenta, AN2035&amp;"",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35" s="81">
        <f>IF(AN2035="","",AH2035-AJ2035)</f>
        <v/>
      </c>
      <c r="AL2035" s="81">
        <f>IF(AN2035="","",IF(Q2035="Sin Factura","",AI2035-AJ2035))</f>
        <v/>
      </c>
      <c r="AM2035" s="81">
        <f>IF(AN2035="","",IF(Q2035="Sin Factura",0,P2035-IFERROR(INDEX(Facturas_Odoo!$H:$H, MATCH(Q2035, Facturas_Odoo!$B:$B, 0)), 0)))</f>
        <v/>
      </c>
      <c r="AN2035" s="79">
        <f>IF(AND(A2035="", J2035=""), "", IF(A2035&lt;&gt;"", VALUE(MID(A2035,2,LEN(A2035))), AN2034))</f>
        <v/>
      </c>
      <c r="AO2035" s="79">
        <f>IF(AN2035="","",IF(AD2035=0,"OK",_xlfn.LET(monedaPago, IF(AA2035="","USD",AA2035), limitePermitido, IFERROR(VLOOKUP(monedaPago, Configuración!$A$2:$B$3, 2, FALSE), 0.15), IF(AD2035&gt;limitePermitido, "ALERTA: EXCESO (" &amp; TEXT(limitePermitido, "0%") &amp; " máx)", "OK"))))</f>
        <v/>
      </c>
      <c r="AP2035" s="79">
        <f>IF(AN2035="","",IF(AE2035=0,"OK",_xlfn.LET(fechaPago, Z2035, fechaFactura, R2035, diasCredito, IF(E2035="Pago inmediato", 0, IFERROR(VALUE(MID(E2035, 1, SEARCH(" ", E2035)-1)),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35" s="79">
        <f>IF(AN2035="","",IF(AND(N2035&gt;0, AG2035&gt;0), IF(Configuración!$K$2="NO", "ALERTA: DESCUENTO DOBLE NO PERMITIDO", "OK"), "OK"))</f>
        <v/>
      </c>
      <c r="AR2035" s="79">
        <f>IF(AN2035="","",IF(OR(AO2035&lt;&gt;"OK", AP2035&lt;&gt;"OK", AQ2035&lt;&gt;"OK"), "⚠️ REVISAR", "OK"))</f>
        <v/>
      </c>
    </row>
    <row r="2036">
      <c r="A2036" s="79">
        <f>IF('Ordenes_Odoo'!A2036="","",'Ordenes_Odoo'!A2036)</f>
        <v/>
      </c>
      <c r="B2036" s="80">
        <f>IF('Ordenes_Odoo'!B2036="","",'Ordenes_Odoo'!B2036)</f>
        <v/>
      </c>
      <c r="C2036" s="79">
        <f>IF('Ordenes_Odoo'!C2036="","",'Ordenes_Odoo'!C2036)</f>
        <v/>
      </c>
      <c r="D2036" s="79">
        <f>IF('Ordenes_Odoo'!D2036="","",'Ordenes_Odoo'!D2036)</f>
        <v/>
      </c>
      <c r="E2036" s="79">
        <f>IF('Ordenes_Odoo'!E2036="","",'Ordenes_Odoo'!E2036)</f>
        <v/>
      </c>
      <c r="F2036" s="79">
        <f>IF('Ordenes_Odoo'!F2036="","",'Ordenes_Odoo'!F2036)</f>
        <v/>
      </c>
      <c r="G2036" s="79">
        <f>IF('Ordenes_Odoo'!G2036="","",'Ordenes_Odoo'!G2036)</f>
        <v/>
      </c>
      <c r="H2036" s="79">
        <f>IF('Ordenes_Odoo'!H2036="","",'Ordenes_Odoo'!H2036)</f>
        <v/>
      </c>
      <c r="I2036" s="79">
        <f>IF('Ordenes_Odoo'!I2036="","",'Ordenes_Odoo'!I2036)</f>
        <v/>
      </c>
      <c r="J2036" s="79">
        <f>IF('Ordenes_Odoo'!J2036="","",'Ordenes_Odoo'!J2036)</f>
        <v/>
      </c>
      <c r="K2036" s="81">
        <f>IF('Ordenes_Odoo'!K2036="","",'Ordenes_Odoo'!K2036)</f>
        <v/>
      </c>
      <c r="L2036" s="81">
        <f>IF('Ordenes_Odoo'!L2036="","",'Ordenes_Odoo'!L2036)</f>
        <v/>
      </c>
      <c r="M2036" s="79">
        <f>IF('Ordenes_Odoo'!M2036="","",'Ordenes_Odoo'!M2036)</f>
        <v/>
      </c>
      <c r="N2036" s="79">
        <f>IF('Ordenes_Odoo'!N2036="","",'Ordenes_Odoo'!N2036)</f>
        <v/>
      </c>
      <c r="O2036" s="81">
        <f>IF('Ordenes_Odoo'!O2036="","",'Ordenes_Odoo'!O2036)</f>
        <v/>
      </c>
      <c r="P2036" s="81">
        <f>IF('Ordenes_Odoo'!P2036="","",'Ordenes_Odoo'!P2036)</f>
        <v/>
      </c>
      <c r="Q2036" s="79">
        <f>IF(A2036="","",IFERROR(INDEX(Facturas_Odoo!$B:$B, MATCH(A2036, Facturas_Odoo!$D:$D, 0)), "Sin Factura"))</f>
        <v/>
      </c>
      <c r="R2036" s="80">
        <f>IF(Q2036="Sin Factura","",IFERROR(INDEX(Facturas_Odoo!$A:$A, MATCH(Q2036, Facturas_Odoo!$B:$B, 0)), ""))</f>
        <v/>
      </c>
      <c r="S2036" s="79">
        <f>IF(Q2036="Sin Factura","",IFERROR(_xlfn.XLOOKUP(1, (Facturas_Odoo!$D:$D=A2036) * (Facturas_Odoo!$K:$K=I2036), Facturas_Odoo!$L:$L, ""), ""))</f>
        <v/>
      </c>
      <c r="T2036" s="81">
        <f>IF(Q2036="Sin Factura",0,IFERROR(_xlfn.XLOOKUP(1, (Facturas_Odoo!$D:$D=A2036) * (Facturas_Odoo!$K:$K=I2036), Facturas_Odoo!$M:$M, 0), 0))</f>
        <v/>
      </c>
      <c r="U2036" s="79">
        <f>IF(Q2036="Sin Factura",0,IFERROR(_xlfn.XLOOKUP(1, (Facturas_Odoo!$D:$D=A2036) * (Facturas_Odoo!$K:$K=I2036), Facturas_Odoo!$N:$N, 0), 0))</f>
        <v/>
      </c>
      <c r="V2036" s="79">
        <f>IF(Q2036="Sin Factura",0,IFERROR(_xlfn.XLOOKUP(1, (Facturas_Odoo!$D:$D=A2036) * (Facturas_Odoo!$K:$K=I2036), Facturas_Odoo!$O:$O, 0), 0))</f>
        <v/>
      </c>
      <c r="W2036" s="81">
        <f>IF(Q2036="Sin Factura",0,IFERROR(_xlfn.XLOOKUP(1, (Facturas_Odoo!$D:$D=A2036) * (Facturas_Odoo!$K:$K=I2036), Facturas_Odoo!$Q:$Q, 0), 0))</f>
        <v/>
      </c>
      <c r="X2036" s="79">
        <f>IF(OR(Q2036="Sin Factura",Q2036=""),"",IFERROR(INDEX(Pagos_Odoo!$B:$B, MATCH(Q2036, Pagos_Odoo!$I:$I, 0)), "Sin Pago"))</f>
        <v/>
      </c>
      <c r="Y2036" s="79">
        <f>IF(X2036="Sin Pago","",IFERROR(INDEX(Pagos_Odoo!$C:$C, MATCH(X2036, Pagos_Odoo!$B:$B, 0)), ""))</f>
        <v/>
      </c>
      <c r="Z2036" s="80">
        <f>IF(X2036="Sin Pago","",IFERROR(INDEX(Pagos_Odoo!$A:$A, MATCH(X2036, Pagos_Odoo!$B:$B, 0)), ""))</f>
        <v/>
      </c>
      <c r="AA2036" s="79">
        <f>IF(X2036="Sin Pago","",IFERROR(INDEX(Pagos_Odoo!$F:$F, MATCH(X2036, Pagos_Odoo!$B:$B, 0)), ""))</f>
        <v/>
      </c>
      <c r="AB2036" s="81">
        <f>IF(X2036="Sin Pago",0,IFERROR(INDEX(Pagos_Odoo!$E:$E, MATCH(X2036, Pagos_Odoo!$B:$B, 0)), 0))</f>
        <v/>
      </c>
      <c r="AC2036" s="79">
        <f>IF(X2036="Sin Pago","",IFERROR(INDEX(Pagos_Odoo!$G:$G, MATCH(X2036, Pagos_Odoo!$B:$B, 0)), ""))</f>
        <v/>
      </c>
      <c r="AD2036" s="82" t="n">
        <v>0</v>
      </c>
      <c r="AE2036" s="82" t="n"/>
      <c r="AF2036" s="82" t="n"/>
      <c r="AG2036" s="82">
        <f>IF(AN2036="","",AD2036+AE2036+AF2036)</f>
        <v/>
      </c>
      <c r="AH2036" s="81">
        <f>IF(AN2036="","",P2036*(1-AG2036))</f>
        <v/>
      </c>
      <c r="AI2036" s="81">
        <f>IF(AN2036="","",IF(Q2036="Sin Factura",0,IFERROR(INDEX(Facturas_Odoo!$H:$H, MATCH(Q2036, Facturas_Odoo!$B:$B, 0)), 0)*(1-AG2036)))</f>
        <v/>
      </c>
      <c r="AJ2036" s="81">
        <f>IF(AN2036="","",_xlfn.LET(idVenta, AN2036&amp;"",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36" s="81">
        <f>IF(AN2036="","",AH2036-AJ2036)</f>
        <v/>
      </c>
      <c r="AL2036" s="81">
        <f>IF(AN2036="","",IF(Q2036="Sin Factura","",AI2036-AJ2036))</f>
        <v/>
      </c>
      <c r="AM2036" s="81">
        <f>IF(AN2036="","",IF(Q2036="Sin Factura",0,P2036-IFERROR(INDEX(Facturas_Odoo!$H:$H, MATCH(Q2036, Facturas_Odoo!$B:$B, 0)), 0)))</f>
        <v/>
      </c>
      <c r="AN2036" s="79">
        <f>IF(AND(A2036="", J2036=""), "", IF(A2036&lt;&gt;"", VALUE(MID(A2036,2,LEN(A2036))), AN2035))</f>
        <v/>
      </c>
      <c r="AO2036" s="79">
        <f>IF(AN2036="","",IF(AD2036=0,"OK",_xlfn.LET(monedaPago, IF(AA2036="","USD",AA2036), limitePermitido, IFERROR(VLOOKUP(monedaPago, Configuración!$A$2:$B$3, 2, FALSE), 0.15), IF(AD2036&gt;limitePermitido, "ALERTA: EXCESO (" &amp; TEXT(limitePermitido, "0%") &amp; " máx)", "OK"))))</f>
        <v/>
      </c>
      <c r="AP2036" s="79">
        <f>IF(AN2036="","",IF(AE2036=0,"OK",_xlfn.LET(fechaPago, Z2036, fechaFactura, R2036, diasCredito, IF(E2036="Pago inmediato", 0, IFERROR(VALUE(MID(E2036, 1, SEARCH(" ", E2036)-1)),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36" s="79">
        <f>IF(AN2036="","",IF(AND(N2036&gt;0, AG2036&gt;0), IF(Configuración!$K$2="NO", "ALERTA: DESCUENTO DOBLE NO PERMITIDO", "OK"), "OK"))</f>
        <v/>
      </c>
      <c r="AR2036" s="79">
        <f>IF(AN2036="","",IF(OR(AO2036&lt;&gt;"OK", AP2036&lt;&gt;"OK", AQ2036&lt;&gt;"OK"), "⚠️ REVISAR", "OK"))</f>
        <v/>
      </c>
    </row>
    <row r="2037">
      <c r="A2037" s="79">
        <f>IF('Ordenes_Odoo'!A2037="","",'Ordenes_Odoo'!A2037)</f>
        <v/>
      </c>
      <c r="B2037" s="80">
        <f>IF('Ordenes_Odoo'!B2037="","",'Ordenes_Odoo'!B2037)</f>
        <v/>
      </c>
      <c r="C2037" s="79">
        <f>IF('Ordenes_Odoo'!C2037="","",'Ordenes_Odoo'!C2037)</f>
        <v/>
      </c>
      <c r="D2037" s="79">
        <f>IF('Ordenes_Odoo'!D2037="","",'Ordenes_Odoo'!D2037)</f>
        <v/>
      </c>
      <c r="E2037" s="79">
        <f>IF('Ordenes_Odoo'!E2037="","",'Ordenes_Odoo'!E2037)</f>
        <v/>
      </c>
      <c r="F2037" s="79">
        <f>IF('Ordenes_Odoo'!F2037="","",'Ordenes_Odoo'!F2037)</f>
        <v/>
      </c>
      <c r="G2037" s="79">
        <f>IF('Ordenes_Odoo'!G2037="","",'Ordenes_Odoo'!G2037)</f>
        <v/>
      </c>
      <c r="H2037" s="79">
        <f>IF('Ordenes_Odoo'!H2037="","",'Ordenes_Odoo'!H2037)</f>
        <v/>
      </c>
      <c r="I2037" s="79">
        <f>IF('Ordenes_Odoo'!I2037="","",'Ordenes_Odoo'!I2037)</f>
        <v/>
      </c>
      <c r="J2037" s="79">
        <f>IF('Ordenes_Odoo'!J2037="","",'Ordenes_Odoo'!J2037)</f>
        <v/>
      </c>
      <c r="K2037" s="81">
        <f>IF('Ordenes_Odoo'!K2037="","",'Ordenes_Odoo'!K2037)</f>
        <v/>
      </c>
      <c r="L2037" s="81">
        <f>IF('Ordenes_Odoo'!L2037="","",'Ordenes_Odoo'!L2037)</f>
        <v/>
      </c>
      <c r="M2037" s="79">
        <f>IF('Ordenes_Odoo'!M2037="","",'Ordenes_Odoo'!M2037)</f>
        <v/>
      </c>
      <c r="N2037" s="79">
        <f>IF('Ordenes_Odoo'!N2037="","",'Ordenes_Odoo'!N2037)</f>
        <v/>
      </c>
      <c r="O2037" s="81">
        <f>IF('Ordenes_Odoo'!O2037="","",'Ordenes_Odoo'!O2037)</f>
        <v/>
      </c>
      <c r="P2037" s="81">
        <f>IF('Ordenes_Odoo'!P2037="","",'Ordenes_Odoo'!P2037)</f>
        <v/>
      </c>
      <c r="Q2037" s="79">
        <f>IF(A2037="","",IFERROR(INDEX(Facturas_Odoo!$B:$B, MATCH(A2037, Facturas_Odoo!$D:$D, 0)), "Sin Factura"))</f>
        <v/>
      </c>
      <c r="R2037" s="80">
        <f>IF(Q2037="Sin Factura","",IFERROR(INDEX(Facturas_Odoo!$A:$A, MATCH(Q2037, Facturas_Odoo!$B:$B, 0)), ""))</f>
        <v/>
      </c>
      <c r="S2037" s="79">
        <f>IF(Q2037="Sin Factura","",IFERROR(_xlfn.XLOOKUP(1, (Facturas_Odoo!$D:$D=A2037) * (Facturas_Odoo!$K:$K=I2037), Facturas_Odoo!$L:$L, ""), ""))</f>
        <v/>
      </c>
      <c r="T2037" s="81">
        <f>IF(Q2037="Sin Factura",0,IFERROR(_xlfn.XLOOKUP(1, (Facturas_Odoo!$D:$D=A2037) * (Facturas_Odoo!$K:$K=I2037), Facturas_Odoo!$M:$M, 0), 0))</f>
        <v/>
      </c>
      <c r="U2037" s="79">
        <f>IF(Q2037="Sin Factura",0,IFERROR(_xlfn.XLOOKUP(1, (Facturas_Odoo!$D:$D=A2037) * (Facturas_Odoo!$K:$K=I2037), Facturas_Odoo!$N:$N, 0), 0))</f>
        <v/>
      </c>
      <c r="V2037" s="79">
        <f>IF(Q2037="Sin Factura",0,IFERROR(_xlfn.XLOOKUP(1, (Facturas_Odoo!$D:$D=A2037) * (Facturas_Odoo!$K:$K=I2037), Facturas_Odoo!$O:$O, 0), 0))</f>
        <v/>
      </c>
      <c r="W2037" s="81">
        <f>IF(Q2037="Sin Factura",0,IFERROR(_xlfn.XLOOKUP(1, (Facturas_Odoo!$D:$D=A2037) * (Facturas_Odoo!$K:$K=I2037), Facturas_Odoo!$Q:$Q, 0), 0))</f>
        <v/>
      </c>
      <c r="X2037" s="79">
        <f>IF(OR(Q2037="Sin Factura",Q2037=""),"",IFERROR(INDEX(Pagos_Odoo!$B:$B, MATCH(Q2037, Pagos_Odoo!$I:$I, 0)), "Sin Pago"))</f>
        <v/>
      </c>
      <c r="Y2037" s="79">
        <f>IF(X2037="Sin Pago","",IFERROR(INDEX(Pagos_Odoo!$C:$C, MATCH(X2037, Pagos_Odoo!$B:$B, 0)), ""))</f>
        <v/>
      </c>
      <c r="Z2037" s="80">
        <f>IF(X2037="Sin Pago","",IFERROR(INDEX(Pagos_Odoo!$A:$A, MATCH(X2037, Pagos_Odoo!$B:$B, 0)), ""))</f>
        <v/>
      </c>
      <c r="AA2037" s="79">
        <f>IF(X2037="Sin Pago","",IFERROR(INDEX(Pagos_Odoo!$F:$F, MATCH(X2037, Pagos_Odoo!$B:$B, 0)), ""))</f>
        <v/>
      </c>
      <c r="AB2037" s="81">
        <f>IF(X2037="Sin Pago",0,IFERROR(INDEX(Pagos_Odoo!$E:$E, MATCH(X2037, Pagos_Odoo!$B:$B, 0)), 0))</f>
        <v/>
      </c>
      <c r="AC2037" s="79">
        <f>IF(X2037="Sin Pago","",IFERROR(INDEX(Pagos_Odoo!$G:$G, MATCH(X2037, Pagos_Odoo!$B:$B, 0)), ""))</f>
        <v/>
      </c>
      <c r="AD2037" s="82" t="n">
        <v>0</v>
      </c>
      <c r="AE2037" s="82" t="n"/>
      <c r="AF2037" s="82" t="n"/>
      <c r="AG2037" s="82">
        <f>IF(AN2037="","",AD2037+AE2037+AF2037)</f>
        <v/>
      </c>
      <c r="AH2037" s="81">
        <f>IF(AN2037="","",P2037*(1-AG2037))</f>
        <v/>
      </c>
      <c r="AI2037" s="81">
        <f>IF(AN2037="","",IF(Q2037="Sin Factura",0,IFERROR(INDEX(Facturas_Odoo!$H:$H, MATCH(Q2037, Facturas_Odoo!$B:$B, 0)), 0)*(1-AG2037)))</f>
        <v/>
      </c>
      <c r="AJ2037" s="81">
        <f>IF(AN2037="","",_xlfn.LET(idVenta, AN2037&amp;"",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37" s="81">
        <f>IF(AN2037="","",AH2037-AJ2037)</f>
        <v/>
      </c>
      <c r="AL2037" s="81">
        <f>IF(AN2037="","",IF(Q2037="Sin Factura","",AI2037-AJ2037))</f>
        <v/>
      </c>
      <c r="AM2037" s="81">
        <f>IF(AN2037="","",IF(Q2037="Sin Factura",0,P2037-IFERROR(INDEX(Facturas_Odoo!$H:$H, MATCH(Q2037, Facturas_Odoo!$B:$B, 0)), 0)))</f>
        <v/>
      </c>
      <c r="AN2037" s="79">
        <f>IF(AND(A2037="", J2037=""), "", IF(A2037&lt;&gt;"", VALUE(MID(A2037,2,LEN(A2037))), AN2036))</f>
        <v/>
      </c>
      <c r="AO2037" s="79">
        <f>IF(AN2037="","",IF(AD2037=0,"OK",_xlfn.LET(monedaPago, IF(AA2037="","USD",AA2037), limitePermitido, IFERROR(VLOOKUP(monedaPago, Configuración!$A$2:$B$3, 2, FALSE), 0.15), IF(AD2037&gt;limitePermitido, "ALERTA: EXCESO (" &amp; TEXT(limitePermitido, "0%") &amp; " máx)", "OK"))))</f>
        <v/>
      </c>
      <c r="AP2037" s="79">
        <f>IF(AN2037="","",IF(AE2037=0,"OK",_xlfn.LET(fechaPago, Z2037, fechaFactura, R2037, diasCredito, IF(E2037="Pago inmediato", 0, IFERROR(VALUE(MID(E2037, 1, SEARCH(" ", E2037)-1)),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37" s="79">
        <f>IF(AN2037="","",IF(AND(N2037&gt;0, AG2037&gt;0), IF(Configuración!$K$2="NO", "ALERTA: DESCUENTO DOBLE NO PERMITIDO", "OK"), "OK"))</f>
        <v/>
      </c>
      <c r="AR2037" s="79">
        <f>IF(AN2037="","",IF(OR(AO2037&lt;&gt;"OK", AP2037&lt;&gt;"OK", AQ2037&lt;&gt;"OK"), "⚠️ REVISAR", "OK"))</f>
        <v/>
      </c>
    </row>
    <row r="2038">
      <c r="A2038" s="79">
        <f>IF('Ordenes_Odoo'!A2038="","",'Ordenes_Odoo'!A2038)</f>
        <v/>
      </c>
      <c r="B2038" s="80">
        <f>IF('Ordenes_Odoo'!B2038="","",'Ordenes_Odoo'!B2038)</f>
        <v/>
      </c>
      <c r="C2038" s="79">
        <f>IF('Ordenes_Odoo'!C2038="","",'Ordenes_Odoo'!C2038)</f>
        <v/>
      </c>
      <c r="D2038" s="79">
        <f>IF('Ordenes_Odoo'!D2038="","",'Ordenes_Odoo'!D2038)</f>
        <v/>
      </c>
      <c r="E2038" s="79">
        <f>IF('Ordenes_Odoo'!E2038="","",'Ordenes_Odoo'!E2038)</f>
        <v/>
      </c>
      <c r="F2038" s="79">
        <f>IF('Ordenes_Odoo'!F2038="","",'Ordenes_Odoo'!F2038)</f>
        <v/>
      </c>
      <c r="G2038" s="79">
        <f>IF('Ordenes_Odoo'!G2038="","",'Ordenes_Odoo'!G2038)</f>
        <v/>
      </c>
      <c r="H2038" s="79">
        <f>IF('Ordenes_Odoo'!H2038="","",'Ordenes_Odoo'!H2038)</f>
        <v/>
      </c>
      <c r="I2038" s="79">
        <f>IF('Ordenes_Odoo'!I2038="","",'Ordenes_Odoo'!I2038)</f>
        <v/>
      </c>
      <c r="J2038" s="79">
        <f>IF('Ordenes_Odoo'!J2038="","",'Ordenes_Odoo'!J2038)</f>
        <v/>
      </c>
      <c r="K2038" s="81">
        <f>IF('Ordenes_Odoo'!K2038="","",'Ordenes_Odoo'!K2038)</f>
        <v/>
      </c>
      <c r="L2038" s="81">
        <f>IF('Ordenes_Odoo'!L2038="","",'Ordenes_Odoo'!L2038)</f>
        <v/>
      </c>
      <c r="M2038" s="79">
        <f>IF('Ordenes_Odoo'!M2038="","",'Ordenes_Odoo'!M2038)</f>
        <v/>
      </c>
      <c r="N2038" s="79">
        <f>IF('Ordenes_Odoo'!N2038="","",'Ordenes_Odoo'!N2038)</f>
        <v/>
      </c>
      <c r="O2038" s="81">
        <f>IF('Ordenes_Odoo'!O2038="","",'Ordenes_Odoo'!O2038)</f>
        <v/>
      </c>
      <c r="P2038" s="81">
        <f>IF('Ordenes_Odoo'!P2038="","",'Ordenes_Odoo'!P2038)</f>
        <v/>
      </c>
      <c r="Q2038" s="79">
        <f>IF(A2038="","",IFERROR(INDEX(Facturas_Odoo!$B:$B, MATCH(A2038, Facturas_Odoo!$D:$D, 0)), "Sin Factura"))</f>
        <v/>
      </c>
      <c r="R2038" s="80">
        <f>IF(Q2038="Sin Factura","",IFERROR(INDEX(Facturas_Odoo!$A:$A, MATCH(Q2038, Facturas_Odoo!$B:$B, 0)), ""))</f>
        <v/>
      </c>
      <c r="S2038" s="79">
        <f>IF(Q2038="Sin Factura","",IFERROR(_xlfn.XLOOKUP(1, (Facturas_Odoo!$D:$D=A2038) * (Facturas_Odoo!$K:$K=I2038), Facturas_Odoo!$L:$L, ""), ""))</f>
        <v/>
      </c>
      <c r="T2038" s="81">
        <f>IF(Q2038="Sin Factura",0,IFERROR(_xlfn.XLOOKUP(1, (Facturas_Odoo!$D:$D=A2038) * (Facturas_Odoo!$K:$K=I2038), Facturas_Odoo!$M:$M, 0), 0))</f>
        <v/>
      </c>
      <c r="U2038" s="79">
        <f>IF(Q2038="Sin Factura",0,IFERROR(_xlfn.XLOOKUP(1, (Facturas_Odoo!$D:$D=A2038) * (Facturas_Odoo!$K:$K=I2038), Facturas_Odoo!$N:$N, 0), 0))</f>
        <v/>
      </c>
      <c r="V2038" s="79">
        <f>IF(Q2038="Sin Factura",0,IFERROR(_xlfn.XLOOKUP(1, (Facturas_Odoo!$D:$D=A2038) * (Facturas_Odoo!$K:$K=I2038), Facturas_Odoo!$O:$O, 0), 0))</f>
        <v/>
      </c>
      <c r="W2038" s="81">
        <f>IF(Q2038="Sin Factura",0,IFERROR(_xlfn.XLOOKUP(1, (Facturas_Odoo!$D:$D=A2038) * (Facturas_Odoo!$K:$K=I2038), Facturas_Odoo!$Q:$Q, 0), 0))</f>
        <v/>
      </c>
      <c r="X2038" s="79">
        <f>IF(OR(Q2038="Sin Factura",Q2038=""),"",IFERROR(INDEX(Pagos_Odoo!$B:$B, MATCH(Q2038, Pagos_Odoo!$I:$I, 0)), "Sin Pago"))</f>
        <v/>
      </c>
      <c r="Y2038" s="79">
        <f>IF(X2038="Sin Pago","",IFERROR(INDEX(Pagos_Odoo!$C:$C, MATCH(X2038, Pagos_Odoo!$B:$B, 0)), ""))</f>
        <v/>
      </c>
      <c r="Z2038" s="80">
        <f>IF(X2038="Sin Pago","",IFERROR(INDEX(Pagos_Odoo!$A:$A, MATCH(X2038, Pagos_Odoo!$B:$B, 0)), ""))</f>
        <v/>
      </c>
      <c r="AA2038" s="79">
        <f>IF(X2038="Sin Pago","",IFERROR(INDEX(Pagos_Odoo!$F:$F, MATCH(X2038, Pagos_Odoo!$B:$B, 0)), ""))</f>
        <v/>
      </c>
      <c r="AB2038" s="81">
        <f>IF(X2038="Sin Pago",0,IFERROR(INDEX(Pagos_Odoo!$E:$E, MATCH(X2038, Pagos_Odoo!$B:$B, 0)), 0))</f>
        <v/>
      </c>
      <c r="AC2038" s="79">
        <f>IF(X2038="Sin Pago","",IFERROR(INDEX(Pagos_Odoo!$G:$G, MATCH(X2038, Pagos_Odoo!$B:$B, 0)), ""))</f>
        <v/>
      </c>
      <c r="AD2038" s="82" t="n">
        <v>0</v>
      </c>
      <c r="AE2038" s="82" t="n"/>
      <c r="AF2038" s="82" t="n"/>
      <c r="AG2038" s="82">
        <f>IF(AN2038="","",AD2038+AE2038+AF2038)</f>
        <v/>
      </c>
      <c r="AH2038" s="81">
        <f>IF(AN2038="","",P2038*(1-AG2038))</f>
        <v/>
      </c>
      <c r="AI2038" s="81">
        <f>IF(AN2038="","",IF(Q2038="Sin Factura",0,IFERROR(INDEX(Facturas_Odoo!$H:$H, MATCH(Q2038, Facturas_Odoo!$B:$B, 0)), 0)*(1-AG2038)))</f>
        <v/>
      </c>
      <c r="AJ2038" s="81">
        <f>IF(AN2038="","",_xlfn.LET(idVenta, AN2038&amp;"",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38" s="81">
        <f>IF(AN2038="","",AH2038-AJ2038)</f>
        <v/>
      </c>
      <c r="AL2038" s="81">
        <f>IF(AN2038="","",IF(Q2038="Sin Factura","",AI2038-AJ2038))</f>
        <v/>
      </c>
      <c r="AM2038" s="81">
        <f>IF(AN2038="","",IF(Q2038="Sin Factura",0,P2038-IFERROR(INDEX(Facturas_Odoo!$H:$H, MATCH(Q2038, Facturas_Odoo!$B:$B, 0)), 0)))</f>
        <v/>
      </c>
      <c r="AN2038" s="79">
        <f>IF(AND(A2038="", J2038=""), "", IF(A2038&lt;&gt;"", VALUE(MID(A2038,2,LEN(A2038))), AN2037))</f>
        <v/>
      </c>
      <c r="AO2038" s="79">
        <f>IF(AN2038="","",IF(AD2038=0,"OK",_xlfn.LET(monedaPago, IF(AA2038="","USD",AA2038), limitePermitido, IFERROR(VLOOKUP(monedaPago, Configuración!$A$2:$B$3, 2, FALSE), 0.15), IF(AD2038&gt;limitePermitido, "ALERTA: EXCESO (" &amp; TEXT(limitePermitido, "0%") &amp; " máx)", "OK"))))</f>
        <v/>
      </c>
      <c r="AP2038" s="79">
        <f>IF(AN2038="","",IF(AE2038=0,"OK",_xlfn.LET(fechaPago, Z2038, fechaFactura, R2038, diasCredito, IF(E2038="Pago inmediato", 0, IFERROR(VALUE(MID(E2038, 1, SEARCH(" ", E2038)-1)),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38" s="79">
        <f>IF(AN2038="","",IF(AND(N2038&gt;0, AG2038&gt;0), IF(Configuración!$K$2="NO", "ALERTA: DESCUENTO DOBLE NO PERMITIDO", "OK"), "OK"))</f>
        <v/>
      </c>
      <c r="AR2038" s="79">
        <f>IF(AN2038="","",IF(OR(AO2038&lt;&gt;"OK", AP2038&lt;&gt;"OK", AQ2038&lt;&gt;"OK"), "⚠️ REVISAR", "OK"))</f>
        <v/>
      </c>
    </row>
    <row r="2039">
      <c r="A2039" s="79">
        <f>IF('Ordenes_Odoo'!A2039="","",'Ordenes_Odoo'!A2039)</f>
        <v/>
      </c>
      <c r="B2039" s="80">
        <f>IF('Ordenes_Odoo'!B2039="","",'Ordenes_Odoo'!B2039)</f>
        <v/>
      </c>
      <c r="C2039" s="79">
        <f>IF('Ordenes_Odoo'!C2039="","",'Ordenes_Odoo'!C2039)</f>
        <v/>
      </c>
      <c r="D2039" s="79">
        <f>IF('Ordenes_Odoo'!D2039="","",'Ordenes_Odoo'!D2039)</f>
        <v/>
      </c>
      <c r="E2039" s="79">
        <f>IF('Ordenes_Odoo'!E2039="","",'Ordenes_Odoo'!E2039)</f>
        <v/>
      </c>
      <c r="F2039" s="79">
        <f>IF('Ordenes_Odoo'!F2039="","",'Ordenes_Odoo'!F2039)</f>
        <v/>
      </c>
      <c r="G2039" s="79">
        <f>IF('Ordenes_Odoo'!G2039="","",'Ordenes_Odoo'!G2039)</f>
        <v/>
      </c>
      <c r="H2039" s="79">
        <f>IF('Ordenes_Odoo'!H2039="","",'Ordenes_Odoo'!H2039)</f>
        <v/>
      </c>
      <c r="I2039" s="79">
        <f>IF('Ordenes_Odoo'!I2039="","",'Ordenes_Odoo'!I2039)</f>
        <v/>
      </c>
      <c r="J2039" s="79">
        <f>IF('Ordenes_Odoo'!J2039="","",'Ordenes_Odoo'!J2039)</f>
        <v/>
      </c>
      <c r="K2039" s="81">
        <f>IF('Ordenes_Odoo'!K2039="","",'Ordenes_Odoo'!K2039)</f>
        <v/>
      </c>
      <c r="L2039" s="81">
        <f>IF('Ordenes_Odoo'!L2039="","",'Ordenes_Odoo'!L2039)</f>
        <v/>
      </c>
      <c r="M2039" s="79">
        <f>IF('Ordenes_Odoo'!M2039="","",'Ordenes_Odoo'!M2039)</f>
        <v/>
      </c>
      <c r="N2039" s="79">
        <f>IF('Ordenes_Odoo'!N2039="","",'Ordenes_Odoo'!N2039)</f>
        <v/>
      </c>
      <c r="O2039" s="81">
        <f>IF('Ordenes_Odoo'!O2039="","",'Ordenes_Odoo'!O2039)</f>
        <v/>
      </c>
      <c r="P2039" s="81">
        <f>IF('Ordenes_Odoo'!P2039="","",'Ordenes_Odoo'!P2039)</f>
        <v/>
      </c>
      <c r="Q2039" s="79">
        <f>IF(A2039="","",IFERROR(INDEX(Facturas_Odoo!$B:$B, MATCH(A2039, Facturas_Odoo!$D:$D, 0)), "Sin Factura"))</f>
        <v/>
      </c>
      <c r="R2039" s="80">
        <f>IF(Q2039="Sin Factura","",IFERROR(INDEX(Facturas_Odoo!$A:$A, MATCH(Q2039, Facturas_Odoo!$B:$B, 0)), ""))</f>
        <v/>
      </c>
      <c r="S2039" s="79">
        <f>IF(Q2039="Sin Factura","",IFERROR(_xlfn.XLOOKUP(1, (Facturas_Odoo!$D:$D=A2039) * (Facturas_Odoo!$K:$K=I2039), Facturas_Odoo!$L:$L, ""), ""))</f>
        <v/>
      </c>
      <c r="T2039" s="81">
        <f>IF(Q2039="Sin Factura",0,IFERROR(_xlfn.XLOOKUP(1, (Facturas_Odoo!$D:$D=A2039) * (Facturas_Odoo!$K:$K=I2039), Facturas_Odoo!$M:$M, 0), 0))</f>
        <v/>
      </c>
      <c r="U2039" s="79">
        <f>IF(Q2039="Sin Factura",0,IFERROR(_xlfn.XLOOKUP(1, (Facturas_Odoo!$D:$D=A2039) * (Facturas_Odoo!$K:$K=I2039), Facturas_Odoo!$N:$N, 0), 0))</f>
        <v/>
      </c>
      <c r="V2039" s="79">
        <f>IF(Q2039="Sin Factura",0,IFERROR(_xlfn.XLOOKUP(1, (Facturas_Odoo!$D:$D=A2039) * (Facturas_Odoo!$K:$K=I2039), Facturas_Odoo!$O:$O, 0), 0))</f>
        <v/>
      </c>
      <c r="W2039" s="81">
        <f>IF(Q2039="Sin Factura",0,IFERROR(_xlfn.XLOOKUP(1, (Facturas_Odoo!$D:$D=A2039) * (Facturas_Odoo!$K:$K=I2039), Facturas_Odoo!$Q:$Q, 0), 0))</f>
        <v/>
      </c>
      <c r="X2039" s="79">
        <f>IF(OR(Q2039="Sin Factura",Q2039=""),"",IFERROR(INDEX(Pagos_Odoo!$B:$B, MATCH(Q2039, Pagos_Odoo!$I:$I, 0)), "Sin Pago"))</f>
        <v/>
      </c>
      <c r="Y2039" s="79">
        <f>IF(X2039="Sin Pago","",IFERROR(INDEX(Pagos_Odoo!$C:$C, MATCH(X2039, Pagos_Odoo!$B:$B, 0)), ""))</f>
        <v/>
      </c>
      <c r="Z2039" s="80">
        <f>IF(X2039="Sin Pago","",IFERROR(INDEX(Pagos_Odoo!$A:$A, MATCH(X2039, Pagos_Odoo!$B:$B, 0)), ""))</f>
        <v/>
      </c>
      <c r="AA2039" s="79">
        <f>IF(X2039="Sin Pago","",IFERROR(INDEX(Pagos_Odoo!$F:$F, MATCH(X2039, Pagos_Odoo!$B:$B, 0)), ""))</f>
        <v/>
      </c>
      <c r="AB2039" s="81">
        <f>IF(X2039="Sin Pago",0,IFERROR(INDEX(Pagos_Odoo!$E:$E, MATCH(X2039, Pagos_Odoo!$B:$B, 0)), 0))</f>
        <v/>
      </c>
      <c r="AC2039" s="79">
        <f>IF(X2039="Sin Pago","",IFERROR(INDEX(Pagos_Odoo!$G:$G, MATCH(X2039, Pagos_Odoo!$B:$B, 0)), ""))</f>
        <v/>
      </c>
      <c r="AD2039" s="82" t="n">
        <v>0</v>
      </c>
      <c r="AE2039" s="82" t="n"/>
      <c r="AF2039" s="82" t="n"/>
      <c r="AG2039" s="82">
        <f>IF(AN2039="","",AD2039+AE2039+AF2039)</f>
        <v/>
      </c>
      <c r="AH2039" s="81">
        <f>IF(AN2039="","",P2039*(1-AG2039))</f>
        <v/>
      </c>
      <c r="AI2039" s="81">
        <f>IF(AN2039="","",IF(Q2039="Sin Factura",0,IFERROR(INDEX(Facturas_Odoo!$H:$H, MATCH(Q2039, Facturas_Odoo!$B:$B, 0)), 0)*(1-AG2039)))</f>
        <v/>
      </c>
      <c r="AJ2039" s="81">
        <f>IF(AN2039="","",_xlfn.LET(idVenta, AN2039&amp;"",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39" s="81">
        <f>IF(AN2039="","",AH2039-AJ2039)</f>
        <v/>
      </c>
      <c r="AL2039" s="81">
        <f>IF(AN2039="","",IF(Q2039="Sin Factura","",AI2039-AJ2039))</f>
        <v/>
      </c>
      <c r="AM2039" s="81">
        <f>IF(AN2039="","",IF(Q2039="Sin Factura",0,P2039-IFERROR(INDEX(Facturas_Odoo!$H:$H, MATCH(Q2039, Facturas_Odoo!$B:$B, 0)), 0)))</f>
        <v/>
      </c>
      <c r="AN2039" s="79">
        <f>IF(AND(A2039="", J2039=""), "", IF(A2039&lt;&gt;"", VALUE(MID(A2039,2,LEN(A2039))), AN2038))</f>
        <v/>
      </c>
      <c r="AO2039" s="79">
        <f>IF(AN2039="","",IF(AD2039=0,"OK",_xlfn.LET(monedaPago, IF(AA2039="","USD",AA2039), limitePermitido, IFERROR(VLOOKUP(monedaPago, Configuración!$A$2:$B$3, 2, FALSE), 0.15), IF(AD2039&gt;limitePermitido, "ALERTA: EXCESO (" &amp; TEXT(limitePermitido, "0%") &amp; " máx)", "OK"))))</f>
        <v/>
      </c>
      <c r="AP2039" s="79">
        <f>IF(AN2039="","",IF(AE2039=0,"OK",_xlfn.LET(fechaPago, Z2039, fechaFactura, R2039, diasCredito, IF(E2039="Pago inmediato", 0, IFERROR(VALUE(MID(E2039, 1, SEARCH(" ", E2039)-1)),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39" s="79">
        <f>IF(AN2039="","",IF(AND(N2039&gt;0, AG2039&gt;0), IF(Configuración!$K$2="NO", "ALERTA: DESCUENTO DOBLE NO PERMITIDO", "OK"), "OK"))</f>
        <v/>
      </c>
      <c r="AR2039" s="79">
        <f>IF(AN2039="","",IF(OR(AO2039&lt;&gt;"OK", AP2039&lt;&gt;"OK", AQ2039&lt;&gt;"OK"), "⚠️ REVISAR", "OK"))</f>
        <v/>
      </c>
    </row>
    <row r="2040">
      <c r="A2040" s="79">
        <f>IF('Ordenes_Odoo'!A2040="","",'Ordenes_Odoo'!A2040)</f>
        <v/>
      </c>
      <c r="B2040" s="80">
        <f>IF('Ordenes_Odoo'!B2040="","",'Ordenes_Odoo'!B2040)</f>
        <v/>
      </c>
      <c r="C2040" s="79">
        <f>IF('Ordenes_Odoo'!C2040="","",'Ordenes_Odoo'!C2040)</f>
        <v/>
      </c>
      <c r="D2040" s="79">
        <f>IF('Ordenes_Odoo'!D2040="","",'Ordenes_Odoo'!D2040)</f>
        <v/>
      </c>
      <c r="E2040" s="79">
        <f>IF('Ordenes_Odoo'!E2040="","",'Ordenes_Odoo'!E2040)</f>
        <v/>
      </c>
      <c r="F2040" s="79">
        <f>IF('Ordenes_Odoo'!F2040="","",'Ordenes_Odoo'!F2040)</f>
        <v/>
      </c>
      <c r="G2040" s="79">
        <f>IF('Ordenes_Odoo'!G2040="","",'Ordenes_Odoo'!G2040)</f>
        <v/>
      </c>
      <c r="H2040" s="79">
        <f>IF('Ordenes_Odoo'!H2040="","",'Ordenes_Odoo'!H2040)</f>
        <v/>
      </c>
      <c r="I2040" s="79">
        <f>IF('Ordenes_Odoo'!I2040="","",'Ordenes_Odoo'!I2040)</f>
        <v/>
      </c>
      <c r="J2040" s="79">
        <f>IF('Ordenes_Odoo'!J2040="","",'Ordenes_Odoo'!J2040)</f>
        <v/>
      </c>
      <c r="K2040" s="81">
        <f>IF('Ordenes_Odoo'!K2040="","",'Ordenes_Odoo'!K2040)</f>
        <v/>
      </c>
      <c r="L2040" s="81">
        <f>IF('Ordenes_Odoo'!L2040="","",'Ordenes_Odoo'!L2040)</f>
        <v/>
      </c>
      <c r="M2040" s="79">
        <f>IF('Ordenes_Odoo'!M2040="","",'Ordenes_Odoo'!M2040)</f>
        <v/>
      </c>
      <c r="N2040" s="79">
        <f>IF('Ordenes_Odoo'!N2040="","",'Ordenes_Odoo'!N2040)</f>
        <v/>
      </c>
      <c r="O2040" s="81">
        <f>IF('Ordenes_Odoo'!O2040="","",'Ordenes_Odoo'!O2040)</f>
        <v/>
      </c>
      <c r="P2040" s="81">
        <f>IF('Ordenes_Odoo'!P2040="","",'Ordenes_Odoo'!P2040)</f>
        <v/>
      </c>
      <c r="Q2040" s="79">
        <f>IF(A2040="","",IFERROR(INDEX(Facturas_Odoo!$B:$B, MATCH(A2040, Facturas_Odoo!$D:$D, 0)), "Sin Factura"))</f>
        <v/>
      </c>
      <c r="R2040" s="80">
        <f>IF(Q2040="Sin Factura","",IFERROR(INDEX(Facturas_Odoo!$A:$A, MATCH(Q2040, Facturas_Odoo!$B:$B, 0)), ""))</f>
        <v/>
      </c>
      <c r="S2040" s="79">
        <f>IF(Q2040="Sin Factura","",IFERROR(_xlfn.XLOOKUP(1, (Facturas_Odoo!$D:$D=A2040) * (Facturas_Odoo!$K:$K=I2040), Facturas_Odoo!$L:$L, ""), ""))</f>
        <v/>
      </c>
      <c r="T2040" s="81">
        <f>IF(Q2040="Sin Factura",0,IFERROR(_xlfn.XLOOKUP(1, (Facturas_Odoo!$D:$D=A2040) * (Facturas_Odoo!$K:$K=I2040), Facturas_Odoo!$M:$M, 0), 0))</f>
        <v/>
      </c>
      <c r="U2040" s="79">
        <f>IF(Q2040="Sin Factura",0,IFERROR(_xlfn.XLOOKUP(1, (Facturas_Odoo!$D:$D=A2040) * (Facturas_Odoo!$K:$K=I2040), Facturas_Odoo!$N:$N, 0), 0))</f>
        <v/>
      </c>
      <c r="V2040" s="79">
        <f>IF(Q2040="Sin Factura",0,IFERROR(_xlfn.XLOOKUP(1, (Facturas_Odoo!$D:$D=A2040) * (Facturas_Odoo!$K:$K=I2040), Facturas_Odoo!$O:$O, 0), 0))</f>
        <v/>
      </c>
      <c r="W2040" s="81">
        <f>IF(Q2040="Sin Factura",0,IFERROR(_xlfn.XLOOKUP(1, (Facturas_Odoo!$D:$D=A2040) * (Facturas_Odoo!$K:$K=I2040), Facturas_Odoo!$Q:$Q, 0), 0))</f>
        <v/>
      </c>
      <c r="X2040" s="79">
        <f>IF(OR(Q2040="Sin Factura",Q2040=""),"",IFERROR(INDEX(Pagos_Odoo!$B:$B, MATCH(Q2040, Pagos_Odoo!$I:$I, 0)), "Sin Pago"))</f>
        <v/>
      </c>
      <c r="Y2040" s="79">
        <f>IF(X2040="Sin Pago","",IFERROR(INDEX(Pagos_Odoo!$C:$C, MATCH(X2040, Pagos_Odoo!$B:$B, 0)), ""))</f>
        <v/>
      </c>
      <c r="Z2040" s="80">
        <f>IF(X2040="Sin Pago","",IFERROR(INDEX(Pagos_Odoo!$A:$A, MATCH(X2040, Pagos_Odoo!$B:$B, 0)), ""))</f>
        <v/>
      </c>
      <c r="AA2040" s="79">
        <f>IF(X2040="Sin Pago","",IFERROR(INDEX(Pagos_Odoo!$F:$F, MATCH(X2040, Pagos_Odoo!$B:$B, 0)), ""))</f>
        <v/>
      </c>
      <c r="AB2040" s="81">
        <f>IF(X2040="Sin Pago",0,IFERROR(INDEX(Pagos_Odoo!$E:$E, MATCH(X2040, Pagos_Odoo!$B:$B, 0)), 0))</f>
        <v/>
      </c>
      <c r="AC2040" s="79">
        <f>IF(X2040="Sin Pago","",IFERROR(INDEX(Pagos_Odoo!$G:$G, MATCH(X2040, Pagos_Odoo!$B:$B, 0)), ""))</f>
        <v/>
      </c>
      <c r="AD2040" s="82" t="n">
        <v>0</v>
      </c>
      <c r="AE2040" s="82" t="n"/>
      <c r="AF2040" s="82" t="n"/>
      <c r="AG2040" s="82">
        <f>IF(AN2040="","",AD2040+AE2040+AF2040)</f>
        <v/>
      </c>
      <c r="AH2040" s="81">
        <f>IF(AN2040="","",P2040*(1-AG2040))</f>
        <v/>
      </c>
      <c r="AI2040" s="81">
        <f>IF(AN2040="","",IF(Q2040="Sin Factura",0,IFERROR(INDEX(Facturas_Odoo!$H:$H, MATCH(Q2040, Facturas_Odoo!$B:$B, 0)), 0)*(1-AG2040)))</f>
        <v/>
      </c>
      <c r="AJ2040" s="81">
        <f>IF(AN2040="","",_xlfn.LET(idVenta, AN2040&amp;"",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40" s="81">
        <f>IF(AN2040="","",AH2040-AJ2040)</f>
        <v/>
      </c>
      <c r="AL2040" s="81">
        <f>IF(AN2040="","",IF(Q2040="Sin Factura","",AI2040-AJ2040))</f>
        <v/>
      </c>
      <c r="AM2040" s="81">
        <f>IF(AN2040="","",IF(Q2040="Sin Factura",0,P2040-IFERROR(INDEX(Facturas_Odoo!$H:$H, MATCH(Q2040, Facturas_Odoo!$B:$B, 0)), 0)))</f>
        <v/>
      </c>
      <c r="AN2040" s="79">
        <f>IF(AND(A2040="", J2040=""), "", IF(A2040&lt;&gt;"", VALUE(MID(A2040,2,LEN(A2040))), AN2039))</f>
        <v/>
      </c>
      <c r="AO2040" s="79">
        <f>IF(AN2040="","",IF(AD2040=0,"OK",_xlfn.LET(monedaPago, IF(AA2040="","USD",AA2040), limitePermitido, IFERROR(VLOOKUP(monedaPago, Configuración!$A$2:$B$3, 2, FALSE), 0.15), IF(AD2040&gt;limitePermitido, "ALERTA: EXCESO (" &amp; TEXT(limitePermitido, "0%") &amp; " máx)", "OK"))))</f>
        <v/>
      </c>
      <c r="AP2040" s="79">
        <f>IF(AN2040="","",IF(AE2040=0,"OK",_xlfn.LET(fechaPago, Z2040, fechaFactura, R2040, diasCredito, IF(E2040="Pago inmediato", 0, IFERROR(VALUE(MID(E2040, 1, SEARCH(" ", E2040)-1)),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40" s="79">
        <f>IF(AN2040="","",IF(AND(N2040&gt;0, AG2040&gt;0), IF(Configuración!$K$2="NO", "ALERTA: DESCUENTO DOBLE NO PERMITIDO", "OK"), "OK"))</f>
        <v/>
      </c>
      <c r="AR2040" s="79">
        <f>IF(AN2040="","",IF(OR(AO2040&lt;&gt;"OK", AP2040&lt;&gt;"OK", AQ2040&lt;&gt;"OK"), "⚠️ REVISAR", "OK"))</f>
        <v/>
      </c>
    </row>
    <row r="2041">
      <c r="A2041" s="79">
        <f>IF('Ordenes_Odoo'!A2041="","",'Ordenes_Odoo'!A2041)</f>
        <v/>
      </c>
      <c r="B2041" s="80">
        <f>IF('Ordenes_Odoo'!B2041="","",'Ordenes_Odoo'!B2041)</f>
        <v/>
      </c>
      <c r="C2041" s="79">
        <f>IF('Ordenes_Odoo'!C2041="","",'Ordenes_Odoo'!C2041)</f>
        <v/>
      </c>
      <c r="D2041" s="79">
        <f>IF('Ordenes_Odoo'!D2041="","",'Ordenes_Odoo'!D2041)</f>
        <v/>
      </c>
      <c r="E2041" s="79">
        <f>IF('Ordenes_Odoo'!E2041="","",'Ordenes_Odoo'!E2041)</f>
        <v/>
      </c>
      <c r="F2041" s="79">
        <f>IF('Ordenes_Odoo'!F2041="","",'Ordenes_Odoo'!F2041)</f>
        <v/>
      </c>
      <c r="G2041" s="79">
        <f>IF('Ordenes_Odoo'!G2041="","",'Ordenes_Odoo'!G2041)</f>
        <v/>
      </c>
      <c r="H2041" s="79">
        <f>IF('Ordenes_Odoo'!H2041="","",'Ordenes_Odoo'!H2041)</f>
        <v/>
      </c>
      <c r="I2041" s="79">
        <f>IF('Ordenes_Odoo'!I2041="","",'Ordenes_Odoo'!I2041)</f>
        <v/>
      </c>
      <c r="J2041" s="79">
        <f>IF('Ordenes_Odoo'!J2041="","",'Ordenes_Odoo'!J2041)</f>
        <v/>
      </c>
      <c r="K2041" s="81">
        <f>IF('Ordenes_Odoo'!K2041="","",'Ordenes_Odoo'!K2041)</f>
        <v/>
      </c>
      <c r="L2041" s="81">
        <f>IF('Ordenes_Odoo'!L2041="","",'Ordenes_Odoo'!L2041)</f>
        <v/>
      </c>
      <c r="M2041" s="79">
        <f>IF('Ordenes_Odoo'!M2041="","",'Ordenes_Odoo'!M2041)</f>
        <v/>
      </c>
      <c r="N2041" s="79">
        <f>IF('Ordenes_Odoo'!N2041="","",'Ordenes_Odoo'!N2041)</f>
        <v/>
      </c>
      <c r="O2041" s="81">
        <f>IF('Ordenes_Odoo'!O2041="","",'Ordenes_Odoo'!O2041)</f>
        <v/>
      </c>
      <c r="P2041" s="81">
        <f>IF('Ordenes_Odoo'!P2041="","",'Ordenes_Odoo'!P2041)</f>
        <v/>
      </c>
      <c r="Q2041" s="79">
        <f>IF(A2041="","",IFERROR(INDEX(Facturas_Odoo!$B:$B, MATCH(A2041, Facturas_Odoo!$D:$D, 0)), "Sin Factura"))</f>
        <v/>
      </c>
      <c r="R2041" s="80">
        <f>IF(Q2041="Sin Factura","",IFERROR(INDEX(Facturas_Odoo!$A:$A, MATCH(Q2041, Facturas_Odoo!$B:$B, 0)), ""))</f>
        <v/>
      </c>
      <c r="S2041" s="79">
        <f>IF(Q2041="Sin Factura","",IFERROR(_xlfn.XLOOKUP(1, (Facturas_Odoo!$D:$D=A2041) * (Facturas_Odoo!$K:$K=I2041), Facturas_Odoo!$L:$L, ""), ""))</f>
        <v/>
      </c>
      <c r="T2041" s="81">
        <f>IF(Q2041="Sin Factura",0,IFERROR(_xlfn.XLOOKUP(1, (Facturas_Odoo!$D:$D=A2041) * (Facturas_Odoo!$K:$K=I2041), Facturas_Odoo!$M:$M, 0), 0))</f>
        <v/>
      </c>
      <c r="U2041" s="79">
        <f>IF(Q2041="Sin Factura",0,IFERROR(_xlfn.XLOOKUP(1, (Facturas_Odoo!$D:$D=A2041) * (Facturas_Odoo!$K:$K=I2041), Facturas_Odoo!$N:$N, 0), 0))</f>
        <v/>
      </c>
      <c r="V2041" s="79">
        <f>IF(Q2041="Sin Factura",0,IFERROR(_xlfn.XLOOKUP(1, (Facturas_Odoo!$D:$D=A2041) * (Facturas_Odoo!$K:$K=I2041), Facturas_Odoo!$O:$O, 0), 0))</f>
        <v/>
      </c>
      <c r="W2041" s="81">
        <f>IF(Q2041="Sin Factura",0,IFERROR(_xlfn.XLOOKUP(1, (Facturas_Odoo!$D:$D=A2041) * (Facturas_Odoo!$K:$K=I2041), Facturas_Odoo!$Q:$Q, 0), 0))</f>
        <v/>
      </c>
      <c r="X2041" s="79">
        <f>IF(OR(Q2041="Sin Factura",Q2041=""),"",IFERROR(INDEX(Pagos_Odoo!$B:$B, MATCH(Q2041, Pagos_Odoo!$I:$I, 0)), "Sin Pago"))</f>
        <v/>
      </c>
      <c r="Y2041" s="79">
        <f>IF(X2041="Sin Pago","",IFERROR(INDEX(Pagos_Odoo!$C:$C, MATCH(X2041, Pagos_Odoo!$B:$B, 0)), ""))</f>
        <v/>
      </c>
      <c r="Z2041" s="80">
        <f>IF(X2041="Sin Pago","",IFERROR(INDEX(Pagos_Odoo!$A:$A, MATCH(X2041, Pagos_Odoo!$B:$B, 0)), ""))</f>
        <v/>
      </c>
      <c r="AA2041" s="79">
        <f>IF(X2041="Sin Pago","",IFERROR(INDEX(Pagos_Odoo!$F:$F, MATCH(X2041, Pagos_Odoo!$B:$B, 0)), ""))</f>
        <v/>
      </c>
      <c r="AB2041" s="81">
        <f>IF(X2041="Sin Pago",0,IFERROR(INDEX(Pagos_Odoo!$E:$E, MATCH(X2041, Pagos_Odoo!$B:$B, 0)), 0))</f>
        <v/>
      </c>
      <c r="AC2041" s="79">
        <f>IF(X2041="Sin Pago","",IFERROR(INDEX(Pagos_Odoo!$G:$G, MATCH(X2041, Pagos_Odoo!$B:$B, 0)), ""))</f>
        <v/>
      </c>
      <c r="AD2041" s="82" t="n">
        <v>0</v>
      </c>
      <c r="AE2041" s="82" t="n"/>
      <c r="AF2041" s="82" t="n"/>
      <c r="AG2041" s="82">
        <f>IF(AN2041="","",AD2041+AE2041+AF2041)</f>
        <v/>
      </c>
      <c r="AH2041" s="81">
        <f>IF(AN2041="","",P2041*(1-AG2041))</f>
        <v/>
      </c>
      <c r="AI2041" s="81">
        <f>IF(AN2041="","",IF(Q2041="Sin Factura",0,IFERROR(INDEX(Facturas_Odoo!$H:$H, MATCH(Q2041, Facturas_Odoo!$B:$B, 0)), 0)*(1-AG2041)))</f>
        <v/>
      </c>
      <c r="AJ2041" s="81">
        <f>IF(AN2041="","",_xlfn.LET(idVenta, AN2041&amp;"",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41" s="81">
        <f>IF(AN2041="","",AH2041-AJ2041)</f>
        <v/>
      </c>
      <c r="AL2041" s="81">
        <f>IF(AN2041="","",IF(Q2041="Sin Factura","",AI2041-AJ2041))</f>
        <v/>
      </c>
      <c r="AM2041" s="81">
        <f>IF(AN2041="","",IF(Q2041="Sin Factura",0,P2041-IFERROR(INDEX(Facturas_Odoo!$H:$H, MATCH(Q2041, Facturas_Odoo!$B:$B, 0)), 0)))</f>
        <v/>
      </c>
      <c r="AN2041" s="79">
        <f>IF(AND(A2041="", J2041=""), "", IF(A2041&lt;&gt;"", VALUE(MID(A2041,2,LEN(A2041))), AN2040))</f>
        <v/>
      </c>
      <c r="AO2041" s="79">
        <f>IF(AN2041="","",IF(AD2041=0,"OK",_xlfn.LET(monedaPago, IF(AA2041="","USD",AA2041), limitePermitido, IFERROR(VLOOKUP(monedaPago, Configuración!$A$2:$B$3, 2, FALSE), 0.15), IF(AD2041&gt;limitePermitido, "ALERTA: EXCESO (" &amp; TEXT(limitePermitido, "0%") &amp; " máx)", "OK"))))</f>
        <v/>
      </c>
      <c r="AP2041" s="79">
        <f>IF(AN2041="","",IF(AE2041=0,"OK",_xlfn.LET(fechaPago, Z2041, fechaFactura, R2041, diasCredito, IF(E2041="Pago inmediato", 0, IFERROR(VALUE(MID(E2041, 1, SEARCH(" ", E2041)-1)),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41" s="79">
        <f>IF(AN2041="","",IF(AND(N2041&gt;0, AG2041&gt;0), IF(Configuración!$K$2="NO", "ALERTA: DESCUENTO DOBLE NO PERMITIDO", "OK"), "OK"))</f>
        <v/>
      </c>
      <c r="AR2041" s="79">
        <f>IF(AN2041="","",IF(OR(AO2041&lt;&gt;"OK", AP2041&lt;&gt;"OK", AQ2041&lt;&gt;"OK"), "⚠️ REVISAR", "OK"))</f>
        <v/>
      </c>
    </row>
    <row r="2042">
      <c r="A2042" s="79">
        <f>IF('Ordenes_Odoo'!A2042="","",'Ordenes_Odoo'!A2042)</f>
        <v/>
      </c>
      <c r="B2042" s="80">
        <f>IF('Ordenes_Odoo'!B2042="","",'Ordenes_Odoo'!B2042)</f>
        <v/>
      </c>
      <c r="C2042" s="79">
        <f>IF('Ordenes_Odoo'!C2042="","",'Ordenes_Odoo'!C2042)</f>
        <v/>
      </c>
      <c r="D2042" s="79">
        <f>IF('Ordenes_Odoo'!D2042="","",'Ordenes_Odoo'!D2042)</f>
        <v/>
      </c>
      <c r="E2042" s="79">
        <f>IF('Ordenes_Odoo'!E2042="","",'Ordenes_Odoo'!E2042)</f>
        <v/>
      </c>
      <c r="F2042" s="79">
        <f>IF('Ordenes_Odoo'!F2042="","",'Ordenes_Odoo'!F2042)</f>
        <v/>
      </c>
      <c r="G2042" s="79">
        <f>IF('Ordenes_Odoo'!G2042="","",'Ordenes_Odoo'!G2042)</f>
        <v/>
      </c>
      <c r="H2042" s="79">
        <f>IF('Ordenes_Odoo'!H2042="","",'Ordenes_Odoo'!H2042)</f>
        <v/>
      </c>
      <c r="I2042" s="79">
        <f>IF('Ordenes_Odoo'!I2042="","",'Ordenes_Odoo'!I2042)</f>
        <v/>
      </c>
      <c r="J2042" s="79">
        <f>IF('Ordenes_Odoo'!J2042="","",'Ordenes_Odoo'!J2042)</f>
        <v/>
      </c>
      <c r="K2042" s="81">
        <f>IF('Ordenes_Odoo'!K2042="","",'Ordenes_Odoo'!K2042)</f>
        <v/>
      </c>
      <c r="L2042" s="81">
        <f>IF('Ordenes_Odoo'!L2042="","",'Ordenes_Odoo'!L2042)</f>
        <v/>
      </c>
      <c r="M2042" s="79">
        <f>IF('Ordenes_Odoo'!M2042="","",'Ordenes_Odoo'!M2042)</f>
        <v/>
      </c>
      <c r="N2042" s="79">
        <f>IF('Ordenes_Odoo'!N2042="","",'Ordenes_Odoo'!N2042)</f>
        <v/>
      </c>
      <c r="O2042" s="81">
        <f>IF('Ordenes_Odoo'!O2042="","",'Ordenes_Odoo'!O2042)</f>
        <v/>
      </c>
      <c r="P2042" s="81">
        <f>IF('Ordenes_Odoo'!P2042="","",'Ordenes_Odoo'!P2042)</f>
        <v/>
      </c>
      <c r="Q2042" s="79">
        <f>IF(A2042="","",IFERROR(INDEX(Facturas_Odoo!$B:$B, MATCH(A2042, Facturas_Odoo!$D:$D, 0)), "Sin Factura"))</f>
        <v/>
      </c>
      <c r="R2042" s="80">
        <f>IF(Q2042="Sin Factura","",IFERROR(INDEX(Facturas_Odoo!$A:$A, MATCH(Q2042, Facturas_Odoo!$B:$B, 0)), ""))</f>
        <v/>
      </c>
      <c r="S2042" s="79">
        <f>IF(Q2042="Sin Factura","",IFERROR(_xlfn.XLOOKUP(1, (Facturas_Odoo!$D:$D=A2042) * (Facturas_Odoo!$K:$K=I2042), Facturas_Odoo!$L:$L, ""), ""))</f>
        <v/>
      </c>
      <c r="T2042" s="81">
        <f>IF(Q2042="Sin Factura",0,IFERROR(_xlfn.XLOOKUP(1, (Facturas_Odoo!$D:$D=A2042) * (Facturas_Odoo!$K:$K=I2042), Facturas_Odoo!$M:$M, 0), 0))</f>
        <v/>
      </c>
      <c r="U2042" s="79">
        <f>IF(Q2042="Sin Factura",0,IFERROR(_xlfn.XLOOKUP(1, (Facturas_Odoo!$D:$D=A2042) * (Facturas_Odoo!$K:$K=I2042), Facturas_Odoo!$N:$N, 0), 0))</f>
        <v/>
      </c>
      <c r="V2042" s="79">
        <f>IF(Q2042="Sin Factura",0,IFERROR(_xlfn.XLOOKUP(1, (Facturas_Odoo!$D:$D=A2042) * (Facturas_Odoo!$K:$K=I2042), Facturas_Odoo!$O:$O, 0), 0))</f>
        <v/>
      </c>
      <c r="W2042" s="81">
        <f>IF(Q2042="Sin Factura",0,IFERROR(_xlfn.XLOOKUP(1, (Facturas_Odoo!$D:$D=A2042) * (Facturas_Odoo!$K:$K=I2042), Facturas_Odoo!$Q:$Q, 0), 0))</f>
        <v/>
      </c>
      <c r="X2042" s="79">
        <f>IF(OR(Q2042="Sin Factura",Q2042=""),"",IFERROR(INDEX(Pagos_Odoo!$B:$B, MATCH(Q2042, Pagos_Odoo!$I:$I, 0)), "Sin Pago"))</f>
        <v/>
      </c>
      <c r="Y2042" s="79">
        <f>IF(X2042="Sin Pago","",IFERROR(INDEX(Pagos_Odoo!$C:$C, MATCH(X2042, Pagos_Odoo!$B:$B, 0)), ""))</f>
        <v/>
      </c>
      <c r="Z2042" s="80">
        <f>IF(X2042="Sin Pago","",IFERROR(INDEX(Pagos_Odoo!$A:$A, MATCH(X2042, Pagos_Odoo!$B:$B, 0)), ""))</f>
        <v/>
      </c>
      <c r="AA2042" s="79">
        <f>IF(X2042="Sin Pago","",IFERROR(INDEX(Pagos_Odoo!$F:$F, MATCH(X2042, Pagos_Odoo!$B:$B, 0)), ""))</f>
        <v/>
      </c>
      <c r="AB2042" s="81">
        <f>IF(X2042="Sin Pago",0,IFERROR(INDEX(Pagos_Odoo!$E:$E, MATCH(X2042, Pagos_Odoo!$B:$B, 0)), 0))</f>
        <v/>
      </c>
      <c r="AC2042" s="79">
        <f>IF(X2042="Sin Pago","",IFERROR(INDEX(Pagos_Odoo!$G:$G, MATCH(X2042, Pagos_Odoo!$B:$B, 0)), ""))</f>
        <v/>
      </c>
      <c r="AD2042" s="82" t="n">
        <v>0</v>
      </c>
      <c r="AE2042" s="82" t="n"/>
      <c r="AF2042" s="82" t="n"/>
      <c r="AG2042" s="82">
        <f>IF(AN2042="","",AD2042+AE2042+AF2042)</f>
        <v/>
      </c>
      <c r="AH2042" s="81">
        <f>IF(AN2042="","",P2042*(1-AG2042))</f>
        <v/>
      </c>
      <c r="AI2042" s="81">
        <f>IF(AN2042="","",IF(Q2042="Sin Factura",0,IFERROR(INDEX(Facturas_Odoo!$H:$H, MATCH(Q2042, Facturas_Odoo!$B:$B, 0)), 0)*(1-AG2042)))</f>
        <v/>
      </c>
      <c r="AJ2042" s="81">
        <f>IF(AN2042="","",_xlfn.LET(idVenta, AN2042&amp;"",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42" s="81">
        <f>IF(AN2042="","",AH2042-AJ2042)</f>
        <v/>
      </c>
      <c r="AL2042" s="81">
        <f>IF(AN2042="","",IF(Q2042="Sin Factura","",AI2042-AJ2042))</f>
        <v/>
      </c>
      <c r="AM2042" s="81">
        <f>IF(AN2042="","",IF(Q2042="Sin Factura",0,P2042-IFERROR(INDEX(Facturas_Odoo!$H:$H, MATCH(Q2042, Facturas_Odoo!$B:$B, 0)), 0)))</f>
        <v/>
      </c>
      <c r="AN2042" s="79">
        <f>IF(AND(A2042="", J2042=""), "", IF(A2042&lt;&gt;"", VALUE(MID(A2042,2,LEN(A2042))), AN2041))</f>
        <v/>
      </c>
      <c r="AO2042" s="79">
        <f>IF(AN2042="","",IF(AD2042=0,"OK",_xlfn.LET(monedaPago, IF(AA2042="","USD",AA2042), limitePermitido, IFERROR(VLOOKUP(monedaPago, Configuración!$A$2:$B$3, 2, FALSE), 0.15), IF(AD2042&gt;limitePermitido, "ALERTA: EXCESO (" &amp; TEXT(limitePermitido, "0%") &amp; " máx)", "OK"))))</f>
        <v/>
      </c>
      <c r="AP2042" s="79">
        <f>IF(AN2042="","",IF(AE2042=0,"OK",_xlfn.LET(fechaPago, Z2042, fechaFactura, R2042, diasCredito, IF(E2042="Pago inmediato", 0, IFERROR(VALUE(MID(E2042, 1, SEARCH(" ", E2042)-1)),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42" s="79">
        <f>IF(AN2042="","",IF(AND(N2042&gt;0, AG2042&gt;0), IF(Configuración!$K$2="NO", "ALERTA: DESCUENTO DOBLE NO PERMITIDO", "OK"), "OK"))</f>
        <v/>
      </c>
      <c r="AR2042" s="79">
        <f>IF(AN2042="","",IF(OR(AO2042&lt;&gt;"OK", AP2042&lt;&gt;"OK", AQ2042&lt;&gt;"OK"), "⚠️ REVISAR", "OK"))</f>
        <v/>
      </c>
    </row>
    <row r="2043">
      <c r="A2043" s="79">
        <f>IF('Ordenes_Odoo'!A2043="","",'Ordenes_Odoo'!A2043)</f>
        <v/>
      </c>
      <c r="B2043" s="80">
        <f>IF('Ordenes_Odoo'!B2043="","",'Ordenes_Odoo'!B2043)</f>
        <v/>
      </c>
      <c r="C2043" s="79">
        <f>IF('Ordenes_Odoo'!C2043="","",'Ordenes_Odoo'!C2043)</f>
        <v/>
      </c>
      <c r="D2043" s="79">
        <f>IF('Ordenes_Odoo'!D2043="","",'Ordenes_Odoo'!D2043)</f>
        <v/>
      </c>
      <c r="E2043" s="79">
        <f>IF('Ordenes_Odoo'!E2043="","",'Ordenes_Odoo'!E2043)</f>
        <v/>
      </c>
      <c r="F2043" s="79">
        <f>IF('Ordenes_Odoo'!F2043="","",'Ordenes_Odoo'!F2043)</f>
        <v/>
      </c>
      <c r="G2043" s="79">
        <f>IF('Ordenes_Odoo'!G2043="","",'Ordenes_Odoo'!G2043)</f>
        <v/>
      </c>
      <c r="H2043" s="79">
        <f>IF('Ordenes_Odoo'!H2043="","",'Ordenes_Odoo'!H2043)</f>
        <v/>
      </c>
      <c r="I2043" s="79">
        <f>IF('Ordenes_Odoo'!I2043="","",'Ordenes_Odoo'!I2043)</f>
        <v/>
      </c>
      <c r="J2043" s="79">
        <f>IF('Ordenes_Odoo'!J2043="","",'Ordenes_Odoo'!J2043)</f>
        <v/>
      </c>
      <c r="K2043" s="81">
        <f>IF('Ordenes_Odoo'!K2043="","",'Ordenes_Odoo'!K2043)</f>
        <v/>
      </c>
      <c r="L2043" s="81">
        <f>IF('Ordenes_Odoo'!L2043="","",'Ordenes_Odoo'!L2043)</f>
        <v/>
      </c>
      <c r="M2043" s="79">
        <f>IF('Ordenes_Odoo'!M2043="","",'Ordenes_Odoo'!M2043)</f>
        <v/>
      </c>
      <c r="N2043" s="79">
        <f>IF('Ordenes_Odoo'!N2043="","",'Ordenes_Odoo'!N2043)</f>
        <v/>
      </c>
      <c r="O2043" s="81">
        <f>IF('Ordenes_Odoo'!O2043="","",'Ordenes_Odoo'!O2043)</f>
        <v/>
      </c>
      <c r="P2043" s="81">
        <f>IF('Ordenes_Odoo'!P2043="","",'Ordenes_Odoo'!P2043)</f>
        <v/>
      </c>
      <c r="Q2043" s="79">
        <f>IF(A2043="","",IFERROR(INDEX(Facturas_Odoo!$B:$B, MATCH(A2043, Facturas_Odoo!$D:$D, 0)), "Sin Factura"))</f>
        <v/>
      </c>
      <c r="R2043" s="80">
        <f>IF(Q2043="Sin Factura","",IFERROR(INDEX(Facturas_Odoo!$A:$A, MATCH(Q2043, Facturas_Odoo!$B:$B, 0)), ""))</f>
        <v/>
      </c>
      <c r="S2043" s="79">
        <f>IF(Q2043="Sin Factura","",IFERROR(_xlfn.XLOOKUP(1, (Facturas_Odoo!$D:$D=A2043) * (Facturas_Odoo!$K:$K=I2043), Facturas_Odoo!$L:$L, ""), ""))</f>
        <v/>
      </c>
      <c r="T2043" s="81">
        <f>IF(Q2043="Sin Factura",0,IFERROR(_xlfn.XLOOKUP(1, (Facturas_Odoo!$D:$D=A2043) * (Facturas_Odoo!$K:$K=I2043), Facturas_Odoo!$M:$M, 0), 0))</f>
        <v/>
      </c>
      <c r="U2043" s="79">
        <f>IF(Q2043="Sin Factura",0,IFERROR(_xlfn.XLOOKUP(1, (Facturas_Odoo!$D:$D=A2043) * (Facturas_Odoo!$K:$K=I2043), Facturas_Odoo!$N:$N, 0), 0))</f>
        <v/>
      </c>
      <c r="V2043" s="79">
        <f>IF(Q2043="Sin Factura",0,IFERROR(_xlfn.XLOOKUP(1, (Facturas_Odoo!$D:$D=A2043) * (Facturas_Odoo!$K:$K=I2043), Facturas_Odoo!$O:$O, 0), 0))</f>
        <v/>
      </c>
      <c r="W2043" s="81">
        <f>IF(Q2043="Sin Factura",0,IFERROR(_xlfn.XLOOKUP(1, (Facturas_Odoo!$D:$D=A2043) * (Facturas_Odoo!$K:$K=I2043), Facturas_Odoo!$Q:$Q, 0), 0))</f>
        <v/>
      </c>
      <c r="X2043" s="79">
        <f>IF(OR(Q2043="Sin Factura",Q2043=""),"",IFERROR(INDEX(Pagos_Odoo!$B:$B, MATCH(Q2043, Pagos_Odoo!$I:$I, 0)), "Sin Pago"))</f>
        <v/>
      </c>
      <c r="Y2043" s="79">
        <f>IF(X2043="Sin Pago","",IFERROR(INDEX(Pagos_Odoo!$C:$C, MATCH(X2043, Pagos_Odoo!$B:$B, 0)), ""))</f>
        <v/>
      </c>
      <c r="Z2043" s="80">
        <f>IF(X2043="Sin Pago","",IFERROR(INDEX(Pagos_Odoo!$A:$A, MATCH(X2043, Pagos_Odoo!$B:$B, 0)), ""))</f>
        <v/>
      </c>
      <c r="AA2043" s="79">
        <f>IF(X2043="Sin Pago","",IFERROR(INDEX(Pagos_Odoo!$F:$F, MATCH(X2043, Pagos_Odoo!$B:$B, 0)), ""))</f>
        <v/>
      </c>
      <c r="AB2043" s="81">
        <f>IF(X2043="Sin Pago",0,IFERROR(INDEX(Pagos_Odoo!$E:$E, MATCH(X2043, Pagos_Odoo!$B:$B, 0)), 0))</f>
        <v/>
      </c>
      <c r="AC2043" s="79">
        <f>IF(X2043="Sin Pago","",IFERROR(INDEX(Pagos_Odoo!$G:$G, MATCH(X2043, Pagos_Odoo!$B:$B, 0)), ""))</f>
        <v/>
      </c>
      <c r="AD2043" s="82" t="n">
        <v>0</v>
      </c>
      <c r="AE2043" s="82" t="n"/>
      <c r="AF2043" s="82" t="n"/>
      <c r="AG2043" s="82">
        <f>IF(AN2043="","",AD2043+AE2043+AF2043)</f>
        <v/>
      </c>
      <c r="AH2043" s="81">
        <f>IF(AN2043="","",P2043*(1-AG2043))</f>
        <v/>
      </c>
      <c r="AI2043" s="81">
        <f>IF(AN2043="","",IF(Q2043="Sin Factura",0,IFERROR(INDEX(Facturas_Odoo!$H:$H, MATCH(Q2043, Facturas_Odoo!$B:$B, 0)), 0)*(1-AG2043)))</f>
        <v/>
      </c>
      <c r="AJ2043" s="81">
        <f>IF(AN2043="","",_xlfn.LET(idVenta, AN2043&amp;"",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43" s="81">
        <f>IF(AN2043="","",AH2043-AJ2043)</f>
        <v/>
      </c>
      <c r="AL2043" s="81">
        <f>IF(AN2043="","",IF(Q2043="Sin Factura","",AI2043-AJ2043))</f>
        <v/>
      </c>
      <c r="AM2043" s="81">
        <f>IF(AN2043="","",IF(Q2043="Sin Factura",0,P2043-IFERROR(INDEX(Facturas_Odoo!$H:$H, MATCH(Q2043, Facturas_Odoo!$B:$B, 0)), 0)))</f>
        <v/>
      </c>
      <c r="AN2043" s="79">
        <f>IF(AND(A2043="", J2043=""), "", IF(A2043&lt;&gt;"", VALUE(MID(A2043,2,LEN(A2043))), AN2042))</f>
        <v/>
      </c>
      <c r="AO2043" s="79">
        <f>IF(AN2043="","",IF(AD2043=0,"OK",_xlfn.LET(monedaPago, IF(AA2043="","USD",AA2043), limitePermitido, IFERROR(VLOOKUP(monedaPago, Configuración!$A$2:$B$3, 2, FALSE), 0.15), IF(AD2043&gt;limitePermitido, "ALERTA: EXCESO (" &amp; TEXT(limitePermitido, "0%") &amp; " máx)", "OK"))))</f>
        <v/>
      </c>
      <c r="AP2043" s="79">
        <f>IF(AN2043="","",IF(AE2043=0,"OK",_xlfn.LET(fechaPago, Z2043, fechaFactura, R2043, diasCredito, IF(E2043="Pago inmediato", 0, IFERROR(VALUE(MID(E2043, 1, SEARCH(" ", E2043)-1)),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43" s="79">
        <f>IF(AN2043="","",IF(AND(N2043&gt;0, AG2043&gt;0), IF(Configuración!$K$2="NO", "ALERTA: DESCUENTO DOBLE NO PERMITIDO", "OK"), "OK"))</f>
        <v/>
      </c>
      <c r="AR2043" s="79">
        <f>IF(AN2043="","",IF(OR(AO2043&lt;&gt;"OK", AP2043&lt;&gt;"OK", AQ2043&lt;&gt;"OK"), "⚠️ REVISAR", "OK"))</f>
        <v/>
      </c>
    </row>
    <row r="2044">
      <c r="A2044" s="79">
        <f>IF('Ordenes_Odoo'!A2044="","",'Ordenes_Odoo'!A2044)</f>
        <v/>
      </c>
      <c r="B2044" s="80">
        <f>IF('Ordenes_Odoo'!B2044="","",'Ordenes_Odoo'!B2044)</f>
        <v/>
      </c>
      <c r="C2044" s="79">
        <f>IF('Ordenes_Odoo'!C2044="","",'Ordenes_Odoo'!C2044)</f>
        <v/>
      </c>
      <c r="D2044" s="79">
        <f>IF('Ordenes_Odoo'!D2044="","",'Ordenes_Odoo'!D2044)</f>
        <v/>
      </c>
      <c r="E2044" s="79">
        <f>IF('Ordenes_Odoo'!E2044="","",'Ordenes_Odoo'!E2044)</f>
        <v/>
      </c>
      <c r="F2044" s="79">
        <f>IF('Ordenes_Odoo'!F2044="","",'Ordenes_Odoo'!F2044)</f>
        <v/>
      </c>
      <c r="G2044" s="79">
        <f>IF('Ordenes_Odoo'!G2044="","",'Ordenes_Odoo'!G2044)</f>
        <v/>
      </c>
      <c r="H2044" s="79">
        <f>IF('Ordenes_Odoo'!H2044="","",'Ordenes_Odoo'!H2044)</f>
        <v/>
      </c>
      <c r="I2044" s="79">
        <f>IF('Ordenes_Odoo'!I2044="","",'Ordenes_Odoo'!I2044)</f>
        <v/>
      </c>
      <c r="J2044" s="79">
        <f>IF('Ordenes_Odoo'!J2044="","",'Ordenes_Odoo'!J2044)</f>
        <v/>
      </c>
      <c r="K2044" s="81">
        <f>IF('Ordenes_Odoo'!K2044="","",'Ordenes_Odoo'!K2044)</f>
        <v/>
      </c>
      <c r="L2044" s="81">
        <f>IF('Ordenes_Odoo'!L2044="","",'Ordenes_Odoo'!L2044)</f>
        <v/>
      </c>
      <c r="M2044" s="79">
        <f>IF('Ordenes_Odoo'!M2044="","",'Ordenes_Odoo'!M2044)</f>
        <v/>
      </c>
      <c r="N2044" s="79">
        <f>IF('Ordenes_Odoo'!N2044="","",'Ordenes_Odoo'!N2044)</f>
        <v/>
      </c>
      <c r="O2044" s="81">
        <f>IF('Ordenes_Odoo'!O2044="","",'Ordenes_Odoo'!O2044)</f>
        <v/>
      </c>
      <c r="P2044" s="81">
        <f>IF('Ordenes_Odoo'!P2044="","",'Ordenes_Odoo'!P2044)</f>
        <v/>
      </c>
      <c r="Q2044" s="79">
        <f>IF(A2044="","",IFERROR(INDEX(Facturas_Odoo!$B:$B, MATCH(A2044, Facturas_Odoo!$D:$D, 0)), "Sin Factura"))</f>
        <v/>
      </c>
      <c r="R2044" s="80">
        <f>IF(Q2044="Sin Factura","",IFERROR(INDEX(Facturas_Odoo!$A:$A, MATCH(Q2044, Facturas_Odoo!$B:$B, 0)), ""))</f>
        <v/>
      </c>
      <c r="S2044" s="79">
        <f>IF(Q2044="Sin Factura","",IFERROR(_xlfn.XLOOKUP(1, (Facturas_Odoo!$D:$D=A2044) * (Facturas_Odoo!$K:$K=I2044), Facturas_Odoo!$L:$L, ""), ""))</f>
        <v/>
      </c>
      <c r="T2044" s="81">
        <f>IF(Q2044="Sin Factura",0,IFERROR(_xlfn.XLOOKUP(1, (Facturas_Odoo!$D:$D=A2044) * (Facturas_Odoo!$K:$K=I2044), Facturas_Odoo!$M:$M, 0), 0))</f>
        <v/>
      </c>
      <c r="U2044" s="79">
        <f>IF(Q2044="Sin Factura",0,IFERROR(_xlfn.XLOOKUP(1, (Facturas_Odoo!$D:$D=A2044) * (Facturas_Odoo!$K:$K=I2044), Facturas_Odoo!$N:$N, 0), 0))</f>
        <v/>
      </c>
      <c r="V2044" s="79">
        <f>IF(Q2044="Sin Factura",0,IFERROR(_xlfn.XLOOKUP(1, (Facturas_Odoo!$D:$D=A2044) * (Facturas_Odoo!$K:$K=I2044), Facturas_Odoo!$O:$O, 0), 0))</f>
        <v/>
      </c>
      <c r="W2044" s="81">
        <f>IF(Q2044="Sin Factura",0,IFERROR(_xlfn.XLOOKUP(1, (Facturas_Odoo!$D:$D=A2044) * (Facturas_Odoo!$K:$K=I2044), Facturas_Odoo!$Q:$Q, 0), 0))</f>
        <v/>
      </c>
      <c r="X2044" s="79">
        <f>IF(OR(Q2044="Sin Factura",Q2044=""),"",IFERROR(INDEX(Pagos_Odoo!$B:$B, MATCH(Q2044, Pagos_Odoo!$I:$I, 0)), "Sin Pago"))</f>
        <v/>
      </c>
      <c r="Y2044" s="79">
        <f>IF(X2044="Sin Pago","",IFERROR(INDEX(Pagos_Odoo!$C:$C, MATCH(X2044, Pagos_Odoo!$B:$B, 0)), ""))</f>
        <v/>
      </c>
      <c r="Z2044" s="80">
        <f>IF(X2044="Sin Pago","",IFERROR(INDEX(Pagos_Odoo!$A:$A, MATCH(X2044, Pagos_Odoo!$B:$B, 0)), ""))</f>
        <v/>
      </c>
      <c r="AA2044" s="79">
        <f>IF(X2044="Sin Pago","",IFERROR(INDEX(Pagos_Odoo!$F:$F, MATCH(X2044, Pagos_Odoo!$B:$B, 0)), ""))</f>
        <v/>
      </c>
      <c r="AB2044" s="81">
        <f>IF(X2044="Sin Pago",0,IFERROR(INDEX(Pagos_Odoo!$E:$E, MATCH(X2044, Pagos_Odoo!$B:$B, 0)), 0))</f>
        <v/>
      </c>
      <c r="AC2044" s="79">
        <f>IF(X2044="Sin Pago","",IFERROR(INDEX(Pagos_Odoo!$G:$G, MATCH(X2044, Pagos_Odoo!$B:$B, 0)), ""))</f>
        <v/>
      </c>
      <c r="AD2044" s="82" t="n">
        <v>0</v>
      </c>
      <c r="AE2044" s="82" t="n"/>
      <c r="AF2044" s="82" t="n"/>
      <c r="AG2044" s="82">
        <f>IF(AN2044="","",AD2044+AE2044+AF2044)</f>
        <v/>
      </c>
      <c r="AH2044" s="81">
        <f>IF(AN2044="","",P2044*(1-AG2044))</f>
        <v/>
      </c>
      <c r="AI2044" s="81">
        <f>IF(AN2044="","",IF(Q2044="Sin Factura",0,IFERROR(INDEX(Facturas_Odoo!$H:$H, MATCH(Q2044, Facturas_Odoo!$B:$B, 0)), 0)*(1-AG2044)))</f>
        <v/>
      </c>
      <c r="AJ2044" s="81">
        <f>IF(AN2044="","",_xlfn.LET(idVenta, AN2044&amp;"",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44" s="81">
        <f>IF(AN2044="","",AH2044-AJ2044)</f>
        <v/>
      </c>
      <c r="AL2044" s="81">
        <f>IF(AN2044="","",IF(Q2044="Sin Factura","",AI2044-AJ2044))</f>
        <v/>
      </c>
      <c r="AM2044" s="81">
        <f>IF(AN2044="","",IF(Q2044="Sin Factura",0,P2044-IFERROR(INDEX(Facturas_Odoo!$H:$H, MATCH(Q2044, Facturas_Odoo!$B:$B, 0)), 0)))</f>
        <v/>
      </c>
      <c r="AN2044" s="79">
        <f>IF(AND(A2044="", J2044=""), "", IF(A2044&lt;&gt;"", VALUE(MID(A2044,2,LEN(A2044))), AN2043))</f>
        <v/>
      </c>
      <c r="AO2044" s="79">
        <f>IF(AN2044="","",IF(AD2044=0,"OK",_xlfn.LET(monedaPago, IF(AA2044="","USD",AA2044), limitePermitido, IFERROR(VLOOKUP(monedaPago, Configuración!$A$2:$B$3, 2, FALSE), 0.15), IF(AD2044&gt;limitePermitido, "ALERTA: EXCESO (" &amp; TEXT(limitePermitido, "0%") &amp; " máx)", "OK"))))</f>
        <v/>
      </c>
      <c r="AP2044" s="79">
        <f>IF(AN2044="","",IF(AE2044=0,"OK",_xlfn.LET(fechaPago, Z2044, fechaFactura, R2044, diasCredito, IF(E2044="Pago inmediato", 0, IFERROR(VALUE(MID(E2044, 1, SEARCH(" ", E2044)-1)),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44" s="79">
        <f>IF(AN2044="","",IF(AND(N2044&gt;0, AG2044&gt;0), IF(Configuración!$K$2="NO", "ALERTA: DESCUENTO DOBLE NO PERMITIDO", "OK"), "OK"))</f>
        <v/>
      </c>
      <c r="AR2044" s="79">
        <f>IF(AN2044="","",IF(OR(AO2044&lt;&gt;"OK", AP2044&lt;&gt;"OK", AQ2044&lt;&gt;"OK"), "⚠️ REVISAR", "OK"))</f>
        <v/>
      </c>
    </row>
    <row r="2045">
      <c r="A2045" s="79">
        <f>IF('Ordenes_Odoo'!A2045="","",'Ordenes_Odoo'!A2045)</f>
        <v/>
      </c>
      <c r="B2045" s="80">
        <f>IF('Ordenes_Odoo'!B2045="","",'Ordenes_Odoo'!B2045)</f>
        <v/>
      </c>
      <c r="C2045" s="79">
        <f>IF('Ordenes_Odoo'!C2045="","",'Ordenes_Odoo'!C2045)</f>
        <v/>
      </c>
      <c r="D2045" s="79">
        <f>IF('Ordenes_Odoo'!D2045="","",'Ordenes_Odoo'!D2045)</f>
        <v/>
      </c>
      <c r="E2045" s="79">
        <f>IF('Ordenes_Odoo'!E2045="","",'Ordenes_Odoo'!E2045)</f>
        <v/>
      </c>
      <c r="F2045" s="79">
        <f>IF('Ordenes_Odoo'!F2045="","",'Ordenes_Odoo'!F2045)</f>
        <v/>
      </c>
      <c r="G2045" s="79">
        <f>IF('Ordenes_Odoo'!G2045="","",'Ordenes_Odoo'!G2045)</f>
        <v/>
      </c>
      <c r="H2045" s="79">
        <f>IF('Ordenes_Odoo'!H2045="","",'Ordenes_Odoo'!H2045)</f>
        <v/>
      </c>
      <c r="I2045" s="79">
        <f>IF('Ordenes_Odoo'!I2045="","",'Ordenes_Odoo'!I2045)</f>
        <v/>
      </c>
      <c r="J2045" s="79">
        <f>IF('Ordenes_Odoo'!J2045="","",'Ordenes_Odoo'!J2045)</f>
        <v/>
      </c>
      <c r="K2045" s="81">
        <f>IF('Ordenes_Odoo'!K2045="","",'Ordenes_Odoo'!K2045)</f>
        <v/>
      </c>
      <c r="L2045" s="81">
        <f>IF('Ordenes_Odoo'!L2045="","",'Ordenes_Odoo'!L2045)</f>
        <v/>
      </c>
      <c r="M2045" s="79">
        <f>IF('Ordenes_Odoo'!M2045="","",'Ordenes_Odoo'!M2045)</f>
        <v/>
      </c>
      <c r="N2045" s="79">
        <f>IF('Ordenes_Odoo'!N2045="","",'Ordenes_Odoo'!N2045)</f>
        <v/>
      </c>
      <c r="O2045" s="81">
        <f>IF('Ordenes_Odoo'!O2045="","",'Ordenes_Odoo'!O2045)</f>
        <v/>
      </c>
      <c r="P2045" s="81">
        <f>IF('Ordenes_Odoo'!P2045="","",'Ordenes_Odoo'!P2045)</f>
        <v/>
      </c>
      <c r="Q2045" s="79">
        <f>IF(A2045="","",IFERROR(INDEX(Facturas_Odoo!$B:$B, MATCH(A2045, Facturas_Odoo!$D:$D, 0)), "Sin Factura"))</f>
        <v/>
      </c>
      <c r="R2045" s="80">
        <f>IF(Q2045="Sin Factura","",IFERROR(INDEX(Facturas_Odoo!$A:$A, MATCH(Q2045, Facturas_Odoo!$B:$B, 0)), ""))</f>
        <v/>
      </c>
      <c r="S2045" s="79">
        <f>IF(Q2045="Sin Factura","",IFERROR(_xlfn.XLOOKUP(1, (Facturas_Odoo!$D:$D=A2045) * (Facturas_Odoo!$K:$K=I2045), Facturas_Odoo!$L:$L, ""), ""))</f>
        <v/>
      </c>
      <c r="T2045" s="81">
        <f>IF(Q2045="Sin Factura",0,IFERROR(_xlfn.XLOOKUP(1, (Facturas_Odoo!$D:$D=A2045) * (Facturas_Odoo!$K:$K=I2045), Facturas_Odoo!$M:$M, 0), 0))</f>
        <v/>
      </c>
      <c r="U2045" s="79">
        <f>IF(Q2045="Sin Factura",0,IFERROR(_xlfn.XLOOKUP(1, (Facturas_Odoo!$D:$D=A2045) * (Facturas_Odoo!$K:$K=I2045), Facturas_Odoo!$N:$N, 0), 0))</f>
        <v/>
      </c>
      <c r="V2045" s="79">
        <f>IF(Q2045="Sin Factura",0,IFERROR(_xlfn.XLOOKUP(1, (Facturas_Odoo!$D:$D=A2045) * (Facturas_Odoo!$K:$K=I2045), Facturas_Odoo!$O:$O, 0), 0))</f>
        <v/>
      </c>
      <c r="W2045" s="81">
        <f>IF(Q2045="Sin Factura",0,IFERROR(_xlfn.XLOOKUP(1, (Facturas_Odoo!$D:$D=A2045) * (Facturas_Odoo!$K:$K=I2045), Facturas_Odoo!$Q:$Q, 0), 0))</f>
        <v/>
      </c>
      <c r="X2045" s="79">
        <f>IF(OR(Q2045="Sin Factura",Q2045=""),"",IFERROR(INDEX(Pagos_Odoo!$B:$B, MATCH(Q2045, Pagos_Odoo!$I:$I, 0)), "Sin Pago"))</f>
        <v/>
      </c>
      <c r="Y2045" s="79">
        <f>IF(X2045="Sin Pago","",IFERROR(INDEX(Pagos_Odoo!$C:$C, MATCH(X2045, Pagos_Odoo!$B:$B, 0)), ""))</f>
        <v/>
      </c>
      <c r="Z2045" s="80">
        <f>IF(X2045="Sin Pago","",IFERROR(INDEX(Pagos_Odoo!$A:$A, MATCH(X2045, Pagos_Odoo!$B:$B, 0)), ""))</f>
        <v/>
      </c>
      <c r="AA2045" s="79">
        <f>IF(X2045="Sin Pago","",IFERROR(INDEX(Pagos_Odoo!$F:$F, MATCH(X2045, Pagos_Odoo!$B:$B, 0)), ""))</f>
        <v/>
      </c>
      <c r="AB2045" s="81">
        <f>IF(X2045="Sin Pago",0,IFERROR(INDEX(Pagos_Odoo!$E:$E, MATCH(X2045, Pagos_Odoo!$B:$B, 0)), 0))</f>
        <v/>
      </c>
      <c r="AC2045" s="79">
        <f>IF(X2045="Sin Pago","",IFERROR(INDEX(Pagos_Odoo!$G:$G, MATCH(X2045, Pagos_Odoo!$B:$B, 0)), ""))</f>
        <v/>
      </c>
      <c r="AD2045" s="82" t="n">
        <v>0</v>
      </c>
      <c r="AE2045" s="82" t="n"/>
      <c r="AF2045" s="82" t="n"/>
      <c r="AG2045" s="82">
        <f>IF(AN2045="","",AD2045+AE2045+AF2045)</f>
        <v/>
      </c>
      <c r="AH2045" s="81">
        <f>IF(AN2045="","",P2045*(1-AG2045))</f>
        <v/>
      </c>
      <c r="AI2045" s="81">
        <f>IF(AN2045="","",IF(Q2045="Sin Factura",0,IFERROR(INDEX(Facturas_Odoo!$H:$H, MATCH(Q2045, Facturas_Odoo!$B:$B, 0)), 0)*(1-AG2045)))</f>
        <v/>
      </c>
      <c r="AJ2045" s="81">
        <f>IF(AN2045="","",_xlfn.LET(idVenta, AN2045&amp;"",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45" s="81">
        <f>IF(AN2045="","",AH2045-AJ2045)</f>
        <v/>
      </c>
      <c r="AL2045" s="81">
        <f>IF(AN2045="","",IF(Q2045="Sin Factura","",AI2045-AJ2045))</f>
        <v/>
      </c>
      <c r="AM2045" s="81">
        <f>IF(AN2045="","",IF(Q2045="Sin Factura",0,P2045-IFERROR(INDEX(Facturas_Odoo!$H:$H, MATCH(Q2045, Facturas_Odoo!$B:$B, 0)), 0)))</f>
        <v/>
      </c>
      <c r="AN2045" s="79">
        <f>IF(AND(A2045="", J2045=""), "", IF(A2045&lt;&gt;"", VALUE(MID(A2045,2,LEN(A2045))), AN2044))</f>
        <v/>
      </c>
      <c r="AO2045" s="79">
        <f>IF(AN2045="","",IF(AD2045=0,"OK",_xlfn.LET(monedaPago, IF(AA2045="","USD",AA2045), limitePermitido, IFERROR(VLOOKUP(monedaPago, Configuración!$A$2:$B$3, 2, FALSE), 0.15), IF(AD2045&gt;limitePermitido, "ALERTA: EXCESO (" &amp; TEXT(limitePermitido, "0%") &amp; " máx)", "OK"))))</f>
        <v/>
      </c>
      <c r="AP2045" s="79">
        <f>IF(AN2045="","",IF(AE2045=0,"OK",_xlfn.LET(fechaPago, Z2045, fechaFactura, R2045, diasCredito, IF(E2045="Pago inmediato", 0, IFERROR(VALUE(MID(E2045, 1, SEARCH(" ", E2045)-1)),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45" s="79">
        <f>IF(AN2045="","",IF(AND(N2045&gt;0, AG2045&gt;0), IF(Configuración!$K$2="NO", "ALERTA: DESCUENTO DOBLE NO PERMITIDO", "OK"), "OK"))</f>
        <v/>
      </c>
      <c r="AR2045" s="79">
        <f>IF(AN2045="","",IF(OR(AO2045&lt;&gt;"OK", AP2045&lt;&gt;"OK", AQ2045&lt;&gt;"OK"), "⚠️ REVISAR", "OK"))</f>
        <v/>
      </c>
    </row>
    <row r="2046">
      <c r="A2046" s="79">
        <f>IF('Ordenes_Odoo'!A2046="","",'Ordenes_Odoo'!A2046)</f>
        <v/>
      </c>
      <c r="B2046" s="80">
        <f>IF('Ordenes_Odoo'!B2046="","",'Ordenes_Odoo'!B2046)</f>
        <v/>
      </c>
      <c r="C2046" s="79">
        <f>IF('Ordenes_Odoo'!C2046="","",'Ordenes_Odoo'!C2046)</f>
        <v/>
      </c>
      <c r="D2046" s="79">
        <f>IF('Ordenes_Odoo'!D2046="","",'Ordenes_Odoo'!D2046)</f>
        <v/>
      </c>
      <c r="E2046" s="79">
        <f>IF('Ordenes_Odoo'!E2046="","",'Ordenes_Odoo'!E2046)</f>
        <v/>
      </c>
      <c r="F2046" s="79">
        <f>IF('Ordenes_Odoo'!F2046="","",'Ordenes_Odoo'!F2046)</f>
        <v/>
      </c>
      <c r="G2046" s="79">
        <f>IF('Ordenes_Odoo'!G2046="","",'Ordenes_Odoo'!G2046)</f>
        <v/>
      </c>
      <c r="H2046" s="79">
        <f>IF('Ordenes_Odoo'!H2046="","",'Ordenes_Odoo'!H2046)</f>
        <v/>
      </c>
      <c r="I2046" s="79">
        <f>IF('Ordenes_Odoo'!I2046="","",'Ordenes_Odoo'!I2046)</f>
        <v/>
      </c>
      <c r="J2046" s="79">
        <f>IF('Ordenes_Odoo'!J2046="","",'Ordenes_Odoo'!J2046)</f>
        <v/>
      </c>
      <c r="K2046" s="81">
        <f>IF('Ordenes_Odoo'!K2046="","",'Ordenes_Odoo'!K2046)</f>
        <v/>
      </c>
      <c r="L2046" s="81">
        <f>IF('Ordenes_Odoo'!L2046="","",'Ordenes_Odoo'!L2046)</f>
        <v/>
      </c>
      <c r="M2046" s="79">
        <f>IF('Ordenes_Odoo'!M2046="","",'Ordenes_Odoo'!M2046)</f>
        <v/>
      </c>
      <c r="N2046" s="79">
        <f>IF('Ordenes_Odoo'!N2046="","",'Ordenes_Odoo'!N2046)</f>
        <v/>
      </c>
      <c r="O2046" s="81">
        <f>IF('Ordenes_Odoo'!O2046="","",'Ordenes_Odoo'!O2046)</f>
        <v/>
      </c>
      <c r="P2046" s="81">
        <f>IF('Ordenes_Odoo'!P2046="","",'Ordenes_Odoo'!P2046)</f>
        <v/>
      </c>
      <c r="Q2046" s="79">
        <f>IF(A2046="","",IFERROR(INDEX(Facturas_Odoo!$B:$B, MATCH(A2046, Facturas_Odoo!$D:$D, 0)), "Sin Factura"))</f>
        <v/>
      </c>
      <c r="R2046" s="80">
        <f>IF(Q2046="Sin Factura","",IFERROR(INDEX(Facturas_Odoo!$A:$A, MATCH(Q2046, Facturas_Odoo!$B:$B, 0)), ""))</f>
        <v/>
      </c>
      <c r="S2046" s="79">
        <f>IF(Q2046="Sin Factura","",IFERROR(_xlfn.XLOOKUP(1, (Facturas_Odoo!$D:$D=A2046) * (Facturas_Odoo!$K:$K=I2046), Facturas_Odoo!$L:$L, ""), ""))</f>
        <v/>
      </c>
      <c r="T2046" s="81">
        <f>IF(Q2046="Sin Factura",0,IFERROR(_xlfn.XLOOKUP(1, (Facturas_Odoo!$D:$D=A2046) * (Facturas_Odoo!$K:$K=I2046), Facturas_Odoo!$M:$M, 0), 0))</f>
        <v/>
      </c>
      <c r="U2046" s="79">
        <f>IF(Q2046="Sin Factura",0,IFERROR(_xlfn.XLOOKUP(1, (Facturas_Odoo!$D:$D=A2046) * (Facturas_Odoo!$K:$K=I2046), Facturas_Odoo!$N:$N, 0), 0))</f>
        <v/>
      </c>
      <c r="V2046" s="79">
        <f>IF(Q2046="Sin Factura",0,IFERROR(_xlfn.XLOOKUP(1, (Facturas_Odoo!$D:$D=A2046) * (Facturas_Odoo!$K:$K=I2046), Facturas_Odoo!$O:$O, 0), 0))</f>
        <v/>
      </c>
      <c r="W2046" s="81">
        <f>IF(Q2046="Sin Factura",0,IFERROR(_xlfn.XLOOKUP(1, (Facturas_Odoo!$D:$D=A2046) * (Facturas_Odoo!$K:$K=I2046), Facturas_Odoo!$Q:$Q, 0), 0))</f>
        <v/>
      </c>
      <c r="X2046" s="79">
        <f>IF(OR(Q2046="Sin Factura",Q2046=""),"",IFERROR(INDEX(Pagos_Odoo!$B:$B, MATCH(Q2046, Pagos_Odoo!$I:$I, 0)), "Sin Pago"))</f>
        <v/>
      </c>
      <c r="Y2046" s="79">
        <f>IF(X2046="Sin Pago","",IFERROR(INDEX(Pagos_Odoo!$C:$C, MATCH(X2046, Pagos_Odoo!$B:$B, 0)), ""))</f>
        <v/>
      </c>
      <c r="Z2046" s="80">
        <f>IF(X2046="Sin Pago","",IFERROR(INDEX(Pagos_Odoo!$A:$A, MATCH(X2046, Pagos_Odoo!$B:$B, 0)), ""))</f>
        <v/>
      </c>
      <c r="AA2046" s="79">
        <f>IF(X2046="Sin Pago","",IFERROR(INDEX(Pagos_Odoo!$F:$F, MATCH(X2046, Pagos_Odoo!$B:$B, 0)), ""))</f>
        <v/>
      </c>
      <c r="AB2046" s="81">
        <f>IF(X2046="Sin Pago",0,IFERROR(INDEX(Pagos_Odoo!$E:$E, MATCH(X2046, Pagos_Odoo!$B:$B, 0)), 0))</f>
        <v/>
      </c>
      <c r="AC2046" s="79">
        <f>IF(X2046="Sin Pago","",IFERROR(INDEX(Pagos_Odoo!$G:$G, MATCH(X2046, Pagos_Odoo!$B:$B, 0)), ""))</f>
        <v/>
      </c>
      <c r="AD2046" s="82" t="n">
        <v>0</v>
      </c>
      <c r="AE2046" s="82" t="n"/>
      <c r="AF2046" s="82" t="n"/>
      <c r="AG2046" s="82">
        <f>IF(AN2046="","",AD2046+AE2046+AF2046)</f>
        <v/>
      </c>
      <c r="AH2046" s="81">
        <f>IF(AN2046="","",P2046*(1-AG2046))</f>
        <v/>
      </c>
      <c r="AI2046" s="81">
        <f>IF(AN2046="","",IF(Q2046="Sin Factura",0,IFERROR(INDEX(Facturas_Odoo!$H:$H, MATCH(Q2046, Facturas_Odoo!$B:$B, 0)), 0)*(1-AG2046)))</f>
        <v/>
      </c>
      <c r="AJ2046" s="81">
        <f>IF(AN2046="","",_xlfn.LET(idVenta, AN2046&amp;"",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46" s="81">
        <f>IF(AN2046="","",AH2046-AJ2046)</f>
        <v/>
      </c>
      <c r="AL2046" s="81">
        <f>IF(AN2046="","",IF(Q2046="Sin Factura","",AI2046-AJ2046))</f>
        <v/>
      </c>
      <c r="AM2046" s="81">
        <f>IF(AN2046="","",IF(Q2046="Sin Factura",0,P2046-IFERROR(INDEX(Facturas_Odoo!$H:$H, MATCH(Q2046, Facturas_Odoo!$B:$B, 0)), 0)))</f>
        <v/>
      </c>
      <c r="AN2046" s="79">
        <f>IF(AND(A2046="", J2046=""), "", IF(A2046&lt;&gt;"", VALUE(MID(A2046,2,LEN(A2046))), AN2045))</f>
        <v/>
      </c>
      <c r="AO2046" s="79">
        <f>IF(AN2046="","",IF(AD2046=0,"OK",_xlfn.LET(monedaPago, IF(AA2046="","USD",AA2046), limitePermitido, IFERROR(VLOOKUP(monedaPago, Configuración!$A$2:$B$3, 2, FALSE), 0.15), IF(AD2046&gt;limitePermitido, "ALERTA: EXCESO (" &amp; TEXT(limitePermitido, "0%") &amp; " máx)", "OK"))))</f>
        <v/>
      </c>
      <c r="AP2046" s="79">
        <f>IF(AN2046="","",IF(AE2046=0,"OK",_xlfn.LET(fechaPago, Z2046, fechaFactura, R2046, diasCredito, IF(E2046="Pago inmediato", 0, IFERROR(VALUE(MID(E2046, 1, SEARCH(" ", E2046)-1)),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46" s="79">
        <f>IF(AN2046="","",IF(AND(N2046&gt;0, AG2046&gt;0), IF(Configuración!$K$2="NO", "ALERTA: DESCUENTO DOBLE NO PERMITIDO", "OK"), "OK"))</f>
        <v/>
      </c>
      <c r="AR2046" s="79">
        <f>IF(AN2046="","",IF(OR(AO2046&lt;&gt;"OK", AP2046&lt;&gt;"OK", AQ2046&lt;&gt;"OK"), "⚠️ REVISAR", "OK"))</f>
        <v/>
      </c>
    </row>
    <row r="2047">
      <c r="A2047" s="79">
        <f>IF('Ordenes_Odoo'!A2047="","",'Ordenes_Odoo'!A2047)</f>
        <v/>
      </c>
      <c r="B2047" s="80">
        <f>IF('Ordenes_Odoo'!B2047="","",'Ordenes_Odoo'!B2047)</f>
        <v/>
      </c>
      <c r="C2047" s="79">
        <f>IF('Ordenes_Odoo'!C2047="","",'Ordenes_Odoo'!C2047)</f>
        <v/>
      </c>
      <c r="D2047" s="79">
        <f>IF('Ordenes_Odoo'!D2047="","",'Ordenes_Odoo'!D2047)</f>
        <v/>
      </c>
      <c r="E2047" s="79">
        <f>IF('Ordenes_Odoo'!E2047="","",'Ordenes_Odoo'!E2047)</f>
        <v/>
      </c>
      <c r="F2047" s="79">
        <f>IF('Ordenes_Odoo'!F2047="","",'Ordenes_Odoo'!F2047)</f>
        <v/>
      </c>
      <c r="G2047" s="79">
        <f>IF('Ordenes_Odoo'!G2047="","",'Ordenes_Odoo'!G2047)</f>
        <v/>
      </c>
      <c r="H2047" s="79">
        <f>IF('Ordenes_Odoo'!H2047="","",'Ordenes_Odoo'!H2047)</f>
        <v/>
      </c>
      <c r="I2047" s="79">
        <f>IF('Ordenes_Odoo'!I2047="","",'Ordenes_Odoo'!I2047)</f>
        <v/>
      </c>
      <c r="J2047" s="79">
        <f>IF('Ordenes_Odoo'!J2047="","",'Ordenes_Odoo'!J2047)</f>
        <v/>
      </c>
      <c r="K2047" s="81">
        <f>IF('Ordenes_Odoo'!K2047="","",'Ordenes_Odoo'!K2047)</f>
        <v/>
      </c>
      <c r="L2047" s="81">
        <f>IF('Ordenes_Odoo'!L2047="","",'Ordenes_Odoo'!L2047)</f>
        <v/>
      </c>
      <c r="M2047" s="79">
        <f>IF('Ordenes_Odoo'!M2047="","",'Ordenes_Odoo'!M2047)</f>
        <v/>
      </c>
      <c r="N2047" s="79">
        <f>IF('Ordenes_Odoo'!N2047="","",'Ordenes_Odoo'!N2047)</f>
        <v/>
      </c>
      <c r="O2047" s="81">
        <f>IF('Ordenes_Odoo'!O2047="","",'Ordenes_Odoo'!O2047)</f>
        <v/>
      </c>
      <c r="P2047" s="81">
        <f>IF('Ordenes_Odoo'!P2047="","",'Ordenes_Odoo'!P2047)</f>
        <v/>
      </c>
      <c r="Q2047" s="79">
        <f>IF(A2047="","",IFERROR(INDEX(Facturas_Odoo!$B:$B, MATCH(A2047, Facturas_Odoo!$D:$D, 0)), "Sin Factura"))</f>
        <v/>
      </c>
      <c r="R2047" s="80">
        <f>IF(Q2047="Sin Factura","",IFERROR(INDEX(Facturas_Odoo!$A:$A, MATCH(Q2047, Facturas_Odoo!$B:$B, 0)), ""))</f>
        <v/>
      </c>
      <c r="S2047" s="79">
        <f>IF(Q2047="Sin Factura","",IFERROR(_xlfn.XLOOKUP(1, (Facturas_Odoo!$D:$D=A2047) * (Facturas_Odoo!$K:$K=I2047), Facturas_Odoo!$L:$L, ""), ""))</f>
        <v/>
      </c>
      <c r="T2047" s="81">
        <f>IF(Q2047="Sin Factura",0,IFERROR(_xlfn.XLOOKUP(1, (Facturas_Odoo!$D:$D=A2047) * (Facturas_Odoo!$K:$K=I2047), Facturas_Odoo!$M:$M, 0), 0))</f>
        <v/>
      </c>
      <c r="U2047" s="79">
        <f>IF(Q2047="Sin Factura",0,IFERROR(_xlfn.XLOOKUP(1, (Facturas_Odoo!$D:$D=A2047) * (Facturas_Odoo!$K:$K=I2047), Facturas_Odoo!$N:$N, 0), 0))</f>
        <v/>
      </c>
      <c r="V2047" s="79">
        <f>IF(Q2047="Sin Factura",0,IFERROR(_xlfn.XLOOKUP(1, (Facturas_Odoo!$D:$D=A2047) * (Facturas_Odoo!$K:$K=I2047), Facturas_Odoo!$O:$O, 0), 0))</f>
        <v/>
      </c>
      <c r="W2047" s="81">
        <f>IF(Q2047="Sin Factura",0,IFERROR(_xlfn.XLOOKUP(1, (Facturas_Odoo!$D:$D=A2047) * (Facturas_Odoo!$K:$K=I2047), Facturas_Odoo!$Q:$Q, 0), 0))</f>
        <v/>
      </c>
      <c r="X2047" s="79">
        <f>IF(OR(Q2047="Sin Factura",Q2047=""),"",IFERROR(INDEX(Pagos_Odoo!$B:$B, MATCH(Q2047, Pagos_Odoo!$I:$I, 0)), "Sin Pago"))</f>
        <v/>
      </c>
      <c r="Y2047" s="79">
        <f>IF(X2047="Sin Pago","",IFERROR(INDEX(Pagos_Odoo!$C:$C, MATCH(X2047, Pagos_Odoo!$B:$B, 0)), ""))</f>
        <v/>
      </c>
      <c r="Z2047" s="80">
        <f>IF(X2047="Sin Pago","",IFERROR(INDEX(Pagos_Odoo!$A:$A, MATCH(X2047, Pagos_Odoo!$B:$B, 0)), ""))</f>
        <v/>
      </c>
      <c r="AA2047" s="79">
        <f>IF(X2047="Sin Pago","",IFERROR(INDEX(Pagos_Odoo!$F:$F, MATCH(X2047, Pagos_Odoo!$B:$B, 0)), ""))</f>
        <v/>
      </c>
      <c r="AB2047" s="81">
        <f>IF(X2047="Sin Pago",0,IFERROR(INDEX(Pagos_Odoo!$E:$E, MATCH(X2047, Pagos_Odoo!$B:$B, 0)), 0))</f>
        <v/>
      </c>
      <c r="AC2047" s="79">
        <f>IF(X2047="Sin Pago","",IFERROR(INDEX(Pagos_Odoo!$G:$G, MATCH(X2047, Pagos_Odoo!$B:$B, 0)), ""))</f>
        <v/>
      </c>
      <c r="AD2047" s="82" t="n">
        <v>0</v>
      </c>
      <c r="AE2047" s="82" t="n"/>
      <c r="AF2047" s="82" t="n"/>
      <c r="AG2047" s="82">
        <f>IF(AN2047="","",AD2047+AE2047+AF2047)</f>
        <v/>
      </c>
      <c r="AH2047" s="81">
        <f>IF(AN2047="","",P2047*(1-AG2047))</f>
        <v/>
      </c>
      <c r="AI2047" s="81">
        <f>IF(AN2047="","",IF(Q2047="Sin Factura",0,IFERROR(INDEX(Facturas_Odoo!$H:$H, MATCH(Q2047, Facturas_Odoo!$B:$B, 0)), 0)*(1-AG2047)))</f>
        <v/>
      </c>
      <c r="AJ2047" s="81">
        <f>IF(AN2047="","",_xlfn.LET(idVenta, AN2047&amp;"",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47" s="81">
        <f>IF(AN2047="","",AH2047-AJ2047)</f>
        <v/>
      </c>
      <c r="AL2047" s="81">
        <f>IF(AN2047="","",IF(Q2047="Sin Factura","",AI2047-AJ2047))</f>
        <v/>
      </c>
      <c r="AM2047" s="81">
        <f>IF(AN2047="","",IF(Q2047="Sin Factura",0,P2047-IFERROR(INDEX(Facturas_Odoo!$H:$H, MATCH(Q2047, Facturas_Odoo!$B:$B, 0)), 0)))</f>
        <v/>
      </c>
      <c r="AN2047" s="79">
        <f>IF(AND(A2047="", J2047=""), "", IF(A2047&lt;&gt;"", VALUE(MID(A2047,2,LEN(A2047))), AN2046))</f>
        <v/>
      </c>
      <c r="AO2047" s="79">
        <f>IF(AN2047="","",IF(AD2047=0,"OK",_xlfn.LET(monedaPago, IF(AA2047="","USD",AA2047), limitePermitido, IFERROR(VLOOKUP(monedaPago, Configuración!$A$2:$B$3, 2, FALSE), 0.15), IF(AD2047&gt;limitePermitido, "ALERTA: EXCESO (" &amp; TEXT(limitePermitido, "0%") &amp; " máx)", "OK"))))</f>
        <v/>
      </c>
      <c r="AP2047" s="79">
        <f>IF(AN2047="","",IF(AE2047=0,"OK",_xlfn.LET(fechaPago, Z2047, fechaFactura, R2047, diasCredito, IF(E2047="Pago inmediato", 0, IFERROR(VALUE(MID(E2047, 1, SEARCH(" ", E2047)-1)),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47" s="79">
        <f>IF(AN2047="","",IF(AND(N2047&gt;0, AG2047&gt;0), IF(Configuración!$K$2="NO", "ALERTA: DESCUENTO DOBLE NO PERMITIDO", "OK"), "OK"))</f>
        <v/>
      </c>
      <c r="AR2047" s="79">
        <f>IF(AN2047="","",IF(OR(AO2047&lt;&gt;"OK", AP2047&lt;&gt;"OK", AQ2047&lt;&gt;"OK"), "⚠️ REVISAR", "OK"))</f>
        <v/>
      </c>
    </row>
    <row r="2048">
      <c r="A2048" s="79">
        <f>IF('Ordenes_Odoo'!A2048="","",'Ordenes_Odoo'!A2048)</f>
        <v/>
      </c>
      <c r="B2048" s="80">
        <f>IF('Ordenes_Odoo'!B2048="","",'Ordenes_Odoo'!B2048)</f>
        <v/>
      </c>
      <c r="C2048" s="79">
        <f>IF('Ordenes_Odoo'!C2048="","",'Ordenes_Odoo'!C2048)</f>
        <v/>
      </c>
      <c r="D2048" s="79">
        <f>IF('Ordenes_Odoo'!D2048="","",'Ordenes_Odoo'!D2048)</f>
        <v/>
      </c>
      <c r="E2048" s="79">
        <f>IF('Ordenes_Odoo'!E2048="","",'Ordenes_Odoo'!E2048)</f>
        <v/>
      </c>
      <c r="F2048" s="79">
        <f>IF('Ordenes_Odoo'!F2048="","",'Ordenes_Odoo'!F2048)</f>
        <v/>
      </c>
      <c r="G2048" s="79">
        <f>IF('Ordenes_Odoo'!G2048="","",'Ordenes_Odoo'!G2048)</f>
        <v/>
      </c>
      <c r="H2048" s="79">
        <f>IF('Ordenes_Odoo'!H2048="","",'Ordenes_Odoo'!H2048)</f>
        <v/>
      </c>
      <c r="I2048" s="79">
        <f>IF('Ordenes_Odoo'!I2048="","",'Ordenes_Odoo'!I2048)</f>
        <v/>
      </c>
      <c r="J2048" s="79">
        <f>IF('Ordenes_Odoo'!J2048="","",'Ordenes_Odoo'!J2048)</f>
        <v/>
      </c>
      <c r="K2048" s="81">
        <f>IF('Ordenes_Odoo'!K2048="","",'Ordenes_Odoo'!K2048)</f>
        <v/>
      </c>
      <c r="L2048" s="81">
        <f>IF('Ordenes_Odoo'!L2048="","",'Ordenes_Odoo'!L2048)</f>
        <v/>
      </c>
      <c r="M2048" s="79">
        <f>IF('Ordenes_Odoo'!M2048="","",'Ordenes_Odoo'!M2048)</f>
        <v/>
      </c>
      <c r="N2048" s="79">
        <f>IF('Ordenes_Odoo'!N2048="","",'Ordenes_Odoo'!N2048)</f>
        <v/>
      </c>
      <c r="O2048" s="81">
        <f>IF('Ordenes_Odoo'!O2048="","",'Ordenes_Odoo'!O2048)</f>
        <v/>
      </c>
      <c r="P2048" s="81">
        <f>IF('Ordenes_Odoo'!P2048="","",'Ordenes_Odoo'!P2048)</f>
        <v/>
      </c>
      <c r="Q2048" s="79">
        <f>IF(A2048="","",IFERROR(INDEX(Facturas_Odoo!$B:$B, MATCH(A2048, Facturas_Odoo!$D:$D, 0)), "Sin Factura"))</f>
        <v/>
      </c>
      <c r="R2048" s="80">
        <f>IF(Q2048="Sin Factura","",IFERROR(INDEX(Facturas_Odoo!$A:$A, MATCH(Q2048, Facturas_Odoo!$B:$B, 0)), ""))</f>
        <v/>
      </c>
      <c r="S2048" s="79">
        <f>IF(Q2048="Sin Factura","",IFERROR(_xlfn.XLOOKUP(1, (Facturas_Odoo!$D:$D=A2048) * (Facturas_Odoo!$K:$K=I2048), Facturas_Odoo!$L:$L, ""), ""))</f>
        <v/>
      </c>
      <c r="T2048" s="81">
        <f>IF(Q2048="Sin Factura",0,IFERROR(_xlfn.XLOOKUP(1, (Facturas_Odoo!$D:$D=A2048) * (Facturas_Odoo!$K:$K=I2048), Facturas_Odoo!$M:$M, 0), 0))</f>
        <v/>
      </c>
      <c r="U2048" s="79">
        <f>IF(Q2048="Sin Factura",0,IFERROR(_xlfn.XLOOKUP(1, (Facturas_Odoo!$D:$D=A2048) * (Facturas_Odoo!$K:$K=I2048), Facturas_Odoo!$N:$N, 0), 0))</f>
        <v/>
      </c>
      <c r="V2048" s="79">
        <f>IF(Q2048="Sin Factura",0,IFERROR(_xlfn.XLOOKUP(1, (Facturas_Odoo!$D:$D=A2048) * (Facturas_Odoo!$K:$K=I2048), Facturas_Odoo!$O:$O, 0), 0))</f>
        <v/>
      </c>
      <c r="W2048" s="81">
        <f>IF(Q2048="Sin Factura",0,IFERROR(_xlfn.XLOOKUP(1, (Facturas_Odoo!$D:$D=A2048) * (Facturas_Odoo!$K:$K=I2048), Facturas_Odoo!$Q:$Q, 0), 0))</f>
        <v/>
      </c>
      <c r="X2048" s="79">
        <f>IF(OR(Q2048="Sin Factura",Q2048=""),"",IFERROR(INDEX(Pagos_Odoo!$B:$B, MATCH(Q2048, Pagos_Odoo!$I:$I, 0)), "Sin Pago"))</f>
        <v/>
      </c>
      <c r="Y2048" s="79">
        <f>IF(X2048="Sin Pago","",IFERROR(INDEX(Pagos_Odoo!$C:$C, MATCH(X2048, Pagos_Odoo!$B:$B, 0)), ""))</f>
        <v/>
      </c>
      <c r="Z2048" s="80">
        <f>IF(X2048="Sin Pago","",IFERROR(INDEX(Pagos_Odoo!$A:$A, MATCH(X2048, Pagos_Odoo!$B:$B, 0)), ""))</f>
        <v/>
      </c>
      <c r="AA2048" s="79">
        <f>IF(X2048="Sin Pago","",IFERROR(INDEX(Pagos_Odoo!$F:$F, MATCH(X2048, Pagos_Odoo!$B:$B, 0)), ""))</f>
        <v/>
      </c>
      <c r="AB2048" s="81">
        <f>IF(X2048="Sin Pago",0,IFERROR(INDEX(Pagos_Odoo!$E:$E, MATCH(X2048, Pagos_Odoo!$B:$B, 0)), 0))</f>
        <v/>
      </c>
      <c r="AC2048" s="79">
        <f>IF(X2048="Sin Pago","",IFERROR(INDEX(Pagos_Odoo!$G:$G, MATCH(X2048, Pagos_Odoo!$B:$B, 0)), ""))</f>
        <v/>
      </c>
      <c r="AD2048" s="82" t="n">
        <v>0</v>
      </c>
      <c r="AE2048" s="82" t="n"/>
      <c r="AF2048" s="82" t="n"/>
      <c r="AG2048" s="82">
        <f>IF(AN2048="","",AD2048+AE2048+AF2048)</f>
        <v/>
      </c>
      <c r="AH2048" s="81">
        <f>IF(AN2048="","",P2048*(1-AG2048))</f>
        <v/>
      </c>
      <c r="AI2048" s="81">
        <f>IF(AN2048="","",IF(Q2048="Sin Factura",0,IFERROR(INDEX(Facturas_Odoo!$H:$H, MATCH(Q2048, Facturas_Odoo!$B:$B, 0)), 0)*(1-AG2048)))</f>
        <v/>
      </c>
      <c r="AJ2048" s="81">
        <f>IF(AN2048="","",_xlfn.LET(idVenta, AN2048&amp;"",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48" s="81">
        <f>IF(AN2048="","",AH2048-AJ2048)</f>
        <v/>
      </c>
      <c r="AL2048" s="81">
        <f>IF(AN2048="","",IF(Q2048="Sin Factura","",AI2048-AJ2048))</f>
        <v/>
      </c>
      <c r="AM2048" s="81">
        <f>IF(AN2048="","",IF(Q2048="Sin Factura",0,P2048-IFERROR(INDEX(Facturas_Odoo!$H:$H, MATCH(Q2048, Facturas_Odoo!$B:$B, 0)), 0)))</f>
        <v/>
      </c>
      <c r="AN2048" s="79">
        <f>IF(AND(A2048="", J2048=""), "", IF(A2048&lt;&gt;"", VALUE(MID(A2048,2,LEN(A2048))), AN2047))</f>
        <v/>
      </c>
      <c r="AO2048" s="79">
        <f>IF(AN2048="","",IF(AD2048=0,"OK",_xlfn.LET(monedaPago, IF(AA2048="","USD",AA2048), limitePermitido, IFERROR(VLOOKUP(monedaPago, Configuración!$A$2:$B$3, 2, FALSE), 0.15), IF(AD2048&gt;limitePermitido, "ALERTA: EXCESO (" &amp; TEXT(limitePermitido, "0%") &amp; " máx)", "OK"))))</f>
        <v/>
      </c>
      <c r="AP2048" s="79">
        <f>IF(AN2048="","",IF(AE2048=0,"OK",_xlfn.LET(fechaPago, Z2048, fechaFactura, R2048, diasCredito, IF(E2048="Pago inmediato", 0, IFERROR(VALUE(MID(E2048, 1, SEARCH(" ", E2048)-1)),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48" s="79">
        <f>IF(AN2048="","",IF(AND(N2048&gt;0, AG2048&gt;0), IF(Configuración!$K$2="NO", "ALERTA: DESCUENTO DOBLE NO PERMITIDO", "OK"), "OK"))</f>
        <v/>
      </c>
      <c r="AR2048" s="79">
        <f>IF(AN2048="","",IF(OR(AO2048&lt;&gt;"OK", AP2048&lt;&gt;"OK", AQ2048&lt;&gt;"OK"), "⚠️ REVISAR", "OK"))</f>
        <v/>
      </c>
    </row>
    <row r="2049">
      <c r="A2049" s="79">
        <f>IF('Ordenes_Odoo'!A2049="","",'Ordenes_Odoo'!A2049)</f>
        <v/>
      </c>
      <c r="B2049" s="80">
        <f>IF('Ordenes_Odoo'!B2049="","",'Ordenes_Odoo'!B2049)</f>
        <v/>
      </c>
      <c r="C2049" s="79">
        <f>IF('Ordenes_Odoo'!C2049="","",'Ordenes_Odoo'!C2049)</f>
        <v/>
      </c>
      <c r="D2049" s="79">
        <f>IF('Ordenes_Odoo'!D2049="","",'Ordenes_Odoo'!D2049)</f>
        <v/>
      </c>
      <c r="E2049" s="79">
        <f>IF('Ordenes_Odoo'!E2049="","",'Ordenes_Odoo'!E2049)</f>
        <v/>
      </c>
      <c r="F2049" s="79">
        <f>IF('Ordenes_Odoo'!F2049="","",'Ordenes_Odoo'!F2049)</f>
        <v/>
      </c>
      <c r="G2049" s="79">
        <f>IF('Ordenes_Odoo'!G2049="","",'Ordenes_Odoo'!G2049)</f>
        <v/>
      </c>
      <c r="H2049" s="79">
        <f>IF('Ordenes_Odoo'!H2049="","",'Ordenes_Odoo'!H2049)</f>
        <v/>
      </c>
      <c r="I2049" s="79">
        <f>IF('Ordenes_Odoo'!I2049="","",'Ordenes_Odoo'!I2049)</f>
        <v/>
      </c>
      <c r="J2049" s="79">
        <f>IF('Ordenes_Odoo'!J2049="","",'Ordenes_Odoo'!J2049)</f>
        <v/>
      </c>
      <c r="K2049" s="81">
        <f>IF('Ordenes_Odoo'!K2049="","",'Ordenes_Odoo'!K2049)</f>
        <v/>
      </c>
      <c r="L2049" s="81">
        <f>IF('Ordenes_Odoo'!L2049="","",'Ordenes_Odoo'!L2049)</f>
        <v/>
      </c>
      <c r="M2049" s="79">
        <f>IF('Ordenes_Odoo'!M2049="","",'Ordenes_Odoo'!M2049)</f>
        <v/>
      </c>
      <c r="N2049" s="79">
        <f>IF('Ordenes_Odoo'!N2049="","",'Ordenes_Odoo'!N2049)</f>
        <v/>
      </c>
      <c r="O2049" s="81">
        <f>IF('Ordenes_Odoo'!O2049="","",'Ordenes_Odoo'!O2049)</f>
        <v/>
      </c>
      <c r="P2049" s="81">
        <f>IF('Ordenes_Odoo'!P2049="","",'Ordenes_Odoo'!P2049)</f>
        <v/>
      </c>
      <c r="Q2049" s="79">
        <f>IF(A2049="","",IFERROR(INDEX(Facturas_Odoo!$B:$B, MATCH(A2049, Facturas_Odoo!$D:$D, 0)), "Sin Factura"))</f>
        <v/>
      </c>
      <c r="R2049" s="80">
        <f>IF(Q2049="Sin Factura","",IFERROR(INDEX(Facturas_Odoo!$A:$A, MATCH(Q2049, Facturas_Odoo!$B:$B, 0)), ""))</f>
        <v/>
      </c>
      <c r="S2049" s="79">
        <f>IF(Q2049="Sin Factura","",IFERROR(_xlfn.XLOOKUP(1, (Facturas_Odoo!$D:$D=A2049) * (Facturas_Odoo!$K:$K=I2049), Facturas_Odoo!$L:$L, ""), ""))</f>
        <v/>
      </c>
      <c r="T2049" s="81">
        <f>IF(Q2049="Sin Factura",0,IFERROR(_xlfn.XLOOKUP(1, (Facturas_Odoo!$D:$D=A2049) * (Facturas_Odoo!$K:$K=I2049), Facturas_Odoo!$M:$M, 0), 0))</f>
        <v/>
      </c>
      <c r="U2049" s="79">
        <f>IF(Q2049="Sin Factura",0,IFERROR(_xlfn.XLOOKUP(1, (Facturas_Odoo!$D:$D=A2049) * (Facturas_Odoo!$K:$K=I2049), Facturas_Odoo!$N:$N, 0), 0))</f>
        <v/>
      </c>
      <c r="V2049" s="79">
        <f>IF(Q2049="Sin Factura",0,IFERROR(_xlfn.XLOOKUP(1, (Facturas_Odoo!$D:$D=A2049) * (Facturas_Odoo!$K:$K=I2049), Facturas_Odoo!$O:$O, 0), 0))</f>
        <v/>
      </c>
      <c r="W2049" s="81">
        <f>IF(Q2049="Sin Factura",0,IFERROR(_xlfn.XLOOKUP(1, (Facturas_Odoo!$D:$D=A2049) * (Facturas_Odoo!$K:$K=I2049), Facturas_Odoo!$Q:$Q, 0), 0))</f>
        <v/>
      </c>
      <c r="X2049" s="79">
        <f>IF(OR(Q2049="Sin Factura",Q2049=""),"",IFERROR(INDEX(Pagos_Odoo!$B:$B, MATCH(Q2049, Pagos_Odoo!$I:$I, 0)), "Sin Pago"))</f>
        <v/>
      </c>
      <c r="Y2049" s="79">
        <f>IF(X2049="Sin Pago","",IFERROR(INDEX(Pagos_Odoo!$C:$C, MATCH(X2049, Pagos_Odoo!$B:$B, 0)), ""))</f>
        <v/>
      </c>
      <c r="Z2049" s="80">
        <f>IF(X2049="Sin Pago","",IFERROR(INDEX(Pagos_Odoo!$A:$A, MATCH(X2049, Pagos_Odoo!$B:$B, 0)), ""))</f>
        <v/>
      </c>
      <c r="AA2049" s="79">
        <f>IF(X2049="Sin Pago","",IFERROR(INDEX(Pagos_Odoo!$F:$F, MATCH(X2049, Pagos_Odoo!$B:$B, 0)), ""))</f>
        <v/>
      </c>
      <c r="AB2049" s="81">
        <f>IF(X2049="Sin Pago",0,IFERROR(INDEX(Pagos_Odoo!$E:$E, MATCH(X2049, Pagos_Odoo!$B:$B, 0)), 0))</f>
        <v/>
      </c>
      <c r="AC2049" s="79">
        <f>IF(X2049="Sin Pago","",IFERROR(INDEX(Pagos_Odoo!$G:$G, MATCH(X2049, Pagos_Odoo!$B:$B, 0)), ""))</f>
        <v/>
      </c>
      <c r="AD2049" s="82" t="n">
        <v>0</v>
      </c>
      <c r="AE2049" s="82" t="n"/>
      <c r="AF2049" s="82" t="n"/>
      <c r="AG2049" s="82">
        <f>IF(AN2049="","",AD2049+AE2049+AF2049)</f>
        <v/>
      </c>
      <c r="AH2049" s="81">
        <f>IF(AN2049="","",P2049*(1-AG2049))</f>
        <v/>
      </c>
      <c r="AI2049" s="81">
        <f>IF(AN2049="","",IF(Q2049="Sin Factura",0,IFERROR(INDEX(Facturas_Odoo!$H:$H, MATCH(Q2049, Facturas_Odoo!$B:$B, 0)), 0)*(1-AG2049)))</f>
        <v/>
      </c>
      <c r="AJ2049" s="81">
        <f>IF(AN2049="","",_xlfn.LET(idVenta, AN2049&amp;"",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49" s="81">
        <f>IF(AN2049="","",AH2049-AJ2049)</f>
        <v/>
      </c>
      <c r="AL2049" s="81">
        <f>IF(AN2049="","",IF(Q2049="Sin Factura","",AI2049-AJ2049))</f>
        <v/>
      </c>
      <c r="AM2049" s="81">
        <f>IF(AN2049="","",IF(Q2049="Sin Factura",0,P2049-IFERROR(INDEX(Facturas_Odoo!$H:$H, MATCH(Q2049, Facturas_Odoo!$B:$B, 0)), 0)))</f>
        <v/>
      </c>
      <c r="AN2049" s="79">
        <f>IF(AND(A2049="", J2049=""), "", IF(A2049&lt;&gt;"", VALUE(MID(A2049,2,LEN(A2049))), AN2048))</f>
        <v/>
      </c>
      <c r="AO2049" s="79">
        <f>IF(AN2049="","",IF(AD2049=0,"OK",_xlfn.LET(monedaPago, IF(AA2049="","USD",AA2049), limitePermitido, IFERROR(VLOOKUP(monedaPago, Configuración!$A$2:$B$3, 2, FALSE), 0.15), IF(AD2049&gt;limitePermitido, "ALERTA: EXCESO (" &amp; TEXT(limitePermitido, "0%") &amp; " máx)", "OK"))))</f>
        <v/>
      </c>
      <c r="AP2049" s="79">
        <f>IF(AN2049="","",IF(AE2049=0,"OK",_xlfn.LET(fechaPago, Z2049, fechaFactura, R2049, diasCredito, IF(E2049="Pago inmediato", 0, IFERROR(VALUE(MID(E2049, 1, SEARCH(" ", E2049)-1)),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49" s="79">
        <f>IF(AN2049="","",IF(AND(N2049&gt;0, AG2049&gt;0), IF(Configuración!$K$2="NO", "ALERTA: DESCUENTO DOBLE NO PERMITIDO", "OK"), "OK"))</f>
        <v/>
      </c>
      <c r="AR2049" s="79">
        <f>IF(AN2049="","",IF(OR(AO2049&lt;&gt;"OK", AP2049&lt;&gt;"OK", AQ2049&lt;&gt;"OK"), "⚠️ REVISAR", "OK"))</f>
        <v/>
      </c>
    </row>
    <row r="2050">
      <c r="A2050" s="79">
        <f>IF('Ordenes_Odoo'!A2050="","",'Ordenes_Odoo'!A2050)</f>
        <v/>
      </c>
      <c r="B2050" s="80">
        <f>IF('Ordenes_Odoo'!B2050="","",'Ordenes_Odoo'!B2050)</f>
        <v/>
      </c>
      <c r="C2050" s="79">
        <f>IF('Ordenes_Odoo'!C2050="","",'Ordenes_Odoo'!C2050)</f>
        <v/>
      </c>
      <c r="D2050" s="79">
        <f>IF('Ordenes_Odoo'!D2050="","",'Ordenes_Odoo'!D2050)</f>
        <v/>
      </c>
      <c r="E2050" s="79">
        <f>IF('Ordenes_Odoo'!E2050="","",'Ordenes_Odoo'!E2050)</f>
        <v/>
      </c>
      <c r="F2050" s="79">
        <f>IF('Ordenes_Odoo'!F2050="","",'Ordenes_Odoo'!F2050)</f>
        <v/>
      </c>
      <c r="G2050" s="79">
        <f>IF('Ordenes_Odoo'!G2050="","",'Ordenes_Odoo'!G2050)</f>
        <v/>
      </c>
      <c r="H2050" s="79">
        <f>IF('Ordenes_Odoo'!H2050="","",'Ordenes_Odoo'!H2050)</f>
        <v/>
      </c>
      <c r="I2050" s="79">
        <f>IF('Ordenes_Odoo'!I2050="","",'Ordenes_Odoo'!I2050)</f>
        <v/>
      </c>
      <c r="J2050" s="79">
        <f>IF('Ordenes_Odoo'!J2050="","",'Ordenes_Odoo'!J2050)</f>
        <v/>
      </c>
      <c r="K2050" s="81">
        <f>IF('Ordenes_Odoo'!K2050="","",'Ordenes_Odoo'!K2050)</f>
        <v/>
      </c>
      <c r="L2050" s="81">
        <f>IF('Ordenes_Odoo'!L2050="","",'Ordenes_Odoo'!L2050)</f>
        <v/>
      </c>
      <c r="M2050" s="79">
        <f>IF('Ordenes_Odoo'!M2050="","",'Ordenes_Odoo'!M2050)</f>
        <v/>
      </c>
      <c r="N2050" s="79">
        <f>IF('Ordenes_Odoo'!N2050="","",'Ordenes_Odoo'!N2050)</f>
        <v/>
      </c>
      <c r="O2050" s="81">
        <f>IF('Ordenes_Odoo'!O2050="","",'Ordenes_Odoo'!O2050)</f>
        <v/>
      </c>
      <c r="P2050" s="81">
        <f>IF('Ordenes_Odoo'!P2050="","",'Ordenes_Odoo'!P2050)</f>
        <v/>
      </c>
      <c r="Q2050" s="79">
        <f>IF(A2050="","",IFERROR(INDEX(Facturas_Odoo!$B:$B, MATCH(A2050, Facturas_Odoo!$D:$D, 0)), "Sin Factura"))</f>
        <v/>
      </c>
      <c r="R2050" s="80">
        <f>IF(Q2050="Sin Factura","",IFERROR(INDEX(Facturas_Odoo!$A:$A, MATCH(Q2050, Facturas_Odoo!$B:$B, 0)), ""))</f>
        <v/>
      </c>
      <c r="S2050" s="79">
        <f>IF(Q2050="Sin Factura","",IFERROR(_xlfn.XLOOKUP(1, (Facturas_Odoo!$D:$D=A2050) * (Facturas_Odoo!$K:$K=I2050), Facturas_Odoo!$L:$L, ""), ""))</f>
        <v/>
      </c>
      <c r="T2050" s="81">
        <f>IF(Q2050="Sin Factura",0,IFERROR(_xlfn.XLOOKUP(1, (Facturas_Odoo!$D:$D=A2050) * (Facturas_Odoo!$K:$K=I2050), Facturas_Odoo!$M:$M, 0), 0))</f>
        <v/>
      </c>
      <c r="U2050" s="79">
        <f>IF(Q2050="Sin Factura",0,IFERROR(_xlfn.XLOOKUP(1, (Facturas_Odoo!$D:$D=A2050) * (Facturas_Odoo!$K:$K=I2050), Facturas_Odoo!$N:$N, 0), 0))</f>
        <v/>
      </c>
      <c r="V2050" s="79">
        <f>IF(Q2050="Sin Factura",0,IFERROR(_xlfn.XLOOKUP(1, (Facturas_Odoo!$D:$D=A2050) * (Facturas_Odoo!$K:$K=I2050), Facturas_Odoo!$O:$O, 0), 0))</f>
        <v/>
      </c>
      <c r="W2050" s="81">
        <f>IF(Q2050="Sin Factura",0,IFERROR(_xlfn.XLOOKUP(1, (Facturas_Odoo!$D:$D=A2050) * (Facturas_Odoo!$K:$K=I2050), Facturas_Odoo!$Q:$Q, 0), 0))</f>
        <v/>
      </c>
      <c r="X2050" s="79">
        <f>IF(OR(Q2050="Sin Factura",Q2050=""),"",IFERROR(INDEX(Pagos_Odoo!$B:$B, MATCH(Q2050, Pagos_Odoo!$I:$I, 0)), "Sin Pago"))</f>
        <v/>
      </c>
      <c r="Y2050" s="79">
        <f>IF(X2050="Sin Pago","",IFERROR(INDEX(Pagos_Odoo!$C:$C, MATCH(X2050, Pagos_Odoo!$B:$B, 0)), ""))</f>
        <v/>
      </c>
      <c r="Z2050" s="80">
        <f>IF(X2050="Sin Pago","",IFERROR(INDEX(Pagos_Odoo!$A:$A, MATCH(X2050, Pagos_Odoo!$B:$B, 0)), ""))</f>
        <v/>
      </c>
      <c r="AA2050" s="79">
        <f>IF(X2050="Sin Pago","",IFERROR(INDEX(Pagos_Odoo!$F:$F, MATCH(X2050, Pagos_Odoo!$B:$B, 0)), ""))</f>
        <v/>
      </c>
      <c r="AB2050" s="81">
        <f>IF(X2050="Sin Pago",0,IFERROR(INDEX(Pagos_Odoo!$E:$E, MATCH(X2050, Pagos_Odoo!$B:$B, 0)), 0))</f>
        <v/>
      </c>
      <c r="AC2050" s="79">
        <f>IF(X2050="Sin Pago","",IFERROR(INDEX(Pagos_Odoo!$G:$G, MATCH(X2050, Pagos_Odoo!$B:$B, 0)), ""))</f>
        <v/>
      </c>
      <c r="AD2050" s="82" t="n">
        <v>0</v>
      </c>
      <c r="AE2050" s="82" t="n"/>
      <c r="AF2050" s="82" t="n"/>
      <c r="AG2050" s="82">
        <f>IF(AN2050="","",AD2050+AE2050+AF2050)</f>
        <v/>
      </c>
      <c r="AH2050" s="81">
        <f>IF(AN2050="","",P2050*(1-AG2050))</f>
        <v/>
      </c>
      <c r="AI2050" s="81">
        <f>IF(AN2050="","",IF(Q2050="Sin Factura",0,IFERROR(INDEX(Facturas_Odoo!$H:$H, MATCH(Q2050, Facturas_Odoo!$B:$B, 0)), 0)*(1-AG2050)))</f>
        <v/>
      </c>
      <c r="AJ2050" s="81">
        <f>IF(AN2050="","",_xlfn.LET(idVenta, AN2050&amp;"",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50" s="81">
        <f>IF(AN2050="","",AH2050-AJ2050)</f>
        <v/>
      </c>
      <c r="AL2050" s="81">
        <f>IF(AN2050="","",IF(Q2050="Sin Factura","",AI2050-AJ2050))</f>
        <v/>
      </c>
      <c r="AM2050" s="81">
        <f>IF(AN2050="","",IF(Q2050="Sin Factura",0,P2050-IFERROR(INDEX(Facturas_Odoo!$H:$H, MATCH(Q2050, Facturas_Odoo!$B:$B, 0)), 0)))</f>
        <v/>
      </c>
      <c r="AN2050" s="79">
        <f>IF(AND(A2050="", J2050=""), "", IF(A2050&lt;&gt;"", VALUE(MID(A2050,2,LEN(A2050))), AN2049))</f>
        <v/>
      </c>
      <c r="AO2050" s="79">
        <f>IF(AN2050="","",IF(AD2050=0,"OK",_xlfn.LET(monedaPago, IF(AA2050="","USD",AA2050), limitePermitido, IFERROR(VLOOKUP(monedaPago, Configuración!$A$2:$B$3, 2, FALSE), 0.15), IF(AD2050&gt;limitePermitido, "ALERTA: EXCESO (" &amp; TEXT(limitePermitido, "0%") &amp; " máx)", "OK"))))</f>
        <v/>
      </c>
      <c r="AP2050" s="79">
        <f>IF(AN2050="","",IF(AE2050=0,"OK",_xlfn.LET(fechaPago, Z2050, fechaFactura, R2050, diasCredito, IF(E2050="Pago inmediato", 0, IFERROR(VALUE(MID(E2050, 1, SEARCH(" ", E2050)-1)),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50" s="79">
        <f>IF(AN2050="","",IF(AND(N2050&gt;0, AG2050&gt;0), IF(Configuración!$K$2="NO", "ALERTA: DESCUENTO DOBLE NO PERMITIDO", "OK"), "OK"))</f>
        <v/>
      </c>
      <c r="AR2050" s="79">
        <f>IF(AN2050="","",IF(OR(AO2050&lt;&gt;"OK", AP2050&lt;&gt;"OK", AQ2050&lt;&gt;"OK"), "⚠️ REVISAR", "OK"))</f>
        <v/>
      </c>
    </row>
    <row r="2051">
      <c r="A2051" s="79">
        <f>IF('Ordenes_Odoo'!A2051="","",'Ordenes_Odoo'!A2051)</f>
        <v/>
      </c>
      <c r="B2051" s="80">
        <f>IF('Ordenes_Odoo'!B2051="","",'Ordenes_Odoo'!B2051)</f>
        <v/>
      </c>
      <c r="C2051" s="79">
        <f>IF('Ordenes_Odoo'!C2051="","",'Ordenes_Odoo'!C2051)</f>
        <v/>
      </c>
      <c r="D2051" s="79">
        <f>IF('Ordenes_Odoo'!D2051="","",'Ordenes_Odoo'!D2051)</f>
        <v/>
      </c>
      <c r="E2051" s="79">
        <f>IF('Ordenes_Odoo'!E2051="","",'Ordenes_Odoo'!E2051)</f>
        <v/>
      </c>
      <c r="F2051" s="79">
        <f>IF('Ordenes_Odoo'!F2051="","",'Ordenes_Odoo'!F2051)</f>
        <v/>
      </c>
      <c r="G2051" s="79">
        <f>IF('Ordenes_Odoo'!G2051="","",'Ordenes_Odoo'!G2051)</f>
        <v/>
      </c>
      <c r="H2051" s="79">
        <f>IF('Ordenes_Odoo'!H2051="","",'Ordenes_Odoo'!H2051)</f>
        <v/>
      </c>
      <c r="I2051" s="79">
        <f>IF('Ordenes_Odoo'!I2051="","",'Ordenes_Odoo'!I2051)</f>
        <v/>
      </c>
      <c r="J2051" s="79">
        <f>IF('Ordenes_Odoo'!J2051="","",'Ordenes_Odoo'!J2051)</f>
        <v/>
      </c>
      <c r="K2051" s="81">
        <f>IF('Ordenes_Odoo'!K2051="","",'Ordenes_Odoo'!K2051)</f>
        <v/>
      </c>
      <c r="L2051" s="81">
        <f>IF('Ordenes_Odoo'!L2051="","",'Ordenes_Odoo'!L2051)</f>
        <v/>
      </c>
      <c r="M2051" s="79">
        <f>IF('Ordenes_Odoo'!M2051="","",'Ordenes_Odoo'!M2051)</f>
        <v/>
      </c>
      <c r="N2051" s="79">
        <f>IF('Ordenes_Odoo'!N2051="","",'Ordenes_Odoo'!N2051)</f>
        <v/>
      </c>
      <c r="O2051" s="81">
        <f>IF('Ordenes_Odoo'!O2051="","",'Ordenes_Odoo'!O2051)</f>
        <v/>
      </c>
      <c r="P2051" s="81">
        <f>IF('Ordenes_Odoo'!P2051="","",'Ordenes_Odoo'!P2051)</f>
        <v/>
      </c>
      <c r="Q2051" s="79">
        <f>IF(A2051="","",IFERROR(INDEX(Facturas_Odoo!$B:$B, MATCH(A2051, Facturas_Odoo!$D:$D, 0)), "Sin Factura"))</f>
        <v/>
      </c>
      <c r="R2051" s="80">
        <f>IF(Q2051="Sin Factura","",IFERROR(INDEX(Facturas_Odoo!$A:$A, MATCH(Q2051, Facturas_Odoo!$B:$B, 0)), ""))</f>
        <v/>
      </c>
      <c r="S2051" s="79">
        <f>IF(Q2051="Sin Factura","",IFERROR(_xlfn.XLOOKUP(1, (Facturas_Odoo!$D:$D=A2051) * (Facturas_Odoo!$K:$K=I2051), Facturas_Odoo!$L:$L, ""), ""))</f>
        <v/>
      </c>
      <c r="T2051" s="81">
        <f>IF(Q2051="Sin Factura",0,IFERROR(_xlfn.XLOOKUP(1, (Facturas_Odoo!$D:$D=A2051) * (Facturas_Odoo!$K:$K=I2051), Facturas_Odoo!$M:$M, 0), 0))</f>
        <v/>
      </c>
      <c r="U2051" s="79">
        <f>IF(Q2051="Sin Factura",0,IFERROR(_xlfn.XLOOKUP(1, (Facturas_Odoo!$D:$D=A2051) * (Facturas_Odoo!$K:$K=I2051), Facturas_Odoo!$N:$N, 0), 0))</f>
        <v/>
      </c>
      <c r="V2051" s="79">
        <f>IF(Q2051="Sin Factura",0,IFERROR(_xlfn.XLOOKUP(1, (Facturas_Odoo!$D:$D=A2051) * (Facturas_Odoo!$K:$K=I2051), Facturas_Odoo!$O:$O, 0), 0))</f>
        <v/>
      </c>
      <c r="W2051" s="81">
        <f>IF(Q2051="Sin Factura",0,IFERROR(_xlfn.XLOOKUP(1, (Facturas_Odoo!$D:$D=A2051) * (Facturas_Odoo!$K:$K=I2051), Facturas_Odoo!$Q:$Q, 0), 0))</f>
        <v/>
      </c>
      <c r="X2051" s="79">
        <f>IF(OR(Q2051="Sin Factura",Q2051=""),"",IFERROR(INDEX(Pagos_Odoo!$B:$B, MATCH(Q2051, Pagos_Odoo!$I:$I, 0)), "Sin Pago"))</f>
        <v/>
      </c>
      <c r="Y2051" s="79">
        <f>IF(X2051="Sin Pago","",IFERROR(INDEX(Pagos_Odoo!$C:$C, MATCH(X2051, Pagos_Odoo!$B:$B, 0)), ""))</f>
        <v/>
      </c>
      <c r="Z2051" s="80">
        <f>IF(X2051="Sin Pago","",IFERROR(INDEX(Pagos_Odoo!$A:$A, MATCH(X2051, Pagos_Odoo!$B:$B, 0)), ""))</f>
        <v/>
      </c>
      <c r="AA2051" s="79">
        <f>IF(X2051="Sin Pago","",IFERROR(INDEX(Pagos_Odoo!$F:$F, MATCH(X2051, Pagos_Odoo!$B:$B, 0)), ""))</f>
        <v/>
      </c>
      <c r="AB2051" s="81">
        <f>IF(X2051="Sin Pago",0,IFERROR(INDEX(Pagos_Odoo!$E:$E, MATCH(X2051, Pagos_Odoo!$B:$B, 0)), 0))</f>
        <v/>
      </c>
      <c r="AC2051" s="79">
        <f>IF(X2051="Sin Pago","",IFERROR(INDEX(Pagos_Odoo!$G:$G, MATCH(X2051, Pagos_Odoo!$B:$B, 0)), ""))</f>
        <v/>
      </c>
      <c r="AD2051" s="82" t="n">
        <v>0</v>
      </c>
      <c r="AE2051" s="82" t="n"/>
      <c r="AF2051" s="82" t="n"/>
      <c r="AG2051" s="82">
        <f>IF(AN2051="","",AD2051+AE2051+AF2051)</f>
        <v/>
      </c>
      <c r="AH2051" s="81">
        <f>IF(AN2051="","",P2051*(1-AG2051))</f>
        <v/>
      </c>
      <c r="AI2051" s="81">
        <f>IF(AN2051="","",IF(Q2051="Sin Factura",0,IFERROR(INDEX(Facturas_Odoo!$H:$H, MATCH(Q2051, Facturas_Odoo!$B:$B, 0)), 0)*(1-AG2051)))</f>
        <v/>
      </c>
      <c r="AJ2051" s="81">
        <f>IF(AN2051="","",_xlfn.LET(idVenta, AN2051&amp;"",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51" s="81">
        <f>IF(AN2051="","",AH2051-AJ2051)</f>
        <v/>
      </c>
      <c r="AL2051" s="81">
        <f>IF(AN2051="","",IF(Q2051="Sin Factura","",AI2051-AJ2051))</f>
        <v/>
      </c>
      <c r="AM2051" s="81">
        <f>IF(AN2051="","",IF(Q2051="Sin Factura",0,P2051-IFERROR(INDEX(Facturas_Odoo!$H:$H, MATCH(Q2051, Facturas_Odoo!$B:$B, 0)), 0)))</f>
        <v/>
      </c>
      <c r="AN2051" s="79">
        <f>IF(AND(A2051="", J2051=""), "", IF(A2051&lt;&gt;"", VALUE(MID(A2051,2,LEN(A2051))), AN2050))</f>
        <v/>
      </c>
      <c r="AO2051" s="79">
        <f>IF(AN2051="","",IF(AD2051=0,"OK",_xlfn.LET(monedaPago, IF(AA2051="","USD",AA2051), limitePermitido, IFERROR(VLOOKUP(monedaPago, Configuración!$A$2:$B$3, 2, FALSE), 0.15), IF(AD2051&gt;limitePermitido, "ALERTA: EXCESO (" &amp; TEXT(limitePermitido, "0%") &amp; " máx)", "OK"))))</f>
        <v/>
      </c>
      <c r="AP2051" s="79">
        <f>IF(AN2051="","",IF(AE2051=0,"OK",_xlfn.LET(fechaPago, Z2051, fechaFactura, R2051, diasCredito, IF(E2051="Pago inmediato", 0, IFERROR(VALUE(MID(E2051, 1, SEARCH(" ", E2051)-1)),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51" s="79">
        <f>IF(AN2051="","",IF(AND(N2051&gt;0, AG2051&gt;0), IF(Configuración!$K$2="NO", "ALERTA: DESCUENTO DOBLE NO PERMITIDO", "OK"), "OK"))</f>
        <v/>
      </c>
      <c r="AR2051" s="79">
        <f>IF(AN2051="","",IF(OR(AO2051&lt;&gt;"OK", AP2051&lt;&gt;"OK", AQ2051&lt;&gt;"OK"), "⚠️ REVISAR", "OK"))</f>
        <v/>
      </c>
    </row>
    <row r="2052">
      <c r="A2052" s="79">
        <f>IF('Ordenes_Odoo'!A2052="","",'Ordenes_Odoo'!A2052)</f>
        <v/>
      </c>
      <c r="B2052" s="80">
        <f>IF('Ordenes_Odoo'!B2052="","",'Ordenes_Odoo'!B2052)</f>
        <v/>
      </c>
      <c r="C2052" s="79">
        <f>IF('Ordenes_Odoo'!C2052="","",'Ordenes_Odoo'!C2052)</f>
        <v/>
      </c>
      <c r="D2052" s="79">
        <f>IF('Ordenes_Odoo'!D2052="","",'Ordenes_Odoo'!D2052)</f>
        <v/>
      </c>
      <c r="E2052" s="79">
        <f>IF('Ordenes_Odoo'!E2052="","",'Ordenes_Odoo'!E2052)</f>
        <v/>
      </c>
      <c r="F2052" s="79">
        <f>IF('Ordenes_Odoo'!F2052="","",'Ordenes_Odoo'!F2052)</f>
        <v/>
      </c>
      <c r="G2052" s="79">
        <f>IF('Ordenes_Odoo'!G2052="","",'Ordenes_Odoo'!G2052)</f>
        <v/>
      </c>
      <c r="H2052" s="79">
        <f>IF('Ordenes_Odoo'!H2052="","",'Ordenes_Odoo'!H2052)</f>
        <v/>
      </c>
      <c r="I2052" s="79">
        <f>IF('Ordenes_Odoo'!I2052="","",'Ordenes_Odoo'!I2052)</f>
        <v/>
      </c>
      <c r="J2052" s="79">
        <f>IF('Ordenes_Odoo'!J2052="","",'Ordenes_Odoo'!J2052)</f>
        <v/>
      </c>
      <c r="K2052" s="81">
        <f>IF('Ordenes_Odoo'!K2052="","",'Ordenes_Odoo'!K2052)</f>
        <v/>
      </c>
      <c r="L2052" s="81">
        <f>IF('Ordenes_Odoo'!L2052="","",'Ordenes_Odoo'!L2052)</f>
        <v/>
      </c>
      <c r="M2052" s="79">
        <f>IF('Ordenes_Odoo'!M2052="","",'Ordenes_Odoo'!M2052)</f>
        <v/>
      </c>
      <c r="N2052" s="79">
        <f>IF('Ordenes_Odoo'!N2052="","",'Ordenes_Odoo'!N2052)</f>
        <v/>
      </c>
      <c r="O2052" s="81">
        <f>IF('Ordenes_Odoo'!O2052="","",'Ordenes_Odoo'!O2052)</f>
        <v/>
      </c>
      <c r="P2052" s="81">
        <f>IF('Ordenes_Odoo'!P2052="","",'Ordenes_Odoo'!P2052)</f>
        <v/>
      </c>
      <c r="Q2052" s="79">
        <f>IF(A2052="","",IFERROR(INDEX(Facturas_Odoo!$B:$B, MATCH(A2052, Facturas_Odoo!$D:$D, 0)), "Sin Factura"))</f>
        <v/>
      </c>
      <c r="R2052" s="80">
        <f>IF(Q2052="Sin Factura","",IFERROR(INDEX(Facturas_Odoo!$A:$A, MATCH(Q2052, Facturas_Odoo!$B:$B, 0)), ""))</f>
        <v/>
      </c>
      <c r="S2052" s="79">
        <f>IF(Q2052="Sin Factura","",IFERROR(_xlfn.XLOOKUP(1, (Facturas_Odoo!$D:$D=A2052) * (Facturas_Odoo!$K:$K=I2052), Facturas_Odoo!$L:$L, ""), ""))</f>
        <v/>
      </c>
      <c r="T2052" s="81">
        <f>IF(Q2052="Sin Factura",0,IFERROR(_xlfn.XLOOKUP(1, (Facturas_Odoo!$D:$D=A2052) * (Facturas_Odoo!$K:$K=I2052), Facturas_Odoo!$M:$M, 0), 0))</f>
        <v/>
      </c>
      <c r="U2052" s="79">
        <f>IF(Q2052="Sin Factura",0,IFERROR(_xlfn.XLOOKUP(1, (Facturas_Odoo!$D:$D=A2052) * (Facturas_Odoo!$K:$K=I2052), Facturas_Odoo!$N:$N, 0), 0))</f>
        <v/>
      </c>
      <c r="V2052" s="79">
        <f>IF(Q2052="Sin Factura",0,IFERROR(_xlfn.XLOOKUP(1, (Facturas_Odoo!$D:$D=A2052) * (Facturas_Odoo!$K:$K=I2052), Facturas_Odoo!$O:$O, 0), 0))</f>
        <v/>
      </c>
      <c r="W2052" s="81">
        <f>IF(Q2052="Sin Factura",0,IFERROR(_xlfn.XLOOKUP(1, (Facturas_Odoo!$D:$D=A2052) * (Facturas_Odoo!$K:$K=I2052), Facturas_Odoo!$Q:$Q, 0), 0))</f>
        <v/>
      </c>
      <c r="X2052" s="79">
        <f>IF(OR(Q2052="Sin Factura",Q2052=""),"",IFERROR(INDEX(Pagos_Odoo!$B:$B, MATCH(Q2052, Pagos_Odoo!$I:$I, 0)), "Sin Pago"))</f>
        <v/>
      </c>
      <c r="Y2052" s="79">
        <f>IF(X2052="Sin Pago","",IFERROR(INDEX(Pagos_Odoo!$C:$C, MATCH(X2052, Pagos_Odoo!$B:$B, 0)), ""))</f>
        <v/>
      </c>
      <c r="Z2052" s="80">
        <f>IF(X2052="Sin Pago","",IFERROR(INDEX(Pagos_Odoo!$A:$A, MATCH(X2052, Pagos_Odoo!$B:$B, 0)), ""))</f>
        <v/>
      </c>
      <c r="AA2052" s="79">
        <f>IF(X2052="Sin Pago","",IFERROR(INDEX(Pagos_Odoo!$F:$F, MATCH(X2052, Pagos_Odoo!$B:$B, 0)), ""))</f>
        <v/>
      </c>
      <c r="AB2052" s="81">
        <f>IF(X2052="Sin Pago",0,IFERROR(INDEX(Pagos_Odoo!$E:$E, MATCH(X2052, Pagos_Odoo!$B:$B, 0)), 0))</f>
        <v/>
      </c>
      <c r="AC2052" s="79">
        <f>IF(X2052="Sin Pago","",IFERROR(INDEX(Pagos_Odoo!$G:$G, MATCH(X2052, Pagos_Odoo!$B:$B, 0)), ""))</f>
        <v/>
      </c>
      <c r="AD2052" s="82" t="n">
        <v>0</v>
      </c>
      <c r="AE2052" s="82" t="n"/>
      <c r="AF2052" s="82" t="n"/>
      <c r="AG2052" s="82">
        <f>IF(AN2052="","",AD2052+AE2052+AF2052)</f>
        <v/>
      </c>
      <c r="AH2052" s="81">
        <f>IF(AN2052="","",P2052*(1-AG2052))</f>
        <v/>
      </c>
      <c r="AI2052" s="81">
        <f>IF(AN2052="","",IF(Q2052="Sin Factura",0,IFERROR(INDEX(Facturas_Odoo!$H:$H, MATCH(Q2052, Facturas_Odoo!$B:$B, 0)), 0)*(1-AG2052)))</f>
        <v/>
      </c>
      <c r="AJ2052" s="81">
        <f>IF(AN2052="","",_xlfn.LET(idVenta, AN2052&amp;"",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52" s="81">
        <f>IF(AN2052="","",AH2052-AJ2052)</f>
        <v/>
      </c>
      <c r="AL2052" s="81">
        <f>IF(AN2052="","",IF(Q2052="Sin Factura","",AI2052-AJ2052))</f>
        <v/>
      </c>
      <c r="AM2052" s="81">
        <f>IF(AN2052="","",IF(Q2052="Sin Factura",0,P2052-IFERROR(INDEX(Facturas_Odoo!$H:$H, MATCH(Q2052, Facturas_Odoo!$B:$B, 0)), 0)))</f>
        <v/>
      </c>
      <c r="AN2052" s="79">
        <f>IF(AND(A2052="", J2052=""), "", IF(A2052&lt;&gt;"", VALUE(MID(A2052,2,LEN(A2052))), AN2051))</f>
        <v/>
      </c>
      <c r="AO2052" s="79">
        <f>IF(AN2052="","",IF(AD2052=0,"OK",_xlfn.LET(monedaPago, IF(AA2052="","USD",AA2052), limitePermitido, IFERROR(VLOOKUP(monedaPago, Configuración!$A$2:$B$3, 2, FALSE), 0.15), IF(AD2052&gt;limitePermitido, "ALERTA: EXCESO (" &amp; TEXT(limitePermitido, "0%") &amp; " máx)", "OK"))))</f>
        <v/>
      </c>
      <c r="AP2052" s="79">
        <f>IF(AN2052="","",IF(AE2052=0,"OK",_xlfn.LET(fechaPago, Z2052, fechaFactura, R2052, diasCredito, IF(E2052="Pago inmediato", 0, IFERROR(VALUE(MID(E2052, 1, SEARCH(" ", E2052)-1)),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52" s="79">
        <f>IF(AN2052="","",IF(AND(N2052&gt;0, AG2052&gt;0), IF(Configuración!$K$2="NO", "ALERTA: DESCUENTO DOBLE NO PERMITIDO", "OK"), "OK"))</f>
        <v/>
      </c>
      <c r="AR2052" s="79">
        <f>IF(AN2052="","",IF(OR(AO2052&lt;&gt;"OK", AP2052&lt;&gt;"OK", AQ2052&lt;&gt;"OK"), "⚠️ REVISAR", "OK"))</f>
        <v/>
      </c>
    </row>
    <row r="2053">
      <c r="A2053" s="79">
        <f>IF('Ordenes_Odoo'!A2053="","",'Ordenes_Odoo'!A2053)</f>
        <v/>
      </c>
      <c r="B2053" s="80">
        <f>IF('Ordenes_Odoo'!B2053="","",'Ordenes_Odoo'!B2053)</f>
        <v/>
      </c>
      <c r="C2053" s="79">
        <f>IF('Ordenes_Odoo'!C2053="","",'Ordenes_Odoo'!C2053)</f>
        <v/>
      </c>
      <c r="D2053" s="79">
        <f>IF('Ordenes_Odoo'!D2053="","",'Ordenes_Odoo'!D2053)</f>
        <v/>
      </c>
      <c r="E2053" s="79">
        <f>IF('Ordenes_Odoo'!E2053="","",'Ordenes_Odoo'!E2053)</f>
        <v/>
      </c>
      <c r="F2053" s="79">
        <f>IF('Ordenes_Odoo'!F2053="","",'Ordenes_Odoo'!F2053)</f>
        <v/>
      </c>
      <c r="G2053" s="79">
        <f>IF('Ordenes_Odoo'!G2053="","",'Ordenes_Odoo'!G2053)</f>
        <v/>
      </c>
      <c r="H2053" s="79">
        <f>IF('Ordenes_Odoo'!H2053="","",'Ordenes_Odoo'!H2053)</f>
        <v/>
      </c>
      <c r="I2053" s="79">
        <f>IF('Ordenes_Odoo'!I2053="","",'Ordenes_Odoo'!I2053)</f>
        <v/>
      </c>
      <c r="J2053" s="79">
        <f>IF('Ordenes_Odoo'!J2053="","",'Ordenes_Odoo'!J2053)</f>
        <v/>
      </c>
      <c r="K2053" s="81">
        <f>IF('Ordenes_Odoo'!K2053="","",'Ordenes_Odoo'!K2053)</f>
        <v/>
      </c>
      <c r="L2053" s="81">
        <f>IF('Ordenes_Odoo'!L2053="","",'Ordenes_Odoo'!L2053)</f>
        <v/>
      </c>
      <c r="M2053" s="79">
        <f>IF('Ordenes_Odoo'!M2053="","",'Ordenes_Odoo'!M2053)</f>
        <v/>
      </c>
      <c r="N2053" s="79">
        <f>IF('Ordenes_Odoo'!N2053="","",'Ordenes_Odoo'!N2053)</f>
        <v/>
      </c>
      <c r="O2053" s="81">
        <f>IF('Ordenes_Odoo'!O2053="","",'Ordenes_Odoo'!O2053)</f>
        <v/>
      </c>
      <c r="P2053" s="81">
        <f>IF('Ordenes_Odoo'!P2053="","",'Ordenes_Odoo'!P2053)</f>
        <v/>
      </c>
      <c r="Q2053" s="79">
        <f>IF(A2053="","",IFERROR(INDEX(Facturas_Odoo!$B:$B, MATCH(A2053, Facturas_Odoo!$D:$D, 0)), "Sin Factura"))</f>
        <v/>
      </c>
      <c r="R2053" s="80">
        <f>IF(Q2053="Sin Factura","",IFERROR(INDEX(Facturas_Odoo!$A:$A, MATCH(Q2053, Facturas_Odoo!$B:$B, 0)), ""))</f>
        <v/>
      </c>
      <c r="S2053" s="79">
        <f>IF(Q2053="Sin Factura","",IFERROR(_xlfn.XLOOKUP(1, (Facturas_Odoo!$D:$D=A2053) * (Facturas_Odoo!$K:$K=I2053), Facturas_Odoo!$L:$L, ""), ""))</f>
        <v/>
      </c>
      <c r="T2053" s="81">
        <f>IF(Q2053="Sin Factura",0,IFERROR(_xlfn.XLOOKUP(1, (Facturas_Odoo!$D:$D=A2053) * (Facturas_Odoo!$K:$K=I2053), Facturas_Odoo!$M:$M, 0), 0))</f>
        <v/>
      </c>
      <c r="U2053" s="79">
        <f>IF(Q2053="Sin Factura",0,IFERROR(_xlfn.XLOOKUP(1, (Facturas_Odoo!$D:$D=A2053) * (Facturas_Odoo!$K:$K=I2053), Facturas_Odoo!$N:$N, 0), 0))</f>
        <v/>
      </c>
      <c r="V2053" s="79">
        <f>IF(Q2053="Sin Factura",0,IFERROR(_xlfn.XLOOKUP(1, (Facturas_Odoo!$D:$D=A2053) * (Facturas_Odoo!$K:$K=I2053), Facturas_Odoo!$O:$O, 0), 0))</f>
        <v/>
      </c>
      <c r="W2053" s="81">
        <f>IF(Q2053="Sin Factura",0,IFERROR(_xlfn.XLOOKUP(1, (Facturas_Odoo!$D:$D=A2053) * (Facturas_Odoo!$K:$K=I2053), Facturas_Odoo!$Q:$Q, 0), 0))</f>
        <v/>
      </c>
      <c r="X2053" s="79">
        <f>IF(OR(Q2053="Sin Factura",Q2053=""),"",IFERROR(INDEX(Pagos_Odoo!$B:$B, MATCH(Q2053, Pagos_Odoo!$I:$I, 0)), "Sin Pago"))</f>
        <v/>
      </c>
      <c r="Y2053" s="79">
        <f>IF(X2053="Sin Pago","",IFERROR(INDEX(Pagos_Odoo!$C:$C, MATCH(X2053, Pagos_Odoo!$B:$B, 0)), ""))</f>
        <v/>
      </c>
      <c r="Z2053" s="80">
        <f>IF(X2053="Sin Pago","",IFERROR(INDEX(Pagos_Odoo!$A:$A, MATCH(X2053, Pagos_Odoo!$B:$B, 0)), ""))</f>
        <v/>
      </c>
      <c r="AA2053" s="79">
        <f>IF(X2053="Sin Pago","",IFERROR(INDEX(Pagos_Odoo!$F:$F, MATCH(X2053, Pagos_Odoo!$B:$B, 0)), ""))</f>
        <v/>
      </c>
      <c r="AB2053" s="81">
        <f>IF(X2053="Sin Pago",0,IFERROR(INDEX(Pagos_Odoo!$E:$E, MATCH(X2053, Pagos_Odoo!$B:$B, 0)), 0))</f>
        <v/>
      </c>
      <c r="AC2053" s="79">
        <f>IF(X2053="Sin Pago","",IFERROR(INDEX(Pagos_Odoo!$G:$G, MATCH(X2053, Pagos_Odoo!$B:$B, 0)), ""))</f>
        <v/>
      </c>
      <c r="AD2053" s="82" t="n">
        <v>0</v>
      </c>
      <c r="AE2053" s="82" t="n"/>
      <c r="AF2053" s="82" t="n"/>
      <c r="AG2053" s="82">
        <f>IF(AN2053="","",AD2053+AE2053+AF2053)</f>
        <v/>
      </c>
      <c r="AH2053" s="81">
        <f>IF(AN2053="","",P2053*(1-AG2053))</f>
        <v/>
      </c>
      <c r="AI2053" s="81">
        <f>IF(AN2053="","",IF(Q2053="Sin Factura",0,IFERROR(INDEX(Facturas_Odoo!$H:$H, MATCH(Q2053, Facturas_Odoo!$B:$B, 0)), 0)*(1-AG2053)))</f>
        <v/>
      </c>
      <c r="AJ2053" s="81">
        <f>IF(AN2053="","",_xlfn.LET(idVenta, AN2053&amp;"",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53" s="81">
        <f>IF(AN2053="","",AH2053-AJ2053)</f>
        <v/>
      </c>
      <c r="AL2053" s="81">
        <f>IF(AN2053="","",IF(Q2053="Sin Factura","",AI2053-AJ2053))</f>
        <v/>
      </c>
      <c r="AM2053" s="81">
        <f>IF(AN2053="","",IF(Q2053="Sin Factura",0,P2053-IFERROR(INDEX(Facturas_Odoo!$H:$H, MATCH(Q2053, Facturas_Odoo!$B:$B, 0)), 0)))</f>
        <v/>
      </c>
      <c r="AN2053" s="79">
        <f>IF(AND(A2053="", J2053=""), "", IF(A2053&lt;&gt;"", VALUE(MID(A2053,2,LEN(A2053))), AN2052))</f>
        <v/>
      </c>
      <c r="AO2053" s="79">
        <f>IF(AN2053="","",IF(AD2053=0,"OK",_xlfn.LET(monedaPago, IF(AA2053="","USD",AA2053), limitePermitido, IFERROR(VLOOKUP(monedaPago, Configuración!$A$2:$B$3, 2, FALSE), 0.15), IF(AD2053&gt;limitePermitido, "ALERTA: EXCESO (" &amp; TEXT(limitePermitido, "0%") &amp; " máx)", "OK"))))</f>
        <v/>
      </c>
      <c r="AP2053" s="79">
        <f>IF(AN2053="","",IF(AE2053=0,"OK",_xlfn.LET(fechaPago, Z2053, fechaFactura, R2053, diasCredito, IF(E2053="Pago inmediato", 0, IFERROR(VALUE(MID(E2053, 1, SEARCH(" ", E2053)-1)),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53" s="79">
        <f>IF(AN2053="","",IF(AND(N2053&gt;0, AG2053&gt;0), IF(Configuración!$K$2="NO", "ALERTA: DESCUENTO DOBLE NO PERMITIDO", "OK"), "OK"))</f>
        <v/>
      </c>
      <c r="AR2053" s="79">
        <f>IF(AN2053="","",IF(OR(AO2053&lt;&gt;"OK", AP2053&lt;&gt;"OK", AQ2053&lt;&gt;"OK"), "⚠️ REVISAR", "OK"))</f>
        <v/>
      </c>
    </row>
    <row r="2054">
      <c r="A2054" s="79">
        <f>IF('Ordenes_Odoo'!A2054="","",'Ordenes_Odoo'!A2054)</f>
        <v/>
      </c>
      <c r="B2054" s="80">
        <f>IF('Ordenes_Odoo'!B2054="","",'Ordenes_Odoo'!B2054)</f>
        <v/>
      </c>
      <c r="C2054" s="79">
        <f>IF('Ordenes_Odoo'!C2054="","",'Ordenes_Odoo'!C2054)</f>
        <v/>
      </c>
      <c r="D2054" s="79">
        <f>IF('Ordenes_Odoo'!D2054="","",'Ordenes_Odoo'!D2054)</f>
        <v/>
      </c>
      <c r="E2054" s="79">
        <f>IF('Ordenes_Odoo'!E2054="","",'Ordenes_Odoo'!E2054)</f>
        <v/>
      </c>
      <c r="F2054" s="79">
        <f>IF('Ordenes_Odoo'!F2054="","",'Ordenes_Odoo'!F2054)</f>
        <v/>
      </c>
      <c r="G2054" s="79">
        <f>IF('Ordenes_Odoo'!G2054="","",'Ordenes_Odoo'!G2054)</f>
        <v/>
      </c>
      <c r="H2054" s="79">
        <f>IF('Ordenes_Odoo'!H2054="","",'Ordenes_Odoo'!H2054)</f>
        <v/>
      </c>
      <c r="I2054" s="79">
        <f>IF('Ordenes_Odoo'!I2054="","",'Ordenes_Odoo'!I2054)</f>
        <v/>
      </c>
      <c r="J2054" s="79">
        <f>IF('Ordenes_Odoo'!J2054="","",'Ordenes_Odoo'!J2054)</f>
        <v/>
      </c>
      <c r="K2054" s="81">
        <f>IF('Ordenes_Odoo'!K2054="","",'Ordenes_Odoo'!K2054)</f>
        <v/>
      </c>
      <c r="L2054" s="81">
        <f>IF('Ordenes_Odoo'!L2054="","",'Ordenes_Odoo'!L2054)</f>
        <v/>
      </c>
      <c r="M2054" s="79">
        <f>IF('Ordenes_Odoo'!M2054="","",'Ordenes_Odoo'!M2054)</f>
        <v/>
      </c>
      <c r="N2054" s="79">
        <f>IF('Ordenes_Odoo'!N2054="","",'Ordenes_Odoo'!N2054)</f>
        <v/>
      </c>
      <c r="O2054" s="81">
        <f>IF('Ordenes_Odoo'!O2054="","",'Ordenes_Odoo'!O2054)</f>
        <v/>
      </c>
      <c r="P2054" s="81">
        <f>IF('Ordenes_Odoo'!P2054="","",'Ordenes_Odoo'!P2054)</f>
        <v/>
      </c>
      <c r="Q2054" s="79">
        <f>IF(A2054="","",IFERROR(INDEX(Facturas_Odoo!$B:$B, MATCH(A2054, Facturas_Odoo!$D:$D, 0)), "Sin Factura"))</f>
        <v/>
      </c>
      <c r="R2054" s="80">
        <f>IF(Q2054="Sin Factura","",IFERROR(INDEX(Facturas_Odoo!$A:$A, MATCH(Q2054, Facturas_Odoo!$B:$B, 0)), ""))</f>
        <v/>
      </c>
      <c r="S2054" s="79">
        <f>IF(Q2054="Sin Factura","",IFERROR(_xlfn.XLOOKUP(1, (Facturas_Odoo!$D:$D=A2054) * (Facturas_Odoo!$K:$K=I2054), Facturas_Odoo!$L:$L, ""), ""))</f>
        <v/>
      </c>
      <c r="T2054" s="81">
        <f>IF(Q2054="Sin Factura",0,IFERROR(_xlfn.XLOOKUP(1, (Facturas_Odoo!$D:$D=A2054) * (Facturas_Odoo!$K:$K=I2054), Facturas_Odoo!$M:$M, 0), 0))</f>
        <v/>
      </c>
      <c r="U2054" s="79">
        <f>IF(Q2054="Sin Factura",0,IFERROR(_xlfn.XLOOKUP(1, (Facturas_Odoo!$D:$D=A2054) * (Facturas_Odoo!$K:$K=I2054), Facturas_Odoo!$N:$N, 0), 0))</f>
        <v/>
      </c>
      <c r="V2054" s="79">
        <f>IF(Q2054="Sin Factura",0,IFERROR(_xlfn.XLOOKUP(1, (Facturas_Odoo!$D:$D=A2054) * (Facturas_Odoo!$K:$K=I2054), Facturas_Odoo!$O:$O, 0), 0))</f>
        <v/>
      </c>
      <c r="W2054" s="81">
        <f>IF(Q2054="Sin Factura",0,IFERROR(_xlfn.XLOOKUP(1, (Facturas_Odoo!$D:$D=A2054) * (Facturas_Odoo!$K:$K=I2054), Facturas_Odoo!$Q:$Q, 0), 0))</f>
        <v/>
      </c>
      <c r="X2054" s="79">
        <f>IF(OR(Q2054="Sin Factura",Q2054=""),"",IFERROR(INDEX(Pagos_Odoo!$B:$B, MATCH(Q2054, Pagos_Odoo!$I:$I, 0)), "Sin Pago"))</f>
        <v/>
      </c>
      <c r="Y2054" s="79">
        <f>IF(X2054="Sin Pago","",IFERROR(INDEX(Pagos_Odoo!$C:$C, MATCH(X2054, Pagos_Odoo!$B:$B, 0)), ""))</f>
        <v/>
      </c>
      <c r="Z2054" s="80">
        <f>IF(X2054="Sin Pago","",IFERROR(INDEX(Pagos_Odoo!$A:$A, MATCH(X2054, Pagos_Odoo!$B:$B, 0)), ""))</f>
        <v/>
      </c>
      <c r="AA2054" s="79">
        <f>IF(X2054="Sin Pago","",IFERROR(INDEX(Pagos_Odoo!$F:$F, MATCH(X2054, Pagos_Odoo!$B:$B, 0)), ""))</f>
        <v/>
      </c>
      <c r="AB2054" s="81">
        <f>IF(X2054="Sin Pago",0,IFERROR(INDEX(Pagos_Odoo!$E:$E, MATCH(X2054, Pagos_Odoo!$B:$B, 0)), 0))</f>
        <v/>
      </c>
      <c r="AC2054" s="79">
        <f>IF(X2054="Sin Pago","",IFERROR(INDEX(Pagos_Odoo!$G:$G, MATCH(X2054, Pagos_Odoo!$B:$B, 0)), ""))</f>
        <v/>
      </c>
      <c r="AD2054" s="82" t="n">
        <v>0</v>
      </c>
      <c r="AE2054" s="82" t="n"/>
      <c r="AF2054" s="82" t="n"/>
      <c r="AG2054" s="82">
        <f>IF(AN2054="","",AD2054+AE2054+AF2054)</f>
        <v/>
      </c>
      <c r="AH2054" s="81">
        <f>IF(AN2054="","",P2054*(1-AG2054))</f>
        <v/>
      </c>
      <c r="AI2054" s="81">
        <f>IF(AN2054="","",IF(Q2054="Sin Factura",0,IFERROR(INDEX(Facturas_Odoo!$H:$H, MATCH(Q2054, Facturas_Odoo!$B:$B, 0)), 0)*(1-AG2054)))</f>
        <v/>
      </c>
      <c r="AJ2054" s="81">
        <f>IF(AN2054="","",_xlfn.LET(idVenta, AN2054&amp;"",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54" s="81">
        <f>IF(AN2054="","",AH2054-AJ2054)</f>
        <v/>
      </c>
      <c r="AL2054" s="81">
        <f>IF(AN2054="","",IF(Q2054="Sin Factura","",AI2054-AJ2054))</f>
        <v/>
      </c>
      <c r="AM2054" s="81">
        <f>IF(AN2054="","",IF(Q2054="Sin Factura",0,P2054-IFERROR(INDEX(Facturas_Odoo!$H:$H, MATCH(Q2054, Facturas_Odoo!$B:$B, 0)), 0)))</f>
        <v/>
      </c>
      <c r="AN2054" s="79">
        <f>IF(AND(A2054="", J2054=""), "", IF(A2054&lt;&gt;"", VALUE(MID(A2054,2,LEN(A2054))), AN2053))</f>
        <v/>
      </c>
      <c r="AO2054" s="79">
        <f>IF(AN2054="","",IF(AD2054=0,"OK",_xlfn.LET(monedaPago, IF(AA2054="","USD",AA2054), limitePermitido, IFERROR(VLOOKUP(monedaPago, Configuración!$A$2:$B$3, 2, FALSE), 0.15), IF(AD2054&gt;limitePermitido, "ALERTA: EXCESO (" &amp; TEXT(limitePermitido, "0%") &amp; " máx)", "OK"))))</f>
        <v/>
      </c>
      <c r="AP2054" s="79">
        <f>IF(AN2054="","",IF(AE2054=0,"OK",_xlfn.LET(fechaPago, Z2054, fechaFactura, R2054, diasCredito, IF(E2054="Pago inmediato", 0, IFERROR(VALUE(MID(E2054, 1, SEARCH(" ", E2054)-1)),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54" s="79">
        <f>IF(AN2054="","",IF(AND(N2054&gt;0, AG2054&gt;0), IF(Configuración!$K$2="NO", "ALERTA: DESCUENTO DOBLE NO PERMITIDO", "OK"), "OK"))</f>
        <v/>
      </c>
      <c r="AR2054" s="79">
        <f>IF(AN2054="","",IF(OR(AO2054&lt;&gt;"OK", AP2054&lt;&gt;"OK", AQ2054&lt;&gt;"OK"), "⚠️ REVISAR", "OK"))</f>
        <v/>
      </c>
    </row>
    <row r="2055">
      <c r="A2055" s="79">
        <f>IF('Ordenes_Odoo'!A2055="","",'Ordenes_Odoo'!A2055)</f>
        <v/>
      </c>
      <c r="B2055" s="80">
        <f>IF('Ordenes_Odoo'!B2055="","",'Ordenes_Odoo'!B2055)</f>
        <v/>
      </c>
      <c r="C2055" s="79">
        <f>IF('Ordenes_Odoo'!C2055="","",'Ordenes_Odoo'!C2055)</f>
        <v/>
      </c>
      <c r="D2055" s="79">
        <f>IF('Ordenes_Odoo'!D2055="","",'Ordenes_Odoo'!D2055)</f>
        <v/>
      </c>
      <c r="E2055" s="79">
        <f>IF('Ordenes_Odoo'!E2055="","",'Ordenes_Odoo'!E2055)</f>
        <v/>
      </c>
      <c r="F2055" s="79">
        <f>IF('Ordenes_Odoo'!F2055="","",'Ordenes_Odoo'!F2055)</f>
        <v/>
      </c>
      <c r="G2055" s="79">
        <f>IF('Ordenes_Odoo'!G2055="","",'Ordenes_Odoo'!G2055)</f>
        <v/>
      </c>
      <c r="H2055" s="79">
        <f>IF('Ordenes_Odoo'!H2055="","",'Ordenes_Odoo'!H2055)</f>
        <v/>
      </c>
      <c r="I2055" s="79">
        <f>IF('Ordenes_Odoo'!I2055="","",'Ordenes_Odoo'!I2055)</f>
        <v/>
      </c>
      <c r="J2055" s="79">
        <f>IF('Ordenes_Odoo'!J2055="","",'Ordenes_Odoo'!J2055)</f>
        <v/>
      </c>
      <c r="K2055" s="81">
        <f>IF('Ordenes_Odoo'!K2055="","",'Ordenes_Odoo'!K2055)</f>
        <v/>
      </c>
      <c r="L2055" s="81">
        <f>IF('Ordenes_Odoo'!L2055="","",'Ordenes_Odoo'!L2055)</f>
        <v/>
      </c>
      <c r="M2055" s="79">
        <f>IF('Ordenes_Odoo'!M2055="","",'Ordenes_Odoo'!M2055)</f>
        <v/>
      </c>
      <c r="N2055" s="79">
        <f>IF('Ordenes_Odoo'!N2055="","",'Ordenes_Odoo'!N2055)</f>
        <v/>
      </c>
      <c r="O2055" s="81">
        <f>IF('Ordenes_Odoo'!O2055="","",'Ordenes_Odoo'!O2055)</f>
        <v/>
      </c>
      <c r="P2055" s="81">
        <f>IF('Ordenes_Odoo'!P2055="","",'Ordenes_Odoo'!P2055)</f>
        <v/>
      </c>
      <c r="Q2055" s="79">
        <f>IF(A2055="","",IFERROR(INDEX(Facturas_Odoo!$B:$B, MATCH(A2055, Facturas_Odoo!$D:$D, 0)), "Sin Factura"))</f>
        <v/>
      </c>
      <c r="R2055" s="80">
        <f>IF(Q2055="Sin Factura","",IFERROR(INDEX(Facturas_Odoo!$A:$A, MATCH(Q2055, Facturas_Odoo!$B:$B, 0)), ""))</f>
        <v/>
      </c>
      <c r="S2055" s="79">
        <f>IF(Q2055="Sin Factura","",IFERROR(_xlfn.XLOOKUP(1, (Facturas_Odoo!$D:$D=A2055) * (Facturas_Odoo!$K:$K=I2055), Facturas_Odoo!$L:$L, ""), ""))</f>
        <v/>
      </c>
      <c r="T2055" s="81">
        <f>IF(Q2055="Sin Factura",0,IFERROR(_xlfn.XLOOKUP(1, (Facturas_Odoo!$D:$D=A2055) * (Facturas_Odoo!$K:$K=I2055), Facturas_Odoo!$M:$M, 0), 0))</f>
        <v/>
      </c>
      <c r="U2055" s="79">
        <f>IF(Q2055="Sin Factura",0,IFERROR(_xlfn.XLOOKUP(1, (Facturas_Odoo!$D:$D=A2055) * (Facturas_Odoo!$K:$K=I2055), Facturas_Odoo!$N:$N, 0), 0))</f>
        <v/>
      </c>
      <c r="V2055" s="79">
        <f>IF(Q2055="Sin Factura",0,IFERROR(_xlfn.XLOOKUP(1, (Facturas_Odoo!$D:$D=A2055) * (Facturas_Odoo!$K:$K=I2055), Facturas_Odoo!$O:$O, 0), 0))</f>
        <v/>
      </c>
      <c r="W2055" s="81">
        <f>IF(Q2055="Sin Factura",0,IFERROR(_xlfn.XLOOKUP(1, (Facturas_Odoo!$D:$D=A2055) * (Facturas_Odoo!$K:$K=I2055), Facturas_Odoo!$Q:$Q, 0), 0))</f>
        <v/>
      </c>
      <c r="X2055" s="79">
        <f>IF(OR(Q2055="Sin Factura",Q2055=""),"",IFERROR(INDEX(Pagos_Odoo!$B:$B, MATCH(Q2055, Pagos_Odoo!$I:$I, 0)), "Sin Pago"))</f>
        <v/>
      </c>
      <c r="Y2055" s="79">
        <f>IF(X2055="Sin Pago","",IFERROR(INDEX(Pagos_Odoo!$C:$C, MATCH(X2055, Pagos_Odoo!$B:$B, 0)), ""))</f>
        <v/>
      </c>
      <c r="Z2055" s="80">
        <f>IF(X2055="Sin Pago","",IFERROR(INDEX(Pagos_Odoo!$A:$A, MATCH(X2055, Pagos_Odoo!$B:$B, 0)), ""))</f>
        <v/>
      </c>
      <c r="AA2055" s="79">
        <f>IF(X2055="Sin Pago","",IFERROR(INDEX(Pagos_Odoo!$F:$F, MATCH(X2055, Pagos_Odoo!$B:$B, 0)), ""))</f>
        <v/>
      </c>
      <c r="AB2055" s="81">
        <f>IF(X2055="Sin Pago",0,IFERROR(INDEX(Pagos_Odoo!$E:$E, MATCH(X2055, Pagos_Odoo!$B:$B, 0)), 0))</f>
        <v/>
      </c>
      <c r="AC2055" s="79">
        <f>IF(X2055="Sin Pago","",IFERROR(INDEX(Pagos_Odoo!$G:$G, MATCH(X2055, Pagos_Odoo!$B:$B, 0)), ""))</f>
        <v/>
      </c>
      <c r="AD2055" s="82" t="n">
        <v>0</v>
      </c>
      <c r="AE2055" s="82" t="n"/>
      <c r="AF2055" s="82" t="n"/>
      <c r="AG2055" s="82">
        <f>IF(AN2055="","",AD2055+AE2055+AF2055)</f>
        <v/>
      </c>
      <c r="AH2055" s="81">
        <f>IF(AN2055="","",P2055*(1-AG2055))</f>
        <v/>
      </c>
      <c r="AI2055" s="81">
        <f>IF(AN2055="","",IF(Q2055="Sin Factura",0,IFERROR(INDEX(Facturas_Odoo!$H:$H, MATCH(Q2055, Facturas_Odoo!$B:$B, 0)), 0)*(1-AG2055)))</f>
        <v/>
      </c>
      <c r="AJ2055" s="81">
        <f>IF(AN2055="","",_xlfn.LET(idVenta, AN2055&amp;"",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55" s="81">
        <f>IF(AN2055="","",AH2055-AJ2055)</f>
        <v/>
      </c>
      <c r="AL2055" s="81">
        <f>IF(AN2055="","",IF(Q2055="Sin Factura","",AI2055-AJ2055))</f>
        <v/>
      </c>
      <c r="AM2055" s="81">
        <f>IF(AN2055="","",IF(Q2055="Sin Factura",0,P2055-IFERROR(INDEX(Facturas_Odoo!$H:$H, MATCH(Q2055, Facturas_Odoo!$B:$B, 0)), 0)))</f>
        <v/>
      </c>
      <c r="AN2055" s="79">
        <f>IF(AND(A2055="", J2055=""), "", IF(A2055&lt;&gt;"", VALUE(MID(A2055,2,LEN(A2055))), AN2054))</f>
        <v/>
      </c>
      <c r="AO2055" s="79">
        <f>IF(AN2055="","",IF(AD2055=0,"OK",_xlfn.LET(monedaPago, IF(AA2055="","USD",AA2055), limitePermitido, IFERROR(VLOOKUP(monedaPago, Configuración!$A$2:$B$3, 2, FALSE), 0.15), IF(AD2055&gt;limitePermitido, "ALERTA: EXCESO (" &amp; TEXT(limitePermitido, "0%") &amp; " máx)", "OK"))))</f>
        <v/>
      </c>
      <c r="AP2055" s="79">
        <f>IF(AN2055="","",IF(AE2055=0,"OK",_xlfn.LET(fechaPago, Z2055, fechaFactura, R2055, diasCredito, IF(E2055="Pago inmediato", 0, IFERROR(VALUE(MID(E2055, 1, SEARCH(" ", E2055)-1)),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55" s="79">
        <f>IF(AN2055="","",IF(AND(N2055&gt;0, AG2055&gt;0), IF(Configuración!$K$2="NO", "ALERTA: DESCUENTO DOBLE NO PERMITIDO", "OK"), "OK"))</f>
        <v/>
      </c>
      <c r="AR2055" s="79">
        <f>IF(AN2055="","",IF(OR(AO2055&lt;&gt;"OK", AP2055&lt;&gt;"OK", AQ2055&lt;&gt;"OK"), "⚠️ REVISAR", "OK"))</f>
        <v/>
      </c>
    </row>
    <row r="2056">
      <c r="A2056" s="79">
        <f>IF('Ordenes_Odoo'!A2056="","",'Ordenes_Odoo'!A2056)</f>
        <v/>
      </c>
      <c r="B2056" s="80">
        <f>IF('Ordenes_Odoo'!B2056="","",'Ordenes_Odoo'!B2056)</f>
        <v/>
      </c>
      <c r="C2056" s="79">
        <f>IF('Ordenes_Odoo'!C2056="","",'Ordenes_Odoo'!C2056)</f>
        <v/>
      </c>
      <c r="D2056" s="79">
        <f>IF('Ordenes_Odoo'!D2056="","",'Ordenes_Odoo'!D2056)</f>
        <v/>
      </c>
      <c r="E2056" s="79">
        <f>IF('Ordenes_Odoo'!E2056="","",'Ordenes_Odoo'!E2056)</f>
        <v/>
      </c>
      <c r="F2056" s="79">
        <f>IF('Ordenes_Odoo'!F2056="","",'Ordenes_Odoo'!F2056)</f>
        <v/>
      </c>
      <c r="G2056" s="79">
        <f>IF('Ordenes_Odoo'!G2056="","",'Ordenes_Odoo'!G2056)</f>
        <v/>
      </c>
      <c r="H2056" s="79">
        <f>IF('Ordenes_Odoo'!H2056="","",'Ordenes_Odoo'!H2056)</f>
        <v/>
      </c>
      <c r="I2056" s="79">
        <f>IF('Ordenes_Odoo'!I2056="","",'Ordenes_Odoo'!I2056)</f>
        <v/>
      </c>
      <c r="J2056" s="79">
        <f>IF('Ordenes_Odoo'!J2056="","",'Ordenes_Odoo'!J2056)</f>
        <v/>
      </c>
      <c r="K2056" s="81">
        <f>IF('Ordenes_Odoo'!K2056="","",'Ordenes_Odoo'!K2056)</f>
        <v/>
      </c>
      <c r="L2056" s="81">
        <f>IF('Ordenes_Odoo'!L2056="","",'Ordenes_Odoo'!L2056)</f>
        <v/>
      </c>
      <c r="M2056" s="79">
        <f>IF('Ordenes_Odoo'!M2056="","",'Ordenes_Odoo'!M2056)</f>
        <v/>
      </c>
      <c r="N2056" s="79">
        <f>IF('Ordenes_Odoo'!N2056="","",'Ordenes_Odoo'!N2056)</f>
        <v/>
      </c>
      <c r="O2056" s="81">
        <f>IF('Ordenes_Odoo'!O2056="","",'Ordenes_Odoo'!O2056)</f>
        <v/>
      </c>
      <c r="P2056" s="81">
        <f>IF('Ordenes_Odoo'!P2056="","",'Ordenes_Odoo'!P2056)</f>
        <v/>
      </c>
      <c r="Q2056" s="79">
        <f>IF(A2056="","",IFERROR(INDEX(Facturas_Odoo!$B:$B, MATCH(A2056, Facturas_Odoo!$D:$D, 0)), "Sin Factura"))</f>
        <v/>
      </c>
      <c r="R2056" s="80">
        <f>IF(Q2056="Sin Factura","",IFERROR(INDEX(Facturas_Odoo!$A:$A, MATCH(Q2056, Facturas_Odoo!$B:$B, 0)), ""))</f>
        <v/>
      </c>
      <c r="S2056" s="79">
        <f>IF(Q2056="Sin Factura","",IFERROR(_xlfn.XLOOKUP(1, (Facturas_Odoo!$D:$D=A2056) * (Facturas_Odoo!$K:$K=I2056), Facturas_Odoo!$L:$L, ""), ""))</f>
        <v/>
      </c>
      <c r="T2056" s="81">
        <f>IF(Q2056="Sin Factura",0,IFERROR(_xlfn.XLOOKUP(1, (Facturas_Odoo!$D:$D=A2056) * (Facturas_Odoo!$K:$K=I2056), Facturas_Odoo!$M:$M, 0), 0))</f>
        <v/>
      </c>
      <c r="U2056" s="79">
        <f>IF(Q2056="Sin Factura",0,IFERROR(_xlfn.XLOOKUP(1, (Facturas_Odoo!$D:$D=A2056) * (Facturas_Odoo!$K:$K=I2056), Facturas_Odoo!$N:$N, 0), 0))</f>
        <v/>
      </c>
      <c r="V2056" s="79">
        <f>IF(Q2056="Sin Factura",0,IFERROR(_xlfn.XLOOKUP(1, (Facturas_Odoo!$D:$D=A2056) * (Facturas_Odoo!$K:$K=I2056), Facturas_Odoo!$O:$O, 0), 0))</f>
        <v/>
      </c>
      <c r="W2056" s="81">
        <f>IF(Q2056="Sin Factura",0,IFERROR(_xlfn.XLOOKUP(1, (Facturas_Odoo!$D:$D=A2056) * (Facturas_Odoo!$K:$K=I2056), Facturas_Odoo!$Q:$Q, 0), 0))</f>
        <v/>
      </c>
      <c r="X2056" s="79">
        <f>IF(OR(Q2056="Sin Factura",Q2056=""),"",IFERROR(INDEX(Pagos_Odoo!$B:$B, MATCH(Q2056, Pagos_Odoo!$I:$I, 0)), "Sin Pago"))</f>
        <v/>
      </c>
      <c r="Y2056" s="79">
        <f>IF(X2056="Sin Pago","",IFERROR(INDEX(Pagos_Odoo!$C:$C, MATCH(X2056, Pagos_Odoo!$B:$B, 0)), ""))</f>
        <v/>
      </c>
      <c r="Z2056" s="80">
        <f>IF(X2056="Sin Pago","",IFERROR(INDEX(Pagos_Odoo!$A:$A, MATCH(X2056, Pagos_Odoo!$B:$B, 0)), ""))</f>
        <v/>
      </c>
      <c r="AA2056" s="79">
        <f>IF(X2056="Sin Pago","",IFERROR(INDEX(Pagos_Odoo!$F:$F, MATCH(X2056, Pagos_Odoo!$B:$B, 0)), ""))</f>
        <v/>
      </c>
      <c r="AB2056" s="81">
        <f>IF(X2056="Sin Pago",0,IFERROR(INDEX(Pagos_Odoo!$E:$E, MATCH(X2056, Pagos_Odoo!$B:$B, 0)), 0))</f>
        <v/>
      </c>
      <c r="AC2056" s="79">
        <f>IF(X2056="Sin Pago","",IFERROR(INDEX(Pagos_Odoo!$G:$G, MATCH(X2056, Pagos_Odoo!$B:$B, 0)), ""))</f>
        <v/>
      </c>
      <c r="AD2056" s="82" t="n">
        <v>0</v>
      </c>
      <c r="AE2056" s="82" t="n"/>
      <c r="AF2056" s="82" t="n"/>
      <c r="AG2056" s="82">
        <f>IF(AN2056="","",AD2056+AE2056+AF2056)</f>
        <v/>
      </c>
      <c r="AH2056" s="81">
        <f>IF(AN2056="","",P2056*(1-AG2056))</f>
        <v/>
      </c>
      <c r="AI2056" s="81">
        <f>IF(AN2056="","",IF(Q2056="Sin Factura",0,IFERROR(INDEX(Facturas_Odoo!$H:$H, MATCH(Q2056, Facturas_Odoo!$B:$B, 0)), 0)*(1-AG2056)))</f>
        <v/>
      </c>
      <c r="AJ2056" s="81">
        <f>IF(AN2056="","",_xlfn.LET(idVenta, AN2056&amp;"",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56" s="81">
        <f>IF(AN2056="","",AH2056-AJ2056)</f>
        <v/>
      </c>
      <c r="AL2056" s="81">
        <f>IF(AN2056="","",IF(Q2056="Sin Factura","",AI2056-AJ2056))</f>
        <v/>
      </c>
      <c r="AM2056" s="81">
        <f>IF(AN2056="","",IF(Q2056="Sin Factura",0,P2056-IFERROR(INDEX(Facturas_Odoo!$H:$H, MATCH(Q2056, Facturas_Odoo!$B:$B, 0)), 0)))</f>
        <v/>
      </c>
      <c r="AN2056" s="79">
        <f>IF(AND(A2056="", J2056=""), "", IF(A2056&lt;&gt;"", VALUE(MID(A2056,2,LEN(A2056))), AN2055))</f>
        <v/>
      </c>
      <c r="AO2056" s="79">
        <f>IF(AN2056="","",IF(AD2056=0,"OK",_xlfn.LET(monedaPago, IF(AA2056="","USD",AA2056), limitePermitido, IFERROR(VLOOKUP(monedaPago, Configuración!$A$2:$B$3, 2, FALSE), 0.15), IF(AD2056&gt;limitePermitido, "ALERTA: EXCESO (" &amp; TEXT(limitePermitido, "0%") &amp; " máx)", "OK"))))</f>
        <v/>
      </c>
      <c r="AP2056" s="79">
        <f>IF(AN2056="","",IF(AE2056=0,"OK",_xlfn.LET(fechaPago, Z2056, fechaFactura, R2056, diasCredito, IF(E2056="Pago inmediato", 0, IFERROR(VALUE(MID(E2056, 1, SEARCH(" ", E2056)-1)),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56" s="79">
        <f>IF(AN2056="","",IF(AND(N2056&gt;0, AG2056&gt;0), IF(Configuración!$K$2="NO", "ALERTA: DESCUENTO DOBLE NO PERMITIDO", "OK"), "OK"))</f>
        <v/>
      </c>
      <c r="AR2056" s="79">
        <f>IF(AN2056="","",IF(OR(AO2056&lt;&gt;"OK", AP2056&lt;&gt;"OK", AQ2056&lt;&gt;"OK"), "⚠️ REVISAR", "OK"))</f>
        <v/>
      </c>
    </row>
    <row r="2057">
      <c r="A2057" s="79">
        <f>IF('Ordenes_Odoo'!A2057="","",'Ordenes_Odoo'!A2057)</f>
        <v/>
      </c>
      <c r="B2057" s="80">
        <f>IF('Ordenes_Odoo'!B2057="","",'Ordenes_Odoo'!B2057)</f>
        <v/>
      </c>
      <c r="C2057" s="79">
        <f>IF('Ordenes_Odoo'!C2057="","",'Ordenes_Odoo'!C2057)</f>
        <v/>
      </c>
      <c r="D2057" s="79">
        <f>IF('Ordenes_Odoo'!D2057="","",'Ordenes_Odoo'!D2057)</f>
        <v/>
      </c>
      <c r="E2057" s="79">
        <f>IF('Ordenes_Odoo'!E2057="","",'Ordenes_Odoo'!E2057)</f>
        <v/>
      </c>
      <c r="F2057" s="79">
        <f>IF('Ordenes_Odoo'!F2057="","",'Ordenes_Odoo'!F2057)</f>
        <v/>
      </c>
      <c r="G2057" s="79">
        <f>IF('Ordenes_Odoo'!G2057="","",'Ordenes_Odoo'!G2057)</f>
        <v/>
      </c>
      <c r="H2057" s="79">
        <f>IF('Ordenes_Odoo'!H2057="","",'Ordenes_Odoo'!H2057)</f>
        <v/>
      </c>
      <c r="I2057" s="79">
        <f>IF('Ordenes_Odoo'!I2057="","",'Ordenes_Odoo'!I2057)</f>
        <v/>
      </c>
      <c r="J2057" s="79">
        <f>IF('Ordenes_Odoo'!J2057="","",'Ordenes_Odoo'!J2057)</f>
        <v/>
      </c>
      <c r="K2057" s="81">
        <f>IF('Ordenes_Odoo'!K2057="","",'Ordenes_Odoo'!K2057)</f>
        <v/>
      </c>
      <c r="L2057" s="81">
        <f>IF('Ordenes_Odoo'!L2057="","",'Ordenes_Odoo'!L2057)</f>
        <v/>
      </c>
      <c r="M2057" s="79">
        <f>IF('Ordenes_Odoo'!M2057="","",'Ordenes_Odoo'!M2057)</f>
        <v/>
      </c>
      <c r="N2057" s="79">
        <f>IF('Ordenes_Odoo'!N2057="","",'Ordenes_Odoo'!N2057)</f>
        <v/>
      </c>
      <c r="O2057" s="81">
        <f>IF('Ordenes_Odoo'!O2057="","",'Ordenes_Odoo'!O2057)</f>
        <v/>
      </c>
      <c r="P2057" s="81">
        <f>IF('Ordenes_Odoo'!P2057="","",'Ordenes_Odoo'!P2057)</f>
        <v/>
      </c>
      <c r="Q2057" s="79">
        <f>IF(A2057="","",IFERROR(INDEX(Facturas_Odoo!$B:$B, MATCH(A2057, Facturas_Odoo!$D:$D, 0)), "Sin Factura"))</f>
        <v/>
      </c>
      <c r="R2057" s="80">
        <f>IF(Q2057="Sin Factura","",IFERROR(INDEX(Facturas_Odoo!$A:$A, MATCH(Q2057, Facturas_Odoo!$B:$B, 0)), ""))</f>
        <v/>
      </c>
      <c r="S2057" s="79">
        <f>IF(Q2057="Sin Factura","",IFERROR(_xlfn.XLOOKUP(1, (Facturas_Odoo!$D:$D=A2057) * (Facturas_Odoo!$K:$K=I2057), Facturas_Odoo!$L:$L, ""), ""))</f>
        <v/>
      </c>
      <c r="T2057" s="81">
        <f>IF(Q2057="Sin Factura",0,IFERROR(_xlfn.XLOOKUP(1, (Facturas_Odoo!$D:$D=A2057) * (Facturas_Odoo!$K:$K=I2057), Facturas_Odoo!$M:$M, 0), 0))</f>
        <v/>
      </c>
      <c r="U2057" s="79">
        <f>IF(Q2057="Sin Factura",0,IFERROR(_xlfn.XLOOKUP(1, (Facturas_Odoo!$D:$D=A2057) * (Facturas_Odoo!$K:$K=I2057), Facturas_Odoo!$N:$N, 0), 0))</f>
        <v/>
      </c>
      <c r="V2057" s="79">
        <f>IF(Q2057="Sin Factura",0,IFERROR(_xlfn.XLOOKUP(1, (Facturas_Odoo!$D:$D=A2057) * (Facturas_Odoo!$K:$K=I2057), Facturas_Odoo!$O:$O, 0), 0))</f>
        <v/>
      </c>
      <c r="W2057" s="81">
        <f>IF(Q2057="Sin Factura",0,IFERROR(_xlfn.XLOOKUP(1, (Facturas_Odoo!$D:$D=A2057) * (Facturas_Odoo!$K:$K=I2057), Facturas_Odoo!$Q:$Q, 0), 0))</f>
        <v/>
      </c>
      <c r="X2057" s="79">
        <f>IF(OR(Q2057="Sin Factura",Q2057=""),"",IFERROR(INDEX(Pagos_Odoo!$B:$B, MATCH(Q2057, Pagos_Odoo!$I:$I, 0)), "Sin Pago"))</f>
        <v/>
      </c>
      <c r="Y2057" s="79">
        <f>IF(X2057="Sin Pago","",IFERROR(INDEX(Pagos_Odoo!$C:$C, MATCH(X2057, Pagos_Odoo!$B:$B, 0)), ""))</f>
        <v/>
      </c>
      <c r="Z2057" s="80">
        <f>IF(X2057="Sin Pago","",IFERROR(INDEX(Pagos_Odoo!$A:$A, MATCH(X2057, Pagos_Odoo!$B:$B, 0)), ""))</f>
        <v/>
      </c>
      <c r="AA2057" s="79">
        <f>IF(X2057="Sin Pago","",IFERROR(INDEX(Pagos_Odoo!$F:$F, MATCH(X2057, Pagos_Odoo!$B:$B, 0)), ""))</f>
        <v/>
      </c>
      <c r="AB2057" s="81">
        <f>IF(X2057="Sin Pago",0,IFERROR(INDEX(Pagos_Odoo!$E:$E, MATCH(X2057, Pagos_Odoo!$B:$B, 0)), 0))</f>
        <v/>
      </c>
      <c r="AC2057" s="79">
        <f>IF(X2057="Sin Pago","",IFERROR(INDEX(Pagos_Odoo!$G:$G, MATCH(X2057, Pagos_Odoo!$B:$B, 0)), ""))</f>
        <v/>
      </c>
      <c r="AD2057" s="82" t="n">
        <v>0</v>
      </c>
      <c r="AE2057" s="82" t="n"/>
      <c r="AF2057" s="82" t="n"/>
      <c r="AG2057" s="82">
        <f>IF(AN2057="","",AD2057+AE2057+AF2057)</f>
        <v/>
      </c>
      <c r="AH2057" s="81">
        <f>IF(AN2057="","",P2057*(1-AG2057))</f>
        <v/>
      </c>
      <c r="AI2057" s="81">
        <f>IF(AN2057="","",IF(Q2057="Sin Factura",0,IFERROR(INDEX(Facturas_Odoo!$H:$H, MATCH(Q2057, Facturas_Odoo!$B:$B, 0)), 0)*(1-AG2057)))</f>
        <v/>
      </c>
      <c r="AJ2057" s="81">
        <f>IF(AN2057="","",_xlfn.LET(idVenta, AN2057&amp;"",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57" s="81">
        <f>IF(AN2057="","",AH2057-AJ2057)</f>
        <v/>
      </c>
      <c r="AL2057" s="81">
        <f>IF(AN2057="","",IF(Q2057="Sin Factura","",AI2057-AJ2057))</f>
        <v/>
      </c>
      <c r="AM2057" s="81">
        <f>IF(AN2057="","",IF(Q2057="Sin Factura",0,P2057-IFERROR(INDEX(Facturas_Odoo!$H:$H, MATCH(Q2057, Facturas_Odoo!$B:$B, 0)), 0)))</f>
        <v/>
      </c>
      <c r="AN2057" s="79">
        <f>IF(AND(A2057="", J2057=""), "", IF(A2057&lt;&gt;"", VALUE(MID(A2057,2,LEN(A2057))), AN2056))</f>
        <v/>
      </c>
      <c r="AO2057" s="79">
        <f>IF(AN2057="","",IF(AD2057=0,"OK",_xlfn.LET(monedaPago, IF(AA2057="","USD",AA2057), limitePermitido, IFERROR(VLOOKUP(monedaPago, Configuración!$A$2:$B$3, 2, FALSE), 0.15), IF(AD2057&gt;limitePermitido, "ALERTA: EXCESO (" &amp; TEXT(limitePermitido, "0%") &amp; " máx)", "OK"))))</f>
        <v/>
      </c>
      <c r="AP2057" s="79">
        <f>IF(AN2057="","",IF(AE2057=0,"OK",_xlfn.LET(fechaPago, Z2057, fechaFactura, R2057, diasCredito, IF(E2057="Pago inmediato", 0, IFERROR(VALUE(MID(E2057, 1, SEARCH(" ", E2057)-1)),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57" s="79">
        <f>IF(AN2057="","",IF(AND(N2057&gt;0, AG2057&gt;0), IF(Configuración!$K$2="NO", "ALERTA: DESCUENTO DOBLE NO PERMITIDO", "OK"), "OK"))</f>
        <v/>
      </c>
      <c r="AR2057" s="79">
        <f>IF(AN2057="","",IF(OR(AO2057&lt;&gt;"OK", AP2057&lt;&gt;"OK", AQ2057&lt;&gt;"OK"), "⚠️ REVISAR", "OK"))</f>
        <v/>
      </c>
    </row>
    <row r="2058">
      <c r="A2058" s="79">
        <f>IF('Ordenes_Odoo'!A2058="","",'Ordenes_Odoo'!A2058)</f>
        <v/>
      </c>
      <c r="B2058" s="80">
        <f>IF('Ordenes_Odoo'!B2058="","",'Ordenes_Odoo'!B2058)</f>
        <v/>
      </c>
      <c r="C2058" s="79">
        <f>IF('Ordenes_Odoo'!C2058="","",'Ordenes_Odoo'!C2058)</f>
        <v/>
      </c>
      <c r="D2058" s="79">
        <f>IF('Ordenes_Odoo'!D2058="","",'Ordenes_Odoo'!D2058)</f>
        <v/>
      </c>
      <c r="E2058" s="79">
        <f>IF('Ordenes_Odoo'!E2058="","",'Ordenes_Odoo'!E2058)</f>
        <v/>
      </c>
      <c r="F2058" s="79">
        <f>IF('Ordenes_Odoo'!F2058="","",'Ordenes_Odoo'!F2058)</f>
        <v/>
      </c>
      <c r="G2058" s="79">
        <f>IF('Ordenes_Odoo'!G2058="","",'Ordenes_Odoo'!G2058)</f>
        <v/>
      </c>
      <c r="H2058" s="79">
        <f>IF('Ordenes_Odoo'!H2058="","",'Ordenes_Odoo'!H2058)</f>
        <v/>
      </c>
      <c r="I2058" s="79">
        <f>IF('Ordenes_Odoo'!I2058="","",'Ordenes_Odoo'!I2058)</f>
        <v/>
      </c>
      <c r="J2058" s="79">
        <f>IF('Ordenes_Odoo'!J2058="","",'Ordenes_Odoo'!J2058)</f>
        <v/>
      </c>
      <c r="K2058" s="81">
        <f>IF('Ordenes_Odoo'!K2058="","",'Ordenes_Odoo'!K2058)</f>
        <v/>
      </c>
      <c r="L2058" s="81">
        <f>IF('Ordenes_Odoo'!L2058="","",'Ordenes_Odoo'!L2058)</f>
        <v/>
      </c>
      <c r="M2058" s="79">
        <f>IF('Ordenes_Odoo'!M2058="","",'Ordenes_Odoo'!M2058)</f>
        <v/>
      </c>
      <c r="N2058" s="79">
        <f>IF('Ordenes_Odoo'!N2058="","",'Ordenes_Odoo'!N2058)</f>
        <v/>
      </c>
      <c r="O2058" s="81">
        <f>IF('Ordenes_Odoo'!O2058="","",'Ordenes_Odoo'!O2058)</f>
        <v/>
      </c>
      <c r="P2058" s="81">
        <f>IF('Ordenes_Odoo'!P2058="","",'Ordenes_Odoo'!P2058)</f>
        <v/>
      </c>
      <c r="Q2058" s="79">
        <f>IF(A2058="","",IFERROR(INDEX(Facturas_Odoo!$B:$B, MATCH(A2058, Facturas_Odoo!$D:$D, 0)), "Sin Factura"))</f>
        <v/>
      </c>
      <c r="R2058" s="80">
        <f>IF(Q2058="Sin Factura","",IFERROR(INDEX(Facturas_Odoo!$A:$A, MATCH(Q2058, Facturas_Odoo!$B:$B, 0)), ""))</f>
        <v/>
      </c>
      <c r="S2058" s="79">
        <f>IF(Q2058="Sin Factura","",IFERROR(_xlfn.XLOOKUP(1, (Facturas_Odoo!$D:$D=A2058) * (Facturas_Odoo!$K:$K=I2058), Facturas_Odoo!$L:$L, ""), ""))</f>
        <v/>
      </c>
      <c r="T2058" s="81">
        <f>IF(Q2058="Sin Factura",0,IFERROR(_xlfn.XLOOKUP(1, (Facturas_Odoo!$D:$D=A2058) * (Facturas_Odoo!$K:$K=I2058), Facturas_Odoo!$M:$M, 0), 0))</f>
        <v/>
      </c>
      <c r="U2058" s="79">
        <f>IF(Q2058="Sin Factura",0,IFERROR(_xlfn.XLOOKUP(1, (Facturas_Odoo!$D:$D=A2058) * (Facturas_Odoo!$K:$K=I2058), Facturas_Odoo!$N:$N, 0), 0))</f>
        <v/>
      </c>
      <c r="V2058" s="79">
        <f>IF(Q2058="Sin Factura",0,IFERROR(_xlfn.XLOOKUP(1, (Facturas_Odoo!$D:$D=A2058) * (Facturas_Odoo!$K:$K=I2058), Facturas_Odoo!$O:$O, 0), 0))</f>
        <v/>
      </c>
      <c r="W2058" s="81">
        <f>IF(Q2058="Sin Factura",0,IFERROR(_xlfn.XLOOKUP(1, (Facturas_Odoo!$D:$D=A2058) * (Facturas_Odoo!$K:$K=I2058), Facturas_Odoo!$Q:$Q, 0), 0))</f>
        <v/>
      </c>
      <c r="X2058" s="79">
        <f>IF(OR(Q2058="Sin Factura",Q2058=""),"",IFERROR(INDEX(Pagos_Odoo!$B:$B, MATCH(Q2058, Pagos_Odoo!$I:$I, 0)), "Sin Pago"))</f>
        <v/>
      </c>
      <c r="Y2058" s="79">
        <f>IF(X2058="Sin Pago","",IFERROR(INDEX(Pagos_Odoo!$C:$C, MATCH(X2058, Pagos_Odoo!$B:$B, 0)), ""))</f>
        <v/>
      </c>
      <c r="Z2058" s="80">
        <f>IF(X2058="Sin Pago","",IFERROR(INDEX(Pagos_Odoo!$A:$A, MATCH(X2058, Pagos_Odoo!$B:$B, 0)), ""))</f>
        <v/>
      </c>
      <c r="AA2058" s="79">
        <f>IF(X2058="Sin Pago","",IFERROR(INDEX(Pagos_Odoo!$F:$F, MATCH(X2058, Pagos_Odoo!$B:$B, 0)), ""))</f>
        <v/>
      </c>
      <c r="AB2058" s="81">
        <f>IF(X2058="Sin Pago",0,IFERROR(INDEX(Pagos_Odoo!$E:$E, MATCH(X2058, Pagos_Odoo!$B:$B, 0)), 0))</f>
        <v/>
      </c>
      <c r="AC2058" s="79">
        <f>IF(X2058="Sin Pago","",IFERROR(INDEX(Pagos_Odoo!$G:$G, MATCH(X2058, Pagos_Odoo!$B:$B, 0)), ""))</f>
        <v/>
      </c>
      <c r="AD2058" s="82" t="n">
        <v>0</v>
      </c>
      <c r="AE2058" s="82" t="n"/>
      <c r="AF2058" s="82" t="n"/>
      <c r="AG2058" s="82">
        <f>IF(AN2058="","",AD2058+AE2058+AF2058)</f>
        <v/>
      </c>
      <c r="AH2058" s="81">
        <f>IF(AN2058="","",P2058*(1-AG2058))</f>
        <v/>
      </c>
      <c r="AI2058" s="81">
        <f>IF(AN2058="","",IF(Q2058="Sin Factura",0,IFERROR(INDEX(Facturas_Odoo!$H:$H, MATCH(Q2058, Facturas_Odoo!$B:$B, 0)), 0)*(1-AG2058)))</f>
        <v/>
      </c>
      <c r="AJ2058" s="81">
        <f>IF(AN2058="","",_xlfn.LET(idVenta, AN2058&amp;"",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58" s="81">
        <f>IF(AN2058="","",AH2058-AJ2058)</f>
        <v/>
      </c>
      <c r="AL2058" s="81">
        <f>IF(AN2058="","",IF(Q2058="Sin Factura","",AI2058-AJ2058))</f>
        <v/>
      </c>
      <c r="AM2058" s="81">
        <f>IF(AN2058="","",IF(Q2058="Sin Factura",0,P2058-IFERROR(INDEX(Facturas_Odoo!$H:$H, MATCH(Q2058, Facturas_Odoo!$B:$B, 0)), 0)))</f>
        <v/>
      </c>
      <c r="AN2058" s="79">
        <f>IF(AND(A2058="", J2058=""), "", IF(A2058&lt;&gt;"", VALUE(MID(A2058,2,LEN(A2058))), AN2057))</f>
        <v/>
      </c>
      <c r="AO2058" s="79">
        <f>IF(AN2058="","",IF(AD2058=0,"OK",_xlfn.LET(monedaPago, IF(AA2058="","USD",AA2058), limitePermitido, IFERROR(VLOOKUP(monedaPago, Configuración!$A$2:$B$3, 2, FALSE), 0.15), IF(AD2058&gt;limitePermitido, "ALERTA: EXCESO (" &amp; TEXT(limitePermitido, "0%") &amp; " máx)", "OK"))))</f>
        <v/>
      </c>
      <c r="AP2058" s="79">
        <f>IF(AN2058="","",IF(AE2058=0,"OK",_xlfn.LET(fechaPago, Z2058, fechaFactura, R2058, diasCredito, IF(E2058="Pago inmediato", 0, IFERROR(VALUE(MID(E2058, 1, SEARCH(" ", E2058)-1)),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58" s="79">
        <f>IF(AN2058="","",IF(AND(N2058&gt;0, AG2058&gt;0), IF(Configuración!$K$2="NO", "ALERTA: DESCUENTO DOBLE NO PERMITIDO", "OK"), "OK"))</f>
        <v/>
      </c>
      <c r="AR2058" s="79">
        <f>IF(AN2058="","",IF(OR(AO2058&lt;&gt;"OK", AP2058&lt;&gt;"OK", AQ2058&lt;&gt;"OK"), "⚠️ REVISAR", "OK"))</f>
        <v/>
      </c>
    </row>
    <row r="2059">
      <c r="A2059" s="79">
        <f>IF('Ordenes_Odoo'!A2059="","",'Ordenes_Odoo'!A2059)</f>
        <v/>
      </c>
      <c r="B2059" s="80">
        <f>IF('Ordenes_Odoo'!B2059="","",'Ordenes_Odoo'!B2059)</f>
        <v/>
      </c>
      <c r="C2059" s="79">
        <f>IF('Ordenes_Odoo'!C2059="","",'Ordenes_Odoo'!C2059)</f>
        <v/>
      </c>
      <c r="D2059" s="79">
        <f>IF('Ordenes_Odoo'!D2059="","",'Ordenes_Odoo'!D2059)</f>
        <v/>
      </c>
      <c r="E2059" s="79">
        <f>IF('Ordenes_Odoo'!E2059="","",'Ordenes_Odoo'!E2059)</f>
        <v/>
      </c>
      <c r="F2059" s="79">
        <f>IF('Ordenes_Odoo'!F2059="","",'Ordenes_Odoo'!F2059)</f>
        <v/>
      </c>
      <c r="G2059" s="79">
        <f>IF('Ordenes_Odoo'!G2059="","",'Ordenes_Odoo'!G2059)</f>
        <v/>
      </c>
      <c r="H2059" s="79">
        <f>IF('Ordenes_Odoo'!H2059="","",'Ordenes_Odoo'!H2059)</f>
        <v/>
      </c>
      <c r="I2059" s="79">
        <f>IF('Ordenes_Odoo'!I2059="","",'Ordenes_Odoo'!I2059)</f>
        <v/>
      </c>
      <c r="J2059" s="79">
        <f>IF('Ordenes_Odoo'!J2059="","",'Ordenes_Odoo'!J2059)</f>
        <v/>
      </c>
      <c r="K2059" s="81">
        <f>IF('Ordenes_Odoo'!K2059="","",'Ordenes_Odoo'!K2059)</f>
        <v/>
      </c>
      <c r="L2059" s="81">
        <f>IF('Ordenes_Odoo'!L2059="","",'Ordenes_Odoo'!L2059)</f>
        <v/>
      </c>
      <c r="M2059" s="79">
        <f>IF('Ordenes_Odoo'!M2059="","",'Ordenes_Odoo'!M2059)</f>
        <v/>
      </c>
      <c r="N2059" s="79">
        <f>IF('Ordenes_Odoo'!N2059="","",'Ordenes_Odoo'!N2059)</f>
        <v/>
      </c>
      <c r="O2059" s="81">
        <f>IF('Ordenes_Odoo'!O2059="","",'Ordenes_Odoo'!O2059)</f>
        <v/>
      </c>
      <c r="P2059" s="81">
        <f>IF('Ordenes_Odoo'!P2059="","",'Ordenes_Odoo'!P2059)</f>
        <v/>
      </c>
      <c r="Q2059" s="79">
        <f>IF(A2059="","",IFERROR(INDEX(Facturas_Odoo!$B:$B, MATCH(A2059, Facturas_Odoo!$D:$D, 0)), "Sin Factura"))</f>
        <v/>
      </c>
      <c r="R2059" s="80">
        <f>IF(Q2059="Sin Factura","",IFERROR(INDEX(Facturas_Odoo!$A:$A, MATCH(Q2059, Facturas_Odoo!$B:$B, 0)), ""))</f>
        <v/>
      </c>
      <c r="S2059" s="79">
        <f>IF(Q2059="Sin Factura","",IFERROR(_xlfn.XLOOKUP(1, (Facturas_Odoo!$D:$D=A2059) * (Facturas_Odoo!$K:$K=I2059), Facturas_Odoo!$L:$L, ""), ""))</f>
        <v/>
      </c>
      <c r="T2059" s="81">
        <f>IF(Q2059="Sin Factura",0,IFERROR(_xlfn.XLOOKUP(1, (Facturas_Odoo!$D:$D=A2059) * (Facturas_Odoo!$K:$K=I2059), Facturas_Odoo!$M:$M, 0), 0))</f>
        <v/>
      </c>
      <c r="U2059" s="79">
        <f>IF(Q2059="Sin Factura",0,IFERROR(_xlfn.XLOOKUP(1, (Facturas_Odoo!$D:$D=A2059) * (Facturas_Odoo!$K:$K=I2059), Facturas_Odoo!$N:$N, 0), 0))</f>
        <v/>
      </c>
      <c r="V2059" s="79">
        <f>IF(Q2059="Sin Factura",0,IFERROR(_xlfn.XLOOKUP(1, (Facturas_Odoo!$D:$D=A2059) * (Facturas_Odoo!$K:$K=I2059), Facturas_Odoo!$O:$O, 0), 0))</f>
        <v/>
      </c>
      <c r="W2059" s="81">
        <f>IF(Q2059="Sin Factura",0,IFERROR(_xlfn.XLOOKUP(1, (Facturas_Odoo!$D:$D=A2059) * (Facturas_Odoo!$K:$K=I2059), Facturas_Odoo!$Q:$Q, 0), 0))</f>
        <v/>
      </c>
      <c r="X2059" s="79">
        <f>IF(OR(Q2059="Sin Factura",Q2059=""),"",IFERROR(INDEX(Pagos_Odoo!$B:$B, MATCH(Q2059, Pagos_Odoo!$I:$I, 0)), "Sin Pago"))</f>
        <v/>
      </c>
      <c r="Y2059" s="79">
        <f>IF(X2059="Sin Pago","",IFERROR(INDEX(Pagos_Odoo!$C:$C, MATCH(X2059, Pagos_Odoo!$B:$B, 0)), ""))</f>
        <v/>
      </c>
      <c r="Z2059" s="80">
        <f>IF(X2059="Sin Pago","",IFERROR(INDEX(Pagos_Odoo!$A:$A, MATCH(X2059, Pagos_Odoo!$B:$B, 0)), ""))</f>
        <v/>
      </c>
      <c r="AA2059" s="79">
        <f>IF(X2059="Sin Pago","",IFERROR(INDEX(Pagos_Odoo!$F:$F, MATCH(X2059, Pagos_Odoo!$B:$B, 0)), ""))</f>
        <v/>
      </c>
      <c r="AB2059" s="81">
        <f>IF(X2059="Sin Pago",0,IFERROR(INDEX(Pagos_Odoo!$E:$E, MATCH(X2059, Pagos_Odoo!$B:$B, 0)), 0))</f>
        <v/>
      </c>
      <c r="AC2059" s="79">
        <f>IF(X2059="Sin Pago","",IFERROR(INDEX(Pagos_Odoo!$G:$G, MATCH(X2059, Pagos_Odoo!$B:$B, 0)), ""))</f>
        <v/>
      </c>
      <c r="AD2059" s="82" t="n">
        <v>0</v>
      </c>
      <c r="AE2059" s="82" t="n"/>
      <c r="AF2059" s="82" t="n"/>
      <c r="AG2059" s="82">
        <f>IF(AN2059="","",AD2059+AE2059+AF2059)</f>
        <v/>
      </c>
      <c r="AH2059" s="81">
        <f>IF(AN2059="","",P2059*(1-AG2059))</f>
        <v/>
      </c>
      <c r="AI2059" s="81">
        <f>IF(AN2059="","",IF(Q2059="Sin Factura",0,IFERROR(INDEX(Facturas_Odoo!$H:$H, MATCH(Q2059, Facturas_Odoo!$B:$B, 0)), 0)*(1-AG2059)))</f>
        <v/>
      </c>
      <c r="AJ2059" s="81">
        <f>IF(AN2059="","",_xlfn.LET(idVenta, AN2059&amp;"",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59" s="81">
        <f>IF(AN2059="","",AH2059-AJ2059)</f>
        <v/>
      </c>
      <c r="AL2059" s="81">
        <f>IF(AN2059="","",IF(Q2059="Sin Factura","",AI2059-AJ2059))</f>
        <v/>
      </c>
      <c r="AM2059" s="81">
        <f>IF(AN2059="","",IF(Q2059="Sin Factura",0,P2059-IFERROR(INDEX(Facturas_Odoo!$H:$H, MATCH(Q2059, Facturas_Odoo!$B:$B, 0)), 0)))</f>
        <v/>
      </c>
      <c r="AN2059" s="79">
        <f>IF(AND(A2059="", J2059=""), "", IF(A2059&lt;&gt;"", VALUE(MID(A2059,2,LEN(A2059))), AN2058))</f>
        <v/>
      </c>
      <c r="AO2059" s="79">
        <f>IF(AN2059="","",IF(AD2059=0,"OK",_xlfn.LET(monedaPago, IF(AA2059="","USD",AA2059), limitePermitido, IFERROR(VLOOKUP(monedaPago, Configuración!$A$2:$B$3, 2, FALSE), 0.15), IF(AD2059&gt;limitePermitido, "ALERTA: EXCESO (" &amp; TEXT(limitePermitido, "0%") &amp; " máx)", "OK"))))</f>
        <v/>
      </c>
      <c r="AP2059" s="79">
        <f>IF(AN2059="","",IF(AE2059=0,"OK",_xlfn.LET(fechaPago, Z2059, fechaFactura, R2059, diasCredito, IF(E2059="Pago inmediato", 0, IFERROR(VALUE(MID(E2059, 1, SEARCH(" ", E2059)-1)),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59" s="79">
        <f>IF(AN2059="","",IF(AND(N2059&gt;0, AG2059&gt;0), IF(Configuración!$K$2="NO", "ALERTA: DESCUENTO DOBLE NO PERMITIDO", "OK"), "OK"))</f>
        <v/>
      </c>
      <c r="AR2059" s="79">
        <f>IF(AN2059="","",IF(OR(AO2059&lt;&gt;"OK", AP2059&lt;&gt;"OK", AQ2059&lt;&gt;"OK"), "⚠️ REVISAR", "OK"))</f>
        <v/>
      </c>
    </row>
    <row r="2060">
      <c r="A2060" s="79">
        <f>IF('Ordenes_Odoo'!A2060="","",'Ordenes_Odoo'!A2060)</f>
        <v/>
      </c>
      <c r="B2060" s="80">
        <f>IF('Ordenes_Odoo'!B2060="","",'Ordenes_Odoo'!B2060)</f>
        <v/>
      </c>
      <c r="C2060" s="79">
        <f>IF('Ordenes_Odoo'!C2060="","",'Ordenes_Odoo'!C2060)</f>
        <v/>
      </c>
      <c r="D2060" s="79">
        <f>IF('Ordenes_Odoo'!D2060="","",'Ordenes_Odoo'!D2060)</f>
        <v/>
      </c>
      <c r="E2060" s="79">
        <f>IF('Ordenes_Odoo'!E2060="","",'Ordenes_Odoo'!E2060)</f>
        <v/>
      </c>
      <c r="F2060" s="79">
        <f>IF('Ordenes_Odoo'!F2060="","",'Ordenes_Odoo'!F2060)</f>
        <v/>
      </c>
      <c r="G2060" s="79">
        <f>IF('Ordenes_Odoo'!G2060="","",'Ordenes_Odoo'!G2060)</f>
        <v/>
      </c>
      <c r="H2060" s="79">
        <f>IF('Ordenes_Odoo'!H2060="","",'Ordenes_Odoo'!H2060)</f>
        <v/>
      </c>
      <c r="I2060" s="79">
        <f>IF('Ordenes_Odoo'!I2060="","",'Ordenes_Odoo'!I2060)</f>
        <v/>
      </c>
      <c r="J2060" s="79">
        <f>IF('Ordenes_Odoo'!J2060="","",'Ordenes_Odoo'!J2060)</f>
        <v/>
      </c>
      <c r="K2060" s="81">
        <f>IF('Ordenes_Odoo'!K2060="","",'Ordenes_Odoo'!K2060)</f>
        <v/>
      </c>
      <c r="L2060" s="81">
        <f>IF('Ordenes_Odoo'!L2060="","",'Ordenes_Odoo'!L2060)</f>
        <v/>
      </c>
      <c r="M2060" s="79">
        <f>IF('Ordenes_Odoo'!M2060="","",'Ordenes_Odoo'!M2060)</f>
        <v/>
      </c>
      <c r="N2060" s="79">
        <f>IF('Ordenes_Odoo'!N2060="","",'Ordenes_Odoo'!N2060)</f>
        <v/>
      </c>
      <c r="O2060" s="81">
        <f>IF('Ordenes_Odoo'!O2060="","",'Ordenes_Odoo'!O2060)</f>
        <v/>
      </c>
      <c r="P2060" s="81">
        <f>IF('Ordenes_Odoo'!P2060="","",'Ordenes_Odoo'!P2060)</f>
        <v/>
      </c>
      <c r="Q2060" s="79">
        <f>IF(A2060="","",IFERROR(INDEX(Facturas_Odoo!$B:$B, MATCH(A2060, Facturas_Odoo!$D:$D, 0)), "Sin Factura"))</f>
        <v/>
      </c>
      <c r="R2060" s="80">
        <f>IF(Q2060="Sin Factura","",IFERROR(INDEX(Facturas_Odoo!$A:$A, MATCH(Q2060, Facturas_Odoo!$B:$B, 0)), ""))</f>
        <v/>
      </c>
      <c r="S2060" s="79">
        <f>IF(Q2060="Sin Factura","",IFERROR(_xlfn.XLOOKUP(1, (Facturas_Odoo!$D:$D=A2060) * (Facturas_Odoo!$K:$K=I2060), Facturas_Odoo!$L:$L, ""), ""))</f>
        <v/>
      </c>
      <c r="T2060" s="81">
        <f>IF(Q2060="Sin Factura",0,IFERROR(_xlfn.XLOOKUP(1, (Facturas_Odoo!$D:$D=A2060) * (Facturas_Odoo!$K:$K=I2060), Facturas_Odoo!$M:$M, 0), 0))</f>
        <v/>
      </c>
      <c r="U2060" s="79">
        <f>IF(Q2060="Sin Factura",0,IFERROR(_xlfn.XLOOKUP(1, (Facturas_Odoo!$D:$D=A2060) * (Facturas_Odoo!$K:$K=I2060), Facturas_Odoo!$N:$N, 0), 0))</f>
        <v/>
      </c>
      <c r="V2060" s="79">
        <f>IF(Q2060="Sin Factura",0,IFERROR(_xlfn.XLOOKUP(1, (Facturas_Odoo!$D:$D=A2060) * (Facturas_Odoo!$K:$K=I2060), Facturas_Odoo!$O:$O, 0), 0))</f>
        <v/>
      </c>
      <c r="W2060" s="81">
        <f>IF(Q2060="Sin Factura",0,IFERROR(_xlfn.XLOOKUP(1, (Facturas_Odoo!$D:$D=A2060) * (Facturas_Odoo!$K:$K=I2060), Facturas_Odoo!$Q:$Q, 0), 0))</f>
        <v/>
      </c>
      <c r="X2060" s="79">
        <f>IF(OR(Q2060="Sin Factura",Q2060=""),"",IFERROR(INDEX(Pagos_Odoo!$B:$B, MATCH(Q2060, Pagos_Odoo!$I:$I, 0)), "Sin Pago"))</f>
        <v/>
      </c>
      <c r="Y2060" s="79">
        <f>IF(X2060="Sin Pago","",IFERROR(INDEX(Pagos_Odoo!$C:$C, MATCH(X2060, Pagos_Odoo!$B:$B, 0)), ""))</f>
        <v/>
      </c>
      <c r="Z2060" s="80">
        <f>IF(X2060="Sin Pago","",IFERROR(INDEX(Pagos_Odoo!$A:$A, MATCH(X2060, Pagos_Odoo!$B:$B, 0)), ""))</f>
        <v/>
      </c>
      <c r="AA2060" s="79">
        <f>IF(X2060="Sin Pago","",IFERROR(INDEX(Pagos_Odoo!$F:$F, MATCH(X2060, Pagos_Odoo!$B:$B, 0)), ""))</f>
        <v/>
      </c>
      <c r="AB2060" s="81">
        <f>IF(X2060="Sin Pago",0,IFERROR(INDEX(Pagos_Odoo!$E:$E, MATCH(X2060, Pagos_Odoo!$B:$B, 0)), 0))</f>
        <v/>
      </c>
      <c r="AC2060" s="79">
        <f>IF(X2060="Sin Pago","",IFERROR(INDEX(Pagos_Odoo!$G:$G, MATCH(X2060, Pagos_Odoo!$B:$B, 0)), ""))</f>
        <v/>
      </c>
      <c r="AD2060" s="82" t="n">
        <v>0</v>
      </c>
      <c r="AE2060" s="82" t="n"/>
      <c r="AF2060" s="82" t="n"/>
      <c r="AG2060" s="82">
        <f>IF(AN2060="","",AD2060+AE2060+AF2060)</f>
        <v/>
      </c>
      <c r="AH2060" s="81">
        <f>IF(AN2060="","",P2060*(1-AG2060))</f>
        <v/>
      </c>
      <c r="AI2060" s="81">
        <f>IF(AN2060="","",IF(Q2060="Sin Factura",0,IFERROR(INDEX(Facturas_Odoo!$H:$H, MATCH(Q2060, Facturas_Odoo!$B:$B, 0)), 0)*(1-AG2060)))</f>
        <v/>
      </c>
      <c r="AJ2060" s="81">
        <f>IF(AN2060="","",_xlfn.LET(idVenta, AN2060&amp;"",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60" s="81">
        <f>IF(AN2060="","",AH2060-AJ2060)</f>
        <v/>
      </c>
      <c r="AL2060" s="81">
        <f>IF(AN2060="","",IF(Q2060="Sin Factura","",AI2060-AJ2060))</f>
        <v/>
      </c>
      <c r="AM2060" s="81">
        <f>IF(AN2060="","",IF(Q2060="Sin Factura",0,P2060-IFERROR(INDEX(Facturas_Odoo!$H:$H, MATCH(Q2060, Facturas_Odoo!$B:$B, 0)), 0)))</f>
        <v/>
      </c>
      <c r="AN2060" s="79">
        <f>IF(AND(A2060="", J2060=""), "", IF(A2060&lt;&gt;"", VALUE(MID(A2060,2,LEN(A2060))), AN2059))</f>
        <v/>
      </c>
      <c r="AO2060" s="79">
        <f>IF(AN2060="","",IF(AD2060=0,"OK",_xlfn.LET(monedaPago, IF(AA2060="","USD",AA2060), limitePermitido, IFERROR(VLOOKUP(monedaPago, Configuración!$A$2:$B$3, 2, FALSE), 0.15), IF(AD2060&gt;limitePermitido, "ALERTA: EXCESO (" &amp; TEXT(limitePermitido, "0%") &amp; " máx)", "OK"))))</f>
        <v/>
      </c>
      <c r="AP2060" s="79">
        <f>IF(AN2060="","",IF(AE2060=0,"OK",_xlfn.LET(fechaPago, Z2060, fechaFactura, R2060, diasCredito, IF(E2060="Pago inmediato", 0, IFERROR(VALUE(MID(E2060, 1, SEARCH(" ", E2060)-1)),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60" s="79">
        <f>IF(AN2060="","",IF(AND(N2060&gt;0, AG2060&gt;0), IF(Configuración!$K$2="NO", "ALERTA: DESCUENTO DOBLE NO PERMITIDO", "OK"), "OK"))</f>
        <v/>
      </c>
      <c r="AR2060" s="79">
        <f>IF(AN2060="","",IF(OR(AO2060&lt;&gt;"OK", AP2060&lt;&gt;"OK", AQ2060&lt;&gt;"OK"), "⚠️ REVISAR", "OK"))</f>
        <v/>
      </c>
    </row>
    <row r="2061">
      <c r="A2061" s="79">
        <f>IF('Ordenes_Odoo'!A2061="","",'Ordenes_Odoo'!A2061)</f>
        <v/>
      </c>
      <c r="B2061" s="80">
        <f>IF('Ordenes_Odoo'!B2061="","",'Ordenes_Odoo'!B2061)</f>
        <v/>
      </c>
      <c r="C2061" s="79">
        <f>IF('Ordenes_Odoo'!C2061="","",'Ordenes_Odoo'!C2061)</f>
        <v/>
      </c>
      <c r="D2061" s="79">
        <f>IF('Ordenes_Odoo'!D2061="","",'Ordenes_Odoo'!D2061)</f>
        <v/>
      </c>
      <c r="E2061" s="79">
        <f>IF('Ordenes_Odoo'!E2061="","",'Ordenes_Odoo'!E2061)</f>
        <v/>
      </c>
      <c r="F2061" s="79">
        <f>IF('Ordenes_Odoo'!F2061="","",'Ordenes_Odoo'!F2061)</f>
        <v/>
      </c>
      <c r="G2061" s="79">
        <f>IF('Ordenes_Odoo'!G2061="","",'Ordenes_Odoo'!G2061)</f>
        <v/>
      </c>
      <c r="H2061" s="79">
        <f>IF('Ordenes_Odoo'!H2061="","",'Ordenes_Odoo'!H2061)</f>
        <v/>
      </c>
      <c r="I2061" s="79">
        <f>IF('Ordenes_Odoo'!I2061="","",'Ordenes_Odoo'!I2061)</f>
        <v/>
      </c>
      <c r="J2061" s="79">
        <f>IF('Ordenes_Odoo'!J2061="","",'Ordenes_Odoo'!J2061)</f>
        <v/>
      </c>
      <c r="K2061" s="81">
        <f>IF('Ordenes_Odoo'!K2061="","",'Ordenes_Odoo'!K2061)</f>
        <v/>
      </c>
      <c r="L2061" s="81">
        <f>IF('Ordenes_Odoo'!L2061="","",'Ordenes_Odoo'!L2061)</f>
        <v/>
      </c>
      <c r="M2061" s="79">
        <f>IF('Ordenes_Odoo'!M2061="","",'Ordenes_Odoo'!M2061)</f>
        <v/>
      </c>
      <c r="N2061" s="79">
        <f>IF('Ordenes_Odoo'!N2061="","",'Ordenes_Odoo'!N2061)</f>
        <v/>
      </c>
      <c r="O2061" s="81">
        <f>IF('Ordenes_Odoo'!O2061="","",'Ordenes_Odoo'!O2061)</f>
        <v/>
      </c>
      <c r="P2061" s="81">
        <f>IF('Ordenes_Odoo'!P2061="","",'Ordenes_Odoo'!P2061)</f>
        <v/>
      </c>
      <c r="Q2061" s="79">
        <f>IF(A2061="","",IFERROR(INDEX(Facturas_Odoo!$B:$B, MATCH(A2061, Facturas_Odoo!$D:$D, 0)), "Sin Factura"))</f>
        <v/>
      </c>
      <c r="R2061" s="80">
        <f>IF(Q2061="Sin Factura","",IFERROR(INDEX(Facturas_Odoo!$A:$A, MATCH(Q2061, Facturas_Odoo!$B:$B, 0)), ""))</f>
        <v/>
      </c>
      <c r="S2061" s="79">
        <f>IF(Q2061="Sin Factura","",IFERROR(_xlfn.XLOOKUP(1, (Facturas_Odoo!$D:$D=A2061) * (Facturas_Odoo!$K:$K=I2061), Facturas_Odoo!$L:$L, ""), ""))</f>
        <v/>
      </c>
      <c r="T2061" s="81">
        <f>IF(Q2061="Sin Factura",0,IFERROR(_xlfn.XLOOKUP(1, (Facturas_Odoo!$D:$D=A2061) * (Facturas_Odoo!$K:$K=I2061), Facturas_Odoo!$M:$M, 0), 0))</f>
        <v/>
      </c>
      <c r="U2061" s="79">
        <f>IF(Q2061="Sin Factura",0,IFERROR(_xlfn.XLOOKUP(1, (Facturas_Odoo!$D:$D=A2061) * (Facturas_Odoo!$K:$K=I2061), Facturas_Odoo!$N:$N, 0), 0))</f>
        <v/>
      </c>
      <c r="V2061" s="79">
        <f>IF(Q2061="Sin Factura",0,IFERROR(_xlfn.XLOOKUP(1, (Facturas_Odoo!$D:$D=A2061) * (Facturas_Odoo!$K:$K=I2061), Facturas_Odoo!$O:$O, 0), 0))</f>
        <v/>
      </c>
      <c r="W2061" s="81">
        <f>IF(Q2061="Sin Factura",0,IFERROR(_xlfn.XLOOKUP(1, (Facturas_Odoo!$D:$D=A2061) * (Facturas_Odoo!$K:$K=I2061), Facturas_Odoo!$Q:$Q, 0), 0))</f>
        <v/>
      </c>
      <c r="X2061" s="79">
        <f>IF(OR(Q2061="Sin Factura",Q2061=""),"",IFERROR(INDEX(Pagos_Odoo!$B:$B, MATCH(Q2061, Pagos_Odoo!$I:$I, 0)), "Sin Pago"))</f>
        <v/>
      </c>
      <c r="Y2061" s="79">
        <f>IF(X2061="Sin Pago","",IFERROR(INDEX(Pagos_Odoo!$C:$C, MATCH(X2061, Pagos_Odoo!$B:$B, 0)), ""))</f>
        <v/>
      </c>
      <c r="Z2061" s="80">
        <f>IF(X2061="Sin Pago","",IFERROR(INDEX(Pagos_Odoo!$A:$A, MATCH(X2061, Pagos_Odoo!$B:$B, 0)), ""))</f>
        <v/>
      </c>
      <c r="AA2061" s="79">
        <f>IF(X2061="Sin Pago","",IFERROR(INDEX(Pagos_Odoo!$F:$F, MATCH(X2061, Pagos_Odoo!$B:$B, 0)), ""))</f>
        <v/>
      </c>
      <c r="AB2061" s="81">
        <f>IF(X2061="Sin Pago",0,IFERROR(INDEX(Pagos_Odoo!$E:$E, MATCH(X2061, Pagos_Odoo!$B:$B, 0)), 0))</f>
        <v/>
      </c>
      <c r="AC2061" s="79">
        <f>IF(X2061="Sin Pago","",IFERROR(INDEX(Pagos_Odoo!$G:$G, MATCH(X2061, Pagos_Odoo!$B:$B, 0)), ""))</f>
        <v/>
      </c>
      <c r="AD2061" s="82" t="n">
        <v>0</v>
      </c>
      <c r="AE2061" s="82" t="n"/>
      <c r="AF2061" s="82" t="n"/>
      <c r="AG2061" s="82">
        <f>IF(AN2061="","",AD2061+AE2061+AF2061)</f>
        <v/>
      </c>
      <c r="AH2061" s="81">
        <f>IF(AN2061="","",P2061*(1-AG2061))</f>
        <v/>
      </c>
      <c r="AI2061" s="81">
        <f>IF(AN2061="","",IF(Q2061="Sin Factura",0,IFERROR(INDEX(Facturas_Odoo!$H:$H, MATCH(Q2061, Facturas_Odoo!$B:$B, 0)), 0)*(1-AG2061)))</f>
        <v/>
      </c>
      <c r="AJ2061" s="81">
        <f>IF(AN2061="","",_xlfn.LET(idVenta, AN2061&amp;"",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61" s="81">
        <f>IF(AN2061="","",AH2061-AJ2061)</f>
        <v/>
      </c>
      <c r="AL2061" s="81">
        <f>IF(AN2061="","",IF(Q2061="Sin Factura","",AI2061-AJ2061))</f>
        <v/>
      </c>
      <c r="AM2061" s="81">
        <f>IF(AN2061="","",IF(Q2061="Sin Factura",0,P2061-IFERROR(INDEX(Facturas_Odoo!$H:$H, MATCH(Q2061, Facturas_Odoo!$B:$B, 0)), 0)))</f>
        <v/>
      </c>
      <c r="AN2061" s="79">
        <f>IF(AND(A2061="", J2061=""), "", IF(A2061&lt;&gt;"", VALUE(MID(A2061,2,LEN(A2061))), AN2060))</f>
        <v/>
      </c>
      <c r="AO2061" s="79">
        <f>IF(AN2061="","",IF(AD2061=0,"OK",_xlfn.LET(monedaPago, IF(AA2061="","USD",AA2061), limitePermitido, IFERROR(VLOOKUP(monedaPago, Configuración!$A$2:$B$3, 2, FALSE), 0.15), IF(AD2061&gt;limitePermitido, "ALERTA: EXCESO (" &amp; TEXT(limitePermitido, "0%") &amp; " máx)", "OK"))))</f>
        <v/>
      </c>
      <c r="AP2061" s="79">
        <f>IF(AN2061="","",IF(AE2061=0,"OK",_xlfn.LET(fechaPago, Z2061, fechaFactura, R2061, diasCredito, IF(E2061="Pago inmediato", 0, IFERROR(VALUE(MID(E2061, 1, SEARCH(" ", E2061)-1)),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61" s="79">
        <f>IF(AN2061="","",IF(AND(N2061&gt;0, AG2061&gt;0), IF(Configuración!$K$2="NO", "ALERTA: DESCUENTO DOBLE NO PERMITIDO", "OK"), "OK"))</f>
        <v/>
      </c>
      <c r="AR2061" s="79">
        <f>IF(AN2061="","",IF(OR(AO2061&lt;&gt;"OK", AP2061&lt;&gt;"OK", AQ2061&lt;&gt;"OK"), "⚠️ REVISAR", "OK"))</f>
        <v/>
      </c>
    </row>
    <row r="2062">
      <c r="A2062" s="79">
        <f>IF('Ordenes_Odoo'!A2062="","",'Ordenes_Odoo'!A2062)</f>
        <v/>
      </c>
      <c r="B2062" s="80">
        <f>IF('Ordenes_Odoo'!B2062="","",'Ordenes_Odoo'!B2062)</f>
        <v/>
      </c>
      <c r="C2062" s="79">
        <f>IF('Ordenes_Odoo'!C2062="","",'Ordenes_Odoo'!C2062)</f>
        <v/>
      </c>
      <c r="D2062" s="79">
        <f>IF('Ordenes_Odoo'!D2062="","",'Ordenes_Odoo'!D2062)</f>
        <v/>
      </c>
      <c r="E2062" s="79">
        <f>IF('Ordenes_Odoo'!E2062="","",'Ordenes_Odoo'!E2062)</f>
        <v/>
      </c>
      <c r="F2062" s="79">
        <f>IF('Ordenes_Odoo'!F2062="","",'Ordenes_Odoo'!F2062)</f>
        <v/>
      </c>
      <c r="G2062" s="79">
        <f>IF('Ordenes_Odoo'!G2062="","",'Ordenes_Odoo'!G2062)</f>
        <v/>
      </c>
      <c r="H2062" s="79">
        <f>IF('Ordenes_Odoo'!H2062="","",'Ordenes_Odoo'!H2062)</f>
        <v/>
      </c>
      <c r="I2062" s="79">
        <f>IF('Ordenes_Odoo'!I2062="","",'Ordenes_Odoo'!I2062)</f>
        <v/>
      </c>
      <c r="J2062" s="79">
        <f>IF('Ordenes_Odoo'!J2062="","",'Ordenes_Odoo'!J2062)</f>
        <v/>
      </c>
      <c r="K2062" s="81">
        <f>IF('Ordenes_Odoo'!K2062="","",'Ordenes_Odoo'!K2062)</f>
        <v/>
      </c>
      <c r="L2062" s="81">
        <f>IF('Ordenes_Odoo'!L2062="","",'Ordenes_Odoo'!L2062)</f>
        <v/>
      </c>
      <c r="M2062" s="79">
        <f>IF('Ordenes_Odoo'!M2062="","",'Ordenes_Odoo'!M2062)</f>
        <v/>
      </c>
      <c r="N2062" s="79">
        <f>IF('Ordenes_Odoo'!N2062="","",'Ordenes_Odoo'!N2062)</f>
        <v/>
      </c>
      <c r="O2062" s="81">
        <f>IF('Ordenes_Odoo'!O2062="","",'Ordenes_Odoo'!O2062)</f>
        <v/>
      </c>
      <c r="P2062" s="81">
        <f>IF('Ordenes_Odoo'!P2062="","",'Ordenes_Odoo'!P2062)</f>
        <v/>
      </c>
      <c r="Q2062" s="79">
        <f>IF(A2062="","",IFERROR(INDEX(Facturas_Odoo!$B:$B, MATCH(A2062, Facturas_Odoo!$D:$D, 0)), "Sin Factura"))</f>
        <v/>
      </c>
      <c r="R2062" s="80">
        <f>IF(Q2062="Sin Factura","",IFERROR(INDEX(Facturas_Odoo!$A:$A, MATCH(Q2062, Facturas_Odoo!$B:$B, 0)), ""))</f>
        <v/>
      </c>
      <c r="S2062" s="79">
        <f>IF(Q2062="Sin Factura","",IFERROR(_xlfn.XLOOKUP(1, (Facturas_Odoo!$D:$D=A2062) * (Facturas_Odoo!$K:$K=I2062), Facturas_Odoo!$L:$L, ""), ""))</f>
        <v/>
      </c>
      <c r="T2062" s="81">
        <f>IF(Q2062="Sin Factura",0,IFERROR(_xlfn.XLOOKUP(1, (Facturas_Odoo!$D:$D=A2062) * (Facturas_Odoo!$K:$K=I2062), Facturas_Odoo!$M:$M, 0), 0))</f>
        <v/>
      </c>
      <c r="U2062" s="79">
        <f>IF(Q2062="Sin Factura",0,IFERROR(_xlfn.XLOOKUP(1, (Facturas_Odoo!$D:$D=A2062) * (Facturas_Odoo!$K:$K=I2062), Facturas_Odoo!$N:$N, 0), 0))</f>
        <v/>
      </c>
      <c r="V2062" s="79">
        <f>IF(Q2062="Sin Factura",0,IFERROR(_xlfn.XLOOKUP(1, (Facturas_Odoo!$D:$D=A2062) * (Facturas_Odoo!$K:$K=I2062), Facturas_Odoo!$O:$O, 0), 0))</f>
        <v/>
      </c>
      <c r="W2062" s="81">
        <f>IF(Q2062="Sin Factura",0,IFERROR(_xlfn.XLOOKUP(1, (Facturas_Odoo!$D:$D=A2062) * (Facturas_Odoo!$K:$K=I2062), Facturas_Odoo!$Q:$Q, 0), 0))</f>
        <v/>
      </c>
      <c r="X2062" s="79">
        <f>IF(OR(Q2062="Sin Factura",Q2062=""),"",IFERROR(INDEX(Pagos_Odoo!$B:$B, MATCH(Q2062, Pagos_Odoo!$I:$I, 0)), "Sin Pago"))</f>
        <v/>
      </c>
      <c r="Y2062" s="79">
        <f>IF(X2062="Sin Pago","",IFERROR(INDEX(Pagos_Odoo!$C:$C, MATCH(X2062, Pagos_Odoo!$B:$B, 0)), ""))</f>
        <v/>
      </c>
      <c r="Z2062" s="80">
        <f>IF(X2062="Sin Pago","",IFERROR(INDEX(Pagos_Odoo!$A:$A, MATCH(X2062, Pagos_Odoo!$B:$B, 0)), ""))</f>
        <v/>
      </c>
      <c r="AA2062" s="79">
        <f>IF(X2062="Sin Pago","",IFERROR(INDEX(Pagos_Odoo!$F:$F, MATCH(X2062, Pagos_Odoo!$B:$B, 0)), ""))</f>
        <v/>
      </c>
      <c r="AB2062" s="81">
        <f>IF(X2062="Sin Pago",0,IFERROR(INDEX(Pagos_Odoo!$E:$E, MATCH(X2062, Pagos_Odoo!$B:$B, 0)), 0))</f>
        <v/>
      </c>
      <c r="AC2062" s="79">
        <f>IF(X2062="Sin Pago","",IFERROR(INDEX(Pagos_Odoo!$G:$G, MATCH(X2062, Pagos_Odoo!$B:$B, 0)), ""))</f>
        <v/>
      </c>
      <c r="AD2062" s="82" t="n">
        <v>0</v>
      </c>
      <c r="AE2062" s="82" t="n"/>
      <c r="AF2062" s="82" t="n"/>
      <c r="AG2062" s="82">
        <f>IF(AN2062="","",AD2062+AE2062+AF2062)</f>
        <v/>
      </c>
      <c r="AH2062" s="81">
        <f>IF(AN2062="","",P2062*(1-AG2062))</f>
        <v/>
      </c>
      <c r="AI2062" s="81">
        <f>IF(AN2062="","",IF(Q2062="Sin Factura",0,IFERROR(INDEX(Facturas_Odoo!$H:$H, MATCH(Q2062, Facturas_Odoo!$B:$B, 0)), 0)*(1-AG2062)))</f>
        <v/>
      </c>
      <c r="AJ2062" s="81">
        <f>IF(AN2062="","",_xlfn.LET(idVenta, AN2062&amp;"",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62" s="81">
        <f>IF(AN2062="","",AH2062-AJ2062)</f>
        <v/>
      </c>
      <c r="AL2062" s="81">
        <f>IF(AN2062="","",IF(Q2062="Sin Factura","",AI2062-AJ2062))</f>
        <v/>
      </c>
      <c r="AM2062" s="81">
        <f>IF(AN2062="","",IF(Q2062="Sin Factura",0,P2062-IFERROR(INDEX(Facturas_Odoo!$H:$H, MATCH(Q2062, Facturas_Odoo!$B:$B, 0)), 0)))</f>
        <v/>
      </c>
      <c r="AN2062" s="79">
        <f>IF(AND(A2062="", J2062=""), "", IF(A2062&lt;&gt;"", VALUE(MID(A2062,2,LEN(A2062))), AN2061))</f>
        <v/>
      </c>
      <c r="AO2062" s="79">
        <f>IF(AN2062="","",IF(AD2062=0,"OK",_xlfn.LET(monedaPago, IF(AA2062="","USD",AA2062), limitePermitido, IFERROR(VLOOKUP(monedaPago, Configuración!$A$2:$B$3, 2, FALSE), 0.15), IF(AD2062&gt;limitePermitido, "ALERTA: EXCESO (" &amp; TEXT(limitePermitido, "0%") &amp; " máx)", "OK"))))</f>
        <v/>
      </c>
      <c r="AP2062" s="79">
        <f>IF(AN2062="","",IF(AE2062=0,"OK",_xlfn.LET(fechaPago, Z2062, fechaFactura, R2062, diasCredito, IF(E2062="Pago inmediato", 0, IFERROR(VALUE(MID(E2062, 1, SEARCH(" ", E2062)-1)),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62" s="79">
        <f>IF(AN2062="","",IF(AND(N2062&gt;0, AG2062&gt;0), IF(Configuración!$K$2="NO", "ALERTA: DESCUENTO DOBLE NO PERMITIDO", "OK"), "OK"))</f>
        <v/>
      </c>
      <c r="AR2062" s="79">
        <f>IF(AN2062="","",IF(OR(AO2062&lt;&gt;"OK", AP2062&lt;&gt;"OK", AQ2062&lt;&gt;"OK"), "⚠️ REVISAR", "OK"))</f>
        <v/>
      </c>
    </row>
    <row r="2063">
      <c r="A2063" s="79">
        <f>IF('Ordenes_Odoo'!A2063="","",'Ordenes_Odoo'!A2063)</f>
        <v/>
      </c>
      <c r="B2063" s="80">
        <f>IF('Ordenes_Odoo'!B2063="","",'Ordenes_Odoo'!B2063)</f>
        <v/>
      </c>
      <c r="C2063" s="79">
        <f>IF('Ordenes_Odoo'!C2063="","",'Ordenes_Odoo'!C2063)</f>
        <v/>
      </c>
      <c r="D2063" s="79">
        <f>IF('Ordenes_Odoo'!D2063="","",'Ordenes_Odoo'!D2063)</f>
        <v/>
      </c>
      <c r="E2063" s="79">
        <f>IF('Ordenes_Odoo'!E2063="","",'Ordenes_Odoo'!E2063)</f>
        <v/>
      </c>
      <c r="F2063" s="79">
        <f>IF('Ordenes_Odoo'!F2063="","",'Ordenes_Odoo'!F2063)</f>
        <v/>
      </c>
      <c r="G2063" s="79">
        <f>IF('Ordenes_Odoo'!G2063="","",'Ordenes_Odoo'!G2063)</f>
        <v/>
      </c>
      <c r="H2063" s="79">
        <f>IF('Ordenes_Odoo'!H2063="","",'Ordenes_Odoo'!H2063)</f>
        <v/>
      </c>
      <c r="I2063" s="79">
        <f>IF('Ordenes_Odoo'!I2063="","",'Ordenes_Odoo'!I2063)</f>
        <v/>
      </c>
      <c r="J2063" s="79">
        <f>IF('Ordenes_Odoo'!J2063="","",'Ordenes_Odoo'!J2063)</f>
        <v/>
      </c>
      <c r="K2063" s="81">
        <f>IF('Ordenes_Odoo'!K2063="","",'Ordenes_Odoo'!K2063)</f>
        <v/>
      </c>
      <c r="L2063" s="81">
        <f>IF('Ordenes_Odoo'!L2063="","",'Ordenes_Odoo'!L2063)</f>
        <v/>
      </c>
      <c r="M2063" s="79">
        <f>IF('Ordenes_Odoo'!M2063="","",'Ordenes_Odoo'!M2063)</f>
        <v/>
      </c>
      <c r="N2063" s="79">
        <f>IF('Ordenes_Odoo'!N2063="","",'Ordenes_Odoo'!N2063)</f>
        <v/>
      </c>
      <c r="O2063" s="81">
        <f>IF('Ordenes_Odoo'!O2063="","",'Ordenes_Odoo'!O2063)</f>
        <v/>
      </c>
      <c r="P2063" s="81">
        <f>IF('Ordenes_Odoo'!P2063="","",'Ordenes_Odoo'!P2063)</f>
        <v/>
      </c>
      <c r="Q2063" s="79">
        <f>IF(A2063="","",IFERROR(INDEX(Facturas_Odoo!$B:$B, MATCH(A2063, Facturas_Odoo!$D:$D, 0)), "Sin Factura"))</f>
        <v/>
      </c>
      <c r="R2063" s="80">
        <f>IF(Q2063="Sin Factura","",IFERROR(INDEX(Facturas_Odoo!$A:$A, MATCH(Q2063, Facturas_Odoo!$B:$B, 0)), ""))</f>
        <v/>
      </c>
      <c r="S2063" s="79">
        <f>IF(Q2063="Sin Factura","",IFERROR(_xlfn.XLOOKUP(1, (Facturas_Odoo!$D:$D=A2063) * (Facturas_Odoo!$K:$K=I2063), Facturas_Odoo!$L:$L, ""), ""))</f>
        <v/>
      </c>
      <c r="T2063" s="81">
        <f>IF(Q2063="Sin Factura",0,IFERROR(_xlfn.XLOOKUP(1, (Facturas_Odoo!$D:$D=A2063) * (Facturas_Odoo!$K:$K=I2063), Facturas_Odoo!$M:$M, 0), 0))</f>
        <v/>
      </c>
      <c r="U2063" s="79">
        <f>IF(Q2063="Sin Factura",0,IFERROR(_xlfn.XLOOKUP(1, (Facturas_Odoo!$D:$D=A2063) * (Facturas_Odoo!$K:$K=I2063), Facturas_Odoo!$N:$N, 0), 0))</f>
        <v/>
      </c>
      <c r="V2063" s="79">
        <f>IF(Q2063="Sin Factura",0,IFERROR(_xlfn.XLOOKUP(1, (Facturas_Odoo!$D:$D=A2063) * (Facturas_Odoo!$K:$K=I2063), Facturas_Odoo!$O:$O, 0), 0))</f>
        <v/>
      </c>
      <c r="W2063" s="81">
        <f>IF(Q2063="Sin Factura",0,IFERROR(_xlfn.XLOOKUP(1, (Facturas_Odoo!$D:$D=A2063) * (Facturas_Odoo!$K:$K=I2063), Facturas_Odoo!$Q:$Q, 0), 0))</f>
        <v/>
      </c>
      <c r="X2063" s="79">
        <f>IF(OR(Q2063="Sin Factura",Q2063=""),"",IFERROR(INDEX(Pagos_Odoo!$B:$B, MATCH(Q2063, Pagos_Odoo!$I:$I, 0)), "Sin Pago"))</f>
        <v/>
      </c>
      <c r="Y2063" s="79">
        <f>IF(X2063="Sin Pago","",IFERROR(INDEX(Pagos_Odoo!$C:$C, MATCH(X2063, Pagos_Odoo!$B:$B, 0)), ""))</f>
        <v/>
      </c>
      <c r="Z2063" s="80">
        <f>IF(X2063="Sin Pago","",IFERROR(INDEX(Pagos_Odoo!$A:$A, MATCH(X2063, Pagos_Odoo!$B:$B, 0)), ""))</f>
        <v/>
      </c>
      <c r="AA2063" s="79">
        <f>IF(X2063="Sin Pago","",IFERROR(INDEX(Pagos_Odoo!$F:$F, MATCH(X2063, Pagos_Odoo!$B:$B, 0)), ""))</f>
        <v/>
      </c>
      <c r="AB2063" s="81">
        <f>IF(X2063="Sin Pago",0,IFERROR(INDEX(Pagos_Odoo!$E:$E, MATCH(X2063, Pagos_Odoo!$B:$B, 0)), 0))</f>
        <v/>
      </c>
      <c r="AC2063" s="79">
        <f>IF(X2063="Sin Pago","",IFERROR(INDEX(Pagos_Odoo!$G:$G, MATCH(X2063, Pagos_Odoo!$B:$B, 0)), ""))</f>
        <v/>
      </c>
      <c r="AD2063" s="82" t="n">
        <v>0</v>
      </c>
      <c r="AE2063" s="82" t="n"/>
      <c r="AF2063" s="82" t="n"/>
      <c r="AG2063" s="82">
        <f>IF(AN2063="","",AD2063+AE2063+AF2063)</f>
        <v/>
      </c>
      <c r="AH2063" s="81">
        <f>IF(AN2063="","",P2063*(1-AG2063))</f>
        <v/>
      </c>
      <c r="AI2063" s="81">
        <f>IF(AN2063="","",IF(Q2063="Sin Factura",0,IFERROR(INDEX(Facturas_Odoo!$H:$H, MATCH(Q2063, Facturas_Odoo!$B:$B, 0)), 0)*(1-AG2063)))</f>
        <v/>
      </c>
      <c r="AJ2063" s="81">
        <f>IF(AN2063="","",_xlfn.LET(idVenta, AN2063&amp;"",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63" s="81">
        <f>IF(AN2063="","",AH2063-AJ2063)</f>
        <v/>
      </c>
      <c r="AL2063" s="81">
        <f>IF(AN2063="","",IF(Q2063="Sin Factura","",AI2063-AJ2063))</f>
        <v/>
      </c>
      <c r="AM2063" s="81">
        <f>IF(AN2063="","",IF(Q2063="Sin Factura",0,P2063-IFERROR(INDEX(Facturas_Odoo!$H:$H, MATCH(Q2063, Facturas_Odoo!$B:$B, 0)), 0)))</f>
        <v/>
      </c>
      <c r="AN2063" s="79">
        <f>IF(AND(A2063="", J2063=""), "", IF(A2063&lt;&gt;"", VALUE(MID(A2063,2,LEN(A2063))), AN2062))</f>
        <v/>
      </c>
      <c r="AO2063" s="79">
        <f>IF(AN2063="","",IF(AD2063=0,"OK",_xlfn.LET(monedaPago, IF(AA2063="","USD",AA2063), limitePermitido, IFERROR(VLOOKUP(monedaPago, Configuración!$A$2:$B$3, 2, FALSE), 0.15), IF(AD2063&gt;limitePermitido, "ALERTA: EXCESO (" &amp; TEXT(limitePermitido, "0%") &amp; " máx)", "OK"))))</f>
        <v/>
      </c>
      <c r="AP2063" s="79">
        <f>IF(AN2063="","",IF(AE2063=0,"OK",_xlfn.LET(fechaPago, Z2063, fechaFactura, R2063, diasCredito, IF(E2063="Pago inmediato", 0, IFERROR(VALUE(MID(E2063, 1, SEARCH(" ", E2063)-1)),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63" s="79">
        <f>IF(AN2063="","",IF(AND(N2063&gt;0, AG2063&gt;0), IF(Configuración!$K$2="NO", "ALERTA: DESCUENTO DOBLE NO PERMITIDO", "OK"), "OK"))</f>
        <v/>
      </c>
      <c r="AR2063" s="79">
        <f>IF(AN2063="","",IF(OR(AO2063&lt;&gt;"OK", AP2063&lt;&gt;"OK", AQ2063&lt;&gt;"OK"), "⚠️ REVISAR", "OK"))</f>
        <v/>
      </c>
    </row>
    <row r="2064">
      <c r="A2064" s="79">
        <f>IF('Ordenes_Odoo'!A2064="","",'Ordenes_Odoo'!A2064)</f>
        <v/>
      </c>
      <c r="B2064" s="80">
        <f>IF('Ordenes_Odoo'!B2064="","",'Ordenes_Odoo'!B2064)</f>
        <v/>
      </c>
      <c r="C2064" s="79">
        <f>IF('Ordenes_Odoo'!C2064="","",'Ordenes_Odoo'!C2064)</f>
        <v/>
      </c>
      <c r="D2064" s="79">
        <f>IF('Ordenes_Odoo'!D2064="","",'Ordenes_Odoo'!D2064)</f>
        <v/>
      </c>
      <c r="E2064" s="79">
        <f>IF('Ordenes_Odoo'!E2064="","",'Ordenes_Odoo'!E2064)</f>
        <v/>
      </c>
      <c r="F2064" s="79">
        <f>IF('Ordenes_Odoo'!F2064="","",'Ordenes_Odoo'!F2064)</f>
        <v/>
      </c>
      <c r="G2064" s="79">
        <f>IF('Ordenes_Odoo'!G2064="","",'Ordenes_Odoo'!G2064)</f>
        <v/>
      </c>
      <c r="H2064" s="79">
        <f>IF('Ordenes_Odoo'!H2064="","",'Ordenes_Odoo'!H2064)</f>
        <v/>
      </c>
      <c r="I2064" s="79">
        <f>IF('Ordenes_Odoo'!I2064="","",'Ordenes_Odoo'!I2064)</f>
        <v/>
      </c>
      <c r="J2064" s="79">
        <f>IF('Ordenes_Odoo'!J2064="","",'Ordenes_Odoo'!J2064)</f>
        <v/>
      </c>
      <c r="K2064" s="81">
        <f>IF('Ordenes_Odoo'!K2064="","",'Ordenes_Odoo'!K2064)</f>
        <v/>
      </c>
      <c r="L2064" s="81">
        <f>IF('Ordenes_Odoo'!L2064="","",'Ordenes_Odoo'!L2064)</f>
        <v/>
      </c>
      <c r="M2064" s="79">
        <f>IF('Ordenes_Odoo'!M2064="","",'Ordenes_Odoo'!M2064)</f>
        <v/>
      </c>
      <c r="N2064" s="79">
        <f>IF('Ordenes_Odoo'!N2064="","",'Ordenes_Odoo'!N2064)</f>
        <v/>
      </c>
      <c r="O2064" s="81">
        <f>IF('Ordenes_Odoo'!O2064="","",'Ordenes_Odoo'!O2064)</f>
        <v/>
      </c>
      <c r="P2064" s="81">
        <f>IF('Ordenes_Odoo'!P2064="","",'Ordenes_Odoo'!P2064)</f>
        <v/>
      </c>
      <c r="Q2064" s="79">
        <f>IF(A2064="","",IFERROR(INDEX(Facturas_Odoo!$B:$B, MATCH(A2064, Facturas_Odoo!$D:$D, 0)), "Sin Factura"))</f>
        <v/>
      </c>
      <c r="R2064" s="80">
        <f>IF(Q2064="Sin Factura","",IFERROR(INDEX(Facturas_Odoo!$A:$A, MATCH(Q2064, Facturas_Odoo!$B:$B, 0)), ""))</f>
        <v/>
      </c>
      <c r="S2064" s="79">
        <f>IF(Q2064="Sin Factura","",IFERROR(_xlfn.XLOOKUP(1, (Facturas_Odoo!$D:$D=A2064) * (Facturas_Odoo!$K:$K=I2064), Facturas_Odoo!$L:$L, ""), ""))</f>
        <v/>
      </c>
      <c r="T2064" s="81">
        <f>IF(Q2064="Sin Factura",0,IFERROR(_xlfn.XLOOKUP(1, (Facturas_Odoo!$D:$D=A2064) * (Facturas_Odoo!$K:$K=I2064), Facturas_Odoo!$M:$M, 0), 0))</f>
        <v/>
      </c>
      <c r="U2064" s="79">
        <f>IF(Q2064="Sin Factura",0,IFERROR(_xlfn.XLOOKUP(1, (Facturas_Odoo!$D:$D=A2064) * (Facturas_Odoo!$K:$K=I2064), Facturas_Odoo!$N:$N, 0), 0))</f>
        <v/>
      </c>
      <c r="V2064" s="79">
        <f>IF(Q2064="Sin Factura",0,IFERROR(_xlfn.XLOOKUP(1, (Facturas_Odoo!$D:$D=A2064) * (Facturas_Odoo!$K:$K=I2064), Facturas_Odoo!$O:$O, 0), 0))</f>
        <v/>
      </c>
      <c r="W2064" s="81">
        <f>IF(Q2064="Sin Factura",0,IFERROR(_xlfn.XLOOKUP(1, (Facturas_Odoo!$D:$D=A2064) * (Facturas_Odoo!$K:$K=I2064), Facturas_Odoo!$Q:$Q, 0), 0))</f>
        <v/>
      </c>
      <c r="X2064" s="79">
        <f>IF(OR(Q2064="Sin Factura",Q2064=""),"",IFERROR(INDEX(Pagos_Odoo!$B:$B, MATCH(Q2064, Pagos_Odoo!$I:$I, 0)), "Sin Pago"))</f>
        <v/>
      </c>
      <c r="Y2064" s="79">
        <f>IF(X2064="Sin Pago","",IFERROR(INDEX(Pagos_Odoo!$C:$C, MATCH(X2064, Pagos_Odoo!$B:$B, 0)), ""))</f>
        <v/>
      </c>
      <c r="Z2064" s="80">
        <f>IF(X2064="Sin Pago","",IFERROR(INDEX(Pagos_Odoo!$A:$A, MATCH(X2064, Pagos_Odoo!$B:$B, 0)), ""))</f>
        <v/>
      </c>
      <c r="AA2064" s="79">
        <f>IF(X2064="Sin Pago","",IFERROR(INDEX(Pagos_Odoo!$F:$F, MATCH(X2064, Pagos_Odoo!$B:$B, 0)), ""))</f>
        <v/>
      </c>
      <c r="AB2064" s="81">
        <f>IF(X2064="Sin Pago",0,IFERROR(INDEX(Pagos_Odoo!$E:$E, MATCH(X2064, Pagos_Odoo!$B:$B, 0)), 0))</f>
        <v/>
      </c>
      <c r="AC2064" s="79">
        <f>IF(X2064="Sin Pago","",IFERROR(INDEX(Pagos_Odoo!$G:$G, MATCH(X2064, Pagos_Odoo!$B:$B, 0)), ""))</f>
        <v/>
      </c>
      <c r="AD2064" s="82" t="n">
        <v>0</v>
      </c>
      <c r="AE2064" s="82" t="n"/>
      <c r="AF2064" s="82" t="n"/>
      <c r="AG2064" s="82">
        <f>IF(AN2064="","",AD2064+AE2064+AF2064)</f>
        <v/>
      </c>
      <c r="AH2064" s="81">
        <f>IF(AN2064="","",P2064*(1-AG2064))</f>
        <v/>
      </c>
      <c r="AI2064" s="81">
        <f>IF(AN2064="","",IF(Q2064="Sin Factura",0,IFERROR(INDEX(Facturas_Odoo!$H:$H, MATCH(Q2064, Facturas_Odoo!$B:$B, 0)), 0)*(1-AG2064)))</f>
        <v/>
      </c>
      <c r="AJ2064" s="81">
        <f>IF(AN2064="","",_xlfn.LET(idVenta, AN2064&amp;"",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64" s="81">
        <f>IF(AN2064="","",AH2064-AJ2064)</f>
        <v/>
      </c>
      <c r="AL2064" s="81">
        <f>IF(AN2064="","",IF(Q2064="Sin Factura","",AI2064-AJ2064))</f>
        <v/>
      </c>
      <c r="AM2064" s="81">
        <f>IF(AN2064="","",IF(Q2064="Sin Factura",0,P2064-IFERROR(INDEX(Facturas_Odoo!$H:$H, MATCH(Q2064, Facturas_Odoo!$B:$B, 0)), 0)))</f>
        <v/>
      </c>
      <c r="AN2064" s="79">
        <f>IF(AND(A2064="", J2064=""), "", IF(A2064&lt;&gt;"", VALUE(MID(A2064,2,LEN(A2064))), AN2063))</f>
        <v/>
      </c>
      <c r="AO2064" s="79">
        <f>IF(AN2064="","",IF(AD2064=0,"OK",_xlfn.LET(monedaPago, IF(AA2064="","USD",AA2064), limitePermitido, IFERROR(VLOOKUP(monedaPago, Configuración!$A$2:$B$3, 2, FALSE), 0.15), IF(AD2064&gt;limitePermitido, "ALERTA: EXCESO (" &amp; TEXT(limitePermitido, "0%") &amp; " máx)", "OK"))))</f>
        <v/>
      </c>
      <c r="AP2064" s="79">
        <f>IF(AN2064="","",IF(AE2064=0,"OK",_xlfn.LET(fechaPago, Z2064, fechaFactura, R2064, diasCredito, IF(E2064="Pago inmediato", 0, IFERROR(VALUE(MID(E2064, 1, SEARCH(" ", E2064)-1)),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64" s="79">
        <f>IF(AN2064="","",IF(AND(N2064&gt;0, AG2064&gt;0), IF(Configuración!$K$2="NO", "ALERTA: DESCUENTO DOBLE NO PERMITIDO", "OK"), "OK"))</f>
        <v/>
      </c>
      <c r="AR2064" s="79">
        <f>IF(AN2064="","",IF(OR(AO2064&lt;&gt;"OK", AP2064&lt;&gt;"OK", AQ2064&lt;&gt;"OK"), "⚠️ REVISAR", "OK"))</f>
        <v/>
      </c>
    </row>
    <row r="2065">
      <c r="A2065" s="79">
        <f>IF('Ordenes_Odoo'!A2065="","",'Ordenes_Odoo'!A2065)</f>
        <v/>
      </c>
      <c r="B2065" s="80">
        <f>IF('Ordenes_Odoo'!B2065="","",'Ordenes_Odoo'!B2065)</f>
        <v/>
      </c>
      <c r="C2065" s="79">
        <f>IF('Ordenes_Odoo'!C2065="","",'Ordenes_Odoo'!C2065)</f>
        <v/>
      </c>
      <c r="D2065" s="79">
        <f>IF('Ordenes_Odoo'!D2065="","",'Ordenes_Odoo'!D2065)</f>
        <v/>
      </c>
      <c r="E2065" s="79">
        <f>IF('Ordenes_Odoo'!E2065="","",'Ordenes_Odoo'!E2065)</f>
        <v/>
      </c>
      <c r="F2065" s="79">
        <f>IF('Ordenes_Odoo'!F2065="","",'Ordenes_Odoo'!F2065)</f>
        <v/>
      </c>
      <c r="G2065" s="79">
        <f>IF('Ordenes_Odoo'!G2065="","",'Ordenes_Odoo'!G2065)</f>
        <v/>
      </c>
      <c r="H2065" s="79">
        <f>IF('Ordenes_Odoo'!H2065="","",'Ordenes_Odoo'!H2065)</f>
        <v/>
      </c>
      <c r="I2065" s="79">
        <f>IF('Ordenes_Odoo'!I2065="","",'Ordenes_Odoo'!I2065)</f>
        <v/>
      </c>
      <c r="J2065" s="79">
        <f>IF('Ordenes_Odoo'!J2065="","",'Ordenes_Odoo'!J2065)</f>
        <v/>
      </c>
      <c r="K2065" s="81">
        <f>IF('Ordenes_Odoo'!K2065="","",'Ordenes_Odoo'!K2065)</f>
        <v/>
      </c>
      <c r="L2065" s="81">
        <f>IF('Ordenes_Odoo'!L2065="","",'Ordenes_Odoo'!L2065)</f>
        <v/>
      </c>
      <c r="M2065" s="79">
        <f>IF('Ordenes_Odoo'!M2065="","",'Ordenes_Odoo'!M2065)</f>
        <v/>
      </c>
      <c r="N2065" s="79">
        <f>IF('Ordenes_Odoo'!N2065="","",'Ordenes_Odoo'!N2065)</f>
        <v/>
      </c>
      <c r="O2065" s="81">
        <f>IF('Ordenes_Odoo'!O2065="","",'Ordenes_Odoo'!O2065)</f>
        <v/>
      </c>
      <c r="P2065" s="81">
        <f>IF('Ordenes_Odoo'!P2065="","",'Ordenes_Odoo'!P2065)</f>
        <v/>
      </c>
      <c r="Q2065" s="79">
        <f>IF(A2065="","",IFERROR(INDEX(Facturas_Odoo!$B:$B, MATCH(A2065, Facturas_Odoo!$D:$D, 0)), "Sin Factura"))</f>
        <v/>
      </c>
      <c r="R2065" s="80">
        <f>IF(Q2065="Sin Factura","",IFERROR(INDEX(Facturas_Odoo!$A:$A, MATCH(Q2065, Facturas_Odoo!$B:$B, 0)), ""))</f>
        <v/>
      </c>
      <c r="S2065" s="79">
        <f>IF(Q2065="Sin Factura","",IFERROR(_xlfn.XLOOKUP(1, (Facturas_Odoo!$D:$D=A2065) * (Facturas_Odoo!$K:$K=I2065), Facturas_Odoo!$L:$L, ""), ""))</f>
        <v/>
      </c>
      <c r="T2065" s="81">
        <f>IF(Q2065="Sin Factura",0,IFERROR(_xlfn.XLOOKUP(1, (Facturas_Odoo!$D:$D=A2065) * (Facturas_Odoo!$K:$K=I2065), Facturas_Odoo!$M:$M, 0), 0))</f>
        <v/>
      </c>
      <c r="U2065" s="79">
        <f>IF(Q2065="Sin Factura",0,IFERROR(_xlfn.XLOOKUP(1, (Facturas_Odoo!$D:$D=A2065) * (Facturas_Odoo!$K:$K=I2065), Facturas_Odoo!$N:$N, 0), 0))</f>
        <v/>
      </c>
      <c r="V2065" s="79">
        <f>IF(Q2065="Sin Factura",0,IFERROR(_xlfn.XLOOKUP(1, (Facturas_Odoo!$D:$D=A2065) * (Facturas_Odoo!$K:$K=I2065), Facturas_Odoo!$O:$O, 0), 0))</f>
        <v/>
      </c>
      <c r="W2065" s="81">
        <f>IF(Q2065="Sin Factura",0,IFERROR(_xlfn.XLOOKUP(1, (Facturas_Odoo!$D:$D=A2065) * (Facturas_Odoo!$K:$K=I2065), Facturas_Odoo!$Q:$Q, 0), 0))</f>
        <v/>
      </c>
      <c r="X2065" s="79">
        <f>IF(OR(Q2065="Sin Factura",Q2065=""),"",IFERROR(INDEX(Pagos_Odoo!$B:$B, MATCH(Q2065, Pagos_Odoo!$I:$I, 0)), "Sin Pago"))</f>
        <v/>
      </c>
      <c r="Y2065" s="79">
        <f>IF(X2065="Sin Pago","",IFERROR(INDEX(Pagos_Odoo!$C:$C, MATCH(X2065, Pagos_Odoo!$B:$B, 0)), ""))</f>
        <v/>
      </c>
      <c r="Z2065" s="80">
        <f>IF(X2065="Sin Pago","",IFERROR(INDEX(Pagos_Odoo!$A:$A, MATCH(X2065, Pagos_Odoo!$B:$B, 0)), ""))</f>
        <v/>
      </c>
      <c r="AA2065" s="79">
        <f>IF(X2065="Sin Pago","",IFERROR(INDEX(Pagos_Odoo!$F:$F, MATCH(X2065, Pagos_Odoo!$B:$B, 0)), ""))</f>
        <v/>
      </c>
      <c r="AB2065" s="81">
        <f>IF(X2065="Sin Pago",0,IFERROR(INDEX(Pagos_Odoo!$E:$E, MATCH(X2065, Pagos_Odoo!$B:$B, 0)), 0))</f>
        <v/>
      </c>
      <c r="AC2065" s="79">
        <f>IF(X2065="Sin Pago","",IFERROR(INDEX(Pagos_Odoo!$G:$G, MATCH(X2065, Pagos_Odoo!$B:$B, 0)), ""))</f>
        <v/>
      </c>
      <c r="AD2065" s="82" t="n">
        <v>0</v>
      </c>
      <c r="AE2065" s="82" t="n"/>
      <c r="AF2065" s="82" t="n"/>
      <c r="AG2065" s="82">
        <f>IF(AN2065="","",AD2065+AE2065+AF2065)</f>
        <v/>
      </c>
      <c r="AH2065" s="81">
        <f>IF(AN2065="","",P2065*(1-AG2065))</f>
        <v/>
      </c>
      <c r="AI2065" s="81">
        <f>IF(AN2065="","",IF(Q2065="Sin Factura",0,IFERROR(INDEX(Facturas_Odoo!$H:$H, MATCH(Q2065, Facturas_Odoo!$B:$B, 0)), 0)*(1-AG2065)))</f>
        <v/>
      </c>
      <c r="AJ2065" s="81">
        <f>IF(AN2065="","",_xlfn.LET(idVenta, AN2065&amp;"",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65" s="81">
        <f>IF(AN2065="","",AH2065-AJ2065)</f>
        <v/>
      </c>
      <c r="AL2065" s="81">
        <f>IF(AN2065="","",IF(Q2065="Sin Factura","",AI2065-AJ2065))</f>
        <v/>
      </c>
      <c r="AM2065" s="81">
        <f>IF(AN2065="","",IF(Q2065="Sin Factura",0,P2065-IFERROR(INDEX(Facturas_Odoo!$H:$H, MATCH(Q2065, Facturas_Odoo!$B:$B, 0)), 0)))</f>
        <v/>
      </c>
      <c r="AN2065" s="79">
        <f>IF(AND(A2065="", J2065=""), "", IF(A2065&lt;&gt;"", VALUE(MID(A2065,2,LEN(A2065))), AN2064))</f>
        <v/>
      </c>
      <c r="AO2065" s="79">
        <f>IF(AN2065="","",IF(AD2065=0,"OK",_xlfn.LET(monedaPago, IF(AA2065="","USD",AA2065), limitePermitido, IFERROR(VLOOKUP(monedaPago, Configuración!$A$2:$B$3, 2, FALSE), 0.15), IF(AD2065&gt;limitePermitido, "ALERTA: EXCESO (" &amp; TEXT(limitePermitido, "0%") &amp; " máx)", "OK"))))</f>
        <v/>
      </c>
      <c r="AP2065" s="79">
        <f>IF(AN2065="","",IF(AE2065=0,"OK",_xlfn.LET(fechaPago, Z2065, fechaFactura, R2065, diasCredito, IF(E2065="Pago inmediato", 0, IFERROR(VALUE(MID(E2065, 1, SEARCH(" ", E2065)-1)),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65" s="79">
        <f>IF(AN2065="","",IF(AND(N2065&gt;0, AG2065&gt;0), IF(Configuración!$K$2="NO", "ALERTA: DESCUENTO DOBLE NO PERMITIDO", "OK"), "OK"))</f>
        <v/>
      </c>
      <c r="AR2065" s="79">
        <f>IF(AN2065="","",IF(OR(AO2065&lt;&gt;"OK", AP2065&lt;&gt;"OK", AQ2065&lt;&gt;"OK"), "⚠️ REVISAR", "OK"))</f>
        <v/>
      </c>
    </row>
    <row r="2066">
      <c r="A2066" s="79">
        <f>IF('Ordenes_Odoo'!A2066="","",'Ordenes_Odoo'!A2066)</f>
        <v/>
      </c>
      <c r="B2066" s="80">
        <f>IF('Ordenes_Odoo'!B2066="","",'Ordenes_Odoo'!B2066)</f>
        <v/>
      </c>
      <c r="C2066" s="79">
        <f>IF('Ordenes_Odoo'!C2066="","",'Ordenes_Odoo'!C2066)</f>
        <v/>
      </c>
      <c r="D2066" s="79">
        <f>IF('Ordenes_Odoo'!D2066="","",'Ordenes_Odoo'!D2066)</f>
        <v/>
      </c>
      <c r="E2066" s="79">
        <f>IF('Ordenes_Odoo'!E2066="","",'Ordenes_Odoo'!E2066)</f>
        <v/>
      </c>
      <c r="F2066" s="79">
        <f>IF('Ordenes_Odoo'!F2066="","",'Ordenes_Odoo'!F2066)</f>
        <v/>
      </c>
      <c r="G2066" s="79">
        <f>IF('Ordenes_Odoo'!G2066="","",'Ordenes_Odoo'!G2066)</f>
        <v/>
      </c>
      <c r="H2066" s="79">
        <f>IF('Ordenes_Odoo'!H2066="","",'Ordenes_Odoo'!H2066)</f>
        <v/>
      </c>
      <c r="I2066" s="79">
        <f>IF('Ordenes_Odoo'!I2066="","",'Ordenes_Odoo'!I2066)</f>
        <v/>
      </c>
      <c r="J2066" s="79">
        <f>IF('Ordenes_Odoo'!J2066="","",'Ordenes_Odoo'!J2066)</f>
        <v/>
      </c>
      <c r="K2066" s="81">
        <f>IF('Ordenes_Odoo'!K2066="","",'Ordenes_Odoo'!K2066)</f>
        <v/>
      </c>
      <c r="L2066" s="81">
        <f>IF('Ordenes_Odoo'!L2066="","",'Ordenes_Odoo'!L2066)</f>
        <v/>
      </c>
      <c r="M2066" s="79">
        <f>IF('Ordenes_Odoo'!M2066="","",'Ordenes_Odoo'!M2066)</f>
        <v/>
      </c>
      <c r="N2066" s="79">
        <f>IF('Ordenes_Odoo'!N2066="","",'Ordenes_Odoo'!N2066)</f>
        <v/>
      </c>
      <c r="O2066" s="81">
        <f>IF('Ordenes_Odoo'!O2066="","",'Ordenes_Odoo'!O2066)</f>
        <v/>
      </c>
      <c r="P2066" s="81">
        <f>IF('Ordenes_Odoo'!P2066="","",'Ordenes_Odoo'!P2066)</f>
        <v/>
      </c>
      <c r="Q2066" s="79">
        <f>IF(A2066="","",IFERROR(INDEX(Facturas_Odoo!$B:$B, MATCH(A2066, Facturas_Odoo!$D:$D, 0)), "Sin Factura"))</f>
        <v/>
      </c>
      <c r="R2066" s="80">
        <f>IF(Q2066="Sin Factura","",IFERROR(INDEX(Facturas_Odoo!$A:$A, MATCH(Q2066, Facturas_Odoo!$B:$B, 0)), ""))</f>
        <v/>
      </c>
      <c r="S2066" s="79">
        <f>IF(Q2066="Sin Factura","",IFERROR(_xlfn.XLOOKUP(1, (Facturas_Odoo!$D:$D=A2066) * (Facturas_Odoo!$K:$K=I2066), Facturas_Odoo!$L:$L, ""), ""))</f>
        <v/>
      </c>
      <c r="T2066" s="81">
        <f>IF(Q2066="Sin Factura",0,IFERROR(_xlfn.XLOOKUP(1, (Facturas_Odoo!$D:$D=A2066) * (Facturas_Odoo!$K:$K=I2066), Facturas_Odoo!$M:$M, 0), 0))</f>
        <v/>
      </c>
      <c r="U2066" s="79">
        <f>IF(Q2066="Sin Factura",0,IFERROR(_xlfn.XLOOKUP(1, (Facturas_Odoo!$D:$D=A2066) * (Facturas_Odoo!$K:$K=I2066), Facturas_Odoo!$N:$N, 0), 0))</f>
        <v/>
      </c>
      <c r="V2066" s="79">
        <f>IF(Q2066="Sin Factura",0,IFERROR(_xlfn.XLOOKUP(1, (Facturas_Odoo!$D:$D=A2066) * (Facturas_Odoo!$K:$K=I2066), Facturas_Odoo!$O:$O, 0), 0))</f>
        <v/>
      </c>
      <c r="W2066" s="81">
        <f>IF(Q2066="Sin Factura",0,IFERROR(_xlfn.XLOOKUP(1, (Facturas_Odoo!$D:$D=A2066) * (Facturas_Odoo!$K:$K=I2066), Facturas_Odoo!$Q:$Q, 0), 0))</f>
        <v/>
      </c>
      <c r="X2066" s="79">
        <f>IF(OR(Q2066="Sin Factura",Q2066=""),"",IFERROR(INDEX(Pagos_Odoo!$B:$B, MATCH(Q2066, Pagos_Odoo!$I:$I, 0)), "Sin Pago"))</f>
        <v/>
      </c>
      <c r="Y2066" s="79">
        <f>IF(X2066="Sin Pago","",IFERROR(INDEX(Pagos_Odoo!$C:$C, MATCH(X2066, Pagos_Odoo!$B:$B, 0)), ""))</f>
        <v/>
      </c>
      <c r="Z2066" s="80">
        <f>IF(X2066="Sin Pago","",IFERROR(INDEX(Pagos_Odoo!$A:$A, MATCH(X2066, Pagos_Odoo!$B:$B, 0)), ""))</f>
        <v/>
      </c>
      <c r="AA2066" s="79">
        <f>IF(X2066="Sin Pago","",IFERROR(INDEX(Pagos_Odoo!$F:$F, MATCH(X2066, Pagos_Odoo!$B:$B, 0)), ""))</f>
        <v/>
      </c>
      <c r="AB2066" s="81">
        <f>IF(X2066="Sin Pago",0,IFERROR(INDEX(Pagos_Odoo!$E:$E, MATCH(X2066, Pagos_Odoo!$B:$B, 0)), 0))</f>
        <v/>
      </c>
      <c r="AC2066" s="79">
        <f>IF(X2066="Sin Pago","",IFERROR(INDEX(Pagos_Odoo!$G:$G, MATCH(X2066, Pagos_Odoo!$B:$B, 0)), ""))</f>
        <v/>
      </c>
      <c r="AD2066" s="82" t="n">
        <v>0</v>
      </c>
      <c r="AE2066" s="82" t="n"/>
      <c r="AF2066" s="82" t="n"/>
      <c r="AG2066" s="82">
        <f>IF(AN2066="","",AD2066+AE2066+AF2066)</f>
        <v/>
      </c>
      <c r="AH2066" s="81">
        <f>IF(AN2066="","",P2066*(1-AG2066))</f>
        <v/>
      </c>
      <c r="AI2066" s="81">
        <f>IF(AN2066="","",IF(Q2066="Sin Factura",0,IFERROR(INDEX(Facturas_Odoo!$H:$H, MATCH(Q2066, Facturas_Odoo!$B:$B, 0)), 0)*(1-AG2066)))</f>
        <v/>
      </c>
      <c r="AJ2066" s="81">
        <f>IF(AN2066="","",_xlfn.LET(idVenta, AN2066&amp;"",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66" s="81">
        <f>IF(AN2066="","",AH2066-AJ2066)</f>
        <v/>
      </c>
      <c r="AL2066" s="81">
        <f>IF(AN2066="","",IF(Q2066="Sin Factura","",AI2066-AJ2066))</f>
        <v/>
      </c>
      <c r="AM2066" s="81">
        <f>IF(AN2066="","",IF(Q2066="Sin Factura",0,P2066-IFERROR(INDEX(Facturas_Odoo!$H:$H, MATCH(Q2066, Facturas_Odoo!$B:$B, 0)), 0)))</f>
        <v/>
      </c>
      <c r="AN2066" s="79">
        <f>IF(AND(A2066="", J2066=""), "", IF(A2066&lt;&gt;"", VALUE(MID(A2066,2,LEN(A2066))), AN2065))</f>
        <v/>
      </c>
      <c r="AO2066" s="79">
        <f>IF(AN2066="","",IF(AD2066=0,"OK",_xlfn.LET(monedaPago, IF(AA2066="","USD",AA2066), limitePermitido, IFERROR(VLOOKUP(monedaPago, Configuración!$A$2:$B$3, 2, FALSE), 0.15), IF(AD2066&gt;limitePermitido, "ALERTA: EXCESO (" &amp; TEXT(limitePermitido, "0%") &amp; " máx)", "OK"))))</f>
        <v/>
      </c>
      <c r="AP2066" s="79">
        <f>IF(AN2066="","",IF(AE2066=0,"OK",_xlfn.LET(fechaPago, Z2066, fechaFactura, R2066, diasCredito, IF(E2066="Pago inmediato", 0, IFERROR(VALUE(MID(E2066, 1, SEARCH(" ", E2066)-1)),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66" s="79">
        <f>IF(AN2066="","",IF(AND(N2066&gt;0, AG2066&gt;0), IF(Configuración!$K$2="NO", "ALERTA: DESCUENTO DOBLE NO PERMITIDO", "OK"), "OK"))</f>
        <v/>
      </c>
      <c r="AR2066" s="79">
        <f>IF(AN2066="","",IF(OR(AO2066&lt;&gt;"OK", AP2066&lt;&gt;"OK", AQ2066&lt;&gt;"OK"), "⚠️ REVISAR", "OK"))</f>
        <v/>
      </c>
    </row>
    <row r="2067">
      <c r="A2067" s="79">
        <f>IF('Ordenes_Odoo'!A2067="","",'Ordenes_Odoo'!A2067)</f>
        <v/>
      </c>
      <c r="B2067" s="80">
        <f>IF('Ordenes_Odoo'!B2067="","",'Ordenes_Odoo'!B2067)</f>
        <v/>
      </c>
      <c r="C2067" s="79">
        <f>IF('Ordenes_Odoo'!C2067="","",'Ordenes_Odoo'!C2067)</f>
        <v/>
      </c>
      <c r="D2067" s="79">
        <f>IF('Ordenes_Odoo'!D2067="","",'Ordenes_Odoo'!D2067)</f>
        <v/>
      </c>
      <c r="E2067" s="79">
        <f>IF('Ordenes_Odoo'!E2067="","",'Ordenes_Odoo'!E2067)</f>
        <v/>
      </c>
      <c r="F2067" s="79">
        <f>IF('Ordenes_Odoo'!F2067="","",'Ordenes_Odoo'!F2067)</f>
        <v/>
      </c>
      <c r="G2067" s="79">
        <f>IF('Ordenes_Odoo'!G2067="","",'Ordenes_Odoo'!G2067)</f>
        <v/>
      </c>
      <c r="H2067" s="79">
        <f>IF('Ordenes_Odoo'!H2067="","",'Ordenes_Odoo'!H2067)</f>
        <v/>
      </c>
      <c r="I2067" s="79">
        <f>IF('Ordenes_Odoo'!I2067="","",'Ordenes_Odoo'!I2067)</f>
        <v/>
      </c>
      <c r="J2067" s="79">
        <f>IF('Ordenes_Odoo'!J2067="","",'Ordenes_Odoo'!J2067)</f>
        <v/>
      </c>
      <c r="K2067" s="81">
        <f>IF('Ordenes_Odoo'!K2067="","",'Ordenes_Odoo'!K2067)</f>
        <v/>
      </c>
      <c r="L2067" s="81">
        <f>IF('Ordenes_Odoo'!L2067="","",'Ordenes_Odoo'!L2067)</f>
        <v/>
      </c>
      <c r="M2067" s="79">
        <f>IF('Ordenes_Odoo'!M2067="","",'Ordenes_Odoo'!M2067)</f>
        <v/>
      </c>
      <c r="N2067" s="79">
        <f>IF('Ordenes_Odoo'!N2067="","",'Ordenes_Odoo'!N2067)</f>
        <v/>
      </c>
      <c r="O2067" s="81">
        <f>IF('Ordenes_Odoo'!O2067="","",'Ordenes_Odoo'!O2067)</f>
        <v/>
      </c>
      <c r="P2067" s="81">
        <f>IF('Ordenes_Odoo'!P2067="","",'Ordenes_Odoo'!P2067)</f>
        <v/>
      </c>
      <c r="Q2067" s="79">
        <f>IF(A2067="","",IFERROR(INDEX(Facturas_Odoo!$B:$B, MATCH(A2067, Facturas_Odoo!$D:$D, 0)), "Sin Factura"))</f>
        <v/>
      </c>
      <c r="R2067" s="80">
        <f>IF(Q2067="Sin Factura","",IFERROR(INDEX(Facturas_Odoo!$A:$A, MATCH(Q2067, Facturas_Odoo!$B:$B, 0)), ""))</f>
        <v/>
      </c>
      <c r="S2067" s="79">
        <f>IF(Q2067="Sin Factura","",IFERROR(_xlfn.XLOOKUP(1, (Facturas_Odoo!$D:$D=A2067) * (Facturas_Odoo!$K:$K=I2067), Facturas_Odoo!$L:$L, ""), ""))</f>
        <v/>
      </c>
      <c r="T2067" s="81">
        <f>IF(Q2067="Sin Factura",0,IFERROR(_xlfn.XLOOKUP(1, (Facturas_Odoo!$D:$D=A2067) * (Facturas_Odoo!$K:$K=I2067), Facturas_Odoo!$M:$M, 0), 0))</f>
        <v/>
      </c>
      <c r="U2067" s="79">
        <f>IF(Q2067="Sin Factura",0,IFERROR(_xlfn.XLOOKUP(1, (Facturas_Odoo!$D:$D=A2067) * (Facturas_Odoo!$K:$K=I2067), Facturas_Odoo!$N:$N, 0), 0))</f>
        <v/>
      </c>
      <c r="V2067" s="79">
        <f>IF(Q2067="Sin Factura",0,IFERROR(_xlfn.XLOOKUP(1, (Facturas_Odoo!$D:$D=A2067) * (Facturas_Odoo!$K:$K=I2067), Facturas_Odoo!$O:$O, 0), 0))</f>
        <v/>
      </c>
      <c r="W2067" s="81">
        <f>IF(Q2067="Sin Factura",0,IFERROR(_xlfn.XLOOKUP(1, (Facturas_Odoo!$D:$D=A2067) * (Facturas_Odoo!$K:$K=I2067), Facturas_Odoo!$Q:$Q, 0), 0))</f>
        <v/>
      </c>
      <c r="X2067" s="79">
        <f>IF(OR(Q2067="Sin Factura",Q2067=""),"",IFERROR(INDEX(Pagos_Odoo!$B:$B, MATCH(Q2067, Pagos_Odoo!$I:$I, 0)), "Sin Pago"))</f>
        <v/>
      </c>
      <c r="Y2067" s="79">
        <f>IF(X2067="Sin Pago","",IFERROR(INDEX(Pagos_Odoo!$C:$C, MATCH(X2067, Pagos_Odoo!$B:$B, 0)), ""))</f>
        <v/>
      </c>
      <c r="Z2067" s="80">
        <f>IF(X2067="Sin Pago","",IFERROR(INDEX(Pagos_Odoo!$A:$A, MATCH(X2067, Pagos_Odoo!$B:$B, 0)), ""))</f>
        <v/>
      </c>
      <c r="AA2067" s="79">
        <f>IF(X2067="Sin Pago","",IFERROR(INDEX(Pagos_Odoo!$F:$F, MATCH(X2067, Pagos_Odoo!$B:$B, 0)), ""))</f>
        <v/>
      </c>
      <c r="AB2067" s="81">
        <f>IF(X2067="Sin Pago",0,IFERROR(INDEX(Pagos_Odoo!$E:$E, MATCH(X2067, Pagos_Odoo!$B:$B, 0)), 0))</f>
        <v/>
      </c>
      <c r="AC2067" s="79">
        <f>IF(X2067="Sin Pago","",IFERROR(INDEX(Pagos_Odoo!$G:$G, MATCH(X2067, Pagos_Odoo!$B:$B, 0)), ""))</f>
        <v/>
      </c>
      <c r="AD2067" s="82" t="n">
        <v>0</v>
      </c>
      <c r="AE2067" s="82" t="n"/>
      <c r="AF2067" s="82" t="n"/>
      <c r="AG2067" s="82">
        <f>IF(AN2067="","",AD2067+AE2067+AF2067)</f>
        <v/>
      </c>
      <c r="AH2067" s="81">
        <f>IF(AN2067="","",P2067*(1-AG2067))</f>
        <v/>
      </c>
      <c r="AI2067" s="81">
        <f>IF(AN2067="","",IF(Q2067="Sin Factura",0,IFERROR(INDEX(Facturas_Odoo!$H:$H, MATCH(Q2067, Facturas_Odoo!$B:$B, 0)), 0)*(1-AG2067)))</f>
        <v/>
      </c>
      <c r="AJ2067" s="81">
        <f>IF(AN2067="","",_xlfn.LET(idVenta, AN2067&amp;"",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67" s="81">
        <f>IF(AN2067="","",AH2067-AJ2067)</f>
        <v/>
      </c>
      <c r="AL2067" s="81">
        <f>IF(AN2067="","",IF(Q2067="Sin Factura","",AI2067-AJ2067))</f>
        <v/>
      </c>
      <c r="AM2067" s="81">
        <f>IF(AN2067="","",IF(Q2067="Sin Factura",0,P2067-IFERROR(INDEX(Facturas_Odoo!$H:$H, MATCH(Q2067, Facturas_Odoo!$B:$B, 0)), 0)))</f>
        <v/>
      </c>
      <c r="AN2067" s="79">
        <f>IF(AND(A2067="", J2067=""), "", IF(A2067&lt;&gt;"", VALUE(MID(A2067,2,LEN(A2067))), AN2066))</f>
        <v/>
      </c>
      <c r="AO2067" s="79">
        <f>IF(AN2067="","",IF(AD2067=0,"OK",_xlfn.LET(monedaPago, IF(AA2067="","USD",AA2067), limitePermitido, IFERROR(VLOOKUP(monedaPago, Configuración!$A$2:$B$3, 2, FALSE), 0.15), IF(AD2067&gt;limitePermitido, "ALERTA: EXCESO (" &amp; TEXT(limitePermitido, "0%") &amp; " máx)", "OK"))))</f>
        <v/>
      </c>
      <c r="AP2067" s="79">
        <f>IF(AN2067="","",IF(AE2067=0,"OK",_xlfn.LET(fechaPago, Z2067, fechaFactura, R2067, diasCredito, IF(E2067="Pago inmediato", 0, IFERROR(VALUE(MID(E2067, 1, SEARCH(" ", E2067)-1)),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67" s="79">
        <f>IF(AN2067="","",IF(AND(N2067&gt;0, AG2067&gt;0), IF(Configuración!$K$2="NO", "ALERTA: DESCUENTO DOBLE NO PERMITIDO", "OK"), "OK"))</f>
        <v/>
      </c>
      <c r="AR2067" s="79">
        <f>IF(AN2067="","",IF(OR(AO2067&lt;&gt;"OK", AP2067&lt;&gt;"OK", AQ2067&lt;&gt;"OK"), "⚠️ REVISAR", "OK"))</f>
        <v/>
      </c>
    </row>
    <row r="2068">
      <c r="A2068" s="79">
        <f>IF('Ordenes_Odoo'!A2068="","",'Ordenes_Odoo'!A2068)</f>
        <v/>
      </c>
      <c r="B2068" s="80">
        <f>IF('Ordenes_Odoo'!B2068="","",'Ordenes_Odoo'!B2068)</f>
        <v/>
      </c>
      <c r="C2068" s="79">
        <f>IF('Ordenes_Odoo'!C2068="","",'Ordenes_Odoo'!C2068)</f>
        <v/>
      </c>
      <c r="D2068" s="79">
        <f>IF('Ordenes_Odoo'!D2068="","",'Ordenes_Odoo'!D2068)</f>
        <v/>
      </c>
      <c r="E2068" s="79">
        <f>IF('Ordenes_Odoo'!E2068="","",'Ordenes_Odoo'!E2068)</f>
        <v/>
      </c>
      <c r="F2068" s="79">
        <f>IF('Ordenes_Odoo'!F2068="","",'Ordenes_Odoo'!F2068)</f>
        <v/>
      </c>
      <c r="G2068" s="79">
        <f>IF('Ordenes_Odoo'!G2068="","",'Ordenes_Odoo'!G2068)</f>
        <v/>
      </c>
      <c r="H2068" s="79">
        <f>IF('Ordenes_Odoo'!H2068="","",'Ordenes_Odoo'!H2068)</f>
        <v/>
      </c>
      <c r="I2068" s="79">
        <f>IF('Ordenes_Odoo'!I2068="","",'Ordenes_Odoo'!I2068)</f>
        <v/>
      </c>
      <c r="J2068" s="79">
        <f>IF('Ordenes_Odoo'!J2068="","",'Ordenes_Odoo'!J2068)</f>
        <v/>
      </c>
      <c r="K2068" s="81">
        <f>IF('Ordenes_Odoo'!K2068="","",'Ordenes_Odoo'!K2068)</f>
        <v/>
      </c>
      <c r="L2068" s="81">
        <f>IF('Ordenes_Odoo'!L2068="","",'Ordenes_Odoo'!L2068)</f>
        <v/>
      </c>
      <c r="M2068" s="79">
        <f>IF('Ordenes_Odoo'!M2068="","",'Ordenes_Odoo'!M2068)</f>
        <v/>
      </c>
      <c r="N2068" s="79">
        <f>IF('Ordenes_Odoo'!N2068="","",'Ordenes_Odoo'!N2068)</f>
        <v/>
      </c>
      <c r="O2068" s="81">
        <f>IF('Ordenes_Odoo'!O2068="","",'Ordenes_Odoo'!O2068)</f>
        <v/>
      </c>
      <c r="P2068" s="81">
        <f>IF('Ordenes_Odoo'!P2068="","",'Ordenes_Odoo'!P2068)</f>
        <v/>
      </c>
      <c r="Q2068" s="79">
        <f>IF(A2068="","",IFERROR(INDEX(Facturas_Odoo!$B:$B, MATCH(A2068, Facturas_Odoo!$D:$D, 0)), "Sin Factura"))</f>
        <v/>
      </c>
      <c r="R2068" s="80">
        <f>IF(Q2068="Sin Factura","",IFERROR(INDEX(Facturas_Odoo!$A:$A, MATCH(Q2068, Facturas_Odoo!$B:$B, 0)), ""))</f>
        <v/>
      </c>
      <c r="S2068" s="79">
        <f>IF(Q2068="Sin Factura","",IFERROR(_xlfn.XLOOKUP(1, (Facturas_Odoo!$D:$D=A2068) * (Facturas_Odoo!$K:$K=I2068), Facturas_Odoo!$L:$L, ""), ""))</f>
        <v/>
      </c>
      <c r="T2068" s="81">
        <f>IF(Q2068="Sin Factura",0,IFERROR(_xlfn.XLOOKUP(1, (Facturas_Odoo!$D:$D=A2068) * (Facturas_Odoo!$K:$K=I2068), Facturas_Odoo!$M:$M, 0), 0))</f>
        <v/>
      </c>
      <c r="U2068" s="79">
        <f>IF(Q2068="Sin Factura",0,IFERROR(_xlfn.XLOOKUP(1, (Facturas_Odoo!$D:$D=A2068) * (Facturas_Odoo!$K:$K=I2068), Facturas_Odoo!$N:$N, 0), 0))</f>
        <v/>
      </c>
      <c r="V2068" s="79">
        <f>IF(Q2068="Sin Factura",0,IFERROR(_xlfn.XLOOKUP(1, (Facturas_Odoo!$D:$D=A2068) * (Facturas_Odoo!$K:$K=I2068), Facturas_Odoo!$O:$O, 0), 0))</f>
        <v/>
      </c>
      <c r="W2068" s="81">
        <f>IF(Q2068="Sin Factura",0,IFERROR(_xlfn.XLOOKUP(1, (Facturas_Odoo!$D:$D=A2068) * (Facturas_Odoo!$K:$K=I2068), Facturas_Odoo!$Q:$Q, 0), 0))</f>
        <v/>
      </c>
      <c r="X2068" s="79">
        <f>IF(OR(Q2068="Sin Factura",Q2068=""),"",IFERROR(INDEX(Pagos_Odoo!$B:$B, MATCH(Q2068, Pagos_Odoo!$I:$I, 0)), "Sin Pago"))</f>
        <v/>
      </c>
      <c r="Y2068" s="79">
        <f>IF(X2068="Sin Pago","",IFERROR(INDEX(Pagos_Odoo!$C:$C, MATCH(X2068, Pagos_Odoo!$B:$B, 0)), ""))</f>
        <v/>
      </c>
      <c r="Z2068" s="80">
        <f>IF(X2068="Sin Pago","",IFERROR(INDEX(Pagos_Odoo!$A:$A, MATCH(X2068, Pagos_Odoo!$B:$B, 0)), ""))</f>
        <v/>
      </c>
      <c r="AA2068" s="79">
        <f>IF(X2068="Sin Pago","",IFERROR(INDEX(Pagos_Odoo!$F:$F, MATCH(X2068, Pagos_Odoo!$B:$B, 0)), ""))</f>
        <v/>
      </c>
      <c r="AB2068" s="81">
        <f>IF(X2068="Sin Pago",0,IFERROR(INDEX(Pagos_Odoo!$E:$E, MATCH(X2068, Pagos_Odoo!$B:$B, 0)), 0))</f>
        <v/>
      </c>
      <c r="AC2068" s="79">
        <f>IF(X2068="Sin Pago","",IFERROR(INDEX(Pagos_Odoo!$G:$G, MATCH(X2068, Pagos_Odoo!$B:$B, 0)), ""))</f>
        <v/>
      </c>
      <c r="AD2068" s="82" t="n">
        <v>0</v>
      </c>
      <c r="AE2068" s="82" t="n"/>
      <c r="AF2068" s="82" t="n"/>
      <c r="AG2068" s="82">
        <f>IF(AN2068="","",AD2068+AE2068+AF2068)</f>
        <v/>
      </c>
      <c r="AH2068" s="81">
        <f>IF(AN2068="","",P2068*(1-AG2068))</f>
        <v/>
      </c>
      <c r="AI2068" s="81">
        <f>IF(AN2068="","",IF(Q2068="Sin Factura",0,IFERROR(INDEX(Facturas_Odoo!$H:$H, MATCH(Q2068, Facturas_Odoo!$B:$B, 0)), 0)*(1-AG2068)))</f>
        <v/>
      </c>
      <c r="AJ2068" s="81">
        <f>IF(AN2068="","",_xlfn.LET(idVenta, AN2068&amp;"",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68" s="81">
        <f>IF(AN2068="","",AH2068-AJ2068)</f>
        <v/>
      </c>
      <c r="AL2068" s="81">
        <f>IF(AN2068="","",IF(Q2068="Sin Factura","",AI2068-AJ2068))</f>
        <v/>
      </c>
      <c r="AM2068" s="81">
        <f>IF(AN2068="","",IF(Q2068="Sin Factura",0,P2068-IFERROR(INDEX(Facturas_Odoo!$H:$H, MATCH(Q2068, Facturas_Odoo!$B:$B, 0)), 0)))</f>
        <v/>
      </c>
      <c r="AN2068" s="79">
        <f>IF(AND(A2068="", J2068=""), "", IF(A2068&lt;&gt;"", VALUE(MID(A2068,2,LEN(A2068))), AN2067))</f>
        <v/>
      </c>
      <c r="AO2068" s="79">
        <f>IF(AN2068="","",IF(AD2068=0,"OK",_xlfn.LET(monedaPago, IF(AA2068="","USD",AA2068), limitePermitido, IFERROR(VLOOKUP(monedaPago, Configuración!$A$2:$B$3, 2, FALSE), 0.15), IF(AD2068&gt;limitePermitido, "ALERTA: EXCESO (" &amp; TEXT(limitePermitido, "0%") &amp; " máx)", "OK"))))</f>
        <v/>
      </c>
      <c r="AP2068" s="79">
        <f>IF(AN2068="","",IF(AE2068=0,"OK",_xlfn.LET(fechaPago, Z2068, fechaFactura, R2068, diasCredito, IF(E2068="Pago inmediato", 0, IFERROR(VALUE(MID(E2068, 1, SEARCH(" ", E2068)-1)),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68" s="79">
        <f>IF(AN2068="","",IF(AND(N2068&gt;0, AG2068&gt;0), IF(Configuración!$K$2="NO", "ALERTA: DESCUENTO DOBLE NO PERMITIDO", "OK"), "OK"))</f>
        <v/>
      </c>
      <c r="AR2068" s="79">
        <f>IF(AN2068="","",IF(OR(AO2068&lt;&gt;"OK", AP2068&lt;&gt;"OK", AQ2068&lt;&gt;"OK"), "⚠️ REVISAR", "OK"))</f>
        <v/>
      </c>
    </row>
    <row r="2069">
      <c r="A2069" s="79">
        <f>IF('Ordenes_Odoo'!A2069="","",'Ordenes_Odoo'!A2069)</f>
        <v/>
      </c>
      <c r="B2069" s="80">
        <f>IF('Ordenes_Odoo'!B2069="","",'Ordenes_Odoo'!B2069)</f>
        <v/>
      </c>
      <c r="C2069" s="79">
        <f>IF('Ordenes_Odoo'!C2069="","",'Ordenes_Odoo'!C2069)</f>
        <v/>
      </c>
      <c r="D2069" s="79">
        <f>IF('Ordenes_Odoo'!D2069="","",'Ordenes_Odoo'!D2069)</f>
        <v/>
      </c>
      <c r="E2069" s="79">
        <f>IF('Ordenes_Odoo'!E2069="","",'Ordenes_Odoo'!E2069)</f>
        <v/>
      </c>
      <c r="F2069" s="79">
        <f>IF('Ordenes_Odoo'!F2069="","",'Ordenes_Odoo'!F2069)</f>
        <v/>
      </c>
      <c r="G2069" s="79">
        <f>IF('Ordenes_Odoo'!G2069="","",'Ordenes_Odoo'!G2069)</f>
        <v/>
      </c>
      <c r="H2069" s="79">
        <f>IF('Ordenes_Odoo'!H2069="","",'Ordenes_Odoo'!H2069)</f>
        <v/>
      </c>
      <c r="I2069" s="79">
        <f>IF('Ordenes_Odoo'!I2069="","",'Ordenes_Odoo'!I2069)</f>
        <v/>
      </c>
      <c r="J2069" s="79">
        <f>IF('Ordenes_Odoo'!J2069="","",'Ordenes_Odoo'!J2069)</f>
        <v/>
      </c>
      <c r="K2069" s="81">
        <f>IF('Ordenes_Odoo'!K2069="","",'Ordenes_Odoo'!K2069)</f>
        <v/>
      </c>
      <c r="L2069" s="81">
        <f>IF('Ordenes_Odoo'!L2069="","",'Ordenes_Odoo'!L2069)</f>
        <v/>
      </c>
      <c r="M2069" s="79">
        <f>IF('Ordenes_Odoo'!M2069="","",'Ordenes_Odoo'!M2069)</f>
        <v/>
      </c>
      <c r="N2069" s="79">
        <f>IF('Ordenes_Odoo'!N2069="","",'Ordenes_Odoo'!N2069)</f>
        <v/>
      </c>
      <c r="O2069" s="81">
        <f>IF('Ordenes_Odoo'!O2069="","",'Ordenes_Odoo'!O2069)</f>
        <v/>
      </c>
      <c r="P2069" s="81">
        <f>IF('Ordenes_Odoo'!P2069="","",'Ordenes_Odoo'!P2069)</f>
        <v/>
      </c>
      <c r="Q2069" s="79">
        <f>IF(A2069="","",IFERROR(INDEX(Facturas_Odoo!$B:$B, MATCH(A2069, Facturas_Odoo!$D:$D, 0)), "Sin Factura"))</f>
        <v/>
      </c>
      <c r="R2069" s="80">
        <f>IF(Q2069="Sin Factura","",IFERROR(INDEX(Facturas_Odoo!$A:$A, MATCH(Q2069, Facturas_Odoo!$B:$B, 0)), ""))</f>
        <v/>
      </c>
      <c r="S2069" s="79">
        <f>IF(Q2069="Sin Factura","",IFERROR(_xlfn.XLOOKUP(1, (Facturas_Odoo!$D:$D=A2069) * (Facturas_Odoo!$K:$K=I2069), Facturas_Odoo!$L:$L, ""), ""))</f>
        <v/>
      </c>
      <c r="T2069" s="81">
        <f>IF(Q2069="Sin Factura",0,IFERROR(_xlfn.XLOOKUP(1, (Facturas_Odoo!$D:$D=A2069) * (Facturas_Odoo!$K:$K=I2069), Facturas_Odoo!$M:$M, 0), 0))</f>
        <v/>
      </c>
      <c r="U2069" s="79">
        <f>IF(Q2069="Sin Factura",0,IFERROR(_xlfn.XLOOKUP(1, (Facturas_Odoo!$D:$D=A2069) * (Facturas_Odoo!$K:$K=I2069), Facturas_Odoo!$N:$N, 0), 0))</f>
        <v/>
      </c>
      <c r="V2069" s="79">
        <f>IF(Q2069="Sin Factura",0,IFERROR(_xlfn.XLOOKUP(1, (Facturas_Odoo!$D:$D=A2069) * (Facturas_Odoo!$K:$K=I2069), Facturas_Odoo!$O:$O, 0), 0))</f>
        <v/>
      </c>
      <c r="W2069" s="81">
        <f>IF(Q2069="Sin Factura",0,IFERROR(_xlfn.XLOOKUP(1, (Facturas_Odoo!$D:$D=A2069) * (Facturas_Odoo!$K:$K=I2069), Facturas_Odoo!$Q:$Q, 0), 0))</f>
        <v/>
      </c>
      <c r="X2069" s="79">
        <f>IF(OR(Q2069="Sin Factura",Q2069=""),"",IFERROR(INDEX(Pagos_Odoo!$B:$B, MATCH(Q2069, Pagos_Odoo!$I:$I, 0)), "Sin Pago"))</f>
        <v/>
      </c>
      <c r="Y2069" s="79">
        <f>IF(X2069="Sin Pago","",IFERROR(INDEX(Pagos_Odoo!$C:$C, MATCH(X2069, Pagos_Odoo!$B:$B, 0)), ""))</f>
        <v/>
      </c>
      <c r="Z2069" s="80">
        <f>IF(X2069="Sin Pago","",IFERROR(INDEX(Pagos_Odoo!$A:$A, MATCH(X2069, Pagos_Odoo!$B:$B, 0)), ""))</f>
        <v/>
      </c>
      <c r="AA2069" s="79">
        <f>IF(X2069="Sin Pago","",IFERROR(INDEX(Pagos_Odoo!$F:$F, MATCH(X2069, Pagos_Odoo!$B:$B, 0)), ""))</f>
        <v/>
      </c>
      <c r="AB2069" s="81">
        <f>IF(X2069="Sin Pago",0,IFERROR(INDEX(Pagos_Odoo!$E:$E, MATCH(X2069, Pagos_Odoo!$B:$B, 0)), 0))</f>
        <v/>
      </c>
      <c r="AC2069" s="79">
        <f>IF(X2069="Sin Pago","",IFERROR(INDEX(Pagos_Odoo!$G:$G, MATCH(X2069, Pagos_Odoo!$B:$B, 0)), ""))</f>
        <v/>
      </c>
      <c r="AD2069" s="82" t="n">
        <v>0</v>
      </c>
      <c r="AE2069" s="82" t="n"/>
      <c r="AF2069" s="82" t="n"/>
      <c r="AG2069" s="82">
        <f>IF(AN2069="","",AD2069+AE2069+AF2069)</f>
        <v/>
      </c>
      <c r="AH2069" s="81">
        <f>IF(AN2069="","",P2069*(1-AG2069))</f>
        <v/>
      </c>
      <c r="AI2069" s="81">
        <f>IF(AN2069="","",IF(Q2069="Sin Factura",0,IFERROR(INDEX(Facturas_Odoo!$H:$H, MATCH(Q2069, Facturas_Odoo!$B:$B, 0)), 0)*(1-AG2069)))</f>
        <v/>
      </c>
      <c r="AJ2069" s="81">
        <f>IF(AN2069="","",_xlfn.LET(idVenta, AN2069&amp;"",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69" s="81">
        <f>IF(AN2069="","",AH2069-AJ2069)</f>
        <v/>
      </c>
      <c r="AL2069" s="81">
        <f>IF(AN2069="","",IF(Q2069="Sin Factura","",AI2069-AJ2069))</f>
        <v/>
      </c>
      <c r="AM2069" s="81">
        <f>IF(AN2069="","",IF(Q2069="Sin Factura",0,P2069-IFERROR(INDEX(Facturas_Odoo!$H:$H, MATCH(Q2069, Facturas_Odoo!$B:$B, 0)), 0)))</f>
        <v/>
      </c>
      <c r="AN2069" s="79">
        <f>IF(AND(A2069="", J2069=""), "", IF(A2069&lt;&gt;"", VALUE(MID(A2069,2,LEN(A2069))), AN2068))</f>
        <v/>
      </c>
      <c r="AO2069" s="79">
        <f>IF(AN2069="","",IF(AD2069=0,"OK",_xlfn.LET(monedaPago, IF(AA2069="","USD",AA2069), limitePermitido, IFERROR(VLOOKUP(monedaPago, Configuración!$A$2:$B$3, 2, FALSE), 0.15), IF(AD2069&gt;limitePermitido, "ALERTA: EXCESO (" &amp; TEXT(limitePermitido, "0%") &amp; " máx)", "OK"))))</f>
        <v/>
      </c>
      <c r="AP2069" s="79">
        <f>IF(AN2069="","",IF(AE2069=0,"OK",_xlfn.LET(fechaPago, Z2069, fechaFactura, R2069, diasCredito, IF(E2069="Pago inmediato", 0, IFERROR(VALUE(MID(E2069, 1, SEARCH(" ", E2069)-1)),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69" s="79">
        <f>IF(AN2069="","",IF(AND(N2069&gt;0, AG2069&gt;0), IF(Configuración!$K$2="NO", "ALERTA: DESCUENTO DOBLE NO PERMITIDO", "OK"), "OK"))</f>
        <v/>
      </c>
      <c r="AR2069" s="79">
        <f>IF(AN2069="","",IF(OR(AO2069&lt;&gt;"OK", AP2069&lt;&gt;"OK", AQ2069&lt;&gt;"OK"), "⚠️ REVISAR", "OK"))</f>
        <v/>
      </c>
    </row>
    <row r="2070">
      <c r="A2070" s="79">
        <f>IF('Ordenes_Odoo'!A2070="","",'Ordenes_Odoo'!A2070)</f>
        <v/>
      </c>
      <c r="B2070" s="80">
        <f>IF('Ordenes_Odoo'!B2070="","",'Ordenes_Odoo'!B2070)</f>
        <v/>
      </c>
      <c r="C2070" s="79">
        <f>IF('Ordenes_Odoo'!C2070="","",'Ordenes_Odoo'!C2070)</f>
        <v/>
      </c>
      <c r="D2070" s="79">
        <f>IF('Ordenes_Odoo'!D2070="","",'Ordenes_Odoo'!D2070)</f>
        <v/>
      </c>
      <c r="E2070" s="79">
        <f>IF('Ordenes_Odoo'!E2070="","",'Ordenes_Odoo'!E2070)</f>
        <v/>
      </c>
      <c r="F2070" s="79">
        <f>IF('Ordenes_Odoo'!F2070="","",'Ordenes_Odoo'!F2070)</f>
        <v/>
      </c>
      <c r="G2070" s="79">
        <f>IF('Ordenes_Odoo'!G2070="","",'Ordenes_Odoo'!G2070)</f>
        <v/>
      </c>
      <c r="H2070" s="79">
        <f>IF('Ordenes_Odoo'!H2070="","",'Ordenes_Odoo'!H2070)</f>
        <v/>
      </c>
      <c r="I2070" s="79">
        <f>IF('Ordenes_Odoo'!I2070="","",'Ordenes_Odoo'!I2070)</f>
        <v/>
      </c>
      <c r="J2070" s="79">
        <f>IF('Ordenes_Odoo'!J2070="","",'Ordenes_Odoo'!J2070)</f>
        <v/>
      </c>
      <c r="K2070" s="81">
        <f>IF('Ordenes_Odoo'!K2070="","",'Ordenes_Odoo'!K2070)</f>
        <v/>
      </c>
      <c r="L2070" s="81">
        <f>IF('Ordenes_Odoo'!L2070="","",'Ordenes_Odoo'!L2070)</f>
        <v/>
      </c>
      <c r="M2070" s="79">
        <f>IF('Ordenes_Odoo'!M2070="","",'Ordenes_Odoo'!M2070)</f>
        <v/>
      </c>
      <c r="N2070" s="79">
        <f>IF('Ordenes_Odoo'!N2070="","",'Ordenes_Odoo'!N2070)</f>
        <v/>
      </c>
      <c r="O2070" s="81">
        <f>IF('Ordenes_Odoo'!O2070="","",'Ordenes_Odoo'!O2070)</f>
        <v/>
      </c>
      <c r="P2070" s="81">
        <f>IF('Ordenes_Odoo'!P2070="","",'Ordenes_Odoo'!P2070)</f>
        <v/>
      </c>
      <c r="Q2070" s="79">
        <f>IF(A2070="","",IFERROR(INDEX(Facturas_Odoo!$B:$B, MATCH(A2070, Facturas_Odoo!$D:$D, 0)), "Sin Factura"))</f>
        <v/>
      </c>
      <c r="R2070" s="80">
        <f>IF(Q2070="Sin Factura","",IFERROR(INDEX(Facturas_Odoo!$A:$A, MATCH(Q2070, Facturas_Odoo!$B:$B, 0)), ""))</f>
        <v/>
      </c>
      <c r="S2070" s="79">
        <f>IF(Q2070="Sin Factura","",IFERROR(_xlfn.XLOOKUP(1, (Facturas_Odoo!$D:$D=A2070) * (Facturas_Odoo!$K:$K=I2070), Facturas_Odoo!$L:$L, ""), ""))</f>
        <v/>
      </c>
      <c r="T2070" s="81">
        <f>IF(Q2070="Sin Factura",0,IFERROR(_xlfn.XLOOKUP(1, (Facturas_Odoo!$D:$D=A2070) * (Facturas_Odoo!$K:$K=I2070), Facturas_Odoo!$M:$M, 0), 0))</f>
        <v/>
      </c>
      <c r="U2070" s="79">
        <f>IF(Q2070="Sin Factura",0,IFERROR(_xlfn.XLOOKUP(1, (Facturas_Odoo!$D:$D=A2070) * (Facturas_Odoo!$K:$K=I2070), Facturas_Odoo!$N:$N, 0), 0))</f>
        <v/>
      </c>
      <c r="V2070" s="79">
        <f>IF(Q2070="Sin Factura",0,IFERROR(_xlfn.XLOOKUP(1, (Facturas_Odoo!$D:$D=A2070) * (Facturas_Odoo!$K:$K=I2070), Facturas_Odoo!$O:$O, 0), 0))</f>
        <v/>
      </c>
      <c r="W2070" s="81">
        <f>IF(Q2070="Sin Factura",0,IFERROR(_xlfn.XLOOKUP(1, (Facturas_Odoo!$D:$D=A2070) * (Facturas_Odoo!$K:$K=I2070), Facturas_Odoo!$Q:$Q, 0), 0))</f>
        <v/>
      </c>
      <c r="X2070" s="79">
        <f>IF(OR(Q2070="Sin Factura",Q2070=""),"",IFERROR(INDEX(Pagos_Odoo!$B:$B, MATCH(Q2070, Pagos_Odoo!$I:$I, 0)), "Sin Pago"))</f>
        <v/>
      </c>
      <c r="Y2070" s="79">
        <f>IF(X2070="Sin Pago","",IFERROR(INDEX(Pagos_Odoo!$C:$C, MATCH(X2070, Pagos_Odoo!$B:$B, 0)), ""))</f>
        <v/>
      </c>
      <c r="Z2070" s="80">
        <f>IF(X2070="Sin Pago","",IFERROR(INDEX(Pagos_Odoo!$A:$A, MATCH(X2070, Pagos_Odoo!$B:$B, 0)), ""))</f>
        <v/>
      </c>
      <c r="AA2070" s="79">
        <f>IF(X2070="Sin Pago","",IFERROR(INDEX(Pagos_Odoo!$F:$F, MATCH(X2070, Pagos_Odoo!$B:$B, 0)), ""))</f>
        <v/>
      </c>
      <c r="AB2070" s="81">
        <f>IF(X2070="Sin Pago",0,IFERROR(INDEX(Pagos_Odoo!$E:$E, MATCH(X2070, Pagos_Odoo!$B:$B, 0)), 0))</f>
        <v/>
      </c>
      <c r="AC2070" s="79">
        <f>IF(X2070="Sin Pago","",IFERROR(INDEX(Pagos_Odoo!$G:$G, MATCH(X2070, Pagos_Odoo!$B:$B, 0)), ""))</f>
        <v/>
      </c>
      <c r="AD2070" s="82" t="n">
        <v>0</v>
      </c>
      <c r="AE2070" s="82" t="n"/>
      <c r="AF2070" s="82" t="n"/>
      <c r="AG2070" s="82">
        <f>IF(AN2070="","",AD2070+AE2070+AF2070)</f>
        <v/>
      </c>
      <c r="AH2070" s="81">
        <f>IF(AN2070="","",P2070*(1-AG2070))</f>
        <v/>
      </c>
      <c r="AI2070" s="81">
        <f>IF(AN2070="","",IF(Q2070="Sin Factura",0,IFERROR(INDEX(Facturas_Odoo!$H:$H, MATCH(Q2070, Facturas_Odoo!$B:$B, 0)), 0)*(1-AG2070)))</f>
        <v/>
      </c>
      <c r="AJ2070" s="81">
        <f>IF(AN2070="","",_xlfn.LET(idVenta, AN2070&amp;"",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70" s="81">
        <f>IF(AN2070="","",AH2070-AJ2070)</f>
        <v/>
      </c>
      <c r="AL2070" s="81">
        <f>IF(AN2070="","",IF(Q2070="Sin Factura","",AI2070-AJ2070))</f>
        <v/>
      </c>
      <c r="AM2070" s="81">
        <f>IF(AN2070="","",IF(Q2070="Sin Factura",0,P2070-IFERROR(INDEX(Facturas_Odoo!$H:$H, MATCH(Q2070, Facturas_Odoo!$B:$B, 0)), 0)))</f>
        <v/>
      </c>
      <c r="AN2070" s="79">
        <f>IF(AND(A2070="", J2070=""), "", IF(A2070&lt;&gt;"", VALUE(MID(A2070,2,LEN(A2070))), AN2069))</f>
        <v/>
      </c>
      <c r="AO2070" s="79">
        <f>IF(AN2070="","",IF(AD2070=0,"OK",_xlfn.LET(monedaPago, IF(AA2070="","USD",AA2070), limitePermitido, IFERROR(VLOOKUP(monedaPago, Configuración!$A$2:$B$3, 2, FALSE), 0.15), IF(AD2070&gt;limitePermitido, "ALERTA: EXCESO (" &amp; TEXT(limitePermitido, "0%") &amp; " máx)", "OK"))))</f>
        <v/>
      </c>
      <c r="AP2070" s="79">
        <f>IF(AN2070="","",IF(AE2070=0,"OK",_xlfn.LET(fechaPago, Z2070, fechaFactura, R2070, diasCredito, IF(E2070="Pago inmediato", 0, IFERROR(VALUE(MID(E2070, 1, SEARCH(" ", E2070)-1)),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70" s="79">
        <f>IF(AN2070="","",IF(AND(N2070&gt;0, AG2070&gt;0), IF(Configuración!$K$2="NO", "ALERTA: DESCUENTO DOBLE NO PERMITIDO", "OK"), "OK"))</f>
        <v/>
      </c>
      <c r="AR2070" s="79">
        <f>IF(AN2070="","",IF(OR(AO2070&lt;&gt;"OK", AP2070&lt;&gt;"OK", AQ2070&lt;&gt;"OK"), "⚠️ REVISAR", "OK"))</f>
        <v/>
      </c>
    </row>
    <row r="2071">
      <c r="A2071" s="79">
        <f>IF('Ordenes_Odoo'!A2071="","",'Ordenes_Odoo'!A2071)</f>
        <v/>
      </c>
      <c r="B2071" s="80">
        <f>IF('Ordenes_Odoo'!B2071="","",'Ordenes_Odoo'!B2071)</f>
        <v/>
      </c>
      <c r="C2071" s="79">
        <f>IF('Ordenes_Odoo'!C2071="","",'Ordenes_Odoo'!C2071)</f>
        <v/>
      </c>
      <c r="D2071" s="79">
        <f>IF('Ordenes_Odoo'!D2071="","",'Ordenes_Odoo'!D2071)</f>
        <v/>
      </c>
      <c r="E2071" s="79">
        <f>IF('Ordenes_Odoo'!E2071="","",'Ordenes_Odoo'!E2071)</f>
        <v/>
      </c>
      <c r="F2071" s="79">
        <f>IF('Ordenes_Odoo'!F2071="","",'Ordenes_Odoo'!F2071)</f>
        <v/>
      </c>
      <c r="G2071" s="79">
        <f>IF('Ordenes_Odoo'!G2071="","",'Ordenes_Odoo'!G2071)</f>
        <v/>
      </c>
      <c r="H2071" s="79">
        <f>IF('Ordenes_Odoo'!H2071="","",'Ordenes_Odoo'!H2071)</f>
        <v/>
      </c>
      <c r="I2071" s="79">
        <f>IF('Ordenes_Odoo'!I2071="","",'Ordenes_Odoo'!I2071)</f>
        <v/>
      </c>
      <c r="J2071" s="79">
        <f>IF('Ordenes_Odoo'!J2071="","",'Ordenes_Odoo'!J2071)</f>
        <v/>
      </c>
      <c r="K2071" s="81">
        <f>IF('Ordenes_Odoo'!K2071="","",'Ordenes_Odoo'!K2071)</f>
        <v/>
      </c>
      <c r="L2071" s="81">
        <f>IF('Ordenes_Odoo'!L2071="","",'Ordenes_Odoo'!L2071)</f>
        <v/>
      </c>
      <c r="M2071" s="79">
        <f>IF('Ordenes_Odoo'!M2071="","",'Ordenes_Odoo'!M2071)</f>
        <v/>
      </c>
      <c r="N2071" s="79">
        <f>IF('Ordenes_Odoo'!N2071="","",'Ordenes_Odoo'!N2071)</f>
        <v/>
      </c>
      <c r="O2071" s="81">
        <f>IF('Ordenes_Odoo'!O2071="","",'Ordenes_Odoo'!O2071)</f>
        <v/>
      </c>
      <c r="P2071" s="81">
        <f>IF('Ordenes_Odoo'!P2071="","",'Ordenes_Odoo'!P2071)</f>
        <v/>
      </c>
      <c r="Q2071" s="79">
        <f>IF(A2071="","",IFERROR(INDEX(Facturas_Odoo!$B:$B, MATCH(A2071, Facturas_Odoo!$D:$D, 0)), "Sin Factura"))</f>
        <v/>
      </c>
      <c r="R2071" s="80">
        <f>IF(Q2071="Sin Factura","",IFERROR(INDEX(Facturas_Odoo!$A:$A, MATCH(Q2071, Facturas_Odoo!$B:$B, 0)), ""))</f>
        <v/>
      </c>
      <c r="S2071" s="79">
        <f>IF(Q2071="Sin Factura","",IFERROR(_xlfn.XLOOKUP(1, (Facturas_Odoo!$D:$D=A2071) * (Facturas_Odoo!$K:$K=I2071), Facturas_Odoo!$L:$L, ""), ""))</f>
        <v/>
      </c>
      <c r="T2071" s="81">
        <f>IF(Q2071="Sin Factura",0,IFERROR(_xlfn.XLOOKUP(1, (Facturas_Odoo!$D:$D=A2071) * (Facturas_Odoo!$K:$K=I2071), Facturas_Odoo!$M:$M, 0), 0))</f>
        <v/>
      </c>
      <c r="U2071" s="79">
        <f>IF(Q2071="Sin Factura",0,IFERROR(_xlfn.XLOOKUP(1, (Facturas_Odoo!$D:$D=A2071) * (Facturas_Odoo!$K:$K=I2071), Facturas_Odoo!$N:$N, 0), 0))</f>
        <v/>
      </c>
      <c r="V2071" s="79">
        <f>IF(Q2071="Sin Factura",0,IFERROR(_xlfn.XLOOKUP(1, (Facturas_Odoo!$D:$D=A2071) * (Facturas_Odoo!$K:$K=I2071), Facturas_Odoo!$O:$O, 0), 0))</f>
        <v/>
      </c>
      <c r="W2071" s="81">
        <f>IF(Q2071="Sin Factura",0,IFERROR(_xlfn.XLOOKUP(1, (Facturas_Odoo!$D:$D=A2071) * (Facturas_Odoo!$K:$K=I2071), Facturas_Odoo!$Q:$Q, 0), 0))</f>
        <v/>
      </c>
      <c r="X2071" s="79">
        <f>IF(OR(Q2071="Sin Factura",Q2071=""),"",IFERROR(INDEX(Pagos_Odoo!$B:$B, MATCH(Q2071, Pagos_Odoo!$I:$I, 0)), "Sin Pago"))</f>
        <v/>
      </c>
      <c r="Y2071" s="79">
        <f>IF(X2071="Sin Pago","",IFERROR(INDEX(Pagos_Odoo!$C:$C, MATCH(X2071, Pagos_Odoo!$B:$B, 0)), ""))</f>
        <v/>
      </c>
      <c r="Z2071" s="80">
        <f>IF(X2071="Sin Pago","",IFERROR(INDEX(Pagos_Odoo!$A:$A, MATCH(X2071, Pagos_Odoo!$B:$B, 0)), ""))</f>
        <v/>
      </c>
      <c r="AA2071" s="79">
        <f>IF(X2071="Sin Pago","",IFERROR(INDEX(Pagos_Odoo!$F:$F, MATCH(X2071, Pagos_Odoo!$B:$B, 0)), ""))</f>
        <v/>
      </c>
      <c r="AB2071" s="81">
        <f>IF(X2071="Sin Pago",0,IFERROR(INDEX(Pagos_Odoo!$E:$E, MATCH(X2071, Pagos_Odoo!$B:$B, 0)), 0))</f>
        <v/>
      </c>
      <c r="AC2071" s="79">
        <f>IF(X2071="Sin Pago","",IFERROR(INDEX(Pagos_Odoo!$G:$G, MATCH(X2071, Pagos_Odoo!$B:$B, 0)), ""))</f>
        <v/>
      </c>
      <c r="AD2071" s="82" t="n">
        <v>0</v>
      </c>
      <c r="AE2071" s="82" t="n"/>
      <c r="AF2071" s="82" t="n"/>
      <c r="AG2071" s="82">
        <f>IF(AN2071="","",AD2071+AE2071+AF2071)</f>
        <v/>
      </c>
      <c r="AH2071" s="81">
        <f>IF(AN2071="","",P2071*(1-AG2071))</f>
        <v/>
      </c>
      <c r="AI2071" s="81">
        <f>IF(AN2071="","",IF(Q2071="Sin Factura",0,IFERROR(INDEX(Facturas_Odoo!$H:$H, MATCH(Q2071, Facturas_Odoo!$B:$B, 0)), 0)*(1-AG2071)))</f>
        <v/>
      </c>
      <c r="AJ2071" s="81">
        <f>IF(AN2071="","",_xlfn.LET(idVenta, AN2071&amp;"",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71" s="81">
        <f>IF(AN2071="","",AH2071-AJ2071)</f>
        <v/>
      </c>
      <c r="AL2071" s="81">
        <f>IF(AN2071="","",IF(Q2071="Sin Factura","",AI2071-AJ2071))</f>
        <v/>
      </c>
      <c r="AM2071" s="81">
        <f>IF(AN2071="","",IF(Q2071="Sin Factura",0,P2071-IFERROR(INDEX(Facturas_Odoo!$H:$H, MATCH(Q2071, Facturas_Odoo!$B:$B, 0)), 0)))</f>
        <v/>
      </c>
      <c r="AN2071" s="79">
        <f>IF(AND(A2071="", J2071=""), "", IF(A2071&lt;&gt;"", VALUE(MID(A2071,2,LEN(A2071))), AN2070))</f>
        <v/>
      </c>
      <c r="AO2071" s="79">
        <f>IF(AN2071="","",IF(AD2071=0,"OK",_xlfn.LET(monedaPago, IF(AA2071="","USD",AA2071), limitePermitido, IFERROR(VLOOKUP(monedaPago, Configuración!$A$2:$B$3, 2, FALSE), 0.15), IF(AD2071&gt;limitePermitido, "ALERTA: EXCESO (" &amp; TEXT(limitePermitido, "0%") &amp; " máx)", "OK"))))</f>
        <v/>
      </c>
      <c r="AP2071" s="79">
        <f>IF(AN2071="","",IF(AE2071=0,"OK",_xlfn.LET(fechaPago, Z2071, fechaFactura, R2071, diasCredito, IF(E2071="Pago inmediato", 0, IFERROR(VALUE(MID(E2071, 1, SEARCH(" ", E2071)-1)),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71" s="79">
        <f>IF(AN2071="","",IF(AND(N2071&gt;0, AG2071&gt;0), IF(Configuración!$K$2="NO", "ALERTA: DESCUENTO DOBLE NO PERMITIDO", "OK"), "OK"))</f>
        <v/>
      </c>
      <c r="AR2071" s="79">
        <f>IF(AN2071="","",IF(OR(AO2071&lt;&gt;"OK", AP2071&lt;&gt;"OK", AQ2071&lt;&gt;"OK"), "⚠️ REVISAR", "OK"))</f>
        <v/>
      </c>
    </row>
    <row r="2072">
      <c r="A2072" s="79">
        <f>IF('Ordenes_Odoo'!A2072="","",'Ordenes_Odoo'!A2072)</f>
        <v/>
      </c>
      <c r="B2072" s="80">
        <f>IF('Ordenes_Odoo'!B2072="","",'Ordenes_Odoo'!B2072)</f>
        <v/>
      </c>
      <c r="C2072" s="79">
        <f>IF('Ordenes_Odoo'!C2072="","",'Ordenes_Odoo'!C2072)</f>
        <v/>
      </c>
      <c r="D2072" s="79">
        <f>IF('Ordenes_Odoo'!D2072="","",'Ordenes_Odoo'!D2072)</f>
        <v/>
      </c>
      <c r="E2072" s="79">
        <f>IF('Ordenes_Odoo'!E2072="","",'Ordenes_Odoo'!E2072)</f>
        <v/>
      </c>
      <c r="F2072" s="79">
        <f>IF('Ordenes_Odoo'!F2072="","",'Ordenes_Odoo'!F2072)</f>
        <v/>
      </c>
      <c r="G2072" s="79">
        <f>IF('Ordenes_Odoo'!G2072="","",'Ordenes_Odoo'!G2072)</f>
        <v/>
      </c>
      <c r="H2072" s="79">
        <f>IF('Ordenes_Odoo'!H2072="","",'Ordenes_Odoo'!H2072)</f>
        <v/>
      </c>
      <c r="I2072" s="79">
        <f>IF('Ordenes_Odoo'!I2072="","",'Ordenes_Odoo'!I2072)</f>
        <v/>
      </c>
      <c r="J2072" s="79">
        <f>IF('Ordenes_Odoo'!J2072="","",'Ordenes_Odoo'!J2072)</f>
        <v/>
      </c>
      <c r="K2072" s="81">
        <f>IF('Ordenes_Odoo'!K2072="","",'Ordenes_Odoo'!K2072)</f>
        <v/>
      </c>
      <c r="L2072" s="81">
        <f>IF('Ordenes_Odoo'!L2072="","",'Ordenes_Odoo'!L2072)</f>
        <v/>
      </c>
      <c r="M2072" s="79">
        <f>IF('Ordenes_Odoo'!M2072="","",'Ordenes_Odoo'!M2072)</f>
        <v/>
      </c>
      <c r="N2072" s="79">
        <f>IF('Ordenes_Odoo'!N2072="","",'Ordenes_Odoo'!N2072)</f>
        <v/>
      </c>
      <c r="O2072" s="81">
        <f>IF('Ordenes_Odoo'!O2072="","",'Ordenes_Odoo'!O2072)</f>
        <v/>
      </c>
      <c r="P2072" s="81">
        <f>IF('Ordenes_Odoo'!P2072="","",'Ordenes_Odoo'!P2072)</f>
        <v/>
      </c>
      <c r="Q2072" s="79">
        <f>IF(A2072="","",IFERROR(INDEX(Facturas_Odoo!$B:$B, MATCH(A2072, Facturas_Odoo!$D:$D, 0)), "Sin Factura"))</f>
        <v/>
      </c>
      <c r="R2072" s="80">
        <f>IF(Q2072="Sin Factura","",IFERROR(INDEX(Facturas_Odoo!$A:$A, MATCH(Q2072, Facturas_Odoo!$B:$B, 0)), ""))</f>
        <v/>
      </c>
      <c r="S2072" s="79">
        <f>IF(Q2072="Sin Factura","",IFERROR(_xlfn.XLOOKUP(1, (Facturas_Odoo!$D:$D=A2072) * (Facturas_Odoo!$K:$K=I2072), Facturas_Odoo!$L:$L, ""), ""))</f>
        <v/>
      </c>
      <c r="T2072" s="81">
        <f>IF(Q2072="Sin Factura",0,IFERROR(_xlfn.XLOOKUP(1, (Facturas_Odoo!$D:$D=A2072) * (Facturas_Odoo!$K:$K=I2072), Facturas_Odoo!$M:$M, 0), 0))</f>
        <v/>
      </c>
      <c r="U2072" s="79">
        <f>IF(Q2072="Sin Factura",0,IFERROR(_xlfn.XLOOKUP(1, (Facturas_Odoo!$D:$D=A2072) * (Facturas_Odoo!$K:$K=I2072), Facturas_Odoo!$N:$N, 0), 0))</f>
        <v/>
      </c>
      <c r="V2072" s="79">
        <f>IF(Q2072="Sin Factura",0,IFERROR(_xlfn.XLOOKUP(1, (Facturas_Odoo!$D:$D=A2072) * (Facturas_Odoo!$K:$K=I2072), Facturas_Odoo!$O:$O, 0), 0))</f>
        <v/>
      </c>
      <c r="W2072" s="81">
        <f>IF(Q2072="Sin Factura",0,IFERROR(_xlfn.XLOOKUP(1, (Facturas_Odoo!$D:$D=A2072) * (Facturas_Odoo!$K:$K=I2072), Facturas_Odoo!$Q:$Q, 0), 0))</f>
        <v/>
      </c>
      <c r="X2072" s="79">
        <f>IF(OR(Q2072="Sin Factura",Q2072=""),"",IFERROR(INDEX(Pagos_Odoo!$B:$B, MATCH(Q2072, Pagos_Odoo!$I:$I, 0)), "Sin Pago"))</f>
        <v/>
      </c>
      <c r="Y2072" s="79">
        <f>IF(X2072="Sin Pago","",IFERROR(INDEX(Pagos_Odoo!$C:$C, MATCH(X2072, Pagos_Odoo!$B:$B, 0)), ""))</f>
        <v/>
      </c>
      <c r="Z2072" s="80">
        <f>IF(X2072="Sin Pago","",IFERROR(INDEX(Pagos_Odoo!$A:$A, MATCH(X2072, Pagos_Odoo!$B:$B, 0)), ""))</f>
        <v/>
      </c>
      <c r="AA2072" s="79">
        <f>IF(X2072="Sin Pago","",IFERROR(INDEX(Pagos_Odoo!$F:$F, MATCH(X2072, Pagos_Odoo!$B:$B, 0)), ""))</f>
        <v/>
      </c>
      <c r="AB2072" s="81">
        <f>IF(X2072="Sin Pago",0,IFERROR(INDEX(Pagos_Odoo!$E:$E, MATCH(X2072, Pagos_Odoo!$B:$B, 0)), 0))</f>
        <v/>
      </c>
      <c r="AC2072" s="79">
        <f>IF(X2072="Sin Pago","",IFERROR(INDEX(Pagos_Odoo!$G:$G, MATCH(X2072, Pagos_Odoo!$B:$B, 0)), ""))</f>
        <v/>
      </c>
      <c r="AD2072" s="82" t="n">
        <v>0</v>
      </c>
      <c r="AE2072" s="82" t="n"/>
      <c r="AF2072" s="82" t="n"/>
      <c r="AG2072" s="82">
        <f>IF(AN2072="","",AD2072+AE2072+AF2072)</f>
        <v/>
      </c>
      <c r="AH2072" s="81">
        <f>IF(AN2072="","",P2072*(1-AG2072))</f>
        <v/>
      </c>
      <c r="AI2072" s="81">
        <f>IF(AN2072="","",IF(Q2072="Sin Factura",0,IFERROR(INDEX(Facturas_Odoo!$H:$H, MATCH(Q2072, Facturas_Odoo!$B:$B, 0)), 0)*(1-AG2072)))</f>
        <v/>
      </c>
      <c r="AJ2072" s="81">
        <f>IF(AN2072="","",_xlfn.LET(idVenta, AN2072&amp;"",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72" s="81">
        <f>IF(AN2072="","",AH2072-AJ2072)</f>
        <v/>
      </c>
      <c r="AL2072" s="81">
        <f>IF(AN2072="","",IF(Q2072="Sin Factura","",AI2072-AJ2072))</f>
        <v/>
      </c>
      <c r="AM2072" s="81">
        <f>IF(AN2072="","",IF(Q2072="Sin Factura",0,P2072-IFERROR(INDEX(Facturas_Odoo!$H:$H, MATCH(Q2072, Facturas_Odoo!$B:$B, 0)), 0)))</f>
        <v/>
      </c>
      <c r="AN2072" s="79">
        <f>IF(AND(A2072="", J2072=""), "", IF(A2072&lt;&gt;"", VALUE(MID(A2072,2,LEN(A2072))), AN2071))</f>
        <v/>
      </c>
      <c r="AO2072" s="79">
        <f>IF(AN2072="","",IF(AD2072=0,"OK",_xlfn.LET(monedaPago, IF(AA2072="","USD",AA2072), limitePermitido, IFERROR(VLOOKUP(monedaPago, Configuración!$A$2:$B$3, 2, FALSE), 0.15), IF(AD2072&gt;limitePermitido, "ALERTA: EXCESO (" &amp; TEXT(limitePermitido, "0%") &amp; " máx)", "OK"))))</f>
        <v/>
      </c>
      <c r="AP2072" s="79">
        <f>IF(AN2072="","",IF(AE2072=0,"OK",_xlfn.LET(fechaPago, Z2072, fechaFactura, R2072, diasCredito, IF(E2072="Pago inmediato", 0, IFERROR(VALUE(MID(E2072, 1, SEARCH(" ", E2072)-1)),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72" s="79">
        <f>IF(AN2072="","",IF(AND(N2072&gt;0, AG2072&gt;0), IF(Configuración!$K$2="NO", "ALERTA: DESCUENTO DOBLE NO PERMITIDO", "OK"), "OK"))</f>
        <v/>
      </c>
      <c r="AR2072" s="79">
        <f>IF(AN2072="","",IF(OR(AO2072&lt;&gt;"OK", AP2072&lt;&gt;"OK", AQ2072&lt;&gt;"OK"), "⚠️ REVISAR", "OK"))</f>
        <v/>
      </c>
    </row>
    <row r="2073">
      <c r="A2073" s="79">
        <f>IF('Ordenes_Odoo'!A2073="","",'Ordenes_Odoo'!A2073)</f>
        <v/>
      </c>
      <c r="B2073" s="80">
        <f>IF('Ordenes_Odoo'!B2073="","",'Ordenes_Odoo'!B2073)</f>
        <v/>
      </c>
      <c r="C2073" s="79">
        <f>IF('Ordenes_Odoo'!C2073="","",'Ordenes_Odoo'!C2073)</f>
        <v/>
      </c>
      <c r="D2073" s="79">
        <f>IF('Ordenes_Odoo'!D2073="","",'Ordenes_Odoo'!D2073)</f>
        <v/>
      </c>
      <c r="E2073" s="79">
        <f>IF('Ordenes_Odoo'!E2073="","",'Ordenes_Odoo'!E2073)</f>
        <v/>
      </c>
      <c r="F2073" s="79">
        <f>IF('Ordenes_Odoo'!F2073="","",'Ordenes_Odoo'!F2073)</f>
        <v/>
      </c>
      <c r="G2073" s="79">
        <f>IF('Ordenes_Odoo'!G2073="","",'Ordenes_Odoo'!G2073)</f>
        <v/>
      </c>
      <c r="H2073" s="79">
        <f>IF('Ordenes_Odoo'!H2073="","",'Ordenes_Odoo'!H2073)</f>
        <v/>
      </c>
      <c r="I2073" s="79">
        <f>IF('Ordenes_Odoo'!I2073="","",'Ordenes_Odoo'!I2073)</f>
        <v/>
      </c>
      <c r="J2073" s="79">
        <f>IF('Ordenes_Odoo'!J2073="","",'Ordenes_Odoo'!J2073)</f>
        <v/>
      </c>
      <c r="K2073" s="81">
        <f>IF('Ordenes_Odoo'!K2073="","",'Ordenes_Odoo'!K2073)</f>
        <v/>
      </c>
      <c r="L2073" s="81">
        <f>IF('Ordenes_Odoo'!L2073="","",'Ordenes_Odoo'!L2073)</f>
        <v/>
      </c>
      <c r="M2073" s="79">
        <f>IF('Ordenes_Odoo'!M2073="","",'Ordenes_Odoo'!M2073)</f>
        <v/>
      </c>
      <c r="N2073" s="79">
        <f>IF('Ordenes_Odoo'!N2073="","",'Ordenes_Odoo'!N2073)</f>
        <v/>
      </c>
      <c r="O2073" s="81">
        <f>IF('Ordenes_Odoo'!O2073="","",'Ordenes_Odoo'!O2073)</f>
        <v/>
      </c>
      <c r="P2073" s="81">
        <f>IF('Ordenes_Odoo'!P2073="","",'Ordenes_Odoo'!P2073)</f>
        <v/>
      </c>
      <c r="Q2073" s="79">
        <f>IF(A2073="","",IFERROR(INDEX(Facturas_Odoo!$B:$B, MATCH(A2073, Facturas_Odoo!$D:$D, 0)), "Sin Factura"))</f>
        <v/>
      </c>
      <c r="R2073" s="80">
        <f>IF(Q2073="Sin Factura","",IFERROR(INDEX(Facturas_Odoo!$A:$A, MATCH(Q2073, Facturas_Odoo!$B:$B, 0)), ""))</f>
        <v/>
      </c>
      <c r="S2073" s="79">
        <f>IF(Q2073="Sin Factura","",IFERROR(_xlfn.XLOOKUP(1, (Facturas_Odoo!$D:$D=A2073) * (Facturas_Odoo!$K:$K=I2073), Facturas_Odoo!$L:$L, ""), ""))</f>
        <v/>
      </c>
      <c r="T2073" s="81">
        <f>IF(Q2073="Sin Factura",0,IFERROR(_xlfn.XLOOKUP(1, (Facturas_Odoo!$D:$D=A2073) * (Facturas_Odoo!$K:$K=I2073), Facturas_Odoo!$M:$M, 0), 0))</f>
        <v/>
      </c>
      <c r="U2073" s="79">
        <f>IF(Q2073="Sin Factura",0,IFERROR(_xlfn.XLOOKUP(1, (Facturas_Odoo!$D:$D=A2073) * (Facturas_Odoo!$K:$K=I2073), Facturas_Odoo!$N:$N, 0), 0))</f>
        <v/>
      </c>
      <c r="V2073" s="79">
        <f>IF(Q2073="Sin Factura",0,IFERROR(_xlfn.XLOOKUP(1, (Facturas_Odoo!$D:$D=A2073) * (Facturas_Odoo!$K:$K=I2073), Facturas_Odoo!$O:$O, 0), 0))</f>
        <v/>
      </c>
      <c r="W2073" s="81">
        <f>IF(Q2073="Sin Factura",0,IFERROR(_xlfn.XLOOKUP(1, (Facturas_Odoo!$D:$D=A2073) * (Facturas_Odoo!$K:$K=I2073), Facturas_Odoo!$Q:$Q, 0), 0))</f>
        <v/>
      </c>
      <c r="X2073" s="79">
        <f>IF(OR(Q2073="Sin Factura",Q2073=""),"",IFERROR(INDEX(Pagos_Odoo!$B:$B, MATCH(Q2073, Pagos_Odoo!$I:$I, 0)), "Sin Pago"))</f>
        <v/>
      </c>
      <c r="Y2073" s="79">
        <f>IF(X2073="Sin Pago","",IFERROR(INDEX(Pagos_Odoo!$C:$C, MATCH(X2073, Pagos_Odoo!$B:$B, 0)), ""))</f>
        <v/>
      </c>
      <c r="Z2073" s="80">
        <f>IF(X2073="Sin Pago","",IFERROR(INDEX(Pagos_Odoo!$A:$A, MATCH(X2073, Pagos_Odoo!$B:$B, 0)), ""))</f>
        <v/>
      </c>
      <c r="AA2073" s="79">
        <f>IF(X2073="Sin Pago","",IFERROR(INDEX(Pagos_Odoo!$F:$F, MATCH(X2073, Pagos_Odoo!$B:$B, 0)), ""))</f>
        <v/>
      </c>
      <c r="AB2073" s="81">
        <f>IF(X2073="Sin Pago",0,IFERROR(INDEX(Pagos_Odoo!$E:$E, MATCH(X2073, Pagos_Odoo!$B:$B, 0)), 0))</f>
        <v/>
      </c>
      <c r="AC2073" s="79">
        <f>IF(X2073="Sin Pago","",IFERROR(INDEX(Pagos_Odoo!$G:$G, MATCH(X2073, Pagos_Odoo!$B:$B, 0)), ""))</f>
        <v/>
      </c>
      <c r="AD2073" s="82" t="n">
        <v>0</v>
      </c>
      <c r="AE2073" s="82" t="n"/>
      <c r="AF2073" s="82" t="n"/>
      <c r="AG2073" s="82">
        <f>IF(AN2073="","",AD2073+AE2073+AF2073)</f>
        <v/>
      </c>
      <c r="AH2073" s="81">
        <f>IF(AN2073="","",P2073*(1-AG2073))</f>
        <v/>
      </c>
      <c r="AI2073" s="81">
        <f>IF(AN2073="","",IF(Q2073="Sin Factura",0,IFERROR(INDEX(Facturas_Odoo!$H:$H, MATCH(Q2073, Facturas_Odoo!$B:$B, 0)), 0)*(1-AG2073)))</f>
        <v/>
      </c>
      <c r="AJ2073" s="81">
        <f>IF(AN2073="","",_xlfn.LET(idVenta, AN2073&amp;"",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73" s="81">
        <f>IF(AN2073="","",AH2073-AJ2073)</f>
        <v/>
      </c>
      <c r="AL2073" s="81">
        <f>IF(AN2073="","",IF(Q2073="Sin Factura","",AI2073-AJ2073))</f>
        <v/>
      </c>
      <c r="AM2073" s="81">
        <f>IF(AN2073="","",IF(Q2073="Sin Factura",0,P2073-IFERROR(INDEX(Facturas_Odoo!$H:$H, MATCH(Q2073, Facturas_Odoo!$B:$B, 0)), 0)))</f>
        <v/>
      </c>
      <c r="AN2073" s="79">
        <f>IF(AND(A2073="", J2073=""), "", IF(A2073&lt;&gt;"", VALUE(MID(A2073,2,LEN(A2073))), AN2072))</f>
        <v/>
      </c>
      <c r="AO2073" s="79">
        <f>IF(AN2073="","",IF(AD2073=0,"OK",_xlfn.LET(monedaPago, IF(AA2073="","USD",AA2073), limitePermitido, IFERROR(VLOOKUP(monedaPago, Configuración!$A$2:$B$3, 2, FALSE), 0.15), IF(AD2073&gt;limitePermitido, "ALERTA: EXCESO (" &amp; TEXT(limitePermitido, "0%") &amp; " máx)", "OK"))))</f>
        <v/>
      </c>
      <c r="AP2073" s="79">
        <f>IF(AN2073="","",IF(AE2073=0,"OK",_xlfn.LET(fechaPago, Z2073, fechaFactura, R2073, diasCredito, IF(E2073="Pago inmediato", 0, IFERROR(VALUE(MID(E2073, 1, SEARCH(" ", E2073)-1)),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73" s="79">
        <f>IF(AN2073="","",IF(AND(N2073&gt;0, AG2073&gt;0), IF(Configuración!$K$2="NO", "ALERTA: DESCUENTO DOBLE NO PERMITIDO", "OK"), "OK"))</f>
        <v/>
      </c>
      <c r="AR2073" s="79">
        <f>IF(AN2073="","",IF(OR(AO2073&lt;&gt;"OK", AP2073&lt;&gt;"OK", AQ2073&lt;&gt;"OK"), "⚠️ REVISAR", "OK"))</f>
        <v/>
      </c>
    </row>
    <row r="2074">
      <c r="A2074" s="79">
        <f>IF('Ordenes_Odoo'!A2074="","",'Ordenes_Odoo'!A2074)</f>
        <v/>
      </c>
      <c r="B2074" s="80">
        <f>IF('Ordenes_Odoo'!B2074="","",'Ordenes_Odoo'!B2074)</f>
        <v/>
      </c>
      <c r="C2074" s="79">
        <f>IF('Ordenes_Odoo'!C2074="","",'Ordenes_Odoo'!C2074)</f>
        <v/>
      </c>
      <c r="D2074" s="79">
        <f>IF('Ordenes_Odoo'!D2074="","",'Ordenes_Odoo'!D2074)</f>
        <v/>
      </c>
      <c r="E2074" s="79">
        <f>IF('Ordenes_Odoo'!E2074="","",'Ordenes_Odoo'!E2074)</f>
        <v/>
      </c>
      <c r="F2074" s="79">
        <f>IF('Ordenes_Odoo'!F2074="","",'Ordenes_Odoo'!F2074)</f>
        <v/>
      </c>
      <c r="G2074" s="79">
        <f>IF('Ordenes_Odoo'!G2074="","",'Ordenes_Odoo'!G2074)</f>
        <v/>
      </c>
      <c r="H2074" s="79">
        <f>IF('Ordenes_Odoo'!H2074="","",'Ordenes_Odoo'!H2074)</f>
        <v/>
      </c>
      <c r="I2074" s="79">
        <f>IF('Ordenes_Odoo'!I2074="","",'Ordenes_Odoo'!I2074)</f>
        <v/>
      </c>
      <c r="J2074" s="79">
        <f>IF('Ordenes_Odoo'!J2074="","",'Ordenes_Odoo'!J2074)</f>
        <v/>
      </c>
      <c r="K2074" s="81">
        <f>IF('Ordenes_Odoo'!K2074="","",'Ordenes_Odoo'!K2074)</f>
        <v/>
      </c>
      <c r="L2074" s="81">
        <f>IF('Ordenes_Odoo'!L2074="","",'Ordenes_Odoo'!L2074)</f>
        <v/>
      </c>
      <c r="M2074" s="79">
        <f>IF('Ordenes_Odoo'!M2074="","",'Ordenes_Odoo'!M2074)</f>
        <v/>
      </c>
      <c r="N2074" s="79">
        <f>IF('Ordenes_Odoo'!N2074="","",'Ordenes_Odoo'!N2074)</f>
        <v/>
      </c>
      <c r="O2074" s="81">
        <f>IF('Ordenes_Odoo'!O2074="","",'Ordenes_Odoo'!O2074)</f>
        <v/>
      </c>
      <c r="P2074" s="81">
        <f>IF('Ordenes_Odoo'!P2074="","",'Ordenes_Odoo'!P2074)</f>
        <v/>
      </c>
      <c r="Q2074" s="79">
        <f>IF(A2074="","",IFERROR(INDEX(Facturas_Odoo!$B:$B, MATCH(A2074, Facturas_Odoo!$D:$D, 0)), "Sin Factura"))</f>
        <v/>
      </c>
      <c r="R2074" s="80">
        <f>IF(Q2074="Sin Factura","",IFERROR(INDEX(Facturas_Odoo!$A:$A, MATCH(Q2074, Facturas_Odoo!$B:$B, 0)), ""))</f>
        <v/>
      </c>
      <c r="S2074" s="79">
        <f>IF(Q2074="Sin Factura","",IFERROR(_xlfn.XLOOKUP(1, (Facturas_Odoo!$D:$D=A2074) * (Facturas_Odoo!$K:$K=I2074), Facturas_Odoo!$L:$L, ""), ""))</f>
        <v/>
      </c>
      <c r="T2074" s="81">
        <f>IF(Q2074="Sin Factura",0,IFERROR(_xlfn.XLOOKUP(1, (Facturas_Odoo!$D:$D=A2074) * (Facturas_Odoo!$K:$K=I2074), Facturas_Odoo!$M:$M, 0), 0))</f>
        <v/>
      </c>
      <c r="U2074" s="79">
        <f>IF(Q2074="Sin Factura",0,IFERROR(_xlfn.XLOOKUP(1, (Facturas_Odoo!$D:$D=A2074) * (Facturas_Odoo!$K:$K=I2074), Facturas_Odoo!$N:$N, 0), 0))</f>
        <v/>
      </c>
      <c r="V2074" s="79">
        <f>IF(Q2074="Sin Factura",0,IFERROR(_xlfn.XLOOKUP(1, (Facturas_Odoo!$D:$D=A2074) * (Facturas_Odoo!$K:$K=I2074), Facturas_Odoo!$O:$O, 0), 0))</f>
        <v/>
      </c>
      <c r="W2074" s="81">
        <f>IF(Q2074="Sin Factura",0,IFERROR(_xlfn.XLOOKUP(1, (Facturas_Odoo!$D:$D=A2074) * (Facturas_Odoo!$K:$K=I2074), Facturas_Odoo!$Q:$Q, 0), 0))</f>
        <v/>
      </c>
      <c r="X2074" s="79">
        <f>IF(OR(Q2074="Sin Factura",Q2074=""),"",IFERROR(INDEX(Pagos_Odoo!$B:$B, MATCH(Q2074, Pagos_Odoo!$I:$I, 0)), "Sin Pago"))</f>
        <v/>
      </c>
      <c r="Y2074" s="79">
        <f>IF(X2074="Sin Pago","",IFERROR(INDEX(Pagos_Odoo!$C:$C, MATCH(X2074, Pagos_Odoo!$B:$B, 0)), ""))</f>
        <v/>
      </c>
      <c r="Z2074" s="80">
        <f>IF(X2074="Sin Pago","",IFERROR(INDEX(Pagos_Odoo!$A:$A, MATCH(X2074, Pagos_Odoo!$B:$B, 0)), ""))</f>
        <v/>
      </c>
      <c r="AA2074" s="79">
        <f>IF(X2074="Sin Pago","",IFERROR(INDEX(Pagos_Odoo!$F:$F, MATCH(X2074, Pagos_Odoo!$B:$B, 0)), ""))</f>
        <v/>
      </c>
      <c r="AB2074" s="81">
        <f>IF(X2074="Sin Pago",0,IFERROR(INDEX(Pagos_Odoo!$E:$E, MATCH(X2074, Pagos_Odoo!$B:$B, 0)), 0))</f>
        <v/>
      </c>
      <c r="AC2074" s="79">
        <f>IF(X2074="Sin Pago","",IFERROR(INDEX(Pagos_Odoo!$G:$G, MATCH(X2074, Pagos_Odoo!$B:$B, 0)), ""))</f>
        <v/>
      </c>
      <c r="AD2074" s="82" t="n">
        <v>0</v>
      </c>
      <c r="AE2074" s="82" t="n"/>
      <c r="AF2074" s="82" t="n"/>
      <c r="AG2074" s="82">
        <f>IF(AN2074="","",AD2074+AE2074+AF2074)</f>
        <v/>
      </c>
      <c r="AH2074" s="81">
        <f>IF(AN2074="","",P2074*(1-AG2074))</f>
        <v/>
      </c>
      <c r="AI2074" s="81">
        <f>IF(AN2074="","",IF(Q2074="Sin Factura",0,IFERROR(INDEX(Facturas_Odoo!$H:$H, MATCH(Q2074, Facturas_Odoo!$B:$B, 0)), 0)*(1-AG2074)))</f>
        <v/>
      </c>
      <c r="AJ2074" s="81">
        <f>IF(AN2074="","",_xlfn.LET(idVenta, AN2074&amp;"",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74" s="81">
        <f>IF(AN2074="","",AH2074-AJ2074)</f>
        <v/>
      </c>
      <c r="AL2074" s="81">
        <f>IF(AN2074="","",IF(Q2074="Sin Factura","",AI2074-AJ2074))</f>
        <v/>
      </c>
      <c r="AM2074" s="81">
        <f>IF(AN2074="","",IF(Q2074="Sin Factura",0,P2074-IFERROR(INDEX(Facturas_Odoo!$H:$H, MATCH(Q2074, Facturas_Odoo!$B:$B, 0)), 0)))</f>
        <v/>
      </c>
      <c r="AN2074" s="79">
        <f>IF(AND(A2074="", J2074=""), "", IF(A2074&lt;&gt;"", VALUE(MID(A2074,2,LEN(A2074))), AN2073))</f>
        <v/>
      </c>
      <c r="AO2074" s="79">
        <f>IF(AN2074="","",IF(AD2074=0,"OK",_xlfn.LET(monedaPago, IF(AA2074="","USD",AA2074), limitePermitido, IFERROR(VLOOKUP(monedaPago, Configuración!$A$2:$B$3, 2, FALSE), 0.15), IF(AD2074&gt;limitePermitido, "ALERTA: EXCESO (" &amp; TEXT(limitePermitido, "0%") &amp; " máx)", "OK"))))</f>
        <v/>
      </c>
      <c r="AP2074" s="79">
        <f>IF(AN2074="","",IF(AE2074=0,"OK",_xlfn.LET(fechaPago, Z2074, fechaFactura, R2074, diasCredito, IF(E2074="Pago inmediato", 0, IFERROR(VALUE(MID(E2074, 1, SEARCH(" ", E2074)-1)),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74" s="79">
        <f>IF(AN2074="","",IF(AND(N2074&gt;0, AG2074&gt;0), IF(Configuración!$K$2="NO", "ALERTA: DESCUENTO DOBLE NO PERMITIDO", "OK"), "OK"))</f>
        <v/>
      </c>
      <c r="AR2074" s="79">
        <f>IF(AN2074="","",IF(OR(AO2074&lt;&gt;"OK", AP2074&lt;&gt;"OK", AQ2074&lt;&gt;"OK"), "⚠️ REVISAR", "OK"))</f>
        <v/>
      </c>
    </row>
    <row r="2075">
      <c r="A2075" s="79">
        <f>IF('Ordenes_Odoo'!A2075="","",'Ordenes_Odoo'!A2075)</f>
        <v/>
      </c>
      <c r="B2075" s="80">
        <f>IF('Ordenes_Odoo'!B2075="","",'Ordenes_Odoo'!B2075)</f>
        <v/>
      </c>
      <c r="C2075" s="79">
        <f>IF('Ordenes_Odoo'!C2075="","",'Ordenes_Odoo'!C2075)</f>
        <v/>
      </c>
      <c r="D2075" s="79">
        <f>IF('Ordenes_Odoo'!D2075="","",'Ordenes_Odoo'!D2075)</f>
        <v/>
      </c>
      <c r="E2075" s="79">
        <f>IF('Ordenes_Odoo'!E2075="","",'Ordenes_Odoo'!E2075)</f>
        <v/>
      </c>
      <c r="F2075" s="79">
        <f>IF('Ordenes_Odoo'!F2075="","",'Ordenes_Odoo'!F2075)</f>
        <v/>
      </c>
      <c r="G2075" s="79">
        <f>IF('Ordenes_Odoo'!G2075="","",'Ordenes_Odoo'!G2075)</f>
        <v/>
      </c>
      <c r="H2075" s="79">
        <f>IF('Ordenes_Odoo'!H2075="","",'Ordenes_Odoo'!H2075)</f>
        <v/>
      </c>
      <c r="I2075" s="79">
        <f>IF('Ordenes_Odoo'!I2075="","",'Ordenes_Odoo'!I2075)</f>
        <v/>
      </c>
      <c r="J2075" s="79">
        <f>IF('Ordenes_Odoo'!J2075="","",'Ordenes_Odoo'!J2075)</f>
        <v/>
      </c>
      <c r="K2075" s="81">
        <f>IF('Ordenes_Odoo'!K2075="","",'Ordenes_Odoo'!K2075)</f>
        <v/>
      </c>
      <c r="L2075" s="81">
        <f>IF('Ordenes_Odoo'!L2075="","",'Ordenes_Odoo'!L2075)</f>
        <v/>
      </c>
      <c r="M2075" s="79">
        <f>IF('Ordenes_Odoo'!M2075="","",'Ordenes_Odoo'!M2075)</f>
        <v/>
      </c>
      <c r="N2075" s="79">
        <f>IF('Ordenes_Odoo'!N2075="","",'Ordenes_Odoo'!N2075)</f>
        <v/>
      </c>
      <c r="O2075" s="81">
        <f>IF('Ordenes_Odoo'!O2075="","",'Ordenes_Odoo'!O2075)</f>
        <v/>
      </c>
      <c r="P2075" s="81">
        <f>IF('Ordenes_Odoo'!P2075="","",'Ordenes_Odoo'!P2075)</f>
        <v/>
      </c>
      <c r="Q2075" s="79">
        <f>IF(A2075="","",IFERROR(INDEX(Facturas_Odoo!$B:$B, MATCH(A2075, Facturas_Odoo!$D:$D, 0)), "Sin Factura"))</f>
        <v/>
      </c>
      <c r="R2075" s="80">
        <f>IF(Q2075="Sin Factura","",IFERROR(INDEX(Facturas_Odoo!$A:$A, MATCH(Q2075, Facturas_Odoo!$B:$B, 0)), ""))</f>
        <v/>
      </c>
      <c r="S2075" s="79">
        <f>IF(Q2075="Sin Factura","",IFERROR(_xlfn.XLOOKUP(1, (Facturas_Odoo!$D:$D=A2075) * (Facturas_Odoo!$K:$K=I2075), Facturas_Odoo!$L:$L, ""), ""))</f>
        <v/>
      </c>
      <c r="T2075" s="81">
        <f>IF(Q2075="Sin Factura",0,IFERROR(_xlfn.XLOOKUP(1, (Facturas_Odoo!$D:$D=A2075) * (Facturas_Odoo!$K:$K=I2075), Facturas_Odoo!$M:$M, 0), 0))</f>
        <v/>
      </c>
      <c r="U2075" s="79">
        <f>IF(Q2075="Sin Factura",0,IFERROR(_xlfn.XLOOKUP(1, (Facturas_Odoo!$D:$D=A2075) * (Facturas_Odoo!$K:$K=I2075), Facturas_Odoo!$N:$N, 0), 0))</f>
        <v/>
      </c>
      <c r="V2075" s="79">
        <f>IF(Q2075="Sin Factura",0,IFERROR(_xlfn.XLOOKUP(1, (Facturas_Odoo!$D:$D=A2075) * (Facturas_Odoo!$K:$K=I2075), Facturas_Odoo!$O:$O, 0), 0))</f>
        <v/>
      </c>
      <c r="W2075" s="81">
        <f>IF(Q2075="Sin Factura",0,IFERROR(_xlfn.XLOOKUP(1, (Facturas_Odoo!$D:$D=A2075) * (Facturas_Odoo!$K:$K=I2075), Facturas_Odoo!$Q:$Q, 0), 0))</f>
        <v/>
      </c>
      <c r="X2075" s="79">
        <f>IF(OR(Q2075="Sin Factura",Q2075=""),"",IFERROR(INDEX(Pagos_Odoo!$B:$B, MATCH(Q2075, Pagos_Odoo!$I:$I, 0)), "Sin Pago"))</f>
        <v/>
      </c>
      <c r="Y2075" s="79">
        <f>IF(X2075="Sin Pago","",IFERROR(INDEX(Pagos_Odoo!$C:$C, MATCH(X2075, Pagos_Odoo!$B:$B, 0)), ""))</f>
        <v/>
      </c>
      <c r="Z2075" s="80">
        <f>IF(X2075="Sin Pago","",IFERROR(INDEX(Pagos_Odoo!$A:$A, MATCH(X2075, Pagos_Odoo!$B:$B, 0)), ""))</f>
        <v/>
      </c>
      <c r="AA2075" s="79">
        <f>IF(X2075="Sin Pago","",IFERROR(INDEX(Pagos_Odoo!$F:$F, MATCH(X2075, Pagos_Odoo!$B:$B, 0)), ""))</f>
        <v/>
      </c>
      <c r="AB2075" s="81">
        <f>IF(X2075="Sin Pago",0,IFERROR(INDEX(Pagos_Odoo!$E:$E, MATCH(X2075, Pagos_Odoo!$B:$B, 0)), 0))</f>
        <v/>
      </c>
      <c r="AC2075" s="79">
        <f>IF(X2075="Sin Pago","",IFERROR(INDEX(Pagos_Odoo!$G:$G, MATCH(X2075, Pagos_Odoo!$B:$B, 0)), ""))</f>
        <v/>
      </c>
      <c r="AD2075" s="82" t="n">
        <v>0</v>
      </c>
      <c r="AE2075" s="82" t="n"/>
      <c r="AF2075" s="82" t="n"/>
      <c r="AG2075" s="82">
        <f>IF(AN2075="","",AD2075+AE2075+AF2075)</f>
        <v/>
      </c>
      <c r="AH2075" s="81">
        <f>IF(AN2075="","",P2075*(1-AG2075))</f>
        <v/>
      </c>
      <c r="AI2075" s="81">
        <f>IF(AN2075="","",IF(Q2075="Sin Factura",0,IFERROR(INDEX(Facturas_Odoo!$H:$H, MATCH(Q2075, Facturas_Odoo!$B:$B, 0)), 0)*(1-AG2075)))</f>
        <v/>
      </c>
      <c r="AJ2075" s="81">
        <f>IF(AN2075="","",_xlfn.LET(idVenta, AN2075&amp;"",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75" s="81">
        <f>IF(AN2075="","",AH2075-AJ2075)</f>
        <v/>
      </c>
      <c r="AL2075" s="81">
        <f>IF(AN2075="","",IF(Q2075="Sin Factura","",AI2075-AJ2075))</f>
        <v/>
      </c>
      <c r="AM2075" s="81">
        <f>IF(AN2075="","",IF(Q2075="Sin Factura",0,P2075-IFERROR(INDEX(Facturas_Odoo!$H:$H, MATCH(Q2075, Facturas_Odoo!$B:$B, 0)), 0)))</f>
        <v/>
      </c>
      <c r="AN2075" s="79">
        <f>IF(AND(A2075="", J2075=""), "", IF(A2075&lt;&gt;"", VALUE(MID(A2075,2,LEN(A2075))), AN2074))</f>
        <v/>
      </c>
      <c r="AO2075" s="79">
        <f>IF(AN2075="","",IF(AD2075=0,"OK",_xlfn.LET(monedaPago, IF(AA2075="","USD",AA2075), limitePermitido, IFERROR(VLOOKUP(monedaPago, Configuración!$A$2:$B$3, 2, FALSE), 0.15), IF(AD2075&gt;limitePermitido, "ALERTA: EXCESO (" &amp; TEXT(limitePermitido, "0%") &amp; " máx)", "OK"))))</f>
        <v/>
      </c>
      <c r="AP2075" s="79">
        <f>IF(AN2075="","",IF(AE2075=0,"OK",_xlfn.LET(fechaPago, Z2075, fechaFactura, R2075, diasCredito, IF(E2075="Pago inmediato", 0, IFERROR(VALUE(MID(E2075, 1, SEARCH(" ", E2075)-1)),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75" s="79">
        <f>IF(AN2075="","",IF(AND(N2075&gt;0, AG2075&gt;0), IF(Configuración!$K$2="NO", "ALERTA: DESCUENTO DOBLE NO PERMITIDO", "OK"), "OK"))</f>
        <v/>
      </c>
      <c r="AR2075" s="79">
        <f>IF(AN2075="","",IF(OR(AO2075&lt;&gt;"OK", AP2075&lt;&gt;"OK", AQ2075&lt;&gt;"OK"), "⚠️ REVISAR", "OK"))</f>
        <v/>
      </c>
    </row>
    <row r="2076">
      <c r="A2076" s="79">
        <f>IF('Ordenes_Odoo'!A2076="","",'Ordenes_Odoo'!A2076)</f>
        <v/>
      </c>
      <c r="B2076" s="80">
        <f>IF('Ordenes_Odoo'!B2076="","",'Ordenes_Odoo'!B2076)</f>
        <v/>
      </c>
      <c r="C2076" s="79">
        <f>IF('Ordenes_Odoo'!C2076="","",'Ordenes_Odoo'!C2076)</f>
        <v/>
      </c>
      <c r="D2076" s="79">
        <f>IF('Ordenes_Odoo'!D2076="","",'Ordenes_Odoo'!D2076)</f>
        <v/>
      </c>
      <c r="E2076" s="79">
        <f>IF('Ordenes_Odoo'!E2076="","",'Ordenes_Odoo'!E2076)</f>
        <v/>
      </c>
      <c r="F2076" s="79">
        <f>IF('Ordenes_Odoo'!F2076="","",'Ordenes_Odoo'!F2076)</f>
        <v/>
      </c>
      <c r="G2076" s="79">
        <f>IF('Ordenes_Odoo'!G2076="","",'Ordenes_Odoo'!G2076)</f>
        <v/>
      </c>
      <c r="H2076" s="79">
        <f>IF('Ordenes_Odoo'!H2076="","",'Ordenes_Odoo'!H2076)</f>
        <v/>
      </c>
      <c r="I2076" s="79">
        <f>IF('Ordenes_Odoo'!I2076="","",'Ordenes_Odoo'!I2076)</f>
        <v/>
      </c>
      <c r="J2076" s="79">
        <f>IF('Ordenes_Odoo'!J2076="","",'Ordenes_Odoo'!J2076)</f>
        <v/>
      </c>
      <c r="K2076" s="81">
        <f>IF('Ordenes_Odoo'!K2076="","",'Ordenes_Odoo'!K2076)</f>
        <v/>
      </c>
      <c r="L2076" s="81">
        <f>IF('Ordenes_Odoo'!L2076="","",'Ordenes_Odoo'!L2076)</f>
        <v/>
      </c>
      <c r="M2076" s="79">
        <f>IF('Ordenes_Odoo'!M2076="","",'Ordenes_Odoo'!M2076)</f>
        <v/>
      </c>
      <c r="N2076" s="79">
        <f>IF('Ordenes_Odoo'!N2076="","",'Ordenes_Odoo'!N2076)</f>
        <v/>
      </c>
      <c r="O2076" s="81">
        <f>IF('Ordenes_Odoo'!O2076="","",'Ordenes_Odoo'!O2076)</f>
        <v/>
      </c>
      <c r="P2076" s="81">
        <f>IF('Ordenes_Odoo'!P2076="","",'Ordenes_Odoo'!P2076)</f>
        <v/>
      </c>
      <c r="Q2076" s="79">
        <f>IF(A2076="","",IFERROR(INDEX(Facturas_Odoo!$B:$B, MATCH(A2076, Facturas_Odoo!$D:$D, 0)), "Sin Factura"))</f>
        <v/>
      </c>
      <c r="R2076" s="80">
        <f>IF(Q2076="Sin Factura","",IFERROR(INDEX(Facturas_Odoo!$A:$A, MATCH(Q2076, Facturas_Odoo!$B:$B, 0)), ""))</f>
        <v/>
      </c>
      <c r="S2076" s="79">
        <f>IF(Q2076="Sin Factura","",IFERROR(_xlfn.XLOOKUP(1, (Facturas_Odoo!$D:$D=A2076) * (Facturas_Odoo!$K:$K=I2076), Facturas_Odoo!$L:$L, ""), ""))</f>
        <v/>
      </c>
      <c r="T2076" s="81">
        <f>IF(Q2076="Sin Factura",0,IFERROR(_xlfn.XLOOKUP(1, (Facturas_Odoo!$D:$D=A2076) * (Facturas_Odoo!$K:$K=I2076), Facturas_Odoo!$M:$M, 0), 0))</f>
        <v/>
      </c>
      <c r="U2076" s="79">
        <f>IF(Q2076="Sin Factura",0,IFERROR(_xlfn.XLOOKUP(1, (Facturas_Odoo!$D:$D=A2076) * (Facturas_Odoo!$K:$K=I2076), Facturas_Odoo!$N:$N, 0), 0))</f>
        <v/>
      </c>
      <c r="V2076" s="79">
        <f>IF(Q2076="Sin Factura",0,IFERROR(_xlfn.XLOOKUP(1, (Facturas_Odoo!$D:$D=A2076) * (Facturas_Odoo!$K:$K=I2076), Facturas_Odoo!$O:$O, 0), 0))</f>
        <v/>
      </c>
      <c r="W2076" s="81">
        <f>IF(Q2076="Sin Factura",0,IFERROR(_xlfn.XLOOKUP(1, (Facturas_Odoo!$D:$D=A2076) * (Facturas_Odoo!$K:$K=I2076), Facturas_Odoo!$Q:$Q, 0), 0))</f>
        <v/>
      </c>
      <c r="X2076" s="79">
        <f>IF(OR(Q2076="Sin Factura",Q2076=""),"",IFERROR(INDEX(Pagos_Odoo!$B:$B, MATCH(Q2076, Pagos_Odoo!$I:$I, 0)), "Sin Pago"))</f>
        <v/>
      </c>
      <c r="Y2076" s="79">
        <f>IF(X2076="Sin Pago","",IFERROR(INDEX(Pagos_Odoo!$C:$C, MATCH(X2076, Pagos_Odoo!$B:$B, 0)), ""))</f>
        <v/>
      </c>
      <c r="Z2076" s="80">
        <f>IF(X2076="Sin Pago","",IFERROR(INDEX(Pagos_Odoo!$A:$A, MATCH(X2076, Pagos_Odoo!$B:$B, 0)), ""))</f>
        <v/>
      </c>
      <c r="AA2076" s="79">
        <f>IF(X2076="Sin Pago","",IFERROR(INDEX(Pagos_Odoo!$F:$F, MATCH(X2076, Pagos_Odoo!$B:$B, 0)), ""))</f>
        <v/>
      </c>
      <c r="AB2076" s="81">
        <f>IF(X2076="Sin Pago",0,IFERROR(INDEX(Pagos_Odoo!$E:$E, MATCH(X2076, Pagos_Odoo!$B:$B, 0)), 0))</f>
        <v/>
      </c>
      <c r="AC2076" s="79">
        <f>IF(X2076="Sin Pago","",IFERROR(INDEX(Pagos_Odoo!$G:$G, MATCH(X2076, Pagos_Odoo!$B:$B, 0)), ""))</f>
        <v/>
      </c>
      <c r="AD2076" s="82" t="n">
        <v>0</v>
      </c>
      <c r="AE2076" s="82" t="n"/>
      <c r="AF2076" s="82" t="n"/>
      <c r="AG2076" s="82">
        <f>IF(AN2076="","",AD2076+AE2076+AF2076)</f>
        <v/>
      </c>
      <c r="AH2076" s="81">
        <f>IF(AN2076="","",P2076*(1-AG2076))</f>
        <v/>
      </c>
      <c r="AI2076" s="81">
        <f>IF(AN2076="","",IF(Q2076="Sin Factura",0,IFERROR(INDEX(Facturas_Odoo!$H:$H, MATCH(Q2076, Facturas_Odoo!$B:$B, 0)), 0)*(1-AG2076)))</f>
        <v/>
      </c>
      <c r="AJ2076" s="81">
        <f>IF(AN2076="","",_xlfn.LET(idVenta, AN2076&amp;"",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76" s="81">
        <f>IF(AN2076="","",AH2076-AJ2076)</f>
        <v/>
      </c>
      <c r="AL2076" s="81">
        <f>IF(AN2076="","",IF(Q2076="Sin Factura","",AI2076-AJ2076))</f>
        <v/>
      </c>
      <c r="AM2076" s="81">
        <f>IF(AN2076="","",IF(Q2076="Sin Factura",0,P2076-IFERROR(INDEX(Facturas_Odoo!$H:$H, MATCH(Q2076, Facturas_Odoo!$B:$B, 0)), 0)))</f>
        <v/>
      </c>
      <c r="AN2076" s="79">
        <f>IF(AND(A2076="", J2076=""), "", IF(A2076&lt;&gt;"", VALUE(MID(A2076,2,LEN(A2076))), AN2075))</f>
        <v/>
      </c>
      <c r="AO2076" s="79">
        <f>IF(AN2076="","",IF(AD2076=0,"OK",_xlfn.LET(monedaPago, IF(AA2076="","USD",AA2076), limitePermitido, IFERROR(VLOOKUP(monedaPago, Configuración!$A$2:$B$3, 2, FALSE), 0.15), IF(AD2076&gt;limitePermitido, "ALERTA: EXCESO (" &amp; TEXT(limitePermitido, "0%") &amp; " máx)", "OK"))))</f>
        <v/>
      </c>
      <c r="AP2076" s="79">
        <f>IF(AN2076="","",IF(AE2076=0,"OK",_xlfn.LET(fechaPago, Z2076, fechaFactura, R2076, diasCredito, IF(E2076="Pago inmediato", 0, IFERROR(VALUE(MID(E2076, 1, SEARCH(" ", E2076)-1)),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76" s="79">
        <f>IF(AN2076="","",IF(AND(N2076&gt;0, AG2076&gt;0), IF(Configuración!$K$2="NO", "ALERTA: DESCUENTO DOBLE NO PERMITIDO", "OK"), "OK"))</f>
        <v/>
      </c>
      <c r="AR2076" s="79">
        <f>IF(AN2076="","",IF(OR(AO2076&lt;&gt;"OK", AP2076&lt;&gt;"OK", AQ2076&lt;&gt;"OK"), "⚠️ REVISAR", "OK"))</f>
        <v/>
      </c>
    </row>
    <row r="2077">
      <c r="A2077" s="79">
        <f>IF('Ordenes_Odoo'!A2077="","",'Ordenes_Odoo'!A2077)</f>
        <v/>
      </c>
      <c r="B2077" s="80">
        <f>IF('Ordenes_Odoo'!B2077="","",'Ordenes_Odoo'!B2077)</f>
        <v/>
      </c>
      <c r="C2077" s="79">
        <f>IF('Ordenes_Odoo'!C2077="","",'Ordenes_Odoo'!C2077)</f>
        <v/>
      </c>
      <c r="D2077" s="79">
        <f>IF('Ordenes_Odoo'!D2077="","",'Ordenes_Odoo'!D2077)</f>
        <v/>
      </c>
      <c r="E2077" s="79">
        <f>IF('Ordenes_Odoo'!E2077="","",'Ordenes_Odoo'!E2077)</f>
        <v/>
      </c>
      <c r="F2077" s="79">
        <f>IF('Ordenes_Odoo'!F2077="","",'Ordenes_Odoo'!F2077)</f>
        <v/>
      </c>
      <c r="G2077" s="79">
        <f>IF('Ordenes_Odoo'!G2077="","",'Ordenes_Odoo'!G2077)</f>
        <v/>
      </c>
      <c r="H2077" s="79">
        <f>IF('Ordenes_Odoo'!H2077="","",'Ordenes_Odoo'!H2077)</f>
        <v/>
      </c>
      <c r="I2077" s="79">
        <f>IF('Ordenes_Odoo'!I2077="","",'Ordenes_Odoo'!I2077)</f>
        <v/>
      </c>
      <c r="J2077" s="79">
        <f>IF('Ordenes_Odoo'!J2077="","",'Ordenes_Odoo'!J2077)</f>
        <v/>
      </c>
      <c r="K2077" s="81">
        <f>IF('Ordenes_Odoo'!K2077="","",'Ordenes_Odoo'!K2077)</f>
        <v/>
      </c>
      <c r="L2077" s="81">
        <f>IF('Ordenes_Odoo'!L2077="","",'Ordenes_Odoo'!L2077)</f>
        <v/>
      </c>
      <c r="M2077" s="79">
        <f>IF('Ordenes_Odoo'!M2077="","",'Ordenes_Odoo'!M2077)</f>
        <v/>
      </c>
      <c r="N2077" s="79">
        <f>IF('Ordenes_Odoo'!N2077="","",'Ordenes_Odoo'!N2077)</f>
        <v/>
      </c>
      <c r="O2077" s="81">
        <f>IF('Ordenes_Odoo'!O2077="","",'Ordenes_Odoo'!O2077)</f>
        <v/>
      </c>
      <c r="P2077" s="81">
        <f>IF('Ordenes_Odoo'!P2077="","",'Ordenes_Odoo'!P2077)</f>
        <v/>
      </c>
      <c r="Q2077" s="79">
        <f>IF(A2077="","",IFERROR(INDEX(Facturas_Odoo!$B:$B, MATCH(A2077, Facturas_Odoo!$D:$D, 0)), "Sin Factura"))</f>
        <v/>
      </c>
      <c r="R2077" s="80">
        <f>IF(Q2077="Sin Factura","",IFERROR(INDEX(Facturas_Odoo!$A:$A, MATCH(Q2077, Facturas_Odoo!$B:$B, 0)), ""))</f>
        <v/>
      </c>
      <c r="S2077" s="79">
        <f>IF(Q2077="Sin Factura","",IFERROR(_xlfn.XLOOKUP(1, (Facturas_Odoo!$D:$D=A2077) * (Facturas_Odoo!$K:$K=I2077), Facturas_Odoo!$L:$L, ""), ""))</f>
        <v/>
      </c>
      <c r="T2077" s="81">
        <f>IF(Q2077="Sin Factura",0,IFERROR(_xlfn.XLOOKUP(1, (Facturas_Odoo!$D:$D=A2077) * (Facturas_Odoo!$K:$K=I2077), Facturas_Odoo!$M:$M, 0), 0))</f>
        <v/>
      </c>
      <c r="U2077" s="79">
        <f>IF(Q2077="Sin Factura",0,IFERROR(_xlfn.XLOOKUP(1, (Facturas_Odoo!$D:$D=A2077) * (Facturas_Odoo!$K:$K=I2077), Facturas_Odoo!$N:$N, 0), 0))</f>
        <v/>
      </c>
      <c r="V2077" s="79">
        <f>IF(Q2077="Sin Factura",0,IFERROR(_xlfn.XLOOKUP(1, (Facturas_Odoo!$D:$D=A2077) * (Facturas_Odoo!$K:$K=I2077), Facturas_Odoo!$O:$O, 0), 0))</f>
        <v/>
      </c>
      <c r="W2077" s="81">
        <f>IF(Q2077="Sin Factura",0,IFERROR(_xlfn.XLOOKUP(1, (Facturas_Odoo!$D:$D=A2077) * (Facturas_Odoo!$K:$K=I2077), Facturas_Odoo!$Q:$Q, 0), 0))</f>
        <v/>
      </c>
      <c r="X2077" s="79">
        <f>IF(OR(Q2077="Sin Factura",Q2077=""),"",IFERROR(INDEX(Pagos_Odoo!$B:$B, MATCH(Q2077, Pagos_Odoo!$I:$I, 0)), "Sin Pago"))</f>
        <v/>
      </c>
      <c r="Y2077" s="79">
        <f>IF(X2077="Sin Pago","",IFERROR(INDEX(Pagos_Odoo!$C:$C, MATCH(X2077, Pagos_Odoo!$B:$B, 0)), ""))</f>
        <v/>
      </c>
      <c r="Z2077" s="80">
        <f>IF(X2077="Sin Pago","",IFERROR(INDEX(Pagos_Odoo!$A:$A, MATCH(X2077, Pagos_Odoo!$B:$B, 0)), ""))</f>
        <v/>
      </c>
      <c r="AA2077" s="79">
        <f>IF(X2077="Sin Pago","",IFERROR(INDEX(Pagos_Odoo!$F:$F, MATCH(X2077, Pagos_Odoo!$B:$B, 0)), ""))</f>
        <v/>
      </c>
      <c r="AB2077" s="81">
        <f>IF(X2077="Sin Pago",0,IFERROR(INDEX(Pagos_Odoo!$E:$E, MATCH(X2077, Pagos_Odoo!$B:$B, 0)), 0))</f>
        <v/>
      </c>
      <c r="AC2077" s="79">
        <f>IF(X2077="Sin Pago","",IFERROR(INDEX(Pagos_Odoo!$G:$G, MATCH(X2077, Pagos_Odoo!$B:$B, 0)), ""))</f>
        <v/>
      </c>
      <c r="AD2077" s="82" t="n">
        <v>0</v>
      </c>
      <c r="AE2077" s="82" t="n"/>
      <c r="AF2077" s="82" t="n"/>
      <c r="AG2077" s="82">
        <f>IF(AN2077="","",AD2077+AE2077+AF2077)</f>
        <v/>
      </c>
      <c r="AH2077" s="81">
        <f>IF(AN2077="","",P2077*(1-AG2077))</f>
        <v/>
      </c>
      <c r="AI2077" s="81">
        <f>IF(AN2077="","",IF(Q2077="Sin Factura",0,IFERROR(INDEX(Facturas_Odoo!$H:$H, MATCH(Q2077, Facturas_Odoo!$B:$B, 0)), 0)*(1-AG2077)))</f>
        <v/>
      </c>
      <c r="AJ2077" s="81">
        <f>IF(AN2077="","",_xlfn.LET(idVenta, AN2077&amp;"",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77" s="81">
        <f>IF(AN2077="","",AH2077-AJ2077)</f>
        <v/>
      </c>
      <c r="AL2077" s="81">
        <f>IF(AN2077="","",IF(Q2077="Sin Factura","",AI2077-AJ2077))</f>
        <v/>
      </c>
      <c r="AM2077" s="81">
        <f>IF(AN2077="","",IF(Q2077="Sin Factura",0,P2077-IFERROR(INDEX(Facturas_Odoo!$H:$H, MATCH(Q2077, Facturas_Odoo!$B:$B, 0)), 0)))</f>
        <v/>
      </c>
      <c r="AN2077" s="79">
        <f>IF(AND(A2077="", J2077=""), "", IF(A2077&lt;&gt;"", VALUE(MID(A2077,2,LEN(A2077))), AN2076))</f>
        <v/>
      </c>
      <c r="AO2077" s="79">
        <f>IF(AN2077="","",IF(AD2077=0,"OK",_xlfn.LET(monedaPago, IF(AA2077="","USD",AA2077), limitePermitido, IFERROR(VLOOKUP(monedaPago, Configuración!$A$2:$B$3, 2, FALSE), 0.15), IF(AD2077&gt;limitePermitido, "ALERTA: EXCESO (" &amp; TEXT(limitePermitido, "0%") &amp; " máx)", "OK"))))</f>
        <v/>
      </c>
      <c r="AP2077" s="79">
        <f>IF(AN2077="","",IF(AE2077=0,"OK",_xlfn.LET(fechaPago, Z2077, fechaFactura, R2077, diasCredito, IF(E2077="Pago inmediato", 0, IFERROR(VALUE(MID(E2077, 1, SEARCH(" ", E2077)-1)),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77" s="79">
        <f>IF(AN2077="","",IF(AND(N2077&gt;0, AG2077&gt;0), IF(Configuración!$K$2="NO", "ALERTA: DESCUENTO DOBLE NO PERMITIDO", "OK"), "OK"))</f>
        <v/>
      </c>
      <c r="AR2077" s="79">
        <f>IF(AN2077="","",IF(OR(AO2077&lt;&gt;"OK", AP2077&lt;&gt;"OK", AQ2077&lt;&gt;"OK"), "⚠️ REVISAR", "OK"))</f>
        <v/>
      </c>
    </row>
    <row r="2078">
      <c r="A2078" s="79">
        <f>IF('Ordenes_Odoo'!A2078="","",'Ordenes_Odoo'!A2078)</f>
        <v/>
      </c>
      <c r="B2078" s="80">
        <f>IF('Ordenes_Odoo'!B2078="","",'Ordenes_Odoo'!B2078)</f>
        <v/>
      </c>
      <c r="C2078" s="79">
        <f>IF('Ordenes_Odoo'!C2078="","",'Ordenes_Odoo'!C2078)</f>
        <v/>
      </c>
      <c r="D2078" s="79">
        <f>IF('Ordenes_Odoo'!D2078="","",'Ordenes_Odoo'!D2078)</f>
        <v/>
      </c>
      <c r="E2078" s="79">
        <f>IF('Ordenes_Odoo'!E2078="","",'Ordenes_Odoo'!E2078)</f>
        <v/>
      </c>
      <c r="F2078" s="79">
        <f>IF('Ordenes_Odoo'!F2078="","",'Ordenes_Odoo'!F2078)</f>
        <v/>
      </c>
      <c r="G2078" s="79">
        <f>IF('Ordenes_Odoo'!G2078="","",'Ordenes_Odoo'!G2078)</f>
        <v/>
      </c>
      <c r="H2078" s="79">
        <f>IF('Ordenes_Odoo'!H2078="","",'Ordenes_Odoo'!H2078)</f>
        <v/>
      </c>
      <c r="I2078" s="79">
        <f>IF('Ordenes_Odoo'!I2078="","",'Ordenes_Odoo'!I2078)</f>
        <v/>
      </c>
      <c r="J2078" s="79">
        <f>IF('Ordenes_Odoo'!J2078="","",'Ordenes_Odoo'!J2078)</f>
        <v/>
      </c>
      <c r="K2078" s="81">
        <f>IF('Ordenes_Odoo'!K2078="","",'Ordenes_Odoo'!K2078)</f>
        <v/>
      </c>
      <c r="L2078" s="81">
        <f>IF('Ordenes_Odoo'!L2078="","",'Ordenes_Odoo'!L2078)</f>
        <v/>
      </c>
      <c r="M2078" s="79">
        <f>IF('Ordenes_Odoo'!M2078="","",'Ordenes_Odoo'!M2078)</f>
        <v/>
      </c>
      <c r="N2078" s="79">
        <f>IF('Ordenes_Odoo'!N2078="","",'Ordenes_Odoo'!N2078)</f>
        <v/>
      </c>
      <c r="O2078" s="81">
        <f>IF('Ordenes_Odoo'!O2078="","",'Ordenes_Odoo'!O2078)</f>
        <v/>
      </c>
      <c r="P2078" s="81">
        <f>IF('Ordenes_Odoo'!P2078="","",'Ordenes_Odoo'!P2078)</f>
        <v/>
      </c>
      <c r="Q2078" s="79">
        <f>IF(A2078="","",IFERROR(INDEX(Facturas_Odoo!$B:$B, MATCH(A2078, Facturas_Odoo!$D:$D, 0)), "Sin Factura"))</f>
        <v/>
      </c>
      <c r="R2078" s="80">
        <f>IF(Q2078="Sin Factura","",IFERROR(INDEX(Facturas_Odoo!$A:$A, MATCH(Q2078, Facturas_Odoo!$B:$B, 0)), ""))</f>
        <v/>
      </c>
      <c r="S2078" s="79">
        <f>IF(Q2078="Sin Factura","",IFERROR(_xlfn.XLOOKUP(1, (Facturas_Odoo!$D:$D=A2078) * (Facturas_Odoo!$K:$K=I2078), Facturas_Odoo!$L:$L, ""), ""))</f>
        <v/>
      </c>
      <c r="T2078" s="81">
        <f>IF(Q2078="Sin Factura",0,IFERROR(_xlfn.XLOOKUP(1, (Facturas_Odoo!$D:$D=A2078) * (Facturas_Odoo!$K:$K=I2078), Facturas_Odoo!$M:$M, 0), 0))</f>
        <v/>
      </c>
      <c r="U2078" s="79">
        <f>IF(Q2078="Sin Factura",0,IFERROR(_xlfn.XLOOKUP(1, (Facturas_Odoo!$D:$D=A2078) * (Facturas_Odoo!$K:$K=I2078), Facturas_Odoo!$N:$N, 0), 0))</f>
        <v/>
      </c>
      <c r="V2078" s="79">
        <f>IF(Q2078="Sin Factura",0,IFERROR(_xlfn.XLOOKUP(1, (Facturas_Odoo!$D:$D=A2078) * (Facturas_Odoo!$K:$K=I2078), Facturas_Odoo!$O:$O, 0), 0))</f>
        <v/>
      </c>
      <c r="W2078" s="81">
        <f>IF(Q2078="Sin Factura",0,IFERROR(_xlfn.XLOOKUP(1, (Facturas_Odoo!$D:$D=A2078) * (Facturas_Odoo!$K:$K=I2078), Facturas_Odoo!$Q:$Q, 0), 0))</f>
        <v/>
      </c>
      <c r="X2078" s="79">
        <f>IF(OR(Q2078="Sin Factura",Q2078=""),"",IFERROR(INDEX(Pagos_Odoo!$B:$B, MATCH(Q2078, Pagos_Odoo!$I:$I, 0)), "Sin Pago"))</f>
        <v/>
      </c>
      <c r="Y2078" s="79">
        <f>IF(X2078="Sin Pago","",IFERROR(INDEX(Pagos_Odoo!$C:$C, MATCH(X2078, Pagos_Odoo!$B:$B, 0)), ""))</f>
        <v/>
      </c>
      <c r="Z2078" s="80">
        <f>IF(X2078="Sin Pago","",IFERROR(INDEX(Pagos_Odoo!$A:$A, MATCH(X2078, Pagos_Odoo!$B:$B, 0)), ""))</f>
        <v/>
      </c>
      <c r="AA2078" s="79">
        <f>IF(X2078="Sin Pago","",IFERROR(INDEX(Pagos_Odoo!$F:$F, MATCH(X2078, Pagos_Odoo!$B:$B, 0)), ""))</f>
        <v/>
      </c>
      <c r="AB2078" s="81">
        <f>IF(X2078="Sin Pago",0,IFERROR(INDEX(Pagos_Odoo!$E:$E, MATCH(X2078, Pagos_Odoo!$B:$B, 0)), 0))</f>
        <v/>
      </c>
      <c r="AC2078" s="79">
        <f>IF(X2078="Sin Pago","",IFERROR(INDEX(Pagos_Odoo!$G:$G, MATCH(X2078, Pagos_Odoo!$B:$B, 0)), ""))</f>
        <v/>
      </c>
      <c r="AD2078" s="82" t="n">
        <v>0</v>
      </c>
      <c r="AE2078" s="82" t="n"/>
      <c r="AF2078" s="82" t="n"/>
      <c r="AG2078" s="82">
        <f>IF(AN2078="","",AD2078+AE2078+AF2078)</f>
        <v/>
      </c>
      <c r="AH2078" s="81">
        <f>IF(AN2078="","",P2078*(1-AG2078))</f>
        <v/>
      </c>
      <c r="AI2078" s="81">
        <f>IF(AN2078="","",IF(Q2078="Sin Factura",0,IFERROR(INDEX(Facturas_Odoo!$H:$H, MATCH(Q2078, Facturas_Odoo!$B:$B, 0)), 0)*(1-AG2078)))</f>
        <v/>
      </c>
      <c r="AJ2078" s="81">
        <f>IF(AN2078="","",_xlfn.LET(idVenta, AN2078&amp;"",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78" s="81">
        <f>IF(AN2078="","",AH2078-AJ2078)</f>
        <v/>
      </c>
      <c r="AL2078" s="81">
        <f>IF(AN2078="","",IF(Q2078="Sin Factura","",AI2078-AJ2078))</f>
        <v/>
      </c>
      <c r="AM2078" s="81">
        <f>IF(AN2078="","",IF(Q2078="Sin Factura",0,P2078-IFERROR(INDEX(Facturas_Odoo!$H:$H, MATCH(Q2078, Facturas_Odoo!$B:$B, 0)), 0)))</f>
        <v/>
      </c>
      <c r="AN2078" s="79">
        <f>IF(AND(A2078="", J2078=""), "", IF(A2078&lt;&gt;"", VALUE(MID(A2078,2,LEN(A2078))), AN2077))</f>
        <v/>
      </c>
      <c r="AO2078" s="79">
        <f>IF(AN2078="","",IF(AD2078=0,"OK",_xlfn.LET(monedaPago, IF(AA2078="","USD",AA2078), limitePermitido, IFERROR(VLOOKUP(monedaPago, Configuración!$A$2:$B$3, 2, FALSE), 0.15), IF(AD2078&gt;limitePermitido, "ALERTA: EXCESO (" &amp; TEXT(limitePermitido, "0%") &amp; " máx)", "OK"))))</f>
        <v/>
      </c>
      <c r="AP2078" s="79">
        <f>IF(AN2078="","",IF(AE2078=0,"OK",_xlfn.LET(fechaPago, Z2078, fechaFactura, R2078, diasCredito, IF(E2078="Pago inmediato", 0, IFERROR(VALUE(MID(E2078, 1, SEARCH(" ", E2078)-1)),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78" s="79">
        <f>IF(AN2078="","",IF(AND(N2078&gt;0, AG2078&gt;0), IF(Configuración!$K$2="NO", "ALERTA: DESCUENTO DOBLE NO PERMITIDO", "OK"), "OK"))</f>
        <v/>
      </c>
      <c r="AR2078" s="79">
        <f>IF(AN2078="","",IF(OR(AO2078&lt;&gt;"OK", AP2078&lt;&gt;"OK", AQ2078&lt;&gt;"OK"), "⚠️ REVISAR", "OK"))</f>
        <v/>
      </c>
    </row>
    <row r="2079">
      <c r="A2079" s="79">
        <f>IF('Ordenes_Odoo'!A2079="","",'Ordenes_Odoo'!A2079)</f>
        <v/>
      </c>
      <c r="B2079" s="80">
        <f>IF('Ordenes_Odoo'!B2079="","",'Ordenes_Odoo'!B2079)</f>
        <v/>
      </c>
      <c r="C2079" s="79">
        <f>IF('Ordenes_Odoo'!C2079="","",'Ordenes_Odoo'!C2079)</f>
        <v/>
      </c>
      <c r="D2079" s="79">
        <f>IF('Ordenes_Odoo'!D2079="","",'Ordenes_Odoo'!D2079)</f>
        <v/>
      </c>
      <c r="E2079" s="79">
        <f>IF('Ordenes_Odoo'!E2079="","",'Ordenes_Odoo'!E2079)</f>
        <v/>
      </c>
      <c r="F2079" s="79">
        <f>IF('Ordenes_Odoo'!F2079="","",'Ordenes_Odoo'!F2079)</f>
        <v/>
      </c>
      <c r="G2079" s="79">
        <f>IF('Ordenes_Odoo'!G2079="","",'Ordenes_Odoo'!G2079)</f>
        <v/>
      </c>
      <c r="H2079" s="79">
        <f>IF('Ordenes_Odoo'!H2079="","",'Ordenes_Odoo'!H2079)</f>
        <v/>
      </c>
      <c r="I2079" s="79">
        <f>IF('Ordenes_Odoo'!I2079="","",'Ordenes_Odoo'!I2079)</f>
        <v/>
      </c>
      <c r="J2079" s="79">
        <f>IF('Ordenes_Odoo'!J2079="","",'Ordenes_Odoo'!J2079)</f>
        <v/>
      </c>
      <c r="K2079" s="81">
        <f>IF('Ordenes_Odoo'!K2079="","",'Ordenes_Odoo'!K2079)</f>
        <v/>
      </c>
      <c r="L2079" s="81">
        <f>IF('Ordenes_Odoo'!L2079="","",'Ordenes_Odoo'!L2079)</f>
        <v/>
      </c>
      <c r="M2079" s="79">
        <f>IF('Ordenes_Odoo'!M2079="","",'Ordenes_Odoo'!M2079)</f>
        <v/>
      </c>
      <c r="N2079" s="79">
        <f>IF('Ordenes_Odoo'!N2079="","",'Ordenes_Odoo'!N2079)</f>
        <v/>
      </c>
      <c r="O2079" s="81">
        <f>IF('Ordenes_Odoo'!O2079="","",'Ordenes_Odoo'!O2079)</f>
        <v/>
      </c>
      <c r="P2079" s="81">
        <f>IF('Ordenes_Odoo'!P2079="","",'Ordenes_Odoo'!P2079)</f>
        <v/>
      </c>
      <c r="Q2079" s="79">
        <f>IF(A2079="","",IFERROR(INDEX(Facturas_Odoo!$B:$B, MATCH(A2079, Facturas_Odoo!$D:$D, 0)), "Sin Factura"))</f>
        <v/>
      </c>
      <c r="R2079" s="80">
        <f>IF(Q2079="Sin Factura","",IFERROR(INDEX(Facturas_Odoo!$A:$A, MATCH(Q2079, Facturas_Odoo!$B:$B, 0)), ""))</f>
        <v/>
      </c>
      <c r="S2079" s="79">
        <f>IF(Q2079="Sin Factura","",IFERROR(_xlfn.XLOOKUP(1, (Facturas_Odoo!$D:$D=A2079) * (Facturas_Odoo!$K:$K=I2079), Facturas_Odoo!$L:$L, ""), ""))</f>
        <v/>
      </c>
      <c r="T2079" s="81">
        <f>IF(Q2079="Sin Factura",0,IFERROR(_xlfn.XLOOKUP(1, (Facturas_Odoo!$D:$D=A2079) * (Facturas_Odoo!$K:$K=I2079), Facturas_Odoo!$M:$M, 0), 0))</f>
        <v/>
      </c>
      <c r="U2079" s="79">
        <f>IF(Q2079="Sin Factura",0,IFERROR(_xlfn.XLOOKUP(1, (Facturas_Odoo!$D:$D=A2079) * (Facturas_Odoo!$K:$K=I2079), Facturas_Odoo!$N:$N, 0), 0))</f>
        <v/>
      </c>
      <c r="V2079" s="79">
        <f>IF(Q2079="Sin Factura",0,IFERROR(_xlfn.XLOOKUP(1, (Facturas_Odoo!$D:$D=A2079) * (Facturas_Odoo!$K:$K=I2079), Facturas_Odoo!$O:$O, 0), 0))</f>
        <v/>
      </c>
      <c r="W2079" s="81">
        <f>IF(Q2079="Sin Factura",0,IFERROR(_xlfn.XLOOKUP(1, (Facturas_Odoo!$D:$D=A2079) * (Facturas_Odoo!$K:$K=I2079), Facturas_Odoo!$Q:$Q, 0), 0))</f>
        <v/>
      </c>
      <c r="X2079" s="79">
        <f>IF(OR(Q2079="Sin Factura",Q2079=""),"",IFERROR(INDEX(Pagos_Odoo!$B:$B, MATCH(Q2079, Pagos_Odoo!$I:$I, 0)), "Sin Pago"))</f>
        <v/>
      </c>
      <c r="Y2079" s="79">
        <f>IF(X2079="Sin Pago","",IFERROR(INDEX(Pagos_Odoo!$C:$C, MATCH(X2079, Pagos_Odoo!$B:$B, 0)), ""))</f>
        <v/>
      </c>
      <c r="Z2079" s="80">
        <f>IF(X2079="Sin Pago","",IFERROR(INDEX(Pagos_Odoo!$A:$A, MATCH(X2079, Pagos_Odoo!$B:$B, 0)), ""))</f>
        <v/>
      </c>
      <c r="AA2079" s="79">
        <f>IF(X2079="Sin Pago","",IFERROR(INDEX(Pagos_Odoo!$F:$F, MATCH(X2079, Pagos_Odoo!$B:$B, 0)), ""))</f>
        <v/>
      </c>
      <c r="AB2079" s="81">
        <f>IF(X2079="Sin Pago",0,IFERROR(INDEX(Pagos_Odoo!$E:$E, MATCH(X2079, Pagos_Odoo!$B:$B, 0)), 0))</f>
        <v/>
      </c>
      <c r="AC2079" s="79">
        <f>IF(X2079="Sin Pago","",IFERROR(INDEX(Pagos_Odoo!$G:$G, MATCH(X2079, Pagos_Odoo!$B:$B, 0)), ""))</f>
        <v/>
      </c>
      <c r="AD2079" s="82" t="n">
        <v>0</v>
      </c>
      <c r="AE2079" s="82" t="n"/>
      <c r="AF2079" s="82" t="n"/>
      <c r="AG2079" s="82">
        <f>IF(AN2079="","",AD2079+AE2079+AF2079)</f>
        <v/>
      </c>
      <c r="AH2079" s="81">
        <f>IF(AN2079="","",P2079*(1-AG2079))</f>
        <v/>
      </c>
      <c r="AI2079" s="81">
        <f>IF(AN2079="","",IF(Q2079="Sin Factura",0,IFERROR(INDEX(Facturas_Odoo!$H:$H, MATCH(Q2079, Facturas_Odoo!$B:$B, 0)), 0)*(1-AG2079)))</f>
        <v/>
      </c>
      <c r="AJ2079" s="81">
        <f>IF(AN2079="","",_xlfn.LET(idVenta, AN2079&amp;"",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79" s="81">
        <f>IF(AN2079="","",AH2079-AJ2079)</f>
        <v/>
      </c>
      <c r="AL2079" s="81">
        <f>IF(AN2079="","",IF(Q2079="Sin Factura","",AI2079-AJ2079))</f>
        <v/>
      </c>
      <c r="AM2079" s="81">
        <f>IF(AN2079="","",IF(Q2079="Sin Factura",0,P2079-IFERROR(INDEX(Facturas_Odoo!$H:$H, MATCH(Q2079, Facturas_Odoo!$B:$B, 0)), 0)))</f>
        <v/>
      </c>
      <c r="AN2079" s="79">
        <f>IF(AND(A2079="", J2079=""), "", IF(A2079&lt;&gt;"", VALUE(MID(A2079,2,LEN(A2079))), AN2078))</f>
        <v/>
      </c>
      <c r="AO2079" s="79">
        <f>IF(AN2079="","",IF(AD2079=0,"OK",_xlfn.LET(monedaPago, IF(AA2079="","USD",AA2079), limitePermitido, IFERROR(VLOOKUP(monedaPago, Configuración!$A$2:$B$3, 2, FALSE), 0.15), IF(AD2079&gt;limitePermitido, "ALERTA: EXCESO (" &amp; TEXT(limitePermitido, "0%") &amp; " máx)", "OK"))))</f>
        <v/>
      </c>
      <c r="AP2079" s="79">
        <f>IF(AN2079="","",IF(AE2079=0,"OK",_xlfn.LET(fechaPago, Z2079, fechaFactura, R2079, diasCredito, IF(E2079="Pago inmediato", 0, IFERROR(VALUE(MID(E2079, 1, SEARCH(" ", E2079)-1)),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79" s="79">
        <f>IF(AN2079="","",IF(AND(N2079&gt;0, AG2079&gt;0), IF(Configuración!$K$2="NO", "ALERTA: DESCUENTO DOBLE NO PERMITIDO", "OK"), "OK"))</f>
        <v/>
      </c>
      <c r="AR2079" s="79">
        <f>IF(AN2079="","",IF(OR(AO2079&lt;&gt;"OK", AP2079&lt;&gt;"OK", AQ2079&lt;&gt;"OK"), "⚠️ REVISAR", "OK"))</f>
        <v/>
      </c>
    </row>
    <row r="2080">
      <c r="A2080" s="79">
        <f>IF('Ordenes_Odoo'!A2080="","",'Ordenes_Odoo'!A2080)</f>
        <v/>
      </c>
      <c r="B2080" s="80">
        <f>IF('Ordenes_Odoo'!B2080="","",'Ordenes_Odoo'!B2080)</f>
        <v/>
      </c>
      <c r="C2080" s="79">
        <f>IF('Ordenes_Odoo'!C2080="","",'Ordenes_Odoo'!C2080)</f>
        <v/>
      </c>
      <c r="D2080" s="79">
        <f>IF('Ordenes_Odoo'!D2080="","",'Ordenes_Odoo'!D2080)</f>
        <v/>
      </c>
      <c r="E2080" s="79">
        <f>IF('Ordenes_Odoo'!E2080="","",'Ordenes_Odoo'!E2080)</f>
        <v/>
      </c>
      <c r="F2080" s="79">
        <f>IF('Ordenes_Odoo'!F2080="","",'Ordenes_Odoo'!F2080)</f>
        <v/>
      </c>
      <c r="G2080" s="79">
        <f>IF('Ordenes_Odoo'!G2080="","",'Ordenes_Odoo'!G2080)</f>
        <v/>
      </c>
      <c r="H2080" s="79">
        <f>IF('Ordenes_Odoo'!H2080="","",'Ordenes_Odoo'!H2080)</f>
        <v/>
      </c>
      <c r="I2080" s="79">
        <f>IF('Ordenes_Odoo'!I2080="","",'Ordenes_Odoo'!I2080)</f>
        <v/>
      </c>
      <c r="J2080" s="79">
        <f>IF('Ordenes_Odoo'!J2080="","",'Ordenes_Odoo'!J2080)</f>
        <v/>
      </c>
      <c r="K2080" s="81">
        <f>IF('Ordenes_Odoo'!K2080="","",'Ordenes_Odoo'!K2080)</f>
        <v/>
      </c>
      <c r="L2080" s="81">
        <f>IF('Ordenes_Odoo'!L2080="","",'Ordenes_Odoo'!L2080)</f>
        <v/>
      </c>
      <c r="M2080" s="79">
        <f>IF('Ordenes_Odoo'!M2080="","",'Ordenes_Odoo'!M2080)</f>
        <v/>
      </c>
      <c r="N2080" s="79">
        <f>IF('Ordenes_Odoo'!N2080="","",'Ordenes_Odoo'!N2080)</f>
        <v/>
      </c>
      <c r="O2080" s="81">
        <f>IF('Ordenes_Odoo'!O2080="","",'Ordenes_Odoo'!O2080)</f>
        <v/>
      </c>
      <c r="P2080" s="81">
        <f>IF('Ordenes_Odoo'!P2080="","",'Ordenes_Odoo'!P2080)</f>
        <v/>
      </c>
      <c r="Q2080" s="79">
        <f>IF(A2080="","",IFERROR(INDEX(Facturas_Odoo!$B:$B, MATCH(A2080, Facturas_Odoo!$D:$D, 0)), "Sin Factura"))</f>
        <v/>
      </c>
      <c r="R2080" s="80">
        <f>IF(Q2080="Sin Factura","",IFERROR(INDEX(Facturas_Odoo!$A:$A, MATCH(Q2080, Facturas_Odoo!$B:$B, 0)), ""))</f>
        <v/>
      </c>
      <c r="S2080" s="79">
        <f>IF(Q2080="Sin Factura","",IFERROR(_xlfn.XLOOKUP(1, (Facturas_Odoo!$D:$D=A2080) * (Facturas_Odoo!$K:$K=I2080), Facturas_Odoo!$L:$L, ""), ""))</f>
        <v/>
      </c>
      <c r="T2080" s="81">
        <f>IF(Q2080="Sin Factura",0,IFERROR(_xlfn.XLOOKUP(1, (Facturas_Odoo!$D:$D=A2080) * (Facturas_Odoo!$K:$K=I2080), Facturas_Odoo!$M:$M, 0), 0))</f>
        <v/>
      </c>
      <c r="U2080" s="79">
        <f>IF(Q2080="Sin Factura",0,IFERROR(_xlfn.XLOOKUP(1, (Facturas_Odoo!$D:$D=A2080) * (Facturas_Odoo!$K:$K=I2080), Facturas_Odoo!$N:$N, 0), 0))</f>
        <v/>
      </c>
      <c r="V2080" s="79">
        <f>IF(Q2080="Sin Factura",0,IFERROR(_xlfn.XLOOKUP(1, (Facturas_Odoo!$D:$D=A2080) * (Facturas_Odoo!$K:$K=I2080), Facturas_Odoo!$O:$O, 0), 0))</f>
        <v/>
      </c>
      <c r="W2080" s="81">
        <f>IF(Q2080="Sin Factura",0,IFERROR(_xlfn.XLOOKUP(1, (Facturas_Odoo!$D:$D=A2080) * (Facturas_Odoo!$K:$K=I2080), Facturas_Odoo!$Q:$Q, 0), 0))</f>
        <v/>
      </c>
      <c r="X2080" s="79">
        <f>IF(OR(Q2080="Sin Factura",Q2080=""),"",IFERROR(INDEX(Pagos_Odoo!$B:$B, MATCH(Q2080, Pagos_Odoo!$I:$I, 0)), "Sin Pago"))</f>
        <v/>
      </c>
      <c r="Y2080" s="79">
        <f>IF(X2080="Sin Pago","",IFERROR(INDEX(Pagos_Odoo!$C:$C, MATCH(X2080, Pagos_Odoo!$B:$B, 0)), ""))</f>
        <v/>
      </c>
      <c r="Z2080" s="80">
        <f>IF(X2080="Sin Pago","",IFERROR(INDEX(Pagos_Odoo!$A:$A, MATCH(X2080, Pagos_Odoo!$B:$B, 0)), ""))</f>
        <v/>
      </c>
      <c r="AA2080" s="79">
        <f>IF(X2080="Sin Pago","",IFERROR(INDEX(Pagos_Odoo!$F:$F, MATCH(X2080, Pagos_Odoo!$B:$B, 0)), ""))</f>
        <v/>
      </c>
      <c r="AB2080" s="81">
        <f>IF(X2080="Sin Pago",0,IFERROR(INDEX(Pagos_Odoo!$E:$E, MATCH(X2080, Pagos_Odoo!$B:$B, 0)), 0))</f>
        <v/>
      </c>
      <c r="AC2080" s="79">
        <f>IF(X2080="Sin Pago","",IFERROR(INDEX(Pagos_Odoo!$G:$G, MATCH(X2080, Pagos_Odoo!$B:$B, 0)), ""))</f>
        <v/>
      </c>
      <c r="AD2080" s="82" t="n">
        <v>0</v>
      </c>
      <c r="AE2080" s="82" t="n"/>
      <c r="AF2080" s="82" t="n"/>
      <c r="AG2080" s="82">
        <f>IF(AN2080="","",AD2080+AE2080+AF2080)</f>
        <v/>
      </c>
      <c r="AH2080" s="81">
        <f>IF(AN2080="","",P2080*(1-AG2080))</f>
        <v/>
      </c>
      <c r="AI2080" s="81">
        <f>IF(AN2080="","",IF(Q2080="Sin Factura",0,IFERROR(INDEX(Facturas_Odoo!$H:$H, MATCH(Q2080, Facturas_Odoo!$B:$B, 0)), 0)*(1-AG2080)))</f>
        <v/>
      </c>
      <c r="AJ2080" s="81">
        <f>IF(AN2080="","",_xlfn.LET(idVenta, AN2080&amp;"",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80" s="81">
        <f>IF(AN2080="","",AH2080-AJ2080)</f>
        <v/>
      </c>
      <c r="AL2080" s="81">
        <f>IF(AN2080="","",IF(Q2080="Sin Factura","",AI2080-AJ2080))</f>
        <v/>
      </c>
      <c r="AM2080" s="81">
        <f>IF(AN2080="","",IF(Q2080="Sin Factura",0,P2080-IFERROR(INDEX(Facturas_Odoo!$H:$H, MATCH(Q2080, Facturas_Odoo!$B:$B, 0)), 0)))</f>
        <v/>
      </c>
      <c r="AN2080" s="79">
        <f>IF(AND(A2080="", J2080=""), "", IF(A2080&lt;&gt;"", VALUE(MID(A2080,2,LEN(A2080))), AN2079))</f>
        <v/>
      </c>
      <c r="AO2080" s="79">
        <f>IF(AN2080="","",IF(AD2080=0,"OK",_xlfn.LET(monedaPago, IF(AA2080="","USD",AA2080), limitePermitido, IFERROR(VLOOKUP(monedaPago, Configuración!$A$2:$B$3, 2, FALSE), 0.15), IF(AD2080&gt;limitePermitido, "ALERTA: EXCESO (" &amp; TEXT(limitePermitido, "0%") &amp; " máx)", "OK"))))</f>
        <v/>
      </c>
      <c r="AP2080" s="79">
        <f>IF(AN2080="","",IF(AE2080=0,"OK",_xlfn.LET(fechaPago, Z2080, fechaFactura, R2080, diasCredito, IF(E2080="Pago inmediato", 0, IFERROR(VALUE(MID(E2080, 1, SEARCH(" ", E2080)-1)),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80" s="79">
        <f>IF(AN2080="","",IF(AND(N2080&gt;0, AG2080&gt;0), IF(Configuración!$K$2="NO", "ALERTA: DESCUENTO DOBLE NO PERMITIDO", "OK"), "OK"))</f>
        <v/>
      </c>
      <c r="AR2080" s="79">
        <f>IF(AN2080="","",IF(OR(AO2080&lt;&gt;"OK", AP2080&lt;&gt;"OK", AQ2080&lt;&gt;"OK"), "⚠️ REVISAR", "OK"))</f>
        <v/>
      </c>
    </row>
    <row r="2081">
      <c r="A2081" s="79">
        <f>IF('Ordenes_Odoo'!A2081="","",'Ordenes_Odoo'!A2081)</f>
        <v/>
      </c>
      <c r="B2081" s="80">
        <f>IF('Ordenes_Odoo'!B2081="","",'Ordenes_Odoo'!B2081)</f>
        <v/>
      </c>
      <c r="C2081" s="79">
        <f>IF('Ordenes_Odoo'!C2081="","",'Ordenes_Odoo'!C2081)</f>
        <v/>
      </c>
      <c r="D2081" s="79">
        <f>IF('Ordenes_Odoo'!D2081="","",'Ordenes_Odoo'!D2081)</f>
        <v/>
      </c>
      <c r="E2081" s="79">
        <f>IF('Ordenes_Odoo'!E2081="","",'Ordenes_Odoo'!E2081)</f>
        <v/>
      </c>
      <c r="F2081" s="79">
        <f>IF('Ordenes_Odoo'!F2081="","",'Ordenes_Odoo'!F2081)</f>
        <v/>
      </c>
      <c r="G2081" s="79">
        <f>IF('Ordenes_Odoo'!G2081="","",'Ordenes_Odoo'!G2081)</f>
        <v/>
      </c>
      <c r="H2081" s="79">
        <f>IF('Ordenes_Odoo'!H2081="","",'Ordenes_Odoo'!H2081)</f>
        <v/>
      </c>
      <c r="I2081" s="79">
        <f>IF('Ordenes_Odoo'!I2081="","",'Ordenes_Odoo'!I2081)</f>
        <v/>
      </c>
      <c r="J2081" s="79">
        <f>IF('Ordenes_Odoo'!J2081="","",'Ordenes_Odoo'!J2081)</f>
        <v/>
      </c>
      <c r="K2081" s="81">
        <f>IF('Ordenes_Odoo'!K2081="","",'Ordenes_Odoo'!K2081)</f>
        <v/>
      </c>
      <c r="L2081" s="81">
        <f>IF('Ordenes_Odoo'!L2081="","",'Ordenes_Odoo'!L2081)</f>
        <v/>
      </c>
      <c r="M2081" s="79">
        <f>IF('Ordenes_Odoo'!M2081="","",'Ordenes_Odoo'!M2081)</f>
        <v/>
      </c>
      <c r="N2081" s="79">
        <f>IF('Ordenes_Odoo'!N2081="","",'Ordenes_Odoo'!N2081)</f>
        <v/>
      </c>
      <c r="O2081" s="81">
        <f>IF('Ordenes_Odoo'!O2081="","",'Ordenes_Odoo'!O2081)</f>
        <v/>
      </c>
      <c r="P2081" s="81">
        <f>IF('Ordenes_Odoo'!P2081="","",'Ordenes_Odoo'!P2081)</f>
        <v/>
      </c>
      <c r="Q2081" s="79">
        <f>IF(A2081="","",IFERROR(INDEX(Facturas_Odoo!$B:$B, MATCH(A2081, Facturas_Odoo!$D:$D, 0)), "Sin Factura"))</f>
        <v/>
      </c>
      <c r="R2081" s="80">
        <f>IF(Q2081="Sin Factura","",IFERROR(INDEX(Facturas_Odoo!$A:$A, MATCH(Q2081, Facturas_Odoo!$B:$B, 0)), ""))</f>
        <v/>
      </c>
      <c r="S2081" s="79">
        <f>IF(Q2081="Sin Factura","",IFERROR(_xlfn.XLOOKUP(1, (Facturas_Odoo!$D:$D=A2081) * (Facturas_Odoo!$K:$K=I2081), Facturas_Odoo!$L:$L, ""), ""))</f>
        <v/>
      </c>
      <c r="T2081" s="81">
        <f>IF(Q2081="Sin Factura",0,IFERROR(_xlfn.XLOOKUP(1, (Facturas_Odoo!$D:$D=A2081) * (Facturas_Odoo!$K:$K=I2081), Facturas_Odoo!$M:$M, 0), 0))</f>
        <v/>
      </c>
      <c r="U2081" s="79">
        <f>IF(Q2081="Sin Factura",0,IFERROR(_xlfn.XLOOKUP(1, (Facturas_Odoo!$D:$D=A2081) * (Facturas_Odoo!$K:$K=I2081), Facturas_Odoo!$N:$N, 0), 0))</f>
        <v/>
      </c>
      <c r="V2081" s="79">
        <f>IF(Q2081="Sin Factura",0,IFERROR(_xlfn.XLOOKUP(1, (Facturas_Odoo!$D:$D=A2081) * (Facturas_Odoo!$K:$K=I2081), Facturas_Odoo!$O:$O, 0), 0))</f>
        <v/>
      </c>
      <c r="W2081" s="81">
        <f>IF(Q2081="Sin Factura",0,IFERROR(_xlfn.XLOOKUP(1, (Facturas_Odoo!$D:$D=A2081) * (Facturas_Odoo!$K:$K=I2081), Facturas_Odoo!$Q:$Q, 0), 0))</f>
        <v/>
      </c>
      <c r="X2081" s="79">
        <f>IF(OR(Q2081="Sin Factura",Q2081=""),"",IFERROR(INDEX(Pagos_Odoo!$B:$B, MATCH(Q2081, Pagos_Odoo!$I:$I, 0)), "Sin Pago"))</f>
        <v/>
      </c>
      <c r="Y2081" s="79">
        <f>IF(X2081="Sin Pago","",IFERROR(INDEX(Pagos_Odoo!$C:$C, MATCH(X2081, Pagos_Odoo!$B:$B, 0)), ""))</f>
        <v/>
      </c>
      <c r="Z2081" s="80">
        <f>IF(X2081="Sin Pago","",IFERROR(INDEX(Pagos_Odoo!$A:$A, MATCH(X2081, Pagos_Odoo!$B:$B, 0)), ""))</f>
        <v/>
      </c>
      <c r="AA2081" s="79">
        <f>IF(X2081="Sin Pago","",IFERROR(INDEX(Pagos_Odoo!$F:$F, MATCH(X2081, Pagos_Odoo!$B:$B, 0)), ""))</f>
        <v/>
      </c>
      <c r="AB2081" s="81">
        <f>IF(X2081="Sin Pago",0,IFERROR(INDEX(Pagos_Odoo!$E:$E, MATCH(X2081, Pagos_Odoo!$B:$B, 0)), 0))</f>
        <v/>
      </c>
      <c r="AC2081" s="79">
        <f>IF(X2081="Sin Pago","",IFERROR(INDEX(Pagos_Odoo!$G:$G, MATCH(X2081, Pagos_Odoo!$B:$B, 0)), ""))</f>
        <v/>
      </c>
      <c r="AD2081" s="82" t="n">
        <v>0</v>
      </c>
      <c r="AE2081" s="82" t="n"/>
      <c r="AF2081" s="82" t="n"/>
      <c r="AG2081" s="82">
        <f>IF(AN2081="","",AD2081+AE2081+AF2081)</f>
        <v/>
      </c>
      <c r="AH2081" s="81">
        <f>IF(AN2081="","",P2081*(1-AG2081))</f>
        <v/>
      </c>
      <c r="AI2081" s="81">
        <f>IF(AN2081="","",IF(Q2081="Sin Factura",0,IFERROR(INDEX(Facturas_Odoo!$H:$H, MATCH(Q2081, Facturas_Odoo!$B:$B, 0)), 0)*(1-AG2081)))</f>
        <v/>
      </c>
      <c r="AJ2081" s="81">
        <f>IF(AN2081="","",_xlfn.LET(idVenta, AN2081&amp;"",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81" s="81">
        <f>IF(AN2081="","",AH2081-AJ2081)</f>
        <v/>
      </c>
      <c r="AL2081" s="81">
        <f>IF(AN2081="","",IF(Q2081="Sin Factura","",AI2081-AJ2081))</f>
        <v/>
      </c>
      <c r="AM2081" s="81">
        <f>IF(AN2081="","",IF(Q2081="Sin Factura",0,P2081-IFERROR(INDEX(Facturas_Odoo!$H:$H, MATCH(Q2081, Facturas_Odoo!$B:$B, 0)), 0)))</f>
        <v/>
      </c>
      <c r="AN2081" s="79">
        <f>IF(AND(A2081="", J2081=""), "", IF(A2081&lt;&gt;"", VALUE(MID(A2081,2,LEN(A2081))), AN2080))</f>
        <v/>
      </c>
      <c r="AO2081" s="79">
        <f>IF(AN2081="","",IF(AD2081=0,"OK",_xlfn.LET(monedaPago, IF(AA2081="","USD",AA2081), limitePermitido, IFERROR(VLOOKUP(monedaPago, Configuración!$A$2:$B$3, 2, FALSE), 0.15), IF(AD2081&gt;limitePermitido, "ALERTA: EXCESO (" &amp; TEXT(limitePermitido, "0%") &amp; " máx)", "OK"))))</f>
        <v/>
      </c>
      <c r="AP2081" s="79">
        <f>IF(AN2081="","",IF(AE2081=0,"OK",_xlfn.LET(fechaPago, Z2081, fechaFactura, R2081, diasCredito, IF(E2081="Pago inmediato", 0, IFERROR(VALUE(MID(E2081, 1, SEARCH(" ", E2081)-1)),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81" s="79">
        <f>IF(AN2081="","",IF(AND(N2081&gt;0, AG2081&gt;0), IF(Configuración!$K$2="NO", "ALERTA: DESCUENTO DOBLE NO PERMITIDO", "OK"), "OK"))</f>
        <v/>
      </c>
      <c r="AR2081" s="79">
        <f>IF(AN2081="","",IF(OR(AO2081&lt;&gt;"OK", AP2081&lt;&gt;"OK", AQ2081&lt;&gt;"OK"), "⚠️ REVISAR", "OK"))</f>
        <v/>
      </c>
    </row>
    <row r="2082">
      <c r="A2082" s="79">
        <f>IF('Ordenes_Odoo'!A2082="","",'Ordenes_Odoo'!A2082)</f>
        <v/>
      </c>
      <c r="B2082" s="80">
        <f>IF('Ordenes_Odoo'!B2082="","",'Ordenes_Odoo'!B2082)</f>
        <v/>
      </c>
      <c r="C2082" s="79">
        <f>IF('Ordenes_Odoo'!C2082="","",'Ordenes_Odoo'!C2082)</f>
        <v/>
      </c>
      <c r="D2082" s="79">
        <f>IF('Ordenes_Odoo'!D2082="","",'Ordenes_Odoo'!D2082)</f>
        <v/>
      </c>
      <c r="E2082" s="79">
        <f>IF('Ordenes_Odoo'!E2082="","",'Ordenes_Odoo'!E2082)</f>
        <v/>
      </c>
      <c r="F2082" s="79">
        <f>IF('Ordenes_Odoo'!F2082="","",'Ordenes_Odoo'!F2082)</f>
        <v/>
      </c>
      <c r="G2082" s="79">
        <f>IF('Ordenes_Odoo'!G2082="","",'Ordenes_Odoo'!G2082)</f>
        <v/>
      </c>
      <c r="H2082" s="79">
        <f>IF('Ordenes_Odoo'!H2082="","",'Ordenes_Odoo'!H2082)</f>
        <v/>
      </c>
      <c r="I2082" s="79">
        <f>IF('Ordenes_Odoo'!I2082="","",'Ordenes_Odoo'!I2082)</f>
        <v/>
      </c>
      <c r="J2082" s="79">
        <f>IF('Ordenes_Odoo'!J2082="","",'Ordenes_Odoo'!J2082)</f>
        <v/>
      </c>
      <c r="K2082" s="81">
        <f>IF('Ordenes_Odoo'!K2082="","",'Ordenes_Odoo'!K2082)</f>
        <v/>
      </c>
      <c r="L2082" s="81">
        <f>IF('Ordenes_Odoo'!L2082="","",'Ordenes_Odoo'!L2082)</f>
        <v/>
      </c>
      <c r="M2082" s="79">
        <f>IF('Ordenes_Odoo'!M2082="","",'Ordenes_Odoo'!M2082)</f>
        <v/>
      </c>
      <c r="N2082" s="79">
        <f>IF('Ordenes_Odoo'!N2082="","",'Ordenes_Odoo'!N2082)</f>
        <v/>
      </c>
      <c r="O2082" s="81">
        <f>IF('Ordenes_Odoo'!O2082="","",'Ordenes_Odoo'!O2082)</f>
        <v/>
      </c>
      <c r="P2082" s="81">
        <f>IF('Ordenes_Odoo'!P2082="","",'Ordenes_Odoo'!P2082)</f>
        <v/>
      </c>
      <c r="Q2082" s="79">
        <f>IF(A2082="","",IFERROR(INDEX(Facturas_Odoo!$B:$B, MATCH(A2082, Facturas_Odoo!$D:$D, 0)), "Sin Factura"))</f>
        <v/>
      </c>
      <c r="R2082" s="80">
        <f>IF(Q2082="Sin Factura","",IFERROR(INDEX(Facturas_Odoo!$A:$A, MATCH(Q2082, Facturas_Odoo!$B:$B, 0)), ""))</f>
        <v/>
      </c>
      <c r="S2082" s="79">
        <f>IF(Q2082="Sin Factura","",IFERROR(_xlfn.XLOOKUP(1, (Facturas_Odoo!$D:$D=A2082) * (Facturas_Odoo!$K:$K=I2082), Facturas_Odoo!$L:$L, ""), ""))</f>
        <v/>
      </c>
      <c r="T2082" s="81">
        <f>IF(Q2082="Sin Factura",0,IFERROR(_xlfn.XLOOKUP(1, (Facturas_Odoo!$D:$D=A2082) * (Facturas_Odoo!$K:$K=I2082), Facturas_Odoo!$M:$M, 0), 0))</f>
        <v/>
      </c>
      <c r="U2082" s="79">
        <f>IF(Q2082="Sin Factura",0,IFERROR(_xlfn.XLOOKUP(1, (Facturas_Odoo!$D:$D=A2082) * (Facturas_Odoo!$K:$K=I2082), Facturas_Odoo!$N:$N, 0), 0))</f>
        <v/>
      </c>
      <c r="V2082" s="79">
        <f>IF(Q2082="Sin Factura",0,IFERROR(_xlfn.XLOOKUP(1, (Facturas_Odoo!$D:$D=A2082) * (Facturas_Odoo!$K:$K=I2082), Facturas_Odoo!$O:$O, 0), 0))</f>
        <v/>
      </c>
      <c r="W2082" s="81">
        <f>IF(Q2082="Sin Factura",0,IFERROR(_xlfn.XLOOKUP(1, (Facturas_Odoo!$D:$D=A2082) * (Facturas_Odoo!$K:$K=I2082), Facturas_Odoo!$Q:$Q, 0), 0))</f>
        <v/>
      </c>
      <c r="X2082" s="79">
        <f>IF(OR(Q2082="Sin Factura",Q2082=""),"",IFERROR(INDEX(Pagos_Odoo!$B:$B, MATCH(Q2082, Pagos_Odoo!$I:$I, 0)), "Sin Pago"))</f>
        <v/>
      </c>
      <c r="Y2082" s="79">
        <f>IF(X2082="Sin Pago","",IFERROR(INDEX(Pagos_Odoo!$C:$C, MATCH(X2082, Pagos_Odoo!$B:$B, 0)), ""))</f>
        <v/>
      </c>
      <c r="Z2082" s="80">
        <f>IF(X2082="Sin Pago","",IFERROR(INDEX(Pagos_Odoo!$A:$A, MATCH(X2082, Pagos_Odoo!$B:$B, 0)), ""))</f>
        <v/>
      </c>
      <c r="AA2082" s="79">
        <f>IF(X2082="Sin Pago","",IFERROR(INDEX(Pagos_Odoo!$F:$F, MATCH(X2082, Pagos_Odoo!$B:$B, 0)), ""))</f>
        <v/>
      </c>
      <c r="AB2082" s="81">
        <f>IF(X2082="Sin Pago",0,IFERROR(INDEX(Pagos_Odoo!$E:$E, MATCH(X2082, Pagos_Odoo!$B:$B, 0)), 0))</f>
        <v/>
      </c>
      <c r="AC2082" s="79">
        <f>IF(X2082="Sin Pago","",IFERROR(INDEX(Pagos_Odoo!$G:$G, MATCH(X2082, Pagos_Odoo!$B:$B, 0)), ""))</f>
        <v/>
      </c>
      <c r="AD2082" s="82" t="n">
        <v>0</v>
      </c>
      <c r="AE2082" s="82" t="n"/>
      <c r="AF2082" s="82" t="n"/>
      <c r="AG2082" s="82">
        <f>IF(AN2082="","",AD2082+AE2082+AF2082)</f>
        <v/>
      </c>
      <c r="AH2082" s="81">
        <f>IF(AN2082="","",P2082*(1-AG2082))</f>
        <v/>
      </c>
      <c r="AI2082" s="81">
        <f>IF(AN2082="","",IF(Q2082="Sin Factura",0,IFERROR(INDEX(Facturas_Odoo!$H:$H, MATCH(Q2082, Facturas_Odoo!$B:$B, 0)), 0)*(1-AG2082)))</f>
        <v/>
      </c>
      <c r="AJ2082" s="81">
        <f>IF(AN2082="","",_xlfn.LET(idVenta, AN2082&amp;"",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82" s="81">
        <f>IF(AN2082="","",AH2082-AJ2082)</f>
        <v/>
      </c>
      <c r="AL2082" s="81">
        <f>IF(AN2082="","",IF(Q2082="Sin Factura","",AI2082-AJ2082))</f>
        <v/>
      </c>
      <c r="AM2082" s="81">
        <f>IF(AN2082="","",IF(Q2082="Sin Factura",0,P2082-IFERROR(INDEX(Facturas_Odoo!$H:$H, MATCH(Q2082, Facturas_Odoo!$B:$B, 0)), 0)))</f>
        <v/>
      </c>
      <c r="AN2082" s="79">
        <f>IF(AND(A2082="", J2082=""), "", IF(A2082&lt;&gt;"", VALUE(MID(A2082,2,LEN(A2082))), AN2081))</f>
        <v/>
      </c>
      <c r="AO2082" s="79">
        <f>IF(AN2082="","",IF(AD2082=0,"OK",_xlfn.LET(monedaPago, IF(AA2082="","USD",AA2082), limitePermitido, IFERROR(VLOOKUP(monedaPago, Configuración!$A$2:$B$3, 2, FALSE), 0.15), IF(AD2082&gt;limitePermitido, "ALERTA: EXCESO (" &amp; TEXT(limitePermitido, "0%") &amp; " máx)", "OK"))))</f>
        <v/>
      </c>
      <c r="AP2082" s="79">
        <f>IF(AN2082="","",IF(AE2082=0,"OK",_xlfn.LET(fechaPago, Z2082, fechaFactura, R2082, diasCredito, IF(E2082="Pago inmediato", 0, IFERROR(VALUE(MID(E2082, 1, SEARCH(" ", E2082)-1)),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82" s="79">
        <f>IF(AN2082="","",IF(AND(N2082&gt;0, AG2082&gt;0), IF(Configuración!$K$2="NO", "ALERTA: DESCUENTO DOBLE NO PERMITIDO", "OK"), "OK"))</f>
        <v/>
      </c>
      <c r="AR2082" s="79">
        <f>IF(AN2082="","",IF(OR(AO2082&lt;&gt;"OK", AP2082&lt;&gt;"OK", AQ2082&lt;&gt;"OK"), "⚠️ REVISAR", "OK"))</f>
        <v/>
      </c>
    </row>
    <row r="2083">
      <c r="A2083" s="79">
        <f>IF('Ordenes_Odoo'!A2083="","",'Ordenes_Odoo'!A2083)</f>
        <v/>
      </c>
      <c r="B2083" s="80">
        <f>IF('Ordenes_Odoo'!B2083="","",'Ordenes_Odoo'!B2083)</f>
        <v/>
      </c>
      <c r="C2083" s="79">
        <f>IF('Ordenes_Odoo'!C2083="","",'Ordenes_Odoo'!C2083)</f>
        <v/>
      </c>
      <c r="D2083" s="79">
        <f>IF('Ordenes_Odoo'!D2083="","",'Ordenes_Odoo'!D2083)</f>
        <v/>
      </c>
      <c r="E2083" s="79">
        <f>IF('Ordenes_Odoo'!E2083="","",'Ordenes_Odoo'!E2083)</f>
        <v/>
      </c>
      <c r="F2083" s="79">
        <f>IF('Ordenes_Odoo'!F2083="","",'Ordenes_Odoo'!F2083)</f>
        <v/>
      </c>
      <c r="G2083" s="79">
        <f>IF('Ordenes_Odoo'!G2083="","",'Ordenes_Odoo'!G2083)</f>
        <v/>
      </c>
      <c r="H2083" s="79">
        <f>IF('Ordenes_Odoo'!H2083="","",'Ordenes_Odoo'!H2083)</f>
        <v/>
      </c>
      <c r="I2083" s="79">
        <f>IF('Ordenes_Odoo'!I2083="","",'Ordenes_Odoo'!I2083)</f>
        <v/>
      </c>
      <c r="J2083" s="79">
        <f>IF('Ordenes_Odoo'!J2083="","",'Ordenes_Odoo'!J2083)</f>
        <v/>
      </c>
      <c r="K2083" s="81">
        <f>IF('Ordenes_Odoo'!K2083="","",'Ordenes_Odoo'!K2083)</f>
        <v/>
      </c>
      <c r="L2083" s="81">
        <f>IF('Ordenes_Odoo'!L2083="","",'Ordenes_Odoo'!L2083)</f>
        <v/>
      </c>
      <c r="M2083" s="79">
        <f>IF('Ordenes_Odoo'!M2083="","",'Ordenes_Odoo'!M2083)</f>
        <v/>
      </c>
      <c r="N2083" s="79">
        <f>IF('Ordenes_Odoo'!N2083="","",'Ordenes_Odoo'!N2083)</f>
        <v/>
      </c>
      <c r="O2083" s="81">
        <f>IF('Ordenes_Odoo'!O2083="","",'Ordenes_Odoo'!O2083)</f>
        <v/>
      </c>
      <c r="P2083" s="81">
        <f>IF('Ordenes_Odoo'!P2083="","",'Ordenes_Odoo'!P2083)</f>
        <v/>
      </c>
      <c r="Q2083" s="79">
        <f>IF(A2083="","",IFERROR(INDEX(Facturas_Odoo!$B:$B, MATCH(A2083, Facturas_Odoo!$D:$D, 0)), "Sin Factura"))</f>
        <v/>
      </c>
      <c r="R2083" s="80">
        <f>IF(Q2083="Sin Factura","",IFERROR(INDEX(Facturas_Odoo!$A:$A, MATCH(Q2083, Facturas_Odoo!$B:$B, 0)), ""))</f>
        <v/>
      </c>
      <c r="S2083" s="79">
        <f>IF(Q2083="Sin Factura","",IFERROR(_xlfn.XLOOKUP(1, (Facturas_Odoo!$D:$D=A2083) * (Facturas_Odoo!$K:$K=I2083), Facturas_Odoo!$L:$L, ""), ""))</f>
        <v/>
      </c>
      <c r="T2083" s="81">
        <f>IF(Q2083="Sin Factura",0,IFERROR(_xlfn.XLOOKUP(1, (Facturas_Odoo!$D:$D=A2083) * (Facturas_Odoo!$K:$K=I2083), Facturas_Odoo!$M:$M, 0), 0))</f>
        <v/>
      </c>
      <c r="U2083" s="79">
        <f>IF(Q2083="Sin Factura",0,IFERROR(_xlfn.XLOOKUP(1, (Facturas_Odoo!$D:$D=A2083) * (Facturas_Odoo!$K:$K=I2083), Facturas_Odoo!$N:$N, 0), 0))</f>
        <v/>
      </c>
      <c r="V2083" s="79">
        <f>IF(Q2083="Sin Factura",0,IFERROR(_xlfn.XLOOKUP(1, (Facturas_Odoo!$D:$D=A2083) * (Facturas_Odoo!$K:$K=I2083), Facturas_Odoo!$O:$O, 0), 0))</f>
        <v/>
      </c>
      <c r="W2083" s="81">
        <f>IF(Q2083="Sin Factura",0,IFERROR(_xlfn.XLOOKUP(1, (Facturas_Odoo!$D:$D=A2083) * (Facturas_Odoo!$K:$K=I2083), Facturas_Odoo!$Q:$Q, 0), 0))</f>
        <v/>
      </c>
      <c r="X2083" s="79">
        <f>IF(OR(Q2083="Sin Factura",Q2083=""),"",IFERROR(INDEX(Pagos_Odoo!$B:$B, MATCH(Q2083, Pagos_Odoo!$I:$I, 0)), "Sin Pago"))</f>
        <v/>
      </c>
      <c r="Y2083" s="79">
        <f>IF(X2083="Sin Pago","",IFERROR(INDEX(Pagos_Odoo!$C:$C, MATCH(X2083, Pagos_Odoo!$B:$B, 0)), ""))</f>
        <v/>
      </c>
      <c r="Z2083" s="80">
        <f>IF(X2083="Sin Pago","",IFERROR(INDEX(Pagos_Odoo!$A:$A, MATCH(X2083, Pagos_Odoo!$B:$B, 0)), ""))</f>
        <v/>
      </c>
      <c r="AA2083" s="79">
        <f>IF(X2083="Sin Pago","",IFERROR(INDEX(Pagos_Odoo!$F:$F, MATCH(X2083, Pagos_Odoo!$B:$B, 0)), ""))</f>
        <v/>
      </c>
      <c r="AB2083" s="81">
        <f>IF(X2083="Sin Pago",0,IFERROR(INDEX(Pagos_Odoo!$E:$E, MATCH(X2083, Pagos_Odoo!$B:$B, 0)), 0))</f>
        <v/>
      </c>
      <c r="AC2083" s="79">
        <f>IF(X2083="Sin Pago","",IFERROR(INDEX(Pagos_Odoo!$G:$G, MATCH(X2083, Pagos_Odoo!$B:$B, 0)), ""))</f>
        <v/>
      </c>
      <c r="AD2083" s="82" t="n">
        <v>0</v>
      </c>
      <c r="AE2083" s="82" t="n"/>
      <c r="AF2083" s="82" t="n"/>
      <c r="AG2083" s="82">
        <f>IF(AN2083="","",AD2083+AE2083+AF2083)</f>
        <v/>
      </c>
      <c r="AH2083" s="81">
        <f>IF(AN2083="","",P2083*(1-AG2083))</f>
        <v/>
      </c>
      <c r="AI2083" s="81">
        <f>IF(AN2083="","",IF(Q2083="Sin Factura",0,IFERROR(INDEX(Facturas_Odoo!$H:$H, MATCH(Q2083, Facturas_Odoo!$B:$B, 0)), 0)*(1-AG2083)))</f>
        <v/>
      </c>
      <c r="AJ2083" s="81">
        <f>IF(AN2083="","",_xlfn.LET(idVenta, AN2083&amp;"",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83" s="81">
        <f>IF(AN2083="","",AH2083-AJ2083)</f>
        <v/>
      </c>
      <c r="AL2083" s="81">
        <f>IF(AN2083="","",IF(Q2083="Sin Factura","",AI2083-AJ2083))</f>
        <v/>
      </c>
      <c r="AM2083" s="81">
        <f>IF(AN2083="","",IF(Q2083="Sin Factura",0,P2083-IFERROR(INDEX(Facturas_Odoo!$H:$H, MATCH(Q2083, Facturas_Odoo!$B:$B, 0)), 0)))</f>
        <v/>
      </c>
      <c r="AN2083" s="79">
        <f>IF(AND(A2083="", J2083=""), "", IF(A2083&lt;&gt;"", VALUE(MID(A2083,2,LEN(A2083))), AN2082))</f>
        <v/>
      </c>
      <c r="AO2083" s="79">
        <f>IF(AN2083="","",IF(AD2083=0,"OK",_xlfn.LET(monedaPago, IF(AA2083="","USD",AA2083), limitePermitido, IFERROR(VLOOKUP(monedaPago, Configuración!$A$2:$B$3, 2, FALSE), 0.15), IF(AD2083&gt;limitePermitido, "ALERTA: EXCESO (" &amp; TEXT(limitePermitido, "0%") &amp; " máx)", "OK"))))</f>
        <v/>
      </c>
      <c r="AP2083" s="79">
        <f>IF(AN2083="","",IF(AE2083=0,"OK",_xlfn.LET(fechaPago, Z2083, fechaFactura, R2083, diasCredito, IF(E2083="Pago inmediato", 0, IFERROR(VALUE(MID(E2083, 1, SEARCH(" ", E2083)-1)),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83" s="79">
        <f>IF(AN2083="","",IF(AND(N2083&gt;0, AG2083&gt;0), IF(Configuración!$K$2="NO", "ALERTA: DESCUENTO DOBLE NO PERMITIDO", "OK"), "OK"))</f>
        <v/>
      </c>
      <c r="AR2083" s="79">
        <f>IF(AN2083="","",IF(OR(AO2083&lt;&gt;"OK", AP2083&lt;&gt;"OK", AQ2083&lt;&gt;"OK"), "⚠️ REVISAR", "OK"))</f>
        <v/>
      </c>
    </row>
    <row r="2084">
      <c r="A2084" s="79">
        <f>IF('Ordenes_Odoo'!A2084="","",'Ordenes_Odoo'!A2084)</f>
        <v/>
      </c>
      <c r="B2084" s="80">
        <f>IF('Ordenes_Odoo'!B2084="","",'Ordenes_Odoo'!B2084)</f>
        <v/>
      </c>
      <c r="C2084" s="79">
        <f>IF('Ordenes_Odoo'!C2084="","",'Ordenes_Odoo'!C2084)</f>
        <v/>
      </c>
      <c r="D2084" s="79">
        <f>IF('Ordenes_Odoo'!D2084="","",'Ordenes_Odoo'!D2084)</f>
        <v/>
      </c>
      <c r="E2084" s="79">
        <f>IF('Ordenes_Odoo'!E2084="","",'Ordenes_Odoo'!E2084)</f>
        <v/>
      </c>
      <c r="F2084" s="79">
        <f>IF('Ordenes_Odoo'!F2084="","",'Ordenes_Odoo'!F2084)</f>
        <v/>
      </c>
      <c r="G2084" s="79">
        <f>IF('Ordenes_Odoo'!G2084="","",'Ordenes_Odoo'!G2084)</f>
        <v/>
      </c>
      <c r="H2084" s="79">
        <f>IF('Ordenes_Odoo'!H2084="","",'Ordenes_Odoo'!H2084)</f>
        <v/>
      </c>
      <c r="I2084" s="79">
        <f>IF('Ordenes_Odoo'!I2084="","",'Ordenes_Odoo'!I2084)</f>
        <v/>
      </c>
      <c r="J2084" s="79">
        <f>IF('Ordenes_Odoo'!J2084="","",'Ordenes_Odoo'!J2084)</f>
        <v/>
      </c>
      <c r="K2084" s="81">
        <f>IF('Ordenes_Odoo'!K2084="","",'Ordenes_Odoo'!K2084)</f>
        <v/>
      </c>
      <c r="L2084" s="81">
        <f>IF('Ordenes_Odoo'!L2084="","",'Ordenes_Odoo'!L2084)</f>
        <v/>
      </c>
      <c r="M2084" s="79">
        <f>IF('Ordenes_Odoo'!M2084="","",'Ordenes_Odoo'!M2084)</f>
        <v/>
      </c>
      <c r="N2084" s="79">
        <f>IF('Ordenes_Odoo'!N2084="","",'Ordenes_Odoo'!N2084)</f>
        <v/>
      </c>
      <c r="O2084" s="81">
        <f>IF('Ordenes_Odoo'!O2084="","",'Ordenes_Odoo'!O2084)</f>
        <v/>
      </c>
      <c r="P2084" s="81">
        <f>IF('Ordenes_Odoo'!P2084="","",'Ordenes_Odoo'!P2084)</f>
        <v/>
      </c>
      <c r="Q2084" s="79">
        <f>IF(A2084="","",IFERROR(INDEX(Facturas_Odoo!$B:$B, MATCH(A2084, Facturas_Odoo!$D:$D, 0)), "Sin Factura"))</f>
        <v/>
      </c>
      <c r="R2084" s="80">
        <f>IF(Q2084="Sin Factura","",IFERROR(INDEX(Facturas_Odoo!$A:$A, MATCH(Q2084, Facturas_Odoo!$B:$B, 0)), ""))</f>
        <v/>
      </c>
      <c r="S2084" s="79">
        <f>IF(Q2084="Sin Factura","",IFERROR(_xlfn.XLOOKUP(1, (Facturas_Odoo!$D:$D=A2084) * (Facturas_Odoo!$K:$K=I2084), Facturas_Odoo!$L:$L, ""), ""))</f>
        <v/>
      </c>
      <c r="T2084" s="81">
        <f>IF(Q2084="Sin Factura",0,IFERROR(_xlfn.XLOOKUP(1, (Facturas_Odoo!$D:$D=A2084) * (Facturas_Odoo!$K:$K=I2084), Facturas_Odoo!$M:$M, 0), 0))</f>
        <v/>
      </c>
      <c r="U2084" s="79">
        <f>IF(Q2084="Sin Factura",0,IFERROR(_xlfn.XLOOKUP(1, (Facturas_Odoo!$D:$D=A2084) * (Facturas_Odoo!$K:$K=I2084), Facturas_Odoo!$N:$N, 0), 0))</f>
        <v/>
      </c>
      <c r="V2084" s="79">
        <f>IF(Q2084="Sin Factura",0,IFERROR(_xlfn.XLOOKUP(1, (Facturas_Odoo!$D:$D=A2084) * (Facturas_Odoo!$K:$K=I2084), Facturas_Odoo!$O:$O, 0), 0))</f>
        <v/>
      </c>
      <c r="W2084" s="81">
        <f>IF(Q2084="Sin Factura",0,IFERROR(_xlfn.XLOOKUP(1, (Facturas_Odoo!$D:$D=A2084) * (Facturas_Odoo!$K:$K=I2084), Facturas_Odoo!$Q:$Q, 0), 0))</f>
        <v/>
      </c>
      <c r="X2084" s="79">
        <f>IF(OR(Q2084="Sin Factura",Q2084=""),"",IFERROR(INDEX(Pagos_Odoo!$B:$B, MATCH(Q2084, Pagos_Odoo!$I:$I, 0)), "Sin Pago"))</f>
        <v/>
      </c>
      <c r="Y2084" s="79">
        <f>IF(X2084="Sin Pago","",IFERROR(INDEX(Pagos_Odoo!$C:$C, MATCH(X2084, Pagos_Odoo!$B:$B, 0)), ""))</f>
        <v/>
      </c>
      <c r="Z2084" s="80">
        <f>IF(X2084="Sin Pago","",IFERROR(INDEX(Pagos_Odoo!$A:$A, MATCH(X2084, Pagos_Odoo!$B:$B, 0)), ""))</f>
        <v/>
      </c>
      <c r="AA2084" s="79">
        <f>IF(X2084="Sin Pago","",IFERROR(INDEX(Pagos_Odoo!$F:$F, MATCH(X2084, Pagos_Odoo!$B:$B, 0)), ""))</f>
        <v/>
      </c>
      <c r="AB2084" s="81">
        <f>IF(X2084="Sin Pago",0,IFERROR(INDEX(Pagos_Odoo!$E:$E, MATCH(X2084, Pagos_Odoo!$B:$B, 0)), 0))</f>
        <v/>
      </c>
      <c r="AC2084" s="79">
        <f>IF(X2084="Sin Pago","",IFERROR(INDEX(Pagos_Odoo!$G:$G, MATCH(X2084, Pagos_Odoo!$B:$B, 0)), ""))</f>
        <v/>
      </c>
      <c r="AD2084" s="82" t="n">
        <v>0</v>
      </c>
      <c r="AE2084" s="82" t="n"/>
      <c r="AF2084" s="82" t="n"/>
      <c r="AG2084" s="82">
        <f>IF(AN2084="","",AD2084+AE2084+AF2084)</f>
        <v/>
      </c>
      <c r="AH2084" s="81">
        <f>IF(AN2084="","",P2084*(1-AG2084))</f>
        <v/>
      </c>
      <c r="AI2084" s="81">
        <f>IF(AN2084="","",IF(Q2084="Sin Factura",0,IFERROR(INDEX(Facturas_Odoo!$H:$H, MATCH(Q2084, Facturas_Odoo!$B:$B, 0)), 0)*(1-AG2084)))</f>
        <v/>
      </c>
      <c r="AJ2084" s="81">
        <f>IF(AN2084="","",_xlfn.LET(idVenta, AN2084&amp;"",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84" s="81">
        <f>IF(AN2084="","",AH2084-AJ2084)</f>
        <v/>
      </c>
      <c r="AL2084" s="81">
        <f>IF(AN2084="","",IF(Q2084="Sin Factura","",AI2084-AJ2084))</f>
        <v/>
      </c>
      <c r="AM2084" s="81">
        <f>IF(AN2084="","",IF(Q2084="Sin Factura",0,P2084-IFERROR(INDEX(Facturas_Odoo!$H:$H, MATCH(Q2084, Facturas_Odoo!$B:$B, 0)), 0)))</f>
        <v/>
      </c>
      <c r="AN2084" s="79">
        <f>IF(AND(A2084="", J2084=""), "", IF(A2084&lt;&gt;"", VALUE(MID(A2084,2,LEN(A2084))), AN2083))</f>
        <v/>
      </c>
      <c r="AO2084" s="79">
        <f>IF(AN2084="","",IF(AD2084=0,"OK",_xlfn.LET(monedaPago, IF(AA2084="","USD",AA2084), limitePermitido, IFERROR(VLOOKUP(monedaPago, Configuración!$A$2:$B$3, 2, FALSE), 0.15), IF(AD2084&gt;limitePermitido, "ALERTA: EXCESO (" &amp; TEXT(limitePermitido, "0%") &amp; " máx)", "OK"))))</f>
        <v/>
      </c>
      <c r="AP2084" s="79">
        <f>IF(AN2084="","",IF(AE2084=0,"OK",_xlfn.LET(fechaPago, Z2084, fechaFactura, R2084, diasCredito, IF(E2084="Pago inmediato", 0, IFERROR(VALUE(MID(E2084, 1, SEARCH(" ", E2084)-1)),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84" s="79">
        <f>IF(AN2084="","",IF(AND(N2084&gt;0, AG2084&gt;0), IF(Configuración!$K$2="NO", "ALERTA: DESCUENTO DOBLE NO PERMITIDO", "OK"), "OK"))</f>
        <v/>
      </c>
      <c r="AR2084" s="79">
        <f>IF(AN2084="","",IF(OR(AO2084&lt;&gt;"OK", AP2084&lt;&gt;"OK", AQ2084&lt;&gt;"OK"), "⚠️ REVISAR", "OK"))</f>
        <v/>
      </c>
    </row>
    <row r="2085">
      <c r="A2085" s="79">
        <f>IF('Ordenes_Odoo'!A2085="","",'Ordenes_Odoo'!A2085)</f>
        <v/>
      </c>
      <c r="B2085" s="80">
        <f>IF('Ordenes_Odoo'!B2085="","",'Ordenes_Odoo'!B2085)</f>
        <v/>
      </c>
      <c r="C2085" s="79">
        <f>IF('Ordenes_Odoo'!C2085="","",'Ordenes_Odoo'!C2085)</f>
        <v/>
      </c>
      <c r="D2085" s="79">
        <f>IF('Ordenes_Odoo'!D2085="","",'Ordenes_Odoo'!D2085)</f>
        <v/>
      </c>
      <c r="E2085" s="79">
        <f>IF('Ordenes_Odoo'!E2085="","",'Ordenes_Odoo'!E2085)</f>
        <v/>
      </c>
      <c r="F2085" s="79">
        <f>IF('Ordenes_Odoo'!F2085="","",'Ordenes_Odoo'!F2085)</f>
        <v/>
      </c>
      <c r="G2085" s="79">
        <f>IF('Ordenes_Odoo'!G2085="","",'Ordenes_Odoo'!G2085)</f>
        <v/>
      </c>
      <c r="H2085" s="79">
        <f>IF('Ordenes_Odoo'!H2085="","",'Ordenes_Odoo'!H2085)</f>
        <v/>
      </c>
      <c r="I2085" s="79">
        <f>IF('Ordenes_Odoo'!I2085="","",'Ordenes_Odoo'!I2085)</f>
        <v/>
      </c>
      <c r="J2085" s="79">
        <f>IF('Ordenes_Odoo'!J2085="","",'Ordenes_Odoo'!J2085)</f>
        <v/>
      </c>
      <c r="K2085" s="81">
        <f>IF('Ordenes_Odoo'!K2085="","",'Ordenes_Odoo'!K2085)</f>
        <v/>
      </c>
      <c r="L2085" s="81">
        <f>IF('Ordenes_Odoo'!L2085="","",'Ordenes_Odoo'!L2085)</f>
        <v/>
      </c>
      <c r="M2085" s="79">
        <f>IF('Ordenes_Odoo'!M2085="","",'Ordenes_Odoo'!M2085)</f>
        <v/>
      </c>
      <c r="N2085" s="79">
        <f>IF('Ordenes_Odoo'!N2085="","",'Ordenes_Odoo'!N2085)</f>
        <v/>
      </c>
      <c r="O2085" s="81">
        <f>IF('Ordenes_Odoo'!O2085="","",'Ordenes_Odoo'!O2085)</f>
        <v/>
      </c>
      <c r="P2085" s="81">
        <f>IF('Ordenes_Odoo'!P2085="","",'Ordenes_Odoo'!P2085)</f>
        <v/>
      </c>
      <c r="Q2085" s="79">
        <f>IF(A2085="","",IFERROR(INDEX(Facturas_Odoo!$B:$B, MATCH(A2085, Facturas_Odoo!$D:$D, 0)), "Sin Factura"))</f>
        <v/>
      </c>
      <c r="R2085" s="80">
        <f>IF(Q2085="Sin Factura","",IFERROR(INDEX(Facturas_Odoo!$A:$A, MATCH(Q2085, Facturas_Odoo!$B:$B, 0)), ""))</f>
        <v/>
      </c>
      <c r="S2085" s="79">
        <f>IF(Q2085="Sin Factura","",IFERROR(_xlfn.XLOOKUP(1, (Facturas_Odoo!$D:$D=A2085) * (Facturas_Odoo!$K:$K=I2085), Facturas_Odoo!$L:$L, ""), ""))</f>
        <v/>
      </c>
      <c r="T2085" s="81">
        <f>IF(Q2085="Sin Factura",0,IFERROR(_xlfn.XLOOKUP(1, (Facturas_Odoo!$D:$D=A2085) * (Facturas_Odoo!$K:$K=I2085), Facturas_Odoo!$M:$M, 0), 0))</f>
        <v/>
      </c>
      <c r="U2085" s="79">
        <f>IF(Q2085="Sin Factura",0,IFERROR(_xlfn.XLOOKUP(1, (Facturas_Odoo!$D:$D=A2085) * (Facturas_Odoo!$K:$K=I2085), Facturas_Odoo!$N:$N, 0), 0))</f>
        <v/>
      </c>
      <c r="V2085" s="79">
        <f>IF(Q2085="Sin Factura",0,IFERROR(_xlfn.XLOOKUP(1, (Facturas_Odoo!$D:$D=A2085) * (Facturas_Odoo!$K:$K=I2085), Facturas_Odoo!$O:$O, 0), 0))</f>
        <v/>
      </c>
      <c r="W2085" s="81">
        <f>IF(Q2085="Sin Factura",0,IFERROR(_xlfn.XLOOKUP(1, (Facturas_Odoo!$D:$D=A2085) * (Facturas_Odoo!$K:$K=I2085), Facturas_Odoo!$Q:$Q, 0), 0))</f>
        <v/>
      </c>
      <c r="X2085" s="79">
        <f>IF(OR(Q2085="Sin Factura",Q2085=""),"",IFERROR(INDEX(Pagos_Odoo!$B:$B, MATCH(Q2085, Pagos_Odoo!$I:$I, 0)), "Sin Pago"))</f>
        <v/>
      </c>
      <c r="Y2085" s="79">
        <f>IF(X2085="Sin Pago","",IFERROR(INDEX(Pagos_Odoo!$C:$C, MATCH(X2085, Pagos_Odoo!$B:$B, 0)), ""))</f>
        <v/>
      </c>
      <c r="Z2085" s="80">
        <f>IF(X2085="Sin Pago","",IFERROR(INDEX(Pagos_Odoo!$A:$A, MATCH(X2085, Pagos_Odoo!$B:$B, 0)), ""))</f>
        <v/>
      </c>
      <c r="AA2085" s="79">
        <f>IF(X2085="Sin Pago","",IFERROR(INDEX(Pagos_Odoo!$F:$F, MATCH(X2085, Pagos_Odoo!$B:$B, 0)), ""))</f>
        <v/>
      </c>
      <c r="AB2085" s="81">
        <f>IF(X2085="Sin Pago",0,IFERROR(INDEX(Pagos_Odoo!$E:$E, MATCH(X2085, Pagos_Odoo!$B:$B, 0)), 0))</f>
        <v/>
      </c>
      <c r="AC2085" s="79">
        <f>IF(X2085="Sin Pago","",IFERROR(INDEX(Pagos_Odoo!$G:$G, MATCH(X2085, Pagos_Odoo!$B:$B, 0)), ""))</f>
        <v/>
      </c>
      <c r="AD2085" s="82" t="n">
        <v>0</v>
      </c>
      <c r="AE2085" s="82" t="n"/>
      <c r="AF2085" s="82" t="n"/>
      <c r="AG2085" s="82">
        <f>IF(AN2085="","",AD2085+AE2085+AF2085)</f>
        <v/>
      </c>
      <c r="AH2085" s="81">
        <f>IF(AN2085="","",P2085*(1-AG2085))</f>
        <v/>
      </c>
      <c r="AI2085" s="81">
        <f>IF(AN2085="","",IF(Q2085="Sin Factura",0,IFERROR(INDEX(Facturas_Odoo!$H:$H, MATCH(Q2085, Facturas_Odoo!$B:$B, 0)), 0)*(1-AG2085)))</f>
        <v/>
      </c>
      <c r="AJ2085" s="81">
        <f>IF(AN2085="","",_xlfn.LET(idVenta, AN2085&amp;"",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85" s="81">
        <f>IF(AN2085="","",AH2085-AJ2085)</f>
        <v/>
      </c>
      <c r="AL2085" s="81">
        <f>IF(AN2085="","",IF(Q2085="Sin Factura","",AI2085-AJ2085))</f>
        <v/>
      </c>
      <c r="AM2085" s="81">
        <f>IF(AN2085="","",IF(Q2085="Sin Factura",0,P2085-IFERROR(INDEX(Facturas_Odoo!$H:$H, MATCH(Q2085, Facturas_Odoo!$B:$B, 0)), 0)))</f>
        <v/>
      </c>
      <c r="AN2085" s="79">
        <f>IF(AND(A2085="", J2085=""), "", IF(A2085&lt;&gt;"", VALUE(MID(A2085,2,LEN(A2085))), AN2084))</f>
        <v/>
      </c>
      <c r="AO2085" s="79">
        <f>IF(AN2085="","",IF(AD2085=0,"OK",_xlfn.LET(monedaPago, IF(AA2085="","USD",AA2085), limitePermitido, IFERROR(VLOOKUP(monedaPago, Configuración!$A$2:$B$3, 2, FALSE), 0.15), IF(AD2085&gt;limitePermitido, "ALERTA: EXCESO (" &amp; TEXT(limitePermitido, "0%") &amp; " máx)", "OK"))))</f>
        <v/>
      </c>
      <c r="AP2085" s="79">
        <f>IF(AN2085="","",IF(AE2085=0,"OK",_xlfn.LET(fechaPago, Z2085, fechaFactura, R2085, diasCredito, IF(E2085="Pago inmediato", 0, IFERROR(VALUE(MID(E2085, 1, SEARCH(" ", E2085)-1)),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85" s="79">
        <f>IF(AN2085="","",IF(AND(N2085&gt;0, AG2085&gt;0), IF(Configuración!$K$2="NO", "ALERTA: DESCUENTO DOBLE NO PERMITIDO", "OK"), "OK"))</f>
        <v/>
      </c>
      <c r="AR2085" s="79">
        <f>IF(AN2085="","",IF(OR(AO2085&lt;&gt;"OK", AP2085&lt;&gt;"OK", AQ2085&lt;&gt;"OK"), "⚠️ REVISAR", "OK"))</f>
        <v/>
      </c>
    </row>
    <row r="2086">
      <c r="A2086" s="79">
        <f>IF('Ordenes_Odoo'!A2086="","",'Ordenes_Odoo'!A2086)</f>
        <v/>
      </c>
      <c r="B2086" s="80">
        <f>IF('Ordenes_Odoo'!B2086="","",'Ordenes_Odoo'!B2086)</f>
        <v/>
      </c>
      <c r="C2086" s="79">
        <f>IF('Ordenes_Odoo'!C2086="","",'Ordenes_Odoo'!C2086)</f>
        <v/>
      </c>
      <c r="D2086" s="79">
        <f>IF('Ordenes_Odoo'!D2086="","",'Ordenes_Odoo'!D2086)</f>
        <v/>
      </c>
      <c r="E2086" s="79">
        <f>IF('Ordenes_Odoo'!E2086="","",'Ordenes_Odoo'!E2086)</f>
        <v/>
      </c>
      <c r="F2086" s="79">
        <f>IF('Ordenes_Odoo'!F2086="","",'Ordenes_Odoo'!F2086)</f>
        <v/>
      </c>
      <c r="G2086" s="79">
        <f>IF('Ordenes_Odoo'!G2086="","",'Ordenes_Odoo'!G2086)</f>
        <v/>
      </c>
      <c r="H2086" s="79">
        <f>IF('Ordenes_Odoo'!H2086="","",'Ordenes_Odoo'!H2086)</f>
        <v/>
      </c>
      <c r="I2086" s="79">
        <f>IF('Ordenes_Odoo'!I2086="","",'Ordenes_Odoo'!I2086)</f>
        <v/>
      </c>
      <c r="J2086" s="79">
        <f>IF('Ordenes_Odoo'!J2086="","",'Ordenes_Odoo'!J2086)</f>
        <v/>
      </c>
      <c r="K2086" s="81">
        <f>IF('Ordenes_Odoo'!K2086="","",'Ordenes_Odoo'!K2086)</f>
        <v/>
      </c>
      <c r="L2086" s="81">
        <f>IF('Ordenes_Odoo'!L2086="","",'Ordenes_Odoo'!L2086)</f>
        <v/>
      </c>
      <c r="M2086" s="79">
        <f>IF('Ordenes_Odoo'!M2086="","",'Ordenes_Odoo'!M2086)</f>
        <v/>
      </c>
      <c r="N2086" s="79">
        <f>IF('Ordenes_Odoo'!N2086="","",'Ordenes_Odoo'!N2086)</f>
        <v/>
      </c>
      <c r="O2086" s="81">
        <f>IF('Ordenes_Odoo'!O2086="","",'Ordenes_Odoo'!O2086)</f>
        <v/>
      </c>
      <c r="P2086" s="81">
        <f>IF('Ordenes_Odoo'!P2086="","",'Ordenes_Odoo'!P2086)</f>
        <v/>
      </c>
      <c r="Q2086" s="79">
        <f>IF(A2086="","",IFERROR(INDEX(Facturas_Odoo!$B:$B, MATCH(A2086, Facturas_Odoo!$D:$D, 0)), "Sin Factura"))</f>
        <v/>
      </c>
      <c r="R2086" s="80">
        <f>IF(Q2086="Sin Factura","",IFERROR(INDEX(Facturas_Odoo!$A:$A, MATCH(Q2086, Facturas_Odoo!$B:$B, 0)), ""))</f>
        <v/>
      </c>
      <c r="S2086" s="79">
        <f>IF(Q2086="Sin Factura","",IFERROR(_xlfn.XLOOKUP(1, (Facturas_Odoo!$D:$D=A2086) * (Facturas_Odoo!$K:$K=I2086), Facturas_Odoo!$L:$L, ""), ""))</f>
        <v/>
      </c>
      <c r="T2086" s="81">
        <f>IF(Q2086="Sin Factura",0,IFERROR(_xlfn.XLOOKUP(1, (Facturas_Odoo!$D:$D=A2086) * (Facturas_Odoo!$K:$K=I2086), Facturas_Odoo!$M:$M, 0), 0))</f>
        <v/>
      </c>
      <c r="U2086" s="79">
        <f>IF(Q2086="Sin Factura",0,IFERROR(_xlfn.XLOOKUP(1, (Facturas_Odoo!$D:$D=A2086) * (Facturas_Odoo!$K:$K=I2086), Facturas_Odoo!$N:$N, 0), 0))</f>
        <v/>
      </c>
      <c r="V2086" s="79">
        <f>IF(Q2086="Sin Factura",0,IFERROR(_xlfn.XLOOKUP(1, (Facturas_Odoo!$D:$D=A2086) * (Facturas_Odoo!$K:$K=I2086), Facturas_Odoo!$O:$O, 0), 0))</f>
        <v/>
      </c>
      <c r="W2086" s="81">
        <f>IF(Q2086="Sin Factura",0,IFERROR(_xlfn.XLOOKUP(1, (Facturas_Odoo!$D:$D=A2086) * (Facturas_Odoo!$K:$K=I2086), Facturas_Odoo!$Q:$Q, 0), 0))</f>
        <v/>
      </c>
      <c r="X2086" s="79">
        <f>IF(OR(Q2086="Sin Factura",Q2086=""),"",IFERROR(INDEX(Pagos_Odoo!$B:$B, MATCH(Q2086, Pagos_Odoo!$I:$I, 0)), "Sin Pago"))</f>
        <v/>
      </c>
      <c r="Y2086" s="79">
        <f>IF(X2086="Sin Pago","",IFERROR(INDEX(Pagos_Odoo!$C:$C, MATCH(X2086, Pagos_Odoo!$B:$B, 0)), ""))</f>
        <v/>
      </c>
      <c r="Z2086" s="80">
        <f>IF(X2086="Sin Pago","",IFERROR(INDEX(Pagos_Odoo!$A:$A, MATCH(X2086, Pagos_Odoo!$B:$B, 0)), ""))</f>
        <v/>
      </c>
      <c r="AA2086" s="79">
        <f>IF(X2086="Sin Pago","",IFERROR(INDEX(Pagos_Odoo!$F:$F, MATCH(X2086, Pagos_Odoo!$B:$B, 0)), ""))</f>
        <v/>
      </c>
      <c r="AB2086" s="81">
        <f>IF(X2086="Sin Pago",0,IFERROR(INDEX(Pagos_Odoo!$E:$E, MATCH(X2086, Pagos_Odoo!$B:$B, 0)), 0))</f>
        <v/>
      </c>
      <c r="AC2086" s="79">
        <f>IF(X2086="Sin Pago","",IFERROR(INDEX(Pagos_Odoo!$G:$G, MATCH(X2086, Pagos_Odoo!$B:$B, 0)), ""))</f>
        <v/>
      </c>
      <c r="AD2086" s="82" t="n">
        <v>0</v>
      </c>
      <c r="AE2086" s="82" t="n"/>
      <c r="AF2086" s="82" t="n"/>
      <c r="AG2086" s="82">
        <f>IF(AN2086="","",AD2086+AE2086+AF2086)</f>
        <v/>
      </c>
      <c r="AH2086" s="81">
        <f>IF(AN2086="","",P2086*(1-AG2086))</f>
        <v/>
      </c>
      <c r="AI2086" s="81">
        <f>IF(AN2086="","",IF(Q2086="Sin Factura",0,IFERROR(INDEX(Facturas_Odoo!$H:$H, MATCH(Q2086, Facturas_Odoo!$B:$B, 0)), 0)*(1-AG2086)))</f>
        <v/>
      </c>
      <c r="AJ2086" s="81">
        <f>IF(AN2086="","",_xlfn.LET(idVenta, AN2086&amp;"",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86" s="81">
        <f>IF(AN2086="","",AH2086-AJ2086)</f>
        <v/>
      </c>
      <c r="AL2086" s="81">
        <f>IF(AN2086="","",IF(Q2086="Sin Factura","",AI2086-AJ2086))</f>
        <v/>
      </c>
      <c r="AM2086" s="81">
        <f>IF(AN2086="","",IF(Q2086="Sin Factura",0,P2086-IFERROR(INDEX(Facturas_Odoo!$H:$H, MATCH(Q2086, Facturas_Odoo!$B:$B, 0)), 0)))</f>
        <v/>
      </c>
      <c r="AN2086" s="79">
        <f>IF(AND(A2086="", J2086=""), "", IF(A2086&lt;&gt;"", VALUE(MID(A2086,2,LEN(A2086))), AN2085))</f>
        <v/>
      </c>
      <c r="AO2086" s="79">
        <f>IF(AN2086="","",IF(AD2086=0,"OK",_xlfn.LET(monedaPago, IF(AA2086="","USD",AA2086), limitePermitido, IFERROR(VLOOKUP(monedaPago, Configuración!$A$2:$B$3, 2, FALSE), 0.15), IF(AD2086&gt;limitePermitido, "ALERTA: EXCESO (" &amp; TEXT(limitePermitido, "0%") &amp; " máx)", "OK"))))</f>
        <v/>
      </c>
      <c r="AP2086" s="79">
        <f>IF(AN2086="","",IF(AE2086=0,"OK",_xlfn.LET(fechaPago, Z2086, fechaFactura, R2086, diasCredito, IF(E2086="Pago inmediato", 0, IFERROR(VALUE(MID(E2086, 1, SEARCH(" ", E2086)-1)),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86" s="79">
        <f>IF(AN2086="","",IF(AND(N2086&gt;0, AG2086&gt;0), IF(Configuración!$K$2="NO", "ALERTA: DESCUENTO DOBLE NO PERMITIDO", "OK"), "OK"))</f>
        <v/>
      </c>
      <c r="AR2086" s="79">
        <f>IF(AN2086="","",IF(OR(AO2086&lt;&gt;"OK", AP2086&lt;&gt;"OK", AQ2086&lt;&gt;"OK"), "⚠️ REVISAR", "OK"))</f>
        <v/>
      </c>
    </row>
    <row r="2087">
      <c r="A2087" s="79">
        <f>IF('Ordenes_Odoo'!A2087="","",'Ordenes_Odoo'!A2087)</f>
        <v/>
      </c>
      <c r="B2087" s="80">
        <f>IF('Ordenes_Odoo'!B2087="","",'Ordenes_Odoo'!B2087)</f>
        <v/>
      </c>
      <c r="C2087" s="79">
        <f>IF('Ordenes_Odoo'!C2087="","",'Ordenes_Odoo'!C2087)</f>
        <v/>
      </c>
      <c r="D2087" s="79">
        <f>IF('Ordenes_Odoo'!D2087="","",'Ordenes_Odoo'!D2087)</f>
        <v/>
      </c>
      <c r="E2087" s="79">
        <f>IF('Ordenes_Odoo'!E2087="","",'Ordenes_Odoo'!E2087)</f>
        <v/>
      </c>
      <c r="F2087" s="79">
        <f>IF('Ordenes_Odoo'!F2087="","",'Ordenes_Odoo'!F2087)</f>
        <v/>
      </c>
      <c r="G2087" s="79">
        <f>IF('Ordenes_Odoo'!G2087="","",'Ordenes_Odoo'!G2087)</f>
        <v/>
      </c>
      <c r="H2087" s="79">
        <f>IF('Ordenes_Odoo'!H2087="","",'Ordenes_Odoo'!H2087)</f>
        <v/>
      </c>
      <c r="I2087" s="79">
        <f>IF('Ordenes_Odoo'!I2087="","",'Ordenes_Odoo'!I2087)</f>
        <v/>
      </c>
      <c r="J2087" s="79">
        <f>IF('Ordenes_Odoo'!J2087="","",'Ordenes_Odoo'!J2087)</f>
        <v/>
      </c>
      <c r="K2087" s="81">
        <f>IF('Ordenes_Odoo'!K2087="","",'Ordenes_Odoo'!K2087)</f>
        <v/>
      </c>
      <c r="L2087" s="81">
        <f>IF('Ordenes_Odoo'!L2087="","",'Ordenes_Odoo'!L2087)</f>
        <v/>
      </c>
      <c r="M2087" s="79">
        <f>IF('Ordenes_Odoo'!M2087="","",'Ordenes_Odoo'!M2087)</f>
        <v/>
      </c>
      <c r="N2087" s="79">
        <f>IF('Ordenes_Odoo'!N2087="","",'Ordenes_Odoo'!N2087)</f>
        <v/>
      </c>
      <c r="O2087" s="81">
        <f>IF('Ordenes_Odoo'!O2087="","",'Ordenes_Odoo'!O2087)</f>
        <v/>
      </c>
      <c r="P2087" s="81">
        <f>IF('Ordenes_Odoo'!P2087="","",'Ordenes_Odoo'!P2087)</f>
        <v/>
      </c>
      <c r="Q2087" s="79">
        <f>IF(A2087="","",IFERROR(INDEX(Facturas_Odoo!$B:$B, MATCH(A2087, Facturas_Odoo!$D:$D, 0)), "Sin Factura"))</f>
        <v/>
      </c>
      <c r="R2087" s="80">
        <f>IF(Q2087="Sin Factura","",IFERROR(INDEX(Facturas_Odoo!$A:$A, MATCH(Q2087, Facturas_Odoo!$B:$B, 0)), ""))</f>
        <v/>
      </c>
      <c r="S2087" s="79">
        <f>IF(Q2087="Sin Factura","",IFERROR(_xlfn.XLOOKUP(1, (Facturas_Odoo!$D:$D=A2087) * (Facturas_Odoo!$K:$K=I2087), Facturas_Odoo!$L:$L, ""), ""))</f>
        <v/>
      </c>
      <c r="T2087" s="81">
        <f>IF(Q2087="Sin Factura",0,IFERROR(_xlfn.XLOOKUP(1, (Facturas_Odoo!$D:$D=A2087) * (Facturas_Odoo!$K:$K=I2087), Facturas_Odoo!$M:$M, 0), 0))</f>
        <v/>
      </c>
      <c r="U2087" s="79">
        <f>IF(Q2087="Sin Factura",0,IFERROR(_xlfn.XLOOKUP(1, (Facturas_Odoo!$D:$D=A2087) * (Facturas_Odoo!$K:$K=I2087), Facturas_Odoo!$N:$N, 0), 0))</f>
        <v/>
      </c>
      <c r="V2087" s="79">
        <f>IF(Q2087="Sin Factura",0,IFERROR(_xlfn.XLOOKUP(1, (Facturas_Odoo!$D:$D=A2087) * (Facturas_Odoo!$K:$K=I2087), Facturas_Odoo!$O:$O, 0), 0))</f>
        <v/>
      </c>
      <c r="W2087" s="81">
        <f>IF(Q2087="Sin Factura",0,IFERROR(_xlfn.XLOOKUP(1, (Facturas_Odoo!$D:$D=A2087) * (Facturas_Odoo!$K:$K=I2087), Facturas_Odoo!$Q:$Q, 0), 0))</f>
        <v/>
      </c>
      <c r="X2087" s="79">
        <f>IF(OR(Q2087="Sin Factura",Q2087=""),"",IFERROR(INDEX(Pagos_Odoo!$B:$B, MATCH(Q2087, Pagos_Odoo!$I:$I, 0)), "Sin Pago"))</f>
        <v/>
      </c>
      <c r="Y2087" s="79">
        <f>IF(X2087="Sin Pago","",IFERROR(INDEX(Pagos_Odoo!$C:$C, MATCH(X2087, Pagos_Odoo!$B:$B, 0)), ""))</f>
        <v/>
      </c>
      <c r="Z2087" s="80">
        <f>IF(X2087="Sin Pago","",IFERROR(INDEX(Pagos_Odoo!$A:$A, MATCH(X2087, Pagos_Odoo!$B:$B, 0)), ""))</f>
        <v/>
      </c>
      <c r="AA2087" s="79">
        <f>IF(X2087="Sin Pago","",IFERROR(INDEX(Pagos_Odoo!$F:$F, MATCH(X2087, Pagos_Odoo!$B:$B, 0)), ""))</f>
        <v/>
      </c>
      <c r="AB2087" s="81">
        <f>IF(X2087="Sin Pago",0,IFERROR(INDEX(Pagos_Odoo!$E:$E, MATCH(X2087, Pagos_Odoo!$B:$B, 0)), 0))</f>
        <v/>
      </c>
      <c r="AC2087" s="79">
        <f>IF(X2087="Sin Pago","",IFERROR(INDEX(Pagos_Odoo!$G:$G, MATCH(X2087, Pagos_Odoo!$B:$B, 0)), ""))</f>
        <v/>
      </c>
      <c r="AD2087" s="82" t="n">
        <v>0</v>
      </c>
      <c r="AE2087" s="82" t="n"/>
      <c r="AF2087" s="82" t="n"/>
      <c r="AG2087" s="82">
        <f>IF(AN2087="","",AD2087+AE2087+AF2087)</f>
        <v/>
      </c>
      <c r="AH2087" s="81">
        <f>IF(AN2087="","",P2087*(1-AG2087))</f>
        <v/>
      </c>
      <c r="AI2087" s="81">
        <f>IF(AN2087="","",IF(Q2087="Sin Factura",0,IFERROR(INDEX(Facturas_Odoo!$H:$H, MATCH(Q2087, Facturas_Odoo!$B:$B, 0)), 0)*(1-AG2087)))</f>
        <v/>
      </c>
      <c r="AJ2087" s="81">
        <f>IF(AN2087="","",_xlfn.LET(idVenta, AN2087&amp;"",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87" s="81">
        <f>IF(AN2087="","",AH2087-AJ2087)</f>
        <v/>
      </c>
      <c r="AL2087" s="81">
        <f>IF(AN2087="","",IF(Q2087="Sin Factura","",AI2087-AJ2087))</f>
        <v/>
      </c>
      <c r="AM2087" s="81">
        <f>IF(AN2087="","",IF(Q2087="Sin Factura",0,P2087-IFERROR(INDEX(Facturas_Odoo!$H:$H, MATCH(Q2087, Facturas_Odoo!$B:$B, 0)), 0)))</f>
        <v/>
      </c>
      <c r="AN2087" s="79">
        <f>IF(AND(A2087="", J2087=""), "", IF(A2087&lt;&gt;"", VALUE(MID(A2087,2,LEN(A2087))), AN2086))</f>
        <v/>
      </c>
      <c r="AO2087" s="79">
        <f>IF(AN2087="","",IF(AD2087=0,"OK",_xlfn.LET(monedaPago, IF(AA2087="","USD",AA2087), limitePermitido, IFERROR(VLOOKUP(monedaPago, Configuración!$A$2:$B$3, 2, FALSE), 0.15), IF(AD2087&gt;limitePermitido, "ALERTA: EXCESO (" &amp; TEXT(limitePermitido, "0%") &amp; " máx)", "OK"))))</f>
        <v/>
      </c>
      <c r="AP2087" s="79">
        <f>IF(AN2087="","",IF(AE2087=0,"OK",_xlfn.LET(fechaPago, Z2087, fechaFactura, R2087, diasCredito, IF(E2087="Pago inmediato", 0, IFERROR(VALUE(MID(E2087, 1, SEARCH(" ", E2087)-1)),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87" s="79">
        <f>IF(AN2087="","",IF(AND(N2087&gt;0, AG2087&gt;0), IF(Configuración!$K$2="NO", "ALERTA: DESCUENTO DOBLE NO PERMITIDO", "OK"), "OK"))</f>
        <v/>
      </c>
      <c r="AR2087" s="79">
        <f>IF(AN2087="","",IF(OR(AO2087&lt;&gt;"OK", AP2087&lt;&gt;"OK", AQ2087&lt;&gt;"OK"), "⚠️ REVISAR", "OK"))</f>
        <v/>
      </c>
    </row>
    <row r="2088">
      <c r="A2088" s="79">
        <f>IF('Ordenes_Odoo'!A2088="","",'Ordenes_Odoo'!A2088)</f>
        <v/>
      </c>
      <c r="B2088" s="80">
        <f>IF('Ordenes_Odoo'!B2088="","",'Ordenes_Odoo'!B2088)</f>
        <v/>
      </c>
      <c r="C2088" s="79">
        <f>IF('Ordenes_Odoo'!C2088="","",'Ordenes_Odoo'!C2088)</f>
        <v/>
      </c>
      <c r="D2088" s="79">
        <f>IF('Ordenes_Odoo'!D2088="","",'Ordenes_Odoo'!D2088)</f>
        <v/>
      </c>
      <c r="E2088" s="79">
        <f>IF('Ordenes_Odoo'!E2088="","",'Ordenes_Odoo'!E2088)</f>
        <v/>
      </c>
      <c r="F2088" s="79">
        <f>IF('Ordenes_Odoo'!F2088="","",'Ordenes_Odoo'!F2088)</f>
        <v/>
      </c>
      <c r="G2088" s="79">
        <f>IF('Ordenes_Odoo'!G2088="","",'Ordenes_Odoo'!G2088)</f>
        <v/>
      </c>
      <c r="H2088" s="79">
        <f>IF('Ordenes_Odoo'!H2088="","",'Ordenes_Odoo'!H2088)</f>
        <v/>
      </c>
      <c r="I2088" s="79">
        <f>IF('Ordenes_Odoo'!I2088="","",'Ordenes_Odoo'!I2088)</f>
        <v/>
      </c>
      <c r="J2088" s="79">
        <f>IF('Ordenes_Odoo'!J2088="","",'Ordenes_Odoo'!J2088)</f>
        <v/>
      </c>
      <c r="K2088" s="81">
        <f>IF('Ordenes_Odoo'!K2088="","",'Ordenes_Odoo'!K2088)</f>
        <v/>
      </c>
      <c r="L2088" s="81">
        <f>IF('Ordenes_Odoo'!L2088="","",'Ordenes_Odoo'!L2088)</f>
        <v/>
      </c>
      <c r="M2088" s="79">
        <f>IF('Ordenes_Odoo'!M2088="","",'Ordenes_Odoo'!M2088)</f>
        <v/>
      </c>
      <c r="N2088" s="79">
        <f>IF('Ordenes_Odoo'!N2088="","",'Ordenes_Odoo'!N2088)</f>
        <v/>
      </c>
      <c r="O2088" s="81">
        <f>IF('Ordenes_Odoo'!O2088="","",'Ordenes_Odoo'!O2088)</f>
        <v/>
      </c>
      <c r="P2088" s="81">
        <f>IF('Ordenes_Odoo'!P2088="","",'Ordenes_Odoo'!P2088)</f>
        <v/>
      </c>
      <c r="Q2088" s="79">
        <f>IF(A2088="","",IFERROR(INDEX(Facturas_Odoo!$B:$B, MATCH(A2088, Facturas_Odoo!$D:$D, 0)), "Sin Factura"))</f>
        <v/>
      </c>
      <c r="R2088" s="80">
        <f>IF(Q2088="Sin Factura","",IFERROR(INDEX(Facturas_Odoo!$A:$A, MATCH(Q2088, Facturas_Odoo!$B:$B, 0)), ""))</f>
        <v/>
      </c>
      <c r="S2088" s="79">
        <f>IF(Q2088="Sin Factura","",IFERROR(_xlfn.XLOOKUP(1, (Facturas_Odoo!$D:$D=A2088) * (Facturas_Odoo!$K:$K=I2088), Facturas_Odoo!$L:$L, ""), ""))</f>
        <v/>
      </c>
      <c r="T2088" s="81">
        <f>IF(Q2088="Sin Factura",0,IFERROR(_xlfn.XLOOKUP(1, (Facturas_Odoo!$D:$D=A2088) * (Facturas_Odoo!$K:$K=I2088), Facturas_Odoo!$M:$M, 0), 0))</f>
        <v/>
      </c>
      <c r="U2088" s="79">
        <f>IF(Q2088="Sin Factura",0,IFERROR(_xlfn.XLOOKUP(1, (Facturas_Odoo!$D:$D=A2088) * (Facturas_Odoo!$K:$K=I2088), Facturas_Odoo!$N:$N, 0), 0))</f>
        <v/>
      </c>
      <c r="V2088" s="79">
        <f>IF(Q2088="Sin Factura",0,IFERROR(_xlfn.XLOOKUP(1, (Facturas_Odoo!$D:$D=A2088) * (Facturas_Odoo!$K:$K=I2088), Facturas_Odoo!$O:$O, 0), 0))</f>
        <v/>
      </c>
      <c r="W2088" s="81">
        <f>IF(Q2088="Sin Factura",0,IFERROR(_xlfn.XLOOKUP(1, (Facturas_Odoo!$D:$D=A2088) * (Facturas_Odoo!$K:$K=I2088), Facturas_Odoo!$Q:$Q, 0), 0))</f>
        <v/>
      </c>
      <c r="X2088" s="79">
        <f>IF(OR(Q2088="Sin Factura",Q2088=""),"",IFERROR(INDEX(Pagos_Odoo!$B:$B, MATCH(Q2088, Pagos_Odoo!$I:$I, 0)), "Sin Pago"))</f>
        <v/>
      </c>
      <c r="Y2088" s="79">
        <f>IF(X2088="Sin Pago","",IFERROR(INDEX(Pagos_Odoo!$C:$C, MATCH(X2088, Pagos_Odoo!$B:$B, 0)), ""))</f>
        <v/>
      </c>
      <c r="Z2088" s="80">
        <f>IF(X2088="Sin Pago","",IFERROR(INDEX(Pagos_Odoo!$A:$A, MATCH(X2088, Pagos_Odoo!$B:$B, 0)), ""))</f>
        <v/>
      </c>
      <c r="AA2088" s="79">
        <f>IF(X2088="Sin Pago","",IFERROR(INDEX(Pagos_Odoo!$F:$F, MATCH(X2088, Pagos_Odoo!$B:$B, 0)), ""))</f>
        <v/>
      </c>
      <c r="AB2088" s="81">
        <f>IF(X2088="Sin Pago",0,IFERROR(INDEX(Pagos_Odoo!$E:$E, MATCH(X2088, Pagos_Odoo!$B:$B, 0)), 0))</f>
        <v/>
      </c>
      <c r="AC2088" s="79">
        <f>IF(X2088="Sin Pago","",IFERROR(INDEX(Pagos_Odoo!$G:$G, MATCH(X2088, Pagos_Odoo!$B:$B, 0)), ""))</f>
        <v/>
      </c>
      <c r="AD2088" s="82" t="n">
        <v>0</v>
      </c>
      <c r="AE2088" s="82" t="n"/>
      <c r="AF2088" s="82" t="n"/>
      <c r="AG2088" s="82">
        <f>IF(AN2088="","",AD2088+AE2088+AF2088)</f>
        <v/>
      </c>
      <c r="AH2088" s="81">
        <f>IF(AN2088="","",P2088*(1-AG2088))</f>
        <v/>
      </c>
      <c r="AI2088" s="81">
        <f>IF(AN2088="","",IF(Q2088="Sin Factura",0,IFERROR(INDEX(Facturas_Odoo!$H:$H, MATCH(Q2088, Facturas_Odoo!$B:$B, 0)), 0)*(1-AG2088)))</f>
        <v/>
      </c>
      <c r="AJ2088" s="81">
        <f>IF(AN2088="","",_xlfn.LET(idVenta, AN2088&amp;"",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88" s="81">
        <f>IF(AN2088="","",AH2088-AJ2088)</f>
        <v/>
      </c>
      <c r="AL2088" s="81">
        <f>IF(AN2088="","",IF(Q2088="Sin Factura","",AI2088-AJ2088))</f>
        <v/>
      </c>
      <c r="AM2088" s="81">
        <f>IF(AN2088="","",IF(Q2088="Sin Factura",0,P2088-IFERROR(INDEX(Facturas_Odoo!$H:$H, MATCH(Q2088, Facturas_Odoo!$B:$B, 0)), 0)))</f>
        <v/>
      </c>
      <c r="AN2088" s="79">
        <f>IF(AND(A2088="", J2088=""), "", IF(A2088&lt;&gt;"", VALUE(MID(A2088,2,LEN(A2088))), AN2087))</f>
        <v/>
      </c>
      <c r="AO2088" s="79">
        <f>IF(AN2088="","",IF(AD2088=0,"OK",_xlfn.LET(monedaPago, IF(AA2088="","USD",AA2088), limitePermitido, IFERROR(VLOOKUP(monedaPago, Configuración!$A$2:$B$3, 2, FALSE), 0.15), IF(AD2088&gt;limitePermitido, "ALERTA: EXCESO (" &amp; TEXT(limitePermitido, "0%") &amp; " máx)", "OK"))))</f>
        <v/>
      </c>
      <c r="AP2088" s="79">
        <f>IF(AN2088="","",IF(AE2088=0,"OK",_xlfn.LET(fechaPago, Z2088, fechaFactura, R2088, diasCredito, IF(E2088="Pago inmediato", 0, IFERROR(VALUE(MID(E2088, 1, SEARCH(" ", E2088)-1)),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88" s="79">
        <f>IF(AN2088="","",IF(AND(N2088&gt;0, AG2088&gt;0), IF(Configuración!$K$2="NO", "ALERTA: DESCUENTO DOBLE NO PERMITIDO", "OK"), "OK"))</f>
        <v/>
      </c>
      <c r="AR2088" s="79">
        <f>IF(AN2088="","",IF(OR(AO2088&lt;&gt;"OK", AP2088&lt;&gt;"OK", AQ2088&lt;&gt;"OK"), "⚠️ REVISAR", "OK"))</f>
        <v/>
      </c>
    </row>
    <row r="2089">
      <c r="A2089" s="79">
        <f>IF('Ordenes_Odoo'!A2089="","",'Ordenes_Odoo'!A2089)</f>
        <v/>
      </c>
      <c r="B2089" s="80">
        <f>IF('Ordenes_Odoo'!B2089="","",'Ordenes_Odoo'!B2089)</f>
        <v/>
      </c>
      <c r="C2089" s="79">
        <f>IF('Ordenes_Odoo'!C2089="","",'Ordenes_Odoo'!C2089)</f>
        <v/>
      </c>
      <c r="D2089" s="79">
        <f>IF('Ordenes_Odoo'!D2089="","",'Ordenes_Odoo'!D2089)</f>
        <v/>
      </c>
      <c r="E2089" s="79">
        <f>IF('Ordenes_Odoo'!E2089="","",'Ordenes_Odoo'!E2089)</f>
        <v/>
      </c>
      <c r="F2089" s="79">
        <f>IF('Ordenes_Odoo'!F2089="","",'Ordenes_Odoo'!F2089)</f>
        <v/>
      </c>
      <c r="G2089" s="79">
        <f>IF('Ordenes_Odoo'!G2089="","",'Ordenes_Odoo'!G2089)</f>
        <v/>
      </c>
      <c r="H2089" s="79">
        <f>IF('Ordenes_Odoo'!H2089="","",'Ordenes_Odoo'!H2089)</f>
        <v/>
      </c>
      <c r="I2089" s="79">
        <f>IF('Ordenes_Odoo'!I2089="","",'Ordenes_Odoo'!I2089)</f>
        <v/>
      </c>
      <c r="J2089" s="79">
        <f>IF('Ordenes_Odoo'!J2089="","",'Ordenes_Odoo'!J2089)</f>
        <v/>
      </c>
      <c r="K2089" s="81">
        <f>IF('Ordenes_Odoo'!K2089="","",'Ordenes_Odoo'!K2089)</f>
        <v/>
      </c>
      <c r="L2089" s="81">
        <f>IF('Ordenes_Odoo'!L2089="","",'Ordenes_Odoo'!L2089)</f>
        <v/>
      </c>
      <c r="M2089" s="79">
        <f>IF('Ordenes_Odoo'!M2089="","",'Ordenes_Odoo'!M2089)</f>
        <v/>
      </c>
      <c r="N2089" s="79">
        <f>IF('Ordenes_Odoo'!N2089="","",'Ordenes_Odoo'!N2089)</f>
        <v/>
      </c>
      <c r="O2089" s="81">
        <f>IF('Ordenes_Odoo'!O2089="","",'Ordenes_Odoo'!O2089)</f>
        <v/>
      </c>
      <c r="P2089" s="81">
        <f>IF('Ordenes_Odoo'!P2089="","",'Ordenes_Odoo'!P2089)</f>
        <v/>
      </c>
      <c r="Q2089" s="79">
        <f>IF(A2089="","",IFERROR(INDEX(Facturas_Odoo!$B:$B, MATCH(A2089, Facturas_Odoo!$D:$D, 0)), "Sin Factura"))</f>
        <v/>
      </c>
      <c r="R2089" s="80">
        <f>IF(Q2089="Sin Factura","",IFERROR(INDEX(Facturas_Odoo!$A:$A, MATCH(Q2089, Facturas_Odoo!$B:$B, 0)), ""))</f>
        <v/>
      </c>
      <c r="S2089" s="79">
        <f>IF(Q2089="Sin Factura","",IFERROR(_xlfn.XLOOKUP(1, (Facturas_Odoo!$D:$D=A2089) * (Facturas_Odoo!$K:$K=I2089), Facturas_Odoo!$L:$L, ""), ""))</f>
        <v/>
      </c>
      <c r="T2089" s="81">
        <f>IF(Q2089="Sin Factura",0,IFERROR(_xlfn.XLOOKUP(1, (Facturas_Odoo!$D:$D=A2089) * (Facturas_Odoo!$K:$K=I2089), Facturas_Odoo!$M:$M, 0), 0))</f>
        <v/>
      </c>
      <c r="U2089" s="79">
        <f>IF(Q2089="Sin Factura",0,IFERROR(_xlfn.XLOOKUP(1, (Facturas_Odoo!$D:$D=A2089) * (Facturas_Odoo!$K:$K=I2089), Facturas_Odoo!$N:$N, 0), 0))</f>
        <v/>
      </c>
      <c r="V2089" s="79">
        <f>IF(Q2089="Sin Factura",0,IFERROR(_xlfn.XLOOKUP(1, (Facturas_Odoo!$D:$D=A2089) * (Facturas_Odoo!$K:$K=I2089), Facturas_Odoo!$O:$O, 0), 0))</f>
        <v/>
      </c>
      <c r="W2089" s="81">
        <f>IF(Q2089="Sin Factura",0,IFERROR(_xlfn.XLOOKUP(1, (Facturas_Odoo!$D:$D=A2089) * (Facturas_Odoo!$K:$K=I2089), Facturas_Odoo!$Q:$Q, 0), 0))</f>
        <v/>
      </c>
      <c r="X2089" s="79">
        <f>IF(OR(Q2089="Sin Factura",Q2089=""),"",IFERROR(INDEX(Pagos_Odoo!$B:$B, MATCH(Q2089, Pagos_Odoo!$I:$I, 0)), "Sin Pago"))</f>
        <v/>
      </c>
      <c r="Y2089" s="79">
        <f>IF(X2089="Sin Pago","",IFERROR(INDEX(Pagos_Odoo!$C:$C, MATCH(X2089, Pagos_Odoo!$B:$B, 0)), ""))</f>
        <v/>
      </c>
      <c r="Z2089" s="80">
        <f>IF(X2089="Sin Pago","",IFERROR(INDEX(Pagos_Odoo!$A:$A, MATCH(X2089, Pagos_Odoo!$B:$B, 0)), ""))</f>
        <v/>
      </c>
      <c r="AA2089" s="79">
        <f>IF(X2089="Sin Pago","",IFERROR(INDEX(Pagos_Odoo!$F:$F, MATCH(X2089, Pagos_Odoo!$B:$B, 0)), ""))</f>
        <v/>
      </c>
      <c r="AB2089" s="81">
        <f>IF(X2089="Sin Pago",0,IFERROR(INDEX(Pagos_Odoo!$E:$E, MATCH(X2089, Pagos_Odoo!$B:$B, 0)), 0))</f>
        <v/>
      </c>
      <c r="AC2089" s="79">
        <f>IF(X2089="Sin Pago","",IFERROR(INDEX(Pagos_Odoo!$G:$G, MATCH(X2089, Pagos_Odoo!$B:$B, 0)), ""))</f>
        <v/>
      </c>
      <c r="AD2089" s="82" t="n">
        <v>0</v>
      </c>
      <c r="AE2089" s="82" t="n"/>
      <c r="AF2089" s="82" t="n"/>
      <c r="AG2089" s="82">
        <f>IF(AN2089="","",AD2089+AE2089+AF2089)</f>
        <v/>
      </c>
      <c r="AH2089" s="81">
        <f>IF(AN2089="","",P2089*(1-AG2089))</f>
        <v/>
      </c>
      <c r="AI2089" s="81">
        <f>IF(AN2089="","",IF(Q2089="Sin Factura",0,IFERROR(INDEX(Facturas_Odoo!$H:$H, MATCH(Q2089, Facturas_Odoo!$B:$B, 0)), 0)*(1-AG2089)))</f>
        <v/>
      </c>
      <c r="AJ2089" s="81">
        <f>IF(AN2089="","",_xlfn.LET(idVenta, AN2089&amp;"",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89" s="81">
        <f>IF(AN2089="","",AH2089-AJ2089)</f>
        <v/>
      </c>
      <c r="AL2089" s="81">
        <f>IF(AN2089="","",IF(Q2089="Sin Factura","",AI2089-AJ2089))</f>
        <v/>
      </c>
      <c r="AM2089" s="81">
        <f>IF(AN2089="","",IF(Q2089="Sin Factura",0,P2089-IFERROR(INDEX(Facturas_Odoo!$H:$H, MATCH(Q2089, Facturas_Odoo!$B:$B, 0)), 0)))</f>
        <v/>
      </c>
      <c r="AN2089" s="79">
        <f>IF(AND(A2089="", J2089=""), "", IF(A2089&lt;&gt;"", VALUE(MID(A2089,2,LEN(A2089))), AN2088))</f>
        <v/>
      </c>
      <c r="AO2089" s="79">
        <f>IF(AN2089="","",IF(AD2089=0,"OK",_xlfn.LET(monedaPago, IF(AA2089="","USD",AA2089), limitePermitido, IFERROR(VLOOKUP(monedaPago, Configuración!$A$2:$B$3, 2, FALSE), 0.15), IF(AD2089&gt;limitePermitido, "ALERTA: EXCESO (" &amp; TEXT(limitePermitido, "0%") &amp; " máx)", "OK"))))</f>
        <v/>
      </c>
      <c r="AP2089" s="79">
        <f>IF(AN2089="","",IF(AE2089=0,"OK",_xlfn.LET(fechaPago, Z2089, fechaFactura, R2089, diasCredito, IF(E2089="Pago inmediato", 0, IFERROR(VALUE(MID(E2089, 1, SEARCH(" ", E2089)-1)),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89" s="79">
        <f>IF(AN2089="","",IF(AND(N2089&gt;0, AG2089&gt;0), IF(Configuración!$K$2="NO", "ALERTA: DESCUENTO DOBLE NO PERMITIDO", "OK"), "OK"))</f>
        <v/>
      </c>
      <c r="AR2089" s="79">
        <f>IF(AN2089="","",IF(OR(AO2089&lt;&gt;"OK", AP2089&lt;&gt;"OK", AQ2089&lt;&gt;"OK"), "⚠️ REVISAR", "OK"))</f>
        <v/>
      </c>
    </row>
    <row r="2090">
      <c r="A2090" s="79">
        <f>IF('Ordenes_Odoo'!A2090="","",'Ordenes_Odoo'!A2090)</f>
        <v/>
      </c>
      <c r="B2090" s="80">
        <f>IF('Ordenes_Odoo'!B2090="","",'Ordenes_Odoo'!B2090)</f>
        <v/>
      </c>
      <c r="C2090" s="79">
        <f>IF('Ordenes_Odoo'!C2090="","",'Ordenes_Odoo'!C2090)</f>
        <v/>
      </c>
      <c r="D2090" s="79">
        <f>IF('Ordenes_Odoo'!D2090="","",'Ordenes_Odoo'!D2090)</f>
        <v/>
      </c>
      <c r="E2090" s="79">
        <f>IF('Ordenes_Odoo'!E2090="","",'Ordenes_Odoo'!E2090)</f>
        <v/>
      </c>
      <c r="F2090" s="79">
        <f>IF('Ordenes_Odoo'!F2090="","",'Ordenes_Odoo'!F2090)</f>
        <v/>
      </c>
      <c r="G2090" s="79">
        <f>IF('Ordenes_Odoo'!G2090="","",'Ordenes_Odoo'!G2090)</f>
        <v/>
      </c>
      <c r="H2090" s="79">
        <f>IF('Ordenes_Odoo'!H2090="","",'Ordenes_Odoo'!H2090)</f>
        <v/>
      </c>
      <c r="I2090" s="79">
        <f>IF('Ordenes_Odoo'!I2090="","",'Ordenes_Odoo'!I2090)</f>
        <v/>
      </c>
      <c r="J2090" s="79">
        <f>IF('Ordenes_Odoo'!J2090="","",'Ordenes_Odoo'!J2090)</f>
        <v/>
      </c>
      <c r="K2090" s="81">
        <f>IF('Ordenes_Odoo'!K2090="","",'Ordenes_Odoo'!K2090)</f>
        <v/>
      </c>
      <c r="L2090" s="81">
        <f>IF('Ordenes_Odoo'!L2090="","",'Ordenes_Odoo'!L2090)</f>
        <v/>
      </c>
      <c r="M2090" s="79">
        <f>IF('Ordenes_Odoo'!M2090="","",'Ordenes_Odoo'!M2090)</f>
        <v/>
      </c>
      <c r="N2090" s="79">
        <f>IF('Ordenes_Odoo'!N2090="","",'Ordenes_Odoo'!N2090)</f>
        <v/>
      </c>
      <c r="O2090" s="81">
        <f>IF('Ordenes_Odoo'!O2090="","",'Ordenes_Odoo'!O2090)</f>
        <v/>
      </c>
      <c r="P2090" s="81">
        <f>IF('Ordenes_Odoo'!P2090="","",'Ordenes_Odoo'!P2090)</f>
        <v/>
      </c>
      <c r="Q2090" s="79">
        <f>IF(A2090="","",IFERROR(INDEX(Facturas_Odoo!$B:$B, MATCH(A2090, Facturas_Odoo!$D:$D, 0)), "Sin Factura"))</f>
        <v/>
      </c>
      <c r="R2090" s="80">
        <f>IF(Q2090="Sin Factura","",IFERROR(INDEX(Facturas_Odoo!$A:$A, MATCH(Q2090, Facturas_Odoo!$B:$B, 0)), ""))</f>
        <v/>
      </c>
      <c r="S2090" s="79">
        <f>IF(Q2090="Sin Factura","",IFERROR(_xlfn.XLOOKUP(1, (Facturas_Odoo!$D:$D=A2090) * (Facturas_Odoo!$K:$K=I2090), Facturas_Odoo!$L:$L, ""), ""))</f>
        <v/>
      </c>
      <c r="T2090" s="81">
        <f>IF(Q2090="Sin Factura",0,IFERROR(_xlfn.XLOOKUP(1, (Facturas_Odoo!$D:$D=A2090) * (Facturas_Odoo!$K:$K=I2090), Facturas_Odoo!$M:$M, 0), 0))</f>
        <v/>
      </c>
      <c r="U2090" s="79">
        <f>IF(Q2090="Sin Factura",0,IFERROR(_xlfn.XLOOKUP(1, (Facturas_Odoo!$D:$D=A2090) * (Facturas_Odoo!$K:$K=I2090), Facturas_Odoo!$N:$N, 0), 0))</f>
        <v/>
      </c>
      <c r="V2090" s="79">
        <f>IF(Q2090="Sin Factura",0,IFERROR(_xlfn.XLOOKUP(1, (Facturas_Odoo!$D:$D=A2090) * (Facturas_Odoo!$K:$K=I2090), Facturas_Odoo!$O:$O, 0), 0))</f>
        <v/>
      </c>
      <c r="W2090" s="81">
        <f>IF(Q2090="Sin Factura",0,IFERROR(_xlfn.XLOOKUP(1, (Facturas_Odoo!$D:$D=A2090) * (Facturas_Odoo!$K:$K=I2090), Facturas_Odoo!$Q:$Q, 0), 0))</f>
        <v/>
      </c>
      <c r="X2090" s="79">
        <f>IF(OR(Q2090="Sin Factura",Q2090=""),"",IFERROR(INDEX(Pagos_Odoo!$B:$B, MATCH(Q2090, Pagos_Odoo!$I:$I, 0)), "Sin Pago"))</f>
        <v/>
      </c>
      <c r="Y2090" s="79">
        <f>IF(X2090="Sin Pago","",IFERROR(INDEX(Pagos_Odoo!$C:$C, MATCH(X2090, Pagos_Odoo!$B:$B, 0)), ""))</f>
        <v/>
      </c>
      <c r="Z2090" s="80">
        <f>IF(X2090="Sin Pago","",IFERROR(INDEX(Pagos_Odoo!$A:$A, MATCH(X2090, Pagos_Odoo!$B:$B, 0)), ""))</f>
        <v/>
      </c>
      <c r="AA2090" s="79">
        <f>IF(X2090="Sin Pago","",IFERROR(INDEX(Pagos_Odoo!$F:$F, MATCH(X2090, Pagos_Odoo!$B:$B, 0)), ""))</f>
        <v/>
      </c>
      <c r="AB2090" s="81">
        <f>IF(X2090="Sin Pago",0,IFERROR(INDEX(Pagos_Odoo!$E:$E, MATCH(X2090, Pagos_Odoo!$B:$B, 0)), 0))</f>
        <v/>
      </c>
      <c r="AC2090" s="79">
        <f>IF(X2090="Sin Pago","",IFERROR(INDEX(Pagos_Odoo!$G:$G, MATCH(X2090, Pagos_Odoo!$B:$B, 0)), ""))</f>
        <v/>
      </c>
      <c r="AD2090" s="82" t="n">
        <v>0</v>
      </c>
      <c r="AE2090" s="82" t="n"/>
      <c r="AF2090" s="82" t="n"/>
      <c r="AG2090" s="82">
        <f>IF(AN2090="","",AD2090+AE2090+AF2090)</f>
        <v/>
      </c>
      <c r="AH2090" s="81">
        <f>IF(AN2090="","",P2090*(1-AG2090))</f>
        <v/>
      </c>
      <c r="AI2090" s="81">
        <f>IF(AN2090="","",IF(Q2090="Sin Factura",0,IFERROR(INDEX(Facturas_Odoo!$H:$H, MATCH(Q2090, Facturas_Odoo!$B:$B, 0)), 0)*(1-AG2090)))</f>
        <v/>
      </c>
      <c r="AJ2090" s="81">
        <f>IF(AN2090="","",_xlfn.LET(idVenta, AN2090&amp;"",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90" s="81">
        <f>IF(AN2090="","",AH2090-AJ2090)</f>
        <v/>
      </c>
      <c r="AL2090" s="81">
        <f>IF(AN2090="","",IF(Q2090="Sin Factura","",AI2090-AJ2090))</f>
        <v/>
      </c>
      <c r="AM2090" s="81">
        <f>IF(AN2090="","",IF(Q2090="Sin Factura",0,P2090-IFERROR(INDEX(Facturas_Odoo!$H:$H, MATCH(Q2090, Facturas_Odoo!$B:$B, 0)), 0)))</f>
        <v/>
      </c>
      <c r="AN2090" s="79">
        <f>IF(AND(A2090="", J2090=""), "", IF(A2090&lt;&gt;"", VALUE(MID(A2090,2,LEN(A2090))), AN2089))</f>
        <v/>
      </c>
      <c r="AO2090" s="79">
        <f>IF(AN2090="","",IF(AD2090=0,"OK",_xlfn.LET(monedaPago, IF(AA2090="","USD",AA2090), limitePermitido, IFERROR(VLOOKUP(monedaPago, Configuración!$A$2:$B$3, 2, FALSE), 0.15), IF(AD2090&gt;limitePermitido, "ALERTA: EXCESO (" &amp; TEXT(limitePermitido, "0%") &amp; " máx)", "OK"))))</f>
        <v/>
      </c>
      <c r="AP2090" s="79">
        <f>IF(AN2090="","",IF(AE2090=0,"OK",_xlfn.LET(fechaPago, Z2090, fechaFactura, R2090, diasCredito, IF(E2090="Pago inmediato", 0, IFERROR(VALUE(MID(E2090, 1, SEARCH(" ", E2090)-1)),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90" s="79">
        <f>IF(AN2090="","",IF(AND(N2090&gt;0, AG2090&gt;0), IF(Configuración!$K$2="NO", "ALERTA: DESCUENTO DOBLE NO PERMITIDO", "OK"), "OK"))</f>
        <v/>
      </c>
      <c r="AR2090" s="79">
        <f>IF(AN2090="","",IF(OR(AO2090&lt;&gt;"OK", AP2090&lt;&gt;"OK", AQ2090&lt;&gt;"OK"), "⚠️ REVISAR", "OK"))</f>
        <v/>
      </c>
    </row>
    <row r="2091">
      <c r="A2091" s="79">
        <f>IF('Ordenes_Odoo'!A2091="","",'Ordenes_Odoo'!A2091)</f>
        <v/>
      </c>
      <c r="B2091" s="80">
        <f>IF('Ordenes_Odoo'!B2091="","",'Ordenes_Odoo'!B2091)</f>
        <v/>
      </c>
      <c r="C2091" s="79">
        <f>IF('Ordenes_Odoo'!C2091="","",'Ordenes_Odoo'!C2091)</f>
        <v/>
      </c>
      <c r="D2091" s="79">
        <f>IF('Ordenes_Odoo'!D2091="","",'Ordenes_Odoo'!D2091)</f>
        <v/>
      </c>
      <c r="E2091" s="79">
        <f>IF('Ordenes_Odoo'!E2091="","",'Ordenes_Odoo'!E2091)</f>
        <v/>
      </c>
      <c r="F2091" s="79">
        <f>IF('Ordenes_Odoo'!F2091="","",'Ordenes_Odoo'!F2091)</f>
        <v/>
      </c>
      <c r="G2091" s="79">
        <f>IF('Ordenes_Odoo'!G2091="","",'Ordenes_Odoo'!G2091)</f>
        <v/>
      </c>
      <c r="H2091" s="79">
        <f>IF('Ordenes_Odoo'!H2091="","",'Ordenes_Odoo'!H2091)</f>
        <v/>
      </c>
      <c r="I2091" s="79">
        <f>IF('Ordenes_Odoo'!I2091="","",'Ordenes_Odoo'!I2091)</f>
        <v/>
      </c>
      <c r="J2091" s="79">
        <f>IF('Ordenes_Odoo'!J2091="","",'Ordenes_Odoo'!J2091)</f>
        <v/>
      </c>
      <c r="K2091" s="81">
        <f>IF('Ordenes_Odoo'!K2091="","",'Ordenes_Odoo'!K2091)</f>
        <v/>
      </c>
      <c r="L2091" s="81">
        <f>IF('Ordenes_Odoo'!L2091="","",'Ordenes_Odoo'!L2091)</f>
        <v/>
      </c>
      <c r="M2091" s="79">
        <f>IF('Ordenes_Odoo'!M2091="","",'Ordenes_Odoo'!M2091)</f>
        <v/>
      </c>
      <c r="N2091" s="79">
        <f>IF('Ordenes_Odoo'!N2091="","",'Ordenes_Odoo'!N2091)</f>
        <v/>
      </c>
      <c r="O2091" s="81">
        <f>IF('Ordenes_Odoo'!O2091="","",'Ordenes_Odoo'!O2091)</f>
        <v/>
      </c>
      <c r="P2091" s="81">
        <f>IF('Ordenes_Odoo'!P2091="","",'Ordenes_Odoo'!P2091)</f>
        <v/>
      </c>
      <c r="Q2091" s="79">
        <f>IF(A2091="","",IFERROR(INDEX(Facturas_Odoo!$B:$B, MATCH(A2091, Facturas_Odoo!$D:$D, 0)), "Sin Factura"))</f>
        <v/>
      </c>
      <c r="R2091" s="80">
        <f>IF(Q2091="Sin Factura","",IFERROR(INDEX(Facturas_Odoo!$A:$A, MATCH(Q2091, Facturas_Odoo!$B:$B, 0)), ""))</f>
        <v/>
      </c>
      <c r="S2091" s="79">
        <f>IF(Q2091="Sin Factura","",IFERROR(_xlfn.XLOOKUP(1, (Facturas_Odoo!$D:$D=A2091) * (Facturas_Odoo!$K:$K=I2091), Facturas_Odoo!$L:$L, ""), ""))</f>
        <v/>
      </c>
      <c r="T2091" s="81">
        <f>IF(Q2091="Sin Factura",0,IFERROR(_xlfn.XLOOKUP(1, (Facturas_Odoo!$D:$D=A2091) * (Facturas_Odoo!$K:$K=I2091), Facturas_Odoo!$M:$M, 0), 0))</f>
        <v/>
      </c>
      <c r="U2091" s="79">
        <f>IF(Q2091="Sin Factura",0,IFERROR(_xlfn.XLOOKUP(1, (Facturas_Odoo!$D:$D=A2091) * (Facturas_Odoo!$K:$K=I2091), Facturas_Odoo!$N:$N, 0), 0))</f>
        <v/>
      </c>
      <c r="V2091" s="79">
        <f>IF(Q2091="Sin Factura",0,IFERROR(_xlfn.XLOOKUP(1, (Facturas_Odoo!$D:$D=A2091) * (Facturas_Odoo!$K:$K=I2091), Facturas_Odoo!$O:$O, 0), 0))</f>
        <v/>
      </c>
      <c r="W2091" s="81">
        <f>IF(Q2091="Sin Factura",0,IFERROR(_xlfn.XLOOKUP(1, (Facturas_Odoo!$D:$D=A2091) * (Facturas_Odoo!$K:$K=I2091), Facturas_Odoo!$Q:$Q, 0), 0))</f>
        <v/>
      </c>
      <c r="X2091" s="79">
        <f>IF(OR(Q2091="Sin Factura",Q2091=""),"",IFERROR(INDEX(Pagos_Odoo!$B:$B, MATCH(Q2091, Pagos_Odoo!$I:$I, 0)), "Sin Pago"))</f>
        <v/>
      </c>
      <c r="Y2091" s="79">
        <f>IF(X2091="Sin Pago","",IFERROR(INDEX(Pagos_Odoo!$C:$C, MATCH(X2091, Pagos_Odoo!$B:$B, 0)), ""))</f>
        <v/>
      </c>
      <c r="Z2091" s="80">
        <f>IF(X2091="Sin Pago","",IFERROR(INDEX(Pagos_Odoo!$A:$A, MATCH(X2091, Pagos_Odoo!$B:$B, 0)), ""))</f>
        <v/>
      </c>
      <c r="AA2091" s="79">
        <f>IF(X2091="Sin Pago","",IFERROR(INDEX(Pagos_Odoo!$F:$F, MATCH(X2091, Pagos_Odoo!$B:$B, 0)), ""))</f>
        <v/>
      </c>
      <c r="AB2091" s="81">
        <f>IF(X2091="Sin Pago",0,IFERROR(INDEX(Pagos_Odoo!$E:$E, MATCH(X2091, Pagos_Odoo!$B:$B, 0)), 0))</f>
        <v/>
      </c>
      <c r="AC2091" s="79">
        <f>IF(X2091="Sin Pago","",IFERROR(INDEX(Pagos_Odoo!$G:$G, MATCH(X2091, Pagos_Odoo!$B:$B, 0)), ""))</f>
        <v/>
      </c>
      <c r="AD2091" s="82" t="n">
        <v>0</v>
      </c>
      <c r="AE2091" s="82" t="n"/>
      <c r="AF2091" s="82" t="n"/>
      <c r="AG2091" s="82">
        <f>IF(AN2091="","",AD2091+AE2091+AF2091)</f>
        <v/>
      </c>
      <c r="AH2091" s="81">
        <f>IF(AN2091="","",P2091*(1-AG2091))</f>
        <v/>
      </c>
      <c r="AI2091" s="81">
        <f>IF(AN2091="","",IF(Q2091="Sin Factura",0,IFERROR(INDEX(Facturas_Odoo!$H:$H, MATCH(Q2091, Facturas_Odoo!$B:$B, 0)), 0)*(1-AG2091)))</f>
        <v/>
      </c>
      <c r="AJ2091" s="81">
        <f>IF(AN2091="","",_xlfn.LET(idVenta, AN2091&amp;"",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91" s="81">
        <f>IF(AN2091="","",AH2091-AJ2091)</f>
        <v/>
      </c>
      <c r="AL2091" s="81">
        <f>IF(AN2091="","",IF(Q2091="Sin Factura","",AI2091-AJ2091))</f>
        <v/>
      </c>
      <c r="AM2091" s="81">
        <f>IF(AN2091="","",IF(Q2091="Sin Factura",0,P2091-IFERROR(INDEX(Facturas_Odoo!$H:$H, MATCH(Q2091, Facturas_Odoo!$B:$B, 0)), 0)))</f>
        <v/>
      </c>
      <c r="AN2091" s="79">
        <f>IF(AND(A2091="", J2091=""), "", IF(A2091&lt;&gt;"", VALUE(MID(A2091,2,LEN(A2091))), AN2090))</f>
        <v/>
      </c>
      <c r="AO2091" s="79">
        <f>IF(AN2091="","",IF(AD2091=0,"OK",_xlfn.LET(monedaPago, IF(AA2091="","USD",AA2091), limitePermitido, IFERROR(VLOOKUP(monedaPago, Configuración!$A$2:$B$3, 2, FALSE), 0.15), IF(AD2091&gt;limitePermitido, "ALERTA: EXCESO (" &amp; TEXT(limitePermitido, "0%") &amp; " máx)", "OK"))))</f>
        <v/>
      </c>
      <c r="AP2091" s="79">
        <f>IF(AN2091="","",IF(AE2091=0,"OK",_xlfn.LET(fechaPago, Z2091, fechaFactura, R2091, diasCredito, IF(E2091="Pago inmediato", 0, IFERROR(VALUE(MID(E2091, 1, SEARCH(" ", E2091)-1)),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91" s="79">
        <f>IF(AN2091="","",IF(AND(N2091&gt;0, AG2091&gt;0), IF(Configuración!$K$2="NO", "ALERTA: DESCUENTO DOBLE NO PERMITIDO", "OK"), "OK"))</f>
        <v/>
      </c>
      <c r="AR2091" s="79">
        <f>IF(AN2091="","",IF(OR(AO2091&lt;&gt;"OK", AP2091&lt;&gt;"OK", AQ2091&lt;&gt;"OK"), "⚠️ REVISAR", "OK"))</f>
        <v/>
      </c>
    </row>
    <row r="2092">
      <c r="A2092" s="79">
        <f>IF('Ordenes_Odoo'!A2092="","",'Ordenes_Odoo'!A2092)</f>
        <v/>
      </c>
      <c r="B2092" s="80">
        <f>IF('Ordenes_Odoo'!B2092="","",'Ordenes_Odoo'!B2092)</f>
        <v/>
      </c>
      <c r="C2092" s="79">
        <f>IF('Ordenes_Odoo'!C2092="","",'Ordenes_Odoo'!C2092)</f>
        <v/>
      </c>
      <c r="D2092" s="79">
        <f>IF('Ordenes_Odoo'!D2092="","",'Ordenes_Odoo'!D2092)</f>
        <v/>
      </c>
      <c r="E2092" s="79">
        <f>IF('Ordenes_Odoo'!E2092="","",'Ordenes_Odoo'!E2092)</f>
        <v/>
      </c>
      <c r="F2092" s="79">
        <f>IF('Ordenes_Odoo'!F2092="","",'Ordenes_Odoo'!F2092)</f>
        <v/>
      </c>
      <c r="G2092" s="79">
        <f>IF('Ordenes_Odoo'!G2092="","",'Ordenes_Odoo'!G2092)</f>
        <v/>
      </c>
      <c r="H2092" s="79">
        <f>IF('Ordenes_Odoo'!H2092="","",'Ordenes_Odoo'!H2092)</f>
        <v/>
      </c>
      <c r="I2092" s="79">
        <f>IF('Ordenes_Odoo'!I2092="","",'Ordenes_Odoo'!I2092)</f>
        <v/>
      </c>
      <c r="J2092" s="79">
        <f>IF('Ordenes_Odoo'!J2092="","",'Ordenes_Odoo'!J2092)</f>
        <v/>
      </c>
      <c r="K2092" s="81">
        <f>IF('Ordenes_Odoo'!K2092="","",'Ordenes_Odoo'!K2092)</f>
        <v/>
      </c>
      <c r="L2092" s="81">
        <f>IF('Ordenes_Odoo'!L2092="","",'Ordenes_Odoo'!L2092)</f>
        <v/>
      </c>
      <c r="M2092" s="79">
        <f>IF('Ordenes_Odoo'!M2092="","",'Ordenes_Odoo'!M2092)</f>
        <v/>
      </c>
      <c r="N2092" s="79">
        <f>IF('Ordenes_Odoo'!N2092="","",'Ordenes_Odoo'!N2092)</f>
        <v/>
      </c>
      <c r="O2092" s="81">
        <f>IF('Ordenes_Odoo'!O2092="","",'Ordenes_Odoo'!O2092)</f>
        <v/>
      </c>
      <c r="P2092" s="81">
        <f>IF('Ordenes_Odoo'!P2092="","",'Ordenes_Odoo'!P2092)</f>
        <v/>
      </c>
      <c r="Q2092" s="79">
        <f>IF(A2092="","",IFERROR(INDEX(Facturas_Odoo!$B:$B, MATCH(A2092, Facturas_Odoo!$D:$D, 0)), "Sin Factura"))</f>
        <v/>
      </c>
      <c r="R2092" s="80">
        <f>IF(Q2092="Sin Factura","",IFERROR(INDEX(Facturas_Odoo!$A:$A, MATCH(Q2092, Facturas_Odoo!$B:$B, 0)), ""))</f>
        <v/>
      </c>
      <c r="S2092" s="79">
        <f>IF(Q2092="Sin Factura","",IFERROR(_xlfn.XLOOKUP(1, (Facturas_Odoo!$D:$D=A2092) * (Facturas_Odoo!$K:$K=I2092), Facturas_Odoo!$L:$L, ""), ""))</f>
        <v/>
      </c>
      <c r="T2092" s="81">
        <f>IF(Q2092="Sin Factura",0,IFERROR(_xlfn.XLOOKUP(1, (Facturas_Odoo!$D:$D=A2092) * (Facturas_Odoo!$K:$K=I2092), Facturas_Odoo!$M:$M, 0), 0))</f>
        <v/>
      </c>
      <c r="U2092" s="79">
        <f>IF(Q2092="Sin Factura",0,IFERROR(_xlfn.XLOOKUP(1, (Facturas_Odoo!$D:$D=A2092) * (Facturas_Odoo!$K:$K=I2092), Facturas_Odoo!$N:$N, 0), 0))</f>
        <v/>
      </c>
      <c r="V2092" s="79">
        <f>IF(Q2092="Sin Factura",0,IFERROR(_xlfn.XLOOKUP(1, (Facturas_Odoo!$D:$D=A2092) * (Facturas_Odoo!$K:$K=I2092), Facturas_Odoo!$O:$O, 0), 0))</f>
        <v/>
      </c>
      <c r="W2092" s="81">
        <f>IF(Q2092="Sin Factura",0,IFERROR(_xlfn.XLOOKUP(1, (Facturas_Odoo!$D:$D=A2092) * (Facturas_Odoo!$K:$K=I2092), Facturas_Odoo!$Q:$Q, 0), 0))</f>
        <v/>
      </c>
      <c r="X2092" s="79">
        <f>IF(OR(Q2092="Sin Factura",Q2092=""),"",IFERROR(INDEX(Pagos_Odoo!$B:$B, MATCH(Q2092, Pagos_Odoo!$I:$I, 0)), "Sin Pago"))</f>
        <v/>
      </c>
      <c r="Y2092" s="79">
        <f>IF(X2092="Sin Pago","",IFERROR(INDEX(Pagos_Odoo!$C:$C, MATCH(X2092, Pagos_Odoo!$B:$B, 0)), ""))</f>
        <v/>
      </c>
      <c r="Z2092" s="80">
        <f>IF(X2092="Sin Pago","",IFERROR(INDEX(Pagos_Odoo!$A:$A, MATCH(X2092, Pagos_Odoo!$B:$B, 0)), ""))</f>
        <v/>
      </c>
      <c r="AA2092" s="79">
        <f>IF(X2092="Sin Pago","",IFERROR(INDEX(Pagos_Odoo!$F:$F, MATCH(X2092, Pagos_Odoo!$B:$B, 0)), ""))</f>
        <v/>
      </c>
      <c r="AB2092" s="81">
        <f>IF(X2092="Sin Pago",0,IFERROR(INDEX(Pagos_Odoo!$E:$E, MATCH(X2092, Pagos_Odoo!$B:$B, 0)), 0))</f>
        <v/>
      </c>
      <c r="AC2092" s="79">
        <f>IF(X2092="Sin Pago","",IFERROR(INDEX(Pagos_Odoo!$G:$G, MATCH(X2092, Pagos_Odoo!$B:$B, 0)), ""))</f>
        <v/>
      </c>
      <c r="AD2092" s="82" t="n">
        <v>0</v>
      </c>
      <c r="AE2092" s="82" t="n"/>
      <c r="AF2092" s="82" t="n"/>
      <c r="AG2092" s="82">
        <f>IF(AN2092="","",AD2092+AE2092+AF2092)</f>
        <v/>
      </c>
      <c r="AH2092" s="81">
        <f>IF(AN2092="","",P2092*(1-AG2092))</f>
        <v/>
      </c>
      <c r="AI2092" s="81">
        <f>IF(AN2092="","",IF(Q2092="Sin Factura",0,IFERROR(INDEX(Facturas_Odoo!$H:$H, MATCH(Q2092, Facturas_Odoo!$B:$B, 0)), 0)*(1-AG2092)))</f>
        <v/>
      </c>
      <c r="AJ2092" s="81">
        <f>IF(AN2092="","",_xlfn.LET(idVenta, AN2092&amp;"",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92" s="81">
        <f>IF(AN2092="","",AH2092-AJ2092)</f>
        <v/>
      </c>
      <c r="AL2092" s="81">
        <f>IF(AN2092="","",IF(Q2092="Sin Factura","",AI2092-AJ2092))</f>
        <v/>
      </c>
      <c r="AM2092" s="81">
        <f>IF(AN2092="","",IF(Q2092="Sin Factura",0,P2092-IFERROR(INDEX(Facturas_Odoo!$H:$H, MATCH(Q2092, Facturas_Odoo!$B:$B, 0)), 0)))</f>
        <v/>
      </c>
      <c r="AN2092" s="79">
        <f>IF(AND(A2092="", J2092=""), "", IF(A2092&lt;&gt;"", VALUE(MID(A2092,2,LEN(A2092))), AN2091))</f>
        <v/>
      </c>
      <c r="AO2092" s="79">
        <f>IF(AN2092="","",IF(AD2092=0,"OK",_xlfn.LET(monedaPago, IF(AA2092="","USD",AA2092), limitePermitido, IFERROR(VLOOKUP(monedaPago, Configuración!$A$2:$B$3, 2, FALSE), 0.15), IF(AD2092&gt;limitePermitido, "ALERTA: EXCESO (" &amp; TEXT(limitePermitido, "0%") &amp; " máx)", "OK"))))</f>
        <v/>
      </c>
      <c r="AP2092" s="79">
        <f>IF(AN2092="","",IF(AE2092=0,"OK",_xlfn.LET(fechaPago, Z2092, fechaFactura, R2092, diasCredito, IF(E2092="Pago inmediato", 0, IFERROR(VALUE(MID(E2092, 1, SEARCH(" ", E2092)-1)),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92" s="79">
        <f>IF(AN2092="","",IF(AND(N2092&gt;0, AG2092&gt;0), IF(Configuración!$K$2="NO", "ALERTA: DESCUENTO DOBLE NO PERMITIDO", "OK"), "OK"))</f>
        <v/>
      </c>
      <c r="AR2092" s="79">
        <f>IF(AN2092="","",IF(OR(AO2092&lt;&gt;"OK", AP2092&lt;&gt;"OK", AQ2092&lt;&gt;"OK"), "⚠️ REVISAR", "OK"))</f>
        <v/>
      </c>
    </row>
    <row r="2093">
      <c r="A2093" s="79">
        <f>IF('Ordenes_Odoo'!A2093="","",'Ordenes_Odoo'!A2093)</f>
        <v/>
      </c>
      <c r="B2093" s="80">
        <f>IF('Ordenes_Odoo'!B2093="","",'Ordenes_Odoo'!B2093)</f>
        <v/>
      </c>
      <c r="C2093" s="79">
        <f>IF('Ordenes_Odoo'!C2093="","",'Ordenes_Odoo'!C2093)</f>
        <v/>
      </c>
      <c r="D2093" s="79">
        <f>IF('Ordenes_Odoo'!D2093="","",'Ordenes_Odoo'!D2093)</f>
        <v/>
      </c>
      <c r="E2093" s="79">
        <f>IF('Ordenes_Odoo'!E2093="","",'Ordenes_Odoo'!E2093)</f>
        <v/>
      </c>
      <c r="F2093" s="79">
        <f>IF('Ordenes_Odoo'!F2093="","",'Ordenes_Odoo'!F2093)</f>
        <v/>
      </c>
      <c r="G2093" s="79">
        <f>IF('Ordenes_Odoo'!G2093="","",'Ordenes_Odoo'!G2093)</f>
        <v/>
      </c>
      <c r="H2093" s="79">
        <f>IF('Ordenes_Odoo'!H2093="","",'Ordenes_Odoo'!H2093)</f>
        <v/>
      </c>
      <c r="I2093" s="79">
        <f>IF('Ordenes_Odoo'!I2093="","",'Ordenes_Odoo'!I2093)</f>
        <v/>
      </c>
      <c r="J2093" s="79">
        <f>IF('Ordenes_Odoo'!J2093="","",'Ordenes_Odoo'!J2093)</f>
        <v/>
      </c>
      <c r="K2093" s="81">
        <f>IF('Ordenes_Odoo'!K2093="","",'Ordenes_Odoo'!K2093)</f>
        <v/>
      </c>
      <c r="L2093" s="81">
        <f>IF('Ordenes_Odoo'!L2093="","",'Ordenes_Odoo'!L2093)</f>
        <v/>
      </c>
      <c r="M2093" s="79">
        <f>IF('Ordenes_Odoo'!M2093="","",'Ordenes_Odoo'!M2093)</f>
        <v/>
      </c>
      <c r="N2093" s="79">
        <f>IF('Ordenes_Odoo'!N2093="","",'Ordenes_Odoo'!N2093)</f>
        <v/>
      </c>
      <c r="O2093" s="81">
        <f>IF('Ordenes_Odoo'!O2093="","",'Ordenes_Odoo'!O2093)</f>
        <v/>
      </c>
      <c r="P2093" s="81">
        <f>IF('Ordenes_Odoo'!P2093="","",'Ordenes_Odoo'!P2093)</f>
        <v/>
      </c>
      <c r="Q2093" s="79">
        <f>IF(A2093="","",IFERROR(INDEX(Facturas_Odoo!$B:$B, MATCH(A2093, Facturas_Odoo!$D:$D, 0)), "Sin Factura"))</f>
        <v/>
      </c>
      <c r="R2093" s="80">
        <f>IF(Q2093="Sin Factura","",IFERROR(INDEX(Facturas_Odoo!$A:$A, MATCH(Q2093, Facturas_Odoo!$B:$B, 0)), ""))</f>
        <v/>
      </c>
      <c r="S2093" s="79">
        <f>IF(Q2093="Sin Factura","",IFERROR(_xlfn.XLOOKUP(1, (Facturas_Odoo!$D:$D=A2093) * (Facturas_Odoo!$K:$K=I2093), Facturas_Odoo!$L:$L, ""), ""))</f>
        <v/>
      </c>
      <c r="T2093" s="81">
        <f>IF(Q2093="Sin Factura",0,IFERROR(_xlfn.XLOOKUP(1, (Facturas_Odoo!$D:$D=A2093) * (Facturas_Odoo!$K:$K=I2093), Facturas_Odoo!$M:$M, 0), 0))</f>
        <v/>
      </c>
      <c r="U2093" s="79">
        <f>IF(Q2093="Sin Factura",0,IFERROR(_xlfn.XLOOKUP(1, (Facturas_Odoo!$D:$D=A2093) * (Facturas_Odoo!$K:$K=I2093), Facturas_Odoo!$N:$N, 0), 0))</f>
        <v/>
      </c>
      <c r="V2093" s="79">
        <f>IF(Q2093="Sin Factura",0,IFERROR(_xlfn.XLOOKUP(1, (Facturas_Odoo!$D:$D=A2093) * (Facturas_Odoo!$K:$K=I2093), Facturas_Odoo!$O:$O, 0), 0))</f>
        <v/>
      </c>
      <c r="W2093" s="81">
        <f>IF(Q2093="Sin Factura",0,IFERROR(_xlfn.XLOOKUP(1, (Facturas_Odoo!$D:$D=A2093) * (Facturas_Odoo!$K:$K=I2093), Facturas_Odoo!$Q:$Q, 0), 0))</f>
        <v/>
      </c>
      <c r="X2093" s="79">
        <f>IF(OR(Q2093="Sin Factura",Q2093=""),"",IFERROR(INDEX(Pagos_Odoo!$B:$B, MATCH(Q2093, Pagos_Odoo!$I:$I, 0)), "Sin Pago"))</f>
        <v/>
      </c>
      <c r="Y2093" s="79">
        <f>IF(X2093="Sin Pago","",IFERROR(INDEX(Pagos_Odoo!$C:$C, MATCH(X2093, Pagos_Odoo!$B:$B, 0)), ""))</f>
        <v/>
      </c>
      <c r="Z2093" s="80">
        <f>IF(X2093="Sin Pago","",IFERROR(INDEX(Pagos_Odoo!$A:$A, MATCH(X2093, Pagos_Odoo!$B:$B, 0)), ""))</f>
        <v/>
      </c>
      <c r="AA2093" s="79">
        <f>IF(X2093="Sin Pago","",IFERROR(INDEX(Pagos_Odoo!$F:$F, MATCH(X2093, Pagos_Odoo!$B:$B, 0)), ""))</f>
        <v/>
      </c>
      <c r="AB2093" s="81">
        <f>IF(X2093="Sin Pago",0,IFERROR(INDEX(Pagos_Odoo!$E:$E, MATCH(X2093, Pagos_Odoo!$B:$B, 0)), 0))</f>
        <v/>
      </c>
      <c r="AC2093" s="79">
        <f>IF(X2093="Sin Pago","",IFERROR(INDEX(Pagos_Odoo!$G:$G, MATCH(X2093, Pagos_Odoo!$B:$B, 0)), ""))</f>
        <v/>
      </c>
      <c r="AD2093" s="82" t="n">
        <v>0</v>
      </c>
      <c r="AE2093" s="82" t="n"/>
      <c r="AF2093" s="82" t="n"/>
      <c r="AG2093" s="82">
        <f>IF(AN2093="","",AD2093+AE2093+AF2093)</f>
        <v/>
      </c>
      <c r="AH2093" s="81">
        <f>IF(AN2093="","",P2093*(1-AG2093))</f>
        <v/>
      </c>
      <c r="AI2093" s="81">
        <f>IF(AN2093="","",IF(Q2093="Sin Factura",0,IFERROR(INDEX(Facturas_Odoo!$H:$H, MATCH(Q2093, Facturas_Odoo!$B:$B, 0)), 0)*(1-AG2093)))</f>
        <v/>
      </c>
      <c r="AJ2093" s="81">
        <f>IF(AN2093="","",_xlfn.LET(idVenta, AN2093&amp;"",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93" s="81">
        <f>IF(AN2093="","",AH2093-AJ2093)</f>
        <v/>
      </c>
      <c r="AL2093" s="81">
        <f>IF(AN2093="","",IF(Q2093="Sin Factura","",AI2093-AJ2093))</f>
        <v/>
      </c>
      <c r="AM2093" s="81">
        <f>IF(AN2093="","",IF(Q2093="Sin Factura",0,P2093-IFERROR(INDEX(Facturas_Odoo!$H:$H, MATCH(Q2093, Facturas_Odoo!$B:$B, 0)), 0)))</f>
        <v/>
      </c>
      <c r="AN2093" s="79">
        <f>IF(AND(A2093="", J2093=""), "", IF(A2093&lt;&gt;"", VALUE(MID(A2093,2,LEN(A2093))), AN2092))</f>
        <v/>
      </c>
      <c r="AO2093" s="79">
        <f>IF(AN2093="","",IF(AD2093=0,"OK",_xlfn.LET(monedaPago, IF(AA2093="","USD",AA2093), limitePermitido, IFERROR(VLOOKUP(monedaPago, Configuración!$A$2:$B$3, 2, FALSE), 0.15), IF(AD2093&gt;limitePermitido, "ALERTA: EXCESO (" &amp; TEXT(limitePermitido, "0%") &amp; " máx)", "OK"))))</f>
        <v/>
      </c>
      <c r="AP2093" s="79">
        <f>IF(AN2093="","",IF(AE2093=0,"OK",_xlfn.LET(fechaPago, Z2093, fechaFactura, R2093, diasCredito, IF(E2093="Pago inmediato", 0, IFERROR(VALUE(MID(E2093, 1, SEARCH(" ", E2093)-1)),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93" s="79">
        <f>IF(AN2093="","",IF(AND(N2093&gt;0, AG2093&gt;0), IF(Configuración!$K$2="NO", "ALERTA: DESCUENTO DOBLE NO PERMITIDO", "OK"), "OK"))</f>
        <v/>
      </c>
      <c r="AR2093" s="79">
        <f>IF(AN2093="","",IF(OR(AO2093&lt;&gt;"OK", AP2093&lt;&gt;"OK", AQ2093&lt;&gt;"OK"), "⚠️ REVISAR", "OK"))</f>
        <v/>
      </c>
    </row>
    <row r="2094">
      <c r="A2094" s="79">
        <f>IF('Ordenes_Odoo'!A2094="","",'Ordenes_Odoo'!A2094)</f>
        <v/>
      </c>
      <c r="B2094" s="80">
        <f>IF('Ordenes_Odoo'!B2094="","",'Ordenes_Odoo'!B2094)</f>
        <v/>
      </c>
      <c r="C2094" s="79">
        <f>IF('Ordenes_Odoo'!C2094="","",'Ordenes_Odoo'!C2094)</f>
        <v/>
      </c>
      <c r="D2094" s="79">
        <f>IF('Ordenes_Odoo'!D2094="","",'Ordenes_Odoo'!D2094)</f>
        <v/>
      </c>
      <c r="E2094" s="79">
        <f>IF('Ordenes_Odoo'!E2094="","",'Ordenes_Odoo'!E2094)</f>
        <v/>
      </c>
      <c r="F2094" s="79">
        <f>IF('Ordenes_Odoo'!F2094="","",'Ordenes_Odoo'!F2094)</f>
        <v/>
      </c>
      <c r="G2094" s="79">
        <f>IF('Ordenes_Odoo'!G2094="","",'Ordenes_Odoo'!G2094)</f>
        <v/>
      </c>
      <c r="H2094" s="79">
        <f>IF('Ordenes_Odoo'!H2094="","",'Ordenes_Odoo'!H2094)</f>
        <v/>
      </c>
      <c r="I2094" s="79">
        <f>IF('Ordenes_Odoo'!I2094="","",'Ordenes_Odoo'!I2094)</f>
        <v/>
      </c>
      <c r="J2094" s="79">
        <f>IF('Ordenes_Odoo'!J2094="","",'Ordenes_Odoo'!J2094)</f>
        <v/>
      </c>
      <c r="K2094" s="81">
        <f>IF('Ordenes_Odoo'!K2094="","",'Ordenes_Odoo'!K2094)</f>
        <v/>
      </c>
      <c r="L2094" s="81">
        <f>IF('Ordenes_Odoo'!L2094="","",'Ordenes_Odoo'!L2094)</f>
        <v/>
      </c>
      <c r="M2094" s="79">
        <f>IF('Ordenes_Odoo'!M2094="","",'Ordenes_Odoo'!M2094)</f>
        <v/>
      </c>
      <c r="N2094" s="79">
        <f>IF('Ordenes_Odoo'!N2094="","",'Ordenes_Odoo'!N2094)</f>
        <v/>
      </c>
      <c r="O2094" s="81">
        <f>IF('Ordenes_Odoo'!O2094="","",'Ordenes_Odoo'!O2094)</f>
        <v/>
      </c>
      <c r="P2094" s="81">
        <f>IF('Ordenes_Odoo'!P2094="","",'Ordenes_Odoo'!P2094)</f>
        <v/>
      </c>
      <c r="Q2094" s="79">
        <f>IF(A2094="","",IFERROR(INDEX(Facturas_Odoo!$B:$B, MATCH(A2094, Facturas_Odoo!$D:$D, 0)), "Sin Factura"))</f>
        <v/>
      </c>
      <c r="R2094" s="80">
        <f>IF(Q2094="Sin Factura","",IFERROR(INDEX(Facturas_Odoo!$A:$A, MATCH(Q2094, Facturas_Odoo!$B:$B, 0)), ""))</f>
        <v/>
      </c>
      <c r="S2094" s="79">
        <f>IF(Q2094="Sin Factura","",IFERROR(_xlfn.XLOOKUP(1, (Facturas_Odoo!$D:$D=A2094) * (Facturas_Odoo!$K:$K=I2094), Facturas_Odoo!$L:$L, ""), ""))</f>
        <v/>
      </c>
      <c r="T2094" s="81">
        <f>IF(Q2094="Sin Factura",0,IFERROR(_xlfn.XLOOKUP(1, (Facturas_Odoo!$D:$D=A2094) * (Facturas_Odoo!$K:$K=I2094), Facturas_Odoo!$M:$M, 0), 0))</f>
        <v/>
      </c>
      <c r="U2094" s="79">
        <f>IF(Q2094="Sin Factura",0,IFERROR(_xlfn.XLOOKUP(1, (Facturas_Odoo!$D:$D=A2094) * (Facturas_Odoo!$K:$K=I2094), Facturas_Odoo!$N:$N, 0), 0))</f>
        <v/>
      </c>
      <c r="V2094" s="79">
        <f>IF(Q2094="Sin Factura",0,IFERROR(_xlfn.XLOOKUP(1, (Facturas_Odoo!$D:$D=A2094) * (Facturas_Odoo!$K:$K=I2094), Facturas_Odoo!$O:$O, 0), 0))</f>
        <v/>
      </c>
      <c r="W2094" s="81">
        <f>IF(Q2094="Sin Factura",0,IFERROR(_xlfn.XLOOKUP(1, (Facturas_Odoo!$D:$D=A2094) * (Facturas_Odoo!$K:$K=I2094), Facturas_Odoo!$Q:$Q, 0), 0))</f>
        <v/>
      </c>
      <c r="X2094" s="79">
        <f>IF(OR(Q2094="Sin Factura",Q2094=""),"",IFERROR(INDEX(Pagos_Odoo!$B:$B, MATCH(Q2094, Pagos_Odoo!$I:$I, 0)), "Sin Pago"))</f>
        <v/>
      </c>
      <c r="Y2094" s="79">
        <f>IF(X2094="Sin Pago","",IFERROR(INDEX(Pagos_Odoo!$C:$C, MATCH(X2094, Pagos_Odoo!$B:$B, 0)), ""))</f>
        <v/>
      </c>
      <c r="Z2094" s="80">
        <f>IF(X2094="Sin Pago","",IFERROR(INDEX(Pagos_Odoo!$A:$A, MATCH(X2094, Pagos_Odoo!$B:$B, 0)), ""))</f>
        <v/>
      </c>
      <c r="AA2094" s="79">
        <f>IF(X2094="Sin Pago","",IFERROR(INDEX(Pagos_Odoo!$F:$F, MATCH(X2094, Pagos_Odoo!$B:$B, 0)), ""))</f>
        <v/>
      </c>
      <c r="AB2094" s="81">
        <f>IF(X2094="Sin Pago",0,IFERROR(INDEX(Pagos_Odoo!$E:$E, MATCH(X2094, Pagos_Odoo!$B:$B, 0)), 0))</f>
        <v/>
      </c>
      <c r="AC2094" s="79">
        <f>IF(X2094="Sin Pago","",IFERROR(INDEX(Pagos_Odoo!$G:$G, MATCH(X2094, Pagos_Odoo!$B:$B, 0)), ""))</f>
        <v/>
      </c>
      <c r="AD2094" s="82" t="n">
        <v>0</v>
      </c>
      <c r="AE2094" s="82" t="n"/>
      <c r="AF2094" s="82" t="n"/>
      <c r="AG2094" s="82">
        <f>IF(AN2094="","",AD2094+AE2094+AF2094)</f>
        <v/>
      </c>
      <c r="AH2094" s="81">
        <f>IF(AN2094="","",P2094*(1-AG2094))</f>
        <v/>
      </c>
      <c r="AI2094" s="81">
        <f>IF(AN2094="","",IF(Q2094="Sin Factura",0,IFERROR(INDEX(Facturas_Odoo!$H:$H, MATCH(Q2094, Facturas_Odoo!$B:$B, 0)), 0)*(1-AG2094)))</f>
        <v/>
      </c>
      <c r="AJ2094" s="81">
        <f>IF(AN2094="","",_xlfn.LET(idVenta, AN2094&amp;"",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94" s="81">
        <f>IF(AN2094="","",AH2094-AJ2094)</f>
        <v/>
      </c>
      <c r="AL2094" s="81">
        <f>IF(AN2094="","",IF(Q2094="Sin Factura","",AI2094-AJ2094))</f>
        <v/>
      </c>
      <c r="AM2094" s="81">
        <f>IF(AN2094="","",IF(Q2094="Sin Factura",0,P2094-IFERROR(INDEX(Facturas_Odoo!$H:$H, MATCH(Q2094, Facturas_Odoo!$B:$B, 0)), 0)))</f>
        <v/>
      </c>
      <c r="AN2094" s="79">
        <f>IF(AND(A2094="", J2094=""), "", IF(A2094&lt;&gt;"", VALUE(MID(A2094,2,LEN(A2094))), AN2093))</f>
        <v/>
      </c>
      <c r="AO2094" s="79">
        <f>IF(AN2094="","",IF(AD2094=0,"OK",_xlfn.LET(monedaPago, IF(AA2094="","USD",AA2094), limitePermitido, IFERROR(VLOOKUP(monedaPago, Configuración!$A$2:$B$3, 2, FALSE), 0.15), IF(AD2094&gt;limitePermitido, "ALERTA: EXCESO (" &amp; TEXT(limitePermitido, "0%") &amp; " máx)", "OK"))))</f>
        <v/>
      </c>
      <c r="AP2094" s="79">
        <f>IF(AN2094="","",IF(AE2094=0,"OK",_xlfn.LET(fechaPago, Z2094, fechaFactura, R2094, diasCredito, IF(E2094="Pago inmediato", 0, IFERROR(VALUE(MID(E2094, 1, SEARCH(" ", E2094)-1)),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94" s="79">
        <f>IF(AN2094="","",IF(AND(N2094&gt;0, AG2094&gt;0), IF(Configuración!$K$2="NO", "ALERTA: DESCUENTO DOBLE NO PERMITIDO", "OK"), "OK"))</f>
        <v/>
      </c>
      <c r="AR2094" s="79">
        <f>IF(AN2094="","",IF(OR(AO2094&lt;&gt;"OK", AP2094&lt;&gt;"OK", AQ2094&lt;&gt;"OK"), "⚠️ REVISAR", "OK"))</f>
        <v/>
      </c>
    </row>
    <row r="2095">
      <c r="A2095" s="79">
        <f>IF('Ordenes_Odoo'!A2095="","",'Ordenes_Odoo'!A2095)</f>
        <v/>
      </c>
      <c r="B2095" s="80">
        <f>IF('Ordenes_Odoo'!B2095="","",'Ordenes_Odoo'!B2095)</f>
        <v/>
      </c>
      <c r="C2095" s="79">
        <f>IF('Ordenes_Odoo'!C2095="","",'Ordenes_Odoo'!C2095)</f>
        <v/>
      </c>
      <c r="D2095" s="79">
        <f>IF('Ordenes_Odoo'!D2095="","",'Ordenes_Odoo'!D2095)</f>
        <v/>
      </c>
      <c r="E2095" s="79">
        <f>IF('Ordenes_Odoo'!E2095="","",'Ordenes_Odoo'!E2095)</f>
        <v/>
      </c>
      <c r="F2095" s="79">
        <f>IF('Ordenes_Odoo'!F2095="","",'Ordenes_Odoo'!F2095)</f>
        <v/>
      </c>
      <c r="G2095" s="79">
        <f>IF('Ordenes_Odoo'!G2095="","",'Ordenes_Odoo'!G2095)</f>
        <v/>
      </c>
      <c r="H2095" s="79">
        <f>IF('Ordenes_Odoo'!H2095="","",'Ordenes_Odoo'!H2095)</f>
        <v/>
      </c>
      <c r="I2095" s="79">
        <f>IF('Ordenes_Odoo'!I2095="","",'Ordenes_Odoo'!I2095)</f>
        <v/>
      </c>
      <c r="J2095" s="79">
        <f>IF('Ordenes_Odoo'!J2095="","",'Ordenes_Odoo'!J2095)</f>
        <v/>
      </c>
      <c r="K2095" s="81">
        <f>IF('Ordenes_Odoo'!K2095="","",'Ordenes_Odoo'!K2095)</f>
        <v/>
      </c>
      <c r="L2095" s="81">
        <f>IF('Ordenes_Odoo'!L2095="","",'Ordenes_Odoo'!L2095)</f>
        <v/>
      </c>
      <c r="M2095" s="79">
        <f>IF('Ordenes_Odoo'!M2095="","",'Ordenes_Odoo'!M2095)</f>
        <v/>
      </c>
      <c r="N2095" s="79">
        <f>IF('Ordenes_Odoo'!N2095="","",'Ordenes_Odoo'!N2095)</f>
        <v/>
      </c>
      <c r="O2095" s="81">
        <f>IF('Ordenes_Odoo'!O2095="","",'Ordenes_Odoo'!O2095)</f>
        <v/>
      </c>
      <c r="P2095" s="81">
        <f>IF('Ordenes_Odoo'!P2095="","",'Ordenes_Odoo'!P2095)</f>
        <v/>
      </c>
      <c r="Q2095" s="79">
        <f>IF(A2095="","",IFERROR(INDEX(Facturas_Odoo!$B:$B, MATCH(A2095, Facturas_Odoo!$D:$D, 0)), "Sin Factura"))</f>
        <v/>
      </c>
      <c r="R2095" s="80">
        <f>IF(Q2095="Sin Factura","",IFERROR(INDEX(Facturas_Odoo!$A:$A, MATCH(Q2095, Facturas_Odoo!$B:$B, 0)), ""))</f>
        <v/>
      </c>
      <c r="S2095" s="79">
        <f>IF(Q2095="Sin Factura","",IFERROR(_xlfn.XLOOKUP(1, (Facturas_Odoo!$D:$D=A2095) * (Facturas_Odoo!$K:$K=I2095), Facturas_Odoo!$L:$L, ""), ""))</f>
        <v/>
      </c>
      <c r="T2095" s="81">
        <f>IF(Q2095="Sin Factura",0,IFERROR(_xlfn.XLOOKUP(1, (Facturas_Odoo!$D:$D=A2095) * (Facturas_Odoo!$K:$K=I2095), Facturas_Odoo!$M:$M, 0), 0))</f>
        <v/>
      </c>
      <c r="U2095" s="79">
        <f>IF(Q2095="Sin Factura",0,IFERROR(_xlfn.XLOOKUP(1, (Facturas_Odoo!$D:$D=A2095) * (Facturas_Odoo!$K:$K=I2095), Facturas_Odoo!$N:$N, 0), 0))</f>
        <v/>
      </c>
      <c r="V2095" s="79">
        <f>IF(Q2095="Sin Factura",0,IFERROR(_xlfn.XLOOKUP(1, (Facturas_Odoo!$D:$D=A2095) * (Facturas_Odoo!$K:$K=I2095), Facturas_Odoo!$O:$O, 0), 0))</f>
        <v/>
      </c>
      <c r="W2095" s="81">
        <f>IF(Q2095="Sin Factura",0,IFERROR(_xlfn.XLOOKUP(1, (Facturas_Odoo!$D:$D=A2095) * (Facturas_Odoo!$K:$K=I2095), Facturas_Odoo!$Q:$Q, 0), 0))</f>
        <v/>
      </c>
      <c r="X2095" s="79">
        <f>IF(OR(Q2095="Sin Factura",Q2095=""),"",IFERROR(INDEX(Pagos_Odoo!$B:$B, MATCH(Q2095, Pagos_Odoo!$I:$I, 0)), "Sin Pago"))</f>
        <v/>
      </c>
      <c r="Y2095" s="79">
        <f>IF(X2095="Sin Pago","",IFERROR(INDEX(Pagos_Odoo!$C:$C, MATCH(X2095, Pagos_Odoo!$B:$B, 0)), ""))</f>
        <v/>
      </c>
      <c r="Z2095" s="80">
        <f>IF(X2095="Sin Pago","",IFERROR(INDEX(Pagos_Odoo!$A:$A, MATCH(X2095, Pagos_Odoo!$B:$B, 0)), ""))</f>
        <v/>
      </c>
      <c r="AA2095" s="79">
        <f>IF(X2095="Sin Pago","",IFERROR(INDEX(Pagos_Odoo!$F:$F, MATCH(X2095, Pagos_Odoo!$B:$B, 0)), ""))</f>
        <v/>
      </c>
      <c r="AB2095" s="81">
        <f>IF(X2095="Sin Pago",0,IFERROR(INDEX(Pagos_Odoo!$E:$E, MATCH(X2095, Pagos_Odoo!$B:$B, 0)), 0))</f>
        <v/>
      </c>
      <c r="AC2095" s="79">
        <f>IF(X2095="Sin Pago","",IFERROR(INDEX(Pagos_Odoo!$G:$G, MATCH(X2095, Pagos_Odoo!$B:$B, 0)), ""))</f>
        <v/>
      </c>
      <c r="AD2095" s="82" t="n">
        <v>0</v>
      </c>
      <c r="AE2095" s="82" t="n"/>
      <c r="AF2095" s="82" t="n"/>
      <c r="AG2095" s="82">
        <f>IF(AN2095="","",AD2095+AE2095+AF2095)</f>
        <v/>
      </c>
      <c r="AH2095" s="81">
        <f>IF(AN2095="","",P2095*(1-AG2095))</f>
        <v/>
      </c>
      <c r="AI2095" s="81">
        <f>IF(AN2095="","",IF(Q2095="Sin Factura",0,IFERROR(INDEX(Facturas_Odoo!$H:$H, MATCH(Q2095, Facturas_Odoo!$B:$B, 0)), 0)*(1-AG2095)))</f>
        <v/>
      </c>
      <c r="AJ2095" s="81">
        <f>IF(AN2095="","",_xlfn.LET(idVenta, AN2095&amp;"",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95" s="81">
        <f>IF(AN2095="","",AH2095-AJ2095)</f>
        <v/>
      </c>
      <c r="AL2095" s="81">
        <f>IF(AN2095="","",IF(Q2095="Sin Factura","",AI2095-AJ2095))</f>
        <v/>
      </c>
      <c r="AM2095" s="81">
        <f>IF(AN2095="","",IF(Q2095="Sin Factura",0,P2095-IFERROR(INDEX(Facturas_Odoo!$H:$H, MATCH(Q2095, Facturas_Odoo!$B:$B, 0)), 0)))</f>
        <v/>
      </c>
      <c r="AN2095" s="79">
        <f>IF(AND(A2095="", J2095=""), "", IF(A2095&lt;&gt;"", VALUE(MID(A2095,2,LEN(A2095))), AN2094))</f>
        <v/>
      </c>
      <c r="AO2095" s="79">
        <f>IF(AN2095="","",IF(AD2095=0,"OK",_xlfn.LET(monedaPago, IF(AA2095="","USD",AA2095), limitePermitido, IFERROR(VLOOKUP(monedaPago, Configuración!$A$2:$B$3, 2, FALSE), 0.15), IF(AD2095&gt;limitePermitido, "ALERTA: EXCESO (" &amp; TEXT(limitePermitido, "0%") &amp; " máx)", "OK"))))</f>
        <v/>
      </c>
      <c r="AP2095" s="79">
        <f>IF(AN2095="","",IF(AE2095=0,"OK",_xlfn.LET(fechaPago, Z2095, fechaFactura, R2095, diasCredito, IF(E2095="Pago inmediato", 0, IFERROR(VALUE(MID(E2095, 1, SEARCH(" ", E2095)-1)),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95" s="79">
        <f>IF(AN2095="","",IF(AND(N2095&gt;0, AG2095&gt;0), IF(Configuración!$K$2="NO", "ALERTA: DESCUENTO DOBLE NO PERMITIDO", "OK"), "OK"))</f>
        <v/>
      </c>
      <c r="AR2095" s="79">
        <f>IF(AN2095="","",IF(OR(AO2095&lt;&gt;"OK", AP2095&lt;&gt;"OK", AQ2095&lt;&gt;"OK"), "⚠️ REVISAR", "OK"))</f>
        <v/>
      </c>
    </row>
    <row r="2096">
      <c r="A2096" s="79">
        <f>IF('Ordenes_Odoo'!A2096="","",'Ordenes_Odoo'!A2096)</f>
        <v/>
      </c>
      <c r="B2096" s="80">
        <f>IF('Ordenes_Odoo'!B2096="","",'Ordenes_Odoo'!B2096)</f>
        <v/>
      </c>
      <c r="C2096" s="79">
        <f>IF('Ordenes_Odoo'!C2096="","",'Ordenes_Odoo'!C2096)</f>
        <v/>
      </c>
      <c r="D2096" s="79">
        <f>IF('Ordenes_Odoo'!D2096="","",'Ordenes_Odoo'!D2096)</f>
        <v/>
      </c>
      <c r="E2096" s="79">
        <f>IF('Ordenes_Odoo'!E2096="","",'Ordenes_Odoo'!E2096)</f>
        <v/>
      </c>
      <c r="F2096" s="79">
        <f>IF('Ordenes_Odoo'!F2096="","",'Ordenes_Odoo'!F2096)</f>
        <v/>
      </c>
      <c r="G2096" s="79">
        <f>IF('Ordenes_Odoo'!G2096="","",'Ordenes_Odoo'!G2096)</f>
        <v/>
      </c>
      <c r="H2096" s="79">
        <f>IF('Ordenes_Odoo'!H2096="","",'Ordenes_Odoo'!H2096)</f>
        <v/>
      </c>
      <c r="I2096" s="79">
        <f>IF('Ordenes_Odoo'!I2096="","",'Ordenes_Odoo'!I2096)</f>
        <v/>
      </c>
      <c r="J2096" s="79">
        <f>IF('Ordenes_Odoo'!J2096="","",'Ordenes_Odoo'!J2096)</f>
        <v/>
      </c>
      <c r="K2096" s="81">
        <f>IF('Ordenes_Odoo'!K2096="","",'Ordenes_Odoo'!K2096)</f>
        <v/>
      </c>
      <c r="L2096" s="81">
        <f>IF('Ordenes_Odoo'!L2096="","",'Ordenes_Odoo'!L2096)</f>
        <v/>
      </c>
      <c r="M2096" s="79">
        <f>IF('Ordenes_Odoo'!M2096="","",'Ordenes_Odoo'!M2096)</f>
        <v/>
      </c>
      <c r="N2096" s="79">
        <f>IF('Ordenes_Odoo'!N2096="","",'Ordenes_Odoo'!N2096)</f>
        <v/>
      </c>
      <c r="O2096" s="81">
        <f>IF('Ordenes_Odoo'!O2096="","",'Ordenes_Odoo'!O2096)</f>
        <v/>
      </c>
      <c r="P2096" s="81">
        <f>IF('Ordenes_Odoo'!P2096="","",'Ordenes_Odoo'!P2096)</f>
        <v/>
      </c>
      <c r="Q2096" s="79">
        <f>IF(A2096="","",IFERROR(INDEX(Facturas_Odoo!$B:$B, MATCH(A2096, Facturas_Odoo!$D:$D, 0)), "Sin Factura"))</f>
        <v/>
      </c>
      <c r="R2096" s="80">
        <f>IF(Q2096="Sin Factura","",IFERROR(INDEX(Facturas_Odoo!$A:$A, MATCH(Q2096, Facturas_Odoo!$B:$B, 0)), ""))</f>
        <v/>
      </c>
      <c r="S2096" s="79">
        <f>IF(Q2096="Sin Factura","",IFERROR(_xlfn.XLOOKUP(1, (Facturas_Odoo!$D:$D=A2096) * (Facturas_Odoo!$K:$K=I2096), Facturas_Odoo!$L:$L, ""), ""))</f>
        <v/>
      </c>
      <c r="T2096" s="81">
        <f>IF(Q2096="Sin Factura",0,IFERROR(_xlfn.XLOOKUP(1, (Facturas_Odoo!$D:$D=A2096) * (Facturas_Odoo!$K:$K=I2096), Facturas_Odoo!$M:$M, 0), 0))</f>
        <v/>
      </c>
      <c r="U2096" s="79">
        <f>IF(Q2096="Sin Factura",0,IFERROR(_xlfn.XLOOKUP(1, (Facturas_Odoo!$D:$D=A2096) * (Facturas_Odoo!$K:$K=I2096), Facturas_Odoo!$N:$N, 0), 0))</f>
        <v/>
      </c>
      <c r="V2096" s="79">
        <f>IF(Q2096="Sin Factura",0,IFERROR(_xlfn.XLOOKUP(1, (Facturas_Odoo!$D:$D=A2096) * (Facturas_Odoo!$K:$K=I2096), Facturas_Odoo!$O:$O, 0), 0))</f>
        <v/>
      </c>
      <c r="W2096" s="81">
        <f>IF(Q2096="Sin Factura",0,IFERROR(_xlfn.XLOOKUP(1, (Facturas_Odoo!$D:$D=A2096) * (Facturas_Odoo!$K:$K=I2096), Facturas_Odoo!$Q:$Q, 0), 0))</f>
        <v/>
      </c>
      <c r="X2096" s="79">
        <f>IF(OR(Q2096="Sin Factura",Q2096=""),"",IFERROR(INDEX(Pagos_Odoo!$B:$B, MATCH(Q2096, Pagos_Odoo!$I:$I, 0)), "Sin Pago"))</f>
        <v/>
      </c>
      <c r="Y2096" s="79">
        <f>IF(X2096="Sin Pago","",IFERROR(INDEX(Pagos_Odoo!$C:$C, MATCH(X2096, Pagos_Odoo!$B:$B, 0)), ""))</f>
        <v/>
      </c>
      <c r="Z2096" s="80">
        <f>IF(X2096="Sin Pago","",IFERROR(INDEX(Pagos_Odoo!$A:$A, MATCH(X2096, Pagos_Odoo!$B:$B, 0)), ""))</f>
        <v/>
      </c>
      <c r="AA2096" s="79">
        <f>IF(X2096="Sin Pago","",IFERROR(INDEX(Pagos_Odoo!$F:$F, MATCH(X2096, Pagos_Odoo!$B:$B, 0)), ""))</f>
        <v/>
      </c>
      <c r="AB2096" s="81">
        <f>IF(X2096="Sin Pago",0,IFERROR(INDEX(Pagos_Odoo!$E:$E, MATCH(X2096, Pagos_Odoo!$B:$B, 0)), 0))</f>
        <v/>
      </c>
      <c r="AC2096" s="79">
        <f>IF(X2096="Sin Pago","",IFERROR(INDEX(Pagos_Odoo!$G:$G, MATCH(X2096, Pagos_Odoo!$B:$B, 0)), ""))</f>
        <v/>
      </c>
      <c r="AD2096" s="82" t="n">
        <v>0</v>
      </c>
      <c r="AE2096" s="82" t="n"/>
      <c r="AF2096" s="82" t="n"/>
      <c r="AG2096" s="82">
        <f>IF(AN2096="","",AD2096+AE2096+AF2096)</f>
        <v/>
      </c>
      <c r="AH2096" s="81">
        <f>IF(AN2096="","",P2096*(1-AG2096))</f>
        <v/>
      </c>
      <c r="AI2096" s="81">
        <f>IF(AN2096="","",IF(Q2096="Sin Factura",0,IFERROR(INDEX(Facturas_Odoo!$H:$H, MATCH(Q2096, Facturas_Odoo!$B:$B, 0)), 0)*(1-AG2096)))</f>
        <v/>
      </c>
      <c r="AJ2096" s="81">
        <f>IF(AN2096="","",_xlfn.LET(idVenta, AN2096&amp;"",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96" s="81">
        <f>IF(AN2096="","",AH2096-AJ2096)</f>
        <v/>
      </c>
      <c r="AL2096" s="81">
        <f>IF(AN2096="","",IF(Q2096="Sin Factura","",AI2096-AJ2096))</f>
        <v/>
      </c>
      <c r="AM2096" s="81">
        <f>IF(AN2096="","",IF(Q2096="Sin Factura",0,P2096-IFERROR(INDEX(Facturas_Odoo!$H:$H, MATCH(Q2096, Facturas_Odoo!$B:$B, 0)), 0)))</f>
        <v/>
      </c>
      <c r="AN2096" s="79">
        <f>IF(AND(A2096="", J2096=""), "", IF(A2096&lt;&gt;"", VALUE(MID(A2096,2,LEN(A2096))), AN2095))</f>
        <v/>
      </c>
      <c r="AO2096" s="79">
        <f>IF(AN2096="","",IF(AD2096=0,"OK",_xlfn.LET(monedaPago, IF(AA2096="","USD",AA2096), limitePermitido, IFERROR(VLOOKUP(monedaPago, Configuración!$A$2:$B$3, 2, FALSE), 0.15), IF(AD2096&gt;limitePermitido, "ALERTA: EXCESO (" &amp; TEXT(limitePermitido, "0%") &amp; " máx)", "OK"))))</f>
        <v/>
      </c>
      <c r="AP2096" s="79">
        <f>IF(AN2096="","",IF(AE2096=0,"OK",_xlfn.LET(fechaPago, Z2096, fechaFactura, R2096, diasCredito, IF(E2096="Pago inmediato", 0, IFERROR(VALUE(MID(E2096, 1, SEARCH(" ", E2096)-1)),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96" s="79">
        <f>IF(AN2096="","",IF(AND(N2096&gt;0, AG2096&gt;0), IF(Configuración!$K$2="NO", "ALERTA: DESCUENTO DOBLE NO PERMITIDO", "OK"), "OK"))</f>
        <v/>
      </c>
      <c r="AR2096" s="79">
        <f>IF(AN2096="","",IF(OR(AO2096&lt;&gt;"OK", AP2096&lt;&gt;"OK", AQ2096&lt;&gt;"OK"), "⚠️ REVISAR", "OK"))</f>
        <v/>
      </c>
    </row>
    <row r="2097">
      <c r="A2097" s="79">
        <f>IF('Ordenes_Odoo'!A2097="","",'Ordenes_Odoo'!A2097)</f>
        <v/>
      </c>
      <c r="B2097" s="80">
        <f>IF('Ordenes_Odoo'!B2097="","",'Ordenes_Odoo'!B2097)</f>
        <v/>
      </c>
      <c r="C2097" s="79">
        <f>IF('Ordenes_Odoo'!C2097="","",'Ordenes_Odoo'!C2097)</f>
        <v/>
      </c>
      <c r="D2097" s="79">
        <f>IF('Ordenes_Odoo'!D2097="","",'Ordenes_Odoo'!D2097)</f>
        <v/>
      </c>
      <c r="E2097" s="79">
        <f>IF('Ordenes_Odoo'!E2097="","",'Ordenes_Odoo'!E2097)</f>
        <v/>
      </c>
      <c r="F2097" s="79">
        <f>IF('Ordenes_Odoo'!F2097="","",'Ordenes_Odoo'!F2097)</f>
        <v/>
      </c>
      <c r="G2097" s="79">
        <f>IF('Ordenes_Odoo'!G2097="","",'Ordenes_Odoo'!G2097)</f>
        <v/>
      </c>
      <c r="H2097" s="79">
        <f>IF('Ordenes_Odoo'!H2097="","",'Ordenes_Odoo'!H2097)</f>
        <v/>
      </c>
      <c r="I2097" s="79">
        <f>IF('Ordenes_Odoo'!I2097="","",'Ordenes_Odoo'!I2097)</f>
        <v/>
      </c>
      <c r="J2097" s="79">
        <f>IF('Ordenes_Odoo'!J2097="","",'Ordenes_Odoo'!J2097)</f>
        <v/>
      </c>
      <c r="K2097" s="81">
        <f>IF('Ordenes_Odoo'!K2097="","",'Ordenes_Odoo'!K2097)</f>
        <v/>
      </c>
      <c r="L2097" s="81">
        <f>IF('Ordenes_Odoo'!L2097="","",'Ordenes_Odoo'!L2097)</f>
        <v/>
      </c>
      <c r="M2097" s="79">
        <f>IF('Ordenes_Odoo'!M2097="","",'Ordenes_Odoo'!M2097)</f>
        <v/>
      </c>
      <c r="N2097" s="79">
        <f>IF('Ordenes_Odoo'!N2097="","",'Ordenes_Odoo'!N2097)</f>
        <v/>
      </c>
      <c r="O2097" s="81">
        <f>IF('Ordenes_Odoo'!O2097="","",'Ordenes_Odoo'!O2097)</f>
        <v/>
      </c>
      <c r="P2097" s="81">
        <f>IF('Ordenes_Odoo'!P2097="","",'Ordenes_Odoo'!P2097)</f>
        <v/>
      </c>
      <c r="Q2097" s="79">
        <f>IF(A2097="","",IFERROR(INDEX(Facturas_Odoo!$B:$B, MATCH(A2097, Facturas_Odoo!$D:$D, 0)), "Sin Factura"))</f>
        <v/>
      </c>
      <c r="R2097" s="80">
        <f>IF(Q2097="Sin Factura","",IFERROR(INDEX(Facturas_Odoo!$A:$A, MATCH(Q2097, Facturas_Odoo!$B:$B, 0)), ""))</f>
        <v/>
      </c>
      <c r="S2097" s="79">
        <f>IF(Q2097="Sin Factura","",IFERROR(_xlfn.XLOOKUP(1, (Facturas_Odoo!$D:$D=A2097) * (Facturas_Odoo!$K:$K=I2097), Facturas_Odoo!$L:$L, ""), ""))</f>
        <v/>
      </c>
      <c r="T2097" s="81">
        <f>IF(Q2097="Sin Factura",0,IFERROR(_xlfn.XLOOKUP(1, (Facturas_Odoo!$D:$D=A2097) * (Facturas_Odoo!$K:$K=I2097), Facturas_Odoo!$M:$M, 0), 0))</f>
        <v/>
      </c>
      <c r="U2097" s="79">
        <f>IF(Q2097="Sin Factura",0,IFERROR(_xlfn.XLOOKUP(1, (Facturas_Odoo!$D:$D=A2097) * (Facturas_Odoo!$K:$K=I2097), Facturas_Odoo!$N:$N, 0), 0))</f>
        <v/>
      </c>
      <c r="V2097" s="79">
        <f>IF(Q2097="Sin Factura",0,IFERROR(_xlfn.XLOOKUP(1, (Facturas_Odoo!$D:$D=A2097) * (Facturas_Odoo!$K:$K=I2097), Facturas_Odoo!$O:$O, 0), 0))</f>
        <v/>
      </c>
      <c r="W2097" s="81">
        <f>IF(Q2097="Sin Factura",0,IFERROR(_xlfn.XLOOKUP(1, (Facturas_Odoo!$D:$D=A2097) * (Facturas_Odoo!$K:$K=I2097), Facturas_Odoo!$Q:$Q, 0), 0))</f>
        <v/>
      </c>
      <c r="X2097" s="79">
        <f>IF(OR(Q2097="Sin Factura",Q2097=""),"",IFERROR(INDEX(Pagos_Odoo!$B:$B, MATCH(Q2097, Pagos_Odoo!$I:$I, 0)), "Sin Pago"))</f>
        <v/>
      </c>
      <c r="Y2097" s="79">
        <f>IF(X2097="Sin Pago","",IFERROR(INDEX(Pagos_Odoo!$C:$C, MATCH(X2097, Pagos_Odoo!$B:$B, 0)), ""))</f>
        <v/>
      </c>
      <c r="Z2097" s="80">
        <f>IF(X2097="Sin Pago","",IFERROR(INDEX(Pagos_Odoo!$A:$A, MATCH(X2097, Pagos_Odoo!$B:$B, 0)), ""))</f>
        <v/>
      </c>
      <c r="AA2097" s="79">
        <f>IF(X2097="Sin Pago","",IFERROR(INDEX(Pagos_Odoo!$F:$F, MATCH(X2097, Pagos_Odoo!$B:$B, 0)), ""))</f>
        <v/>
      </c>
      <c r="AB2097" s="81">
        <f>IF(X2097="Sin Pago",0,IFERROR(INDEX(Pagos_Odoo!$E:$E, MATCH(X2097, Pagos_Odoo!$B:$B, 0)), 0))</f>
        <v/>
      </c>
      <c r="AC2097" s="79">
        <f>IF(X2097="Sin Pago","",IFERROR(INDEX(Pagos_Odoo!$G:$G, MATCH(X2097, Pagos_Odoo!$B:$B, 0)), ""))</f>
        <v/>
      </c>
      <c r="AD2097" s="82" t="n">
        <v>0</v>
      </c>
      <c r="AE2097" s="82" t="n"/>
      <c r="AF2097" s="82" t="n"/>
      <c r="AG2097" s="82">
        <f>IF(AN2097="","",AD2097+AE2097+AF2097)</f>
        <v/>
      </c>
      <c r="AH2097" s="81">
        <f>IF(AN2097="","",P2097*(1-AG2097))</f>
        <v/>
      </c>
      <c r="AI2097" s="81">
        <f>IF(AN2097="","",IF(Q2097="Sin Factura",0,IFERROR(INDEX(Facturas_Odoo!$H:$H, MATCH(Q2097, Facturas_Odoo!$B:$B, 0)), 0)*(1-AG2097)))</f>
        <v/>
      </c>
      <c r="AJ2097" s="81">
        <f>IF(AN2097="","",_xlfn.LET(idVenta, AN2097&amp;"",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97" s="81">
        <f>IF(AN2097="","",AH2097-AJ2097)</f>
        <v/>
      </c>
      <c r="AL2097" s="81">
        <f>IF(AN2097="","",IF(Q2097="Sin Factura","",AI2097-AJ2097))</f>
        <v/>
      </c>
      <c r="AM2097" s="81">
        <f>IF(AN2097="","",IF(Q2097="Sin Factura",0,P2097-IFERROR(INDEX(Facturas_Odoo!$H:$H, MATCH(Q2097, Facturas_Odoo!$B:$B, 0)), 0)))</f>
        <v/>
      </c>
      <c r="AN2097" s="79">
        <f>IF(AND(A2097="", J2097=""), "", IF(A2097&lt;&gt;"", VALUE(MID(A2097,2,LEN(A2097))), AN2096))</f>
        <v/>
      </c>
      <c r="AO2097" s="79">
        <f>IF(AN2097="","",IF(AD2097=0,"OK",_xlfn.LET(monedaPago, IF(AA2097="","USD",AA2097), limitePermitido, IFERROR(VLOOKUP(monedaPago, Configuración!$A$2:$B$3, 2, FALSE), 0.15), IF(AD2097&gt;limitePermitido, "ALERTA: EXCESO (" &amp; TEXT(limitePermitido, "0%") &amp; " máx)", "OK"))))</f>
        <v/>
      </c>
      <c r="AP2097" s="79">
        <f>IF(AN2097="","",IF(AE2097=0,"OK",_xlfn.LET(fechaPago, Z2097, fechaFactura, R2097, diasCredito, IF(E2097="Pago inmediato", 0, IFERROR(VALUE(MID(E2097, 1, SEARCH(" ", E2097)-1)),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97" s="79">
        <f>IF(AN2097="","",IF(AND(N2097&gt;0, AG2097&gt;0), IF(Configuración!$K$2="NO", "ALERTA: DESCUENTO DOBLE NO PERMITIDO", "OK"), "OK"))</f>
        <v/>
      </c>
      <c r="AR2097" s="79">
        <f>IF(AN2097="","",IF(OR(AO2097&lt;&gt;"OK", AP2097&lt;&gt;"OK", AQ2097&lt;&gt;"OK"), "⚠️ REVISAR", "OK"))</f>
        <v/>
      </c>
    </row>
    <row r="2098">
      <c r="A2098" s="79">
        <f>IF('Ordenes_Odoo'!A2098="","",'Ordenes_Odoo'!A2098)</f>
        <v/>
      </c>
      <c r="B2098" s="80">
        <f>IF('Ordenes_Odoo'!B2098="","",'Ordenes_Odoo'!B2098)</f>
        <v/>
      </c>
      <c r="C2098" s="79">
        <f>IF('Ordenes_Odoo'!C2098="","",'Ordenes_Odoo'!C2098)</f>
        <v/>
      </c>
      <c r="D2098" s="79">
        <f>IF('Ordenes_Odoo'!D2098="","",'Ordenes_Odoo'!D2098)</f>
        <v/>
      </c>
      <c r="E2098" s="79">
        <f>IF('Ordenes_Odoo'!E2098="","",'Ordenes_Odoo'!E2098)</f>
        <v/>
      </c>
      <c r="F2098" s="79">
        <f>IF('Ordenes_Odoo'!F2098="","",'Ordenes_Odoo'!F2098)</f>
        <v/>
      </c>
      <c r="G2098" s="79">
        <f>IF('Ordenes_Odoo'!G2098="","",'Ordenes_Odoo'!G2098)</f>
        <v/>
      </c>
      <c r="H2098" s="79">
        <f>IF('Ordenes_Odoo'!H2098="","",'Ordenes_Odoo'!H2098)</f>
        <v/>
      </c>
      <c r="I2098" s="79">
        <f>IF('Ordenes_Odoo'!I2098="","",'Ordenes_Odoo'!I2098)</f>
        <v/>
      </c>
      <c r="J2098" s="79">
        <f>IF('Ordenes_Odoo'!J2098="","",'Ordenes_Odoo'!J2098)</f>
        <v/>
      </c>
      <c r="K2098" s="81">
        <f>IF('Ordenes_Odoo'!K2098="","",'Ordenes_Odoo'!K2098)</f>
        <v/>
      </c>
      <c r="L2098" s="81">
        <f>IF('Ordenes_Odoo'!L2098="","",'Ordenes_Odoo'!L2098)</f>
        <v/>
      </c>
      <c r="M2098" s="79">
        <f>IF('Ordenes_Odoo'!M2098="","",'Ordenes_Odoo'!M2098)</f>
        <v/>
      </c>
      <c r="N2098" s="79">
        <f>IF('Ordenes_Odoo'!N2098="","",'Ordenes_Odoo'!N2098)</f>
        <v/>
      </c>
      <c r="O2098" s="81">
        <f>IF('Ordenes_Odoo'!O2098="","",'Ordenes_Odoo'!O2098)</f>
        <v/>
      </c>
      <c r="P2098" s="81">
        <f>IF('Ordenes_Odoo'!P2098="","",'Ordenes_Odoo'!P2098)</f>
        <v/>
      </c>
      <c r="Q2098" s="79">
        <f>IF(A2098="","",IFERROR(INDEX(Facturas_Odoo!$B:$B, MATCH(A2098, Facturas_Odoo!$D:$D, 0)), "Sin Factura"))</f>
        <v/>
      </c>
      <c r="R2098" s="80">
        <f>IF(Q2098="Sin Factura","",IFERROR(INDEX(Facturas_Odoo!$A:$A, MATCH(Q2098, Facturas_Odoo!$B:$B, 0)), ""))</f>
        <v/>
      </c>
      <c r="S2098" s="79">
        <f>IF(Q2098="Sin Factura","",IFERROR(_xlfn.XLOOKUP(1, (Facturas_Odoo!$D:$D=A2098) * (Facturas_Odoo!$K:$K=I2098), Facturas_Odoo!$L:$L, ""), ""))</f>
        <v/>
      </c>
      <c r="T2098" s="81">
        <f>IF(Q2098="Sin Factura",0,IFERROR(_xlfn.XLOOKUP(1, (Facturas_Odoo!$D:$D=A2098) * (Facturas_Odoo!$K:$K=I2098), Facturas_Odoo!$M:$M, 0), 0))</f>
        <v/>
      </c>
      <c r="U2098" s="79">
        <f>IF(Q2098="Sin Factura",0,IFERROR(_xlfn.XLOOKUP(1, (Facturas_Odoo!$D:$D=A2098) * (Facturas_Odoo!$K:$K=I2098), Facturas_Odoo!$N:$N, 0), 0))</f>
        <v/>
      </c>
      <c r="V2098" s="79">
        <f>IF(Q2098="Sin Factura",0,IFERROR(_xlfn.XLOOKUP(1, (Facturas_Odoo!$D:$D=A2098) * (Facturas_Odoo!$K:$K=I2098), Facturas_Odoo!$O:$O, 0), 0))</f>
        <v/>
      </c>
      <c r="W2098" s="81">
        <f>IF(Q2098="Sin Factura",0,IFERROR(_xlfn.XLOOKUP(1, (Facturas_Odoo!$D:$D=A2098) * (Facturas_Odoo!$K:$K=I2098), Facturas_Odoo!$Q:$Q, 0), 0))</f>
        <v/>
      </c>
      <c r="X2098" s="79">
        <f>IF(OR(Q2098="Sin Factura",Q2098=""),"",IFERROR(INDEX(Pagos_Odoo!$B:$B, MATCH(Q2098, Pagos_Odoo!$I:$I, 0)), "Sin Pago"))</f>
        <v/>
      </c>
      <c r="Y2098" s="79">
        <f>IF(X2098="Sin Pago","",IFERROR(INDEX(Pagos_Odoo!$C:$C, MATCH(X2098, Pagos_Odoo!$B:$B, 0)), ""))</f>
        <v/>
      </c>
      <c r="Z2098" s="80">
        <f>IF(X2098="Sin Pago","",IFERROR(INDEX(Pagos_Odoo!$A:$A, MATCH(X2098, Pagos_Odoo!$B:$B, 0)), ""))</f>
        <v/>
      </c>
      <c r="AA2098" s="79">
        <f>IF(X2098="Sin Pago","",IFERROR(INDEX(Pagos_Odoo!$F:$F, MATCH(X2098, Pagos_Odoo!$B:$B, 0)), ""))</f>
        <v/>
      </c>
      <c r="AB2098" s="81">
        <f>IF(X2098="Sin Pago",0,IFERROR(INDEX(Pagos_Odoo!$E:$E, MATCH(X2098, Pagos_Odoo!$B:$B, 0)), 0))</f>
        <v/>
      </c>
      <c r="AC2098" s="79">
        <f>IF(X2098="Sin Pago","",IFERROR(INDEX(Pagos_Odoo!$G:$G, MATCH(X2098, Pagos_Odoo!$B:$B, 0)), ""))</f>
        <v/>
      </c>
      <c r="AD2098" s="82" t="n">
        <v>0</v>
      </c>
      <c r="AE2098" s="82" t="n"/>
      <c r="AF2098" s="82" t="n"/>
      <c r="AG2098" s="82">
        <f>IF(AN2098="","",AD2098+AE2098+AF2098)</f>
        <v/>
      </c>
      <c r="AH2098" s="81">
        <f>IF(AN2098="","",P2098*(1-AG2098))</f>
        <v/>
      </c>
      <c r="AI2098" s="81">
        <f>IF(AN2098="","",IF(Q2098="Sin Factura",0,IFERROR(INDEX(Facturas_Odoo!$H:$H, MATCH(Q2098, Facturas_Odoo!$B:$B, 0)), 0)*(1-AG2098)))</f>
        <v/>
      </c>
      <c r="AJ2098" s="81">
        <f>IF(AN2098="","",_xlfn.LET(idVenta, AN2098&amp;"",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98" s="81">
        <f>IF(AN2098="","",AH2098-AJ2098)</f>
        <v/>
      </c>
      <c r="AL2098" s="81">
        <f>IF(AN2098="","",IF(Q2098="Sin Factura","",AI2098-AJ2098))</f>
        <v/>
      </c>
      <c r="AM2098" s="81">
        <f>IF(AN2098="","",IF(Q2098="Sin Factura",0,P2098-IFERROR(INDEX(Facturas_Odoo!$H:$H, MATCH(Q2098, Facturas_Odoo!$B:$B, 0)), 0)))</f>
        <v/>
      </c>
      <c r="AN2098" s="79">
        <f>IF(AND(A2098="", J2098=""), "", IF(A2098&lt;&gt;"", VALUE(MID(A2098,2,LEN(A2098))), AN2097))</f>
        <v/>
      </c>
      <c r="AO2098" s="79">
        <f>IF(AN2098="","",IF(AD2098=0,"OK",_xlfn.LET(monedaPago, IF(AA2098="","USD",AA2098), limitePermitido, IFERROR(VLOOKUP(monedaPago, Configuración!$A$2:$B$3, 2, FALSE), 0.15), IF(AD2098&gt;limitePermitido, "ALERTA: EXCESO (" &amp; TEXT(limitePermitido, "0%") &amp; " máx)", "OK"))))</f>
        <v/>
      </c>
      <c r="AP2098" s="79">
        <f>IF(AN2098="","",IF(AE2098=0,"OK",_xlfn.LET(fechaPago, Z2098, fechaFactura, R2098, diasCredito, IF(E2098="Pago inmediato", 0, IFERROR(VALUE(MID(E2098, 1, SEARCH(" ", E2098)-1)),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98" s="79">
        <f>IF(AN2098="","",IF(AND(N2098&gt;0, AG2098&gt;0), IF(Configuración!$K$2="NO", "ALERTA: DESCUENTO DOBLE NO PERMITIDO", "OK"), "OK"))</f>
        <v/>
      </c>
      <c r="AR2098" s="79">
        <f>IF(AN2098="","",IF(OR(AO2098&lt;&gt;"OK", AP2098&lt;&gt;"OK", AQ2098&lt;&gt;"OK"), "⚠️ REVISAR", "OK"))</f>
        <v/>
      </c>
    </row>
    <row r="2099">
      <c r="A2099" s="79">
        <f>IF('Ordenes_Odoo'!A2099="","",'Ordenes_Odoo'!A2099)</f>
        <v/>
      </c>
      <c r="B2099" s="80">
        <f>IF('Ordenes_Odoo'!B2099="","",'Ordenes_Odoo'!B2099)</f>
        <v/>
      </c>
      <c r="C2099" s="79">
        <f>IF('Ordenes_Odoo'!C2099="","",'Ordenes_Odoo'!C2099)</f>
        <v/>
      </c>
      <c r="D2099" s="79">
        <f>IF('Ordenes_Odoo'!D2099="","",'Ordenes_Odoo'!D2099)</f>
        <v/>
      </c>
      <c r="E2099" s="79">
        <f>IF('Ordenes_Odoo'!E2099="","",'Ordenes_Odoo'!E2099)</f>
        <v/>
      </c>
      <c r="F2099" s="79">
        <f>IF('Ordenes_Odoo'!F2099="","",'Ordenes_Odoo'!F2099)</f>
        <v/>
      </c>
      <c r="G2099" s="79">
        <f>IF('Ordenes_Odoo'!G2099="","",'Ordenes_Odoo'!G2099)</f>
        <v/>
      </c>
      <c r="H2099" s="79">
        <f>IF('Ordenes_Odoo'!H2099="","",'Ordenes_Odoo'!H2099)</f>
        <v/>
      </c>
      <c r="I2099" s="79">
        <f>IF('Ordenes_Odoo'!I2099="","",'Ordenes_Odoo'!I2099)</f>
        <v/>
      </c>
      <c r="J2099" s="79">
        <f>IF('Ordenes_Odoo'!J2099="","",'Ordenes_Odoo'!J2099)</f>
        <v/>
      </c>
      <c r="K2099" s="81">
        <f>IF('Ordenes_Odoo'!K2099="","",'Ordenes_Odoo'!K2099)</f>
        <v/>
      </c>
      <c r="L2099" s="81">
        <f>IF('Ordenes_Odoo'!L2099="","",'Ordenes_Odoo'!L2099)</f>
        <v/>
      </c>
      <c r="M2099" s="79">
        <f>IF('Ordenes_Odoo'!M2099="","",'Ordenes_Odoo'!M2099)</f>
        <v/>
      </c>
      <c r="N2099" s="79">
        <f>IF('Ordenes_Odoo'!N2099="","",'Ordenes_Odoo'!N2099)</f>
        <v/>
      </c>
      <c r="O2099" s="81">
        <f>IF('Ordenes_Odoo'!O2099="","",'Ordenes_Odoo'!O2099)</f>
        <v/>
      </c>
      <c r="P2099" s="81">
        <f>IF('Ordenes_Odoo'!P2099="","",'Ordenes_Odoo'!P2099)</f>
        <v/>
      </c>
      <c r="Q2099" s="79">
        <f>IF(A2099="","",IFERROR(INDEX(Facturas_Odoo!$B:$B, MATCH(A2099, Facturas_Odoo!$D:$D, 0)), "Sin Factura"))</f>
        <v/>
      </c>
      <c r="R2099" s="80">
        <f>IF(Q2099="Sin Factura","",IFERROR(INDEX(Facturas_Odoo!$A:$A, MATCH(Q2099, Facturas_Odoo!$B:$B, 0)), ""))</f>
        <v/>
      </c>
      <c r="S2099" s="79">
        <f>IF(Q2099="Sin Factura","",IFERROR(_xlfn.XLOOKUP(1, (Facturas_Odoo!$D:$D=A2099) * (Facturas_Odoo!$K:$K=I2099), Facturas_Odoo!$L:$L, ""), ""))</f>
        <v/>
      </c>
      <c r="T2099" s="81">
        <f>IF(Q2099="Sin Factura",0,IFERROR(_xlfn.XLOOKUP(1, (Facturas_Odoo!$D:$D=A2099) * (Facturas_Odoo!$K:$K=I2099), Facturas_Odoo!$M:$M, 0), 0))</f>
        <v/>
      </c>
      <c r="U2099" s="79">
        <f>IF(Q2099="Sin Factura",0,IFERROR(_xlfn.XLOOKUP(1, (Facturas_Odoo!$D:$D=A2099) * (Facturas_Odoo!$K:$K=I2099), Facturas_Odoo!$N:$N, 0), 0))</f>
        <v/>
      </c>
      <c r="V2099" s="79">
        <f>IF(Q2099="Sin Factura",0,IFERROR(_xlfn.XLOOKUP(1, (Facturas_Odoo!$D:$D=A2099) * (Facturas_Odoo!$K:$K=I2099), Facturas_Odoo!$O:$O, 0), 0))</f>
        <v/>
      </c>
      <c r="W2099" s="81">
        <f>IF(Q2099="Sin Factura",0,IFERROR(_xlfn.XLOOKUP(1, (Facturas_Odoo!$D:$D=A2099) * (Facturas_Odoo!$K:$K=I2099), Facturas_Odoo!$Q:$Q, 0), 0))</f>
        <v/>
      </c>
      <c r="X2099" s="79">
        <f>IF(OR(Q2099="Sin Factura",Q2099=""),"",IFERROR(INDEX(Pagos_Odoo!$B:$B, MATCH(Q2099, Pagos_Odoo!$I:$I, 0)), "Sin Pago"))</f>
        <v/>
      </c>
      <c r="Y2099" s="79">
        <f>IF(X2099="Sin Pago","",IFERROR(INDEX(Pagos_Odoo!$C:$C, MATCH(X2099, Pagos_Odoo!$B:$B, 0)), ""))</f>
        <v/>
      </c>
      <c r="Z2099" s="80">
        <f>IF(X2099="Sin Pago","",IFERROR(INDEX(Pagos_Odoo!$A:$A, MATCH(X2099, Pagos_Odoo!$B:$B, 0)), ""))</f>
        <v/>
      </c>
      <c r="AA2099" s="79">
        <f>IF(X2099="Sin Pago","",IFERROR(INDEX(Pagos_Odoo!$F:$F, MATCH(X2099, Pagos_Odoo!$B:$B, 0)), ""))</f>
        <v/>
      </c>
      <c r="AB2099" s="81">
        <f>IF(X2099="Sin Pago",0,IFERROR(INDEX(Pagos_Odoo!$E:$E, MATCH(X2099, Pagos_Odoo!$B:$B, 0)), 0))</f>
        <v/>
      </c>
      <c r="AC2099" s="79">
        <f>IF(X2099="Sin Pago","",IFERROR(INDEX(Pagos_Odoo!$G:$G, MATCH(X2099, Pagos_Odoo!$B:$B, 0)), ""))</f>
        <v/>
      </c>
      <c r="AD2099" s="82" t="n">
        <v>0</v>
      </c>
      <c r="AE2099" s="82" t="n"/>
      <c r="AF2099" s="82" t="n"/>
      <c r="AG2099" s="82">
        <f>IF(AN2099="","",AD2099+AE2099+AF2099)</f>
        <v/>
      </c>
      <c r="AH2099" s="81">
        <f>IF(AN2099="","",P2099*(1-AG2099))</f>
        <v/>
      </c>
      <c r="AI2099" s="81">
        <f>IF(AN2099="","",IF(Q2099="Sin Factura",0,IFERROR(INDEX(Facturas_Odoo!$H:$H, MATCH(Q2099, Facturas_Odoo!$B:$B, 0)), 0)*(1-AG2099)))</f>
        <v/>
      </c>
      <c r="AJ2099" s="81">
        <f>IF(AN2099="","",_xlfn.LET(idVenta, AN2099&amp;"",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099" s="81">
        <f>IF(AN2099="","",AH2099-AJ2099)</f>
        <v/>
      </c>
      <c r="AL2099" s="81">
        <f>IF(AN2099="","",IF(Q2099="Sin Factura","",AI2099-AJ2099))</f>
        <v/>
      </c>
      <c r="AM2099" s="81">
        <f>IF(AN2099="","",IF(Q2099="Sin Factura",0,P2099-IFERROR(INDEX(Facturas_Odoo!$H:$H, MATCH(Q2099, Facturas_Odoo!$B:$B, 0)), 0)))</f>
        <v/>
      </c>
      <c r="AN2099" s="79">
        <f>IF(AND(A2099="", J2099=""), "", IF(A2099&lt;&gt;"", VALUE(MID(A2099,2,LEN(A2099))), AN2098))</f>
        <v/>
      </c>
      <c r="AO2099" s="79">
        <f>IF(AN2099="","",IF(AD2099=0,"OK",_xlfn.LET(monedaPago, IF(AA2099="","USD",AA2099), limitePermitido, IFERROR(VLOOKUP(monedaPago, Configuración!$A$2:$B$3, 2, FALSE), 0.15), IF(AD2099&gt;limitePermitido, "ALERTA: EXCESO (" &amp; TEXT(limitePermitido, "0%") &amp; " máx)", "OK"))))</f>
        <v/>
      </c>
      <c r="AP2099" s="79">
        <f>IF(AN2099="","",IF(AE2099=0,"OK",_xlfn.LET(fechaPago, Z2099, fechaFactura, R2099, diasCredito, IF(E2099="Pago inmediato", 0, IFERROR(VALUE(MID(E2099, 1, SEARCH(" ", E2099)-1)),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099" s="79">
        <f>IF(AN2099="","",IF(AND(N2099&gt;0, AG2099&gt;0), IF(Configuración!$K$2="NO", "ALERTA: DESCUENTO DOBLE NO PERMITIDO", "OK"), "OK"))</f>
        <v/>
      </c>
      <c r="AR2099" s="79">
        <f>IF(AN2099="","",IF(OR(AO2099&lt;&gt;"OK", AP2099&lt;&gt;"OK", AQ2099&lt;&gt;"OK"), "⚠️ REVISAR", "OK"))</f>
        <v/>
      </c>
    </row>
    <row r="2100">
      <c r="A2100" s="79">
        <f>IF('Ordenes_Odoo'!A2100="","",'Ordenes_Odoo'!A2100)</f>
        <v/>
      </c>
      <c r="B2100" s="80">
        <f>IF('Ordenes_Odoo'!B2100="","",'Ordenes_Odoo'!B2100)</f>
        <v/>
      </c>
      <c r="C2100" s="79">
        <f>IF('Ordenes_Odoo'!C2100="","",'Ordenes_Odoo'!C2100)</f>
        <v/>
      </c>
      <c r="D2100" s="79">
        <f>IF('Ordenes_Odoo'!D2100="","",'Ordenes_Odoo'!D2100)</f>
        <v/>
      </c>
      <c r="E2100" s="79">
        <f>IF('Ordenes_Odoo'!E2100="","",'Ordenes_Odoo'!E2100)</f>
        <v/>
      </c>
      <c r="F2100" s="79">
        <f>IF('Ordenes_Odoo'!F2100="","",'Ordenes_Odoo'!F2100)</f>
        <v/>
      </c>
      <c r="G2100" s="79">
        <f>IF('Ordenes_Odoo'!G2100="","",'Ordenes_Odoo'!G2100)</f>
        <v/>
      </c>
      <c r="H2100" s="79">
        <f>IF('Ordenes_Odoo'!H2100="","",'Ordenes_Odoo'!H2100)</f>
        <v/>
      </c>
      <c r="I2100" s="79">
        <f>IF('Ordenes_Odoo'!I2100="","",'Ordenes_Odoo'!I2100)</f>
        <v/>
      </c>
      <c r="J2100" s="79">
        <f>IF('Ordenes_Odoo'!J2100="","",'Ordenes_Odoo'!J2100)</f>
        <v/>
      </c>
      <c r="K2100" s="81">
        <f>IF('Ordenes_Odoo'!K2100="","",'Ordenes_Odoo'!K2100)</f>
        <v/>
      </c>
      <c r="L2100" s="81">
        <f>IF('Ordenes_Odoo'!L2100="","",'Ordenes_Odoo'!L2100)</f>
        <v/>
      </c>
      <c r="M2100" s="79">
        <f>IF('Ordenes_Odoo'!M2100="","",'Ordenes_Odoo'!M2100)</f>
        <v/>
      </c>
      <c r="N2100" s="79">
        <f>IF('Ordenes_Odoo'!N2100="","",'Ordenes_Odoo'!N2100)</f>
        <v/>
      </c>
      <c r="O2100" s="81">
        <f>IF('Ordenes_Odoo'!O2100="","",'Ordenes_Odoo'!O2100)</f>
        <v/>
      </c>
      <c r="P2100" s="81">
        <f>IF('Ordenes_Odoo'!P2100="","",'Ordenes_Odoo'!P2100)</f>
        <v/>
      </c>
      <c r="Q2100" s="79">
        <f>IF(A2100="","",IFERROR(INDEX(Facturas_Odoo!$B:$B, MATCH(A2100, Facturas_Odoo!$D:$D, 0)), "Sin Factura"))</f>
        <v/>
      </c>
      <c r="R2100" s="80">
        <f>IF(Q2100="Sin Factura","",IFERROR(INDEX(Facturas_Odoo!$A:$A, MATCH(Q2100, Facturas_Odoo!$B:$B, 0)), ""))</f>
        <v/>
      </c>
      <c r="S2100" s="79">
        <f>IF(Q2100="Sin Factura","",IFERROR(_xlfn.XLOOKUP(1, (Facturas_Odoo!$D:$D=A2100) * (Facturas_Odoo!$K:$K=I2100), Facturas_Odoo!$L:$L, ""), ""))</f>
        <v/>
      </c>
      <c r="T2100" s="81">
        <f>IF(Q2100="Sin Factura",0,IFERROR(_xlfn.XLOOKUP(1, (Facturas_Odoo!$D:$D=A2100) * (Facturas_Odoo!$K:$K=I2100), Facturas_Odoo!$M:$M, 0), 0))</f>
        <v/>
      </c>
      <c r="U2100" s="79">
        <f>IF(Q2100="Sin Factura",0,IFERROR(_xlfn.XLOOKUP(1, (Facturas_Odoo!$D:$D=A2100) * (Facturas_Odoo!$K:$K=I2100), Facturas_Odoo!$N:$N, 0), 0))</f>
        <v/>
      </c>
      <c r="V2100" s="79">
        <f>IF(Q2100="Sin Factura",0,IFERROR(_xlfn.XLOOKUP(1, (Facturas_Odoo!$D:$D=A2100) * (Facturas_Odoo!$K:$K=I2100), Facturas_Odoo!$O:$O, 0), 0))</f>
        <v/>
      </c>
      <c r="W2100" s="81">
        <f>IF(Q2100="Sin Factura",0,IFERROR(_xlfn.XLOOKUP(1, (Facturas_Odoo!$D:$D=A2100) * (Facturas_Odoo!$K:$K=I2100), Facturas_Odoo!$Q:$Q, 0), 0))</f>
        <v/>
      </c>
      <c r="X2100" s="79">
        <f>IF(OR(Q2100="Sin Factura",Q2100=""),"",IFERROR(INDEX(Pagos_Odoo!$B:$B, MATCH(Q2100, Pagos_Odoo!$I:$I, 0)), "Sin Pago"))</f>
        <v/>
      </c>
      <c r="Y2100" s="79">
        <f>IF(X2100="Sin Pago","",IFERROR(INDEX(Pagos_Odoo!$C:$C, MATCH(X2100, Pagos_Odoo!$B:$B, 0)), ""))</f>
        <v/>
      </c>
      <c r="Z2100" s="80">
        <f>IF(X2100="Sin Pago","",IFERROR(INDEX(Pagos_Odoo!$A:$A, MATCH(X2100, Pagos_Odoo!$B:$B, 0)), ""))</f>
        <v/>
      </c>
      <c r="AA2100" s="79">
        <f>IF(X2100="Sin Pago","",IFERROR(INDEX(Pagos_Odoo!$F:$F, MATCH(X2100, Pagos_Odoo!$B:$B, 0)), ""))</f>
        <v/>
      </c>
      <c r="AB2100" s="81">
        <f>IF(X2100="Sin Pago",0,IFERROR(INDEX(Pagos_Odoo!$E:$E, MATCH(X2100, Pagos_Odoo!$B:$B, 0)), 0))</f>
        <v/>
      </c>
      <c r="AC2100" s="79">
        <f>IF(X2100="Sin Pago","",IFERROR(INDEX(Pagos_Odoo!$G:$G, MATCH(X2100, Pagos_Odoo!$B:$B, 0)), ""))</f>
        <v/>
      </c>
      <c r="AD2100" s="82" t="n">
        <v>0</v>
      </c>
      <c r="AE2100" s="82" t="n"/>
      <c r="AF2100" s="82" t="n"/>
      <c r="AG2100" s="82">
        <f>IF(AN2100="","",AD2100+AE2100+AF2100)</f>
        <v/>
      </c>
      <c r="AH2100" s="81">
        <f>IF(AN2100="","",P2100*(1-AG2100))</f>
        <v/>
      </c>
      <c r="AI2100" s="81">
        <f>IF(AN2100="","",IF(Q2100="Sin Factura",0,IFERROR(INDEX(Facturas_Odoo!$H:$H, MATCH(Q2100, Facturas_Odoo!$B:$B, 0)), 0)*(1-AG2100)))</f>
        <v/>
      </c>
      <c r="AJ2100" s="81">
        <f>IF(AN2100="","",_xlfn.LET(idVenta, AN2100&amp;"",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00" s="81">
        <f>IF(AN2100="","",AH2100-AJ2100)</f>
        <v/>
      </c>
      <c r="AL2100" s="81">
        <f>IF(AN2100="","",IF(Q2100="Sin Factura","",AI2100-AJ2100))</f>
        <v/>
      </c>
      <c r="AM2100" s="81">
        <f>IF(AN2100="","",IF(Q2100="Sin Factura",0,P2100-IFERROR(INDEX(Facturas_Odoo!$H:$H, MATCH(Q2100, Facturas_Odoo!$B:$B, 0)), 0)))</f>
        <v/>
      </c>
      <c r="AN2100" s="79">
        <f>IF(AND(A2100="", J2100=""), "", IF(A2100&lt;&gt;"", VALUE(MID(A2100,2,LEN(A2100))), AN2099))</f>
        <v/>
      </c>
      <c r="AO2100" s="79">
        <f>IF(AN2100="","",IF(AD2100=0,"OK",_xlfn.LET(monedaPago, IF(AA2100="","USD",AA2100), limitePermitido, IFERROR(VLOOKUP(monedaPago, Configuración!$A$2:$B$3, 2, FALSE), 0.15), IF(AD2100&gt;limitePermitido, "ALERTA: EXCESO (" &amp; TEXT(limitePermitido, "0%") &amp; " máx)", "OK"))))</f>
        <v/>
      </c>
      <c r="AP2100" s="79">
        <f>IF(AN2100="","",IF(AE2100=0,"OK",_xlfn.LET(fechaPago, Z2100, fechaFactura, R2100, diasCredito, IF(E2100="Pago inmediato", 0, IFERROR(VALUE(MID(E2100, 1, SEARCH(" ", E2100)-1)),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00" s="79">
        <f>IF(AN2100="","",IF(AND(N2100&gt;0, AG2100&gt;0), IF(Configuración!$K$2="NO", "ALERTA: DESCUENTO DOBLE NO PERMITIDO", "OK"), "OK"))</f>
        <v/>
      </c>
      <c r="AR2100" s="79">
        <f>IF(AN2100="","",IF(OR(AO2100&lt;&gt;"OK", AP2100&lt;&gt;"OK", AQ2100&lt;&gt;"OK"), "⚠️ REVISAR", "OK"))</f>
        <v/>
      </c>
    </row>
    <row r="2101">
      <c r="A2101" s="79">
        <f>IF('Ordenes_Odoo'!A2101="","",'Ordenes_Odoo'!A2101)</f>
        <v/>
      </c>
      <c r="B2101" s="80">
        <f>IF('Ordenes_Odoo'!B2101="","",'Ordenes_Odoo'!B2101)</f>
        <v/>
      </c>
      <c r="C2101" s="79">
        <f>IF('Ordenes_Odoo'!C2101="","",'Ordenes_Odoo'!C2101)</f>
        <v/>
      </c>
      <c r="D2101" s="79">
        <f>IF('Ordenes_Odoo'!D2101="","",'Ordenes_Odoo'!D2101)</f>
        <v/>
      </c>
      <c r="E2101" s="79">
        <f>IF('Ordenes_Odoo'!E2101="","",'Ordenes_Odoo'!E2101)</f>
        <v/>
      </c>
      <c r="F2101" s="79">
        <f>IF('Ordenes_Odoo'!F2101="","",'Ordenes_Odoo'!F2101)</f>
        <v/>
      </c>
      <c r="G2101" s="79">
        <f>IF('Ordenes_Odoo'!G2101="","",'Ordenes_Odoo'!G2101)</f>
        <v/>
      </c>
      <c r="H2101" s="79">
        <f>IF('Ordenes_Odoo'!H2101="","",'Ordenes_Odoo'!H2101)</f>
        <v/>
      </c>
      <c r="I2101" s="79">
        <f>IF('Ordenes_Odoo'!I2101="","",'Ordenes_Odoo'!I2101)</f>
        <v/>
      </c>
      <c r="J2101" s="79">
        <f>IF('Ordenes_Odoo'!J2101="","",'Ordenes_Odoo'!J2101)</f>
        <v/>
      </c>
      <c r="K2101" s="81">
        <f>IF('Ordenes_Odoo'!K2101="","",'Ordenes_Odoo'!K2101)</f>
        <v/>
      </c>
      <c r="L2101" s="81">
        <f>IF('Ordenes_Odoo'!L2101="","",'Ordenes_Odoo'!L2101)</f>
        <v/>
      </c>
      <c r="M2101" s="79">
        <f>IF('Ordenes_Odoo'!M2101="","",'Ordenes_Odoo'!M2101)</f>
        <v/>
      </c>
      <c r="N2101" s="79">
        <f>IF('Ordenes_Odoo'!N2101="","",'Ordenes_Odoo'!N2101)</f>
        <v/>
      </c>
      <c r="O2101" s="81">
        <f>IF('Ordenes_Odoo'!O2101="","",'Ordenes_Odoo'!O2101)</f>
        <v/>
      </c>
      <c r="P2101" s="81">
        <f>IF('Ordenes_Odoo'!P2101="","",'Ordenes_Odoo'!P2101)</f>
        <v/>
      </c>
      <c r="Q2101" s="79">
        <f>IF(A2101="","",IFERROR(INDEX(Facturas_Odoo!$B:$B, MATCH(A2101, Facturas_Odoo!$D:$D, 0)), "Sin Factura"))</f>
        <v/>
      </c>
      <c r="R2101" s="80">
        <f>IF(Q2101="Sin Factura","",IFERROR(INDEX(Facturas_Odoo!$A:$A, MATCH(Q2101, Facturas_Odoo!$B:$B, 0)), ""))</f>
        <v/>
      </c>
      <c r="S2101" s="79">
        <f>IF(Q2101="Sin Factura","",IFERROR(_xlfn.XLOOKUP(1, (Facturas_Odoo!$D:$D=A2101) * (Facturas_Odoo!$K:$K=I2101), Facturas_Odoo!$L:$L, ""), ""))</f>
        <v/>
      </c>
      <c r="T2101" s="81">
        <f>IF(Q2101="Sin Factura",0,IFERROR(_xlfn.XLOOKUP(1, (Facturas_Odoo!$D:$D=A2101) * (Facturas_Odoo!$K:$K=I2101), Facturas_Odoo!$M:$M, 0), 0))</f>
        <v/>
      </c>
      <c r="U2101" s="79">
        <f>IF(Q2101="Sin Factura",0,IFERROR(_xlfn.XLOOKUP(1, (Facturas_Odoo!$D:$D=A2101) * (Facturas_Odoo!$K:$K=I2101), Facturas_Odoo!$N:$N, 0), 0))</f>
        <v/>
      </c>
      <c r="V2101" s="79">
        <f>IF(Q2101="Sin Factura",0,IFERROR(_xlfn.XLOOKUP(1, (Facturas_Odoo!$D:$D=A2101) * (Facturas_Odoo!$K:$K=I2101), Facturas_Odoo!$O:$O, 0), 0))</f>
        <v/>
      </c>
      <c r="W2101" s="81">
        <f>IF(Q2101="Sin Factura",0,IFERROR(_xlfn.XLOOKUP(1, (Facturas_Odoo!$D:$D=A2101) * (Facturas_Odoo!$K:$K=I2101), Facturas_Odoo!$Q:$Q, 0), 0))</f>
        <v/>
      </c>
      <c r="X2101" s="79">
        <f>IF(OR(Q2101="Sin Factura",Q2101=""),"",IFERROR(INDEX(Pagos_Odoo!$B:$B, MATCH(Q2101, Pagos_Odoo!$I:$I, 0)), "Sin Pago"))</f>
        <v/>
      </c>
      <c r="Y2101" s="79">
        <f>IF(X2101="Sin Pago","",IFERROR(INDEX(Pagos_Odoo!$C:$C, MATCH(X2101, Pagos_Odoo!$B:$B, 0)), ""))</f>
        <v/>
      </c>
      <c r="Z2101" s="80">
        <f>IF(X2101="Sin Pago","",IFERROR(INDEX(Pagos_Odoo!$A:$A, MATCH(X2101, Pagos_Odoo!$B:$B, 0)), ""))</f>
        <v/>
      </c>
      <c r="AA2101" s="79">
        <f>IF(X2101="Sin Pago","",IFERROR(INDEX(Pagos_Odoo!$F:$F, MATCH(X2101, Pagos_Odoo!$B:$B, 0)), ""))</f>
        <v/>
      </c>
      <c r="AB2101" s="81">
        <f>IF(X2101="Sin Pago",0,IFERROR(INDEX(Pagos_Odoo!$E:$E, MATCH(X2101, Pagos_Odoo!$B:$B, 0)), 0))</f>
        <v/>
      </c>
      <c r="AC2101" s="79">
        <f>IF(X2101="Sin Pago","",IFERROR(INDEX(Pagos_Odoo!$G:$G, MATCH(X2101, Pagos_Odoo!$B:$B, 0)), ""))</f>
        <v/>
      </c>
      <c r="AD2101" s="82" t="n">
        <v>0</v>
      </c>
      <c r="AE2101" s="82" t="n"/>
      <c r="AF2101" s="82" t="n"/>
      <c r="AG2101" s="82">
        <f>IF(AN2101="","",AD2101+AE2101+AF2101)</f>
        <v/>
      </c>
      <c r="AH2101" s="81">
        <f>IF(AN2101="","",P2101*(1-AG2101))</f>
        <v/>
      </c>
      <c r="AI2101" s="81">
        <f>IF(AN2101="","",IF(Q2101="Sin Factura",0,IFERROR(INDEX(Facturas_Odoo!$H:$H, MATCH(Q2101, Facturas_Odoo!$B:$B, 0)), 0)*(1-AG2101)))</f>
        <v/>
      </c>
      <c r="AJ2101" s="81">
        <f>IF(AN2101="","",_xlfn.LET(idVenta, AN2101&amp;"",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01" s="81">
        <f>IF(AN2101="","",AH2101-AJ2101)</f>
        <v/>
      </c>
      <c r="AL2101" s="81">
        <f>IF(AN2101="","",IF(Q2101="Sin Factura","",AI2101-AJ2101))</f>
        <v/>
      </c>
      <c r="AM2101" s="81">
        <f>IF(AN2101="","",IF(Q2101="Sin Factura",0,P2101-IFERROR(INDEX(Facturas_Odoo!$H:$H, MATCH(Q2101, Facturas_Odoo!$B:$B, 0)), 0)))</f>
        <v/>
      </c>
      <c r="AN2101" s="79">
        <f>IF(AND(A2101="", J2101=""), "", IF(A2101&lt;&gt;"", VALUE(MID(A2101,2,LEN(A2101))), AN2100))</f>
        <v/>
      </c>
      <c r="AO2101" s="79">
        <f>IF(AN2101="","",IF(AD2101=0,"OK",_xlfn.LET(monedaPago, IF(AA2101="","USD",AA2101), limitePermitido, IFERROR(VLOOKUP(monedaPago, Configuración!$A$2:$B$3, 2, FALSE), 0.15), IF(AD2101&gt;limitePermitido, "ALERTA: EXCESO (" &amp; TEXT(limitePermitido, "0%") &amp; " máx)", "OK"))))</f>
        <v/>
      </c>
      <c r="AP2101" s="79">
        <f>IF(AN2101="","",IF(AE2101=0,"OK",_xlfn.LET(fechaPago, Z2101, fechaFactura, R2101, diasCredito, IF(E2101="Pago inmediato", 0, IFERROR(VALUE(MID(E2101, 1, SEARCH(" ", E2101)-1)),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01" s="79">
        <f>IF(AN2101="","",IF(AND(N2101&gt;0, AG2101&gt;0), IF(Configuración!$K$2="NO", "ALERTA: DESCUENTO DOBLE NO PERMITIDO", "OK"), "OK"))</f>
        <v/>
      </c>
      <c r="AR2101" s="79">
        <f>IF(AN2101="","",IF(OR(AO2101&lt;&gt;"OK", AP2101&lt;&gt;"OK", AQ2101&lt;&gt;"OK"), "⚠️ REVISAR", "OK"))</f>
        <v/>
      </c>
    </row>
    <row r="2102">
      <c r="A2102" s="79">
        <f>IF('Ordenes_Odoo'!A2102="","",'Ordenes_Odoo'!A2102)</f>
        <v/>
      </c>
      <c r="B2102" s="80">
        <f>IF('Ordenes_Odoo'!B2102="","",'Ordenes_Odoo'!B2102)</f>
        <v/>
      </c>
      <c r="C2102" s="79">
        <f>IF('Ordenes_Odoo'!C2102="","",'Ordenes_Odoo'!C2102)</f>
        <v/>
      </c>
      <c r="D2102" s="79">
        <f>IF('Ordenes_Odoo'!D2102="","",'Ordenes_Odoo'!D2102)</f>
        <v/>
      </c>
      <c r="E2102" s="79">
        <f>IF('Ordenes_Odoo'!E2102="","",'Ordenes_Odoo'!E2102)</f>
        <v/>
      </c>
      <c r="F2102" s="79">
        <f>IF('Ordenes_Odoo'!F2102="","",'Ordenes_Odoo'!F2102)</f>
        <v/>
      </c>
      <c r="G2102" s="79">
        <f>IF('Ordenes_Odoo'!G2102="","",'Ordenes_Odoo'!G2102)</f>
        <v/>
      </c>
      <c r="H2102" s="79">
        <f>IF('Ordenes_Odoo'!H2102="","",'Ordenes_Odoo'!H2102)</f>
        <v/>
      </c>
      <c r="I2102" s="79">
        <f>IF('Ordenes_Odoo'!I2102="","",'Ordenes_Odoo'!I2102)</f>
        <v/>
      </c>
      <c r="J2102" s="79">
        <f>IF('Ordenes_Odoo'!J2102="","",'Ordenes_Odoo'!J2102)</f>
        <v/>
      </c>
      <c r="K2102" s="81">
        <f>IF('Ordenes_Odoo'!K2102="","",'Ordenes_Odoo'!K2102)</f>
        <v/>
      </c>
      <c r="L2102" s="81">
        <f>IF('Ordenes_Odoo'!L2102="","",'Ordenes_Odoo'!L2102)</f>
        <v/>
      </c>
      <c r="M2102" s="79">
        <f>IF('Ordenes_Odoo'!M2102="","",'Ordenes_Odoo'!M2102)</f>
        <v/>
      </c>
      <c r="N2102" s="79">
        <f>IF('Ordenes_Odoo'!N2102="","",'Ordenes_Odoo'!N2102)</f>
        <v/>
      </c>
      <c r="O2102" s="81">
        <f>IF('Ordenes_Odoo'!O2102="","",'Ordenes_Odoo'!O2102)</f>
        <v/>
      </c>
      <c r="P2102" s="81">
        <f>IF('Ordenes_Odoo'!P2102="","",'Ordenes_Odoo'!P2102)</f>
        <v/>
      </c>
      <c r="Q2102" s="79">
        <f>IF(A2102="","",IFERROR(INDEX(Facturas_Odoo!$B:$B, MATCH(A2102, Facturas_Odoo!$D:$D, 0)), "Sin Factura"))</f>
        <v/>
      </c>
      <c r="R2102" s="80">
        <f>IF(Q2102="Sin Factura","",IFERROR(INDEX(Facturas_Odoo!$A:$A, MATCH(Q2102, Facturas_Odoo!$B:$B, 0)), ""))</f>
        <v/>
      </c>
      <c r="S2102" s="79">
        <f>IF(Q2102="Sin Factura","",IFERROR(_xlfn.XLOOKUP(1, (Facturas_Odoo!$D:$D=A2102) * (Facturas_Odoo!$K:$K=I2102), Facturas_Odoo!$L:$L, ""), ""))</f>
        <v/>
      </c>
      <c r="T2102" s="81">
        <f>IF(Q2102="Sin Factura",0,IFERROR(_xlfn.XLOOKUP(1, (Facturas_Odoo!$D:$D=A2102) * (Facturas_Odoo!$K:$K=I2102), Facturas_Odoo!$M:$M, 0), 0))</f>
        <v/>
      </c>
      <c r="U2102" s="79">
        <f>IF(Q2102="Sin Factura",0,IFERROR(_xlfn.XLOOKUP(1, (Facturas_Odoo!$D:$D=A2102) * (Facturas_Odoo!$K:$K=I2102), Facturas_Odoo!$N:$N, 0), 0))</f>
        <v/>
      </c>
      <c r="V2102" s="79">
        <f>IF(Q2102="Sin Factura",0,IFERROR(_xlfn.XLOOKUP(1, (Facturas_Odoo!$D:$D=A2102) * (Facturas_Odoo!$K:$K=I2102), Facturas_Odoo!$O:$O, 0), 0))</f>
        <v/>
      </c>
      <c r="W2102" s="81">
        <f>IF(Q2102="Sin Factura",0,IFERROR(_xlfn.XLOOKUP(1, (Facturas_Odoo!$D:$D=A2102) * (Facturas_Odoo!$K:$K=I2102), Facturas_Odoo!$Q:$Q, 0), 0))</f>
        <v/>
      </c>
      <c r="X2102" s="79">
        <f>IF(OR(Q2102="Sin Factura",Q2102=""),"",IFERROR(INDEX(Pagos_Odoo!$B:$B, MATCH(Q2102, Pagos_Odoo!$I:$I, 0)), "Sin Pago"))</f>
        <v/>
      </c>
      <c r="Y2102" s="79">
        <f>IF(X2102="Sin Pago","",IFERROR(INDEX(Pagos_Odoo!$C:$C, MATCH(X2102, Pagos_Odoo!$B:$B, 0)), ""))</f>
        <v/>
      </c>
      <c r="Z2102" s="80">
        <f>IF(X2102="Sin Pago","",IFERROR(INDEX(Pagos_Odoo!$A:$A, MATCH(X2102, Pagos_Odoo!$B:$B, 0)), ""))</f>
        <v/>
      </c>
      <c r="AA2102" s="79">
        <f>IF(X2102="Sin Pago","",IFERROR(INDEX(Pagos_Odoo!$F:$F, MATCH(X2102, Pagos_Odoo!$B:$B, 0)), ""))</f>
        <v/>
      </c>
      <c r="AB2102" s="81">
        <f>IF(X2102="Sin Pago",0,IFERROR(INDEX(Pagos_Odoo!$E:$E, MATCH(X2102, Pagos_Odoo!$B:$B, 0)), 0))</f>
        <v/>
      </c>
      <c r="AC2102" s="79">
        <f>IF(X2102="Sin Pago","",IFERROR(INDEX(Pagos_Odoo!$G:$G, MATCH(X2102, Pagos_Odoo!$B:$B, 0)), ""))</f>
        <v/>
      </c>
      <c r="AD2102" s="82" t="n">
        <v>0</v>
      </c>
      <c r="AE2102" s="82" t="n"/>
      <c r="AF2102" s="82" t="n"/>
      <c r="AG2102" s="82">
        <f>IF(AN2102="","",AD2102+AE2102+AF2102)</f>
        <v/>
      </c>
      <c r="AH2102" s="81">
        <f>IF(AN2102="","",P2102*(1-AG2102))</f>
        <v/>
      </c>
      <c r="AI2102" s="81">
        <f>IF(AN2102="","",IF(Q2102="Sin Factura",0,IFERROR(INDEX(Facturas_Odoo!$H:$H, MATCH(Q2102, Facturas_Odoo!$B:$B, 0)), 0)*(1-AG2102)))</f>
        <v/>
      </c>
      <c r="AJ2102" s="81">
        <f>IF(AN2102="","",_xlfn.LET(idVenta, AN2102&amp;"",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02" s="81">
        <f>IF(AN2102="","",AH2102-AJ2102)</f>
        <v/>
      </c>
      <c r="AL2102" s="81">
        <f>IF(AN2102="","",IF(Q2102="Sin Factura","",AI2102-AJ2102))</f>
        <v/>
      </c>
      <c r="AM2102" s="81">
        <f>IF(AN2102="","",IF(Q2102="Sin Factura",0,P2102-IFERROR(INDEX(Facturas_Odoo!$H:$H, MATCH(Q2102, Facturas_Odoo!$B:$B, 0)), 0)))</f>
        <v/>
      </c>
      <c r="AN2102" s="79">
        <f>IF(AND(A2102="", J2102=""), "", IF(A2102&lt;&gt;"", VALUE(MID(A2102,2,LEN(A2102))), AN2101))</f>
        <v/>
      </c>
      <c r="AO2102" s="79">
        <f>IF(AN2102="","",IF(AD2102=0,"OK",_xlfn.LET(monedaPago, IF(AA2102="","USD",AA2102), limitePermitido, IFERROR(VLOOKUP(monedaPago, Configuración!$A$2:$B$3, 2, FALSE), 0.15), IF(AD2102&gt;limitePermitido, "ALERTA: EXCESO (" &amp; TEXT(limitePermitido, "0%") &amp; " máx)", "OK"))))</f>
        <v/>
      </c>
      <c r="AP2102" s="79">
        <f>IF(AN2102="","",IF(AE2102=0,"OK",_xlfn.LET(fechaPago, Z2102, fechaFactura, R2102, diasCredito, IF(E2102="Pago inmediato", 0, IFERROR(VALUE(MID(E2102, 1, SEARCH(" ", E2102)-1)),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02" s="79">
        <f>IF(AN2102="","",IF(AND(N2102&gt;0, AG2102&gt;0), IF(Configuración!$K$2="NO", "ALERTA: DESCUENTO DOBLE NO PERMITIDO", "OK"), "OK"))</f>
        <v/>
      </c>
      <c r="AR2102" s="79">
        <f>IF(AN2102="","",IF(OR(AO2102&lt;&gt;"OK", AP2102&lt;&gt;"OK", AQ2102&lt;&gt;"OK"), "⚠️ REVISAR", "OK"))</f>
        <v/>
      </c>
    </row>
    <row r="2103">
      <c r="A2103" s="79">
        <f>IF('Ordenes_Odoo'!A2103="","",'Ordenes_Odoo'!A2103)</f>
        <v/>
      </c>
      <c r="B2103" s="80">
        <f>IF('Ordenes_Odoo'!B2103="","",'Ordenes_Odoo'!B2103)</f>
        <v/>
      </c>
      <c r="C2103" s="79">
        <f>IF('Ordenes_Odoo'!C2103="","",'Ordenes_Odoo'!C2103)</f>
        <v/>
      </c>
      <c r="D2103" s="79">
        <f>IF('Ordenes_Odoo'!D2103="","",'Ordenes_Odoo'!D2103)</f>
        <v/>
      </c>
      <c r="E2103" s="79">
        <f>IF('Ordenes_Odoo'!E2103="","",'Ordenes_Odoo'!E2103)</f>
        <v/>
      </c>
      <c r="F2103" s="79">
        <f>IF('Ordenes_Odoo'!F2103="","",'Ordenes_Odoo'!F2103)</f>
        <v/>
      </c>
      <c r="G2103" s="79">
        <f>IF('Ordenes_Odoo'!G2103="","",'Ordenes_Odoo'!G2103)</f>
        <v/>
      </c>
      <c r="H2103" s="79">
        <f>IF('Ordenes_Odoo'!H2103="","",'Ordenes_Odoo'!H2103)</f>
        <v/>
      </c>
      <c r="I2103" s="79">
        <f>IF('Ordenes_Odoo'!I2103="","",'Ordenes_Odoo'!I2103)</f>
        <v/>
      </c>
      <c r="J2103" s="79">
        <f>IF('Ordenes_Odoo'!J2103="","",'Ordenes_Odoo'!J2103)</f>
        <v/>
      </c>
      <c r="K2103" s="81">
        <f>IF('Ordenes_Odoo'!K2103="","",'Ordenes_Odoo'!K2103)</f>
        <v/>
      </c>
      <c r="L2103" s="81">
        <f>IF('Ordenes_Odoo'!L2103="","",'Ordenes_Odoo'!L2103)</f>
        <v/>
      </c>
      <c r="M2103" s="79">
        <f>IF('Ordenes_Odoo'!M2103="","",'Ordenes_Odoo'!M2103)</f>
        <v/>
      </c>
      <c r="N2103" s="79">
        <f>IF('Ordenes_Odoo'!N2103="","",'Ordenes_Odoo'!N2103)</f>
        <v/>
      </c>
      <c r="O2103" s="81">
        <f>IF('Ordenes_Odoo'!O2103="","",'Ordenes_Odoo'!O2103)</f>
        <v/>
      </c>
      <c r="P2103" s="81">
        <f>IF('Ordenes_Odoo'!P2103="","",'Ordenes_Odoo'!P2103)</f>
        <v/>
      </c>
      <c r="Q2103" s="79">
        <f>IF(A2103="","",IFERROR(INDEX(Facturas_Odoo!$B:$B, MATCH(A2103, Facturas_Odoo!$D:$D, 0)), "Sin Factura"))</f>
        <v/>
      </c>
      <c r="R2103" s="80">
        <f>IF(Q2103="Sin Factura","",IFERROR(INDEX(Facturas_Odoo!$A:$A, MATCH(Q2103, Facturas_Odoo!$B:$B, 0)), ""))</f>
        <v/>
      </c>
      <c r="S2103" s="79">
        <f>IF(Q2103="Sin Factura","",IFERROR(_xlfn.XLOOKUP(1, (Facturas_Odoo!$D:$D=A2103) * (Facturas_Odoo!$K:$K=I2103), Facturas_Odoo!$L:$L, ""), ""))</f>
        <v/>
      </c>
      <c r="T2103" s="81">
        <f>IF(Q2103="Sin Factura",0,IFERROR(_xlfn.XLOOKUP(1, (Facturas_Odoo!$D:$D=A2103) * (Facturas_Odoo!$K:$K=I2103), Facturas_Odoo!$M:$M, 0), 0))</f>
        <v/>
      </c>
      <c r="U2103" s="79">
        <f>IF(Q2103="Sin Factura",0,IFERROR(_xlfn.XLOOKUP(1, (Facturas_Odoo!$D:$D=A2103) * (Facturas_Odoo!$K:$K=I2103), Facturas_Odoo!$N:$N, 0), 0))</f>
        <v/>
      </c>
      <c r="V2103" s="79">
        <f>IF(Q2103="Sin Factura",0,IFERROR(_xlfn.XLOOKUP(1, (Facturas_Odoo!$D:$D=A2103) * (Facturas_Odoo!$K:$K=I2103), Facturas_Odoo!$O:$O, 0), 0))</f>
        <v/>
      </c>
      <c r="W2103" s="81">
        <f>IF(Q2103="Sin Factura",0,IFERROR(_xlfn.XLOOKUP(1, (Facturas_Odoo!$D:$D=A2103) * (Facturas_Odoo!$K:$K=I2103), Facturas_Odoo!$Q:$Q, 0), 0))</f>
        <v/>
      </c>
      <c r="X2103" s="79">
        <f>IF(OR(Q2103="Sin Factura",Q2103=""),"",IFERROR(INDEX(Pagos_Odoo!$B:$B, MATCH(Q2103, Pagos_Odoo!$I:$I, 0)), "Sin Pago"))</f>
        <v/>
      </c>
      <c r="Y2103" s="79">
        <f>IF(X2103="Sin Pago","",IFERROR(INDEX(Pagos_Odoo!$C:$C, MATCH(X2103, Pagos_Odoo!$B:$B, 0)), ""))</f>
        <v/>
      </c>
      <c r="Z2103" s="80">
        <f>IF(X2103="Sin Pago","",IFERROR(INDEX(Pagos_Odoo!$A:$A, MATCH(X2103, Pagos_Odoo!$B:$B, 0)), ""))</f>
        <v/>
      </c>
      <c r="AA2103" s="79">
        <f>IF(X2103="Sin Pago","",IFERROR(INDEX(Pagos_Odoo!$F:$F, MATCH(X2103, Pagos_Odoo!$B:$B, 0)), ""))</f>
        <v/>
      </c>
      <c r="AB2103" s="81">
        <f>IF(X2103="Sin Pago",0,IFERROR(INDEX(Pagos_Odoo!$E:$E, MATCH(X2103, Pagos_Odoo!$B:$B, 0)), 0))</f>
        <v/>
      </c>
      <c r="AC2103" s="79">
        <f>IF(X2103="Sin Pago","",IFERROR(INDEX(Pagos_Odoo!$G:$G, MATCH(X2103, Pagos_Odoo!$B:$B, 0)), ""))</f>
        <v/>
      </c>
      <c r="AD2103" s="82" t="n">
        <v>0</v>
      </c>
      <c r="AE2103" s="82" t="n"/>
      <c r="AF2103" s="82" t="n"/>
      <c r="AG2103" s="82">
        <f>IF(AN2103="","",AD2103+AE2103+AF2103)</f>
        <v/>
      </c>
      <c r="AH2103" s="81">
        <f>IF(AN2103="","",P2103*(1-AG2103))</f>
        <v/>
      </c>
      <c r="AI2103" s="81">
        <f>IF(AN2103="","",IF(Q2103="Sin Factura",0,IFERROR(INDEX(Facturas_Odoo!$H:$H, MATCH(Q2103, Facturas_Odoo!$B:$B, 0)), 0)*(1-AG2103)))</f>
        <v/>
      </c>
      <c r="AJ2103" s="81">
        <f>IF(AN2103="","",_xlfn.LET(idVenta, AN2103&amp;"",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03" s="81">
        <f>IF(AN2103="","",AH2103-AJ2103)</f>
        <v/>
      </c>
      <c r="AL2103" s="81">
        <f>IF(AN2103="","",IF(Q2103="Sin Factura","",AI2103-AJ2103))</f>
        <v/>
      </c>
      <c r="AM2103" s="81">
        <f>IF(AN2103="","",IF(Q2103="Sin Factura",0,P2103-IFERROR(INDEX(Facturas_Odoo!$H:$H, MATCH(Q2103, Facturas_Odoo!$B:$B, 0)), 0)))</f>
        <v/>
      </c>
      <c r="AN2103" s="79">
        <f>IF(AND(A2103="", J2103=""), "", IF(A2103&lt;&gt;"", VALUE(MID(A2103,2,LEN(A2103))), AN2102))</f>
        <v/>
      </c>
      <c r="AO2103" s="79">
        <f>IF(AN2103="","",IF(AD2103=0,"OK",_xlfn.LET(monedaPago, IF(AA2103="","USD",AA2103), limitePermitido, IFERROR(VLOOKUP(monedaPago, Configuración!$A$2:$B$3, 2, FALSE), 0.15), IF(AD2103&gt;limitePermitido, "ALERTA: EXCESO (" &amp; TEXT(limitePermitido, "0%") &amp; " máx)", "OK"))))</f>
        <v/>
      </c>
      <c r="AP2103" s="79">
        <f>IF(AN2103="","",IF(AE2103=0,"OK",_xlfn.LET(fechaPago, Z2103, fechaFactura, R2103, diasCredito, IF(E2103="Pago inmediato", 0, IFERROR(VALUE(MID(E2103, 1, SEARCH(" ", E2103)-1)),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03" s="79">
        <f>IF(AN2103="","",IF(AND(N2103&gt;0, AG2103&gt;0), IF(Configuración!$K$2="NO", "ALERTA: DESCUENTO DOBLE NO PERMITIDO", "OK"), "OK"))</f>
        <v/>
      </c>
      <c r="AR2103" s="79">
        <f>IF(AN2103="","",IF(OR(AO2103&lt;&gt;"OK", AP2103&lt;&gt;"OK", AQ2103&lt;&gt;"OK"), "⚠️ REVISAR", "OK"))</f>
        <v/>
      </c>
    </row>
    <row r="2104">
      <c r="A2104" s="79">
        <f>IF('Ordenes_Odoo'!A2104="","",'Ordenes_Odoo'!A2104)</f>
        <v/>
      </c>
      <c r="B2104" s="80">
        <f>IF('Ordenes_Odoo'!B2104="","",'Ordenes_Odoo'!B2104)</f>
        <v/>
      </c>
      <c r="C2104" s="79">
        <f>IF('Ordenes_Odoo'!C2104="","",'Ordenes_Odoo'!C2104)</f>
        <v/>
      </c>
      <c r="D2104" s="79">
        <f>IF('Ordenes_Odoo'!D2104="","",'Ordenes_Odoo'!D2104)</f>
        <v/>
      </c>
      <c r="E2104" s="79">
        <f>IF('Ordenes_Odoo'!E2104="","",'Ordenes_Odoo'!E2104)</f>
        <v/>
      </c>
      <c r="F2104" s="79">
        <f>IF('Ordenes_Odoo'!F2104="","",'Ordenes_Odoo'!F2104)</f>
        <v/>
      </c>
      <c r="G2104" s="79">
        <f>IF('Ordenes_Odoo'!G2104="","",'Ordenes_Odoo'!G2104)</f>
        <v/>
      </c>
      <c r="H2104" s="79">
        <f>IF('Ordenes_Odoo'!H2104="","",'Ordenes_Odoo'!H2104)</f>
        <v/>
      </c>
      <c r="I2104" s="79">
        <f>IF('Ordenes_Odoo'!I2104="","",'Ordenes_Odoo'!I2104)</f>
        <v/>
      </c>
      <c r="J2104" s="79">
        <f>IF('Ordenes_Odoo'!J2104="","",'Ordenes_Odoo'!J2104)</f>
        <v/>
      </c>
      <c r="K2104" s="81">
        <f>IF('Ordenes_Odoo'!K2104="","",'Ordenes_Odoo'!K2104)</f>
        <v/>
      </c>
      <c r="L2104" s="81">
        <f>IF('Ordenes_Odoo'!L2104="","",'Ordenes_Odoo'!L2104)</f>
        <v/>
      </c>
      <c r="M2104" s="79">
        <f>IF('Ordenes_Odoo'!M2104="","",'Ordenes_Odoo'!M2104)</f>
        <v/>
      </c>
      <c r="N2104" s="79">
        <f>IF('Ordenes_Odoo'!N2104="","",'Ordenes_Odoo'!N2104)</f>
        <v/>
      </c>
      <c r="O2104" s="81">
        <f>IF('Ordenes_Odoo'!O2104="","",'Ordenes_Odoo'!O2104)</f>
        <v/>
      </c>
      <c r="P2104" s="81">
        <f>IF('Ordenes_Odoo'!P2104="","",'Ordenes_Odoo'!P2104)</f>
        <v/>
      </c>
      <c r="Q2104" s="79">
        <f>IF(A2104="","",IFERROR(INDEX(Facturas_Odoo!$B:$B, MATCH(A2104, Facturas_Odoo!$D:$D, 0)), "Sin Factura"))</f>
        <v/>
      </c>
      <c r="R2104" s="80">
        <f>IF(Q2104="Sin Factura","",IFERROR(INDEX(Facturas_Odoo!$A:$A, MATCH(Q2104, Facturas_Odoo!$B:$B, 0)), ""))</f>
        <v/>
      </c>
      <c r="S2104" s="79">
        <f>IF(Q2104="Sin Factura","",IFERROR(_xlfn.XLOOKUP(1, (Facturas_Odoo!$D:$D=A2104) * (Facturas_Odoo!$K:$K=I2104), Facturas_Odoo!$L:$L, ""), ""))</f>
        <v/>
      </c>
      <c r="T2104" s="81">
        <f>IF(Q2104="Sin Factura",0,IFERROR(_xlfn.XLOOKUP(1, (Facturas_Odoo!$D:$D=A2104) * (Facturas_Odoo!$K:$K=I2104), Facturas_Odoo!$M:$M, 0), 0))</f>
        <v/>
      </c>
      <c r="U2104" s="79">
        <f>IF(Q2104="Sin Factura",0,IFERROR(_xlfn.XLOOKUP(1, (Facturas_Odoo!$D:$D=A2104) * (Facturas_Odoo!$K:$K=I2104), Facturas_Odoo!$N:$N, 0), 0))</f>
        <v/>
      </c>
      <c r="V2104" s="79">
        <f>IF(Q2104="Sin Factura",0,IFERROR(_xlfn.XLOOKUP(1, (Facturas_Odoo!$D:$D=A2104) * (Facturas_Odoo!$K:$K=I2104), Facturas_Odoo!$O:$O, 0), 0))</f>
        <v/>
      </c>
      <c r="W2104" s="81">
        <f>IF(Q2104="Sin Factura",0,IFERROR(_xlfn.XLOOKUP(1, (Facturas_Odoo!$D:$D=A2104) * (Facturas_Odoo!$K:$K=I2104), Facturas_Odoo!$Q:$Q, 0), 0))</f>
        <v/>
      </c>
      <c r="X2104" s="79">
        <f>IF(OR(Q2104="Sin Factura",Q2104=""),"",IFERROR(INDEX(Pagos_Odoo!$B:$B, MATCH(Q2104, Pagos_Odoo!$I:$I, 0)), "Sin Pago"))</f>
        <v/>
      </c>
      <c r="Y2104" s="79">
        <f>IF(X2104="Sin Pago","",IFERROR(INDEX(Pagos_Odoo!$C:$C, MATCH(X2104, Pagos_Odoo!$B:$B, 0)), ""))</f>
        <v/>
      </c>
      <c r="Z2104" s="80">
        <f>IF(X2104="Sin Pago","",IFERROR(INDEX(Pagos_Odoo!$A:$A, MATCH(X2104, Pagos_Odoo!$B:$B, 0)), ""))</f>
        <v/>
      </c>
      <c r="AA2104" s="79">
        <f>IF(X2104="Sin Pago","",IFERROR(INDEX(Pagos_Odoo!$F:$F, MATCH(X2104, Pagos_Odoo!$B:$B, 0)), ""))</f>
        <v/>
      </c>
      <c r="AB2104" s="81">
        <f>IF(X2104="Sin Pago",0,IFERROR(INDEX(Pagos_Odoo!$E:$E, MATCH(X2104, Pagos_Odoo!$B:$B, 0)), 0))</f>
        <v/>
      </c>
      <c r="AC2104" s="79">
        <f>IF(X2104="Sin Pago","",IFERROR(INDEX(Pagos_Odoo!$G:$G, MATCH(X2104, Pagos_Odoo!$B:$B, 0)), ""))</f>
        <v/>
      </c>
      <c r="AD2104" s="82" t="n">
        <v>0</v>
      </c>
      <c r="AE2104" s="82" t="n"/>
      <c r="AF2104" s="82" t="n"/>
      <c r="AG2104" s="82">
        <f>IF(AN2104="","",AD2104+AE2104+AF2104)</f>
        <v/>
      </c>
      <c r="AH2104" s="81">
        <f>IF(AN2104="","",P2104*(1-AG2104))</f>
        <v/>
      </c>
      <c r="AI2104" s="81">
        <f>IF(AN2104="","",IF(Q2104="Sin Factura",0,IFERROR(INDEX(Facturas_Odoo!$H:$H, MATCH(Q2104, Facturas_Odoo!$B:$B, 0)), 0)*(1-AG2104)))</f>
        <v/>
      </c>
      <c r="AJ2104" s="81">
        <f>IF(AN2104="","",_xlfn.LET(idVenta, AN2104&amp;"",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04" s="81">
        <f>IF(AN2104="","",AH2104-AJ2104)</f>
        <v/>
      </c>
      <c r="AL2104" s="81">
        <f>IF(AN2104="","",IF(Q2104="Sin Factura","",AI2104-AJ2104))</f>
        <v/>
      </c>
      <c r="AM2104" s="81">
        <f>IF(AN2104="","",IF(Q2104="Sin Factura",0,P2104-IFERROR(INDEX(Facturas_Odoo!$H:$H, MATCH(Q2104, Facturas_Odoo!$B:$B, 0)), 0)))</f>
        <v/>
      </c>
      <c r="AN2104" s="79">
        <f>IF(AND(A2104="", J2104=""), "", IF(A2104&lt;&gt;"", VALUE(MID(A2104,2,LEN(A2104))), AN2103))</f>
        <v/>
      </c>
      <c r="AO2104" s="79">
        <f>IF(AN2104="","",IF(AD2104=0,"OK",_xlfn.LET(monedaPago, IF(AA2104="","USD",AA2104), limitePermitido, IFERROR(VLOOKUP(monedaPago, Configuración!$A$2:$B$3, 2, FALSE), 0.15), IF(AD2104&gt;limitePermitido, "ALERTA: EXCESO (" &amp; TEXT(limitePermitido, "0%") &amp; " máx)", "OK"))))</f>
        <v/>
      </c>
      <c r="AP2104" s="79">
        <f>IF(AN2104="","",IF(AE2104=0,"OK",_xlfn.LET(fechaPago, Z2104, fechaFactura, R2104, diasCredito, IF(E2104="Pago inmediato", 0, IFERROR(VALUE(MID(E2104, 1, SEARCH(" ", E2104)-1)),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04" s="79">
        <f>IF(AN2104="","",IF(AND(N2104&gt;0, AG2104&gt;0), IF(Configuración!$K$2="NO", "ALERTA: DESCUENTO DOBLE NO PERMITIDO", "OK"), "OK"))</f>
        <v/>
      </c>
      <c r="AR2104" s="79">
        <f>IF(AN2104="","",IF(OR(AO2104&lt;&gt;"OK", AP2104&lt;&gt;"OK", AQ2104&lt;&gt;"OK"), "⚠️ REVISAR", "OK"))</f>
        <v/>
      </c>
    </row>
    <row r="2105">
      <c r="A2105" s="79">
        <f>IF('Ordenes_Odoo'!A2105="","",'Ordenes_Odoo'!A2105)</f>
        <v/>
      </c>
      <c r="B2105" s="80">
        <f>IF('Ordenes_Odoo'!B2105="","",'Ordenes_Odoo'!B2105)</f>
        <v/>
      </c>
      <c r="C2105" s="79">
        <f>IF('Ordenes_Odoo'!C2105="","",'Ordenes_Odoo'!C2105)</f>
        <v/>
      </c>
      <c r="D2105" s="79">
        <f>IF('Ordenes_Odoo'!D2105="","",'Ordenes_Odoo'!D2105)</f>
        <v/>
      </c>
      <c r="E2105" s="79">
        <f>IF('Ordenes_Odoo'!E2105="","",'Ordenes_Odoo'!E2105)</f>
        <v/>
      </c>
      <c r="F2105" s="79">
        <f>IF('Ordenes_Odoo'!F2105="","",'Ordenes_Odoo'!F2105)</f>
        <v/>
      </c>
      <c r="G2105" s="79">
        <f>IF('Ordenes_Odoo'!G2105="","",'Ordenes_Odoo'!G2105)</f>
        <v/>
      </c>
      <c r="H2105" s="79">
        <f>IF('Ordenes_Odoo'!H2105="","",'Ordenes_Odoo'!H2105)</f>
        <v/>
      </c>
      <c r="I2105" s="79">
        <f>IF('Ordenes_Odoo'!I2105="","",'Ordenes_Odoo'!I2105)</f>
        <v/>
      </c>
      <c r="J2105" s="79">
        <f>IF('Ordenes_Odoo'!J2105="","",'Ordenes_Odoo'!J2105)</f>
        <v/>
      </c>
      <c r="K2105" s="81">
        <f>IF('Ordenes_Odoo'!K2105="","",'Ordenes_Odoo'!K2105)</f>
        <v/>
      </c>
      <c r="L2105" s="81">
        <f>IF('Ordenes_Odoo'!L2105="","",'Ordenes_Odoo'!L2105)</f>
        <v/>
      </c>
      <c r="M2105" s="79">
        <f>IF('Ordenes_Odoo'!M2105="","",'Ordenes_Odoo'!M2105)</f>
        <v/>
      </c>
      <c r="N2105" s="79">
        <f>IF('Ordenes_Odoo'!N2105="","",'Ordenes_Odoo'!N2105)</f>
        <v/>
      </c>
      <c r="O2105" s="81">
        <f>IF('Ordenes_Odoo'!O2105="","",'Ordenes_Odoo'!O2105)</f>
        <v/>
      </c>
      <c r="P2105" s="81">
        <f>IF('Ordenes_Odoo'!P2105="","",'Ordenes_Odoo'!P2105)</f>
        <v/>
      </c>
      <c r="Q2105" s="79">
        <f>IF(A2105="","",IFERROR(INDEX(Facturas_Odoo!$B:$B, MATCH(A2105, Facturas_Odoo!$D:$D, 0)), "Sin Factura"))</f>
        <v/>
      </c>
      <c r="R2105" s="80">
        <f>IF(Q2105="Sin Factura","",IFERROR(INDEX(Facturas_Odoo!$A:$A, MATCH(Q2105, Facturas_Odoo!$B:$B, 0)), ""))</f>
        <v/>
      </c>
      <c r="S2105" s="79">
        <f>IF(Q2105="Sin Factura","",IFERROR(_xlfn.XLOOKUP(1, (Facturas_Odoo!$D:$D=A2105) * (Facturas_Odoo!$K:$K=I2105), Facturas_Odoo!$L:$L, ""), ""))</f>
        <v/>
      </c>
      <c r="T2105" s="81">
        <f>IF(Q2105="Sin Factura",0,IFERROR(_xlfn.XLOOKUP(1, (Facturas_Odoo!$D:$D=A2105) * (Facturas_Odoo!$K:$K=I2105), Facturas_Odoo!$M:$M, 0), 0))</f>
        <v/>
      </c>
      <c r="U2105" s="79">
        <f>IF(Q2105="Sin Factura",0,IFERROR(_xlfn.XLOOKUP(1, (Facturas_Odoo!$D:$D=A2105) * (Facturas_Odoo!$K:$K=I2105), Facturas_Odoo!$N:$N, 0), 0))</f>
        <v/>
      </c>
      <c r="V2105" s="79">
        <f>IF(Q2105="Sin Factura",0,IFERROR(_xlfn.XLOOKUP(1, (Facturas_Odoo!$D:$D=A2105) * (Facturas_Odoo!$K:$K=I2105), Facturas_Odoo!$O:$O, 0), 0))</f>
        <v/>
      </c>
      <c r="W2105" s="81">
        <f>IF(Q2105="Sin Factura",0,IFERROR(_xlfn.XLOOKUP(1, (Facturas_Odoo!$D:$D=A2105) * (Facturas_Odoo!$K:$K=I2105), Facturas_Odoo!$Q:$Q, 0), 0))</f>
        <v/>
      </c>
      <c r="X2105" s="79">
        <f>IF(OR(Q2105="Sin Factura",Q2105=""),"",IFERROR(INDEX(Pagos_Odoo!$B:$B, MATCH(Q2105, Pagos_Odoo!$I:$I, 0)), "Sin Pago"))</f>
        <v/>
      </c>
      <c r="Y2105" s="79">
        <f>IF(X2105="Sin Pago","",IFERROR(INDEX(Pagos_Odoo!$C:$C, MATCH(X2105, Pagos_Odoo!$B:$B, 0)), ""))</f>
        <v/>
      </c>
      <c r="Z2105" s="80">
        <f>IF(X2105="Sin Pago","",IFERROR(INDEX(Pagos_Odoo!$A:$A, MATCH(X2105, Pagos_Odoo!$B:$B, 0)), ""))</f>
        <v/>
      </c>
      <c r="AA2105" s="79">
        <f>IF(X2105="Sin Pago","",IFERROR(INDEX(Pagos_Odoo!$F:$F, MATCH(X2105, Pagos_Odoo!$B:$B, 0)), ""))</f>
        <v/>
      </c>
      <c r="AB2105" s="81">
        <f>IF(X2105="Sin Pago",0,IFERROR(INDEX(Pagos_Odoo!$E:$E, MATCH(X2105, Pagos_Odoo!$B:$B, 0)), 0))</f>
        <v/>
      </c>
      <c r="AC2105" s="79">
        <f>IF(X2105="Sin Pago","",IFERROR(INDEX(Pagos_Odoo!$G:$G, MATCH(X2105, Pagos_Odoo!$B:$B, 0)), ""))</f>
        <v/>
      </c>
      <c r="AD2105" s="82" t="n">
        <v>0</v>
      </c>
      <c r="AE2105" s="82" t="n"/>
      <c r="AF2105" s="82" t="n"/>
      <c r="AG2105" s="82">
        <f>IF(AN2105="","",AD2105+AE2105+AF2105)</f>
        <v/>
      </c>
      <c r="AH2105" s="81">
        <f>IF(AN2105="","",P2105*(1-AG2105))</f>
        <v/>
      </c>
      <c r="AI2105" s="81">
        <f>IF(AN2105="","",IF(Q2105="Sin Factura",0,IFERROR(INDEX(Facturas_Odoo!$H:$H, MATCH(Q2105, Facturas_Odoo!$B:$B, 0)), 0)*(1-AG2105)))</f>
        <v/>
      </c>
      <c r="AJ2105" s="81">
        <f>IF(AN2105="","",_xlfn.LET(idVenta, AN2105&amp;"",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05" s="81">
        <f>IF(AN2105="","",AH2105-AJ2105)</f>
        <v/>
      </c>
      <c r="AL2105" s="81">
        <f>IF(AN2105="","",IF(Q2105="Sin Factura","",AI2105-AJ2105))</f>
        <v/>
      </c>
      <c r="AM2105" s="81">
        <f>IF(AN2105="","",IF(Q2105="Sin Factura",0,P2105-IFERROR(INDEX(Facturas_Odoo!$H:$H, MATCH(Q2105, Facturas_Odoo!$B:$B, 0)), 0)))</f>
        <v/>
      </c>
      <c r="AN2105" s="79">
        <f>IF(AND(A2105="", J2105=""), "", IF(A2105&lt;&gt;"", VALUE(MID(A2105,2,LEN(A2105))), AN2104))</f>
        <v/>
      </c>
      <c r="AO2105" s="79">
        <f>IF(AN2105="","",IF(AD2105=0,"OK",_xlfn.LET(monedaPago, IF(AA2105="","USD",AA2105), limitePermitido, IFERROR(VLOOKUP(monedaPago, Configuración!$A$2:$B$3, 2, FALSE), 0.15), IF(AD2105&gt;limitePermitido, "ALERTA: EXCESO (" &amp; TEXT(limitePermitido, "0%") &amp; " máx)", "OK"))))</f>
        <v/>
      </c>
      <c r="AP2105" s="79">
        <f>IF(AN2105="","",IF(AE2105=0,"OK",_xlfn.LET(fechaPago, Z2105, fechaFactura, R2105, diasCredito, IF(E2105="Pago inmediato", 0, IFERROR(VALUE(MID(E2105, 1, SEARCH(" ", E2105)-1)),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05" s="79">
        <f>IF(AN2105="","",IF(AND(N2105&gt;0, AG2105&gt;0), IF(Configuración!$K$2="NO", "ALERTA: DESCUENTO DOBLE NO PERMITIDO", "OK"), "OK"))</f>
        <v/>
      </c>
      <c r="AR2105" s="79">
        <f>IF(AN2105="","",IF(OR(AO2105&lt;&gt;"OK", AP2105&lt;&gt;"OK", AQ2105&lt;&gt;"OK"), "⚠️ REVISAR", "OK"))</f>
        <v/>
      </c>
    </row>
    <row r="2106">
      <c r="A2106" s="79">
        <f>IF('Ordenes_Odoo'!A2106="","",'Ordenes_Odoo'!A2106)</f>
        <v/>
      </c>
      <c r="B2106" s="80">
        <f>IF('Ordenes_Odoo'!B2106="","",'Ordenes_Odoo'!B2106)</f>
        <v/>
      </c>
      <c r="C2106" s="79">
        <f>IF('Ordenes_Odoo'!C2106="","",'Ordenes_Odoo'!C2106)</f>
        <v/>
      </c>
      <c r="D2106" s="79">
        <f>IF('Ordenes_Odoo'!D2106="","",'Ordenes_Odoo'!D2106)</f>
        <v/>
      </c>
      <c r="E2106" s="79">
        <f>IF('Ordenes_Odoo'!E2106="","",'Ordenes_Odoo'!E2106)</f>
        <v/>
      </c>
      <c r="F2106" s="79">
        <f>IF('Ordenes_Odoo'!F2106="","",'Ordenes_Odoo'!F2106)</f>
        <v/>
      </c>
      <c r="G2106" s="79">
        <f>IF('Ordenes_Odoo'!G2106="","",'Ordenes_Odoo'!G2106)</f>
        <v/>
      </c>
      <c r="H2106" s="79">
        <f>IF('Ordenes_Odoo'!H2106="","",'Ordenes_Odoo'!H2106)</f>
        <v/>
      </c>
      <c r="I2106" s="79">
        <f>IF('Ordenes_Odoo'!I2106="","",'Ordenes_Odoo'!I2106)</f>
        <v/>
      </c>
      <c r="J2106" s="79">
        <f>IF('Ordenes_Odoo'!J2106="","",'Ordenes_Odoo'!J2106)</f>
        <v/>
      </c>
      <c r="K2106" s="81">
        <f>IF('Ordenes_Odoo'!K2106="","",'Ordenes_Odoo'!K2106)</f>
        <v/>
      </c>
      <c r="L2106" s="81">
        <f>IF('Ordenes_Odoo'!L2106="","",'Ordenes_Odoo'!L2106)</f>
        <v/>
      </c>
      <c r="M2106" s="79">
        <f>IF('Ordenes_Odoo'!M2106="","",'Ordenes_Odoo'!M2106)</f>
        <v/>
      </c>
      <c r="N2106" s="79">
        <f>IF('Ordenes_Odoo'!N2106="","",'Ordenes_Odoo'!N2106)</f>
        <v/>
      </c>
      <c r="O2106" s="81">
        <f>IF('Ordenes_Odoo'!O2106="","",'Ordenes_Odoo'!O2106)</f>
        <v/>
      </c>
      <c r="P2106" s="81">
        <f>IF('Ordenes_Odoo'!P2106="","",'Ordenes_Odoo'!P2106)</f>
        <v/>
      </c>
      <c r="Q2106" s="79">
        <f>IF(A2106="","",IFERROR(INDEX(Facturas_Odoo!$B:$B, MATCH(A2106, Facturas_Odoo!$D:$D, 0)), "Sin Factura"))</f>
        <v/>
      </c>
      <c r="R2106" s="80">
        <f>IF(Q2106="Sin Factura","",IFERROR(INDEX(Facturas_Odoo!$A:$A, MATCH(Q2106, Facturas_Odoo!$B:$B, 0)), ""))</f>
        <v/>
      </c>
      <c r="S2106" s="79">
        <f>IF(Q2106="Sin Factura","",IFERROR(_xlfn.XLOOKUP(1, (Facturas_Odoo!$D:$D=A2106) * (Facturas_Odoo!$K:$K=I2106), Facturas_Odoo!$L:$L, ""), ""))</f>
        <v/>
      </c>
      <c r="T2106" s="81">
        <f>IF(Q2106="Sin Factura",0,IFERROR(_xlfn.XLOOKUP(1, (Facturas_Odoo!$D:$D=A2106) * (Facturas_Odoo!$K:$K=I2106), Facturas_Odoo!$M:$M, 0), 0))</f>
        <v/>
      </c>
      <c r="U2106" s="79">
        <f>IF(Q2106="Sin Factura",0,IFERROR(_xlfn.XLOOKUP(1, (Facturas_Odoo!$D:$D=A2106) * (Facturas_Odoo!$K:$K=I2106), Facturas_Odoo!$N:$N, 0), 0))</f>
        <v/>
      </c>
      <c r="V2106" s="79">
        <f>IF(Q2106="Sin Factura",0,IFERROR(_xlfn.XLOOKUP(1, (Facturas_Odoo!$D:$D=A2106) * (Facturas_Odoo!$K:$K=I2106), Facturas_Odoo!$O:$O, 0), 0))</f>
        <v/>
      </c>
      <c r="W2106" s="81">
        <f>IF(Q2106="Sin Factura",0,IFERROR(_xlfn.XLOOKUP(1, (Facturas_Odoo!$D:$D=A2106) * (Facturas_Odoo!$K:$K=I2106), Facturas_Odoo!$Q:$Q, 0), 0))</f>
        <v/>
      </c>
      <c r="X2106" s="79">
        <f>IF(OR(Q2106="Sin Factura",Q2106=""),"",IFERROR(INDEX(Pagos_Odoo!$B:$B, MATCH(Q2106, Pagos_Odoo!$I:$I, 0)), "Sin Pago"))</f>
        <v/>
      </c>
      <c r="Y2106" s="79">
        <f>IF(X2106="Sin Pago","",IFERROR(INDEX(Pagos_Odoo!$C:$C, MATCH(X2106, Pagos_Odoo!$B:$B, 0)), ""))</f>
        <v/>
      </c>
      <c r="Z2106" s="80">
        <f>IF(X2106="Sin Pago","",IFERROR(INDEX(Pagos_Odoo!$A:$A, MATCH(X2106, Pagos_Odoo!$B:$B, 0)), ""))</f>
        <v/>
      </c>
      <c r="AA2106" s="79">
        <f>IF(X2106="Sin Pago","",IFERROR(INDEX(Pagos_Odoo!$F:$F, MATCH(X2106, Pagos_Odoo!$B:$B, 0)), ""))</f>
        <v/>
      </c>
      <c r="AB2106" s="81">
        <f>IF(X2106="Sin Pago",0,IFERROR(INDEX(Pagos_Odoo!$E:$E, MATCH(X2106, Pagos_Odoo!$B:$B, 0)), 0))</f>
        <v/>
      </c>
      <c r="AC2106" s="79">
        <f>IF(X2106="Sin Pago","",IFERROR(INDEX(Pagos_Odoo!$G:$G, MATCH(X2106, Pagos_Odoo!$B:$B, 0)), ""))</f>
        <v/>
      </c>
      <c r="AD2106" s="82" t="n">
        <v>0</v>
      </c>
      <c r="AE2106" s="82" t="n"/>
      <c r="AF2106" s="82" t="n"/>
      <c r="AG2106" s="82">
        <f>IF(AN2106="","",AD2106+AE2106+AF2106)</f>
        <v/>
      </c>
      <c r="AH2106" s="81">
        <f>IF(AN2106="","",P2106*(1-AG2106))</f>
        <v/>
      </c>
      <c r="AI2106" s="81">
        <f>IF(AN2106="","",IF(Q2106="Sin Factura",0,IFERROR(INDEX(Facturas_Odoo!$H:$H, MATCH(Q2106, Facturas_Odoo!$B:$B, 0)), 0)*(1-AG2106)))</f>
        <v/>
      </c>
      <c r="AJ2106" s="81">
        <f>IF(AN2106="","",_xlfn.LET(idVenta, AN2106&amp;"",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06" s="81">
        <f>IF(AN2106="","",AH2106-AJ2106)</f>
        <v/>
      </c>
      <c r="AL2106" s="81">
        <f>IF(AN2106="","",IF(Q2106="Sin Factura","",AI2106-AJ2106))</f>
        <v/>
      </c>
      <c r="AM2106" s="81">
        <f>IF(AN2106="","",IF(Q2106="Sin Factura",0,P2106-IFERROR(INDEX(Facturas_Odoo!$H:$H, MATCH(Q2106, Facturas_Odoo!$B:$B, 0)), 0)))</f>
        <v/>
      </c>
      <c r="AN2106" s="79">
        <f>IF(AND(A2106="", J2106=""), "", IF(A2106&lt;&gt;"", VALUE(MID(A2106,2,LEN(A2106))), AN2105))</f>
        <v/>
      </c>
      <c r="AO2106" s="79">
        <f>IF(AN2106="","",IF(AD2106=0,"OK",_xlfn.LET(monedaPago, IF(AA2106="","USD",AA2106), limitePermitido, IFERROR(VLOOKUP(monedaPago, Configuración!$A$2:$B$3, 2, FALSE), 0.15), IF(AD2106&gt;limitePermitido, "ALERTA: EXCESO (" &amp; TEXT(limitePermitido, "0%") &amp; " máx)", "OK"))))</f>
        <v/>
      </c>
      <c r="AP2106" s="79">
        <f>IF(AN2106="","",IF(AE2106=0,"OK",_xlfn.LET(fechaPago, Z2106, fechaFactura, R2106, diasCredito, IF(E2106="Pago inmediato", 0, IFERROR(VALUE(MID(E2106, 1, SEARCH(" ", E2106)-1)),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06" s="79">
        <f>IF(AN2106="","",IF(AND(N2106&gt;0, AG2106&gt;0), IF(Configuración!$K$2="NO", "ALERTA: DESCUENTO DOBLE NO PERMITIDO", "OK"), "OK"))</f>
        <v/>
      </c>
      <c r="AR2106" s="79">
        <f>IF(AN2106="","",IF(OR(AO2106&lt;&gt;"OK", AP2106&lt;&gt;"OK", AQ2106&lt;&gt;"OK"), "⚠️ REVISAR", "OK"))</f>
        <v/>
      </c>
    </row>
    <row r="2107">
      <c r="A2107" s="79">
        <f>IF('Ordenes_Odoo'!A2107="","",'Ordenes_Odoo'!A2107)</f>
        <v/>
      </c>
      <c r="B2107" s="80">
        <f>IF('Ordenes_Odoo'!B2107="","",'Ordenes_Odoo'!B2107)</f>
        <v/>
      </c>
      <c r="C2107" s="79">
        <f>IF('Ordenes_Odoo'!C2107="","",'Ordenes_Odoo'!C2107)</f>
        <v/>
      </c>
      <c r="D2107" s="79">
        <f>IF('Ordenes_Odoo'!D2107="","",'Ordenes_Odoo'!D2107)</f>
        <v/>
      </c>
      <c r="E2107" s="79">
        <f>IF('Ordenes_Odoo'!E2107="","",'Ordenes_Odoo'!E2107)</f>
        <v/>
      </c>
      <c r="F2107" s="79">
        <f>IF('Ordenes_Odoo'!F2107="","",'Ordenes_Odoo'!F2107)</f>
        <v/>
      </c>
      <c r="G2107" s="79">
        <f>IF('Ordenes_Odoo'!G2107="","",'Ordenes_Odoo'!G2107)</f>
        <v/>
      </c>
      <c r="H2107" s="79">
        <f>IF('Ordenes_Odoo'!H2107="","",'Ordenes_Odoo'!H2107)</f>
        <v/>
      </c>
      <c r="I2107" s="79">
        <f>IF('Ordenes_Odoo'!I2107="","",'Ordenes_Odoo'!I2107)</f>
        <v/>
      </c>
      <c r="J2107" s="79">
        <f>IF('Ordenes_Odoo'!J2107="","",'Ordenes_Odoo'!J2107)</f>
        <v/>
      </c>
      <c r="K2107" s="81">
        <f>IF('Ordenes_Odoo'!K2107="","",'Ordenes_Odoo'!K2107)</f>
        <v/>
      </c>
      <c r="L2107" s="81">
        <f>IF('Ordenes_Odoo'!L2107="","",'Ordenes_Odoo'!L2107)</f>
        <v/>
      </c>
      <c r="M2107" s="79">
        <f>IF('Ordenes_Odoo'!M2107="","",'Ordenes_Odoo'!M2107)</f>
        <v/>
      </c>
      <c r="N2107" s="79">
        <f>IF('Ordenes_Odoo'!N2107="","",'Ordenes_Odoo'!N2107)</f>
        <v/>
      </c>
      <c r="O2107" s="81">
        <f>IF('Ordenes_Odoo'!O2107="","",'Ordenes_Odoo'!O2107)</f>
        <v/>
      </c>
      <c r="P2107" s="81">
        <f>IF('Ordenes_Odoo'!P2107="","",'Ordenes_Odoo'!P2107)</f>
        <v/>
      </c>
      <c r="Q2107" s="79">
        <f>IF(A2107="","",IFERROR(INDEX(Facturas_Odoo!$B:$B, MATCH(A2107, Facturas_Odoo!$D:$D, 0)), "Sin Factura"))</f>
        <v/>
      </c>
      <c r="R2107" s="80">
        <f>IF(Q2107="Sin Factura","",IFERROR(INDEX(Facturas_Odoo!$A:$A, MATCH(Q2107, Facturas_Odoo!$B:$B, 0)), ""))</f>
        <v/>
      </c>
      <c r="S2107" s="79">
        <f>IF(Q2107="Sin Factura","",IFERROR(_xlfn.XLOOKUP(1, (Facturas_Odoo!$D:$D=A2107) * (Facturas_Odoo!$K:$K=I2107), Facturas_Odoo!$L:$L, ""), ""))</f>
        <v/>
      </c>
      <c r="T2107" s="81">
        <f>IF(Q2107="Sin Factura",0,IFERROR(_xlfn.XLOOKUP(1, (Facturas_Odoo!$D:$D=A2107) * (Facturas_Odoo!$K:$K=I2107), Facturas_Odoo!$M:$M, 0), 0))</f>
        <v/>
      </c>
      <c r="U2107" s="79">
        <f>IF(Q2107="Sin Factura",0,IFERROR(_xlfn.XLOOKUP(1, (Facturas_Odoo!$D:$D=A2107) * (Facturas_Odoo!$K:$K=I2107), Facturas_Odoo!$N:$N, 0), 0))</f>
        <v/>
      </c>
      <c r="V2107" s="79">
        <f>IF(Q2107="Sin Factura",0,IFERROR(_xlfn.XLOOKUP(1, (Facturas_Odoo!$D:$D=A2107) * (Facturas_Odoo!$K:$K=I2107), Facturas_Odoo!$O:$O, 0), 0))</f>
        <v/>
      </c>
      <c r="W2107" s="81">
        <f>IF(Q2107="Sin Factura",0,IFERROR(_xlfn.XLOOKUP(1, (Facturas_Odoo!$D:$D=A2107) * (Facturas_Odoo!$K:$K=I2107), Facturas_Odoo!$Q:$Q, 0), 0))</f>
        <v/>
      </c>
      <c r="X2107" s="79">
        <f>IF(OR(Q2107="Sin Factura",Q2107=""),"",IFERROR(INDEX(Pagos_Odoo!$B:$B, MATCH(Q2107, Pagos_Odoo!$I:$I, 0)), "Sin Pago"))</f>
        <v/>
      </c>
      <c r="Y2107" s="79">
        <f>IF(X2107="Sin Pago","",IFERROR(INDEX(Pagos_Odoo!$C:$C, MATCH(X2107, Pagos_Odoo!$B:$B, 0)), ""))</f>
        <v/>
      </c>
      <c r="Z2107" s="80">
        <f>IF(X2107="Sin Pago","",IFERROR(INDEX(Pagos_Odoo!$A:$A, MATCH(X2107, Pagos_Odoo!$B:$B, 0)), ""))</f>
        <v/>
      </c>
      <c r="AA2107" s="79">
        <f>IF(X2107="Sin Pago","",IFERROR(INDEX(Pagos_Odoo!$F:$F, MATCH(X2107, Pagos_Odoo!$B:$B, 0)), ""))</f>
        <v/>
      </c>
      <c r="AB2107" s="81">
        <f>IF(X2107="Sin Pago",0,IFERROR(INDEX(Pagos_Odoo!$E:$E, MATCH(X2107, Pagos_Odoo!$B:$B, 0)), 0))</f>
        <v/>
      </c>
      <c r="AC2107" s="79">
        <f>IF(X2107="Sin Pago","",IFERROR(INDEX(Pagos_Odoo!$G:$G, MATCH(X2107, Pagos_Odoo!$B:$B, 0)), ""))</f>
        <v/>
      </c>
      <c r="AD2107" s="82" t="n">
        <v>0</v>
      </c>
      <c r="AE2107" s="82" t="n"/>
      <c r="AF2107" s="82" t="n"/>
      <c r="AG2107" s="82">
        <f>IF(AN2107="","",AD2107+AE2107+AF2107)</f>
        <v/>
      </c>
      <c r="AH2107" s="81">
        <f>IF(AN2107="","",P2107*(1-AG2107))</f>
        <v/>
      </c>
      <c r="AI2107" s="81">
        <f>IF(AN2107="","",IF(Q2107="Sin Factura",0,IFERROR(INDEX(Facturas_Odoo!$H:$H, MATCH(Q2107, Facturas_Odoo!$B:$B, 0)), 0)*(1-AG2107)))</f>
        <v/>
      </c>
      <c r="AJ2107" s="81">
        <f>IF(AN2107="","",_xlfn.LET(idVenta, AN2107&amp;"",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07" s="81">
        <f>IF(AN2107="","",AH2107-AJ2107)</f>
        <v/>
      </c>
      <c r="AL2107" s="81">
        <f>IF(AN2107="","",IF(Q2107="Sin Factura","",AI2107-AJ2107))</f>
        <v/>
      </c>
      <c r="AM2107" s="81">
        <f>IF(AN2107="","",IF(Q2107="Sin Factura",0,P2107-IFERROR(INDEX(Facturas_Odoo!$H:$H, MATCH(Q2107, Facturas_Odoo!$B:$B, 0)), 0)))</f>
        <v/>
      </c>
      <c r="AN2107" s="79">
        <f>IF(AND(A2107="", J2107=""), "", IF(A2107&lt;&gt;"", VALUE(MID(A2107,2,LEN(A2107))), AN2106))</f>
        <v/>
      </c>
      <c r="AO2107" s="79">
        <f>IF(AN2107="","",IF(AD2107=0,"OK",_xlfn.LET(monedaPago, IF(AA2107="","USD",AA2107), limitePermitido, IFERROR(VLOOKUP(monedaPago, Configuración!$A$2:$B$3, 2, FALSE), 0.15), IF(AD2107&gt;limitePermitido, "ALERTA: EXCESO (" &amp; TEXT(limitePermitido, "0%") &amp; " máx)", "OK"))))</f>
        <v/>
      </c>
      <c r="AP2107" s="79">
        <f>IF(AN2107="","",IF(AE2107=0,"OK",_xlfn.LET(fechaPago, Z2107, fechaFactura, R2107, diasCredito, IF(E2107="Pago inmediato", 0, IFERROR(VALUE(MID(E2107, 1, SEARCH(" ", E2107)-1)),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07" s="79">
        <f>IF(AN2107="","",IF(AND(N2107&gt;0, AG2107&gt;0), IF(Configuración!$K$2="NO", "ALERTA: DESCUENTO DOBLE NO PERMITIDO", "OK"), "OK"))</f>
        <v/>
      </c>
      <c r="AR2107" s="79">
        <f>IF(AN2107="","",IF(OR(AO2107&lt;&gt;"OK", AP2107&lt;&gt;"OK", AQ2107&lt;&gt;"OK"), "⚠️ REVISAR", "OK"))</f>
        <v/>
      </c>
    </row>
    <row r="2108">
      <c r="A2108" s="79">
        <f>IF('Ordenes_Odoo'!A2108="","",'Ordenes_Odoo'!A2108)</f>
        <v/>
      </c>
      <c r="B2108" s="80">
        <f>IF('Ordenes_Odoo'!B2108="","",'Ordenes_Odoo'!B2108)</f>
        <v/>
      </c>
      <c r="C2108" s="79">
        <f>IF('Ordenes_Odoo'!C2108="","",'Ordenes_Odoo'!C2108)</f>
        <v/>
      </c>
      <c r="D2108" s="79">
        <f>IF('Ordenes_Odoo'!D2108="","",'Ordenes_Odoo'!D2108)</f>
        <v/>
      </c>
      <c r="E2108" s="79">
        <f>IF('Ordenes_Odoo'!E2108="","",'Ordenes_Odoo'!E2108)</f>
        <v/>
      </c>
      <c r="F2108" s="79">
        <f>IF('Ordenes_Odoo'!F2108="","",'Ordenes_Odoo'!F2108)</f>
        <v/>
      </c>
      <c r="G2108" s="79">
        <f>IF('Ordenes_Odoo'!G2108="","",'Ordenes_Odoo'!G2108)</f>
        <v/>
      </c>
      <c r="H2108" s="79">
        <f>IF('Ordenes_Odoo'!H2108="","",'Ordenes_Odoo'!H2108)</f>
        <v/>
      </c>
      <c r="I2108" s="79">
        <f>IF('Ordenes_Odoo'!I2108="","",'Ordenes_Odoo'!I2108)</f>
        <v/>
      </c>
      <c r="J2108" s="79">
        <f>IF('Ordenes_Odoo'!J2108="","",'Ordenes_Odoo'!J2108)</f>
        <v/>
      </c>
      <c r="K2108" s="81">
        <f>IF('Ordenes_Odoo'!K2108="","",'Ordenes_Odoo'!K2108)</f>
        <v/>
      </c>
      <c r="L2108" s="81">
        <f>IF('Ordenes_Odoo'!L2108="","",'Ordenes_Odoo'!L2108)</f>
        <v/>
      </c>
      <c r="M2108" s="79">
        <f>IF('Ordenes_Odoo'!M2108="","",'Ordenes_Odoo'!M2108)</f>
        <v/>
      </c>
      <c r="N2108" s="79">
        <f>IF('Ordenes_Odoo'!N2108="","",'Ordenes_Odoo'!N2108)</f>
        <v/>
      </c>
      <c r="O2108" s="81">
        <f>IF('Ordenes_Odoo'!O2108="","",'Ordenes_Odoo'!O2108)</f>
        <v/>
      </c>
      <c r="P2108" s="81">
        <f>IF('Ordenes_Odoo'!P2108="","",'Ordenes_Odoo'!P2108)</f>
        <v/>
      </c>
      <c r="Q2108" s="79">
        <f>IF(A2108="","",IFERROR(INDEX(Facturas_Odoo!$B:$B, MATCH(A2108, Facturas_Odoo!$D:$D, 0)), "Sin Factura"))</f>
        <v/>
      </c>
      <c r="R2108" s="80">
        <f>IF(Q2108="Sin Factura","",IFERROR(INDEX(Facturas_Odoo!$A:$A, MATCH(Q2108, Facturas_Odoo!$B:$B, 0)), ""))</f>
        <v/>
      </c>
      <c r="S2108" s="79">
        <f>IF(Q2108="Sin Factura","",IFERROR(_xlfn.XLOOKUP(1, (Facturas_Odoo!$D:$D=A2108) * (Facturas_Odoo!$K:$K=I2108), Facturas_Odoo!$L:$L, ""), ""))</f>
        <v/>
      </c>
      <c r="T2108" s="81">
        <f>IF(Q2108="Sin Factura",0,IFERROR(_xlfn.XLOOKUP(1, (Facturas_Odoo!$D:$D=A2108) * (Facturas_Odoo!$K:$K=I2108), Facturas_Odoo!$M:$M, 0), 0))</f>
        <v/>
      </c>
      <c r="U2108" s="79">
        <f>IF(Q2108="Sin Factura",0,IFERROR(_xlfn.XLOOKUP(1, (Facturas_Odoo!$D:$D=A2108) * (Facturas_Odoo!$K:$K=I2108), Facturas_Odoo!$N:$N, 0), 0))</f>
        <v/>
      </c>
      <c r="V2108" s="79">
        <f>IF(Q2108="Sin Factura",0,IFERROR(_xlfn.XLOOKUP(1, (Facturas_Odoo!$D:$D=A2108) * (Facturas_Odoo!$K:$K=I2108), Facturas_Odoo!$O:$O, 0), 0))</f>
        <v/>
      </c>
      <c r="W2108" s="81">
        <f>IF(Q2108="Sin Factura",0,IFERROR(_xlfn.XLOOKUP(1, (Facturas_Odoo!$D:$D=A2108) * (Facturas_Odoo!$K:$K=I2108), Facturas_Odoo!$Q:$Q, 0), 0))</f>
        <v/>
      </c>
      <c r="X2108" s="79">
        <f>IF(OR(Q2108="Sin Factura",Q2108=""),"",IFERROR(INDEX(Pagos_Odoo!$B:$B, MATCH(Q2108, Pagos_Odoo!$I:$I, 0)), "Sin Pago"))</f>
        <v/>
      </c>
      <c r="Y2108" s="79">
        <f>IF(X2108="Sin Pago","",IFERROR(INDEX(Pagos_Odoo!$C:$C, MATCH(X2108, Pagos_Odoo!$B:$B, 0)), ""))</f>
        <v/>
      </c>
      <c r="Z2108" s="80">
        <f>IF(X2108="Sin Pago","",IFERROR(INDEX(Pagos_Odoo!$A:$A, MATCH(X2108, Pagos_Odoo!$B:$B, 0)), ""))</f>
        <v/>
      </c>
      <c r="AA2108" s="79">
        <f>IF(X2108="Sin Pago","",IFERROR(INDEX(Pagos_Odoo!$F:$F, MATCH(X2108, Pagos_Odoo!$B:$B, 0)), ""))</f>
        <v/>
      </c>
      <c r="AB2108" s="81">
        <f>IF(X2108="Sin Pago",0,IFERROR(INDEX(Pagos_Odoo!$E:$E, MATCH(X2108, Pagos_Odoo!$B:$B, 0)), 0))</f>
        <v/>
      </c>
      <c r="AC2108" s="79">
        <f>IF(X2108="Sin Pago","",IFERROR(INDEX(Pagos_Odoo!$G:$G, MATCH(X2108, Pagos_Odoo!$B:$B, 0)), ""))</f>
        <v/>
      </c>
      <c r="AD2108" s="82" t="n">
        <v>0</v>
      </c>
      <c r="AE2108" s="82" t="n"/>
      <c r="AF2108" s="82" t="n"/>
      <c r="AG2108" s="82">
        <f>IF(AN2108="","",AD2108+AE2108+AF2108)</f>
        <v/>
      </c>
      <c r="AH2108" s="81">
        <f>IF(AN2108="","",P2108*(1-AG2108))</f>
        <v/>
      </c>
      <c r="AI2108" s="81">
        <f>IF(AN2108="","",IF(Q2108="Sin Factura",0,IFERROR(INDEX(Facturas_Odoo!$H:$H, MATCH(Q2108, Facturas_Odoo!$B:$B, 0)), 0)*(1-AG2108)))</f>
        <v/>
      </c>
      <c r="AJ2108" s="81">
        <f>IF(AN2108="","",_xlfn.LET(idVenta, AN2108&amp;"",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08" s="81">
        <f>IF(AN2108="","",AH2108-AJ2108)</f>
        <v/>
      </c>
      <c r="AL2108" s="81">
        <f>IF(AN2108="","",IF(Q2108="Sin Factura","",AI2108-AJ2108))</f>
        <v/>
      </c>
      <c r="AM2108" s="81">
        <f>IF(AN2108="","",IF(Q2108="Sin Factura",0,P2108-IFERROR(INDEX(Facturas_Odoo!$H:$H, MATCH(Q2108, Facturas_Odoo!$B:$B, 0)), 0)))</f>
        <v/>
      </c>
      <c r="AN2108" s="79">
        <f>IF(AND(A2108="", J2108=""), "", IF(A2108&lt;&gt;"", VALUE(MID(A2108,2,LEN(A2108))), AN2107))</f>
        <v/>
      </c>
      <c r="AO2108" s="79">
        <f>IF(AN2108="","",IF(AD2108=0,"OK",_xlfn.LET(monedaPago, IF(AA2108="","USD",AA2108), limitePermitido, IFERROR(VLOOKUP(monedaPago, Configuración!$A$2:$B$3, 2, FALSE), 0.15), IF(AD2108&gt;limitePermitido, "ALERTA: EXCESO (" &amp; TEXT(limitePermitido, "0%") &amp; " máx)", "OK"))))</f>
        <v/>
      </c>
      <c r="AP2108" s="79">
        <f>IF(AN2108="","",IF(AE2108=0,"OK",_xlfn.LET(fechaPago, Z2108, fechaFactura, R2108, diasCredito, IF(E2108="Pago inmediato", 0, IFERROR(VALUE(MID(E2108, 1, SEARCH(" ", E2108)-1)),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08" s="79">
        <f>IF(AN2108="","",IF(AND(N2108&gt;0, AG2108&gt;0), IF(Configuración!$K$2="NO", "ALERTA: DESCUENTO DOBLE NO PERMITIDO", "OK"), "OK"))</f>
        <v/>
      </c>
      <c r="AR2108" s="79">
        <f>IF(AN2108="","",IF(OR(AO2108&lt;&gt;"OK", AP2108&lt;&gt;"OK", AQ2108&lt;&gt;"OK"), "⚠️ REVISAR", "OK"))</f>
        <v/>
      </c>
    </row>
    <row r="2109">
      <c r="A2109" s="79">
        <f>IF('Ordenes_Odoo'!A2109="","",'Ordenes_Odoo'!A2109)</f>
        <v/>
      </c>
      <c r="B2109" s="80">
        <f>IF('Ordenes_Odoo'!B2109="","",'Ordenes_Odoo'!B2109)</f>
        <v/>
      </c>
      <c r="C2109" s="79">
        <f>IF('Ordenes_Odoo'!C2109="","",'Ordenes_Odoo'!C2109)</f>
        <v/>
      </c>
      <c r="D2109" s="79">
        <f>IF('Ordenes_Odoo'!D2109="","",'Ordenes_Odoo'!D2109)</f>
        <v/>
      </c>
      <c r="E2109" s="79">
        <f>IF('Ordenes_Odoo'!E2109="","",'Ordenes_Odoo'!E2109)</f>
        <v/>
      </c>
      <c r="F2109" s="79">
        <f>IF('Ordenes_Odoo'!F2109="","",'Ordenes_Odoo'!F2109)</f>
        <v/>
      </c>
      <c r="G2109" s="79">
        <f>IF('Ordenes_Odoo'!G2109="","",'Ordenes_Odoo'!G2109)</f>
        <v/>
      </c>
      <c r="H2109" s="79">
        <f>IF('Ordenes_Odoo'!H2109="","",'Ordenes_Odoo'!H2109)</f>
        <v/>
      </c>
      <c r="I2109" s="79">
        <f>IF('Ordenes_Odoo'!I2109="","",'Ordenes_Odoo'!I2109)</f>
        <v/>
      </c>
      <c r="J2109" s="79">
        <f>IF('Ordenes_Odoo'!J2109="","",'Ordenes_Odoo'!J2109)</f>
        <v/>
      </c>
      <c r="K2109" s="81">
        <f>IF('Ordenes_Odoo'!K2109="","",'Ordenes_Odoo'!K2109)</f>
        <v/>
      </c>
      <c r="L2109" s="81">
        <f>IF('Ordenes_Odoo'!L2109="","",'Ordenes_Odoo'!L2109)</f>
        <v/>
      </c>
      <c r="M2109" s="79">
        <f>IF('Ordenes_Odoo'!M2109="","",'Ordenes_Odoo'!M2109)</f>
        <v/>
      </c>
      <c r="N2109" s="79">
        <f>IF('Ordenes_Odoo'!N2109="","",'Ordenes_Odoo'!N2109)</f>
        <v/>
      </c>
      <c r="O2109" s="81">
        <f>IF('Ordenes_Odoo'!O2109="","",'Ordenes_Odoo'!O2109)</f>
        <v/>
      </c>
      <c r="P2109" s="81">
        <f>IF('Ordenes_Odoo'!P2109="","",'Ordenes_Odoo'!P2109)</f>
        <v/>
      </c>
      <c r="Q2109" s="79">
        <f>IF(A2109="","",IFERROR(INDEX(Facturas_Odoo!$B:$B, MATCH(A2109, Facturas_Odoo!$D:$D, 0)), "Sin Factura"))</f>
        <v/>
      </c>
      <c r="R2109" s="80">
        <f>IF(Q2109="Sin Factura","",IFERROR(INDEX(Facturas_Odoo!$A:$A, MATCH(Q2109, Facturas_Odoo!$B:$B, 0)), ""))</f>
        <v/>
      </c>
      <c r="S2109" s="79">
        <f>IF(Q2109="Sin Factura","",IFERROR(_xlfn.XLOOKUP(1, (Facturas_Odoo!$D:$D=A2109) * (Facturas_Odoo!$K:$K=I2109), Facturas_Odoo!$L:$L, ""), ""))</f>
        <v/>
      </c>
      <c r="T2109" s="81">
        <f>IF(Q2109="Sin Factura",0,IFERROR(_xlfn.XLOOKUP(1, (Facturas_Odoo!$D:$D=A2109) * (Facturas_Odoo!$K:$K=I2109), Facturas_Odoo!$M:$M, 0), 0))</f>
        <v/>
      </c>
      <c r="U2109" s="79">
        <f>IF(Q2109="Sin Factura",0,IFERROR(_xlfn.XLOOKUP(1, (Facturas_Odoo!$D:$D=A2109) * (Facturas_Odoo!$K:$K=I2109), Facturas_Odoo!$N:$N, 0), 0))</f>
        <v/>
      </c>
      <c r="V2109" s="79">
        <f>IF(Q2109="Sin Factura",0,IFERROR(_xlfn.XLOOKUP(1, (Facturas_Odoo!$D:$D=A2109) * (Facturas_Odoo!$K:$K=I2109), Facturas_Odoo!$O:$O, 0), 0))</f>
        <v/>
      </c>
      <c r="W2109" s="81">
        <f>IF(Q2109="Sin Factura",0,IFERROR(_xlfn.XLOOKUP(1, (Facturas_Odoo!$D:$D=A2109) * (Facturas_Odoo!$K:$K=I2109), Facturas_Odoo!$Q:$Q, 0), 0))</f>
        <v/>
      </c>
      <c r="X2109" s="79">
        <f>IF(OR(Q2109="Sin Factura",Q2109=""),"",IFERROR(INDEX(Pagos_Odoo!$B:$B, MATCH(Q2109, Pagos_Odoo!$I:$I, 0)), "Sin Pago"))</f>
        <v/>
      </c>
      <c r="Y2109" s="79">
        <f>IF(X2109="Sin Pago","",IFERROR(INDEX(Pagos_Odoo!$C:$C, MATCH(X2109, Pagos_Odoo!$B:$B, 0)), ""))</f>
        <v/>
      </c>
      <c r="Z2109" s="80">
        <f>IF(X2109="Sin Pago","",IFERROR(INDEX(Pagos_Odoo!$A:$A, MATCH(X2109, Pagos_Odoo!$B:$B, 0)), ""))</f>
        <v/>
      </c>
      <c r="AA2109" s="79">
        <f>IF(X2109="Sin Pago","",IFERROR(INDEX(Pagos_Odoo!$F:$F, MATCH(X2109, Pagos_Odoo!$B:$B, 0)), ""))</f>
        <v/>
      </c>
      <c r="AB2109" s="81">
        <f>IF(X2109="Sin Pago",0,IFERROR(INDEX(Pagos_Odoo!$E:$E, MATCH(X2109, Pagos_Odoo!$B:$B, 0)), 0))</f>
        <v/>
      </c>
      <c r="AC2109" s="79">
        <f>IF(X2109="Sin Pago","",IFERROR(INDEX(Pagos_Odoo!$G:$G, MATCH(X2109, Pagos_Odoo!$B:$B, 0)), ""))</f>
        <v/>
      </c>
      <c r="AD2109" s="82" t="n">
        <v>0</v>
      </c>
      <c r="AE2109" s="82" t="n"/>
      <c r="AF2109" s="82" t="n"/>
      <c r="AG2109" s="82">
        <f>IF(AN2109="","",AD2109+AE2109+AF2109)</f>
        <v/>
      </c>
      <c r="AH2109" s="81">
        <f>IF(AN2109="","",P2109*(1-AG2109))</f>
        <v/>
      </c>
      <c r="AI2109" s="81">
        <f>IF(AN2109="","",IF(Q2109="Sin Factura",0,IFERROR(INDEX(Facturas_Odoo!$H:$H, MATCH(Q2109, Facturas_Odoo!$B:$B, 0)), 0)*(1-AG2109)))</f>
        <v/>
      </c>
      <c r="AJ2109" s="81">
        <f>IF(AN2109="","",_xlfn.LET(idVenta, AN2109&amp;"",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09" s="81">
        <f>IF(AN2109="","",AH2109-AJ2109)</f>
        <v/>
      </c>
      <c r="AL2109" s="81">
        <f>IF(AN2109="","",IF(Q2109="Sin Factura","",AI2109-AJ2109))</f>
        <v/>
      </c>
      <c r="AM2109" s="81">
        <f>IF(AN2109="","",IF(Q2109="Sin Factura",0,P2109-IFERROR(INDEX(Facturas_Odoo!$H:$H, MATCH(Q2109, Facturas_Odoo!$B:$B, 0)), 0)))</f>
        <v/>
      </c>
      <c r="AN2109" s="79">
        <f>IF(AND(A2109="", J2109=""), "", IF(A2109&lt;&gt;"", VALUE(MID(A2109,2,LEN(A2109))), AN2108))</f>
        <v/>
      </c>
      <c r="AO2109" s="79">
        <f>IF(AN2109="","",IF(AD2109=0,"OK",_xlfn.LET(monedaPago, IF(AA2109="","USD",AA2109), limitePermitido, IFERROR(VLOOKUP(monedaPago, Configuración!$A$2:$B$3, 2, FALSE), 0.15), IF(AD2109&gt;limitePermitido, "ALERTA: EXCESO (" &amp; TEXT(limitePermitido, "0%") &amp; " máx)", "OK"))))</f>
        <v/>
      </c>
      <c r="AP2109" s="79">
        <f>IF(AN2109="","",IF(AE2109=0,"OK",_xlfn.LET(fechaPago, Z2109, fechaFactura, R2109, diasCredito, IF(E2109="Pago inmediato", 0, IFERROR(VALUE(MID(E2109, 1, SEARCH(" ", E2109)-1)),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09" s="79">
        <f>IF(AN2109="","",IF(AND(N2109&gt;0, AG2109&gt;0), IF(Configuración!$K$2="NO", "ALERTA: DESCUENTO DOBLE NO PERMITIDO", "OK"), "OK"))</f>
        <v/>
      </c>
      <c r="AR2109" s="79">
        <f>IF(AN2109="","",IF(OR(AO2109&lt;&gt;"OK", AP2109&lt;&gt;"OK", AQ2109&lt;&gt;"OK"), "⚠️ REVISAR", "OK"))</f>
        <v/>
      </c>
    </row>
    <row r="2110">
      <c r="A2110" s="79">
        <f>IF('Ordenes_Odoo'!A2110="","",'Ordenes_Odoo'!A2110)</f>
        <v/>
      </c>
      <c r="B2110" s="80">
        <f>IF('Ordenes_Odoo'!B2110="","",'Ordenes_Odoo'!B2110)</f>
        <v/>
      </c>
      <c r="C2110" s="79">
        <f>IF('Ordenes_Odoo'!C2110="","",'Ordenes_Odoo'!C2110)</f>
        <v/>
      </c>
      <c r="D2110" s="79">
        <f>IF('Ordenes_Odoo'!D2110="","",'Ordenes_Odoo'!D2110)</f>
        <v/>
      </c>
      <c r="E2110" s="79">
        <f>IF('Ordenes_Odoo'!E2110="","",'Ordenes_Odoo'!E2110)</f>
        <v/>
      </c>
      <c r="F2110" s="79">
        <f>IF('Ordenes_Odoo'!F2110="","",'Ordenes_Odoo'!F2110)</f>
        <v/>
      </c>
      <c r="G2110" s="79">
        <f>IF('Ordenes_Odoo'!G2110="","",'Ordenes_Odoo'!G2110)</f>
        <v/>
      </c>
      <c r="H2110" s="79">
        <f>IF('Ordenes_Odoo'!H2110="","",'Ordenes_Odoo'!H2110)</f>
        <v/>
      </c>
      <c r="I2110" s="79">
        <f>IF('Ordenes_Odoo'!I2110="","",'Ordenes_Odoo'!I2110)</f>
        <v/>
      </c>
      <c r="J2110" s="79">
        <f>IF('Ordenes_Odoo'!J2110="","",'Ordenes_Odoo'!J2110)</f>
        <v/>
      </c>
      <c r="K2110" s="81">
        <f>IF('Ordenes_Odoo'!K2110="","",'Ordenes_Odoo'!K2110)</f>
        <v/>
      </c>
      <c r="L2110" s="81">
        <f>IF('Ordenes_Odoo'!L2110="","",'Ordenes_Odoo'!L2110)</f>
        <v/>
      </c>
      <c r="M2110" s="79">
        <f>IF('Ordenes_Odoo'!M2110="","",'Ordenes_Odoo'!M2110)</f>
        <v/>
      </c>
      <c r="N2110" s="79">
        <f>IF('Ordenes_Odoo'!N2110="","",'Ordenes_Odoo'!N2110)</f>
        <v/>
      </c>
      <c r="O2110" s="81">
        <f>IF('Ordenes_Odoo'!O2110="","",'Ordenes_Odoo'!O2110)</f>
        <v/>
      </c>
      <c r="P2110" s="81">
        <f>IF('Ordenes_Odoo'!P2110="","",'Ordenes_Odoo'!P2110)</f>
        <v/>
      </c>
      <c r="Q2110" s="79">
        <f>IF(A2110="","",IFERROR(INDEX(Facturas_Odoo!$B:$B, MATCH(A2110, Facturas_Odoo!$D:$D, 0)), "Sin Factura"))</f>
        <v/>
      </c>
      <c r="R2110" s="80">
        <f>IF(Q2110="Sin Factura","",IFERROR(INDEX(Facturas_Odoo!$A:$A, MATCH(Q2110, Facturas_Odoo!$B:$B, 0)), ""))</f>
        <v/>
      </c>
      <c r="S2110" s="79">
        <f>IF(Q2110="Sin Factura","",IFERROR(_xlfn.XLOOKUP(1, (Facturas_Odoo!$D:$D=A2110) * (Facturas_Odoo!$K:$K=I2110), Facturas_Odoo!$L:$L, ""), ""))</f>
        <v/>
      </c>
      <c r="T2110" s="81">
        <f>IF(Q2110="Sin Factura",0,IFERROR(_xlfn.XLOOKUP(1, (Facturas_Odoo!$D:$D=A2110) * (Facturas_Odoo!$K:$K=I2110), Facturas_Odoo!$M:$M, 0), 0))</f>
        <v/>
      </c>
      <c r="U2110" s="79">
        <f>IF(Q2110="Sin Factura",0,IFERROR(_xlfn.XLOOKUP(1, (Facturas_Odoo!$D:$D=A2110) * (Facturas_Odoo!$K:$K=I2110), Facturas_Odoo!$N:$N, 0), 0))</f>
        <v/>
      </c>
      <c r="V2110" s="79">
        <f>IF(Q2110="Sin Factura",0,IFERROR(_xlfn.XLOOKUP(1, (Facturas_Odoo!$D:$D=A2110) * (Facturas_Odoo!$K:$K=I2110), Facturas_Odoo!$O:$O, 0), 0))</f>
        <v/>
      </c>
      <c r="W2110" s="81">
        <f>IF(Q2110="Sin Factura",0,IFERROR(_xlfn.XLOOKUP(1, (Facturas_Odoo!$D:$D=A2110) * (Facturas_Odoo!$K:$K=I2110), Facturas_Odoo!$Q:$Q, 0), 0))</f>
        <v/>
      </c>
      <c r="X2110" s="79">
        <f>IF(OR(Q2110="Sin Factura",Q2110=""),"",IFERROR(INDEX(Pagos_Odoo!$B:$B, MATCH(Q2110, Pagos_Odoo!$I:$I, 0)), "Sin Pago"))</f>
        <v/>
      </c>
      <c r="Y2110" s="79">
        <f>IF(X2110="Sin Pago","",IFERROR(INDEX(Pagos_Odoo!$C:$C, MATCH(X2110, Pagos_Odoo!$B:$B, 0)), ""))</f>
        <v/>
      </c>
      <c r="Z2110" s="80">
        <f>IF(X2110="Sin Pago","",IFERROR(INDEX(Pagos_Odoo!$A:$A, MATCH(X2110, Pagos_Odoo!$B:$B, 0)), ""))</f>
        <v/>
      </c>
      <c r="AA2110" s="79">
        <f>IF(X2110="Sin Pago","",IFERROR(INDEX(Pagos_Odoo!$F:$F, MATCH(X2110, Pagos_Odoo!$B:$B, 0)), ""))</f>
        <v/>
      </c>
      <c r="AB2110" s="81">
        <f>IF(X2110="Sin Pago",0,IFERROR(INDEX(Pagos_Odoo!$E:$E, MATCH(X2110, Pagos_Odoo!$B:$B, 0)), 0))</f>
        <v/>
      </c>
      <c r="AC2110" s="79">
        <f>IF(X2110="Sin Pago","",IFERROR(INDEX(Pagos_Odoo!$G:$G, MATCH(X2110, Pagos_Odoo!$B:$B, 0)), ""))</f>
        <v/>
      </c>
      <c r="AD2110" s="82" t="n">
        <v>0</v>
      </c>
      <c r="AE2110" s="82" t="n"/>
      <c r="AF2110" s="82" t="n"/>
      <c r="AG2110" s="82">
        <f>IF(AN2110="","",AD2110+AE2110+AF2110)</f>
        <v/>
      </c>
      <c r="AH2110" s="81">
        <f>IF(AN2110="","",P2110*(1-AG2110))</f>
        <v/>
      </c>
      <c r="AI2110" s="81">
        <f>IF(AN2110="","",IF(Q2110="Sin Factura",0,IFERROR(INDEX(Facturas_Odoo!$H:$H, MATCH(Q2110, Facturas_Odoo!$B:$B, 0)), 0)*(1-AG2110)))</f>
        <v/>
      </c>
      <c r="AJ2110" s="81">
        <f>IF(AN2110="","",_xlfn.LET(idVenta, AN2110&amp;"",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10" s="81">
        <f>IF(AN2110="","",AH2110-AJ2110)</f>
        <v/>
      </c>
      <c r="AL2110" s="81">
        <f>IF(AN2110="","",IF(Q2110="Sin Factura","",AI2110-AJ2110))</f>
        <v/>
      </c>
      <c r="AM2110" s="81">
        <f>IF(AN2110="","",IF(Q2110="Sin Factura",0,P2110-IFERROR(INDEX(Facturas_Odoo!$H:$H, MATCH(Q2110, Facturas_Odoo!$B:$B, 0)), 0)))</f>
        <v/>
      </c>
      <c r="AN2110" s="79">
        <f>IF(AND(A2110="", J2110=""), "", IF(A2110&lt;&gt;"", VALUE(MID(A2110,2,LEN(A2110))), AN2109))</f>
        <v/>
      </c>
      <c r="AO2110" s="79">
        <f>IF(AN2110="","",IF(AD2110=0,"OK",_xlfn.LET(monedaPago, IF(AA2110="","USD",AA2110), limitePermitido, IFERROR(VLOOKUP(monedaPago, Configuración!$A$2:$B$3, 2, FALSE), 0.15), IF(AD2110&gt;limitePermitido, "ALERTA: EXCESO (" &amp; TEXT(limitePermitido, "0%") &amp; " máx)", "OK"))))</f>
        <v/>
      </c>
      <c r="AP2110" s="79">
        <f>IF(AN2110="","",IF(AE2110=0,"OK",_xlfn.LET(fechaPago, Z2110, fechaFactura, R2110, diasCredito, IF(E2110="Pago inmediato", 0, IFERROR(VALUE(MID(E2110, 1, SEARCH(" ", E2110)-1)),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10" s="79">
        <f>IF(AN2110="","",IF(AND(N2110&gt;0, AG2110&gt;0), IF(Configuración!$K$2="NO", "ALERTA: DESCUENTO DOBLE NO PERMITIDO", "OK"), "OK"))</f>
        <v/>
      </c>
      <c r="AR2110" s="79">
        <f>IF(AN2110="","",IF(OR(AO2110&lt;&gt;"OK", AP2110&lt;&gt;"OK", AQ2110&lt;&gt;"OK"), "⚠️ REVISAR", "OK"))</f>
        <v/>
      </c>
    </row>
    <row r="2111">
      <c r="A2111" s="79">
        <f>IF('Ordenes_Odoo'!A2111="","",'Ordenes_Odoo'!A2111)</f>
        <v/>
      </c>
      <c r="B2111" s="80">
        <f>IF('Ordenes_Odoo'!B2111="","",'Ordenes_Odoo'!B2111)</f>
        <v/>
      </c>
      <c r="C2111" s="79">
        <f>IF('Ordenes_Odoo'!C2111="","",'Ordenes_Odoo'!C2111)</f>
        <v/>
      </c>
      <c r="D2111" s="79">
        <f>IF('Ordenes_Odoo'!D2111="","",'Ordenes_Odoo'!D2111)</f>
        <v/>
      </c>
      <c r="E2111" s="79">
        <f>IF('Ordenes_Odoo'!E2111="","",'Ordenes_Odoo'!E2111)</f>
        <v/>
      </c>
      <c r="F2111" s="79">
        <f>IF('Ordenes_Odoo'!F2111="","",'Ordenes_Odoo'!F2111)</f>
        <v/>
      </c>
      <c r="G2111" s="79">
        <f>IF('Ordenes_Odoo'!G2111="","",'Ordenes_Odoo'!G2111)</f>
        <v/>
      </c>
      <c r="H2111" s="79">
        <f>IF('Ordenes_Odoo'!H2111="","",'Ordenes_Odoo'!H2111)</f>
        <v/>
      </c>
      <c r="I2111" s="79">
        <f>IF('Ordenes_Odoo'!I2111="","",'Ordenes_Odoo'!I2111)</f>
        <v/>
      </c>
      <c r="J2111" s="79">
        <f>IF('Ordenes_Odoo'!J2111="","",'Ordenes_Odoo'!J2111)</f>
        <v/>
      </c>
      <c r="K2111" s="81">
        <f>IF('Ordenes_Odoo'!K2111="","",'Ordenes_Odoo'!K2111)</f>
        <v/>
      </c>
      <c r="L2111" s="81">
        <f>IF('Ordenes_Odoo'!L2111="","",'Ordenes_Odoo'!L2111)</f>
        <v/>
      </c>
      <c r="M2111" s="79">
        <f>IF('Ordenes_Odoo'!M2111="","",'Ordenes_Odoo'!M2111)</f>
        <v/>
      </c>
      <c r="N2111" s="79">
        <f>IF('Ordenes_Odoo'!N2111="","",'Ordenes_Odoo'!N2111)</f>
        <v/>
      </c>
      <c r="O2111" s="81">
        <f>IF('Ordenes_Odoo'!O2111="","",'Ordenes_Odoo'!O2111)</f>
        <v/>
      </c>
      <c r="P2111" s="81">
        <f>IF('Ordenes_Odoo'!P2111="","",'Ordenes_Odoo'!P2111)</f>
        <v/>
      </c>
      <c r="Q2111" s="79">
        <f>IF(A2111="","",IFERROR(INDEX(Facturas_Odoo!$B:$B, MATCH(A2111, Facturas_Odoo!$D:$D, 0)), "Sin Factura"))</f>
        <v/>
      </c>
      <c r="R2111" s="80">
        <f>IF(Q2111="Sin Factura","",IFERROR(INDEX(Facturas_Odoo!$A:$A, MATCH(Q2111, Facturas_Odoo!$B:$B, 0)), ""))</f>
        <v/>
      </c>
      <c r="S2111" s="79">
        <f>IF(Q2111="Sin Factura","",IFERROR(_xlfn.XLOOKUP(1, (Facturas_Odoo!$D:$D=A2111) * (Facturas_Odoo!$K:$K=I2111), Facturas_Odoo!$L:$L, ""), ""))</f>
        <v/>
      </c>
      <c r="T2111" s="81">
        <f>IF(Q2111="Sin Factura",0,IFERROR(_xlfn.XLOOKUP(1, (Facturas_Odoo!$D:$D=A2111) * (Facturas_Odoo!$K:$K=I2111), Facturas_Odoo!$M:$M, 0), 0))</f>
        <v/>
      </c>
      <c r="U2111" s="79">
        <f>IF(Q2111="Sin Factura",0,IFERROR(_xlfn.XLOOKUP(1, (Facturas_Odoo!$D:$D=A2111) * (Facturas_Odoo!$K:$K=I2111), Facturas_Odoo!$N:$N, 0), 0))</f>
        <v/>
      </c>
      <c r="V2111" s="79">
        <f>IF(Q2111="Sin Factura",0,IFERROR(_xlfn.XLOOKUP(1, (Facturas_Odoo!$D:$D=A2111) * (Facturas_Odoo!$K:$K=I2111), Facturas_Odoo!$O:$O, 0), 0))</f>
        <v/>
      </c>
      <c r="W2111" s="81">
        <f>IF(Q2111="Sin Factura",0,IFERROR(_xlfn.XLOOKUP(1, (Facturas_Odoo!$D:$D=A2111) * (Facturas_Odoo!$K:$K=I2111), Facturas_Odoo!$Q:$Q, 0), 0))</f>
        <v/>
      </c>
      <c r="X2111" s="79">
        <f>IF(OR(Q2111="Sin Factura",Q2111=""),"",IFERROR(INDEX(Pagos_Odoo!$B:$B, MATCH(Q2111, Pagos_Odoo!$I:$I, 0)), "Sin Pago"))</f>
        <v/>
      </c>
      <c r="Y2111" s="79">
        <f>IF(X2111="Sin Pago","",IFERROR(INDEX(Pagos_Odoo!$C:$C, MATCH(X2111, Pagos_Odoo!$B:$B, 0)), ""))</f>
        <v/>
      </c>
      <c r="Z2111" s="80">
        <f>IF(X2111="Sin Pago","",IFERROR(INDEX(Pagos_Odoo!$A:$A, MATCH(X2111, Pagos_Odoo!$B:$B, 0)), ""))</f>
        <v/>
      </c>
      <c r="AA2111" s="79">
        <f>IF(X2111="Sin Pago","",IFERROR(INDEX(Pagos_Odoo!$F:$F, MATCH(X2111, Pagos_Odoo!$B:$B, 0)), ""))</f>
        <v/>
      </c>
      <c r="AB2111" s="81">
        <f>IF(X2111="Sin Pago",0,IFERROR(INDEX(Pagos_Odoo!$E:$E, MATCH(X2111, Pagos_Odoo!$B:$B, 0)), 0))</f>
        <v/>
      </c>
      <c r="AC2111" s="79">
        <f>IF(X2111="Sin Pago","",IFERROR(INDEX(Pagos_Odoo!$G:$G, MATCH(X2111, Pagos_Odoo!$B:$B, 0)), ""))</f>
        <v/>
      </c>
      <c r="AD2111" s="82" t="n">
        <v>0</v>
      </c>
      <c r="AE2111" s="82" t="n"/>
      <c r="AF2111" s="82" t="n"/>
      <c r="AG2111" s="82">
        <f>IF(AN2111="","",AD2111+AE2111+AF2111)</f>
        <v/>
      </c>
      <c r="AH2111" s="81">
        <f>IF(AN2111="","",P2111*(1-AG2111))</f>
        <v/>
      </c>
      <c r="AI2111" s="81">
        <f>IF(AN2111="","",IF(Q2111="Sin Factura",0,IFERROR(INDEX(Facturas_Odoo!$H:$H, MATCH(Q2111, Facturas_Odoo!$B:$B, 0)), 0)*(1-AG2111)))</f>
        <v/>
      </c>
      <c r="AJ2111" s="81">
        <f>IF(AN2111="","",_xlfn.LET(idVenta, AN2111&amp;"",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11" s="81">
        <f>IF(AN2111="","",AH2111-AJ2111)</f>
        <v/>
      </c>
      <c r="AL2111" s="81">
        <f>IF(AN2111="","",IF(Q2111="Sin Factura","",AI2111-AJ2111))</f>
        <v/>
      </c>
      <c r="AM2111" s="81">
        <f>IF(AN2111="","",IF(Q2111="Sin Factura",0,P2111-IFERROR(INDEX(Facturas_Odoo!$H:$H, MATCH(Q2111, Facturas_Odoo!$B:$B, 0)), 0)))</f>
        <v/>
      </c>
      <c r="AN2111" s="79">
        <f>IF(AND(A2111="", J2111=""), "", IF(A2111&lt;&gt;"", VALUE(MID(A2111,2,LEN(A2111))), AN2110))</f>
        <v/>
      </c>
      <c r="AO2111" s="79">
        <f>IF(AN2111="","",IF(AD2111=0,"OK",_xlfn.LET(monedaPago, IF(AA2111="","USD",AA2111), limitePermitido, IFERROR(VLOOKUP(monedaPago, Configuración!$A$2:$B$3, 2, FALSE), 0.15), IF(AD2111&gt;limitePermitido, "ALERTA: EXCESO (" &amp; TEXT(limitePermitido, "0%") &amp; " máx)", "OK"))))</f>
        <v/>
      </c>
      <c r="AP2111" s="79">
        <f>IF(AN2111="","",IF(AE2111=0,"OK",_xlfn.LET(fechaPago, Z2111, fechaFactura, R2111, diasCredito, IF(E2111="Pago inmediato", 0, IFERROR(VALUE(MID(E2111, 1, SEARCH(" ", E2111)-1)),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11" s="79">
        <f>IF(AN2111="","",IF(AND(N2111&gt;0, AG2111&gt;0), IF(Configuración!$K$2="NO", "ALERTA: DESCUENTO DOBLE NO PERMITIDO", "OK"), "OK"))</f>
        <v/>
      </c>
      <c r="AR2111" s="79">
        <f>IF(AN2111="","",IF(OR(AO2111&lt;&gt;"OK", AP2111&lt;&gt;"OK", AQ2111&lt;&gt;"OK"), "⚠️ REVISAR", "OK"))</f>
        <v/>
      </c>
    </row>
    <row r="2112">
      <c r="A2112" s="79">
        <f>IF('Ordenes_Odoo'!A2112="","",'Ordenes_Odoo'!A2112)</f>
        <v/>
      </c>
      <c r="B2112" s="80">
        <f>IF('Ordenes_Odoo'!B2112="","",'Ordenes_Odoo'!B2112)</f>
        <v/>
      </c>
      <c r="C2112" s="79">
        <f>IF('Ordenes_Odoo'!C2112="","",'Ordenes_Odoo'!C2112)</f>
        <v/>
      </c>
      <c r="D2112" s="79">
        <f>IF('Ordenes_Odoo'!D2112="","",'Ordenes_Odoo'!D2112)</f>
        <v/>
      </c>
      <c r="E2112" s="79">
        <f>IF('Ordenes_Odoo'!E2112="","",'Ordenes_Odoo'!E2112)</f>
        <v/>
      </c>
      <c r="F2112" s="79">
        <f>IF('Ordenes_Odoo'!F2112="","",'Ordenes_Odoo'!F2112)</f>
        <v/>
      </c>
      <c r="G2112" s="79">
        <f>IF('Ordenes_Odoo'!G2112="","",'Ordenes_Odoo'!G2112)</f>
        <v/>
      </c>
      <c r="H2112" s="79">
        <f>IF('Ordenes_Odoo'!H2112="","",'Ordenes_Odoo'!H2112)</f>
        <v/>
      </c>
      <c r="I2112" s="79">
        <f>IF('Ordenes_Odoo'!I2112="","",'Ordenes_Odoo'!I2112)</f>
        <v/>
      </c>
      <c r="J2112" s="79">
        <f>IF('Ordenes_Odoo'!J2112="","",'Ordenes_Odoo'!J2112)</f>
        <v/>
      </c>
      <c r="K2112" s="81">
        <f>IF('Ordenes_Odoo'!K2112="","",'Ordenes_Odoo'!K2112)</f>
        <v/>
      </c>
      <c r="L2112" s="81">
        <f>IF('Ordenes_Odoo'!L2112="","",'Ordenes_Odoo'!L2112)</f>
        <v/>
      </c>
      <c r="M2112" s="79">
        <f>IF('Ordenes_Odoo'!M2112="","",'Ordenes_Odoo'!M2112)</f>
        <v/>
      </c>
      <c r="N2112" s="79">
        <f>IF('Ordenes_Odoo'!N2112="","",'Ordenes_Odoo'!N2112)</f>
        <v/>
      </c>
      <c r="O2112" s="81">
        <f>IF('Ordenes_Odoo'!O2112="","",'Ordenes_Odoo'!O2112)</f>
        <v/>
      </c>
      <c r="P2112" s="81">
        <f>IF('Ordenes_Odoo'!P2112="","",'Ordenes_Odoo'!P2112)</f>
        <v/>
      </c>
      <c r="Q2112" s="79">
        <f>IF(A2112="","",IFERROR(INDEX(Facturas_Odoo!$B:$B, MATCH(A2112, Facturas_Odoo!$D:$D, 0)), "Sin Factura"))</f>
        <v/>
      </c>
      <c r="R2112" s="80">
        <f>IF(Q2112="Sin Factura","",IFERROR(INDEX(Facturas_Odoo!$A:$A, MATCH(Q2112, Facturas_Odoo!$B:$B, 0)), ""))</f>
        <v/>
      </c>
      <c r="S2112" s="79">
        <f>IF(Q2112="Sin Factura","",IFERROR(_xlfn.XLOOKUP(1, (Facturas_Odoo!$D:$D=A2112) * (Facturas_Odoo!$K:$K=I2112), Facturas_Odoo!$L:$L, ""), ""))</f>
        <v/>
      </c>
      <c r="T2112" s="81">
        <f>IF(Q2112="Sin Factura",0,IFERROR(_xlfn.XLOOKUP(1, (Facturas_Odoo!$D:$D=A2112) * (Facturas_Odoo!$K:$K=I2112), Facturas_Odoo!$M:$M, 0), 0))</f>
        <v/>
      </c>
      <c r="U2112" s="79">
        <f>IF(Q2112="Sin Factura",0,IFERROR(_xlfn.XLOOKUP(1, (Facturas_Odoo!$D:$D=A2112) * (Facturas_Odoo!$K:$K=I2112), Facturas_Odoo!$N:$N, 0), 0))</f>
        <v/>
      </c>
      <c r="V2112" s="79">
        <f>IF(Q2112="Sin Factura",0,IFERROR(_xlfn.XLOOKUP(1, (Facturas_Odoo!$D:$D=A2112) * (Facturas_Odoo!$K:$K=I2112), Facturas_Odoo!$O:$O, 0), 0))</f>
        <v/>
      </c>
      <c r="W2112" s="81">
        <f>IF(Q2112="Sin Factura",0,IFERROR(_xlfn.XLOOKUP(1, (Facturas_Odoo!$D:$D=A2112) * (Facturas_Odoo!$K:$K=I2112), Facturas_Odoo!$Q:$Q, 0), 0))</f>
        <v/>
      </c>
      <c r="X2112" s="79">
        <f>IF(OR(Q2112="Sin Factura",Q2112=""),"",IFERROR(INDEX(Pagos_Odoo!$B:$B, MATCH(Q2112, Pagos_Odoo!$I:$I, 0)), "Sin Pago"))</f>
        <v/>
      </c>
      <c r="Y2112" s="79">
        <f>IF(X2112="Sin Pago","",IFERROR(INDEX(Pagos_Odoo!$C:$C, MATCH(X2112, Pagos_Odoo!$B:$B, 0)), ""))</f>
        <v/>
      </c>
      <c r="Z2112" s="80">
        <f>IF(X2112="Sin Pago","",IFERROR(INDEX(Pagos_Odoo!$A:$A, MATCH(X2112, Pagos_Odoo!$B:$B, 0)), ""))</f>
        <v/>
      </c>
      <c r="AA2112" s="79">
        <f>IF(X2112="Sin Pago","",IFERROR(INDEX(Pagos_Odoo!$F:$F, MATCH(X2112, Pagos_Odoo!$B:$B, 0)), ""))</f>
        <v/>
      </c>
      <c r="AB2112" s="81">
        <f>IF(X2112="Sin Pago",0,IFERROR(INDEX(Pagos_Odoo!$E:$E, MATCH(X2112, Pagos_Odoo!$B:$B, 0)), 0))</f>
        <v/>
      </c>
      <c r="AC2112" s="79">
        <f>IF(X2112="Sin Pago","",IFERROR(INDEX(Pagos_Odoo!$G:$G, MATCH(X2112, Pagos_Odoo!$B:$B, 0)), ""))</f>
        <v/>
      </c>
      <c r="AD2112" s="82" t="n">
        <v>0</v>
      </c>
      <c r="AE2112" s="82" t="n"/>
      <c r="AF2112" s="82" t="n"/>
      <c r="AG2112" s="82">
        <f>IF(AN2112="","",AD2112+AE2112+AF2112)</f>
        <v/>
      </c>
      <c r="AH2112" s="81">
        <f>IF(AN2112="","",P2112*(1-AG2112))</f>
        <v/>
      </c>
      <c r="AI2112" s="81">
        <f>IF(AN2112="","",IF(Q2112="Sin Factura",0,IFERROR(INDEX(Facturas_Odoo!$H:$H, MATCH(Q2112, Facturas_Odoo!$B:$B, 0)), 0)*(1-AG2112)))</f>
        <v/>
      </c>
      <c r="AJ2112" s="81">
        <f>IF(AN2112="","",_xlfn.LET(idVenta, AN2112&amp;"",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12" s="81">
        <f>IF(AN2112="","",AH2112-AJ2112)</f>
        <v/>
      </c>
      <c r="AL2112" s="81">
        <f>IF(AN2112="","",IF(Q2112="Sin Factura","",AI2112-AJ2112))</f>
        <v/>
      </c>
      <c r="AM2112" s="81">
        <f>IF(AN2112="","",IF(Q2112="Sin Factura",0,P2112-IFERROR(INDEX(Facturas_Odoo!$H:$H, MATCH(Q2112, Facturas_Odoo!$B:$B, 0)), 0)))</f>
        <v/>
      </c>
      <c r="AN2112" s="79">
        <f>IF(AND(A2112="", J2112=""), "", IF(A2112&lt;&gt;"", VALUE(MID(A2112,2,LEN(A2112))), AN2111))</f>
        <v/>
      </c>
      <c r="AO2112" s="79">
        <f>IF(AN2112="","",IF(AD2112=0,"OK",_xlfn.LET(monedaPago, IF(AA2112="","USD",AA2112), limitePermitido, IFERROR(VLOOKUP(monedaPago, Configuración!$A$2:$B$3, 2, FALSE), 0.15), IF(AD2112&gt;limitePermitido, "ALERTA: EXCESO (" &amp; TEXT(limitePermitido, "0%") &amp; " máx)", "OK"))))</f>
        <v/>
      </c>
      <c r="AP2112" s="79">
        <f>IF(AN2112="","",IF(AE2112=0,"OK",_xlfn.LET(fechaPago, Z2112, fechaFactura, R2112, diasCredito, IF(E2112="Pago inmediato", 0, IFERROR(VALUE(MID(E2112, 1, SEARCH(" ", E2112)-1)),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12" s="79">
        <f>IF(AN2112="","",IF(AND(N2112&gt;0, AG2112&gt;0), IF(Configuración!$K$2="NO", "ALERTA: DESCUENTO DOBLE NO PERMITIDO", "OK"), "OK"))</f>
        <v/>
      </c>
      <c r="AR2112" s="79">
        <f>IF(AN2112="","",IF(OR(AO2112&lt;&gt;"OK", AP2112&lt;&gt;"OK", AQ2112&lt;&gt;"OK"), "⚠️ REVISAR", "OK"))</f>
        <v/>
      </c>
    </row>
    <row r="2113">
      <c r="A2113" s="79">
        <f>IF('Ordenes_Odoo'!A2113="","",'Ordenes_Odoo'!A2113)</f>
        <v/>
      </c>
      <c r="B2113" s="80">
        <f>IF('Ordenes_Odoo'!B2113="","",'Ordenes_Odoo'!B2113)</f>
        <v/>
      </c>
      <c r="C2113" s="79">
        <f>IF('Ordenes_Odoo'!C2113="","",'Ordenes_Odoo'!C2113)</f>
        <v/>
      </c>
      <c r="D2113" s="79">
        <f>IF('Ordenes_Odoo'!D2113="","",'Ordenes_Odoo'!D2113)</f>
        <v/>
      </c>
      <c r="E2113" s="79">
        <f>IF('Ordenes_Odoo'!E2113="","",'Ordenes_Odoo'!E2113)</f>
        <v/>
      </c>
      <c r="F2113" s="79">
        <f>IF('Ordenes_Odoo'!F2113="","",'Ordenes_Odoo'!F2113)</f>
        <v/>
      </c>
      <c r="G2113" s="79">
        <f>IF('Ordenes_Odoo'!G2113="","",'Ordenes_Odoo'!G2113)</f>
        <v/>
      </c>
      <c r="H2113" s="79">
        <f>IF('Ordenes_Odoo'!H2113="","",'Ordenes_Odoo'!H2113)</f>
        <v/>
      </c>
      <c r="I2113" s="79">
        <f>IF('Ordenes_Odoo'!I2113="","",'Ordenes_Odoo'!I2113)</f>
        <v/>
      </c>
      <c r="J2113" s="79">
        <f>IF('Ordenes_Odoo'!J2113="","",'Ordenes_Odoo'!J2113)</f>
        <v/>
      </c>
      <c r="K2113" s="81">
        <f>IF('Ordenes_Odoo'!K2113="","",'Ordenes_Odoo'!K2113)</f>
        <v/>
      </c>
      <c r="L2113" s="81">
        <f>IF('Ordenes_Odoo'!L2113="","",'Ordenes_Odoo'!L2113)</f>
        <v/>
      </c>
      <c r="M2113" s="79">
        <f>IF('Ordenes_Odoo'!M2113="","",'Ordenes_Odoo'!M2113)</f>
        <v/>
      </c>
      <c r="N2113" s="79">
        <f>IF('Ordenes_Odoo'!N2113="","",'Ordenes_Odoo'!N2113)</f>
        <v/>
      </c>
      <c r="O2113" s="81">
        <f>IF('Ordenes_Odoo'!O2113="","",'Ordenes_Odoo'!O2113)</f>
        <v/>
      </c>
      <c r="P2113" s="81">
        <f>IF('Ordenes_Odoo'!P2113="","",'Ordenes_Odoo'!P2113)</f>
        <v/>
      </c>
      <c r="Q2113" s="79">
        <f>IF(A2113="","",IFERROR(INDEX(Facturas_Odoo!$B:$B, MATCH(A2113, Facturas_Odoo!$D:$D, 0)), "Sin Factura"))</f>
        <v/>
      </c>
      <c r="R2113" s="80">
        <f>IF(Q2113="Sin Factura","",IFERROR(INDEX(Facturas_Odoo!$A:$A, MATCH(Q2113, Facturas_Odoo!$B:$B, 0)), ""))</f>
        <v/>
      </c>
      <c r="S2113" s="79">
        <f>IF(Q2113="Sin Factura","",IFERROR(_xlfn.XLOOKUP(1, (Facturas_Odoo!$D:$D=A2113) * (Facturas_Odoo!$K:$K=I2113), Facturas_Odoo!$L:$L, ""), ""))</f>
        <v/>
      </c>
      <c r="T2113" s="81">
        <f>IF(Q2113="Sin Factura",0,IFERROR(_xlfn.XLOOKUP(1, (Facturas_Odoo!$D:$D=A2113) * (Facturas_Odoo!$K:$K=I2113), Facturas_Odoo!$M:$M, 0), 0))</f>
        <v/>
      </c>
      <c r="U2113" s="79">
        <f>IF(Q2113="Sin Factura",0,IFERROR(_xlfn.XLOOKUP(1, (Facturas_Odoo!$D:$D=A2113) * (Facturas_Odoo!$K:$K=I2113), Facturas_Odoo!$N:$N, 0), 0))</f>
        <v/>
      </c>
      <c r="V2113" s="79">
        <f>IF(Q2113="Sin Factura",0,IFERROR(_xlfn.XLOOKUP(1, (Facturas_Odoo!$D:$D=A2113) * (Facturas_Odoo!$K:$K=I2113), Facturas_Odoo!$O:$O, 0), 0))</f>
        <v/>
      </c>
      <c r="W2113" s="81">
        <f>IF(Q2113="Sin Factura",0,IFERROR(_xlfn.XLOOKUP(1, (Facturas_Odoo!$D:$D=A2113) * (Facturas_Odoo!$K:$K=I2113), Facturas_Odoo!$Q:$Q, 0), 0))</f>
        <v/>
      </c>
      <c r="X2113" s="79">
        <f>IF(OR(Q2113="Sin Factura",Q2113=""),"",IFERROR(INDEX(Pagos_Odoo!$B:$B, MATCH(Q2113, Pagos_Odoo!$I:$I, 0)), "Sin Pago"))</f>
        <v/>
      </c>
      <c r="Y2113" s="79">
        <f>IF(X2113="Sin Pago","",IFERROR(INDEX(Pagos_Odoo!$C:$C, MATCH(X2113, Pagos_Odoo!$B:$B, 0)), ""))</f>
        <v/>
      </c>
      <c r="Z2113" s="80">
        <f>IF(X2113="Sin Pago","",IFERROR(INDEX(Pagos_Odoo!$A:$A, MATCH(X2113, Pagos_Odoo!$B:$B, 0)), ""))</f>
        <v/>
      </c>
      <c r="AA2113" s="79">
        <f>IF(X2113="Sin Pago","",IFERROR(INDEX(Pagos_Odoo!$F:$F, MATCH(X2113, Pagos_Odoo!$B:$B, 0)), ""))</f>
        <v/>
      </c>
      <c r="AB2113" s="81">
        <f>IF(X2113="Sin Pago",0,IFERROR(INDEX(Pagos_Odoo!$E:$E, MATCH(X2113, Pagos_Odoo!$B:$B, 0)), 0))</f>
        <v/>
      </c>
      <c r="AC2113" s="79">
        <f>IF(X2113="Sin Pago","",IFERROR(INDEX(Pagos_Odoo!$G:$G, MATCH(X2113, Pagos_Odoo!$B:$B, 0)), ""))</f>
        <v/>
      </c>
      <c r="AD2113" s="82" t="n">
        <v>0</v>
      </c>
      <c r="AE2113" s="82" t="n"/>
      <c r="AF2113" s="82" t="n"/>
      <c r="AG2113" s="82">
        <f>IF(AN2113="","",AD2113+AE2113+AF2113)</f>
        <v/>
      </c>
      <c r="AH2113" s="81">
        <f>IF(AN2113="","",P2113*(1-AG2113))</f>
        <v/>
      </c>
      <c r="AI2113" s="81">
        <f>IF(AN2113="","",IF(Q2113="Sin Factura",0,IFERROR(INDEX(Facturas_Odoo!$H:$H, MATCH(Q2113, Facturas_Odoo!$B:$B, 0)), 0)*(1-AG2113)))</f>
        <v/>
      </c>
      <c r="AJ2113" s="81">
        <f>IF(AN2113="","",_xlfn.LET(idVenta, AN2113&amp;"",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13" s="81">
        <f>IF(AN2113="","",AH2113-AJ2113)</f>
        <v/>
      </c>
      <c r="AL2113" s="81">
        <f>IF(AN2113="","",IF(Q2113="Sin Factura","",AI2113-AJ2113))</f>
        <v/>
      </c>
      <c r="AM2113" s="81">
        <f>IF(AN2113="","",IF(Q2113="Sin Factura",0,P2113-IFERROR(INDEX(Facturas_Odoo!$H:$H, MATCH(Q2113, Facturas_Odoo!$B:$B, 0)), 0)))</f>
        <v/>
      </c>
      <c r="AN2113" s="79">
        <f>IF(AND(A2113="", J2113=""), "", IF(A2113&lt;&gt;"", VALUE(MID(A2113,2,LEN(A2113))), AN2112))</f>
        <v/>
      </c>
      <c r="AO2113" s="79">
        <f>IF(AN2113="","",IF(AD2113=0,"OK",_xlfn.LET(monedaPago, IF(AA2113="","USD",AA2113), limitePermitido, IFERROR(VLOOKUP(monedaPago, Configuración!$A$2:$B$3, 2, FALSE), 0.15), IF(AD2113&gt;limitePermitido, "ALERTA: EXCESO (" &amp; TEXT(limitePermitido, "0%") &amp; " máx)", "OK"))))</f>
        <v/>
      </c>
      <c r="AP2113" s="79">
        <f>IF(AN2113="","",IF(AE2113=0,"OK",_xlfn.LET(fechaPago, Z2113, fechaFactura, R2113, diasCredito, IF(E2113="Pago inmediato", 0, IFERROR(VALUE(MID(E2113, 1, SEARCH(" ", E2113)-1)),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13" s="79">
        <f>IF(AN2113="","",IF(AND(N2113&gt;0, AG2113&gt;0), IF(Configuración!$K$2="NO", "ALERTA: DESCUENTO DOBLE NO PERMITIDO", "OK"), "OK"))</f>
        <v/>
      </c>
      <c r="AR2113" s="79">
        <f>IF(AN2113="","",IF(OR(AO2113&lt;&gt;"OK", AP2113&lt;&gt;"OK", AQ2113&lt;&gt;"OK"), "⚠️ REVISAR", "OK"))</f>
        <v/>
      </c>
    </row>
    <row r="2114">
      <c r="A2114" s="79">
        <f>IF('Ordenes_Odoo'!A2114="","",'Ordenes_Odoo'!A2114)</f>
        <v/>
      </c>
      <c r="B2114" s="80">
        <f>IF('Ordenes_Odoo'!B2114="","",'Ordenes_Odoo'!B2114)</f>
        <v/>
      </c>
      <c r="C2114" s="79">
        <f>IF('Ordenes_Odoo'!C2114="","",'Ordenes_Odoo'!C2114)</f>
        <v/>
      </c>
      <c r="D2114" s="79">
        <f>IF('Ordenes_Odoo'!D2114="","",'Ordenes_Odoo'!D2114)</f>
        <v/>
      </c>
      <c r="E2114" s="79">
        <f>IF('Ordenes_Odoo'!E2114="","",'Ordenes_Odoo'!E2114)</f>
        <v/>
      </c>
      <c r="F2114" s="79">
        <f>IF('Ordenes_Odoo'!F2114="","",'Ordenes_Odoo'!F2114)</f>
        <v/>
      </c>
      <c r="G2114" s="79">
        <f>IF('Ordenes_Odoo'!G2114="","",'Ordenes_Odoo'!G2114)</f>
        <v/>
      </c>
      <c r="H2114" s="79">
        <f>IF('Ordenes_Odoo'!H2114="","",'Ordenes_Odoo'!H2114)</f>
        <v/>
      </c>
      <c r="I2114" s="79">
        <f>IF('Ordenes_Odoo'!I2114="","",'Ordenes_Odoo'!I2114)</f>
        <v/>
      </c>
      <c r="J2114" s="79">
        <f>IF('Ordenes_Odoo'!J2114="","",'Ordenes_Odoo'!J2114)</f>
        <v/>
      </c>
      <c r="K2114" s="81">
        <f>IF('Ordenes_Odoo'!K2114="","",'Ordenes_Odoo'!K2114)</f>
        <v/>
      </c>
      <c r="L2114" s="81">
        <f>IF('Ordenes_Odoo'!L2114="","",'Ordenes_Odoo'!L2114)</f>
        <v/>
      </c>
      <c r="M2114" s="79">
        <f>IF('Ordenes_Odoo'!M2114="","",'Ordenes_Odoo'!M2114)</f>
        <v/>
      </c>
      <c r="N2114" s="79">
        <f>IF('Ordenes_Odoo'!N2114="","",'Ordenes_Odoo'!N2114)</f>
        <v/>
      </c>
      <c r="O2114" s="81">
        <f>IF('Ordenes_Odoo'!O2114="","",'Ordenes_Odoo'!O2114)</f>
        <v/>
      </c>
      <c r="P2114" s="81">
        <f>IF('Ordenes_Odoo'!P2114="","",'Ordenes_Odoo'!P2114)</f>
        <v/>
      </c>
      <c r="Q2114" s="79">
        <f>IF(A2114="","",IFERROR(INDEX(Facturas_Odoo!$B:$B, MATCH(A2114, Facturas_Odoo!$D:$D, 0)), "Sin Factura"))</f>
        <v/>
      </c>
      <c r="R2114" s="80">
        <f>IF(Q2114="Sin Factura","",IFERROR(INDEX(Facturas_Odoo!$A:$A, MATCH(Q2114, Facturas_Odoo!$B:$B, 0)), ""))</f>
        <v/>
      </c>
      <c r="S2114" s="79">
        <f>IF(Q2114="Sin Factura","",IFERROR(_xlfn.XLOOKUP(1, (Facturas_Odoo!$D:$D=A2114) * (Facturas_Odoo!$K:$K=I2114), Facturas_Odoo!$L:$L, ""), ""))</f>
        <v/>
      </c>
      <c r="T2114" s="81">
        <f>IF(Q2114="Sin Factura",0,IFERROR(_xlfn.XLOOKUP(1, (Facturas_Odoo!$D:$D=A2114) * (Facturas_Odoo!$K:$K=I2114), Facturas_Odoo!$M:$M, 0), 0))</f>
        <v/>
      </c>
      <c r="U2114" s="79">
        <f>IF(Q2114="Sin Factura",0,IFERROR(_xlfn.XLOOKUP(1, (Facturas_Odoo!$D:$D=A2114) * (Facturas_Odoo!$K:$K=I2114), Facturas_Odoo!$N:$N, 0), 0))</f>
        <v/>
      </c>
      <c r="V2114" s="79">
        <f>IF(Q2114="Sin Factura",0,IFERROR(_xlfn.XLOOKUP(1, (Facturas_Odoo!$D:$D=A2114) * (Facturas_Odoo!$K:$K=I2114), Facturas_Odoo!$O:$O, 0), 0))</f>
        <v/>
      </c>
      <c r="W2114" s="81">
        <f>IF(Q2114="Sin Factura",0,IFERROR(_xlfn.XLOOKUP(1, (Facturas_Odoo!$D:$D=A2114) * (Facturas_Odoo!$K:$K=I2114), Facturas_Odoo!$Q:$Q, 0), 0))</f>
        <v/>
      </c>
      <c r="X2114" s="79">
        <f>IF(OR(Q2114="Sin Factura",Q2114=""),"",IFERROR(INDEX(Pagos_Odoo!$B:$B, MATCH(Q2114, Pagos_Odoo!$I:$I, 0)), "Sin Pago"))</f>
        <v/>
      </c>
      <c r="Y2114" s="79">
        <f>IF(X2114="Sin Pago","",IFERROR(INDEX(Pagos_Odoo!$C:$C, MATCH(X2114, Pagos_Odoo!$B:$B, 0)), ""))</f>
        <v/>
      </c>
      <c r="Z2114" s="80">
        <f>IF(X2114="Sin Pago","",IFERROR(INDEX(Pagos_Odoo!$A:$A, MATCH(X2114, Pagos_Odoo!$B:$B, 0)), ""))</f>
        <v/>
      </c>
      <c r="AA2114" s="79">
        <f>IF(X2114="Sin Pago","",IFERROR(INDEX(Pagos_Odoo!$F:$F, MATCH(X2114, Pagos_Odoo!$B:$B, 0)), ""))</f>
        <v/>
      </c>
      <c r="AB2114" s="81">
        <f>IF(X2114="Sin Pago",0,IFERROR(INDEX(Pagos_Odoo!$E:$E, MATCH(X2114, Pagos_Odoo!$B:$B, 0)), 0))</f>
        <v/>
      </c>
      <c r="AC2114" s="79">
        <f>IF(X2114="Sin Pago","",IFERROR(INDEX(Pagos_Odoo!$G:$G, MATCH(X2114, Pagos_Odoo!$B:$B, 0)), ""))</f>
        <v/>
      </c>
      <c r="AD2114" s="82" t="n">
        <v>0</v>
      </c>
      <c r="AE2114" s="82" t="n"/>
      <c r="AF2114" s="82" t="n"/>
      <c r="AG2114" s="82">
        <f>IF(AN2114="","",AD2114+AE2114+AF2114)</f>
        <v/>
      </c>
      <c r="AH2114" s="81">
        <f>IF(AN2114="","",P2114*(1-AG2114))</f>
        <v/>
      </c>
      <c r="AI2114" s="81">
        <f>IF(AN2114="","",IF(Q2114="Sin Factura",0,IFERROR(INDEX(Facturas_Odoo!$H:$H, MATCH(Q2114, Facturas_Odoo!$B:$B, 0)), 0)*(1-AG2114)))</f>
        <v/>
      </c>
      <c r="AJ2114" s="81">
        <f>IF(AN2114="","",_xlfn.LET(idVenta, AN2114&amp;"",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14" s="81">
        <f>IF(AN2114="","",AH2114-AJ2114)</f>
        <v/>
      </c>
      <c r="AL2114" s="81">
        <f>IF(AN2114="","",IF(Q2114="Sin Factura","",AI2114-AJ2114))</f>
        <v/>
      </c>
      <c r="AM2114" s="81">
        <f>IF(AN2114="","",IF(Q2114="Sin Factura",0,P2114-IFERROR(INDEX(Facturas_Odoo!$H:$H, MATCH(Q2114, Facturas_Odoo!$B:$B, 0)), 0)))</f>
        <v/>
      </c>
      <c r="AN2114" s="79">
        <f>IF(AND(A2114="", J2114=""), "", IF(A2114&lt;&gt;"", VALUE(MID(A2114,2,LEN(A2114))), AN2113))</f>
        <v/>
      </c>
      <c r="AO2114" s="79">
        <f>IF(AN2114="","",IF(AD2114=0,"OK",_xlfn.LET(monedaPago, IF(AA2114="","USD",AA2114), limitePermitido, IFERROR(VLOOKUP(monedaPago, Configuración!$A$2:$B$3, 2, FALSE), 0.15), IF(AD2114&gt;limitePermitido, "ALERTA: EXCESO (" &amp; TEXT(limitePermitido, "0%") &amp; " máx)", "OK"))))</f>
        <v/>
      </c>
      <c r="AP2114" s="79">
        <f>IF(AN2114="","",IF(AE2114=0,"OK",_xlfn.LET(fechaPago, Z2114, fechaFactura, R2114, diasCredito, IF(E2114="Pago inmediato", 0, IFERROR(VALUE(MID(E2114, 1, SEARCH(" ", E2114)-1)),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14" s="79">
        <f>IF(AN2114="","",IF(AND(N2114&gt;0, AG2114&gt;0), IF(Configuración!$K$2="NO", "ALERTA: DESCUENTO DOBLE NO PERMITIDO", "OK"), "OK"))</f>
        <v/>
      </c>
      <c r="AR2114" s="79">
        <f>IF(AN2114="","",IF(OR(AO2114&lt;&gt;"OK", AP2114&lt;&gt;"OK", AQ2114&lt;&gt;"OK"), "⚠️ REVISAR", "OK"))</f>
        <v/>
      </c>
    </row>
    <row r="2115">
      <c r="A2115" s="79">
        <f>IF('Ordenes_Odoo'!A2115="","",'Ordenes_Odoo'!A2115)</f>
        <v/>
      </c>
      <c r="B2115" s="80">
        <f>IF('Ordenes_Odoo'!B2115="","",'Ordenes_Odoo'!B2115)</f>
        <v/>
      </c>
      <c r="C2115" s="79">
        <f>IF('Ordenes_Odoo'!C2115="","",'Ordenes_Odoo'!C2115)</f>
        <v/>
      </c>
      <c r="D2115" s="79">
        <f>IF('Ordenes_Odoo'!D2115="","",'Ordenes_Odoo'!D2115)</f>
        <v/>
      </c>
      <c r="E2115" s="79">
        <f>IF('Ordenes_Odoo'!E2115="","",'Ordenes_Odoo'!E2115)</f>
        <v/>
      </c>
      <c r="F2115" s="79">
        <f>IF('Ordenes_Odoo'!F2115="","",'Ordenes_Odoo'!F2115)</f>
        <v/>
      </c>
      <c r="G2115" s="79">
        <f>IF('Ordenes_Odoo'!G2115="","",'Ordenes_Odoo'!G2115)</f>
        <v/>
      </c>
      <c r="H2115" s="79">
        <f>IF('Ordenes_Odoo'!H2115="","",'Ordenes_Odoo'!H2115)</f>
        <v/>
      </c>
      <c r="I2115" s="79">
        <f>IF('Ordenes_Odoo'!I2115="","",'Ordenes_Odoo'!I2115)</f>
        <v/>
      </c>
      <c r="J2115" s="79">
        <f>IF('Ordenes_Odoo'!J2115="","",'Ordenes_Odoo'!J2115)</f>
        <v/>
      </c>
      <c r="K2115" s="81">
        <f>IF('Ordenes_Odoo'!K2115="","",'Ordenes_Odoo'!K2115)</f>
        <v/>
      </c>
      <c r="L2115" s="81">
        <f>IF('Ordenes_Odoo'!L2115="","",'Ordenes_Odoo'!L2115)</f>
        <v/>
      </c>
      <c r="M2115" s="79">
        <f>IF('Ordenes_Odoo'!M2115="","",'Ordenes_Odoo'!M2115)</f>
        <v/>
      </c>
      <c r="N2115" s="79">
        <f>IF('Ordenes_Odoo'!N2115="","",'Ordenes_Odoo'!N2115)</f>
        <v/>
      </c>
      <c r="O2115" s="81">
        <f>IF('Ordenes_Odoo'!O2115="","",'Ordenes_Odoo'!O2115)</f>
        <v/>
      </c>
      <c r="P2115" s="81">
        <f>IF('Ordenes_Odoo'!P2115="","",'Ordenes_Odoo'!P2115)</f>
        <v/>
      </c>
      <c r="Q2115" s="79">
        <f>IF(A2115="","",IFERROR(INDEX(Facturas_Odoo!$B:$B, MATCH(A2115, Facturas_Odoo!$D:$D, 0)), "Sin Factura"))</f>
        <v/>
      </c>
      <c r="R2115" s="80">
        <f>IF(Q2115="Sin Factura","",IFERROR(INDEX(Facturas_Odoo!$A:$A, MATCH(Q2115, Facturas_Odoo!$B:$B, 0)), ""))</f>
        <v/>
      </c>
      <c r="S2115" s="79">
        <f>IF(Q2115="Sin Factura","",IFERROR(_xlfn.XLOOKUP(1, (Facturas_Odoo!$D:$D=A2115) * (Facturas_Odoo!$K:$K=I2115), Facturas_Odoo!$L:$L, ""), ""))</f>
        <v/>
      </c>
      <c r="T2115" s="81">
        <f>IF(Q2115="Sin Factura",0,IFERROR(_xlfn.XLOOKUP(1, (Facturas_Odoo!$D:$D=A2115) * (Facturas_Odoo!$K:$K=I2115), Facturas_Odoo!$M:$M, 0), 0))</f>
        <v/>
      </c>
      <c r="U2115" s="79">
        <f>IF(Q2115="Sin Factura",0,IFERROR(_xlfn.XLOOKUP(1, (Facturas_Odoo!$D:$D=A2115) * (Facturas_Odoo!$K:$K=I2115), Facturas_Odoo!$N:$N, 0), 0))</f>
        <v/>
      </c>
      <c r="V2115" s="79">
        <f>IF(Q2115="Sin Factura",0,IFERROR(_xlfn.XLOOKUP(1, (Facturas_Odoo!$D:$D=A2115) * (Facturas_Odoo!$K:$K=I2115), Facturas_Odoo!$O:$O, 0), 0))</f>
        <v/>
      </c>
      <c r="W2115" s="81">
        <f>IF(Q2115="Sin Factura",0,IFERROR(_xlfn.XLOOKUP(1, (Facturas_Odoo!$D:$D=A2115) * (Facturas_Odoo!$K:$K=I2115), Facturas_Odoo!$Q:$Q, 0), 0))</f>
        <v/>
      </c>
      <c r="X2115" s="79">
        <f>IF(OR(Q2115="Sin Factura",Q2115=""),"",IFERROR(INDEX(Pagos_Odoo!$B:$B, MATCH(Q2115, Pagos_Odoo!$I:$I, 0)), "Sin Pago"))</f>
        <v/>
      </c>
      <c r="Y2115" s="79">
        <f>IF(X2115="Sin Pago","",IFERROR(INDEX(Pagos_Odoo!$C:$C, MATCH(X2115, Pagos_Odoo!$B:$B, 0)), ""))</f>
        <v/>
      </c>
      <c r="Z2115" s="80">
        <f>IF(X2115="Sin Pago","",IFERROR(INDEX(Pagos_Odoo!$A:$A, MATCH(X2115, Pagos_Odoo!$B:$B, 0)), ""))</f>
        <v/>
      </c>
      <c r="AA2115" s="79">
        <f>IF(X2115="Sin Pago","",IFERROR(INDEX(Pagos_Odoo!$F:$F, MATCH(X2115, Pagos_Odoo!$B:$B, 0)), ""))</f>
        <v/>
      </c>
      <c r="AB2115" s="81">
        <f>IF(X2115="Sin Pago",0,IFERROR(INDEX(Pagos_Odoo!$E:$E, MATCH(X2115, Pagos_Odoo!$B:$B, 0)), 0))</f>
        <v/>
      </c>
      <c r="AC2115" s="79">
        <f>IF(X2115="Sin Pago","",IFERROR(INDEX(Pagos_Odoo!$G:$G, MATCH(X2115, Pagos_Odoo!$B:$B, 0)), ""))</f>
        <v/>
      </c>
      <c r="AD2115" s="82" t="n">
        <v>0</v>
      </c>
      <c r="AE2115" s="82" t="n"/>
      <c r="AF2115" s="82" t="n"/>
      <c r="AG2115" s="82">
        <f>IF(AN2115="","",AD2115+AE2115+AF2115)</f>
        <v/>
      </c>
      <c r="AH2115" s="81">
        <f>IF(AN2115="","",P2115*(1-AG2115))</f>
        <v/>
      </c>
      <c r="AI2115" s="81">
        <f>IF(AN2115="","",IF(Q2115="Sin Factura",0,IFERROR(INDEX(Facturas_Odoo!$H:$H, MATCH(Q2115, Facturas_Odoo!$B:$B, 0)), 0)*(1-AG2115)))</f>
        <v/>
      </c>
      <c r="AJ2115" s="81">
        <f>IF(AN2115="","",_xlfn.LET(idVenta, AN2115&amp;"",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15" s="81">
        <f>IF(AN2115="","",AH2115-AJ2115)</f>
        <v/>
      </c>
      <c r="AL2115" s="81">
        <f>IF(AN2115="","",IF(Q2115="Sin Factura","",AI2115-AJ2115))</f>
        <v/>
      </c>
      <c r="AM2115" s="81">
        <f>IF(AN2115="","",IF(Q2115="Sin Factura",0,P2115-IFERROR(INDEX(Facturas_Odoo!$H:$H, MATCH(Q2115, Facturas_Odoo!$B:$B, 0)), 0)))</f>
        <v/>
      </c>
      <c r="AN2115" s="79">
        <f>IF(AND(A2115="", J2115=""), "", IF(A2115&lt;&gt;"", VALUE(MID(A2115,2,LEN(A2115))), AN2114))</f>
        <v/>
      </c>
      <c r="AO2115" s="79">
        <f>IF(AN2115="","",IF(AD2115=0,"OK",_xlfn.LET(monedaPago, IF(AA2115="","USD",AA2115), limitePermitido, IFERROR(VLOOKUP(monedaPago, Configuración!$A$2:$B$3, 2, FALSE), 0.15), IF(AD2115&gt;limitePermitido, "ALERTA: EXCESO (" &amp; TEXT(limitePermitido, "0%") &amp; " máx)", "OK"))))</f>
        <v/>
      </c>
      <c r="AP2115" s="79">
        <f>IF(AN2115="","",IF(AE2115=0,"OK",_xlfn.LET(fechaPago, Z2115, fechaFactura, R2115, diasCredito, IF(E2115="Pago inmediato", 0, IFERROR(VALUE(MID(E2115, 1, SEARCH(" ", E2115)-1)),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15" s="79">
        <f>IF(AN2115="","",IF(AND(N2115&gt;0, AG2115&gt;0), IF(Configuración!$K$2="NO", "ALERTA: DESCUENTO DOBLE NO PERMITIDO", "OK"), "OK"))</f>
        <v/>
      </c>
      <c r="AR2115" s="79">
        <f>IF(AN2115="","",IF(OR(AO2115&lt;&gt;"OK", AP2115&lt;&gt;"OK", AQ2115&lt;&gt;"OK"), "⚠️ REVISAR", "OK"))</f>
        <v/>
      </c>
    </row>
    <row r="2116">
      <c r="A2116" s="79">
        <f>IF('Ordenes_Odoo'!A2116="","",'Ordenes_Odoo'!A2116)</f>
        <v/>
      </c>
      <c r="B2116" s="80">
        <f>IF('Ordenes_Odoo'!B2116="","",'Ordenes_Odoo'!B2116)</f>
        <v/>
      </c>
      <c r="C2116" s="79">
        <f>IF('Ordenes_Odoo'!C2116="","",'Ordenes_Odoo'!C2116)</f>
        <v/>
      </c>
      <c r="D2116" s="79">
        <f>IF('Ordenes_Odoo'!D2116="","",'Ordenes_Odoo'!D2116)</f>
        <v/>
      </c>
      <c r="E2116" s="79">
        <f>IF('Ordenes_Odoo'!E2116="","",'Ordenes_Odoo'!E2116)</f>
        <v/>
      </c>
      <c r="F2116" s="79">
        <f>IF('Ordenes_Odoo'!F2116="","",'Ordenes_Odoo'!F2116)</f>
        <v/>
      </c>
      <c r="G2116" s="79">
        <f>IF('Ordenes_Odoo'!G2116="","",'Ordenes_Odoo'!G2116)</f>
        <v/>
      </c>
      <c r="H2116" s="79">
        <f>IF('Ordenes_Odoo'!H2116="","",'Ordenes_Odoo'!H2116)</f>
        <v/>
      </c>
      <c r="I2116" s="79">
        <f>IF('Ordenes_Odoo'!I2116="","",'Ordenes_Odoo'!I2116)</f>
        <v/>
      </c>
      <c r="J2116" s="79">
        <f>IF('Ordenes_Odoo'!J2116="","",'Ordenes_Odoo'!J2116)</f>
        <v/>
      </c>
      <c r="K2116" s="81">
        <f>IF('Ordenes_Odoo'!K2116="","",'Ordenes_Odoo'!K2116)</f>
        <v/>
      </c>
      <c r="L2116" s="81">
        <f>IF('Ordenes_Odoo'!L2116="","",'Ordenes_Odoo'!L2116)</f>
        <v/>
      </c>
      <c r="M2116" s="79">
        <f>IF('Ordenes_Odoo'!M2116="","",'Ordenes_Odoo'!M2116)</f>
        <v/>
      </c>
      <c r="N2116" s="79">
        <f>IF('Ordenes_Odoo'!N2116="","",'Ordenes_Odoo'!N2116)</f>
        <v/>
      </c>
      <c r="O2116" s="81">
        <f>IF('Ordenes_Odoo'!O2116="","",'Ordenes_Odoo'!O2116)</f>
        <v/>
      </c>
      <c r="P2116" s="81">
        <f>IF('Ordenes_Odoo'!P2116="","",'Ordenes_Odoo'!P2116)</f>
        <v/>
      </c>
      <c r="Q2116" s="79">
        <f>IF(A2116="","",IFERROR(INDEX(Facturas_Odoo!$B:$B, MATCH(A2116, Facturas_Odoo!$D:$D, 0)), "Sin Factura"))</f>
        <v/>
      </c>
      <c r="R2116" s="80">
        <f>IF(Q2116="Sin Factura","",IFERROR(INDEX(Facturas_Odoo!$A:$A, MATCH(Q2116, Facturas_Odoo!$B:$B, 0)), ""))</f>
        <v/>
      </c>
      <c r="S2116" s="79">
        <f>IF(Q2116="Sin Factura","",IFERROR(_xlfn.XLOOKUP(1, (Facturas_Odoo!$D:$D=A2116) * (Facturas_Odoo!$K:$K=I2116), Facturas_Odoo!$L:$L, ""), ""))</f>
        <v/>
      </c>
      <c r="T2116" s="81">
        <f>IF(Q2116="Sin Factura",0,IFERROR(_xlfn.XLOOKUP(1, (Facturas_Odoo!$D:$D=A2116) * (Facturas_Odoo!$K:$K=I2116), Facturas_Odoo!$M:$M, 0), 0))</f>
        <v/>
      </c>
      <c r="U2116" s="79">
        <f>IF(Q2116="Sin Factura",0,IFERROR(_xlfn.XLOOKUP(1, (Facturas_Odoo!$D:$D=A2116) * (Facturas_Odoo!$K:$K=I2116), Facturas_Odoo!$N:$N, 0), 0))</f>
        <v/>
      </c>
      <c r="V2116" s="79">
        <f>IF(Q2116="Sin Factura",0,IFERROR(_xlfn.XLOOKUP(1, (Facturas_Odoo!$D:$D=A2116) * (Facturas_Odoo!$K:$K=I2116), Facturas_Odoo!$O:$O, 0), 0))</f>
        <v/>
      </c>
      <c r="W2116" s="81">
        <f>IF(Q2116="Sin Factura",0,IFERROR(_xlfn.XLOOKUP(1, (Facturas_Odoo!$D:$D=A2116) * (Facturas_Odoo!$K:$K=I2116), Facturas_Odoo!$Q:$Q, 0), 0))</f>
        <v/>
      </c>
      <c r="X2116" s="79">
        <f>IF(OR(Q2116="Sin Factura",Q2116=""),"",IFERROR(INDEX(Pagos_Odoo!$B:$B, MATCH(Q2116, Pagos_Odoo!$I:$I, 0)), "Sin Pago"))</f>
        <v/>
      </c>
      <c r="Y2116" s="79">
        <f>IF(X2116="Sin Pago","",IFERROR(INDEX(Pagos_Odoo!$C:$C, MATCH(X2116, Pagos_Odoo!$B:$B, 0)), ""))</f>
        <v/>
      </c>
      <c r="Z2116" s="80">
        <f>IF(X2116="Sin Pago","",IFERROR(INDEX(Pagos_Odoo!$A:$A, MATCH(X2116, Pagos_Odoo!$B:$B, 0)), ""))</f>
        <v/>
      </c>
      <c r="AA2116" s="79">
        <f>IF(X2116="Sin Pago","",IFERROR(INDEX(Pagos_Odoo!$F:$F, MATCH(X2116, Pagos_Odoo!$B:$B, 0)), ""))</f>
        <v/>
      </c>
      <c r="AB2116" s="81">
        <f>IF(X2116="Sin Pago",0,IFERROR(INDEX(Pagos_Odoo!$E:$E, MATCH(X2116, Pagos_Odoo!$B:$B, 0)), 0))</f>
        <v/>
      </c>
      <c r="AC2116" s="79">
        <f>IF(X2116="Sin Pago","",IFERROR(INDEX(Pagos_Odoo!$G:$G, MATCH(X2116, Pagos_Odoo!$B:$B, 0)), ""))</f>
        <v/>
      </c>
      <c r="AD2116" s="82" t="n">
        <v>0</v>
      </c>
      <c r="AE2116" s="82" t="n"/>
      <c r="AF2116" s="82" t="n"/>
      <c r="AG2116" s="82">
        <f>IF(AN2116="","",AD2116+AE2116+AF2116)</f>
        <v/>
      </c>
      <c r="AH2116" s="81">
        <f>IF(AN2116="","",P2116*(1-AG2116))</f>
        <v/>
      </c>
      <c r="AI2116" s="81">
        <f>IF(AN2116="","",IF(Q2116="Sin Factura",0,IFERROR(INDEX(Facturas_Odoo!$H:$H, MATCH(Q2116, Facturas_Odoo!$B:$B, 0)), 0)*(1-AG2116)))</f>
        <v/>
      </c>
      <c r="AJ2116" s="81">
        <f>IF(AN2116="","",_xlfn.LET(idVenta, AN2116&amp;"",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16" s="81">
        <f>IF(AN2116="","",AH2116-AJ2116)</f>
        <v/>
      </c>
      <c r="AL2116" s="81">
        <f>IF(AN2116="","",IF(Q2116="Sin Factura","",AI2116-AJ2116))</f>
        <v/>
      </c>
      <c r="AM2116" s="81">
        <f>IF(AN2116="","",IF(Q2116="Sin Factura",0,P2116-IFERROR(INDEX(Facturas_Odoo!$H:$H, MATCH(Q2116, Facturas_Odoo!$B:$B, 0)), 0)))</f>
        <v/>
      </c>
      <c r="AN2116" s="79">
        <f>IF(AND(A2116="", J2116=""), "", IF(A2116&lt;&gt;"", VALUE(MID(A2116,2,LEN(A2116))), AN2115))</f>
        <v/>
      </c>
      <c r="AO2116" s="79">
        <f>IF(AN2116="","",IF(AD2116=0,"OK",_xlfn.LET(monedaPago, IF(AA2116="","USD",AA2116), limitePermitido, IFERROR(VLOOKUP(monedaPago, Configuración!$A$2:$B$3, 2, FALSE), 0.15), IF(AD2116&gt;limitePermitido, "ALERTA: EXCESO (" &amp; TEXT(limitePermitido, "0%") &amp; " máx)", "OK"))))</f>
        <v/>
      </c>
      <c r="AP2116" s="79">
        <f>IF(AN2116="","",IF(AE2116=0,"OK",_xlfn.LET(fechaPago, Z2116, fechaFactura, R2116, diasCredito, IF(E2116="Pago inmediato", 0, IFERROR(VALUE(MID(E2116, 1, SEARCH(" ", E2116)-1)),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16" s="79">
        <f>IF(AN2116="","",IF(AND(N2116&gt;0, AG2116&gt;0), IF(Configuración!$K$2="NO", "ALERTA: DESCUENTO DOBLE NO PERMITIDO", "OK"), "OK"))</f>
        <v/>
      </c>
      <c r="AR2116" s="79">
        <f>IF(AN2116="","",IF(OR(AO2116&lt;&gt;"OK", AP2116&lt;&gt;"OK", AQ2116&lt;&gt;"OK"), "⚠️ REVISAR", "OK"))</f>
        <v/>
      </c>
    </row>
    <row r="2117">
      <c r="A2117" s="79">
        <f>IF('Ordenes_Odoo'!A2117="","",'Ordenes_Odoo'!A2117)</f>
        <v/>
      </c>
      <c r="B2117" s="80">
        <f>IF('Ordenes_Odoo'!B2117="","",'Ordenes_Odoo'!B2117)</f>
        <v/>
      </c>
      <c r="C2117" s="79">
        <f>IF('Ordenes_Odoo'!C2117="","",'Ordenes_Odoo'!C2117)</f>
        <v/>
      </c>
      <c r="D2117" s="79">
        <f>IF('Ordenes_Odoo'!D2117="","",'Ordenes_Odoo'!D2117)</f>
        <v/>
      </c>
      <c r="E2117" s="79">
        <f>IF('Ordenes_Odoo'!E2117="","",'Ordenes_Odoo'!E2117)</f>
        <v/>
      </c>
      <c r="F2117" s="79">
        <f>IF('Ordenes_Odoo'!F2117="","",'Ordenes_Odoo'!F2117)</f>
        <v/>
      </c>
      <c r="G2117" s="79">
        <f>IF('Ordenes_Odoo'!G2117="","",'Ordenes_Odoo'!G2117)</f>
        <v/>
      </c>
      <c r="H2117" s="79">
        <f>IF('Ordenes_Odoo'!H2117="","",'Ordenes_Odoo'!H2117)</f>
        <v/>
      </c>
      <c r="I2117" s="79">
        <f>IF('Ordenes_Odoo'!I2117="","",'Ordenes_Odoo'!I2117)</f>
        <v/>
      </c>
      <c r="J2117" s="79">
        <f>IF('Ordenes_Odoo'!J2117="","",'Ordenes_Odoo'!J2117)</f>
        <v/>
      </c>
      <c r="K2117" s="81">
        <f>IF('Ordenes_Odoo'!K2117="","",'Ordenes_Odoo'!K2117)</f>
        <v/>
      </c>
      <c r="L2117" s="81">
        <f>IF('Ordenes_Odoo'!L2117="","",'Ordenes_Odoo'!L2117)</f>
        <v/>
      </c>
      <c r="M2117" s="79">
        <f>IF('Ordenes_Odoo'!M2117="","",'Ordenes_Odoo'!M2117)</f>
        <v/>
      </c>
      <c r="N2117" s="79">
        <f>IF('Ordenes_Odoo'!N2117="","",'Ordenes_Odoo'!N2117)</f>
        <v/>
      </c>
      <c r="O2117" s="81">
        <f>IF('Ordenes_Odoo'!O2117="","",'Ordenes_Odoo'!O2117)</f>
        <v/>
      </c>
      <c r="P2117" s="81">
        <f>IF('Ordenes_Odoo'!P2117="","",'Ordenes_Odoo'!P2117)</f>
        <v/>
      </c>
      <c r="Q2117" s="79">
        <f>IF(A2117="","",IFERROR(INDEX(Facturas_Odoo!$B:$B, MATCH(A2117, Facturas_Odoo!$D:$D, 0)), "Sin Factura"))</f>
        <v/>
      </c>
      <c r="R2117" s="80">
        <f>IF(Q2117="Sin Factura","",IFERROR(INDEX(Facturas_Odoo!$A:$A, MATCH(Q2117, Facturas_Odoo!$B:$B, 0)), ""))</f>
        <v/>
      </c>
      <c r="S2117" s="79">
        <f>IF(Q2117="Sin Factura","",IFERROR(_xlfn.XLOOKUP(1, (Facturas_Odoo!$D:$D=A2117) * (Facturas_Odoo!$K:$K=I2117), Facturas_Odoo!$L:$L, ""), ""))</f>
        <v/>
      </c>
      <c r="T2117" s="81">
        <f>IF(Q2117="Sin Factura",0,IFERROR(_xlfn.XLOOKUP(1, (Facturas_Odoo!$D:$D=A2117) * (Facturas_Odoo!$K:$K=I2117), Facturas_Odoo!$M:$M, 0), 0))</f>
        <v/>
      </c>
      <c r="U2117" s="79">
        <f>IF(Q2117="Sin Factura",0,IFERROR(_xlfn.XLOOKUP(1, (Facturas_Odoo!$D:$D=A2117) * (Facturas_Odoo!$K:$K=I2117), Facturas_Odoo!$N:$N, 0), 0))</f>
        <v/>
      </c>
      <c r="V2117" s="79">
        <f>IF(Q2117="Sin Factura",0,IFERROR(_xlfn.XLOOKUP(1, (Facturas_Odoo!$D:$D=A2117) * (Facturas_Odoo!$K:$K=I2117), Facturas_Odoo!$O:$O, 0), 0))</f>
        <v/>
      </c>
      <c r="W2117" s="81">
        <f>IF(Q2117="Sin Factura",0,IFERROR(_xlfn.XLOOKUP(1, (Facturas_Odoo!$D:$D=A2117) * (Facturas_Odoo!$K:$K=I2117), Facturas_Odoo!$Q:$Q, 0), 0))</f>
        <v/>
      </c>
      <c r="X2117" s="79">
        <f>IF(OR(Q2117="Sin Factura",Q2117=""),"",IFERROR(INDEX(Pagos_Odoo!$B:$B, MATCH(Q2117, Pagos_Odoo!$I:$I, 0)), "Sin Pago"))</f>
        <v/>
      </c>
      <c r="Y2117" s="79">
        <f>IF(X2117="Sin Pago","",IFERROR(INDEX(Pagos_Odoo!$C:$C, MATCH(X2117, Pagos_Odoo!$B:$B, 0)), ""))</f>
        <v/>
      </c>
      <c r="Z2117" s="80">
        <f>IF(X2117="Sin Pago","",IFERROR(INDEX(Pagos_Odoo!$A:$A, MATCH(X2117, Pagos_Odoo!$B:$B, 0)), ""))</f>
        <v/>
      </c>
      <c r="AA2117" s="79">
        <f>IF(X2117="Sin Pago","",IFERROR(INDEX(Pagos_Odoo!$F:$F, MATCH(X2117, Pagos_Odoo!$B:$B, 0)), ""))</f>
        <v/>
      </c>
      <c r="AB2117" s="81">
        <f>IF(X2117="Sin Pago",0,IFERROR(INDEX(Pagos_Odoo!$E:$E, MATCH(X2117, Pagos_Odoo!$B:$B, 0)), 0))</f>
        <v/>
      </c>
      <c r="AC2117" s="79">
        <f>IF(X2117="Sin Pago","",IFERROR(INDEX(Pagos_Odoo!$G:$G, MATCH(X2117, Pagos_Odoo!$B:$B, 0)), ""))</f>
        <v/>
      </c>
      <c r="AD2117" s="82" t="n">
        <v>0</v>
      </c>
      <c r="AE2117" s="82" t="n"/>
      <c r="AF2117" s="82" t="n"/>
      <c r="AG2117" s="82">
        <f>IF(AN2117="","",AD2117+AE2117+AF2117)</f>
        <v/>
      </c>
      <c r="AH2117" s="81">
        <f>IF(AN2117="","",P2117*(1-AG2117))</f>
        <v/>
      </c>
      <c r="AI2117" s="81">
        <f>IF(AN2117="","",IF(Q2117="Sin Factura",0,IFERROR(INDEX(Facturas_Odoo!$H:$H, MATCH(Q2117, Facturas_Odoo!$B:$B, 0)), 0)*(1-AG2117)))</f>
        <v/>
      </c>
      <c r="AJ2117" s="81">
        <f>IF(AN2117="","",_xlfn.LET(idVenta, AN2117&amp;"",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17" s="81">
        <f>IF(AN2117="","",AH2117-AJ2117)</f>
        <v/>
      </c>
      <c r="AL2117" s="81">
        <f>IF(AN2117="","",IF(Q2117="Sin Factura","",AI2117-AJ2117))</f>
        <v/>
      </c>
      <c r="AM2117" s="81">
        <f>IF(AN2117="","",IF(Q2117="Sin Factura",0,P2117-IFERROR(INDEX(Facturas_Odoo!$H:$H, MATCH(Q2117, Facturas_Odoo!$B:$B, 0)), 0)))</f>
        <v/>
      </c>
      <c r="AN2117" s="79">
        <f>IF(AND(A2117="", J2117=""), "", IF(A2117&lt;&gt;"", VALUE(MID(A2117,2,LEN(A2117))), AN2116))</f>
        <v/>
      </c>
      <c r="AO2117" s="79">
        <f>IF(AN2117="","",IF(AD2117=0,"OK",_xlfn.LET(monedaPago, IF(AA2117="","USD",AA2117), limitePermitido, IFERROR(VLOOKUP(monedaPago, Configuración!$A$2:$B$3, 2, FALSE), 0.15), IF(AD2117&gt;limitePermitido, "ALERTA: EXCESO (" &amp; TEXT(limitePermitido, "0%") &amp; " máx)", "OK"))))</f>
        <v/>
      </c>
      <c r="AP2117" s="79">
        <f>IF(AN2117="","",IF(AE2117=0,"OK",_xlfn.LET(fechaPago, Z2117, fechaFactura, R2117, diasCredito, IF(E2117="Pago inmediato", 0, IFERROR(VALUE(MID(E2117, 1, SEARCH(" ", E2117)-1)),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17" s="79">
        <f>IF(AN2117="","",IF(AND(N2117&gt;0, AG2117&gt;0), IF(Configuración!$K$2="NO", "ALERTA: DESCUENTO DOBLE NO PERMITIDO", "OK"), "OK"))</f>
        <v/>
      </c>
      <c r="AR2117" s="79">
        <f>IF(AN2117="","",IF(OR(AO2117&lt;&gt;"OK", AP2117&lt;&gt;"OK", AQ2117&lt;&gt;"OK"), "⚠️ REVISAR", "OK"))</f>
        <v/>
      </c>
    </row>
    <row r="2118">
      <c r="A2118" s="79">
        <f>IF('Ordenes_Odoo'!A2118="","",'Ordenes_Odoo'!A2118)</f>
        <v/>
      </c>
      <c r="B2118" s="80">
        <f>IF('Ordenes_Odoo'!B2118="","",'Ordenes_Odoo'!B2118)</f>
        <v/>
      </c>
      <c r="C2118" s="79">
        <f>IF('Ordenes_Odoo'!C2118="","",'Ordenes_Odoo'!C2118)</f>
        <v/>
      </c>
      <c r="D2118" s="79">
        <f>IF('Ordenes_Odoo'!D2118="","",'Ordenes_Odoo'!D2118)</f>
        <v/>
      </c>
      <c r="E2118" s="79">
        <f>IF('Ordenes_Odoo'!E2118="","",'Ordenes_Odoo'!E2118)</f>
        <v/>
      </c>
      <c r="F2118" s="79">
        <f>IF('Ordenes_Odoo'!F2118="","",'Ordenes_Odoo'!F2118)</f>
        <v/>
      </c>
      <c r="G2118" s="79">
        <f>IF('Ordenes_Odoo'!G2118="","",'Ordenes_Odoo'!G2118)</f>
        <v/>
      </c>
      <c r="H2118" s="79">
        <f>IF('Ordenes_Odoo'!H2118="","",'Ordenes_Odoo'!H2118)</f>
        <v/>
      </c>
      <c r="I2118" s="79">
        <f>IF('Ordenes_Odoo'!I2118="","",'Ordenes_Odoo'!I2118)</f>
        <v/>
      </c>
      <c r="J2118" s="79">
        <f>IF('Ordenes_Odoo'!J2118="","",'Ordenes_Odoo'!J2118)</f>
        <v/>
      </c>
      <c r="K2118" s="81">
        <f>IF('Ordenes_Odoo'!K2118="","",'Ordenes_Odoo'!K2118)</f>
        <v/>
      </c>
      <c r="L2118" s="81">
        <f>IF('Ordenes_Odoo'!L2118="","",'Ordenes_Odoo'!L2118)</f>
        <v/>
      </c>
      <c r="M2118" s="79">
        <f>IF('Ordenes_Odoo'!M2118="","",'Ordenes_Odoo'!M2118)</f>
        <v/>
      </c>
      <c r="N2118" s="79">
        <f>IF('Ordenes_Odoo'!N2118="","",'Ordenes_Odoo'!N2118)</f>
        <v/>
      </c>
      <c r="O2118" s="81">
        <f>IF('Ordenes_Odoo'!O2118="","",'Ordenes_Odoo'!O2118)</f>
        <v/>
      </c>
      <c r="P2118" s="81">
        <f>IF('Ordenes_Odoo'!P2118="","",'Ordenes_Odoo'!P2118)</f>
        <v/>
      </c>
      <c r="Q2118" s="79">
        <f>IF(A2118="","",IFERROR(INDEX(Facturas_Odoo!$B:$B, MATCH(A2118, Facturas_Odoo!$D:$D, 0)), "Sin Factura"))</f>
        <v/>
      </c>
      <c r="R2118" s="80">
        <f>IF(Q2118="Sin Factura","",IFERROR(INDEX(Facturas_Odoo!$A:$A, MATCH(Q2118, Facturas_Odoo!$B:$B, 0)), ""))</f>
        <v/>
      </c>
      <c r="S2118" s="79">
        <f>IF(Q2118="Sin Factura","",IFERROR(_xlfn.XLOOKUP(1, (Facturas_Odoo!$D:$D=A2118) * (Facturas_Odoo!$K:$K=I2118), Facturas_Odoo!$L:$L, ""), ""))</f>
        <v/>
      </c>
      <c r="T2118" s="81">
        <f>IF(Q2118="Sin Factura",0,IFERROR(_xlfn.XLOOKUP(1, (Facturas_Odoo!$D:$D=A2118) * (Facturas_Odoo!$K:$K=I2118), Facturas_Odoo!$M:$M, 0), 0))</f>
        <v/>
      </c>
      <c r="U2118" s="79">
        <f>IF(Q2118="Sin Factura",0,IFERROR(_xlfn.XLOOKUP(1, (Facturas_Odoo!$D:$D=A2118) * (Facturas_Odoo!$K:$K=I2118), Facturas_Odoo!$N:$N, 0), 0))</f>
        <v/>
      </c>
      <c r="V2118" s="79">
        <f>IF(Q2118="Sin Factura",0,IFERROR(_xlfn.XLOOKUP(1, (Facturas_Odoo!$D:$D=A2118) * (Facturas_Odoo!$K:$K=I2118), Facturas_Odoo!$O:$O, 0), 0))</f>
        <v/>
      </c>
      <c r="W2118" s="81">
        <f>IF(Q2118="Sin Factura",0,IFERROR(_xlfn.XLOOKUP(1, (Facturas_Odoo!$D:$D=A2118) * (Facturas_Odoo!$K:$K=I2118), Facturas_Odoo!$Q:$Q, 0), 0))</f>
        <v/>
      </c>
      <c r="X2118" s="79">
        <f>IF(OR(Q2118="Sin Factura",Q2118=""),"",IFERROR(INDEX(Pagos_Odoo!$B:$B, MATCH(Q2118, Pagos_Odoo!$I:$I, 0)), "Sin Pago"))</f>
        <v/>
      </c>
      <c r="Y2118" s="79">
        <f>IF(X2118="Sin Pago","",IFERROR(INDEX(Pagos_Odoo!$C:$C, MATCH(X2118, Pagos_Odoo!$B:$B, 0)), ""))</f>
        <v/>
      </c>
      <c r="Z2118" s="80">
        <f>IF(X2118="Sin Pago","",IFERROR(INDEX(Pagos_Odoo!$A:$A, MATCH(X2118, Pagos_Odoo!$B:$B, 0)), ""))</f>
        <v/>
      </c>
      <c r="AA2118" s="79">
        <f>IF(X2118="Sin Pago","",IFERROR(INDEX(Pagos_Odoo!$F:$F, MATCH(X2118, Pagos_Odoo!$B:$B, 0)), ""))</f>
        <v/>
      </c>
      <c r="AB2118" s="81">
        <f>IF(X2118="Sin Pago",0,IFERROR(INDEX(Pagos_Odoo!$E:$E, MATCH(X2118, Pagos_Odoo!$B:$B, 0)), 0))</f>
        <v/>
      </c>
      <c r="AC2118" s="79">
        <f>IF(X2118="Sin Pago","",IFERROR(INDEX(Pagos_Odoo!$G:$G, MATCH(X2118, Pagos_Odoo!$B:$B, 0)), ""))</f>
        <v/>
      </c>
      <c r="AD2118" s="82" t="n">
        <v>0</v>
      </c>
      <c r="AE2118" s="82" t="n"/>
      <c r="AF2118" s="82" t="n"/>
      <c r="AG2118" s="82">
        <f>IF(AN2118="","",AD2118+AE2118+AF2118)</f>
        <v/>
      </c>
      <c r="AH2118" s="81">
        <f>IF(AN2118="","",P2118*(1-AG2118))</f>
        <v/>
      </c>
      <c r="AI2118" s="81">
        <f>IF(AN2118="","",IF(Q2118="Sin Factura",0,IFERROR(INDEX(Facturas_Odoo!$H:$H, MATCH(Q2118, Facturas_Odoo!$B:$B, 0)), 0)*(1-AG2118)))</f>
        <v/>
      </c>
      <c r="AJ2118" s="81">
        <f>IF(AN2118="","",_xlfn.LET(idVenta, AN2118&amp;"",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18" s="81">
        <f>IF(AN2118="","",AH2118-AJ2118)</f>
        <v/>
      </c>
      <c r="AL2118" s="81">
        <f>IF(AN2118="","",IF(Q2118="Sin Factura","",AI2118-AJ2118))</f>
        <v/>
      </c>
      <c r="AM2118" s="81">
        <f>IF(AN2118="","",IF(Q2118="Sin Factura",0,P2118-IFERROR(INDEX(Facturas_Odoo!$H:$H, MATCH(Q2118, Facturas_Odoo!$B:$B, 0)), 0)))</f>
        <v/>
      </c>
      <c r="AN2118" s="79">
        <f>IF(AND(A2118="", J2118=""), "", IF(A2118&lt;&gt;"", VALUE(MID(A2118,2,LEN(A2118))), AN2117))</f>
        <v/>
      </c>
      <c r="AO2118" s="79">
        <f>IF(AN2118="","",IF(AD2118=0,"OK",_xlfn.LET(monedaPago, IF(AA2118="","USD",AA2118), limitePermitido, IFERROR(VLOOKUP(monedaPago, Configuración!$A$2:$B$3, 2, FALSE), 0.15), IF(AD2118&gt;limitePermitido, "ALERTA: EXCESO (" &amp; TEXT(limitePermitido, "0%") &amp; " máx)", "OK"))))</f>
        <v/>
      </c>
      <c r="AP2118" s="79">
        <f>IF(AN2118="","",IF(AE2118=0,"OK",_xlfn.LET(fechaPago, Z2118, fechaFactura, R2118, diasCredito, IF(E2118="Pago inmediato", 0, IFERROR(VALUE(MID(E2118, 1, SEARCH(" ", E2118)-1)),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18" s="79">
        <f>IF(AN2118="","",IF(AND(N2118&gt;0, AG2118&gt;0), IF(Configuración!$K$2="NO", "ALERTA: DESCUENTO DOBLE NO PERMITIDO", "OK"), "OK"))</f>
        <v/>
      </c>
      <c r="AR2118" s="79">
        <f>IF(AN2118="","",IF(OR(AO2118&lt;&gt;"OK", AP2118&lt;&gt;"OK", AQ2118&lt;&gt;"OK"), "⚠️ REVISAR", "OK"))</f>
        <v/>
      </c>
    </row>
    <row r="2119">
      <c r="A2119" s="79">
        <f>IF('Ordenes_Odoo'!A2119="","",'Ordenes_Odoo'!A2119)</f>
        <v/>
      </c>
      <c r="B2119" s="80">
        <f>IF('Ordenes_Odoo'!B2119="","",'Ordenes_Odoo'!B2119)</f>
        <v/>
      </c>
      <c r="C2119" s="79">
        <f>IF('Ordenes_Odoo'!C2119="","",'Ordenes_Odoo'!C2119)</f>
        <v/>
      </c>
      <c r="D2119" s="79">
        <f>IF('Ordenes_Odoo'!D2119="","",'Ordenes_Odoo'!D2119)</f>
        <v/>
      </c>
      <c r="E2119" s="79">
        <f>IF('Ordenes_Odoo'!E2119="","",'Ordenes_Odoo'!E2119)</f>
        <v/>
      </c>
      <c r="F2119" s="79">
        <f>IF('Ordenes_Odoo'!F2119="","",'Ordenes_Odoo'!F2119)</f>
        <v/>
      </c>
      <c r="G2119" s="79">
        <f>IF('Ordenes_Odoo'!G2119="","",'Ordenes_Odoo'!G2119)</f>
        <v/>
      </c>
      <c r="H2119" s="79">
        <f>IF('Ordenes_Odoo'!H2119="","",'Ordenes_Odoo'!H2119)</f>
        <v/>
      </c>
      <c r="I2119" s="79">
        <f>IF('Ordenes_Odoo'!I2119="","",'Ordenes_Odoo'!I2119)</f>
        <v/>
      </c>
      <c r="J2119" s="79">
        <f>IF('Ordenes_Odoo'!J2119="","",'Ordenes_Odoo'!J2119)</f>
        <v/>
      </c>
      <c r="K2119" s="81">
        <f>IF('Ordenes_Odoo'!K2119="","",'Ordenes_Odoo'!K2119)</f>
        <v/>
      </c>
      <c r="L2119" s="81">
        <f>IF('Ordenes_Odoo'!L2119="","",'Ordenes_Odoo'!L2119)</f>
        <v/>
      </c>
      <c r="M2119" s="79">
        <f>IF('Ordenes_Odoo'!M2119="","",'Ordenes_Odoo'!M2119)</f>
        <v/>
      </c>
      <c r="N2119" s="79">
        <f>IF('Ordenes_Odoo'!N2119="","",'Ordenes_Odoo'!N2119)</f>
        <v/>
      </c>
      <c r="O2119" s="81">
        <f>IF('Ordenes_Odoo'!O2119="","",'Ordenes_Odoo'!O2119)</f>
        <v/>
      </c>
      <c r="P2119" s="81">
        <f>IF('Ordenes_Odoo'!P2119="","",'Ordenes_Odoo'!P2119)</f>
        <v/>
      </c>
      <c r="Q2119" s="79">
        <f>IF(A2119="","",IFERROR(INDEX(Facturas_Odoo!$B:$B, MATCH(A2119, Facturas_Odoo!$D:$D, 0)), "Sin Factura"))</f>
        <v/>
      </c>
      <c r="R2119" s="80">
        <f>IF(Q2119="Sin Factura","",IFERROR(INDEX(Facturas_Odoo!$A:$A, MATCH(Q2119, Facturas_Odoo!$B:$B, 0)), ""))</f>
        <v/>
      </c>
      <c r="S2119" s="79">
        <f>IF(Q2119="Sin Factura","",IFERROR(_xlfn.XLOOKUP(1, (Facturas_Odoo!$D:$D=A2119) * (Facturas_Odoo!$K:$K=I2119), Facturas_Odoo!$L:$L, ""), ""))</f>
        <v/>
      </c>
      <c r="T2119" s="81">
        <f>IF(Q2119="Sin Factura",0,IFERROR(_xlfn.XLOOKUP(1, (Facturas_Odoo!$D:$D=A2119) * (Facturas_Odoo!$K:$K=I2119), Facturas_Odoo!$M:$M, 0), 0))</f>
        <v/>
      </c>
      <c r="U2119" s="79">
        <f>IF(Q2119="Sin Factura",0,IFERROR(_xlfn.XLOOKUP(1, (Facturas_Odoo!$D:$D=A2119) * (Facturas_Odoo!$K:$K=I2119), Facturas_Odoo!$N:$N, 0), 0))</f>
        <v/>
      </c>
      <c r="V2119" s="79">
        <f>IF(Q2119="Sin Factura",0,IFERROR(_xlfn.XLOOKUP(1, (Facturas_Odoo!$D:$D=A2119) * (Facturas_Odoo!$K:$K=I2119), Facturas_Odoo!$O:$O, 0), 0))</f>
        <v/>
      </c>
      <c r="W2119" s="81">
        <f>IF(Q2119="Sin Factura",0,IFERROR(_xlfn.XLOOKUP(1, (Facturas_Odoo!$D:$D=A2119) * (Facturas_Odoo!$K:$K=I2119), Facturas_Odoo!$Q:$Q, 0), 0))</f>
        <v/>
      </c>
      <c r="X2119" s="79">
        <f>IF(OR(Q2119="Sin Factura",Q2119=""),"",IFERROR(INDEX(Pagos_Odoo!$B:$B, MATCH(Q2119, Pagos_Odoo!$I:$I, 0)), "Sin Pago"))</f>
        <v/>
      </c>
      <c r="Y2119" s="79">
        <f>IF(X2119="Sin Pago","",IFERROR(INDEX(Pagos_Odoo!$C:$C, MATCH(X2119, Pagos_Odoo!$B:$B, 0)), ""))</f>
        <v/>
      </c>
      <c r="Z2119" s="80">
        <f>IF(X2119="Sin Pago","",IFERROR(INDEX(Pagos_Odoo!$A:$A, MATCH(X2119, Pagos_Odoo!$B:$B, 0)), ""))</f>
        <v/>
      </c>
      <c r="AA2119" s="79">
        <f>IF(X2119="Sin Pago","",IFERROR(INDEX(Pagos_Odoo!$F:$F, MATCH(X2119, Pagos_Odoo!$B:$B, 0)), ""))</f>
        <v/>
      </c>
      <c r="AB2119" s="81">
        <f>IF(X2119="Sin Pago",0,IFERROR(INDEX(Pagos_Odoo!$E:$E, MATCH(X2119, Pagos_Odoo!$B:$B, 0)), 0))</f>
        <v/>
      </c>
      <c r="AC2119" s="79">
        <f>IF(X2119="Sin Pago","",IFERROR(INDEX(Pagos_Odoo!$G:$G, MATCH(X2119, Pagos_Odoo!$B:$B, 0)), ""))</f>
        <v/>
      </c>
      <c r="AD2119" s="82" t="n">
        <v>0</v>
      </c>
      <c r="AE2119" s="82" t="n"/>
      <c r="AF2119" s="82" t="n"/>
      <c r="AG2119" s="82">
        <f>IF(AN2119="","",AD2119+AE2119+AF2119)</f>
        <v/>
      </c>
      <c r="AH2119" s="81">
        <f>IF(AN2119="","",P2119*(1-AG2119))</f>
        <v/>
      </c>
      <c r="AI2119" s="81">
        <f>IF(AN2119="","",IF(Q2119="Sin Factura",0,IFERROR(INDEX(Facturas_Odoo!$H:$H, MATCH(Q2119, Facturas_Odoo!$B:$B, 0)), 0)*(1-AG2119)))</f>
        <v/>
      </c>
      <c r="AJ2119" s="81">
        <f>IF(AN2119="","",_xlfn.LET(idVenta, AN2119&amp;"",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19" s="81">
        <f>IF(AN2119="","",AH2119-AJ2119)</f>
        <v/>
      </c>
      <c r="AL2119" s="81">
        <f>IF(AN2119="","",IF(Q2119="Sin Factura","",AI2119-AJ2119))</f>
        <v/>
      </c>
      <c r="AM2119" s="81">
        <f>IF(AN2119="","",IF(Q2119="Sin Factura",0,P2119-IFERROR(INDEX(Facturas_Odoo!$H:$H, MATCH(Q2119, Facturas_Odoo!$B:$B, 0)), 0)))</f>
        <v/>
      </c>
      <c r="AN2119" s="79">
        <f>IF(AND(A2119="", J2119=""), "", IF(A2119&lt;&gt;"", VALUE(MID(A2119,2,LEN(A2119))), AN2118))</f>
        <v/>
      </c>
      <c r="AO2119" s="79">
        <f>IF(AN2119="","",IF(AD2119=0,"OK",_xlfn.LET(monedaPago, IF(AA2119="","USD",AA2119), limitePermitido, IFERROR(VLOOKUP(monedaPago, Configuración!$A$2:$B$3, 2, FALSE), 0.15), IF(AD2119&gt;limitePermitido, "ALERTA: EXCESO (" &amp; TEXT(limitePermitido, "0%") &amp; " máx)", "OK"))))</f>
        <v/>
      </c>
      <c r="AP2119" s="79">
        <f>IF(AN2119="","",IF(AE2119=0,"OK",_xlfn.LET(fechaPago, Z2119, fechaFactura, R2119, diasCredito, IF(E2119="Pago inmediato", 0, IFERROR(VALUE(MID(E2119, 1, SEARCH(" ", E2119)-1)),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19" s="79">
        <f>IF(AN2119="","",IF(AND(N2119&gt;0, AG2119&gt;0), IF(Configuración!$K$2="NO", "ALERTA: DESCUENTO DOBLE NO PERMITIDO", "OK"), "OK"))</f>
        <v/>
      </c>
      <c r="AR2119" s="79">
        <f>IF(AN2119="","",IF(OR(AO2119&lt;&gt;"OK", AP2119&lt;&gt;"OK", AQ2119&lt;&gt;"OK"), "⚠️ REVISAR", "OK"))</f>
        <v/>
      </c>
    </row>
    <row r="2120">
      <c r="A2120" s="79">
        <f>IF('Ordenes_Odoo'!A2120="","",'Ordenes_Odoo'!A2120)</f>
        <v/>
      </c>
      <c r="B2120" s="80">
        <f>IF('Ordenes_Odoo'!B2120="","",'Ordenes_Odoo'!B2120)</f>
        <v/>
      </c>
      <c r="C2120" s="79">
        <f>IF('Ordenes_Odoo'!C2120="","",'Ordenes_Odoo'!C2120)</f>
        <v/>
      </c>
      <c r="D2120" s="79">
        <f>IF('Ordenes_Odoo'!D2120="","",'Ordenes_Odoo'!D2120)</f>
        <v/>
      </c>
      <c r="E2120" s="79">
        <f>IF('Ordenes_Odoo'!E2120="","",'Ordenes_Odoo'!E2120)</f>
        <v/>
      </c>
      <c r="F2120" s="79">
        <f>IF('Ordenes_Odoo'!F2120="","",'Ordenes_Odoo'!F2120)</f>
        <v/>
      </c>
      <c r="G2120" s="79">
        <f>IF('Ordenes_Odoo'!G2120="","",'Ordenes_Odoo'!G2120)</f>
        <v/>
      </c>
      <c r="H2120" s="79">
        <f>IF('Ordenes_Odoo'!H2120="","",'Ordenes_Odoo'!H2120)</f>
        <v/>
      </c>
      <c r="I2120" s="79">
        <f>IF('Ordenes_Odoo'!I2120="","",'Ordenes_Odoo'!I2120)</f>
        <v/>
      </c>
      <c r="J2120" s="79">
        <f>IF('Ordenes_Odoo'!J2120="","",'Ordenes_Odoo'!J2120)</f>
        <v/>
      </c>
      <c r="K2120" s="81">
        <f>IF('Ordenes_Odoo'!K2120="","",'Ordenes_Odoo'!K2120)</f>
        <v/>
      </c>
      <c r="L2120" s="81">
        <f>IF('Ordenes_Odoo'!L2120="","",'Ordenes_Odoo'!L2120)</f>
        <v/>
      </c>
      <c r="M2120" s="79">
        <f>IF('Ordenes_Odoo'!M2120="","",'Ordenes_Odoo'!M2120)</f>
        <v/>
      </c>
      <c r="N2120" s="79">
        <f>IF('Ordenes_Odoo'!N2120="","",'Ordenes_Odoo'!N2120)</f>
        <v/>
      </c>
      <c r="O2120" s="81">
        <f>IF('Ordenes_Odoo'!O2120="","",'Ordenes_Odoo'!O2120)</f>
        <v/>
      </c>
      <c r="P2120" s="81">
        <f>IF('Ordenes_Odoo'!P2120="","",'Ordenes_Odoo'!P2120)</f>
        <v/>
      </c>
      <c r="Q2120" s="79">
        <f>IF(A2120="","",IFERROR(INDEX(Facturas_Odoo!$B:$B, MATCH(A2120, Facturas_Odoo!$D:$D, 0)), "Sin Factura"))</f>
        <v/>
      </c>
      <c r="R2120" s="80">
        <f>IF(Q2120="Sin Factura","",IFERROR(INDEX(Facturas_Odoo!$A:$A, MATCH(Q2120, Facturas_Odoo!$B:$B, 0)), ""))</f>
        <v/>
      </c>
      <c r="S2120" s="79">
        <f>IF(Q2120="Sin Factura","",IFERROR(_xlfn.XLOOKUP(1, (Facturas_Odoo!$D:$D=A2120) * (Facturas_Odoo!$K:$K=I2120), Facturas_Odoo!$L:$L, ""), ""))</f>
        <v/>
      </c>
      <c r="T2120" s="81">
        <f>IF(Q2120="Sin Factura",0,IFERROR(_xlfn.XLOOKUP(1, (Facturas_Odoo!$D:$D=A2120) * (Facturas_Odoo!$K:$K=I2120), Facturas_Odoo!$M:$M, 0), 0))</f>
        <v/>
      </c>
      <c r="U2120" s="79">
        <f>IF(Q2120="Sin Factura",0,IFERROR(_xlfn.XLOOKUP(1, (Facturas_Odoo!$D:$D=A2120) * (Facturas_Odoo!$K:$K=I2120), Facturas_Odoo!$N:$N, 0), 0))</f>
        <v/>
      </c>
      <c r="V2120" s="79">
        <f>IF(Q2120="Sin Factura",0,IFERROR(_xlfn.XLOOKUP(1, (Facturas_Odoo!$D:$D=A2120) * (Facturas_Odoo!$K:$K=I2120), Facturas_Odoo!$O:$O, 0), 0))</f>
        <v/>
      </c>
      <c r="W2120" s="81">
        <f>IF(Q2120="Sin Factura",0,IFERROR(_xlfn.XLOOKUP(1, (Facturas_Odoo!$D:$D=A2120) * (Facturas_Odoo!$K:$K=I2120), Facturas_Odoo!$Q:$Q, 0), 0))</f>
        <v/>
      </c>
      <c r="X2120" s="79">
        <f>IF(OR(Q2120="Sin Factura",Q2120=""),"",IFERROR(INDEX(Pagos_Odoo!$B:$B, MATCH(Q2120, Pagos_Odoo!$I:$I, 0)), "Sin Pago"))</f>
        <v/>
      </c>
      <c r="Y2120" s="79">
        <f>IF(X2120="Sin Pago","",IFERROR(INDEX(Pagos_Odoo!$C:$C, MATCH(X2120, Pagos_Odoo!$B:$B, 0)), ""))</f>
        <v/>
      </c>
      <c r="Z2120" s="80">
        <f>IF(X2120="Sin Pago","",IFERROR(INDEX(Pagos_Odoo!$A:$A, MATCH(X2120, Pagos_Odoo!$B:$B, 0)), ""))</f>
        <v/>
      </c>
      <c r="AA2120" s="79">
        <f>IF(X2120="Sin Pago","",IFERROR(INDEX(Pagos_Odoo!$F:$F, MATCH(X2120, Pagos_Odoo!$B:$B, 0)), ""))</f>
        <v/>
      </c>
      <c r="AB2120" s="81">
        <f>IF(X2120="Sin Pago",0,IFERROR(INDEX(Pagos_Odoo!$E:$E, MATCH(X2120, Pagos_Odoo!$B:$B, 0)), 0))</f>
        <v/>
      </c>
      <c r="AC2120" s="79">
        <f>IF(X2120="Sin Pago","",IFERROR(INDEX(Pagos_Odoo!$G:$G, MATCH(X2120, Pagos_Odoo!$B:$B, 0)), ""))</f>
        <v/>
      </c>
      <c r="AD2120" s="82" t="n">
        <v>0</v>
      </c>
      <c r="AE2120" s="82" t="n"/>
      <c r="AF2120" s="82" t="n"/>
      <c r="AG2120" s="82">
        <f>IF(AN2120="","",AD2120+AE2120+AF2120)</f>
        <v/>
      </c>
      <c r="AH2120" s="81">
        <f>IF(AN2120="","",P2120*(1-AG2120))</f>
        <v/>
      </c>
      <c r="AI2120" s="81">
        <f>IF(AN2120="","",IF(Q2120="Sin Factura",0,IFERROR(INDEX(Facturas_Odoo!$H:$H, MATCH(Q2120, Facturas_Odoo!$B:$B, 0)), 0)*(1-AG2120)))</f>
        <v/>
      </c>
      <c r="AJ2120" s="81">
        <f>IF(AN2120="","",_xlfn.LET(idVenta, AN2120&amp;"",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20" s="81">
        <f>IF(AN2120="","",AH2120-AJ2120)</f>
        <v/>
      </c>
      <c r="AL2120" s="81">
        <f>IF(AN2120="","",IF(Q2120="Sin Factura","",AI2120-AJ2120))</f>
        <v/>
      </c>
      <c r="AM2120" s="81">
        <f>IF(AN2120="","",IF(Q2120="Sin Factura",0,P2120-IFERROR(INDEX(Facturas_Odoo!$H:$H, MATCH(Q2120, Facturas_Odoo!$B:$B, 0)), 0)))</f>
        <v/>
      </c>
      <c r="AN2120" s="79">
        <f>IF(AND(A2120="", J2120=""), "", IF(A2120&lt;&gt;"", VALUE(MID(A2120,2,LEN(A2120))), AN2119))</f>
        <v/>
      </c>
      <c r="AO2120" s="79">
        <f>IF(AN2120="","",IF(AD2120=0,"OK",_xlfn.LET(monedaPago, IF(AA2120="","USD",AA2120), limitePermitido, IFERROR(VLOOKUP(monedaPago, Configuración!$A$2:$B$3, 2, FALSE), 0.15), IF(AD2120&gt;limitePermitido, "ALERTA: EXCESO (" &amp; TEXT(limitePermitido, "0%") &amp; " máx)", "OK"))))</f>
        <v/>
      </c>
      <c r="AP2120" s="79">
        <f>IF(AN2120="","",IF(AE2120=0,"OK",_xlfn.LET(fechaPago, Z2120, fechaFactura, R2120, diasCredito, IF(E2120="Pago inmediato", 0, IFERROR(VALUE(MID(E2120, 1, SEARCH(" ", E2120)-1)),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20" s="79">
        <f>IF(AN2120="","",IF(AND(N2120&gt;0, AG2120&gt;0), IF(Configuración!$K$2="NO", "ALERTA: DESCUENTO DOBLE NO PERMITIDO", "OK"), "OK"))</f>
        <v/>
      </c>
      <c r="AR2120" s="79">
        <f>IF(AN2120="","",IF(OR(AO2120&lt;&gt;"OK", AP2120&lt;&gt;"OK", AQ2120&lt;&gt;"OK"), "⚠️ REVISAR", "OK"))</f>
        <v/>
      </c>
    </row>
    <row r="2121">
      <c r="A2121" s="79">
        <f>IF('Ordenes_Odoo'!A2121="","",'Ordenes_Odoo'!A2121)</f>
        <v/>
      </c>
      <c r="B2121" s="80">
        <f>IF('Ordenes_Odoo'!B2121="","",'Ordenes_Odoo'!B2121)</f>
        <v/>
      </c>
      <c r="C2121" s="79">
        <f>IF('Ordenes_Odoo'!C2121="","",'Ordenes_Odoo'!C2121)</f>
        <v/>
      </c>
      <c r="D2121" s="79">
        <f>IF('Ordenes_Odoo'!D2121="","",'Ordenes_Odoo'!D2121)</f>
        <v/>
      </c>
      <c r="E2121" s="79">
        <f>IF('Ordenes_Odoo'!E2121="","",'Ordenes_Odoo'!E2121)</f>
        <v/>
      </c>
      <c r="F2121" s="79">
        <f>IF('Ordenes_Odoo'!F2121="","",'Ordenes_Odoo'!F2121)</f>
        <v/>
      </c>
      <c r="G2121" s="79">
        <f>IF('Ordenes_Odoo'!G2121="","",'Ordenes_Odoo'!G2121)</f>
        <v/>
      </c>
      <c r="H2121" s="79">
        <f>IF('Ordenes_Odoo'!H2121="","",'Ordenes_Odoo'!H2121)</f>
        <v/>
      </c>
      <c r="I2121" s="79">
        <f>IF('Ordenes_Odoo'!I2121="","",'Ordenes_Odoo'!I2121)</f>
        <v/>
      </c>
      <c r="J2121" s="79">
        <f>IF('Ordenes_Odoo'!J2121="","",'Ordenes_Odoo'!J2121)</f>
        <v/>
      </c>
      <c r="K2121" s="81">
        <f>IF('Ordenes_Odoo'!K2121="","",'Ordenes_Odoo'!K2121)</f>
        <v/>
      </c>
      <c r="L2121" s="81">
        <f>IF('Ordenes_Odoo'!L2121="","",'Ordenes_Odoo'!L2121)</f>
        <v/>
      </c>
      <c r="M2121" s="79">
        <f>IF('Ordenes_Odoo'!M2121="","",'Ordenes_Odoo'!M2121)</f>
        <v/>
      </c>
      <c r="N2121" s="79">
        <f>IF('Ordenes_Odoo'!N2121="","",'Ordenes_Odoo'!N2121)</f>
        <v/>
      </c>
      <c r="O2121" s="81">
        <f>IF('Ordenes_Odoo'!O2121="","",'Ordenes_Odoo'!O2121)</f>
        <v/>
      </c>
      <c r="P2121" s="81">
        <f>IF('Ordenes_Odoo'!P2121="","",'Ordenes_Odoo'!P2121)</f>
        <v/>
      </c>
      <c r="Q2121" s="79">
        <f>IF(A2121="","",IFERROR(INDEX(Facturas_Odoo!$B:$B, MATCH(A2121, Facturas_Odoo!$D:$D, 0)), "Sin Factura"))</f>
        <v/>
      </c>
      <c r="R2121" s="80">
        <f>IF(Q2121="Sin Factura","",IFERROR(INDEX(Facturas_Odoo!$A:$A, MATCH(Q2121, Facturas_Odoo!$B:$B, 0)), ""))</f>
        <v/>
      </c>
      <c r="S2121" s="79">
        <f>IF(Q2121="Sin Factura","",IFERROR(_xlfn.XLOOKUP(1, (Facturas_Odoo!$D:$D=A2121) * (Facturas_Odoo!$K:$K=I2121), Facturas_Odoo!$L:$L, ""), ""))</f>
        <v/>
      </c>
      <c r="T2121" s="81">
        <f>IF(Q2121="Sin Factura",0,IFERROR(_xlfn.XLOOKUP(1, (Facturas_Odoo!$D:$D=A2121) * (Facturas_Odoo!$K:$K=I2121), Facturas_Odoo!$M:$M, 0), 0))</f>
        <v/>
      </c>
      <c r="U2121" s="79">
        <f>IF(Q2121="Sin Factura",0,IFERROR(_xlfn.XLOOKUP(1, (Facturas_Odoo!$D:$D=A2121) * (Facturas_Odoo!$K:$K=I2121), Facturas_Odoo!$N:$N, 0), 0))</f>
        <v/>
      </c>
      <c r="V2121" s="79">
        <f>IF(Q2121="Sin Factura",0,IFERROR(_xlfn.XLOOKUP(1, (Facturas_Odoo!$D:$D=A2121) * (Facturas_Odoo!$K:$K=I2121), Facturas_Odoo!$O:$O, 0), 0))</f>
        <v/>
      </c>
      <c r="W2121" s="81">
        <f>IF(Q2121="Sin Factura",0,IFERROR(_xlfn.XLOOKUP(1, (Facturas_Odoo!$D:$D=A2121) * (Facturas_Odoo!$K:$K=I2121), Facturas_Odoo!$Q:$Q, 0), 0))</f>
        <v/>
      </c>
      <c r="X2121" s="79">
        <f>IF(OR(Q2121="Sin Factura",Q2121=""),"",IFERROR(INDEX(Pagos_Odoo!$B:$B, MATCH(Q2121, Pagos_Odoo!$I:$I, 0)), "Sin Pago"))</f>
        <v/>
      </c>
      <c r="Y2121" s="79">
        <f>IF(X2121="Sin Pago","",IFERROR(INDEX(Pagos_Odoo!$C:$C, MATCH(X2121, Pagos_Odoo!$B:$B, 0)), ""))</f>
        <v/>
      </c>
      <c r="Z2121" s="80">
        <f>IF(X2121="Sin Pago","",IFERROR(INDEX(Pagos_Odoo!$A:$A, MATCH(X2121, Pagos_Odoo!$B:$B, 0)), ""))</f>
        <v/>
      </c>
      <c r="AA2121" s="79">
        <f>IF(X2121="Sin Pago","",IFERROR(INDEX(Pagos_Odoo!$F:$F, MATCH(X2121, Pagos_Odoo!$B:$B, 0)), ""))</f>
        <v/>
      </c>
      <c r="AB2121" s="81">
        <f>IF(X2121="Sin Pago",0,IFERROR(INDEX(Pagos_Odoo!$E:$E, MATCH(X2121, Pagos_Odoo!$B:$B, 0)), 0))</f>
        <v/>
      </c>
      <c r="AC2121" s="79">
        <f>IF(X2121="Sin Pago","",IFERROR(INDEX(Pagos_Odoo!$G:$G, MATCH(X2121, Pagos_Odoo!$B:$B, 0)), ""))</f>
        <v/>
      </c>
      <c r="AD2121" s="82" t="n">
        <v>0</v>
      </c>
      <c r="AE2121" s="82" t="n"/>
      <c r="AF2121" s="82" t="n"/>
      <c r="AG2121" s="82">
        <f>IF(AN2121="","",AD2121+AE2121+AF2121)</f>
        <v/>
      </c>
      <c r="AH2121" s="81">
        <f>IF(AN2121="","",P2121*(1-AG2121))</f>
        <v/>
      </c>
      <c r="AI2121" s="81">
        <f>IF(AN2121="","",IF(Q2121="Sin Factura",0,IFERROR(INDEX(Facturas_Odoo!$H:$H, MATCH(Q2121, Facturas_Odoo!$B:$B, 0)), 0)*(1-AG2121)))</f>
        <v/>
      </c>
      <c r="AJ2121" s="81">
        <f>IF(AN2121="","",_xlfn.LET(idVenta, AN2121&amp;"",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21" s="81">
        <f>IF(AN2121="","",AH2121-AJ2121)</f>
        <v/>
      </c>
      <c r="AL2121" s="81">
        <f>IF(AN2121="","",IF(Q2121="Sin Factura","",AI2121-AJ2121))</f>
        <v/>
      </c>
      <c r="AM2121" s="81">
        <f>IF(AN2121="","",IF(Q2121="Sin Factura",0,P2121-IFERROR(INDEX(Facturas_Odoo!$H:$H, MATCH(Q2121, Facturas_Odoo!$B:$B, 0)), 0)))</f>
        <v/>
      </c>
      <c r="AN2121" s="79">
        <f>IF(AND(A2121="", J2121=""), "", IF(A2121&lt;&gt;"", VALUE(MID(A2121,2,LEN(A2121))), AN2120))</f>
        <v/>
      </c>
      <c r="AO2121" s="79">
        <f>IF(AN2121="","",IF(AD2121=0,"OK",_xlfn.LET(monedaPago, IF(AA2121="","USD",AA2121), limitePermitido, IFERROR(VLOOKUP(monedaPago, Configuración!$A$2:$B$3, 2, FALSE), 0.15), IF(AD2121&gt;limitePermitido, "ALERTA: EXCESO (" &amp; TEXT(limitePermitido, "0%") &amp; " máx)", "OK"))))</f>
        <v/>
      </c>
      <c r="AP2121" s="79">
        <f>IF(AN2121="","",IF(AE2121=0,"OK",_xlfn.LET(fechaPago, Z2121, fechaFactura, R2121, diasCredito, IF(E2121="Pago inmediato", 0, IFERROR(VALUE(MID(E2121, 1, SEARCH(" ", E2121)-1)),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21" s="79">
        <f>IF(AN2121="","",IF(AND(N2121&gt;0, AG2121&gt;0), IF(Configuración!$K$2="NO", "ALERTA: DESCUENTO DOBLE NO PERMITIDO", "OK"), "OK"))</f>
        <v/>
      </c>
      <c r="AR2121" s="79">
        <f>IF(AN2121="","",IF(OR(AO2121&lt;&gt;"OK", AP2121&lt;&gt;"OK", AQ2121&lt;&gt;"OK"), "⚠️ REVISAR", "OK"))</f>
        <v/>
      </c>
    </row>
    <row r="2122">
      <c r="A2122" s="79">
        <f>IF('Ordenes_Odoo'!A2122="","",'Ordenes_Odoo'!A2122)</f>
        <v/>
      </c>
      <c r="B2122" s="80">
        <f>IF('Ordenes_Odoo'!B2122="","",'Ordenes_Odoo'!B2122)</f>
        <v/>
      </c>
      <c r="C2122" s="79">
        <f>IF('Ordenes_Odoo'!C2122="","",'Ordenes_Odoo'!C2122)</f>
        <v/>
      </c>
      <c r="D2122" s="79">
        <f>IF('Ordenes_Odoo'!D2122="","",'Ordenes_Odoo'!D2122)</f>
        <v/>
      </c>
      <c r="E2122" s="79">
        <f>IF('Ordenes_Odoo'!E2122="","",'Ordenes_Odoo'!E2122)</f>
        <v/>
      </c>
      <c r="F2122" s="79">
        <f>IF('Ordenes_Odoo'!F2122="","",'Ordenes_Odoo'!F2122)</f>
        <v/>
      </c>
      <c r="G2122" s="79">
        <f>IF('Ordenes_Odoo'!G2122="","",'Ordenes_Odoo'!G2122)</f>
        <v/>
      </c>
      <c r="H2122" s="79">
        <f>IF('Ordenes_Odoo'!H2122="","",'Ordenes_Odoo'!H2122)</f>
        <v/>
      </c>
      <c r="I2122" s="79">
        <f>IF('Ordenes_Odoo'!I2122="","",'Ordenes_Odoo'!I2122)</f>
        <v/>
      </c>
      <c r="J2122" s="79">
        <f>IF('Ordenes_Odoo'!J2122="","",'Ordenes_Odoo'!J2122)</f>
        <v/>
      </c>
      <c r="K2122" s="81">
        <f>IF('Ordenes_Odoo'!K2122="","",'Ordenes_Odoo'!K2122)</f>
        <v/>
      </c>
      <c r="L2122" s="81">
        <f>IF('Ordenes_Odoo'!L2122="","",'Ordenes_Odoo'!L2122)</f>
        <v/>
      </c>
      <c r="M2122" s="79">
        <f>IF('Ordenes_Odoo'!M2122="","",'Ordenes_Odoo'!M2122)</f>
        <v/>
      </c>
      <c r="N2122" s="79">
        <f>IF('Ordenes_Odoo'!N2122="","",'Ordenes_Odoo'!N2122)</f>
        <v/>
      </c>
      <c r="O2122" s="81">
        <f>IF('Ordenes_Odoo'!O2122="","",'Ordenes_Odoo'!O2122)</f>
        <v/>
      </c>
      <c r="P2122" s="81">
        <f>IF('Ordenes_Odoo'!P2122="","",'Ordenes_Odoo'!P2122)</f>
        <v/>
      </c>
      <c r="Q2122" s="79">
        <f>IF(A2122="","",IFERROR(INDEX(Facturas_Odoo!$B:$B, MATCH(A2122, Facturas_Odoo!$D:$D, 0)), "Sin Factura"))</f>
        <v/>
      </c>
      <c r="R2122" s="80">
        <f>IF(Q2122="Sin Factura","",IFERROR(INDEX(Facturas_Odoo!$A:$A, MATCH(Q2122, Facturas_Odoo!$B:$B, 0)), ""))</f>
        <v/>
      </c>
      <c r="S2122" s="79">
        <f>IF(Q2122="Sin Factura","",IFERROR(_xlfn.XLOOKUP(1, (Facturas_Odoo!$D:$D=A2122) * (Facturas_Odoo!$K:$K=I2122), Facturas_Odoo!$L:$L, ""), ""))</f>
        <v/>
      </c>
      <c r="T2122" s="81">
        <f>IF(Q2122="Sin Factura",0,IFERROR(_xlfn.XLOOKUP(1, (Facturas_Odoo!$D:$D=A2122) * (Facturas_Odoo!$K:$K=I2122), Facturas_Odoo!$M:$M, 0), 0))</f>
        <v/>
      </c>
      <c r="U2122" s="79">
        <f>IF(Q2122="Sin Factura",0,IFERROR(_xlfn.XLOOKUP(1, (Facturas_Odoo!$D:$D=A2122) * (Facturas_Odoo!$K:$K=I2122), Facturas_Odoo!$N:$N, 0), 0))</f>
        <v/>
      </c>
      <c r="V2122" s="79">
        <f>IF(Q2122="Sin Factura",0,IFERROR(_xlfn.XLOOKUP(1, (Facturas_Odoo!$D:$D=A2122) * (Facturas_Odoo!$K:$K=I2122), Facturas_Odoo!$O:$O, 0), 0))</f>
        <v/>
      </c>
      <c r="W2122" s="81">
        <f>IF(Q2122="Sin Factura",0,IFERROR(_xlfn.XLOOKUP(1, (Facturas_Odoo!$D:$D=A2122) * (Facturas_Odoo!$K:$K=I2122), Facturas_Odoo!$Q:$Q, 0), 0))</f>
        <v/>
      </c>
      <c r="X2122" s="79">
        <f>IF(OR(Q2122="Sin Factura",Q2122=""),"",IFERROR(INDEX(Pagos_Odoo!$B:$B, MATCH(Q2122, Pagos_Odoo!$I:$I, 0)), "Sin Pago"))</f>
        <v/>
      </c>
      <c r="Y2122" s="79">
        <f>IF(X2122="Sin Pago","",IFERROR(INDEX(Pagos_Odoo!$C:$C, MATCH(X2122, Pagos_Odoo!$B:$B, 0)), ""))</f>
        <v/>
      </c>
      <c r="Z2122" s="80">
        <f>IF(X2122="Sin Pago","",IFERROR(INDEX(Pagos_Odoo!$A:$A, MATCH(X2122, Pagos_Odoo!$B:$B, 0)), ""))</f>
        <v/>
      </c>
      <c r="AA2122" s="79">
        <f>IF(X2122="Sin Pago","",IFERROR(INDEX(Pagos_Odoo!$F:$F, MATCH(X2122, Pagos_Odoo!$B:$B, 0)), ""))</f>
        <v/>
      </c>
      <c r="AB2122" s="81">
        <f>IF(X2122="Sin Pago",0,IFERROR(INDEX(Pagos_Odoo!$E:$E, MATCH(X2122, Pagos_Odoo!$B:$B, 0)), 0))</f>
        <v/>
      </c>
      <c r="AC2122" s="79">
        <f>IF(X2122="Sin Pago","",IFERROR(INDEX(Pagos_Odoo!$G:$G, MATCH(X2122, Pagos_Odoo!$B:$B, 0)), ""))</f>
        <v/>
      </c>
      <c r="AD2122" s="82" t="n">
        <v>0</v>
      </c>
      <c r="AE2122" s="82" t="n"/>
      <c r="AF2122" s="82" t="n"/>
      <c r="AG2122" s="82">
        <f>IF(AN2122="","",AD2122+AE2122+AF2122)</f>
        <v/>
      </c>
      <c r="AH2122" s="81">
        <f>IF(AN2122="","",P2122*(1-AG2122))</f>
        <v/>
      </c>
      <c r="AI2122" s="81">
        <f>IF(AN2122="","",IF(Q2122="Sin Factura",0,IFERROR(INDEX(Facturas_Odoo!$H:$H, MATCH(Q2122, Facturas_Odoo!$B:$B, 0)), 0)*(1-AG2122)))</f>
        <v/>
      </c>
      <c r="AJ2122" s="81">
        <f>IF(AN2122="","",_xlfn.LET(idVenta, AN2122&amp;"",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22" s="81">
        <f>IF(AN2122="","",AH2122-AJ2122)</f>
        <v/>
      </c>
      <c r="AL2122" s="81">
        <f>IF(AN2122="","",IF(Q2122="Sin Factura","",AI2122-AJ2122))</f>
        <v/>
      </c>
      <c r="AM2122" s="81">
        <f>IF(AN2122="","",IF(Q2122="Sin Factura",0,P2122-IFERROR(INDEX(Facturas_Odoo!$H:$H, MATCH(Q2122, Facturas_Odoo!$B:$B, 0)), 0)))</f>
        <v/>
      </c>
      <c r="AN2122" s="79">
        <f>IF(AND(A2122="", J2122=""), "", IF(A2122&lt;&gt;"", VALUE(MID(A2122,2,LEN(A2122))), AN2121))</f>
        <v/>
      </c>
      <c r="AO2122" s="79">
        <f>IF(AN2122="","",IF(AD2122=0,"OK",_xlfn.LET(monedaPago, IF(AA2122="","USD",AA2122), limitePermitido, IFERROR(VLOOKUP(monedaPago, Configuración!$A$2:$B$3, 2, FALSE), 0.15), IF(AD2122&gt;limitePermitido, "ALERTA: EXCESO (" &amp; TEXT(limitePermitido, "0%") &amp; " máx)", "OK"))))</f>
        <v/>
      </c>
      <c r="AP2122" s="79">
        <f>IF(AN2122="","",IF(AE2122=0,"OK",_xlfn.LET(fechaPago, Z2122, fechaFactura, R2122, diasCredito, IF(E2122="Pago inmediato", 0, IFERROR(VALUE(MID(E2122, 1, SEARCH(" ", E2122)-1)),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22" s="79">
        <f>IF(AN2122="","",IF(AND(N2122&gt;0, AG2122&gt;0), IF(Configuración!$K$2="NO", "ALERTA: DESCUENTO DOBLE NO PERMITIDO", "OK"), "OK"))</f>
        <v/>
      </c>
      <c r="AR2122" s="79">
        <f>IF(AN2122="","",IF(OR(AO2122&lt;&gt;"OK", AP2122&lt;&gt;"OK", AQ2122&lt;&gt;"OK"), "⚠️ REVISAR", "OK"))</f>
        <v/>
      </c>
    </row>
    <row r="2123">
      <c r="A2123" s="79">
        <f>IF('Ordenes_Odoo'!A2123="","",'Ordenes_Odoo'!A2123)</f>
        <v/>
      </c>
      <c r="B2123" s="80">
        <f>IF('Ordenes_Odoo'!B2123="","",'Ordenes_Odoo'!B2123)</f>
        <v/>
      </c>
      <c r="C2123" s="79">
        <f>IF('Ordenes_Odoo'!C2123="","",'Ordenes_Odoo'!C2123)</f>
        <v/>
      </c>
      <c r="D2123" s="79">
        <f>IF('Ordenes_Odoo'!D2123="","",'Ordenes_Odoo'!D2123)</f>
        <v/>
      </c>
      <c r="E2123" s="79">
        <f>IF('Ordenes_Odoo'!E2123="","",'Ordenes_Odoo'!E2123)</f>
        <v/>
      </c>
      <c r="F2123" s="79">
        <f>IF('Ordenes_Odoo'!F2123="","",'Ordenes_Odoo'!F2123)</f>
        <v/>
      </c>
      <c r="G2123" s="79">
        <f>IF('Ordenes_Odoo'!G2123="","",'Ordenes_Odoo'!G2123)</f>
        <v/>
      </c>
      <c r="H2123" s="79">
        <f>IF('Ordenes_Odoo'!H2123="","",'Ordenes_Odoo'!H2123)</f>
        <v/>
      </c>
      <c r="I2123" s="79">
        <f>IF('Ordenes_Odoo'!I2123="","",'Ordenes_Odoo'!I2123)</f>
        <v/>
      </c>
      <c r="J2123" s="79">
        <f>IF('Ordenes_Odoo'!J2123="","",'Ordenes_Odoo'!J2123)</f>
        <v/>
      </c>
      <c r="K2123" s="81">
        <f>IF('Ordenes_Odoo'!K2123="","",'Ordenes_Odoo'!K2123)</f>
        <v/>
      </c>
      <c r="L2123" s="81">
        <f>IF('Ordenes_Odoo'!L2123="","",'Ordenes_Odoo'!L2123)</f>
        <v/>
      </c>
      <c r="M2123" s="79">
        <f>IF('Ordenes_Odoo'!M2123="","",'Ordenes_Odoo'!M2123)</f>
        <v/>
      </c>
      <c r="N2123" s="79">
        <f>IF('Ordenes_Odoo'!N2123="","",'Ordenes_Odoo'!N2123)</f>
        <v/>
      </c>
      <c r="O2123" s="81">
        <f>IF('Ordenes_Odoo'!O2123="","",'Ordenes_Odoo'!O2123)</f>
        <v/>
      </c>
      <c r="P2123" s="81">
        <f>IF('Ordenes_Odoo'!P2123="","",'Ordenes_Odoo'!P2123)</f>
        <v/>
      </c>
      <c r="Q2123" s="79">
        <f>IF(A2123="","",IFERROR(INDEX(Facturas_Odoo!$B:$B, MATCH(A2123, Facturas_Odoo!$D:$D, 0)), "Sin Factura"))</f>
        <v/>
      </c>
      <c r="R2123" s="80">
        <f>IF(Q2123="Sin Factura","",IFERROR(INDEX(Facturas_Odoo!$A:$A, MATCH(Q2123, Facturas_Odoo!$B:$B, 0)), ""))</f>
        <v/>
      </c>
      <c r="S2123" s="79">
        <f>IF(Q2123="Sin Factura","",IFERROR(_xlfn.XLOOKUP(1, (Facturas_Odoo!$D:$D=A2123) * (Facturas_Odoo!$K:$K=I2123), Facturas_Odoo!$L:$L, ""), ""))</f>
        <v/>
      </c>
      <c r="T2123" s="81">
        <f>IF(Q2123="Sin Factura",0,IFERROR(_xlfn.XLOOKUP(1, (Facturas_Odoo!$D:$D=A2123) * (Facturas_Odoo!$K:$K=I2123), Facturas_Odoo!$M:$M, 0), 0))</f>
        <v/>
      </c>
      <c r="U2123" s="79">
        <f>IF(Q2123="Sin Factura",0,IFERROR(_xlfn.XLOOKUP(1, (Facturas_Odoo!$D:$D=A2123) * (Facturas_Odoo!$K:$K=I2123), Facturas_Odoo!$N:$N, 0), 0))</f>
        <v/>
      </c>
      <c r="V2123" s="79">
        <f>IF(Q2123="Sin Factura",0,IFERROR(_xlfn.XLOOKUP(1, (Facturas_Odoo!$D:$D=A2123) * (Facturas_Odoo!$K:$K=I2123), Facturas_Odoo!$O:$O, 0), 0))</f>
        <v/>
      </c>
      <c r="W2123" s="81">
        <f>IF(Q2123="Sin Factura",0,IFERROR(_xlfn.XLOOKUP(1, (Facturas_Odoo!$D:$D=A2123) * (Facturas_Odoo!$K:$K=I2123), Facturas_Odoo!$Q:$Q, 0), 0))</f>
        <v/>
      </c>
      <c r="X2123" s="79">
        <f>IF(OR(Q2123="Sin Factura",Q2123=""),"",IFERROR(INDEX(Pagos_Odoo!$B:$B, MATCH(Q2123, Pagos_Odoo!$I:$I, 0)), "Sin Pago"))</f>
        <v/>
      </c>
      <c r="Y2123" s="79">
        <f>IF(X2123="Sin Pago","",IFERROR(INDEX(Pagos_Odoo!$C:$C, MATCH(X2123, Pagos_Odoo!$B:$B, 0)), ""))</f>
        <v/>
      </c>
      <c r="Z2123" s="80">
        <f>IF(X2123="Sin Pago","",IFERROR(INDEX(Pagos_Odoo!$A:$A, MATCH(X2123, Pagos_Odoo!$B:$B, 0)), ""))</f>
        <v/>
      </c>
      <c r="AA2123" s="79">
        <f>IF(X2123="Sin Pago","",IFERROR(INDEX(Pagos_Odoo!$F:$F, MATCH(X2123, Pagos_Odoo!$B:$B, 0)), ""))</f>
        <v/>
      </c>
      <c r="AB2123" s="81">
        <f>IF(X2123="Sin Pago",0,IFERROR(INDEX(Pagos_Odoo!$E:$E, MATCH(X2123, Pagos_Odoo!$B:$B, 0)), 0))</f>
        <v/>
      </c>
      <c r="AC2123" s="79">
        <f>IF(X2123="Sin Pago","",IFERROR(INDEX(Pagos_Odoo!$G:$G, MATCH(X2123, Pagos_Odoo!$B:$B, 0)), ""))</f>
        <v/>
      </c>
      <c r="AD2123" s="82" t="n">
        <v>0</v>
      </c>
      <c r="AE2123" s="82" t="n"/>
      <c r="AF2123" s="82" t="n"/>
      <c r="AG2123" s="82">
        <f>IF(AN2123="","",AD2123+AE2123+AF2123)</f>
        <v/>
      </c>
      <c r="AH2123" s="81">
        <f>IF(AN2123="","",P2123*(1-AG2123))</f>
        <v/>
      </c>
      <c r="AI2123" s="81">
        <f>IF(AN2123="","",IF(Q2123="Sin Factura",0,IFERROR(INDEX(Facturas_Odoo!$H:$H, MATCH(Q2123, Facturas_Odoo!$B:$B, 0)), 0)*(1-AG2123)))</f>
        <v/>
      </c>
      <c r="AJ2123" s="81">
        <f>IF(AN2123="","",_xlfn.LET(idVenta, AN2123&amp;"",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23" s="81">
        <f>IF(AN2123="","",AH2123-AJ2123)</f>
        <v/>
      </c>
      <c r="AL2123" s="81">
        <f>IF(AN2123="","",IF(Q2123="Sin Factura","",AI2123-AJ2123))</f>
        <v/>
      </c>
      <c r="AM2123" s="81">
        <f>IF(AN2123="","",IF(Q2123="Sin Factura",0,P2123-IFERROR(INDEX(Facturas_Odoo!$H:$H, MATCH(Q2123, Facturas_Odoo!$B:$B, 0)), 0)))</f>
        <v/>
      </c>
      <c r="AN2123" s="79">
        <f>IF(AND(A2123="", J2123=""), "", IF(A2123&lt;&gt;"", VALUE(MID(A2123,2,LEN(A2123))), AN2122))</f>
        <v/>
      </c>
      <c r="AO2123" s="79">
        <f>IF(AN2123="","",IF(AD2123=0,"OK",_xlfn.LET(monedaPago, IF(AA2123="","USD",AA2123), limitePermitido, IFERROR(VLOOKUP(monedaPago, Configuración!$A$2:$B$3, 2, FALSE), 0.15), IF(AD2123&gt;limitePermitido, "ALERTA: EXCESO (" &amp; TEXT(limitePermitido, "0%") &amp; " máx)", "OK"))))</f>
        <v/>
      </c>
      <c r="AP2123" s="79">
        <f>IF(AN2123="","",IF(AE2123=0,"OK",_xlfn.LET(fechaPago, Z2123, fechaFactura, R2123, diasCredito, IF(E2123="Pago inmediato", 0, IFERROR(VALUE(MID(E2123, 1, SEARCH(" ", E2123)-1)),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23" s="79">
        <f>IF(AN2123="","",IF(AND(N2123&gt;0, AG2123&gt;0), IF(Configuración!$K$2="NO", "ALERTA: DESCUENTO DOBLE NO PERMITIDO", "OK"), "OK"))</f>
        <v/>
      </c>
      <c r="AR2123" s="79">
        <f>IF(AN2123="","",IF(OR(AO2123&lt;&gt;"OK", AP2123&lt;&gt;"OK", AQ2123&lt;&gt;"OK"), "⚠️ REVISAR", "OK"))</f>
        <v/>
      </c>
    </row>
    <row r="2124">
      <c r="A2124" s="79">
        <f>IF('Ordenes_Odoo'!A2124="","",'Ordenes_Odoo'!A2124)</f>
        <v/>
      </c>
      <c r="B2124" s="80">
        <f>IF('Ordenes_Odoo'!B2124="","",'Ordenes_Odoo'!B2124)</f>
        <v/>
      </c>
      <c r="C2124" s="79">
        <f>IF('Ordenes_Odoo'!C2124="","",'Ordenes_Odoo'!C2124)</f>
        <v/>
      </c>
      <c r="D2124" s="79">
        <f>IF('Ordenes_Odoo'!D2124="","",'Ordenes_Odoo'!D2124)</f>
        <v/>
      </c>
      <c r="E2124" s="79">
        <f>IF('Ordenes_Odoo'!E2124="","",'Ordenes_Odoo'!E2124)</f>
        <v/>
      </c>
      <c r="F2124" s="79">
        <f>IF('Ordenes_Odoo'!F2124="","",'Ordenes_Odoo'!F2124)</f>
        <v/>
      </c>
      <c r="G2124" s="79">
        <f>IF('Ordenes_Odoo'!G2124="","",'Ordenes_Odoo'!G2124)</f>
        <v/>
      </c>
      <c r="H2124" s="79">
        <f>IF('Ordenes_Odoo'!H2124="","",'Ordenes_Odoo'!H2124)</f>
        <v/>
      </c>
      <c r="I2124" s="79">
        <f>IF('Ordenes_Odoo'!I2124="","",'Ordenes_Odoo'!I2124)</f>
        <v/>
      </c>
      <c r="J2124" s="79">
        <f>IF('Ordenes_Odoo'!J2124="","",'Ordenes_Odoo'!J2124)</f>
        <v/>
      </c>
      <c r="K2124" s="81">
        <f>IF('Ordenes_Odoo'!K2124="","",'Ordenes_Odoo'!K2124)</f>
        <v/>
      </c>
      <c r="L2124" s="81">
        <f>IF('Ordenes_Odoo'!L2124="","",'Ordenes_Odoo'!L2124)</f>
        <v/>
      </c>
      <c r="M2124" s="79">
        <f>IF('Ordenes_Odoo'!M2124="","",'Ordenes_Odoo'!M2124)</f>
        <v/>
      </c>
      <c r="N2124" s="79">
        <f>IF('Ordenes_Odoo'!N2124="","",'Ordenes_Odoo'!N2124)</f>
        <v/>
      </c>
      <c r="O2124" s="81">
        <f>IF('Ordenes_Odoo'!O2124="","",'Ordenes_Odoo'!O2124)</f>
        <v/>
      </c>
      <c r="P2124" s="81">
        <f>IF('Ordenes_Odoo'!P2124="","",'Ordenes_Odoo'!P2124)</f>
        <v/>
      </c>
      <c r="Q2124" s="79">
        <f>IF(A2124="","",IFERROR(INDEX(Facturas_Odoo!$B:$B, MATCH(A2124, Facturas_Odoo!$D:$D, 0)), "Sin Factura"))</f>
        <v/>
      </c>
      <c r="R2124" s="80">
        <f>IF(Q2124="Sin Factura","",IFERROR(INDEX(Facturas_Odoo!$A:$A, MATCH(Q2124, Facturas_Odoo!$B:$B, 0)), ""))</f>
        <v/>
      </c>
      <c r="S2124" s="79">
        <f>IF(Q2124="Sin Factura","",IFERROR(_xlfn.XLOOKUP(1, (Facturas_Odoo!$D:$D=A2124) * (Facturas_Odoo!$K:$K=I2124), Facturas_Odoo!$L:$L, ""), ""))</f>
        <v/>
      </c>
      <c r="T2124" s="81">
        <f>IF(Q2124="Sin Factura",0,IFERROR(_xlfn.XLOOKUP(1, (Facturas_Odoo!$D:$D=A2124) * (Facturas_Odoo!$K:$K=I2124), Facturas_Odoo!$M:$M, 0), 0))</f>
        <v/>
      </c>
      <c r="U2124" s="79">
        <f>IF(Q2124="Sin Factura",0,IFERROR(_xlfn.XLOOKUP(1, (Facturas_Odoo!$D:$D=A2124) * (Facturas_Odoo!$K:$K=I2124), Facturas_Odoo!$N:$N, 0), 0))</f>
        <v/>
      </c>
      <c r="V2124" s="79">
        <f>IF(Q2124="Sin Factura",0,IFERROR(_xlfn.XLOOKUP(1, (Facturas_Odoo!$D:$D=A2124) * (Facturas_Odoo!$K:$K=I2124), Facturas_Odoo!$O:$O, 0), 0))</f>
        <v/>
      </c>
      <c r="W2124" s="81">
        <f>IF(Q2124="Sin Factura",0,IFERROR(_xlfn.XLOOKUP(1, (Facturas_Odoo!$D:$D=A2124) * (Facturas_Odoo!$K:$K=I2124), Facturas_Odoo!$Q:$Q, 0), 0))</f>
        <v/>
      </c>
      <c r="X2124" s="79">
        <f>IF(OR(Q2124="Sin Factura",Q2124=""),"",IFERROR(INDEX(Pagos_Odoo!$B:$B, MATCH(Q2124, Pagos_Odoo!$I:$I, 0)), "Sin Pago"))</f>
        <v/>
      </c>
      <c r="Y2124" s="79">
        <f>IF(X2124="Sin Pago","",IFERROR(INDEX(Pagos_Odoo!$C:$C, MATCH(X2124, Pagos_Odoo!$B:$B, 0)), ""))</f>
        <v/>
      </c>
      <c r="Z2124" s="80">
        <f>IF(X2124="Sin Pago","",IFERROR(INDEX(Pagos_Odoo!$A:$A, MATCH(X2124, Pagos_Odoo!$B:$B, 0)), ""))</f>
        <v/>
      </c>
      <c r="AA2124" s="79">
        <f>IF(X2124="Sin Pago","",IFERROR(INDEX(Pagos_Odoo!$F:$F, MATCH(X2124, Pagos_Odoo!$B:$B, 0)), ""))</f>
        <v/>
      </c>
      <c r="AB2124" s="81">
        <f>IF(X2124="Sin Pago",0,IFERROR(INDEX(Pagos_Odoo!$E:$E, MATCH(X2124, Pagos_Odoo!$B:$B, 0)), 0))</f>
        <v/>
      </c>
      <c r="AC2124" s="79">
        <f>IF(X2124="Sin Pago","",IFERROR(INDEX(Pagos_Odoo!$G:$G, MATCH(X2124, Pagos_Odoo!$B:$B, 0)), ""))</f>
        <v/>
      </c>
      <c r="AD2124" s="82" t="n">
        <v>0</v>
      </c>
      <c r="AE2124" s="82" t="n"/>
      <c r="AF2124" s="82" t="n"/>
      <c r="AG2124" s="82">
        <f>IF(AN2124="","",AD2124+AE2124+AF2124)</f>
        <v/>
      </c>
      <c r="AH2124" s="81">
        <f>IF(AN2124="","",P2124*(1-AG2124))</f>
        <v/>
      </c>
      <c r="AI2124" s="81">
        <f>IF(AN2124="","",IF(Q2124="Sin Factura",0,IFERROR(INDEX(Facturas_Odoo!$H:$H, MATCH(Q2124, Facturas_Odoo!$B:$B, 0)), 0)*(1-AG2124)))</f>
        <v/>
      </c>
      <c r="AJ2124" s="81">
        <f>IF(AN2124="","",_xlfn.LET(idVenta, AN2124&amp;"",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24" s="81">
        <f>IF(AN2124="","",AH2124-AJ2124)</f>
        <v/>
      </c>
      <c r="AL2124" s="81">
        <f>IF(AN2124="","",IF(Q2124="Sin Factura","",AI2124-AJ2124))</f>
        <v/>
      </c>
      <c r="AM2124" s="81">
        <f>IF(AN2124="","",IF(Q2124="Sin Factura",0,P2124-IFERROR(INDEX(Facturas_Odoo!$H:$H, MATCH(Q2124, Facturas_Odoo!$B:$B, 0)), 0)))</f>
        <v/>
      </c>
      <c r="AN2124" s="79">
        <f>IF(AND(A2124="", J2124=""), "", IF(A2124&lt;&gt;"", VALUE(MID(A2124,2,LEN(A2124))), AN2123))</f>
        <v/>
      </c>
      <c r="AO2124" s="79">
        <f>IF(AN2124="","",IF(AD2124=0,"OK",_xlfn.LET(monedaPago, IF(AA2124="","USD",AA2124), limitePermitido, IFERROR(VLOOKUP(monedaPago, Configuración!$A$2:$B$3, 2, FALSE), 0.15), IF(AD2124&gt;limitePermitido, "ALERTA: EXCESO (" &amp; TEXT(limitePermitido, "0%") &amp; " máx)", "OK"))))</f>
        <v/>
      </c>
      <c r="AP2124" s="79">
        <f>IF(AN2124="","",IF(AE2124=0,"OK",_xlfn.LET(fechaPago, Z2124, fechaFactura, R2124, diasCredito, IF(E2124="Pago inmediato", 0, IFERROR(VALUE(MID(E2124, 1, SEARCH(" ", E2124)-1)),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24" s="79">
        <f>IF(AN2124="","",IF(AND(N2124&gt;0, AG2124&gt;0), IF(Configuración!$K$2="NO", "ALERTA: DESCUENTO DOBLE NO PERMITIDO", "OK"), "OK"))</f>
        <v/>
      </c>
      <c r="AR2124" s="79">
        <f>IF(AN2124="","",IF(OR(AO2124&lt;&gt;"OK", AP2124&lt;&gt;"OK", AQ2124&lt;&gt;"OK"), "⚠️ REVISAR", "OK"))</f>
        <v/>
      </c>
    </row>
    <row r="2125">
      <c r="A2125" s="79">
        <f>IF('Ordenes_Odoo'!A2125="","",'Ordenes_Odoo'!A2125)</f>
        <v/>
      </c>
      <c r="B2125" s="80">
        <f>IF('Ordenes_Odoo'!B2125="","",'Ordenes_Odoo'!B2125)</f>
        <v/>
      </c>
      <c r="C2125" s="79">
        <f>IF('Ordenes_Odoo'!C2125="","",'Ordenes_Odoo'!C2125)</f>
        <v/>
      </c>
      <c r="D2125" s="79">
        <f>IF('Ordenes_Odoo'!D2125="","",'Ordenes_Odoo'!D2125)</f>
        <v/>
      </c>
      <c r="E2125" s="79">
        <f>IF('Ordenes_Odoo'!E2125="","",'Ordenes_Odoo'!E2125)</f>
        <v/>
      </c>
      <c r="F2125" s="79">
        <f>IF('Ordenes_Odoo'!F2125="","",'Ordenes_Odoo'!F2125)</f>
        <v/>
      </c>
      <c r="G2125" s="79">
        <f>IF('Ordenes_Odoo'!G2125="","",'Ordenes_Odoo'!G2125)</f>
        <v/>
      </c>
      <c r="H2125" s="79">
        <f>IF('Ordenes_Odoo'!H2125="","",'Ordenes_Odoo'!H2125)</f>
        <v/>
      </c>
      <c r="I2125" s="79">
        <f>IF('Ordenes_Odoo'!I2125="","",'Ordenes_Odoo'!I2125)</f>
        <v/>
      </c>
      <c r="J2125" s="79">
        <f>IF('Ordenes_Odoo'!J2125="","",'Ordenes_Odoo'!J2125)</f>
        <v/>
      </c>
      <c r="K2125" s="81">
        <f>IF('Ordenes_Odoo'!K2125="","",'Ordenes_Odoo'!K2125)</f>
        <v/>
      </c>
      <c r="L2125" s="81">
        <f>IF('Ordenes_Odoo'!L2125="","",'Ordenes_Odoo'!L2125)</f>
        <v/>
      </c>
      <c r="M2125" s="79">
        <f>IF('Ordenes_Odoo'!M2125="","",'Ordenes_Odoo'!M2125)</f>
        <v/>
      </c>
      <c r="N2125" s="79">
        <f>IF('Ordenes_Odoo'!N2125="","",'Ordenes_Odoo'!N2125)</f>
        <v/>
      </c>
      <c r="O2125" s="81">
        <f>IF('Ordenes_Odoo'!O2125="","",'Ordenes_Odoo'!O2125)</f>
        <v/>
      </c>
      <c r="P2125" s="81">
        <f>IF('Ordenes_Odoo'!P2125="","",'Ordenes_Odoo'!P2125)</f>
        <v/>
      </c>
      <c r="Q2125" s="79">
        <f>IF(A2125="","",IFERROR(INDEX(Facturas_Odoo!$B:$B, MATCH(A2125, Facturas_Odoo!$D:$D, 0)), "Sin Factura"))</f>
        <v/>
      </c>
      <c r="R2125" s="80">
        <f>IF(Q2125="Sin Factura","",IFERROR(INDEX(Facturas_Odoo!$A:$A, MATCH(Q2125, Facturas_Odoo!$B:$B, 0)), ""))</f>
        <v/>
      </c>
      <c r="S2125" s="79">
        <f>IF(Q2125="Sin Factura","",IFERROR(_xlfn.XLOOKUP(1, (Facturas_Odoo!$D:$D=A2125) * (Facturas_Odoo!$K:$K=I2125), Facturas_Odoo!$L:$L, ""), ""))</f>
        <v/>
      </c>
      <c r="T2125" s="81">
        <f>IF(Q2125="Sin Factura",0,IFERROR(_xlfn.XLOOKUP(1, (Facturas_Odoo!$D:$D=A2125) * (Facturas_Odoo!$K:$K=I2125), Facturas_Odoo!$M:$M, 0), 0))</f>
        <v/>
      </c>
      <c r="U2125" s="79">
        <f>IF(Q2125="Sin Factura",0,IFERROR(_xlfn.XLOOKUP(1, (Facturas_Odoo!$D:$D=A2125) * (Facturas_Odoo!$K:$K=I2125), Facturas_Odoo!$N:$N, 0), 0))</f>
        <v/>
      </c>
      <c r="V2125" s="79">
        <f>IF(Q2125="Sin Factura",0,IFERROR(_xlfn.XLOOKUP(1, (Facturas_Odoo!$D:$D=A2125) * (Facturas_Odoo!$K:$K=I2125), Facturas_Odoo!$O:$O, 0), 0))</f>
        <v/>
      </c>
      <c r="W2125" s="81">
        <f>IF(Q2125="Sin Factura",0,IFERROR(_xlfn.XLOOKUP(1, (Facturas_Odoo!$D:$D=A2125) * (Facturas_Odoo!$K:$K=I2125), Facturas_Odoo!$Q:$Q, 0), 0))</f>
        <v/>
      </c>
      <c r="X2125" s="79">
        <f>IF(OR(Q2125="Sin Factura",Q2125=""),"",IFERROR(INDEX(Pagos_Odoo!$B:$B, MATCH(Q2125, Pagos_Odoo!$I:$I, 0)), "Sin Pago"))</f>
        <v/>
      </c>
      <c r="Y2125" s="79">
        <f>IF(X2125="Sin Pago","",IFERROR(INDEX(Pagos_Odoo!$C:$C, MATCH(X2125, Pagos_Odoo!$B:$B, 0)), ""))</f>
        <v/>
      </c>
      <c r="Z2125" s="80">
        <f>IF(X2125="Sin Pago","",IFERROR(INDEX(Pagos_Odoo!$A:$A, MATCH(X2125, Pagos_Odoo!$B:$B, 0)), ""))</f>
        <v/>
      </c>
      <c r="AA2125" s="79">
        <f>IF(X2125="Sin Pago","",IFERROR(INDEX(Pagos_Odoo!$F:$F, MATCH(X2125, Pagos_Odoo!$B:$B, 0)), ""))</f>
        <v/>
      </c>
      <c r="AB2125" s="81">
        <f>IF(X2125="Sin Pago",0,IFERROR(INDEX(Pagos_Odoo!$E:$E, MATCH(X2125, Pagos_Odoo!$B:$B, 0)), 0))</f>
        <v/>
      </c>
      <c r="AC2125" s="79">
        <f>IF(X2125="Sin Pago","",IFERROR(INDEX(Pagos_Odoo!$G:$G, MATCH(X2125, Pagos_Odoo!$B:$B, 0)), ""))</f>
        <v/>
      </c>
      <c r="AD2125" s="82" t="n">
        <v>0</v>
      </c>
      <c r="AE2125" s="82" t="n"/>
      <c r="AF2125" s="82" t="n"/>
      <c r="AG2125" s="82">
        <f>IF(AN2125="","",AD2125+AE2125+AF2125)</f>
        <v/>
      </c>
      <c r="AH2125" s="81">
        <f>IF(AN2125="","",P2125*(1-AG2125))</f>
        <v/>
      </c>
      <c r="AI2125" s="81">
        <f>IF(AN2125="","",IF(Q2125="Sin Factura",0,IFERROR(INDEX(Facturas_Odoo!$H:$H, MATCH(Q2125, Facturas_Odoo!$B:$B, 0)), 0)*(1-AG2125)))</f>
        <v/>
      </c>
      <c r="AJ2125" s="81">
        <f>IF(AN2125="","",_xlfn.LET(idVenta, AN2125&amp;"",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25" s="81">
        <f>IF(AN2125="","",AH2125-AJ2125)</f>
        <v/>
      </c>
      <c r="AL2125" s="81">
        <f>IF(AN2125="","",IF(Q2125="Sin Factura","",AI2125-AJ2125))</f>
        <v/>
      </c>
      <c r="AM2125" s="81">
        <f>IF(AN2125="","",IF(Q2125="Sin Factura",0,P2125-IFERROR(INDEX(Facturas_Odoo!$H:$H, MATCH(Q2125, Facturas_Odoo!$B:$B, 0)), 0)))</f>
        <v/>
      </c>
      <c r="AN2125" s="79">
        <f>IF(AND(A2125="", J2125=""), "", IF(A2125&lt;&gt;"", VALUE(MID(A2125,2,LEN(A2125))), AN2124))</f>
        <v/>
      </c>
      <c r="AO2125" s="79">
        <f>IF(AN2125="","",IF(AD2125=0,"OK",_xlfn.LET(monedaPago, IF(AA2125="","USD",AA2125), limitePermitido, IFERROR(VLOOKUP(monedaPago, Configuración!$A$2:$B$3, 2, FALSE), 0.15), IF(AD2125&gt;limitePermitido, "ALERTA: EXCESO (" &amp; TEXT(limitePermitido, "0%") &amp; " máx)", "OK"))))</f>
        <v/>
      </c>
      <c r="AP2125" s="79">
        <f>IF(AN2125="","",IF(AE2125=0,"OK",_xlfn.LET(fechaPago, Z2125, fechaFactura, R2125, diasCredito, IF(E2125="Pago inmediato", 0, IFERROR(VALUE(MID(E2125, 1, SEARCH(" ", E2125)-1)),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25" s="79">
        <f>IF(AN2125="","",IF(AND(N2125&gt;0, AG2125&gt;0), IF(Configuración!$K$2="NO", "ALERTA: DESCUENTO DOBLE NO PERMITIDO", "OK"), "OK"))</f>
        <v/>
      </c>
      <c r="AR2125" s="79">
        <f>IF(AN2125="","",IF(OR(AO2125&lt;&gt;"OK", AP2125&lt;&gt;"OK", AQ2125&lt;&gt;"OK"), "⚠️ REVISAR", "OK"))</f>
        <v/>
      </c>
    </row>
    <row r="2126">
      <c r="A2126" s="79">
        <f>IF('Ordenes_Odoo'!A2126="","",'Ordenes_Odoo'!A2126)</f>
        <v/>
      </c>
      <c r="B2126" s="80">
        <f>IF('Ordenes_Odoo'!B2126="","",'Ordenes_Odoo'!B2126)</f>
        <v/>
      </c>
      <c r="C2126" s="79">
        <f>IF('Ordenes_Odoo'!C2126="","",'Ordenes_Odoo'!C2126)</f>
        <v/>
      </c>
      <c r="D2126" s="79">
        <f>IF('Ordenes_Odoo'!D2126="","",'Ordenes_Odoo'!D2126)</f>
        <v/>
      </c>
      <c r="E2126" s="79">
        <f>IF('Ordenes_Odoo'!E2126="","",'Ordenes_Odoo'!E2126)</f>
        <v/>
      </c>
      <c r="F2126" s="79">
        <f>IF('Ordenes_Odoo'!F2126="","",'Ordenes_Odoo'!F2126)</f>
        <v/>
      </c>
      <c r="G2126" s="79">
        <f>IF('Ordenes_Odoo'!G2126="","",'Ordenes_Odoo'!G2126)</f>
        <v/>
      </c>
      <c r="H2126" s="79">
        <f>IF('Ordenes_Odoo'!H2126="","",'Ordenes_Odoo'!H2126)</f>
        <v/>
      </c>
      <c r="I2126" s="79">
        <f>IF('Ordenes_Odoo'!I2126="","",'Ordenes_Odoo'!I2126)</f>
        <v/>
      </c>
      <c r="J2126" s="79">
        <f>IF('Ordenes_Odoo'!J2126="","",'Ordenes_Odoo'!J2126)</f>
        <v/>
      </c>
      <c r="K2126" s="81">
        <f>IF('Ordenes_Odoo'!K2126="","",'Ordenes_Odoo'!K2126)</f>
        <v/>
      </c>
      <c r="L2126" s="81">
        <f>IF('Ordenes_Odoo'!L2126="","",'Ordenes_Odoo'!L2126)</f>
        <v/>
      </c>
      <c r="M2126" s="79">
        <f>IF('Ordenes_Odoo'!M2126="","",'Ordenes_Odoo'!M2126)</f>
        <v/>
      </c>
      <c r="N2126" s="79">
        <f>IF('Ordenes_Odoo'!N2126="","",'Ordenes_Odoo'!N2126)</f>
        <v/>
      </c>
      <c r="O2126" s="81">
        <f>IF('Ordenes_Odoo'!O2126="","",'Ordenes_Odoo'!O2126)</f>
        <v/>
      </c>
      <c r="P2126" s="81">
        <f>IF('Ordenes_Odoo'!P2126="","",'Ordenes_Odoo'!P2126)</f>
        <v/>
      </c>
      <c r="Q2126" s="79">
        <f>IF(A2126="","",IFERROR(INDEX(Facturas_Odoo!$B:$B, MATCH(A2126, Facturas_Odoo!$D:$D, 0)), "Sin Factura"))</f>
        <v/>
      </c>
      <c r="R2126" s="80">
        <f>IF(Q2126="Sin Factura","",IFERROR(INDEX(Facturas_Odoo!$A:$A, MATCH(Q2126, Facturas_Odoo!$B:$B, 0)), ""))</f>
        <v/>
      </c>
      <c r="S2126" s="79">
        <f>IF(Q2126="Sin Factura","",IFERROR(_xlfn.XLOOKUP(1, (Facturas_Odoo!$D:$D=A2126) * (Facturas_Odoo!$K:$K=I2126), Facturas_Odoo!$L:$L, ""), ""))</f>
        <v/>
      </c>
      <c r="T2126" s="81">
        <f>IF(Q2126="Sin Factura",0,IFERROR(_xlfn.XLOOKUP(1, (Facturas_Odoo!$D:$D=A2126) * (Facturas_Odoo!$K:$K=I2126), Facturas_Odoo!$M:$M, 0), 0))</f>
        <v/>
      </c>
      <c r="U2126" s="79">
        <f>IF(Q2126="Sin Factura",0,IFERROR(_xlfn.XLOOKUP(1, (Facturas_Odoo!$D:$D=A2126) * (Facturas_Odoo!$K:$K=I2126), Facturas_Odoo!$N:$N, 0), 0))</f>
        <v/>
      </c>
      <c r="V2126" s="79">
        <f>IF(Q2126="Sin Factura",0,IFERROR(_xlfn.XLOOKUP(1, (Facturas_Odoo!$D:$D=A2126) * (Facturas_Odoo!$K:$K=I2126), Facturas_Odoo!$O:$O, 0), 0))</f>
        <v/>
      </c>
      <c r="W2126" s="81">
        <f>IF(Q2126="Sin Factura",0,IFERROR(_xlfn.XLOOKUP(1, (Facturas_Odoo!$D:$D=A2126) * (Facturas_Odoo!$K:$K=I2126), Facturas_Odoo!$Q:$Q, 0), 0))</f>
        <v/>
      </c>
      <c r="X2126" s="79">
        <f>IF(OR(Q2126="Sin Factura",Q2126=""),"",IFERROR(INDEX(Pagos_Odoo!$B:$B, MATCH(Q2126, Pagos_Odoo!$I:$I, 0)), "Sin Pago"))</f>
        <v/>
      </c>
      <c r="Y2126" s="79">
        <f>IF(X2126="Sin Pago","",IFERROR(INDEX(Pagos_Odoo!$C:$C, MATCH(X2126, Pagos_Odoo!$B:$B, 0)), ""))</f>
        <v/>
      </c>
      <c r="Z2126" s="80">
        <f>IF(X2126="Sin Pago","",IFERROR(INDEX(Pagos_Odoo!$A:$A, MATCH(X2126, Pagos_Odoo!$B:$B, 0)), ""))</f>
        <v/>
      </c>
      <c r="AA2126" s="79">
        <f>IF(X2126="Sin Pago","",IFERROR(INDEX(Pagos_Odoo!$F:$F, MATCH(X2126, Pagos_Odoo!$B:$B, 0)), ""))</f>
        <v/>
      </c>
      <c r="AB2126" s="81">
        <f>IF(X2126="Sin Pago",0,IFERROR(INDEX(Pagos_Odoo!$E:$E, MATCH(X2126, Pagos_Odoo!$B:$B, 0)), 0))</f>
        <v/>
      </c>
      <c r="AC2126" s="79">
        <f>IF(X2126="Sin Pago","",IFERROR(INDEX(Pagos_Odoo!$G:$G, MATCH(X2126, Pagos_Odoo!$B:$B, 0)), ""))</f>
        <v/>
      </c>
      <c r="AD2126" s="82" t="n">
        <v>0</v>
      </c>
      <c r="AE2126" s="82" t="n"/>
      <c r="AF2126" s="82" t="n"/>
      <c r="AG2126" s="82">
        <f>IF(AN2126="","",AD2126+AE2126+AF2126)</f>
        <v/>
      </c>
      <c r="AH2126" s="81">
        <f>IF(AN2126="","",P2126*(1-AG2126))</f>
        <v/>
      </c>
      <c r="AI2126" s="81">
        <f>IF(AN2126="","",IF(Q2126="Sin Factura",0,IFERROR(INDEX(Facturas_Odoo!$H:$H, MATCH(Q2126, Facturas_Odoo!$B:$B, 0)), 0)*(1-AG2126)))</f>
        <v/>
      </c>
      <c r="AJ2126" s="81">
        <f>IF(AN2126="","",_xlfn.LET(idVenta, AN2126&amp;"",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26" s="81">
        <f>IF(AN2126="","",AH2126-AJ2126)</f>
        <v/>
      </c>
      <c r="AL2126" s="81">
        <f>IF(AN2126="","",IF(Q2126="Sin Factura","",AI2126-AJ2126))</f>
        <v/>
      </c>
      <c r="AM2126" s="81">
        <f>IF(AN2126="","",IF(Q2126="Sin Factura",0,P2126-IFERROR(INDEX(Facturas_Odoo!$H:$H, MATCH(Q2126, Facturas_Odoo!$B:$B, 0)), 0)))</f>
        <v/>
      </c>
      <c r="AN2126" s="79">
        <f>IF(AND(A2126="", J2126=""), "", IF(A2126&lt;&gt;"", VALUE(MID(A2126,2,LEN(A2126))), AN2125))</f>
        <v/>
      </c>
      <c r="AO2126" s="79">
        <f>IF(AN2126="","",IF(AD2126=0,"OK",_xlfn.LET(monedaPago, IF(AA2126="","USD",AA2126), limitePermitido, IFERROR(VLOOKUP(monedaPago, Configuración!$A$2:$B$3, 2, FALSE), 0.15), IF(AD2126&gt;limitePermitido, "ALERTA: EXCESO (" &amp; TEXT(limitePermitido, "0%") &amp; " máx)", "OK"))))</f>
        <v/>
      </c>
      <c r="AP2126" s="79">
        <f>IF(AN2126="","",IF(AE2126=0,"OK",_xlfn.LET(fechaPago, Z2126, fechaFactura, R2126, diasCredito, IF(E2126="Pago inmediato", 0, IFERROR(VALUE(MID(E2126, 1, SEARCH(" ", E2126)-1)),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26" s="79">
        <f>IF(AN2126="","",IF(AND(N2126&gt;0, AG2126&gt;0), IF(Configuración!$K$2="NO", "ALERTA: DESCUENTO DOBLE NO PERMITIDO", "OK"), "OK"))</f>
        <v/>
      </c>
      <c r="AR2126" s="79">
        <f>IF(AN2126="","",IF(OR(AO2126&lt;&gt;"OK", AP2126&lt;&gt;"OK", AQ2126&lt;&gt;"OK"), "⚠️ REVISAR", "OK"))</f>
        <v/>
      </c>
    </row>
    <row r="2127">
      <c r="A2127" s="79">
        <f>IF('Ordenes_Odoo'!A2127="","",'Ordenes_Odoo'!A2127)</f>
        <v/>
      </c>
      <c r="B2127" s="80">
        <f>IF('Ordenes_Odoo'!B2127="","",'Ordenes_Odoo'!B2127)</f>
        <v/>
      </c>
      <c r="C2127" s="79">
        <f>IF('Ordenes_Odoo'!C2127="","",'Ordenes_Odoo'!C2127)</f>
        <v/>
      </c>
      <c r="D2127" s="79">
        <f>IF('Ordenes_Odoo'!D2127="","",'Ordenes_Odoo'!D2127)</f>
        <v/>
      </c>
      <c r="E2127" s="79">
        <f>IF('Ordenes_Odoo'!E2127="","",'Ordenes_Odoo'!E2127)</f>
        <v/>
      </c>
      <c r="F2127" s="79">
        <f>IF('Ordenes_Odoo'!F2127="","",'Ordenes_Odoo'!F2127)</f>
        <v/>
      </c>
      <c r="G2127" s="79">
        <f>IF('Ordenes_Odoo'!G2127="","",'Ordenes_Odoo'!G2127)</f>
        <v/>
      </c>
      <c r="H2127" s="79">
        <f>IF('Ordenes_Odoo'!H2127="","",'Ordenes_Odoo'!H2127)</f>
        <v/>
      </c>
      <c r="I2127" s="79">
        <f>IF('Ordenes_Odoo'!I2127="","",'Ordenes_Odoo'!I2127)</f>
        <v/>
      </c>
      <c r="J2127" s="79">
        <f>IF('Ordenes_Odoo'!J2127="","",'Ordenes_Odoo'!J2127)</f>
        <v/>
      </c>
      <c r="K2127" s="81">
        <f>IF('Ordenes_Odoo'!K2127="","",'Ordenes_Odoo'!K2127)</f>
        <v/>
      </c>
      <c r="L2127" s="81">
        <f>IF('Ordenes_Odoo'!L2127="","",'Ordenes_Odoo'!L2127)</f>
        <v/>
      </c>
      <c r="M2127" s="79">
        <f>IF('Ordenes_Odoo'!M2127="","",'Ordenes_Odoo'!M2127)</f>
        <v/>
      </c>
      <c r="N2127" s="79">
        <f>IF('Ordenes_Odoo'!N2127="","",'Ordenes_Odoo'!N2127)</f>
        <v/>
      </c>
      <c r="O2127" s="81">
        <f>IF('Ordenes_Odoo'!O2127="","",'Ordenes_Odoo'!O2127)</f>
        <v/>
      </c>
      <c r="P2127" s="81">
        <f>IF('Ordenes_Odoo'!P2127="","",'Ordenes_Odoo'!P2127)</f>
        <v/>
      </c>
      <c r="Q2127" s="79">
        <f>IF(A2127="","",IFERROR(INDEX(Facturas_Odoo!$B:$B, MATCH(A2127, Facturas_Odoo!$D:$D, 0)), "Sin Factura"))</f>
        <v/>
      </c>
      <c r="R2127" s="80">
        <f>IF(Q2127="Sin Factura","",IFERROR(INDEX(Facturas_Odoo!$A:$A, MATCH(Q2127, Facturas_Odoo!$B:$B, 0)), ""))</f>
        <v/>
      </c>
      <c r="S2127" s="79">
        <f>IF(Q2127="Sin Factura","",IFERROR(_xlfn.XLOOKUP(1, (Facturas_Odoo!$D:$D=A2127) * (Facturas_Odoo!$K:$K=I2127), Facturas_Odoo!$L:$L, ""), ""))</f>
        <v/>
      </c>
      <c r="T2127" s="81">
        <f>IF(Q2127="Sin Factura",0,IFERROR(_xlfn.XLOOKUP(1, (Facturas_Odoo!$D:$D=A2127) * (Facturas_Odoo!$K:$K=I2127), Facturas_Odoo!$M:$M, 0), 0))</f>
        <v/>
      </c>
      <c r="U2127" s="79">
        <f>IF(Q2127="Sin Factura",0,IFERROR(_xlfn.XLOOKUP(1, (Facturas_Odoo!$D:$D=A2127) * (Facturas_Odoo!$K:$K=I2127), Facturas_Odoo!$N:$N, 0), 0))</f>
        <v/>
      </c>
      <c r="V2127" s="79">
        <f>IF(Q2127="Sin Factura",0,IFERROR(_xlfn.XLOOKUP(1, (Facturas_Odoo!$D:$D=A2127) * (Facturas_Odoo!$K:$K=I2127), Facturas_Odoo!$O:$O, 0), 0))</f>
        <v/>
      </c>
      <c r="W2127" s="81">
        <f>IF(Q2127="Sin Factura",0,IFERROR(_xlfn.XLOOKUP(1, (Facturas_Odoo!$D:$D=A2127) * (Facturas_Odoo!$K:$K=I2127), Facturas_Odoo!$Q:$Q, 0), 0))</f>
        <v/>
      </c>
      <c r="X2127" s="79">
        <f>IF(OR(Q2127="Sin Factura",Q2127=""),"",IFERROR(INDEX(Pagos_Odoo!$B:$B, MATCH(Q2127, Pagos_Odoo!$I:$I, 0)), "Sin Pago"))</f>
        <v/>
      </c>
      <c r="Y2127" s="79">
        <f>IF(X2127="Sin Pago","",IFERROR(INDEX(Pagos_Odoo!$C:$C, MATCH(X2127, Pagos_Odoo!$B:$B, 0)), ""))</f>
        <v/>
      </c>
      <c r="Z2127" s="80">
        <f>IF(X2127="Sin Pago","",IFERROR(INDEX(Pagos_Odoo!$A:$A, MATCH(X2127, Pagos_Odoo!$B:$B, 0)), ""))</f>
        <v/>
      </c>
      <c r="AA2127" s="79">
        <f>IF(X2127="Sin Pago","",IFERROR(INDEX(Pagos_Odoo!$F:$F, MATCH(X2127, Pagos_Odoo!$B:$B, 0)), ""))</f>
        <v/>
      </c>
      <c r="AB2127" s="81">
        <f>IF(X2127="Sin Pago",0,IFERROR(INDEX(Pagos_Odoo!$E:$E, MATCH(X2127, Pagos_Odoo!$B:$B, 0)), 0))</f>
        <v/>
      </c>
      <c r="AC2127" s="79">
        <f>IF(X2127="Sin Pago","",IFERROR(INDEX(Pagos_Odoo!$G:$G, MATCH(X2127, Pagos_Odoo!$B:$B, 0)), ""))</f>
        <v/>
      </c>
      <c r="AD2127" s="82" t="n">
        <v>0</v>
      </c>
      <c r="AE2127" s="82" t="n"/>
      <c r="AF2127" s="82" t="n"/>
      <c r="AG2127" s="82">
        <f>IF(AN2127="","",AD2127+AE2127+AF2127)</f>
        <v/>
      </c>
      <c r="AH2127" s="81">
        <f>IF(AN2127="","",P2127*(1-AG2127))</f>
        <v/>
      </c>
      <c r="AI2127" s="81">
        <f>IF(AN2127="","",IF(Q2127="Sin Factura",0,IFERROR(INDEX(Facturas_Odoo!$H:$H, MATCH(Q2127, Facturas_Odoo!$B:$B, 0)), 0)*(1-AG2127)))</f>
        <v/>
      </c>
      <c r="AJ2127" s="81">
        <f>IF(AN2127="","",_xlfn.LET(idVenta, AN2127&amp;"",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27" s="81">
        <f>IF(AN2127="","",AH2127-AJ2127)</f>
        <v/>
      </c>
      <c r="AL2127" s="81">
        <f>IF(AN2127="","",IF(Q2127="Sin Factura","",AI2127-AJ2127))</f>
        <v/>
      </c>
      <c r="AM2127" s="81">
        <f>IF(AN2127="","",IF(Q2127="Sin Factura",0,P2127-IFERROR(INDEX(Facturas_Odoo!$H:$H, MATCH(Q2127, Facturas_Odoo!$B:$B, 0)), 0)))</f>
        <v/>
      </c>
      <c r="AN2127" s="79">
        <f>IF(AND(A2127="", J2127=""), "", IF(A2127&lt;&gt;"", VALUE(MID(A2127,2,LEN(A2127))), AN2126))</f>
        <v/>
      </c>
      <c r="AO2127" s="79">
        <f>IF(AN2127="","",IF(AD2127=0,"OK",_xlfn.LET(monedaPago, IF(AA2127="","USD",AA2127), limitePermitido, IFERROR(VLOOKUP(monedaPago, Configuración!$A$2:$B$3, 2, FALSE), 0.15), IF(AD2127&gt;limitePermitido, "ALERTA: EXCESO (" &amp; TEXT(limitePermitido, "0%") &amp; " máx)", "OK"))))</f>
        <v/>
      </c>
      <c r="AP2127" s="79">
        <f>IF(AN2127="","",IF(AE2127=0,"OK",_xlfn.LET(fechaPago, Z2127, fechaFactura, R2127, diasCredito, IF(E2127="Pago inmediato", 0, IFERROR(VALUE(MID(E2127, 1, SEARCH(" ", E2127)-1)),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27" s="79">
        <f>IF(AN2127="","",IF(AND(N2127&gt;0, AG2127&gt;0), IF(Configuración!$K$2="NO", "ALERTA: DESCUENTO DOBLE NO PERMITIDO", "OK"), "OK"))</f>
        <v/>
      </c>
      <c r="AR2127" s="79">
        <f>IF(AN2127="","",IF(OR(AO2127&lt;&gt;"OK", AP2127&lt;&gt;"OK", AQ2127&lt;&gt;"OK"), "⚠️ REVISAR", "OK"))</f>
        <v/>
      </c>
    </row>
    <row r="2128">
      <c r="A2128" s="79">
        <f>IF('Ordenes_Odoo'!A2128="","",'Ordenes_Odoo'!A2128)</f>
        <v/>
      </c>
      <c r="B2128" s="80">
        <f>IF('Ordenes_Odoo'!B2128="","",'Ordenes_Odoo'!B2128)</f>
        <v/>
      </c>
      <c r="C2128" s="79">
        <f>IF('Ordenes_Odoo'!C2128="","",'Ordenes_Odoo'!C2128)</f>
        <v/>
      </c>
      <c r="D2128" s="79">
        <f>IF('Ordenes_Odoo'!D2128="","",'Ordenes_Odoo'!D2128)</f>
        <v/>
      </c>
      <c r="E2128" s="79">
        <f>IF('Ordenes_Odoo'!E2128="","",'Ordenes_Odoo'!E2128)</f>
        <v/>
      </c>
      <c r="F2128" s="79">
        <f>IF('Ordenes_Odoo'!F2128="","",'Ordenes_Odoo'!F2128)</f>
        <v/>
      </c>
      <c r="G2128" s="79">
        <f>IF('Ordenes_Odoo'!G2128="","",'Ordenes_Odoo'!G2128)</f>
        <v/>
      </c>
      <c r="H2128" s="79">
        <f>IF('Ordenes_Odoo'!H2128="","",'Ordenes_Odoo'!H2128)</f>
        <v/>
      </c>
      <c r="I2128" s="79">
        <f>IF('Ordenes_Odoo'!I2128="","",'Ordenes_Odoo'!I2128)</f>
        <v/>
      </c>
      <c r="J2128" s="79">
        <f>IF('Ordenes_Odoo'!J2128="","",'Ordenes_Odoo'!J2128)</f>
        <v/>
      </c>
      <c r="K2128" s="81">
        <f>IF('Ordenes_Odoo'!K2128="","",'Ordenes_Odoo'!K2128)</f>
        <v/>
      </c>
      <c r="L2128" s="81">
        <f>IF('Ordenes_Odoo'!L2128="","",'Ordenes_Odoo'!L2128)</f>
        <v/>
      </c>
      <c r="M2128" s="79">
        <f>IF('Ordenes_Odoo'!M2128="","",'Ordenes_Odoo'!M2128)</f>
        <v/>
      </c>
      <c r="N2128" s="79">
        <f>IF('Ordenes_Odoo'!N2128="","",'Ordenes_Odoo'!N2128)</f>
        <v/>
      </c>
      <c r="O2128" s="81">
        <f>IF('Ordenes_Odoo'!O2128="","",'Ordenes_Odoo'!O2128)</f>
        <v/>
      </c>
      <c r="P2128" s="81">
        <f>IF('Ordenes_Odoo'!P2128="","",'Ordenes_Odoo'!P2128)</f>
        <v/>
      </c>
      <c r="Q2128" s="79">
        <f>IF(A2128="","",IFERROR(INDEX(Facturas_Odoo!$B:$B, MATCH(A2128, Facturas_Odoo!$D:$D, 0)), "Sin Factura"))</f>
        <v/>
      </c>
      <c r="R2128" s="80">
        <f>IF(Q2128="Sin Factura","",IFERROR(INDEX(Facturas_Odoo!$A:$A, MATCH(Q2128, Facturas_Odoo!$B:$B, 0)), ""))</f>
        <v/>
      </c>
      <c r="S2128" s="79">
        <f>IF(Q2128="Sin Factura","",IFERROR(_xlfn.XLOOKUP(1, (Facturas_Odoo!$D:$D=A2128) * (Facturas_Odoo!$K:$K=I2128), Facturas_Odoo!$L:$L, ""), ""))</f>
        <v/>
      </c>
      <c r="T2128" s="81">
        <f>IF(Q2128="Sin Factura",0,IFERROR(_xlfn.XLOOKUP(1, (Facturas_Odoo!$D:$D=A2128) * (Facturas_Odoo!$K:$K=I2128), Facturas_Odoo!$M:$M, 0), 0))</f>
        <v/>
      </c>
      <c r="U2128" s="79">
        <f>IF(Q2128="Sin Factura",0,IFERROR(_xlfn.XLOOKUP(1, (Facturas_Odoo!$D:$D=A2128) * (Facturas_Odoo!$K:$K=I2128), Facturas_Odoo!$N:$N, 0), 0))</f>
        <v/>
      </c>
      <c r="V2128" s="79">
        <f>IF(Q2128="Sin Factura",0,IFERROR(_xlfn.XLOOKUP(1, (Facturas_Odoo!$D:$D=A2128) * (Facturas_Odoo!$K:$K=I2128), Facturas_Odoo!$O:$O, 0), 0))</f>
        <v/>
      </c>
      <c r="W2128" s="81">
        <f>IF(Q2128="Sin Factura",0,IFERROR(_xlfn.XLOOKUP(1, (Facturas_Odoo!$D:$D=A2128) * (Facturas_Odoo!$K:$K=I2128), Facturas_Odoo!$Q:$Q, 0), 0))</f>
        <v/>
      </c>
      <c r="X2128" s="79">
        <f>IF(OR(Q2128="Sin Factura",Q2128=""),"",IFERROR(INDEX(Pagos_Odoo!$B:$B, MATCH(Q2128, Pagos_Odoo!$I:$I, 0)), "Sin Pago"))</f>
        <v/>
      </c>
      <c r="Y2128" s="79">
        <f>IF(X2128="Sin Pago","",IFERROR(INDEX(Pagos_Odoo!$C:$C, MATCH(X2128, Pagos_Odoo!$B:$B, 0)), ""))</f>
        <v/>
      </c>
      <c r="Z2128" s="80">
        <f>IF(X2128="Sin Pago","",IFERROR(INDEX(Pagos_Odoo!$A:$A, MATCH(X2128, Pagos_Odoo!$B:$B, 0)), ""))</f>
        <v/>
      </c>
      <c r="AA2128" s="79">
        <f>IF(X2128="Sin Pago","",IFERROR(INDEX(Pagos_Odoo!$F:$F, MATCH(X2128, Pagos_Odoo!$B:$B, 0)), ""))</f>
        <v/>
      </c>
      <c r="AB2128" s="81">
        <f>IF(X2128="Sin Pago",0,IFERROR(INDEX(Pagos_Odoo!$E:$E, MATCH(X2128, Pagos_Odoo!$B:$B, 0)), 0))</f>
        <v/>
      </c>
      <c r="AC2128" s="79">
        <f>IF(X2128="Sin Pago","",IFERROR(INDEX(Pagos_Odoo!$G:$G, MATCH(X2128, Pagos_Odoo!$B:$B, 0)), ""))</f>
        <v/>
      </c>
      <c r="AD2128" s="82" t="n">
        <v>0</v>
      </c>
      <c r="AE2128" s="82" t="n"/>
      <c r="AF2128" s="82" t="n"/>
      <c r="AG2128" s="82">
        <f>IF(AN2128="","",AD2128+AE2128+AF2128)</f>
        <v/>
      </c>
      <c r="AH2128" s="81">
        <f>IF(AN2128="","",P2128*(1-AG2128))</f>
        <v/>
      </c>
      <c r="AI2128" s="81">
        <f>IF(AN2128="","",IF(Q2128="Sin Factura",0,IFERROR(INDEX(Facturas_Odoo!$H:$H, MATCH(Q2128, Facturas_Odoo!$B:$B, 0)), 0)*(1-AG2128)))</f>
        <v/>
      </c>
      <c r="AJ2128" s="81">
        <f>IF(AN2128="","",_xlfn.LET(idVenta, AN2128&amp;"",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28" s="81">
        <f>IF(AN2128="","",AH2128-AJ2128)</f>
        <v/>
      </c>
      <c r="AL2128" s="81">
        <f>IF(AN2128="","",IF(Q2128="Sin Factura","",AI2128-AJ2128))</f>
        <v/>
      </c>
      <c r="AM2128" s="81">
        <f>IF(AN2128="","",IF(Q2128="Sin Factura",0,P2128-IFERROR(INDEX(Facturas_Odoo!$H:$H, MATCH(Q2128, Facturas_Odoo!$B:$B, 0)), 0)))</f>
        <v/>
      </c>
      <c r="AN2128" s="79">
        <f>IF(AND(A2128="", J2128=""), "", IF(A2128&lt;&gt;"", VALUE(MID(A2128,2,LEN(A2128))), AN2127))</f>
        <v/>
      </c>
      <c r="AO2128" s="79">
        <f>IF(AN2128="","",IF(AD2128=0,"OK",_xlfn.LET(monedaPago, IF(AA2128="","USD",AA2128), limitePermitido, IFERROR(VLOOKUP(monedaPago, Configuración!$A$2:$B$3, 2, FALSE), 0.15), IF(AD2128&gt;limitePermitido, "ALERTA: EXCESO (" &amp; TEXT(limitePermitido, "0%") &amp; " máx)", "OK"))))</f>
        <v/>
      </c>
      <c r="AP2128" s="79">
        <f>IF(AN2128="","",IF(AE2128=0,"OK",_xlfn.LET(fechaPago, Z2128, fechaFactura, R2128, diasCredito, IF(E2128="Pago inmediato", 0, IFERROR(VALUE(MID(E2128, 1, SEARCH(" ", E2128)-1)),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28" s="79">
        <f>IF(AN2128="","",IF(AND(N2128&gt;0, AG2128&gt;0), IF(Configuración!$K$2="NO", "ALERTA: DESCUENTO DOBLE NO PERMITIDO", "OK"), "OK"))</f>
        <v/>
      </c>
      <c r="AR2128" s="79">
        <f>IF(AN2128="","",IF(OR(AO2128&lt;&gt;"OK", AP2128&lt;&gt;"OK", AQ2128&lt;&gt;"OK"), "⚠️ REVISAR", "OK"))</f>
        <v/>
      </c>
    </row>
    <row r="2129">
      <c r="A2129" s="79">
        <f>IF('Ordenes_Odoo'!A2129="","",'Ordenes_Odoo'!A2129)</f>
        <v/>
      </c>
      <c r="B2129" s="80">
        <f>IF('Ordenes_Odoo'!B2129="","",'Ordenes_Odoo'!B2129)</f>
        <v/>
      </c>
      <c r="C2129" s="79">
        <f>IF('Ordenes_Odoo'!C2129="","",'Ordenes_Odoo'!C2129)</f>
        <v/>
      </c>
      <c r="D2129" s="79">
        <f>IF('Ordenes_Odoo'!D2129="","",'Ordenes_Odoo'!D2129)</f>
        <v/>
      </c>
      <c r="E2129" s="79">
        <f>IF('Ordenes_Odoo'!E2129="","",'Ordenes_Odoo'!E2129)</f>
        <v/>
      </c>
      <c r="F2129" s="79">
        <f>IF('Ordenes_Odoo'!F2129="","",'Ordenes_Odoo'!F2129)</f>
        <v/>
      </c>
      <c r="G2129" s="79">
        <f>IF('Ordenes_Odoo'!G2129="","",'Ordenes_Odoo'!G2129)</f>
        <v/>
      </c>
      <c r="H2129" s="79">
        <f>IF('Ordenes_Odoo'!H2129="","",'Ordenes_Odoo'!H2129)</f>
        <v/>
      </c>
      <c r="I2129" s="79">
        <f>IF('Ordenes_Odoo'!I2129="","",'Ordenes_Odoo'!I2129)</f>
        <v/>
      </c>
      <c r="J2129" s="79">
        <f>IF('Ordenes_Odoo'!J2129="","",'Ordenes_Odoo'!J2129)</f>
        <v/>
      </c>
      <c r="K2129" s="81">
        <f>IF('Ordenes_Odoo'!K2129="","",'Ordenes_Odoo'!K2129)</f>
        <v/>
      </c>
      <c r="L2129" s="81">
        <f>IF('Ordenes_Odoo'!L2129="","",'Ordenes_Odoo'!L2129)</f>
        <v/>
      </c>
      <c r="M2129" s="79">
        <f>IF('Ordenes_Odoo'!M2129="","",'Ordenes_Odoo'!M2129)</f>
        <v/>
      </c>
      <c r="N2129" s="79">
        <f>IF('Ordenes_Odoo'!N2129="","",'Ordenes_Odoo'!N2129)</f>
        <v/>
      </c>
      <c r="O2129" s="81">
        <f>IF('Ordenes_Odoo'!O2129="","",'Ordenes_Odoo'!O2129)</f>
        <v/>
      </c>
      <c r="P2129" s="81">
        <f>IF('Ordenes_Odoo'!P2129="","",'Ordenes_Odoo'!P2129)</f>
        <v/>
      </c>
      <c r="Q2129" s="79">
        <f>IF(A2129="","",IFERROR(INDEX(Facturas_Odoo!$B:$B, MATCH(A2129, Facturas_Odoo!$D:$D, 0)), "Sin Factura"))</f>
        <v/>
      </c>
      <c r="R2129" s="80">
        <f>IF(Q2129="Sin Factura","",IFERROR(INDEX(Facturas_Odoo!$A:$A, MATCH(Q2129, Facturas_Odoo!$B:$B, 0)), ""))</f>
        <v/>
      </c>
      <c r="S2129" s="79">
        <f>IF(Q2129="Sin Factura","",IFERROR(_xlfn.XLOOKUP(1, (Facturas_Odoo!$D:$D=A2129) * (Facturas_Odoo!$K:$K=I2129), Facturas_Odoo!$L:$L, ""), ""))</f>
        <v/>
      </c>
      <c r="T2129" s="81">
        <f>IF(Q2129="Sin Factura",0,IFERROR(_xlfn.XLOOKUP(1, (Facturas_Odoo!$D:$D=A2129) * (Facturas_Odoo!$K:$K=I2129), Facturas_Odoo!$M:$M, 0), 0))</f>
        <v/>
      </c>
      <c r="U2129" s="79">
        <f>IF(Q2129="Sin Factura",0,IFERROR(_xlfn.XLOOKUP(1, (Facturas_Odoo!$D:$D=A2129) * (Facturas_Odoo!$K:$K=I2129), Facturas_Odoo!$N:$N, 0), 0))</f>
        <v/>
      </c>
      <c r="V2129" s="79">
        <f>IF(Q2129="Sin Factura",0,IFERROR(_xlfn.XLOOKUP(1, (Facturas_Odoo!$D:$D=A2129) * (Facturas_Odoo!$K:$K=I2129), Facturas_Odoo!$O:$O, 0), 0))</f>
        <v/>
      </c>
      <c r="W2129" s="81">
        <f>IF(Q2129="Sin Factura",0,IFERROR(_xlfn.XLOOKUP(1, (Facturas_Odoo!$D:$D=A2129) * (Facturas_Odoo!$K:$K=I2129), Facturas_Odoo!$Q:$Q, 0), 0))</f>
        <v/>
      </c>
      <c r="X2129" s="79">
        <f>IF(OR(Q2129="Sin Factura",Q2129=""),"",IFERROR(INDEX(Pagos_Odoo!$B:$B, MATCH(Q2129, Pagos_Odoo!$I:$I, 0)), "Sin Pago"))</f>
        <v/>
      </c>
      <c r="Y2129" s="79">
        <f>IF(X2129="Sin Pago","",IFERROR(INDEX(Pagos_Odoo!$C:$C, MATCH(X2129, Pagos_Odoo!$B:$B, 0)), ""))</f>
        <v/>
      </c>
      <c r="Z2129" s="80">
        <f>IF(X2129="Sin Pago","",IFERROR(INDEX(Pagos_Odoo!$A:$A, MATCH(X2129, Pagos_Odoo!$B:$B, 0)), ""))</f>
        <v/>
      </c>
      <c r="AA2129" s="79">
        <f>IF(X2129="Sin Pago","",IFERROR(INDEX(Pagos_Odoo!$F:$F, MATCH(X2129, Pagos_Odoo!$B:$B, 0)), ""))</f>
        <v/>
      </c>
      <c r="AB2129" s="81">
        <f>IF(X2129="Sin Pago",0,IFERROR(INDEX(Pagos_Odoo!$E:$E, MATCH(X2129, Pagos_Odoo!$B:$B, 0)), 0))</f>
        <v/>
      </c>
      <c r="AC2129" s="79">
        <f>IF(X2129="Sin Pago","",IFERROR(INDEX(Pagos_Odoo!$G:$G, MATCH(X2129, Pagos_Odoo!$B:$B, 0)), ""))</f>
        <v/>
      </c>
      <c r="AD2129" s="82" t="n">
        <v>0</v>
      </c>
      <c r="AE2129" s="82" t="n"/>
      <c r="AF2129" s="82" t="n"/>
      <c r="AG2129" s="82">
        <f>IF(AN2129="","",AD2129+AE2129+AF2129)</f>
        <v/>
      </c>
      <c r="AH2129" s="81">
        <f>IF(AN2129="","",P2129*(1-AG2129))</f>
        <v/>
      </c>
      <c r="AI2129" s="81">
        <f>IF(AN2129="","",IF(Q2129="Sin Factura",0,IFERROR(INDEX(Facturas_Odoo!$H:$H, MATCH(Q2129, Facturas_Odoo!$B:$B, 0)), 0)*(1-AG2129)))</f>
        <v/>
      </c>
      <c r="AJ2129" s="81">
        <f>IF(AN2129="","",_xlfn.LET(idVenta, AN2129&amp;"",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29" s="81">
        <f>IF(AN2129="","",AH2129-AJ2129)</f>
        <v/>
      </c>
      <c r="AL2129" s="81">
        <f>IF(AN2129="","",IF(Q2129="Sin Factura","",AI2129-AJ2129))</f>
        <v/>
      </c>
      <c r="AM2129" s="81">
        <f>IF(AN2129="","",IF(Q2129="Sin Factura",0,P2129-IFERROR(INDEX(Facturas_Odoo!$H:$H, MATCH(Q2129, Facturas_Odoo!$B:$B, 0)), 0)))</f>
        <v/>
      </c>
      <c r="AN2129" s="79">
        <f>IF(AND(A2129="", J2129=""), "", IF(A2129&lt;&gt;"", VALUE(MID(A2129,2,LEN(A2129))), AN2128))</f>
        <v/>
      </c>
      <c r="AO2129" s="79">
        <f>IF(AN2129="","",IF(AD2129=0,"OK",_xlfn.LET(monedaPago, IF(AA2129="","USD",AA2129), limitePermitido, IFERROR(VLOOKUP(monedaPago, Configuración!$A$2:$B$3, 2, FALSE), 0.15), IF(AD2129&gt;limitePermitido, "ALERTA: EXCESO (" &amp; TEXT(limitePermitido, "0%") &amp; " máx)", "OK"))))</f>
        <v/>
      </c>
      <c r="AP2129" s="79">
        <f>IF(AN2129="","",IF(AE2129=0,"OK",_xlfn.LET(fechaPago, Z2129, fechaFactura, R2129, diasCredito, IF(E2129="Pago inmediato", 0, IFERROR(VALUE(MID(E2129, 1, SEARCH(" ", E2129)-1)),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29" s="79">
        <f>IF(AN2129="","",IF(AND(N2129&gt;0, AG2129&gt;0), IF(Configuración!$K$2="NO", "ALERTA: DESCUENTO DOBLE NO PERMITIDO", "OK"), "OK"))</f>
        <v/>
      </c>
      <c r="AR2129" s="79">
        <f>IF(AN2129="","",IF(OR(AO2129&lt;&gt;"OK", AP2129&lt;&gt;"OK", AQ2129&lt;&gt;"OK"), "⚠️ REVISAR", "OK"))</f>
        <v/>
      </c>
    </row>
    <row r="2130">
      <c r="A2130" s="79">
        <f>IF('Ordenes_Odoo'!A2130="","",'Ordenes_Odoo'!A2130)</f>
        <v/>
      </c>
      <c r="B2130" s="80">
        <f>IF('Ordenes_Odoo'!B2130="","",'Ordenes_Odoo'!B2130)</f>
        <v/>
      </c>
      <c r="C2130" s="79">
        <f>IF('Ordenes_Odoo'!C2130="","",'Ordenes_Odoo'!C2130)</f>
        <v/>
      </c>
      <c r="D2130" s="79">
        <f>IF('Ordenes_Odoo'!D2130="","",'Ordenes_Odoo'!D2130)</f>
        <v/>
      </c>
      <c r="E2130" s="79">
        <f>IF('Ordenes_Odoo'!E2130="","",'Ordenes_Odoo'!E2130)</f>
        <v/>
      </c>
      <c r="F2130" s="79">
        <f>IF('Ordenes_Odoo'!F2130="","",'Ordenes_Odoo'!F2130)</f>
        <v/>
      </c>
      <c r="G2130" s="79">
        <f>IF('Ordenes_Odoo'!G2130="","",'Ordenes_Odoo'!G2130)</f>
        <v/>
      </c>
      <c r="H2130" s="79">
        <f>IF('Ordenes_Odoo'!H2130="","",'Ordenes_Odoo'!H2130)</f>
        <v/>
      </c>
      <c r="I2130" s="79">
        <f>IF('Ordenes_Odoo'!I2130="","",'Ordenes_Odoo'!I2130)</f>
        <v/>
      </c>
      <c r="J2130" s="79">
        <f>IF('Ordenes_Odoo'!J2130="","",'Ordenes_Odoo'!J2130)</f>
        <v/>
      </c>
      <c r="K2130" s="81">
        <f>IF('Ordenes_Odoo'!K2130="","",'Ordenes_Odoo'!K2130)</f>
        <v/>
      </c>
      <c r="L2130" s="81">
        <f>IF('Ordenes_Odoo'!L2130="","",'Ordenes_Odoo'!L2130)</f>
        <v/>
      </c>
      <c r="M2130" s="79">
        <f>IF('Ordenes_Odoo'!M2130="","",'Ordenes_Odoo'!M2130)</f>
        <v/>
      </c>
      <c r="N2130" s="79">
        <f>IF('Ordenes_Odoo'!N2130="","",'Ordenes_Odoo'!N2130)</f>
        <v/>
      </c>
      <c r="O2130" s="81">
        <f>IF('Ordenes_Odoo'!O2130="","",'Ordenes_Odoo'!O2130)</f>
        <v/>
      </c>
      <c r="P2130" s="81">
        <f>IF('Ordenes_Odoo'!P2130="","",'Ordenes_Odoo'!P2130)</f>
        <v/>
      </c>
      <c r="Q2130" s="79">
        <f>IF(A2130="","",IFERROR(INDEX(Facturas_Odoo!$B:$B, MATCH(A2130, Facturas_Odoo!$D:$D, 0)), "Sin Factura"))</f>
        <v/>
      </c>
      <c r="R2130" s="80">
        <f>IF(Q2130="Sin Factura","",IFERROR(INDEX(Facturas_Odoo!$A:$A, MATCH(Q2130, Facturas_Odoo!$B:$B, 0)), ""))</f>
        <v/>
      </c>
      <c r="S2130" s="79">
        <f>IF(Q2130="Sin Factura","",IFERROR(_xlfn.XLOOKUP(1, (Facturas_Odoo!$D:$D=A2130) * (Facturas_Odoo!$K:$K=I2130), Facturas_Odoo!$L:$L, ""), ""))</f>
        <v/>
      </c>
      <c r="T2130" s="81">
        <f>IF(Q2130="Sin Factura",0,IFERROR(_xlfn.XLOOKUP(1, (Facturas_Odoo!$D:$D=A2130) * (Facturas_Odoo!$K:$K=I2130), Facturas_Odoo!$M:$M, 0), 0))</f>
        <v/>
      </c>
      <c r="U2130" s="79">
        <f>IF(Q2130="Sin Factura",0,IFERROR(_xlfn.XLOOKUP(1, (Facturas_Odoo!$D:$D=A2130) * (Facturas_Odoo!$K:$K=I2130), Facturas_Odoo!$N:$N, 0), 0))</f>
        <v/>
      </c>
      <c r="V2130" s="79">
        <f>IF(Q2130="Sin Factura",0,IFERROR(_xlfn.XLOOKUP(1, (Facturas_Odoo!$D:$D=A2130) * (Facturas_Odoo!$K:$K=I2130), Facturas_Odoo!$O:$O, 0), 0))</f>
        <v/>
      </c>
      <c r="W2130" s="81">
        <f>IF(Q2130="Sin Factura",0,IFERROR(_xlfn.XLOOKUP(1, (Facturas_Odoo!$D:$D=A2130) * (Facturas_Odoo!$K:$K=I2130), Facturas_Odoo!$Q:$Q, 0), 0))</f>
        <v/>
      </c>
      <c r="X2130" s="79">
        <f>IF(OR(Q2130="Sin Factura",Q2130=""),"",IFERROR(INDEX(Pagos_Odoo!$B:$B, MATCH(Q2130, Pagos_Odoo!$I:$I, 0)), "Sin Pago"))</f>
        <v/>
      </c>
      <c r="Y2130" s="79">
        <f>IF(X2130="Sin Pago","",IFERROR(INDEX(Pagos_Odoo!$C:$C, MATCH(X2130, Pagos_Odoo!$B:$B, 0)), ""))</f>
        <v/>
      </c>
      <c r="Z2130" s="80">
        <f>IF(X2130="Sin Pago","",IFERROR(INDEX(Pagos_Odoo!$A:$A, MATCH(X2130, Pagos_Odoo!$B:$B, 0)), ""))</f>
        <v/>
      </c>
      <c r="AA2130" s="79">
        <f>IF(X2130="Sin Pago","",IFERROR(INDEX(Pagos_Odoo!$F:$F, MATCH(X2130, Pagos_Odoo!$B:$B, 0)), ""))</f>
        <v/>
      </c>
      <c r="AB2130" s="81">
        <f>IF(X2130="Sin Pago",0,IFERROR(INDEX(Pagos_Odoo!$E:$E, MATCH(X2130, Pagos_Odoo!$B:$B, 0)), 0))</f>
        <v/>
      </c>
      <c r="AC2130" s="79">
        <f>IF(X2130="Sin Pago","",IFERROR(INDEX(Pagos_Odoo!$G:$G, MATCH(X2130, Pagos_Odoo!$B:$B, 0)), ""))</f>
        <v/>
      </c>
      <c r="AD2130" s="82" t="n">
        <v>0</v>
      </c>
      <c r="AE2130" s="82" t="n"/>
      <c r="AF2130" s="82" t="n"/>
      <c r="AG2130" s="82">
        <f>IF(AN2130="","",AD2130+AE2130+AF2130)</f>
        <v/>
      </c>
      <c r="AH2130" s="81">
        <f>IF(AN2130="","",P2130*(1-AG2130))</f>
        <v/>
      </c>
      <c r="AI2130" s="81">
        <f>IF(AN2130="","",IF(Q2130="Sin Factura",0,IFERROR(INDEX(Facturas_Odoo!$H:$H, MATCH(Q2130, Facturas_Odoo!$B:$B, 0)), 0)*(1-AG2130)))</f>
        <v/>
      </c>
      <c r="AJ2130" s="81">
        <f>IF(AN2130="","",_xlfn.LET(idVenta, AN2130&amp;"",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30" s="81">
        <f>IF(AN2130="","",AH2130-AJ2130)</f>
        <v/>
      </c>
      <c r="AL2130" s="81">
        <f>IF(AN2130="","",IF(Q2130="Sin Factura","",AI2130-AJ2130))</f>
        <v/>
      </c>
      <c r="AM2130" s="81">
        <f>IF(AN2130="","",IF(Q2130="Sin Factura",0,P2130-IFERROR(INDEX(Facturas_Odoo!$H:$H, MATCH(Q2130, Facturas_Odoo!$B:$B, 0)), 0)))</f>
        <v/>
      </c>
      <c r="AN2130" s="79">
        <f>IF(AND(A2130="", J2130=""), "", IF(A2130&lt;&gt;"", VALUE(MID(A2130,2,LEN(A2130))), AN2129))</f>
        <v/>
      </c>
      <c r="AO2130" s="79">
        <f>IF(AN2130="","",IF(AD2130=0,"OK",_xlfn.LET(monedaPago, IF(AA2130="","USD",AA2130), limitePermitido, IFERROR(VLOOKUP(monedaPago, Configuración!$A$2:$B$3, 2, FALSE), 0.15), IF(AD2130&gt;limitePermitido, "ALERTA: EXCESO (" &amp; TEXT(limitePermitido, "0%") &amp; " máx)", "OK"))))</f>
        <v/>
      </c>
      <c r="AP2130" s="79">
        <f>IF(AN2130="","",IF(AE2130=0,"OK",_xlfn.LET(fechaPago, Z2130, fechaFactura, R2130, diasCredito, IF(E2130="Pago inmediato", 0, IFERROR(VALUE(MID(E2130, 1, SEARCH(" ", E2130)-1)),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30" s="79">
        <f>IF(AN2130="","",IF(AND(N2130&gt;0, AG2130&gt;0), IF(Configuración!$K$2="NO", "ALERTA: DESCUENTO DOBLE NO PERMITIDO", "OK"), "OK"))</f>
        <v/>
      </c>
      <c r="AR2130" s="79">
        <f>IF(AN2130="","",IF(OR(AO2130&lt;&gt;"OK", AP2130&lt;&gt;"OK", AQ2130&lt;&gt;"OK"), "⚠️ REVISAR", "OK"))</f>
        <v/>
      </c>
    </row>
    <row r="2131">
      <c r="A2131" s="79">
        <f>IF('Ordenes_Odoo'!A2131="","",'Ordenes_Odoo'!A2131)</f>
        <v/>
      </c>
      <c r="B2131" s="80">
        <f>IF('Ordenes_Odoo'!B2131="","",'Ordenes_Odoo'!B2131)</f>
        <v/>
      </c>
      <c r="C2131" s="79">
        <f>IF('Ordenes_Odoo'!C2131="","",'Ordenes_Odoo'!C2131)</f>
        <v/>
      </c>
      <c r="D2131" s="79">
        <f>IF('Ordenes_Odoo'!D2131="","",'Ordenes_Odoo'!D2131)</f>
        <v/>
      </c>
      <c r="E2131" s="79">
        <f>IF('Ordenes_Odoo'!E2131="","",'Ordenes_Odoo'!E2131)</f>
        <v/>
      </c>
      <c r="F2131" s="79">
        <f>IF('Ordenes_Odoo'!F2131="","",'Ordenes_Odoo'!F2131)</f>
        <v/>
      </c>
      <c r="G2131" s="79">
        <f>IF('Ordenes_Odoo'!G2131="","",'Ordenes_Odoo'!G2131)</f>
        <v/>
      </c>
      <c r="H2131" s="79">
        <f>IF('Ordenes_Odoo'!H2131="","",'Ordenes_Odoo'!H2131)</f>
        <v/>
      </c>
      <c r="I2131" s="79">
        <f>IF('Ordenes_Odoo'!I2131="","",'Ordenes_Odoo'!I2131)</f>
        <v/>
      </c>
      <c r="J2131" s="79">
        <f>IF('Ordenes_Odoo'!J2131="","",'Ordenes_Odoo'!J2131)</f>
        <v/>
      </c>
      <c r="K2131" s="81">
        <f>IF('Ordenes_Odoo'!K2131="","",'Ordenes_Odoo'!K2131)</f>
        <v/>
      </c>
      <c r="L2131" s="81">
        <f>IF('Ordenes_Odoo'!L2131="","",'Ordenes_Odoo'!L2131)</f>
        <v/>
      </c>
      <c r="M2131" s="79">
        <f>IF('Ordenes_Odoo'!M2131="","",'Ordenes_Odoo'!M2131)</f>
        <v/>
      </c>
      <c r="N2131" s="79">
        <f>IF('Ordenes_Odoo'!N2131="","",'Ordenes_Odoo'!N2131)</f>
        <v/>
      </c>
      <c r="O2131" s="81">
        <f>IF('Ordenes_Odoo'!O2131="","",'Ordenes_Odoo'!O2131)</f>
        <v/>
      </c>
      <c r="P2131" s="81">
        <f>IF('Ordenes_Odoo'!P2131="","",'Ordenes_Odoo'!P2131)</f>
        <v/>
      </c>
      <c r="Q2131" s="79">
        <f>IF(A2131="","",IFERROR(INDEX(Facturas_Odoo!$B:$B, MATCH(A2131, Facturas_Odoo!$D:$D, 0)), "Sin Factura"))</f>
        <v/>
      </c>
      <c r="R2131" s="80">
        <f>IF(Q2131="Sin Factura","",IFERROR(INDEX(Facturas_Odoo!$A:$A, MATCH(Q2131, Facturas_Odoo!$B:$B, 0)), ""))</f>
        <v/>
      </c>
      <c r="S2131" s="79">
        <f>IF(Q2131="Sin Factura","",IFERROR(_xlfn.XLOOKUP(1, (Facturas_Odoo!$D:$D=A2131) * (Facturas_Odoo!$K:$K=I2131), Facturas_Odoo!$L:$L, ""), ""))</f>
        <v/>
      </c>
      <c r="T2131" s="81">
        <f>IF(Q2131="Sin Factura",0,IFERROR(_xlfn.XLOOKUP(1, (Facturas_Odoo!$D:$D=A2131) * (Facturas_Odoo!$K:$K=I2131), Facturas_Odoo!$M:$M, 0), 0))</f>
        <v/>
      </c>
      <c r="U2131" s="79">
        <f>IF(Q2131="Sin Factura",0,IFERROR(_xlfn.XLOOKUP(1, (Facturas_Odoo!$D:$D=A2131) * (Facturas_Odoo!$K:$K=I2131), Facturas_Odoo!$N:$N, 0), 0))</f>
        <v/>
      </c>
      <c r="V2131" s="79">
        <f>IF(Q2131="Sin Factura",0,IFERROR(_xlfn.XLOOKUP(1, (Facturas_Odoo!$D:$D=A2131) * (Facturas_Odoo!$K:$K=I2131), Facturas_Odoo!$O:$O, 0), 0))</f>
        <v/>
      </c>
      <c r="W2131" s="81">
        <f>IF(Q2131="Sin Factura",0,IFERROR(_xlfn.XLOOKUP(1, (Facturas_Odoo!$D:$D=A2131) * (Facturas_Odoo!$K:$K=I2131), Facturas_Odoo!$Q:$Q, 0), 0))</f>
        <v/>
      </c>
      <c r="X2131" s="79">
        <f>IF(OR(Q2131="Sin Factura",Q2131=""),"",IFERROR(INDEX(Pagos_Odoo!$B:$B, MATCH(Q2131, Pagos_Odoo!$I:$I, 0)), "Sin Pago"))</f>
        <v/>
      </c>
      <c r="Y2131" s="79">
        <f>IF(X2131="Sin Pago","",IFERROR(INDEX(Pagos_Odoo!$C:$C, MATCH(X2131, Pagos_Odoo!$B:$B, 0)), ""))</f>
        <v/>
      </c>
      <c r="Z2131" s="80">
        <f>IF(X2131="Sin Pago","",IFERROR(INDEX(Pagos_Odoo!$A:$A, MATCH(X2131, Pagos_Odoo!$B:$B, 0)), ""))</f>
        <v/>
      </c>
      <c r="AA2131" s="79">
        <f>IF(X2131="Sin Pago","",IFERROR(INDEX(Pagos_Odoo!$F:$F, MATCH(X2131, Pagos_Odoo!$B:$B, 0)), ""))</f>
        <v/>
      </c>
      <c r="AB2131" s="81">
        <f>IF(X2131="Sin Pago",0,IFERROR(INDEX(Pagos_Odoo!$E:$E, MATCH(X2131, Pagos_Odoo!$B:$B, 0)), 0))</f>
        <v/>
      </c>
      <c r="AC2131" s="79">
        <f>IF(X2131="Sin Pago","",IFERROR(INDEX(Pagos_Odoo!$G:$G, MATCH(X2131, Pagos_Odoo!$B:$B, 0)), ""))</f>
        <v/>
      </c>
      <c r="AD2131" s="82" t="n">
        <v>0</v>
      </c>
      <c r="AE2131" s="82" t="n"/>
      <c r="AF2131" s="82" t="n"/>
      <c r="AG2131" s="82">
        <f>IF(AN2131="","",AD2131+AE2131+AF2131)</f>
        <v/>
      </c>
      <c r="AH2131" s="81">
        <f>IF(AN2131="","",P2131*(1-AG2131))</f>
        <v/>
      </c>
      <c r="AI2131" s="81">
        <f>IF(AN2131="","",IF(Q2131="Sin Factura",0,IFERROR(INDEX(Facturas_Odoo!$H:$H, MATCH(Q2131, Facturas_Odoo!$B:$B, 0)), 0)*(1-AG2131)))</f>
        <v/>
      </c>
      <c r="AJ2131" s="81">
        <f>IF(AN2131="","",_xlfn.LET(idVenta, AN2131&amp;"",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31" s="81">
        <f>IF(AN2131="","",AH2131-AJ2131)</f>
        <v/>
      </c>
      <c r="AL2131" s="81">
        <f>IF(AN2131="","",IF(Q2131="Sin Factura","",AI2131-AJ2131))</f>
        <v/>
      </c>
      <c r="AM2131" s="81">
        <f>IF(AN2131="","",IF(Q2131="Sin Factura",0,P2131-IFERROR(INDEX(Facturas_Odoo!$H:$H, MATCH(Q2131, Facturas_Odoo!$B:$B, 0)), 0)))</f>
        <v/>
      </c>
      <c r="AN2131" s="79">
        <f>IF(AND(A2131="", J2131=""), "", IF(A2131&lt;&gt;"", VALUE(MID(A2131,2,LEN(A2131))), AN2130))</f>
        <v/>
      </c>
      <c r="AO2131" s="79">
        <f>IF(AN2131="","",IF(AD2131=0,"OK",_xlfn.LET(monedaPago, IF(AA2131="","USD",AA2131), limitePermitido, IFERROR(VLOOKUP(monedaPago, Configuración!$A$2:$B$3, 2, FALSE), 0.15), IF(AD2131&gt;limitePermitido, "ALERTA: EXCESO (" &amp; TEXT(limitePermitido, "0%") &amp; " máx)", "OK"))))</f>
        <v/>
      </c>
      <c r="AP2131" s="79">
        <f>IF(AN2131="","",IF(AE2131=0,"OK",_xlfn.LET(fechaPago, Z2131, fechaFactura, R2131, diasCredito, IF(E2131="Pago inmediato", 0, IFERROR(VALUE(MID(E2131, 1, SEARCH(" ", E2131)-1)),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31" s="79">
        <f>IF(AN2131="","",IF(AND(N2131&gt;0, AG2131&gt;0), IF(Configuración!$K$2="NO", "ALERTA: DESCUENTO DOBLE NO PERMITIDO", "OK"), "OK"))</f>
        <v/>
      </c>
      <c r="AR2131" s="79">
        <f>IF(AN2131="","",IF(OR(AO2131&lt;&gt;"OK", AP2131&lt;&gt;"OK", AQ2131&lt;&gt;"OK"), "⚠️ REVISAR", "OK"))</f>
        <v/>
      </c>
    </row>
    <row r="2132">
      <c r="A2132" s="79">
        <f>IF('Ordenes_Odoo'!A2132="","",'Ordenes_Odoo'!A2132)</f>
        <v/>
      </c>
      <c r="B2132" s="80">
        <f>IF('Ordenes_Odoo'!B2132="","",'Ordenes_Odoo'!B2132)</f>
        <v/>
      </c>
      <c r="C2132" s="79">
        <f>IF('Ordenes_Odoo'!C2132="","",'Ordenes_Odoo'!C2132)</f>
        <v/>
      </c>
      <c r="D2132" s="79">
        <f>IF('Ordenes_Odoo'!D2132="","",'Ordenes_Odoo'!D2132)</f>
        <v/>
      </c>
      <c r="E2132" s="79">
        <f>IF('Ordenes_Odoo'!E2132="","",'Ordenes_Odoo'!E2132)</f>
        <v/>
      </c>
      <c r="F2132" s="79">
        <f>IF('Ordenes_Odoo'!F2132="","",'Ordenes_Odoo'!F2132)</f>
        <v/>
      </c>
      <c r="G2132" s="79">
        <f>IF('Ordenes_Odoo'!G2132="","",'Ordenes_Odoo'!G2132)</f>
        <v/>
      </c>
      <c r="H2132" s="79">
        <f>IF('Ordenes_Odoo'!H2132="","",'Ordenes_Odoo'!H2132)</f>
        <v/>
      </c>
      <c r="I2132" s="79">
        <f>IF('Ordenes_Odoo'!I2132="","",'Ordenes_Odoo'!I2132)</f>
        <v/>
      </c>
      <c r="J2132" s="79">
        <f>IF('Ordenes_Odoo'!J2132="","",'Ordenes_Odoo'!J2132)</f>
        <v/>
      </c>
      <c r="K2132" s="81">
        <f>IF('Ordenes_Odoo'!K2132="","",'Ordenes_Odoo'!K2132)</f>
        <v/>
      </c>
      <c r="L2132" s="81">
        <f>IF('Ordenes_Odoo'!L2132="","",'Ordenes_Odoo'!L2132)</f>
        <v/>
      </c>
      <c r="M2132" s="79">
        <f>IF('Ordenes_Odoo'!M2132="","",'Ordenes_Odoo'!M2132)</f>
        <v/>
      </c>
      <c r="N2132" s="79">
        <f>IF('Ordenes_Odoo'!N2132="","",'Ordenes_Odoo'!N2132)</f>
        <v/>
      </c>
      <c r="O2132" s="81">
        <f>IF('Ordenes_Odoo'!O2132="","",'Ordenes_Odoo'!O2132)</f>
        <v/>
      </c>
      <c r="P2132" s="81">
        <f>IF('Ordenes_Odoo'!P2132="","",'Ordenes_Odoo'!P2132)</f>
        <v/>
      </c>
      <c r="Q2132" s="79">
        <f>IF(A2132="","",IFERROR(INDEX(Facturas_Odoo!$B:$B, MATCH(A2132, Facturas_Odoo!$D:$D, 0)), "Sin Factura"))</f>
        <v/>
      </c>
      <c r="R2132" s="80">
        <f>IF(Q2132="Sin Factura","",IFERROR(INDEX(Facturas_Odoo!$A:$A, MATCH(Q2132, Facturas_Odoo!$B:$B, 0)), ""))</f>
        <v/>
      </c>
      <c r="S2132" s="79">
        <f>IF(Q2132="Sin Factura","",IFERROR(_xlfn.XLOOKUP(1, (Facturas_Odoo!$D:$D=A2132) * (Facturas_Odoo!$K:$K=I2132), Facturas_Odoo!$L:$L, ""), ""))</f>
        <v/>
      </c>
      <c r="T2132" s="81">
        <f>IF(Q2132="Sin Factura",0,IFERROR(_xlfn.XLOOKUP(1, (Facturas_Odoo!$D:$D=A2132) * (Facturas_Odoo!$K:$K=I2132), Facturas_Odoo!$M:$M, 0), 0))</f>
        <v/>
      </c>
      <c r="U2132" s="79">
        <f>IF(Q2132="Sin Factura",0,IFERROR(_xlfn.XLOOKUP(1, (Facturas_Odoo!$D:$D=A2132) * (Facturas_Odoo!$K:$K=I2132), Facturas_Odoo!$N:$N, 0), 0))</f>
        <v/>
      </c>
      <c r="V2132" s="79">
        <f>IF(Q2132="Sin Factura",0,IFERROR(_xlfn.XLOOKUP(1, (Facturas_Odoo!$D:$D=A2132) * (Facturas_Odoo!$K:$K=I2132), Facturas_Odoo!$O:$O, 0), 0))</f>
        <v/>
      </c>
      <c r="W2132" s="81">
        <f>IF(Q2132="Sin Factura",0,IFERROR(_xlfn.XLOOKUP(1, (Facturas_Odoo!$D:$D=A2132) * (Facturas_Odoo!$K:$K=I2132), Facturas_Odoo!$Q:$Q, 0), 0))</f>
        <v/>
      </c>
      <c r="X2132" s="79">
        <f>IF(OR(Q2132="Sin Factura",Q2132=""),"",IFERROR(INDEX(Pagos_Odoo!$B:$B, MATCH(Q2132, Pagos_Odoo!$I:$I, 0)), "Sin Pago"))</f>
        <v/>
      </c>
      <c r="Y2132" s="79">
        <f>IF(X2132="Sin Pago","",IFERROR(INDEX(Pagos_Odoo!$C:$C, MATCH(X2132, Pagos_Odoo!$B:$B, 0)), ""))</f>
        <v/>
      </c>
      <c r="Z2132" s="80">
        <f>IF(X2132="Sin Pago","",IFERROR(INDEX(Pagos_Odoo!$A:$A, MATCH(X2132, Pagos_Odoo!$B:$B, 0)), ""))</f>
        <v/>
      </c>
      <c r="AA2132" s="79">
        <f>IF(X2132="Sin Pago","",IFERROR(INDEX(Pagos_Odoo!$F:$F, MATCH(X2132, Pagos_Odoo!$B:$B, 0)), ""))</f>
        <v/>
      </c>
      <c r="AB2132" s="81">
        <f>IF(X2132="Sin Pago",0,IFERROR(INDEX(Pagos_Odoo!$E:$E, MATCH(X2132, Pagos_Odoo!$B:$B, 0)), 0))</f>
        <v/>
      </c>
      <c r="AC2132" s="79">
        <f>IF(X2132="Sin Pago","",IFERROR(INDEX(Pagos_Odoo!$G:$G, MATCH(X2132, Pagos_Odoo!$B:$B, 0)), ""))</f>
        <v/>
      </c>
      <c r="AD2132" s="82" t="n">
        <v>0</v>
      </c>
      <c r="AE2132" s="82" t="n"/>
      <c r="AF2132" s="82" t="n"/>
      <c r="AG2132" s="82">
        <f>IF(AN2132="","",AD2132+AE2132+AF2132)</f>
        <v/>
      </c>
      <c r="AH2132" s="81">
        <f>IF(AN2132="","",P2132*(1-AG2132))</f>
        <v/>
      </c>
      <c r="AI2132" s="81">
        <f>IF(AN2132="","",IF(Q2132="Sin Factura",0,IFERROR(INDEX(Facturas_Odoo!$H:$H, MATCH(Q2132, Facturas_Odoo!$B:$B, 0)), 0)*(1-AG2132)))</f>
        <v/>
      </c>
      <c r="AJ2132" s="81">
        <f>IF(AN2132="","",_xlfn.LET(idVenta, AN2132&amp;"",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32" s="81">
        <f>IF(AN2132="","",AH2132-AJ2132)</f>
        <v/>
      </c>
      <c r="AL2132" s="81">
        <f>IF(AN2132="","",IF(Q2132="Sin Factura","",AI2132-AJ2132))</f>
        <v/>
      </c>
      <c r="AM2132" s="81">
        <f>IF(AN2132="","",IF(Q2132="Sin Factura",0,P2132-IFERROR(INDEX(Facturas_Odoo!$H:$H, MATCH(Q2132, Facturas_Odoo!$B:$B, 0)), 0)))</f>
        <v/>
      </c>
      <c r="AN2132" s="79">
        <f>IF(AND(A2132="", J2132=""), "", IF(A2132&lt;&gt;"", VALUE(MID(A2132,2,LEN(A2132))), AN2131))</f>
        <v/>
      </c>
      <c r="AO2132" s="79">
        <f>IF(AN2132="","",IF(AD2132=0,"OK",_xlfn.LET(monedaPago, IF(AA2132="","USD",AA2132), limitePermitido, IFERROR(VLOOKUP(monedaPago, Configuración!$A$2:$B$3, 2, FALSE), 0.15), IF(AD2132&gt;limitePermitido, "ALERTA: EXCESO (" &amp; TEXT(limitePermitido, "0%") &amp; " máx)", "OK"))))</f>
        <v/>
      </c>
      <c r="AP2132" s="79">
        <f>IF(AN2132="","",IF(AE2132=0,"OK",_xlfn.LET(fechaPago, Z2132, fechaFactura, R2132, diasCredito, IF(E2132="Pago inmediato", 0, IFERROR(VALUE(MID(E2132, 1, SEARCH(" ", E2132)-1)),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32" s="79">
        <f>IF(AN2132="","",IF(AND(N2132&gt;0, AG2132&gt;0), IF(Configuración!$K$2="NO", "ALERTA: DESCUENTO DOBLE NO PERMITIDO", "OK"), "OK"))</f>
        <v/>
      </c>
      <c r="AR2132" s="79">
        <f>IF(AN2132="","",IF(OR(AO2132&lt;&gt;"OK", AP2132&lt;&gt;"OK", AQ2132&lt;&gt;"OK"), "⚠️ REVISAR", "OK"))</f>
        <v/>
      </c>
    </row>
    <row r="2133">
      <c r="A2133" s="79">
        <f>IF('Ordenes_Odoo'!A2133="","",'Ordenes_Odoo'!A2133)</f>
        <v/>
      </c>
      <c r="B2133" s="80">
        <f>IF('Ordenes_Odoo'!B2133="","",'Ordenes_Odoo'!B2133)</f>
        <v/>
      </c>
      <c r="C2133" s="79">
        <f>IF('Ordenes_Odoo'!C2133="","",'Ordenes_Odoo'!C2133)</f>
        <v/>
      </c>
      <c r="D2133" s="79">
        <f>IF('Ordenes_Odoo'!D2133="","",'Ordenes_Odoo'!D2133)</f>
        <v/>
      </c>
      <c r="E2133" s="79">
        <f>IF('Ordenes_Odoo'!E2133="","",'Ordenes_Odoo'!E2133)</f>
        <v/>
      </c>
      <c r="F2133" s="79">
        <f>IF('Ordenes_Odoo'!F2133="","",'Ordenes_Odoo'!F2133)</f>
        <v/>
      </c>
      <c r="G2133" s="79">
        <f>IF('Ordenes_Odoo'!G2133="","",'Ordenes_Odoo'!G2133)</f>
        <v/>
      </c>
      <c r="H2133" s="79">
        <f>IF('Ordenes_Odoo'!H2133="","",'Ordenes_Odoo'!H2133)</f>
        <v/>
      </c>
      <c r="I2133" s="79">
        <f>IF('Ordenes_Odoo'!I2133="","",'Ordenes_Odoo'!I2133)</f>
        <v/>
      </c>
      <c r="J2133" s="79">
        <f>IF('Ordenes_Odoo'!J2133="","",'Ordenes_Odoo'!J2133)</f>
        <v/>
      </c>
      <c r="K2133" s="81">
        <f>IF('Ordenes_Odoo'!K2133="","",'Ordenes_Odoo'!K2133)</f>
        <v/>
      </c>
      <c r="L2133" s="81">
        <f>IF('Ordenes_Odoo'!L2133="","",'Ordenes_Odoo'!L2133)</f>
        <v/>
      </c>
      <c r="M2133" s="79">
        <f>IF('Ordenes_Odoo'!M2133="","",'Ordenes_Odoo'!M2133)</f>
        <v/>
      </c>
      <c r="N2133" s="79">
        <f>IF('Ordenes_Odoo'!N2133="","",'Ordenes_Odoo'!N2133)</f>
        <v/>
      </c>
      <c r="O2133" s="81">
        <f>IF('Ordenes_Odoo'!O2133="","",'Ordenes_Odoo'!O2133)</f>
        <v/>
      </c>
      <c r="P2133" s="81">
        <f>IF('Ordenes_Odoo'!P2133="","",'Ordenes_Odoo'!P2133)</f>
        <v/>
      </c>
      <c r="Q2133" s="79">
        <f>IF(A2133="","",IFERROR(INDEX(Facturas_Odoo!$B:$B, MATCH(A2133, Facturas_Odoo!$D:$D, 0)), "Sin Factura"))</f>
        <v/>
      </c>
      <c r="R2133" s="80">
        <f>IF(Q2133="Sin Factura","",IFERROR(INDEX(Facturas_Odoo!$A:$A, MATCH(Q2133, Facturas_Odoo!$B:$B, 0)), ""))</f>
        <v/>
      </c>
      <c r="S2133" s="79">
        <f>IF(Q2133="Sin Factura","",IFERROR(_xlfn.XLOOKUP(1, (Facturas_Odoo!$D:$D=A2133) * (Facturas_Odoo!$K:$K=I2133), Facturas_Odoo!$L:$L, ""), ""))</f>
        <v/>
      </c>
      <c r="T2133" s="81">
        <f>IF(Q2133="Sin Factura",0,IFERROR(_xlfn.XLOOKUP(1, (Facturas_Odoo!$D:$D=A2133) * (Facturas_Odoo!$K:$K=I2133), Facturas_Odoo!$M:$M, 0), 0))</f>
        <v/>
      </c>
      <c r="U2133" s="79">
        <f>IF(Q2133="Sin Factura",0,IFERROR(_xlfn.XLOOKUP(1, (Facturas_Odoo!$D:$D=A2133) * (Facturas_Odoo!$K:$K=I2133), Facturas_Odoo!$N:$N, 0), 0))</f>
        <v/>
      </c>
      <c r="V2133" s="79">
        <f>IF(Q2133="Sin Factura",0,IFERROR(_xlfn.XLOOKUP(1, (Facturas_Odoo!$D:$D=A2133) * (Facturas_Odoo!$K:$K=I2133), Facturas_Odoo!$O:$O, 0), 0))</f>
        <v/>
      </c>
      <c r="W2133" s="81">
        <f>IF(Q2133="Sin Factura",0,IFERROR(_xlfn.XLOOKUP(1, (Facturas_Odoo!$D:$D=A2133) * (Facturas_Odoo!$K:$K=I2133), Facturas_Odoo!$Q:$Q, 0), 0))</f>
        <v/>
      </c>
      <c r="X2133" s="79">
        <f>IF(OR(Q2133="Sin Factura",Q2133=""),"",IFERROR(INDEX(Pagos_Odoo!$B:$B, MATCH(Q2133, Pagos_Odoo!$I:$I, 0)), "Sin Pago"))</f>
        <v/>
      </c>
      <c r="Y2133" s="79">
        <f>IF(X2133="Sin Pago","",IFERROR(INDEX(Pagos_Odoo!$C:$C, MATCH(X2133, Pagos_Odoo!$B:$B, 0)), ""))</f>
        <v/>
      </c>
      <c r="Z2133" s="80">
        <f>IF(X2133="Sin Pago","",IFERROR(INDEX(Pagos_Odoo!$A:$A, MATCH(X2133, Pagos_Odoo!$B:$B, 0)), ""))</f>
        <v/>
      </c>
      <c r="AA2133" s="79">
        <f>IF(X2133="Sin Pago","",IFERROR(INDEX(Pagos_Odoo!$F:$F, MATCH(X2133, Pagos_Odoo!$B:$B, 0)), ""))</f>
        <v/>
      </c>
      <c r="AB2133" s="81">
        <f>IF(X2133="Sin Pago",0,IFERROR(INDEX(Pagos_Odoo!$E:$E, MATCH(X2133, Pagos_Odoo!$B:$B, 0)), 0))</f>
        <v/>
      </c>
      <c r="AC2133" s="79">
        <f>IF(X2133="Sin Pago","",IFERROR(INDEX(Pagos_Odoo!$G:$G, MATCH(X2133, Pagos_Odoo!$B:$B, 0)), ""))</f>
        <v/>
      </c>
      <c r="AD2133" s="82" t="n">
        <v>0</v>
      </c>
      <c r="AE2133" s="82" t="n"/>
      <c r="AF2133" s="82" t="n"/>
      <c r="AG2133" s="82">
        <f>IF(AN2133="","",AD2133+AE2133+AF2133)</f>
        <v/>
      </c>
      <c r="AH2133" s="81">
        <f>IF(AN2133="","",P2133*(1-AG2133))</f>
        <v/>
      </c>
      <c r="AI2133" s="81">
        <f>IF(AN2133="","",IF(Q2133="Sin Factura",0,IFERROR(INDEX(Facturas_Odoo!$H:$H, MATCH(Q2133, Facturas_Odoo!$B:$B, 0)), 0)*(1-AG2133)))</f>
        <v/>
      </c>
      <c r="AJ2133" s="81">
        <f>IF(AN2133="","",_xlfn.LET(idVenta, AN2133&amp;"",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33" s="81">
        <f>IF(AN2133="","",AH2133-AJ2133)</f>
        <v/>
      </c>
      <c r="AL2133" s="81">
        <f>IF(AN2133="","",IF(Q2133="Sin Factura","",AI2133-AJ2133))</f>
        <v/>
      </c>
      <c r="AM2133" s="81">
        <f>IF(AN2133="","",IF(Q2133="Sin Factura",0,P2133-IFERROR(INDEX(Facturas_Odoo!$H:$H, MATCH(Q2133, Facturas_Odoo!$B:$B, 0)), 0)))</f>
        <v/>
      </c>
      <c r="AN2133" s="79">
        <f>IF(AND(A2133="", J2133=""), "", IF(A2133&lt;&gt;"", VALUE(MID(A2133,2,LEN(A2133))), AN2132))</f>
        <v/>
      </c>
      <c r="AO2133" s="79">
        <f>IF(AN2133="","",IF(AD2133=0,"OK",_xlfn.LET(monedaPago, IF(AA2133="","USD",AA2133), limitePermitido, IFERROR(VLOOKUP(monedaPago, Configuración!$A$2:$B$3, 2, FALSE), 0.15), IF(AD2133&gt;limitePermitido, "ALERTA: EXCESO (" &amp; TEXT(limitePermitido, "0%") &amp; " máx)", "OK"))))</f>
        <v/>
      </c>
      <c r="AP2133" s="79">
        <f>IF(AN2133="","",IF(AE2133=0,"OK",_xlfn.LET(fechaPago, Z2133, fechaFactura, R2133, diasCredito, IF(E2133="Pago inmediato", 0, IFERROR(VALUE(MID(E2133, 1, SEARCH(" ", E2133)-1)),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33" s="79">
        <f>IF(AN2133="","",IF(AND(N2133&gt;0, AG2133&gt;0), IF(Configuración!$K$2="NO", "ALERTA: DESCUENTO DOBLE NO PERMITIDO", "OK"), "OK"))</f>
        <v/>
      </c>
      <c r="AR2133" s="79">
        <f>IF(AN2133="","",IF(OR(AO2133&lt;&gt;"OK", AP2133&lt;&gt;"OK", AQ2133&lt;&gt;"OK"), "⚠️ REVISAR", "OK"))</f>
        <v/>
      </c>
    </row>
    <row r="2134">
      <c r="A2134" s="79">
        <f>IF('Ordenes_Odoo'!A2134="","",'Ordenes_Odoo'!A2134)</f>
        <v/>
      </c>
      <c r="B2134" s="80">
        <f>IF('Ordenes_Odoo'!B2134="","",'Ordenes_Odoo'!B2134)</f>
        <v/>
      </c>
      <c r="C2134" s="79">
        <f>IF('Ordenes_Odoo'!C2134="","",'Ordenes_Odoo'!C2134)</f>
        <v/>
      </c>
      <c r="D2134" s="79">
        <f>IF('Ordenes_Odoo'!D2134="","",'Ordenes_Odoo'!D2134)</f>
        <v/>
      </c>
      <c r="E2134" s="79">
        <f>IF('Ordenes_Odoo'!E2134="","",'Ordenes_Odoo'!E2134)</f>
        <v/>
      </c>
      <c r="F2134" s="79">
        <f>IF('Ordenes_Odoo'!F2134="","",'Ordenes_Odoo'!F2134)</f>
        <v/>
      </c>
      <c r="G2134" s="79">
        <f>IF('Ordenes_Odoo'!G2134="","",'Ordenes_Odoo'!G2134)</f>
        <v/>
      </c>
      <c r="H2134" s="79">
        <f>IF('Ordenes_Odoo'!H2134="","",'Ordenes_Odoo'!H2134)</f>
        <v/>
      </c>
      <c r="I2134" s="79">
        <f>IF('Ordenes_Odoo'!I2134="","",'Ordenes_Odoo'!I2134)</f>
        <v/>
      </c>
      <c r="J2134" s="79">
        <f>IF('Ordenes_Odoo'!J2134="","",'Ordenes_Odoo'!J2134)</f>
        <v/>
      </c>
      <c r="K2134" s="81">
        <f>IF('Ordenes_Odoo'!K2134="","",'Ordenes_Odoo'!K2134)</f>
        <v/>
      </c>
      <c r="L2134" s="81">
        <f>IF('Ordenes_Odoo'!L2134="","",'Ordenes_Odoo'!L2134)</f>
        <v/>
      </c>
      <c r="M2134" s="79">
        <f>IF('Ordenes_Odoo'!M2134="","",'Ordenes_Odoo'!M2134)</f>
        <v/>
      </c>
      <c r="N2134" s="79">
        <f>IF('Ordenes_Odoo'!N2134="","",'Ordenes_Odoo'!N2134)</f>
        <v/>
      </c>
      <c r="O2134" s="81">
        <f>IF('Ordenes_Odoo'!O2134="","",'Ordenes_Odoo'!O2134)</f>
        <v/>
      </c>
      <c r="P2134" s="81">
        <f>IF('Ordenes_Odoo'!P2134="","",'Ordenes_Odoo'!P2134)</f>
        <v/>
      </c>
      <c r="Q2134" s="79">
        <f>IF(A2134="","",IFERROR(INDEX(Facturas_Odoo!$B:$B, MATCH(A2134, Facturas_Odoo!$D:$D, 0)), "Sin Factura"))</f>
        <v/>
      </c>
      <c r="R2134" s="80">
        <f>IF(Q2134="Sin Factura","",IFERROR(INDEX(Facturas_Odoo!$A:$A, MATCH(Q2134, Facturas_Odoo!$B:$B, 0)), ""))</f>
        <v/>
      </c>
      <c r="S2134" s="79">
        <f>IF(Q2134="Sin Factura","",IFERROR(_xlfn.XLOOKUP(1, (Facturas_Odoo!$D:$D=A2134) * (Facturas_Odoo!$K:$K=I2134), Facturas_Odoo!$L:$L, ""), ""))</f>
        <v/>
      </c>
      <c r="T2134" s="81">
        <f>IF(Q2134="Sin Factura",0,IFERROR(_xlfn.XLOOKUP(1, (Facturas_Odoo!$D:$D=A2134) * (Facturas_Odoo!$K:$K=I2134), Facturas_Odoo!$M:$M, 0), 0))</f>
        <v/>
      </c>
      <c r="U2134" s="79">
        <f>IF(Q2134="Sin Factura",0,IFERROR(_xlfn.XLOOKUP(1, (Facturas_Odoo!$D:$D=A2134) * (Facturas_Odoo!$K:$K=I2134), Facturas_Odoo!$N:$N, 0), 0))</f>
        <v/>
      </c>
      <c r="V2134" s="79">
        <f>IF(Q2134="Sin Factura",0,IFERROR(_xlfn.XLOOKUP(1, (Facturas_Odoo!$D:$D=A2134) * (Facturas_Odoo!$K:$K=I2134), Facturas_Odoo!$O:$O, 0), 0))</f>
        <v/>
      </c>
      <c r="W2134" s="81">
        <f>IF(Q2134="Sin Factura",0,IFERROR(_xlfn.XLOOKUP(1, (Facturas_Odoo!$D:$D=A2134) * (Facturas_Odoo!$K:$K=I2134), Facturas_Odoo!$Q:$Q, 0), 0))</f>
        <v/>
      </c>
      <c r="X2134" s="79">
        <f>IF(OR(Q2134="Sin Factura",Q2134=""),"",IFERROR(INDEX(Pagos_Odoo!$B:$B, MATCH(Q2134, Pagos_Odoo!$I:$I, 0)), "Sin Pago"))</f>
        <v/>
      </c>
      <c r="Y2134" s="79">
        <f>IF(X2134="Sin Pago","",IFERROR(INDEX(Pagos_Odoo!$C:$C, MATCH(X2134, Pagos_Odoo!$B:$B, 0)), ""))</f>
        <v/>
      </c>
      <c r="Z2134" s="80">
        <f>IF(X2134="Sin Pago","",IFERROR(INDEX(Pagos_Odoo!$A:$A, MATCH(X2134, Pagos_Odoo!$B:$B, 0)), ""))</f>
        <v/>
      </c>
      <c r="AA2134" s="79">
        <f>IF(X2134="Sin Pago","",IFERROR(INDEX(Pagos_Odoo!$F:$F, MATCH(X2134, Pagos_Odoo!$B:$B, 0)), ""))</f>
        <v/>
      </c>
      <c r="AB2134" s="81">
        <f>IF(X2134="Sin Pago",0,IFERROR(INDEX(Pagos_Odoo!$E:$E, MATCH(X2134, Pagos_Odoo!$B:$B, 0)), 0))</f>
        <v/>
      </c>
      <c r="AC2134" s="79">
        <f>IF(X2134="Sin Pago","",IFERROR(INDEX(Pagos_Odoo!$G:$G, MATCH(X2134, Pagos_Odoo!$B:$B, 0)), ""))</f>
        <v/>
      </c>
      <c r="AD2134" s="82" t="n">
        <v>0</v>
      </c>
      <c r="AE2134" s="82" t="n"/>
      <c r="AF2134" s="82" t="n"/>
      <c r="AG2134" s="82">
        <f>IF(AN2134="","",AD2134+AE2134+AF2134)</f>
        <v/>
      </c>
      <c r="AH2134" s="81">
        <f>IF(AN2134="","",P2134*(1-AG2134))</f>
        <v/>
      </c>
      <c r="AI2134" s="81">
        <f>IF(AN2134="","",IF(Q2134="Sin Factura",0,IFERROR(INDEX(Facturas_Odoo!$H:$H, MATCH(Q2134, Facturas_Odoo!$B:$B, 0)), 0)*(1-AG2134)))</f>
        <v/>
      </c>
      <c r="AJ2134" s="81">
        <f>IF(AN2134="","",_xlfn.LET(idVenta, AN2134&amp;"",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34" s="81">
        <f>IF(AN2134="","",AH2134-AJ2134)</f>
        <v/>
      </c>
      <c r="AL2134" s="81">
        <f>IF(AN2134="","",IF(Q2134="Sin Factura","",AI2134-AJ2134))</f>
        <v/>
      </c>
      <c r="AM2134" s="81">
        <f>IF(AN2134="","",IF(Q2134="Sin Factura",0,P2134-IFERROR(INDEX(Facturas_Odoo!$H:$H, MATCH(Q2134, Facturas_Odoo!$B:$B, 0)), 0)))</f>
        <v/>
      </c>
      <c r="AN2134" s="79">
        <f>IF(AND(A2134="", J2134=""), "", IF(A2134&lt;&gt;"", VALUE(MID(A2134,2,LEN(A2134))), AN2133))</f>
        <v/>
      </c>
      <c r="AO2134" s="79">
        <f>IF(AN2134="","",IF(AD2134=0,"OK",_xlfn.LET(monedaPago, IF(AA2134="","USD",AA2134), limitePermitido, IFERROR(VLOOKUP(monedaPago, Configuración!$A$2:$B$3, 2, FALSE), 0.15), IF(AD2134&gt;limitePermitido, "ALERTA: EXCESO (" &amp; TEXT(limitePermitido, "0%") &amp; " máx)", "OK"))))</f>
        <v/>
      </c>
      <c r="AP2134" s="79">
        <f>IF(AN2134="","",IF(AE2134=0,"OK",_xlfn.LET(fechaPago, Z2134, fechaFactura, R2134, diasCredito, IF(E2134="Pago inmediato", 0, IFERROR(VALUE(MID(E2134, 1, SEARCH(" ", E2134)-1)),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34" s="79">
        <f>IF(AN2134="","",IF(AND(N2134&gt;0, AG2134&gt;0), IF(Configuración!$K$2="NO", "ALERTA: DESCUENTO DOBLE NO PERMITIDO", "OK"), "OK"))</f>
        <v/>
      </c>
      <c r="AR2134" s="79">
        <f>IF(AN2134="","",IF(OR(AO2134&lt;&gt;"OK", AP2134&lt;&gt;"OK", AQ2134&lt;&gt;"OK"), "⚠️ REVISAR", "OK"))</f>
        <v/>
      </c>
    </row>
    <row r="2135">
      <c r="A2135" s="79">
        <f>IF('Ordenes_Odoo'!A2135="","",'Ordenes_Odoo'!A2135)</f>
        <v/>
      </c>
      <c r="B2135" s="80">
        <f>IF('Ordenes_Odoo'!B2135="","",'Ordenes_Odoo'!B2135)</f>
        <v/>
      </c>
      <c r="C2135" s="79">
        <f>IF('Ordenes_Odoo'!C2135="","",'Ordenes_Odoo'!C2135)</f>
        <v/>
      </c>
      <c r="D2135" s="79">
        <f>IF('Ordenes_Odoo'!D2135="","",'Ordenes_Odoo'!D2135)</f>
        <v/>
      </c>
      <c r="E2135" s="79">
        <f>IF('Ordenes_Odoo'!E2135="","",'Ordenes_Odoo'!E2135)</f>
        <v/>
      </c>
      <c r="F2135" s="79">
        <f>IF('Ordenes_Odoo'!F2135="","",'Ordenes_Odoo'!F2135)</f>
        <v/>
      </c>
      <c r="G2135" s="79">
        <f>IF('Ordenes_Odoo'!G2135="","",'Ordenes_Odoo'!G2135)</f>
        <v/>
      </c>
      <c r="H2135" s="79">
        <f>IF('Ordenes_Odoo'!H2135="","",'Ordenes_Odoo'!H2135)</f>
        <v/>
      </c>
      <c r="I2135" s="79">
        <f>IF('Ordenes_Odoo'!I2135="","",'Ordenes_Odoo'!I2135)</f>
        <v/>
      </c>
      <c r="J2135" s="79">
        <f>IF('Ordenes_Odoo'!J2135="","",'Ordenes_Odoo'!J2135)</f>
        <v/>
      </c>
      <c r="K2135" s="81">
        <f>IF('Ordenes_Odoo'!K2135="","",'Ordenes_Odoo'!K2135)</f>
        <v/>
      </c>
      <c r="L2135" s="81">
        <f>IF('Ordenes_Odoo'!L2135="","",'Ordenes_Odoo'!L2135)</f>
        <v/>
      </c>
      <c r="M2135" s="79">
        <f>IF('Ordenes_Odoo'!M2135="","",'Ordenes_Odoo'!M2135)</f>
        <v/>
      </c>
      <c r="N2135" s="79">
        <f>IF('Ordenes_Odoo'!N2135="","",'Ordenes_Odoo'!N2135)</f>
        <v/>
      </c>
      <c r="O2135" s="81">
        <f>IF('Ordenes_Odoo'!O2135="","",'Ordenes_Odoo'!O2135)</f>
        <v/>
      </c>
      <c r="P2135" s="81">
        <f>IF('Ordenes_Odoo'!P2135="","",'Ordenes_Odoo'!P2135)</f>
        <v/>
      </c>
      <c r="Q2135" s="79">
        <f>IF(A2135="","",IFERROR(INDEX(Facturas_Odoo!$B:$B, MATCH(A2135, Facturas_Odoo!$D:$D, 0)), "Sin Factura"))</f>
        <v/>
      </c>
      <c r="R2135" s="80">
        <f>IF(Q2135="Sin Factura","",IFERROR(INDEX(Facturas_Odoo!$A:$A, MATCH(Q2135, Facturas_Odoo!$B:$B, 0)), ""))</f>
        <v/>
      </c>
      <c r="S2135" s="79">
        <f>IF(Q2135="Sin Factura","",IFERROR(_xlfn.XLOOKUP(1, (Facturas_Odoo!$D:$D=A2135) * (Facturas_Odoo!$K:$K=I2135), Facturas_Odoo!$L:$L, ""), ""))</f>
        <v/>
      </c>
      <c r="T2135" s="81">
        <f>IF(Q2135="Sin Factura",0,IFERROR(_xlfn.XLOOKUP(1, (Facturas_Odoo!$D:$D=A2135) * (Facturas_Odoo!$K:$K=I2135), Facturas_Odoo!$M:$M, 0), 0))</f>
        <v/>
      </c>
      <c r="U2135" s="79">
        <f>IF(Q2135="Sin Factura",0,IFERROR(_xlfn.XLOOKUP(1, (Facturas_Odoo!$D:$D=A2135) * (Facturas_Odoo!$K:$K=I2135), Facturas_Odoo!$N:$N, 0), 0))</f>
        <v/>
      </c>
      <c r="V2135" s="79">
        <f>IF(Q2135="Sin Factura",0,IFERROR(_xlfn.XLOOKUP(1, (Facturas_Odoo!$D:$D=A2135) * (Facturas_Odoo!$K:$K=I2135), Facturas_Odoo!$O:$O, 0), 0))</f>
        <v/>
      </c>
      <c r="W2135" s="81">
        <f>IF(Q2135="Sin Factura",0,IFERROR(_xlfn.XLOOKUP(1, (Facturas_Odoo!$D:$D=A2135) * (Facturas_Odoo!$K:$K=I2135), Facturas_Odoo!$Q:$Q, 0), 0))</f>
        <v/>
      </c>
      <c r="X2135" s="79">
        <f>IF(OR(Q2135="Sin Factura",Q2135=""),"",IFERROR(INDEX(Pagos_Odoo!$B:$B, MATCH(Q2135, Pagos_Odoo!$I:$I, 0)), "Sin Pago"))</f>
        <v/>
      </c>
      <c r="Y2135" s="79">
        <f>IF(X2135="Sin Pago","",IFERROR(INDEX(Pagos_Odoo!$C:$C, MATCH(X2135, Pagos_Odoo!$B:$B, 0)), ""))</f>
        <v/>
      </c>
      <c r="Z2135" s="80">
        <f>IF(X2135="Sin Pago","",IFERROR(INDEX(Pagos_Odoo!$A:$A, MATCH(X2135, Pagos_Odoo!$B:$B, 0)), ""))</f>
        <v/>
      </c>
      <c r="AA2135" s="79">
        <f>IF(X2135="Sin Pago","",IFERROR(INDEX(Pagos_Odoo!$F:$F, MATCH(X2135, Pagos_Odoo!$B:$B, 0)), ""))</f>
        <v/>
      </c>
      <c r="AB2135" s="81">
        <f>IF(X2135="Sin Pago",0,IFERROR(INDEX(Pagos_Odoo!$E:$E, MATCH(X2135, Pagos_Odoo!$B:$B, 0)), 0))</f>
        <v/>
      </c>
      <c r="AC2135" s="79">
        <f>IF(X2135="Sin Pago","",IFERROR(INDEX(Pagos_Odoo!$G:$G, MATCH(X2135, Pagos_Odoo!$B:$B, 0)), ""))</f>
        <v/>
      </c>
      <c r="AD2135" s="82" t="n">
        <v>0</v>
      </c>
      <c r="AE2135" s="82" t="n"/>
      <c r="AF2135" s="82" t="n"/>
      <c r="AG2135" s="82">
        <f>IF(AN2135="","",AD2135+AE2135+AF2135)</f>
        <v/>
      </c>
      <c r="AH2135" s="81">
        <f>IF(AN2135="","",P2135*(1-AG2135))</f>
        <v/>
      </c>
      <c r="AI2135" s="81">
        <f>IF(AN2135="","",IF(Q2135="Sin Factura",0,IFERROR(INDEX(Facturas_Odoo!$H:$H, MATCH(Q2135, Facturas_Odoo!$B:$B, 0)), 0)*(1-AG2135)))</f>
        <v/>
      </c>
      <c r="AJ2135" s="81">
        <f>IF(AN2135="","",_xlfn.LET(idVenta, AN2135&amp;"",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35" s="81">
        <f>IF(AN2135="","",AH2135-AJ2135)</f>
        <v/>
      </c>
      <c r="AL2135" s="81">
        <f>IF(AN2135="","",IF(Q2135="Sin Factura","",AI2135-AJ2135))</f>
        <v/>
      </c>
      <c r="AM2135" s="81">
        <f>IF(AN2135="","",IF(Q2135="Sin Factura",0,P2135-IFERROR(INDEX(Facturas_Odoo!$H:$H, MATCH(Q2135, Facturas_Odoo!$B:$B, 0)), 0)))</f>
        <v/>
      </c>
      <c r="AN2135" s="79">
        <f>IF(AND(A2135="", J2135=""), "", IF(A2135&lt;&gt;"", VALUE(MID(A2135,2,LEN(A2135))), AN2134))</f>
        <v/>
      </c>
      <c r="AO2135" s="79">
        <f>IF(AN2135="","",IF(AD2135=0,"OK",_xlfn.LET(monedaPago, IF(AA2135="","USD",AA2135), limitePermitido, IFERROR(VLOOKUP(monedaPago, Configuración!$A$2:$B$3, 2, FALSE), 0.15), IF(AD2135&gt;limitePermitido, "ALERTA: EXCESO (" &amp; TEXT(limitePermitido, "0%") &amp; " máx)", "OK"))))</f>
        <v/>
      </c>
      <c r="AP2135" s="79">
        <f>IF(AN2135="","",IF(AE2135=0,"OK",_xlfn.LET(fechaPago, Z2135, fechaFactura, R2135, diasCredito, IF(E2135="Pago inmediato", 0, IFERROR(VALUE(MID(E2135, 1, SEARCH(" ", E2135)-1)),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35" s="79">
        <f>IF(AN2135="","",IF(AND(N2135&gt;0, AG2135&gt;0), IF(Configuración!$K$2="NO", "ALERTA: DESCUENTO DOBLE NO PERMITIDO", "OK"), "OK"))</f>
        <v/>
      </c>
      <c r="AR2135" s="79">
        <f>IF(AN2135="","",IF(OR(AO2135&lt;&gt;"OK", AP2135&lt;&gt;"OK", AQ2135&lt;&gt;"OK"), "⚠️ REVISAR", "OK"))</f>
        <v/>
      </c>
    </row>
    <row r="2136">
      <c r="A2136" s="79">
        <f>IF('Ordenes_Odoo'!A2136="","",'Ordenes_Odoo'!A2136)</f>
        <v/>
      </c>
      <c r="B2136" s="80">
        <f>IF('Ordenes_Odoo'!B2136="","",'Ordenes_Odoo'!B2136)</f>
        <v/>
      </c>
      <c r="C2136" s="79">
        <f>IF('Ordenes_Odoo'!C2136="","",'Ordenes_Odoo'!C2136)</f>
        <v/>
      </c>
      <c r="D2136" s="79">
        <f>IF('Ordenes_Odoo'!D2136="","",'Ordenes_Odoo'!D2136)</f>
        <v/>
      </c>
      <c r="E2136" s="79">
        <f>IF('Ordenes_Odoo'!E2136="","",'Ordenes_Odoo'!E2136)</f>
        <v/>
      </c>
      <c r="F2136" s="79">
        <f>IF('Ordenes_Odoo'!F2136="","",'Ordenes_Odoo'!F2136)</f>
        <v/>
      </c>
      <c r="G2136" s="79">
        <f>IF('Ordenes_Odoo'!G2136="","",'Ordenes_Odoo'!G2136)</f>
        <v/>
      </c>
      <c r="H2136" s="79">
        <f>IF('Ordenes_Odoo'!H2136="","",'Ordenes_Odoo'!H2136)</f>
        <v/>
      </c>
      <c r="I2136" s="79">
        <f>IF('Ordenes_Odoo'!I2136="","",'Ordenes_Odoo'!I2136)</f>
        <v/>
      </c>
      <c r="J2136" s="79">
        <f>IF('Ordenes_Odoo'!J2136="","",'Ordenes_Odoo'!J2136)</f>
        <v/>
      </c>
      <c r="K2136" s="81">
        <f>IF('Ordenes_Odoo'!K2136="","",'Ordenes_Odoo'!K2136)</f>
        <v/>
      </c>
      <c r="L2136" s="81">
        <f>IF('Ordenes_Odoo'!L2136="","",'Ordenes_Odoo'!L2136)</f>
        <v/>
      </c>
      <c r="M2136" s="79">
        <f>IF('Ordenes_Odoo'!M2136="","",'Ordenes_Odoo'!M2136)</f>
        <v/>
      </c>
      <c r="N2136" s="79">
        <f>IF('Ordenes_Odoo'!N2136="","",'Ordenes_Odoo'!N2136)</f>
        <v/>
      </c>
      <c r="O2136" s="81">
        <f>IF('Ordenes_Odoo'!O2136="","",'Ordenes_Odoo'!O2136)</f>
        <v/>
      </c>
      <c r="P2136" s="81">
        <f>IF('Ordenes_Odoo'!P2136="","",'Ordenes_Odoo'!P2136)</f>
        <v/>
      </c>
      <c r="Q2136" s="79">
        <f>IF(A2136="","",IFERROR(INDEX(Facturas_Odoo!$B:$B, MATCH(A2136, Facturas_Odoo!$D:$D, 0)), "Sin Factura"))</f>
        <v/>
      </c>
      <c r="R2136" s="80">
        <f>IF(Q2136="Sin Factura","",IFERROR(INDEX(Facturas_Odoo!$A:$A, MATCH(Q2136, Facturas_Odoo!$B:$B, 0)), ""))</f>
        <v/>
      </c>
      <c r="S2136" s="79">
        <f>IF(Q2136="Sin Factura","",IFERROR(_xlfn.XLOOKUP(1, (Facturas_Odoo!$D:$D=A2136) * (Facturas_Odoo!$K:$K=I2136), Facturas_Odoo!$L:$L, ""), ""))</f>
        <v/>
      </c>
      <c r="T2136" s="81">
        <f>IF(Q2136="Sin Factura",0,IFERROR(_xlfn.XLOOKUP(1, (Facturas_Odoo!$D:$D=A2136) * (Facturas_Odoo!$K:$K=I2136), Facturas_Odoo!$M:$M, 0), 0))</f>
        <v/>
      </c>
      <c r="U2136" s="79">
        <f>IF(Q2136="Sin Factura",0,IFERROR(_xlfn.XLOOKUP(1, (Facturas_Odoo!$D:$D=A2136) * (Facturas_Odoo!$K:$K=I2136), Facturas_Odoo!$N:$N, 0), 0))</f>
        <v/>
      </c>
      <c r="V2136" s="79">
        <f>IF(Q2136="Sin Factura",0,IFERROR(_xlfn.XLOOKUP(1, (Facturas_Odoo!$D:$D=A2136) * (Facturas_Odoo!$K:$K=I2136), Facturas_Odoo!$O:$O, 0), 0))</f>
        <v/>
      </c>
      <c r="W2136" s="81">
        <f>IF(Q2136="Sin Factura",0,IFERROR(_xlfn.XLOOKUP(1, (Facturas_Odoo!$D:$D=A2136) * (Facturas_Odoo!$K:$K=I2136), Facturas_Odoo!$Q:$Q, 0), 0))</f>
        <v/>
      </c>
      <c r="X2136" s="79">
        <f>IF(OR(Q2136="Sin Factura",Q2136=""),"",IFERROR(INDEX(Pagos_Odoo!$B:$B, MATCH(Q2136, Pagos_Odoo!$I:$I, 0)), "Sin Pago"))</f>
        <v/>
      </c>
      <c r="Y2136" s="79">
        <f>IF(X2136="Sin Pago","",IFERROR(INDEX(Pagos_Odoo!$C:$C, MATCH(X2136, Pagos_Odoo!$B:$B, 0)), ""))</f>
        <v/>
      </c>
      <c r="Z2136" s="80">
        <f>IF(X2136="Sin Pago","",IFERROR(INDEX(Pagos_Odoo!$A:$A, MATCH(X2136, Pagos_Odoo!$B:$B, 0)), ""))</f>
        <v/>
      </c>
      <c r="AA2136" s="79">
        <f>IF(X2136="Sin Pago","",IFERROR(INDEX(Pagos_Odoo!$F:$F, MATCH(X2136, Pagos_Odoo!$B:$B, 0)), ""))</f>
        <v/>
      </c>
      <c r="AB2136" s="81">
        <f>IF(X2136="Sin Pago",0,IFERROR(INDEX(Pagos_Odoo!$E:$E, MATCH(X2136, Pagos_Odoo!$B:$B, 0)), 0))</f>
        <v/>
      </c>
      <c r="AC2136" s="79">
        <f>IF(X2136="Sin Pago","",IFERROR(INDEX(Pagos_Odoo!$G:$G, MATCH(X2136, Pagos_Odoo!$B:$B, 0)), ""))</f>
        <v/>
      </c>
      <c r="AD2136" s="82" t="n">
        <v>0</v>
      </c>
      <c r="AE2136" s="82" t="n"/>
      <c r="AF2136" s="82" t="n"/>
      <c r="AG2136" s="82">
        <f>IF(AN2136="","",AD2136+AE2136+AF2136)</f>
        <v/>
      </c>
      <c r="AH2136" s="81">
        <f>IF(AN2136="","",P2136*(1-AG2136))</f>
        <v/>
      </c>
      <c r="AI2136" s="81">
        <f>IF(AN2136="","",IF(Q2136="Sin Factura",0,IFERROR(INDEX(Facturas_Odoo!$H:$H, MATCH(Q2136, Facturas_Odoo!$B:$B, 0)), 0)*(1-AG2136)))</f>
        <v/>
      </c>
      <c r="AJ2136" s="81">
        <f>IF(AN2136="","",_xlfn.LET(idVenta, AN2136&amp;"",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36" s="81">
        <f>IF(AN2136="","",AH2136-AJ2136)</f>
        <v/>
      </c>
      <c r="AL2136" s="81">
        <f>IF(AN2136="","",IF(Q2136="Sin Factura","",AI2136-AJ2136))</f>
        <v/>
      </c>
      <c r="AM2136" s="81">
        <f>IF(AN2136="","",IF(Q2136="Sin Factura",0,P2136-IFERROR(INDEX(Facturas_Odoo!$H:$H, MATCH(Q2136, Facturas_Odoo!$B:$B, 0)), 0)))</f>
        <v/>
      </c>
      <c r="AN2136" s="79">
        <f>IF(AND(A2136="", J2136=""), "", IF(A2136&lt;&gt;"", VALUE(MID(A2136,2,LEN(A2136))), AN2135))</f>
        <v/>
      </c>
      <c r="AO2136" s="79">
        <f>IF(AN2136="","",IF(AD2136=0,"OK",_xlfn.LET(monedaPago, IF(AA2136="","USD",AA2136), limitePermitido, IFERROR(VLOOKUP(monedaPago, Configuración!$A$2:$B$3, 2, FALSE), 0.15), IF(AD2136&gt;limitePermitido, "ALERTA: EXCESO (" &amp; TEXT(limitePermitido, "0%") &amp; " máx)", "OK"))))</f>
        <v/>
      </c>
      <c r="AP2136" s="79">
        <f>IF(AN2136="","",IF(AE2136=0,"OK",_xlfn.LET(fechaPago, Z2136, fechaFactura, R2136, diasCredito, IF(E2136="Pago inmediato", 0, IFERROR(VALUE(MID(E2136, 1, SEARCH(" ", E2136)-1)),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36" s="79">
        <f>IF(AN2136="","",IF(AND(N2136&gt;0, AG2136&gt;0), IF(Configuración!$K$2="NO", "ALERTA: DESCUENTO DOBLE NO PERMITIDO", "OK"), "OK"))</f>
        <v/>
      </c>
      <c r="AR2136" s="79">
        <f>IF(AN2136="","",IF(OR(AO2136&lt;&gt;"OK", AP2136&lt;&gt;"OK", AQ2136&lt;&gt;"OK"), "⚠️ REVISAR", "OK"))</f>
        <v/>
      </c>
    </row>
    <row r="2137">
      <c r="A2137" s="79">
        <f>IF('Ordenes_Odoo'!A2137="","",'Ordenes_Odoo'!A2137)</f>
        <v/>
      </c>
      <c r="B2137" s="80">
        <f>IF('Ordenes_Odoo'!B2137="","",'Ordenes_Odoo'!B2137)</f>
        <v/>
      </c>
      <c r="C2137" s="79">
        <f>IF('Ordenes_Odoo'!C2137="","",'Ordenes_Odoo'!C2137)</f>
        <v/>
      </c>
      <c r="D2137" s="79">
        <f>IF('Ordenes_Odoo'!D2137="","",'Ordenes_Odoo'!D2137)</f>
        <v/>
      </c>
      <c r="E2137" s="79">
        <f>IF('Ordenes_Odoo'!E2137="","",'Ordenes_Odoo'!E2137)</f>
        <v/>
      </c>
      <c r="F2137" s="79">
        <f>IF('Ordenes_Odoo'!F2137="","",'Ordenes_Odoo'!F2137)</f>
        <v/>
      </c>
      <c r="G2137" s="79">
        <f>IF('Ordenes_Odoo'!G2137="","",'Ordenes_Odoo'!G2137)</f>
        <v/>
      </c>
      <c r="H2137" s="79">
        <f>IF('Ordenes_Odoo'!H2137="","",'Ordenes_Odoo'!H2137)</f>
        <v/>
      </c>
      <c r="I2137" s="79">
        <f>IF('Ordenes_Odoo'!I2137="","",'Ordenes_Odoo'!I2137)</f>
        <v/>
      </c>
      <c r="J2137" s="79">
        <f>IF('Ordenes_Odoo'!J2137="","",'Ordenes_Odoo'!J2137)</f>
        <v/>
      </c>
      <c r="K2137" s="81">
        <f>IF('Ordenes_Odoo'!K2137="","",'Ordenes_Odoo'!K2137)</f>
        <v/>
      </c>
      <c r="L2137" s="81">
        <f>IF('Ordenes_Odoo'!L2137="","",'Ordenes_Odoo'!L2137)</f>
        <v/>
      </c>
      <c r="M2137" s="79">
        <f>IF('Ordenes_Odoo'!M2137="","",'Ordenes_Odoo'!M2137)</f>
        <v/>
      </c>
      <c r="N2137" s="79">
        <f>IF('Ordenes_Odoo'!N2137="","",'Ordenes_Odoo'!N2137)</f>
        <v/>
      </c>
      <c r="O2137" s="81">
        <f>IF('Ordenes_Odoo'!O2137="","",'Ordenes_Odoo'!O2137)</f>
        <v/>
      </c>
      <c r="P2137" s="81">
        <f>IF('Ordenes_Odoo'!P2137="","",'Ordenes_Odoo'!P2137)</f>
        <v/>
      </c>
      <c r="Q2137" s="79">
        <f>IF(A2137="","",IFERROR(INDEX(Facturas_Odoo!$B:$B, MATCH(A2137, Facturas_Odoo!$D:$D, 0)), "Sin Factura"))</f>
        <v/>
      </c>
      <c r="R2137" s="80">
        <f>IF(Q2137="Sin Factura","",IFERROR(INDEX(Facturas_Odoo!$A:$A, MATCH(Q2137, Facturas_Odoo!$B:$B, 0)), ""))</f>
        <v/>
      </c>
      <c r="S2137" s="79">
        <f>IF(Q2137="Sin Factura","",IFERROR(_xlfn.XLOOKUP(1, (Facturas_Odoo!$D:$D=A2137) * (Facturas_Odoo!$K:$K=I2137), Facturas_Odoo!$L:$L, ""), ""))</f>
        <v/>
      </c>
      <c r="T2137" s="81">
        <f>IF(Q2137="Sin Factura",0,IFERROR(_xlfn.XLOOKUP(1, (Facturas_Odoo!$D:$D=A2137) * (Facturas_Odoo!$K:$K=I2137), Facturas_Odoo!$M:$M, 0), 0))</f>
        <v/>
      </c>
      <c r="U2137" s="79">
        <f>IF(Q2137="Sin Factura",0,IFERROR(_xlfn.XLOOKUP(1, (Facturas_Odoo!$D:$D=A2137) * (Facturas_Odoo!$K:$K=I2137), Facturas_Odoo!$N:$N, 0), 0))</f>
        <v/>
      </c>
      <c r="V2137" s="79">
        <f>IF(Q2137="Sin Factura",0,IFERROR(_xlfn.XLOOKUP(1, (Facturas_Odoo!$D:$D=A2137) * (Facturas_Odoo!$K:$K=I2137), Facturas_Odoo!$O:$O, 0), 0))</f>
        <v/>
      </c>
      <c r="W2137" s="81">
        <f>IF(Q2137="Sin Factura",0,IFERROR(_xlfn.XLOOKUP(1, (Facturas_Odoo!$D:$D=A2137) * (Facturas_Odoo!$K:$K=I2137), Facturas_Odoo!$Q:$Q, 0), 0))</f>
        <v/>
      </c>
      <c r="X2137" s="79">
        <f>IF(OR(Q2137="Sin Factura",Q2137=""),"",IFERROR(INDEX(Pagos_Odoo!$B:$B, MATCH(Q2137, Pagos_Odoo!$I:$I, 0)), "Sin Pago"))</f>
        <v/>
      </c>
      <c r="Y2137" s="79">
        <f>IF(X2137="Sin Pago","",IFERROR(INDEX(Pagos_Odoo!$C:$C, MATCH(X2137, Pagos_Odoo!$B:$B, 0)), ""))</f>
        <v/>
      </c>
      <c r="Z2137" s="80">
        <f>IF(X2137="Sin Pago","",IFERROR(INDEX(Pagos_Odoo!$A:$A, MATCH(X2137, Pagos_Odoo!$B:$B, 0)), ""))</f>
        <v/>
      </c>
      <c r="AA2137" s="79">
        <f>IF(X2137="Sin Pago","",IFERROR(INDEX(Pagos_Odoo!$F:$F, MATCH(X2137, Pagos_Odoo!$B:$B, 0)), ""))</f>
        <v/>
      </c>
      <c r="AB2137" s="81">
        <f>IF(X2137="Sin Pago",0,IFERROR(INDEX(Pagos_Odoo!$E:$E, MATCH(X2137, Pagos_Odoo!$B:$B, 0)), 0))</f>
        <v/>
      </c>
      <c r="AC2137" s="79">
        <f>IF(X2137="Sin Pago","",IFERROR(INDEX(Pagos_Odoo!$G:$G, MATCH(X2137, Pagos_Odoo!$B:$B, 0)), ""))</f>
        <v/>
      </c>
      <c r="AD2137" s="82" t="n">
        <v>0</v>
      </c>
      <c r="AE2137" s="82" t="n"/>
      <c r="AF2137" s="82" t="n"/>
      <c r="AG2137" s="82">
        <f>IF(AN2137="","",AD2137+AE2137+AF2137)</f>
        <v/>
      </c>
      <c r="AH2137" s="81">
        <f>IF(AN2137="","",P2137*(1-AG2137))</f>
        <v/>
      </c>
      <c r="AI2137" s="81">
        <f>IF(AN2137="","",IF(Q2137="Sin Factura",0,IFERROR(INDEX(Facturas_Odoo!$H:$H, MATCH(Q2137, Facturas_Odoo!$B:$B, 0)), 0)*(1-AG2137)))</f>
        <v/>
      </c>
      <c r="AJ2137" s="81">
        <f>IF(AN2137="","",_xlfn.LET(idVenta, AN2137&amp;"",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37" s="81">
        <f>IF(AN2137="","",AH2137-AJ2137)</f>
        <v/>
      </c>
      <c r="AL2137" s="81">
        <f>IF(AN2137="","",IF(Q2137="Sin Factura","",AI2137-AJ2137))</f>
        <v/>
      </c>
      <c r="AM2137" s="81">
        <f>IF(AN2137="","",IF(Q2137="Sin Factura",0,P2137-IFERROR(INDEX(Facturas_Odoo!$H:$H, MATCH(Q2137, Facturas_Odoo!$B:$B, 0)), 0)))</f>
        <v/>
      </c>
      <c r="AN2137" s="79">
        <f>IF(AND(A2137="", J2137=""), "", IF(A2137&lt;&gt;"", VALUE(MID(A2137,2,LEN(A2137))), AN2136))</f>
        <v/>
      </c>
      <c r="AO2137" s="79">
        <f>IF(AN2137="","",IF(AD2137=0,"OK",_xlfn.LET(monedaPago, IF(AA2137="","USD",AA2137), limitePermitido, IFERROR(VLOOKUP(monedaPago, Configuración!$A$2:$B$3, 2, FALSE), 0.15), IF(AD2137&gt;limitePermitido, "ALERTA: EXCESO (" &amp; TEXT(limitePermitido, "0%") &amp; " máx)", "OK"))))</f>
        <v/>
      </c>
      <c r="AP2137" s="79">
        <f>IF(AN2137="","",IF(AE2137=0,"OK",_xlfn.LET(fechaPago, Z2137, fechaFactura, R2137, diasCredito, IF(E2137="Pago inmediato", 0, IFERROR(VALUE(MID(E2137, 1, SEARCH(" ", E2137)-1)),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37" s="79">
        <f>IF(AN2137="","",IF(AND(N2137&gt;0, AG2137&gt;0), IF(Configuración!$K$2="NO", "ALERTA: DESCUENTO DOBLE NO PERMITIDO", "OK"), "OK"))</f>
        <v/>
      </c>
      <c r="AR2137" s="79">
        <f>IF(AN2137="","",IF(OR(AO2137&lt;&gt;"OK", AP2137&lt;&gt;"OK", AQ2137&lt;&gt;"OK"), "⚠️ REVISAR", "OK"))</f>
        <v/>
      </c>
    </row>
    <row r="2138">
      <c r="A2138" s="79">
        <f>IF('Ordenes_Odoo'!A2138="","",'Ordenes_Odoo'!A2138)</f>
        <v/>
      </c>
      <c r="B2138" s="80">
        <f>IF('Ordenes_Odoo'!B2138="","",'Ordenes_Odoo'!B2138)</f>
        <v/>
      </c>
      <c r="C2138" s="79">
        <f>IF('Ordenes_Odoo'!C2138="","",'Ordenes_Odoo'!C2138)</f>
        <v/>
      </c>
      <c r="D2138" s="79">
        <f>IF('Ordenes_Odoo'!D2138="","",'Ordenes_Odoo'!D2138)</f>
        <v/>
      </c>
      <c r="E2138" s="79">
        <f>IF('Ordenes_Odoo'!E2138="","",'Ordenes_Odoo'!E2138)</f>
        <v/>
      </c>
      <c r="F2138" s="79">
        <f>IF('Ordenes_Odoo'!F2138="","",'Ordenes_Odoo'!F2138)</f>
        <v/>
      </c>
      <c r="G2138" s="79">
        <f>IF('Ordenes_Odoo'!G2138="","",'Ordenes_Odoo'!G2138)</f>
        <v/>
      </c>
      <c r="H2138" s="79">
        <f>IF('Ordenes_Odoo'!H2138="","",'Ordenes_Odoo'!H2138)</f>
        <v/>
      </c>
      <c r="I2138" s="79">
        <f>IF('Ordenes_Odoo'!I2138="","",'Ordenes_Odoo'!I2138)</f>
        <v/>
      </c>
      <c r="J2138" s="79">
        <f>IF('Ordenes_Odoo'!J2138="","",'Ordenes_Odoo'!J2138)</f>
        <v/>
      </c>
      <c r="K2138" s="81">
        <f>IF('Ordenes_Odoo'!K2138="","",'Ordenes_Odoo'!K2138)</f>
        <v/>
      </c>
      <c r="L2138" s="81">
        <f>IF('Ordenes_Odoo'!L2138="","",'Ordenes_Odoo'!L2138)</f>
        <v/>
      </c>
      <c r="M2138" s="79">
        <f>IF('Ordenes_Odoo'!M2138="","",'Ordenes_Odoo'!M2138)</f>
        <v/>
      </c>
      <c r="N2138" s="79">
        <f>IF('Ordenes_Odoo'!N2138="","",'Ordenes_Odoo'!N2138)</f>
        <v/>
      </c>
      <c r="O2138" s="81">
        <f>IF('Ordenes_Odoo'!O2138="","",'Ordenes_Odoo'!O2138)</f>
        <v/>
      </c>
      <c r="P2138" s="81">
        <f>IF('Ordenes_Odoo'!P2138="","",'Ordenes_Odoo'!P2138)</f>
        <v/>
      </c>
      <c r="Q2138" s="79">
        <f>IF(A2138="","",IFERROR(INDEX(Facturas_Odoo!$B:$B, MATCH(A2138, Facturas_Odoo!$D:$D, 0)), "Sin Factura"))</f>
        <v/>
      </c>
      <c r="R2138" s="80">
        <f>IF(Q2138="Sin Factura","",IFERROR(INDEX(Facturas_Odoo!$A:$A, MATCH(Q2138, Facturas_Odoo!$B:$B, 0)), ""))</f>
        <v/>
      </c>
      <c r="S2138" s="79">
        <f>IF(Q2138="Sin Factura","",IFERROR(_xlfn.XLOOKUP(1, (Facturas_Odoo!$D:$D=A2138) * (Facturas_Odoo!$K:$K=I2138), Facturas_Odoo!$L:$L, ""), ""))</f>
        <v/>
      </c>
      <c r="T2138" s="81">
        <f>IF(Q2138="Sin Factura",0,IFERROR(_xlfn.XLOOKUP(1, (Facturas_Odoo!$D:$D=A2138) * (Facturas_Odoo!$K:$K=I2138), Facturas_Odoo!$M:$M, 0), 0))</f>
        <v/>
      </c>
      <c r="U2138" s="79">
        <f>IF(Q2138="Sin Factura",0,IFERROR(_xlfn.XLOOKUP(1, (Facturas_Odoo!$D:$D=A2138) * (Facturas_Odoo!$K:$K=I2138), Facturas_Odoo!$N:$N, 0), 0))</f>
        <v/>
      </c>
      <c r="V2138" s="79">
        <f>IF(Q2138="Sin Factura",0,IFERROR(_xlfn.XLOOKUP(1, (Facturas_Odoo!$D:$D=A2138) * (Facturas_Odoo!$K:$K=I2138), Facturas_Odoo!$O:$O, 0), 0))</f>
        <v/>
      </c>
      <c r="W2138" s="81">
        <f>IF(Q2138="Sin Factura",0,IFERROR(_xlfn.XLOOKUP(1, (Facturas_Odoo!$D:$D=A2138) * (Facturas_Odoo!$K:$K=I2138), Facturas_Odoo!$Q:$Q, 0), 0))</f>
        <v/>
      </c>
      <c r="X2138" s="79">
        <f>IF(OR(Q2138="Sin Factura",Q2138=""),"",IFERROR(INDEX(Pagos_Odoo!$B:$B, MATCH(Q2138, Pagos_Odoo!$I:$I, 0)), "Sin Pago"))</f>
        <v/>
      </c>
      <c r="Y2138" s="79">
        <f>IF(X2138="Sin Pago","",IFERROR(INDEX(Pagos_Odoo!$C:$C, MATCH(X2138, Pagos_Odoo!$B:$B, 0)), ""))</f>
        <v/>
      </c>
      <c r="Z2138" s="80">
        <f>IF(X2138="Sin Pago","",IFERROR(INDEX(Pagos_Odoo!$A:$A, MATCH(X2138, Pagos_Odoo!$B:$B, 0)), ""))</f>
        <v/>
      </c>
      <c r="AA2138" s="79">
        <f>IF(X2138="Sin Pago","",IFERROR(INDEX(Pagos_Odoo!$F:$F, MATCH(X2138, Pagos_Odoo!$B:$B, 0)), ""))</f>
        <v/>
      </c>
      <c r="AB2138" s="81">
        <f>IF(X2138="Sin Pago",0,IFERROR(INDEX(Pagos_Odoo!$E:$E, MATCH(X2138, Pagos_Odoo!$B:$B, 0)), 0))</f>
        <v/>
      </c>
      <c r="AC2138" s="79">
        <f>IF(X2138="Sin Pago","",IFERROR(INDEX(Pagos_Odoo!$G:$G, MATCH(X2138, Pagos_Odoo!$B:$B, 0)), ""))</f>
        <v/>
      </c>
      <c r="AD2138" s="82" t="n">
        <v>0</v>
      </c>
      <c r="AE2138" s="82" t="n"/>
      <c r="AF2138" s="82" t="n"/>
      <c r="AG2138" s="82">
        <f>IF(AN2138="","",AD2138+AE2138+AF2138)</f>
        <v/>
      </c>
      <c r="AH2138" s="81">
        <f>IF(AN2138="","",P2138*(1-AG2138))</f>
        <v/>
      </c>
      <c r="AI2138" s="81">
        <f>IF(AN2138="","",IF(Q2138="Sin Factura",0,IFERROR(INDEX(Facturas_Odoo!$H:$H, MATCH(Q2138, Facturas_Odoo!$B:$B, 0)), 0)*(1-AG2138)))</f>
        <v/>
      </c>
      <c r="AJ2138" s="81">
        <f>IF(AN2138="","",_xlfn.LET(idVenta, AN2138&amp;"",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38" s="81">
        <f>IF(AN2138="","",AH2138-AJ2138)</f>
        <v/>
      </c>
      <c r="AL2138" s="81">
        <f>IF(AN2138="","",IF(Q2138="Sin Factura","",AI2138-AJ2138))</f>
        <v/>
      </c>
      <c r="AM2138" s="81">
        <f>IF(AN2138="","",IF(Q2138="Sin Factura",0,P2138-IFERROR(INDEX(Facturas_Odoo!$H:$H, MATCH(Q2138, Facturas_Odoo!$B:$B, 0)), 0)))</f>
        <v/>
      </c>
      <c r="AN2138" s="79">
        <f>IF(AND(A2138="", J2138=""), "", IF(A2138&lt;&gt;"", VALUE(MID(A2138,2,LEN(A2138))), AN2137))</f>
        <v/>
      </c>
      <c r="AO2138" s="79">
        <f>IF(AN2138="","",IF(AD2138=0,"OK",_xlfn.LET(monedaPago, IF(AA2138="","USD",AA2138), limitePermitido, IFERROR(VLOOKUP(monedaPago, Configuración!$A$2:$B$3, 2, FALSE), 0.15), IF(AD2138&gt;limitePermitido, "ALERTA: EXCESO (" &amp; TEXT(limitePermitido, "0%") &amp; " máx)", "OK"))))</f>
        <v/>
      </c>
      <c r="AP2138" s="79">
        <f>IF(AN2138="","",IF(AE2138=0,"OK",_xlfn.LET(fechaPago, Z2138, fechaFactura, R2138, diasCredito, IF(E2138="Pago inmediato", 0, IFERROR(VALUE(MID(E2138, 1, SEARCH(" ", E2138)-1)),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38" s="79">
        <f>IF(AN2138="","",IF(AND(N2138&gt;0, AG2138&gt;0), IF(Configuración!$K$2="NO", "ALERTA: DESCUENTO DOBLE NO PERMITIDO", "OK"), "OK"))</f>
        <v/>
      </c>
      <c r="AR2138" s="79">
        <f>IF(AN2138="","",IF(OR(AO2138&lt;&gt;"OK", AP2138&lt;&gt;"OK", AQ2138&lt;&gt;"OK"), "⚠️ REVISAR", "OK"))</f>
        <v/>
      </c>
    </row>
    <row r="2139">
      <c r="A2139" s="79">
        <f>IF('Ordenes_Odoo'!A2139="","",'Ordenes_Odoo'!A2139)</f>
        <v/>
      </c>
      <c r="B2139" s="80">
        <f>IF('Ordenes_Odoo'!B2139="","",'Ordenes_Odoo'!B2139)</f>
        <v/>
      </c>
      <c r="C2139" s="79">
        <f>IF('Ordenes_Odoo'!C2139="","",'Ordenes_Odoo'!C2139)</f>
        <v/>
      </c>
      <c r="D2139" s="79">
        <f>IF('Ordenes_Odoo'!D2139="","",'Ordenes_Odoo'!D2139)</f>
        <v/>
      </c>
      <c r="E2139" s="79">
        <f>IF('Ordenes_Odoo'!E2139="","",'Ordenes_Odoo'!E2139)</f>
        <v/>
      </c>
      <c r="F2139" s="79">
        <f>IF('Ordenes_Odoo'!F2139="","",'Ordenes_Odoo'!F2139)</f>
        <v/>
      </c>
      <c r="G2139" s="79">
        <f>IF('Ordenes_Odoo'!G2139="","",'Ordenes_Odoo'!G2139)</f>
        <v/>
      </c>
      <c r="H2139" s="79">
        <f>IF('Ordenes_Odoo'!H2139="","",'Ordenes_Odoo'!H2139)</f>
        <v/>
      </c>
      <c r="I2139" s="79">
        <f>IF('Ordenes_Odoo'!I2139="","",'Ordenes_Odoo'!I2139)</f>
        <v/>
      </c>
      <c r="J2139" s="79">
        <f>IF('Ordenes_Odoo'!J2139="","",'Ordenes_Odoo'!J2139)</f>
        <v/>
      </c>
      <c r="K2139" s="81">
        <f>IF('Ordenes_Odoo'!K2139="","",'Ordenes_Odoo'!K2139)</f>
        <v/>
      </c>
      <c r="L2139" s="81">
        <f>IF('Ordenes_Odoo'!L2139="","",'Ordenes_Odoo'!L2139)</f>
        <v/>
      </c>
      <c r="M2139" s="79">
        <f>IF('Ordenes_Odoo'!M2139="","",'Ordenes_Odoo'!M2139)</f>
        <v/>
      </c>
      <c r="N2139" s="79">
        <f>IF('Ordenes_Odoo'!N2139="","",'Ordenes_Odoo'!N2139)</f>
        <v/>
      </c>
      <c r="O2139" s="81">
        <f>IF('Ordenes_Odoo'!O2139="","",'Ordenes_Odoo'!O2139)</f>
        <v/>
      </c>
      <c r="P2139" s="81">
        <f>IF('Ordenes_Odoo'!P2139="","",'Ordenes_Odoo'!P2139)</f>
        <v/>
      </c>
      <c r="Q2139" s="79">
        <f>IF(A2139="","",IFERROR(INDEX(Facturas_Odoo!$B:$B, MATCH(A2139, Facturas_Odoo!$D:$D, 0)), "Sin Factura"))</f>
        <v/>
      </c>
      <c r="R2139" s="80">
        <f>IF(Q2139="Sin Factura","",IFERROR(INDEX(Facturas_Odoo!$A:$A, MATCH(Q2139, Facturas_Odoo!$B:$B, 0)), ""))</f>
        <v/>
      </c>
      <c r="S2139" s="79">
        <f>IF(Q2139="Sin Factura","",IFERROR(_xlfn.XLOOKUP(1, (Facturas_Odoo!$D:$D=A2139) * (Facturas_Odoo!$K:$K=I2139), Facturas_Odoo!$L:$L, ""), ""))</f>
        <v/>
      </c>
      <c r="T2139" s="81">
        <f>IF(Q2139="Sin Factura",0,IFERROR(_xlfn.XLOOKUP(1, (Facturas_Odoo!$D:$D=A2139) * (Facturas_Odoo!$K:$K=I2139), Facturas_Odoo!$M:$M, 0), 0))</f>
        <v/>
      </c>
      <c r="U2139" s="79">
        <f>IF(Q2139="Sin Factura",0,IFERROR(_xlfn.XLOOKUP(1, (Facturas_Odoo!$D:$D=A2139) * (Facturas_Odoo!$K:$K=I2139), Facturas_Odoo!$N:$N, 0), 0))</f>
        <v/>
      </c>
      <c r="V2139" s="79">
        <f>IF(Q2139="Sin Factura",0,IFERROR(_xlfn.XLOOKUP(1, (Facturas_Odoo!$D:$D=A2139) * (Facturas_Odoo!$K:$K=I2139), Facturas_Odoo!$O:$O, 0), 0))</f>
        <v/>
      </c>
      <c r="W2139" s="81">
        <f>IF(Q2139="Sin Factura",0,IFERROR(_xlfn.XLOOKUP(1, (Facturas_Odoo!$D:$D=A2139) * (Facturas_Odoo!$K:$K=I2139), Facturas_Odoo!$Q:$Q, 0), 0))</f>
        <v/>
      </c>
      <c r="X2139" s="79">
        <f>IF(OR(Q2139="Sin Factura",Q2139=""),"",IFERROR(INDEX(Pagos_Odoo!$B:$B, MATCH(Q2139, Pagos_Odoo!$I:$I, 0)), "Sin Pago"))</f>
        <v/>
      </c>
      <c r="Y2139" s="79">
        <f>IF(X2139="Sin Pago","",IFERROR(INDEX(Pagos_Odoo!$C:$C, MATCH(X2139, Pagos_Odoo!$B:$B, 0)), ""))</f>
        <v/>
      </c>
      <c r="Z2139" s="80">
        <f>IF(X2139="Sin Pago","",IFERROR(INDEX(Pagos_Odoo!$A:$A, MATCH(X2139, Pagos_Odoo!$B:$B, 0)), ""))</f>
        <v/>
      </c>
      <c r="AA2139" s="79">
        <f>IF(X2139="Sin Pago","",IFERROR(INDEX(Pagos_Odoo!$F:$F, MATCH(X2139, Pagos_Odoo!$B:$B, 0)), ""))</f>
        <v/>
      </c>
      <c r="AB2139" s="81">
        <f>IF(X2139="Sin Pago",0,IFERROR(INDEX(Pagos_Odoo!$E:$E, MATCH(X2139, Pagos_Odoo!$B:$B, 0)), 0))</f>
        <v/>
      </c>
      <c r="AC2139" s="79">
        <f>IF(X2139="Sin Pago","",IFERROR(INDEX(Pagos_Odoo!$G:$G, MATCH(X2139, Pagos_Odoo!$B:$B, 0)), ""))</f>
        <v/>
      </c>
      <c r="AD2139" s="82" t="n">
        <v>0</v>
      </c>
      <c r="AE2139" s="82" t="n"/>
      <c r="AF2139" s="82" t="n"/>
      <c r="AG2139" s="82">
        <f>IF(AN2139="","",AD2139+AE2139+AF2139)</f>
        <v/>
      </c>
      <c r="AH2139" s="81">
        <f>IF(AN2139="","",P2139*(1-AG2139))</f>
        <v/>
      </c>
      <c r="AI2139" s="81">
        <f>IF(AN2139="","",IF(Q2139="Sin Factura",0,IFERROR(INDEX(Facturas_Odoo!$H:$H, MATCH(Q2139, Facturas_Odoo!$B:$B, 0)), 0)*(1-AG2139)))</f>
        <v/>
      </c>
      <c r="AJ2139" s="81">
        <f>IF(AN2139="","",_xlfn.LET(idVenta, AN2139&amp;"",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39" s="81">
        <f>IF(AN2139="","",AH2139-AJ2139)</f>
        <v/>
      </c>
      <c r="AL2139" s="81">
        <f>IF(AN2139="","",IF(Q2139="Sin Factura","",AI2139-AJ2139))</f>
        <v/>
      </c>
      <c r="AM2139" s="81">
        <f>IF(AN2139="","",IF(Q2139="Sin Factura",0,P2139-IFERROR(INDEX(Facturas_Odoo!$H:$H, MATCH(Q2139, Facturas_Odoo!$B:$B, 0)), 0)))</f>
        <v/>
      </c>
      <c r="AN2139" s="79">
        <f>IF(AND(A2139="", J2139=""), "", IF(A2139&lt;&gt;"", VALUE(MID(A2139,2,LEN(A2139))), AN2138))</f>
        <v/>
      </c>
      <c r="AO2139" s="79">
        <f>IF(AN2139="","",IF(AD2139=0,"OK",_xlfn.LET(monedaPago, IF(AA2139="","USD",AA2139), limitePermitido, IFERROR(VLOOKUP(monedaPago, Configuración!$A$2:$B$3, 2, FALSE), 0.15), IF(AD2139&gt;limitePermitido, "ALERTA: EXCESO (" &amp; TEXT(limitePermitido, "0%") &amp; " máx)", "OK"))))</f>
        <v/>
      </c>
      <c r="AP2139" s="79">
        <f>IF(AN2139="","",IF(AE2139=0,"OK",_xlfn.LET(fechaPago, Z2139, fechaFactura, R2139, diasCredito, IF(E2139="Pago inmediato", 0, IFERROR(VALUE(MID(E2139, 1, SEARCH(" ", E2139)-1)),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39" s="79">
        <f>IF(AN2139="","",IF(AND(N2139&gt;0, AG2139&gt;0), IF(Configuración!$K$2="NO", "ALERTA: DESCUENTO DOBLE NO PERMITIDO", "OK"), "OK"))</f>
        <v/>
      </c>
      <c r="AR2139" s="79">
        <f>IF(AN2139="","",IF(OR(AO2139&lt;&gt;"OK", AP2139&lt;&gt;"OK", AQ2139&lt;&gt;"OK"), "⚠️ REVISAR", "OK"))</f>
        <v/>
      </c>
    </row>
    <row r="2140">
      <c r="A2140" s="79">
        <f>IF('Ordenes_Odoo'!A2140="","",'Ordenes_Odoo'!A2140)</f>
        <v/>
      </c>
      <c r="B2140" s="80">
        <f>IF('Ordenes_Odoo'!B2140="","",'Ordenes_Odoo'!B2140)</f>
        <v/>
      </c>
      <c r="C2140" s="79">
        <f>IF('Ordenes_Odoo'!C2140="","",'Ordenes_Odoo'!C2140)</f>
        <v/>
      </c>
      <c r="D2140" s="79">
        <f>IF('Ordenes_Odoo'!D2140="","",'Ordenes_Odoo'!D2140)</f>
        <v/>
      </c>
      <c r="E2140" s="79">
        <f>IF('Ordenes_Odoo'!E2140="","",'Ordenes_Odoo'!E2140)</f>
        <v/>
      </c>
      <c r="F2140" s="79">
        <f>IF('Ordenes_Odoo'!F2140="","",'Ordenes_Odoo'!F2140)</f>
        <v/>
      </c>
      <c r="G2140" s="79">
        <f>IF('Ordenes_Odoo'!G2140="","",'Ordenes_Odoo'!G2140)</f>
        <v/>
      </c>
      <c r="H2140" s="79">
        <f>IF('Ordenes_Odoo'!H2140="","",'Ordenes_Odoo'!H2140)</f>
        <v/>
      </c>
      <c r="I2140" s="79">
        <f>IF('Ordenes_Odoo'!I2140="","",'Ordenes_Odoo'!I2140)</f>
        <v/>
      </c>
      <c r="J2140" s="79">
        <f>IF('Ordenes_Odoo'!J2140="","",'Ordenes_Odoo'!J2140)</f>
        <v/>
      </c>
      <c r="K2140" s="81">
        <f>IF('Ordenes_Odoo'!K2140="","",'Ordenes_Odoo'!K2140)</f>
        <v/>
      </c>
      <c r="L2140" s="81">
        <f>IF('Ordenes_Odoo'!L2140="","",'Ordenes_Odoo'!L2140)</f>
        <v/>
      </c>
      <c r="M2140" s="79">
        <f>IF('Ordenes_Odoo'!M2140="","",'Ordenes_Odoo'!M2140)</f>
        <v/>
      </c>
      <c r="N2140" s="79">
        <f>IF('Ordenes_Odoo'!N2140="","",'Ordenes_Odoo'!N2140)</f>
        <v/>
      </c>
      <c r="O2140" s="81">
        <f>IF('Ordenes_Odoo'!O2140="","",'Ordenes_Odoo'!O2140)</f>
        <v/>
      </c>
      <c r="P2140" s="81">
        <f>IF('Ordenes_Odoo'!P2140="","",'Ordenes_Odoo'!P2140)</f>
        <v/>
      </c>
      <c r="Q2140" s="79">
        <f>IF(A2140="","",IFERROR(INDEX(Facturas_Odoo!$B:$B, MATCH(A2140, Facturas_Odoo!$D:$D, 0)), "Sin Factura"))</f>
        <v/>
      </c>
      <c r="R2140" s="80">
        <f>IF(Q2140="Sin Factura","",IFERROR(INDEX(Facturas_Odoo!$A:$A, MATCH(Q2140, Facturas_Odoo!$B:$B, 0)), ""))</f>
        <v/>
      </c>
      <c r="S2140" s="79">
        <f>IF(Q2140="Sin Factura","",IFERROR(_xlfn.XLOOKUP(1, (Facturas_Odoo!$D:$D=A2140) * (Facturas_Odoo!$K:$K=I2140), Facturas_Odoo!$L:$L, ""), ""))</f>
        <v/>
      </c>
      <c r="T2140" s="81">
        <f>IF(Q2140="Sin Factura",0,IFERROR(_xlfn.XLOOKUP(1, (Facturas_Odoo!$D:$D=A2140) * (Facturas_Odoo!$K:$K=I2140), Facturas_Odoo!$M:$M, 0), 0))</f>
        <v/>
      </c>
      <c r="U2140" s="79">
        <f>IF(Q2140="Sin Factura",0,IFERROR(_xlfn.XLOOKUP(1, (Facturas_Odoo!$D:$D=A2140) * (Facturas_Odoo!$K:$K=I2140), Facturas_Odoo!$N:$N, 0), 0))</f>
        <v/>
      </c>
      <c r="V2140" s="79">
        <f>IF(Q2140="Sin Factura",0,IFERROR(_xlfn.XLOOKUP(1, (Facturas_Odoo!$D:$D=A2140) * (Facturas_Odoo!$K:$K=I2140), Facturas_Odoo!$O:$O, 0), 0))</f>
        <v/>
      </c>
      <c r="W2140" s="81">
        <f>IF(Q2140="Sin Factura",0,IFERROR(_xlfn.XLOOKUP(1, (Facturas_Odoo!$D:$D=A2140) * (Facturas_Odoo!$K:$K=I2140), Facturas_Odoo!$Q:$Q, 0), 0))</f>
        <v/>
      </c>
      <c r="X2140" s="79">
        <f>IF(OR(Q2140="Sin Factura",Q2140=""),"",IFERROR(INDEX(Pagos_Odoo!$B:$B, MATCH(Q2140, Pagos_Odoo!$I:$I, 0)), "Sin Pago"))</f>
        <v/>
      </c>
      <c r="Y2140" s="79">
        <f>IF(X2140="Sin Pago","",IFERROR(INDEX(Pagos_Odoo!$C:$C, MATCH(X2140, Pagos_Odoo!$B:$B, 0)), ""))</f>
        <v/>
      </c>
      <c r="Z2140" s="80">
        <f>IF(X2140="Sin Pago","",IFERROR(INDEX(Pagos_Odoo!$A:$A, MATCH(X2140, Pagos_Odoo!$B:$B, 0)), ""))</f>
        <v/>
      </c>
      <c r="AA2140" s="79">
        <f>IF(X2140="Sin Pago","",IFERROR(INDEX(Pagos_Odoo!$F:$F, MATCH(X2140, Pagos_Odoo!$B:$B, 0)), ""))</f>
        <v/>
      </c>
      <c r="AB2140" s="81">
        <f>IF(X2140="Sin Pago",0,IFERROR(INDEX(Pagos_Odoo!$E:$E, MATCH(X2140, Pagos_Odoo!$B:$B, 0)), 0))</f>
        <v/>
      </c>
      <c r="AC2140" s="79">
        <f>IF(X2140="Sin Pago","",IFERROR(INDEX(Pagos_Odoo!$G:$G, MATCH(X2140, Pagos_Odoo!$B:$B, 0)), ""))</f>
        <v/>
      </c>
      <c r="AD2140" s="82" t="n">
        <v>0</v>
      </c>
      <c r="AE2140" s="82" t="n"/>
      <c r="AF2140" s="82" t="n"/>
      <c r="AG2140" s="82">
        <f>IF(AN2140="","",AD2140+AE2140+AF2140)</f>
        <v/>
      </c>
      <c r="AH2140" s="81">
        <f>IF(AN2140="","",P2140*(1-AG2140))</f>
        <v/>
      </c>
      <c r="AI2140" s="81">
        <f>IF(AN2140="","",IF(Q2140="Sin Factura",0,IFERROR(INDEX(Facturas_Odoo!$H:$H, MATCH(Q2140, Facturas_Odoo!$B:$B, 0)), 0)*(1-AG2140)))</f>
        <v/>
      </c>
      <c r="AJ2140" s="81">
        <f>IF(AN2140="","",_xlfn.LET(idVenta, AN2140&amp;"",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40" s="81">
        <f>IF(AN2140="","",AH2140-AJ2140)</f>
        <v/>
      </c>
      <c r="AL2140" s="81">
        <f>IF(AN2140="","",IF(Q2140="Sin Factura","",AI2140-AJ2140))</f>
        <v/>
      </c>
      <c r="AM2140" s="81">
        <f>IF(AN2140="","",IF(Q2140="Sin Factura",0,P2140-IFERROR(INDEX(Facturas_Odoo!$H:$H, MATCH(Q2140, Facturas_Odoo!$B:$B, 0)), 0)))</f>
        <v/>
      </c>
      <c r="AN2140" s="79">
        <f>IF(AND(A2140="", J2140=""), "", IF(A2140&lt;&gt;"", VALUE(MID(A2140,2,LEN(A2140))), AN2139))</f>
        <v/>
      </c>
      <c r="AO2140" s="79">
        <f>IF(AN2140="","",IF(AD2140=0,"OK",_xlfn.LET(monedaPago, IF(AA2140="","USD",AA2140), limitePermitido, IFERROR(VLOOKUP(monedaPago, Configuración!$A$2:$B$3, 2, FALSE), 0.15), IF(AD2140&gt;limitePermitido, "ALERTA: EXCESO (" &amp; TEXT(limitePermitido, "0%") &amp; " máx)", "OK"))))</f>
        <v/>
      </c>
      <c r="AP2140" s="79">
        <f>IF(AN2140="","",IF(AE2140=0,"OK",_xlfn.LET(fechaPago, Z2140, fechaFactura, R2140, diasCredito, IF(E2140="Pago inmediato", 0, IFERROR(VALUE(MID(E2140, 1, SEARCH(" ", E2140)-1)),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40" s="79">
        <f>IF(AN2140="","",IF(AND(N2140&gt;0, AG2140&gt;0), IF(Configuración!$K$2="NO", "ALERTA: DESCUENTO DOBLE NO PERMITIDO", "OK"), "OK"))</f>
        <v/>
      </c>
      <c r="AR2140" s="79">
        <f>IF(AN2140="","",IF(OR(AO2140&lt;&gt;"OK", AP2140&lt;&gt;"OK", AQ2140&lt;&gt;"OK"), "⚠️ REVISAR", "OK"))</f>
        <v/>
      </c>
    </row>
    <row r="2141">
      <c r="A2141" s="79">
        <f>IF('Ordenes_Odoo'!A2141="","",'Ordenes_Odoo'!A2141)</f>
        <v/>
      </c>
      <c r="B2141" s="80">
        <f>IF('Ordenes_Odoo'!B2141="","",'Ordenes_Odoo'!B2141)</f>
        <v/>
      </c>
      <c r="C2141" s="79">
        <f>IF('Ordenes_Odoo'!C2141="","",'Ordenes_Odoo'!C2141)</f>
        <v/>
      </c>
      <c r="D2141" s="79">
        <f>IF('Ordenes_Odoo'!D2141="","",'Ordenes_Odoo'!D2141)</f>
        <v/>
      </c>
      <c r="E2141" s="79">
        <f>IF('Ordenes_Odoo'!E2141="","",'Ordenes_Odoo'!E2141)</f>
        <v/>
      </c>
      <c r="F2141" s="79">
        <f>IF('Ordenes_Odoo'!F2141="","",'Ordenes_Odoo'!F2141)</f>
        <v/>
      </c>
      <c r="G2141" s="79">
        <f>IF('Ordenes_Odoo'!G2141="","",'Ordenes_Odoo'!G2141)</f>
        <v/>
      </c>
      <c r="H2141" s="79">
        <f>IF('Ordenes_Odoo'!H2141="","",'Ordenes_Odoo'!H2141)</f>
        <v/>
      </c>
      <c r="I2141" s="79">
        <f>IF('Ordenes_Odoo'!I2141="","",'Ordenes_Odoo'!I2141)</f>
        <v/>
      </c>
      <c r="J2141" s="79">
        <f>IF('Ordenes_Odoo'!J2141="","",'Ordenes_Odoo'!J2141)</f>
        <v/>
      </c>
      <c r="K2141" s="81">
        <f>IF('Ordenes_Odoo'!K2141="","",'Ordenes_Odoo'!K2141)</f>
        <v/>
      </c>
      <c r="L2141" s="81">
        <f>IF('Ordenes_Odoo'!L2141="","",'Ordenes_Odoo'!L2141)</f>
        <v/>
      </c>
      <c r="M2141" s="79">
        <f>IF('Ordenes_Odoo'!M2141="","",'Ordenes_Odoo'!M2141)</f>
        <v/>
      </c>
      <c r="N2141" s="79">
        <f>IF('Ordenes_Odoo'!N2141="","",'Ordenes_Odoo'!N2141)</f>
        <v/>
      </c>
      <c r="O2141" s="81">
        <f>IF('Ordenes_Odoo'!O2141="","",'Ordenes_Odoo'!O2141)</f>
        <v/>
      </c>
      <c r="P2141" s="81">
        <f>IF('Ordenes_Odoo'!P2141="","",'Ordenes_Odoo'!P2141)</f>
        <v/>
      </c>
      <c r="Q2141" s="79">
        <f>IF(A2141="","",IFERROR(INDEX(Facturas_Odoo!$B:$B, MATCH(A2141, Facturas_Odoo!$D:$D, 0)), "Sin Factura"))</f>
        <v/>
      </c>
      <c r="R2141" s="80">
        <f>IF(Q2141="Sin Factura","",IFERROR(INDEX(Facturas_Odoo!$A:$A, MATCH(Q2141, Facturas_Odoo!$B:$B, 0)), ""))</f>
        <v/>
      </c>
      <c r="S2141" s="79">
        <f>IF(Q2141="Sin Factura","",IFERROR(_xlfn.XLOOKUP(1, (Facturas_Odoo!$D:$D=A2141) * (Facturas_Odoo!$K:$K=I2141), Facturas_Odoo!$L:$L, ""), ""))</f>
        <v/>
      </c>
      <c r="T2141" s="81">
        <f>IF(Q2141="Sin Factura",0,IFERROR(_xlfn.XLOOKUP(1, (Facturas_Odoo!$D:$D=A2141) * (Facturas_Odoo!$K:$K=I2141), Facturas_Odoo!$M:$M, 0), 0))</f>
        <v/>
      </c>
      <c r="U2141" s="79">
        <f>IF(Q2141="Sin Factura",0,IFERROR(_xlfn.XLOOKUP(1, (Facturas_Odoo!$D:$D=A2141) * (Facturas_Odoo!$K:$K=I2141), Facturas_Odoo!$N:$N, 0), 0))</f>
        <v/>
      </c>
      <c r="V2141" s="79">
        <f>IF(Q2141="Sin Factura",0,IFERROR(_xlfn.XLOOKUP(1, (Facturas_Odoo!$D:$D=A2141) * (Facturas_Odoo!$K:$K=I2141), Facturas_Odoo!$O:$O, 0), 0))</f>
        <v/>
      </c>
      <c r="W2141" s="81">
        <f>IF(Q2141="Sin Factura",0,IFERROR(_xlfn.XLOOKUP(1, (Facturas_Odoo!$D:$D=A2141) * (Facturas_Odoo!$K:$K=I2141), Facturas_Odoo!$Q:$Q, 0), 0))</f>
        <v/>
      </c>
      <c r="X2141" s="79">
        <f>IF(OR(Q2141="Sin Factura",Q2141=""),"",IFERROR(INDEX(Pagos_Odoo!$B:$B, MATCH(Q2141, Pagos_Odoo!$I:$I, 0)), "Sin Pago"))</f>
        <v/>
      </c>
      <c r="Y2141" s="79">
        <f>IF(X2141="Sin Pago","",IFERROR(INDEX(Pagos_Odoo!$C:$C, MATCH(X2141, Pagos_Odoo!$B:$B, 0)), ""))</f>
        <v/>
      </c>
      <c r="Z2141" s="80">
        <f>IF(X2141="Sin Pago","",IFERROR(INDEX(Pagos_Odoo!$A:$A, MATCH(X2141, Pagos_Odoo!$B:$B, 0)), ""))</f>
        <v/>
      </c>
      <c r="AA2141" s="79">
        <f>IF(X2141="Sin Pago","",IFERROR(INDEX(Pagos_Odoo!$F:$F, MATCH(X2141, Pagos_Odoo!$B:$B, 0)), ""))</f>
        <v/>
      </c>
      <c r="AB2141" s="81">
        <f>IF(X2141="Sin Pago",0,IFERROR(INDEX(Pagos_Odoo!$E:$E, MATCH(X2141, Pagos_Odoo!$B:$B, 0)), 0))</f>
        <v/>
      </c>
      <c r="AC2141" s="79">
        <f>IF(X2141="Sin Pago","",IFERROR(INDEX(Pagos_Odoo!$G:$G, MATCH(X2141, Pagos_Odoo!$B:$B, 0)), ""))</f>
        <v/>
      </c>
      <c r="AD2141" s="82" t="n">
        <v>0</v>
      </c>
      <c r="AE2141" s="82" t="n"/>
      <c r="AF2141" s="82" t="n"/>
      <c r="AG2141" s="82">
        <f>IF(AN2141="","",AD2141+AE2141+AF2141)</f>
        <v/>
      </c>
      <c r="AH2141" s="81">
        <f>IF(AN2141="","",P2141*(1-AG2141))</f>
        <v/>
      </c>
      <c r="AI2141" s="81">
        <f>IF(AN2141="","",IF(Q2141="Sin Factura",0,IFERROR(INDEX(Facturas_Odoo!$H:$H, MATCH(Q2141, Facturas_Odoo!$B:$B, 0)), 0)*(1-AG2141)))</f>
        <v/>
      </c>
      <c r="AJ2141" s="81">
        <f>IF(AN2141="","",_xlfn.LET(idVenta, AN2141&amp;"",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41" s="81">
        <f>IF(AN2141="","",AH2141-AJ2141)</f>
        <v/>
      </c>
      <c r="AL2141" s="81">
        <f>IF(AN2141="","",IF(Q2141="Sin Factura","",AI2141-AJ2141))</f>
        <v/>
      </c>
      <c r="AM2141" s="81">
        <f>IF(AN2141="","",IF(Q2141="Sin Factura",0,P2141-IFERROR(INDEX(Facturas_Odoo!$H:$H, MATCH(Q2141, Facturas_Odoo!$B:$B, 0)), 0)))</f>
        <v/>
      </c>
      <c r="AN2141" s="79">
        <f>IF(AND(A2141="", J2141=""), "", IF(A2141&lt;&gt;"", VALUE(MID(A2141,2,LEN(A2141))), AN2140))</f>
        <v/>
      </c>
      <c r="AO2141" s="79">
        <f>IF(AN2141="","",IF(AD2141=0,"OK",_xlfn.LET(monedaPago, IF(AA2141="","USD",AA2141), limitePermitido, IFERROR(VLOOKUP(monedaPago, Configuración!$A$2:$B$3, 2, FALSE), 0.15), IF(AD2141&gt;limitePermitido, "ALERTA: EXCESO (" &amp; TEXT(limitePermitido, "0%") &amp; " máx)", "OK"))))</f>
        <v/>
      </c>
      <c r="AP2141" s="79">
        <f>IF(AN2141="","",IF(AE2141=0,"OK",_xlfn.LET(fechaPago, Z2141, fechaFactura, R2141, diasCredito, IF(E2141="Pago inmediato", 0, IFERROR(VALUE(MID(E2141, 1, SEARCH(" ", E2141)-1)),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41" s="79">
        <f>IF(AN2141="","",IF(AND(N2141&gt;0, AG2141&gt;0), IF(Configuración!$K$2="NO", "ALERTA: DESCUENTO DOBLE NO PERMITIDO", "OK"), "OK"))</f>
        <v/>
      </c>
      <c r="AR2141" s="79">
        <f>IF(AN2141="","",IF(OR(AO2141&lt;&gt;"OK", AP2141&lt;&gt;"OK", AQ2141&lt;&gt;"OK"), "⚠️ REVISAR", "OK"))</f>
        <v/>
      </c>
    </row>
    <row r="2142">
      <c r="A2142" s="79">
        <f>IF('Ordenes_Odoo'!A2142="","",'Ordenes_Odoo'!A2142)</f>
        <v/>
      </c>
      <c r="B2142" s="80">
        <f>IF('Ordenes_Odoo'!B2142="","",'Ordenes_Odoo'!B2142)</f>
        <v/>
      </c>
      <c r="C2142" s="79">
        <f>IF('Ordenes_Odoo'!C2142="","",'Ordenes_Odoo'!C2142)</f>
        <v/>
      </c>
      <c r="D2142" s="79">
        <f>IF('Ordenes_Odoo'!D2142="","",'Ordenes_Odoo'!D2142)</f>
        <v/>
      </c>
      <c r="E2142" s="79">
        <f>IF('Ordenes_Odoo'!E2142="","",'Ordenes_Odoo'!E2142)</f>
        <v/>
      </c>
      <c r="F2142" s="79">
        <f>IF('Ordenes_Odoo'!F2142="","",'Ordenes_Odoo'!F2142)</f>
        <v/>
      </c>
      <c r="G2142" s="79">
        <f>IF('Ordenes_Odoo'!G2142="","",'Ordenes_Odoo'!G2142)</f>
        <v/>
      </c>
      <c r="H2142" s="79">
        <f>IF('Ordenes_Odoo'!H2142="","",'Ordenes_Odoo'!H2142)</f>
        <v/>
      </c>
      <c r="I2142" s="79">
        <f>IF('Ordenes_Odoo'!I2142="","",'Ordenes_Odoo'!I2142)</f>
        <v/>
      </c>
      <c r="J2142" s="79">
        <f>IF('Ordenes_Odoo'!J2142="","",'Ordenes_Odoo'!J2142)</f>
        <v/>
      </c>
      <c r="K2142" s="81">
        <f>IF('Ordenes_Odoo'!K2142="","",'Ordenes_Odoo'!K2142)</f>
        <v/>
      </c>
      <c r="L2142" s="81">
        <f>IF('Ordenes_Odoo'!L2142="","",'Ordenes_Odoo'!L2142)</f>
        <v/>
      </c>
      <c r="M2142" s="79">
        <f>IF('Ordenes_Odoo'!M2142="","",'Ordenes_Odoo'!M2142)</f>
        <v/>
      </c>
      <c r="N2142" s="79">
        <f>IF('Ordenes_Odoo'!N2142="","",'Ordenes_Odoo'!N2142)</f>
        <v/>
      </c>
      <c r="O2142" s="81">
        <f>IF('Ordenes_Odoo'!O2142="","",'Ordenes_Odoo'!O2142)</f>
        <v/>
      </c>
      <c r="P2142" s="81">
        <f>IF('Ordenes_Odoo'!P2142="","",'Ordenes_Odoo'!P2142)</f>
        <v/>
      </c>
      <c r="Q2142" s="79">
        <f>IF(A2142="","",IFERROR(INDEX(Facturas_Odoo!$B:$B, MATCH(A2142, Facturas_Odoo!$D:$D, 0)), "Sin Factura"))</f>
        <v/>
      </c>
      <c r="R2142" s="80">
        <f>IF(Q2142="Sin Factura","",IFERROR(INDEX(Facturas_Odoo!$A:$A, MATCH(Q2142, Facturas_Odoo!$B:$B, 0)), ""))</f>
        <v/>
      </c>
      <c r="S2142" s="79">
        <f>IF(Q2142="Sin Factura","",IFERROR(_xlfn.XLOOKUP(1, (Facturas_Odoo!$D:$D=A2142) * (Facturas_Odoo!$K:$K=I2142), Facturas_Odoo!$L:$L, ""), ""))</f>
        <v/>
      </c>
      <c r="T2142" s="81">
        <f>IF(Q2142="Sin Factura",0,IFERROR(_xlfn.XLOOKUP(1, (Facturas_Odoo!$D:$D=A2142) * (Facturas_Odoo!$K:$K=I2142), Facturas_Odoo!$M:$M, 0), 0))</f>
        <v/>
      </c>
      <c r="U2142" s="79">
        <f>IF(Q2142="Sin Factura",0,IFERROR(_xlfn.XLOOKUP(1, (Facturas_Odoo!$D:$D=A2142) * (Facturas_Odoo!$K:$K=I2142), Facturas_Odoo!$N:$N, 0), 0))</f>
        <v/>
      </c>
      <c r="V2142" s="79">
        <f>IF(Q2142="Sin Factura",0,IFERROR(_xlfn.XLOOKUP(1, (Facturas_Odoo!$D:$D=A2142) * (Facturas_Odoo!$K:$K=I2142), Facturas_Odoo!$O:$O, 0), 0))</f>
        <v/>
      </c>
      <c r="W2142" s="81">
        <f>IF(Q2142="Sin Factura",0,IFERROR(_xlfn.XLOOKUP(1, (Facturas_Odoo!$D:$D=A2142) * (Facturas_Odoo!$K:$K=I2142), Facturas_Odoo!$Q:$Q, 0), 0))</f>
        <v/>
      </c>
      <c r="X2142" s="79">
        <f>IF(OR(Q2142="Sin Factura",Q2142=""),"",IFERROR(INDEX(Pagos_Odoo!$B:$B, MATCH(Q2142, Pagos_Odoo!$I:$I, 0)), "Sin Pago"))</f>
        <v/>
      </c>
      <c r="Y2142" s="79">
        <f>IF(X2142="Sin Pago","",IFERROR(INDEX(Pagos_Odoo!$C:$C, MATCH(X2142, Pagos_Odoo!$B:$B, 0)), ""))</f>
        <v/>
      </c>
      <c r="Z2142" s="80">
        <f>IF(X2142="Sin Pago","",IFERROR(INDEX(Pagos_Odoo!$A:$A, MATCH(X2142, Pagos_Odoo!$B:$B, 0)), ""))</f>
        <v/>
      </c>
      <c r="AA2142" s="79">
        <f>IF(X2142="Sin Pago","",IFERROR(INDEX(Pagos_Odoo!$F:$F, MATCH(X2142, Pagos_Odoo!$B:$B, 0)), ""))</f>
        <v/>
      </c>
      <c r="AB2142" s="81">
        <f>IF(X2142="Sin Pago",0,IFERROR(INDEX(Pagos_Odoo!$E:$E, MATCH(X2142, Pagos_Odoo!$B:$B, 0)), 0))</f>
        <v/>
      </c>
      <c r="AC2142" s="79">
        <f>IF(X2142="Sin Pago","",IFERROR(INDEX(Pagos_Odoo!$G:$G, MATCH(X2142, Pagos_Odoo!$B:$B, 0)), ""))</f>
        <v/>
      </c>
      <c r="AD2142" s="82" t="n">
        <v>0</v>
      </c>
      <c r="AE2142" s="82" t="n"/>
      <c r="AF2142" s="82" t="n"/>
      <c r="AG2142" s="82">
        <f>IF(AN2142="","",AD2142+AE2142+AF2142)</f>
        <v/>
      </c>
      <c r="AH2142" s="81">
        <f>IF(AN2142="","",P2142*(1-AG2142))</f>
        <v/>
      </c>
      <c r="AI2142" s="81">
        <f>IF(AN2142="","",IF(Q2142="Sin Factura",0,IFERROR(INDEX(Facturas_Odoo!$H:$H, MATCH(Q2142, Facturas_Odoo!$B:$B, 0)), 0)*(1-AG2142)))</f>
        <v/>
      </c>
      <c r="AJ2142" s="81">
        <f>IF(AN2142="","",_xlfn.LET(idVenta, AN2142&amp;"",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42" s="81">
        <f>IF(AN2142="","",AH2142-AJ2142)</f>
        <v/>
      </c>
      <c r="AL2142" s="81">
        <f>IF(AN2142="","",IF(Q2142="Sin Factura","",AI2142-AJ2142))</f>
        <v/>
      </c>
      <c r="AM2142" s="81">
        <f>IF(AN2142="","",IF(Q2142="Sin Factura",0,P2142-IFERROR(INDEX(Facturas_Odoo!$H:$H, MATCH(Q2142, Facturas_Odoo!$B:$B, 0)), 0)))</f>
        <v/>
      </c>
      <c r="AN2142" s="79">
        <f>IF(AND(A2142="", J2142=""), "", IF(A2142&lt;&gt;"", VALUE(MID(A2142,2,LEN(A2142))), AN2141))</f>
        <v/>
      </c>
      <c r="AO2142" s="79">
        <f>IF(AN2142="","",IF(AD2142=0,"OK",_xlfn.LET(monedaPago, IF(AA2142="","USD",AA2142), limitePermitido, IFERROR(VLOOKUP(monedaPago, Configuración!$A$2:$B$3, 2, FALSE), 0.15), IF(AD2142&gt;limitePermitido, "ALERTA: EXCESO (" &amp; TEXT(limitePermitido, "0%") &amp; " máx)", "OK"))))</f>
        <v/>
      </c>
      <c r="AP2142" s="79">
        <f>IF(AN2142="","",IF(AE2142=0,"OK",_xlfn.LET(fechaPago, Z2142, fechaFactura, R2142, diasCredito, IF(E2142="Pago inmediato", 0, IFERROR(VALUE(MID(E2142, 1, SEARCH(" ", E2142)-1)),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42" s="79">
        <f>IF(AN2142="","",IF(AND(N2142&gt;0, AG2142&gt;0), IF(Configuración!$K$2="NO", "ALERTA: DESCUENTO DOBLE NO PERMITIDO", "OK"), "OK"))</f>
        <v/>
      </c>
      <c r="AR2142" s="79">
        <f>IF(AN2142="","",IF(OR(AO2142&lt;&gt;"OK", AP2142&lt;&gt;"OK", AQ2142&lt;&gt;"OK"), "⚠️ REVISAR", "OK"))</f>
        <v/>
      </c>
    </row>
    <row r="2143">
      <c r="A2143" s="79">
        <f>IF('Ordenes_Odoo'!A2143="","",'Ordenes_Odoo'!A2143)</f>
        <v/>
      </c>
      <c r="B2143" s="80">
        <f>IF('Ordenes_Odoo'!B2143="","",'Ordenes_Odoo'!B2143)</f>
        <v/>
      </c>
      <c r="C2143" s="79">
        <f>IF('Ordenes_Odoo'!C2143="","",'Ordenes_Odoo'!C2143)</f>
        <v/>
      </c>
      <c r="D2143" s="79">
        <f>IF('Ordenes_Odoo'!D2143="","",'Ordenes_Odoo'!D2143)</f>
        <v/>
      </c>
      <c r="E2143" s="79">
        <f>IF('Ordenes_Odoo'!E2143="","",'Ordenes_Odoo'!E2143)</f>
        <v/>
      </c>
      <c r="F2143" s="79">
        <f>IF('Ordenes_Odoo'!F2143="","",'Ordenes_Odoo'!F2143)</f>
        <v/>
      </c>
      <c r="G2143" s="79">
        <f>IF('Ordenes_Odoo'!G2143="","",'Ordenes_Odoo'!G2143)</f>
        <v/>
      </c>
      <c r="H2143" s="79">
        <f>IF('Ordenes_Odoo'!H2143="","",'Ordenes_Odoo'!H2143)</f>
        <v/>
      </c>
      <c r="I2143" s="79">
        <f>IF('Ordenes_Odoo'!I2143="","",'Ordenes_Odoo'!I2143)</f>
        <v/>
      </c>
      <c r="J2143" s="79">
        <f>IF('Ordenes_Odoo'!J2143="","",'Ordenes_Odoo'!J2143)</f>
        <v/>
      </c>
      <c r="K2143" s="81">
        <f>IF('Ordenes_Odoo'!K2143="","",'Ordenes_Odoo'!K2143)</f>
        <v/>
      </c>
      <c r="L2143" s="81">
        <f>IF('Ordenes_Odoo'!L2143="","",'Ordenes_Odoo'!L2143)</f>
        <v/>
      </c>
      <c r="M2143" s="79">
        <f>IF('Ordenes_Odoo'!M2143="","",'Ordenes_Odoo'!M2143)</f>
        <v/>
      </c>
      <c r="N2143" s="79">
        <f>IF('Ordenes_Odoo'!N2143="","",'Ordenes_Odoo'!N2143)</f>
        <v/>
      </c>
      <c r="O2143" s="81">
        <f>IF('Ordenes_Odoo'!O2143="","",'Ordenes_Odoo'!O2143)</f>
        <v/>
      </c>
      <c r="P2143" s="81">
        <f>IF('Ordenes_Odoo'!P2143="","",'Ordenes_Odoo'!P2143)</f>
        <v/>
      </c>
      <c r="Q2143" s="79">
        <f>IF(A2143="","",IFERROR(INDEX(Facturas_Odoo!$B:$B, MATCH(A2143, Facturas_Odoo!$D:$D, 0)), "Sin Factura"))</f>
        <v/>
      </c>
      <c r="R2143" s="80">
        <f>IF(Q2143="Sin Factura","",IFERROR(INDEX(Facturas_Odoo!$A:$A, MATCH(Q2143, Facturas_Odoo!$B:$B, 0)), ""))</f>
        <v/>
      </c>
      <c r="S2143" s="79">
        <f>IF(Q2143="Sin Factura","",IFERROR(_xlfn.XLOOKUP(1, (Facturas_Odoo!$D:$D=A2143) * (Facturas_Odoo!$K:$K=I2143), Facturas_Odoo!$L:$L, ""), ""))</f>
        <v/>
      </c>
      <c r="T2143" s="81">
        <f>IF(Q2143="Sin Factura",0,IFERROR(_xlfn.XLOOKUP(1, (Facturas_Odoo!$D:$D=A2143) * (Facturas_Odoo!$K:$K=I2143), Facturas_Odoo!$M:$M, 0), 0))</f>
        <v/>
      </c>
      <c r="U2143" s="79">
        <f>IF(Q2143="Sin Factura",0,IFERROR(_xlfn.XLOOKUP(1, (Facturas_Odoo!$D:$D=A2143) * (Facturas_Odoo!$K:$K=I2143), Facturas_Odoo!$N:$N, 0), 0))</f>
        <v/>
      </c>
      <c r="V2143" s="79">
        <f>IF(Q2143="Sin Factura",0,IFERROR(_xlfn.XLOOKUP(1, (Facturas_Odoo!$D:$D=A2143) * (Facturas_Odoo!$K:$K=I2143), Facturas_Odoo!$O:$O, 0), 0))</f>
        <v/>
      </c>
      <c r="W2143" s="81">
        <f>IF(Q2143="Sin Factura",0,IFERROR(_xlfn.XLOOKUP(1, (Facturas_Odoo!$D:$D=A2143) * (Facturas_Odoo!$K:$K=I2143), Facturas_Odoo!$Q:$Q, 0), 0))</f>
        <v/>
      </c>
      <c r="X2143" s="79">
        <f>IF(OR(Q2143="Sin Factura",Q2143=""),"",IFERROR(INDEX(Pagos_Odoo!$B:$B, MATCH(Q2143, Pagos_Odoo!$I:$I, 0)), "Sin Pago"))</f>
        <v/>
      </c>
      <c r="Y2143" s="79">
        <f>IF(X2143="Sin Pago","",IFERROR(INDEX(Pagos_Odoo!$C:$C, MATCH(X2143, Pagos_Odoo!$B:$B, 0)), ""))</f>
        <v/>
      </c>
      <c r="Z2143" s="80">
        <f>IF(X2143="Sin Pago","",IFERROR(INDEX(Pagos_Odoo!$A:$A, MATCH(X2143, Pagos_Odoo!$B:$B, 0)), ""))</f>
        <v/>
      </c>
      <c r="AA2143" s="79">
        <f>IF(X2143="Sin Pago","",IFERROR(INDEX(Pagos_Odoo!$F:$F, MATCH(X2143, Pagos_Odoo!$B:$B, 0)), ""))</f>
        <v/>
      </c>
      <c r="AB2143" s="81">
        <f>IF(X2143="Sin Pago",0,IFERROR(INDEX(Pagos_Odoo!$E:$E, MATCH(X2143, Pagos_Odoo!$B:$B, 0)), 0))</f>
        <v/>
      </c>
      <c r="AC2143" s="79">
        <f>IF(X2143="Sin Pago","",IFERROR(INDEX(Pagos_Odoo!$G:$G, MATCH(X2143, Pagos_Odoo!$B:$B, 0)), ""))</f>
        <v/>
      </c>
      <c r="AD2143" s="82" t="n">
        <v>0</v>
      </c>
      <c r="AE2143" s="82" t="n"/>
      <c r="AF2143" s="82" t="n"/>
      <c r="AG2143" s="82">
        <f>IF(AN2143="","",AD2143+AE2143+AF2143)</f>
        <v/>
      </c>
      <c r="AH2143" s="81">
        <f>IF(AN2143="","",P2143*(1-AG2143))</f>
        <v/>
      </c>
      <c r="AI2143" s="81">
        <f>IF(AN2143="","",IF(Q2143="Sin Factura",0,IFERROR(INDEX(Facturas_Odoo!$H:$H, MATCH(Q2143, Facturas_Odoo!$B:$B, 0)), 0)*(1-AG2143)))</f>
        <v/>
      </c>
      <c r="AJ2143" s="81">
        <f>IF(AN2143="","",_xlfn.LET(idVenta, AN2143&amp;"",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43" s="81">
        <f>IF(AN2143="","",AH2143-AJ2143)</f>
        <v/>
      </c>
      <c r="AL2143" s="81">
        <f>IF(AN2143="","",IF(Q2143="Sin Factura","",AI2143-AJ2143))</f>
        <v/>
      </c>
      <c r="AM2143" s="81">
        <f>IF(AN2143="","",IF(Q2143="Sin Factura",0,P2143-IFERROR(INDEX(Facturas_Odoo!$H:$H, MATCH(Q2143, Facturas_Odoo!$B:$B, 0)), 0)))</f>
        <v/>
      </c>
      <c r="AN2143" s="79">
        <f>IF(AND(A2143="", J2143=""), "", IF(A2143&lt;&gt;"", VALUE(MID(A2143,2,LEN(A2143))), AN2142))</f>
        <v/>
      </c>
      <c r="AO2143" s="79">
        <f>IF(AN2143="","",IF(AD2143=0,"OK",_xlfn.LET(monedaPago, IF(AA2143="","USD",AA2143), limitePermitido, IFERROR(VLOOKUP(monedaPago, Configuración!$A$2:$B$3, 2, FALSE), 0.15), IF(AD2143&gt;limitePermitido, "ALERTA: EXCESO (" &amp; TEXT(limitePermitido, "0%") &amp; " máx)", "OK"))))</f>
        <v/>
      </c>
      <c r="AP2143" s="79">
        <f>IF(AN2143="","",IF(AE2143=0,"OK",_xlfn.LET(fechaPago, Z2143, fechaFactura, R2143, diasCredito, IF(E2143="Pago inmediato", 0, IFERROR(VALUE(MID(E2143, 1, SEARCH(" ", E2143)-1)),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43" s="79">
        <f>IF(AN2143="","",IF(AND(N2143&gt;0, AG2143&gt;0), IF(Configuración!$K$2="NO", "ALERTA: DESCUENTO DOBLE NO PERMITIDO", "OK"), "OK"))</f>
        <v/>
      </c>
      <c r="AR2143" s="79">
        <f>IF(AN2143="","",IF(OR(AO2143&lt;&gt;"OK", AP2143&lt;&gt;"OK", AQ2143&lt;&gt;"OK"), "⚠️ REVISAR", "OK"))</f>
        <v/>
      </c>
    </row>
    <row r="2144">
      <c r="A2144" s="79">
        <f>IF('Ordenes_Odoo'!A2144="","",'Ordenes_Odoo'!A2144)</f>
        <v/>
      </c>
      <c r="B2144" s="80">
        <f>IF('Ordenes_Odoo'!B2144="","",'Ordenes_Odoo'!B2144)</f>
        <v/>
      </c>
      <c r="C2144" s="79">
        <f>IF('Ordenes_Odoo'!C2144="","",'Ordenes_Odoo'!C2144)</f>
        <v/>
      </c>
      <c r="D2144" s="79">
        <f>IF('Ordenes_Odoo'!D2144="","",'Ordenes_Odoo'!D2144)</f>
        <v/>
      </c>
      <c r="E2144" s="79">
        <f>IF('Ordenes_Odoo'!E2144="","",'Ordenes_Odoo'!E2144)</f>
        <v/>
      </c>
      <c r="F2144" s="79">
        <f>IF('Ordenes_Odoo'!F2144="","",'Ordenes_Odoo'!F2144)</f>
        <v/>
      </c>
      <c r="G2144" s="79">
        <f>IF('Ordenes_Odoo'!G2144="","",'Ordenes_Odoo'!G2144)</f>
        <v/>
      </c>
      <c r="H2144" s="79">
        <f>IF('Ordenes_Odoo'!H2144="","",'Ordenes_Odoo'!H2144)</f>
        <v/>
      </c>
      <c r="I2144" s="79">
        <f>IF('Ordenes_Odoo'!I2144="","",'Ordenes_Odoo'!I2144)</f>
        <v/>
      </c>
      <c r="J2144" s="79">
        <f>IF('Ordenes_Odoo'!J2144="","",'Ordenes_Odoo'!J2144)</f>
        <v/>
      </c>
      <c r="K2144" s="81">
        <f>IF('Ordenes_Odoo'!K2144="","",'Ordenes_Odoo'!K2144)</f>
        <v/>
      </c>
      <c r="L2144" s="81">
        <f>IF('Ordenes_Odoo'!L2144="","",'Ordenes_Odoo'!L2144)</f>
        <v/>
      </c>
      <c r="M2144" s="79">
        <f>IF('Ordenes_Odoo'!M2144="","",'Ordenes_Odoo'!M2144)</f>
        <v/>
      </c>
      <c r="N2144" s="79">
        <f>IF('Ordenes_Odoo'!N2144="","",'Ordenes_Odoo'!N2144)</f>
        <v/>
      </c>
      <c r="O2144" s="81">
        <f>IF('Ordenes_Odoo'!O2144="","",'Ordenes_Odoo'!O2144)</f>
        <v/>
      </c>
      <c r="P2144" s="81">
        <f>IF('Ordenes_Odoo'!P2144="","",'Ordenes_Odoo'!P2144)</f>
        <v/>
      </c>
      <c r="Q2144" s="79">
        <f>IF(A2144="","",IFERROR(INDEX(Facturas_Odoo!$B:$B, MATCH(A2144, Facturas_Odoo!$D:$D, 0)), "Sin Factura"))</f>
        <v/>
      </c>
      <c r="R2144" s="80">
        <f>IF(Q2144="Sin Factura","",IFERROR(INDEX(Facturas_Odoo!$A:$A, MATCH(Q2144, Facturas_Odoo!$B:$B, 0)), ""))</f>
        <v/>
      </c>
      <c r="S2144" s="79">
        <f>IF(Q2144="Sin Factura","",IFERROR(_xlfn.XLOOKUP(1, (Facturas_Odoo!$D:$D=A2144) * (Facturas_Odoo!$K:$K=I2144), Facturas_Odoo!$L:$L, ""), ""))</f>
        <v/>
      </c>
      <c r="T2144" s="81">
        <f>IF(Q2144="Sin Factura",0,IFERROR(_xlfn.XLOOKUP(1, (Facturas_Odoo!$D:$D=A2144) * (Facturas_Odoo!$K:$K=I2144), Facturas_Odoo!$M:$M, 0), 0))</f>
        <v/>
      </c>
      <c r="U2144" s="79">
        <f>IF(Q2144="Sin Factura",0,IFERROR(_xlfn.XLOOKUP(1, (Facturas_Odoo!$D:$D=A2144) * (Facturas_Odoo!$K:$K=I2144), Facturas_Odoo!$N:$N, 0), 0))</f>
        <v/>
      </c>
      <c r="V2144" s="79">
        <f>IF(Q2144="Sin Factura",0,IFERROR(_xlfn.XLOOKUP(1, (Facturas_Odoo!$D:$D=A2144) * (Facturas_Odoo!$K:$K=I2144), Facturas_Odoo!$O:$O, 0), 0))</f>
        <v/>
      </c>
      <c r="W2144" s="81">
        <f>IF(Q2144="Sin Factura",0,IFERROR(_xlfn.XLOOKUP(1, (Facturas_Odoo!$D:$D=A2144) * (Facturas_Odoo!$K:$K=I2144), Facturas_Odoo!$Q:$Q, 0), 0))</f>
        <v/>
      </c>
      <c r="X2144" s="79">
        <f>IF(OR(Q2144="Sin Factura",Q2144=""),"",IFERROR(INDEX(Pagos_Odoo!$B:$B, MATCH(Q2144, Pagos_Odoo!$I:$I, 0)), "Sin Pago"))</f>
        <v/>
      </c>
      <c r="Y2144" s="79">
        <f>IF(X2144="Sin Pago","",IFERROR(INDEX(Pagos_Odoo!$C:$C, MATCH(X2144, Pagos_Odoo!$B:$B, 0)), ""))</f>
        <v/>
      </c>
      <c r="Z2144" s="80">
        <f>IF(X2144="Sin Pago","",IFERROR(INDEX(Pagos_Odoo!$A:$A, MATCH(X2144, Pagos_Odoo!$B:$B, 0)), ""))</f>
        <v/>
      </c>
      <c r="AA2144" s="79">
        <f>IF(X2144="Sin Pago","",IFERROR(INDEX(Pagos_Odoo!$F:$F, MATCH(X2144, Pagos_Odoo!$B:$B, 0)), ""))</f>
        <v/>
      </c>
      <c r="AB2144" s="81">
        <f>IF(X2144="Sin Pago",0,IFERROR(INDEX(Pagos_Odoo!$E:$E, MATCH(X2144, Pagos_Odoo!$B:$B, 0)), 0))</f>
        <v/>
      </c>
      <c r="AC2144" s="79">
        <f>IF(X2144="Sin Pago","",IFERROR(INDEX(Pagos_Odoo!$G:$G, MATCH(X2144, Pagos_Odoo!$B:$B, 0)), ""))</f>
        <v/>
      </c>
      <c r="AD2144" s="82" t="n">
        <v>0</v>
      </c>
      <c r="AE2144" s="82" t="n"/>
      <c r="AF2144" s="82" t="n"/>
      <c r="AG2144" s="82">
        <f>IF(AN2144="","",AD2144+AE2144+AF2144)</f>
        <v/>
      </c>
      <c r="AH2144" s="81">
        <f>IF(AN2144="","",P2144*(1-AG2144))</f>
        <v/>
      </c>
      <c r="AI2144" s="81">
        <f>IF(AN2144="","",IF(Q2144="Sin Factura",0,IFERROR(INDEX(Facturas_Odoo!$H:$H, MATCH(Q2144, Facturas_Odoo!$B:$B, 0)), 0)*(1-AG2144)))</f>
        <v/>
      </c>
      <c r="AJ2144" s="81">
        <f>IF(AN2144="","",_xlfn.LET(idVenta, AN2144&amp;"",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44" s="81">
        <f>IF(AN2144="","",AH2144-AJ2144)</f>
        <v/>
      </c>
      <c r="AL2144" s="81">
        <f>IF(AN2144="","",IF(Q2144="Sin Factura","",AI2144-AJ2144))</f>
        <v/>
      </c>
      <c r="AM2144" s="81">
        <f>IF(AN2144="","",IF(Q2144="Sin Factura",0,P2144-IFERROR(INDEX(Facturas_Odoo!$H:$H, MATCH(Q2144, Facturas_Odoo!$B:$B, 0)), 0)))</f>
        <v/>
      </c>
      <c r="AN2144" s="79">
        <f>IF(AND(A2144="", J2144=""), "", IF(A2144&lt;&gt;"", VALUE(MID(A2144,2,LEN(A2144))), AN2143))</f>
        <v/>
      </c>
      <c r="AO2144" s="79">
        <f>IF(AN2144="","",IF(AD2144=0,"OK",_xlfn.LET(monedaPago, IF(AA2144="","USD",AA2144), limitePermitido, IFERROR(VLOOKUP(monedaPago, Configuración!$A$2:$B$3, 2, FALSE), 0.15), IF(AD2144&gt;limitePermitido, "ALERTA: EXCESO (" &amp; TEXT(limitePermitido, "0%") &amp; " máx)", "OK"))))</f>
        <v/>
      </c>
      <c r="AP2144" s="79">
        <f>IF(AN2144="","",IF(AE2144=0,"OK",_xlfn.LET(fechaPago, Z2144, fechaFactura, R2144, diasCredito, IF(E2144="Pago inmediato", 0, IFERROR(VALUE(MID(E2144, 1, SEARCH(" ", E2144)-1)),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44" s="79">
        <f>IF(AN2144="","",IF(AND(N2144&gt;0, AG2144&gt;0), IF(Configuración!$K$2="NO", "ALERTA: DESCUENTO DOBLE NO PERMITIDO", "OK"), "OK"))</f>
        <v/>
      </c>
      <c r="AR2144" s="79">
        <f>IF(AN2144="","",IF(OR(AO2144&lt;&gt;"OK", AP2144&lt;&gt;"OK", AQ2144&lt;&gt;"OK"), "⚠️ REVISAR", "OK"))</f>
        <v/>
      </c>
    </row>
    <row r="2145">
      <c r="A2145" s="79">
        <f>IF('Ordenes_Odoo'!A2145="","",'Ordenes_Odoo'!A2145)</f>
        <v/>
      </c>
      <c r="B2145" s="80">
        <f>IF('Ordenes_Odoo'!B2145="","",'Ordenes_Odoo'!B2145)</f>
        <v/>
      </c>
      <c r="C2145" s="79">
        <f>IF('Ordenes_Odoo'!C2145="","",'Ordenes_Odoo'!C2145)</f>
        <v/>
      </c>
      <c r="D2145" s="79">
        <f>IF('Ordenes_Odoo'!D2145="","",'Ordenes_Odoo'!D2145)</f>
        <v/>
      </c>
      <c r="E2145" s="79">
        <f>IF('Ordenes_Odoo'!E2145="","",'Ordenes_Odoo'!E2145)</f>
        <v/>
      </c>
      <c r="F2145" s="79">
        <f>IF('Ordenes_Odoo'!F2145="","",'Ordenes_Odoo'!F2145)</f>
        <v/>
      </c>
      <c r="G2145" s="79">
        <f>IF('Ordenes_Odoo'!G2145="","",'Ordenes_Odoo'!G2145)</f>
        <v/>
      </c>
      <c r="H2145" s="79">
        <f>IF('Ordenes_Odoo'!H2145="","",'Ordenes_Odoo'!H2145)</f>
        <v/>
      </c>
      <c r="I2145" s="79">
        <f>IF('Ordenes_Odoo'!I2145="","",'Ordenes_Odoo'!I2145)</f>
        <v/>
      </c>
      <c r="J2145" s="79">
        <f>IF('Ordenes_Odoo'!J2145="","",'Ordenes_Odoo'!J2145)</f>
        <v/>
      </c>
      <c r="K2145" s="81">
        <f>IF('Ordenes_Odoo'!K2145="","",'Ordenes_Odoo'!K2145)</f>
        <v/>
      </c>
      <c r="L2145" s="81">
        <f>IF('Ordenes_Odoo'!L2145="","",'Ordenes_Odoo'!L2145)</f>
        <v/>
      </c>
      <c r="M2145" s="79">
        <f>IF('Ordenes_Odoo'!M2145="","",'Ordenes_Odoo'!M2145)</f>
        <v/>
      </c>
      <c r="N2145" s="79">
        <f>IF('Ordenes_Odoo'!N2145="","",'Ordenes_Odoo'!N2145)</f>
        <v/>
      </c>
      <c r="O2145" s="81">
        <f>IF('Ordenes_Odoo'!O2145="","",'Ordenes_Odoo'!O2145)</f>
        <v/>
      </c>
      <c r="P2145" s="81">
        <f>IF('Ordenes_Odoo'!P2145="","",'Ordenes_Odoo'!P2145)</f>
        <v/>
      </c>
      <c r="Q2145" s="79">
        <f>IF(A2145="","",IFERROR(INDEX(Facturas_Odoo!$B:$B, MATCH(A2145, Facturas_Odoo!$D:$D, 0)), "Sin Factura"))</f>
        <v/>
      </c>
      <c r="R2145" s="80">
        <f>IF(Q2145="Sin Factura","",IFERROR(INDEX(Facturas_Odoo!$A:$A, MATCH(Q2145, Facturas_Odoo!$B:$B, 0)), ""))</f>
        <v/>
      </c>
      <c r="S2145" s="79">
        <f>IF(Q2145="Sin Factura","",IFERROR(_xlfn.XLOOKUP(1, (Facturas_Odoo!$D:$D=A2145) * (Facturas_Odoo!$K:$K=I2145), Facturas_Odoo!$L:$L, ""), ""))</f>
        <v/>
      </c>
      <c r="T2145" s="81">
        <f>IF(Q2145="Sin Factura",0,IFERROR(_xlfn.XLOOKUP(1, (Facturas_Odoo!$D:$D=A2145) * (Facturas_Odoo!$K:$K=I2145), Facturas_Odoo!$M:$M, 0), 0))</f>
        <v/>
      </c>
      <c r="U2145" s="79">
        <f>IF(Q2145="Sin Factura",0,IFERROR(_xlfn.XLOOKUP(1, (Facturas_Odoo!$D:$D=A2145) * (Facturas_Odoo!$K:$K=I2145), Facturas_Odoo!$N:$N, 0), 0))</f>
        <v/>
      </c>
      <c r="V2145" s="79">
        <f>IF(Q2145="Sin Factura",0,IFERROR(_xlfn.XLOOKUP(1, (Facturas_Odoo!$D:$D=A2145) * (Facturas_Odoo!$K:$K=I2145), Facturas_Odoo!$O:$O, 0), 0))</f>
        <v/>
      </c>
      <c r="W2145" s="81">
        <f>IF(Q2145="Sin Factura",0,IFERROR(_xlfn.XLOOKUP(1, (Facturas_Odoo!$D:$D=A2145) * (Facturas_Odoo!$K:$K=I2145), Facturas_Odoo!$Q:$Q, 0), 0))</f>
        <v/>
      </c>
      <c r="X2145" s="79">
        <f>IF(OR(Q2145="Sin Factura",Q2145=""),"",IFERROR(INDEX(Pagos_Odoo!$B:$B, MATCH(Q2145, Pagos_Odoo!$I:$I, 0)), "Sin Pago"))</f>
        <v/>
      </c>
      <c r="Y2145" s="79">
        <f>IF(X2145="Sin Pago","",IFERROR(INDEX(Pagos_Odoo!$C:$C, MATCH(X2145, Pagos_Odoo!$B:$B, 0)), ""))</f>
        <v/>
      </c>
      <c r="Z2145" s="80">
        <f>IF(X2145="Sin Pago","",IFERROR(INDEX(Pagos_Odoo!$A:$A, MATCH(X2145, Pagos_Odoo!$B:$B, 0)), ""))</f>
        <v/>
      </c>
      <c r="AA2145" s="79">
        <f>IF(X2145="Sin Pago","",IFERROR(INDEX(Pagos_Odoo!$F:$F, MATCH(X2145, Pagos_Odoo!$B:$B, 0)), ""))</f>
        <v/>
      </c>
      <c r="AB2145" s="81">
        <f>IF(X2145="Sin Pago",0,IFERROR(INDEX(Pagos_Odoo!$E:$E, MATCH(X2145, Pagos_Odoo!$B:$B, 0)), 0))</f>
        <v/>
      </c>
      <c r="AC2145" s="79">
        <f>IF(X2145="Sin Pago","",IFERROR(INDEX(Pagos_Odoo!$G:$G, MATCH(X2145, Pagos_Odoo!$B:$B, 0)), ""))</f>
        <v/>
      </c>
      <c r="AD2145" s="82" t="n">
        <v>0</v>
      </c>
      <c r="AE2145" s="82" t="n"/>
      <c r="AF2145" s="82" t="n"/>
      <c r="AG2145" s="82">
        <f>IF(AN2145="","",AD2145+AE2145+AF2145)</f>
        <v/>
      </c>
      <c r="AH2145" s="81">
        <f>IF(AN2145="","",P2145*(1-AG2145))</f>
        <v/>
      </c>
      <c r="AI2145" s="81">
        <f>IF(AN2145="","",IF(Q2145="Sin Factura",0,IFERROR(INDEX(Facturas_Odoo!$H:$H, MATCH(Q2145, Facturas_Odoo!$B:$B, 0)), 0)*(1-AG2145)))</f>
        <v/>
      </c>
      <c r="AJ2145" s="81">
        <f>IF(AN2145="","",_xlfn.LET(idVenta, AN2145&amp;"",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45" s="81">
        <f>IF(AN2145="","",AH2145-AJ2145)</f>
        <v/>
      </c>
      <c r="AL2145" s="81">
        <f>IF(AN2145="","",IF(Q2145="Sin Factura","",AI2145-AJ2145))</f>
        <v/>
      </c>
      <c r="AM2145" s="81">
        <f>IF(AN2145="","",IF(Q2145="Sin Factura",0,P2145-IFERROR(INDEX(Facturas_Odoo!$H:$H, MATCH(Q2145, Facturas_Odoo!$B:$B, 0)), 0)))</f>
        <v/>
      </c>
      <c r="AN2145" s="79">
        <f>IF(AND(A2145="", J2145=""), "", IF(A2145&lt;&gt;"", VALUE(MID(A2145,2,LEN(A2145))), AN2144))</f>
        <v/>
      </c>
      <c r="AO2145" s="79">
        <f>IF(AN2145="","",IF(AD2145=0,"OK",_xlfn.LET(monedaPago, IF(AA2145="","USD",AA2145), limitePermitido, IFERROR(VLOOKUP(monedaPago, Configuración!$A$2:$B$3, 2, FALSE), 0.15), IF(AD2145&gt;limitePermitido, "ALERTA: EXCESO (" &amp; TEXT(limitePermitido, "0%") &amp; " máx)", "OK"))))</f>
        <v/>
      </c>
      <c r="AP2145" s="79">
        <f>IF(AN2145="","",IF(AE2145=0,"OK",_xlfn.LET(fechaPago, Z2145, fechaFactura, R2145, diasCredito, IF(E2145="Pago inmediato", 0, IFERROR(VALUE(MID(E2145, 1, SEARCH(" ", E2145)-1)),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45" s="79">
        <f>IF(AN2145="","",IF(AND(N2145&gt;0, AG2145&gt;0), IF(Configuración!$K$2="NO", "ALERTA: DESCUENTO DOBLE NO PERMITIDO", "OK"), "OK"))</f>
        <v/>
      </c>
      <c r="AR2145" s="79">
        <f>IF(AN2145="","",IF(OR(AO2145&lt;&gt;"OK", AP2145&lt;&gt;"OK", AQ2145&lt;&gt;"OK"), "⚠️ REVISAR", "OK"))</f>
        <v/>
      </c>
    </row>
    <row r="2146">
      <c r="A2146" s="79">
        <f>IF('Ordenes_Odoo'!A2146="","",'Ordenes_Odoo'!A2146)</f>
        <v/>
      </c>
      <c r="B2146" s="80">
        <f>IF('Ordenes_Odoo'!B2146="","",'Ordenes_Odoo'!B2146)</f>
        <v/>
      </c>
      <c r="C2146" s="79">
        <f>IF('Ordenes_Odoo'!C2146="","",'Ordenes_Odoo'!C2146)</f>
        <v/>
      </c>
      <c r="D2146" s="79">
        <f>IF('Ordenes_Odoo'!D2146="","",'Ordenes_Odoo'!D2146)</f>
        <v/>
      </c>
      <c r="E2146" s="79">
        <f>IF('Ordenes_Odoo'!E2146="","",'Ordenes_Odoo'!E2146)</f>
        <v/>
      </c>
      <c r="F2146" s="79">
        <f>IF('Ordenes_Odoo'!F2146="","",'Ordenes_Odoo'!F2146)</f>
        <v/>
      </c>
      <c r="G2146" s="79">
        <f>IF('Ordenes_Odoo'!G2146="","",'Ordenes_Odoo'!G2146)</f>
        <v/>
      </c>
      <c r="H2146" s="79">
        <f>IF('Ordenes_Odoo'!H2146="","",'Ordenes_Odoo'!H2146)</f>
        <v/>
      </c>
      <c r="I2146" s="79">
        <f>IF('Ordenes_Odoo'!I2146="","",'Ordenes_Odoo'!I2146)</f>
        <v/>
      </c>
      <c r="J2146" s="79">
        <f>IF('Ordenes_Odoo'!J2146="","",'Ordenes_Odoo'!J2146)</f>
        <v/>
      </c>
      <c r="K2146" s="81">
        <f>IF('Ordenes_Odoo'!K2146="","",'Ordenes_Odoo'!K2146)</f>
        <v/>
      </c>
      <c r="L2146" s="81">
        <f>IF('Ordenes_Odoo'!L2146="","",'Ordenes_Odoo'!L2146)</f>
        <v/>
      </c>
      <c r="M2146" s="79">
        <f>IF('Ordenes_Odoo'!M2146="","",'Ordenes_Odoo'!M2146)</f>
        <v/>
      </c>
      <c r="N2146" s="79">
        <f>IF('Ordenes_Odoo'!N2146="","",'Ordenes_Odoo'!N2146)</f>
        <v/>
      </c>
      <c r="O2146" s="81">
        <f>IF('Ordenes_Odoo'!O2146="","",'Ordenes_Odoo'!O2146)</f>
        <v/>
      </c>
      <c r="P2146" s="81">
        <f>IF('Ordenes_Odoo'!P2146="","",'Ordenes_Odoo'!P2146)</f>
        <v/>
      </c>
      <c r="Q2146" s="79">
        <f>IF(A2146="","",IFERROR(INDEX(Facturas_Odoo!$B:$B, MATCH(A2146, Facturas_Odoo!$D:$D, 0)), "Sin Factura"))</f>
        <v/>
      </c>
      <c r="R2146" s="80">
        <f>IF(Q2146="Sin Factura","",IFERROR(INDEX(Facturas_Odoo!$A:$A, MATCH(Q2146, Facturas_Odoo!$B:$B, 0)), ""))</f>
        <v/>
      </c>
      <c r="S2146" s="79">
        <f>IF(Q2146="Sin Factura","",IFERROR(_xlfn.XLOOKUP(1, (Facturas_Odoo!$D:$D=A2146) * (Facturas_Odoo!$K:$K=I2146), Facturas_Odoo!$L:$L, ""), ""))</f>
        <v/>
      </c>
      <c r="T2146" s="81">
        <f>IF(Q2146="Sin Factura",0,IFERROR(_xlfn.XLOOKUP(1, (Facturas_Odoo!$D:$D=A2146) * (Facturas_Odoo!$K:$K=I2146), Facturas_Odoo!$M:$M, 0), 0))</f>
        <v/>
      </c>
      <c r="U2146" s="79">
        <f>IF(Q2146="Sin Factura",0,IFERROR(_xlfn.XLOOKUP(1, (Facturas_Odoo!$D:$D=A2146) * (Facturas_Odoo!$K:$K=I2146), Facturas_Odoo!$N:$N, 0), 0))</f>
        <v/>
      </c>
      <c r="V2146" s="79">
        <f>IF(Q2146="Sin Factura",0,IFERROR(_xlfn.XLOOKUP(1, (Facturas_Odoo!$D:$D=A2146) * (Facturas_Odoo!$K:$K=I2146), Facturas_Odoo!$O:$O, 0), 0))</f>
        <v/>
      </c>
      <c r="W2146" s="81">
        <f>IF(Q2146="Sin Factura",0,IFERROR(_xlfn.XLOOKUP(1, (Facturas_Odoo!$D:$D=A2146) * (Facturas_Odoo!$K:$K=I2146), Facturas_Odoo!$Q:$Q, 0), 0))</f>
        <v/>
      </c>
      <c r="X2146" s="79">
        <f>IF(OR(Q2146="Sin Factura",Q2146=""),"",IFERROR(INDEX(Pagos_Odoo!$B:$B, MATCH(Q2146, Pagos_Odoo!$I:$I, 0)), "Sin Pago"))</f>
        <v/>
      </c>
      <c r="Y2146" s="79">
        <f>IF(X2146="Sin Pago","",IFERROR(INDEX(Pagos_Odoo!$C:$C, MATCH(X2146, Pagos_Odoo!$B:$B, 0)), ""))</f>
        <v/>
      </c>
      <c r="Z2146" s="80">
        <f>IF(X2146="Sin Pago","",IFERROR(INDEX(Pagos_Odoo!$A:$A, MATCH(X2146, Pagos_Odoo!$B:$B, 0)), ""))</f>
        <v/>
      </c>
      <c r="AA2146" s="79">
        <f>IF(X2146="Sin Pago","",IFERROR(INDEX(Pagos_Odoo!$F:$F, MATCH(X2146, Pagos_Odoo!$B:$B, 0)), ""))</f>
        <v/>
      </c>
      <c r="AB2146" s="81">
        <f>IF(X2146="Sin Pago",0,IFERROR(INDEX(Pagos_Odoo!$E:$E, MATCH(X2146, Pagos_Odoo!$B:$B, 0)), 0))</f>
        <v/>
      </c>
      <c r="AC2146" s="79">
        <f>IF(X2146="Sin Pago","",IFERROR(INDEX(Pagos_Odoo!$G:$G, MATCH(X2146, Pagos_Odoo!$B:$B, 0)), ""))</f>
        <v/>
      </c>
      <c r="AD2146" s="82" t="n">
        <v>0</v>
      </c>
      <c r="AE2146" s="82" t="n"/>
      <c r="AF2146" s="82" t="n"/>
      <c r="AG2146" s="82">
        <f>IF(AN2146="","",AD2146+AE2146+AF2146)</f>
        <v/>
      </c>
      <c r="AH2146" s="81">
        <f>IF(AN2146="","",P2146*(1-AG2146))</f>
        <v/>
      </c>
      <c r="AI2146" s="81">
        <f>IF(AN2146="","",IF(Q2146="Sin Factura",0,IFERROR(INDEX(Facturas_Odoo!$H:$H, MATCH(Q2146, Facturas_Odoo!$B:$B, 0)), 0)*(1-AG2146)))</f>
        <v/>
      </c>
      <c r="AJ2146" s="81">
        <f>IF(AN2146="","",_xlfn.LET(idVenta, AN2146&amp;"",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46" s="81">
        <f>IF(AN2146="","",AH2146-AJ2146)</f>
        <v/>
      </c>
      <c r="AL2146" s="81">
        <f>IF(AN2146="","",IF(Q2146="Sin Factura","",AI2146-AJ2146))</f>
        <v/>
      </c>
      <c r="AM2146" s="81">
        <f>IF(AN2146="","",IF(Q2146="Sin Factura",0,P2146-IFERROR(INDEX(Facturas_Odoo!$H:$H, MATCH(Q2146, Facturas_Odoo!$B:$B, 0)), 0)))</f>
        <v/>
      </c>
      <c r="AN2146" s="79">
        <f>IF(AND(A2146="", J2146=""), "", IF(A2146&lt;&gt;"", VALUE(MID(A2146,2,LEN(A2146))), AN2145))</f>
        <v/>
      </c>
      <c r="AO2146" s="79">
        <f>IF(AN2146="","",IF(AD2146=0,"OK",_xlfn.LET(monedaPago, IF(AA2146="","USD",AA2146), limitePermitido, IFERROR(VLOOKUP(monedaPago, Configuración!$A$2:$B$3, 2, FALSE), 0.15), IF(AD2146&gt;limitePermitido, "ALERTA: EXCESO (" &amp; TEXT(limitePermitido, "0%") &amp; " máx)", "OK"))))</f>
        <v/>
      </c>
      <c r="AP2146" s="79">
        <f>IF(AN2146="","",IF(AE2146=0,"OK",_xlfn.LET(fechaPago, Z2146, fechaFactura, R2146, diasCredito, IF(E2146="Pago inmediato", 0, IFERROR(VALUE(MID(E2146, 1, SEARCH(" ", E2146)-1)),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46" s="79">
        <f>IF(AN2146="","",IF(AND(N2146&gt;0, AG2146&gt;0), IF(Configuración!$K$2="NO", "ALERTA: DESCUENTO DOBLE NO PERMITIDO", "OK"), "OK"))</f>
        <v/>
      </c>
      <c r="AR2146" s="79">
        <f>IF(AN2146="","",IF(OR(AO2146&lt;&gt;"OK", AP2146&lt;&gt;"OK", AQ2146&lt;&gt;"OK"), "⚠️ REVISAR", "OK"))</f>
        <v/>
      </c>
    </row>
    <row r="2147">
      <c r="A2147" s="79">
        <f>IF('Ordenes_Odoo'!A2147="","",'Ordenes_Odoo'!A2147)</f>
        <v/>
      </c>
      <c r="B2147" s="80">
        <f>IF('Ordenes_Odoo'!B2147="","",'Ordenes_Odoo'!B2147)</f>
        <v/>
      </c>
      <c r="C2147" s="79">
        <f>IF('Ordenes_Odoo'!C2147="","",'Ordenes_Odoo'!C2147)</f>
        <v/>
      </c>
      <c r="D2147" s="79">
        <f>IF('Ordenes_Odoo'!D2147="","",'Ordenes_Odoo'!D2147)</f>
        <v/>
      </c>
      <c r="E2147" s="79">
        <f>IF('Ordenes_Odoo'!E2147="","",'Ordenes_Odoo'!E2147)</f>
        <v/>
      </c>
      <c r="F2147" s="79">
        <f>IF('Ordenes_Odoo'!F2147="","",'Ordenes_Odoo'!F2147)</f>
        <v/>
      </c>
      <c r="G2147" s="79">
        <f>IF('Ordenes_Odoo'!G2147="","",'Ordenes_Odoo'!G2147)</f>
        <v/>
      </c>
      <c r="H2147" s="79">
        <f>IF('Ordenes_Odoo'!H2147="","",'Ordenes_Odoo'!H2147)</f>
        <v/>
      </c>
      <c r="I2147" s="79">
        <f>IF('Ordenes_Odoo'!I2147="","",'Ordenes_Odoo'!I2147)</f>
        <v/>
      </c>
      <c r="J2147" s="79">
        <f>IF('Ordenes_Odoo'!J2147="","",'Ordenes_Odoo'!J2147)</f>
        <v/>
      </c>
      <c r="K2147" s="81">
        <f>IF('Ordenes_Odoo'!K2147="","",'Ordenes_Odoo'!K2147)</f>
        <v/>
      </c>
      <c r="L2147" s="81">
        <f>IF('Ordenes_Odoo'!L2147="","",'Ordenes_Odoo'!L2147)</f>
        <v/>
      </c>
      <c r="M2147" s="79">
        <f>IF('Ordenes_Odoo'!M2147="","",'Ordenes_Odoo'!M2147)</f>
        <v/>
      </c>
      <c r="N2147" s="79">
        <f>IF('Ordenes_Odoo'!N2147="","",'Ordenes_Odoo'!N2147)</f>
        <v/>
      </c>
      <c r="O2147" s="81">
        <f>IF('Ordenes_Odoo'!O2147="","",'Ordenes_Odoo'!O2147)</f>
        <v/>
      </c>
      <c r="P2147" s="81">
        <f>IF('Ordenes_Odoo'!P2147="","",'Ordenes_Odoo'!P2147)</f>
        <v/>
      </c>
      <c r="Q2147" s="79">
        <f>IF(A2147="","",IFERROR(INDEX(Facturas_Odoo!$B:$B, MATCH(A2147, Facturas_Odoo!$D:$D, 0)), "Sin Factura"))</f>
        <v/>
      </c>
      <c r="R2147" s="80">
        <f>IF(Q2147="Sin Factura","",IFERROR(INDEX(Facturas_Odoo!$A:$A, MATCH(Q2147, Facturas_Odoo!$B:$B, 0)), ""))</f>
        <v/>
      </c>
      <c r="S2147" s="79">
        <f>IF(Q2147="Sin Factura","",IFERROR(_xlfn.XLOOKUP(1, (Facturas_Odoo!$D:$D=A2147) * (Facturas_Odoo!$K:$K=I2147), Facturas_Odoo!$L:$L, ""), ""))</f>
        <v/>
      </c>
      <c r="T2147" s="81">
        <f>IF(Q2147="Sin Factura",0,IFERROR(_xlfn.XLOOKUP(1, (Facturas_Odoo!$D:$D=A2147) * (Facturas_Odoo!$K:$K=I2147), Facturas_Odoo!$M:$M, 0), 0))</f>
        <v/>
      </c>
      <c r="U2147" s="79">
        <f>IF(Q2147="Sin Factura",0,IFERROR(_xlfn.XLOOKUP(1, (Facturas_Odoo!$D:$D=A2147) * (Facturas_Odoo!$K:$K=I2147), Facturas_Odoo!$N:$N, 0), 0))</f>
        <v/>
      </c>
      <c r="V2147" s="79">
        <f>IF(Q2147="Sin Factura",0,IFERROR(_xlfn.XLOOKUP(1, (Facturas_Odoo!$D:$D=A2147) * (Facturas_Odoo!$K:$K=I2147), Facturas_Odoo!$O:$O, 0), 0))</f>
        <v/>
      </c>
      <c r="W2147" s="81">
        <f>IF(Q2147="Sin Factura",0,IFERROR(_xlfn.XLOOKUP(1, (Facturas_Odoo!$D:$D=A2147) * (Facturas_Odoo!$K:$K=I2147), Facturas_Odoo!$Q:$Q, 0), 0))</f>
        <v/>
      </c>
      <c r="X2147" s="79">
        <f>IF(OR(Q2147="Sin Factura",Q2147=""),"",IFERROR(INDEX(Pagos_Odoo!$B:$B, MATCH(Q2147, Pagos_Odoo!$I:$I, 0)), "Sin Pago"))</f>
        <v/>
      </c>
      <c r="Y2147" s="79">
        <f>IF(X2147="Sin Pago","",IFERROR(INDEX(Pagos_Odoo!$C:$C, MATCH(X2147, Pagos_Odoo!$B:$B, 0)), ""))</f>
        <v/>
      </c>
      <c r="Z2147" s="80">
        <f>IF(X2147="Sin Pago","",IFERROR(INDEX(Pagos_Odoo!$A:$A, MATCH(X2147, Pagos_Odoo!$B:$B, 0)), ""))</f>
        <v/>
      </c>
      <c r="AA2147" s="79">
        <f>IF(X2147="Sin Pago","",IFERROR(INDEX(Pagos_Odoo!$F:$F, MATCH(X2147, Pagos_Odoo!$B:$B, 0)), ""))</f>
        <v/>
      </c>
      <c r="AB2147" s="81">
        <f>IF(X2147="Sin Pago",0,IFERROR(INDEX(Pagos_Odoo!$E:$E, MATCH(X2147, Pagos_Odoo!$B:$B, 0)), 0))</f>
        <v/>
      </c>
      <c r="AC2147" s="79">
        <f>IF(X2147="Sin Pago","",IFERROR(INDEX(Pagos_Odoo!$G:$G, MATCH(X2147, Pagos_Odoo!$B:$B, 0)), ""))</f>
        <v/>
      </c>
      <c r="AD2147" s="82" t="n">
        <v>0</v>
      </c>
      <c r="AE2147" s="82" t="n"/>
      <c r="AF2147" s="82" t="n"/>
      <c r="AG2147" s="82">
        <f>IF(AN2147="","",AD2147+AE2147+AF2147)</f>
        <v/>
      </c>
      <c r="AH2147" s="81">
        <f>IF(AN2147="","",P2147*(1-AG2147))</f>
        <v/>
      </c>
      <c r="AI2147" s="81">
        <f>IF(AN2147="","",IF(Q2147="Sin Factura",0,IFERROR(INDEX(Facturas_Odoo!$H:$H, MATCH(Q2147, Facturas_Odoo!$B:$B, 0)), 0)*(1-AG2147)))</f>
        <v/>
      </c>
      <c r="AJ2147" s="81">
        <f>IF(AN2147="","",_xlfn.LET(idVenta, AN2147&amp;"",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47" s="81">
        <f>IF(AN2147="","",AH2147-AJ2147)</f>
        <v/>
      </c>
      <c r="AL2147" s="81">
        <f>IF(AN2147="","",IF(Q2147="Sin Factura","",AI2147-AJ2147))</f>
        <v/>
      </c>
      <c r="AM2147" s="81">
        <f>IF(AN2147="","",IF(Q2147="Sin Factura",0,P2147-IFERROR(INDEX(Facturas_Odoo!$H:$H, MATCH(Q2147, Facturas_Odoo!$B:$B, 0)), 0)))</f>
        <v/>
      </c>
      <c r="AN2147" s="79">
        <f>IF(AND(A2147="", J2147=""), "", IF(A2147&lt;&gt;"", VALUE(MID(A2147,2,LEN(A2147))), AN2146))</f>
        <v/>
      </c>
      <c r="AO2147" s="79">
        <f>IF(AN2147="","",IF(AD2147=0,"OK",_xlfn.LET(monedaPago, IF(AA2147="","USD",AA2147), limitePermitido, IFERROR(VLOOKUP(monedaPago, Configuración!$A$2:$B$3, 2, FALSE), 0.15), IF(AD2147&gt;limitePermitido, "ALERTA: EXCESO (" &amp; TEXT(limitePermitido, "0%") &amp; " máx)", "OK"))))</f>
        <v/>
      </c>
      <c r="AP2147" s="79">
        <f>IF(AN2147="","",IF(AE2147=0,"OK",_xlfn.LET(fechaPago, Z2147, fechaFactura, R2147, diasCredito, IF(E2147="Pago inmediato", 0, IFERROR(VALUE(MID(E2147, 1, SEARCH(" ", E2147)-1)),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47" s="79">
        <f>IF(AN2147="","",IF(AND(N2147&gt;0, AG2147&gt;0), IF(Configuración!$K$2="NO", "ALERTA: DESCUENTO DOBLE NO PERMITIDO", "OK"), "OK"))</f>
        <v/>
      </c>
      <c r="AR2147" s="79">
        <f>IF(AN2147="","",IF(OR(AO2147&lt;&gt;"OK", AP2147&lt;&gt;"OK", AQ2147&lt;&gt;"OK"), "⚠️ REVISAR", "OK"))</f>
        <v/>
      </c>
    </row>
    <row r="2148">
      <c r="A2148" s="79">
        <f>IF('Ordenes_Odoo'!A2148="","",'Ordenes_Odoo'!A2148)</f>
        <v/>
      </c>
      <c r="B2148" s="80">
        <f>IF('Ordenes_Odoo'!B2148="","",'Ordenes_Odoo'!B2148)</f>
        <v/>
      </c>
      <c r="C2148" s="79">
        <f>IF('Ordenes_Odoo'!C2148="","",'Ordenes_Odoo'!C2148)</f>
        <v/>
      </c>
      <c r="D2148" s="79">
        <f>IF('Ordenes_Odoo'!D2148="","",'Ordenes_Odoo'!D2148)</f>
        <v/>
      </c>
      <c r="E2148" s="79">
        <f>IF('Ordenes_Odoo'!E2148="","",'Ordenes_Odoo'!E2148)</f>
        <v/>
      </c>
      <c r="F2148" s="79">
        <f>IF('Ordenes_Odoo'!F2148="","",'Ordenes_Odoo'!F2148)</f>
        <v/>
      </c>
      <c r="G2148" s="79">
        <f>IF('Ordenes_Odoo'!G2148="","",'Ordenes_Odoo'!G2148)</f>
        <v/>
      </c>
      <c r="H2148" s="79">
        <f>IF('Ordenes_Odoo'!H2148="","",'Ordenes_Odoo'!H2148)</f>
        <v/>
      </c>
      <c r="I2148" s="79">
        <f>IF('Ordenes_Odoo'!I2148="","",'Ordenes_Odoo'!I2148)</f>
        <v/>
      </c>
      <c r="J2148" s="79">
        <f>IF('Ordenes_Odoo'!J2148="","",'Ordenes_Odoo'!J2148)</f>
        <v/>
      </c>
      <c r="K2148" s="81">
        <f>IF('Ordenes_Odoo'!K2148="","",'Ordenes_Odoo'!K2148)</f>
        <v/>
      </c>
      <c r="L2148" s="81">
        <f>IF('Ordenes_Odoo'!L2148="","",'Ordenes_Odoo'!L2148)</f>
        <v/>
      </c>
      <c r="M2148" s="79">
        <f>IF('Ordenes_Odoo'!M2148="","",'Ordenes_Odoo'!M2148)</f>
        <v/>
      </c>
      <c r="N2148" s="79">
        <f>IF('Ordenes_Odoo'!N2148="","",'Ordenes_Odoo'!N2148)</f>
        <v/>
      </c>
      <c r="O2148" s="81">
        <f>IF('Ordenes_Odoo'!O2148="","",'Ordenes_Odoo'!O2148)</f>
        <v/>
      </c>
      <c r="P2148" s="81">
        <f>IF('Ordenes_Odoo'!P2148="","",'Ordenes_Odoo'!P2148)</f>
        <v/>
      </c>
      <c r="Q2148" s="79">
        <f>IF(A2148="","",IFERROR(INDEX(Facturas_Odoo!$B:$B, MATCH(A2148, Facturas_Odoo!$D:$D, 0)), "Sin Factura"))</f>
        <v/>
      </c>
      <c r="R2148" s="80">
        <f>IF(Q2148="Sin Factura","",IFERROR(INDEX(Facturas_Odoo!$A:$A, MATCH(Q2148, Facturas_Odoo!$B:$B, 0)), ""))</f>
        <v/>
      </c>
      <c r="S2148" s="79">
        <f>IF(Q2148="Sin Factura","",IFERROR(_xlfn.XLOOKUP(1, (Facturas_Odoo!$D:$D=A2148) * (Facturas_Odoo!$K:$K=I2148), Facturas_Odoo!$L:$L, ""), ""))</f>
        <v/>
      </c>
      <c r="T2148" s="81">
        <f>IF(Q2148="Sin Factura",0,IFERROR(_xlfn.XLOOKUP(1, (Facturas_Odoo!$D:$D=A2148) * (Facturas_Odoo!$K:$K=I2148), Facturas_Odoo!$M:$M, 0), 0))</f>
        <v/>
      </c>
      <c r="U2148" s="79">
        <f>IF(Q2148="Sin Factura",0,IFERROR(_xlfn.XLOOKUP(1, (Facturas_Odoo!$D:$D=A2148) * (Facturas_Odoo!$K:$K=I2148), Facturas_Odoo!$N:$N, 0), 0))</f>
        <v/>
      </c>
      <c r="V2148" s="79">
        <f>IF(Q2148="Sin Factura",0,IFERROR(_xlfn.XLOOKUP(1, (Facturas_Odoo!$D:$D=A2148) * (Facturas_Odoo!$K:$K=I2148), Facturas_Odoo!$O:$O, 0), 0))</f>
        <v/>
      </c>
      <c r="W2148" s="81">
        <f>IF(Q2148="Sin Factura",0,IFERROR(_xlfn.XLOOKUP(1, (Facturas_Odoo!$D:$D=A2148) * (Facturas_Odoo!$K:$K=I2148), Facturas_Odoo!$Q:$Q, 0), 0))</f>
        <v/>
      </c>
      <c r="X2148" s="79">
        <f>IF(OR(Q2148="Sin Factura",Q2148=""),"",IFERROR(INDEX(Pagos_Odoo!$B:$B, MATCH(Q2148, Pagos_Odoo!$I:$I, 0)), "Sin Pago"))</f>
        <v/>
      </c>
      <c r="Y2148" s="79">
        <f>IF(X2148="Sin Pago","",IFERROR(INDEX(Pagos_Odoo!$C:$C, MATCH(X2148, Pagos_Odoo!$B:$B, 0)), ""))</f>
        <v/>
      </c>
      <c r="Z2148" s="80">
        <f>IF(X2148="Sin Pago","",IFERROR(INDEX(Pagos_Odoo!$A:$A, MATCH(X2148, Pagos_Odoo!$B:$B, 0)), ""))</f>
        <v/>
      </c>
      <c r="AA2148" s="79">
        <f>IF(X2148="Sin Pago","",IFERROR(INDEX(Pagos_Odoo!$F:$F, MATCH(X2148, Pagos_Odoo!$B:$B, 0)), ""))</f>
        <v/>
      </c>
      <c r="AB2148" s="81">
        <f>IF(X2148="Sin Pago",0,IFERROR(INDEX(Pagos_Odoo!$E:$E, MATCH(X2148, Pagos_Odoo!$B:$B, 0)), 0))</f>
        <v/>
      </c>
      <c r="AC2148" s="79">
        <f>IF(X2148="Sin Pago","",IFERROR(INDEX(Pagos_Odoo!$G:$G, MATCH(X2148, Pagos_Odoo!$B:$B, 0)), ""))</f>
        <v/>
      </c>
      <c r="AD2148" s="82" t="n">
        <v>0</v>
      </c>
      <c r="AE2148" s="82" t="n"/>
      <c r="AF2148" s="82" t="n"/>
      <c r="AG2148" s="82">
        <f>IF(AN2148="","",AD2148+AE2148+AF2148)</f>
        <v/>
      </c>
      <c r="AH2148" s="81">
        <f>IF(AN2148="","",P2148*(1-AG2148))</f>
        <v/>
      </c>
      <c r="AI2148" s="81">
        <f>IF(AN2148="","",IF(Q2148="Sin Factura",0,IFERROR(INDEX(Facturas_Odoo!$H:$H, MATCH(Q2148, Facturas_Odoo!$B:$B, 0)), 0)*(1-AG2148)))</f>
        <v/>
      </c>
      <c r="AJ2148" s="81">
        <f>IF(AN2148="","",_xlfn.LET(idVenta, AN2148&amp;"",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48" s="81">
        <f>IF(AN2148="","",AH2148-AJ2148)</f>
        <v/>
      </c>
      <c r="AL2148" s="81">
        <f>IF(AN2148="","",IF(Q2148="Sin Factura","",AI2148-AJ2148))</f>
        <v/>
      </c>
      <c r="AM2148" s="81">
        <f>IF(AN2148="","",IF(Q2148="Sin Factura",0,P2148-IFERROR(INDEX(Facturas_Odoo!$H:$H, MATCH(Q2148, Facturas_Odoo!$B:$B, 0)), 0)))</f>
        <v/>
      </c>
      <c r="AN2148" s="79">
        <f>IF(AND(A2148="", J2148=""), "", IF(A2148&lt;&gt;"", VALUE(MID(A2148,2,LEN(A2148))), AN2147))</f>
        <v/>
      </c>
      <c r="AO2148" s="79">
        <f>IF(AN2148="","",IF(AD2148=0,"OK",_xlfn.LET(monedaPago, IF(AA2148="","USD",AA2148), limitePermitido, IFERROR(VLOOKUP(monedaPago, Configuración!$A$2:$B$3, 2, FALSE), 0.15), IF(AD2148&gt;limitePermitido, "ALERTA: EXCESO (" &amp; TEXT(limitePermitido, "0%") &amp; " máx)", "OK"))))</f>
        <v/>
      </c>
      <c r="AP2148" s="79">
        <f>IF(AN2148="","",IF(AE2148=0,"OK",_xlfn.LET(fechaPago, Z2148, fechaFactura, R2148, diasCredito, IF(E2148="Pago inmediato", 0, IFERROR(VALUE(MID(E2148, 1, SEARCH(" ", E2148)-1)),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48" s="79">
        <f>IF(AN2148="","",IF(AND(N2148&gt;0, AG2148&gt;0), IF(Configuración!$K$2="NO", "ALERTA: DESCUENTO DOBLE NO PERMITIDO", "OK"), "OK"))</f>
        <v/>
      </c>
      <c r="AR2148" s="79">
        <f>IF(AN2148="","",IF(OR(AO2148&lt;&gt;"OK", AP2148&lt;&gt;"OK", AQ2148&lt;&gt;"OK"), "⚠️ REVISAR", "OK"))</f>
        <v/>
      </c>
    </row>
    <row r="2149">
      <c r="A2149" s="79">
        <f>IF('Ordenes_Odoo'!A2149="","",'Ordenes_Odoo'!A2149)</f>
        <v/>
      </c>
      <c r="B2149" s="80">
        <f>IF('Ordenes_Odoo'!B2149="","",'Ordenes_Odoo'!B2149)</f>
        <v/>
      </c>
      <c r="C2149" s="79">
        <f>IF('Ordenes_Odoo'!C2149="","",'Ordenes_Odoo'!C2149)</f>
        <v/>
      </c>
      <c r="D2149" s="79">
        <f>IF('Ordenes_Odoo'!D2149="","",'Ordenes_Odoo'!D2149)</f>
        <v/>
      </c>
      <c r="E2149" s="79">
        <f>IF('Ordenes_Odoo'!E2149="","",'Ordenes_Odoo'!E2149)</f>
        <v/>
      </c>
      <c r="F2149" s="79">
        <f>IF('Ordenes_Odoo'!F2149="","",'Ordenes_Odoo'!F2149)</f>
        <v/>
      </c>
      <c r="G2149" s="79">
        <f>IF('Ordenes_Odoo'!G2149="","",'Ordenes_Odoo'!G2149)</f>
        <v/>
      </c>
      <c r="H2149" s="79">
        <f>IF('Ordenes_Odoo'!H2149="","",'Ordenes_Odoo'!H2149)</f>
        <v/>
      </c>
      <c r="I2149" s="79">
        <f>IF('Ordenes_Odoo'!I2149="","",'Ordenes_Odoo'!I2149)</f>
        <v/>
      </c>
      <c r="J2149" s="79">
        <f>IF('Ordenes_Odoo'!J2149="","",'Ordenes_Odoo'!J2149)</f>
        <v/>
      </c>
      <c r="K2149" s="81">
        <f>IF('Ordenes_Odoo'!K2149="","",'Ordenes_Odoo'!K2149)</f>
        <v/>
      </c>
      <c r="L2149" s="81">
        <f>IF('Ordenes_Odoo'!L2149="","",'Ordenes_Odoo'!L2149)</f>
        <v/>
      </c>
      <c r="M2149" s="79">
        <f>IF('Ordenes_Odoo'!M2149="","",'Ordenes_Odoo'!M2149)</f>
        <v/>
      </c>
      <c r="N2149" s="79">
        <f>IF('Ordenes_Odoo'!N2149="","",'Ordenes_Odoo'!N2149)</f>
        <v/>
      </c>
      <c r="O2149" s="81">
        <f>IF('Ordenes_Odoo'!O2149="","",'Ordenes_Odoo'!O2149)</f>
        <v/>
      </c>
      <c r="P2149" s="81">
        <f>IF('Ordenes_Odoo'!P2149="","",'Ordenes_Odoo'!P2149)</f>
        <v/>
      </c>
      <c r="Q2149" s="79">
        <f>IF(A2149="","",IFERROR(INDEX(Facturas_Odoo!$B:$B, MATCH(A2149, Facturas_Odoo!$D:$D, 0)), "Sin Factura"))</f>
        <v/>
      </c>
      <c r="R2149" s="80">
        <f>IF(Q2149="Sin Factura","",IFERROR(INDEX(Facturas_Odoo!$A:$A, MATCH(Q2149, Facturas_Odoo!$B:$B, 0)), ""))</f>
        <v/>
      </c>
      <c r="S2149" s="79">
        <f>IF(Q2149="Sin Factura","",IFERROR(_xlfn.XLOOKUP(1, (Facturas_Odoo!$D:$D=A2149) * (Facturas_Odoo!$K:$K=I2149), Facturas_Odoo!$L:$L, ""), ""))</f>
        <v/>
      </c>
      <c r="T2149" s="81">
        <f>IF(Q2149="Sin Factura",0,IFERROR(_xlfn.XLOOKUP(1, (Facturas_Odoo!$D:$D=A2149) * (Facturas_Odoo!$K:$K=I2149), Facturas_Odoo!$M:$M, 0), 0))</f>
        <v/>
      </c>
      <c r="U2149" s="79">
        <f>IF(Q2149="Sin Factura",0,IFERROR(_xlfn.XLOOKUP(1, (Facturas_Odoo!$D:$D=A2149) * (Facturas_Odoo!$K:$K=I2149), Facturas_Odoo!$N:$N, 0), 0))</f>
        <v/>
      </c>
      <c r="V2149" s="79">
        <f>IF(Q2149="Sin Factura",0,IFERROR(_xlfn.XLOOKUP(1, (Facturas_Odoo!$D:$D=A2149) * (Facturas_Odoo!$K:$K=I2149), Facturas_Odoo!$O:$O, 0), 0))</f>
        <v/>
      </c>
      <c r="W2149" s="81">
        <f>IF(Q2149="Sin Factura",0,IFERROR(_xlfn.XLOOKUP(1, (Facturas_Odoo!$D:$D=A2149) * (Facturas_Odoo!$K:$K=I2149), Facturas_Odoo!$Q:$Q, 0), 0))</f>
        <v/>
      </c>
      <c r="X2149" s="79">
        <f>IF(OR(Q2149="Sin Factura",Q2149=""),"",IFERROR(INDEX(Pagos_Odoo!$B:$B, MATCH(Q2149, Pagos_Odoo!$I:$I, 0)), "Sin Pago"))</f>
        <v/>
      </c>
      <c r="Y2149" s="79">
        <f>IF(X2149="Sin Pago","",IFERROR(INDEX(Pagos_Odoo!$C:$C, MATCH(X2149, Pagos_Odoo!$B:$B, 0)), ""))</f>
        <v/>
      </c>
      <c r="Z2149" s="80">
        <f>IF(X2149="Sin Pago","",IFERROR(INDEX(Pagos_Odoo!$A:$A, MATCH(X2149, Pagos_Odoo!$B:$B, 0)), ""))</f>
        <v/>
      </c>
      <c r="AA2149" s="79">
        <f>IF(X2149="Sin Pago","",IFERROR(INDEX(Pagos_Odoo!$F:$F, MATCH(X2149, Pagos_Odoo!$B:$B, 0)), ""))</f>
        <v/>
      </c>
      <c r="AB2149" s="81">
        <f>IF(X2149="Sin Pago",0,IFERROR(INDEX(Pagos_Odoo!$E:$E, MATCH(X2149, Pagos_Odoo!$B:$B, 0)), 0))</f>
        <v/>
      </c>
      <c r="AC2149" s="79">
        <f>IF(X2149="Sin Pago","",IFERROR(INDEX(Pagos_Odoo!$G:$G, MATCH(X2149, Pagos_Odoo!$B:$B, 0)), ""))</f>
        <v/>
      </c>
      <c r="AD2149" s="82" t="n">
        <v>0</v>
      </c>
      <c r="AE2149" s="82" t="n"/>
      <c r="AF2149" s="82" t="n"/>
      <c r="AG2149" s="82">
        <f>IF(AN2149="","",AD2149+AE2149+AF2149)</f>
        <v/>
      </c>
      <c r="AH2149" s="81">
        <f>IF(AN2149="","",P2149*(1-AG2149))</f>
        <v/>
      </c>
      <c r="AI2149" s="81">
        <f>IF(AN2149="","",IF(Q2149="Sin Factura",0,IFERROR(INDEX(Facturas_Odoo!$H:$H, MATCH(Q2149, Facturas_Odoo!$B:$B, 0)), 0)*(1-AG2149)))</f>
        <v/>
      </c>
      <c r="AJ2149" s="81">
        <f>IF(AN2149="","",_xlfn.LET(idVenta, AN2149&amp;"",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49" s="81">
        <f>IF(AN2149="","",AH2149-AJ2149)</f>
        <v/>
      </c>
      <c r="AL2149" s="81">
        <f>IF(AN2149="","",IF(Q2149="Sin Factura","",AI2149-AJ2149))</f>
        <v/>
      </c>
      <c r="AM2149" s="81">
        <f>IF(AN2149="","",IF(Q2149="Sin Factura",0,P2149-IFERROR(INDEX(Facturas_Odoo!$H:$H, MATCH(Q2149, Facturas_Odoo!$B:$B, 0)), 0)))</f>
        <v/>
      </c>
      <c r="AN2149" s="79">
        <f>IF(AND(A2149="", J2149=""), "", IF(A2149&lt;&gt;"", VALUE(MID(A2149,2,LEN(A2149))), AN2148))</f>
        <v/>
      </c>
      <c r="AO2149" s="79">
        <f>IF(AN2149="","",IF(AD2149=0,"OK",_xlfn.LET(monedaPago, IF(AA2149="","USD",AA2149), limitePermitido, IFERROR(VLOOKUP(monedaPago, Configuración!$A$2:$B$3, 2, FALSE), 0.15), IF(AD2149&gt;limitePermitido, "ALERTA: EXCESO (" &amp; TEXT(limitePermitido, "0%") &amp; " máx)", "OK"))))</f>
        <v/>
      </c>
      <c r="AP2149" s="79">
        <f>IF(AN2149="","",IF(AE2149=0,"OK",_xlfn.LET(fechaPago, Z2149, fechaFactura, R2149, diasCredito, IF(E2149="Pago inmediato", 0, IFERROR(VALUE(MID(E2149, 1, SEARCH(" ", E2149)-1)),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49" s="79">
        <f>IF(AN2149="","",IF(AND(N2149&gt;0, AG2149&gt;0), IF(Configuración!$K$2="NO", "ALERTA: DESCUENTO DOBLE NO PERMITIDO", "OK"), "OK"))</f>
        <v/>
      </c>
      <c r="AR2149" s="79">
        <f>IF(AN2149="","",IF(OR(AO2149&lt;&gt;"OK", AP2149&lt;&gt;"OK", AQ2149&lt;&gt;"OK"), "⚠️ REVISAR", "OK"))</f>
        <v/>
      </c>
    </row>
    <row r="2150">
      <c r="A2150" s="79">
        <f>IF('Ordenes_Odoo'!A2150="","",'Ordenes_Odoo'!A2150)</f>
        <v/>
      </c>
      <c r="B2150" s="80">
        <f>IF('Ordenes_Odoo'!B2150="","",'Ordenes_Odoo'!B2150)</f>
        <v/>
      </c>
      <c r="C2150" s="79">
        <f>IF('Ordenes_Odoo'!C2150="","",'Ordenes_Odoo'!C2150)</f>
        <v/>
      </c>
      <c r="D2150" s="79">
        <f>IF('Ordenes_Odoo'!D2150="","",'Ordenes_Odoo'!D2150)</f>
        <v/>
      </c>
      <c r="E2150" s="79">
        <f>IF('Ordenes_Odoo'!E2150="","",'Ordenes_Odoo'!E2150)</f>
        <v/>
      </c>
      <c r="F2150" s="79">
        <f>IF('Ordenes_Odoo'!F2150="","",'Ordenes_Odoo'!F2150)</f>
        <v/>
      </c>
      <c r="G2150" s="79">
        <f>IF('Ordenes_Odoo'!G2150="","",'Ordenes_Odoo'!G2150)</f>
        <v/>
      </c>
      <c r="H2150" s="79">
        <f>IF('Ordenes_Odoo'!H2150="","",'Ordenes_Odoo'!H2150)</f>
        <v/>
      </c>
      <c r="I2150" s="79">
        <f>IF('Ordenes_Odoo'!I2150="","",'Ordenes_Odoo'!I2150)</f>
        <v/>
      </c>
      <c r="J2150" s="79">
        <f>IF('Ordenes_Odoo'!J2150="","",'Ordenes_Odoo'!J2150)</f>
        <v/>
      </c>
      <c r="K2150" s="81">
        <f>IF('Ordenes_Odoo'!K2150="","",'Ordenes_Odoo'!K2150)</f>
        <v/>
      </c>
      <c r="L2150" s="81">
        <f>IF('Ordenes_Odoo'!L2150="","",'Ordenes_Odoo'!L2150)</f>
        <v/>
      </c>
      <c r="M2150" s="79">
        <f>IF('Ordenes_Odoo'!M2150="","",'Ordenes_Odoo'!M2150)</f>
        <v/>
      </c>
      <c r="N2150" s="79">
        <f>IF('Ordenes_Odoo'!N2150="","",'Ordenes_Odoo'!N2150)</f>
        <v/>
      </c>
      <c r="O2150" s="81">
        <f>IF('Ordenes_Odoo'!O2150="","",'Ordenes_Odoo'!O2150)</f>
        <v/>
      </c>
      <c r="P2150" s="81">
        <f>IF('Ordenes_Odoo'!P2150="","",'Ordenes_Odoo'!P2150)</f>
        <v/>
      </c>
      <c r="Q2150" s="79">
        <f>IF(A2150="","",IFERROR(INDEX(Facturas_Odoo!$B:$B, MATCH(A2150, Facturas_Odoo!$D:$D, 0)), "Sin Factura"))</f>
        <v/>
      </c>
      <c r="R2150" s="80">
        <f>IF(Q2150="Sin Factura","",IFERROR(INDEX(Facturas_Odoo!$A:$A, MATCH(Q2150, Facturas_Odoo!$B:$B, 0)), ""))</f>
        <v/>
      </c>
      <c r="S2150" s="79">
        <f>IF(Q2150="Sin Factura","",IFERROR(_xlfn.XLOOKUP(1, (Facturas_Odoo!$D:$D=A2150) * (Facturas_Odoo!$K:$K=I2150), Facturas_Odoo!$L:$L, ""), ""))</f>
        <v/>
      </c>
      <c r="T2150" s="81">
        <f>IF(Q2150="Sin Factura",0,IFERROR(_xlfn.XLOOKUP(1, (Facturas_Odoo!$D:$D=A2150) * (Facturas_Odoo!$K:$K=I2150), Facturas_Odoo!$M:$M, 0), 0))</f>
        <v/>
      </c>
      <c r="U2150" s="79">
        <f>IF(Q2150="Sin Factura",0,IFERROR(_xlfn.XLOOKUP(1, (Facturas_Odoo!$D:$D=A2150) * (Facturas_Odoo!$K:$K=I2150), Facturas_Odoo!$N:$N, 0), 0))</f>
        <v/>
      </c>
      <c r="V2150" s="79">
        <f>IF(Q2150="Sin Factura",0,IFERROR(_xlfn.XLOOKUP(1, (Facturas_Odoo!$D:$D=A2150) * (Facturas_Odoo!$K:$K=I2150), Facturas_Odoo!$O:$O, 0), 0))</f>
        <v/>
      </c>
      <c r="W2150" s="81">
        <f>IF(Q2150="Sin Factura",0,IFERROR(_xlfn.XLOOKUP(1, (Facturas_Odoo!$D:$D=A2150) * (Facturas_Odoo!$K:$K=I2150), Facturas_Odoo!$Q:$Q, 0), 0))</f>
        <v/>
      </c>
      <c r="X2150" s="79">
        <f>IF(OR(Q2150="Sin Factura",Q2150=""),"",IFERROR(INDEX(Pagos_Odoo!$B:$B, MATCH(Q2150, Pagos_Odoo!$I:$I, 0)), "Sin Pago"))</f>
        <v/>
      </c>
      <c r="Y2150" s="79">
        <f>IF(X2150="Sin Pago","",IFERROR(INDEX(Pagos_Odoo!$C:$C, MATCH(X2150, Pagos_Odoo!$B:$B, 0)), ""))</f>
        <v/>
      </c>
      <c r="Z2150" s="80">
        <f>IF(X2150="Sin Pago","",IFERROR(INDEX(Pagos_Odoo!$A:$A, MATCH(X2150, Pagos_Odoo!$B:$B, 0)), ""))</f>
        <v/>
      </c>
      <c r="AA2150" s="79">
        <f>IF(X2150="Sin Pago","",IFERROR(INDEX(Pagos_Odoo!$F:$F, MATCH(X2150, Pagos_Odoo!$B:$B, 0)), ""))</f>
        <v/>
      </c>
      <c r="AB2150" s="81">
        <f>IF(X2150="Sin Pago",0,IFERROR(INDEX(Pagos_Odoo!$E:$E, MATCH(X2150, Pagos_Odoo!$B:$B, 0)), 0))</f>
        <v/>
      </c>
      <c r="AC2150" s="79">
        <f>IF(X2150="Sin Pago","",IFERROR(INDEX(Pagos_Odoo!$G:$G, MATCH(X2150, Pagos_Odoo!$B:$B, 0)), ""))</f>
        <v/>
      </c>
      <c r="AD2150" s="82" t="n">
        <v>0</v>
      </c>
      <c r="AE2150" s="82" t="n"/>
      <c r="AF2150" s="82" t="n"/>
      <c r="AG2150" s="82">
        <f>IF(AN2150="","",AD2150+AE2150+AF2150)</f>
        <v/>
      </c>
      <c r="AH2150" s="81">
        <f>IF(AN2150="","",P2150*(1-AG2150))</f>
        <v/>
      </c>
      <c r="AI2150" s="81">
        <f>IF(AN2150="","",IF(Q2150="Sin Factura",0,IFERROR(INDEX(Facturas_Odoo!$H:$H, MATCH(Q2150, Facturas_Odoo!$B:$B, 0)), 0)*(1-AG2150)))</f>
        <v/>
      </c>
      <c r="AJ2150" s="81">
        <f>IF(AN2150="","",_xlfn.LET(idVenta, AN2150&amp;"",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50" s="81">
        <f>IF(AN2150="","",AH2150-AJ2150)</f>
        <v/>
      </c>
      <c r="AL2150" s="81">
        <f>IF(AN2150="","",IF(Q2150="Sin Factura","",AI2150-AJ2150))</f>
        <v/>
      </c>
      <c r="AM2150" s="81">
        <f>IF(AN2150="","",IF(Q2150="Sin Factura",0,P2150-IFERROR(INDEX(Facturas_Odoo!$H:$H, MATCH(Q2150, Facturas_Odoo!$B:$B, 0)), 0)))</f>
        <v/>
      </c>
      <c r="AN2150" s="79">
        <f>IF(AND(A2150="", J2150=""), "", IF(A2150&lt;&gt;"", VALUE(MID(A2150,2,LEN(A2150))), AN2149))</f>
        <v/>
      </c>
      <c r="AO2150" s="79">
        <f>IF(AN2150="","",IF(AD2150=0,"OK",_xlfn.LET(monedaPago, IF(AA2150="","USD",AA2150), limitePermitido, IFERROR(VLOOKUP(monedaPago, Configuración!$A$2:$B$3, 2, FALSE), 0.15), IF(AD2150&gt;limitePermitido, "ALERTA: EXCESO (" &amp; TEXT(limitePermitido, "0%") &amp; " máx)", "OK"))))</f>
        <v/>
      </c>
      <c r="AP2150" s="79">
        <f>IF(AN2150="","",IF(AE2150=0,"OK",_xlfn.LET(fechaPago, Z2150, fechaFactura, R2150, diasCredito, IF(E2150="Pago inmediato", 0, IFERROR(VALUE(MID(E2150, 1, SEARCH(" ", E2150)-1)),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50" s="79">
        <f>IF(AN2150="","",IF(AND(N2150&gt;0, AG2150&gt;0), IF(Configuración!$K$2="NO", "ALERTA: DESCUENTO DOBLE NO PERMITIDO", "OK"), "OK"))</f>
        <v/>
      </c>
      <c r="AR2150" s="79">
        <f>IF(AN2150="","",IF(OR(AO2150&lt;&gt;"OK", AP2150&lt;&gt;"OK", AQ2150&lt;&gt;"OK"), "⚠️ REVISAR", "OK"))</f>
        <v/>
      </c>
    </row>
    <row r="2151">
      <c r="A2151" s="79">
        <f>IF('Ordenes_Odoo'!A2151="","",'Ordenes_Odoo'!A2151)</f>
        <v/>
      </c>
      <c r="B2151" s="80">
        <f>IF('Ordenes_Odoo'!B2151="","",'Ordenes_Odoo'!B2151)</f>
        <v/>
      </c>
      <c r="C2151" s="79">
        <f>IF('Ordenes_Odoo'!C2151="","",'Ordenes_Odoo'!C2151)</f>
        <v/>
      </c>
      <c r="D2151" s="79">
        <f>IF('Ordenes_Odoo'!D2151="","",'Ordenes_Odoo'!D2151)</f>
        <v/>
      </c>
      <c r="E2151" s="79">
        <f>IF('Ordenes_Odoo'!E2151="","",'Ordenes_Odoo'!E2151)</f>
        <v/>
      </c>
      <c r="F2151" s="79">
        <f>IF('Ordenes_Odoo'!F2151="","",'Ordenes_Odoo'!F2151)</f>
        <v/>
      </c>
      <c r="G2151" s="79">
        <f>IF('Ordenes_Odoo'!G2151="","",'Ordenes_Odoo'!G2151)</f>
        <v/>
      </c>
      <c r="H2151" s="79">
        <f>IF('Ordenes_Odoo'!H2151="","",'Ordenes_Odoo'!H2151)</f>
        <v/>
      </c>
      <c r="I2151" s="79">
        <f>IF('Ordenes_Odoo'!I2151="","",'Ordenes_Odoo'!I2151)</f>
        <v/>
      </c>
      <c r="J2151" s="79">
        <f>IF('Ordenes_Odoo'!J2151="","",'Ordenes_Odoo'!J2151)</f>
        <v/>
      </c>
      <c r="K2151" s="81">
        <f>IF('Ordenes_Odoo'!K2151="","",'Ordenes_Odoo'!K2151)</f>
        <v/>
      </c>
      <c r="L2151" s="81">
        <f>IF('Ordenes_Odoo'!L2151="","",'Ordenes_Odoo'!L2151)</f>
        <v/>
      </c>
      <c r="M2151" s="79">
        <f>IF('Ordenes_Odoo'!M2151="","",'Ordenes_Odoo'!M2151)</f>
        <v/>
      </c>
      <c r="N2151" s="79">
        <f>IF('Ordenes_Odoo'!N2151="","",'Ordenes_Odoo'!N2151)</f>
        <v/>
      </c>
      <c r="O2151" s="81">
        <f>IF('Ordenes_Odoo'!O2151="","",'Ordenes_Odoo'!O2151)</f>
        <v/>
      </c>
      <c r="P2151" s="81">
        <f>IF('Ordenes_Odoo'!P2151="","",'Ordenes_Odoo'!P2151)</f>
        <v/>
      </c>
      <c r="Q2151" s="79">
        <f>IF(A2151="","",IFERROR(INDEX(Facturas_Odoo!$B:$B, MATCH(A2151, Facturas_Odoo!$D:$D, 0)), "Sin Factura"))</f>
        <v/>
      </c>
      <c r="R2151" s="80">
        <f>IF(Q2151="Sin Factura","",IFERROR(INDEX(Facturas_Odoo!$A:$A, MATCH(Q2151, Facturas_Odoo!$B:$B, 0)), ""))</f>
        <v/>
      </c>
      <c r="S2151" s="79">
        <f>IF(Q2151="Sin Factura","",IFERROR(_xlfn.XLOOKUP(1, (Facturas_Odoo!$D:$D=A2151) * (Facturas_Odoo!$K:$K=I2151), Facturas_Odoo!$L:$L, ""), ""))</f>
        <v/>
      </c>
      <c r="T2151" s="81">
        <f>IF(Q2151="Sin Factura",0,IFERROR(_xlfn.XLOOKUP(1, (Facturas_Odoo!$D:$D=A2151) * (Facturas_Odoo!$K:$K=I2151), Facturas_Odoo!$M:$M, 0), 0))</f>
        <v/>
      </c>
      <c r="U2151" s="79">
        <f>IF(Q2151="Sin Factura",0,IFERROR(_xlfn.XLOOKUP(1, (Facturas_Odoo!$D:$D=A2151) * (Facturas_Odoo!$K:$K=I2151), Facturas_Odoo!$N:$N, 0), 0))</f>
        <v/>
      </c>
      <c r="V2151" s="79">
        <f>IF(Q2151="Sin Factura",0,IFERROR(_xlfn.XLOOKUP(1, (Facturas_Odoo!$D:$D=A2151) * (Facturas_Odoo!$K:$K=I2151), Facturas_Odoo!$O:$O, 0), 0))</f>
        <v/>
      </c>
      <c r="W2151" s="81">
        <f>IF(Q2151="Sin Factura",0,IFERROR(_xlfn.XLOOKUP(1, (Facturas_Odoo!$D:$D=A2151) * (Facturas_Odoo!$K:$K=I2151), Facturas_Odoo!$Q:$Q, 0), 0))</f>
        <v/>
      </c>
      <c r="X2151" s="79">
        <f>IF(OR(Q2151="Sin Factura",Q2151=""),"",IFERROR(INDEX(Pagos_Odoo!$B:$B, MATCH(Q2151, Pagos_Odoo!$I:$I, 0)), "Sin Pago"))</f>
        <v/>
      </c>
      <c r="Y2151" s="79">
        <f>IF(X2151="Sin Pago","",IFERROR(INDEX(Pagos_Odoo!$C:$C, MATCH(X2151, Pagos_Odoo!$B:$B, 0)), ""))</f>
        <v/>
      </c>
      <c r="Z2151" s="80">
        <f>IF(X2151="Sin Pago","",IFERROR(INDEX(Pagos_Odoo!$A:$A, MATCH(X2151, Pagos_Odoo!$B:$B, 0)), ""))</f>
        <v/>
      </c>
      <c r="AA2151" s="79">
        <f>IF(X2151="Sin Pago","",IFERROR(INDEX(Pagos_Odoo!$F:$F, MATCH(X2151, Pagos_Odoo!$B:$B, 0)), ""))</f>
        <v/>
      </c>
      <c r="AB2151" s="81">
        <f>IF(X2151="Sin Pago",0,IFERROR(INDEX(Pagos_Odoo!$E:$E, MATCH(X2151, Pagos_Odoo!$B:$B, 0)), 0))</f>
        <v/>
      </c>
      <c r="AC2151" s="79">
        <f>IF(X2151="Sin Pago","",IFERROR(INDEX(Pagos_Odoo!$G:$G, MATCH(X2151, Pagos_Odoo!$B:$B, 0)), ""))</f>
        <v/>
      </c>
      <c r="AD2151" s="82" t="n">
        <v>0</v>
      </c>
      <c r="AE2151" s="82" t="n"/>
      <c r="AF2151" s="82" t="n"/>
      <c r="AG2151" s="82">
        <f>IF(AN2151="","",AD2151+AE2151+AF2151)</f>
        <v/>
      </c>
      <c r="AH2151" s="81">
        <f>IF(AN2151="","",P2151*(1-AG2151))</f>
        <v/>
      </c>
      <c r="AI2151" s="81">
        <f>IF(AN2151="","",IF(Q2151="Sin Factura",0,IFERROR(INDEX(Facturas_Odoo!$H:$H, MATCH(Q2151, Facturas_Odoo!$B:$B, 0)), 0)*(1-AG2151)))</f>
        <v/>
      </c>
      <c r="AJ2151" s="81">
        <f>IF(AN2151="","",_xlfn.LET(idVenta, AN2151&amp;"",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51" s="81">
        <f>IF(AN2151="","",AH2151-AJ2151)</f>
        <v/>
      </c>
      <c r="AL2151" s="81">
        <f>IF(AN2151="","",IF(Q2151="Sin Factura","",AI2151-AJ2151))</f>
        <v/>
      </c>
      <c r="AM2151" s="81">
        <f>IF(AN2151="","",IF(Q2151="Sin Factura",0,P2151-IFERROR(INDEX(Facturas_Odoo!$H:$H, MATCH(Q2151, Facturas_Odoo!$B:$B, 0)), 0)))</f>
        <v/>
      </c>
      <c r="AN2151" s="79">
        <f>IF(AND(A2151="", J2151=""), "", IF(A2151&lt;&gt;"", VALUE(MID(A2151,2,LEN(A2151))), AN2150))</f>
        <v/>
      </c>
      <c r="AO2151" s="79">
        <f>IF(AN2151="","",IF(AD2151=0,"OK",_xlfn.LET(monedaPago, IF(AA2151="","USD",AA2151), limitePermitido, IFERROR(VLOOKUP(monedaPago, Configuración!$A$2:$B$3, 2, FALSE), 0.15), IF(AD2151&gt;limitePermitido, "ALERTA: EXCESO (" &amp; TEXT(limitePermitido, "0%") &amp; " máx)", "OK"))))</f>
        <v/>
      </c>
      <c r="AP2151" s="79">
        <f>IF(AN2151="","",IF(AE2151=0,"OK",_xlfn.LET(fechaPago, Z2151, fechaFactura, R2151, diasCredito, IF(E2151="Pago inmediato", 0, IFERROR(VALUE(MID(E2151, 1, SEARCH(" ", E2151)-1)),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51" s="79">
        <f>IF(AN2151="","",IF(AND(N2151&gt;0, AG2151&gt;0), IF(Configuración!$K$2="NO", "ALERTA: DESCUENTO DOBLE NO PERMITIDO", "OK"), "OK"))</f>
        <v/>
      </c>
      <c r="AR2151" s="79">
        <f>IF(AN2151="","",IF(OR(AO2151&lt;&gt;"OK", AP2151&lt;&gt;"OK", AQ2151&lt;&gt;"OK"), "⚠️ REVISAR", "OK"))</f>
        <v/>
      </c>
    </row>
    <row r="2152">
      <c r="A2152" s="79">
        <f>IF('Ordenes_Odoo'!A2152="","",'Ordenes_Odoo'!A2152)</f>
        <v/>
      </c>
      <c r="B2152" s="80">
        <f>IF('Ordenes_Odoo'!B2152="","",'Ordenes_Odoo'!B2152)</f>
        <v/>
      </c>
      <c r="C2152" s="79">
        <f>IF('Ordenes_Odoo'!C2152="","",'Ordenes_Odoo'!C2152)</f>
        <v/>
      </c>
      <c r="D2152" s="79">
        <f>IF('Ordenes_Odoo'!D2152="","",'Ordenes_Odoo'!D2152)</f>
        <v/>
      </c>
      <c r="E2152" s="79">
        <f>IF('Ordenes_Odoo'!E2152="","",'Ordenes_Odoo'!E2152)</f>
        <v/>
      </c>
      <c r="F2152" s="79">
        <f>IF('Ordenes_Odoo'!F2152="","",'Ordenes_Odoo'!F2152)</f>
        <v/>
      </c>
      <c r="G2152" s="79">
        <f>IF('Ordenes_Odoo'!G2152="","",'Ordenes_Odoo'!G2152)</f>
        <v/>
      </c>
      <c r="H2152" s="79">
        <f>IF('Ordenes_Odoo'!H2152="","",'Ordenes_Odoo'!H2152)</f>
        <v/>
      </c>
      <c r="I2152" s="79">
        <f>IF('Ordenes_Odoo'!I2152="","",'Ordenes_Odoo'!I2152)</f>
        <v/>
      </c>
      <c r="J2152" s="79">
        <f>IF('Ordenes_Odoo'!J2152="","",'Ordenes_Odoo'!J2152)</f>
        <v/>
      </c>
      <c r="K2152" s="81">
        <f>IF('Ordenes_Odoo'!K2152="","",'Ordenes_Odoo'!K2152)</f>
        <v/>
      </c>
      <c r="L2152" s="81">
        <f>IF('Ordenes_Odoo'!L2152="","",'Ordenes_Odoo'!L2152)</f>
        <v/>
      </c>
      <c r="M2152" s="79">
        <f>IF('Ordenes_Odoo'!M2152="","",'Ordenes_Odoo'!M2152)</f>
        <v/>
      </c>
      <c r="N2152" s="79">
        <f>IF('Ordenes_Odoo'!N2152="","",'Ordenes_Odoo'!N2152)</f>
        <v/>
      </c>
      <c r="O2152" s="81">
        <f>IF('Ordenes_Odoo'!O2152="","",'Ordenes_Odoo'!O2152)</f>
        <v/>
      </c>
      <c r="P2152" s="81">
        <f>IF('Ordenes_Odoo'!P2152="","",'Ordenes_Odoo'!P2152)</f>
        <v/>
      </c>
      <c r="Q2152" s="79">
        <f>IF(A2152="","",IFERROR(INDEX(Facturas_Odoo!$B:$B, MATCH(A2152, Facturas_Odoo!$D:$D, 0)), "Sin Factura"))</f>
        <v/>
      </c>
      <c r="R2152" s="80">
        <f>IF(Q2152="Sin Factura","",IFERROR(INDEX(Facturas_Odoo!$A:$A, MATCH(Q2152, Facturas_Odoo!$B:$B, 0)), ""))</f>
        <v/>
      </c>
      <c r="S2152" s="79">
        <f>IF(Q2152="Sin Factura","",IFERROR(_xlfn.XLOOKUP(1, (Facturas_Odoo!$D:$D=A2152) * (Facturas_Odoo!$K:$K=I2152), Facturas_Odoo!$L:$L, ""), ""))</f>
        <v/>
      </c>
      <c r="T2152" s="81">
        <f>IF(Q2152="Sin Factura",0,IFERROR(_xlfn.XLOOKUP(1, (Facturas_Odoo!$D:$D=A2152) * (Facturas_Odoo!$K:$K=I2152), Facturas_Odoo!$M:$M, 0), 0))</f>
        <v/>
      </c>
      <c r="U2152" s="79">
        <f>IF(Q2152="Sin Factura",0,IFERROR(_xlfn.XLOOKUP(1, (Facturas_Odoo!$D:$D=A2152) * (Facturas_Odoo!$K:$K=I2152), Facturas_Odoo!$N:$N, 0), 0))</f>
        <v/>
      </c>
      <c r="V2152" s="79">
        <f>IF(Q2152="Sin Factura",0,IFERROR(_xlfn.XLOOKUP(1, (Facturas_Odoo!$D:$D=A2152) * (Facturas_Odoo!$K:$K=I2152), Facturas_Odoo!$O:$O, 0), 0))</f>
        <v/>
      </c>
      <c r="W2152" s="81">
        <f>IF(Q2152="Sin Factura",0,IFERROR(_xlfn.XLOOKUP(1, (Facturas_Odoo!$D:$D=A2152) * (Facturas_Odoo!$K:$K=I2152), Facturas_Odoo!$Q:$Q, 0), 0))</f>
        <v/>
      </c>
      <c r="X2152" s="79">
        <f>IF(OR(Q2152="Sin Factura",Q2152=""),"",IFERROR(INDEX(Pagos_Odoo!$B:$B, MATCH(Q2152, Pagos_Odoo!$I:$I, 0)), "Sin Pago"))</f>
        <v/>
      </c>
      <c r="Y2152" s="79">
        <f>IF(X2152="Sin Pago","",IFERROR(INDEX(Pagos_Odoo!$C:$C, MATCH(X2152, Pagos_Odoo!$B:$B, 0)), ""))</f>
        <v/>
      </c>
      <c r="Z2152" s="80">
        <f>IF(X2152="Sin Pago","",IFERROR(INDEX(Pagos_Odoo!$A:$A, MATCH(X2152, Pagos_Odoo!$B:$B, 0)), ""))</f>
        <v/>
      </c>
      <c r="AA2152" s="79">
        <f>IF(X2152="Sin Pago","",IFERROR(INDEX(Pagos_Odoo!$F:$F, MATCH(X2152, Pagos_Odoo!$B:$B, 0)), ""))</f>
        <v/>
      </c>
      <c r="AB2152" s="81">
        <f>IF(X2152="Sin Pago",0,IFERROR(INDEX(Pagos_Odoo!$E:$E, MATCH(X2152, Pagos_Odoo!$B:$B, 0)), 0))</f>
        <v/>
      </c>
      <c r="AC2152" s="79">
        <f>IF(X2152="Sin Pago","",IFERROR(INDEX(Pagos_Odoo!$G:$G, MATCH(X2152, Pagos_Odoo!$B:$B, 0)), ""))</f>
        <v/>
      </c>
      <c r="AD2152" s="82" t="n">
        <v>0</v>
      </c>
      <c r="AE2152" s="82" t="n"/>
      <c r="AF2152" s="82" t="n"/>
      <c r="AG2152" s="82">
        <f>IF(AN2152="","",AD2152+AE2152+AF2152)</f>
        <v/>
      </c>
      <c r="AH2152" s="81">
        <f>IF(AN2152="","",P2152*(1-AG2152))</f>
        <v/>
      </c>
      <c r="AI2152" s="81">
        <f>IF(AN2152="","",IF(Q2152="Sin Factura",0,IFERROR(INDEX(Facturas_Odoo!$H:$H, MATCH(Q2152, Facturas_Odoo!$B:$B, 0)), 0)*(1-AG2152)))</f>
        <v/>
      </c>
      <c r="AJ2152" s="81">
        <f>IF(AN2152="","",_xlfn.LET(idVenta, AN2152&amp;"",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52" s="81">
        <f>IF(AN2152="","",AH2152-AJ2152)</f>
        <v/>
      </c>
      <c r="AL2152" s="81">
        <f>IF(AN2152="","",IF(Q2152="Sin Factura","",AI2152-AJ2152))</f>
        <v/>
      </c>
      <c r="AM2152" s="81">
        <f>IF(AN2152="","",IF(Q2152="Sin Factura",0,P2152-IFERROR(INDEX(Facturas_Odoo!$H:$H, MATCH(Q2152, Facturas_Odoo!$B:$B, 0)), 0)))</f>
        <v/>
      </c>
      <c r="AN2152" s="79">
        <f>IF(AND(A2152="", J2152=""), "", IF(A2152&lt;&gt;"", VALUE(MID(A2152,2,LEN(A2152))), AN2151))</f>
        <v/>
      </c>
      <c r="AO2152" s="79">
        <f>IF(AN2152="","",IF(AD2152=0,"OK",_xlfn.LET(monedaPago, IF(AA2152="","USD",AA2152), limitePermitido, IFERROR(VLOOKUP(monedaPago, Configuración!$A$2:$B$3, 2, FALSE), 0.15), IF(AD2152&gt;limitePermitido, "ALERTA: EXCESO (" &amp; TEXT(limitePermitido, "0%") &amp; " máx)", "OK"))))</f>
        <v/>
      </c>
      <c r="AP2152" s="79">
        <f>IF(AN2152="","",IF(AE2152=0,"OK",_xlfn.LET(fechaPago, Z2152, fechaFactura, R2152, diasCredito, IF(E2152="Pago inmediato", 0, IFERROR(VALUE(MID(E2152, 1, SEARCH(" ", E2152)-1)),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52" s="79">
        <f>IF(AN2152="","",IF(AND(N2152&gt;0, AG2152&gt;0), IF(Configuración!$K$2="NO", "ALERTA: DESCUENTO DOBLE NO PERMITIDO", "OK"), "OK"))</f>
        <v/>
      </c>
      <c r="AR2152" s="79">
        <f>IF(AN2152="","",IF(OR(AO2152&lt;&gt;"OK", AP2152&lt;&gt;"OK", AQ2152&lt;&gt;"OK"), "⚠️ REVISAR", "OK"))</f>
        <v/>
      </c>
    </row>
    <row r="2153">
      <c r="A2153" s="79">
        <f>IF('Ordenes_Odoo'!A2153="","",'Ordenes_Odoo'!A2153)</f>
        <v/>
      </c>
      <c r="B2153" s="80">
        <f>IF('Ordenes_Odoo'!B2153="","",'Ordenes_Odoo'!B2153)</f>
        <v/>
      </c>
      <c r="C2153" s="79">
        <f>IF('Ordenes_Odoo'!C2153="","",'Ordenes_Odoo'!C2153)</f>
        <v/>
      </c>
      <c r="D2153" s="79">
        <f>IF('Ordenes_Odoo'!D2153="","",'Ordenes_Odoo'!D2153)</f>
        <v/>
      </c>
      <c r="E2153" s="79">
        <f>IF('Ordenes_Odoo'!E2153="","",'Ordenes_Odoo'!E2153)</f>
        <v/>
      </c>
      <c r="F2153" s="79">
        <f>IF('Ordenes_Odoo'!F2153="","",'Ordenes_Odoo'!F2153)</f>
        <v/>
      </c>
      <c r="G2153" s="79">
        <f>IF('Ordenes_Odoo'!G2153="","",'Ordenes_Odoo'!G2153)</f>
        <v/>
      </c>
      <c r="H2153" s="79">
        <f>IF('Ordenes_Odoo'!H2153="","",'Ordenes_Odoo'!H2153)</f>
        <v/>
      </c>
      <c r="I2153" s="79">
        <f>IF('Ordenes_Odoo'!I2153="","",'Ordenes_Odoo'!I2153)</f>
        <v/>
      </c>
      <c r="J2153" s="79">
        <f>IF('Ordenes_Odoo'!J2153="","",'Ordenes_Odoo'!J2153)</f>
        <v/>
      </c>
      <c r="K2153" s="81">
        <f>IF('Ordenes_Odoo'!K2153="","",'Ordenes_Odoo'!K2153)</f>
        <v/>
      </c>
      <c r="L2153" s="81">
        <f>IF('Ordenes_Odoo'!L2153="","",'Ordenes_Odoo'!L2153)</f>
        <v/>
      </c>
      <c r="M2153" s="79">
        <f>IF('Ordenes_Odoo'!M2153="","",'Ordenes_Odoo'!M2153)</f>
        <v/>
      </c>
      <c r="N2153" s="79">
        <f>IF('Ordenes_Odoo'!N2153="","",'Ordenes_Odoo'!N2153)</f>
        <v/>
      </c>
      <c r="O2153" s="81">
        <f>IF('Ordenes_Odoo'!O2153="","",'Ordenes_Odoo'!O2153)</f>
        <v/>
      </c>
      <c r="P2153" s="81">
        <f>IF('Ordenes_Odoo'!P2153="","",'Ordenes_Odoo'!P2153)</f>
        <v/>
      </c>
      <c r="Q2153" s="79">
        <f>IF(A2153="","",IFERROR(INDEX(Facturas_Odoo!$B:$B, MATCH(A2153, Facturas_Odoo!$D:$D, 0)), "Sin Factura"))</f>
        <v/>
      </c>
      <c r="R2153" s="80">
        <f>IF(Q2153="Sin Factura","",IFERROR(INDEX(Facturas_Odoo!$A:$A, MATCH(Q2153, Facturas_Odoo!$B:$B, 0)), ""))</f>
        <v/>
      </c>
      <c r="S2153" s="79">
        <f>IF(Q2153="Sin Factura","",IFERROR(_xlfn.XLOOKUP(1, (Facturas_Odoo!$D:$D=A2153) * (Facturas_Odoo!$K:$K=I2153), Facturas_Odoo!$L:$L, ""), ""))</f>
        <v/>
      </c>
      <c r="T2153" s="81">
        <f>IF(Q2153="Sin Factura",0,IFERROR(_xlfn.XLOOKUP(1, (Facturas_Odoo!$D:$D=A2153) * (Facturas_Odoo!$K:$K=I2153), Facturas_Odoo!$M:$M, 0), 0))</f>
        <v/>
      </c>
      <c r="U2153" s="79">
        <f>IF(Q2153="Sin Factura",0,IFERROR(_xlfn.XLOOKUP(1, (Facturas_Odoo!$D:$D=A2153) * (Facturas_Odoo!$K:$K=I2153), Facturas_Odoo!$N:$N, 0), 0))</f>
        <v/>
      </c>
      <c r="V2153" s="79">
        <f>IF(Q2153="Sin Factura",0,IFERROR(_xlfn.XLOOKUP(1, (Facturas_Odoo!$D:$D=A2153) * (Facturas_Odoo!$K:$K=I2153), Facturas_Odoo!$O:$O, 0), 0))</f>
        <v/>
      </c>
      <c r="W2153" s="81">
        <f>IF(Q2153="Sin Factura",0,IFERROR(_xlfn.XLOOKUP(1, (Facturas_Odoo!$D:$D=A2153) * (Facturas_Odoo!$K:$K=I2153), Facturas_Odoo!$Q:$Q, 0), 0))</f>
        <v/>
      </c>
      <c r="X2153" s="79">
        <f>IF(OR(Q2153="Sin Factura",Q2153=""),"",IFERROR(INDEX(Pagos_Odoo!$B:$B, MATCH(Q2153, Pagos_Odoo!$I:$I, 0)), "Sin Pago"))</f>
        <v/>
      </c>
      <c r="Y2153" s="79">
        <f>IF(X2153="Sin Pago","",IFERROR(INDEX(Pagos_Odoo!$C:$C, MATCH(X2153, Pagos_Odoo!$B:$B, 0)), ""))</f>
        <v/>
      </c>
      <c r="Z2153" s="80">
        <f>IF(X2153="Sin Pago","",IFERROR(INDEX(Pagos_Odoo!$A:$A, MATCH(X2153, Pagos_Odoo!$B:$B, 0)), ""))</f>
        <v/>
      </c>
      <c r="AA2153" s="79">
        <f>IF(X2153="Sin Pago","",IFERROR(INDEX(Pagos_Odoo!$F:$F, MATCH(X2153, Pagos_Odoo!$B:$B, 0)), ""))</f>
        <v/>
      </c>
      <c r="AB2153" s="81">
        <f>IF(X2153="Sin Pago",0,IFERROR(INDEX(Pagos_Odoo!$E:$E, MATCH(X2153, Pagos_Odoo!$B:$B, 0)), 0))</f>
        <v/>
      </c>
      <c r="AC2153" s="79">
        <f>IF(X2153="Sin Pago","",IFERROR(INDEX(Pagos_Odoo!$G:$G, MATCH(X2153, Pagos_Odoo!$B:$B, 0)), ""))</f>
        <v/>
      </c>
      <c r="AD2153" s="82" t="n">
        <v>0</v>
      </c>
      <c r="AE2153" s="82" t="n"/>
      <c r="AF2153" s="82" t="n"/>
      <c r="AG2153" s="82">
        <f>IF(AN2153="","",AD2153+AE2153+AF2153)</f>
        <v/>
      </c>
      <c r="AH2153" s="81">
        <f>IF(AN2153="","",P2153*(1-AG2153))</f>
        <v/>
      </c>
      <c r="AI2153" s="81">
        <f>IF(AN2153="","",IF(Q2153="Sin Factura",0,IFERROR(INDEX(Facturas_Odoo!$H:$H, MATCH(Q2153, Facturas_Odoo!$B:$B, 0)), 0)*(1-AG2153)))</f>
        <v/>
      </c>
      <c r="AJ2153" s="81">
        <f>IF(AN2153="","",_xlfn.LET(idVenta, AN2153&amp;"",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53" s="81">
        <f>IF(AN2153="","",AH2153-AJ2153)</f>
        <v/>
      </c>
      <c r="AL2153" s="81">
        <f>IF(AN2153="","",IF(Q2153="Sin Factura","",AI2153-AJ2153))</f>
        <v/>
      </c>
      <c r="AM2153" s="81">
        <f>IF(AN2153="","",IF(Q2153="Sin Factura",0,P2153-IFERROR(INDEX(Facturas_Odoo!$H:$H, MATCH(Q2153, Facturas_Odoo!$B:$B, 0)), 0)))</f>
        <v/>
      </c>
      <c r="AN2153" s="79">
        <f>IF(AND(A2153="", J2153=""), "", IF(A2153&lt;&gt;"", VALUE(MID(A2153,2,LEN(A2153))), AN2152))</f>
        <v/>
      </c>
      <c r="AO2153" s="79">
        <f>IF(AN2153="","",IF(AD2153=0,"OK",_xlfn.LET(monedaPago, IF(AA2153="","USD",AA2153), limitePermitido, IFERROR(VLOOKUP(monedaPago, Configuración!$A$2:$B$3, 2, FALSE), 0.15), IF(AD2153&gt;limitePermitido, "ALERTA: EXCESO (" &amp; TEXT(limitePermitido, "0%") &amp; " máx)", "OK"))))</f>
        <v/>
      </c>
      <c r="AP2153" s="79">
        <f>IF(AN2153="","",IF(AE2153=0,"OK",_xlfn.LET(fechaPago, Z2153, fechaFactura, R2153, diasCredito, IF(E2153="Pago inmediato", 0, IFERROR(VALUE(MID(E2153, 1, SEARCH(" ", E2153)-1)),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53" s="79">
        <f>IF(AN2153="","",IF(AND(N2153&gt;0, AG2153&gt;0), IF(Configuración!$K$2="NO", "ALERTA: DESCUENTO DOBLE NO PERMITIDO", "OK"), "OK"))</f>
        <v/>
      </c>
      <c r="AR2153" s="79">
        <f>IF(AN2153="","",IF(OR(AO2153&lt;&gt;"OK", AP2153&lt;&gt;"OK", AQ2153&lt;&gt;"OK"), "⚠️ REVISAR", "OK"))</f>
        <v/>
      </c>
    </row>
    <row r="2154">
      <c r="A2154" s="79">
        <f>IF('Ordenes_Odoo'!A2154="","",'Ordenes_Odoo'!A2154)</f>
        <v/>
      </c>
      <c r="B2154" s="80">
        <f>IF('Ordenes_Odoo'!B2154="","",'Ordenes_Odoo'!B2154)</f>
        <v/>
      </c>
      <c r="C2154" s="79">
        <f>IF('Ordenes_Odoo'!C2154="","",'Ordenes_Odoo'!C2154)</f>
        <v/>
      </c>
      <c r="D2154" s="79">
        <f>IF('Ordenes_Odoo'!D2154="","",'Ordenes_Odoo'!D2154)</f>
        <v/>
      </c>
      <c r="E2154" s="79">
        <f>IF('Ordenes_Odoo'!E2154="","",'Ordenes_Odoo'!E2154)</f>
        <v/>
      </c>
      <c r="F2154" s="79">
        <f>IF('Ordenes_Odoo'!F2154="","",'Ordenes_Odoo'!F2154)</f>
        <v/>
      </c>
      <c r="G2154" s="79">
        <f>IF('Ordenes_Odoo'!G2154="","",'Ordenes_Odoo'!G2154)</f>
        <v/>
      </c>
      <c r="H2154" s="79">
        <f>IF('Ordenes_Odoo'!H2154="","",'Ordenes_Odoo'!H2154)</f>
        <v/>
      </c>
      <c r="I2154" s="79">
        <f>IF('Ordenes_Odoo'!I2154="","",'Ordenes_Odoo'!I2154)</f>
        <v/>
      </c>
      <c r="J2154" s="79">
        <f>IF('Ordenes_Odoo'!J2154="","",'Ordenes_Odoo'!J2154)</f>
        <v/>
      </c>
      <c r="K2154" s="81">
        <f>IF('Ordenes_Odoo'!K2154="","",'Ordenes_Odoo'!K2154)</f>
        <v/>
      </c>
      <c r="L2154" s="81">
        <f>IF('Ordenes_Odoo'!L2154="","",'Ordenes_Odoo'!L2154)</f>
        <v/>
      </c>
      <c r="M2154" s="79">
        <f>IF('Ordenes_Odoo'!M2154="","",'Ordenes_Odoo'!M2154)</f>
        <v/>
      </c>
      <c r="N2154" s="79">
        <f>IF('Ordenes_Odoo'!N2154="","",'Ordenes_Odoo'!N2154)</f>
        <v/>
      </c>
      <c r="O2154" s="81">
        <f>IF('Ordenes_Odoo'!O2154="","",'Ordenes_Odoo'!O2154)</f>
        <v/>
      </c>
      <c r="P2154" s="81">
        <f>IF('Ordenes_Odoo'!P2154="","",'Ordenes_Odoo'!P2154)</f>
        <v/>
      </c>
      <c r="Q2154" s="79">
        <f>IF(A2154="","",IFERROR(INDEX(Facturas_Odoo!$B:$B, MATCH(A2154, Facturas_Odoo!$D:$D, 0)), "Sin Factura"))</f>
        <v/>
      </c>
      <c r="R2154" s="80">
        <f>IF(Q2154="Sin Factura","",IFERROR(INDEX(Facturas_Odoo!$A:$A, MATCH(Q2154, Facturas_Odoo!$B:$B, 0)), ""))</f>
        <v/>
      </c>
      <c r="S2154" s="79">
        <f>IF(Q2154="Sin Factura","",IFERROR(_xlfn.XLOOKUP(1, (Facturas_Odoo!$D:$D=A2154) * (Facturas_Odoo!$K:$K=I2154), Facturas_Odoo!$L:$L, ""), ""))</f>
        <v/>
      </c>
      <c r="T2154" s="81">
        <f>IF(Q2154="Sin Factura",0,IFERROR(_xlfn.XLOOKUP(1, (Facturas_Odoo!$D:$D=A2154) * (Facturas_Odoo!$K:$K=I2154), Facturas_Odoo!$M:$M, 0), 0))</f>
        <v/>
      </c>
      <c r="U2154" s="79">
        <f>IF(Q2154="Sin Factura",0,IFERROR(_xlfn.XLOOKUP(1, (Facturas_Odoo!$D:$D=A2154) * (Facturas_Odoo!$K:$K=I2154), Facturas_Odoo!$N:$N, 0), 0))</f>
        <v/>
      </c>
      <c r="V2154" s="79">
        <f>IF(Q2154="Sin Factura",0,IFERROR(_xlfn.XLOOKUP(1, (Facturas_Odoo!$D:$D=A2154) * (Facturas_Odoo!$K:$K=I2154), Facturas_Odoo!$O:$O, 0), 0))</f>
        <v/>
      </c>
      <c r="W2154" s="81">
        <f>IF(Q2154="Sin Factura",0,IFERROR(_xlfn.XLOOKUP(1, (Facturas_Odoo!$D:$D=A2154) * (Facturas_Odoo!$K:$K=I2154), Facturas_Odoo!$Q:$Q, 0), 0))</f>
        <v/>
      </c>
      <c r="X2154" s="79">
        <f>IF(OR(Q2154="Sin Factura",Q2154=""),"",IFERROR(INDEX(Pagos_Odoo!$B:$B, MATCH(Q2154, Pagos_Odoo!$I:$I, 0)), "Sin Pago"))</f>
        <v/>
      </c>
      <c r="Y2154" s="79">
        <f>IF(X2154="Sin Pago","",IFERROR(INDEX(Pagos_Odoo!$C:$C, MATCH(X2154, Pagos_Odoo!$B:$B, 0)), ""))</f>
        <v/>
      </c>
      <c r="Z2154" s="80">
        <f>IF(X2154="Sin Pago","",IFERROR(INDEX(Pagos_Odoo!$A:$A, MATCH(X2154, Pagos_Odoo!$B:$B, 0)), ""))</f>
        <v/>
      </c>
      <c r="AA2154" s="79">
        <f>IF(X2154="Sin Pago","",IFERROR(INDEX(Pagos_Odoo!$F:$F, MATCH(X2154, Pagos_Odoo!$B:$B, 0)), ""))</f>
        <v/>
      </c>
      <c r="AB2154" s="81">
        <f>IF(X2154="Sin Pago",0,IFERROR(INDEX(Pagos_Odoo!$E:$E, MATCH(X2154, Pagos_Odoo!$B:$B, 0)), 0))</f>
        <v/>
      </c>
      <c r="AC2154" s="79">
        <f>IF(X2154="Sin Pago","",IFERROR(INDEX(Pagos_Odoo!$G:$G, MATCH(X2154, Pagos_Odoo!$B:$B, 0)), ""))</f>
        <v/>
      </c>
      <c r="AD2154" s="82" t="n">
        <v>0</v>
      </c>
      <c r="AE2154" s="82" t="n"/>
      <c r="AF2154" s="82" t="n"/>
      <c r="AG2154" s="82">
        <f>IF(AN2154="","",AD2154+AE2154+AF2154)</f>
        <v/>
      </c>
      <c r="AH2154" s="81">
        <f>IF(AN2154="","",P2154*(1-AG2154))</f>
        <v/>
      </c>
      <c r="AI2154" s="81">
        <f>IF(AN2154="","",IF(Q2154="Sin Factura",0,IFERROR(INDEX(Facturas_Odoo!$H:$H, MATCH(Q2154, Facturas_Odoo!$B:$B, 0)), 0)*(1-AG2154)))</f>
        <v/>
      </c>
      <c r="AJ2154" s="81">
        <f>IF(AN2154="","",_xlfn.LET(idVenta, AN2154&amp;"",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54" s="81">
        <f>IF(AN2154="","",AH2154-AJ2154)</f>
        <v/>
      </c>
      <c r="AL2154" s="81">
        <f>IF(AN2154="","",IF(Q2154="Sin Factura","",AI2154-AJ2154))</f>
        <v/>
      </c>
      <c r="AM2154" s="81">
        <f>IF(AN2154="","",IF(Q2154="Sin Factura",0,P2154-IFERROR(INDEX(Facturas_Odoo!$H:$H, MATCH(Q2154, Facturas_Odoo!$B:$B, 0)), 0)))</f>
        <v/>
      </c>
      <c r="AN2154" s="79">
        <f>IF(AND(A2154="", J2154=""), "", IF(A2154&lt;&gt;"", VALUE(MID(A2154,2,LEN(A2154))), AN2153))</f>
        <v/>
      </c>
      <c r="AO2154" s="79">
        <f>IF(AN2154="","",IF(AD2154=0,"OK",_xlfn.LET(monedaPago, IF(AA2154="","USD",AA2154), limitePermitido, IFERROR(VLOOKUP(monedaPago, Configuración!$A$2:$B$3, 2, FALSE), 0.15), IF(AD2154&gt;limitePermitido, "ALERTA: EXCESO (" &amp; TEXT(limitePermitido, "0%") &amp; " máx)", "OK"))))</f>
        <v/>
      </c>
      <c r="AP2154" s="79">
        <f>IF(AN2154="","",IF(AE2154=0,"OK",_xlfn.LET(fechaPago, Z2154, fechaFactura, R2154, diasCredito, IF(E2154="Pago inmediato", 0, IFERROR(VALUE(MID(E2154, 1, SEARCH(" ", E2154)-1)),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54" s="79">
        <f>IF(AN2154="","",IF(AND(N2154&gt;0, AG2154&gt;0), IF(Configuración!$K$2="NO", "ALERTA: DESCUENTO DOBLE NO PERMITIDO", "OK"), "OK"))</f>
        <v/>
      </c>
      <c r="AR2154" s="79">
        <f>IF(AN2154="","",IF(OR(AO2154&lt;&gt;"OK", AP2154&lt;&gt;"OK", AQ2154&lt;&gt;"OK"), "⚠️ REVISAR", "OK"))</f>
        <v/>
      </c>
    </row>
    <row r="2155">
      <c r="A2155" s="79">
        <f>IF('Ordenes_Odoo'!A2155="","",'Ordenes_Odoo'!A2155)</f>
        <v/>
      </c>
      <c r="B2155" s="80">
        <f>IF('Ordenes_Odoo'!B2155="","",'Ordenes_Odoo'!B2155)</f>
        <v/>
      </c>
      <c r="C2155" s="79">
        <f>IF('Ordenes_Odoo'!C2155="","",'Ordenes_Odoo'!C2155)</f>
        <v/>
      </c>
      <c r="D2155" s="79">
        <f>IF('Ordenes_Odoo'!D2155="","",'Ordenes_Odoo'!D2155)</f>
        <v/>
      </c>
      <c r="E2155" s="79">
        <f>IF('Ordenes_Odoo'!E2155="","",'Ordenes_Odoo'!E2155)</f>
        <v/>
      </c>
      <c r="F2155" s="79">
        <f>IF('Ordenes_Odoo'!F2155="","",'Ordenes_Odoo'!F2155)</f>
        <v/>
      </c>
      <c r="G2155" s="79">
        <f>IF('Ordenes_Odoo'!G2155="","",'Ordenes_Odoo'!G2155)</f>
        <v/>
      </c>
      <c r="H2155" s="79">
        <f>IF('Ordenes_Odoo'!H2155="","",'Ordenes_Odoo'!H2155)</f>
        <v/>
      </c>
      <c r="I2155" s="79">
        <f>IF('Ordenes_Odoo'!I2155="","",'Ordenes_Odoo'!I2155)</f>
        <v/>
      </c>
      <c r="J2155" s="79">
        <f>IF('Ordenes_Odoo'!J2155="","",'Ordenes_Odoo'!J2155)</f>
        <v/>
      </c>
      <c r="K2155" s="81">
        <f>IF('Ordenes_Odoo'!K2155="","",'Ordenes_Odoo'!K2155)</f>
        <v/>
      </c>
      <c r="L2155" s="81">
        <f>IF('Ordenes_Odoo'!L2155="","",'Ordenes_Odoo'!L2155)</f>
        <v/>
      </c>
      <c r="M2155" s="79">
        <f>IF('Ordenes_Odoo'!M2155="","",'Ordenes_Odoo'!M2155)</f>
        <v/>
      </c>
      <c r="N2155" s="79">
        <f>IF('Ordenes_Odoo'!N2155="","",'Ordenes_Odoo'!N2155)</f>
        <v/>
      </c>
      <c r="O2155" s="81">
        <f>IF('Ordenes_Odoo'!O2155="","",'Ordenes_Odoo'!O2155)</f>
        <v/>
      </c>
      <c r="P2155" s="81">
        <f>IF('Ordenes_Odoo'!P2155="","",'Ordenes_Odoo'!P2155)</f>
        <v/>
      </c>
      <c r="Q2155" s="79">
        <f>IF(A2155="","",IFERROR(INDEX(Facturas_Odoo!$B:$B, MATCH(A2155, Facturas_Odoo!$D:$D, 0)), "Sin Factura"))</f>
        <v/>
      </c>
      <c r="R2155" s="80">
        <f>IF(Q2155="Sin Factura","",IFERROR(INDEX(Facturas_Odoo!$A:$A, MATCH(Q2155, Facturas_Odoo!$B:$B, 0)), ""))</f>
        <v/>
      </c>
      <c r="S2155" s="79">
        <f>IF(Q2155="Sin Factura","",IFERROR(_xlfn.XLOOKUP(1, (Facturas_Odoo!$D:$D=A2155) * (Facturas_Odoo!$K:$K=I2155), Facturas_Odoo!$L:$L, ""), ""))</f>
        <v/>
      </c>
      <c r="T2155" s="81">
        <f>IF(Q2155="Sin Factura",0,IFERROR(_xlfn.XLOOKUP(1, (Facturas_Odoo!$D:$D=A2155) * (Facturas_Odoo!$K:$K=I2155), Facturas_Odoo!$M:$M, 0), 0))</f>
        <v/>
      </c>
      <c r="U2155" s="79">
        <f>IF(Q2155="Sin Factura",0,IFERROR(_xlfn.XLOOKUP(1, (Facturas_Odoo!$D:$D=A2155) * (Facturas_Odoo!$K:$K=I2155), Facturas_Odoo!$N:$N, 0), 0))</f>
        <v/>
      </c>
      <c r="V2155" s="79">
        <f>IF(Q2155="Sin Factura",0,IFERROR(_xlfn.XLOOKUP(1, (Facturas_Odoo!$D:$D=A2155) * (Facturas_Odoo!$K:$K=I2155), Facturas_Odoo!$O:$O, 0), 0))</f>
        <v/>
      </c>
      <c r="W2155" s="81">
        <f>IF(Q2155="Sin Factura",0,IFERROR(_xlfn.XLOOKUP(1, (Facturas_Odoo!$D:$D=A2155) * (Facturas_Odoo!$K:$K=I2155), Facturas_Odoo!$Q:$Q, 0), 0))</f>
        <v/>
      </c>
      <c r="X2155" s="79">
        <f>IF(OR(Q2155="Sin Factura",Q2155=""),"",IFERROR(INDEX(Pagos_Odoo!$B:$B, MATCH(Q2155, Pagos_Odoo!$I:$I, 0)), "Sin Pago"))</f>
        <v/>
      </c>
      <c r="Y2155" s="79">
        <f>IF(X2155="Sin Pago","",IFERROR(INDEX(Pagos_Odoo!$C:$C, MATCH(X2155, Pagos_Odoo!$B:$B, 0)), ""))</f>
        <v/>
      </c>
      <c r="Z2155" s="80">
        <f>IF(X2155="Sin Pago","",IFERROR(INDEX(Pagos_Odoo!$A:$A, MATCH(X2155, Pagos_Odoo!$B:$B, 0)), ""))</f>
        <v/>
      </c>
      <c r="AA2155" s="79">
        <f>IF(X2155="Sin Pago","",IFERROR(INDEX(Pagos_Odoo!$F:$F, MATCH(X2155, Pagos_Odoo!$B:$B, 0)), ""))</f>
        <v/>
      </c>
      <c r="AB2155" s="81">
        <f>IF(X2155="Sin Pago",0,IFERROR(INDEX(Pagos_Odoo!$E:$E, MATCH(X2155, Pagos_Odoo!$B:$B, 0)), 0))</f>
        <v/>
      </c>
      <c r="AC2155" s="79">
        <f>IF(X2155="Sin Pago","",IFERROR(INDEX(Pagos_Odoo!$G:$G, MATCH(X2155, Pagos_Odoo!$B:$B, 0)), ""))</f>
        <v/>
      </c>
      <c r="AD2155" s="82" t="n">
        <v>0</v>
      </c>
      <c r="AE2155" s="82" t="n"/>
      <c r="AF2155" s="82" t="n"/>
      <c r="AG2155" s="82">
        <f>IF(AN2155="","",AD2155+AE2155+AF2155)</f>
        <v/>
      </c>
      <c r="AH2155" s="81">
        <f>IF(AN2155="","",P2155*(1-AG2155))</f>
        <v/>
      </c>
      <c r="AI2155" s="81">
        <f>IF(AN2155="","",IF(Q2155="Sin Factura",0,IFERROR(INDEX(Facturas_Odoo!$H:$H, MATCH(Q2155, Facturas_Odoo!$B:$B, 0)), 0)*(1-AG2155)))</f>
        <v/>
      </c>
      <c r="AJ2155" s="81">
        <f>IF(AN2155="","",_xlfn.LET(idVenta, AN2155&amp;"",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55" s="81">
        <f>IF(AN2155="","",AH2155-AJ2155)</f>
        <v/>
      </c>
      <c r="AL2155" s="81">
        <f>IF(AN2155="","",IF(Q2155="Sin Factura","",AI2155-AJ2155))</f>
        <v/>
      </c>
      <c r="AM2155" s="81">
        <f>IF(AN2155="","",IF(Q2155="Sin Factura",0,P2155-IFERROR(INDEX(Facturas_Odoo!$H:$H, MATCH(Q2155, Facturas_Odoo!$B:$B, 0)), 0)))</f>
        <v/>
      </c>
      <c r="AN2155" s="79">
        <f>IF(AND(A2155="", J2155=""), "", IF(A2155&lt;&gt;"", VALUE(MID(A2155,2,LEN(A2155))), AN2154))</f>
        <v/>
      </c>
      <c r="AO2155" s="79">
        <f>IF(AN2155="","",IF(AD2155=0,"OK",_xlfn.LET(monedaPago, IF(AA2155="","USD",AA2155), limitePermitido, IFERROR(VLOOKUP(monedaPago, Configuración!$A$2:$B$3, 2, FALSE), 0.15), IF(AD2155&gt;limitePermitido, "ALERTA: EXCESO (" &amp; TEXT(limitePermitido, "0%") &amp; " máx)", "OK"))))</f>
        <v/>
      </c>
      <c r="AP2155" s="79">
        <f>IF(AN2155="","",IF(AE2155=0,"OK",_xlfn.LET(fechaPago, Z2155, fechaFactura, R2155, diasCredito, IF(E2155="Pago inmediato", 0, IFERROR(VALUE(MID(E2155, 1, SEARCH(" ", E2155)-1)),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55" s="79">
        <f>IF(AN2155="","",IF(AND(N2155&gt;0, AG2155&gt;0), IF(Configuración!$K$2="NO", "ALERTA: DESCUENTO DOBLE NO PERMITIDO", "OK"), "OK"))</f>
        <v/>
      </c>
      <c r="AR2155" s="79">
        <f>IF(AN2155="","",IF(OR(AO2155&lt;&gt;"OK", AP2155&lt;&gt;"OK", AQ2155&lt;&gt;"OK"), "⚠️ REVISAR", "OK"))</f>
        <v/>
      </c>
    </row>
    <row r="2156">
      <c r="A2156" s="79">
        <f>IF('Ordenes_Odoo'!A2156="","",'Ordenes_Odoo'!A2156)</f>
        <v/>
      </c>
      <c r="B2156" s="80">
        <f>IF('Ordenes_Odoo'!B2156="","",'Ordenes_Odoo'!B2156)</f>
        <v/>
      </c>
      <c r="C2156" s="79">
        <f>IF('Ordenes_Odoo'!C2156="","",'Ordenes_Odoo'!C2156)</f>
        <v/>
      </c>
      <c r="D2156" s="79">
        <f>IF('Ordenes_Odoo'!D2156="","",'Ordenes_Odoo'!D2156)</f>
        <v/>
      </c>
      <c r="E2156" s="79">
        <f>IF('Ordenes_Odoo'!E2156="","",'Ordenes_Odoo'!E2156)</f>
        <v/>
      </c>
      <c r="F2156" s="79">
        <f>IF('Ordenes_Odoo'!F2156="","",'Ordenes_Odoo'!F2156)</f>
        <v/>
      </c>
      <c r="G2156" s="79">
        <f>IF('Ordenes_Odoo'!G2156="","",'Ordenes_Odoo'!G2156)</f>
        <v/>
      </c>
      <c r="H2156" s="79">
        <f>IF('Ordenes_Odoo'!H2156="","",'Ordenes_Odoo'!H2156)</f>
        <v/>
      </c>
      <c r="I2156" s="79">
        <f>IF('Ordenes_Odoo'!I2156="","",'Ordenes_Odoo'!I2156)</f>
        <v/>
      </c>
      <c r="J2156" s="79">
        <f>IF('Ordenes_Odoo'!J2156="","",'Ordenes_Odoo'!J2156)</f>
        <v/>
      </c>
      <c r="K2156" s="81">
        <f>IF('Ordenes_Odoo'!K2156="","",'Ordenes_Odoo'!K2156)</f>
        <v/>
      </c>
      <c r="L2156" s="81">
        <f>IF('Ordenes_Odoo'!L2156="","",'Ordenes_Odoo'!L2156)</f>
        <v/>
      </c>
      <c r="M2156" s="79">
        <f>IF('Ordenes_Odoo'!M2156="","",'Ordenes_Odoo'!M2156)</f>
        <v/>
      </c>
      <c r="N2156" s="79">
        <f>IF('Ordenes_Odoo'!N2156="","",'Ordenes_Odoo'!N2156)</f>
        <v/>
      </c>
      <c r="O2156" s="81">
        <f>IF('Ordenes_Odoo'!O2156="","",'Ordenes_Odoo'!O2156)</f>
        <v/>
      </c>
      <c r="P2156" s="81">
        <f>IF('Ordenes_Odoo'!P2156="","",'Ordenes_Odoo'!P2156)</f>
        <v/>
      </c>
      <c r="Q2156" s="79">
        <f>IF(A2156="","",IFERROR(INDEX(Facturas_Odoo!$B:$B, MATCH(A2156, Facturas_Odoo!$D:$D, 0)), "Sin Factura"))</f>
        <v/>
      </c>
      <c r="R2156" s="80">
        <f>IF(Q2156="Sin Factura","",IFERROR(INDEX(Facturas_Odoo!$A:$A, MATCH(Q2156, Facturas_Odoo!$B:$B, 0)), ""))</f>
        <v/>
      </c>
      <c r="S2156" s="79">
        <f>IF(Q2156="Sin Factura","",IFERROR(_xlfn.XLOOKUP(1, (Facturas_Odoo!$D:$D=A2156) * (Facturas_Odoo!$K:$K=I2156), Facturas_Odoo!$L:$L, ""), ""))</f>
        <v/>
      </c>
      <c r="T2156" s="81">
        <f>IF(Q2156="Sin Factura",0,IFERROR(_xlfn.XLOOKUP(1, (Facturas_Odoo!$D:$D=A2156) * (Facturas_Odoo!$K:$K=I2156), Facturas_Odoo!$M:$M, 0), 0))</f>
        <v/>
      </c>
      <c r="U2156" s="79">
        <f>IF(Q2156="Sin Factura",0,IFERROR(_xlfn.XLOOKUP(1, (Facturas_Odoo!$D:$D=A2156) * (Facturas_Odoo!$K:$K=I2156), Facturas_Odoo!$N:$N, 0), 0))</f>
        <v/>
      </c>
      <c r="V2156" s="79">
        <f>IF(Q2156="Sin Factura",0,IFERROR(_xlfn.XLOOKUP(1, (Facturas_Odoo!$D:$D=A2156) * (Facturas_Odoo!$K:$K=I2156), Facturas_Odoo!$O:$O, 0), 0))</f>
        <v/>
      </c>
      <c r="W2156" s="81">
        <f>IF(Q2156="Sin Factura",0,IFERROR(_xlfn.XLOOKUP(1, (Facturas_Odoo!$D:$D=A2156) * (Facturas_Odoo!$K:$K=I2156), Facturas_Odoo!$Q:$Q, 0), 0))</f>
        <v/>
      </c>
      <c r="X2156" s="79">
        <f>IF(OR(Q2156="Sin Factura",Q2156=""),"",IFERROR(INDEX(Pagos_Odoo!$B:$B, MATCH(Q2156, Pagos_Odoo!$I:$I, 0)), "Sin Pago"))</f>
        <v/>
      </c>
      <c r="Y2156" s="79">
        <f>IF(X2156="Sin Pago","",IFERROR(INDEX(Pagos_Odoo!$C:$C, MATCH(X2156, Pagos_Odoo!$B:$B, 0)), ""))</f>
        <v/>
      </c>
      <c r="Z2156" s="80">
        <f>IF(X2156="Sin Pago","",IFERROR(INDEX(Pagos_Odoo!$A:$A, MATCH(X2156, Pagos_Odoo!$B:$B, 0)), ""))</f>
        <v/>
      </c>
      <c r="AA2156" s="79">
        <f>IF(X2156="Sin Pago","",IFERROR(INDEX(Pagos_Odoo!$F:$F, MATCH(X2156, Pagos_Odoo!$B:$B, 0)), ""))</f>
        <v/>
      </c>
      <c r="AB2156" s="81">
        <f>IF(X2156="Sin Pago",0,IFERROR(INDEX(Pagos_Odoo!$E:$E, MATCH(X2156, Pagos_Odoo!$B:$B, 0)), 0))</f>
        <v/>
      </c>
      <c r="AC2156" s="79">
        <f>IF(X2156="Sin Pago","",IFERROR(INDEX(Pagos_Odoo!$G:$G, MATCH(X2156, Pagos_Odoo!$B:$B, 0)), ""))</f>
        <v/>
      </c>
      <c r="AD2156" s="82" t="n">
        <v>0</v>
      </c>
      <c r="AE2156" s="82" t="n"/>
      <c r="AF2156" s="82" t="n"/>
      <c r="AG2156" s="82">
        <f>IF(AN2156="","",AD2156+AE2156+AF2156)</f>
        <v/>
      </c>
      <c r="AH2156" s="81">
        <f>IF(AN2156="","",P2156*(1-AG2156))</f>
        <v/>
      </c>
      <c r="AI2156" s="81">
        <f>IF(AN2156="","",IF(Q2156="Sin Factura",0,IFERROR(INDEX(Facturas_Odoo!$H:$H, MATCH(Q2156, Facturas_Odoo!$B:$B, 0)), 0)*(1-AG2156)))</f>
        <v/>
      </c>
      <c r="AJ2156" s="81">
        <f>IF(AN2156="","",_xlfn.LET(idVenta, AN2156&amp;"",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56" s="81">
        <f>IF(AN2156="","",AH2156-AJ2156)</f>
        <v/>
      </c>
      <c r="AL2156" s="81">
        <f>IF(AN2156="","",IF(Q2156="Sin Factura","",AI2156-AJ2156))</f>
        <v/>
      </c>
      <c r="AM2156" s="81">
        <f>IF(AN2156="","",IF(Q2156="Sin Factura",0,P2156-IFERROR(INDEX(Facturas_Odoo!$H:$H, MATCH(Q2156, Facturas_Odoo!$B:$B, 0)), 0)))</f>
        <v/>
      </c>
      <c r="AN2156" s="79">
        <f>IF(AND(A2156="", J2156=""), "", IF(A2156&lt;&gt;"", VALUE(MID(A2156,2,LEN(A2156))), AN2155))</f>
        <v/>
      </c>
      <c r="AO2156" s="79">
        <f>IF(AN2156="","",IF(AD2156=0,"OK",_xlfn.LET(monedaPago, IF(AA2156="","USD",AA2156), limitePermitido, IFERROR(VLOOKUP(monedaPago, Configuración!$A$2:$B$3, 2, FALSE), 0.15), IF(AD2156&gt;limitePermitido, "ALERTA: EXCESO (" &amp; TEXT(limitePermitido, "0%") &amp; " máx)", "OK"))))</f>
        <v/>
      </c>
      <c r="AP2156" s="79">
        <f>IF(AN2156="","",IF(AE2156=0,"OK",_xlfn.LET(fechaPago, Z2156, fechaFactura, R2156, diasCredito, IF(E2156="Pago inmediato", 0, IFERROR(VALUE(MID(E2156, 1, SEARCH(" ", E2156)-1)),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56" s="79">
        <f>IF(AN2156="","",IF(AND(N2156&gt;0, AG2156&gt;0), IF(Configuración!$K$2="NO", "ALERTA: DESCUENTO DOBLE NO PERMITIDO", "OK"), "OK"))</f>
        <v/>
      </c>
      <c r="AR2156" s="79">
        <f>IF(AN2156="","",IF(OR(AO2156&lt;&gt;"OK", AP2156&lt;&gt;"OK", AQ2156&lt;&gt;"OK"), "⚠️ REVISAR", "OK"))</f>
        <v/>
      </c>
    </row>
    <row r="2157">
      <c r="A2157" s="79">
        <f>IF('Ordenes_Odoo'!A2157="","",'Ordenes_Odoo'!A2157)</f>
        <v/>
      </c>
      <c r="B2157" s="80">
        <f>IF('Ordenes_Odoo'!B2157="","",'Ordenes_Odoo'!B2157)</f>
        <v/>
      </c>
      <c r="C2157" s="79">
        <f>IF('Ordenes_Odoo'!C2157="","",'Ordenes_Odoo'!C2157)</f>
        <v/>
      </c>
      <c r="D2157" s="79">
        <f>IF('Ordenes_Odoo'!D2157="","",'Ordenes_Odoo'!D2157)</f>
        <v/>
      </c>
      <c r="E2157" s="79">
        <f>IF('Ordenes_Odoo'!E2157="","",'Ordenes_Odoo'!E2157)</f>
        <v/>
      </c>
      <c r="F2157" s="79">
        <f>IF('Ordenes_Odoo'!F2157="","",'Ordenes_Odoo'!F2157)</f>
        <v/>
      </c>
      <c r="G2157" s="79">
        <f>IF('Ordenes_Odoo'!G2157="","",'Ordenes_Odoo'!G2157)</f>
        <v/>
      </c>
      <c r="H2157" s="79">
        <f>IF('Ordenes_Odoo'!H2157="","",'Ordenes_Odoo'!H2157)</f>
        <v/>
      </c>
      <c r="I2157" s="79">
        <f>IF('Ordenes_Odoo'!I2157="","",'Ordenes_Odoo'!I2157)</f>
        <v/>
      </c>
      <c r="J2157" s="79">
        <f>IF('Ordenes_Odoo'!J2157="","",'Ordenes_Odoo'!J2157)</f>
        <v/>
      </c>
      <c r="K2157" s="81">
        <f>IF('Ordenes_Odoo'!K2157="","",'Ordenes_Odoo'!K2157)</f>
        <v/>
      </c>
      <c r="L2157" s="81">
        <f>IF('Ordenes_Odoo'!L2157="","",'Ordenes_Odoo'!L2157)</f>
        <v/>
      </c>
      <c r="M2157" s="79">
        <f>IF('Ordenes_Odoo'!M2157="","",'Ordenes_Odoo'!M2157)</f>
        <v/>
      </c>
      <c r="N2157" s="79">
        <f>IF('Ordenes_Odoo'!N2157="","",'Ordenes_Odoo'!N2157)</f>
        <v/>
      </c>
      <c r="O2157" s="81">
        <f>IF('Ordenes_Odoo'!O2157="","",'Ordenes_Odoo'!O2157)</f>
        <v/>
      </c>
      <c r="P2157" s="81">
        <f>IF('Ordenes_Odoo'!P2157="","",'Ordenes_Odoo'!P2157)</f>
        <v/>
      </c>
      <c r="Q2157" s="79">
        <f>IF(A2157="","",IFERROR(INDEX(Facturas_Odoo!$B:$B, MATCH(A2157, Facturas_Odoo!$D:$D, 0)), "Sin Factura"))</f>
        <v/>
      </c>
      <c r="R2157" s="80">
        <f>IF(Q2157="Sin Factura","",IFERROR(INDEX(Facturas_Odoo!$A:$A, MATCH(Q2157, Facturas_Odoo!$B:$B, 0)), ""))</f>
        <v/>
      </c>
      <c r="S2157" s="79">
        <f>IF(Q2157="Sin Factura","",IFERROR(_xlfn.XLOOKUP(1, (Facturas_Odoo!$D:$D=A2157) * (Facturas_Odoo!$K:$K=I2157), Facturas_Odoo!$L:$L, ""), ""))</f>
        <v/>
      </c>
      <c r="T2157" s="81">
        <f>IF(Q2157="Sin Factura",0,IFERROR(_xlfn.XLOOKUP(1, (Facturas_Odoo!$D:$D=A2157) * (Facturas_Odoo!$K:$K=I2157), Facturas_Odoo!$M:$M, 0), 0))</f>
        <v/>
      </c>
      <c r="U2157" s="79">
        <f>IF(Q2157="Sin Factura",0,IFERROR(_xlfn.XLOOKUP(1, (Facturas_Odoo!$D:$D=A2157) * (Facturas_Odoo!$K:$K=I2157), Facturas_Odoo!$N:$N, 0), 0))</f>
        <v/>
      </c>
      <c r="V2157" s="79">
        <f>IF(Q2157="Sin Factura",0,IFERROR(_xlfn.XLOOKUP(1, (Facturas_Odoo!$D:$D=A2157) * (Facturas_Odoo!$K:$K=I2157), Facturas_Odoo!$O:$O, 0), 0))</f>
        <v/>
      </c>
      <c r="W2157" s="81">
        <f>IF(Q2157="Sin Factura",0,IFERROR(_xlfn.XLOOKUP(1, (Facturas_Odoo!$D:$D=A2157) * (Facturas_Odoo!$K:$K=I2157), Facturas_Odoo!$Q:$Q, 0), 0))</f>
        <v/>
      </c>
      <c r="X2157" s="79">
        <f>IF(OR(Q2157="Sin Factura",Q2157=""),"",IFERROR(INDEX(Pagos_Odoo!$B:$B, MATCH(Q2157, Pagos_Odoo!$I:$I, 0)), "Sin Pago"))</f>
        <v/>
      </c>
      <c r="Y2157" s="79">
        <f>IF(X2157="Sin Pago","",IFERROR(INDEX(Pagos_Odoo!$C:$C, MATCH(X2157, Pagos_Odoo!$B:$B, 0)), ""))</f>
        <v/>
      </c>
      <c r="Z2157" s="80">
        <f>IF(X2157="Sin Pago","",IFERROR(INDEX(Pagos_Odoo!$A:$A, MATCH(X2157, Pagos_Odoo!$B:$B, 0)), ""))</f>
        <v/>
      </c>
      <c r="AA2157" s="79">
        <f>IF(X2157="Sin Pago","",IFERROR(INDEX(Pagos_Odoo!$F:$F, MATCH(X2157, Pagos_Odoo!$B:$B, 0)), ""))</f>
        <v/>
      </c>
      <c r="AB2157" s="81">
        <f>IF(X2157="Sin Pago",0,IFERROR(INDEX(Pagos_Odoo!$E:$E, MATCH(X2157, Pagos_Odoo!$B:$B, 0)), 0))</f>
        <v/>
      </c>
      <c r="AC2157" s="79">
        <f>IF(X2157="Sin Pago","",IFERROR(INDEX(Pagos_Odoo!$G:$G, MATCH(X2157, Pagos_Odoo!$B:$B, 0)), ""))</f>
        <v/>
      </c>
      <c r="AD2157" s="82" t="n">
        <v>0</v>
      </c>
      <c r="AE2157" s="82" t="n"/>
      <c r="AF2157" s="82" t="n"/>
      <c r="AG2157" s="82">
        <f>IF(AN2157="","",AD2157+AE2157+AF2157)</f>
        <v/>
      </c>
      <c r="AH2157" s="81">
        <f>IF(AN2157="","",P2157*(1-AG2157))</f>
        <v/>
      </c>
      <c r="AI2157" s="81">
        <f>IF(AN2157="","",IF(Q2157="Sin Factura",0,IFERROR(INDEX(Facturas_Odoo!$H:$H, MATCH(Q2157, Facturas_Odoo!$B:$B, 0)), 0)*(1-AG2157)))</f>
        <v/>
      </c>
      <c r="AJ2157" s="81">
        <f>IF(AN2157="","",_xlfn.LET(idVenta, AN2157&amp;"",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57" s="81">
        <f>IF(AN2157="","",AH2157-AJ2157)</f>
        <v/>
      </c>
      <c r="AL2157" s="81">
        <f>IF(AN2157="","",IF(Q2157="Sin Factura","",AI2157-AJ2157))</f>
        <v/>
      </c>
      <c r="AM2157" s="81">
        <f>IF(AN2157="","",IF(Q2157="Sin Factura",0,P2157-IFERROR(INDEX(Facturas_Odoo!$H:$H, MATCH(Q2157, Facturas_Odoo!$B:$B, 0)), 0)))</f>
        <v/>
      </c>
      <c r="AN2157" s="79">
        <f>IF(AND(A2157="", J2157=""), "", IF(A2157&lt;&gt;"", VALUE(MID(A2157,2,LEN(A2157))), AN2156))</f>
        <v/>
      </c>
      <c r="AO2157" s="79">
        <f>IF(AN2157="","",IF(AD2157=0,"OK",_xlfn.LET(monedaPago, IF(AA2157="","USD",AA2157), limitePermitido, IFERROR(VLOOKUP(monedaPago, Configuración!$A$2:$B$3, 2, FALSE), 0.15), IF(AD2157&gt;limitePermitido, "ALERTA: EXCESO (" &amp; TEXT(limitePermitido, "0%") &amp; " máx)", "OK"))))</f>
        <v/>
      </c>
      <c r="AP2157" s="79">
        <f>IF(AN2157="","",IF(AE2157=0,"OK",_xlfn.LET(fechaPago, Z2157, fechaFactura, R2157, diasCredito, IF(E2157="Pago inmediato", 0, IFERROR(VALUE(MID(E2157, 1, SEARCH(" ", E2157)-1)),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57" s="79">
        <f>IF(AN2157="","",IF(AND(N2157&gt;0, AG2157&gt;0), IF(Configuración!$K$2="NO", "ALERTA: DESCUENTO DOBLE NO PERMITIDO", "OK"), "OK"))</f>
        <v/>
      </c>
      <c r="AR2157" s="79">
        <f>IF(AN2157="","",IF(OR(AO2157&lt;&gt;"OK", AP2157&lt;&gt;"OK", AQ2157&lt;&gt;"OK"), "⚠️ REVISAR", "OK"))</f>
        <v/>
      </c>
    </row>
    <row r="2158">
      <c r="A2158" s="79">
        <f>IF('Ordenes_Odoo'!A2158="","",'Ordenes_Odoo'!A2158)</f>
        <v/>
      </c>
      <c r="B2158" s="80">
        <f>IF('Ordenes_Odoo'!B2158="","",'Ordenes_Odoo'!B2158)</f>
        <v/>
      </c>
      <c r="C2158" s="79">
        <f>IF('Ordenes_Odoo'!C2158="","",'Ordenes_Odoo'!C2158)</f>
        <v/>
      </c>
      <c r="D2158" s="79">
        <f>IF('Ordenes_Odoo'!D2158="","",'Ordenes_Odoo'!D2158)</f>
        <v/>
      </c>
      <c r="E2158" s="79">
        <f>IF('Ordenes_Odoo'!E2158="","",'Ordenes_Odoo'!E2158)</f>
        <v/>
      </c>
      <c r="F2158" s="79">
        <f>IF('Ordenes_Odoo'!F2158="","",'Ordenes_Odoo'!F2158)</f>
        <v/>
      </c>
      <c r="G2158" s="79">
        <f>IF('Ordenes_Odoo'!G2158="","",'Ordenes_Odoo'!G2158)</f>
        <v/>
      </c>
      <c r="H2158" s="79">
        <f>IF('Ordenes_Odoo'!H2158="","",'Ordenes_Odoo'!H2158)</f>
        <v/>
      </c>
      <c r="I2158" s="79">
        <f>IF('Ordenes_Odoo'!I2158="","",'Ordenes_Odoo'!I2158)</f>
        <v/>
      </c>
      <c r="J2158" s="79">
        <f>IF('Ordenes_Odoo'!J2158="","",'Ordenes_Odoo'!J2158)</f>
        <v/>
      </c>
      <c r="K2158" s="81">
        <f>IF('Ordenes_Odoo'!K2158="","",'Ordenes_Odoo'!K2158)</f>
        <v/>
      </c>
      <c r="L2158" s="81">
        <f>IF('Ordenes_Odoo'!L2158="","",'Ordenes_Odoo'!L2158)</f>
        <v/>
      </c>
      <c r="M2158" s="79">
        <f>IF('Ordenes_Odoo'!M2158="","",'Ordenes_Odoo'!M2158)</f>
        <v/>
      </c>
      <c r="N2158" s="79">
        <f>IF('Ordenes_Odoo'!N2158="","",'Ordenes_Odoo'!N2158)</f>
        <v/>
      </c>
      <c r="O2158" s="81">
        <f>IF('Ordenes_Odoo'!O2158="","",'Ordenes_Odoo'!O2158)</f>
        <v/>
      </c>
      <c r="P2158" s="81">
        <f>IF('Ordenes_Odoo'!P2158="","",'Ordenes_Odoo'!P2158)</f>
        <v/>
      </c>
      <c r="Q2158" s="79">
        <f>IF(A2158="","",IFERROR(INDEX(Facturas_Odoo!$B:$B, MATCH(A2158, Facturas_Odoo!$D:$D, 0)), "Sin Factura"))</f>
        <v/>
      </c>
      <c r="R2158" s="80">
        <f>IF(Q2158="Sin Factura","",IFERROR(INDEX(Facturas_Odoo!$A:$A, MATCH(Q2158, Facturas_Odoo!$B:$B, 0)), ""))</f>
        <v/>
      </c>
      <c r="S2158" s="79">
        <f>IF(Q2158="Sin Factura","",IFERROR(_xlfn.XLOOKUP(1, (Facturas_Odoo!$D:$D=A2158) * (Facturas_Odoo!$K:$K=I2158), Facturas_Odoo!$L:$L, ""), ""))</f>
        <v/>
      </c>
      <c r="T2158" s="81">
        <f>IF(Q2158="Sin Factura",0,IFERROR(_xlfn.XLOOKUP(1, (Facturas_Odoo!$D:$D=A2158) * (Facturas_Odoo!$K:$K=I2158), Facturas_Odoo!$M:$M, 0), 0))</f>
        <v/>
      </c>
      <c r="U2158" s="79">
        <f>IF(Q2158="Sin Factura",0,IFERROR(_xlfn.XLOOKUP(1, (Facturas_Odoo!$D:$D=A2158) * (Facturas_Odoo!$K:$K=I2158), Facturas_Odoo!$N:$N, 0), 0))</f>
        <v/>
      </c>
      <c r="V2158" s="79">
        <f>IF(Q2158="Sin Factura",0,IFERROR(_xlfn.XLOOKUP(1, (Facturas_Odoo!$D:$D=A2158) * (Facturas_Odoo!$K:$K=I2158), Facturas_Odoo!$O:$O, 0), 0))</f>
        <v/>
      </c>
      <c r="W2158" s="81">
        <f>IF(Q2158="Sin Factura",0,IFERROR(_xlfn.XLOOKUP(1, (Facturas_Odoo!$D:$D=A2158) * (Facturas_Odoo!$K:$K=I2158), Facturas_Odoo!$Q:$Q, 0), 0))</f>
        <v/>
      </c>
      <c r="X2158" s="79">
        <f>IF(OR(Q2158="Sin Factura",Q2158=""),"",IFERROR(INDEX(Pagos_Odoo!$B:$B, MATCH(Q2158, Pagos_Odoo!$I:$I, 0)), "Sin Pago"))</f>
        <v/>
      </c>
      <c r="Y2158" s="79">
        <f>IF(X2158="Sin Pago","",IFERROR(INDEX(Pagos_Odoo!$C:$C, MATCH(X2158, Pagos_Odoo!$B:$B, 0)), ""))</f>
        <v/>
      </c>
      <c r="Z2158" s="80">
        <f>IF(X2158="Sin Pago","",IFERROR(INDEX(Pagos_Odoo!$A:$A, MATCH(X2158, Pagos_Odoo!$B:$B, 0)), ""))</f>
        <v/>
      </c>
      <c r="AA2158" s="79">
        <f>IF(X2158="Sin Pago","",IFERROR(INDEX(Pagos_Odoo!$F:$F, MATCH(X2158, Pagos_Odoo!$B:$B, 0)), ""))</f>
        <v/>
      </c>
      <c r="AB2158" s="81">
        <f>IF(X2158="Sin Pago",0,IFERROR(INDEX(Pagos_Odoo!$E:$E, MATCH(X2158, Pagos_Odoo!$B:$B, 0)), 0))</f>
        <v/>
      </c>
      <c r="AC2158" s="79">
        <f>IF(X2158="Sin Pago","",IFERROR(INDEX(Pagos_Odoo!$G:$G, MATCH(X2158, Pagos_Odoo!$B:$B, 0)), ""))</f>
        <v/>
      </c>
      <c r="AD2158" s="82" t="n">
        <v>0</v>
      </c>
      <c r="AE2158" s="82" t="n"/>
      <c r="AF2158" s="82" t="n"/>
      <c r="AG2158" s="82">
        <f>IF(AN2158="","",AD2158+AE2158+AF2158)</f>
        <v/>
      </c>
      <c r="AH2158" s="81">
        <f>IF(AN2158="","",P2158*(1-AG2158))</f>
        <v/>
      </c>
      <c r="AI2158" s="81">
        <f>IF(AN2158="","",IF(Q2158="Sin Factura",0,IFERROR(INDEX(Facturas_Odoo!$H:$H, MATCH(Q2158, Facturas_Odoo!$B:$B, 0)), 0)*(1-AG2158)))</f>
        <v/>
      </c>
      <c r="AJ2158" s="81">
        <f>IF(AN2158="","",_xlfn.LET(idVenta, AN2158&amp;"",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58" s="81">
        <f>IF(AN2158="","",AH2158-AJ2158)</f>
        <v/>
      </c>
      <c r="AL2158" s="81">
        <f>IF(AN2158="","",IF(Q2158="Sin Factura","",AI2158-AJ2158))</f>
        <v/>
      </c>
      <c r="AM2158" s="81">
        <f>IF(AN2158="","",IF(Q2158="Sin Factura",0,P2158-IFERROR(INDEX(Facturas_Odoo!$H:$H, MATCH(Q2158, Facturas_Odoo!$B:$B, 0)), 0)))</f>
        <v/>
      </c>
      <c r="AN2158" s="79">
        <f>IF(AND(A2158="", J2158=""), "", IF(A2158&lt;&gt;"", VALUE(MID(A2158,2,LEN(A2158))), AN2157))</f>
        <v/>
      </c>
      <c r="AO2158" s="79">
        <f>IF(AN2158="","",IF(AD2158=0,"OK",_xlfn.LET(monedaPago, IF(AA2158="","USD",AA2158), limitePermitido, IFERROR(VLOOKUP(monedaPago, Configuración!$A$2:$B$3, 2, FALSE), 0.15), IF(AD2158&gt;limitePermitido, "ALERTA: EXCESO (" &amp; TEXT(limitePermitido, "0%") &amp; " máx)", "OK"))))</f>
        <v/>
      </c>
      <c r="AP2158" s="79">
        <f>IF(AN2158="","",IF(AE2158=0,"OK",_xlfn.LET(fechaPago, Z2158, fechaFactura, R2158, diasCredito, IF(E2158="Pago inmediato", 0, IFERROR(VALUE(MID(E2158, 1, SEARCH(" ", E2158)-1)),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58" s="79">
        <f>IF(AN2158="","",IF(AND(N2158&gt;0, AG2158&gt;0), IF(Configuración!$K$2="NO", "ALERTA: DESCUENTO DOBLE NO PERMITIDO", "OK"), "OK"))</f>
        <v/>
      </c>
      <c r="AR2158" s="79">
        <f>IF(AN2158="","",IF(OR(AO2158&lt;&gt;"OK", AP2158&lt;&gt;"OK", AQ2158&lt;&gt;"OK"), "⚠️ REVISAR", "OK"))</f>
        <v/>
      </c>
    </row>
    <row r="2159">
      <c r="A2159" s="79">
        <f>IF('Ordenes_Odoo'!A2159="","",'Ordenes_Odoo'!A2159)</f>
        <v/>
      </c>
      <c r="B2159" s="80">
        <f>IF('Ordenes_Odoo'!B2159="","",'Ordenes_Odoo'!B2159)</f>
        <v/>
      </c>
      <c r="C2159" s="79">
        <f>IF('Ordenes_Odoo'!C2159="","",'Ordenes_Odoo'!C2159)</f>
        <v/>
      </c>
      <c r="D2159" s="79">
        <f>IF('Ordenes_Odoo'!D2159="","",'Ordenes_Odoo'!D2159)</f>
        <v/>
      </c>
      <c r="E2159" s="79">
        <f>IF('Ordenes_Odoo'!E2159="","",'Ordenes_Odoo'!E2159)</f>
        <v/>
      </c>
      <c r="F2159" s="79">
        <f>IF('Ordenes_Odoo'!F2159="","",'Ordenes_Odoo'!F2159)</f>
        <v/>
      </c>
      <c r="G2159" s="79">
        <f>IF('Ordenes_Odoo'!G2159="","",'Ordenes_Odoo'!G2159)</f>
        <v/>
      </c>
      <c r="H2159" s="79">
        <f>IF('Ordenes_Odoo'!H2159="","",'Ordenes_Odoo'!H2159)</f>
        <v/>
      </c>
      <c r="I2159" s="79">
        <f>IF('Ordenes_Odoo'!I2159="","",'Ordenes_Odoo'!I2159)</f>
        <v/>
      </c>
      <c r="J2159" s="79">
        <f>IF('Ordenes_Odoo'!J2159="","",'Ordenes_Odoo'!J2159)</f>
        <v/>
      </c>
      <c r="K2159" s="81">
        <f>IF('Ordenes_Odoo'!K2159="","",'Ordenes_Odoo'!K2159)</f>
        <v/>
      </c>
      <c r="L2159" s="81">
        <f>IF('Ordenes_Odoo'!L2159="","",'Ordenes_Odoo'!L2159)</f>
        <v/>
      </c>
      <c r="M2159" s="79">
        <f>IF('Ordenes_Odoo'!M2159="","",'Ordenes_Odoo'!M2159)</f>
        <v/>
      </c>
      <c r="N2159" s="79">
        <f>IF('Ordenes_Odoo'!N2159="","",'Ordenes_Odoo'!N2159)</f>
        <v/>
      </c>
      <c r="O2159" s="81">
        <f>IF('Ordenes_Odoo'!O2159="","",'Ordenes_Odoo'!O2159)</f>
        <v/>
      </c>
      <c r="P2159" s="81">
        <f>IF('Ordenes_Odoo'!P2159="","",'Ordenes_Odoo'!P2159)</f>
        <v/>
      </c>
      <c r="Q2159" s="79">
        <f>IF(A2159="","",IFERROR(INDEX(Facturas_Odoo!$B:$B, MATCH(A2159, Facturas_Odoo!$D:$D, 0)), "Sin Factura"))</f>
        <v/>
      </c>
      <c r="R2159" s="80">
        <f>IF(Q2159="Sin Factura","",IFERROR(INDEX(Facturas_Odoo!$A:$A, MATCH(Q2159, Facturas_Odoo!$B:$B, 0)), ""))</f>
        <v/>
      </c>
      <c r="S2159" s="79">
        <f>IF(Q2159="Sin Factura","",IFERROR(_xlfn.XLOOKUP(1, (Facturas_Odoo!$D:$D=A2159) * (Facturas_Odoo!$K:$K=I2159), Facturas_Odoo!$L:$L, ""), ""))</f>
        <v/>
      </c>
      <c r="T2159" s="81">
        <f>IF(Q2159="Sin Factura",0,IFERROR(_xlfn.XLOOKUP(1, (Facturas_Odoo!$D:$D=A2159) * (Facturas_Odoo!$K:$K=I2159), Facturas_Odoo!$M:$M, 0), 0))</f>
        <v/>
      </c>
      <c r="U2159" s="79">
        <f>IF(Q2159="Sin Factura",0,IFERROR(_xlfn.XLOOKUP(1, (Facturas_Odoo!$D:$D=A2159) * (Facturas_Odoo!$K:$K=I2159), Facturas_Odoo!$N:$N, 0), 0))</f>
        <v/>
      </c>
      <c r="V2159" s="79">
        <f>IF(Q2159="Sin Factura",0,IFERROR(_xlfn.XLOOKUP(1, (Facturas_Odoo!$D:$D=A2159) * (Facturas_Odoo!$K:$K=I2159), Facturas_Odoo!$O:$O, 0), 0))</f>
        <v/>
      </c>
      <c r="W2159" s="81">
        <f>IF(Q2159="Sin Factura",0,IFERROR(_xlfn.XLOOKUP(1, (Facturas_Odoo!$D:$D=A2159) * (Facturas_Odoo!$K:$K=I2159), Facturas_Odoo!$Q:$Q, 0), 0))</f>
        <v/>
      </c>
      <c r="X2159" s="79">
        <f>IF(OR(Q2159="Sin Factura",Q2159=""),"",IFERROR(INDEX(Pagos_Odoo!$B:$B, MATCH(Q2159, Pagos_Odoo!$I:$I, 0)), "Sin Pago"))</f>
        <v/>
      </c>
      <c r="Y2159" s="79">
        <f>IF(X2159="Sin Pago","",IFERROR(INDEX(Pagos_Odoo!$C:$C, MATCH(X2159, Pagos_Odoo!$B:$B, 0)), ""))</f>
        <v/>
      </c>
      <c r="Z2159" s="80">
        <f>IF(X2159="Sin Pago","",IFERROR(INDEX(Pagos_Odoo!$A:$A, MATCH(X2159, Pagos_Odoo!$B:$B, 0)), ""))</f>
        <v/>
      </c>
      <c r="AA2159" s="79">
        <f>IF(X2159="Sin Pago","",IFERROR(INDEX(Pagos_Odoo!$F:$F, MATCH(X2159, Pagos_Odoo!$B:$B, 0)), ""))</f>
        <v/>
      </c>
      <c r="AB2159" s="81">
        <f>IF(X2159="Sin Pago",0,IFERROR(INDEX(Pagos_Odoo!$E:$E, MATCH(X2159, Pagos_Odoo!$B:$B, 0)), 0))</f>
        <v/>
      </c>
      <c r="AC2159" s="79">
        <f>IF(X2159="Sin Pago","",IFERROR(INDEX(Pagos_Odoo!$G:$G, MATCH(X2159, Pagos_Odoo!$B:$B, 0)), ""))</f>
        <v/>
      </c>
      <c r="AD2159" s="82" t="n">
        <v>0</v>
      </c>
      <c r="AE2159" s="82" t="n"/>
      <c r="AF2159" s="82" t="n"/>
      <c r="AG2159" s="82">
        <f>IF(AN2159="","",AD2159+AE2159+AF2159)</f>
        <v/>
      </c>
      <c r="AH2159" s="81">
        <f>IF(AN2159="","",P2159*(1-AG2159))</f>
        <v/>
      </c>
      <c r="AI2159" s="81">
        <f>IF(AN2159="","",IF(Q2159="Sin Factura",0,IFERROR(INDEX(Facturas_Odoo!$H:$H, MATCH(Q2159, Facturas_Odoo!$B:$B, 0)), 0)*(1-AG2159)))</f>
        <v/>
      </c>
      <c r="AJ2159" s="81">
        <f>IF(AN2159="","",_xlfn.LET(idVenta, AN2159&amp;"",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59" s="81">
        <f>IF(AN2159="","",AH2159-AJ2159)</f>
        <v/>
      </c>
      <c r="AL2159" s="81">
        <f>IF(AN2159="","",IF(Q2159="Sin Factura","",AI2159-AJ2159))</f>
        <v/>
      </c>
      <c r="AM2159" s="81">
        <f>IF(AN2159="","",IF(Q2159="Sin Factura",0,P2159-IFERROR(INDEX(Facturas_Odoo!$H:$H, MATCH(Q2159, Facturas_Odoo!$B:$B, 0)), 0)))</f>
        <v/>
      </c>
      <c r="AN2159" s="79">
        <f>IF(AND(A2159="", J2159=""), "", IF(A2159&lt;&gt;"", VALUE(MID(A2159,2,LEN(A2159))), AN2158))</f>
        <v/>
      </c>
      <c r="AO2159" s="79">
        <f>IF(AN2159="","",IF(AD2159=0,"OK",_xlfn.LET(monedaPago, IF(AA2159="","USD",AA2159), limitePermitido, IFERROR(VLOOKUP(monedaPago, Configuración!$A$2:$B$3, 2, FALSE), 0.15), IF(AD2159&gt;limitePermitido, "ALERTA: EXCESO (" &amp; TEXT(limitePermitido, "0%") &amp; " máx)", "OK"))))</f>
        <v/>
      </c>
      <c r="AP2159" s="79">
        <f>IF(AN2159="","",IF(AE2159=0,"OK",_xlfn.LET(fechaPago, Z2159, fechaFactura, R2159, diasCredito, IF(E2159="Pago inmediato", 0, IFERROR(VALUE(MID(E2159, 1, SEARCH(" ", E2159)-1)),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59" s="79">
        <f>IF(AN2159="","",IF(AND(N2159&gt;0, AG2159&gt;0), IF(Configuración!$K$2="NO", "ALERTA: DESCUENTO DOBLE NO PERMITIDO", "OK"), "OK"))</f>
        <v/>
      </c>
      <c r="AR2159" s="79">
        <f>IF(AN2159="","",IF(OR(AO2159&lt;&gt;"OK", AP2159&lt;&gt;"OK", AQ2159&lt;&gt;"OK"), "⚠️ REVISAR", "OK"))</f>
        <v/>
      </c>
    </row>
    <row r="2160">
      <c r="A2160" s="79">
        <f>IF('Ordenes_Odoo'!A2160="","",'Ordenes_Odoo'!A2160)</f>
        <v/>
      </c>
      <c r="B2160" s="80">
        <f>IF('Ordenes_Odoo'!B2160="","",'Ordenes_Odoo'!B2160)</f>
        <v/>
      </c>
      <c r="C2160" s="79">
        <f>IF('Ordenes_Odoo'!C2160="","",'Ordenes_Odoo'!C2160)</f>
        <v/>
      </c>
      <c r="D2160" s="79">
        <f>IF('Ordenes_Odoo'!D2160="","",'Ordenes_Odoo'!D2160)</f>
        <v/>
      </c>
      <c r="E2160" s="79">
        <f>IF('Ordenes_Odoo'!E2160="","",'Ordenes_Odoo'!E2160)</f>
        <v/>
      </c>
      <c r="F2160" s="79">
        <f>IF('Ordenes_Odoo'!F2160="","",'Ordenes_Odoo'!F2160)</f>
        <v/>
      </c>
      <c r="G2160" s="79">
        <f>IF('Ordenes_Odoo'!G2160="","",'Ordenes_Odoo'!G2160)</f>
        <v/>
      </c>
      <c r="H2160" s="79">
        <f>IF('Ordenes_Odoo'!H2160="","",'Ordenes_Odoo'!H2160)</f>
        <v/>
      </c>
      <c r="I2160" s="79">
        <f>IF('Ordenes_Odoo'!I2160="","",'Ordenes_Odoo'!I2160)</f>
        <v/>
      </c>
      <c r="J2160" s="79">
        <f>IF('Ordenes_Odoo'!J2160="","",'Ordenes_Odoo'!J2160)</f>
        <v/>
      </c>
      <c r="K2160" s="81">
        <f>IF('Ordenes_Odoo'!K2160="","",'Ordenes_Odoo'!K2160)</f>
        <v/>
      </c>
      <c r="L2160" s="81">
        <f>IF('Ordenes_Odoo'!L2160="","",'Ordenes_Odoo'!L2160)</f>
        <v/>
      </c>
      <c r="M2160" s="79">
        <f>IF('Ordenes_Odoo'!M2160="","",'Ordenes_Odoo'!M2160)</f>
        <v/>
      </c>
      <c r="N2160" s="79">
        <f>IF('Ordenes_Odoo'!N2160="","",'Ordenes_Odoo'!N2160)</f>
        <v/>
      </c>
      <c r="O2160" s="81">
        <f>IF('Ordenes_Odoo'!O2160="","",'Ordenes_Odoo'!O2160)</f>
        <v/>
      </c>
      <c r="P2160" s="81">
        <f>IF('Ordenes_Odoo'!P2160="","",'Ordenes_Odoo'!P2160)</f>
        <v/>
      </c>
      <c r="Q2160" s="79">
        <f>IF(A2160="","",IFERROR(INDEX(Facturas_Odoo!$B:$B, MATCH(A2160, Facturas_Odoo!$D:$D, 0)), "Sin Factura"))</f>
        <v/>
      </c>
      <c r="R2160" s="80">
        <f>IF(Q2160="Sin Factura","",IFERROR(INDEX(Facturas_Odoo!$A:$A, MATCH(Q2160, Facturas_Odoo!$B:$B, 0)), ""))</f>
        <v/>
      </c>
      <c r="S2160" s="79">
        <f>IF(Q2160="Sin Factura","",IFERROR(_xlfn.XLOOKUP(1, (Facturas_Odoo!$D:$D=A2160) * (Facturas_Odoo!$K:$K=I2160), Facturas_Odoo!$L:$L, ""), ""))</f>
        <v/>
      </c>
      <c r="T2160" s="81">
        <f>IF(Q2160="Sin Factura",0,IFERROR(_xlfn.XLOOKUP(1, (Facturas_Odoo!$D:$D=A2160) * (Facturas_Odoo!$K:$K=I2160), Facturas_Odoo!$M:$M, 0), 0))</f>
        <v/>
      </c>
      <c r="U2160" s="79">
        <f>IF(Q2160="Sin Factura",0,IFERROR(_xlfn.XLOOKUP(1, (Facturas_Odoo!$D:$D=A2160) * (Facturas_Odoo!$K:$K=I2160), Facturas_Odoo!$N:$N, 0), 0))</f>
        <v/>
      </c>
      <c r="V2160" s="79">
        <f>IF(Q2160="Sin Factura",0,IFERROR(_xlfn.XLOOKUP(1, (Facturas_Odoo!$D:$D=A2160) * (Facturas_Odoo!$K:$K=I2160), Facturas_Odoo!$O:$O, 0), 0))</f>
        <v/>
      </c>
      <c r="W2160" s="81">
        <f>IF(Q2160="Sin Factura",0,IFERROR(_xlfn.XLOOKUP(1, (Facturas_Odoo!$D:$D=A2160) * (Facturas_Odoo!$K:$K=I2160), Facturas_Odoo!$Q:$Q, 0), 0))</f>
        <v/>
      </c>
      <c r="X2160" s="79">
        <f>IF(OR(Q2160="Sin Factura",Q2160=""),"",IFERROR(INDEX(Pagos_Odoo!$B:$B, MATCH(Q2160, Pagos_Odoo!$I:$I, 0)), "Sin Pago"))</f>
        <v/>
      </c>
      <c r="Y2160" s="79">
        <f>IF(X2160="Sin Pago","",IFERROR(INDEX(Pagos_Odoo!$C:$C, MATCH(X2160, Pagos_Odoo!$B:$B, 0)), ""))</f>
        <v/>
      </c>
      <c r="Z2160" s="80">
        <f>IF(X2160="Sin Pago","",IFERROR(INDEX(Pagos_Odoo!$A:$A, MATCH(X2160, Pagos_Odoo!$B:$B, 0)), ""))</f>
        <v/>
      </c>
      <c r="AA2160" s="79">
        <f>IF(X2160="Sin Pago","",IFERROR(INDEX(Pagos_Odoo!$F:$F, MATCH(X2160, Pagos_Odoo!$B:$B, 0)), ""))</f>
        <v/>
      </c>
      <c r="AB2160" s="81">
        <f>IF(X2160="Sin Pago",0,IFERROR(INDEX(Pagos_Odoo!$E:$E, MATCH(X2160, Pagos_Odoo!$B:$B, 0)), 0))</f>
        <v/>
      </c>
      <c r="AC2160" s="79">
        <f>IF(X2160="Sin Pago","",IFERROR(INDEX(Pagos_Odoo!$G:$G, MATCH(X2160, Pagos_Odoo!$B:$B, 0)), ""))</f>
        <v/>
      </c>
      <c r="AD2160" s="82" t="n">
        <v>0</v>
      </c>
      <c r="AE2160" s="82" t="n"/>
      <c r="AF2160" s="82" t="n"/>
      <c r="AG2160" s="82">
        <f>IF(AN2160="","",AD2160+AE2160+AF2160)</f>
        <v/>
      </c>
      <c r="AH2160" s="81">
        <f>IF(AN2160="","",P2160*(1-AG2160))</f>
        <v/>
      </c>
      <c r="AI2160" s="81">
        <f>IF(AN2160="","",IF(Q2160="Sin Factura",0,IFERROR(INDEX(Facturas_Odoo!$H:$H, MATCH(Q2160, Facturas_Odoo!$B:$B, 0)), 0)*(1-AG2160)))</f>
        <v/>
      </c>
      <c r="AJ2160" s="81">
        <f>IF(AN2160="","",_xlfn.LET(idVenta, AN2160&amp;"",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60" s="81">
        <f>IF(AN2160="","",AH2160-AJ2160)</f>
        <v/>
      </c>
      <c r="AL2160" s="81">
        <f>IF(AN2160="","",IF(Q2160="Sin Factura","",AI2160-AJ2160))</f>
        <v/>
      </c>
      <c r="AM2160" s="81">
        <f>IF(AN2160="","",IF(Q2160="Sin Factura",0,P2160-IFERROR(INDEX(Facturas_Odoo!$H:$H, MATCH(Q2160, Facturas_Odoo!$B:$B, 0)), 0)))</f>
        <v/>
      </c>
      <c r="AN2160" s="79">
        <f>IF(AND(A2160="", J2160=""), "", IF(A2160&lt;&gt;"", VALUE(MID(A2160,2,LEN(A2160))), AN2159))</f>
        <v/>
      </c>
      <c r="AO2160" s="79">
        <f>IF(AN2160="","",IF(AD2160=0,"OK",_xlfn.LET(monedaPago, IF(AA2160="","USD",AA2160), limitePermitido, IFERROR(VLOOKUP(monedaPago, Configuración!$A$2:$B$3, 2, FALSE), 0.15), IF(AD2160&gt;limitePermitido, "ALERTA: EXCESO (" &amp; TEXT(limitePermitido, "0%") &amp; " máx)", "OK"))))</f>
        <v/>
      </c>
      <c r="AP2160" s="79">
        <f>IF(AN2160="","",IF(AE2160=0,"OK",_xlfn.LET(fechaPago, Z2160, fechaFactura, R2160, diasCredito, IF(E2160="Pago inmediato", 0, IFERROR(VALUE(MID(E2160, 1, SEARCH(" ", E2160)-1)),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60" s="79">
        <f>IF(AN2160="","",IF(AND(N2160&gt;0, AG2160&gt;0), IF(Configuración!$K$2="NO", "ALERTA: DESCUENTO DOBLE NO PERMITIDO", "OK"), "OK"))</f>
        <v/>
      </c>
      <c r="AR2160" s="79">
        <f>IF(AN2160="","",IF(OR(AO2160&lt;&gt;"OK", AP2160&lt;&gt;"OK", AQ2160&lt;&gt;"OK"), "⚠️ REVISAR", "OK"))</f>
        <v/>
      </c>
    </row>
    <row r="2161">
      <c r="A2161" s="79">
        <f>IF('Ordenes_Odoo'!A2161="","",'Ordenes_Odoo'!A2161)</f>
        <v/>
      </c>
      <c r="B2161" s="80">
        <f>IF('Ordenes_Odoo'!B2161="","",'Ordenes_Odoo'!B2161)</f>
        <v/>
      </c>
      <c r="C2161" s="79">
        <f>IF('Ordenes_Odoo'!C2161="","",'Ordenes_Odoo'!C2161)</f>
        <v/>
      </c>
      <c r="D2161" s="79">
        <f>IF('Ordenes_Odoo'!D2161="","",'Ordenes_Odoo'!D2161)</f>
        <v/>
      </c>
      <c r="E2161" s="79">
        <f>IF('Ordenes_Odoo'!E2161="","",'Ordenes_Odoo'!E2161)</f>
        <v/>
      </c>
      <c r="F2161" s="79">
        <f>IF('Ordenes_Odoo'!F2161="","",'Ordenes_Odoo'!F2161)</f>
        <v/>
      </c>
      <c r="G2161" s="79">
        <f>IF('Ordenes_Odoo'!G2161="","",'Ordenes_Odoo'!G2161)</f>
        <v/>
      </c>
      <c r="H2161" s="79">
        <f>IF('Ordenes_Odoo'!H2161="","",'Ordenes_Odoo'!H2161)</f>
        <v/>
      </c>
      <c r="I2161" s="79">
        <f>IF('Ordenes_Odoo'!I2161="","",'Ordenes_Odoo'!I2161)</f>
        <v/>
      </c>
      <c r="J2161" s="79">
        <f>IF('Ordenes_Odoo'!J2161="","",'Ordenes_Odoo'!J2161)</f>
        <v/>
      </c>
      <c r="K2161" s="81">
        <f>IF('Ordenes_Odoo'!K2161="","",'Ordenes_Odoo'!K2161)</f>
        <v/>
      </c>
      <c r="L2161" s="81">
        <f>IF('Ordenes_Odoo'!L2161="","",'Ordenes_Odoo'!L2161)</f>
        <v/>
      </c>
      <c r="M2161" s="79">
        <f>IF('Ordenes_Odoo'!M2161="","",'Ordenes_Odoo'!M2161)</f>
        <v/>
      </c>
      <c r="N2161" s="79">
        <f>IF('Ordenes_Odoo'!N2161="","",'Ordenes_Odoo'!N2161)</f>
        <v/>
      </c>
      <c r="O2161" s="81">
        <f>IF('Ordenes_Odoo'!O2161="","",'Ordenes_Odoo'!O2161)</f>
        <v/>
      </c>
      <c r="P2161" s="81">
        <f>IF('Ordenes_Odoo'!P2161="","",'Ordenes_Odoo'!P2161)</f>
        <v/>
      </c>
      <c r="Q2161" s="79">
        <f>IF(A2161="","",IFERROR(INDEX(Facturas_Odoo!$B:$B, MATCH(A2161, Facturas_Odoo!$D:$D, 0)), "Sin Factura"))</f>
        <v/>
      </c>
      <c r="R2161" s="80">
        <f>IF(Q2161="Sin Factura","",IFERROR(INDEX(Facturas_Odoo!$A:$A, MATCH(Q2161, Facturas_Odoo!$B:$B, 0)), ""))</f>
        <v/>
      </c>
      <c r="S2161" s="79">
        <f>IF(Q2161="Sin Factura","",IFERROR(_xlfn.XLOOKUP(1, (Facturas_Odoo!$D:$D=A2161) * (Facturas_Odoo!$K:$K=I2161), Facturas_Odoo!$L:$L, ""), ""))</f>
        <v/>
      </c>
      <c r="T2161" s="81">
        <f>IF(Q2161="Sin Factura",0,IFERROR(_xlfn.XLOOKUP(1, (Facturas_Odoo!$D:$D=A2161) * (Facturas_Odoo!$K:$K=I2161), Facturas_Odoo!$M:$M, 0), 0))</f>
        <v/>
      </c>
      <c r="U2161" s="79">
        <f>IF(Q2161="Sin Factura",0,IFERROR(_xlfn.XLOOKUP(1, (Facturas_Odoo!$D:$D=A2161) * (Facturas_Odoo!$K:$K=I2161), Facturas_Odoo!$N:$N, 0), 0))</f>
        <v/>
      </c>
      <c r="V2161" s="79">
        <f>IF(Q2161="Sin Factura",0,IFERROR(_xlfn.XLOOKUP(1, (Facturas_Odoo!$D:$D=A2161) * (Facturas_Odoo!$K:$K=I2161), Facturas_Odoo!$O:$O, 0), 0))</f>
        <v/>
      </c>
      <c r="W2161" s="81">
        <f>IF(Q2161="Sin Factura",0,IFERROR(_xlfn.XLOOKUP(1, (Facturas_Odoo!$D:$D=A2161) * (Facturas_Odoo!$K:$K=I2161), Facturas_Odoo!$Q:$Q, 0), 0))</f>
        <v/>
      </c>
      <c r="X2161" s="79">
        <f>IF(OR(Q2161="Sin Factura",Q2161=""),"",IFERROR(INDEX(Pagos_Odoo!$B:$B, MATCH(Q2161, Pagos_Odoo!$I:$I, 0)), "Sin Pago"))</f>
        <v/>
      </c>
      <c r="Y2161" s="79">
        <f>IF(X2161="Sin Pago","",IFERROR(INDEX(Pagos_Odoo!$C:$C, MATCH(X2161, Pagos_Odoo!$B:$B, 0)), ""))</f>
        <v/>
      </c>
      <c r="Z2161" s="80">
        <f>IF(X2161="Sin Pago","",IFERROR(INDEX(Pagos_Odoo!$A:$A, MATCH(X2161, Pagos_Odoo!$B:$B, 0)), ""))</f>
        <v/>
      </c>
      <c r="AA2161" s="79">
        <f>IF(X2161="Sin Pago","",IFERROR(INDEX(Pagos_Odoo!$F:$F, MATCH(X2161, Pagos_Odoo!$B:$B, 0)), ""))</f>
        <v/>
      </c>
      <c r="AB2161" s="81">
        <f>IF(X2161="Sin Pago",0,IFERROR(INDEX(Pagos_Odoo!$E:$E, MATCH(X2161, Pagos_Odoo!$B:$B, 0)), 0))</f>
        <v/>
      </c>
      <c r="AC2161" s="79">
        <f>IF(X2161="Sin Pago","",IFERROR(INDEX(Pagos_Odoo!$G:$G, MATCH(X2161, Pagos_Odoo!$B:$B, 0)), ""))</f>
        <v/>
      </c>
      <c r="AD2161" s="82" t="n">
        <v>0</v>
      </c>
      <c r="AE2161" s="82" t="n"/>
      <c r="AF2161" s="82" t="n"/>
      <c r="AG2161" s="82">
        <f>IF(AN2161="","",AD2161+AE2161+AF2161)</f>
        <v/>
      </c>
      <c r="AH2161" s="81">
        <f>IF(AN2161="","",P2161*(1-AG2161))</f>
        <v/>
      </c>
      <c r="AI2161" s="81">
        <f>IF(AN2161="","",IF(Q2161="Sin Factura",0,IFERROR(INDEX(Facturas_Odoo!$H:$H, MATCH(Q2161, Facturas_Odoo!$B:$B, 0)), 0)*(1-AG2161)))</f>
        <v/>
      </c>
      <c r="AJ2161" s="81">
        <f>IF(AN2161="","",_xlfn.LET(idVenta, AN2161&amp;"",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61" s="81">
        <f>IF(AN2161="","",AH2161-AJ2161)</f>
        <v/>
      </c>
      <c r="AL2161" s="81">
        <f>IF(AN2161="","",IF(Q2161="Sin Factura","",AI2161-AJ2161))</f>
        <v/>
      </c>
      <c r="AM2161" s="81">
        <f>IF(AN2161="","",IF(Q2161="Sin Factura",0,P2161-IFERROR(INDEX(Facturas_Odoo!$H:$H, MATCH(Q2161, Facturas_Odoo!$B:$B, 0)), 0)))</f>
        <v/>
      </c>
      <c r="AN2161" s="79">
        <f>IF(AND(A2161="", J2161=""), "", IF(A2161&lt;&gt;"", VALUE(MID(A2161,2,LEN(A2161))), AN2160))</f>
        <v/>
      </c>
      <c r="AO2161" s="79">
        <f>IF(AN2161="","",IF(AD2161=0,"OK",_xlfn.LET(monedaPago, IF(AA2161="","USD",AA2161), limitePermitido, IFERROR(VLOOKUP(monedaPago, Configuración!$A$2:$B$3, 2, FALSE), 0.15), IF(AD2161&gt;limitePermitido, "ALERTA: EXCESO (" &amp; TEXT(limitePermitido, "0%") &amp; " máx)", "OK"))))</f>
        <v/>
      </c>
      <c r="AP2161" s="79">
        <f>IF(AN2161="","",IF(AE2161=0,"OK",_xlfn.LET(fechaPago, Z2161, fechaFactura, R2161, diasCredito, IF(E2161="Pago inmediato", 0, IFERROR(VALUE(MID(E2161, 1, SEARCH(" ", E2161)-1)),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61" s="79">
        <f>IF(AN2161="","",IF(AND(N2161&gt;0, AG2161&gt;0), IF(Configuración!$K$2="NO", "ALERTA: DESCUENTO DOBLE NO PERMITIDO", "OK"), "OK"))</f>
        <v/>
      </c>
      <c r="AR2161" s="79">
        <f>IF(AN2161="","",IF(OR(AO2161&lt;&gt;"OK", AP2161&lt;&gt;"OK", AQ2161&lt;&gt;"OK"), "⚠️ REVISAR", "OK"))</f>
        <v/>
      </c>
    </row>
    <row r="2162">
      <c r="A2162" s="79">
        <f>IF('Ordenes_Odoo'!A2162="","",'Ordenes_Odoo'!A2162)</f>
        <v/>
      </c>
      <c r="B2162" s="80">
        <f>IF('Ordenes_Odoo'!B2162="","",'Ordenes_Odoo'!B2162)</f>
        <v/>
      </c>
      <c r="C2162" s="79">
        <f>IF('Ordenes_Odoo'!C2162="","",'Ordenes_Odoo'!C2162)</f>
        <v/>
      </c>
      <c r="D2162" s="79">
        <f>IF('Ordenes_Odoo'!D2162="","",'Ordenes_Odoo'!D2162)</f>
        <v/>
      </c>
      <c r="E2162" s="79">
        <f>IF('Ordenes_Odoo'!E2162="","",'Ordenes_Odoo'!E2162)</f>
        <v/>
      </c>
      <c r="F2162" s="79">
        <f>IF('Ordenes_Odoo'!F2162="","",'Ordenes_Odoo'!F2162)</f>
        <v/>
      </c>
      <c r="G2162" s="79">
        <f>IF('Ordenes_Odoo'!G2162="","",'Ordenes_Odoo'!G2162)</f>
        <v/>
      </c>
      <c r="H2162" s="79">
        <f>IF('Ordenes_Odoo'!H2162="","",'Ordenes_Odoo'!H2162)</f>
        <v/>
      </c>
      <c r="I2162" s="79">
        <f>IF('Ordenes_Odoo'!I2162="","",'Ordenes_Odoo'!I2162)</f>
        <v/>
      </c>
      <c r="J2162" s="79">
        <f>IF('Ordenes_Odoo'!J2162="","",'Ordenes_Odoo'!J2162)</f>
        <v/>
      </c>
      <c r="K2162" s="81">
        <f>IF('Ordenes_Odoo'!K2162="","",'Ordenes_Odoo'!K2162)</f>
        <v/>
      </c>
      <c r="L2162" s="81">
        <f>IF('Ordenes_Odoo'!L2162="","",'Ordenes_Odoo'!L2162)</f>
        <v/>
      </c>
      <c r="M2162" s="79">
        <f>IF('Ordenes_Odoo'!M2162="","",'Ordenes_Odoo'!M2162)</f>
        <v/>
      </c>
      <c r="N2162" s="79">
        <f>IF('Ordenes_Odoo'!N2162="","",'Ordenes_Odoo'!N2162)</f>
        <v/>
      </c>
      <c r="O2162" s="81">
        <f>IF('Ordenes_Odoo'!O2162="","",'Ordenes_Odoo'!O2162)</f>
        <v/>
      </c>
      <c r="P2162" s="81">
        <f>IF('Ordenes_Odoo'!P2162="","",'Ordenes_Odoo'!P2162)</f>
        <v/>
      </c>
      <c r="Q2162" s="79">
        <f>IF(A2162="","",IFERROR(INDEX(Facturas_Odoo!$B:$B, MATCH(A2162, Facturas_Odoo!$D:$D, 0)), "Sin Factura"))</f>
        <v/>
      </c>
      <c r="R2162" s="80">
        <f>IF(Q2162="Sin Factura","",IFERROR(INDEX(Facturas_Odoo!$A:$A, MATCH(Q2162, Facturas_Odoo!$B:$B, 0)), ""))</f>
        <v/>
      </c>
      <c r="S2162" s="79">
        <f>IF(Q2162="Sin Factura","",IFERROR(_xlfn.XLOOKUP(1, (Facturas_Odoo!$D:$D=A2162) * (Facturas_Odoo!$K:$K=I2162), Facturas_Odoo!$L:$L, ""), ""))</f>
        <v/>
      </c>
      <c r="T2162" s="81">
        <f>IF(Q2162="Sin Factura",0,IFERROR(_xlfn.XLOOKUP(1, (Facturas_Odoo!$D:$D=A2162) * (Facturas_Odoo!$K:$K=I2162), Facturas_Odoo!$M:$M, 0), 0))</f>
        <v/>
      </c>
      <c r="U2162" s="79">
        <f>IF(Q2162="Sin Factura",0,IFERROR(_xlfn.XLOOKUP(1, (Facturas_Odoo!$D:$D=A2162) * (Facturas_Odoo!$K:$K=I2162), Facturas_Odoo!$N:$N, 0), 0))</f>
        <v/>
      </c>
      <c r="V2162" s="79">
        <f>IF(Q2162="Sin Factura",0,IFERROR(_xlfn.XLOOKUP(1, (Facturas_Odoo!$D:$D=A2162) * (Facturas_Odoo!$K:$K=I2162), Facturas_Odoo!$O:$O, 0), 0))</f>
        <v/>
      </c>
      <c r="W2162" s="81">
        <f>IF(Q2162="Sin Factura",0,IFERROR(_xlfn.XLOOKUP(1, (Facturas_Odoo!$D:$D=A2162) * (Facturas_Odoo!$K:$K=I2162), Facturas_Odoo!$Q:$Q, 0), 0))</f>
        <v/>
      </c>
      <c r="X2162" s="79">
        <f>IF(OR(Q2162="Sin Factura",Q2162=""),"",IFERROR(INDEX(Pagos_Odoo!$B:$B, MATCH(Q2162, Pagos_Odoo!$I:$I, 0)), "Sin Pago"))</f>
        <v/>
      </c>
      <c r="Y2162" s="79">
        <f>IF(X2162="Sin Pago","",IFERROR(INDEX(Pagos_Odoo!$C:$C, MATCH(X2162, Pagos_Odoo!$B:$B, 0)), ""))</f>
        <v/>
      </c>
      <c r="Z2162" s="80">
        <f>IF(X2162="Sin Pago","",IFERROR(INDEX(Pagos_Odoo!$A:$A, MATCH(X2162, Pagos_Odoo!$B:$B, 0)), ""))</f>
        <v/>
      </c>
      <c r="AA2162" s="79">
        <f>IF(X2162="Sin Pago","",IFERROR(INDEX(Pagos_Odoo!$F:$F, MATCH(X2162, Pagos_Odoo!$B:$B, 0)), ""))</f>
        <v/>
      </c>
      <c r="AB2162" s="81">
        <f>IF(X2162="Sin Pago",0,IFERROR(INDEX(Pagos_Odoo!$E:$E, MATCH(X2162, Pagos_Odoo!$B:$B, 0)), 0))</f>
        <v/>
      </c>
      <c r="AC2162" s="79">
        <f>IF(X2162="Sin Pago","",IFERROR(INDEX(Pagos_Odoo!$G:$G, MATCH(X2162, Pagos_Odoo!$B:$B, 0)), ""))</f>
        <v/>
      </c>
      <c r="AD2162" s="82" t="n">
        <v>0</v>
      </c>
      <c r="AE2162" s="82" t="n"/>
      <c r="AF2162" s="82" t="n"/>
      <c r="AG2162" s="82">
        <f>IF(AN2162="","",AD2162+AE2162+AF2162)</f>
        <v/>
      </c>
      <c r="AH2162" s="81">
        <f>IF(AN2162="","",P2162*(1-AG2162))</f>
        <v/>
      </c>
      <c r="AI2162" s="81">
        <f>IF(AN2162="","",IF(Q2162="Sin Factura",0,IFERROR(INDEX(Facturas_Odoo!$H:$H, MATCH(Q2162, Facturas_Odoo!$B:$B, 0)), 0)*(1-AG2162)))</f>
        <v/>
      </c>
      <c r="AJ2162" s="81">
        <f>IF(AN2162="","",_xlfn.LET(idVenta, AN2162&amp;"",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62" s="81">
        <f>IF(AN2162="","",AH2162-AJ2162)</f>
        <v/>
      </c>
      <c r="AL2162" s="81">
        <f>IF(AN2162="","",IF(Q2162="Sin Factura","",AI2162-AJ2162))</f>
        <v/>
      </c>
      <c r="AM2162" s="81">
        <f>IF(AN2162="","",IF(Q2162="Sin Factura",0,P2162-IFERROR(INDEX(Facturas_Odoo!$H:$H, MATCH(Q2162, Facturas_Odoo!$B:$B, 0)), 0)))</f>
        <v/>
      </c>
      <c r="AN2162" s="79">
        <f>IF(AND(A2162="", J2162=""), "", IF(A2162&lt;&gt;"", VALUE(MID(A2162,2,LEN(A2162))), AN2161))</f>
        <v/>
      </c>
      <c r="AO2162" s="79">
        <f>IF(AN2162="","",IF(AD2162=0,"OK",_xlfn.LET(monedaPago, IF(AA2162="","USD",AA2162), limitePermitido, IFERROR(VLOOKUP(monedaPago, Configuración!$A$2:$B$3, 2, FALSE), 0.15), IF(AD2162&gt;limitePermitido, "ALERTA: EXCESO (" &amp; TEXT(limitePermitido, "0%") &amp; " máx)", "OK"))))</f>
        <v/>
      </c>
      <c r="AP2162" s="79">
        <f>IF(AN2162="","",IF(AE2162=0,"OK",_xlfn.LET(fechaPago, Z2162, fechaFactura, R2162, diasCredito, IF(E2162="Pago inmediato", 0, IFERROR(VALUE(MID(E2162, 1, SEARCH(" ", E2162)-1)),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62" s="79">
        <f>IF(AN2162="","",IF(AND(N2162&gt;0, AG2162&gt;0), IF(Configuración!$K$2="NO", "ALERTA: DESCUENTO DOBLE NO PERMITIDO", "OK"), "OK"))</f>
        <v/>
      </c>
      <c r="AR2162" s="79">
        <f>IF(AN2162="","",IF(OR(AO2162&lt;&gt;"OK", AP2162&lt;&gt;"OK", AQ2162&lt;&gt;"OK"), "⚠️ REVISAR", "OK"))</f>
        <v/>
      </c>
    </row>
    <row r="2163">
      <c r="A2163" s="79">
        <f>IF('Ordenes_Odoo'!A2163="","",'Ordenes_Odoo'!A2163)</f>
        <v/>
      </c>
      <c r="B2163" s="80">
        <f>IF('Ordenes_Odoo'!B2163="","",'Ordenes_Odoo'!B2163)</f>
        <v/>
      </c>
      <c r="C2163" s="79">
        <f>IF('Ordenes_Odoo'!C2163="","",'Ordenes_Odoo'!C2163)</f>
        <v/>
      </c>
      <c r="D2163" s="79">
        <f>IF('Ordenes_Odoo'!D2163="","",'Ordenes_Odoo'!D2163)</f>
        <v/>
      </c>
      <c r="E2163" s="79">
        <f>IF('Ordenes_Odoo'!E2163="","",'Ordenes_Odoo'!E2163)</f>
        <v/>
      </c>
      <c r="F2163" s="79">
        <f>IF('Ordenes_Odoo'!F2163="","",'Ordenes_Odoo'!F2163)</f>
        <v/>
      </c>
      <c r="G2163" s="79">
        <f>IF('Ordenes_Odoo'!G2163="","",'Ordenes_Odoo'!G2163)</f>
        <v/>
      </c>
      <c r="H2163" s="79">
        <f>IF('Ordenes_Odoo'!H2163="","",'Ordenes_Odoo'!H2163)</f>
        <v/>
      </c>
      <c r="I2163" s="79">
        <f>IF('Ordenes_Odoo'!I2163="","",'Ordenes_Odoo'!I2163)</f>
        <v/>
      </c>
      <c r="J2163" s="79">
        <f>IF('Ordenes_Odoo'!J2163="","",'Ordenes_Odoo'!J2163)</f>
        <v/>
      </c>
      <c r="K2163" s="81">
        <f>IF('Ordenes_Odoo'!K2163="","",'Ordenes_Odoo'!K2163)</f>
        <v/>
      </c>
      <c r="L2163" s="81">
        <f>IF('Ordenes_Odoo'!L2163="","",'Ordenes_Odoo'!L2163)</f>
        <v/>
      </c>
      <c r="M2163" s="79">
        <f>IF('Ordenes_Odoo'!M2163="","",'Ordenes_Odoo'!M2163)</f>
        <v/>
      </c>
      <c r="N2163" s="79">
        <f>IF('Ordenes_Odoo'!N2163="","",'Ordenes_Odoo'!N2163)</f>
        <v/>
      </c>
      <c r="O2163" s="81">
        <f>IF('Ordenes_Odoo'!O2163="","",'Ordenes_Odoo'!O2163)</f>
        <v/>
      </c>
      <c r="P2163" s="81">
        <f>IF('Ordenes_Odoo'!P2163="","",'Ordenes_Odoo'!P2163)</f>
        <v/>
      </c>
      <c r="Q2163" s="79">
        <f>IF(A2163="","",IFERROR(INDEX(Facturas_Odoo!$B:$B, MATCH(A2163, Facturas_Odoo!$D:$D, 0)), "Sin Factura"))</f>
        <v/>
      </c>
      <c r="R2163" s="80">
        <f>IF(Q2163="Sin Factura","",IFERROR(INDEX(Facturas_Odoo!$A:$A, MATCH(Q2163, Facturas_Odoo!$B:$B, 0)), ""))</f>
        <v/>
      </c>
      <c r="S2163" s="79">
        <f>IF(Q2163="Sin Factura","",IFERROR(_xlfn.XLOOKUP(1, (Facturas_Odoo!$D:$D=A2163) * (Facturas_Odoo!$K:$K=I2163), Facturas_Odoo!$L:$L, ""), ""))</f>
        <v/>
      </c>
      <c r="T2163" s="81">
        <f>IF(Q2163="Sin Factura",0,IFERROR(_xlfn.XLOOKUP(1, (Facturas_Odoo!$D:$D=A2163) * (Facturas_Odoo!$K:$K=I2163), Facturas_Odoo!$M:$M, 0), 0))</f>
        <v/>
      </c>
      <c r="U2163" s="79">
        <f>IF(Q2163="Sin Factura",0,IFERROR(_xlfn.XLOOKUP(1, (Facturas_Odoo!$D:$D=A2163) * (Facturas_Odoo!$K:$K=I2163), Facturas_Odoo!$N:$N, 0), 0))</f>
        <v/>
      </c>
      <c r="V2163" s="79">
        <f>IF(Q2163="Sin Factura",0,IFERROR(_xlfn.XLOOKUP(1, (Facturas_Odoo!$D:$D=A2163) * (Facturas_Odoo!$K:$K=I2163), Facturas_Odoo!$O:$O, 0), 0))</f>
        <v/>
      </c>
      <c r="W2163" s="81">
        <f>IF(Q2163="Sin Factura",0,IFERROR(_xlfn.XLOOKUP(1, (Facturas_Odoo!$D:$D=A2163) * (Facturas_Odoo!$K:$K=I2163), Facturas_Odoo!$Q:$Q, 0), 0))</f>
        <v/>
      </c>
      <c r="X2163" s="79">
        <f>IF(OR(Q2163="Sin Factura",Q2163=""),"",IFERROR(INDEX(Pagos_Odoo!$B:$B, MATCH(Q2163, Pagos_Odoo!$I:$I, 0)), "Sin Pago"))</f>
        <v/>
      </c>
      <c r="Y2163" s="79">
        <f>IF(X2163="Sin Pago","",IFERROR(INDEX(Pagos_Odoo!$C:$C, MATCH(X2163, Pagos_Odoo!$B:$B, 0)), ""))</f>
        <v/>
      </c>
      <c r="Z2163" s="80">
        <f>IF(X2163="Sin Pago","",IFERROR(INDEX(Pagos_Odoo!$A:$A, MATCH(X2163, Pagos_Odoo!$B:$B, 0)), ""))</f>
        <v/>
      </c>
      <c r="AA2163" s="79">
        <f>IF(X2163="Sin Pago","",IFERROR(INDEX(Pagos_Odoo!$F:$F, MATCH(X2163, Pagos_Odoo!$B:$B, 0)), ""))</f>
        <v/>
      </c>
      <c r="AB2163" s="81">
        <f>IF(X2163="Sin Pago",0,IFERROR(INDEX(Pagos_Odoo!$E:$E, MATCH(X2163, Pagos_Odoo!$B:$B, 0)), 0))</f>
        <v/>
      </c>
      <c r="AC2163" s="79">
        <f>IF(X2163="Sin Pago","",IFERROR(INDEX(Pagos_Odoo!$G:$G, MATCH(X2163, Pagos_Odoo!$B:$B, 0)), ""))</f>
        <v/>
      </c>
      <c r="AD2163" s="82" t="n">
        <v>0</v>
      </c>
      <c r="AE2163" s="82" t="n"/>
      <c r="AF2163" s="82" t="n"/>
      <c r="AG2163" s="82">
        <f>IF(AN2163="","",AD2163+AE2163+AF2163)</f>
        <v/>
      </c>
      <c r="AH2163" s="81">
        <f>IF(AN2163="","",P2163*(1-AG2163))</f>
        <v/>
      </c>
      <c r="AI2163" s="81">
        <f>IF(AN2163="","",IF(Q2163="Sin Factura",0,IFERROR(INDEX(Facturas_Odoo!$H:$H, MATCH(Q2163, Facturas_Odoo!$B:$B, 0)), 0)*(1-AG2163)))</f>
        <v/>
      </c>
      <c r="AJ2163" s="81">
        <f>IF(AN2163="","",_xlfn.LET(idVenta, AN2163&amp;"",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63" s="81">
        <f>IF(AN2163="","",AH2163-AJ2163)</f>
        <v/>
      </c>
      <c r="AL2163" s="81">
        <f>IF(AN2163="","",IF(Q2163="Sin Factura","",AI2163-AJ2163))</f>
        <v/>
      </c>
      <c r="AM2163" s="81">
        <f>IF(AN2163="","",IF(Q2163="Sin Factura",0,P2163-IFERROR(INDEX(Facturas_Odoo!$H:$H, MATCH(Q2163, Facturas_Odoo!$B:$B, 0)), 0)))</f>
        <v/>
      </c>
      <c r="AN2163" s="79">
        <f>IF(AND(A2163="", J2163=""), "", IF(A2163&lt;&gt;"", VALUE(MID(A2163,2,LEN(A2163))), AN2162))</f>
        <v/>
      </c>
      <c r="AO2163" s="79">
        <f>IF(AN2163="","",IF(AD2163=0,"OK",_xlfn.LET(monedaPago, IF(AA2163="","USD",AA2163), limitePermitido, IFERROR(VLOOKUP(monedaPago, Configuración!$A$2:$B$3, 2, FALSE), 0.15), IF(AD2163&gt;limitePermitido, "ALERTA: EXCESO (" &amp; TEXT(limitePermitido, "0%") &amp; " máx)", "OK"))))</f>
        <v/>
      </c>
      <c r="AP2163" s="79">
        <f>IF(AN2163="","",IF(AE2163=0,"OK",_xlfn.LET(fechaPago, Z2163, fechaFactura, R2163, diasCredito, IF(E2163="Pago inmediato", 0, IFERROR(VALUE(MID(E2163, 1, SEARCH(" ", E2163)-1)),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63" s="79">
        <f>IF(AN2163="","",IF(AND(N2163&gt;0, AG2163&gt;0), IF(Configuración!$K$2="NO", "ALERTA: DESCUENTO DOBLE NO PERMITIDO", "OK"), "OK"))</f>
        <v/>
      </c>
      <c r="AR2163" s="79">
        <f>IF(AN2163="","",IF(OR(AO2163&lt;&gt;"OK", AP2163&lt;&gt;"OK", AQ2163&lt;&gt;"OK"), "⚠️ REVISAR", "OK"))</f>
        <v/>
      </c>
    </row>
    <row r="2164">
      <c r="A2164" s="79">
        <f>IF('Ordenes_Odoo'!A2164="","",'Ordenes_Odoo'!A2164)</f>
        <v/>
      </c>
      <c r="B2164" s="80">
        <f>IF('Ordenes_Odoo'!B2164="","",'Ordenes_Odoo'!B2164)</f>
        <v/>
      </c>
      <c r="C2164" s="79">
        <f>IF('Ordenes_Odoo'!C2164="","",'Ordenes_Odoo'!C2164)</f>
        <v/>
      </c>
      <c r="D2164" s="79">
        <f>IF('Ordenes_Odoo'!D2164="","",'Ordenes_Odoo'!D2164)</f>
        <v/>
      </c>
      <c r="E2164" s="79">
        <f>IF('Ordenes_Odoo'!E2164="","",'Ordenes_Odoo'!E2164)</f>
        <v/>
      </c>
      <c r="F2164" s="79">
        <f>IF('Ordenes_Odoo'!F2164="","",'Ordenes_Odoo'!F2164)</f>
        <v/>
      </c>
      <c r="G2164" s="79">
        <f>IF('Ordenes_Odoo'!G2164="","",'Ordenes_Odoo'!G2164)</f>
        <v/>
      </c>
      <c r="H2164" s="79">
        <f>IF('Ordenes_Odoo'!H2164="","",'Ordenes_Odoo'!H2164)</f>
        <v/>
      </c>
      <c r="I2164" s="79">
        <f>IF('Ordenes_Odoo'!I2164="","",'Ordenes_Odoo'!I2164)</f>
        <v/>
      </c>
      <c r="J2164" s="79">
        <f>IF('Ordenes_Odoo'!J2164="","",'Ordenes_Odoo'!J2164)</f>
        <v/>
      </c>
      <c r="K2164" s="81">
        <f>IF('Ordenes_Odoo'!K2164="","",'Ordenes_Odoo'!K2164)</f>
        <v/>
      </c>
      <c r="L2164" s="81">
        <f>IF('Ordenes_Odoo'!L2164="","",'Ordenes_Odoo'!L2164)</f>
        <v/>
      </c>
      <c r="M2164" s="79">
        <f>IF('Ordenes_Odoo'!M2164="","",'Ordenes_Odoo'!M2164)</f>
        <v/>
      </c>
      <c r="N2164" s="79">
        <f>IF('Ordenes_Odoo'!N2164="","",'Ordenes_Odoo'!N2164)</f>
        <v/>
      </c>
      <c r="O2164" s="81">
        <f>IF('Ordenes_Odoo'!O2164="","",'Ordenes_Odoo'!O2164)</f>
        <v/>
      </c>
      <c r="P2164" s="81">
        <f>IF('Ordenes_Odoo'!P2164="","",'Ordenes_Odoo'!P2164)</f>
        <v/>
      </c>
      <c r="Q2164" s="79">
        <f>IF(A2164="","",IFERROR(INDEX(Facturas_Odoo!$B:$B, MATCH(A2164, Facturas_Odoo!$D:$D, 0)), "Sin Factura"))</f>
        <v/>
      </c>
      <c r="R2164" s="80">
        <f>IF(Q2164="Sin Factura","",IFERROR(INDEX(Facturas_Odoo!$A:$A, MATCH(Q2164, Facturas_Odoo!$B:$B, 0)), ""))</f>
        <v/>
      </c>
      <c r="S2164" s="79">
        <f>IF(Q2164="Sin Factura","",IFERROR(_xlfn.XLOOKUP(1, (Facturas_Odoo!$D:$D=A2164) * (Facturas_Odoo!$K:$K=I2164), Facturas_Odoo!$L:$L, ""), ""))</f>
        <v/>
      </c>
      <c r="T2164" s="81">
        <f>IF(Q2164="Sin Factura",0,IFERROR(_xlfn.XLOOKUP(1, (Facturas_Odoo!$D:$D=A2164) * (Facturas_Odoo!$K:$K=I2164), Facturas_Odoo!$M:$M, 0), 0))</f>
        <v/>
      </c>
      <c r="U2164" s="79">
        <f>IF(Q2164="Sin Factura",0,IFERROR(_xlfn.XLOOKUP(1, (Facturas_Odoo!$D:$D=A2164) * (Facturas_Odoo!$K:$K=I2164), Facturas_Odoo!$N:$N, 0), 0))</f>
        <v/>
      </c>
      <c r="V2164" s="79">
        <f>IF(Q2164="Sin Factura",0,IFERROR(_xlfn.XLOOKUP(1, (Facturas_Odoo!$D:$D=A2164) * (Facturas_Odoo!$K:$K=I2164), Facturas_Odoo!$O:$O, 0), 0))</f>
        <v/>
      </c>
      <c r="W2164" s="81">
        <f>IF(Q2164="Sin Factura",0,IFERROR(_xlfn.XLOOKUP(1, (Facturas_Odoo!$D:$D=A2164) * (Facturas_Odoo!$K:$K=I2164), Facturas_Odoo!$Q:$Q, 0), 0))</f>
        <v/>
      </c>
      <c r="X2164" s="79">
        <f>IF(OR(Q2164="Sin Factura",Q2164=""),"",IFERROR(INDEX(Pagos_Odoo!$B:$B, MATCH(Q2164, Pagos_Odoo!$I:$I, 0)), "Sin Pago"))</f>
        <v/>
      </c>
      <c r="Y2164" s="79">
        <f>IF(X2164="Sin Pago","",IFERROR(INDEX(Pagos_Odoo!$C:$C, MATCH(X2164, Pagos_Odoo!$B:$B, 0)), ""))</f>
        <v/>
      </c>
      <c r="Z2164" s="80">
        <f>IF(X2164="Sin Pago","",IFERROR(INDEX(Pagos_Odoo!$A:$A, MATCH(X2164, Pagos_Odoo!$B:$B, 0)), ""))</f>
        <v/>
      </c>
      <c r="AA2164" s="79">
        <f>IF(X2164="Sin Pago","",IFERROR(INDEX(Pagos_Odoo!$F:$F, MATCH(X2164, Pagos_Odoo!$B:$B, 0)), ""))</f>
        <v/>
      </c>
      <c r="AB2164" s="81">
        <f>IF(X2164="Sin Pago",0,IFERROR(INDEX(Pagos_Odoo!$E:$E, MATCH(X2164, Pagos_Odoo!$B:$B, 0)), 0))</f>
        <v/>
      </c>
      <c r="AC2164" s="79">
        <f>IF(X2164="Sin Pago","",IFERROR(INDEX(Pagos_Odoo!$G:$G, MATCH(X2164, Pagos_Odoo!$B:$B, 0)), ""))</f>
        <v/>
      </c>
      <c r="AD2164" s="82" t="n">
        <v>0</v>
      </c>
      <c r="AE2164" s="82" t="n"/>
      <c r="AF2164" s="82" t="n"/>
      <c r="AG2164" s="82">
        <f>IF(AN2164="","",AD2164+AE2164+AF2164)</f>
        <v/>
      </c>
      <c r="AH2164" s="81">
        <f>IF(AN2164="","",P2164*(1-AG2164))</f>
        <v/>
      </c>
      <c r="AI2164" s="81">
        <f>IF(AN2164="","",IF(Q2164="Sin Factura",0,IFERROR(INDEX(Facturas_Odoo!$H:$H, MATCH(Q2164, Facturas_Odoo!$B:$B, 0)), 0)*(1-AG2164)))</f>
        <v/>
      </c>
      <c r="AJ2164" s="81">
        <f>IF(AN2164="","",_xlfn.LET(idVenta, AN2164&amp;"",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64" s="81">
        <f>IF(AN2164="","",AH2164-AJ2164)</f>
        <v/>
      </c>
      <c r="AL2164" s="81">
        <f>IF(AN2164="","",IF(Q2164="Sin Factura","",AI2164-AJ2164))</f>
        <v/>
      </c>
      <c r="AM2164" s="81">
        <f>IF(AN2164="","",IF(Q2164="Sin Factura",0,P2164-IFERROR(INDEX(Facturas_Odoo!$H:$H, MATCH(Q2164, Facturas_Odoo!$B:$B, 0)), 0)))</f>
        <v/>
      </c>
      <c r="AN2164" s="79">
        <f>IF(AND(A2164="", J2164=""), "", IF(A2164&lt;&gt;"", VALUE(MID(A2164,2,LEN(A2164))), AN2163))</f>
        <v/>
      </c>
      <c r="AO2164" s="79">
        <f>IF(AN2164="","",IF(AD2164=0,"OK",_xlfn.LET(monedaPago, IF(AA2164="","USD",AA2164), limitePermitido, IFERROR(VLOOKUP(monedaPago, Configuración!$A$2:$B$3, 2, FALSE), 0.15), IF(AD2164&gt;limitePermitido, "ALERTA: EXCESO (" &amp; TEXT(limitePermitido, "0%") &amp; " máx)", "OK"))))</f>
        <v/>
      </c>
      <c r="AP2164" s="79">
        <f>IF(AN2164="","",IF(AE2164=0,"OK",_xlfn.LET(fechaPago, Z2164, fechaFactura, R2164, diasCredito, IF(E2164="Pago inmediato", 0, IFERROR(VALUE(MID(E2164, 1, SEARCH(" ", E2164)-1)),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64" s="79">
        <f>IF(AN2164="","",IF(AND(N2164&gt;0, AG2164&gt;0), IF(Configuración!$K$2="NO", "ALERTA: DESCUENTO DOBLE NO PERMITIDO", "OK"), "OK"))</f>
        <v/>
      </c>
      <c r="AR2164" s="79">
        <f>IF(AN2164="","",IF(OR(AO2164&lt;&gt;"OK", AP2164&lt;&gt;"OK", AQ2164&lt;&gt;"OK"), "⚠️ REVISAR", "OK"))</f>
        <v/>
      </c>
    </row>
    <row r="2165">
      <c r="A2165" s="79">
        <f>IF('Ordenes_Odoo'!A2165="","",'Ordenes_Odoo'!A2165)</f>
        <v/>
      </c>
      <c r="B2165" s="80">
        <f>IF('Ordenes_Odoo'!B2165="","",'Ordenes_Odoo'!B2165)</f>
        <v/>
      </c>
      <c r="C2165" s="79">
        <f>IF('Ordenes_Odoo'!C2165="","",'Ordenes_Odoo'!C2165)</f>
        <v/>
      </c>
      <c r="D2165" s="79">
        <f>IF('Ordenes_Odoo'!D2165="","",'Ordenes_Odoo'!D2165)</f>
        <v/>
      </c>
      <c r="E2165" s="79">
        <f>IF('Ordenes_Odoo'!E2165="","",'Ordenes_Odoo'!E2165)</f>
        <v/>
      </c>
      <c r="F2165" s="79">
        <f>IF('Ordenes_Odoo'!F2165="","",'Ordenes_Odoo'!F2165)</f>
        <v/>
      </c>
      <c r="G2165" s="79">
        <f>IF('Ordenes_Odoo'!G2165="","",'Ordenes_Odoo'!G2165)</f>
        <v/>
      </c>
      <c r="H2165" s="79">
        <f>IF('Ordenes_Odoo'!H2165="","",'Ordenes_Odoo'!H2165)</f>
        <v/>
      </c>
      <c r="I2165" s="79">
        <f>IF('Ordenes_Odoo'!I2165="","",'Ordenes_Odoo'!I2165)</f>
        <v/>
      </c>
      <c r="J2165" s="79">
        <f>IF('Ordenes_Odoo'!J2165="","",'Ordenes_Odoo'!J2165)</f>
        <v/>
      </c>
      <c r="K2165" s="81">
        <f>IF('Ordenes_Odoo'!K2165="","",'Ordenes_Odoo'!K2165)</f>
        <v/>
      </c>
      <c r="L2165" s="81">
        <f>IF('Ordenes_Odoo'!L2165="","",'Ordenes_Odoo'!L2165)</f>
        <v/>
      </c>
      <c r="M2165" s="79">
        <f>IF('Ordenes_Odoo'!M2165="","",'Ordenes_Odoo'!M2165)</f>
        <v/>
      </c>
      <c r="N2165" s="79">
        <f>IF('Ordenes_Odoo'!N2165="","",'Ordenes_Odoo'!N2165)</f>
        <v/>
      </c>
      <c r="O2165" s="81">
        <f>IF('Ordenes_Odoo'!O2165="","",'Ordenes_Odoo'!O2165)</f>
        <v/>
      </c>
      <c r="P2165" s="81">
        <f>IF('Ordenes_Odoo'!P2165="","",'Ordenes_Odoo'!P2165)</f>
        <v/>
      </c>
      <c r="Q2165" s="79">
        <f>IF(A2165="","",IFERROR(INDEX(Facturas_Odoo!$B:$B, MATCH(A2165, Facturas_Odoo!$D:$D, 0)), "Sin Factura"))</f>
        <v/>
      </c>
      <c r="R2165" s="80">
        <f>IF(Q2165="Sin Factura","",IFERROR(INDEX(Facturas_Odoo!$A:$A, MATCH(Q2165, Facturas_Odoo!$B:$B, 0)), ""))</f>
        <v/>
      </c>
      <c r="S2165" s="79">
        <f>IF(Q2165="Sin Factura","",IFERROR(_xlfn.XLOOKUP(1, (Facturas_Odoo!$D:$D=A2165) * (Facturas_Odoo!$K:$K=I2165), Facturas_Odoo!$L:$L, ""), ""))</f>
        <v/>
      </c>
      <c r="T2165" s="81">
        <f>IF(Q2165="Sin Factura",0,IFERROR(_xlfn.XLOOKUP(1, (Facturas_Odoo!$D:$D=A2165) * (Facturas_Odoo!$K:$K=I2165), Facturas_Odoo!$M:$M, 0), 0))</f>
        <v/>
      </c>
      <c r="U2165" s="79">
        <f>IF(Q2165="Sin Factura",0,IFERROR(_xlfn.XLOOKUP(1, (Facturas_Odoo!$D:$D=A2165) * (Facturas_Odoo!$K:$K=I2165), Facturas_Odoo!$N:$N, 0), 0))</f>
        <v/>
      </c>
      <c r="V2165" s="79">
        <f>IF(Q2165="Sin Factura",0,IFERROR(_xlfn.XLOOKUP(1, (Facturas_Odoo!$D:$D=A2165) * (Facturas_Odoo!$K:$K=I2165), Facturas_Odoo!$O:$O, 0), 0))</f>
        <v/>
      </c>
      <c r="W2165" s="81">
        <f>IF(Q2165="Sin Factura",0,IFERROR(_xlfn.XLOOKUP(1, (Facturas_Odoo!$D:$D=A2165) * (Facturas_Odoo!$K:$K=I2165), Facturas_Odoo!$Q:$Q, 0), 0))</f>
        <v/>
      </c>
      <c r="X2165" s="79">
        <f>IF(OR(Q2165="Sin Factura",Q2165=""),"",IFERROR(INDEX(Pagos_Odoo!$B:$B, MATCH(Q2165, Pagos_Odoo!$I:$I, 0)), "Sin Pago"))</f>
        <v/>
      </c>
      <c r="Y2165" s="79">
        <f>IF(X2165="Sin Pago","",IFERROR(INDEX(Pagos_Odoo!$C:$C, MATCH(X2165, Pagos_Odoo!$B:$B, 0)), ""))</f>
        <v/>
      </c>
      <c r="Z2165" s="80">
        <f>IF(X2165="Sin Pago","",IFERROR(INDEX(Pagos_Odoo!$A:$A, MATCH(X2165, Pagos_Odoo!$B:$B, 0)), ""))</f>
        <v/>
      </c>
      <c r="AA2165" s="79">
        <f>IF(X2165="Sin Pago","",IFERROR(INDEX(Pagos_Odoo!$F:$F, MATCH(X2165, Pagos_Odoo!$B:$B, 0)), ""))</f>
        <v/>
      </c>
      <c r="AB2165" s="81">
        <f>IF(X2165="Sin Pago",0,IFERROR(INDEX(Pagos_Odoo!$E:$E, MATCH(X2165, Pagos_Odoo!$B:$B, 0)), 0))</f>
        <v/>
      </c>
      <c r="AC2165" s="79">
        <f>IF(X2165="Sin Pago","",IFERROR(INDEX(Pagos_Odoo!$G:$G, MATCH(X2165, Pagos_Odoo!$B:$B, 0)), ""))</f>
        <v/>
      </c>
      <c r="AD2165" s="82" t="n">
        <v>0</v>
      </c>
      <c r="AE2165" s="82" t="n"/>
      <c r="AF2165" s="82" t="n"/>
      <c r="AG2165" s="82">
        <f>IF(AN2165="","",AD2165+AE2165+AF2165)</f>
        <v/>
      </c>
      <c r="AH2165" s="81">
        <f>IF(AN2165="","",P2165*(1-AG2165))</f>
        <v/>
      </c>
      <c r="AI2165" s="81">
        <f>IF(AN2165="","",IF(Q2165="Sin Factura",0,IFERROR(INDEX(Facturas_Odoo!$H:$H, MATCH(Q2165, Facturas_Odoo!$B:$B, 0)), 0)*(1-AG2165)))</f>
        <v/>
      </c>
      <c r="AJ2165" s="81">
        <f>IF(AN2165="","",_xlfn.LET(idVenta, AN2165&amp;"",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65" s="81">
        <f>IF(AN2165="","",AH2165-AJ2165)</f>
        <v/>
      </c>
      <c r="AL2165" s="81">
        <f>IF(AN2165="","",IF(Q2165="Sin Factura","",AI2165-AJ2165))</f>
        <v/>
      </c>
      <c r="AM2165" s="81">
        <f>IF(AN2165="","",IF(Q2165="Sin Factura",0,P2165-IFERROR(INDEX(Facturas_Odoo!$H:$H, MATCH(Q2165, Facturas_Odoo!$B:$B, 0)), 0)))</f>
        <v/>
      </c>
      <c r="AN2165" s="79">
        <f>IF(AND(A2165="", J2165=""), "", IF(A2165&lt;&gt;"", VALUE(MID(A2165,2,LEN(A2165))), AN2164))</f>
        <v/>
      </c>
      <c r="AO2165" s="79">
        <f>IF(AN2165="","",IF(AD2165=0,"OK",_xlfn.LET(monedaPago, IF(AA2165="","USD",AA2165), limitePermitido, IFERROR(VLOOKUP(monedaPago, Configuración!$A$2:$B$3, 2, FALSE), 0.15), IF(AD2165&gt;limitePermitido, "ALERTA: EXCESO (" &amp; TEXT(limitePermitido, "0%") &amp; " máx)", "OK"))))</f>
        <v/>
      </c>
      <c r="AP2165" s="79">
        <f>IF(AN2165="","",IF(AE2165=0,"OK",_xlfn.LET(fechaPago, Z2165, fechaFactura, R2165, diasCredito, IF(E2165="Pago inmediato", 0, IFERROR(VALUE(MID(E2165, 1, SEARCH(" ", E2165)-1)),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65" s="79">
        <f>IF(AN2165="","",IF(AND(N2165&gt;0, AG2165&gt;0), IF(Configuración!$K$2="NO", "ALERTA: DESCUENTO DOBLE NO PERMITIDO", "OK"), "OK"))</f>
        <v/>
      </c>
      <c r="AR2165" s="79">
        <f>IF(AN2165="","",IF(OR(AO2165&lt;&gt;"OK", AP2165&lt;&gt;"OK", AQ2165&lt;&gt;"OK"), "⚠️ REVISAR", "OK"))</f>
        <v/>
      </c>
    </row>
    <row r="2166">
      <c r="A2166" s="79">
        <f>IF('Ordenes_Odoo'!A2166="","",'Ordenes_Odoo'!A2166)</f>
        <v/>
      </c>
      <c r="B2166" s="80">
        <f>IF('Ordenes_Odoo'!B2166="","",'Ordenes_Odoo'!B2166)</f>
        <v/>
      </c>
      <c r="C2166" s="79">
        <f>IF('Ordenes_Odoo'!C2166="","",'Ordenes_Odoo'!C2166)</f>
        <v/>
      </c>
      <c r="D2166" s="79">
        <f>IF('Ordenes_Odoo'!D2166="","",'Ordenes_Odoo'!D2166)</f>
        <v/>
      </c>
      <c r="E2166" s="79">
        <f>IF('Ordenes_Odoo'!E2166="","",'Ordenes_Odoo'!E2166)</f>
        <v/>
      </c>
      <c r="F2166" s="79">
        <f>IF('Ordenes_Odoo'!F2166="","",'Ordenes_Odoo'!F2166)</f>
        <v/>
      </c>
      <c r="G2166" s="79">
        <f>IF('Ordenes_Odoo'!G2166="","",'Ordenes_Odoo'!G2166)</f>
        <v/>
      </c>
      <c r="H2166" s="79">
        <f>IF('Ordenes_Odoo'!H2166="","",'Ordenes_Odoo'!H2166)</f>
        <v/>
      </c>
      <c r="I2166" s="79">
        <f>IF('Ordenes_Odoo'!I2166="","",'Ordenes_Odoo'!I2166)</f>
        <v/>
      </c>
      <c r="J2166" s="79">
        <f>IF('Ordenes_Odoo'!J2166="","",'Ordenes_Odoo'!J2166)</f>
        <v/>
      </c>
      <c r="K2166" s="81">
        <f>IF('Ordenes_Odoo'!K2166="","",'Ordenes_Odoo'!K2166)</f>
        <v/>
      </c>
      <c r="L2166" s="81">
        <f>IF('Ordenes_Odoo'!L2166="","",'Ordenes_Odoo'!L2166)</f>
        <v/>
      </c>
      <c r="M2166" s="79">
        <f>IF('Ordenes_Odoo'!M2166="","",'Ordenes_Odoo'!M2166)</f>
        <v/>
      </c>
      <c r="N2166" s="79">
        <f>IF('Ordenes_Odoo'!N2166="","",'Ordenes_Odoo'!N2166)</f>
        <v/>
      </c>
      <c r="O2166" s="81">
        <f>IF('Ordenes_Odoo'!O2166="","",'Ordenes_Odoo'!O2166)</f>
        <v/>
      </c>
      <c r="P2166" s="81">
        <f>IF('Ordenes_Odoo'!P2166="","",'Ordenes_Odoo'!P2166)</f>
        <v/>
      </c>
      <c r="Q2166" s="79">
        <f>IF(A2166="","",IFERROR(INDEX(Facturas_Odoo!$B:$B, MATCH(A2166, Facturas_Odoo!$D:$D, 0)), "Sin Factura"))</f>
        <v/>
      </c>
      <c r="R2166" s="80">
        <f>IF(Q2166="Sin Factura","",IFERROR(INDEX(Facturas_Odoo!$A:$A, MATCH(Q2166, Facturas_Odoo!$B:$B, 0)), ""))</f>
        <v/>
      </c>
      <c r="S2166" s="79">
        <f>IF(Q2166="Sin Factura","",IFERROR(_xlfn.XLOOKUP(1, (Facturas_Odoo!$D:$D=A2166) * (Facturas_Odoo!$K:$K=I2166), Facturas_Odoo!$L:$L, ""), ""))</f>
        <v/>
      </c>
      <c r="T2166" s="81">
        <f>IF(Q2166="Sin Factura",0,IFERROR(_xlfn.XLOOKUP(1, (Facturas_Odoo!$D:$D=A2166) * (Facturas_Odoo!$K:$K=I2166), Facturas_Odoo!$M:$M, 0), 0))</f>
        <v/>
      </c>
      <c r="U2166" s="79">
        <f>IF(Q2166="Sin Factura",0,IFERROR(_xlfn.XLOOKUP(1, (Facturas_Odoo!$D:$D=A2166) * (Facturas_Odoo!$K:$K=I2166), Facturas_Odoo!$N:$N, 0), 0))</f>
        <v/>
      </c>
      <c r="V2166" s="79">
        <f>IF(Q2166="Sin Factura",0,IFERROR(_xlfn.XLOOKUP(1, (Facturas_Odoo!$D:$D=A2166) * (Facturas_Odoo!$K:$K=I2166), Facturas_Odoo!$O:$O, 0), 0))</f>
        <v/>
      </c>
      <c r="W2166" s="81">
        <f>IF(Q2166="Sin Factura",0,IFERROR(_xlfn.XLOOKUP(1, (Facturas_Odoo!$D:$D=A2166) * (Facturas_Odoo!$K:$K=I2166), Facturas_Odoo!$Q:$Q, 0), 0))</f>
        <v/>
      </c>
      <c r="X2166" s="79">
        <f>IF(OR(Q2166="Sin Factura",Q2166=""),"",IFERROR(INDEX(Pagos_Odoo!$B:$B, MATCH(Q2166, Pagos_Odoo!$I:$I, 0)), "Sin Pago"))</f>
        <v/>
      </c>
      <c r="Y2166" s="79">
        <f>IF(X2166="Sin Pago","",IFERROR(INDEX(Pagos_Odoo!$C:$C, MATCH(X2166, Pagos_Odoo!$B:$B, 0)), ""))</f>
        <v/>
      </c>
      <c r="Z2166" s="80">
        <f>IF(X2166="Sin Pago","",IFERROR(INDEX(Pagos_Odoo!$A:$A, MATCH(X2166, Pagos_Odoo!$B:$B, 0)), ""))</f>
        <v/>
      </c>
      <c r="AA2166" s="79">
        <f>IF(X2166="Sin Pago","",IFERROR(INDEX(Pagos_Odoo!$F:$F, MATCH(X2166, Pagos_Odoo!$B:$B, 0)), ""))</f>
        <v/>
      </c>
      <c r="AB2166" s="81">
        <f>IF(X2166="Sin Pago",0,IFERROR(INDEX(Pagos_Odoo!$E:$E, MATCH(X2166, Pagos_Odoo!$B:$B, 0)), 0))</f>
        <v/>
      </c>
      <c r="AC2166" s="79">
        <f>IF(X2166="Sin Pago","",IFERROR(INDEX(Pagos_Odoo!$G:$G, MATCH(X2166, Pagos_Odoo!$B:$B, 0)), ""))</f>
        <v/>
      </c>
      <c r="AD2166" s="82" t="n">
        <v>0</v>
      </c>
      <c r="AE2166" s="82" t="n"/>
      <c r="AF2166" s="82" t="n"/>
      <c r="AG2166" s="82">
        <f>IF(AN2166="","",AD2166+AE2166+AF2166)</f>
        <v/>
      </c>
      <c r="AH2166" s="81">
        <f>IF(AN2166="","",P2166*(1-AG2166))</f>
        <v/>
      </c>
      <c r="AI2166" s="81">
        <f>IF(AN2166="","",IF(Q2166="Sin Factura",0,IFERROR(INDEX(Facturas_Odoo!$H:$H, MATCH(Q2166, Facturas_Odoo!$B:$B, 0)), 0)*(1-AG2166)))</f>
        <v/>
      </c>
      <c r="AJ2166" s="81">
        <f>IF(AN2166="","",_xlfn.LET(idVenta, AN2166&amp;"",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66" s="81">
        <f>IF(AN2166="","",AH2166-AJ2166)</f>
        <v/>
      </c>
      <c r="AL2166" s="81">
        <f>IF(AN2166="","",IF(Q2166="Sin Factura","",AI2166-AJ2166))</f>
        <v/>
      </c>
      <c r="AM2166" s="81">
        <f>IF(AN2166="","",IF(Q2166="Sin Factura",0,P2166-IFERROR(INDEX(Facturas_Odoo!$H:$H, MATCH(Q2166, Facturas_Odoo!$B:$B, 0)), 0)))</f>
        <v/>
      </c>
      <c r="AN2166" s="79">
        <f>IF(AND(A2166="", J2166=""), "", IF(A2166&lt;&gt;"", VALUE(MID(A2166,2,LEN(A2166))), AN2165))</f>
        <v/>
      </c>
      <c r="AO2166" s="79">
        <f>IF(AN2166="","",IF(AD2166=0,"OK",_xlfn.LET(monedaPago, IF(AA2166="","USD",AA2166), limitePermitido, IFERROR(VLOOKUP(monedaPago, Configuración!$A$2:$B$3, 2, FALSE), 0.15), IF(AD2166&gt;limitePermitido, "ALERTA: EXCESO (" &amp; TEXT(limitePermitido, "0%") &amp; " máx)", "OK"))))</f>
        <v/>
      </c>
      <c r="AP2166" s="79">
        <f>IF(AN2166="","",IF(AE2166=0,"OK",_xlfn.LET(fechaPago, Z2166, fechaFactura, R2166, diasCredito, IF(E2166="Pago inmediato", 0, IFERROR(VALUE(MID(E2166, 1, SEARCH(" ", E2166)-1)),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66" s="79">
        <f>IF(AN2166="","",IF(AND(N2166&gt;0, AG2166&gt;0), IF(Configuración!$K$2="NO", "ALERTA: DESCUENTO DOBLE NO PERMITIDO", "OK"), "OK"))</f>
        <v/>
      </c>
      <c r="AR2166" s="79">
        <f>IF(AN2166="","",IF(OR(AO2166&lt;&gt;"OK", AP2166&lt;&gt;"OK", AQ2166&lt;&gt;"OK"), "⚠️ REVISAR", "OK"))</f>
        <v/>
      </c>
    </row>
    <row r="2167">
      <c r="A2167" s="79">
        <f>IF('Ordenes_Odoo'!A2167="","",'Ordenes_Odoo'!A2167)</f>
        <v/>
      </c>
      <c r="B2167" s="80">
        <f>IF('Ordenes_Odoo'!B2167="","",'Ordenes_Odoo'!B2167)</f>
        <v/>
      </c>
      <c r="C2167" s="79">
        <f>IF('Ordenes_Odoo'!C2167="","",'Ordenes_Odoo'!C2167)</f>
        <v/>
      </c>
      <c r="D2167" s="79">
        <f>IF('Ordenes_Odoo'!D2167="","",'Ordenes_Odoo'!D2167)</f>
        <v/>
      </c>
      <c r="E2167" s="79">
        <f>IF('Ordenes_Odoo'!E2167="","",'Ordenes_Odoo'!E2167)</f>
        <v/>
      </c>
      <c r="F2167" s="79">
        <f>IF('Ordenes_Odoo'!F2167="","",'Ordenes_Odoo'!F2167)</f>
        <v/>
      </c>
      <c r="G2167" s="79">
        <f>IF('Ordenes_Odoo'!G2167="","",'Ordenes_Odoo'!G2167)</f>
        <v/>
      </c>
      <c r="H2167" s="79">
        <f>IF('Ordenes_Odoo'!H2167="","",'Ordenes_Odoo'!H2167)</f>
        <v/>
      </c>
      <c r="I2167" s="79">
        <f>IF('Ordenes_Odoo'!I2167="","",'Ordenes_Odoo'!I2167)</f>
        <v/>
      </c>
      <c r="J2167" s="79">
        <f>IF('Ordenes_Odoo'!J2167="","",'Ordenes_Odoo'!J2167)</f>
        <v/>
      </c>
      <c r="K2167" s="81">
        <f>IF('Ordenes_Odoo'!K2167="","",'Ordenes_Odoo'!K2167)</f>
        <v/>
      </c>
      <c r="L2167" s="81">
        <f>IF('Ordenes_Odoo'!L2167="","",'Ordenes_Odoo'!L2167)</f>
        <v/>
      </c>
      <c r="M2167" s="79">
        <f>IF('Ordenes_Odoo'!M2167="","",'Ordenes_Odoo'!M2167)</f>
        <v/>
      </c>
      <c r="N2167" s="79">
        <f>IF('Ordenes_Odoo'!N2167="","",'Ordenes_Odoo'!N2167)</f>
        <v/>
      </c>
      <c r="O2167" s="81">
        <f>IF('Ordenes_Odoo'!O2167="","",'Ordenes_Odoo'!O2167)</f>
        <v/>
      </c>
      <c r="P2167" s="81">
        <f>IF('Ordenes_Odoo'!P2167="","",'Ordenes_Odoo'!P2167)</f>
        <v/>
      </c>
      <c r="Q2167" s="79">
        <f>IF(A2167="","",IFERROR(INDEX(Facturas_Odoo!$B:$B, MATCH(A2167, Facturas_Odoo!$D:$D, 0)), "Sin Factura"))</f>
        <v/>
      </c>
      <c r="R2167" s="80">
        <f>IF(Q2167="Sin Factura","",IFERROR(INDEX(Facturas_Odoo!$A:$A, MATCH(Q2167, Facturas_Odoo!$B:$B, 0)), ""))</f>
        <v/>
      </c>
      <c r="S2167" s="79">
        <f>IF(Q2167="Sin Factura","",IFERROR(_xlfn.XLOOKUP(1, (Facturas_Odoo!$D:$D=A2167) * (Facturas_Odoo!$K:$K=I2167), Facturas_Odoo!$L:$L, ""), ""))</f>
        <v/>
      </c>
      <c r="T2167" s="81">
        <f>IF(Q2167="Sin Factura",0,IFERROR(_xlfn.XLOOKUP(1, (Facturas_Odoo!$D:$D=A2167) * (Facturas_Odoo!$K:$K=I2167), Facturas_Odoo!$M:$M, 0), 0))</f>
        <v/>
      </c>
      <c r="U2167" s="79">
        <f>IF(Q2167="Sin Factura",0,IFERROR(_xlfn.XLOOKUP(1, (Facturas_Odoo!$D:$D=A2167) * (Facturas_Odoo!$K:$K=I2167), Facturas_Odoo!$N:$N, 0), 0))</f>
        <v/>
      </c>
      <c r="V2167" s="79">
        <f>IF(Q2167="Sin Factura",0,IFERROR(_xlfn.XLOOKUP(1, (Facturas_Odoo!$D:$D=A2167) * (Facturas_Odoo!$K:$K=I2167), Facturas_Odoo!$O:$O, 0), 0))</f>
        <v/>
      </c>
      <c r="W2167" s="81">
        <f>IF(Q2167="Sin Factura",0,IFERROR(_xlfn.XLOOKUP(1, (Facturas_Odoo!$D:$D=A2167) * (Facturas_Odoo!$K:$K=I2167), Facturas_Odoo!$Q:$Q, 0), 0))</f>
        <v/>
      </c>
      <c r="X2167" s="79">
        <f>IF(OR(Q2167="Sin Factura",Q2167=""),"",IFERROR(INDEX(Pagos_Odoo!$B:$B, MATCH(Q2167, Pagos_Odoo!$I:$I, 0)), "Sin Pago"))</f>
        <v/>
      </c>
      <c r="Y2167" s="79">
        <f>IF(X2167="Sin Pago","",IFERROR(INDEX(Pagos_Odoo!$C:$C, MATCH(X2167, Pagos_Odoo!$B:$B, 0)), ""))</f>
        <v/>
      </c>
      <c r="Z2167" s="80">
        <f>IF(X2167="Sin Pago","",IFERROR(INDEX(Pagos_Odoo!$A:$A, MATCH(X2167, Pagos_Odoo!$B:$B, 0)), ""))</f>
        <v/>
      </c>
      <c r="AA2167" s="79">
        <f>IF(X2167="Sin Pago","",IFERROR(INDEX(Pagos_Odoo!$F:$F, MATCH(X2167, Pagos_Odoo!$B:$B, 0)), ""))</f>
        <v/>
      </c>
      <c r="AB2167" s="81">
        <f>IF(X2167="Sin Pago",0,IFERROR(INDEX(Pagos_Odoo!$E:$E, MATCH(X2167, Pagos_Odoo!$B:$B, 0)), 0))</f>
        <v/>
      </c>
      <c r="AC2167" s="79">
        <f>IF(X2167="Sin Pago","",IFERROR(INDEX(Pagos_Odoo!$G:$G, MATCH(X2167, Pagos_Odoo!$B:$B, 0)), ""))</f>
        <v/>
      </c>
      <c r="AD2167" s="82" t="n">
        <v>0</v>
      </c>
      <c r="AE2167" s="82" t="n"/>
      <c r="AF2167" s="82" t="n"/>
      <c r="AG2167" s="82">
        <f>IF(AN2167="","",AD2167+AE2167+AF2167)</f>
        <v/>
      </c>
      <c r="AH2167" s="81">
        <f>IF(AN2167="","",P2167*(1-AG2167))</f>
        <v/>
      </c>
      <c r="AI2167" s="81">
        <f>IF(AN2167="","",IF(Q2167="Sin Factura",0,IFERROR(INDEX(Facturas_Odoo!$H:$H, MATCH(Q2167, Facturas_Odoo!$B:$B, 0)), 0)*(1-AG2167)))</f>
        <v/>
      </c>
      <c r="AJ2167" s="81">
        <f>IF(AN2167="","",_xlfn.LET(idVenta, AN2167&amp;"",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67" s="81">
        <f>IF(AN2167="","",AH2167-AJ2167)</f>
        <v/>
      </c>
      <c r="AL2167" s="81">
        <f>IF(AN2167="","",IF(Q2167="Sin Factura","",AI2167-AJ2167))</f>
        <v/>
      </c>
      <c r="AM2167" s="81">
        <f>IF(AN2167="","",IF(Q2167="Sin Factura",0,P2167-IFERROR(INDEX(Facturas_Odoo!$H:$H, MATCH(Q2167, Facturas_Odoo!$B:$B, 0)), 0)))</f>
        <v/>
      </c>
      <c r="AN2167" s="79">
        <f>IF(AND(A2167="", J2167=""), "", IF(A2167&lt;&gt;"", VALUE(MID(A2167,2,LEN(A2167))), AN2166))</f>
        <v/>
      </c>
      <c r="AO2167" s="79">
        <f>IF(AN2167="","",IF(AD2167=0,"OK",_xlfn.LET(monedaPago, IF(AA2167="","USD",AA2167), limitePermitido, IFERROR(VLOOKUP(monedaPago, Configuración!$A$2:$B$3, 2, FALSE), 0.15), IF(AD2167&gt;limitePermitido, "ALERTA: EXCESO (" &amp; TEXT(limitePermitido, "0%") &amp; " máx)", "OK"))))</f>
        <v/>
      </c>
      <c r="AP2167" s="79">
        <f>IF(AN2167="","",IF(AE2167=0,"OK",_xlfn.LET(fechaPago, Z2167, fechaFactura, R2167, diasCredito, IF(E2167="Pago inmediato", 0, IFERROR(VALUE(MID(E2167, 1, SEARCH(" ", E2167)-1)),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67" s="79">
        <f>IF(AN2167="","",IF(AND(N2167&gt;0, AG2167&gt;0), IF(Configuración!$K$2="NO", "ALERTA: DESCUENTO DOBLE NO PERMITIDO", "OK"), "OK"))</f>
        <v/>
      </c>
      <c r="AR2167" s="79">
        <f>IF(AN2167="","",IF(OR(AO2167&lt;&gt;"OK", AP2167&lt;&gt;"OK", AQ2167&lt;&gt;"OK"), "⚠️ REVISAR", "OK"))</f>
        <v/>
      </c>
    </row>
    <row r="2168">
      <c r="A2168" s="79">
        <f>IF('Ordenes_Odoo'!A2168="","",'Ordenes_Odoo'!A2168)</f>
        <v/>
      </c>
      <c r="B2168" s="80">
        <f>IF('Ordenes_Odoo'!B2168="","",'Ordenes_Odoo'!B2168)</f>
        <v/>
      </c>
      <c r="C2168" s="79">
        <f>IF('Ordenes_Odoo'!C2168="","",'Ordenes_Odoo'!C2168)</f>
        <v/>
      </c>
      <c r="D2168" s="79">
        <f>IF('Ordenes_Odoo'!D2168="","",'Ordenes_Odoo'!D2168)</f>
        <v/>
      </c>
      <c r="E2168" s="79">
        <f>IF('Ordenes_Odoo'!E2168="","",'Ordenes_Odoo'!E2168)</f>
        <v/>
      </c>
      <c r="F2168" s="79">
        <f>IF('Ordenes_Odoo'!F2168="","",'Ordenes_Odoo'!F2168)</f>
        <v/>
      </c>
      <c r="G2168" s="79">
        <f>IF('Ordenes_Odoo'!G2168="","",'Ordenes_Odoo'!G2168)</f>
        <v/>
      </c>
      <c r="H2168" s="79">
        <f>IF('Ordenes_Odoo'!H2168="","",'Ordenes_Odoo'!H2168)</f>
        <v/>
      </c>
      <c r="I2168" s="79">
        <f>IF('Ordenes_Odoo'!I2168="","",'Ordenes_Odoo'!I2168)</f>
        <v/>
      </c>
      <c r="J2168" s="79">
        <f>IF('Ordenes_Odoo'!J2168="","",'Ordenes_Odoo'!J2168)</f>
        <v/>
      </c>
      <c r="K2168" s="81">
        <f>IF('Ordenes_Odoo'!K2168="","",'Ordenes_Odoo'!K2168)</f>
        <v/>
      </c>
      <c r="L2168" s="81">
        <f>IF('Ordenes_Odoo'!L2168="","",'Ordenes_Odoo'!L2168)</f>
        <v/>
      </c>
      <c r="M2168" s="79">
        <f>IF('Ordenes_Odoo'!M2168="","",'Ordenes_Odoo'!M2168)</f>
        <v/>
      </c>
      <c r="N2168" s="79">
        <f>IF('Ordenes_Odoo'!N2168="","",'Ordenes_Odoo'!N2168)</f>
        <v/>
      </c>
      <c r="O2168" s="81">
        <f>IF('Ordenes_Odoo'!O2168="","",'Ordenes_Odoo'!O2168)</f>
        <v/>
      </c>
      <c r="P2168" s="81">
        <f>IF('Ordenes_Odoo'!P2168="","",'Ordenes_Odoo'!P2168)</f>
        <v/>
      </c>
      <c r="Q2168" s="79">
        <f>IF(A2168="","",IFERROR(INDEX(Facturas_Odoo!$B:$B, MATCH(A2168, Facturas_Odoo!$D:$D, 0)), "Sin Factura"))</f>
        <v/>
      </c>
      <c r="R2168" s="80">
        <f>IF(Q2168="Sin Factura","",IFERROR(INDEX(Facturas_Odoo!$A:$A, MATCH(Q2168, Facturas_Odoo!$B:$B, 0)), ""))</f>
        <v/>
      </c>
      <c r="S2168" s="79">
        <f>IF(Q2168="Sin Factura","",IFERROR(_xlfn.XLOOKUP(1, (Facturas_Odoo!$D:$D=A2168) * (Facturas_Odoo!$K:$K=I2168), Facturas_Odoo!$L:$L, ""), ""))</f>
        <v/>
      </c>
      <c r="T2168" s="81">
        <f>IF(Q2168="Sin Factura",0,IFERROR(_xlfn.XLOOKUP(1, (Facturas_Odoo!$D:$D=A2168) * (Facturas_Odoo!$K:$K=I2168), Facturas_Odoo!$M:$M, 0), 0))</f>
        <v/>
      </c>
      <c r="U2168" s="79">
        <f>IF(Q2168="Sin Factura",0,IFERROR(_xlfn.XLOOKUP(1, (Facturas_Odoo!$D:$D=A2168) * (Facturas_Odoo!$K:$K=I2168), Facturas_Odoo!$N:$N, 0), 0))</f>
        <v/>
      </c>
      <c r="V2168" s="79">
        <f>IF(Q2168="Sin Factura",0,IFERROR(_xlfn.XLOOKUP(1, (Facturas_Odoo!$D:$D=A2168) * (Facturas_Odoo!$K:$K=I2168), Facturas_Odoo!$O:$O, 0), 0))</f>
        <v/>
      </c>
      <c r="W2168" s="81">
        <f>IF(Q2168="Sin Factura",0,IFERROR(_xlfn.XLOOKUP(1, (Facturas_Odoo!$D:$D=A2168) * (Facturas_Odoo!$K:$K=I2168), Facturas_Odoo!$Q:$Q, 0), 0))</f>
        <v/>
      </c>
      <c r="X2168" s="79">
        <f>IF(OR(Q2168="Sin Factura",Q2168=""),"",IFERROR(INDEX(Pagos_Odoo!$B:$B, MATCH(Q2168, Pagos_Odoo!$I:$I, 0)), "Sin Pago"))</f>
        <v/>
      </c>
      <c r="Y2168" s="79">
        <f>IF(X2168="Sin Pago","",IFERROR(INDEX(Pagos_Odoo!$C:$C, MATCH(X2168, Pagos_Odoo!$B:$B, 0)), ""))</f>
        <v/>
      </c>
      <c r="Z2168" s="80">
        <f>IF(X2168="Sin Pago","",IFERROR(INDEX(Pagos_Odoo!$A:$A, MATCH(X2168, Pagos_Odoo!$B:$B, 0)), ""))</f>
        <v/>
      </c>
      <c r="AA2168" s="79">
        <f>IF(X2168="Sin Pago","",IFERROR(INDEX(Pagos_Odoo!$F:$F, MATCH(X2168, Pagos_Odoo!$B:$B, 0)), ""))</f>
        <v/>
      </c>
      <c r="AB2168" s="81">
        <f>IF(X2168="Sin Pago",0,IFERROR(INDEX(Pagos_Odoo!$E:$E, MATCH(X2168, Pagos_Odoo!$B:$B, 0)), 0))</f>
        <v/>
      </c>
      <c r="AC2168" s="79">
        <f>IF(X2168="Sin Pago","",IFERROR(INDEX(Pagos_Odoo!$G:$G, MATCH(X2168, Pagos_Odoo!$B:$B, 0)), ""))</f>
        <v/>
      </c>
      <c r="AD2168" s="82" t="n">
        <v>0</v>
      </c>
      <c r="AE2168" s="82" t="n"/>
      <c r="AF2168" s="82" t="n"/>
      <c r="AG2168" s="82">
        <f>IF(AN2168="","",AD2168+AE2168+AF2168)</f>
        <v/>
      </c>
      <c r="AH2168" s="81">
        <f>IF(AN2168="","",P2168*(1-AG2168))</f>
        <v/>
      </c>
      <c r="AI2168" s="81">
        <f>IF(AN2168="","",IF(Q2168="Sin Factura",0,IFERROR(INDEX(Facturas_Odoo!$H:$H, MATCH(Q2168, Facturas_Odoo!$B:$B, 0)), 0)*(1-AG2168)))</f>
        <v/>
      </c>
      <c r="AJ2168" s="81">
        <f>IF(AN2168="","",_xlfn.LET(idVenta, AN2168&amp;"",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68" s="81">
        <f>IF(AN2168="","",AH2168-AJ2168)</f>
        <v/>
      </c>
      <c r="AL2168" s="81">
        <f>IF(AN2168="","",IF(Q2168="Sin Factura","",AI2168-AJ2168))</f>
        <v/>
      </c>
      <c r="AM2168" s="81">
        <f>IF(AN2168="","",IF(Q2168="Sin Factura",0,P2168-IFERROR(INDEX(Facturas_Odoo!$H:$H, MATCH(Q2168, Facturas_Odoo!$B:$B, 0)), 0)))</f>
        <v/>
      </c>
      <c r="AN2168" s="79">
        <f>IF(AND(A2168="", J2168=""), "", IF(A2168&lt;&gt;"", VALUE(MID(A2168,2,LEN(A2168))), AN2167))</f>
        <v/>
      </c>
      <c r="AO2168" s="79">
        <f>IF(AN2168="","",IF(AD2168=0,"OK",_xlfn.LET(monedaPago, IF(AA2168="","USD",AA2168), limitePermitido, IFERROR(VLOOKUP(monedaPago, Configuración!$A$2:$B$3, 2, FALSE), 0.15), IF(AD2168&gt;limitePermitido, "ALERTA: EXCESO (" &amp; TEXT(limitePermitido, "0%") &amp; " máx)", "OK"))))</f>
        <v/>
      </c>
      <c r="AP2168" s="79">
        <f>IF(AN2168="","",IF(AE2168=0,"OK",_xlfn.LET(fechaPago, Z2168, fechaFactura, R2168, diasCredito, IF(E2168="Pago inmediato", 0, IFERROR(VALUE(MID(E2168, 1, SEARCH(" ", E2168)-1)),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68" s="79">
        <f>IF(AN2168="","",IF(AND(N2168&gt;0, AG2168&gt;0), IF(Configuración!$K$2="NO", "ALERTA: DESCUENTO DOBLE NO PERMITIDO", "OK"), "OK"))</f>
        <v/>
      </c>
      <c r="AR2168" s="79">
        <f>IF(AN2168="","",IF(OR(AO2168&lt;&gt;"OK", AP2168&lt;&gt;"OK", AQ2168&lt;&gt;"OK"), "⚠️ REVISAR", "OK"))</f>
        <v/>
      </c>
    </row>
    <row r="2169">
      <c r="A2169" s="79">
        <f>IF('Ordenes_Odoo'!A2169="","",'Ordenes_Odoo'!A2169)</f>
        <v/>
      </c>
      <c r="B2169" s="80">
        <f>IF('Ordenes_Odoo'!B2169="","",'Ordenes_Odoo'!B2169)</f>
        <v/>
      </c>
      <c r="C2169" s="79">
        <f>IF('Ordenes_Odoo'!C2169="","",'Ordenes_Odoo'!C2169)</f>
        <v/>
      </c>
      <c r="D2169" s="79">
        <f>IF('Ordenes_Odoo'!D2169="","",'Ordenes_Odoo'!D2169)</f>
        <v/>
      </c>
      <c r="E2169" s="79">
        <f>IF('Ordenes_Odoo'!E2169="","",'Ordenes_Odoo'!E2169)</f>
        <v/>
      </c>
      <c r="F2169" s="79">
        <f>IF('Ordenes_Odoo'!F2169="","",'Ordenes_Odoo'!F2169)</f>
        <v/>
      </c>
      <c r="G2169" s="79">
        <f>IF('Ordenes_Odoo'!G2169="","",'Ordenes_Odoo'!G2169)</f>
        <v/>
      </c>
      <c r="H2169" s="79">
        <f>IF('Ordenes_Odoo'!H2169="","",'Ordenes_Odoo'!H2169)</f>
        <v/>
      </c>
      <c r="I2169" s="79">
        <f>IF('Ordenes_Odoo'!I2169="","",'Ordenes_Odoo'!I2169)</f>
        <v/>
      </c>
      <c r="J2169" s="79">
        <f>IF('Ordenes_Odoo'!J2169="","",'Ordenes_Odoo'!J2169)</f>
        <v/>
      </c>
      <c r="K2169" s="81">
        <f>IF('Ordenes_Odoo'!K2169="","",'Ordenes_Odoo'!K2169)</f>
        <v/>
      </c>
      <c r="L2169" s="81">
        <f>IF('Ordenes_Odoo'!L2169="","",'Ordenes_Odoo'!L2169)</f>
        <v/>
      </c>
      <c r="M2169" s="79">
        <f>IF('Ordenes_Odoo'!M2169="","",'Ordenes_Odoo'!M2169)</f>
        <v/>
      </c>
      <c r="N2169" s="79">
        <f>IF('Ordenes_Odoo'!N2169="","",'Ordenes_Odoo'!N2169)</f>
        <v/>
      </c>
      <c r="O2169" s="81">
        <f>IF('Ordenes_Odoo'!O2169="","",'Ordenes_Odoo'!O2169)</f>
        <v/>
      </c>
      <c r="P2169" s="81">
        <f>IF('Ordenes_Odoo'!P2169="","",'Ordenes_Odoo'!P2169)</f>
        <v/>
      </c>
      <c r="Q2169" s="79">
        <f>IF(A2169="","",IFERROR(INDEX(Facturas_Odoo!$B:$B, MATCH(A2169, Facturas_Odoo!$D:$D, 0)), "Sin Factura"))</f>
        <v/>
      </c>
      <c r="R2169" s="80">
        <f>IF(Q2169="Sin Factura","",IFERROR(INDEX(Facturas_Odoo!$A:$A, MATCH(Q2169, Facturas_Odoo!$B:$B, 0)), ""))</f>
        <v/>
      </c>
      <c r="S2169" s="79">
        <f>IF(Q2169="Sin Factura","",IFERROR(_xlfn.XLOOKUP(1, (Facturas_Odoo!$D:$D=A2169) * (Facturas_Odoo!$K:$K=I2169), Facturas_Odoo!$L:$L, ""), ""))</f>
        <v/>
      </c>
      <c r="T2169" s="81">
        <f>IF(Q2169="Sin Factura",0,IFERROR(_xlfn.XLOOKUP(1, (Facturas_Odoo!$D:$D=A2169) * (Facturas_Odoo!$K:$K=I2169), Facturas_Odoo!$M:$M, 0), 0))</f>
        <v/>
      </c>
      <c r="U2169" s="79">
        <f>IF(Q2169="Sin Factura",0,IFERROR(_xlfn.XLOOKUP(1, (Facturas_Odoo!$D:$D=A2169) * (Facturas_Odoo!$K:$K=I2169), Facturas_Odoo!$N:$N, 0), 0))</f>
        <v/>
      </c>
      <c r="V2169" s="79">
        <f>IF(Q2169="Sin Factura",0,IFERROR(_xlfn.XLOOKUP(1, (Facturas_Odoo!$D:$D=A2169) * (Facturas_Odoo!$K:$K=I2169), Facturas_Odoo!$O:$O, 0), 0))</f>
        <v/>
      </c>
      <c r="W2169" s="81">
        <f>IF(Q2169="Sin Factura",0,IFERROR(_xlfn.XLOOKUP(1, (Facturas_Odoo!$D:$D=A2169) * (Facturas_Odoo!$K:$K=I2169), Facturas_Odoo!$Q:$Q, 0), 0))</f>
        <v/>
      </c>
      <c r="X2169" s="79">
        <f>IF(OR(Q2169="Sin Factura",Q2169=""),"",IFERROR(INDEX(Pagos_Odoo!$B:$B, MATCH(Q2169, Pagos_Odoo!$I:$I, 0)), "Sin Pago"))</f>
        <v/>
      </c>
      <c r="Y2169" s="79">
        <f>IF(X2169="Sin Pago","",IFERROR(INDEX(Pagos_Odoo!$C:$C, MATCH(X2169, Pagos_Odoo!$B:$B, 0)), ""))</f>
        <v/>
      </c>
      <c r="Z2169" s="80">
        <f>IF(X2169="Sin Pago","",IFERROR(INDEX(Pagos_Odoo!$A:$A, MATCH(X2169, Pagos_Odoo!$B:$B, 0)), ""))</f>
        <v/>
      </c>
      <c r="AA2169" s="79">
        <f>IF(X2169="Sin Pago","",IFERROR(INDEX(Pagos_Odoo!$F:$F, MATCH(X2169, Pagos_Odoo!$B:$B, 0)), ""))</f>
        <v/>
      </c>
      <c r="AB2169" s="81">
        <f>IF(X2169="Sin Pago",0,IFERROR(INDEX(Pagos_Odoo!$E:$E, MATCH(X2169, Pagos_Odoo!$B:$B, 0)), 0))</f>
        <v/>
      </c>
      <c r="AC2169" s="79">
        <f>IF(X2169="Sin Pago","",IFERROR(INDEX(Pagos_Odoo!$G:$G, MATCH(X2169, Pagos_Odoo!$B:$B, 0)), ""))</f>
        <v/>
      </c>
      <c r="AD2169" s="82" t="n">
        <v>0</v>
      </c>
      <c r="AE2169" s="82" t="n"/>
      <c r="AF2169" s="82" t="n"/>
      <c r="AG2169" s="82">
        <f>IF(AN2169="","",AD2169+AE2169+AF2169)</f>
        <v/>
      </c>
      <c r="AH2169" s="81">
        <f>IF(AN2169="","",P2169*(1-AG2169))</f>
        <v/>
      </c>
      <c r="AI2169" s="81">
        <f>IF(AN2169="","",IF(Q2169="Sin Factura",0,IFERROR(INDEX(Facturas_Odoo!$H:$H, MATCH(Q2169, Facturas_Odoo!$B:$B, 0)), 0)*(1-AG2169)))</f>
        <v/>
      </c>
      <c r="AJ2169" s="81">
        <f>IF(AN2169="","",_xlfn.LET(idVenta, AN2169&amp;"",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69" s="81">
        <f>IF(AN2169="","",AH2169-AJ2169)</f>
        <v/>
      </c>
      <c r="AL2169" s="81">
        <f>IF(AN2169="","",IF(Q2169="Sin Factura","",AI2169-AJ2169))</f>
        <v/>
      </c>
      <c r="AM2169" s="81">
        <f>IF(AN2169="","",IF(Q2169="Sin Factura",0,P2169-IFERROR(INDEX(Facturas_Odoo!$H:$H, MATCH(Q2169, Facturas_Odoo!$B:$B, 0)), 0)))</f>
        <v/>
      </c>
      <c r="AN2169" s="79">
        <f>IF(AND(A2169="", J2169=""), "", IF(A2169&lt;&gt;"", VALUE(MID(A2169,2,LEN(A2169))), AN2168))</f>
        <v/>
      </c>
      <c r="AO2169" s="79">
        <f>IF(AN2169="","",IF(AD2169=0,"OK",_xlfn.LET(monedaPago, IF(AA2169="","USD",AA2169), limitePermitido, IFERROR(VLOOKUP(monedaPago, Configuración!$A$2:$B$3, 2, FALSE), 0.15), IF(AD2169&gt;limitePermitido, "ALERTA: EXCESO (" &amp; TEXT(limitePermitido, "0%") &amp; " máx)", "OK"))))</f>
        <v/>
      </c>
      <c r="AP2169" s="79">
        <f>IF(AN2169="","",IF(AE2169=0,"OK",_xlfn.LET(fechaPago, Z2169, fechaFactura, R2169, diasCredito, IF(E2169="Pago inmediato", 0, IFERROR(VALUE(MID(E2169, 1, SEARCH(" ", E2169)-1)),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69" s="79">
        <f>IF(AN2169="","",IF(AND(N2169&gt;0, AG2169&gt;0), IF(Configuración!$K$2="NO", "ALERTA: DESCUENTO DOBLE NO PERMITIDO", "OK"), "OK"))</f>
        <v/>
      </c>
      <c r="AR2169" s="79">
        <f>IF(AN2169="","",IF(OR(AO2169&lt;&gt;"OK", AP2169&lt;&gt;"OK", AQ2169&lt;&gt;"OK"), "⚠️ REVISAR", "OK"))</f>
        <v/>
      </c>
    </row>
    <row r="2170">
      <c r="A2170" s="79">
        <f>IF('Ordenes_Odoo'!A2170="","",'Ordenes_Odoo'!A2170)</f>
        <v/>
      </c>
      <c r="B2170" s="80">
        <f>IF('Ordenes_Odoo'!B2170="","",'Ordenes_Odoo'!B2170)</f>
        <v/>
      </c>
      <c r="C2170" s="79">
        <f>IF('Ordenes_Odoo'!C2170="","",'Ordenes_Odoo'!C2170)</f>
        <v/>
      </c>
      <c r="D2170" s="79">
        <f>IF('Ordenes_Odoo'!D2170="","",'Ordenes_Odoo'!D2170)</f>
        <v/>
      </c>
      <c r="E2170" s="79">
        <f>IF('Ordenes_Odoo'!E2170="","",'Ordenes_Odoo'!E2170)</f>
        <v/>
      </c>
      <c r="F2170" s="79">
        <f>IF('Ordenes_Odoo'!F2170="","",'Ordenes_Odoo'!F2170)</f>
        <v/>
      </c>
      <c r="G2170" s="79">
        <f>IF('Ordenes_Odoo'!G2170="","",'Ordenes_Odoo'!G2170)</f>
        <v/>
      </c>
      <c r="H2170" s="79">
        <f>IF('Ordenes_Odoo'!H2170="","",'Ordenes_Odoo'!H2170)</f>
        <v/>
      </c>
      <c r="I2170" s="79">
        <f>IF('Ordenes_Odoo'!I2170="","",'Ordenes_Odoo'!I2170)</f>
        <v/>
      </c>
      <c r="J2170" s="79">
        <f>IF('Ordenes_Odoo'!J2170="","",'Ordenes_Odoo'!J2170)</f>
        <v/>
      </c>
      <c r="K2170" s="81">
        <f>IF('Ordenes_Odoo'!K2170="","",'Ordenes_Odoo'!K2170)</f>
        <v/>
      </c>
      <c r="L2170" s="81">
        <f>IF('Ordenes_Odoo'!L2170="","",'Ordenes_Odoo'!L2170)</f>
        <v/>
      </c>
      <c r="M2170" s="79">
        <f>IF('Ordenes_Odoo'!M2170="","",'Ordenes_Odoo'!M2170)</f>
        <v/>
      </c>
      <c r="N2170" s="79">
        <f>IF('Ordenes_Odoo'!N2170="","",'Ordenes_Odoo'!N2170)</f>
        <v/>
      </c>
      <c r="O2170" s="81">
        <f>IF('Ordenes_Odoo'!O2170="","",'Ordenes_Odoo'!O2170)</f>
        <v/>
      </c>
      <c r="P2170" s="81">
        <f>IF('Ordenes_Odoo'!P2170="","",'Ordenes_Odoo'!P2170)</f>
        <v/>
      </c>
      <c r="Q2170" s="79">
        <f>IF(A2170="","",IFERROR(INDEX(Facturas_Odoo!$B:$B, MATCH(A2170, Facturas_Odoo!$D:$D, 0)), "Sin Factura"))</f>
        <v/>
      </c>
      <c r="R2170" s="80">
        <f>IF(Q2170="Sin Factura","",IFERROR(INDEX(Facturas_Odoo!$A:$A, MATCH(Q2170, Facturas_Odoo!$B:$B, 0)), ""))</f>
        <v/>
      </c>
      <c r="S2170" s="79">
        <f>IF(Q2170="Sin Factura","",IFERROR(_xlfn.XLOOKUP(1, (Facturas_Odoo!$D:$D=A2170) * (Facturas_Odoo!$K:$K=I2170), Facturas_Odoo!$L:$L, ""), ""))</f>
        <v/>
      </c>
      <c r="T2170" s="81">
        <f>IF(Q2170="Sin Factura",0,IFERROR(_xlfn.XLOOKUP(1, (Facturas_Odoo!$D:$D=A2170) * (Facturas_Odoo!$K:$K=I2170), Facturas_Odoo!$M:$M, 0), 0))</f>
        <v/>
      </c>
      <c r="U2170" s="79">
        <f>IF(Q2170="Sin Factura",0,IFERROR(_xlfn.XLOOKUP(1, (Facturas_Odoo!$D:$D=A2170) * (Facturas_Odoo!$K:$K=I2170), Facturas_Odoo!$N:$N, 0), 0))</f>
        <v/>
      </c>
      <c r="V2170" s="79">
        <f>IF(Q2170="Sin Factura",0,IFERROR(_xlfn.XLOOKUP(1, (Facturas_Odoo!$D:$D=A2170) * (Facturas_Odoo!$K:$K=I2170), Facturas_Odoo!$O:$O, 0), 0))</f>
        <v/>
      </c>
      <c r="W2170" s="81">
        <f>IF(Q2170="Sin Factura",0,IFERROR(_xlfn.XLOOKUP(1, (Facturas_Odoo!$D:$D=A2170) * (Facturas_Odoo!$K:$K=I2170), Facturas_Odoo!$Q:$Q, 0), 0))</f>
        <v/>
      </c>
      <c r="X2170" s="79">
        <f>IF(OR(Q2170="Sin Factura",Q2170=""),"",IFERROR(INDEX(Pagos_Odoo!$B:$B, MATCH(Q2170, Pagos_Odoo!$I:$I, 0)), "Sin Pago"))</f>
        <v/>
      </c>
      <c r="Y2170" s="79">
        <f>IF(X2170="Sin Pago","",IFERROR(INDEX(Pagos_Odoo!$C:$C, MATCH(X2170, Pagos_Odoo!$B:$B, 0)), ""))</f>
        <v/>
      </c>
      <c r="Z2170" s="80">
        <f>IF(X2170="Sin Pago","",IFERROR(INDEX(Pagos_Odoo!$A:$A, MATCH(X2170, Pagos_Odoo!$B:$B, 0)), ""))</f>
        <v/>
      </c>
      <c r="AA2170" s="79">
        <f>IF(X2170="Sin Pago","",IFERROR(INDEX(Pagos_Odoo!$F:$F, MATCH(X2170, Pagos_Odoo!$B:$B, 0)), ""))</f>
        <v/>
      </c>
      <c r="AB2170" s="81">
        <f>IF(X2170="Sin Pago",0,IFERROR(INDEX(Pagos_Odoo!$E:$E, MATCH(X2170, Pagos_Odoo!$B:$B, 0)), 0))</f>
        <v/>
      </c>
      <c r="AC2170" s="79">
        <f>IF(X2170="Sin Pago","",IFERROR(INDEX(Pagos_Odoo!$G:$G, MATCH(X2170, Pagos_Odoo!$B:$B, 0)), ""))</f>
        <v/>
      </c>
      <c r="AD2170" s="82" t="n">
        <v>0</v>
      </c>
      <c r="AE2170" s="82" t="n"/>
      <c r="AF2170" s="82" t="n"/>
      <c r="AG2170" s="82">
        <f>IF(AN2170="","",AD2170+AE2170+AF2170)</f>
        <v/>
      </c>
      <c r="AH2170" s="81">
        <f>IF(AN2170="","",P2170*(1-AG2170))</f>
        <v/>
      </c>
      <c r="AI2170" s="81">
        <f>IF(AN2170="","",IF(Q2170="Sin Factura",0,IFERROR(INDEX(Facturas_Odoo!$H:$H, MATCH(Q2170, Facturas_Odoo!$B:$B, 0)), 0)*(1-AG2170)))</f>
        <v/>
      </c>
      <c r="AJ2170" s="81">
        <f>IF(AN2170="","",_xlfn.LET(idVenta, AN2170&amp;"",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70" s="81">
        <f>IF(AN2170="","",AH2170-AJ2170)</f>
        <v/>
      </c>
      <c r="AL2170" s="81">
        <f>IF(AN2170="","",IF(Q2170="Sin Factura","",AI2170-AJ2170))</f>
        <v/>
      </c>
      <c r="AM2170" s="81">
        <f>IF(AN2170="","",IF(Q2170="Sin Factura",0,P2170-IFERROR(INDEX(Facturas_Odoo!$H:$H, MATCH(Q2170, Facturas_Odoo!$B:$B, 0)), 0)))</f>
        <v/>
      </c>
      <c r="AN2170" s="79">
        <f>IF(AND(A2170="", J2170=""), "", IF(A2170&lt;&gt;"", VALUE(MID(A2170,2,LEN(A2170))), AN2169))</f>
        <v/>
      </c>
      <c r="AO2170" s="79">
        <f>IF(AN2170="","",IF(AD2170=0,"OK",_xlfn.LET(monedaPago, IF(AA2170="","USD",AA2170), limitePermitido, IFERROR(VLOOKUP(monedaPago, Configuración!$A$2:$B$3, 2, FALSE), 0.15), IF(AD2170&gt;limitePermitido, "ALERTA: EXCESO (" &amp; TEXT(limitePermitido, "0%") &amp; " máx)", "OK"))))</f>
        <v/>
      </c>
      <c r="AP2170" s="79">
        <f>IF(AN2170="","",IF(AE2170=0,"OK",_xlfn.LET(fechaPago, Z2170, fechaFactura, R2170, diasCredito, IF(E2170="Pago inmediato", 0, IFERROR(VALUE(MID(E2170, 1, SEARCH(" ", E2170)-1)),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70" s="79">
        <f>IF(AN2170="","",IF(AND(N2170&gt;0, AG2170&gt;0), IF(Configuración!$K$2="NO", "ALERTA: DESCUENTO DOBLE NO PERMITIDO", "OK"), "OK"))</f>
        <v/>
      </c>
      <c r="AR2170" s="79">
        <f>IF(AN2170="","",IF(OR(AO2170&lt;&gt;"OK", AP2170&lt;&gt;"OK", AQ2170&lt;&gt;"OK"), "⚠️ REVISAR", "OK"))</f>
        <v/>
      </c>
    </row>
    <row r="2171">
      <c r="A2171" s="79">
        <f>IF('Ordenes_Odoo'!A2171="","",'Ordenes_Odoo'!A2171)</f>
        <v/>
      </c>
      <c r="B2171" s="80">
        <f>IF('Ordenes_Odoo'!B2171="","",'Ordenes_Odoo'!B2171)</f>
        <v/>
      </c>
      <c r="C2171" s="79">
        <f>IF('Ordenes_Odoo'!C2171="","",'Ordenes_Odoo'!C2171)</f>
        <v/>
      </c>
      <c r="D2171" s="79">
        <f>IF('Ordenes_Odoo'!D2171="","",'Ordenes_Odoo'!D2171)</f>
        <v/>
      </c>
      <c r="E2171" s="79">
        <f>IF('Ordenes_Odoo'!E2171="","",'Ordenes_Odoo'!E2171)</f>
        <v/>
      </c>
      <c r="F2171" s="79">
        <f>IF('Ordenes_Odoo'!F2171="","",'Ordenes_Odoo'!F2171)</f>
        <v/>
      </c>
      <c r="G2171" s="79">
        <f>IF('Ordenes_Odoo'!G2171="","",'Ordenes_Odoo'!G2171)</f>
        <v/>
      </c>
      <c r="H2171" s="79">
        <f>IF('Ordenes_Odoo'!H2171="","",'Ordenes_Odoo'!H2171)</f>
        <v/>
      </c>
      <c r="I2171" s="79">
        <f>IF('Ordenes_Odoo'!I2171="","",'Ordenes_Odoo'!I2171)</f>
        <v/>
      </c>
      <c r="J2171" s="79">
        <f>IF('Ordenes_Odoo'!J2171="","",'Ordenes_Odoo'!J2171)</f>
        <v/>
      </c>
      <c r="K2171" s="81">
        <f>IF('Ordenes_Odoo'!K2171="","",'Ordenes_Odoo'!K2171)</f>
        <v/>
      </c>
      <c r="L2171" s="81">
        <f>IF('Ordenes_Odoo'!L2171="","",'Ordenes_Odoo'!L2171)</f>
        <v/>
      </c>
      <c r="M2171" s="79">
        <f>IF('Ordenes_Odoo'!M2171="","",'Ordenes_Odoo'!M2171)</f>
        <v/>
      </c>
      <c r="N2171" s="79">
        <f>IF('Ordenes_Odoo'!N2171="","",'Ordenes_Odoo'!N2171)</f>
        <v/>
      </c>
      <c r="O2171" s="81">
        <f>IF('Ordenes_Odoo'!O2171="","",'Ordenes_Odoo'!O2171)</f>
        <v/>
      </c>
      <c r="P2171" s="81">
        <f>IF('Ordenes_Odoo'!P2171="","",'Ordenes_Odoo'!P2171)</f>
        <v/>
      </c>
      <c r="Q2171" s="79">
        <f>IF(A2171="","",IFERROR(INDEX(Facturas_Odoo!$B:$B, MATCH(A2171, Facturas_Odoo!$D:$D, 0)), "Sin Factura"))</f>
        <v/>
      </c>
      <c r="R2171" s="80">
        <f>IF(Q2171="Sin Factura","",IFERROR(INDEX(Facturas_Odoo!$A:$A, MATCH(Q2171, Facturas_Odoo!$B:$B, 0)), ""))</f>
        <v/>
      </c>
      <c r="S2171" s="79">
        <f>IF(Q2171="Sin Factura","",IFERROR(_xlfn.XLOOKUP(1, (Facturas_Odoo!$D:$D=A2171) * (Facturas_Odoo!$K:$K=I2171), Facturas_Odoo!$L:$L, ""), ""))</f>
        <v/>
      </c>
      <c r="T2171" s="81">
        <f>IF(Q2171="Sin Factura",0,IFERROR(_xlfn.XLOOKUP(1, (Facturas_Odoo!$D:$D=A2171) * (Facturas_Odoo!$K:$K=I2171), Facturas_Odoo!$M:$M, 0), 0))</f>
        <v/>
      </c>
      <c r="U2171" s="79">
        <f>IF(Q2171="Sin Factura",0,IFERROR(_xlfn.XLOOKUP(1, (Facturas_Odoo!$D:$D=A2171) * (Facturas_Odoo!$K:$K=I2171), Facturas_Odoo!$N:$N, 0), 0))</f>
        <v/>
      </c>
      <c r="V2171" s="79">
        <f>IF(Q2171="Sin Factura",0,IFERROR(_xlfn.XLOOKUP(1, (Facturas_Odoo!$D:$D=A2171) * (Facturas_Odoo!$K:$K=I2171), Facturas_Odoo!$O:$O, 0), 0))</f>
        <v/>
      </c>
      <c r="W2171" s="81">
        <f>IF(Q2171="Sin Factura",0,IFERROR(_xlfn.XLOOKUP(1, (Facturas_Odoo!$D:$D=A2171) * (Facturas_Odoo!$K:$K=I2171), Facturas_Odoo!$Q:$Q, 0), 0))</f>
        <v/>
      </c>
      <c r="X2171" s="79">
        <f>IF(OR(Q2171="Sin Factura",Q2171=""),"",IFERROR(INDEX(Pagos_Odoo!$B:$B, MATCH(Q2171, Pagos_Odoo!$I:$I, 0)), "Sin Pago"))</f>
        <v/>
      </c>
      <c r="Y2171" s="79">
        <f>IF(X2171="Sin Pago","",IFERROR(INDEX(Pagos_Odoo!$C:$C, MATCH(X2171, Pagos_Odoo!$B:$B, 0)), ""))</f>
        <v/>
      </c>
      <c r="Z2171" s="80">
        <f>IF(X2171="Sin Pago","",IFERROR(INDEX(Pagos_Odoo!$A:$A, MATCH(X2171, Pagos_Odoo!$B:$B, 0)), ""))</f>
        <v/>
      </c>
      <c r="AA2171" s="79">
        <f>IF(X2171="Sin Pago","",IFERROR(INDEX(Pagos_Odoo!$F:$F, MATCH(X2171, Pagos_Odoo!$B:$B, 0)), ""))</f>
        <v/>
      </c>
      <c r="AB2171" s="81">
        <f>IF(X2171="Sin Pago",0,IFERROR(INDEX(Pagos_Odoo!$E:$E, MATCH(X2171, Pagos_Odoo!$B:$B, 0)), 0))</f>
        <v/>
      </c>
      <c r="AC2171" s="79">
        <f>IF(X2171="Sin Pago","",IFERROR(INDEX(Pagos_Odoo!$G:$G, MATCH(X2171, Pagos_Odoo!$B:$B, 0)), ""))</f>
        <v/>
      </c>
      <c r="AD2171" s="82" t="n">
        <v>0</v>
      </c>
      <c r="AE2171" s="82" t="n"/>
      <c r="AF2171" s="82" t="n"/>
      <c r="AG2171" s="82">
        <f>IF(AN2171="","",AD2171+AE2171+AF2171)</f>
        <v/>
      </c>
      <c r="AH2171" s="81">
        <f>IF(AN2171="","",P2171*(1-AG2171))</f>
        <v/>
      </c>
      <c r="AI2171" s="81">
        <f>IF(AN2171="","",IF(Q2171="Sin Factura",0,IFERROR(INDEX(Facturas_Odoo!$H:$H, MATCH(Q2171, Facturas_Odoo!$B:$B, 0)), 0)*(1-AG2171)))</f>
        <v/>
      </c>
      <c r="AJ2171" s="81">
        <f>IF(AN2171="","",_xlfn.LET(idVenta, AN2171&amp;"",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71" s="81">
        <f>IF(AN2171="","",AH2171-AJ2171)</f>
        <v/>
      </c>
      <c r="AL2171" s="81">
        <f>IF(AN2171="","",IF(Q2171="Sin Factura","",AI2171-AJ2171))</f>
        <v/>
      </c>
      <c r="AM2171" s="81">
        <f>IF(AN2171="","",IF(Q2171="Sin Factura",0,P2171-IFERROR(INDEX(Facturas_Odoo!$H:$H, MATCH(Q2171, Facturas_Odoo!$B:$B, 0)), 0)))</f>
        <v/>
      </c>
      <c r="AN2171" s="79">
        <f>IF(AND(A2171="", J2171=""), "", IF(A2171&lt;&gt;"", VALUE(MID(A2171,2,LEN(A2171))), AN2170))</f>
        <v/>
      </c>
      <c r="AO2171" s="79">
        <f>IF(AN2171="","",IF(AD2171=0,"OK",_xlfn.LET(monedaPago, IF(AA2171="","USD",AA2171), limitePermitido, IFERROR(VLOOKUP(monedaPago, Configuración!$A$2:$B$3, 2, FALSE), 0.15), IF(AD2171&gt;limitePermitido, "ALERTA: EXCESO (" &amp; TEXT(limitePermitido, "0%") &amp; " máx)", "OK"))))</f>
        <v/>
      </c>
      <c r="AP2171" s="79">
        <f>IF(AN2171="","",IF(AE2171=0,"OK",_xlfn.LET(fechaPago, Z2171, fechaFactura, R2171, diasCredito, IF(E2171="Pago inmediato", 0, IFERROR(VALUE(MID(E2171, 1, SEARCH(" ", E2171)-1)),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71" s="79">
        <f>IF(AN2171="","",IF(AND(N2171&gt;0, AG2171&gt;0), IF(Configuración!$K$2="NO", "ALERTA: DESCUENTO DOBLE NO PERMITIDO", "OK"), "OK"))</f>
        <v/>
      </c>
      <c r="AR2171" s="79">
        <f>IF(AN2171="","",IF(OR(AO2171&lt;&gt;"OK", AP2171&lt;&gt;"OK", AQ2171&lt;&gt;"OK"), "⚠️ REVISAR", "OK"))</f>
        <v/>
      </c>
    </row>
    <row r="2172">
      <c r="A2172" s="79">
        <f>IF('Ordenes_Odoo'!A2172="","",'Ordenes_Odoo'!A2172)</f>
        <v/>
      </c>
      <c r="B2172" s="80">
        <f>IF('Ordenes_Odoo'!B2172="","",'Ordenes_Odoo'!B2172)</f>
        <v/>
      </c>
      <c r="C2172" s="79">
        <f>IF('Ordenes_Odoo'!C2172="","",'Ordenes_Odoo'!C2172)</f>
        <v/>
      </c>
      <c r="D2172" s="79">
        <f>IF('Ordenes_Odoo'!D2172="","",'Ordenes_Odoo'!D2172)</f>
        <v/>
      </c>
      <c r="E2172" s="79">
        <f>IF('Ordenes_Odoo'!E2172="","",'Ordenes_Odoo'!E2172)</f>
        <v/>
      </c>
      <c r="F2172" s="79">
        <f>IF('Ordenes_Odoo'!F2172="","",'Ordenes_Odoo'!F2172)</f>
        <v/>
      </c>
      <c r="G2172" s="79">
        <f>IF('Ordenes_Odoo'!G2172="","",'Ordenes_Odoo'!G2172)</f>
        <v/>
      </c>
      <c r="H2172" s="79">
        <f>IF('Ordenes_Odoo'!H2172="","",'Ordenes_Odoo'!H2172)</f>
        <v/>
      </c>
      <c r="I2172" s="79">
        <f>IF('Ordenes_Odoo'!I2172="","",'Ordenes_Odoo'!I2172)</f>
        <v/>
      </c>
      <c r="J2172" s="79">
        <f>IF('Ordenes_Odoo'!J2172="","",'Ordenes_Odoo'!J2172)</f>
        <v/>
      </c>
      <c r="K2172" s="81">
        <f>IF('Ordenes_Odoo'!K2172="","",'Ordenes_Odoo'!K2172)</f>
        <v/>
      </c>
      <c r="L2172" s="81">
        <f>IF('Ordenes_Odoo'!L2172="","",'Ordenes_Odoo'!L2172)</f>
        <v/>
      </c>
      <c r="M2172" s="79">
        <f>IF('Ordenes_Odoo'!M2172="","",'Ordenes_Odoo'!M2172)</f>
        <v/>
      </c>
      <c r="N2172" s="79">
        <f>IF('Ordenes_Odoo'!N2172="","",'Ordenes_Odoo'!N2172)</f>
        <v/>
      </c>
      <c r="O2172" s="81">
        <f>IF('Ordenes_Odoo'!O2172="","",'Ordenes_Odoo'!O2172)</f>
        <v/>
      </c>
      <c r="P2172" s="81">
        <f>IF('Ordenes_Odoo'!P2172="","",'Ordenes_Odoo'!P2172)</f>
        <v/>
      </c>
      <c r="Q2172" s="79">
        <f>IF(A2172="","",IFERROR(INDEX(Facturas_Odoo!$B:$B, MATCH(A2172, Facturas_Odoo!$D:$D, 0)), "Sin Factura"))</f>
        <v/>
      </c>
      <c r="R2172" s="80">
        <f>IF(Q2172="Sin Factura","",IFERROR(INDEX(Facturas_Odoo!$A:$A, MATCH(Q2172, Facturas_Odoo!$B:$B, 0)), ""))</f>
        <v/>
      </c>
      <c r="S2172" s="79">
        <f>IF(Q2172="Sin Factura","",IFERROR(_xlfn.XLOOKUP(1, (Facturas_Odoo!$D:$D=A2172) * (Facturas_Odoo!$K:$K=I2172), Facturas_Odoo!$L:$L, ""), ""))</f>
        <v/>
      </c>
      <c r="T2172" s="81">
        <f>IF(Q2172="Sin Factura",0,IFERROR(_xlfn.XLOOKUP(1, (Facturas_Odoo!$D:$D=A2172) * (Facturas_Odoo!$K:$K=I2172), Facturas_Odoo!$M:$M, 0), 0))</f>
        <v/>
      </c>
      <c r="U2172" s="79">
        <f>IF(Q2172="Sin Factura",0,IFERROR(_xlfn.XLOOKUP(1, (Facturas_Odoo!$D:$D=A2172) * (Facturas_Odoo!$K:$K=I2172), Facturas_Odoo!$N:$N, 0), 0))</f>
        <v/>
      </c>
      <c r="V2172" s="79">
        <f>IF(Q2172="Sin Factura",0,IFERROR(_xlfn.XLOOKUP(1, (Facturas_Odoo!$D:$D=A2172) * (Facturas_Odoo!$K:$K=I2172), Facturas_Odoo!$O:$O, 0), 0))</f>
        <v/>
      </c>
      <c r="W2172" s="81">
        <f>IF(Q2172="Sin Factura",0,IFERROR(_xlfn.XLOOKUP(1, (Facturas_Odoo!$D:$D=A2172) * (Facturas_Odoo!$K:$K=I2172), Facturas_Odoo!$Q:$Q, 0), 0))</f>
        <v/>
      </c>
      <c r="X2172" s="79">
        <f>IF(OR(Q2172="Sin Factura",Q2172=""),"",IFERROR(INDEX(Pagos_Odoo!$B:$B, MATCH(Q2172, Pagos_Odoo!$I:$I, 0)), "Sin Pago"))</f>
        <v/>
      </c>
      <c r="Y2172" s="79">
        <f>IF(X2172="Sin Pago","",IFERROR(INDEX(Pagos_Odoo!$C:$C, MATCH(X2172, Pagos_Odoo!$B:$B, 0)), ""))</f>
        <v/>
      </c>
      <c r="Z2172" s="80">
        <f>IF(X2172="Sin Pago","",IFERROR(INDEX(Pagos_Odoo!$A:$A, MATCH(X2172, Pagos_Odoo!$B:$B, 0)), ""))</f>
        <v/>
      </c>
      <c r="AA2172" s="79">
        <f>IF(X2172="Sin Pago","",IFERROR(INDEX(Pagos_Odoo!$F:$F, MATCH(X2172, Pagos_Odoo!$B:$B, 0)), ""))</f>
        <v/>
      </c>
      <c r="AB2172" s="81">
        <f>IF(X2172="Sin Pago",0,IFERROR(INDEX(Pagos_Odoo!$E:$E, MATCH(X2172, Pagos_Odoo!$B:$B, 0)), 0))</f>
        <v/>
      </c>
      <c r="AC2172" s="79">
        <f>IF(X2172="Sin Pago","",IFERROR(INDEX(Pagos_Odoo!$G:$G, MATCH(X2172, Pagos_Odoo!$B:$B, 0)), ""))</f>
        <v/>
      </c>
      <c r="AD2172" s="82" t="n">
        <v>0</v>
      </c>
      <c r="AE2172" s="82" t="n"/>
      <c r="AF2172" s="82" t="n"/>
      <c r="AG2172" s="82">
        <f>IF(AN2172="","",AD2172+AE2172+AF2172)</f>
        <v/>
      </c>
      <c r="AH2172" s="81">
        <f>IF(AN2172="","",P2172*(1-AG2172))</f>
        <v/>
      </c>
      <c r="AI2172" s="81">
        <f>IF(AN2172="","",IF(Q2172="Sin Factura",0,IFERROR(INDEX(Facturas_Odoo!$H:$H, MATCH(Q2172, Facturas_Odoo!$B:$B, 0)), 0)*(1-AG2172)))</f>
        <v/>
      </c>
      <c r="AJ2172" s="81">
        <f>IF(AN2172="","",_xlfn.LET(idVenta, AN2172&amp;"",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72" s="81">
        <f>IF(AN2172="","",AH2172-AJ2172)</f>
        <v/>
      </c>
      <c r="AL2172" s="81">
        <f>IF(AN2172="","",IF(Q2172="Sin Factura","",AI2172-AJ2172))</f>
        <v/>
      </c>
      <c r="AM2172" s="81">
        <f>IF(AN2172="","",IF(Q2172="Sin Factura",0,P2172-IFERROR(INDEX(Facturas_Odoo!$H:$H, MATCH(Q2172, Facturas_Odoo!$B:$B, 0)), 0)))</f>
        <v/>
      </c>
      <c r="AN2172" s="79">
        <f>IF(AND(A2172="", J2172=""), "", IF(A2172&lt;&gt;"", VALUE(MID(A2172,2,LEN(A2172))), AN2171))</f>
        <v/>
      </c>
      <c r="AO2172" s="79">
        <f>IF(AN2172="","",IF(AD2172=0,"OK",_xlfn.LET(monedaPago, IF(AA2172="","USD",AA2172), limitePermitido, IFERROR(VLOOKUP(monedaPago, Configuración!$A$2:$B$3, 2, FALSE), 0.15), IF(AD2172&gt;limitePermitido, "ALERTA: EXCESO (" &amp; TEXT(limitePermitido, "0%") &amp; " máx)", "OK"))))</f>
        <v/>
      </c>
      <c r="AP2172" s="79">
        <f>IF(AN2172="","",IF(AE2172=0,"OK",_xlfn.LET(fechaPago, Z2172, fechaFactura, R2172, diasCredito, IF(E2172="Pago inmediato", 0, IFERROR(VALUE(MID(E2172, 1, SEARCH(" ", E2172)-1)),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72" s="79">
        <f>IF(AN2172="","",IF(AND(N2172&gt;0, AG2172&gt;0), IF(Configuración!$K$2="NO", "ALERTA: DESCUENTO DOBLE NO PERMITIDO", "OK"), "OK"))</f>
        <v/>
      </c>
      <c r="AR2172" s="79">
        <f>IF(AN2172="","",IF(OR(AO2172&lt;&gt;"OK", AP2172&lt;&gt;"OK", AQ2172&lt;&gt;"OK"), "⚠️ REVISAR", "OK"))</f>
        <v/>
      </c>
    </row>
    <row r="2173">
      <c r="A2173" s="79">
        <f>IF('Ordenes_Odoo'!A2173="","",'Ordenes_Odoo'!A2173)</f>
        <v/>
      </c>
      <c r="B2173" s="80">
        <f>IF('Ordenes_Odoo'!B2173="","",'Ordenes_Odoo'!B2173)</f>
        <v/>
      </c>
      <c r="C2173" s="79">
        <f>IF('Ordenes_Odoo'!C2173="","",'Ordenes_Odoo'!C2173)</f>
        <v/>
      </c>
      <c r="D2173" s="79">
        <f>IF('Ordenes_Odoo'!D2173="","",'Ordenes_Odoo'!D2173)</f>
        <v/>
      </c>
      <c r="E2173" s="79">
        <f>IF('Ordenes_Odoo'!E2173="","",'Ordenes_Odoo'!E2173)</f>
        <v/>
      </c>
      <c r="F2173" s="79">
        <f>IF('Ordenes_Odoo'!F2173="","",'Ordenes_Odoo'!F2173)</f>
        <v/>
      </c>
      <c r="G2173" s="79">
        <f>IF('Ordenes_Odoo'!G2173="","",'Ordenes_Odoo'!G2173)</f>
        <v/>
      </c>
      <c r="H2173" s="79">
        <f>IF('Ordenes_Odoo'!H2173="","",'Ordenes_Odoo'!H2173)</f>
        <v/>
      </c>
      <c r="I2173" s="79">
        <f>IF('Ordenes_Odoo'!I2173="","",'Ordenes_Odoo'!I2173)</f>
        <v/>
      </c>
      <c r="J2173" s="79">
        <f>IF('Ordenes_Odoo'!J2173="","",'Ordenes_Odoo'!J2173)</f>
        <v/>
      </c>
      <c r="K2173" s="81">
        <f>IF('Ordenes_Odoo'!K2173="","",'Ordenes_Odoo'!K2173)</f>
        <v/>
      </c>
      <c r="L2173" s="81">
        <f>IF('Ordenes_Odoo'!L2173="","",'Ordenes_Odoo'!L2173)</f>
        <v/>
      </c>
      <c r="M2173" s="79">
        <f>IF('Ordenes_Odoo'!M2173="","",'Ordenes_Odoo'!M2173)</f>
        <v/>
      </c>
      <c r="N2173" s="79">
        <f>IF('Ordenes_Odoo'!N2173="","",'Ordenes_Odoo'!N2173)</f>
        <v/>
      </c>
      <c r="O2173" s="81">
        <f>IF('Ordenes_Odoo'!O2173="","",'Ordenes_Odoo'!O2173)</f>
        <v/>
      </c>
      <c r="P2173" s="81">
        <f>IF('Ordenes_Odoo'!P2173="","",'Ordenes_Odoo'!P2173)</f>
        <v/>
      </c>
      <c r="Q2173" s="79">
        <f>IF(A2173="","",IFERROR(INDEX(Facturas_Odoo!$B:$B, MATCH(A2173, Facturas_Odoo!$D:$D, 0)), "Sin Factura"))</f>
        <v/>
      </c>
      <c r="R2173" s="80">
        <f>IF(Q2173="Sin Factura","",IFERROR(INDEX(Facturas_Odoo!$A:$A, MATCH(Q2173, Facturas_Odoo!$B:$B, 0)), ""))</f>
        <v/>
      </c>
      <c r="S2173" s="79">
        <f>IF(Q2173="Sin Factura","",IFERROR(_xlfn.XLOOKUP(1, (Facturas_Odoo!$D:$D=A2173) * (Facturas_Odoo!$K:$K=I2173), Facturas_Odoo!$L:$L, ""), ""))</f>
        <v/>
      </c>
      <c r="T2173" s="81">
        <f>IF(Q2173="Sin Factura",0,IFERROR(_xlfn.XLOOKUP(1, (Facturas_Odoo!$D:$D=A2173) * (Facturas_Odoo!$K:$K=I2173), Facturas_Odoo!$M:$M, 0), 0))</f>
        <v/>
      </c>
      <c r="U2173" s="79">
        <f>IF(Q2173="Sin Factura",0,IFERROR(_xlfn.XLOOKUP(1, (Facturas_Odoo!$D:$D=A2173) * (Facturas_Odoo!$K:$K=I2173), Facturas_Odoo!$N:$N, 0), 0))</f>
        <v/>
      </c>
      <c r="V2173" s="79">
        <f>IF(Q2173="Sin Factura",0,IFERROR(_xlfn.XLOOKUP(1, (Facturas_Odoo!$D:$D=A2173) * (Facturas_Odoo!$K:$K=I2173), Facturas_Odoo!$O:$O, 0), 0))</f>
        <v/>
      </c>
      <c r="W2173" s="81">
        <f>IF(Q2173="Sin Factura",0,IFERROR(_xlfn.XLOOKUP(1, (Facturas_Odoo!$D:$D=A2173) * (Facturas_Odoo!$K:$K=I2173), Facturas_Odoo!$Q:$Q, 0), 0))</f>
        <v/>
      </c>
      <c r="X2173" s="79">
        <f>IF(OR(Q2173="Sin Factura",Q2173=""),"",IFERROR(INDEX(Pagos_Odoo!$B:$B, MATCH(Q2173, Pagos_Odoo!$I:$I, 0)), "Sin Pago"))</f>
        <v/>
      </c>
      <c r="Y2173" s="79">
        <f>IF(X2173="Sin Pago","",IFERROR(INDEX(Pagos_Odoo!$C:$C, MATCH(X2173, Pagos_Odoo!$B:$B, 0)), ""))</f>
        <v/>
      </c>
      <c r="Z2173" s="80">
        <f>IF(X2173="Sin Pago","",IFERROR(INDEX(Pagos_Odoo!$A:$A, MATCH(X2173, Pagos_Odoo!$B:$B, 0)), ""))</f>
        <v/>
      </c>
      <c r="AA2173" s="79">
        <f>IF(X2173="Sin Pago","",IFERROR(INDEX(Pagos_Odoo!$F:$F, MATCH(X2173, Pagos_Odoo!$B:$B, 0)), ""))</f>
        <v/>
      </c>
      <c r="AB2173" s="81">
        <f>IF(X2173="Sin Pago",0,IFERROR(INDEX(Pagos_Odoo!$E:$E, MATCH(X2173, Pagos_Odoo!$B:$B, 0)), 0))</f>
        <v/>
      </c>
      <c r="AC2173" s="79">
        <f>IF(X2173="Sin Pago","",IFERROR(INDEX(Pagos_Odoo!$G:$G, MATCH(X2173, Pagos_Odoo!$B:$B, 0)), ""))</f>
        <v/>
      </c>
      <c r="AD2173" s="82" t="n">
        <v>0</v>
      </c>
      <c r="AE2173" s="82" t="n"/>
      <c r="AF2173" s="82" t="n"/>
      <c r="AG2173" s="82">
        <f>IF(AN2173="","",AD2173+AE2173+AF2173)</f>
        <v/>
      </c>
      <c r="AH2173" s="81">
        <f>IF(AN2173="","",P2173*(1-AG2173))</f>
        <v/>
      </c>
      <c r="AI2173" s="81">
        <f>IF(AN2173="","",IF(Q2173="Sin Factura",0,IFERROR(INDEX(Facturas_Odoo!$H:$H, MATCH(Q2173, Facturas_Odoo!$B:$B, 0)), 0)*(1-AG2173)))</f>
        <v/>
      </c>
      <c r="AJ2173" s="81">
        <f>IF(AN2173="","",_xlfn.LET(idVenta, AN2173&amp;"",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73" s="81">
        <f>IF(AN2173="","",AH2173-AJ2173)</f>
        <v/>
      </c>
      <c r="AL2173" s="81">
        <f>IF(AN2173="","",IF(Q2173="Sin Factura","",AI2173-AJ2173))</f>
        <v/>
      </c>
      <c r="AM2173" s="81">
        <f>IF(AN2173="","",IF(Q2173="Sin Factura",0,P2173-IFERROR(INDEX(Facturas_Odoo!$H:$H, MATCH(Q2173, Facturas_Odoo!$B:$B, 0)), 0)))</f>
        <v/>
      </c>
      <c r="AN2173" s="79">
        <f>IF(AND(A2173="", J2173=""), "", IF(A2173&lt;&gt;"", VALUE(MID(A2173,2,LEN(A2173))), AN2172))</f>
        <v/>
      </c>
      <c r="AO2173" s="79">
        <f>IF(AN2173="","",IF(AD2173=0,"OK",_xlfn.LET(monedaPago, IF(AA2173="","USD",AA2173), limitePermitido, IFERROR(VLOOKUP(monedaPago, Configuración!$A$2:$B$3, 2, FALSE), 0.15), IF(AD2173&gt;limitePermitido, "ALERTA: EXCESO (" &amp; TEXT(limitePermitido, "0%") &amp; " máx)", "OK"))))</f>
        <v/>
      </c>
      <c r="AP2173" s="79">
        <f>IF(AN2173="","",IF(AE2173=0,"OK",_xlfn.LET(fechaPago, Z2173, fechaFactura, R2173, diasCredito, IF(E2173="Pago inmediato", 0, IFERROR(VALUE(MID(E2173, 1, SEARCH(" ", E2173)-1)),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73" s="79">
        <f>IF(AN2173="","",IF(AND(N2173&gt;0, AG2173&gt;0), IF(Configuración!$K$2="NO", "ALERTA: DESCUENTO DOBLE NO PERMITIDO", "OK"), "OK"))</f>
        <v/>
      </c>
      <c r="AR2173" s="79">
        <f>IF(AN2173="","",IF(OR(AO2173&lt;&gt;"OK", AP2173&lt;&gt;"OK", AQ2173&lt;&gt;"OK"), "⚠️ REVISAR", "OK"))</f>
        <v/>
      </c>
    </row>
    <row r="2174">
      <c r="A2174" s="79">
        <f>IF('Ordenes_Odoo'!A2174="","",'Ordenes_Odoo'!A2174)</f>
        <v/>
      </c>
      <c r="B2174" s="80">
        <f>IF('Ordenes_Odoo'!B2174="","",'Ordenes_Odoo'!B2174)</f>
        <v/>
      </c>
      <c r="C2174" s="79">
        <f>IF('Ordenes_Odoo'!C2174="","",'Ordenes_Odoo'!C2174)</f>
        <v/>
      </c>
      <c r="D2174" s="79">
        <f>IF('Ordenes_Odoo'!D2174="","",'Ordenes_Odoo'!D2174)</f>
        <v/>
      </c>
      <c r="E2174" s="79">
        <f>IF('Ordenes_Odoo'!E2174="","",'Ordenes_Odoo'!E2174)</f>
        <v/>
      </c>
      <c r="F2174" s="79">
        <f>IF('Ordenes_Odoo'!F2174="","",'Ordenes_Odoo'!F2174)</f>
        <v/>
      </c>
      <c r="G2174" s="79">
        <f>IF('Ordenes_Odoo'!G2174="","",'Ordenes_Odoo'!G2174)</f>
        <v/>
      </c>
      <c r="H2174" s="79">
        <f>IF('Ordenes_Odoo'!H2174="","",'Ordenes_Odoo'!H2174)</f>
        <v/>
      </c>
      <c r="I2174" s="79">
        <f>IF('Ordenes_Odoo'!I2174="","",'Ordenes_Odoo'!I2174)</f>
        <v/>
      </c>
      <c r="J2174" s="79">
        <f>IF('Ordenes_Odoo'!J2174="","",'Ordenes_Odoo'!J2174)</f>
        <v/>
      </c>
      <c r="K2174" s="81">
        <f>IF('Ordenes_Odoo'!K2174="","",'Ordenes_Odoo'!K2174)</f>
        <v/>
      </c>
      <c r="L2174" s="81">
        <f>IF('Ordenes_Odoo'!L2174="","",'Ordenes_Odoo'!L2174)</f>
        <v/>
      </c>
      <c r="M2174" s="79">
        <f>IF('Ordenes_Odoo'!M2174="","",'Ordenes_Odoo'!M2174)</f>
        <v/>
      </c>
      <c r="N2174" s="79">
        <f>IF('Ordenes_Odoo'!N2174="","",'Ordenes_Odoo'!N2174)</f>
        <v/>
      </c>
      <c r="O2174" s="81">
        <f>IF('Ordenes_Odoo'!O2174="","",'Ordenes_Odoo'!O2174)</f>
        <v/>
      </c>
      <c r="P2174" s="81">
        <f>IF('Ordenes_Odoo'!P2174="","",'Ordenes_Odoo'!P2174)</f>
        <v/>
      </c>
      <c r="Q2174" s="79">
        <f>IF(A2174="","",IFERROR(INDEX(Facturas_Odoo!$B:$B, MATCH(A2174, Facturas_Odoo!$D:$D, 0)), "Sin Factura"))</f>
        <v/>
      </c>
      <c r="R2174" s="80">
        <f>IF(Q2174="Sin Factura","",IFERROR(INDEX(Facturas_Odoo!$A:$A, MATCH(Q2174, Facturas_Odoo!$B:$B, 0)), ""))</f>
        <v/>
      </c>
      <c r="S2174" s="79">
        <f>IF(Q2174="Sin Factura","",IFERROR(_xlfn.XLOOKUP(1, (Facturas_Odoo!$D:$D=A2174) * (Facturas_Odoo!$K:$K=I2174), Facturas_Odoo!$L:$L, ""), ""))</f>
        <v/>
      </c>
      <c r="T2174" s="81">
        <f>IF(Q2174="Sin Factura",0,IFERROR(_xlfn.XLOOKUP(1, (Facturas_Odoo!$D:$D=A2174) * (Facturas_Odoo!$K:$K=I2174), Facturas_Odoo!$M:$M, 0), 0))</f>
        <v/>
      </c>
      <c r="U2174" s="79">
        <f>IF(Q2174="Sin Factura",0,IFERROR(_xlfn.XLOOKUP(1, (Facturas_Odoo!$D:$D=A2174) * (Facturas_Odoo!$K:$K=I2174), Facturas_Odoo!$N:$N, 0), 0))</f>
        <v/>
      </c>
      <c r="V2174" s="79">
        <f>IF(Q2174="Sin Factura",0,IFERROR(_xlfn.XLOOKUP(1, (Facturas_Odoo!$D:$D=A2174) * (Facturas_Odoo!$K:$K=I2174), Facturas_Odoo!$O:$O, 0), 0))</f>
        <v/>
      </c>
      <c r="W2174" s="81">
        <f>IF(Q2174="Sin Factura",0,IFERROR(_xlfn.XLOOKUP(1, (Facturas_Odoo!$D:$D=A2174) * (Facturas_Odoo!$K:$K=I2174), Facturas_Odoo!$Q:$Q, 0), 0))</f>
        <v/>
      </c>
      <c r="X2174" s="79">
        <f>IF(OR(Q2174="Sin Factura",Q2174=""),"",IFERROR(INDEX(Pagos_Odoo!$B:$B, MATCH(Q2174, Pagos_Odoo!$I:$I, 0)), "Sin Pago"))</f>
        <v/>
      </c>
      <c r="Y2174" s="79">
        <f>IF(X2174="Sin Pago","",IFERROR(INDEX(Pagos_Odoo!$C:$C, MATCH(X2174, Pagos_Odoo!$B:$B, 0)), ""))</f>
        <v/>
      </c>
      <c r="Z2174" s="80">
        <f>IF(X2174="Sin Pago","",IFERROR(INDEX(Pagos_Odoo!$A:$A, MATCH(X2174, Pagos_Odoo!$B:$B, 0)), ""))</f>
        <v/>
      </c>
      <c r="AA2174" s="79">
        <f>IF(X2174="Sin Pago","",IFERROR(INDEX(Pagos_Odoo!$F:$F, MATCH(X2174, Pagos_Odoo!$B:$B, 0)), ""))</f>
        <v/>
      </c>
      <c r="AB2174" s="81">
        <f>IF(X2174="Sin Pago",0,IFERROR(INDEX(Pagos_Odoo!$E:$E, MATCH(X2174, Pagos_Odoo!$B:$B, 0)), 0))</f>
        <v/>
      </c>
      <c r="AC2174" s="79">
        <f>IF(X2174="Sin Pago","",IFERROR(INDEX(Pagos_Odoo!$G:$G, MATCH(X2174, Pagos_Odoo!$B:$B, 0)), ""))</f>
        <v/>
      </c>
      <c r="AD2174" s="82" t="n">
        <v>0</v>
      </c>
      <c r="AE2174" s="82" t="n"/>
      <c r="AF2174" s="82" t="n"/>
      <c r="AG2174" s="82">
        <f>IF(AN2174="","",AD2174+AE2174+AF2174)</f>
        <v/>
      </c>
      <c r="AH2174" s="81">
        <f>IF(AN2174="","",P2174*(1-AG2174))</f>
        <v/>
      </c>
      <c r="AI2174" s="81">
        <f>IF(AN2174="","",IF(Q2174="Sin Factura",0,IFERROR(INDEX(Facturas_Odoo!$H:$H, MATCH(Q2174, Facturas_Odoo!$B:$B, 0)), 0)*(1-AG2174)))</f>
        <v/>
      </c>
      <c r="AJ2174" s="81">
        <f>IF(AN2174="","",_xlfn.LET(idVenta, AN2174&amp;"",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74" s="81">
        <f>IF(AN2174="","",AH2174-AJ2174)</f>
        <v/>
      </c>
      <c r="AL2174" s="81">
        <f>IF(AN2174="","",IF(Q2174="Sin Factura","",AI2174-AJ2174))</f>
        <v/>
      </c>
      <c r="AM2174" s="81">
        <f>IF(AN2174="","",IF(Q2174="Sin Factura",0,P2174-IFERROR(INDEX(Facturas_Odoo!$H:$H, MATCH(Q2174, Facturas_Odoo!$B:$B, 0)), 0)))</f>
        <v/>
      </c>
      <c r="AN2174" s="79">
        <f>IF(AND(A2174="", J2174=""), "", IF(A2174&lt;&gt;"", VALUE(MID(A2174,2,LEN(A2174))), AN2173))</f>
        <v/>
      </c>
      <c r="AO2174" s="79">
        <f>IF(AN2174="","",IF(AD2174=0,"OK",_xlfn.LET(monedaPago, IF(AA2174="","USD",AA2174), limitePermitido, IFERROR(VLOOKUP(monedaPago, Configuración!$A$2:$B$3, 2, FALSE), 0.15), IF(AD2174&gt;limitePermitido, "ALERTA: EXCESO (" &amp; TEXT(limitePermitido, "0%") &amp; " máx)", "OK"))))</f>
        <v/>
      </c>
      <c r="AP2174" s="79">
        <f>IF(AN2174="","",IF(AE2174=0,"OK",_xlfn.LET(fechaPago, Z2174, fechaFactura, R2174, diasCredito, IF(E2174="Pago inmediato", 0, IFERROR(VALUE(MID(E2174, 1, SEARCH(" ", E2174)-1)),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74" s="79">
        <f>IF(AN2174="","",IF(AND(N2174&gt;0, AG2174&gt;0), IF(Configuración!$K$2="NO", "ALERTA: DESCUENTO DOBLE NO PERMITIDO", "OK"), "OK"))</f>
        <v/>
      </c>
      <c r="AR2174" s="79">
        <f>IF(AN2174="","",IF(OR(AO2174&lt;&gt;"OK", AP2174&lt;&gt;"OK", AQ2174&lt;&gt;"OK"), "⚠️ REVISAR", "OK"))</f>
        <v/>
      </c>
    </row>
    <row r="2175">
      <c r="A2175" s="79">
        <f>IF('Ordenes_Odoo'!A2175="","",'Ordenes_Odoo'!A2175)</f>
        <v/>
      </c>
      <c r="B2175" s="80">
        <f>IF('Ordenes_Odoo'!B2175="","",'Ordenes_Odoo'!B2175)</f>
        <v/>
      </c>
      <c r="C2175" s="79">
        <f>IF('Ordenes_Odoo'!C2175="","",'Ordenes_Odoo'!C2175)</f>
        <v/>
      </c>
      <c r="D2175" s="79">
        <f>IF('Ordenes_Odoo'!D2175="","",'Ordenes_Odoo'!D2175)</f>
        <v/>
      </c>
      <c r="E2175" s="79">
        <f>IF('Ordenes_Odoo'!E2175="","",'Ordenes_Odoo'!E2175)</f>
        <v/>
      </c>
      <c r="F2175" s="79">
        <f>IF('Ordenes_Odoo'!F2175="","",'Ordenes_Odoo'!F2175)</f>
        <v/>
      </c>
      <c r="G2175" s="79">
        <f>IF('Ordenes_Odoo'!G2175="","",'Ordenes_Odoo'!G2175)</f>
        <v/>
      </c>
      <c r="H2175" s="79">
        <f>IF('Ordenes_Odoo'!H2175="","",'Ordenes_Odoo'!H2175)</f>
        <v/>
      </c>
      <c r="I2175" s="79">
        <f>IF('Ordenes_Odoo'!I2175="","",'Ordenes_Odoo'!I2175)</f>
        <v/>
      </c>
      <c r="J2175" s="79">
        <f>IF('Ordenes_Odoo'!J2175="","",'Ordenes_Odoo'!J2175)</f>
        <v/>
      </c>
      <c r="K2175" s="81">
        <f>IF('Ordenes_Odoo'!K2175="","",'Ordenes_Odoo'!K2175)</f>
        <v/>
      </c>
      <c r="L2175" s="81">
        <f>IF('Ordenes_Odoo'!L2175="","",'Ordenes_Odoo'!L2175)</f>
        <v/>
      </c>
      <c r="M2175" s="79">
        <f>IF('Ordenes_Odoo'!M2175="","",'Ordenes_Odoo'!M2175)</f>
        <v/>
      </c>
      <c r="N2175" s="79">
        <f>IF('Ordenes_Odoo'!N2175="","",'Ordenes_Odoo'!N2175)</f>
        <v/>
      </c>
      <c r="O2175" s="81">
        <f>IF('Ordenes_Odoo'!O2175="","",'Ordenes_Odoo'!O2175)</f>
        <v/>
      </c>
      <c r="P2175" s="81">
        <f>IF('Ordenes_Odoo'!P2175="","",'Ordenes_Odoo'!P2175)</f>
        <v/>
      </c>
      <c r="Q2175" s="79">
        <f>IF(A2175="","",IFERROR(INDEX(Facturas_Odoo!$B:$B, MATCH(A2175, Facturas_Odoo!$D:$D, 0)), "Sin Factura"))</f>
        <v/>
      </c>
      <c r="R2175" s="80">
        <f>IF(Q2175="Sin Factura","",IFERROR(INDEX(Facturas_Odoo!$A:$A, MATCH(Q2175, Facturas_Odoo!$B:$B, 0)), ""))</f>
        <v/>
      </c>
      <c r="S2175" s="79">
        <f>IF(Q2175="Sin Factura","",IFERROR(_xlfn.XLOOKUP(1, (Facturas_Odoo!$D:$D=A2175) * (Facturas_Odoo!$K:$K=I2175), Facturas_Odoo!$L:$L, ""), ""))</f>
        <v/>
      </c>
      <c r="T2175" s="81">
        <f>IF(Q2175="Sin Factura",0,IFERROR(_xlfn.XLOOKUP(1, (Facturas_Odoo!$D:$D=A2175) * (Facturas_Odoo!$K:$K=I2175), Facturas_Odoo!$M:$M, 0), 0))</f>
        <v/>
      </c>
      <c r="U2175" s="79">
        <f>IF(Q2175="Sin Factura",0,IFERROR(_xlfn.XLOOKUP(1, (Facturas_Odoo!$D:$D=A2175) * (Facturas_Odoo!$K:$K=I2175), Facturas_Odoo!$N:$N, 0), 0))</f>
        <v/>
      </c>
      <c r="V2175" s="79">
        <f>IF(Q2175="Sin Factura",0,IFERROR(_xlfn.XLOOKUP(1, (Facturas_Odoo!$D:$D=A2175) * (Facturas_Odoo!$K:$K=I2175), Facturas_Odoo!$O:$O, 0), 0))</f>
        <v/>
      </c>
      <c r="W2175" s="81">
        <f>IF(Q2175="Sin Factura",0,IFERROR(_xlfn.XLOOKUP(1, (Facturas_Odoo!$D:$D=A2175) * (Facturas_Odoo!$K:$K=I2175), Facturas_Odoo!$Q:$Q, 0), 0))</f>
        <v/>
      </c>
      <c r="X2175" s="79">
        <f>IF(OR(Q2175="Sin Factura",Q2175=""),"",IFERROR(INDEX(Pagos_Odoo!$B:$B, MATCH(Q2175, Pagos_Odoo!$I:$I, 0)), "Sin Pago"))</f>
        <v/>
      </c>
      <c r="Y2175" s="79">
        <f>IF(X2175="Sin Pago","",IFERROR(INDEX(Pagos_Odoo!$C:$C, MATCH(X2175, Pagos_Odoo!$B:$B, 0)), ""))</f>
        <v/>
      </c>
      <c r="Z2175" s="80">
        <f>IF(X2175="Sin Pago","",IFERROR(INDEX(Pagos_Odoo!$A:$A, MATCH(X2175, Pagos_Odoo!$B:$B, 0)), ""))</f>
        <v/>
      </c>
      <c r="AA2175" s="79">
        <f>IF(X2175="Sin Pago","",IFERROR(INDEX(Pagos_Odoo!$F:$F, MATCH(X2175, Pagos_Odoo!$B:$B, 0)), ""))</f>
        <v/>
      </c>
      <c r="AB2175" s="81">
        <f>IF(X2175="Sin Pago",0,IFERROR(INDEX(Pagos_Odoo!$E:$E, MATCH(X2175, Pagos_Odoo!$B:$B, 0)), 0))</f>
        <v/>
      </c>
      <c r="AC2175" s="79">
        <f>IF(X2175="Sin Pago","",IFERROR(INDEX(Pagos_Odoo!$G:$G, MATCH(X2175, Pagos_Odoo!$B:$B, 0)), ""))</f>
        <v/>
      </c>
      <c r="AD2175" s="82" t="n">
        <v>0</v>
      </c>
      <c r="AE2175" s="82" t="n"/>
      <c r="AF2175" s="82" t="n"/>
      <c r="AG2175" s="82">
        <f>IF(AN2175="","",AD2175+AE2175+AF2175)</f>
        <v/>
      </c>
      <c r="AH2175" s="81">
        <f>IF(AN2175="","",P2175*(1-AG2175))</f>
        <v/>
      </c>
      <c r="AI2175" s="81">
        <f>IF(AN2175="","",IF(Q2175="Sin Factura",0,IFERROR(INDEX(Facturas_Odoo!$H:$H, MATCH(Q2175, Facturas_Odoo!$B:$B, 0)), 0)*(1-AG2175)))</f>
        <v/>
      </c>
      <c r="AJ2175" s="81">
        <f>IF(AN2175="","",_xlfn.LET(idVenta, AN2175&amp;"",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75" s="81">
        <f>IF(AN2175="","",AH2175-AJ2175)</f>
        <v/>
      </c>
      <c r="AL2175" s="81">
        <f>IF(AN2175="","",IF(Q2175="Sin Factura","",AI2175-AJ2175))</f>
        <v/>
      </c>
      <c r="AM2175" s="81">
        <f>IF(AN2175="","",IF(Q2175="Sin Factura",0,P2175-IFERROR(INDEX(Facturas_Odoo!$H:$H, MATCH(Q2175, Facturas_Odoo!$B:$B, 0)), 0)))</f>
        <v/>
      </c>
      <c r="AN2175" s="79">
        <f>IF(AND(A2175="", J2175=""), "", IF(A2175&lt;&gt;"", VALUE(MID(A2175,2,LEN(A2175))), AN2174))</f>
        <v/>
      </c>
      <c r="AO2175" s="79">
        <f>IF(AN2175="","",IF(AD2175=0,"OK",_xlfn.LET(monedaPago, IF(AA2175="","USD",AA2175), limitePermitido, IFERROR(VLOOKUP(monedaPago, Configuración!$A$2:$B$3, 2, FALSE), 0.15), IF(AD2175&gt;limitePermitido, "ALERTA: EXCESO (" &amp; TEXT(limitePermitido, "0%") &amp; " máx)", "OK"))))</f>
        <v/>
      </c>
      <c r="AP2175" s="79">
        <f>IF(AN2175="","",IF(AE2175=0,"OK",_xlfn.LET(fechaPago, Z2175, fechaFactura, R2175, diasCredito, IF(E2175="Pago inmediato", 0, IFERROR(VALUE(MID(E2175, 1, SEARCH(" ", E2175)-1)),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75" s="79">
        <f>IF(AN2175="","",IF(AND(N2175&gt;0, AG2175&gt;0), IF(Configuración!$K$2="NO", "ALERTA: DESCUENTO DOBLE NO PERMITIDO", "OK"), "OK"))</f>
        <v/>
      </c>
      <c r="AR2175" s="79">
        <f>IF(AN2175="","",IF(OR(AO2175&lt;&gt;"OK", AP2175&lt;&gt;"OK", AQ2175&lt;&gt;"OK"), "⚠️ REVISAR", "OK"))</f>
        <v/>
      </c>
    </row>
    <row r="2176">
      <c r="A2176" s="79">
        <f>IF('Ordenes_Odoo'!A2176="","",'Ordenes_Odoo'!A2176)</f>
        <v/>
      </c>
      <c r="B2176" s="80">
        <f>IF('Ordenes_Odoo'!B2176="","",'Ordenes_Odoo'!B2176)</f>
        <v/>
      </c>
      <c r="C2176" s="79">
        <f>IF('Ordenes_Odoo'!C2176="","",'Ordenes_Odoo'!C2176)</f>
        <v/>
      </c>
      <c r="D2176" s="79">
        <f>IF('Ordenes_Odoo'!D2176="","",'Ordenes_Odoo'!D2176)</f>
        <v/>
      </c>
      <c r="E2176" s="79">
        <f>IF('Ordenes_Odoo'!E2176="","",'Ordenes_Odoo'!E2176)</f>
        <v/>
      </c>
      <c r="F2176" s="79">
        <f>IF('Ordenes_Odoo'!F2176="","",'Ordenes_Odoo'!F2176)</f>
        <v/>
      </c>
      <c r="G2176" s="79">
        <f>IF('Ordenes_Odoo'!G2176="","",'Ordenes_Odoo'!G2176)</f>
        <v/>
      </c>
      <c r="H2176" s="79">
        <f>IF('Ordenes_Odoo'!H2176="","",'Ordenes_Odoo'!H2176)</f>
        <v/>
      </c>
      <c r="I2176" s="79">
        <f>IF('Ordenes_Odoo'!I2176="","",'Ordenes_Odoo'!I2176)</f>
        <v/>
      </c>
      <c r="J2176" s="79">
        <f>IF('Ordenes_Odoo'!J2176="","",'Ordenes_Odoo'!J2176)</f>
        <v/>
      </c>
      <c r="K2176" s="81">
        <f>IF('Ordenes_Odoo'!K2176="","",'Ordenes_Odoo'!K2176)</f>
        <v/>
      </c>
      <c r="L2176" s="81">
        <f>IF('Ordenes_Odoo'!L2176="","",'Ordenes_Odoo'!L2176)</f>
        <v/>
      </c>
      <c r="M2176" s="79">
        <f>IF('Ordenes_Odoo'!M2176="","",'Ordenes_Odoo'!M2176)</f>
        <v/>
      </c>
      <c r="N2176" s="79">
        <f>IF('Ordenes_Odoo'!N2176="","",'Ordenes_Odoo'!N2176)</f>
        <v/>
      </c>
      <c r="O2176" s="81">
        <f>IF('Ordenes_Odoo'!O2176="","",'Ordenes_Odoo'!O2176)</f>
        <v/>
      </c>
      <c r="P2176" s="81">
        <f>IF('Ordenes_Odoo'!P2176="","",'Ordenes_Odoo'!P2176)</f>
        <v/>
      </c>
      <c r="Q2176" s="79">
        <f>IF(A2176="","",IFERROR(INDEX(Facturas_Odoo!$B:$B, MATCH(A2176, Facturas_Odoo!$D:$D, 0)), "Sin Factura"))</f>
        <v/>
      </c>
      <c r="R2176" s="80">
        <f>IF(Q2176="Sin Factura","",IFERROR(INDEX(Facturas_Odoo!$A:$A, MATCH(Q2176, Facturas_Odoo!$B:$B, 0)), ""))</f>
        <v/>
      </c>
      <c r="S2176" s="79">
        <f>IF(Q2176="Sin Factura","",IFERROR(_xlfn.XLOOKUP(1, (Facturas_Odoo!$D:$D=A2176) * (Facturas_Odoo!$K:$K=I2176), Facturas_Odoo!$L:$L, ""), ""))</f>
        <v/>
      </c>
      <c r="T2176" s="81">
        <f>IF(Q2176="Sin Factura",0,IFERROR(_xlfn.XLOOKUP(1, (Facturas_Odoo!$D:$D=A2176) * (Facturas_Odoo!$K:$K=I2176), Facturas_Odoo!$M:$M, 0), 0))</f>
        <v/>
      </c>
      <c r="U2176" s="79">
        <f>IF(Q2176="Sin Factura",0,IFERROR(_xlfn.XLOOKUP(1, (Facturas_Odoo!$D:$D=A2176) * (Facturas_Odoo!$K:$K=I2176), Facturas_Odoo!$N:$N, 0), 0))</f>
        <v/>
      </c>
      <c r="V2176" s="79">
        <f>IF(Q2176="Sin Factura",0,IFERROR(_xlfn.XLOOKUP(1, (Facturas_Odoo!$D:$D=A2176) * (Facturas_Odoo!$K:$K=I2176), Facturas_Odoo!$O:$O, 0), 0))</f>
        <v/>
      </c>
      <c r="W2176" s="81">
        <f>IF(Q2176="Sin Factura",0,IFERROR(_xlfn.XLOOKUP(1, (Facturas_Odoo!$D:$D=A2176) * (Facturas_Odoo!$K:$K=I2176), Facturas_Odoo!$Q:$Q, 0), 0))</f>
        <v/>
      </c>
      <c r="X2176" s="79">
        <f>IF(OR(Q2176="Sin Factura",Q2176=""),"",IFERROR(INDEX(Pagos_Odoo!$B:$B, MATCH(Q2176, Pagos_Odoo!$I:$I, 0)), "Sin Pago"))</f>
        <v/>
      </c>
      <c r="Y2176" s="79">
        <f>IF(X2176="Sin Pago","",IFERROR(INDEX(Pagos_Odoo!$C:$C, MATCH(X2176, Pagos_Odoo!$B:$B, 0)), ""))</f>
        <v/>
      </c>
      <c r="Z2176" s="80">
        <f>IF(X2176="Sin Pago","",IFERROR(INDEX(Pagos_Odoo!$A:$A, MATCH(X2176, Pagos_Odoo!$B:$B, 0)), ""))</f>
        <v/>
      </c>
      <c r="AA2176" s="79">
        <f>IF(X2176="Sin Pago","",IFERROR(INDEX(Pagos_Odoo!$F:$F, MATCH(X2176, Pagos_Odoo!$B:$B, 0)), ""))</f>
        <v/>
      </c>
      <c r="AB2176" s="81">
        <f>IF(X2176="Sin Pago",0,IFERROR(INDEX(Pagos_Odoo!$E:$E, MATCH(X2176, Pagos_Odoo!$B:$B, 0)), 0))</f>
        <v/>
      </c>
      <c r="AC2176" s="79">
        <f>IF(X2176="Sin Pago","",IFERROR(INDEX(Pagos_Odoo!$G:$G, MATCH(X2176, Pagos_Odoo!$B:$B, 0)), ""))</f>
        <v/>
      </c>
      <c r="AD2176" s="82" t="n">
        <v>0</v>
      </c>
      <c r="AE2176" s="82" t="n"/>
      <c r="AF2176" s="82" t="n"/>
      <c r="AG2176" s="82">
        <f>IF(AN2176="","",AD2176+AE2176+AF2176)</f>
        <v/>
      </c>
      <c r="AH2176" s="81">
        <f>IF(AN2176="","",P2176*(1-AG2176))</f>
        <v/>
      </c>
      <c r="AI2176" s="81">
        <f>IF(AN2176="","",IF(Q2176="Sin Factura",0,IFERROR(INDEX(Facturas_Odoo!$H:$H, MATCH(Q2176, Facturas_Odoo!$B:$B, 0)), 0)*(1-AG2176)))</f>
        <v/>
      </c>
      <c r="AJ2176" s="81">
        <f>IF(AN2176="","",_xlfn.LET(idVenta, AN2176&amp;"",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76" s="81">
        <f>IF(AN2176="","",AH2176-AJ2176)</f>
        <v/>
      </c>
      <c r="AL2176" s="81">
        <f>IF(AN2176="","",IF(Q2176="Sin Factura","",AI2176-AJ2176))</f>
        <v/>
      </c>
      <c r="AM2176" s="81">
        <f>IF(AN2176="","",IF(Q2176="Sin Factura",0,P2176-IFERROR(INDEX(Facturas_Odoo!$H:$H, MATCH(Q2176, Facturas_Odoo!$B:$B, 0)), 0)))</f>
        <v/>
      </c>
      <c r="AN2176" s="79">
        <f>IF(AND(A2176="", J2176=""), "", IF(A2176&lt;&gt;"", VALUE(MID(A2176,2,LEN(A2176))), AN2175))</f>
        <v/>
      </c>
      <c r="AO2176" s="79">
        <f>IF(AN2176="","",IF(AD2176=0,"OK",_xlfn.LET(monedaPago, IF(AA2176="","USD",AA2176), limitePermitido, IFERROR(VLOOKUP(monedaPago, Configuración!$A$2:$B$3, 2, FALSE), 0.15), IF(AD2176&gt;limitePermitido, "ALERTA: EXCESO (" &amp; TEXT(limitePermitido, "0%") &amp; " máx)", "OK"))))</f>
        <v/>
      </c>
      <c r="AP2176" s="79">
        <f>IF(AN2176="","",IF(AE2176=0,"OK",_xlfn.LET(fechaPago, Z2176, fechaFactura, R2176, diasCredito, IF(E2176="Pago inmediato", 0, IFERROR(VALUE(MID(E2176, 1, SEARCH(" ", E2176)-1)),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76" s="79">
        <f>IF(AN2176="","",IF(AND(N2176&gt;0, AG2176&gt;0), IF(Configuración!$K$2="NO", "ALERTA: DESCUENTO DOBLE NO PERMITIDO", "OK"), "OK"))</f>
        <v/>
      </c>
      <c r="AR2176" s="79">
        <f>IF(AN2176="","",IF(OR(AO2176&lt;&gt;"OK", AP2176&lt;&gt;"OK", AQ2176&lt;&gt;"OK"), "⚠️ REVISAR", "OK"))</f>
        <v/>
      </c>
    </row>
    <row r="2177">
      <c r="A2177" s="79">
        <f>IF('Ordenes_Odoo'!A2177="","",'Ordenes_Odoo'!A2177)</f>
        <v/>
      </c>
      <c r="B2177" s="80">
        <f>IF('Ordenes_Odoo'!B2177="","",'Ordenes_Odoo'!B2177)</f>
        <v/>
      </c>
      <c r="C2177" s="79">
        <f>IF('Ordenes_Odoo'!C2177="","",'Ordenes_Odoo'!C2177)</f>
        <v/>
      </c>
      <c r="D2177" s="79">
        <f>IF('Ordenes_Odoo'!D2177="","",'Ordenes_Odoo'!D2177)</f>
        <v/>
      </c>
      <c r="E2177" s="79">
        <f>IF('Ordenes_Odoo'!E2177="","",'Ordenes_Odoo'!E2177)</f>
        <v/>
      </c>
      <c r="F2177" s="79">
        <f>IF('Ordenes_Odoo'!F2177="","",'Ordenes_Odoo'!F2177)</f>
        <v/>
      </c>
      <c r="G2177" s="79">
        <f>IF('Ordenes_Odoo'!G2177="","",'Ordenes_Odoo'!G2177)</f>
        <v/>
      </c>
      <c r="H2177" s="79">
        <f>IF('Ordenes_Odoo'!H2177="","",'Ordenes_Odoo'!H2177)</f>
        <v/>
      </c>
      <c r="I2177" s="79">
        <f>IF('Ordenes_Odoo'!I2177="","",'Ordenes_Odoo'!I2177)</f>
        <v/>
      </c>
      <c r="J2177" s="79">
        <f>IF('Ordenes_Odoo'!J2177="","",'Ordenes_Odoo'!J2177)</f>
        <v/>
      </c>
      <c r="K2177" s="81">
        <f>IF('Ordenes_Odoo'!K2177="","",'Ordenes_Odoo'!K2177)</f>
        <v/>
      </c>
      <c r="L2177" s="81">
        <f>IF('Ordenes_Odoo'!L2177="","",'Ordenes_Odoo'!L2177)</f>
        <v/>
      </c>
      <c r="M2177" s="79">
        <f>IF('Ordenes_Odoo'!M2177="","",'Ordenes_Odoo'!M2177)</f>
        <v/>
      </c>
      <c r="N2177" s="79">
        <f>IF('Ordenes_Odoo'!N2177="","",'Ordenes_Odoo'!N2177)</f>
        <v/>
      </c>
      <c r="O2177" s="81">
        <f>IF('Ordenes_Odoo'!O2177="","",'Ordenes_Odoo'!O2177)</f>
        <v/>
      </c>
      <c r="P2177" s="81">
        <f>IF('Ordenes_Odoo'!P2177="","",'Ordenes_Odoo'!P2177)</f>
        <v/>
      </c>
      <c r="Q2177" s="79">
        <f>IF(A2177="","",IFERROR(INDEX(Facturas_Odoo!$B:$B, MATCH(A2177, Facturas_Odoo!$D:$D, 0)), "Sin Factura"))</f>
        <v/>
      </c>
      <c r="R2177" s="80">
        <f>IF(Q2177="Sin Factura","",IFERROR(INDEX(Facturas_Odoo!$A:$A, MATCH(Q2177, Facturas_Odoo!$B:$B, 0)), ""))</f>
        <v/>
      </c>
      <c r="S2177" s="79">
        <f>IF(Q2177="Sin Factura","",IFERROR(_xlfn.XLOOKUP(1, (Facturas_Odoo!$D:$D=A2177) * (Facturas_Odoo!$K:$K=I2177), Facturas_Odoo!$L:$L, ""), ""))</f>
        <v/>
      </c>
      <c r="T2177" s="81">
        <f>IF(Q2177="Sin Factura",0,IFERROR(_xlfn.XLOOKUP(1, (Facturas_Odoo!$D:$D=A2177) * (Facturas_Odoo!$K:$K=I2177), Facturas_Odoo!$M:$M, 0), 0))</f>
        <v/>
      </c>
      <c r="U2177" s="79">
        <f>IF(Q2177="Sin Factura",0,IFERROR(_xlfn.XLOOKUP(1, (Facturas_Odoo!$D:$D=A2177) * (Facturas_Odoo!$K:$K=I2177), Facturas_Odoo!$N:$N, 0), 0))</f>
        <v/>
      </c>
      <c r="V2177" s="79">
        <f>IF(Q2177="Sin Factura",0,IFERROR(_xlfn.XLOOKUP(1, (Facturas_Odoo!$D:$D=A2177) * (Facturas_Odoo!$K:$K=I2177), Facturas_Odoo!$O:$O, 0), 0))</f>
        <v/>
      </c>
      <c r="W2177" s="81">
        <f>IF(Q2177="Sin Factura",0,IFERROR(_xlfn.XLOOKUP(1, (Facturas_Odoo!$D:$D=A2177) * (Facturas_Odoo!$K:$K=I2177), Facturas_Odoo!$Q:$Q, 0), 0))</f>
        <v/>
      </c>
      <c r="X2177" s="79">
        <f>IF(OR(Q2177="Sin Factura",Q2177=""),"",IFERROR(INDEX(Pagos_Odoo!$B:$B, MATCH(Q2177, Pagos_Odoo!$I:$I, 0)), "Sin Pago"))</f>
        <v/>
      </c>
      <c r="Y2177" s="79">
        <f>IF(X2177="Sin Pago","",IFERROR(INDEX(Pagos_Odoo!$C:$C, MATCH(X2177, Pagos_Odoo!$B:$B, 0)), ""))</f>
        <v/>
      </c>
      <c r="Z2177" s="80">
        <f>IF(X2177="Sin Pago","",IFERROR(INDEX(Pagos_Odoo!$A:$A, MATCH(X2177, Pagos_Odoo!$B:$B, 0)), ""))</f>
        <v/>
      </c>
      <c r="AA2177" s="79">
        <f>IF(X2177="Sin Pago","",IFERROR(INDEX(Pagos_Odoo!$F:$F, MATCH(X2177, Pagos_Odoo!$B:$B, 0)), ""))</f>
        <v/>
      </c>
      <c r="AB2177" s="81">
        <f>IF(X2177="Sin Pago",0,IFERROR(INDEX(Pagos_Odoo!$E:$E, MATCH(X2177, Pagos_Odoo!$B:$B, 0)), 0))</f>
        <v/>
      </c>
      <c r="AC2177" s="79">
        <f>IF(X2177="Sin Pago","",IFERROR(INDEX(Pagos_Odoo!$G:$G, MATCH(X2177, Pagos_Odoo!$B:$B, 0)), ""))</f>
        <v/>
      </c>
      <c r="AD2177" s="82" t="n">
        <v>0</v>
      </c>
      <c r="AE2177" s="82" t="n"/>
      <c r="AF2177" s="82" t="n"/>
      <c r="AG2177" s="82">
        <f>IF(AN2177="","",AD2177+AE2177+AF2177)</f>
        <v/>
      </c>
      <c r="AH2177" s="81">
        <f>IF(AN2177="","",P2177*(1-AG2177))</f>
        <v/>
      </c>
      <c r="AI2177" s="81">
        <f>IF(AN2177="","",IF(Q2177="Sin Factura",0,IFERROR(INDEX(Facturas_Odoo!$H:$H, MATCH(Q2177, Facturas_Odoo!$B:$B, 0)), 0)*(1-AG2177)))</f>
        <v/>
      </c>
      <c r="AJ2177" s="81">
        <f>IF(AN2177="","",_xlfn.LET(idVenta, AN2177&amp;"",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77" s="81">
        <f>IF(AN2177="","",AH2177-AJ2177)</f>
        <v/>
      </c>
      <c r="AL2177" s="81">
        <f>IF(AN2177="","",IF(Q2177="Sin Factura","",AI2177-AJ2177))</f>
        <v/>
      </c>
      <c r="AM2177" s="81">
        <f>IF(AN2177="","",IF(Q2177="Sin Factura",0,P2177-IFERROR(INDEX(Facturas_Odoo!$H:$H, MATCH(Q2177, Facturas_Odoo!$B:$B, 0)), 0)))</f>
        <v/>
      </c>
      <c r="AN2177" s="79">
        <f>IF(AND(A2177="", J2177=""), "", IF(A2177&lt;&gt;"", VALUE(MID(A2177,2,LEN(A2177))), AN2176))</f>
        <v/>
      </c>
      <c r="AO2177" s="79">
        <f>IF(AN2177="","",IF(AD2177=0,"OK",_xlfn.LET(monedaPago, IF(AA2177="","USD",AA2177), limitePermitido, IFERROR(VLOOKUP(monedaPago, Configuración!$A$2:$B$3, 2, FALSE), 0.15), IF(AD2177&gt;limitePermitido, "ALERTA: EXCESO (" &amp; TEXT(limitePermitido, "0%") &amp; " máx)", "OK"))))</f>
        <v/>
      </c>
      <c r="AP2177" s="79">
        <f>IF(AN2177="","",IF(AE2177=0,"OK",_xlfn.LET(fechaPago, Z2177, fechaFactura, R2177, diasCredito, IF(E2177="Pago inmediato", 0, IFERROR(VALUE(MID(E2177, 1, SEARCH(" ", E2177)-1)),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77" s="79">
        <f>IF(AN2177="","",IF(AND(N2177&gt;0, AG2177&gt;0), IF(Configuración!$K$2="NO", "ALERTA: DESCUENTO DOBLE NO PERMITIDO", "OK"), "OK"))</f>
        <v/>
      </c>
      <c r="AR2177" s="79">
        <f>IF(AN2177="","",IF(OR(AO2177&lt;&gt;"OK", AP2177&lt;&gt;"OK", AQ2177&lt;&gt;"OK"), "⚠️ REVISAR", "OK"))</f>
        <v/>
      </c>
    </row>
    <row r="2178">
      <c r="A2178" s="79">
        <f>IF('Ordenes_Odoo'!A2178="","",'Ordenes_Odoo'!A2178)</f>
        <v/>
      </c>
      <c r="B2178" s="80">
        <f>IF('Ordenes_Odoo'!B2178="","",'Ordenes_Odoo'!B2178)</f>
        <v/>
      </c>
      <c r="C2178" s="79">
        <f>IF('Ordenes_Odoo'!C2178="","",'Ordenes_Odoo'!C2178)</f>
        <v/>
      </c>
      <c r="D2178" s="79">
        <f>IF('Ordenes_Odoo'!D2178="","",'Ordenes_Odoo'!D2178)</f>
        <v/>
      </c>
      <c r="E2178" s="79">
        <f>IF('Ordenes_Odoo'!E2178="","",'Ordenes_Odoo'!E2178)</f>
        <v/>
      </c>
      <c r="F2178" s="79">
        <f>IF('Ordenes_Odoo'!F2178="","",'Ordenes_Odoo'!F2178)</f>
        <v/>
      </c>
      <c r="G2178" s="79">
        <f>IF('Ordenes_Odoo'!G2178="","",'Ordenes_Odoo'!G2178)</f>
        <v/>
      </c>
      <c r="H2178" s="79">
        <f>IF('Ordenes_Odoo'!H2178="","",'Ordenes_Odoo'!H2178)</f>
        <v/>
      </c>
      <c r="I2178" s="79">
        <f>IF('Ordenes_Odoo'!I2178="","",'Ordenes_Odoo'!I2178)</f>
        <v/>
      </c>
      <c r="J2178" s="79">
        <f>IF('Ordenes_Odoo'!J2178="","",'Ordenes_Odoo'!J2178)</f>
        <v/>
      </c>
      <c r="K2178" s="81">
        <f>IF('Ordenes_Odoo'!K2178="","",'Ordenes_Odoo'!K2178)</f>
        <v/>
      </c>
      <c r="L2178" s="81">
        <f>IF('Ordenes_Odoo'!L2178="","",'Ordenes_Odoo'!L2178)</f>
        <v/>
      </c>
      <c r="M2178" s="79">
        <f>IF('Ordenes_Odoo'!M2178="","",'Ordenes_Odoo'!M2178)</f>
        <v/>
      </c>
      <c r="N2178" s="79">
        <f>IF('Ordenes_Odoo'!N2178="","",'Ordenes_Odoo'!N2178)</f>
        <v/>
      </c>
      <c r="O2178" s="81">
        <f>IF('Ordenes_Odoo'!O2178="","",'Ordenes_Odoo'!O2178)</f>
        <v/>
      </c>
      <c r="P2178" s="81">
        <f>IF('Ordenes_Odoo'!P2178="","",'Ordenes_Odoo'!P2178)</f>
        <v/>
      </c>
      <c r="Q2178" s="79">
        <f>IF(A2178="","",IFERROR(INDEX(Facturas_Odoo!$B:$B, MATCH(A2178, Facturas_Odoo!$D:$D, 0)), "Sin Factura"))</f>
        <v/>
      </c>
      <c r="R2178" s="80">
        <f>IF(Q2178="Sin Factura","",IFERROR(INDEX(Facturas_Odoo!$A:$A, MATCH(Q2178, Facturas_Odoo!$B:$B, 0)), ""))</f>
        <v/>
      </c>
      <c r="S2178" s="79">
        <f>IF(Q2178="Sin Factura","",IFERROR(_xlfn.XLOOKUP(1, (Facturas_Odoo!$D:$D=A2178) * (Facturas_Odoo!$K:$K=I2178), Facturas_Odoo!$L:$L, ""), ""))</f>
        <v/>
      </c>
      <c r="T2178" s="81">
        <f>IF(Q2178="Sin Factura",0,IFERROR(_xlfn.XLOOKUP(1, (Facturas_Odoo!$D:$D=A2178) * (Facturas_Odoo!$K:$K=I2178), Facturas_Odoo!$M:$M, 0), 0))</f>
        <v/>
      </c>
      <c r="U2178" s="79">
        <f>IF(Q2178="Sin Factura",0,IFERROR(_xlfn.XLOOKUP(1, (Facturas_Odoo!$D:$D=A2178) * (Facturas_Odoo!$K:$K=I2178), Facturas_Odoo!$N:$N, 0), 0))</f>
        <v/>
      </c>
      <c r="V2178" s="79">
        <f>IF(Q2178="Sin Factura",0,IFERROR(_xlfn.XLOOKUP(1, (Facturas_Odoo!$D:$D=A2178) * (Facturas_Odoo!$K:$K=I2178), Facturas_Odoo!$O:$O, 0), 0))</f>
        <v/>
      </c>
      <c r="W2178" s="81">
        <f>IF(Q2178="Sin Factura",0,IFERROR(_xlfn.XLOOKUP(1, (Facturas_Odoo!$D:$D=A2178) * (Facturas_Odoo!$K:$K=I2178), Facturas_Odoo!$Q:$Q, 0), 0))</f>
        <v/>
      </c>
      <c r="X2178" s="79">
        <f>IF(OR(Q2178="Sin Factura",Q2178=""),"",IFERROR(INDEX(Pagos_Odoo!$B:$B, MATCH(Q2178, Pagos_Odoo!$I:$I, 0)), "Sin Pago"))</f>
        <v/>
      </c>
      <c r="Y2178" s="79">
        <f>IF(X2178="Sin Pago","",IFERROR(INDEX(Pagos_Odoo!$C:$C, MATCH(X2178, Pagos_Odoo!$B:$B, 0)), ""))</f>
        <v/>
      </c>
      <c r="Z2178" s="80">
        <f>IF(X2178="Sin Pago","",IFERROR(INDEX(Pagos_Odoo!$A:$A, MATCH(X2178, Pagos_Odoo!$B:$B, 0)), ""))</f>
        <v/>
      </c>
      <c r="AA2178" s="79">
        <f>IF(X2178="Sin Pago","",IFERROR(INDEX(Pagos_Odoo!$F:$F, MATCH(X2178, Pagos_Odoo!$B:$B, 0)), ""))</f>
        <v/>
      </c>
      <c r="AB2178" s="81">
        <f>IF(X2178="Sin Pago",0,IFERROR(INDEX(Pagos_Odoo!$E:$E, MATCH(X2178, Pagos_Odoo!$B:$B, 0)), 0))</f>
        <v/>
      </c>
      <c r="AC2178" s="79">
        <f>IF(X2178="Sin Pago","",IFERROR(INDEX(Pagos_Odoo!$G:$G, MATCH(X2178, Pagos_Odoo!$B:$B, 0)), ""))</f>
        <v/>
      </c>
      <c r="AD2178" s="82" t="n">
        <v>0</v>
      </c>
      <c r="AE2178" s="82" t="n"/>
      <c r="AF2178" s="82" t="n"/>
      <c r="AG2178" s="82">
        <f>IF(AN2178="","",AD2178+AE2178+AF2178)</f>
        <v/>
      </c>
      <c r="AH2178" s="81">
        <f>IF(AN2178="","",P2178*(1-AG2178))</f>
        <v/>
      </c>
      <c r="AI2178" s="81">
        <f>IF(AN2178="","",IF(Q2178="Sin Factura",0,IFERROR(INDEX(Facturas_Odoo!$H:$H, MATCH(Q2178, Facturas_Odoo!$B:$B, 0)), 0)*(1-AG2178)))</f>
        <v/>
      </c>
      <c r="AJ2178" s="81">
        <f>IF(AN2178="","",_xlfn.LET(idVenta, AN2178&amp;"",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78" s="81">
        <f>IF(AN2178="","",AH2178-AJ2178)</f>
        <v/>
      </c>
      <c r="AL2178" s="81">
        <f>IF(AN2178="","",IF(Q2178="Sin Factura","",AI2178-AJ2178))</f>
        <v/>
      </c>
      <c r="AM2178" s="81">
        <f>IF(AN2178="","",IF(Q2178="Sin Factura",0,P2178-IFERROR(INDEX(Facturas_Odoo!$H:$H, MATCH(Q2178, Facturas_Odoo!$B:$B, 0)), 0)))</f>
        <v/>
      </c>
      <c r="AN2178" s="79">
        <f>IF(AND(A2178="", J2178=""), "", IF(A2178&lt;&gt;"", VALUE(MID(A2178,2,LEN(A2178))), AN2177))</f>
        <v/>
      </c>
      <c r="AO2178" s="79">
        <f>IF(AN2178="","",IF(AD2178=0,"OK",_xlfn.LET(monedaPago, IF(AA2178="","USD",AA2178), limitePermitido, IFERROR(VLOOKUP(monedaPago, Configuración!$A$2:$B$3, 2, FALSE), 0.15), IF(AD2178&gt;limitePermitido, "ALERTA: EXCESO (" &amp; TEXT(limitePermitido, "0%") &amp; " máx)", "OK"))))</f>
        <v/>
      </c>
      <c r="AP2178" s="79">
        <f>IF(AN2178="","",IF(AE2178=0,"OK",_xlfn.LET(fechaPago, Z2178, fechaFactura, R2178, diasCredito, IF(E2178="Pago inmediato", 0, IFERROR(VALUE(MID(E2178, 1, SEARCH(" ", E2178)-1)),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78" s="79">
        <f>IF(AN2178="","",IF(AND(N2178&gt;0, AG2178&gt;0), IF(Configuración!$K$2="NO", "ALERTA: DESCUENTO DOBLE NO PERMITIDO", "OK"), "OK"))</f>
        <v/>
      </c>
      <c r="AR2178" s="79">
        <f>IF(AN2178="","",IF(OR(AO2178&lt;&gt;"OK", AP2178&lt;&gt;"OK", AQ2178&lt;&gt;"OK"), "⚠️ REVISAR", "OK"))</f>
        <v/>
      </c>
    </row>
    <row r="2179">
      <c r="A2179" s="79">
        <f>IF('Ordenes_Odoo'!A2179="","",'Ordenes_Odoo'!A2179)</f>
        <v/>
      </c>
      <c r="B2179" s="80">
        <f>IF('Ordenes_Odoo'!B2179="","",'Ordenes_Odoo'!B2179)</f>
        <v/>
      </c>
      <c r="C2179" s="79">
        <f>IF('Ordenes_Odoo'!C2179="","",'Ordenes_Odoo'!C2179)</f>
        <v/>
      </c>
      <c r="D2179" s="79">
        <f>IF('Ordenes_Odoo'!D2179="","",'Ordenes_Odoo'!D2179)</f>
        <v/>
      </c>
      <c r="E2179" s="79">
        <f>IF('Ordenes_Odoo'!E2179="","",'Ordenes_Odoo'!E2179)</f>
        <v/>
      </c>
      <c r="F2179" s="79">
        <f>IF('Ordenes_Odoo'!F2179="","",'Ordenes_Odoo'!F2179)</f>
        <v/>
      </c>
      <c r="G2179" s="79">
        <f>IF('Ordenes_Odoo'!G2179="","",'Ordenes_Odoo'!G2179)</f>
        <v/>
      </c>
      <c r="H2179" s="79">
        <f>IF('Ordenes_Odoo'!H2179="","",'Ordenes_Odoo'!H2179)</f>
        <v/>
      </c>
      <c r="I2179" s="79">
        <f>IF('Ordenes_Odoo'!I2179="","",'Ordenes_Odoo'!I2179)</f>
        <v/>
      </c>
      <c r="J2179" s="79">
        <f>IF('Ordenes_Odoo'!J2179="","",'Ordenes_Odoo'!J2179)</f>
        <v/>
      </c>
      <c r="K2179" s="81">
        <f>IF('Ordenes_Odoo'!K2179="","",'Ordenes_Odoo'!K2179)</f>
        <v/>
      </c>
      <c r="L2179" s="81">
        <f>IF('Ordenes_Odoo'!L2179="","",'Ordenes_Odoo'!L2179)</f>
        <v/>
      </c>
      <c r="M2179" s="79">
        <f>IF('Ordenes_Odoo'!M2179="","",'Ordenes_Odoo'!M2179)</f>
        <v/>
      </c>
      <c r="N2179" s="79">
        <f>IF('Ordenes_Odoo'!N2179="","",'Ordenes_Odoo'!N2179)</f>
        <v/>
      </c>
      <c r="O2179" s="81">
        <f>IF('Ordenes_Odoo'!O2179="","",'Ordenes_Odoo'!O2179)</f>
        <v/>
      </c>
      <c r="P2179" s="81">
        <f>IF('Ordenes_Odoo'!P2179="","",'Ordenes_Odoo'!P2179)</f>
        <v/>
      </c>
      <c r="Q2179" s="79">
        <f>IF(A2179="","",IFERROR(INDEX(Facturas_Odoo!$B:$B, MATCH(A2179, Facturas_Odoo!$D:$D, 0)), "Sin Factura"))</f>
        <v/>
      </c>
      <c r="R2179" s="80">
        <f>IF(Q2179="Sin Factura","",IFERROR(INDEX(Facturas_Odoo!$A:$A, MATCH(Q2179, Facturas_Odoo!$B:$B, 0)), ""))</f>
        <v/>
      </c>
      <c r="S2179" s="79">
        <f>IF(Q2179="Sin Factura","",IFERROR(_xlfn.XLOOKUP(1, (Facturas_Odoo!$D:$D=A2179) * (Facturas_Odoo!$K:$K=I2179), Facturas_Odoo!$L:$L, ""), ""))</f>
        <v/>
      </c>
      <c r="T2179" s="81">
        <f>IF(Q2179="Sin Factura",0,IFERROR(_xlfn.XLOOKUP(1, (Facturas_Odoo!$D:$D=A2179) * (Facturas_Odoo!$K:$K=I2179), Facturas_Odoo!$M:$M, 0), 0))</f>
        <v/>
      </c>
      <c r="U2179" s="79">
        <f>IF(Q2179="Sin Factura",0,IFERROR(_xlfn.XLOOKUP(1, (Facturas_Odoo!$D:$D=A2179) * (Facturas_Odoo!$K:$K=I2179), Facturas_Odoo!$N:$N, 0), 0))</f>
        <v/>
      </c>
      <c r="V2179" s="79">
        <f>IF(Q2179="Sin Factura",0,IFERROR(_xlfn.XLOOKUP(1, (Facturas_Odoo!$D:$D=A2179) * (Facturas_Odoo!$K:$K=I2179), Facturas_Odoo!$O:$O, 0), 0))</f>
        <v/>
      </c>
      <c r="W2179" s="81">
        <f>IF(Q2179="Sin Factura",0,IFERROR(_xlfn.XLOOKUP(1, (Facturas_Odoo!$D:$D=A2179) * (Facturas_Odoo!$K:$K=I2179), Facturas_Odoo!$Q:$Q, 0), 0))</f>
        <v/>
      </c>
      <c r="X2179" s="79">
        <f>IF(OR(Q2179="Sin Factura",Q2179=""),"",IFERROR(INDEX(Pagos_Odoo!$B:$B, MATCH(Q2179, Pagos_Odoo!$I:$I, 0)), "Sin Pago"))</f>
        <v/>
      </c>
      <c r="Y2179" s="79">
        <f>IF(X2179="Sin Pago","",IFERROR(INDEX(Pagos_Odoo!$C:$C, MATCH(X2179, Pagos_Odoo!$B:$B, 0)), ""))</f>
        <v/>
      </c>
      <c r="Z2179" s="80">
        <f>IF(X2179="Sin Pago","",IFERROR(INDEX(Pagos_Odoo!$A:$A, MATCH(X2179, Pagos_Odoo!$B:$B, 0)), ""))</f>
        <v/>
      </c>
      <c r="AA2179" s="79">
        <f>IF(X2179="Sin Pago","",IFERROR(INDEX(Pagos_Odoo!$F:$F, MATCH(X2179, Pagos_Odoo!$B:$B, 0)), ""))</f>
        <v/>
      </c>
      <c r="AB2179" s="81">
        <f>IF(X2179="Sin Pago",0,IFERROR(INDEX(Pagos_Odoo!$E:$E, MATCH(X2179, Pagos_Odoo!$B:$B, 0)), 0))</f>
        <v/>
      </c>
      <c r="AC2179" s="79">
        <f>IF(X2179="Sin Pago","",IFERROR(INDEX(Pagos_Odoo!$G:$G, MATCH(X2179, Pagos_Odoo!$B:$B, 0)), ""))</f>
        <v/>
      </c>
      <c r="AD2179" s="82" t="n">
        <v>0</v>
      </c>
      <c r="AE2179" s="82" t="n"/>
      <c r="AF2179" s="82" t="n"/>
      <c r="AG2179" s="82">
        <f>IF(AN2179="","",AD2179+AE2179+AF2179)</f>
        <v/>
      </c>
      <c r="AH2179" s="81">
        <f>IF(AN2179="","",P2179*(1-AG2179))</f>
        <v/>
      </c>
      <c r="AI2179" s="81">
        <f>IF(AN2179="","",IF(Q2179="Sin Factura",0,IFERROR(INDEX(Facturas_Odoo!$H:$H, MATCH(Q2179, Facturas_Odoo!$B:$B, 0)), 0)*(1-AG2179)))</f>
        <v/>
      </c>
      <c r="AJ2179" s="81">
        <f>IF(AN2179="","",_xlfn.LET(idVenta, AN2179&amp;"",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79" s="81">
        <f>IF(AN2179="","",AH2179-AJ2179)</f>
        <v/>
      </c>
      <c r="AL2179" s="81">
        <f>IF(AN2179="","",IF(Q2179="Sin Factura","",AI2179-AJ2179))</f>
        <v/>
      </c>
      <c r="AM2179" s="81">
        <f>IF(AN2179="","",IF(Q2179="Sin Factura",0,P2179-IFERROR(INDEX(Facturas_Odoo!$H:$H, MATCH(Q2179, Facturas_Odoo!$B:$B, 0)), 0)))</f>
        <v/>
      </c>
      <c r="AN2179" s="79">
        <f>IF(AND(A2179="", J2179=""), "", IF(A2179&lt;&gt;"", VALUE(MID(A2179,2,LEN(A2179))), AN2178))</f>
        <v/>
      </c>
      <c r="AO2179" s="79">
        <f>IF(AN2179="","",IF(AD2179=0,"OK",_xlfn.LET(monedaPago, IF(AA2179="","USD",AA2179), limitePermitido, IFERROR(VLOOKUP(monedaPago, Configuración!$A$2:$B$3, 2, FALSE), 0.15), IF(AD2179&gt;limitePermitido, "ALERTA: EXCESO (" &amp; TEXT(limitePermitido, "0%") &amp; " máx)", "OK"))))</f>
        <v/>
      </c>
      <c r="AP2179" s="79">
        <f>IF(AN2179="","",IF(AE2179=0,"OK",_xlfn.LET(fechaPago, Z2179, fechaFactura, R2179, diasCredito, IF(E2179="Pago inmediato", 0, IFERROR(VALUE(MID(E2179, 1, SEARCH(" ", E2179)-1)),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79" s="79">
        <f>IF(AN2179="","",IF(AND(N2179&gt;0, AG2179&gt;0), IF(Configuración!$K$2="NO", "ALERTA: DESCUENTO DOBLE NO PERMITIDO", "OK"), "OK"))</f>
        <v/>
      </c>
      <c r="AR2179" s="79">
        <f>IF(AN2179="","",IF(OR(AO2179&lt;&gt;"OK", AP2179&lt;&gt;"OK", AQ2179&lt;&gt;"OK"), "⚠️ REVISAR", "OK"))</f>
        <v/>
      </c>
    </row>
    <row r="2180">
      <c r="A2180" s="79">
        <f>IF('Ordenes_Odoo'!A2180="","",'Ordenes_Odoo'!A2180)</f>
        <v/>
      </c>
      <c r="B2180" s="80">
        <f>IF('Ordenes_Odoo'!B2180="","",'Ordenes_Odoo'!B2180)</f>
        <v/>
      </c>
      <c r="C2180" s="79">
        <f>IF('Ordenes_Odoo'!C2180="","",'Ordenes_Odoo'!C2180)</f>
        <v/>
      </c>
      <c r="D2180" s="79">
        <f>IF('Ordenes_Odoo'!D2180="","",'Ordenes_Odoo'!D2180)</f>
        <v/>
      </c>
      <c r="E2180" s="79">
        <f>IF('Ordenes_Odoo'!E2180="","",'Ordenes_Odoo'!E2180)</f>
        <v/>
      </c>
      <c r="F2180" s="79">
        <f>IF('Ordenes_Odoo'!F2180="","",'Ordenes_Odoo'!F2180)</f>
        <v/>
      </c>
      <c r="G2180" s="79">
        <f>IF('Ordenes_Odoo'!G2180="","",'Ordenes_Odoo'!G2180)</f>
        <v/>
      </c>
      <c r="H2180" s="79">
        <f>IF('Ordenes_Odoo'!H2180="","",'Ordenes_Odoo'!H2180)</f>
        <v/>
      </c>
      <c r="I2180" s="79">
        <f>IF('Ordenes_Odoo'!I2180="","",'Ordenes_Odoo'!I2180)</f>
        <v/>
      </c>
      <c r="J2180" s="79">
        <f>IF('Ordenes_Odoo'!J2180="","",'Ordenes_Odoo'!J2180)</f>
        <v/>
      </c>
      <c r="K2180" s="81">
        <f>IF('Ordenes_Odoo'!K2180="","",'Ordenes_Odoo'!K2180)</f>
        <v/>
      </c>
      <c r="L2180" s="81">
        <f>IF('Ordenes_Odoo'!L2180="","",'Ordenes_Odoo'!L2180)</f>
        <v/>
      </c>
      <c r="M2180" s="79">
        <f>IF('Ordenes_Odoo'!M2180="","",'Ordenes_Odoo'!M2180)</f>
        <v/>
      </c>
      <c r="N2180" s="79">
        <f>IF('Ordenes_Odoo'!N2180="","",'Ordenes_Odoo'!N2180)</f>
        <v/>
      </c>
      <c r="O2180" s="81">
        <f>IF('Ordenes_Odoo'!O2180="","",'Ordenes_Odoo'!O2180)</f>
        <v/>
      </c>
      <c r="P2180" s="81">
        <f>IF('Ordenes_Odoo'!P2180="","",'Ordenes_Odoo'!P2180)</f>
        <v/>
      </c>
      <c r="Q2180" s="79">
        <f>IF(A2180="","",IFERROR(INDEX(Facturas_Odoo!$B:$B, MATCH(A2180, Facturas_Odoo!$D:$D, 0)), "Sin Factura"))</f>
        <v/>
      </c>
      <c r="R2180" s="80">
        <f>IF(Q2180="Sin Factura","",IFERROR(INDEX(Facturas_Odoo!$A:$A, MATCH(Q2180, Facturas_Odoo!$B:$B, 0)), ""))</f>
        <v/>
      </c>
      <c r="S2180" s="79">
        <f>IF(Q2180="Sin Factura","",IFERROR(_xlfn.XLOOKUP(1, (Facturas_Odoo!$D:$D=A2180) * (Facturas_Odoo!$K:$K=I2180), Facturas_Odoo!$L:$L, ""), ""))</f>
        <v/>
      </c>
      <c r="T2180" s="81">
        <f>IF(Q2180="Sin Factura",0,IFERROR(_xlfn.XLOOKUP(1, (Facturas_Odoo!$D:$D=A2180) * (Facturas_Odoo!$K:$K=I2180), Facturas_Odoo!$M:$M, 0), 0))</f>
        <v/>
      </c>
      <c r="U2180" s="79">
        <f>IF(Q2180="Sin Factura",0,IFERROR(_xlfn.XLOOKUP(1, (Facturas_Odoo!$D:$D=A2180) * (Facturas_Odoo!$K:$K=I2180), Facturas_Odoo!$N:$N, 0), 0))</f>
        <v/>
      </c>
      <c r="V2180" s="79">
        <f>IF(Q2180="Sin Factura",0,IFERROR(_xlfn.XLOOKUP(1, (Facturas_Odoo!$D:$D=A2180) * (Facturas_Odoo!$K:$K=I2180), Facturas_Odoo!$O:$O, 0), 0))</f>
        <v/>
      </c>
      <c r="W2180" s="81">
        <f>IF(Q2180="Sin Factura",0,IFERROR(_xlfn.XLOOKUP(1, (Facturas_Odoo!$D:$D=A2180) * (Facturas_Odoo!$K:$K=I2180), Facturas_Odoo!$Q:$Q, 0), 0))</f>
        <v/>
      </c>
      <c r="X2180" s="79">
        <f>IF(OR(Q2180="Sin Factura",Q2180=""),"",IFERROR(INDEX(Pagos_Odoo!$B:$B, MATCH(Q2180, Pagos_Odoo!$I:$I, 0)), "Sin Pago"))</f>
        <v/>
      </c>
      <c r="Y2180" s="79">
        <f>IF(X2180="Sin Pago","",IFERROR(INDEX(Pagos_Odoo!$C:$C, MATCH(X2180, Pagos_Odoo!$B:$B, 0)), ""))</f>
        <v/>
      </c>
      <c r="Z2180" s="80">
        <f>IF(X2180="Sin Pago","",IFERROR(INDEX(Pagos_Odoo!$A:$A, MATCH(X2180, Pagos_Odoo!$B:$B, 0)), ""))</f>
        <v/>
      </c>
      <c r="AA2180" s="79">
        <f>IF(X2180="Sin Pago","",IFERROR(INDEX(Pagos_Odoo!$F:$F, MATCH(X2180, Pagos_Odoo!$B:$B, 0)), ""))</f>
        <v/>
      </c>
      <c r="AB2180" s="81">
        <f>IF(X2180="Sin Pago",0,IFERROR(INDEX(Pagos_Odoo!$E:$E, MATCH(X2180, Pagos_Odoo!$B:$B, 0)), 0))</f>
        <v/>
      </c>
      <c r="AC2180" s="79">
        <f>IF(X2180="Sin Pago","",IFERROR(INDEX(Pagos_Odoo!$G:$G, MATCH(X2180, Pagos_Odoo!$B:$B, 0)), ""))</f>
        <v/>
      </c>
      <c r="AD2180" s="82" t="n">
        <v>0</v>
      </c>
      <c r="AE2180" s="82" t="n"/>
      <c r="AF2180" s="82" t="n"/>
      <c r="AG2180" s="82">
        <f>IF(AN2180="","",AD2180+AE2180+AF2180)</f>
        <v/>
      </c>
      <c r="AH2180" s="81">
        <f>IF(AN2180="","",P2180*(1-AG2180))</f>
        <v/>
      </c>
      <c r="AI2180" s="81">
        <f>IF(AN2180="","",IF(Q2180="Sin Factura",0,IFERROR(INDEX(Facturas_Odoo!$H:$H, MATCH(Q2180, Facturas_Odoo!$B:$B, 0)), 0)*(1-AG2180)))</f>
        <v/>
      </c>
      <c r="AJ2180" s="81">
        <f>IF(AN2180="","",_xlfn.LET(idVenta, AN2180&amp;"",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80" s="81">
        <f>IF(AN2180="","",AH2180-AJ2180)</f>
        <v/>
      </c>
      <c r="AL2180" s="81">
        <f>IF(AN2180="","",IF(Q2180="Sin Factura","",AI2180-AJ2180))</f>
        <v/>
      </c>
      <c r="AM2180" s="81">
        <f>IF(AN2180="","",IF(Q2180="Sin Factura",0,P2180-IFERROR(INDEX(Facturas_Odoo!$H:$H, MATCH(Q2180, Facturas_Odoo!$B:$B, 0)), 0)))</f>
        <v/>
      </c>
      <c r="AN2180" s="79">
        <f>IF(AND(A2180="", J2180=""), "", IF(A2180&lt;&gt;"", VALUE(MID(A2180,2,LEN(A2180))), AN2179))</f>
        <v/>
      </c>
      <c r="AO2180" s="79">
        <f>IF(AN2180="","",IF(AD2180=0,"OK",_xlfn.LET(monedaPago, IF(AA2180="","USD",AA2180), limitePermitido, IFERROR(VLOOKUP(monedaPago, Configuración!$A$2:$B$3, 2, FALSE), 0.15), IF(AD2180&gt;limitePermitido, "ALERTA: EXCESO (" &amp; TEXT(limitePermitido, "0%") &amp; " máx)", "OK"))))</f>
        <v/>
      </c>
      <c r="AP2180" s="79">
        <f>IF(AN2180="","",IF(AE2180=0,"OK",_xlfn.LET(fechaPago, Z2180, fechaFactura, R2180, diasCredito, IF(E2180="Pago inmediato", 0, IFERROR(VALUE(MID(E2180, 1, SEARCH(" ", E2180)-1)),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80" s="79">
        <f>IF(AN2180="","",IF(AND(N2180&gt;0, AG2180&gt;0), IF(Configuración!$K$2="NO", "ALERTA: DESCUENTO DOBLE NO PERMITIDO", "OK"), "OK"))</f>
        <v/>
      </c>
      <c r="AR2180" s="79">
        <f>IF(AN2180="","",IF(OR(AO2180&lt;&gt;"OK", AP2180&lt;&gt;"OK", AQ2180&lt;&gt;"OK"), "⚠️ REVISAR", "OK"))</f>
        <v/>
      </c>
    </row>
    <row r="2181">
      <c r="A2181" s="79">
        <f>IF('Ordenes_Odoo'!A2181="","",'Ordenes_Odoo'!A2181)</f>
        <v/>
      </c>
      <c r="B2181" s="80">
        <f>IF('Ordenes_Odoo'!B2181="","",'Ordenes_Odoo'!B2181)</f>
        <v/>
      </c>
      <c r="C2181" s="79">
        <f>IF('Ordenes_Odoo'!C2181="","",'Ordenes_Odoo'!C2181)</f>
        <v/>
      </c>
      <c r="D2181" s="79">
        <f>IF('Ordenes_Odoo'!D2181="","",'Ordenes_Odoo'!D2181)</f>
        <v/>
      </c>
      <c r="E2181" s="79">
        <f>IF('Ordenes_Odoo'!E2181="","",'Ordenes_Odoo'!E2181)</f>
        <v/>
      </c>
      <c r="F2181" s="79">
        <f>IF('Ordenes_Odoo'!F2181="","",'Ordenes_Odoo'!F2181)</f>
        <v/>
      </c>
      <c r="G2181" s="79">
        <f>IF('Ordenes_Odoo'!G2181="","",'Ordenes_Odoo'!G2181)</f>
        <v/>
      </c>
      <c r="H2181" s="79">
        <f>IF('Ordenes_Odoo'!H2181="","",'Ordenes_Odoo'!H2181)</f>
        <v/>
      </c>
      <c r="I2181" s="79">
        <f>IF('Ordenes_Odoo'!I2181="","",'Ordenes_Odoo'!I2181)</f>
        <v/>
      </c>
      <c r="J2181" s="79">
        <f>IF('Ordenes_Odoo'!J2181="","",'Ordenes_Odoo'!J2181)</f>
        <v/>
      </c>
      <c r="K2181" s="81">
        <f>IF('Ordenes_Odoo'!K2181="","",'Ordenes_Odoo'!K2181)</f>
        <v/>
      </c>
      <c r="L2181" s="81">
        <f>IF('Ordenes_Odoo'!L2181="","",'Ordenes_Odoo'!L2181)</f>
        <v/>
      </c>
      <c r="M2181" s="79">
        <f>IF('Ordenes_Odoo'!M2181="","",'Ordenes_Odoo'!M2181)</f>
        <v/>
      </c>
      <c r="N2181" s="79">
        <f>IF('Ordenes_Odoo'!N2181="","",'Ordenes_Odoo'!N2181)</f>
        <v/>
      </c>
      <c r="O2181" s="81">
        <f>IF('Ordenes_Odoo'!O2181="","",'Ordenes_Odoo'!O2181)</f>
        <v/>
      </c>
      <c r="P2181" s="81">
        <f>IF('Ordenes_Odoo'!P2181="","",'Ordenes_Odoo'!P2181)</f>
        <v/>
      </c>
      <c r="Q2181" s="79">
        <f>IF(A2181="","",IFERROR(INDEX(Facturas_Odoo!$B:$B, MATCH(A2181, Facturas_Odoo!$D:$D, 0)), "Sin Factura"))</f>
        <v/>
      </c>
      <c r="R2181" s="80">
        <f>IF(Q2181="Sin Factura","",IFERROR(INDEX(Facturas_Odoo!$A:$A, MATCH(Q2181, Facturas_Odoo!$B:$B, 0)), ""))</f>
        <v/>
      </c>
      <c r="S2181" s="79">
        <f>IF(Q2181="Sin Factura","",IFERROR(_xlfn.XLOOKUP(1, (Facturas_Odoo!$D:$D=A2181) * (Facturas_Odoo!$K:$K=I2181), Facturas_Odoo!$L:$L, ""), ""))</f>
        <v/>
      </c>
      <c r="T2181" s="81">
        <f>IF(Q2181="Sin Factura",0,IFERROR(_xlfn.XLOOKUP(1, (Facturas_Odoo!$D:$D=A2181) * (Facturas_Odoo!$K:$K=I2181), Facturas_Odoo!$M:$M, 0), 0))</f>
        <v/>
      </c>
      <c r="U2181" s="79">
        <f>IF(Q2181="Sin Factura",0,IFERROR(_xlfn.XLOOKUP(1, (Facturas_Odoo!$D:$D=A2181) * (Facturas_Odoo!$K:$K=I2181), Facturas_Odoo!$N:$N, 0), 0))</f>
        <v/>
      </c>
      <c r="V2181" s="79">
        <f>IF(Q2181="Sin Factura",0,IFERROR(_xlfn.XLOOKUP(1, (Facturas_Odoo!$D:$D=A2181) * (Facturas_Odoo!$K:$K=I2181), Facturas_Odoo!$O:$O, 0), 0))</f>
        <v/>
      </c>
      <c r="W2181" s="81">
        <f>IF(Q2181="Sin Factura",0,IFERROR(_xlfn.XLOOKUP(1, (Facturas_Odoo!$D:$D=A2181) * (Facturas_Odoo!$K:$K=I2181), Facturas_Odoo!$Q:$Q, 0), 0))</f>
        <v/>
      </c>
      <c r="X2181" s="79">
        <f>IF(OR(Q2181="Sin Factura",Q2181=""),"",IFERROR(INDEX(Pagos_Odoo!$B:$B, MATCH(Q2181, Pagos_Odoo!$I:$I, 0)), "Sin Pago"))</f>
        <v/>
      </c>
      <c r="Y2181" s="79">
        <f>IF(X2181="Sin Pago","",IFERROR(INDEX(Pagos_Odoo!$C:$C, MATCH(X2181, Pagos_Odoo!$B:$B, 0)), ""))</f>
        <v/>
      </c>
      <c r="Z2181" s="80">
        <f>IF(X2181="Sin Pago","",IFERROR(INDEX(Pagos_Odoo!$A:$A, MATCH(X2181, Pagos_Odoo!$B:$B, 0)), ""))</f>
        <v/>
      </c>
      <c r="AA2181" s="79">
        <f>IF(X2181="Sin Pago","",IFERROR(INDEX(Pagos_Odoo!$F:$F, MATCH(X2181, Pagos_Odoo!$B:$B, 0)), ""))</f>
        <v/>
      </c>
      <c r="AB2181" s="81">
        <f>IF(X2181="Sin Pago",0,IFERROR(INDEX(Pagos_Odoo!$E:$E, MATCH(X2181, Pagos_Odoo!$B:$B, 0)), 0))</f>
        <v/>
      </c>
      <c r="AC2181" s="79">
        <f>IF(X2181="Sin Pago","",IFERROR(INDEX(Pagos_Odoo!$G:$G, MATCH(X2181, Pagos_Odoo!$B:$B, 0)), ""))</f>
        <v/>
      </c>
      <c r="AD2181" s="82" t="n">
        <v>0</v>
      </c>
      <c r="AE2181" s="82" t="n"/>
      <c r="AF2181" s="82" t="n"/>
      <c r="AG2181" s="82">
        <f>IF(AN2181="","",AD2181+AE2181+AF2181)</f>
        <v/>
      </c>
      <c r="AH2181" s="81">
        <f>IF(AN2181="","",P2181*(1-AG2181))</f>
        <v/>
      </c>
      <c r="AI2181" s="81">
        <f>IF(AN2181="","",IF(Q2181="Sin Factura",0,IFERROR(INDEX(Facturas_Odoo!$H:$H, MATCH(Q2181, Facturas_Odoo!$B:$B, 0)), 0)*(1-AG2181)))</f>
        <v/>
      </c>
      <c r="AJ2181" s="81">
        <f>IF(AN2181="","",_xlfn.LET(idVenta, AN2181&amp;"",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81" s="81">
        <f>IF(AN2181="","",AH2181-AJ2181)</f>
        <v/>
      </c>
      <c r="AL2181" s="81">
        <f>IF(AN2181="","",IF(Q2181="Sin Factura","",AI2181-AJ2181))</f>
        <v/>
      </c>
      <c r="AM2181" s="81">
        <f>IF(AN2181="","",IF(Q2181="Sin Factura",0,P2181-IFERROR(INDEX(Facturas_Odoo!$H:$H, MATCH(Q2181, Facturas_Odoo!$B:$B, 0)), 0)))</f>
        <v/>
      </c>
      <c r="AN2181" s="79">
        <f>IF(AND(A2181="", J2181=""), "", IF(A2181&lt;&gt;"", VALUE(MID(A2181,2,LEN(A2181))), AN2180))</f>
        <v/>
      </c>
      <c r="AO2181" s="79">
        <f>IF(AN2181="","",IF(AD2181=0,"OK",_xlfn.LET(monedaPago, IF(AA2181="","USD",AA2181), limitePermitido, IFERROR(VLOOKUP(monedaPago, Configuración!$A$2:$B$3, 2, FALSE), 0.15), IF(AD2181&gt;limitePermitido, "ALERTA: EXCESO (" &amp; TEXT(limitePermitido, "0%") &amp; " máx)", "OK"))))</f>
        <v/>
      </c>
      <c r="AP2181" s="79">
        <f>IF(AN2181="","",IF(AE2181=0,"OK",_xlfn.LET(fechaPago, Z2181, fechaFactura, R2181, diasCredito, IF(E2181="Pago inmediato", 0, IFERROR(VALUE(MID(E2181, 1, SEARCH(" ", E2181)-1)),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81" s="79">
        <f>IF(AN2181="","",IF(AND(N2181&gt;0, AG2181&gt;0), IF(Configuración!$K$2="NO", "ALERTA: DESCUENTO DOBLE NO PERMITIDO", "OK"), "OK"))</f>
        <v/>
      </c>
      <c r="AR2181" s="79">
        <f>IF(AN2181="","",IF(OR(AO2181&lt;&gt;"OK", AP2181&lt;&gt;"OK", AQ2181&lt;&gt;"OK"), "⚠️ REVISAR", "OK"))</f>
        <v/>
      </c>
    </row>
    <row r="2182">
      <c r="A2182" s="79">
        <f>IF('Ordenes_Odoo'!A2182="","",'Ordenes_Odoo'!A2182)</f>
        <v/>
      </c>
      <c r="B2182" s="80">
        <f>IF('Ordenes_Odoo'!B2182="","",'Ordenes_Odoo'!B2182)</f>
        <v/>
      </c>
      <c r="C2182" s="79">
        <f>IF('Ordenes_Odoo'!C2182="","",'Ordenes_Odoo'!C2182)</f>
        <v/>
      </c>
      <c r="D2182" s="79">
        <f>IF('Ordenes_Odoo'!D2182="","",'Ordenes_Odoo'!D2182)</f>
        <v/>
      </c>
      <c r="E2182" s="79">
        <f>IF('Ordenes_Odoo'!E2182="","",'Ordenes_Odoo'!E2182)</f>
        <v/>
      </c>
      <c r="F2182" s="79">
        <f>IF('Ordenes_Odoo'!F2182="","",'Ordenes_Odoo'!F2182)</f>
        <v/>
      </c>
      <c r="G2182" s="79">
        <f>IF('Ordenes_Odoo'!G2182="","",'Ordenes_Odoo'!G2182)</f>
        <v/>
      </c>
      <c r="H2182" s="79">
        <f>IF('Ordenes_Odoo'!H2182="","",'Ordenes_Odoo'!H2182)</f>
        <v/>
      </c>
      <c r="I2182" s="79">
        <f>IF('Ordenes_Odoo'!I2182="","",'Ordenes_Odoo'!I2182)</f>
        <v/>
      </c>
      <c r="J2182" s="79">
        <f>IF('Ordenes_Odoo'!J2182="","",'Ordenes_Odoo'!J2182)</f>
        <v/>
      </c>
      <c r="K2182" s="81">
        <f>IF('Ordenes_Odoo'!K2182="","",'Ordenes_Odoo'!K2182)</f>
        <v/>
      </c>
      <c r="L2182" s="81">
        <f>IF('Ordenes_Odoo'!L2182="","",'Ordenes_Odoo'!L2182)</f>
        <v/>
      </c>
      <c r="M2182" s="79">
        <f>IF('Ordenes_Odoo'!M2182="","",'Ordenes_Odoo'!M2182)</f>
        <v/>
      </c>
      <c r="N2182" s="79">
        <f>IF('Ordenes_Odoo'!N2182="","",'Ordenes_Odoo'!N2182)</f>
        <v/>
      </c>
      <c r="O2182" s="81">
        <f>IF('Ordenes_Odoo'!O2182="","",'Ordenes_Odoo'!O2182)</f>
        <v/>
      </c>
      <c r="P2182" s="81">
        <f>IF('Ordenes_Odoo'!P2182="","",'Ordenes_Odoo'!P2182)</f>
        <v/>
      </c>
      <c r="Q2182" s="79">
        <f>IF(A2182="","",IFERROR(INDEX(Facturas_Odoo!$B:$B, MATCH(A2182, Facturas_Odoo!$D:$D, 0)), "Sin Factura"))</f>
        <v/>
      </c>
      <c r="R2182" s="80">
        <f>IF(Q2182="Sin Factura","",IFERROR(INDEX(Facturas_Odoo!$A:$A, MATCH(Q2182, Facturas_Odoo!$B:$B, 0)), ""))</f>
        <v/>
      </c>
      <c r="S2182" s="79">
        <f>IF(Q2182="Sin Factura","",IFERROR(_xlfn.XLOOKUP(1, (Facturas_Odoo!$D:$D=A2182) * (Facturas_Odoo!$K:$K=I2182), Facturas_Odoo!$L:$L, ""), ""))</f>
        <v/>
      </c>
      <c r="T2182" s="81">
        <f>IF(Q2182="Sin Factura",0,IFERROR(_xlfn.XLOOKUP(1, (Facturas_Odoo!$D:$D=A2182) * (Facturas_Odoo!$K:$K=I2182), Facturas_Odoo!$M:$M, 0), 0))</f>
        <v/>
      </c>
      <c r="U2182" s="79">
        <f>IF(Q2182="Sin Factura",0,IFERROR(_xlfn.XLOOKUP(1, (Facturas_Odoo!$D:$D=A2182) * (Facturas_Odoo!$K:$K=I2182), Facturas_Odoo!$N:$N, 0), 0))</f>
        <v/>
      </c>
      <c r="V2182" s="79">
        <f>IF(Q2182="Sin Factura",0,IFERROR(_xlfn.XLOOKUP(1, (Facturas_Odoo!$D:$D=A2182) * (Facturas_Odoo!$K:$K=I2182), Facturas_Odoo!$O:$O, 0), 0))</f>
        <v/>
      </c>
      <c r="W2182" s="81">
        <f>IF(Q2182="Sin Factura",0,IFERROR(_xlfn.XLOOKUP(1, (Facturas_Odoo!$D:$D=A2182) * (Facturas_Odoo!$K:$K=I2182), Facturas_Odoo!$Q:$Q, 0), 0))</f>
        <v/>
      </c>
      <c r="X2182" s="79">
        <f>IF(OR(Q2182="Sin Factura",Q2182=""),"",IFERROR(INDEX(Pagos_Odoo!$B:$B, MATCH(Q2182, Pagos_Odoo!$I:$I, 0)), "Sin Pago"))</f>
        <v/>
      </c>
      <c r="Y2182" s="79">
        <f>IF(X2182="Sin Pago","",IFERROR(INDEX(Pagos_Odoo!$C:$C, MATCH(X2182, Pagos_Odoo!$B:$B, 0)), ""))</f>
        <v/>
      </c>
      <c r="Z2182" s="80">
        <f>IF(X2182="Sin Pago","",IFERROR(INDEX(Pagos_Odoo!$A:$A, MATCH(X2182, Pagos_Odoo!$B:$B, 0)), ""))</f>
        <v/>
      </c>
      <c r="AA2182" s="79">
        <f>IF(X2182="Sin Pago","",IFERROR(INDEX(Pagos_Odoo!$F:$F, MATCH(X2182, Pagos_Odoo!$B:$B, 0)), ""))</f>
        <v/>
      </c>
      <c r="AB2182" s="81">
        <f>IF(X2182="Sin Pago",0,IFERROR(INDEX(Pagos_Odoo!$E:$E, MATCH(X2182, Pagos_Odoo!$B:$B, 0)), 0))</f>
        <v/>
      </c>
      <c r="AC2182" s="79">
        <f>IF(X2182="Sin Pago","",IFERROR(INDEX(Pagos_Odoo!$G:$G, MATCH(X2182, Pagos_Odoo!$B:$B, 0)), ""))</f>
        <v/>
      </c>
      <c r="AD2182" s="82" t="n">
        <v>0</v>
      </c>
      <c r="AE2182" s="82" t="n"/>
      <c r="AF2182" s="82" t="n"/>
      <c r="AG2182" s="82">
        <f>IF(AN2182="","",AD2182+AE2182+AF2182)</f>
        <v/>
      </c>
      <c r="AH2182" s="81">
        <f>IF(AN2182="","",P2182*(1-AG2182))</f>
        <v/>
      </c>
      <c r="AI2182" s="81">
        <f>IF(AN2182="","",IF(Q2182="Sin Factura",0,IFERROR(INDEX(Facturas_Odoo!$H:$H, MATCH(Q2182, Facturas_Odoo!$B:$B, 0)), 0)*(1-AG2182)))</f>
        <v/>
      </c>
      <c r="AJ2182" s="81">
        <f>IF(AN2182="","",_xlfn.LET(idVenta, AN2182&amp;"",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82" s="81">
        <f>IF(AN2182="","",AH2182-AJ2182)</f>
        <v/>
      </c>
      <c r="AL2182" s="81">
        <f>IF(AN2182="","",IF(Q2182="Sin Factura","",AI2182-AJ2182))</f>
        <v/>
      </c>
      <c r="AM2182" s="81">
        <f>IF(AN2182="","",IF(Q2182="Sin Factura",0,P2182-IFERROR(INDEX(Facturas_Odoo!$H:$H, MATCH(Q2182, Facturas_Odoo!$B:$B, 0)), 0)))</f>
        <v/>
      </c>
      <c r="AN2182" s="79">
        <f>IF(AND(A2182="", J2182=""), "", IF(A2182&lt;&gt;"", VALUE(MID(A2182,2,LEN(A2182))), AN2181))</f>
        <v/>
      </c>
      <c r="AO2182" s="79">
        <f>IF(AN2182="","",IF(AD2182=0,"OK",_xlfn.LET(monedaPago, IF(AA2182="","USD",AA2182), limitePermitido, IFERROR(VLOOKUP(monedaPago, Configuración!$A$2:$B$3, 2, FALSE), 0.15), IF(AD2182&gt;limitePermitido, "ALERTA: EXCESO (" &amp; TEXT(limitePermitido, "0%") &amp; " máx)", "OK"))))</f>
        <v/>
      </c>
      <c r="AP2182" s="79">
        <f>IF(AN2182="","",IF(AE2182=0,"OK",_xlfn.LET(fechaPago, Z2182, fechaFactura, R2182, diasCredito, IF(E2182="Pago inmediato", 0, IFERROR(VALUE(MID(E2182, 1, SEARCH(" ", E2182)-1)),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82" s="79">
        <f>IF(AN2182="","",IF(AND(N2182&gt;0, AG2182&gt;0), IF(Configuración!$K$2="NO", "ALERTA: DESCUENTO DOBLE NO PERMITIDO", "OK"), "OK"))</f>
        <v/>
      </c>
      <c r="AR2182" s="79">
        <f>IF(AN2182="","",IF(OR(AO2182&lt;&gt;"OK", AP2182&lt;&gt;"OK", AQ2182&lt;&gt;"OK"), "⚠️ REVISAR", "OK"))</f>
        <v/>
      </c>
    </row>
    <row r="2183">
      <c r="A2183" s="79">
        <f>IF('Ordenes_Odoo'!A2183="","",'Ordenes_Odoo'!A2183)</f>
        <v/>
      </c>
      <c r="B2183" s="80">
        <f>IF('Ordenes_Odoo'!B2183="","",'Ordenes_Odoo'!B2183)</f>
        <v/>
      </c>
      <c r="C2183" s="79">
        <f>IF('Ordenes_Odoo'!C2183="","",'Ordenes_Odoo'!C2183)</f>
        <v/>
      </c>
      <c r="D2183" s="79">
        <f>IF('Ordenes_Odoo'!D2183="","",'Ordenes_Odoo'!D2183)</f>
        <v/>
      </c>
      <c r="E2183" s="79">
        <f>IF('Ordenes_Odoo'!E2183="","",'Ordenes_Odoo'!E2183)</f>
        <v/>
      </c>
      <c r="F2183" s="79">
        <f>IF('Ordenes_Odoo'!F2183="","",'Ordenes_Odoo'!F2183)</f>
        <v/>
      </c>
      <c r="G2183" s="79">
        <f>IF('Ordenes_Odoo'!G2183="","",'Ordenes_Odoo'!G2183)</f>
        <v/>
      </c>
      <c r="H2183" s="79">
        <f>IF('Ordenes_Odoo'!H2183="","",'Ordenes_Odoo'!H2183)</f>
        <v/>
      </c>
      <c r="I2183" s="79">
        <f>IF('Ordenes_Odoo'!I2183="","",'Ordenes_Odoo'!I2183)</f>
        <v/>
      </c>
      <c r="J2183" s="79">
        <f>IF('Ordenes_Odoo'!J2183="","",'Ordenes_Odoo'!J2183)</f>
        <v/>
      </c>
      <c r="K2183" s="81">
        <f>IF('Ordenes_Odoo'!K2183="","",'Ordenes_Odoo'!K2183)</f>
        <v/>
      </c>
      <c r="L2183" s="81">
        <f>IF('Ordenes_Odoo'!L2183="","",'Ordenes_Odoo'!L2183)</f>
        <v/>
      </c>
      <c r="M2183" s="79">
        <f>IF('Ordenes_Odoo'!M2183="","",'Ordenes_Odoo'!M2183)</f>
        <v/>
      </c>
      <c r="N2183" s="79">
        <f>IF('Ordenes_Odoo'!N2183="","",'Ordenes_Odoo'!N2183)</f>
        <v/>
      </c>
      <c r="O2183" s="81">
        <f>IF('Ordenes_Odoo'!O2183="","",'Ordenes_Odoo'!O2183)</f>
        <v/>
      </c>
      <c r="P2183" s="81">
        <f>IF('Ordenes_Odoo'!P2183="","",'Ordenes_Odoo'!P2183)</f>
        <v/>
      </c>
      <c r="Q2183" s="79">
        <f>IF(A2183="","",IFERROR(INDEX(Facturas_Odoo!$B:$B, MATCH(A2183, Facturas_Odoo!$D:$D, 0)), "Sin Factura"))</f>
        <v/>
      </c>
      <c r="R2183" s="80">
        <f>IF(Q2183="Sin Factura","",IFERROR(INDEX(Facturas_Odoo!$A:$A, MATCH(Q2183, Facturas_Odoo!$B:$B, 0)), ""))</f>
        <v/>
      </c>
      <c r="S2183" s="79">
        <f>IF(Q2183="Sin Factura","",IFERROR(_xlfn.XLOOKUP(1, (Facturas_Odoo!$D:$D=A2183) * (Facturas_Odoo!$K:$K=I2183), Facturas_Odoo!$L:$L, ""), ""))</f>
        <v/>
      </c>
      <c r="T2183" s="81">
        <f>IF(Q2183="Sin Factura",0,IFERROR(_xlfn.XLOOKUP(1, (Facturas_Odoo!$D:$D=A2183) * (Facturas_Odoo!$K:$K=I2183), Facturas_Odoo!$M:$M, 0), 0))</f>
        <v/>
      </c>
      <c r="U2183" s="79">
        <f>IF(Q2183="Sin Factura",0,IFERROR(_xlfn.XLOOKUP(1, (Facturas_Odoo!$D:$D=A2183) * (Facturas_Odoo!$K:$K=I2183), Facturas_Odoo!$N:$N, 0), 0))</f>
        <v/>
      </c>
      <c r="V2183" s="79">
        <f>IF(Q2183="Sin Factura",0,IFERROR(_xlfn.XLOOKUP(1, (Facturas_Odoo!$D:$D=A2183) * (Facturas_Odoo!$K:$K=I2183), Facturas_Odoo!$O:$O, 0), 0))</f>
        <v/>
      </c>
      <c r="W2183" s="81">
        <f>IF(Q2183="Sin Factura",0,IFERROR(_xlfn.XLOOKUP(1, (Facturas_Odoo!$D:$D=A2183) * (Facturas_Odoo!$K:$K=I2183), Facturas_Odoo!$Q:$Q, 0), 0))</f>
        <v/>
      </c>
      <c r="X2183" s="79">
        <f>IF(OR(Q2183="Sin Factura",Q2183=""),"",IFERROR(INDEX(Pagos_Odoo!$B:$B, MATCH(Q2183, Pagos_Odoo!$I:$I, 0)), "Sin Pago"))</f>
        <v/>
      </c>
      <c r="Y2183" s="79">
        <f>IF(X2183="Sin Pago","",IFERROR(INDEX(Pagos_Odoo!$C:$C, MATCH(X2183, Pagos_Odoo!$B:$B, 0)), ""))</f>
        <v/>
      </c>
      <c r="Z2183" s="80">
        <f>IF(X2183="Sin Pago","",IFERROR(INDEX(Pagos_Odoo!$A:$A, MATCH(X2183, Pagos_Odoo!$B:$B, 0)), ""))</f>
        <v/>
      </c>
      <c r="AA2183" s="79">
        <f>IF(X2183="Sin Pago","",IFERROR(INDEX(Pagos_Odoo!$F:$F, MATCH(X2183, Pagos_Odoo!$B:$B, 0)), ""))</f>
        <v/>
      </c>
      <c r="AB2183" s="81">
        <f>IF(X2183="Sin Pago",0,IFERROR(INDEX(Pagos_Odoo!$E:$E, MATCH(X2183, Pagos_Odoo!$B:$B, 0)), 0))</f>
        <v/>
      </c>
      <c r="AC2183" s="79">
        <f>IF(X2183="Sin Pago","",IFERROR(INDEX(Pagos_Odoo!$G:$G, MATCH(X2183, Pagos_Odoo!$B:$B, 0)), ""))</f>
        <v/>
      </c>
      <c r="AD2183" s="82" t="n">
        <v>0</v>
      </c>
      <c r="AE2183" s="82" t="n"/>
      <c r="AF2183" s="82" t="n"/>
      <c r="AG2183" s="82">
        <f>IF(AN2183="","",AD2183+AE2183+AF2183)</f>
        <v/>
      </c>
      <c r="AH2183" s="81">
        <f>IF(AN2183="","",P2183*(1-AG2183))</f>
        <v/>
      </c>
      <c r="AI2183" s="81">
        <f>IF(AN2183="","",IF(Q2183="Sin Factura",0,IFERROR(INDEX(Facturas_Odoo!$H:$H, MATCH(Q2183, Facturas_Odoo!$B:$B, 0)), 0)*(1-AG2183)))</f>
        <v/>
      </c>
      <c r="AJ2183" s="81">
        <f>IF(AN2183="","",_xlfn.LET(idVenta, AN2183&amp;"",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83" s="81">
        <f>IF(AN2183="","",AH2183-AJ2183)</f>
        <v/>
      </c>
      <c r="AL2183" s="81">
        <f>IF(AN2183="","",IF(Q2183="Sin Factura","",AI2183-AJ2183))</f>
        <v/>
      </c>
      <c r="AM2183" s="81">
        <f>IF(AN2183="","",IF(Q2183="Sin Factura",0,P2183-IFERROR(INDEX(Facturas_Odoo!$H:$H, MATCH(Q2183, Facturas_Odoo!$B:$B, 0)), 0)))</f>
        <v/>
      </c>
      <c r="AN2183" s="79">
        <f>IF(AND(A2183="", J2183=""), "", IF(A2183&lt;&gt;"", VALUE(MID(A2183,2,LEN(A2183))), AN2182))</f>
        <v/>
      </c>
      <c r="AO2183" s="79">
        <f>IF(AN2183="","",IF(AD2183=0,"OK",_xlfn.LET(monedaPago, IF(AA2183="","USD",AA2183), limitePermitido, IFERROR(VLOOKUP(monedaPago, Configuración!$A$2:$B$3, 2, FALSE), 0.15), IF(AD2183&gt;limitePermitido, "ALERTA: EXCESO (" &amp; TEXT(limitePermitido, "0%") &amp; " máx)", "OK"))))</f>
        <v/>
      </c>
      <c r="AP2183" s="79">
        <f>IF(AN2183="","",IF(AE2183=0,"OK",_xlfn.LET(fechaPago, Z2183, fechaFactura, R2183, diasCredito, IF(E2183="Pago inmediato", 0, IFERROR(VALUE(MID(E2183, 1, SEARCH(" ", E2183)-1)),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83" s="79">
        <f>IF(AN2183="","",IF(AND(N2183&gt;0, AG2183&gt;0), IF(Configuración!$K$2="NO", "ALERTA: DESCUENTO DOBLE NO PERMITIDO", "OK"), "OK"))</f>
        <v/>
      </c>
      <c r="AR2183" s="79">
        <f>IF(AN2183="","",IF(OR(AO2183&lt;&gt;"OK", AP2183&lt;&gt;"OK", AQ2183&lt;&gt;"OK"), "⚠️ REVISAR", "OK"))</f>
        <v/>
      </c>
    </row>
    <row r="2184">
      <c r="A2184" s="79">
        <f>IF('Ordenes_Odoo'!A2184="","",'Ordenes_Odoo'!A2184)</f>
        <v/>
      </c>
      <c r="B2184" s="80">
        <f>IF('Ordenes_Odoo'!B2184="","",'Ordenes_Odoo'!B2184)</f>
        <v/>
      </c>
      <c r="C2184" s="79">
        <f>IF('Ordenes_Odoo'!C2184="","",'Ordenes_Odoo'!C2184)</f>
        <v/>
      </c>
      <c r="D2184" s="79">
        <f>IF('Ordenes_Odoo'!D2184="","",'Ordenes_Odoo'!D2184)</f>
        <v/>
      </c>
      <c r="E2184" s="79">
        <f>IF('Ordenes_Odoo'!E2184="","",'Ordenes_Odoo'!E2184)</f>
        <v/>
      </c>
      <c r="F2184" s="79">
        <f>IF('Ordenes_Odoo'!F2184="","",'Ordenes_Odoo'!F2184)</f>
        <v/>
      </c>
      <c r="G2184" s="79">
        <f>IF('Ordenes_Odoo'!G2184="","",'Ordenes_Odoo'!G2184)</f>
        <v/>
      </c>
      <c r="H2184" s="79">
        <f>IF('Ordenes_Odoo'!H2184="","",'Ordenes_Odoo'!H2184)</f>
        <v/>
      </c>
      <c r="I2184" s="79">
        <f>IF('Ordenes_Odoo'!I2184="","",'Ordenes_Odoo'!I2184)</f>
        <v/>
      </c>
      <c r="J2184" s="79">
        <f>IF('Ordenes_Odoo'!J2184="","",'Ordenes_Odoo'!J2184)</f>
        <v/>
      </c>
      <c r="K2184" s="81">
        <f>IF('Ordenes_Odoo'!K2184="","",'Ordenes_Odoo'!K2184)</f>
        <v/>
      </c>
      <c r="L2184" s="81">
        <f>IF('Ordenes_Odoo'!L2184="","",'Ordenes_Odoo'!L2184)</f>
        <v/>
      </c>
      <c r="M2184" s="79">
        <f>IF('Ordenes_Odoo'!M2184="","",'Ordenes_Odoo'!M2184)</f>
        <v/>
      </c>
      <c r="N2184" s="79">
        <f>IF('Ordenes_Odoo'!N2184="","",'Ordenes_Odoo'!N2184)</f>
        <v/>
      </c>
      <c r="O2184" s="81">
        <f>IF('Ordenes_Odoo'!O2184="","",'Ordenes_Odoo'!O2184)</f>
        <v/>
      </c>
      <c r="P2184" s="81">
        <f>IF('Ordenes_Odoo'!P2184="","",'Ordenes_Odoo'!P2184)</f>
        <v/>
      </c>
      <c r="Q2184" s="79">
        <f>IF(A2184="","",IFERROR(INDEX(Facturas_Odoo!$B:$B, MATCH(A2184, Facturas_Odoo!$D:$D, 0)), "Sin Factura"))</f>
        <v/>
      </c>
      <c r="R2184" s="80">
        <f>IF(Q2184="Sin Factura","",IFERROR(INDEX(Facturas_Odoo!$A:$A, MATCH(Q2184, Facturas_Odoo!$B:$B, 0)), ""))</f>
        <v/>
      </c>
      <c r="S2184" s="79">
        <f>IF(Q2184="Sin Factura","",IFERROR(_xlfn.XLOOKUP(1, (Facturas_Odoo!$D:$D=A2184) * (Facturas_Odoo!$K:$K=I2184), Facturas_Odoo!$L:$L, ""), ""))</f>
        <v/>
      </c>
      <c r="T2184" s="81">
        <f>IF(Q2184="Sin Factura",0,IFERROR(_xlfn.XLOOKUP(1, (Facturas_Odoo!$D:$D=A2184) * (Facturas_Odoo!$K:$K=I2184), Facturas_Odoo!$M:$M, 0), 0))</f>
        <v/>
      </c>
      <c r="U2184" s="79">
        <f>IF(Q2184="Sin Factura",0,IFERROR(_xlfn.XLOOKUP(1, (Facturas_Odoo!$D:$D=A2184) * (Facturas_Odoo!$K:$K=I2184), Facturas_Odoo!$N:$N, 0), 0))</f>
        <v/>
      </c>
      <c r="V2184" s="79">
        <f>IF(Q2184="Sin Factura",0,IFERROR(_xlfn.XLOOKUP(1, (Facturas_Odoo!$D:$D=A2184) * (Facturas_Odoo!$K:$K=I2184), Facturas_Odoo!$O:$O, 0), 0))</f>
        <v/>
      </c>
      <c r="W2184" s="81">
        <f>IF(Q2184="Sin Factura",0,IFERROR(_xlfn.XLOOKUP(1, (Facturas_Odoo!$D:$D=A2184) * (Facturas_Odoo!$K:$K=I2184), Facturas_Odoo!$Q:$Q, 0), 0))</f>
        <v/>
      </c>
      <c r="X2184" s="79">
        <f>IF(OR(Q2184="Sin Factura",Q2184=""),"",IFERROR(INDEX(Pagos_Odoo!$B:$B, MATCH(Q2184, Pagos_Odoo!$I:$I, 0)), "Sin Pago"))</f>
        <v/>
      </c>
      <c r="Y2184" s="79">
        <f>IF(X2184="Sin Pago","",IFERROR(INDEX(Pagos_Odoo!$C:$C, MATCH(X2184, Pagos_Odoo!$B:$B, 0)), ""))</f>
        <v/>
      </c>
      <c r="Z2184" s="80">
        <f>IF(X2184="Sin Pago","",IFERROR(INDEX(Pagos_Odoo!$A:$A, MATCH(X2184, Pagos_Odoo!$B:$B, 0)), ""))</f>
        <v/>
      </c>
      <c r="AA2184" s="79">
        <f>IF(X2184="Sin Pago","",IFERROR(INDEX(Pagos_Odoo!$F:$F, MATCH(X2184, Pagos_Odoo!$B:$B, 0)), ""))</f>
        <v/>
      </c>
      <c r="AB2184" s="81">
        <f>IF(X2184="Sin Pago",0,IFERROR(INDEX(Pagos_Odoo!$E:$E, MATCH(X2184, Pagos_Odoo!$B:$B, 0)), 0))</f>
        <v/>
      </c>
      <c r="AC2184" s="79">
        <f>IF(X2184="Sin Pago","",IFERROR(INDEX(Pagos_Odoo!$G:$G, MATCH(X2184, Pagos_Odoo!$B:$B, 0)), ""))</f>
        <v/>
      </c>
      <c r="AD2184" s="82" t="n">
        <v>0</v>
      </c>
      <c r="AE2184" s="82" t="n"/>
      <c r="AF2184" s="82" t="n"/>
      <c r="AG2184" s="82">
        <f>IF(AN2184="","",AD2184+AE2184+AF2184)</f>
        <v/>
      </c>
      <c r="AH2184" s="81">
        <f>IF(AN2184="","",P2184*(1-AG2184))</f>
        <v/>
      </c>
      <c r="AI2184" s="81">
        <f>IF(AN2184="","",IF(Q2184="Sin Factura",0,IFERROR(INDEX(Facturas_Odoo!$H:$H, MATCH(Q2184, Facturas_Odoo!$B:$B, 0)), 0)*(1-AG2184)))</f>
        <v/>
      </c>
      <c r="AJ2184" s="81">
        <f>IF(AN2184="","",_xlfn.LET(idVenta, AN2184&amp;"",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84" s="81">
        <f>IF(AN2184="","",AH2184-AJ2184)</f>
        <v/>
      </c>
      <c r="AL2184" s="81">
        <f>IF(AN2184="","",IF(Q2184="Sin Factura","",AI2184-AJ2184))</f>
        <v/>
      </c>
      <c r="AM2184" s="81">
        <f>IF(AN2184="","",IF(Q2184="Sin Factura",0,P2184-IFERROR(INDEX(Facturas_Odoo!$H:$H, MATCH(Q2184, Facturas_Odoo!$B:$B, 0)), 0)))</f>
        <v/>
      </c>
      <c r="AN2184" s="79">
        <f>IF(AND(A2184="", J2184=""), "", IF(A2184&lt;&gt;"", VALUE(MID(A2184,2,LEN(A2184))), AN2183))</f>
        <v/>
      </c>
      <c r="AO2184" s="79">
        <f>IF(AN2184="","",IF(AD2184=0,"OK",_xlfn.LET(monedaPago, IF(AA2184="","USD",AA2184), limitePermitido, IFERROR(VLOOKUP(monedaPago, Configuración!$A$2:$B$3, 2, FALSE), 0.15), IF(AD2184&gt;limitePermitido, "ALERTA: EXCESO (" &amp; TEXT(limitePermitido, "0%") &amp; " máx)", "OK"))))</f>
        <v/>
      </c>
      <c r="AP2184" s="79">
        <f>IF(AN2184="","",IF(AE2184=0,"OK",_xlfn.LET(fechaPago, Z2184, fechaFactura, R2184, diasCredito, IF(E2184="Pago inmediato", 0, IFERROR(VALUE(MID(E2184, 1, SEARCH(" ", E2184)-1)),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84" s="79">
        <f>IF(AN2184="","",IF(AND(N2184&gt;0, AG2184&gt;0), IF(Configuración!$K$2="NO", "ALERTA: DESCUENTO DOBLE NO PERMITIDO", "OK"), "OK"))</f>
        <v/>
      </c>
      <c r="AR2184" s="79">
        <f>IF(AN2184="","",IF(OR(AO2184&lt;&gt;"OK", AP2184&lt;&gt;"OK", AQ2184&lt;&gt;"OK"), "⚠️ REVISAR", "OK"))</f>
        <v/>
      </c>
    </row>
    <row r="2185">
      <c r="A2185" s="79">
        <f>IF('Ordenes_Odoo'!A2185="","",'Ordenes_Odoo'!A2185)</f>
        <v/>
      </c>
      <c r="B2185" s="80">
        <f>IF('Ordenes_Odoo'!B2185="","",'Ordenes_Odoo'!B2185)</f>
        <v/>
      </c>
      <c r="C2185" s="79">
        <f>IF('Ordenes_Odoo'!C2185="","",'Ordenes_Odoo'!C2185)</f>
        <v/>
      </c>
      <c r="D2185" s="79">
        <f>IF('Ordenes_Odoo'!D2185="","",'Ordenes_Odoo'!D2185)</f>
        <v/>
      </c>
      <c r="E2185" s="79">
        <f>IF('Ordenes_Odoo'!E2185="","",'Ordenes_Odoo'!E2185)</f>
        <v/>
      </c>
      <c r="F2185" s="79">
        <f>IF('Ordenes_Odoo'!F2185="","",'Ordenes_Odoo'!F2185)</f>
        <v/>
      </c>
      <c r="G2185" s="79">
        <f>IF('Ordenes_Odoo'!G2185="","",'Ordenes_Odoo'!G2185)</f>
        <v/>
      </c>
      <c r="H2185" s="79">
        <f>IF('Ordenes_Odoo'!H2185="","",'Ordenes_Odoo'!H2185)</f>
        <v/>
      </c>
      <c r="I2185" s="79">
        <f>IF('Ordenes_Odoo'!I2185="","",'Ordenes_Odoo'!I2185)</f>
        <v/>
      </c>
      <c r="J2185" s="79">
        <f>IF('Ordenes_Odoo'!J2185="","",'Ordenes_Odoo'!J2185)</f>
        <v/>
      </c>
      <c r="K2185" s="81">
        <f>IF('Ordenes_Odoo'!K2185="","",'Ordenes_Odoo'!K2185)</f>
        <v/>
      </c>
      <c r="L2185" s="81">
        <f>IF('Ordenes_Odoo'!L2185="","",'Ordenes_Odoo'!L2185)</f>
        <v/>
      </c>
      <c r="M2185" s="79">
        <f>IF('Ordenes_Odoo'!M2185="","",'Ordenes_Odoo'!M2185)</f>
        <v/>
      </c>
      <c r="N2185" s="79">
        <f>IF('Ordenes_Odoo'!N2185="","",'Ordenes_Odoo'!N2185)</f>
        <v/>
      </c>
      <c r="O2185" s="81">
        <f>IF('Ordenes_Odoo'!O2185="","",'Ordenes_Odoo'!O2185)</f>
        <v/>
      </c>
      <c r="P2185" s="81">
        <f>IF('Ordenes_Odoo'!P2185="","",'Ordenes_Odoo'!P2185)</f>
        <v/>
      </c>
      <c r="Q2185" s="79">
        <f>IF(A2185="","",IFERROR(INDEX(Facturas_Odoo!$B:$B, MATCH(A2185, Facturas_Odoo!$D:$D, 0)), "Sin Factura"))</f>
        <v/>
      </c>
      <c r="R2185" s="80">
        <f>IF(Q2185="Sin Factura","",IFERROR(INDEX(Facturas_Odoo!$A:$A, MATCH(Q2185, Facturas_Odoo!$B:$B, 0)), ""))</f>
        <v/>
      </c>
      <c r="S2185" s="79">
        <f>IF(Q2185="Sin Factura","",IFERROR(_xlfn.XLOOKUP(1, (Facturas_Odoo!$D:$D=A2185) * (Facturas_Odoo!$K:$K=I2185), Facturas_Odoo!$L:$L, ""), ""))</f>
        <v/>
      </c>
      <c r="T2185" s="81">
        <f>IF(Q2185="Sin Factura",0,IFERROR(_xlfn.XLOOKUP(1, (Facturas_Odoo!$D:$D=A2185) * (Facturas_Odoo!$K:$K=I2185), Facturas_Odoo!$M:$M, 0), 0))</f>
        <v/>
      </c>
      <c r="U2185" s="79">
        <f>IF(Q2185="Sin Factura",0,IFERROR(_xlfn.XLOOKUP(1, (Facturas_Odoo!$D:$D=A2185) * (Facturas_Odoo!$K:$K=I2185), Facturas_Odoo!$N:$N, 0), 0))</f>
        <v/>
      </c>
      <c r="V2185" s="79">
        <f>IF(Q2185="Sin Factura",0,IFERROR(_xlfn.XLOOKUP(1, (Facturas_Odoo!$D:$D=A2185) * (Facturas_Odoo!$K:$K=I2185), Facturas_Odoo!$O:$O, 0), 0))</f>
        <v/>
      </c>
      <c r="W2185" s="81">
        <f>IF(Q2185="Sin Factura",0,IFERROR(_xlfn.XLOOKUP(1, (Facturas_Odoo!$D:$D=A2185) * (Facturas_Odoo!$K:$K=I2185), Facturas_Odoo!$Q:$Q, 0), 0))</f>
        <v/>
      </c>
      <c r="X2185" s="79">
        <f>IF(OR(Q2185="Sin Factura",Q2185=""),"",IFERROR(INDEX(Pagos_Odoo!$B:$B, MATCH(Q2185, Pagos_Odoo!$I:$I, 0)), "Sin Pago"))</f>
        <v/>
      </c>
      <c r="Y2185" s="79">
        <f>IF(X2185="Sin Pago","",IFERROR(INDEX(Pagos_Odoo!$C:$C, MATCH(X2185, Pagos_Odoo!$B:$B, 0)), ""))</f>
        <v/>
      </c>
      <c r="Z2185" s="80">
        <f>IF(X2185="Sin Pago","",IFERROR(INDEX(Pagos_Odoo!$A:$A, MATCH(X2185, Pagos_Odoo!$B:$B, 0)), ""))</f>
        <v/>
      </c>
      <c r="AA2185" s="79">
        <f>IF(X2185="Sin Pago","",IFERROR(INDEX(Pagos_Odoo!$F:$F, MATCH(X2185, Pagos_Odoo!$B:$B, 0)), ""))</f>
        <v/>
      </c>
      <c r="AB2185" s="81">
        <f>IF(X2185="Sin Pago",0,IFERROR(INDEX(Pagos_Odoo!$E:$E, MATCH(X2185, Pagos_Odoo!$B:$B, 0)), 0))</f>
        <v/>
      </c>
      <c r="AC2185" s="79">
        <f>IF(X2185="Sin Pago","",IFERROR(INDEX(Pagos_Odoo!$G:$G, MATCH(X2185, Pagos_Odoo!$B:$B, 0)), ""))</f>
        <v/>
      </c>
      <c r="AD2185" s="82" t="n">
        <v>0</v>
      </c>
      <c r="AE2185" s="82" t="n"/>
      <c r="AF2185" s="82" t="n"/>
      <c r="AG2185" s="82">
        <f>IF(AN2185="","",AD2185+AE2185+AF2185)</f>
        <v/>
      </c>
      <c r="AH2185" s="81">
        <f>IF(AN2185="","",P2185*(1-AG2185))</f>
        <v/>
      </c>
      <c r="AI2185" s="81">
        <f>IF(AN2185="","",IF(Q2185="Sin Factura",0,IFERROR(INDEX(Facturas_Odoo!$H:$H, MATCH(Q2185, Facturas_Odoo!$B:$B, 0)), 0)*(1-AG2185)))</f>
        <v/>
      </c>
      <c r="AJ2185" s="81">
        <f>IF(AN2185="","",_xlfn.LET(idVenta, AN2185&amp;"",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85" s="81">
        <f>IF(AN2185="","",AH2185-AJ2185)</f>
        <v/>
      </c>
      <c r="AL2185" s="81">
        <f>IF(AN2185="","",IF(Q2185="Sin Factura","",AI2185-AJ2185))</f>
        <v/>
      </c>
      <c r="AM2185" s="81">
        <f>IF(AN2185="","",IF(Q2185="Sin Factura",0,P2185-IFERROR(INDEX(Facturas_Odoo!$H:$H, MATCH(Q2185, Facturas_Odoo!$B:$B, 0)), 0)))</f>
        <v/>
      </c>
      <c r="AN2185" s="79">
        <f>IF(AND(A2185="", J2185=""), "", IF(A2185&lt;&gt;"", VALUE(MID(A2185,2,LEN(A2185))), AN2184))</f>
        <v/>
      </c>
      <c r="AO2185" s="79">
        <f>IF(AN2185="","",IF(AD2185=0,"OK",_xlfn.LET(monedaPago, IF(AA2185="","USD",AA2185), limitePermitido, IFERROR(VLOOKUP(monedaPago, Configuración!$A$2:$B$3, 2, FALSE), 0.15), IF(AD2185&gt;limitePermitido, "ALERTA: EXCESO (" &amp; TEXT(limitePermitido, "0%") &amp; " máx)", "OK"))))</f>
        <v/>
      </c>
      <c r="AP2185" s="79">
        <f>IF(AN2185="","",IF(AE2185=0,"OK",_xlfn.LET(fechaPago, Z2185, fechaFactura, R2185, diasCredito, IF(E2185="Pago inmediato", 0, IFERROR(VALUE(MID(E2185, 1, SEARCH(" ", E2185)-1)),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85" s="79">
        <f>IF(AN2185="","",IF(AND(N2185&gt;0, AG2185&gt;0), IF(Configuración!$K$2="NO", "ALERTA: DESCUENTO DOBLE NO PERMITIDO", "OK"), "OK"))</f>
        <v/>
      </c>
      <c r="AR2185" s="79">
        <f>IF(AN2185="","",IF(OR(AO2185&lt;&gt;"OK", AP2185&lt;&gt;"OK", AQ2185&lt;&gt;"OK"), "⚠️ REVISAR", "OK"))</f>
        <v/>
      </c>
    </row>
    <row r="2186">
      <c r="A2186" s="79">
        <f>IF('Ordenes_Odoo'!A2186="","",'Ordenes_Odoo'!A2186)</f>
        <v/>
      </c>
      <c r="B2186" s="80">
        <f>IF('Ordenes_Odoo'!B2186="","",'Ordenes_Odoo'!B2186)</f>
        <v/>
      </c>
      <c r="C2186" s="79">
        <f>IF('Ordenes_Odoo'!C2186="","",'Ordenes_Odoo'!C2186)</f>
        <v/>
      </c>
      <c r="D2186" s="79">
        <f>IF('Ordenes_Odoo'!D2186="","",'Ordenes_Odoo'!D2186)</f>
        <v/>
      </c>
      <c r="E2186" s="79">
        <f>IF('Ordenes_Odoo'!E2186="","",'Ordenes_Odoo'!E2186)</f>
        <v/>
      </c>
      <c r="F2186" s="79">
        <f>IF('Ordenes_Odoo'!F2186="","",'Ordenes_Odoo'!F2186)</f>
        <v/>
      </c>
      <c r="G2186" s="79">
        <f>IF('Ordenes_Odoo'!G2186="","",'Ordenes_Odoo'!G2186)</f>
        <v/>
      </c>
      <c r="H2186" s="79">
        <f>IF('Ordenes_Odoo'!H2186="","",'Ordenes_Odoo'!H2186)</f>
        <v/>
      </c>
      <c r="I2186" s="79">
        <f>IF('Ordenes_Odoo'!I2186="","",'Ordenes_Odoo'!I2186)</f>
        <v/>
      </c>
      <c r="J2186" s="79">
        <f>IF('Ordenes_Odoo'!J2186="","",'Ordenes_Odoo'!J2186)</f>
        <v/>
      </c>
      <c r="K2186" s="81">
        <f>IF('Ordenes_Odoo'!K2186="","",'Ordenes_Odoo'!K2186)</f>
        <v/>
      </c>
      <c r="L2186" s="81">
        <f>IF('Ordenes_Odoo'!L2186="","",'Ordenes_Odoo'!L2186)</f>
        <v/>
      </c>
      <c r="M2186" s="79">
        <f>IF('Ordenes_Odoo'!M2186="","",'Ordenes_Odoo'!M2186)</f>
        <v/>
      </c>
      <c r="N2186" s="79">
        <f>IF('Ordenes_Odoo'!N2186="","",'Ordenes_Odoo'!N2186)</f>
        <v/>
      </c>
      <c r="O2186" s="81">
        <f>IF('Ordenes_Odoo'!O2186="","",'Ordenes_Odoo'!O2186)</f>
        <v/>
      </c>
      <c r="P2186" s="81">
        <f>IF('Ordenes_Odoo'!P2186="","",'Ordenes_Odoo'!P2186)</f>
        <v/>
      </c>
      <c r="Q2186" s="79">
        <f>IF(A2186="","",IFERROR(INDEX(Facturas_Odoo!$B:$B, MATCH(A2186, Facturas_Odoo!$D:$D, 0)), "Sin Factura"))</f>
        <v/>
      </c>
      <c r="R2186" s="80">
        <f>IF(Q2186="Sin Factura","",IFERROR(INDEX(Facturas_Odoo!$A:$A, MATCH(Q2186, Facturas_Odoo!$B:$B, 0)), ""))</f>
        <v/>
      </c>
      <c r="S2186" s="79">
        <f>IF(Q2186="Sin Factura","",IFERROR(_xlfn.XLOOKUP(1, (Facturas_Odoo!$D:$D=A2186) * (Facturas_Odoo!$K:$K=I2186), Facturas_Odoo!$L:$L, ""), ""))</f>
        <v/>
      </c>
      <c r="T2186" s="81">
        <f>IF(Q2186="Sin Factura",0,IFERROR(_xlfn.XLOOKUP(1, (Facturas_Odoo!$D:$D=A2186) * (Facturas_Odoo!$K:$K=I2186), Facturas_Odoo!$M:$M, 0), 0))</f>
        <v/>
      </c>
      <c r="U2186" s="79">
        <f>IF(Q2186="Sin Factura",0,IFERROR(_xlfn.XLOOKUP(1, (Facturas_Odoo!$D:$D=A2186) * (Facturas_Odoo!$K:$K=I2186), Facturas_Odoo!$N:$N, 0), 0))</f>
        <v/>
      </c>
      <c r="V2186" s="79">
        <f>IF(Q2186="Sin Factura",0,IFERROR(_xlfn.XLOOKUP(1, (Facturas_Odoo!$D:$D=A2186) * (Facturas_Odoo!$K:$K=I2186), Facturas_Odoo!$O:$O, 0), 0))</f>
        <v/>
      </c>
      <c r="W2186" s="81">
        <f>IF(Q2186="Sin Factura",0,IFERROR(_xlfn.XLOOKUP(1, (Facturas_Odoo!$D:$D=A2186) * (Facturas_Odoo!$K:$K=I2186), Facturas_Odoo!$Q:$Q, 0), 0))</f>
        <v/>
      </c>
      <c r="X2186" s="79">
        <f>IF(OR(Q2186="Sin Factura",Q2186=""),"",IFERROR(INDEX(Pagos_Odoo!$B:$B, MATCH(Q2186, Pagos_Odoo!$I:$I, 0)), "Sin Pago"))</f>
        <v/>
      </c>
      <c r="Y2186" s="79">
        <f>IF(X2186="Sin Pago","",IFERROR(INDEX(Pagos_Odoo!$C:$C, MATCH(X2186, Pagos_Odoo!$B:$B, 0)), ""))</f>
        <v/>
      </c>
      <c r="Z2186" s="80">
        <f>IF(X2186="Sin Pago","",IFERROR(INDEX(Pagos_Odoo!$A:$A, MATCH(X2186, Pagos_Odoo!$B:$B, 0)), ""))</f>
        <v/>
      </c>
      <c r="AA2186" s="79">
        <f>IF(X2186="Sin Pago","",IFERROR(INDEX(Pagos_Odoo!$F:$F, MATCH(X2186, Pagos_Odoo!$B:$B, 0)), ""))</f>
        <v/>
      </c>
      <c r="AB2186" s="81">
        <f>IF(X2186="Sin Pago",0,IFERROR(INDEX(Pagos_Odoo!$E:$E, MATCH(X2186, Pagos_Odoo!$B:$B, 0)), 0))</f>
        <v/>
      </c>
      <c r="AC2186" s="79">
        <f>IF(X2186="Sin Pago","",IFERROR(INDEX(Pagos_Odoo!$G:$G, MATCH(X2186, Pagos_Odoo!$B:$B, 0)), ""))</f>
        <v/>
      </c>
      <c r="AD2186" s="82" t="n">
        <v>0</v>
      </c>
      <c r="AE2186" s="82" t="n"/>
      <c r="AF2186" s="82" t="n"/>
      <c r="AG2186" s="82">
        <f>IF(AN2186="","",AD2186+AE2186+AF2186)</f>
        <v/>
      </c>
      <c r="AH2186" s="81">
        <f>IF(AN2186="","",P2186*(1-AG2186))</f>
        <v/>
      </c>
      <c r="AI2186" s="81">
        <f>IF(AN2186="","",IF(Q2186="Sin Factura",0,IFERROR(INDEX(Facturas_Odoo!$H:$H, MATCH(Q2186, Facturas_Odoo!$B:$B, 0)), 0)*(1-AG2186)))</f>
        <v/>
      </c>
      <c r="AJ2186" s="81">
        <f>IF(AN2186="","",_xlfn.LET(idVenta, AN2186&amp;"",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86" s="81">
        <f>IF(AN2186="","",AH2186-AJ2186)</f>
        <v/>
      </c>
      <c r="AL2186" s="81">
        <f>IF(AN2186="","",IF(Q2186="Sin Factura","",AI2186-AJ2186))</f>
        <v/>
      </c>
      <c r="AM2186" s="81">
        <f>IF(AN2186="","",IF(Q2186="Sin Factura",0,P2186-IFERROR(INDEX(Facturas_Odoo!$H:$H, MATCH(Q2186, Facturas_Odoo!$B:$B, 0)), 0)))</f>
        <v/>
      </c>
      <c r="AN2186" s="79">
        <f>IF(AND(A2186="", J2186=""), "", IF(A2186&lt;&gt;"", VALUE(MID(A2186,2,LEN(A2186))), AN2185))</f>
        <v/>
      </c>
      <c r="AO2186" s="79">
        <f>IF(AN2186="","",IF(AD2186=0,"OK",_xlfn.LET(monedaPago, IF(AA2186="","USD",AA2186), limitePermitido, IFERROR(VLOOKUP(monedaPago, Configuración!$A$2:$B$3, 2, FALSE), 0.15), IF(AD2186&gt;limitePermitido, "ALERTA: EXCESO (" &amp; TEXT(limitePermitido, "0%") &amp; " máx)", "OK"))))</f>
        <v/>
      </c>
      <c r="AP2186" s="79">
        <f>IF(AN2186="","",IF(AE2186=0,"OK",_xlfn.LET(fechaPago, Z2186, fechaFactura, R2186, diasCredito, IF(E2186="Pago inmediato", 0, IFERROR(VALUE(MID(E2186, 1, SEARCH(" ", E2186)-1)),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86" s="79">
        <f>IF(AN2186="","",IF(AND(N2186&gt;0, AG2186&gt;0), IF(Configuración!$K$2="NO", "ALERTA: DESCUENTO DOBLE NO PERMITIDO", "OK"), "OK"))</f>
        <v/>
      </c>
      <c r="AR2186" s="79">
        <f>IF(AN2186="","",IF(OR(AO2186&lt;&gt;"OK", AP2186&lt;&gt;"OK", AQ2186&lt;&gt;"OK"), "⚠️ REVISAR", "OK"))</f>
        <v/>
      </c>
    </row>
    <row r="2187">
      <c r="A2187" s="79">
        <f>IF('Ordenes_Odoo'!A2187="","",'Ordenes_Odoo'!A2187)</f>
        <v/>
      </c>
      <c r="B2187" s="80">
        <f>IF('Ordenes_Odoo'!B2187="","",'Ordenes_Odoo'!B2187)</f>
        <v/>
      </c>
      <c r="C2187" s="79">
        <f>IF('Ordenes_Odoo'!C2187="","",'Ordenes_Odoo'!C2187)</f>
        <v/>
      </c>
      <c r="D2187" s="79">
        <f>IF('Ordenes_Odoo'!D2187="","",'Ordenes_Odoo'!D2187)</f>
        <v/>
      </c>
      <c r="E2187" s="79">
        <f>IF('Ordenes_Odoo'!E2187="","",'Ordenes_Odoo'!E2187)</f>
        <v/>
      </c>
      <c r="F2187" s="79">
        <f>IF('Ordenes_Odoo'!F2187="","",'Ordenes_Odoo'!F2187)</f>
        <v/>
      </c>
      <c r="G2187" s="79">
        <f>IF('Ordenes_Odoo'!G2187="","",'Ordenes_Odoo'!G2187)</f>
        <v/>
      </c>
      <c r="H2187" s="79">
        <f>IF('Ordenes_Odoo'!H2187="","",'Ordenes_Odoo'!H2187)</f>
        <v/>
      </c>
      <c r="I2187" s="79">
        <f>IF('Ordenes_Odoo'!I2187="","",'Ordenes_Odoo'!I2187)</f>
        <v/>
      </c>
      <c r="J2187" s="79">
        <f>IF('Ordenes_Odoo'!J2187="","",'Ordenes_Odoo'!J2187)</f>
        <v/>
      </c>
      <c r="K2187" s="81">
        <f>IF('Ordenes_Odoo'!K2187="","",'Ordenes_Odoo'!K2187)</f>
        <v/>
      </c>
      <c r="L2187" s="81">
        <f>IF('Ordenes_Odoo'!L2187="","",'Ordenes_Odoo'!L2187)</f>
        <v/>
      </c>
      <c r="M2187" s="79">
        <f>IF('Ordenes_Odoo'!M2187="","",'Ordenes_Odoo'!M2187)</f>
        <v/>
      </c>
      <c r="N2187" s="79">
        <f>IF('Ordenes_Odoo'!N2187="","",'Ordenes_Odoo'!N2187)</f>
        <v/>
      </c>
      <c r="O2187" s="81">
        <f>IF('Ordenes_Odoo'!O2187="","",'Ordenes_Odoo'!O2187)</f>
        <v/>
      </c>
      <c r="P2187" s="81">
        <f>IF('Ordenes_Odoo'!P2187="","",'Ordenes_Odoo'!P2187)</f>
        <v/>
      </c>
      <c r="Q2187" s="79">
        <f>IF(A2187="","",IFERROR(INDEX(Facturas_Odoo!$B:$B, MATCH(A2187, Facturas_Odoo!$D:$D, 0)), "Sin Factura"))</f>
        <v/>
      </c>
      <c r="R2187" s="80">
        <f>IF(Q2187="Sin Factura","",IFERROR(INDEX(Facturas_Odoo!$A:$A, MATCH(Q2187, Facturas_Odoo!$B:$B, 0)), ""))</f>
        <v/>
      </c>
      <c r="S2187" s="79">
        <f>IF(Q2187="Sin Factura","",IFERROR(_xlfn.XLOOKUP(1, (Facturas_Odoo!$D:$D=A2187) * (Facturas_Odoo!$K:$K=I2187), Facturas_Odoo!$L:$L, ""), ""))</f>
        <v/>
      </c>
      <c r="T2187" s="81">
        <f>IF(Q2187="Sin Factura",0,IFERROR(_xlfn.XLOOKUP(1, (Facturas_Odoo!$D:$D=A2187) * (Facturas_Odoo!$K:$K=I2187), Facturas_Odoo!$M:$M, 0), 0))</f>
        <v/>
      </c>
      <c r="U2187" s="79">
        <f>IF(Q2187="Sin Factura",0,IFERROR(_xlfn.XLOOKUP(1, (Facturas_Odoo!$D:$D=A2187) * (Facturas_Odoo!$K:$K=I2187), Facturas_Odoo!$N:$N, 0), 0))</f>
        <v/>
      </c>
      <c r="V2187" s="79">
        <f>IF(Q2187="Sin Factura",0,IFERROR(_xlfn.XLOOKUP(1, (Facturas_Odoo!$D:$D=A2187) * (Facturas_Odoo!$K:$K=I2187), Facturas_Odoo!$O:$O, 0), 0))</f>
        <v/>
      </c>
      <c r="W2187" s="81">
        <f>IF(Q2187="Sin Factura",0,IFERROR(_xlfn.XLOOKUP(1, (Facturas_Odoo!$D:$D=A2187) * (Facturas_Odoo!$K:$K=I2187), Facturas_Odoo!$Q:$Q, 0), 0))</f>
        <v/>
      </c>
      <c r="X2187" s="79">
        <f>IF(OR(Q2187="Sin Factura",Q2187=""),"",IFERROR(INDEX(Pagos_Odoo!$B:$B, MATCH(Q2187, Pagos_Odoo!$I:$I, 0)), "Sin Pago"))</f>
        <v/>
      </c>
      <c r="Y2187" s="79">
        <f>IF(X2187="Sin Pago","",IFERROR(INDEX(Pagos_Odoo!$C:$C, MATCH(X2187, Pagos_Odoo!$B:$B, 0)), ""))</f>
        <v/>
      </c>
      <c r="Z2187" s="80">
        <f>IF(X2187="Sin Pago","",IFERROR(INDEX(Pagos_Odoo!$A:$A, MATCH(X2187, Pagos_Odoo!$B:$B, 0)), ""))</f>
        <v/>
      </c>
      <c r="AA2187" s="79">
        <f>IF(X2187="Sin Pago","",IFERROR(INDEX(Pagos_Odoo!$F:$F, MATCH(X2187, Pagos_Odoo!$B:$B, 0)), ""))</f>
        <v/>
      </c>
      <c r="AB2187" s="81">
        <f>IF(X2187="Sin Pago",0,IFERROR(INDEX(Pagos_Odoo!$E:$E, MATCH(X2187, Pagos_Odoo!$B:$B, 0)), 0))</f>
        <v/>
      </c>
      <c r="AC2187" s="79">
        <f>IF(X2187="Sin Pago","",IFERROR(INDEX(Pagos_Odoo!$G:$G, MATCH(X2187, Pagos_Odoo!$B:$B, 0)), ""))</f>
        <v/>
      </c>
      <c r="AD2187" s="82" t="n">
        <v>0</v>
      </c>
      <c r="AE2187" s="82" t="n"/>
      <c r="AF2187" s="82" t="n"/>
      <c r="AG2187" s="82">
        <f>IF(AN2187="","",AD2187+AE2187+AF2187)</f>
        <v/>
      </c>
      <c r="AH2187" s="81">
        <f>IF(AN2187="","",P2187*(1-AG2187))</f>
        <v/>
      </c>
      <c r="AI2187" s="81">
        <f>IF(AN2187="","",IF(Q2187="Sin Factura",0,IFERROR(INDEX(Facturas_Odoo!$H:$H, MATCH(Q2187, Facturas_Odoo!$B:$B, 0)), 0)*(1-AG2187)))</f>
        <v/>
      </c>
      <c r="AJ2187" s="81">
        <f>IF(AN2187="","",_xlfn.LET(idVenta, AN2187&amp;"",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87" s="81">
        <f>IF(AN2187="","",AH2187-AJ2187)</f>
        <v/>
      </c>
      <c r="AL2187" s="81">
        <f>IF(AN2187="","",IF(Q2187="Sin Factura","",AI2187-AJ2187))</f>
        <v/>
      </c>
      <c r="AM2187" s="81">
        <f>IF(AN2187="","",IF(Q2187="Sin Factura",0,P2187-IFERROR(INDEX(Facturas_Odoo!$H:$H, MATCH(Q2187, Facturas_Odoo!$B:$B, 0)), 0)))</f>
        <v/>
      </c>
      <c r="AN2187" s="79">
        <f>IF(AND(A2187="", J2187=""), "", IF(A2187&lt;&gt;"", VALUE(MID(A2187,2,LEN(A2187))), AN2186))</f>
        <v/>
      </c>
      <c r="AO2187" s="79">
        <f>IF(AN2187="","",IF(AD2187=0,"OK",_xlfn.LET(monedaPago, IF(AA2187="","USD",AA2187), limitePermitido, IFERROR(VLOOKUP(monedaPago, Configuración!$A$2:$B$3, 2, FALSE), 0.15), IF(AD2187&gt;limitePermitido, "ALERTA: EXCESO (" &amp; TEXT(limitePermitido, "0%") &amp; " máx)", "OK"))))</f>
        <v/>
      </c>
      <c r="AP2187" s="79">
        <f>IF(AN2187="","",IF(AE2187=0,"OK",_xlfn.LET(fechaPago, Z2187, fechaFactura, R2187, diasCredito, IF(E2187="Pago inmediato", 0, IFERROR(VALUE(MID(E2187, 1, SEARCH(" ", E2187)-1)),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87" s="79">
        <f>IF(AN2187="","",IF(AND(N2187&gt;0, AG2187&gt;0), IF(Configuración!$K$2="NO", "ALERTA: DESCUENTO DOBLE NO PERMITIDO", "OK"), "OK"))</f>
        <v/>
      </c>
      <c r="AR2187" s="79">
        <f>IF(AN2187="","",IF(OR(AO2187&lt;&gt;"OK", AP2187&lt;&gt;"OK", AQ2187&lt;&gt;"OK"), "⚠️ REVISAR", "OK"))</f>
        <v/>
      </c>
    </row>
    <row r="2188">
      <c r="A2188" s="79">
        <f>IF('Ordenes_Odoo'!A2188="","",'Ordenes_Odoo'!A2188)</f>
        <v/>
      </c>
      <c r="B2188" s="80">
        <f>IF('Ordenes_Odoo'!B2188="","",'Ordenes_Odoo'!B2188)</f>
        <v/>
      </c>
      <c r="C2188" s="79">
        <f>IF('Ordenes_Odoo'!C2188="","",'Ordenes_Odoo'!C2188)</f>
        <v/>
      </c>
      <c r="D2188" s="79">
        <f>IF('Ordenes_Odoo'!D2188="","",'Ordenes_Odoo'!D2188)</f>
        <v/>
      </c>
      <c r="E2188" s="79">
        <f>IF('Ordenes_Odoo'!E2188="","",'Ordenes_Odoo'!E2188)</f>
        <v/>
      </c>
      <c r="F2188" s="79">
        <f>IF('Ordenes_Odoo'!F2188="","",'Ordenes_Odoo'!F2188)</f>
        <v/>
      </c>
      <c r="G2188" s="79">
        <f>IF('Ordenes_Odoo'!G2188="","",'Ordenes_Odoo'!G2188)</f>
        <v/>
      </c>
      <c r="H2188" s="79">
        <f>IF('Ordenes_Odoo'!H2188="","",'Ordenes_Odoo'!H2188)</f>
        <v/>
      </c>
      <c r="I2188" s="79">
        <f>IF('Ordenes_Odoo'!I2188="","",'Ordenes_Odoo'!I2188)</f>
        <v/>
      </c>
      <c r="J2188" s="79">
        <f>IF('Ordenes_Odoo'!J2188="","",'Ordenes_Odoo'!J2188)</f>
        <v/>
      </c>
      <c r="K2188" s="81">
        <f>IF('Ordenes_Odoo'!K2188="","",'Ordenes_Odoo'!K2188)</f>
        <v/>
      </c>
      <c r="L2188" s="81">
        <f>IF('Ordenes_Odoo'!L2188="","",'Ordenes_Odoo'!L2188)</f>
        <v/>
      </c>
      <c r="M2188" s="79">
        <f>IF('Ordenes_Odoo'!M2188="","",'Ordenes_Odoo'!M2188)</f>
        <v/>
      </c>
      <c r="N2188" s="79">
        <f>IF('Ordenes_Odoo'!N2188="","",'Ordenes_Odoo'!N2188)</f>
        <v/>
      </c>
      <c r="O2188" s="81">
        <f>IF('Ordenes_Odoo'!O2188="","",'Ordenes_Odoo'!O2188)</f>
        <v/>
      </c>
      <c r="P2188" s="81">
        <f>IF('Ordenes_Odoo'!P2188="","",'Ordenes_Odoo'!P2188)</f>
        <v/>
      </c>
      <c r="Q2188" s="79">
        <f>IF(A2188="","",IFERROR(INDEX(Facturas_Odoo!$B:$B, MATCH(A2188, Facturas_Odoo!$D:$D, 0)), "Sin Factura"))</f>
        <v/>
      </c>
      <c r="R2188" s="80">
        <f>IF(Q2188="Sin Factura","",IFERROR(INDEX(Facturas_Odoo!$A:$A, MATCH(Q2188, Facturas_Odoo!$B:$B, 0)), ""))</f>
        <v/>
      </c>
      <c r="S2188" s="79">
        <f>IF(Q2188="Sin Factura","",IFERROR(_xlfn.XLOOKUP(1, (Facturas_Odoo!$D:$D=A2188) * (Facturas_Odoo!$K:$K=I2188), Facturas_Odoo!$L:$L, ""), ""))</f>
        <v/>
      </c>
      <c r="T2188" s="81">
        <f>IF(Q2188="Sin Factura",0,IFERROR(_xlfn.XLOOKUP(1, (Facturas_Odoo!$D:$D=A2188) * (Facturas_Odoo!$K:$K=I2188), Facturas_Odoo!$M:$M, 0), 0))</f>
        <v/>
      </c>
      <c r="U2188" s="79">
        <f>IF(Q2188="Sin Factura",0,IFERROR(_xlfn.XLOOKUP(1, (Facturas_Odoo!$D:$D=A2188) * (Facturas_Odoo!$K:$K=I2188), Facturas_Odoo!$N:$N, 0), 0))</f>
        <v/>
      </c>
      <c r="V2188" s="79">
        <f>IF(Q2188="Sin Factura",0,IFERROR(_xlfn.XLOOKUP(1, (Facturas_Odoo!$D:$D=A2188) * (Facturas_Odoo!$K:$K=I2188), Facturas_Odoo!$O:$O, 0), 0))</f>
        <v/>
      </c>
      <c r="W2188" s="81">
        <f>IF(Q2188="Sin Factura",0,IFERROR(_xlfn.XLOOKUP(1, (Facturas_Odoo!$D:$D=A2188) * (Facturas_Odoo!$K:$K=I2188), Facturas_Odoo!$Q:$Q, 0), 0))</f>
        <v/>
      </c>
      <c r="X2188" s="79">
        <f>IF(OR(Q2188="Sin Factura",Q2188=""),"",IFERROR(INDEX(Pagos_Odoo!$B:$B, MATCH(Q2188, Pagos_Odoo!$I:$I, 0)), "Sin Pago"))</f>
        <v/>
      </c>
      <c r="Y2188" s="79">
        <f>IF(X2188="Sin Pago","",IFERROR(INDEX(Pagos_Odoo!$C:$C, MATCH(X2188, Pagos_Odoo!$B:$B, 0)), ""))</f>
        <v/>
      </c>
      <c r="Z2188" s="80">
        <f>IF(X2188="Sin Pago","",IFERROR(INDEX(Pagos_Odoo!$A:$A, MATCH(X2188, Pagos_Odoo!$B:$B, 0)), ""))</f>
        <v/>
      </c>
      <c r="AA2188" s="79">
        <f>IF(X2188="Sin Pago","",IFERROR(INDEX(Pagos_Odoo!$F:$F, MATCH(X2188, Pagos_Odoo!$B:$B, 0)), ""))</f>
        <v/>
      </c>
      <c r="AB2188" s="81">
        <f>IF(X2188="Sin Pago",0,IFERROR(INDEX(Pagos_Odoo!$E:$E, MATCH(X2188, Pagos_Odoo!$B:$B, 0)), 0))</f>
        <v/>
      </c>
      <c r="AC2188" s="79">
        <f>IF(X2188="Sin Pago","",IFERROR(INDEX(Pagos_Odoo!$G:$G, MATCH(X2188, Pagos_Odoo!$B:$B, 0)), ""))</f>
        <v/>
      </c>
      <c r="AD2188" s="82" t="n">
        <v>0</v>
      </c>
      <c r="AE2188" s="82" t="n"/>
      <c r="AF2188" s="82" t="n"/>
      <c r="AG2188" s="82">
        <f>IF(AN2188="","",AD2188+AE2188+AF2188)</f>
        <v/>
      </c>
      <c r="AH2188" s="81">
        <f>IF(AN2188="","",P2188*(1-AG2188))</f>
        <v/>
      </c>
      <c r="AI2188" s="81">
        <f>IF(AN2188="","",IF(Q2188="Sin Factura",0,IFERROR(INDEX(Facturas_Odoo!$H:$H, MATCH(Q2188, Facturas_Odoo!$B:$B, 0)), 0)*(1-AG2188)))</f>
        <v/>
      </c>
      <c r="AJ2188" s="81">
        <f>IF(AN2188="","",_xlfn.LET(idVenta, AN2188&amp;"",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88" s="81">
        <f>IF(AN2188="","",AH2188-AJ2188)</f>
        <v/>
      </c>
      <c r="AL2188" s="81">
        <f>IF(AN2188="","",IF(Q2188="Sin Factura","",AI2188-AJ2188))</f>
        <v/>
      </c>
      <c r="AM2188" s="81">
        <f>IF(AN2188="","",IF(Q2188="Sin Factura",0,P2188-IFERROR(INDEX(Facturas_Odoo!$H:$H, MATCH(Q2188, Facturas_Odoo!$B:$B, 0)), 0)))</f>
        <v/>
      </c>
      <c r="AN2188" s="79">
        <f>IF(AND(A2188="", J2188=""), "", IF(A2188&lt;&gt;"", VALUE(MID(A2188,2,LEN(A2188))), AN2187))</f>
        <v/>
      </c>
      <c r="AO2188" s="79">
        <f>IF(AN2188="","",IF(AD2188=0,"OK",_xlfn.LET(monedaPago, IF(AA2188="","USD",AA2188), limitePermitido, IFERROR(VLOOKUP(monedaPago, Configuración!$A$2:$B$3, 2, FALSE), 0.15), IF(AD2188&gt;limitePermitido, "ALERTA: EXCESO (" &amp; TEXT(limitePermitido, "0%") &amp; " máx)", "OK"))))</f>
        <v/>
      </c>
      <c r="AP2188" s="79">
        <f>IF(AN2188="","",IF(AE2188=0,"OK",_xlfn.LET(fechaPago, Z2188, fechaFactura, R2188, diasCredito, IF(E2188="Pago inmediato", 0, IFERROR(VALUE(MID(E2188, 1, SEARCH(" ", E2188)-1)),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88" s="79">
        <f>IF(AN2188="","",IF(AND(N2188&gt;0, AG2188&gt;0), IF(Configuración!$K$2="NO", "ALERTA: DESCUENTO DOBLE NO PERMITIDO", "OK"), "OK"))</f>
        <v/>
      </c>
      <c r="AR2188" s="79">
        <f>IF(AN2188="","",IF(OR(AO2188&lt;&gt;"OK", AP2188&lt;&gt;"OK", AQ2188&lt;&gt;"OK"), "⚠️ REVISAR", "OK"))</f>
        <v/>
      </c>
    </row>
    <row r="2189">
      <c r="A2189" s="79">
        <f>IF('Ordenes_Odoo'!A2189="","",'Ordenes_Odoo'!A2189)</f>
        <v/>
      </c>
      <c r="B2189" s="80">
        <f>IF('Ordenes_Odoo'!B2189="","",'Ordenes_Odoo'!B2189)</f>
        <v/>
      </c>
      <c r="C2189" s="79">
        <f>IF('Ordenes_Odoo'!C2189="","",'Ordenes_Odoo'!C2189)</f>
        <v/>
      </c>
      <c r="D2189" s="79">
        <f>IF('Ordenes_Odoo'!D2189="","",'Ordenes_Odoo'!D2189)</f>
        <v/>
      </c>
      <c r="E2189" s="79">
        <f>IF('Ordenes_Odoo'!E2189="","",'Ordenes_Odoo'!E2189)</f>
        <v/>
      </c>
      <c r="F2189" s="79">
        <f>IF('Ordenes_Odoo'!F2189="","",'Ordenes_Odoo'!F2189)</f>
        <v/>
      </c>
      <c r="G2189" s="79">
        <f>IF('Ordenes_Odoo'!G2189="","",'Ordenes_Odoo'!G2189)</f>
        <v/>
      </c>
      <c r="H2189" s="79">
        <f>IF('Ordenes_Odoo'!H2189="","",'Ordenes_Odoo'!H2189)</f>
        <v/>
      </c>
      <c r="I2189" s="79">
        <f>IF('Ordenes_Odoo'!I2189="","",'Ordenes_Odoo'!I2189)</f>
        <v/>
      </c>
      <c r="J2189" s="79">
        <f>IF('Ordenes_Odoo'!J2189="","",'Ordenes_Odoo'!J2189)</f>
        <v/>
      </c>
      <c r="K2189" s="81">
        <f>IF('Ordenes_Odoo'!K2189="","",'Ordenes_Odoo'!K2189)</f>
        <v/>
      </c>
      <c r="L2189" s="81">
        <f>IF('Ordenes_Odoo'!L2189="","",'Ordenes_Odoo'!L2189)</f>
        <v/>
      </c>
      <c r="M2189" s="79">
        <f>IF('Ordenes_Odoo'!M2189="","",'Ordenes_Odoo'!M2189)</f>
        <v/>
      </c>
      <c r="N2189" s="79">
        <f>IF('Ordenes_Odoo'!N2189="","",'Ordenes_Odoo'!N2189)</f>
        <v/>
      </c>
      <c r="O2189" s="81">
        <f>IF('Ordenes_Odoo'!O2189="","",'Ordenes_Odoo'!O2189)</f>
        <v/>
      </c>
      <c r="P2189" s="81">
        <f>IF('Ordenes_Odoo'!P2189="","",'Ordenes_Odoo'!P2189)</f>
        <v/>
      </c>
      <c r="Q2189" s="79">
        <f>IF(A2189="","",IFERROR(INDEX(Facturas_Odoo!$B:$B, MATCH(A2189, Facturas_Odoo!$D:$D, 0)), "Sin Factura"))</f>
        <v/>
      </c>
      <c r="R2189" s="80">
        <f>IF(Q2189="Sin Factura","",IFERROR(INDEX(Facturas_Odoo!$A:$A, MATCH(Q2189, Facturas_Odoo!$B:$B, 0)), ""))</f>
        <v/>
      </c>
      <c r="S2189" s="79">
        <f>IF(Q2189="Sin Factura","",IFERROR(_xlfn.XLOOKUP(1, (Facturas_Odoo!$D:$D=A2189) * (Facturas_Odoo!$K:$K=I2189), Facturas_Odoo!$L:$L, ""), ""))</f>
        <v/>
      </c>
      <c r="T2189" s="81">
        <f>IF(Q2189="Sin Factura",0,IFERROR(_xlfn.XLOOKUP(1, (Facturas_Odoo!$D:$D=A2189) * (Facturas_Odoo!$K:$K=I2189), Facturas_Odoo!$M:$M, 0), 0))</f>
        <v/>
      </c>
      <c r="U2189" s="79">
        <f>IF(Q2189="Sin Factura",0,IFERROR(_xlfn.XLOOKUP(1, (Facturas_Odoo!$D:$D=A2189) * (Facturas_Odoo!$K:$K=I2189), Facturas_Odoo!$N:$N, 0), 0))</f>
        <v/>
      </c>
      <c r="V2189" s="79">
        <f>IF(Q2189="Sin Factura",0,IFERROR(_xlfn.XLOOKUP(1, (Facturas_Odoo!$D:$D=A2189) * (Facturas_Odoo!$K:$K=I2189), Facturas_Odoo!$O:$O, 0), 0))</f>
        <v/>
      </c>
      <c r="W2189" s="81">
        <f>IF(Q2189="Sin Factura",0,IFERROR(_xlfn.XLOOKUP(1, (Facturas_Odoo!$D:$D=A2189) * (Facturas_Odoo!$K:$K=I2189), Facturas_Odoo!$Q:$Q, 0), 0))</f>
        <v/>
      </c>
      <c r="X2189" s="79">
        <f>IF(OR(Q2189="Sin Factura",Q2189=""),"",IFERROR(INDEX(Pagos_Odoo!$B:$B, MATCH(Q2189, Pagos_Odoo!$I:$I, 0)), "Sin Pago"))</f>
        <v/>
      </c>
      <c r="Y2189" s="79">
        <f>IF(X2189="Sin Pago","",IFERROR(INDEX(Pagos_Odoo!$C:$C, MATCH(X2189, Pagos_Odoo!$B:$B, 0)), ""))</f>
        <v/>
      </c>
      <c r="Z2189" s="80">
        <f>IF(X2189="Sin Pago","",IFERROR(INDEX(Pagos_Odoo!$A:$A, MATCH(X2189, Pagos_Odoo!$B:$B, 0)), ""))</f>
        <v/>
      </c>
      <c r="AA2189" s="79">
        <f>IF(X2189="Sin Pago","",IFERROR(INDEX(Pagos_Odoo!$F:$F, MATCH(X2189, Pagos_Odoo!$B:$B, 0)), ""))</f>
        <v/>
      </c>
      <c r="AB2189" s="81">
        <f>IF(X2189="Sin Pago",0,IFERROR(INDEX(Pagos_Odoo!$E:$E, MATCH(X2189, Pagos_Odoo!$B:$B, 0)), 0))</f>
        <v/>
      </c>
      <c r="AC2189" s="79">
        <f>IF(X2189="Sin Pago","",IFERROR(INDEX(Pagos_Odoo!$G:$G, MATCH(X2189, Pagos_Odoo!$B:$B, 0)), ""))</f>
        <v/>
      </c>
      <c r="AD2189" s="82" t="n">
        <v>0</v>
      </c>
      <c r="AE2189" s="82" t="n"/>
      <c r="AF2189" s="82" t="n"/>
      <c r="AG2189" s="82">
        <f>IF(AN2189="","",AD2189+AE2189+AF2189)</f>
        <v/>
      </c>
      <c r="AH2189" s="81">
        <f>IF(AN2189="","",P2189*(1-AG2189))</f>
        <v/>
      </c>
      <c r="AI2189" s="81">
        <f>IF(AN2189="","",IF(Q2189="Sin Factura",0,IFERROR(INDEX(Facturas_Odoo!$H:$H, MATCH(Q2189, Facturas_Odoo!$B:$B, 0)), 0)*(1-AG2189)))</f>
        <v/>
      </c>
      <c r="AJ2189" s="81">
        <f>IF(AN2189="","",_xlfn.LET(idVenta, AN2189&amp;"",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89" s="81">
        <f>IF(AN2189="","",AH2189-AJ2189)</f>
        <v/>
      </c>
      <c r="AL2189" s="81">
        <f>IF(AN2189="","",IF(Q2189="Sin Factura","",AI2189-AJ2189))</f>
        <v/>
      </c>
      <c r="AM2189" s="81">
        <f>IF(AN2189="","",IF(Q2189="Sin Factura",0,P2189-IFERROR(INDEX(Facturas_Odoo!$H:$H, MATCH(Q2189, Facturas_Odoo!$B:$B, 0)), 0)))</f>
        <v/>
      </c>
      <c r="AN2189" s="79">
        <f>IF(AND(A2189="", J2189=""), "", IF(A2189&lt;&gt;"", VALUE(MID(A2189,2,LEN(A2189))), AN2188))</f>
        <v/>
      </c>
      <c r="AO2189" s="79">
        <f>IF(AN2189="","",IF(AD2189=0,"OK",_xlfn.LET(monedaPago, IF(AA2189="","USD",AA2189), limitePermitido, IFERROR(VLOOKUP(monedaPago, Configuración!$A$2:$B$3, 2, FALSE), 0.15), IF(AD2189&gt;limitePermitido, "ALERTA: EXCESO (" &amp; TEXT(limitePermitido, "0%") &amp; " máx)", "OK"))))</f>
        <v/>
      </c>
      <c r="AP2189" s="79">
        <f>IF(AN2189="","",IF(AE2189=0,"OK",_xlfn.LET(fechaPago, Z2189, fechaFactura, R2189, diasCredito, IF(E2189="Pago inmediato", 0, IFERROR(VALUE(MID(E2189, 1, SEARCH(" ", E2189)-1)),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89" s="79">
        <f>IF(AN2189="","",IF(AND(N2189&gt;0, AG2189&gt;0), IF(Configuración!$K$2="NO", "ALERTA: DESCUENTO DOBLE NO PERMITIDO", "OK"), "OK"))</f>
        <v/>
      </c>
      <c r="AR2189" s="79">
        <f>IF(AN2189="","",IF(OR(AO2189&lt;&gt;"OK", AP2189&lt;&gt;"OK", AQ2189&lt;&gt;"OK"), "⚠️ REVISAR", "OK"))</f>
        <v/>
      </c>
    </row>
    <row r="2190">
      <c r="A2190" s="79">
        <f>IF('Ordenes_Odoo'!A2190="","",'Ordenes_Odoo'!A2190)</f>
        <v/>
      </c>
      <c r="B2190" s="80">
        <f>IF('Ordenes_Odoo'!B2190="","",'Ordenes_Odoo'!B2190)</f>
        <v/>
      </c>
      <c r="C2190" s="79">
        <f>IF('Ordenes_Odoo'!C2190="","",'Ordenes_Odoo'!C2190)</f>
        <v/>
      </c>
      <c r="D2190" s="79">
        <f>IF('Ordenes_Odoo'!D2190="","",'Ordenes_Odoo'!D2190)</f>
        <v/>
      </c>
      <c r="E2190" s="79">
        <f>IF('Ordenes_Odoo'!E2190="","",'Ordenes_Odoo'!E2190)</f>
        <v/>
      </c>
      <c r="F2190" s="79">
        <f>IF('Ordenes_Odoo'!F2190="","",'Ordenes_Odoo'!F2190)</f>
        <v/>
      </c>
      <c r="G2190" s="79">
        <f>IF('Ordenes_Odoo'!G2190="","",'Ordenes_Odoo'!G2190)</f>
        <v/>
      </c>
      <c r="H2190" s="79">
        <f>IF('Ordenes_Odoo'!H2190="","",'Ordenes_Odoo'!H2190)</f>
        <v/>
      </c>
      <c r="I2190" s="79">
        <f>IF('Ordenes_Odoo'!I2190="","",'Ordenes_Odoo'!I2190)</f>
        <v/>
      </c>
      <c r="J2190" s="79">
        <f>IF('Ordenes_Odoo'!J2190="","",'Ordenes_Odoo'!J2190)</f>
        <v/>
      </c>
      <c r="K2190" s="81">
        <f>IF('Ordenes_Odoo'!K2190="","",'Ordenes_Odoo'!K2190)</f>
        <v/>
      </c>
      <c r="L2190" s="81">
        <f>IF('Ordenes_Odoo'!L2190="","",'Ordenes_Odoo'!L2190)</f>
        <v/>
      </c>
      <c r="M2190" s="79">
        <f>IF('Ordenes_Odoo'!M2190="","",'Ordenes_Odoo'!M2190)</f>
        <v/>
      </c>
      <c r="N2190" s="79">
        <f>IF('Ordenes_Odoo'!N2190="","",'Ordenes_Odoo'!N2190)</f>
        <v/>
      </c>
      <c r="O2190" s="81">
        <f>IF('Ordenes_Odoo'!O2190="","",'Ordenes_Odoo'!O2190)</f>
        <v/>
      </c>
      <c r="P2190" s="81">
        <f>IF('Ordenes_Odoo'!P2190="","",'Ordenes_Odoo'!P2190)</f>
        <v/>
      </c>
      <c r="Q2190" s="79">
        <f>IF(A2190="","",IFERROR(INDEX(Facturas_Odoo!$B:$B, MATCH(A2190, Facturas_Odoo!$D:$D, 0)), "Sin Factura"))</f>
        <v/>
      </c>
      <c r="R2190" s="80">
        <f>IF(Q2190="Sin Factura","",IFERROR(INDEX(Facturas_Odoo!$A:$A, MATCH(Q2190, Facturas_Odoo!$B:$B, 0)), ""))</f>
        <v/>
      </c>
      <c r="S2190" s="79">
        <f>IF(Q2190="Sin Factura","",IFERROR(_xlfn.XLOOKUP(1, (Facturas_Odoo!$D:$D=A2190) * (Facturas_Odoo!$K:$K=I2190), Facturas_Odoo!$L:$L, ""), ""))</f>
        <v/>
      </c>
      <c r="T2190" s="81">
        <f>IF(Q2190="Sin Factura",0,IFERROR(_xlfn.XLOOKUP(1, (Facturas_Odoo!$D:$D=A2190) * (Facturas_Odoo!$K:$K=I2190), Facturas_Odoo!$M:$M, 0), 0))</f>
        <v/>
      </c>
      <c r="U2190" s="79">
        <f>IF(Q2190="Sin Factura",0,IFERROR(_xlfn.XLOOKUP(1, (Facturas_Odoo!$D:$D=A2190) * (Facturas_Odoo!$K:$K=I2190), Facturas_Odoo!$N:$N, 0), 0))</f>
        <v/>
      </c>
      <c r="V2190" s="79">
        <f>IF(Q2190="Sin Factura",0,IFERROR(_xlfn.XLOOKUP(1, (Facturas_Odoo!$D:$D=A2190) * (Facturas_Odoo!$K:$K=I2190), Facturas_Odoo!$O:$O, 0), 0))</f>
        <v/>
      </c>
      <c r="W2190" s="81">
        <f>IF(Q2190="Sin Factura",0,IFERROR(_xlfn.XLOOKUP(1, (Facturas_Odoo!$D:$D=A2190) * (Facturas_Odoo!$K:$K=I2190), Facturas_Odoo!$Q:$Q, 0), 0))</f>
        <v/>
      </c>
      <c r="X2190" s="79">
        <f>IF(OR(Q2190="Sin Factura",Q2190=""),"",IFERROR(INDEX(Pagos_Odoo!$B:$B, MATCH(Q2190, Pagos_Odoo!$I:$I, 0)), "Sin Pago"))</f>
        <v/>
      </c>
      <c r="Y2190" s="79">
        <f>IF(X2190="Sin Pago","",IFERROR(INDEX(Pagos_Odoo!$C:$C, MATCH(X2190, Pagos_Odoo!$B:$B, 0)), ""))</f>
        <v/>
      </c>
      <c r="Z2190" s="80">
        <f>IF(X2190="Sin Pago","",IFERROR(INDEX(Pagos_Odoo!$A:$A, MATCH(X2190, Pagos_Odoo!$B:$B, 0)), ""))</f>
        <v/>
      </c>
      <c r="AA2190" s="79">
        <f>IF(X2190="Sin Pago","",IFERROR(INDEX(Pagos_Odoo!$F:$F, MATCH(X2190, Pagos_Odoo!$B:$B, 0)), ""))</f>
        <v/>
      </c>
      <c r="AB2190" s="81">
        <f>IF(X2190="Sin Pago",0,IFERROR(INDEX(Pagos_Odoo!$E:$E, MATCH(X2190, Pagos_Odoo!$B:$B, 0)), 0))</f>
        <v/>
      </c>
      <c r="AC2190" s="79">
        <f>IF(X2190="Sin Pago","",IFERROR(INDEX(Pagos_Odoo!$G:$G, MATCH(X2190, Pagos_Odoo!$B:$B, 0)), ""))</f>
        <v/>
      </c>
      <c r="AD2190" s="82" t="n">
        <v>0</v>
      </c>
      <c r="AE2190" s="82" t="n"/>
      <c r="AF2190" s="82" t="n"/>
      <c r="AG2190" s="82">
        <f>IF(AN2190="","",AD2190+AE2190+AF2190)</f>
        <v/>
      </c>
      <c r="AH2190" s="81">
        <f>IF(AN2190="","",P2190*(1-AG2190))</f>
        <v/>
      </c>
      <c r="AI2190" s="81">
        <f>IF(AN2190="","",IF(Q2190="Sin Factura",0,IFERROR(INDEX(Facturas_Odoo!$H:$H, MATCH(Q2190, Facturas_Odoo!$B:$B, 0)), 0)*(1-AG2190)))</f>
        <v/>
      </c>
      <c r="AJ2190" s="81">
        <f>IF(AN2190="","",_xlfn.LET(idVenta, AN2190&amp;"",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90" s="81">
        <f>IF(AN2190="","",AH2190-AJ2190)</f>
        <v/>
      </c>
      <c r="AL2190" s="81">
        <f>IF(AN2190="","",IF(Q2190="Sin Factura","",AI2190-AJ2190))</f>
        <v/>
      </c>
      <c r="AM2190" s="81">
        <f>IF(AN2190="","",IF(Q2190="Sin Factura",0,P2190-IFERROR(INDEX(Facturas_Odoo!$H:$H, MATCH(Q2190, Facturas_Odoo!$B:$B, 0)), 0)))</f>
        <v/>
      </c>
      <c r="AN2190" s="79">
        <f>IF(AND(A2190="", J2190=""), "", IF(A2190&lt;&gt;"", VALUE(MID(A2190,2,LEN(A2190))), AN2189))</f>
        <v/>
      </c>
      <c r="AO2190" s="79">
        <f>IF(AN2190="","",IF(AD2190=0,"OK",_xlfn.LET(monedaPago, IF(AA2190="","USD",AA2190), limitePermitido, IFERROR(VLOOKUP(monedaPago, Configuración!$A$2:$B$3, 2, FALSE), 0.15), IF(AD2190&gt;limitePermitido, "ALERTA: EXCESO (" &amp; TEXT(limitePermitido, "0%") &amp; " máx)", "OK"))))</f>
        <v/>
      </c>
      <c r="AP2190" s="79">
        <f>IF(AN2190="","",IF(AE2190=0,"OK",_xlfn.LET(fechaPago, Z2190, fechaFactura, R2190, diasCredito, IF(E2190="Pago inmediato", 0, IFERROR(VALUE(MID(E2190, 1, SEARCH(" ", E2190)-1)),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90" s="79">
        <f>IF(AN2190="","",IF(AND(N2190&gt;0, AG2190&gt;0), IF(Configuración!$K$2="NO", "ALERTA: DESCUENTO DOBLE NO PERMITIDO", "OK"), "OK"))</f>
        <v/>
      </c>
      <c r="AR2190" s="79">
        <f>IF(AN2190="","",IF(OR(AO2190&lt;&gt;"OK", AP2190&lt;&gt;"OK", AQ2190&lt;&gt;"OK"), "⚠️ REVISAR", "OK"))</f>
        <v/>
      </c>
    </row>
    <row r="2191">
      <c r="A2191" s="79">
        <f>IF('Ordenes_Odoo'!A2191="","",'Ordenes_Odoo'!A2191)</f>
        <v/>
      </c>
      <c r="B2191" s="80">
        <f>IF('Ordenes_Odoo'!B2191="","",'Ordenes_Odoo'!B2191)</f>
        <v/>
      </c>
      <c r="C2191" s="79">
        <f>IF('Ordenes_Odoo'!C2191="","",'Ordenes_Odoo'!C2191)</f>
        <v/>
      </c>
      <c r="D2191" s="79">
        <f>IF('Ordenes_Odoo'!D2191="","",'Ordenes_Odoo'!D2191)</f>
        <v/>
      </c>
      <c r="E2191" s="79">
        <f>IF('Ordenes_Odoo'!E2191="","",'Ordenes_Odoo'!E2191)</f>
        <v/>
      </c>
      <c r="F2191" s="79">
        <f>IF('Ordenes_Odoo'!F2191="","",'Ordenes_Odoo'!F2191)</f>
        <v/>
      </c>
      <c r="G2191" s="79">
        <f>IF('Ordenes_Odoo'!G2191="","",'Ordenes_Odoo'!G2191)</f>
        <v/>
      </c>
      <c r="H2191" s="79">
        <f>IF('Ordenes_Odoo'!H2191="","",'Ordenes_Odoo'!H2191)</f>
        <v/>
      </c>
      <c r="I2191" s="79">
        <f>IF('Ordenes_Odoo'!I2191="","",'Ordenes_Odoo'!I2191)</f>
        <v/>
      </c>
      <c r="J2191" s="79">
        <f>IF('Ordenes_Odoo'!J2191="","",'Ordenes_Odoo'!J2191)</f>
        <v/>
      </c>
      <c r="K2191" s="81">
        <f>IF('Ordenes_Odoo'!K2191="","",'Ordenes_Odoo'!K2191)</f>
        <v/>
      </c>
      <c r="L2191" s="81">
        <f>IF('Ordenes_Odoo'!L2191="","",'Ordenes_Odoo'!L2191)</f>
        <v/>
      </c>
      <c r="M2191" s="79">
        <f>IF('Ordenes_Odoo'!M2191="","",'Ordenes_Odoo'!M2191)</f>
        <v/>
      </c>
      <c r="N2191" s="79">
        <f>IF('Ordenes_Odoo'!N2191="","",'Ordenes_Odoo'!N2191)</f>
        <v/>
      </c>
      <c r="O2191" s="81">
        <f>IF('Ordenes_Odoo'!O2191="","",'Ordenes_Odoo'!O2191)</f>
        <v/>
      </c>
      <c r="P2191" s="81">
        <f>IF('Ordenes_Odoo'!P2191="","",'Ordenes_Odoo'!P2191)</f>
        <v/>
      </c>
      <c r="Q2191" s="79">
        <f>IF(A2191="","",IFERROR(INDEX(Facturas_Odoo!$B:$B, MATCH(A2191, Facturas_Odoo!$D:$D, 0)), "Sin Factura"))</f>
        <v/>
      </c>
      <c r="R2191" s="80">
        <f>IF(Q2191="Sin Factura","",IFERROR(INDEX(Facturas_Odoo!$A:$A, MATCH(Q2191, Facturas_Odoo!$B:$B, 0)), ""))</f>
        <v/>
      </c>
      <c r="S2191" s="79">
        <f>IF(Q2191="Sin Factura","",IFERROR(_xlfn.XLOOKUP(1, (Facturas_Odoo!$D:$D=A2191) * (Facturas_Odoo!$K:$K=I2191), Facturas_Odoo!$L:$L, ""), ""))</f>
        <v/>
      </c>
      <c r="T2191" s="81">
        <f>IF(Q2191="Sin Factura",0,IFERROR(_xlfn.XLOOKUP(1, (Facturas_Odoo!$D:$D=A2191) * (Facturas_Odoo!$K:$K=I2191), Facturas_Odoo!$M:$M, 0), 0))</f>
        <v/>
      </c>
      <c r="U2191" s="79">
        <f>IF(Q2191="Sin Factura",0,IFERROR(_xlfn.XLOOKUP(1, (Facturas_Odoo!$D:$D=A2191) * (Facturas_Odoo!$K:$K=I2191), Facturas_Odoo!$N:$N, 0), 0))</f>
        <v/>
      </c>
      <c r="V2191" s="79">
        <f>IF(Q2191="Sin Factura",0,IFERROR(_xlfn.XLOOKUP(1, (Facturas_Odoo!$D:$D=A2191) * (Facturas_Odoo!$K:$K=I2191), Facturas_Odoo!$O:$O, 0), 0))</f>
        <v/>
      </c>
      <c r="W2191" s="81">
        <f>IF(Q2191="Sin Factura",0,IFERROR(_xlfn.XLOOKUP(1, (Facturas_Odoo!$D:$D=A2191) * (Facturas_Odoo!$K:$K=I2191), Facturas_Odoo!$Q:$Q, 0), 0))</f>
        <v/>
      </c>
      <c r="X2191" s="79">
        <f>IF(OR(Q2191="Sin Factura",Q2191=""),"",IFERROR(INDEX(Pagos_Odoo!$B:$B, MATCH(Q2191, Pagos_Odoo!$I:$I, 0)), "Sin Pago"))</f>
        <v/>
      </c>
      <c r="Y2191" s="79">
        <f>IF(X2191="Sin Pago","",IFERROR(INDEX(Pagos_Odoo!$C:$C, MATCH(X2191, Pagos_Odoo!$B:$B, 0)), ""))</f>
        <v/>
      </c>
      <c r="Z2191" s="80">
        <f>IF(X2191="Sin Pago","",IFERROR(INDEX(Pagos_Odoo!$A:$A, MATCH(X2191, Pagos_Odoo!$B:$B, 0)), ""))</f>
        <v/>
      </c>
      <c r="AA2191" s="79">
        <f>IF(X2191="Sin Pago","",IFERROR(INDEX(Pagos_Odoo!$F:$F, MATCH(X2191, Pagos_Odoo!$B:$B, 0)), ""))</f>
        <v/>
      </c>
      <c r="AB2191" s="81">
        <f>IF(X2191="Sin Pago",0,IFERROR(INDEX(Pagos_Odoo!$E:$E, MATCH(X2191, Pagos_Odoo!$B:$B, 0)), 0))</f>
        <v/>
      </c>
      <c r="AC2191" s="79">
        <f>IF(X2191="Sin Pago","",IFERROR(INDEX(Pagos_Odoo!$G:$G, MATCH(X2191, Pagos_Odoo!$B:$B, 0)), ""))</f>
        <v/>
      </c>
      <c r="AD2191" s="82" t="n">
        <v>0</v>
      </c>
      <c r="AE2191" s="82" t="n"/>
      <c r="AF2191" s="82" t="n"/>
      <c r="AG2191" s="82">
        <f>IF(AN2191="","",AD2191+AE2191+AF2191)</f>
        <v/>
      </c>
      <c r="AH2191" s="81">
        <f>IF(AN2191="","",P2191*(1-AG2191))</f>
        <v/>
      </c>
      <c r="AI2191" s="81">
        <f>IF(AN2191="","",IF(Q2191="Sin Factura",0,IFERROR(INDEX(Facturas_Odoo!$H:$H, MATCH(Q2191, Facturas_Odoo!$B:$B, 0)), 0)*(1-AG2191)))</f>
        <v/>
      </c>
      <c r="AJ2191" s="81">
        <f>IF(AN2191="","",_xlfn.LET(idVenta, AN2191&amp;"",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91" s="81">
        <f>IF(AN2191="","",AH2191-AJ2191)</f>
        <v/>
      </c>
      <c r="AL2191" s="81">
        <f>IF(AN2191="","",IF(Q2191="Sin Factura","",AI2191-AJ2191))</f>
        <v/>
      </c>
      <c r="AM2191" s="81">
        <f>IF(AN2191="","",IF(Q2191="Sin Factura",0,P2191-IFERROR(INDEX(Facturas_Odoo!$H:$H, MATCH(Q2191, Facturas_Odoo!$B:$B, 0)), 0)))</f>
        <v/>
      </c>
      <c r="AN2191" s="79">
        <f>IF(AND(A2191="", J2191=""), "", IF(A2191&lt;&gt;"", VALUE(MID(A2191,2,LEN(A2191))), AN2190))</f>
        <v/>
      </c>
      <c r="AO2191" s="79">
        <f>IF(AN2191="","",IF(AD2191=0,"OK",_xlfn.LET(monedaPago, IF(AA2191="","USD",AA2191), limitePermitido, IFERROR(VLOOKUP(monedaPago, Configuración!$A$2:$B$3, 2, FALSE), 0.15), IF(AD2191&gt;limitePermitido, "ALERTA: EXCESO (" &amp; TEXT(limitePermitido, "0%") &amp; " máx)", "OK"))))</f>
        <v/>
      </c>
      <c r="AP2191" s="79">
        <f>IF(AN2191="","",IF(AE2191=0,"OK",_xlfn.LET(fechaPago, Z2191, fechaFactura, R2191, diasCredito, IF(E2191="Pago inmediato", 0, IFERROR(VALUE(MID(E2191, 1, SEARCH(" ", E2191)-1)),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91" s="79">
        <f>IF(AN2191="","",IF(AND(N2191&gt;0, AG2191&gt;0), IF(Configuración!$K$2="NO", "ALERTA: DESCUENTO DOBLE NO PERMITIDO", "OK"), "OK"))</f>
        <v/>
      </c>
      <c r="AR2191" s="79">
        <f>IF(AN2191="","",IF(OR(AO2191&lt;&gt;"OK", AP2191&lt;&gt;"OK", AQ2191&lt;&gt;"OK"), "⚠️ REVISAR", "OK"))</f>
        <v/>
      </c>
    </row>
    <row r="2192">
      <c r="A2192" s="79">
        <f>IF('Ordenes_Odoo'!A2192="","",'Ordenes_Odoo'!A2192)</f>
        <v/>
      </c>
      <c r="B2192" s="80">
        <f>IF('Ordenes_Odoo'!B2192="","",'Ordenes_Odoo'!B2192)</f>
        <v/>
      </c>
      <c r="C2192" s="79">
        <f>IF('Ordenes_Odoo'!C2192="","",'Ordenes_Odoo'!C2192)</f>
        <v/>
      </c>
      <c r="D2192" s="79">
        <f>IF('Ordenes_Odoo'!D2192="","",'Ordenes_Odoo'!D2192)</f>
        <v/>
      </c>
      <c r="E2192" s="79">
        <f>IF('Ordenes_Odoo'!E2192="","",'Ordenes_Odoo'!E2192)</f>
        <v/>
      </c>
      <c r="F2192" s="79">
        <f>IF('Ordenes_Odoo'!F2192="","",'Ordenes_Odoo'!F2192)</f>
        <v/>
      </c>
      <c r="G2192" s="79">
        <f>IF('Ordenes_Odoo'!G2192="","",'Ordenes_Odoo'!G2192)</f>
        <v/>
      </c>
      <c r="H2192" s="79">
        <f>IF('Ordenes_Odoo'!H2192="","",'Ordenes_Odoo'!H2192)</f>
        <v/>
      </c>
      <c r="I2192" s="79">
        <f>IF('Ordenes_Odoo'!I2192="","",'Ordenes_Odoo'!I2192)</f>
        <v/>
      </c>
      <c r="J2192" s="79">
        <f>IF('Ordenes_Odoo'!J2192="","",'Ordenes_Odoo'!J2192)</f>
        <v/>
      </c>
      <c r="K2192" s="81">
        <f>IF('Ordenes_Odoo'!K2192="","",'Ordenes_Odoo'!K2192)</f>
        <v/>
      </c>
      <c r="L2192" s="81">
        <f>IF('Ordenes_Odoo'!L2192="","",'Ordenes_Odoo'!L2192)</f>
        <v/>
      </c>
      <c r="M2192" s="79">
        <f>IF('Ordenes_Odoo'!M2192="","",'Ordenes_Odoo'!M2192)</f>
        <v/>
      </c>
      <c r="N2192" s="79">
        <f>IF('Ordenes_Odoo'!N2192="","",'Ordenes_Odoo'!N2192)</f>
        <v/>
      </c>
      <c r="O2192" s="81">
        <f>IF('Ordenes_Odoo'!O2192="","",'Ordenes_Odoo'!O2192)</f>
        <v/>
      </c>
      <c r="P2192" s="81">
        <f>IF('Ordenes_Odoo'!P2192="","",'Ordenes_Odoo'!P2192)</f>
        <v/>
      </c>
      <c r="Q2192" s="79">
        <f>IF(A2192="","",IFERROR(INDEX(Facturas_Odoo!$B:$B, MATCH(A2192, Facturas_Odoo!$D:$D, 0)), "Sin Factura"))</f>
        <v/>
      </c>
      <c r="R2192" s="80">
        <f>IF(Q2192="Sin Factura","",IFERROR(INDEX(Facturas_Odoo!$A:$A, MATCH(Q2192, Facturas_Odoo!$B:$B, 0)), ""))</f>
        <v/>
      </c>
      <c r="S2192" s="79">
        <f>IF(Q2192="Sin Factura","",IFERROR(_xlfn.XLOOKUP(1, (Facturas_Odoo!$D:$D=A2192) * (Facturas_Odoo!$K:$K=I2192), Facturas_Odoo!$L:$L, ""), ""))</f>
        <v/>
      </c>
      <c r="T2192" s="81">
        <f>IF(Q2192="Sin Factura",0,IFERROR(_xlfn.XLOOKUP(1, (Facturas_Odoo!$D:$D=A2192) * (Facturas_Odoo!$K:$K=I2192), Facturas_Odoo!$M:$M, 0), 0))</f>
        <v/>
      </c>
      <c r="U2192" s="79">
        <f>IF(Q2192="Sin Factura",0,IFERROR(_xlfn.XLOOKUP(1, (Facturas_Odoo!$D:$D=A2192) * (Facturas_Odoo!$K:$K=I2192), Facturas_Odoo!$N:$N, 0), 0))</f>
        <v/>
      </c>
      <c r="V2192" s="79">
        <f>IF(Q2192="Sin Factura",0,IFERROR(_xlfn.XLOOKUP(1, (Facturas_Odoo!$D:$D=A2192) * (Facturas_Odoo!$K:$K=I2192), Facturas_Odoo!$O:$O, 0), 0))</f>
        <v/>
      </c>
      <c r="W2192" s="81">
        <f>IF(Q2192="Sin Factura",0,IFERROR(_xlfn.XLOOKUP(1, (Facturas_Odoo!$D:$D=A2192) * (Facturas_Odoo!$K:$K=I2192), Facturas_Odoo!$Q:$Q, 0), 0))</f>
        <v/>
      </c>
      <c r="X2192" s="79">
        <f>IF(OR(Q2192="Sin Factura",Q2192=""),"",IFERROR(INDEX(Pagos_Odoo!$B:$B, MATCH(Q2192, Pagos_Odoo!$I:$I, 0)), "Sin Pago"))</f>
        <v/>
      </c>
      <c r="Y2192" s="79">
        <f>IF(X2192="Sin Pago","",IFERROR(INDEX(Pagos_Odoo!$C:$C, MATCH(X2192, Pagos_Odoo!$B:$B, 0)), ""))</f>
        <v/>
      </c>
      <c r="Z2192" s="80">
        <f>IF(X2192="Sin Pago","",IFERROR(INDEX(Pagos_Odoo!$A:$A, MATCH(X2192, Pagos_Odoo!$B:$B, 0)), ""))</f>
        <v/>
      </c>
      <c r="AA2192" s="79">
        <f>IF(X2192="Sin Pago","",IFERROR(INDEX(Pagos_Odoo!$F:$F, MATCH(X2192, Pagos_Odoo!$B:$B, 0)), ""))</f>
        <v/>
      </c>
      <c r="AB2192" s="81">
        <f>IF(X2192="Sin Pago",0,IFERROR(INDEX(Pagos_Odoo!$E:$E, MATCH(X2192, Pagos_Odoo!$B:$B, 0)), 0))</f>
        <v/>
      </c>
      <c r="AC2192" s="79">
        <f>IF(X2192="Sin Pago","",IFERROR(INDEX(Pagos_Odoo!$G:$G, MATCH(X2192, Pagos_Odoo!$B:$B, 0)), ""))</f>
        <v/>
      </c>
      <c r="AD2192" s="82" t="n">
        <v>0</v>
      </c>
      <c r="AE2192" s="82" t="n"/>
      <c r="AF2192" s="82" t="n"/>
      <c r="AG2192" s="82">
        <f>IF(AN2192="","",AD2192+AE2192+AF2192)</f>
        <v/>
      </c>
      <c r="AH2192" s="81">
        <f>IF(AN2192="","",P2192*(1-AG2192))</f>
        <v/>
      </c>
      <c r="AI2192" s="81">
        <f>IF(AN2192="","",IF(Q2192="Sin Factura",0,IFERROR(INDEX(Facturas_Odoo!$H:$H, MATCH(Q2192, Facturas_Odoo!$B:$B, 0)), 0)*(1-AG2192)))</f>
        <v/>
      </c>
      <c r="AJ2192" s="81">
        <f>IF(AN2192="","",_xlfn.LET(idVenta, AN2192&amp;"",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92" s="81">
        <f>IF(AN2192="","",AH2192-AJ2192)</f>
        <v/>
      </c>
      <c r="AL2192" s="81">
        <f>IF(AN2192="","",IF(Q2192="Sin Factura","",AI2192-AJ2192))</f>
        <v/>
      </c>
      <c r="AM2192" s="81">
        <f>IF(AN2192="","",IF(Q2192="Sin Factura",0,P2192-IFERROR(INDEX(Facturas_Odoo!$H:$H, MATCH(Q2192, Facturas_Odoo!$B:$B, 0)), 0)))</f>
        <v/>
      </c>
      <c r="AN2192" s="79">
        <f>IF(AND(A2192="", J2192=""), "", IF(A2192&lt;&gt;"", VALUE(MID(A2192,2,LEN(A2192))), AN2191))</f>
        <v/>
      </c>
      <c r="AO2192" s="79">
        <f>IF(AN2192="","",IF(AD2192=0,"OK",_xlfn.LET(monedaPago, IF(AA2192="","USD",AA2192), limitePermitido, IFERROR(VLOOKUP(monedaPago, Configuración!$A$2:$B$3, 2, FALSE), 0.15), IF(AD2192&gt;limitePermitido, "ALERTA: EXCESO (" &amp; TEXT(limitePermitido, "0%") &amp; " máx)", "OK"))))</f>
        <v/>
      </c>
      <c r="AP2192" s="79">
        <f>IF(AN2192="","",IF(AE2192=0,"OK",_xlfn.LET(fechaPago, Z2192, fechaFactura, R2192, diasCredito, IF(E2192="Pago inmediato", 0, IFERROR(VALUE(MID(E2192, 1, SEARCH(" ", E2192)-1)),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92" s="79">
        <f>IF(AN2192="","",IF(AND(N2192&gt;0, AG2192&gt;0), IF(Configuración!$K$2="NO", "ALERTA: DESCUENTO DOBLE NO PERMITIDO", "OK"), "OK"))</f>
        <v/>
      </c>
      <c r="AR2192" s="79">
        <f>IF(AN2192="","",IF(OR(AO2192&lt;&gt;"OK", AP2192&lt;&gt;"OK", AQ2192&lt;&gt;"OK"), "⚠️ REVISAR", "OK"))</f>
        <v/>
      </c>
    </row>
    <row r="2193">
      <c r="A2193" s="79">
        <f>IF('Ordenes_Odoo'!A2193="","",'Ordenes_Odoo'!A2193)</f>
        <v/>
      </c>
      <c r="B2193" s="80">
        <f>IF('Ordenes_Odoo'!B2193="","",'Ordenes_Odoo'!B2193)</f>
        <v/>
      </c>
      <c r="C2193" s="79">
        <f>IF('Ordenes_Odoo'!C2193="","",'Ordenes_Odoo'!C2193)</f>
        <v/>
      </c>
      <c r="D2193" s="79">
        <f>IF('Ordenes_Odoo'!D2193="","",'Ordenes_Odoo'!D2193)</f>
        <v/>
      </c>
      <c r="E2193" s="79">
        <f>IF('Ordenes_Odoo'!E2193="","",'Ordenes_Odoo'!E2193)</f>
        <v/>
      </c>
      <c r="F2193" s="79">
        <f>IF('Ordenes_Odoo'!F2193="","",'Ordenes_Odoo'!F2193)</f>
        <v/>
      </c>
      <c r="G2193" s="79">
        <f>IF('Ordenes_Odoo'!G2193="","",'Ordenes_Odoo'!G2193)</f>
        <v/>
      </c>
      <c r="H2193" s="79">
        <f>IF('Ordenes_Odoo'!H2193="","",'Ordenes_Odoo'!H2193)</f>
        <v/>
      </c>
      <c r="I2193" s="79">
        <f>IF('Ordenes_Odoo'!I2193="","",'Ordenes_Odoo'!I2193)</f>
        <v/>
      </c>
      <c r="J2193" s="79">
        <f>IF('Ordenes_Odoo'!J2193="","",'Ordenes_Odoo'!J2193)</f>
        <v/>
      </c>
      <c r="K2193" s="81">
        <f>IF('Ordenes_Odoo'!K2193="","",'Ordenes_Odoo'!K2193)</f>
        <v/>
      </c>
      <c r="L2193" s="81">
        <f>IF('Ordenes_Odoo'!L2193="","",'Ordenes_Odoo'!L2193)</f>
        <v/>
      </c>
      <c r="M2193" s="79">
        <f>IF('Ordenes_Odoo'!M2193="","",'Ordenes_Odoo'!M2193)</f>
        <v/>
      </c>
      <c r="N2193" s="79">
        <f>IF('Ordenes_Odoo'!N2193="","",'Ordenes_Odoo'!N2193)</f>
        <v/>
      </c>
      <c r="O2193" s="81">
        <f>IF('Ordenes_Odoo'!O2193="","",'Ordenes_Odoo'!O2193)</f>
        <v/>
      </c>
      <c r="P2193" s="81">
        <f>IF('Ordenes_Odoo'!P2193="","",'Ordenes_Odoo'!P2193)</f>
        <v/>
      </c>
      <c r="Q2193" s="79">
        <f>IF(A2193="","",IFERROR(INDEX(Facturas_Odoo!$B:$B, MATCH(A2193, Facturas_Odoo!$D:$D, 0)), "Sin Factura"))</f>
        <v/>
      </c>
      <c r="R2193" s="80">
        <f>IF(Q2193="Sin Factura","",IFERROR(INDEX(Facturas_Odoo!$A:$A, MATCH(Q2193, Facturas_Odoo!$B:$B, 0)), ""))</f>
        <v/>
      </c>
      <c r="S2193" s="79">
        <f>IF(Q2193="Sin Factura","",IFERROR(_xlfn.XLOOKUP(1, (Facturas_Odoo!$D:$D=A2193) * (Facturas_Odoo!$K:$K=I2193), Facturas_Odoo!$L:$L, ""), ""))</f>
        <v/>
      </c>
      <c r="T2193" s="81">
        <f>IF(Q2193="Sin Factura",0,IFERROR(_xlfn.XLOOKUP(1, (Facturas_Odoo!$D:$D=A2193) * (Facturas_Odoo!$K:$K=I2193), Facturas_Odoo!$M:$M, 0), 0))</f>
        <v/>
      </c>
      <c r="U2193" s="79">
        <f>IF(Q2193="Sin Factura",0,IFERROR(_xlfn.XLOOKUP(1, (Facturas_Odoo!$D:$D=A2193) * (Facturas_Odoo!$K:$K=I2193), Facturas_Odoo!$N:$N, 0), 0))</f>
        <v/>
      </c>
      <c r="V2193" s="79">
        <f>IF(Q2193="Sin Factura",0,IFERROR(_xlfn.XLOOKUP(1, (Facturas_Odoo!$D:$D=A2193) * (Facturas_Odoo!$K:$K=I2193), Facturas_Odoo!$O:$O, 0), 0))</f>
        <v/>
      </c>
      <c r="W2193" s="81">
        <f>IF(Q2193="Sin Factura",0,IFERROR(_xlfn.XLOOKUP(1, (Facturas_Odoo!$D:$D=A2193) * (Facturas_Odoo!$K:$K=I2193), Facturas_Odoo!$Q:$Q, 0), 0))</f>
        <v/>
      </c>
      <c r="X2193" s="79">
        <f>IF(OR(Q2193="Sin Factura",Q2193=""),"",IFERROR(INDEX(Pagos_Odoo!$B:$B, MATCH(Q2193, Pagos_Odoo!$I:$I, 0)), "Sin Pago"))</f>
        <v/>
      </c>
      <c r="Y2193" s="79">
        <f>IF(X2193="Sin Pago","",IFERROR(INDEX(Pagos_Odoo!$C:$C, MATCH(X2193, Pagos_Odoo!$B:$B, 0)), ""))</f>
        <v/>
      </c>
      <c r="Z2193" s="80">
        <f>IF(X2193="Sin Pago","",IFERROR(INDEX(Pagos_Odoo!$A:$A, MATCH(X2193, Pagos_Odoo!$B:$B, 0)), ""))</f>
        <v/>
      </c>
      <c r="AA2193" s="79">
        <f>IF(X2193="Sin Pago","",IFERROR(INDEX(Pagos_Odoo!$F:$F, MATCH(X2193, Pagos_Odoo!$B:$B, 0)), ""))</f>
        <v/>
      </c>
      <c r="AB2193" s="81">
        <f>IF(X2193="Sin Pago",0,IFERROR(INDEX(Pagos_Odoo!$E:$E, MATCH(X2193, Pagos_Odoo!$B:$B, 0)), 0))</f>
        <v/>
      </c>
      <c r="AC2193" s="79">
        <f>IF(X2193="Sin Pago","",IFERROR(INDEX(Pagos_Odoo!$G:$G, MATCH(X2193, Pagos_Odoo!$B:$B, 0)), ""))</f>
        <v/>
      </c>
      <c r="AD2193" s="82" t="n">
        <v>0</v>
      </c>
      <c r="AE2193" s="82" t="n"/>
      <c r="AF2193" s="82" t="n"/>
      <c r="AG2193" s="82">
        <f>IF(AN2193="","",AD2193+AE2193+AF2193)</f>
        <v/>
      </c>
      <c r="AH2193" s="81">
        <f>IF(AN2193="","",P2193*(1-AG2193))</f>
        <v/>
      </c>
      <c r="AI2193" s="81">
        <f>IF(AN2193="","",IF(Q2193="Sin Factura",0,IFERROR(INDEX(Facturas_Odoo!$H:$H, MATCH(Q2193, Facturas_Odoo!$B:$B, 0)), 0)*(1-AG2193)))</f>
        <v/>
      </c>
      <c r="AJ2193" s="81">
        <f>IF(AN2193="","",_xlfn.LET(idVenta, AN2193&amp;"",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93" s="81">
        <f>IF(AN2193="","",AH2193-AJ2193)</f>
        <v/>
      </c>
      <c r="AL2193" s="81">
        <f>IF(AN2193="","",IF(Q2193="Sin Factura","",AI2193-AJ2193))</f>
        <v/>
      </c>
      <c r="AM2193" s="81">
        <f>IF(AN2193="","",IF(Q2193="Sin Factura",0,P2193-IFERROR(INDEX(Facturas_Odoo!$H:$H, MATCH(Q2193, Facturas_Odoo!$B:$B, 0)), 0)))</f>
        <v/>
      </c>
      <c r="AN2193" s="79">
        <f>IF(AND(A2193="", J2193=""), "", IF(A2193&lt;&gt;"", VALUE(MID(A2193,2,LEN(A2193))), AN2192))</f>
        <v/>
      </c>
      <c r="AO2193" s="79">
        <f>IF(AN2193="","",IF(AD2193=0,"OK",_xlfn.LET(monedaPago, IF(AA2193="","USD",AA2193), limitePermitido, IFERROR(VLOOKUP(monedaPago, Configuración!$A$2:$B$3, 2, FALSE), 0.15), IF(AD2193&gt;limitePermitido, "ALERTA: EXCESO (" &amp; TEXT(limitePermitido, "0%") &amp; " máx)", "OK"))))</f>
        <v/>
      </c>
      <c r="AP2193" s="79">
        <f>IF(AN2193="","",IF(AE2193=0,"OK",_xlfn.LET(fechaPago, Z2193, fechaFactura, R2193, diasCredito, IF(E2193="Pago inmediato", 0, IFERROR(VALUE(MID(E2193, 1, SEARCH(" ", E2193)-1)),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93" s="79">
        <f>IF(AN2193="","",IF(AND(N2193&gt;0, AG2193&gt;0), IF(Configuración!$K$2="NO", "ALERTA: DESCUENTO DOBLE NO PERMITIDO", "OK"), "OK"))</f>
        <v/>
      </c>
      <c r="AR2193" s="79">
        <f>IF(AN2193="","",IF(OR(AO2193&lt;&gt;"OK", AP2193&lt;&gt;"OK", AQ2193&lt;&gt;"OK"), "⚠️ REVISAR", "OK"))</f>
        <v/>
      </c>
    </row>
    <row r="2194">
      <c r="A2194" s="79">
        <f>IF('Ordenes_Odoo'!A2194="","",'Ordenes_Odoo'!A2194)</f>
        <v/>
      </c>
      <c r="B2194" s="80">
        <f>IF('Ordenes_Odoo'!B2194="","",'Ordenes_Odoo'!B2194)</f>
        <v/>
      </c>
      <c r="C2194" s="79">
        <f>IF('Ordenes_Odoo'!C2194="","",'Ordenes_Odoo'!C2194)</f>
        <v/>
      </c>
      <c r="D2194" s="79">
        <f>IF('Ordenes_Odoo'!D2194="","",'Ordenes_Odoo'!D2194)</f>
        <v/>
      </c>
      <c r="E2194" s="79">
        <f>IF('Ordenes_Odoo'!E2194="","",'Ordenes_Odoo'!E2194)</f>
        <v/>
      </c>
      <c r="F2194" s="79">
        <f>IF('Ordenes_Odoo'!F2194="","",'Ordenes_Odoo'!F2194)</f>
        <v/>
      </c>
      <c r="G2194" s="79">
        <f>IF('Ordenes_Odoo'!G2194="","",'Ordenes_Odoo'!G2194)</f>
        <v/>
      </c>
      <c r="H2194" s="79">
        <f>IF('Ordenes_Odoo'!H2194="","",'Ordenes_Odoo'!H2194)</f>
        <v/>
      </c>
      <c r="I2194" s="79">
        <f>IF('Ordenes_Odoo'!I2194="","",'Ordenes_Odoo'!I2194)</f>
        <v/>
      </c>
      <c r="J2194" s="79">
        <f>IF('Ordenes_Odoo'!J2194="","",'Ordenes_Odoo'!J2194)</f>
        <v/>
      </c>
      <c r="K2194" s="81">
        <f>IF('Ordenes_Odoo'!K2194="","",'Ordenes_Odoo'!K2194)</f>
        <v/>
      </c>
      <c r="L2194" s="81">
        <f>IF('Ordenes_Odoo'!L2194="","",'Ordenes_Odoo'!L2194)</f>
        <v/>
      </c>
      <c r="M2194" s="79">
        <f>IF('Ordenes_Odoo'!M2194="","",'Ordenes_Odoo'!M2194)</f>
        <v/>
      </c>
      <c r="N2194" s="79">
        <f>IF('Ordenes_Odoo'!N2194="","",'Ordenes_Odoo'!N2194)</f>
        <v/>
      </c>
      <c r="O2194" s="81">
        <f>IF('Ordenes_Odoo'!O2194="","",'Ordenes_Odoo'!O2194)</f>
        <v/>
      </c>
      <c r="P2194" s="81">
        <f>IF('Ordenes_Odoo'!P2194="","",'Ordenes_Odoo'!P2194)</f>
        <v/>
      </c>
      <c r="Q2194" s="79">
        <f>IF(A2194="","",IFERROR(INDEX(Facturas_Odoo!$B:$B, MATCH(A2194, Facturas_Odoo!$D:$D, 0)), "Sin Factura"))</f>
        <v/>
      </c>
      <c r="R2194" s="80">
        <f>IF(Q2194="Sin Factura","",IFERROR(INDEX(Facturas_Odoo!$A:$A, MATCH(Q2194, Facturas_Odoo!$B:$B, 0)), ""))</f>
        <v/>
      </c>
      <c r="S2194" s="79">
        <f>IF(Q2194="Sin Factura","",IFERROR(_xlfn.XLOOKUP(1, (Facturas_Odoo!$D:$D=A2194) * (Facturas_Odoo!$K:$K=I2194), Facturas_Odoo!$L:$L, ""), ""))</f>
        <v/>
      </c>
      <c r="T2194" s="81">
        <f>IF(Q2194="Sin Factura",0,IFERROR(_xlfn.XLOOKUP(1, (Facturas_Odoo!$D:$D=A2194) * (Facturas_Odoo!$K:$K=I2194), Facturas_Odoo!$M:$M, 0), 0))</f>
        <v/>
      </c>
      <c r="U2194" s="79">
        <f>IF(Q2194="Sin Factura",0,IFERROR(_xlfn.XLOOKUP(1, (Facturas_Odoo!$D:$D=A2194) * (Facturas_Odoo!$K:$K=I2194), Facturas_Odoo!$N:$N, 0), 0))</f>
        <v/>
      </c>
      <c r="V2194" s="79">
        <f>IF(Q2194="Sin Factura",0,IFERROR(_xlfn.XLOOKUP(1, (Facturas_Odoo!$D:$D=A2194) * (Facturas_Odoo!$K:$K=I2194), Facturas_Odoo!$O:$O, 0), 0))</f>
        <v/>
      </c>
      <c r="W2194" s="81">
        <f>IF(Q2194="Sin Factura",0,IFERROR(_xlfn.XLOOKUP(1, (Facturas_Odoo!$D:$D=A2194) * (Facturas_Odoo!$K:$K=I2194), Facturas_Odoo!$Q:$Q, 0), 0))</f>
        <v/>
      </c>
      <c r="X2194" s="79">
        <f>IF(OR(Q2194="Sin Factura",Q2194=""),"",IFERROR(INDEX(Pagos_Odoo!$B:$B, MATCH(Q2194, Pagos_Odoo!$I:$I, 0)), "Sin Pago"))</f>
        <v/>
      </c>
      <c r="Y2194" s="79">
        <f>IF(X2194="Sin Pago","",IFERROR(INDEX(Pagos_Odoo!$C:$C, MATCH(X2194, Pagos_Odoo!$B:$B, 0)), ""))</f>
        <v/>
      </c>
      <c r="Z2194" s="80">
        <f>IF(X2194="Sin Pago","",IFERROR(INDEX(Pagos_Odoo!$A:$A, MATCH(X2194, Pagos_Odoo!$B:$B, 0)), ""))</f>
        <v/>
      </c>
      <c r="AA2194" s="79">
        <f>IF(X2194="Sin Pago","",IFERROR(INDEX(Pagos_Odoo!$F:$F, MATCH(X2194, Pagos_Odoo!$B:$B, 0)), ""))</f>
        <v/>
      </c>
      <c r="AB2194" s="81">
        <f>IF(X2194="Sin Pago",0,IFERROR(INDEX(Pagos_Odoo!$E:$E, MATCH(X2194, Pagos_Odoo!$B:$B, 0)), 0))</f>
        <v/>
      </c>
      <c r="AC2194" s="79">
        <f>IF(X2194="Sin Pago","",IFERROR(INDEX(Pagos_Odoo!$G:$G, MATCH(X2194, Pagos_Odoo!$B:$B, 0)), ""))</f>
        <v/>
      </c>
      <c r="AD2194" s="82" t="n">
        <v>0</v>
      </c>
      <c r="AE2194" s="82" t="n"/>
      <c r="AF2194" s="82" t="n"/>
      <c r="AG2194" s="82">
        <f>IF(AN2194="","",AD2194+AE2194+AF2194)</f>
        <v/>
      </c>
      <c r="AH2194" s="81">
        <f>IF(AN2194="","",P2194*(1-AG2194))</f>
        <v/>
      </c>
      <c r="AI2194" s="81">
        <f>IF(AN2194="","",IF(Q2194="Sin Factura",0,IFERROR(INDEX(Facturas_Odoo!$H:$H, MATCH(Q2194, Facturas_Odoo!$B:$B, 0)), 0)*(1-AG2194)))</f>
        <v/>
      </c>
      <c r="AJ2194" s="81">
        <f>IF(AN2194="","",_xlfn.LET(idVenta, AN2194&amp;"",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94" s="81">
        <f>IF(AN2194="","",AH2194-AJ2194)</f>
        <v/>
      </c>
      <c r="AL2194" s="81">
        <f>IF(AN2194="","",IF(Q2194="Sin Factura","",AI2194-AJ2194))</f>
        <v/>
      </c>
      <c r="AM2194" s="81">
        <f>IF(AN2194="","",IF(Q2194="Sin Factura",0,P2194-IFERROR(INDEX(Facturas_Odoo!$H:$H, MATCH(Q2194, Facturas_Odoo!$B:$B, 0)), 0)))</f>
        <v/>
      </c>
      <c r="AN2194" s="79">
        <f>IF(AND(A2194="", J2194=""), "", IF(A2194&lt;&gt;"", VALUE(MID(A2194,2,LEN(A2194))), AN2193))</f>
        <v/>
      </c>
      <c r="AO2194" s="79">
        <f>IF(AN2194="","",IF(AD2194=0,"OK",_xlfn.LET(monedaPago, IF(AA2194="","USD",AA2194), limitePermitido, IFERROR(VLOOKUP(monedaPago, Configuración!$A$2:$B$3, 2, FALSE), 0.15), IF(AD2194&gt;limitePermitido, "ALERTA: EXCESO (" &amp; TEXT(limitePermitido, "0%") &amp; " máx)", "OK"))))</f>
        <v/>
      </c>
      <c r="AP2194" s="79">
        <f>IF(AN2194="","",IF(AE2194=0,"OK",_xlfn.LET(fechaPago, Z2194, fechaFactura, R2194, diasCredito, IF(E2194="Pago inmediato", 0, IFERROR(VALUE(MID(E2194, 1, SEARCH(" ", E2194)-1)),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94" s="79">
        <f>IF(AN2194="","",IF(AND(N2194&gt;0, AG2194&gt;0), IF(Configuración!$K$2="NO", "ALERTA: DESCUENTO DOBLE NO PERMITIDO", "OK"), "OK"))</f>
        <v/>
      </c>
      <c r="AR2194" s="79">
        <f>IF(AN2194="","",IF(OR(AO2194&lt;&gt;"OK", AP2194&lt;&gt;"OK", AQ2194&lt;&gt;"OK"), "⚠️ REVISAR", "OK"))</f>
        <v/>
      </c>
    </row>
    <row r="2195">
      <c r="A2195" s="79">
        <f>IF('Ordenes_Odoo'!A2195="","",'Ordenes_Odoo'!A2195)</f>
        <v/>
      </c>
      <c r="B2195" s="80">
        <f>IF('Ordenes_Odoo'!B2195="","",'Ordenes_Odoo'!B2195)</f>
        <v/>
      </c>
      <c r="C2195" s="79">
        <f>IF('Ordenes_Odoo'!C2195="","",'Ordenes_Odoo'!C2195)</f>
        <v/>
      </c>
      <c r="D2195" s="79">
        <f>IF('Ordenes_Odoo'!D2195="","",'Ordenes_Odoo'!D2195)</f>
        <v/>
      </c>
      <c r="E2195" s="79">
        <f>IF('Ordenes_Odoo'!E2195="","",'Ordenes_Odoo'!E2195)</f>
        <v/>
      </c>
      <c r="F2195" s="79">
        <f>IF('Ordenes_Odoo'!F2195="","",'Ordenes_Odoo'!F2195)</f>
        <v/>
      </c>
      <c r="G2195" s="79">
        <f>IF('Ordenes_Odoo'!G2195="","",'Ordenes_Odoo'!G2195)</f>
        <v/>
      </c>
      <c r="H2195" s="79">
        <f>IF('Ordenes_Odoo'!H2195="","",'Ordenes_Odoo'!H2195)</f>
        <v/>
      </c>
      <c r="I2195" s="79">
        <f>IF('Ordenes_Odoo'!I2195="","",'Ordenes_Odoo'!I2195)</f>
        <v/>
      </c>
      <c r="J2195" s="79">
        <f>IF('Ordenes_Odoo'!J2195="","",'Ordenes_Odoo'!J2195)</f>
        <v/>
      </c>
      <c r="K2195" s="81">
        <f>IF('Ordenes_Odoo'!K2195="","",'Ordenes_Odoo'!K2195)</f>
        <v/>
      </c>
      <c r="L2195" s="81">
        <f>IF('Ordenes_Odoo'!L2195="","",'Ordenes_Odoo'!L2195)</f>
        <v/>
      </c>
      <c r="M2195" s="79">
        <f>IF('Ordenes_Odoo'!M2195="","",'Ordenes_Odoo'!M2195)</f>
        <v/>
      </c>
      <c r="N2195" s="79">
        <f>IF('Ordenes_Odoo'!N2195="","",'Ordenes_Odoo'!N2195)</f>
        <v/>
      </c>
      <c r="O2195" s="81">
        <f>IF('Ordenes_Odoo'!O2195="","",'Ordenes_Odoo'!O2195)</f>
        <v/>
      </c>
      <c r="P2195" s="81">
        <f>IF('Ordenes_Odoo'!P2195="","",'Ordenes_Odoo'!P2195)</f>
        <v/>
      </c>
      <c r="Q2195" s="79">
        <f>IF(A2195="","",IFERROR(INDEX(Facturas_Odoo!$B:$B, MATCH(A2195, Facturas_Odoo!$D:$D, 0)), "Sin Factura"))</f>
        <v/>
      </c>
      <c r="R2195" s="80">
        <f>IF(Q2195="Sin Factura","",IFERROR(INDEX(Facturas_Odoo!$A:$A, MATCH(Q2195, Facturas_Odoo!$B:$B, 0)), ""))</f>
        <v/>
      </c>
      <c r="S2195" s="79">
        <f>IF(Q2195="Sin Factura","",IFERROR(_xlfn.XLOOKUP(1, (Facturas_Odoo!$D:$D=A2195) * (Facturas_Odoo!$K:$K=I2195), Facturas_Odoo!$L:$L, ""), ""))</f>
        <v/>
      </c>
      <c r="T2195" s="81">
        <f>IF(Q2195="Sin Factura",0,IFERROR(_xlfn.XLOOKUP(1, (Facturas_Odoo!$D:$D=A2195) * (Facturas_Odoo!$K:$K=I2195), Facturas_Odoo!$M:$M, 0), 0))</f>
        <v/>
      </c>
      <c r="U2195" s="79">
        <f>IF(Q2195="Sin Factura",0,IFERROR(_xlfn.XLOOKUP(1, (Facturas_Odoo!$D:$D=A2195) * (Facturas_Odoo!$K:$K=I2195), Facturas_Odoo!$N:$N, 0), 0))</f>
        <v/>
      </c>
      <c r="V2195" s="79">
        <f>IF(Q2195="Sin Factura",0,IFERROR(_xlfn.XLOOKUP(1, (Facturas_Odoo!$D:$D=A2195) * (Facturas_Odoo!$K:$K=I2195), Facturas_Odoo!$O:$O, 0), 0))</f>
        <v/>
      </c>
      <c r="W2195" s="81">
        <f>IF(Q2195="Sin Factura",0,IFERROR(_xlfn.XLOOKUP(1, (Facturas_Odoo!$D:$D=A2195) * (Facturas_Odoo!$K:$K=I2195), Facturas_Odoo!$Q:$Q, 0), 0))</f>
        <v/>
      </c>
      <c r="X2195" s="79">
        <f>IF(OR(Q2195="Sin Factura",Q2195=""),"",IFERROR(INDEX(Pagos_Odoo!$B:$B, MATCH(Q2195, Pagos_Odoo!$I:$I, 0)), "Sin Pago"))</f>
        <v/>
      </c>
      <c r="Y2195" s="79">
        <f>IF(X2195="Sin Pago","",IFERROR(INDEX(Pagos_Odoo!$C:$C, MATCH(X2195, Pagos_Odoo!$B:$B, 0)), ""))</f>
        <v/>
      </c>
      <c r="Z2195" s="80">
        <f>IF(X2195="Sin Pago","",IFERROR(INDEX(Pagos_Odoo!$A:$A, MATCH(X2195, Pagos_Odoo!$B:$B, 0)), ""))</f>
        <v/>
      </c>
      <c r="AA2195" s="79">
        <f>IF(X2195="Sin Pago","",IFERROR(INDEX(Pagos_Odoo!$F:$F, MATCH(X2195, Pagos_Odoo!$B:$B, 0)), ""))</f>
        <v/>
      </c>
      <c r="AB2195" s="81">
        <f>IF(X2195="Sin Pago",0,IFERROR(INDEX(Pagos_Odoo!$E:$E, MATCH(X2195, Pagos_Odoo!$B:$B, 0)), 0))</f>
        <v/>
      </c>
      <c r="AC2195" s="79">
        <f>IF(X2195="Sin Pago","",IFERROR(INDEX(Pagos_Odoo!$G:$G, MATCH(X2195, Pagos_Odoo!$B:$B, 0)), ""))</f>
        <v/>
      </c>
      <c r="AD2195" s="82" t="n">
        <v>0</v>
      </c>
      <c r="AE2195" s="82" t="n"/>
      <c r="AF2195" s="82" t="n"/>
      <c r="AG2195" s="82">
        <f>IF(AN2195="","",AD2195+AE2195+AF2195)</f>
        <v/>
      </c>
      <c r="AH2195" s="81">
        <f>IF(AN2195="","",P2195*(1-AG2195))</f>
        <v/>
      </c>
      <c r="AI2195" s="81">
        <f>IF(AN2195="","",IF(Q2195="Sin Factura",0,IFERROR(INDEX(Facturas_Odoo!$H:$H, MATCH(Q2195, Facturas_Odoo!$B:$B, 0)), 0)*(1-AG2195)))</f>
        <v/>
      </c>
      <c r="AJ2195" s="81">
        <f>IF(AN2195="","",_xlfn.LET(idVenta, AN2195&amp;"",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95" s="81">
        <f>IF(AN2195="","",AH2195-AJ2195)</f>
        <v/>
      </c>
      <c r="AL2195" s="81">
        <f>IF(AN2195="","",IF(Q2195="Sin Factura","",AI2195-AJ2195))</f>
        <v/>
      </c>
      <c r="AM2195" s="81">
        <f>IF(AN2195="","",IF(Q2195="Sin Factura",0,P2195-IFERROR(INDEX(Facturas_Odoo!$H:$H, MATCH(Q2195, Facturas_Odoo!$B:$B, 0)), 0)))</f>
        <v/>
      </c>
      <c r="AN2195" s="79">
        <f>IF(AND(A2195="", J2195=""), "", IF(A2195&lt;&gt;"", VALUE(MID(A2195,2,LEN(A2195))), AN2194))</f>
        <v/>
      </c>
      <c r="AO2195" s="79">
        <f>IF(AN2195="","",IF(AD2195=0,"OK",_xlfn.LET(monedaPago, IF(AA2195="","USD",AA2195), limitePermitido, IFERROR(VLOOKUP(monedaPago, Configuración!$A$2:$B$3, 2, FALSE), 0.15), IF(AD2195&gt;limitePermitido, "ALERTA: EXCESO (" &amp; TEXT(limitePermitido, "0%") &amp; " máx)", "OK"))))</f>
        <v/>
      </c>
      <c r="AP2195" s="79">
        <f>IF(AN2195="","",IF(AE2195=0,"OK",_xlfn.LET(fechaPago, Z2195, fechaFactura, R2195, diasCredito, IF(E2195="Pago inmediato", 0, IFERROR(VALUE(MID(E2195, 1, SEARCH(" ", E2195)-1)),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95" s="79">
        <f>IF(AN2195="","",IF(AND(N2195&gt;0, AG2195&gt;0), IF(Configuración!$K$2="NO", "ALERTA: DESCUENTO DOBLE NO PERMITIDO", "OK"), "OK"))</f>
        <v/>
      </c>
      <c r="AR2195" s="79">
        <f>IF(AN2195="","",IF(OR(AO2195&lt;&gt;"OK", AP2195&lt;&gt;"OK", AQ2195&lt;&gt;"OK"), "⚠️ REVISAR", "OK"))</f>
        <v/>
      </c>
    </row>
    <row r="2196">
      <c r="A2196" s="79">
        <f>IF('Ordenes_Odoo'!A2196="","",'Ordenes_Odoo'!A2196)</f>
        <v/>
      </c>
      <c r="B2196" s="80">
        <f>IF('Ordenes_Odoo'!B2196="","",'Ordenes_Odoo'!B2196)</f>
        <v/>
      </c>
      <c r="C2196" s="79">
        <f>IF('Ordenes_Odoo'!C2196="","",'Ordenes_Odoo'!C2196)</f>
        <v/>
      </c>
      <c r="D2196" s="79">
        <f>IF('Ordenes_Odoo'!D2196="","",'Ordenes_Odoo'!D2196)</f>
        <v/>
      </c>
      <c r="E2196" s="79">
        <f>IF('Ordenes_Odoo'!E2196="","",'Ordenes_Odoo'!E2196)</f>
        <v/>
      </c>
      <c r="F2196" s="79">
        <f>IF('Ordenes_Odoo'!F2196="","",'Ordenes_Odoo'!F2196)</f>
        <v/>
      </c>
      <c r="G2196" s="79">
        <f>IF('Ordenes_Odoo'!G2196="","",'Ordenes_Odoo'!G2196)</f>
        <v/>
      </c>
      <c r="H2196" s="79">
        <f>IF('Ordenes_Odoo'!H2196="","",'Ordenes_Odoo'!H2196)</f>
        <v/>
      </c>
      <c r="I2196" s="79">
        <f>IF('Ordenes_Odoo'!I2196="","",'Ordenes_Odoo'!I2196)</f>
        <v/>
      </c>
      <c r="J2196" s="79">
        <f>IF('Ordenes_Odoo'!J2196="","",'Ordenes_Odoo'!J2196)</f>
        <v/>
      </c>
      <c r="K2196" s="81">
        <f>IF('Ordenes_Odoo'!K2196="","",'Ordenes_Odoo'!K2196)</f>
        <v/>
      </c>
      <c r="L2196" s="81">
        <f>IF('Ordenes_Odoo'!L2196="","",'Ordenes_Odoo'!L2196)</f>
        <v/>
      </c>
      <c r="M2196" s="79">
        <f>IF('Ordenes_Odoo'!M2196="","",'Ordenes_Odoo'!M2196)</f>
        <v/>
      </c>
      <c r="N2196" s="79">
        <f>IF('Ordenes_Odoo'!N2196="","",'Ordenes_Odoo'!N2196)</f>
        <v/>
      </c>
      <c r="O2196" s="81">
        <f>IF('Ordenes_Odoo'!O2196="","",'Ordenes_Odoo'!O2196)</f>
        <v/>
      </c>
      <c r="P2196" s="81">
        <f>IF('Ordenes_Odoo'!P2196="","",'Ordenes_Odoo'!P2196)</f>
        <v/>
      </c>
      <c r="Q2196" s="79">
        <f>IF(A2196="","",IFERROR(INDEX(Facturas_Odoo!$B:$B, MATCH(A2196, Facturas_Odoo!$D:$D, 0)), "Sin Factura"))</f>
        <v/>
      </c>
      <c r="R2196" s="80">
        <f>IF(Q2196="Sin Factura","",IFERROR(INDEX(Facturas_Odoo!$A:$A, MATCH(Q2196, Facturas_Odoo!$B:$B, 0)), ""))</f>
        <v/>
      </c>
      <c r="S2196" s="79">
        <f>IF(Q2196="Sin Factura","",IFERROR(_xlfn.XLOOKUP(1, (Facturas_Odoo!$D:$D=A2196) * (Facturas_Odoo!$K:$K=I2196), Facturas_Odoo!$L:$L, ""), ""))</f>
        <v/>
      </c>
      <c r="T2196" s="81">
        <f>IF(Q2196="Sin Factura",0,IFERROR(_xlfn.XLOOKUP(1, (Facturas_Odoo!$D:$D=A2196) * (Facturas_Odoo!$K:$K=I2196), Facturas_Odoo!$M:$M, 0), 0))</f>
        <v/>
      </c>
      <c r="U2196" s="79">
        <f>IF(Q2196="Sin Factura",0,IFERROR(_xlfn.XLOOKUP(1, (Facturas_Odoo!$D:$D=A2196) * (Facturas_Odoo!$K:$K=I2196), Facturas_Odoo!$N:$N, 0), 0))</f>
        <v/>
      </c>
      <c r="V2196" s="79">
        <f>IF(Q2196="Sin Factura",0,IFERROR(_xlfn.XLOOKUP(1, (Facturas_Odoo!$D:$D=A2196) * (Facturas_Odoo!$K:$K=I2196), Facturas_Odoo!$O:$O, 0), 0))</f>
        <v/>
      </c>
      <c r="W2196" s="81">
        <f>IF(Q2196="Sin Factura",0,IFERROR(_xlfn.XLOOKUP(1, (Facturas_Odoo!$D:$D=A2196) * (Facturas_Odoo!$K:$K=I2196), Facturas_Odoo!$Q:$Q, 0), 0))</f>
        <v/>
      </c>
      <c r="X2196" s="79">
        <f>IF(OR(Q2196="Sin Factura",Q2196=""),"",IFERROR(INDEX(Pagos_Odoo!$B:$B, MATCH(Q2196, Pagos_Odoo!$I:$I, 0)), "Sin Pago"))</f>
        <v/>
      </c>
      <c r="Y2196" s="79">
        <f>IF(X2196="Sin Pago","",IFERROR(INDEX(Pagos_Odoo!$C:$C, MATCH(X2196, Pagos_Odoo!$B:$B, 0)), ""))</f>
        <v/>
      </c>
      <c r="Z2196" s="80">
        <f>IF(X2196="Sin Pago","",IFERROR(INDEX(Pagos_Odoo!$A:$A, MATCH(X2196, Pagos_Odoo!$B:$B, 0)), ""))</f>
        <v/>
      </c>
      <c r="AA2196" s="79">
        <f>IF(X2196="Sin Pago","",IFERROR(INDEX(Pagos_Odoo!$F:$F, MATCH(X2196, Pagos_Odoo!$B:$B, 0)), ""))</f>
        <v/>
      </c>
      <c r="AB2196" s="81">
        <f>IF(X2196="Sin Pago",0,IFERROR(INDEX(Pagos_Odoo!$E:$E, MATCH(X2196, Pagos_Odoo!$B:$B, 0)), 0))</f>
        <v/>
      </c>
      <c r="AC2196" s="79">
        <f>IF(X2196="Sin Pago","",IFERROR(INDEX(Pagos_Odoo!$G:$G, MATCH(X2196, Pagos_Odoo!$B:$B, 0)), ""))</f>
        <v/>
      </c>
      <c r="AD2196" s="82" t="n">
        <v>0</v>
      </c>
      <c r="AE2196" s="82" t="n"/>
      <c r="AF2196" s="82" t="n"/>
      <c r="AG2196" s="82">
        <f>IF(AN2196="","",AD2196+AE2196+AF2196)</f>
        <v/>
      </c>
      <c r="AH2196" s="81">
        <f>IF(AN2196="","",P2196*(1-AG2196))</f>
        <v/>
      </c>
      <c r="AI2196" s="81">
        <f>IF(AN2196="","",IF(Q2196="Sin Factura",0,IFERROR(INDEX(Facturas_Odoo!$H:$H, MATCH(Q2196, Facturas_Odoo!$B:$B, 0)), 0)*(1-AG2196)))</f>
        <v/>
      </c>
      <c r="AJ2196" s="81">
        <f>IF(AN2196="","",_xlfn.LET(idVenta, AN2196&amp;"",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96" s="81">
        <f>IF(AN2196="","",AH2196-AJ2196)</f>
        <v/>
      </c>
      <c r="AL2196" s="81">
        <f>IF(AN2196="","",IF(Q2196="Sin Factura","",AI2196-AJ2196))</f>
        <v/>
      </c>
      <c r="AM2196" s="81">
        <f>IF(AN2196="","",IF(Q2196="Sin Factura",0,P2196-IFERROR(INDEX(Facturas_Odoo!$H:$H, MATCH(Q2196, Facturas_Odoo!$B:$B, 0)), 0)))</f>
        <v/>
      </c>
      <c r="AN2196" s="79">
        <f>IF(AND(A2196="", J2196=""), "", IF(A2196&lt;&gt;"", VALUE(MID(A2196,2,LEN(A2196))), AN2195))</f>
        <v/>
      </c>
      <c r="AO2196" s="79">
        <f>IF(AN2196="","",IF(AD2196=0,"OK",_xlfn.LET(monedaPago, IF(AA2196="","USD",AA2196), limitePermitido, IFERROR(VLOOKUP(monedaPago, Configuración!$A$2:$B$3, 2, FALSE), 0.15), IF(AD2196&gt;limitePermitido, "ALERTA: EXCESO (" &amp; TEXT(limitePermitido, "0%") &amp; " máx)", "OK"))))</f>
        <v/>
      </c>
      <c r="AP2196" s="79">
        <f>IF(AN2196="","",IF(AE2196=0,"OK",_xlfn.LET(fechaPago, Z2196, fechaFactura, R2196, diasCredito, IF(E2196="Pago inmediato", 0, IFERROR(VALUE(MID(E2196, 1, SEARCH(" ", E2196)-1)),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96" s="79">
        <f>IF(AN2196="","",IF(AND(N2196&gt;0, AG2196&gt;0), IF(Configuración!$K$2="NO", "ALERTA: DESCUENTO DOBLE NO PERMITIDO", "OK"), "OK"))</f>
        <v/>
      </c>
      <c r="AR2196" s="79">
        <f>IF(AN2196="","",IF(OR(AO2196&lt;&gt;"OK", AP2196&lt;&gt;"OK", AQ2196&lt;&gt;"OK"), "⚠️ REVISAR", "OK"))</f>
        <v/>
      </c>
    </row>
    <row r="2197">
      <c r="A2197" s="79">
        <f>IF('Ordenes_Odoo'!A2197="","",'Ordenes_Odoo'!A2197)</f>
        <v/>
      </c>
      <c r="B2197" s="80">
        <f>IF('Ordenes_Odoo'!B2197="","",'Ordenes_Odoo'!B2197)</f>
        <v/>
      </c>
      <c r="C2197" s="79">
        <f>IF('Ordenes_Odoo'!C2197="","",'Ordenes_Odoo'!C2197)</f>
        <v/>
      </c>
      <c r="D2197" s="79">
        <f>IF('Ordenes_Odoo'!D2197="","",'Ordenes_Odoo'!D2197)</f>
        <v/>
      </c>
      <c r="E2197" s="79">
        <f>IF('Ordenes_Odoo'!E2197="","",'Ordenes_Odoo'!E2197)</f>
        <v/>
      </c>
      <c r="F2197" s="79">
        <f>IF('Ordenes_Odoo'!F2197="","",'Ordenes_Odoo'!F2197)</f>
        <v/>
      </c>
      <c r="G2197" s="79">
        <f>IF('Ordenes_Odoo'!G2197="","",'Ordenes_Odoo'!G2197)</f>
        <v/>
      </c>
      <c r="H2197" s="79">
        <f>IF('Ordenes_Odoo'!H2197="","",'Ordenes_Odoo'!H2197)</f>
        <v/>
      </c>
      <c r="I2197" s="79">
        <f>IF('Ordenes_Odoo'!I2197="","",'Ordenes_Odoo'!I2197)</f>
        <v/>
      </c>
      <c r="J2197" s="79">
        <f>IF('Ordenes_Odoo'!J2197="","",'Ordenes_Odoo'!J2197)</f>
        <v/>
      </c>
      <c r="K2197" s="81">
        <f>IF('Ordenes_Odoo'!K2197="","",'Ordenes_Odoo'!K2197)</f>
        <v/>
      </c>
      <c r="L2197" s="81">
        <f>IF('Ordenes_Odoo'!L2197="","",'Ordenes_Odoo'!L2197)</f>
        <v/>
      </c>
      <c r="M2197" s="79">
        <f>IF('Ordenes_Odoo'!M2197="","",'Ordenes_Odoo'!M2197)</f>
        <v/>
      </c>
      <c r="N2197" s="79">
        <f>IF('Ordenes_Odoo'!N2197="","",'Ordenes_Odoo'!N2197)</f>
        <v/>
      </c>
      <c r="O2197" s="81">
        <f>IF('Ordenes_Odoo'!O2197="","",'Ordenes_Odoo'!O2197)</f>
        <v/>
      </c>
      <c r="P2197" s="81">
        <f>IF('Ordenes_Odoo'!P2197="","",'Ordenes_Odoo'!P2197)</f>
        <v/>
      </c>
      <c r="Q2197" s="79">
        <f>IF(A2197="","",IFERROR(INDEX(Facturas_Odoo!$B:$B, MATCH(A2197, Facturas_Odoo!$D:$D, 0)), "Sin Factura"))</f>
        <v/>
      </c>
      <c r="R2197" s="80">
        <f>IF(Q2197="Sin Factura","",IFERROR(INDEX(Facturas_Odoo!$A:$A, MATCH(Q2197, Facturas_Odoo!$B:$B, 0)), ""))</f>
        <v/>
      </c>
      <c r="S2197" s="79">
        <f>IF(Q2197="Sin Factura","",IFERROR(_xlfn.XLOOKUP(1, (Facturas_Odoo!$D:$D=A2197) * (Facturas_Odoo!$K:$K=I2197), Facturas_Odoo!$L:$L, ""), ""))</f>
        <v/>
      </c>
      <c r="T2197" s="81">
        <f>IF(Q2197="Sin Factura",0,IFERROR(_xlfn.XLOOKUP(1, (Facturas_Odoo!$D:$D=A2197) * (Facturas_Odoo!$K:$K=I2197), Facturas_Odoo!$M:$M, 0), 0))</f>
        <v/>
      </c>
      <c r="U2197" s="79">
        <f>IF(Q2197="Sin Factura",0,IFERROR(_xlfn.XLOOKUP(1, (Facturas_Odoo!$D:$D=A2197) * (Facturas_Odoo!$K:$K=I2197), Facturas_Odoo!$N:$N, 0), 0))</f>
        <v/>
      </c>
      <c r="V2197" s="79">
        <f>IF(Q2197="Sin Factura",0,IFERROR(_xlfn.XLOOKUP(1, (Facturas_Odoo!$D:$D=A2197) * (Facturas_Odoo!$K:$K=I2197), Facturas_Odoo!$O:$O, 0), 0))</f>
        <v/>
      </c>
      <c r="W2197" s="81">
        <f>IF(Q2197="Sin Factura",0,IFERROR(_xlfn.XLOOKUP(1, (Facturas_Odoo!$D:$D=A2197) * (Facturas_Odoo!$K:$K=I2197), Facturas_Odoo!$Q:$Q, 0), 0))</f>
        <v/>
      </c>
      <c r="X2197" s="79">
        <f>IF(OR(Q2197="Sin Factura",Q2197=""),"",IFERROR(INDEX(Pagos_Odoo!$B:$B, MATCH(Q2197, Pagos_Odoo!$I:$I, 0)), "Sin Pago"))</f>
        <v/>
      </c>
      <c r="Y2197" s="79">
        <f>IF(X2197="Sin Pago","",IFERROR(INDEX(Pagos_Odoo!$C:$C, MATCH(X2197, Pagos_Odoo!$B:$B, 0)), ""))</f>
        <v/>
      </c>
      <c r="Z2197" s="80">
        <f>IF(X2197="Sin Pago","",IFERROR(INDEX(Pagos_Odoo!$A:$A, MATCH(X2197, Pagos_Odoo!$B:$B, 0)), ""))</f>
        <v/>
      </c>
      <c r="AA2197" s="79">
        <f>IF(X2197="Sin Pago","",IFERROR(INDEX(Pagos_Odoo!$F:$F, MATCH(X2197, Pagos_Odoo!$B:$B, 0)), ""))</f>
        <v/>
      </c>
      <c r="AB2197" s="81">
        <f>IF(X2197="Sin Pago",0,IFERROR(INDEX(Pagos_Odoo!$E:$E, MATCH(X2197, Pagos_Odoo!$B:$B, 0)), 0))</f>
        <v/>
      </c>
      <c r="AC2197" s="79">
        <f>IF(X2197="Sin Pago","",IFERROR(INDEX(Pagos_Odoo!$G:$G, MATCH(X2197, Pagos_Odoo!$B:$B, 0)), ""))</f>
        <v/>
      </c>
      <c r="AD2197" s="82" t="n">
        <v>0</v>
      </c>
      <c r="AE2197" s="82" t="n"/>
      <c r="AF2197" s="82" t="n"/>
      <c r="AG2197" s="82">
        <f>IF(AN2197="","",AD2197+AE2197+AF2197)</f>
        <v/>
      </c>
      <c r="AH2197" s="81">
        <f>IF(AN2197="","",P2197*(1-AG2197))</f>
        <v/>
      </c>
      <c r="AI2197" s="81">
        <f>IF(AN2197="","",IF(Q2197="Sin Factura",0,IFERROR(INDEX(Facturas_Odoo!$H:$H, MATCH(Q2197, Facturas_Odoo!$B:$B, 0)), 0)*(1-AG2197)))</f>
        <v/>
      </c>
      <c r="AJ2197" s="81">
        <f>IF(AN2197="","",_xlfn.LET(idVenta, AN2197&amp;"",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97" s="81">
        <f>IF(AN2197="","",AH2197-AJ2197)</f>
        <v/>
      </c>
      <c r="AL2197" s="81">
        <f>IF(AN2197="","",IF(Q2197="Sin Factura","",AI2197-AJ2197))</f>
        <v/>
      </c>
      <c r="AM2197" s="81">
        <f>IF(AN2197="","",IF(Q2197="Sin Factura",0,P2197-IFERROR(INDEX(Facturas_Odoo!$H:$H, MATCH(Q2197, Facturas_Odoo!$B:$B, 0)), 0)))</f>
        <v/>
      </c>
      <c r="AN2197" s="79">
        <f>IF(AND(A2197="", J2197=""), "", IF(A2197&lt;&gt;"", VALUE(MID(A2197,2,LEN(A2197))), AN2196))</f>
        <v/>
      </c>
      <c r="AO2197" s="79">
        <f>IF(AN2197="","",IF(AD2197=0,"OK",_xlfn.LET(monedaPago, IF(AA2197="","USD",AA2197), limitePermitido, IFERROR(VLOOKUP(monedaPago, Configuración!$A$2:$B$3, 2, FALSE), 0.15), IF(AD2197&gt;limitePermitido, "ALERTA: EXCESO (" &amp; TEXT(limitePermitido, "0%") &amp; " máx)", "OK"))))</f>
        <v/>
      </c>
      <c r="AP2197" s="79">
        <f>IF(AN2197="","",IF(AE2197=0,"OK",_xlfn.LET(fechaPago, Z2197, fechaFactura, R2197, diasCredito, IF(E2197="Pago inmediato", 0, IFERROR(VALUE(MID(E2197, 1, SEARCH(" ", E2197)-1)),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97" s="79">
        <f>IF(AN2197="","",IF(AND(N2197&gt;0, AG2197&gt;0), IF(Configuración!$K$2="NO", "ALERTA: DESCUENTO DOBLE NO PERMITIDO", "OK"), "OK"))</f>
        <v/>
      </c>
      <c r="AR2197" s="79">
        <f>IF(AN2197="","",IF(OR(AO2197&lt;&gt;"OK", AP2197&lt;&gt;"OK", AQ2197&lt;&gt;"OK"), "⚠️ REVISAR", "OK"))</f>
        <v/>
      </c>
    </row>
    <row r="2198">
      <c r="A2198" s="79">
        <f>IF('Ordenes_Odoo'!A2198="","",'Ordenes_Odoo'!A2198)</f>
        <v/>
      </c>
      <c r="B2198" s="80">
        <f>IF('Ordenes_Odoo'!B2198="","",'Ordenes_Odoo'!B2198)</f>
        <v/>
      </c>
      <c r="C2198" s="79">
        <f>IF('Ordenes_Odoo'!C2198="","",'Ordenes_Odoo'!C2198)</f>
        <v/>
      </c>
      <c r="D2198" s="79">
        <f>IF('Ordenes_Odoo'!D2198="","",'Ordenes_Odoo'!D2198)</f>
        <v/>
      </c>
      <c r="E2198" s="79">
        <f>IF('Ordenes_Odoo'!E2198="","",'Ordenes_Odoo'!E2198)</f>
        <v/>
      </c>
      <c r="F2198" s="79">
        <f>IF('Ordenes_Odoo'!F2198="","",'Ordenes_Odoo'!F2198)</f>
        <v/>
      </c>
      <c r="G2198" s="79">
        <f>IF('Ordenes_Odoo'!G2198="","",'Ordenes_Odoo'!G2198)</f>
        <v/>
      </c>
      <c r="H2198" s="79">
        <f>IF('Ordenes_Odoo'!H2198="","",'Ordenes_Odoo'!H2198)</f>
        <v/>
      </c>
      <c r="I2198" s="79">
        <f>IF('Ordenes_Odoo'!I2198="","",'Ordenes_Odoo'!I2198)</f>
        <v/>
      </c>
      <c r="J2198" s="79">
        <f>IF('Ordenes_Odoo'!J2198="","",'Ordenes_Odoo'!J2198)</f>
        <v/>
      </c>
      <c r="K2198" s="81">
        <f>IF('Ordenes_Odoo'!K2198="","",'Ordenes_Odoo'!K2198)</f>
        <v/>
      </c>
      <c r="L2198" s="81">
        <f>IF('Ordenes_Odoo'!L2198="","",'Ordenes_Odoo'!L2198)</f>
        <v/>
      </c>
      <c r="M2198" s="79">
        <f>IF('Ordenes_Odoo'!M2198="","",'Ordenes_Odoo'!M2198)</f>
        <v/>
      </c>
      <c r="N2198" s="79">
        <f>IF('Ordenes_Odoo'!N2198="","",'Ordenes_Odoo'!N2198)</f>
        <v/>
      </c>
      <c r="O2198" s="81">
        <f>IF('Ordenes_Odoo'!O2198="","",'Ordenes_Odoo'!O2198)</f>
        <v/>
      </c>
      <c r="P2198" s="81">
        <f>IF('Ordenes_Odoo'!P2198="","",'Ordenes_Odoo'!P2198)</f>
        <v/>
      </c>
      <c r="Q2198" s="79">
        <f>IF(A2198="","",IFERROR(INDEX(Facturas_Odoo!$B:$B, MATCH(A2198, Facturas_Odoo!$D:$D, 0)), "Sin Factura"))</f>
        <v/>
      </c>
      <c r="R2198" s="80">
        <f>IF(Q2198="Sin Factura","",IFERROR(INDEX(Facturas_Odoo!$A:$A, MATCH(Q2198, Facturas_Odoo!$B:$B, 0)), ""))</f>
        <v/>
      </c>
      <c r="S2198" s="79">
        <f>IF(Q2198="Sin Factura","",IFERROR(_xlfn.XLOOKUP(1, (Facturas_Odoo!$D:$D=A2198) * (Facturas_Odoo!$K:$K=I2198), Facturas_Odoo!$L:$L, ""), ""))</f>
        <v/>
      </c>
      <c r="T2198" s="81">
        <f>IF(Q2198="Sin Factura",0,IFERROR(_xlfn.XLOOKUP(1, (Facturas_Odoo!$D:$D=A2198) * (Facturas_Odoo!$K:$K=I2198), Facturas_Odoo!$M:$M, 0), 0))</f>
        <v/>
      </c>
      <c r="U2198" s="79">
        <f>IF(Q2198="Sin Factura",0,IFERROR(_xlfn.XLOOKUP(1, (Facturas_Odoo!$D:$D=A2198) * (Facturas_Odoo!$K:$K=I2198), Facturas_Odoo!$N:$N, 0), 0))</f>
        <v/>
      </c>
      <c r="V2198" s="79">
        <f>IF(Q2198="Sin Factura",0,IFERROR(_xlfn.XLOOKUP(1, (Facturas_Odoo!$D:$D=A2198) * (Facturas_Odoo!$K:$K=I2198), Facturas_Odoo!$O:$O, 0), 0))</f>
        <v/>
      </c>
      <c r="W2198" s="81">
        <f>IF(Q2198="Sin Factura",0,IFERROR(_xlfn.XLOOKUP(1, (Facturas_Odoo!$D:$D=A2198) * (Facturas_Odoo!$K:$K=I2198), Facturas_Odoo!$Q:$Q, 0), 0))</f>
        <v/>
      </c>
      <c r="X2198" s="79">
        <f>IF(OR(Q2198="Sin Factura",Q2198=""),"",IFERROR(INDEX(Pagos_Odoo!$B:$B, MATCH(Q2198, Pagos_Odoo!$I:$I, 0)), "Sin Pago"))</f>
        <v/>
      </c>
      <c r="Y2198" s="79">
        <f>IF(X2198="Sin Pago","",IFERROR(INDEX(Pagos_Odoo!$C:$C, MATCH(X2198, Pagos_Odoo!$B:$B, 0)), ""))</f>
        <v/>
      </c>
      <c r="Z2198" s="80">
        <f>IF(X2198="Sin Pago","",IFERROR(INDEX(Pagos_Odoo!$A:$A, MATCH(X2198, Pagos_Odoo!$B:$B, 0)), ""))</f>
        <v/>
      </c>
      <c r="AA2198" s="79">
        <f>IF(X2198="Sin Pago","",IFERROR(INDEX(Pagos_Odoo!$F:$F, MATCH(X2198, Pagos_Odoo!$B:$B, 0)), ""))</f>
        <v/>
      </c>
      <c r="AB2198" s="81">
        <f>IF(X2198="Sin Pago",0,IFERROR(INDEX(Pagos_Odoo!$E:$E, MATCH(X2198, Pagos_Odoo!$B:$B, 0)), 0))</f>
        <v/>
      </c>
      <c r="AC2198" s="79">
        <f>IF(X2198="Sin Pago","",IFERROR(INDEX(Pagos_Odoo!$G:$G, MATCH(X2198, Pagos_Odoo!$B:$B, 0)), ""))</f>
        <v/>
      </c>
      <c r="AD2198" s="82" t="n">
        <v>0</v>
      </c>
      <c r="AE2198" s="82" t="n"/>
      <c r="AF2198" s="82" t="n"/>
      <c r="AG2198" s="82">
        <f>IF(AN2198="","",AD2198+AE2198+AF2198)</f>
        <v/>
      </c>
      <c r="AH2198" s="81">
        <f>IF(AN2198="","",P2198*(1-AG2198))</f>
        <v/>
      </c>
      <c r="AI2198" s="81">
        <f>IF(AN2198="","",IF(Q2198="Sin Factura",0,IFERROR(INDEX(Facturas_Odoo!$H:$H, MATCH(Q2198, Facturas_Odoo!$B:$B, 0)), 0)*(1-AG2198)))</f>
        <v/>
      </c>
      <c r="AJ2198" s="81">
        <f>IF(AN2198="","",_xlfn.LET(idVenta, AN2198&amp;"",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98" s="81">
        <f>IF(AN2198="","",AH2198-AJ2198)</f>
        <v/>
      </c>
      <c r="AL2198" s="81">
        <f>IF(AN2198="","",IF(Q2198="Sin Factura","",AI2198-AJ2198))</f>
        <v/>
      </c>
      <c r="AM2198" s="81">
        <f>IF(AN2198="","",IF(Q2198="Sin Factura",0,P2198-IFERROR(INDEX(Facturas_Odoo!$H:$H, MATCH(Q2198, Facturas_Odoo!$B:$B, 0)), 0)))</f>
        <v/>
      </c>
      <c r="AN2198" s="79">
        <f>IF(AND(A2198="", J2198=""), "", IF(A2198&lt;&gt;"", VALUE(MID(A2198,2,LEN(A2198))), AN2197))</f>
        <v/>
      </c>
      <c r="AO2198" s="79">
        <f>IF(AN2198="","",IF(AD2198=0,"OK",_xlfn.LET(monedaPago, IF(AA2198="","USD",AA2198), limitePermitido, IFERROR(VLOOKUP(monedaPago, Configuración!$A$2:$B$3, 2, FALSE), 0.15), IF(AD2198&gt;limitePermitido, "ALERTA: EXCESO (" &amp; TEXT(limitePermitido, "0%") &amp; " máx)", "OK"))))</f>
        <v/>
      </c>
      <c r="AP2198" s="79">
        <f>IF(AN2198="","",IF(AE2198=0,"OK",_xlfn.LET(fechaPago, Z2198, fechaFactura, R2198, diasCredito, IF(E2198="Pago inmediato", 0, IFERROR(VALUE(MID(E2198, 1, SEARCH(" ", E2198)-1)),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98" s="79">
        <f>IF(AN2198="","",IF(AND(N2198&gt;0, AG2198&gt;0), IF(Configuración!$K$2="NO", "ALERTA: DESCUENTO DOBLE NO PERMITIDO", "OK"), "OK"))</f>
        <v/>
      </c>
      <c r="AR2198" s="79">
        <f>IF(AN2198="","",IF(OR(AO2198&lt;&gt;"OK", AP2198&lt;&gt;"OK", AQ2198&lt;&gt;"OK"), "⚠️ REVISAR", "OK"))</f>
        <v/>
      </c>
    </row>
    <row r="2199">
      <c r="A2199" s="79">
        <f>IF('Ordenes_Odoo'!A2199="","",'Ordenes_Odoo'!A2199)</f>
        <v/>
      </c>
      <c r="B2199" s="80">
        <f>IF('Ordenes_Odoo'!B2199="","",'Ordenes_Odoo'!B2199)</f>
        <v/>
      </c>
      <c r="C2199" s="79">
        <f>IF('Ordenes_Odoo'!C2199="","",'Ordenes_Odoo'!C2199)</f>
        <v/>
      </c>
      <c r="D2199" s="79">
        <f>IF('Ordenes_Odoo'!D2199="","",'Ordenes_Odoo'!D2199)</f>
        <v/>
      </c>
      <c r="E2199" s="79">
        <f>IF('Ordenes_Odoo'!E2199="","",'Ordenes_Odoo'!E2199)</f>
        <v/>
      </c>
      <c r="F2199" s="79">
        <f>IF('Ordenes_Odoo'!F2199="","",'Ordenes_Odoo'!F2199)</f>
        <v/>
      </c>
      <c r="G2199" s="79">
        <f>IF('Ordenes_Odoo'!G2199="","",'Ordenes_Odoo'!G2199)</f>
        <v/>
      </c>
      <c r="H2199" s="79">
        <f>IF('Ordenes_Odoo'!H2199="","",'Ordenes_Odoo'!H2199)</f>
        <v/>
      </c>
      <c r="I2199" s="79">
        <f>IF('Ordenes_Odoo'!I2199="","",'Ordenes_Odoo'!I2199)</f>
        <v/>
      </c>
      <c r="J2199" s="79">
        <f>IF('Ordenes_Odoo'!J2199="","",'Ordenes_Odoo'!J2199)</f>
        <v/>
      </c>
      <c r="K2199" s="81">
        <f>IF('Ordenes_Odoo'!K2199="","",'Ordenes_Odoo'!K2199)</f>
        <v/>
      </c>
      <c r="L2199" s="81">
        <f>IF('Ordenes_Odoo'!L2199="","",'Ordenes_Odoo'!L2199)</f>
        <v/>
      </c>
      <c r="M2199" s="79">
        <f>IF('Ordenes_Odoo'!M2199="","",'Ordenes_Odoo'!M2199)</f>
        <v/>
      </c>
      <c r="N2199" s="79">
        <f>IF('Ordenes_Odoo'!N2199="","",'Ordenes_Odoo'!N2199)</f>
        <v/>
      </c>
      <c r="O2199" s="81">
        <f>IF('Ordenes_Odoo'!O2199="","",'Ordenes_Odoo'!O2199)</f>
        <v/>
      </c>
      <c r="P2199" s="81">
        <f>IF('Ordenes_Odoo'!P2199="","",'Ordenes_Odoo'!P2199)</f>
        <v/>
      </c>
      <c r="Q2199" s="79">
        <f>IF(A2199="","",IFERROR(INDEX(Facturas_Odoo!$B:$B, MATCH(A2199, Facturas_Odoo!$D:$D, 0)), "Sin Factura"))</f>
        <v/>
      </c>
      <c r="R2199" s="80">
        <f>IF(Q2199="Sin Factura","",IFERROR(INDEX(Facturas_Odoo!$A:$A, MATCH(Q2199, Facturas_Odoo!$B:$B, 0)), ""))</f>
        <v/>
      </c>
      <c r="S2199" s="79">
        <f>IF(Q2199="Sin Factura","",IFERROR(_xlfn.XLOOKUP(1, (Facturas_Odoo!$D:$D=A2199) * (Facturas_Odoo!$K:$K=I2199), Facturas_Odoo!$L:$L, ""), ""))</f>
        <v/>
      </c>
      <c r="T2199" s="81">
        <f>IF(Q2199="Sin Factura",0,IFERROR(_xlfn.XLOOKUP(1, (Facturas_Odoo!$D:$D=A2199) * (Facturas_Odoo!$K:$K=I2199), Facturas_Odoo!$M:$M, 0), 0))</f>
        <v/>
      </c>
      <c r="U2199" s="79">
        <f>IF(Q2199="Sin Factura",0,IFERROR(_xlfn.XLOOKUP(1, (Facturas_Odoo!$D:$D=A2199) * (Facturas_Odoo!$K:$K=I2199), Facturas_Odoo!$N:$N, 0), 0))</f>
        <v/>
      </c>
      <c r="V2199" s="79">
        <f>IF(Q2199="Sin Factura",0,IFERROR(_xlfn.XLOOKUP(1, (Facturas_Odoo!$D:$D=A2199) * (Facturas_Odoo!$K:$K=I2199), Facturas_Odoo!$O:$O, 0), 0))</f>
        <v/>
      </c>
      <c r="W2199" s="81">
        <f>IF(Q2199="Sin Factura",0,IFERROR(_xlfn.XLOOKUP(1, (Facturas_Odoo!$D:$D=A2199) * (Facturas_Odoo!$K:$K=I2199), Facturas_Odoo!$Q:$Q, 0), 0))</f>
        <v/>
      </c>
      <c r="X2199" s="79">
        <f>IF(OR(Q2199="Sin Factura",Q2199=""),"",IFERROR(INDEX(Pagos_Odoo!$B:$B, MATCH(Q2199, Pagos_Odoo!$I:$I, 0)), "Sin Pago"))</f>
        <v/>
      </c>
      <c r="Y2199" s="79">
        <f>IF(X2199="Sin Pago","",IFERROR(INDEX(Pagos_Odoo!$C:$C, MATCH(X2199, Pagos_Odoo!$B:$B, 0)), ""))</f>
        <v/>
      </c>
      <c r="Z2199" s="80">
        <f>IF(X2199="Sin Pago","",IFERROR(INDEX(Pagos_Odoo!$A:$A, MATCH(X2199, Pagos_Odoo!$B:$B, 0)), ""))</f>
        <v/>
      </c>
      <c r="AA2199" s="79">
        <f>IF(X2199="Sin Pago","",IFERROR(INDEX(Pagos_Odoo!$F:$F, MATCH(X2199, Pagos_Odoo!$B:$B, 0)), ""))</f>
        <v/>
      </c>
      <c r="AB2199" s="81">
        <f>IF(X2199="Sin Pago",0,IFERROR(INDEX(Pagos_Odoo!$E:$E, MATCH(X2199, Pagos_Odoo!$B:$B, 0)), 0))</f>
        <v/>
      </c>
      <c r="AC2199" s="79">
        <f>IF(X2199="Sin Pago","",IFERROR(INDEX(Pagos_Odoo!$G:$G, MATCH(X2199, Pagos_Odoo!$B:$B, 0)), ""))</f>
        <v/>
      </c>
      <c r="AD2199" s="82" t="n">
        <v>0</v>
      </c>
      <c r="AE2199" s="82" t="n"/>
      <c r="AF2199" s="82" t="n"/>
      <c r="AG2199" s="82">
        <f>IF(AN2199="","",AD2199+AE2199+AF2199)</f>
        <v/>
      </c>
      <c r="AH2199" s="81">
        <f>IF(AN2199="","",P2199*(1-AG2199))</f>
        <v/>
      </c>
      <c r="AI2199" s="81">
        <f>IF(AN2199="","",IF(Q2199="Sin Factura",0,IFERROR(INDEX(Facturas_Odoo!$H:$H, MATCH(Q2199, Facturas_Odoo!$B:$B, 0)), 0)*(1-AG2199)))</f>
        <v/>
      </c>
      <c r="AJ2199" s="81">
        <f>IF(AN2199="","",_xlfn.LET(idVenta, AN2199&amp;"",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199" s="81">
        <f>IF(AN2199="","",AH2199-AJ2199)</f>
        <v/>
      </c>
      <c r="AL2199" s="81">
        <f>IF(AN2199="","",IF(Q2199="Sin Factura","",AI2199-AJ2199))</f>
        <v/>
      </c>
      <c r="AM2199" s="81">
        <f>IF(AN2199="","",IF(Q2199="Sin Factura",0,P2199-IFERROR(INDEX(Facturas_Odoo!$H:$H, MATCH(Q2199, Facturas_Odoo!$B:$B, 0)), 0)))</f>
        <v/>
      </c>
      <c r="AN2199" s="79">
        <f>IF(AND(A2199="", J2199=""), "", IF(A2199&lt;&gt;"", VALUE(MID(A2199,2,LEN(A2199))), AN2198))</f>
        <v/>
      </c>
      <c r="AO2199" s="79">
        <f>IF(AN2199="","",IF(AD2199=0,"OK",_xlfn.LET(monedaPago, IF(AA2199="","USD",AA2199), limitePermitido, IFERROR(VLOOKUP(monedaPago, Configuración!$A$2:$B$3, 2, FALSE), 0.15), IF(AD2199&gt;limitePermitido, "ALERTA: EXCESO (" &amp; TEXT(limitePermitido, "0%") &amp; " máx)", "OK"))))</f>
        <v/>
      </c>
      <c r="AP2199" s="79">
        <f>IF(AN2199="","",IF(AE2199=0,"OK",_xlfn.LET(fechaPago, Z2199, fechaFactura, R2199, diasCredito, IF(E2199="Pago inmediato", 0, IFERROR(VALUE(MID(E2199, 1, SEARCH(" ", E2199)-1)),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199" s="79">
        <f>IF(AN2199="","",IF(AND(N2199&gt;0, AG2199&gt;0), IF(Configuración!$K$2="NO", "ALERTA: DESCUENTO DOBLE NO PERMITIDO", "OK"), "OK"))</f>
        <v/>
      </c>
      <c r="AR2199" s="79">
        <f>IF(AN2199="","",IF(OR(AO2199&lt;&gt;"OK", AP2199&lt;&gt;"OK", AQ2199&lt;&gt;"OK"), "⚠️ REVISAR", "OK"))</f>
        <v/>
      </c>
    </row>
    <row r="2200">
      <c r="A2200" s="79">
        <f>IF('Ordenes_Odoo'!A2200="","",'Ordenes_Odoo'!A2200)</f>
        <v/>
      </c>
      <c r="B2200" s="80">
        <f>IF('Ordenes_Odoo'!B2200="","",'Ordenes_Odoo'!B2200)</f>
        <v/>
      </c>
      <c r="C2200" s="79">
        <f>IF('Ordenes_Odoo'!C2200="","",'Ordenes_Odoo'!C2200)</f>
        <v/>
      </c>
      <c r="D2200" s="79">
        <f>IF('Ordenes_Odoo'!D2200="","",'Ordenes_Odoo'!D2200)</f>
        <v/>
      </c>
      <c r="E2200" s="79">
        <f>IF('Ordenes_Odoo'!E2200="","",'Ordenes_Odoo'!E2200)</f>
        <v/>
      </c>
      <c r="F2200" s="79">
        <f>IF('Ordenes_Odoo'!F2200="","",'Ordenes_Odoo'!F2200)</f>
        <v/>
      </c>
      <c r="G2200" s="79">
        <f>IF('Ordenes_Odoo'!G2200="","",'Ordenes_Odoo'!G2200)</f>
        <v/>
      </c>
      <c r="H2200" s="79">
        <f>IF('Ordenes_Odoo'!H2200="","",'Ordenes_Odoo'!H2200)</f>
        <v/>
      </c>
      <c r="I2200" s="79">
        <f>IF('Ordenes_Odoo'!I2200="","",'Ordenes_Odoo'!I2200)</f>
        <v/>
      </c>
      <c r="J2200" s="79">
        <f>IF('Ordenes_Odoo'!J2200="","",'Ordenes_Odoo'!J2200)</f>
        <v/>
      </c>
      <c r="K2200" s="81">
        <f>IF('Ordenes_Odoo'!K2200="","",'Ordenes_Odoo'!K2200)</f>
        <v/>
      </c>
      <c r="L2200" s="81">
        <f>IF('Ordenes_Odoo'!L2200="","",'Ordenes_Odoo'!L2200)</f>
        <v/>
      </c>
      <c r="M2200" s="79">
        <f>IF('Ordenes_Odoo'!M2200="","",'Ordenes_Odoo'!M2200)</f>
        <v/>
      </c>
      <c r="N2200" s="79">
        <f>IF('Ordenes_Odoo'!N2200="","",'Ordenes_Odoo'!N2200)</f>
        <v/>
      </c>
      <c r="O2200" s="81">
        <f>IF('Ordenes_Odoo'!O2200="","",'Ordenes_Odoo'!O2200)</f>
        <v/>
      </c>
      <c r="P2200" s="81">
        <f>IF('Ordenes_Odoo'!P2200="","",'Ordenes_Odoo'!P2200)</f>
        <v/>
      </c>
      <c r="Q2200" s="79">
        <f>IF(A2200="","",IFERROR(INDEX(Facturas_Odoo!$B:$B, MATCH(A2200, Facturas_Odoo!$D:$D, 0)), "Sin Factura"))</f>
        <v/>
      </c>
      <c r="R2200" s="80">
        <f>IF(Q2200="Sin Factura","",IFERROR(INDEX(Facturas_Odoo!$A:$A, MATCH(Q2200, Facturas_Odoo!$B:$B, 0)), ""))</f>
        <v/>
      </c>
      <c r="S2200" s="79">
        <f>IF(Q2200="Sin Factura","",IFERROR(_xlfn.XLOOKUP(1, (Facturas_Odoo!$D:$D=A2200) * (Facturas_Odoo!$K:$K=I2200), Facturas_Odoo!$L:$L, ""), ""))</f>
        <v/>
      </c>
      <c r="T2200" s="81">
        <f>IF(Q2200="Sin Factura",0,IFERROR(_xlfn.XLOOKUP(1, (Facturas_Odoo!$D:$D=A2200) * (Facturas_Odoo!$K:$K=I2200), Facturas_Odoo!$M:$M, 0), 0))</f>
        <v/>
      </c>
      <c r="U2200" s="79">
        <f>IF(Q2200="Sin Factura",0,IFERROR(_xlfn.XLOOKUP(1, (Facturas_Odoo!$D:$D=A2200) * (Facturas_Odoo!$K:$K=I2200), Facturas_Odoo!$N:$N, 0), 0))</f>
        <v/>
      </c>
      <c r="V2200" s="79">
        <f>IF(Q2200="Sin Factura",0,IFERROR(_xlfn.XLOOKUP(1, (Facturas_Odoo!$D:$D=A2200) * (Facturas_Odoo!$K:$K=I2200), Facturas_Odoo!$O:$O, 0), 0))</f>
        <v/>
      </c>
      <c r="W2200" s="81">
        <f>IF(Q2200="Sin Factura",0,IFERROR(_xlfn.XLOOKUP(1, (Facturas_Odoo!$D:$D=A2200) * (Facturas_Odoo!$K:$K=I2200), Facturas_Odoo!$Q:$Q, 0), 0))</f>
        <v/>
      </c>
      <c r="X2200" s="79">
        <f>IF(OR(Q2200="Sin Factura",Q2200=""),"",IFERROR(INDEX(Pagos_Odoo!$B:$B, MATCH(Q2200, Pagos_Odoo!$I:$I, 0)), "Sin Pago"))</f>
        <v/>
      </c>
      <c r="Y2200" s="79">
        <f>IF(X2200="Sin Pago","",IFERROR(INDEX(Pagos_Odoo!$C:$C, MATCH(X2200, Pagos_Odoo!$B:$B, 0)), ""))</f>
        <v/>
      </c>
      <c r="Z2200" s="80">
        <f>IF(X2200="Sin Pago","",IFERROR(INDEX(Pagos_Odoo!$A:$A, MATCH(X2200, Pagos_Odoo!$B:$B, 0)), ""))</f>
        <v/>
      </c>
      <c r="AA2200" s="79">
        <f>IF(X2200="Sin Pago","",IFERROR(INDEX(Pagos_Odoo!$F:$F, MATCH(X2200, Pagos_Odoo!$B:$B, 0)), ""))</f>
        <v/>
      </c>
      <c r="AB2200" s="81">
        <f>IF(X2200="Sin Pago",0,IFERROR(INDEX(Pagos_Odoo!$E:$E, MATCH(X2200, Pagos_Odoo!$B:$B, 0)), 0))</f>
        <v/>
      </c>
      <c r="AC2200" s="79">
        <f>IF(X2200="Sin Pago","",IFERROR(INDEX(Pagos_Odoo!$G:$G, MATCH(X2200, Pagos_Odoo!$B:$B, 0)), ""))</f>
        <v/>
      </c>
      <c r="AD2200" s="82" t="n">
        <v>0</v>
      </c>
      <c r="AE2200" s="82" t="n"/>
      <c r="AF2200" s="82" t="n"/>
      <c r="AG2200" s="82">
        <f>IF(AN2200="","",AD2200+AE2200+AF2200)</f>
        <v/>
      </c>
      <c r="AH2200" s="81">
        <f>IF(AN2200="","",P2200*(1-AG2200))</f>
        <v/>
      </c>
      <c r="AI2200" s="81">
        <f>IF(AN2200="","",IF(Q2200="Sin Factura",0,IFERROR(INDEX(Facturas_Odoo!$H:$H, MATCH(Q2200, Facturas_Odoo!$B:$B, 0)), 0)*(1-AG2200)))</f>
        <v/>
      </c>
      <c r="AJ2200" s="81">
        <f>IF(AN2200="","",_xlfn.LET(idVenta, AN2200&amp;"",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00" s="81">
        <f>IF(AN2200="","",AH2200-AJ2200)</f>
        <v/>
      </c>
      <c r="AL2200" s="81">
        <f>IF(AN2200="","",IF(Q2200="Sin Factura","",AI2200-AJ2200))</f>
        <v/>
      </c>
      <c r="AM2200" s="81">
        <f>IF(AN2200="","",IF(Q2200="Sin Factura",0,P2200-IFERROR(INDEX(Facturas_Odoo!$H:$H, MATCH(Q2200, Facturas_Odoo!$B:$B, 0)), 0)))</f>
        <v/>
      </c>
      <c r="AN2200" s="79">
        <f>IF(AND(A2200="", J2200=""), "", IF(A2200&lt;&gt;"", VALUE(MID(A2200,2,LEN(A2200))), AN2199))</f>
        <v/>
      </c>
      <c r="AO2200" s="79">
        <f>IF(AN2200="","",IF(AD2200=0,"OK",_xlfn.LET(monedaPago, IF(AA2200="","USD",AA2200), limitePermitido, IFERROR(VLOOKUP(monedaPago, Configuración!$A$2:$B$3, 2, FALSE), 0.15), IF(AD2200&gt;limitePermitido, "ALERTA: EXCESO (" &amp; TEXT(limitePermitido, "0%") &amp; " máx)", "OK"))))</f>
        <v/>
      </c>
      <c r="AP2200" s="79">
        <f>IF(AN2200="","",IF(AE2200=0,"OK",_xlfn.LET(fechaPago, Z2200, fechaFactura, R2200, diasCredito, IF(E2200="Pago inmediato", 0, IFERROR(VALUE(MID(E2200, 1, SEARCH(" ", E2200)-1)),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00" s="79">
        <f>IF(AN2200="","",IF(AND(N2200&gt;0, AG2200&gt;0), IF(Configuración!$K$2="NO", "ALERTA: DESCUENTO DOBLE NO PERMITIDO", "OK"), "OK"))</f>
        <v/>
      </c>
      <c r="AR2200" s="79">
        <f>IF(AN2200="","",IF(OR(AO2200&lt;&gt;"OK", AP2200&lt;&gt;"OK", AQ2200&lt;&gt;"OK"), "⚠️ REVISAR", "OK"))</f>
        <v/>
      </c>
    </row>
    <row r="2201">
      <c r="A2201" s="79">
        <f>IF('Ordenes_Odoo'!A2201="","",'Ordenes_Odoo'!A2201)</f>
        <v/>
      </c>
      <c r="B2201" s="80">
        <f>IF('Ordenes_Odoo'!B2201="","",'Ordenes_Odoo'!B2201)</f>
        <v/>
      </c>
      <c r="C2201" s="79">
        <f>IF('Ordenes_Odoo'!C2201="","",'Ordenes_Odoo'!C2201)</f>
        <v/>
      </c>
      <c r="D2201" s="79">
        <f>IF('Ordenes_Odoo'!D2201="","",'Ordenes_Odoo'!D2201)</f>
        <v/>
      </c>
      <c r="E2201" s="79">
        <f>IF('Ordenes_Odoo'!E2201="","",'Ordenes_Odoo'!E2201)</f>
        <v/>
      </c>
      <c r="F2201" s="79">
        <f>IF('Ordenes_Odoo'!F2201="","",'Ordenes_Odoo'!F2201)</f>
        <v/>
      </c>
      <c r="G2201" s="79">
        <f>IF('Ordenes_Odoo'!G2201="","",'Ordenes_Odoo'!G2201)</f>
        <v/>
      </c>
      <c r="H2201" s="79">
        <f>IF('Ordenes_Odoo'!H2201="","",'Ordenes_Odoo'!H2201)</f>
        <v/>
      </c>
      <c r="I2201" s="79">
        <f>IF('Ordenes_Odoo'!I2201="","",'Ordenes_Odoo'!I2201)</f>
        <v/>
      </c>
      <c r="J2201" s="79">
        <f>IF('Ordenes_Odoo'!J2201="","",'Ordenes_Odoo'!J2201)</f>
        <v/>
      </c>
      <c r="K2201" s="81">
        <f>IF('Ordenes_Odoo'!K2201="","",'Ordenes_Odoo'!K2201)</f>
        <v/>
      </c>
      <c r="L2201" s="81">
        <f>IF('Ordenes_Odoo'!L2201="","",'Ordenes_Odoo'!L2201)</f>
        <v/>
      </c>
      <c r="M2201" s="79">
        <f>IF('Ordenes_Odoo'!M2201="","",'Ordenes_Odoo'!M2201)</f>
        <v/>
      </c>
      <c r="N2201" s="79">
        <f>IF('Ordenes_Odoo'!N2201="","",'Ordenes_Odoo'!N2201)</f>
        <v/>
      </c>
      <c r="O2201" s="81">
        <f>IF('Ordenes_Odoo'!O2201="","",'Ordenes_Odoo'!O2201)</f>
        <v/>
      </c>
      <c r="P2201" s="81">
        <f>IF('Ordenes_Odoo'!P2201="","",'Ordenes_Odoo'!P2201)</f>
        <v/>
      </c>
      <c r="Q2201" s="79">
        <f>IF(A2201="","",IFERROR(INDEX(Facturas_Odoo!$B:$B, MATCH(A2201, Facturas_Odoo!$D:$D, 0)), "Sin Factura"))</f>
        <v/>
      </c>
      <c r="R2201" s="80">
        <f>IF(Q2201="Sin Factura","",IFERROR(INDEX(Facturas_Odoo!$A:$A, MATCH(Q2201, Facturas_Odoo!$B:$B, 0)), ""))</f>
        <v/>
      </c>
      <c r="S2201" s="79">
        <f>IF(Q2201="Sin Factura","",IFERROR(_xlfn.XLOOKUP(1, (Facturas_Odoo!$D:$D=A2201) * (Facturas_Odoo!$K:$K=I2201), Facturas_Odoo!$L:$L, ""), ""))</f>
        <v/>
      </c>
      <c r="T2201" s="81">
        <f>IF(Q2201="Sin Factura",0,IFERROR(_xlfn.XLOOKUP(1, (Facturas_Odoo!$D:$D=A2201) * (Facturas_Odoo!$K:$K=I2201), Facturas_Odoo!$M:$M, 0), 0))</f>
        <v/>
      </c>
      <c r="U2201" s="79">
        <f>IF(Q2201="Sin Factura",0,IFERROR(_xlfn.XLOOKUP(1, (Facturas_Odoo!$D:$D=A2201) * (Facturas_Odoo!$K:$K=I2201), Facturas_Odoo!$N:$N, 0), 0))</f>
        <v/>
      </c>
      <c r="V2201" s="79">
        <f>IF(Q2201="Sin Factura",0,IFERROR(_xlfn.XLOOKUP(1, (Facturas_Odoo!$D:$D=A2201) * (Facturas_Odoo!$K:$K=I2201), Facturas_Odoo!$O:$O, 0), 0))</f>
        <v/>
      </c>
      <c r="W2201" s="81">
        <f>IF(Q2201="Sin Factura",0,IFERROR(_xlfn.XLOOKUP(1, (Facturas_Odoo!$D:$D=A2201) * (Facturas_Odoo!$K:$K=I2201), Facturas_Odoo!$Q:$Q, 0), 0))</f>
        <v/>
      </c>
      <c r="X2201" s="79">
        <f>IF(OR(Q2201="Sin Factura",Q2201=""),"",IFERROR(INDEX(Pagos_Odoo!$B:$B, MATCH(Q2201, Pagos_Odoo!$I:$I, 0)), "Sin Pago"))</f>
        <v/>
      </c>
      <c r="Y2201" s="79">
        <f>IF(X2201="Sin Pago","",IFERROR(INDEX(Pagos_Odoo!$C:$C, MATCH(X2201, Pagos_Odoo!$B:$B, 0)), ""))</f>
        <v/>
      </c>
      <c r="Z2201" s="80">
        <f>IF(X2201="Sin Pago","",IFERROR(INDEX(Pagos_Odoo!$A:$A, MATCH(X2201, Pagos_Odoo!$B:$B, 0)), ""))</f>
        <v/>
      </c>
      <c r="AA2201" s="79">
        <f>IF(X2201="Sin Pago","",IFERROR(INDEX(Pagos_Odoo!$F:$F, MATCH(X2201, Pagos_Odoo!$B:$B, 0)), ""))</f>
        <v/>
      </c>
      <c r="AB2201" s="81">
        <f>IF(X2201="Sin Pago",0,IFERROR(INDEX(Pagos_Odoo!$E:$E, MATCH(X2201, Pagos_Odoo!$B:$B, 0)), 0))</f>
        <v/>
      </c>
      <c r="AC2201" s="79">
        <f>IF(X2201="Sin Pago","",IFERROR(INDEX(Pagos_Odoo!$G:$G, MATCH(X2201, Pagos_Odoo!$B:$B, 0)), ""))</f>
        <v/>
      </c>
      <c r="AD2201" s="82" t="n">
        <v>0</v>
      </c>
      <c r="AE2201" s="82" t="n"/>
      <c r="AF2201" s="82" t="n"/>
      <c r="AG2201" s="82">
        <f>IF(AN2201="","",AD2201+AE2201+AF2201)</f>
        <v/>
      </c>
      <c r="AH2201" s="81">
        <f>IF(AN2201="","",P2201*(1-AG2201))</f>
        <v/>
      </c>
      <c r="AI2201" s="81">
        <f>IF(AN2201="","",IF(Q2201="Sin Factura",0,IFERROR(INDEX(Facturas_Odoo!$H:$H, MATCH(Q2201, Facturas_Odoo!$B:$B, 0)), 0)*(1-AG2201)))</f>
        <v/>
      </c>
      <c r="AJ2201" s="81">
        <f>IF(AN2201="","",_xlfn.LET(idVenta, AN2201&amp;"",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01" s="81">
        <f>IF(AN2201="","",AH2201-AJ2201)</f>
        <v/>
      </c>
      <c r="AL2201" s="81">
        <f>IF(AN2201="","",IF(Q2201="Sin Factura","",AI2201-AJ2201))</f>
        <v/>
      </c>
      <c r="AM2201" s="81">
        <f>IF(AN2201="","",IF(Q2201="Sin Factura",0,P2201-IFERROR(INDEX(Facturas_Odoo!$H:$H, MATCH(Q2201, Facturas_Odoo!$B:$B, 0)), 0)))</f>
        <v/>
      </c>
      <c r="AN2201" s="79">
        <f>IF(AND(A2201="", J2201=""), "", IF(A2201&lt;&gt;"", VALUE(MID(A2201,2,LEN(A2201))), AN2200))</f>
        <v/>
      </c>
      <c r="AO2201" s="79">
        <f>IF(AN2201="","",IF(AD2201=0,"OK",_xlfn.LET(monedaPago, IF(AA2201="","USD",AA2201), limitePermitido, IFERROR(VLOOKUP(monedaPago, Configuración!$A$2:$B$3, 2, FALSE), 0.15), IF(AD2201&gt;limitePermitido, "ALERTA: EXCESO (" &amp; TEXT(limitePermitido, "0%") &amp; " máx)", "OK"))))</f>
        <v/>
      </c>
      <c r="AP2201" s="79">
        <f>IF(AN2201="","",IF(AE2201=0,"OK",_xlfn.LET(fechaPago, Z2201, fechaFactura, R2201, diasCredito, IF(E2201="Pago inmediato", 0, IFERROR(VALUE(MID(E2201, 1, SEARCH(" ", E2201)-1)),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01" s="79">
        <f>IF(AN2201="","",IF(AND(N2201&gt;0, AG2201&gt;0), IF(Configuración!$K$2="NO", "ALERTA: DESCUENTO DOBLE NO PERMITIDO", "OK"), "OK"))</f>
        <v/>
      </c>
      <c r="AR2201" s="79">
        <f>IF(AN2201="","",IF(OR(AO2201&lt;&gt;"OK", AP2201&lt;&gt;"OK", AQ2201&lt;&gt;"OK"), "⚠️ REVISAR", "OK"))</f>
        <v/>
      </c>
    </row>
    <row r="2202">
      <c r="A2202" s="79">
        <f>IF('Ordenes_Odoo'!A2202="","",'Ordenes_Odoo'!A2202)</f>
        <v/>
      </c>
      <c r="B2202" s="80">
        <f>IF('Ordenes_Odoo'!B2202="","",'Ordenes_Odoo'!B2202)</f>
        <v/>
      </c>
      <c r="C2202" s="79">
        <f>IF('Ordenes_Odoo'!C2202="","",'Ordenes_Odoo'!C2202)</f>
        <v/>
      </c>
      <c r="D2202" s="79">
        <f>IF('Ordenes_Odoo'!D2202="","",'Ordenes_Odoo'!D2202)</f>
        <v/>
      </c>
      <c r="E2202" s="79">
        <f>IF('Ordenes_Odoo'!E2202="","",'Ordenes_Odoo'!E2202)</f>
        <v/>
      </c>
      <c r="F2202" s="79">
        <f>IF('Ordenes_Odoo'!F2202="","",'Ordenes_Odoo'!F2202)</f>
        <v/>
      </c>
      <c r="G2202" s="79">
        <f>IF('Ordenes_Odoo'!G2202="","",'Ordenes_Odoo'!G2202)</f>
        <v/>
      </c>
      <c r="H2202" s="79">
        <f>IF('Ordenes_Odoo'!H2202="","",'Ordenes_Odoo'!H2202)</f>
        <v/>
      </c>
      <c r="I2202" s="79">
        <f>IF('Ordenes_Odoo'!I2202="","",'Ordenes_Odoo'!I2202)</f>
        <v/>
      </c>
      <c r="J2202" s="79">
        <f>IF('Ordenes_Odoo'!J2202="","",'Ordenes_Odoo'!J2202)</f>
        <v/>
      </c>
      <c r="K2202" s="81">
        <f>IF('Ordenes_Odoo'!K2202="","",'Ordenes_Odoo'!K2202)</f>
        <v/>
      </c>
      <c r="L2202" s="81">
        <f>IF('Ordenes_Odoo'!L2202="","",'Ordenes_Odoo'!L2202)</f>
        <v/>
      </c>
      <c r="M2202" s="79">
        <f>IF('Ordenes_Odoo'!M2202="","",'Ordenes_Odoo'!M2202)</f>
        <v/>
      </c>
      <c r="N2202" s="79">
        <f>IF('Ordenes_Odoo'!N2202="","",'Ordenes_Odoo'!N2202)</f>
        <v/>
      </c>
      <c r="O2202" s="81">
        <f>IF('Ordenes_Odoo'!O2202="","",'Ordenes_Odoo'!O2202)</f>
        <v/>
      </c>
      <c r="P2202" s="81">
        <f>IF('Ordenes_Odoo'!P2202="","",'Ordenes_Odoo'!P2202)</f>
        <v/>
      </c>
      <c r="Q2202" s="79">
        <f>IF(A2202="","",IFERROR(INDEX(Facturas_Odoo!$B:$B, MATCH(A2202, Facturas_Odoo!$D:$D, 0)), "Sin Factura"))</f>
        <v/>
      </c>
      <c r="R2202" s="80">
        <f>IF(Q2202="Sin Factura","",IFERROR(INDEX(Facturas_Odoo!$A:$A, MATCH(Q2202, Facturas_Odoo!$B:$B, 0)), ""))</f>
        <v/>
      </c>
      <c r="S2202" s="79">
        <f>IF(Q2202="Sin Factura","",IFERROR(_xlfn.XLOOKUP(1, (Facturas_Odoo!$D:$D=A2202) * (Facturas_Odoo!$K:$K=I2202), Facturas_Odoo!$L:$L, ""), ""))</f>
        <v/>
      </c>
      <c r="T2202" s="81">
        <f>IF(Q2202="Sin Factura",0,IFERROR(_xlfn.XLOOKUP(1, (Facturas_Odoo!$D:$D=A2202) * (Facturas_Odoo!$K:$K=I2202), Facturas_Odoo!$M:$M, 0), 0))</f>
        <v/>
      </c>
      <c r="U2202" s="79">
        <f>IF(Q2202="Sin Factura",0,IFERROR(_xlfn.XLOOKUP(1, (Facturas_Odoo!$D:$D=A2202) * (Facturas_Odoo!$K:$K=I2202), Facturas_Odoo!$N:$N, 0), 0))</f>
        <v/>
      </c>
      <c r="V2202" s="79">
        <f>IF(Q2202="Sin Factura",0,IFERROR(_xlfn.XLOOKUP(1, (Facturas_Odoo!$D:$D=A2202) * (Facturas_Odoo!$K:$K=I2202), Facturas_Odoo!$O:$O, 0), 0))</f>
        <v/>
      </c>
      <c r="W2202" s="81">
        <f>IF(Q2202="Sin Factura",0,IFERROR(_xlfn.XLOOKUP(1, (Facturas_Odoo!$D:$D=A2202) * (Facturas_Odoo!$K:$K=I2202), Facturas_Odoo!$Q:$Q, 0), 0))</f>
        <v/>
      </c>
      <c r="X2202" s="79">
        <f>IF(OR(Q2202="Sin Factura",Q2202=""),"",IFERROR(INDEX(Pagos_Odoo!$B:$B, MATCH(Q2202, Pagos_Odoo!$I:$I, 0)), "Sin Pago"))</f>
        <v/>
      </c>
      <c r="Y2202" s="79">
        <f>IF(X2202="Sin Pago","",IFERROR(INDEX(Pagos_Odoo!$C:$C, MATCH(X2202, Pagos_Odoo!$B:$B, 0)), ""))</f>
        <v/>
      </c>
      <c r="Z2202" s="80">
        <f>IF(X2202="Sin Pago","",IFERROR(INDEX(Pagos_Odoo!$A:$A, MATCH(X2202, Pagos_Odoo!$B:$B, 0)), ""))</f>
        <v/>
      </c>
      <c r="AA2202" s="79">
        <f>IF(X2202="Sin Pago","",IFERROR(INDEX(Pagos_Odoo!$F:$F, MATCH(X2202, Pagos_Odoo!$B:$B, 0)), ""))</f>
        <v/>
      </c>
      <c r="AB2202" s="81">
        <f>IF(X2202="Sin Pago",0,IFERROR(INDEX(Pagos_Odoo!$E:$E, MATCH(X2202, Pagos_Odoo!$B:$B, 0)), 0))</f>
        <v/>
      </c>
      <c r="AC2202" s="79">
        <f>IF(X2202="Sin Pago","",IFERROR(INDEX(Pagos_Odoo!$G:$G, MATCH(X2202, Pagos_Odoo!$B:$B, 0)), ""))</f>
        <v/>
      </c>
      <c r="AD2202" s="82" t="n">
        <v>0</v>
      </c>
      <c r="AE2202" s="82" t="n"/>
      <c r="AF2202" s="82" t="n"/>
      <c r="AG2202" s="82">
        <f>IF(AN2202="","",AD2202+AE2202+AF2202)</f>
        <v/>
      </c>
      <c r="AH2202" s="81">
        <f>IF(AN2202="","",P2202*(1-AG2202))</f>
        <v/>
      </c>
      <c r="AI2202" s="81">
        <f>IF(AN2202="","",IF(Q2202="Sin Factura",0,IFERROR(INDEX(Facturas_Odoo!$H:$H, MATCH(Q2202, Facturas_Odoo!$B:$B, 0)), 0)*(1-AG2202)))</f>
        <v/>
      </c>
      <c r="AJ2202" s="81">
        <f>IF(AN2202="","",_xlfn.LET(idVenta, AN2202&amp;"",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02" s="81">
        <f>IF(AN2202="","",AH2202-AJ2202)</f>
        <v/>
      </c>
      <c r="AL2202" s="81">
        <f>IF(AN2202="","",IF(Q2202="Sin Factura","",AI2202-AJ2202))</f>
        <v/>
      </c>
      <c r="AM2202" s="81">
        <f>IF(AN2202="","",IF(Q2202="Sin Factura",0,P2202-IFERROR(INDEX(Facturas_Odoo!$H:$H, MATCH(Q2202, Facturas_Odoo!$B:$B, 0)), 0)))</f>
        <v/>
      </c>
      <c r="AN2202" s="79">
        <f>IF(AND(A2202="", J2202=""), "", IF(A2202&lt;&gt;"", VALUE(MID(A2202,2,LEN(A2202))), AN2201))</f>
        <v/>
      </c>
      <c r="AO2202" s="79">
        <f>IF(AN2202="","",IF(AD2202=0,"OK",_xlfn.LET(monedaPago, IF(AA2202="","USD",AA2202), limitePermitido, IFERROR(VLOOKUP(monedaPago, Configuración!$A$2:$B$3, 2, FALSE), 0.15), IF(AD2202&gt;limitePermitido, "ALERTA: EXCESO (" &amp; TEXT(limitePermitido, "0%") &amp; " máx)", "OK"))))</f>
        <v/>
      </c>
      <c r="AP2202" s="79">
        <f>IF(AN2202="","",IF(AE2202=0,"OK",_xlfn.LET(fechaPago, Z2202, fechaFactura, R2202, diasCredito, IF(E2202="Pago inmediato", 0, IFERROR(VALUE(MID(E2202, 1, SEARCH(" ", E2202)-1)),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02" s="79">
        <f>IF(AN2202="","",IF(AND(N2202&gt;0, AG2202&gt;0), IF(Configuración!$K$2="NO", "ALERTA: DESCUENTO DOBLE NO PERMITIDO", "OK"), "OK"))</f>
        <v/>
      </c>
      <c r="AR2202" s="79">
        <f>IF(AN2202="","",IF(OR(AO2202&lt;&gt;"OK", AP2202&lt;&gt;"OK", AQ2202&lt;&gt;"OK"), "⚠️ REVISAR", "OK"))</f>
        <v/>
      </c>
    </row>
    <row r="2203">
      <c r="A2203" s="79">
        <f>IF('Ordenes_Odoo'!A2203="","",'Ordenes_Odoo'!A2203)</f>
        <v/>
      </c>
      <c r="B2203" s="80">
        <f>IF('Ordenes_Odoo'!B2203="","",'Ordenes_Odoo'!B2203)</f>
        <v/>
      </c>
      <c r="C2203" s="79">
        <f>IF('Ordenes_Odoo'!C2203="","",'Ordenes_Odoo'!C2203)</f>
        <v/>
      </c>
      <c r="D2203" s="79">
        <f>IF('Ordenes_Odoo'!D2203="","",'Ordenes_Odoo'!D2203)</f>
        <v/>
      </c>
      <c r="E2203" s="79">
        <f>IF('Ordenes_Odoo'!E2203="","",'Ordenes_Odoo'!E2203)</f>
        <v/>
      </c>
      <c r="F2203" s="79">
        <f>IF('Ordenes_Odoo'!F2203="","",'Ordenes_Odoo'!F2203)</f>
        <v/>
      </c>
      <c r="G2203" s="79">
        <f>IF('Ordenes_Odoo'!G2203="","",'Ordenes_Odoo'!G2203)</f>
        <v/>
      </c>
      <c r="H2203" s="79">
        <f>IF('Ordenes_Odoo'!H2203="","",'Ordenes_Odoo'!H2203)</f>
        <v/>
      </c>
      <c r="I2203" s="79">
        <f>IF('Ordenes_Odoo'!I2203="","",'Ordenes_Odoo'!I2203)</f>
        <v/>
      </c>
      <c r="J2203" s="79">
        <f>IF('Ordenes_Odoo'!J2203="","",'Ordenes_Odoo'!J2203)</f>
        <v/>
      </c>
      <c r="K2203" s="81">
        <f>IF('Ordenes_Odoo'!K2203="","",'Ordenes_Odoo'!K2203)</f>
        <v/>
      </c>
      <c r="L2203" s="81">
        <f>IF('Ordenes_Odoo'!L2203="","",'Ordenes_Odoo'!L2203)</f>
        <v/>
      </c>
      <c r="M2203" s="79">
        <f>IF('Ordenes_Odoo'!M2203="","",'Ordenes_Odoo'!M2203)</f>
        <v/>
      </c>
      <c r="N2203" s="79">
        <f>IF('Ordenes_Odoo'!N2203="","",'Ordenes_Odoo'!N2203)</f>
        <v/>
      </c>
      <c r="O2203" s="81">
        <f>IF('Ordenes_Odoo'!O2203="","",'Ordenes_Odoo'!O2203)</f>
        <v/>
      </c>
      <c r="P2203" s="81">
        <f>IF('Ordenes_Odoo'!P2203="","",'Ordenes_Odoo'!P2203)</f>
        <v/>
      </c>
      <c r="Q2203" s="79">
        <f>IF(A2203="","",IFERROR(INDEX(Facturas_Odoo!$B:$B, MATCH(A2203, Facturas_Odoo!$D:$D, 0)), "Sin Factura"))</f>
        <v/>
      </c>
      <c r="R2203" s="80">
        <f>IF(Q2203="Sin Factura","",IFERROR(INDEX(Facturas_Odoo!$A:$A, MATCH(Q2203, Facturas_Odoo!$B:$B, 0)), ""))</f>
        <v/>
      </c>
      <c r="S2203" s="79">
        <f>IF(Q2203="Sin Factura","",IFERROR(_xlfn.XLOOKUP(1, (Facturas_Odoo!$D:$D=A2203) * (Facturas_Odoo!$K:$K=I2203), Facturas_Odoo!$L:$L, ""), ""))</f>
        <v/>
      </c>
      <c r="T2203" s="81">
        <f>IF(Q2203="Sin Factura",0,IFERROR(_xlfn.XLOOKUP(1, (Facturas_Odoo!$D:$D=A2203) * (Facturas_Odoo!$K:$K=I2203), Facturas_Odoo!$M:$M, 0), 0))</f>
        <v/>
      </c>
      <c r="U2203" s="79">
        <f>IF(Q2203="Sin Factura",0,IFERROR(_xlfn.XLOOKUP(1, (Facturas_Odoo!$D:$D=A2203) * (Facturas_Odoo!$K:$K=I2203), Facturas_Odoo!$N:$N, 0), 0))</f>
        <v/>
      </c>
      <c r="V2203" s="79">
        <f>IF(Q2203="Sin Factura",0,IFERROR(_xlfn.XLOOKUP(1, (Facturas_Odoo!$D:$D=A2203) * (Facturas_Odoo!$K:$K=I2203), Facturas_Odoo!$O:$O, 0), 0))</f>
        <v/>
      </c>
      <c r="W2203" s="81">
        <f>IF(Q2203="Sin Factura",0,IFERROR(_xlfn.XLOOKUP(1, (Facturas_Odoo!$D:$D=A2203) * (Facturas_Odoo!$K:$K=I2203), Facturas_Odoo!$Q:$Q, 0), 0))</f>
        <v/>
      </c>
      <c r="X2203" s="79">
        <f>IF(OR(Q2203="Sin Factura",Q2203=""),"",IFERROR(INDEX(Pagos_Odoo!$B:$B, MATCH(Q2203, Pagos_Odoo!$I:$I, 0)), "Sin Pago"))</f>
        <v/>
      </c>
      <c r="Y2203" s="79">
        <f>IF(X2203="Sin Pago","",IFERROR(INDEX(Pagos_Odoo!$C:$C, MATCH(X2203, Pagos_Odoo!$B:$B, 0)), ""))</f>
        <v/>
      </c>
      <c r="Z2203" s="80">
        <f>IF(X2203="Sin Pago","",IFERROR(INDEX(Pagos_Odoo!$A:$A, MATCH(X2203, Pagos_Odoo!$B:$B, 0)), ""))</f>
        <v/>
      </c>
      <c r="AA2203" s="79">
        <f>IF(X2203="Sin Pago","",IFERROR(INDEX(Pagos_Odoo!$F:$F, MATCH(X2203, Pagos_Odoo!$B:$B, 0)), ""))</f>
        <v/>
      </c>
      <c r="AB2203" s="81">
        <f>IF(X2203="Sin Pago",0,IFERROR(INDEX(Pagos_Odoo!$E:$E, MATCH(X2203, Pagos_Odoo!$B:$B, 0)), 0))</f>
        <v/>
      </c>
      <c r="AC2203" s="79">
        <f>IF(X2203="Sin Pago","",IFERROR(INDEX(Pagos_Odoo!$G:$G, MATCH(X2203, Pagos_Odoo!$B:$B, 0)), ""))</f>
        <v/>
      </c>
      <c r="AD2203" s="82" t="n">
        <v>0</v>
      </c>
      <c r="AE2203" s="82" t="n"/>
      <c r="AF2203" s="82" t="n"/>
      <c r="AG2203" s="82">
        <f>IF(AN2203="","",AD2203+AE2203+AF2203)</f>
        <v/>
      </c>
      <c r="AH2203" s="81">
        <f>IF(AN2203="","",P2203*(1-AG2203))</f>
        <v/>
      </c>
      <c r="AI2203" s="81">
        <f>IF(AN2203="","",IF(Q2203="Sin Factura",0,IFERROR(INDEX(Facturas_Odoo!$H:$H, MATCH(Q2203, Facturas_Odoo!$B:$B, 0)), 0)*(1-AG2203)))</f>
        <v/>
      </c>
      <c r="AJ2203" s="81">
        <f>IF(AN2203="","",_xlfn.LET(idVenta, AN2203&amp;"",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03" s="81">
        <f>IF(AN2203="","",AH2203-AJ2203)</f>
        <v/>
      </c>
      <c r="AL2203" s="81">
        <f>IF(AN2203="","",IF(Q2203="Sin Factura","",AI2203-AJ2203))</f>
        <v/>
      </c>
      <c r="AM2203" s="81">
        <f>IF(AN2203="","",IF(Q2203="Sin Factura",0,P2203-IFERROR(INDEX(Facturas_Odoo!$H:$H, MATCH(Q2203, Facturas_Odoo!$B:$B, 0)), 0)))</f>
        <v/>
      </c>
      <c r="AN2203" s="79">
        <f>IF(AND(A2203="", J2203=""), "", IF(A2203&lt;&gt;"", VALUE(MID(A2203,2,LEN(A2203))), AN2202))</f>
        <v/>
      </c>
      <c r="AO2203" s="79">
        <f>IF(AN2203="","",IF(AD2203=0,"OK",_xlfn.LET(monedaPago, IF(AA2203="","USD",AA2203), limitePermitido, IFERROR(VLOOKUP(monedaPago, Configuración!$A$2:$B$3, 2, FALSE), 0.15), IF(AD2203&gt;limitePermitido, "ALERTA: EXCESO (" &amp; TEXT(limitePermitido, "0%") &amp; " máx)", "OK"))))</f>
        <v/>
      </c>
      <c r="AP2203" s="79">
        <f>IF(AN2203="","",IF(AE2203=0,"OK",_xlfn.LET(fechaPago, Z2203, fechaFactura, R2203, diasCredito, IF(E2203="Pago inmediato", 0, IFERROR(VALUE(MID(E2203, 1, SEARCH(" ", E2203)-1)),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03" s="79">
        <f>IF(AN2203="","",IF(AND(N2203&gt;0, AG2203&gt;0), IF(Configuración!$K$2="NO", "ALERTA: DESCUENTO DOBLE NO PERMITIDO", "OK"), "OK"))</f>
        <v/>
      </c>
      <c r="AR2203" s="79">
        <f>IF(AN2203="","",IF(OR(AO2203&lt;&gt;"OK", AP2203&lt;&gt;"OK", AQ2203&lt;&gt;"OK"), "⚠️ REVISAR", "OK"))</f>
        <v/>
      </c>
    </row>
    <row r="2204">
      <c r="A2204" s="79">
        <f>IF('Ordenes_Odoo'!A2204="","",'Ordenes_Odoo'!A2204)</f>
        <v/>
      </c>
      <c r="B2204" s="80">
        <f>IF('Ordenes_Odoo'!B2204="","",'Ordenes_Odoo'!B2204)</f>
        <v/>
      </c>
      <c r="C2204" s="79">
        <f>IF('Ordenes_Odoo'!C2204="","",'Ordenes_Odoo'!C2204)</f>
        <v/>
      </c>
      <c r="D2204" s="79">
        <f>IF('Ordenes_Odoo'!D2204="","",'Ordenes_Odoo'!D2204)</f>
        <v/>
      </c>
      <c r="E2204" s="79">
        <f>IF('Ordenes_Odoo'!E2204="","",'Ordenes_Odoo'!E2204)</f>
        <v/>
      </c>
      <c r="F2204" s="79">
        <f>IF('Ordenes_Odoo'!F2204="","",'Ordenes_Odoo'!F2204)</f>
        <v/>
      </c>
      <c r="G2204" s="79">
        <f>IF('Ordenes_Odoo'!G2204="","",'Ordenes_Odoo'!G2204)</f>
        <v/>
      </c>
      <c r="H2204" s="79">
        <f>IF('Ordenes_Odoo'!H2204="","",'Ordenes_Odoo'!H2204)</f>
        <v/>
      </c>
      <c r="I2204" s="79">
        <f>IF('Ordenes_Odoo'!I2204="","",'Ordenes_Odoo'!I2204)</f>
        <v/>
      </c>
      <c r="J2204" s="79">
        <f>IF('Ordenes_Odoo'!J2204="","",'Ordenes_Odoo'!J2204)</f>
        <v/>
      </c>
      <c r="K2204" s="81">
        <f>IF('Ordenes_Odoo'!K2204="","",'Ordenes_Odoo'!K2204)</f>
        <v/>
      </c>
      <c r="L2204" s="81">
        <f>IF('Ordenes_Odoo'!L2204="","",'Ordenes_Odoo'!L2204)</f>
        <v/>
      </c>
      <c r="M2204" s="79">
        <f>IF('Ordenes_Odoo'!M2204="","",'Ordenes_Odoo'!M2204)</f>
        <v/>
      </c>
      <c r="N2204" s="79">
        <f>IF('Ordenes_Odoo'!N2204="","",'Ordenes_Odoo'!N2204)</f>
        <v/>
      </c>
      <c r="O2204" s="81">
        <f>IF('Ordenes_Odoo'!O2204="","",'Ordenes_Odoo'!O2204)</f>
        <v/>
      </c>
      <c r="P2204" s="81">
        <f>IF('Ordenes_Odoo'!P2204="","",'Ordenes_Odoo'!P2204)</f>
        <v/>
      </c>
      <c r="Q2204" s="79">
        <f>IF(A2204="","",IFERROR(INDEX(Facturas_Odoo!$B:$B, MATCH(A2204, Facturas_Odoo!$D:$D, 0)), "Sin Factura"))</f>
        <v/>
      </c>
      <c r="R2204" s="80">
        <f>IF(Q2204="Sin Factura","",IFERROR(INDEX(Facturas_Odoo!$A:$A, MATCH(Q2204, Facturas_Odoo!$B:$B, 0)), ""))</f>
        <v/>
      </c>
      <c r="S2204" s="79">
        <f>IF(Q2204="Sin Factura","",IFERROR(_xlfn.XLOOKUP(1, (Facturas_Odoo!$D:$D=A2204) * (Facturas_Odoo!$K:$K=I2204), Facturas_Odoo!$L:$L, ""), ""))</f>
        <v/>
      </c>
      <c r="T2204" s="81">
        <f>IF(Q2204="Sin Factura",0,IFERROR(_xlfn.XLOOKUP(1, (Facturas_Odoo!$D:$D=A2204) * (Facturas_Odoo!$K:$K=I2204), Facturas_Odoo!$M:$M, 0), 0))</f>
        <v/>
      </c>
      <c r="U2204" s="79">
        <f>IF(Q2204="Sin Factura",0,IFERROR(_xlfn.XLOOKUP(1, (Facturas_Odoo!$D:$D=A2204) * (Facturas_Odoo!$K:$K=I2204), Facturas_Odoo!$N:$N, 0), 0))</f>
        <v/>
      </c>
      <c r="V2204" s="79">
        <f>IF(Q2204="Sin Factura",0,IFERROR(_xlfn.XLOOKUP(1, (Facturas_Odoo!$D:$D=A2204) * (Facturas_Odoo!$K:$K=I2204), Facturas_Odoo!$O:$O, 0), 0))</f>
        <v/>
      </c>
      <c r="W2204" s="81">
        <f>IF(Q2204="Sin Factura",0,IFERROR(_xlfn.XLOOKUP(1, (Facturas_Odoo!$D:$D=A2204) * (Facturas_Odoo!$K:$K=I2204), Facturas_Odoo!$Q:$Q, 0), 0))</f>
        <v/>
      </c>
      <c r="X2204" s="79">
        <f>IF(OR(Q2204="Sin Factura",Q2204=""),"",IFERROR(INDEX(Pagos_Odoo!$B:$B, MATCH(Q2204, Pagos_Odoo!$I:$I, 0)), "Sin Pago"))</f>
        <v/>
      </c>
      <c r="Y2204" s="79">
        <f>IF(X2204="Sin Pago","",IFERROR(INDEX(Pagos_Odoo!$C:$C, MATCH(X2204, Pagos_Odoo!$B:$B, 0)), ""))</f>
        <v/>
      </c>
      <c r="Z2204" s="80">
        <f>IF(X2204="Sin Pago","",IFERROR(INDEX(Pagos_Odoo!$A:$A, MATCH(X2204, Pagos_Odoo!$B:$B, 0)), ""))</f>
        <v/>
      </c>
      <c r="AA2204" s="79">
        <f>IF(X2204="Sin Pago","",IFERROR(INDEX(Pagos_Odoo!$F:$F, MATCH(X2204, Pagos_Odoo!$B:$B, 0)), ""))</f>
        <v/>
      </c>
      <c r="AB2204" s="81">
        <f>IF(X2204="Sin Pago",0,IFERROR(INDEX(Pagos_Odoo!$E:$E, MATCH(X2204, Pagos_Odoo!$B:$B, 0)), 0))</f>
        <v/>
      </c>
      <c r="AC2204" s="79">
        <f>IF(X2204="Sin Pago","",IFERROR(INDEX(Pagos_Odoo!$G:$G, MATCH(X2204, Pagos_Odoo!$B:$B, 0)), ""))</f>
        <v/>
      </c>
      <c r="AD2204" s="82" t="n">
        <v>0</v>
      </c>
      <c r="AE2204" s="82" t="n"/>
      <c r="AF2204" s="82" t="n"/>
      <c r="AG2204" s="82">
        <f>IF(AN2204="","",AD2204+AE2204+AF2204)</f>
        <v/>
      </c>
      <c r="AH2204" s="81">
        <f>IF(AN2204="","",P2204*(1-AG2204))</f>
        <v/>
      </c>
      <c r="AI2204" s="81">
        <f>IF(AN2204="","",IF(Q2204="Sin Factura",0,IFERROR(INDEX(Facturas_Odoo!$H:$H, MATCH(Q2204, Facturas_Odoo!$B:$B, 0)), 0)*(1-AG2204)))</f>
        <v/>
      </c>
      <c r="AJ2204" s="81">
        <f>IF(AN2204="","",_xlfn.LET(idVenta, AN2204&amp;"",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04" s="81">
        <f>IF(AN2204="","",AH2204-AJ2204)</f>
        <v/>
      </c>
      <c r="AL2204" s="81">
        <f>IF(AN2204="","",IF(Q2204="Sin Factura","",AI2204-AJ2204))</f>
        <v/>
      </c>
      <c r="AM2204" s="81">
        <f>IF(AN2204="","",IF(Q2204="Sin Factura",0,P2204-IFERROR(INDEX(Facturas_Odoo!$H:$H, MATCH(Q2204, Facturas_Odoo!$B:$B, 0)), 0)))</f>
        <v/>
      </c>
      <c r="AN2204" s="79">
        <f>IF(AND(A2204="", J2204=""), "", IF(A2204&lt;&gt;"", VALUE(MID(A2204,2,LEN(A2204))), AN2203))</f>
        <v/>
      </c>
      <c r="AO2204" s="79">
        <f>IF(AN2204="","",IF(AD2204=0,"OK",_xlfn.LET(monedaPago, IF(AA2204="","USD",AA2204), limitePermitido, IFERROR(VLOOKUP(monedaPago, Configuración!$A$2:$B$3, 2, FALSE), 0.15), IF(AD2204&gt;limitePermitido, "ALERTA: EXCESO (" &amp; TEXT(limitePermitido, "0%") &amp; " máx)", "OK"))))</f>
        <v/>
      </c>
      <c r="AP2204" s="79">
        <f>IF(AN2204="","",IF(AE2204=0,"OK",_xlfn.LET(fechaPago, Z2204, fechaFactura, R2204, diasCredito, IF(E2204="Pago inmediato", 0, IFERROR(VALUE(MID(E2204, 1, SEARCH(" ", E2204)-1)),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04" s="79">
        <f>IF(AN2204="","",IF(AND(N2204&gt;0, AG2204&gt;0), IF(Configuración!$K$2="NO", "ALERTA: DESCUENTO DOBLE NO PERMITIDO", "OK"), "OK"))</f>
        <v/>
      </c>
      <c r="AR2204" s="79">
        <f>IF(AN2204="","",IF(OR(AO2204&lt;&gt;"OK", AP2204&lt;&gt;"OK", AQ2204&lt;&gt;"OK"), "⚠️ REVISAR", "OK"))</f>
        <v/>
      </c>
    </row>
    <row r="2205">
      <c r="A2205" s="79">
        <f>IF('Ordenes_Odoo'!A2205="","",'Ordenes_Odoo'!A2205)</f>
        <v/>
      </c>
      <c r="B2205" s="80">
        <f>IF('Ordenes_Odoo'!B2205="","",'Ordenes_Odoo'!B2205)</f>
        <v/>
      </c>
      <c r="C2205" s="79">
        <f>IF('Ordenes_Odoo'!C2205="","",'Ordenes_Odoo'!C2205)</f>
        <v/>
      </c>
      <c r="D2205" s="79">
        <f>IF('Ordenes_Odoo'!D2205="","",'Ordenes_Odoo'!D2205)</f>
        <v/>
      </c>
      <c r="E2205" s="79">
        <f>IF('Ordenes_Odoo'!E2205="","",'Ordenes_Odoo'!E2205)</f>
        <v/>
      </c>
      <c r="F2205" s="79">
        <f>IF('Ordenes_Odoo'!F2205="","",'Ordenes_Odoo'!F2205)</f>
        <v/>
      </c>
      <c r="G2205" s="79">
        <f>IF('Ordenes_Odoo'!G2205="","",'Ordenes_Odoo'!G2205)</f>
        <v/>
      </c>
      <c r="H2205" s="79">
        <f>IF('Ordenes_Odoo'!H2205="","",'Ordenes_Odoo'!H2205)</f>
        <v/>
      </c>
      <c r="I2205" s="79">
        <f>IF('Ordenes_Odoo'!I2205="","",'Ordenes_Odoo'!I2205)</f>
        <v/>
      </c>
      <c r="J2205" s="79">
        <f>IF('Ordenes_Odoo'!J2205="","",'Ordenes_Odoo'!J2205)</f>
        <v/>
      </c>
      <c r="K2205" s="81">
        <f>IF('Ordenes_Odoo'!K2205="","",'Ordenes_Odoo'!K2205)</f>
        <v/>
      </c>
      <c r="L2205" s="81">
        <f>IF('Ordenes_Odoo'!L2205="","",'Ordenes_Odoo'!L2205)</f>
        <v/>
      </c>
      <c r="M2205" s="79">
        <f>IF('Ordenes_Odoo'!M2205="","",'Ordenes_Odoo'!M2205)</f>
        <v/>
      </c>
      <c r="N2205" s="79">
        <f>IF('Ordenes_Odoo'!N2205="","",'Ordenes_Odoo'!N2205)</f>
        <v/>
      </c>
      <c r="O2205" s="81">
        <f>IF('Ordenes_Odoo'!O2205="","",'Ordenes_Odoo'!O2205)</f>
        <v/>
      </c>
      <c r="P2205" s="81">
        <f>IF('Ordenes_Odoo'!P2205="","",'Ordenes_Odoo'!P2205)</f>
        <v/>
      </c>
      <c r="Q2205" s="79">
        <f>IF(A2205="","",IFERROR(INDEX(Facturas_Odoo!$B:$B, MATCH(A2205, Facturas_Odoo!$D:$D, 0)), "Sin Factura"))</f>
        <v/>
      </c>
      <c r="R2205" s="80">
        <f>IF(Q2205="Sin Factura","",IFERROR(INDEX(Facturas_Odoo!$A:$A, MATCH(Q2205, Facturas_Odoo!$B:$B, 0)), ""))</f>
        <v/>
      </c>
      <c r="S2205" s="79">
        <f>IF(Q2205="Sin Factura","",IFERROR(_xlfn.XLOOKUP(1, (Facturas_Odoo!$D:$D=A2205) * (Facturas_Odoo!$K:$K=I2205), Facturas_Odoo!$L:$L, ""), ""))</f>
        <v/>
      </c>
      <c r="T2205" s="81">
        <f>IF(Q2205="Sin Factura",0,IFERROR(_xlfn.XLOOKUP(1, (Facturas_Odoo!$D:$D=A2205) * (Facturas_Odoo!$K:$K=I2205), Facturas_Odoo!$M:$M, 0), 0))</f>
        <v/>
      </c>
      <c r="U2205" s="79">
        <f>IF(Q2205="Sin Factura",0,IFERROR(_xlfn.XLOOKUP(1, (Facturas_Odoo!$D:$D=A2205) * (Facturas_Odoo!$K:$K=I2205), Facturas_Odoo!$N:$N, 0), 0))</f>
        <v/>
      </c>
      <c r="V2205" s="79">
        <f>IF(Q2205="Sin Factura",0,IFERROR(_xlfn.XLOOKUP(1, (Facturas_Odoo!$D:$D=A2205) * (Facturas_Odoo!$K:$K=I2205), Facturas_Odoo!$O:$O, 0), 0))</f>
        <v/>
      </c>
      <c r="W2205" s="81">
        <f>IF(Q2205="Sin Factura",0,IFERROR(_xlfn.XLOOKUP(1, (Facturas_Odoo!$D:$D=A2205) * (Facturas_Odoo!$K:$K=I2205), Facturas_Odoo!$Q:$Q, 0), 0))</f>
        <v/>
      </c>
      <c r="X2205" s="79">
        <f>IF(OR(Q2205="Sin Factura",Q2205=""),"",IFERROR(INDEX(Pagos_Odoo!$B:$B, MATCH(Q2205, Pagos_Odoo!$I:$I, 0)), "Sin Pago"))</f>
        <v/>
      </c>
      <c r="Y2205" s="79">
        <f>IF(X2205="Sin Pago","",IFERROR(INDEX(Pagos_Odoo!$C:$C, MATCH(X2205, Pagos_Odoo!$B:$B, 0)), ""))</f>
        <v/>
      </c>
      <c r="Z2205" s="80">
        <f>IF(X2205="Sin Pago","",IFERROR(INDEX(Pagos_Odoo!$A:$A, MATCH(X2205, Pagos_Odoo!$B:$B, 0)), ""))</f>
        <v/>
      </c>
      <c r="AA2205" s="79">
        <f>IF(X2205="Sin Pago","",IFERROR(INDEX(Pagos_Odoo!$F:$F, MATCH(X2205, Pagos_Odoo!$B:$B, 0)), ""))</f>
        <v/>
      </c>
      <c r="AB2205" s="81">
        <f>IF(X2205="Sin Pago",0,IFERROR(INDEX(Pagos_Odoo!$E:$E, MATCH(X2205, Pagos_Odoo!$B:$B, 0)), 0))</f>
        <v/>
      </c>
      <c r="AC2205" s="79">
        <f>IF(X2205="Sin Pago","",IFERROR(INDEX(Pagos_Odoo!$G:$G, MATCH(X2205, Pagos_Odoo!$B:$B, 0)), ""))</f>
        <v/>
      </c>
      <c r="AD2205" s="82" t="n">
        <v>0</v>
      </c>
      <c r="AE2205" s="82" t="n"/>
      <c r="AF2205" s="82" t="n"/>
      <c r="AG2205" s="82">
        <f>IF(AN2205="","",AD2205+AE2205+AF2205)</f>
        <v/>
      </c>
      <c r="AH2205" s="81">
        <f>IF(AN2205="","",P2205*(1-AG2205))</f>
        <v/>
      </c>
      <c r="AI2205" s="81">
        <f>IF(AN2205="","",IF(Q2205="Sin Factura",0,IFERROR(INDEX(Facturas_Odoo!$H:$H, MATCH(Q2205, Facturas_Odoo!$B:$B, 0)), 0)*(1-AG2205)))</f>
        <v/>
      </c>
      <c r="AJ2205" s="81">
        <f>IF(AN2205="","",_xlfn.LET(idVenta, AN2205&amp;"",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05" s="81">
        <f>IF(AN2205="","",AH2205-AJ2205)</f>
        <v/>
      </c>
      <c r="AL2205" s="81">
        <f>IF(AN2205="","",IF(Q2205="Sin Factura","",AI2205-AJ2205))</f>
        <v/>
      </c>
      <c r="AM2205" s="81">
        <f>IF(AN2205="","",IF(Q2205="Sin Factura",0,P2205-IFERROR(INDEX(Facturas_Odoo!$H:$H, MATCH(Q2205, Facturas_Odoo!$B:$B, 0)), 0)))</f>
        <v/>
      </c>
      <c r="AN2205" s="79">
        <f>IF(AND(A2205="", J2205=""), "", IF(A2205&lt;&gt;"", VALUE(MID(A2205,2,LEN(A2205))), AN2204))</f>
        <v/>
      </c>
      <c r="AO2205" s="79">
        <f>IF(AN2205="","",IF(AD2205=0,"OK",_xlfn.LET(monedaPago, IF(AA2205="","USD",AA2205), limitePermitido, IFERROR(VLOOKUP(monedaPago, Configuración!$A$2:$B$3, 2, FALSE), 0.15), IF(AD2205&gt;limitePermitido, "ALERTA: EXCESO (" &amp; TEXT(limitePermitido, "0%") &amp; " máx)", "OK"))))</f>
        <v/>
      </c>
      <c r="AP2205" s="79">
        <f>IF(AN2205="","",IF(AE2205=0,"OK",_xlfn.LET(fechaPago, Z2205, fechaFactura, R2205, diasCredito, IF(E2205="Pago inmediato", 0, IFERROR(VALUE(MID(E2205, 1, SEARCH(" ", E2205)-1)),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05" s="79">
        <f>IF(AN2205="","",IF(AND(N2205&gt;0, AG2205&gt;0), IF(Configuración!$K$2="NO", "ALERTA: DESCUENTO DOBLE NO PERMITIDO", "OK"), "OK"))</f>
        <v/>
      </c>
      <c r="AR2205" s="79">
        <f>IF(AN2205="","",IF(OR(AO2205&lt;&gt;"OK", AP2205&lt;&gt;"OK", AQ2205&lt;&gt;"OK"), "⚠️ REVISAR", "OK"))</f>
        <v/>
      </c>
    </row>
    <row r="2206">
      <c r="A2206" s="79">
        <f>IF('Ordenes_Odoo'!A2206="","",'Ordenes_Odoo'!A2206)</f>
        <v/>
      </c>
      <c r="B2206" s="80">
        <f>IF('Ordenes_Odoo'!B2206="","",'Ordenes_Odoo'!B2206)</f>
        <v/>
      </c>
      <c r="C2206" s="79">
        <f>IF('Ordenes_Odoo'!C2206="","",'Ordenes_Odoo'!C2206)</f>
        <v/>
      </c>
      <c r="D2206" s="79">
        <f>IF('Ordenes_Odoo'!D2206="","",'Ordenes_Odoo'!D2206)</f>
        <v/>
      </c>
      <c r="E2206" s="79">
        <f>IF('Ordenes_Odoo'!E2206="","",'Ordenes_Odoo'!E2206)</f>
        <v/>
      </c>
      <c r="F2206" s="79">
        <f>IF('Ordenes_Odoo'!F2206="","",'Ordenes_Odoo'!F2206)</f>
        <v/>
      </c>
      <c r="G2206" s="79">
        <f>IF('Ordenes_Odoo'!G2206="","",'Ordenes_Odoo'!G2206)</f>
        <v/>
      </c>
      <c r="H2206" s="79">
        <f>IF('Ordenes_Odoo'!H2206="","",'Ordenes_Odoo'!H2206)</f>
        <v/>
      </c>
      <c r="I2206" s="79">
        <f>IF('Ordenes_Odoo'!I2206="","",'Ordenes_Odoo'!I2206)</f>
        <v/>
      </c>
      <c r="J2206" s="79">
        <f>IF('Ordenes_Odoo'!J2206="","",'Ordenes_Odoo'!J2206)</f>
        <v/>
      </c>
      <c r="K2206" s="81">
        <f>IF('Ordenes_Odoo'!K2206="","",'Ordenes_Odoo'!K2206)</f>
        <v/>
      </c>
      <c r="L2206" s="81">
        <f>IF('Ordenes_Odoo'!L2206="","",'Ordenes_Odoo'!L2206)</f>
        <v/>
      </c>
      <c r="M2206" s="79">
        <f>IF('Ordenes_Odoo'!M2206="","",'Ordenes_Odoo'!M2206)</f>
        <v/>
      </c>
      <c r="N2206" s="79">
        <f>IF('Ordenes_Odoo'!N2206="","",'Ordenes_Odoo'!N2206)</f>
        <v/>
      </c>
      <c r="O2206" s="81">
        <f>IF('Ordenes_Odoo'!O2206="","",'Ordenes_Odoo'!O2206)</f>
        <v/>
      </c>
      <c r="P2206" s="81">
        <f>IF('Ordenes_Odoo'!P2206="","",'Ordenes_Odoo'!P2206)</f>
        <v/>
      </c>
      <c r="Q2206" s="79">
        <f>IF(A2206="","",IFERROR(INDEX(Facturas_Odoo!$B:$B, MATCH(A2206, Facturas_Odoo!$D:$D, 0)), "Sin Factura"))</f>
        <v/>
      </c>
      <c r="R2206" s="80">
        <f>IF(Q2206="Sin Factura","",IFERROR(INDEX(Facturas_Odoo!$A:$A, MATCH(Q2206, Facturas_Odoo!$B:$B, 0)), ""))</f>
        <v/>
      </c>
      <c r="S2206" s="79">
        <f>IF(Q2206="Sin Factura","",IFERROR(_xlfn.XLOOKUP(1, (Facturas_Odoo!$D:$D=A2206) * (Facturas_Odoo!$K:$K=I2206), Facturas_Odoo!$L:$L, ""), ""))</f>
        <v/>
      </c>
      <c r="T2206" s="81">
        <f>IF(Q2206="Sin Factura",0,IFERROR(_xlfn.XLOOKUP(1, (Facturas_Odoo!$D:$D=A2206) * (Facturas_Odoo!$K:$K=I2206), Facturas_Odoo!$M:$M, 0), 0))</f>
        <v/>
      </c>
      <c r="U2206" s="79">
        <f>IF(Q2206="Sin Factura",0,IFERROR(_xlfn.XLOOKUP(1, (Facturas_Odoo!$D:$D=A2206) * (Facturas_Odoo!$K:$K=I2206), Facturas_Odoo!$N:$N, 0), 0))</f>
        <v/>
      </c>
      <c r="V2206" s="79">
        <f>IF(Q2206="Sin Factura",0,IFERROR(_xlfn.XLOOKUP(1, (Facturas_Odoo!$D:$D=A2206) * (Facturas_Odoo!$K:$K=I2206), Facturas_Odoo!$O:$O, 0), 0))</f>
        <v/>
      </c>
      <c r="W2206" s="81">
        <f>IF(Q2206="Sin Factura",0,IFERROR(_xlfn.XLOOKUP(1, (Facturas_Odoo!$D:$D=A2206) * (Facturas_Odoo!$K:$K=I2206), Facturas_Odoo!$Q:$Q, 0), 0))</f>
        <v/>
      </c>
      <c r="X2206" s="79">
        <f>IF(OR(Q2206="Sin Factura",Q2206=""),"",IFERROR(INDEX(Pagos_Odoo!$B:$B, MATCH(Q2206, Pagos_Odoo!$I:$I, 0)), "Sin Pago"))</f>
        <v/>
      </c>
      <c r="Y2206" s="79">
        <f>IF(X2206="Sin Pago","",IFERROR(INDEX(Pagos_Odoo!$C:$C, MATCH(X2206, Pagos_Odoo!$B:$B, 0)), ""))</f>
        <v/>
      </c>
      <c r="Z2206" s="80">
        <f>IF(X2206="Sin Pago","",IFERROR(INDEX(Pagos_Odoo!$A:$A, MATCH(X2206, Pagos_Odoo!$B:$B, 0)), ""))</f>
        <v/>
      </c>
      <c r="AA2206" s="79">
        <f>IF(X2206="Sin Pago","",IFERROR(INDEX(Pagos_Odoo!$F:$F, MATCH(X2206, Pagos_Odoo!$B:$B, 0)), ""))</f>
        <v/>
      </c>
      <c r="AB2206" s="81">
        <f>IF(X2206="Sin Pago",0,IFERROR(INDEX(Pagos_Odoo!$E:$E, MATCH(X2206, Pagos_Odoo!$B:$B, 0)), 0))</f>
        <v/>
      </c>
      <c r="AC2206" s="79">
        <f>IF(X2206="Sin Pago","",IFERROR(INDEX(Pagos_Odoo!$G:$G, MATCH(X2206, Pagos_Odoo!$B:$B, 0)), ""))</f>
        <v/>
      </c>
      <c r="AD2206" s="82" t="n">
        <v>0</v>
      </c>
      <c r="AE2206" s="82" t="n"/>
      <c r="AF2206" s="82" t="n"/>
      <c r="AG2206" s="82">
        <f>IF(AN2206="","",AD2206+AE2206+AF2206)</f>
        <v/>
      </c>
      <c r="AH2206" s="81">
        <f>IF(AN2206="","",P2206*(1-AG2206))</f>
        <v/>
      </c>
      <c r="AI2206" s="81">
        <f>IF(AN2206="","",IF(Q2206="Sin Factura",0,IFERROR(INDEX(Facturas_Odoo!$H:$H, MATCH(Q2206, Facturas_Odoo!$B:$B, 0)), 0)*(1-AG2206)))</f>
        <v/>
      </c>
      <c r="AJ2206" s="81">
        <f>IF(AN2206="","",_xlfn.LET(idVenta, AN2206&amp;"",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06" s="81">
        <f>IF(AN2206="","",AH2206-AJ2206)</f>
        <v/>
      </c>
      <c r="AL2206" s="81">
        <f>IF(AN2206="","",IF(Q2206="Sin Factura","",AI2206-AJ2206))</f>
        <v/>
      </c>
      <c r="AM2206" s="81">
        <f>IF(AN2206="","",IF(Q2206="Sin Factura",0,P2206-IFERROR(INDEX(Facturas_Odoo!$H:$H, MATCH(Q2206, Facturas_Odoo!$B:$B, 0)), 0)))</f>
        <v/>
      </c>
      <c r="AN2206" s="79">
        <f>IF(AND(A2206="", J2206=""), "", IF(A2206&lt;&gt;"", VALUE(MID(A2206,2,LEN(A2206))), AN2205))</f>
        <v/>
      </c>
      <c r="AO2206" s="79">
        <f>IF(AN2206="","",IF(AD2206=0,"OK",_xlfn.LET(monedaPago, IF(AA2206="","USD",AA2206), limitePermitido, IFERROR(VLOOKUP(monedaPago, Configuración!$A$2:$B$3, 2, FALSE), 0.15), IF(AD2206&gt;limitePermitido, "ALERTA: EXCESO (" &amp; TEXT(limitePermitido, "0%") &amp; " máx)", "OK"))))</f>
        <v/>
      </c>
      <c r="AP2206" s="79">
        <f>IF(AN2206="","",IF(AE2206=0,"OK",_xlfn.LET(fechaPago, Z2206, fechaFactura, R2206, diasCredito, IF(E2206="Pago inmediato", 0, IFERROR(VALUE(MID(E2206, 1, SEARCH(" ", E2206)-1)),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06" s="79">
        <f>IF(AN2206="","",IF(AND(N2206&gt;0, AG2206&gt;0), IF(Configuración!$K$2="NO", "ALERTA: DESCUENTO DOBLE NO PERMITIDO", "OK"), "OK"))</f>
        <v/>
      </c>
      <c r="AR2206" s="79">
        <f>IF(AN2206="","",IF(OR(AO2206&lt;&gt;"OK", AP2206&lt;&gt;"OK", AQ2206&lt;&gt;"OK"), "⚠️ REVISAR", "OK"))</f>
        <v/>
      </c>
    </row>
    <row r="2207">
      <c r="A2207" s="79">
        <f>IF('Ordenes_Odoo'!A2207="","",'Ordenes_Odoo'!A2207)</f>
        <v/>
      </c>
      <c r="B2207" s="80">
        <f>IF('Ordenes_Odoo'!B2207="","",'Ordenes_Odoo'!B2207)</f>
        <v/>
      </c>
      <c r="C2207" s="79">
        <f>IF('Ordenes_Odoo'!C2207="","",'Ordenes_Odoo'!C2207)</f>
        <v/>
      </c>
      <c r="D2207" s="79">
        <f>IF('Ordenes_Odoo'!D2207="","",'Ordenes_Odoo'!D2207)</f>
        <v/>
      </c>
      <c r="E2207" s="79">
        <f>IF('Ordenes_Odoo'!E2207="","",'Ordenes_Odoo'!E2207)</f>
        <v/>
      </c>
      <c r="F2207" s="79">
        <f>IF('Ordenes_Odoo'!F2207="","",'Ordenes_Odoo'!F2207)</f>
        <v/>
      </c>
      <c r="G2207" s="79">
        <f>IF('Ordenes_Odoo'!G2207="","",'Ordenes_Odoo'!G2207)</f>
        <v/>
      </c>
      <c r="H2207" s="79">
        <f>IF('Ordenes_Odoo'!H2207="","",'Ordenes_Odoo'!H2207)</f>
        <v/>
      </c>
      <c r="I2207" s="79">
        <f>IF('Ordenes_Odoo'!I2207="","",'Ordenes_Odoo'!I2207)</f>
        <v/>
      </c>
      <c r="J2207" s="79">
        <f>IF('Ordenes_Odoo'!J2207="","",'Ordenes_Odoo'!J2207)</f>
        <v/>
      </c>
      <c r="K2207" s="81">
        <f>IF('Ordenes_Odoo'!K2207="","",'Ordenes_Odoo'!K2207)</f>
        <v/>
      </c>
      <c r="L2207" s="81">
        <f>IF('Ordenes_Odoo'!L2207="","",'Ordenes_Odoo'!L2207)</f>
        <v/>
      </c>
      <c r="M2207" s="79">
        <f>IF('Ordenes_Odoo'!M2207="","",'Ordenes_Odoo'!M2207)</f>
        <v/>
      </c>
      <c r="N2207" s="79">
        <f>IF('Ordenes_Odoo'!N2207="","",'Ordenes_Odoo'!N2207)</f>
        <v/>
      </c>
      <c r="O2207" s="81">
        <f>IF('Ordenes_Odoo'!O2207="","",'Ordenes_Odoo'!O2207)</f>
        <v/>
      </c>
      <c r="P2207" s="81">
        <f>IF('Ordenes_Odoo'!P2207="","",'Ordenes_Odoo'!P2207)</f>
        <v/>
      </c>
      <c r="Q2207" s="79">
        <f>IF(A2207="","",IFERROR(INDEX(Facturas_Odoo!$B:$B, MATCH(A2207, Facturas_Odoo!$D:$D, 0)), "Sin Factura"))</f>
        <v/>
      </c>
      <c r="R2207" s="80">
        <f>IF(Q2207="Sin Factura","",IFERROR(INDEX(Facturas_Odoo!$A:$A, MATCH(Q2207, Facturas_Odoo!$B:$B, 0)), ""))</f>
        <v/>
      </c>
      <c r="S2207" s="79">
        <f>IF(Q2207="Sin Factura","",IFERROR(_xlfn.XLOOKUP(1, (Facturas_Odoo!$D:$D=A2207) * (Facturas_Odoo!$K:$K=I2207), Facturas_Odoo!$L:$L, ""), ""))</f>
        <v/>
      </c>
      <c r="T2207" s="81">
        <f>IF(Q2207="Sin Factura",0,IFERROR(_xlfn.XLOOKUP(1, (Facturas_Odoo!$D:$D=A2207) * (Facturas_Odoo!$K:$K=I2207), Facturas_Odoo!$M:$M, 0), 0))</f>
        <v/>
      </c>
      <c r="U2207" s="79">
        <f>IF(Q2207="Sin Factura",0,IFERROR(_xlfn.XLOOKUP(1, (Facturas_Odoo!$D:$D=A2207) * (Facturas_Odoo!$K:$K=I2207), Facturas_Odoo!$N:$N, 0), 0))</f>
        <v/>
      </c>
      <c r="V2207" s="79">
        <f>IF(Q2207="Sin Factura",0,IFERROR(_xlfn.XLOOKUP(1, (Facturas_Odoo!$D:$D=A2207) * (Facturas_Odoo!$K:$K=I2207), Facturas_Odoo!$O:$O, 0), 0))</f>
        <v/>
      </c>
      <c r="W2207" s="81">
        <f>IF(Q2207="Sin Factura",0,IFERROR(_xlfn.XLOOKUP(1, (Facturas_Odoo!$D:$D=A2207) * (Facturas_Odoo!$K:$K=I2207), Facturas_Odoo!$Q:$Q, 0), 0))</f>
        <v/>
      </c>
      <c r="X2207" s="79">
        <f>IF(OR(Q2207="Sin Factura",Q2207=""),"",IFERROR(INDEX(Pagos_Odoo!$B:$B, MATCH(Q2207, Pagos_Odoo!$I:$I, 0)), "Sin Pago"))</f>
        <v/>
      </c>
      <c r="Y2207" s="79">
        <f>IF(X2207="Sin Pago","",IFERROR(INDEX(Pagos_Odoo!$C:$C, MATCH(X2207, Pagos_Odoo!$B:$B, 0)), ""))</f>
        <v/>
      </c>
      <c r="Z2207" s="80">
        <f>IF(X2207="Sin Pago","",IFERROR(INDEX(Pagos_Odoo!$A:$A, MATCH(X2207, Pagos_Odoo!$B:$B, 0)), ""))</f>
        <v/>
      </c>
      <c r="AA2207" s="79">
        <f>IF(X2207="Sin Pago","",IFERROR(INDEX(Pagos_Odoo!$F:$F, MATCH(X2207, Pagos_Odoo!$B:$B, 0)), ""))</f>
        <v/>
      </c>
      <c r="AB2207" s="81">
        <f>IF(X2207="Sin Pago",0,IFERROR(INDEX(Pagos_Odoo!$E:$E, MATCH(X2207, Pagos_Odoo!$B:$B, 0)), 0))</f>
        <v/>
      </c>
      <c r="AC2207" s="79">
        <f>IF(X2207="Sin Pago","",IFERROR(INDEX(Pagos_Odoo!$G:$G, MATCH(X2207, Pagos_Odoo!$B:$B, 0)), ""))</f>
        <v/>
      </c>
      <c r="AD2207" s="82" t="n">
        <v>0</v>
      </c>
      <c r="AE2207" s="82" t="n"/>
      <c r="AF2207" s="82" t="n"/>
      <c r="AG2207" s="82">
        <f>IF(AN2207="","",AD2207+AE2207+AF2207)</f>
        <v/>
      </c>
      <c r="AH2207" s="81">
        <f>IF(AN2207="","",P2207*(1-AG2207))</f>
        <v/>
      </c>
      <c r="AI2207" s="81">
        <f>IF(AN2207="","",IF(Q2207="Sin Factura",0,IFERROR(INDEX(Facturas_Odoo!$H:$H, MATCH(Q2207, Facturas_Odoo!$B:$B, 0)), 0)*(1-AG2207)))</f>
        <v/>
      </c>
      <c r="AJ2207" s="81">
        <f>IF(AN2207="","",_xlfn.LET(idVenta, AN2207&amp;"",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07" s="81">
        <f>IF(AN2207="","",AH2207-AJ2207)</f>
        <v/>
      </c>
      <c r="AL2207" s="81">
        <f>IF(AN2207="","",IF(Q2207="Sin Factura","",AI2207-AJ2207))</f>
        <v/>
      </c>
      <c r="AM2207" s="81">
        <f>IF(AN2207="","",IF(Q2207="Sin Factura",0,P2207-IFERROR(INDEX(Facturas_Odoo!$H:$H, MATCH(Q2207, Facturas_Odoo!$B:$B, 0)), 0)))</f>
        <v/>
      </c>
      <c r="AN2207" s="79">
        <f>IF(AND(A2207="", J2207=""), "", IF(A2207&lt;&gt;"", VALUE(MID(A2207,2,LEN(A2207))), AN2206))</f>
        <v/>
      </c>
      <c r="AO2207" s="79">
        <f>IF(AN2207="","",IF(AD2207=0,"OK",_xlfn.LET(monedaPago, IF(AA2207="","USD",AA2207), limitePermitido, IFERROR(VLOOKUP(monedaPago, Configuración!$A$2:$B$3, 2, FALSE), 0.15), IF(AD2207&gt;limitePermitido, "ALERTA: EXCESO (" &amp; TEXT(limitePermitido, "0%") &amp; " máx)", "OK"))))</f>
        <v/>
      </c>
      <c r="AP2207" s="79">
        <f>IF(AN2207="","",IF(AE2207=0,"OK",_xlfn.LET(fechaPago, Z2207, fechaFactura, R2207, diasCredito, IF(E2207="Pago inmediato", 0, IFERROR(VALUE(MID(E2207, 1, SEARCH(" ", E2207)-1)),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07" s="79">
        <f>IF(AN2207="","",IF(AND(N2207&gt;0, AG2207&gt;0), IF(Configuración!$K$2="NO", "ALERTA: DESCUENTO DOBLE NO PERMITIDO", "OK"), "OK"))</f>
        <v/>
      </c>
      <c r="AR2207" s="79">
        <f>IF(AN2207="","",IF(OR(AO2207&lt;&gt;"OK", AP2207&lt;&gt;"OK", AQ2207&lt;&gt;"OK"), "⚠️ REVISAR", "OK"))</f>
        <v/>
      </c>
    </row>
    <row r="2208">
      <c r="A2208" s="79">
        <f>IF('Ordenes_Odoo'!A2208="","",'Ordenes_Odoo'!A2208)</f>
        <v/>
      </c>
      <c r="B2208" s="80">
        <f>IF('Ordenes_Odoo'!B2208="","",'Ordenes_Odoo'!B2208)</f>
        <v/>
      </c>
      <c r="C2208" s="79">
        <f>IF('Ordenes_Odoo'!C2208="","",'Ordenes_Odoo'!C2208)</f>
        <v/>
      </c>
      <c r="D2208" s="79">
        <f>IF('Ordenes_Odoo'!D2208="","",'Ordenes_Odoo'!D2208)</f>
        <v/>
      </c>
      <c r="E2208" s="79">
        <f>IF('Ordenes_Odoo'!E2208="","",'Ordenes_Odoo'!E2208)</f>
        <v/>
      </c>
      <c r="F2208" s="79">
        <f>IF('Ordenes_Odoo'!F2208="","",'Ordenes_Odoo'!F2208)</f>
        <v/>
      </c>
      <c r="G2208" s="79">
        <f>IF('Ordenes_Odoo'!G2208="","",'Ordenes_Odoo'!G2208)</f>
        <v/>
      </c>
      <c r="H2208" s="79">
        <f>IF('Ordenes_Odoo'!H2208="","",'Ordenes_Odoo'!H2208)</f>
        <v/>
      </c>
      <c r="I2208" s="79">
        <f>IF('Ordenes_Odoo'!I2208="","",'Ordenes_Odoo'!I2208)</f>
        <v/>
      </c>
      <c r="J2208" s="79">
        <f>IF('Ordenes_Odoo'!J2208="","",'Ordenes_Odoo'!J2208)</f>
        <v/>
      </c>
      <c r="K2208" s="81">
        <f>IF('Ordenes_Odoo'!K2208="","",'Ordenes_Odoo'!K2208)</f>
        <v/>
      </c>
      <c r="L2208" s="81">
        <f>IF('Ordenes_Odoo'!L2208="","",'Ordenes_Odoo'!L2208)</f>
        <v/>
      </c>
      <c r="M2208" s="79">
        <f>IF('Ordenes_Odoo'!M2208="","",'Ordenes_Odoo'!M2208)</f>
        <v/>
      </c>
      <c r="N2208" s="79">
        <f>IF('Ordenes_Odoo'!N2208="","",'Ordenes_Odoo'!N2208)</f>
        <v/>
      </c>
      <c r="O2208" s="81">
        <f>IF('Ordenes_Odoo'!O2208="","",'Ordenes_Odoo'!O2208)</f>
        <v/>
      </c>
      <c r="P2208" s="81">
        <f>IF('Ordenes_Odoo'!P2208="","",'Ordenes_Odoo'!P2208)</f>
        <v/>
      </c>
      <c r="Q2208" s="79">
        <f>IF(A2208="","",IFERROR(INDEX(Facturas_Odoo!$B:$B, MATCH(A2208, Facturas_Odoo!$D:$D, 0)), "Sin Factura"))</f>
        <v/>
      </c>
      <c r="R2208" s="80">
        <f>IF(Q2208="Sin Factura","",IFERROR(INDEX(Facturas_Odoo!$A:$A, MATCH(Q2208, Facturas_Odoo!$B:$B, 0)), ""))</f>
        <v/>
      </c>
      <c r="S2208" s="79">
        <f>IF(Q2208="Sin Factura","",IFERROR(_xlfn.XLOOKUP(1, (Facturas_Odoo!$D:$D=A2208) * (Facturas_Odoo!$K:$K=I2208), Facturas_Odoo!$L:$L, ""), ""))</f>
        <v/>
      </c>
      <c r="T2208" s="81">
        <f>IF(Q2208="Sin Factura",0,IFERROR(_xlfn.XLOOKUP(1, (Facturas_Odoo!$D:$D=A2208) * (Facturas_Odoo!$K:$K=I2208), Facturas_Odoo!$M:$M, 0), 0))</f>
        <v/>
      </c>
      <c r="U2208" s="79">
        <f>IF(Q2208="Sin Factura",0,IFERROR(_xlfn.XLOOKUP(1, (Facturas_Odoo!$D:$D=A2208) * (Facturas_Odoo!$K:$K=I2208), Facturas_Odoo!$N:$N, 0), 0))</f>
        <v/>
      </c>
      <c r="V2208" s="79">
        <f>IF(Q2208="Sin Factura",0,IFERROR(_xlfn.XLOOKUP(1, (Facturas_Odoo!$D:$D=A2208) * (Facturas_Odoo!$K:$K=I2208), Facturas_Odoo!$O:$O, 0), 0))</f>
        <v/>
      </c>
      <c r="W2208" s="81">
        <f>IF(Q2208="Sin Factura",0,IFERROR(_xlfn.XLOOKUP(1, (Facturas_Odoo!$D:$D=A2208) * (Facturas_Odoo!$K:$K=I2208), Facturas_Odoo!$Q:$Q, 0), 0))</f>
        <v/>
      </c>
      <c r="X2208" s="79">
        <f>IF(OR(Q2208="Sin Factura",Q2208=""),"",IFERROR(INDEX(Pagos_Odoo!$B:$B, MATCH(Q2208, Pagos_Odoo!$I:$I, 0)), "Sin Pago"))</f>
        <v/>
      </c>
      <c r="Y2208" s="79">
        <f>IF(X2208="Sin Pago","",IFERROR(INDEX(Pagos_Odoo!$C:$C, MATCH(X2208, Pagos_Odoo!$B:$B, 0)), ""))</f>
        <v/>
      </c>
      <c r="Z2208" s="80">
        <f>IF(X2208="Sin Pago","",IFERROR(INDEX(Pagos_Odoo!$A:$A, MATCH(X2208, Pagos_Odoo!$B:$B, 0)), ""))</f>
        <v/>
      </c>
      <c r="AA2208" s="79">
        <f>IF(X2208="Sin Pago","",IFERROR(INDEX(Pagos_Odoo!$F:$F, MATCH(X2208, Pagos_Odoo!$B:$B, 0)), ""))</f>
        <v/>
      </c>
      <c r="AB2208" s="81">
        <f>IF(X2208="Sin Pago",0,IFERROR(INDEX(Pagos_Odoo!$E:$E, MATCH(X2208, Pagos_Odoo!$B:$B, 0)), 0))</f>
        <v/>
      </c>
      <c r="AC2208" s="79">
        <f>IF(X2208="Sin Pago","",IFERROR(INDEX(Pagos_Odoo!$G:$G, MATCH(X2208, Pagos_Odoo!$B:$B, 0)), ""))</f>
        <v/>
      </c>
      <c r="AD2208" s="82" t="n">
        <v>0</v>
      </c>
      <c r="AE2208" s="82" t="n"/>
      <c r="AF2208" s="82" t="n"/>
      <c r="AG2208" s="82">
        <f>IF(AN2208="","",AD2208+AE2208+AF2208)</f>
        <v/>
      </c>
      <c r="AH2208" s="81">
        <f>IF(AN2208="","",P2208*(1-AG2208))</f>
        <v/>
      </c>
      <c r="AI2208" s="81">
        <f>IF(AN2208="","",IF(Q2208="Sin Factura",0,IFERROR(INDEX(Facturas_Odoo!$H:$H, MATCH(Q2208, Facturas_Odoo!$B:$B, 0)), 0)*(1-AG2208)))</f>
        <v/>
      </c>
      <c r="AJ2208" s="81">
        <f>IF(AN2208="","",_xlfn.LET(idVenta, AN2208&amp;"",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08" s="81">
        <f>IF(AN2208="","",AH2208-AJ2208)</f>
        <v/>
      </c>
      <c r="AL2208" s="81">
        <f>IF(AN2208="","",IF(Q2208="Sin Factura","",AI2208-AJ2208))</f>
        <v/>
      </c>
      <c r="AM2208" s="81">
        <f>IF(AN2208="","",IF(Q2208="Sin Factura",0,P2208-IFERROR(INDEX(Facturas_Odoo!$H:$H, MATCH(Q2208, Facturas_Odoo!$B:$B, 0)), 0)))</f>
        <v/>
      </c>
      <c r="AN2208" s="79">
        <f>IF(AND(A2208="", J2208=""), "", IF(A2208&lt;&gt;"", VALUE(MID(A2208,2,LEN(A2208))), AN2207))</f>
        <v/>
      </c>
      <c r="AO2208" s="79">
        <f>IF(AN2208="","",IF(AD2208=0,"OK",_xlfn.LET(monedaPago, IF(AA2208="","USD",AA2208), limitePermitido, IFERROR(VLOOKUP(monedaPago, Configuración!$A$2:$B$3, 2, FALSE), 0.15), IF(AD2208&gt;limitePermitido, "ALERTA: EXCESO (" &amp; TEXT(limitePermitido, "0%") &amp; " máx)", "OK"))))</f>
        <v/>
      </c>
      <c r="AP2208" s="79">
        <f>IF(AN2208="","",IF(AE2208=0,"OK",_xlfn.LET(fechaPago, Z2208, fechaFactura, R2208, diasCredito, IF(E2208="Pago inmediato", 0, IFERROR(VALUE(MID(E2208, 1, SEARCH(" ", E2208)-1)),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08" s="79">
        <f>IF(AN2208="","",IF(AND(N2208&gt;0, AG2208&gt;0), IF(Configuración!$K$2="NO", "ALERTA: DESCUENTO DOBLE NO PERMITIDO", "OK"), "OK"))</f>
        <v/>
      </c>
      <c r="AR2208" s="79">
        <f>IF(AN2208="","",IF(OR(AO2208&lt;&gt;"OK", AP2208&lt;&gt;"OK", AQ2208&lt;&gt;"OK"), "⚠️ REVISAR", "OK"))</f>
        <v/>
      </c>
    </row>
    <row r="2209">
      <c r="A2209" s="79">
        <f>IF('Ordenes_Odoo'!A2209="","",'Ordenes_Odoo'!A2209)</f>
        <v/>
      </c>
      <c r="B2209" s="80">
        <f>IF('Ordenes_Odoo'!B2209="","",'Ordenes_Odoo'!B2209)</f>
        <v/>
      </c>
      <c r="C2209" s="79">
        <f>IF('Ordenes_Odoo'!C2209="","",'Ordenes_Odoo'!C2209)</f>
        <v/>
      </c>
      <c r="D2209" s="79">
        <f>IF('Ordenes_Odoo'!D2209="","",'Ordenes_Odoo'!D2209)</f>
        <v/>
      </c>
      <c r="E2209" s="79">
        <f>IF('Ordenes_Odoo'!E2209="","",'Ordenes_Odoo'!E2209)</f>
        <v/>
      </c>
      <c r="F2209" s="79">
        <f>IF('Ordenes_Odoo'!F2209="","",'Ordenes_Odoo'!F2209)</f>
        <v/>
      </c>
      <c r="G2209" s="79">
        <f>IF('Ordenes_Odoo'!G2209="","",'Ordenes_Odoo'!G2209)</f>
        <v/>
      </c>
      <c r="H2209" s="79">
        <f>IF('Ordenes_Odoo'!H2209="","",'Ordenes_Odoo'!H2209)</f>
        <v/>
      </c>
      <c r="I2209" s="79">
        <f>IF('Ordenes_Odoo'!I2209="","",'Ordenes_Odoo'!I2209)</f>
        <v/>
      </c>
      <c r="J2209" s="79">
        <f>IF('Ordenes_Odoo'!J2209="","",'Ordenes_Odoo'!J2209)</f>
        <v/>
      </c>
      <c r="K2209" s="81">
        <f>IF('Ordenes_Odoo'!K2209="","",'Ordenes_Odoo'!K2209)</f>
        <v/>
      </c>
      <c r="L2209" s="81">
        <f>IF('Ordenes_Odoo'!L2209="","",'Ordenes_Odoo'!L2209)</f>
        <v/>
      </c>
      <c r="M2209" s="79">
        <f>IF('Ordenes_Odoo'!M2209="","",'Ordenes_Odoo'!M2209)</f>
        <v/>
      </c>
      <c r="N2209" s="79">
        <f>IF('Ordenes_Odoo'!N2209="","",'Ordenes_Odoo'!N2209)</f>
        <v/>
      </c>
      <c r="O2209" s="81">
        <f>IF('Ordenes_Odoo'!O2209="","",'Ordenes_Odoo'!O2209)</f>
        <v/>
      </c>
      <c r="P2209" s="81">
        <f>IF('Ordenes_Odoo'!P2209="","",'Ordenes_Odoo'!P2209)</f>
        <v/>
      </c>
      <c r="Q2209" s="79">
        <f>IF(A2209="","",IFERROR(INDEX(Facturas_Odoo!$B:$B, MATCH(A2209, Facturas_Odoo!$D:$D, 0)), "Sin Factura"))</f>
        <v/>
      </c>
      <c r="R2209" s="80">
        <f>IF(Q2209="Sin Factura","",IFERROR(INDEX(Facturas_Odoo!$A:$A, MATCH(Q2209, Facturas_Odoo!$B:$B, 0)), ""))</f>
        <v/>
      </c>
      <c r="S2209" s="79">
        <f>IF(Q2209="Sin Factura","",IFERROR(_xlfn.XLOOKUP(1, (Facturas_Odoo!$D:$D=A2209) * (Facturas_Odoo!$K:$K=I2209), Facturas_Odoo!$L:$L, ""), ""))</f>
        <v/>
      </c>
      <c r="T2209" s="81">
        <f>IF(Q2209="Sin Factura",0,IFERROR(_xlfn.XLOOKUP(1, (Facturas_Odoo!$D:$D=A2209) * (Facturas_Odoo!$K:$K=I2209), Facturas_Odoo!$M:$M, 0), 0))</f>
        <v/>
      </c>
      <c r="U2209" s="79">
        <f>IF(Q2209="Sin Factura",0,IFERROR(_xlfn.XLOOKUP(1, (Facturas_Odoo!$D:$D=A2209) * (Facturas_Odoo!$K:$K=I2209), Facturas_Odoo!$N:$N, 0), 0))</f>
        <v/>
      </c>
      <c r="V2209" s="79">
        <f>IF(Q2209="Sin Factura",0,IFERROR(_xlfn.XLOOKUP(1, (Facturas_Odoo!$D:$D=A2209) * (Facturas_Odoo!$K:$K=I2209), Facturas_Odoo!$O:$O, 0), 0))</f>
        <v/>
      </c>
      <c r="W2209" s="81">
        <f>IF(Q2209="Sin Factura",0,IFERROR(_xlfn.XLOOKUP(1, (Facturas_Odoo!$D:$D=A2209) * (Facturas_Odoo!$K:$K=I2209), Facturas_Odoo!$Q:$Q, 0), 0))</f>
        <v/>
      </c>
      <c r="X2209" s="79">
        <f>IF(OR(Q2209="Sin Factura",Q2209=""),"",IFERROR(INDEX(Pagos_Odoo!$B:$B, MATCH(Q2209, Pagos_Odoo!$I:$I, 0)), "Sin Pago"))</f>
        <v/>
      </c>
      <c r="Y2209" s="79">
        <f>IF(X2209="Sin Pago","",IFERROR(INDEX(Pagos_Odoo!$C:$C, MATCH(X2209, Pagos_Odoo!$B:$B, 0)), ""))</f>
        <v/>
      </c>
      <c r="Z2209" s="80">
        <f>IF(X2209="Sin Pago","",IFERROR(INDEX(Pagos_Odoo!$A:$A, MATCH(X2209, Pagos_Odoo!$B:$B, 0)), ""))</f>
        <v/>
      </c>
      <c r="AA2209" s="79">
        <f>IF(X2209="Sin Pago","",IFERROR(INDEX(Pagos_Odoo!$F:$F, MATCH(X2209, Pagos_Odoo!$B:$B, 0)), ""))</f>
        <v/>
      </c>
      <c r="AB2209" s="81">
        <f>IF(X2209="Sin Pago",0,IFERROR(INDEX(Pagos_Odoo!$E:$E, MATCH(X2209, Pagos_Odoo!$B:$B, 0)), 0))</f>
        <v/>
      </c>
      <c r="AC2209" s="79">
        <f>IF(X2209="Sin Pago","",IFERROR(INDEX(Pagos_Odoo!$G:$G, MATCH(X2209, Pagos_Odoo!$B:$B, 0)), ""))</f>
        <v/>
      </c>
      <c r="AD2209" s="82" t="n">
        <v>0</v>
      </c>
      <c r="AE2209" s="82" t="n"/>
      <c r="AF2209" s="82" t="n"/>
      <c r="AG2209" s="82">
        <f>IF(AN2209="","",AD2209+AE2209+AF2209)</f>
        <v/>
      </c>
      <c r="AH2209" s="81">
        <f>IF(AN2209="","",P2209*(1-AG2209))</f>
        <v/>
      </c>
      <c r="AI2209" s="81">
        <f>IF(AN2209="","",IF(Q2209="Sin Factura",0,IFERROR(INDEX(Facturas_Odoo!$H:$H, MATCH(Q2209, Facturas_Odoo!$B:$B, 0)), 0)*(1-AG2209)))</f>
        <v/>
      </c>
      <c r="AJ2209" s="81">
        <f>IF(AN2209="","",_xlfn.LET(idVenta, AN2209&amp;"",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09" s="81">
        <f>IF(AN2209="","",AH2209-AJ2209)</f>
        <v/>
      </c>
      <c r="AL2209" s="81">
        <f>IF(AN2209="","",IF(Q2209="Sin Factura","",AI2209-AJ2209))</f>
        <v/>
      </c>
      <c r="AM2209" s="81">
        <f>IF(AN2209="","",IF(Q2209="Sin Factura",0,P2209-IFERROR(INDEX(Facturas_Odoo!$H:$H, MATCH(Q2209, Facturas_Odoo!$B:$B, 0)), 0)))</f>
        <v/>
      </c>
      <c r="AN2209" s="79">
        <f>IF(AND(A2209="", J2209=""), "", IF(A2209&lt;&gt;"", VALUE(MID(A2209,2,LEN(A2209))), AN2208))</f>
        <v/>
      </c>
      <c r="AO2209" s="79">
        <f>IF(AN2209="","",IF(AD2209=0,"OK",_xlfn.LET(monedaPago, IF(AA2209="","USD",AA2209), limitePermitido, IFERROR(VLOOKUP(monedaPago, Configuración!$A$2:$B$3, 2, FALSE), 0.15), IF(AD2209&gt;limitePermitido, "ALERTA: EXCESO (" &amp; TEXT(limitePermitido, "0%") &amp; " máx)", "OK"))))</f>
        <v/>
      </c>
      <c r="AP2209" s="79">
        <f>IF(AN2209="","",IF(AE2209=0,"OK",_xlfn.LET(fechaPago, Z2209, fechaFactura, R2209, diasCredito, IF(E2209="Pago inmediato", 0, IFERROR(VALUE(MID(E2209, 1, SEARCH(" ", E2209)-1)),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09" s="79">
        <f>IF(AN2209="","",IF(AND(N2209&gt;0, AG2209&gt;0), IF(Configuración!$K$2="NO", "ALERTA: DESCUENTO DOBLE NO PERMITIDO", "OK"), "OK"))</f>
        <v/>
      </c>
      <c r="AR2209" s="79">
        <f>IF(AN2209="","",IF(OR(AO2209&lt;&gt;"OK", AP2209&lt;&gt;"OK", AQ2209&lt;&gt;"OK"), "⚠️ REVISAR", "OK"))</f>
        <v/>
      </c>
    </row>
    <row r="2210">
      <c r="A2210" s="79">
        <f>IF('Ordenes_Odoo'!A2210="","",'Ordenes_Odoo'!A2210)</f>
        <v/>
      </c>
      <c r="B2210" s="80">
        <f>IF('Ordenes_Odoo'!B2210="","",'Ordenes_Odoo'!B2210)</f>
        <v/>
      </c>
      <c r="C2210" s="79">
        <f>IF('Ordenes_Odoo'!C2210="","",'Ordenes_Odoo'!C2210)</f>
        <v/>
      </c>
      <c r="D2210" s="79">
        <f>IF('Ordenes_Odoo'!D2210="","",'Ordenes_Odoo'!D2210)</f>
        <v/>
      </c>
      <c r="E2210" s="79">
        <f>IF('Ordenes_Odoo'!E2210="","",'Ordenes_Odoo'!E2210)</f>
        <v/>
      </c>
      <c r="F2210" s="79">
        <f>IF('Ordenes_Odoo'!F2210="","",'Ordenes_Odoo'!F2210)</f>
        <v/>
      </c>
      <c r="G2210" s="79">
        <f>IF('Ordenes_Odoo'!G2210="","",'Ordenes_Odoo'!G2210)</f>
        <v/>
      </c>
      <c r="H2210" s="79">
        <f>IF('Ordenes_Odoo'!H2210="","",'Ordenes_Odoo'!H2210)</f>
        <v/>
      </c>
      <c r="I2210" s="79">
        <f>IF('Ordenes_Odoo'!I2210="","",'Ordenes_Odoo'!I2210)</f>
        <v/>
      </c>
      <c r="J2210" s="79">
        <f>IF('Ordenes_Odoo'!J2210="","",'Ordenes_Odoo'!J2210)</f>
        <v/>
      </c>
      <c r="K2210" s="81">
        <f>IF('Ordenes_Odoo'!K2210="","",'Ordenes_Odoo'!K2210)</f>
        <v/>
      </c>
      <c r="L2210" s="81">
        <f>IF('Ordenes_Odoo'!L2210="","",'Ordenes_Odoo'!L2210)</f>
        <v/>
      </c>
      <c r="M2210" s="79">
        <f>IF('Ordenes_Odoo'!M2210="","",'Ordenes_Odoo'!M2210)</f>
        <v/>
      </c>
      <c r="N2210" s="79">
        <f>IF('Ordenes_Odoo'!N2210="","",'Ordenes_Odoo'!N2210)</f>
        <v/>
      </c>
      <c r="O2210" s="81">
        <f>IF('Ordenes_Odoo'!O2210="","",'Ordenes_Odoo'!O2210)</f>
        <v/>
      </c>
      <c r="P2210" s="81">
        <f>IF('Ordenes_Odoo'!P2210="","",'Ordenes_Odoo'!P2210)</f>
        <v/>
      </c>
      <c r="Q2210" s="79">
        <f>IF(A2210="","",IFERROR(INDEX(Facturas_Odoo!$B:$B, MATCH(A2210, Facturas_Odoo!$D:$D, 0)), "Sin Factura"))</f>
        <v/>
      </c>
      <c r="R2210" s="80">
        <f>IF(Q2210="Sin Factura","",IFERROR(INDEX(Facturas_Odoo!$A:$A, MATCH(Q2210, Facturas_Odoo!$B:$B, 0)), ""))</f>
        <v/>
      </c>
      <c r="S2210" s="79">
        <f>IF(Q2210="Sin Factura","",IFERROR(_xlfn.XLOOKUP(1, (Facturas_Odoo!$D:$D=A2210) * (Facturas_Odoo!$K:$K=I2210), Facturas_Odoo!$L:$L, ""), ""))</f>
        <v/>
      </c>
      <c r="T2210" s="81">
        <f>IF(Q2210="Sin Factura",0,IFERROR(_xlfn.XLOOKUP(1, (Facturas_Odoo!$D:$D=A2210) * (Facturas_Odoo!$K:$K=I2210), Facturas_Odoo!$M:$M, 0), 0))</f>
        <v/>
      </c>
      <c r="U2210" s="79">
        <f>IF(Q2210="Sin Factura",0,IFERROR(_xlfn.XLOOKUP(1, (Facturas_Odoo!$D:$D=A2210) * (Facturas_Odoo!$K:$K=I2210), Facturas_Odoo!$N:$N, 0), 0))</f>
        <v/>
      </c>
      <c r="V2210" s="79">
        <f>IF(Q2210="Sin Factura",0,IFERROR(_xlfn.XLOOKUP(1, (Facturas_Odoo!$D:$D=A2210) * (Facturas_Odoo!$K:$K=I2210), Facturas_Odoo!$O:$O, 0), 0))</f>
        <v/>
      </c>
      <c r="W2210" s="81">
        <f>IF(Q2210="Sin Factura",0,IFERROR(_xlfn.XLOOKUP(1, (Facturas_Odoo!$D:$D=A2210) * (Facturas_Odoo!$K:$K=I2210), Facturas_Odoo!$Q:$Q, 0), 0))</f>
        <v/>
      </c>
      <c r="X2210" s="79">
        <f>IF(OR(Q2210="Sin Factura",Q2210=""),"",IFERROR(INDEX(Pagos_Odoo!$B:$B, MATCH(Q2210, Pagos_Odoo!$I:$I, 0)), "Sin Pago"))</f>
        <v/>
      </c>
      <c r="Y2210" s="79">
        <f>IF(X2210="Sin Pago","",IFERROR(INDEX(Pagos_Odoo!$C:$C, MATCH(X2210, Pagos_Odoo!$B:$B, 0)), ""))</f>
        <v/>
      </c>
      <c r="Z2210" s="80">
        <f>IF(X2210="Sin Pago","",IFERROR(INDEX(Pagos_Odoo!$A:$A, MATCH(X2210, Pagos_Odoo!$B:$B, 0)), ""))</f>
        <v/>
      </c>
      <c r="AA2210" s="79">
        <f>IF(X2210="Sin Pago","",IFERROR(INDEX(Pagos_Odoo!$F:$F, MATCH(X2210, Pagos_Odoo!$B:$B, 0)), ""))</f>
        <v/>
      </c>
      <c r="AB2210" s="81">
        <f>IF(X2210="Sin Pago",0,IFERROR(INDEX(Pagos_Odoo!$E:$E, MATCH(X2210, Pagos_Odoo!$B:$B, 0)), 0))</f>
        <v/>
      </c>
      <c r="AC2210" s="79">
        <f>IF(X2210="Sin Pago","",IFERROR(INDEX(Pagos_Odoo!$G:$G, MATCH(X2210, Pagos_Odoo!$B:$B, 0)), ""))</f>
        <v/>
      </c>
      <c r="AD2210" s="82" t="n">
        <v>0</v>
      </c>
      <c r="AE2210" s="82" t="n"/>
      <c r="AF2210" s="82" t="n"/>
      <c r="AG2210" s="82">
        <f>IF(AN2210="","",AD2210+AE2210+AF2210)</f>
        <v/>
      </c>
      <c r="AH2210" s="81">
        <f>IF(AN2210="","",P2210*(1-AG2210))</f>
        <v/>
      </c>
      <c r="AI2210" s="81">
        <f>IF(AN2210="","",IF(Q2210="Sin Factura",0,IFERROR(INDEX(Facturas_Odoo!$H:$H, MATCH(Q2210, Facturas_Odoo!$B:$B, 0)), 0)*(1-AG2210)))</f>
        <v/>
      </c>
      <c r="AJ2210" s="81">
        <f>IF(AN2210="","",_xlfn.LET(idVenta, AN2210&amp;"",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10" s="81">
        <f>IF(AN2210="","",AH2210-AJ2210)</f>
        <v/>
      </c>
      <c r="AL2210" s="81">
        <f>IF(AN2210="","",IF(Q2210="Sin Factura","",AI2210-AJ2210))</f>
        <v/>
      </c>
      <c r="AM2210" s="81">
        <f>IF(AN2210="","",IF(Q2210="Sin Factura",0,P2210-IFERROR(INDEX(Facturas_Odoo!$H:$H, MATCH(Q2210, Facturas_Odoo!$B:$B, 0)), 0)))</f>
        <v/>
      </c>
      <c r="AN2210" s="79">
        <f>IF(AND(A2210="", J2210=""), "", IF(A2210&lt;&gt;"", VALUE(MID(A2210,2,LEN(A2210))), AN2209))</f>
        <v/>
      </c>
      <c r="AO2210" s="79">
        <f>IF(AN2210="","",IF(AD2210=0,"OK",_xlfn.LET(monedaPago, IF(AA2210="","USD",AA2210), limitePermitido, IFERROR(VLOOKUP(monedaPago, Configuración!$A$2:$B$3, 2, FALSE), 0.15), IF(AD2210&gt;limitePermitido, "ALERTA: EXCESO (" &amp; TEXT(limitePermitido, "0%") &amp; " máx)", "OK"))))</f>
        <v/>
      </c>
      <c r="AP2210" s="79">
        <f>IF(AN2210="","",IF(AE2210=0,"OK",_xlfn.LET(fechaPago, Z2210, fechaFactura, R2210, diasCredito, IF(E2210="Pago inmediato", 0, IFERROR(VALUE(MID(E2210, 1, SEARCH(" ", E2210)-1)),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10" s="79">
        <f>IF(AN2210="","",IF(AND(N2210&gt;0, AG2210&gt;0), IF(Configuración!$K$2="NO", "ALERTA: DESCUENTO DOBLE NO PERMITIDO", "OK"), "OK"))</f>
        <v/>
      </c>
      <c r="AR2210" s="79">
        <f>IF(AN2210="","",IF(OR(AO2210&lt;&gt;"OK", AP2210&lt;&gt;"OK", AQ2210&lt;&gt;"OK"), "⚠️ REVISAR", "OK"))</f>
        <v/>
      </c>
    </row>
    <row r="2211">
      <c r="A2211" s="79">
        <f>IF('Ordenes_Odoo'!A2211="","",'Ordenes_Odoo'!A2211)</f>
        <v/>
      </c>
      <c r="B2211" s="80">
        <f>IF('Ordenes_Odoo'!B2211="","",'Ordenes_Odoo'!B2211)</f>
        <v/>
      </c>
      <c r="C2211" s="79">
        <f>IF('Ordenes_Odoo'!C2211="","",'Ordenes_Odoo'!C2211)</f>
        <v/>
      </c>
      <c r="D2211" s="79">
        <f>IF('Ordenes_Odoo'!D2211="","",'Ordenes_Odoo'!D2211)</f>
        <v/>
      </c>
      <c r="E2211" s="79">
        <f>IF('Ordenes_Odoo'!E2211="","",'Ordenes_Odoo'!E2211)</f>
        <v/>
      </c>
      <c r="F2211" s="79">
        <f>IF('Ordenes_Odoo'!F2211="","",'Ordenes_Odoo'!F2211)</f>
        <v/>
      </c>
      <c r="G2211" s="79">
        <f>IF('Ordenes_Odoo'!G2211="","",'Ordenes_Odoo'!G2211)</f>
        <v/>
      </c>
      <c r="H2211" s="79">
        <f>IF('Ordenes_Odoo'!H2211="","",'Ordenes_Odoo'!H2211)</f>
        <v/>
      </c>
      <c r="I2211" s="79">
        <f>IF('Ordenes_Odoo'!I2211="","",'Ordenes_Odoo'!I2211)</f>
        <v/>
      </c>
      <c r="J2211" s="79">
        <f>IF('Ordenes_Odoo'!J2211="","",'Ordenes_Odoo'!J2211)</f>
        <v/>
      </c>
      <c r="K2211" s="81">
        <f>IF('Ordenes_Odoo'!K2211="","",'Ordenes_Odoo'!K2211)</f>
        <v/>
      </c>
      <c r="L2211" s="81">
        <f>IF('Ordenes_Odoo'!L2211="","",'Ordenes_Odoo'!L2211)</f>
        <v/>
      </c>
      <c r="M2211" s="79">
        <f>IF('Ordenes_Odoo'!M2211="","",'Ordenes_Odoo'!M2211)</f>
        <v/>
      </c>
      <c r="N2211" s="79">
        <f>IF('Ordenes_Odoo'!N2211="","",'Ordenes_Odoo'!N2211)</f>
        <v/>
      </c>
      <c r="O2211" s="81">
        <f>IF('Ordenes_Odoo'!O2211="","",'Ordenes_Odoo'!O2211)</f>
        <v/>
      </c>
      <c r="P2211" s="81">
        <f>IF('Ordenes_Odoo'!P2211="","",'Ordenes_Odoo'!P2211)</f>
        <v/>
      </c>
      <c r="Q2211" s="79">
        <f>IF(A2211="","",IFERROR(INDEX(Facturas_Odoo!$B:$B, MATCH(A2211, Facturas_Odoo!$D:$D, 0)), "Sin Factura"))</f>
        <v/>
      </c>
      <c r="R2211" s="80">
        <f>IF(Q2211="Sin Factura","",IFERROR(INDEX(Facturas_Odoo!$A:$A, MATCH(Q2211, Facturas_Odoo!$B:$B, 0)), ""))</f>
        <v/>
      </c>
      <c r="S2211" s="79">
        <f>IF(Q2211="Sin Factura","",IFERROR(_xlfn.XLOOKUP(1, (Facturas_Odoo!$D:$D=A2211) * (Facturas_Odoo!$K:$K=I2211), Facturas_Odoo!$L:$L, ""), ""))</f>
        <v/>
      </c>
      <c r="T2211" s="81">
        <f>IF(Q2211="Sin Factura",0,IFERROR(_xlfn.XLOOKUP(1, (Facturas_Odoo!$D:$D=A2211) * (Facturas_Odoo!$K:$K=I2211), Facturas_Odoo!$M:$M, 0), 0))</f>
        <v/>
      </c>
      <c r="U2211" s="79">
        <f>IF(Q2211="Sin Factura",0,IFERROR(_xlfn.XLOOKUP(1, (Facturas_Odoo!$D:$D=A2211) * (Facturas_Odoo!$K:$K=I2211), Facturas_Odoo!$N:$N, 0), 0))</f>
        <v/>
      </c>
      <c r="V2211" s="79">
        <f>IF(Q2211="Sin Factura",0,IFERROR(_xlfn.XLOOKUP(1, (Facturas_Odoo!$D:$D=A2211) * (Facturas_Odoo!$K:$K=I2211), Facturas_Odoo!$O:$O, 0), 0))</f>
        <v/>
      </c>
      <c r="W2211" s="81">
        <f>IF(Q2211="Sin Factura",0,IFERROR(_xlfn.XLOOKUP(1, (Facturas_Odoo!$D:$D=A2211) * (Facturas_Odoo!$K:$K=I2211), Facturas_Odoo!$Q:$Q, 0), 0))</f>
        <v/>
      </c>
      <c r="X2211" s="79">
        <f>IF(OR(Q2211="Sin Factura",Q2211=""),"",IFERROR(INDEX(Pagos_Odoo!$B:$B, MATCH(Q2211, Pagos_Odoo!$I:$I, 0)), "Sin Pago"))</f>
        <v/>
      </c>
      <c r="Y2211" s="79">
        <f>IF(X2211="Sin Pago","",IFERROR(INDEX(Pagos_Odoo!$C:$C, MATCH(X2211, Pagos_Odoo!$B:$B, 0)), ""))</f>
        <v/>
      </c>
      <c r="Z2211" s="80">
        <f>IF(X2211="Sin Pago","",IFERROR(INDEX(Pagos_Odoo!$A:$A, MATCH(X2211, Pagos_Odoo!$B:$B, 0)), ""))</f>
        <v/>
      </c>
      <c r="AA2211" s="79">
        <f>IF(X2211="Sin Pago","",IFERROR(INDEX(Pagos_Odoo!$F:$F, MATCH(X2211, Pagos_Odoo!$B:$B, 0)), ""))</f>
        <v/>
      </c>
      <c r="AB2211" s="81">
        <f>IF(X2211="Sin Pago",0,IFERROR(INDEX(Pagos_Odoo!$E:$E, MATCH(X2211, Pagos_Odoo!$B:$B, 0)), 0))</f>
        <v/>
      </c>
      <c r="AC2211" s="79">
        <f>IF(X2211="Sin Pago","",IFERROR(INDEX(Pagos_Odoo!$G:$G, MATCH(X2211, Pagos_Odoo!$B:$B, 0)), ""))</f>
        <v/>
      </c>
      <c r="AD2211" s="82" t="n">
        <v>0</v>
      </c>
      <c r="AE2211" s="82" t="n"/>
      <c r="AF2211" s="82" t="n"/>
      <c r="AG2211" s="82">
        <f>IF(AN2211="","",AD2211+AE2211+AF2211)</f>
        <v/>
      </c>
      <c r="AH2211" s="81">
        <f>IF(AN2211="","",P2211*(1-AG2211))</f>
        <v/>
      </c>
      <c r="AI2211" s="81">
        <f>IF(AN2211="","",IF(Q2211="Sin Factura",0,IFERROR(INDEX(Facturas_Odoo!$H:$H, MATCH(Q2211, Facturas_Odoo!$B:$B, 0)), 0)*(1-AG2211)))</f>
        <v/>
      </c>
      <c r="AJ2211" s="81">
        <f>IF(AN2211="","",_xlfn.LET(idVenta, AN2211&amp;"",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11" s="81">
        <f>IF(AN2211="","",AH2211-AJ2211)</f>
        <v/>
      </c>
      <c r="AL2211" s="81">
        <f>IF(AN2211="","",IF(Q2211="Sin Factura","",AI2211-AJ2211))</f>
        <v/>
      </c>
      <c r="AM2211" s="81">
        <f>IF(AN2211="","",IF(Q2211="Sin Factura",0,P2211-IFERROR(INDEX(Facturas_Odoo!$H:$H, MATCH(Q2211, Facturas_Odoo!$B:$B, 0)), 0)))</f>
        <v/>
      </c>
      <c r="AN2211" s="79">
        <f>IF(AND(A2211="", J2211=""), "", IF(A2211&lt;&gt;"", VALUE(MID(A2211,2,LEN(A2211))), AN2210))</f>
        <v/>
      </c>
      <c r="AO2211" s="79">
        <f>IF(AN2211="","",IF(AD2211=0,"OK",_xlfn.LET(monedaPago, IF(AA2211="","USD",AA2211), limitePermitido, IFERROR(VLOOKUP(monedaPago, Configuración!$A$2:$B$3, 2, FALSE), 0.15), IF(AD2211&gt;limitePermitido, "ALERTA: EXCESO (" &amp; TEXT(limitePermitido, "0%") &amp; " máx)", "OK"))))</f>
        <v/>
      </c>
      <c r="AP2211" s="79">
        <f>IF(AN2211="","",IF(AE2211=0,"OK",_xlfn.LET(fechaPago, Z2211, fechaFactura, R2211, diasCredito, IF(E2211="Pago inmediato", 0, IFERROR(VALUE(MID(E2211, 1, SEARCH(" ", E2211)-1)),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11" s="79">
        <f>IF(AN2211="","",IF(AND(N2211&gt;0, AG2211&gt;0), IF(Configuración!$K$2="NO", "ALERTA: DESCUENTO DOBLE NO PERMITIDO", "OK"), "OK"))</f>
        <v/>
      </c>
      <c r="AR2211" s="79">
        <f>IF(AN2211="","",IF(OR(AO2211&lt;&gt;"OK", AP2211&lt;&gt;"OK", AQ2211&lt;&gt;"OK"), "⚠️ REVISAR", "OK"))</f>
        <v/>
      </c>
    </row>
    <row r="2212">
      <c r="A2212" s="79">
        <f>IF('Ordenes_Odoo'!A2212="","",'Ordenes_Odoo'!A2212)</f>
        <v/>
      </c>
      <c r="B2212" s="80">
        <f>IF('Ordenes_Odoo'!B2212="","",'Ordenes_Odoo'!B2212)</f>
        <v/>
      </c>
      <c r="C2212" s="79">
        <f>IF('Ordenes_Odoo'!C2212="","",'Ordenes_Odoo'!C2212)</f>
        <v/>
      </c>
      <c r="D2212" s="79">
        <f>IF('Ordenes_Odoo'!D2212="","",'Ordenes_Odoo'!D2212)</f>
        <v/>
      </c>
      <c r="E2212" s="79">
        <f>IF('Ordenes_Odoo'!E2212="","",'Ordenes_Odoo'!E2212)</f>
        <v/>
      </c>
      <c r="F2212" s="79">
        <f>IF('Ordenes_Odoo'!F2212="","",'Ordenes_Odoo'!F2212)</f>
        <v/>
      </c>
      <c r="G2212" s="79">
        <f>IF('Ordenes_Odoo'!G2212="","",'Ordenes_Odoo'!G2212)</f>
        <v/>
      </c>
      <c r="H2212" s="79">
        <f>IF('Ordenes_Odoo'!H2212="","",'Ordenes_Odoo'!H2212)</f>
        <v/>
      </c>
      <c r="I2212" s="79">
        <f>IF('Ordenes_Odoo'!I2212="","",'Ordenes_Odoo'!I2212)</f>
        <v/>
      </c>
      <c r="J2212" s="79">
        <f>IF('Ordenes_Odoo'!J2212="","",'Ordenes_Odoo'!J2212)</f>
        <v/>
      </c>
      <c r="K2212" s="81">
        <f>IF('Ordenes_Odoo'!K2212="","",'Ordenes_Odoo'!K2212)</f>
        <v/>
      </c>
      <c r="L2212" s="81">
        <f>IF('Ordenes_Odoo'!L2212="","",'Ordenes_Odoo'!L2212)</f>
        <v/>
      </c>
      <c r="M2212" s="79">
        <f>IF('Ordenes_Odoo'!M2212="","",'Ordenes_Odoo'!M2212)</f>
        <v/>
      </c>
      <c r="N2212" s="79">
        <f>IF('Ordenes_Odoo'!N2212="","",'Ordenes_Odoo'!N2212)</f>
        <v/>
      </c>
      <c r="O2212" s="81">
        <f>IF('Ordenes_Odoo'!O2212="","",'Ordenes_Odoo'!O2212)</f>
        <v/>
      </c>
      <c r="P2212" s="81">
        <f>IF('Ordenes_Odoo'!P2212="","",'Ordenes_Odoo'!P2212)</f>
        <v/>
      </c>
      <c r="Q2212" s="79">
        <f>IF(A2212="","",IFERROR(INDEX(Facturas_Odoo!$B:$B, MATCH(A2212, Facturas_Odoo!$D:$D, 0)), "Sin Factura"))</f>
        <v/>
      </c>
      <c r="R2212" s="80">
        <f>IF(Q2212="Sin Factura","",IFERROR(INDEX(Facturas_Odoo!$A:$A, MATCH(Q2212, Facturas_Odoo!$B:$B, 0)), ""))</f>
        <v/>
      </c>
      <c r="S2212" s="79">
        <f>IF(Q2212="Sin Factura","",IFERROR(_xlfn.XLOOKUP(1, (Facturas_Odoo!$D:$D=A2212) * (Facturas_Odoo!$K:$K=I2212), Facturas_Odoo!$L:$L, ""), ""))</f>
        <v/>
      </c>
      <c r="T2212" s="81">
        <f>IF(Q2212="Sin Factura",0,IFERROR(_xlfn.XLOOKUP(1, (Facturas_Odoo!$D:$D=A2212) * (Facturas_Odoo!$K:$K=I2212), Facturas_Odoo!$M:$M, 0), 0))</f>
        <v/>
      </c>
      <c r="U2212" s="79">
        <f>IF(Q2212="Sin Factura",0,IFERROR(_xlfn.XLOOKUP(1, (Facturas_Odoo!$D:$D=A2212) * (Facturas_Odoo!$K:$K=I2212), Facturas_Odoo!$N:$N, 0), 0))</f>
        <v/>
      </c>
      <c r="V2212" s="79">
        <f>IF(Q2212="Sin Factura",0,IFERROR(_xlfn.XLOOKUP(1, (Facturas_Odoo!$D:$D=A2212) * (Facturas_Odoo!$K:$K=I2212), Facturas_Odoo!$O:$O, 0), 0))</f>
        <v/>
      </c>
      <c r="W2212" s="81">
        <f>IF(Q2212="Sin Factura",0,IFERROR(_xlfn.XLOOKUP(1, (Facturas_Odoo!$D:$D=A2212) * (Facturas_Odoo!$K:$K=I2212), Facturas_Odoo!$Q:$Q, 0), 0))</f>
        <v/>
      </c>
      <c r="X2212" s="79">
        <f>IF(OR(Q2212="Sin Factura",Q2212=""),"",IFERROR(INDEX(Pagos_Odoo!$B:$B, MATCH(Q2212, Pagos_Odoo!$I:$I, 0)), "Sin Pago"))</f>
        <v/>
      </c>
      <c r="Y2212" s="79">
        <f>IF(X2212="Sin Pago","",IFERROR(INDEX(Pagos_Odoo!$C:$C, MATCH(X2212, Pagos_Odoo!$B:$B, 0)), ""))</f>
        <v/>
      </c>
      <c r="Z2212" s="80">
        <f>IF(X2212="Sin Pago","",IFERROR(INDEX(Pagos_Odoo!$A:$A, MATCH(X2212, Pagos_Odoo!$B:$B, 0)), ""))</f>
        <v/>
      </c>
      <c r="AA2212" s="79">
        <f>IF(X2212="Sin Pago","",IFERROR(INDEX(Pagos_Odoo!$F:$F, MATCH(X2212, Pagos_Odoo!$B:$B, 0)), ""))</f>
        <v/>
      </c>
      <c r="AB2212" s="81">
        <f>IF(X2212="Sin Pago",0,IFERROR(INDEX(Pagos_Odoo!$E:$E, MATCH(X2212, Pagos_Odoo!$B:$B, 0)), 0))</f>
        <v/>
      </c>
      <c r="AC2212" s="79">
        <f>IF(X2212="Sin Pago","",IFERROR(INDEX(Pagos_Odoo!$G:$G, MATCH(X2212, Pagos_Odoo!$B:$B, 0)), ""))</f>
        <v/>
      </c>
      <c r="AD2212" s="82" t="n">
        <v>0</v>
      </c>
      <c r="AE2212" s="82" t="n"/>
      <c r="AF2212" s="82" t="n"/>
      <c r="AG2212" s="82">
        <f>IF(AN2212="","",AD2212+AE2212+AF2212)</f>
        <v/>
      </c>
      <c r="AH2212" s="81">
        <f>IF(AN2212="","",P2212*(1-AG2212))</f>
        <v/>
      </c>
      <c r="AI2212" s="81">
        <f>IF(AN2212="","",IF(Q2212="Sin Factura",0,IFERROR(INDEX(Facturas_Odoo!$H:$H, MATCH(Q2212, Facturas_Odoo!$B:$B, 0)), 0)*(1-AG2212)))</f>
        <v/>
      </c>
      <c r="AJ2212" s="81">
        <f>IF(AN2212="","",_xlfn.LET(idVenta, AN2212&amp;"",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12" s="81">
        <f>IF(AN2212="","",AH2212-AJ2212)</f>
        <v/>
      </c>
      <c r="AL2212" s="81">
        <f>IF(AN2212="","",IF(Q2212="Sin Factura","",AI2212-AJ2212))</f>
        <v/>
      </c>
      <c r="AM2212" s="81">
        <f>IF(AN2212="","",IF(Q2212="Sin Factura",0,P2212-IFERROR(INDEX(Facturas_Odoo!$H:$H, MATCH(Q2212, Facturas_Odoo!$B:$B, 0)), 0)))</f>
        <v/>
      </c>
      <c r="AN2212" s="79">
        <f>IF(AND(A2212="", J2212=""), "", IF(A2212&lt;&gt;"", VALUE(MID(A2212,2,LEN(A2212))), AN2211))</f>
        <v/>
      </c>
      <c r="AO2212" s="79">
        <f>IF(AN2212="","",IF(AD2212=0,"OK",_xlfn.LET(monedaPago, IF(AA2212="","USD",AA2212), limitePermitido, IFERROR(VLOOKUP(monedaPago, Configuración!$A$2:$B$3, 2, FALSE), 0.15), IF(AD2212&gt;limitePermitido, "ALERTA: EXCESO (" &amp; TEXT(limitePermitido, "0%") &amp; " máx)", "OK"))))</f>
        <v/>
      </c>
      <c r="AP2212" s="79">
        <f>IF(AN2212="","",IF(AE2212=0,"OK",_xlfn.LET(fechaPago, Z2212, fechaFactura, R2212, diasCredito, IF(E2212="Pago inmediato", 0, IFERROR(VALUE(MID(E2212, 1, SEARCH(" ", E2212)-1)),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12" s="79">
        <f>IF(AN2212="","",IF(AND(N2212&gt;0, AG2212&gt;0), IF(Configuración!$K$2="NO", "ALERTA: DESCUENTO DOBLE NO PERMITIDO", "OK"), "OK"))</f>
        <v/>
      </c>
      <c r="AR2212" s="79">
        <f>IF(AN2212="","",IF(OR(AO2212&lt;&gt;"OK", AP2212&lt;&gt;"OK", AQ2212&lt;&gt;"OK"), "⚠️ REVISAR", "OK"))</f>
        <v/>
      </c>
    </row>
    <row r="2213">
      <c r="A2213" s="79">
        <f>IF('Ordenes_Odoo'!A2213="","",'Ordenes_Odoo'!A2213)</f>
        <v/>
      </c>
      <c r="B2213" s="80">
        <f>IF('Ordenes_Odoo'!B2213="","",'Ordenes_Odoo'!B2213)</f>
        <v/>
      </c>
      <c r="C2213" s="79">
        <f>IF('Ordenes_Odoo'!C2213="","",'Ordenes_Odoo'!C2213)</f>
        <v/>
      </c>
      <c r="D2213" s="79">
        <f>IF('Ordenes_Odoo'!D2213="","",'Ordenes_Odoo'!D2213)</f>
        <v/>
      </c>
      <c r="E2213" s="79">
        <f>IF('Ordenes_Odoo'!E2213="","",'Ordenes_Odoo'!E2213)</f>
        <v/>
      </c>
      <c r="F2213" s="79">
        <f>IF('Ordenes_Odoo'!F2213="","",'Ordenes_Odoo'!F2213)</f>
        <v/>
      </c>
      <c r="G2213" s="79">
        <f>IF('Ordenes_Odoo'!G2213="","",'Ordenes_Odoo'!G2213)</f>
        <v/>
      </c>
      <c r="H2213" s="79">
        <f>IF('Ordenes_Odoo'!H2213="","",'Ordenes_Odoo'!H2213)</f>
        <v/>
      </c>
      <c r="I2213" s="79">
        <f>IF('Ordenes_Odoo'!I2213="","",'Ordenes_Odoo'!I2213)</f>
        <v/>
      </c>
      <c r="J2213" s="79">
        <f>IF('Ordenes_Odoo'!J2213="","",'Ordenes_Odoo'!J2213)</f>
        <v/>
      </c>
      <c r="K2213" s="81">
        <f>IF('Ordenes_Odoo'!K2213="","",'Ordenes_Odoo'!K2213)</f>
        <v/>
      </c>
      <c r="L2213" s="81">
        <f>IF('Ordenes_Odoo'!L2213="","",'Ordenes_Odoo'!L2213)</f>
        <v/>
      </c>
      <c r="M2213" s="79">
        <f>IF('Ordenes_Odoo'!M2213="","",'Ordenes_Odoo'!M2213)</f>
        <v/>
      </c>
      <c r="N2213" s="79">
        <f>IF('Ordenes_Odoo'!N2213="","",'Ordenes_Odoo'!N2213)</f>
        <v/>
      </c>
      <c r="O2213" s="81">
        <f>IF('Ordenes_Odoo'!O2213="","",'Ordenes_Odoo'!O2213)</f>
        <v/>
      </c>
      <c r="P2213" s="81">
        <f>IF('Ordenes_Odoo'!P2213="","",'Ordenes_Odoo'!P2213)</f>
        <v/>
      </c>
      <c r="Q2213" s="79">
        <f>IF(A2213="","",IFERROR(INDEX(Facturas_Odoo!$B:$B, MATCH(A2213, Facturas_Odoo!$D:$D, 0)), "Sin Factura"))</f>
        <v/>
      </c>
      <c r="R2213" s="80">
        <f>IF(Q2213="Sin Factura","",IFERROR(INDEX(Facturas_Odoo!$A:$A, MATCH(Q2213, Facturas_Odoo!$B:$B, 0)), ""))</f>
        <v/>
      </c>
      <c r="S2213" s="79">
        <f>IF(Q2213="Sin Factura","",IFERROR(_xlfn.XLOOKUP(1, (Facturas_Odoo!$D:$D=A2213) * (Facturas_Odoo!$K:$K=I2213), Facturas_Odoo!$L:$L, ""), ""))</f>
        <v/>
      </c>
      <c r="T2213" s="81">
        <f>IF(Q2213="Sin Factura",0,IFERROR(_xlfn.XLOOKUP(1, (Facturas_Odoo!$D:$D=A2213) * (Facturas_Odoo!$K:$K=I2213), Facturas_Odoo!$M:$M, 0), 0))</f>
        <v/>
      </c>
      <c r="U2213" s="79">
        <f>IF(Q2213="Sin Factura",0,IFERROR(_xlfn.XLOOKUP(1, (Facturas_Odoo!$D:$D=A2213) * (Facturas_Odoo!$K:$K=I2213), Facturas_Odoo!$N:$N, 0), 0))</f>
        <v/>
      </c>
      <c r="V2213" s="79">
        <f>IF(Q2213="Sin Factura",0,IFERROR(_xlfn.XLOOKUP(1, (Facturas_Odoo!$D:$D=A2213) * (Facturas_Odoo!$K:$K=I2213), Facturas_Odoo!$O:$O, 0), 0))</f>
        <v/>
      </c>
      <c r="W2213" s="81">
        <f>IF(Q2213="Sin Factura",0,IFERROR(_xlfn.XLOOKUP(1, (Facturas_Odoo!$D:$D=A2213) * (Facturas_Odoo!$K:$K=I2213), Facturas_Odoo!$Q:$Q, 0), 0))</f>
        <v/>
      </c>
      <c r="X2213" s="79">
        <f>IF(OR(Q2213="Sin Factura",Q2213=""),"",IFERROR(INDEX(Pagos_Odoo!$B:$B, MATCH(Q2213, Pagos_Odoo!$I:$I, 0)), "Sin Pago"))</f>
        <v/>
      </c>
      <c r="Y2213" s="79">
        <f>IF(X2213="Sin Pago","",IFERROR(INDEX(Pagos_Odoo!$C:$C, MATCH(X2213, Pagos_Odoo!$B:$B, 0)), ""))</f>
        <v/>
      </c>
      <c r="Z2213" s="80">
        <f>IF(X2213="Sin Pago","",IFERROR(INDEX(Pagos_Odoo!$A:$A, MATCH(X2213, Pagos_Odoo!$B:$B, 0)), ""))</f>
        <v/>
      </c>
      <c r="AA2213" s="79">
        <f>IF(X2213="Sin Pago","",IFERROR(INDEX(Pagos_Odoo!$F:$F, MATCH(X2213, Pagos_Odoo!$B:$B, 0)), ""))</f>
        <v/>
      </c>
      <c r="AB2213" s="81">
        <f>IF(X2213="Sin Pago",0,IFERROR(INDEX(Pagos_Odoo!$E:$E, MATCH(X2213, Pagos_Odoo!$B:$B, 0)), 0))</f>
        <v/>
      </c>
      <c r="AC2213" s="79">
        <f>IF(X2213="Sin Pago","",IFERROR(INDEX(Pagos_Odoo!$G:$G, MATCH(X2213, Pagos_Odoo!$B:$B, 0)), ""))</f>
        <v/>
      </c>
      <c r="AD2213" s="82" t="n">
        <v>0</v>
      </c>
      <c r="AE2213" s="82" t="n"/>
      <c r="AF2213" s="82" t="n"/>
      <c r="AG2213" s="82">
        <f>IF(AN2213="","",AD2213+AE2213+AF2213)</f>
        <v/>
      </c>
      <c r="AH2213" s="81">
        <f>IF(AN2213="","",P2213*(1-AG2213))</f>
        <v/>
      </c>
      <c r="AI2213" s="81">
        <f>IF(AN2213="","",IF(Q2213="Sin Factura",0,IFERROR(INDEX(Facturas_Odoo!$H:$H, MATCH(Q2213, Facturas_Odoo!$B:$B, 0)), 0)*(1-AG2213)))</f>
        <v/>
      </c>
      <c r="AJ2213" s="81">
        <f>IF(AN2213="","",_xlfn.LET(idVenta, AN2213&amp;"",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13" s="81">
        <f>IF(AN2213="","",AH2213-AJ2213)</f>
        <v/>
      </c>
      <c r="AL2213" s="81">
        <f>IF(AN2213="","",IF(Q2213="Sin Factura","",AI2213-AJ2213))</f>
        <v/>
      </c>
      <c r="AM2213" s="81">
        <f>IF(AN2213="","",IF(Q2213="Sin Factura",0,P2213-IFERROR(INDEX(Facturas_Odoo!$H:$H, MATCH(Q2213, Facturas_Odoo!$B:$B, 0)), 0)))</f>
        <v/>
      </c>
      <c r="AN2213" s="79">
        <f>IF(AND(A2213="", J2213=""), "", IF(A2213&lt;&gt;"", VALUE(MID(A2213,2,LEN(A2213))), AN2212))</f>
        <v/>
      </c>
      <c r="AO2213" s="79">
        <f>IF(AN2213="","",IF(AD2213=0,"OK",_xlfn.LET(monedaPago, IF(AA2213="","USD",AA2213), limitePermitido, IFERROR(VLOOKUP(monedaPago, Configuración!$A$2:$B$3, 2, FALSE), 0.15), IF(AD2213&gt;limitePermitido, "ALERTA: EXCESO (" &amp; TEXT(limitePermitido, "0%") &amp; " máx)", "OK"))))</f>
        <v/>
      </c>
      <c r="AP2213" s="79">
        <f>IF(AN2213="","",IF(AE2213=0,"OK",_xlfn.LET(fechaPago, Z2213, fechaFactura, R2213, diasCredito, IF(E2213="Pago inmediato", 0, IFERROR(VALUE(MID(E2213, 1, SEARCH(" ", E2213)-1)),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13" s="79">
        <f>IF(AN2213="","",IF(AND(N2213&gt;0, AG2213&gt;0), IF(Configuración!$K$2="NO", "ALERTA: DESCUENTO DOBLE NO PERMITIDO", "OK"), "OK"))</f>
        <v/>
      </c>
      <c r="AR2213" s="79">
        <f>IF(AN2213="","",IF(OR(AO2213&lt;&gt;"OK", AP2213&lt;&gt;"OK", AQ2213&lt;&gt;"OK"), "⚠️ REVISAR", "OK"))</f>
        <v/>
      </c>
    </row>
    <row r="2214">
      <c r="A2214" s="79">
        <f>IF('Ordenes_Odoo'!A2214="","",'Ordenes_Odoo'!A2214)</f>
        <v/>
      </c>
      <c r="B2214" s="80">
        <f>IF('Ordenes_Odoo'!B2214="","",'Ordenes_Odoo'!B2214)</f>
        <v/>
      </c>
      <c r="C2214" s="79">
        <f>IF('Ordenes_Odoo'!C2214="","",'Ordenes_Odoo'!C2214)</f>
        <v/>
      </c>
      <c r="D2214" s="79">
        <f>IF('Ordenes_Odoo'!D2214="","",'Ordenes_Odoo'!D2214)</f>
        <v/>
      </c>
      <c r="E2214" s="79">
        <f>IF('Ordenes_Odoo'!E2214="","",'Ordenes_Odoo'!E2214)</f>
        <v/>
      </c>
      <c r="F2214" s="79">
        <f>IF('Ordenes_Odoo'!F2214="","",'Ordenes_Odoo'!F2214)</f>
        <v/>
      </c>
      <c r="G2214" s="79">
        <f>IF('Ordenes_Odoo'!G2214="","",'Ordenes_Odoo'!G2214)</f>
        <v/>
      </c>
      <c r="H2214" s="79">
        <f>IF('Ordenes_Odoo'!H2214="","",'Ordenes_Odoo'!H2214)</f>
        <v/>
      </c>
      <c r="I2214" s="79">
        <f>IF('Ordenes_Odoo'!I2214="","",'Ordenes_Odoo'!I2214)</f>
        <v/>
      </c>
      <c r="J2214" s="79">
        <f>IF('Ordenes_Odoo'!J2214="","",'Ordenes_Odoo'!J2214)</f>
        <v/>
      </c>
      <c r="K2214" s="81">
        <f>IF('Ordenes_Odoo'!K2214="","",'Ordenes_Odoo'!K2214)</f>
        <v/>
      </c>
      <c r="L2214" s="81">
        <f>IF('Ordenes_Odoo'!L2214="","",'Ordenes_Odoo'!L2214)</f>
        <v/>
      </c>
      <c r="M2214" s="79">
        <f>IF('Ordenes_Odoo'!M2214="","",'Ordenes_Odoo'!M2214)</f>
        <v/>
      </c>
      <c r="N2214" s="79">
        <f>IF('Ordenes_Odoo'!N2214="","",'Ordenes_Odoo'!N2214)</f>
        <v/>
      </c>
      <c r="O2214" s="81">
        <f>IF('Ordenes_Odoo'!O2214="","",'Ordenes_Odoo'!O2214)</f>
        <v/>
      </c>
      <c r="P2214" s="81">
        <f>IF('Ordenes_Odoo'!P2214="","",'Ordenes_Odoo'!P2214)</f>
        <v/>
      </c>
      <c r="Q2214" s="79">
        <f>IF(A2214="","",IFERROR(INDEX(Facturas_Odoo!$B:$B, MATCH(A2214, Facturas_Odoo!$D:$D, 0)), "Sin Factura"))</f>
        <v/>
      </c>
      <c r="R2214" s="80">
        <f>IF(Q2214="Sin Factura","",IFERROR(INDEX(Facturas_Odoo!$A:$A, MATCH(Q2214, Facturas_Odoo!$B:$B, 0)), ""))</f>
        <v/>
      </c>
      <c r="S2214" s="79">
        <f>IF(Q2214="Sin Factura","",IFERROR(_xlfn.XLOOKUP(1, (Facturas_Odoo!$D:$D=A2214) * (Facturas_Odoo!$K:$K=I2214), Facturas_Odoo!$L:$L, ""), ""))</f>
        <v/>
      </c>
      <c r="T2214" s="81">
        <f>IF(Q2214="Sin Factura",0,IFERROR(_xlfn.XLOOKUP(1, (Facturas_Odoo!$D:$D=A2214) * (Facturas_Odoo!$K:$K=I2214), Facturas_Odoo!$M:$M, 0), 0))</f>
        <v/>
      </c>
      <c r="U2214" s="79">
        <f>IF(Q2214="Sin Factura",0,IFERROR(_xlfn.XLOOKUP(1, (Facturas_Odoo!$D:$D=A2214) * (Facturas_Odoo!$K:$K=I2214), Facturas_Odoo!$N:$N, 0), 0))</f>
        <v/>
      </c>
      <c r="V2214" s="79">
        <f>IF(Q2214="Sin Factura",0,IFERROR(_xlfn.XLOOKUP(1, (Facturas_Odoo!$D:$D=A2214) * (Facturas_Odoo!$K:$K=I2214), Facturas_Odoo!$O:$O, 0), 0))</f>
        <v/>
      </c>
      <c r="W2214" s="81">
        <f>IF(Q2214="Sin Factura",0,IFERROR(_xlfn.XLOOKUP(1, (Facturas_Odoo!$D:$D=A2214) * (Facturas_Odoo!$K:$K=I2214), Facturas_Odoo!$Q:$Q, 0), 0))</f>
        <v/>
      </c>
      <c r="X2214" s="79">
        <f>IF(OR(Q2214="Sin Factura",Q2214=""),"",IFERROR(INDEX(Pagos_Odoo!$B:$B, MATCH(Q2214, Pagos_Odoo!$I:$I, 0)), "Sin Pago"))</f>
        <v/>
      </c>
      <c r="Y2214" s="79">
        <f>IF(X2214="Sin Pago","",IFERROR(INDEX(Pagos_Odoo!$C:$C, MATCH(X2214, Pagos_Odoo!$B:$B, 0)), ""))</f>
        <v/>
      </c>
      <c r="Z2214" s="80">
        <f>IF(X2214="Sin Pago","",IFERROR(INDEX(Pagos_Odoo!$A:$A, MATCH(X2214, Pagos_Odoo!$B:$B, 0)), ""))</f>
        <v/>
      </c>
      <c r="AA2214" s="79">
        <f>IF(X2214="Sin Pago","",IFERROR(INDEX(Pagos_Odoo!$F:$F, MATCH(X2214, Pagos_Odoo!$B:$B, 0)), ""))</f>
        <v/>
      </c>
      <c r="AB2214" s="81">
        <f>IF(X2214="Sin Pago",0,IFERROR(INDEX(Pagos_Odoo!$E:$E, MATCH(X2214, Pagos_Odoo!$B:$B, 0)), 0))</f>
        <v/>
      </c>
      <c r="AC2214" s="79">
        <f>IF(X2214="Sin Pago","",IFERROR(INDEX(Pagos_Odoo!$G:$G, MATCH(X2214, Pagos_Odoo!$B:$B, 0)), ""))</f>
        <v/>
      </c>
      <c r="AD2214" s="82" t="n">
        <v>0</v>
      </c>
      <c r="AE2214" s="82" t="n"/>
      <c r="AF2214" s="82" t="n"/>
      <c r="AG2214" s="82">
        <f>IF(AN2214="","",AD2214+AE2214+AF2214)</f>
        <v/>
      </c>
      <c r="AH2214" s="81">
        <f>IF(AN2214="","",P2214*(1-AG2214))</f>
        <v/>
      </c>
      <c r="AI2214" s="81">
        <f>IF(AN2214="","",IF(Q2214="Sin Factura",0,IFERROR(INDEX(Facturas_Odoo!$H:$H, MATCH(Q2214, Facturas_Odoo!$B:$B, 0)), 0)*(1-AG2214)))</f>
        <v/>
      </c>
      <c r="AJ2214" s="81">
        <f>IF(AN2214="","",_xlfn.LET(idVenta, AN2214&amp;"",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14" s="81">
        <f>IF(AN2214="","",AH2214-AJ2214)</f>
        <v/>
      </c>
      <c r="AL2214" s="81">
        <f>IF(AN2214="","",IF(Q2214="Sin Factura","",AI2214-AJ2214))</f>
        <v/>
      </c>
      <c r="AM2214" s="81">
        <f>IF(AN2214="","",IF(Q2214="Sin Factura",0,P2214-IFERROR(INDEX(Facturas_Odoo!$H:$H, MATCH(Q2214, Facturas_Odoo!$B:$B, 0)), 0)))</f>
        <v/>
      </c>
      <c r="AN2214" s="79">
        <f>IF(AND(A2214="", J2214=""), "", IF(A2214&lt;&gt;"", VALUE(MID(A2214,2,LEN(A2214))), AN2213))</f>
        <v/>
      </c>
      <c r="AO2214" s="79">
        <f>IF(AN2214="","",IF(AD2214=0,"OK",_xlfn.LET(monedaPago, IF(AA2214="","USD",AA2214), limitePermitido, IFERROR(VLOOKUP(monedaPago, Configuración!$A$2:$B$3, 2, FALSE), 0.15), IF(AD2214&gt;limitePermitido, "ALERTA: EXCESO (" &amp; TEXT(limitePermitido, "0%") &amp; " máx)", "OK"))))</f>
        <v/>
      </c>
      <c r="AP2214" s="79">
        <f>IF(AN2214="","",IF(AE2214=0,"OK",_xlfn.LET(fechaPago, Z2214, fechaFactura, R2214, diasCredito, IF(E2214="Pago inmediato", 0, IFERROR(VALUE(MID(E2214, 1, SEARCH(" ", E2214)-1)),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14" s="79">
        <f>IF(AN2214="","",IF(AND(N2214&gt;0, AG2214&gt;0), IF(Configuración!$K$2="NO", "ALERTA: DESCUENTO DOBLE NO PERMITIDO", "OK"), "OK"))</f>
        <v/>
      </c>
      <c r="AR2214" s="79">
        <f>IF(AN2214="","",IF(OR(AO2214&lt;&gt;"OK", AP2214&lt;&gt;"OK", AQ2214&lt;&gt;"OK"), "⚠️ REVISAR", "OK"))</f>
        <v/>
      </c>
    </row>
    <row r="2215">
      <c r="A2215" s="79">
        <f>IF('Ordenes_Odoo'!A2215="","",'Ordenes_Odoo'!A2215)</f>
        <v/>
      </c>
      <c r="B2215" s="80">
        <f>IF('Ordenes_Odoo'!B2215="","",'Ordenes_Odoo'!B2215)</f>
        <v/>
      </c>
      <c r="C2215" s="79">
        <f>IF('Ordenes_Odoo'!C2215="","",'Ordenes_Odoo'!C2215)</f>
        <v/>
      </c>
      <c r="D2215" s="79">
        <f>IF('Ordenes_Odoo'!D2215="","",'Ordenes_Odoo'!D2215)</f>
        <v/>
      </c>
      <c r="E2215" s="79">
        <f>IF('Ordenes_Odoo'!E2215="","",'Ordenes_Odoo'!E2215)</f>
        <v/>
      </c>
      <c r="F2215" s="79">
        <f>IF('Ordenes_Odoo'!F2215="","",'Ordenes_Odoo'!F2215)</f>
        <v/>
      </c>
      <c r="G2215" s="79">
        <f>IF('Ordenes_Odoo'!G2215="","",'Ordenes_Odoo'!G2215)</f>
        <v/>
      </c>
      <c r="H2215" s="79">
        <f>IF('Ordenes_Odoo'!H2215="","",'Ordenes_Odoo'!H2215)</f>
        <v/>
      </c>
      <c r="I2215" s="79">
        <f>IF('Ordenes_Odoo'!I2215="","",'Ordenes_Odoo'!I2215)</f>
        <v/>
      </c>
      <c r="J2215" s="79">
        <f>IF('Ordenes_Odoo'!J2215="","",'Ordenes_Odoo'!J2215)</f>
        <v/>
      </c>
      <c r="K2215" s="81">
        <f>IF('Ordenes_Odoo'!K2215="","",'Ordenes_Odoo'!K2215)</f>
        <v/>
      </c>
      <c r="L2215" s="81">
        <f>IF('Ordenes_Odoo'!L2215="","",'Ordenes_Odoo'!L2215)</f>
        <v/>
      </c>
      <c r="M2215" s="79">
        <f>IF('Ordenes_Odoo'!M2215="","",'Ordenes_Odoo'!M2215)</f>
        <v/>
      </c>
      <c r="N2215" s="79">
        <f>IF('Ordenes_Odoo'!N2215="","",'Ordenes_Odoo'!N2215)</f>
        <v/>
      </c>
      <c r="O2215" s="81">
        <f>IF('Ordenes_Odoo'!O2215="","",'Ordenes_Odoo'!O2215)</f>
        <v/>
      </c>
      <c r="P2215" s="81">
        <f>IF('Ordenes_Odoo'!P2215="","",'Ordenes_Odoo'!P2215)</f>
        <v/>
      </c>
      <c r="Q2215" s="79">
        <f>IF(A2215="","",IFERROR(INDEX(Facturas_Odoo!$B:$B, MATCH(A2215, Facturas_Odoo!$D:$D, 0)), "Sin Factura"))</f>
        <v/>
      </c>
      <c r="R2215" s="80">
        <f>IF(Q2215="Sin Factura","",IFERROR(INDEX(Facturas_Odoo!$A:$A, MATCH(Q2215, Facturas_Odoo!$B:$B, 0)), ""))</f>
        <v/>
      </c>
      <c r="S2215" s="79">
        <f>IF(Q2215="Sin Factura","",IFERROR(_xlfn.XLOOKUP(1, (Facturas_Odoo!$D:$D=A2215) * (Facturas_Odoo!$K:$K=I2215), Facturas_Odoo!$L:$L, ""), ""))</f>
        <v/>
      </c>
      <c r="T2215" s="81">
        <f>IF(Q2215="Sin Factura",0,IFERROR(_xlfn.XLOOKUP(1, (Facturas_Odoo!$D:$D=A2215) * (Facturas_Odoo!$K:$K=I2215), Facturas_Odoo!$M:$M, 0), 0))</f>
        <v/>
      </c>
      <c r="U2215" s="79">
        <f>IF(Q2215="Sin Factura",0,IFERROR(_xlfn.XLOOKUP(1, (Facturas_Odoo!$D:$D=A2215) * (Facturas_Odoo!$K:$K=I2215), Facturas_Odoo!$N:$N, 0), 0))</f>
        <v/>
      </c>
      <c r="V2215" s="79">
        <f>IF(Q2215="Sin Factura",0,IFERROR(_xlfn.XLOOKUP(1, (Facturas_Odoo!$D:$D=A2215) * (Facturas_Odoo!$K:$K=I2215), Facturas_Odoo!$O:$O, 0), 0))</f>
        <v/>
      </c>
      <c r="W2215" s="81">
        <f>IF(Q2215="Sin Factura",0,IFERROR(_xlfn.XLOOKUP(1, (Facturas_Odoo!$D:$D=A2215) * (Facturas_Odoo!$K:$K=I2215), Facturas_Odoo!$Q:$Q, 0), 0))</f>
        <v/>
      </c>
      <c r="X2215" s="79">
        <f>IF(OR(Q2215="Sin Factura",Q2215=""),"",IFERROR(INDEX(Pagos_Odoo!$B:$B, MATCH(Q2215, Pagos_Odoo!$I:$I, 0)), "Sin Pago"))</f>
        <v/>
      </c>
      <c r="Y2215" s="79">
        <f>IF(X2215="Sin Pago","",IFERROR(INDEX(Pagos_Odoo!$C:$C, MATCH(X2215, Pagos_Odoo!$B:$B, 0)), ""))</f>
        <v/>
      </c>
      <c r="Z2215" s="80">
        <f>IF(X2215="Sin Pago","",IFERROR(INDEX(Pagos_Odoo!$A:$A, MATCH(X2215, Pagos_Odoo!$B:$B, 0)), ""))</f>
        <v/>
      </c>
      <c r="AA2215" s="79">
        <f>IF(X2215="Sin Pago","",IFERROR(INDEX(Pagos_Odoo!$F:$F, MATCH(X2215, Pagos_Odoo!$B:$B, 0)), ""))</f>
        <v/>
      </c>
      <c r="AB2215" s="81">
        <f>IF(X2215="Sin Pago",0,IFERROR(INDEX(Pagos_Odoo!$E:$E, MATCH(X2215, Pagos_Odoo!$B:$B, 0)), 0))</f>
        <v/>
      </c>
      <c r="AC2215" s="79">
        <f>IF(X2215="Sin Pago","",IFERROR(INDEX(Pagos_Odoo!$G:$G, MATCH(X2215, Pagos_Odoo!$B:$B, 0)), ""))</f>
        <v/>
      </c>
      <c r="AD2215" s="82" t="n">
        <v>0</v>
      </c>
      <c r="AE2215" s="82" t="n"/>
      <c r="AF2215" s="82" t="n"/>
      <c r="AG2215" s="82">
        <f>IF(AN2215="","",AD2215+AE2215+AF2215)</f>
        <v/>
      </c>
      <c r="AH2215" s="81">
        <f>IF(AN2215="","",P2215*(1-AG2215))</f>
        <v/>
      </c>
      <c r="AI2215" s="81">
        <f>IF(AN2215="","",IF(Q2215="Sin Factura",0,IFERROR(INDEX(Facturas_Odoo!$H:$H, MATCH(Q2215, Facturas_Odoo!$B:$B, 0)), 0)*(1-AG2215)))</f>
        <v/>
      </c>
      <c r="AJ2215" s="81">
        <f>IF(AN2215="","",_xlfn.LET(idVenta, AN2215&amp;"",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15" s="81">
        <f>IF(AN2215="","",AH2215-AJ2215)</f>
        <v/>
      </c>
      <c r="AL2215" s="81">
        <f>IF(AN2215="","",IF(Q2215="Sin Factura","",AI2215-AJ2215))</f>
        <v/>
      </c>
      <c r="AM2215" s="81">
        <f>IF(AN2215="","",IF(Q2215="Sin Factura",0,P2215-IFERROR(INDEX(Facturas_Odoo!$H:$H, MATCH(Q2215, Facturas_Odoo!$B:$B, 0)), 0)))</f>
        <v/>
      </c>
      <c r="AN2215" s="79">
        <f>IF(AND(A2215="", J2215=""), "", IF(A2215&lt;&gt;"", VALUE(MID(A2215,2,LEN(A2215))), AN2214))</f>
        <v/>
      </c>
      <c r="AO2215" s="79">
        <f>IF(AN2215="","",IF(AD2215=0,"OK",_xlfn.LET(monedaPago, IF(AA2215="","USD",AA2215), limitePermitido, IFERROR(VLOOKUP(monedaPago, Configuración!$A$2:$B$3, 2, FALSE), 0.15), IF(AD2215&gt;limitePermitido, "ALERTA: EXCESO (" &amp; TEXT(limitePermitido, "0%") &amp; " máx)", "OK"))))</f>
        <v/>
      </c>
      <c r="AP2215" s="79">
        <f>IF(AN2215="","",IF(AE2215=0,"OK",_xlfn.LET(fechaPago, Z2215, fechaFactura, R2215, diasCredito, IF(E2215="Pago inmediato", 0, IFERROR(VALUE(MID(E2215, 1, SEARCH(" ", E2215)-1)),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15" s="79">
        <f>IF(AN2215="","",IF(AND(N2215&gt;0, AG2215&gt;0), IF(Configuración!$K$2="NO", "ALERTA: DESCUENTO DOBLE NO PERMITIDO", "OK"), "OK"))</f>
        <v/>
      </c>
      <c r="AR2215" s="79">
        <f>IF(AN2215="","",IF(OR(AO2215&lt;&gt;"OK", AP2215&lt;&gt;"OK", AQ2215&lt;&gt;"OK"), "⚠️ REVISAR", "OK"))</f>
        <v/>
      </c>
    </row>
    <row r="2216">
      <c r="A2216" s="79">
        <f>IF('Ordenes_Odoo'!A2216="","",'Ordenes_Odoo'!A2216)</f>
        <v/>
      </c>
      <c r="B2216" s="80">
        <f>IF('Ordenes_Odoo'!B2216="","",'Ordenes_Odoo'!B2216)</f>
        <v/>
      </c>
      <c r="C2216" s="79">
        <f>IF('Ordenes_Odoo'!C2216="","",'Ordenes_Odoo'!C2216)</f>
        <v/>
      </c>
      <c r="D2216" s="79">
        <f>IF('Ordenes_Odoo'!D2216="","",'Ordenes_Odoo'!D2216)</f>
        <v/>
      </c>
      <c r="E2216" s="79">
        <f>IF('Ordenes_Odoo'!E2216="","",'Ordenes_Odoo'!E2216)</f>
        <v/>
      </c>
      <c r="F2216" s="79">
        <f>IF('Ordenes_Odoo'!F2216="","",'Ordenes_Odoo'!F2216)</f>
        <v/>
      </c>
      <c r="G2216" s="79">
        <f>IF('Ordenes_Odoo'!G2216="","",'Ordenes_Odoo'!G2216)</f>
        <v/>
      </c>
      <c r="H2216" s="79">
        <f>IF('Ordenes_Odoo'!H2216="","",'Ordenes_Odoo'!H2216)</f>
        <v/>
      </c>
      <c r="I2216" s="79">
        <f>IF('Ordenes_Odoo'!I2216="","",'Ordenes_Odoo'!I2216)</f>
        <v/>
      </c>
      <c r="J2216" s="79">
        <f>IF('Ordenes_Odoo'!J2216="","",'Ordenes_Odoo'!J2216)</f>
        <v/>
      </c>
      <c r="K2216" s="81">
        <f>IF('Ordenes_Odoo'!K2216="","",'Ordenes_Odoo'!K2216)</f>
        <v/>
      </c>
      <c r="L2216" s="81">
        <f>IF('Ordenes_Odoo'!L2216="","",'Ordenes_Odoo'!L2216)</f>
        <v/>
      </c>
      <c r="M2216" s="79">
        <f>IF('Ordenes_Odoo'!M2216="","",'Ordenes_Odoo'!M2216)</f>
        <v/>
      </c>
      <c r="N2216" s="79">
        <f>IF('Ordenes_Odoo'!N2216="","",'Ordenes_Odoo'!N2216)</f>
        <v/>
      </c>
      <c r="O2216" s="81">
        <f>IF('Ordenes_Odoo'!O2216="","",'Ordenes_Odoo'!O2216)</f>
        <v/>
      </c>
      <c r="P2216" s="81">
        <f>IF('Ordenes_Odoo'!P2216="","",'Ordenes_Odoo'!P2216)</f>
        <v/>
      </c>
      <c r="Q2216" s="79">
        <f>IF(A2216="","",IFERROR(INDEX(Facturas_Odoo!$B:$B, MATCH(A2216, Facturas_Odoo!$D:$D, 0)), "Sin Factura"))</f>
        <v/>
      </c>
      <c r="R2216" s="80">
        <f>IF(Q2216="Sin Factura","",IFERROR(INDEX(Facturas_Odoo!$A:$A, MATCH(Q2216, Facturas_Odoo!$B:$B, 0)), ""))</f>
        <v/>
      </c>
      <c r="S2216" s="79">
        <f>IF(Q2216="Sin Factura","",IFERROR(_xlfn.XLOOKUP(1, (Facturas_Odoo!$D:$D=A2216) * (Facturas_Odoo!$K:$K=I2216), Facturas_Odoo!$L:$L, ""), ""))</f>
        <v/>
      </c>
      <c r="T2216" s="81">
        <f>IF(Q2216="Sin Factura",0,IFERROR(_xlfn.XLOOKUP(1, (Facturas_Odoo!$D:$D=A2216) * (Facturas_Odoo!$K:$K=I2216), Facturas_Odoo!$M:$M, 0), 0))</f>
        <v/>
      </c>
      <c r="U2216" s="79">
        <f>IF(Q2216="Sin Factura",0,IFERROR(_xlfn.XLOOKUP(1, (Facturas_Odoo!$D:$D=A2216) * (Facturas_Odoo!$K:$K=I2216), Facturas_Odoo!$N:$N, 0), 0))</f>
        <v/>
      </c>
      <c r="V2216" s="79">
        <f>IF(Q2216="Sin Factura",0,IFERROR(_xlfn.XLOOKUP(1, (Facturas_Odoo!$D:$D=A2216) * (Facturas_Odoo!$K:$K=I2216), Facturas_Odoo!$O:$O, 0), 0))</f>
        <v/>
      </c>
      <c r="W2216" s="81">
        <f>IF(Q2216="Sin Factura",0,IFERROR(_xlfn.XLOOKUP(1, (Facturas_Odoo!$D:$D=A2216) * (Facturas_Odoo!$K:$K=I2216), Facturas_Odoo!$Q:$Q, 0), 0))</f>
        <v/>
      </c>
      <c r="X2216" s="79">
        <f>IF(OR(Q2216="Sin Factura",Q2216=""),"",IFERROR(INDEX(Pagos_Odoo!$B:$B, MATCH(Q2216, Pagos_Odoo!$I:$I, 0)), "Sin Pago"))</f>
        <v/>
      </c>
      <c r="Y2216" s="79">
        <f>IF(X2216="Sin Pago","",IFERROR(INDEX(Pagos_Odoo!$C:$C, MATCH(X2216, Pagos_Odoo!$B:$B, 0)), ""))</f>
        <v/>
      </c>
      <c r="Z2216" s="80">
        <f>IF(X2216="Sin Pago","",IFERROR(INDEX(Pagos_Odoo!$A:$A, MATCH(X2216, Pagos_Odoo!$B:$B, 0)), ""))</f>
        <v/>
      </c>
      <c r="AA2216" s="79">
        <f>IF(X2216="Sin Pago","",IFERROR(INDEX(Pagos_Odoo!$F:$F, MATCH(X2216, Pagos_Odoo!$B:$B, 0)), ""))</f>
        <v/>
      </c>
      <c r="AB2216" s="81">
        <f>IF(X2216="Sin Pago",0,IFERROR(INDEX(Pagos_Odoo!$E:$E, MATCH(X2216, Pagos_Odoo!$B:$B, 0)), 0))</f>
        <v/>
      </c>
      <c r="AC2216" s="79">
        <f>IF(X2216="Sin Pago","",IFERROR(INDEX(Pagos_Odoo!$G:$G, MATCH(X2216, Pagos_Odoo!$B:$B, 0)), ""))</f>
        <v/>
      </c>
      <c r="AD2216" s="82" t="n">
        <v>0</v>
      </c>
      <c r="AE2216" s="82" t="n"/>
      <c r="AF2216" s="82" t="n"/>
      <c r="AG2216" s="82">
        <f>IF(AN2216="","",AD2216+AE2216+AF2216)</f>
        <v/>
      </c>
      <c r="AH2216" s="81">
        <f>IF(AN2216="","",P2216*(1-AG2216))</f>
        <v/>
      </c>
      <c r="AI2216" s="81">
        <f>IF(AN2216="","",IF(Q2216="Sin Factura",0,IFERROR(INDEX(Facturas_Odoo!$H:$H, MATCH(Q2216, Facturas_Odoo!$B:$B, 0)), 0)*(1-AG2216)))</f>
        <v/>
      </c>
      <c r="AJ2216" s="81">
        <f>IF(AN2216="","",_xlfn.LET(idVenta, AN2216&amp;"",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16" s="81">
        <f>IF(AN2216="","",AH2216-AJ2216)</f>
        <v/>
      </c>
      <c r="AL2216" s="81">
        <f>IF(AN2216="","",IF(Q2216="Sin Factura","",AI2216-AJ2216))</f>
        <v/>
      </c>
      <c r="AM2216" s="81">
        <f>IF(AN2216="","",IF(Q2216="Sin Factura",0,P2216-IFERROR(INDEX(Facturas_Odoo!$H:$H, MATCH(Q2216, Facturas_Odoo!$B:$B, 0)), 0)))</f>
        <v/>
      </c>
      <c r="AN2216" s="79">
        <f>IF(AND(A2216="", J2216=""), "", IF(A2216&lt;&gt;"", VALUE(MID(A2216,2,LEN(A2216))), AN2215))</f>
        <v/>
      </c>
      <c r="AO2216" s="79">
        <f>IF(AN2216="","",IF(AD2216=0,"OK",_xlfn.LET(monedaPago, IF(AA2216="","USD",AA2216), limitePermitido, IFERROR(VLOOKUP(monedaPago, Configuración!$A$2:$B$3, 2, FALSE), 0.15), IF(AD2216&gt;limitePermitido, "ALERTA: EXCESO (" &amp; TEXT(limitePermitido, "0%") &amp; " máx)", "OK"))))</f>
        <v/>
      </c>
      <c r="AP2216" s="79">
        <f>IF(AN2216="","",IF(AE2216=0,"OK",_xlfn.LET(fechaPago, Z2216, fechaFactura, R2216, diasCredito, IF(E2216="Pago inmediato", 0, IFERROR(VALUE(MID(E2216, 1, SEARCH(" ", E2216)-1)),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16" s="79">
        <f>IF(AN2216="","",IF(AND(N2216&gt;0, AG2216&gt;0), IF(Configuración!$K$2="NO", "ALERTA: DESCUENTO DOBLE NO PERMITIDO", "OK"), "OK"))</f>
        <v/>
      </c>
      <c r="AR2216" s="79">
        <f>IF(AN2216="","",IF(OR(AO2216&lt;&gt;"OK", AP2216&lt;&gt;"OK", AQ2216&lt;&gt;"OK"), "⚠️ REVISAR", "OK"))</f>
        <v/>
      </c>
    </row>
    <row r="2217">
      <c r="A2217" s="79">
        <f>IF('Ordenes_Odoo'!A2217="","",'Ordenes_Odoo'!A2217)</f>
        <v/>
      </c>
      <c r="B2217" s="80">
        <f>IF('Ordenes_Odoo'!B2217="","",'Ordenes_Odoo'!B2217)</f>
        <v/>
      </c>
      <c r="C2217" s="79">
        <f>IF('Ordenes_Odoo'!C2217="","",'Ordenes_Odoo'!C2217)</f>
        <v/>
      </c>
      <c r="D2217" s="79">
        <f>IF('Ordenes_Odoo'!D2217="","",'Ordenes_Odoo'!D2217)</f>
        <v/>
      </c>
      <c r="E2217" s="79">
        <f>IF('Ordenes_Odoo'!E2217="","",'Ordenes_Odoo'!E2217)</f>
        <v/>
      </c>
      <c r="F2217" s="79">
        <f>IF('Ordenes_Odoo'!F2217="","",'Ordenes_Odoo'!F2217)</f>
        <v/>
      </c>
      <c r="G2217" s="79">
        <f>IF('Ordenes_Odoo'!G2217="","",'Ordenes_Odoo'!G2217)</f>
        <v/>
      </c>
      <c r="H2217" s="79">
        <f>IF('Ordenes_Odoo'!H2217="","",'Ordenes_Odoo'!H2217)</f>
        <v/>
      </c>
      <c r="I2217" s="79">
        <f>IF('Ordenes_Odoo'!I2217="","",'Ordenes_Odoo'!I2217)</f>
        <v/>
      </c>
      <c r="J2217" s="79">
        <f>IF('Ordenes_Odoo'!J2217="","",'Ordenes_Odoo'!J2217)</f>
        <v/>
      </c>
      <c r="K2217" s="81">
        <f>IF('Ordenes_Odoo'!K2217="","",'Ordenes_Odoo'!K2217)</f>
        <v/>
      </c>
      <c r="L2217" s="81">
        <f>IF('Ordenes_Odoo'!L2217="","",'Ordenes_Odoo'!L2217)</f>
        <v/>
      </c>
      <c r="M2217" s="79">
        <f>IF('Ordenes_Odoo'!M2217="","",'Ordenes_Odoo'!M2217)</f>
        <v/>
      </c>
      <c r="N2217" s="79">
        <f>IF('Ordenes_Odoo'!N2217="","",'Ordenes_Odoo'!N2217)</f>
        <v/>
      </c>
      <c r="O2217" s="81">
        <f>IF('Ordenes_Odoo'!O2217="","",'Ordenes_Odoo'!O2217)</f>
        <v/>
      </c>
      <c r="P2217" s="81">
        <f>IF('Ordenes_Odoo'!P2217="","",'Ordenes_Odoo'!P2217)</f>
        <v/>
      </c>
      <c r="Q2217" s="79">
        <f>IF(A2217="","",IFERROR(INDEX(Facturas_Odoo!$B:$B, MATCH(A2217, Facturas_Odoo!$D:$D, 0)), "Sin Factura"))</f>
        <v/>
      </c>
      <c r="R2217" s="80">
        <f>IF(Q2217="Sin Factura","",IFERROR(INDEX(Facturas_Odoo!$A:$A, MATCH(Q2217, Facturas_Odoo!$B:$B, 0)), ""))</f>
        <v/>
      </c>
      <c r="S2217" s="79">
        <f>IF(Q2217="Sin Factura","",IFERROR(_xlfn.XLOOKUP(1, (Facturas_Odoo!$D:$D=A2217) * (Facturas_Odoo!$K:$K=I2217), Facturas_Odoo!$L:$L, ""), ""))</f>
        <v/>
      </c>
      <c r="T2217" s="81">
        <f>IF(Q2217="Sin Factura",0,IFERROR(_xlfn.XLOOKUP(1, (Facturas_Odoo!$D:$D=A2217) * (Facturas_Odoo!$K:$K=I2217), Facturas_Odoo!$M:$M, 0), 0))</f>
        <v/>
      </c>
      <c r="U2217" s="79">
        <f>IF(Q2217="Sin Factura",0,IFERROR(_xlfn.XLOOKUP(1, (Facturas_Odoo!$D:$D=A2217) * (Facturas_Odoo!$K:$K=I2217), Facturas_Odoo!$N:$N, 0), 0))</f>
        <v/>
      </c>
      <c r="V2217" s="79">
        <f>IF(Q2217="Sin Factura",0,IFERROR(_xlfn.XLOOKUP(1, (Facturas_Odoo!$D:$D=A2217) * (Facturas_Odoo!$K:$K=I2217), Facturas_Odoo!$O:$O, 0), 0))</f>
        <v/>
      </c>
      <c r="W2217" s="81">
        <f>IF(Q2217="Sin Factura",0,IFERROR(_xlfn.XLOOKUP(1, (Facturas_Odoo!$D:$D=A2217) * (Facturas_Odoo!$K:$K=I2217), Facturas_Odoo!$Q:$Q, 0), 0))</f>
        <v/>
      </c>
      <c r="X2217" s="79">
        <f>IF(OR(Q2217="Sin Factura",Q2217=""),"",IFERROR(INDEX(Pagos_Odoo!$B:$B, MATCH(Q2217, Pagos_Odoo!$I:$I, 0)), "Sin Pago"))</f>
        <v/>
      </c>
      <c r="Y2217" s="79">
        <f>IF(X2217="Sin Pago","",IFERROR(INDEX(Pagos_Odoo!$C:$C, MATCH(X2217, Pagos_Odoo!$B:$B, 0)), ""))</f>
        <v/>
      </c>
      <c r="Z2217" s="80">
        <f>IF(X2217="Sin Pago","",IFERROR(INDEX(Pagos_Odoo!$A:$A, MATCH(X2217, Pagos_Odoo!$B:$B, 0)), ""))</f>
        <v/>
      </c>
      <c r="AA2217" s="79">
        <f>IF(X2217="Sin Pago","",IFERROR(INDEX(Pagos_Odoo!$F:$F, MATCH(X2217, Pagos_Odoo!$B:$B, 0)), ""))</f>
        <v/>
      </c>
      <c r="AB2217" s="81">
        <f>IF(X2217="Sin Pago",0,IFERROR(INDEX(Pagos_Odoo!$E:$E, MATCH(X2217, Pagos_Odoo!$B:$B, 0)), 0))</f>
        <v/>
      </c>
      <c r="AC2217" s="79">
        <f>IF(X2217="Sin Pago","",IFERROR(INDEX(Pagos_Odoo!$G:$G, MATCH(X2217, Pagos_Odoo!$B:$B, 0)), ""))</f>
        <v/>
      </c>
      <c r="AD2217" s="82" t="n">
        <v>0</v>
      </c>
      <c r="AE2217" s="82" t="n"/>
      <c r="AF2217" s="82" t="n"/>
      <c r="AG2217" s="82">
        <f>IF(AN2217="","",AD2217+AE2217+AF2217)</f>
        <v/>
      </c>
      <c r="AH2217" s="81">
        <f>IF(AN2217="","",P2217*(1-AG2217))</f>
        <v/>
      </c>
      <c r="AI2217" s="81">
        <f>IF(AN2217="","",IF(Q2217="Sin Factura",0,IFERROR(INDEX(Facturas_Odoo!$H:$H, MATCH(Q2217, Facturas_Odoo!$B:$B, 0)), 0)*(1-AG2217)))</f>
        <v/>
      </c>
      <c r="AJ2217" s="81">
        <f>IF(AN2217="","",_xlfn.LET(idVenta, AN2217&amp;"",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17" s="81">
        <f>IF(AN2217="","",AH2217-AJ2217)</f>
        <v/>
      </c>
      <c r="AL2217" s="81">
        <f>IF(AN2217="","",IF(Q2217="Sin Factura","",AI2217-AJ2217))</f>
        <v/>
      </c>
      <c r="AM2217" s="81">
        <f>IF(AN2217="","",IF(Q2217="Sin Factura",0,P2217-IFERROR(INDEX(Facturas_Odoo!$H:$H, MATCH(Q2217, Facturas_Odoo!$B:$B, 0)), 0)))</f>
        <v/>
      </c>
      <c r="AN2217" s="79">
        <f>IF(AND(A2217="", J2217=""), "", IF(A2217&lt;&gt;"", VALUE(MID(A2217,2,LEN(A2217))), AN2216))</f>
        <v/>
      </c>
      <c r="AO2217" s="79">
        <f>IF(AN2217="","",IF(AD2217=0,"OK",_xlfn.LET(monedaPago, IF(AA2217="","USD",AA2217), limitePermitido, IFERROR(VLOOKUP(monedaPago, Configuración!$A$2:$B$3, 2, FALSE), 0.15), IF(AD2217&gt;limitePermitido, "ALERTA: EXCESO (" &amp; TEXT(limitePermitido, "0%") &amp; " máx)", "OK"))))</f>
        <v/>
      </c>
      <c r="AP2217" s="79">
        <f>IF(AN2217="","",IF(AE2217=0,"OK",_xlfn.LET(fechaPago, Z2217, fechaFactura, R2217, diasCredito, IF(E2217="Pago inmediato", 0, IFERROR(VALUE(MID(E2217, 1, SEARCH(" ", E2217)-1)),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17" s="79">
        <f>IF(AN2217="","",IF(AND(N2217&gt;0, AG2217&gt;0), IF(Configuración!$K$2="NO", "ALERTA: DESCUENTO DOBLE NO PERMITIDO", "OK"), "OK"))</f>
        <v/>
      </c>
      <c r="AR2217" s="79">
        <f>IF(AN2217="","",IF(OR(AO2217&lt;&gt;"OK", AP2217&lt;&gt;"OK", AQ2217&lt;&gt;"OK"), "⚠️ REVISAR", "OK"))</f>
        <v/>
      </c>
    </row>
    <row r="2218">
      <c r="A2218" s="79">
        <f>IF('Ordenes_Odoo'!A2218="","",'Ordenes_Odoo'!A2218)</f>
        <v/>
      </c>
      <c r="B2218" s="80">
        <f>IF('Ordenes_Odoo'!B2218="","",'Ordenes_Odoo'!B2218)</f>
        <v/>
      </c>
      <c r="C2218" s="79">
        <f>IF('Ordenes_Odoo'!C2218="","",'Ordenes_Odoo'!C2218)</f>
        <v/>
      </c>
      <c r="D2218" s="79">
        <f>IF('Ordenes_Odoo'!D2218="","",'Ordenes_Odoo'!D2218)</f>
        <v/>
      </c>
      <c r="E2218" s="79">
        <f>IF('Ordenes_Odoo'!E2218="","",'Ordenes_Odoo'!E2218)</f>
        <v/>
      </c>
      <c r="F2218" s="79">
        <f>IF('Ordenes_Odoo'!F2218="","",'Ordenes_Odoo'!F2218)</f>
        <v/>
      </c>
      <c r="G2218" s="79">
        <f>IF('Ordenes_Odoo'!G2218="","",'Ordenes_Odoo'!G2218)</f>
        <v/>
      </c>
      <c r="H2218" s="79">
        <f>IF('Ordenes_Odoo'!H2218="","",'Ordenes_Odoo'!H2218)</f>
        <v/>
      </c>
      <c r="I2218" s="79">
        <f>IF('Ordenes_Odoo'!I2218="","",'Ordenes_Odoo'!I2218)</f>
        <v/>
      </c>
      <c r="J2218" s="79">
        <f>IF('Ordenes_Odoo'!J2218="","",'Ordenes_Odoo'!J2218)</f>
        <v/>
      </c>
      <c r="K2218" s="81">
        <f>IF('Ordenes_Odoo'!K2218="","",'Ordenes_Odoo'!K2218)</f>
        <v/>
      </c>
      <c r="L2218" s="81">
        <f>IF('Ordenes_Odoo'!L2218="","",'Ordenes_Odoo'!L2218)</f>
        <v/>
      </c>
      <c r="M2218" s="79">
        <f>IF('Ordenes_Odoo'!M2218="","",'Ordenes_Odoo'!M2218)</f>
        <v/>
      </c>
      <c r="N2218" s="79">
        <f>IF('Ordenes_Odoo'!N2218="","",'Ordenes_Odoo'!N2218)</f>
        <v/>
      </c>
      <c r="O2218" s="81">
        <f>IF('Ordenes_Odoo'!O2218="","",'Ordenes_Odoo'!O2218)</f>
        <v/>
      </c>
      <c r="P2218" s="81">
        <f>IF('Ordenes_Odoo'!P2218="","",'Ordenes_Odoo'!P2218)</f>
        <v/>
      </c>
      <c r="Q2218" s="79">
        <f>IF(A2218="","",IFERROR(INDEX(Facturas_Odoo!$B:$B, MATCH(A2218, Facturas_Odoo!$D:$D, 0)), "Sin Factura"))</f>
        <v/>
      </c>
      <c r="R2218" s="80">
        <f>IF(Q2218="Sin Factura","",IFERROR(INDEX(Facturas_Odoo!$A:$A, MATCH(Q2218, Facturas_Odoo!$B:$B, 0)), ""))</f>
        <v/>
      </c>
      <c r="S2218" s="79">
        <f>IF(Q2218="Sin Factura","",IFERROR(_xlfn.XLOOKUP(1, (Facturas_Odoo!$D:$D=A2218) * (Facturas_Odoo!$K:$K=I2218), Facturas_Odoo!$L:$L, ""), ""))</f>
        <v/>
      </c>
      <c r="T2218" s="81">
        <f>IF(Q2218="Sin Factura",0,IFERROR(_xlfn.XLOOKUP(1, (Facturas_Odoo!$D:$D=A2218) * (Facturas_Odoo!$K:$K=I2218), Facturas_Odoo!$M:$M, 0), 0))</f>
        <v/>
      </c>
      <c r="U2218" s="79">
        <f>IF(Q2218="Sin Factura",0,IFERROR(_xlfn.XLOOKUP(1, (Facturas_Odoo!$D:$D=A2218) * (Facturas_Odoo!$K:$K=I2218), Facturas_Odoo!$N:$N, 0), 0))</f>
        <v/>
      </c>
      <c r="V2218" s="79">
        <f>IF(Q2218="Sin Factura",0,IFERROR(_xlfn.XLOOKUP(1, (Facturas_Odoo!$D:$D=A2218) * (Facturas_Odoo!$K:$K=I2218), Facturas_Odoo!$O:$O, 0), 0))</f>
        <v/>
      </c>
      <c r="W2218" s="81">
        <f>IF(Q2218="Sin Factura",0,IFERROR(_xlfn.XLOOKUP(1, (Facturas_Odoo!$D:$D=A2218) * (Facturas_Odoo!$K:$K=I2218), Facturas_Odoo!$Q:$Q, 0), 0))</f>
        <v/>
      </c>
      <c r="X2218" s="79">
        <f>IF(OR(Q2218="Sin Factura",Q2218=""),"",IFERROR(INDEX(Pagos_Odoo!$B:$B, MATCH(Q2218, Pagos_Odoo!$I:$I, 0)), "Sin Pago"))</f>
        <v/>
      </c>
      <c r="Y2218" s="79">
        <f>IF(X2218="Sin Pago","",IFERROR(INDEX(Pagos_Odoo!$C:$C, MATCH(X2218, Pagos_Odoo!$B:$B, 0)), ""))</f>
        <v/>
      </c>
      <c r="Z2218" s="80">
        <f>IF(X2218="Sin Pago","",IFERROR(INDEX(Pagos_Odoo!$A:$A, MATCH(X2218, Pagos_Odoo!$B:$B, 0)), ""))</f>
        <v/>
      </c>
      <c r="AA2218" s="79">
        <f>IF(X2218="Sin Pago","",IFERROR(INDEX(Pagos_Odoo!$F:$F, MATCH(X2218, Pagos_Odoo!$B:$B, 0)), ""))</f>
        <v/>
      </c>
      <c r="AB2218" s="81">
        <f>IF(X2218="Sin Pago",0,IFERROR(INDEX(Pagos_Odoo!$E:$E, MATCH(X2218, Pagos_Odoo!$B:$B, 0)), 0))</f>
        <v/>
      </c>
      <c r="AC2218" s="79">
        <f>IF(X2218="Sin Pago","",IFERROR(INDEX(Pagos_Odoo!$G:$G, MATCH(X2218, Pagos_Odoo!$B:$B, 0)), ""))</f>
        <v/>
      </c>
      <c r="AD2218" s="82" t="n">
        <v>0</v>
      </c>
      <c r="AE2218" s="82" t="n"/>
      <c r="AF2218" s="82" t="n"/>
      <c r="AG2218" s="82">
        <f>IF(AN2218="","",AD2218+AE2218+AF2218)</f>
        <v/>
      </c>
      <c r="AH2218" s="81">
        <f>IF(AN2218="","",P2218*(1-AG2218))</f>
        <v/>
      </c>
      <c r="AI2218" s="81">
        <f>IF(AN2218="","",IF(Q2218="Sin Factura",0,IFERROR(INDEX(Facturas_Odoo!$H:$H, MATCH(Q2218, Facturas_Odoo!$B:$B, 0)), 0)*(1-AG2218)))</f>
        <v/>
      </c>
      <c r="AJ2218" s="81">
        <f>IF(AN2218="","",_xlfn.LET(idVenta, AN2218&amp;"",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18" s="81">
        <f>IF(AN2218="","",AH2218-AJ2218)</f>
        <v/>
      </c>
      <c r="AL2218" s="81">
        <f>IF(AN2218="","",IF(Q2218="Sin Factura","",AI2218-AJ2218))</f>
        <v/>
      </c>
      <c r="AM2218" s="81">
        <f>IF(AN2218="","",IF(Q2218="Sin Factura",0,P2218-IFERROR(INDEX(Facturas_Odoo!$H:$H, MATCH(Q2218, Facturas_Odoo!$B:$B, 0)), 0)))</f>
        <v/>
      </c>
      <c r="AN2218" s="79">
        <f>IF(AND(A2218="", J2218=""), "", IF(A2218&lt;&gt;"", VALUE(MID(A2218,2,LEN(A2218))), AN2217))</f>
        <v/>
      </c>
      <c r="AO2218" s="79">
        <f>IF(AN2218="","",IF(AD2218=0,"OK",_xlfn.LET(monedaPago, IF(AA2218="","USD",AA2218), limitePermitido, IFERROR(VLOOKUP(monedaPago, Configuración!$A$2:$B$3, 2, FALSE), 0.15), IF(AD2218&gt;limitePermitido, "ALERTA: EXCESO (" &amp; TEXT(limitePermitido, "0%") &amp; " máx)", "OK"))))</f>
        <v/>
      </c>
      <c r="AP2218" s="79">
        <f>IF(AN2218="","",IF(AE2218=0,"OK",_xlfn.LET(fechaPago, Z2218, fechaFactura, R2218, diasCredito, IF(E2218="Pago inmediato", 0, IFERROR(VALUE(MID(E2218, 1, SEARCH(" ", E2218)-1)),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18" s="79">
        <f>IF(AN2218="","",IF(AND(N2218&gt;0, AG2218&gt;0), IF(Configuración!$K$2="NO", "ALERTA: DESCUENTO DOBLE NO PERMITIDO", "OK"), "OK"))</f>
        <v/>
      </c>
      <c r="AR2218" s="79">
        <f>IF(AN2218="","",IF(OR(AO2218&lt;&gt;"OK", AP2218&lt;&gt;"OK", AQ2218&lt;&gt;"OK"), "⚠️ REVISAR", "OK"))</f>
        <v/>
      </c>
    </row>
    <row r="2219">
      <c r="A2219" s="79">
        <f>IF('Ordenes_Odoo'!A2219="","",'Ordenes_Odoo'!A2219)</f>
        <v/>
      </c>
      <c r="B2219" s="80">
        <f>IF('Ordenes_Odoo'!B2219="","",'Ordenes_Odoo'!B2219)</f>
        <v/>
      </c>
      <c r="C2219" s="79">
        <f>IF('Ordenes_Odoo'!C2219="","",'Ordenes_Odoo'!C2219)</f>
        <v/>
      </c>
      <c r="D2219" s="79">
        <f>IF('Ordenes_Odoo'!D2219="","",'Ordenes_Odoo'!D2219)</f>
        <v/>
      </c>
      <c r="E2219" s="79">
        <f>IF('Ordenes_Odoo'!E2219="","",'Ordenes_Odoo'!E2219)</f>
        <v/>
      </c>
      <c r="F2219" s="79">
        <f>IF('Ordenes_Odoo'!F2219="","",'Ordenes_Odoo'!F2219)</f>
        <v/>
      </c>
      <c r="G2219" s="79">
        <f>IF('Ordenes_Odoo'!G2219="","",'Ordenes_Odoo'!G2219)</f>
        <v/>
      </c>
      <c r="H2219" s="79">
        <f>IF('Ordenes_Odoo'!H2219="","",'Ordenes_Odoo'!H2219)</f>
        <v/>
      </c>
      <c r="I2219" s="79">
        <f>IF('Ordenes_Odoo'!I2219="","",'Ordenes_Odoo'!I2219)</f>
        <v/>
      </c>
      <c r="J2219" s="79">
        <f>IF('Ordenes_Odoo'!J2219="","",'Ordenes_Odoo'!J2219)</f>
        <v/>
      </c>
      <c r="K2219" s="81">
        <f>IF('Ordenes_Odoo'!K2219="","",'Ordenes_Odoo'!K2219)</f>
        <v/>
      </c>
      <c r="L2219" s="81">
        <f>IF('Ordenes_Odoo'!L2219="","",'Ordenes_Odoo'!L2219)</f>
        <v/>
      </c>
      <c r="M2219" s="79">
        <f>IF('Ordenes_Odoo'!M2219="","",'Ordenes_Odoo'!M2219)</f>
        <v/>
      </c>
      <c r="N2219" s="79">
        <f>IF('Ordenes_Odoo'!N2219="","",'Ordenes_Odoo'!N2219)</f>
        <v/>
      </c>
      <c r="O2219" s="81">
        <f>IF('Ordenes_Odoo'!O2219="","",'Ordenes_Odoo'!O2219)</f>
        <v/>
      </c>
      <c r="P2219" s="81">
        <f>IF('Ordenes_Odoo'!P2219="","",'Ordenes_Odoo'!P2219)</f>
        <v/>
      </c>
      <c r="Q2219" s="79">
        <f>IF(A2219="","",IFERROR(INDEX(Facturas_Odoo!$B:$B, MATCH(A2219, Facturas_Odoo!$D:$D, 0)), "Sin Factura"))</f>
        <v/>
      </c>
      <c r="R2219" s="80">
        <f>IF(Q2219="Sin Factura","",IFERROR(INDEX(Facturas_Odoo!$A:$A, MATCH(Q2219, Facturas_Odoo!$B:$B, 0)), ""))</f>
        <v/>
      </c>
      <c r="S2219" s="79">
        <f>IF(Q2219="Sin Factura","",IFERROR(_xlfn.XLOOKUP(1, (Facturas_Odoo!$D:$D=A2219) * (Facturas_Odoo!$K:$K=I2219), Facturas_Odoo!$L:$L, ""), ""))</f>
        <v/>
      </c>
      <c r="T2219" s="81">
        <f>IF(Q2219="Sin Factura",0,IFERROR(_xlfn.XLOOKUP(1, (Facturas_Odoo!$D:$D=A2219) * (Facturas_Odoo!$K:$K=I2219), Facturas_Odoo!$M:$M, 0), 0))</f>
        <v/>
      </c>
      <c r="U2219" s="79">
        <f>IF(Q2219="Sin Factura",0,IFERROR(_xlfn.XLOOKUP(1, (Facturas_Odoo!$D:$D=A2219) * (Facturas_Odoo!$K:$K=I2219), Facturas_Odoo!$N:$N, 0), 0))</f>
        <v/>
      </c>
      <c r="V2219" s="79">
        <f>IF(Q2219="Sin Factura",0,IFERROR(_xlfn.XLOOKUP(1, (Facturas_Odoo!$D:$D=A2219) * (Facturas_Odoo!$K:$K=I2219), Facturas_Odoo!$O:$O, 0), 0))</f>
        <v/>
      </c>
      <c r="W2219" s="81">
        <f>IF(Q2219="Sin Factura",0,IFERROR(_xlfn.XLOOKUP(1, (Facturas_Odoo!$D:$D=A2219) * (Facturas_Odoo!$K:$K=I2219), Facturas_Odoo!$Q:$Q, 0), 0))</f>
        <v/>
      </c>
      <c r="X2219" s="79">
        <f>IF(OR(Q2219="Sin Factura",Q2219=""),"",IFERROR(INDEX(Pagos_Odoo!$B:$B, MATCH(Q2219, Pagos_Odoo!$I:$I, 0)), "Sin Pago"))</f>
        <v/>
      </c>
      <c r="Y2219" s="79">
        <f>IF(X2219="Sin Pago","",IFERROR(INDEX(Pagos_Odoo!$C:$C, MATCH(X2219, Pagos_Odoo!$B:$B, 0)), ""))</f>
        <v/>
      </c>
      <c r="Z2219" s="80">
        <f>IF(X2219="Sin Pago","",IFERROR(INDEX(Pagos_Odoo!$A:$A, MATCH(X2219, Pagos_Odoo!$B:$B, 0)), ""))</f>
        <v/>
      </c>
      <c r="AA2219" s="79">
        <f>IF(X2219="Sin Pago","",IFERROR(INDEX(Pagos_Odoo!$F:$F, MATCH(X2219, Pagos_Odoo!$B:$B, 0)), ""))</f>
        <v/>
      </c>
      <c r="AB2219" s="81">
        <f>IF(X2219="Sin Pago",0,IFERROR(INDEX(Pagos_Odoo!$E:$E, MATCH(X2219, Pagos_Odoo!$B:$B, 0)), 0))</f>
        <v/>
      </c>
      <c r="AC2219" s="79">
        <f>IF(X2219="Sin Pago","",IFERROR(INDEX(Pagos_Odoo!$G:$G, MATCH(X2219, Pagos_Odoo!$B:$B, 0)), ""))</f>
        <v/>
      </c>
      <c r="AD2219" s="82" t="n">
        <v>0</v>
      </c>
      <c r="AE2219" s="82" t="n"/>
      <c r="AF2219" s="82" t="n"/>
      <c r="AG2219" s="82">
        <f>IF(AN2219="","",AD2219+AE2219+AF2219)</f>
        <v/>
      </c>
      <c r="AH2219" s="81">
        <f>IF(AN2219="","",P2219*(1-AG2219))</f>
        <v/>
      </c>
      <c r="AI2219" s="81">
        <f>IF(AN2219="","",IF(Q2219="Sin Factura",0,IFERROR(INDEX(Facturas_Odoo!$H:$H, MATCH(Q2219, Facturas_Odoo!$B:$B, 0)), 0)*(1-AG2219)))</f>
        <v/>
      </c>
      <c r="AJ2219" s="81">
        <f>IF(AN2219="","",_xlfn.LET(idVenta, AN2219&amp;"",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19" s="81">
        <f>IF(AN2219="","",AH2219-AJ2219)</f>
        <v/>
      </c>
      <c r="AL2219" s="81">
        <f>IF(AN2219="","",IF(Q2219="Sin Factura","",AI2219-AJ2219))</f>
        <v/>
      </c>
      <c r="AM2219" s="81">
        <f>IF(AN2219="","",IF(Q2219="Sin Factura",0,P2219-IFERROR(INDEX(Facturas_Odoo!$H:$H, MATCH(Q2219, Facturas_Odoo!$B:$B, 0)), 0)))</f>
        <v/>
      </c>
      <c r="AN2219" s="79">
        <f>IF(AND(A2219="", J2219=""), "", IF(A2219&lt;&gt;"", VALUE(MID(A2219,2,LEN(A2219))), AN2218))</f>
        <v/>
      </c>
      <c r="AO2219" s="79">
        <f>IF(AN2219="","",IF(AD2219=0,"OK",_xlfn.LET(monedaPago, IF(AA2219="","USD",AA2219), limitePermitido, IFERROR(VLOOKUP(monedaPago, Configuración!$A$2:$B$3, 2, FALSE), 0.15), IF(AD2219&gt;limitePermitido, "ALERTA: EXCESO (" &amp; TEXT(limitePermitido, "0%") &amp; " máx)", "OK"))))</f>
        <v/>
      </c>
      <c r="AP2219" s="79">
        <f>IF(AN2219="","",IF(AE2219=0,"OK",_xlfn.LET(fechaPago, Z2219, fechaFactura, R2219, diasCredito, IF(E2219="Pago inmediato", 0, IFERROR(VALUE(MID(E2219, 1, SEARCH(" ", E2219)-1)),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19" s="79">
        <f>IF(AN2219="","",IF(AND(N2219&gt;0, AG2219&gt;0), IF(Configuración!$K$2="NO", "ALERTA: DESCUENTO DOBLE NO PERMITIDO", "OK"), "OK"))</f>
        <v/>
      </c>
      <c r="AR2219" s="79">
        <f>IF(AN2219="","",IF(OR(AO2219&lt;&gt;"OK", AP2219&lt;&gt;"OK", AQ2219&lt;&gt;"OK"), "⚠️ REVISAR", "OK"))</f>
        <v/>
      </c>
    </row>
    <row r="2220">
      <c r="A2220" s="79">
        <f>IF('Ordenes_Odoo'!A2220="","",'Ordenes_Odoo'!A2220)</f>
        <v/>
      </c>
      <c r="B2220" s="80">
        <f>IF('Ordenes_Odoo'!B2220="","",'Ordenes_Odoo'!B2220)</f>
        <v/>
      </c>
      <c r="C2220" s="79">
        <f>IF('Ordenes_Odoo'!C2220="","",'Ordenes_Odoo'!C2220)</f>
        <v/>
      </c>
      <c r="D2220" s="79">
        <f>IF('Ordenes_Odoo'!D2220="","",'Ordenes_Odoo'!D2220)</f>
        <v/>
      </c>
      <c r="E2220" s="79">
        <f>IF('Ordenes_Odoo'!E2220="","",'Ordenes_Odoo'!E2220)</f>
        <v/>
      </c>
      <c r="F2220" s="79">
        <f>IF('Ordenes_Odoo'!F2220="","",'Ordenes_Odoo'!F2220)</f>
        <v/>
      </c>
      <c r="G2220" s="79">
        <f>IF('Ordenes_Odoo'!G2220="","",'Ordenes_Odoo'!G2220)</f>
        <v/>
      </c>
      <c r="H2220" s="79">
        <f>IF('Ordenes_Odoo'!H2220="","",'Ordenes_Odoo'!H2220)</f>
        <v/>
      </c>
      <c r="I2220" s="79">
        <f>IF('Ordenes_Odoo'!I2220="","",'Ordenes_Odoo'!I2220)</f>
        <v/>
      </c>
      <c r="J2220" s="79">
        <f>IF('Ordenes_Odoo'!J2220="","",'Ordenes_Odoo'!J2220)</f>
        <v/>
      </c>
      <c r="K2220" s="81">
        <f>IF('Ordenes_Odoo'!K2220="","",'Ordenes_Odoo'!K2220)</f>
        <v/>
      </c>
      <c r="L2220" s="81">
        <f>IF('Ordenes_Odoo'!L2220="","",'Ordenes_Odoo'!L2220)</f>
        <v/>
      </c>
      <c r="M2220" s="79">
        <f>IF('Ordenes_Odoo'!M2220="","",'Ordenes_Odoo'!M2220)</f>
        <v/>
      </c>
      <c r="N2220" s="79">
        <f>IF('Ordenes_Odoo'!N2220="","",'Ordenes_Odoo'!N2220)</f>
        <v/>
      </c>
      <c r="O2220" s="81">
        <f>IF('Ordenes_Odoo'!O2220="","",'Ordenes_Odoo'!O2220)</f>
        <v/>
      </c>
      <c r="P2220" s="81">
        <f>IF('Ordenes_Odoo'!P2220="","",'Ordenes_Odoo'!P2220)</f>
        <v/>
      </c>
      <c r="Q2220" s="79">
        <f>IF(A2220="","",IFERROR(INDEX(Facturas_Odoo!$B:$B, MATCH(A2220, Facturas_Odoo!$D:$D, 0)), "Sin Factura"))</f>
        <v/>
      </c>
      <c r="R2220" s="80">
        <f>IF(Q2220="Sin Factura","",IFERROR(INDEX(Facturas_Odoo!$A:$A, MATCH(Q2220, Facturas_Odoo!$B:$B, 0)), ""))</f>
        <v/>
      </c>
      <c r="S2220" s="79">
        <f>IF(Q2220="Sin Factura","",IFERROR(_xlfn.XLOOKUP(1, (Facturas_Odoo!$D:$D=A2220) * (Facturas_Odoo!$K:$K=I2220), Facturas_Odoo!$L:$L, ""), ""))</f>
        <v/>
      </c>
      <c r="T2220" s="81">
        <f>IF(Q2220="Sin Factura",0,IFERROR(_xlfn.XLOOKUP(1, (Facturas_Odoo!$D:$D=A2220) * (Facturas_Odoo!$K:$K=I2220), Facturas_Odoo!$M:$M, 0), 0))</f>
        <v/>
      </c>
      <c r="U2220" s="79">
        <f>IF(Q2220="Sin Factura",0,IFERROR(_xlfn.XLOOKUP(1, (Facturas_Odoo!$D:$D=A2220) * (Facturas_Odoo!$K:$K=I2220), Facturas_Odoo!$N:$N, 0), 0))</f>
        <v/>
      </c>
      <c r="V2220" s="79">
        <f>IF(Q2220="Sin Factura",0,IFERROR(_xlfn.XLOOKUP(1, (Facturas_Odoo!$D:$D=A2220) * (Facturas_Odoo!$K:$K=I2220), Facturas_Odoo!$O:$O, 0), 0))</f>
        <v/>
      </c>
      <c r="W2220" s="81">
        <f>IF(Q2220="Sin Factura",0,IFERROR(_xlfn.XLOOKUP(1, (Facturas_Odoo!$D:$D=A2220) * (Facturas_Odoo!$K:$K=I2220), Facturas_Odoo!$Q:$Q, 0), 0))</f>
        <v/>
      </c>
      <c r="X2220" s="79">
        <f>IF(OR(Q2220="Sin Factura",Q2220=""),"",IFERROR(INDEX(Pagos_Odoo!$B:$B, MATCH(Q2220, Pagos_Odoo!$I:$I, 0)), "Sin Pago"))</f>
        <v/>
      </c>
      <c r="Y2220" s="79">
        <f>IF(X2220="Sin Pago","",IFERROR(INDEX(Pagos_Odoo!$C:$C, MATCH(X2220, Pagos_Odoo!$B:$B, 0)), ""))</f>
        <v/>
      </c>
      <c r="Z2220" s="80">
        <f>IF(X2220="Sin Pago","",IFERROR(INDEX(Pagos_Odoo!$A:$A, MATCH(X2220, Pagos_Odoo!$B:$B, 0)), ""))</f>
        <v/>
      </c>
      <c r="AA2220" s="79">
        <f>IF(X2220="Sin Pago","",IFERROR(INDEX(Pagos_Odoo!$F:$F, MATCH(X2220, Pagos_Odoo!$B:$B, 0)), ""))</f>
        <v/>
      </c>
      <c r="AB2220" s="81">
        <f>IF(X2220="Sin Pago",0,IFERROR(INDEX(Pagos_Odoo!$E:$E, MATCH(X2220, Pagos_Odoo!$B:$B, 0)), 0))</f>
        <v/>
      </c>
      <c r="AC2220" s="79">
        <f>IF(X2220="Sin Pago","",IFERROR(INDEX(Pagos_Odoo!$G:$G, MATCH(X2220, Pagos_Odoo!$B:$B, 0)), ""))</f>
        <v/>
      </c>
      <c r="AD2220" s="82" t="n">
        <v>0</v>
      </c>
      <c r="AE2220" s="82" t="n"/>
      <c r="AF2220" s="82" t="n"/>
      <c r="AG2220" s="82">
        <f>IF(AN2220="","",AD2220+AE2220+AF2220)</f>
        <v/>
      </c>
      <c r="AH2220" s="81">
        <f>IF(AN2220="","",P2220*(1-AG2220))</f>
        <v/>
      </c>
      <c r="AI2220" s="81">
        <f>IF(AN2220="","",IF(Q2220="Sin Factura",0,IFERROR(INDEX(Facturas_Odoo!$H:$H, MATCH(Q2220, Facturas_Odoo!$B:$B, 0)), 0)*(1-AG2220)))</f>
        <v/>
      </c>
      <c r="AJ2220" s="81">
        <f>IF(AN2220="","",_xlfn.LET(idVenta, AN2220&amp;"",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20" s="81">
        <f>IF(AN2220="","",AH2220-AJ2220)</f>
        <v/>
      </c>
      <c r="AL2220" s="81">
        <f>IF(AN2220="","",IF(Q2220="Sin Factura","",AI2220-AJ2220))</f>
        <v/>
      </c>
      <c r="AM2220" s="81">
        <f>IF(AN2220="","",IF(Q2220="Sin Factura",0,P2220-IFERROR(INDEX(Facturas_Odoo!$H:$H, MATCH(Q2220, Facturas_Odoo!$B:$B, 0)), 0)))</f>
        <v/>
      </c>
      <c r="AN2220" s="79">
        <f>IF(AND(A2220="", J2220=""), "", IF(A2220&lt;&gt;"", VALUE(MID(A2220,2,LEN(A2220))), AN2219))</f>
        <v/>
      </c>
      <c r="AO2220" s="79">
        <f>IF(AN2220="","",IF(AD2220=0,"OK",_xlfn.LET(monedaPago, IF(AA2220="","USD",AA2220), limitePermitido, IFERROR(VLOOKUP(monedaPago, Configuración!$A$2:$B$3, 2, FALSE), 0.15), IF(AD2220&gt;limitePermitido, "ALERTA: EXCESO (" &amp; TEXT(limitePermitido, "0%") &amp; " máx)", "OK"))))</f>
        <v/>
      </c>
      <c r="AP2220" s="79">
        <f>IF(AN2220="","",IF(AE2220=0,"OK",_xlfn.LET(fechaPago, Z2220, fechaFactura, R2220, diasCredito, IF(E2220="Pago inmediato", 0, IFERROR(VALUE(MID(E2220, 1, SEARCH(" ", E2220)-1)),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20" s="79">
        <f>IF(AN2220="","",IF(AND(N2220&gt;0, AG2220&gt;0), IF(Configuración!$K$2="NO", "ALERTA: DESCUENTO DOBLE NO PERMITIDO", "OK"), "OK"))</f>
        <v/>
      </c>
      <c r="AR2220" s="79">
        <f>IF(AN2220="","",IF(OR(AO2220&lt;&gt;"OK", AP2220&lt;&gt;"OK", AQ2220&lt;&gt;"OK"), "⚠️ REVISAR", "OK"))</f>
        <v/>
      </c>
    </row>
    <row r="2221">
      <c r="A2221" s="79">
        <f>IF('Ordenes_Odoo'!A2221="","",'Ordenes_Odoo'!A2221)</f>
        <v/>
      </c>
      <c r="B2221" s="80">
        <f>IF('Ordenes_Odoo'!B2221="","",'Ordenes_Odoo'!B2221)</f>
        <v/>
      </c>
      <c r="C2221" s="79">
        <f>IF('Ordenes_Odoo'!C2221="","",'Ordenes_Odoo'!C2221)</f>
        <v/>
      </c>
      <c r="D2221" s="79">
        <f>IF('Ordenes_Odoo'!D2221="","",'Ordenes_Odoo'!D2221)</f>
        <v/>
      </c>
      <c r="E2221" s="79">
        <f>IF('Ordenes_Odoo'!E2221="","",'Ordenes_Odoo'!E2221)</f>
        <v/>
      </c>
      <c r="F2221" s="79">
        <f>IF('Ordenes_Odoo'!F2221="","",'Ordenes_Odoo'!F2221)</f>
        <v/>
      </c>
      <c r="G2221" s="79">
        <f>IF('Ordenes_Odoo'!G2221="","",'Ordenes_Odoo'!G2221)</f>
        <v/>
      </c>
      <c r="H2221" s="79">
        <f>IF('Ordenes_Odoo'!H2221="","",'Ordenes_Odoo'!H2221)</f>
        <v/>
      </c>
      <c r="I2221" s="79">
        <f>IF('Ordenes_Odoo'!I2221="","",'Ordenes_Odoo'!I2221)</f>
        <v/>
      </c>
      <c r="J2221" s="79">
        <f>IF('Ordenes_Odoo'!J2221="","",'Ordenes_Odoo'!J2221)</f>
        <v/>
      </c>
      <c r="K2221" s="81">
        <f>IF('Ordenes_Odoo'!K2221="","",'Ordenes_Odoo'!K2221)</f>
        <v/>
      </c>
      <c r="L2221" s="81">
        <f>IF('Ordenes_Odoo'!L2221="","",'Ordenes_Odoo'!L2221)</f>
        <v/>
      </c>
      <c r="M2221" s="79">
        <f>IF('Ordenes_Odoo'!M2221="","",'Ordenes_Odoo'!M2221)</f>
        <v/>
      </c>
      <c r="N2221" s="79">
        <f>IF('Ordenes_Odoo'!N2221="","",'Ordenes_Odoo'!N2221)</f>
        <v/>
      </c>
      <c r="O2221" s="81">
        <f>IF('Ordenes_Odoo'!O2221="","",'Ordenes_Odoo'!O2221)</f>
        <v/>
      </c>
      <c r="P2221" s="81">
        <f>IF('Ordenes_Odoo'!P2221="","",'Ordenes_Odoo'!P2221)</f>
        <v/>
      </c>
      <c r="Q2221" s="79">
        <f>IF(A2221="","",IFERROR(INDEX(Facturas_Odoo!$B:$B, MATCH(A2221, Facturas_Odoo!$D:$D, 0)), "Sin Factura"))</f>
        <v/>
      </c>
      <c r="R2221" s="80">
        <f>IF(Q2221="Sin Factura","",IFERROR(INDEX(Facturas_Odoo!$A:$A, MATCH(Q2221, Facturas_Odoo!$B:$B, 0)), ""))</f>
        <v/>
      </c>
      <c r="S2221" s="79">
        <f>IF(Q2221="Sin Factura","",IFERROR(_xlfn.XLOOKUP(1, (Facturas_Odoo!$D:$D=A2221) * (Facturas_Odoo!$K:$K=I2221), Facturas_Odoo!$L:$L, ""), ""))</f>
        <v/>
      </c>
      <c r="T2221" s="81">
        <f>IF(Q2221="Sin Factura",0,IFERROR(_xlfn.XLOOKUP(1, (Facturas_Odoo!$D:$D=A2221) * (Facturas_Odoo!$K:$K=I2221), Facturas_Odoo!$M:$M, 0), 0))</f>
        <v/>
      </c>
      <c r="U2221" s="79">
        <f>IF(Q2221="Sin Factura",0,IFERROR(_xlfn.XLOOKUP(1, (Facturas_Odoo!$D:$D=A2221) * (Facturas_Odoo!$K:$K=I2221), Facturas_Odoo!$N:$N, 0), 0))</f>
        <v/>
      </c>
      <c r="V2221" s="79">
        <f>IF(Q2221="Sin Factura",0,IFERROR(_xlfn.XLOOKUP(1, (Facturas_Odoo!$D:$D=A2221) * (Facturas_Odoo!$K:$K=I2221), Facturas_Odoo!$O:$O, 0), 0))</f>
        <v/>
      </c>
      <c r="W2221" s="81">
        <f>IF(Q2221="Sin Factura",0,IFERROR(_xlfn.XLOOKUP(1, (Facturas_Odoo!$D:$D=A2221) * (Facturas_Odoo!$K:$K=I2221), Facturas_Odoo!$Q:$Q, 0), 0))</f>
        <v/>
      </c>
      <c r="X2221" s="79">
        <f>IF(OR(Q2221="Sin Factura",Q2221=""),"",IFERROR(INDEX(Pagos_Odoo!$B:$B, MATCH(Q2221, Pagos_Odoo!$I:$I, 0)), "Sin Pago"))</f>
        <v/>
      </c>
      <c r="Y2221" s="79">
        <f>IF(X2221="Sin Pago","",IFERROR(INDEX(Pagos_Odoo!$C:$C, MATCH(X2221, Pagos_Odoo!$B:$B, 0)), ""))</f>
        <v/>
      </c>
      <c r="Z2221" s="80">
        <f>IF(X2221="Sin Pago","",IFERROR(INDEX(Pagos_Odoo!$A:$A, MATCH(X2221, Pagos_Odoo!$B:$B, 0)), ""))</f>
        <v/>
      </c>
      <c r="AA2221" s="79">
        <f>IF(X2221="Sin Pago","",IFERROR(INDEX(Pagos_Odoo!$F:$F, MATCH(X2221, Pagos_Odoo!$B:$B, 0)), ""))</f>
        <v/>
      </c>
      <c r="AB2221" s="81">
        <f>IF(X2221="Sin Pago",0,IFERROR(INDEX(Pagos_Odoo!$E:$E, MATCH(X2221, Pagos_Odoo!$B:$B, 0)), 0))</f>
        <v/>
      </c>
      <c r="AC2221" s="79">
        <f>IF(X2221="Sin Pago","",IFERROR(INDEX(Pagos_Odoo!$G:$G, MATCH(X2221, Pagos_Odoo!$B:$B, 0)), ""))</f>
        <v/>
      </c>
      <c r="AD2221" s="82" t="n">
        <v>0</v>
      </c>
      <c r="AE2221" s="82" t="n"/>
      <c r="AF2221" s="82" t="n"/>
      <c r="AG2221" s="82">
        <f>IF(AN2221="","",AD2221+AE2221+AF2221)</f>
        <v/>
      </c>
      <c r="AH2221" s="81">
        <f>IF(AN2221="","",P2221*(1-AG2221))</f>
        <v/>
      </c>
      <c r="AI2221" s="81">
        <f>IF(AN2221="","",IF(Q2221="Sin Factura",0,IFERROR(INDEX(Facturas_Odoo!$H:$H, MATCH(Q2221, Facturas_Odoo!$B:$B, 0)), 0)*(1-AG2221)))</f>
        <v/>
      </c>
      <c r="AJ2221" s="81">
        <f>IF(AN2221="","",_xlfn.LET(idVenta, AN2221&amp;"",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21" s="81">
        <f>IF(AN2221="","",AH2221-AJ2221)</f>
        <v/>
      </c>
      <c r="AL2221" s="81">
        <f>IF(AN2221="","",IF(Q2221="Sin Factura","",AI2221-AJ2221))</f>
        <v/>
      </c>
      <c r="AM2221" s="81">
        <f>IF(AN2221="","",IF(Q2221="Sin Factura",0,P2221-IFERROR(INDEX(Facturas_Odoo!$H:$H, MATCH(Q2221, Facturas_Odoo!$B:$B, 0)), 0)))</f>
        <v/>
      </c>
      <c r="AN2221" s="79">
        <f>IF(AND(A2221="", J2221=""), "", IF(A2221&lt;&gt;"", VALUE(MID(A2221,2,LEN(A2221))), AN2220))</f>
        <v/>
      </c>
      <c r="AO2221" s="79">
        <f>IF(AN2221="","",IF(AD2221=0,"OK",_xlfn.LET(monedaPago, IF(AA2221="","USD",AA2221), limitePermitido, IFERROR(VLOOKUP(monedaPago, Configuración!$A$2:$B$3, 2, FALSE), 0.15), IF(AD2221&gt;limitePermitido, "ALERTA: EXCESO (" &amp; TEXT(limitePermitido, "0%") &amp; " máx)", "OK"))))</f>
        <v/>
      </c>
      <c r="AP2221" s="79">
        <f>IF(AN2221="","",IF(AE2221=0,"OK",_xlfn.LET(fechaPago, Z2221, fechaFactura, R2221, diasCredito, IF(E2221="Pago inmediato", 0, IFERROR(VALUE(MID(E2221, 1, SEARCH(" ", E2221)-1)),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21" s="79">
        <f>IF(AN2221="","",IF(AND(N2221&gt;0, AG2221&gt;0), IF(Configuración!$K$2="NO", "ALERTA: DESCUENTO DOBLE NO PERMITIDO", "OK"), "OK"))</f>
        <v/>
      </c>
      <c r="AR2221" s="79">
        <f>IF(AN2221="","",IF(OR(AO2221&lt;&gt;"OK", AP2221&lt;&gt;"OK", AQ2221&lt;&gt;"OK"), "⚠️ REVISAR", "OK"))</f>
        <v/>
      </c>
    </row>
    <row r="2222">
      <c r="A2222" s="79">
        <f>IF('Ordenes_Odoo'!A2222="","",'Ordenes_Odoo'!A2222)</f>
        <v/>
      </c>
      <c r="B2222" s="80">
        <f>IF('Ordenes_Odoo'!B2222="","",'Ordenes_Odoo'!B2222)</f>
        <v/>
      </c>
      <c r="C2222" s="79">
        <f>IF('Ordenes_Odoo'!C2222="","",'Ordenes_Odoo'!C2222)</f>
        <v/>
      </c>
      <c r="D2222" s="79">
        <f>IF('Ordenes_Odoo'!D2222="","",'Ordenes_Odoo'!D2222)</f>
        <v/>
      </c>
      <c r="E2222" s="79">
        <f>IF('Ordenes_Odoo'!E2222="","",'Ordenes_Odoo'!E2222)</f>
        <v/>
      </c>
      <c r="F2222" s="79">
        <f>IF('Ordenes_Odoo'!F2222="","",'Ordenes_Odoo'!F2222)</f>
        <v/>
      </c>
      <c r="G2222" s="79">
        <f>IF('Ordenes_Odoo'!G2222="","",'Ordenes_Odoo'!G2222)</f>
        <v/>
      </c>
      <c r="H2222" s="79">
        <f>IF('Ordenes_Odoo'!H2222="","",'Ordenes_Odoo'!H2222)</f>
        <v/>
      </c>
      <c r="I2222" s="79">
        <f>IF('Ordenes_Odoo'!I2222="","",'Ordenes_Odoo'!I2222)</f>
        <v/>
      </c>
      <c r="J2222" s="79">
        <f>IF('Ordenes_Odoo'!J2222="","",'Ordenes_Odoo'!J2222)</f>
        <v/>
      </c>
      <c r="K2222" s="81">
        <f>IF('Ordenes_Odoo'!K2222="","",'Ordenes_Odoo'!K2222)</f>
        <v/>
      </c>
      <c r="L2222" s="81">
        <f>IF('Ordenes_Odoo'!L2222="","",'Ordenes_Odoo'!L2222)</f>
        <v/>
      </c>
      <c r="M2222" s="79">
        <f>IF('Ordenes_Odoo'!M2222="","",'Ordenes_Odoo'!M2222)</f>
        <v/>
      </c>
      <c r="N2222" s="79">
        <f>IF('Ordenes_Odoo'!N2222="","",'Ordenes_Odoo'!N2222)</f>
        <v/>
      </c>
      <c r="O2222" s="81">
        <f>IF('Ordenes_Odoo'!O2222="","",'Ordenes_Odoo'!O2222)</f>
        <v/>
      </c>
      <c r="P2222" s="81">
        <f>IF('Ordenes_Odoo'!P2222="","",'Ordenes_Odoo'!P2222)</f>
        <v/>
      </c>
      <c r="Q2222" s="79">
        <f>IF(A2222="","",IFERROR(INDEX(Facturas_Odoo!$B:$B, MATCH(A2222, Facturas_Odoo!$D:$D, 0)), "Sin Factura"))</f>
        <v/>
      </c>
      <c r="R2222" s="80">
        <f>IF(Q2222="Sin Factura","",IFERROR(INDEX(Facturas_Odoo!$A:$A, MATCH(Q2222, Facturas_Odoo!$B:$B, 0)), ""))</f>
        <v/>
      </c>
      <c r="S2222" s="79">
        <f>IF(Q2222="Sin Factura","",IFERROR(_xlfn.XLOOKUP(1, (Facturas_Odoo!$D:$D=A2222) * (Facturas_Odoo!$K:$K=I2222), Facturas_Odoo!$L:$L, ""), ""))</f>
        <v/>
      </c>
      <c r="T2222" s="81">
        <f>IF(Q2222="Sin Factura",0,IFERROR(_xlfn.XLOOKUP(1, (Facturas_Odoo!$D:$D=A2222) * (Facturas_Odoo!$K:$K=I2222), Facturas_Odoo!$M:$M, 0), 0))</f>
        <v/>
      </c>
      <c r="U2222" s="79">
        <f>IF(Q2222="Sin Factura",0,IFERROR(_xlfn.XLOOKUP(1, (Facturas_Odoo!$D:$D=A2222) * (Facturas_Odoo!$K:$K=I2222), Facturas_Odoo!$N:$N, 0), 0))</f>
        <v/>
      </c>
      <c r="V2222" s="79">
        <f>IF(Q2222="Sin Factura",0,IFERROR(_xlfn.XLOOKUP(1, (Facturas_Odoo!$D:$D=A2222) * (Facturas_Odoo!$K:$K=I2222), Facturas_Odoo!$O:$O, 0), 0))</f>
        <v/>
      </c>
      <c r="W2222" s="81">
        <f>IF(Q2222="Sin Factura",0,IFERROR(_xlfn.XLOOKUP(1, (Facturas_Odoo!$D:$D=A2222) * (Facturas_Odoo!$K:$K=I2222), Facturas_Odoo!$Q:$Q, 0), 0))</f>
        <v/>
      </c>
      <c r="X2222" s="79">
        <f>IF(OR(Q2222="Sin Factura",Q2222=""),"",IFERROR(INDEX(Pagos_Odoo!$B:$B, MATCH(Q2222, Pagos_Odoo!$I:$I, 0)), "Sin Pago"))</f>
        <v/>
      </c>
      <c r="Y2222" s="79">
        <f>IF(X2222="Sin Pago","",IFERROR(INDEX(Pagos_Odoo!$C:$C, MATCH(X2222, Pagos_Odoo!$B:$B, 0)), ""))</f>
        <v/>
      </c>
      <c r="Z2222" s="80">
        <f>IF(X2222="Sin Pago","",IFERROR(INDEX(Pagos_Odoo!$A:$A, MATCH(X2222, Pagos_Odoo!$B:$B, 0)), ""))</f>
        <v/>
      </c>
      <c r="AA2222" s="79">
        <f>IF(X2222="Sin Pago","",IFERROR(INDEX(Pagos_Odoo!$F:$F, MATCH(X2222, Pagos_Odoo!$B:$B, 0)), ""))</f>
        <v/>
      </c>
      <c r="AB2222" s="81">
        <f>IF(X2222="Sin Pago",0,IFERROR(INDEX(Pagos_Odoo!$E:$E, MATCH(X2222, Pagos_Odoo!$B:$B, 0)), 0))</f>
        <v/>
      </c>
      <c r="AC2222" s="79">
        <f>IF(X2222="Sin Pago","",IFERROR(INDEX(Pagos_Odoo!$G:$G, MATCH(X2222, Pagos_Odoo!$B:$B, 0)), ""))</f>
        <v/>
      </c>
      <c r="AD2222" s="82" t="n">
        <v>0</v>
      </c>
      <c r="AE2222" s="82" t="n"/>
      <c r="AF2222" s="82" t="n"/>
      <c r="AG2222" s="82">
        <f>IF(AN2222="","",AD2222+AE2222+AF2222)</f>
        <v/>
      </c>
      <c r="AH2222" s="81">
        <f>IF(AN2222="","",P2222*(1-AG2222))</f>
        <v/>
      </c>
      <c r="AI2222" s="81">
        <f>IF(AN2222="","",IF(Q2222="Sin Factura",0,IFERROR(INDEX(Facturas_Odoo!$H:$H, MATCH(Q2222, Facturas_Odoo!$B:$B, 0)), 0)*(1-AG2222)))</f>
        <v/>
      </c>
      <c r="AJ2222" s="81">
        <f>IF(AN2222="","",_xlfn.LET(idVenta, AN2222&amp;"",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22" s="81">
        <f>IF(AN2222="","",AH2222-AJ2222)</f>
        <v/>
      </c>
      <c r="AL2222" s="81">
        <f>IF(AN2222="","",IF(Q2222="Sin Factura","",AI2222-AJ2222))</f>
        <v/>
      </c>
      <c r="AM2222" s="81">
        <f>IF(AN2222="","",IF(Q2222="Sin Factura",0,P2222-IFERROR(INDEX(Facturas_Odoo!$H:$H, MATCH(Q2222, Facturas_Odoo!$B:$B, 0)), 0)))</f>
        <v/>
      </c>
      <c r="AN2222" s="79">
        <f>IF(AND(A2222="", J2222=""), "", IF(A2222&lt;&gt;"", VALUE(MID(A2222,2,LEN(A2222))), AN2221))</f>
        <v/>
      </c>
      <c r="AO2222" s="79">
        <f>IF(AN2222="","",IF(AD2222=0,"OK",_xlfn.LET(monedaPago, IF(AA2222="","USD",AA2222), limitePermitido, IFERROR(VLOOKUP(monedaPago, Configuración!$A$2:$B$3, 2, FALSE), 0.15), IF(AD2222&gt;limitePermitido, "ALERTA: EXCESO (" &amp; TEXT(limitePermitido, "0%") &amp; " máx)", "OK"))))</f>
        <v/>
      </c>
      <c r="AP2222" s="79">
        <f>IF(AN2222="","",IF(AE2222=0,"OK",_xlfn.LET(fechaPago, Z2222, fechaFactura, R2222, diasCredito, IF(E2222="Pago inmediato", 0, IFERROR(VALUE(MID(E2222, 1, SEARCH(" ", E2222)-1)),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22" s="79">
        <f>IF(AN2222="","",IF(AND(N2222&gt;0, AG2222&gt;0), IF(Configuración!$K$2="NO", "ALERTA: DESCUENTO DOBLE NO PERMITIDO", "OK"), "OK"))</f>
        <v/>
      </c>
      <c r="AR2222" s="79">
        <f>IF(AN2222="","",IF(OR(AO2222&lt;&gt;"OK", AP2222&lt;&gt;"OK", AQ2222&lt;&gt;"OK"), "⚠️ REVISAR", "OK"))</f>
        <v/>
      </c>
    </row>
    <row r="2223">
      <c r="A2223" s="79">
        <f>IF('Ordenes_Odoo'!A2223="","",'Ordenes_Odoo'!A2223)</f>
        <v/>
      </c>
      <c r="B2223" s="80">
        <f>IF('Ordenes_Odoo'!B2223="","",'Ordenes_Odoo'!B2223)</f>
        <v/>
      </c>
      <c r="C2223" s="79">
        <f>IF('Ordenes_Odoo'!C2223="","",'Ordenes_Odoo'!C2223)</f>
        <v/>
      </c>
      <c r="D2223" s="79">
        <f>IF('Ordenes_Odoo'!D2223="","",'Ordenes_Odoo'!D2223)</f>
        <v/>
      </c>
      <c r="E2223" s="79">
        <f>IF('Ordenes_Odoo'!E2223="","",'Ordenes_Odoo'!E2223)</f>
        <v/>
      </c>
      <c r="F2223" s="79">
        <f>IF('Ordenes_Odoo'!F2223="","",'Ordenes_Odoo'!F2223)</f>
        <v/>
      </c>
      <c r="G2223" s="79">
        <f>IF('Ordenes_Odoo'!G2223="","",'Ordenes_Odoo'!G2223)</f>
        <v/>
      </c>
      <c r="H2223" s="79">
        <f>IF('Ordenes_Odoo'!H2223="","",'Ordenes_Odoo'!H2223)</f>
        <v/>
      </c>
      <c r="I2223" s="79">
        <f>IF('Ordenes_Odoo'!I2223="","",'Ordenes_Odoo'!I2223)</f>
        <v/>
      </c>
      <c r="J2223" s="79">
        <f>IF('Ordenes_Odoo'!J2223="","",'Ordenes_Odoo'!J2223)</f>
        <v/>
      </c>
      <c r="K2223" s="81">
        <f>IF('Ordenes_Odoo'!K2223="","",'Ordenes_Odoo'!K2223)</f>
        <v/>
      </c>
      <c r="L2223" s="81">
        <f>IF('Ordenes_Odoo'!L2223="","",'Ordenes_Odoo'!L2223)</f>
        <v/>
      </c>
      <c r="M2223" s="79">
        <f>IF('Ordenes_Odoo'!M2223="","",'Ordenes_Odoo'!M2223)</f>
        <v/>
      </c>
      <c r="N2223" s="79">
        <f>IF('Ordenes_Odoo'!N2223="","",'Ordenes_Odoo'!N2223)</f>
        <v/>
      </c>
      <c r="O2223" s="81">
        <f>IF('Ordenes_Odoo'!O2223="","",'Ordenes_Odoo'!O2223)</f>
        <v/>
      </c>
      <c r="P2223" s="81">
        <f>IF('Ordenes_Odoo'!P2223="","",'Ordenes_Odoo'!P2223)</f>
        <v/>
      </c>
      <c r="Q2223" s="79">
        <f>IF(A2223="","",IFERROR(INDEX(Facturas_Odoo!$B:$B, MATCH(A2223, Facturas_Odoo!$D:$D, 0)), "Sin Factura"))</f>
        <v/>
      </c>
      <c r="R2223" s="80">
        <f>IF(Q2223="Sin Factura","",IFERROR(INDEX(Facturas_Odoo!$A:$A, MATCH(Q2223, Facturas_Odoo!$B:$B, 0)), ""))</f>
        <v/>
      </c>
      <c r="S2223" s="79">
        <f>IF(Q2223="Sin Factura","",IFERROR(_xlfn.XLOOKUP(1, (Facturas_Odoo!$D:$D=A2223) * (Facturas_Odoo!$K:$K=I2223), Facturas_Odoo!$L:$L, ""), ""))</f>
        <v/>
      </c>
      <c r="T2223" s="81">
        <f>IF(Q2223="Sin Factura",0,IFERROR(_xlfn.XLOOKUP(1, (Facturas_Odoo!$D:$D=A2223) * (Facturas_Odoo!$K:$K=I2223), Facturas_Odoo!$M:$M, 0), 0))</f>
        <v/>
      </c>
      <c r="U2223" s="79">
        <f>IF(Q2223="Sin Factura",0,IFERROR(_xlfn.XLOOKUP(1, (Facturas_Odoo!$D:$D=A2223) * (Facturas_Odoo!$K:$K=I2223), Facturas_Odoo!$N:$N, 0), 0))</f>
        <v/>
      </c>
      <c r="V2223" s="79">
        <f>IF(Q2223="Sin Factura",0,IFERROR(_xlfn.XLOOKUP(1, (Facturas_Odoo!$D:$D=A2223) * (Facturas_Odoo!$K:$K=I2223), Facturas_Odoo!$O:$O, 0), 0))</f>
        <v/>
      </c>
      <c r="W2223" s="81">
        <f>IF(Q2223="Sin Factura",0,IFERROR(_xlfn.XLOOKUP(1, (Facturas_Odoo!$D:$D=A2223) * (Facturas_Odoo!$K:$K=I2223), Facturas_Odoo!$Q:$Q, 0), 0))</f>
        <v/>
      </c>
      <c r="X2223" s="79">
        <f>IF(OR(Q2223="Sin Factura",Q2223=""),"",IFERROR(INDEX(Pagos_Odoo!$B:$B, MATCH(Q2223, Pagos_Odoo!$I:$I, 0)), "Sin Pago"))</f>
        <v/>
      </c>
      <c r="Y2223" s="79">
        <f>IF(X2223="Sin Pago","",IFERROR(INDEX(Pagos_Odoo!$C:$C, MATCH(X2223, Pagos_Odoo!$B:$B, 0)), ""))</f>
        <v/>
      </c>
      <c r="Z2223" s="80">
        <f>IF(X2223="Sin Pago","",IFERROR(INDEX(Pagos_Odoo!$A:$A, MATCH(X2223, Pagos_Odoo!$B:$B, 0)), ""))</f>
        <v/>
      </c>
      <c r="AA2223" s="79">
        <f>IF(X2223="Sin Pago","",IFERROR(INDEX(Pagos_Odoo!$F:$F, MATCH(X2223, Pagos_Odoo!$B:$B, 0)), ""))</f>
        <v/>
      </c>
      <c r="AB2223" s="81">
        <f>IF(X2223="Sin Pago",0,IFERROR(INDEX(Pagos_Odoo!$E:$E, MATCH(X2223, Pagos_Odoo!$B:$B, 0)), 0))</f>
        <v/>
      </c>
      <c r="AC2223" s="79">
        <f>IF(X2223="Sin Pago","",IFERROR(INDEX(Pagos_Odoo!$G:$G, MATCH(X2223, Pagos_Odoo!$B:$B, 0)), ""))</f>
        <v/>
      </c>
      <c r="AD2223" s="82" t="n">
        <v>0</v>
      </c>
      <c r="AE2223" s="82" t="n"/>
      <c r="AF2223" s="82" t="n"/>
      <c r="AG2223" s="82">
        <f>IF(AN2223="","",AD2223+AE2223+AF2223)</f>
        <v/>
      </c>
      <c r="AH2223" s="81">
        <f>IF(AN2223="","",P2223*(1-AG2223))</f>
        <v/>
      </c>
      <c r="AI2223" s="81">
        <f>IF(AN2223="","",IF(Q2223="Sin Factura",0,IFERROR(INDEX(Facturas_Odoo!$H:$H, MATCH(Q2223, Facturas_Odoo!$B:$B, 0)), 0)*(1-AG2223)))</f>
        <v/>
      </c>
      <c r="AJ2223" s="81">
        <f>IF(AN2223="","",_xlfn.LET(idVenta, AN2223&amp;"",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23" s="81">
        <f>IF(AN2223="","",AH2223-AJ2223)</f>
        <v/>
      </c>
      <c r="AL2223" s="81">
        <f>IF(AN2223="","",IF(Q2223="Sin Factura","",AI2223-AJ2223))</f>
        <v/>
      </c>
      <c r="AM2223" s="81">
        <f>IF(AN2223="","",IF(Q2223="Sin Factura",0,P2223-IFERROR(INDEX(Facturas_Odoo!$H:$H, MATCH(Q2223, Facturas_Odoo!$B:$B, 0)), 0)))</f>
        <v/>
      </c>
      <c r="AN2223" s="79">
        <f>IF(AND(A2223="", J2223=""), "", IF(A2223&lt;&gt;"", VALUE(MID(A2223,2,LEN(A2223))), AN2222))</f>
        <v/>
      </c>
      <c r="AO2223" s="79">
        <f>IF(AN2223="","",IF(AD2223=0,"OK",_xlfn.LET(monedaPago, IF(AA2223="","USD",AA2223), limitePermitido, IFERROR(VLOOKUP(monedaPago, Configuración!$A$2:$B$3, 2, FALSE), 0.15), IF(AD2223&gt;limitePermitido, "ALERTA: EXCESO (" &amp; TEXT(limitePermitido, "0%") &amp; " máx)", "OK"))))</f>
        <v/>
      </c>
      <c r="AP2223" s="79">
        <f>IF(AN2223="","",IF(AE2223=0,"OK",_xlfn.LET(fechaPago, Z2223, fechaFactura, R2223, diasCredito, IF(E2223="Pago inmediato", 0, IFERROR(VALUE(MID(E2223, 1, SEARCH(" ", E2223)-1)),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23" s="79">
        <f>IF(AN2223="","",IF(AND(N2223&gt;0, AG2223&gt;0), IF(Configuración!$K$2="NO", "ALERTA: DESCUENTO DOBLE NO PERMITIDO", "OK"), "OK"))</f>
        <v/>
      </c>
      <c r="AR2223" s="79">
        <f>IF(AN2223="","",IF(OR(AO2223&lt;&gt;"OK", AP2223&lt;&gt;"OK", AQ2223&lt;&gt;"OK"), "⚠️ REVISAR", "OK"))</f>
        <v/>
      </c>
    </row>
    <row r="2224">
      <c r="A2224" s="79">
        <f>IF('Ordenes_Odoo'!A2224="","",'Ordenes_Odoo'!A2224)</f>
        <v/>
      </c>
      <c r="B2224" s="80">
        <f>IF('Ordenes_Odoo'!B2224="","",'Ordenes_Odoo'!B2224)</f>
        <v/>
      </c>
      <c r="C2224" s="79">
        <f>IF('Ordenes_Odoo'!C2224="","",'Ordenes_Odoo'!C2224)</f>
        <v/>
      </c>
      <c r="D2224" s="79">
        <f>IF('Ordenes_Odoo'!D2224="","",'Ordenes_Odoo'!D2224)</f>
        <v/>
      </c>
      <c r="E2224" s="79">
        <f>IF('Ordenes_Odoo'!E2224="","",'Ordenes_Odoo'!E2224)</f>
        <v/>
      </c>
      <c r="F2224" s="79">
        <f>IF('Ordenes_Odoo'!F2224="","",'Ordenes_Odoo'!F2224)</f>
        <v/>
      </c>
      <c r="G2224" s="79">
        <f>IF('Ordenes_Odoo'!G2224="","",'Ordenes_Odoo'!G2224)</f>
        <v/>
      </c>
      <c r="H2224" s="79">
        <f>IF('Ordenes_Odoo'!H2224="","",'Ordenes_Odoo'!H2224)</f>
        <v/>
      </c>
      <c r="I2224" s="79">
        <f>IF('Ordenes_Odoo'!I2224="","",'Ordenes_Odoo'!I2224)</f>
        <v/>
      </c>
      <c r="J2224" s="79">
        <f>IF('Ordenes_Odoo'!J2224="","",'Ordenes_Odoo'!J2224)</f>
        <v/>
      </c>
      <c r="K2224" s="81">
        <f>IF('Ordenes_Odoo'!K2224="","",'Ordenes_Odoo'!K2224)</f>
        <v/>
      </c>
      <c r="L2224" s="81">
        <f>IF('Ordenes_Odoo'!L2224="","",'Ordenes_Odoo'!L2224)</f>
        <v/>
      </c>
      <c r="M2224" s="79">
        <f>IF('Ordenes_Odoo'!M2224="","",'Ordenes_Odoo'!M2224)</f>
        <v/>
      </c>
      <c r="N2224" s="79">
        <f>IF('Ordenes_Odoo'!N2224="","",'Ordenes_Odoo'!N2224)</f>
        <v/>
      </c>
      <c r="O2224" s="81">
        <f>IF('Ordenes_Odoo'!O2224="","",'Ordenes_Odoo'!O2224)</f>
        <v/>
      </c>
      <c r="P2224" s="81">
        <f>IF('Ordenes_Odoo'!P2224="","",'Ordenes_Odoo'!P2224)</f>
        <v/>
      </c>
      <c r="Q2224" s="79">
        <f>IF(A2224="","",IFERROR(INDEX(Facturas_Odoo!$B:$B, MATCH(A2224, Facturas_Odoo!$D:$D, 0)), "Sin Factura"))</f>
        <v/>
      </c>
      <c r="R2224" s="80">
        <f>IF(Q2224="Sin Factura","",IFERROR(INDEX(Facturas_Odoo!$A:$A, MATCH(Q2224, Facturas_Odoo!$B:$B, 0)), ""))</f>
        <v/>
      </c>
      <c r="S2224" s="79">
        <f>IF(Q2224="Sin Factura","",IFERROR(_xlfn.XLOOKUP(1, (Facturas_Odoo!$D:$D=A2224) * (Facturas_Odoo!$K:$K=I2224), Facturas_Odoo!$L:$L, ""), ""))</f>
        <v/>
      </c>
      <c r="T2224" s="81">
        <f>IF(Q2224="Sin Factura",0,IFERROR(_xlfn.XLOOKUP(1, (Facturas_Odoo!$D:$D=A2224) * (Facturas_Odoo!$K:$K=I2224), Facturas_Odoo!$M:$M, 0), 0))</f>
        <v/>
      </c>
      <c r="U2224" s="79">
        <f>IF(Q2224="Sin Factura",0,IFERROR(_xlfn.XLOOKUP(1, (Facturas_Odoo!$D:$D=A2224) * (Facturas_Odoo!$K:$K=I2224), Facturas_Odoo!$N:$N, 0), 0))</f>
        <v/>
      </c>
      <c r="V2224" s="79">
        <f>IF(Q2224="Sin Factura",0,IFERROR(_xlfn.XLOOKUP(1, (Facturas_Odoo!$D:$D=A2224) * (Facturas_Odoo!$K:$K=I2224), Facturas_Odoo!$O:$O, 0), 0))</f>
        <v/>
      </c>
      <c r="W2224" s="81">
        <f>IF(Q2224="Sin Factura",0,IFERROR(_xlfn.XLOOKUP(1, (Facturas_Odoo!$D:$D=A2224) * (Facturas_Odoo!$K:$K=I2224), Facturas_Odoo!$Q:$Q, 0), 0))</f>
        <v/>
      </c>
      <c r="X2224" s="79">
        <f>IF(OR(Q2224="Sin Factura",Q2224=""),"",IFERROR(INDEX(Pagos_Odoo!$B:$B, MATCH(Q2224, Pagos_Odoo!$I:$I, 0)), "Sin Pago"))</f>
        <v/>
      </c>
      <c r="Y2224" s="79">
        <f>IF(X2224="Sin Pago","",IFERROR(INDEX(Pagos_Odoo!$C:$C, MATCH(X2224, Pagos_Odoo!$B:$B, 0)), ""))</f>
        <v/>
      </c>
      <c r="Z2224" s="80">
        <f>IF(X2224="Sin Pago","",IFERROR(INDEX(Pagos_Odoo!$A:$A, MATCH(X2224, Pagos_Odoo!$B:$B, 0)), ""))</f>
        <v/>
      </c>
      <c r="AA2224" s="79">
        <f>IF(X2224="Sin Pago","",IFERROR(INDEX(Pagos_Odoo!$F:$F, MATCH(X2224, Pagos_Odoo!$B:$B, 0)), ""))</f>
        <v/>
      </c>
      <c r="AB2224" s="81">
        <f>IF(X2224="Sin Pago",0,IFERROR(INDEX(Pagos_Odoo!$E:$E, MATCH(X2224, Pagos_Odoo!$B:$B, 0)), 0))</f>
        <v/>
      </c>
      <c r="AC2224" s="79">
        <f>IF(X2224="Sin Pago","",IFERROR(INDEX(Pagos_Odoo!$G:$G, MATCH(X2224, Pagos_Odoo!$B:$B, 0)), ""))</f>
        <v/>
      </c>
      <c r="AD2224" s="82" t="n">
        <v>0</v>
      </c>
      <c r="AE2224" s="82" t="n"/>
      <c r="AF2224" s="82" t="n"/>
      <c r="AG2224" s="82">
        <f>IF(AN2224="","",AD2224+AE2224+AF2224)</f>
        <v/>
      </c>
      <c r="AH2224" s="81">
        <f>IF(AN2224="","",P2224*(1-AG2224))</f>
        <v/>
      </c>
      <c r="AI2224" s="81">
        <f>IF(AN2224="","",IF(Q2224="Sin Factura",0,IFERROR(INDEX(Facturas_Odoo!$H:$H, MATCH(Q2224, Facturas_Odoo!$B:$B, 0)), 0)*(1-AG2224)))</f>
        <v/>
      </c>
      <c r="AJ2224" s="81">
        <f>IF(AN2224="","",_xlfn.LET(idVenta, AN2224&amp;"",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24" s="81">
        <f>IF(AN2224="","",AH2224-AJ2224)</f>
        <v/>
      </c>
      <c r="AL2224" s="81">
        <f>IF(AN2224="","",IF(Q2224="Sin Factura","",AI2224-AJ2224))</f>
        <v/>
      </c>
      <c r="AM2224" s="81">
        <f>IF(AN2224="","",IF(Q2224="Sin Factura",0,P2224-IFERROR(INDEX(Facturas_Odoo!$H:$H, MATCH(Q2224, Facturas_Odoo!$B:$B, 0)), 0)))</f>
        <v/>
      </c>
      <c r="AN2224" s="79">
        <f>IF(AND(A2224="", J2224=""), "", IF(A2224&lt;&gt;"", VALUE(MID(A2224,2,LEN(A2224))), AN2223))</f>
        <v/>
      </c>
      <c r="AO2224" s="79">
        <f>IF(AN2224="","",IF(AD2224=0,"OK",_xlfn.LET(monedaPago, IF(AA2224="","USD",AA2224), limitePermitido, IFERROR(VLOOKUP(monedaPago, Configuración!$A$2:$B$3, 2, FALSE), 0.15), IF(AD2224&gt;limitePermitido, "ALERTA: EXCESO (" &amp; TEXT(limitePermitido, "0%") &amp; " máx)", "OK"))))</f>
        <v/>
      </c>
      <c r="AP2224" s="79">
        <f>IF(AN2224="","",IF(AE2224=0,"OK",_xlfn.LET(fechaPago, Z2224, fechaFactura, R2224, diasCredito, IF(E2224="Pago inmediato", 0, IFERROR(VALUE(MID(E2224, 1, SEARCH(" ", E2224)-1)),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24" s="79">
        <f>IF(AN2224="","",IF(AND(N2224&gt;0, AG2224&gt;0), IF(Configuración!$K$2="NO", "ALERTA: DESCUENTO DOBLE NO PERMITIDO", "OK"), "OK"))</f>
        <v/>
      </c>
      <c r="AR2224" s="79">
        <f>IF(AN2224="","",IF(OR(AO2224&lt;&gt;"OK", AP2224&lt;&gt;"OK", AQ2224&lt;&gt;"OK"), "⚠️ REVISAR", "OK"))</f>
        <v/>
      </c>
    </row>
    <row r="2225">
      <c r="A2225" s="79">
        <f>IF('Ordenes_Odoo'!A2225="","",'Ordenes_Odoo'!A2225)</f>
        <v/>
      </c>
      <c r="B2225" s="80">
        <f>IF('Ordenes_Odoo'!B2225="","",'Ordenes_Odoo'!B2225)</f>
        <v/>
      </c>
      <c r="C2225" s="79">
        <f>IF('Ordenes_Odoo'!C2225="","",'Ordenes_Odoo'!C2225)</f>
        <v/>
      </c>
      <c r="D2225" s="79">
        <f>IF('Ordenes_Odoo'!D2225="","",'Ordenes_Odoo'!D2225)</f>
        <v/>
      </c>
      <c r="E2225" s="79">
        <f>IF('Ordenes_Odoo'!E2225="","",'Ordenes_Odoo'!E2225)</f>
        <v/>
      </c>
      <c r="F2225" s="79">
        <f>IF('Ordenes_Odoo'!F2225="","",'Ordenes_Odoo'!F2225)</f>
        <v/>
      </c>
      <c r="G2225" s="79">
        <f>IF('Ordenes_Odoo'!G2225="","",'Ordenes_Odoo'!G2225)</f>
        <v/>
      </c>
      <c r="H2225" s="79">
        <f>IF('Ordenes_Odoo'!H2225="","",'Ordenes_Odoo'!H2225)</f>
        <v/>
      </c>
      <c r="I2225" s="79">
        <f>IF('Ordenes_Odoo'!I2225="","",'Ordenes_Odoo'!I2225)</f>
        <v/>
      </c>
      <c r="J2225" s="79">
        <f>IF('Ordenes_Odoo'!J2225="","",'Ordenes_Odoo'!J2225)</f>
        <v/>
      </c>
      <c r="K2225" s="81">
        <f>IF('Ordenes_Odoo'!K2225="","",'Ordenes_Odoo'!K2225)</f>
        <v/>
      </c>
      <c r="L2225" s="81">
        <f>IF('Ordenes_Odoo'!L2225="","",'Ordenes_Odoo'!L2225)</f>
        <v/>
      </c>
      <c r="M2225" s="79">
        <f>IF('Ordenes_Odoo'!M2225="","",'Ordenes_Odoo'!M2225)</f>
        <v/>
      </c>
      <c r="N2225" s="79">
        <f>IF('Ordenes_Odoo'!N2225="","",'Ordenes_Odoo'!N2225)</f>
        <v/>
      </c>
      <c r="O2225" s="81">
        <f>IF('Ordenes_Odoo'!O2225="","",'Ordenes_Odoo'!O2225)</f>
        <v/>
      </c>
      <c r="P2225" s="81">
        <f>IF('Ordenes_Odoo'!P2225="","",'Ordenes_Odoo'!P2225)</f>
        <v/>
      </c>
      <c r="Q2225" s="79">
        <f>IF(A2225="","",IFERROR(INDEX(Facturas_Odoo!$B:$B, MATCH(A2225, Facturas_Odoo!$D:$D, 0)), "Sin Factura"))</f>
        <v/>
      </c>
      <c r="R2225" s="80">
        <f>IF(Q2225="Sin Factura","",IFERROR(INDEX(Facturas_Odoo!$A:$A, MATCH(Q2225, Facturas_Odoo!$B:$B, 0)), ""))</f>
        <v/>
      </c>
      <c r="S2225" s="79">
        <f>IF(Q2225="Sin Factura","",IFERROR(_xlfn.XLOOKUP(1, (Facturas_Odoo!$D:$D=A2225) * (Facturas_Odoo!$K:$K=I2225), Facturas_Odoo!$L:$L, ""), ""))</f>
        <v/>
      </c>
      <c r="T2225" s="81">
        <f>IF(Q2225="Sin Factura",0,IFERROR(_xlfn.XLOOKUP(1, (Facturas_Odoo!$D:$D=A2225) * (Facturas_Odoo!$K:$K=I2225), Facturas_Odoo!$M:$M, 0), 0))</f>
        <v/>
      </c>
      <c r="U2225" s="79">
        <f>IF(Q2225="Sin Factura",0,IFERROR(_xlfn.XLOOKUP(1, (Facturas_Odoo!$D:$D=A2225) * (Facturas_Odoo!$K:$K=I2225), Facturas_Odoo!$N:$N, 0), 0))</f>
        <v/>
      </c>
      <c r="V2225" s="79">
        <f>IF(Q2225="Sin Factura",0,IFERROR(_xlfn.XLOOKUP(1, (Facturas_Odoo!$D:$D=A2225) * (Facturas_Odoo!$K:$K=I2225), Facturas_Odoo!$O:$O, 0), 0))</f>
        <v/>
      </c>
      <c r="W2225" s="81">
        <f>IF(Q2225="Sin Factura",0,IFERROR(_xlfn.XLOOKUP(1, (Facturas_Odoo!$D:$D=A2225) * (Facturas_Odoo!$K:$K=I2225), Facturas_Odoo!$Q:$Q, 0), 0))</f>
        <v/>
      </c>
      <c r="X2225" s="79">
        <f>IF(OR(Q2225="Sin Factura",Q2225=""),"",IFERROR(INDEX(Pagos_Odoo!$B:$B, MATCH(Q2225, Pagos_Odoo!$I:$I, 0)), "Sin Pago"))</f>
        <v/>
      </c>
      <c r="Y2225" s="79">
        <f>IF(X2225="Sin Pago","",IFERROR(INDEX(Pagos_Odoo!$C:$C, MATCH(X2225, Pagos_Odoo!$B:$B, 0)), ""))</f>
        <v/>
      </c>
      <c r="Z2225" s="80">
        <f>IF(X2225="Sin Pago","",IFERROR(INDEX(Pagos_Odoo!$A:$A, MATCH(X2225, Pagos_Odoo!$B:$B, 0)), ""))</f>
        <v/>
      </c>
      <c r="AA2225" s="79">
        <f>IF(X2225="Sin Pago","",IFERROR(INDEX(Pagos_Odoo!$F:$F, MATCH(X2225, Pagos_Odoo!$B:$B, 0)), ""))</f>
        <v/>
      </c>
      <c r="AB2225" s="81">
        <f>IF(X2225="Sin Pago",0,IFERROR(INDEX(Pagos_Odoo!$E:$E, MATCH(X2225, Pagos_Odoo!$B:$B, 0)), 0))</f>
        <v/>
      </c>
      <c r="AC2225" s="79">
        <f>IF(X2225="Sin Pago","",IFERROR(INDEX(Pagos_Odoo!$G:$G, MATCH(X2225, Pagos_Odoo!$B:$B, 0)), ""))</f>
        <v/>
      </c>
      <c r="AD2225" s="82" t="n">
        <v>0</v>
      </c>
      <c r="AE2225" s="82" t="n"/>
      <c r="AF2225" s="82" t="n"/>
      <c r="AG2225" s="82">
        <f>IF(AN2225="","",AD2225+AE2225+AF2225)</f>
        <v/>
      </c>
      <c r="AH2225" s="81">
        <f>IF(AN2225="","",P2225*(1-AG2225))</f>
        <v/>
      </c>
      <c r="AI2225" s="81">
        <f>IF(AN2225="","",IF(Q2225="Sin Factura",0,IFERROR(INDEX(Facturas_Odoo!$H:$H, MATCH(Q2225, Facturas_Odoo!$B:$B, 0)), 0)*(1-AG2225)))</f>
        <v/>
      </c>
      <c r="AJ2225" s="81">
        <f>IF(AN2225="","",_xlfn.LET(idVenta, AN2225&amp;"",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25" s="81">
        <f>IF(AN2225="","",AH2225-AJ2225)</f>
        <v/>
      </c>
      <c r="AL2225" s="81">
        <f>IF(AN2225="","",IF(Q2225="Sin Factura","",AI2225-AJ2225))</f>
        <v/>
      </c>
      <c r="AM2225" s="81">
        <f>IF(AN2225="","",IF(Q2225="Sin Factura",0,P2225-IFERROR(INDEX(Facturas_Odoo!$H:$H, MATCH(Q2225, Facturas_Odoo!$B:$B, 0)), 0)))</f>
        <v/>
      </c>
      <c r="AN2225" s="79">
        <f>IF(AND(A2225="", J2225=""), "", IF(A2225&lt;&gt;"", VALUE(MID(A2225,2,LEN(A2225))), AN2224))</f>
        <v/>
      </c>
      <c r="AO2225" s="79">
        <f>IF(AN2225="","",IF(AD2225=0,"OK",_xlfn.LET(monedaPago, IF(AA2225="","USD",AA2225), limitePermitido, IFERROR(VLOOKUP(monedaPago, Configuración!$A$2:$B$3, 2, FALSE), 0.15), IF(AD2225&gt;limitePermitido, "ALERTA: EXCESO (" &amp; TEXT(limitePermitido, "0%") &amp; " máx)", "OK"))))</f>
        <v/>
      </c>
      <c r="AP2225" s="79">
        <f>IF(AN2225="","",IF(AE2225=0,"OK",_xlfn.LET(fechaPago, Z2225, fechaFactura, R2225, diasCredito, IF(E2225="Pago inmediato", 0, IFERROR(VALUE(MID(E2225, 1, SEARCH(" ", E2225)-1)),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25" s="79">
        <f>IF(AN2225="","",IF(AND(N2225&gt;0, AG2225&gt;0), IF(Configuración!$K$2="NO", "ALERTA: DESCUENTO DOBLE NO PERMITIDO", "OK"), "OK"))</f>
        <v/>
      </c>
      <c r="AR2225" s="79">
        <f>IF(AN2225="","",IF(OR(AO2225&lt;&gt;"OK", AP2225&lt;&gt;"OK", AQ2225&lt;&gt;"OK"), "⚠️ REVISAR", "OK"))</f>
        <v/>
      </c>
    </row>
    <row r="2226">
      <c r="A2226" s="79">
        <f>IF('Ordenes_Odoo'!A2226="","",'Ordenes_Odoo'!A2226)</f>
        <v/>
      </c>
      <c r="B2226" s="80">
        <f>IF('Ordenes_Odoo'!B2226="","",'Ordenes_Odoo'!B2226)</f>
        <v/>
      </c>
      <c r="C2226" s="79">
        <f>IF('Ordenes_Odoo'!C2226="","",'Ordenes_Odoo'!C2226)</f>
        <v/>
      </c>
      <c r="D2226" s="79">
        <f>IF('Ordenes_Odoo'!D2226="","",'Ordenes_Odoo'!D2226)</f>
        <v/>
      </c>
      <c r="E2226" s="79">
        <f>IF('Ordenes_Odoo'!E2226="","",'Ordenes_Odoo'!E2226)</f>
        <v/>
      </c>
      <c r="F2226" s="79">
        <f>IF('Ordenes_Odoo'!F2226="","",'Ordenes_Odoo'!F2226)</f>
        <v/>
      </c>
      <c r="G2226" s="79">
        <f>IF('Ordenes_Odoo'!G2226="","",'Ordenes_Odoo'!G2226)</f>
        <v/>
      </c>
      <c r="H2226" s="79">
        <f>IF('Ordenes_Odoo'!H2226="","",'Ordenes_Odoo'!H2226)</f>
        <v/>
      </c>
      <c r="I2226" s="79">
        <f>IF('Ordenes_Odoo'!I2226="","",'Ordenes_Odoo'!I2226)</f>
        <v/>
      </c>
      <c r="J2226" s="79">
        <f>IF('Ordenes_Odoo'!J2226="","",'Ordenes_Odoo'!J2226)</f>
        <v/>
      </c>
      <c r="K2226" s="81">
        <f>IF('Ordenes_Odoo'!K2226="","",'Ordenes_Odoo'!K2226)</f>
        <v/>
      </c>
      <c r="L2226" s="81">
        <f>IF('Ordenes_Odoo'!L2226="","",'Ordenes_Odoo'!L2226)</f>
        <v/>
      </c>
      <c r="M2226" s="79">
        <f>IF('Ordenes_Odoo'!M2226="","",'Ordenes_Odoo'!M2226)</f>
        <v/>
      </c>
      <c r="N2226" s="79">
        <f>IF('Ordenes_Odoo'!N2226="","",'Ordenes_Odoo'!N2226)</f>
        <v/>
      </c>
      <c r="O2226" s="81">
        <f>IF('Ordenes_Odoo'!O2226="","",'Ordenes_Odoo'!O2226)</f>
        <v/>
      </c>
      <c r="P2226" s="81">
        <f>IF('Ordenes_Odoo'!P2226="","",'Ordenes_Odoo'!P2226)</f>
        <v/>
      </c>
      <c r="Q2226" s="79">
        <f>IF(A2226="","",IFERROR(INDEX(Facturas_Odoo!$B:$B, MATCH(A2226, Facturas_Odoo!$D:$D, 0)), "Sin Factura"))</f>
        <v/>
      </c>
      <c r="R2226" s="80">
        <f>IF(Q2226="Sin Factura","",IFERROR(INDEX(Facturas_Odoo!$A:$A, MATCH(Q2226, Facturas_Odoo!$B:$B, 0)), ""))</f>
        <v/>
      </c>
      <c r="S2226" s="79">
        <f>IF(Q2226="Sin Factura","",IFERROR(_xlfn.XLOOKUP(1, (Facturas_Odoo!$D:$D=A2226) * (Facturas_Odoo!$K:$K=I2226), Facturas_Odoo!$L:$L, ""), ""))</f>
        <v/>
      </c>
      <c r="T2226" s="81">
        <f>IF(Q2226="Sin Factura",0,IFERROR(_xlfn.XLOOKUP(1, (Facturas_Odoo!$D:$D=A2226) * (Facturas_Odoo!$K:$K=I2226), Facturas_Odoo!$M:$M, 0), 0))</f>
        <v/>
      </c>
      <c r="U2226" s="79">
        <f>IF(Q2226="Sin Factura",0,IFERROR(_xlfn.XLOOKUP(1, (Facturas_Odoo!$D:$D=A2226) * (Facturas_Odoo!$K:$K=I2226), Facturas_Odoo!$N:$N, 0), 0))</f>
        <v/>
      </c>
      <c r="V2226" s="79">
        <f>IF(Q2226="Sin Factura",0,IFERROR(_xlfn.XLOOKUP(1, (Facturas_Odoo!$D:$D=A2226) * (Facturas_Odoo!$K:$K=I2226), Facturas_Odoo!$O:$O, 0), 0))</f>
        <v/>
      </c>
      <c r="W2226" s="81">
        <f>IF(Q2226="Sin Factura",0,IFERROR(_xlfn.XLOOKUP(1, (Facturas_Odoo!$D:$D=A2226) * (Facturas_Odoo!$K:$K=I2226), Facturas_Odoo!$Q:$Q, 0), 0))</f>
        <v/>
      </c>
      <c r="X2226" s="79">
        <f>IF(OR(Q2226="Sin Factura",Q2226=""),"",IFERROR(INDEX(Pagos_Odoo!$B:$B, MATCH(Q2226, Pagos_Odoo!$I:$I, 0)), "Sin Pago"))</f>
        <v/>
      </c>
      <c r="Y2226" s="79">
        <f>IF(X2226="Sin Pago","",IFERROR(INDEX(Pagos_Odoo!$C:$C, MATCH(X2226, Pagos_Odoo!$B:$B, 0)), ""))</f>
        <v/>
      </c>
      <c r="Z2226" s="80">
        <f>IF(X2226="Sin Pago","",IFERROR(INDEX(Pagos_Odoo!$A:$A, MATCH(X2226, Pagos_Odoo!$B:$B, 0)), ""))</f>
        <v/>
      </c>
      <c r="AA2226" s="79">
        <f>IF(X2226="Sin Pago","",IFERROR(INDEX(Pagos_Odoo!$F:$F, MATCH(X2226, Pagos_Odoo!$B:$B, 0)), ""))</f>
        <v/>
      </c>
      <c r="AB2226" s="81">
        <f>IF(X2226="Sin Pago",0,IFERROR(INDEX(Pagos_Odoo!$E:$E, MATCH(X2226, Pagos_Odoo!$B:$B, 0)), 0))</f>
        <v/>
      </c>
      <c r="AC2226" s="79">
        <f>IF(X2226="Sin Pago","",IFERROR(INDEX(Pagos_Odoo!$G:$G, MATCH(X2226, Pagos_Odoo!$B:$B, 0)), ""))</f>
        <v/>
      </c>
      <c r="AD2226" s="82" t="n">
        <v>0</v>
      </c>
      <c r="AE2226" s="82" t="n"/>
      <c r="AF2226" s="82" t="n"/>
      <c r="AG2226" s="82">
        <f>IF(AN2226="","",AD2226+AE2226+AF2226)</f>
        <v/>
      </c>
      <c r="AH2226" s="81">
        <f>IF(AN2226="","",P2226*(1-AG2226))</f>
        <v/>
      </c>
      <c r="AI2226" s="81">
        <f>IF(AN2226="","",IF(Q2226="Sin Factura",0,IFERROR(INDEX(Facturas_Odoo!$H:$H, MATCH(Q2226, Facturas_Odoo!$B:$B, 0)), 0)*(1-AG2226)))</f>
        <v/>
      </c>
      <c r="AJ2226" s="81">
        <f>IF(AN2226="","",_xlfn.LET(idVenta, AN2226&amp;"",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26" s="81">
        <f>IF(AN2226="","",AH2226-AJ2226)</f>
        <v/>
      </c>
      <c r="AL2226" s="81">
        <f>IF(AN2226="","",IF(Q2226="Sin Factura","",AI2226-AJ2226))</f>
        <v/>
      </c>
      <c r="AM2226" s="81">
        <f>IF(AN2226="","",IF(Q2226="Sin Factura",0,P2226-IFERROR(INDEX(Facturas_Odoo!$H:$H, MATCH(Q2226, Facturas_Odoo!$B:$B, 0)), 0)))</f>
        <v/>
      </c>
      <c r="AN2226" s="79">
        <f>IF(AND(A2226="", J2226=""), "", IF(A2226&lt;&gt;"", VALUE(MID(A2226,2,LEN(A2226))), AN2225))</f>
        <v/>
      </c>
      <c r="AO2226" s="79">
        <f>IF(AN2226="","",IF(AD2226=0,"OK",_xlfn.LET(monedaPago, IF(AA2226="","USD",AA2226), limitePermitido, IFERROR(VLOOKUP(monedaPago, Configuración!$A$2:$B$3, 2, FALSE), 0.15), IF(AD2226&gt;limitePermitido, "ALERTA: EXCESO (" &amp; TEXT(limitePermitido, "0%") &amp; " máx)", "OK"))))</f>
        <v/>
      </c>
      <c r="AP2226" s="79">
        <f>IF(AN2226="","",IF(AE2226=0,"OK",_xlfn.LET(fechaPago, Z2226, fechaFactura, R2226, diasCredito, IF(E2226="Pago inmediato", 0, IFERROR(VALUE(MID(E2226, 1, SEARCH(" ", E2226)-1)),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26" s="79">
        <f>IF(AN2226="","",IF(AND(N2226&gt;0, AG2226&gt;0), IF(Configuración!$K$2="NO", "ALERTA: DESCUENTO DOBLE NO PERMITIDO", "OK"), "OK"))</f>
        <v/>
      </c>
      <c r="AR2226" s="79">
        <f>IF(AN2226="","",IF(OR(AO2226&lt;&gt;"OK", AP2226&lt;&gt;"OK", AQ2226&lt;&gt;"OK"), "⚠️ REVISAR", "OK"))</f>
        <v/>
      </c>
    </row>
    <row r="2227">
      <c r="A2227" s="79">
        <f>IF('Ordenes_Odoo'!A2227="","",'Ordenes_Odoo'!A2227)</f>
        <v/>
      </c>
      <c r="B2227" s="80">
        <f>IF('Ordenes_Odoo'!B2227="","",'Ordenes_Odoo'!B2227)</f>
        <v/>
      </c>
      <c r="C2227" s="79">
        <f>IF('Ordenes_Odoo'!C2227="","",'Ordenes_Odoo'!C2227)</f>
        <v/>
      </c>
      <c r="D2227" s="79">
        <f>IF('Ordenes_Odoo'!D2227="","",'Ordenes_Odoo'!D2227)</f>
        <v/>
      </c>
      <c r="E2227" s="79">
        <f>IF('Ordenes_Odoo'!E2227="","",'Ordenes_Odoo'!E2227)</f>
        <v/>
      </c>
      <c r="F2227" s="79">
        <f>IF('Ordenes_Odoo'!F2227="","",'Ordenes_Odoo'!F2227)</f>
        <v/>
      </c>
      <c r="G2227" s="79">
        <f>IF('Ordenes_Odoo'!G2227="","",'Ordenes_Odoo'!G2227)</f>
        <v/>
      </c>
      <c r="H2227" s="79">
        <f>IF('Ordenes_Odoo'!H2227="","",'Ordenes_Odoo'!H2227)</f>
        <v/>
      </c>
      <c r="I2227" s="79">
        <f>IF('Ordenes_Odoo'!I2227="","",'Ordenes_Odoo'!I2227)</f>
        <v/>
      </c>
      <c r="J2227" s="79">
        <f>IF('Ordenes_Odoo'!J2227="","",'Ordenes_Odoo'!J2227)</f>
        <v/>
      </c>
      <c r="K2227" s="81">
        <f>IF('Ordenes_Odoo'!K2227="","",'Ordenes_Odoo'!K2227)</f>
        <v/>
      </c>
      <c r="L2227" s="81">
        <f>IF('Ordenes_Odoo'!L2227="","",'Ordenes_Odoo'!L2227)</f>
        <v/>
      </c>
      <c r="M2227" s="79">
        <f>IF('Ordenes_Odoo'!M2227="","",'Ordenes_Odoo'!M2227)</f>
        <v/>
      </c>
      <c r="N2227" s="79">
        <f>IF('Ordenes_Odoo'!N2227="","",'Ordenes_Odoo'!N2227)</f>
        <v/>
      </c>
      <c r="O2227" s="81">
        <f>IF('Ordenes_Odoo'!O2227="","",'Ordenes_Odoo'!O2227)</f>
        <v/>
      </c>
      <c r="P2227" s="81">
        <f>IF('Ordenes_Odoo'!P2227="","",'Ordenes_Odoo'!P2227)</f>
        <v/>
      </c>
      <c r="Q2227" s="79">
        <f>IF(A2227="","",IFERROR(INDEX(Facturas_Odoo!$B:$B, MATCH(A2227, Facturas_Odoo!$D:$D, 0)), "Sin Factura"))</f>
        <v/>
      </c>
      <c r="R2227" s="80">
        <f>IF(Q2227="Sin Factura","",IFERROR(INDEX(Facturas_Odoo!$A:$A, MATCH(Q2227, Facturas_Odoo!$B:$B, 0)), ""))</f>
        <v/>
      </c>
      <c r="S2227" s="79">
        <f>IF(Q2227="Sin Factura","",IFERROR(_xlfn.XLOOKUP(1, (Facturas_Odoo!$D:$D=A2227) * (Facturas_Odoo!$K:$K=I2227), Facturas_Odoo!$L:$L, ""), ""))</f>
        <v/>
      </c>
      <c r="T2227" s="81">
        <f>IF(Q2227="Sin Factura",0,IFERROR(_xlfn.XLOOKUP(1, (Facturas_Odoo!$D:$D=A2227) * (Facturas_Odoo!$K:$K=I2227), Facturas_Odoo!$M:$M, 0), 0))</f>
        <v/>
      </c>
      <c r="U2227" s="79">
        <f>IF(Q2227="Sin Factura",0,IFERROR(_xlfn.XLOOKUP(1, (Facturas_Odoo!$D:$D=A2227) * (Facturas_Odoo!$K:$K=I2227), Facturas_Odoo!$N:$N, 0), 0))</f>
        <v/>
      </c>
      <c r="V2227" s="79">
        <f>IF(Q2227="Sin Factura",0,IFERROR(_xlfn.XLOOKUP(1, (Facturas_Odoo!$D:$D=A2227) * (Facturas_Odoo!$K:$K=I2227), Facturas_Odoo!$O:$O, 0), 0))</f>
        <v/>
      </c>
      <c r="W2227" s="81">
        <f>IF(Q2227="Sin Factura",0,IFERROR(_xlfn.XLOOKUP(1, (Facturas_Odoo!$D:$D=A2227) * (Facturas_Odoo!$K:$K=I2227), Facturas_Odoo!$Q:$Q, 0), 0))</f>
        <v/>
      </c>
      <c r="X2227" s="79">
        <f>IF(OR(Q2227="Sin Factura",Q2227=""),"",IFERROR(INDEX(Pagos_Odoo!$B:$B, MATCH(Q2227, Pagos_Odoo!$I:$I, 0)), "Sin Pago"))</f>
        <v/>
      </c>
      <c r="Y2227" s="79">
        <f>IF(X2227="Sin Pago","",IFERROR(INDEX(Pagos_Odoo!$C:$C, MATCH(X2227, Pagos_Odoo!$B:$B, 0)), ""))</f>
        <v/>
      </c>
      <c r="Z2227" s="80">
        <f>IF(X2227="Sin Pago","",IFERROR(INDEX(Pagos_Odoo!$A:$A, MATCH(X2227, Pagos_Odoo!$B:$B, 0)), ""))</f>
        <v/>
      </c>
      <c r="AA2227" s="79">
        <f>IF(X2227="Sin Pago","",IFERROR(INDEX(Pagos_Odoo!$F:$F, MATCH(X2227, Pagos_Odoo!$B:$B, 0)), ""))</f>
        <v/>
      </c>
      <c r="AB2227" s="81">
        <f>IF(X2227="Sin Pago",0,IFERROR(INDEX(Pagos_Odoo!$E:$E, MATCH(X2227, Pagos_Odoo!$B:$B, 0)), 0))</f>
        <v/>
      </c>
      <c r="AC2227" s="79">
        <f>IF(X2227="Sin Pago","",IFERROR(INDEX(Pagos_Odoo!$G:$G, MATCH(X2227, Pagos_Odoo!$B:$B, 0)), ""))</f>
        <v/>
      </c>
      <c r="AD2227" s="82" t="n">
        <v>0</v>
      </c>
      <c r="AE2227" s="82" t="n"/>
      <c r="AF2227" s="82" t="n"/>
      <c r="AG2227" s="82">
        <f>IF(AN2227="","",AD2227+AE2227+AF2227)</f>
        <v/>
      </c>
      <c r="AH2227" s="81">
        <f>IF(AN2227="","",P2227*(1-AG2227))</f>
        <v/>
      </c>
      <c r="AI2227" s="81">
        <f>IF(AN2227="","",IF(Q2227="Sin Factura",0,IFERROR(INDEX(Facturas_Odoo!$H:$H, MATCH(Q2227, Facturas_Odoo!$B:$B, 0)), 0)*(1-AG2227)))</f>
        <v/>
      </c>
      <c r="AJ2227" s="81">
        <f>IF(AN2227="","",_xlfn.LET(idVenta, AN2227&amp;"",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27" s="81">
        <f>IF(AN2227="","",AH2227-AJ2227)</f>
        <v/>
      </c>
      <c r="AL2227" s="81">
        <f>IF(AN2227="","",IF(Q2227="Sin Factura","",AI2227-AJ2227))</f>
        <v/>
      </c>
      <c r="AM2227" s="81">
        <f>IF(AN2227="","",IF(Q2227="Sin Factura",0,P2227-IFERROR(INDEX(Facturas_Odoo!$H:$H, MATCH(Q2227, Facturas_Odoo!$B:$B, 0)), 0)))</f>
        <v/>
      </c>
      <c r="AN2227" s="79">
        <f>IF(AND(A2227="", J2227=""), "", IF(A2227&lt;&gt;"", VALUE(MID(A2227,2,LEN(A2227))), AN2226))</f>
        <v/>
      </c>
      <c r="AO2227" s="79">
        <f>IF(AN2227="","",IF(AD2227=0,"OK",_xlfn.LET(monedaPago, IF(AA2227="","USD",AA2227), limitePermitido, IFERROR(VLOOKUP(monedaPago, Configuración!$A$2:$B$3, 2, FALSE), 0.15), IF(AD2227&gt;limitePermitido, "ALERTA: EXCESO (" &amp; TEXT(limitePermitido, "0%") &amp; " máx)", "OK"))))</f>
        <v/>
      </c>
      <c r="AP2227" s="79">
        <f>IF(AN2227="","",IF(AE2227=0,"OK",_xlfn.LET(fechaPago, Z2227, fechaFactura, R2227, diasCredito, IF(E2227="Pago inmediato", 0, IFERROR(VALUE(MID(E2227, 1, SEARCH(" ", E2227)-1)),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27" s="79">
        <f>IF(AN2227="","",IF(AND(N2227&gt;0, AG2227&gt;0), IF(Configuración!$K$2="NO", "ALERTA: DESCUENTO DOBLE NO PERMITIDO", "OK"), "OK"))</f>
        <v/>
      </c>
      <c r="AR2227" s="79">
        <f>IF(AN2227="","",IF(OR(AO2227&lt;&gt;"OK", AP2227&lt;&gt;"OK", AQ2227&lt;&gt;"OK"), "⚠️ REVISAR", "OK"))</f>
        <v/>
      </c>
    </row>
    <row r="2228">
      <c r="A2228" s="79">
        <f>IF('Ordenes_Odoo'!A2228="","",'Ordenes_Odoo'!A2228)</f>
        <v/>
      </c>
      <c r="B2228" s="80">
        <f>IF('Ordenes_Odoo'!B2228="","",'Ordenes_Odoo'!B2228)</f>
        <v/>
      </c>
      <c r="C2228" s="79">
        <f>IF('Ordenes_Odoo'!C2228="","",'Ordenes_Odoo'!C2228)</f>
        <v/>
      </c>
      <c r="D2228" s="79">
        <f>IF('Ordenes_Odoo'!D2228="","",'Ordenes_Odoo'!D2228)</f>
        <v/>
      </c>
      <c r="E2228" s="79">
        <f>IF('Ordenes_Odoo'!E2228="","",'Ordenes_Odoo'!E2228)</f>
        <v/>
      </c>
      <c r="F2228" s="79">
        <f>IF('Ordenes_Odoo'!F2228="","",'Ordenes_Odoo'!F2228)</f>
        <v/>
      </c>
      <c r="G2228" s="79">
        <f>IF('Ordenes_Odoo'!G2228="","",'Ordenes_Odoo'!G2228)</f>
        <v/>
      </c>
      <c r="H2228" s="79">
        <f>IF('Ordenes_Odoo'!H2228="","",'Ordenes_Odoo'!H2228)</f>
        <v/>
      </c>
      <c r="I2228" s="79">
        <f>IF('Ordenes_Odoo'!I2228="","",'Ordenes_Odoo'!I2228)</f>
        <v/>
      </c>
      <c r="J2228" s="79">
        <f>IF('Ordenes_Odoo'!J2228="","",'Ordenes_Odoo'!J2228)</f>
        <v/>
      </c>
      <c r="K2228" s="81">
        <f>IF('Ordenes_Odoo'!K2228="","",'Ordenes_Odoo'!K2228)</f>
        <v/>
      </c>
      <c r="L2228" s="81">
        <f>IF('Ordenes_Odoo'!L2228="","",'Ordenes_Odoo'!L2228)</f>
        <v/>
      </c>
      <c r="M2228" s="79">
        <f>IF('Ordenes_Odoo'!M2228="","",'Ordenes_Odoo'!M2228)</f>
        <v/>
      </c>
      <c r="N2228" s="79">
        <f>IF('Ordenes_Odoo'!N2228="","",'Ordenes_Odoo'!N2228)</f>
        <v/>
      </c>
      <c r="O2228" s="81">
        <f>IF('Ordenes_Odoo'!O2228="","",'Ordenes_Odoo'!O2228)</f>
        <v/>
      </c>
      <c r="P2228" s="81">
        <f>IF('Ordenes_Odoo'!P2228="","",'Ordenes_Odoo'!P2228)</f>
        <v/>
      </c>
      <c r="Q2228" s="79">
        <f>IF(A2228="","",IFERROR(INDEX(Facturas_Odoo!$B:$B, MATCH(A2228, Facturas_Odoo!$D:$D, 0)), "Sin Factura"))</f>
        <v/>
      </c>
      <c r="R2228" s="80">
        <f>IF(Q2228="Sin Factura","",IFERROR(INDEX(Facturas_Odoo!$A:$A, MATCH(Q2228, Facturas_Odoo!$B:$B, 0)), ""))</f>
        <v/>
      </c>
      <c r="S2228" s="79">
        <f>IF(Q2228="Sin Factura","",IFERROR(_xlfn.XLOOKUP(1, (Facturas_Odoo!$D:$D=A2228) * (Facturas_Odoo!$K:$K=I2228), Facturas_Odoo!$L:$L, ""), ""))</f>
        <v/>
      </c>
      <c r="T2228" s="81">
        <f>IF(Q2228="Sin Factura",0,IFERROR(_xlfn.XLOOKUP(1, (Facturas_Odoo!$D:$D=A2228) * (Facturas_Odoo!$K:$K=I2228), Facturas_Odoo!$M:$M, 0), 0))</f>
        <v/>
      </c>
      <c r="U2228" s="79">
        <f>IF(Q2228="Sin Factura",0,IFERROR(_xlfn.XLOOKUP(1, (Facturas_Odoo!$D:$D=A2228) * (Facturas_Odoo!$K:$K=I2228), Facturas_Odoo!$N:$N, 0), 0))</f>
        <v/>
      </c>
      <c r="V2228" s="79">
        <f>IF(Q2228="Sin Factura",0,IFERROR(_xlfn.XLOOKUP(1, (Facturas_Odoo!$D:$D=A2228) * (Facturas_Odoo!$K:$K=I2228), Facturas_Odoo!$O:$O, 0), 0))</f>
        <v/>
      </c>
      <c r="W2228" s="81">
        <f>IF(Q2228="Sin Factura",0,IFERROR(_xlfn.XLOOKUP(1, (Facturas_Odoo!$D:$D=A2228) * (Facturas_Odoo!$K:$K=I2228), Facturas_Odoo!$Q:$Q, 0), 0))</f>
        <v/>
      </c>
      <c r="X2228" s="79">
        <f>IF(OR(Q2228="Sin Factura",Q2228=""),"",IFERROR(INDEX(Pagos_Odoo!$B:$B, MATCH(Q2228, Pagos_Odoo!$I:$I, 0)), "Sin Pago"))</f>
        <v/>
      </c>
      <c r="Y2228" s="79">
        <f>IF(X2228="Sin Pago","",IFERROR(INDEX(Pagos_Odoo!$C:$C, MATCH(X2228, Pagos_Odoo!$B:$B, 0)), ""))</f>
        <v/>
      </c>
      <c r="Z2228" s="80">
        <f>IF(X2228="Sin Pago","",IFERROR(INDEX(Pagos_Odoo!$A:$A, MATCH(X2228, Pagos_Odoo!$B:$B, 0)), ""))</f>
        <v/>
      </c>
      <c r="AA2228" s="79">
        <f>IF(X2228="Sin Pago","",IFERROR(INDEX(Pagos_Odoo!$F:$F, MATCH(X2228, Pagos_Odoo!$B:$B, 0)), ""))</f>
        <v/>
      </c>
      <c r="AB2228" s="81">
        <f>IF(X2228="Sin Pago",0,IFERROR(INDEX(Pagos_Odoo!$E:$E, MATCH(X2228, Pagos_Odoo!$B:$B, 0)), 0))</f>
        <v/>
      </c>
      <c r="AC2228" s="79">
        <f>IF(X2228="Sin Pago","",IFERROR(INDEX(Pagos_Odoo!$G:$G, MATCH(X2228, Pagos_Odoo!$B:$B, 0)), ""))</f>
        <v/>
      </c>
      <c r="AD2228" s="82" t="n">
        <v>0</v>
      </c>
      <c r="AE2228" s="82" t="n"/>
      <c r="AF2228" s="82" t="n"/>
      <c r="AG2228" s="82">
        <f>IF(AN2228="","",AD2228+AE2228+AF2228)</f>
        <v/>
      </c>
      <c r="AH2228" s="81">
        <f>IF(AN2228="","",P2228*(1-AG2228))</f>
        <v/>
      </c>
      <c r="AI2228" s="81">
        <f>IF(AN2228="","",IF(Q2228="Sin Factura",0,IFERROR(INDEX(Facturas_Odoo!$H:$H, MATCH(Q2228, Facturas_Odoo!$B:$B, 0)), 0)*(1-AG2228)))</f>
        <v/>
      </c>
      <c r="AJ2228" s="81">
        <f>IF(AN2228="","",_xlfn.LET(idVenta, AN2228&amp;"",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28" s="81">
        <f>IF(AN2228="","",AH2228-AJ2228)</f>
        <v/>
      </c>
      <c r="AL2228" s="81">
        <f>IF(AN2228="","",IF(Q2228="Sin Factura","",AI2228-AJ2228))</f>
        <v/>
      </c>
      <c r="AM2228" s="81">
        <f>IF(AN2228="","",IF(Q2228="Sin Factura",0,P2228-IFERROR(INDEX(Facturas_Odoo!$H:$H, MATCH(Q2228, Facturas_Odoo!$B:$B, 0)), 0)))</f>
        <v/>
      </c>
      <c r="AN2228" s="79">
        <f>IF(AND(A2228="", J2228=""), "", IF(A2228&lt;&gt;"", VALUE(MID(A2228,2,LEN(A2228))), AN2227))</f>
        <v/>
      </c>
      <c r="AO2228" s="79">
        <f>IF(AN2228="","",IF(AD2228=0,"OK",_xlfn.LET(monedaPago, IF(AA2228="","USD",AA2228), limitePermitido, IFERROR(VLOOKUP(monedaPago, Configuración!$A$2:$B$3, 2, FALSE), 0.15), IF(AD2228&gt;limitePermitido, "ALERTA: EXCESO (" &amp; TEXT(limitePermitido, "0%") &amp; " máx)", "OK"))))</f>
        <v/>
      </c>
      <c r="AP2228" s="79">
        <f>IF(AN2228="","",IF(AE2228=0,"OK",_xlfn.LET(fechaPago, Z2228, fechaFactura, R2228, diasCredito, IF(E2228="Pago inmediato", 0, IFERROR(VALUE(MID(E2228, 1, SEARCH(" ", E2228)-1)),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28" s="79">
        <f>IF(AN2228="","",IF(AND(N2228&gt;0, AG2228&gt;0), IF(Configuración!$K$2="NO", "ALERTA: DESCUENTO DOBLE NO PERMITIDO", "OK"), "OK"))</f>
        <v/>
      </c>
      <c r="AR2228" s="79">
        <f>IF(AN2228="","",IF(OR(AO2228&lt;&gt;"OK", AP2228&lt;&gt;"OK", AQ2228&lt;&gt;"OK"), "⚠️ REVISAR", "OK"))</f>
        <v/>
      </c>
    </row>
    <row r="2229">
      <c r="A2229" s="79">
        <f>IF('Ordenes_Odoo'!A2229="","",'Ordenes_Odoo'!A2229)</f>
        <v/>
      </c>
      <c r="B2229" s="80">
        <f>IF('Ordenes_Odoo'!B2229="","",'Ordenes_Odoo'!B2229)</f>
        <v/>
      </c>
      <c r="C2229" s="79">
        <f>IF('Ordenes_Odoo'!C2229="","",'Ordenes_Odoo'!C2229)</f>
        <v/>
      </c>
      <c r="D2229" s="79">
        <f>IF('Ordenes_Odoo'!D2229="","",'Ordenes_Odoo'!D2229)</f>
        <v/>
      </c>
      <c r="E2229" s="79">
        <f>IF('Ordenes_Odoo'!E2229="","",'Ordenes_Odoo'!E2229)</f>
        <v/>
      </c>
      <c r="F2229" s="79">
        <f>IF('Ordenes_Odoo'!F2229="","",'Ordenes_Odoo'!F2229)</f>
        <v/>
      </c>
      <c r="G2229" s="79">
        <f>IF('Ordenes_Odoo'!G2229="","",'Ordenes_Odoo'!G2229)</f>
        <v/>
      </c>
      <c r="H2229" s="79">
        <f>IF('Ordenes_Odoo'!H2229="","",'Ordenes_Odoo'!H2229)</f>
        <v/>
      </c>
      <c r="I2229" s="79">
        <f>IF('Ordenes_Odoo'!I2229="","",'Ordenes_Odoo'!I2229)</f>
        <v/>
      </c>
      <c r="J2229" s="79">
        <f>IF('Ordenes_Odoo'!J2229="","",'Ordenes_Odoo'!J2229)</f>
        <v/>
      </c>
      <c r="K2229" s="81">
        <f>IF('Ordenes_Odoo'!K2229="","",'Ordenes_Odoo'!K2229)</f>
        <v/>
      </c>
      <c r="L2229" s="81">
        <f>IF('Ordenes_Odoo'!L2229="","",'Ordenes_Odoo'!L2229)</f>
        <v/>
      </c>
      <c r="M2229" s="79">
        <f>IF('Ordenes_Odoo'!M2229="","",'Ordenes_Odoo'!M2229)</f>
        <v/>
      </c>
      <c r="N2229" s="79">
        <f>IF('Ordenes_Odoo'!N2229="","",'Ordenes_Odoo'!N2229)</f>
        <v/>
      </c>
      <c r="O2229" s="81">
        <f>IF('Ordenes_Odoo'!O2229="","",'Ordenes_Odoo'!O2229)</f>
        <v/>
      </c>
      <c r="P2229" s="81">
        <f>IF('Ordenes_Odoo'!P2229="","",'Ordenes_Odoo'!P2229)</f>
        <v/>
      </c>
      <c r="Q2229" s="79">
        <f>IF(A2229="","",IFERROR(INDEX(Facturas_Odoo!$B:$B, MATCH(A2229, Facturas_Odoo!$D:$D, 0)), "Sin Factura"))</f>
        <v/>
      </c>
      <c r="R2229" s="80">
        <f>IF(Q2229="Sin Factura","",IFERROR(INDEX(Facturas_Odoo!$A:$A, MATCH(Q2229, Facturas_Odoo!$B:$B, 0)), ""))</f>
        <v/>
      </c>
      <c r="S2229" s="79">
        <f>IF(Q2229="Sin Factura","",IFERROR(_xlfn.XLOOKUP(1, (Facturas_Odoo!$D:$D=A2229) * (Facturas_Odoo!$K:$K=I2229), Facturas_Odoo!$L:$L, ""), ""))</f>
        <v/>
      </c>
      <c r="T2229" s="81">
        <f>IF(Q2229="Sin Factura",0,IFERROR(_xlfn.XLOOKUP(1, (Facturas_Odoo!$D:$D=A2229) * (Facturas_Odoo!$K:$K=I2229), Facturas_Odoo!$M:$M, 0), 0))</f>
        <v/>
      </c>
      <c r="U2229" s="79">
        <f>IF(Q2229="Sin Factura",0,IFERROR(_xlfn.XLOOKUP(1, (Facturas_Odoo!$D:$D=A2229) * (Facturas_Odoo!$K:$K=I2229), Facturas_Odoo!$N:$N, 0), 0))</f>
        <v/>
      </c>
      <c r="V2229" s="79">
        <f>IF(Q2229="Sin Factura",0,IFERROR(_xlfn.XLOOKUP(1, (Facturas_Odoo!$D:$D=A2229) * (Facturas_Odoo!$K:$K=I2229), Facturas_Odoo!$O:$O, 0), 0))</f>
        <v/>
      </c>
      <c r="W2229" s="81">
        <f>IF(Q2229="Sin Factura",0,IFERROR(_xlfn.XLOOKUP(1, (Facturas_Odoo!$D:$D=A2229) * (Facturas_Odoo!$K:$K=I2229), Facturas_Odoo!$Q:$Q, 0), 0))</f>
        <v/>
      </c>
      <c r="X2229" s="79">
        <f>IF(OR(Q2229="Sin Factura",Q2229=""),"",IFERROR(INDEX(Pagos_Odoo!$B:$B, MATCH(Q2229, Pagos_Odoo!$I:$I, 0)), "Sin Pago"))</f>
        <v/>
      </c>
      <c r="Y2229" s="79">
        <f>IF(X2229="Sin Pago","",IFERROR(INDEX(Pagos_Odoo!$C:$C, MATCH(X2229, Pagos_Odoo!$B:$B, 0)), ""))</f>
        <v/>
      </c>
      <c r="Z2229" s="80">
        <f>IF(X2229="Sin Pago","",IFERROR(INDEX(Pagos_Odoo!$A:$A, MATCH(X2229, Pagos_Odoo!$B:$B, 0)), ""))</f>
        <v/>
      </c>
      <c r="AA2229" s="79">
        <f>IF(X2229="Sin Pago","",IFERROR(INDEX(Pagos_Odoo!$F:$F, MATCH(X2229, Pagos_Odoo!$B:$B, 0)), ""))</f>
        <v/>
      </c>
      <c r="AB2229" s="81">
        <f>IF(X2229="Sin Pago",0,IFERROR(INDEX(Pagos_Odoo!$E:$E, MATCH(X2229, Pagos_Odoo!$B:$B, 0)), 0))</f>
        <v/>
      </c>
      <c r="AC2229" s="79">
        <f>IF(X2229="Sin Pago","",IFERROR(INDEX(Pagos_Odoo!$G:$G, MATCH(X2229, Pagos_Odoo!$B:$B, 0)), ""))</f>
        <v/>
      </c>
      <c r="AD2229" s="82" t="n">
        <v>0</v>
      </c>
      <c r="AE2229" s="82" t="n"/>
      <c r="AF2229" s="82" t="n"/>
      <c r="AG2229" s="82">
        <f>IF(AN2229="","",AD2229+AE2229+AF2229)</f>
        <v/>
      </c>
      <c r="AH2229" s="81">
        <f>IF(AN2229="","",P2229*(1-AG2229))</f>
        <v/>
      </c>
      <c r="AI2229" s="81">
        <f>IF(AN2229="","",IF(Q2229="Sin Factura",0,IFERROR(INDEX(Facturas_Odoo!$H:$H, MATCH(Q2229, Facturas_Odoo!$B:$B, 0)), 0)*(1-AG2229)))</f>
        <v/>
      </c>
      <c r="AJ2229" s="81">
        <f>IF(AN2229="","",_xlfn.LET(idVenta, AN2229&amp;"",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29" s="81">
        <f>IF(AN2229="","",AH2229-AJ2229)</f>
        <v/>
      </c>
      <c r="AL2229" s="81">
        <f>IF(AN2229="","",IF(Q2229="Sin Factura","",AI2229-AJ2229))</f>
        <v/>
      </c>
      <c r="AM2229" s="81">
        <f>IF(AN2229="","",IF(Q2229="Sin Factura",0,P2229-IFERROR(INDEX(Facturas_Odoo!$H:$H, MATCH(Q2229, Facturas_Odoo!$B:$B, 0)), 0)))</f>
        <v/>
      </c>
      <c r="AN2229" s="79">
        <f>IF(AND(A2229="", J2229=""), "", IF(A2229&lt;&gt;"", VALUE(MID(A2229,2,LEN(A2229))), AN2228))</f>
        <v/>
      </c>
      <c r="AO2229" s="79">
        <f>IF(AN2229="","",IF(AD2229=0,"OK",_xlfn.LET(monedaPago, IF(AA2229="","USD",AA2229), limitePermitido, IFERROR(VLOOKUP(monedaPago, Configuración!$A$2:$B$3, 2, FALSE), 0.15), IF(AD2229&gt;limitePermitido, "ALERTA: EXCESO (" &amp; TEXT(limitePermitido, "0%") &amp; " máx)", "OK"))))</f>
        <v/>
      </c>
      <c r="AP2229" s="79">
        <f>IF(AN2229="","",IF(AE2229=0,"OK",_xlfn.LET(fechaPago, Z2229, fechaFactura, R2229, diasCredito, IF(E2229="Pago inmediato", 0, IFERROR(VALUE(MID(E2229, 1, SEARCH(" ", E2229)-1)),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29" s="79">
        <f>IF(AN2229="","",IF(AND(N2229&gt;0, AG2229&gt;0), IF(Configuración!$K$2="NO", "ALERTA: DESCUENTO DOBLE NO PERMITIDO", "OK"), "OK"))</f>
        <v/>
      </c>
      <c r="AR2229" s="79">
        <f>IF(AN2229="","",IF(OR(AO2229&lt;&gt;"OK", AP2229&lt;&gt;"OK", AQ2229&lt;&gt;"OK"), "⚠️ REVISAR", "OK"))</f>
        <v/>
      </c>
    </row>
    <row r="2230">
      <c r="A2230" s="79">
        <f>IF('Ordenes_Odoo'!A2230="","",'Ordenes_Odoo'!A2230)</f>
        <v/>
      </c>
      <c r="B2230" s="80">
        <f>IF('Ordenes_Odoo'!B2230="","",'Ordenes_Odoo'!B2230)</f>
        <v/>
      </c>
      <c r="C2230" s="79">
        <f>IF('Ordenes_Odoo'!C2230="","",'Ordenes_Odoo'!C2230)</f>
        <v/>
      </c>
      <c r="D2230" s="79">
        <f>IF('Ordenes_Odoo'!D2230="","",'Ordenes_Odoo'!D2230)</f>
        <v/>
      </c>
      <c r="E2230" s="79">
        <f>IF('Ordenes_Odoo'!E2230="","",'Ordenes_Odoo'!E2230)</f>
        <v/>
      </c>
      <c r="F2230" s="79">
        <f>IF('Ordenes_Odoo'!F2230="","",'Ordenes_Odoo'!F2230)</f>
        <v/>
      </c>
      <c r="G2230" s="79">
        <f>IF('Ordenes_Odoo'!G2230="","",'Ordenes_Odoo'!G2230)</f>
        <v/>
      </c>
      <c r="H2230" s="79">
        <f>IF('Ordenes_Odoo'!H2230="","",'Ordenes_Odoo'!H2230)</f>
        <v/>
      </c>
      <c r="I2230" s="79">
        <f>IF('Ordenes_Odoo'!I2230="","",'Ordenes_Odoo'!I2230)</f>
        <v/>
      </c>
      <c r="J2230" s="79">
        <f>IF('Ordenes_Odoo'!J2230="","",'Ordenes_Odoo'!J2230)</f>
        <v/>
      </c>
      <c r="K2230" s="81">
        <f>IF('Ordenes_Odoo'!K2230="","",'Ordenes_Odoo'!K2230)</f>
        <v/>
      </c>
      <c r="L2230" s="81">
        <f>IF('Ordenes_Odoo'!L2230="","",'Ordenes_Odoo'!L2230)</f>
        <v/>
      </c>
      <c r="M2230" s="79">
        <f>IF('Ordenes_Odoo'!M2230="","",'Ordenes_Odoo'!M2230)</f>
        <v/>
      </c>
      <c r="N2230" s="79">
        <f>IF('Ordenes_Odoo'!N2230="","",'Ordenes_Odoo'!N2230)</f>
        <v/>
      </c>
      <c r="O2230" s="81">
        <f>IF('Ordenes_Odoo'!O2230="","",'Ordenes_Odoo'!O2230)</f>
        <v/>
      </c>
      <c r="P2230" s="81">
        <f>IF('Ordenes_Odoo'!P2230="","",'Ordenes_Odoo'!P2230)</f>
        <v/>
      </c>
      <c r="Q2230" s="79">
        <f>IF(A2230="","",IFERROR(INDEX(Facturas_Odoo!$B:$B, MATCH(A2230, Facturas_Odoo!$D:$D, 0)), "Sin Factura"))</f>
        <v/>
      </c>
      <c r="R2230" s="80">
        <f>IF(Q2230="Sin Factura","",IFERROR(INDEX(Facturas_Odoo!$A:$A, MATCH(Q2230, Facturas_Odoo!$B:$B, 0)), ""))</f>
        <v/>
      </c>
      <c r="S2230" s="79">
        <f>IF(Q2230="Sin Factura","",IFERROR(_xlfn.XLOOKUP(1, (Facturas_Odoo!$D:$D=A2230) * (Facturas_Odoo!$K:$K=I2230), Facturas_Odoo!$L:$L, ""), ""))</f>
        <v/>
      </c>
      <c r="T2230" s="81">
        <f>IF(Q2230="Sin Factura",0,IFERROR(_xlfn.XLOOKUP(1, (Facturas_Odoo!$D:$D=A2230) * (Facturas_Odoo!$K:$K=I2230), Facturas_Odoo!$M:$M, 0), 0))</f>
        <v/>
      </c>
      <c r="U2230" s="79">
        <f>IF(Q2230="Sin Factura",0,IFERROR(_xlfn.XLOOKUP(1, (Facturas_Odoo!$D:$D=A2230) * (Facturas_Odoo!$K:$K=I2230), Facturas_Odoo!$N:$N, 0), 0))</f>
        <v/>
      </c>
      <c r="V2230" s="79">
        <f>IF(Q2230="Sin Factura",0,IFERROR(_xlfn.XLOOKUP(1, (Facturas_Odoo!$D:$D=A2230) * (Facturas_Odoo!$K:$K=I2230), Facturas_Odoo!$O:$O, 0), 0))</f>
        <v/>
      </c>
      <c r="W2230" s="81">
        <f>IF(Q2230="Sin Factura",0,IFERROR(_xlfn.XLOOKUP(1, (Facturas_Odoo!$D:$D=A2230) * (Facturas_Odoo!$K:$K=I2230), Facturas_Odoo!$Q:$Q, 0), 0))</f>
        <v/>
      </c>
      <c r="X2230" s="79">
        <f>IF(OR(Q2230="Sin Factura",Q2230=""),"",IFERROR(INDEX(Pagos_Odoo!$B:$B, MATCH(Q2230, Pagos_Odoo!$I:$I, 0)), "Sin Pago"))</f>
        <v/>
      </c>
      <c r="Y2230" s="79">
        <f>IF(X2230="Sin Pago","",IFERROR(INDEX(Pagos_Odoo!$C:$C, MATCH(X2230, Pagos_Odoo!$B:$B, 0)), ""))</f>
        <v/>
      </c>
      <c r="Z2230" s="80">
        <f>IF(X2230="Sin Pago","",IFERROR(INDEX(Pagos_Odoo!$A:$A, MATCH(X2230, Pagos_Odoo!$B:$B, 0)), ""))</f>
        <v/>
      </c>
      <c r="AA2230" s="79">
        <f>IF(X2230="Sin Pago","",IFERROR(INDEX(Pagos_Odoo!$F:$F, MATCH(X2230, Pagos_Odoo!$B:$B, 0)), ""))</f>
        <v/>
      </c>
      <c r="AB2230" s="81">
        <f>IF(X2230="Sin Pago",0,IFERROR(INDEX(Pagos_Odoo!$E:$E, MATCH(X2230, Pagos_Odoo!$B:$B, 0)), 0))</f>
        <v/>
      </c>
      <c r="AC2230" s="79">
        <f>IF(X2230="Sin Pago","",IFERROR(INDEX(Pagos_Odoo!$G:$G, MATCH(X2230, Pagos_Odoo!$B:$B, 0)), ""))</f>
        <v/>
      </c>
      <c r="AD2230" s="82" t="n">
        <v>0</v>
      </c>
      <c r="AE2230" s="82" t="n"/>
      <c r="AF2230" s="82" t="n"/>
      <c r="AG2230" s="82">
        <f>IF(AN2230="","",AD2230+AE2230+AF2230)</f>
        <v/>
      </c>
      <c r="AH2230" s="81">
        <f>IF(AN2230="","",P2230*(1-AG2230))</f>
        <v/>
      </c>
      <c r="AI2230" s="81">
        <f>IF(AN2230="","",IF(Q2230="Sin Factura",0,IFERROR(INDEX(Facturas_Odoo!$H:$H, MATCH(Q2230, Facturas_Odoo!$B:$B, 0)), 0)*(1-AG2230)))</f>
        <v/>
      </c>
      <c r="AJ2230" s="81">
        <f>IF(AN2230="","",_xlfn.LET(idVenta, AN2230&amp;"",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30" s="81">
        <f>IF(AN2230="","",AH2230-AJ2230)</f>
        <v/>
      </c>
      <c r="AL2230" s="81">
        <f>IF(AN2230="","",IF(Q2230="Sin Factura","",AI2230-AJ2230))</f>
        <v/>
      </c>
      <c r="AM2230" s="81">
        <f>IF(AN2230="","",IF(Q2230="Sin Factura",0,P2230-IFERROR(INDEX(Facturas_Odoo!$H:$H, MATCH(Q2230, Facturas_Odoo!$B:$B, 0)), 0)))</f>
        <v/>
      </c>
      <c r="AN2230" s="79">
        <f>IF(AND(A2230="", J2230=""), "", IF(A2230&lt;&gt;"", VALUE(MID(A2230,2,LEN(A2230))), AN2229))</f>
        <v/>
      </c>
      <c r="AO2230" s="79">
        <f>IF(AN2230="","",IF(AD2230=0,"OK",_xlfn.LET(monedaPago, IF(AA2230="","USD",AA2230), limitePermitido, IFERROR(VLOOKUP(monedaPago, Configuración!$A$2:$B$3, 2, FALSE), 0.15), IF(AD2230&gt;limitePermitido, "ALERTA: EXCESO (" &amp; TEXT(limitePermitido, "0%") &amp; " máx)", "OK"))))</f>
        <v/>
      </c>
      <c r="AP2230" s="79">
        <f>IF(AN2230="","",IF(AE2230=0,"OK",_xlfn.LET(fechaPago, Z2230, fechaFactura, R2230, diasCredito, IF(E2230="Pago inmediato", 0, IFERROR(VALUE(MID(E2230, 1, SEARCH(" ", E2230)-1)),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30" s="79">
        <f>IF(AN2230="","",IF(AND(N2230&gt;0, AG2230&gt;0), IF(Configuración!$K$2="NO", "ALERTA: DESCUENTO DOBLE NO PERMITIDO", "OK"), "OK"))</f>
        <v/>
      </c>
      <c r="AR2230" s="79">
        <f>IF(AN2230="","",IF(OR(AO2230&lt;&gt;"OK", AP2230&lt;&gt;"OK", AQ2230&lt;&gt;"OK"), "⚠️ REVISAR", "OK"))</f>
        <v/>
      </c>
    </row>
    <row r="2231">
      <c r="A2231" s="79">
        <f>IF('Ordenes_Odoo'!A2231="","",'Ordenes_Odoo'!A2231)</f>
        <v/>
      </c>
      <c r="B2231" s="80">
        <f>IF('Ordenes_Odoo'!B2231="","",'Ordenes_Odoo'!B2231)</f>
        <v/>
      </c>
      <c r="C2231" s="79">
        <f>IF('Ordenes_Odoo'!C2231="","",'Ordenes_Odoo'!C2231)</f>
        <v/>
      </c>
      <c r="D2231" s="79">
        <f>IF('Ordenes_Odoo'!D2231="","",'Ordenes_Odoo'!D2231)</f>
        <v/>
      </c>
      <c r="E2231" s="79">
        <f>IF('Ordenes_Odoo'!E2231="","",'Ordenes_Odoo'!E2231)</f>
        <v/>
      </c>
      <c r="F2231" s="79">
        <f>IF('Ordenes_Odoo'!F2231="","",'Ordenes_Odoo'!F2231)</f>
        <v/>
      </c>
      <c r="G2231" s="79">
        <f>IF('Ordenes_Odoo'!G2231="","",'Ordenes_Odoo'!G2231)</f>
        <v/>
      </c>
      <c r="H2231" s="79">
        <f>IF('Ordenes_Odoo'!H2231="","",'Ordenes_Odoo'!H2231)</f>
        <v/>
      </c>
      <c r="I2231" s="79">
        <f>IF('Ordenes_Odoo'!I2231="","",'Ordenes_Odoo'!I2231)</f>
        <v/>
      </c>
      <c r="J2231" s="79">
        <f>IF('Ordenes_Odoo'!J2231="","",'Ordenes_Odoo'!J2231)</f>
        <v/>
      </c>
      <c r="K2231" s="81">
        <f>IF('Ordenes_Odoo'!K2231="","",'Ordenes_Odoo'!K2231)</f>
        <v/>
      </c>
      <c r="L2231" s="81">
        <f>IF('Ordenes_Odoo'!L2231="","",'Ordenes_Odoo'!L2231)</f>
        <v/>
      </c>
      <c r="M2231" s="79">
        <f>IF('Ordenes_Odoo'!M2231="","",'Ordenes_Odoo'!M2231)</f>
        <v/>
      </c>
      <c r="N2231" s="79">
        <f>IF('Ordenes_Odoo'!N2231="","",'Ordenes_Odoo'!N2231)</f>
        <v/>
      </c>
      <c r="O2231" s="81">
        <f>IF('Ordenes_Odoo'!O2231="","",'Ordenes_Odoo'!O2231)</f>
        <v/>
      </c>
      <c r="P2231" s="81">
        <f>IF('Ordenes_Odoo'!P2231="","",'Ordenes_Odoo'!P2231)</f>
        <v/>
      </c>
      <c r="Q2231" s="79">
        <f>IF(A2231="","",IFERROR(INDEX(Facturas_Odoo!$B:$B, MATCH(A2231, Facturas_Odoo!$D:$D, 0)), "Sin Factura"))</f>
        <v/>
      </c>
      <c r="R2231" s="80">
        <f>IF(Q2231="Sin Factura","",IFERROR(INDEX(Facturas_Odoo!$A:$A, MATCH(Q2231, Facturas_Odoo!$B:$B, 0)), ""))</f>
        <v/>
      </c>
      <c r="S2231" s="79">
        <f>IF(Q2231="Sin Factura","",IFERROR(_xlfn.XLOOKUP(1, (Facturas_Odoo!$D:$D=A2231) * (Facturas_Odoo!$K:$K=I2231), Facturas_Odoo!$L:$L, ""), ""))</f>
        <v/>
      </c>
      <c r="T2231" s="81">
        <f>IF(Q2231="Sin Factura",0,IFERROR(_xlfn.XLOOKUP(1, (Facturas_Odoo!$D:$D=A2231) * (Facturas_Odoo!$K:$K=I2231), Facturas_Odoo!$M:$M, 0), 0))</f>
        <v/>
      </c>
      <c r="U2231" s="79">
        <f>IF(Q2231="Sin Factura",0,IFERROR(_xlfn.XLOOKUP(1, (Facturas_Odoo!$D:$D=A2231) * (Facturas_Odoo!$K:$K=I2231), Facturas_Odoo!$N:$N, 0), 0))</f>
        <v/>
      </c>
      <c r="V2231" s="79">
        <f>IF(Q2231="Sin Factura",0,IFERROR(_xlfn.XLOOKUP(1, (Facturas_Odoo!$D:$D=A2231) * (Facturas_Odoo!$K:$K=I2231), Facturas_Odoo!$O:$O, 0), 0))</f>
        <v/>
      </c>
      <c r="W2231" s="81">
        <f>IF(Q2231="Sin Factura",0,IFERROR(_xlfn.XLOOKUP(1, (Facturas_Odoo!$D:$D=A2231) * (Facturas_Odoo!$K:$K=I2231), Facturas_Odoo!$Q:$Q, 0), 0))</f>
        <v/>
      </c>
      <c r="X2231" s="79">
        <f>IF(OR(Q2231="Sin Factura",Q2231=""),"",IFERROR(INDEX(Pagos_Odoo!$B:$B, MATCH(Q2231, Pagos_Odoo!$I:$I, 0)), "Sin Pago"))</f>
        <v/>
      </c>
      <c r="Y2231" s="79">
        <f>IF(X2231="Sin Pago","",IFERROR(INDEX(Pagos_Odoo!$C:$C, MATCH(X2231, Pagos_Odoo!$B:$B, 0)), ""))</f>
        <v/>
      </c>
      <c r="Z2231" s="80">
        <f>IF(X2231="Sin Pago","",IFERROR(INDEX(Pagos_Odoo!$A:$A, MATCH(X2231, Pagos_Odoo!$B:$B, 0)), ""))</f>
        <v/>
      </c>
      <c r="AA2231" s="79">
        <f>IF(X2231="Sin Pago","",IFERROR(INDEX(Pagos_Odoo!$F:$F, MATCH(X2231, Pagos_Odoo!$B:$B, 0)), ""))</f>
        <v/>
      </c>
      <c r="AB2231" s="81">
        <f>IF(X2231="Sin Pago",0,IFERROR(INDEX(Pagos_Odoo!$E:$E, MATCH(X2231, Pagos_Odoo!$B:$B, 0)), 0))</f>
        <v/>
      </c>
      <c r="AC2231" s="79">
        <f>IF(X2231="Sin Pago","",IFERROR(INDEX(Pagos_Odoo!$G:$G, MATCH(X2231, Pagos_Odoo!$B:$B, 0)), ""))</f>
        <v/>
      </c>
      <c r="AD2231" s="82" t="n">
        <v>0</v>
      </c>
      <c r="AE2231" s="82" t="n"/>
      <c r="AF2231" s="82" t="n"/>
      <c r="AG2231" s="82">
        <f>IF(AN2231="","",AD2231+AE2231+AF2231)</f>
        <v/>
      </c>
      <c r="AH2231" s="81">
        <f>IF(AN2231="","",P2231*(1-AG2231))</f>
        <v/>
      </c>
      <c r="AI2231" s="81">
        <f>IF(AN2231="","",IF(Q2231="Sin Factura",0,IFERROR(INDEX(Facturas_Odoo!$H:$H, MATCH(Q2231, Facturas_Odoo!$B:$B, 0)), 0)*(1-AG2231)))</f>
        <v/>
      </c>
      <c r="AJ2231" s="81">
        <f>IF(AN2231="","",_xlfn.LET(idVenta, AN2231&amp;"",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31" s="81">
        <f>IF(AN2231="","",AH2231-AJ2231)</f>
        <v/>
      </c>
      <c r="AL2231" s="81">
        <f>IF(AN2231="","",IF(Q2231="Sin Factura","",AI2231-AJ2231))</f>
        <v/>
      </c>
      <c r="AM2231" s="81">
        <f>IF(AN2231="","",IF(Q2231="Sin Factura",0,P2231-IFERROR(INDEX(Facturas_Odoo!$H:$H, MATCH(Q2231, Facturas_Odoo!$B:$B, 0)), 0)))</f>
        <v/>
      </c>
      <c r="AN2231" s="79">
        <f>IF(AND(A2231="", J2231=""), "", IF(A2231&lt;&gt;"", VALUE(MID(A2231,2,LEN(A2231))), AN2230))</f>
        <v/>
      </c>
      <c r="AO2231" s="79">
        <f>IF(AN2231="","",IF(AD2231=0,"OK",_xlfn.LET(monedaPago, IF(AA2231="","USD",AA2231), limitePermitido, IFERROR(VLOOKUP(monedaPago, Configuración!$A$2:$B$3, 2, FALSE), 0.15), IF(AD2231&gt;limitePermitido, "ALERTA: EXCESO (" &amp; TEXT(limitePermitido, "0%") &amp; " máx)", "OK"))))</f>
        <v/>
      </c>
      <c r="AP2231" s="79">
        <f>IF(AN2231="","",IF(AE2231=0,"OK",_xlfn.LET(fechaPago, Z2231, fechaFactura, R2231, diasCredito, IF(E2231="Pago inmediato", 0, IFERROR(VALUE(MID(E2231, 1, SEARCH(" ", E2231)-1)),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31" s="79">
        <f>IF(AN2231="","",IF(AND(N2231&gt;0, AG2231&gt;0), IF(Configuración!$K$2="NO", "ALERTA: DESCUENTO DOBLE NO PERMITIDO", "OK"), "OK"))</f>
        <v/>
      </c>
      <c r="AR2231" s="79">
        <f>IF(AN2231="","",IF(OR(AO2231&lt;&gt;"OK", AP2231&lt;&gt;"OK", AQ2231&lt;&gt;"OK"), "⚠️ REVISAR", "OK"))</f>
        <v/>
      </c>
    </row>
    <row r="2232">
      <c r="A2232" s="79">
        <f>IF('Ordenes_Odoo'!A2232="","",'Ordenes_Odoo'!A2232)</f>
        <v/>
      </c>
      <c r="B2232" s="80">
        <f>IF('Ordenes_Odoo'!B2232="","",'Ordenes_Odoo'!B2232)</f>
        <v/>
      </c>
      <c r="C2232" s="79">
        <f>IF('Ordenes_Odoo'!C2232="","",'Ordenes_Odoo'!C2232)</f>
        <v/>
      </c>
      <c r="D2232" s="79">
        <f>IF('Ordenes_Odoo'!D2232="","",'Ordenes_Odoo'!D2232)</f>
        <v/>
      </c>
      <c r="E2232" s="79">
        <f>IF('Ordenes_Odoo'!E2232="","",'Ordenes_Odoo'!E2232)</f>
        <v/>
      </c>
      <c r="F2232" s="79">
        <f>IF('Ordenes_Odoo'!F2232="","",'Ordenes_Odoo'!F2232)</f>
        <v/>
      </c>
      <c r="G2232" s="79">
        <f>IF('Ordenes_Odoo'!G2232="","",'Ordenes_Odoo'!G2232)</f>
        <v/>
      </c>
      <c r="H2232" s="79">
        <f>IF('Ordenes_Odoo'!H2232="","",'Ordenes_Odoo'!H2232)</f>
        <v/>
      </c>
      <c r="I2232" s="79">
        <f>IF('Ordenes_Odoo'!I2232="","",'Ordenes_Odoo'!I2232)</f>
        <v/>
      </c>
      <c r="J2232" s="79">
        <f>IF('Ordenes_Odoo'!J2232="","",'Ordenes_Odoo'!J2232)</f>
        <v/>
      </c>
      <c r="K2232" s="81">
        <f>IF('Ordenes_Odoo'!K2232="","",'Ordenes_Odoo'!K2232)</f>
        <v/>
      </c>
      <c r="L2232" s="81">
        <f>IF('Ordenes_Odoo'!L2232="","",'Ordenes_Odoo'!L2232)</f>
        <v/>
      </c>
      <c r="M2232" s="79">
        <f>IF('Ordenes_Odoo'!M2232="","",'Ordenes_Odoo'!M2232)</f>
        <v/>
      </c>
      <c r="N2232" s="79">
        <f>IF('Ordenes_Odoo'!N2232="","",'Ordenes_Odoo'!N2232)</f>
        <v/>
      </c>
      <c r="O2232" s="81">
        <f>IF('Ordenes_Odoo'!O2232="","",'Ordenes_Odoo'!O2232)</f>
        <v/>
      </c>
      <c r="P2232" s="81">
        <f>IF('Ordenes_Odoo'!P2232="","",'Ordenes_Odoo'!P2232)</f>
        <v/>
      </c>
      <c r="Q2232" s="79">
        <f>IF(A2232="","",IFERROR(INDEX(Facturas_Odoo!$B:$B, MATCH(A2232, Facturas_Odoo!$D:$D, 0)), "Sin Factura"))</f>
        <v/>
      </c>
      <c r="R2232" s="80">
        <f>IF(Q2232="Sin Factura","",IFERROR(INDEX(Facturas_Odoo!$A:$A, MATCH(Q2232, Facturas_Odoo!$B:$B, 0)), ""))</f>
        <v/>
      </c>
      <c r="S2232" s="79">
        <f>IF(Q2232="Sin Factura","",IFERROR(_xlfn.XLOOKUP(1, (Facturas_Odoo!$D:$D=A2232) * (Facturas_Odoo!$K:$K=I2232), Facturas_Odoo!$L:$L, ""), ""))</f>
        <v/>
      </c>
      <c r="T2232" s="81">
        <f>IF(Q2232="Sin Factura",0,IFERROR(_xlfn.XLOOKUP(1, (Facturas_Odoo!$D:$D=A2232) * (Facturas_Odoo!$K:$K=I2232), Facturas_Odoo!$M:$M, 0), 0))</f>
        <v/>
      </c>
      <c r="U2232" s="79">
        <f>IF(Q2232="Sin Factura",0,IFERROR(_xlfn.XLOOKUP(1, (Facturas_Odoo!$D:$D=A2232) * (Facturas_Odoo!$K:$K=I2232), Facturas_Odoo!$N:$N, 0), 0))</f>
        <v/>
      </c>
      <c r="V2232" s="79">
        <f>IF(Q2232="Sin Factura",0,IFERROR(_xlfn.XLOOKUP(1, (Facturas_Odoo!$D:$D=A2232) * (Facturas_Odoo!$K:$K=I2232), Facturas_Odoo!$O:$O, 0), 0))</f>
        <v/>
      </c>
      <c r="W2232" s="81">
        <f>IF(Q2232="Sin Factura",0,IFERROR(_xlfn.XLOOKUP(1, (Facturas_Odoo!$D:$D=A2232) * (Facturas_Odoo!$K:$K=I2232), Facturas_Odoo!$Q:$Q, 0), 0))</f>
        <v/>
      </c>
      <c r="X2232" s="79">
        <f>IF(OR(Q2232="Sin Factura",Q2232=""),"",IFERROR(INDEX(Pagos_Odoo!$B:$B, MATCH(Q2232, Pagos_Odoo!$I:$I, 0)), "Sin Pago"))</f>
        <v/>
      </c>
      <c r="Y2232" s="79">
        <f>IF(X2232="Sin Pago","",IFERROR(INDEX(Pagos_Odoo!$C:$C, MATCH(X2232, Pagos_Odoo!$B:$B, 0)), ""))</f>
        <v/>
      </c>
      <c r="Z2232" s="80">
        <f>IF(X2232="Sin Pago","",IFERROR(INDEX(Pagos_Odoo!$A:$A, MATCH(X2232, Pagos_Odoo!$B:$B, 0)), ""))</f>
        <v/>
      </c>
      <c r="AA2232" s="79">
        <f>IF(X2232="Sin Pago","",IFERROR(INDEX(Pagos_Odoo!$F:$F, MATCH(X2232, Pagos_Odoo!$B:$B, 0)), ""))</f>
        <v/>
      </c>
      <c r="AB2232" s="81">
        <f>IF(X2232="Sin Pago",0,IFERROR(INDEX(Pagos_Odoo!$E:$E, MATCH(X2232, Pagos_Odoo!$B:$B, 0)), 0))</f>
        <v/>
      </c>
      <c r="AC2232" s="79">
        <f>IF(X2232="Sin Pago","",IFERROR(INDEX(Pagos_Odoo!$G:$G, MATCH(X2232, Pagos_Odoo!$B:$B, 0)), ""))</f>
        <v/>
      </c>
      <c r="AD2232" s="82" t="n">
        <v>0</v>
      </c>
      <c r="AE2232" s="82" t="n"/>
      <c r="AF2232" s="82" t="n"/>
      <c r="AG2232" s="82">
        <f>IF(AN2232="","",AD2232+AE2232+AF2232)</f>
        <v/>
      </c>
      <c r="AH2232" s="81">
        <f>IF(AN2232="","",P2232*(1-AG2232))</f>
        <v/>
      </c>
      <c r="AI2232" s="81">
        <f>IF(AN2232="","",IF(Q2232="Sin Factura",0,IFERROR(INDEX(Facturas_Odoo!$H:$H, MATCH(Q2232, Facturas_Odoo!$B:$B, 0)), 0)*(1-AG2232)))</f>
        <v/>
      </c>
      <c r="AJ2232" s="81">
        <f>IF(AN2232="","",_xlfn.LET(idVenta, AN2232&amp;"",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32" s="81">
        <f>IF(AN2232="","",AH2232-AJ2232)</f>
        <v/>
      </c>
      <c r="AL2232" s="81">
        <f>IF(AN2232="","",IF(Q2232="Sin Factura","",AI2232-AJ2232))</f>
        <v/>
      </c>
      <c r="AM2232" s="81">
        <f>IF(AN2232="","",IF(Q2232="Sin Factura",0,P2232-IFERROR(INDEX(Facturas_Odoo!$H:$H, MATCH(Q2232, Facturas_Odoo!$B:$B, 0)), 0)))</f>
        <v/>
      </c>
      <c r="AN2232" s="79">
        <f>IF(AND(A2232="", J2232=""), "", IF(A2232&lt;&gt;"", VALUE(MID(A2232,2,LEN(A2232))), AN2231))</f>
        <v/>
      </c>
      <c r="AO2232" s="79">
        <f>IF(AN2232="","",IF(AD2232=0,"OK",_xlfn.LET(monedaPago, IF(AA2232="","USD",AA2232), limitePermitido, IFERROR(VLOOKUP(monedaPago, Configuración!$A$2:$B$3, 2, FALSE), 0.15), IF(AD2232&gt;limitePermitido, "ALERTA: EXCESO (" &amp; TEXT(limitePermitido, "0%") &amp; " máx)", "OK"))))</f>
        <v/>
      </c>
      <c r="AP2232" s="79">
        <f>IF(AN2232="","",IF(AE2232=0,"OK",_xlfn.LET(fechaPago, Z2232, fechaFactura, R2232, diasCredito, IF(E2232="Pago inmediato", 0, IFERROR(VALUE(MID(E2232, 1, SEARCH(" ", E2232)-1)),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32" s="79">
        <f>IF(AN2232="","",IF(AND(N2232&gt;0, AG2232&gt;0), IF(Configuración!$K$2="NO", "ALERTA: DESCUENTO DOBLE NO PERMITIDO", "OK"), "OK"))</f>
        <v/>
      </c>
      <c r="AR2232" s="79">
        <f>IF(AN2232="","",IF(OR(AO2232&lt;&gt;"OK", AP2232&lt;&gt;"OK", AQ2232&lt;&gt;"OK"), "⚠️ REVISAR", "OK"))</f>
        <v/>
      </c>
    </row>
    <row r="2233">
      <c r="A2233" s="79">
        <f>IF('Ordenes_Odoo'!A2233="","",'Ordenes_Odoo'!A2233)</f>
        <v/>
      </c>
      <c r="B2233" s="80">
        <f>IF('Ordenes_Odoo'!B2233="","",'Ordenes_Odoo'!B2233)</f>
        <v/>
      </c>
      <c r="C2233" s="79">
        <f>IF('Ordenes_Odoo'!C2233="","",'Ordenes_Odoo'!C2233)</f>
        <v/>
      </c>
      <c r="D2233" s="79">
        <f>IF('Ordenes_Odoo'!D2233="","",'Ordenes_Odoo'!D2233)</f>
        <v/>
      </c>
      <c r="E2233" s="79">
        <f>IF('Ordenes_Odoo'!E2233="","",'Ordenes_Odoo'!E2233)</f>
        <v/>
      </c>
      <c r="F2233" s="79">
        <f>IF('Ordenes_Odoo'!F2233="","",'Ordenes_Odoo'!F2233)</f>
        <v/>
      </c>
      <c r="G2233" s="79">
        <f>IF('Ordenes_Odoo'!G2233="","",'Ordenes_Odoo'!G2233)</f>
        <v/>
      </c>
      <c r="H2233" s="79">
        <f>IF('Ordenes_Odoo'!H2233="","",'Ordenes_Odoo'!H2233)</f>
        <v/>
      </c>
      <c r="I2233" s="79">
        <f>IF('Ordenes_Odoo'!I2233="","",'Ordenes_Odoo'!I2233)</f>
        <v/>
      </c>
      <c r="J2233" s="79">
        <f>IF('Ordenes_Odoo'!J2233="","",'Ordenes_Odoo'!J2233)</f>
        <v/>
      </c>
      <c r="K2233" s="81">
        <f>IF('Ordenes_Odoo'!K2233="","",'Ordenes_Odoo'!K2233)</f>
        <v/>
      </c>
      <c r="L2233" s="81">
        <f>IF('Ordenes_Odoo'!L2233="","",'Ordenes_Odoo'!L2233)</f>
        <v/>
      </c>
      <c r="M2233" s="79">
        <f>IF('Ordenes_Odoo'!M2233="","",'Ordenes_Odoo'!M2233)</f>
        <v/>
      </c>
      <c r="N2233" s="79">
        <f>IF('Ordenes_Odoo'!N2233="","",'Ordenes_Odoo'!N2233)</f>
        <v/>
      </c>
      <c r="O2233" s="81">
        <f>IF('Ordenes_Odoo'!O2233="","",'Ordenes_Odoo'!O2233)</f>
        <v/>
      </c>
      <c r="P2233" s="81">
        <f>IF('Ordenes_Odoo'!P2233="","",'Ordenes_Odoo'!P2233)</f>
        <v/>
      </c>
      <c r="Q2233" s="79">
        <f>IF(A2233="","",IFERROR(INDEX(Facturas_Odoo!$B:$B, MATCH(A2233, Facturas_Odoo!$D:$D, 0)), "Sin Factura"))</f>
        <v/>
      </c>
      <c r="R2233" s="80">
        <f>IF(Q2233="Sin Factura","",IFERROR(INDEX(Facturas_Odoo!$A:$A, MATCH(Q2233, Facturas_Odoo!$B:$B, 0)), ""))</f>
        <v/>
      </c>
      <c r="S2233" s="79">
        <f>IF(Q2233="Sin Factura","",IFERROR(_xlfn.XLOOKUP(1, (Facturas_Odoo!$D:$D=A2233) * (Facturas_Odoo!$K:$K=I2233), Facturas_Odoo!$L:$L, ""), ""))</f>
        <v/>
      </c>
      <c r="T2233" s="81">
        <f>IF(Q2233="Sin Factura",0,IFERROR(_xlfn.XLOOKUP(1, (Facturas_Odoo!$D:$D=A2233) * (Facturas_Odoo!$K:$K=I2233), Facturas_Odoo!$M:$M, 0), 0))</f>
        <v/>
      </c>
      <c r="U2233" s="79">
        <f>IF(Q2233="Sin Factura",0,IFERROR(_xlfn.XLOOKUP(1, (Facturas_Odoo!$D:$D=A2233) * (Facturas_Odoo!$K:$K=I2233), Facturas_Odoo!$N:$N, 0), 0))</f>
        <v/>
      </c>
      <c r="V2233" s="79">
        <f>IF(Q2233="Sin Factura",0,IFERROR(_xlfn.XLOOKUP(1, (Facturas_Odoo!$D:$D=A2233) * (Facturas_Odoo!$K:$K=I2233), Facturas_Odoo!$O:$O, 0), 0))</f>
        <v/>
      </c>
      <c r="W2233" s="81">
        <f>IF(Q2233="Sin Factura",0,IFERROR(_xlfn.XLOOKUP(1, (Facturas_Odoo!$D:$D=A2233) * (Facturas_Odoo!$K:$K=I2233), Facturas_Odoo!$Q:$Q, 0), 0))</f>
        <v/>
      </c>
      <c r="X2233" s="79">
        <f>IF(OR(Q2233="Sin Factura",Q2233=""),"",IFERROR(INDEX(Pagos_Odoo!$B:$B, MATCH(Q2233, Pagos_Odoo!$I:$I, 0)), "Sin Pago"))</f>
        <v/>
      </c>
      <c r="Y2233" s="79">
        <f>IF(X2233="Sin Pago","",IFERROR(INDEX(Pagos_Odoo!$C:$C, MATCH(X2233, Pagos_Odoo!$B:$B, 0)), ""))</f>
        <v/>
      </c>
      <c r="Z2233" s="80">
        <f>IF(X2233="Sin Pago","",IFERROR(INDEX(Pagos_Odoo!$A:$A, MATCH(X2233, Pagos_Odoo!$B:$B, 0)), ""))</f>
        <v/>
      </c>
      <c r="AA2233" s="79">
        <f>IF(X2233="Sin Pago","",IFERROR(INDEX(Pagos_Odoo!$F:$F, MATCH(X2233, Pagos_Odoo!$B:$B, 0)), ""))</f>
        <v/>
      </c>
      <c r="AB2233" s="81">
        <f>IF(X2233="Sin Pago",0,IFERROR(INDEX(Pagos_Odoo!$E:$E, MATCH(X2233, Pagos_Odoo!$B:$B, 0)), 0))</f>
        <v/>
      </c>
      <c r="AC2233" s="79">
        <f>IF(X2233="Sin Pago","",IFERROR(INDEX(Pagos_Odoo!$G:$G, MATCH(X2233, Pagos_Odoo!$B:$B, 0)), ""))</f>
        <v/>
      </c>
      <c r="AD2233" s="82" t="n">
        <v>0</v>
      </c>
      <c r="AE2233" s="82" t="n"/>
      <c r="AF2233" s="82" t="n"/>
      <c r="AG2233" s="82">
        <f>IF(AN2233="","",AD2233+AE2233+AF2233)</f>
        <v/>
      </c>
      <c r="AH2233" s="81">
        <f>IF(AN2233="","",P2233*(1-AG2233))</f>
        <v/>
      </c>
      <c r="AI2233" s="81">
        <f>IF(AN2233="","",IF(Q2233="Sin Factura",0,IFERROR(INDEX(Facturas_Odoo!$H:$H, MATCH(Q2233, Facturas_Odoo!$B:$B, 0)), 0)*(1-AG2233)))</f>
        <v/>
      </c>
      <c r="AJ2233" s="81">
        <f>IF(AN2233="","",_xlfn.LET(idVenta, AN2233&amp;"",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33" s="81">
        <f>IF(AN2233="","",AH2233-AJ2233)</f>
        <v/>
      </c>
      <c r="AL2233" s="81">
        <f>IF(AN2233="","",IF(Q2233="Sin Factura","",AI2233-AJ2233))</f>
        <v/>
      </c>
      <c r="AM2233" s="81">
        <f>IF(AN2233="","",IF(Q2233="Sin Factura",0,P2233-IFERROR(INDEX(Facturas_Odoo!$H:$H, MATCH(Q2233, Facturas_Odoo!$B:$B, 0)), 0)))</f>
        <v/>
      </c>
      <c r="AN2233" s="79">
        <f>IF(AND(A2233="", J2233=""), "", IF(A2233&lt;&gt;"", VALUE(MID(A2233,2,LEN(A2233))), AN2232))</f>
        <v/>
      </c>
      <c r="AO2233" s="79">
        <f>IF(AN2233="","",IF(AD2233=0,"OK",_xlfn.LET(monedaPago, IF(AA2233="","USD",AA2233), limitePermitido, IFERROR(VLOOKUP(monedaPago, Configuración!$A$2:$B$3, 2, FALSE), 0.15), IF(AD2233&gt;limitePermitido, "ALERTA: EXCESO (" &amp; TEXT(limitePermitido, "0%") &amp; " máx)", "OK"))))</f>
        <v/>
      </c>
      <c r="AP2233" s="79">
        <f>IF(AN2233="","",IF(AE2233=0,"OK",_xlfn.LET(fechaPago, Z2233, fechaFactura, R2233, diasCredito, IF(E2233="Pago inmediato", 0, IFERROR(VALUE(MID(E2233, 1, SEARCH(" ", E2233)-1)),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33" s="79">
        <f>IF(AN2233="","",IF(AND(N2233&gt;0, AG2233&gt;0), IF(Configuración!$K$2="NO", "ALERTA: DESCUENTO DOBLE NO PERMITIDO", "OK"), "OK"))</f>
        <v/>
      </c>
      <c r="AR2233" s="79">
        <f>IF(AN2233="","",IF(OR(AO2233&lt;&gt;"OK", AP2233&lt;&gt;"OK", AQ2233&lt;&gt;"OK"), "⚠️ REVISAR", "OK"))</f>
        <v/>
      </c>
    </row>
    <row r="2234">
      <c r="A2234" s="79">
        <f>IF('Ordenes_Odoo'!A2234="","",'Ordenes_Odoo'!A2234)</f>
        <v/>
      </c>
      <c r="B2234" s="80">
        <f>IF('Ordenes_Odoo'!B2234="","",'Ordenes_Odoo'!B2234)</f>
        <v/>
      </c>
      <c r="C2234" s="79">
        <f>IF('Ordenes_Odoo'!C2234="","",'Ordenes_Odoo'!C2234)</f>
        <v/>
      </c>
      <c r="D2234" s="79">
        <f>IF('Ordenes_Odoo'!D2234="","",'Ordenes_Odoo'!D2234)</f>
        <v/>
      </c>
      <c r="E2234" s="79">
        <f>IF('Ordenes_Odoo'!E2234="","",'Ordenes_Odoo'!E2234)</f>
        <v/>
      </c>
      <c r="F2234" s="79">
        <f>IF('Ordenes_Odoo'!F2234="","",'Ordenes_Odoo'!F2234)</f>
        <v/>
      </c>
      <c r="G2234" s="79">
        <f>IF('Ordenes_Odoo'!G2234="","",'Ordenes_Odoo'!G2234)</f>
        <v/>
      </c>
      <c r="H2234" s="79">
        <f>IF('Ordenes_Odoo'!H2234="","",'Ordenes_Odoo'!H2234)</f>
        <v/>
      </c>
      <c r="I2234" s="79">
        <f>IF('Ordenes_Odoo'!I2234="","",'Ordenes_Odoo'!I2234)</f>
        <v/>
      </c>
      <c r="J2234" s="79">
        <f>IF('Ordenes_Odoo'!J2234="","",'Ordenes_Odoo'!J2234)</f>
        <v/>
      </c>
      <c r="K2234" s="81">
        <f>IF('Ordenes_Odoo'!K2234="","",'Ordenes_Odoo'!K2234)</f>
        <v/>
      </c>
      <c r="L2234" s="81">
        <f>IF('Ordenes_Odoo'!L2234="","",'Ordenes_Odoo'!L2234)</f>
        <v/>
      </c>
      <c r="M2234" s="79">
        <f>IF('Ordenes_Odoo'!M2234="","",'Ordenes_Odoo'!M2234)</f>
        <v/>
      </c>
      <c r="N2234" s="79">
        <f>IF('Ordenes_Odoo'!N2234="","",'Ordenes_Odoo'!N2234)</f>
        <v/>
      </c>
      <c r="O2234" s="81">
        <f>IF('Ordenes_Odoo'!O2234="","",'Ordenes_Odoo'!O2234)</f>
        <v/>
      </c>
      <c r="P2234" s="81">
        <f>IF('Ordenes_Odoo'!P2234="","",'Ordenes_Odoo'!P2234)</f>
        <v/>
      </c>
      <c r="Q2234" s="79">
        <f>IF(A2234="","",IFERROR(INDEX(Facturas_Odoo!$B:$B, MATCH(A2234, Facturas_Odoo!$D:$D, 0)), "Sin Factura"))</f>
        <v/>
      </c>
      <c r="R2234" s="80">
        <f>IF(Q2234="Sin Factura","",IFERROR(INDEX(Facturas_Odoo!$A:$A, MATCH(Q2234, Facturas_Odoo!$B:$B, 0)), ""))</f>
        <v/>
      </c>
      <c r="S2234" s="79">
        <f>IF(Q2234="Sin Factura","",IFERROR(_xlfn.XLOOKUP(1, (Facturas_Odoo!$D:$D=A2234) * (Facturas_Odoo!$K:$K=I2234), Facturas_Odoo!$L:$L, ""), ""))</f>
        <v/>
      </c>
      <c r="T2234" s="81">
        <f>IF(Q2234="Sin Factura",0,IFERROR(_xlfn.XLOOKUP(1, (Facturas_Odoo!$D:$D=A2234) * (Facturas_Odoo!$K:$K=I2234), Facturas_Odoo!$M:$M, 0), 0))</f>
        <v/>
      </c>
      <c r="U2234" s="79">
        <f>IF(Q2234="Sin Factura",0,IFERROR(_xlfn.XLOOKUP(1, (Facturas_Odoo!$D:$D=A2234) * (Facturas_Odoo!$K:$K=I2234), Facturas_Odoo!$N:$N, 0), 0))</f>
        <v/>
      </c>
      <c r="V2234" s="79">
        <f>IF(Q2234="Sin Factura",0,IFERROR(_xlfn.XLOOKUP(1, (Facturas_Odoo!$D:$D=A2234) * (Facturas_Odoo!$K:$K=I2234), Facturas_Odoo!$O:$O, 0), 0))</f>
        <v/>
      </c>
      <c r="W2234" s="81">
        <f>IF(Q2234="Sin Factura",0,IFERROR(_xlfn.XLOOKUP(1, (Facturas_Odoo!$D:$D=A2234) * (Facturas_Odoo!$K:$K=I2234), Facturas_Odoo!$Q:$Q, 0), 0))</f>
        <v/>
      </c>
      <c r="X2234" s="79">
        <f>IF(OR(Q2234="Sin Factura",Q2234=""),"",IFERROR(INDEX(Pagos_Odoo!$B:$B, MATCH(Q2234, Pagos_Odoo!$I:$I, 0)), "Sin Pago"))</f>
        <v/>
      </c>
      <c r="Y2234" s="79">
        <f>IF(X2234="Sin Pago","",IFERROR(INDEX(Pagos_Odoo!$C:$C, MATCH(X2234, Pagos_Odoo!$B:$B, 0)), ""))</f>
        <v/>
      </c>
      <c r="Z2234" s="80">
        <f>IF(X2234="Sin Pago","",IFERROR(INDEX(Pagos_Odoo!$A:$A, MATCH(X2234, Pagos_Odoo!$B:$B, 0)), ""))</f>
        <v/>
      </c>
      <c r="AA2234" s="79">
        <f>IF(X2234="Sin Pago","",IFERROR(INDEX(Pagos_Odoo!$F:$F, MATCH(X2234, Pagos_Odoo!$B:$B, 0)), ""))</f>
        <v/>
      </c>
      <c r="AB2234" s="81">
        <f>IF(X2234="Sin Pago",0,IFERROR(INDEX(Pagos_Odoo!$E:$E, MATCH(X2234, Pagos_Odoo!$B:$B, 0)), 0))</f>
        <v/>
      </c>
      <c r="AC2234" s="79">
        <f>IF(X2234="Sin Pago","",IFERROR(INDEX(Pagos_Odoo!$G:$G, MATCH(X2234, Pagos_Odoo!$B:$B, 0)), ""))</f>
        <v/>
      </c>
      <c r="AD2234" s="82" t="n">
        <v>0</v>
      </c>
      <c r="AE2234" s="82" t="n"/>
      <c r="AF2234" s="82" t="n"/>
      <c r="AG2234" s="82">
        <f>IF(AN2234="","",AD2234+AE2234+AF2234)</f>
        <v/>
      </c>
      <c r="AH2234" s="81">
        <f>IF(AN2234="","",P2234*(1-AG2234))</f>
        <v/>
      </c>
      <c r="AI2234" s="81">
        <f>IF(AN2234="","",IF(Q2234="Sin Factura",0,IFERROR(INDEX(Facturas_Odoo!$H:$H, MATCH(Q2234, Facturas_Odoo!$B:$B, 0)), 0)*(1-AG2234)))</f>
        <v/>
      </c>
      <c r="AJ2234" s="81">
        <f>IF(AN2234="","",_xlfn.LET(idVenta, AN2234&amp;"",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34" s="81">
        <f>IF(AN2234="","",AH2234-AJ2234)</f>
        <v/>
      </c>
      <c r="AL2234" s="81">
        <f>IF(AN2234="","",IF(Q2234="Sin Factura","",AI2234-AJ2234))</f>
        <v/>
      </c>
      <c r="AM2234" s="81">
        <f>IF(AN2234="","",IF(Q2234="Sin Factura",0,P2234-IFERROR(INDEX(Facturas_Odoo!$H:$H, MATCH(Q2234, Facturas_Odoo!$B:$B, 0)), 0)))</f>
        <v/>
      </c>
      <c r="AN2234" s="79">
        <f>IF(AND(A2234="", J2234=""), "", IF(A2234&lt;&gt;"", VALUE(MID(A2234,2,LEN(A2234))), AN2233))</f>
        <v/>
      </c>
      <c r="AO2234" s="79">
        <f>IF(AN2234="","",IF(AD2234=0,"OK",_xlfn.LET(monedaPago, IF(AA2234="","USD",AA2234), limitePermitido, IFERROR(VLOOKUP(monedaPago, Configuración!$A$2:$B$3, 2, FALSE), 0.15), IF(AD2234&gt;limitePermitido, "ALERTA: EXCESO (" &amp; TEXT(limitePermitido, "0%") &amp; " máx)", "OK"))))</f>
        <v/>
      </c>
      <c r="AP2234" s="79">
        <f>IF(AN2234="","",IF(AE2234=0,"OK",_xlfn.LET(fechaPago, Z2234, fechaFactura, R2234, diasCredito, IF(E2234="Pago inmediato", 0, IFERROR(VALUE(MID(E2234, 1, SEARCH(" ", E2234)-1)),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34" s="79">
        <f>IF(AN2234="","",IF(AND(N2234&gt;0, AG2234&gt;0), IF(Configuración!$K$2="NO", "ALERTA: DESCUENTO DOBLE NO PERMITIDO", "OK"), "OK"))</f>
        <v/>
      </c>
      <c r="AR2234" s="79">
        <f>IF(AN2234="","",IF(OR(AO2234&lt;&gt;"OK", AP2234&lt;&gt;"OK", AQ2234&lt;&gt;"OK"), "⚠️ REVISAR", "OK"))</f>
        <v/>
      </c>
    </row>
    <row r="2235">
      <c r="A2235" s="79">
        <f>IF('Ordenes_Odoo'!A2235="","",'Ordenes_Odoo'!A2235)</f>
        <v/>
      </c>
      <c r="B2235" s="80">
        <f>IF('Ordenes_Odoo'!B2235="","",'Ordenes_Odoo'!B2235)</f>
        <v/>
      </c>
      <c r="C2235" s="79">
        <f>IF('Ordenes_Odoo'!C2235="","",'Ordenes_Odoo'!C2235)</f>
        <v/>
      </c>
      <c r="D2235" s="79">
        <f>IF('Ordenes_Odoo'!D2235="","",'Ordenes_Odoo'!D2235)</f>
        <v/>
      </c>
      <c r="E2235" s="79">
        <f>IF('Ordenes_Odoo'!E2235="","",'Ordenes_Odoo'!E2235)</f>
        <v/>
      </c>
      <c r="F2235" s="79">
        <f>IF('Ordenes_Odoo'!F2235="","",'Ordenes_Odoo'!F2235)</f>
        <v/>
      </c>
      <c r="G2235" s="79">
        <f>IF('Ordenes_Odoo'!G2235="","",'Ordenes_Odoo'!G2235)</f>
        <v/>
      </c>
      <c r="H2235" s="79">
        <f>IF('Ordenes_Odoo'!H2235="","",'Ordenes_Odoo'!H2235)</f>
        <v/>
      </c>
      <c r="I2235" s="79">
        <f>IF('Ordenes_Odoo'!I2235="","",'Ordenes_Odoo'!I2235)</f>
        <v/>
      </c>
      <c r="J2235" s="79">
        <f>IF('Ordenes_Odoo'!J2235="","",'Ordenes_Odoo'!J2235)</f>
        <v/>
      </c>
      <c r="K2235" s="81">
        <f>IF('Ordenes_Odoo'!K2235="","",'Ordenes_Odoo'!K2235)</f>
        <v/>
      </c>
      <c r="L2235" s="81">
        <f>IF('Ordenes_Odoo'!L2235="","",'Ordenes_Odoo'!L2235)</f>
        <v/>
      </c>
      <c r="M2235" s="79">
        <f>IF('Ordenes_Odoo'!M2235="","",'Ordenes_Odoo'!M2235)</f>
        <v/>
      </c>
      <c r="N2235" s="79">
        <f>IF('Ordenes_Odoo'!N2235="","",'Ordenes_Odoo'!N2235)</f>
        <v/>
      </c>
      <c r="O2235" s="81">
        <f>IF('Ordenes_Odoo'!O2235="","",'Ordenes_Odoo'!O2235)</f>
        <v/>
      </c>
      <c r="P2235" s="81">
        <f>IF('Ordenes_Odoo'!P2235="","",'Ordenes_Odoo'!P2235)</f>
        <v/>
      </c>
      <c r="Q2235" s="79">
        <f>IF(A2235="","",IFERROR(INDEX(Facturas_Odoo!$B:$B, MATCH(A2235, Facturas_Odoo!$D:$D, 0)), "Sin Factura"))</f>
        <v/>
      </c>
      <c r="R2235" s="80">
        <f>IF(Q2235="Sin Factura","",IFERROR(INDEX(Facturas_Odoo!$A:$A, MATCH(Q2235, Facturas_Odoo!$B:$B, 0)), ""))</f>
        <v/>
      </c>
      <c r="S2235" s="79">
        <f>IF(Q2235="Sin Factura","",IFERROR(_xlfn.XLOOKUP(1, (Facturas_Odoo!$D:$D=A2235) * (Facturas_Odoo!$K:$K=I2235), Facturas_Odoo!$L:$L, ""), ""))</f>
        <v/>
      </c>
      <c r="T2235" s="81">
        <f>IF(Q2235="Sin Factura",0,IFERROR(_xlfn.XLOOKUP(1, (Facturas_Odoo!$D:$D=A2235) * (Facturas_Odoo!$K:$K=I2235), Facturas_Odoo!$M:$M, 0), 0))</f>
        <v/>
      </c>
      <c r="U2235" s="79">
        <f>IF(Q2235="Sin Factura",0,IFERROR(_xlfn.XLOOKUP(1, (Facturas_Odoo!$D:$D=A2235) * (Facturas_Odoo!$K:$K=I2235), Facturas_Odoo!$N:$N, 0), 0))</f>
        <v/>
      </c>
      <c r="V2235" s="79">
        <f>IF(Q2235="Sin Factura",0,IFERROR(_xlfn.XLOOKUP(1, (Facturas_Odoo!$D:$D=A2235) * (Facturas_Odoo!$K:$K=I2235), Facturas_Odoo!$O:$O, 0), 0))</f>
        <v/>
      </c>
      <c r="W2235" s="81">
        <f>IF(Q2235="Sin Factura",0,IFERROR(_xlfn.XLOOKUP(1, (Facturas_Odoo!$D:$D=A2235) * (Facturas_Odoo!$K:$K=I2235), Facturas_Odoo!$Q:$Q, 0), 0))</f>
        <v/>
      </c>
      <c r="X2235" s="79">
        <f>IF(OR(Q2235="Sin Factura",Q2235=""),"",IFERROR(INDEX(Pagos_Odoo!$B:$B, MATCH(Q2235, Pagos_Odoo!$I:$I, 0)), "Sin Pago"))</f>
        <v/>
      </c>
      <c r="Y2235" s="79">
        <f>IF(X2235="Sin Pago","",IFERROR(INDEX(Pagos_Odoo!$C:$C, MATCH(X2235, Pagos_Odoo!$B:$B, 0)), ""))</f>
        <v/>
      </c>
      <c r="Z2235" s="80">
        <f>IF(X2235="Sin Pago","",IFERROR(INDEX(Pagos_Odoo!$A:$A, MATCH(X2235, Pagos_Odoo!$B:$B, 0)), ""))</f>
        <v/>
      </c>
      <c r="AA2235" s="79">
        <f>IF(X2235="Sin Pago","",IFERROR(INDEX(Pagos_Odoo!$F:$F, MATCH(X2235, Pagos_Odoo!$B:$B, 0)), ""))</f>
        <v/>
      </c>
      <c r="AB2235" s="81">
        <f>IF(X2235="Sin Pago",0,IFERROR(INDEX(Pagos_Odoo!$E:$E, MATCH(X2235, Pagos_Odoo!$B:$B, 0)), 0))</f>
        <v/>
      </c>
      <c r="AC2235" s="79">
        <f>IF(X2235="Sin Pago","",IFERROR(INDEX(Pagos_Odoo!$G:$G, MATCH(X2235, Pagos_Odoo!$B:$B, 0)), ""))</f>
        <v/>
      </c>
      <c r="AD2235" s="82" t="n">
        <v>0</v>
      </c>
      <c r="AE2235" s="82" t="n"/>
      <c r="AF2235" s="82" t="n"/>
      <c r="AG2235" s="82">
        <f>IF(AN2235="","",AD2235+AE2235+AF2235)</f>
        <v/>
      </c>
      <c r="AH2235" s="81">
        <f>IF(AN2235="","",P2235*(1-AG2235))</f>
        <v/>
      </c>
      <c r="AI2235" s="81">
        <f>IF(AN2235="","",IF(Q2235="Sin Factura",0,IFERROR(INDEX(Facturas_Odoo!$H:$H, MATCH(Q2235, Facturas_Odoo!$B:$B, 0)), 0)*(1-AG2235)))</f>
        <v/>
      </c>
      <c r="AJ2235" s="81">
        <f>IF(AN2235="","",_xlfn.LET(idVenta, AN2235&amp;"",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35" s="81">
        <f>IF(AN2235="","",AH2235-AJ2235)</f>
        <v/>
      </c>
      <c r="AL2235" s="81">
        <f>IF(AN2235="","",IF(Q2235="Sin Factura","",AI2235-AJ2235))</f>
        <v/>
      </c>
      <c r="AM2235" s="81">
        <f>IF(AN2235="","",IF(Q2235="Sin Factura",0,P2235-IFERROR(INDEX(Facturas_Odoo!$H:$H, MATCH(Q2235, Facturas_Odoo!$B:$B, 0)), 0)))</f>
        <v/>
      </c>
      <c r="AN2235" s="79">
        <f>IF(AND(A2235="", J2235=""), "", IF(A2235&lt;&gt;"", VALUE(MID(A2235,2,LEN(A2235))), AN2234))</f>
        <v/>
      </c>
      <c r="AO2235" s="79">
        <f>IF(AN2235="","",IF(AD2235=0,"OK",_xlfn.LET(monedaPago, IF(AA2235="","USD",AA2235), limitePermitido, IFERROR(VLOOKUP(monedaPago, Configuración!$A$2:$B$3, 2, FALSE), 0.15), IF(AD2235&gt;limitePermitido, "ALERTA: EXCESO (" &amp; TEXT(limitePermitido, "0%") &amp; " máx)", "OK"))))</f>
        <v/>
      </c>
      <c r="AP2235" s="79">
        <f>IF(AN2235="","",IF(AE2235=0,"OK",_xlfn.LET(fechaPago, Z2235, fechaFactura, R2235, diasCredito, IF(E2235="Pago inmediato", 0, IFERROR(VALUE(MID(E2235, 1, SEARCH(" ", E2235)-1)),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35" s="79">
        <f>IF(AN2235="","",IF(AND(N2235&gt;0, AG2235&gt;0), IF(Configuración!$K$2="NO", "ALERTA: DESCUENTO DOBLE NO PERMITIDO", "OK"), "OK"))</f>
        <v/>
      </c>
      <c r="AR2235" s="79">
        <f>IF(AN2235="","",IF(OR(AO2235&lt;&gt;"OK", AP2235&lt;&gt;"OK", AQ2235&lt;&gt;"OK"), "⚠️ REVISAR", "OK"))</f>
        <v/>
      </c>
    </row>
    <row r="2236">
      <c r="A2236" s="79">
        <f>IF('Ordenes_Odoo'!A2236="","",'Ordenes_Odoo'!A2236)</f>
        <v/>
      </c>
      <c r="B2236" s="80">
        <f>IF('Ordenes_Odoo'!B2236="","",'Ordenes_Odoo'!B2236)</f>
        <v/>
      </c>
      <c r="C2236" s="79">
        <f>IF('Ordenes_Odoo'!C2236="","",'Ordenes_Odoo'!C2236)</f>
        <v/>
      </c>
      <c r="D2236" s="79">
        <f>IF('Ordenes_Odoo'!D2236="","",'Ordenes_Odoo'!D2236)</f>
        <v/>
      </c>
      <c r="E2236" s="79">
        <f>IF('Ordenes_Odoo'!E2236="","",'Ordenes_Odoo'!E2236)</f>
        <v/>
      </c>
      <c r="F2236" s="79">
        <f>IF('Ordenes_Odoo'!F2236="","",'Ordenes_Odoo'!F2236)</f>
        <v/>
      </c>
      <c r="G2236" s="79">
        <f>IF('Ordenes_Odoo'!G2236="","",'Ordenes_Odoo'!G2236)</f>
        <v/>
      </c>
      <c r="H2236" s="79">
        <f>IF('Ordenes_Odoo'!H2236="","",'Ordenes_Odoo'!H2236)</f>
        <v/>
      </c>
      <c r="I2236" s="79">
        <f>IF('Ordenes_Odoo'!I2236="","",'Ordenes_Odoo'!I2236)</f>
        <v/>
      </c>
      <c r="J2236" s="79">
        <f>IF('Ordenes_Odoo'!J2236="","",'Ordenes_Odoo'!J2236)</f>
        <v/>
      </c>
      <c r="K2236" s="81">
        <f>IF('Ordenes_Odoo'!K2236="","",'Ordenes_Odoo'!K2236)</f>
        <v/>
      </c>
      <c r="L2236" s="81">
        <f>IF('Ordenes_Odoo'!L2236="","",'Ordenes_Odoo'!L2236)</f>
        <v/>
      </c>
      <c r="M2236" s="79">
        <f>IF('Ordenes_Odoo'!M2236="","",'Ordenes_Odoo'!M2236)</f>
        <v/>
      </c>
      <c r="N2236" s="79">
        <f>IF('Ordenes_Odoo'!N2236="","",'Ordenes_Odoo'!N2236)</f>
        <v/>
      </c>
      <c r="O2236" s="81">
        <f>IF('Ordenes_Odoo'!O2236="","",'Ordenes_Odoo'!O2236)</f>
        <v/>
      </c>
      <c r="P2236" s="81">
        <f>IF('Ordenes_Odoo'!P2236="","",'Ordenes_Odoo'!P2236)</f>
        <v/>
      </c>
      <c r="Q2236" s="79">
        <f>IF(A2236="","",IFERROR(INDEX(Facturas_Odoo!$B:$B, MATCH(A2236, Facturas_Odoo!$D:$D, 0)), "Sin Factura"))</f>
        <v/>
      </c>
      <c r="R2236" s="80">
        <f>IF(Q2236="Sin Factura","",IFERROR(INDEX(Facturas_Odoo!$A:$A, MATCH(Q2236, Facturas_Odoo!$B:$B, 0)), ""))</f>
        <v/>
      </c>
      <c r="S2236" s="79">
        <f>IF(Q2236="Sin Factura","",IFERROR(_xlfn.XLOOKUP(1, (Facturas_Odoo!$D:$D=A2236) * (Facturas_Odoo!$K:$K=I2236), Facturas_Odoo!$L:$L, ""), ""))</f>
        <v/>
      </c>
      <c r="T2236" s="81">
        <f>IF(Q2236="Sin Factura",0,IFERROR(_xlfn.XLOOKUP(1, (Facturas_Odoo!$D:$D=A2236) * (Facturas_Odoo!$K:$K=I2236), Facturas_Odoo!$M:$M, 0), 0))</f>
        <v/>
      </c>
      <c r="U2236" s="79">
        <f>IF(Q2236="Sin Factura",0,IFERROR(_xlfn.XLOOKUP(1, (Facturas_Odoo!$D:$D=A2236) * (Facturas_Odoo!$K:$K=I2236), Facturas_Odoo!$N:$N, 0), 0))</f>
        <v/>
      </c>
      <c r="V2236" s="79">
        <f>IF(Q2236="Sin Factura",0,IFERROR(_xlfn.XLOOKUP(1, (Facturas_Odoo!$D:$D=A2236) * (Facturas_Odoo!$K:$K=I2236), Facturas_Odoo!$O:$O, 0), 0))</f>
        <v/>
      </c>
      <c r="W2236" s="81">
        <f>IF(Q2236="Sin Factura",0,IFERROR(_xlfn.XLOOKUP(1, (Facturas_Odoo!$D:$D=A2236) * (Facturas_Odoo!$K:$K=I2236), Facturas_Odoo!$Q:$Q, 0), 0))</f>
        <v/>
      </c>
      <c r="X2236" s="79">
        <f>IF(OR(Q2236="Sin Factura",Q2236=""),"",IFERROR(INDEX(Pagos_Odoo!$B:$B, MATCH(Q2236, Pagos_Odoo!$I:$I, 0)), "Sin Pago"))</f>
        <v/>
      </c>
      <c r="Y2236" s="79">
        <f>IF(X2236="Sin Pago","",IFERROR(INDEX(Pagos_Odoo!$C:$C, MATCH(X2236, Pagos_Odoo!$B:$B, 0)), ""))</f>
        <v/>
      </c>
      <c r="Z2236" s="80">
        <f>IF(X2236="Sin Pago","",IFERROR(INDEX(Pagos_Odoo!$A:$A, MATCH(X2236, Pagos_Odoo!$B:$B, 0)), ""))</f>
        <v/>
      </c>
      <c r="AA2236" s="79">
        <f>IF(X2236="Sin Pago","",IFERROR(INDEX(Pagos_Odoo!$F:$F, MATCH(X2236, Pagos_Odoo!$B:$B, 0)), ""))</f>
        <v/>
      </c>
      <c r="AB2236" s="81">
        <f>IF(X2236="Sin Pago",0,IFERROR(INDEX(Pagos_Odoo!$E:$E, MATCH(X2236, Pagos_Odoo!$B:$B, 0)), 0))</f>
        <v/>
      </c>
      <c r="AC2236" s="79">
        <f>IF(X2236="Sin Pago","",IFERROR(INDEX(Pagos_Odoo!$G:$G, MATCH(X2236, Pagos_Odoo!$B:$B, 0)), ""))</f>
        <v/>
      </c>
      <c r="AD2236" s="82" t="n">
        <v>0</v>
      </c>
      <c r="AE2236" s="82" t="n"/>
      <c r="AF2236" s="82" t="n"/>
      <c r="AG2236" s="82">
        <f>IF(AN2236="","",AD2236+AE2236+AF2236)</f>
        <v/>
      </c>
      <c r="AH2236" s="81">
        <f>IF(AN2236="","",P2236*(1-AG2236))</f>
        <v/>
      </c>
      <c r="AI2236" s="81">
        <f>IF(AN2236="","",IF(Q2236="Sin Factura",0,IFERROR(INDEX(Facturas_Odoo!$H:$H, MATCH(Q2236, Facturas_Odoo!$B:$B, 0)), 0)*(1-AG2236)))</f>
        <v/>
      </c>
      <c r="AJ2236" s="81">
        <f>IF(AN2236="","",_xlfn.LET(idVenta, AN2236&amp;"",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36" s="81">
        <f>IF(AN2236="","",AH2236-AJ2236)</f>
        <v/>
      </c>
      <c r="AL2236" s="81">
        <f>IF(AN2236="","",IF(Q2236="Sin Factura","",AI2236-AJ2236))</f>
        <v/>
      </c>
      <c r="AM2236" s="81">
        <f>IF(AN2236="","",IF(Q2236="Sin Factura",0,P2236-IFERROR(INDEX(Facturas_Odoo!$H:$H, MATCH(Q2236, Facturas_Odoo!$B:$B, 0)), 0)))</f>
        <v/>
      </c>
      <c r="AN2236" s="79">
        <f>IF(AND(A2236="", J2236=""), "", IF(A2236&lt;&gt;"", VALUE(MID(A2236,2,LEN(A2236))), AN2235))</f>
        <v/>
      </c>
      <c r="AO2236" s="79">
        <f>IF(AN2236="","",IF(AD2236=0,"OK",_xlfn.LET(monedaPago, IF(AA2236="","USD",AA2236), limitePermitido, IFERROR(VLOOKUP(monedaPago, Configuración!$A$2:$B$3, 2, FALSE), 0.15), IF(AD2236&gt;limitePermitido, "ALERTA: EXCESO (" &amp; TEXT(limitePermitido, "0%") &amp; " máx)", "OK"))))</f>
        <v/>
      </c>
      <c r="AP2236" s="79">
        <f>IF(AN2236="","",IF(AE2236=0,"OK",_xlfn.LET(fechaPago, Z2236, fechaFactura, R2236, diasCredito, IF(E2236="Pago inmediato", 0, IFERROR(VALUE(MID(E2236, 1, SEARCH(" ", E2236)-1)),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36" s="79">
        <f>IF(AN2236="","",IF(AND(N2236&gt;0, AG2236&gt;0), IF(Configuración!$K$2="NO", "ALERTA: DESCUENTO DOBLE NO PERMITIDO", "OK"), "OK"))</f>
        <v/>
      </c>
      <c r="AR2236" s="79">
        <f>IF(AN2236="","",IF(OR(AO2236&lt;&gt;"OK", AP2236&lt;&gt;"OK", AQ2236&lt;&gt;"OK"), "⚠️ REVISAR", "OK"))</f>
        <v/>
      </c>
    </row>
    <row r="2237">
      <c r="A2237" s="79">
        <f>IF('Ordenes_Odoo'!A2237="","",'Ordenes_Odoo'!A2237)</f>
        <v/>
      </c>
      <c r="B2237" s="80">
        <f>IF('Ordenes_Odoo'!B2237="","",'Ordenes_Odoo'!B2237)</f>
        <v/>
      </c>
      <c r="C2237" s="79">
        <f>IF('Ordenes_Odoo'!C2237="","",'Ordenes_Odoo'!C2237)</f>
        <v/>
      </c>
      <c r="D2237" s="79">
        <f>IF('Ordenes_Odoo'!D2237="","",'Ordenes_Odoo'!D2237)</f>
        <v/>
      </c>
      <c r="E2237" s="79">
        <f>IF('Ordenes_Odoo'!E2237="","",'Ordenes_Odoo'!E2237)</f>
        <v/>
      </c>
      <c r="F2237" s="79">
        <f>IF('Ordenes_Odoo'!F2237="","",'Ordenes_Odoo'!F2237)</f>
        <v/>
      </c>
      <c r="G2237" s="79">
        <f>IF('Ordenes_Odoo'!G2237="","",'Ordenes_Odoo'!G2237)</f>
        <v/>
      </c>
      <c r="H2237" s="79">
        <f>IF('Ordenes_Odoo'!H2237="","",'Ordenes_Odoo'!H2237)</f>
        <v/>
      </c>
      <c r="I2237" s="79">
        <f>IF('Ordenes_Odoo'!I2237="","",'Ordenes_Odoo'!I2237)</f>
        <v/>
      </c>
      <c r="J2237" s="79">
        <f>IF('Ordenes_Odoo'!J2237="","",'Ordenes_Odoo'!J2237)</f>
        <v/>
      </c>
      <c r="K2237" s="81">
        <f>IF('Ordenes_Odoo'!K2237="","",'Ordenes_Odoo'!K2237)</f>
        <v/>
      </c>
      <c r="L2237" s="81">
        <f>IF('Ordenes_Odoo'!L2237="","",'Ordenes_Odoo'!L2237)</f>
        <v/>
      </c>
      <c r="M2237" s="79">
        <f>IF('Ordenes_Odoo'!M2237="","",'Ordenes_Odoo'!M2237)</f>
        <v/>
      </c>
      <c r="N2237" s="79">
        <f>IF('Ordenes_Odoo'!N2237="","",'Ordenes_Odoo'!N2237)</f>
        <v/>
      </c>
      <c r="O2237" s="81">
        <f>IF('Ordenes_Odoo'!O2237="","",'Ordenes_Odoo'!O2237)</f>
        <v/>
      </c>
      <c r="P2237" s="81">
        <f>IF('Ordenes_Odoo'!P2237="","",'Ordenes_Odoo'!P2237)</f>
        <v/>
      </c>
      <c r="Q2237" s="79">
        <f>IF(A2237="","",IFERROR(INDEX(Facturas_Odoo!$B:$B, MATCH(A2237, Facturas_Odoo!$D:$D, 0)), "Sin Factura"))</f>
        <v/>
      </c>
      <c r="R2237" s="80">
        <f>IF(Q2237="Sin Factura","",IFERROR(INDEX(Facturas_Odoo!$A:$A, MATCH(Q2237, Facturas_Odoo!$B:$B, 0)), ""))</f>
        <v/>
      </c>
      <c r="S2237" s="79">
        <f>IF(Q2237="Sin Factura","",IFERROR(_xlfn.XLOOKUP(1, (Facturas_Odoo!$D:$D=A2237) * (Facturas_Odoo!$K:$K=I2237), Facturas_Odoo!$L:$L, ""), ""))</f>
        <v/>
      </c>
      <c r="T2237" s="81">
        <f>IF(Q2237="Sin Factura",0,IFERROR(_xlfn.XLOOKUP(1, (Facturas_Odoo!$D:$D=A2237) * (Facturas_Odoo!$K:$K=I2237), Facturas_Odoo!$M:$M, 0), 0))</f>
        <v/>
      </c>
      <c r="U2237" s="79">
        <f>IF(Q2237="Sin Factura",0,IFERROR(_xlfn.XLOOKUP(1, (Facturas_Odoo!$D:$D=A2237) * (Facturas_Odoo!$K:$K=I2237), Facturas_Odoo!$N:$N, 0), 0))</f>
        <v/>
      </c>
      <c r="V2237" s="79">
        <f>IF(Q2237="Sin Factura",0,IFERROR(_xlfn.XLOOKUP(1, (Facturas_Odoo!$D:$D=A2237) * (Facturas_Odoo!$K:$K=I2237), Facturas_Odoo!$O:$O, 0), 0))</f>
        <v/>
      </c>
      <c r="W2237" s="81">
        <f>IF(Q2237="Sin Factura",0,IFERROR(_xlfn.XLOOKUP(1, (Facturas_Odoo!$D:$D=A2237) * (Facturas_Odoo!$K:$K=I2237), Facturas_Odoo!$Q:$Q, 0), 0))</f>
        <v/>
      </c>
      <c r="X2237" s="79">
        <f>IF(OR(Q2237="Sin Factura",Q2237=""),"",IFERROR(INDEX(Pagos_Odoo!$B:$B, MATCH(Q2237, Pagos_Odoo!$I:$I, 0)), "Sin Pago"))</f>
        <v/>
      </c>
      <c r="Y2237" s="79">
        <f>IF(X2237="Sin Pago","",IFERROR(INDEX(Pagos_Odoo!$C:$C, MATCH(X2237, Pagos_Odoo!$B:$B, 0)), ""))</f>
        <v/>
      </c>
      <c r="Z2237" s="80">
        <f>IF(X2237="Sin Pago","",IFERROR(INDEX(Pagos_Odoo!$A:$A, MATCH(X2237, Pagos_Odoo!$B:$B, 0)), ""))</f>
        <v/>
      </c>
      <c r="AA2237" s="79">
        <f>IF(X2237="Sin Pago","",IFERROR(INDEX(Pagos_Odoo!$F:$F, MATCH(X2237, Pagos_Odoo!$B:$B, 0)), ""))</f>
        <v/>
      </c>
      <c r="AB2237" s="81">
        <f>IF(X2237="Sin Pago",0,IFERROR(INDEX(Pagos_Odoo!$E:$E, MATCH(X2237, Pagos_Odoo!$B:$B, 0)), 0))</f>
        <v/>
      </c>
      <c r="AC2237" s="79">
        <f>IF(X2237="Sin Pago","",IFERROR(INDEX(Pagos_Odoo!$G:$G, MATCH(X2237, Pagos_Odoo!$B:$B, 0)), ""))</f>
        <v/>
      </c>
      <c r="AD2237" s="82" t="n">
        <v>0</v>
      </c>
      <c r="AE2237" s="82" t="n"/>
      <c r="AF2237" s="82" t="n"/>
      <c r="AG2237" s="82">
        <f>IF(AN2237="","",AD2237+AE2237+AF2237)</f>
        <v/>
      </c>
      <c r="AH2237" s="81">
        <f>IF(AN2237="","",P2237*(1-AG2237))</f>
        <v/>
      </c>
      <c r="AI2237" s="81">
        <f>IF(AN2237="","",IF(Q2237="Sin Factura",0,IFERROR(INDEX(Facturas_Odoo!$H:$H, MATCH(Q2237, Facturas_Odoo!$B:$B, 0)), 0)*(1-AG2237)))</f>
        <v/>
      </c>
      <c r="AJ2237" s="81">
        <f>IF(AN2237="","",_xlfn.LET(idVenta, AN2237&amp;"",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37" s="81">
        <f>IF(AN2237="","",AH2237-AJ2237)</f>
        <v/>
      </c>
      <c r="AL2237" s="81">
        <f>IF(AN2237="","",IF(Q2237="Sin Factura","",AI2237-AJ2237))</f>
        <v/>
      </c>
      <c r="AM2237" s="81">
        <f>IF(AN2237="","",IF(Q2237="Sin Factura",0,P2237-IFERROR(INDEX(Facturas_Odoo!$H:$H, MATCH(Q2237, Facturas_Odoo!$B:$B, 0)), 0)))</f>
        <v/>
      </c>
      <c r="AN2237" s="79">
        <f>IF(AND(A2237="", J2237=""), "", IF(A2237&lt;&gt;"", VALUE(MID(A2237,2,LEN(A2237))), AN2236))</f>
        <v/>
      </c>
      <c r="AO2237" s="79">
        <f>IF(AN2237="","",IF(AD2237=0,"OK",_xlfn.LET(monedaPago, IF(AA2237="","USD",AA2237), limitePermitido, IFERROR(VLOOKUP(monedaPago, Configuración!$A$2:$B$3, 2, FALSE), 0.15), IF(AD2237&gt;limitePermitido, "ALERTA: EXCESO (" &amp; TEXT(limitePermitido, "0%") &amp; " máx)", "OK"))))</f>
        <v/>
      </c>
      <c r="AP2237" s="79">
        <f>IF(AN2237="","",IF(AE2237=0,"OK",_xlfn.LET(fechaPago, Z2237, fechaFactura, R2237, diasCredito, IF(E2237="Pago inmediato", 0, IFERROR(VALUE(MID(E2237, 1, SEARCH(" ", E2237)-1)),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37" s="79">
        <f>IF(AN2237="","",IF(AND(N2237&gt;0, AG2237&gt;0), IF(Configuración!$K$2="NO", "ALERTA: DESCUENTO DOBLE NO PERMITIDO", "OK"), "OK"))</f>
        <v/>
      </c>
      <c r="AR2237" s="79">
        <f>IF(AN2237="","",IF(OR(AO2237&lt;&gt;"OK", AP2237&lt;&gt;"OK", AQ2237&lt;&gt;"OK"), "⚠️ REVISAR", "OK"))</f>
        <v/>
      </c>
    </row>
    <row r="2238">
      <c r="A2238" s="79">
        <f>IF('Ordenes_Odoo'!A2238="","",'Ordenes_Odoo'!A2238)</f>
        <v/>
      </c>
      <c r="B2238" s="80">
        <f>IF('Ordenes_Odoo'!B2238="","",'Ordenes_Odoo'!B2238)</f>
        <v/>
      </c>
      <c r="C2238" s="79">
        <f>IF('Ordenes_Odoo'!C2238="","",'Ordenes_Odoo'!C2238)</f>
        <v/>
      </c>
      <c r="D2238" s="79">
        <f>IF('Ordenes_Odoo'!D2238="","",'Ordenes_Odoo'!D2238)</f>
        <v/>
      </c>
      <c r="E2238" s="79">
        <f>IF('Ordenes_Odoo'!E2238="","",'Ordenes_Odoo'!E2238)</f>
        <v/>
      </c>
      <c r="F2238" s="79">
        <f>IF('Ordenes_Odoo'!F2238="","",'Ordenes_Odoo'!F2238)</f>
        <v/>
      </c>
      <c r="G2238" s="79">
        <f>IF('Ordenes_Odoo'!G2238="","",'Ordenes_Odoo'!G2238)</f>
        <v/>
      </c>
      <c r="H2238" s="79">
        <f>IF('Ordenes_Odoo'!H2238="","",'Ordenes_Odoo'!H2238)</f>
        <v/>
      </c>
      <c r="I2238" s="79">
        <f>IF('Ordenes_Odoo'!I2238="","",'Ordenes_Odoo'!I2238)</f>
        <v/>
      </c>
      <c r="J2238" s="79">
        <f>IF('Ordenes_Odoo'!J2238="","",'Ordenes_Odoo'!J2238)</f>
        <v/>
      </c>
      <c r="K2238" s="81">
        <f>IF('Ordenes_Odoo'!K2238="","",'Ordenes_Odoo'!K2238)</f>
        <v/>
      </c>
      <c r="L2238" s="81">
        <f>IF('Ordenes_Odoo'!L2238="","",'Ordenes_Odoo'!L2238)</f>
        <v/>
      </c>
      <c r="M2238" s="79">
        <f>IF('Ordenes_Odoo'!M2238="","",'Ordenes_Odoo'!M2238)</f>
        <v/>
      </c>
      <c r="N2238" s="79">
        <f>IF('Ordenes_Odoo'!N2238="","",'Ordenes_Odoo'!N2238)</f>
        <v/>
      </c>
      <c r="O2238" s="81">
        <f>IF('Ordenes_Odoo'!O2238="","",'Ordenes_Odoo'!O2238)</f>
        <v/>
      </c>
      <c r="P2238" s="81">
        <f>IF('Ordenes_Odoo'!P2238="","",'Ordenes_Odoo'!P2238)</f>
        <v/>
      </c>
      <c r="Q2238" s="79">
        <f>IF(A2238="","",IFERROR(INDEX(Facturas_Odoo!$B:$B, MATCH(A2238, Facturas_Odoo!$D:$D, 0)), "Sin Factura"))</f>
        <v/>
      </c>
      <c r="R2238" s="80">
        <f>IF(Q2238="Sin Factura","",IFERROR(INDEX(Facturas_Odoo!$A:$A, MATCH(Q2238, Facturas_Odoo!$B:$B, 0)), ""))</f>
        <v/>
      </c>
      <c r="S2238" s="79">
        <f>IF(Q2238="Sin Factura","",IFERROR(_xlfn.XLOOKUP(1, (Facturas_Odoo!$D:$D=A2238) * (Facturas_Odoo!$K:$K=I2238), Facturas_Odoo!$L:$L, ""), ""))</f>
        <v/>
      </c>
      <c r="T2238" s="81">
        <f>IF(Q2238="Sin Factura",0,IFERROR(_xlfn.XLOOKUP(1, (Facturas_Odoo!$D:$D=A2238) * (Facturas_Odoo!$K:$K=I2238), Facturas_Odoo!$M:$M, 0), 0))</f>
        <v/>
      </c>
      <c r="U2238" s="79">
        <f>IF(Q2238="Sin Factura",0,IFERROR(_xlfn.XLOOKUP(1, (Facturas_Odoo!$D:$D=A2238) * (Facturas_Odoo!$K:$K=I2238), Facturas_Odoo!$N:$N, 0), 0))</f>
        <v/>
      </c>
      <c r="V2238" s="79">
        <f>IF(Q2238="Sin Factura",0,IFERROR(_xlfn.XLOOKUP(1, (Facturas_Odoo!$D:$D=A2238) * (Facturas_Odoo!$K:$K=I2238), Facturas_Odoo!$O:$O, 0), 0))</f>
        <v/>
      </c>
      <c r="W2238" s="81">
        <f>IF(Q2238="Sin Factura",0,IFERROR(_xlfn.XLOOKUP(1, (Facturas_Odoo!$D:$D=A2238) * (Facturas_Odoo!$K:$K=I2238), Facturas_Odoo!$Q:$Q, 0), 0))</f>
        <v/>
      </c>
      <c r="X2238" s="79">
        <f>IF(OR(Q2238="Sin Factura",Q2238=""),"",IFERROR(INDEX(Pagos_Odoo!$B:$B, MATCH(Q2238, Pagos_Odoo!$I:$I, 0)), "Sin Pago"))</f>
        <v/>
      </c>
      <c r="Y2238" s="79">
        <f>IF(X2238="Sin Pago","",IFERROR(INDEX(Pagos_Odoo!$C:$C, MATCH(X2238, Pagos_Odoo!$B:$B, 0)), ""))</f>
        <v/>
      </c>
      <c r="Z2238" s="80">
        <f>IF(X2238="Sin Pago","",IFERROR(INDEX(Pagos_Odoo!$A:$A, MATCH(X2238, Pagos_Odoo!$B:$B, 0)), ""))</f>
        <v/>
      </c>
      <c r="AA2238" s="79">
        <f>IF(X2238="Sin Pago","",IFERROR(INDEX(Pagos_Odoo!$F:$F, MATCH(X2238, Pagos_Odoo!$B:$B, 0)), ""))</f>
        <v/>
      </c>
      <c r="AB2238" s="81">
        <f>IF(X2238="Sin Pago",0,IFERROR(INDEX(Pagos_Odoo!$E:$E, MATCH(X2238, Pagos_Odoo!$B:$B, 0)), 0))</f>
        <v/>
      </c>
      <c r="AC2238" s="79">
        <f>IF(X2238="Sin Pago","",IFERROR(INDEX(Pagos_Odoo!$G:$G, MATCH(X2238, Pagos_Odoo!$B:$B, 0)), ""))</f>
        <v/>
      </c>
      <c r="AD2238" s="82" t="n">
        <v>0</v>
      </c>
      <c r="AE2238" s="82" t="n"/>
      <c r="AF2238" s="82" t="n"/>
      <c r="AG2238" s="82">
        <f>IF(AN2238="","",AD2238+AE2238+AF2238)</f>
        <v/>
      </c>
      <c r="AH2238" s="81">
        <f>IF(AN2238="","",P2238*(1-AG2238))</f>
        <v/>
      </c>
      <c r="AI2238" s="81">
        <f>IF(AN2238="","",IF(Q2238="Sin Factura",0,IFERROR(INDEX(Facturas_Odoo!$H:$H, MATCH(Q2238, Facturas_Odoo!$B:$B, 0)), 0)*(1-AG2238)))</f>
        <v/>
      </c>
      <c r="AJ2238" s="81">
        <f>IF(AN2238="","",_xlfn.LET(idVenta, AN2238&amp;"",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38" s="81">
        <f>IF(AN2238="","",AH2238-AJ2238)</f>
        <v/>
      </c>
      <c r="AL2238" s="81">
        <f>IF(AN2238="","",IF(Q2238="Sin Factura","",AI2238-AJ2238))</f>
        <v/>
      </c>
      <c r="AM2238" s="81">
        <f>IF(AN2238="","",IF(Q2238="Sin Factura",0,P2238-IFERROR(INDEX(Facturas_Odoo!$H:$H, MATCH(Q2238, Facturas_Odoo!$B:$B, 0)), 0)))</f>
        <v/>
      </c>
      <c r="AN2238" s="79">
        <f>IF(AND(A2238="", J2238=""), "", IF(A2238&lt;&gt;"", VALUE(MID(A2238,2,LEN(A2238))), AN2237))</f>
        <v/>
      </c>
      <c r="AO2238" s="79">
        <f>IF(AN2238="","",IF(AD2238=0,"OK",_xlfn.LET(monedaPago, IF(AA2238="","USD",AA2238), limitePermitido, IFERROR(VLOOKUP(monedaPago, Configuración!$A$2:$B$3, 2, FALSE), 0.15), IF(AD2238&gt;limitePermitido, "ALERTA: EXCESO (" &amp; TEXT(limitePermitido, "0%") &amp; " máx)", "OK"))))</f>
        <v/>
      </c>
      <c r="AP2238" s="79">
        <f>IF(AN2238="","",IF(AE2238=0,"OK",_xlfn.LET(fechaPago, Z2238, fechaFactura, R2238, diasCredito, IF(E2238="Pago inmediato", 0, IFERROR(VALUE(MID(E2238, 1, SEARCH(" ", E2238)-1)),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38" s="79">
        <f>IF(AN2238="","",IF(AND(N2238&gt;0, AG2238&gt;0), IF(Configuración!$K$2="NO", "ALERTA: DESCUENTO DOBLE NO PERMITIDO", "OK"), "OK"))</f>
        <v/>
      </c>
      <c r="AR2238" s="79">
        <f>IF(AN2238="","",IF(OR(AO2238&lt;&gt;"OK", AP2238&lt;&gt;"OK", AQ2238&lt;&gt;"OK"), "⚠️ REVISAR", "OK"))</f>
        <v/>
      </c>
    </row>
    <row r="2239">
      <c r="A2239" s="79">
        <f>IF('Ordenes_Odoo'!A2239="","",'Ordenes_Odoo'!A2239)</f>
        <v/>
      </c>
      <c r="B2239" s="80">
        <f>IF('Ordenes_Odoo'!B2239="","",'Ordenes_Odoo'!B2239)</f>
        <v/>
      </c>
      <c r="C2239" s="79">
        <f>IF('Ordenes_Odoo'!C2239="","",'Ordenes_Odoo'!C2239)</f>
        <v/>
      </c>
      <c r="D2239" s="79">
        <f>IF('Ordenes_Odoo'!D2239="","",'Ordenes_Odoo'!D2239)</f>
        <v/>
      </c>
      <c r="E2239" s="79">
        <f>IF('Ordenes_Odoo'!E2239="","",'Ordenes_Odoo'!E2239)</f>
        <v/>
      </c>
      <c r="F2239" s="79">
        <f>IF('Ordenes_Odoo'!F2239="","",'Ordenes_Odoo'!F2239)</f>
        <v/>
      </c>
      <c r="G2239" s="79">
        <f>IF('Ordenes_Odoo'!G2239="","",'Ordenes_Odoo'!G2239)</f>
        <v/>
      </c>
      <c r="H2239" s="79">
        <f>IF('Ordenes_Odoo'!H2239="","",'Ordenes_Odoo'!H2239)</f>
        <v/>
      </c>
      <c r="I2239" s="79">
        <f>IF('Ordenes_Odoo'!I2239="","",'Ordenes_Odoo'!I2239)</f>
        <v/>
      </c>
      <c r="J2239" s="79">
        <f>IF('Ordenes_Odoo'!J2239="","",'Ordenes_Odoo'!J2239)</f>
        <v/>
      </c>
      <c r="K2239" s="81">
        <f>IF('Ordenes_Odoo'!K2239="","",'Ordenes_Odoo'!K2239)</f>
        <v/>
      </c>
      <c r="L2239" s="81">
        <f>IF('Ordenes_Odoo'!L2239="","",'Ordenes_Odoo'!L2239)</f>
        <v/>
      </c>
      <c r="M2239" s="79">
        <f>IF('Ordenes_Odoo'!M2239="","",'Ordenes_Odoo'!M2239)</f>
        <v/>
      </c>
      <c r="N2239" s="79">
        <f>IF('Ordenes_Odoo'!N2239="","",'Ordenes_Odoo'!N2239)</f>
        <v/>
      </c>
      <c r="O2239" s="81">
        <f>IF('Ordenes_Odoo'!O2239="","",'Ordenes_Odoo'!O2239)</f>
        <v/>
      </c>
      <c r="P2239" s="81">
        <f>IF('Ordenes_Odoo'!P2239="","",'Ordenes_Odoo'!P2239)</f>
        <v/>
      </c>
      <c r="Q2239" s="79">
        <f>IF(A2239="","",IFERROR(INDEX(Facturas_Odoo!$B:$B, MATCH(A2239, Facturas_Odoo!$D:$D, 0)), "Sin Factura"))</f>
        <v/>
      </c>
      <c r="R2239" s="80">
        <f>IF(Q2239="Sin Factura","",IFERROR(INDEX(Facturas_Odoo!$A:$A, MATCH(Q2239, Facturas_Odoo!$B:$B, 0)), ""))</f>
        <v/>
      </c>
      <c r="S2239" s="79">
        <f>IF(Q2239="Sin Factura","",IFERROR(_xlfn.XLOOKUP(1, (Facturas_Odoo!$D:$D=A2239) * (Facturas_Odoo!$K:$K=I2239), Facturas_Odoo!$L:$L, ""), ""))</f>
        <v/>
      </c>
      <c r="T2239" s="81">
        <f>IF(Q2239="Sin Factura",0,IFERROR(_xlfn.XLOOKUP(1, (Facturas_Odoo!$D:$D=A2239) * (Facturas_Odoo!$K:$K=I2239), Facturas_Odoo!$M:$M, 0), 0))</f>
        <v/>
      </c>
      <c r="U2239" s="79">
        <f>IF(Q2239="Sin Factura",0,IFERROR(_xlfn.XLOOKUP(1, (Facturas_Odoo!$D:$D=A2239) * (Facturas_Odoo!$K:$K=I2239), Facturas_Odoo!$N:$N, 0), 0))</f>
        <v/>
      </c>
      <c r="V2239" s="79">
        <f>IF(Q2239="Sin Factura",0,IFERROR(_xlfn.XLOOKUP(1, (Facturas_Odoo!$D:$D=A2239) * (Facturas_Odoo!$K:$K=I2239), Facturas_Odoo!$O:$O, 0), 0))</f>
        <v/>
      </c>
      <c r="W2239" s="81">
        <f>IF(Q2239="Sin Factura",0,IFERROR(_xlfn.XLOOKUP(1, (Facturas_Odoo!$D:$D=A2239) * (Facturas_Odoo!$K:$K=I2239), Facturas_Odoo!$Q:$Q, 0), 0))</f>
        <v/>
      </c>
      <c r="X2239" s="79">
        <f>IF(OR(Q2239="Sin Factura",Q2239=""),"",IFERROR(INDEX(Pagos_Odoo!$B:$B, MATCH(Q2239, Pagos_Odoo!$I:$I, 0)), "Sin Pago"))</f>
        <v/>
      </c>
      <c r="Y2239" s="79">
        <f>IF(X2239="Sin Pago","",IFERROR(INDEX(Pagos_Odoo!$C:$C, MATCH(X2239, Pagos_Odoo!$B:$B, 0)), ""))</f>
        <v/>
      </c>
      <c r="Z2239" s="80">
        <f>IF(X2239="Sin Pago","",IFERROR(INDEX(Pagos_Odoo!$A:$A, MATCH(X2239, Pagos_Odoo!$B:$B, 0)), ""))</f>
        <v/>
      </c>
      <c r="AA2239" s="79">
        <f>IF(X2239="Sin Pago","",IFERROR(INDEX(Pagos_Odoo!$F:$F, MATCH(X2239, Pagos_Odoo!$B:$B, 0)), ""))</f>
        <v/>
      </c>
      <c r="AB2239" s="81">
        <f>IF(X2239="Sin Pago",0,IFERROR(INDEX(Pagos_Odoo!$E:$E, MATCH(X2239, Pagos_Odoo!$B:$B, 0)), 0))</f>
        <v/>
      </c>
      <c r="AC2239" s="79">
        <f>IF(X2239="Sin Pago","",IFERROR(INDEX(Pagos_Odoo!$G:$G, MATCH(X2239, Pagos_Odoo!$B:$B, 0)), ""))</f>
        <v/>
      </c>
      <c r="AD2239" s="82" t="n">
        <v>0</v>
      </c>
      <c r="AE2239" s="82" t="n"/>
      <c r="AF2239" s="82" t="n"/>
      <c r="AG2239" s="82">
        <f>IF(AN2239="","",AD2239+AE2239+AF2239)</f>
        <v/>
      </c>
      <c r="AH2239" s="81">
        <f>IF(AN2239="","",P2239*(1-AG2239))</f>
        <v/>
      </c>
      <c r="AI2239" s="81">
        <f>IF(AN2239="","",IF(Q2239="Sin Factura",0,IFERROR(INDEX(Facturas_Odoo!$H:$H, MATCH(Q2239, Facturas_Odoo!$B:$B, 0)), 0)*(1-AG2239)))</f>
        <v/>
      </c>
      <c r="AJ2239" s="81">
        <f>IF(AN2239="","",_xlfn.LET(idVenta, AN2239&amp;"",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39" s="81">
        <f>IF(AN2239="","",AH2239-AJ2239)</f>
        <v/>
      </c>
      <c r="AL2239" s="81">
        <f>IF(AN2239="","",IF(Q2239="Sin Factura","",AI2239-AJ2239))</f>
        <v/>
      </c>
      <c r="AM2239" s="81">
        <f>IF(AN2239="","",IF(Q2239="Sin Factura",0,P2239-IFERROR(INDEX(Facturas_Odoo!$H:$H, MATCH(Q2239, Facturas_Odoo!$B:$B, 0)), 0)))</f>
        <v/>
      </c>
      <c r="AN2239" s="79">
        <f>IF(AND(A2239="", J2239=""), "", IF(A2239&lt;&gt;"", VALUE(MID(A2239,2,LEN(A2239))), AN2238))</f>
        <v/>
      </c>
      <c r="AO2239" s="79">
        <f>IF(AN2239="","",IF(AD2239=0,"OK",_xlfn.LET(monedaPago, IF(AA2239="","USD",AA2239), limitePermitido, IFERROR(VLOOKUP(monedaPago, Configuración!$A$2:$B$3, 2, FALSE), 0.15), IF(AD2239&gt;limitePermitido, "ALERTA: EXCESO (" &amp; TEXT(limitePermitido, "0%") &amp; " máx)", "OK"))))</f>
        <v/>
      </c>
      <c r="AP2239" s="79">
        <f>IF(AN2239="","",IF(AE2239=0,"OK",_xlfn.LET(fechaPago, Z2239, fechaFactura, R2239, diasCredito, IF(E2239="Pago inmediato", 0, IFERROR(VALUE(MID(E2239, 1, SEARCH(" ", E2239)-1)),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39" s="79">
        <f>IF(AN2239="","",IF(AND(N2239&gt;0, AG2239&gt;0), IF(Configuración!$K$2="NO", "ALERTA: DESCUENTO DOBLE NO PERMITIDO", "OK"), "OK"))</f>
        <v/>
      </c>
      <c r="AR2239" s="79">
        <f>IF(AN2239="","",IF(OR(AO2239&lt;&gt;"OK", AP2239&lt;&gt;"OK", AQ2239&lt;&gt;"OK"), "⚠️ REVISAR", "OK"))</f>
        <v/>
      </c>
    </row>
    <row r="2240">
      <c r="A2240" s="79">
        <f>IF('Ordenes_Odoo'!A2240="","",'Ordenes_Odoo'!A2240)</f>
        <v/>
      </c>
      <c r="B2240" s="80">
        <f>IF('Ordenes_Odoo'!B2240="","",'Ordenes_Odoo'!B2240)</f>
        <v/>
      </c>
      <c r="C2240" s="79">
        <f>IF('Ordenes_Odoo'!C2240="","",'Ordenes_Odoo'!C2240)</f>
        <v/>
      </c>
      <c r="D2240" s="79">
        <f>IF('Ordenes_Odoo'!D2240="","",'Ordenes_Odoo'!D2240)</f>
        <v/>
      </c>
      <c r="E2240" s="79">
        <f>IF('Ordenes_Odoo'!E2240="","",'Ordenes_Odoo'!E2240)</f>
        <v/>
      </c>
      <c r="F2240" s="79">
        <f>IF('Ordenes_Odoo'!F2240="","",'Ordenes_Odoo'!F2240)</f>
        <v/>
      </c>
      <c r="G2240" s="79">
        <f>IF('Ordenes_Odoo'!G2240="","",'Ordenes_Odoo'!G2240)</f>
        <v/>
      </c>
      <c r="H2240" s="79">
        <f>IF('Ordenes_Odoo'!H2240="","",'Ordenes_Odoo'!H2240)</f>
        <v/>
      </c>
      <c r="I2240" s="79">
        <f>IF('Ordenes_Odoo'!I2240="","",'Ordenes_Odoo'!I2240)</f>
        <v/>
      </c>
      <c r="J2240" s="79">
        <f>IF('Ordenes_Odoo'!J2240="","",'Ordenes_Odoo'!J2240)</f>
        <v/>
      </c>
      <c r="K2240" s="81">
        <f>IF('Ordenes_Odoo'!K2240="","",'Ordenes_Odoo'!K2240)</f>
        <v/>
      </c>
      <c r="L2240" s="81">
        <f>IF('Ordenes_Odoo'!L2240="","",'Ordenes_Odoo'!L2240)</f>
        <v/>
      </c>
      <c r="M2240" s="79">
        <f>IF('Ordenes_Odoo'!M2240="","",'Ordenes_Odoo'!M2240)</f>
        <v/>
      </c>
      <c r="N2240" s="79">
        <f>IF('Ordenes_Odoo'!N2240="","",'Ordenes_Odoo'!N2240)</f>
        <v/>
      </c>
      <c r="O2240" s="81">
        <f>IF('Ordenes_Odoo'!O2240="","",'Ordenes_Odoo'!O2240)</f>
        <v/>
      </c>
      <c r="P2240" s="81">
        <f>IF('Ordenes_Odoo'!P2240="","",'Ordenes_Odoo'!P2240)</f>
        <v/>
      </c>
      <c r="Q2240" s="79">
        <f>IF(A2240="","",IFERROR(INDEX(Facturas_Odoo!$B:$B, MATCH(A2240, Facturas_Odoo!$D:$D, 0)), "Sin Factura"))</f>
        <v/>
      </c>
      <c r="R2240" s="80">
        <f>IF(Q2240="Sin Factura","",IFERROR(INDEX(Facturas_Odoo!$A:$A, MATCH(Q2240, Facturas_Odoo!$B:$B, 0)), ""))</f>
        <v/>
      </c>
      <c r="S2240" s="79">
        <f>IF(Q2240="Sin Factura","",IFERROR(_xlfn.XLOOKUP(1, (Facturas_Odoo!$D:$D=A2240) * (Facturas_Odoo!$K:$K=I2240), Facturas_Odoo!$L:$L, ""), ""))</f>
        <v/>
      </c>
      <c r="T2240" s="81">
        <f>IF(Q2240="Sin Factura",0,IFERROR(_xlfn.XLOOKUP(1, (Facturas_Odoo!$D:$D=A2240) * (Facturas_Odoo!$K:$K=I2240), Facturas_Odoo!$M:$M, 0), 0))</f>
        <v/>
      </c>
      <c r="U2240" s="79">
        <f>IF(Q2240="Sin Factura",0,IFERROR(_xlfn.XLOOKUP(1, (Facturas_Odoo!$D:$D=A2240) * (Facturas_Odoo!$K:$K=I2240), Facturas_Odoo!$N:$N, 0), 0))</f>
        <v/>
      </c>
      <c r="V2240" s="79">
        <f>IF(Q2240="Sin Factura",0,IFERROR(_xlfn.XLOOKUP(1, (Facturas_Odoo!$D:$D=A2240) * (Facturas_Odoo!$K:$K=I2240), Facturas_Odoo!$O:$O, 0), 0))</f>
        <v/>
      </c>
      <c r="W2240" s="81">
        <f>IF(Q2240="Sin Factura",0,IFERROR(_xlfn.XLOOKUP(1, (Facturas_Odoo!$D:$D=A2240) * (Facturas_Odoo!$K:$K=I2240), Facturas_Odoo!$Q:$Q, 0), 0))</f>
        <v/>
      </c>
      <c r="X2240" s="79">
        <f>IF(OR(Q2240="Sin Factura",Q2240=""),"",IFERROR(INDEX(Pagos_Odoo!$B:$B, MATCH(Q2240, Pagos_Odoo!$I:$I, 0)), "Sin Pago"))</f>
        <v/>
      </c>
      <c r="Y2240" s="79">
        <f>IF(X2240="Sin Pago","",IFERROR(INDEX(Pagos_Odoo!$C:$C, MATCH(X2240, Pagos_Odoo!$B:$B, 0)), ""))</f>
        <v/>
      </c>
      <c r="Z2240" s="80">
        <f>IF(X2240="Sin Pago","",IFERROR(INDEX(Pagos_Odoo!$A:$A, MATCH(X2240, Pagos_Odoo!$B:$B, 0)), ""))</f>
        <v/>
      </c>
      <c r="AA2240" s="79">
        <f>IF(X2240="Sin Pago","",IFERROR(INDEX(Pagos_Odoo!$F:$F, MATCH(X2240, Pagos_Odoo!$B:$B, 0)), ""))</f>
        <v/>
      </c>
      <c r="AB2240" s="81">
        <f>IF(X2240="Sin Pago",0,IFERROR(INDEX(Pagos_Odoo!$E:$E, MATCH(X2240, Pagos_Odoo!$B:$B, 0)), 0))</f>
        <v/>
      </c>
      <c r="AC2240" s="79">
        <f>IF(X2240="Sin Pago","",IFERROR(INDEX(Pagos_Odoo!$G:$G, MATCH(X2240, Pagos_Odoo!$B:$B, 0)), ""))</f>
        <v/>
      </c>
      <c r="AD2240" s="82" t="n">
        <v>0</v>
      </c>
      <c r="AE2240" s="82" t="n"/>
      <c r="AF2240" s="82" t="n"/>
      <c r="AG2240" s="82">
        <f>IF(AN2240="","",AD2240+AE2240+AF2240)</f>
        <v/>
      </c>
      <c r="AH2240" s="81">
        <f>IF(AN2240="","",P2240*(1-AG2240))</f>
        <v/>
      </c>
      <c r="AI2240" s="81">
        <f>IF(AN2240="","",IF(Q2240="Sin Factura",0,IFERROR(INDEX(Facturas_Odoo!$H:$H, MATCH(Q2240, Facturas_Odoo!$B:$B, 0)), 0)*(1-AG2240)))</f>
        <v/>
      </c>
      <c r="AJ2240" s="81">
        <f>IF(AN2240="","",_xlfn.LET(idVenta, AN2240&amp;"",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40" s="81">
        <f>IF(AN2240="","",AH2240-AJ2240)</f>
        <v/>
      </c>
      <c r="AL2240" s="81">
        <f>IF(AN2240="","",IF(Q2240="Sin Factura","",AI2240-AJ2240))</f>
        <v/>
      </c>
      <c r="AM2240" s="81">
        <f>IF(AN2240="","",IF(Q2240="Sin Factura",0,P2240-IFERROR(INDEX(Facturas_Odoo!$H:$H, MATCH(Q2240, Facturas_Odoo!$B:$B, 0)), 0)))</f>
        <v/>
      </c>
      <c r="AN2240" s="79">
        <f>IF(AND(A2240="", J2240=""), "", IF(A2240&lt;&gt;"", VALUE(MID(A2240,2,LEN(A2240))), AN2239))</f>
        <v/>
      </c>
      <c r="AO2240" s="79">
        <f>IF(AN2240="","",IF(AD2240=0,"OK",_xlfn.LET(monedaPago, IF(AA2240="","USD",AA2240), limitePermitido, IFERROR(VLOOKUP(monedaPago, Configuración!$A$2:$B$3, 2, FALSE), 0.15), IF(AD2240&gt;limitePermitido, "ALERTA: EXCESO (" &amp; TEXT(limitePermitido, "0%") &amp; " máx)", "OK"))))</f>
        <v/>
      </c>
      <c r="AP2240" s="79">
        <f>IF(AN2240="","",IF(AE2240=0,"OK",_xlfn.LET(fechaPago, Z2240, fechaFactura, R2240, diasCredito, IF(E2240="Pago inmediato", 0, IFERROR(VALUE(MID(E2240, 1, SEARCH(" ", E2240)-1)),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40" s="79">
        <f>IF(AN2240="","",IF(AND(N2240&gt;0, AG2240&gt;0), IF(Configuración!$K$2="NO", "ALERTA: DESCUENTO DOBLE NO PERMITIDO", "OK"), "OK"))</f>
        <v/>
      </c>
      <c r="AR2240" s="79">
        <f>IF(AN2240="","",IF(OR(AO2240&lt;&gt;"OK", AP2240&lt;&gt;"OK", AQ2240&lt;&gt;"OK"), "⚠️ REVISAR", "OK"))</f>
        <v/>
      </c>
    </row>
    <row r="2241">
      <c r="A2241" s="79">
        <f>IF('Ordenes_Odoo'!A2241="","",'Ordenes_Odoo'!A2241)</f>
        <v/>
      </c>
      <c r="B2241" s="80">
        <f>IF('Ordenes_Odoo'!B2241="","",'Ordenes_Odoo'!B2241)</f>
        <v/>
      </c>
      <c r="C2241" s="79">
        <f>IF('Ordenes_Odoo'!C2241="","",'Ordenes_Odoo'!C2241)</f>
        <v/>
      </c>
      <c r="D2241" s="79">
        <f>IF('Ordenes_Odoo'!D2241="","",'Ordenes_Odoo'!D2241)</f>
        <v/>
      </c>
      <c r="E2241" s="79">
        <f>IF('Ordenes_Odoo'!E2241="","",'Ordenes_Odoo'!E2241)</f>
        <v/>
      </c>
      <c r="F2241" s="79">
        <f>IF('Ordenes_Odoo'!F2241="","",'Ordenes_Odoo'!F2241)</f>
        <v/>
      </c>
      <c r="G2241" s="79">
        <f>IF('Ordenes_Odoo'!G2241="","",'Ordenes_Odoo'!G2241)</f>
        <v/>
      </c>
      <c r="H2241" s="79">
        <f>IF('Ordenes_Odoo'!H2241="","",'Ordenes_Odoo'!H2241)</f>
        <v/>
      </c>
      <c r="I2241" s="79">
        <f>IF('Ordenes_Odoo'!I2241="","",'Ordenes_Odoo'!I2241)</f>
        <v/>
      </c>
      <c r="J2241" s="79">
        <f>IF('Ordenes_Odoo'!J2241="","",'Ordenes_Odoo'!J2241)</f>
        <v/>
      </c>
      <c r="K2241" s="81">
        <f>IF('Ordenes_Odoo'!K2241="","",'Ordenes_Odoo'!K2241)</f>
        <v/>
      </c>
      <c r="L2241" s="81">
        <f>IF('Ordenes_Odoo'!L2241="","",'Ordenes_Odoo'!L2241)</f>
        <v/>
      </c>
      <c r="M2241" s="79">
        <f>IF('Ordenes_Odoo'!M2241="","",'Ordenes_Odoo'!M2241)</f>
        <v/>
      </c>
      <c r="N2241" s="79">
        <f>IF('Ordenes_Odoo'!N2241="","",'Ordenes_Odoo'!N2241)</f>
        <v/>
      </c>
      <c r="O2241" s="81">
        <f>IF('Ordenes_Odoo'!O2241="","",'Ordenes_Odoo'!O2241)</f>
        <v/>
      </c>
      <c r="P2241" s="81">
        <f>IF('Ordenes_Odoo'!P2241="","",'Ordenes_Odoo'!P2241)</f>
        <v/>
      </c>
      <c r="Q2241" s="79">
        <f>IF(A2241="","",IFERROR(INDEX(Facturas_Odoo!$B:$B, MATCH(A2241, Facturas_Odoo!$D:$D, 0)), "Sin Factura"))</f>
        <v/>
      </c>
      <c r="R2241" s="80">
        <f>IF(Q2241="Sin Factura","",IFERROR(INDEX(Facturas_Odoo!$A:$A, MATCH(Q2241, Facturas_Odoo!$B:$B, 0)), ""))</f>
        <v/>
      </c>
      <c r="S2241" s="79">
        <f>IF(Q2241="Sin Factura","",IFERROR(_xlfn.XLOOKUP(1, (Facturas_Odoo!$D:$D=A2241) * (Facturas_Odoo!$K:$K=I2241), Facturas_Odoo!$L:$L, ""), ""))</f>
        <v/>
      </c>
      <c r="T2241" s="81">
        <f>IF(Q2241="Sin Factura",0,IFERROR(_xlfn.XLOOKUP(1, (Facturas_Odoo!$D:$D=A2241) * (Facturas_Odoo!$K:$K=I2241), Facturas_Odoo!$M:$M, 0), 0))</f>
        <v/>
      </c>
      <c r="U2241" s="79">
        <f>IF(Q2241="Sin Factura",0,IFERROR(_xlfn.XLOOKUP(1, (Facturas_Odoo!$D:$D=A2241) * (Facturas_Odoo!$K:$K=I2241), Facturas_Odoo!$N:$N, 0), 0))</f>
        <v/>
      </c>
      <c r="V2241" s="79">
        <f>IF(Q2241="Sin Factura",0,IFERROR(_xlfn.XLOOKUP(1, (Facturas_Odoo!$D:$D=A2241) * (Facturas_Odoo!$K:$K=I2241), Facturas_Odoo!$O:$O, 0), 0))</f>
        <v/>
      </c>
      <c r="W2241" s="81">
        <f>IF(Q2241="Sin Factura",0,IFERROR(_xlfn.XLOOKUP(1, (Facturas_Odoo!$D:$D=A2241) * (Facturas_Odoo!$K:$K=I2241), Facturas_Odoo!$Q:$Q, 0), 0))</f>
        <v/>
      </c>
      <c r="X2241" s="79">
        <f>IF(OR(Q2241="Sin Factura",Q2241=""),"",IFERROR(INDEX(Pagos_Odoo!$B:$B, MATCH(Q2241, Pagos_Odoo!$I:$I, 0)), "Sin Pago"))</f>
        <v/>
      </c>
      <c r="Y2241" s="79">
        <f>IF(X2241="Sin Pago","",IFERROR(INDEX(Pagos_Odoo!$C:$C, MATCH(X2241, Pagos_Odoo!$B:$B, 0)), ""))</f>
        <v/>
      </c>
      <c r="Z2241" s="80">
        <f>IF(X2241="Sin Pago","",IFERROR(INDEX(Pagos_Odoo!$A:$A, MATCH(X2241, Pagos_Odoo!$B:$B, 0)), ""))</f>
        <v/>
      </c>
      <c r="AA2241" s="79">
        <f>IF(X2241="Sin Pago","",IFERROR(INDEX(Pagos_Odoo!$F:$F, MATCH(X2241, Pagos_Odoo!$B:$B, 0)), ""))</f>
        <v/>
      </c>
      <c r="AB2241" s="81">
        <f>IF(X2241="Sin Pago",0,IFERROR(INDEX(Pagos_Odoo!$E:$E, MATCH(X2241, Pagos_Odoo!$B:$B, 0)), 0))</f>
        <v/>
      </c>
      <c r="AC2241" s="79">
        <f>IF(X2241="Sin Pago","",IFERROR(INDEX(Pagos_Odoo!$G:$G, MATCH(X2241, Pagos_Odoo!$B:$B, 0)), ""))</f>
        <v/>
      </c>
      <c r="AD2241" s="82" t="n">
        <v>0</v>
      </c>
      <c r="AE2241" s="82" t="n"/>
      <c r="AF2241" s="82" t="n"/>
      <c r="AG2241" s="82">
        <f>IF(AN2241="","",AD2241+AE2241+AF2241)</f>
        <v/>
      </c>
      <c r="AH2241" s="81">
        <f>IF(AN2241="","",P2241*(1-AG2241))</f>
        <v/>
      </c>
      <c r="AI2241" s="81">
        <f>IF(AN2241="","",IF(Q2241="Sin Factura",0,IFERROR(INDEX(Facturas_Odoo!$H:$H, MATCH(Q2241, Facturas_Odoo!$B:$B, 0)), 0)*(1-AG2241)))</f>
        <v/>
      </c>
      <c r="AJ2241" s="81">
        <f>IF(AN2241="","",_xlfn.LET(idVenta, AN2241&amp;"",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41" s="81">
        <f>IF(AN2241="","",AH2241-AJ2241)</f>
        <v/>
      </c>
      <c r="AL2241" s="81">
        <f>IF(AN2241="","",IF(Q2241="Sin Factura","",AI2241-AJ2241))</f>
        <v/>
      </c>
      <c r="AM2241" s="81">
        <f>IF(AN2241="","",IF(Q2241="Sin Factura",0,P2241-IFERROR(INDEX(Facturas_Odoo!$H:$H, MATCH(Q2241, Facturas_Odoo!$B:$B, 0)), 0)))</f>
        <v/>
      </c>
      <c r="AN2241" s="79">
        <f>IF(AND(A2241="", J2241=""), "", IF(A2241&lt;&gt;"", VALUE(MID(A2241,2,LEN(A2241))), AN2240))</f>
        <v/>
      </c>
      <c r="AO2241" s="79">
        <f>IF(AN2241="","",IF(AD2241=0,"OK",_xlfn.LET(monedaPago, IF(AA2241="","USD",AA2241), limitePermitido, IFERROR(VLOOKUP(monedaPago, Configuración!$A$2:$B$3, 2, FALSE), 0.15), IF(AD2241&gt;limitePermitido, "ALERTA: EXCESO (" &amp; TEXT(limitePermitido, "0%") &amp; " máx)", "OK"))))</f>
        <v/>
      </c>
      <c r="AP2241" s="79">
        <f>IF(AN2241="","",IF(AE2241=0,"OK",_xlfn.LET(fechaPago, Z2241, fechaFactura, R2241, diasCredito, IF(E2241="Pago inmediato", 0, IFERROR(VALUE(MID(E2241, 1, SEARCH(" ", E2241)-1)),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41" s="79">
        <f>IF(AN2241="","",IF(AND(N2241&gt;0, AG2241&gt;0), IF(Configuración!$K$2="NO", "ALERTA: DESCUENTO DOBLE NO PERMITIDO", "OK"), "OK"))</f>
        <v/>
      </c>
      <c r="AR2241" s="79">
        <f>IF(AN2241="","",IF(OR(AO2241&lt;&gt;"OK", AP2241&lt;&gt;"OK", AQ2241&lt;&gt;"OK"), "⚠️ REVISAR", "OK"))</f>
        <v/>
      </c>
    </row>
    <row r="2242">
      <c r="A2242" s="79">
        <f>IF('Ordenes_Odoo'!A2242="","",'Ordenes_Odoo'!A2242)</f>
        <v/>
      </c>
      <c r="B2242" s="80">
        <f>IF('Ordenes_Odoo'!B2242="","",'Ordenes_Odoo'!B2242)</f>
        <v/>
      </c>
      <c r="C2242" s="79">
        <f>IF('Ordenes_Odoo'!C2242="","",'Ordenes_Odoo'!C2242)</f>
        <v/>
      </c>
      <c r="D2242" s="79">
        <f>IF('Ordenes_Odoo'!D2242="","",'Ordenes_Odoo'!D2242)</f>
        <v/>
      </c>
      <c r="E2242" s="79">
        <f>IF('Ordenes_Odoo'!E2242="","",'Ordenes_Odoo'!E2242)</f>
        <v/>
      </c>
      <c r="F2242" s="79">
        <f>IF('Ordenes_Odoo'!F2242="","",'Ordenes_Odoo'!F2242)</f>
        <v/>
      </c>
      <c r="G2242" s="79">
        <f>IF('Ordenes_Odoo'!G2242="","",'Ordenes_Odoo'!G2242)</f>
        <v/>
      </c>
      <c r="H2242" s="79">
        <f>IF('Ordenes_Odoo'!H2242="","",'Ordenes_Odoo'!H2242)</f>
        <v/>
      </c>
      <c r="I2242" s="79">
        <f>IF('Ordenes_Odoo'!I2242="","",'Ordenes_Odoo'!I2242)</f>
        <v/>
      </c>
      <c r="J2242" s="79">
        <f>IF('Ordenes_Odoo'!J2242="","",'Ordenes_Odoo'!J2242)</f>
        <v/>
      </c>
      <c r="K2242" s="81">
        <f>IF('Ordenes_Odoo'!K2242="","",'Ordenes_Odoo'!K2242)</f>
        <v/>
      </c>
      <c r="L2242" s="81">
        <f>IF('Ordenes_Odoo'!L2242="","",'Ordenes_Odoo'!L2242)</f>
        <v/>
      </c>
      <c r="M2242" s="79">
        <f>IF('Ordenes_Odoo'!M2242="","",'Ordenes_Odoo'!M2242)</f>
        <v/>
      </c>
      <c r="N2242" s="79">
        <f>IF('Ordenes_Odoo'!N2242="","",'Ordenes_Odoo'!N2242)</f>
        <v/>
      </c>
      <c r="O2242" s="81">
        <f>IF('Ordenes_Odoo'!O2242="","",'Ordenes_Odoo'!O2242)</f>
        <v/>
      </c>
      <c r="P2242" s="81">
        <f>IF('Ordenes_Odoo'!P2242="","",'Ordenes_Odoo'!P2242)</f>
        <v/>
      </c>
      <c r="Q2242" s="79">
        <f>IF(A2242="","",IFERROR(INDEX(Facturas_Odoo!$B:$B, MATCH(A2242, Facturas_Odoo!$D:$D, 0)), "Sin Factura"))</f>
        <v/>
      </c>
      <c r="R2242" s="80">
        <f>IF(Q2242="Sin Factura","",IFERROR(INDEX(Facturas_Odoo!$A:$A, MATCH(Q2242, Facturas_Odoo!$B:$B, 0)), ""))</f>
        <v/>
      </c>
      <c r="S2242" s="79">
        <f>IF(Q2242="Sin Factura","",IFERROR(_xlfn.XLOOKUP(1, (Facturas_Odoo!$D:$D=A2242) * (Facturas_Odoo!$K:$K=I2242), Facturas_Odoo!$L:$L, ""), ""))</f>
        <v/>
      </c>
      <c r="T2242" s="81">
        <f>IF(Q2242="Sin Factura",0,IFERROR(_xlfn.XLOOKUP(1, (Facturas_Odoo!$D:$D=A2242) * (Facturas_Odoo!$K:$K=I2242), Facturas_Odoo!$M:$M, 0), 0))</f>
        <v/>
      </c>
      <c r="U2242" s="79">
        <f>IF(Q2242="Sin Factura",0,IFERROR(_xlfn.XLOOKUP(1, (Facturas_Odoo!$D:$D=A2242) * (Facturas_Odoo!$K:$K=I2242), Facturas_Odoo!$N:$N, 0), 0))</f>
        <v/>
      </c>
      <c r="V2242" s="79">
        <f>IF(Q2242="Sin Factura",0,IFERROR(_xlfn.XLOOKUP(1, (Facturas_Odoo!$D:$D=A2242) * (Facturas_Odoo!$K:$K=I2242), Facturas_Odoo!$O:$O, 0), 0))</f>
        <v/>
      </c>
      <c r="W2242" s="81">
        <f>IF(Q2242="Sin Factura",0,IFERROR(_xlfn.XLOOKUP(1, (Facturas_Odoo!$D:$D=A2242) * (Facturas_Odoo!$K:$K=I2242), Facturas_Odoo!$Q:$Q, 0), 0))</f>
        <v/>
      </c>
      <c r="X2242" s="79">
        <f>IF(OR(Q2242="Sin Factura",Q2242=""),"",IFERROR(INDEX(Pagos_Odoo!$B:$B, MATCH(Q2242, Pagos_Odoo!$I:$I, 0)), "Sin Pago"))</f>
        <v/>
      </c>
      <c r="Y2242" s="79">
        <f>IF(X2242="Sin Pago","",IFERROR(INDEX(Pagos_Odoo!$C:$C, MATCH(X2242, Pagos_Odoo!$B:$B, 0)), ""))</f>
        <v/>
      </c>
      <c r="Z2242" s="80">
        <f>IF(X2242="Sin Pago","",IFERROR(INDEX(Pagos_Odoo!$A:$A, MATCH(X2242, Pagos_Odoo!$B:$B, 0)), ""))</f>
        <v/>
      </c>
      <c r="AA2242" s="79">
        <f>IF(X2242="Sin Pago","",IFERROR(INDEX(Pagos_Odoo!$F:$F, MATCH(X2242, Pagos_Odoo!$B:$B, 0)), ""))</f>
        <v/>
      </c>
      <c r="AB2242" s="81">
        <f>IF(X2242="Sin Pago",0,IFERROR(INDEX(Pagos_Odoo!$E:$E, MATCH(X2242, Pagos_Odoo!$B:$B, 0)), 0))</f>
        <v/>
      </c>
      <c r="AC2242" s="79">
        <f>IF(X2242="Sin Pago","",IFERROR(INDEX(Pagos_Odoo!$G:$G, MATCH(X2242, Pagos_Odoo!$B:$B, 0)), ""))</f>
        <v/>
      </c>
      <c r="AD2242" s="82" t="n">
        <v>0</v>
      </c>
      <c r="AE2242" s="82" t="n"/>
      <c r="AF2242" s="82" t="n"/>
      <c r="AG2242" s="82">
        <f>IF(AN2242="","",AD2242+AE2242+AF2242)</f>
        <v/>
      </c>
      <c r="AH2242" s="81">
        <f>IF(AN2242="","",P2242*(1-AG2242))</f>
        <v/>
      </c>
      <c r="AI2242" s="81">
        <f>IF(AN2242="","",IF(Q2242="Sin Factura",0,IFERROR(INDEX(Facturas_Odoo!$H:$H, MATCH(Q2242, Facturas_Odoo!$B:$B, 0)), 0)*(1-AG2242)))</f>
        <v/>
      </c>
      <c r="AJ2242" s="81">
        <f>IF(AN2242="","",_xlfn.LET(idVenta, AN2242&amp;"",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42" s="81">
        <f>IF(AN2242="","",AH2242-AJ2242)</f>
        <v/>
      </c>
      <c r="AL2242" s="81">
        <f>IF(AN2242="","",IF(Q2242="Sin Factura","",AI2242-AJ2242))</f>
        <v/>
      </c>
      <c r="AM2242" s="81">
        <f>IF(AN2242="","",IF(Q2242="Sin Factura",0,P2242-IFERROR(INDEX(Facturas_Odoo!$H:$H, MATCH(Q2242, Facturas_Odoo!$B:$B, 0)), 0)))</f>
        <v/>
      </c>
      <c r="AN2242" s="79">
        <f>IF(AND(A2242="", J2242=""), "", IF(A2242&lt;&gt;"", VALUE(MID(A2242,2,LEN(A2242))), AN2241))</f>
        <v/>
      </c>
      <c r="AO2242" s="79">
        <f>IF(AN2242="","",IF(AD2242=0,"OK",_xlfn.LET(monedaPago, IF(AA2242="","USD",AA2242), limitePermitido, IFERROR(VLOOKUP(monedaPago, Configuración!$A$2:$B$3, 2, FALSE), 0.15), IF(AD2242&gt;limitePermitido, "ALERTA: EXCESO (" &amp; TEXT(limitePermitido, "0%") &amp; " máx)", "OK"))))</f>
        <v/>
      </c>
      <c r="AP2242" s="79">
        <f>IF(AN2242="","",IF(AE2242=0,"OK",_xlfn.LET(fechaPago, Z2242, fechaFactura, R2242, diasCredito, IF(E2242="Pago inmediato", 0, IFERROR(VALUE(MID(E2242, 1, SEARCH(" ", E2242)-1)),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42" s="79">
        <f>IF(AN2242="","",IF(AND(N2242&gt;0, AG2242&gt;0), IF(Configuración!$K$2="NO", "ALERTA: DESCUENTO DOBLE NO PERMITIDO", "OK"), "OK"))</f>
        <v/>
      </c>
      <c r="AR2242" s="79">
        <f>IF(AN2242="","",IF(OR(AO2242&lt;&gt;"OK", AP2242&lt;&gt;"OK", AQ2242&lt;&gt;"OK"), "⚠️ REVISAR", "OK"))</f>
        <v/>
      </c>
    </row>
    <row r="2243">
      <c r="A2243" s="79">
        <f>IF('Ordenes_Odoo'!A2243="","",'Ordenes_Odoo'!A2243)</f>
        <v/>
      </c>
      <c r="B2243" s="80">
        <f>IF('Ordenes_Odoo'!B2243="","",'Ordenes_Odoo'!B2243)</f>
        <v/>
      </c>
      <c r="C2243" s="79">
        <f>IF('Ordenes_Odoo'!C2243="","",'Ordenes_Odoo'!C2243)</f>
        <v/>
      </c>
      <c r="D2243" s="79">
        <f>IF('Ordenes_Odoo'!D2243="","",'Ordenes_Odoo'!D2243)</f>
        <v/>
      </c>
      <c r="E2243" s="79">
        <f>IF('Ordenes_Odoo'!E2243="","",'Ordenes_Odoo'!E2243)</f>
        <v/>
      </c>
      <c r="F2243" s="79">
        <f>IF('Ordenes_Odoo'!F2243="","",'Ordenes_Odoo'!F2243)</f>
        <v/>
      </c>
      <c r="G2243" s="79">
        <f>IF('Ordenes_Odoo'!G2243="","",'Ordenes_Odoo'!G2243)</f>
        <v/>
      </c>
      <c r="H2243" s="79">
        <f>IF('Ordenes_Odoo'!H2243="","",'Ordenes_Odoo'!H2243)</f>
        <v/>
      </c>
      <c r="I2243" s="79">
        <f>IF('Ordenes_Odoo'!I2243="","",'Ordenes_Odoo'!I2243)</f>
        <v/>
      </c>
      <c r="J2243" s="79">
        <f>IF('Ordenes_Odoo'!J2243="","",'Ordenes_Odoo'!J2243)</f>
        <v/>
      </c>
      <c r="K2243" s="81">
        <f>IF('Ordenes_Odoo'!K2243="","",'Ordenes_Odoo'!K2243)</f>
        <v/>
      </c>
      <c r="L2243" s="81">
        <f>IF('Ordenes_Odoo'!L2243="","",'Ordenes_Odoo'!L2243)</f>
        <v/>
      </c>
      <c r="M2243" s="79">
        <f>IF('Ordenes_Odoo'!M2243="","",'Ordenes_Odoo'!M2243)</f>
        <v/>
      </c>
      <c r="N2243" s="79">
        <f>IF('Ordenes_Odoo'!N2243="","",'Ordenes_Odoo'!N2243)</f>
        <v/>
      </c>
      <c r="O2243" s="81">
        <f>IF('Ordenes_Odoo'!O2243="","",'Ordenes_Odoo'!O2243)</f>
        <v/>
      </c>
      <c r="P2243" s="81">
        <f>IF('Ordenes_Odoo'!P2243="","",'Ordenes_Odoo'!P2243)</f>
        <v/>
      </c>
      <c r="Q2243" s="79">
        <f>IF(A2243="","",IFERROR(INDEX(Facturas_Odoo!$B:$B, MATCH(A2243, Facturas_Odoo!$D:$D, 0)), "Sin Factura"))</f>
        <v/>
      </c>
      <c r="R2243" s="80">
        <f>IF(Q2243="Sin Factura","",IFERROR(INDEX(Facturas_Odoo!$A:$A, MATCH(Q2243, Facturas_Odoo!$B:$B, 0)), ""))</f>
        <v/>
      </c>
      <c r="S2243" s="79">
        <f>IF(Q2243="Sin Factura","",IFERROR(_xlfn.XLOOKUP(1, (Facturas_Odoo!$D:$D=A2243) * (Facturas_Odoo!$K:$K=I2243), Facturas_Odoo!$L:$L, ""), ""))</f>
        <v/>
      </c>
      <c r="T2243" s="81">
        <f>IF(Q2243="Sin Factura",0,IFERROR(_xlfn.XLOOKUP(1, (Facturas_Odoo!$D:$D=A2243) * (Facturas_Odoo!$K:$K=I2243), Facturas_Odoo!$M:$M, 0), 0))</f>
        <v/>
      </c>
      <c r="U2243" s="79">
        <f>IF(Q2243="Sin Factura",0,IFERROR(_xlfn.XLOOKUP(1, (Facturas_Odoo!$D:$D=A2243) * (Facturas_Odoo!$K:$K=I2243), Facturas_Odoo!$N:$N, 0), 0))</f>
        <v/>
      </c>
      <c r="V2243" s="79">
        <f>IF(Q2243="Sin Factura",0,IFERROR(_xlfn.XLOOKUP(1, (Facturas_Odoo!$D:$D=A2243) * (Facturas_Odoo!$K:$K=I2243), Facturas_Odoo!$O:$O, 0), 0))</f>
        <v/>
      </c>
      <c r="W2243" s="81">
        <f>IF(Q2243="Sin Factura",0,IFERROR(_xlfn.XLOOKUP(1, (Facturas_Odoo!$D:$D=A2243) * (Facturas_Odoo!$K:$K=I2243), Facturas_Odoo!$Q:$Q, 0), 0))</f>
        <v/>
      </c>
      <c r="X2243" s="79">
        <f>IF(OR(Q2243="Sin Factura",Q2243=""),"",IFERROR(INDEX(Pagos_Odoo!$B:$B, MATCH(Q2243, Pagos_Odoo!$I:$I, 0)), "Sin Pago"))</f>
        <v/>
      </c>
      <c r="Y2243" s="79">
        <f>IF(X2243="Sin Pago","",IFERROR(INDEX(Pagos_Odoo!$C:$C, MATCH(X2243, Pagos_Odoo!$B:$B, 0)), ""))</f>
        <v/>
      </c>
      <c r="Z2243" s="80">
        <f>IF(X2243="Sin Pago","",IFERROR(INDEX(Pagos_Odoo!$A:$A, MATCH(X2243, Pagos_Odoo!$B:$B, 0)), ""))</f>
        <v/>
      </c>
      <c r="AA2243" s="79">
        <f>IF(X2243="Sin Pago","",IFERROR(INDEX(Pagos_Odoo!$F:$F, MATCH(X2243, Pagos_Odoo!$B:$B, 0)), ""))</f>
        <v/>
      </c>
      <c r="AB2243" s="81">
        <f>IF(X2243="Sin Pago",0,IFERROR(INDEX(Pagos_Odoo!$E:$E, MATCH(X2243, Pagos_Odoo!$B:$B, 0)), 0))</f>
        <v/>
      </c>
      <c r="AC2243" s="79">
        <f>IF(X2243="Sin Pago","",IFERROR(INDEX(Pagos_Odoo!$G:$G, MATCH(X2243, Pagos_Odoo!$B:$B, 0)), ""))</f>
        <v/>
      </c>
      <c r="AD2243" s="82" t="n">
        <v>0</v>
      </c>
      <c r="AE2243" s="82" t="n"/>
      <c r="AF2243" s="82" t="n"/>
      <c r="AG2243" s="82">
        <f>IF(AN2243="","",AD2243+AE2243+AF2243)</f>
        <v/>
      </c>
      <c r="AH2243" s="81">
        <f>IF(AN2243="","",P2243*(1-AG2243))</f>
        <v/>
      </c>
      <c r="AI2243" s="81">
        <f>IF(AN2243="","",IF(Q2243="Sin Factura",0,IFERROR(INDEX(Facturas_Odoo!$H:$H, MATCH(Q2243, Facturas_Odoo!$B:$B, 0)), 0)*(1-AG2243)))</f>
        <v/>
      </c>
      <c r="AJ2243" s="81">
        <f>IF(AN2243="","",_xlfn.LET(idVenta, AN2243&amp;"",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43" s="81">
        <f>IF(AN2243="","",AH2243-AJ2243)</f>
        <v/>
      </c>
      <c r="AL2243" s="81">
        <f>IF(AN2243="","",IF(Q2243="Sin Factura","",AI2243-AJ2243))</f>
        <v/>
      </c>
      <c r="AM2243" s="81">
        <f>IF(AN2243="","",IF(Q2243="Sin Factura",0,P2243-IFERROR(INDEX(Facturas_Odoo!$H:$H, MATCH(Q2243, Facturas_Odoo!$B:$B, 0)), 0)))</f>
        <v/>
      </c>
      <c r="AN2243" s="79">
        <f>IF(AND(A2243="", J2243=""), "", IF(A2243&lt;&gt;"", VALUE(MID(A2243,2,LEN(A2243))), AN2242))</f>
        <v/>
      </c>
      <c r="AO2243" s="79">
        <f>IF(AN2243="","",IF(AD2243=0,"OK",_xlfn.LET(monedaPago, IF(AA2243="","USD",AA2243), limitePermitido, IFERROR(VLOOKUP(monedaPago, Configuración!$A$2:$B$3, 2, FALSE), 0.15), IF(AD2243&gt;limitePermitido, "ALERTA: EXCESO (" &amp; TEXT(limitePermitido, "0%") &amp; " máx)", "OK"))))</f>
        <v/>
      </c>
      <c r="AP2243" s="79">
        <f>IF(AN2243="","",IF(AE2243=0,"OK",_xlfn.LET(fechaPago, Z2243, fechaFactura, R2243, diasCredito, IF(E2243="Pago inmediato", 0, IFERROR(VALUE(MID(E2243, 1, SEARCH(" ", E2243)-1)),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43" s="79">
        <f>IF(AN2243="","",IF(AND(N2243&gt;0, AG2243&gt;0), IF(Configuración!$K$2="NO", "ALERTA: DESCUENTO DOBLE NO PERMITIDO", "OK"), "OK"))</f>
        <v/>
      </c>
      <c r="AR2243" s="79">
        <f>IF(AN2243="","",IF(OR(AO2243&lt;&gt;"OK", AP2243&lt;&gt;"OK", AQ2243&lt;&gt;"OK"), "⚠️ REVISAR", "OK"))</f>
        <v/>
      </c>
    </row>
    <row r="2244">
      <c r="A2244" s="79">
        <f>IF('Ordenes_Odoo'!A2244="","",'Ordenes_Odoo'!A2244)</f>
        <v/>
      </c>
      <c r="B2244" s="80">
        <f>IF('Ordenes_Odoo'!B2244="","",'Ordenes_Odoo'!B2244)</f>
        <v/>
      </c>
      <c r="C2244" s="79">
        <f>IF('Ordenes_Odoo'!C2244="","",'Ordenes_Odoo'!C2244)</f>
        <v/>
      </c>
      <c r="D2244" s="79">
        <f>IF('Ordenes_Odoo'!D2244="","",'Ordenes_Odoo'!D2244)</f>
        <v/>
      </c>
      <c r="E2244" s="79">
        <f>IF('Ordenes_Odoo'!E2244="","",'Ordenes_Odoo'!E2244)</f>
        <v/>
      </c>
      <c r="F2244" s="79">
        <f>IF('Ordenes_Odoo'!F2244="","",'Ordenes_Odoo'!F2244)</f>
        <v/>
      </c>
      <c r="G2244" s="79">
        <f>IF('Ordenes_Odoo'!G2244="","",'Ordenes_Odoo'!G2244)</f>
        <v/>
      </c>
      <c r="H2244" s="79">
        <f>IF('Ordenes_Odoo'!H2244="","",'Ordenes_Odoo'!H2244)</f>
        <v/>
      </c>
      <c r="I2244" s="79">
        <f>IF('Ordenes_Odoo'!I2244="","",'Ordenes_Odoo'!I2244)</f>
        <v/>
      </c>
      <c r="J2244" s="79">
        <f>IF('Ordenes_Odoo'!J2244="","",'Ordenes_Odoo'!J2244)</f>
        <v/>
      </c>
      <c r="K2244" s="81">
        <f>IF('Ordenes_Odoo'!K2244="","",'Ordenes_Odoo'!K2244)</f>
        <v/>
      </c>
      <c r="L2244" s="81">
        <f>IF('Ordenes_Odoo'!L2244="","",'Ordenes_Odoo'!L2244)</f>
        <v/>
      </c>
      <c r="M2244" s="79">
        <f>IF('Ordenes_Odoo'!M2244="","",'Ordenes_Odoo'!M2244)</f>
        <v/>
      </c>
      <c r="N2244" s="79">
        <f>IF('Ordenes_Odoo'!N2244="","",'Ordenes_Odoo'!N2244)</f>
        <v/>
      </c>
      <c r="O2244" s="81">
        <f>IF('Ordenes_Odoo'!O2244="","",'Ordenes_Odoo'!O2244)</f>
        <v/>
      </c>
      <c r="P2244" s="81">
        <f>IF('Ordenes_Odoo'!P2244="","",'Ordenes_Odoo'!P2244)</f>
        <v/>
      </c>
      <c r="Q2244" s="79">
        <f>IF(A2244="","",IFERROR(INDEX(Facturas_Odoo!$B:$B, MATCH(A2244, Facturas_Odoo!$D:$D, 0)), "Sin Factura"))</f>
        <v/>
      </c>
      <c r="R2244" s="80">
        <f>IF(Q2244="Sin Factura","",IFERROR(INDEX(Facturas_Odoo!$A:$A, MATCH(Q2244, Facturas_Odoo!$B:$B, 0)), ""))</f>
        <v/>
      </c>
      <c r="S2244" s="79">
        <f>IF(Q2244="Sin Factura","",IFERROR(_xlfn.XLOOKUP(1, (Facturas_Odoo!$D:$D=A2244) * (Facturas_Odoo!$K:$K=I2244), Facturas_Odoo!$L:$L, ""), ""))</f>
        <v/>
      </c>
      <c r="T2244" s="81">
        <f>IF(Q2244="Sin Factura",0,IFERROR(_xlfn.XLOOKUP(1, (Facturas_Odoo!$D:$D=A2244) * (Facturas_Odoo!$K:$K=I2244), Facturas_Odoo!$M:$M, 0), 0))</f>
        <v/>
      </c>
      <c r="U2244" s="79">
        <f>IF(Q2244="Sin Factura",0,IFERROR(_xlfn.XLOOKUP(1, (Facturas_Odoo!$D:$D=A2244) * (Facturas_Odoo!$K:$K=I2244), Facturas_Odoo!$N:$N, 0), 0))</f>
        <v/>
      </c>
      <c r="V2244" s="79">
        <f>IF(Q2244="Sin Factura",0,IFERROR(_xlfn.XLOOKUP(1, (Facturas_Odoo!$D:$D=A2244) * (Facturas_Odoo!$K:$K=I2244), Facturas_Odoo!$O:$O, 0), 0))</f>
        <v/>
      </c>
      <c r="W2244" s="81">
        <f>IF(Q2244="Sin Factura",0,IFERROR(_xlfn.XLOOKUP(1, (Facturas_Odoo!$D:$D=A2244) * (Facturas_Odoo!$K:$K=I2244), Facturas_Odoo!$Q:$Q, 0), 0))</f>
        <v/>
      </c>
      <c r="X2244" s="79">
        <f>IF(OR(Q2244="Sin Factura",Q2244=""),"",IFERROR(INDEX(Pagos_Odoo!$B:$B, MATCH(Q2244, Pagos_Odoo!$I:$I, 0)), "Sin Pago"))</f>
        <v/>
      </c>
      <c r="Y2244" s="79">
        <f>IF(X2244="Sin Pago","",IFERROR(INDEX(Pagos_Odoo!$C:$C, MATCH(X2244, Pagos_Odoo!$B:$B, 0)), ""))</f>
        <v/>
      </c>
      <c r="Z2244" s="80">
        <f>IF(X2244="Sin Pago","",IFERROR(INDEX(Pagos_Odoo!$A:$A, MATCH(X2244, Pagos_Odoo!$B:$B, 0)), ""))</f>
        <v/>
      </c>
      <c r="AA2244" s="79">
        <f>IF(X2244="Sin Pago","",IFERROR(INDEX(Pagos_Odoo!$F:$F, MATCH(X2244, Pagos_Odoo!$B:$B, 0)), ""))</f>
        <v/>
      </c>
      <c r="AB2244" s="81">
        <f>IF(X2244="Sin Pago",0,IFERROR(INDEX(Pagos_Odoo!$E:$E, MATCH(X2244, Pagos_Odoo!$B:$B, 0)), 0))</f>
        <v/>
      </c>
      <c r="AC2244" s="79">
        <f>IF(X2244="Sin Pago","",IFERROR(INDEX(Pagos_Odoo!$G:$G, MATCH(X2244, Pagos_Odoo!$B:$B, 0)), ""))</f>
        <v/>
      </c>
      <c r="AD2244" s="82" t="n">
        <v>0</v>
      </c>
      <c r="AE2244" s="82" t="n"/>
      <c r="AF2244" s="82" t="n"/>
      <c r="AG2244" s="82">
        <f>IF(AN2244="","",AD2244+AE2244+AF2244)</f>
        <v/>
      </c>
      <c r="AH2244" s="81">
        <f>IF(AN2244="","",P2244*(1-AG2244))</f>
        <v/>
      </c>
      <c r="AI2244" s="81">
        <f>IF(AN2244="","",IF(Q2244="Sin Factura",0,IFERROR(INDEX(Facturas_Odoo!$H:$H, MATCH(Q2244, Facturas_Odoo!$B:$B, 0)), 0)*(1-AG2244)))</f>
        <v/>
      </c>
      <c r="AJ2244" s="81">
        <f>IF(AN2244="","",_xlfn.LET(idVenta, AN2244&amp;"",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44" s="81">
        <f>IF(AN2244="","",AH2244-AJ2244)</f>
        <v/>
      </c>
      <c r="AL2244" s="81">
        <f>IF(AN2244="","",IF(Q2244="Sin Factura","",AI2244-AJ2244))</f>
        <v/>
      </c>
      <c r="AM2244" s="81">
        <f>IF(AN2244="","",IF(Q2244="Sin Factura",0,P2244-IFERROR(INDEX(Facturas_Odoo!$H:$H, MATCH(Q2244, Facturas_Odoo!$B:$B, 0)), 0)))</f>
        <v/>
      </c>
      <c r="AN2244" s="79">
        <f>IF(AND(A2244="", J2244=""), "", IF(A2244&lt;&gt;"", VALUE(MID(A2244,2,LEN(A2244))), AN2243))</f>
        <v/>
      </c>
      <c r="AO2244" s="79">
        <f>IF(AN2244="","",IF(AD2244=0,"OK",_xlfn.LET(monedaPago, IF(AA2244="","USD",AA2244), limitePermitido, IFERROR(VLOOKUP(monedaPago, Configuración!$A$2:$B$3, 2, FALSE), 0.15), IF(AD2244&gt;limitePermitido, "ALERTA: EXCESO (" &amp; TEXT(limitePermitido, "0%") &amp; " máx)", "OK"))))</f>
        <v/>
      </c>
      <c r="AP2244" s="79">
        <f>IF(AN2244="","",IF(AE2244=0,"OK",_xlfn.LET(fechaPago, Z2244, fechaFactura, R2244, diasCredito, IF(E2244="Pago inmediato", 0, IFERROR(VALUE(MID(E2244, 1, SEARCH(" ", E2244)-1)),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44" s="79">
        <f>IF(AN2244="","",IF(AND(N2244&gt;0, AG2244&gt;0), IF(Configuración!$K$2="NO", "ALERTA: DESCUENTO DOBLE NO PERMITIDO", "OK"), "OK"))</f>
        <v/>
      </c>
      <c r="AR2244" s="79">
        <f>IF(AN2244="","",IF(OR(AO2244&lt;&gt;"OK", AP2244&lt;&gt;"OK", AQ2244&lt;&gt;"OK"), "⚠️ REVISAR", "OK"))</f>
        <v/>
      </c>
    </row>
    <row r="2245">
      <c r="A2245" s="79">
        <f>IF('Ordenes_Odoo'!A2245="","",'Ordenes_Odoo'!A2245)</f>
        <v/>
      </c>
      <c r="B2245" s="80">
        <f>IF('Ordenes_Odoo'!B2245="","",'Ordenes_Odoo'!B2245)</f>
        <v/>
      </c>
      <c r="C2245" s="79">
        <f>IF('Ordenes_Odoo'!C2245="","",'Ordenes_Odoo'!C2245)</f>
        <v/>
      </c>
      <c r="D2245" s="79">
        <f>IF('Ordenes_Odoo'!D2245="","",'Ordenes_Odoo'!D2245)</f>
        <v/>
      </c>
      <c r="E2245" s="79">
        <f>IF('Ordenes_Odoo'!E2245="","",'Ordenes_Odoo'!E2245)</f>
        <v/>
      </c>
      <c r="F2245" s="79">
        <f>IF('Ordenes_Odoo'!F2245="","",'Ordenes_Odoo'!F2245)</f>
        <v/>
      </c>
      <c r="G2245" s="79">
        <f>IF('Ordenes_Odoo'!G2245="","",'Ordenes_Odoo'!G2245)</f>
        <v/>
      </c>
      <c r="H2245" s="79">
        <f>IF('Ordenes_Odoo'!H2245="","",'Ordenes_Odoo'!H2245)</f>
        <v/>
      </c>
      <c r="I2245" s="79">
        <f>IF('Ordenes_Odoo'!I2245="","",'Ordenes_Odoo'!I2245)</f>
        <v/>
      </c>
      <c r="J2245" s="79">
        <f>IF('Ordenes_Odoo'!J2245="","",'Ordenes_Odoo'!J2245)</f>
        <v/>
      </c>
      <c r="K2245" s="81">
        <f>IF('Ordenes_Odoo'!K2245="","",'Ordenes_Odoo'!K2245)</f>
        <v/>
      </c>
      <c r="L2245" s="81">
        <f>IF('Ordenes_Odoo'!L2245="","",'Ordenes_Odoo'!L2245)</f>
        <v/>
      </c>
      <c r="M2245" s="79">
        <f>IF('Ordenes_Odoo'!M2245="","",'Ordenes_Odoo'!M2245)</f>
        <v/>
      </c>
      <c r="N2245" s="79">
        <f>IF('Ordenes_Odoo'!N2245="","",'Ordenes_Odoo'!N2245)</f>
        <v/>
      </c>
      <c r="O2245" s="81">
        <f>IF('Ordenes_Odoo'!O2245="","",'Ordenes_Odoo'!O2245)</f>
        <v/>
      </c>
      <c r="P2245" s="81">
        <f>IF('Ordenes_Odoo'!P2245="","",'Ordenes_Odoo'!P2245)</f>
        <v/>
      </c>
      <c r="Q2245" s="79">
        <f>IF(A2245="","",IFERROR(INDEX(Facturas_Odoo!$B:$B, MATCH(A2245, Facturas_Odoo!$D:$D, 0)), "Sin Factura"))</f>
        <v/>
      </c>
      <c r="R2245" s="80">
        <f>IF(Q2245="Sin Factura","",IFERROR(INDEX(Facturas_Odoo!$A:$A, MATCH(Q2245, Facturas_Odoo!$B:$B, 0)), ""))</f>
        <v/>
      </c>
      <c r="S2245" s="79">
        <f>IF(Q2245="Sin Factura","",IFERROR(_xlfn.XLOOKUP(1, (Facturas_Odoo!$D:$D=A2245) * (Facturas_Odoo!$K:$K=I2245), Facturas_Odoo!$L:$L, ""), ""))</f>
        <v/>
      </c>
      <c r="T2245" s="81">
        <f>IF(Q2245="Sin Factura",0,IFERROR(_xlfn.XLOOKUP(1, (Facturas_Odoo!$D:$D=A2245) * (Facturas_Odoo!$K:$K=I2245), Facturas_Odoo!$M:$M, 0), 0))</f>
        <v/>
      </c>
      <c r="U2245" s="79">
        <f>IF(Q2245="Sin Factura",0,IFERROR(_xlfn.XLOOKUP(1, (Facturas_Odoo!$D:$D=A2245) * (Facturas_Odoo!$K:$K=I2245), Facturas_Odoo!$N:$N, 0), 0))</f>
        <v/>
      </c>
      <c r="V2245" s="79">
        <f>IF(Q2245="Sin Factura",0,IFERROR(_xlfn.XLOOKUP(1, (Facturas_Odoo!$D:$D=A2245) * (Facturas_Odoo!$K:$K=I2245), Facturas_Odoo!$O:$O, 0), 0))</f>
        <v/>
      </c>
      <c r="W2245" s="81">
        <f>IF(Q2245="Sin Factura",0,IFERROR(_xlfn.XLOOKUP(1, (Facturas_Odoo!$D:$D=A2245) * (Facturas_Odoo!$K:$K=I2245), Facturas_Odoo!$Q:$Q, 0), 0))</f>
        <v/>
      </c>
      <c r="X2245" s="79">
        <f>IF(OR(Q2245="Sin Factura",Q2245=""),"",IFERROR(INDEX(Pagos_Odoo!$B:$B, MATCH(Q2245, Pagos_Odoo!$I:$I, 0)), "Sin Pago"))</f>
        <v/>
      </c>
      <c r="Y2245" s="79">
        <f>IF(X2245="Sin Pago","",IFERROR(INDEX(Pagos_Odoo!$C:$C, MATCH(X2245, Pagos_Odoo!$B:$B, 0)), ""))</f>
        <v/>
      </c>
      <c r="Z2245" s="80">
        <f>IF(X2245="Sin Pago","",IFERROR(INDEX(Pagos_Odoo!$A:$A, MATCH(X2245, Pagos_Odoo!$B:$B, 0)), ""))</f>
        <v/>
      </c>
      <c r="AA2245" s="79">
        <f>IF(X2245="Sin Pago","",IFERROR(INDEX(Pagos_Odoo!$F:$F, MATCH(X2245, Pagos_Odoo!$B:$B, 0)), ""))</f>
        <v/>
      </c>
      <c r="AB2245" s="81">
        <f>IF(X2245="Sin Pago",0,IFERROR(INDEX(Pagos_Odoo!$E:$E, MATCH(X2245, Pagos_Odoo!$B:$B, 0)), 0))</f>
        <v/>
      </c>
      <c r="AC2245" s="79">
        <f>IF(X2245="Sin Pago","",IFERROR(INDEX(Pagos_Odoo!$G:$G, MATCH(X2245, Pagos_Odoo!$B:$B, 0)), ""))</f>
        <v/>
      </c>
      <c r="AD2245" s="82" t="n">
        <v>0</v>
      </c>
      <c r="AE2245" s="82" t="n"/>
      <c r="AF2245" s="82" t="n"/>
      <c r="AG2245" s="82">
        <f>IF(AN2245="","",AD2245+AE2245+AF2245)</f>
        <v/>
      </c>
      <c r="AH2245" s="81">
        <f>IF(AN2245="","",P2245*(1-AG2245))</f>
        <v/>
      </c>
      <c r="AI2245" s="81">
        <f>IF(AN2245="","",IF(Q2245="Sin Factura",0,IFERROR(INDEX(Facturas_Odoo!$H:$H, MATCH(Q2245, Facturas_Odoo!$B:$B, 0)), 0)*(1-AG2245)))</f>
        <v/>
      </c>
      <c r="AJ2245" s="81">
        <f>IF(AN2245="","",_xlfn.LET(idVenta, AN2245&amp;"",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45" s="81">
        <f>IF(AN2245="","",AH2245-AJ2245)</f>
        <v/>
      </c>
      <c r="AL2245" s="81">
        <f>IF(AN2245="","",IF(Q2245="Sin Factura","",AI2245-AJ2245))</f>
        <v/>
      </c>
      <c r="AM2245" s="81">
        <f>IF(AN2245="","",IF(Q2245="Sin Factura",0,P2245-IFERROR(INDEX(Facturas_Odoo!$H:$H, MATCH(Q2245, Facturas_Odoo!$B:$B, 0)), 0)))</f>
        <v/>
      </c>
      <c r="AN2245" s="79">
        <f>IF(AND(A2245="", J2245=""), "", IF(A2245&lt;&gt;"", VALUE(MID(A2245,2,LEN(A2245))), AN2244))</f>
        <v/>
      </c>
      <c r="AO2245" s="79">
        <f>IF(AN2245="","",IF(AD2245=0,"OK",_xlfn.LET(monedaPago, IF(AA2245="","USD",AA2245), limitePermitido, IFERROR(VLOOKUP(monedaPago, Configuración!$A$2:$B$3, 2, FALSE), 0.15), IF(AD2245&gt;limitePermitido, "ALERTA: EXCESO (" &amp; TEXT(limitePermitido, "0%") &amp; " máx)", "OK"))))</f>
        <v/>
      </c>
      <c r="AP2245" s="79">
        <f>IF(AN2245="","",IF(AE2245=0,"OK",_xlfn.LET(fechaPago, Z2245, fechaFactura, R2245, diasCredito, IF(E2245="Pago inmediato", 0, IFERROR(VALUE(MID(E2245, 1, SEARCH(" ", E2245)-1)),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45" s="79">
        <f>IF(AN2245="","",IF(AND(N2245&gt;0, AG2245&gt;0), IF(Configuración!$K$2="NO", "ALERTA: DESCUENTO DOBLE NO PERMITIDO", "OK"), "OK"))</f>
        <v/>
      </c>
      <c r="AR2245" s="79">
        <f>IF(AN2245="","",IF(OR(AO2245&lt;&gt;"OK", AP2245&lt;&gt;"OK", AQ2245&lt;&gt;"OK"), "⚠️ REVISAR", "OK"))</f>
        <v/>
      </c>
    </row>
    <row r="2246">
      <c r="A2246" s="79">
        <f>IF('Ordenes_Odoo'!A2246="","",'Ordenes_Odoo'!A2246)</f>
        <v/>
      </c>
      <c r="B2246" s="80">
        <f>IF('Ordenes_Odoo'!B2246="","",'Ordenes_Odoo'!B2246)</f>
        <v/>
      </c>
      <c r="C2246" s="79">
        <f>IF('Ordenes_Odoo'!C2246="","",'Ordenes_Odoo'!C2246)</f>
        <v/>
      </c>
      <c r="D2246" s="79">
        <f>IF('Ordenes_Odoo'!D2246="","",'Ordenes_Odoo'!D2246)</f>
        <v/>
      </c>
      <c r="E2246" s="79">
        <f>IF('Ordenes_Odoo'!E2246="","",'Ordenes_Odoo'!E2246)</f>
        <v/>
      </c>
      <c r="F2246" s="79">
        <f>IF('Ordenes_Odoo'!F2246="","",'Ordenes_Odoo'!F2246)</f>
        <v/>
      </c>
      <c r="G2246" s="79">
        <f>IF('Ordenes_Odoo'!G2246="","",'Ordenes_Odoo'!G2246)</f>
        <v/>
      </c>
      <c r="H2246" s="79">
        <f>IF('Ordenes_Odoo'!H2246="","",'Ordenes_Odoo'!H2246)</f>
        <v/>
      </c>
      <c r="I2246" s="79">
        <f>IF('Ordenes_Odoo'!I2246="","",'Ordenes_Odoo'!I2246)</f>
        <v/>
      </c>
      <c r="J2246" s="79">
        <f>IF('Ordenes_Odoo'!J2246="","",'Ordenes_Odoo'!J2246)</f>
        <v/>
      </c>
      <c r="K2246" s="81">
        <f>IF('Ordenes_Odoo'!K2246="","",'Ordenes_Odoo'!K2246)</f>
        <v/>
      </c>
      <c r="L2246" s="81">
        <f>IF('Ordenes_Odoo'!L2246="","",'Ordenes_Odoo'!L2246)</f>
        <v/>
      </c>
      <c r="M2246" s="79">
        <f>IF('Ordenes_Odoo'!M2246="","",'Ordenes_Odoo'!M2246)</f>
        <v/>
      </c>
      <c r="N2246" s="79">
        <f>IF('Ordenes_Odoo'!N2246="","",'Ordenes_Odoo'!N2246)</f>
        <v/>
      </c>
      <c r="O2246" s="81">
        <f>IF('Ordenes_Odoo'!O2246="","",'Ordenes_Odoo'!O2246)</f>
        <v/>
      </c>
      <c r="P2246" s="81">
        <f>IF('Ordenes_Odoo'!P2246="","",'Ordenes_Odoo'!P2246)</f>
        <v/>
      </c>
      <c r="Q2246" s="79">
        <f>IF(A2246="","",IFERROR(INDEX(Facturas_Odoo!$B:$B, MATCH(A2246, Facturas_Odoo!$D:$D, 0)), "Sin Factura"))</f>
        <v/>
      </c>
      <c r="R2246" s="80">
        <f>IF(Q2246="Sin Factura","",IFERROR(INDEX(Facturas_Odoo!$A:$A, MATCH(Q2246, Facturas_Odoo!$B:$B, 0)), ""))</f>
        <v/>
      </c>
      <c r="S2246" s="79">
        <f>IF(Q2246="Sin Factura","",IFERROR(_xlfn.XLOOKUP(1, (Facturas_Odoo!$D:$D=A2246) * (Facturas_Odoo!$K:$K=I2246), Facturas_Odoo!$L:$L, ""), ""))</f>
        <v/>
      </c>
      <c r="T2246" s="81">
        <f>IF(Q2246="Sin Factura",0,IFERROR(_xlfn.XLOOKUP(1, (Facturas_Odoo!$D:$D=A2246) * (Facturas_Odoo!$K:$K=I2246), Facturas_Odoo!$M:$M, 0), 0))</f>
        <v/>
      </c>
      <c r="U2246" s="79">
        <f>IF(Q2246="Sin Factura",0,IFERROR(_xlfn.XLOOKUP(1, (Facturas_Odoo!$D:$D=A2246) * (Facturas_Odoo!$K:$K=I2246), Facturas_Odoo!$N:$N, 0), 0))</f>
        <v/>
      </c>
      <c r="V2246" s="79">
        <f>IF(Q2246="Sin Factura",0,IFERROR(_xlfn.XLOOKUP(1, (Facturas_Odoo!$D:$D=A2246) * (Facturas_Odoo!$K:$K=I2246), Facturas_Odoo!$O:$O, 0), 0))</f>
        <v/>
      </c>
      <c r="W2246" s="81">
        <f>IF(Q2246="Sin Factura",0,IFERROR(_xlfn.XLOOKUP(1, (Facturas_Odoo!$D:$D=A2246) * (Facturas_Odoo!$K:$K=I2246), Facturas_Odoo!$Q:$Q, 0), 0))</f>
        <v/>
      </c>
      <c r="X2246" s="79">
        <f>IF(OR(Q2246="Sin Factura",Q2246=""),"",IFERROR(INDEX(Pagos_Odoo!$B:$B, MATCH(Q2246, Pagos_Odoo!$I:$I, 0)), "Sin Pago"))</f>
        <v/>
      </c>
      <c r="Y2246" s="79">
        <f>IF(X2246="Sin Pago","",IFERROR(INDEX(Pagos_Odoo!$C:$C, MATCH(X2246, Pagos_Odoo!$B:$B, 0)), ""))</f>
        <v/>
      </c>
      <c r="Z2246" s="80">
        <f>IF(X2246="Sin Pago","",IFERROR(INDEX(Pagos_Odoo!$A:$A, MATCH(X2246, Pagos_Odoo!$B:$B, 0)), ""))</f>
        <v/>
      </c>
      <c r="AA2246" s="79">
        <f>IF(X2246="Sin Pago","",IFERROR(INDEX(Pagos_Odoo!$F:$F, MATCH(X2246, Pagos_Odoo!$B:$B, 0)), ""))</f>
        <v/>
      </c>
      <c r="AB2246" s="81">
        <f>IF(X2246="Sin Pago",0,IFERROR(INDEX(Pagos_Odoo!$E:$E, MATCH(X2246, Pagos_Odoo!$B:$B, 0)), 0))</f>
        <v/>
      </c>
      <c r="AC2246" s="79">
        <f>IF(X2246="Sin Pago","",IFERROR(INDEX(Pagos_Odoo!$G:$G, MATCH(X2246, Pagos_Odoo!$B:$B, 0)), ""))</f>
        <v/>
      </c>
      <c r="AD2246" s="82" t="n">
        <v>0</v>
      </c>
      <c r="AE2246" s="82" t="n"/>
      <c r="AF2246" s="82" t="n"/>
      <c r="AG2246" s="82">
        <f>IF(AN2246="","",AD2246+AE2246+AF2246)</f>
        <v/>
      </c>
      <c r="AH2246" s="81">
        <f>IF(AN2246="","",P2246*(1-AG2246))</f>
        <v/>
      </c>
      <c r="AI2246" s="81">
        <f>IF(AN2246="","",IF(Q2246="Sin Factura",0,IFERROR(INDEX(Facturas_Odoo!$H:$H, MATCH(Q2246, Facturas_Odoo!$B:$B, 0)), 0)*(1-AG2246)))</f>
        <v/>
      </c>
      <c r="AJ2246" s="81">
        <f>IF(AN2246="","",_xlfn.LET(idVenta, AN2246&amp;"",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46" s="81">
        <f>IF(AN2246="","",AH2246-AJ2246)</f>
        <v/>
      </c>
      <c r="AL2246" s="81">
        <f>IF(AN2246="","",IF(Q2246="Sin Factura","",AI2246-AJ2246))</f>
        <v/>
      </c>
      <c r="AM2246" s="81">
        <f>IF(AN2246="","",IF(Q2246="Sin Factura",0,P2246-IFERROR(INDEX(Facturas_Odoo!$H:$H, MATCH(Q2246, Facturas_Odoo!$B:$B, 0)), 0)))</f>
        <v/>
      </c>
      <c r="AN2246" s="79">
        <f>IF(AND(A2246="", J2246=""), "", IF(A2246&lt;&gt;"", VALUE(MID(A2246,2,LEN(A2246))), AN2245))</f>
        <v/>
      </c>
      <c r="AO2246" s="79">
        <f>IF(AN2246="","",IF(AD2246=0,"OK",_xlfn.LET(monedaPago, IF(AA2246="","USD",AA2246), limitePermitido, IFERROR(VLOOKUP(monedaPago, Configuración!$A$2:$B$3, 2, FALSE), 0.15), IF(AD2246&gt;limitePermitido, "ALERTA: EXCESO (" &amp; TEXT(limitePermitido, "0%") &amp; " máx)", "OK"))))</f>
        <v/>
      </c>
      <c r="AP2246" s="79">
        <f>IF(AN2246="","",IF(AE2246=0,"OK",_xlfn.LET(fechaPago, Z2246, fechaFactura, R2246, diasCredito, IF(E2246="Pago inmediato", 0, IFERROR(VALUE(MID(E2246, 1, SEARCH(" ", E2246)-1)),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46" s="79">
        <f>IF(AN2246="","",IF(AND(N2246&gt;0, AG2246&gt;0), IF(Configuración!$K$2="NO", "ALERTA: DESCUENTO DOBLE NO PERMITIDO", "OK"), "OK"))</f>
        <v/>
      </c>
      <c r="AR2246" s="79">
        <f>IF(AN2246="","",IF(OR(AO2246&lt;&gt;"OK", AP2246&lt;&gt;"OK", AQ2246&lt;&gt;"OK"), "⚠️ REVISAR", "OK"))</f>
        <v/>
      </c>
    </row>
    <row r="2247">
      <c r="A2247" s="79">
        <f>IF('Ordenes_Odoo'!A2247="","",'Ordenes_Odoo'!A2247)</f>
        <v/>
      </c>
      <c r="B2247" s="80">
        <f>IF('Ordenes_Odoo'!B2247="","",'Ordenes_Odoo'!B2247)</f>
        <v/>
      </c>
      <c r="C2247" s="79">
        <f>IF('Ordenes_Odoo'!C2247="","",'Ordenes_Odoo'!C2247)</f>
        <v/>
      </c>
      <c r="D2247" s="79">
        <f>IF('Ordenes_Odoo'!D2247="","",'Ordenes_Odoo'!D2247)</f>
        <v/>
      </c>
      <c r="E2247" s="79">
        <f>IF('Ordenes_Odoo'!E2247="","",'Ordenes_Odoo'!E2247)</f>
        <v/>
      </c>
      <c r="F2247" s="79">
        <f>IF('Ordenes_Odoo'!F2247="","",'Ordenes_Odoo'!F2247)</f>
        <v/>
      </c>
      <c r="G2247" s="79">
        <f>IF('Ordenes_Odoo'!G2247="","",'Ordenes_Odoo'!G2247)</f>
        <v/>
      </c>
      <c r="H2247" s="79">
        <f>IF('Ordenes_Odoo'!H2247="","",'Ordenes_Odoo'!H2247)</f>
        <v/>
      </c>
      <c r="I2247" s="79">
        <f>IF('Ordenes_Odoo'!I2247="","",'Ordenes_Odoo'!I2247)</f>
        <v/>
      </c>
      <c r="J2247" s="79">
        <f>IF('Ordenes_Odoo'!J2247="","",'Ordenes_Odoo'!J2247)</f>
        <v/>
      </c>
      <c r="K2247" s="81">
        <f>IF('Ordenes_Odoo'!K2247="","",'Ordenes_Odoo'!K2247)</f>
        <v/>
      </c>
      <c r="L2247" s="81">
        <f>IF('Ordenes_Odoo'!L2247="","",'Ordenes_Odoo'!L2247)</f>
        <v/>
      </c>
      <c r="M2247" s="79">
        <f>IF('Ordenes_Odoo'!M2247="","",'Ordenes_Odoo'!M2247)</f>
        <v/>
      </c>
      <c r="N2247" s="79">
        <f>IF('Ordenes_Odoo'!N2247="","",'Ordenes_Odoo'!N2247)</f>
        <v/>
      </c>
      <c r="O2247" s="81">
        <f>IF('Ordenes_Odoo'!O2247="","",'Ordenes_Odoo'!O2247)</f>
        <v/>
      </c>
      <c r="P2247" s="81">
        <f>IF('Ordenes_Odoo'!P2247="","",'Ordenes_Odoo'!P2247)</f>
        <v/>
      </c>
      <c r="Q2247" s="79">
        <f>IF(A2247="","",IFERROR(INDEX(Facturas_Odoo!$B:$B, MATCH(A2247, Facturas_Odoo!$D:$D, 0)), "Sin Factura"))</f>
        <v/>
      </c>
      <c r="R2247" s="80">
        <f>IF(Q2247="Sin Factura","",IFERROR(INDEX(Facturas_Odoo!$A:$A, MATCH(Q2247, Facturas_Odoo!$B:$B, 0)), ""))</f>
        <v/>
      </c>
      <c r="S2247" s="79">
        <f>IF(Q2247="Sin Factura","",IFERROR(_xlfn.XLOOKUP(1, (Facturas_Odoo!$D:$D=A2247) * (Facturas_Odoo!$K:$K=I2247), Facturas_Odoo!$L:$L, ""), ""))</f>
        <v/>
      </c>
      <c r="T2247" s="81">
        <f>IF(Q2247="Sin Factura",0,IFERROR(_xlfn.XLOOKUP(1, (Facturas_Odoo!$D:$D=A2247) * (Facturas_Odoo!$K:$K=I2247), Facturas_Odoo!$M:$M, 0), 0))</f>
        <v/>
      </c>
      <c r="U2247" s="79">
        <f>IF(Q2247="Sin Factura",0,IFERROR(_xlfn.XLOOKUP(1, (Facturas_Odoo!$D:$D=A2247) * (Facturas_Odoo!$K:$K=I2247), Facturas_Odoo!$N:$N, 0), 0))</f>
        <v/>
      </c>
      <c r="V2247" s="79">
        <f>IF(Q2247="Sin Factura",0,IFERROR(_xlfn.XLOOKUP(1, (Facturas_Odoo!$D:$D=A2247) * (Facturas_Odoo!$K:$K=I2247), Facturas_Odoo!$O:$O, 0), 0))</f>
        <v/>
      </c>
      <c r="W2247" s="81">
        <f>IF(Q2247="Sin Factura",0,IFERROR(_xlfn.XLOOKUP(1, (Facturas_Odoo!$D:$D=A2247) * (Facturas_Odoo!$K:$K=I2247), Facturas_Odoo!$Q:$Q, 0), 0))</f>
        <v/>
      </c>
      <c r="X2247" s="79">
        <f>IF(OR(Q2247="Sin Factura",Q2247=""),"",IFERROR(INDEX(Pagos_Odoo!$B:$B, MATCH(Q2247, Pagos_Odoo!$I:$I, 0)), "Sin Pago"))</f>
        <v/>
      </c>
      <c r="Y2247" s="79">
        <f>IF(X2247="Sin Pago","",IFERROR(INDEX(Pagos_Odoo!$C:$C, MATCH(X2247, Pagos_Odoo!$B:$B, 0)), ""))</f>
        <v/>
      </c>
      <c r="Z2247" s="80">
        <f>IF(X2247="Sin Pago","",IFERROR(INDEX(Pagos_Odoo!$A:$A, MATCH(X2247, Pagos_Odoo!$B:$B, 0)), ""))</f>
        <v/>
      </c>
      <c r="AA2247" s="79">
        <f>IF(X2247="Sin Pago","",IFERROR(INDEX(Pagos_Odoo!$F:$F, MATCH(X2247, Pagos_Odoo!$B:$B, 0)), ""))</f>
        <v/>
      </c>
      <c r="AB2247" s="81">
        <f>IF(X2247="Sin Pago",0,IFERROR(INDEX(Pagos_Odoo!$E:$E, MATCH(X2247, Pagos_Odoo!$B:$B, 0)), 0))</f>
        <v/>
      </c>
      <c r="AC2247" s="79">
        <f>IF(X2247="Sin Pago","",IFERROR(INDEX(Pagos_Odoo!$G:$G, MATCH(X2247, Pagos_Odoo!$B:$B, 0)), ""))</f>
        <v/>
      </c>
      <c r="AD2247" s="82" t="n">
        <v>0</v>
      </c>
      <c r="AE2247" s="82" t="n"/>
      <c r="AF2247" s="82" t="n"/>
      <c r="AG2247" s="82">
        <f>IF(AN2247="","",AD2247+AE2247+AF2247)</f>
        <v/>
      </c>
      <c r="AH2247" s="81">
        <f>IF(AN2247="","",P2247*(1-AG2247))</f>
        <v/>
      </c>
      <c r="AI2247" s="81">
        <f>IF(AN2247="","",IF(Q2247="Sin Factura",0,IFERROR(INDEX(Facturas_Odoo!$H:$H, MATCH(Q2247, Facturas_Odoo!$B:$B, 0)), 0)*(1-AG2247)))</f>
        <v/>
      </c>
      <c r="AJ2247" s="81">
        <f>IF(AN2247="","",_xlfn.LET(idVenta, AN2247&amp;"",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47" s="81">
        <f>IF(AN2247="","",AH2247-AJ2247)</f>
        <v/>
      </c>
      <c r="AL2247" s="81">
        <f>IF(AN2247="","",IF(Q2247="Sin Factura","",AI2247-AJ2247))</f>
        <v/>
      </c>
      <c r="AM2247" s="81">
        <f>IF(AN2247="","",IF(Q2247="Sin Factura",0,P2247-IFERROR(INDEX(Facturas_Odoo!$H:$H, MATCH(Q2247, Facturas_Odoo!$B:$B, 0)), 0)))</f>
        <v/>
      </c>
      <c r="AN2247" s="79">
        <f>IF(AND(A2247="", J2247=""), "", IF(A2247&lt;&gt;"", VALUE(MID(A2247,2,LEN(A2247))), AN2246))</f>
        <v/>
      </c>
      <c r="AO2247" s="79">
        <f>IF(AN2247="","",IF(AD2247=0,"OK",_xlfn.LET(monedaPago, IF(AA2247="","USD",AA2247), limitePermitido, IFERROR(VLOOKUP(monedaPago, Configuración!$A$2:$B$3, 2, FALSE), 0.15), IF(AD2247&gt;limitePermitido, "ALERTA: EXCESO (" &amp; TEXT(limitePermitido, "0%") &amp; " máx)", "OK"))))</f>
        <v/>
      </c>
      <c r="AP2247" s="79">
        <f>IF(AN2247="","",IF(AE2247=0,"OK",_xlfn.LET(fechaPago, Z2247, fechaFactura, R2247, diasCredito, IF(E2247="Pago inmediato", 0, IFERROR(VALUE(MID(E2247, 1, SEARCH(" ", E2247)-1)),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47" s="79">
        <f>IF(AN2247="","",IF(AND(N2247&gt;0, AG2247&gt;0), IF(Configuración!$K$2="NO", "ALERTA: DESCUENTO DOBLE NO PERMITIDO", "OK"), "OK"))</f>
        <v/>
      </c>
      <c r="AR2247" s="79">
        <f>IF(AN2247="","",IF(OR(AO2247&lt;&gt;"OK", AP2247&lt;&gt;"OK", AQ2247&lt;&gt;"OK"), "⚠️ REVISAR", "OK"))</f>
        <v/>
      </c>
    </row>
    <row r="2248">
      <c r="A2248" s="79">
        <f>IF('Ordenes_Odoo'!A2248="","",'Ordenes_Odoo'!A2248)</f>
        <v/>
      </c>
      <c r="B2248" s="80">
        <f>IF('Ordenes_Odoo'!B2248="","",'Ordenes_Odoo'!B2248)</f>
        <v/>
      </c>
      <c r="C2248" s="79">
        <f>IF('Ordenes_Odoo'!C2248="","",'Ordenes_Odoo'!C2248)</f>
        <v/>
      </c>
      <c r="D2248" s="79">
        <f>IF('Ordenes_Odoo'!D2248="","",'Ordenes_Odoo'!D2248)</f>
        <v/>
      </c>
      <c r="E2248" s="79">
        <f>IF('Ordenes_Odoo'!E2248="","",'Ordenes_Odoo'!E2248)</f>
        <v/>
      </c>
      <c r="F2248" s="79">
        <f>IF('Ordenes_Odoo'!F2248="","",'Ordenes_Odoo'!F2248)</f>
        <v/>
      </c>
      <c r="G2248" s="79">
        <f>IF('Ordenes_Odoo'!G2248="","",'Ordenes_Odoo'!G2248)</f>
        <v/>
      </c>
      <c r="H2248" s="79">
        <f>IF('Ordenes_Odoo'!H2248="","",'Ordenes_Odoo'!H2248)</f>
        <v/>
      </c>
      <c r="I2248" s="79">
        <f>IF('Ordenes_Odoo'!I2248="","",'Ordenes_Odoo'!I2248)</f>
        <v/>
      </c>
      <c r="J2248" s="79">
        <f>IF('Ordenes_Odoo'!J2248="","",'Ordenes_Odoo'!J2248)</f>
        <v/>
      </c>
      <c r="K2248" s="81">
        <f>IF('Ordenes_Odoo'!K2248="","",'Ordenes_Odoo'!K2248)</f>
        <v/>
      </c>
      <c r="L2248" s="81">
        <f>IF('Ordenes_Odoo'!L2248="","",'Ordenes_Odoo'!L2248)</f>
        <v/>
      </c>
      <c r="M2248" s="79">
        <f>IF('Ordenes_Odoo'!M2248="","",'Ordenes_Odoo'!M2248)</f>
        <v/>
      </c>
      <c r="N2248" s="79">
        <f>IF('Ordenes_Odoo'!N2248="","",'Ordenes_Odoo'!N2248)</f>
        <v/>
      </c>
      <c r="O2248" s="81">
        <f>IF('Ordenes_Odoo'!O2248="","",'Ordenes_Odoo'!O2248)</f>
        <v/>
      </c>
      <c r="P2248" s="81">
        <f>IF('Ordenes_Odoo'!P2248="","",'Ordenes_Odoo'!P2248)</f>
        <v/>
      </c>
      <c r="Q2248" s="79">
        <f>IF(A2248="","",IFERROR(INDEX(Facturas_Odoo!$B:$B, MATCH(A2248, Facturas_Odoo!$D:$D, 0)), "Sin Factura"))</f>
        <v/>
      </c>
      <c r="R2248" s="80">
        <f>IF(Q2248="Sin Factura","",IFERROR(INDEX(Facturas_Odoo!$A:$A, MATCH(Q2248, Facturas_Odoo!$B:$B, 0)), ""))</f>
        <v/>
      </c>
      <c r="S2248" s="79">
        <f>IF(Q2248="Sin Factura","",IFERROR(_xlfn.XLOOKUP(1, (Facturas_Odoo!$D:$D=A2248) * (Facturas_Odoo!$K:$K=I2248), Facturas_Odoo!$L:$L, ""), ""))</f>
        <v/>
      </c>
      <c r="T2248" s="81">
        <f>IF(Q2248="Sin Factura",0,IFERROR(_xlfn.XLOOKUP(1, (Facturas_Odoo!$D:$D=A2248) * (Facturas_Odoo!$K:$K=I2248), Facturas_Odoo!$M:$M, 0), 0))</f>
        <v/>
      </c>
      <c r="U2248" s="79">
        <f>IF(Q2248="Sin Factura",0,IFERROR(_xlfn.XLOOKUP(1, (Facturas_Odoo!$D:$D=A2248) * (Facturas_Odoo!$K:$K=I2248), Facturas_Odoo!$N:$N, 0), 0))</f>
        <v/>
      </c>
      <c r="V2248" s="79">
        <f>IF(Q2248="Sin Factura",0,IFERROR(_xlfn.XLOOKUP(1, (Facturas_Odoo!$D:$D=A2248) * (Facturas_Odoo!$K:$K=I2248), Facturas_Odoo!$O:$O, 0), 0))</f>
        <v/>
      </c>
      <c r="W2248" s="81">
        <f>IF(Q2248="Sin Factura",0,IFERROR(_xlfn.XLOOKUP(1, (Facturas_Odoo!$D:$D=A2248) * (Facturas_Odoo!$K:$K=I2248), Facturas_Odoo!$Q:$Q, 0), 0))</f>
        <v/>
      </c>
      <c r="X2248" s="79">
        <f>IF(OR(Q2248="Sin Factura",Q2248=""),"",IFERROR(INDEX(Pagos_Odoo!$B:$B, MATCH(Q2248, Pagos_Odoo!$I:$I, 0)), "Sin Pago"))</f>
        <v/>
      </c>
      <c r="Y2248" s="79">
        <f>IF(X2248="Sin Pago","",IFERROR(INDEX(Pagos_Odoo!$C:$C, MATCH(X2248, Pagos_Odoo!$B:$B, 0)), ""))</f>
        <v/>
      </c>
      <c r="Z2248" s="80">
        <f>IF(X2248="Sin Pago","",IFERROR(INDEX(Pagos_Odoo!$A:$A, MATCH(X2248, Pagos_Odoo!$B:$B, 0)), ""))</f>
        <v/>
      </c>
      <c r="AA2248" s="79">
        <f>IF(X2248="Sin Pago","",IFERROR(INDEX(Pagos_Odoo!$F:$F, MATCH(X2248, Pagos_Odoo!$B:$B, 0)), ""))</f>
        <v/>
      </c>
      <c r="AB2248" s="81">
        <f>IF(X2248="Sin Pago",0,IFERROR(INDEX(Pagos_Odoo!$E:$E, MATCH(X2248, Pagos_Odoo!$B:$B, 0)), 0))</f>
        <v/>
      </c>
      <c r="AC2248" s="79">
        <f>IF(X2248="Sin Pago","",IFERROR(INDEX(Pagos_Odoo!$G:$G, MATCH(X2248, Pagos_Odoo!$B:$B, 0)), ""))</f>
        <v/>
      </c>
      <c r="AD2248" s="82" t="n">
        <v>0</v>
      </c>
      <c r="AE2248" s="82" t="n"/>
      <c r="AF2248" s="82" t="n"/>
      <c r="AG2248" s="82">
        <f>IF(AN2248="","",AD2248+AE2248+AF2248)</f>
        <v/>
      </c>
      <c r="AH2248" s="81">
        <f>IF(AN2248="","",P2248*(1-AG2248))</f>
        <v/>
      </c>
      <c r="AI2248" s="81">
        <f>IF(AN2248="","",IF(Q2248="Sin Factura",0,IFERROR(INDEX(Facturas_Odoo!$H:$H, MATCH(Q2248, Facturas_Odoo!$B:$B, 0)), 0)*(1-AG2248)))</f>
        <v/>
      </c>
      <c r="AJ2248" s="81">
        <f>IF(AN2248="","",_xlfn.LET(idVenta, AN2248&amp;"",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48" s="81">
        <f>IF(AN2248="","",AH2248-AJ2248)</f>
        <v/>
      </c>
      <c r="AL2248" s="81">
        <f>IF(AN2248="","",IF(Q2248="Sin Factura","",AI2248-AJ2248))</f>
        <v/>
      </c>
      <c r="AM2248" s="81">
        <f>IF(AN2248="","",IF(Q2248="Sin Factura",0,P2248-IFERROR(INDEX(Facturas_Odoo!$H:$H, MATCH(Q2248, Facturas_Odoo!$B:$B, 0)), 0)))</f>
        <v/>
      </c>
      <c r="AN2248" s="79">
        <f>IF(AND(A2248="", J2248=""), "", IF(A2248&lt;&gt;"", VALUE(MID(A2248,2,LEN(A2248))), AN2247))</f>
        <v/>
      </c>
      <c r="AO2248" s="79">
        <f>IF(AN2248="","",IF(AD2248=0,"OK",_xlfn.LET(monedaPago, IF(AA2248="","USD",AA2248), limitePermitido, IFERROR(VLOOKUP(monedaPago, Configuración!$A$2:$B$3, 2, FALSE), 0.15), IF(AD2248&gt;limitePermitido, "ALERTA: EXCESO (" &amp; TEXT(limitePermitido, "0%") &amp; " máx)", "OK"))))</f>
        <v/>
      </c>
      <c r="AP2248" s="79">
        <f>IF(AN2248="","",IF(AE2248=0,"OK",_xlfn.LET(fechaPago, Z2248, fechaFactura, R2248, diasCredito, IF(E2248="Pago inmediato", 0, IFERROR(VALUE(MID(E2248, 1, SEARCH(" ", E2248)-1)),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48" s="79">
        <f>IF(AN2248="","",IF(AND(N2248&gt;0, AG2248&gt;0), IF(Configuración!$K$2="NO", "ALERTA: DESCUENTO DOBLE NO PERMITIDO", "OK"), "OK"))</f>
        <v/>
      </c>
      <c r="AR2248" s="79">
        <f>IF(AN2248="","",IF(OR(AO2248&lt;&gt;"OK", AP2248&lt;&gt;"OK", AQ2248&lt;&gt;"OK"), "⚠️ REVISAR", "OK"))</f>
        <v/>
      </c>
    </row>
    <row r="2249">
      <c r="A2249" s="79">
        <f>IF('Ordenes_Odoo'!A2249="","",'Ordenes_Odoo'!A2249)</f>
        <v/>
      </c>
      <c r="B2249" s="80">
        <f>IF('Ordenes_Odoo'!B2249="","",'Ordenes_Odoo'!B2249)</f>
        <v/>
      </c>
      <c r="C2249" s="79">
        <f>IF('Ordenes_Odoo'!C2249="","",'Ordenes_Odoo'!C2249)</f>
        <v/>
      </c>
      <c r="D2249" s="79">
        <f>IF('Ordenes_Odoo'!D2249="","",'Ordenes_Odoo'!D2249)</f>
        <v/>
      </c>
      <c r="E2249" s="79">
        <f>IF('Ordenes_Odoo'!E2249="","",'Ordenes_Odoo'!E2249)</f>
        <v/>
      </c>
      <c r="F2249" s="79">
        <f>IF('Ordenes_Odoo'!F2249="","",'Ordenes_Odoo'!F2249)</f>
        <v/>
      </c>
      <c r="G2249" s="79">
        <f>IF('Ordenes_Odoo'!G2249="","",'Ordenes_Odoo'!G2249)</f>
        <v/>
      </c>
      <c r="H2249" s="79">
        <f>IF('Ordenes_Odoo'!H2249="","",'Ordenes_Odoo'!H2249)</f>
        <v/>
      </c>
      <c r="I2249" s="79">
        <f>IF('Ordenes_Odoo'!I2249="","",'Ordenes_Odoo'!I2249)</f>
        <v/>
      </c>
      <c r="J2249" s="79">
        <f>IF('Ordenes_Odoo'!J2249="","",'Ordenes_Odoo'!J2249)</f>
        <v/>
      </c>
      <c r="K2249" s="81">
        <f>IF('Ordenes_Odoo'!K2249="","",'Ordenes_Odoo'!K2249)</f>
        <v/>
      </c>
      <c r="L2249" s="81">
        <f>IF('Ordenes_Odoo'!L2249="","",'Ordenes_Odoo'!L2249)</f>
        <v/>
      </c>
      <c r="M2249" s="79">
        <f>IF('Ordenes_Odoo'!M2249="","",'Ordenes_Odoo'!M2249)</f>
        <v/>
      </c>
      <c r="N2249" s="79">
        <f>IF('Ordenes_Odoo'!N2249="","",'Ordenes_Odoo'!N2249)</f>
        <v/>
      </c>
      <c r="O2249" s="81">
        <f>IF('Ordenes_Odoo'!O2249="","",'Ordenes_Odoo'!O2249)</f>
        <v/>
      </c>
      <c r="P2249" s="81">
        <f>IF('Ordenes_Odoo'!P2249="","",'Ordenes_Odoo'!P2249)</f>
        <v/>
      </c>
      <c r="Q2249" s="79">
        <f>IF(A2249="","",IFERROR(INDEX(Facturas_Odoo!$B:$B, MATCH(A2249, Facturas_Odoo!$D:$D, 0)), "Sin Factura"))</f>
        <v/>
      </c>
      <c r="R2249" s="80">
        <f>IF(Q2249="Sin Factura","",IFERROR(INDEX(Facturas_Odoo!$A:$A, MATCH(Q2249, Facturas_Odoo!$B:$B, 0)), ""))</f>
        <v/>
      </c>
      <c r="S2249" s="79">
        <f>IF(Q2249="Sin Factura","",IFERROR(_xlfn.XLOOKUP(1, (Facturas_Odoo!$D:$D=A2249) * (Facturas_Odoo!$K:$K=I2249), Facturas_Odoo!$L:$L, ""), ""))</f>
        <v/>
      </c>
      <c r="T2249" s="81">
        <f>IF(Q2249="Sin Factura",0,IFERROR(_xlfn.XLOOKUP(1, (Facturas_Odoo!$D:$D=A2249) * (Facturas_Odoo!$K:$K=I2249), Facturas_Odoo!$M:$M, 0), 0))</f>
        <v/>
      </c>
      <c r="U2249" s="79">
        <f>IF(Q2249="Sin Factura",0,IFERROR(_xlfn.XLOOKUP(1, (Facturas_Odoo!$D:$D=A2249) * (Facturas_Odoo!$K:$K=I2249), Facturas_Odoo!$N:$N, 0), 0))</f>
        <v/>
      </c>
      <c r="V2249" s="79">
        <f>IF(Q2249="Sin Factura",0,IFERROR(_xlfn.XLOOKUP(1, (Facturas_Odoo!$D:$D=A2249) * (Facturas_Odoo!$K:$K=I2249), Facturas_Odoo!$O:$O, 0), 0))</f>
        <v/>
      </c>
      <c r="W2249" s="81">
        <f>IF(Q2249="Sin Factura",0,IFERROR(_xlfn.XLOOKUP(1, (Facturas_Odoo!$D:$D=A2249) * (Facturas_Odoo!$K:$K=I2249), Facturas_Odoo!$Q:$Q, 0), 0))</f>
        <v/>
      </c>
      <c r="X2249" s="79">
        <f>IF(OR(Q2249="Sin Factura",Q2249=""),"",IFERROR(INDEX(Pagos_Odoo!$B:$B, MATCH(Q2249, Pagos_Odoo!$I:$I, 0)), "Sin Pago"))</f>
        <v/>
      </c>
      <c r="Y2249" s="79">
        <f>IF(X2249="Sin Pago","",IFERROR(INDEX(Pagos_Odoo!$C:$C, MATCH(X2249, Pagos_Odoo!$B:$B, 0)), ""))</f>
        <v/>
      </c>
      <c r="Z2249" s="80">
        <f>IF(X2249="Sin Pago","",IFERROR(INDEX(Pagos_Odoo!$A:$A, MATCH(X2249, Pagos_Odoo!$B:$B, 0)), ""))</f>
        <v/>
      </c>
      <c r="AA2249" s="79">
        <f>IF(X2249="Sin Pago","",IFERROR(INDEX(Pagos_Odoo!$F:$F, MATCH(X2249, Pagos_Odoo!$B:$B, 0)), ""))</f>
        <v/>
      </c>
      <c r="AB2249" s="81">
        <f>IF(X2249="Sin Pago",0,IFERROR(INDEX(Pagos_Odoo!$E:$E, MATCH(X2249, Pagos_Odoo!$B:$B, 0)), 0))</f>
        <v/>
      </c>
      <c r="AC2249" s="79">
        <f>IF(X2249="Sin Pago","",IFERROR(INDEX(Pagos_Odoo!$G:$G, MATCH(X2249, Pagos_Odoo!$B:$B, 0)), ""))</f>
        <v/>
      </c>
      <c r="AD2249" s="82" t="n">
        <v>0</v>
      </c>
      <c r="AE2249" s="82" t="n"/>
      <c r="AF2249" s="82" t="n"/>
      <c r="AG2249" s="82">
        <f>IF(AN2249="","",AD2249+AE2249+AF2249)</f>
        <v/>
      </c>
      <c r="AH2249" s="81">
        <f>IF(AN2249="","",P2249*(1-AG2249))</f>
        <v/>
      </c>
      <c r="AI2249" s="81">
        <f>IF(AN2249="","",IF(Q2249="Sin Factura",0,IFERROR(INDEX(Facturas_Odoo!$H:$H, MATCH(Q2249, Facturas_Odoo!$B:$B, 0)), 0)*(1-AG2249)))</f>
        <v/>
      </c>
      <c r="AJ2249" s="81">
        <f>IF(AN2249="","",_xlfn.LET(idVenta, AN2249&amp;"",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49" s="81">
        <f>IF(AN2249="","",AH2249-AJ2249)</f>
        <v/>
      </c>
      <c r="AL2249" s="81">
        <f>IF(AN2249="","",IF(Q2249="Sin Factura","",AI2249-AJ2249))</f>
        <v/>
      </c>
      <c r="AM2249" s="81">
        <f>IF(AN2249="","",IF(Q2249="Sin Factura",0,P2249-IFERROR(INDEX(Facturas_Odoo!$H:$H, MATCH(Q2249, Facturas_Odoo!$B:$B, 0)), 0)))</f>
        <v/>
      </c>
      <c r="AN2249" s="79">
        <f>IF(AND(A2249="", J2249=""), "", IF(A2249&lt;&gt;"", VALUE(MID(A2249,2,LEN(A2249))), AN2248))</f>
        <v/>
      </c>
      <c r="AO2249" s="79">
        <f>IF(AN2249="","",IF(AD2249=0,"OK",_xlfn.LET(monedaPago, IF(AA2249="","USD",AA2249), limitePermitido, IFERROR(VLOOKUP(monedaPago, Configuración!$A$2:$B$3, 2, FALSE), 0.15), IF(AD2249&gt;limitePermitido, "ALERTA: EXCESO (" &amp; TEXT(limitePermitido, "0%") &amp; " máx)", "OK"))))</f>
        <v/>
      </c>
      <c r="AP2249" s="79">
        <f>IF(AN2249="","",IF(AE2249=0,"OK",_xlfn.LET(fechaPago, Z2249, fechaFactura, R2249, diasCredito, IF(E2249="Pago inmediato", 0, IFERROR(VALUE(MID(E2249, 1, SEARCH(" ", E2249)-1)),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49" s="79">
        <f>IF(AN2249="","",IF(AND(N2249&gt;0, AG2249&gt;0), IF(Configuración!$K$2="NO", "ALERTA: DESCUENTO DOBLE NO PERMITIDO", "OK"), "OK"))</f>
        <v/>
      </c>
      <c r="AR2249" s="79">
        <f>IF(AN2249="","",IF(OR(AO2249&lt;&gt;"OK", AP2249&lt;&gt;"OK", AQ2249&lt;&gt;"OK"), "⚠️ REVISAR", "OK"))</f>
        <v/>
      </c>
    </row>
    <row r="2250">
      <c r="A2250" s="79">
        <f>IF('Ordenes_Odoo'!A2250="","",'Ordenes_Odoo'!A2250)</f>
        <v/>
      </c>
      <c r="B2250" s="80">
        <f>IF('Ordenes_Odoo'!B2250="","",'Ordenes_Odoo'!B2250)</f>
        <v/>
      </c>
      <c r="C2250" s="79">
        <f>IF('Ordenes_Odoo'!C2250="","",'Ordenes_Odoo'!C2250)</f>
        <v/>
      </c>
      <c r="D2250" s="79">
        <f>IF('Ordenes_Odoo'!D2250="","",'Ordenes_Odoo'!D2250)</f>
        <v/>
      </c>
      <c r="E2250" s="79">
        <f>IF('Ordenes_Odoo'!E2250="","",'Ordenes_Odoo'!E2250)</f>
        <v/>
      </c>
      <c r="F2250" s="79">
        <f>IF('Ordenes_Odoo'!F2250="","",'Ordenes_Odoo'!F2250)</f>
        <v/>
      </c>
      <c r="G2250" s="79">
        <f>IF('Ordenes_Odoo'!G2250="","",'Ordenes_Odoo'!G2250)</f>
        <v/>
      </c>
      <c r="H2250" s="79">
        <f>IF('Ordenes_Odoo'!H2250="","",'Ordenes_Odoo'!H2250)</f>
        <v/>
      </c>
      <c r="I2250" s="79">
        <f>IF('Ordenes_Odoo'!I2250="","",'Ordenes_Odoo'!I2250)</f>
        <v/>
      </c>
      <c r="J2250" s="79">
        <f>IF('Ordenes_Odoo'!J2250="","",'Ordenes_Odoo'!J2250)</f>
        <v/>
      </c>
      <c r="K2250" s="81">
        <f>IF('Ordenes_Odoo'!K2250="","",'Ordenes_Odoo'!K2250)</f>
        <v/>
      </c>
      <c r="L2250" s="81">
        <f>IF('Ordenes_Odoo'!L2250="","",'Ordenes_Odoo'!L2250)</f>
        <v/>
      </c>
      <c r="M2250" s="79">
        <f>IF('Ordenes_Odoo'!M2250="","",'Ordenes_Odoo'!M2250)</f>
        <v/>
      </c>
      <c r="N2250" s="79">
        <f>IF('Ordenes_Odoo'!N2250="","",'Ordenes_Odoo'!N2250)</f>
        <v/>
      </c>
      <c r="O2250" s="81">
        <f>IF('Ordenes_Odoo'!O2250="","",'Ordenes_Odoo'!O2250)</f>
        <v/>
      </c>
      <c r="P2250" s="81">
        <f>IF('Ordenes_Odoo'!P2250="","",'Ordenes_Odoo'!P2250)</f>
        <v/>
      </c>
      <c r="Q2250" s="79">
        <f>IF(A2250="","",IFERROR(INDEX(Facturas_Odoo!$B:$B, MATCH(A2250, Facturas_Odoo!$D:$D, 0)), "Sin Factura"))</f>
        <v/>
      </c>
      <c r="R2250" s="80">
        <f>IF(Q2250="Sin Factura","",IFERROR(INDEX(Facturas_Odoo!$A:$A, MATCH(Q2250, Facturas_Odoo!$B:$B, 0)), ""))</f>
        <v/>
      </c>
      <c r="S2250" s="79">
        <f>IF(Q2250="Sin Factura","",IFERROR(_xlfn.XLOOKUP(1, (Facturas_Odoo!$D:$D=A2250) * (Facturas_Odoo!$K:$K=I2250), Facturas_Odoo!$L:$L, ""), ""))</f>
        <v/>
      </c>
      <c r="T2250" s="81">
        <f>IF(Q2250="Sin Factura",0,IFERROR(_xlfn.XLOOKUP(1, (Facturas_Odoo!$D:$D=A2250) * (Facturas_Odoo!$K:$K=I2250), Facturas_Odoo!$M:$M, 0), 0))</f>
        <v/>
      </c>
      <c r="U2250" s="79">
        <f>IF(Q2250="Sin Factura",0,IFERROR(_xlfn.XLOOKUP(1, (Facturas_Odoo!$D:$D=A2250) * (Facturas_Odoo!$K:$K=I2250), Facturas_Odoo!$N:$N, 0), 0))</f>
        <v/>
      </c>
      <c r="V2250" s="79">
        <f>IF(Q2250="Sin Factura",0,IFERROR(_xlfn.XLOOKUP(1, (Facturas_Odoo!$D:$D=A2250) * (Facturas_Odoo!$K:$K=I2250), Facturas_Odoo!$O:$O, 0), 0))</f>
        <v/>
      </c>
      <c r="W2250" s="81">
        <f>IF(Q2250="Sin Factura",0,IFERROR(_xlfn.XLOOKUP(1, (Facturas_Odoo!$D:$D=A2250) * (Facturas_Odoo!$K:$K=I2250), Facturas_Odoo!$Q:$Q, 0), 0))</f>
        <v/>
      </c>
      <c r="X2250" s="79">
        <f>IF(OR(Q2250="Sin Factura",Q2250=""),"",IFERROR(INDEX(Pagos_Odoo!$B:$B, MATCH(Q2250, Pagos_Odoo!$I:$I, 0)), "Sin Pago"))</f>
        <v/>
      </c>
      <c r="Y2250" s="79">
        <f>IF(X2250="Sin Pago","",IFERROR(INDEX(Pagos_Odoo!$C:$C, MATCH(X2250, Pagos_Odoo!$B:$B, 0)), ""))</f>
        <v/>
      </c>
      <c r="Z2250" s="80">
        <f>IF(X2250="Sin Pago","",IFERROR(INDEX(Pagos_Odoo!$A:$A, MATCH(X2250, Pagos_Odoo!$B:$B, 0)), ""))</f>
        <v/>
      </c>
      <c r="AA2250" s="79">
        <f>IF(X2250="Sin Pago","",IFERROR(INDEX(Pagos_Odoo!$F:$F, MATCH(X2250, Pagos_Odoo!$B:$B, 0)), ""))</f>
        <v/>
      </c>
      <c r="AB2250" s="81">
        <f>IF(X2250="Sin Pago",0,IFERROR(INDEX(Pagos_Odoo!$E:$E, MATCH(X2250, Pagos_Odoo!$B:$B, 0)), 0))</f>
        <v/>
      </c>
      <c r="AC2250" s="79">
        <f>IF(X2250="Sin Pago","",IFERROR(INDEX(Pagos_Odoo!$G:$G, MATCH(X2250, Pagos_Odoo!$B:$B, 0)), ""))</f>
        <v/>
      </c>
      <c r="AD2250" s="82" t="n">
        <v>0</v>
      </c>
      <c r="AE2250" s="82" t="n"/>
      <c r="AF2250" s="82" t="n"/>
      <c r="AG2250" s="82">
        <f>IF(AN2250="","",AD2250+AE2250+AF2250)</f>
        <v/>
      </c>
      <c r="AH2250" s="81">
        <f>IF(AN2250="","",P2250*(1-AG2250))</f>
        <v/>
      </c>
      <c r="AI2250" s="81">
        <f>IF(AN2250="","",IF(Q2250="Sin Factura",0,IFERROR(INDEX(Facturas_Odoo!$H:$H, MATCH(Q2250, Facturas_Odoo!$B:$B, 0)), 0)*(1-AG2250)))</f>
        <v/>
      </c>
      <c r="AJ2250" s="81">
        <f>IF(AN2250="","",_xlfn.LET(idVenta, AN2250&amp;"",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50" s="81">
        <f>IF(AN2250="","",AH2250-AJ2250)</f>
        <v/>
      </c>
      <c r="AL2250" s="81">
        <f>IF(AN2250="","",IF(Q2250="Sin Factura","",AI2250-AJ2250))</f>
        <v/>
      </c>
      <c r="AM2250" s="81">
        <f>IF(AN2250="","",IF(Q2250="Sin Factura",0,P2250-IFERROR(INDEX(Facturas_Odoo!$H:$H, MATCH(Q2250, Facturas_Odoo!$B:$B, 0)), 0)))</f>
        <v/>
      </c>
      <c r="AN2250" s="79">
        <f>IF(AND(A2250="", J2250=""), "", IF(A2250&lt;&gt;"", VALUE(MID(A2250,2,LEN(A2250))), AN2249))</f>
        <v/>
      </c>
      <c r="AO2250" s="79">
        <f>IF(AN2250="","",IF(AD2250=0,"OK",_xlfn.LET(monedaPago, IF(AA2250="","USD",AA2250), limitePermitido, IFERROR(VLOOKUP(monedaPago, Configuración!$A$2:$B$3, 2, FALSE), 0.15), IF(AD2250&gt;limitePermitido, "ALERTA: EXCESO (" &amp; TEXT(limitePermitido, "0%") &amp; " máx)", "OK"))))</f>
        <v/>
      </c>
      <c r="AP2250" s="79">
        <f>IF(AN2250="","",IF(AE2250=0,"OK",_xlfn.LET(fechaPago, Z2250, fechaFactura, R2250, diasCredito, IF(E2250="Pago inmediato", 0, IFERROR(VALUE(MID(E2250, 1, SEARCH(" ", E2250)-1)),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50" s="79">
        <f>IF(AN2250="","",IF(AND(N2250&gt;0, AG2250&gt;0), IF(Configuración!$K$2="NO", "ALERTA: DESCUENTO DOBLE NO PERMITIDO", "OK"), "OK"))</f>
        <v/>
      </c>
      <c r="AR2250" s="79">
        <f>IF(AN2250="","",IF(OR(AO2250&lt;&gt;"OK", AP2250&lt;&gt;"OK", AQ2250&lt;&gt;"OK"), "⚠️ REVISAR", "OK"))</f>
        <v/>
      </c>
    </row>
    <row r="2251">
      <c r="A2251" s="79">
        <f>IF('Ordenes_Odoo'!A2251="","",'Ordenes_Odoo'!A2251)</f>
        <v/>
      </c>
      <c r="B2251" s="80">
        <f>IF('Ordenes_Odoo'!B2251="","",'Ordenes_Odoo'!B2251)</f>
        <v/>
      </c>
      <c r="C2251" s="79">
        <f>IF('Ordenes_Odoo'!C2251="","",'Ordenes_Odoo'!C2251)</f>
        <v/>
      </c>
      <c r="D2251" s="79">
        <f>IF('Ordenes_Odoo'!D2251="","",'Ordenes_Odoo'!D2251)</f>
        <v/>
      </c>
      <c r="E2251" s="79">
        <f>IF('Ordenes_Odoo'!E2251="","",'Ordenes_Odoo'!E2251)</f>
        <v/>
      </c>
      <c r="F2251" s="79">
        <f>IF('Ordenes_Odoo'!F2251="","",'Ordenes_Odoo'!F2251)</f>
        <v/>
      </c>
      <c r="G2251" s="79">
        <f>IF('Ordenes_Odoo'!G2251="","",'Ordenes_Odoo'!G2251)</f>
        <v/>
      </c>
      <c r="H2251" s="79">
        <f>IF('Ordenes_Odoo'!H2251="","",'Ordenes_Odoo'!H2251)</f>
        <v/>
      </c>
      <c r="I2251" s="79">
        <f>IF('Ordenes_Odoo'!I2251="","",'Ordenes_Odoo'!I2251)</f>
        <v/>
      </c>
      <c r="J2251" s="79">
        <f>IF('Ordenes_Odoo'!J2251="","",'Ordenes_Odoo'!J2251)</f>
        <v/>
      </c>
      <c r="K2251" s="81">
        <f>IF('Ordenes_Odoo'!K2251="","",'Ordenes_Odoo'!K2251)</f>
        <v/>
      </c>
      <c r="L2251" s="81">
        <f>IF('Ordenes_Odoo'!L2251="","",'Ordenes_Odoo'!L2251)</f>
        <v/>
      </c>
      <c r="M2251" s="79">
        <f>IF('Ordenes_Odoo'!M2251="","",'Ordenes_Odoo'!M2251)</f>
        <v/>
      </c>
      <c r="N2251" s="79">
        <f>IF('Ordenes_Odoo'!N2251="","",'Ordenes_Odoo'!N2251)</f>
        <v/>
      </c>
      <c r="O2251" s="81">
        <f>IF('Ordenes_Odoo'!O2251="","",'Ordenes_Odoo'!O2251)</f>
        <v/>
      </c>
      <c r="P2251" s="81">
        <f>IF('Ordenes_Odoo'!P2251="","",'Ordenes_Odoo'!P2251)</f>
        <v/>
      </c>
      <c r="Q2251" s="79">
        <f>IF(A2251="","",IFERROR(INDEX(Facturas_Odoo!$B:$B, MATCH(A2251, Facturas_Odoo!$D:$D, 0)), "Sin Factura"))</f>
        <v/>
      </c>
      <c r="R2251" s="80">
        <f>IF(Q2251="Sin Factura","",IFERROR(INDEX(Facturas_Odoo!$A:$A, MATCH(Q2251, Facturas_Odoo!$B:$B, 0)), ""))</f>
        <v/>
      </c>
      <c r="S2251" s="79">
        <f>IF(Q2251="Sin Factura","",IFERROR(_xlfn.XLOOKUP(1, (Facturas_Odoo!$D:$D=A2251) * (Facturas_Odoo!$K:$K=I2251), Facturas_Odoo!$L:$L, ""), ""))</f>
        <v/>
      </c>
      <c r="T2251" s="81">
        <f>IF(Q2251="Sin Factura",0,IFERROR(_xlfn.XLOOKUP(1, (Facturas_Odoo!$D:$D=A2251) * (Facturas_Odoo!$K:$K=I2251), Facturas_Odoo!$M:$M, 0), 0))</f>
        <v/>
      </c>
      <c r="U2251" s="79">
        <f>IF(Q2251="Sin Factura",0,IFERROR(_xlfn.XLOOKUP(1, (Facturas_Odoo!$D:$D=A2251) * (Facturas_Odoo!$K:$K=I2251), Facturas_Odoo!$N:$N, 0), 0))</f>
        <v/>
      </c>
      <c r="V2251" s="79">
        <f>IF(Q2251="Sin Factura",0,IFERROR(_xlfn.XLOOKUP(1, (Facturas_Odoo!$D:$D=A2251) * (Facturas_Odoo!$K:$K=I2251), Facturas_Odoo!$O:$O, 0), 0))</f>
        <v/>
      </c>
      <c r="W2251" s="81">
        <f>IF(Q2251="Sin Factura",0,IFERROR(_xlfn.XLOOKUP(1, (Facturas_Odoo!$D:$D=A2251) * (Facturas_Odoo!$K:$K=I2251), Facturas_Odoo!$Q:$Q, 0), 0))</f>
        <v/>
      </c>
      <c r="X2251" s="79">
        <f>IF(OR(Q2251="Sin Factura",Q2251=""),"",IFERROR(INDEX(Pagos_Odoo!$B:$B, MATCH(Q2251, Pagos_Odoo!$I:$I, 0)), "Sin Pago"))</f>
        <v/>
      </c>
      <c r="Y2251" s="79">
        <f>IF(X2251="Sin Pago","",IFERROR(INDEX(Pagos_Odoo!$C:$C, MATCH(X2251, Pagos_Odoo!$B:$B, 0)), ""))</f>
        <v/>
      </c>
      <c r="Z2251" s="80">
        <f>IF(X2251="Sin Pago","",IFERROR(INDEX(Pagos_Odoo!$A:$A, MATCH(X2251, Pagos_Odoo!$B:$B, 0)), ""))</f>
        <v/>
      </c>
      <c r="AA2251" s="79">
        <f>IF(X2251="Sin Pago","",IFERROR(INDEX(Pagos_Odoo!$F:$F, MATCH(X2251, Pagos_Odoo!$B:$B, 0)), ""))</f>
        <v/>
      </c>
      <c r="AB2251" s="81">
        <f>IF(X2251="Sin Pago",0,IFERROR(INDEX(Pagos_Odoo!$E:$E, MATCH(X2251, Pagos_Odoo!$B:$B, 0)), 0))</f>
        <v/>
      </c>
      <c r="AC2251" s="79">
        <f>IF(X2251="Sin Pago","",IFERROR(INDEX(Pagos_Odoo!$G:$G, MATCH(X2251, Pagos_Odoo!$B:$B, 0)), ""))</f>
        <v/>
      </c>
      <c r="AD2251" s="82" t="n">
        <v>0</v>
      </c>
      <c r="AE2251" s="82" t="n"/>
      <c r="AF2251" s="82" t="n"/>
      <c r="AG2251" s="82">
        <f>IF(AN2251="","",AD2251+AE2251+AF2251)</f>
        <v/>
      </c>
      <c r="AH2251" s="81">
        <f>IF(AN2251="","",P2251*(1-AG2251))</f>
        <v/>
      </c>
      <c r="AI2251" s="81">
        <f>IF(AN2251="","",IF(Q2251="Sin Factura",0,IFERROR(INDEX(Facturas_Odoo!$H:$H, MATCH(Q2251, Facturas_Odoo!$B:$B, 0)), 0)*(1-AG2251)))</f>
        <v/>
      </c>
      <c r="AJ2251" s="81">
        <f>IF(AN2251="","",_xlfn.LET(idVenta, AN2251&amp;"",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51" s="81">
        <f>IF(AN2251="","",AH2251-AJ2251)</f>
        <v/>
      </c>
      <c r="AL2251" s="81">
        <f>IF(AN2251="","",IF(Q2251="Sin Factura","",AI2251-AJ2251))</f>
        <v/>
      </c>
      <c r="AM2251" s="81">
        <f>IF(AN2251="","",IF(Q2251="Sin Factura",0,P2251-IFERROR(INDEX(Facturas_Odoo!$H:$H, MATCH(Q2251, Facturas_Odoo!$B:$B, 0)), 0)))</f>
        <v/>
      </c>
      <c r="AN2251" s="79">
        <f>IF(AND(A2251="", J2251=""), "", IF(A2251&lt;&gt;"", VALUE(MID(A2251,2,LEN(A2251))), AN2250))</f>
        <v/>
      </c>
      <c r="AO2251" s="79">
        <f>IF(AN2251="","",IF(AD2251=0,"OK",_xlfn.LET(monedaPago, IF(AA2251="","USD",AA2251), limitePermitido, IFERROR(VLOOKUP(monedaPago, Configuración!$A$2:$B$3, 2, FALSE), 0.15), IF(AD2251&gt;limitePermitido, "ALERTA: EXCESO (" &amp; TEXT(limitePermitido, "0%") &amp; " máx)", "OK"))))</f>
        <v/>
      </c>
      <c r="AP2251" s="79">
        <f>IF(AN2251="","",IF(AE2251=0,"OK",_xlfn.LET(fechaPago, Z2251, fechaFactura, R2251, diasCredito, IF(E2251="Pago inmediato", 0, IFERROR(VALUE(MID(E2251, 1, SEARCH(" ", E2251)-1)),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51" s="79">
        <f>IF(AN2251="","",IF(AND(N2251&gt;0, AG2251&gt;0), IF(Configuración!$K$2="NO", "ALERTA: DESCUENTO DOBLE NO PERMITIDO", "OK"), "OK"))</f>
        <v/>
      </c>
      <c r="AR2251" s="79">
        <f>IF(AN2251="","",IF(OR(AO2251&lt;&gt;"OK", AP2251&lt;&gt;"OK", AQ2251&lt;&gt;"OK"), "⚠️ REVISAR", "OK"))</f>
        <v/>
      </c>
    </row>
    <row r="2252">
      <c r="A2252" s="79">
        <f>IF('Ordenes_Odoo'!A2252="","",'Ordenes_Odoo'!A2252)</f>
        <v/>
      </c>
      <c r="B2252" s="80">
        <f>IF('Ordenes_Odoo'!B2252="","",'Ordenes_Odoo'!B2252)</f>
        <v/>
      </c>
      <c r="C2252" s="79">
        <f>IF('Ordenes_Odoo'!C2252="","",'Ordenes_Odoo'!C2252)</f>
        <v/>
      </c>
      <c r="D2252" s="79">
        <f>IF('Ordenes_Odoo'!D2252="","",'Ordenes_Odoo'!D2252)</f>
        <v/>
      </c>
      <c r="E2252" s="79">
        <f>IF('Ordenes_Odoo'!E2252="","",'Ordenes_Odoo'!E2252)</f>
        <v/>
      </c>
      <c r="F2252" s="79">
        <f>IF('Ordenes_Odoo'!F2252="","",'Ordenes_Odoo'!F2252)</f>
        <v/>
      </c>
      <c r="G2252" s="79">
        <f>IF('Ordenes_Odoo'!G2252="","",'Ordenes_Odoo'!G2252)</f>
        <v/>
      </c>
      <c r="H2252" s="79">
        <f>IF('Ordenes_Odoo'!H2252="","",'Ordenes_Odoo'!H2252)</f>
        <v/>
      </c>
      <c r="I2252" s="79">
        <f>IF('Ordenes_Odoo'!I2252="","",'Ordenes_Odoo'!I2252)</f>
        <v/>
      </c>
      <c r="J2252" s="79">
        <f>IF('Ordenes_Odoo'!J2252="","",'Ordenes_Odoo'!J2252)</f>
        <v/>
      </c>
      <c r="K2252" s="81">
        <f>IF('Ordenes_Odoo'!K2252="","",'Ordenes_Odoo'!K2252)</f>
        <v/>
      </c>
      <c r="L2252" s="81">
        <f>IF('Ordenes_Odoo'!L2252="","",'Ordenes_Odoo'!L2252)</f>
        <v/>
      </c>
      <c r="M2252" s="79">
        <f>IF('Ordenes_Odoo'!M2252="","",'Ordenes_Odoo'!M2252)</f>
        <v/>
      </c>
      <c r="N2252" s="79">
        <f>IF('Ordenes_Odoo'!N2252="","",'Ordenes_Odoo'!N2252)</f>
        <v/>
      </c>
      <c r="O2252" s="81">
        <f>IF('Ordenes_Odoo'!O2252="","",'Ordenes_Odoo'!O2252)</f>
        <v/>
      </c>
      <c r="P2252" s="81">
        <f>IF('Ordenes_Odoo'!P2252="","",'Ordenes_Odoo'!P2252)</f>
        <v/>
      </c>
      <c r="Q2252" s="79">
        <f>IF(A2252="","",IFERROR(INDEX(Facturas_Odoo!$B:$B, MATCH(A2252, Facturas_Odoo!$D:$D, 0)), "Sin Factura"))</f>
        <v/>
      </c>
      <c r="R2252" s="80">
        <f>IF(Q2252="Sin Factura","",IFERROR(INDEX(Facturas_Odoo!$A:$A, MATCH(Q2252, Facturas_Odoo!$B:$B, 0)), ""))</f>
        <v/>
      </c>
      <c r="S2252" s="79">
        <f>IF(Q2252="Sin Factura","",IFERROR(_xlfn.XLOOKUP(1, (Facturas_Odoo!$D:$D=A2252) * (Facturas_Odoo!$K:$K=I2252), Facturas_Odoo!$L:$L, ""), ""))</f>
        <v/>
      </c>
      <c r="T2252" s="81">
        <f>IF(Q2252="Sin Factura",0,IFERROR(_xlfn.XLOOKUP(1, (Facturas_Odoo!$D:$D=A2252) * (Facturas_Odoo!$K:$K=I2252), Facturas_Odoo!$M:$M, 0), 0))</f>
        <v/>
      </c>
      <c r="U2252" s="79">
        <f>IF(Q2252="Sin Factura",0,IFERROR(_xlfn.XLOOKUP(1, (Facturas_Odoo!$D:$D=A2252) * (Facturas_Odoo!$K:$K=I2252), Facturas_Odoo!$N:$N, 0), 0))</f>
        <v/>
      </c>
      <c r="V2252" s="79">
        <f>IF(Q2252="Sin Factura",0,IFERROR(_xlfn.XLOOKUP(1, (Facturas_Odoo!$D:$D=A2252) * (Facturas_Odoo!$K:$K=I2252), Facturas_Odoo!$O:$O, 0), 0))</f>
        <v/>
      </c>
      <c r="W2252" s="81">
        <f>IF(Q2252="Sin Factura",0,IFERROR(_xlfn.XLOOKUP(1, (Facturas_Odoo!$D:$D=A2252) * (Facturas_Odoo!$K:$K=I2252), Facturas_Odoo!$Q:$Q, 0), 0))</f>
        <v/>
      </c>
      <c r="X2252" s="79">
        <f>IF(OR(Q2252="Sin Factura",Q2252=""),"",IFERROR(INDEX(Pagos_Odoo!$B:$B, MATCH(Q2252, Pagos_Odoo!$I:$I, 0)), "Sin Pago"))</f>
        <v/>
      </c>
      <c r="Y2252" s="79">
        <f>IF(X2252="Sin Pago","",IFERROR(INDEX(Pagos_Odoo!$C:$C, MATCH(X2252, Pagos_Odoo!$B:$B, 0)), ""))</f>
        <v/>
      </c>
      <c r="Z2252" s="80">
        <f>IF(X2252="Sin Pago","",IFERROR(INDEX(Pagos_Odoo!$A:$A, MATCH(X2252, Pagos_Odoo!$B:$B, 0)), ""))</f>
        <v/>
      </c>
      <c r="AA2252" s="79">
        <f>IF(X2252="Sin Pago","",IFERROR(INDEX(Pagos_Odoo!$F:$F, MATCH(X2252, Pagos_Odoo!$B:$B, 0)), ""))</f>
        <v/>
      </c>
      <c r="AB2252" s="81">
        <f>IF(X2252="Sin Pago",0,IFERROR(INDEX(Pagos_Odoo!$E:$E, MATCH(X2252, Pagos_Odoo!$B:$B, 0)), 0))</f>
        <v/>
      </c>
      <c r="AC2252" s="79">
        <f>IF(X2252="Sin Pago","",IFERROR(INDEX(Pagos_Odoo!$G:$G, MATCH(X2252, Pagos_Odoo!$B:$B, 0)), ""))</f>
        <v/>
      </c>
      <c r="AD2252" s="82" t="n">
        <v>0</v>
      </c>
      <c r="AE2252" s="82" t="n"/>
      <c r="AF2252" s="82" t="n"/>
      <c r="AG2252" s="82">
        <f>IF(AN2252="","",AD2252+AE2252+AF2252)</f>
        <v/>
      </c>
      <c r="AH2252" s="81">
        <f>IF(AN2252="","",P2252*(1-AG2252))</f>
        <v/>
      </c>
      <c r="AI2252" s="81">
        <f>IF(AN2252="","",IF(Q2252="Sin Factura",0,IFERROR(INDEX(Facturas_Odoo!$H:$H, MATCH(Q2252, Facturas_Odoo!$B:$B, 0)), 0)*(1-AG2252)))</f>
        <v/>
      </c>
      <c r="AJ2252" s="81">
        <f>IF(AN2252="","",_xlfn.LET(idVenta, AN2252&amp;"",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52" s="81">
        <f>IF(AN2252="","",AH2252-AJ2252)</f>
        <v/>
      </c>
      <c r="AL2252" s="81">
        <f>IF(AN2252="","",IF(Q2252="Sin Factura","",AI2252-AJ2252))</f>
        <v/>
      </c>
      <c r="AM2252" s="81">
        <f>IF(AN2252="","",IF(Q2252="Sin Factura",0,P2252-IFERROR(INDEX(Facturas_Odoo!$H:$H, MATCH(Q2252, Facturas_Odoo!$B:$B, 0)), 0)))</f>
        <v/>
      </c>
      <c r="AN2252" s="79">
        <f>IF(AND(A2252="", J2252=""), "", IF(A2252&lt;&gt;"", VALUE(MID(A2252,2,LEN(A2252))), AN2251))</f>
        <v/>
      </c>
      <c r="AO2252" s="79">
        <f>IF(AN2252="","",IF(AD2252=0,"OK",_xlfn.LET(monedaPago, IF(AA2252="","USD",AA2252), limitePermitido, IFERROR(VLOOKUP(monedaPago, Configuración!$A$2:$B$3, 2, FALSE), 0.15), IF(AD2252&gt;limitePermitido, "ALERTA: EXCESO (" &amp; TEXT(limitePermitido, "0%") &amp; " máx)", "OK"))))</f>
        <v/>
      </c>
      <c r="AP2252" s="79">
        <f>IF(AN2252="","",IF(AE2252=0,"OK",_xlfn.LET(fechaPago, Z2252, fechaFactura, R2252, diasCredito, IF(E2252="Pago inmediato", 0, IFERROR(VALUE(MID(E2252, 1, SEARCH(" ", E2252)-1)),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52" s="79">
        <f>IF(AN2252="","",IF(AND(N2252&gt;0, AG2252&gt;0), IF(Configuración!$K$2="NO", "ALERTA: DESCUENTO DOBLE NO PERMITIDO", "OK"), "OK"))</f>
        <v/>
      </c>
      <c r="AR2252" s="79">
        <f>IF(AN2252="","",IF(OR(AO2252&lt;&gt;"OK", AP2252&lt;&gt;"OK", AQ2252&lt;&gt;"OK"), "⚠️ REVISAR", "OK"))</f>
        <v/>
      </c>
    </row>
    <row r="2253">
      <c r="A2253" s="79">
        <f>IF('Ordenes_Odoo'!A2253="","",'Ordenes_Odoo'!A2253)</f>
        <v/>
      </c>
      <c r="B2253" s="80">
        <f>IF('Ordenes_Odoo'!B2253="","",'Ordenes_Odoo'!B2253)</f>
        <v/>
      </c>
      <c r="C2253" s="79">
        <f>IF('Ordenes_Odoo'!C2253="","",'Ordenes_Odoo'!C2253)</f>
        <v/>
      </c>
      <c r="D2253" s="79">
        <f>IF('Ordenes_Odoo'!D2253="","",'Ordenes_Odoo'!D2253)</f>
        <v/>
      </c>
      <c r="E2253" s="79">
        <f>IF('Ordenes_Odoo'!E2253="","",'Ordenes_Odoo'!E2253)</f>
        <v/>
      </c>
      <c r="F2253" s="79">
        <f>IF('Ordenes_Odoo'!F2253="","",'Ordenes_Odoo'!F2253)</f>
        <v/>
      </c>
      <c r="G2253" s="79">
        <f>IF('Ordenes_Odoo'!G2253="","",'Ordenes_Odoo'!G2253)</f>
        <v/>
      </c>
      <c r="H2253" s="79">
        <f>IF('Ordenes_Odoo'!H2253="","",'Ordenes_Odoo'!H2253)</f>
        <v/>
      </c>
      <c r="I2253" s="79">
        <f>IF('Ordenes_Odoo'!I2253="","",'Ordenes_Odoo'!I2253)</f>
        <v/>
      </c>
      <c r="J2253" s="79">
        <f>IF('Ordenes_Odoo'!J2253="","",'Ordenes_Odoo'!J2253)</f>
        <v/>
      </c>
      <c r="K2253" s="81">
        <f>IF('Ordenes_Odoo'!K2253="","",'Ordenes_Odoo'!K2253)</f>
        <v/>
      </c>
      <c r="L2253" s="81">
        <f>IF('Ordenes_Odoo'!L2253="","",'Ordenes_Odoo'!L2253)</f>
        <v/>
      </c>
      <c r="M2253" s="79">
        <f>IF('Ordenes_Odoo'!M2253="","",'Ordenes_Odoo'!M2253)</f>
        <v/>
      </c>
      <c r="N2253" s="79">
        <f>IF('Ordenes_Odoo'!N2253="","",'Ordenes_Odoo'!N2253)</f>
        <v/>
      </c>
      <c r="O2253" s="81">
        <f>IF('Ordenes_Odoo'!O2253="","",'Ordenes_Odoo'!O2253)</f>
        <v/>
      </c>
      <c r="P2253" s="81">
        <f>IF('Ordenes_Odoo'!P2253="","",'Ordenes_Odoo'!P2253)</f>
        <v/>
      </c>
      <c r="Q2253" s="79">
        <f>IF(A2253="","",IFERROR(INDEX(Facturas_Odoo!$B:$B, MATCH(A2253, Facturas_Odoo!$D:$D, 0)), "Sin Factura"))</f>
        <v/>
      </c>
      <c r="R2253" s="80">
        <f>IF(Q2253="Sin Factura","",IFERROR(INDEX(Facturas_Odoo!$A:$A, MATCH(Q2253, Facturas_Odoo!$B:$B, 0)), ""))</f>
        <v/>
      </c>
      <c r="S2253" s="79">
        <f>IF(Q2253="Sin Factura","",IFERROR(_xlfn.XLOOKUP(1, (Facturas_Odoo!$D:$D=A2253) * (Facturas_Odoo!$K:$K=I2253), Facturas_Odoo!$L:$L, ""), ""))</f>
        <v/>
      </c>
      <c r="T2253" s="81">
        <f>IF(Q2253="Sin Factura",0,IFERROR(_xlfn.XLOOKUP(1, (Facturas_Odoo!$D:$D=A2253) * (Facturas_Odoo!$K:$K=I2253), Facturas_Odoo!$M:$M, 0), 0))</f>
        <v/>
      </c>
      <c r="U2253" s="79">
        <f>IF(Q2253="Sin Factura",0,IFERROR(_xlfn.XLOOKUP(1, (Facturas_Odoo!$D:$D=A2253) * (Facturas_Odoo!$K:$K=I2253), Facturas_Odoo!$N:$N, 0), 0))</f>
        <v/>
      </c>
      <c r="V2253" s="79">
        <f>IF(Q2253="Sin Factura",0,IFERROR(_xlfn.XLOOKUP(1, (Facturas_Odoo!$D:$D=A2253) * (Facturas_Odoo!$K:$K=I2253), Facturas_Odoo!$O:$O, 0), 0))</f>
        <v/>
      </c>
      <c r="W2253" s="81">
        <f>IF(Q2253="Sin Factura",0,IFERROR(_xlfn.XLOOKUP(1, (Facturas_Odoo!$D:$D=A2253) * (Facturas_Odoo!$K:$K=I2253), Facturas_Odoo!$Q:$Q, 0), 0))</f>
        <v/>
      </c>
      <c r="X2253" s="79">
        <f>IF(OR(Q2253="Sin Factura",Q2253=""),"",IFERROR(INDEX(Pagos_Odoo!$B:$B, MATCH(Q2253, Pagos_Odoo!$I:$I, 0)), "Sin Pago"))</f>
        <v/>
      </c>
      <c r="Y2253" s="79">
        <f>IF(X2253="Sin Pago","",IFERROR(INDEX(Pagos_Odoo!$C:$C, MATCH(X2253, Pagos_Odoo!$B:$B, 0)), ""))</f>
        <v/>
      </c>
      <c r="Z2253" s="80">
        <f>IF(X2253="Sin Pago","",IFERROR(INDEX(Pagos_Odoo!$A:$A, MATCH(X2253, Pagos_Odoo!$B:$B, 0)), ""))</f>
        <v/>
      </c>
      <c r="AA2253" s="79">
        <f>IF(X2253="Sin Pago","",IFERROR(INDEX(Pagos_Odoo!$F:$F, MATCH(X2253, Pagos_Odoo!$B:$B, 0)), ""))</f>
        <v/>
      </c>
      <c r="AB2253" s="81">
        <f>IF(X2253="Sin Pago",0,IFERROR(INDEX(Pagos_Odoo!$E:$E, MATCH(X2253, Pagos_Odoo!$B:$B, 0)), 0))</f>
        <v/>
      </c>
      <c r="AC2253" s="79">
        <f>IF(X2253="Sin Pago","",IFERROR(INDEX(Pagos_Odoo!$G:$G, MATCH(X2253, Pagos_Odoo!$B:$B, 0)), ""))</f>
        <v/>
      </c>
      <c r="AD2253" s="82" t="n">
        <v>0</v>
      </c>
      <c r="AE2253" s="82" t="n"/>
      <c r="AF2253" s="82" t="n"/>
      <c r="AG2253" s="82">
        <f>IF(AN2253="","",AD2253+AE2253+AF2253)</f>
        <v/>
      </c>
      <c r="AH2253" s="81">
        <f>IF(AN2253="","",P2253*(1-AG2253))</f>
        <v/>
      </c>
      <c r="AI2253" s="81">
        <f>IF(AN2253="","",IF(Q2253="Sin Factura",0,IFERROR(INDEX(Facturas_Odoo!$H:$H, MATCH(Q2253, Facturas_Odoo!$B:$B, 0)), 0)*(1-AG2253)))</f>
        <v/>
      </c>
      <c r="AJ2253" s="81">
        <f>IF(AN2253="","",_xlfn.LET(idVenta, AN2253&amp;"",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53" s="81">
        <f>IF(AN2253="","",AH2253-AJ2253)</f>
        <v/>
      </c>
      <c r="AL2253" s="81">
        <f>IF(AN2253="","",IF(Q2253="Sin Factura","",AI2253-AJ2253))</f>
        <v/>
      </c>
      <c r="AM2253" s="81">
        <f>IF(AN2253="","",IF(Q2253="Sin Factura",0,P2253-IFERROR(INDEX(Facturas_Odoo!$H:$H, MATCH(Q2253, Facturas_Odoo!$B:$B, 0)), 0)))</f>
        <v/>
      </c>
      <c r="AN2253" s="79">
        <f>IF(AND(A2253="", J2253=""), "", IF(A2253&lt;&gt;"", VALUE(MID(A2253,2,LEN(A2253))), AN2252))</f>
        <v/>
      </c>
      <c r="AO2253" s="79">
        <f>IF(AN2253="","",IF(AD2253=0,"OK",_xlfn.LET(monedaPago, IF(AA2253="","USD",AA2253), limitePermitido, IFERROR(VLOOKUP(monedaPago, Configuración!$A$2:$B$3, 2, FALSE), 0.15), IF(AD2253&gt;limitePermitido, "ALERTA: EXCESO (" &amp; TEXT(limitePermitido, "0%") &amp; " máx)", "OK"))))</f>
        <v/>
      </c>
      <c r="AP2253" s="79">
        <f>IF(AN2253="","",IF(AE2253=0,"OK",_xlfn.LET(fechaPago, Z2253, fechaFactura, R2253, diasCredito, IF(E2253="Pago inmediato", 0, IFERROR(VALUE(MID(E2253, 1, SEARCH(" ", E2253)-1)),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53" s="79">
        <f>IF(AN2253="","",IF(AND(N2253&gt;0, AG2253&gt;0), IF(Configuración!$K$2="NO", "ALERTA: DESCUENTO DOBLE NO PERMITIDO", "OK"), "OK"))</f>
        <v/>
      </c>
      <c r="AR2253" s="79">
        <f>IF(AN2253="","",IF(OR(AO2253&lt;&gt;"OK", AP2253&lt;&gt;"OK", AQ2253&lt;&gt;"OK"), "⚠️ REVISAR", "OK"))</f>
        <v/>
      </c>
    </row>
    <row r="2254">
      <c r="A2254" s="79">
        <f>IF('Ordenes_Odoo'!A2254="","",'Ordenes_Odoo'!A2254)</f>
        <v/>
      </c>
      <c r="B2254" s="80">
        <f>IF('Ordenes_Odoo'!B2254="","",'Ordenes_Odoo'!B2254)</f>
        <v/>
      </c>
      <c r="C2254" s="79">
        <f>IF('Ordenes_Odoo'!C2254="","",'Ordenes_Odoo'!C2254)</f>
        <v/>
      </c>
      <c r="D2254" s="79">
        <f>IF('Ordenes_Odoo'!D2254="","",'Ordenes_Odoo'!D2254)</f>
        <v/>
      </c>
      <c r="E2254" s="79">
        <f>IF('Ordenes_Odoo'!E2254="","",'Ordenes_Odoo'!E2254)</f>
        <v/>
      </c>
      <c r="F2254" s="79">
        <f>IF('Ordenes_Odoo'!F2254="","",'Ordenes_Odoo'!F2254)</f>
        <v/>
      </c>
      <c r="G2254" s="79">
        <f>IF('Ordenes_Odoo'!G2254="","",'Ordenes_Odoo'!G2254)</f>
        <v/>
      </c>
      <c r="H2254" s="79">
        <f>IF('Ordenes_Odoo'!H2254="","",'Ordenes_Odoo'!H2254)</f>
        <v/>
      </c>
      <c r="I2254" s="79">
        <f>IF('Ordenes_Odoo'!I2254="","",'Ordenes_Odoo'!I2254)</f>
        <v/>
      </c>
      <c r="J2254" s="79">
        <f>IF('Ordenes_Odoo'!J2254="","",'Ordenes_Odoo'!J2254)</f>
        <v/>
      </c>
      <c r="K2254" s="81">
        <f>IF('Ordenes_Odoo'!K2254="","",'Ordenes_Odoo'!K2254)</f>
        <v/>
      </c>
      <c r="L2254" s="81">
        <f>IF('Ordenes_Odoo'!L2254="","",'Ordenes_Odoo'!L2254)</f>
        <v/>
      </c>
      <c r="M2254" s="79">
        <f>IF('Ordenes_Odoo'!M2254="","",'Ordenes_Odoo'!M2254)</f>
        <v/>
      </c>
      <c r="N2254" s="79">
        <f>IF('Ordenes_Odoo'!N2254="","",'Ordenes_Odoo'!N2254)</f>
        <v/>
      </c>
      <c r="O2254" s="81">
        <f>IF('Ordenes_Odoo'!O2254="","",'Ordenes_Odoo'!O2254)</f>
        <v/>
      </c>
      <c r="P2254" s="81">
        <f>IF('Ordenes_Odoo'!P2254="","",'Ordenes_Odoo'!P2254)</f>
        <v/>
      </c>
      <c r="Q2254" s="79">
        <f>IF(A2254="","",IFERROR(INDEX(Facturas_Odoo!$B:$B, MATCH(A2254, Facturas_Odoo!$D:$D, 0)), "Sin Factura"))</f>
        <v/>
      </c>
      <c r="R2254" s="80">
        <f>IF(Q2254="Sin Factura","",IFERROR(INDEX(Facturas_Odoo!$A:$A, MATCH(Q2254, Facturas_Odoo!$B:$B, 0)), ""))</f>
        <v/>
      </c>
      <c r="S2254" s="79">
        <f>IF(Q2254="Sin Factura","",IFERROR(_xlfn.XLOOKUP(1, (Facturas_Odoo!$D:$D=A2254) * (Facturas_Odoo!$K:$K=I2254), Facturas_Odoo!$L:$L, ""), ""))</f>
        <v/>
      </c>
      <c r="T2254" s="81">
        <f>IF(Q2254="Sin Factura",0,IFERROR(_xlfn.XLOOKUP(1, (Facturas_Odoo!$D:$D=A2254) * (Facturas_Odoo!$K:$K=I2254), Facturas_Odoo!$M:$M, 0), 0))</f>
        <v/>
      </c>
      <c r="U2254" s="79">
        <f>IF(Q2254="Sin Factura",0,IFERROR(_xlfn.XLOOKUP(1, (Facturas_Odoo!$D:$D=A2254) * (Facturas_Odoo!$K:$K=I2254), Facturas_Odoo!$N:$N, 0), 0))</f>
        <v/>
      </c>
      <c r="V2254" s="79">
        <f>IF(Q2254="Sin Factura",0,IFERROR(_xlfn.XLOOKUP(1, (Facturas_Odoo!$D:$D=A2254) * (Facturas_Odoo!$K:$K=I2254), Facturas_Odoo!$O:$O, 0), 0))</f>
        <v/>
      </c>
      <c r="W2254" s="81">
        <f>IF(Q2254="Sin Factura",0,IFERROR(_xlfn.XLOOKUP(1, (Facturas_Odoo!$D:$D=A2254) * (Facturas_Odoo!$K:$K=I2254), Facturas_Odoo!$Q:$Q, 0), 0))</f>
        <v/>
      </c>
      <c r="X2254" s="79">
        <f>IF(OR(Q2254="Sin Factura",Q2254=""),"",IFERROR(INDEX(Pagos_Odoo!$B:$B, MATCH(Q2254, Pagos_Odoo!$I:$I, 0)), "Sin Pago"))</f>
        <v/>
      </c>
      <c r="Y2254" s="79">
        <f>IF(X2254="Sin Pago","",IFERROR(INDEX(Pagos_Odoo!$C:$C, MATCH(X2254, Pagos_Odoo!$B:$B, 0)), ""))</f>
        <v/>
      </c>
      <c r="Z2254" s="80">
        <f>IF(X2254="Sin Pago","",IFERROR(INDEX(Pagos_Odoo!$A:$A, MATCH(X2254, Pagos_Odoo!$B:$B, 0)), ""))</f>
        <v/>
      </c>
      <c r="AA2254" s="79">
        <f>IF(X2254="Sin Pago","",IFERROR(INDEX(Pagos_Odoo!$F:$F, MATCH(X2254, Pagos_Odoo!$B:$B, 0)), ""))</f>
        <v/>
      </c>
      <c r="AB2254" s="81">
        <f>IF(X2254="Sin Pago",0,IFERROR(INDEX(Pagos_Odoo!$E:$E, MATCH(X2254, Pagos_Odoo!$B:$B, 0)), 0))</f>
        <v/>
      </c>
      <c r="AC2254" s="79">
        <f>IF(X2254="Sin Pago","",IFERROR(INDEX(Pagos_Odoo!$G:$G, MATCH(X2254, Pagos_Odoo!$B:$B, 0)), ""))</f>
        <v/>
      </c>
      <c r="AD2254" s="82" t="n">
        <v>0</v>
      </c>
      <c r="AE2254" s="82" t="n"/>
      <c r="AF2254" s="82" t="n"/>
      <c r="AG2254" s="82">
        <f>IF(AN2254="","",AD2254+AE2254+AF2254)</f>
        <v/>
      </c>
      <c r="AH2254" s="81">
        <f>IF(AN2254="","",P2254*(1-AG2254))</f>
        <v/>
      </c>
      <c r="AI2254" s="81">
        <f>IF(AN2254="","",IF(Q2254="Sin Factura",0,IFERROR(INDEX(Facturas_Odoo!$H:$H, MATCH(Q2254, Facturas_Odoo!$B:$B, 0)), 0)*(1-AG2254)))</f>
        <v/>
      </c>
      <c r="AJ2254" s="81">
        <f>IF(AN2254="","",_xlfn.LET(idVenta, AN2254&amp;"",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54" s="81">
        <f>IF(AN2254="","",AH2254-AJ2254)</f>
        <v/>
      </c>
      <c r="AL2254" s="81">
        <f>IF(AN2254="","",IF(Q2254="Sin Factura","",AI2254-AJ2254))</f>
        <v/>
      </c>
      <c r="AM2254" s="81">
        <f>IF(AN2254="","",IF(Q2254="Sin Factura",0,P2254-IFERROR(INDEX(Facturas_Odoo!$H:$H, MATCH(Q2254, Facturas_Odoo!$B:$B, 0)), 0)))</f>
        <v/>
      </c>
      <c r="AN2254" s="79">
        <f>IF(AND(A2254="", J2254=""), "", IF(A2254&lt;&gt;"", VALUE(MID(A2254,2,LEN(A2254))), AN2253))</f>
        <v/>
      </c>
      <c r="AO2254" s="79">
        <f>IF(AN2254="","",IF(AD2254=0,"OK",_xlfn.LET(monedaPago, IF(AA2254="","USD",AA2254), limitePermitido, IFERROR(VLOOKUP(monedaPago, Configuración!$A$2:$B$3, 2, FALSE), 0.15), IF(AD2254&gt;limitePermitido, "ALERTA: EXCESO (" &amp; TEXT(limitePermitido, "0%") &amp; " máx)", "OK"))))</f>
        <v/>
      </c>
      <c r="AP2254" s="79">
        <f>IF(AN2254="","",IF(AE2254=0,"OK",_xlfn.LET(fechaPago, Z2254, fechaFactura, R2254, diasCredito, IF(E2254="Pago inmediato", 0, IFERROR(VALUE(MID(E2254, 1, SEARCH(" ", E2254)-1)),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54" s="79">
        <f>IF(AN2254="","",IF(AND(N2254&gt;0, AG2254&gt;0), IF(Configuración!$K$2="NO", "ALERTA: DESCUENTO DOBLE NO PERMITIDO", "OK"), "OK"))</f>
        <v/>
      </c>
      <c r="AR2254" s="79">
        <f>IF(AN2254="","",IF(OR(AO2254&lt;&gt;"OK", AP2254&lt;&gt;"OK", AQ2254&lt;&gt;"OK"), "⚠️ REVISAR", "OK"))</f>
        <v/>
      </c>
    </row>
    <row r="2255">
      <c r="A2255" s="79">
        <f>IF('Ordenes_Odoo'!A2255="","",'Ordenes_Odoo'!A2255)</f>
        <v/>
      </c>
      <c r="B2255" s="80">
        <f>IF('Ordenes_Odoo'!B2255="","",'Ordenes_Odoo'!B2255)</f>
        <v/>
      </c>
      <c r="C2255" s="79">
        <f>IF('Ordenes_Odoo'!C2255="","",'Ordenes_Odoo'!C2255)</f>
        <v/>
      </c>
      <c r="D2255" s="79">
        <f>IF('Ordenes_Odoo'!D2255="","",'Ordenes_Odoo'!D2255)</f>
        <v/>
      </c>
      <c r="E2255" s="79">
        <f>IF('Ordenes_Odoo'!E2255="","",'Ordenes_Odoo'!E2255)</f>
        <v/>
      </c>
      <c r="F2255" s="79">
        <f>IF('Ordenes_Odoo'!F2255="","",'Ordenes_Odoo'!F2255)</f>
        <v/>
      </c>
      <c r="G2255" s="79">
        <f>IF('Ordenes_Odoo'!G2255="","",'Ordenes_Odoo'!G2255)</f>
        <v/>
      </c>
      <c r="H2255" s="79">
        <f>IF('Ordenes_Odoo'!H2255="","",'Ordenes_Odoo'!H2255)</f>
        <v/>
      </c>
      <c r="I2255" s="79">
        <f>IF('Ordenes_Odoo'!I2255="","",'Ordenes_Odoo'!I2255)</f>
        <v/>
      </c>
      <c r="J2255" s="79">
        <f>IF('Ordenes_Odoo'!J2255="","",'Ordenes_Odoo'!J2255)</f>
        <v/>
      </c>
      <c r="K2255" s="81">
        <f>IF('Ordenes_Odoo'!K2255="","",'Ordenes_Odoo'!K2255)</f>
        <v/>
      </c>
      <c r="L2255" s="81">
        <f>IF('Ordenes_Odoo'!L2255="","",'Ordenes_Odoo'!L2255)</f>
        <v/>
      </c>
      <c r="M2255" s="79">
        <f>IF('Ordenes_Odoo'!M2255="","",'Ordenes_Odoo'!M2255)</f>
        <v/>
      </c>
      <c r="N2255" s="79">
        <f>IF('Ordenes_Odoo'!N2255="","",'Ordenes_Odoo'!N2255)</f>
        <v/>
      </c>
      <c r="O2255" s="81">
        <f>IF('Ordenes_Odoo'!O2255="","",'Ordenes_Odoo'!O2255)</f>
        <v/>
      </c>
      <c r="P2255" s="81">
        <f>IF('Ordenes_Odoo'!P2255="","",'Ordenes_Odoo'!P2255)</f>
        <v/>
      </c>
      <c r="Q2255" s="79">
        <f>IF(A2255="","",IFERROR(INDEX(Facturas_Odoo!$B:$B, MATCH(A2255, Facturas_Odoo!$D:$D, 0)), "Sin Factura"))</f>
        <v/>
      </c>
      <c r="R2255" s="80">
        <f>IF(Q2255="Sin Factura","",IFERROR(INDEX(Facturas_Odoo!$A:$A, MATCH(Q2255, Facturas_Odoo!$B:$B, 0)), ""))</f>
        <v/>
      </c>
      <c r="S2255" s="79">
        <f>IF(Q2255="Sin Factura","",IFERROR(_xlfn.XLOOKUP(1, (Facturas_Odoo!$D:$D=A2255) * (Facturas_Odoo!$K:$K=I2255), Facturas_Odoo!$L:$L, ""), ""))</f>
        <v/>
      </c>
      <c r="T2255" s="81">
        <f>IF(Q2255="Sin Factura",0,IFERROR(_xlfn.XLOOKUP(1, (Facturas_Odoo!$D:$D=A2255) * (Facturas_Odoo!$K:$K=I2255), Facturas_Odoo!$M:$M, 0), 0))</f>
        <v/>
      </c>
      <c r="U2255" s="79">
        <f>IF(Q2255="Sin Factura",0,IFERROR(_xlfn.XLOOKUP(1, (Facturas_Odoo!$D:$D=A2255) * (Facturas_Odoo!$K:$K=I2255), Facturas_Odoo!$N:$N, 0), 0))</f>
        <v/>
      </c>
      <c r="V2255" s="79">
        <f>IF(Q2255="Sin Factura",0,IFERROR(_xlfn.XLOOKUP(1, (Facturas_Odoo!$D:$D=A2255) * (Facturas_Odoo!$K:$K=I2255), Facturas_Odoo!$O:$O, 0), 0))</f>
        <v/>
      </c>
      <c r="W2255" s="81">
        <f>IF(Q2255="Sin Factura",0,IFERROR(_xlfn.XLOOKUP(1, (Facturas_Odoo!$D:$D=A2255) * (Facturas_Odoo!$K:$K=I2255), Facturas_Odoo!$Q:$Q, 0), 0))</f>
        <v/>
      </c>
      <c r="X2255" s="79">
        <f>IF(OR(Q2255="Sin Factura",Q2255=""),"",IFERROR(INDEX(Pagos_Odoo!$B:$B, MATCH(Q2255, Pagos_Odoo!$I:$I, 0)), "Sin Pago"))</f>
        <v/>
      </c>
      <c r="Y2255" s="79">
        <f>IF(X2255="Sin Pago","",IFERROR(INDEX(Pagos_Odoo!$C:$C, MATCH(X2255, Pagos_Odoo!$B:$B, 0)), ""))</f>
        <v/>
      </c>
      <c r="Z2255" s="80">
        <f>IF(X2255="Sin Pago","",IFERROR(INDEX(Pagos_Odoo!$A:$A, MATCH(X2255, Pagos_Odoo!$B:$B, 0)), ""))</f>
        <v/>
      </c>
      <c r="AA2255" s="79">
        <f>IF(X2255="Sin Pago","",IFERROR(INDEX(Pagos_Odoo!$F:$F, MATCH(X2255, Pagos_Odoo!$B:$B, 0)), ""))</f>
        <v/>
      </c>
      <c r="AB2255" s="81">
        <f>IF(X2255="Sin Pago",0,IFERROR(INDEX(Pagos_Odoo!$E:$E, MATCH(X2255, Pagos_Odoo!$B:$B, 0)), 0))</f>
        <v/>
      </c>
      <c r="AC2255" s="79">
        <f>IF(X2255="Sin Pago","",IFERROR(INDEX(Pagos_Odoo!$G:$G, MATCH(X2255, Pagos_Odoo!$B:$B, 0)), ""))</f>
        <v/>
      </c>
      <c r="AD2255" s="82" t="n">
        <v>0</v>
      </c>
      <c r="AE2255" s="82" t="n"/>
      <c r="AF2255" s="82" t="n"/>
      <c r="AG2255" s="82">
        <f>IF(AN2255="","",AD2255+AE2255+AF2255)</f>
        <v/>
      </c>
      <c r="AH2255" s="81">
        <f>IF(AN2255="","",P2255*(1-AG2255))</f>
        <v/>
      </c>
      <c r="AI2255" s="81">
        <f>IF(AN2255="","",IF(Q2255="Sin Factura",0,IFERROR(INDEX(Facturas_Odoo!$H:$H, MATCH(Q2255, Facturas_Odoo!$B:$B, 0)), 0)*(1-AG2255)))</f>
        <v/>
      </c>
      <c r="AJ2255" s="81">
        <f>IF(AN2255="","",_xlfn.LET(idVenta, AN2255&amp;"",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55" s="81">
        <f>IF(AN2255="","",AH2255-AJ2255)</f>
        <v/>
      </c>
      <c r="AL2255" s="81">
        <f>IF(AN2255="","",IF(Q2255="Sin Factura","",AI2255-AJ2255))</f>
        <v/>
      </c>
      <c r="AM2255" s="81">
        <f>IF(AN2255="","",IF(Q2255="Sin Factura",0,P2255-IFERROR(INDEX(Facturas_Odoo!$H:$H, MATCH(Q2255, Facturas_Odoo!$B:$B, 0)), 0)))</f>
        <v/>
      </c>
      <c r="AN2255" s="79">
        <f>IF(AND(A2255="", J2255=""), "", IF(A2255&lt;&gt;"", VALUE(MID(A2255,2,LEN(A2255))), AN2254))</f>
        <v/>
      </c>
      <c r="AO2255" s="79">
        <f>IF(AN2255="","",IF(AD2255=0,"OK",_xlfn.LET(monedaPago, IF(AA2255="","USD",AA2255), limitePermitido, IFERROR(VLOOKUP(monedaPago, Configuración!$A$2:$B$3, 2, FALSE), 0.15), IF(AD2255&gt;limitePermitido, "ALERTA: EXCESO (" &amp; TEXT(limitePermitido, "0%") &amp; " máx)", "OK"))))</f>
        <v/>
      </c>
      <c r="AP2255" s="79">
        <f>IF(AN2255="","",IF(AE2255=0,"OK",_xlfn.LET(fechaPago, Z2255, fechaFactura, R2255, diasCredito, IF(E2255="Pago inmediato", 0, IFERROR(VALUE(MID(E2255, 1, SEARCH(" ", E2255)-1)),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55" s="79">
        <f>IF(AN2255="","",IF(AND(N2255&gt;0, AG2255&gt;0), IF(Configuración!$K$2="NO", "ALERTA: DESCUENTO DOBLE NO PERMITIDO", "OK"), "OK"))</f>
        <v/>
      </c>
      <c r="AR2255" s="79">
        <f>IF(AN2255="","",IF(OR(AO2255&lt;&gt;"OK", AP2255&lt;&gt;"OK", AQ2255&lt;&gt;"OK"), "⚠️ REVISAR", "OK"))</f>
        <v/>
      </c>
    </row>
    <row r="2256">
      <c r="A2256" s="79">
        <f>IF('Ordenes_Odoo'!A2256="","",'Ordenes_Odoo'!A2256)</f>
        <v/>
      </c>
      <c r="B2256" s="80">
        <f>IF('Ordenes_Odoo'!B2256="","",'Ordenes_Odoo'!B2256)</f>
        <v/>
      </c>
      <c r="C2256" s="79">
        <f>IF('Ordenes_Odoo'!C2256="","",'Ordenes_Odoo'!C2256)</f>
        <v/>
      </c>
      <c r="D2256" s="79">
        <f>IF('Ordenes_Odoo'!D2256="","",'Ordenes_Odoo'!D2256)</f>
        <v/>
      </c>
      <c r="E2256" s="79">
        <f>IF('Ordenes_Odoo'!E2256="","",'Ordenes_Odoo'!E2256)</f>
        <v/>
      </c>
      <c r="F2256" s="79">
        <f>IF('Ordenes_Odoo'!F2256="","",'Ordenes_Odoo'!F2256)</f>
        <v/>
      </c>
      <c r="G2256" s="79">
        <f>IF('Ordenes_Odoo'!G2256="","",'Ordenes_Odoo'!G2256)</f>
        <v/>
      </c>
      <c r="H2256" s="79">
        <f>IF('Ordenes_Odoo'!H2256="","",'Ordenes_Odoo'!H2256)</f>
        <v/>
      </c>
      <c r="I2256" s="79">
        <f>IF('Ordenes_Odoo'!I2256="","",'Ordenes_Odoo'!I2256)</f>
        <v/>
      </c>
      <c r="J2256" s="79">
        <f>IF('Ordenes_Odoo'!J2256="","",'Ordenes_Odoo'!J2256)</f>
        <v/>
      </c>
      <c r="K2256" s="81">
        <f>IF('Ordenes_Odoo'!K2256="","",'Ordenes_Odoo'!K2256)</f>
        <v/>
      </c>
      <c r="L2256" s="81">
        <f>IF('Ordenes_Odoo'!L2256="","",'Ordenes_Odoo'!L2256)</f>
        <v/>
      </c>
      <c r="M2256" s="79">
        <f>IF('Ordenes_Odoo'!M2256="","",'Ordenes_Odoo'!M2256)</f>
        <v/>
      </c>
      <c r="N2256" s="79">
        <f>IF('Ordenes_Odoo'!N2256="","",'Ordenes_Odoo'!N2256)</f>
        <v/>
      </c>
      <c r="O2256" s="81">
        <f>IF('Ordenes_Odoo'!O2256="","",'Ordenes_Odoo'!O2256)</f>
        <v/>
      </c>
      <c r="P2256" s="81">
        <f>IF('Ordenes_Odoo'!P2256="","",'Ordenes_Odoo'!P2256)</f>
        <v/>
      </c>
      <c r="Q2256" s="79">
        <f>IF(A2256="","",IFERROR(INDEX(Facturas_Odoo!$B:$B, MATCH(A2256, Facturas_Odoo!$D:$D, 0)), "Sin Factura"))</f>
        <v/>
      </c>
      <c r="R2256" s="80">
        <f>IF(Q2256="Sin Factura","",IFERROR(INDEX(Facturas_Odoo!$A:$A, MATCH(Q2256, Facturas_Odoo!$B:$B, 0)), ""))</f>
        <v/>
      </c>
      <c r="S2256" s="79">
        <f>IF(Q2256="Sin Factura","",IFERROR(_xlfn.XLOOKUP(1, (Facturas_Odoo!$D:$D=A2256) * (Facturas_Odoo!$K:$K=I2256), Facturas_Odoo!$L:$L, ""), ""))</f>
        <v/>
      </c>
      <c r="T2256" s="81">
        <f>IF(Q2256="Sin Factura",0,IFERROR(_xlfn.XLOOKUP(1, (Facturas_Odoo!$D:$D=A2256) * (Facturas_Odoo!$K:$K=I2256), Facturas_Odoo!$M:$M, 0), 0))</f>
        <v/>
      </c>
      <c r="U2256" s="79">
        <f>IF(Q2256="Sin Factura",0,IFERROR(_xlfn.XLOOKUP(1, (Facturas_Odoo!$D:$D=A2256) * (Facturas_Odoo!$K:$K=I2256), Facturas_Odoo!$N:$N, 0), 0))</f>
        <v/>
      </c>
      <c r="V2256" s="79">
        <f>IF(Q2256="Sin Factura",0,IFERROR(_xlfn.XLOOKUP(1, (Facturas_Odoo!$D:$D=A2256) * (Facturas_Odoo!$K:$K=I2256), Facturas_Odoo!$O:$O, 0), 0))</f>
        <v/>
      </c>
      <c r="W2256" s="81">
        <f>IF(Q2256="Sin Factura",0,IFERROR(_xlfn.XLOOKUP(1, (Facturas_Odoo!$D:$D=A2256) * (Facturas_Odoo!$K:$K=I2256), Facturas_Odoo!$Q:$Q, 0), 0))</f>
        <v/>
      </c>
      <c r="X2256" s="79">
        <f>IF(OR(Q2256="Sin Factura",Q2256=""),"",IFERROR(INDEX(Pagos_Odoo!$B:$B, MATCH(Q2256, Pagos_Odoo!$I:$I, 0)), "Sin Pago"))</f>
        <v/>
      </c>
      <c r="Y2256" s="79">
        <f>IF(X2256="Sin Pago","",IFERROR(INDEX(Pagos_Odoo!$C:$C, MATCH(X2256, Pagos_Odoo!$B:$B, 0)), ""))</f>
        <v/>
      </c>
      <c r="Z2256" s="80">
        <f>IF(X2256="Sin Pago","",IFERROR(INDEX(Pagos_Odoo!$A:$A, MATCH(X2256, Pagos_Odoo!$B:$B, 0)), ""))</f>
        <v/>
      </c>
      <c r="AA2256" s="79">
        <f>IF(X2256="Sin Pago","",IFERROR(INDEX(Pagos_Odoo!$F:$F, MATCH(X2256, Pagos_Odoo!$B:$B, 0)), ""))</f>
        <v/>
      </c>
      <c r="AB2256" s="81">
        <f>IF(X2256="Sin Pago",0,IFERROR(INDEX(Pagos_Odoo!$E:$E, MATCH(X2256, Pagos_Odoo!$B:$B, 0)), 0))</f>
        <v/>
      </c>
      <c r="AC2256" s="79">
        <f>IF(X2256="Sin Pago","",IFERROR(INDEX(Pagos_Odoo!$G:$G, MATCH(X2256, Pagos_Odoo!$B:$B, 0)), ""))</f>
        <v/>
      </c>
      <c r="AD2256" s="82" t="n">
        <v>0</v>
      </c>
      <c r="AE2256" s="82" t="n"/>
      <c r="AF2256" s="82" t="n"/>
      <c r="AG2256" s="82">
        <f>IF(AN2256="","",AD2256+AE2256+AF2256)</f>
        <v/>
      </c>
      <c r="AH2256" s="81">
        <f>IF(AN2256="","",P2256*(1-AG2256))</f>
        <v/>
      </c>
      <c r="AI2256" s="81">
        <f>IF(AN2256="","",IF(Q2256="Sin Factura",0,IFERROR(INDEX(Facturas_Odoo!$H:$H, MATCH(Q2256, Facturas_Odoo!$B:$B, 0)), 0)*(1-AG2256)))</f>
        <v/>
      </c>
      <c r="AJ2256" s="81">
        <f>IF(AN2256="","",_xlfn.LET(idVenta, AN2256&amp;"",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56" s="81">
        <f>IF(AN2256="","",AH2256-AJ2256)</f>
        <v/>
      </c>
      <c r="AL2256" s="81">
        <f>IF(AN2256="","",IF(Q2256="Sin Factura","",AI2256-AJ2256))</f>
        <v/>
      </c>
      <c r="AM2256" s="81">
        <f>IF(AN2256="","",IF(Q2256="Sin Factura",0,P2256-IFERROR(INDEX(Facturas_Odoo!$H:$H, MATCH(Q2256, Facturas_Odoo!$B:$B, 0)), 0)))</f>
        <v/>
      </c>
      <c r="AN2256" s="79">
        <f>IF(AND(A2256="", J2256=""), "", IF(A2256&lt;&gt;"", VALUE(MID(A2256,2,LEN(A2256))), AN2255))</f>
        <v/>
      </c>
      <c r="AO2256" s="79">
        <f>IF(AN2256="","",IF(AD2256=0,"OK",_xlfn.LET(monedaPago, IF(AA2256="","USD",AA2256), limitePermitido, IFERROR(VLOOKUP(monedaPago, Configuración!$A$2:$B$3, 2, FALSE), 0.15), IF(AD2256&gt;limitePermitido, "ALERTA: EXCESO (" &amp; TEXT(limitePermitido, "0%") &amp; " máx)", "OK"))))</f>
        <v/>
      </c>
      <c r="AP2256" s="79">
        <f>IF(AN2256="","",IF(AE2256=0,"OK",_xlfn.LET(fechaPago, Z2256, fechaFactura, R2256, diasCredito, IF(E2256="Pago inmediato", 0, IFERROR(VALUE(MID(E2256, 1, SEARCH(" ", E2256)-1)),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56" s="79">
        <f>IF(AN2256="","",IF(AND(N2256&gt;0, AG2256&gt;0), IF(Configuración!$K$2="NO", "ALERTA: DESCUENTO DOBLE NO PERMITIDO", "OK"), "OK"))</f>
        <v/>
      </c>
      <c r="AR2256" s="79">
        <f>IF(AN2256="","",IF(OR(AO2256&lt;&gt;"OK", AP2256&lt;&gt;"OK", AQ2256&lt;&gt;"OK"), "⚠️ REVISAR", "OK"))</f>
        <v/>
      </c>
    </row>
    <row r="2257">
      <c r="A2257" s="79">
        <f>IF('Ordenes_Odoo'!A2257="","",'Ordenes_Odoo'!A2257)</f>
        <v/>
      </c>
      <c r="B2257" s="80">
        <f>IF('Ordenes_Odoo'!B2257="","",'Ordenes_Odoo'!B2257)</f>
        <v/>
      </c>
      <c r="C2257" s="79">
        <f>IF('Ordenes_Odoo'!C2257="","",'Ordenes_Odoo'!C2257)</f>
        <v/>
      </c>
      <c r="D2257" s="79">
        <f>IF('Ordenes_Odoo'!D2257="","",'Ordenes_Odoo'!D2257)</f>
        <v/>
      </c>
      <c r="E2257" s="79">
        <f>IF('Ordenes_Odoo'!E2257="","",'Ordenes_Odoo'!E2257)</f>
        <v/>
      </c>
      <c r="F2257" s="79">
        <f>IF('Ordenes_Odoo'!F2257="","",'Ordenes_Odoo'!F2257)</f>
        <v/>
      </c>
      <c r="G2257" s="79">
        <f>IF('Ordenes_Odoo'!G2257="","",'Ordenes_Odoo'!G2257)</f>
        <v/>
      </c>
      <c r="H2257" s="79">
        <f>IF('Ordenes_Odoo'!H2257="","",'Ordenes_Odoo'!H2257)</f>
        <v/>
      </c>
      <c r="I2257" s="79">
        <f>IF('Ordenes_Odoo'!I2257="","",'Ordenes_Odoo'!I2257)</f>
        <v/>
      </c>
      <c r="J2257" s="79">
        <f>IF('Ordenes_Odoo'!J2257="","",'Ordenes_Odoo'!J2257)</f>
        <v/>
      </c>
      <c r="K2257" s="81">
        <f>IF('Ordenes_Odoo'!K2257="","",'Ordenes_Odoo'!K2257)</f>
        <v/>
      </c>
      <c r="L2257" s="81">
        <f>IF('Ordenes_Odoo'!L2257="","",'Ordenes_Odoo'!L2257)</f>
        <v/>
      </c>
      <c r="M2257" s="79">
        <f>IF('Ordenes_Odoo'!M2257="","",'Ordenes_Odoo'!M2257)</f>
        <v/>
      </c>
      <c r="N2257" s="79">
        <f>IF('Ordenes_Odoo'!N2257="","",'Ordenes_Odoo'!N2257)</f>
        <v/>
      </c>
      <c r="O2257" s="81">
        <f>IF('Ordenes_Odoo'!O2257="","",'Ordenes_Odoo'!O2257)</f>
        <v/>
      </c>
      <c r="P2257" s="81">
        <f>IF('Ordenes_Odoo'!P2257="","",'Ordenes_Odoo'!P2257)</f>
        <v/>
      </c>
      <c r="Q2257" s="79">
        <f>IF(A2257="","",IFERROR(INDEX(Facturas_Odoo!$B:$B, MATCH(A2257, Facturas_Odoo!$D:$D, 0)), "Sin Factura"))</f>
        <v/>
      </c>
      <c r="R2257" s="80">
        <f>IF(Q2257="Sin Factura","",IFERROR(INDEX(Facturas_Odoo!$A:$A, MATCH(Q2257, Facturas_Odoo!$B:$B, 0)), ""))</f>
        <v/>
      </c>
      <c r="S2257" s="79">
        <f>IF(Q2257="Sin Factura","",IFERROR(_xlfn.XLOOKUP(1, (Facturas_Odoo!$D:$D=A2257) * (Facturas_Odoo!$K:$K=I2257), Facturas_Odoo!$L:$L, ""), ""))</f>
        <v/>
      </c>
      <c r="T2257" s="81">
        <f>IF(Q2257="Sin Factura",0,IFERROR(_xlfn.XLOOKUP(1, (Facturas_Odoo!$D:$D=A2257) * (Facturas_Odoo!$K:$K=I2257), Facturas_Odoo!$M:$M, 0), 0))</f>
        <v/>
      </c>
      <c r="U2257" s="79">
        <f>IF(Q2257="Sin Factura",0,IFERROR(_xlfn.XLOOKUP(1, (Facturas_Odoo!$D:$D=A2257) * (Facturas_Odoo!$K:$K=I2257), Facturas_Odoo!$N:$N, 0), 0))</f>
        <v/>
      </c>
      <c r="V2257" s="79">
        <f>IF(Q2257="Sin Factura",0,IFERROR(_xlfn.XLOOKUP(1, (Facturas_Odoo!$D:$D=A2257) * (Facturas_Odoo!$K:$K=I2257), Facturas_Odoo!$O:$O, 0), 0))</f>
        <v/>
      </c>
      <c r="W2257" s="81">
        <f>IF(Q2257="Sin Factura",0,IFERROR(_xlfn.XLOOKUP(1, (Facturas_Odoo!$D:$D=A2257) * (Facturas_Odoo!$K:$K=I2257), Facturas_Odoo!$Q:$Q, 0), 0))</f>
        <v/>
      </c>
      <c r="X2257" s="79">
        <f>IF(OR(Q2257="Sin Factura",Q2257=""),"",IFERROR(INDEX(Pagos_Odoo!$B:$B, MATCH(Q2257, Pagos_Odoo!$I:$I, 0)), "Sin Pago"))</f>
        <v/>
      </c>
      <c r="Y2257" s="79">
        <f>IF(X2257="Sin Pago","",IFERROR(INDEX(Pagos_Odoo!$C:$C, MATCH(X2257, Pagos_Odoo!$B:$B, 0)), ""))</f>
        <v/>
      </c>
      <c r="Z2257" s="80">
        <f>IF(X2257="Sin Pago","",IFERROR(INDEX(Pagos_Odoo!$A:$A, MATCH(X2257, Pagos_Odoo!$B:$B, 0)), ""))</f>
        <v/>
      </c>
      <c r="AA2257" s="79">
        <f>IF(X2257="Sin Pago","",IFERROR(INDEX(Pagos_Odoo!$F:$F, MATCH(X2257, Pagos_Odoo!$B:$B, 0)), ""))</f>
        <v/>
      </c>
      <c r="AB2257" s="81">
        <f>IF(X2257="Sin Pago",0,IFERROR(INDEX(Pagos_Odoo!$E:$E, MATCH(X2257, Pagos_Odoo!$B:$B, 0)), 0))</f>
        <v/>
      </c>
      <c r="AC2257" s="79">
        <f>IF(X2257="Sin Pago","",IFERROR(INDEX(Pagos_Odoo!$G:$G, MATCH(X2257, Pagos_Odoo!$B:$B, 0)), ""))</f>
        <v/>
      </c>
      <c r="AD2257" s="82" t="n">
        <v>0</v>
      </c>
      <c r="AE2257" s="82" t="n"/>
      <c r="AF2257" s="82" t="n"/>
      <c r="AG2257" s="82">
        <f>IF(AN2257="","",AD2257+AE2257+AF2257)</f>
        <v/>
      </c>
      <c r="AH2257" s="81">
        <f>IF(AN2257="","",P2257*(1-AG2257))</f>
        <v/>
      </c>
      <c r="AI2257" s="81">
        <f>IF(AN2257="","",IF(Q2257="Sin Factura",0,IFERROR(INDEX(Facturas_Odoo!$H:$H, MATCH(Q2257, Facturas_Odoo!$B:$B, 0)), 0)*(1-AG2257)))</f>
        <v/>
      </c>
      <c r="AJ2257" s="81">
        <f>IF(AN2257="","",_xlfn.LET(idVenta, AN2257&amp;"",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57" s="81">
        <f>IF(AN2257="","",AH2257-AJ2257)</f>
        <v/>
      </c>
      <c r="AL2257" s="81">
        <f>IF(AN2257="","",IF(Q2257="Sin Factura","",AI2257-AJ2257))</f>
        <v/>
      </c>
      <c r="AM2257" s="81">
        <f>IF(AN2257="","",IF(Q2257="Sin Factura",0,P2257-IFERROR(INDEX(Facturas_Odoo!$H:$H, MATCH(Q2257, Facturas_Odoo!$B:$B, 0)), 0)))</f>
        <v/>
      </c>
      <c r="AN2257" s="79">
        <f>IF(AND(A2257="", J2257=""), "", IF(A2257&lt;&gt;"", VALUE(MID(A2257,2,LEN(A2257))), AN2256))</f>
        <v/>
      </c>
      <c r="AO2257" s="79">
        <f>IF(AN2257="","",IF(AD2257=0,"OK",_xlfn.LET(monedaPago, IF(AA2257="","USD",AA2257), limitePermitido, IFERROR(VLOOKUP(monedaPago, Configuración!$A$2:$B$3, 2, FALSE), 0.15), IF(AD2257&gt;limitePermitido, "ALERTA: EXCESO (" &amp; TEXT(limitePermitido, "0%") &amp; " máx)", "OK"))))</f>
        <v/>
      </c>
      <c r="AP2257" s="79">
        <f>IF(AN2257="","",IF(AE2257=0,"OK",_xlfn.LET(fechaPago, Z2257, fechaFactura, R2257, diasCredito, IF(E2257="Pago inmediato", 0, IFERROR(VALUE(MID(E2257, 1, SEARCH(" ", E2257)-1)),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57" s="79">
        <f>IF(AN2257="","",IF(AND(N2257&gt;0, AG2257&gt;0), IF(Configuración!$K$2="NO", "ALERTA: DESCUENTO DOBLE NO PERMITIDO", "OK"), "OK"))</f>
        <v/>
      </c>
      <c r="AR2257" s="79">
        <f>IF(AN2257="","",IF(OR(AO2257&lt;&gt;"OK", AP2257&lt;&gt;"OK", AQ2257&lt;&gt;"OK"), "⚠️ REVISAR", "OK"))</f>
        <v/>
      </c>
    </row>
    <row r="2258">
      <c r="A2258" s="79">
        <f>IF('Ordenes_Odoo'!A2258="","",'Ordenes_Odoo'!A2258)</f>
        <v/>
      </c>
      <c r="B2258" s="80">
        <f>IF('Ordenes_Odoo'!B2258="","",'Ordenes_Odoo'!B2258)</f>
        <v/>
      </c>
      <c r="C2258" s="79">
        <f>IF('Ordenes_Odoo'!C2258="","",'Ordenes_Odoo'!C2258)</f>
        <v/>
      </c>
      <c r="D2258" s="79">
        <f>IF('Ordenes_Odoo'!D2258="","",'Ordenes_Odoo'!D2258)</f>
        <v/>
      </c>
      <c r="E2258" s="79">
        <f>IF('Ordenes_Odoo'!E2258="","",'Ordenes_Odoo'!E2258)</f>
        <v/>
      </c>
      <c r="F2258" s="79">
        <f>IF('Ordenes_Odoo'!F2258="","",'Ordenes_Odoo'!F2258)</f>
        <v/>
      </c>
      <c r="G2258" s="79">
        <f>IF('Ordenes_Odoo'!G2258="","",'Ordenes_Odoo'!G2258)</f>
        <v/>
      </c>
      <c r="H2258" s="79">
        <f>IF('Ordenes_Odoo'!H2258="","",'Ordenes_Odoo'!H2258)</f>
        <v/>
      </c>
      <c r="I2258" s="79">
        <f>IF('Ordenes_Odoo'!I2258="","",'Ordenes_Odoo'!I2258)</f>
        <v/>
      </c>
      <c r="J2258" s="79">
        <f>IF('Ordenes_Odoo'!J2258="","",'Ordenes_Odoo'!J2258)</f>
        <v/>
      </c>
      <c r="K2258" s="81">
        <f>IF('Ordenes_Odoo'!K2258="","",'Ordenes_Odoo'!K2258)</f>
        <v/>
      </c>
      <c r="L2258" s="81">
        <f>IF('Ordenes_Odoo'!L2258="","",'Ordenes_Odoo'!L2258)</f>
        <v/>
      </c>
      <c r="M2258" s="79">
        <f>IF('Ordenes_Odoo'!M2258="","",'Ordenes_Odoo'!M2258)</f>
        <v/>
      </c>
      <c r="N2258" s="79">
        <f>IF('Ordenes_Odoo'!N2258="","",'Ordenes_Odoo'!N2258)</f>
        <v/>
      </c>
      <c r="O2258" s="81">
        <f>IF('Ordenes_Odoo'!O2258="","",'Ordenes_Odoo'!O2258)</f>
        <v/>
      </c>
      <c r="P2258" s="81">
        <f>IF('Ordenes_Odoo'!P2258="","",'Ordenes_Odoo'!P2258)</f>
        <v/>
      </c>
      <c r="Q2258" s="79">
        <f>IF(A2258="","",IFERROR(INDEX(Facturas_Odoo!$B:$B, MATCH(A2258, Facturas_Odoo!$D:$D, 0)), "Sin Factura"))</f>
        <v/>
      </c>
      <c r="R2258" s="80">
        <f>IF(Q2258="Sin Factura","",IFERROR(INDEX(Facturas_Odoo!$A:$A, MATCH(Q2258, Facturas_Odoo!$B:$B, 0)), ""))</f>
        <v/>
      </c>
      <c r="S2258" s="79">
        <f>IF(Q2258="Sin Factura","",IFERROR(_xlfn.XLOOKUP(1, (Facturas_Odoo!$D:$D=A2258) * (Facturas_Odoo!$K:$K=I2258), Facturas_Odoo!$L:$L, ""), ""))</f>
        <v/>
      </c>
      <c r="T2258" s="81">
        <f>IF(Q2258="Sin Factura",0,IFERROR(_xlfn.XLOOKUP(1, (Facturas_Odoo!$D:$D=A2258) * (Facturas_Odoo!$K:$K=I2258), Facturas_Odoo!$M:$M, 0), 0))</f>
        <v/>
      </c>
      <c r="U2258" s="79">
        <f>IF(Q2258="Sin Factura",0,IFERROR(_xlfn.XLOOKUP(1, (Facturas_Odoo!$D:$D=A2258) * (Facturas_Odoo!$K:$K=I2258), Facturas_Odoo!$N:$N, 0), 0))</f>
        <v/>
      </c>
      <c r="V2258" s="79">
        <f>IF(Q2258="Sin Factura",0,IFERROR(_xlfn.XLOOKUP(1, (Facturas_Odoo!$D:$D=A2258) * (Facturas_Odoo!$K:$K=I2258), Facturas_Odoo!$O:$O, 0), 0))</f>
        <v/>
      </c>
      <c r="W2258" s="81">
        <f>IF(Q2258="Sin Factura",0,IFERROR(_xlfn.XLOOKUP(1, (Facturas_Odoo!$D:$D=A2258) * (Facturas_Odoo!$K:$K=I2258), Facturas_Odoo!$Q:$Q, 0), 0))</f>
        <v/>
      </c>
      <c r="X2258" s="79">
        <f>IF(OR(Q2258="Sin Factura",Q2258=""),"",IFERROR(INDEX(Pagos_Odoo!$B:$B, MATCH(Q2258, Pagos_Odoo!$I:$I, 0)), "Sin Pago"))</f>
        <v/>
      </c>
      <c r="Y2258" s="79">
        <f>IF(X2258="Sin Pago","",IFERROR(INDEX(Pagos_Odoo!$C:$C, MATCH(X2258, Pagos_Odoo!$B:$B, 0)), ""))</f>
        <v/>
      </c>
      <c r="Z2258" s="80">
        <f>IF(X2258="Sin Pago","",IFERROR(INDEX(Pagos_Odoo!$A:$A, MATCH(X2258, Pagos_Odoo!$B:$B, 0)), ""))</f>
        <v/>
      </c>
      <c r="AA2258" s="79">
        <f>IF(X2258="Sin Pago","",IFERROR(INDEX(Pagos_Odoo!$F:$F, MATCH(X2258, Pagos_Odoo!$B:$B, 0)), ""))</f>
        <v/>
      </c>
      <c r="AB2258" s="81">
        <f>IF(X2258="Sin Pago",0,IFERROR(INDEX(Pagos_Odoo!$E:$E, MATCH(X2258, Pagos_Odoo!$B:$B, 0)), 0))</f>
        <v/>
      </c>
      <c r="AC2258" s="79">
        <f>IF(X2258="Sin Pago","",IFERROR(INDEX(Pagos_Odoo!$G:$G, MATCH(X2258, Pagos_Odoo!$B:$B, 0)), ""))</f>
        <v/>
      </c>
      <c r="AD2258" s="82" t="n">
        <v>0</v>
      </c>
      <c r="AE2258" s="82" t="n"/>
      <c r="AF2258" s="82" t="n"/>
      <c r="AG2258" s="82">
        <f>IF(AN2258="","",AD2258+AE2258+AF2258)</f>
        <v/>
      </c>
      <c r="AH2258" s="81">
        <f>IF(AN2258="","",P2258*(1-AG2258))</f>
        <v/>
      </c>
      <c r="AI2258" s="81">
        <f>IF(AN2258="","",IF(Q2258="Sin Factura",0,IFERROR(INDEX(Facturas_Odoo!$H:$H, MATCH(Q2258, Facturas_Odoo!$B:$B, 0)), 0)*(1-AG2258)))</f>
        <v/>
      </c>
      <c r="AJ2258" s="81">
        <f>IF(AN2258="","",_xlfn.LET(idVenta, AN2258&amp;"",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58" s="81">
        <f>IF(AN2258="","",AH2258-AJ2258)</f>
        <v/>
      </c>
      <c r="AL2258" s="81">
        <f>IF(AN2258="","",IF(Q2258="Sin Factura","",AI2258-AJ2258))</f>
        <v/>
      </c>
      <c r="AM2258" s="81">
        <f>IF(AN2258="","",IF(Q2258="Sin Factura",0,P2258-IFERROR(INDEX(Facturas_Odoo!$H:$H, MATCH(Q2258, Facturas_Odoo!$B:$B, 0)), 0)))</f>
        <v/>
      </c>
      <c r="AN2258" s="79">
        <f>IF(AND(A2258="", J2258=""), "", IF(A2258&lt;&gt;"", VALUE(MID(A2258,2,LEN(A2258))), AN2257))</f>
        <v/>
      </c>
      <c r="AO2258" s="79">
        <f>IF(AN2258="","",IF(AD2258=0,"OK",_xlfn.LET(monedaPago, IF(AA2258="","USD",AA2258), limitePermitido, IFERROR(VLOOKUP(monedaPago, Configuración!$A$2:$B$3, 2, FALSE), 0.15), IF(AD2258&gt;limitePermitido, "ALERTA: EXCESO (" &amp; TEXT(limitePermitido, "0%") &amp; " máx)", "OK"))))</f>
        <v/>
      </c>
      <c r="AP2258" s="79">
        <f>IF(AN2258="","",IF(AE2258=0,"OK",_xlfn.LET(fechaPago, Z2258, fechaFactura, R2258, diasCredito, IF(E2258="Pago inmediato", 0, IFERROR(VALUE(MID(E2258, 1, SEARCH(" ", E2258)-1)),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58" s="79">
        <f>IF(AN2258="","",IF(AND(N2258&gt;0, AG2258&gt;0), IF(Configuración!$K$2="NO", "ALERTA: DESCUENTO DOBLE NO PERMITIDO", "OK"), "OK"))</f>
        <v/>
      </c>
      <c r="AR2258" s="79">
        <f>IF(AN2258="","",IF(OR(AO2258&lt;&gt;"OK", AP2258&lt;&gt;"OK", AQ2258&lt;&gt;"OK"), "⚠️ REVISAR", "OK"))</f>
        <v/>
      </c>
    </row>
    <row r="2259">
      <c r="A2259" s="79">
        <f>IF('Ordenes_Odoo'!A2259="","",'Ordenes_Odoo'!A2259)</f>
        <v/>
      </c>
      <c r="B2259" s="80">
        <f>IF('Ordenes_Odoo'!B2259="","",'Ordenes_Odoo'!B2259)</f>
        <v/>
      </c>
      <c r="C2259" s="79">
        <f>IF('Ordenes_Odoo'!C2259="","",'Ordenes_Odoo'!C2259)</f>
        <v/>
      </c>
      <c r="D2259" s="79">
        <f>IF('Ordenes_Odoo'!D2259="","",'Ordenes_Odoo'!D2259)</f>
        <v/>
      </c>
      <c r="E2259" s="79">
        <f>IF('Ordenes_Odoo'!E2259="","",'Ordenes_Odoo'!E2259)</f>
        <v/>
      </c>
      <c r="F2259" s="79">
        <f>IF('Ordenes_Odoo'!F2259="","",'Ordenes_Odoo'!F2259)</f>
        <v/>
      </c>
      <c r="G2259" s="79">
        <f>IF('Ordenes_Odoo'!G2259="","",'Ordenes_Odoo'!G2259)</f>
        <v/>
      </c>
      <c r="H2259" s="79">
        <f>IF('Ordenes_Odoo'!H2259="","",'Ordenes_Odoo'!H2259)</f>
        <v/>
      </c>
      <c r="I2259" s="79">
        <f>IF('Ordenes_Odoo'!I2259="","",'Ordenes_Odoo'!I2259)</f>
        <v/>
      </c>
      <c r="J2259" s="79">
        <f>IF('Ordenes_Odoo'!J2259="","",'Ordenes_Odoo'!J2259)</f>
        <v/>
      </c>
      <c r="K2259" s="81">
        <f>IF('Ordenes_Odoo'!K2259="","",'Ordenes_Odoo'!K2259)</f>
        <v/>
      </c>
      <c r="L2259" s="81">
        <f>IF('Ordenes_Odoo'!L2259="","",'Ordenes_Odoo'!L2259)</f>
        <v/>
      </c>
      <c r="M2259" s="79">
        <f>IF('Ordenes_Odoo'!M2259="","",'Ordenes_Odoo'!M2259)</f>
        <v/>
      </c>
      <c r="N2259" s="79">
        <f>IF('Ordenes_Odoo'!N2259="","",'Ordenes_Odoo'!N2259)</f>
        <v/>
      </c>
      <c r="O2259" s="81">
        <f>IF('Ordenes_Odoo'!O2259="","",'Ordenes_Odoo'!O2259)</f>
        <v/>
      </c>
      <c r="P2259" s="81">
        <f>IF('Ordenes_Odoo'!P2259="","",'Ordenes_Odoo'!P2259)</f>
        <v/>
      </c>
      <c r="Q2259" s="79">
        <f>IF(A2259="","",IFERROR(INDEX(Facturas_Odoo!$B:$B, MATCH(A2259, Facturas_Odoo!$D:$D, 0)), "Sin Factura"))</f>
        <v/>
      </c>
      <c r="R2259" s="80">
        <f>IF(Q2259="Sin Factura","",IFERROR(INDEX(Facturas_Odoo!$A:$A, MATCH(Q2259, Facturas_Odoo!$B:$B, 0)), ""))</f>
        <v/>
      </c>
      <c r="S2259" s="79">
        <f>IF(Q2259="Sin Factura","",IFERROR(_xlfn.XLOOKUP(1, (Facturas_Odoo!$D:$D=A2259) * (Facturas_Odoo!$K:$K=I2259), Facturas_Odoo!$L:$L, ""), ""))</f>
        <v/>
      </c>
      <c r="T2259" s="81">
        <f>IF(Q2259="Sin Factura",0,IFERROR(_xlfn.XLOOKUP(1, (Facturas_Odoo!$D:$D=A2259) * (Facturas_Odoo!$K:$K=I2259), Facturas_Odoo!$M:$M, 0), 0))</f>
        <v/>
      </c>
      <c r="U2259" s="79">
        <f>IF(Q2259="Sin Factura",0,IFERROR(_xlfn.XLOOKUP(1, (Facturas_Odoo!$D:$D=A2259) * (Facturas_Odoo!$K:$K=I2259), Facturas_Odoo!$N:$N, 0), 0))</f>
        <v/>
      </c>
      <c r="V2259" s="79">
        <f>IF(Q2259="Sin Factura",0,IFERROR(_xlfn.XLOOKUP(1, (Facturas_Odoo!$D:$D=A2259) * (Facturas_Odoo!$K:$K=I2259), Facturas_Odoo!$O:$O, 0), 0))</f>
        <v/>
      </c>
      <c r="W2259" s="81">
        <f>IF(Q2259="Sin Factura",0,IFERROR(_xlfn.XLOOKUP(1, (Facturas_Odoo!$D:$D=A2259) * (Facturas_Odoo!$K:$K=I2259), Facturas_Odoo!$Q:$Q, 0), 0))</f>
        <v/>
      </c>
      <c r="X2259" s="79">
        <f>IF(OR(Q2259="Sin Factura",Q2259=""),"",IFERROR(INDEX(Pagos_Odoo!$B:$B, MATCH(Q2259, Pagos_Odoo!$I:$I, 0)), "Sin Pago"))</f>
        <v/>
      </c>
      <c r="Y2259" s="79">
        <f>IF(X2259="Sin Pago","",IFERROR(INDEX(Pagos_Odoo!$C:$C, MATCH(X2259, Pagos_Odoo!$B:$B, 0)), ""))</f>
        <v/>
      </c>
      <c r="Z2259" s="80">
        <f>IF(X2259="Sin Pago","",IFERROR(INDEX(Pagos_Odoo!$A:$A, MATCH(X2259, Pagos_Odoo!$B:$B, 0)), ""))</f>
        <v/>
      </c>
      <c r="AA2259" s="79">
        <f>IF(X2259="Sin Pago","",IFERROR(INDEX(Pagos_Odoo!$F:$F, MATCH(X2259, Pagos_Odoo!$B:$B, 0)), ""))</f>
        <v/>
      </c>
      <c r="AB2259" s="81">
        <f>IF(X2259="Sin Pago",0,IFERROR(INDEX(Pagos_Odoo!$E:$E, MATCH(X2259, Pagos_Odoo!$B:$B, 0)), 0))</f>
        <v/>
      </c>
      <c r="AC2259" s="79">
        <f>IF(X2259="Sin Pago","",IFERROR(INDEX(Pagos_Odoo!$G:$G, MATCH(X2259, Pagos_Odoo!$B:$B, 0)), ""))</f>
        <v/>
      </c>
      <c r="AD2259" s="82" t="n">
        <v>0</v>
      </c>
      <c r="AE2259" s="82" t="n"/>
      <c r="AF2259" s="82" t="n"/>
      <c r="AG2259" s="82">
        <f>IF(AN2259="","",AD2259+AE2259+AF2259)</f>
        <v/>
      </c>
      <c r="AH2259" s="81">
        <f>IF(AN2259="","",P2259*(1-AG2259))</f>
        <v/>
      </c>
      <c r="AI2259" s="81">
        <f>IF(AN2259="","",IF(Q2259="Sin Factura",0,IFERROR(INDEX(Facturas_Odoo!$H:$H, MATCH(Q2259, Facturas_Odoo!$B:$B, 0)), 0)*(1-AG2259)))</f>
        <v/>
      </c>
      <c r="AJ2259" s="81">
        <f>IF(AN2259="","",_xlfn.LET(idVenta, AN2259&amp;"",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59" s="81">
        <f>IF(AN2259="","",AH2259-AJ2259)</f>
        <v/>
      </c>
      <c r="AL2259" s="81">
        <f>IF(AN2259="","",IF(Q2259="Sin Factura","",AI2259-AJ2259))</f>
        <v/>
      </c>
      <c r="AM2259" s="81">
        <f>IF(AN2259="","",IF(Q2259="Sin Factura",0,P2259-IFERROR(INDEX(Facturas_Odoo!$H:$H, MATCH(Q2259, Facturas_Odoo!$B:$B, 0)), 0)))</f>
        <v/>
      </c>
      <c r="AN2259" s="79">
        <f>IF(AND(A2259="", J2259=""), "", IF(A2259&lt;&gt;"", VALUE(MID(A2259,2,LEN(A2259))), AN2258))</f>
        <v/>
      </c>
      <c r="AO2259" s="79">
        <f>IF(AN2259="","",IF(AD2259=0,"OK",_xlfn.LET(monedaPago, IF(AA2259="","USD",AA2259), limitePermitido, IFERROR(VLOOKUP(monedaPago, Configuración!$A$2:$B$3, 2, FALSE), 0.15), IF(AD2259&gt;limitePermitido, "ALERTA: EXCESO (" &amp; TEXT(limitePermitido, "0%") &amp; " máx)", "OK"))))</f>
        <v/>
      </c>
      <c r="AP2259" s="79">
        <f>IF(AN2259="","",IF(AE2259=0,"OK",_xlfn.LET(fechaPago, Z2259, fechaFactura, R2259, diasCredito, IF(E2259="Pago inmediato", 0, IFERROR(VALUE(MID(E2259, 1, SEARCH(" ", E2259)-1)),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59" s="79">
        <f>IF(AN2259="","",IF(AND(N2259&gt;0, AG2259&gt;0), IF(Configuración!$K$2="NO", "ALERTA: DESCUENTO DOBLE NO PERMITIDO", "OK"), "OK"))</f>
        <v/>
      </c>
      <c r="AR2259" s="79">
        <f>IF(AN2259="","",IF(OR(AO2259&lt;&gt;"OK", AP2259&lt;&gt;"OK", AQ2259&lt;&gt;"OK"), "⚠️ REVISAR", "OK"))</f>
        <v/>
      </c>
    </row>
    <row r="2260">
      <c r="A2260" s="79">
        <f>IF('Ordenes_Odoo'!A2260="","",'Ordenes_Odoo'!A2260)</f>
        <v/>
      </c>
      <c r="B2260" s="80">
        <f>IF('Ordenes_Odoo'!B2260="","",'Ordenes_Odoo'!B2260)</f>
        <v/>
      </c>
      <c r="C2260" s="79">
        <f>IF('Ordenes_Odoo'!C2260="","",'Ordenes_Odoo'!C2260)</f>
        <v/>
      </c>
      <c r="D2260" s="79">
        <f>IF('Ordenes_Odoo'!D2260="","",'Ordenes_Odoo'!D2260)</f>
        <v/>
      </c>
      <c r="E2260" s="79">
        <f>IF('Ordenes_Odoo'!E2260="","",'Ordenes_Odoo'!E2260)</f>
        <v/>
      </c>
      <c r="F2260" s="79">
        <f>IF('Ordenes_Odoo'!F2260="","",'Ordenes_Odoo'!F2260)</f>
        <v/>
      </c>
      <c r="G2260" s="79">
        <f>IF('Ordenes_Odoo'!G2260="","",'Ordenes_Odoo'!G2260)</f>
        <v/>
      </c>
      <c r="H2260" s="79">
        <f>IF('Ordenes_Odoo'!H2260="","",'Ordenes_Odoo'!H2260)</f>
        <v/>
      </c>
      <c r="I2260" s="79">
        <f>IF('Ordenes_Odoo'!I2260="","",'Ordenes_Odoo'!I2260)</f>
        <v/>
      </c>
      <c r="J2260" s="79">
        <f>IF('Ordenes_Odoo'!J2260="","",'Ordenes_Odoo'!J2260)</f>
        <v/>
      </c>
      <c r="K2260" s="81">
        <f>IF('Ordenes_Odoo'!K2260="","",'Ordenes_Odoo'!K2260)</f>
        <v/>
      </c>
      <c r="L2260" s="81">
        <f>IF('Ordenes_Odoo'!L2260="","",'Ordenes_Odoo'!L2260)</f>
        <v/>
      </c>
      <c r="M2260" s="79">
        <f>IF('Ordenes_Odoo'!M2260="","",'Ordenes_Odoo'!M2260)</f>
        <v/>
      </c>
      <c r="N2260" s="79">
        <f>IF('Ordenes_Odoo'!N2260="","",'Ordenes_Odoo'!N2260)</f>
        <v/>
      </c>
      <c r="O2260" s="81">
        <f>IF('Ordenes_Odoo'!O2260="","",'Ordenes_Odoo'!O2260)</f>
        <v/>
      </c>
      <c r="P2260" s="81">
        <f>IF('Ordenes_Odoo'!P2260="","",'Ordenes_Odoo'!P2260)</f>
        <v/>
      </c>
      <c r="Q2260" s="79">
        <f>IF(A2260="","",IFERROR(INDEX(Facturas_Odoo!$B:$B, MATCH(A2260, Facturas_Odoo!$D:$D, 0)), "Sin Factura"))</f>
        <v/>
      </c>
      <c r="R2260" s="80">
        <f>IF(Q2260="Sin Factura","",IFERROR(INDEX(Facturas_Odoo!$A:$A, MATCH(Q2260, Facturas_Odoo!$B:$B, 0)), ""))</f>
        <v/>
      </c>
      <c r="S2260" s="79">
        <f>IF(Q2260="Sin Factura","",IFERROR(_xlfn.XLOOKUP(1, (Facturas_Odoo!$D:$D=A2260) * (Facturas_Odoo!$K:$K=I2260), Facturas_Odoo!$L:$L, ""), ""))</f>
        <v/>
      </c>
      <c r="T2260" s="81">
        <f>IF(Q2260="Sin Factura",0,IFERROR(_xlfn.XLOOKUP(1, (Facturas_Odoo!$D:$D=A2260) * (Facturas_Odoo!$K:$K=I2260), Facturas_Odoo!$M:$M, 0), 0))</f>
        <v/>
      </c>
      <c r="U2260" s="79">
        <f>IF(Q2260="Sin Factura",0,IFERROR(_xlfn.XLOOKUP(1, (Facturas_Odoo!$D:$D=A2260) * (Facturas_Odoo!$K:$K=I2260), Facturas_Odoo!$N:$N, 0), 0))</f>
        <v/>
      </c>
      <c r="V2260" s="79">
        <f>IF(Q2260="Sin Factura",0,IFERROR(_xlfn.XLOOKUP(1, (Facturas_Odoo!$D:$D=A2260) * (Facturas_Odoo!$K:$K=I2260), Facturas_Odoo!$O:$O, 0), 0))</f>
        <v/>
      </c>
      <c r="W2260" s="81">
        <f>IF(Q2260="Sin Factura",0,IFERROR(_xlfn.XLOOKUP(1, (Facturas_Odoo!$D:$D=A2260) * (Facturas_Odoo!$K:$K=I2260), Facturas_Odoo!$Q:$Q, 0), 0))</f>
        <v/>
      </c>
      <c r="X2260" s="79">
        <f>IF(OR(Q2260="Sin Factura",Q2260=""),"",IFERROR(INDEX(Pagos_Odoo!$B:$B, MATCH(Q2260, Pagos_Odoo!$I:$I, 0)), "Sin Pago"))</f>
        <v/>
      </c>
      <c r="Y2260" s="79">
        <f>IF(X2260="Sin Pago","",IFERROR(INDEX(Pagos_Odoo!$C:$C, MATCH(X2260, Pagos_Odoo!$B:$B, 0)), ""))</f>
        <v/>
      </c>
      <c r="Z2260" s="80">
        <f>IF(X2260="Sin Pago","",IFERROR(INDEX(Pagos_Odoo!$A:$A, MATCH(X2260, Pagos_Odoo!$B:$B, 0)), ""))</f>
        <v/>
      </c>
      <c r="AA2260" s="79">
        <f>IF(X2260="Sin Pago","",IFERROR(INDEX(Pagos_Odoo!$F:$F, MATCH(X2260, Pagos_Odoo!$B:$B, 0)), ""))</f>
        <v/>
      </c>
      <c r="AB2260" s="81">
        <f>IF(X2260="Sin Pago",0,IFERROR(INDEX(Pagos_Odoo!$E:$E, MATCH(X2260, Pagos_Odoo!$B:$B, 0)), 0))</f>
        <v/>
      </c>
      <c r="AC2260" s="79">
        <f>IF(X2260="Sin Pago","",IFERROR(INDEX(Pagos_Odoo!$G:$G, MATCH(X2260, Pagos_Odoo!$B:$B, 0)), ""))</f>
        <v/>
      </c>
      <c r="AD2260" s="82" t="n">
        <v>0</v>
      </c>
      <c r="AE2260" s="82" t="n"/>
      <c r="AF2260" s="82" t="n"/>
      <c r="AG2260" s="82">
        <f>IF(AN2260="","",AD2260+AE2260+AF2260)</f>
        <v/>
      </c>
      <c r="AH2260" s="81">
        <f>IF(AN2260="","",P2260*(1-AG2260))</f>
        <v/>
      </c>
      <c r="AI2260" s="81">
        <f>IF(AN2260="","",IF(Q2260="Sin Factura",0,IFERROR(INDEX(Facturas_Odoo!$H:$H, MATCH(Q2260, Facturas_Odoo!$B:$B, 0)), 0)*(1-AG2260)))</f>
        <v/>
      </c>
      <c r="AJ2260" s="81">
        <f>IF(AN2260="","",_xlfn.LET(idVenta, AN2260&amp;"",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60" s="81">
        <f>IF(AN2260="","",AH2260-AJ2260)</f>
        <v/>
      </c>
      <c r="AL2260" s="81">
        <f>IF(AN2260="","",IF(Q2260="Sin Factura","",AI2260-AJ2260))</f>
        <v/>
      </c>
      <c r="AM2260" s="81">
        <f>IF(AN2260="","",IF(Q2260="Sin Factura",0,P2260-IFERROR(INDEX(Facturas_Odoo!$H:$H, MATCH(Q2260, Facturas_Odoo!$B:$B, 0)), 0)))</f>
        <v/>
      </c>
      <c r="AN2260" s="79">
        <f>IF(AND(A2260="", J2260=""), "", IF(A2260&lt;&gt;"", VALUE(MID(A2260,2,LEN(A2260))), AN2259))</f>
        <v/>
      </c>
      <c r="AO2260" s="79">
        <f>IF(AN2260="","",IF(AD2260=0,"OK",_xlfn.LET(monedaPago, IF(AA2260="","USD",AA2260), limitePermitido, IFERROR(VLOOKUP(monedaPago, Configuración!$A$2:$B$3, 2, FALSE), 0.15), IF(AD2260&gt;limitePermitido, "ALERTA: EXCESO (" &amp; TEXT(limitePermitido, "0%") &amp; " máx)", "OK"))))</f>
        <v/>
      </c>
      <c r="AP2260" s="79">
        <f>IF(AN2260="","",IF(AE2260=0,"OK",_xlfn.LET(fechaPago, Z2260, fechaFactura, R2260, diasCredito, IF(E2260="Pago inmediato", 0, IFERROR(VALUE(MID(E2260, 1, SEARCH(" ", E2260)-1)),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60" s="79">
        <f>IF(AN2260="","",IF(AND(N2260&gt;0, AG2260&gt;0), IF(Configuración!$K$2="NO", "ALERTA: DESCUENTO DOBLE NO PERMITIDO", "OK"), "OK"))</f>
        <v/>
      </c>
      <c r="AR2260" s="79">
        <f>IF(AN2260="","",IF(OR(AO2260&lt;&gt;"OK", AP2260&lt;&gt;"OK", AQ2260&lt;&gt;"OK"), "⚠️ REVISAR", "OK"))</f>
        <v/>
      </c>
    </row>
    <row r="2261">
      <c r="A2261" s="79">
        <f>IF('Ordenes_Odoo'!A2261="","",'Ordenes_Odoo'!A2261)</f>
        <v/>
      </c>
      <c r="B2261" s="80">
        <f>IF('Ordenes_Odoo'!B2261="","",'Ordenes_Odoo'!B2261)</f>
        <v/>
      </c>
      <c r="C2261" s="79">
        <f>IF('Ordenes_Odoo'!C2261="","",'Ordenes_Odoo'!C2261)</f>
        <v/>
      </c>
      <c r="D2261" s="79">
        <f>IF('Ordenes_Odoo'!D2261="","",'Ordenes_Odoo'!D2261)</f>
        <v/>
      </c>
      <c r="E2261" s="79">
        <f>IF('Ordenes_Odoo'!E2261="","",'Ordenes_Odoo'!E2261)</f>
        <v/>
      </c>
      <c r="F2261" s="79">
        <f>IF('Ordenes_Odoo'!F2261="","",'Ordenes_Odoo'!F2261)</f>
        <v/>
      </c>
      <c r="G2261" s="79">
        <f>IF('Ordenes_Odoo'!G2261="","",'Ordenes_Odoo'!G2261)</f>
        <v/>
      </c>
      <c r="H2261" s="79">
        <f>IF('Ordenes_Odoo'!H2261="","",'Ordenes_Odoo'!H2261)</f>
        <v/>
      </c>
      <c r="I2261" s="79">
        <f>IF('Ordenes_Odoo'!I2261="","",'Ordenes_Odoo'!I2261)</f>
        <v/>
      </c>
      <c r="J2261" s="79">
        <f>IF('Ordenes_Odoo'!J2261="","",'Ordenes_Odoo'!J2261)</f>
        <v/>
      </c>
      <c r="K2261" s="81">
        <f>IF('Ordenes_Odoo'!K2261="","",'Ordenes_Odoo'!K2261)</f>
        <v/>
      </c>
      <c r="L2261" s="81">
        <f>IF('Ordenes_Odoo'!L2261="","",'Ordenes_Odoo'!L2261)</f>
        <v/>
      </c>
      <c r="M2261" s="79">
        <f>IF('Ordenes_Odoo'!M2261="","",'Ordenes_Odoo'!M2261)</f>
        <v/>
      </c>
      <c r="N2261" s="79">
        <f>IF('Ordenes_Odoo'!N2261="","",'Ordenes_Odoo'!N2261)</f>
        <v/>
      </c>
      <c r="O2261" s="81">
        <f>IF('Ordenes_Odoo'!O2261="","",'Ordenes_Odoo'!O2261)</f>
        <v/>
      </c>
      <c r="P2261" s="81">
        <f>IF('Ordenes_Odoo'!P2261="","",'Ordenes_Odoo'!P2261)</f>
        <v/>
      </c>
      <c r="Q2261" s="79">
        <f>IF(A2261="","",IFERROR(INDEX(Facturas_Odoo!$B:$B, MATCH(A2261, Facturas_Odoo!$D:$D, 0)), "Sin Factura"))</f>
        <v/>
      </c>
      <c r="R2261" s="80">
        <f>IF(Q2261="Sin Factura","",IFERROR(INDEX(Facturas_Odoo!$A:$A, MATCH(Q2261, Facturas_Odoo!$B:$B, 0)), ""))</f>
        <v/>
      </c>
      <c r="S2261" s="79">
        <f>IF(Q2261="Sin Factura","",IFERROR(_xlfn.XLOOKUP(1, (Facturas_Odoo!$D:$D=A2261) * (Facturas_Odoo!$K:$K=I2261), Facturas_Odoo!$L:$L, ""), ""))</f>
        <v/>
      </c>
      <c r="T2261" s="81">
        <f>IF(Q2261="Sin Factura",0,IFERROR(_xlfn.XLOOKUP(1, (Facturas_Odoo!$D:$D=A2261) * (Facturas_Odoo!$K:$K=I2261), Facturas_Odoo!$M:$M, 0), 0))</f>
        <v/>
      </c>
      <c r="U2261" s="79">
        <f>IF(Q2261="Sin Factura",0,IFERROR(_xlfn.XLOOKUP(1, (Facturas_Odoo!$D:$D=A2261) * (Facturas_Odoo!$K:$K=I2261), Facturas_Odoo!$N:$N, 0), 0))</f>
        <v/>
      </c>
      <c r="V2261" s="79">
        <f>IF(Q2261="Sin Factura",0,IFERROR(_xlfn.XLOOKUP(1, (Facturas_Odoo!$D:$D=A2261) * (Facturas_Odoo!$K:$K=I2261), Facturas_Odoo!$O:$O, 0), 0))</f>
        <v/>
      </c>
      <c r="W2261" s="81">
        <f>IF(Q2261="Sin Factura",0,IFERROR(_xlfn.XLOOKUP(1, (Facturas_Odoo!$D:$D=A2261) * (Facturas_Odoo!$K:$K=I2261), Facturas_Odoo!$Q:$Q, 0), 0))</f>
        <v/>
      </c>
      <c r="X2261" s="79">
        <f>IF(OR(Q2261="Sin Factura",Q2261=""),"",IFERROR(INDEX(Pagos_Odoo!$B:$B, MATCH(Q2261, Pagos_Odoo!$I:$I, 0)), "Sin Pago"))</f>
        <v/>
      </c>
      <c r="Y2261" s="79">
        <f>IF(X2261="Sin Pago","",IFERROR(INDEX(Pagos_Odoo!$C:$C, MATCH(X2261, Pagos_Odoo!$B:$B, 0)), ""))</f>
        <v/>
      </c>
      <c r="Z2261" s="80">
        <f>IF(X2261="Sin Pago","",IFERROR(INDEX(Pagos_Odoo!$A:$A, MATCH(X2261, Pagos_Odoo!$B:$B, 0)), ""))</f>
        <v/>
      </c>
      <c r="AA2261" s="79">
        <f>IF(X2261="Sin Pago","",IFERROR(INDEX(Pagos_Odoo!$F:$F, MATCH(X2261, Pagos_Odoo!$B:$B, 0)), ""))</f>
        <v/>
      </c>
      <c r="AB2261" s="81">
        <f>IF(X2261="Sin Pago",0,IFERROR(INDEX(Pagos_Odoo!$E:$E, MATCH(X2261, Pagos_Odoo!$B:$B, 0)), 0))</f>
        <v/>
      </c>
      <c r="AC2261" s="79">
        <f>IF(X2261="Sin Pago","",IFERROR(INDEX(Pagos_Odoo!$G:$G, MATCH(X2261, Pagos_Odoo!$B:$B, 0)), ""))</f>
        <v/>
      </c>
      <c r="AD2261" s="82" t="n">
        <v>0</v>
      </c>
      <c r="AE2261" s="82" t="n"/>
      <c r="AF2261" s="82" t="n"/>
      <c r="AG2261" s="82">
        <f>IF(AN2261="","",AD2261+AE2261+AF2261)</f>
        <v/>
      </c>
      <c r="AH2261" s="81">
        <f>IF(AN2261="","",P2261*(1-AG2261))</f>
        <v/>
      </c>
      <c r="AI2261" s="81">
        <f>IF(AN2261="","",IF(Q2261="Sin Factura",0,IFERROR(INDEX(Facturas_Odoo!$H:$H, MATCH(Q2261, Facturas_Odoo!$B:$B, 0)), 0)*(1-AG2261)))</f>
        <v/>
      </c>
      <c r="AJ2261" s="81">
        <f>IF(AN2261="","",_xlfn.LET(idVenta, AN2261&amp;"",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61" s="81">
        <f>IF(AN2261="","",AH2261-AJ2261)</f>
        <v/>
      </c>
      <c r="AL2261" s="81">
        <f>IF(AN2261="","",IF(Q2261="Sin Factura","",AI2261-AJ2261))</f>
        <v/>
      </c>
      <c r="AM2261" s="81">
        <f>IF(AN2261="","",IF(Q2261="Sin Factura",0,P2261-IFERROR(INDEX(Facturas_Odoo!$H:$H, MATCH(Q2261, Facturas_Odoo!$B:$B, 0)), 0)))</f>
        <v/>
      </c>
      <c r="AN2261" s="79">
        <f>IF(AND(A2261="", J2261=""), "", IF(A2261&lt;&gt;"", VALUE(MID(A2261,2,LEN(A2261))), AN2260))</f>
        <v/>
      </c>
      <c r="AO2261" s="79">
        <f>IF(AN2261="","",IF(AD2261=0,"OK",_xlfn.LET(monedaPago, IF(AA2261="","USD",AA2261), limitePermitido, IFERROR(VLOOKUP(monedaPago, Configuración!$A$2:$B$3, 2, FALSE), 0.15), IF(AD2261&gt;limitePermitido, "ALERTA: EXCESO (" &amp; TEXT(limitePermitido, "0%") &amp; " máx)", "OK"))))</f>
        <v/>
      </c>
      <c r="AP2261" s="79">
        <f>IF(AN2261="","",IF(AE2261=0,"OK",_xlfn.LET(fechaPago, Z2261, fechaFactura, R2261, diasCredito, IF(E2261="Pago inmediato", 0, IFERROR(VALUE(MID(E2261, 1, SEARCH(" ", E2261)-1)),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61" s="79">
        <f>IF(AN2261="","",IF(AND(N2261&gt;0, AG2261&gt;0), IF(Configuración!$K$2="NO", "ALERTA: DESCUENTO DOBLE NO PERMITIDO", "OK"), "OK"))</f>
        <v/>
      </c>
      <c r="AR2261" s="79">
        <f>IF(AN2261="","",IF(OR(AO2261&lt;&gt;"OK", AP2261&lt;&gt;"OK", AQ2261&lt;&gt;"OK"), "⚠️ REVISAR", "OK"))</f>
        <v/>
      </c>
    </row>
    <row r="2262">
      <c r="A2262" s="79">
        <f>IF('Ordenes_Odoo'!A2262="","",'Ordenes_Odoo'!A2262)</f>
        <v/>
      </c>
      <c r="B2262" s="80">
        <f>IF('Ordenes_Odoo'!B2262="","",'Ordenes_Odoo'!B2262)</f>
        <v/>
      </c>
      <c r="C2262" s="79">
        <f>IF('Ordenes_Odoo'!C2262="","",'Ordenes_Odoo'!C2262)</f>
        <v/>
      </c>
      <c r="D2262" s="79">
        <f>IF('Ordenes_Odoo'!D2262="","",'Ordenes_Odoo'!D2262)</f>
        <v/>
      </c>
      <c r="E2262" s="79">
        <f>IF('Ordenes_Odoo'!E2262="","",'Ordenes_Odoo'!E2262)</f>
        <v/>
      </c>
      <c r="F2262" s="79">
        <f>IF('Ordenes_Odoo'!F2262="","",'Ordenes_Odoo'!F2262)</f>
        <v/>
      </c>
      <c r="G2262" s="79">
        <f>IF('Ordenes_Odoo'!G2262="","",'Ordenes_Odoo'!G2262)</f>
        <v/>
      </c>
      <c r="H2262" s="79">
        <f>IF('Ordenes_Odoo'!H2262="","",'Ordenes_Odoo'!H2262)</f>
        <v/>
      </c>
      <c r="I2262" s="79">
        <f>IF('Ordenes_Odoo'!I2262="","",'Ordenes_Odoo'!I2262)</f>
        <v/>
      </c>
      <c r="J2262" s="79">
        <f>IF('Ordenes_Odoo'!J2262="","",'Ordenes_Odoo'!J2262)</f>
        <v/>
      </c>
      <c r="K2262" s="81">
        <f>IF('Ordenes_Odoo'!K2262="","",'Ordenes_Odoo'!K2262)</f>
        <v/>
      </c>
      <c r="L2262" s="81">
        <f>IF('Ordenes_Odoo'!L2262="","",'Ordenes_Odoo'!L2262)</f>
        <v/>
      </c>
      <c r="M2262" s="79">
        <f>IF('Ordenes_Odoo'!M2262="","",'Ordenes_Odoo'!M2262)</f>
        <v/>
      </c>
      <c r="N2262" s="79">
        <f>IF('Ordenes_Odoo'!N2262="","",'Ordenes_Odoo'!N2262)</f>
        <v/>
      </c>
      <c r="O2262" s="81">
        <f>IF('Ordenes_Odoo'!O2262="","",'Ordenes_Odoo'!O2262)</f>
        <v/>
      </c>
      <c r="P2262" s="81">
        <f>IF('Ordenes_Odoo'!P2262="","",'Ordenes_Odoo'!P2262)</f>
        <v/>
      </c>
      <c r="Q2262" s="79">
        <f>IF(A2262="","",IFERROR(INDEX(Facturas_Odoo!$B:$B, MATCH(A2262, Facturas_Odoo!$D:$D, 0)), "Sin Factura"))</f>
        <v/>
      </c>
      <c r="R2262" s="80">
        <f>IF(Q2262="Sin Factura","",IFERROR(INDEX(Facturas_Odoo!$A:$A, MATCH(Q2262, Facturas_Odoo!$B:$B, 0)), ""))</f>
        <v/>
      </c>
      <c r="S2262" s="79">
        <f>IF(Q2262="Sin Factura","",IFERROR(_xlfn.XLOOKUP(1, (Facturas_Odoo!$D:$D=A2262) * (Facturas_Odoo!$K:$K=I2262), Facturas_Odoo!$L:$L, ""), ""))</f>
        <v/>
      </c>
      <c r="T2262" s="81">
        <f>IF(Q2262="Sin Factura",0,IFERROR(_xlfn.XLOOKUP(1, (Facturas_Odoo!$D:$D=A2262) * (Facturas_Odoo!$K:$K=I2262), Facturas_Odoo!$M:$M, 0), 0))</f>
        <v/>
      </c>
      <c r="U2262" s="79">
        <f>IF(Q2262="Sin Factura",0,IFERROR(_xlfn.XLOOKUP(1, (Facturas_Odoo!$D:$D=A2262) * (Facturas_Odoo!$K:$K=I2262), Facturas_Odoo!$N:$N, 0), 0))</f>
        <v/>
      </c>
      <c r="V2262" s="79">
        <f>IF(Q2262="Sin Factura",0,IFERROR(_xlfn.XLOOKUP(1, (Facturas_Odoo!$D:$D=A2262) * (Facturas_Odoo!$K:$K=I2262), Facturas_Odoo!$O:$O, 0), 0))</f>
        <v/>
      </c>
      <c r="W2262" s="81">
        <f>IF(Q2262="Sin Factura",0,IFERROR(_xlfn.XLOOKUP(1, (Facturas_Odoo!$D:$D=A2262) * (Facturas_Odoo!$K:$K=I2262), Facturas_Odoo!$Q:$Q, 0), 0))</f>
        <v/>
      </c>
      <c r="X2262" s="79">
        <f>IF(OR(Q2262="Sin Factura",Q2262=""),"",IFERROR(INDEX(Pagos_Odoo!$B:$B, MATCH(Q2262, Pagos_Odoo!$I:$I, 0)), "Sin Pago"))</f>
        <v/>
      </c>
      <c r="Y2262" s="79">
        <f>IF(X2262="Sin Pago","",IFERROR(INDEX(Pagos_Odoo!$C:$C, MATCH(X2262, Pagos_Odoo!$B:$B, 0)), ""))</f>
        <v/>
      </c>
      <c r="Z2262" s="80">
        <f>IF(X2262="Sin Pago","",IFERROR(INDEX(Pagos_Odoo!$A:$A, MATCH(X2262, Pagos_Odoo!$B:$B, 0)), ""))</f>
        <v/>
      </c>
      <c r="AA2262" s="79">
        <f>IF(X2262="Sin Pago","",IFERROR(INDEX(Pagos_Odoo!$F:$F, MATCH(X2262, Pagos_Odoo!$B:$B, 0)), ""))</f>
        <v/>
      </c>
      <c r="AB2262" s="81">
        <f>IF(X2262="Sin Pago",0,IFERROR(INDEX(Pagos_Odoo!$E:$E, MATCH(X2262, Pagos_Odoo!$B:$B, 0)), 0))</f>
        <v/>
      </c>
      <c r="AC2262" s="79">
        <f>IF(X2262="Sin Pago","",IFERROR(INDEX(Pagos_Odoo!$G:$G, MATCH(X2262, Pagos_Odoo!$B:$B, 0)), ""))</f>
        <v/>
      </c>
      <c r="AD2262" s="82" t="n">
        <v>0</v>
      </c>
      <c r="AE2262" s="82" t="n"/>
      <c r="AF2262" s="82" t="n"/>
      <c r="AG2262" s="82">
        <f>IF(AN2262="","",AD2262+AE2262+AF2262)</f>
        <v/>
      </c>
      <c r="AH2262" s="81">
        <f>IF(AN2262="","",P2262*(1-AG2262))</f>
        <v/>
      </c>
      <c r="AI2262" s="81">
        <f>IF(AN2262="","",IF(Q2262="Sin Factura",0,IFERROR(INDEX(Facturas_Odoo!$H:$H, MATCH(Q2262, Facturas_Odoo!$B:$B, 0)), 0)*(1-AG2262)))</f>
        <v/>
      </c>
      <c r="AJ2262" s="81">
        <f>IF(AN2262="","",_xlfn.LET(idVenta, AN2262&amp;"",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62" s="81">
        <f>IF(AN2262="","",AH2262-AJ2262)</f>
        <v/>
      </c>
      <c r="AL2262" s="81">
        <f>IF(AN2262="","",IF(Q2262="Sin Factura","",AI2262-AJ2262))</f>
        <v/>
      </c>
      <c r="AM2262" s="81">
        <f>IF(AN2262="","",IF(Q2262="Sin Factura",0,P2262-IFERROR(INDEX(Facturas_Odoo!$H:$H, MATCH(Q2262, Facturas_Odoo!$B:$B, 0)), 0)))</f>
        <v/>
      </c>
      <c r="AN2262" s="79">
        <f>IF(AND(A2262="", J2262=""), "", IF(A2262&lt;&gt;"", VALUE(MID(A2262,2,LEN(A2262))), AN2261))</f>
        <v/>
      </c>
      <c r="AO2262" s="79">
        <f>IF(AN2262="","",IF(AD2262=0,"OK",_xlfn.LET(monedaPago, IF(AA2262="","USD",AA2262), limitePermitido, IFERROR(VLOOKUP(monedaPago, Configuración!$A$2:$B$3, 2, FALSE), 0.15), IF(AD2262&gt;limitePermitido, "ALERTA: EXCESO (" &amp; TEXT(limitePermitido, "0%") &amp; " máx)", "OK"))))</f>
        <v/>
      </c>
      <c r="AP2262" s="79">
        <f>IF(AN2262="","",IF(AE2262=0,"OK",_xlfn.LET(fechaPago, Z2262, fechaFactura, R2262, diasCredito, IF(E2262="Pago inmediato", 0, IFERROR(VALUE(MID(E2262, 1, SEARCH(" ", E2262)-1)),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62" s="79">
        <f>IF(AN2262="","",IF(AND(N2262&gt;0, AG2262&gt;0), IF(Configuración!$K$2="NO", "ALERTA: DESCUENTO DOBLE NO PERMITIDO", "OK"), "OK"))</f>
        <v/>
      </c>
      <c r="AR2262" s="79">
        <f>IF(AN2262="","",IF(OR(AO2262&lt;&gt;"OK", AP2262&lt;&gt;"OK", AQ2262&lt;&gt;"OK"), "⚠️ REVISAR", "OK"))</f>
        <v/>
      </c>
    </row>
    <row r="2263">
      <c r="A2263" s="79">
        <f>IF('Ordenes_Odoo'!A2263="","",'Ordenes_Odoo'!A2263)</f>
        <v/>
      </c>
      <c r="B2263" s="80">
        <f>IF('Ordenes_Odoo'!B2263="","",'Ordenes_Odoo'!B2263)</f>
        <v/>
      </c>
      <c r="C2263" s="79">
        <f>IF('Ordenes_Odoo'!C2263="","",'Ordenes_Odoo'!C2263)</f>
        <v/>
      </c>
      <c r="D2263" s="79">
        <f>IF('Ordenes_Odoo'!D2263="","",'Ordenes_Odoo'!D2263)</f>
        <v/>
      </c>
      <c r="E2263" s="79">
        <f>IF('Ordenes_Odoo'!E2263="","",'Ordenes_Odoo'!E2263)</f>
        <v/>
      </c>
      <c r="F2263" s="79">
        <f>IF('Ordenes_Odoo'!F2263="","",'Ordenes_Odoo'!F2263)</f>
        <v/>
      </c>
      <c r="G2263" s="79">
        <f>IF('Ordenes_Odoo'!G2263="","",'Ordenes_Odoo'!G2263)</f>
        <v/>
      </c>
      <c r="H2263" s="79">
        <f>IF('Ordenes_Odoo'!H2263="","",'Ordenes_Odoo'!H2263)</f>
        <v/>
      </c>
      <c r="I2263" s="79">
        <f>IF('Ordenes_Odoo'!I2263="","",'Ordenes_Odoo'!I2263)</f>
        <v/>
      </c>
      <c r="J2263" s="79">
        <f>IF('Ordenes_Odoo'!J2263="","",'Ordenes_Odoo'!J2263)</f>
        <v/>
      </c>
      <c r="K2263" s="81">
        <f>IF('Ordenes_Odoo'!K2263="","",'Ordenes_Odoo'!K2263)</f>
        <v/>
      </c>
      <c r="L2263" s="81">
        <f>IF('Ordenes_Odoo'!L2263="","",'Ordenes_Odoo'!L2263)</f>
        <v/>
      </c>
      <c r="M2263" s="79">
        <f>IF('Ordenes_Odoo'!M2263="","",'Ordenes_Odoo'!M2263)</f>
        <v/>
      </c>
      <c r="N2263" s="79">
        <f>IF('Ordenes_Odoo'!N2263="","",'Ordenes_Odoo'!N2263)</f>
        <v/>
      </c>
      <c r="O2263" s="81">
        <f>IF('Ordenes_Odoo'!O2263="","",'Ordenes_Odoo'!O2263)</f>
        <v/>
      </c>
      <c r="P2263" s="81">
        <f>IF('Ordenes_Odoo'!P2263="","",'Ordenes_Odoo'!P2263)</f>
        <v/>
      </c>
      <c r="Q2263" s="79">
        <f>IF(A2263="","",IFERROR(INDEX(Facturas_Odoo!$B:$B, MATCH(A2263, Facturas_Odoo!$D:$D, 0)), "Sin Factura"))</f>
        <v/>
      </c>
      <c r="R2263" s="80">
        <f>IF(Q2263="Sin Factura","",IFERROR(INDEX(Facturas_Odoo!$A:$A, MATCH(Q2263, Facturas_Odoo!$B:$B, 0)), ""))</f>
        <v/>
      </c>
      <c r="S2263" s="79">
        <f>IF(Q2263="Sin Factura","",IFERROR(_xlfn.XLOOKUP(1, (Facturas_Odoo!$D:$D=A2263) * (Facturas_Odoo!$K:$K=I2263), Facturas_Odoo!$L:$L, ""), ""))</f>
        <v/>
      </c>
      <c r="T2263" s="81">
        <f>IF(Q2263="Sin Factura",0,IFERROR(_xlfn.XLOOKUP(1, (Facturas_Odoo!$D:$D=A2263) * (Facturas_Odoo!$K:$K=I2263), Facturas_Odoo!$M:$M, 0), 0))</f>
        <v/>
      </c>
      <c r="U2263" s="79">
        <f>IF(Q2263="Sin Factura",0,IFERROR(_xlfn.XLOOKUP(1, (Facturas_Odoo!$D:$D=A2263) * (Facturas_Odoo!$K:$K=I2263), Facturas_Odoo!$N:$N, 0), 0))</f>
        <v/>
      </c>
      <c r="V2263" s="79">
        <f>IF(Q2263="Sin Factura",0,IFERROR(_xlfn.XLOOKUP(1, (Facturas_Odoo!$D:$D=A2263) * (Facturas_Odoo!$K:$K=I2263), Facturas_Odoo!$O:$O, 0), 0))</f>
        <v/>
      </c>
      <c r="W2263" s="81">
        <f>IF(Q2263="Sin Factura",0,IFERROR(_xlfn.XLOOKUP(1, (Facturas_Odoo!$D:$D=A2263) * (Facturas_Odoo!$K:$K=I2263), Facturas_Odoo!$Q:$Q, 0), 0))</f>
        <v/>
      </c>
      <c r="X2263" s="79">
        <f>IF(OR(Q2263="Sin Factura",Q2263=""),"",IFERROR(INDEX(Pagos_Odoo!$B:$B, MATCH(Q2263, Pagos_Odoo!$I:$I, 0)), "Sin Pago"))</f>
        <v/>
      </c>
      <c r="Y2263" s="79">
        <f>IF(X2263="Sin Pago","",IFERROR(INDEX(Pagos_Odoo!$C:$C, MATCH(X2263, Pagos_Odoo!$B:$B, 0)), ""))</f>
        <v/>
      </c>
      <c r="Z2263" s="80">
        <f>IF(X2263="Sin Pago","",IFERROR(INDEX(Pagos_Odoo!$A:$A, MATCH(X2263, Pagos_Odoo!$B:$B, 0)), ""))</f>
        <v/>
      </c>
      <c r="AA2263" s="79">
        <f>IF(X2263="Sin Pago","",IFERROR(INDEX(Pagos_Odoo!$F:$F, MATCH(X2263, Pagos_Odoo!$B:$B, 0)), ""))</f>
        <v/>
      </c>
      <c r="AB2263" s="81">
        <f>IF(X2263="Sin Pago",0,IFERROR(INDEX(Pagos_Odoo!$E:$E, MATCH(X2263, Pagos_Odoo!$B:$B, 0)), 0))</f>
        <v/>
      </c>
      <c r="AC2263" s="79">
        <f>IF(X2263="Sin Pago","",IFERROR(INDEX(Pagos_Odoo!$G:$G, MATCH(X2263, Pagos_Odoo!$B:$B, 0)), ""))</f>
        <v/>
      </c>
      <c r="AD2263" s="82" t="n">
        <v>0</v>
      </c>
      <c r="AE2263" s="82" t="n"/>
      <c r="AF2263" s="82" t="n"/>
      <c r="AG2263" s="82">
        <f>IF(AN2263="","",AD2263+AE2263+AF2263)</f>
        <v/>
      </c>
      <c r="AH2263" s="81">
        <f>IF(AN2263="","",P2263*(1-AG2263))</f>
        <v/>
      </c>
      <c r="AI2263" s="81">
        <f>IF(AN2263="","",IF(Q2263="Sin Factura",0,IFERROR(INDEX(Facturas_Odoo!$H:$H, MATCH(Q2263, Facturas_Odoo!$B:$B, 0)), 0)*(1-AG2263)))</f>
        <v/>
      </c>
      <c r="AJ2263" s="81">
        <f>IF(AN2263="","",_xlfn.LET(idVenta, AN2263&amp;"",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63" s="81">
        <f>IF(AN2263="","",AH2263-AJ2263)</f>
        <v/>
      </c>
      <c r="AL2263" s="81">
        <f>IF(AN2263="","",IF(Q2263="Sin Factura","",AI2263-AJ2263))</f>
        <v/>
      </c>
      <c r="AM2263" s="81">
        <f>IF(AN2263="","",IF(Q2263="Sin Factura",0,P2263-IFERROR(INDEX(Facturas_Odoo!$H:$H, MATCH(Q2263, Facturas_Odoo!$B:$B, 0)), 0)))</f>
        <v/>
      </c>
      <c r="AN2263" s="79">
        <f>IF(AND(A2263="", J2263=""), "", IF(A2263&lt;&gt;"", VALUE(MID(A2263,2,LEN(A2263))), AN2262))</f>
        <v/>
      </c>
      <c r="AO2263" s="79">
        <f>IF(AN2263="","",IF(AD2263=0,"OK",_xlfn.LET(monedaPago, IF(AA2263="","USD",AA2263), limitePermitido, IFERROR(VLOOKUP(monedaPago, Configuración!$A$2:$B$3, 2, FALSE), 0.15), IF(AD2263&gt;limitePermitido, "ALERTA: EXCESO (" &amp; TEXT(limitePermitido, "0%") &amp; " máx)", "OK"))))</f>
        <v/>
      </c>
      <c r="AP2263" s="79">
        <f>IF(AN2263="","",IF(AE2263=0,"OK",_xlfn.LET(fechaPago, Z2263, fechaFactura, R2263, diasCredito, IF(E2263="Pago inmediato", 0, IFERROR(VALUE(MID(E2263, 1, SEARCH(" ", E2263)-1)),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63" s="79">
        <f>IF(AN2263="","",IF(AND(N2263&gt;0, AG2263&gt;0), IF(Configuración!$K$2="NO", "ALERTA: DESCUENTO DOBLE NO PERMITIDO", "OK"), "OK"))</f>
        <v/>
      </c>
      <c r="AR2263" s="79">
        <f>IF(AN2263="","",IF(OR(AO2263&lt;&gt;"OK", AP2263&lt;&gt;"OK", AQ2263&lt;&gt;"OK"), "⚠️ REVISAR", "OK"))</f>
        <v/>
      </c>
    </row>
    <row r="2264">
      <c r="A2264" s="79">
        <f>IF('Ordenes_Odoo'!A2264="","",'Ordenes_Odoo'!A2264)</f>
        <v/>
      </c>
      <c r="B2264" s="80">
        <f>IF('Ordenes_Odoo'!B2264="","",'Ordenes_Odoo'!B2264)</f>
        <v/>
      </c>
      <c r="C2264" s="79">
        <f>IF('Ordenes_Odoo'!C2264="","",'Ordenes_Odoo'!C2264)</f>
        <v/>
      </c>
      <c r="D2264" s="79">
        <f>IF('Ordenes_Odoo'!D2264="","",'Ordenes_Odoo'!D2264)</f>
        <v/>
      </c>
      <c r="E2264" s="79">
        <f>IF('Ordenes_Odoo'!E2264="","",'Ordenes_Odoo'!E2264)</f>
        <v/>
      </c>
      <c r="F2264" s="79">
        <f>IF('Ordenes_Odoo'!F2264="","",'Ordenes_Odoo'!F2264)</f>
        <v/>
      </c>
      <c r="G2264" s="79">
        <f>IF('Ordenes_Odoo'!G2264="","",'Ordenes_Odoo'!G2264)</f>
        <v/>
      </c>
      <c r="H2264" s="79">
        <f>IF('Ordenes_Odoo'!H2264="","",'Ordenes_Odoo'!H2264)</f>
        <v/>
      </c>
      <c r="I2264" s="79">
        <f>IF('Ordenes_Odoo'!I2264="","",'Ordenes_Odoo'!I2264)</f>
        <v/>
      </c>
      <c r="J2264" s="79">
        <f>IF('Ordenes_Odoo'!J2264="","",'Ordenes_Odoo'!J2264)</f>
        <v/>
      </c>
      <c r="K2264" s="81">
        <f>IF('Ordenes_Odoo'!K2264="","",'Ordenes_Odoo'!K2264)</f>
        <v/>
      </c>
      <c r="L2264" s="81">
        <f>IF('Ordenes_Odoo'!L2264="","",'Ordenes_Odoo'!L2264)</f>
        <v/>
      </c>
      <c r="M2264" s="79">
        <f>IF('Ordenes_Odoo'!M2264="","",'Ordenes_Odoo'!M2264)</f>
        <v/>
      </c>
      <c r="N2264" s="79">
        <f>IF('Ordenes_Odoo'!N2264="","",'Ordenes_Odoo'!N2264)</f>
        <v/>
      </c>
      <c r="O2264" s="81">
        <f>IF('Ordenes_Odoo'!O2264="","",'Ordenes_Odoo'!O2264)</f>
        <v/>
      </c>
      <c r="P2264" s="81">
        <f>IF('Ordenes_Odoo'!P2264="","",'Ordenes_Odoo'!P2264)</f>
        <v/>
      </c>
      <c r="Q2264" s="79">
        <f>IF(A2264="","",IFERROR(INDEX(Facturas_Odoo!$B:$B, MATCH(A2264, Facturas_Odoo!$D:$D, 0)), "Sin Factura"))</f>
        <v/>
      </c>
      <c r="R2264" s="80">
        <f>IF(Q2264="Sin Factura","",IFERROR(INDEX(Facturas_Odoo!$A:$A, MATCH(Q2264, Facturas_Odoo!$B:$B, 0)), ""))</f>
        <v/>
      </c>
      <c r="S2264" s="79">
        <f>IF(Q2264="Sin Factura","",IFERROR(_xlfn.XLOOKUP(1, (Facturas_Odoo!$D:$D=A2264) * (Facturas_Odoo!$K:$K=I2264), Facturas_Odoo!$L:$L, ""), ""))</f>
        <v/>
      </c>
      <c r="T2264" s="81">
        <f>IF(Q2264="Sin Factura",0,IFERROR(_xlfn.XLOOKUP(1, (Facturas_Odoo!$D:$D=A2264) * (Facturas_Odoo!$K:$K=I2264), Facturas_Odoo!$M:$M, 0), 0))</f>
        <v/>
      </c>
      <c r="U2264" s="79">
        <f>IF(Q2264="Sin Factura",0,IFERROR(_xlfn.XLOOKUP(1, (Facturas_Odoo!$D:$D=A2264) * (Facturas_Odoo!$K:$K=I2264), Facturas_Odoo!$N:$N, 0), 0))</f>
        <v/>
      </c>
      <c r="V2264" s="79">
        <f>IF(Q2264="Sin Factura",0,IFERROR(_xlfn.XLOOKUP(1, (Facturas_Odoo!$D:$D=A2264) * (Facturas_Odoo!$K:$K=I2264), Facturas_Odoo!$O:$O, 0), 0))</f>
        <v/>
      </c>
      <c r="W2264" s="81">
        <f>IF(Q2264="Sin Factura",0,IFERROR(_xlfn.XLOOKUP(1, (Facturas_Odoo!$D:$D=A2264) * (Facturas_Odoo!$K:$K=I2264), Facturas_Odoo!$Q:$Q, 0), 0))</f>
        <v/>
      </c>
      <c r="X2264" s="79">
        <f>IF(OR(Q2264="Sin Factura",Q2264=""),"",IFERROR(INDEX(Pagos_Odoo!$B:$B, MATCH(Q2264, Pagos_Odoo!$I:$I, 0)), "Sin Pago"))</f>
        <v/>
      </c>
      <c r="Y2264" s="79">
        <f>IF(X2264="Sin Pago","",IFERROR(INDEX(Pagos_Odoo!$C:$C, MATCH(X2264, Pagos_Odoo!$B:$B, 0)), ""))</f>
        <v/>
      </c>
      <c r="Z2264" s="80">
        <f>IF(X2264="Sin Pago","",IFERROR(INDEX(Pagos_Odoo!$A:$A, MATCH(X2264, Pagos_Odoo!$B:$B, 0)), ""))</f>
        <v/>
      </c>
      <c r="AA2264" s="79">
        <f>IF(X2264="Sin Pago","",IFERROR(INDEX(Pagos_Odoo!$F:$F, MATCH(X2264, Pagos_Odoo!$B:$B, 0)), ""))</f>
        <v/>
      </c>
      <c r="AB2264" s="81">
        <f>IF(X2264="Sin Pago",0,IFERROR(INDEX(Pagos_Odoo!$E:$E, MATCH(X2264, Pagos_Odoo!$B:$B, 0)), 0))</f>
        <v/>
      </c>
      <c r="AC2264" s="79">
        <f>IF(X2264="Sin Pago","",IFERROR(INDEX(Pagos_Odoo!$G:$G, MATCH(X2264, Pagos_Odoo!$B:$B, 0)), ""))</f>
        <v/>
      </c>
      <c r="AD2264" s="82" t="n">
        <v>0</v>
      </c>
      <c r="AE2264" s="82" t="n"/>
      <c r="AF2264" s="82" t="n"/>
      <c r="AG2264" s="82">
        <f>IF(AN2264="","",AD2264+AE2264+AF2264)</f>
        <v/>
      </c>
      <c r="AH2264" s="81">
        <f>IF(AN2264="","",P2264*(1-AG2264))</f>
        <v/>
      </c>
      <c r="AI2264" s="81">
        <f>IF(AN2264="","",IF(Q2264="Sin Factura",0,IFERROR(INDEX(Facturas_Odoo!$H:$H, MATCH(Q2264, Facturas_Odoo!$B:$B, 0)), 0)*(1-AG2264)))</f>
        <v/>
      </c>
      <c r="AJ2264" s="81">
        <f>IF(AN2264="","",_xlfn.LET(idVenta, AN2264&amp;"",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64" s="81">
        <f>IF(AN2264="","",AH2264-AJ2264)</f>
        <v/>
      </c>
      <c r="AL2264" s="81">
        <f>IF(AN2264="","",IF(Q2264="Sin Factura","",AI2264-AJ2264))</f>
        <v/>
      </c>
      <c r="AM2264" s="81">
        <f>IF(AN2264="","",IF(Q2264="Sin Factura",0,P2264-IFERROR(INDEX(Facturas_Odoo!$H:$H, MATCH(Q2264, Facturas_Odoo!$B:$B, 0)), 0)))</f>
        <v/>
      </c>
      <c r="AN2264" s="79">
        <f>IF(AND(A2264="", J2264=""), "", IF(A2264&lt;&gt;"", VALUE(MID(A2264,2,LEN(A2264))), AN2263))</f>
        <v/>
      </c>
      <c r="AO2264" s="79">
        <f>IF(AN2264="","",IF(AD2264=0,"OK",_xlfn.LET(monedaPago, IF(AA2264="","USD",AA2264), limitePermitido, IFERROR(VLOOKUP(monedaPago, Configuración!$A$2:$B$3, 2, FALSE), 0.15), IF(AD2264&gt;limitePermitido, "ALERTA: EXCESO (" &amp; TEXT(limitePermitido, "0%") &amp; " máx)", "OK"))))</f>
        <v/>
      </c>
      <c r="AP2264" s="79">
        <f>IF(AN2264="","",IF(AE2264=0,"OK",_xlfn.LET(fechaPago, Z2264, fechaFactura, R2264, diasCredito, IF(E2264="Pago inmediato", 0, IFERROR(VALUE(MID(E2264, 1, SEARCH(" ", E2264)-1)),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64" s="79">
        <f>IF(AN2264="","",IF(AND(N2264&gt;0, AG2264&gt;0), IF(Configuración!$K$2="NO", "ALERTA: DESCUENTO DOBLE NO PERMITIDO", "OK"), "OK"))</f>
        <v/>
      </c>
      <c r="AR2264" s="79">
        <f>IF(AN2264="","",IF(OR(AO2264&lt;&gt;"OK", AP2264&lt;&gt;"OK", AQ2264&lt;&gt;"OK"), "⚠️ REVISAR", "OK"))</f>
        <v/>
      </c>
    </row>
    <row r="2265">
      <c r="A2265" s="79">
        <f>IF('Ordenes_Odoo'!A2265="","",'Ordenes_Odoo'!A2265)</f>
        <v/>
      </c>
      <c r="B2265" s="80">
        <f>IF('Ordenes_Odoo'!B2265="","",'Ordenes_Odoo'!B2265)</f>
        <v/>
      </c>
      <c r="C2265" s="79">
        <f>IF('Ordenes_Odoo'!C2265="","",'Ordenes_Odoo'!C2265)</f>
        <v/>
      </c>
      <c r="D2265" s="79">
        <f>IF('Ordenes_Odoo'!D2265="","",'Ordenes_Odoo'!D2265)</f>
        <v/>
      </c>
      <c r="E2265" s="79">
        <f>IF('Ordenes_Odoo'!E2265="","",'Ordenes_Odoo'!E2265)</f>
        <v/>
      </c>
      <c r="F2265" s="79">
        <f>IF('Ordenes_Odoo'!F2265="","",'Ordenes_Odoo'!F2265)</f>
        <v/>
      </c>
      <c r="G2265" s="79">
        <f>IF('Ordenes_Odoo'!G2265="","",'Ordenes_Odoo'!G2265)</f>
        <v/>
      </c>
      <c r="H2265" s="79">
        <f>IF('Ordenes_Odoo'!H2265="","",'Ordenes_Odoo'!H2265)</f>
        <v/>
      </c>
      <c r="I2265" s="79">
        <f>IF('Ordenes_Odoo'!I2265="","",'Ordenes_Odoo'!I2265)</f>
        <v/>
      </c>
      <c r="J2265" s="79">
        <f>IF('Ordenes_Odoo'!J2265="","",'Ordenes_Odoo'!J2265)</f>
        <v/>
      </c>
      <c r="K2265" s="81">
        <f>IF('Ordenes_Odoo'!K2265="","",'Ordenes_Odoo'!K2265)</f>
        <v/>
      </c>
      <c r="L2265" s="81">
        <f>IF('Ordenes_Odoo'!L2265="","",'Ordenes_Odoo'!L2265)</f>
        <v/>
      </c>
      <c r="M2265" s="79">
        <f>IF('Ordenes_Odoo'!M2265="","",'Ordenes_Odoo'!M2265)</f>
        <v/>
      </c>
      <c r="N2265" s="79">
        <f>IF('Ordenes_Odoo'!N2265="","",'Ordenes_Odoo'!N2265)</f>
        <v/>
      </c>
      <c r="O2265" s="81">
        <f>IF('Ordenes_Odoo'!O2265="","",'Ordenes_Odoo'!O2265)</f>
        <v/>
      </c>
      <c r="P2265" s="81">
        <f>IF('Ordenes_Odoo'!P2265="","",'Ordenes_Odoo'!P2265)</f>
        <v/>
      </c>
      <c r="Q2265" s="79">
        <f>IF(A2265="","",IFERROR(INDEX(Facturas_Odoo!$B:$B, MATCH(A2265, Facturas_Odoo!$D:$D, 0)), "Sin Factura"))</f>
        <v/>
      </c>
      <c r="R2265" s="80">
        <f>IF(Q2265="Sin Factura","",IFERROR(INDEX(Facturas_Odoo!$A:$A, MATCH(Q2265, Facturas_Odoo!$B:$B, 0)), ""))</f>
        <v/>
      </c>
      <c r="S2265" s="79">
        <f>IF(Q2265="Sin Factura","",IFERROR(_xlfn.XLOOKUP(1, (Facturas_Odoo!$D:$D=A2265) * (Facturas_Odoo!$K:$K=I2265), Facturas_Odoo!$L:$L, ""), ""))</f>
        <v/>
      </c>
      <c r="T2265" s="81">
        <f>IF(Q2265="Sin Factura",0,IFERROR(_xlfn.XLOOKUP(1, (Facturas_Odoo!$D:$D=A2265) * (Facturas_Odoo!$K:$K=I2265), Facturas_Odoo!$M:$M, 0), 0))</f>
        <v/>
      </c>
      <c r="U2265" s="79">
        <f>IF(Q2265="Sin Factura",0,IFERROR(_xlfn.XLOOKUP(1, (Facturas_Odoo!$D:$D=A2265) * (Facturas_Odoo!$K:$K=I2265), Facturas_Odoo!$N:$N, 0), 0))</f>
        <v/>
      </c>
      <c r="V2265" s="79">
        <f>IF(Q2265="Sin Factura",0,IFERROR(_xlfn.XLOOKUP(1, (Facturas_Odoo!$D:$D=A2265) * (Facturas_Odoo!$K:$K=I2265), Facturas_Odoo!$O:$O, 0), 0))</f>
        <v/>
      </c>
      <c r="W2265" s="81">
        <f>IF(Q2265="Sin Factura",0,IFERROR(_xlfn.XLOOKUP(1, (Facturas_Odoo!$D:$D=A2265) * (Facturas_Odoo!$K:$K=I2265), Facturas_Odoo!$Q:$Q, 0), 0))</f>
        <v/>
      </c>
      <c r="X2265" s="79">
        <f>IF(OR(Q2265="Sin Factura",Q2265=""),"",IFERROR(INDEX(Pagos_Odoo!$B:$B, MATCH(Q2265, Pagos_Odoo!$I:$I, 0)), "Sin Pago"))</f>
        <v/>
      </c>
      <c r="Y2265" s="79">
        <f>IF(X2265="Sin Pago","",IFERROR(INDEX(Pagos_Odoo!$C:$C, MATCH(X2265, Pagos_Odoo!$B:$B, 0)), ""))</f>
        <v/>
      </c>
      <c r="Z2265" s="80">
        <f>IF(X2265="Sin Pago","",IFERROR(INDEX(Pagos_Odoo!$A:$A, MATCH(X2265, Pagos_Odoo!$B:$B, 0)), ""))</f>
        <v/>
      </c>
      <c r="AA2265" s="79">
        <f>IF(X2265="Sin Pago","",IFERROR(INDEX(Pagos_Odoo!$F:$F, MATCH(X2265, Pagos_Odoo!$B:$B, 0)), ""))</f>
        <v/>
      </c>
      <c r="AB2265" s="81">
        <f>IF(X2265="Sin Pago",0,IFERROR(INDEX(Pagos_Odoo!$E:$E, MATCH(X2265, Pagos_Odoo!$B:$B, 0)), 0))</f>
        <v/>
      </c>
      <c r="AC2265" s="79">
        <f>IF(X2265="Sin Pago","",IFERROR(INDEX(Pagos_Odoo!$G:$G, MATCH(X2265, Pagos_Odoo!$B:$B, 0)), ""))</f>
        <v/>
      </c>
      <c r="AD2265" s="82" t="n">
        <v>0</v>
      </c>
      <c r="AE2265" s="82" t="n"/>
      <c r="AF2265" s="82" t="n"/>
      <c r="AG2265" s="82">
        <f>IF(AN2265="","",AD2265+AE2265+AF2265)</f>
        <v/>
      </c>
      <c r="AH2265" s="81">
        <f>IF(AN2265="","",P2265*(1-AG2265))</f>
        <v/>
      </c>
      <c r="AI2265" s="81">
        <f>IF(AN2265="","",IF(Q2265="Sin Factura",0,IFERROR(INDEX(Facturas_Odoo!$H:$H, MATCH(Q2265, Facturas_Odoo!$B:$B, 0)), 0)*(1-AG2265)))</f>
        <v/>
      </c>
      <c r="AJ2265" s="81">
        <f>IF(AN2265="","",_xlfn.LET(idVenta, AN2265&amp;"",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65" s="81">
        <f>IF(AN2265="","",AH2265-AJ2265)</f>
        <v/>
      </c>
      <c r="AL2265" s="81">
        <f>IF(AN2265="","",IF(Q2265="Sin Factura","",AI2265-AJ2265))</f>
        <v/>
      </c>
      <c r="AM2265" s="81">
        <f>IF(AN2265="","",IF(Q2265="Sin Factura",0,P2265-IFERROR(INDEX(Facturas_Odoo!$H:$H, MATCH(Q2265, Facturas_Odoo!$B:$B, 0)), 0)))</f>
        <v/>
      </c>
      <c r="AN2265" s="79">
        <f>IF(AND(A2265="", J2265=""), "", IF(A2265&lt;&gt;"", VALUE(MID(A2265,2,LEN(A2265))), AN2264))</f>
        <v/>
      </c>
      <c r="AO2265" s="79">
        <f>IF(AN2265="","",IF(AD2265=0,"OK",_xlfn.LET(monedaPago, IF(AA2265="","USD",AA2265), limitePermitido, IFERROR(VLOOKUP(monedaPago, Configuración!$A$2:$B$3, 2, FALSE), 0.15), IF(AD2265&gt;limitePermitido, "ALERTA: EXCESO (" &amp; TEXT(limitePermitido, "0%") &amp; " máx)", "OK"))))</f>
        <v/>
      </c>
      <c r="AP2265" s="79">
        <f>IF(AN2265="","",IF(AE2265=0,"OK",_xlfn.LET(fechaPago, Z2265, fechaFactura, R2265, diasCredito, IF(E2265="Pago inmediato", 0, IFERROR(VALUE(MID(E2265, 1, SEARCH(" ", E2265)-1)),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65" s="79">
        <f>IF(AN2265="","",IF(AND(N2265&gt;0, AG2265&gt;0), IF(Configuración!$K$2="NO", "ALERTA: DESCUENTO DOBLE NO PERMITIDO", "OK"), "OK"))</f>
        <v/>
      </c>
      <c r="AR2265" s="79">
        <f>IF(AN2265="","",IF(OR(AO2265&lt;&gt;"OK", AP2265&lt;&gt;"OK", AQ2265&lt;&gt;"OK"), "⚠️ REVISAR", "OK"))</f>
        <v/>
      </c>
    </row>
    <row r="2266">
      <c r="A2266" s="79">
        <f>IF('Ordenes_Odoo'!A2266="","",'Ordenes_Odoo'!A2266)</f>
        <v/>
      </c>
      <c r="B2266" s="80">
        <f>IF('Ordenes_Odoo'!B2266="","",'Ordenes_Odoo'!B2266)</f>
        <v/>
      </c>
      <c r="C2266" s="79">
        <f>IF('Ordenes_Odoo'!C2266="","",'Ordenes_Odoo'!C2266)</f>
        <v/>
      </c>
      <c r="D2266" s="79">
        <f>IF('Ordenes_Odoo'!D2266="","",'Ordenes_Odoo'!D2266)</f>
        <v/>
      </c>
      <c r="E2266" s="79">
        <f>IF('Ordenes_Odoo'!E2266="","",'Ordenes_Odoo'!E2266)</f>
        <v/>
      </c>
      <c r="F2266" s="79">
        <f>IF('Ordenes_Odoo'!F2266="","",'Ordenes_Odoo'!F2266)</f>
        <v/>
      </c>
      <c r="G2266" s="79">
        <f>IF('Ordenes_Odoo'!G2266="","",'Ordenes_Odoo'!G2266)</f>
        <v/>
      </c>
      <c r="H2266" s="79">
        <f>IF('Ordenes_Odoo'!H2266="","",'Ordenes_Odoo'!H2266)</f>
        <v/>
      </c>
      <c r="I2266" s="79">
        <f>IF('Ordenes_Odoo'!I2266="","",'Ordenes_Odoo'!I2266)</f>
        <v/>
      </c>
      <c r="J2266" s="79">
        <f>IF('Ordenes_Odoo'!J2266="","",'Ordenes_Odoo'!J2266)</f>
        <v/>
      </c>
      <c r="K2266" s="81">
        <f>IF('Ordenes_Odoo'!K2266="","",'Ordenes_Odoo'!K2266)</f>
        <v/>
      </c>
      <c r="L2266" s="81">
        <f>IF('Ordenes_Odoo'!L2266="","",'Ordenes_Odoo'!L2266)</f>
        <v/>
      </c>
      <c r="M2266" s="79">
        <f>IF('Ordenes_Odoo'!M2266="","",'Ordenes_Odoo'!M2266)</f>
        <v/>
      </c>
      <c r="N2266" s="79">
        <f>IF('Ordenes_Odoo'!N2266="","",'Ordenes_Odoo'!N2266)</f>
        <v/>
      </c>
      <c r="O2266" s="81">
        <f>IF('Ordenes_Odoo'!O2266="","",'Ordenes_Odoo'!O2266)</f>
        <v/>
      </c>
      <c r="P2266" s="81">
        <f>IF('Ordenes_Odoo'!P2266="","",'Ordenes_Odoo'!P2266)</f>
        <v/>
      </c>
      <c r="Q2266" s="79">
        <f>IF(A2266="","",IFERROR(INDEX(Facturas_Odoo!$B:$B, MATCH(A2266, Facturas_Odoo!$D:$D, 0)), "Sin Factura"))</f>
        <v/>
      </c>
      <c r="R2266" s="80">
        <f>IF(Q2266="Sin Factura","",IFERROR(INDEX(Facturas_Odoo!$A:$A, MATCH(Q2266, Facturas_Odoo!$B:$B, 0)), ""))</f>
        <v/>
      </c>
      <c r="S2266" s="79">
        <f>IF(Q2266="Sin Factura","",IFERROR(_xlfn.XLOOKUP(1, (Facturas_Odoo!$D:$D=A2266) * (Facturas_Odoo!$K:$K=I2266), Facturas_Odoo!$L:$L, ""), ""))</f>
        <v/>
      </c>
      <c r="T2266" s="81">
        <f>IF(Q2266="Sin Factura",0,IFERROR(_xlfn.XLOOKUP(1, (Facturas_Odoo!$D:$D=A2266) * (Facturas_Odoo!$K:$K=I2266), Facturas_Odoo!$M:$M, 0), 0))</f>
        <v/>
      </c>
      <c r="U2266" s="79">
        <f>IF(Q2266="Sin Factura",0,IFERROR(_xlfn.XLOOKUP(1, (Facturas_Odoo!$D:$D=A2266) * (Facturas_Odoo!$K:$K=I2266), Facturas_Odoo!$N:$N, 0), 0))</f>
        <v/>
      </c>
      <c r="V2266" s="79">
        <f>IF(Q2266="Sin Factura",0,IFERROR(_xlfn.XLOOKUP(1, (Facturas_Odoo!$D:$D=A2266) * (Facturas_Odoo!$K:$K=I2266), Facturas_Odoo!$O:$O, 0), 0))</f>
        <v/>
      </c>
      <c r="W2266" s="81">
        <f>IF(Q2266="Sin Factura",0,IFERROR(_xlfn.XLOOKUP(1, (Facturas_Odoo!$D:$D=A2266) * (Facturas_Odoo!$K:$K=I2266), Facturas_Odoo!$Q:$Q, 0), 0))</f>
        <v/>
      </c>
      <c r="X2266" s="79">
        <f>IF(OR(Q2266="Sin Factura",Q2266=""),"",IFERROR(INDEX(Pagos_Odoo!$B:$B, MATCH(Q2266, Pagos_Odoo!$I:$I, 0)), "Sin Pago"))</f>
        <v/>
      </c>
      <c r="Y2266" s="79">
        <f>IF(X2266="Sin Pago","",IFERROR(INDEX(Pagos_Odoo!$C:$C, MATCH(X2266, Pagos_Odoo!$B:$B, 0)), ""))</f>
        <v/>
      </c>
      <c r="Z2266" s="80">
        <f>IF(X2266="Sin Pago","",IFERROR(INDEX(Pagos_Odoo!$A:$A, MATCH(X2266, Pagos_Odoo!$B:$B, 0)), ""))</f>
        <v/>
      </c>
      <c r="AA2266" s="79">
        <f>IF(X2266="Sin Pago","",IFERROR(INDEX(Pagos_Odoo!$F:$F, MATCH(X2266, Pagos_Odoo!$B:$B, 0)), ""))</f>
        <v/>
      </c>
      <c r="AB2266" s="81">
        <f>IF(X2266="Sin Pago",0,IFERROR(INDEX(Pagos_Odoo!$E:$E, MATCH(X2266, Pagos_Odoo!$B:$B, 0)), 0))</f>
        <v/>
      </c>
      <c r="AC2266" s="79">
        <f>IF(X2266="Sin Pago","",IFERROR(INDEX(Pagos_Odoo!$G:$G, MATCH(X2266, Pagos_Odoo!$B:$B, 0)), ""))</f>
        <v/>
      </c>
      <c r="AD2266" s="82" t="n">
        <v>0</v>
      </c>
      <c r="AE2266" s="82" t="n"/>
      <c r="AF2266" s="82" t="n"/>
      <c r="AG2266" s="82">
        <f>IF(AN2266="","",AD2266+AE2266+AF2266)</f>
        <v/>
      </c>
      <c r="AH2266" s="81">
        <f>IF(AN2266="","",P2266*(1-AG2266))</f>
        <v/>
      </c>
      <c r="AI2266" s="81">
        <f>IF(AN2266="","",IF(Q2266="Sin Factura",0,IFERROR(INDEX(Facturas_Odoo!$H:$H, MATCH(Q2266, Facturas_Odoo!$B:$B, 0)), 0)*(1-AG2266)))</f>
        <v/>
      </c>
      <c r="AJ2266" s="81">
        <f>IF(AN2266="","",_xlfn.LET(idVenta, AN2266&amp;"",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66" s="81">
        <f>IF(AN2266="","",AH2266-AJ2266)</f>
        <v/>
      </c>
      <c r="AL2266" s="81">
        <f>IF(AN2266="","",IF(Q2266="Sin Factura","",AI2266-AJ2266))</f>
        <v/>
      </c>
      <c r="AM2266" s="81">
        <f>IF(AN2266="","",IF(Q2266="Sin Factura",0,P2266-IFERROR(INDEX(Facturas_Odoo!$H:$H, MATCH(Q2266, Facturas_Odoo!$B:$B, 0)), 0)))</f>
        <v/>
      </c>
      <c r="AN2266" s="79">
        <f>IF(AND(A2266="", J2266=""), "", IF(A2266&lt;&gt;"", VALUE(MID(A2266,2,LEN(A2266))), AN2265))</f>
        <v/>
      </c>
      <c r="AO2266" s="79">
        <f>IF(AN2266="","",IF(AD2266=0,"OK",_xlfn.LET(monedaPago, IF(AA2266="","USD",AA2266), limitePermitido, IFERROR(VLOOKUP(monedaPago, Configuración!$A$2:$B$3, 2, FALSE), 0.15), IF(AD2266&gt;limitePermitido, "ALERTA: EXCESO (" &amp; TEXT(limitePermitido, "0%") &amp; " máx)", "OK"))))</f>
        <v/>
      </c>
      <c r="AP2266" s="79">
        <f>IF(AN2266="","",IF(AE2266=0,"OK",_xlfn.LET(fechaPago, Z2266, fechaFactura, R2266, diasCredito, IF(E2266="Pago inmediato", 0, IFERROR(VALUE(MID(E2266, 1, SEARCH(" ", E2266)-1)),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66" s="79">
        <f>IF(AN2266="","",IF(AND(N2266&gt;0, AG2266&gt;0), IF(Configuración!$K$2="NO", "ALERTA: DESCUENTO DOBLE NO PERMITIDO", "OK"), "OK"))</f>
        <v/>
      </c>
      <c r="AR2266" s="79">
        <f>IF(AN2266="","",IF(OR(AO2266&lt;&gt;"OK", AP2266&lt;&gt;"OK", AQ2266&lt;&gt;"OK"), "⚠️ REVISAR", "OK"))</f>
        <v/>
      </c>
    </row>
    <row r="2267">
      <c r="A2267" s="79">
        <f>IF('Ordenes_Odoo'!A2267="","",'Ordenes_Odoo'!A2267)</f>
        <v/>
      </c>
      <c r="B2267" s="80">
        <f>IF('Ordenes_Odoo'!B2267="","",'Ordenes_Odoo'!B2267)</f>
        <v/>
      </c>
      <c r="C2267" s="79">
        <f>IF('Ordenes_Odoo'!C2267="","",'Ordenes_Odoo'!C2267)</f>
        <v/>
      </c>
      <c r="D2267" s="79">
        <f>IF('Ordenes_Odoo'!D2267="","",'Ordenes_Odoo'!D2267)</f>
        <v/>
      </c>
      <c r="E2267" s="79">
        <f>IF('Ordenes_Odoo'!E2267="","",'Ordenes_Odoo'!E2267)</f>
        <v/>
      </c>
      <c r="F2267" s="79">
        <f>IF('Ordenes_Odoo'!F2267="","",'Ordenes_Odoo'!F2267)</f>
        <v/>
      </c>
      <c r="G2267" s="79">
        <f>IF('Ordenes_Odoo'!G2267="","",'Ordenes_Odoo'!G2267)</f>
        <v/>
      </c>
      <c r="H2267" s="79">
        <f>IF('Ordenes_Odoo'!H2267="","",'Ordenes_Odoo'!H2267)</f>
        <v/>
      </c>
      <c r="I2267" s="79">
        <f>IF('Ordenes_Odoo'!I2267="","",'Ordenes_Odoo'!I2267)</f>
        <v/>
      </c>
      <c r="J2267" s="79">
        <f>IF('Ordenes_Odoo'!J2267="","",'Ordenes_Odoo'!J2267)</f>
        <v/>
      </c>
      <c r="K2267" s="81">
        <f>IF('Ordenes_Odoo'!K2267="","",'Ordenes_Odoo'!K2267)</f>
        <v/>
      </c>
      <c r="L2267" s="81">
        <f>IF('Ordenes_Odoo'!L2267="","",'Ordenes_Odoo'!L2267)</f>
        <v/>
      </c>
      <c r="M2267" s="79">
        <f>IF('Ordenes_Odoo'!M2267="","",'Ordenes_Odoo'!M2267)</f>
        <v/>
      </c>
      <c r="N2267" s="79">
        <f>IF('Ordenes_Odoo'!N2267="","",'Ordenes_Odoo'!N2267)</f>
        <v/>
      </c>
      <c r="O2267" s="81">
        <f>IF('Ordenes_Odoo'!O2267="","",'Ordenes_Odoo'!O2267)</f>
        <v/>
      </c>
      <c r="P2267" s="81">
        <f>IF('Ordenes_Odoo'!P2267="","",'Ordenes_Odoo'!P2267)</f>
        <v/>
      </c>
      <c r="Q2267" s="79">
        <f>IF(A2267="","",IFERROR(INDEX(Facturas_Odoo!$B:$B, MATCH(A2267, Facturas_Odoo!$D:$D, 0)), "Sin Factura"))</f>
        <v/>
      </c>
      <c r="R2267" s="80">
        <f>IF(Q2267="Sin Factura","",IFERROR(INDEX(Facturas_Odoo!$A:$A, MATCH(Q2267, Facturas_Odoo!$B:$B, 0)), ""))</f>
        <v/>
      </c>
      <c r="S2267" s="79">
        <f>IF(Q2267="Sin Factura","",IFERROR(_xlfn.XLOOKUP(1, (Facturas_Odoo!$D:$D=A2267) * (Facturas_Odoo!$K:$K=I2267), Facturas_Odoo!$L:$L, ""), ""))</f>
        <v/>
      </c>
      <c r="T2267" s="81">
        <f>IF(Q2267="Sin Factura",0,IFERROR(_xlfn.XLOOKUP(1, (Facturas_Odoo!$D:$D=A2267) * (Facturas_Odoo!$K:$K=I2267), Facturas_Odoo!$M:$M, 0), 0))</f>
        <v/>
      </c>
      <c r="U2267" s="79">
        <f>IF(Q2267="Sin Factura",0,IFERROR(_xlfn.XLOOKUP(1, (Facturas_Odoo!$D:$D=A2267) * (Facturas_Odoo!$K:$K=I2267), Facturas_Odoo!$N:$N, 0), 0))</f>
        <v/>
      </c>
      <c r="V2267" s="79">
        <f>IF(Q2267="Sin Factura",0,IFERROR(_xlfn.XLOOKUP(1, (Facturas_Odoo!$D:$D=A2267) * (Facturas_Odoo!$K:$K=I2267), Facturas_Odoo!$O:$O, 0), 0))</f>
        <v/>
      </c>
      <c r="W2267" s="81">
        <f>IF(Q2267="Sin Factura",0,IFERROR(_xlfn.XLOOKUP(1, (Facturas_Odoo!$D:$D=A2267) * (Facturas_Odoo!$K:$K=I2267), Facturas_Odoo!$Q:$Q, 0), 0))</f>
        <v/>
      </c>
      <c r="X2267" s="79">
        <f>IF(OR(Q2267="Sin Factura",Q2267=""),"",IFERROR(INDEX(Pagos_Odoo!$B:$B, MATCH(Q2267, Pagos_Odoo!$I:$I, 0)), "Sin Pago"))</f>
        <v/>
      </c>
      <c r="Y2267" s="79">
        <f>IF(X2267="Sin Pago","",IFERROR(INDEX(Pagos_Odoo!$C:$C, MATCH(X2267, Pagos_Odoo!$B:$B, 0)), ""))</f>
        <v/>
      </c>
      <c r="Z2267" s="80">
        <f>IF(X2267="Sin Pago","",IFERROR(INDEX(Pagos_Odoo!$A:$A, MATCH(X2267, Pagos_Odoo!$B:$B, 0)), ""))</f>
        <v/>
      </c>
      <c r="AA2267" s="79">
        <f>IF(X2267="Sin Pago","",IFERROR(INDEX(Pagos_Odoo!$F:$F, MATCH(X2267, Pagos_Odoo!$B:$B, 0)), ""))</f>
        <v/>
      </c>
      <c r="AB2267" s="81">
        <f>IF(X2267="Sin Pago",0,IFERROR(INDEX(Pagos_Odoo!$E:$E, MATCH(X2267, Pagos_Odoo!$B:$B, 0)), 0))</f>
        <v/>
      </c>
      <c r="AC2267" s="79">
        <f>IF(X2267="Sin Pago","",IFERROR(INDEX(Pagos_Odoo!$G:$G, MATCH(X2267, Pagos_Odoo!$B:$B, 0)), ""))</f>
        <v/>
      </c>
      <c r="AD2267" s="82" t="n">
        <v>0</v>
      </c>
      <c r="AE2267" s="82" t="n"/>
      <c r="AF2267" s="82" t="n"/>
      <c r="AG2267" s="82">
        <f>IF(AN2267="","",AD2267+AE2267+AF2267)</f>
        <v/>
      </c>
      <c r="AH2267" s="81">
        <f>IF(AN2267="","",P2267*(1-AG2267))</f>
        <v/>
      </c>
      <c r="AI2267" s="81">
        <f>IF(AN2267="","",IF(Q2267="Sin Factura",0,IFERROR(INDEX(Facturas_Odoo!$H:$H, MATCH(Q2267, Facturas_Odoo!$B:$B, 0)), 0)*(1-AG2267)))</f>
        <v/>
      </c>
      <c r="AJ2267" s="81">
        <f>IF(AN2267="","",_xlfn.LET(idVenta, AN2267&amp;"",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67" s="81">
        <f>IF(AN2267="","",AH2267-AJ2267)</f>
        <v/>
      </c>
      <c r="AL2267" s="81">
        <f>IF(AN2267="","",IF(Q2267="Sin Factura","",AI2267-AJ2267))</f>
        <v/>
      </c>
      <c r="AM2267" s="81">
        <f>IF(AN2267="","",IF(Q2267="Sin Factura",0,P2267-IFERROR(INDEX(Facturas_Odoo!$H:$H, MATCH(Q2267, Facturas_Odoo!$B:$B, 0)), 0)))</f>
        <v/>
      </c>
      <c r="AN2267" s="79">
        <f>IF(AND(A2267="", J2267=""), "", IF(A2267&lt;&gt;"", VALUE(MID(A2267,2,LEN(A2267))), AN2266))</f>
        <v/>
      </c>
      <c r="AO2267" s="79">
        <f>IF(AN2267="","",IF(AD2267=0,"OK",_xlfn.LET(monedaPago, IF(AA2267="","USD",AA2267), limitePermitido, IFERROR(VLOOKUP(monedaPago, Configuración!$A$2:$B$3, 2, FALSE), 0.15), IF(AD2267&gt;limitePermitido, "ALERTA: EXCESO (" &amp; TEXT(limitePermitido, "0%") &amp; " máx)", "OK"))))</f>
        <v/>
      </c>
      <c r="AP2267" s="79">
        <f>IF(AN2267="","",IF(AE2267=0,"OK",_xlfn.LET(fechaPago, Z2267, fechaFactura, R2267, diasCredito, IF(E2267="Pago inmediato", 0, IFERROR(VALUE(MID(E2267, 1, SEARCH(" ", E2267)-1)),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67" s="79">
        <f>IF(AN2267="","",IF(AND(N2267&gt;0, AG2267&gt;0), IF(Configuración!$K$2="NO", "ALERTA: DESCUENTO DOBLE NO PERMITIDO", "OK"), "OK"))</f>
        <v/>
      </c>
      <c r="AR2267" s="79">
        <f>IF(AN2267="","",IF(OR(AO2267&lt;&gt;"OK", AP2267&lt;&gt;"OK", AQ2267&lt;&gt;"OK"), "⚠️ REVISAR", "OK"))</f>
        <v/>
      </c>
    </row>
    <row r="2268">
      <c r="A2268" s="79">
        <f>IF('Ordenes_Odoo'!A2268="","",'Ordenes_Odoo'!A2268)</f>
        <v/>
      </c>
      <c r="B2268" s="80">
        <f>IF('Ordenes_Odoo'!B2268="","",'Ordenes_Odoo'!B2268)</f>
        <v/>
      </c>
      <c r="C2268" s="79">
        <f>IF('Ordenes_Odoo'!C2268="","",'Ordenes_Odoo'!C2268)</f>
        <v/>
      </c>
      <c r="D2268" s="79">
        <f>IF('Ordenes_Odoo'!D2268="","",'Ordenes_Odoo'!D2268)</f>
        <v/>
      </c>
      <c r="E2268" s="79">
        <f>IF('Ordenes_Odoo'!E2268="","",'Ordenes_Odoo'!E2268)</f>
        <v/>
      </c>
      <c r="F2268" s="79">
        <f>IF('Ordenes_Odoo'!F2268="","",'Ordenes_Odoo'!F2268)</f>
        <v/>
      </c>
      <c r="G2268" s="79">
        <f>IF('Ordenes_Odoo'!G2268="","",'Ordenes_Odoo'!G2268)</f>
        <v/>
      </c>
      <c r="H2268" s="79">
        <f>IF('Ordenes_Odoo'!H2268="","",'Ordenes_Odoo'!H2268)</f>
        <v/>
      </c>
      <c r="I2268" s="79">
        <f>IF('Ordenes_Odoo'!I2268="","",'Ordenes_Odoo'!I2268)</f>
        <v/>
      </c>
      <c r="J2268" s="79">
        <f>IF('Ordenes_Odoo'!J2268="","",'Ordenes_Odoo'!J2268)</f>
        <v/>
      </c>
      <c r="K2268" s="81">
        <f>IF('Ordenes_Odoo'!K2268="","",'Ordenes_Odoo'!K2268)</f>
        <v/>
      </c>
      <c r="L2268" s="81">
        <f>IF('Ordenes_Odoo'!L2268="","",'Ordenes_Odoo'!L2268)</f>
        <v/>
      </c>
      <c r="M2268" s="79">
        <f>IF('Ordenes_Odoo'!M2268="","",'Ordenes_Odoo'!M2268)</f>
        <v/>
      </c>
      <c r="N2268" s="79">
        <f>IF('Ordenes_Odoo'!N2268="","",'Ordenes_Odoo'!N2268)</f>
        <v/>
      </c>
      <c r="O2268" s="81">
        <f>IF('Ordenes_Odoo'!O2268="","",'Ordenes_Odoo'!O2268)</f>
        <v/>
      </c>
      <c r="P2268" s="81">
        <f>IF('Ordenes_Odoo'!P2268="","",'Ordenes_Odoo'!P2268)</f>
        <v/>
      </c>
      <c r="Q2268" s="79">
        <f>IF(A2268="","",IFERROR(INDEX(Facturas_Odoo!$B:$B, MATCH(A2268, Facturas_Odoo!$D:$D, 0)), "Sin Factura"))</f>
        <v/>
      </c>
      <c r="R2268" s="80">
        <f>IF(Q2268="Sin Factura","",IFERROR(INDEX(Facturas_Odoo!$A:$A, MATCH(Q2268, Facturas_Odoo!$B:$B, 0)), ""))</f>
        <v/>
      </c>
      <c r="S2268" s="79">
        <f>IF(Q2268="Sin Factura","",IFERROR(_xlfn.XLOOKUP(1, (Facturas_Odoo!$D:$D=A2268) * (Facturas_Odoo!$K:$K=I2268), Facturas_Odoo!$L:$L, ""), ""))</f>
        <v/>
      </c>
      <c r="T2268" s="81">
        <f>IF(Q2268="Sin Factura",0,IFERROR(_xlfn.XLOOKUP(1, (Facturas_Odoo!$D:$D=A2268) * (Facturas_Odoo!$K:$K=I2268), Facturas_Odoo!$M:$M, 0), 0))</f>
        <v/>
      </c>
      <c r="U2268" s="79">
        <f>IF(Q2268="Sin Factura",0,IFERROR(_xlfn.XLOOKUP(1, (Facturas_Odoo!$D:$D=A2268) * (Facturas_Odoo!$K:$K=I2268), Facturas_Odoo!$N:$N, 0), 0))</f>
        <v/>
      </c>
      <c r="V2268" s="79">
        <f>IF(Q2268="Sin Factura",0,IFERROR(_xlfn.XLOOKUP(1, (Facturas_Odoo!$D:$D=A2268) * (Facturas_Odoo!$K:$K=I2268), Facturas_Odoo!$O:$O, 0), 0))</f>
        <v/>
      </c>
      <c r="W2268" s="81">
        <f>IF(Q2268="Sin Factura",0,IFERROR(_xlfn.XLOOKUP(1, (Facturas_Odoo!$D:$D=A2268) * (Facturas_Odoo!$K:$K=I2268), Facturas_Odoo!$Q:$Q, 0), 0))</f>
        <v/>
      </c>
      <c r="X2268" s="79">
        <f>IF(OR(Q2268="Sin Factura",Q2268=""),"",IFERROR(INDEX(Pagos_Odoo!$B:$B, MATCH(Q2268, Pagos_Odoo!$I:$I, 0)), "Sin Pago"))</f>
        <v/>
      </c>
      <c r="Y2268" s="79">
        <f>IF(X2268="Sin Pago","",IFERROR(INDEX(Pagos_Odoo!$C:$C, MATCH(X2268, Pagos_Odoo!$B:$B, 0)), ""))</f>
        <v/>
      </c>
      <c r="Z2268" s="80">
        <f>IF(X2268="Sin Pago","",IFERROR(INDEX(Pagos_Odoo!$A:$A, MATCH(X2268, Pagos_Odoo!$B:$B, 0)), ""))</f>
        <v/>
      </c>
      <c r="AA2268" s="79">
        <f>IF(X2268="Sin Pago","",IFERROR(INDEX(Pagos_Odoo!$F:$F, MATCH(X2268, Pagos_Odoo!$B:$B, 0)), ""))</f>
        <v/>
      </c>
      <c r="AB2268" s="81">
        <f>IF(X2268="Sin Pago",0,IFERROR(INDEX(Pagos_Odoo!$E:$E, MATCH(X2268, Pagos_Odoo!$B:$B, 0)), 0))</f>
        <v/>
      </c>
      <c r="AC2268" s="79">
        <f>IF(X2268="Sin Pago","",IFERROR(INDEX(Pagos_Odoo!$G:$G, MATCH(X2268, Pagos_Odoo!$B:$B, 0)), ""))</f>
        <v/>
      </c>
      <c r="AD2268" s="82" t="n">
        <v>0</v>
      </c>
      <c r="AE2268" s="82" t="n"/>
      <c r="AF2268" s="82" t="n"/>
      <c r="AG2268" s="82">
        <f>IF(AN2268="","",AD2268+AE2268+AF2268)</f>
        <v/>
      </c>
      <c r="AH2268" s="81">
        <f>IF(AN2268="","",P2268*(1-AG2268))</f>
        <v/>
      </c>
      <c r="AI2268" s="81">
        <f>IF(AN2268="","",IF(Q2268="Sin Factura",0,IFERROR(INDEX(Facturas_Odoo!$H:$H, MATCH(Q2268, Facturas_Odoo!$B:$B, 0)), 0)*(1-AG2268)))</f>
        <v/>
      </c>
      <c r="AJ2268" s="81">
        <f>IF(AN2268="","",_xlfn.LET(idVenta, AN2268&amp;"",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68" s="81">
        <f>IF(AN2268="","",AH2268-AJ2268)</f>
        <v/>
      </c>
      <c r="AL2268" s="81">
        <f>IF(AN2268="","",IF(Q2268="Sin Factura","",AI2268-AJ2268))</f>
        <v/>
      </c>
      <c r="AM2268" s="81">
        <f>IF(AN2268="","",IF(Q2268="Sin Factura",0,P2268-IFERROR(INDEX(Facturas_Odoo!$H:$H, MATCH(Q2268, Facturas_Odoo!$B:$B, 0)), 0)))</f>
        <v/>
      </c>
      <c r="AN2268" s="79">
        <f>IF(AND(A2268="", J2268=""), "", IF(A2268&lt;&gt;"", VALUE(MID(A2268,2,LEN(A2268))), AN2267))</f>
        <v/>
      </c>
      <c r="AO2268" s="79">
        <f>IF(AN2268="","",IF(AD2268=0,"OK",_xlfn.LET(monedaPago, IF(AA2268="","USD",AA2268), limitePermitido, IFERROR(VLOOKUP(monedaPago, Configuración!$A$2:$B$3, 2, FALSE), 0.15), IF(AD2268&gt;limitePermitido, "ALERTA: EXCESO (" &amp; TEXT(limitePermitido, "0%") &amp; " máx)", "OK"))))</f>
        <v/>
      </c>
      <c r="AP2268" s="79">
        <f>IF(AN2268="","",IF(AE2268=0,"OK",_xlfn.LET(fechaPago, Z2268, fechaFactura, R2268, diasCredito, IF(E2268="Pago inmediato", 0, IFERROR(VALUE(MID(E2268, 1, SEARCH(" ", E2268)-1)),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68" s="79">
        <f>IF(AN2268="","",IF(AND(N2268&gt;0, AG2268&gt;0), IF(Configuración!$K$2="NO", "ALERTA: DESCUENTO DOBLE NO PERMITIDO", "OK"), "OK"))</f>
        <v/>
      </c>
      <c r="AR2268" s="79">
        <f>IF(AN2268="","",IF(OR(AO2268&lt;&gt;"OK", AP2268&lt;&gt;"OK", AQ2268&lt;&gt;"OK"), "⚠️ REVISAR", "OK"))</f>
        <v/>
      </c>
    </row>
    <row r="2269">
      <c r="A2269" s="79">
        <f>IF('Ordenes_Odoo'!A2269="","",'Ordenes_Odoo'!A2269)</f>
        <v/>
      </c>
      <c r="B2269" s="80">
        <f>IF('Ordenes_Odoo'!B2269="","",'Ordenes_Odoo'!B2269)</f>
        <v/>
      </c>
      <c r="C2269" s="79">
        <f>IF('Ordenes_Odoo'!C2269="","",'Ordenes_Odoo'!C2269)</f>
        <v/>
      </c>
      <c r="D2269" s="79">
        <f>IF('Ordenes_Odoo'!D2269="","",'Ordenes_Odoo'!D2269)</f>
        <v/>
      </c>
      <c r="E2269" s="79">
        <f>IF('Ordenes_Odoo'!E2269="","",'Ordenes_Odoo'!E2269)</f>
        <v/>
      </c>
      <c r="F2269" s="79">
        <f>IF('Ordenes_Odoo'!F2269="","",'Ordenes_Odoo'!F2269)</f>
        <v/>
      </c>
      <c r="G2269" s="79">
        <f>IF('Ordenes_Odoo'!G2269="","",'Ordenes_Odoo'!G2269)</f>
        <v/>
      </c>
      <c r="H2269" s="79">
        <f>IF('Ordenes_Odoo'!H2269="","",'Ordenes_Odoo'!H2269)</f>
        <v/>
      </c>
      <c r="I2269" s="79">
        <f>IF('Ordenes_Odoo'!I2269="","",'Ordenes_Odoo'!I2269)</f>
        <v/>
      </c>
      <c r="J2269" s="79">
        <f>IF('Ordenes_Odoo'!J2269="","",'Ordenes_Odoo'!J2269)</f>
        <v/>
      </c>
      <c r="K2269" s="81">
        <f>IF('Ordenes_Odoo'!K2269="","",'Ordenes_Odoo'!K2269)</f>
        <v/>
      </c>
      <c r="L2269" s="81">
        <f>IF('Ordenes_Odoo'!L2269="","",'Ordenes_Odoo'!L2269)</f>
        <v/>
      </c>
      <c r="M2269" s="79">
        <f>IF('Ordenes_Odoo'!M2269="","",'Ordenes_Odoo'!M2269)</f>
        <v/>
      </c>
      <c r="N2269" s="79">
        <f>IF('Ordenes_Odoo'!N2269="","",'Ordenes_Odoo'!N2269)</f>
        <v/>
      </c>
      <c r="O2269" s="81">
        <f>IF('Ordenes_Odoo'!O2269="","",'Ordenes_Odoo'!O2269)</f>
        <v/>
      </c>
      <c r="P2269" s="81">
        <f>IF('Ordenes_Odoo'!P2269="","",'Ordenes_Odoo'!P2269)</f>
        <v/>
      </c>
      <c r="Q2269" s="79">
        <f>IF(A2269="","",IFERROR(INDEX(Facturas_Odoo!$B:$B, MATCH(A2269, Facturas_Odoo!$D:$D, 0)), "Sin Factura"))</f>
        <v/>
      </c>
      <c r="R2269" s="80">
        <f>IF(Q2269="Sin Factura","",IFERROR(INDEX(Facturas_Odoo!$A:$A, MATCH(Q2269, Facturas_Odoo!$B:$B, 0)), ""))</f>
        <v/>
      </c>
      <c r="S2269" s="79">
        <f>IF(Q2269="Sin Factura","",IFERROR(_xlfn.XLOOKUP(1, (Facturas_Odoo!$D:$D=A2269) * (Facturas_Odoo!$K:$K=I2269), Facturas_Odoo!$L:$L, ""), ""))</f>
        <v/>
      </c>
      <c r="T2269" s="81">
        <f>IF(Q2269="Sin Factura",0,IFERROR(_xlfn.XLOOKUP(1, (Facturas_Odoo!$D:$D=A2269) * (Facturas_Odoo!$K:$K=I2269), Facturas_Odoo!$M:$M, 0), 0))</f>
        <v/>
      </c>
      <c r="U2269" s="79">
        <f>IF(Q2269="Sin Factura",0,IFERROR(_xlfn.XLOOKUP(1, (Facturas_Odoo!$D:$D=A2269) * (Facturas_Odoo!$K:$K=I2269), Facturas_Odoo!$N:$N, 0), 0))</f>
        <v/>
      </c>
      <c r="V2269" s="79">
        <f>IF(Q2269="Sin Factura",0,IFERROR(_xlfn.XLOOKUP(1, (Facturas_Odoo!$D:$D=A2269) * (Facturas_Odoo!$K:$K=I2269), Facturas_Odoo!$O:$O, 0), 0))</f>
        <v/>
      </c>
      <c r="W2269" s="81">
        <f>IF(Q2269="Sin Factura",0,IFERROR(_xlfn.XLOOKUP(1, (Facturas_Odoo!$D:$D=A2269) * (Facturas_Odoo!$K:$K=I2269), Facturas_Odoo!$Q:$Q, 0), 0))</f>
        <v/>
      </c>
      <c r="X2269" s="79">
        <f>IF(OR(Q2269="Sin Factura",Q2269=""),"",IFERROR(INDEX(Pagos_Odoo!$B:$B, MATCH(Q2269, Pagos_Odoo!$I:$I, 0)), "Sin Pago"))</f>
        <v/>
      </c>
      <c r="Y2269" s="79">
        <f>IF(X2269="Sin Pago","",IFERROR(INDEX(Pagos_Odoo!$C:$C, MATCH(X2269, Pagos_Odoo!$B:$B, 0)), ""))</f>
        <v/>
      </c>
      <c r="Z2269" s="80">
        <f>IF(X2269="Sin Pago","",IFERROR(INDEX(Pagos_Odoo!$A:$A, MATCH(X2269, Pagos_Odoo!$B:$B, 0)), ""))</f>
        <v/>
      </c>
      <c r="AA2269" s="79">
        <f>IF(X2269="Sin Pago","",IFERROR(INDEX(Pagos_Odoo!$F:$F, MATCH(X2269, Pagos_Odoo!$B:$B, 0)), ""))</f>
        <v/>
      </c>
      <c r="AB2269" s="81">
        <f>IF(X2269="Sin Pago",0,IFERROR(INDEX(Pagos_Odoo!$E:$E, MATCH(X2269, Pagos_Odoo!$B:$B, 0)), 0))</f>
        <v/>
      </c>
      <c r="AC2269" s="79">
        <f>IF(X2269="Sin Pago","",IFERROR(INDEX(Pagos_Odoo!$G:$G, MATCH(X2269, Pagos_Odoo!$B:$B, 0)), ""))</f>
        <v/>
      </c>
      <c r="AD2269" s="82" t="n">
        <v>0</v>
      </c>
      <c r="AE2269" s="82" t="n"/>
      <c r="AF2269" s="82" t="n"/>
      <c r="AG2269" s="82">
        <f>IF(AN2269="","",AD2269+AE2269+AF2269)</f>
        <v/>
      </c>
      <c r="AH2269" s="81">
        <f>IF(AN2269="","",P2269*(1-AG2269))</f>
        <v/>
      </c>
      <c r="AI2269" s="81">
        <f>IF(AN2269="","",IF(Q2269="Sin Factura",0,IFERROR(INDEX(Facturas_Odoo!$H:$H, MATCH(Q2269, Facturas_Odoo!$B:$B, 0)), 0)*(1-AG2269)))</f>
        <v/>
      </c>
      <c r="AJ2269" s="81">
        <f>IF(AN2269="","",_xlfn.LET(idVenta, AN2269&amp;"",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69" s="81">
        <f>IF(AN2269="","",AH2269-AJ2269)</f>
        <v/>
      </c>
      <c r="AL2269" s="81">
        <f>IF(AN2269="","",IF(Q2269="Sin Factura","",AI2269-AJ2269))</f>
        <v/>
      </c>
      <c r="AM2269" s="81">
        <f>IF(AN2269="","",IF(Q2269="Sin Factura",0,P2269-IFERROR(INDEX(Facturas_Odoo!$H:$H, MATCH(Q2269, Facturas_Odoo!$B:$B, 0)), 0)))</f>
        <v/>
      </c>
      <c r="AN2269" s="79">
        <f>IF(AND(A2269="", J2269=""), "", IF(A2269&lt;&gt;"", VALUE(MID(A2269,2,LEN(A2269))), AN2268))</f>
        <v/>
      </c>
      <c r="AO2269" s="79">
        <f>IF(AN2269="","",IF(AD2269=0,"OK",_xlfn.LET(monedaPago, IF(AA2269="","USD",AA2269), limitePermitido, IFERROR(VLOOKUP(monedaPago, Configuración!$A$2:$B$3, 2, FALSE), 0.15), IF(AD2269&gt;limitePermitido, "ALERTA: EXCESO (" &amp; TEXT(limitePermitido, "0%") &amp; " máx)", "OK"))))</f>
        <v/>
      </c>
      <c r="AP2269" s="79">
        <f>IF(AN2269="","",IF(AE2269=0,"OK",_xlfn.LET(fechaPago, Z2269, fechaFactura, R2269, diasCredito, IF(E2269="Pago inmediato", 0, IFERROR(VALUE(MID(E2269, 1, SEARCH(" ", E2269)-1)),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69" s="79">
        <f>IF(AN2269="","",IF(AND(N2269&gt;0, AG2269&gt;0), IF(Configuración!$K$2="NO", "ALERTA: DESCUENTO DOBLE NO PERMITIDO", "OK"), "OK"))</f>
        <v/>
      </c>
      <c r="AR2269" s="79">
        <f>IF(AN2269="","",IF(OR(AO2269&lt;&gt;"OK", AP2269&lt;&gt;"OK", AQ2269&lt;&gt;"OK"), "⚠️ REVISAR", "OK"))</f>
        <v/>
      </c>
    </row>
    <row r="2270">
      <c r="A2270" s="79">
        <f>IF('Ordenes_Odoo'!A2270="","",'Ordenes_Odoo'!A2270)</f>
        <v/>
      </c>
      <c r="B2270" s="80">
        <f>IF('Ordenes_Odoo'!B2270="","",'Ordenes_Odoo'!B2270)</f>
        <v/>
      </c>
      <c r="C2270" s="79">
        <f>IF('Ordenes_Odoo'!C2270="","",'Ordenes_Odoo'!C2270)</f>
        <v/>
      </c>
      <c r="D2270" s="79">
        <f>IF('Ordenes_Odoo'!D2270="","",'Ordenes_Odoo'!D2270)</f>
        <v/>
      </c>
      <c r="E2270" s="79">
        <f>IF('Ordenes_Odoo'!E2270="","",'Ordenes_Odoo'!E2270)</f>
        <v/>
      </c>
      <c r="F2270" s="79">
        <f>IF('Ordenes_Odoo'!F2270="","",'Ordenes_Odoo'!F2270)</f>
        <v/>
      </c>
      <c r="G2270" s="79">
        <f>IF('Ordenes_Odoo'!G2270="","",'Ordenes_Odoo'!G2270)</f>
        <v/>
      </c>
      <c r="H2270" s="79">
        <f>IF('Ordenes_Odoo'!H2270="","",'Ordenes_Odoo'!H2270)</f>
        <v/>
      </c>
      <c r="I2270" s="79">
        <f>IF('Ordenes_Odoo'!I2270="","",'Ordenes_Odoo'!I2270)</f>
        <v/>
      </c>
      <c r="J2270" s="79">
        <f>IF('Ordenes_Odoo'!J2270="","",'Ordenes_Odoo'!J2270)</f>
        <v/>
      </c>
      <c r="K2270" s="81">
        <f>IF('Ordenes_Odoo'!K2270="","",'Ordenes_Odoo'!K2270)</f>
        <v/>
      </c>
      <c r="L2270" s="81">
        <f>IF('Ordenes_Odoo'!L2270="","",'Ordenes_Odoo'!L2270)</f>
        <v/>
      </c>
      <c r="M2270" s="79">
        <f>IF('Ordenes_Odoo'!M2270="","",'Ordenes_Odoo'!M2270)</f>
        <v/>
      </c>
      <c r="N2270" s="79">
        <f>IF('Ordenes_Odoo'!N2270="","",'Ordenes_Odoo'!N2270)</f>
        <v/>
      </c>
      <c r="O2270" s="81">
        <f>IF('Ordenes_Odoo'!O2270="","",'Ordenes_Odoo'!O2270)</f>
        <v/>
      </c>
      <c r="P2270" s="81">
        <f>IF('Ordenes_Odoo'!P2270="","",'Ordenes_Odoo'!P2270)</f>
        <v/>
      </c>
      <c r="Q2270" s="79">
        <f>IF(A2270="","",IFERROR(INDEX(Facturas_Odoo!$B:$B, MATCH(A2270, Facturas_Odoo!$D:$D, 0)), "Sin Factura"))</f>
        <v/>
      </c>
      <c r="R2270" s="80">
        <f>IF(Q2270="Sin Factura","",IFERROR(INDEX(Facturas_Odoo!$A:$A, MATCH(Q2270, Facturas_Odoo!$B:$B, 0)), ""))</f>
        <v/>
      </c>
      <c r="S2270" s="79">
        <f>IF(Q2270="Sin Factura","",IFERROR(_xlfn.XLOOKUP(1, (Facturas_Odoo!$D:$D=A2270) * (Facturas_Odoo!$K:$K=I2270), Facturas_Odoo!$L:$L, ""), ""))</f>
        <v/>
      </c>
      <c r="T2270" s="81">
        <f>IF(Q2270="Sin Factura",0,IFERROR(_xlfn.XLOOKUP(1, (Facturas_Odoo!$D:$D=A2270) * (Facturas_Odoo!$K:$K=I2270), Facturas_Odoo!$M:$M, 0), 0))</f>
        <v/>
      </c>
      <c r="U2270" s="79">
        <f>IF(Q2270="Sin Factura",0,IFERROR(_xlfn.XLOOKUP(1, (Facturas_Odoo!$D:$D=A2270) * (Facturas_Odoo!$K:$K=I2270), Facturas_Odoo!$N:$N, 0), 0))</f>
        <v/>
      </c>
      <c r="V2270" s="79">
        <f>IF(Q2270="Sin Factura",0,IFERROR(_xlfn.XLOOKUP(1, (Facturas_Odoo!$D:$D=A2270) * (Facturas_Odoo!$K:$K=I2270), Facturas_Odoo!$O:$O, 0), 0))</f>
        <v/>
      </c>
      <c r="W2270" s="81">
        <f>IF(Q2270="Sin Factura",0,IFERROR(_xlfn.XLOOKUP(1, (Facturas_Odoo!$D:$D=A2270) * (Facturas_Odoo!$K:$K=I2270), Facturas_Odoo!$Q:$Q, 0), 0))</f>
        <v/>
      </c>
      <c r="X2270" s="79">
        <f>IF(OR(Q2270="Sin Factura",Q2270=""),"",IFERROR(INDEX(Pagos_Odoo!$B:$B, MATCH(Q2270, Pagos_Odoo!$I:$I, 0)), "Sin Pago"))</f>
        <v/>
      </c>
      <c r="Y2270" s="79">
        <f>IF(X2270="Sin Pago","",IFERROR(INDEX(Pagos_Odoo!$C:$C, MATCH(X2270, Pagos_Odoo!$B:$B, 0)), ""))</f>
        <v/>
      </c>
      <c r="Z2270" s="80">
        <f>IF(X2270="Sin Pago","",IFERROR(INDEX(Pagos_Odoo!$A:$A, MATCH(X2270, Pagos_Odoo!$B:$B, 0)), ""))</f>
        <v/>
      </c>
      <c r="AA2270" s="79">
        <f>IF(X2270="Sin Pago","",IFERROR(INDEX(Pagos_Odoo!$F:$F, MATCH(X2270, Pagos_Odoo!$B:$B, 0)), ""))</f>
        <v/>
      </c>
      <c r="AB2270" s="81">
        <f>IF(X2270="Sin Pago",0,IFERROR(INDEX(Pagos_Odoo!$E:$E, MATCH(X2270, Pagos_Odoo!$B:$B, 0)), 0))</f>
        <v/>
      </c>
      <c r="AC2270" s="79">
        <f>IF(X2270="Sin Pago","",IFERROR(INDEX(Pagos_Odoo!$G:$G, MATCH(X2270, Pagos_Odoo!$B:$B, 0)), ""))</f>
        <v/>
      </c>
      <c r="AD2270" s="82" t="n">
        <v>0</v>
      </c>
      <c r="AE2270" s="82" t="n"/>
      <c r="AF2270" s="82" t="n"/>
      <c r="AG2270" s="82">
        <f>IF(AN2270="","",AD2270+AE2270+AF2270)</f>
        <v/>
      </c>
      <c r="AH2270" s="81">
        <f>IF(AN2270="","",P2270*(1-AG2270))</f>
        <v/>
      </c>
      <c r="AI2270" s="81">
        <f>IF(AN2270="","",IF(Q2270="Sin Factura",0,IFERROR(INDEX(Facturas_Odoo!$H:$H, MATCH(Q2270, Facturas_Odoo!$B:$B, 0)), 0)*(1-AG2270)))</f>
        <v/>
      </c>
      <c r="AJ2270" s="81">
        <f>IF(AN2270="","",_xlfn.LET(idVenta, AN2270&amp;"",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70" s="81">
        <f>IF(AN2270="","",AH2270-AJ2270)</f>
        <v/>
      </c>
      <c r="AL2270" s="81">
        <f>IF(AN2270="","",IF(Q2270="Sin Factura","",AI2270-AJ2270))</f>
        <v/>
      </c>
      <c r="AM2270" s="81">
        <f>IF(AN2270="","",IF(Q2270="Sin Factura",0,P2270-IFERROR(INDEX(Facturas_Odoo!$H:$H, MATCH(Q2270, Facturas_Odoo!$B:$B, 0)), 0)))</f>
        <v/>
      </c>
      <c r="AN2270" s="79">
        <f>IF(AND(A2270="", J2270=""), "", IF(A2270&lt;&gt;"", VALUE(MID(A2270,2,LEN(A2270))), AN2269))</f>
        <v/>
      </c>
      <c r="AO2270" s="79">
        <f>IF(AN2270="","",IF(AD2270=0,"OK",_xlfn.LET(monedaPago, IF(AA2270="","USD",AA2270), limitePermitido, IFERROR(VLOOKUP(monedaPago, Configuración!$A$2:$B$3, 2, FALSE), 0.15), IF(AD2270&gt;limitePermitido, "ALERTA: EXCESO (" &amp; TEXT(limitePermitido, "0%") &amp; " máx)", "OK"))))</f>
        <v/>
      </c>
      <c r="AP2270" s="79">
        <f>IF(AN2270="","",IF(AE2270=0,"OK",_xlfn.LET(fechaPago, Z2270, fechaFactura, R2270, diasCredito, IF(E2270="Pago inmediato", 0, IFERROR(VALUE(MID(E2270, 1, SEARCH(" ", E2270)-1)),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70" s="79">
        <f>IF(AN2270="","",IF(AND(N2270&gt;0, AG2270&gt;0), IF(Configuración!$K$2="NO", "ALERTA: DESCUENTO DOBLE NO PERMITIDO", "OK"), "OK"))</f>
        <v/>
      </c>
      <c r="AR2270" s="79">
        <f>IF(AN2270="","",IF(OR(AO2270&lt;&gt;"OK", AP2270&lt;&gt;"OK", AQ2270&lt;&gt;"OK"), "⚠️ REVISAR", "OK"))</f>
        <v/>
      </c>
    </row>
    <row r="2271">
      <c r="A2271" s="79">
        <f>IF('Ordenes_Odoo'!A2271="","",'Ordenes_Odoo'!A2271)</f>
        <v/>
      </c>
      <c r="B2271" s="80">
        <f>IF('Ordenes_Odoo'!B2271="","",'Ordenes_Odoo'!B2271)</f>
        <v/>
      </c>
      <c r="C2271" s="79">
        <f>IF('Ordenes_Odoo'!C2271="","",'Ordenes_Odoo'!C2271)</f>
        <v/>
      </c>
      <c r="D2271" s="79">
        <f>IF('Ordenes_Odoo'!D2271="","",'Ordenes_Odoo'!D2271)</f>
        <v/>
      </c>
      <c r="E2271" s="79">
        <f>IF('Ordenes_Odoo'!E2271="","",'Ordenes_Odoo'!E2271)</f>
        <v/>
      </c>
      <c r="F2271" s="79">
        <f>IF('Ordenes_Odoo'!F2271="","",'Ordenes_Odoo'!F2271)</f>
        <v/>
      </c>
      <c r="G2271" s="79">
        <f>IF('Ordenes_Odoo'!G2271="","",'Ordenes_Odoo'!G2271)</f>
        <v/>
      </c>
      <c r="H2271" s="79">
        <f>IF('Ordenes_Odoo'!H2271="","",'Ordenes_Odoo'!H2271)</f>
        <v/>
      </c>
      <c r="I2271" s="79">
        <f>IF('Ordenes_Odoo'!I2271="","",'Ordenes_Odoo'!I2271)</f>
        <v/>
      </c>
      <c r="J2271" s="79">
        <f>IF('Ordenes_Odoo'!J2271="","",'Ordenes_Odoo'!J2271)</f>
        <v/>
      </c>
      <c r="K2271" s="81">
        <f>IF('Ordenes_Odoo'!K2271="","",'Ordenes_Odoo'!K2271)</f>
        <v/>
      </c>
      <c r="L2271" s="81">
        <f>IF('Ordenes_Odoo'!L2271="","",'Ordenes_Odoo'!L2271)</f>
        <v/>
      </c>
      <c r="M2271" s="79">
        <f>IF('Ordenes_Odoo'!M2271="","",'Ordenes_Odoo'!M2271)</f>
        <v/>
      </c>
      <c r="N2271" s="79">
        <f>IF('Ordenes_Odoo'!N2271="","",'Ordenes_Odoo'!N2271)</f>
        <v/>
      </c>
      <c r="O2271" s="81">
        <f>IF('Ordenes_Odoo'!O2271="","",'Ordenes_Odoo'!O2271)</f>
        <v/>
      </c>
      <c r="P2271" s="81">
        <f>IF('Ordenes_Odoo'!P2271="","",'Ordenes_Odoo'!P2271)</f>
        <v/>
      </c>
      <c r="Q2271" s="79">
        <f>IF(A2271="","",IFERROR(INDEX(Facturas_Odoo!$B:$B, MATCH(A2271, Facturas_Odoo!$D:$D, 0)), "Sin Factura"))</f>
        <v/>
      </c>
      <c r="R2271" s="80">
        <f>IF(Q2271="Sin Factura","",IFERROR(INDEX(Facturas_Odoo!$A:$A, MATCH(Q2271, Facturas_Odoo!$B:$B, 0)), ""))</f>
        <v/>
      </c>
      <c r="S2271" s="79">
        <f>IF(Q2271="Sin Factura","",IFERROR(_xlfn.XLOOKUP(1, (Facturas_Odoo!$D:$D=A2271) * (Facturas_Odoo!$K:$K=I2271), Facturas_Odoo!$L:$L, ""), ""))</f>
        <v/>
      </c>
      <c r="T2271" s="81">
        <f>IF(Q2271="Sin Factura",0,IFERROR(_xlfn.XLOOKUP(1, (Facturas_Odoo!$D:$D=A2271) * (Facturas_Odoo!$K:$K=I2271), Facturas_Odoo!$M:$M, 0), 0))</f>
        <v/>
      </c>
      <c r="U2271" s="79">
        <f>IF(Q2271="Sin Factura",0,IFERROR(_xlfn.XLOOKUP(1, (Facturas_Odoo!$D:$D=A2271) * (Facturas_Odoo!$K:$K=I2271), Facturas_Odoo!$N:$N, 0), 0))</f>
        <v/>
      </c>
      <c r="V2271" s="79">
        <f>IF(Q2271="Sin Factura",0,IFERROR(_xlfn.XLOOKUP(1, (Facturas_Odoo!$D:$D=A2271) * (Facturas_Odoo!$K:$K=I2271), Facturas_Odoo!$O:$O, 0), 0))</f>
        <v/>
      </c>
      <c r="W2271" s="81">
        <f>IF(Q2271="Sin Factura",0,IFERROR(_xlfn.XLOOKUP(1, (Facturas_Odoo!$D:$D=A2271) * (Facturas_Odoo!$K:$K=I2271), Facturas_Odoo!$Q:$Q, 0), 0))</f>
        <v/>
      </c>
      <c r="X2271" s="79">
        <f>IF(OR(Q2271="Sin Factura",Q2271=""),"",IFERROR(INDEX(Pagos_Odoo!$B:$B, MATCH(Q2271, Pagos_Odoo!$I:$I, 0)), "Sin Pago"))</f>
        <v/>
      </c>
      <c r="Y2271" s="79">
        <f>IF(X2271="Sin Pago","",IFERROR(INDEX(Pagos_Odoo!$C:$C, MATCH(X2271, Pagos_Odoo!$B:$B, 0)), ""))</f>
        <v/>
      </c>
      <c r="Z2271" s="80">
        <f>IF(X2271="Sin Pago","",IFERROR(INDEX(Pagos_Odoo!$A:$A, MATCH(X2271, Pagos_Odoo!$B:$B, 0)), ""))</f>
        <v/>
      </c>
      <c r="AA2271" s="79">
        <f>IF(X2271="Sin Pago","",IFERROR(INDEX(Pagos_Odoo!$F:$F, MATCH(X2271, Pagos_Odoo!$B:$B, 0)), ""))</f>
        <v/>
      </c>
      <c r="AB2271" s="81">
        <f>IF(X2271="Sin Pago",0,IFERROR(INDEX(Pagos_Odoo!$E:$E, MATCH(X2271, Pagos_Odoo!$B:$B, 0)), 0))</f>
        <v/>
      </c>
      <c r="AC2271" s="79">
        <f>IF(X2271="Sin Pago","",IFERROR(INDEX(Pagos_Odoo!$G:$G, MATCH(X2271, Pagos_Odoo!$B:$B, 0)), ""))</f>
        <v/>
      </c>
      <c r="AD2271" s="82" t="n">
        <v>0</v>
      </c>
      <c r="AE2271" s="82" t="n"/>
      <c r="AF2271" s="82" t="n"/>
      <c r="AG2271" s="82">
        <f>IF(AN2271="","",AD2271+AE2271+AF2271)</f>
        <v/>
      </c>
      <c r="AH2271" s="81">
        <f>IF(AN2271="","",P2271*(1-AG2271))</f>
        <v/>
      </c>
      <c r="AI2271" s="81">
        <f>IF(AN2271="","",IF(Q2271="Sin Factura",0,IFERROR(INDEX(Facturas_Odoo!$H:$H, MATCH(Q2271, Facturas_Odoo!$B:$B, 0)), 0)*(1-AG2271)))</f>
        <v/>
      </c>
      <c r="AJ2271" s="81">
        <f>IF(AN2271="","",_xlfn.LET(idVenta, AN2271&amp;"",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71" s="81">
        <f>IF(AN2271="","",AH2271-AJ2271)</f>
        <v/>
      </c>
      <c r="AL2271" s="81">
        <f>IF(AN2271="","",IF(Q2271="Sin Factura","",AI2271-AJ2271))</f>
        <v/>
      </c>
      <c r="AM2271" s="81">
        <f>IF(AN2271="","",IF(Q2271="Sin Factura",0,P2271-IFERROR(INDEX(Facturas_Odoo!$H:$H, MATCH(Q2271, Facturas_Odoo!$B:$B, 0)), 0)))</f>
        <v/>
      </c>
      <c r="AN2271" s="79">
        <f>IF(AND(A2271="", J2271=""), "", IF(A2271&lt;&gt;"", VALUE(MID(A2271,2,LEN(A2271))), AN2270))</f>
        <v/>
      </c>
      <c r="AO2271" s="79">
        <f>IF(AN2271="","",IF(AD2271=0,"OK",_xlfn.LET(monedaPago, IF(AA2271="","USD",AA2271), limitePermitido, IFERROR(VLOOKUP(monedaPago, Configuración!$A$2:$B$3, 2, FALSE), 0.15), IF(AD2271&gt;limitePermitido, "ALERTA: EXCESO (" &amp; TEXT(limitePermitido, "0%") &amp; " máx)", "OK"))))</f>
        <v/>
      </c>
      <c r="AP2271" s="79">
        <f>IF(AN2271="","",IF(AE2271=0,"OK",_xlfn.LET(fechaPago, Z2271, fechaFactura, R2271, diasCredito, IF(E2271="Pago inmediato", 0, IFERROR(VALUE(MID(E2271, 1, SEARCH(" ", E2271)-1)),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71" s="79">
        <f>IF(AN2271="","",IF(AND(N2271&gt;0, AG2271&gt;0), IF(Configuración!$K$2="NO", "ALERTA: DESCUENTO DOBLE NO PERMITIDO", "OK"), "OK"))</f>
        <v/>
      </c>
      <c r="AR2271" s="79">
        <f>IF(AN2271="","",IF(OR(AO2271&lt;&gt;"OK", AP2271&lt;&gt;"OK", AQ2271&lt;&gt;"OK"), "⚠️ REVISAR", "OK"))</f>
        <v/>
      </c>
    </row>
    <row r="2272">
      <c r="A2272" s="79">
        <f>IF('Ordenes_Odoo'!A2272="","",'Ordenes_Odoo'!A2272)</f>
        <v/>
      </c>
      <c r="B2272" s="80">
        <f>IF('Ordenes_Odoo'!B2272="","",'Ordenes_Odoo'!B2272)</f>
        <v/>
      </c>
      <c r="C2272" s="79">
        <f>IF('Ordenes_Odoo'!C2272="","",'Ordenes_Odoo'!C2272)</f>
        <v/>
      </c>
      <c r="D2272" s="79">
        <f>IF('Ordenes_Odoo'!D2272="","",'Ordenes_Odoo'!D2272)</f>
        <v/>
      </c>
      <c r="E2272" s="79">
        <f>IF('Ordenes_Odoo'!E2272="","",'Ordenes_Odoo'!E2272)</f>
        <v/>
      </c>
      <c r="F2272" s="79">
        <f>IF('Ordenes_Odoo'!F2272="","",'Ordenes_Odoo'!F2272)</f>
        <v/>
      </c>
      <c r="G2272" s="79">
        <f>IF('Ordenes_Odoo'!G2272="","",'Ordenes_Odoo'!G2272)</f>
        <v/>
      </c>
      <c r="H2272" s="79">
        <f>IF('Ordenes_Odoo'!H2272="","",'Ordenes_Odoo'!H2272)</f>
        <v/>
      </c>
      <c r="I2272" s="79">
        <f>IF('Ordenes_Odoo'!I2272="","",'Ordenes_Odoo'!I2272)</f>
        <v/>
      </c>
      <c r="J2272" s="79">
        <f>IF('Ordenes_Odoo'!J2272="","",'Ordenes_Odoo'!J2272)</f>
        <v/>
      </c>
      <c r="K2272" s="81">
        <f>IF('Ordenes_Odoo'!K2272="","",'Ordenes_Odoo'!K2272)</f>
        <v/>
      </c>
      <c r="L2272" s="81">
        <f>IF('Ordenes_Odoo'!L2272="","",'Ordenes_Odoo'!L2272)</f>
        <v/>
      </c>
      <c r="M2272" s="79">
        <f>IF('Ordenes_Odoo'!M2272="","",'Ordenes_Odoo'!M2272)</f>
        <v/>
      </c>
      <c r="N2272" s="79">
        <f>IF('Ordenes_Odoo'!N2272="","",'Ordenes_Odoo'!N2272)</f>
        <v/>
      </c>
      <c r="O2272" s="81">
        <f>IF('Ordenes_Odoo'!O2272="","",'Ordenes_Odoo'!O2272)</f>
        <v/>
      </c>
      <c r="P2272" s="81">
        <f>IF('Ordenes_Odoo'!P2272="","",'Ordenes_Odoo'!P2272)</f>
        <v/>
      </c>
      <c r="Q2272" s="79">
        <f>IF(A2272="","",IFERROR(INDEX(Facturas_Odoo!$B:$B, MATCH(A2272, Facturas_Odoo!$D:$D, 0)), "Sin Factura"))</f>
        <v/>
      </c>
      <c r="R2272" s="80">
        <f>IF(Q2272="Sin Factura","",IFERROR(INDEX(Facturas_Odoo!$A:$A, MATCH(Q2272, Facturas_Odoo!$B:$B, 0)), ""))</f>
        <v/>
      </c>
      <c r="S2272" s="79">
        <f>IF(Q2272="Sin Factura","",IFERROR(_xlfn.XLOOKUP(1, (Facturas_Odoo!$D:$D=A2272) * (Facturas_Odoo!$K:$K=I2272), Facturas_Odoo!$L:$L, ""), ""))</f>
        <v/>
      </c>
      <c r="T2272" s="81">
        <f>IF(Q2272="Sin Factura",0,IFERROR(_xlfn.XLOOKUP(1, (Facturas_Odoo!$D:$D=A2272) * (Facturas_Odoo!$K:$K=I2272), Facturas_Odoo!$M:$M, 0), 0))</f>
        <v/>
      </c>
      <c r="U2272" s="79">
        <f>IF(Q2272="Sin Factura",0,IFERROR(_xlfn.XLOOKUP(1, (Facturas_Odoo!$D:$D=A2272) * (Facturas_Odoo!$K:$K=I2272), Facturas_Odoo!$N:$N, 0), 0))</f>
        <v/>
      </c>
      <c r="V2272" s="79">
        <f>IF(Q2272="Sin Factura",0,IFERROR(_xlfn.XLOOKUP(1, (Facturas_Odoo!$D:$D=A2272) * (Facturas_Odoo!$K:$K=I2272), Facturas_Odoo!$O:$O, 0), 0))</f>
        <v/>
      </c>
      <c r="W2272" s="81">
        <f>IF(Q2272="Sin Factura",0,IFERROR(_xlfn.XLOOKUP(1, (Facturas_Odoo!$D:$D=A2272) * (Facturas_Odoo!$K:$K=I2272), Facturas_Odoo!$Q:$Q, 0), 0))</f>
        <v/>
      </c>
      <c r="X2272" s="79">
        <f>IF(OR(Q2272="Sin Factura",Q2272=""),"",IFERROR(INDEX(Pagos_Odoo!$B:$B, MATCH(Q2272, Pagos_Odoo!$I:$I, 0)), "Sin Pago"))</f>
        <v/>
      </c>
      <c r="Y2272" s="79">
        <f>IF(X2272="Sin Pago","",IFERROR(INDEX(Pagos_Odoo!$C:$C, MATCH(X2272, Pagos_Odoo!$B:$B, 0)), ""))</f>
        <v/>
      </c>
      <c r="Z2272" s="80">
        <f>IF(X2272="Sin Pago","",IFERROR(INDEX(Pagos_Odoo!$A:$A, MATCH(X2272, Pagos_Odoo!$B:$B, 0)), ""))</f>
        <v/>
      </c>
      <c r="AA2272" s="79">
        <f>IF(X2272="Sin Pago","",IFERROR(INDEX(Pagos_Odoo!$F:$F, MATCH(X2272, Pagos_Odoo!$B:$B, 0)), ""))</f>
        <v/>
      </c>
      <c r="AB2272" s="81">
        <f>IF(X2272="Sin Pago",0,IFERROR(INDEX(Pagos_Odoo!$E:$E, MATCH(X2272, Pagos_Odoo!$B:$B, 0)), 0))</f>
        <v/>
      </c>
      <c r="AC2272" s="79">
        <f>IF(X2272="Sin Pago","",IFERROR(INDEX(Pagos_Odoo!$G:$G, MATCH(X2272, Pagos_Odoo!$B:$B, 0)), ""))</f>
        <v/>
      </c>
      <c r="AD2272" s="82" t="n">
        <v>0</v>
      </c>
      <c r="AE2272" s="82" t="n"/>
      <c r="AF2272" s="82" t="n"/>
      <c r="AG2272" s="82">
        <f>IF(AN2272="","",AD2272+AE2272+AF2272)</f>
        <v/>
      </c>
      <c r="AH2272" s="81">
        <f>IF(AN2272="","",P2272*(1-AG2272))</f>
        <v/>
      </c>
      <c r="AI2272" s="81">
        <f>IF(AN2272="","",IF(Q2272="Sin Factura",0,IFERROR(INDEX(Facturas_Odoo!$H:$H, MATCH(Q2272, Facturas_Odoo!$B:$B, 0)), 0)*(1-AG2272)))</f>
        <v/>
      </c>
      <c r="AJ2272" s="81">
        <f>IF(AN2272="","",_xlfn.LET(idVenta, AN2272&amp;"",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72" s="81">
        <f>IF(AN2272="","",AH2272-AJ2272)</f>
        <v/>
      </c>
      <c r="AL2272" s="81">
        <f>IF(AN2272="","",IF(Q2272="Sin Factura","",AI2272-AJ2272))</f>
        <v/>
      </c>
      <c r="AM2272" s="81">
        <f>IF(AN2272="","",IF(Q2272="Sin Factura",0,P2272-IFERROR(INDEX(Facturas_Odoo!$H:$H, MATCH(Q2272, Facturas_Odoo!$B:$B, 0)), 0)))</f>
        <v/>
      </c>
      <c r="AN2272" s="79">
        <f>IF(AND(A2272="", J2272=""), "", IF(A2272&lt;&gt;"", VALUE(MID(A2272,2,LEN(A2272))), AN2271))</f>
        <v/>
      </c>
      <c r="AO2272" s="79">
        <f>IF(AN2272="","",IF(AD2272=0,"OK",_xlfn.LET(monedaPago, IF(AA2272="","USD",AA2272), limitePermitido, IFERROR(VLOOKUP(monedaPago, Configuración!$A$2:$B$3, 2, FALSE), 0.15), IF(AD2272&gt;limitePermitido, "ALERTA: EXCESO (" &amp; TEXT(limitePermitido, "0%") &amp; " máx)", "OK"))))</f>
        <v/>
      </c>
      <c r="AP2272" s="79">
        <f>IF(AN2272="","",IF(AE2272=0,"OK",_xlfn.LET(fechaPago, Z2272, fechaFactura, R2272, diasCredito, IF(E2272="Pago inmediato", 0, IFERROR(VALUE(MID(E2272, 1, SEARCH(" ", E2272)-1)),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72" s="79">
        <f>IF(AN2272="","",IF(AND(N2272&gt;0, AG2272&gt;0), IF(Configuración!$K$2="NO", "ALERTA: DESCUENTO DOBLE NO PERMITIDO", "OK"), "OK"))</f>
        <v/>
      </c>
      <c r="AR2272" s="79">
        <f>IF(AN2272="","",IF(OR(AO2272&lt;&gt;"OK", AP2272&lt;&gt;"OK", AQ2272&lt;&gt;"OK"), "⚠️ REVISAR", "OK"))</f>
        <v/>
      </c>
    </row>
    <row r="2273">
      <c r="A2273" s="79">
        <f>IF('Ordenes_Odoo'!A2273="","",'Ordenes_Odoo'!A2273)</f>
        <v/>
      </c>
      <c r="B2273" s="80">
        <f>IF('Ordenes_Odoo'!B2273="","",'Ordenes_Odoo'!B2273)</f>
        <v/>
      </c>
      <c r="C2273" s="79">
        <f>IF('Ordenes_Odoo'!C2273="","",'Ordenes_Odoo'!C2273)</f>
        <v/>
      </c>
      <c r="D2273" s="79">
        <f>IF('Ordenes_Odoo'!D2273="","",'Ordenes_Odoo'!D2273)</f>
        <v/>
      </c>
      <c r="E2273" s="79">
        <f>IF('Ordenes_Odoo'!E2273="","",'Ordenes_Odoo'!E2273)</f>
        <v/>
      </c>
      <c r="F2273" s="79">
        <f>IF('Ordenes_Odoo'!F2273="","",'Ordenes_Odoo'!F2273)</f>
        <v/>
      </c>
      <c r="G2273" s="79">
        <f>IF('Ordenes_Odoo'!G2273="","",'Ordenes_Odoo'!G2273)</f>
        <v/>
      </c>
      <c r="H2273" s="79">
        <f>IF('Ordenes_Odoo'!H2273="","",'Ordenes_Odoo'!H2273)</f>
        <v/>
      </c>
      <c r="I2273" s="79">
        <f>IF('Ordenes_Odoo'!I2273="","",'Ordenes_Odoo'!I2273)</f>
        <v/>
      </c>
      <c r="J2273" s="79">
        <f>IF('Ordenes_Odoo'!J2273="","",'Ordenes_Odoo'!J2273)</f>
        <v/>
      </c>
      <c r="K2273" s="81">
        <f>IF('Ordenes_Odoo'!K2273="","",'Ordenes_Odoo'!K2273)</f>
        <v/>
      </c>
      <c r="L2273" s="81">
        <f>IF('Ordenes_Odoo'!L2273="","",'Ordenes_Odoo'!L2273)</f>
        <v/>
      </c>
      <c r="M2273" s="79">
        <f>IF('Ordenes_Odoo'!M2273="","",'Ordenes_Odoo'!M2273)</f>
        <v/>
      </c>
      <c r="N2273" s="79">
        <f>IF('Ordenes_Odoo'!N2273="","",'Ordenes_Odoo'!N2273)</f>
        <v/>
      </c>
      <c r="O2273" s="81">
        <f>IF('Ordenes_Odoo'!O2273="","",'Ordenes_Odoo'!O2273)</f>
        <v/>
      </c>
      <c r="P2273" s="81">
        <f>IF('Ordenes_Odoo'!P2273="","",'Ordenes_Odoo'!P2273)</f>
        <v/>
      </c>
      <c r="Q2273" s="79">
        <f>IF(A2273="","",IFERROR(INDEX(Facturas_Odoo!$B:$B, MATCH(A2273, Facturas_Odoo!$D:$D, 0)), "Sin Factura"))</f>
        <v/>
      </c>
      <c r="R2273" s="80">
        <f>IF(Q2273="Sin Factura","",IFERROR(INDEX(Facturas_Odoo!$A:$A, MATCH(Q2273, Facturas_Odoo!$B:$B, 0)), ""))</f>
        <v/>
      </c>
      <c r="S2273" s="79">
        <f>IF(Q2273="Sin Factura","",IFERROR(_xlfn.XLOOKUP(1, (Facturas_Odoo!$D:$D=A2273) * (Facturas_Odoo!$K:$K=I2273), Facturas_Odoo!$L:$L, ""), ""))</f>
        <v/>
      </c>
      <c r="T2273" s="81">
        <f>IF(Q2273="Sin Factura",0,IFERROR(_xlfn.XLOOKUP(1, (Facturas_Odoo!$D:$D=A2273) * (Facturas_Odoo!$K:$K=I2273), Facturas_Odoo!$M:$M, 0), 0))</f>
        <v/>
      </c>
      <c r="U2273" s="79">
        <f>IF(Q2273="Sin Factura",0,IFERROR(_xlfn.XLOOKUP(1, (Facturas_Odoo!$D:$D=A2273) * (Facturas_Odoo!$K:$K=I2273), Facturas_Odoo!$N:$N, 0), 0))</f>
        <v/>
      </c>
      <c r="V2273" s="79">
        <f>IF(Q2273="Sin Factura",0,IFERROR(_xlfn.XLOOKUP(1, (Facturas_Odoo!$D:$D=A2273) * (Facturas_Odoo!$K:$K=I2273), Facturas_Odoo!$O:$O, 0), 0))</f>
        <v/>
      </c>
      <c r="W2273" s="81">
        <f>IF(Q2273="Sin Factura",0,IFERROR(_xlfn.XLOOKUP(1, (Facturas_Odoo!$D:$D=A2273) * (Facturas_Odoo!$K:$K=I2273), Facturas_Odoo!$Q:$Q, 0), 0))</f>
        <v/>
      </c>
      <c r="X2273" s="79">
        <f>IF(OR(Q2273="Sin Factura",Q2273=""),"",IFERROR(INDEX(Pagos_Odoo!$B:$B, MATCH(Q2273, Pagos_Odoo!$I:$I, 0)), "Sin Pago"))</f>
        <v/>
      </c>
      <c r="Y2273" s="79">
        <f>IF(X2273="Sin Pago","",IFERROR(INDEX(Pagos_Odoo!$C:$C, MATCH(X2273, Pagos_Odoo!$B:$B, 0)), ""))</f>
        <v/>
      </c>
      <c r="Z2273" s="80">
        <f>IF(X2273="Sin Pago","",IFERROR(INDEX(Pagos_Odoo!$A:$A, MATCH(X2273, Pagos_Odoo!$B:$B, 0)), ""))</f>
        <v/>
      </c>
      <c r="AA2273" s="79">
        <f>IF(X2273="Sin Pago","",IFERROR(INDEX(Pagos_Odoo!$F:$F, MATCH(X2273, Pagos_Odoo!$B:$B, 0)), ""))</f>
        <v/>
      </c>
      <c r="AB2273" s="81">
        <f>IF(X2273="Sin Pago",0,IFERROR(INDEX(Pagos_Odoo!$E:$E, MATCH(X2273, Pagos_Odoo!$B:$B, 0)), 0))</f>
        <v/>
      </c>
      <c r="AC2273" s="79">
        <f>IF(X2273="Sin Pago","",IFERROR(INDEX(Pagos_Odoo!$G:$G, MATCH(X2273, Pagos_Odoo!$B:$B, 0)), ""))</f>
        <v/>
      </c>
      <c r="AD2273" s="82" t="n">
        <v>0</v>
      </c>
      <c r="AE2273" s="82" t="n"/>
      <c r="AF2273" s="82" t="n"/>
      <c r="AG2273" s="82">
        <f>IF(AN2273="","",AD2273+AE2273+AF2273)</f>
        <v/>
      </c>
      <c r="AH2273" s="81">
        <f>IF(AN2273="","",P2273*(1-AG2273))</f>
        <v/>
      </c>
      <c r="AI2273" s="81">
        <f>IF(AN2273="","",IF(Q2273="Sin Factura",0,IFERROR(INDEX(Facturas_Odoo!$H:$H, MATCH(Q2273, Facturas_Odoo!$B:$B, 0)), 0)*(1-AG2273)))</f>
        <v/>
      </c>
      <c r="AJ2273" s="81">
        <f>IF(AN2273="","",_xlfn.LET(idVenta, AN2273&amp;"",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73" s="81">
        <f>IF(AN2273="","",AH2273-AJ2273)</f>
        <v/>
      </c>
      <c r="AL2273" s="81">
        <f>IF(AN2273="","",IF(Q2273="Sin Factura","",AI2273-AJ2273))</f>
        <v/>
      </c>
      <c r="AM2273" s="81">
        <f>IF(AN2273="","",IF(Q2273="Sin Factura",0,P2273-IFERROR(INDEX(Facturas_Odoo!$H:$H, MATCH(Q2273, Facturas_Odoo!$B:$B, 0)), 0)))</f>
        <v/>
      </c>
      <c r="AN2273" s="79">
        <f>IF(AND(A2273="", J2273=""), "", IF(A2273&lt;&gt;"", VALUE(MID(A2273,2,LEN(A2273))), AN2272))</f>
        <v/>
      </c>
      <c r="AO2273" s="79">
        <f>IF(AN2273="","",IF(AD2273=0,"OK",_xlfn.LET(monedaPago, IF(AA2273="","USD",AA2273), limitePermitido, IFERROR(VLOOKUP(monedaPago, Configuración!$A$2:$B$3, 2, FALSE), 0.15), IF(AD2273&gt;limitePermitido, "ALERTA: EXCESO (" &amp; TEXT(limitePermitido, "0%") &amp; " máx)", "OK"))))</f>
        <v/>
      </c>
      <c r="AP2273" s="79">
        <f>IF(AN2273="","",IF(AE2273=0,"OK",_xlfn.LET(fechaPago, Z2273, fechaFactura, R2273, diasCredito, IF(E2273="Pago inmediato", 0, IFERROR(VALUE(MID(E2273, 1, SEARCH(" ", E2273)-1)),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73" s="79">
        <f>IF(AN2273="","",IF(AND(N2273&gt;0, AG2273&gt;0), IF(Configuración!$K$2="NO", "ALERTA: DESCUENTO DOBLE NO PERMITIDO", "OK"), "OK"))</f>
        <v/>
      </c>
      <c r="AR2273" s="79">
        <f>IF(AN2273="","",IF(OR(AO2273&lt;&gt;"OK", AP2273&lt;&gt;"OK", AQ2273&lt;&gt;"OK"), "⚠️ REVISAR", "OK"))</f>
        <v/>
      </c>
    </row>
    <row r="2274">
      <c r="A2274" s="79">
        <f>IF('Ordenes_Odoo'!A2274="","",'Ordenes_Odoo'!A2274)</f>
        <v/>
      </c>
      <c r="B2274" s="80">
        <f>IF('Ordenes_Odoo'!B2274="","",'Ordenes_Odoo'!B2274)</f>
        <v/>
      </c>
      <c r="C2274" s="79">
        <f>IF('Ordenes_Odoo'!C2274="","",'Ordenes_Odoo'!C2274)</f>
        <v/>
      </c>
      <c r="D2274" s="79">
        <f>IF('Ordenes_Odoo'!D2274="","",'Ordenes_Odoo'!D2274)</f>
        <v/>
      </c>
      <c r="E2274" s="79">
        <f>IF('Ordenes_Odoo'!E2274="","",'Ordenes_Odoo'!E2274)</f>
        <v/>
      </c>
      <c r="F2274" s="79">
        <f>IF('Ordenes_Odoo'!F2274="","",'Ordenes_Odoo'!F2274)</f>
        <v/>
      </c>
      <c r="G2274" s="79">
        <f>IF('Ordenes_Odoo'!G2274="","",'Ordenes_Odoo'!G2274)</f>
        <v/>
      </c>
      <c r="H2274" s="79">
        <f>IF('Ordenes_Odoo'!H2274="","",'Ordenes_Odoo'!H2274)</f>
        <v/>
      </c>
      <c r="I2274" s="79">
        <f>IF('Ordenes_Odoo'!I2274="","",'Ordenes_Odoo'!I2274)</f>
        <v/>
      </c>
      <c r="J2274" s="79">
        <f>IF('Ordenes_Odoo'!J2274="","",'Ordenes_Odoo'!J2274)</f>
        <v/>
      </c>
      <c r="K2274" s="81">
        <f>IF('Ordenes_Odoo'!K2274="","",'Ordenes_Odoo'!K2274)</f>
        <v/>
      </c>
      <c r="L2274" s="81">
        <f>IF('Ordenes_Odoo'!L2274="","",'Ordenes_Odoo'!L2274)</f>
        <v/>
      </c>
      <c r="M2274" s="79">
        <f>IF('Ordenes_Odoo'!M2274="","",'Ordenes_Odoo'!M2274)</f>
        <v/>
      </c>
      <c r="N2274" s="79">
        <f>IF('Ordenes_Odoo'!N2274="","",'Ordenes_Odoo'!N2274)</f>
        <v/>
      </c>
      <c r="O2274" s="81">
        <f>IF('Ordenes_Odoo'!O2274="","",'Ordenes_Odoo'!O2274)</f>
        <v/>
      </c>
      <c r="P2274" s="81">
        <f>IF('Ordenes_Odoo'!P2274="","",'Ordenes_Odoo'!P2274)</f>
        <v/>
      </c>
      <c r="Q2274" s="79">
        <f>IF(A2274="","",IFERROR(INDEX(Facturas_Odoo!$B:$B, MATCH(A2274, Facturas_Odoo!$D:$D, 0)), "Sin Factura"))</f>
        <v/>
      </c>
      <c r="R2274" s="80">
        <f>IF(Q2274="Sin Factura","",IFERROR(INDEX(Facturas_Odoo!$A:$A, MATCH(Q2274, Facturas_Odoo!$B:$B, 0)), ""))</f>
        <v/>
      </c>
      <c r="S2274" s="79">
        <f>IF(Q2274="Sin Factura","",IFERROR(_xlfn.XLOOKUP(1, (Facturas_Odoo!$D:$D=A2274) * (Facturas_Odoo!$K:$K=I2274), Facturas_Odoo!$L:$L, ""), ""))</f>
        <v/>
      </c>
      <c r="T2274" s="81">
        <f>IF(Q2274="Sin Factura",0,IFERROR(_xlfn.XLOOKUP(1, (Facturas_Odoo!$D:$D=A2274) * (Facturas_Odoo!$K:$K=I2274), Facturas_Odoo!$M:$M, 0), 0))</f>
        <v/>
      </c>
      <c r="U2274" s="79">
        <f>IF(Q2274="Sin Factura",0,IFERROR(_xlfn.XLOOKUP(1, (Facturas_Odoo!$D:$D=A2274) * (Facturas_Odoo!$K:$K=I2274), Facturas_Odoo!$N:$N, 0), 0))</f>
        <v/>
      </c>
      <c r="V2274" s="79">
        <f>IF(Q2274="Sin Factura",0,IFERROR(_xlfn.XLOOKUP(1, (Facturas_Odoo!$D:$D=A2274) * (Facturas_Odoo!$K:$K=I2274), Facturas_Odoo!$O:$O, 0), 0))</f>
        <v/>
      </c>
      <c r="W2274" s="81">
        <f>IF(Q2274="Sin Factura",0,IFERROR(_xlfn.XLOOKUP(1, (Facturas_Odoo!$D:$D=A2274) * (Facturas_Odoo!$K:$K=I2274), Facturas_Odoo!$Q:$Q, 0), 0))</f>
        <v/>
      </c>
      <c r="X2274" s="79">
        <f>IF(OR(Q2274="Sin Factura",Q2274=""),"",IFERROR(INDEX(Pagos_Odoo!$B:$B, MATCH(Q2274, Pagos_Odoo!$I:$I, 0)), "Sin Pago"))</f>
        <v/>
      </c>
      <c r="Y2274" s="79">
        <f>IF(X2274="Sin Pago","",IFERROR(INDEX(Pagos_Odoo!$C:$C, MATCH(X2274, Pagos_Odoo!$B:$B, 0)), ""))</f>
        <v/>
      </c>
      <c r="Z2274" s="80">
        <f>IF(X2274="Sin Pago","",IFERROR(INDEX(Pagos_Odoo!$A:$A, MATCH(X2274, Pagos_Odoo!$B:$B, 0)), ""))</f>
        <v/>
      </c>
      <c r="AA2274" s="79">
        <f>IF(X2274="Sin Pago","",IFERROR(INDEX(Pagos_Odoo!$F:$F, MATCH(X2274, Pagos_Odoo!$B:$B, 0)), ""))</f>
        <v/>
      </c>
      <c r="AB2274" s="81">
        <f>IF(X2274="Sin Pago",0,IFERROR(INDEX(Pagos_Odoo!$E:$E, MATCH(X2274, Pagos_Odoo!$B:$B, 0)), 0))</f>
        <v/>
      </c>
      <c r="AC2274" s="79">
        <f>IF(X2274="Sin Pago","",IFERROR(INDEX(Pagos_Odoo!$G:$G, MATCH(X2274, Pagos_Odoo!$B:$B, 0)), ""))</f>
        <v/>
      </c>
      <c r="AD2274" s="82" t="n">
        <v>0</v>
      </c>
      <c r="AE2274" s="82" t="n"/>
      <c r="AF2274" s="82" t="n"/>
      <c r="AG2274" s="82">
        <f>IF(AN2274="","",AD2274+AE2274+AF2274)</f>
        <v/>
      </c>
      <c r="AH2274" s="81">
        <f>IF(AN2274="","",P2274*(1-AG2274))</f>
        <v/>
      </c>
      <c r="AI2274" s="81">
        <f>IF(AN2274="","",IF(Q2274="Sin Factura",0,IFERROR(INDEX(Facturas_Odoo!$H:$H, MATCH(Q2274, Facturas_Odoo!$B:$B, 0)), 0)*(1-AG2274)))</f>
        <v/>
      </c>
      <c r="AJ2274" s="81">
        <f>IF(AN2274="","",_xlfn.LET(idVenta, AN2274&amp;"",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74" s="81">
        <f>IF(AN2274="","",AH2274-AJ2274)</f>
        <v/>
      </c>
      <c r="AL2274" s="81">
        <f>IF(AN2274="","",IF(Q2274="Sin Factura","",AI2274-AJ2274))</f>
        <v/>
      </c>
      <c r="AM2274" s="81">
        <f>IF(AN2274="","",IF(Q2274="Sin Factura",0,P2274-IFERROR(INDEX(Facturas_Odoo!$H:$H, MATCH(Q2274, Facturas_Odoo!$B:$B, 0)), 0)))</f>
        <v/>
      </c>
      <c r="AN2274" s="79">
        <f>IF(AND(A2274="", J2274=""), "", IF(A2274&lt;&gt;"", VALUE(MID(A2274,2,LEN(A2274))), AN2273))</f>
        <v/>
      </c>
      <c r="AO2274" s="79">
        <f>IF(AN2274="","",IF(AD2274=0,"OK",_xlfn.LET(monedaPago, IF(AA2274="","USD",AA2274), limitePermitido, IFERROR(VLOOKUP(monedaPago, Configuración!$A$2:$B$3, 2, FALSE), 0.15), IF(AD2274&gt;limitePermitido, "ALERTA: EXCESO (" &amp; TEXT(limitePermitido, "0%") &amp; " máx)", "OK"))))</f>
        <v/>
      </c>
      <c r="AP2274" s="79">
        <f>IF(AN2274="","",IF(AE2274=0,"OK",_xlfn.LET(fechaPago, Z2274, fechaFactura, R2274, diasCredito, IF(E2274="Pago inmediato", 0, IFERROR(VALUE(MID(E2274, 1, SEARCH(" ", E2274)-1)),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74" s="79">
        <f>IF(AN2274="","",IF(AND(N2274&gt;0, AG2274&gt;0), IF(Configuración!$K$2="NO", "ALERTA: DESCUENTO DOBLE NO PERMITIDO", "OK"), "OK"))</f>
        <v/>
      </c>
      <c r="AR2274" s="79">
        <f>IF(AN2274="","",IF(OR(AO2274&lt;&gt;"OK", AP2274&lt;&gt;"OK", AQ2274&lt;&gt;"OK"), "⚠️ REVISAR", "OK"))</f>
        <v/>
      </c>
    </row>
    <row r="2275">
      <c r="A2275" s="79">
        <f>IF('Ordenes_Odoo'!A2275="","",'Ordenes_Odoo'!A2275)</f>
        <v/>
      </c>
      <c r="B2275" s="80">
        <f>IF('Ordenes_Odoo'!B2275="","",'Ordenes_Odoo'!B2275)</f>
        <v/>
      </c>
      <c r="C2275" s="79">
        <f>IF('Ordenes_Odoo'!C2275="","",'Ordenes_Odoo'!C2275)</f>
        <v/>
      </c>
      <c r="D2275" s="79">
        <f>IF('Ordenes_Odoo'!D2275="","",'Ordenes_Odoo'!D2275)</f>
        <v/>
      </c>
      <c r="E2275" s="79">
        <f>IF('Ordenes_Odoo'!E2275="","",'Ordenes_Odoo'!E2275)</f>
        <v/>
      </c>
      <c r="F2275" s="79">
        <f>IF('Ordenes_Odoo'!F2275="","",'Ordenes_Odoo'!F2275)</f>
        <v/>
      </c>
      <c r="G2275" s="79">
        <f>IF('Ordenes_Odoo'!G2275="","",'Ordenes_Odoo'!G2275)</f>
        <v/>
      </c>
      <c r="H2275" s="79">
        <f>IF('Ordenes_Odoo'!H2275="","",'Ordenes_Odoo'!H2275)</f>
        <v/>
      </c>
      <c r="I2275" s="79">
        <f>IF('Ordenes_Odoo'!I2275="","",'Ordenes_Odoo'!I2275)</f>
        <v/>
      </c>
      <c r="J2275" s="79">
        <f>IF('Ordenes_Odoo'!J2275="","",'Ordenes_Odoo'!J2275)</f>
        <v/>
      </c>
      <c r="K2275" s="81">
        <f>IF('Ordenes_Odoo'!K2275="","",'Ordenes_Odoo'!K2275)</f>
        <v/>
      </c>
      <c r="L2275" s="81">
        <f>IF('Ordenes_Odoo'!L2275="","",'Ordenes_Odoo'!L2275)</f>
        <v/>
      </c>
      <c r="M2275" s="79">
        <f>IF('Ordenes_Odoo'!M2275="","",'Ordenes_Odoo'!M2275)</f>
        <v/>
      </c>
      <c r="N2275" s="79">
        <f>IF('Ordenes_Odoo'!N2275="","",'Ordenes_Odoo'!N2275)</f>
        <v/>
      </c>
      <c r="O2275" s="81">
        <f>IF('Ordenes_Odoo'!O2275="","",'Ordenes_Odoo'!O2275)</f>
        <v/>
      </c>
      <c r="P2275" s="81">
        <f>IF('Ordenes_Odoo'!P2275="","",'Ordenes_Odoo'!P2275)</f>
        <v/>
      </c>
      <c r="Q2275" s="79">
        <f>IF(A2275="","",IFERROR(INDEX(Facturas_Odoo!$B:$B, MATCH(A2275, Facturas_Odoo!$D:$D, 0)), "Sin Factura"))</f>
        <v/>
      </c>
      <c r="R2275" s="80">
        <f>IF(Q2275="Sin Factura","",IFERROR(INDEX(Facturas_Odoo!$A:$A, MATCH(Q2275, Facturas_Odoo!$B:$B, 0)), ""))</f>
        <v/>
      </c>
      <c r="S2275" s="79">
        <f>IF(Q2275="Sin Factura","",IFERROR(_xlfn.XLOOKUP(1, (Facturas_Odoo!$D:$D=A2275) * (Facturas_Odoo!$K:$K=I2275), Facturas_Odoo!$L:$L, ""), ""))</f>
        <v/>
      </c>
      <c r="T2275" s="81">
        <f>IF(Q2275="Sin Factura",0,IFERROR(_xlfn.XLOOKUP(1, (Facturas_Odoo!$D:$D=A2275) * (Facturas_Odoo!$K:$K=I2275), Facturas_Odoo!$M:$M, 0), 0))</f>
        <v/>
      </c>
      <c r="U2275" s="79">
        <f>IF(Q2275="Sin Factura",0,IFERROR(_xlfn.XLOOKUP(1, (Facturas_Odoo!$D:$D=A2275) * (Facturas_Odoo!$K:$K=I2275), Facturas_Odoo!$N:$N, 0), 0))</f>
        <v/>
      </c>
      <c r="V2275" s="79">
        <f>IF(Q2275="Sin Factura",0,IFERROR(_xlfn.XLOOKUP(1, (Facturas_Odoo!$D:$D=A2275) * (Facturas_Odoo!$K:$K=I2275), Facturas_Odoo!$O:$O, 0), 0))</f>
        <v/>
      </c>
      <c r="W2275" s="81">
        <f>IF(Q2275="Sin Factura",0,IFERROR(_xlfn.XLOOKUP(1, (Facturas_Odoo!$D:$D=A2275) * (Facturas_Odoo!$K:$K=I2275), Facturas_Odoo!$Q:$Q, 0), 0))</f>
        <v/>
      </c>
      <c r="X2275" s="79">
        <f>IF(OR(Q2275="Sin Factura",Q2275=""),"",IFERROR(INDEX(Pagos_Odoo!$B:$B, MATCH(Q2275, Pagos_Odoo!$I:$I, 0)), "Sin Pago"))</f>
        <v/>
      </c>
      <c r="Y2275" s="79">
        <f>IF(X2275="Sin Pago","",IFERROR(INDEX(Pagos_Odoo!$C:$C, MATCH(X2275, Pagos_Odoo!$B:$B, 0)), ""))</f>
        <v/>
      </c>
      <c r="Z2275" s="80">
        <f>IF(X2275="Sin Pago","",IFERROR(INDEX(Pagos_Odoo!$A:$A, MATCH(X2275, Pagos_Odoo!$B:$B, 0)), ""))</f>
        <v/>
      </c>
      <c r="AA2275" s="79">
        <f>IF(X2275="Sin Pago","",IFERROR(INDEX(Pagos_Odoo!$F:$F, MATCH(X2275, Pagos_Odoo!$B:$B, 0)), ""))</f>
        <v/>
      </c>
      <c r="AB2275" s="81">
        <f>IF(X2275="Sin Pago",0,IFERROR(INDEX(Pagos_Odoo!$E:$E, MATCH(X2275, Pagos_Odoo!$B:$B, 0)), 0))</f>
        <v/>
      </c>
      <c r="AC2275" s="79">
        <f>IF(X2275="Sin Pago","",IFERROR(INDEX(Pagos_Odoo!$G:$G, MATCH(X2275, Pagos_Odoo!$B:$B, 0)), ""))</f>
        <v/>
      </c>
      <c r="AD2275" s="82" t="n">
        <v>0</v>
      </c>
      <c r="AE2275" s="82" t="n"/>
      <c r="AF2275" s="82" t="n"/>
      <c r="AG2275" s="82">
        <f>IF(AN2275="","",AD2275+AE2275+AF2275)</f>
        <v/>
      </c>
      <c r="AH2275" s="81">
        <f>IF(AN2275="","",P2275*(1-AG2275))</f>
        <v/>
      </c>
      <c r="AI2275" s="81">
        <f>IF(AN2275="","",IF(Q2275="Sin Factura",0,IFERROR(INDEX(Facturas_Odoo!$H:$H, MATCH(Q2275, Facturas_Odoo!$B:$B, 0)), 0)*(1-AG2275)))</f>
        <v/>
      </c>
      <c r="AJ2275" s="81">
        <f>IF(AN2275="","",_xlfn.LET(idVenta, AN2275&amp;"",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75" s="81">
        <f>IF(AN2275="","",AH2275-AJ2275)</f>
        <v/>
      </c>
      <c r="AL2275" s="81">
        <f>IF(AN2275="","",IF(Q2275="Sin Factura","",AI2275-AJ2275))</f>
        <v/>
      </c>
      <c r="AM2275" s="81">
        <f>IF(AN2275="","",IF(Q2275="Sin Factura",0,P2275-IFERROR(INDEX(Facturas_Odoo!$H:$H, MATCH(Q2275, Facturas_Odoo!$B:$B, 0)), 0)))</f>
        <v/>
      </c>
      <c r="AN2275" s="79">
        <f>IF(AND(A2275="", J2275=""), "", IF(A2275&lt;&gt;"", VALUE(MID(A2275,2,LEN(A2275))), AN2274))</f>
        <v/>
      </c>
      <c r="AO2275" s="79">
        <f>IF(AN2275="","",IF(AD2275=0,"OK",_xlfn.LET(monedaPago, IF(AA2275="","USD",AA2275), limitePermitido, IFERROR(VLOOKUP(monedaPago, Configuración!$A$2:$B$3, 2, FALSE), 0.15), IF(AD2275&gt;limitePermitido, "ALERTA: EXCESO (" &amp; TEXT(limitePermitido, "0%") &amp; " máx)", "OK"))))</f>
        <v/>
      </c>
      <c r="AP2275" s="79">
        <f>IF(AN2275="","",IF(AE2275=0,"OK",_xlfn.LET(fechaPago, Z2275, fechaFactura, R2275, diasCredito, IF(E2275="Pago inmediato", 0, IFERROR(VALUE(MID(E2275, 1, SEARCH(" ", E2275)-1)),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75" s="79">
        <f>IF(AN2275="","",IF(AND(N2275&gt;0, AG2275&gt;0), IF(Configuración!$K$2="NO", "ALERTA: DESCUENTO DOBLE NO PERMITIDO", "OK"), "OK"))</f>
        <v/>
      </c>
      <c r="AR2275" s="79">
        <f>IF(AN2275="","",IF(OR(AO2275&lt;&gt;"OK", AP2275&lt;&gt;"OK", AQ2275&lt;&gt;"OK"), "⚠️ REVISAR", "OK"))</f>
        <v/>
      </c>
    </row>
    <row r="2276">
      <c r="A2276" s="79">
        <f>IF('Ordenes_Odoo'!A2276="","",'Ordenes_Odoo'!A2276)</f>
        <v/>
      </c>
      <c r="B2276" s="80">
        <f>IF('Ordenes_Odoo'!B2276="","",'Ordenes_Odoo'!B2276)</f>
        <v/>
      </c>
      <c r="C2276" s="79">
        <f>IF('Ordenes_Odoo'!C2276="","",'Ordenes_Odoo'!C2276)</f>
        <v/>
      </c>
      <c r="D2276" s="79">
        <f>IF('Ordenes_Odoo'!D2276="","",'Ordenes_Odoo'!D2276)</f>
        <v/>
      </c>
      <c r="E2276" s="79">
        <f>IF('Ordenes_Odoo'!E2276="","",'Ordenes_Odoo'!E2276)</f>
        <v/>
      </c>
      <c r="F2276" s="79">
        <f>IF('Ordenes_Odoo'!F2276="","",'Ordenes_Odoo'!F2276)</f>
        <v/>
      </c>
      <c r="G2276" s="79">
        <f>IF('Ordenes_Odoo'!G2276="","",'Ordenes_Odoo'!G2276)</f>
        <v/>
      </c>
      <c r="H2276" s="79">
        <f>IF('Ordenes_Odoo'!H2276="","",'Ordenes_Odoo'!H2276)</f>
        <v/>
      </c>
      <c r="I2276" s="79">
        <f>IF('Ordenes_Odoo'!I2276="","",'Ordenes_Odoo'!I2276)</f>
        <v/>
      </c>
      <c r="J2276" s="79">
        <f>IF('Ordenes_Odoo'!J2276="","",'Ordenes_Odoo'!J2276)</f>
        <v/>
      </c>
      <c r="K2276" s="81">
        <f>IF('Ordenes_Odoo'!K2276="","",'Ordenes_Odoo'!K2276)</f>
        <v/>
      </c>
      <c r="L2276" s="81">
        <f>IF('Ordenes_Odoo'!L2276="","",'Ordenes_Odoo'!L2276)</f>
        <v/>
      </c>
      <c r="M2276" s="79">
        <f>IF('Ordenes_Odoo'!M2276="","",'Ordenes_Odoo'!M2276)</f>
        <v/>
      </c>
      <c r="N2276" s="79">
        <f>IF('Ordenes_Odoo'!N2276="","",'Ordenes_Odoo'!N2276)</f>
        <v/>
      </c>
      <c r="O2276" s="81">
        <f>IF('Ordenes_Odoo'!O2276="","",'Ordenes_Odoo'!O2276)</f>
        <v/>
      </c>
      <c r="P2276" s="81">
        <f>IF('Ordenes_Odoo'!P2276="","",'Ordenes_Odoo'!P2276)</f>
        <v/>
      </c>
      <c r="Q2276" s="79">
        <f>IF(A2276="","",IFERROR(INDEX(Facturas_Odoo!$B:$B, MATCH(A2276, Facturas_Odoo!$D:$D, 0)), "Sin Factura"))</f>
        <v/>
      </c>
      <c r="R2276" s="80">
        <f>IF(Q2276="Sin Factura","",IFERROR(INDEX(Facturas_Odoo!$A:$A, MATCH(Q2276, Facturas_Odoo!$B:$B, 0)), ""))</f>
        <v/>
      </c>
      <c r="S2276" s="79">
        <f>IF(Q2276="Sin Factura","",IFERROR(_xlfn.XLOOKUP(1, (Facturas_Odoo!$D:$D=A2276) * (Facturas_Odoo!$K:$K=I2276), Facturas_Odoo!$L:$L, ""), ""))</f>
        <v/>
      </c>
      <c r="T2276" s="81">
        <f>IF(Q2276="Sin Factura",0,IFERROR(_xlfn.XLOOKUP(1, (Facturas_Odoo!$D:$D=A2276) * (Facturas_Odoo!$K:$K=I2276), Facturas_Odoo!$M:$M, 0), 0))</f>
        <v/>
      </c>
      <c r="U2276" s="79">
        <f>IF(Q2276="Sin Factura",0,IFERROR(_xlfn.XLOOKUP(1, (Facturas_Odoo!$D:$D=A2276) * (Facturas_Odoo!$K:$K=I2276), Facturas_Odoo!$N:$N, 0), 0))</f>
        <v/>
      </c>
      <c r="V2276" s="79">
        <f>IF(Q2276="Sin Factura",0,IFERROR(_xlfn.XLOOKUP(1, (Facturas_Odoo!$D:$D=A2276) * (Facturas_Odoo!$K:$K=I2276), Facturas_Odoo!$O:$O, 0), 0))</f>
        <v/>
      </c>
      <c r="W2276" s="81">
        <f>IF(Q2276="Sin Factura",0,IFERROR(_xlfn.XLOOKUP(1, (Facturas_Odoo!$D:$D=A2276) * (Facturas_Odoo!$K:$K=I2276), Facturas_Odoo!$Q:$Q, 0), 0))</f>
        <v/>
      </c>
      <c r="X2276" s="79">
        <f>IF(OR(Q2276="Sin Factura",Q2276=""),"",IFERROR(INDEX(Pagos_Odoo!$B:$B, MATCH(Q2276, Pagos_Odoo!$I:$I, 0)), "Sin Pago"))</f>
        <v/>
      </c>
      <c r="Y2276" s="79">
        <f>IF(X2276="Sin Pago","",IFERROR(INDEX(Pagos_Odoo!$C:$C, MATCH(X2276, Pagos_Odoo!$B:$B, 0)), ""))</f>
        <v/>
      </c>
      <c r="Z2276" s="80">
        <f>IF(X2276="Sin Pago","",IFERROR(INDEX(Pagos_Odoo!$A:$A, MATCH(X2276, Pagos_Odoo!$B:$B, 0)), ""))</f>
        <v/>
      </c>
      <c r="AA2276" s="79">
        <f>IF(X2276="Sin Pago","",IFERROR(INDEX(Pagos_Odoo!$F:$F, MATCH(X2276, Pagos_Odoo!$B:$B, 0)), ""))</f>
        <v/>
      </c>
      <c r="AB2276" s="81">
        <f>IF(X2276="Sin Pago",0,IFERROR(INDEX(Pagos_Odoo!$E:$E, MATCH(X2276, Pagos_Odoo!$B:$B, 0)), 0))</f>
        <v/>
      </c>
      <c r="AC2276" s="79">
        <f>IF(X2276="Sin Pago","",IFERROR(INDEX(Pagos_Odoo!$G:$G, MATCH(X2276, Pagos_Odoo!$B:$B, 0)), ""))</f>
        <v/>
      </c>
      <c r="AD2276" s="82" t="n">
        <v>0</v>
      </c>
      <c r="AE2276" s="82" t="n"/>
      <c r="AF2276" s="82" t="n"/>
      <c r="AG2276" s="82">
        <f>IF(AN2276="","",AD2276+AE2276+AF2276)</f>
        <v/>
      </c>
      <c r="AH2276" s="81">
        <f>IF(AN2276="","",P2276*(1-AG2276))</f>
        <v/>
      </c>
      <c r="AI2276" s="81">
        <f>IF(AN2276="","",IF(Q2276="Sin Factura",0,IFERROR(INDEX(Facturas_Odoo!$H:$H, MATCH(Q2276, Facturas_Odoo!$B:$B, 0)), 0)*(1-AG2276)))</f>
        <v/>
      </c>
      <c r="AJ2276" s="81">
        <f>IF(AN2276="","",_xlfn.LET(idVenta, AN2276&amp;"",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76" s="81">
        <f>IF(AN2276="","",AH2276-AJ2276)</f>
        <v/>
      </c>
      <c r="AL2276" s="81">
        <f>IF(AN2276="","",IF(Q2276="Sin Factura","",AI2276-AJ2276))</f>
        <v/>
      </c>
      <c r="AM2276" s="81">
        <f>IF(AN2276="","",IF(Q2276="Sin Factura",0,P2276-IFERROR(INDEX(Facturas_Odoo!$H:$H, MATCH(Q2276, Facturas_Odoo!$B:$B, 0)), 0)))</f>
        <v/>
      </c>
      <c r="AN2276" s="79">
        <f>IF(AND(A2276="", J2276=""), "", IF(A2276&lt;&gt;"", VALUE(MID(A2276,2,LEN(A2276))), AN2275))</f>
        <v/>
      </c>
      <c r="AO2276" s="79">
        <f>IF(AN2276="","",IF(AD2276=0,"OK",_xlfn.LET(monedaPago, IF(AA2276="","USD",AA2276), limitePermitido, IFERROR(VLOOKUP(monedaPago, Configuración!$A$2:$B$3, 2, FALSE), 0.15), IF(AD2276&gt;limitePermitido, "ALERTA: EXCESO (" &amp; TEXT(limitePermitido, "0%") &amp; " máx)", "OK"))))</f>
        <v/>
      </c>
      <c r="AP2276" s="79">
        <f>IF(AN2276="","",IF(AE2276=0,"OK",_xlfn.LET(fechaPago, Z2276, fechaFactura, R2276, diasCredito, IF(E2276="Pago inmediato", 0, IFERROR(VALUE(MID(E2276, 1, SEARCH(" ", E2276)-1)),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76" s="79">
        <f>IF(AN2276="","",IF(AND(N2276&gt;0, AG2276&gt;0), IF(Configuración!$K$2="NO", "ALERTA: DESCUENTO DOBLE NO PERMITIDO", "OK"), "OK"))</f>
        <v/>
      </c>
      <c r="AR2276" s="79">
        <f>IF(AN2276="","",IF(OR(AO2276&lt;&gt;"OK", AP2276&lt;&gt;"OK", AQ2276&lt;&gt;"OK"), "⚠️ REVISAR", "OK"))</f>
        <v/>
      </c>
    </row>
    <row r="2277">
      <c r="A2277" s="79">
        <f>IF('Ordenes_Odoo'!A2277="","",'Ordenes_Odoo'!A2277)</f>
        <v/>
      </c>
      <c r="B2277" s="80">
        <f>IF('Ordenes_Odoo'!B2277="","",'Ordenes_Odoo'!B2277)</f>
        <v/>
      </c>
      <c r="C2277" s="79">
        <f>IF('Ordenes_Odoo'!C2277="","",'Ordenes_Odoo'!C2277)</f>
        <v/>
      </c>
      <c r="D2277" s="79">
        <f>IF('Ordenes_Odoo'!D2277="","",'Ordenes_Odoo'!D2277)</f>
        <v/>
      </c>
      <c r="E2277" s="79">
        <f>IF('Ordenes_Odoo'!E2277="","",'Ordenes_Odoo'!E2277)</f>
        <v/>
      </c>
      <c r="F2277" s="79">
        <f>IF('Ordenes_Odoo'!F2277="","",'Ordenes_Odoo'!F2277)</f>
        <v/>
      </c>
      <c r="G2277" s="79">
        <f>IF('Ordenes_Odoo'!G2277="","",'Ordenes_Odoo'!G2277)</f>
        <v/>
      </c>
      <c r="H2277" s="79">
        <f>IF('Ordenes_Odoo'!H2277="","",'Ordenes_Odoo'!H2277)</f>
        <v/>
      </c>
      <c r="I2277" s="79">
        <f>IF('Ordenes_Odoo'!I2277="","",'Ordenes_Odoo'!I2277)</f>
        <v/>
      </c>
      <c r="J2277" s="79">
        <f>IF('Ordenes_Odoo'!J2277="","",'Ordenes_Odoo'!J2277)</f>
        <v/>
      </c>
      <c r="K2277" s="81">
        <f>IF('Ordenes_Odoo'!K2277="","",'Ordenes_Odoo'!K2277)</f>
        <v/>
      </c>
      <c r="L2277" s="81">
        <f>IF('Ordenes_Odoo'!L2277="","",'Ordenes_Odoo'!L2277)</f>
        <v/>
      </c>
      <c r="M2277" s="79">
        <f>IF('Ordenes_Odoo'!M2277="","",'Ordenes_Odoo'!M2277)</f>
        <v/>
      </c>
      <c r="N2277" s="79">
        <f>IF('Ordenes_Odoo'!N2277="","",'Ordenes_Odoo'!N2277)</f>
        <v/>
      </c>
      <c r="O2277" s="81">
        <f>IF('Ordenes_Odoo'!O2277="","",'Ordenes_Odoo'!O2277)</f>
        <v/>
      </c>
      <c r="P2277" s="81">
        <f>IF('Ordenes_Odoo'!P2277="","",'Ordenes_Odoo'!P2277)</f>
        <v/>
      </c>
      <c r="Q2277" s="79">
        <f>IF(A2277="","",IFERROR(INDEX(Facturas_Odoo!$B:$B, MATCH(A2277, Facturas_Odoo!$D:$D, 0)), "Sin Factura"))</f>
        <v/>
      </c>
      <c r="R2277" s="80">
        <f>IF(Q2277="Sin Factura","",IFERROR(INDEX(Facturas_Odoo!$A:$A, MATCH(Q2277, Facturas_Odoo!$B:$B, 0)), ""))</f>
        <v/>
      </c>
      <c r="S2277" s="79">
        <f>IF(Q2277="Sin Factura","",IFERROR(_xlfn.XLOOKUP(1, (Facturas_Odoo!$D:$D=A2277) * (Facturas_Odoo!$K:$K=I2277), Facturas_Odoo!$L:$L, ""), ""))</f>
        <v/>
      </c>
      <c r="T2277" s="81">
        <f>IF(Q2277="Sin Factura",0,IFERROR(_xlfn.XLOOKUP(1, (Facturas_Odoo!$D:$D=A2277) * (Facturas_Odoo!$K:$K=I2277), Facturas_Odoo!$M:$M, 0), 0))</f>
        <v/>
      </c>
      <c r="U2277" s="79">
        <f>IF(Q2277="Sin Factura",0,IFERROR(_xlfn.XLOOKUP(1, (Facturas_Odoo!$D:$D=A2277) * (Facturas_Odoo!$K:$K=I2277), Facturas_Odoo!$N:$N, 0), 0))</f>
        <v/>
      </c>
      <c r="V2277" s="79">
        <f>IF(Q2277="Sin Factura",0,IFERROR(_xlfn.XLOOKUP(1, (Facturas_Odoo!$D:$D=A2277) * (Facturas_Odoo!$K:$K=I2277), Facturas_Odoo!$O:$O, 0), 0))</f>
        <v/>
      </c>
      <c r="W2277" s="81">
        <f>IF(Q2277="Sin Factura",0,IFERROR(_xlfn.XLOOKUP(1, (Facturas_Odoo!$D:$D=A2277) * (Facturas_Odoo!$K:$K=I2277), Facturas_Odoo!$Q:$Q, 0), 0))</f>
        <v/>
      </c>
      <c r="X2277" s="79">
        <f>IF(OR(Q2277="Sin Factura",Q2277=""),"",IFERROR(INDEX(Pagos_Odoo!$B:$B, MATCH(Q2277, Pagos_Odoo!$I:$I, 0)), "Sin Pago"))</f>
        <v/>
      </c>
      <c r="Y2277" s="79">
        <f>IF(X2277="Sin Pago","",IFERROR(INDEX(Pagos_Odoo!$C:$C, MATCH(X2277, Pagos_Odoo!$B:$B, 0)), ""))</f>
        <v/>
      </c>
      <c r="Z2277" s="80">
        <f>IF(X2277="Sin Pago","",IFERROR(INDEX(Pagos_Odoo!$A:$A, MATCH(X2277, Pagos_Odoo!$B:$B, 0)), ""))</f>
        <v/>
      </c>
      <c r="AA2277" s="79">
        <f>IF(X2277="Sin Pago","",IFERROR(INDEX(Pagos_Odoo!$F:$F, MATCH(X2277, Pagos_Odoo!$B:$B, 0)), ""))</f>
        <v/>
      </c>
      <c r="AB2277" s="81">
        <f>IF(X2277="Sin Pago",0,IFERROR(INDEX(Pagos_Odoo!$E:$E, MATCH(X2277, Pagos_Odoo!$B:$B, 0)), 0))</f>
        <v/>
      </c>
      <c r="AC2277" s="79">
        <f>IF(X2277="Sin Pago","",IFERROR(INDEX(Pagos_Odoo!$G:$G, MATCH(X2277, Pagos_Odoo!$B:$B, 0)), ""))</f>
        <v/>
      </c>
      <c r="AD2277" s="82" t="n">
        <v>0</v>
      </c>
      <c r="AE2277" s="82" t="n"/>
      <c r="AF2277" s="82" t="n"/>
      <c r="AG2277" s="82">
        <f>IF(AN2277="","",AD2277+AE2277+AF2277)</f>
        <v/>
      </c>
      <c r="AH2277" s="81">
        <f>IF(AN2277="","",P2277*(1-AG2277))</f>
        <v/>
      </c>
      <c r="AI2277" s="81">
        <f>IF(AN2277="","",IF(Q2277="Sin Factura",0,IFERROR(INDEX(Facturas_Odoo!$H:$H, MATCH(Q2277, Facturas_Odoo!$B:$B, 0)), 0)*(1-AG2277)))</f>
        <v/>
      </c>
      <c r="AJ2277" s="81">
        <f>IF(AN2277="","",_xlfn.LET(idVenta, AN2277&amp;"",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77" s="81">
        <f>IF(AN2277="","",AH2277-AJ2277)</f>
        <v/>
      </c>
      <c r="AL2277" s="81">
        <f>IF(AN2277="","",IF(Q2277="Sin Factura","",AI2277-AJ2277))</f>
        <v/>
      </c>
      <c r="AM2277" s="81">
        <f>IF(AN2277="","",IF(Q2277="Sin Factura",0,P2277-IFERROR(INDEX(Facturas_Odoo!$H:$H, MATCH(Q2277, Facturas_Odoo!$B:$B, 0)), 0)))</f>
        <v/>
      </c>
      <c r="AN2277" s="79">
        <f>IF(AND(A2277="", J2277=""), "", IF(A2277&lt;&gt;"", VALUE(MID(A2277,2,LEN(A2277))), AN2276))</f>
        <v/>
      </c>
      <c r="AO2277" s="79">
        <f>IF(AN2277="","",IF(AD2277=0,"OK",_xlfn.LET(monedaPago, IF(AA2277="","USD",AA2277), limitePermitido, IFERROR(VLOOKUP(monedaPago, Configuración!$A$2:$B$3, 2, FALSE), 0.15), IF(AD2277&gt;limitePermitido, "ALERTA: EXCESO (" &amp; TEXT(limitePermitido, "0%") &amp; " máx)", "OK"))))</f>
        <v/>
      </c>
      <c r="AP2277" s="79">
        <f>IF(AN2277="","",IF(AE2277=0,"OK",_xlfn.LET(fechaPago, Z2277, fechaFactura, R2277, diasCredito, IF(E2277="Pago inmediato", 0, IFERROR(VALUE(MID(E2277, 1, SEARCH(" ", E2277)-1)),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77" s="79">
        <f>IF(AN2277="","",IF(AND(N2277&gt;0, AG2277&gt;0), IF(Configuración!$K$2="NO", "ALERTA: DESCUENTO DOBLE NO PERMITIDO", "OK"), "OK"))</f>
        <v/>
      </c>
      <c r="AR2277" s="79">
        <f>IF(AN2277="","",IF(OR(AO2277&lt;&gt;"OK", AP2277&lt;&gt;"OK", AQ2277&lt;&gt;"OK"), "⚠️ REVISAR", "OK"))</f>
        <v/>
      </c>
    </row>
    <row r="2278">
      <c r="A2278" s="79">
        <f>IF('Ordenes_Odoo'!A2278="","",'Ordenes_Odoo'!A2278)</f>
        <v/>
      </c>
      <c r="B2278" s="80">
        <f>IF('Ordenes_Odoo'!B2278="","",'Ordenes_Odoo'!B2278)</f>
        <v/>
      </c>
      <c r="C2278" s="79">
        <f>IF('Ordenes_Odoo'!C2278="","",'Ordenes_Odoo'!C2278)</f>
        <v/>
      </c>
      <c r="D2278" s="79">
        <f>IF('Ordenes_Odoo'!D2278="","",'Ordenes_Odoo'!D2278)</f>
        <v/>
      </c>
      <c r="E2278" s="79">
        <f>IF('Ordenes_Odoo'!E2278="","",'Ordenes_Odoo'!E2278)</f>
        <v/>
      </c>
      <c r="F2278" s="79">
        <f>IF('Ordenes_Odoo'!F2278="","",'Ordenes_Odoo'!F2278)</f>
        <v/>
      </c>
      <c r="G2278" s="79">
        <f>IF('Ordenes_Odoo'!G2278="","",'Ordenes_Odoo'!G2278)</f>
        <v/>
      </c>
      <c r="H2278" s="79">
        <f>IF('Ordenes_Odoo'!H2278="","",'Ordenes_Odoo'!H2278)</f>
        <v/>
      </c>
      <c r="I2278" s="79">
        <f>IF('Ordenes_Odoo'!I2278="","",'Ordenes_Odoo'!I2278)</f>
        <v/>
      </c>
      <c r="J2278" s="79">
        <f>IF('Ordenes_Odoo'!J2278="","",'Ordenes_Odoo'!J2278)</f>
        <v/>
      </c>
      <c r="K2278" s="81">
        <f>IF('Ordenes_Odoo'!K2278="","",'Ordenes_Odoo'!K2278)</f>
        <v/>
      </c>
      <c r="L2278" s="81">
        <f>IF('Ordenes_Odoo'!L2278="","",'Ordenes_Odoo'!L2278)</f>
        <v/>
      </c>
      <c r="M2278" s="79">
        <f>IF('Ordenes_Odoo'!M2278="","",'Ordenes_Odoo'!M2278)</f>
        <v/>
      </c>
      <c r="N2278" s="79">
        <f>IF('Ordenes_Odoo'!N2278="","",'Ordenes_Odoo'!N2278)</f>
        <v/>
      </c>
      <c r="O2278" s="81">
        <f>IF('Ordenes_Odoo'!O2278="","",'Ordenes_Odoo'!O2278)</f>
        <v/>
      </c>
      <c r="P2278" s="81">
        <f>IF('Ordenes_Odoo'!P2278="","",'Ordenes_Odoo'!P2278)</f>
        <v/>
      </c>
      <c r="Q2278" s="79">
        <f>IF(A2278="","",IFERROR(INDEX(Facturas_Odoo!$B:$B, MATCH(A2278, Facturas_Odoo!$D:$D, 0)), "Sin Factura"))</f>
        <v/>
      </c>
      <c r="R2278" s="80">
        <f>IF(Q2278="Sin Factura","",IFERROR(INDEX(Facturas_Odoo!$A:$A, MATCH(Q2278, Facturas_Odoo!$B:$B, 0)), ""))</f>
        <v/>
      </c>
      <c r="S2278" s="79">
        <f>IF(Q2278="Sin Factura","",IFERROR(_xlfn.XLOOKUP(1, (Facturas_Odoo!$D:$D=A2278) * (Facturas_Odoo!$K:$K=I2278), Facturas_Odoo!$L:$L, ""), ""))</f>
        <v/>
      </c>
      <c r="T2278" s="81">
        <f>IF(Q2278="Sin Factura",0,IFERROR(_xlfn.XLOOKUP(1, (Facturas_Odoo!$D:$D=A2278) * (Facturas_Odoo!$K:$K=I2278), Facturas_Odoo!$M:$M, 0), 0))</f>
        <v/>
      </c>
      <c r="U2278" s="79">
        <f>IF(Q2278="Sin Factura",0,IFERROR(_xlfn.XLOOKUP(1, (Facturas_Odoo!$D:$D=A2278) * (Facturas_Odoo!$K:$K=I2278), Facturas_Odoo!$N:$N, 0), 0))</f>
        <v/>
      </c>
      <c r="V2278" s="79">
        <f>IF(Q2278="Sin Factura",0,IFERROR(_xlfn.XLOOKUP(1, (Facturas_Odoo!$D:$D=A2278) * (Facturas_Odoo!$K:$K=I2278), Facturas_Odoo!$O:$O, 0), 0))</f>
        <v/>
      </c>
      <c r="W2278" s="81">
        <f>IF(Q2278="Sin Factura",0,IFERROR(_xlfn.XLOOKUP(1, (Facturas_Odoo!$D:$D=A2278) * (Facturas_Odoo!$K:$K=I2278), Facturas_Odoo!$Q:$Q, 0), 0))</f>
        <v/>
      </c>
      <c r="X2278" s="79">
        <f>IF(OR(Q2278="Sin Factura",Q2278=""),"",IFERROR(INDEX(Pagos_Odoo!$B:$B, MATCH(Q2278, Pagos_Odoo!$I:$I, 0)), "Sin Pago"))</f>
        <v/>
      </c>
      <c r="Y2278" s="79">
        <f>IF(X2278="Sin Pago","",IFERROR(INDEX(Pagos_Odoo!$C:$C, MATCH(X2278, Pagos_Odoo!$B:$B, 0)), ""))</f>
        <v/>
      </c>
      <c r="Z2278" s="80">
        <f>IF(X2278="Sin Pago","",IFERROR(INDEX(Pagos_Odoo!$A:$A, MATCH(X2278, Pagos_Odoo!$B:$B, 0)), ""))</f>
        <v/>
      </c>
      <c r="AA2278" s="79">
        <f>IF(X2278="Sin Pago","",IFERROR(INDEX(Pagos_Odoo!$F:$F, MATCH(X2278, Pagos_Odoo!$B:$B, 0)), ""))</f>
        <v/>
      </c>
      <c r="AB2278" s="81">
        <f>IF(X2278="Sin Pago",0,IFERROR(INDEX(Pagos_Odoo!$E:$E, MATCH(X2278, Pagos_Odoo!$B:$B, 0)), 0))</f>
        <v/>
      </c>
      <c r="AC2278" s="79">
        <f>IF(X2278="Sin Pago","",IFERROR(INDEX(Pagos_Odoo!$G:$G, MATCH(X2278, Pagos_Odoo!$B:$B, 0)), ""))</f>
        <v/>
      </c>
      <c r="AD2278" s="82" t="n">
        <v>0</v>
      </c>
      <c r="AE2278" s="82" t="n"/>
      <c r="AF2278" s="82" t="n"/>
      <c r="AG2278" s="82">
        <f>IF(AN2278="","",AD2278+AE2278+AF2278)</f>
        <v/>
      </c>
      <c r="AH2278" s="81">
        <f>IF(AN2278="","",P2278*(1-AG2278))</f>
        <v/>
      </c>
      <c r="AI2278" s="81">
        <f>IF(AN2278="","",IF(Q2278="Sin Factura",0,IFERROR(INDEX(Facturas_Odoo!$H:$H, MATCH(Q2278, Facturas_Odoo!$B:$B, 0)), 0)*(1-AG2278)))</f>
        <v/>
      </c>
      <c r="AJ2278" s="81">
        <f>IF(AN2278="","",_xlfn.LET(idVenta, AN2278&amp;"",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78" s="81">
        <f>IF(AN2278="","",AH2278-AJ2278)</f>
        <v/>
      </c>
      <c r="AL2278" s="81">
        <f>IF(AN2278="","",IF(Q2278="Sin Factura","",AI2278-AJ2278))</f>
        <v/>
      </c>
      <c r="AM2278" s="81">
        <f>IF(AN2278="","",IF(Q2278="Sin Factura",0,P2278-IFERROR(INDEX(Facturas_Odoo!$H:$H, MATCH(Q2278, Facturas_Odoo!$B:$B, 0)), 0)))</f>
        <v/>
      </c>
      <c r="AN2278" s="79">
        <f>IF(AND(A2278="", J2278=""), "", IF(A2278&lt;&gt;"", VALUE(MID(A2278,2,LEN(A2278))), AN2277))</f>
        <v/>
      </c>
      <c r="AO2278" s="79">
        <f>IF(AN2278="","",IF(AD2278=0,"OK",_xlfn.LET(monedaPago, IF(AA2278="","USD",AA2278), limitePermitido, IFERROR(VLOOKUP(monedaPago, Configuración!$A$2:$B$3, 2, FALSE), 0.15), IF(AD2278&gt;limitePermitido, "ALERTA: EXCESO (" &amp; TEXT(limitePermitido, "0%") &amp; " máx)", "OK"))))</f>
        <v/>
      </c>
      <c r="AP2278" s="79">
        <f>IF(AN2278="","",IF(AE2278=0,"OK",_xlfn.LET(fechaPago, Z2278, fechaFactura, R2278, diasCredito, IF(E2278="Pago inmediato", 0, IFERROR(VALUE(MID(E2278, 1, SEARCH(" ", E2278)-1)),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78" s="79">
        <f>IF(AN2278="","",IF(AND(N2278&gt;0, AG2278&gt;0), IF(Configuración!$K$2="NO", "ALERTA: DESCUENTO DOBLE NO PERMITIDO", "OK"), "OK"))</f>
        <v/>
      </c>
      <c r="AR2278" s="79">
        <f>IF(AN2278="","",IF(OR(AO2278&lt;&gt;"OK", AP2278&lt;&gt;"OK", AQ2278&lt;&gt;"OK"), "⚠️ REVISAR", "OK"))</f>
        <v/>
      </c>
    </row>
    <row r="2279">
      <c r="A2279" s="79">
        <f>IF('Ordenes_Odoo'!A2279="","",'Ordenes_Odoo'!A2279)</f>
        <v/>
      </c>
      <c r="B2279" s="80">
        <f>IF('Ordenes_Odoo'!B2279="","",'Ordenes_Odoo'!B2279)</f>
        <v/>
      </c>
      <c r="C2279" s="79">
        <f>IF('Ordenes_Odoo'!C2279="","",'Ordenes_Odoo'!C2279)</f>
        <v/>
      </c>
      <c r="D2279" s="79">
        <f>IF('Ordenes_Odoo'!D2279="","",'Ordenes_Odoo'!D2279)</f>
        <v/>
      </c>
      <c r="E2279" s="79">
        <f>IF('Ordenes_Odoo'!E2279="","",'Ordenes_Odoo'!E2279)</f>
        <v/>
      </c>
      <c r="F2279" s="79">
        <f>IF('Ordenes_Odoo'!F2279="","",'Ordenes_Odoo'!F2279)</f>
        <v/>
      </c>
      <c r="G2279" s="79">
        <f>IF('Ordenes_Odoo'!G2279="","",'Ordenes_Odoo'!G2279)</f>
        <v/>
      </c>
      <c r="H2279" s="79">
        <f>IF('Ordenes_Odoo'!H2279="","",'Ordenes_Odoo'!H2279)</f>
        <v/>
      </c>
      <c r="I2279" s="79">
        <f>IF('Ordenes_Odoo'!I2279="","",'Ordenes_Odoo'!I2279)</f>
        <v/>
      </c>
      <c r="J2279" s="79">
        <f>IF('Ordenes_Odoo'!J2279="","",'Ordenes_Odoo'!J2279)</f>
        <v/>
      </c>
      <c r="K2279" s="81">
        <f>IF('Ordenes_Odoo'!K2279="","",'Ordenes_Odoo'!K2279)</f>
        <v/>
      </c>
      <c r="L2279" s="81">
        <f>IF('Ordenes_Odoo'!L2279="","",'Ordenes_Odoo'!L2279)</f>
        <v/>
      </c>
      <c r="M2279" s="79">
        <f>IF('Ordenes_Odoo'!M2279="","",'Ordenes_Odoo'!M2279)</f>
        <v/>
      </c>
      <c r="N2279" s="79">
        <f>IF('Ordenes_Odoo'!N2279="","",'Ordenes_Odoo'!N2279)</f>
        <v/>
      </c>
      <c r="O2279" s="81">
        <f>IF('Ordenes_Odoo'!O2279="","",'Ordenes_Odoo'!O2279)</f>
        <v/>
      </c>
      <c r="P2279" s="81">
        <f>IF('Ordenes_Odoo'!P2279="","",'Ordenes_Odoo'!P2279)</f>
        <v/>
      </c>
      <c r="Q2279" s="79">
        <f>IF(A2279="","",IFERROR(INDEX(Facturas_Odoo!$B:$B, MATCH(A2279, Facturas_Odoo!$D:$D, 0)), "Sin Factura"))</f>
        <v/>
      </c>
      <c r="R2279" s="80">
        <f>IF(Q2279="Sin Factura","",IFERROR(INDEX(Facturas_Odoo!$A:$A, MATCH(Q2279, Facturas_Odoo!$B:$B, 0)), ""))</f>
        <v/>
      </c>
      <c r="S2279" s="79">
        <f>IF(Q2279="Sin Factura","",IFERROR(_xlfn.XLOOKUP(1, (Facturas_Odoo!$D:$D=A2279) * (Facturas_Odoo!$K:$K=I2279), Facturas_Odoo!$L:$L, ""), ""))</f>
        <v/>
      </c>
      <c r="T2279" s="81">
        <f>IF(Q2279="Sin Factura",0,IFERROR(_xlfn.XLOOKUP(1, (Facturas_Odoo!$D:$D=A2279) * (Facturas_Odoo!$K:$K=I2279), Facturas_Odoo!$M:$M, 0), 0))</f>
        <v/>
      </c>
      <c r="U2279" s="79">
        <f>IF(Q2279="Sin Factura",0,IFERROR(_xlfn.XLOOKUP(1, (Facturas_Odoo!$D:$D=A2279) * (Facturas_Odoo!$K:$K=I2279), Facturas_Odoo!$N:$N, 0), 0))</f>
        <v/>
      </c>
      <c r="V2279" s="79">
        <f>IF(Q2279="Sin Factura",0,IFERROR(_xlfn.XLOOKUP(1, (Facturas_Odoo!$D:$D=A2279) * (Facturas_Odoo!$K:$K=I2279), Facturas_Odoo!$O:$O, 0), 0))</f>
        <v/>
      </c>
      <c r="W2279" s="81">
        <f>IF(Q2279="Sin Factura",0,IFERROR(_xlfn.XLOOKUP(1, (Facturas_Odoo!$D:$D=A2279) * (Facturas_Odoo!$K:$K=I2279), Facturas_Odoo!$Q:$Q, 0), 0))</f>
        <v/>
      </c>
      <c r="X2279" s="79">
        <f>IF(OR(Q2279="Sin Factura",Q2279=""),"",IFERROR(INDEX(Pagos_Odoo!$B:$B, MATCH(Q2279, Pagos_Odoo!$I:$I, 0)), "Sin Pago"))</f>
        <v/>
      </c>
      <c r="Y2279" s="79">
        <f>IF(X2279="Sin Pago","",IFERROR(INDEX(Pagos_Odoo!$C:$C, MATCH(X2279, Pagos_Odoo!$B:$B, 0)), ""))</f>
        <v/>
      </c>
      <c r="Z2279" s="80">
        <f>IF(X2279="Sin Pago","",IFERROR(INDEX(Pagos_Odoo!$A:$A, MATCH(X2279, Pagos_Odoo!$B:$B, 0)), ""))</f>
        <v/>
      </c>
      <c r="AA2279" s="79">
        <f>IF(X2279="Sin Pago","",IFERROR(INDEX(Pagos_Odoo!$F:$F, MATCH(X2279, Pagos_Odoo!$B:$B, 0)), ""))</f>
        <v/>
      </c>
      <c r="AB2279" s="81">
        <f>IF(X2279="Sin Pago",0,IFERROR(INDEX(Pagos_Odoo!$E:$E, MATCH(X2279, Pagos_Odoo!$B:$B, 0)), 0))</f>
        <v/>
      </c>
      <c r="AC2279" s="79">
        <f>IF(X2279="Sin Pago","",IFERROR(INDEX(Pagos_Odoo!$G:$G, MATCH(X2279, Pagos_Odoo!$B:$B, 0)), ""))</f>
        <v/>
      </c>
      <c r="AD2279" s="82" t="n">
        <v>0</v>
      </c>
      <c r="AE2279" s="82" t="n"/>
      <c r="AF2279" s="82" t="n"/>
      <c r="AG2279" s="82">
        <f>IF(AN2279="","",AD2279+AE2279+AF2279)</f>
        <v/>
      </c>
      <c r="AH2279" s="81">
        <f>IF(AN2279="","",P2279*(1-AG2279))</f>
        <v/>
      </c>
      <c r="AI2279" s="81">
        <f>IF(AN2279="","",IF(Q2279="Sin Factura",0,IFERROR(INDEX(Facturas_Odoo!$H:$H, MATCH(Q2279, Facturas_Odoo!$B:$B, 0)), 0)*(1-AG2279)))</f>
        <v/>
      </c>
      <c r="AJ2279" s="81">
        <f>IF(AN2279="","",_xlfn.LET(idVenta, AN2279&amp;"",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79" s="81">
        <f>IF(AN2279="","",AH2279-AJ2279)</f>
        <v/>
      </c>
      <c r="AL2279" s="81">
        <f>IF(AN2279="","",IF(Q2279="Sin Factura","",AI2279-AJ2279))</f>
        <v/>
      </c>
      <c r="AM2279" s="81">
        <f>IF(AN2279="","",IF(Q2279="Sin Factura",0,P2279-IFERROR(INDEX(Facturas_Odoo!$H:$H, MATCH(Q2279, Facturas_Odoo!$B:$B, 0)), 0)))</f>
        <v/>
      </c>
      <c r="AN2279" s="79">
        <f>IF(AND(A2279="", J2279=""), "", IF(A2279&lt;&gt;"", VALUE(MID(A2279,2,LEN(A2279))), AN2278))</f>
        <v/>
      </c>
      <c r="AO2279" s="79">
        <f>IF(AN2279="","",IF(AD2279=0,"OK",_xlfn.LET(monedaPago, IF(AA2279="","USD",AA2279), limitePermitido, IFERROR(VLOOKUP(monedaPago, Configuración!$A$2:$B$3, 2, FALSE), 0.15), IF(AD2279&gt;limitePermitido, "ALERTA: EXCESO (" &amp; TEXT(limitePermitido, "0%") &amp; " máx)", "OK"))))</f>
        <v/>
      </c>
      <c r="AP2279" s="79">
        <f>IF(AN2279="","",IF(AE2279=0,"OK",_xlfn.LET(fechaPago, Z2279, fechaFactura, R2279, diasCredito, IF(E2279="Pago inmediato", 0, IFERROR(VALUE(MID(E2279, 1, SEARCH(" ", E2279)-1)),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79" s="79">
        <f>IF(AN2279="","",IF(AND(N2279&gt;0, AG2279&gt;0), IF(Configuración!$K$2="NO", "ALERTA: DESCUENTO DOBLE NO PERMITIDO", "OK"), "OK"))</f>
        <v/>
      </c>
      <c r="AR2279" s="79">
        <f>IF(AN2279="","",IF(OR(AO2279&lt;&gt;"OK", AP2279&lt;&gt;"OK", AQ2279&lt;&gt;"OK"), "⚠️ REVISAR", "OK"))</f>
        <v/>
      </c>
    </row>
    <row r="2280">
      <c r="A2280" s="79">
        <f>IF('Ordenes_Odoo'!A2280="","",'Ordenes_Odoo'!A2280)</f>
        <v/>
      </c>
      <c r="B2280" s="80">
        <f>IF('Ordenes_Odoo'!B2280="","",'Ordenes_Odoo'!B2280)</f>
        <v/>
      </c>
      <c r="C2280" s="79">
        <f>IF('Ordenes_Odoo'!C2280="","",'Ordenes_Odoo'!C2280)</f>
        <v/>
      </c>
      <c r="D2280" s="79">
        <f>IF('Ordenes_Odoo'!D2280="","",'Ordenes_Odoo'!D2280)</f>
        <v/>
      </c>
      <c r="E2280" s="79">
        <f>IF('Ordenes_Odoo'!E2280="","",'Ordenes_Odoo'!E2280)</f>
        <v/>
      </c>
      <c r="F2280" s="79">
        <f>IF('Ordenes_Odoo'!F2280="","",'Ordenes_Odoo'!F2280)</f>
        <v/>
      </c>
      <c r="G2280" s="79">
        <f>IF('Ordenes_Odoo'!G2280="","",'Ordenes_Odoo'!G2280)</f>
        <v/>
      </c>
      <c r="H2280" s="79">
        <f>IF('Ordenes_Odoo'!H2280="","",'Ordenes_Odoo'!H2280)</f>
        <v/>
      </c>
      <c r="I2280" s="79">
        <f>IF('Ordenes_Odoo'!I2280="","",'Ordenes_Odoo'!I2280)</f>
        <v/>
      </c>
      <c r="J2280" s="79">
        <f>IF('Ordenes_Odoo'!J2280="","",'Ordenes_Odoo'!J2280)</f>
        <v/>
      </c>
      <c r="K2280" s="81">
        <f>IF('Ordenes_Odoo'!K2280="","",'Ordenes_Odoo'!K2280)</f>
        <v/>
      </c>
      <c r="L2280" s="81">
        <f>IF('Ordenes_Odoo'!L2280="","",'Ordenes_Odoo'!L2280)</f>
        <v/>
      </c>
      <c r="M2280" s="79">
        <f>IF('Ordenes_Odoo'!M2280="","",'Ordenes_Odoo'!M2280)</f>
        <v/>
      </c>
      <c r="N2280" s="79">
        <f>IF('Ordenes_Odoo'!N2280="","",'Ordenes_Odoo'!N2280)</f>
        <v/>
      </c>
      <c r="O2280" s="81">
        <f>IF('Ordenes_Odoo'!O2280="","",'Ordenes_Odoo'!O2280)</f>
        <v/>
      </c>
      <c r="P2280" s="81">
        <f>IF('Ordenes_Odoo'!P2280="","",'Ordenes_Odoo'!P2280)</f>
        <v/>
      </c>
      <c r="Q2280" s="79">
        <f>IF(A2280="","",IFERROR(INDEX(Facturas_Odoo!$B:$B, MATCH(A2280, Facturas_Odoo!$D:$D, 0)), "Sin Factura"))</f>
        <v/>
      </c>
      <c r="R2280" s="80">
        <f>IF(Q2280="Sin Factura","",IFERROR(INDEX(Facturas_Odoo!$A:$A, MATCH(Q2280, Facturas_Odoo!$B:$B, 0)), ""))</f>
        <v/>
      </c>
      <c r="S2280" s="79">
        <f>IF(Q2280="Sin Factura","",IFERROR(_xlfn.XLOOKUP(1, (Facturas_Odoo!$D:$D=A2280) * (Facturas_Odoo!$K:$K=I2280), Facturas_Odoo!$L:$L, ""), ""))</f>
        <v/>
      </c>
      <c r="T2280" s="81">
        <f>IF(Q2280="Sin Factura",0,IFERROR(_xlfn.XLOOKUP(1, (Facturas_Odoo!$D:$D=A2280) * (Facturas_Odoo!$K:$K=I2280), Facturas_Odoo!$M:$M, 0), 0))</f>
        <v/>
      </c>
      <c r="U2280" s="79">
        <f>IF(Q2280="Sin Factura",0,IFERROR(_xlfn.XLOOKUP(1, (Facturas_Odoo!$D:$D=A2280) * (Facturas_Odoo!$K:$K=I2280), Facturas_Odoo!$N:$N, 0), 0))</f>
        <v/>
      </c>
      <c r="V2280" s="79">
        <f>IF(Q2280="Sin Factura",0,IFERROR(_xlfn.XLOOKUP(1, (Facturas_Odoo!$D:$D=A2280) * (Facturas_Odoo!$K:$K=I2280), Facturas_Odoo!$O:$O, 0), 0))</f>
        <v/>
      </c>
      <c r="W2280" s="81">
        <f>IF(Q2280="Sin Factura",0,IFERROR(_xlfn.XLOOKUP(1, (Facturas_Odoo!$D:$D=A2280) * (Facturas_Odoo!$K:$K=I2280), Facturas_Odoo!$Q:$Q, 0), 0))</f>
        <v/>
      </c>
      <c r="X2280" s="79">
        <f>IF(OR(Q2280="Sin Factura",Q2280=""),"",IFERROR(INDEX(Pagos_Odoo!$B:$B, MATCH(Q2280, Pagos_Odoo!$I:$I, 0)), "Sin Pago"))</f>
        <v/>
      </c>
      <c r="Y2280" s="79">
        <f>IF(X2280="Sin Pago","",IFERROR(INDEX(Pagos_Odoo!$C:$C, MATCH(X2280, Pagos_Odoo!$B:$B, 0)), ""))</f>
        <v/>
      </c>
      <c r="Z2280" s="80">
        <f>IF(X2280="Sin Pago","",IFERROR(INDEX(Pagos_Odoo!$A:$A, MATCH(X2280, Pagos_Odoo!$B:$B, 0)), ""))</f>
        <v/>
      </c>
      <c r="AA2280" s="79">
        <f>IF(X2280="Sin Pago","",IFERROR(INDEX(Pagos_Odoo!$F:$F, MATCH(X2280, Pagos_Odoo!$B:$B, 0)), ""))</f>
        <v/>
      </c>
      <c r="AB2280" s="81">
        <f>IF(X2280="Sin Pago",0,IFERROR(INDEX(Pagos_Odoo!$E:$E, MATCH(X2280, Pagos_Odoo!$B:$B, 0)), 0))</f>
        <v/>
      </c>
      <c r="AC2280" s="79">
        <f>IF(X2280="Sin Pago","",IFERROR(INDEX(Pagos_Odoo!$G:$G, MATCH(X2280, Pagos_Odoo!$B:$B, 0)), ""))</f>
        <v/>
      </c>
      <c r="AD2280" s="82" t="n">
        <v>0</v>
      </c>
      <c r="AE2280" s="82" t="n"/>
      <c r="AF2280" s="82" t="n"/>
      <c r="AG2280" s="82">
        <f>IF(AN2280="","",AD2280+AE2280+AF2280)</f>
        <v/>
      </c>
      <c r="AH2280" s="81">
        <f>IF(AN2280="","",P2280*(1-AG2280))</f>
        <v/>
      </c>
      <c r="AI2280" s="81">
        <f>IF(AN2280="","",IF(Q2280="Sin Factura",0,IFERROR(INDEX(Facturas_Odoo!$H:$H, MATCH(Q2280, Facturas_Odoo!$B:$B, 0)), 0)*(1-AG2280)))</f>
        <v/>
      </c>
      <c r="AJ2280" s="81">
        <f>IF(AN2280="","",_xlfn.LET(idVenta, AN2280&amp;"",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80" s="81">
        <f>IF(AN2280="","",AH2280-AJ2280)</f>
        <v/>
      </c>
      <c r="AL2280" s="81">
        <f>IF(AN2280="","",IF(Q2280="Sin Factura","",AI2280-AJ2280))</f>
        <v/>
      </c>
      <c r="AM2280" s="81">
        <f>IF(AN2280="","",IF(Q2280="Sin Factura",0,P2280-IFERROR(INDEX(Facturas_Odoo!$H:$H, MATCH(Q2280, Facturas_Odoo!$B:$B, 0)), 0)))</f>
        <v/>
      </c>
      <c r="AN2280" s="79">
        <f>IF(AND(A2280="", J2280=""), "", IF(A2280&lt;&gt;"", VALUE(MID(A2280,2,LEN(A2280))), AN2279))</f>
        <v/>
      </c>
      <c r="AO2280" s="79">
        <f>IF(AN2280="","",IF(AD2280=0,"OK",_xlfn.LET(monedaPago, IF(AA2280="","USD",AA2280), limitePermitido, IFERROR(VLOOKUP(monedaPago, Configuración!$A$2:$B$3, 2, FALSE), 0.15), IF(AD2280&gt;limitePermitido, "ALERTA: EXCESO (" &amp; TEXT(limitePermitido, "0%") &amp; " máx)", "OK"))))</f>
        <v/>
      </c>
      <c r="AP2280" s="79">
        <f>IF(AN2280="","",IF(AE2280=0,"OK",_xlfn.LET(fechaPago, Z2280, fechaFactura, R2280, diasCredito, IF(E2280="Pago inmediato", 0, IFERROR(VALUE(MID(E2280, 1, SEARCH(" ", E2280)-1)),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80" s="79">
        <f>IF(AN2280="","",IF(AND(N2280&gt;0, AG2280&gt;0), IF(Configuración!$K$2="NO", "ALERTA: DESCUENTO DOBLE NO PERMITIDO", "OK"), "OK"))</f>
        <v/>
      </c>
      <c r="AR2280" s="79">
        <f>IF(AN2280="","",IF(OR(AO2280&lt;&gt;"OK", AP2280&lt;&gt;"OK", AQ2280&lt;&gt;"OK"), "⚠️ REVISAR", "OK"))</f>
        <v/>
      </c>
    </row>
    <row r="2281">
      <c r="A2281" s="79">
        <f>IF('Ordenes_Odoo'!A2281="","",'Ordenes_Odoo'!A2281)</f>
        <v/>
      </c>
      <c r="B2281" s="80">
        <f>IF('Ordenes_Odoo'!B2281="","",'Ordenes_Odoo'!B2281)</f>
        <v/>
      </c>
      <c r="C2281" s="79">
        <f>IF('Ordenes_Odoo'!C2281="","",'Ordenes_Odoo'!C2281)</f>
        <v/>
      </c>
      <c r="D2281" s="79">
        <f>IF('Ordenes_Odoo'!D2281="","",'Ordenes_Odoo'!D2281)</f>
        <v/>
      </c>
      <c r="E2281" s="79">
        <f>IF('Ordenes_Odoo'!E2281="","",'Ordenes_Odoo'!E2281)</f>
        <v/>
      </c>
      <c r="F2281" s="79">
        <f>IF('Ordenes_Odoo'!F2281="","",'Ordenes_Odoo'!F2281)</f>
        <v/>
      </c>
      <c r="G2281" s="79">
        <f>IF('Ordenes_Odoo'!G2281="","",'Ordenes_Odoo'!G2281)</f>
        <v/>
      </c>
      <c r="H2281" s="79">
        <f>IF('Ordenes_Odoo'!H2281="","",'Ordenes_Odoo'!H2281)</f>
        <v/>
      </c>
      <c r="I2281" s="79">
        <f>IF('Ordenes_Odoo'!I2281="","",'Ordenes_Odoo'!I2281)</f>
        <v/>
      </c>
      <c r="J2281" s="79">
        <f>IF('Ordenes_Odoo'!J2281="","",'Ordenes_Odoo'!J2281)</f>
        <v/>
      </c>
      <c r="K2281" s="81">
        <f>IF('Ordenes_Odoo'!K2281="","",'Ordenes_Odoo'!K2281)</f>
        <v/>
      </c>
      <c r="L2281" s="81">
        <f>IF('Ordenes_Odoo'!L2281="","",'Ordenes_Odoo'!L2281)</f>
        <v/>
      </c>
      <c r="M2281" s="79">
        <f>IF('Ordenes_Odoo'!M2281="","",'Ordenes_Odoo'!M2281)</f>
        <v/>
      </c>
      <c r="N2281" s="79">
        <f>IF('Ordenes_Odoo'!N2281="","",'Ordenes_Odoo'!N2281)</f>
        <v/>
      </c>
      <c r="O2281" s="81">
        <f>IF('Ordenes_Odoo'!O2281="","",'Ordenes_Odoo'!O2281)</f>
        <v/>
      </c>
      <c r="P2281" s="81">
        <f>IF('Ordenes_Odoo'!P2281="","",'Ordenes_Odoo'!P2281)</f>
        <v/>
      </c>
      <c r="Q2281" s="79">
        <f>IF(A2281="","",IFERROR(INDEX(Facturas_Odoo!$B:$B, MATCH(A2281, Facturas_Odoo!$D:$D, 0)), "Sin Factura"))</f>
        <v/>
      </c>
      <c r="R2281" s="80">
        <f>IF(Q2281="Sin Factura","",IFERROR(INDEX(Facturas_Odoo!$A:$A, MATCH(Q2281, Facturas_Odoo!$B:$B, 0)), ""))</f>
        <v/>
      </c>
      <c r="S2281" s="79">
        <f>IF(Q2281="Sin Factura","",IFERROR(_xlfn.XLOOKUP(1, (Facturas_Odoo!$D:$D=A2281) * (Facturas_Odoo!$K:$K=I2281), Facturas_Odoo!$L:$L, ""), ""))</f>
        <v/>
      </c>
      <c r="T2281" s="81">
        <f>IF(Q2281="Sin Factura",0,IFERROR(_xlfn.XLOOKUP(1, (Facturas_Odoo!$D:$D=A2281) * (Facturas_Odoo!$K:$K=I2281), Facturas_Odoo!$M:$M, 0), 0))</f>
        <v/>
      </c>
      <c r="U2281" s="79">
        <f>IF(Q2281="Sin Factura",0,IFERROR(_xlfn.XLOOKUP(1, (Facturas_Odoo!$D:$D=A2281) * (Facturas_Odoo!$K:$K=I2281), Facturas_Odoo!$N:$N, 0), 0))</f>
        <v/>
      </c>
      <c r="V2281" s="79">
        <f>IF(Q2281="Sin Factura",0,IFERROR(_xlfn.XLOOKUP(1, (Facturas_Odoo!$D:$D=A2281) * (Facturas_Odoo!$K:$K=I2281), Facturas_Odoo!$O:$O, 0), 0))</f>
        <v/>
      </c>
      <c r="W2281" s="81">
        <f>IF(Q2281="Sin Factura",0,IFERROR(_xlfn.XLOOKUP(1, (Facturas_Odoo!$D:$D=A2281) * (Facturas_Odoo!$K:$K=I2281), Facturas_Odoo!$Q:$Q, 0), 0))</f>
        <v/>
      </c>
      <c r="X2281" s="79">
        <f>IF(OR(Q2281="Sin Factura",Q2281=""),"",IFERROR(INDEX(Pagos_Odoo!$B:$B, MATCH(Q2281, Pagos_Odoo!$I:$I, 0)), "Sin Pago"))</f>
        <v/>
      </c>
      <c r="Y2281" s="79">
        <f>IF(X2281="Sin Pago","",IFERROR(INDEX(Pagos_Odoo!$C:$C, MATCH(X2281, Pagos_Odoo!$B:$B, 0)), ""))</f>
        <v/>
      </c>
      <c r="Z2281" s="80">
        <f>IF(X2281="Sin Pago","",IFERROR(INDEX(Pagos_Odoo!$A:$A, MATCH(X2281, Pagos_Odoo!$B:$B, 0)), ""))</f>
        <v/>
      </c>
      <c r="AA2281" s="79">
        <f>IF(X2281="Sin Pago","",IFERROR(INDEX(Pagos_Odoo!$F:$F, MATCH(X2281, Pagos_Odoo!$B:$B, 0)), ""))</f>
        <v/>
      </c>
      <c r="AB2281" s="81">
        <f>IF(X2281="Sin Pago",0,IFERROR(INDEX(Pagos_Odoo!$E:$E, MATCH(X2281, Pagos_Odoo!$B:$B, 0)), 0))</f>
        <v/>
      </c>
      <c r="AC2281" s="79">
        <f>IF(X2281="Sin Pago","",IFERROR(INDEX(Pagos_Odoo!$G:$G, MATCH(X2281, Pagos_Odoo!$B:$B, 0)), ""))</f>
        <v/>
      </c>
      <c r="AD2281" s="82" t="n">
        <v>0</v>
      </c>
      <c r="AE2281" s="82" t="n"/>
      <c r="AF2281" s="82" t="n"/>
      <c r="AG2281" s="82">
        <f>IF(AN2281="","",AD2281+AE2281+AF2281)</f>
        <v/>
      </c>
      <c r="AH2281" s="81">
        <f>IF(AN2281="","",P2281*(1-AG2281))</f>
        <v/>
      </c>
      <c r="AI2281" s="81">
        <f>IF(AN2281="","",IF(Q2281="Sin Factura",0,IFERROR(INDEX(Facturas_Odoo!$H:$H, MATCH(Q2281, Facturas_Odoo!$B:$B, 0)), 0)*(1-AG2281)))</f>
        <v/>
      </c>
      <c r="AJ2281" s="81">
        <f>IF(AN2281="","",_xlfn.LET(idVenta, AN2281&amp;"",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81" s="81">
        <f>IF(AN2281="","",AH2281-AJ2281)</f>
        <v/>
      </c>
      <c r="AL2281" s="81">
        <f>IF(AN2281="","",IF(Q2281="Sin Factura","",AI2281-AJ2281))</f>
        <v/>
      </c>
      <c r="AM2281" s="81">
        <f>IF(AN2281="","",IF(Q2281="Sin Factura",0,P2281-IFERROR(INDEX(Facturas_Odoo!$H:$H, MATCH(Q2281, Facturas_Odoo!$B:$B, 0)), 0)))</f>
        <v/>
      </c>
      <c r="AN2281" s="79">
        <f>IF(AND(A2281="", J2281=""), "", IF(A2281&lt;&gt;"", VALUE(MID(A2281,2,LEN(A2281))), AN2280))</f>
        <v/>
      </c>
      <c r="AO2281" s="79">
        <f>IF(AN2281="","",IF(AD2281=0,"OK",_xlfn.LET(monedaPago, IF(AA2281="","USD",AA2281), limitePermitido, IFERROR(VLOOKUP(monedaPago, Configuración!$A$2:$B$3, 2, FALSE), 0.15), IF(AD2281&gt;limitePermitido, "ALERTA: EXCESO (" &amp; TEXT(limitePermitido, "0%") &amp; " máx)", "OK"))))</f>
        <v/>
      </c>
      <c r="AP2281" s="79">
        <f>IF(AN2281="","",IF(AE2281=0,"OK",_xlfn.LET(fechaPago, Z2281, fechaFactura, R2281, diasCredito, IF(E2281="Pago inmediato", 0, IFERROR(VALUE(MID(E2281, 1, SEARCH(" ", E2281)-1)),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81" s="79">
        <f>IF(AN2281="","",IF(AND(N2281&gt;0, AG2281&gt;0), IF(Configuración!$K$2="NO", "ALERTA: DESCUENTO DOBLE NO PERMITIDO", "OK"), "OK"))</f>
        <v/>
      </c>
      <c r="AR2281" s="79">
        <f>IF(AN2281="","",IF(OR(AO2281&lt;&gt;"OK", AP2281&lt;&gt;"OK", AQ2281&lt;&gt;"OK"), "⚠️ REVISAR", "OK"))</f>
        <v/>
      </c>
    </row>
    <row r="2282">
      <c r="A2282" s="79">
        <f>IF('Ordenes_Odoo'!A2282="","",'Ordenes_Odoo'!A2282)</f>
        <v/>
      </c>
      <c r="B2282" s="80">
        <f>IF('Ordenes_Odoo'!B2282="","",'Ordenes_Odoo'!B2282)</f>
        <v/>
      </c>
      <c r="C2282" s="79">
        <f>IF('Ordenes_Odoo'!C2282="","",'Ordenes_Odoo'!C2282)</f>
        <v/>
      </c>
      <c r="D2282" s="79">
        <f>IF('Ordenes_Odoo'!D2282="","",'Ordenes_Odoo'!D2282)</f>
        <v/>
      </c>
      <c r="E2282" s="79">
        <f>IF('Ordenes_Odoo'!E2282="","",'Ordenes_Odoo'!E2282)</f>
        <v/>
      </c>
      <c r="F2282" s="79">
        <f>IF('Ordenes_Odoo'!F2282="","",'Ordenes_Odoo'!F2282)</f>
        <v/>
      </c>
      <c r="G2282" s="79">
        <f>IF('Ordenes_Odoo'!G2282="","",'Ordenes_Odoo'!G2282)</f>
        <v/>
      </c>
      <c r="H2282" s="79">
        <f>IF('Ordenes_Odoo'!H2282="","",'Ordenes_Odoo'!H2282)</f>
        <v/>
      </c>
      <c r="I2282" s="79">
        <f>IF('Ordenes_Odoo'!I2282="","",'Ordenes_Odoo'!I2282)</f>
        <v/>
      </c>
      <c r="J2282" s="79">
        <f>IF('Ordenes_Odoo'!J2282="","",'Ordenes_Odoo'!J2282)</f>
        <v/>
      </c>
      <c r="K2282" s="81">
        <f>IF('Ordenes_Odoo'!K2282="","",'Ordenes_Odoo'!K2282)</f>
        <v/>
      </c>
      <c r="L2282" s="81">
        <f>IF('Ordenes_Odoo'!L2282="","",'Ordenes_Odoo'!L2282)</f>
        <v/>
      </c>
      <c r="M2282" s="79">
        <f>IF('Ordenes_Odoo'!M2282="","",'Ordenes_Odoo'!M2282)</f>
        <v/>
      </c>
      <c r="N2282" s="79">
        <f>IF('Ordenes_Odoo'!N2282="","",'Ordenes_Odoo'!N2282)</f>
        <v/>
      </c>
      <c r="O2282" s="81">
        <f>IF('Ordenes_Odoo'!O2282="","",'Ordenes_Odoo'!O2282)</f>
        <v/>
      </c>
      <c r="P2282" s="81">
        <f>IF('Ordenes_Odoo'!P2282="","",'Ordenes_Odoo'!P2282)</f>
        <v/>
      </c>
      <c r="Q2282" s="79">
        <f>IF(A2282="","",IFERROR(INDEX(Facturas_Odoo!$B:$B, MATCH(A2282, Facturas_Odoo!$D:$D, 0)), "Sin Factura"))</f>
        <v/>
      </c>
      <c r="R2282" s="80">
        <f>IF(Q2282="Sin Factura","",IFERROR(INDEX(Facturas_Odoo!$A:$A, MATCH(Q2282, Facturas_Odoo!$B:$B, 0)), ""))</f>
        <v/>
      </c>
      <c r="S2282" s="79">
        <f>IF(Q2282="Sin Factura","",IFERROR(_xlfn.XLOOKUP(1, (Facturas_Odoo!$D:$D=A2282) * (Facturas_Odoo!$K:$K=I2282), Facturas_Odoo!$L:$L, ""), ""))</f>
        <v/>
      </c>
      <c r="T2282" s="81">
        <f>IF(Q2282="Sin Factura",0,IFERROR(_xlfn.XLOOKUP(1, (Facturas_Odoo!$D:$D=A2282) * (Facturas_Odoo!$K:$K=I2282), Facturas_Odoo!$M:$M, 0), 0))</f>
        <v/>
      </c>
      <c r="U2282" s="79">
        <f>IF(Q2282="Sin Factura",0,IFERROR(_xlfn.XLOOKUP(1, (Facturas_Odoo!$D:$D=A2282) * (Facturas_Odoo!$K:$K=I2282), Facturas_Odoo!$N:$N, 0), 0))</f>
        <v/>
      </c>
      <c r="V2282" s="79">
        <f>IF(Q2282="Sin Factura",0,IFERROR(_xlfn.XLOOKUP(1, (Facturas_Odoo!$D:$D=A2282) * (Facturas_Odoo!$K:$K=I2282), Facturas_Odoo!$O:$O, 0), 0))</f>
        <v/>
      </c>
      <c r="W2282" s="81">
        <f>IF(Q2282="Sin Factura",0,IFERROR(_xlfn.XLOOKUP(1, (Facturas_Odoo!$D:$D=A2282) * (Facturas_Odoo!$K:$K=I2282), Facturas_Odoo!$Q:$Q, 0), 0))</f>
        <v/>
      </c>
      <c r="X2282" s="79">
        <f>IF(OR(Q2282="Sin Factura",Q2282=""),"",IFERROR(INDEX(Pagos_Odoo!$B:$B, MATCH(Q2282, Pagos_Odoo!$I:$I, 0)), "Sin Pago"))</f>
        <v/>
      </c>
      <c r="Y2282" s="79">
        <f>IF(X2282="Sin Pago","",IFERROR(INDEX(Pagos_Odoo!$C:$C, MATCH(X2282, Pagos_Odoo!$B:$B, 0)), ""))</f>
        <v/>
      </c>
      <c r="Z2282" s="80">
        <f>IF(X2282="Sin Pago","",IFERROR(INDEX(Pagos_Odoo!$A:$A, MATCH(X2282, Pagos_Odoo!$B:$B, 0)), ""))</f>
        <v/>
      </c>
      <c r="AA2282" s="79">
        <f>IF(X2282="Sin Pago","",IFERROR(INDEX(Pagos_Odoo!$F:$F, MATCH(X2282, Pagos_Odoo!$B:$B, 0)), ""))</f>
        <v/>
      </c>
      <c r="AB2282" s="81">
        <f>IF(X2282="Sin Pago",0,IFERROR(INDEX(Pagos_Odoo!$E:$E, MATCH(X2282, Pagos_Odoo!$B:$B, 0)), 0))</f>
        <v/>
      </c>
      <c r="AC2282" s="79">
        <f>IF(X2282="Sin Pago","",IFERROR(INDEX(Pagos_Odoo!$G:$G, MATCH(X2282, Pagos_Odoo!$B:$B, 0)), ""))</f>
        <v/>
      </c>
      <c r="AD2282" s="82" t="n">
        <v>0</v>
      </c>
      <c r="AE2282" s="82" t="n"/>
      <c r="AF2282" s="82" t="n"/>
      <c r="AG2282" s="82">
        <f>IF(AN2282="","",AD2282+AE2282+AF2282)</f>
        <v/>
      </c>
      <c r="AH2282" s="81">
        <f>IF(AN2282="","",P2282*(1-AG2282))</f>
        <v/>
      </c>
      <c r="AI2282" s="81">
        <f>IF(AN2282="","",IF(Q2282="Sin Factura",0,IFERROR(INDEX(Facturas_Odoo!$H:$H, MATCH(Q2282, Facturas_Odoo!$B:$B, 0)), 0)*(1-AG2282)))</f>
        <v/>
      </c>
      <c r="AJ2282" s="81">
        <f>IF(AN2282="","",_xlfn.LET(idVenta, AN2282&amp;"",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82" s="81">
        <f>IF(AN2282="","",AH2282-AJ2282)</f>
        <v/>
      </c>
      <c r="AL2282" s="81">
        <f>IF(AN2282="","",IF(Q2282="Sin Factura","",AI2282-AJ2282))</f>
        <v/>
      </c>
      <c r="AM2282" s="81">
        <f>IF(AN2282="","",IF(Q2282="Sin Factura",0,P2282-IFERROR(INDEX(Facturas_Odoo!$H:$H, MATCH(Q2282, Facturas_Odoo!$B:$B, 0)), 0)))</f>
        <v/>
      </c>
      <c r="AN2282" s="79">
        <f>IF(AND(A2282="", J2282=""), "", IF(A2282&lt;&gt;"", VALUE(MID(A2282,2,LEN(A2282))), AN2281))</f>
        <v/>
      </c>
      <c r="AO2282" s="79">
        <f>IF(AN2282="","",IF(AD2282=0,"OK",_xlfn.LET(monedaPago, IF(AA2282="","USD",AA2282), limitePermitido, IFERROR(VLOOKUP(monedaPago, Configuración!$A$2:$B$3, 2, FALSE), 0.15), IF(AD2282&gt;limitePermitido, "ALERTA: EXCESO (" &amp; TEXT(limitePermitido, "0%") &amp; " máx)", "OK"))))</f>
        <v/>
      </c>
      <c r="AP2282" s="79">
        <f>IF(AN2282="","",IF(AE2282=0,"OK",_xlfn.LET(fechaPago, Z2282, fechaFactura, R2282, diasCredito, IF(E2282="Pago inmediato", 0, IFERROR(VALUE(MID(E2282, 1, SEARCH(" ", E2282)-1)),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82" s="79">
        <f>IF(AN2282="","",IF(AND(N2282&gt;0, AG2282&gt;0), IF(Configuración!$K$2="NO", "ALERTA: DESCUENTO DOBLE NO PERMITIDO", "OK"), "OK"))</f>
        <v/>
      </c>
      <c r="AR2282" s="79">
        <f>IF(AN2282="","",IF(OR(AO2282&lt;&gt;"OK", AP2282&lt;&gt;"OK", AQ2282&lt;&gt;"OK"), "⚠️ REVISAR", "OK"))</f>
        <v/>
      </c>
    </row>
    <row r="2283">
      <c r="A2283" s="79">
        <f>IF('Ordenes_Odoo'!A2283="","",'Ordenes_Odoo'!A2283)</f>
        <v/>
      </c>
      <c r="B2283" s="80">
        <f>IF('Ordenes_Odoo'!B2283="","",'Ordenes_Odoo'!B2283)</f>
        <v/>
      </c>
      <c r="C2283" s="79">
        <f>IF('Ordenes_Odoo'!C2283="","",'Ordenes_Odoo'!C2283)</f>
        <v/>
      </c>
      <c r="D2283" s="79">
        <f>IF('Ordenes_Odoo'!D2283="","",'Ordenes_Odoo'!D2283)</f>
        <v/>
      </c>
      <c r="E2283" s="79">
        <f>IF('Ordenes_Odoo'!E2283="","",'Ordenes_Odoo'!E2283)</f>
        <v/>
      </c>
      <c r="F2283" s="79">
        <f>IF('Ordenes_Odoo'!F2283="","",'Ordenes_Odoo'!F2283)</f>
        <v/>
      </c>
      <c r="G2283" s="79">
        <f>IF('Ordenes_Odoo'!G2283="","",'Ordenes_Odoo'!G2283)</f>
        <v/>
      </c>
      <c r="H2283" s="79">
        <f>IF('Ordenes_Odoo'!H2283="","",'Ordenes_Odoo'!H2283)</f>
        <v/>
      </c>
      <c r="I2283" s="79">
        <f>IF('Ordenes_Odoo'!I2283="","",'Ordenes_Odoo'!I2283)</f>
        <v/>
      </c>
      <c r="J2283" s="79">
        <f>IF('Ordenes_Odoo'!J2283="","",'Ordenes_Odoo'!J2283)</f>
        <v/>
      </c>
      <c r="K2283" s="81">
        <f>IF('Ordenes_Odoo'!K2283="","",'Ordenes_Odoo'!K2283)</f>
        <v/>
      </c>
      <c r="L2283" s="81">
        <f>IF('Ordenes_Odoo'!L2283="","",'Ordenes_Odoo'!L2283)</f>
        <v/>
      </c>
      <c r="M2283" s="79">
        <f>IF('Ordenes_Odoo'!M2283="","",'Ordenes_Odoo'!M2283)</f>
        <v/>
      </c>
      <c r="N2283" s="79">
        <f>IF('Ordenes_Odoo'!N2283="","",'Ordenes_Odoo'!N2283)</f>
        <v/>
      </c>
      <c r="O2283" s="81">
        <f>IF('Ordenes_Odoo'!O2283="","",'Ordenes_Odoo'!O2283)</f>
        <v/>
      </c>
      <c r="P2283" s="81">
        <f>IF('Ordenes_Odoo'!P2283="","",'Ordenes_Odoo'!P2283)</f>
        <v/>
      </c>
      <c r="Q2283" s="79">
        <f>IF(A2283="","",IFERROR(INDEX(Facturas_Odoo!$B:$B, MATCH(A2283, Facturas_Odoo!$D:$D, 0)), "Sin Factura"))</f>
        <v/>
      </c>
      <c r="R2283" s="80">
        <f>IF(Q2283="Sin Factura","",IFERROR(INDEX(Facturas_Odoo!$A:$A, MATCH(Q2283, Facturas_Odoo!$B:$B, 0)), ""))</f>
        <v/>
      </c>
      <c r="S2283" s="79">
        <f>IF(Q2283="Sin Factura","",IFERROR(_xlfn.XLOOKUP(1, (Facturas_Odoo!$D:$D=A2283) * (Facturas_Odoo!$K:$K=I2283), Facturas_Odoo!$L:$L, ""), ""))</f>
        <v/>
      </c>
      <c r="T2283" s="81">
        <f>IF(Q2283="Sin Factura",0,IFERROR(_xlfn.XLOOKUP(1, (Facturas_Odoo!$D:$D=A2283) * (Facturas_Odoo!$K:$K=I2283), Facturas_Odoo!$M:$M, 0), 0))</f>
        <v/>
      </c>
      <c r="U2283" s="79">
        <f>IF(Q2283="Sin Factura",0,IFERROR(_xlfn.XLOOKUP(1, (Facturas_Odoo!$D:$D=A2283) * (Facturas_Odoo!$K:$K=I2283), Facturas_Odoo!$N:$N, 0), 0))</f>
        <v/>
      </c>
      <c r="V2283" s="79">
        <f>IF(Q2283="Sin Factura",0,IFERROR(_xlfn.XLOOKUP(1, (Facturas_Odoo!$D:$D=A2283) * (Facturas_Odoo!$K:$K=I2283), Facturas_Odoo!$O:$O, 0), 0))</f>
        <v/>
      </c>
      <c r="W2283" s="81">
        <f>IF(Q2283="Sin Factura",0,IFERROR(_xlfn.XLOOKUP(1, (Facturas_Odoo!$D:$D=A2283) * (Facturas_Odoo!$K:$K=I2283), Facturas_Odoo!$Q:$Q, 0), 0))</f>
        <v/>
      </c>
      <c r="X2283" s="79">
        <f>IF(OR(Q2283="Sin Factura",Q2283=""),"",IFERROR(INDEX(Pagos_Odoo!$B:$B, MATCH(Q2283, Pagos_Odoo!$I:$I, 0)), "Sin Pago"))</f>
        <v/>
      </c>
      <c r="Y2283" s="79">
        <f>IF(X2283="Sin Pago","",IFERROR(INDEX(Pagos_Odoo!$C:$C, MATCH(X2283, Pagos_Odoo!$B:$B, 0)), ""))</f>
        <v/>
      </c>
      <c r="Z2283" s="80">
        <f>IF(X2283="Sin Pago","",IFERROR(INDEX(Pagos_Odoo!$A:$A, MATCH(X2283, Pagos_Odoo!$B:$B, 0)), ""))</f>
        <v/>
      </c>
      <c r="AA2283" s="79">
        <f>IF(X2283="Sin Pago","",IFERROR(INDEX(Pagos_Odoo!$F:$F, MATCH(X2283, Pagos_Odoo!$B:$B, 0)), ""))</f>
        <v/>
      </c>
      <c r="AB2283" s="81">
        <f>IF(X2283="Sin Pago",0,IFERROR(INDEX(Pagos_Odoo!$E:$E, MATCH(X2283, Pagos_Odoo!$B:$B, 0)), 0))</f>
        <v/>
      </c>
      <c r="AC2283" s="79">
        <f>IF(X2283="Sin Pago","",IFERROR(INDEX(Pagos_Odoo!$G:$G, MATCH(X2283, Pagos_Odoo!$B:$B, 0)), ""))</f>
        <v/>
      </c>
      <c r="AD2283" s="82" t="n">
        <v>0</v>
      </c>
      <c r="AE2283" s="82" t="n"/>
      <c r="AF2283" s="82" t="n"/>
      <c r="AG2283" s="82">
        <f>IF(AN2283="","",AD2283+AE2283+AF2283)</f>
        <v/>
      </c>
      <c r="AH2283" s="81">
        <f>IF(AN2283="","",P2283*(1-AG2283))</f>
        <v/>
      </c>
      <c r="AI2283" s="81">
        <f>IF(AN2283="","",IF(Q2283="Sin Factura",0,IFERROR(INDEX(Facturas_Odoo!$H:$H, MATCH(Q2283, Facturas_Odoo!$B:$B, 0)), 0)*(1-AG2283)))</f>
        <v/>
      </c>
      <c r="AJ2283" s="81">
        <f>IF(AN2283="","",_xlfn.LET(idVenta, AN2283&amp;"",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83" s="81">
        <f>IF(AN2283="","",AH2283-AJ2283)</f>
        <v/>
      </c>
      <c r="AL2283" s="81">
        <f>IF(AN2283="","",IF(Q2283="Sin Factura","",AI2283-AJ2283))</f>
        <v/>
      </c>
      <c r="AM2283" s="81">
        <f>IF(AN2283="","",IF(Q2283="Sin Factura",0,P2283-IFERROR(INDEX(Facturas_Odoo!$H:$H, MATCH(Q2283, Facturas_Odoo!$B:$B, 0)), 0)))</f>
        <v/>
      </c>
      <c r="AN2283" s="79">
        <f>IF(AND(A2283="", J2283=""), "", IF(A2283&lt;&gt;"", VALUE(MID(A2283,2,LEN(A2283))), AN2282))</f>
        <v/>
      </c>
      <c r="AO2283" s="79">
        <f>IF(AN2283="","",IF(AD2283=0,"OK",_xlfn.LET(monedaPago, IF(AA2283="","USD",AA2283), limitePermitido, IFERROR(VLOOKUP(monedaPago, Configuración!$A$2:$B$3, 2, FALSE), 0.15), IF(AD2283&gt;limitePermitido, "ALERTA: EXCESO (" &amp; TEXT(limitePermitido, "0%") &amp; " máx)", "OK"))))</f>
        <v/>
      </c>
      <c r="AP2283" s="79">
        <f>IF(AN2283="","",IF(AE2283=0,"OK",_xlfn.LET(fechaPago, Z2283, fechaFactura, R2283, diasCredito, IF(E2283="Pago inmediato", 0, IFERROR(VALUE(MID(E2283, 1, SEARCH(" ", E2283)-1)),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83" s="79">
        <f>IF(AN2283="","",IF(AND(N2283&gt;0, AG2283&gt;0), IF(Configuración!$K$2="NO", "ALERTA: DESCUENTO DOBLE NO PERMITIDO", "OK"), "OK"))</f>
        <v/>
      </c>
      <c r="AR2283" s="79">
        <f>IF(AN2283="","",IF(OR(AO2283&lt;&gt;"OK", AP2283&lt;&gt;"OK", AQ2283&lt;&gt;"OK"), "⚠️ REVISAR", "OK"))</f>
        <v/>
      </c>
    </row>
    <row r="2284">
      <c r="A2284" s="79">
        <f>IF('Ordenes_Odoo'!A2284="","",'Ordenes_Odoo'!A2284)</f>
        <v/>
      </c>
      <c r="B2284" s="80">
        <f>IF('Ordenes_Odoo'!B2284="","",'Ordenes_Odoo'!B2284)</f>
        <v/>
      </c>
      <c r="C2284" s="79">
        <f>IF('Ordenes_Odoo'!C2284="","",'Ordenes_Odoo'!C2284)</f>
        <v/>
      </c>
      <c r="D2284" s="79">
        <f>IF('Ordenes_Odoo'!D2284="","",'Ordenes_Odoo'!D2284)</f>
        <v/>
      </c>
      <c r="E2284" s="79">
        <f>IF('Ordenes_Odoo'!E2284="","",'Ordenes_Odoo'!E2284)</f>
        <v/>
      </c>
      <c r="F2284" s="79">
        <f>IF('Ordenes_Odoo'!F2284="","",'Ordenes_Odoo'!F2284)</f>
        <v/>
      </c>
      <c r="G2284" s="79">
        <f>IF('Ordenes_Odoo'!G2284="","",'Ordenes_Odoo'!G2284)</f>
        <v/>
      </c>
      <c r="H2284" s="79">
        <f>IF('Ordenes_Odoo'!H2284="","",'Ordenes_Odoo'!H2284)</f>
        <v/>
      </c>
      <c r="I2284" s="79">
        <f>IF('Ordenes_Odoo'!I2284="","",'Ordenes_Odoo'!I2284)</f>
        <v/>
      </c>
      <c r="J2284" s="79">
        <f>IF('Ordenes_Odoo'!J2284="","",'Ordenes_Odoo'!J2284)</f>
        <v/>
      </c>
      <c r="K2284" s="81">
        <f>IF('Ordenes_Odoo'!K2284="","",'Ordenes_Odoo'!K2284)</f>
        <v/>
      </c>
      <c r="L2284" s="81">
        <f>IF('Ordenes_Odoo'!L2284="","",'Ordenes_Odoo'!L2284)</f>
        <v/>
      </c>
      <c r="M2284" s="79">
        <f>IF('Ordenes_Odoo'!M2284="","",'Ordenes_Odoo'!M2284)</f>
        <v/>
      </c>
      <c r="N2284" s="79">
        <f>IF('Ordenes_Odoo'!N2284="","",'Ordenes_Odoo'!N2284)</f>
        <v/>
      </c>
      <c r="O2284" s="81">
        <f>IF('Ordenes_Odoo'!O2284="","",'Ordenes_Odoo'!O2284)</f>
        <v/>
      </c>
      <c r="P2284" s="81">
        <f>IF('Ordenes_Odoo'!P2284="","",'Ordenes_Odoo'!P2284)</f>
        <v/>
      </c>
      <c r="Q2284" s="79">
        <f>IF(A2284="","",IFERROR(INDEX(Facturas_Odoo!$B:$B, MATCH(A2284, Facturas_Odoo!$D:$D, 0)), "Sin Factura"))</f>
        <v/>
      </c>
      <c r="R2284" s="80">
        <f>IF(Q2284="Sin Factura","",IFERROR(INDEX(Facturas_Odoo!$A:$A, MATCH(Q2284, Facturas_Odoo!$B:$B, 0)), ""))</f>
        <v/>
      </c>
      <c r="S2284" s="79">
        <f>IF(Q2284="Sin Factura","",IFERROR(_xlfn.XLOOKUP(1, (Facturas_Odoo!$D:$D=A2284) * (Facturas_Odoo!$K:$K=I2284), Facturas_Odoo!$L:$L, ""), ""))</f>
        <v/>
      </c>
      <c r="T2284" s="81">
        <f>IF(Q2284="Sin Factura",0,IFERROR(_xlfn.XLOOKUP(1, (Facturas_Odoo!$D:$D=A2284) * (Facturas_Odoo!$K:$K=I2284), Facturas_Odoo!$M:$M, 0), 0))</f>
        <v/>
      </c>
      <c r="U2284" s="79">
        <f>IF(Q2284="Sin Factura",0,IFERROR(_xlfn.XLOOKUP(1, (Facturas_Odoo!$D:$D=A2284) * (Facturas_Odoo!$K:$K=I2284), Facturas_Odoo!$N:$N, 0), 0))</f>
        <v/>
      </c>
      <c r="V2284" s="79">
        <f>IF(Q2284="Sin Factura",0,IFERROR(_xlfn.XLOOKUP(1, (Facturas_Odoo!$D:$D=A2284) * (Facturas_Odoo!$K:$K=I2284), Facturas_Odoo!$O:$O, 0), 0))</f>
        <v/>
      </c>
      <c r="W2284" s="81">
        <f>IF(Q2284="Sin Factura",0,IFERROR(_xlfn.XLOOKUP(1, (Facturas_Odoo!$D:$D=A2284) * (Facturas_Odoo!$K:$K=I2284), Facturas_Odoo!$Q:$Q, 0), 0))</f>
        <v/>
      </c>
      <c r="X2284" s="79">
        <f>IF(OR(Q2284="Sin Factura",Q2284=""),"",IFERROR(INDEX(Pagos_Odoo!$B:$B, MATCH(Q2284, Pagos_Odoo!$I:$I, 0)), "Sin Pago"))</f>
        <v/>
      </c>
      <c r="Y2284" s="79">
        <f>IF(X2284="Sin Pago","",IFERROR(INDEX(Pagos_Odoo!$C:$C, MATCH(X2284, Pagos_Odoo!$B:$B, 0)), ""))</f>
        <v/>
      </c>
      <c r="Z2284" s="80">
        <f>IF(X2284="Sin Pago","",IFERROR(INDEX(Pagos_Odoo!$A:$A, MATCH(X2284, Pagos_Odoo!$B:$B, 0)), ""))</f>
        <v/>
      </c>
      <c r="AA2284" s="79">
        <f>IF(X2284="Sin Pago","",IFERROR(INDEX(Pagos_Odoo!$F:$F, MATCH(X2284, Pagos_Odoo!$B:$B, 0)), ""))</f>
        <v/>
      </c>
      <c r="AB2284" s="81">
        <f>IF(X2284="Sin Pago",0,IFERROR(INDEX(Pagos_Odoo!$E:$E, MATCH(X2284, Pagos_Odoo!$B:$B, 0)), 0))</f>
        <v/>
      </c>
      <c r="AC2284" s="79">
        <f>IF(X2284="Sin Pago","",IFERROR(INDEX(Pagos_Odoo!$G:$G, MATCH(X2284, Pagos_Odoo!$B:$B, 0)), ""))</f>
        <v/>
      </c>
      <c r="AD2284" s="82" t="n">
        <v>0</v>
      </c>
      <c r="AE2284" s="82" t="n"/>
      <c r="AF2284" s="82" t="n"/>
      <c r="AG2284" s="82">
        <f>IF(AN2284="","",AD2284+AE2284+AF2284)</f>
        <v/>
      </c>
      <c r="AH2284" s="81">
        <f>IF(AN2284="","",P2284*(1-AG2284))</f>
        <v/>
      </c>
      <c r="AI2284" s="81">
        <f>IF(AN2284="","",IF(Q2284="Sin Factura",0,IFERROR(INDEX(Facturas_Odoo!$H:$H, MATCH(Q2284, Facturas_Odoo!$B:$B, 0)), 0)*(1-AG2284)))</f>
        <v/>
      </c>
      <c r="AJ2284" s="81">
        <f>IF(AN2284="","",_xlfn.LET(idVenta, AN2284&amp;"",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84" s="81">
        <f>IF(AN2284="","",AH2284-AJ2284)</f>
        <v/>
      </c>
      <c r="AL2284" s="81">
        <f>IF(AN2284="","",IF(Q2284="Sin Factura","",AI2284-AJ2284))</f>
        <v/>
      </c>
      <c r="AM2284" s="81">
        <f>IF(AN2284="","",IF(Q2284="Sin Factura",0,P2284-IFERROR(INDEX(Facturas_Odoo!$H:$H, MATCH(Q2284, Facturas_Odoo!$B:$B, 0)), 0)))</f>
        <v/>
      </c>
      <c r="AN2284" s="79">
        <f>IF(AND(A2284="", J2284=""), "", IF(A2284&lt;&gt;"", VALUE(MID(A2284,2,LEN(A2284))), AN2283))</f>
        <v/>
      </c>
      <c r="AO2284" s="79">
        <f>IF(AN2284="","",IF(AD2284=0,"OK",_xlfn.LET(monedaPago, IF(AA2284="","USD",AA2284), limitePermitido, IFERROR(VLOOKUP(monedaPago, Configuración!$A$2:$B$3, 2, FALSE), 0.15), IF(AD2284&gt;limitePermitido, "ALERTA: EXCESO (" &amp; TEXT(limitePermitido, "0%") &amp; " máx)", "OK"))))</f>
        <v/>
      </c>
      <c r="AP2284" s="79">
        <f>IF(AN2284="","",IF(AE2284=0,"OK",_xlfn.LET(fechaPago, Z2284, fechaFactura, R2284, diasCredito, IF(E2284="Pago inmediato", 0, IFERROR(VALUE(MID(E2284, 1, SEARCH(" ", E2284)-1)),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84" s="79">
        <f>IF(AN2284="","",IF(AND(N2284&gt;0, AG2284&gt;0), IF(Configuración!$K$2="NO", "ALERTA: DESCUENTO DOBLE NO PERMITIDO", "OK"), "OK"))</f>
        <v/>
      </c>
      <c r="AR2284" s="79">
        <f>IF(AN2284="","",IF(OR(AO2284&lt;&gt;"OK", AP2284&lt;&gt;"OK", AQ2284&lt;&gt;"OK"), "⚠️ REVISAR", "OK"))</f>
        <v/>
      </c>
    </row>
    <row r="2285">
      <c r="A2285" s="79">
        <f>IF('Ordenes_Odoo'!A2285="","",'Ordenes_Odoo'!A2285)</f>
        <v/>
      </c>
      <c r="B2285" s="80">
        <f>IF('Ordenes_Odoo'!B2285="","",'Ordenes_Odoo'!B2285)</f>
        <v/>
      </c>
      <c r="C2285" s="79">
        <f>IF('Ordenes_Odoo'!C2285="","",'Ordenes_Odoo'!C2285)</f>
        <v/>
      </c>
      <c r="D2285" s="79">
        <f>IF('Ordenes_Odoo'!D2285="","",'Ordenes_Odoo'!D2285)</f>
        <v/>
      </c>
      <c r="E2285" s="79">
        <f>IF('Ordenes_Odoo'!E2285="","",'Ordenes_Odoo'!E2285)</f>
        <v/>
      </c>
      <c r="F2285" s="79">
        <f>IF('Ordenes_Odoo'!F2285="","",'Ordenes_Odoo'!F2285)</f>
        <v/>
      </c>
      <c r="G2285" s="79">
        <f>IF('Ordenes_Odoo'!G2285="","",'Ordenes_Odoo'!G2285)</f>
        <v/>
      </c>
      <c r="H2285" s="79">
        <f>IF('Ordenes_Odoo'!H2285="","",'Ordenes_Odoo'!H2285)</f>
        <v/>
      </c>
      <c r="I2285" s="79">
        <f>IF('Ordenes_Odoo'!I2285="","",'Ordenes_Odoo'!I2285)</f>
        <v/>
      </c>
      <c r="J2285" s="79">
        <f>IF('Ordenes_Odoo'!J2285="","",'Ordenes_Odoo'!J2285)</f>
        <v/>
      </c>
      <c r="K2285" s="81">
        <f>IF('Ordenes_Odoo'!K2285="","",'Ordenes_Odoo'!K2285)</f>
        <v/>
      </c>
      <c r="L2285" s="81">
        <f>IF('Ordenes_Odoo'!L2285="","",'Ordenes_Odoo'!L2285)</f>
        <v/>
      </c>
      <c r="M2285" s="79">
        <f>IF('Ordenes_Odoo'!M2285="","",'Ordenes_Odoo'!M2285)</f>
        <v/>
      </c>
      <c r="N2285" s="79">
        <f>IF('Ordenes_Odoo'!N2285="","",'Ordenes_Odoo'!N2285)</f>
        <v/>
      </c>
      <c r="O2285" s="81">
        <f>IF('Ordenes_Odoo'!O2285="","",'Ordenes_Odoo'!O2285)</f>
        <v/>
      </c>
      <c r="P2285" s="81">
        <f>IF('Ordenes_Odoo'!P2285="","",'Ordenes_Odoo'!P2285)</f>
        <v/>
      </c>
      <c r="Q2285" s="79">
        <f>IF(A2285="","",IFERROR(INDEX(Facturas_Odoo!$B:$B, MATCH(A2285, Facturas_Odoo!$D:$D, 0)), "Sin Factura"))</f>
        <v/>
      </c>
      <c r="R2285" s="80">
        <f>IF(Q2285="Sin Factura","",IFERROR(INDEX(Facturas_Odoo!$A:$A, MATCH(Q2285, Facturas_Odoo!$B:$B, 0)), ""))</f>
        <v/>
      </c>
      <c r="S2285" s="79">
        <f>IF(Q2285="Sin Factura","",IFERROR(_xlfn.XLOOKUP(1, (Facturas_Odoo!$D:$D=A2285) * (Facturas_Odoo!$K:$K=I2285), Facturas_Odoo!$L:$L, ""), ""))</f>
        <v/>
      </c>
      <c r="T2285" s="81">
        <f>IF(Q2285="Sin Factura",0,IFERROR(_xlfn.XLOOKUP(1, (Facturas_Odoo!$D:$D=A2285) * (Facturas_Odoo!$K:$K=I2285), Facturas_Odoo!$M:$M, 0), 0))</f>
        <v/>
      </c>
      <c r="U2285" s="79">
        <f>IF(Q2285="Sin Factura",0,IFERROR(_xlfn.XLOOKUP(1, (Facturas_Odoo!$D:$D=A2285) * (Facturas_Odoo!$K:$K=I2285), Facturas_Odoo!$N:$N, 0), 0))</f>
        <v/>
      </c>
      <c r="V2285" s="79">
        <f>IF(Q2285="Sin Factura",0,IFERROR(_xlfn.XLOOKUP(1, (Facturas_Odoo!$D:$D=A2285) * (Facturas_Odoo!$K:$K=I2285), Facturas_Odoo!$O:$O, 0), 0))</f>
        <v/>
      </c>
      <c r="W2285" s="81">
        <f>IF(Q2285="Sin Factura",0,IFERROR(_xlfn.XLOOKUP(1, (Facturas_Odoo!$D:$D=A2285) * (Facturas_Odoo!$K:$K=I2285), Facturas_Odoo!$Q:$Q, 0), 0))</f>
        <v/>
      </c>
      <c r="X2285" s="79">
        <f>IF(OR(Q2285="Sin Factura",Q2285=""),"",IFERROR(INDEX(Pagos_Odoo!$B:$B, MATCH(Q2285, Pagos_Odoo!$I:$I, 0)), "Sin Pago"))</f>
        <v/>
      </c>
      <c r="Y2285" s="79">
        <f>IF(X2285="Sin Pago","",IFERROR(INDEX(Pagos_Odoo!$C:$C, MATCH(X2285, Pagos_Odoo!$B:$B, 0)), ""))</f>
        <v/>
      </c>
      <c r="Z2285" s="80">
        <f>IF(X2285="Sin Pago","",IFERROR(INDEX(Pagos_Odoo!$A:$A, MATCH(X2285, Pagos_Odoo!$B:$B, 0)), ""))</f>
        <v/>
      </c>
      <c r="AA2285" s="79">
        <f>IF(X2285="Sin Pago","",IFERROR(INDEX(Pagos_Odoo!$F:$F, MATCH(X2285, Pagos_Odoo!$B:$B, 0)), ""))</f>
        <v/>
      </c>
      <c r="AB2285" s="81">
        <f>IF(X2285="Sin Pago",0,IFERROR(INDEX(Pagos_Odoo!$E:$E, MATCH(X2285, Pagos_Odoo!$B:$B, 0)), 0))</f>
        <v/>
      </c>
      <c r="AC2285" s="79">
        <f>IF(X2285="Sin Pago","",IFERROR(INDEX(Pagos_Odoo!$G:$G, MATCH(X2285, Pagos_Odoo!$B:$B, 0)), ""))</f>
        <v/>
      </c>
      <c r="AD2285" s="82" t="n">
        <v>0</v>
      </c>
      <c r="AE2285" s="82" t="n"/>
      <c r="AF2285" s="82" t="n"/>
      <c r="AG2285" s="82">
        <f>IF(AN2285="","",AD2285+AE2285+AF2285)</f>
        <v/>
      </c>
      <c r="AH2285" s="81">
        <f>IF(AN2285="","",P2285*(1-AG2285))</f>
        <v/>
      </c>
      <c r="AI2285" s="81">
        <f>IF(AN2285="","",IF(Q2285="Sin Factura",0,IFERROR(INDEX(Facturas_Odoo!$H:$H, MATCH(Q2285, Facturas_Odoo!$B:$B, 0)), 0)*(1-AG2285)))</f>
        <v/>
      </c>
      <c r="AJ2285" s="81">
        <f>IF(AN2285="","",_xlfn.LET(idVenta, AN2285&amp;"",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85" s="81">
        <f>IF(AN2285="","",AH2285-AJ2285)</f>
        <v/>
      </c>
      <c r="AL2285" s="81">
        <f>IF(AN2285="","",IF(Q2285="Sin Factura","",AI2285-AJ2285))</f>
        <v/>
      </c>
      <c r="AM2285" s="81">
        <f>IF(AN2285="","",IF(Q2285="Sin Factura",0,P2285-IFERROR(INDEX(Facturas_Odoo!$H:$H, MATCH(Q2285, Facturas_Odoo!$B:$B, 0)), 0)))</f>
        <v/>
      </c>
      <c r="AN2285" s="79">
        <f>IF(AND(A2285="", J2285=""), "", IF(A2285&lt;&gt;"", VALUE(MID(A2285,2,LEN(A2285))), AN2284))</f>
        <v/>
      </c>
      <c r="AO2285" s="79">
        <f>IF(AN2285="","",IF(AD2285=0,"OK",_xlfn.LET(monedaPago, IF(AA2285="","USD",AA2285), limitePermitido, IFERROR(VLOOKUP(monedaPago, Configuración!$A$2:$B$3, 2, FALSE), 0.15), IF(AD2285&gt;limitePermitido, "ALERTA: EXCESO (" &amp; TEXT(limitePermitido, "0%") &amp; " máx)", "OK"))))</f>
        <v/>
      </c>
      <c r="AP2285" s="79">
        <f>IF(AN2285="","",IF(AE2285=0,"OK",_xlfn.LET(fechaPago, Z2285, fechaFactura, R2285, diasCredito, IF(E2285="Pago inmediato", 0, IFERROR(VALUE(MID(E2285, 1, SEARCH(" ", E2285)-1)),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85" s="79">
        <f>IF(AN2285="","",IF(AND(N2285&gt;0, AG2285&gt;0), IF(Configuración!$K$2="NO", "ALERTA: DESCUENTO DOBLE NO PERMITIDO", "OK"), "OK"))</f>
        <v/>
      </c>
      <c r="AR2285" s="79">
        <f>IF(AN2285="","",IF(OR(AO2285&lt;&gt;"OK", AP2285&lt;&gt;"OK", AQ2285&lt;&gt;"OK"), "⚠️ REVISAR", "OK"))</f>
        <v/>
      </c>
    </row>
    <row r="2286">
      <c r="A2286" s="79">
        <f>IF('Ordenes_Odoo'!A2286="","",'Ordenes_Odoo'!A2286)</f>
        <v/>
      </c>
      <c r="B2286" s="80">
        <f>IF('Ordenes_Odoo'!B2286="","",'Ordenes_Odoo'!B2286)</f>
        <v/>
      </c>
      <c r="C2286" s="79">
        <f>IF('Ordenes_Odoo'!C2286="","",'Ordenes_Odoo'!C2286)</f>
        <v/>
      </c>
      <c r="D2286" s="79">
        <f>IF('Ordenes_Odoo'!D2286="","",'Ordenes_Odoo'!D2286)</f>
        <v/>
      </c>
      <c r="E2286" s="79">
        <f>IF('Ordenes_Odoo'!E2286="","",'Ordenes_Odoo'!E2286)</f>
        <v/>
      </c>
      <c r="F2286" s="79">
        <f>IF('Ordenes_Odoo'!F2286="","",'Ordenes_Odoo'!F2286)</f>
        <v/>
      </c>
      <c r="G2286" s="79">
        <f>IF('Ordenes_Odoo'!G2286="","",'Ordenes_Odoo'!G2286)</f>
        <v/>
      </c>
      <c r="H2286" s="79">
        <f>IF('Ordenes_Odoo'!H2286="","",'Ordenes_Odoo'!H2286)</f>
        <v/>
      </c>
      <c r="I2286" s="79">
        <f>IF('Ordenes_Odoo'!I2286="","",'Ordenes_Odoo'!I2286)</f>
        <v/>
      </c>
      <c r="J2286" s="79">
        <f>IF('Ordenes_Odoo'!J2286="","",'Ordenes_Odoo'!J2286)</f>
        <v/>
      </c>
      <c r="K2286" s="81">
        <f>IF('Ordenes_Odoo'!K2286="","",'Ordenes_Odoo'!K2286)</f>
        <v/>
      </c>
      <c r="L2286" s="81">
        <f>IF('Ordenes_Odoo'!L2286="","",'Ordenes_Odoo'!L2286)</f>
        <v/>
      </c>
      <c r="M2286" s="79">
        <f>IF('Ordenes_Odoo'!M2286="","",'Ordenes_Odoo'!M2286)</f>
        <v/>
      </c>
      <c r="N2286" s="79">
        <f>IF('Ordenes_Odoo'!N2286="","",'Ordenes_Odoo'!N2286)</f>
        <v/>
      </c>
      <c r="O2286" s="81">
        <f>IF('Ordenes_Odoo'!O2286="","",'Ordenes_Odoo'!O2286)</f>
        <v/>
      </c>
      <c r="P2286" s="81">
        <f>IF('Ordenes_Odoo'!P2286="","",'Ordenes_Odoo'!P2286)</f>
        <v/>
      </c>
      <c r="Q2286" s="79">
        <f>IF(A2286="","",IFERROR(INDEX(Facturas_Odoo!$B:$B, MATCH(A2286, Facturas_Odoo!$D:$D, 0)), "Sin Factura"))</f>
        <v/>
      </c>
      <c r="R2286" s="80">
        <f>IF(Q2286="Sin Factura","",IFERROR(INDEX(Facturas_Odoo!$A:$A, MATCH(Q2286, Facturas_Odoo!$B:$B, 0)), ""))</f>
        <v/>
      </c>
      <c r="S2286" s="79">
        <f>IF(Q2286="Sin Factura","",IFERROR(_xlfn.XLOOKUP(1, (Facturas_Odoo!$D:$D=A2286) * (Facturas_Odoo!$K:$K=I2286), Facturas_Odoo!$L:$L, ""), ""))</f>
        <v/>
      </c>
      <c r="T2286" s="81">
        <f>IF(Q2286="Sin Factura",0,IFERROR(_xlfn.XLOOKUP(1, (Facturas_Odoo!$D:$D=A2286) * (Facturas_Odoo!$K:$K=I2286), Facturas_Odoo!$M:$M, 0), 0))</f>
        <v/>
      </c>
      <c r="U2286" s="79">
        <f>IF(Q2286="Sin Factura",0,IFERROR(_xlfn.XLOOKUP(1, (Facturas_Odoo!$D:$D=A2286) * (Facturas_Odoo!$K:$K=I2286), Facturas_Odoo!$N:$N, 0), 0))</f>
        <v/>
      </c>
      <c r="V2286" s="79">
        <f>IF(Q2286="Sin Factura",0,IFERROR(_xlfn.XLOOKUP(1, (Facturas_Odoo!$D:$D=A2286) * (Facturas_Odoo!$K:$K=I2286), Facturas_Odoo!$O:$O, 0), 0))</f>
        <v/>
      </c>
      <c r="W2286" s="81">
        <f>IF(Q2286="Sin Factura",0,IFERROR(_xlfn.XLOOKUP(1, (Facturas_Odoo!$D:$D=A2286) * (Facturas_Odoo!$K:$K=I2286), Facturas_Odoo!$Q:$Q, 0), 0))</f>
        <v/>
      </c>
      <c r="X2286" s="79">
        <f>IF(OR(Q2286="Sin Factura",Q2286=""),"",IFERROR(INDEX(Pagos_Odoo!$B:$B, MATCH(Q2286, Pagos_Odoo!$I:$I, 0)), "Sin Pago"))</f>
        <v/>
      </c>
      <c r="Y2286" s="79">
        <f>IF(X2286="Sin Pago","",IFERROR(INDEX(Pagos_Odoo!$C:$C, MATCH(X2286, Pagos_Odoo!$B:$B, 0)), ""))</f>
        <v/>
      </c>
      <c r="Z2286" s="80">
        <f>IF(X2286="Sin Pago","",IFERROR(INDEX(Pagos_Odoo!$A:$A, MATCH(X2286, Pagos_Odoo!$B:$B, 0)), ""))</f>
        <v/>
      </c>
      <c r="AA2286" s="79">
        <f>IF(X2286="Sin Pago","",IFERROR(INDEX(Pagos_Odoo!$F:$F, MATCH(X2286, Pagos_Odoo!$B:$B, 0)), ""))</f>
        <v/>
      </c>
      <c r="AB2286" s="81">
        <f>IF(X2286="Sin Pago",0,IFERROR(INDEX(Pagos_Odoo!$E:$E, MATCH(X2286, Pagos_Odoo!$B:$B, 0)), 0))</f>
        <v/>
      </c>
      <c r="AC2286" s="79">
        <f>IF(X2286="Sin Pago","",IFERROR(INDEX(Pagos_Odoo!$G:$G, MATCH(X2286, Pagos_Odoo!$B:$B, 0)), ""))</f>
        <v/>
      </c>
      <c r="AD2286" s="82" t="n">
        <v>0</v>
      </c>
      <c r="AE2286" s="82" t="n"/>
      <c r="AF2286" s="82" t="n"/>
      <c r="AG2286" s="82">
        <f>IF(AN2286="","",AD2286+AE2286+AF2286)</f>
        <v/>
      </c>
      <c r="AH2286" s="81">
        <f>IF(AN2286="","",P2286*(1-AG2286))</f>
        <v/>
      </c>
      <c r="AI2286" s="81">
        <f>IF(AN2286="","",IF(Q2286="Sin Factura",0,IFERROR(INDEX(Facturas_Odoo!$H:$H, MATCH(Q2286, Facturas_Odoo!$B:$B, 0)), 0)*(1-AG2286)))</f>
        <v/>
      </c>
      <c r="AJ2286" s="81">
        <f>IF(AN2286="","",_xlfn.LET(idVenta, AN2286&amp;"",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86" s="81">
        <f>IF(AN2286="","",AH2286-AJ2286)</f>
        <v/>
      </c>
      <c r="AL2286" s="81">
        <f>IF(AN2286="","",IF(Q2286="Sin Factura","",AI2286-AJ2286))</f>
        <v/>
      </c>
      <c r="AM2286" s="81">
        <f>IF(AN2286="","",IF(Q2286="Sin Factura",0,P2286-IFERROR(INDEX(Facturas_Odoo!$H:$H, MATCH(Q2286, Facturas_Odoo!$B:$B, 0)), 0)))</f>
        <v/>
      </c>
      <c r="AN2286" s="79">
        <f>IF(AND(A2286="", J2286=""), "", IF(A2286&lt;&gt;"", VALUE(MID(A2286,2,LEN(A2286))), AN2285))</f>
        <v/>
      </c>
      <c r="AO2286" s="79">
        <f>IF(AN2286="","",IF(AD2286=0,"OK",_xlfn.LET(monedaPago, IF(AA2286="","USD",AA2286), limitePermitido, IFERROR(VLOOKUP(monedaPago, Configuración!$A$2:$B$3, 2, FALSE), 0.15), IF(AD2286&gt;limitePermitido, "ALERTA: EXCESO (" &amp; TEXT(limitePermitido, "0%") &amp; " máx)", "OK"))))</f>
        <v/>
      </c>
      <c r="AP2286" s="79">
        <f>IF(AN2286="","",IF(AE2286=0,"OK",_xlfn.LET(fechaPago, Z2286, fechaFactura, R2286, diasCredito, IF(E2286="Pago inmediato", 0, IFERROR(VALUE(MID(E2286, 1, SEARCH(" ", E2286)-1)),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86" s="79">
        <f>IF(AN2286="","",IF(AND(N2286&gt;0, AG2286&gt;0), IF(Configuración!$K$2="NO", "ALERTA: DESCUENTO DOBLE NO PERMITIDO", "OK"), "OK"))</f>
        <v/>
      </c>
      <c r="AR2286" s="79">
        <f>IF(AN2286="","",IF(OR(AO2286&lt;&gt;"OK", AP2286&lt;&gt;"OK", AQ2286&lt;&gt;"OK"), "⚠️ REVISAR", "OK"))</f>
        <v/>
      </c>
    </row>
    <row r="2287">
      <c r="A2287" s="79">
        <f>IF('Ordenes_Odoo'!A2287="","",'Ordenes_Odoo'!A2287)</f>
        <v/>
      </c>
      <c r="B2287" s="80">
        <f>IF('Ordenes_Odoo'!B2287="","",'Ordenes_Odoo'!B2287)</f>
        <v/>
      </c>
      <c r="C2287" s="79">
        <f>IF('Ordenes_Odoo'!C2287="","",'Ordenes_Odoo'!C2287)</f>
        <v/>
      </c>
      <c r="D2287" s="79">
        <f>IF('Ordenes_Odoo'!D2287="","",'Ordenes_Odoo'!D2287)</f>
        <v/>
      </c>
      <c r="E2287" s="79">
        <f>IF('Ordenes_Odoo'!E2287="","",'Ordenes_Odoo'!E2287)</f>
        <v/>
      </c>
      <c r="F2287" s="79">
        <f>IF('Ordenes_Odoo'!F2287="","",'Ordenes_Odoo'!F2287)</f>
        <v/>
      </c>
      <c r="G2287" s="79">
        <f>IF('Ordenes_Odoo'!G2287="","",'Ordenes_Odoo'!G2287)</f>
        <v/>
      </c>
      <c r="H2287" s="79">
        <f>IF('Ordenes_Odoo'!H2287="","",'Ordenes_Odoo'!H2287)</f>
        <v/>
      </c>
      <c r="I2287" s="79">
        <f>IF('Ordenes_Odoo'!I2287="","",'Ordenes_Odoo'!I2287)</f>
        <v/>
      </c>
      <c r="J2287" s="79">
        <f>IF('Ordenes_Odoo'!J2287="","",'Ordenes_Odoo'!J2287)</f>
        <v/>
      </c>
      <c r="K2287" s="81">
        <f>IF('Ordenes_Odoo'!K2287="","",'Ordenes_Odoo'!K2287)</f>
        <v/>
      </c>
      <c r="L2287" s="81">
        <f>IF('Ordenes_Odoo'!L2287="","",'Ordenes_Odoo'!L2287)</f>
        <v/>
      </c>
      <c r="M2287" s="79">
        <f>IF('Ordenes_Odoo'!M2287="","",'Ordenes_Odoo'!M2287)</f>
        <v/>
      </c>
      <c r="N2287" s="79">
        <f>IF('Ordenes_Odoo'!N2287="","",'Ordenes_Odoo'!N2287)</f>
        <v/>
      </c>
      <c r="O2287" s="81">
        <f>IF('Ordenes_Odoo'!O2287="","",'Ordenes_Odoo'!O2287)</f>
        <v/>
      </c>
      <c r="P2287" s="81">
        <f>IF('Ordenes_Odoo'!P2287="","",'Ordenes_Odoo'!P2287)</f>
        <v/>
      </c>
      <c r="Q2287" s="79">
        <f>IF(A2287="","",IFERROR(INDEX(Facturas_Odoo!$B:$B, MATCH(A2287, Facturas_Odoo!$D:$D, 0)), "Sin Factura"))</f>
        <v/>
      </c>
      <c r="R2287" s="80">
        <f>IF(Q2287="Sin Factura","",IFERROR(INDEX(Facturas_Odoo!$A:$A, MATCH(Q2287, Facturas_Odoo!$B:$B, 0)), ""))</f>
        <v/>
      </c>
      <c r="S2287" s="79">
        <f>IF(Q2287="Sin Factura","",IFERROR(_xlfn.XLOOKUP(1, (Facturas_Odoo!$D:$D=A2287) * (Facturas_Odoo!$K:$K=I2287), Facturas_Odoo!$L:$L, ""), ""))</f>
        <v/>
      </c>
      <c r="T2287" s="81">
        <f>IF(Q2287="Sin Factura",0,IFERROR(_xlfn.XLOOKUP(1, (Facturas_Odoo!$D:$D=A2287) * (Facturas_Odoo!$K:$K=I2287), Facturas_Odoo!$M:$M, 0), 0))</f>
        <v/>
      </c>
      <c r="U2287" s="79">
        <f>IF(Q2287="Sin Factura",0,IFERROR(_xlfn.XLOOKUP(1, (Facturas_Odoo!$D:$D=A2287) * (Facturas_Odoo!$K:$K=I2287), Facturas_Odoo!$N:$N, 0), 0))</f>
        <v/>
      </c>
      <c r="V2287" s="79">
        <f>IF(Q2287="Sin Factura",0,IFERROR(_xlfn.XLOOKUP(1, (Facturas_Odoo!$D:$D=A2287) * (Facturas_Odoo!$K:$K=I2287), Facturas_Odoo!$O:$O, 0), 0))</f>
        <v/>
      </c>
      <c r="W2287" s="81">
        <f>IF(Q2287="Sin Factura",0,IFERROR(_xlfn.XLOOKUP(1, (Facturas_Odoo!$D:$D=A2287) * (Facturas_Odoo!$K:$K=I2287), Facturas_Odoo!$Q:$Q, 0), 0))</f>
        <v/>
      </c>
      <c r="X2287" s="79">
        <f>IF(OR(Q2287="Sin Factura",Q2287=""),"",IFERROR(INDEX(Pagos_Odoo!$B:$B, MATCH(Q2287, Pagos_Odoo!$I:$I, 0)), "Sin Pago"))</f>
        <v/>
      </c>
      <c r="Y2287" s="79">
        <f>IF(X2287="Sin Pago","",IFERROR(INDEX(Pagos_Odoo!$C:$C, MATCH(X2287, Pagos_Odoo!$B:$B, 0)), ""))</f>
        <v/>
      </c>
      <c r="Z2287" s="80">
        <f>IF(X2287="Sin Pago","",IFERROR(INDEX(Pagos_Odoo!$A:$A, MATCH(X2287, Pagos_Odoo!$B:$B, 0)), ""))</f>
        <v/>
      </c>
      <c r="AA2287" s="79">
        <f>IF(X2287="Sin Pago","",IFERROR(INDEX(Pagos_Odoo!$F:$F, MATCH(X2287, Pagos_Odoo!$B:$B, 0)), ""))</f>
        <v/>
      </c>
      <c r="AB2287" s="81">
        <f>IF(X2287="Sin Pago",0,IFERROR(INDEX(Pagos_Odoo!$E:$E, MATCH(X2287, Pagos_Odoo!$B:$B, 0)), 0))</f>
        <v/>
      </c>
      <c r="AC2287" s="79">
        <f>IF(X2287="Sin Pago","",IFERROR(INDEX(Pagos_Odoo!$G:$G, MATCH(X2287, Pagos_Odoo!$B:$B, 0)), ""))</f>
        <v/>
      </c>
      <c r="AD2287" s="82" t="n">
        <v>0</v>
      </c>
      <c r="AE2287" s="82" t="n"/>
      <c r="AF2287" s="82" t="n"/>
      <c r="AG2287" s="82">
        <f>IF(AN2287="","",AD2287+AE2287+AF2287)</f>
        <v/>
      </c>
      <c r="AH2287" s="81">
        <f>IF(AN2287="","",P2287*(1-AG2287))</f>
        <v/>
      </c>
      <c r="AI2287" s="81">
        <f>IF(AN2287="","",IF(Q2287="Sin Factura",0,IFERROR(INDEX(Facturas_Odoo!$H:$H, MATCH(Q2287, Facturas_Odoo!$B:$B, 0)), 0)*(1-AG2287)))</f>
        <v/>
      </c>
      <c r="AJ2287" s="81">
        <f>IF(AN2287="","",_xlfn.LET(idVenta, AN2287&amp;"",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87" s="81">
        <f>IF(AN2287="","",AH2287-AJ2287)</f>
        <v/>
      </c>
      <c r="AL2287" s="81">
        <f>IF(AN2287="","",IF(Q2287="Sin Factura","",AI2287-AJ2287))</f>
        <v/>
      </c>
      <c r="AM2287" s="81">
        <f>IF(AN2287="","",IF(Q2287="Sin Factura",0,P2287-IFERROR(INDEX(Facturas_Odoo!$H:$H, MATCH(Q2287, Facturas_Odoo!$B:$B, 0)), 0)))</f>
        <v/>
      </c>
      <c r="AN2287" s="79">
        <f>IF(AND(A2287="", J2287=""), "", IF(A2287&lt;&gt;"", VALUE(MID(A2287,2,LEN(A2287))), AN2286))</f>
        <v/>
      </c>
      <c r="AO2287" s="79">
        <f>IF(AN2287="","",IF(AD2287=0,"OK",_xlfn.LET(monedaPago, IF(AA2287="","USD",AA2287), limitePermitido, IFERROR(VLOOKUP(monedaPago, Configuración!$A$2:$B$3, 2, FALSE), 0.15), IF(AD2287&gt;limitePermitido, "ALERTA: EXCESO (" &amp; TEXT(limitePermitido, "0%") &amp; " máx)", "OK"))))</f>
        <v/>
      </c>
      <c r="AP2287" s="79">
        <f>IF(AN2287="","",IF(AE2287=0,"OK",_xlfn.LET(fechaPago, Z2287, fechaFactura, R2287, diasCredito, IF(E2287="Pago inmediato", 0, IFERROR(VALUE(MID(E2287, 1, SEARCH(" ", E2287)-1)),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87" s="79">
        <f>IF(AN2287="","",IF(AND(N2287&gt;0, AG2287&gt;0), IF(Configuración!$K$2="NO", "ALERTA: DESCUENTO DOBLE NO PERMITIDO", "OK"), "OK"))</f>
        <v/>
      </c>
      <c r="AR2287" s="79">
        <f>IF(AN2287="","",IF(OR(AO2287&lt;&gt;"OK", AP2287&lt;&gt;"OK", AQ2287&lt;&gt;"OK"), "⚠️ REVISAR", "OK"))</f>
        <v/>
      </c>
    </row>
    <row r="2288">
      <c r="A2288" s="79">
        <f>IF('Ordenes_Odoo'!A2288="","",'Ordenes_Odoo'!A2288)</f>
        <v/>
      </c>
      <c r="B2288" s="80">
        <f>IF('Ordenes_Odoo'!B2288="","",'Ordenes_Odoo'!B2288)</f>
        <v/>
      </c>
      <c r="C2288" s="79">
        <f>IF('Ordenes_Odoo'!C2288="","",'Ordenes_Odoo'!C2288)</f>
        <v/>
      </c>
      <c r="D2288" s="79">
        <f>IF('Ordenes_Odoo'!D2288="","",'Ordenes_Odoo'!D2288)</f>
        <v/>
      </c>
      <c r="E2288" s="79">
        <f>IF('Ordenes_Odoo'!E2288="","",'Ordenes_Odoo'!E2288)</f>
        <v/>
      </c>
      <c r="F2288" s="79">
        <f>IF('Ordenes_Odoo'!F2288="","",'Ordenes_Odoo'!F2288)</f>
        <v/>
      </c>
      <c r="G2288" s="79">
        <f>IF('Ordenes_Odoo'!G2288="","",'Ordenes_Odoo'!G2288)</f>
        <v/>
      </c>
      <c r="H2288" s="79">
        <f>IF('Ordenes_Odoo'!H2288="","",'Ordenes_Odoo'!H2288)</f>
        <v/>
      </c>
      <c r="I2288" s="79">
        <f>IF('Ordenes_Odoo'!I2288="","",'Ordenes_Odoo'!I2288)</f>
        <v/>
      </c>
      <c r="J2288" s="79">
        <f>IF('Ordenes_Odoo'!J2288="","",'Ordenes_Odoo'!J2288)</f>
        <v/>
      </c>
      <c r="K2288" s="81">
        <f>IF('Ordenes_Odoo'!K2288="","",'Ordenes_Odoo'!K2288)</f>
        <v/>
      </c>
      <c r="L2288" s="81">
        <f>IF('Ordenes_Odoo'!L2288="","",'Ordenes_Odoo'!L2288)</f>
        <v/>
      </c>
      <c r="M2288" s="79">
        <f>IF('Ordenes_Odoo'!M2288="","",'Ordenes_Odoo'!M2288)</f>
        <v/>
      </c>
      <c r="N2288" s="79">
        <f>IF('Ordenes_Odoo'!N2288="","",'Ordenes_Odoo'!N2288)</f>
        <v/>
      </c>
      <c r="O2288" s="81">
        <f>IF('Ordenes_Odoo'!O2288="","",'Ordenes_Odoo'!O2288)</f>
        <v/>
      </c>
      <c r="P2288" s="81">
        <f>IF('Ordenes_Odoo'!P2288="","",'Ordenes_Odoo'!P2288)</f>
        <v/>
      </c>
      <c r="Q2288" s="79">
        <f>IF(A2288="","",IFERROR(INDEX(Facturas_Odoo!$B:$B, MATCH(A2288, Facturas_Odoo!$D:$D, 0)), "Sin Factura"))</f>
        <v/>
      </c>
      <c r="R2288" s="80">
        <f>IF(Q2288="Sin Factura","",IFERROR(INDEX(Facturas_Odoo!$A:$A, MATCH(Q2288, Facturas_Odoo!$B:$B, 0)), ""))</f>
        <v/>
      </c>
      <c r="S2288" s="79">
        <f>IF(Q2288="Sin Factura","",IFERROR(_xlfn.XLOOKUP(1, (Facturas_Odoo!$D:$D=A2288) * (Facturas_Odoo!$K:$K=I2288), Facturas_Odoo!$L:$L, ""), ""))</f>
        <v/>
      </c>
      <c r="T2288" s="81">
        <f>IF(Q2288="Sin Factura",0,IFERROR(_xlfn.XLOOKUP(1, (Facturas_Odoo!$D:$D=A2288) * (Facturas_Odoo!$K:$K=I2288), Facturas_Odoo!$M:$M, 0), 0))</f>
        <v/>
      </c>
      <c r="U2288" s="79">
        <f>IF(Q2288="Sin Factura",0,IFERROR(_xlfn.XLOOKUP(1, (Facturas_Odoo!$D:$D=A2288) * (Facturas_Odoo!$K:$K=I2288), Facturas_Odoo!$N:$N, 0), 0))</f>
        <v/>
      </c>
      <c r="V2288" s="79">
        <f>IF(Q2288="Sin Factura",0,IFERROR(_xlfn.XLOOKUP(1, (Facturas_Odoo!$D:$D=A2288) * (Facturas_Odoo!$K:$K=I2288), Facturas_Odoo!$O:$O, 0), 0))</f>
        <v/>
      </c>
      <c r="W2288" s="81">
        <f>IF(Q2288="Sin Factura",0,IFERROR(_xlfn.XLOOKUP(1, (Facturas_Odoo!$D:$D=A2288) * (Facturas_Odoo!$K:$K=I2288), Facturas_Odoo!$Q:$Q, 0), 0))</f>
        <v/>
      </c>
      <c r="X2288" s="79">
        <f>IF(OR(Q2288="Sin Factura",Q2288=""),"",IFERROR(INDEX(Pagos_Odoo!$B:$B, MATCH(Q2288, Pagos_Odoo!$I:$I, 0)), "Sin Pago"))</f>
        <v/>
      </c>
      <c r="Y2288" s="79">
        <f>IF(X2288="Sin Pago","",IFERROR(INDEX(Pagos_Odoo!$C:$C, MATCH(X2288, Pagos_Odoo!$B:$B, 0)), ""))</f>
        <v/>
      </c>
      <c r="Z2288" s="80">
        <f>IF(X2288="Sin Pago","",IFERROR(INDEX(Pagos_Odoo!$A:$A, MATCH(X2288, Pagos_Odoo!$B:$B, 0)), ""))</f>
        <v/>
      </c>
      <c r="AA2288" s="79">
        <f>IF(X2288="Sin Pago","",IFERROR(INDEX(Pagos_Odoo!$F:$F, MATCH(X2288, Pagos_Odoo!$B:$B, 0)), ""))</f>
        <v/>
      </c>
      <c r="AB2288" s="81">
        <f>IF(X2288="Sin Pago",0,IFERROR(INDEX(Pagos_Odoo!$E:$E, MATCH(X2288, Pagos_Odoo!$B:$B, 0)), 0))</f>
        <v/>
      </c>
      <c r="AC2288" s="79">
        <f>IF(X2288="Sin Pago","",IFERROR(INDEX(Pagos_Odoo!$G:$G, MATCH(X2288, Pagos_Odoo!$B:$B, 0)), ""))</f>
        <v/>
      </c>
      <c r="AD2288" s="82" t="n">
        <v>0</v>
      </c>
      <c r="AE2288" s="82" t="n"/>
      <c r="AF2288" s="82" t="n"/>
      <c r="AG2288" s="82">
        <f>IF(AN2288="","",AD2288+AE2288+AF2288)</f>
        <v/>
      </c>
      <c r="AH2288" s="81">
        <f>IF(AN2288="","",P2288*(1-AG2288))</f>
        <v/>
      </c>
      <c r="AI2288" s="81">
        <f>IF(AN2288="","",IF(Q2288="Sin Factura",0,IFERROR(INDEX(Facturas_Odoo!$H:$H, MATCH(Q2288, Facturas_Odoo!$B:$B, 0)), 0)*(1-AG2288)))</f>
        <v/>
      </c>
      <c r="AJ2288" s="81">
        <f>IF(AN2288="","",_xlfn.LET(idVenta, AN2288&amp;"",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88" s="81">
        <f>IF(AN2288="","",AH2288-AJ2288)</f>
        <v/>
      </c>
      <c r="AL2288" s="81">
        <f>IF(AN2288="","",IF(Q2288="Sin Factura","",AI2288-AJ2288))</f>
        <v/>
      </c>
      <c r="AM2288" s="81">
        <f>IF(AN2288="","",IF(Q2288="Sin Factura",0,P2288-IFERROR(INDEX(Facturas_Odoo!$H:$H, MATCH(Q2288, Facturas_Odoo!$B:$B, 0)), 0)))</f>
        <v/>
      </c>
      <c r="AN2288" s="79">
        <f>IF(AND(A2288="", J2288=""), "", IF(A2288&lt;&gt;"", VALUE(MID(A2288,2,LEN(A2288))), AN2287))</f>
        <v/>
      </c>
      <c r="AO2288" s="79">
        <f>IF(AN2288="","",IF(AD2288=0,"OK",_xlfn.LET(monedaPago, IF(AA2288="","USD",AA2288), limitePermitido, IFERROR(VLOOKUP(monedaPago, Configuración!$A$2:$B$3, 2, FALSE), 0.15), IF(AD2288&gt;limitePermitido, "ALERTA: EXCESO (" &amp; TEXT(limitePermitido, "0%") &amp; " máx)", "OK"))))</f>
        <v/>
      </c>
      <c r="AP2288" s="79">
        <f>IF(AN2288="","",IF(AE2288=0,"OK",_xlfn.LET(fechaPago, Z2288, fechaFactura, R2288, diasCredito, IF(E2288="Pago inmediato", 0, IFERROR(VALUE(MID(E2288, 1, SEARCH(" ", E2288)-1)),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88" s="79">
        <f>IF(AN2288="","",IF(AND(N2288&gt;0, AG2288&gt;0), IF(Configuración!$K$2="NO", "ALERTA: DESCUENTO DOBLE NO PERMITIDO", "OK"), "OK"))</f>
        <v/>
      </c>
      <c r="AR2288" s="79">
        <f>IF(AN2288="","",IF(OR(AO2288&lt;&gt;"OK", AP2288&lt;&gt;"OK", AQ2288&lt;&gt;"OK"), "⚠️ REVISAR", "OK"))</f>
        <v/>
      </c>
    </row>
    <row r="2289">
      <c r="A2289" s="79">
        <f>IF('Ordenes_Odoo'!A2289="","",'Ordenes_Odoo'!A2289)</f>
        <v/>
      </c>
      <c r="B2289" s="80">
        <f>IF('Ordenes_Odoo'!B2289="","",'Ordenes_Odoo'!B2289)</f>
        <v/>
      </c>
      <c r="C2289" s="79">
        <f>IF('Ordenes_Odoo'!C2289="","",'Ordenes_Odoo'!C2289)</f>
        <v/>
      </c>
      <c r="D2289" s="79">
        <f>IF('Ordenes_Odoo'!D2289="","",'Ordenes_Odoo'!D2289)</f>
        <v/>
      </c>
      <c r="E2289" s="79">
        <f>IF('Ordenes_Odoo'!E2289="","",'Ordenes_Odoo'!E2289)</f>
        <v/>
      </c>
      <c r="F2289" s="79">
        <f>IF('Ordenes_Odoo'!F2289="","",'Ordenes_Odoo'!F2289)</f>
        <v/>
      </c>
      <c r="G2289" s="79">
        <f>IF('Ordenes_Odoo'!G2289="","",'Ordenes_Odoo'!G2289)</f>
        <v/>
      </c>
      <c r="H2289" s="79">
        <f>IF('Ordenes_Odoo'!H2289="","",'Ordenes_Odoo'!H2289)</f>
        <v/>
      </c>
      <c r="I2289" s="79">
        <f>IF('Ordenes_Odoo'!I2289="","",'Ordenes_Odoo'!I2289)</f>
        <v/>
      </c>
      <c r="J2289" s="79">
        <f>IF('Ordenes_Odoo'!J2289="","",'Ordenes_Odoo'!J2289)</f>
        <v/>
      </c>
      <c r="K2289" s="81">
        <f>IF('Ordenes_Odoo'!K2289="","",'Ordenes_Odoo'!K2289)</f>
        <v/>
      </c>
      <c r="L2289" s="81">
        <f>IF('Ordenes_Odoo'!L2289="","",'Ordenes_Odoo'!L2289)</f>
        <v/>
      </c>
      <c r="M2289" s="79">
        <f>IF('Ordenes_Odoo'!M2289="","",'Ordenes_Odoo'!M2289)</f>
        <v/>
      </c>
      <c r="N2289" s="79">
        <f>IF('Ordenes_Odoo'!N2289="","",'Ordenes_Odoo'!N2289)</f>
        <v/>
      </c>
      <c r="O2289" s="81">
        <f>IF('Ordenes_Odoo'!O2289="","",'Ordenes_Odoo'!O2289)</f>
        <v/>
      </c>
      <c r="P2289" s="81">
        <f>IF('Ordenes_Odoo'!P2289="","",'Ordenes_Odoo'!P2289)</f>
        <v/>
      </c>
      <c r="Q2289" s="79">
        <f>IF(A2289="","",IFERROR(INDEX(Facturas_Odoo!$B:$B, MATCH(A2289, Facturas_Odoo!$D:$D, 0)), "Sin Factura"))</f>
        <v/>
      </c>
      <c r="R2289" s="80">
        <f>IF(Q2289="Sin Factura","",IFERROR(INDEX(Facturas_Odoo!$A:$A, MATCH(Q2289, Facturas_Odoo!$B:$B, 0)), ""))</f>
        <v/>
      </c>
      <c r="S2289" s="79">
        <f>IF(Q2289="Sin Factura","",IFERROR(_xlfn.XLOOKUP(1, (Facturas_Odoo!$D:$D=A2289) * (Facturas_Odoo!$K:$K=I2289), Facturas_Odoo!$L:$L, ""), ""))</f>
        <v/>
      </c>
      <c r="T2289" s="81">
        <f>IF(Q2289="Sin Factura",0,IFERROR(_xlfn.XLOOKUP(1, (Facturas_Odoo!$D:$D=A2289) * (Facturas_Odoo!$K:$K=I2289), Facturas_Odoo!$M:$M, 0), 0))</f>
        <v/>
      </c>
      <c r="U2289" s="79">
        <f>IF(Q2289="Sin Factura",0,IFERROR(_xlfn.XLOOKUP(1, (Facturas_Odoo!$D:$D=A2289) * (Facturas_Odoo!$K:$K=I2289), Facturas_Odoo!$N:$N, 0), 0))</f>
        <v/>
      </c>
      <c r="V2289" s="79">
        <f>IF(Q2289="Sin Factura",0,IFERROR(_xlfn.XLOOKUP(1, (Facturas_Odoo!$D:$D=A2289) * (Facturas_Odoo!$K:$K=I2289), Facturas_Odoo!$O:$O, 0), 0))</f>
        <v/>
      </c>
      <c r="W2289" s="81">
        <f>IF(Q2289="Sin Factura",0,IFERROR(_xlfn.XLOOKUP(1, (Facturas_Odoo!$D:$D=A2289) * (Facturas_Odoo!$K:$K=I2289), Facturas_Odoo!$Q:$Q, 0), 0))</f>
        <v/>
      </c>
      <c r="X2289" s="79">
        <f>IF(OR(Q2289="Sin Factura",Q2289=""),"",IFERROR(INDEX(Pagos_Odoo!$B:$B, MATCH(Q2289, Pagos_Odoo!$I:$I, 0)), "Sin Pago"))</f>
        <v/>
      </c>
      <c r="Y2289" s="79">
        <f>IF(X2289="Sin Pago","",IFERROR(INDEX(Pagos_Odoo!$C:$C, MATCH(X2289, Pagos_Odoo!$B:$B, 0)), ""))</f>
        <v/>
      </c>
      <c r="Z2289" s="80">
        <f>IF(X2289="Sin Pago","",IFERROR(INDEX(Pagos_Odoo!$A:$A, MATCH(X2289, Pagos_Odoo!$B:$B, 0)), ""))</f>
        <v/>
      </c>
      <c r="AA2289" s="79">
        <f>IF(X2289="Sin Pago","",IFERROR(INDEX(Pagos_Odoo!$F:$F, MATCH(X2289, Pagos_Odoo!$B:$B, 0)), ""))</f>
        <v/>
      </c>
      <c r="AB2289" s="81">
        <f>IF(X2289="Sin Pago",0,IFERROR(INDEX(Pagos_Odoo!$E:$E, MATCH(X2289, Pagos_Odoo!$B:$B, 0)), 0))</f>
        <v/>
      </c>
      <c r="AC2289" s="79">
        <f>IF(X2289="Sin Pago","",IFERROR(INDEX(Pagos_Odoo!$G:$G, MATCH(X2289, Pagos_Odoo!$B:$B, 0)), ""))</f>
        <v/>
      </c>
      <c r="AD2289" s="82" t="n">
        <v>0</v>
      </c>
      <c r="AE2289" s="82" t="n"/>
      <c r="AF2289" s="82" t="n"/>
      <c r="AG2289" s="82">
        <f>IF(AN2289="","",AD2289+AE2289+AF2289)</f>
        <v/>
      </c>
      <c r="AH2289" s="81">
        <f>IF(AN2289="","",P2289*(1-AG2289))</f>
        <v/>
      </c>
      <c r="AI2289" s="81">
        <f>IF(AN2289="","",IF(Q2289="Sin Factura",0,IFERROR(INDEX(Facturas_Odoo!$H:$H, MATCH(Q2289, Facturas_Odoo!$B:$B, 0)), 0)*(1-AG2289)))</f>
        <v/>
      </c>
      <c r="AJ2289" s="81">
        <f>IF(AN2289="","",_xlfn.LET(idVenta, AN2289&amp;"",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89" s="81">
        <f>IF(AN2289="","",AH2289-AJ2289)</f>
        <v/>
      </c>
      <c r="AL2289" s="81">
        <f>IF(AN2289="","",IF(Q2289="Sin Factura","",AI2289-AJ2289))</f>
        <v/>
      </c>
      <c r="AM2289" s="81">
        <f>IF(AN2289="","",IF(Q2289="Sin Factura",0,P2289-IFERROR(INDEX(Facturas_Odoo!$H:$H, MATCH(Q2289, Facturas_Odoo!$B:$B, 0)), 0)))</f>
        <v/>
      </c>
      <c r="AN2289" s="79">
        <f>IF(AND(A2289="", J2289=""), "", IF(A2289&lt;&gt;"", VALUE(MID(A2289,2,LEN(A2289))), AN2288))</f>
        <v/>
      </c>
      <c r="AO2289" s="79">
        <f>IF(AN2289="","",IF(AD2289=0,"OK",_xlfn.LET(monedaPago, IF(AA2289="","USD",AA2289), limitePermitido, IFERROR(VLOOKUP(monedaPago, Configuración!$A$2:$B$3, 2, FALSE), 0.15), IF(AD2289&gt;limitePermitido, "ALERTA: EXCESO (" &amp; TEXT(limitePermitido, "0%") &amp; " máx)", "OK"))))</f>
        <v/>
      </c>
      <c r="AP2289" s="79">
        <f>IF(AN2289="","",IF(AE2289=0,"OK",_xlfn.LET(fechaPago, Z2289, fechaFactura, R2289, diasCredito, IF(E2289="Pago inmediato", 0, IFERROR(VALUE(MID(E2289, 1, SEARCH(" ", E2289)-1)),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89" s="79">
        <f>IF(AN2289="","",IF(AND(N2289&gt;0, AG2289&gt;0), IF(Configuración!$K$2="NO", "ALERTA: DESCUENTO DOBLE NO PERMITIDO", "OK"), "OK"))</f>
        <v/>
      </c>
      <c r="AR2289" s="79">
        <f>IF(AN2289="","",IF(OR(AO2289&lt;&gt;"OK", AP2289&lt;&gt;"OK", AQ2289&lt;&gt;"OK"), "⚠️ REVISAR", "OK"))</f>
        <v/>
      </c>
    </row>
    <row r="2290">
      <c r="A2290" s="79">
        <f>IF('Ordenes_Odoo'!A2290="","",'Ordenes_Odoo'!A2290)</f>
        <v/>
      </c>
      <c r="B2290" s="80">
        <f>IF('Ordenes_Odoo'!B2290="","",'Ordenes_Odoo'!B2290)</f>
        <v/>
      </c>
      <c r="C2290" s="79">
        <f>IF('Ordenes_Odoo'!C2290="","",'Ordenes_Odoo'!C2290)</f>
        <v/>
      </c>
      <c r="D2290" s="79">
        <f>IF('Ordenes_Odoo'!D2290="","",'Ordenes_Odoo'!D2290)</f>
        <v/>
      </c>
      <c r="E2290" s="79">
        <f>IF('Ordenes_Odoo'!E2290="","",'Ordenes_Odoo'!E2290)</f>
        <v/>
      </c>
      <c r="F2290" s="79">
        <f>IF('Ordenes_Odoo'!F2290="","",'Ordenes_Odoo'!F2290)</f>
        <v/>
      </c>
      <c r="G2290" s="79">
        <f>IF('Ordenes_Odoo'!G2290="","",'Ordenes_Odoo'!G2290)</f>
        <v/>
      </c>
      <c r="H2290" s="79">
        <f>IF('Ordenes_Odoo'!H2290="","",'Ordenes_Odoo'!H2290)</f>
        <v/>
      </c>
      <c r="I2290" s="79">
        <f>IF('Ordenes_Odoo'!I2290="","",'Ordenes_Odoo'!I2290)</f>
        <v/>
      </c>
      <c r="J2290" s="79">
        <f>IF('Ordenes_Odoo'!J2290="","",'Ordenes_Odoo'!J2290)</f>
        <v/>
      </c>
      <c r="K2290" s="81">
        <f>IF('Ordenes_Odoo'!K2290="","",'Ordenes_Odoo'!K2290)</f>
        <v/>
      </c>
      <c r="L2290" s="81">
        <f>IF('Ordenes_Odoo'!L2290="","",'Ordenes_Odoo'!L2290)</f>
        <v/>
      </c>
      <c r="M2290" s="79">
        <f>IF('Ordenes_Odoo'!M2290="","",'Ordenes_Odoo'!M2290)</f>
        <v/>
      </c>
      <c r="N2290" s="79">
        <f>IF('Ordenes_Odoo'!N2290="","",'Ordenes_Odoo'!N2290)</f>
        <v/>
      </c>
      <c r="O2290" s="81">
        <f>IF('Ordenes_Odoo'!O2290="","",'Ordenes_Odoo'!O2290)</f>
        <v/>
      </c>
      <c r="P2290" s="81">
        <f>IF('Ordenes_Odoo'!P2290="","",'Ordenes_Odoo'!P2290)</f>
        <v/>
      </c>
      <c r="Q2290" s="79">
        <f>IF(A2290="","",IFERROR(INDEX(Facturas_Odoo!$B:$B, MATCH(A2290, Facturas_Odoo!$D:$D, 0)), "Sin Factura"))</f>
        <v/>
      </c>
      <c r="R2290" s="80">
        <f>IF(Q2290="Sin Factura","",IFERROR(INDEX(Facturas_Odoo!$A:$A, MATCH(Q2290, Facturas_Odoo!$B:$B, 0)), ""))</f>
        <v/>
      </c>
      <c r="S2290" s="79">
        <f>IF(Q2290="Sin Factura","",IFERROR(_xlfn.XLOOKUP(1, (Facturas_Odoo!$D:$D=A2290) * (Facturas_Odoo!$K:$K=I2290), Facturas_Odoo!$L:$L, ""), ""))</f>
        <v/>
      </c>
      <c r="T2290" s="81">
        <f>IF(Q2290="Sin Factura",0,IFERROR(_xlfn.XLOOKUP(1, (Facturas_Odoo!$D:$D=A2290) * (Facturas_Odoo!$K:$K=I2290), Facturas_Odoo!$M:$M, 0), 0))</f>
        <v/>
      </c>
      <c r="U2290" s="79">
        <f>IF(Q2290="Sin Factura",0,IFERROR(_xlfn.XLOOKUP(1, (Facturas_Odoo!$D:$D=A2290) * (Facturas_Odoo!$K:$K=I2290), Facturas_Odoo!$N:$N, 0), 0))</f>
        <v/>
      </c>
      <c r="V2290" s="79">
        <f>IF(Q2290="Sin Factura",0,IFERROR(_xlfn.XLOOKUP(1, (Facturas_Odoo!$D:$D=A2290) * (Facturas_Odoo!$K:$K=I2290), Facturas_Odoo!$O:$O, 0), 0))</f>
        <v/>
      </c>
      <c r="W2290" s="81">
        <f>IF(Q2290="Sin Factura",0,IFERROR(_xlfn.XLOOKUP(1, (Facturas_Odoo!$D:$D=A2290) * (Facturas_Odoo!$K:$K=I2290), Facturas_Odoo!$Q:$Q, 0), 0))</f>
        <v/>
      </c>
      <c r="X2290" s="79">
        <f>IF(OR(Q2290="Sin Factura",Q2290=""),"",IFERROR(INDEX(Pagos_Odoo!$B:$B, MATCH(Q2290, Pagos_Odoo!$I:$I, 0)), "Sin Pago"))</f>
        <v/>
      </c>
      <c r="Y2290" s="79">
        <f>IF(X2290="Sin Pago","",IFERROR(INDEX(Pagos_Odoo!$C:$C, MATCH(X2290, Pagos_Odoo!$B:$B, 0)), ""))</f>
        <v/>
      </c>
      <c r="Z2290" s="80">
        <f>IF(X2290="Sin Pago","",IFERROR(INDEX(Pagos_Odoo!$A:$A, MATCH(X2290, Pagos_Odoo!$B:$B, 0)), ""))</f>
        <v/>
      </c>
      <c r="AA2290" s="79">
        <f>IF(X2290="Sin Pago","",IFERROR(INDEX(Pagos_Odoo!$F:$F, MATCH(X2290, Pagos_Odoo!$B:$B, 0)), ""))</f>
        <v/>
      </c>
      <c r="AB2290" s="81">
        <f>IF(X2290="Sin Pago",0,IFERROR(INDEX(Pagos_Odoo!$E:$E, MATCH(X2290, Pagos_Odoo!$B:$B, 0)), 0))</f>
        <v/>
      </c>
      <c r="AC2290" s="79">
        <f>IF(X2290="Sin Pago","",IFERROR(INDEX(Pagos_Odoo!$G:$G, MATCH(X2290, Pagos_Odoo!$B:$B, 0)), ""))</f>
        <v/>
      </c>
      <c r="AD2290" s="82" t="n">
        <v>0</v>
      </c>
      <c r="AE2290" s="82" t="n"/>
      <c r="AF2290" s="82" t="n"/>
      <c r="AG2290" s="82">
        <f>IF(AN2290="","",AD2290+AE2290+AF2290)</f>
        <v/>
      </c>
      <c r="AH2290" s="81">
        <f>IF(AN2290="","",P2290*(1-AG2290))</f>
        <v/>
      </c>
      <c r="AI2290" s="81">
        <f>IF(AN2290="","",IF(Q2290="Sin Factura",0,IFERROR(INDEX(Facturas_Odoo!$H:$H, MATCH(Q2290, Facturas_Odoo!$B:$B, 0)), 0)*(1-AG2290)))</f>
        <v/>
      </c>
      <c r="AJ2290" s="81">
        <f>IF(AN2290="","",_xlfn.LET(idVenta, AN2290&amp;"",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90" s="81">
        <f>IF(AN2290="","",AH2290-AJ2290)</f>
        <v/>
      </c>
      <c r="AL2290" s="81">
        <f>IF(AN2290="","",IF(Q2290="Sin Factura","",AI2290-AJ2290))</f>
        <v/>
      </c>
      <c r="AM2290" s="81">
        <f>IF(AN2290="","",IF(Q2290="Sin Factura",0,P2290-IFERROR(INDEX(Facturas_Odoo!$H:$H, MATCH(Q2290, Facturas_Odoo!$B:$B, 0)), 0)))</f>
        <v/>
      </c>
      <c r="AN2290" s="79">
        <f>IF(AND(A2290="", J2290=""), "", IF(A2290&lt;&gt;"", VALUE(MID(A2290,2,LEN(A2290))), AN2289))</f>
        <v/>
      </c>
      <c r="AO2290" s="79">
        <f>IF(AN2290="","",IF(AD2290=0,"OK",_xlfn.LET(monedaPago, IF(AA2290="","USD",AA2290), limitePermitido, IFERROR(VLOOKUP(monedaPago, Configuración!$A$2:$B$3, 2, FALSE), 0.15), IF(AD2290&gt;limitePermitido, "ALERTA: EXCESO (" &amp; TEXT(limitePermitido, "0%") &amp; " máx)", "OK"))))</f>
        <v/>
      </c>
      <c r="AP2290" s="79">
        <f>IF(AN2290="","",IF(AE2290=0,"OK",_xlfn.LET(fechaPago, Z2290, fechaFactura, R2290, diasCredito, IF(E2290="Pago inmediato", 0, IFERROR(VALUE(MID(E2290, 1, SEARCH(" ", E2290)-1)),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90" s="79">
        <f>IF(AN2290="","",IF(AND(N2290&gt;0, AG2290&gt;0), IF(Configuración!$K$2="NO", "ALERTA: DESCUENTO DOBLE NO PERMITIDO", "OK"), "OK"))</f>
        <v/>
      </c>
      <c r="AR2290" s="79">
        <f>IF(AN2290="","",IF(OR(AO2290&lt;&gt;"OK", AP2290&lt;&gt;"OK", AQ2290&lt;&gt;"OK"), "⚠️ REVISAR", "OK"))</f>
        <v/>
      </c>
    </row>
    <row r="2291">
      <c r="A2291" s="79">
        <f>IF('Ordenes_Odoo'!A2291="","",'Ordenes_Odoo'!A2291)</f>
        <v/>
      </c>
      <c r="B2291" s="80">
        <f>IF('Ordenes_Odoo'!B2291="","",'Ordenes_Odoo'!B2291)</f>
        <v/>
      </c>
      <c r="C2291" s="79">
        <f>IF('Ordenes_Odoo'!C2291="","",'Ordenes_Odoo'!C2291)</f>
        <v/>
      </c>
      <c r="D2291" s="79">
        <f>IF('Ordenes_Odoo'!D2291="","",'Ordenes_Odoo'!D2291)</f>
        <v/>
      </c>
      <c r="E2291" s="79">
        <f>IF('Ordenes_Odoo'!E2291="","",'Ordenes_Odoo'!E2291)</f>
        <v/>
      </c>
      <c r="F2291" s="79">
        <f>IF('Ordenes_Odoo'!F2291="","",'Ordenes_Odoo'!F2291)</f>
        <v/>
      </c>
      <c r="G2291" s="79">
        <f>IF('Ordenes_Odoo'!G2291="","",'Ordenes_Odoo'!G2291)</f>
        <v/>
      </c>
      <c r="H2291" s="79">
        <f>IF('Ordenes_Odoo'!H2291="","",'Ordenes_Odoo'!H2291)</f>
        <v/>
      </c>
      <c r="I2291" s="79">
        <f>IF('Ordenes_Odoo'!I2291="","",'Ordenes_Odoo'!I2291)</f>
        <v/>
      </c>
      <c r="J2291" s="79">
        <f>IF('Ordenes_Odoo'!J2291="","",'Ordenes_Odoo'!J2291)</f>
        <v/>
      </c>
      <c r="K2291" s="81">
        <f>IF('Ordenes_Odoo'!K2291="","",'Ordenes_Odoo'!K2291)</f>
        <v/>
      </c>
      <c r="L2291" s="81">
        <f>IF('Ordenes_Odoo'!L2291="","",'Ordenes_Odoo'!L2291)</f>
        <v/>
      </c>
      <c r="M2291" s="79">
        <f>IF('Ordenes_Odoo'!M2291="","",'Ordenes_Odoo'!M2291)</f>
        <v/>
      </c>
      <c r="N2291" s="79">
        <f>IF('Ordenes_Odoo'!N2291="","",'Ordenes_Odoo'!N2291)</f>
        <v/>
      </c>
      <c r="O2291" s="81">
        <f>IF('Ordenes_Odoo'!O2291="","",'Ordenes_Odoo'!O2291)</f>
        <v/>
      </c>
      <c r="P2291" s="81">
        <f>IF('Ordenes_Odoo'!P2291="","",'Ordenes_Odoo'!P2291)</f>
        <v/>
      </c>
      <c r="Q2291" s="79">
        <f>IF(A2291="","",IFERROR(INDEX(Facturas_Odoo!$B:$B, MATCH(A2291, Facturas_Odoo!$D:$D, 0)), "Sin Factura"))</f>
        <v/>
      </c>
      <c r="R2291" s="80">
        <f>IF(Q2291="Sin Factura","",IFERROR(INDEX(Facturas_Odoo!$A:$A, MATCH(Q2291, Facturas_Odoo!$B:$B, 0)), ""))</f>
        <v/>
      </c>
      <c r="S2291" s="79">
        <f>IF(Q2291="Sin Factura","",IFERROR(_xlfn.XLOOKUP(1, (Facturas_Odoo!$D:$D=A2291) * (Facturas_Odoo!$K:$K=I2291), Facturas_Odoo!$L:$L, ""), ""))</f>
        <v/>
      </c>
      <c r="T2291" s="81">
        <f>IF(Q2291="Sin Factura",0,IFERROR(_xlfn.XLOOKUP(1, (Facturas_Odoo!$D:$D=A2291) * (Facturas_Odoo!$K:$K=I2291), Facturas_Odoo!$M:$M, 0), 0))</f>
        <v/>
      </c>
      <c r="U2291" s="79">
        <f>IF(Q2291="Sin Factura",0,IFERROR(_xlfn.XLOOKUP(1, (Facturas_Odoo!$D:$D=A2291) * (Facturas_Odoo!$K:$K=I2291), Facturas_Odoo!$N:$N, 0), 0))</f>
        <v/>
      </c>
      <c r="V2291" s="79">
        <f>IF(Q2291="Sin Factura",0,IFERROR(_xlfn.XLOOKUP(1, (Facturas_Odoo!$D:$D=A2291) * (Facturas_Odoo!$K:$K=I2291), Facturas_Odoo!$O:$O, 0), 0))</f>
        <v/>
      </c>
      <c r="W2291" s="81">
        <f>IF(Q2291="Sin Factura",0,IFERROR(_xlfn.XLOOKUP(1, (Facturas_Odoo!$D:$D=A2291) * (Facturas_Odoo!$K:$K=I2291), Facturas_Odoo!$Q:$Q, 0), 0))</f>
        <v/>
      </c>
      <c r="X2291" s="79">
        <f>IF(OR(Q2291="Sin Factura",Q2291=""),"",IFERROR(INDEX(Pagos_Odoo!$B:$B, MATCH(Q2291, Pagos_Odoo!$I:$I, 0)), "Sin Pago"))</f>
        <v/>
      </c>
      <c r="Y2291" s="79">
        <f>IF(X2291="Sin Pago","",IFERROR(INDEX(Pagos_Odoo!$C:$C, MATCH(X2291, Pagos_Odoo!$B:$B, 0)), ""))</f>
        <v/>
      </c>
      <c r="Z2291" s="80">
        <f>IF(X2291="Sin Pago","",IFERROR(INDEX(Pagos_Odoo!$A:$A, MATCH(X2291, Pagos_Odoo!$B:$B, 0)), ""))</f>
        <v/>
      </c>
      <c r="AA2291" s="79">
        <f>IF(X2291="Sin Pago","",IFERROR(INDEX(Pagos_Odoo!$F:$F, MATCH(X2291, Pagos_Odoo!$B:$B, 0)), ""))</f>
        <v/>
      </c>
      <c r="AB2291" s="81">
        <f>IF(X2291="Sin Pago",0,IFERROR(INDEX(Pagos_Odoo!$E:$E, MATCH(X2291, Pagos_Odoo!$B:$B, 0)), 0))</f>
        <v/>
      </c>
      <c r="AC2291" s="79">
        <f>IF(X2291="Sin Pago","",IFERROR(INDEX(Pagos_Odoo!$G:$G, MATCH(X2291, Pagos_Odoo!$B:$B, 0)), ""))</f>
        <v/>
      </c>
      <c r="AD2291" s="82" t="n">
        <v>0</v>
      </c>
      <c r="AE2291" s="82" t="n"/>
      <c r="AF2291" s="82" t="n"/>
      <c r="AG2291" s="82">
        <f>IF(AN2291="","",AD2291+AE2291+AF2291)</f>
        <v/>
      </c>
      <c r="AH2291" s="81">
        <f>IF(AN2291="","",P2291*(1-AG2291))</f>
        <v/>
      </c>
      <c r="AI2291" s="81">
        <f>IF(AN2291="","",IF(Q2291="Sin Factura",0,IFERROR(INDEX(Facturas_Odoo!$H:$H, MATCH(Q2291, Facturas_Odoo!$B:$B, 0)), 0)*(1-AG2291)))</f>
        <v/>
      </c>
      <c r="AJ2291" s="81">
        <f>IF(AN2291="","",_xlfn.LET(idVenta, AN2291&amp;"",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91" s="81">
        <f>IF(AN2291="","",AH2291-AJ2291)</f>
        <v/>
      </c>
      <c r="AL2291" s="81">
        <f>IF(AN2291="","",IF(Q2291="Sin Factura","",AI2291-AJ2291))</f>
        <v/>
      </c>
      <c r="AM2291" s="81">
        <f>IF(AN2291="","",IF(Q2291="Sin Factura",0,P2291-IFERROR(INDEX(Facturas_Odoo!$H:$H, MATCH(Q2291, Facturas_Odoo!$B:$B, 0)), 0)))</f>
        <v/>
      </c>
      <c r="AN2291" s="79">
        <f>IF(AND(A2291="", J2291=""), "", IF(A2291&lt;&gt;"", VALUE(MID(A2291,2,LEN(A2291))), AN2290))</f>
        <v/>
      </c>
      <c r="AO2291" s="79">
        <f>IF(AN2291="","",IF(AD2291=0,"OK",_xlfn.LET(monedaPago, IF(AA2291="","USD",AA2291), limitePermitido, IFERROR(VLOOKUP(monedaPago, Configuración!$A$2:$B$3, 2, FALSE), 0.15), IF(AD2291&gt;limitePermitido, "ALERTA: EXCESO (" &amp; TEXT(limitePermitido, "0%") &amp; " máx)", "OK"))))</f>
        <v/>
      </c>
      <c r="AP2291" s="79">
        <f>IF(AN2291="","",IF(AE2291=0,"OK",_xlfn.LET(fechaPago, Z2291, fechaFactura, R2291, diasCredito, IF(E2291="Pago inmediato", 0, IFERROR(VALUE(MID(E2291, 1, SEARCH(" ", E2291)-1)),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91" s="79">
        <f>IF(AN2291="","",IF(AND(N2291&gt;0, AG2291&gt;0), IF(Configuración!$K$2="NO", "ALERTA: DESCUENTO DOBLE NO PERMITIDO", "OK"), "OK"))</f>
        <v/>
      </c>
      <c r="AR2291" s="79">
        <f>IF(AN2291="","",IF(OR(AO2291&lt;&gt;"OK", AP2291&lt;&gt;"OK", AQ2291&lt;&gt;"OK"), "⚠️ REVISAR", "OK"))</f>
        <v/>
      </c>
    </row>
    <row r="2292">
      <c r="A2292" s="79">
        <f>IF('Ordenes_Odoo'!A2292="","",'Ordenes_Odoo'!A2292)</f>
        <v/>
      </c>
      <c r="B2292" s="80">
        <f>IF('Ordenes_Odoo'!B2292="","",'Ordenes_Odoo'!B2292)</f>
        <v/>
      </c>
      <c r="C2292" s="79">
        <f>IF('Ordenes_Odoo'!C2292="","",'Ordenes_Odoo'!C2292)</f>
        <v/>
      </c>
      <c r="D2292" s="79">
        <f>IF('Ordenes_Odoo'!D2292="","",'Ordenes_Odoo'!D2292)</f>
        <v/>
      </c>
      <c r="E2292" s="79">
        <f>IF('Ordenes_Odoo'!E2292="","",'Ordenes_Odoo'!E2292)</f>
        <v/>
      </c>
      <c r="F2292" s="79">
        <f>IF('Ordenes_Odoo'!F2292="","",'Ordenes_Odoo'!F2292)</f>
        <v/>
      </c>
      <c r="G2292" s="79">
        <f>IF('Ordenes_Odoo'!G2292="","",'Ordenes_Odoo'!G2292)</f>
        <v/>
      </c>
      <c r="H2292" s="79">
        <f>IF('Ordenes_Odoo'!H2292="","",'Ordenes_Odoo'!H2292)</f>
        <v/>
      </c>
      <c r="I2292" s="79">
        <f>IF('Ordenes_Odoo'!I2292="","",'Ordenes_Odoo'!I2292)</f>
        <v/>
      </c>
      <c r="J2292" s="79">
        <f>IF('Ordenes_Odoo'!J2292="","",'Ordenes_Odoo'!J2292)</f>
        <v/>
      </c>
      <c r="K2292" s="81">
        <f>IF('Ordenes_Odoo'!K2292="","",'Ordenes_Odoo'!K2292)</f>
        <v/>
      </c>
      <c r="L2292" s="81">
        <f>IF('Ordenes_Odoo'!L2292="","",'Ordenes_Odoo'!L2292)</f>
        <v/>
      </c>
      <c r="M2292" s="79">
        <f>IF('Ordenes_Odoo'!M2292="","",'Ordenes_Odoo'!M2292)</f>
        <v/>
      </c>
      <c r="N2292" s="79">
        <f>IF('Ordenes_Odoo'!N2292="","",'Ordenes_Odoo'!N2292)</f>
        <v/>
      </c>
      <c r="O2292" s="81">
        <f>IF('Ordenes_Odoo'!O2292="","",'Ordenes_Odoo'!O2292)</f>
        <v/>
      </c>
      <c r="P2292" s="81">
        <f>IF('Ordenes_Odoo'!P2292="","",'Ordenes_Odoo'!P2292)</f>
        <v/>
      </c>
      <c r="Q2292" s="79">
        <f>IF(A2292="","",IFERROR(INDEX(Facturas_Odoo!$B:$B, MATCH(A2292, Facturas_Odoo!$D:$D, 0)), "Sin Factura"))</f>
        <v/>
      </c>
      <c r="R2292" s="80">
        <f>IF(Q2292="Sin Factura","",IFERROR(INDEX(Facturas_Odoo!$A:$A, MATCH(Q2292, Facturas_Odoo!$B:$B, 0)), ""))</f>
        <v/>
      </c>
      <c r="S2292" s="79">
        <f>IF(Q2292="Sin Factura","",IFERROR(_xlfn.XLOOKUP(1, (Facturas_Odoo!$D:$D=A2292) * (Facturas_Odoo!$K:$K=I2292), Facturas_Odoo!$L:$L, ""), ""))</f>
        <v/>
      </c>
      <c r="T2292" s="81">
        <f>IF(Q2292="Sin Factura",0,IFERROR(_xlfn.XLOOKUP(1, (Facturas_Odoo!$D:$D=A2292) * (Facturas_Odoo!$K:$K=I2292), Facturas_Odoo!$M:$M, 0), 0))</f>
        <v/>
      </c>
      <c r="U2292" s="79">
        <f>IF(Q2292="Sin Factura",0,IFERROR(_xlfn.XLOOKUP(1, (Facturas_Odoo!$D:$D=A2292) * (Facturas_Odoo!$K:$K=I2292), Facturas_Odoo!$N:$N, 0), 0))</f>
        <v/>
      </c>
      <c r="V2292" s="79">
        <f>IF(Q2292="Sin Factura",0,IFERROR(_xlfn.XLOOKUP(1, (Facturas_Odoo!$D:$D=A2292) * (Facturas_Odoo!$K:$K=I2292), Facturas_Odoo!$O:$O, 0), 0))</f>
        <v/>
      </c>
      <c r="W2292" s="81">
        <f>IF(Q2292="Sin Factura",0,IFERROR(_xlfn.XLOOKUP(1, (Facturas_Odoo!$D:$D=A2292) * (Facturas_Odoo!$K:$K=I2292), Facturas_Odoo!$Q:$Q, 0), 0))</f>
        <v/>
      </c>
      <c r="X2292" s="79">
        <f>IF(OR(Q2292="Sin Factura",Q2292=""),"",IFERROR(INDEX(Pagos_Odoo!$B:$B, MATCH(Q2292, Pagos_Odoo!$I:$I, 0)), "Sin Pago"))</f>
        <v/>
      </c>
      <c r="Y2292" s="79">
        <f>IF(X2292="Sin Pago","",IFERROR(INDEX(Pagos_Odoo!$C:$C, MATCH(X2292, Pagos_Odoo!$B:$B, 0)), ""))</f>
        <v/>
      </c>
      <c r="Z2292" s="80">
        <f>IF(X2292="Sin Pago","",IFERROR(INDEX(Pagos_Odoo!$A:$A, MATCH(X2292, Pagos_Odoo!$B:$B, 0)), ""))</f>
        <v/>
      </c>
      <c r="AA2292" s="79">
        <f>IF(X2292="Sin Pago","",IFERROR(INDEX(Pagos_Odoo!$F:$F, MATCH(X2292, Pagos_Odoo!$B:$B, 0)), ""))</f>
        <v/>
      </c>
      <c r="AB2292" s="81">
        <f>IF(X2292="Sin Pago",0,IFERROR(INDEX(Pagos_Odoo!$E:$E, MATCH(X2292, Pagos_Odoo!$B:$B, 0)), 0))</f>
        <v/>
      </c>
      <c r="AC2292" s="79">
        <f>IF(X2292="Sin Pago","",IFERROR(INDEX(Pagos_Odoo!$G:$G, MATCH(X2292, Pagos_Odoo!$B:$B, 0)), ""))</f>
        <v/>
      </c>
      <c r="AD2292" s="82" t="n">
        <v>0</v>
      </c>
      <c r="AE2292" s="82" t="n"/>
      <c r="AF2292" s="82" t="n"/>
      <c r="AG2292" s="82">
        <f>IF(AN2292="","",AD2292+AE2292+AF2292)</f>
        <v/>
      </c>
      <c r="AH2292" s="81">
        <f>IF(AN2292="","",P2292*(1-AG2292))</f>
        <v/>
      </c>
      <c r="AI2292" s="81">
        <f>IF(AN2292="","",IF(Q2292="Sin Factura",0,IFERROR(INDEX(Facturas_Odoo!$H:$H, MATCH(Q2292, Facturas_Odoo!$B:$B, 0)), 0)*(1-AG2292)))</f>
        <v/>
      </c>
      <c r="AJ2292" s="81">
        <f>IF(AN2292="","",_xlfn.LET(idVenta, AN2292&amp;"",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92" s="81">
        <f>IF(AN2292="","",AH2292-AJ2292)</f>
        <v/>
      </c>
      <c r="AL2292" s="81">
        <f>IF(AN2292="","",IF(Q2292="Sin Factura","",AI2292-AJ2292))</f>
        <v/>
      </c>
      <c r="AM2292" s="81">
        <f>IF(AN2292="","",IF(Q2292="Sin Factura",0,P2292-IFERROR(INDEX(Facturas_Odoo!$H:$H, MATCH(Q2292, Facturas_Odoo!$B:$B, 0)), 0)))</f>
        <v/>
      </c>
      <c r="AN2292" s="79">
        <f>IF(AND(A2292="", J2292=""), "", IF(A2292&lt;&gt;"", VALUE(MID(A2292,2,LEN(A2292))), AN2291))</f>
        <v/>
      </c>
      <c r="AO2292" s="79">
        <f>IF(AN2292="","",IF(AD2292=0,"OK",_xlfn.LET(monedaPago, IF(AA2292="","USD",AA2292), limitePermitido, IFERROR(VLOOKUP(monedaPago, Configuración!$A$2:$B$3, 2, FALSE), 0.15), IF(AD2292&gt;limitePermitido, "ALERTA: EXCESO (" &amp; TEXT(limitePermitido, "0%") &amp; " máx)", "OK"))))</f>
        <v/>
      </c>
      <c r="AP2292" s="79">
        <f>IF(AN2292="","",IF(AE2292=0,"OK",_xlfn.LET(fechaPago, Z2292, fechaFactura, R2292, diasCredito, IF(E2292="Pago inmediato", 0, IFERROR(VALUE(MID(E2292, 1, SEARCH(" ", E2292)-1)),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92" s="79">
        <f>IF(AN2292="","",IF(AND(N2292&gt;0, AG2292&gt;0), IF(Configuración!$K$2="NO", "ALERTA: DESCUENTO DOBLE NO PERMITIDO", "OK"), "OK"))</f>
        <v/>
      </c>
      <c r="AR2292" s="79">
        <f>IF(AN2292="","",IF(OR(AO2292&lt;&gt;"OK", AP2292&lt;&gt;"OK", AQ2292&lt;&gt;"OK"), "⚠️ REVISAR", "OK"))</f>
        <v/>
      </c>
    </row>
    <row r="2293">
      <c r="A2293" s="79">
        <f>IF('Ordenes_Odoo'!A2293="","",'Ordenes_Odoo'!A2293)</f>
        <v/>
      </c>
      <c r="B2293" s="80">
        <f>IF('Ordenes_Odoo'!B2293="","",'Ordenes_Odoo'!B2293)</f>
        <v/>
      </c>
      <c r="C2293" s="79">
        <f>IF('Ordenes_Odoo'!C2293="","",'Ordenes_Odoo'!C2293)</f>
        <v/>
      </c>
      <c r="D2293" s="79">
        <f>IF('Ordenes_Odoo'!D2293="","",'Ordenes_Odoo'!D2293)</f>
        <v/>
      </c>
      <c r="E2293" s="79">
        <f>IF('Ordenes_Odoo'!E2293="","",'Ordenes_Odoo'!E2293)</f>
        <v/>
      </c>
      <c r="F2293" s="79">
        <f>IF('Ordenes_Odoo'!F2293="","",'Ordenes_Odoo'!F2293)</f>
        <v/>
      </c>
      <c r="G2293" s="79">
        <f>IF('Ordenes_Odoo'!G2293="","",'Ordenes_Odoo'!G2293)</f>
        <v/>
      </c>
      <c r="H2293" s="79">
        <f>IF('Ordenes_Odoo'!H2293="","",'Ordenes_Odoo'!H2293)</f>
        <v/>
      </c>
      <c r="I2293" s="79">
        <f>IF('Ordenes_Odoo'!I2293="","",'Ordenes_Odoo'!I2293)</f>
        <v/>
      </c>
      <c r="J2293" s="79">
        <f>IF('Ordenes_Odoo'!J2293="","",'Ordenes_Odoo'!J2293)</f>
        <v/>
      </c>
      <c r="K2293" s="81">
        <f>IF('Ordenes_Odoo'!K2293="","",'Ordenes_Odoo'!K2293)</f>
        <v/>
      </c>
      <c r="L2293" s="81">
        <f>IF('Ordenes_Odoo'!L2293="","",'Ordenes_Odoo'!L2293)</f>
        <v/>
      </c>
      <c r="M2293" s="79">
        <f>IF('Ordenes_Odoo'!M2293="","",'Ordenes_Odoo'!M2293)</f>
        <v/>
      </c>
      <c r="N2293" s="79">
        <f>IF('Ordenes_Odoo'!N2293="","",'Ordenes_Odoo'!N2293)</f>
        <v/>
      </c>
      <c r="O2293" s="81">
        <f>IF('Ordenes_Odoo'!O2293="","",'Ordenes_Odoo'!O2293)</f>
        <v/>
      </c>
      <c r="P2293" s="81">
        <f>IF('Ordenes_Odoo'!P2293="","",'Ordenes_Odoo'!P2293)</f>
        <v/>
      </c>
      <c r="Q2293" s="79">
        <f>IF(A2293="","",IFERROR(INDEX(Facturas_Odoo!$B:$B, MATCH(A2293, Facturas_Odoo!$D:$D, 0)), "Sin Factura"))</f>
        <v/>
      </c>
      <c r="R2293" s="80">
        <f>IF(Q2293="Sin Factura","",IFERROR(INDEX(Facturas_Odoo!$A:$A, MATCH(Q2293, Facturas_Odoo!$B:$B, 0)), ""))</f>
        <v/>
      </c>
      <c r="S2293" s="79">
        <f>IF(Q2293="Sin Factura","",IFERROR(_xlfn.XLOOKUP(1, (Facturas_Odoo!$D:$D=A2293) * (Facturas_Odoo!$K:$K=I2293), Facturas_Odoo!$L:$L, ""), ""))</f>
        <v/>
      </c>
      <c r="T2293" s="81">
        <f>IF(Q2293="Sin Factura",0,IFERROR(_xlfn.XLOOKUP(1, (Facturas_Odoo!$D:$D=A2293) * (Facturas_Odoo!$K:$K=I2293), Facturas_Odoo!$M:$M, 0), 0))</f>
        <v/>
      </c>
      <c r="U2293" s="79">
        <f>IF(Q2293="Sin Factura",0,IFERROR(_xlfn.XLOOKUP(1, (Facturas_Odoo!$D:$D=A2293) * (Facturas_Odoo!$K:$K=I2293), Facturas_Odoo!$N:$N, 0), 0))</f>
        <v/>
      </c>
      <c r="V2293" s="79">
        <f>IF(Q2293="Sin Factura",0,IFERROR(_xlfn.XLOOKUP(1, (Facturas_Odoo!$D:$D=A2293) * (Facturas_Odoo!$K:$K=I2293), Facturas_Odoo!$O:$O, 0), 0))</f>
        <v/>
      </c>
      <c r="W2293" s="81">
        <f>IF(Q2293="Sin Factura",0,IFERROR(_xlfn.XLOOKUP(1, (Facturas_Odoo!$D:$D=A2293) * (Facturas_Odoo!$K:$K=I2293), Facturas_Odoo!$Q:$Q, 0), 0))</f>
        <v/>
      </c>
      <c r="X2293" s="79">
        <f>IF(OR(Q2293="Sin Factura",Q2293=""),"",IFERROR(INDEX(Pagos_Odoo!$B:$B, MATCH(Q2293, Pagos_Odoo!$I:$I, 0)), "Sin Pago"))</f>
        <v/>
      </c>
      <c r="Y2293" s="79">
        <f>IF(X2293="Sin Pago","",IFERROR(INDEX(Pagos_Odoo!$C:$C, MATCH(X2293, Pagos_Odoo!$B:$B, 0)), ""))</f>
        <v/>
      </c>
      <c r="Z2293" s="80">
        <f>IF(X2293="Sin Pago","",IFERROR(INDEX(Pagos_Odoo!$A:$A, MATCH(X2293, Pagos_Odoo!$B:$B, 0)), ""))</f>
        <v/>
      </c>
      <c r="AA2293" s="79">
        <f>IF(X2293="Sin Pago","",IFERROR(INDEX(Pagos_Odoo!$F:$F, MATCH(X2293, Pagos_Odoo!$B:$B, 0)), ""))</f>
        <v/>
      </c>
      <c r="AB2293" s="81">
        <f>IF(X2293="Sin Pago",0,IFERROR(INDEX(Pagos_Odoo!$E:$E, MATCH(X2293, Pagos_Odoo!$B:$B, 0)), 0))</f>
        <v/>
      </c>
      <c r="AC2293" s="79">
        <f>IF(X2293="Sin Pago","",IFERROR(INDEX(Pagos_Odoo!$G:$G, MATCH(X2293, Pagos_Odoo!$B:$B, 0)), ""))</f>
        <v/>
      </c>
      <c r="AD2293" s="82" t="n">
        <v>0</v>
      </c>
      <c r="AE2293" s="82" t="n"/>
      <c r="AF2293" s="82" t="n"/>
      <c r="AG2293" s="82">
        <f>IF(AN2293="","",AD2293+AE2293+AF2293)</f>
        <v/>
      </c>
      <c r="AH2293" s="81">
        <f>IF(AN2293="","",P2293*(1-AG2293))</f>
        <v/>
      </c>
      <c r="AI2293" s="81">
        <f>IF(AN2293="","",IF(Q2293="Sin Factura",0,IFERROR(INDEX(Facturas_Odoo!$H:$H, MATCH(Q2293, Facturas_Odoo!$B:$B, 0)), 0)*(1-AG2293)))</f>
        <v/>
      </c>
      <c r="AJ2293" s="81">
        <f>IF(AN2293="","",_xlfn.LET(idVenta, AN2293&amp;"",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93" s="81">
        <f>IF(AN2293="","",AH2293-AJ2293)</f>
        <v/>
      </c>
      <c r="AL2293" s="81">
        <f>IF(AN2293="","",IF(Q2293="Sin Factura","",AI2293-AJ2293))</f>
        <v/>
      </c>
      <c r="AM2293" s="81">
        <f>IF(AN2293="","",IF(Q2293="Sin Factura",0,P2293-IFERROR(INDEX(Facturas_Odoo!$H:$H, MATCH(Q2293, Facturas_Odoo!$B:$B, 0)), 0)))</f>
        <v/>
      </c>
      <c r="AN2293" s="79">
        <f>IF(AND(A2293="", J2293=""), "", IF(A2293&lt;&gt;"", VALUE(MID(A2293,2,LEN(A2293))), AN2292))</f>
        <v/>
      </c>
      <c r="AO2293" s="79">
        <f>IF(AN2293="","",IF(AD2293=0,"OK",_xlfn.LET(monedaPago, IF(AA2293="","USD",AA2293), limitePermitido, IFERROR(VLOOKUP(monedaPago, Configuración!$A$2:$B$3, 2, FALSE), 0.15), IF(AD2293&gt;limitePermitido, "ALERTA: EXCESO (" &amp; TEXT(limitePermitido, "0%") &amp; " máx)", "OK"))))</f>
        <v/>
      </c>
      <c r="AP2293" s="79">
        <f>IF(AN2293="","",IF(AE2293=0,"OK",_xlfn.LET(fechaPago, Z2293, fechaFactura, R2293, diasCredito, IF(E2293="Pago inmediato", 0, IFERROR(VALUE(MID(E2293, 1, SEARCH(" ", E2293)-1)),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93" s="79">
        <f>IF(AN2293="","",IF(AND(N2293&gt;0, AG2293&gt;0), IF(Configuración!$K$2="NO", "ALERTA: DESCUENTO DOBLE NO PERMITIDO", "OK"), "OK"))</f>
        <v/>
      </c>
      <c r="AR2293" s="79">
        <f>IF(AN2293="","",IF(OR(AO2293&lt;&gt;"OK", AP2293&lt;&gt;"OK", AQ2293&lt;&gt;"OK"), "⚠️ REVISAR", "OK"))</f>
        <v/>
      </c>
    </row>
    <row r="2294">
      <c r="A2294" s="79">
        <f>IF('Ordenes_Odoo'!A2294="","",'Ordenes_Odoo'!A2294)</f>
        <v/>
      </c>
      <c r="B2294" s="80">
        <f>IF('Ordenes_Odoo'!B2294="","",'Ordenes_Odoo'!B2294)</f>
        <v/>
      </c>
      <c r="C2294" s="79">
        <f>IF('Ordenes_Odoo'!C2294="","",'Ordenes_Odoo'!C2294)</f>
        <v/>
      </c>
      <c r="D2294" s="79">
        <f>IF('Ordenes_Odoo'!D2294="","",'Ordenes_Odoo'!D2294)</f>
        <v/>
      </c>
      <c r="E2294" s="79">
        <f>IF('Ordenes_Odoo'!E2294="","",'Ordenes_Odoo'!E2294)</f>
        <v/>
      </c>
      <c r="F2294" s="79">
        <f>IF('Ordenes_Odoo'!F2294="","",'Ordenes_Odoo'!F2294)</f>
        <v/>
      </c>
      <c r="G2294" s="79">
        <f>IF('Ordenes_Odoo'!G2294="","",'Ordenes_Odoo'!G2294)</f>
        <v/>
      </c>
      <c r="H2294" s="79">
        <f>IF('Ordenes_Odoo'!H2294="","",'Ordenes_Odoo'!H2294)</f>
        <v/>
      </c>
      <c r="I2294" s="79">
        <f>IF('Ordenes_Odoo'!I2294="","",'Ordenes_Odoo'!I2294)</f>
        <v/>
      </c>
      <c r="J2294" s="79">
        <f>IF('Ordenes_Odoo'!J2294="","",'Ordenes_Odoo'!J2294)</f>
        <v/>
      </c>
      <c r="K2294" s="81">
        <f>IF('Ordenes_Odoo'!K2294="","",'Ordenes_Odoo'!K2294)</f>
        <v/>
      </c>
      <c r="L2294" s="81">
        <f>IF('Ordenes_Odoo'!L2294="","",'Ordenes_Odoo'!L2294)</f>
        <v/>
      </c>
      <c r="M2294" s="79">
        <f>IF('Ordenes_Odoo'!M2294="","",'Ordenes_Odoo'!M2294)</f>
        <v/>
      </c>
      <c r="N2294" s="79">
        <f>IF('Ordenes_Odoo'!N2294="","",'Ordenes_Odoo'!N2294)</f>
        <v/>
      </c>
      <c r="O2294" s="81">
        <f>IF('Ordenes_Odoo'!O2294="","",'Ordenes_Odoo'!O2294)</f>
        <v/>
      </c>
      <c r="P2294" s="81">
        <f>IF('Ordenes_Odoo'!P2294="","",'Ordenes_Odoo'!P2294)</f>
        <v/>
      </c>
      <c r="Q2294" s="79">
        <f>IF(A2294="","",IFERROR(INDEX(Facturas_Odoo!$B:$B, MATCH(A2294, Facturas_Odoo!$D:$D, 0)), "Sin Factura"))</f>
        <v/>
      </c>
      <c r="R2294" s="80">
        <f>IF(Q2294="Sin Factura","",IFERROR(INDEX(Facturas_Odoo!$A:$A, MATCH(Q2294, Facturas_Odoo!$B:$B, 0)), ""))</f>
        <v/>
      </c>
      <c r="S2294" s="79">
        <f>IF(Q2294="Sin Factura","",IFERROR(_xlfn.XLOOKUP(1, (Facturas_Odoo!$D:$D=A2294) * (Facturas_Odoo!$K:$K=I2294), Facturas_Odoo!$L:$L, ""), ""))</f>
        <v/>
      </c>
      <c r="T2294" s="81">
        <f>IF(Q2294="Sin Factura",0,IFERROR(_xlfn.XLOOKUP(1, (Facturas_Odoo!$D:$D=A2294) * (Facturas_Odoo!$K:$K=I2294), Facturas_Odoo!$M:$M, 0), 0))</f>
        <v/>
      </c>
      <c r="U2294" s="79">
        <f>IF(Q2294="Sin Factura",0,IFERROR(_xlfn.XLOOKUP(1, (Facturas_Odoo!$D:$D=A2294) * (Facturas_Odoo!$K:$K=I2294), Facturas_Odoo!$N:$N, 0), 0))</f>
        <v/>
      </c>
      <c r="V2294" s="79">
        <f>IF(Q2294="Sin Factura",0,IFERROR(_xlfn.XLOOKUP(1, (Facturas_Odoo!$D:$D=A2294) * (Facturas_Odoo!$K:$K=I2294), Facturas_Odoo!$O:$O, 0), 0))</f>
        <v/>
      </c>
      <c r="W2294" s="81">
        <f>IF(Q2294="Sin Factura",0,IFERROR(_xlfn.XLOOKUP(1, (Facturas_Odoo!$D:$D=A2294) * (Facturas_Odoo!$K:$K=I2294), Facturas_Odoo!$Q:$Q, 0), 0))</f>
        <v/>
      </c>
      <c r="X2294" s="79">
        <f>IF(OR(Q2294="Sin Factura",Q2294=""),"",IFERROR(INDEX(Pagos_Odoo!$B:$B, MATCH(Q2294, Pagos_Odoo!$I:$I, 0)), "Sin Pago"))</f>
        <v/>
      </c>
      <c r="Y2294" s="79">
        <f>IF(X2294="Sin Pago","",IFERROR(INDEX(Pagos_Odoo!$C:$C, MATCH(X2294, Pagos_Odoo!$B:$B, 0)), ""))</f>
        <v/>
      </c>
      <c r="Z2294" s="80">
        <f>IF(X2294="Sin Pago","",IFERROR(INDEX(Pagos_Odoo!$A:$A, MATCH(X2294, Pagos_Odoo!$B:$B, 0)), ""))</f>
        <v/>
      </c>
      <c r="AA2294" s="79">
        <f>IF(X2294="Sin Pago","",IFERROR(INDEX(Pagos_Odoo!$F:$F, MATCH(X2294, Pagos_Odoo!$B:$B, 0)), ""))</f>
        <v/>
      </c>
      <c r="AB2294" s="81">
        <f>IF(X2294="Sin Pago",0,IFERROR(INDEX(Pagos_Odoo!$E:$E, MATCH(X2294, Pagos_Odoo!$B:$B, 0)), 0))</f>
        <v/>
      </c>
      <c r="AC2294" s="79">
        <f>IF(X2294="Sin Pago","",IFERROR(INDEX(Pagos_Odoo!$G:$G, MATCH(X2294, Pagos_Odoo!$B:$B, 0)), ""))</f>
        <v/>
      </c>
      <c r="AD2294" s="82" t="n">
        <v>0</v>
      </c>
      <c r="AE2294" s="82" t="n"/>
      <c r="AF2294" s="82" t="n"/>
      <c r="AG2294" s="82">
        <f>IF(AN2294="","",AD2294+AE2294+AF2294)</f>
        <v/>
      </c>
      <c r="AH2294" s="81">
        <f>IF(AN2294="","",P2294*(1-AG2294))</f>
        <v/>
      </c>
      <c r="AI2294" s="81">
        <f>IF(AN2294="","",IF(Q2294="Sin Factura",0,IFERROR(INDEX(Facturas_Odoo!$H:$H, MATCH(Q2294, Facturas_Odoo!$B:$B, 0)), 0)*(1-AG2294)))</f>
        <v/>
      </c>
      <c r="AJ2294" s="81">
        <f>IF(AN2294="","",_xlfn.LET(idVenta, AN2294&amp;"",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94" s="81">
        <f>IF(AN2294="","",AH2294-AJ2294)</f>
        <v/>
      </c>
      <c r="AL2294" s="81">
        <f>IF(AN2294="","",IF(Q2294="Sin Factura","",AI2294-AJ2294))</f>
        <v/>
      </c>
      <c r="AM2294" s="81">
        <f>IF(AN2294="","",IF(Q2294="Sin Factura",0,P2294-IFERROR(INDEX(Facturas_Odoo!$H:$H, MATCH(Q2294, Facturas_Odoo!$B:$B, 0)), 0)))</f>
        <v/>
      </c>
      <c r="AN2294" s="79">
        <f>IF(AND(A2294="", J2294=""), "", IF(A2294&lt;&gt;"", VALUE(MID(A2294,2,LEN(A2294))), AN2293))</f>
        <v/>
      </c>
      <c r="AO2294" s="79">
        <f>IF(AN2294="","",IF(AD2294=0,"OK",_xlfn.LET(monedaPago, IF(AA2294="","USD",AA2294), limitePermitido, IFERROR(VLOOKUP(monedaPago, Configuración!$A$2:$B$3, 2, FALSE), 0.15), IF(AD2294&gt;limitePermitido, "ALERTA: EXCESO (" &amp; TEXT(limitePermitido, "0%") &amp; " máx)", "OK"))))</f>
        <v/>
      </c>
      <c r="AP2294" s="79">
        <f>IF(AN2294="","",IF(AE2294=0,"OK",_xlfn.LET(fechaPago, Z2294, fechaFactura, R2294, diasCredito, IF(E2294="Pago inmediato", 0, IFERROR(VALUE(MID(E2294, 1, SEARCH(" ", E2294)-1)),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94" s="79">
        <f>IF(AN2294="","",IF(AND(N2294&gt;0, AG2294&gt;0), IF(Configuración!$K$2="NO", "ALERTA: DESCUENTO DOBLE NO PERMITIDO", "OK"), "OK"))</f>
        <v/>
      </c>
      <c r="AR2294" s="79">
        <f>IF(AN2294="","",IF(OR(AO2294&lt;&gt;"OK", AP2294&lt;&gt;"OK", AQ2294&lt;&gt;"OK"), "⚠️ REVISAR", "OK"))</f>
        <v/>
      </c>
    </row>
    <row r="2295">
      <c r="A2295" s="79">
        <f>IF('Ordenes_Odoo'!A2295="","",'Ordenes_Odoo'!A2295)</f>
        <v/>
      </c>
      <c r="B2295" s="80">
        <f>IF('Ordenes_Odoo'!B2295="","",'Ordenes_Odoo'!B2295)</f>
        <v/>
      </c>
      <c r="C2295" s="79">
        <f>IF('Ordenes_Odoo'!C2295="","",'Ordenes_Odoo'!C2295)</f>
        <v/>
      </c>
      <c r="D2295" s="79">
        <f>IF('Ordenes_Odoo'!D2295="","",'Ordenes_Odoo'!D2295)</f>
        <v/>
      </c>
      <c r="E2295" s="79">
        <f>IF('Ordenes_Odoo'!E2295="","",'Ordenes_Odoo'!E2295)</f>
        <v/>
      </c>
      <c r="F2295" s="79">
        <f>IF('Ordenes_Odoo'!F2295="","",'Ordenes_Odoo'!F2295)</f>
        <v/>
      </c>
      <c r="G2295" s="79">
        <f>IF('Ordenes_Odoo'!G2295="","",'Ordenes_Odoo'!G2295)</f>
        <v/>
      </c>
      <c r="H2295" s="79">
        <f>IF('Ordenes_Odoo'!H2295="","",'Ordenes_Odoo'!H2295)</f>
        <v/>
      </c>
      <c r="I2295" s="79">
        <f>IF('Ordenes_Odoo'!I2295="","",'Ordenes_Odoo'!I2295)</f>
        <v/>
      </c>
      <c r="J2295" s="79">
        <f>IF('Ordenes_Odoo'!J2295="","",'Ordenes_Odoo'!J2295)</f>
        <v/>
      </c>
      <c r="K2295" s="81">
        <f>IF('Ordenes_Odoo'!K2295="","",'Ordenes_Odoo'!K2295)</f>
        <v/>
      </c>
      <c r="L2295" s="81">
        <f>IF('Ordenes_Odoo'!L2295="","",'Ordenes_Odoo'!L2295)</f>
        <v/>
      </c>
      <c r="M2295" s="79">
        <f>IF('Ordenes_Odoo'!M2295="","",'Ordenes_Odoo'!M2295)</f>
        <v/>
      </c>
      <c r="N2295" s="79">
        <f>IF('Ordenes_Odoo'!N2295="","",'Ordenes_Odoo'!N2295)</f>
        <v/>
      </c>
      <c r="O2295" s="81">
        <f>IF('Ordenes_Odoo'!O2295="","",'Ordenes_Odoo'!O2295)</f>
        <v/>
      </c>
      <c r="P2295" s="81">
        <f>IF('Ordenes_Odoo'!P2295="","",'Ordenes_Odoo'!P2295)</f>
        <v/>
      </c>
      <c r="Q2295" s="79">
        <f>IF(A2295="","",IFERROR(INDEX(Facturas_Odoo!$B:$B, MATCH(A2295, Facturas_Odoo!$D:$D, 0)), "Sin Factura"))</f>
        <v/>
      </c>
      <c r="R2295" s="80">
        <f>IF(Q2295="Sin Factura","",IFERROR(INDEX(Facturas_Odoo!$A:$A, MATCH(Q2295, Facturas_Odoo!$B:$B, 0)), ""))</f>
        <v/>
      </c>
      <c r="S2295" s="79">
        <f>IF(Q2295="Sin Factura","",IFERROR(_xlfn.XLOOKUP(1, (Facturas_Odoo!$D:$D=A2295) * (Facturas_Odoo!$K:$K=I2295), Facturas_Odoo!$L:$L, ""), ""))</f>
        <v/>
      </c>
      <c r="T2295" s="81">
        <f>IF(Q2295="Sin Factura",0,IFERROR(_xlfn.XLOOKUP(1, (Facturas_Odoo!$D:$D=A2295) * (Facturas_Odoo!$K:$K=I2295), Facturas_Odoo!$M:$M, 0), 0))</f>
        <v/>
      </c>
      <c r="U2295" s="79">
        <f>IF(Q2295="Sin Factura",0,IFERROR(_xlfn.XLOOKUP(1, (Facturas_Odoo!$D:$D=A2295) * (Facturas_Odoo!$K:$K=I2295), Facturas_Odoo!$N:$N, 0), 0))</f>
        <v/>
      </c>
      <c r="V2295" s="79">
        <f>IF(Q2295="Sin Factura",0,IFERROR(_xlfn.XLOOKUP(1, (Facturas_Odoo!$D:$D=A2295) * (Facturas_Odoo!$K:$K=I2295), Facturas_Odoo!$O:$O, 0), 0))</f>
        <v/>
      </c>
      <c r="W2295" s="81">
        <f>IF(Q2295="Sin Factura",0,IFERROR(_xlfn.XLOOKUP(1, (Facturas_Odoo!$D:$D=A2295) * (Facturas_Odoo!$K:$K=I2295), Facturas_Odoo!$Q:$Q, 0), 0))</f>
        <v/>
      </c>
      <c r="X2295" s="79">
        <f>IF(OR(Q2295="Sin Factura",Q2295=""),"",IFERROR(INDEX(Pagos_Odoo!$B:$B, MATCH(Q2295, Pagos_Odoo!$I:$I, 0)), "Sin Pago"))</f>
        <v/>
      </c>
      <c r="Y2295" s="79">
        <f>IF(X2295="Sin Pago","",IFERROR(INDEX(Pagos_Odoo!$C:$C, MATCH(X2295, Pagos_Odoo!$B:$B, 0)), ""))</f>
        <v/>
      </c>
      <c r="Z2295" s="80">
        <f>IF(X2295="Sin Pago","",IFERROR(INDEX(Pagos_Odoo!$A:$A, MATCH(X2295, Pagos_Odoo!$B:$B, 0)), ""))</f>
        <v/>
      </c>
      <c r="AA2295" s="79">
        <f>IF(X2295="Sin Pago","",IFERROR(INDEX(Pagos_Odoo!$F:$F, MATCH(X2295, Pagos_Odoo!$B:$B, 0)), ""))</f>
        <v/>
      </c>
      <c r="AB2295" s="81">
        <f>IF(X2295="Sin Pago",0,IFERROR(INDEX(Pagos_Odoo!$E:$E, MATCH(X2295, Pagos_Odoo!$B:$B, 0)), 0))</f>
        <v/>
      </c>
      <c r="AC2295" s="79">
        <f>IF(X2295="Sin Pago","",IFERROR(INDEX(Pagos_Odoo!$G:$G, MATCH(X2295, Pagos_Odoo!$B:$B, 0)), ""))</f>
        <v/>
      </c>
      <c r="AD2295" s="82" t="n">
        <v>0</v>
      </c>
      <c r="AE2295" s="82" t="n"/>
      <c r="AF2295" s="82" t="n"/>
      <c r="AG2295" s="82">
        <f>IF(AN2295="","",AD2295+AE2295+AF2295)</f>
        <v/>
      </c>
      <c r="AH2295" s="81">
        <f>IF(AN2295="","",P2295*(1-AG2295))</f>
        <v/>
      </c>
      <c r="AI2295" s="81">
        <f>IF(AN2295="","",IF(Q2295="Sin Factura",0,IFERROR(INDEX(Facturas_Odoo!$H:$H, MATCH(Q2295, Facturas_Odoo!$B:$B, 0)), 0)*(1-AG2295)))</f>
        <v/>
      </c>
      <c r="AJ2295" s="81">
        <f>IF(AN2295="","",_xlfn.LET(idVenta, AN2295&amp;"",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95" s="81">
        <f>IF(AN2295="","",AH2295-AJ2295)</f>
        <v/>
      </c>
      <c r="AL2295" s="81">
        <f>IF(AN2295="","",IF(Q2295="Sin Factura","",AI2295-AJ2295))</f>
        <v/>
      </c>
      <c r="AM2295" s="81">
        <f>IF(AN2295="","",IF(Q2295="Sin Factura",0,P2295-IFERROR(INDEX(Facturas_Odoo!$H:$H, MATCH(Q2295, Facturas_Odoo!$B:$B, 0)), 0)))</f>
        <v/>
      </c>
      <c r="AN2295" s="79">
        <f>IF(AND(A2295="", J2295=""), "", IF(A2295&lt;&gt;"", VALUE(MID(A2295,2,LEN(A2295))), AN2294))</f>
        <v/>
      </c>
      <c r="AO2295" s="79">
        <f>IF(AN2295="","",IF(AD2295=0,"OK",_xlfn.LET(monedaPago, IF(AA2295="","USD",AA2295), limitePermitido, IFERROR(VLOOKUP(monedaPago, Configuración!$A$2:$B$3, 2, FALSE), 0.15), IF(AD2295&gt;limitePermitido, "ALERTA: EXCESO (" &amp; TEXT(limitePermitido, "0%") &amp; " máx)", "OK"))))</f>
        <v/>
      </c>
      <c r="AP2295" s="79">
        <f>IF(AN2295="","",IF(AE2295=0,"OK",_xlfn.LET(fechaPago, Z2295, fechaFactura, R2295, diasCredito, IF(E2295="Pago inmediato", 0, IFERROR(VALUE(MID(E2295, 1, SEARCH(" ", E2295)-1)),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95" s="79">
        <f>IF(AN2295="","",IF(AND(N2295&gt;0, AG2295&gt;0), IF(Configuración!$K$2="NO", "ALERTA: DESCUENTO DOBLE NO PERMITIDO", "OK"), "OK"))</f>
        <v/>
      </c>
      <c r="AR2295" s="79">
        <f>IF(AN2295="","",IF(OR(AO2295&lt;&gt;"OK", AP2295&lt;&gt;"OK", AQ2295&lt;&gt;"OK"), "⚠️ REVISAR", "OK"))</f>
        <v/>
      </c>
    </row>
    <row r="2296">
      <c r="A2296" s="79">
        <f>IF('Ordenes_Odoo'!A2296="","",'Ordenes_Odoo'!A2296)</f>
        <v/>
      </c>
      <c r="B2296" s="80">
        <f>IF('Ordenes_Odoo'!B2296="","",'Ordenes_Odoo'!B2296)</f>
        <v/>
      </c>
      <c r="C2296" s="79">
        <f>IF('Ordenes_Odoo'!C2296="","",'Ordenes_Odoo'!C2296)</f>
        <v/>
      </c>
      <c r="D2296" s="79">
        <f>IF('Ordenes_Odoo'!D2296="","",'Ordenes_Odoo'!D2296)</f>
        <v/>
      </c>
      <c r="E2296" s="79">
        <f>IF('Ordenes_Odoo'!E2296="","",'Ordenes_Odoo'!E2296)</f>
        <v/>
      </c>
      <c r="F2296" s="79">
        <f>IF('Ordenes_Odoo'!F2296="","",'Ordenes_Odoo'!F2296)</f>
        <v/>
      </c>
      <c r="G2296" s="79">
        <f>IF('Ordenes_Odoo'!G2296="","",'Ordenes_Odoo'!G2296)</f>
        <v/>
      </c>
      <c r="H2296" s="79">
        <f>IF('Ordenes_Odoo'!H2296="","",'Ordenes_Odoo'!H2296)</f>
        <v/>
      </c>
      <c r="I2296" s="79">
        <f>IF('Ordenes_Odoo'!I2296="","",'Ordenes_Odoo'!I2296)</f>
        <v/>
      </c>
      <c r="J2296" s="79">
        <f>IF('Ordenes_Odoo'!J2296="","",'Ordenes_Odoo'!J2296)</f>
        <v/>
      </c>
      <c r="K2296" s="81">
        <f>IF('Ordenes_Odoo'!K2296="","",'Ordenes_Odoo'!K2296)</f>
        <v/>
      </c>
      <c r="L2296" s="81">
        <f>IF('Ordenes_Odoo'!L2296="","",'Ordenes_Odoo'!L2296)</f>
        <v/>
      </c>
      <c r="M2296" s="79">
        <f>IF('Ordenes_Odoo'!M2296="","",'Ordenes_Odoo'!M2296)</f>
        <v/>
      </c>
      <c r="N2296" s="79">
        <f>IF('Ordenes_Odoo'!N2296="","",'Ordenes_Odoo'!N2296)</f>
        <v/>
      </c>
      <c r="O2296" s="81">
        <f>IF('Ordenes_Odoo'!O2296="","",'Ordenes_Odoo'!O2296)</f>
        <v/>
      </c>
      <c r="P2296" s="81">
        <f>IF('Ordenes_Odoo'!P2296="","",'Ordenes_Odoo'!P2296)</f>
        <v/>
      </c>
      <c r="Q2296" s="79">
        <f>IF(A2296="","",IFERROR(INDEX(Facturas_Odoo!$B:$B, MATCH(A2296, Facturas_Odoo!$D:$D, 0)), "Sin Factura"))</f>
        <v/>
      </c>
      <c r="R2296" s="80">
        <f>IF(Q2296="Sin Factura","",IFERROR(INDEX(Facturas_Odoo!$A:$A, MATCH(Q2296, Facturas_Odoo!$B:$B, 0)), ""))</f>
        <v/>
      </c>
      <c r="S2296" s="79">
        <f>IF(Q2296="Sin Factura","",IFERROR(_xlfn.XLOOKUP(1, (Facturas_Odoo!$D:$D=A2296) * (Facturas_Odoo!$K:$K=I2296), Facturas_Odoo!$L:$L, ""), ""))</f>
        <v/>
      </c>
      <c r="T2296" s="81">
        <f>IF(Q2296="Sin Factura",0,IFERROR(_xlfn.XLOOKUP(1, (Facturas_Odoo!$D:$D=A2296) * (Facturas_Odoo!$K:$K=I2296), Facturas_Odoo!$M:$M, 0), 0))</f>
        <v/>
      </c>
      <c r="U2296" s="79">
        <f>IF(Q2296="Sin Factura",0,IFERROR(_xlfn.XLOOKUP(1, (Facturas_Odoo!$D:$D=A2296) * (Facturas_Odoo!$K:$K=I2296), Facturas_Odoo!$N:$N, 0), 0))</f>
        <v/>
      </c>
      <c r="V2296" s="79">
        <f>IF(Q2296="Sin Factura",0,IFERROR(_xlfn.XLOOKUP(1, (Facturas_Odoo!$D:$D=A2296) * (Facturas_Odoo!$K:$K=I2296), Facturas_Odoo!$O:$O, 0), 0))</f>
        <v/>
      </c>
      <c r="W2296" s="81">
        <f>IF(Q2296="Sin Factura",0,IFERROR(_xlfn.XLOOKUP(1, (Facturas_Odoo!$D:$D=A2296) * (Facturas_Odoo!$K:$K=I2296), Facturas_Odoo!$Q:$Q, 0), 0))</f>
        <v/>
      </c>
      <c r="X2296" s="79">
        <f>IF(OR(Q2296="Sin Factura",Q2296=""),"",IFERROR(INDEX(Pagos_Odoo!$B:$B, MATCH(Q2296, Pagos_Odoo!$I:$I, 0)), "Sin Pago"))</f>
        <v/>
      </c>
      <c r="Y2296" s="79">
        <f>IF(X2296="Sin Pago","",IFERROR(INDEX(Pagos_Odoo!$C:$C, MATCH(X2296, Pagos_Odoo!$B:$B, 0)), ""))</f>
        <v/>
      </c>
      <c r="Z2296" s="80">
        <f>IF(X2296="Sin Pago","",IFERROR(INDEX(Pagos_Odoo!$A:$A, MATCH(X2296, Pagos_Odoo!$B:$B, 0)), ""))</f>
        <v/>
      </c>
      <c r="AA2296" s="79">
        <f>IF(X2296="Sin Pago","",IFERROR(INDEX(Pagos_Odoo!$F:$F, MATCH(X2296, Pagos_Odoo!$B:$B, 0)), ""))</f>
        <v/>
      </c>
      <c r="AB2296" s="81">
        <f>IF(X2296="Sin Pago",0,IFERROR(INDEX(Pagos_Odoo!$E:$E, MATCH(X2296, Pagos_Odoo!$B:$B, 0)), 0))</f>
        <v/>
      </c>
      <c r="AC2296" s="79">
        <f>IF(X2296="Sin Pago","",IFERROR(INDEX(Pagos_Odoo!$G:$G, MATCH(X2296, Pagos_Odoo!$B:$B, 0)), ""))</f>
        <v/>
      </c>
      <c r="AD2296" s="82" t="n">
        <v>0</v>
      </c>
      <c r="AE2296" s="82" t="n"/>
      <c r="AF2296" s="82" t="n"/>
      <c r="AG2296" s="82">
        <f>IF(AN2296="","",AD2296+AE2296+AF2296)</f>
        <v/>
      </c>
      <c r="AH2296" s="81">
        <f>IF(AN2296="","",P2296*(1-AG2296))</f>
        <v/>
      </c>
      <c r="AI2296" s="81">
        <f>IF(AN2296="","",IF(Q2296="Sin Factura",0,IFERROR(INDEX(Facturas_Odoo!$H:$H, MATCH(Q2296, Facturas_Odoo!$B:$B, 0)), 0)*(1-AG2296)))</f>
        <v/>
      </c>
      <c r="AJ2296" s="81">
        <f>IF(AN2296="","",_xlfn.LET(idVenta, AN2296&amp;"",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96" s="81">
        <f>IF(AN2296="","",AH2296-AJ2296)</f>
        <v/>
      </c>
      <c r="AL2296" s="81">
        <f>IF(AN2296="","",IF(Q2296="Sin Factura","",AI2296-AJ2296))</f>
        <v/>
      </c>
      <c r="AM2296" s="81">
        <f>IF(AN2296="","",IF(Q2296="Sin Factura",0,P2296-IFERROR(INDEX(Facturas_Odoo!$H:$H, MATCH(Q2296, Facturas_Odoo!$B:$B, 0)), 0)))</f>
        <v/>
      </c>
      <c r="AN2296" s="79">
        <f>IF(AND(A2296="", J2296=""), "", IF(A2296&lt;&gt;"", VALUE(MID(A2296,2,LEN(A2296))), AN2295))</f>
        <v/>
      </c>
      <c r="AO2296" s="79">
        <f>IF(AN2296="","",IF(AD2296=0,"OK",_xlfn.LET(monedaPago, IF(AA2296="","USD",AA2296), limitePermitido, IFERROR(VLOOKUP(monedaPago, Configuración!$A$2:$B$3, 2, FALSE), 0.15), IF(AD2296&gt;limitePermitido, "ALERTA: EXCESO (" &amp; TEXT(limitePermitido, "0%") &amp; " máx)", "OK"))))</f>
        <v/>
      </c>
      <c r="AP2296" s="79">
        <f>IF(AN2296="","",IF(AE2296=0,"OK",_xlfn.LET(fechaPago, Z2296, fechaFactura, R2296, diasCredito, IF(E2296="Pago inmediato", 0, IFERROR(VALUE(MID(E2296, 1, SEARCH(" ", E2296)-1)),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96" s="79">
        <f>IF(AN2296="","",IF(AND(N2296&gt;0, AG2296&gt;0), IF(Configuración!$K$2="NO", "ALERTA: DESCUENTO DOBLE NO PERMITIDO", "OK"), "OK"))</f>
        <v/>
      </c>
      <c r="AR2296" s="79">
        <f>IF(AN2296="","",IF(OR(AO2296&lt;&gt;"OK", AP2296&lt;&gt;"OK", AQ2296&lt;&gt;"OK"), "⚠️ REVISAR", "OK"))</f>
        <v/>
      </c>
    </row>
    <row r="2297">
      <c r="A2297" s="79">
        <f>IF('Ordenes_Odoo'!A2297="","",'Ordenes_Odoo'!A2297)</f>
        <v/>
      </c>
      <c r="B2297" s="80">
        <f>IF('Ordenes_Odoo'!B2297="","",'Ordenes_Odoo'!B2297)</f>
        <v/>
      </c>
      <c r="C2297" s="79">
        <f>IF('Ordenes_Odoo'!C2297="","",'Ordenes_Odoo'!C2297)</f>
        <v/>
      </c>
      <c r="D2297" s="79">
        <f>IF('Ordenes_Odoo'!D2297="","",'Ordenes_Odoo'!D2297)</f>
        <v/>
      </c>
      <c r="E2297" s="79">
        <f>IF('Ordenes_Odoo'!E2297="","",'Ordenes_Odoo'!E2297)</f>
        <v/>
      </c>
      <c r="F2297" s="79">
        <f>IF('Ordenes_Odoo'!F2297="","",'Ordenes_Odoo'!F2297)</f>
        <v/>
      </c>
      <c r="G2297" s="79">
        <f>IF('Ordenes_Odoo'!G2297="","",'Ordenes_Odoo'!G2297)</f>
        <v/>
      </c>
      <c r="H2297" s="79">
        <f>IF('Ordenes_Odoo'!H2297="","",'Ordenes_Odoo'!H2297)</f>
        <v/>
      </c>
      <c r="I2297" s="79">
        <f>IF('Ordenes_Odoo'!I2297="","",'Ordenes_Odoo'!I2297)</f>
        <v/>
      </c>
      <c r="J2297" s="79">
        <f>IF('Ordenes_Odoo'!J2297="","",'Ordenes_Odoo'!J2297)</f>
        <v/>
      </c>
      <c r="K2297" s="81">
        <f>IF('Ordenes_Odoo'!K2297="","",'Ordenes_Odoo'!K2297)</f>
        <v/>
      </c>
      <c r="L2297" s="81">
        <f>IF('Ordenes_Odoo'!L2297="","",'Ordenes_Odoo'!L2297)</f>
        <v/>
      </c>
      <c r="M2297" s="79">
        <f>IF('Ordenes_Odoo'!M2297="","",'Ordenes_Odoo'!M2297)</f>
        <v/>
      </c>
      <c r="N2297" s="79">
        <f>IF('Ordenes_Odoo'!N2297="","",'Ordenes_Odoo'!N2297)</f>
        <v/>
      </c>
      <c r="O2297" s="81">
        <f>IF('Ordenes_Odoo'!O2297="","",'Ordenes_Odoo'!O2297)</f>
        <v/>
      </c>
      <c r="P2297" s="81">
        <f>IF('Ordenes_Odoo'!P2297="","",'Ordenes_Odoo'!P2297)</f>
        <v/>
      </c>
      <c r="Q2297" s="79">
        <f>IF(A2297="","",IFERROR(INDEX(Facturas_Odoo!$B:$B, MATCH(A2297, Facturas_Odoo!$D:$D, 0)), "Sin Factura"))</f>
        <v/>
      </c>
      <c r="R2297" s="80">
        <f>IF(Q2297="Sin Factura","",IFERROR(INDEX(Facturas_Odoo!$A:$A, MATCH(Q2297, Facturas_Odoo!$B:$B, 0)), ""))</f>
        <v/>
      </c>
      <c r="S2297" s="79">
        <f>IF(Q2297="Sin Factura","",IFERROR(_xlfn.XLOOKUP(1, (Facturas_Odoo!$D:$D=A2297) * (Facturas_Odoo!$K:$K=I2297), Facturas_Odoo!$L:$L, ""), ""))</f>
        <v/>
      </c>
      <c r="T2297" s="81">
        <f>IF(Q2297="Sin Factura",0,IFERROR(_xlfn.XLOOKUP(1, (Facturas_Odoo!$D:$D=A2297) * (Facturas_Odoo!$K:$K=I2297), Facturas_Odoo!$M:$M, 0), 0))</f>
        <v/>
      </c>
      <c r="U2297" s="79">
        <f>IF(Q2297="Sin Factura",0,IFERROR(_xlfn.XLOOKUP(1, (Facturas_Odoo!$D:$D=A2297) * (Facturas_Odoo!$K:$K=I2297), Facturas_Odoo!$N:$N, 0), 0))</f>
        <v/>
      </c>
      <c r="V2297" s="79">
        <f>IF(Q2297="Sin Factura",0,IFERROR(_xlfn.XLOOKUP(1, (Facturas_Odoo!$D:$D=A2297) * (Facturas_Odoo!$K:$K=I2297), Facturas_Odoo!$O:$O, 0), 0))</f>
        <v/>
      </c>
      <c r="W2297" s="81">
        <f>IF(Q2297="Sin Factura",0,IFERROR(_xlfn.XLOOKUP(1, (Facturas_Odoo!$D:$D=A2297) * (Facturas_Odoo!$K:$K=I2297), Facturas_Odoo!$Q:$Q, 0), 0))</f>
        <v/>
      </c>
      <c r="X2297" s="79">
        <f>IF(OR(Q2297="Sin Factura",Q2297=""),"",IFERROR(INDEX(Pagos_Odoo!$B:$B, MATCH(Q2297, Pagos_Odoo!$I:$I, 0)), "Sin Pago"))</f>
        <v/>
      </c>
      <c r="Y2297" s="79">
        <f>IF(X2297="Sin Pago","",IFERROR(INDEX(Pagos_Odoo!$C:$C, MATCH(X2297, Pagos_Odoo!$B:$B, 0)), ""))</f>
        <v/>
      </c>
      <c r="Z2297" s="80">
        <f>IF(X2297="Sin Pago","",IFERROR(INDEX(Pagos_Odoo!$A:$A, MATCH(X2297, Pagos_Odoo!$B:$B, 0)), ""))</f>
        <v/>
      </c>
      <c r="AA2297" s="79">
        <f>IF(X2297="Sin Pago","",IFERROR(INDEX(Pagos_Odoo!$F:$F, MATCH(X2297, Pagos_Odoo!$B:$B, 0)), ""))</f>
        <v/>
      </c>
      <c r="AB2297" s="81">
        <f>IF(X2297="Sin Pago",0,IFERROR(INDEX(Pagos_Odoo!$E:$E, MATCH(X2297, Pagos_Odoo!$B:$B, 0)), 0))</f>
        <v/>
      </c>
      <c r="AC2297" s="79">
        <f>IF(X2297="Sin Pago","",IFERROR(INDEX(Pagos_Odoo!$G:$G, MATCH(X2297, Pagos_Odoo!$B:$B, 0)), ""))</f>
        <v/>
      </c>
      <c r="AD2297" s="82" t="n">
        <v>0</v>
      </c>
      <c r="AE2297" s="82" t="n"/>
      <c r="AF2297" s="82" t="n"/>
      <c r="AG2297" s="82">
        <f>IF(AN2297="","",AD2297+AE2297+AF2297)</f>
        <v/>
      </c>
      <c r="AH2297" s="81">
        <f>IF(AN2297="","",P2297*(1-AG2297))</f>
        <v/>
      </c>
      <c r="AI2297" s="81">
        <f>IF(AN2297="","",IF(Q2297="Sin Factura",0,IFERROR(INDEX(Facturas_Odoo!$H:$H, MATCH(Q2297, Facturas_Odoo!$B:$B, 0)), 0)*(1-AG2297)))</f>
        <v/>
      </c>
      <c r="AJ2297" s="81">
        <f>IF(AN2297="","",_xlfn.LET(idVenta, AN2297&amp;"",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97" s="81">
        <f>IF(AN2297="","",AH2297-AJ2297)</f>
        <v/>
      </c>
      <c r="AL2297" s="81">
        <f>IF(AN2297="","",IF(Q2297="Sin Factura","",AI2297-AJ2297))</f>
        <v/>
      </c>
      <c r="AM2297" s="81">
        <f>IF(AN2297="","",IF(Q2297="Sin Factura",0,P2297-IFERROR(INDEX(Facturas_Odoo!$H:$H, MATCH(Q2297, Facturas_Odoo!$B:$B, 0)), 0)))</f>
        <v/>
      </c>
      <c r="AN2297" s="79">
        <f>IF(AND(A2297="", J2297=""), "", IF(A2297&lt;&gt;"", VALUE(MID(A2297,2,LEN(A2297))), AN2296))</f>
        <v/>
      </c>
      <c r="AO2297" s="79">
        <f>IF(AN2297="","",IF(AD2297=0,"OK",_xlfn.LET(monedaPago, IF(AA2297="","USD",AA2297), limitePermitido, IFERROR(VLOOKUP(monedaPago, Configuración!$A$2:$B$3, 2, FALSE), 0.15), IF(AD2297&gt;limitePermitido, "ALERTA: EXCESO (" &amp; TEXT(limitePermitido, "0%") &amp; " máx)", "OK"))))</f>
        <v/>
      </c>
      <c r="AP2297" s="79">
        <f>IF(AN2297="","",IF(AE2297=0,"OK",_xlfn.LET(fechaPago, Z2297, fechaFactura, R2297, diasCredito, IF(E2297="Pago inmediato", 0, IFERROR(VALUE(MID(E2297, 1, SEARCH(" ", E2297)-1)),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97" s="79">
        <f>IF(AN2297="","",IF(AND(N2297&gt;0, AG2297&gt;0), IF(Configuración!$K$2="NO", "ALERTA: DESCUENTO DOBLE NO PERMITIDO", "OK"), "OK"))</f>
        <v/>
      </c>
      <c r="AR2297" s="79">
        <f>IF(AN2297="","",IF(OR(AO2297&lt;&gt;"OK", AP2297&lt;&gt;"OK", AQ2297&lt;&gt;"OK"), "⚠️ REVISAR", "OK"))</f>
        <v/>
      </c>
    </row>
    <row r="2298">
      <c r="A2298" s="79">
        <f>IF('Ordenes_Odoo'!A2298="","",'Ordenes_Odoo'!A2298)</f>
        <v/>
      </c>
      <c r="B2298" s="80">
        <f>IF('Ordenes_Odoo'!B2298="","",'Ordenes_Odoo'!B2298)</f>
        <v/>
      </c>
      <c r="C2298" s="79">
        <f>IF('Ordenes_Odoo'!C2298="","",'Ordenes_Odoo'!C2298)</f>
        <v/>
      </c>
      <c r="D2298" s="79">
        <f>IF('Ordenes_Odoo'!D2298="","",'Ordenes_Odoo'!D2298)</f>
        <v/>
      </c>
      <c r="E2298" s="79">
        <f>IF('Ordenes_Odoo'!E2298="","",'Ordenes_Odoo'!E2298)</f>
        <v/>
      </c>
      <c r="F2298" s="79">
        <f>IF('Ordenes_Odoo'!F2298="","",'Ordenes_Odoo'!F2298)</f>
        <v/>
      </c>
      <c r="G2298" s="79">
        <f>IF('Ordenes_Odoo'!G2298="","",'Ordenes_Odoo'!G2298)</f>
        <v/>
      </c>
      <c r="H2298" s="79">
        <f>IF('Ordenes_Odoo'!H2298="","",'Ordenes_Odoo'!H2298)</f>
        <v/>
      </c>
      <c r="I2298" s="79">
        <f>IF('Ordenes_Odoo'!I2298="","",'Ordenes_Odoo'!I2298)</f>
        <v/>
      </c>
      <c r="J2298" s="79">
        <f>IF('Ordenes_Odoo'!J2298="","",'Ordenes_Odoo'!J2298)</f>
        <v/>
      </c>
      <c r="K2298" s="81">
        <f>IF('Ordenes_Odoo'!K2298="","",'Ordenes_Odoo'!K2298)</f>
        <v/>
      </c>
      <c r="L2298" s="81">
        <f>IF('Ordenes_Odoo'!L2298="","",'Ordenes_Odoo'!L2298)</f>
        <v/>
      </c>
      <c r="M2298" s="79">
        <f>IF('Ordenes_Odoo'!M2298="","",'Ordenes_Odoo'!M2298)</f>
        <v/>
      </c>
      <c r="N2298" s="79">
        <f>IF('Ordenes_Odoo'!N2298="","",'Ordenes_Odoo'!N2298)</f>
        <v/>
      </c>
      <c r="O2298" s="81">
        <f>IF('Ordenes_Odoo'!O2298="","",'Ordenes_Odoo'!O2298)</f>
        <v/>
      </c>
      <c r="P2298" s="81">
        <f>IF('Ordenes_Odoo'!P2298="","",'Ordenes_Odoo'!P2298)</f>
        <v/>
      </c>
      <c r="Q2298" s="79">
        <f>IF(A2298="","",IFERROR(INDEX(Facturas_Odoo!$B:$B, MATCH(A2298, Facturas_Odoo!$D:$D, 0)), "Sin Factura"))</f>
        <v/>
      </c>
      <c r="R2298" s="80">
        <f>IF(Q2298="Sin Factura","",IFERROR(INDEX(Facturas_Odoo!$A:$A, MATCH(Q2298, Facturas_Odoo!$B:$B, 0)), ""))</f>
        <v/>
      </c>
      <c r="S2298" s="79">
        <f>IF(Q2298="Sin Factura","",IFERROR(_xlfn.XLOOKUP(1, (Facturas_Odoo!$D:$D=A2298) * (Facturas_Odoo!$K:$K=I2298), Facturas_Odoo!$L:$L, ""), ""))</f>
        <v/>
      </c>
      <c r="T2298" s="81">
        <f>IF(Q2298="Sin Factura",0,IFERROR(_xlfn.XLOOKUP(1, (Facturas_Odoo!$D:$D=A2298) * (Facturas_Odoo!$K:$K=I2298), Facturas_Odoo!$M:$M, 0), 0))</f>
        <v/>
      </c>
      <c r="U2298" s="79">
        <f>IF(Q2298="Sin Factura",0,IFERROR(_xlfn.XLOOKUP(1, (Facturas_Odoo!$D:$D=A2298) * (Facturas_Odoo!$K:$K=I2298), Facturas_Odoo!$N:$N, 0), 0))</f>
        <v/>
      </c>
      <c r="V2298" s="79">
        <f>IF(Q2298="Sin Factura",0,IFERROR(_xlfn.XLOOKUP(1, (Facturas_Odoo!$D:$D=A2298) * (Facturas_Odoo!$K:$K=I2298), Facturas_Odoo!$O:$O, 0), 0))</f>
        <v/>
      </c>
      <c r="W2298" s="81">
        <f>IF(Q2298="Sin Factura",0,IFERROR(_xlfn.XLOOKUP(1, (Facturas_Odoo!$D:$D=A2298) * (Facturas_Odoo!$K:$K=I2298), Facturas_Odoo!$Q:$Q, 0), 0))</f>
        <v/>
      </c>
      <c r="X2298" s="79">
        <f>IF(OR(Q2298="Sin Factura",Q2298=""),"",IFERROR(INDEX(Pagos_Odoo!$B:$B, MATCH(Q2298, Pagos_Odoo!$I:$I, 0)), "Sin Pago"))</f>
        <v/>
      </c>
      <c r="Y2298" s="79">
        <f>IF(X2298="Sin Pago","",IFERROR(INDEX(Pagos_Odoo!$C:$C, MATCH(X2298, Pagos_Odoo!$B:$B, 0)), ""))</f>
        <v/>
      </c>
      <c r="Z2298" s="80">
        <f>IF(X2298="Sin Pago","",IFERROR(INDEX(Pagos_Odoo!$A:$A, MATCH(X2298, Pagos_Odoo!$B:$B, 0)), ""))</f>
        <v/>
      </c>
      <c r="AA2298" s="79">
        <f>IF(X2298="Sin Pago","",IFERROR(INDEX(Pagos_Odoo!$F:$F, MATCH(X2298, Pagos_Odoo!$B:$B, 0)), ""))</f>
        <v/>
      </c>
      <c r="AB2298" s="81">
        <f>IF(X2298="Sin Pago",0,IFERROR(INDEX(Pagos_Odoo!$E:$E, MATCH(X2298, Pagos_Odoo!$B:$B, 0)), 0))</f>
        <v/>
      </c>
      <c r="AC2298" s="79">
        <f>IF(X2298="Sin Pago","",IFERROR(INDEX(Pagos_Odoo!$G:$G, MATCH(X2298, Pagos_Odoo!$B:$B, 0)), ""))</f>
        <v/>
      </c>
      <c r="AD2298" s="82" t="n">
        <v>0</v>
      </c>
      <c r="AE2298" s="82" t="n"/>
      <c r="AF2298" s="82" t="n"/>
      <c r="AG2298" s="82">
        <f>IF(AN2298="","",AD2298+AE2298+AF2298)</f>
        <v/>
      </c>
      <c r="AH2298" s="81">
        <f>IF(AN2298="","",P2298*(1-AG2298))</f>
        <v/>
      </c>
      <c r="AI2298" s="81">
        <f>IF(AN2298="","",IF(Q2298="Sin Factura",0,IFERROR(INDEX(Facturas_Odoo!$H:$H, MATCH(Q2298, Facturas_Odoo!$B:$B, 0)), 0)*(1-AG2298)))</f>
        <v/>
      </c>
      <c r="AJ2298" s="81">
        <f>IF(AN2298="","",_xlfn.LET(idVenta, AN2298&amp;"",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98" s="81">
        <f>IF(AN2298="","",AH2298-AJ2298)</f>
        <v/>
      </c>
      <c r="AL2298" s="81">
        <f>IF(AN2298="","",IF(Q2298="Sin Factura","",AI2298-AJ2298))</f>
        <v/>
      </c>
      <c r="AM2298" s="81">
        <f>IF(AN2298="","",IF(Q2298="Sin Factura",0,P2298-IFERROR(INDEX(Facturas_Odoo!$H:$H, MATCH(Q2298, Facturas_Odoo!$B:$B, 0)), 0)))</f>
        <v/>
      </c>
      <c r="AN2298" s="79">
        <f>IF(AND(A2298="", J2298=""), "", IF(A2298&lt;&gt;"", VALUE(MID(A2298,2,LEN(A2298))), AN2297))</f>
        <v/>
      </c>
      <c r="AO2298" s="79">
        <f>IF(AN2298="","",IF(AD2298=0,"OK",_xlfn.LET(monedaPago, IF(AA2298="","USD",AA2298), limitePermitido, IFERROR(VLOOKUP(monedaPago, Configuración!$A$2:$B$3, 2, FALSE), 0.15), IF(AD2298&gt;limitePermitido, "ALERTA: EXCESO (" &amp; TEXT(limitePermitido, "0%") &amp; " máx)", "OK"))))</f>
        <v/>
      </c>
      <c r="AP2298" s="79">
        <f>IF(AN2298="","",IF(AE2298=0,"OK",_xlfn.LET(fechaPago, Z2298, fechaFactura, R2298, diasCredito, IF(E2298="Pago inmediato", 0, IFERROR(VALUE(MID(E2298, 1, SEARCH(" ", E2298)-1)),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98" s="79">
        <f>IF(AN2298="","",IF(AND(N2298&gt;0, AG2298&gt;0), IF(Configuración!$K$2="NO", "ALERTA: DESCUENTO DOBLE NO PERMITIDO", "OK"), "OK"))</f>
        <v/>
      </c>
      <c r="AR2298" s="79">
        <f>IF(AN2298="","",IF(OR(AO2298&lt;&gt;"OK", AP2298&lt;&gt;"OK", AQ2298&lt;&gt;"OK"), "⚠️ REVISAR", "OK"))</f>
        <v/>
      </c>
    </row>
    <row r="2299">
      <c r="A2299" s="79">
        <f>IF('Ordenes_Odoo'!A2299="","",'Ordenes_Odoo'!A2299)</f>
        <v/>
      </c>
      <c r="B2299" s="80">
        <f>IF('Ordenes_Odoo'!B2299="","",'Ordenes_Odoo'!B2299)</f>
        <v/>
      </c>
      <c r="C2299" s="79">
        <f>IF('Ordenes_Odoo'!C2299="","",'Ordenes_Odoo'!C2299)</f>
        <v/>
      </c>
      <c r="D2299" s="79">
        <f>IF('Ordenes_Odoo'!D2299="","",'Ordenes_Odoo'!D2299)</f>
        <v/>
      </c>
      <c r="E2299" s="79">
        <f>IF('Ordenes_Odoo'!E2299="","",'Ordenes_Odoo'!E2299)</f>
        <v/>
      </c>
      <c r="F2299" s="79">
        <f>IF('Ordenes_Odoo'!F2299="","",'Ordenes_Odoo'!F2299)</f>
        <v/>
      </c>
      <c r="G2299" s="79">
        <f>IF('Ordenes_Odoo'!G2299="","",'Ordenes_Odoo'!G2299)</f>
        <v/>
      </c>
      <c r="H2299" s="79">
        <f>IF('Ordenes_Odoo'!H2299="","",'Ordenes_Odoo'!H2299)</f>
        <v/>
      </c>
      <c r="I2299" s="79">
        <f>IF('Ordenes_Odoo'!I2299="","",'Ordenes_Odoo'!I2299)</f>
        <v/>
      </c>
      <c r="J2299" s="79">
        <f>IF('Ordenes_Odoo'!J2299="","",'Ordenes_Odoo'!J2299)</f>
        <v/>
      </c>
      <c r="K2299" s="81">
        <f>IF('Ordenes_Odoo'!K2299="","",'Ordenes_Odoo'!K2299)</f>
        <v/>
      </c>
      <c r="L2299" s="81">
        <f>IF('Ordenes_Odoo'!L2299="","",'Ordenes_Odoo'!L2299)</f>
        <v/>
      </c>
      <c r="M2299" s="79">
        <f>IF('Ordenes_Odoo'!M2299="","",'Ordenes_Odoo'!M2299)</f>
        <v/>
      </c>
      <c r="N2299" s="79">
        <f>IF('Ordenes_Odoo'!N2299="","",'Ordenes_Odoo'!N2299)</f>
        <v/>
      </c>
      <c r="O2299" s="81">
        <f>IF('Ordenes_Odoo'!O2299="","",'Ordenes_Odoo'!O2299)</f>
        <v/>
      </c>
      <c r="P2299" s="81">
        <f>IF('Ordenes_Odoo'!P2299="","",'Ordenes_Odoo'!P2299)</f>
        <v/>
      </c>
      <c r="Q2299" s="79">
        <f>IF(A2299="","",IFERROR(INDEX(Facturas_Odoo!$B:$B, MATCH(A2299, Facturas_Odoo!$D:$D, 0)), "Sin Factura"))</f>
        <v/>
      </c>
      <c r="R2299" s="80">
        <f>IF(Q2299="Sin Factura","",IFERROR(INDEX(Facturas_Odoo!$A:$A, MATCH(Q2299, Facturas_Odoo!$B:$B, 0)), ""))</f>
        <v/>
      </c>
      <c r="S2299" s="79">
        <f>IF(Q2299="Sin Factura","",IFERROR(_xlfn.XLOOKUP(1, (Facturas_Odoo!$D:$D=A2299) * (Facturas_Odoo!$K:$K=I2299), Facturas_Odoo!$L:$L, ""), ""))</f>
        <v/>
      </c>
      <c r="T2299" s="81">
        <f>IF(Q2299="Sin Factura",0,IFERROR(_xlfn.XLOOKUP(1, (Facturas_Odoo!$D:$D=A2299) * (Facturas_Odoo!$K:$K=I2299), Facturas_Odoo!$M:$M, 0), 0))</f>
        <v/>
      </c>
      <c r="U2299" s="79">
        <f>IF(Q2299="Sin Factura",0,IFERROR(_xlfn.XLOOKUP(1, (Facturas_Odoo!$D:$D=A2299) * (Facturas_Odoo!$K:$K=I2299), Facturas_Odoo!$N:$N, 0), 0))</f>
        <v/>
      </c>
      <c r="V2299" s="79">
        <f>IF(Q2299="Sin Factura",0,IFERROR(_xlfn.XLOOKUP(1, (Facturas_Odoo!$D:$D=A2299) * (Facturas_Odoo!$K:$K=I2299), Facturas_Odoo!$O:$O, 0), 0))</f>
        <v/>
      </c>
      <c r="W2299" s="81">
        <f>IF(Q2299="Sin Factura",0,IFERROR(_xlfn.XLOOKUP(1, (Facturas_Odoo!$D:$D=A2299) * (Facturas_Odoo!$K:$K=I2299), Facturas_Odoo!$Q:$Q, 0), 0))</f>
        <v/>
      </c>
      <c r="X2299" s="79">
        <f>IF(OR(Q2299="Sin Factura",Q2299=""),"",IFERROR(INDEX(Pagos_Odoo!$B:$B, MATCH(Q2299, Pagos_Odoo!$I:$I, 0)), "Sin Pago"))</f>
        <v/>
      </c>
      <c r="Y2299" s="79">
        <f>IF(X2299="Sin Pago","",IFERROR(INDEX(Pagos_Odoo!$C:$C, MATCH(X2299, Pagos_Odoo!$B:$B, 0)), ""))</f>
        <v/>
      </c>
      <c r="Z2299" s="80">
        <f>IF(X2299="Sin Pago","",IFERROR(INDEX(Pagos_Odoo!$A:$A, MATCH(X2299, Pagos_Odoo!$B:$B, 0)), ""))</f>
        <v/>
      </c>
      <c r="AA2299" s="79">
        <f>IF(X2299="Sin Pago","",IFERROR(INDEX(Pagos_Odoo!$F:$F, MATCH(X2299, Pagos_Odoo!$B:$B, 0)), ""))</f>
        <v/>
      </c>
      <c r="AB2299" s="81">
        <f>IF(X2299="Sin Pago",0,IFERROR(INDEX(Pagos_Odoo!$E:$E, MATCH(X2299, Pagos_Odoo!$B:$B, 0)), 0))</f>
        <v/>
      </c>
      <c r="AC2299" s="79">
        <f>IF(X2299="Sin Pago","",IFERROR(INDEX(Pagos_Odoo!$G:$G, MATCH(X2299, Pagos_Odoo!$B:$B, 0)), ""))</f>
        <v/>
      </c>
      <c r="AD2299" s="82" t="n">
        <v>0</v>
      </c>
      <c r="AE2299" s="82" t="n"/>
      <c r="AF2299" s="82" t="n"/>
      <c r="AG2299" s="82">
        <f>IF(AN2299="","",AD2299+AE2299+AF2299)</f>
        <v/>
      </c>
      <c r="AH2299" s="81">
        <f>IF(AN2299="","",P2299*(1-AG2299))</f>
        <v/>
      </c>
      <c r="AI2299" s="81">
        <f>IF(AN2299="","",IF(Q2299="Sin Factura",0,IFERROR(INDEX(Facturas_Odoo!$H:$H, MATCH(Q2299, Facturas_Odoo!$B:$B, 0)), 0)*(1-AG2299)))</f>
        <v/>
      </c>
      <c r="AJ2299" s="81">
        <f>IF(AN2299="","",_xlfn.LET(idVenta, AN2299&amp;"",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299" s="81">
        <f>IF(AN2299="","",AH2299-AJ2299)</f>
        <v/>
      </c>
      <c r="AL2299" s="81">
        <f>IF(AN2299="","",IF(Q2299="Sin Factura","",AI2299-AJ2299))</f>
        <v/>
      </c>
      <c r="AM2299" s="81">
        <f>IF(AN2299="","",IF(Q2299="Sin Factura",0,P2299-IFERROR(INDEX(Facturas_Odoo!$H:$H, MATCH(Q2299, Facturas_Odoo!$B:$B, 0)), 0)))</f>
        <v/>
      </c>
      <c r="AN2299" s="79">
        <f>IF(AND(A2299="", J2299=""), "", IF(A2299&lt;&gt;"", VALUE(MID(A2299,2,LEN(A2299))), AN2298))</f>
        <v/>
      </c>
      <c r="AO2299" s="79">
        <f>IF(AN2299="","",IF(AD2299=0,"OK",_xlfn.LET(monedaPago, IF(AA2299="","USD",AA2299), limitePermitido, IFERROR(VLOOKUP(monedaPago, Configuración!$A$2:$B$3, 2, FALSE), 0.15), IF(AD2299&gt;limitePermitido, "ALERTA: EXCESO (" &amp; TEXT(limitePermitido, "0%") &amp; " máx)", "OK"))))</f>
        <v/>
      </c>
      <c r="AP2299" s="79">
        <f>IF(AN2299="","",IF(AE2299=0,"OK",_xlfn.LET(fechaPago, Z2299, fechaFactura, R2299, diasCredito, IF(E2299="Pago inmediato", 0, IFERROR(VALUE(MID(E2299, 1, SEARCH(" ", E2299)-1)),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299" s="79">
        <f>IF(AN2299="","",IF(AND(N2299&gt;0, AG2299&gt;0), IF(Configuración!$K$2="NO", "ALERTA: DESCUENTO DOBLE NO PERMITIDO", "OK"), "OK"))</f>
        <v/>
      </c>
      <c r="AR2299" s="79">
        <f>IF(AN2299="","",IF(OR(AO2299&lt;&gt;"OK", AP2299&lt;&gt;"OK", AQ2299&lt;&gt;"OK"), "⚠️ REVISAR", "OK"))</f>
        <v/>
      </c>
    </row>
    <row r="2300">
      <c r="A2300" s="79">
        <f>IF('Ordenes_Odoo'!A2300="","",'Ordenes_Odoo'!A2300)</f>
        <v/>
      </c>
      <c r="B2300" s="80">
        <f>IF('Ordenes_Odoo'!B2300="","",'Ordenes_Odoo'!B2300)</f>
        <v/>
      </c>
      <c r="C2300" s="79">
        <f>IF('Ordenes_Odoo'!C2300="","",'Ordenes_Odoo'!C2300)</f>
        <v/>
      </c>
      <c r="D2300" s="79">
        <f>IF('Ordenes_Odoo'!D2300="","",'Ordenes_Odoo'!D2300)</f>
        <v/>
      </c>
      <c r="E2300" s="79">
        <f>IF('Ordenes_Odoo'!E2300="","",'Ordenes_Odoo'!E2300)</f>
        <v/>
      </c>
      <c r="F2300" s="79">
        <f>IF('Ordenes_Odoo'!F2300="","",'Ordenes_Odoo'!F2300)</f>
        <v/>
      </c>
      <c r="G2300" s="79">
        <f>IF('Ordenes_Odoo'!G2300="","",'Ordenes_Odoo'!G2300)</f>
        <v/>
      </c>
      <c r="H2300" s="79">
        <f>IF('Ordenes_Odoo'!H2300="","",'Ordenes_Odoo'!H2300)</f>
        <v/>
      </c>
      <c r="I2300" s="79">
        <f>IF('Ordenes_Odoo'!I2300="","",'Ordenes_Odoo'!I2300)</f>
        <v/>
      </c>
      <c r="J2300" s="79">
        <f>IF('Ordenes_Odoo'!J2300="","",'Ordenes_Odoo'!J2300)</f>
        <v/>
      </c>
      <c r="K2300" s="81">
        <f>IF('Ordenes_Odoo'!K2300="","",'Ordenes_Odoo'!K2300)</f>
        <v/>
      </c>
      <c r="L2300" s="81">
        <f>IF('Ordenes_Odoo'!L2300="","",'Ordenes_Odoo'!L2300)</f>
        <v/>
      </c>
      <c r="M2300" s="79">
        <f>IF('Ordenes_Odoo'!M2300="","",'Ordenes_Odoo'!M2300)</f>
        <v/>
      </c>
      <c r="N2300" s="79">
        <f>IF('Ordenes_Odoo'!N2300="","",'Ordenes_Odoo'!N2300)</f>
        <v/>
      </c>
      <c r="O2300" s="81">
        <f>IF('Ordenes_Odoo'!O2300="","",'Ordenes_Odoo'!O2300)</f>
        <v/>
      </c>
      <c r="P2300" s="81">
        <f>IF('Ordenes_Odoo'!P2300="","",'Ordenes_Odoo'!P2300)</f>
        <v/>
      </c>
      <c r="Q2300" s="79">
        <f>IF(A2300="","",IFERROR(INDEX(Facturas_Odoo!$B:$B, MATCH(A2300, Facturas_Odoo!$D:$D, 0)), "Sin Factura"))</f>
        <v/>
      </c>
      <c r="R2300" s="80">
        <f>IF(Q2300="Sin Factura","",IFERROR(INDEX(Facturas_Odoo!$A:$A, MATCH(Q2300, Facturas_Odoo!$B:$B, 0)), ""))</f>
        <v/>
      </c>
      <c r="S2300" s="79">
        <f>IF(Q2300="Sin Factura","",IFERROR(_xlfn.XLOOKUP(1, (Facturas_Odoo!$D:$D=A2300) * (Facturas_Odoo!$K:$K=I2300), Facturas_Odoo!$L:$L, ""), ""))</f>
        <v/>
      </c>
      <c r="T2300" s="81">
        <f>IF(Q2300="Sin Factura",0,IFERROR(_xlfn.XLOOKUP(1, (Facturas_Odoo!$D:$D=A2300) * (Facturas_Odoo!$K:$K=I2300), Facturas_Odoo!$M:$M, 0), 0))</f>
        <v/>
      </c>
      <c r="U2300" s="79">
        <f>IF(Q2300="Sin Factura",0,IFERROR(_xlfn.XLOOKUP(1, (Facturas_Odoo!$D:$D=A2300) * (Facturas_Odoo!$K:$K=I2300), Facturas_Odoo!$N:$N, 0), 0))</f>
        <v/>
      </c>
      <c r="V2300" s="79">
        <f>IF(Q2300="Sin Factura",0,IFERROR(_xlfn.XLOOKUP(1, (Facturas_Odoo!$D:$D=A2300) * (Facturas_Odoo!$K:$K=I2300), Facturas_Odoo!$O:$O, 0), 0))</f>
        <v/>
      </c>
      <c r="W2300" s="81">
        <f>IF(Q2300="Sin Factura",0,IFERROR(_xlfn.XLOOKUP(1, (Facturas_Odoo!$D:$D=A2300) * (Facturas_Odoo!$K:$K=I2300), Facturas_Odoo!$Q:$Q, 0), 0))</f>
        <v/>
      </c>
      <c r="X2300" s="79">
        <f>IF(OR(Q2300="Sin Factura",Q2300=""),"",IFERROR(INDEX(Pagos_Odoo!$B:$B, MATCH(Q2300, Pagos_Odoo!$I:$I, 0)), "Sin Pago"))</f>
        <v/>
      </c>
      <c r="Y2300" s="79">
        <f>IF(X2300="Sin Pago","",IFERROR(INDEX(Pagos_Odoo!$C:$C, MATCH(X2300, Pagos_Odoo!$B:$B, 0)), ""))</f>
        <v/>
      </c>
      <c r="Z2300" s="80">
        <f>IF(X2300="Sin Pago","",IFERROR(INDEX(Pagos_Odoo!$A:$A, MATCH(X2300, Pagos_Odoo!$B:$B, 0)), ""))</f>
        <v/>
      </c>
      <c r="AA2300" s="79">
        <f>IF(X2300="Sin Pago","",IFERROR(INDEX(Pagos_Odoo!$F:$F, MATCH(X2300, Pagos_Odoo!$B:$B, 0)), ""))</f>
        <v/>
      </c>
      <c r="AB2300" s="81">
        <f>IF(X2300="Sin Pago",0,IFERROR(INDEX(Pagos_Odoo!$E:$E, MATCH(X2300, Pagos_Odoo!$B:$B, 0)), 0))</f>
        <v/>
      </c>
      <c r="AC2300" s="79">
        <f>IF(X2300="Sin Pago","",IFERROR(INDEX(Pagos_Odoo!$G:$G, MATCH(X2300, Pagos_Odoo!$B:$B, 0)), ""))</f>
        <v/>
      </c>
      <c r="AD2300" s="82" t="n">
        <v>0</v>
      </c>
      <c r="AE2300" s="82" t="n"/>
      <c r="AF2300" s="82" t="n"/>
      <c r="AG2300" s="82">
        <f>IF(AN2300="","",AD2300+AE2300+AF2300)</f>
        <v/>
      </c>
      <c r="AH2300" s="81">
        <f>IF(AN2300="","",P2300*(1-AG2300))</f>
        <v/>
      </c>
      <c r="AI2300" s="81">
        <f>IF(AN2300="","",IF(Q2300="Sin Factura",0,IFERROR(INDEX(Facturas_Odoo!$H:$H, MATCH(Q2300, Facturas_Odoo!$B:$B, 0)), 0)*(1-AG2300)))</f>
        <v/>
      </c>
      <c r="AJ2300" s="81">
        <f>IF(AN2300="","",_xlfn.LET(idVenta, AN2300&amp;"",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00" s="81">
        <f>IF(AN2300="","",AH2300-AJ2300)</f>
        <v/>
      </c>
      <c r="AL2300" s="81">
        <f>IF(AN2300="","",IF(Q2300="Sin Factura","",AI2300-AJ2300))</f>
        <v/>
      </c>
      <c r="AM2300" s="81">
        <f>IF(AN2300="","",IF(Q2300="Sin Factura",0,P2300-IFERROR(INDEX(Facturas_Odoo!$H:$H, MATCH(Q2300, Facturas_Odoo!$B:$B, 0)), 0)))</f>
        <v/>
      </c>
      <c r="AN2300" s="79">
        <f>IF(AND(A2300="", J2300=""), "", IF(A2300&lt;&gt;"", VALUE(MID(A2300,2,LEN(A2300))), AN2299))</f>
        <v/>
      </c>
      <c r="AO2300" s="79">
        <f>IF(AN2300="","",IF(AD2300=0,"OK",_xlfn.LET(monedaPago, IF(AA2300="","USD",AA2300), limitePermitido, IFERROR(VLOOKUP(monedaPago, Configuración!$A$2:$B$3, 2, FALSE), 0.15), IF(AD2300&gt;limitePermitido, "ALERTA: EXCESO (" &amp; TEXT(limitePermitido, "0%") &amp; " máx)", "OK"))))</f>
        <v/>
      </c>
      <c r="AP2300" s="79">
        <f>IF(AN2300="","",IF(AE2300=0,"OK",_xlfn.LET(fechaPago, Z2300, fechaFactura, R2300, diasCredito, IF(E2300="Pago inmediato", 0, IFERROR(VALUE(MID(E2300, 1, SEARCH(" ", E2300)-1)),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00" s="79">
        <f>IF(AN2300="","",IF(AND(N2300&gt;0, AG2300&gt;0), IF(Configuración!$K$2="NO", "ALERTA: DESCUENTO DOBLE NO PERMITIDO", "OK"), "OK"))</f>
        <v/>
      </c>
      <c r="AR2300" s="79">
        <f>IF(AN2300="","",IF(OR(AO2300&lt;&gt;"OK", AP2300&lt;&gt;"OK", AQ2300&lt;&gt;"OK"), "⚠️ REVISAR", "OK"))</f>
        <v/>
      </c>
    </row>
    <row r="2301">
      <c r="A2301" s="79">
        <f>IF('Ordenes_Odoo'!A2301="","",'Ordenes_Odoo'!A2301)</f>
        <v/>
      </c>
      <c r="B2301" s="80">
        <f>IF('Ordenes_Odoo'!B2301="","",'Ordenes_Odoo'!B2301)</f>
        <v/>
      </c>
      <c r="C2301" s="79">
        <f>IF('Ordenes_Odoo'!C2301="","",'Ordenes_Odoo'!C2301)</f>
        <v/>
      </c>
      <c r="D2301" s="79">
        <f>IF('Ordenes_Odoo'!D2301="","",'Ordenes_Odoo'!D2301)</f>
        <v/>
      </c>
      <c r="E2301" s="79">
        <f>IF('Ordenes_Odoo'!E2301="","",'Ordenes_Odoo'!E2301)</f>
        <v/>
      </c>
      <c r="F2301" s="79">
        <f>IF('Ordenes_Odoo'!F2301="","",'Ordenes_Odoo'!F2301)</f>
        <v/>
      </c>
      <c r="G2301" s="79">
        <f>IF('Ordenes_Odoo'!G2301="","",'Ordenes_Odoo'!G2301)</f>
        <v/>
      </c>
      <c r="H2301" s="79">
        <f>IF('Ordenes_Odoo'!H2301="","",'Ordenes_Odoo'!H2301)</f>
        <v/>
      </c>
      <c r="I2301" s="79">
        <f>IF('Ordenes_Odoo'!I2301="","",'Ordenes_Odoo'!I2301)</f>
        <v/>
      </c>
      <c r="J2301" s="79">
        <f>IF('Ordenes_Odoo'!J2301="","",'Ordenes_Odoo'!J2301)</f>
        <v/>
      </c>
      <c r="K2301" s="81">
        <f>IF('Ordenes_Odoo'!K2301="","",'Ordenes_Odoo'!K2301)</f>
        <v/>
      </c>
      <c r="L2301" s="81">
        <f>IF('Ordenes_Odoo'!L2301="","",'Ordenes_Odoo'!L2301)</f>
        <v/>
      </c>
      <c r="M2301" s="79">
        <f>IF('Ordenes_Odoo'!M2301="","",'Ordenes_Odoo'!M2301)</f>
        <v/>
      </c>
      <c r="N2301" s="79">
        <f>IF('Ordenes_Odoo'!N2301="","",'Ordenes_Odoo'!N2301)</f>
        <v/>
      </c>
      <c r="O2301" s="81">
        <f>IF('Ordenes_Odoo'!O2301="","",'Ordenes_Odoo'!O2301)</f>
        <v/>
      </c>
      <c r="P2301" s="81">
        <f>IF('Ordenes_Odoo'!P2301="","",'Ordenes_Odoo'!P2301)</f>
        <v/>
      </c>
      <c r="Q2301" s="79">
        <f>IF(A2301="","",IFERROR(INDEX(Facturas_Odoo!$B:$B, MATCH(A2301, Facturas_Odoo!$D:$D, 0)), "Sin Factura"))</f>
        <v/>
      </c>
      <c r="R2301" s="80">
        <f>IF(Q2301="Sin Factura","",IFERROR(INDEX(Facturas_Odoo!$A:$A, MATCH(Q2301, Facturas_Odoo!$B:$B, 0)), ""))</f>
        <v/>
      </c>
      <c r="S2301" s="79">
        <f>IF(Q2301="Sin Factura","",IFERROR(_xlfn.XLOOKUP(1, (Facturas_Odoo!$D:$D=A2301) * (Facturas_Odoo!$K:$K=I2301), Facturas_Odoo!$L:$L, ""), ""))</f>
        <v/>
      </c>
      <c r="T2301" s="81">
        <f>IF(Q2301="Sin Factura",0,IFERROR(_xlfn.XLOOKUP(1, (Facturas_Odoo!$D:$D=A2301) * (Facturas_Odoo!$K:$K=I2301), Facturas_Odoo!$M:$M, 0), 0))</f>
        <v/>
      </c>
      <c r="U2301" s="79">
        <f>IF(Q2301="Sin Factura",0,IFERROR(_xlfn.XLOOKUP(1, (Facturas_Odoo!$D:$D=A2301) * (Facturas_Odoo!$K:$K=I2301), Facturas_Odoo!$N:$N, 0), 0))</f>
        <v/>
      </c>
      <c r="V2301" s="79">
        <f>IF(Q2301="Sin Factura",0,IFERROR(_xlfn.XLOOKUP(1, (Facturas_Odoo!$D:$D=A2301) * (Facturas_Odoo!$K:$K=I2301), Facturas_Odoo!$O:$O, 0), 0))</f>
        <v/>
      </c>
      <c r="W2301" s="81">
        <f>IF(Q2301="Sin Factura",0,IFERROR(_xlfn.XLOOKUP(1, (Facturas_Odoo!$D:$D=A2301) * (Facturas_Odoo!$K:$K=I2301), Facturas_Odoo!$Q:$Q, 0), 0))</f>
        <v/>
      </c>
      <c r="X2301" s="79">
        <f>IF(OR(Q2301="Sin Factura",Q2301=""),"",IFERROR(INDEX(Pagos_Odoo!$B:$B, MATCH(Q2301, Pagos_Odoo!$I:$I, 0)), "Sin Pago"))</f>
        <v/>
      </c>
      <c r="Y2301" s="79">
        <f>IF(X2301="Sin Pago","",IFERROR(INDEX(Pagos_Odoo!$C:$C, MATCH(X2301, Pagos_Odoo!$B:$B, 0)), ""))</f>
        <v/>
      </c>
      <c r="Z2301" s="80">
        <f>IF(X2301="Sin Pago","",IFERROR(INDEX(Pagos_Odoo!$A:$A, MATCH(X2301, Pagos_Odoo!$B:$B, 0)), ""))</f>
        <v/>
      </c>
      <c r="AA2301" s="79">
        <f>IF(X2301="Sin Pago","",IFERROR(INDEX(Pagos_Odoo!$F:$F, MATCH(X2301, Pagos_Odoo!$B:$B, 0)), ""))</f>
        <v/>
      </c>
      <c r="AB2301" s="81">
        <f>IF(X2301="Sin Pago",0,IFERROR(INDEX(Pagos_Odoo!$E:$E, MATCH(X2301, Pagos_Odoo!$B:$B, 0)), 0))</f>
        <v/>
      </c>
      <c r="AC2301" s="79">
        <f>IF(X2301="Sin Pago","",IFERROR(INDEX(Pagos_Odoo!$G:$G, MATCH(X2301, Pagos_Odoo!$B:$B, 0)), ""))</f>
        <v/>
      </c>
      <c r="AD2301" s="82" t="n">
        <v>0</v>
      </c>
      <c r="AE2301" s="82" t="n"/>
      <c r="AF2301" s="82" t="n"/>
      <c r="AG2301" s="82">
        <f>IF(AN2301="","",AD2301+AE2301+AF2301)</f>
        <v/>
      </c>
      <c r="AH2301" s="81">
        <f>IF(AN2301="","",P2301*(1-AG2301))</f>
        <v/>
      </c>
      <c r="AI2301" s="81">
        <f>IF(AN2301="","",IF(Q2301="Sin Factura",0,IFERROR(INDEX(Facturas_Odoo!$H:$H, MATCH(Q2301, Facturas_Odoo!$B:$B, 0)), 0)*(1-AG2301)))</f>
        <v/>
      </c>
      <c r="AJ2301" s="81">
        <f>IF(AN2301="","",_xlfn.LET(idVenta, AN2301&amp;"",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01" s="81">
        <f>IF(AN2301="","",AH2301-AJ2301)</f>
        <v/>
      </c>
      <c r="AL2301" s="81">
        <f>IF(AN2301="","",IF(Q2301="Sin Factura","",AI2301-AJ2301))</f>
        <v/>
      </c>
      <c r="AM2301" s="81">
        <f>IF(AN2301="","",IF(Q2301="Sin Factura",0,P2301-IFERROR(INDEX(Facturas_Odoo!$H:$H, MATCH(Q2301, Facturas_Odoo!$B:$B, 0)), 0)))</f>
        <v/>
      </c>
      <c r="AN2301" s="79">
        <f>IF(AND(A2301="", J2301=""), "", IF(A2301&lt;&gt;"", VALUE(MID(A2301,2,LEN(A2301))), AN2300))</f>
        <v/>
      </c>
      <c r="AO2301" s="79">
        <f>IF(AN2301="","",IF(AD2301=0,"OK",_xlfn.LET(monedaPago, IF(AA2301="","USD",AA2301), limitePermitido, IFERROR(VLOOKUP(monedaPago, Configuración!$A$2:$B$3, 2, FALSE), 0.15), IF(AD2301&gt;limitePermitido, "ALERTA: EXCESO (" &amp; TEXT(limitePermitido, "0%") &amp; " máx)", "OK"))))</f>
        <v/>
      </c>
      <c r="AP2301" s="79">
        <f>IF(AN2301="","",IF(AE2301=0,"OK",_xlfn.LET(fechaPago, Z2301, fechaFactura, R2301, diasCredito, IF(E2301="Pago inmediato", 0, IFERROR(VALUE(MID(E2301, 1, SEARCH(" ", E2301)-1)),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01" s="79">
        <f>IF(AN2301="","",IF(AND(N2301&gt;0, AG2301&gt;0), IF(Configuración!$K$2="NO", "ALERTA: DESCUENTO DOBLE NO PERMITIDO", "OK"), "OK"))</f>
        <v/>
      </c>
      <c r="AR2301" s="79">
        <f>IF(AN2301="","",IF(OR(AO2301&lt;&gt;"OK", AP2301&lt;&gt;"OK", AQ2301&lt;&gt;"OK"), "⚠️ REVISAR", "OK"))</f>
        <v/>
      </c>
    </row>
    <row r="2302">
      <c r="A2302" s="79">
        <f>IF('Ordenes_Odoo'!A2302="","",'Ordenes_Odoo'!A2302)</f>
        <v/>
      </c>
      <c r="B2302" s="80">
        <f>IF('Ordenes_Odoo'!B2302="","",'Ordenes_Odoo'!B2302)</f>
        <v/>
      </c>
      <c r="C2302" s="79">
        <f>IF('Ordenes_Odoo'!C2302="","",'Ordenes_Odoo'!C2302)</f>
        <v/>
      </c>
      <c r="D2302" s="79">
        <f>IF('Ordenes_Odoo'!D2302="","",'Ordenes_Odoo'!D2302)</f>
        <v/>
      </c>
      <c r="E2302" s="79">
        <f>IF('Ordenes_Odoo'!E2302="","",'Ordenes_Odoo'!E2302)</f>
        <v/>
      </c>
      <c r="F2302" s="79">
        <f>IF('Ordenes_Odoo'!F2302="","",'Ordenes_Odoo'!F2302)</f>
        <v/>
      </c>
      <c r="G2302" s="79">
        <f>IF('Ordenes_Odoo'!G2302="","",'Ordenes_Odoo'!G2302)</f>
        <v/>
      </c>
      <c r="H2302" s="79">
        <f>IF('Ordenes_Odoo'!H2302="","",'Ordenes_Odoo'!H2302)</f>
        <v/>
      </c>
      <c r="I2302" s="79">
        <f>IF('Ordenes_Odoo'!I2302="","",'Ordenes_Odoo'!I2302)</f>
        <v/>
      </c>
      <c r="J2302" s="79">
        <f>IF('Ordenes_Odoo'!J2302="","",'Ordenes_Odoo'!J2302)</f>
        <v/>
      </c>
      <c r="K2302" s="81">
        <f>IF('Ordenes_Odoo'!K2302="","",'Ordenes_Odoo'!K2302)</f>
        <v/>
      </c>
      <c r="L2302" s="81">
        <f>IF('Ordenes_Odoo'!L2302="","",'Ordenes_Odoo'!L2302)</f>
        <v/>
      </c>
      <c r="M2302" s="79">
        <f>IF('Ordenes_Odoo'!M2302="","",'Ordenes_Odoo'!M2302)</f>
        <v/>
      </c>
      <c r="N2302" s="79">
        <f>IF('Ordenes_Odoo'!N2302="","",'Ordenes_Odoo'!N2302)</f>
        <v/>
      </c>
      <c r="O2302" s="81">
        <f>IF('Ordenes_Odoo'!O2302="","",'Ordenes_Odoo'!O2302)</f>
        <v/>
      </c>
      <c r="P2302" s="81">
        <f>IF('Ordenes_Odoo'!P2302="","",'Ordenes_Odoo'!P2302)</f>
        <v/>
      </c>
      <c r="Q2302" s="79">
        <f>IF(A2302="","",IFERROR(INDEX(Facturas_Odoo!$B:$B, MATCH(A2302, Facturas_Odoo!$D:$D, 0)), "Sin Factura"))</f>
        <v/>
      </c>
      <c r="R2302" s="80">
        <f>IF(Q2302="Sin Factura","",IFERROR(INDEX(Facturas_Odoo!$A:$A, MATCH(Q2302, Facturas_Odoo!$B:$B, 0)), ""))</f>
        <v/>
      </c>
      <c r="S2302" s="79">
        <f>IF(Q2302="Sin Factura","",IFERROR(_xlfn.XLOOKUP(1, (Facturas_Odoo!$D:$D=A2302) * (Facturas_Odoo!$K:$K=I2302), Facturas_Odoo!$L:$L, ""), ""))</f>
        <v/>
      </c>
      <c r="T2302" s="81">
        <f>IF(Q2302="Sin Factura",0,IFERROR(_xlfn.XLOOKUP(1, (Facturas_Odoo!$D:$D=A2302) * (Facturas_Odoo!$K:$K=I2302), Facturas_Odoo!$M:$M, 0), 0))</f>
        <v/>
      </c>
      <c r="U2302" s="79">
        <f>IF(Q2302="Sin Factura",0,IFERROR(_xlfn.XLOOKUP(1, (Facturas_Odoo!$D:$D=A2302) * (Facturas_Odoo!$K:$K=I2302), Facturas_Odoo!$N:$N, 0), 0))</f>
        <v/>
      </c>
      <c r="V2302" s="79">
        <f>IF(Q2302="Sin Factura",0,IFERROR(_xlfn.XLOOKUP(1, (Facturas_Odoo!$D:$D=A2302) * (Facturas_Odoo!$K:$K=I2302), Facturas_Odoo!$O:$O, 0), 0))</f>
        <v/>
      </c>
      <c r="W2302" s="81">
        <f>IF(Q2302="Sin Factura",0,IFERROR(_xlfn.XLOOKUP(1, (Facturas_Odoo!$D:$D=A2302) * (Facturas_Odoo!$K:$K=I2302), Facturas_Odoo!$Q:$Q, 0), 0))</f>
        <v/>
      </c>
      <c r="X2302" s="79">
        <f>IF(OR(Q2302="Sin Factura",Q2302=""),"",IFERROR(INDEX(Pagos_Odoo!$B:$B, MATCH(Q2302, Pagos_Odoo!$I:$I, 0)), "Sin Pago"))</f>
        <v/>
      </c>
      <c r="Y2302" s="79">
        <f>IF(X2302="Sin Pago","",IFERROR(INDEX(Pagos_Odoo!$C:$C, MATCH(X2302, Pagos_Odoo!$B:$B, 0)), ""))</f>
        <v/>
      </c>
      <c r="Z2302" s="80">
        <f>IF(X2302="Sin Pago","",IFERROR(INDEX(Pagos_Odoo!$A:$A, MATCH(X2302, Pagos_Odoo!$B:$B, 0)), ""))</f>
        <v/>
      </c>
      <c r="AA2302" s="79">
        <f>IF(X2302="Sin Pago","",IFERROR(INDEX(Pagos_Odoo!$F:$F, MATCH(X2302, Pagos_Odoo!$B:$B, 0)), ""))</f>
        <v/>
      </c>
      <c r="AB2302" s="81">
        <f>IF(X2302="Sin Pago",0,IFERROR(INDEX(Pagos_Odoo!$E:$E, MATCH(X2302, Pagos_Odoo!$B:$B, 0)), 0))</f>
        <v/>
      </c>
      <c r="AC2302" s="79">
        <f>IF(X2302="Sin Pago","",IFERROR(INDEX(Pagos_Odoo!$G:$G, MATCH(X2302, Pagos_Odoo!$B:$B, 0)), ""))</f>
        <v/>
      </c>
      <c r="AD2302" s="82" t="n">
        <v>0</v>
      </c>
      <c r="AE2302" s="82" t="n"/>
      <c r="AF2302" s="82" t="n"/>
      <c r="AG2302" s="82">
        <f>IF(AN2302="","",AD2302+AE2302+AF2302)</f>
        <v/>
      </c>
      <c r="AH2302" s="81">
        <f>IF(AN2302="","",P2302*(1-AG2302))</f>
        <v/>
      </c>
      <c r="AI2302" s="81">
        <f>IF(AN2302="","",IF(Q2302="Sin Factura",0,IFERROR(INDEX(Facturas_Odoo!$H:$H, MATCH(Q2302, Facturas_Odoo!$B:$B, 0)), 0)*(1-AG2302)))</f>
        <v/>
      </c>
      <c r="AJ2302" s="81">
        <f>IF(AN2302="","",_xlfn.LET(idVenta, AN2302&amp;"",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02" s="81">
        <f>IF(AN2302="","",AH2302-AJ2302)</f>
        <v/>
      </c>
      <c r="AL2302" s="81">
        <f>IF(AN2302="","",IF(Q2302="Sin Factura","",AI2302-AJ2302))</f>
        <v/>
      </c>
      <c r="AM2302" s="81">
        <f>IF(AN2302="","",IF(Q2302="Sin Factura",0,P2302-IFERROR(INDEX(Facturas_Odoo!$H:$H, MATCH(Q2302, Facturas_Odoo!$B:$B, 0)), 0)))</f>
        <v/>
      </c>
      <c r="AN2302" s="79">
        <f>IF(AND(A2302="", J2302=""), "", IF(A2302&lt;&gt;"", VALUE(MID(A2302,2,LEN(A2302))), AN2301))</f>
        <v/>
      </c>
      <c r="AO2302" s="79">
        <f>IF(AN2302="","",IF(AD2302=0,"OK",_xlfn.LET(monedaPago, IF(AA2302="","USD",AA2302), limitePermitido, IFERROR(VLOOKUP(monedaPago, Configuración!$A$2:$B$3, 2, FALSE), 0.15), IF(AD2302&gt;limitePermitido, "ALERTA: EXCESO (" &amp; TEXT(limitePermitido, "0%") &amp; " máx)", "OK"))))</f>
        <v/>
      </c>
      <c r="AP2302" s="79">
        <f>IF(AN2302="","",IF(AE2302=0,"OK",_xlfn.LET(fechaPago, Z2302, fechaFactura, R2302, diasCredito, IF(E2302="Pago inmediato", 0, IFERROR(VALUE(MID(E2302, 1, SEARCH(" ", E2302)-1)),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02" s="79">
        <f>IF(AN2302="","",IF(AND(N2302&gt;0, AG2302&gt;0), IF(Configuración!$K$2="NO", "ALERTA: DESCUENTO DOBLE NO PERMITIDO", "OK"), "OK"))</f>
        <v/>
      </c>
      <c r="AR2302" s="79">
        <f>IF(AN2302="","",IF(OR(AO2302&lt;&gt;"OK", AP2302&lt;&gt;"OK", AQ2302&lt;&gt;"OK"), "⚠️ REVISAR", "OK"))</f>
        <v/>
      </c>
    </row>
    <row r="2303">
      <c r="A2303" s="79">
        <f>IF('Ordenes_Odoo'!A2303="","",'Ordenes_Odoo'!A2303)</f>
        <v/>
      </c>
      <c r="B2303" s="80">
        <f>IF('Ordenes_Odoo'!B2303="","",'Ordenes_Odoo'!B2303)</f>
        <v/>
      </c>
      <c r="C2303" s="79">
        <f>IF('Ordenes_Odoo'!C2303="","",'Ordenes_Odoo'!C2303)</f>
        <v/>
      </c>
      <c r="D2303" s="79">
        <f>IF('Ordenes_Odoo'!D2303="","",'Ordenes_Odoo'!D2303)</f>
        <v/>
      </c>
      <c r="E2303" s="79">
        <f>IF('Ordenes_Odoo'!E2303="","",'Ordenes_Odoo'!E2303)</f>
        <v/>
      </c>
      <c r="F2303" s="79">
        <f>IF('Ordenes_Odoo'!F2303="","",'Ordenes_Odoo'!F2303)</f>
        <v/>
      </c>
      <c r="G2303" s="79">
        <f>IF('Ordenes_Odoo'!G2303="","",'Ordenes_Odoo'!G2303)</f>
        <v/>
      </c>
      <c r="H2303" s="79">
        <f>IF('Ordenes_Odoo'!H2303="","",'Ordenes_Odoo'!H2303)</f>
        <v/>
      </c>
      <c r="I2303" s="79">
        <f>IF('Ordenes_Odoo'!I2303="","",'Ordenes_Odoo'!I2303)</f>
        <v/>
      </c>
      <c r="J2303" s="79">
        <f>IF('Ordenes_Odoo'!J2303="","",'Ordenes_Odoo'!J2303)</f>
        <v/>
      </c>
      <c r="K2303" s="81">
        <f>IF('Ordenes_Odoo'!K2303="","",'Ordenes_Odoo'!K2303)</f>
        <v/>
      </c>
      <c r="L2303" s="81">
        <f>IF('Ordenes_Odoo'!L2303="","",'Ordenes_Odoo'!L2303)</f>
        <v/>
      </c>
      <c r="M2303" s="79">
        <f>IF('Ordenes_Odoo'!M2303="","",'Ordenes_Odoo'!M2303)</f>
        <v/>
      </c>
      <c r="N2303" s="79">
        <f>IF('Ordenes_Odoo'!N2303="","",'Ordenes_Odoo'!N2303)</f>
        <v/>
      </c>
      <c r="O2303" s="81">
        <f>IF('Ordenes_Odoo'!O2303="","",'Ordenes_Odoo'!O2303)</f>
        <v/>
      </c>
      <c r="P2303" s="81">
        <f>IF('Ordenes_Odoo'!P2303="","",'Ordenes_Odoo'!P2303)</f>
        <v/>
      </c>
      <c r="Q2303" s="79">
        <f>IF(A2303="","",IFERROR(INDEX(Facturas_Odoo!$B:$B, MATCH(A2303, Facturas_Odoo!$D:$D, 0)), "Sin Factura"))</f>
        <v/>
      </c>
      <c r="R2303" s="80">
        <f>IF(Q2303="Sin Factura","",IFERROR(INDEX(Facturas_Odoo!$A:$A, MATCH(Q2303, Facturas_Odoo!$B:$B, 0)), ""))</f>
        <v/>
      </c>
      <c r="S2303" s="79">
        <f>IF(Q2303="Sin Factura","",IFERROR(_xlfn.XLOOKUP(1, (Facturas_Odoo!$D:$D=A2303) * (Facturas_Odoo!$K:$K=I2303), Facturas_Odoo!$L:$L, ""), ""))</f>
        <v/>
      </c>
      <c r="T2303" s="81">
        <f>IF(Q2303="Sin Factura",0,IFERROR(_xlfn.XLOOKUP(1, (Facturas_Odoo!$D:$D=A2303) * (Facturas_Odoo!$K:$K=I2303), Facturas_Odoo!$M:$M, 0), 0))</f>
        <v/>
      </c>
      <c r="U2303" s="79">
        <f>IF(Q2303="Sin Factura",0,IFERROR(_xlfn.XLOOKUP(1, (Facturas_Odoo!$D:$D=A2303) * (Facturas_Odoo!$K:$K=I2303), Facturas_Odoo!$N:$N, 0), 0))</f>
        <v/>
      </c>
      <c r="V2303" s="79">
        <f>IF(Q2303="Sin Factura",0,IFERROR(_xlfn.XLOOKUP(1, (Facturas_Odoo!$D:$D=A2303) * (Facturas_Odoo!$K:$K=I2303), Facturas_Odoo!$O:$O, 0), 0))</f>
        <v/>
      </c>
      <c r="W2303" s="81">
        <f>IF(Q2303="Sin Factura",0,IFERROR(_xlfn.XLOOKUP(1, (Facturas_Odoo!$D:$D=A2303) * (Facturas_Odoo!$K:$K=I2303), Facturas_Odoo!$Q:$Q, 0), 0))</f>
        <v/>
      </c>
      <c r="X2303" s="79">
        <f>IF(OR(Q2303="Sin Factura",Q2303=""),"",IFERROR(INDEX(Pagos_Odoo!$B:$B, MATCH(Q2303, Pagos_Odoo!$I:$I, 0)), "Sin Pago"))</f>
        <v/>
      </c>
      <c r="Y2303" s="79">
        <f>IF(X2303="Sin Pago","",IFERROR(INDEX(Pagos_Odoo!$C:$C, MATCH(X2303, Pagos_Odoo!$B:$B, 0)), ""))</f>
        <v/>
      </c>
      <c r="Z2303" s="80">
        <f>IF(X2303="Sin Pago","",IFERROR(INDEX(Pagos_Odoo!$A:$A, MATCH(X2303, Pagos_Odoo!$B:$B, 0)), ""))</f>
        <v/>
      </c>
      <c r="AA2303" s="79">
        <f>IF(X2303="Sin Pago","",IFERROR(INDEX(Pagos_Odoo!$F:$F, MATCH(X2303, Pagos_Odoo!$B:$B, 0)), ""))</f>
        <v/>
      </c>
      <c r="AB2303" s="81">
        <f>IF(X2303="Sin Pago",0,IFERROR(INDEX(Pagos_Odoo!$E:$E, MATCH(X2303, Pagos_Odoo!$B:$B, 0)), 0))</f>
        <v/>
      </c>
      <c r="AC2303" s="79">
        <f>IF(X2303="Sin Pago","",IFERROR(INDEX(Pagos_Odoo!$G:$G, MATCH(X2303, Pagos_Odoo!$B:$B, 0)), ""))</f>
        <v/>
      </c>
      <c r="AD2303" s="82" t="n">
        <v>0</v>
      </c>
      <c r="AE2303" s="82" t="n"/>
      <c r="AF2303" s="82" t="n"/>
      <c r="AG2303" s="82">
        <f>IF(AN2303="","",AD2303+AE2303+AF2303)</f>
        <v/>
      </c>
      <c r="AH2303" s="81">
        <f>IF(AN2303="","",P2303*(1-AG2303))</f>
        <v/>
      </c>
      <c r="AI2303" s="81">
        <f>IF(AN2303="","",IF(Q2303="Sin Factura",0,IFERROR(INDEX(Facturas_Odoo!$H:$H, MATCH(Q2303, Facturas_Odoo!$B:$B, 0)), 0)*(1-AG2303)))</f>
        <v/>
      </c>
      <c r="AJ2303" s="81">
        <f>IF(AN2303="","",_xlfn.LET(idVenta, AN2303&amp;"",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03" s="81">
        <f>IF(AN2303="","",AH2303-AJ2303)</f>
        <v/>
      </c>
      <c r="AL2303" s="81">
        <f>IF(AN2303="","",IF(Q2303="Sin Factura","",AI2303-AJ2303))</f>
        <v/>
      </c>
      <c r="AM2303" s="81">
        <f>IF(AN2303="","",IF(Q2303="Sin Factura",0,P2303-IFERROR(INDEX(Facturas_Odoo!$H:$H, MATCH(Q2303, Facturas_Odoo!$B:$B, 0)), 0)))</f>
        <v/>
      </c>
      <c r="AN2303" s="79">
        <f>IF(AND(A2303="", J2303=""), "", IF(A2303&lt;&gt;"", VALUE(MID(A2303,2,LEN(A2303))), AN2302))</f>
        <v/>
      </c>
      <c r="AO2303" s="79">
        <f>IF(AN2303="","",IF(AD2303=0,"OK",_xlfn.LET(monedaPago, IF(AA2303="","USD",AA2303), limitePermitido, IFERROR(VLOOKUP(monedaPago, Configuración!$A$2:$B$3, 2, FALSE), 0.15), IF(AD2303&gt;limitePermitido, "ALERTA: EXCESO (" &amp; TEXT(limitePermitido, "0%") &amp; " máx)", "OK"))))</f>
        <v/>
      </c>
      <c r="AP2303" s="79">
        <f>IF(AN2303="","",IF(AE2303=0,"OK",_xlfn.LET(fechaPago, Z2303, fechaFactura, R2303, diasCredito, IF(E2303="Pago inmediato", 0, IFERROR(VALUE(MID(E2303, 1, SEARCH(" ", E2303)-1)),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03" s="79">
        <f>IF(AN2303="","",IF(AND(N2303&gt;0, AG2303&gt;0), IF(Configuración!$K$2="NO", "ALERTA: DESCUENTO DOBLE NO PERMITIDO", "OK"), "OK"))</f>
        <v/>
      </c>
      <c r="AR2303" s="79">
        <f>IF(AN2303="","",IF(OR(AO2303&lt;&gt;"OK", AP2303&lt;&gt;"OK", AQ2303&lt;&gt;"OK"), "⚠️ REVISAR", "OK"))</f>
        <v/>
      </c>
    </row>
    <row r="2304">
      <c r="A2304" s="79">
        <f>IF('Ordenes_Odoo'!A2304="","",'Ordenes_Odoo'!A2304)</f>
        <v/>
      </c>
      <c r="B2304" s="80">
        <f>IF('Ordenes_Odoo'!B2304="","",'Ordenes_Odoo'!B2304)</f>
        <v/>
      </c>
      <c r="C2304" s="79">
        <f>IF('Ordenes_Odoo'!C2304="","",'Ordenes_Odoo'!C2304)</f>
        <v/>
      </c>
      <c r="D2304" s="79">
        <f>IF('Ordenes_Odoo'!D2304="","",'Ordenes_Odoo'!D2304)</f>
        <v/>
      </c>
      <c r="E2304" s="79">
        <f>IF('Ordenes_Odoo'!E2304="","",'Ordenes_Odoo'!E2304)</f>
        <v/>
      </c>
      <c r="F2304" s="79">
        <f>IF('Ordenes_Odoo'!F2304="","",'Ordenes_Odoo'!F2304)</f>
        <v/>
      </c>
      <c r="G2304" s="79">
        <f>IF('Ordenes_Odoo'!G2304="","",'Ordenes_Odoo'!G2304)</f>
        <v/>
      </c>
      <c r="H2304" s="79">
        <f>IF('Ordenes_Odoo'!H2304="","",'Ordenes_Odoo'!H2304)</f>
        <v/>
      </c>
      <c r="I2304" s="79">
        <f>IF('Ordenes_Odoo'!I2304="","",'Ordenes_Odoo'!I2304)</f>
        <v/>
      </c>
      <c r="J2304" s="79">
        <f>IF('Ordenes_Odoo'!J2304="","",'Ordenes_Odoo'!J2304)</f>
        <v/>
      </c>
      <c r="K2304" s="81">
        <f>IF('Ordenes_Odoo'!K2304="","",'Ordenes_Odoo'!K2304)</f>
        <v/>
      </c>
      <c r="L2304" s="81">
        <f>IF('Ordenes_Odoo'!L2304="","",'Ordenes_Odoo'!L2304)</f>
        <v/>
      </c>
      <c r="M2304" s="79">
        <f>IF('Ordenes_Odoo'!M2304="","",'Ordenes_Odoo'!M2304)</f>
        <v/>
      </c>
      <c r="N2304" s="79">
        <f>IF('Ordenes_Odoo'!N2304="","",'Ordenes_Odoo'!N2304)</f>
        <v/>
      </c>
      <c r="O2304" s="81">
        <f>IF('Ordenes_Odoo'!O2304="","",'Ordenes_Odoo'!O2304)</f>
        <v/>
      </c>
      <c r="P2304" s="81">
        <f>IF('Ordenes_Odoo'!P2304="","",'Ordenes_Odoo'!P2304)</f>
        <v/>
      </c>
      <c r="Q2304" s="79">
        <f>IF(A2304="","",IFERROR(INDEX(Facturas_Odoo!$B:$B, MATCH(A2304, Facturas_Odoo!$D:$D, 0)), "Sin Factura"))</f>
        <v/>
      </c>
      <c r="R2304" s="80">
        <f>IF(Q2304="Sin Factura","",IFERROR(INDEX(Facturas_Odoo!$A:$A, MATCH(Q2304, Facturas_Odoo!$B:$B, 0)), ""))</f>
        <v/>
      </c>
      <c r="S2304" s="79">
        <f>IF(Q2304="Sin Factura","",IFERROR(_xlfn.XLOOKUP(1, (Facturas_Odoo!$D:$D=A2304) * (Facturas_Odoo!$K:$K=I2304), Facturas_Odoo!$L:$L, ""), ""))</f>
        <v/>
      </c>
      <c r="T2304" s="81">
        <f>IF(Q2304="Sin Factura",0,IFERROR(_xlfn.XLOOKUP(1, (Facturas_Odoo!$D:$D=A2304) * (Facturas_Odoo!$K:$K=I2304), Facturas_Odoo!$M:$M, 0), 0))</f>
        <v/>
      </c>
      <c r="U2304" s="79">
        <f>IF(Q2304="Sin Factura",0,IFERROR(_xlfn.XLOOKUP(1, (Facturas_Odoo!$D:$D=A2304) * (Facturas_Odoo!$K:$K=I2304), Facturas_Odoo!$N:$N, 0), 0))</f>
        <v/>
      </c>
      <c r="V2304" s="79">
        <f>IF(Q2304="Sin Factura",0,IFERROR(_xlfn.XLOOKUP(1, (Facturas_Odoo!$D:$D=A2304) * (Facturas_Odoo!$K:$K=I2304), Facturas_Odoo!$O:$O, 0), 0))</f>
        <v/>
      </c>
      <c r="W2304" s="81">
        <f>IF(Q2304="Sin Factura",0,IFERROR(_xlfn.XLOOKUP(1, (Facturas_Odoo!$D:$D=A2304) * (Facturas_Odoo!$K:$K=I2304), Facturas_Odoo!$Q:$Q, 0), 0))</f>
        <v/>
      </c>
      <c r="X2304" s="79">
        <f>IF(OR(Q2304="Sin Factura",Q2304=""),"",IFERROR(INDEX(Pagos_Odoo!$B:$B, MATCH(Q2304, Pagos_Odoo!$I:$I, 0)), "Sin Pago"))</f>
        <v/>
      </c>
      <c r="Y2304" s="79">
        <f>IF(X2304="Sin Pago","",IFERROR(INDEX(Pagos_Odoo!$C:$C, MATCH(X2304, Pagos_Odoo!$B:$B, 0)), ""))</f>
        <v/>
      </c>
      <c r="Z2304" s="80">
        <f>IF(X2304="Sin Pago","",IFERROR(INDEX(Pagos_Odoo!$A:$A, MATCH(X2304, Pagos_Odoo!$B:$B, 0)), ""))</f>
        <v/>
      </c>
      <c r="AA2304" s="79">
        <f>IF(X2304="Sin Pago","",IFERROR(INDEX(Pagos_Odoo!$F:$F, MATCH(X2304, Pagos_Odoo!$B:$B, 0)), ""))</f>
        <v/>
      </c>
      <c r="AB2304" s="81">
        <f>IF(X2304="Sin Pago",0,IFERROR(INDEX(Pagos_Odoo!$E:$E, MATCH(X2304, Pagos_Odoo!$B:$B, 0)), 0))</f>
        <v/>
      </c>
      <c r="AC2304" s="79">
        <f>IF(X2304="Sin Pago","",IFERROR(INDEX(Pagos_Odoo!$G:$G, MATCH(X2304, Pagos_Odoo!$B:$B, 0)), ""))</f>
        <v/>
      </c>
      <c r="AD2304" s="82" t="n">
        <v>0</v>
      </c>
      <c r="AE2304" s="82" t="n"/>
      <c r="AF2304" s="82" t="n"/>
      <c r="AG2304" s="82">
        <f>IF(AN2304="","",AD2304+AE2304+AF2304)</f>
        <v/>
      </c>
      <c r="AH2304" s="81">
        <f>IF(AN2304="","",P2304*(1-AG2304))</f>
        <v/>
      </c>
      <c r="AI2304" s="81">
        <f>IF(AN2304="","",IF(Q2304="Sin Factura",0,IFERROR(INDEX(Facturas_Odoo!$H:$H, MATCH(Q2304, Facturas_Odoo!$B:$B, 0)), 0)*(1-AG2304)))</f>
        <v/>
      </c>
      <c r="AJ2304" s="81">
        <f>IF(AN2304="","",_xlfn.LET(idVenta, AN2304&amp;"",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04" s="81">
        <f>IF(AN2304="","",AH2304-AJ2304)</f>
        <v/>
      </c>
      <c r="AL2304" s="81">
        <f>IF(AN2304="","",IF(Q2304="Sin Factura","",AI2304-AJ2304))</f>
        <v/>
      </c>
      <c r="AM2304" s="81">
        <f>IF(AN2304="","",IF(Q2304="Sin Factura",0,P2304-IFERROR(INDEX(Facturas_Odoo!$H:$H, MATCH(Q2304, Facturas_Odoo!$B:$B, 0)), 0)))</f>
        <v/>
      </c>
      <c r="AN2304" s="79">
        <f>IF(AND(A2304="", J2304=""), "", IF(A2304&lt;&gt;"", VALUE(MID(A2304,2,LEN(A2304))), AN2303))</f>
        <v/>
      </c>
      <c r="AO2304" s="79">
        <f>IF(AN2304="","",IF(AD2304=0,"OK",_xlfn.LET(monedaPago, IF(AA2304="","USD",AA2304), limitePermitido, IFERROR(VLOOKUP(monedaPago, Configuración!$A$2:$B$3, 2, FALSE), 0.15), IF(AD2304&gt;limitePermitido, "ALERTA: EXCESO (" &amp; TEXT(limitePermitido, "0%") &amp; " máx)", "OK"))))</f>
        <v/>
      </c>
      <c r="AP2304" s="79">
        <f>IF(AN2304="","",IF(AE2304=0,"OK",_xlfn.LET(fechaPago, Z2304, fechaFactura, R2304, diasCredito, IF(E2304="Pago inmediato", 0, IFERROR(VALUE(MID(E2304, 1, SEARCH(" ", E2304)-1)),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04" s="79">
        <f>IF(AN2304="","",IF(AND(N2304&gt;0, AG2304&gt;0), IF(Configuración!$K$2="NO", "ALERTA: DESCUENTO DOBLE NO PERMITIDO", "OK"), "OK"))</f>
        <v/>
      </c>
      <c r="AR2304" s="79">
        <f>IF(AN2304="","",IF(OR(AO2304&lt;&gt;"OK", AP2304&lt;&gt;"OK", AQ2304&lt;&gt;"OK"), "⚠️ REVISAR", "OK"))</f>
        <v/>
      </c>
    </row>
    <row r="2305">
      <c r="A2305" s="79">
        <f>IF('Ordenes_Odoo'!A2305="","",'Ordenes_Odoo'!A2305)</f>
        <v/>
      </c>
      <c r="B2305" s="80">
        <f>IF('Ordenes_Odoo'!B2305="","",'Ordenes_Odoo'!B2305)</f>
        <v/>
      </c>
      <c r="C2305" s="79">
        <f>IF('Ordenes_Odoo'!C2305="","",'Ordenes_Odoo'!C2305)</f>
        <v/>
      </c>
      <c r="D2305" s="79">
        <f>IF('Ordenes_Odoo'!D2305="","",'Ordenes_Odoo'!D2305)</f>
        <v/>
      </c>
      <c r="E2305" s="79">
        <f>IF('Ordenes_Odoo'!E2305="","",'Ordenes_Odoo'!E2305)</f>
        <v/>
      </c>
      <c r="F2305" s="79">
        <f>IF('Ordenes_Odoo'!F2305="","",'Ordenes_Odoo'!F2305)</f>
        <v/>
      </c>
      <c r="G2305" s="79">
        <f>IF('Ordenes_Odoo'!G2305="","",'Ordenes_Odoo'!G2305)</f>
        <v/>
      </c>
      <c r="H2305" s="79">
        <f>IF('Ordenes_Odoo'!H2305="","",'Ordenes_Odoo'!H2305)</f>
        <v/>
      </c>
      <c r="I2305" s="79">
        <f>IF('Ordenes_Odoo'!I2305="","",'Ordenes_Odoo'!I2305)</f>
        <v/>
      </c>
      <c r="J2305" s="79">
        <f>IF('Ordenes_Odoo'!J2305="","",'Ordenes_Odoo'!J2305)</f>
        <v/>
      </c>
      <c r="K2305" s="81">
        <f>IF('Ordenes_Odoo'!K2305="","",'Ordenes_Odoo'!K2305)</f>
        <v/>
      </c>
      <c r="L2305" s="81">
        <f>IF('Ordenes_Odoo'!L2305="","",'Ordenes_Odoo'!L2305)</f>
        <v/>
      </c>
      <c r="M2305" s="79">
        <f>IF('Ordenes_Odoo'!M2305="","",'Ordenes_Odoo'!M2305)</f>
        <v/>
      </c>
      <c r="N2305" s="79">
        <f>IF('Ordenes_Odoo'!N2305="","",'Ordenes_Odoo'!N2305)</f>
        <v/>
      </c>
      <c r="O2305" s="81">
        <f>IF('Ordenes_Odoo'!O2305="","",'Ordenes_Odoo'!O2305)</f>
        <v/>
      </c>
      <c r="P2305" s="81">
        <f>IF('Ordenes_Odoo'!P2305="","",'Ordenes_Odoo'!P2305)</f>
        <v/>
      </c>
      <c r="Q2305" s="79">
        <f>IF(A2305="","",IFERROR(INDEX(Facturas_Odoo!$B:$B, MATCH(A2305, Facturas_Odoo!$D:$D, 0)), "Sin Factura"))</f>
        <v/>
      </c>
      <c r="R2305" s="80">
        <f>IF(Q2305="Sin Factura","",IFERROR(INDEX(Facturas_Odoo!$A:$A, MATCH(Q2305, Facturas_Odoo!$B:$B, 0)), ""))</f>
        <v/>
      </c>
      <c r="S2305" s="79">
        <f>IF(Q2305="Sin Factura","",IFERROR(_xlfn.XLOOKUP(1, (Facturas_Odoo!$D:$D=A2305) * (Facturas_Odoo!$K:$K=I2305), Facturas_Odoo!$L:$L, ""), ""))</f>
        <v/>
      </c>
      <c r="T2305" s="81">
        <f>IF(Q2305="Sin Factura",0,IFERROR(_xlfn.XLOOKUP(1, (Facturas_Odoo!$D:$D=A2305) * (Facturas_Odoo!$K:$K=I2305), Facturas_Odoo!$M:$M, 0), 0))</f>
        <v/>
      </c>
      <c r="U2305" s="79">
        <f>IF(Q2305="Sin Factura",0,IFERROR(_xlfn.XLOOKUP(1, (Facturas_Odoo!$D:$D=A2305) * (Facturas_Odoo!$K:$K=I2305), Facturas_Odoo!$N:$N, 0), 0))</f>
        <v/>
      </c>
      <c r="V2305" s="79">
        <f>IF(Q2305="Sin Factura",0,IFERROR(_xlfn.XLOOKUP(1, (Facturas_Odoo!$D:$D=A2305) * (Facturas_Odoo!$K:$K=I2305), Facturas_Odoo!$O:$O, 0), 0))</f>
        <v/>
      </c>
      <c r="W2305" s="81">
        <f>IF(Q2305="Sin Factura",0,IFERROR(_xlfn.XLOOKUP(1, (Facturas_Odoo!$D:$D=A2305) * (Facturas_Odoo!$K:$K=I2305), Facturas_Odoo!$Q:$Q, 0), 0))</f>
        <v/>
      </c>
      <c r="X2305" s="79">
        <f>IF(OR(Q2305="Sin Factura",Q2305=""),"",IFERROR(INDEX(Pagos_Odoo!$B:$B, MATCH(Q2305, Pagos_Odoo!$I:$I, 0)), "Sin Pago"))</f>
        <v/>
      </c>
      <c r="Y2305" s="79">
        <f>IF(X2305="Sin Pago","",IFERROR(INDEX(Pagos_Odoo!$C:$C, MATCH(X2305, Pagos_Odoo!$B:$B, 0)), ""))</f>
        <v/>
      </c>
      <c r="Z2305" s="80">
        <f>IF(X2305="Sin Pago","",IFERROR(INDEX(Pagos_Odoo!$A:$A, MATCH(X2305, Pagos_Odoo!$B:$B, 0)), ""))</f>
        <v/>
      </c>
      <c r="AA2305" s="79">
        <f>IF(X2305="Sin Pago","",IFERROR(INDEX(Pagos_Odoo!$F:$F, MATCH(X2305, Pagos_Odoo!$B:$B, 0)), ""))</f>
        <v/>
      </c>
      <c r="AB2305" s="81">
        <f>IF(X2305="Sin Pago",0,IFERROR(INDEX(Pagos_Odoo!$E:$E, MATCH(X2305, Pagos_Odoo!$B:$B, 0)), 0))</f>
        <v/>
      </c>
      <c r="AC2305" s="79">
        <f>IF(X2305="Sin Pago","",IFERROR(INDEX(Pagos_Odoo!$G:$G, MATCH(X2305, Pagos_Odoo!$B:$B, 0)), ""))</f>
        <v/>
      </c>
      <c r="AD2305" s="82" t="n">
        <v>0</v>
      </c>
      <c r="AE2305" s="82" t="n"/>
      <c r="AF2305" s="82" t="n"/>
      <c r="AG2305" s="82">
        <f>IF(AN2305="","",AD2305+AE2305+AF2305)</f>
        <v/>
      </c>
      <c r="AH2305" s="81">
        <f>IF(AN2305="","",P2305*(1-AG2305))</f>
        <v/>
      </c>
      <c r="AI2305" s="81">
        <f>IF(AN2305="","",IF(Q2305="Sin Factura",0,IFERROR(INDEX(Facturas_Odoo!$H:$H, MATCH(Q2305, Facturas_Odoo!$B:$B, 0)), 0)*(1-AG2305)))</f>
        <v/>
      </c>
      <c r="AJ2305" s="81">
        <f>IF(AN2305="","",_xlfn.LET(idVenta, AN2305&amp;"",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05" s="81">
        <f>IF(AN2305="","",AH2305-AJ2305)</f>
        <v/>
      </c>
      <c r="AL2305" s="81">
        <f>IF(AN2305="","",IF(Q2305="Sin Factura","",AI2305-AJ2305))</f>
        <v/>
      </c>
      <c r="AM2305" s="81">
        <f>IF(AN2305="","",IF(Q2305="Sin Factura",0,P2305-IFERROR(INDEX(Facturas_Odoo!$H:$H, MATCH(Q2305, Facturas_Odoo!$B:$B, 0)), 0)))</f>
        <v/>
      </c>
      <c r="AN2305" s="79">
        <f>IF(AND(A2305="", J2305=""), "", IF(A2305&lt;&gt;"", VALUE(MID(A2305,2,LEN(A2305))), AN2304))</f>
        <v/>
      </c>
      <c r="AO2305" s="79">
        <f>IF(AN2305="","",IF(AD2305=0,"OK",_xlfn.LET(monedaPago, IF(AA2305="","USD",AA2305), limitePermitido, IFERROR(VLOOKUP(monedaPago, Configuración!$A$2:$B$3, 2, FALSE), 0.15), IF(AD2305&gt;limitePermitido, "ALERTA: EXCESO (" &amp; TEXT(limitePermitido, "0%") &amp; " máx)", "OK"))))</f>
        <v/>
      </c>
      <c r="AP2305" s="79">
        <f>IF(AN2305="","",IF(AE2305=0,"OK",_xlfn.LET(fechaPago, Z2305, fechaFactura, R2305, diasCredito, IF(E2305="Pago inmediato", 0, IFERROR(VALUE(MID(E2305, 1, SEARCH(" ", E2305)-1)),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05" s="79">
        <f>IF(AN2305="","",IF(AND(N2305&gt;0, AG2305&gt;0), IF(Configuración!$K$2="NO", "ALERTA: DESCUENTO DOBLE NO PERMITIDO", "OK"), "OK"))</f>
        <v/>
      </c>
      <c r="AR2305" s="79">
        <f>IF(AN2305="","",IF(OR(AO2305&lt;&gt;"OK", AP2305&lt;&gt;"OK", AQ2305&lt;&gt;"OK"), "⚠️ REVISAR", "OK"))</f>
        <v/>
      </c>
    </row>
    <row r="2306">
      <c r="A2306" s="79">
        <f>IF('Ordenes_Odoo'!A2306="","",'Ordenes_Odoo'!A2306)</f>
        <v/>
      </c>
      <c r="B2306" s="80">
        <f>IF('Ordenes_Odoo'!B2306="","",'Ordenes_Odoo'!B2306)</f>
        <v/>
      </c>
      <c r="C2306" s="79">
        <f>IF('Ordenes_Odoo'!C2306="","",'Ordenes_Odoo'!C2306)</f>
        <v/>
      </c>
      <c r="D2306" s="79">
        <f>IF('Ordenes_Odoo'!D2306="","",'Ordenes_Odoo'!D2306)</f>
        <v/>
      </c>
      <c r="E2306" s="79">
        <f>IF('Ordenes_Odoo'!E2306="","",'Ordenes_Odoo'!E2306)</f>
        <v/>
      </c>
      <c r="F2306" s="79">
        <f>IF('Ordenes_Odoo'!F2306="","",'Ordenes_Odoo'!F2306)</f>
        <v/>
      </c>
      <c r="G2306" s="79">
        <f>IF('Ordenes_Odoo'!G2306="","",'Ordenes_Odoo'!G2306)</f>
        <v/>
      </c>
      <c r="H2306" s="79">
        <f>IF('Ordenes_Odoo'!H2306="","",'Ordenes_Odoo'!H2306)</f>
        <v/>
      </c>
      <c r="I2306" s="79">
        <f>IF('Ordenes_Odoo'!I2306="","",'Ordenes_Odoo'!I2306)</f>
        <v/>
      </c>
      <c r="J2306" s="79">
        <f>IF('Ordenes_Odoo'!J2306="","",'Ordenes_Odoo'!J2306)</f>
        <v/>
      </c>
      <c r="K2306" s="81">
        <f>IF('Ordenes_Odoo'!K2306="","",'Ordenes_Odoo'!K2306)</f>
        <v/>
      </c>
      <c r="L2306" s="81">
        <f>IF('Ordenes_Odoo'!L2306="","",'Ordenes_Odoo'!L2306)</f>
        <v/>
      </c>
      <c r="M2306" s="79">
        <f>IF('Ordenes_Odoo'!M2306="","",'Ordenes_Odoo'!M2306)</f>
        <v/>
      </c>
      <c r="N2306" s="79">
        <f>IF('Ordenes_Odoo'!N2306="","",'Ordenes_Odoo'!N2306)</f>
        <v/>
      </c>
      <c r="O2306" s="81">
        <f>IF('Ordenes_Odoo'!O2306="","",'Ordenes_Odoo'!O2306)</f>
        <v/>
      </c>
      <c r="P2306" s="81">
        <f>IF('Ordenes_Odoo'!P2306="","",'Ordenes_Odoo'!P2306)</f>
        <v/>
      </c>
      <c r="Q2306" s="79">
        <f>IF(A2306="","",IFERROR(INDEX(Facturas_Odoo!$B:$B, MATCH(A2306, Facturas_Odoo!$D:$D, 0)), "Sin Factura"))</f>
        <v/>
      </c>
      <c r="R2306" s="80">
        <f>IF(Q2306="Sin Factura","",IFERROR(INDEX(Facturas_Odoo!$A:$A, MATCH(Q2306, Facturas_Odoo!$B:$B, 0)), ""))</f>
        <v/>
      </c>
      <c r="S2306" s="79">
        <f>IF(Q2306="Sin Factura","",IFERROR(_xlfn.XLOOKUP(1, (Facturas_Odoo!$D:$D=A2306) * (Facturas_Odoo!$K:$K=I2306), Facturas_Odoo!$L:$L, ""), ""))</f>
        <v/>
      </c>
      <c r="T2306" s="81">
        <f>IF(Q2306="Sin Factura",0,IFERROR(_xlfn.XLOOKUP(1, (Facturas_Odoo!$D:$D=A2306) * (Facturas_Odoo!$K:$K=I2306), Facturas_Odoo!$M:$M, 0), 0))</f>
        <v/>
      </c>
      <c r="U2306" s="79">
        <f>IF(Q2306="Sin Factura",0,IFERROR(_xlfn.XLOOKUP(1, (Facturas_Odoo!$D:$D=A2306) * (Facturas_Odoo!$K:$K=I2306), Facturas_Odoo!$N:$N, 0), 0))</f>
        <v/>
      </c>
      <c r="V2306" s="79">
        <f>IF(Q2306="Sin Factura",0,IFERROR(_xlfn.XLOOKUP(1, (Facturas_Odoo!$D:$D=A2306) * (Facturas_Odoo!$K:$K=I2306), Facturas_Odoo!$O:$O, 0), 0))</f>
        <v/>
      </c>
      <c r="W2306" s="81">
        <f>IF(Q2306="Sin Factura",0,IFERROR(_xlfn.XLOOKUP(1, (Facturas_Odoo!$D:$D=A2306) * (Facturas_Odoo!$K:$K=I2306), Facturas_Odoo!$Q:$Q, 0), 0))</f>
        <v/>
      </c>
      <c r="X2306" s="79">
        <f>IF(OR(Q2306="Sin Factura",Q2306=""),"",IFERROR(INDEX(Pagos_Odoo!$B:$B, MATCH(Q2306, Pagos_Odoo!$I:$I, 0)), "Sin Pago"))</f>
        <v/>
      </c>
      <c r="Y2306" s="79">
        <f>IF(X2306="Sin Pago","",IFERROR(INDEX(Pagos_Odoo!$C:$C, MATCH(X2306, Pagos_Odoo!$B:$B, 0)), ""))</f>
        <v/>
      </c>
      <c r="Z2306" s="80">
        <f>IF(X2306="Sin Pago","",IFERROR(INDEX(Pagos_Odoo!$A:$A, MATCH(X2306, Pagos_Odoo!$B:$B, 0)), ""))</f>
        <v/>
      </c>
      <c r="AA2306" s="79">
        <f>IF(X2306="Sin Pago","",IFERROR(INDEX(Pagos_Odoo!$F:$F, MATCH(X2306, Pagos_Odoo!$B:$B, 0)), ""))</f>
        <v/>
      </c>
      <c r="AB2306" s="81">
        <f>IF(X2306="Sin Pago",0,IFERROR(INDEX(Pagos_Odoo!$E:$E, MATCH(X2306, Pagos_Odoo!$B:$B, 0)), 0))</f>
        <v/>
      </c>
      <c r="AC2306" s="79">
        <f>IF(X2306="Sin Pago","",IFERROR(INDEX(Pagos_Odoo!$G:$G, MATCH(X2306, Pagos_Odoo!$B:$B, 0)), ""))</f>
        <v/>
      </c>
      <c r="AD2306" s="82" t="n">
        <v>0</v>
      </c>
      <c r="AE2306" s="82" t="n"/>
      <c r="AF2306" s="82" t="n"/>
      <c r="AG2306" s="82">
        <f>IF(AN2306="","",AD2306+AE2306+AF2306)</f>
        <v/>
      </c>
      <c r="AH2306" s="81">
        <f>IF(AN2306="","",P2306*(1-AG2306))</f>
        <v/>
      </c>
      <c r="AI2306" s="81">
        <f>IF(AN2306="","",IF(Q2306="Sin Factura",0,IFERROR(INDEX(Facturas_Odoo!$H:$H, MATCH(Q2306, Facturas_Odoo!$B:$B, 0)), 0)*(1-AG2306)))</f>
        <v/>
      </c>
      <c r="AJ2306" s="81">
        <f>IF(AN2306="","",_xlfn.LET(idVenta, AN2306&amp;"",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06" s="81">
        <f>IF(AN2306="","",AH2306-AJ2306)</f>
        <v/>
      </c>
      <c r="AL2306" s="81">
        <f>IF(AN2306="","",IF(Q2306="Sin Factura","",AI2306-AJ2306))</f>
        <v/>
      </c>
      <c r="AM2306" s="81">
        <f>IF(AN2306="","",IF(Q2306="Sin Factura",0,P2306-IFERROR(INDEX(Facturas_Odoo!$H:$H, MATCH(Q2306, Facturas_Odoo!$B:$B, 0)), 0)))</f>
        <v/>
      </c>
      <c r="AN2306" s="79">
        <f>IF(AND(A2306="", J2306=""), "", IF(A2306&lt;&gt;"", VALUE(MID(A2306,2,LEN(A2306))), AN2305))</f>
        <v/>
      </c>
      <c r="AO2306" s="79">
        <f>IF(AN2306="","",IF(AD2306=0,"OK",_xlfn.LET(monedaPago, IF(AA2306="","USD",AA2306), limitePermitido, IFERROR(VLOOKUP(monedaPago, Configuración!$A$2:$B$3, 2, FALSE), 0.15), IF(AD2306&gt;limitePermitido, "ALERTA: EXCESO (" &amp; TEXT(limitePermitido, "0%") &amp; " máx)", "OK"))))</f>
        <v/>
      </c>
      <c r="AP2306" s="79">
        <f>IF(AN2306="","",IF(AE2306=0,"OK",_xlfn.LET(fechaPago, Z2306, fechaFactura, R2306, diasCredito, IF(E2306="Pago inmediato", 0, IFERROR(VALUE(MID(E2306, 1, SEARCH(" ", E2306)-1)),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06" s="79">
        <f>IF(AN2306="","",IF(AND(N2306&gt;0, AG2306&gt;0), IF(Configuración!$K$2="NO", "ALERTA: DESCUENTO DOBLE NO PERMITIDO", "OK"), "OK"))</f>
        <v/>
      </c>
      <c r="AR2306" s="79">
        <f>IF(AN2306="","",IF(OR(AO2306&lt;&gt;"OK", AP2306&lt;&gt;"OK", AQ2306&lt;&gt;"OK"), "⚠️ REVISAR", "OK"))</f>
        <v/>
      </c>
    </row>
    <row r="2307">
      <c r="A2307" s="79">
        <f>IF('Ordenes_Odoo'!A2307="","",'Ordenes_Odoo'!A2307)</f>
        <v/>
      </c>
      <c r="B2307" s="80">
        <f>IF('Ordenes_Odoo'!B2307="","",'Ordenes_Odoo'!B2307)</f>
        <v/>
      </c>
      <c r="C2307" s="79">
        <f>IF('Ordenes_Odoo'!C2307="","",'Ordenes_Odoo'!C2307)</f>
        <v/>
      </c>
      <c r="D2307" s="79">
        <f>IF('Ordenes_Odoo'!D2307="","",'Ordenes_Odoo'!D2307)</f>
        <v/>
      </c>
      <c r="E2307" s="79">
        <f>IF('Ordenes_Odoo'!E2307="","",'Ordenes_Odoo'!E2307)</f>
        <v/>
      </c>
      <c r="F2307" s="79">
        <f>IF('Ordenes_Odoo'!F2307="","",'Ordenes_Odoo'!F2307)</f>
        <v/>
      </c>
      <c r="G2307" s="79">
        <f>IF('Ordenes_Odoo'!G2307="","",'Ordenes_Odoo'!G2307)</f>
        <v/>
      </c>
      <c r="H2307" s="79">
        <f>IF('Ordenes_Odoo'!H2307="","",'Ordenes_Odoo'!H2307)</f>
        <v/>
      </c>
      <c r="I2307" s="79">
        <f>IF('Ordenes_Odoo'!I2307="","",'Ordenes_Odoo'!I2307)</f>
        <v/>
      </c>
      <c r="J2307" s="79">
        <f>IF('Ordenes_Odoo'!J2307="","",'Ordenes_Odoo'!J2307)</f>
        <v/>
      </c>
      <c r="K2307" s="81">
        <f>IF('Ordenes_Odoo'!K2307="","",'Ordenes_Odoo'!K2307)</f>
        <v/>
      </c>
      <c r="L2307" s="81">
        <f>IF('Ordenes_Odoo'!L2307="","",'Ordenes_Odoo'!L2307)</f>
        <v/>
      </c>
      <c r="M2307" s="79">
        <f>IF('Ordenes_Odoo'!M2307="","",'Ordenes_Odoo'!M2307)</f>
        <v/>
      </c>
      <c r="N2307" s="79">
        <f>IF('Ordenes_Odoo'!N2307="","",'Ordenes_Odoo'!N2307)</f>
        <v/>
      </c>
      <c r="O2307" s="81">
        <f>IF('Ordenes_Odoo'!O2307="","",'Ordenes_Odoo'!O2307)</f>
        <v/>
      </c>
      <c r="P2307" s="81">
        <f>IF('Ordenes_Odoo'!P2307="","",'Ordenes_Odoo'!P2307)</f>
        <v/>
      </c>
      <c r="Q2307" s="79">
        <f>IF(A2307="","",IFERROR(INDEX(Facturas_Odoo!$B:$B, MATCH(A2307, Facturas_Odoo!$D:$D, 0)), "Sin Factura"))</f>
        <v/>
      </c>
      <c r="R2307" s="80">
        <f>IF(Q2307="Sin Factura","",IFERROR(INDEX(Facturas_Odoo!$A:$A, MATCH(Q2307, Facturas_Odoo!$B:$B, 0)), ""))</f>
        <v/>
      </c>
      <c r="S2307" s="79">
        <f>IF(Q2307="Sin Factura","",IFERROR(_xlfn.XLOOKUP(1, (Facturas_Odoo!$D:$D=A2307) * (Facturas_Odoo!$K:$K=I2307), Facturas_Odoo!$L:$L, ""), ""))</f>
        <v/>
      </c>
      <c r="T2307" s="81">
        <f>IF(Q2307="Sin Factura",0,IFERROR(_xlfn.XLOOKUP(1, (Facturas_Odoo!$D:$D=A2307) * (Facturas_Odoo!$K:$K=I2307), Facturas_Odoo!$M:$M, 0), 0))</f>
        <v/>
      </c>
      <c r="U2307" s="79">
        <f>IF(Q2307="Sin Factura",0,IFERROR(_xlfn.XLOOKUP(1, (Facturas_Odoo!$D:$D=A2307) * (Facturas_Odoo!$K:$K=I2307), Facturas_Odoo!$N:$N, 0), 0))</f>
        <v/>
      </c>
      <c r="V2307" s="79">
        <f>IF(Q2307="Sin Factura",0,IFERROR(_xlfn.XLOOKUP(1, (Facturas_Odoo!$D:$D=A2307) * (Facturas_Odoo!$K:$K=I2307), Facturas_Odoo!$O:$O, 0), 0))</f>
        <v/>
      </c>
      <c r="W2307" s="81">
        <f>IF(Q2307="Sin Factura",0,IFERROR(_xlfn.XLOOKUP(1, (Facturas_Odoo!$D:$D=A2307) * (Facturas_Odoo!$K:$K=I2307), Facturas_Odoo!$Q:$Q, 0), 0))</f>
        <v/>
      </c>
      <c r="X2307" s="79">
        <f>IF(OR(Q2307="Sin Factura",Q2307=""),"",IFERROR(INDEX(Pagos_Odoo!$B:$B, MATCH(Q2307, Pagos_Odoo!$I:$I, 0)), "Sin Pago"))</f>
        <v/>
      </c>
      <c r="Y2307" s="79">
        <f>IF(X2307="Sin Pago","",IFERROR(INDEX(Pagos_Odoo!$C:$C, MATCH(X2307, Pagos_Odoo!$B:$B, 0)), ""))</f>
        <v/>
      </c>
      <c r="Z2307" s="80">
        <f>IF(X2307="Sin Pago","",IFERROR(INDEX(Pagos_Odoo!$A:$A, MATCH(X2307, Pagos_Odoo!$B:$B, 0)), ""))</f>
        <v/>
      </c>
      <c r="AA2307" s="79">
        <f>IF(X2307="Sin Pago","",IFERROR(INDEX(Pagos_Odoo!$F:$F, MATCH(X2307, Pagos_Odoo!$B:$B, 0)), ""))</f>
        <v/>
      </c>
      <c r="AB2307" s="81">
        <f>IF(X2307="Sin Pago",0,IFERROR(INDEX(Pagos_Odoo!$E:$E, MATCH(X2307, Pagos_Odoo!$B:$B, 0)), 0))</f>
        <v/>
      </c>
      <c r="AC2307" s="79">
        <f>IF(X2307="Sin Pago","",IFERROR(INDEX(Pagos_Odoo!$G:$G, MATCH(X2307, Pagos_Odoo!$B:$B, 0)), ""))</f>
        <v/>
      </c>
      <c r="AD2307" s="82" t="n">
        <v>0</v>
      </c>
      <c r="AE2307" s="82" t="n"/>
      <c r="AF2307" s="82" t="n"/>
      <c r="AG2307" s="82">
        <f>IF(AN2307="","",AD2307+AE2307+AF2307)</f>
        <v/>
      </c>
      <c r="AH2307" s="81">
        <f>IF(AN2307="","",P2307*(1-AG2307))</f>
        <v/>
      </c>
      <c r="AI2307" s="81">
        <f>IF(AN2307="","",IF(Q2307="Sin Factura",0,IFERROR(INDEX(Facturas_Odoo!$H:$H, MATCH(Q2307, Facturas_Odoo!$B:$B, 0)), 0)*(1-AG2307)))</f>
        <v/>
      </c>
      <c r="AJ2307" s="81">
        <f>IF(AN2307="","",_xlfn.LET(idVenta, AN2307&amp;"",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07" s="81">
        <f>IF(AN2307="","",AH2307-AJ2307)</f>
        <v/>
      </c>
      <c r="AL2307" s="81">
        <f>IF(AN2307="","",IF(Q2307="Sin Factura","",AI2307-AJ2307))</f>
        <v/>
      </c>
      <c r="AM2307" s="81">
        <f>IF(AN2307="","",IF(Q2307="Sin Factura",0,P2307-IFERROR(INDEX(Facturas_Odoo!$H:$H, MATCH(Q2307, Facturas_Odoo!$B:$B, 0)), 0)))</f>
        <v/>
      </c>
      <c r="AN2307" s="79">
        <f>IF(AND(A2307="", J2307=""), "", IF(A2307&lt;&gt;"", VALUE(MID(A2307,2,LEN(A2307))), AN2306))</f>
        <v/>
      </c>
      <c r="AO2307" s="79">
        <f>IF(AN2307="","",IF(AD2307=0,"OK",_xlfn.LET(monedaPago, IF(AA2307="","USD",AA2307), limitePermitido, IFERROR(VLOOKUP(monedaPago, Configuración!$A$2:$B$3, 2, FALSE), 0.15), IF(AD2307&gt;limitePermitido, "ALERTA: EXCESO (" &amp; TEXT(limitePermitido, "0%") &amp; " máx)", "OK"))))</f>
        <v/>
      </c>
      <c r="AP2307" s="79">
        <f>IF(AN2307="","",IF(AE2307=0,"OK",_xlfn.LET(fechaPago, Z2307, fechaFactura, R2307, diasCredito, IF(E2307="Pago inmediato", 0, IFERROR(VALUE(MID(E2307, 1, SEARCH(" ", E2307)-1)),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07" s="79">
        <f>IF(AN2307="","",IF(AND(N2307&gt;0, AG2307&gt;0), IF(Configuración!$K$2="NO", "ALERTA: DESCUENTO DOBLE NO PERMITIDO", "OK"), "OK"))</f>
        <v/>
      </c>
      <c r="AR2307" s="79">
        <f>IF(AN2307="","",IF(OR(AO2307&lt;&gt;"OK", AP2307&lt;&gt;"OK", AQ2307&lt;&gt;"OK"), "⚠️ REVISAR", "OK"))</f>
        <v/>
      </c>
    </row>
    <row r="2308">
      <c r="A2308" s="79">
        <f>IF('Ordenes_Odoo'!A2308="","",'Ordenes_Odoo'!A2308)</f>
        <v/>
      </c>
      <c r="B2308" s="80">
        <f>IF('Ordenes_Odoo'!B2308="","",'Ordenes_Odoo'!B2308)</f>
        <v/>
      </c>
      <c r="C2308" s="79">
        <f>IF('Ordenes_Odoo'!C2308="","",'Ordenes_Odoo'!C2308)</f>
        <v/>
      </c>
      <c r="D2308" s="79">
        <f>IF('Ordenes_Odoo'!D2308="","",'Ordenes_Odoo'!D2308)</f>
        <v/>
      </c>
      <c r="E2308" s="79">
        <f>IF('Ordenes_Odoo'!E2308="","",'Ordenes_Odoo'!E2308)</f>
        <v/>
      </c>
      <c r="F2308" s="79">
        <f>IF('Ordenes_Odoo'!F2308="","",'Ordenes_Odoo'!F2308)</f>
        <v/>
      </c>
      <c r="G2308" s="79">
        <f>IF('Ordenes_Odoo'!G2308="","",'Ordenes_Odoo'!G2308)</f>
        <v/>
      </c>
      <c r="H2308" s="79">
        <f>IF('Ordenes_Odoo'!H2308="","",'Ordenes_Odoo'!H2308)</f>
        <v/>
      </c>
      <c r="I2308" s="79">
        <f>IF('Ordenes_Odoo'!I2308="","",'Ordenes_Odoo'!I2308)</f>
        <v/>
      </c>
      <c r="J2308" s="79">
        <f>IF('Ordenes_Odoo'!J2308="","",'Ordenes_Odoo'!J2308)</f>
        <v/>
      </c>
      <c r="K2308" s="81">
        <f>IF('Ordenes_Odoo'!K2308="","",'Ordenes_Odoo'!K2308)</f>
        <v/>
      </c>
      <c r="L2308" s="81">
        <f>IF('Ordenes_Odoo'!L2308="","",'Ordenes_Odoo'!L2308)</f>
        <v/>
      </c>
      <c r="M2308" s="79">
        <f>IF('Ordenes_Odoo'!M2308="","",'Ordenes_Odoo'!M2308)</f>
        <v/>
      </c>
      <c r="N2308" s="79">
        <f>IF('Ordenes_Odoo'!N2308="","",'Ordenes_Odoo'!N2308)</f>
        <v/>
      </c>
      <c r="O2308" s="81">
        <f>IF('Ordenes_Odoo'!O2308="","",'Ordenes_Odoo'!O2308)</f>
        <v/>
      </c>
      <c r="P2308" s="81">
        <f>IF('Ordenes_Odoo'!P2308="","",'Ordenes_Odoo'!P2308)</f>
        <v/>
      </c>
      <c r="Q2308" s="79">
        <f>IF(A2308="","",IFERROR(INDEX(Facturas_Odoo!$B:$B, MATCH(A2308, Facturas_Odoo!$D:$D, 0)), "Sin Factura"))</f>
        <v/>
      </c>
      <c r="R2308" s="80">
        <f>IF(Q2308="Sin Factura","",IFERROR(INDEX(Facturas_Odoo!$A:$A, MATCH(Q2308, Facturas_Odoo!$B:$B, 0)), ""))</f>
        <v/>
      </c>
      <c r="S2308" s="79">
        <f>IF(Q2308="Sin Factura","",IFERROR(_xlfn.XLOOKUP(1, (Facturas_Odoo!$D:$D=A2308) * (Facturas_Odoo!$K:$K=I2308), Facturas_Odoo!$L:$L, ""), ""))</f>
        <v/>
      </c>
      <c r="T2308" s="81">
        <f>IF(Q2308="Sin Factura",0,IFERROR(_xlfn.XLOOKUP(1, (Facturas_Odoo!$D:$D=A2308) * (Facturas_Odoo!$K:$K=I2308), Facturas_Odoo!$M:$M, 0), 0))</f>
        <v/>
      </c>
      <c r="U2308" s="79">
        <f>IF(Q2308="Sin Factura",0,IFERROR(_xlfn.XLOOKUP(1, (Facturas_Odoo!$D:$D=A2308) * (Facturas_Odoo!$K:$K=I2308), Facturas_Odoo!$N:$N, 0), 0))</f>
        <v/>
      </c>
      <c r="V2308" s="79">
        <f>IF(Q2308="Sin Factura",0,IFERROR(_xlfn.XLOOKUP(1, (Facturas_Odoo!$D:$D=A2308) * (Facturas_Odoo!$K:$K=I2308), Facturas_Odoo!$O:$O, 0), 0))</f>
        <v/>
      </c>
      <c r="W2308" s="81">
        <f>IF(Q2308="Sin Factura",0,IFERROR(_xlfn.XLOOKUP(1, (Facturas_Odoo!$D:$D=A2308) * (Facturas_Odoo!$K:$K=I2308), Facturas_Odoo!$Q:$Q, 0), 0))</f>
        <v/>
      </c>
      <c r="X2308" s="79">
        <f>IF(OR(Q2308="Sin Factura",Q2308=""),"",IFERROR(INDEX(Pagos_Odoo!$B:$B, MATCH(Q2308, Pagos_Odoo!$I:$I, 0)), "Sin Pago"))</f>
        <v/>
      </c>
      <c r="Y2308" s="79">
        <f>IF(X2308="Sin Pago","",IFERROR(INDEX(Pagos_Odoo!$C:$C, MATCH(X2308, Pagos_Odoo!$B:$B, 0)), ""))</f>
        <v/>
      </c>
      <c r="Z2308" s="80">
        <f>IF(X2308="Sin Pago","",IFERROR(INDEX(Pagos_Odoo!$A:$A, MATCH(X2308, Pagos_Odoo!$B:$B, 0)), ""))</f>
        <v/>
      </c>
      <c r="AA2308" s="79">
        <f>IF(X2308="Sin Pago","",IFERROR(INDEX(Pagos_Odoo!$F:$F, MATCH(X2308, Pagos_Odoo!$B:$B, 0)), ""))</f>
        <v/>
      </c>
      <c r="AB2308" s="81">
        <f>IF(X2308="Sin Pago",0,IFERROR(INDEX(Pagos_Odoo!$E:$E, MATCH(X2308, Pagos_Odoo!$B:$B, 0)), 0))</f>
        <v/>
      </c>
      <c r="AC2308" s="79">
        <f>IF(X2308="Sin Pago","",IFERROR(INDEX(Pagos_Odoo!$G:$G, MATCH(X2308, Pagos_Odoo!$B:$B, 0)), ""))</f>
        <v/>
      </c>
      <c r="AD2308" s="82" t="n">
        <v>0</v>
      </c>
      <c r="AE2308" s="82" t="n"/>
      <c r="AF2308" s="82" t="n"/>
      <c r="AG2308" s="82">
        <f>IF(AN2308="","",AD2308+AE2308+AF2308)</f>
        <v/>
      </c>
      <c r="AH2308" s="81">
        <f>IF(AN2308="","",P2308*(1-AG2308))</f>
        <v/>
      </c>
      <c r="AI2308" s="81">
        <f>IF(AN2308="","",IF(Q2308="Sin Factura",0,IFERROR(INDEX(Facturas_Odoo!$H:$H, MATCH(Q2308, Facturas_Odoo!$B:$B, 0)), 0)*(1-AG2308)))</f>
        <v/>
      </c>
      <c r="AJ2308" s="81">
        <f>IF(AN2308="","",_xlfn.LET(idVenta, AN2308&amp;"",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08" s="81">
        <f>IF(AN2308="","",AH2308-AJ2308)</f>
        <v/>
      </c>
      <c r="AL2308" s="81">
        <f>IF(AN2308="","",IF(Q2308="Sin Factura","",AI2308-AJ2308))</f>
        <v/>
      </c>
      <c r="AM2308" s="81">
        <f>IF(AN2308="","",IF(Q2308="Sin Factura",0,P2308-IFERROR(INDEX(Facturas_Odoo!$H:$H, MATCH(Q2308, Facturas_Odoo!$B:$B, 0)), 0)))</f>
        <v/>
      </c>
      <c r="AN2308" s="79">
        <f>IF(AND(A2308="", J2308=""), "", IF(A2308&lt;&gt;"", VALUE(MID(A2308,2,LEN(A2308))), AN2307))</f>
        <v/>
      </c>
      <c r="AO2308" s="79">
        <f>IF(AN2308="","",IF(AD2308=0,"OK",_xlfn.LET(monedaPago, IF(AA2308="","USD",AA2308), limitePermitido, IFERROR(VLOOKUP(monedaPago, Configuración!$A$2:$B$3, 2, FALSE), 0.15), IF(AD2308&gt;limitePermitido, "ALERTA: EXCESO (" &amp; TEXT(limitePermitido, "0%") &amp; " máx)", "OK"))))</f>
        <v/>
      </c>
      <c r="AP2308" s="79">
        <f>IF(AN2308="","",IF(AE2308=0,"OK",_xlfn.LET(fechaPago, Z2308, fechaFactura, R2308, diasCredito, IF(E2308="Pago inmediato", 0, IFERROR(VALUE(MID(E2308, 1, SEARCH(" ", E2308)-1)),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08" s="79">
        <f>IF(AN2308="","",IF(AND(N2308&gt;0, AG2308&gt;0), IF(Configuración!$K$2="NO", "ALERTA: DESCUENTO DOBLE NO PERMITIDO", "OK"), "OK"))</f>
        <v/>
      </c>
      <c r="AR2308" s="79">
        <f>IF(AN2308="","",IF(OR(AO2308&lt;&gt;"OK", AP2308&lt;&gt;"OK", AQ2308&lt;&gt;"OK"), "⚠️ REVISAR", "OK"))</f>
        <v/>
      </c>
    </row>
    <row r="2309">
      <c r="A2309" s="79">
        <f>IF('Ordenes_Odoo'!A2309="","",'Ordenes_Odoo'!A2309)</f>
        <v/>
      </c>
      <c r="B2309" s="80">
        <f>IF('Ordenes_Odoo'!B2309="","",'Ordenes_Odoo'!B2309)</f>
        <v/>
      </c>
      <c r="C2309" s="79">
        <f>IF('Ordenes_Odoo'!C2309="","",'Ordenes_Odoo'!C2309)</f>
        <v/>
      </c>
      <c r="D2309" s="79">
        <f>IF('Ordenes_Odoo'!D2309="","",'Ordenes_Odoo'!D2309)</f>
        <v/>
      </c>
      <c r="E2309" s="79">
        <f>IF('Ordenes_Odoo'!E2309="","",'Ordenes_Odoo'!E2309)</f>
        <v/>
      </c>
      <c r="F2309" s="79">
        <f>IF('Ordenes_Odoo'!F2309="","",'Ordenes_Odoo'!F2309)</f>
        <v/>
      </c>
      <c r="G2309" s="79">
        <f>IF('Ordenes_Odoo'!G2309="","",'Ordenes_Odoo'!G2309)</f>
        <v/>
      </c>
      <c r="H2309" s="79">
        <f>IF('Ordenes_Odoo'!H2309="","",'Ordenes_Odoo'!H2309)</f>
        <v/>
      </c>
      <c r="I2309" s="79">
        <f>IF('Ordenes_Odoo'!I2309="","",'Ordenes_Odoo'!I2309)</f>
        <v/>
      </c>
      <c r="J2309" s="79">
        <f>IF('Ordenes_Odoo'!J2309="","",'Ordenes_Odoo'!J2309)</f>
        <v/>
      </c>
      <c r="K2309" s="81">
        <f>IF('Ordenes_Odoo'!K2309="","",'Ordenes_Odoo'!K2309)</f>
        <v/>
      </c>
      <c r="L2309" s="81">
        <f>IF('Ordenes_Odoo'!L2309="","",'Ordenes_Odoo'!L2309)</f>
        <v/>
      </c>
      <c r="M2309" s="79">
        <f>IF('Ordenes_Odoo'!M2309="","",'Ordenes_Odoo'!M2309)</f>
        <v/>
      </c>
      <c r="N2309" s="79">
        <f>IF('Ordenes_Odoo'!N2309="","",'Ordenes_Odoo'!N2309)</f>
        <v/>
      </c>
      <c r="O2309" s="81">
        <f>IF('Ordenes_Odoo'!O2309="","",'Ordenes_Odoo'!O2309)</f>
        <v/>
      </c>
      <c r="P2309" s="81">
        <f>IF('Ordenes_Odoo'!P2309="","",'Ordenes_Odoo'!P2309)</f>
        <v/>
      </c>
      <c r="Q2309" s="79">
        <f>IF(A2309="","",IFERROR(INDEX(Facturas_Odoo!$B:$B, MATCH(A2309, Facturas_Odoo!$D:$D, 0)), "Sin Factura"))</f>
        <v/>
      </c>
      <c r="R2309" s="80">
        <f>IF(Q2309="Sin Factura","",IFERROR(INDEX(Facturas_Odoo!$A:$A, MATCH(Q2309, Facturas_Odoo!$B:$B, 0)), ""))</f>
        <v/>
      </c>
      <c r="S2309" s="79">
        <f>IF(Q2309="Sin Factura","",IFERROR(_xlfn.XLOOKUP(1, (Facturas_Odoo!$D:$D=A2309) * (Facturas_Odoo!$K:$K=I2309), Facturas_Odoo!$L:$L, ""), ""))</f>
        <v/>
      </c>
      <c r="T2309" s="81">
        <f>IF(Q2309="Sin Factura",0,IFERROR(_xlfn.XLOOKUP(1, (Facturas_Odoo!$D:$D=A2309) * (Facturas_Odoo!$K:$K=I2309), Facturas_Odoo!$M:$M, 0), 0))</f>
        <v/>
      </c>
      <c r="U2309" s="79">
        <f>IF(Q2309="Sin Factura",0,IFERROR(_xlfn.XLOOKUP(1, (Facturas_Odoo!$D:$D=A2309) * (Facturas_Odoo!$K:$K=I2309), Facturas_Odoo!$N:$N, 0), 0))</f>
        <v/>
      </c>
      <c r="V2309" s="79">
        <f>IF(Q2309="Sin Factura",0,IFERROR(_xlfn.XLOOKUP(1, (Facturas_Odoo!$D:$D=A2309) * (Facturas_Odoo!$K:$K=I2309), Facturas_Odoo!$O:$O, 0), 0))</f>
        <v/>
      </c>
      <c r="W2309" s="81">
        <f>IF(Q2309="Sin Factura",0,IFERROR(_xlfn.XLOOKUP(1, (Facturas_Odoo!$D:$D=A2309) * (Facturas_Odoo!$K:$K=I2309), Facturas_Odoo!$Q:$Q, 0), 0))</f>
        <v/>
      </c>
      <c r="X2309" s="79">
        <f>IF(OR(Q2309="Sin Factura",Q2309=""),"",IFERROR(INDEX(Pagos_Odoo!$B:$B, MATCH(Q2309, Pagos_Odoo!$I:$I, 0)), "Sin Pago"))</f>
        <v/>
      </c>
      <c r="Y2309" s="79">
        <f>IF(X2309="Sin Pago","",IFERROR(INDEX(Pagos_Odoo!$C:$C, MATCH(X2309, Pagos_Odoo!$B:$B, 0)), ""))</f>
        <v/>
      </c>
      <c r="Z2309" s="80">
        <f>IF(X2309="Sin Pago","",IFERROR(INDEX(Pagos_Odoo!$A:$A, MATCH(X2309, Pagos_Odoo!$B:$B, 0)), ""))</f>
        <v/>
      </c>
      <c r="AA2309" s="79">
        <f>IF(X2309="Sin Pago","",IFERROR(INDEX(Pagos_Odoo!$F:$F, MATCH(X2309, Pagos_Odoo!$B:$B, 0)), ""))</f>
        <v/>
      </c>
      <c r="AB2309" s="81">
        <f>IF(X2309="Sin Pago",0,IFERROR(INDEX(Pagos_Odoo!$E:$E, MATCH(X2309, Pagos_Odoo!$B:$B, 0)), 0))</f>
        <v/>
      </c>
      <c r="AC2309" s="79">
        <f>IF(X2309="Sin Pago","",IFERROR(INDEX(Pagos_Odoo!$G:$G, MATCH(X2309, Pagos_Odoo!$B:$B, 0)), ""))</f>
        <v/>
      </c>
      <c r="AD2309" s="82" t="n">
        <v>0</v>
      </c>
      <c r="AE2309" s="82" t="n"/>
      <c r="AF2309" s="82" t="n"/>
      <c r="AG2309" s="82">
        <f>IF(AN2309="","",AD2309+AE2309+AF2309)</f>
        <v/>
      </c>
      <c r="AH2309" s="81">
        <f>IF(AN2309="","",P2309*(1-AG2309))</f>
        <v/>
      </c>
      <c r="AI2309" s="81">
        <f>IF(AN2309="","",IF(Q2309="Sin Factura",0,IFERROR(INDEX(Facturas_Odoo!$H:$H, MATCH(Q2309, Facturas_Odoo!$B:$B, 0)), 0)*(1-AG2309)))</f>
        <v/>
      </c>
      <c r="AJ2309" s="81">
        <f>IF(AN2309="","",_xlfn.LET(idVenta, AN2309&amp;"",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09" s="81">
        <f>IF(AN2309="","",AH2309-AJ2309)</f>
        <v/>
      </c>
      <c r="AL2309" s="81">
        <f>IF(AN2309="","",IF(Q2309="Sin Factura","",AI2309-AJ2309))</f>
        <v/>
      </c>
      <c r="AM2309" s="81">
        <f>IF(AN2309="","",IF(Q2309="Sin Factura",0,P2309-IFERROR(INDEX(Facturas_Odoo!$H:$H, MATCH(Q2309, Facturas_Odoo!$B:$B, 0)), 0)))</f>
        <v/>
      </c>
      <c r="AN2309" s="79">
        <f>IF(AND(A2309="", J2309=""), "", IF(A2309&lt;&gt;"", VALUE(MID(A2309,2,LEN(A2309))), AN2308))</f>
        <v/>
      </c>
      <c r="AO2309" s="79">
        <f>IF(AN2309="","",IF(AD2309=0,"OK",_xlfn.LET(monedaPago, IF(AA2309="","USD",AA2309), limitePermitido, IFERROR(VLOOKUP(monedaPago, Configuración!$A$2:$B$3, 2, FALSE), 0.15), IF(AD2309&gt;limitePermitido, "ALERTA: EXCESO (" &amp; TEXT(limitePermitido, "0%") &amp; " máx)", "OK"))))</f>
        <v/>
      </c>
      <c r="AP2309" s="79">
        <f>IF(AN2309="","",IF(AE2309=0,"OK",_xlfn.LET(fechaPago, Z2309, fechaFactura, R2309, diasCredito, IF(E2309="Pago inmediato", 0, IFERROR(VALUE(MID(E2309, 1, SEARCH(" ", E2309)-1)),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09" s="79">
        <f>IF(AN2309="","",IF(AND(N2309&gt;0, AG2309&gt;0), IF(Configuración!$K$2="NO", "ALERTA: DESCUENTO DOBLE NO PERMITIDO", "OK"), "OK"))</f>
        <v/>
      </c>
      <c r="AR2309" s="79">
        <f>IF(AN2309="","",IF(OR(AO2309&lt;&gt;"OK", AP2309&lt;&gt;"OK", AQ2309&lt;&gt;"OK"), "⚠️ REVISAR", "OK"))</f>
        <v/>
      </c>
    </row>
    <row r="2310">
      <c r="A2310" s="79">
        <f>IF('Ordenes_Odoo'!A2310="","",'Ordenes_Odoo'!A2310)</f>
        <v/>
      </c>
      <c r="B2310" s="80">
        <f>IF('Ordenes_Odoo'!B2310="","",'Ordenes_Odoo'!B2310)</f>
        <v/>
      </c>
      <c r="C2310" s="79">
        <f>IF('Ordenes_Odoo'!C2310="","",'Ordenes_Odoo'!C2310)</f>
        <v/>
      </c>
      <c r="D2310" s="79">
        <f>IF('Ordenes_Odoo'!D2310="","",'Ordenes_Odoo'!D2310)</f>
        <v/>
      </c>
      <c r="E2310" s="79">
        <f>IF('Ordenes_Odoo'!E2310="","",'Ordenes_Odoo'!E2310)</f>
        <v/>
      </c>
      <c r="F2310" s="79">
        <f>IF('Ordenes_Odoo'!F2310="","",'Ordenes_Odoo'!F2310)</f>
        <v/>
      </c>
      <c r="G2310" s="79">
        <f>IF('Ordenes_Odoo'!G2310="","",'Ordenes_Odoo'!G2310)</f>
        <v/>
      </c>
      <c r="H2310" s="79">
        <f>IF('Ordenes_Odoo'!H2310="","",'Ordenes_Odoo'!H2310)</f>
        <v/>
      </c>
      <c r="I2310" s="79">
        <f>IF('Ordenes_Odoo'!I2310="","",'Ordenes_Odoo'!I2310)</f>
        <v/>
      </c>
      <c r="J2310" s="79">
        <f>IF('Ordenes_Odoo'!J2310="","",'Ordenes_Odoo'!J2310)</f>
        <v/>
      </c>
      <c r="K2310" s="81">
        <f>IF('Ordenes_Odoo'!K2310="","",'Ordenes_Odoo'!K2310)</f>
        <v/>
      </c>
      <c r="L2310" s="81">
        <f>IF('Ordenes_Odoo'!L2310="","",'Ordenes_Odoo'!L2310)</f>
        <v/>
      </c>
      <c r="M2310" s="79">
        <f>IF('Ordenes_Odoo'!M2310="","",'Ordenes_Odoo'!M2310)</f>
        <v/>
      </c>
      <c r="N2310" s="79">
        <f>IF('Ordenes_Odoo'!N2310="","",'Ordenes_Odoo'!N2310)</f>
        <v/>
      </c>
      <c r="O2310" s="81">
        <f>IF('Ordenes_Odoo'!O2310="","",'Ordenes_Odoo'!O2310)</f>
        <v/>
      </c>
      <c r="P2310" s="81">
        <f>IF('Ordenes_Odoo'!P2310="","",'Ordenes_Odoo'!P2310)</f>
        <v/>
      </c>
      <c r="Q2310" s="79">
        <f>IF(A2310="","",IFERROR(INDEX(Facturas_Odoo!$B:$B, MATCH(A2310, Facturas_Odoo!$D:$D, 0)), "Sin Factura"))</f>
        <v/>
      </c>
      <c r="R2310" s="80">
        <f>IF(Q2310="Sin Factura","",IFERROR(INDEX(Facturas_Odoo!$A:$A, MATCH(Q2310, Facturas_Odoo!$B:$B, 0)), ""))</f>
        <v/>
      </c>
      <c r="S2310" s="79">
        <f>IF(Q2310="Sin Factura","",IFERROR(_xlfn.XLOOKUP(1, (Facturas_Odoo!$D:$D=A2310) * (Facturas_Odoo!$K:$K=I2310), Facturas_Odoo!$L:$L, ""), ""))</f>
        <v/>
      </c>
      <c r="T2310" s="81">
        <f>IF(Q2310="Sin Factura",0,IFERROR(_xlfn.XLOOKUP(1, (Facturas_Odoo!$D:$D=A2310) * (Facturas_Odoo!$K:$K=I2310), Facturas_Odoo!$M:$M, 0), 0))</f>
        <v/>
      </c>
      <c r="U2310" s="79">
        <f>IF(Q2310="Sin Factura",0,IFERROR(_xlfn.XLOOKUP(1, (Facturas_Odoo!$D:$D=A2310) * (Facturas_Odoo!$K:$K=I2310), Facturas_Odoo!$N:$N, 0), 0))</f>
        <v/>
      </c>
      <c r="V2310" s="79">
        <f>IF(Q2310="Sin Factura",0,IFERROR(_xlfn.XLOOKUP(1, (Facturas_Odoo!$D:$D=A2310) * (Facturas_Odoo!$K:$K=I2310), Facturas_Odoo!$O:$O, 0), 0))</f>
        <v/>
      </c>
      <c r="W2310" s="81">
        <f>IF(Q2310="Sin Factura",0,IFERROR(_xlfn.XLOOKUP(1, (Facturas_Odoo!$D:$D=A2310) * (Facturas_Odoo!$K:$K=I2310), Facturas_Odoo!$Q:$Q, 0), 0))</f>
        <v/>
      </c>
      <c r="X2310" s="79">
        <f>IF(OR(Q2310="Sin Factura",Q2310=""),"",IFERROR(INDEX(Pagos_Odoo!$B:$B, MATCH(Q2310, Pagos_Odoo!$I:$I, 0)), "Sin Pago"))</f>
        <v/>
      </c>
      <c r="Y2310" s="79">
        <f>IF(X2310="Sin Pago","",IFERROR(INDEX(Pagos_Odoo!$C:$C, MATCH(X2310, Pagos_Odoo!$B:$B, 0)), ""))</f>
        <v/>
      </c>
      <c r="Z2310" s="80">
        <f>IF(X2310="Sin Pago","",IFERROR(INDEX(Pagos_Odoo!$A:$A, MATCH(X2310, Pagos_Odoo!$B:$B, 0)), ""))</f>
        <v/>
      </c>
      <c r="AA2310" s="79">
        <f>IF(X2310="Sin Pago","",IFERROR(INDEX(Pagos_Odoo!$F:$F, MATCH(X2310, Pagos_Odoo!$B:$B, 0)), ""))</f>
        <v/>
      </c>
      <c r="AB2310" s="81">
        <f>IF(X2310="Sin Pago",0,IFERROR(INDEX(Pagos_Odoo!$E:$E, MATCH(X2310, Pagos_Odoo!$B:$B, 0)), 0))</f>
        <v/>
      </c>
      <c r="AC2310" s="79">
        <f>IF(X2310="Sin Pago","",IFERROR(INDEX(Pagos_Odoo!$G:$G, MATCH(X2310, Pagos_Odoo!$B:$B, 0)), ""))</f>
        <v/>
      </c>
      <c r="AD2310" s="82" t="n">
        <v>0</v>
      </c>
      <c r="AE2310" s="82" t="n"/>
      <c r="AF2310" s="82" t="n"/>
      <c r="AG2310" s="82">
        <f>IF(AN2310="","",AD2310+AE2310+AF2310)</f>
        <v/>
      </c>
      <c r="AH2310" s="81">
        <f>IF(AN2310="","",P2310*(1-AG2310))</f>
        <v/>
      </c>
      <c r="AI2310" s="81">
        <f>IF(AN2310="","",IF(Q2310="Sin Factura",0,IFERROR(INDEX(Facturas_Odoo!$H:$H, MATCH(Q2310, Facturas_Odoo!$B:$B, 0)), 0)*(1-AG2310)))</f>
        <v/>
      </c>
      <c r="AJ2310" s="81">
        <f>IF(AN2310="","",_xlfn.LET(idVenta, AN2310&amp;"",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10" s="81">
        <f>IF(AN2310="","",AH2310-AJ2310)</f>
        <v/>
      </c>
      <c r="AL2310" s="81">
        <f>IF(AN2310="","",IF(Q2310="Sin Factura","",AI2310-AJ2310))</f>
        <v/>
      </c>
      <c r="AM2310" s="81">
        <f>IF(AN2310="","",IF(Q2310="Sin Factura",0,P2310-IFERROR(INDEX(Facturas_Odoo!$H:$H, MATCH(Q2310, Facturas_Odoo!$B:$B, 0)), 0)))</f>
        <v/>
      </c>
      <c r="AN2310" s="79">
        <f>IF(AND(A2310="", J2310=""), "", IF(A2310&lt;&gt;"", VALUE(MID(A2310,2,LEN(A2310))), AN2309))</f>
        <v/>
      </c>
      <c r="AO2310" s="79">
        <f>IF(AN2310="","",IF(AD2310=0,"OK",_xlfn.LET(monedaPago, IF(AA2310="","USD",AA2310), limitePermitido, IFERROR(VLOOKUP(monedaPago, Configuración!$A$2:$B$3, 2, FALSE), 0.15), IF(AD2310&gt;limitePermitido, "ALERTA: EXCESO (" &amp; TEXT(limitePermitido, "0%") &amp; " máx)", "OK"))))</f>
        <v/>
      </c>
      <c r="AP2310" s="79">
        <f>IF(AN2310="","",IF(AE2310=0,"OK",_xlfn.LET(fechaPago, Z2310, fechaFactura, R2310, diasCredito, IF(E2310="Pago inmediato", 0, IFERROR(VALUE(MID(E2310, 1, SEARCH(" ", E2310)-1)),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10" s="79">
        <f>IF(AN2310="","",IF(AND(N2310&gt;0, AG2310&gt;0), IF(Configuración!$K$2="NO", "ALERTA: DESCUENTO DOBLE NO PERMITIDO", "OK"), "OK"))</f>
        <v/>
      </c>
      <c r="AR2310" s="79">
        <f>IF(AN2310="","",IF(OR(AO2310&lt;&gt;"OK", AP2310&lt;&gt;"OK", AQ2310&lt;&gt;"OK"), "⚠️ REVISAR", "OK"))</f>
        <v/>
      </c>
    </row>
    <row r="2311">
      <c r="A2311" s="79">
        <f>IF('Ordenes_Odoo'!A2311="","",'Ordenes_Odoo'!A2311)</f>
        <v/>
      </c>
      <c r="B2311" s="80">
        <f>IF('Ordenes_Odoo'!B2311="","",'Ordenes_Odoo'!B2311)</f>
        <v/>
      </c>
      <c r="C2311" s="79">
        <f>IF('Ordenes_Odoo'!C2311="","",'Ordenes_Odoo'!C2311)</f>
        <v/>
      </c>
      <c r="D2311" s="79">
        <f>IF('Ordenes_Odoo'!D2311="","",'Ordenes_Odoo'!D2311)</f>
        <v/>
      </c>
      <c r="E2311" s="79">
        <f>IF('Ordenes_Odoo'!E2311="","",'Ordenes_Odoo'!E2311)</f>
        <v/>
      </c>
      <c r="F2311" s="79">
        <f>IF('Ordenes_Odoo'!F2311="","",'Ordenes_Odoo'!F2311)</f>
        <v/>
      </c>
      <c r="G2311" s="79">
        <f>IF('Ordenes_Odoo'!G2311="","",'Ordenes_Odoo'!G2311)</f>
        <v/>
      </c>
      <c r="H2311" s="79">
        <f>IF('Ordenes_Odoo'!H2311="","",'Ordenes_Odoo'!H2311)</f>
        <v/>
      </c>
      <c r="I2311" s="79">
        <f>IF('Ordenes_Odoo'!I2311="","",'Ordenes_Odoo'!I2311)</f>
        <v/>
      </c>
      <c r="J2311" s="79">
        <f>IF('Ordenes_Odoo'!J2311="","",'Ordenes_Odoo'!J2311)</f>
        <v/>
      </c>
      <c r="K2311" s="81">
        <f>IF('Ordenes_Odoo'!K2311="","",'Ordenes_Odoo'!K2311)</f>
        <v/>
      </c>
      <c r="L2311" s="81">
        <f>IF('Ordenes_Odoo'!L2311="","",'Ordenes_Odoo'!L2311)</f>
        <v/>
      </c>
      <c r="M2311" s="79">
        <f>IF('Ordenes_Odoo'!M2311="","",'Ordenes_Odoo'!M2311)</f>
        <v/>
      </c>
      <c r="N2311" s="79">
        <f>IF('Ordenes_Odoo'!N2311="","",'Ordenes_Odoo'!N2311)</f>
        <v/>
      </c>
      <c r="O2311" s="81">
        <f>IF('Ordenes_Odoo'!O2311="","",'Ordenes_Odoo'!O2311)</f>
        <v/>
      </c>
      <c r="P2311" s="81">
        <f>IF('Ordenes_Odoo'!P2311="","",'Ordenes_Odoo'!P2311)</f>
        <v/>
      </c>
      <c r="Q2311" s="79">
        <f>IF(A2311="","",IFERROR(INDEX(Facturas_Odoo!$B:$B, MATCH(A2311, Facturas_Odoo!$D:$D, 0)), "Sin Factura"))</f>
        <v/>
      </c>
      <c r="R2311" s="80">
        <f>IF(Q2311="Sin Factura","",IFERROR(INDEX(Facturas_Odoo!$A:$A, MATCH(Q2311, Facturas_Odoo!$B:$B, 0)), ""))</f>
        <v/>
      </c>
      <c r="S2311" s="79">
        <f>IF(Q2311="Sin Factura","",IFERROR(_xlfn.XLOOKUP(1, (Facturas_Odoo!$D:$D=A2311) * (Facturas_Odoo!$K:$K=I2311), Facturas_Odoo!$L:$L, ""), ""))</f>
        <v/>
      </c>
      <c r="T2311" s="81">
        <f>IF(Q2311="Sin Factura",0,IFERROR(_xlfn.XLOOKUP(1, (Facturas_Odoo!$D:$D=A2311) * (Facturas_Odoo!$K:$K=I2311), Facturas_Odoo!$M:$M, 0), 0))</f>
        <v/>
      </c>
      <c r="U2311" s="79">
        <f>IF(Q2311="Sin Factura",0,IFERROR(_xlfn.XLOOKUP(1, (Facturas_Odoo!$D:$D=A2311) * (Facturas_Odoo!$K:$K=I2311), Facturas_Odoo!$N:$N, 0), 0))</f>
        <v/>
      </c>
      <c r="V2311" s="79">
        <f>IF(Q2311="Sin Factura",0,IFERROR(_xlfn.XLOOKUP(1, (Facturas_Odoo!$D:$D=A2311) * (Facturas_Odoo!$K:$K=I2311), Facturas_Odoo!$O:$O, 0), 0))</f>
        <v/>
      </c>
      <c r="W2311" s="81">
        <f>IF(Q2311="Sin Factura",0,IFERROR(_xlfn.XLOOKUP(1, (Facturas_Odoo!$D:$D=A2311) * (Facturas_Odoo!$K:$K=I2311), Facturas_Odoo!$Q:$Q, 0), 0))</f>
        <v/>
      </c>
      <c r="X2311" s="79">
        <f>IF(OR(Q2311="Sin Factura",Q2311=""),"",IFERROR(INDEX(Pagos_Odoo!$B:$B, MATCH(Q2311, Pagos_Odoo!$I:$I, 0)), "Sin Pago"))</f>
        <v/>
      </c>
      <c r="Y2311" s="79">
        <f>IF(X2311="Sin Pago","",IFERROR(INDEX(Pagos_Odoo!$C:$C, MATCH(X2311, Pagos_Odoo!$B:$B, 0)), ""))</f>
        <v/>
      </c>
      <c r="Z2311" s="80">
        <f>IF(X2311="Sin Pago","",IFERROR(INDEX(Pagos_Odoo!$A:$A, MATCH(X2311, Pagos_Odoo!$B:$B, 0)), ""))</f>
        <v/>
      </c>
      <c r="AA2311" s="79">
        <f>IF(X2311="Sin Pago","",IFERROR(INDEX(Pagos_Odoo!$F:$F, MATCH(X2311, Pagos_Odoo!$B:$B, 0)), ""))</f>
        <v/>
      </c>
      <c r="AB2311" s="81">
        <f>IF(X2311="Sin Pago",0,IFERROR(INDEX(Pagos_Odoo!$E:$E, MATCH(X2311, Pagos_Odoo!$B:$B, 0)), 0))</f>
        <v/>
      </c>
      <c r="AC2311" s="79">
        <f>IF(X2311="Sin Pago","",IFERROR(INDEX(Pagos_Odoo!$G:$G, MATCH(X2311, Pagos_Odoo!$B:$B, 0)), ""))</f>
        <v/>
      </c>
      <c r="AD2311" s="82" t="n">
        <v>0</v>
      </c>
      <c r="AE2311" s="82" t="n"/>
      <c r="AF2311" s="82" t="n"/>
      <c r="AG2311" s="82">
        <f>IF(AN2311="","",AD2311+AE2311+AF2311)</f>
        <v/>
      </c>
      <c r="AH2311" s="81">
        <f>IF(AN2311="","",P2311*(1-AG2311))</f>
        <v/>
      </c>
      <c r="AI2311" s="81">
        <f>IF(AN2311="","",IF(Q2311="Sin Factura",0,IFERROR(INDEX(Facturas_Odoo!$H:$H, MATCH(Q2311, Facturas_Odoo!$B:$B, 0)), 0)*(1-AG2311)))</f>
        <v/>
      </c>
      <c r="AJ2311" s="81">
        <f>IF(AN2311="","",_xlfn.LET(idVenta, AN2311&amp;"",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11" s="81">
        <f>IF(AN2311="","",AH2311-AJ2311)</f>
        <v/>
      </c>
      <c r="AL2311" s="81">
        <f>IF(AN2311="","",IF(Q2311="Sin Factura","",AI2311-AJ2311))</f>
        <v/>
      </c>
      <c r="AM2311" s="81">
        <f>IF(AN2311="","",IF(Q2311="Sin Factura",0,P2311-IFERROR(INDEX(Facturas_Odoo!$H:$H, MATCH(Q2311, Facturas_Odoo!$B:$B, 0)), 0)))</f>
        <v/>
      </c>
      <c r="AN2311" s="79">
        <f>IF(AND(A2311="", J2311=""), "", IF(A2311&lt;&gt;"", VALUE(MID(A2311,2,LEN(A2311))), AN2310))</f>
        <v/>
      </c>
      <c r="AO2311" s="79">
        <f>IF(AN2311="","",IF(AD2311=0,"OK",_xlfn.LET(monedaPago, IF(AA2311="","USD",AA2311), limitePermitido, IFERROR(VLOOKUP(monedaPago, Configuración!$A$2:$B$3, 2, FALSE), 0.15), IF(AD2311&gt;limitePermitido, "ALERTA: EXCESO (" &amp; TEXT(limitePermitido, "0%") &amp; " máx)", "OK"))))</f>
        <v/>
      </c>
      <c r="AP2311" s="79">
        <f>IF(AN2311="","",IF(AE2311=0,"OK",_xlfn.LET(fechaPago, Z2311, fechaFactura, R2311, diasCredito, IF(E2311="Pago inmediato", 0, IFERROR(VALUE(MID(E2311, 1, SEARCH(" ", E2311)-1)),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11" s="79">
        <f>IF(AN2311="","",IF(AND(N2311&gt;0, AG2311&gt;0), IF(Configuración!$K$2="NO", "ALERTA: DESCUENTO DOBLE NO PERMITIDO", "OK"), "OK"))</f>
        <v/>
      </c>
      <c r="AR2311" s="79">
        <f>IF(AN2311="","",IF(OR(AO2311&lt;&gt;"OK", AP2311&lt;&gt;"OK", AQ2311&lt;&gt;"OK"), "⚠️ REVISAR", "OK"))</f>
        <v/>
      </c>
    </row>
    <row r="2312">
      <c r="A2312" s="79">
        <f>IF('Ordenes_Odoo'!A2312="","",'Ordenes_Odoo'!A2312)</f>
        <v/>
      </c>
      <c r="B2312" s="80">
        <f>IF('Ordenes_Odoo'!B2312="","",'Ordenes_Odoo'!B2312)</f>
        <v/>
      </c>
      <c r="C2312" s="79">
        <f>IF('Ordenes_Odoo'!C2312="","",'Ordenes_Odoo'!C2312)</f>
        <v/>
      </c>
      <c r="D2312" s="79">
        <f>IF('Ordenes_Odoo'!D2312="","",'Ordenes_Odoo'!D2312)</f>
        <v/>
      </c>
      <c r="E2312" s="79">
        <f>IF('Ordenes_Odoo'!E2312="","",'Ordenes_Odoo'!E2312)</f>
        <v/>
      </c>
      <c r="F2312" s="79">
        <f>IF('Ordenes_Odoo'!F2312="","",'Ordenes_Odoo'!F2312)</f>
        <v/>
      </c>
      <c r="G2312" s="79">
        <f>IF('Ordenes_Odoo'!G2312="","",'Ordenes_Odoo'!G2312)</f>
        <v/>
      </c>
      <c r="H2312" s="79">
        <f>IF('Ordenes_Odoo'!H2312="","",'Ordenes_Odoo'!H2312)</f>
        <v/>
      </c>
      <c r="I2312" s="79">
        <f>IF('Ordenes_Odoo'!I2312="","",'Ordenes_Odoo'!I2312)</f>
        <v/>
      </c>
      <c r="J2312" s="79">
        <f>IF('Ordenes_Odoo'!J2312="","",'Ordenes_Odoo'!J2312)</f>
        <v/>
      </c>
      <c r="K2312" s="81">
        <f>IF('Ordenes_Odoo'!K2312="","",'Ordenes_Odoo'!K2312)</f>
        <v/>
      </c>
      <c r="L2312" s="81">
        <f>IF('Ordenes_Odoo'!L2312="","",'Ordenes_Odoo'!L2312)</f>
        <v/>
      </c>
      <c r="M2312" s="79">
        <f>IF('Ordenes_Odoo'!M2312="","",'Ordenes_Odoo'!M2312)</f>
        <v/>
      </c>
      <c r="N2312" s="79">
        <f>IF('Ordenes_Odoo'!N2312="","",'Ordenes_Odoo'!N2312)</f>
        <v/>
      </c>
      <c r="O2312" s="81">
        <f>IF('Ordenes_Odoo'!O2312="","",'Ordenes_Odoo'!O2312)</f>
        <v/>
      </c>
      <c r="P2312" s="81">
        <f>IF('Ordenes_Odoo'!P2312="","",'Ordenes_Odoo'!P2312)</f>
        <v/>
      </c>
      <c r="Q2312" s="79">
        <f>IF(A2312="","",IFERROR(INDEX(Facturas_Odoo!$B:$B, MATCH(A2312, Facturas_Odoo!$D:$D, 0)), "Sin Factura"))</f>
        <v/>
      </c>
      <c r="R2312" s="80">
        <f>IF(Q2312="Sin Factura","",IFERROR(INDEX(Facturas_Odoo!$A:$A, MATCH(Q2312, Facturas_Odoo!$B:$B, 0)), ""))</f>
        <v/>
      </c>
      <c r="S2312" s="79">
        <f>IF(Q2312="Sin Factura","",IFERROR(_xlfn.XLOOKUP(1, (Facturas_Odoo!$D:$D=A2312) * (Facturas_Odoo!$K:$K=I2312), Facturas_Odoo!$L:$L, ""), ""))</f>
        <v/>
      </c>
      <c r="T2312" s="81">
        <f>IF(Q2312="Sin Factura",0,IFERROR(_xlfn.XLOOKUP(1, (Facturas_Odoo!$D:$D=A2312) * (Facturas_Odoo!$K:$K=I2312), Facturas_Odoo!$M:$M, 0), 0))</f>
        <v/>
      </c>
      <c r="U2312" s="79">
        <f>IF(Q2312="Sin Factura",0,IFERROR(_xlfn.XLOOKUP(1, (Facturas_Odoo!$D:$D=A2312) * (Facturas_Odoo!$K:$K=I2312), Facturas_Odoo!$N:$N, 0), 0))</f>
        <v/>
      </c>
      <c r="V2312" s="79">
        <f>IF(Q2312="Sin Factura",0,IFERROR(_xlfn.XLOOKUP(1, (Facturas_Odoo!$D:$D=A2312) * (Facturas_Odoo!$K:$K=I2312), Facturas_Odoo!$O:$O, 0), 0))</f>
        <v/>
      </c>
      <c r="W2312" s="81">
        <f>IF(Q2312="Sin Factura",0,IFERROR(_xlfn.XLOOKUP(1, (Facturas_Odoo!$D:$D=A2312) * (Facturas_Odoo!$K:$K=I2312), Facturas_Odoo!$Q:$Q, 0), 0))</f>
        <v/>
      </c>
      <c r="X2312" s="79">
        <f>IF(OR(Q2312="Sin Factura",Q2312=""),"",IFERROR(INDEX(Pagos_Odoo!$B:$B, MATCH(Q2312, Pagos_Odoo!$I:$I, 0)), "Sin Pago"))</f>
        <v/>
      </c>
      <c r="Y2312" s="79">
        <f>IF(X2312="Sin Pago","",IFERROR(INDEX(Pagos_Odoo!$C:$C, MATCH(X2312, Pagos_Odoo!$B:$B, 0)), ""))</f>
        <v/>
      </c>
      <c r="Z2312" s="80">
        <f>IF(X2312="Sin Pago","",IFERROR(INDEX(Pagos_Odoo!$A:$A, MATCH(X2312, Pagos_Odoo!$B:$B, 0)), ""))</f>
        <v/>
      </c>
      <c r="AA2312" s="79">
        <f>IF(X2312="Sin Pago","",IFERROR(INDEX(Pagos_Odoo!$F:$F, MATCH(X2312, Pagos_Odoo!$B:$B, 0)), ""))</f>
        <v/>
      </c>
      <c r="AB2312" s="81">
        <f>IF(X2312="Sin Pago",0,IFERROR(INDEX(Pagos_Odoo!$E:$E, MATCH(X2312, Pagos_Odoo!$B:$B, 0)), 0))</f>
        <v/>
      </c>
      <c r="AC2312" s="79">
        <f>IF(X2312="Sin Pago","",IFERROR(INDEX(Pagos_Odoo!$G:$G, MATCH(X2312, Pagos_Odoo!$B:$B, 0)), ""))</f>
        <v/>
      </c>
      <c r="AD2312" s="82" t="n">
        <v>0</v>
      </c>
      <c r="AE2312" s="82" t="n"/>
      <c r="AF2312" s="82" t="n"/>
      <c r="AG2312" s="82">
        <f>IF(AN2312="","",AD2312+AE2312+AF2312)</f>
        <v/>
      </c>
      <c r="AH2312" s="81">
        <f>IF(AN2312="","",P2312*(1-AG2312))</f>
        <v/>
      </c>
      <c r="AI2312" s="81">
        <f>IF(AN2312="","",IF(Q2312="Sin Factura",0,IFERROR(INDEX(Facturas_Odoo!$H:$H, MATCH(Q2312, Facturas_Odoo!$B:$B, 0)), 0)*(1-AG2312)))</f>
        <v/>
      </c>
      <c r="AJ2312" s="81">
        <f>IF(AN2312="","",_xlfn.LET(idVenta, AN2312&amp;"",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12" s="81">
        <f>IF(AN2312="","",AH2312-AJ2312)</f>
        <v/>
      </c>
      <c r="AL2312" s="81">
        <f>IF(AN2312="","",IF(Q2312="Sin Factura","",AI2312-AJ2312))</f>
        <v/>
      </c>
      <c r="AM2312" s="81">
        <f>IF(AN2312="","",IF(Q2312="Sin Factura",0,P2312-IFERROR(INDEX(Facturas_Odoo!$H:$H, MATCH(Q2312, Facturas_Odoo!$B:$B, 0)), 0)))</f>
        <v/>
      </c>
      <c r="AN2312" s="79">
        <f>IF(AND(A2312="", J2312=""), "", IF(A2312&lt;&gt;"", VALUE(MID(A2312,2,LEN(A2312))), AN2311))</f>
        <v/>
      </c>
      <c r="AO2312" s="79">
        <f>IF(AN2312="","",IF(AD2312=0,"OK",_xlfn.LET(monedaPago, IF(AA2312="","USD",AA2312), limitePermitido, IFERROR(VLOOKUP(monedaPago, Configuración!$A$2:$B$3, 2, FALSE), 0.15), IF(AD2312&gt;limitePermitido, "ALERTA: EXCESO (" &amp; TEXT(limitePermitido, "0%") &amp; " máx)", "OK"))))</f>
        <v/>
      </c>
      <c r="AP2312" s="79">
        <f>IF(AN2312="","",IF(AE2312=0,"OK",_xlfn.LET(fechaPago, Z2312, fechaFactura, R2312, diasCredito, IF(E2312="Pago inmediato", 0, IFERROR(VALUE(MID(E2312, 1, SEARCH(" ", E2312)-1)),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12" s="79">
        <f>IF(AN2312="","",IF(AND(N2312&gt;0, AG2312&gt;0), IF(Configuración!$K$2="NO", "ALERTA: DESCUENTO DOBLE NO PERMITIDO", "OK"), "OK"))</f>
        <v/>
      </c>
      <c r="AR2312" s="79">
        <f>IF(AN2312="","",IF(OR(AO2312&lt;&gt;"OK", AP2312&lt;&gt;"OK", AQ2312&lt;&gt;"OK"), "⚠️ REVISAR", "OK"))</f>
        <v/>
      </c>
    </row>
    <row r="2313">
      <c r="A2313" s="79">
        <f>IF('Ordenes_Odoo'!A2313="","",'Ordenes_Odoo'!A2313)</f>
        <v/>
      </c>
      <c r="B2313" s="80">
        <f>IF('Ordenes_Odoo'!B2313="","",'Ordenes_Odoo'!B2313)</f>
        <v/>
      </c>
      <c r="C2313" s="79">
        <f>IF('Ordenes_Odoo'!C2313="","",'Ordenes_Odoo'!C2313)</f>
        <v/>
      </c>
      <c r="D2313" s="79">
        <f>IF('Ordenes_Odoo'!D2313="","",'Ordenes_Odoo'!D2313)</f>
        <v/>
      </c>
      <c r="E2313" s="79">
        <f>IF('Ordenes_Odoo'!E2313="","",'Ordenes_Odoo'!E2313)</f>
        <v/>
      </c>
      <c r="F2313" s="79">
        <f>IF('Ordenes_Odoo'!F2313="","",'Ordenes_Odoo'!F2313)</f>
        <v/>
      </c>
      <c r="G2313" s="79">
        <f>IF('Ordenes_Odoo'!G2313="","",'Ordenes_Odoo'!G2313)</f>
        <v/>
      </c>
      <c r="H2313" s="79">
        <f>IF('Ordenes_Odoo'!H2313="","",'Ordenes_Odoo'!H2313)</f>
        <v/>
      </c>
      <c r="I2313" s="79">
        <f>IF('Ordenes_Odoo'!I2313="","",'Ordenes_Odoo'!I2313)</f>
        <v/>
      </c>
      <c r="J2313" s="79">
        <f>IF('Ordenes_Odoo'!J2313="","",'Ordenes_Odoo'!J2313)</f>
        <v/>
      </c>
      <c r="K2313" s="81">
        <f>IF('Ordenes_Odoo'!K2313="","",'Ordenes_Odoo'!K2313)</f>
        <v/>
      </c>
      <c r="L2313" s="81">
        <f>IF('Ordenes_Odoo'!L2313="","",'Ordenes_Odoo'!L2313)</f>
        <v/>
      </c>
      <c r="M2313" s="79">
        <f>IF('Ordenes_Odoo'!M2313="","",'Ordenes_Odoo'!M2313)</f>
        <v/>
      </c>
      <c r="N2313" s="79">
        <f>IF('Ordenes_Odoo'!N2313="","",'Ordenes_Odoo'!N2313)</f>
        <v/>
      </c>
      <c r="O2313" s="81">
        <f>IF('Ordenes_Odoo'!O2313="","",'Ordenes_Odoo'!O2313)</f>
        <v/>
      </c>
      <c r="P2313" s="81">
        <f>IF('Ordenes_Odoo'!P2313="","",'Ordenes_Odoo'!P2313)</f>
        <v/>
      </c>
      <c r="Q2313" s="79">
        <f>IF(A2313="","",IFERROR(INDEX(Facturas_Odoo!$B:$B, MATCH(A2313, Facturas_Odoo!$D:$D, 0)), "Sin Factura"))</f>
        <v/>
      </c>
      <c r="R2313" s="80">
        <f>IF(Q2313="Sin Factura","",IFERROR(INDEX(Facturas_Odoo!$A:$A, MATCH(Q2313, Facturas_Odoo!$B:$B, 0)), ""))</f>
        <v/>
      </c>
      <c r="S2313" s="79">
        <f>IF(Q2313="Sin Factura","",IFERROR(_xlfn.XLOOKUP(1, (Facturas_Odoo!$D:$D=A2313) * (Facturas_Odoo!$K:$K=I2313), Facturas_Odoo!$L:$L, ""), ""))</f>
        <v/>
      </c>
      <c r="T2313" s="81">
        <f>IF(Q2313="Sin Factura",0,IFERROR(_xlfn.XLOOKUP(1, (Facturas_Odoo!$D:$D=A2313) * (Facturas_Odoo!$K:$K=I2313), Facturas_Odoo!$M:$M, 0), 0))</f>
        <v/>
      </c>
      <c r="U2313" s="79">
        <f>IF(Q2313="Sin Factura",0,IFERROR(_xlfn.XLOOKUP(1, (Facturas_Odoo!$D:$D=A2313) * (Facturas_Odoo!$K:$K=I2313), Facturas_Odoo!$N:$N, 0), 0))</f>
        <v/>
      </c>
      <c r="V2313" s="79">
        <f>IF(Q2313="Sin Factura",0,IFERROR(_xlfn.XLOOKUP(1, (Facturas_Odoo!$D:$D=A2313) * (Facturas_Odoo!$K:$K=I2313), Facturas_Odoo!$O:$O, 0), 0))</f>
        <v/>
      </c>
      <c r="W2313" s="81">
        <f>IF(Q2313="Sin Factura",0,IFERROR(_xlfn.XLOOKUP(1, (Facturas_Odoo!$D:$D=A2313) * (Facturas_Odoo!$K:$K=I2313), Facturas_Odoo!$Q:$Q, 0), 0))</f>
        <v/>
      </c>
      <c r="X2313" s="79">
        <f>IF(OR(Q2313="Sin Factura",Q2313=""),"",IFERROR(INDEX(Pagos_Odoo!$B:$B, MATCH(Q2313, Pagos_Odoo!$I:$I, 0)), "Sin Pago"))</f>
        <v/>
      </c>
      <c r="Y2313" s="79">
        <f>IF(X2313="Sin Pago","",IFERROR(INDEX(Pagos_Odoo!$C:$C, MATCH(X2313, Pagos_Odoo!$B:$B, 0)), ""))</f>
        <v/>
      </c>
      <c r="Z2313" s="80">
        <f>IF(X2313="Sin Pago","",IFERROR(INDEX(Pagos_Odoo!$A:$A, MATCH(X2313, Pagos_Odoo!$B:$B, 0)), ""))</f>
        <v/>
      </c>
      <c r="AA2313" s="79">
        <f>IF(X2313="Sin Pago","",IFERROR(INDEX(Pagos_Odoo!$F:$F, MATCH(X2313, Pagos_Odoo!$B:$B, 0)), ""))</f>
        <v/>
      </c>
      <c r="AB2313" s="81">
        <f>IF(X2313="Sin Pago",0,IFERROR(INDEX(Pagos_Odoo!$E:$E, MATCH(X2313, Pagos_Odoo!$B:$B, 0)), 0))</f>
        <v/>
      </c>
      <c r="AC2313" s="79">
        <f>IF(X2313="Sin Pago","",IFERROR(INDEX(Pagos_Odoo!$G:$G, MATCH(X2313, Pagos_Odoo!$B:$B, 0)), ""))</f>
        <v/>
      </c>
      <c r="AD2313" s="82" t="n">
        <v>0</v>
      </c>
      <c r="AE2313" s="82" t="n"/>
      <c r="AF2313" s="82" t="n"/>
      <c r="AG2313" s="82">
        <f>IF(AN2313="","",AD2313+AE2313+AF2313)</f>
        <v/>
      </c>
      <c r="AH2313" s="81">
        <f>IF(AN2313="","",P2313*(1-AG2313))</f>
        <v/>
      </c>
      <c r="AI2313" s="81">
        <f>IF(AN2313="","",IF(Q2313="Sin Factura",0,IFERROR(INDEX(Facturas_Odoo!$H:$H, MATCH(Q2313, Facturas_Odoo!$B:$B, 0)), 0)*(1-AG2313)))</f>
        <v/>
      </c>
      <c r="AJ2313" s="81">
        <f>IF(AN2313="","",_xlfn.LET(idVenta, AN2313&amp;"",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13" s="81">
        <f>IF(AN2313="","",AH2313-AJ2313)</f>
        <v/>
      </c>
      <c r="AL2313" s="81">
        <f>IF(AN2313="","",IF(Q2313="Sin Factura","",AI2313-AJ2313))</f>
        <v/>
      </c>
      <c r="AM2313" s="81">
        <f>IF(AN2313="","",IF(Q2313="Sin Factura",0,P2313-IFERROR(INDEX(Facturas_Odoo!$H:$H, MATCH(Q2313, Facturas_Odoo!$B:$B, 0)), 0)))</f>
        <v/>
      </c>
      <c r="AN2313" s="79">
        <f>IF(AND(A2313="", J2313=""), "", IF(A2313&lt;&gt;"", VALUE(MID(A2313,2,LEN(A2313))), AN2312))</f>
        <v/>
      </c>
      <c r="AO2313" s="79">
        <f>IF(AN2313="","",IF(AD2313=0,"OK",_xlfn.LET(monedaPago, IF(AA2313="","USD",AA2313), limitePermitido, IFERROR(VLOOKUP(monedaPago, Configuración!$A$2:$B$3, 2, FALSE), 0.15), IF(AD2313&gt;limitePermitido, "ALERTA: EXCESO (" &amp; TEXT(limitePermitido, "0%") &amp; " máx)", "OK"))))</f>
        <v/>
      </c>
      <c r="AP2313" s="79">
        <f>IF(AN2313="","",IF(AE2313=0,"OK",_xlfn.LET(fechaPago, Z2313, fechaFactura, R2313, diasCredito, IF(E2313="Pago inmediato", 0, IFERROR(VALUE(MID(E2313, 1, SEARCH(" ", E2313)-1)),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13" s="79">
        <f>IF(AN2313="","",IF(AND(N2313&gt;0, AG2313&gt;0), IF(Configuración!$K$2="NO", "ALERTA: DESCUENTO DOBLE NO PERMITIDO", "OK"), "OK"))</f>
        <v/>
      </c>
      <c r="AR2313" s="79">
        <f>IF(AN2313="","",IF(OR(AO2313&lt;&gt;"OK", AP2313&lt;&gt;"OK", AQ2313&lt;&gt;"OK"), "⚠️ REVISAR", "OK"))</f>
        <v/>
      </c>
    </row>
    <row r="2314">
      <c r="A2314" s="79">
        <f>IF('Ordenes_Odoo'!A2314="","",'Ordenes_Odoo'!A2314)</f>
        <v/>
      </c>
      <c r="B2314" s="80">
        <f>IF('Ordenes_Odoo'!B2314="","",'Ordenes_Odoo'!B2314)</f>
        <v/>
      </c>
      <c r="C2314" s="79">
        <f>IF('Ordenes_Odoo'!C2314="","",'Ordenes_Odoo'!C2314)</f>
        <v/>
      </c>
      <c r="D2314" s="79">
        <f>IF('Ordenes_Odoo'!D2314="","",'Ordenes_Odoo'!D2314)</f>
        <v/>
      </c>
      <c r="E2314" s="79">
        <f>IF('Ordenes_Odoo'!E2314="","",'Ordenes_Odoo'!E2314)</f>
        <v/>
      </c>
      <c r="F2314" s="79">
        <f>IF('Ordenes_Odoo'!F2314="","",'Ordenes_Odoo'!F2314)</f>
        <v/>
      </c>
      <c r="G2314" s="79">
        <f>IF('Ordenes_Odoo'!G2314="","",'Ordenes_Odoo'!G2314)</f>
        <v/>
      </c>
      <c r="H2314" s="79">
        <f>IF('Ordenes_Odoo'!H2314="","",'Ordenes_Odoo'!H2314)</f>
        <v/>
      </c>
      <c r="I2314" s="79">
        <f>IF('Ordenes_Odoo'!I2314="","",'Ordenes_Odoo'!I2314)</f>
        <v/>
      </c>
      <c r="J2314" s="79">
        <f>IF('Ordenes_Odoo'!J2314="","",'Ordenes_Odoo'!J2314)</f>
        <v/>
      </c>
      <c r="K2314" s="81">
        <f>IF('Ordenes_Odoo'!K2314="","",'Ordenes_Odoo'!K2314)</f>
        <v/>
      </c>
      <c r="L2314" s="81">
        <f>IF('Ordenes_Odoo'!L2314="","",'Ordenes_Odoo'!L2314)</f>
        <v/>
      </c>
      <c r="M2314" s="79">
        <f>IF('Ordenes_Odoo'!M2314="","",'Ordenes_Odoo'!M2314)</f>
        <v/>
      </c>
      <c r="N2314" s="79">
        <f>IF('Ordenes_Odoo'!N2314="","",'Ordenes_Odoo'!N2314)</f>
        <v/>
      </c>
      <c r="O2314" s="81">
        <f>IF('Ordenes_Odoo'!O2314="","",'Ordenes_Odoo'!O2314)</f>
        <v/>
      </c>
      <c r="P2314" s="81">
        <f>IF('Ordenes_Odoo'!P2314="","",'Ordenes_Odoo'!P2314)</f>
        <v/>
      </c>
      <c r="Q2314" s="79">
        <f>IF(A2314="","",IFERROR(INDEX(Facturas_Odoo!$B:$B, MATCH(A2314, Facturas_Odoo!$D:$D, 0)), "Sin Factura"))</f>
        <v/>
      </c>
      <c r="R2314" s="80">
        <f>IF(Q2314="Sin Factura","",IFERROR(INDEX(Facturas_Odoo!$A:$A, MATCH(Q2314, Facturas_Odoo!$B:$B, 0)), ""))</f>
        <v/>
      </c>
      <c r="S2314" s="79">
        <f>IF(Q2314="Sin Factura","",IFERROR(_xlfn.XLOOKUP(1, (Facturas_Odoo!$D:$D=A2314) * (Facturas_Odoo!$K:$K=I2314), Facturas_Odoo!$L:$L, ""), ""))</f>
        <v/>
      </c>
      <c r="T2314" s="81">
        <f>IF(Q2314="Sin Factura",0,IFERROR(_xlfn.XLOOKUP(1, (Facturas_Odoo!$D:$D=A2314) * (Facturas_Odoo!$K:$K=I2314), Facturas_Odoo!$M:$M, 0), 0))</f>
        <v/>
      </c>
      <c r="U2314" s="79">
        <f>IF(Q2314="Sin Factura",0,IFERROR(_xlfn.XLOOKUP(1, (Facturas_Odoo!$D:$D=A2314) * (Facturas_Odoo!$K:$K=I2314), Facturas_Odoo!$N:$N, 0), 0))</f>
        <v/>
      </c>
      <c r="V2314" s="79">
        <f>IF(Q2314="Sin Factura",0,IFERROR(_xlfn.XLOOKUP(1, (Facturas_Odoo!$D:$D=A2314) * (Facturas_Odoo!$K:$K=I2314), Facturas_Odoo!$O:$O, 0), 0))</f>
        <v/>
      </c>
      <c r="W2314" s="81">
        <f>IF(Q2314="Sin Factura",0,IFERROR(_xlfn.XLOOKUP(1, (Facturas_Odoo!$D:$D=A2314) * (Facturas_Odoo!$K:$K=I2314), Facturas_Odoo!$Q:$Q, 0), 0))</f>
        <v/>
      </c>
      <c r="X2314" s="79">
        <f>IF(OR(Q2314="Sin Factura",Q2314=""),"",IFERROR(INDEX(Pagos_Odoo!$B:$B, MATCH(Q2314, Pagos_Odoo!$I:$I, 0)), "Sin Pago"))</f>
        <v/>
      </c>
      <c r="Y2314" s="79">
        <f>IF(X2314="Sin Pago","",IFERROR(INDEX(Pagos_Odoo!$C:$C, MATCH(X2314, Pagos_Odoo!$B:$B, 0)), ""))</f>
        <v/>
      </c>
      <c r="Z2314" s="80">
        <f>IF(X2314="Sin Pago","",IFERROR(INDEX(Pagos_Odoo!$A:$A, MATCH(X2314, Pagos_Odoo!$B:$B, 0)), ""))</f>
        <v/>
      </c>
      <c r="AA2314" s="79">
        <f>IF(X2314="Sin Pago","",IFERROR(INDEX(Pagos_Odoo!$F:$F, MATCH(X2314, Pagos_Odoo!$B:$B, 0)), ""))</f>
        <v/>
      </c>
      <c r="AB2314" s="81">
        <f>IF(X2314="Sin Pago",0,IFERROR(INDEX(Pagos_Odoo!$E:$E, MATCH(X2314, Pagos_Odoo!$B:$B, 0)), 0))</f>
        <v/>
      </c>
      <c r="AC2314" s="79">
        <f>IF(X2314="Sin Pago","",IFERROR(INDEX(Pagos_Odoo!$G:$G, MATCH(X2314, Pagos_Odoo!$B:$B, 0)), ""))</f>
        <v/>
      </c>
      <c r="AD2314" s="82" t="n">
        <v>0</v>
      </c>
      <c r="AE2314" s="82" t="n"/>
      <c r="AF2314" s="82" t="n"/>
      <c r="AG2314" s="82">
        <f>IF(AN2314="","",AD2314+AE2314+AF2314)</f>
        <v/>
      </c>
      <c r="AH2314" s="81">
        <f>IF(AN2314="","",P2314*(1-AG2314))</f>
        <v/>
      </c>
      <c r="AI2314" s="81">
        <f>IF(AN2314="","",IF(Q2314="Sin Factura",0,IFERROR(INDEX(Facturas_Odoo!$H:$H, MATCH(Q2314, Facturas_Odoo!$B:$B, 0)), 0)*(1-AG2314)))</f>
        <v/>
      </c>
      <c r="AJ2314" s="81">
        <f>IF(AN2314="","",_xlfn.LET(idVenta, AN2314&amp;"",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14" s="81">
        <f>IF(AN2314="","",AH2314-AJ2314)</f>
        <v/>
      </c>
      <c r="AL2314" s="81">
        <f>IF(AN2314="","",IF(Q2314="Sin Factura","",AI2314-AJ2314))</f>
        <v/>
      </c>
      <c r="AM2314" s="81">
        <f>IF(AN2314="","",IF(Q2314="Sin Factura",0,P2314-IFERROR(INDEX(Facturas_Odoo!$H:$H, MATCH(Q2314, Facturas_Odoo!$B:$B, 0)), 0)))</f>
        <v/>
      </c>
      <c r="AN2314" s="79">
        <f>IF(AND(A2314="", J2314=""), "", IF(A2314&lt;&gt;"", VALUE(MID(A2314,2,LEN(A2314))), AN2313))</f>
        <v/>
      </c>
      <c r="AO2314" s="79">
        <f>IF(AN2314="","",IF(AD2314=0,"OK",_xlfn.LET(monedaPago, IF(AA2314="","USD",AA2314), limitePermitido, IFERROR(VLOOKUP(monedaPago, Configuración!$A$2:$B$3, 2, FALSE), 0.15), IF(AD2314&gt;limitePermitido, "ALERTA: EXCESO (" &amp; TEXT(limitePermitido, "0%") &amp; " máx)", "OK"))))</f>
        <v/>
      </c>
      <c r="AP2314" s="79">
        <f>IF(AN2314="","",IF(AE2314=0,"OK",_xlfn.LET(fechaPago, Z2314, fechaFactura, R2314, diasCredito, IF(E2314="Pago inmediato", 0, IFERROR(VALUE(MID(E2314, 1, SEARCH(" ", E2314)-1)),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14" s="79">
        <f>IF(AN2314="","",IF(AND(N2314&gt;0, AG2314&gt;0), IF(Configuración!$K$2="NO", "ALERTA: DESCUENTO DOBLE NO PERMITIDO", "OK"), "OK"))</f>
        <v/>
      </c>
      <c r="AR2314" s="79">
        <f>IF(AN2314="","",IF(OR(AO2314&lt;&gt;"OK", AP2314&lt;&gt;"OK", AQ2314&lt;&gt;"OK"), "⚠️ REVISAR", "OK"))</f>
        <v/>
      </c>
    </row>
    <row r="2315">
      <c r="A2315" s="79">
        <f>IF('Ordenes_Odoo'!A2315="","",'Ordenes_Odoo'!A2315)</f>
        <v/>
      </c>
      <c r="B2315" s="80">
        <f>IF('Ordenes_Odoo'!B2315="","",'Ordenes_Odoo'!B2315)</f>
        <v/>
      </c>
      <c r="C2315" s="79">
        <f>IF('Ordenes_Odoo'!C2315="","",'Ordenes_Odoo'!C2315)</f>
        <v/>
      </c>
      <c r="D2315" s="79">
        <f>IF('Ordenes_Odoo'!D2315="","",'Ordenes_Odoo'!D2315)</f>
        <v/>
      </c>
      <c r="E2315" s="79">
        <f>IF('Ordenes_Odoo'!E2315="","",'Ordenes_Odoo'!E2315)</f>
        <v/>
      </c>
      <c r="F2315" s="79">
        <f>IF('Ordenes_Odoo'!F2315="","",'Ordenes_Odoo'!F2315)</f>
        <v/>
      </c>
      <c r="G2315" s="79">
        <f>IF('Ordenes_Odoo'!G2315="","",'Ordenes_Odoo'!G2315)</f>
        <v/>
      </c>
      <c r="H2315" s="79">
        <f>IF('Ordenes_Odoo'!H2315="","",'Ordenes_Odoo'!H2315)</f>
        <v/>
      </c>
      <c r="I2315" s="79">
        <f>IF('Ordenes_Odoo'!I2315="","",'Ordenes_Odoo'!I2315)</f>
        <v/>
      </c>
      <c r="J2315" s="79">
        <f>IF('Ordenes_Odoo'!J2315="","",'Ordenes_Odoo'!J2315)</f>
        <v/>
      </c>
      <c r="K2315" s="81">
        <f>IF('Ordenes_Odoo'!K2315="","",'Ordenes_Odoo'!K2315)</f>
        <v/>
      </c>
      <c r="L2315" s="81">
        <f>IF('Ordenes_Odoo'!L2315="","",'Ordenes_Odoo'!L2315)</f>
        <v/>
      </c>
      <c r="M2315" s="79">
        <f>IF('Ordenes_Odoo'!M2315="","",'Ordenes_Odoo'!M2315)</f>
        <v/>
      </c>
      <c r="N2315" s="79">
        <f>IF('Ordenes_Odoo'!N2315="","",'Ordenes_Odoo'!N2315)</f>
        <v/>
      </c>
      <c r="O2315" s="81">
        <f>IF('Ordenes_Odoo'!O2315="","",'Ordenes_Odoo'!O2315)</f>
        <v/>
      </c>
      <c r="P2315" s="81">
        <f>IF('Ordenes_Odoo'!P2315="","",'Ordenes_Odoo'!P2315)</f>
        <v/>
      </c>
      <c r="Q2315" s="79">
        <f>IF(A2315="","",IFERROR(INDEX(Facturas_Odoo!$B:$B, MATCH(A2315, Facturas_Odoo!$D:$D, 0)), "Sin Factura"))</f>
        <v/>
      </c>
      <c r="R2315" s="80">
        <f>IF(Q2315="Sin Factura","",IFERROR(INDEX(Facturas_Odoo!$A:$A, MATCH(Q2315, Facturas_Odoo!$B:$B, 0)), ""))</f>
        <v/>
      </c>
      <c r="S2315" s="79">
        <f>IF(Q2315="Sin Factura","",IFERROR(_xlfn.XLOOKUP(1, (Facturas_Odoo!$D:$D=A2315) * (Facturas_Odoo!$K:$K=I2315), Facturas_Odoo!$L:$L, ""), ""))</f>
        <v/>
      </c>
      <c r="T2315" s="81">
        <f>IF(Q2315="Sin Factura",0,IFERROR(_xlfn.XLOOKUP(1, (Facturas_Odoo!$D:$D=A2315) * (Facturas_Odoo!$K:$K=I2315), Facturas_Odoo!$M:$M, 0), 0))</f>
        <v/>
      </c>
      <c r="U2315" s="79">
        <f>IF(Q2315="Sin Factura",0,IFERROR(_xlfn.XLOOKUP(1, (Facturas_Odoo!$D:$D=A2315) * (Facturas_Odoo!$K:$K=I2315), Facturas_Odoo!$N:$N, 0), 0))</f>
        <v/>
      </c>
      <c r="V2315" s="79">
        <f>IF(Q2315="Sin Factura",0,IFERROR(_xlfn.XLOOKUP(1, (Facturas_Odoo!$D:$D=A2315) * (Facturas_Odoo!$K:$K=I2315), Facturas_Odoo!$O:$O, 0), 0))</f>
        <v/>
      </c>
      <c r="W2315" s="81">
        <f>IF(Q2315="Sin Factura",0,IFERROR(_xlfn.XLOOKUP(1, (Facturas_Odoo!$D:$D=A2315) * (Facturas_Odoo!$K:$K=I2315), Facturas_Odoo!$Q:$Q, 0), 0))</f>
        <v/>
      </c>
      <c r="X2315" s="79">
        <f>IF(OR(Q2315="Sin Factura",Q2315=""),"",IFERROR(INDEX(Pagos_Odoo!$B:$B, MATCH(Q2315, Pagos_Odoo!$I:$I, 0)), "Sin Pago"))</f>
        <v/>
      </c>
      <c r="Y2315" s="79">
        <f>IF(X2315="Sin Pago","",IFERROR(INDEX(Pagos_Odoo!$C:$C, MATCH(X2315, Pagos_Odoo!$B:$B, 0)), ""))</f>
        <v/>
      </c>
      <c r="Z2315" s="80">
        <f>IF(X2315="Sin Pago","",IFERROR(INDEX(Pagos_Odoo!$A:$A, MATCH(X2315, Pagos_Odoo!$B:$B, 0)), ""))</f>
        <v/>
      </c>
      <c r="AA2315" s="79">
        <f>IF(X2315="Sin Pago","",IFERROR(INDEX(Pagos_Odoo!$F:$F, MATCH(X2315, Pagos_Odoo!$B:$B, 0)), ""))</f>
        <v/>
      </c>
      <c r="AB2315" s="81">
        <f>IF(X2315="Sin Pago",0,IFERROR(INDEX(Pagos_Odoo!$E:$E, MATCH(X2315, Pagos_Odoo!$B:$B, 0)), 0))</f>
        <v/>
      </c>
      <c r="AC2315" s="79">
        <f>IF(X2315="Sin Pago","",IFERROR(INDEX(Pagos_Odoo!$G:$G, MATCH(X2315, Pagos_Odoo!$B:$B, 0)), ""))</f>
        <v/>
      </c>
      <c r="AD2315" s="82" t="n">
        <v>0</v>
      </c>
      <c r="AE2315" s="82" t="n"/>
      <c r="AF2315" s="82" t="n"/>
      <c r="AG2315" s="82">
        <f>IF(AN2315="","",AD2315+AE2315+AF2315)</f>
        <v/>
      </c>
      <c r="AH2315" s="81">
        <f>IF(AN2315="","",P2315*(1-AG2315))</f>
        <v/>
      </c>
      <c r="AI2315" s="81">
        <f>IF(AN2315="","",IF(Q2315="Sin Factura",0,IFERROR(INDEX(Facturas_Odoo!$H:$H, MATCH(Q2315, Facturas_Odoo!$B:$B, 0)), 0)*(1-AG2315)))</f>
        <v/>
      </c>
      <c r="AJ2315" s="81">
        <f>IF(AN2315="","",_xlfn.LET(idVenta, AN2315&amp;"",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15" s="81">
        <f>IF(AN2315="","",AH2315-AJ2315)</f>
        <v/>
      </c>
      <c r="AL2315" s="81">
        <f>IF(AN2315="","",IF(Q2315="Sin Factura","",AI2315-AJ2315))</f>
        <v/>
      </c>
      <c r="AM2315" s="81">
        <f>IF(AN2315="","",IF(Q2315="Sin Factura",0,P2315-IFERROR(INDEX(Facturas_Odoo!$H:$H, MATCH(Q2315, Facturas_Odoo!$B:$B, 0)), 0)))</f>
        <v/>
      </c>
      <c r="AN2315" s="79">
        <f>IF(AND(A2315="", J2315=""), "", IF(A2315&lt;&gt;"", VALUE(MID(A2315,2,LEN(A2315))), AN2314))</f>
        <v/>
      </c>
      <c r="AO2315" s="79">
        <f>IF(AN2315="","",IF(AD2315=0,"OK",_xlfn.LET(monedaPago, IF(AA2315="","USD",AA2315), limitePermitido, IFERROR(VLOOKUP(monedaPago, Configuración!$A$2:$B$3, 2, FALSE), 0.15), IF(AD2315&gt;limitePermitido, "ALERTA: EXCESO (" &amp; TEXT(limitePermitido, "0%") &amp; " máx)", "OK"))))</f>
        <v/>
      </c>
      <c r="AP2315" s="79">
        <f>IF(AN2315="","",IF(AE2315=0,"OK",_xlfn.LET(fechaPago, Z2315, fechaFactura, R2315, diasCredito, IF(E2315="Pago inmediato", 0, IFERROR(VALUE(MID(E2315, 1, SEARCH(" ", E2315)-1)),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15" s="79">
        <f>IF(AN2315="","",IF(AND(N2315&gt;0, AG2315&gt;0), IF(Configuración!$K$2="NO", "ALERTA: DESCUENTO DOBLE NO PERMITIDO", "OK"), "OK"))</f>
        <v/>
      </c>
      <c r="AR2315" s="79">
        <f>IF(AN2315="","",IF(OR(AO2315&lt;&gt;"OK", AP2315&lt;&gt;"OK", AQ2315&lt;&gt;"OK"), "⚠️ REVISAR", "OK"))</f>
        <v/>
      </c>
    </row>
    <row r="2316">
      <c r="A2316" s="79">
        <f>IF('Ordenes_Odoo'!A2316="","",'Ordenes_Odoo'!A2316)</f>
        <v/>
      </c>
      <c r="B2316" s="80">
        <f>IF('Ordenes_Odoo'!B2316="","",'Ordenes_Odoo'!B2316)</f>
        <v/>
      </c>
      <c r="C2316" s="79">
        <f>IF('Ordenes_Odoo'!C2316="","",'Ordenes_Odoo'!C2316)</f>
        <v/>
      </c>
      <c r="D2316" s="79">
        <f>IF('Ordenes_Odoo'!D2316="","",'Ordenes_Odoo'!D2316)</f>
        <v/>
      </c>
      <c r="E2316" s="79">
        <f>IF('Ordenes_Odoo'!E2316="","",'Ordenes_Odoo'!E2316)</f>
        <v/>
      </c>
      <c r="F2316" s="79">
        <f>IF('Ordenes_Odoo'!F2316="","",'Ordenes_Odoo'!F2316)</f>
        <v/>
      </c>
      <c r="G2316" s="79">
        <f>IF('Ordenes_Odoo'!G2316="","",'Ordenes_Odoo'!G2316)</f>
        <v/>
      </c>
      <c r="H2316" s="79">
        <f>IF('Ordenes_Odoo'!H2316="","",'Ordenes_Odoo'!H2316)</f>
        <v/>
      </c>
      <c r="I2316" s="79">
        <f>IF('Ordenes_Odoo'!I2316="","",'Ordenes_Odoo'!I2316)</f>
        <v/>
      </c>
      <c r="J2316" s="79">
        <f>IF('Ordenes_Odoo'!J2316="","",'Ordenes_Odoo'!J2316)</f>
        <v/>
      </c>
      <c r="K2316" s="81">
        <f>IF('Ordenes_Odoo'!K2316="","",'Ordenes_Odoo'!K2316)</f>
        <v/>
      </c>
      <c r="L2316" s="81">
        <f>IF('Ordenes_Odoo'!L2316="","",'Ordenes_Odoo'!L2316)</f>
        <v/>
      </c>
      <c r="M2316" s="79">
        <f>IF('Ordenes_Odoo'!M2316="","",'Ordenes_Odoo'!M2316)</f>
        <v/>
      </c>
      <c r="N2316" s="79">
        <f>IF('Ordenes_Odoo'!N2316="","",'Ordenes_Odoo'!N2316)</f>
        <v/>
      </c>
      <c r="O2316" s="81">
        <f>IF('Ordenes_Odoo'!O2316="","",'Ordenes_Odoo'!O2316)</f>
        <v/>
      </c>
      <c r="P2316" s="81">
        <f>IF('Ordenes_Odoo'!P2316="","",'Ordenes_Odoo'!P2316)</f>
        <v/>
      </c>
      <c r="Q2316" s="79">
        <f>IF(A2316="","",IFERROR(INDEX(Facturas_Odoo!$B:$B, MATCH(A2316, Facturas_Odoo!$D:$D, 0)), "Sin Factura"))</f>
        <v/>
      </c>
      <c r="R2316" s="80">
        <f>IF(Q2316="Sin Factura","",IFERROR(INDEX(Facturas_Odoo!$A:$A, MATCH(Q2316, Facturas_Odoo!$B:$B, 0)), ""))</f>
        <v/>
      </c>
      <c r="S2316" s="79">
        <f>IF(Q2316="Sin Factura","",IFERROR(_xlfn.XLOOKUP(1, (Facturas_Odoo!$D:$D=A2316) * (Facturas_Odoo!$K:$K=I2316), Facturas_Odoo!$L:$L, ""), ""))</f>
        <v/>
      </c>
      <c r="T2316" s="81">
        <f>IF(Q2316="Sin Factura",0,IFERROR(_xlfn.XLOOKUP(1, (Facturas_Odoo!$D:$D=A2316) * (Facturas_Odoo!$K:$K=I2316), Facturas_Odoo!$M:$M, 0), 0))</f>
        <v/>
      </c>
      <c r="U2316" s="79">
        <f>IF(Q2316="Sin Factura",0,IFERROR(_xlfn.XLOOKUP(1, (Facturas_Odoo!$D:$D=A2316) * (Facturas_Odoo!$K:$K=I2316), Facturas_Odoo!$N:$N, 0), 0))</f>
        <v/>
      </c>
      <c r="V2316" s="79">
        <f>IF(Q2316="Sin Factura",0,IFERROR(_xlfn.XLOOKUP(1, (Facturas_Odoo!$D:$D=A2316) * (Facturas_Odoo!$K:$K=I2316), Facturas_Odoo!$O:$O, 0), 0))</f>
        <v/>
      </c>
      <c r="W2316" s="81">
        <f>IF(Q2316="Sin Factura",0,IFERROR(_xlfn.XLOOKUP(1, (Facturas_Odoo!$D:$D=A2316) * (Facturas_Odoo!$K:$K=I2316), Facturas_Odoo!$Q:$Q, 0), 0))</f>
        <v/>
      </c>
      <c r="X2316" s="79">
        <f>IF(OR(Q2316="Sin Factura",Q2316=""),"",IFERROR(INDEX(Pagos_Odoo!$B:$B, MATCH(Q2316, Pagos_Odoo!$I:$I, 0)), "Sin Pago"))</f>
        <v/>
      </c>
      <c r="Y2316" s="79">
        <f>IF(X2316="Sin Pago","",IFERROR(INDEX(Pagos_Odoo!$C:$C, MATCH(X2316, Pagos_Odoo!$B:$B, 0)), ""))</f>
        <v/>
      </c>
      <c r="Z2316" s="80">
        <f>IF(X2316="Sin Pago","",IFERROR(INDEX(Pagos_Odoo!$A:$A, MATCH(X2316, Pagos_Odoo!$B:$B, 0)), ""))</f>
        <v/>
      </c>
      <c r="AA2316" s="79">
        <f>IF(X2316="Sin Pago","",IFERROR(INDEX(Pagos_Odoo!$F:$F, MATCH(X2316, Pagos_Odoo!$B:$B, 0)), ""))</f>
        <v/>
      </c>
      <c r="AB2316" s="81">
        <f>IF(X2316="Sin Pago",0,IFERROR(INDEX(Pagos_Odoo!$E:$E, MATCH(X2316, Pagos_Odoo!$B:$B, 0)), 0))</f>
        <v/>
      </c>
      <c r="AC2316" s="79">
        <f>IF(X2316="Sin Pago","",IFERROR(INDEX(Pagos_Odoo!$G:$G, MATCH(X2316, Pagos_Odoo!$B:$B, 0)), ""))</f>
        <v/>
      </c>
      <c r="AD2316" s="82" t="n">
        <v>0</v>
      </c>
      <c r="AE2316" s="82" t="n"/>
      <c r="AF2316" s="82" t="n"/>
      <c r="AG2316" s="82">
        <f>IF(AN2316="","",AD2316+AE2316+AF2316)</f>
        <v/>
      </c>
      <c r="AH2316" s="81">
        <f>IF(AN2316="","",P2316*(1-AG2316))</f>
        <v/>
      </c>
      <c r="AI2316" s="81">
        <f>IF(AN2316="","",IF(Q2316="Sin Factura",0,IFERROR(INDEX(Facturas_Odoo!$H:$H, MATCH(Q2316, Facturas_Odoo!$B:$B, 0)), 0)*(1-AG2316)))</f>
        <v/>
      </c>
      <c r="AJ2316" s="81">
        <f>IF(AN2316="","",_xlfn.LET(idVenta, AN2316&amp;"",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16" s="81">
        <f>IF(AN2316="","",AH2316-AJ2316)</f>
        <v/>
      </c>
      <c r="AL2316" s="81">
        <f>IF(AN2316="","",IF(Q2316="Sin Factura","",AI2316-AJ2316))</f>
        <v/>
      </c>
      <c r="AM2316" s="81">
        <f>IF(AN2316="","",IF(Q2316="Sin Factura",0,P2316-IFERROR(INDEX(Facturas_Odoo!$H:$H, MATCH(Q2316, Facturas_Odoo!$B:$B, 0)), 0)))</f>
        <v/>
      </c>
      <c r="AN2316" s="79">
        <f>IF(AND(A2316="", J2316=""), "", IF(A2316&lt;&gt;"", VALUE(MID(A2316,2,LEN(A2316))), AN2315))</f>
        <v/>
      </c>
      <c r="AO2316" s="79">
        <f>IF(AN2316="","",IF(AD2316=0,"OK",_xlfn.LET(monedaPago, IF(AA2316="","USD",AA2316), limitePermitido, IFERROR(VLOOKUP(monedaPago, Configuración!$A$2:$B$3, 2, FALSE), 0.15), IF(AD2316&gt;limitePermitido, "ALERTA: EXCESO (" &amp; TEXT(limitePermitido, "0%") &amp; " máx)", "OK"))))</f>
        <v/>
      </c>
      <c r="AP2316" s="79">
        <f>IF(AN2316="","",IF(AE2316=0,"OK",_xlfn.LET(fechaPago, Z2316, fechaFactura, R2316, diasCredito, IF(E2316="Pago inmediato", 0, IFERROR(VALUE(MID(E2316, 1, SEARCH(" ", E2316)-1)),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16" s="79">
        <f>IF(AN2316="","",IF(AND(N2316&gt;0, AG2316&gt;0), IF(Configuración!$K$2="NO", "ALERTA: DESCUENTO DOBLE NO PERMITIDO", "OK"), "OK"))</f>
        <v/>
      </c>
      <c r="AR2316" s="79">
        <f>IF(AN2316="","",IF(OR(AO2316&lt;&gt;"OK", AP2316&lt;&gt;"OK", AQ2316&lt;&gt;"OK"), "⚠️ REVISAR", "OK"))</f>
        <v/>
      </c>
    </row>
    <row r="2317">
      <c r="A2317" s="79">
        <f>IF('Ordenes_Odoo'!A2317="","",'Ordenes_Odoo'!A2317)</f>
        <v/>
      </c>
      <c r="B2317" s="80">
        <f>IF('Ordenes_Odoo'!B2317="","",'Ordenes_Odoo'!B2317)</f>
        <v/>
      </c>
      <c r="C2317" s="79">
        <f>IF('Ordenes_Odoo'!C2317="","",'Ordenes_Odoo'!C2317)</f>
        <v/>
      </c>
      <c r="D2317" s="79">
        <f>IF('Ordenes_Odoo'!D2317="","",'Ordenes_Odoo'!D2317)</f>
        <v/>
      </c>
      <c r="E2317" s="79">
        <f>IF('Ordenes_Odoo'!E2317="","",'Ordenes_Odoo'!E2317)</f>
        <v/>
      </c>
      <c r="F2317" s="79">
        <f>IF('Ordenes_Odoo'!F2317="","",'Ordenes_Odoo'!F2317)</f>
        <v/>
      </c>
      <c r="G2317" s="79">
        <f>IF('Ordenes_Odoo'!G2317="","",'Ordenes_Odoo'!G2317)</f>
        <v/>
      </c>
      <c r="H2317" s="79">
        <f>IF('Ordenes_Odoo'!H2317="","",'Ordenes_Odoo'!H2317)</f>
        <v/>
      </c>
      <c r="I2317" s="79">
        <f>IF('Ordenes_Odoo'!I2317="","",'Ordenes_Odoo'!I2317)</f>
        <v/>
      </c>
      <c r="J2317" s="79">
        <f>IF('Ordenes_Odoo'!J2317="","",'Ordenes_Odoo'!J2317)</f>
        <v/>
      </c>
      <c r="K2317" s="81">
        <f>IF('Ordenes_Odoo'!K2317="","",'Ordenes_Odoo'!K2317)</f>
        <v/>
      </c>
      <c r="L2317" s="81">
        <f>IF('Ordenes_Odoo'!L2317="","",'Ordenes_Odoo'!L2317)</f>
        <v/>
      </c>
      <c r="M2317" s="79">
        <f>IF('Ordenes_Odoo'!M2317="","",'Ordenes_Odoo'!M2317)</f>
        <v/>
      </c>
      <c r="N2317" s="79">
        <f>IF('Ordenes_Odoo'!N2317="","",'Ordenes_Odoo'!N2317)</f>
        <v/>
      </c>
      <c r="O2317" s="81">
        <f>IF('Ordenes_Odoo'!O2317="","",'Ordenes_Odoo'!O2317)</f>
        <v/>
      </c>
      <c r="P2317" s="81">
        <f>IF('Ordenes_Odoo'!P2317="","",'Ordenes_Odoo'!P2317)</f>
        <v/>
      </c>
      <c r="Q2317" s="79">
        <f>IF(A2317="","",IFERROR(INDEX(Facturas_Odoo!$B:$B, MATCH(A2317, Facturas_Odoo!$D:$D, 0)), "Sin Factura"))</f>
        <v/>
      </c>
      <c r="R2317" s="80">
        <f>IF(Q2317="Sin Factura","",IFERROR(INDEX(Facturas_Odoo!$A:$A, MATCH(Q2317, Facturas_Odoo!$B:$B, 0)), ""))</f>
        <v/>
      </c>
      <c r="S2317" s="79">
        <f>IF(Q2317="Sin Factura","",IFERROR(_xlfn.XLOOKUP(1, (Facturas_Odoo!$D:$D=A2317) * (Facturas_Odoo!$K:$K=I2317), Facturas_Odoo!$L:$L, ""), ""))</f>
        <v/>
      </c>
      <c r="T2317" s="81">
        <f>IF(Q2317="Sin Factura",0,IFERROR(_xlfn.XLOOKUP(1, (Facturas_Odoo!$D:$D=A2317) * (Facturas_Odoo!$K:$K=I2317), Facturas_Odoo!$M:$M, 0), 0))</f>
        <v/>
      </c>
      <c r="U2317" s="79">
        <f>IF(Q2317="Sin Factura",0,IFERROR(_xlfn.XLOOKUP(1, (Facturas_Odoo!$D:$D=A2317) * (Facturas_Odoo!$K:$K=I2317), Facturas_Odoo!$N:$N, 0), 0))</f>
        <v/>
      </c>
      <c r="V2317" s="79">
        <f>IF(Q2317="Sin Factura",0,IFERROR(_xlfn.XLOOKUP(1, (Facturas_Odoo!$D:$D=A2317) * (Facturas_Odoo!$K:$K=I2317), Facturas_Odoo!$O:$O, 0), 0))</f>
        <v/>
      </c>
      <c r="W2317" s="81">
        <f>IF(Q2317="Sin Factura",0,IFERROR(_xlfn.XLOOKUP(1, (Facturas_Odoo!$D:$D=A2317) * (Facturas_Odoo!$K:$K=I2317), Facturas_Odoo!$Q:$Q, 0), 0))</f>
        <v/>
      </c>
      <c r="X2317" s="79">
        <f>IF(OR(Q2317="Sin Factura",Q2317=""),"",IFERROR(INDEX(Pagos_Odoo!$B:$B, MATCH(Q2317, Pagos_Odoo!$I:$I, 0)), "Sin Pago"))</f>
        <v/>
      </c>
      <c r="Y2317" s="79">
        <f>IF(X2317="Sin Pago","",IFERROR(INDEX(Pagos_Odoo!$C:$C, MATCH(X2317, Pagos_Odoo!$B:$B, 0)), ""))</f>
        <v/>
      </c>
      <c r="Z2317" s="80">
        <f>IF(X2317="Sin Pago","",IFERROR(INDEX(Pagos_Odoo!$A:$A, MATCH(X2317, Pagos_Odoo!$B:$B, 0)), ""))</f>
        <v/>
      </c>
      <c r="AA2317" s="79">
        <f>IF(X2317="Sin Pago","",IFERROR(INDEX(Pagos_Odoo!$F:$F, MATCH(X2317, Pagos_Odoo!$B:$B, 0)), ""))</f>
        <v/>
      </c>
      <c r="AB2317" s="81">
        <f>IF(X2317="Sin Pago",0,IFERROR(INDEX(Pagos_Odoo!$E:$E, MATCH(X2317, Pagos_Odoo!$B:$B, 0)), 0))</f>
        <v/>
      </c>
      <c r="AC2317" s="79">
        <f>IF(X2317="Sin Pago","",IFERROR(INDEX(Pagos_Odoo!$G:$G, MATCH(X2317, Pagos_Odoo!$B:$B, 0)), ""))</f>
        <v/>
      </c>
      <c r="AD2317" s="82" t="n">
        <v>0</v>
      </c>
      <c r="AE2317" s="82" t="n"/>
      <c r="AF2317" s="82" t="n"/>
      <c r="AG2317" s="82">
        <f>IF(AN2317="","",AD2317+AE2317+AF2317)</f>
        <v/>
      </c>
      <c r="AH2317" s="81">
        <f>IF(AN2317="","",P2317*(1-AG2317))</f>
        <v/>
      </c>
      <c r="AI2317" s="81">
        <f>IF(AN2317="","",IF(Q2317="Sin Factura",0,IFERROR(INDEX(Facturas_Odoo!$H:$H, MATCH(Q2317, Facturas_Odoo!$B:$B, 0)), 0)*(1-AG2317)))</f>
        <v/>
      </c>
      <c r="AJ2317" s="81">
        <f>IF(AN2317="","",_xlfn.LET(idVenta, AN2317&amp;"",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17" s="81">
        <f>IF(AN2317="","",AH2317-AJ2317)</f>
        <v/>
      </c>
      <c r="AL2317" s="81">
        <f>IF(AN2317="","",IF(Q2317="Sin Factura","",AI2317-AJ2317))</f>
        <v/>
      </c>
      <c r="AM2317" s="81">
        <f>IF(AN2317="","",IF(Q2317="Sin Factura",0,P2317-IFERROR(INDEX(Facturas_Odoo!$H:$H, MATCH(Q2317, Facturas_Odoo!$B:$B, 0)), 0)))</f>
        <v/>
      </c>
      <c r="AN2317" s="79">
        <f>IF(AND(A2317="", J2317=""), "", IF(A2317&lt;&gt;"", VALUE(MID(A2317,2,LEN(A2317))), AN2316))</f>
        <v/>
      </c>
      <c r="AO2317" s="79">
        <f>IF(AN2317="","",IF(AD2317=0,"OK",_xlfn.LET(monedaPago, IF(AA2317="","USD",AA2317), limitePermitido, IFERROR(VLOOKUP(monedaPago, Configuración!$A$2:$B$3, 2, FALSE), 0.15), IF(AD2317&gt;limitePermitido, "ALERTA: EXCESO (" &amp; TEXT(limitePermitido, "0%") &amp; " máx)", "OK"))))</f>
        <v/>
      </c>
      <c r="AP2317" s="79">
        <f>IF(AN2317="","",IF(AE2317=0,"OK",_xlfn.LET(fechaPago, Z2317, fechaFactura, R2317, diasCredito, IF(E2317="Pago inmediato", 0, IFERROR(VALUE(MID(E2317, 1, SEARCH(" ", E2317)-1)),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17" s="79">
        <f>IF(AN2317="","",IF(AND(N2317&gt;0, AG2317&gt;0), IF(Configuración!$K$2="NO", "ALERTA: DESCUENTO DOBLE NO PERMITIDO", "OK"), "OK"))</f>
        <v/>
      </c>
      <c r="AR2317" s="79">
        <f>IF(AN2317="","",IF(OR(AO2317&lt;&gt;"OK", AP2317&lt;&gt;"OK", AQ2317&lt;&gt;"OK"), "⚠️ REVISAR", "OK"))</f>
        <v/>
      </c>
    </row>
    <row r="2318">
      <c r="A2318" s="79">
        <f>IF('Ordenes_Odoo'!A2318="","",'Ordenes_Odoo'!A2318)</f>
        <v/>
      </c>
      <c r="B2318" s="80">
        <f>IF('Ordenes_Odoo'!B2318="","",'Ordenes_Odoo'!B2318)</f>
        <v/>
      </c>
      <c r="C2318" s="79">
        <f>IF('Ordenes_Odoo'!C2318="","",'Ordenes_Odoo'!C2318)</f>
        <v/>
      </c>
      <c r="D2318" s="79">
        <f>IF('Ordenes_Odoo'!D2318="","",'Ordenes_Odoo'!D2318)</f>
        <v/>
      </c>
      <c r="E2318" s="79">
        <f>IF('Ordenes_Odoo'!E2318="","",'Ordenes_Odoo'!E2318)</f>
        <v/>
      </c>
      <c r="F2318" s="79">
        <f>IF('Ordenes_Odoo'!F2318="","",'Ordenes_Odoo'!F2318)</f>
        <v/>
      </c>
      <c r="G2318" s="79">
        <f>IF('Ordenes_Odoo'!G2318="","",'Ordenes_Odoo'!G2318)</f>
        <v/>
      </c>
      <c r="H2318" s="79">
        <f>IF('Ordenes_Odoo'!H2318="","",'Ordenes_Odoo'!H2318)</f>
        <v/>
      </c>
      <c r="I2318" s="79">
        <f>IF('Ordenes_Odoo'!I2318="","",'Ordenes_Odoo'!I2318)</f>
        <v/>
      </c>
      <c r="J2318" s="79">
        <f>IF('Ordenes_Odoo'!J2318="","",'Ordenes_Odoo'!J2318)</f>
        <v/>
      </c>
      <c r="K2318" s="81">
        <f>IF('Ordenes_Odoo'!K2318="","",'Ordenes_Odoo'!K2318)</f>
        <v/>
      </c>
      <c r="L2318" s="81">
        <f>IF('Ordenes_Odoo'!L2318="","",'Ordenes_Odoo'!L2318)</f>
        <v/>
      </c>
      <c r="M2318" s="79">
        <f>IF('Ordenes_Odoo'!M2318="","",'Ordenes_Odoo'!M2318)</f>
        <v/>
      </c>
      <c r="N2318" s="79">
        <f>IF('Ordenes_Odoo'!N2318="","",'Ordenes_Odoo'!N2318)</f>
        <v/>
      </c>
      <c r="O2318" s="81">
        <f>IF('Ordenes_Odoo'!O2318="","",'Ordenes_Odoo'!O2318)</f>
        <v/>
      </c>
      <c r="P2318" s="81">
        <f>IF('Ordenes_Odoo'!P2318="","",'Ordenes_Odoo'!P2318)</f>
        <v/>
      </c>
      <c r="Q2318" s="79">
        <f>IF(A2318="","",IFERROR(INDEX(Facturas_Odoo!$B:$B, MATCH(A2318, Facturas_Odoo!$D:$D, 0)), "Sin Factura"))</f>
        <v/>
      </c>
      <c r="R2318" s="80">
        <f>IF(Q2318="Sin Factura","",IFERROR(INDEX(Facturas_Odoo!$A:$A, MATCH(Q2318, Facturas_Odoo!$B:$B, 0)), ""))</f>
        <v/>
      </c>
      <c r="S2318" s="79">
        <f>IF(Q2318="Sin Factura","",IFERROR(_xlfn.XLOOKUP(1, (Facturas_Odoo!$D:$D=A2318) * (Facturas_Odoo!$K:$K=I2318), Facturas_Odoo!$L:$L, ""), ""))</f>
        <v/>
      </c>
      <c r="T2318" s="81">
        <f>IF(Q2318="Sin Factura",0,IFERROR(_xlfn.XLOOKUP(1, (Facturas_Odoo!$D:$D=A2318) * (Facturas_Odoo!$K:$K=I2318), Facturas_Odoo!$M:$M, 0), 0))</f>
        <v/>
      </c>
      <c r="U2318" s="79">
        <f>IF(Q2318="Sin Factura",0,IFERROR(_xlfn.XLOOKUP(1, (Facturas_Odoo!$D:$D=A2318) * (Facturas_Odoo!$K:$K=I2318), Facturas_Odoo!$N:$N, 0), 0))</f>
        <v/>
      </c>
      <c r="V2318" s="79">
        <f>IF(Q2318="Sin Factura",0,IFERROR(_xlfn.XLOOKUP(1, (Facturas_Odoo!$D:$D=A2318) * (Facturas_Odoo!$K:$K=I2318), Facturas_Odoo!$O:$O, 0), 0))</f>
        <v/>
      </c>
      <c r="W2318" s="81">
        <f>IF(Q2318="Sin Factura",0,IFERROR(_xlfn.XLOOKUP(1, (Facturas_Odoo!$D:$D=A2318) * (Facturas_Odoo!$K:$K=I2318), Facturas_Odoo!$Q:$Q, 0), 0))</f>
        <v/>
      </c>
      <c r="X2318" s="79">
        <f>IF(OR(Q2318="Sin Factura",Q2318=""),"",IFERROR(INDEX(Pagos_Odoo!$B:$B, MATCH(Q2318, Pagos_Odoo!$I:$I, 0)), "Sin Pago"))</f>
        <v/>
      </c>
      <c r="Y2318" s="79">
        <f>IF(X2318="Sin Pago","",IFERROR(INDEX(Pagos_Odoo!$C:$C, MATCH(X2318, Pagos_Odoo!$B:$B, 0)), ""))</f>
        <v/>
      </c>
      <c r="Z2318" s="80">
        <f>IF(X2318="Sin Pago","",IFERROR(INDEX(Pagos_Odoo!$A:$A, MATCH(X2318, Pagos_Odoo!$B:$B, 0)), ""))</f>
        <v/>
      </c>
      <c r="AA2318" s="79">
        <f>IF(X2318="Sin Pago","",IFERROR(INDEX(Pagos_Odoo!$F:$F, MATCH(X2318, Pagos_Odoo!$B:$B, 0)), ""))</f>
        <v/>
      </c>
      <c r="AB2318" s="81">
        <f>IF(X2318="Sin Pago",0,IFERROR(INDEX(Pagos_Odoo!$E:$E, MATCH(X2318, Pagos_Odoo!$B:$B, 0)), 0))</f>
        <v/>
      </c>
      <c r="AC2318" s="79">
        <f>IF(X2318="Sin Pago","",IFERROR(INDEX(Pagos_Odoo!$G:$G, MATCH(X2318, Pagos_Odoo!$B:$B, 0)), ""))</f>
        <v/>
      </c>
      <c r="AD2318" s="82" t="n">
        <v>0</v>
      </c>
      <c r="AE2318" s="82" t="n"/>
      <c r="AF2318" s="82" t="n"/>
      <c r="AG2318" s="82">
        <f>IF(AN2318="","",AD2318+AE2318+AF2318)</f>
        <v/>
      </c>
      <c r="AH2318" s="81">
        <f>IF(AN2318="","",P2318*(1-AG2318))</f>
        <v/>
      </c>
      <c r="AI2318" s="81">
        <f>IF(AN2318="","",IF(Q2318="Sin Factura",0,IFERROR(INDEX(Facturas_Odoo!$H:$H, MATCH(Q2318, Facturas_Odoo!$B:$B, 0)), 0)*(1-AG2318)))</f>
        <v/>
      </c>
      <c r="AJ2318" s="81">
        <f>IF(AN2318="","",_xlfn.LET(idVenta, AN2318&amp;"",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18" s="81">
        <f>IF(AN2318="","",AH2318-AJ2318)</f>
        <v/>
      </c>
      <c r="AL2318" s="81">
        <f>IF(AN2318="","",IF(Q2318="Sin Factura","",AI2318-AJ2318))</f>
        <v/>
      </c>
      <c r="AM2318" s="81">
        <f>IF(AN2318="","",IF(Q2318="Sin Factura",0,P2318-IFERROR(INDEX(Facturas_Odoo!$H:$H, MATCH(Q2318, Facturas_Odoo!$B:$B, 0)), 0)))</f>
        <v/>
      </c>
      <c r="AN2318" s="79">
        <f>IF(AND(A2318="", J2318=""), "", IF(A2318&lt;&gt;"", VALUE(MID(A2318,2,LEN(A2318))), AN2317))</f>
        <v/>
      </c>
      <c r="AO2318" s="79">
        <f>IF(AN2318="","",IF(AD2318=0,"OK",_xlfn.LET(monedaPago, IF(AA2318="","USD",AA2318), limitePermitido, IFERROR(VLOOKUP(monedaPago, Configuración!$A$2:$B$3, 2, FALSE), 0.15), IF(AD2318&gt;limitePermitido, "ALERTA: EXCESO (" &amp; TEXT(limitePermitido, "0%") &amp; " máx)", "OK"))))</f>
        <v/>
      </c>
      <c r="AP2318" s="79">
        <f>IF(AN2318="","",IF(AE2318=0,"OK",_xlfn.LET(fechaPago, Z2318, fechaFactura, R2318, diasCredito, IF(E2318="Pago inmediato", 0, IFERROR(VALUE(MID(E2318, 1, SEARCH(" ", E2318)-1)),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18" s="79">
        <f>IF(AN2318="","",IF(AND(N2318&gt;0, AG2318&gt;0), IF(Configuración!$K$2="NO", "ALERTA: DESCUENTO DOBLE NO PERMITIDO", "OK"), "OK"))</f>
        <v/>
      </c>
      <c r="AR2318" s="79">
        <f>IF(AN2318="","",IF(OR(AO2318&lt;&gt;"OK", AP2318&lt;&gt;"OK", AQ2318&lt;&gt;"OK"), "⚠️ REVISAR", "OK"))</f>
        <v/>
      </c>
    </row>
    <row r="2319">
      <c r="A2319" s="79">
        <f>IF('Ordenes_Odoo'!A2319="","",'Ordenes_Odoo'!A2319)</f>
        <v/>
      </c>
      <c r="B2319" s="80">
        <f>IF('Ordenes_Odoo'!B2319="","",'Ordenes_Odoo'!B2319)</f>
        <v/>
      </c>
      <c r="C2319" s="79">
        <f>IF('Ordenes_Odoo'!C2319="","",'Ordenes_Odoo'!C2319)</f>
        <v/>
      </c>
      <c r="D2319" s="79">
        <f>IF('Ordenes_Odoo'!D2319="","",'Ordenes_Odoo'!D2319)</f>
        <v/>
      </c>
      <c r="E2319" s="79">
        <f>IF('Ordenes_Odoo'!E2319="","",'Ordenes_Odoo'!E2319)</f>
        <v/>
      </c>
      <c r="F2319" s="79">
        <f>IF('Ordenes_Odoo'!F2319="","",'Ordenes_Odoo'!F2319)</f>
        <v/>
      </c>
      <c r="G2319" s="79">
        <f>IF('Ordenes_Odoo'!G2319="","",'Ordenes_Odoo'!G2319)</f>
        <v/>
      </c>
      <c r="H2319" s="79">
        <f>IF('Ordenes_Odoo'!H2319="","",'Ordenes_Odoo'!H2319)</f>
        <v/>
      </c>
      <c r="I2319" s="79">
        <f>IF('Ordenes_Odoo'!I2319="","",'Ordenes_Odoo'!I2319)</f>
        <v/>
      </c>
      <c r="J2319" s="79">
        <f>IF('Ordenes_Odoo'!J2319="","",'Ordenes_Odoo'!J2319)</f>
        <v/>
      </c>
      <c r="K2319" s="81">
        <f>IF('Ordenes_Odoo'!K2319="","",'Ordenes_Odoo'!K2319)</f>
        <v/>
      </c>
      <c r="L2319" s="81">
        <f>IF('Ordenes_Odoo'!L2319="","",'Ordenes_Odoo'!L2319)</f>
        <v/>
      </c>
      <c r="M2319" s="79">
        <f>IF('Ordenes_Odoo'!M2319="","",'Ordenes_Odoo'!M2319)</f>
        <v/>
      </c>
      <c r="N2319" s="79">
        <f>IF('Ordenes_Odoo'!N2319="","",'Ordenes_Odoo'!N2319)</f>
        <v/>
      </c>
      <c r="O2319" s="81">
        <f>IF('Ordenes_Odoo'!O2319="","",'Ordenes_Odoo'!O2319)</f>
        <v/>
      </c>
      <c r="P2319" s="81">
        <f>IF('Ordenes_Odoo'!P2319="","",'Ordenes_Odoo'!P2319)</f>
        <v/>
      </c>
      <c r="Q2319" s="79">
        <f>IF(A2319="","",IFERROR(INDEX(Facturas_Odoo!$B:$B, MATCH(A2319, Facturas_Odoo!$D:$D, 0)), "Sin Factura"))</f>
        <v/>
      </c>
      <c r="R2319" s="80">
        <f>IF(Q2319="Sin Factura","",IFERROR(INDEX(Facturas_Odoo!$A:$A, MATCH(Q2319, Facturas_Odoo!$B:$B, 0)), ""))</f>
        <v/>
      </c>
      <c r="S2319" s="79">
        <f>IF(Q2319="Sin Factura","",IFERROR(_xlfn.XLOOKUP(1, (Facturas_Odoo!$D:$D=A2319) * (Facturas_Odoo!$K:$K=I2319), Facturas_Odoo!$L:$L, ""), ""))</f>
        <v/>
      </c>
      <c r="T2319" s="81">
        <f>IF(Q2319="Sin Factura",0,IFERROR(_xlfn.XLOOKUP(1, (Facturas_Odoo!$D:$D=A2319) * (Facturas_Odoo!$K:$K=I2319), Facturas_Odoo!$M:$M, 0), 0))</f>
        <v/>
      </c>
      <c r="U2319" s="79">
        <f>IF(Q2319="Sin Factura",0,IFERROR(_xlfn.XLOOKUP(1, (Facturas_Odoo!$D:$D=A2319) * (Facturas_Odoo!$K:$K=I2319), Facturas_Odoo!$N:$N, 0), 0))</f>
        <v/>
      </c>
      <c r="V2319" s="79">
        <f>IF(Q2319="Sin Factura",0,IFERROR(_xlfn.XLOOKUP(1, (Facturas_Odoo!$D:$D=A2319) * (Facturas_Odoo!$K:$K=I2319), Facturas_Odoo!$O:$O, 0), 0))</f>
        <v/>
      </c>
      <c r="W2319" s="81">
        <f>IF(Q2319="Sin Factura",0,IFERROR(_xlfn.XLOOKUP(1, (Facturas_Odoo!$D:$D=A2319) * (Facturas_Odoo!$K:$K=I2319), Facturas_Odoo!$Q:$Q, 0), 0))</f>
        <v/>
      </c>
      <c r="X2319" s="79">
        <f>IF(OR(Q2319="Sin Factura",Q2319=""),"",IFERROR(INDEX(Pagos_Odoo!$B:$B, MATCH(Q2319, Pagos_Odoo!$I:$I, 0)), "Sin Pago"))</f>
        <v/>
      </c>
      <c r="Y2319" s="79">
        <f>IF(X2319="Sin Pago","",IFERROR(INDEX(Pagos_Odoo!$C:$C, MATCH(X2319, Pagos_Odoo!$B:$B, 0)), ""))</f>
        <v/>
      </c>
      <c r="Z2319" s="80">
        <f>IF(X2319="Sin Pago","",IFERROR(INDEX(Pagos_Odoo!$A:$A, MATCH(X2319, Pagos_Odoo!$B:$B, 0)), ""))</f>
        <v/>
      </c>
      <c r="AA2319" s="79">
        <f>IF(X2319="Sin Pago","",IFERROR(INDEX(Pagos_Odoo!$F:$F, MATCH(X2319, Pagos_Odoo!$B:$B, 0)), ""))</f>
        <v/>
      </c>
      <c r="AB2319" s="81">
        <f>IF(X2319="Sin Pago",0,IFERROR(INDEX(Pagos_Odoo!$E:$E, MATCH(X2319, Pagos_Odoo!$B:$B, 0)), 0))</f>
        <v/>
      </c>
      <c r="AC2319" s="79">
        <f>IF(X2319="Sin Pago","",IFERROR(INDEX(Pagos_Odoo!$G:$G, MATCH(X2319, Pagos_Odoo!$B:$B, 0)), ""))</f>
        <v/>
      </c>
      <c r="AD2319" s="82" t="n">
        <v>0</v>
      </c>
      <c r="AE2319" s="82" t="n"/>
      <c r="AF2319" s="82" t="n"/>
      <c r="AG2319" s="82">
        <f>IF(AN2319="","",AD2319+AE2319+AF2319)</f>
        <v/>
      </c>
      <c r="AH2319" s="81">
        <f>IF(AN2319="","",P2319*(1-AG2319))</f>
        <v/>
      </c>
      <c r="AI2319" s="81">
        <f>IF(AN2319="","",IF(Q2319="Sin Factura",0,IFERROR(INDEX(Facturas_Odoo!$H:$H, MATCH(Q2319, Facturas_Odoo!$B:$B, 0)), 0)*(1-AG2319)))</f>
        <v/>
      </c>
      <c r="AJ2319" s="81">
        <f>IF(AN2319="","",_xlfn.LET(idVenta, AN2319&amp;"",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19" s="81">
        <f>IF(AN2319="","",AH2319-AJ2319)</f>
        <v/>
      </c>
      <c r="AL2319" s="81">
        <f>IF(AN2319="","",IF(Q2319="Sin Factura","",AI2319-AJ2319))</f>
        <v/>
      </c>
      <c r="AM2319" s="81">
        <f>IF(AN2319="","",IF(Q2319="Sin Factura",0,P2319-IFERROR(INDEX(Facturas_Odoo!$H:$H, MATCH(Q2319, Facturas_Odoo!$B:$B, 0)), 0)))</f>
        <v/>
      </c>
      <c r="AN2319" s="79">
        <f>IF(AND(A2319="", J2319=""), "", IF(A2319&lt;&gt;"", VALUE(MID(A2319,2,LEN(A2319))), AN2318))</f>
        <v/>
      </c>
      <c r="AO2319" s="79">
        <f>IF(AN2319="","",IF(AD2319=0,"OK",_xlfn.LET(monedaPago, IF(AA2319="","USD",AA2319), limitePermitido, IFERROR(VLOOKUP(monedaPago, Configuración!$A$2:$B$3, 2, FALSE), 0.15), IF(AD2319&gt;limitePermitido, "ALERTA: EXCESO (" &amp; TEXT(limitePermitido, "0%") &amp; " máx)", "OK"))))</f>
        <v/>
      </c>
      <c r="AP2319" s="79">
        <f>IF(AN2319="","",IF(AE2319=0,"OK",_xlfn.LET(fechaPago, Z2319, fechaFactura, R2319, diasCredito, IF(E2319="Pago inmediato", 0, IFERROR(VALUE(MID(E2319, 1, SEARCH(" ", E2319)-1)),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19" s="79">
        <f>IF(AN2319="","",IF(AND(N2319&gt;0, AG2319&gt;0), IF(Configuración!$K$2="NO", "ALERTA: DESCUENTO DOBLE NO PERMITIDO", "OK"), "OK"))</f>
        <v/>
      </c>
      <c r="AR2319" s="79">
        <f>IF(AN2319="","",IF(OR(AO2319&lt;&gt;"OK", AP2319&lt;&gt;"OK", AQ2319&lt;&gt;"OK"), "⚠️ REVISAR", "OK"))</f>
        <v/>
      </c>
    </row>
    <row r="2320">
      <c r="A2320" s="79">
        <f>IF('Ordenes_Odoo'!A2320="","",'Ordenes_Odoo'!A2320)</f>
        <v/>
      </c>
      <c r="B2320" s="80">
        <f>IF('Ordenes_Odoo'!B2320="","",'Ordenes_Odoo'!B2320)</f>
        <v/>
      </c>
      <c r="C2320" s="79">
        <f>IF('Ordenes_Odoo'!C2320="","",'Ordenes_Odoo'!C2320)</f>
        <v/>
      </c>
      <c r="D2320" s="79">
        <f>IF('Ordenes_Odoo'!D2320="","",'Ordenes_Odoo'!D2320)</f>
        <v/>
      </c>
      <c r="E2320" s="79">
        <f>IF('Ordenes_Odoo'!E2320="","",'Ordenes_Odoo'!E2320)</f>
        <v/>
      </c>
      <c r="F2320" s="79">
        <f>IF('Ordenes_Odoo'!F2320="","",'Ordenes_Odoo'!F2320)</f>
        <v/>
      </c>
      <c r="G2320" s="79">
        <f>IF('Ordenes_Odoo'!G2320="","",'Ordenes_Odoo'!G2320)</f>
        <v/>
      </c>
      <c r="H2320" s="79">
        <f>IF('Ordenes_Odoo'!H2320="","",'Ordenes_Odoo'!H2320)</f>
        <v/>
      </c>
      <c r="I2320" s="79">
        <f>IF('Ordenes_Odoo'!I2320="","",'Ordenes_Odoo'!I2320)</f>
        <v/>
      </c>
      <c r="J2320" s="79">
        <f>IF('Ordenes_Odoo'!J2320="","",'Ordenes_Odoo'!J2320)</f>
        <v/>
      </c>
      <c r="K2320" s="81">
        <f>IF('Ordenes_Odoo'!K2320="","",'Ordenes_Odoo'!K2320)</f>
        <v/>
      </c>
      <c r="L2320" s="81">
        <f>IF('Ordenes_Odoo'!L2320="","",'Ordenes_Odoo'!L2320)</f>
        <v/>
      </c>
      <c r="M2320" s="79">
        <f>IF('Ordenes_Odoo'!M2320="","",'Ordenes_Odoo'!M2320)</f>
        <v/>
      </c>
      <c r="N2320" s="79">
        <f>IF('Ordenes_Odoo'!N2320="","",'Ordenes_Odoo'!N2320)</f>
        <v/>
      </c>
      <c r="O2320" s="81">
        <f>IF('Ordenes_Odoo'!O2320="","",'Ordenes_Odoo'!O2320)</f>
        <v/>
      </c>
      <c r="P2320" s="81">
        <f>IF('Ordenes_Odoo'!P2320="","",'Ordenes_Odoo'!P2320)</f>
        <v/>
      </c>
      <c r="Q2320" s="79">
        <f>IF(A2320="","",IFERROR(INDEX(Facturas_Odoo!$B:$B, MATCH(A2320, Facturas_Odoo!$D:$D, 0)), "Sin Factura"))</f>
        <v/>
      </c>
      <c r="R2320" s="80">
        <f>IF(Q2320="Sin Factura","",IFERROR(INDEX(Facturas_Odoo!$A:$A, MATCH(Q2320, Facturas_Odoo!$B:$B, 0)), ""))</f>
        <v/>
      </c>
      <c r="S2320" s="79">
        <f>IF(Q2320="Sin Factura","",IFERROR(_xlfn.XLOOKUP(1, (Facturas_Odoo!$D:$D=A2320) * (Facturas_Odoo!$K:$K=I2320), Facturas_Odoo!$L:$L, ""), ""))</f>
        <v/>
      </c>
      <c r="T2320" s="81">
        <f>IF(Q2320="Sin Factura",0,IFERROR(_xlfn.XLOOKUP(1, (Facturas_Odoo!$D:$D=A2320) * (Facturas_Odoo!$K:$K=I2320), Facturas_Odoo!$M:$M, 0), 0))</f>
        <v/>
      </c>
      <c r="U2320" s="79">
        <f>IF(Q2320="Sin Factura",0,IFERROR(_xlfn.XLOOKUP(1, (Facturas_Odoo!$D:$D=A2320) * (Facturas_Odoo!$K:$K=I2320), Facturas_Odoo!$N:$N, 0), 0))</f>
        <v/>
      </c>
      <c r="V2320" s="79">
        <f>IF(Q2320="Sin Factura",0,IFERROR(_xlfn.XLOOKUP(1, (Facturas_Odoo!$D:$D=A2320) * (Facturas_Odoo!$K:$K=I2320), Facturas_Odoo!$O:$O, 0), 0))</f>
        <v/>
      </c>
      <c r="W2320" s="81">
        <f>IF(Q2320="Sin Factura",0,IFERROR(_xlfn.XLOOKUP(1, (Facturas_Odoo!$D:$D=A2320) * (Facturas_Odoo!$K:$K=I2320), Facturas_Odoo!$Q:$Q, 0), 0))</f>
        <v/>
      </c>
      <c r="X2320" s="79">
        <f>IF(OR(Q2320="Sin Factura",Q2320=""),"",IFERROR(INDEX(Pagos_Odoo!$B:$B, MATCH(Q2320, Pagos_Odoo!$I:$I, 0)), "Sin Pago"))</f>
        <v/>
      </c>
      <c r="Y2320" s="79">
        <f>IF(X2320="Sin Pago","",IFERROR(INDEX(Pagos_Odoo!$C:$C, MATCH(X2320, Pagos_Odoo!$B:$B, 0)), ""))</f>
        <v/>
      </c>
      <c r="Z2320" s="80">
        <f>IF(X2320="Sin Pago","",IFERROR(INDEX(Pagos_Odoo!$A:$A, MATCH(X2320, Pagos_Odoo!$B:$B, 0)), ""))</f>
        <v/>
      </c>
      <c r="AA2320" s="79">
        <f>IF(X2320="Sin Pago","",IFERROR(INDEX(Pagos_Odoo!$F:$F, MATCH(X2320, Pagos_Odoo!$B:$B, 0)), ""))</f>
        <v/>
      </c>
      <c r="AB2320" s="81">
        <f>IF(X2320="Sin Pago",0,IFERROR(INDEX(Pagos_Odoo!$E:$E, MATCH(X2320, Pagos_Odoo!$B:$B, 0)), 0))</f>
        <v/>
      </c>
      <c r="AC2320" s="79">
        <f>IF(X2320="Sin Pago","",IFERROR(INDEX(Pagos_Odoo!$G:$G, MATCH(X2320, Pagos_Odoo!$B:$B, 0)), ""))</f>
        <v/>
      </c>
      <c r="AD2320" s="82" t="n">
        <v>0</v>
      </c>
      <c r="AE2320" s="82" t="n"/>
      <c r="AF2320" s="82" t="n"/>
      <c r="AG2320" s="82">
        <f>IF(AN2320="","",AD2320+AE2320+AF2320)</f>
        <v/>
      </c>
      <c r="AH2320" s="81">
        <f>IF(AN2320="","",P2320*(1-AG2320))</f>
        <v/>
      </c>
      <c r="AI2320" s="81">
        <f>IF(AN2320="","",IF(Q2320="Sin Factura",0,IFERROR(INDEX(Facturas_Odoo!$H:$H, MATCH(Q2320, Facturas_Odoo!$B:$B, 0)), 0)*(1-AG2320)))</f>
        <v/>
      </c>
      <c r="AJ2320" s="81">
        <f>IF(AN2320="","",_xlfn.LET(idVenta, AN2320&amp;"",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20" s="81">
        <f>IF(AN2320="","",AH2320-AJ2320)</f>
        <v/>
      </c>
      <c r="AL2320" s="81">
        <f>IF(AN2320="","",IF(Q2320="Sin Factura","",AI2320-AJ2320))</f>
        <v/>
      </c>
      <c r="AM2320" s="81">
        <f>IF(AN2320="","",IF(Q2320="Sin Factura",0,P2320-IFERROR(INDEX(Facturas_Odoo!$H:$H, MATCH(Q2320, Facturas_Odoo!$B:$B, 0)), 0)))</f>
        <v/>
      </c>
      <c r="AN2320" s="79">
        <f>IF(AND(A2320="", J2320=""), "", IF(A2320&lt;&gt;"", VALUE(MID(A2320,2,LEN(A2320))), AN2319))</f>
        <v/>
      </c>
      <c r="AO2320" s="79">
        <f>IF(AN2320="","",IF(AD2320=0,"OK",_xlfn.LET(monedaPago, IF(AA2320="","USD",AA2320), limitePermitido, IFERROR(VLOOKUP(monedaPago, Configuración!$A$2:$B$3, 2, FALSE), 0.15), IF(AD2320&gt;limitePermitido, "ALERTA: EXCESO (" &amp; TEXT(limitePermitido, "0%") &amp; " máx)", "OK"))))</f>
        <v/>
      </c>
      <c r="AP2320" s="79">
        <f>IF(AN2320="","",IF(AE2320=0,"OK",_xlfn.LET(fechaPago, Z2320, fechaFactura, R2320, diasCredito, IF(E2320="Pago inmediato", 0, IFERROR(VALUE(MID(E2320, 1, SEARCH(" ", E2320)-1)),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20" s="79">
        <f>IF(AN2320="","",IF(AND(N2320&gt;0, AG2320&gt;0), IF(Configuración!$K$2="NO", "ALERTA: DESCUENTO DOBLE NO PERMITIDO", "OK"), "OK"))</f>
        <v/>
      </c>
      <c r="AR2320" s="79">
        <f>IF(AN2320="","",IF(OR(AO2320&lt;&gt;"OK", AP2320&lt;&gt;"OK", AQ2320&lt;&gt;"OK"), "⚠️ REVISAR", "OK"))</f>
        <v/>
      </c>
    </row>
    <row r="2321">
      <c r="A2321" s="79">
        <f>IF('Ordenes_Odoo'!A2321="","",'Ordenes_Odoo'!A2321)</f>
        <v/>
      </c>
      <c r="B2321" s="80">
        <f>IF('Ordenes_Odoo'!B2321="","",'Ordenes_Odoo'!B2321)</f>
        <v/>
      </c>
      <c r="C2321" s="79">
        <f>IF('Ordenes_Odoo'!C2321="","",'Ordenes_Odoo'!C2321)</f>
        <v/>
      </c>
      <c r="D2321" s="79">
        <f>IF('Ordenes_Odoo'!D2321="","",'Ordenes_Odoo'!D2321)</f>
        <v/>
      </c>
      <c r="E2321" s="79">
        <f>IF('Ordenes_Odoo'!E2321="","",'Ordenes_Odoo'!E2321)</f>
        <v/>
      </c>
      <c r="F2321" s="79">
        <f>IF('Ordenes_Odoo'!F2321="","",'Ordenes_Odoo'!F2321)</f>
        <v/>
      </c>
      <c r="G2321" s="79">
        <f>IF('Ordenes_Odoo'!G2321="","",'Ordenes_Odoo'!G2321)</f>
        <v/>
      </c>
      <c r="H2321" s="79">
        <f>IF('Ordenes_Odoo'!H2321="","",'Ordenes_Odoo'!H2321)</f>
        <v/>
      </c>
      <c r="I2321" s="79">
        <f>IF('Ordenes_Odoo'!I2321="","",'Ordenes_Odoo'!I2321)</f>
        <v/>
      </c>
      <c r="J2321" s="79">
        <f>IF('Ordenes_Odoo'!J2321="","",'Ordenes_Odoo'!J2321)</f>
        <v/>
      </c>
      <c r="K2321" s="81">
        <f>IF('Ordenes_Odoo'!K2321="","",'Ordenes_Odoo'!K2321)</f>
        <v/>
      </c>
      <c r="L2321" s="81">
        <f>IF('Ordenes_Odoo'!L2321="","",'Ordenes_Odoo'!L2321)</f>
        <v/>
      </c>
      <c r="M2321" s="79">
        <f>IF('Ordenes_Odoo'!M2321="","",'Ordenes_Odoo'!M2321)</f>
        <v/>
      </c>
      <c r="N2321" s="79">
        <f>IF('Ordenes_Odoo'!N2321="","",'Ordenes_Odoo'!N2321)</f>
        <v/>
      </c>
      <c r="O2321" s="81">
        <f>IF('Ordenes_Odoo'!O2321="","",'Ordenes_Odoo'!O2321)</f>
        <v/>
      </c>
      <c r="P2321" s="81">
        <f>IF('Ordenes_Odoo'!P2321="","",'Ordenes_Odoo'!P2321)</f>
        <v/>
      </c>
      <c r="Q2321" s="79">
        <f>IF(A2321="","",IFERROR(INDEX(Facturas_Odoo!$B:$B, MATCH(A2321, Facturas_Odoo!$D:$D, 0)), "Sin Factura"))</f>
        <v/>
      </c>
      <c r="R2321" s="80">
        <f>IF(Q2321="Sin Factura","",IFERROR(INDEX(Facturas_Odoo!$A:$A, MATCH(Q2321, Facturas_Odoo!$B:$B, 0)), ""))</f>
        <v/>
      </c>
      <c r="S2321" s="79">
        <f>IF(Q2321="Sin Factura","",IFERROR(_xlfn.XLOOKUP(1, (Facturas_Odoo!$D:$D=A2321) * (Facturas_Odoo!$K:$K=I2321), Facturas_Odoo!$L:$L, ""), ""))</f>
        <v/>
      </c>
      <c r="T2321" s="81">
        <f>IF(Q2321="Sin Factura",0,IFERROR(_xlfn.XLOOKUP(1, (Facturas_Odoo!$D:$D=A2321) * (Facturas_Odoo!$K:$K=I2321), Facturas_Odoo!$M:$M, 0), 0))</f>
        <v/>
      </c>
      <c r="U2321" s="79">
        <f>IF(Q2321="Sin Factura",0,IFERROR(_xlfn.XLOOKUP(1, (Facturas_Odoo!$D:$D=A2321) * (Facturas_Odoo!$K:$K=I2321), Facturas_Odoo!$N:$N, 0), 0))</f>
        <v/>
      </c>
      <c r="V2321" s="79">
        <f>IF(Q2321="Sin Factura",0,IFERROR(_xlfn.XLOOKUP(1, (Facturas_Odoo!$D:$D=A2321) * (Facturas_Odoo!$K:$K=I2321), Facturas_Odoo!$O:$O, 0), 0))</f>
        <v/>
      </c>
      <c r="W2321" s="81">
        <f>IF(Q2321="Sin Factura",0,IFERROR(_xlfn.XLOOKUP(1, (Facturas_Odoo!$D:$D=A2321) * (Facturas_Odoo!$K:$K=I2321), Facturas_Odoo!$Q:$Q, 0), 0))</f>
        <v/>
      </c>
      <c r="X2321" s="79">
        <f>IF(OR(Q2321="Sin Factura",Q2321=""),"",IFERROR(INDEX(Pagos_Odoo!$B:$B, MATCH(Q2321, Pagos_Odoo!$I:$I, 0)), "Sin Pago"))</f>
        <v/>
      </c>
      <c r="Y2321" s="79">
        <f>IF(X2321="Sin Pago","",IFERROR(INDEX(Pagos_Odoo!$C:$C, MATCH(X2321, Pagos_Odoo!$B:$B, 0)), ""))</f>
        <v/>
      </c>
      <c r="Z2321" s="80">
        <f>IF(X2321="Sin Pago","",IFERROR(INDEX(Pagos_Odoo!$A:$A, MATCH(X2321, Pagos_Odoo!$B:$B, 0)), ""))</f>
        <v/>
      </c>
      <c r="AA2321" s="79">
        <f>IF(X2321="Sin Pago","",IFERROR(INDEX(Pagos_Odoo!$F:$F, MATCH(X2321, Pagos_Odoo!$B:$B, 0)), ""))</f>
        <v/>
      </c>
      <c r="AB2321" s="81">
        <f>IF(X2321="Sin Pago",0,IFERROR(INDEX(Pagos_Odoo!$E:$E, MATCH(X2321, Pagos_Odoo!$B:$B, 0)), 0))</f>
        <v/>
      </c>
      <c r="AC2321" s="79">
        <f>IF(X2321="Sin Pago","",IFERROR(INDEX(Pagos_Odoo!$G:$G, MATCH(X2321, Pagos_Odoo!$B:$B, 0)), ""))</f>
        <v/>
      </c>
      <c r="AD2321" s="82" t="n">
        <v>0</v>
      </c>
      <c r="AE2321" s="82" t="n"/>
      <c r="AF2321" s="82" t="n"/>
      <c r="AG2321" s="82">
        <f>IF(AN2321="","",AD2321+AE2321+AF2321)</f>
        <v/>
      </c>
      <c r="AH2321" s="81">
        <f>IF(AN2321="","",P2321*(1-AG2321))</f>
        <v/>
      </c>
      <c r="AI2321" s="81">
        <f>IF(AN2321="","",IF(Q2321="Sin Factura",0,IFERROR(INDEX(Facturas_Odoo!$H:$H, MATCH(Q2321, Facturas_Odoo!$B:$B, 0)), 0)*(1-AG2321)))</f>
        <v/>
      </c>
      <c r="AJ2321" s="81">
        <f>IF(AN2321="","",_xlfn.LET(idVenta, AN2321&amp;"",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21" s="81">
        <f>IF(AN2321="","",AH2321-AJ2321)</f>
        <v/>
      </c>
      <c r="AL2321" s="81">
        <f>IF(AN2321="","",IF(Q2321="Sin Factura","",AI2321-AJ2321))</f>
        <v/>
      </c>
      <c r="AM2321" s="81">
        <f>IF(AN2321="","",IF(Q2321="Sin Factura",0,P2321-IFERROR(INDEX(Facturas_Odoo!$H:$H, MATCH(Q2321, Facturas_Odoo!$B:$B, 0)), 0)))</f>
        <v/>
      </c>
      <c r="AN2321" s="79">
        <f>IF(AND(A2321="", J2321=""), "", IF(A2321&lt;&gt;"", VALUE(MID(A2321,2,LEN(A2321))), AN2320))</f>
        <v/>
      </c>
      <c r="AO2321" s="79">
        <f>IF(AN2321="","",IF(AD2321=0,"OK",_xlfn.LET(monedaPago, IF(AA2321="","USD",AA2321), limitePermitido, IFERROR(VLOOKUP(monedaPago, Configuración!$A$2:$B$3, 2, FALSE), 0.15), IF(AD2321&gt;limitePermitido, "ALERTA: EXCESO (" &amp; TEXT(limitePermitido, "0%") &amp; " máx)", "OK"))))</f>
        <v/>
      </c>
      <c r="AP2321" s="79">
        <f>IF(AN2321="","",IF(AE2321=0,"OK",_xlfn.LET(fechaPago, Z2321, fechaFactura, R2321, diasCredito, IF(E2321="Pago inmediato", 0, IFERROR(VALUE(MID(E2321, 1, SEARCH(" ", E2321)-1)),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21" s="79">
        <f>IF(AN2321="","",IF(AND(N2321&gt;0, AG2321&gt;0), IF(Configuración!$K$2="NO", "ALERTA: DESCUENTO DOBLE NO PERMITIDO", "OK"), "OK"))</f>
        <v/>
      </c>
      <c r="AR2321" s="79">
        <f>IF(AN2321="","",IF(OR(AO2321&lt;&gt;"OK", AP2321&lt;&gt;"OK", AQ2321&lt;&gt;"OK"), "⚠️ REVISAR", "OK"))</f>
        <v/>
      </c>
    </row>
    <row r="2322">
      <c r="A2322" s="79">
        <f>IF('Ordenes_Odoo'!A2322="","",'Ordenes_Odoo'!A2322)</f>
        <v/>
      </c>
      <c r="B2322" s="80">
        <f>IF('Ordenes_Odoo'!B2322="","",'Ordenes_Odoo'!B2322)</f>
        <v/>
      </c>
      <c r="C2322" s="79">
        <f>IF('Ordenes_Odoo'!C2322="","",'Ordenes_Odoo'!C2322)</f>
        <v/>
      </c>
      <c r="D2322" s="79">
        <f>IF('Ordenes_Odoo'!D2322="","",'Ordenes_Odoo'!D2322)</f>
        <v/>
      </c>
      <c r="E2322" s="79">
        <f>IF('Ordenes_Odoo'!E2322="","",'Ordenes_Odoo'!E2322)</f>
        <v/>
      </c>
      <c r="F2322" s="79">
        <f>IF('Ordenes_Odoo'!F2322="","",'Ordenes_Odoo'!F2322)</f>
        <v/>
      </c>
      <c r="G2322" s="79">
        <f>IF('Ordenes_Odoo'!G2322="","",'Ordenes_Odoo'!G2322)</f>
        <v/>
      </c>
      <c r="H2322" s="79">
        <f>IF('Ordenes_Odoo'!H2322="","",'Ordenes_Odoo'!H2322)</f>
        <v/>
      </c>
      <c r="I2322" s="79">
        <f>IF('Ordenes_Odoo'!I2322="","",'Ordenes_Odoo'!I2322)</f>
        <v/>
      </c>
      <c r="J2322" s="79">
        <f>IF('Ordenes_Odoo'!J2322="","",'Ordenes_Odoo'!J2322)</f>
        <v/>
      </c>
      <c r="K2322" s="81">
        <f>IF('Ordenes_Odoo'!K2322="","",'Ordenes_Odoo'!K2322)</f>
        <v/>
      </c>
      <c r="L2322" s="81">
        <f>IF('Ordenes_Odoo'!L2322="","",'Ordenes_Odoo'!L2322)</f>
        <v/>
      </c>
      <c r="M2322" s="79">
        <f>IF('Ordenes_Odoo'!M2322="","",'Ordenes_Odoo'!M2322)</f>
        <v/>
      </c>
      <c r="N2322" s="79">
        <f>IF('Ordenes_Odoo'!N2322="","",'Ordenes_Odoo'!N2322)</f>
        <v/>
      </c>
      <c r="O2322" s="81">
        <f>IF('Ordenes_Odoo'!O2322="","",'Ordenes_Odoo'!O2322)</f>
        <v/>
      </c>
      <c r="P2322" s="81">
        <f>IF('Ordenes_Odoo'!P2322="","",'Ordenes_Odoo'!P2322)</f>
        <v/>
      </c>
      <c r="Q2322" s="79">
        <f>IF(A2322="","",IFERROR(INDEX(Facturas_Odoo!$B:$B, MATCH(A2322, Facturas_Odoo!$D:$D, 0)), "Sin Factura"))</f>
        <v/>
      </c>
      <c r="R2322" s="80">
        <f>IF(Q2322="Sin Factura","",IFERROR(INDEX(Facturas_Odoo!$A:$A, MATCH(Q2322, Facturas_Odoo!$B:$B, 0)), ""))</f>
        <v/>
      </c>
      <c r="S2322" s="79">
        <f>IF(Q2322="Sin Factura","",IFERROR(_xlfn.XLOOKUP(1, (Facturas_Odoo!$D:$D=A2322) * (Facturas_Odoo!$K:$K=I2322), Facturas_Odoo!$L:$L, ""), ""))</f>
        <v/>
      </c>
      <c r="T2322" s="81">
        <f>IF(Q2322="Sin Factura",0,IFERROR(_xlfn.XLOOKUP(1, (Facturas_Odoo!$D:$D=A2322) * (Facturas_Odoo!$K:$K=I2322), Facturas_Odoo!$M:$M, 0), 0))</f>
        <v/>
      </c>
      <c r="U2322" s="79">
        <f>IF(Q2322="Sin Factura",0,IFERROR(_xlfn.XLOOKUP(1, (Facturas_Odoo!$D:$D=A2322) * (Facturas_Odoo!$K:$K=I2322), Facturas_Odoo!$N:$N, 0), 0))</f>
        <v/>
      </c>
      <c r="V2322" s="79">
        <f>IF(Q2322="Sin Factura",0,IFERROR(_xlfn.XLOOKUP(1, (Facturas_Odoo!$D:$D=A2322) * (Facturas_Odoo!$K:$K=I2322), Facturas_Odoo!$O:$O, 0), 0))</f>
        <v/>
      </c>
      <c r="W2322" s="81">
        <f>IF(Q2322="Sin Factura",0,IFERROR(_xlfn.XLOOKUP(1, (Facturas_Odoo!$D:$D=A2322) * (Facturas_Odoo!$K:$K=I2322), Facturas_Odoo!$Q:$Q, 0), 0))</f>
        <v/>
      </c>
      <c r="X2322" s="79">
        <f>IF(OR(Q2322="Sin Factura",Q2322=""),"",IFERROR(INDEX(Pagos_Odoo!$B:$B, MATCH(Q2322, Pagos_Odoo!$I:$I, 0)), "Sin Pago"))</f>
        <v/>
      </c>
      <c r="Y2322" s="79">
        <f>IF(X2322="Sin Pago","",IFERROR(INDEX(Pagos_Odoo!$C:$C, MATCH(X2322, Pagos_Odoo!$B:$B, 0)), ""))</f>
        <v/>
      </c>
      <c r="Z2322" s="80">
        <f>IF(X2322="Sin Pago","",IFERROR(INDEX(Pagos_Odoo!$A:$A, MATCH(X2322, Pagos_Odoo!$B:$B, 0)), ""))</f>
        <v/>
      </c>
      <c r="AA2322" s="79">
        <f>IF(X2322="Sin Pago","",IFERROR(INDEX(Pagos_Odoo!$F:$F, MATCH(X2322, Pagos_Odoo!$B:$B, 0)), ""))</f>
        <v/>
      </c>
      <c r="AB2322" s="81">
        <f>IF(X2322="Sin Pago",0,IFERROR(INDEX(Pagos_Odoo!$E:$E, MATCH(X2322, Pagos_Odoo!$B:$B, 0)), 0))</f>
        <v/>
      </c>
      <c r="AC2322" s="79">
        <f>IF(X2322="Sin Pago","",IFERROR(INDEX(Pagos_Odoo!$G:$G, MATCH(X2322, Pagos_Odoo!$B:$B, 0)), ""))</f>
        <v/>
      </c>
      <c r="AD2322" s="82" t="n">
        <v>0</v>
      </c>
      <c r="AE2322" s="82" t="n"/>
      <c r="AF2322" s="82" t="n"/>
      <c r="AG2322" s="82">
        <f>IF(AN2322="","",AD2322+AE2322+AF2322)</f>
        <v/>
      </c>
      <c r="AH2322" s="81">
        <f>IF(AN2322="","",P2322*(1-AG2322))</f>
        <v/>
      </c>
      <c r="AI2322" s="81">
        <f>IF(AN2322="","",IF(Q2322="Sin Factura",0,IFERROR(INDEX(Facturas_Odoo!$H:$H, MATCH(Q2322, Facturas_Odoo!$B:$B, 0)), 0)*(1-AG2322)))</f>
        <v/>
      </c>
      <c r="AJ2322" s="81">
        <f>IF(AN2322="","",_xlfn.LET(idVenta, AN2322&amp;"",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22" s="81">
        <f>IF(AN2322="","",AH2322-AJ2322)</f>
        <v/>
      </c>
      <c r="AL2322" s="81">
        <f>IF(AN2322="","",IF(Q2322="Sin Factura","",AI2322-AJ2322))</f>
        <v/>
      </c>
      <c r="AM2322" s="81">
        <f>IF(AN2322="","",IF(Q2322="Sin Factura",0,P2322-IFERROR(INDEX(Facturas_Odoo!$H:$H, MATCH(Q2322, Facturas_Odoo!$B:$B, 0)), 0)))</f>
        <v/>
      </c>
      <c r="AN2322" s="79">
        <f>IF(AND(A2322="", J2322=""), "", IF(A2322&lt;&gt;"", VALUE(MID(A2322,2,LEN(A2322))), AN2321))</f>
        <v/>
      </c>
      <c r="AO2322" s="79">
        <f>IF(AN2322="","",IF(AD2322=0,"OK",_xlfn.LET(monedaPago, IF(AA2322="","USD",AA2322), limitePermitido, IFERROR(VLOOKUP(monedaPago, Configuración!$A$2:$B$3, 2, FALSE), 0.15), IF(AD2322&gt;limitePermitido, "ALERTA: EXCESO (" &amp; TEXT(limitePermitido, "0%") &amp; " máx)", "OK"))))</f>
        <v/>
      </c>
      <c r="AP2322" s="79">
        <f>IF(AN2322="","",IF(AE2322=0,"OK",_xlfn.LET(fechaPago, Z2322, fechaFactura, R2322, diasCredito, IF(E2322="Pago inmediato", 0, IFERROR(VALUE(MID(E2322, 1, SEARCH(" ", E2322)-1)),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22" s="79">
        <f>IF(AN2322="","",IF(AND(N2322&gt;0, AG2322&gt;0), IF(Configuración!$K$2="NO", "ALERTA: DESCUENTO DOBLE NO PERMITIDO", "OK"), "OK"))</f>
        <v/>
      </c>
      <c r="AR2322" s="79">
        <f>IF(AN2322="","",IF(OR(AO2322&lt;&gt;"OK", AP2322&lt;&gt;"OK", AQ2322&lt;&gt;"OK"), "⚠️ REVISAR", "OK"))</f>
        <v/>
      </c>
    </row>
    <row r="2323">
      <c r="A2323" s="79">
        <f>IF('Ordenes_Odoo'!A2323="","",'Ordenes_Odoo'!A2323)</f>
        <v/>
      </c>
      <c r="B2323" s="80">
        <f>IF('Ordenes_Odoo'!B2323="","",'Ordenes_Odoo'!B2323)</f>
        <v/>
      </c>
      <c r="C2323" s="79">
        <f>IF('Ordenes_Odoo'!C2323="","",'Ordenes_Odoo'!C2323)</f>
        <v/>
      </c>
      <c r="D2323" s="79">
        <f>IF('Ordenes_Odoo'!D2323="","",'Ordenes_Odoo'!D2323)</f>
        <v/>
      </c>
      <c r="E2323" s="79">
        <f>IF('Ordenes_Odoo'!E2323="","",'Ordenes_Odoo'!E2323)</f>
        <v/>
      </c>
      <c r="F2323" s="79">
        <f>IF('Ordenes_Odoo'!F2323="","",'Ordenes_Odoo'!F2323)</f>
        <v/>
      </c>
      <c r="G2323" s="79">
        <f>IF('Ordenes_Odoo'!G2323="","",'Ordenes_Odoo'!G2323)</f>
        <v/>
      </c>
      <c r="H2323" s="79">
        <f>IF('Ordenes_Odoo'!H2323="","",'Ordenes_Odoo'!H2323)</f>
        <v/>
      </c>
      <c r="I2323" s="79">
        <f>IF('Ordenes_Odoo'!I2323="","",'Ordenes_Odoo'!I2323)</f>
        <v/>
      </c>
      <c r="J2323" s="79">
        <f>IF('Ordenes_Odoo'!J2323="","",'Ordenes_Odoo'!J2323)</f>
        <v/>
      </c>
      <c r="K2323" s="81">
        <f>IF('Ordenes_Odoo'!K2323="","",'Ordenes_Odoo'!K2323)</f>
        <v/>
      </c>
      <c r="L2323" s="81">
        <f>IF('Ordenes_Odoo'!L2323="","",'Ordenes_Odoo'!L2323)</f>
        <v/>
      </c>
      <c r="M2323" s="79">
        <f>IF('Ordenes_Odoo'!M2323="","",'Ordenes_Odoo'!M2323)</f>
        <v/>
      </c>
      <c r="N2323" s="79">
        <f>IF('Ordenes_Odoo'!N2323="","",'Ordenes_Odoo'!N2323)</f>
        <v/>
      </c>
      <c r="O2323" s="81">
        <f>IF('Ordenes_Odoo'!O2323="","",'Ordenes_Odoo'!O2323)</f>
        <v/>
      </c>
      <c r="P2323" s="81">
        <f>IF('Ordenes_Odoo'!P2323="","",'Ordenes_Odoo'!P2323)</f>
        <v/>
      </c>
      <c r="Q2323" s="79">
        <f>IF(A2323="","",IFERROR(INDEX(Facturas_Odoo!$B:$B, MATCH(A2323, Facturas_Odoo!$D:$D, 0)), "Sin Factura"))</f>
        <v/>
      </c>
      <c r="R2323" s="80">
        <f>IF(Q2323="Sin Factura","",IFERROR(INDEX(Facturas_Odoo!$A:$A, MATCH(Q2323, Facturas_Odoo!$B:$B, 0)), ""))</f>
        <v/>
      </c>
      <c r="S2323" s="79">
        <f>IF(Q2323="Sin Factura","",IFERROR(_xlfn.XLOOKUP(1, (Facturas_Odoo!$D:$D=A2323) * (Facturas_Odoo!$K:$K=I2323), Facturas_Odoo!$L:$L, ""), ""))</f>
        <v/>
      </c>
      <c r="T2323" s="81">
        <f>IF(Q2323="Sin Factura",0,IFERROR(_xlfn.XLOOKUP(1, (Facturas_Odoo!$D:$D=A2323) * (Facturas_Odoo!$K:$K=I2323), Facturas_Odoo!$M:$M, 0), 0))</f>
        <v/>
      </c>
      <c r="U2323" s="79">
        <f>IF(Q2323="Sin Factura",0,IFERROR(_xlfn.XLOOKUP(1, (Facturas_Odoo!$D:$D=A2323) * (Facturas_Odoo!$K:$K=I2323), Facturas_Odoo!$N:$N, 0), 0))</f>
        <v/>
      </c>
      <c r="V2323" s="79">
        <f>IF(Q2323="Sin Factura",0,IFERROR(_xlfn.XLOOKUP(1, (Facturas_Odoo!$D:$D=A2323) * (Facturas_Odoo!$K:$K=I2323), Facturas_Odoo!$O:$O, 0), 0))</f>
        <v/>
      </c>
      <c r="W2323" s="81">
        <f>IF(Q2323="Sin Factura",0,IFERROR(_xlfn.XLOOKUP(1, (Facturas_Odoo!$D:$D=A2323) * (Facturas_Odoo!$K:$K=I2323), Facturas_Odoo!$Q:$Q, 0), 0))</f>
        <v/>
      </c>
      <c r="X2323" s="79">
        <f>IF(OR(Q2323="Sin Factura",Q2323=""),"",IFERROR(INDEX(Pagos_Odoo!$B:$B, MATCH(Q2323, Pagos_Odoo!$I:$I, 0)), "Sin Pago"))</f>
        <v/>
      </c>
      <c r="Y2323" s="79">
        <f>IF(X2323="Sin Pago","",IFERROR(INDEX(Pagos_Odoo!$C:$C, MATCH(X2323, Pagos_Odoo!$B:$B, 0)), ""))</f>
        <v/>
      </c>
      <c r="Z2323" s="80">
        <f>IF(X2323="Sin Pago","",IFERROR(INDEX(Pagos_Odoo!$A:$A, MATCH(X2323, Pagos_Odoo!$B:$B, 0)), ""))</f>
        <v/>
      </c>
      <c r="AA2323" s="79">
        <f>IF(X2323="Sin Pago","",IFERROR(INDEX(Pagos_Odoo!$F:$F, MATCH(X2323, Pagos_Odoo!$B:$B, 0)), ""))</f>
        <v/>
      </c>
      <c r="AB2323" s="81">
        <f>IF(X2323="Sin Pago",0,IFERROR(INDEX(Pagos_Odoo!$E:$E, MATCH(X2323, Pagos_Odoo!$B:$B, 0)), 0))</f>
        <v/>
      </c>
      <c r="AC2323" s="79">
        <f>IF(X2323="Sin Pago","",IFERROR(INDEX(Pagos_Odoo!$G:$G, MATCH(X2323, Pagos_Odoo!$B:$B, 0)), ""))</f>
        <v/>
      </c>
      <c r="AD2323" s="82" t="n">
        <v>0</v>
      </c>
      <c r="AE2323" s="82" t="n"/>
      <c r="AF2323" s="82" t="n"/>
      <c r="AG2323" s="82">
        <f>IF(AN2323="","",AD2323+AE2323+AF2323)</f>
        <v/>
      </c>
      <c r="AH2323" s="81">
        <f>IF(AN2323="","",P2323*(1-AG2323))</f>
        <v/>
      </c>
      <c r="AI2323" s="81">
        <f>IF(AN2323="","",IF(Q2323="Sin Factura",0,IFERROR(INDEX(Facturas_Odoo!$H:$H, MATCH(Q2323, Facturas_Odoo!$B:$B, 0)), 0)*(1-AG2323)))</f>
        <v/>
      </c>
      <c r="AJ2323" s="81">
        <f>IF(AN2323="","",_xlfn.LET(idVenta, AN2323&amp;"",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23" s="81">
        <f>IF(AN2323="","",AH2323-AJ2323)</f>
        <v/>
      </c>
      <c r="AL2323" s="81">
        <f>IF(AN2323="","",IF(Q2323="Sin Factura","",AI2323-AJ2323))</f>
        <v/>
      </c>
      <c r="AM2323" s="81">
        <f>IF(AN2323="","",IF(Q2323="Sin Factura",0,P2323-IFERROR(INDEX(Facturas_Odoo!$H:$H, MATCH(Q2323, Facturas_Odoo!$B:$B, 0)), 0)))</f>
        <v/>
      </c>
      <c r="AN2323" s="79">
        <f>IF(AND(A2323="", J2323=""), "", IF(A2323&lt;&gt;"", VALUE(MID(A2323,2,LEN(A2323))), AN2322))</f>
        <v/>
      </c>
      <c r="AO2323" s="79">
        <f>IF(AN2323="","",IF(AD2323=0,"OK",_xlfn.LET(monedaPago, IF(AA2323="","USD",AA2323), limitePermitido, IFERROR(VLOOKUP(monedaPago, Configuración!$A$2:$B$3, 2, FALSE), 0.15), IF(AD2323&gt;limitePermitido, "ALERTA: EXCESO (" &amp; TEXT(limitePermitido, "0%") &amp; " máx)", "OK"))))</f>
        <v/>
      </c>
      <c r="AP2323" s="79">
        <f>IF(AN2323="","",IF(AE2323=0,"OK",_xlfn.LET(fechaPago, Z2323, fechaFactura, R2323, diasCredito, IF(E2323="Pago inmediato", 0, IFERROR(VALUE(MID(E2323, 1, SEARCH(" ", E2323)-1)),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23" s="79">
        <f>IF(AN2323="","",IF(AND(N2323&gt;0, AG2323&gt;0), IF(Configuración!$K$2="NO", "ALERTA: DESCUENTO DOBLE NO PERMITIDO", "OK"), "OK"))</f>
        <v/>
      </c>
      <c r="AR2323" s="79">
        <f>IF(AN2323="","",IF(OR(AO2323&lt;&gt;"OK", AP2323&lt;&gt;"OK", AQ2323&lt;&gt;"OK"), "⚠️ REVISAR", "OK"))</f>
        <v/>
      </c>
    </row>
    <row r="2324">
      <c r="A2324" s="79">
        <f>IF('Ordenes_Odoo'!A2324="","",'Ordenes_Odoo'!A2324)</f>
        <v/>
      </c>
      <c r="B2324" s="80">
        <f>IF('Ordenes_Odoo'!B2324="","",'Ordenes_Odoo'!B2324)</f>
        <v/>
      </c>
      <c r="C2324" s="79">
        <f>IF('Ordenes_Odoo'!C2324="","",'Ordenes_Odoo'!C2324)</f>
        <v/>
      </c>
      <c r="D2324" s="79">
        <f>IF('Ordenes_Odoo'!D2324="","",'Ordenes_Odoo'!D2324)</f>
        <v/>
      </c>
      <c r="E2324" s="79">
        <f>IF('Ordenes_Odoo'!E2324="","",'Ordenes_Odoo'!E2324)</f>
        <v/>
      </c>
      <c r="F2324" s="79">
        <f>IF('Ordenes_Odoo'!F2324="","",'Ordenes_Odoo'!F2324)</f>
        <v/>
      </c>
      <c r="G2324" s="79">
        <f>IF('Ordenes_Odoo'!G2324="","",'Ordenes_Odoo'!G2324)</f>
        <v/>
      </c>
      <c r="H2324" s="79">
        <f>IF('Ordenes_Odoo'!H2324="","",'Ordenes_Odoo'!H2324)</f>
        <v/>
      </c>
      <c r="I2324" s="79">
        <f>IF('Ordenes_Odoo'!I2324="","",'Ordenes_Odoo'!I2324)</f>
        <v/>
      </c>
      <c r="J2324" s="79">
        <f>IF('Ordenes_Odoo'!J2324="","",'Ordenes_Odoo'!J2324)</f>
        <v/>
      </c>
      <c r="K2324" s="81">
        <f>IF('Ordenes_Odoo'!K2324="","",'Ordenes_Odoo'!K2324)</f>
        <v/>
      </c>
      <c r="L2324" s="81">
        <f>IF('Ordenes_Odoo'!L2324="","",'Ordenes_Odoo'!L2324)</f>
        <v/>
      </c>
      <c r="M2324" s="79">
        <f>IF('Ordenes_Odoo'!M2324="","",'Ordenes_Odoo'!M2324)</f>
        <v/>
      </c>
      <c r="N2324" s="79">
        <f>IF('Ordenes_Odoo'!N2324="","",'Ordenes_Odoo'!N2324)</f>
        <v/>
      </c>
      <c r="O2324" s="81">
        <f>IF('Ordenes_Odoo'!O2324="","",'Ordenes_Odoo'!O2324)</f>
        <v/>
      </c>
      <c r="P2324" s="81">
        <f>IF('Ordenes_Odoo'!P2324="","",'Ordenes_Odoo'!P2324)</f>
        <v/>
      </c>
      <c r="Q2324" s="79">
        <f>IF(A2324="","",IFERROR(INDEX(Facturas_Odoo!$B:$B, MATCH(A2324, Facturas_Odoo!$D:$D, 0)), "Sin Factura"))</f>
        <v/>
      </c>
      <c r="R2324" s="80">
        <f>IF(Q2324="Sin Factura","",IFERROR(INDEX(Facturas_Odoo!$A:$A, MATCH(Q2324, Facturas_Odoo!$B:$B, 0)), ""))</f>
        <v/>
      </c>
      <c r="S2324" s="79">
        <f>IF(Q2324="Sin Factura","",IFERROR(_xlfn.XLOOKUP(1, (Facturas_Odoo!$D:$D=A2324) * (Facturas_Odoo!$K:$K=I2324), Facturas_Odoo!$L:$L, ""), ""))</f>
        <v/>
      </c>
      <c r="T2324" s="81">
        <f>IF(Q2324="Sin Factura",0,IFERROR(_xlfn.XLOOKUP(1, (Facturas_Odoo!$D:$D=A2324) * (Facturas_Odoo!$K:$K=I2324), Facturas_Odoo!$M:$M, 0), 0))</f>
        <v/>
      </c>
      <c r="U2324" s="79">
        <f>IF(Q2324="Sin Factura",0,IFERROR(_xlfn.XLOOKUP(1, (Facturas_Odoo!$D:$D=A2324) * (Facturas_Odoo!$K:$K=I2324), Facturas_Odoo!$N:$N, 0), 0))</f>
        <v/>
      </c>
      <c r="V2324" s="79">
        <f>IF(Q2324="Sin Factura",0,IFERROR(_xlfn.XLOOKUP(1, (Facturas_Odoo!$D:$D=A2324) * (Facturas_Odoo!$K:$K=I2324), Facturas_Odoo!$O:$O, 0), 0))</f>
        <v/>
      </c>
      <c r="W2324" s="81">
        <f>IF(Q2324="Sin Factura",0,IFERROR(_xlfn.XLOOKUP(1, (Facturas_Odoo!$D:$D=A2324) * (Facturas_Odoo!$K:$K=I2324), Facturas_Odoo!$Q:$Q, 0), 0))</f>
        <v/>
      </c>
      <c r="X2324" s="79">
        <f>IF(OR(Q2324="Sin Factura",Q2324=""),"",IFERROR(INDEX(Pagos_Odoo!$B:$B, MATCH(Q2324, Pagos_Odoo!$I:$I, 0)), "Sin Pago"))</f>
        <v/>
      </c>
      <c r="Y2324" s="79">
        <f>IF(X2324="Sin Pago","",IFERROR(INDEX(Pagos_Odoo!$C:$C, MATCH(X2324, Pagos_Odoo!$B:$B, 0)), ""))</f>
        <v/>
      </c>
      <c r="Z2324" s="80">
        <f>IF(X2324="Sin Pago","",IFERROR(INDEX(Pagos_Odoo!$A:$A, MATCH(X2324, Pagos_Odoo!$B:$B, 0)), ""))</f>
        <v/>
      </c>
      <c r="AA2324" s="79">
        <f>IF(X2324="Sin Pago","",IFERROR(INDEX(Pagos_Odoo!$F:$F, MATCH(X2324, Pagos_Odoo!$B:$B, 0)), ""))</f>
        <v/>
      </c>
      <c r="AB2324" s="81">
        <f>IF(X2324="Sin Pago",0,IFERROR(INDEX(Pagos_Odoo!$E:$E, MATCH(X2324, Pagos_Odoo!$B:$B, 0)), 0))</f>
        <v/>
      </c>
      <c r="AC2324" s="79">
        <f>IF(X2324="Sin Pago","",IFERROR(INDEX(Pagos_Odoo!$G:$G, MATCH(X2324, Pagos_Odoo!$B:$B, 0)), ""))</f>
        <v/>
      </c>
      <c r="AD2324" s="82" t="n">
        <v>0</v>
      </c>
      <c r="AE2324" s="82" t="n"/>
      <c r="AF2324" s="82" t="n"/>
      <c r="AG2324" s="82">
        <f>IF(AN2324="","",AD2324+AE2324+AF2324)</f>
        <v/>
      </c>
      <c r="AH2324" s="81">
        <f>IF(AN2324="","",P2324*(1-AG2324))</f>
        <v/>
      </c>
      <c r="AI2324" s="81">
        <f>IF(AN2324="","",IF(Q2324="Sin Factura",0,IFERROR(INDEX(Facturas_Odoo!$H:$H, MATCH(Q2324, Facturas_Odoo!$B:$B, 0)), 0)*(1-AG2324)))</f>
        <v/>
      </c>
      <c r="AJ2324" s="81">
        <f>IF(AN2324="","",_xlfn.LET(idVenta, AN2324&amp;"",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24" s="81">
        <f>IF(AN2324="","",AH2324-AJ2324)</f>
        <v/>
      </c>
      <c r="AL2324" s="81">
        <f>IF(AN2324="","",IF(Q2324="Sin Factura","",AI2324-AJ2324))</f>
        <v/>
      </c>
      <c r="AM2324" s="81">
        <f>IF(AN2324="","",IF(Q2324="Sin Factura",0,P2324-IFERROR(INDEX(Facturas_Odoo!$H:$H, MATCH(Q2324, Facturas_Odoo!$B:$B, 0)), 0)))</f>
        <v/>
      </c>
      <c r="AN2324" s="79">
        <f>IF(AND(A2324="", J2324=""), "", IF(A2324&lt;&gt;"", VALUE(MID(A2324,2,LEN(A2324))), AN2323))</f>
        <v/>
      </c>
      <c r="AO2324" s="79">
        <f>IF(AN2324="","",IF(AD2324=0,"OK",_xlfn.LET(monedaPago, IF(AA2324="","USD",AA2324), limitePermitido, IFERROR(VLOOKUP(monedaPago, Configuración!$A$2:$B$3, 2, FALSE), 0.15), IF(AD2324&gt;limitePermitido, "ALERTA: EXCESO (" &amp; TEXT(limitePermitido, "0%") &amp; " máx)", "OK"))))</f>
        <v/>
      </c>
      <c r="AP2324" s="79">
        <f>IF(AN2324="","",IF(AE2324=0,"OK",_xlfn.LET(fechaPago, Z2324, fechaFactura, R2324, diasCredito, IF(E2324="Pago inmediato", 0, IFERROR(VALUE(MID(E2324, 1, SEARCH(" ", E2324)-1)),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24" s="79">
        <f>IF(AN2324="","",IF(AND(N2324&gt;0, AG2324&gt;0), IF(Configuración!$K$2="NO", "ALERTA: DESCUENTO DOBLE NO PERMITIDO", "OK"), "OK"))</f>
        <v/>
      </c>
      <c r="AR2324" s="79">
        <f>IF(AN2324="","",IF(OR(AO2324&lt;&gt;"OK", AP2324&lt;&gt;"OK", AQ2324&lt;&gt;"OK"), "⚠️ REVISAR", "OK"))</f>
        <v/>
      </c>
    </row>
    <row r="2325">
      <c r="A2325" s="79">
        <f>IF('Ordenes_Odoo'!A2325="","",'Ordenes_Odoo'!A2325)</f>
        <v/>
      </c>
      <c r="B2325" s="80">
        <f>IF('Ordenes_Odoo'!B2325="","",'Ordenes_Odoo'!B2325)</f>
        <v/>
      </c>
      <c r="C2325" s="79">
        <f>IF('Ordenes_Odoo'!C2325="","",'Ordenes_Odoo'!C2325)</f>
        <v/>
      </c>
      <c r="D2325" s="79">
        <f>IF('Ordenes_Odoo'!D2325="","",'Ordenes_Odoo'!D2325)</f>
        <v/>
      </c>
      <c r="E2325" s="79">
        <f>IF('Ordenes_Odoo'!E2325="","",'Ordenes_Odoo'!E2325)</f>
        <v/>
      </c>
      <c r="F2325" s="79">
        <f>IF('Ordenes_Odoo'!F2325="","",'Ordenes_Odoo'!F2325)</f>
        <v/>
      </c>
      <c r="G2325" s="79">
        <f>IF('Ordenes_Odoo'!G2325="","",'Ordenes_Odoo'!G2325)</f>
        <v/>
      </c>
      <c r="H2325" s="79">
        <f>IF('Ordenes_Odoo'!H2325="","",'Ordenes_Odoo'!H2325)</f>
        <v/>
      </c>
      <c r="I2325" s="79">
        <f>IF('Ordenes_Odoo'!I2325="","",'Ordenes_Odoo'!I2325)</f>
        <v/>
      </c>
      <c r="J2325" s="79">
        <f>IF('Ordenes_Odoo'!J2325="","",'Ordenes_Odoo'!J2325)</f>
        <v/>
      </c>
      <c r="K2325" s="81">
        <f>IF('Ordenes_Odoo'!K2325="","",'Ordenes_Odoo'!K2325)</f>
        <v/>
      </c>
      <c r="L2325" s="81">
        <f>IF('Ordenes_Odoo'!L2325="","",'Ordenes_Odoo'!L2325)</f>
        <v/>
      </c>
      <c r="M2325" s="79">
        <f>IF('Ordenes_Odoo'!M2325="","",'Ordenes_Odoo'!M2325)</f>
        <v/>
      </c>
      <c r="N2325" s="79">
        <f>IF('Ordenes_Odoo'!N2325="","",'Ordenes_Odoo'!N2325)</f>
        <v/>
      </c>
      <c r="O2325" s="81">
        <f>IF('Ordenes_Odoo'!O2325="","",'Ordenes_Odoo'!O2325)</f>
        <v/>
      </c>
      <c r="P2325" s="81">
        <f>IF('Ordenes_Odoo'!P2325="","",'Ordenes_Odoo'!P2325)</f>
        <v/>
      </c>
      <c r="Q2325" s="79">
        <f>IF(A2325="","",IFERROR(INDEX(Facturas_Odoo!$B:$B, MATCH(A2325, Facturas_Odoo!$D:$D, 0)), "Sin Factura"))</f>
        <v/>
      </c>
      <c r="R2325" s="80">
        <f>IF(Q2325="Sin Factura","",IFERROR(INDEX(Facturas_Odoo!$A:$A, MATCH(Q2325, Facturas_Odoo!$B:$B, 0)), ""))</f>
        <v/>
      </c>
      <c r="S2325" s="79">
        <f>IF(Q2325="Sin Factura","",IFERROR(_xlfn.XLOOKUP(1, (Facturas_Odoo!$D:$D=A2325) * (Facturas_Odoo!$K:$K=I2325), Facturas_Odoo!$L:$L, ""), ""))</f>
        <v/>
      </c>
      <c r="T2325" s="81">
        <f>IF(Q2325="Sin Factura",0,IFERROR(_xlfn.XLOOKUP(1, (Facturas_Odoo!$D:$D=A2325) * (Facturas_Odoo!$K:$K=I2325), Facturas_Odoo!$M:$M, 0), 0))</f>
        <v/>
      </c>
      <c r="U2325" s="79">
        <f>IF(Q2325="Sin Factura",0,IFERROR(_xlfn.XLOOKUP(1, (Facturas_Odoo!$D:$D=A2325) * (Facturas_Odoo!$K:$K=I2325), Facturas_Odoo!$N:$N, 0), 0))</f>
        <v/>
      </c>
      <c r="V2325" s="79">
        <f>IF(Q2325="Sin Factura",0,IFERROR(_xlfn.XLOOKUP(1, (Facturas_Odoo!$D:$D=A2325) * (Facturas_Odoo!$K:$K=I2325), Facturas_Odoo!$O:$O, 0), 0))</f>
        <v/>
      </c>
      <c r="W2325" s="81">
        <f>IF(Q2325="Sin Factura",0,IFERROR(_xlfn.XLOOKUP(1, (Facturas_Odoo!$D:$D=A2325) * (Facturas_Odoo!$K:$K=I2325), Facturas_Odoo!$Q:$Q, 0), 0))</f>
        <v/>
      </c>
      <c r="X2325" s="79">
        <f>IF(OR(Q2325="Sin Factura",Q2325=""),"",IFERROR(INDEX(Pagos_Odoo!$B:$B, MATCH(Q2325, Pagos_Odoo!$I:$I, 0)), "Sin Pago"))</f>
        <v/>
      </c>
      <c r="Y2325" s="79">
        <f>IF(X2325="Sin Pago","",IFERROR(INDEX(Pagos_Odoo!$C:$C, MATCH(X2325, Pagos_Odoo!$B:$B, 0)), ""))</f>
        <v/>
      </c>
      <c r="Z2325" s="80">
        <f>IF(X2325="Sin Pago","",IFERROR(INDEX(Pagos_Odoo!$A:$A, MATCH(X2325, Pagos_Odoo!$B:$B, 0)), ""))</f>
        <v/>
      </c>
      <c r="AA2325" s="79">
        <f>IF(X2325="Sin Pago","",IFERROR(INDEX(Pagos_Odoo!$F:$F, MATCH(X2325, Pagos_Odoo!$B:$B, 0)), ""))</f>
        <v/>
      </c>
      <c r="AB2325" s="81">
        <f>IF(X2325="Sin Pago",0,IFERROR(INDEX(Pagos_Odoo!$E:$E, MATCH(X2325, Pagos_Odoo!$B:$B, 0)), 0))</f>
        <v/>
      </c>
      <c r="AC2325" s="79">
        <f>IF(X2325="Sin Pago","",IFERROR(INDEX(Pagos_Odoo!$G:$G, MATCH(X2325, Pagos_Odoo!$B:$B, 0)), ""))</f>
        <v/>
      </c>
      <c r="AD2325" s="82" t="n">
        <v>0</v>
      </c>
      <c r="AE2325" s="82" t="n"/>
      <c r="AF2325" s="82" t="n"/>
      <c r="AG2325" s="82">
        <f>IF(AN2325="","",AD2325+AE2325+AF2325)</f>
        <v/>
      </c>
      <c r="AH2325" s="81">
        <f>IF(AN2325="","",P2325*(1-AG2325))</f>
        <v/>
      </c>
      <c r="AI2325" s="81">
        <f>IF(AN2325="","",IF(Q2325="Sin Factura",0,IFERROR(INDEX(Facturas_Odoo!$H:$H, MATCH(Q2325, Facturas_Odoo!$B:$B, 0)), 0)*(1-AG2325)))</f>
        <v/>
      </c>
      <c r="AJ2325" s="81">
        <f>IF(AN2325="","",_xlfn.LET(idVenta, AN2325&amp;"",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25" s="81">
        <f>IF(AN2325="","",AH2325-AJ2325)</f>
        <v/>
      </c>
      <c r="AL2325" s="81">
        <f>IF(AN2325="","",IF(Q2325="Sin Factura","",AI2325-AJ2325))</f>
        <v/>
      </c>
      <c r="AM2325" s="81">
        <f>IF(AN2325="","",IF(Q2325="Sin Factura",0,P2325-IFERROR(INDEX(Facturas_Odoo!$H:$H, MATCH(Q2325, Facturas_Odoo!$B:$B, 0)), 0)))</f>
        <v/>
      </c>
      <c r="AN2325" s="79">
        <f>IF(AND(A2325="", J2325=""), "", IF(A2325&lt;&gt;"", VALUE(MID(A2325,2,LEN(A2325))), AN2324))</f>
        <v/>
      </c>
      <c r="AO2325" s="79">
        <f>IF(AN2325="","",IF(AD2325=0,"OK",_xlfn.LET(monedaPago, IF(AA2325="","USD",AA2325), limitePermitido, IFERROR(VLOOKUP(monedaPago, Configuración!$A$2:$B$3, 2, FALSE), 0.15), IF(AD2325&gt;limitePermitido, "ALERTA: EXCESO (" &amp; TEXT(limitePermitido, "0%") &amp; " máx)", "OK"))))</f>
        <v/>
      </c>
      <c r="AP2325" s="79">
        <f>IF(AN2325="","",IF(AE2325=0,"OK",_xlfn.LET(fechaPago, Z2325, fechaFactura, R2325, diasCredito, IF(E2325="Pago inmediato", 0, IFERROR(VALUE(MID(E2325, 1, SEARCH(" ", E2325)-1)),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25" s="79">
        <f>IF(AN2325="","",IF(AND(N2325&gt;0, AG2325&gt;0), IF(Configuración!$K$2="NO", "ALERTA: DESCUENTO DOBLE NO PERMITIDO", "OK"), "OK"))</f>
        <v/>
      </c>
      <c r="AR2325" s="79">
        <f>IF(AN2325="","",IF(OR(AO2325&lt;&gt;"OK", AP2325&lt;&gt;"OK", AQ2325&lt;&gt;"OK"), "⚠️ REVISAR", "OK"))</f>
        <v/>
      </c>
    </row>
    <row r="2326">
      <c r="A2326" s="79">
        <f>IF('Ordenes_Odoo'!A2326="","",'Ordenes_Odoo'!A2326)</f>
        <v/>
      </c>
      <c r="B2326" s="80">
        <f>IF('Ordenes_Odoo'!B2326="","",'Ordenes_Odoo'!B2326)</f>
        <v/>
      </c>
      <c r="C2326" s="79">
        <f>IF('Ordenes_Odoo'!C2326="","",'Ordenes_Odoo'!C2326)</f>
        <v/>
      </c>
      <c r="D2326" s="79">
        <f>IF('Ordenes_Odoo'!D2326="","",'Ordenes_Odoo'!D2326)</f>
        <v/>
      </c>
      <c r="E2326" s="79">
        <f>IF('Ordenes_Odoo'!E2326="","",'Ordenes_Odoo'!E2326)</f>
        <v/>
      </c>
      <c r="F2326" s="79">
        <f>IF('Ordenes_Odoo'!F2326="","",'Ordenes_Odoo'!F2326)</f>
        <v/>
      </c>
      <c r="G2326" s="79">
        <f>IF('Ordenes_Odoo'!G2326="","",'Ordenes_Odoo'!G2326)</f>
        <v/>
      </c>
      <c r="H2326" s="79">
        <f>IF('Ordenes_Odoo'!H2326="","",'Ordenes_Odoo'!H2326)</f>
        <v/>
      </c>
      <c r="I2326" s="79">
        <f>IF('Ordenes_Odoo'!I2326="","",'Ordenes_Odoo'!I2326)</f>
        <v/>
      </c>
      <c r="J2326" s="79">
        <f>IF('Ordenes_Odoo'!J2326="","",'Ordenes_Odoo'!J2326)</f>
        <v/>
      </c>
      <c r="K2326" s="81">
        <f>IF('Ordenes_Odoo'!K2326="","",'Ordenes_Odoo'!K2326)</f>
        <v/>
      </c>
      <c r="L2326" s="81">
        <f>IF('Ordenes_Odoo'!L2326="","",'Ordenes_Odoo'!L2326)</f>
        <v/>
      </c>
      <c r="M2326" s="79">
        <f>IF('Ordenes_Odoo'!M2326="","",'Ordenes_Odoo'!M2326)</f>
        <v/>
      </c>
      <c r="N2326" s="79">
        <f>IF('Ordenes_Odoo'!N2326="","",'Ordenes_Odoo'!N2326)</f>
        <v/>
      </c>
      <c r="O2326" s="81">
        <f>IF('Ordenes_Odoo'!O2326="","",'Ordenes_Odoo'!O2326)</f>
        <v/>
      </c>
      <c r="P2326" s="81">
        <f>IF('Ordenes_Odoo'!P2326="","",'Ordenes_Odoo'!P2326)</f>
        <v/>
      </c>
      <c r="Q2326" s="79">
        <f>IF(A2326="","",IFERROR(INDEX(Facturas_Odoo!$B:$B, MATCH(A2326, Facturas_Odoo!$D:$D, 0)), "Sin Factura"))</f>
        <v/>
      </c>
      <c r="R2326" s="80">
        <f>IF(Q2326="Sin Factura","",IFERROR(INDEX(Facturas_Odoo!$A:$A, MATCH(Q2326, Facturas_Odoo!$B:$B, 0)), ""))</f>
        <v/>
      </c>
      <c r="S2326" s="79">
        <f>IF(Q2326="Sin Factura","",IFERROR(_xlfn.XLOOKUP(1, (Facturas_Odoo!$D:$D=A2326) * (Facturas_Odoo!$K:$K=I2326), Facturas_Odoo!$L:$L, ""), ""))</f>
        <v/>
      </c>
      <c r="T2326" s="81">
        <f>IF(Q2326="Sin Factura",0,IFERROR(_xlfn.XLOOKUP(1, (Facturas_Odoo!$D:$D=A2326) * (Facturas_Odoo!$K:$K=I2326), Facturas_Odoo!$M:$M, 0), 0))</f>
        <v/>
      </c>
      <c r="U2326" s="79">
        <f>IF(Q2326="Sin Factura",0,IFERROR(_xlfn.XLOOKUP(1, (Facturas_Odoo!$D:$D=A2326) * (Facturas_Odoo!$K:$K=I2326), Facturas_Odoo!$N:$N, 0), 0))</f>
        <v/>
      </c>
      <c r="V2326" s="79">
        <f>IF(Q2326="Sin Factura",0,IFERROR(_xlfn.XLOOKUP(1, (Facturas_Odoo!$D:$D=A2326) * (Facturas_Odoo!$K:$K=I2326), Facturas_Odoo!$O:$O, 0), 0))</f>
        <v/>
      </c>
      <c r="W2326" s="81">
        <f>IF(Q2326="Sin Factura",0,IFERROR(_xlfn.XLOOKUP(1, (Facturas_Odoo!$D:$D=A2326) * (Facturas_Odoo!$K:$K=I2326), Facturas_Odoo!$Q:$Q, 0), 0))</f>
        <v/>
      </c>
      <c r="X2326" s="79">
        <f>IF(OR(Q2326="Sin Factura",Q2326=""),"",IFERROR(INDEX(Pagos_Odoo!$B:$B, MATCH(Q2326, Pagos_Odoo!$I:$I, 0)), "Sin Pago"))</f>
        <v/>
      </c>
      <c r="Y2326" s="79">
        <f>IF(X2326="Sin Pago","",IFERROR(INDEX(Pagos_Odoo!$C:$C, MATCH(X2326, Pagos_Odoo!$B:$B, 0)), ""))</f>
        <v/>
      </c>
      <c r="Z2326" s="80">
        <f>IF(X2326="Sin Pago","",IFERROR(INDEX(Pagos_Odoo!$A:$A, MATCH(X2326, Pagos_Odoo!$B:$B, 0)), ""))</f>
        <v/>
      </c>
      <c r="AA2326" s="79">
        <f>IF(X2326="Sin Pago","",IFERROR(INDEX(Pagos_Odoo!$F:$F, MATCH(X2326, Pagos_Odoo!$B:$B, 0)), ""))</f>
        <v/>
      </c>
      <c r="AB2326" s="81">
        <f>IF(X2326="Sin Pago",0,IFERROR(INDEX(Pagos_Odoo!$E:$E, MATCH(X2326, Pagos_Odoo!$B:$B, 0)), 0))</f>
        <v/>
      </c>
      <c r="AC2326" s="79">
        <f>IF(X2326="Sin Pago","",IFERROR(INDEX(Pagos_Odoo!$G:$G, MATCH(X2326, Pagos_Odoo!$B:$B, 0)), ""))</f>
        <v/>
      </c>
      <c r="AD2326" s="82" t="n">
        <v>0</v>
      </c>
      <c r="AE2326" s="82" t="n"/>
      <c r="AF2326" s="82" t="n"/>
      <c r="AG2326" s="82">
        <f>IF(AN2326="","",AD2326+AE2326+AF2326)</f>
        <v/>
      </c>
      <c r="AH2326" s="81">
        <f>IF(AN2326="","",P2326*(1-AG2326))</f>
        <v/>
      </c>
      <c r="AI2326" s="81">
        <f>IF(AN2326="","",IF(Q2326="Sin Factura",0,IFERROR(INDEX(Facturas_Odoo!$H:$H, MATCH(Q2326, Facturas_Odoo!$B:$B, 0)), 0)*(1-AG2326)))</f>
        <v/>
      </c>
      <c r="AJ2326" s="81">
        <f>IF(AN2326="","",_xlfn.LET(idVenta, AN2326&amp;"",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26" s="81">
        <f>IF(AN2326="","",AH2326-AJ2326)</f>
        <v/>
      </c>
      <c r="AL2326" s="81">
        <f>IF(AN2326="","",IF(Q2326="Sin Factura","",AI2326-AJ2326))</f>
        <v/>
      </c>
      <c r="AM2326" s="81">
        <f>IF(AN2326="","",IF(Q2326="Sin Factura",0,P2326-IFERROR(INDEX(Facturas_Odoo!$H:$H, MATCH(Q2326, Facturas_Odoo!$B:$B, 0)), 0)))</f>
        <v/>
      </c>
      <c r="AN2326" s="79">
        <f>IF(AND(A2326="", J2326=""), "", IF(A2326&lt;&gt;"", VALUE(MID(A2326,2,LEN(A2326))), AN2325))</f>
        <v/>
      </c>
      <c r="AO2326" s="79">
        <f>IF(AN2326="","",IF(AD2326=0,"OK",_xlfn.LET(monedaPago, IF(AA2326="","USD",AA2326), limitePermitido, IFERROR(VLOOKUP(monedaPago, Configuración!$A$2:$B$3, 2, FALSE), 0.15), IF(AD2326&gt;limitePermitido, "ALERTA: EXCESO (" &amp; TEXT(limitePermitido, "0%") &amp; " máx)", "OK"))))</f>
        <v/>
      </c>
      <c r="AP2326" s="79">
        <f>IF(AN2326="","",IF(AE2326=0,"OK",_xlfn.LET(fechaPago, Z2326, fechaFactura, R2326, diasCredito, IF(E2326="Pago inmediato", 0, IFERROR(VALUE(MID(E2326, 1, SEARCH(" ", E2326)-1)),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26" s="79">
        <f>IF(AN2326="","",IF(AND(N2326&gt;0, AG2326&gt;0), IF(Configuración!$K$2="NO", "ALERTA: DESCUENTO DOBLE NO PERMITIDO", "OK"), "OK"))</f>
        <v/>
      </c>
      <c r="AR2326" s="79">
        <f>IF(AN2326="","",IF(OR(AO2326&lt;&gt;"OK", AP2326&lt;&gt;"OK", AQ2326&lt;&gt;"OK"), "⚠️ REVISAR", "OK"))</f>
        <v/>
      </c>
    </row>
    <row r="2327">
      <c r="A2327" s="79">
        <f>IF('Ordenes_Odoo'!A2327="","",'Ordenes_Odoo'!A2327)</f>
        <v/>
      </c>
      <c r="B2327" s="80">
        <f>IF('Ordenes_Odoo'!B2327="","",'Ordenes_Odoo'!B2327)</f>
        <v/>
      </c>
      <c r="C2327" s="79">
        <f>IF('Ordenes_Odoo'!C2327="","",'Ordenes_Odoo'!C2327)</f>
        <v/>
      </c>
      <c r="D2327" s="79">
        <f>IF('Ordenes_Odoo'!D2327="","",'Ordenes_Odoo'!D2327)</f>
        <v/>
      </c>
      <c r="E2327" s="79">
        <f>IF('Ordenes_Odoo'!E2327="","",'Ordenes_Odoo'!E2327)</f>
        <v/>
      </c>
      <c r="F2327" s="79">
        <f>IF('Ordenes_Odoo'!F2327="","",'Ordenes_Odoo'!F2327)</f>
        <v/>
      </c>
      <c r="G2327" s="79">
        <f>IF('Ordenes_Odoo'!G2327="","",'Ordenes_Odoo'!G2327)</f>
        <v/>
      </c>
      <c r="H2327" s="79">
        <f>IF('Ordenes_Odoo'!H2327="","",'Ordenes_Odoo'!H2327)</f>
        <v/>
      </c>
      <c r="I2327" s="79">
        <f>IF('Ordenes_Odoo'!I2327="","",'Ordenes_Odoo'!I2327)</f>
        <v/>
      </c>
      <c r="J2327" s="79">
        <f>IF('Ordenes_Odoo'!J2327="","",'Ordenes_Odoo'!J2327)</f>
        <v/>
      </c>
      <c r="K2327" s="81">
        <f>IF('Ordenes_Odoo'!K2327="","",'Ordenes_Odoo'!K2327)</f>
        <v/>
      </c>
      <c r="L2327" s="81">
        <f>IF('Ordenes_Odoo'!L2327="","",'Ordenes_Odoo'!L2327)</f>
        <v/>
      </c>
      <c r="M2327" s="79">
        <f>IF('Ordenes_Odoo'!M2327="","",'Ordenes_Odoo'!M2327)</f>
        <v/>
      </c>
      <c r="N2327" s="79">
        <f>IF('Ordenes_Odoo'!N2327="","",'Ordenes_Odoo'!N2327)</f>
        <v/>
      </c>
      <c r="O2327" s="81">
        <f>IF('Ordenes_Odoo'!O2327="","",'Ordenes_Odoo'!O2327)</f>
        <v/>
      </c>
      <c r="P2327" s="81">
        <f>IF('Ordenes_Odoo'!P2327="","",'Ordenes_Odoo'!P2327)</f>
        <v/>
      </c>
      <c r="Q2327" s="79">
        <f>IF(A2327="","",IFERROR(INDEX(Facturas_Odoo!$B:$B, MATCH(A2327, Facturas_Odoo!$D:$D, 0)), "Sin Factura"))</f>
        <v/>
      </c>
      <c r="R2327" s="80">
        <f>IF(Q2327="Sin Factura","",IFERROR(INDEX(Facturas_Odoo!$A:$A, MATCH(Q2327, Facturas_Odoo!$B:$B, 0)), ""))</f>
        <v/>
      </c>
      <c r="S2327" s="79">
        <f>IF(Q2327="Sin Factura","",IFERROR(_xlfn.XLOOKUP(1, (Facturas_Odoo!$D:$D=A2327) * (Facturas_Odoo!$K:$K=I2327), Facturas_Odoo!$L:$L, ""), ""))</f>
        <v/>
      </c>
      <c r="T2327" s="81">
        <f>IF(Q2327="Sin Factura",0,IFERROR(_xlfn.XLOOKUP(1, (Facturas_Odoo!$D:$D=A2327) * (Facturas_Odoo!$K:$K=I2327), Facturas_Odoo!$M:$M, 0), 0))</f>
        <v/>
      </c>
      <c r="U2327" s="79">
        <f>IF(Q2327="Sin Factura",0,IFERROR(_xlfn.XLOOKUP(1, (Facturas_Odoo!$D:$D=A2327) * (Facturas_Odoo!$K:$K=I2327), Facturas_Odoo!$N:$N, 0), 0))</f>
        <v/>
      </c>
      <c r="V2327" s="79">
        <f>IF(Q2327="Sin Factura",0,IFERROR(_xlfn.XLOOKUP(1, (Facturas_Odoo!$D:$D=A2327) * (Facturas_Odoo!$K:$K=I2327), Facturas_Odoo!$O:$O, 0), 0))</f>
        <v/>
      </c>
      <c r="W2327" s="81">
        <f>IF(Q2327="Sin Factura",0,IFERROR(_xlfn.XLOOKUP(1, (Facturas_Odoo!$D:$D=A2327) * (Facturas_Odoo!$K:$K=I2327), Facturas_Odoo!$Q:$Q, 0), 0))</f>
        <v/>
      </c>
      <c r="X2327" s="79">
        <f>IF(OR(Q2327="Sin Factura",Q2327=""),"",IFERROR(INDEX(Pagos_Odoo!$B:$B, MATCH(Q2327, Pagos_Odoo!$I:$I, 0)), "Sin Pago"))</f>
        <v/>
      </c>
      <c r="Y2327" s="79">
        <f>IF(X2327="Sin Pago","",IFERROR(INDEX(Pagos_Odoo!$C:$C, MATCH(X2327, Pagos_Odoo!$B:$B, 0)), ""))</f>
        <v/>
      </c>
      <c r="Z2327" s="80">
        <f>IF(X2327="Sin Pago","",IFERROR(INDEX(Pagos_Odoo!$A:$A, MATCH(X2327, Pagos_Odoo!$B:$B, 0)), ""))</f>
        <v/>
      </c>
      <c r="AA2327" s="79">
        <f>IF(X2327="Sin Pago","",IFERROR(INDEX(Pagos_Odoo!$F:$F, MATCH(X2327, Pagos_Odoo!$B:$B, 0)), ""))</f>
        <v/>
      </c>
      <c r="AB2327" s="81">
        <f>IF(X2327="Sin Pago",0,IFERROR(INDEX(Pagos_Odoo!$E:$E, MATCH(X2327, Pagos_Odoo!$B:$B, 0)), 0))</f>
        <v/>
      </c>
      <c r="AC2327" s="79">
        <f>IF(X2327="Sin Pago","",IFERROR(INDEX(Pagos_Odoo!$G:$G, MATCH(X2327, Pagos_Odoo!$B:$B, 0)), ""))</f>
        <v/>
      </c>
      <c r="AD2327" s="82" t="n">
        <v>0</v>
      </c>
      <c r="AE2327" s="82" t="n"/>
      <c r="AF2327" s="82" t="n"/>
      <c r="AG2327" s="82">
        <f>IF(AN2327="","",AD2327+AE2327+AF2327)</f>
        <v/>
      </c>
      <c r="AH2327" s="81">
        <f>IF(AN2327="","",P2327*(1-AG2327))</f>
        <v/>
      </c>
      <c r="AI2327" s="81">
        <f>IF(AN2327="","",IF(Q2327="Sin Factura",0,IFERROR(INDEX(Facturas_Odoo!$H:$H, MATCH(Q2327, Facturas_Odoo!$B:$B, 0)), 0)*(1-AG2327)))</f>
        <v/>
      </c>
      <c r="AJ2327" s="81">
        <f>IF(AN2327="","",_xlfn.LET(idVenta, AN2327&amp;"",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27" s="81">
        <f>IF(AN2327="","",AH2327-AJ2327)</f>
        <v/>
      </c>
      <c r="AL2327" s="81">
        <f>IF(AN2327="","",IF(Q2327="Sin Factura","",AI2327-AJ2327))</f>
        <v/>
      </c>
      <c r="AM2327" s="81">
        <f>IF(AN2327="","",IF(Q2327="Sin Factura",0,P2327-IFERROR(INDEX(Facturas_Odoo!$H:$H, MATCH(Q2327, Facturas_Odoo!$B:$B, 0)), 0)))</f>
        <v/>
      </c>
      <c r="AN2327" s="79">
        <f>IF(AND(A2327="", J2327=""), "", IF(A2327&lt;&gt;"", VALUE(MID(A2327,2,LEN(A2327))), AN2326))</f>
        <v/>
      </c>
      <c r="AO2327" s="79">
        <f>IF(AN2327="","",IF(AD2327=0,"OK",_xlfn.LET(monedaPago, IF(AA2327="","USD",AA2327), limitePermitido, IFERROR(VLOOKUP(monedaPago, Configuración!$A$2:$B$3, 2, FALSE), 0.15), IF(AD2327&gt;limitePermitido, "ALERTA: EXCESO (" &amp; TEXT(limitePermitido, "0%") &amp; " máx)", "OK"))))</f>
        <v/>
      </c>
      <c r="AP2327" s="79">
        <f>IF(AN2327="","",IF(AE2327=0,"OK",_xlfn.LET(fechaPago, Z2327, fechaFactura, R2327, diasCredito, IF(E2327="Pago inmediato", 0, IFERROR(VALUE(MID(E2327, 1, SEARCH(" ", E2327)-1)),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27" s="79">
        <f>IF(AN2327="","",IF(AND(N2327&gt;0, AG2327&gt;0), IF(Configuración!$K$2="NO", "ALERTA: DESCUENTO DOBLE NO PERMITIDO", "OK"), "OK"))</f>
        <v/>
      </c>
      <c r="AR2327" s="79">
        <f>IF(AN2327="","",IF(OR(AO2327&lt;&gt;"OK", AP2327&lt;&gt;"OK", AQ2327&lt;&gt;"OK"), "⚠️ REVISAR", "OK"))</f>
        <v/>
      </c>
    </row>
    <row r="2328">
      <c r="A2328" s="79">
        <f>IF('Ordenes_Odoo'!A2328="","",'Ordenes_Odoo'!A2328)</f>
        <v/>
      </c>
      <c r="B2328" s="80">
        <f>IF('Ordenes_Odoo'!B2328="","",'Ordenes_Odoo'!B2328)</f>
        <v/>
      </c>
      <c r="C2328" s="79">
        <f>IF('Ordenes_Odoo'!C2328="","",'Ordenes_Odoo'!C2328)</f>
        <v/>
      </c>
      <c r="D2328" s="79">
        <f>IF('Ordenes_Odoo'!D2328="","",'Ordenes_Odoo'!D2328)</f>
        <v/>
      </c>
      <c r="E2328" s="79">
        <f>IF('Ordenes_Odoo'!E2328="","",'Ordenes_Odoo'!E2328)</f>
        <v/>
      </c>
      <c r="F2328" s="79">
        <f>IF('Ordenes_Odoo'!F2328="","",'Ordenes_Odoo'!F2328)</f>
        <v/>
      </c>
      <c r="G2328" s="79">
        <f>IF('Ordenes_Odoo'!G2328="","",'Ordenes_Odoo'!G2328)</f>
        <v/>
      </c>
      <c r="H2328" s="79">
        <f>IF('Ordenes_Odoo'!H2328="","",'Ordenes_Odoo'!H2328)</f>
        <v/>
      </c>
      <c r="I2328" s="79">
        <f>IF('Ordenes_Odoo'!I2328="","",'Ordenes_Odoo'!I2328)</f>
        <v/>
      </c>
      <c r="J2328" s="79">
        <f>IF('Ordenes_Odoo'!J2328="","",'Ordenes_Odoo'!J2328)</f>
        <v/>
      </c>
      <c r="K2328" s="81">
        <f>IF('Ordenes_Odoo'!K2328="","",'Ordenes_Odoo'!K2328)</f>
        <v/>
      </c>
      <c r="L2328" s="81">
        <f>IF('Ordenes_Odoo'!L2328="","",'Ordenes_Odoo'!L2328)</f>
        <v/>
      </c>
      <c r="M2328" s="79">
        <f>IF('Ordenes_Odoo'!M2328="","",'Ordenes_Odoo'!M2328)</f>
        <v/>
      </c>
      <c r="N2328" s="79">
        <f>IF('Ordenes_Odoo'!N2328="","",'Ordenes_Odoo'!N2328)</f>
        <v/>
      </c>
      <c r="O2328" s="81">
        <f>IF('Ordenes_Odoo'!O2328="","",'Ordenes_Odoo'!O2328)</f>
        <v/>
      </c>
      <c r="P2328" s="81">
        <f>IF('Ordenes_Odoo'!P2328="","",'Ordenes_Odoo'!P2328)</f>
        <v/>
      </c>
      <c r="Q2328" s="79">
        <f>IF(A2328="","",IFERROR(INDEX(Facturas_Odoo!$B:$B, MATCH(A2328, Facturas_Odoo!$D:$D, 0)), "Sin Factura"))</f>
        <v/>
      </c>
      <c r="R2328" s="80">
        <f>IF(Q2328="Sin Factura","",IFERROR(INDEX(Facturas_Odoo!$A:$A, MATCH(Q2328, Facturas_Odoo!$B:$B, 0)), ""))</f>
        <v/>
      </c>
      <c r="S2328" s="79">
        <f>IF(Q2328="Sin Factura","",IFERROR(_xlfn.XLOOKUP(1, (Facturas_Odoo!$D:$D=A2328) * (Facturas_Odoo!$K:$K=I2328), Facturas_Odoo!$L:$L, ""), ""))</f>
        <v/>
      </c>
      <c r="T2328" s="81">
        <f>IF(Q2328="Sin Factura",0,IFERROR(_xlfn.XLOOKUP(1, (Facturas_Odoo!$D:$D=A2328) * (Facturas_Odoo!$K:$K=I2328), Facturas_Odoo!$M:$M, 0), 0))</f>
        <v/>
      </c>
      <c r="U2328" s="79">
        <f>IF(Q2328="Sin Factura",0,IFERROR(_xlfn.XLOOKUP(1, (Facturas_Odoo!$D:$D=A2328) * (Facturas_Odoo!$K:$K=I2328), Facturas_Odoo!$N:$N, 0), 0))</f>
        <v/>
      </c>
      <c r="V2328" s="79">
        <f>IF(Q2328="Sin Factura",0,IFERROR(_xlfn.XLOOKUP(1, (Facturas_Odoo!$D:$D=A2328) * (Facturas_Odoo!$K:$K=I2328), Facturas_Odoo!$O:$O, 0), 0))</f>
        <v/>
      </c>
      <c r="W2328" s="81">
        <f>IF(Q2328="Sin Factura",0,IFERROR(_xlfn.XLOOKUP(1, (Facturas_Odoo!$D:$D=A2328) * (Facturas_Odoo!$K:$K=I2328), Facturas_Odoo!$Q:$Q, 0), 0))</f>
        <v/>
      </c>
      <c r="X2328" s="79">
        <f>IF(OR(Q2328="Sin Factura",Q2328=""),"",IFERROR(INDEX(Pagos_Odoo!$B:$B, MATCH(Q2328, Pagos_Odoo!$I:$I, 0)), "Sin Pago"))</f>
        <v/>
      </c>
      <c r="Y2328" s="79">
        <f>IF(X2328="Sin Pago","",IFERROR(INDEX(Pagos_Odoo!$C:$C, MATCH(X2328, Pagos_Odoo!$B:$B, 0)), ""))</f>
        <v/>
      </c>
      <c r="Z2328" s="80">
        <f>IF(X2328="Sin Pago","",IFERROR(INDEX(Pagos_Odoo!$A:$A, MATCH(X2328, Pagos_Odoo!$B:$B, 0)), ""))</f>
        <v/>
      </c>
      <c r="AA2328" s="79">
        <f>IF(X2328="Sin Pago","",IFERROR(INDEX(Pagos_Odoo!$F:$F, MATCH(X2328, Pagos_Odoo!$B:$B, 0)), ""))</f>
        <v/>
      </c>
      <c r="AB2328" s="81">
        <f>IF(X2328="Sin Pago",0,IFERROR(INDEX(Pagos_Odoo!$E:$E, MATCH(X2328, Pagos_Odoo!$B:$B, 0)), 0))</f>
        <v/>
      </c>
      <c r="AC2328" s="79">
        <f>IF(X2328="Sin Pago","",IFERROR(INDEX(Pagos_Odoo!$G:$G, MATCH(X2328, Pagos_Odoo!$B:$B, 0)), ""))</f>
        <v/>
      </c>
      <c r="AD2328" s="82" t="n">
        <v>0</v>
      </c>
      <c r="AE2328" s="82" t="n"/>
      <c r="AF2328" s="82" t="n"/>
      <c r="AG2328" s="82">
        <f>IF(AN2328="","",AD2328+AE2328+AF2328)</f>
        <v/>
      </c>
      <c r="AH2328" s="81">
        <f>IF(AN2328="","",P2328*(1-AG2328))</f>
        <v/>
      </c>
      <c r="AI2328" s="81">
        <f>IF(AN2328="","",IF(Q2328="Sin Factura",0,IFERROR(INDEX(Facturas_Odoo!$H:$H, MATCH(Q2328, Facturas_Odoo!$B:$B, 0)), 0)*(1-AG2328)))</f>
        <v/>
      </c>
      <c r="AJ2328" s="81">
        <f>IF(AN2328="","",_xlfn.LET(idVenta, AN2328&amp;"",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28" s="81">
        <f>IF(AN2328="","",AH2328-AJ2328)</f>
        <v/>
      </c>
      <c r="AL2328" s="81">
        <f>IF(AN2328="","",IF(Q2328="Sin Factura","",AI2328-AJ2328))</f>
        <v/>
      </c>
      <c r="AM2328" s="81">
        <f>IF(AN2328="","",IF(Q2328="Sin Factura",0,P2328-IFERROR(INDEX(Facturas_Odoo!$H:$H, MATCH(Q2328, Facturas_Odoo!$B:$B, 0)), 0)))</f>
        <v/>
      </c>
      <c r="AN2328" s="79">
        <f>IF(AND(A2328="", J2328=""), "", IF(A2328&lt;&gt;"", VALUE(MID(A2328,2,LEN(A2328))), AN2327))</f>
        <v/>
      </c>
      <c r="AO2328" s="79">
        <f>IF(AN2328="","",IF(AD2328=0,"OK",_xlfn.LET(monedaPago, IF(AA2328="","USD",AA2328), limitePermitido, IFERROR(VLOOKUP(monedaPago, Configuración!$A$2:$B$3, 2, FALSE), 0.15), IF(AD2328&gt;limitePermitido, "ALERTA: EXCESO (" &amp; TEXT(limitePermitido, "0%") &amp; " máx)", "OK"))))</f>
        <v/>
      </c>
      <c r="AP2328" s="79">
        <f>IF(AN2328="","",IF(AE2328=0,"OK",_xlfn.LET(fechaPago, Z2328, fechaFactura, R2328, diasCredito, IF(E2328="Pago inmediato", 0, IFERROR(VALUE(MID(E2328, 1, SEARCH(" ", E2328)-1)),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28" s="79">
        <f>IF(AN2328="","",IF(AND(N2328&gt;0, AG2328&gt;0), IF(Configuración!$K$2="NO", "ALERTA: DESCUENTO DOBLE NO PERMITIDO", "OK"), "OK"))</f>
        <v/>
      </c>
      <c r="AR2328" s="79">
        <f>IF(AN2328="","",IF(OR(AO2328&lt;&gt;"OK", AP2328&lt;&gt;"OK", AQ2328&lt;&gt;"OK"), "⚠️ REVISAR", "OK"))</f>
        <v/>
      </c>
    </row>
    <row r="2329">
      <c r="A2329" s="79">
        <f>IF('Ordenes_Odoo'!A2329="","",'Ordenes_Odoo'!A2329)</f>
        <v/>
      </c>
      <c r="B2329" s="80">
        <f>IF('Ordenes_Odoo'!B2329="","",'Ordenes_Odoo'!B2329)</f>
        <v/>
      </c>
      <c r="C2329" s="79">
        <f>IF('Ordenes_Odoo'!C2329="","",'Ordenes_Odoo'!C2329)</f>
        <v/>
      </c>
      <c r="D2329" s="79">
        <f>IF('Ordenes_Odoo'!D2329="","",'Ordenes_Odoo'!D2329)</f>
        <v/>
      </c>
      <c r="E2329" s="79">
        <f>IF('Ordenes_Odoo'!E2329="","",'Ordenes_Odoo'!E2329)</f>
        <v/>
      </c>
      <c r="F2329" s="79">
        <f>IF('Ordenes_Odoo'!F2329="","",'Ordenes_Odoo'!F2329)</f>
        <v/>
      </c>
      <c r="G2329" s="79">
        <f>IF('Ordenes_Odoo'!G2329="","",'Ordenes_Odoo'!G2329)</f>
        <v/>
      </c>
      <c r="H2329" s="79">
        <f>IF('Ordenes_Odoo'!H2329="","",'Ordenes_Odoo'!H2329)</f>
        <v/>
      </c>
      <c r="I2329" s="79">
        <f>IF('Ordenes_Odoo'!I2329="","",'Ordenes_Odoo'!I2329)</f>
        <v/>
      </c>
      <c r="J2329" s="79">
        <f>IF('Ordenes_Odoo'!J2329="","",'Ordenes_Odoo'!J2329)</f>
        <v/>
      </c>
      <c r="K2329" s="81">
        <f>IF('Ordenes_Odoo'!K2329="","",'Ordenes_Odoo'!K2329)</f>
        <v/>
      </c>
      <c r="L2329" s="81">
        <f>IF('Ordenes_Odoo'!L2329="","",'Ordenes_Odoo'!L2329)</f>
        <v/>
      </c>
      <c r="M2329" s="79">
        <f>IF('Ordenes_Odoo'!M2329="","",'Ordenes_Odoo'!M2329)</f>
        <v/>
      </c>
      <c r="N2329" s="79">
        <f>IF('Ordenes_Odoo'!N2329="","",'Ordenes_Odoo'!N2329)</f>
        <v/>
      </c>
      <c r="O2329" s="81">
        <f>IF('Ordenes_Odoo'!O2329="","",'Ordenes_Odoo'!O2329)</f>
        <v/>
      </c>
      <c r="P2329" s="81">
        <f>IF('Ordenes_Odoo'!P2329="","",'Ordenes_Odoo'!P2329)</f>
        <v/>
      </c>
      <c r="Q2329" s="79">
        <f>IF(A2329="","",IFERROR(INDEX(Facturas_Odoo!$B:$B, MATCH(A2329, Facturas_Odoo!$D:$D, 0)), "Sin Factura"))</f>
        <v/>
      </c>
      <c r="R2329" s="80">
        <f>IF(Q2329="Sin Factura","",IFERROR(INDEX(Facturas_Odoo!$A:$A, MATCH(Q2329, Facturas_Odoo!$B:$B, 0)), ""))</f>
        <v/>
      </c>
      <c r="S2329" s="79">
        <f>IF(Q2329="Sin Factura","",IFERROR(_xlfn.XLOOKUP(1, (Facturas_Odoo!$D:$D=A2329) * (Facturas_Odoo!$K:$K=I2329), Facturas_Odoo!$L:$L, ""), ""))</f>
        <v/>
      </c>
      <c r="T2329" s="81">
        <f>IF(Q2329="Sin Factura",0,IFERROR(_xlfn.XLOOKUP(1, (Facturas_Odoo!$D:$D=A2329) * (Facturas_Odoo!$K:$K=I2329), Facturas_Odoo!$M:$M, 0), 0))</f>
        <v/>
      </c>
      <c r="U2329" s="79">
        <f>IF(Q2329="Sin Factura",0,IFERROR(_xlfn.XLOOKUP(1, (Facturas_Odoo!$D:$D=A2329) * (Facturas_Odoo!$K:$K=I2329), Facturas_Odoo!$N:$N, 0), 0))</f>
        <v/>
      </c>
      <c r="V2329" s="79">
        <f>IF(Q2329="Sin Factura",0,IFERROR(_xlfn.XLOOKUP(1, (Facturas_Odoo!$D:$D=A2329) * (Facturas_Odoo!$K:$K=I2329), Facturas_Odoo!$O:$O, 0), 0))</f>
        <v/>
      </c>
      <c r="W2329" s="81">
        <f>IF(Q2329="Sin Factura",0,IFERROR(_xlfn.XLOOKUP(1, (Facturas_Odoo!$D:$D=A2329) * (Facturas_Odoo!$K:$K=I2329), Facturas_Odoo!$Q:$Q, 0), 0))</f>
        <v/>
      </c>
      <c r="X2329" s="79">
        <f>IF(OR(Q2329="Sin Factura",Q2329=""),"",IFERROR(INDEX(Pagos_Odoo!$B:$B, MATCH(Q2329, Pagos_Odoo!$I:$I, 0)), "Sin Pago"))</f>
        <v/>
      </c>
      <c r="Y2329" s="79">
        <f>IF(X2329="Sin Pago","",IFERROR(INDEX(Pagos_Odoo!$C:$C, MATCH(X2329, Pagos_Odoo!$B:$B, 0)), ""))</f>
        <v/>
      </c>
      <c r="Z2329" s="80">
        <f>IF(X2329="Sin Pago","",IFERROR(INDEX(Pagos_Odoo!$A:$A, MATCH(X2329, Pagos_Odoo!$B:$B, 0)), ""))</f>
        <v/>
      </c>
      <c r="AA2329" s="79">
        <f>IF(X2329="Sin Pago","",IFERROR(INDEX(Pagos_Odoo!$F:$F, MATCH(X2329, Pagos_Odoo!$B:$B, 0)), ""))</f>
        <v/>
      </c>
      <c r="AB2329" s="81">
        <f>IF(X2329="Sin Pago",0,IFERROR(INDEX(Pagos_Odoo!$E:$E, MATCH(X2329, Pagos_Odoo!$B:$B, 0)), 0))</f>
        <v/>
      </c>
      <c r="AC2329" s="79">
        <f>IF(X2329="Sin Pago","",IFERROR(INDEX(Pagos_Odoo!$G:$G, MATCH(X2329, Pagos_Odoo!$B:$B, 0)), ""))</f>
        <v/>
      </c>
      <c r="AD2329" s="82" t="n">
        <v>0</v>
      </c>
      <c r="AE2329" s="82" t="n"/>
      <c r="AF2329" s="82" t="n"/>
      <c r="AG2329" s="82">
        <f>IF(AN2329="","",AD2329+AE2329+AF2329)</f>
        <v/>
      </c>
      <c r="AH2329" s="81">
        <f>IF(AN2329="","",P2329*(1-AG2329))</f>
        <v/>
      </c>
      <c r="AI2329" s="81">
        <f>IF(AN2329="","",IF(Q2329="Sin Factura",0,IFERROR(INDEX(Facturas_Odoo!$H:$H, MATCH(Q2329, Facturas_Odoo!$B:$B, 0)), 0)*(1-AG2329)))</f>
        <v/>
      </c>
      <c r="AJ2329" s="81">
        <f>IF(AN2329="","",_xlfn.LET(idVenta, AN2329&amp;"",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29" s="81">
        <f>IF(AN2329="","",AH2329-AJ2329)</f>
        <v/>
      </c>
      <c r="AL2329" s="81">
        <f>IF(AN2329="","",IF(Q2329="Sin Factura","",AI2329-AJ2329))</f>
        <v/>
      </c>
      <c r="AM2329" s="81">
        <f>IF(AN2329="","",IF(Q2329="Sin Factura",0,P2329-IFERROR(INDEX(Facturas_Odoo!$H:$H, MATCH(Q2329, Facturas_Odoo!$B:$B, 0)), 0)))</f>
        <v/>
      </c>
      <c r="AN2329" s="79">
        <f>IF(AND(A2329="", J2329=""), "", IF(A2329&lt;&gt;"", VALUE(MID(A2329,2,LEN(A2329))), AN2328))</f>
        <v/>
      </c>
      <c r="AO2329" s="79">
        <f>IF(AN2329="","",IF(AD2329=0,"OK",_xlfn.LET(monedaPago, IF(AA2329="","USD",AA2329), limitePermitido, IFERROR(VLOOKUP(monedaPago, Configuración!$A$2:$B$3, 2, FALSE), 0.15), IF(AD2329&gt;limitePermitido, "ALERTA: EXCESO (" &amp; TEXT(limitePermitido, "0%") &amp; " máx)", "OK"))))</f>
        <v/>
      </c>
      <c r="AP2329" s="79">
        <f>IF(AN2329="","",IF(AE2329=0,"OK",_xlfn.LET(fechaPago, Z2329, fechaFactura, R2329, diasCredito, IF(E2329="Pago inmediato", 0, IFERROR(VALUE(MID(E2329, 1, SEARCH(" ", E2329)-1)),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29" s="79">
        <f>IF(AN2329="","",IF(AND(N2329&gt;0, AG2329&gt;0), IF(Configuración!$K$2="NO", "ALERTA: DESCUENTO DOBLE NO PERMITIDO", "OK"), "OK"))</f>
        <v/>
      </c>
      <c r="AR2329" s="79">
        <f>IF(AN2329="","",IF(OR(AO2329&lt;&gt;"OK", AP2329&lt;&gt;"OK", AQ2329&lt;&gt;"OK"), "⚠️ REVISAR", "OK"))</f>
        <v/>
      </c>
    </row>
    <row r="2330">
      <c r="A2330" s="79">
        <f>IF('Ordenes_Odoo'!A2330="","",'Ordenes_Odoo'!A2330)</f>
        <v/>
      </c>
      <c r="B2330" s="80">
        <f>IF('Ordenes_Odoo'!B2330="","",'Ordenes_Odoo'!B2330)</f>
        <v/>
      </c>
      <c r="C2330" s="79">
        <f>IF('Ordenes_Odoo'!C2330="","",'Ordenes_Odoo'!C2330)</f>
        <v/>
      </c>
      <c r="D2330" s="79">
        <f>IF('Ordenes_Odoo'!D2330="","",'Ordenes_Odoo'!D2330)</f>
        <v/>
      </c>
      <c r="E2330" s="79">
        <f>IF('Ordenes_Odoo'!E2330="","",'Ordenes_Odoo'!E2330)</f>
        <v/>
      </c>
      <c r="F2330" s="79">
        <f>IF('Ordenes_Odoo'!F2330="","",'Ordenes_Odoo'!F2330)</f>
        <v/>
      </c>
      <c r="G2330" s="79">
        <f>IF('Ordenes_Odoo'!G2330="","",'Ordenes_Odoo'!G2330)</f>
        <v/>
      </c>
      <c r="H2330" s="79">
        <f>IF('Ordenes_Odoo'!H2330="","",'Ordenes_Odoo'!H2330)</f>
        <v/>
      </c>
      <c r="I2330" s="79">
        <f>IF('Ordenes_Odoo'!I2330="","",'Ordenes_Odoo'!I2330)</f>
        <v/>
      </c>
      <c r="J2330" s="79">
        <f>IF('Ordenes_Odoo'!J2330="","",'Ordenes_Odoo'!J2330)</f>
        <v/>
      </c>
      <c r="K2330" s="81">
        <f>IF('Ordenes_Odoo'!K2330="","",'Ordenes_Odoo'!K2330)</f>
        <v/>
      </c>
      <c r="L2330" s="81">
        <f>IF('Ordenes_Odoo'!L2330="","",'Ordenes_Odoo'!L2330)</f>
        <v/>
      </c>
      <c r="M2330" s="79">
        <f>IF('Ordenes_Odoo'!M2330="","",'Ordenes_Odoo'!M2330)</f>
        <v/>
      </c>
      <c r="N2330" s="79">
        <f>IF('Ordenes_Odoo'!N2330="","",'Ordenes_Odoo'!N2330)</f>
        <v/>
      </c>
      <c r="O2330" s="81">
        <f>IF('Ordenes_Odoo'!O2330="","",'Ordenes_Odoo'!O2330)</f>
        <v/>
      </c>
      <c r="P2330" s="81">
        <f>IF('Ordenes_Odoo'!P2330="","",'Ordenes_Odoo'!P2330)</f>
        <v/>
      </c>
      <c r="Q2330" s="79">
        <f>IF(A2330="","",IFERROR(INDEX(Facturas_Odoo!$B:$B, MATCH(A2330, Facturas_Odoo!$D:$D, 0)), "Sin Factura"))</f>
        <v/>
      </c>
      <c r="R2330" s="80">
        <f>IF(Q2330="Sin Factura","",IFERROR(INDEX(Facturas_Odoo!$A:$A, MATCH(Q2330, Facturas_Odoo!$B:$B, 0)), ""))</f>
        <v/>
      </c>
      <c r="S2330" s="79">
        <f>IF(Q2330="Sin Factura","",IFERROR(_xlfn.XLOOKUP(1, (Facturas_Odoo!$D:$D=A2330) * (Facturas_Odoo!$K:$K=I2330), Facturas_Odoo!$L:$L, ""), ""))</f>
        <v/>
      </c>
      <c r="T2330" s="81">
        <f>IF(Q2330="Sin Factura",0,IFERROR(_xlfn.XLOOKUP(1, (Facturas_Odoo!$D:$D=A2330) * (Facturas_Odoo!$K:$K=I2330), Facturas_Odoo!$M:$M, 0), 0))</f>
        <v/>
      </c>
      <c r="U2330" s="79">
        <f>IF(Q2330="Sin Factura",0,IFERROR(_xlfn.XLOOKUP(1, (Facturas_Odoo!$D:$D=A2330) * (Facturas_Odoo!$K:$K=I2330), Facturas_Odoo!$N:$N, 0), 0))</f>
        <v/>
      </c>
      <c r="V2330" s="79">
        <f>IF(Q2330="Sin Factura",0,IFERROR(_xlfn.XLOOKUP(1, (Facturas_Odoo!$D:$D=A2330) * (Facturas_Odoo!$K:$K=I2330), Facturas_Odoo!$O:$O, 0), 0))</f>
        <v/>
      </c>
      <c r="W2330" s="81">
        <f>IF(Q2330="Sin Factura",0,IFERROR(_xlfn.XLOOKUP(1, (Facturas_Odoo!$D:$D=A2330) * (Facturas_Odoo!$K:$K=I2330), Facturas_Odoo!$Q:$Q, 0), 0))</f>
        <v/>
      </c>
      <c r="X2330" s="79">
        <f>IF(OR(Q2330="Sin Factura",Q2330=""),"",IFERROR(INDEX(Pagos_Odoo!$B:$B, MATCH(Q2330, Pagos_Odoo!$I:$I, 0)), "Sin Pago"))</f>
        <v/>
      </c>
      <c r="Y2330" s="79">
        <f>IF(X2330="Sin Pago","",IFERROR(INDEX(Pagos_Odoo!$C:$C, MATCH(X2330, Pagos_Odoo!$B:$B, 0)), ""))</f>
        <v/>
      </c>
      <c r="Z2330" s="80">
        <f>IF(X2330="Sin Pago","",IFERROR(INDEX(Pagos_Odoo!$A:$A, MATCH(X2330, Pagos_Odoo!$B:$B, 0)), ""))</f>
        <v/>
      </c>
      <c r="AA2330" s="79">
        <f>IF(X2330="Sin Pago","",IFERROR(INDEX(Pagos_Odoo!$F:$F, MATCH(X2330, Pagos_Odoo!$B:$B, 0)), ""))</f>
        <v/>
      </c>
      <c r="AB2330" s="81">
        <f>IF(X2330="Sin Pago",0,IFERROR(INDEX(Pagos_Odoo!$E:$E, MATCH(X2330, Pagos_Odoo!$B:$B, 0)), 0))</f>
        <v/>
      </c>
      <c r="AC2330" s="79">
        <f>IF(X2330="Sin Pago","",IFERROR(INDEX(Pagos_Odoo!$G:$G, MATCH(X2330, Pagos_Odoo!$B:$B, 0)), ""))</f>
        <v/>
      </c>
      <c r="AD2330" s="82" t="n">
        <v>0</v>
      </c>
      <c r="AE2330" s="82" t="n"/>
      <c r="AF2330" s="82" t="n"/>
      <c r="AG2330" s="82">
        <f>IF(AN2330="","",AD2330+AE2330+AF2330)</f>
        <v/>
      </c>
      <c r="AH2330" s="81">
        <f>IF(AN2330="","",P2330*(1-AG2330))</f>
        <v/>
      </c>
      <c r="AI2330" s="81">
        <f>IF(AN2330="","",IF(Q2330="Sin Factura",0,IFERROR(INDEX(Facturas_Odoo!$H:$H, MATCH(Q2330, Facturas_Odoo!$B:$B, 0)), 0)*(1-AG2330)))</f>
        <v/>
      </c>
      <c r="AJ2330" s="81">
        <f>IF(AN2330="","",_xlfn.LET(idVenta, AN2330&amp;"",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30" s="81">
        <f>IF(AN2330="","",AH2330-AJ2330)</f>
        <v/>
      </c>
      <c r="AL2330" s="81">
        <f>IF(AN2330="","",IF(Q2330="Sin Factura","",AI2330-AJ2330))</f>
        <v/>
      </c>
      <c r="AM2330" s="81">
        <f>IF(AN2330="","",IF(Q2330="Sin Factura",0,P2330-IFERROR(INDEX(Facturas_Odoo!$H:$H, MATCH(Q2330, Facturas_Odoo!$B:$B, 0)), 0)))</f>
        <v/>
      </c>
      <c r="AN2330" s="79">
        <f>IF(AND(A2330="", J2330=""), "", IF(A2330&lt;&gt;"", VALUE(MID(A2330,2,LEN(A2330))), AN2329))</f>
        <v/>
      </c>
      <c r="AO2330" s="79">
        <f>IF(AN2330="","",IF(AD2330=0,"OK",_xlfn.LET(monedaPago, IF(AA2330="","USD",AA2330), limitePermitido, IFERROR(VLOOKUP(monedaPago, Configuración!$A$2:$B$3, 2, FALSE), 0.15), IF(AD2330&gt;limitePermitido, "ALERTA: EXCESO (" &amp; TEXT(limitePermitido, "0%") &amp; " máx)", "OK"))))</f>
        <v/>
      </c>
      <c r="AP2330" s="79">
        <f>IF(AN2330="","",IF(AE2330=0,"OK",_xlfn.LET(fechaPago, Z2330, fechaFactura, R2330, diasCredito, IF(E2330="Pago inmediato", 0, IFERROR(VALUE(MID(E2330, 1, SEARCH(" ", E2330)-1)),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30" s="79">
        <f>IF(AN2330="","",IF(AND(N2330&gt;0, AG2330&gt;0), IF(Configuración!$K$2="NO", "ALERTA: DESCUENTO DOBLE NO PERMITIDO", "OK"), "OK"))</f>
        <v/>
      </c>
      <c r="AR2330" s="79">
        <f>IF(AN2330="","",IF(OR(AO2330&lt;&gt;"OK", AP2330&lt;&gt;"OK", AQ2330&lt;&gt;"OK"), "⚠️ REVISAR", "OK"))</f>
        <v/>
      </c>
    </row>
    <row r="2331">
      <c r="A2331" s="79">
        <f>IF('Ordenes_Odoo'!A2331="","",'Ordenes_Odoo'!A2331)</f>
        <v/>
      </c>
      <c r="B2331" s="80">
        <f>IF('Ordenes_Odoo'!B2331="","",'Ordenes_Odoo'!B2331)</f>
        <v/>
      </c>
      <c r="C2331" s="79">
        <f>IF('Ordenes_Odoo'!C2331="","",'Ordenes_Odoo'!C2331)</f>
        <v/>
      </c>
      <c r="D2331" s="79">
        <f>IF('Ordenes_Odoo'!D2331="","",'Ordenes_Odoo'!D2331)</f>
        <v/>
      </c>
      <c r="E2331" s="79">
        <f>IF('Ordenes_Odoo'!E2331="","",'Ordenes_Odoo'!E2331)</f>
        <v/>
      </c>
      <c r="F2331" s="79">
        <f>IF('Ordenes_Odoo'!F2331="","",'Ordenes_Odoo'!F2331)</f>
        <v/>
      </c>
      <c r="G2331" s="79">
        <f>IF('Ordenes_Odoo'!G2331="","",'Ordenes_Odoo'!G2331)</f>
        <v/>
      </c>
      <c r="H2331" s="79">
        <f>IF('Ordenes_Odoo'!H2331="","",'Ordenes_Odoo'!H2331)</f>
        <v/>
      </c>
      <c r="I2331" s="79">
        <f>IF('Ordenes_Odoo'!I2331="","",'Ordenes_Odoo'!I2331)</f>
        <v/>
      </c>
      <c r="J2331" s="79">
        <f>IF('Ordenes_Odoo'!J2331="","",'Ordenes_Odoo'!J2331)</f>
        <v/>
      </c>
      <c r="K2331" s="81">
        <f>IF('Ordenes_Odoo'!K2331="","",'Ordenes_Odoo'!K2331)</f>
        <v/>
      </c>
      <c r="L2331" s="81">
        <f>IF('Ordenes_Odoo'!L2331="","",'Ordenes_Odoo'!L2331)</f>
        <v/>
      </c>
      <c r="M2331" s="79">
        <f>IF('Ordenes_Odoo'!M2331="","",'Ordenes_Odoo'!M2331)</f>
        <v/>
      </c>
      <c r="N2331" s="79">
        <f>IF('Ordenes_Odoo'!N2331="","",'Ordenes_Odoo'!N2331)</f>
        <v/>
      </c>
      <c r="O2331" s="81">
        <f>IF('Ordenes_Odoo'!O2331="","",'Ordenes_Odoo'!O2331)</f>
        <v/>
      </c>
      <c r="P2331" s="81">
        <f>IF('Ordenes_Odoo'!P2331="","",'Ordenes_Odoo'!P2331)</f>
        <v/>
      </c>
      <c r="Q2331" s="79">
        <f>IF(A2331="","",IFERROR(INDEX(Facturas_Odoo!$B:$B, MATCH(A2331, Facturas_Odoo!$D:$D, 0)), "Sin Factura"))</f>
        <v/>
      </c>
      <c r="R2331" s="80">
        <f>IF(Q2331="Sin Factura","",IFERROR(INDEX(Facturas_Odoo!$A:$A, MATCH(Q2331, Facturas_Odoo!$B:$B, 0)), ""))</f>
        <v/>
      </c>
      <c r="S2331" s="79">
        <f>IF(Q2331="Sin Factura","",IFERROR(_xlfn.XLOOKUP(1, (Facturas_Odoo!$D:$D=A2331) * (Facturas_Odoo!$K:$K=I2331), Facturas_Odoo!$L:$L, ""), ""))</f>
        <v/>
      </c>
      <c r="T2331" s="81">
        <f>IF(Q2331="Sin Factura",0,IFERROR(_xlfn.XLOOKUP(1, (Facturas_Odoo!$D:$D=A2331) * (Facturas_Odoo!$K:$K=I2331), Facturas_Odoo!$M:$M, 0), 0))</f>
        <v/>
      </c>
      <c r="U2331" s="79">
        <f>IF(Q2331="Sin Factura",0,IFERROR(_xlfn.XLOOKUP(1, (Facturas_Odoo!$D:$D=A2331) * (Facturas_Odoo!$K:$K=I2331), Facturas_Odoo!$N:$N, 0), 0))</f>
        <v/>
      </c>
      <c r="V2331" s="79">
        <f>IF(Q2331="Sin Factura",0,IFERROR(_xlfn.XLOOKUP(1, (Facturas_Odoo!$D:$D=A2331) * (Facturas_Odoo!$K:$K=I2331), Facturas_Odoo!$O:$O, 0), 0))</f>
        <v/>
      </c>
      <c r="W2331" s="81">
        <f>IF(Q2331="Sin Factura",0,IFERROR(_xlfn.XLOOKUP(1, (Facturas_Odoo!$D:$D=A2331) * (Facturas_Odoo!$K:$K=I2331), Facturas_Odoo!$Q:$Q, 0), 0))</f>
        <v/>
      </c>
      <c r="X2331" s="79">
        <f>IF(OR(Q2331="Sin Factura",Q2331=""),"",IFERROR(INDEX(Pagos_Odoo!$B:$B, MATCH(Q2331, Pagos_Odoo!$I:$I, 0)), "Sin Pago"))</f>
        <v/>
      </c>
      <c r="Y2331" s="79">
        <f>IF(X2331="Sin Pago","",IFERROR(INDEX(Pagos_Odoo!$C:$C, MATCH(X2331, Pagos_Odoo!$B:$B, 0)), ""))</f>
        <v/>
      </c>
      <c r="Z2331" s="80">
        <f>IF(X2331="Sin Pago","",IFERROR(INDEX(Pagos_Odoo!$A:$A, MATCH(X2331, Pagos_Odoo!$B:$B, 0)), ""))</f>
        <v/>
      </c>
      <c r="AA2331" s="79">
        <f>IF(X2331="Sin Pago","",IFERROR(INDEX(Pagos_Odoo!$F:$F, MATCH(X2331, Pagos_Odoo!$B:$B, 0)), ""))</f>
        <v/>
      </c>
      <c r="AB2331" s="81">
        <f>IF(X2331="Sin Pago",0,IFERROR(INDEX(Pagos_Odoo!$E:$E, MATCH(X2331, Pagos_Odoo!$B:$B, 0)), 0))</f>
        <v/>
      </c>
      <c r="AC2331" s="79">
        <f>IF(X2331="Sin Pago","",IFERROR(INDEX(Pagos_Odoo!$G:$G, MATCH(X2331, Pagos_Odoo!$B:$B, 0)), ""))</f>
        <v/>
      </c>
      <c r="AD2331" s="82" t="n">
        <v>0</v>
      </c>
      <c r="AE2331" s="82" t="n"/>
      <c r="AF2331" s="82" t="n"/>
      <c r="AG2331" s="82">
        <f>IF(AN2331="","",AD2331+AE2331+AF2331)</f>
        <v/>
      </c>
      <c r="AH2331" s="81">
        <f>IF(AN2331="","",P2331*(1-AG2331))</f>
        <v/>
      </c>
      <c r="AI2331" s="81">
        <f>IF(AN2331="","",IF(Q2331="Sin Factura",0,IFERROR(INDEX(Facturas_Odoo!$H:$H, MATCH(Q2331, Facturas_Odoo!$B:$B, 0)), 0)*(1-AG2331)))</f>
        <v/>
      </c>
      <c r="AJ2331" s="81">
        <f>IF(AN2331="","",_xlfn.LET(idVenta, AN2331&amp;"",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31" s="81">
        <f>IF(AN2331="","",AH2331-AJ2331)</f>
        <v/>
      </c>
      <c r="AL2331" s="81">
        <f>IF(AN2331="","",IF(Q2331="Sin Factura","",AI2331-AJ2331))</f>
        <v/>
      </c>
      <c r="AM2331" s="81">
        <f>IF(AN2331="","",IF(Q2331="Sin Factura",0,P2331-IFERROR(INDEX(Facturas_Odoo!$H:$H, MATCH(Q2331, Facturas_Odoo!$B:$B, 0)), 0)))</f>
        <v/>
      </c>
      <c r="AN2331" s="79">
        <f>IF(AND(A2331="", J2331=""), "", IF(A2331&lt;&gt;"", VALUE(MID(A2331,2,LEN(A2331))), AN2330))</f>
        <v/>
      </c>
      <c r="AO2331" s="79">
        <f>IF(AN2331="","",IF(AD2331=0,"OK",_xlfn.LET(monedaPago, IF(AA2331="","USD",AA2331), limitePermitido, IFERROR(VLOOKUP(monedaPago, Configuración!$A$2:$B$3, 2, FALSE), 0.15), IF(AD2331&gt;limitePermitido, "ALERTA: EXCESO (" &amp; TEXT(limitePermitido, "0%") &amp; " máx)", "OK"))))</f>
        <v/>
      </c>
      <c r="AP2331" s="79">
        <f>IF(AN2331="","",IF(AE2331=0,"OK",_xlfn.LET(fechaPago, Z2331, fechaFactura, R2331, diasCredito, IF(E2331="Pago inmediato", 0, IFERROR(VALUE(MID(E2331, 1, SEARCH(" ", E2331)-1)),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31" s="79">
        <f>IF(AN2331="","",IF(AND(N2331&gt;0, AG2331&gt;0), IF(Configuración!$K$2="NO", "ALERTA: DESCUENTO DOBLE NO PERMITIDO", "OK"), "OK"))</f>
        <v/>
      </c>
      <c r="AR2331" s="79">
        <f>IF(AN2331="","",IF(OR(AO2331&lt;&gt;"OK", AP2331&lt;&gt;"OK", AQ2331&lt;&gt;"OK"), "⚠️ REVISAR", "OK"))</f>
        <v/>
      </c>
    </row>
    <row r="2332">
      <c r="A2332" s="79">
        <f>IF('Ordenes_Odoo'!A2332="","",'Ordenes_Odoo'!A2332)</f>
        <v/>
      </c>
      <c r="B2332" s="80">
        <f>IF('Ordenes_Odoo'!B2332="","",'Ordenes_Odoo'!B2332)</f>
        <v/>
      </c>
      <c r="C2332" s="79">
        <f>IF('Ordenes_Odoo'!C2332="","",'Ordenes_Odoo'!C2332)</f>
        <v/>
      </c>
      <c r="D2332" s="79">
        <f>IF('Ordenes_Odoo'!D2332="","",'Ordenes_Odoo'!D2332)</f>
        <v/>
      </c>
      <c r="E2332" s="79">
        <f>IF('Ordenes_Odoo'!E2332="","",'Ordenes_Odoo'!E2332)</f>
        <v/>
      </c>
      <c r="F2332" s="79">
        <f>IF('Ordenes_Odoo'!F2332="","",'Ordenes_Odoo'!F2332)</f>
        <v/>
      </c>
      <c r="G2332" s="79">
        <f>IF('Ordenes_Odoo'!G2332="","",'Ordenes_Odoo'!G2332)</f>
        <v/>
      </c>
      <c r="H2332" s="79">
        <f>IF('Ordenes_Odoo'!H2332="","",'Ordenes_Odoo'!H2332)</f>
        <v/>
      </c>
      <c r="I2332" s="79">
        <f>IF('Ordenes_Odoo'!I2332="","",'Ordenes_Odoo'!I2332)</f>
        <v/>
      </c>
      <c r="J2332" s="79">
        <f>IF('Ordenes_Odoo'!J2332="","",'Ordenes_Odoo'!J2332)</f>
        <v/>
      </c>
      <c r="K2332" s="81">
        <f>IF('Ordenes_Odoo'!K2332="","",'Ordenes_Odoo'!K2332)</f>
        <v/>
      </c>
      <c r="L2332" s="81">
        <f>IF('Ordenes_Odoo'!L2332="","",'Ordenes_Odoo'!L2332)</f>
        <v/>
      </c>
      <c r="M2332" s="79">
        <f>IF('Ordenes_Odoo'!M2332="","",'Ordenes_Odoo'!M2332)</f>
        <v/>
      </c>
      <c r="N2332" s="79">
        <f>IF('Ordenes_Odoo'!N2332="","",'Ordenes_Odoo'!N2332)</f>
        <v/>
      </c>
      <c r="O2332" s="81">
        <f>IF('Ordenes_Odoo'!O2332="","",'Ordenes_Odoo'!O2332)</f>
        <v/>
      </c>
      <c r="P2332" s="81">
        <f>IF('Ordenes_Odoo'!P2332="","",'Ordenes_Odoo'!P2332)</f>
        <v/>
      </c>
      <c r="Q2332" s="79">
        <f>IF(A2332="","",IFERROR(INDEX(Facturas_Odoo!$B:$B, MATCH(A2332, Facturas_Odoo!$D:$D, 0)), "Sin Factura"))</f>
        <v/>
      </c>
      <c r="R2332" s="80">
        <f>IF(Q2332="Sin Factura","",IFERROR(INDEX(Facturas_Odoo!$A:$A, MATCH(Q2332, Facturas_Odoo!$B:$B, 0)), ""))</f>
        <v/>
      </c>
      <c r="S2332" s="79">
        <f>IF(Q2332="Sin Factura","",IFERROR(_xlfn.XLOOKUP(1, (Facturas_Odoo!$D:$D=A2332) * (Facturas_Odoo!$K:$K=I2332), Facturas_Odoo!$L:$L, ""), ""))</f>
        <v/>
      </c>
      <c r="T2332" s="81">
        <f>IF(Q2332="Sin Factura",0,IFERROR(_xlfn.XLOOKUP(1, (Facturas_Odoo!$D:$D=A2332) * (Facturas_Odoo!$K:$K=I2332), Facturas_Odoo!$M:$M, 0), 0))</f>
        <v/>
      </c>
      <c r="U2332" s="79">
        <f>IF(Q2332="Sin Factura",0,IFERROR(_xlfn.XLOOKUP(1, (Facturas_Odoo!$D:$D=A2332) * (Facturas_Odoo!$K:$K=I2332), Facturas_Odoo!$N:$N, 0), 0))</f>
        <v/>
      </c>
      <c r="V2332" s="79">
        <f>IF(Q2332="Sin Factura",0,IFERROR(_xlfn.XLOOKUP(1, (Facturas_Odoo!$D:$D=A2332) * (Facturas_Odoo!$K:$K=I2332), Facturas_Odoo!$O:$O, 0), 0))</f>
        <v/>
      </c>
      <c r="W2332" s="81">
        <f>IF(Q2332="Sin Factura",0,IFERROR(_xlfn.XLOOKUP(1, (Facturas_Odoo!$D:$D=A2332) * (Facturas_Odoo!$K:$K=I2332), Facturas_Odoo!$Q:$Q, 0), 0))</f>
        <v/>
      </c>
      <c r="X2332" s="79">
        <f>IF(OR(Q2332="Sin Factura",Q2332=""),"",IFERROR(INDEX(Pagos_Odoo!$B:$B, MATCH(Q2332, Pagos_Odoo!$I:$I, 0)), "Sin Pago"))</f>
        <v/>
      </c>
      <c r="Y2332" s="79">
        <f>IF(X2332="Sin Pago","",IFERROR(INDEX(Pagos_Odoo!$C:$C, MATCH(X2332, Pagos_Odoo!$B:$B, 0)), ""))</f>
        <v/>
      </c>
      <c r="Z2332" s="80">
        <f>IF(X2332="Sin Pago","",IFERROR(INDEX(Pagos_Odoo!$A:$A, MATCH(X2332, Pagos_Odoo!$B:$B, 0)), ""))</f>
        <v/>
      </c>
      <c r="AA2332" s="79">
        <f>IF(X2332="Sin Pago","",IFERROR(INDEX(Pagos_Odoo!$F:$F, MATCH(X2332, Pagos_Odoo!$B:$B, 0)), ""))</f>
        <v/>
      </c>
      <c r="AB2332" s="81">
        <f>IF(X2332="Sin Pago",0,IFERROR(INDEX(Pagos_Odoo!$E:$E, MATCH(X2332, Pagos_Odoo!$B:$B, 0)), 0))</f>
        <v/>
      </c>
      <c r="AC2332" s="79">
        <f>IF(X2332="Sin Pago","",IFERROR(INDEX(Pagos_Odoo!$G:$G, MATCH(X2332, Pagos_Odoo!$B:$B, 0)), ""))</f>
        <v/>
      </c>
      <c r="AD2332" s="82" t="n">
        <v>0</v>
      </c>
      <c r="AE2332" s="82" t="n"/>
      <c r="AF2332" s="82" t="n"/>
      <c r="AG2332" s="82">
        <f>IF(AN2332="","",AD2332+AE2332+AF2332)</f>
        <v/>
      </c>
      <c r="AH2332" s="81">
        <f>IF(AN2332="","",P2332*(1-AG2332))</f>
        <v/>
      </c>
      <c r="AI2332" s="81">
        <f>IF(AN2332="","",IF(Q2332="Sin Factura",0,IFERROR(INDEX(Facturas_Odoo!$H:$H, MATCH(Q2332, Facturas_Odoo!$B:$B, 0)), 0)*(1-AG2332)))</f>
        <v/>
      </c>
      <c r="AJ2332" s="81">
        <f>IF(AN2332="","",_xlfn.LET(idVenta, AN2332&amp;"",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32" s="81">
        <f>IF(AN2332="","",AH2332-AJ2332)</f>
        <v/>
      </c>
      <c r="AL2332" s="81">
        <f>IF(AN2332="","",IF(Q2332="Sin Factura","",AI2332-AJ2332))</f>
        <v/>
      </c>
      <c r="AM2332" s="81">
        <f>IF(AN2332="","",IF(Q2332="Sin Factura",0,P2332-IFERROR(INDEX(Facturas_Odoo!$H:$H, MATCH(Q2332, Facturas_Odoo!$B:$B, 0)), 0)))</f>
        <v/>
      </c>
      <c r="AN2332" s="79">
        <f>IF(AND(A2332="", J2332=""), "", IF(A2332&lt;&gt;"", VALUE(MID(A2332,2,LEN(A2332))), AN2331))</f>
        <v/>
      </c>
      <c r="AO2332" s="79">
        <f>IF(AN2332="","",IF(AD2332=0,"OK",_xlfn.LET(monedaPago, IF(AA2332="","USD",AA2332), limitePermitido, IFERROR(VLOOKUP(monedaPago, Configuración!$A$2:$B$3, 2, FALSE), 0.15), IF(AD2332&gt;limitePermitido, "ALERTA: EXCESO (" &amp; TEXT(limitePermitido, "0%") &amp; " máx)", "OK"))))</f>
        <v/>
      </c>
      <c r="AP2332" s="79">
        <f>IF(AN2332="","",IF(AE2332=0,"OK",_xlfn.LET(fechaPago, Z2332, fechaFactura, R2332, diasCredito, IF(E2332="Pago inmediato", 0, IFERROR(VALUE(MID(E2332, 1, SEARCH(" ", E2332)-1)),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32" s="79">
        <f>IF(AN2332="","",IF(AND(N2332&gt;0, AG2332&gt;0), IF(Configuración!$K$2="NO", "ALERTA: DESCUENTO DOBLE NO PERMITIDO", "OK"), "OK"))</f>
        <v/>
      </c>
      <c r="AR2332" s="79">
        <f>IF(AN2332="","",IF(OR(AO2332&lt;&gt;"OK", AP2332&lt;&gt;"OK", AQ2332&lt;&gt;"OK"), "⚠️ REVISAR", "OK"))</f>
        <v/>
      </c>
    </row>
    <row r="2333">
      <c r="A2333" s="79">
        <f>IF('Ordenes_Odoo'!A2333="","",'Ordenes_Odoo'!A2333)</f>
        <v/>
      </c>
      <c r="B2333" s="80">
        <f>IF('Ordenes_Odoo'!B2333="","",'Ordenes_Odoo'!B2333)</f>
        <v/>
      </c>
      <c r="C2333" s="79">
        <f>IF('Ordenes_Odoo'!C2333="","",'Ordenes_Odoo'!C2333)</f>
        <v/>
      </c>
      <c r="D2333" s="79">
        <f>IF('Ordenes_Odoo'!D2333="","",'Ordenes_Odoo'!D2333)</f>
        <v/>
      </c>
      <c r="E2333" s="79">
        <f>IF('Ordenes_Odoo'!E2333="","",'Ordenes_Odoo'!E2333)</f>
        <v/>
      </c>
      <c r="F2333" s="79">
        <f>IF('Ordenes_Odoo'!F2333="","",'Ordenes_Odoo'!F2333)</f>
        <v/>
      </c>
      <c r="G2333" s="79">
        <f>IF('Ordenes_Odoo'!G2333="","",'Ordenes_Odoo'!G2333)</f>
        <v/>
      </c>
      <c r="H2333" s="79">
        <f>IF('Ordenes_Odoo'!H2333="","",'Ordenes_Odoo'!H2333)</f>
        <v/>
      </c>
      <c r="I2333" s="79">
        <f>IF('Ordenes_Odoo'!I2333="","",'Ordenes_Odoo'!I2333)</f>
        <v/>
      </c>
      <c r="J2333" s="79">
        <f>IF('Ordenes_Odoo'!J2333="","",'Ordenes_Odoo'!J2333)</f>
        <v/>
      </c>
      <c r="K2333" s="81">
        <f>IF('Ordenes_Odoo'!K2333="","",'Ordenes_Odoo'!K2333)</f>
        <v/>
      </c>
      <c r="L2333" s="81">
        <f>IF('Ordenes_Odoo'!L2333="","",'Ordenes_Odoo'!L2333)</f>
        <v/>
      </c>
      <c r="M2333" s="79">
        <f>IF('Ordenes_Odoo'!M2333="","",'Ordenes_Odoo'!M2333)</f>
        <v/>
      </c>
      <c r="N2333" s="79">
        <f>IF('Ordenes_Odoo'!N2333="","",'Ordenes_Odoo'!N2333)</f>
        <v/>
      </c>
      <c r="O2333" s="81">
        <f>IF('Ordenes_Odoo'!O2333="","",'Ordenes_Odoo'!O2333)</f>
        <v/>
      </c>
      <c r="P2333" s="81">
        <f>IF('Ordenes_Odoo'!P2333="","",'Ordenes_Odoo'!P2333)</f>
        <v/>
      </c>
      <c r="Q2333" s="79">
        <f>IF(A2333="","",IFERROR(INDEX(Facturas_Odoo!$B:$B, MATCH(A2333, Facturas_Odoo!$D:$D, 0)), "Sin Factura"))</f>
        <v/>
      </c>
      <c r="R2333" s="80">
        <f>IF(Q2333="Sin Factura","",IFERROR(INDEX(Facturas_Odoo!$A:$A, MATCH(Q2333, Facturas_Odoo!$B:$B, 0)), ""))</f>
        <v/>
      </c>
      <c r="S2333" s="79">
        <f>IF(Q2333="Sin Factura","",IFERROR(_xlfn.XLOOKUP(1, (Facturas_Odoo!$D:$D=A2333) * (Facturas_Odoo!$K:$K=I2333), Facturas_Odoo!$L:$L, ""), ""))</f>
        <v/>
      </c>
      <c r="T2333" s="81">
        <f>IF(Q2333="Sin Factura",0,IFERROR(_xlfn.XLOOKUP(1, (Facturas_Odoo!$D:$D=A2333) * (Facturas_Odoo!$K:$K=I2333), Facturas_Odoo!$M:$M, 0), 0))</f>
        <v/>
      </c>
      <c r="U2333" s="79">
        <f>IF(Q2333="Sin Factura",0,IFERROR(_xlfn.XLOOKUP(1, (Facturas_Odoo!$D:$D=A2333) * (Facturas_Odoo!$K:$K=I2333), Facturas_Odoo!$N:$N, 0), 0))</f>
        <v/>
      </c>
      <c r="V2333" s="79">
        <f>IF(Q2333="Sin Factura",0,IFERROR(_xlfn.XLOOKUP(1, (Facturas_Odoo!$D:$D=A2333) * (Facturas_Odoo!$K:$K=I2333), Facturas_Odoo!$O:$O, 0), 0))</f>
        <v/>
      </c>
      <c r="W2333" s="81">
        <f>IF(Q2333="Sin Factura",0,IFERROR(_xlfn.XLOOKUP(1, (Facturas_Odoo!$D:$D=A2333) * (Facturas_Odoo!$K:$K=I2333), Facturas_Odoo!$Q:$Q, 0), 0))</f>
        <v/>
      </c>
      <c r="X2333" s="79">
        <f>IF(OR(Q2333="Sin Factura",Q2333=""),"",IFERROR(INDEX(Pagos_Odoo!$B:$B, MATCH(Q2333, Pagos_Odoo!$I:$I, 0)), "Sin Pago"))</f>
        <v/>
      </c>
      <c r="Y2333" s="79">
        <f>IF(X2333="Sin Pago","",IFERROR(INDEX(Pagos_Odoo!$C:$C, MATCH(X2333, Pagos_Odoo!$B:$B, 0)), ""))</f>
        <v/>
      </c>
      <c r="Z2333" s="80">
        <f>IF(X2333="Sin Pago","",IFERROR(INDEX(Pagos_Odoo!$A:$A, MATCH(X2333, Pagos_Odoo!$B:$B, 0)), ""))</f>
        <v/>
      </c>
      <c r="AA2333" s="79">
        <f>IF(X2333="Sin Pago","",IFERROR(INDEX(Pagos_Odoo!$F:$F, MATCH(X2333, Pagos_Odoo!$B:$B, 0)), ""))</f>
        <v/>
      </c>
      <c r="AB2333" s="81">
        <f>IF(X2333="Sin Pago",0,IFERROR(INDEX(Pagos_Odoo!$E:$E, MATCH(X2333, Pagos_Odoo!$B:$B, 0)), 0))</f>
        <v/>
      </c>
      <c r="AC2333" s="79">
        <f>IF(X2333="Sin Pago","",IFERROR(INDEX(Pagos_Odoo!$G:$G, MATCH(X2333, Pagos_Odoo!$B:$B, 0)), ""))</f>
        <v/>
      </c>
      <c r="AD2333" s="82" t="n">
        <v>0</v>
      </c>
      <c r="AE2333" s="82" t="n"/>
      <c r="AF2333" s="82" t="n"/>
      <c r="AG2333" s="82">
        <f>IF(AN2333="","",AD2333+AE2333+AF2333)</f>
        <v/>
      </c>
      <c r="AH2333" s="81">
        <f>IF(AN2333="","",P2333*(1-AG2333))</f>
        <v/>
      </c>
      <c r="AI2333" s="81">
        <f>IF(AN2333="","",IF(Q2333="Sin Factura",0,IFERROR(INDEX(Facturas_Odoo!$H:$H, MATCH(Q2333, Facturas_Odoo!$B:$B, 0)), 0)*(1-AG2333)))</f>
        <v/>
      </c>
      <c r="AJ2333" s="81">
        <f>IF(AN2333="","",_xlfn.LET(idVenta, AN2333&amp;"",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33" s="81">
        <f>IF(AN2333="","",AH2333-AJ2333)</f>
        <v/>
      </c>
      <c r="AL2333" s="81">
        <f>IF(AN2333="","",IF(Q2333="Sin Factura","",AI2333-AJ2333))</f>
        <v/>
      </c>
      <c r="AM2333" s="81">
        <f>IF(AN2333="","",IF(Q2333="Sin Factura",0,P2333-IFERROR(INDEX(Facturas_Odoo!$H:$H, MATCH(Q2333, Facturas_Odoo!$B:$B, 0)), 0)))</f>
        <v/>
      </c>
      <c r="AN2333" s="79">
        <f>IF(AND(A2333="", J2333=""), "", IF(A2333&lt;&gt;"", VALUE(MID(A2333,2,LEN(A2333))), AN2332))</f>
        <v/>
      </c>
      <c r="AO2333" s="79">
        <f>IF(AN2333="","",IF(AD2333=0,"OK",_xlfn.LET(monedaPago, IF(AA2333="","USD",AA2333), limitePermitido, IFERROR(VLOOKUP(monedaPago, Configuración!$A$2:$B$3, 2, FALSE), 0.15), IF(AD2333&gt;limitePermitido, "ALERTA: EXCESO (" &amp; TEXT(limitePermitido, "0%") &amp; " máx)", "OK"))))</f>
        <v/>
      </c>
      <c r="AP2333" s="79">
        <f>IF(AN2333="","",IF(AE2333=0,"OK",_xlfn.LET(fechaPago, Z2333, fechaFactura, R2333, diasCredito, IF(E2333="Pago inmediato", 0, IFERROR(VALUE(MID(E2333, 1, SEARCH(" ", E2333)-1)),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33" s="79">
        <f>IF(AN2333="","",IF(AND(N2333&gt;0, AG2333&gt;0), IF(Configuración!$K$2="NO", "ALERTA: DESCUENTO DOBLE NO PERMITIDO", "OK"), "OK"))</f>
        <v/>
      </c>
      <c r="AR2333" s="79">
        <f>IF(AN2333="","",IF(OR(AO2333&lt;&gt;"OK", AP2333&lt;&gt;"OK", AQ2333&lt;&gt;"OK"), "⚠️ REVISAR", "OK"))</f>
        <v/>
      </c>
    </row>
    <row r="2334">
      <c r="A2334" s="79">
        <f>IF('Ordenes_Odoo'!A2334="","",'Ordenes_Odoo'!A2334)</f>
        <v/>
      </c>
      <c r="B2334" s="80">
        <f>IF('Ordenes_Odoo'!B2334="","",'Ordenes_Odoo'!B2334)</f>
        <v/>
      </c>
      <c r="C2334" s="79">
        <f>IF('Ordenes_Odoo'!C2334="","",'Ordenes_Odoo'!C2334)</f>
        <v/>
      </c>
      <c r="D2334" s="79">
        <f>IF('Ordenes_Odoo'!D2334="","",'Ordenes_Odoo'!D2334)</f>
        <v/>
      </c>
      <c r="E2334" s="79">
        <f>IF('Ordenes_Odoo'!E2334="","",'Ordenes_Odoo'!E2334)</f>
        <v/>
      </c>
      <c r="F2334" s="79">
        <f>IF('Ordenes_Odoo'!F2334="","",'Ordenes_Odoo'!F2334)</f>
        <v/>
      </c>
      <c r="G2334" s="79">
        <f>IF('Ordenes_Odoo'!G2334="","",'Ordenes_Odoo'!G2334)</f>
        <v/>
      </c>
      <c r="H2334" s="79">
        <f>IF('Ordenes_Odoo'!H2334="","",'Ordenes_Odoo'!H2334)</f>
        <v/>
      </c>
      <c r="I2334" s="79">
        <f>IF('Ordenes_Odoo'!I2334="","",'Ordenes_Odoo'!I2334)</f>
        <v/>
      </c>
      <c r="J2334" s="79">
        <f>IF('Ordenes_Odoo'!J2334="","",'Ordenes_Odoo'!J2334)</f>
        <v/>
      </c>
      <c r="K2334" s="81">
        <f>IF('Ordenes_Odoo'!K2334="","",'Ordenes_Odoo'!K2334)</f>
        <v/>
      </c>
      <c r="L2334" s="81">
        <f>IF('Ordenes_Odoo'!L2334="","",'Ordenes_Odoo'!L2334)</f>
        <v/>
      </c>
      <c r="M2334" s="79">
        <f>IF('Ordenes_Odoo'!M2334="","",'Ordenes_Odoo'!M2334)</f>
        <v/>
      </c>
      <c r="N2334" s="79">
        <f>IF('Ordenes_Odoo'!N2334="","",'Ordenes_Odoo'!N2334)</f>
        <v/>
      </c>
      <c r="O2334" s="81">
        <f>IF('Ordenes_Odoo'!O2334="","",'Ordenes_Odoo'!O2334)</f>
        <v/>
      </c>
      <c r="P2334" s="81">
        <f>IF('Ordenes_Odoo'!P2334="","",'Ordenes_Odoo'!P2334)</f>
        <v/>
      </c>
      <c r="Q2334" s="79">
        <f>IF(A2334="","",IFERROR(INDEX(Facturas_Odoo!$B:$B, MATCH(A2334, Facturas_Odoo!$D:$D, 0)), "Sin Factura"))</f>
        <v/>
      </c>
      <c r="R2334" s="80">
        <f>IF(Q2334="Sin Factura","",IFERROR(INDEX(Facturas_Odoo!$A:$A, MATCH(Q2334, Facturas_Odoo!$B:$B, 0)), ""))</f>
        <v/>
      </c>
      <c r="S2334" s="79">
        <f>IF(Q2334="Sin Factura","",IFERROR(_xlfn.XLOOKUP(1, (Facturas_Odoo!$D:$D=A2334) * (Facturas_Odoo!$K:$K=I2334), Facturas_Odoo!$L:$L, ""), ""))</f>
        <v/>
      </c>
      <c r="T2334" s="81">
        <f>IF(Q2334="Sin Factura",0,IFERROR(_xlfn.XLOOKUP(1, (Facturas_Odoo!$D:$D=A2334) * (Facturas_Odoo!$K:$K=I2334), Facturas_Odoo!$M:$M, 0), 0))</f>
        <v/>
      </c>
      <c r="U2334" s="79">
        <f>IF(Q2334="Sin Factura",0,IFERROR(_xlfn.XLOOKUP(1, (Facturas_Odoo!$D:$D=A2334) * (Facturas_Odoo!$K:$K=I2334), Facturas_Odoo!$N:$N, 0), 0))</f>
        <v/>
      </c>
      <c r="V2334" s="79">
        <f>IF(Q2334="Sin Factura",0,IFERROR(_xlfn.XLOOKUP(1, (Facturas_Odoo!$D:$D=A2334) * (Facturas_Odoo!$K:$K=I2334), Facturas_Odoo!$O:$O, 0), 0))</f>
        <v/>
      </c>
      <c r="W2334" s="81">
        <f>IF(Q2334="Sin Factura",0,IFERROR(_xlfn.XLOOKUP(1, (Facturas_Odoo!$D:$D=A2334) * (Facturas_Odoo!$K:$K=I2334), Facturas_Odoo!$Q:$Q, 0), 0))</f>
        <v/>
      </c>
      <c r="X2334" s="79">
        <f>IF(OR(Q2334="Sin Factura",Q2334=""),"",IFERROR(INDEX(Pagos_Odoo!$B:$B, MATCH(Q2334, Pagos_Odoo!$I:$I, 0)), "Sin Pago"))</f>
        <v/>
      </c>
      <c r="Y2334" s="79">
        <f>IF(X2334="Sin Pago","",IFERROR(INDEX(Pagos_Odoo!$C:$C, MATCH(X2334, Pagos_Odoo!$B:$B, 0)), ""))</f>
        <v/>
      </c>
      <c r="Z2334" s="80">
        <f>IF(X2334="Sin Pago","",IFERROR(INDEX(Pagos_Odoo!$A:$A, MATCH(X2334, Pagos_Odoo!$B:$B, 0)), ""))</f>
        <v/>
      </c>
      <c r="AA2334" s="79">
        <f>IF(X2334="Sin Pago","",IFERROR(INDEX(Pagos_Odoo!$F:$F, MATCH(X2334, Pagos_Odoo!$B:$B, 0)), ""))</f>
        <v/>
      </c>
      <c r="AB2334" s="81">
        <f>IF(X2334="Sin Pago",0,IFERROR(INDEX(Pagos_Odoo!$E:$E, MATCH(X2334, Pagos_Odoo!$B:$B, 0)), 0))</f>
        <v/>
      </c>
      <c r="AC2334" s="79">
        <f>IF(X2334="Sin Pago","",IFERROR(INDEX(Pagos_Odoo!$G:$G, MATCH(X2334, Pagos_Odoo!$B:$B, 0)), ""))</f>
        <v/>
      </c>
      <c r="AD2334" s="82" t="n">
        <v>0</v>
      </c>
      <c r="AE2334" s="82" t="n"/>
      <c r="AF2334" s="82" t="n"/>
      <c r="AG2334" s="82">
        <f>IF(AN2334="","",AD2334+AE2334+AF2334)</f>
        <v/>
      </c>
      <c r="AH2334" s="81">
        <f>IF(AN2334="","",P2334*(1-AG2334))</f>
        <v/>
      </c>
      <c r="AI2334" s="81">
        <f>IF(AN2334="","",IF(Q2334="Sin Factura",0,IFERROR(INDEX(Facturas_Odoo!$H:$H, MATCH(Q2334, Facturas_Odoo!$B:$B, 0)), 0)*(1-AG2334)))</f>
        <v/>
      </c>
      <c r="AJ2334" s="81">
        <f>IF(AN2334="","",_xlfn.LET(idVenta, AN2334&amp;"",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34" s="81">
        <f>IF(AN2334="","",AH2334-AJ2334)</f>
        <v/>
      </c>
      <c r="AL2334" s="81">
        <f>IF(AN2334="","",IF(Q2334="Sin Factura","",AI2334-AJ2334))</f>
        <v/>
      </c>
      <c r="AM2334" s="81">
        <f>IF(AN2334="","",IF(Q2334="Sin Factura",0,P2334-IFERROR(INDEX(Facturas_Odoo!$H:$H, MATCH(Q2334, Facturas_Odoo!$B:$B, 0)), 0)))</f>
        <v/>
      </c>
      <c r="AN2334" s="79">
        <f>IF(AND(A2334="", J2334=""), "", IF(A2334&lt;&gt;"", VALUE(MID(A2334,2,LEN(A2334))), AN2333))</f>
        <v/>
      </c>
      <c r="AO2334" s="79">
        <f>IF(AN2334="","",IF(AD2334=0,"OK",_xlfn.LET(monedaPago, IF(AA2334="","USD",AA2334), limitePermitido, IFERROR(VLOOKUP(monedaPago, Configuración!$A$2:$B$3, 2, FALSE), 0.15), IF(AD2334&gt;limitePermitido, "ALERTA: EXCESO (" &amp; TEXT(limitePermitido, "0%") &amp; " máx)", "OK"))))</f>
        <v/>
      </c>
      <c r="AP2334" s="79">
        <f>IF(AN2334="","",IF(AE2334=0,"OK",_xlfn.LET(fechaPago, Z2334, fechaFactura, R2334, diasCredito, IF(E2334="Pago inmediato", 0, IFERROR(VALUE(MID(E2334, 1, SEARCH(" ", E2334)-1)),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34" s="79">
        <f>IF(AN2334="","",IF(AND(N2334&gt;0, AG2334&gt;0), IF(Configuración!$K$2="NO", "ALERTA: DESCUENTO DOBLE NO PERMITIDO", "OK"), "OK"))</f>
        <v/>
      </c>
      <c r="AR2334" s="79">
        <f>IF(AN2334="","",IF(OR(AO2334&lt;&gt;"OK", AP2334&lt;&gt;"OK", AQ2334&lt;&gt;"OK"), "⚠️ REVISAR", "OK"))</f>
        <v/>
      </c>
    </row>
    <row r="2335">
      <c r="A2335" s="79">
        <f>IF('Ordenes_Odoo'!A2335="","",'Ordenes_Odoo'!A2335)</f>
        <v/>
      </c>
      <c r="B2335" s="80">
        <f>IF('Ordenes_Odoo'!B2335="","",'Ordenes_Odoo'!B2335)</f>
        <v/>
      </c>
      <c r="C2335" s="79">
        <f>IF('Ordenes_Odoo'!C2335="","",'Ordenes_Odoo'!C2335)</f>
        <v/>
      </c>
      <c r="D2335" s="79">
        <f>IF('Ordenes_Odoo'!D2335="","",'Ordenes_Odoo'!D2335)</f>
        <v/>
      </c>
      <c r="E2335" s="79">
        <f>IF('Ordenes_Odoo'!E2335="","",'Ordenes_Odoo'!E2335)</f>
        <v/>
      </c>
      <c r="F2335" s="79">
        <f>IF('Ordenes_Odoo'!F2335="","",'Ordenes_Odoo'!F2335)</f>
        <v/>
      </c>
      <c r="G2335" s="79">
        <f>IF('Ordenes_Odoo'!G2335="","",'Ordenes_Odoo'!G2335)</f>
        <v/>
      </c>
      <c r="H2335" s="79">
        <f>IF('Ordenes_Odoo'!H2335="","",'Ordenes_Odoo'!H2335)</f>
        <v/>
      </c>
      <c r="I2335" s="79">
        <f>IF('Ordenes_Odoo'!I2335="","",'Ordenes_Odoo'!I2335)</f>
        <v/>
      </c>
      <c r="J2335" s="79">
        <f>IF('Ordenes_Odoo'!J2335="","",'Ordenes_Odoo'!J2335)</f>
        <v/>
      </c>
      <c r="K2335" s="81">
        <f>IF('Ordenes_Odoo'!K2335="","",'Ordenes_Odoo'!K2335)</f>
        <v/>
      </c>
      <c r="L2335" s="81">
        <f>IF('Ordenes_Odoo'!L2335="","",'Ordenes_Odoo'!L2335)</f>
        <v/>
      </c>
      <c r="M2335" s="79">
        <f>IF('Ordenes_Odoo'!M2335="","",'Ordenes_Odoo'!M2335)</f>
        <v/>
      </c>
      <c r="N2335" s="79">
        <f>IF('Ordenes_Odoo'!N2335="","",'Ordenes_Odoo'!N2335)</f>
        <v/>
      </c>
      <c r="O2335" s="81">
        <f>IF('Ordenes_Odoo'!O2335="","",'Ordenes_Odoo'!O2335)</f>
        <v/>
      </c>
      <c r="P2335" s="81">
        <f>IF('Ordenes_Odoo'!P2335="","",'Ordenes_Odoo'!P2335)</f>
        <v/>
      </c>
      <c r="Q2335" s="79">
        <f>IF(A2335="","",IFERROR(INDEX(Facturas_Odoo!$B:$B, MATCH(A2335, Facturas_Odoo!$D:$D, 0)), "Sin Factura"))</f>
        <v/>
      </c>
      <c r="R2335" s="80">
        <f>IF(Q2335="Sin Factura","",IFERROR(INDEX(Facturas_Odoo!$A:$A, MATCH(Q2335, Facturas_Odoo!$B:$B, 0)), ""))</f>
        <v/>
      </c>
      <c r="S2335" s="79">
        <f>IF(Q2335="Sin Factura","",IFERROR(_xlfn.XLOOKUP(1, (Facturas_Odoo!$D:$D=A2335) * (Facturas_Odoo!$K:$K=I2335), Facturas_Odoo!$L:$L, ""), ""))</f>
        <v/>
      </c>
      <c r="T2335" s="81">
        <f>IF(Q2335="Sin Factura",0,IFERROR(_xlfn.XLOOKUP(1, (Facturas_Odoo!$D:$D=A2335) * (Facturas_Odoo!$K:$K=I2335), Facturas_Odoo!$M:$M, 0), 0))</f>
        <v/>
      </c>
      <c r="U2335" s="79">
        <f>IF(Q2335="Sin Factura",0,IFERROR(_xlfn.XLOOKUP(1, (Facturas_Odoo!$D:$D=A2335) * (Facturas_Odoo!$K:$K=I2335), Facturas_Odoo!$N:$N, 0), 0))</f>
        <v/>
      </c>
      <c r="V2335" s="79">
        <f>IF(Q2335="Sin Factura",0,IFERROR(_xlfn.XLOOKUP(1, (Facturas_Odoo!$D:$D=A2335) * (Facturas_Odoo!$K:$K=I2335), Facturas_Odoo!$O:$O, 0), 0))</f>
        <v/>
      </c>
      <c r="W2335" s="81">
        <f>IF(Q2335="Sin Factura",0,IFERROR(_xlfn.XLOOKUP(1, (Facturas_Odoo!$D:$D=A2335) * (Facturas_Odoo!$K:$K=I2335), Facturas_Odoo!$Q:$Q, 0), 0))</f>
        <v/>
      </c>
      <c r="X2335" s="79">
        <f>IF(OR(Q2335="Sin Factura",Q2335=""),"",IFERROR(INDEX(Pagos_Odoo!$B:$B, MATCH(Q2335, Pagos_Odoo!$I:$I, 0)), "Sin Pago"))</f>
        <v/>
      </c>
      <c r="Y2335" s="79">
        <f>IF(X2335="Sin Pago","",IFERROR(INDEX(Pagos_Odoo!$C:$C, MATCH(X2335, Pagos_Odoo!$B:$B, 0)), ""))</f>
        <v/>
      </c>
      <c r="Z2335" s="80">
        <f>IF(X2335="Sin Pago","",IFERROR(INDEX(Pagos_Odoo!$A:$A, MATCH(X2335, Pagos_Odoo!$B:$B, 0)), ""))</f>
        <v/>
      </c>
      <c r="AA2335" s="79">
        <f>IF(X2335="Sin Pago","",IFERROR(INDEX(Pagos_Odoo!$F:$F, MATCH(X2335, Pagos_Odoo!$B:$B, 0)), ""))</f>
        <v/>
      </c>
      <c r="AB2335" s="81">
        <f>IF(X2335="Sin Pago",0,IFERROR(INDEX(Pagos_Odoo!$E:$E, MATCH(X2335, Pagos_Odoo!$B:$B, 0)), 0))</f>
        <v/>
      </c>
      <c r="AC2335" s="79">
        <f>IF(X2335="Sin Pago","",IFERROR(INDEX(Pagos_Odoo!$G:$G, MATCH(X2335, Pagos_Odoo!$B:$B, 0)), ""))</f>
        <v/>
      </c>
      <c r="AD2335" s="82" t="n">
        <v>0</v>
      </c>
      <c r="AE2335" s="82" t="n"/>
      <c r="AF2335" s="82" t="n"/>
      <c r="AG2335" s="82">
        <f>IF(AN2335="","",AD2335+AE2335+AF2335)</f>
        <v/>
      </c>
      <c r="AH2335" s="81">
        <f>IF(AN2335="","",P2335*(1-AG2335))</f>
        <v/>
      </c>
      <c r="AI2335" s="81">
        <f>IF(AN2335="","",IF(Q2335="Sin Factura",0,IFERROR(INDEX(Facturas_Odoo!$H:$H, MATCH(Q2335, Facturas_Odoo!$B:$B, 0)), 0)*(1-AG2335)))</f>
        <v/>
      </c>
      <c r="AJ2335" s="81">
        <f>IF(AN2335="","",_xlfn.LET(idVenta, AN2335&amp;"",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35" s="81">
        <f>IF(AN2335="","",AH2335-AJ2335)</f>
        <v/>
      </c>
      <c r="AL2335" s="81">
        <f>IF(AN2335="","",IF(Q2335="Sin Factura","",AI2335-AJ2335))</f>
        <v/>
      </c>
      <c r="AM2335" s="81">
        <f>IF(AN2335="","",IF(Q2335="Sin Factura",0,P2335-IFERROR(INDEX(Facturas_Odoo!$H:$H, MATCH(Q2335, Facturas_Odoo!$B:$B, 0)), 0)))</f>
        <v/>
      </c>
      <c r="AN2335" s="79">
        <f>IF(AND(A2335="", J2335=""), "", IF(A2335&lt;&gt;"", VALUE(MID(A2335,2,LEN(A2335))), AN2334))</f>
        <v/>
      </c>
      <c r="AO2335" s="79">
        <f>IF(AN2335="","",IF(AD2335=0,"OK",_xlfn.LET(monedaPago, IF(AA2335="","USD",AA2335), limitePermitido, IFERROR(VLOOKUP(monedaPago, Configuración!$A$2:$B$3, 2, FALSE), 0.15), IF(AD2335&gt;limitePermitido, "ALERTA: EXCESO (" &amp; TEXT(limitePermitido, "0%") &amp; " máx)", "OK"))))</f>
        <v/>
      </c>
      <c r="AP2335" s="79">
        <f>IF(AN2335="","",IF(AE2335=0,"OK",_xlfn.LET(fechaPago, Z2335, fechaFactura, R2335, diasCredito, IF(E2335="Pago inmediato", 0, IFERROR(VALUE(MID(E2335, 1, SEARCH(" ", E2335)-1)),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35" s="79">
        <f>IF(AN2335="","",IF(AND(N2335&gt;0, AG2335&gt;0), IF(Configuración!$K$2="NO", "ALERTA: DESCUENTO DOBLE NO PERMITIDO", "OK"), "OK"))</f>
        <v/>
      </c>
      <c r="AR2335" s="79">
        <f>IF(AN2335="","",IF(OR(AO2335&lt;&gt;"OK", AP2335&lt;&gt;"OK", AQ2335&lt;&gt;"OK"), "⚠️ REVISAR", "OK"))</f>
        <v/>
      </c>
    </row>
    <row r="2336">
      <c r="A2336" s="79">
        <f>IF('Ordenes_Odoo'!A2336="","",'Ordenes_Odoo'!A2336)</f>
        <v/>
      </c>
      <c r="B2336" s="80">
        <f>IF('Ordenes_Odoo'!B2336="","",'Ordenes_Odoo'!B2336)</f>
        <v/>
      </c>
      <c r="C2336" s="79">
        <f>IF('Ordenes_Odoo'!C2336="","",'Ordenes_Odoo'!C2336)</f>
        <v/>
      </c>
      <c r="D2336" s="79">
        <f>IF('Ordenes_Odoo'!D2336="","",'Ordenes_Odoo'!D2336)</f>
        <v/>
      </c>
      <c r="E2336" s="79">
        <f>IF('Ordenes_Odoo'!E2336="","",'Ordenes_Odoo'!E2336)</f>
        <v/>
      </c>
      <c r="F2336" s="79">
        <f>IF('Ordenes_Odoo'!F2336="","",'Ordenes_Odoo'!F2336)</f>
        <v/>
      </c>
      <c r="G2336" s="79">
        <f>IF('Ordenes_Odoo'!G2336="","",'Ordenes_Odoo'!G2336)</f>
        <v/>
      </c>
      <c r="H2336" s="79">
        <f>IF('Ordenes_Odoo'!H2336="","",'Ordenes_Odoo'!H2336)</f>
        <v/>
      </c>
      <c r="I2336" s="79">
        <f>IF('Ordenes_Odoo'!I2336="","",'Ordenes_Odoo'!I2336)</f>
        <v/>
      </c>
      <c r="J2336" s="79">
        <f>IF('Ordenes_Odoo'!J2336="","",'Ordenes_Odoo'!J2336)</f>
        <v/>
      </c>
      <c r="K2336" s="81">
        <f>IF('Ordenes_Odoo'!K2336="","",'Ordenes_Odoo'!K2336)</f>
        <v/>
      </c>
      <c r="L2336" s="81">
        <f>IF('Ordenes_Odoo'!L2336="","",'Ordenes_Odoo'!L2336)</f>
        <v/>
      </c>
      <c r="M2336" s="79">
        <f>IF('Ordenes_Odoo'!M2336="","",'Ordenes_Odoo'!M2336)</f>
        <v/>
      </c>
      <c r="N2336" s="79">
        <f>IF('Ordenes_Odoo'!N2336="","",'Ordenes_Odoo'!N2336)</f>
        <v/>
      </c>
      <c r="O2336" s="81">
        <f>IF('Ordenes_Odoo'!O2336="","",'Ordenes_Odoo'!O2336)</f>
        <v/>
      </c>
      <c r="P2336" s="81">
        <f>IF('Ordenes_Odoo'!P2336="","",'Ordenes_Odoo'!P2336)</f>
        <v/>
      </c>
      <c r="Q2336" s="79">
        <f>IF(A2336="","",IFERROR(INDEX(Facturas_Odoo!$B:$B, MATCH(A2336, Facturas_Odoo!$D:$D, 0)), "Sin Factura"))</f>
        <v/>
      </c>
      <c r="R2336" s="80">
        <f>IF(Q2336="Sin Factura","",IFERROR(INDEX(Facturas_Odoo!$A:$A, MATCH(Q2336, Facturas_Odoo!$B:$B, 0)), ""))</f>
        <v/>
      </c>
      <c r="S2336" s="79">
        <f>IF(Q2336="Sin Factura","",IFERROR(_xlfn.XLOOKUP(1, (Facturas_Odoo!$D:$D=A2336) * (Facturas_Odoo!$K:$K=I2336), Facturas_Odoo!$L:$L, ""), ""))</f>
        <v/>
      </c>
      <c r="T2336" s="81">
        <f>IF(Q2336="Sin Factura",0,IFERROR(_xlfn.XLOOKUP(1, (Facturas_Odoo!$D:$D=A2336) * (Facturas_Odoo!$K:$K=I2336), Facturas_Odoo!$M:$M, 0), 0))</f>
        <v/>
      </c>
      <c r="U2336" s="79">
        <f>IF(Q2336="Sin Factura",0,IFERROR(_xlfn.XLOOKUP(1, (Facturas_Odoo!$D:$D=A2336) * (Facturas_Odoo!$K:$K=I2336), Facturas_Odoo!$N:$N, 0), 0))</f>
        <v/>
      </c>
      <c r="V2336" s="79">
        <f>IF(Q2336="Sin Factura",0,IFERROR(_xlfn.XLOOKUP(1, (Facturas_Odoo!$D:$D=A2336) * (Facturas_Odoo!$K:$K=I2336), Facturas_Odoo!$O:$O, 0), 0))</f>
        <v/>
      </c>
      <c r="W2336" s="81">
        <f>IF(Q2336="Sin Factura",0,IFERROR(_xlfn.XLOOKUP(1, (Facturas_Odoo!$D:$D=A2336) * (Facturas_Odoo!$K:$K=I2336), Facturas_Odoo!$Q:$Q, 0), 0))</f>
        <v/>
      </c>
      <c r="X2336" s="79">
        <f>IF(OR(Q2336="Sin Factura",Q2336=""),"",IFERROR(INDEX(Pagos_Odoo!$B:$B, MATCH(Q2336, Pagos_Odoo!$I:$I, 0)), "Sin Pago"))</f>
        <v/>
      </c>
      <c r="Y2336" s="79">
        <f>IF(X2336="Sin Pago","",IFERROR(INDEX(Pagos_Odoo!$C:$C, MATCH(X2336, Pagos_Odoo!$B:$B, 0)), ""))</f>
        <v/>
      </c>
      <c r="Z2336" s="80">
        <f>IF(X2336="Sin Pago","",IFERROR(INDEX(Pagos_Odoo!$A:$A, MATCH(X2336, Pagos_Odoo!$B:$B, 0)), ""))</f>
        <v/>
      </c>
      <c r="AA2336" s="79">
        <f>IF(X2336="Sin Pago","",IFERROR(INDEX(Pagos_Odoo!$F:$F, MATCH(X2336, Pagos_Odoo!$B:$B, 0)), ""))</f>
        <v/>
      </c>
      <c r="AB2336" s="81">
        <f>IF(X2336="Sin Pago",0,IFERROR(INDEX(Pagos_Odoo!$E:$E, MATCH(X2336, Pagos_Odoo!$B:$B, 0)), 0))</f>
        <v/>
      </c>
      <c r="AC2336" s="79">
        <f>IF(X2336="Sin Pago","",IFERROR(INDEX(Pagos_Odoo!$G:$G, MATCH(X2336, Pagos_Odoo!$B:$B, 0)), ""))</f>
        <v/>
      </c>
      <c r="AD2336" s="82" t="n">
        <v>0</v>
      </c>
      <c r="AE2336" s="82" t="n"/>
      <c r="AF2336" s="82" t="n"/>
      <c r="AG2336" s="82">
        <f>IF(AN2336="","",AD2336+AE2336+AF2336)</f>
        <v/>
      </c>
      <c r="AH2336" s="81">
        <f>IF(AN2336="","",P2336*(1-AG2336))</f>
        <v/>
      </c>
      <c r="AI2336" s="81">
        <f>IF(AN2336="","",IF(Q2336="Sin Factura",0,IFERROR(INDEX(Facturas_Odoo!$H:$H, MATCH(Q2336, Facturas_Odoo!$B:$B, 0)), 0)*(1-AG2336)))</f>
        <v/>
      </c>
      <c r="AJ2336" s="81">
        <f>IF(AN2336="","",_xlfn.LET(idVenta, AN2336&amp;"",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36" s="81">
        <f>IF(AN2336="","",AH2336-AJ2336)</f>
        <v/>
      </c>
      <c r="AL2336" s="81">
        <f>IF(AN2336="","",IF(Q2336="Sin Factura","",AI2336-AJ2336))</f>
        <v/>
      </c>
      <c r="AM2336" s="81">
        <f>IF(AN2336="","",IF(Q2336="Sin Factura",0,P2336-IFERROR(INDEX(Facturas_Odoo!$H:$H, MATCH(Q2336, Facturas_Odoo!$B:$B, 0)), 0)))</f>
        <v/>
      </c>
      <c r="AN2336" s="79">
        <f>IF(AND(A2336="", J2336=""), "", IF(A2336&lt;&gt;"", VALUE(MID(A2336,2,LEN(A2336))), AN2335))</f>
        <v/>
      </c>
      <c r="AO2336" s="79">
        <f>IF(AN2336="","",IF(AD2336=0,"OK",_xlfn.LET(monedaPago, IF(AA2336="","USD",AA2336), limitePermitido, IFERROR(VLOOKUP(monedaPago, Configuración!$A$2:$B$3, 2, FALSE), 0.15), IF(AD2336&gt;limitePermitido, "ALERTA: EXCESO (" &amp; TEXT(limitePermitido, "0%") &amp; " máx)", "OK"))))</f>
        <v/>
      </c>
      <c r="AP2336" s="79">
        <f>IF(AN2336="","",IF(AE2336=0,"OK",_xlfn.LET(fechaPago, Z2336, fechaFactura, R2336, diasCredito, IF(E2336="Pago inmediato", 0, IFERROR(VALUE(MID(E2336, 1, SEARCH(" ", E2336)-1)),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36" s="79">
        <f>IF(AN2336="","",IF(AND(N2336&gt;0, AG2336&gt;0), IF(Configuración!$K$2="NO", "ALERTA: DESCUENTO DOBLE NO PERMITIDO", "OK"), "OK"))</f>
        <v/>
      </c>
      <c r="AR2336" s="79">
        <f>IF(AN2336="","",IF(OR(AO2336&lt;&gt;"OK", AP2336&lt;&gt;"OK", AQ2336&lt;&gt;"OK"), "⚠️ REVISAR", "OK"))</f>
        <v/>
      </c>
    </row>
    <row r="2337">
      <c r="A2337" s="79">
        <f>IF('Ordenes_Odoo'!A2337="","",'Ordenes_Odoo'!A2337)</f>
        <v/>
      </c>
      <c r="B2337" s="80">
        <f>IF('Ordenes_Odoo'!B2337="","",'Ordenes_Odoo'!B2337)</f>
        <v/>
      </c>
      <c r="C2337" s="79">
        <f>IF('Ordenes_Odoo'!C2337="","",'Ordenes_Odoo'!C2337)</f>
        <v/>
      </c>
      <c r="D2337" s="79">
        <f>IF('Ordenes_Odoo'!D2337="","",'Ordenes_Odoo'!D2337)</f>
        <v/>
      </c>
      <c r="E2337" s="79">
        <f>IF('Ordenes_Odoo'!E2337="","",'Ordenes_Odoo'!E2337)</f>
        <v/>
      </c>
      <c r="F2337" s="79">
        <f>IF('Ordenes_Odoo'!F2337="","",'Ordenes_Odoo'!F2337)</f>
        <v/>
      </c>
      <c r="G2337" s="79">
        <f>IF('Ordenes_Odoo'!G2337="","",'Ordenes_Odoo'!G2337)</f>
        <v/>
      </c>
      <c r="H2337" s="79">
        <f>IF('Ordenes_Odoo'!H2337="","",'Ordenes_Odoo'!H2337)</f>
        <v/>
      </c>
      <c r="I2337" s="79">
        <f>IF('Ordenes_Odoo'!I2337="","",'Ordenes_Odoo'!I2337)</f>
        <v/>
      </c>
      <c r="J2337" s="79">
        <f>IF('Ordenes_Odoo'!J2337="","",'Ordenes_Odoo'!J2337)</f>
        <v/>
      </c>
      <c r="K2337" s="81">
        <f>IF('Ordenes_Odoo'!K2337="","",'Ordenes_Odoo'!K2337)</f>
        <v/>
      </c>
      <c r="L2337" s="81">
        <f>IF('Ordenes_Odoo'!L2337="","",'Ordenes_Odoo'!L2337)</f>
        <v/>
      </c>
      <c r="M2337" s="79">
        <f>IF('Ordenes_Odoo'!M2337="","",'Ordenes_Odoo'!M2337)</f>
        <v/>
      </c>
      <c r="N2337" s="79">
        <f>IF('Ordenes_Odoo'!N2337="","",'Ordenes_Odoo'!N2337)</f>
        <v/>
      </c>
      <c r="O2337" s="81">
        <f>IF('Ordenes_Odoo'!O2337="","",'Ordenes_Odoo'!O2337)</f>
        <v/>
      </c>
      <c r="P2337" s="81">
        <f>IF('Ordenes_Odoo'!P2337="","",'Ordenes_Odoo'!P2337)</f>
        <v/>
      </c>
      <c r="Q2337" s="79">
        <f>IF(A2337="","",IFERROR(INDEX(Facturas_Odoo!$B:$B, MATCH(A2337, Facturas_Odoo!$D:$D, 0)), "Sin Factura"))</f>
        <v/>
      </c>
      <c r="R2337" s="80">
        <f>IF(Q2337="Sin Factura","",IFERROR(INDEX(Facturas_Odoo!$A:$A, MATCH(Q2337, Facturas_Odoo!$B:$B, 0)), ""))</f>
        <v/>
      </c>
      <c r="S2337" s="79">
        <f>IF(Q2337="Sin Factura","",IFERROR(_xlfn.XLOOKUP(1, (Facturas_Odoo!$D:$D=A2337) * (Facturas_Odoo!$K:$K=I2337), Facturas_Odoo!$L:$L, ""), ""))</f>
        <v/>
      </c>
      <c r="T2337" s="81">
        <f>IF(Q2337="Sin Factura",0,IFERROR(_xlfn.XLOOKUP(1, (Facturas_Odoo!$D:$D=A2337) * (Facturas_Odoo!$K:$K=I2337), Facturas_Odoo!$M:$M, 0), 0))</f>
        <v/>
      </c>
      <c r="U2337" s="79">
        <f>IF(Q2337="Sin Factura",0,IFERROR(_xlfn.XLOOKUP(1, (Facturas_Odoo!$D:$D=A2337) * (Facturas_Odoo!$K:$K=I2337), Facturas_Odoo!$N:$N, 0), 0))</f>
        <v/>
      </c>
      <c r="V2337" s="79">
        <f>IF(Q2337="Sin Factura",0,IFERROR(_xlfn.XLOOKUP(1, (Facturas_Odoo!$D:$D=A2337) * (Facturas_Odoo!$K:$K=I2337), Facturas_Odoo!$O:$O, 0), 0))</f>
        <v/>
      </c>
      <c r="W2337" s="81">
        <f>IF(Q2337="Sin Factura",0,IFERROR(_xlfn.XLOOKUP(1, (Facturas_Odoo!$D:$D=A2337) * (Facturas_Odoo!$K:$K=I2337), Facturas_Odoo!$Q:$Q, 0), 0))</f>
        <v/>
      </c>
      <c r="X2337" s="79">
        <f>IF(OR(Q2337="Sin Factura",Q2337=""),"",IFERROR(INDEX(Pagos_Odoo!$B:$B, MATCH(Q2337, Pagos_Odoo!$I:$I, 0)), "Sin Pago"))</f>
        <v/>
      </c>
      <c r="Y2337" s="79">
        <f>IF(X2337="Sin Pago","",IFERROR(INDEX(Pagos_Odoo!$C:$C, MATCH(X2337, Pagos_Odoo!$B:$B, 0)), ""))</f>
        <v/>
      </c>
      <c r="Z2337" s="80">
        <f>IF(X2337="Sin Pago","",IFERROR(INDEX(Pagos_Odoo!$A:$A, MATCH(X2337, Pagos_Odoo!$B:$B, 0)), ""))</f>
        <v/>
      </c>
      <c r="AA2337" s="79">
        <f>IF(X2337="Sin Pago","",IFERROR(INDEX(Pagos_Odoo!$F:$F, MATCH(X2337, Pagos_Odoo!$B:$B, 0)), ""))</f>
        <v/>
      </c>
      <c r="AB2337" s="81">
        <f>IF(X2337="Sin Pago",0,IFERROR(INDEX(Pagos_Odoo!$E:$E, MATCH(X2337, Pagos_Odoo!$B:$B, 0)), 0))</f>
        <v/>
      </c>
      <c r="AC2337" s="79">
        <f>IF(X2337="Sin Pago","",IFERROR(INDEX(Pagos_Odoo!$G:$G, MATCH(X2337, Pagos_Odoo!$B:$B, 0)), ""))</f>
        <v/>
      </c>
      <c r="AD2337" s="82" t="n">
        <v>0</v>
      </c>
      <c r="AE2337" s="82" t="n"/>
      <c r="AF2337" s="82" t="n"/>
      <c r="AG2337" s="82">
        <f>IF(AN2337="","",AD2337+AE2337+AF2337)</f>
        <v/>
      </c>
      <c r="AH2337" s="81">
        <f>IF(AN2337="","",P2337*(1-AG2337))</f>
        <v/>
      </c>
      <c r="AI2337" s="81">
        <f>IF(AN2337="","",IF(Q2337="Sin Factura",0,IFERROR(INDEX(Facturas_Odoo!$H:$H, MATCH(Q2337, Facturas_Odoo!$B:$B, 0)), 0)*(1-AG2337)))</f>
        <v/>
      </c>
      <c r="AJ2337" s="81">
        <f>IF(AN2337="","",_xlfn.LET(idVenta, AN2337&amp;"",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37" s="81">
        <f>IF(AN2337="","",AH2337-AJ2337)</f>
        <v/>
      </c>
      <c r="AL2337" s="81">
        <f>IF(AN2337="","",IF(Q2337="Sin Factura","",AI2337-AJ2337))</f>
        <v/>
      </c>
      <c r="AM2337" s="81">
        <f>IF(AN2337="","",IF(Q2337="Sin Factura",0,P2337-IFERROR(INDEX(Facturas_Odoo!$H:$H, MATCH(Q2337, Facturas_Odoo!$B:$B, 0)), 0)))</f>
        <v/>
      </c>
      <c r="AN2337" s="79">
        <f>IF(AND(A2337="", J2337=""), "", IF(A2337&lt;&gt;"", VALUE(MID(A2337,2,LEN(A2337))), AN2336))</f>
        <v/>
      </c>
      <c r="AO2337" s="79">
        <f>IF(AN2337="","",IF(AD2337=0,"OK",_xlfn.LET(monedaPago, IF(AA2337="","USD",AA2337), limitePermitido, IFERROR(VLOOKUP(monedaPago, Configuración!$A$2:$B$3, 2, FALSE), 0.15), IF(AD2337&gt;limitePermitido, "ALERTA: EXCESO (" &amp; TEXT(limitePermitido, "0%") &amp; " máx)", "OK"))))</f>
        <v/>
      </c>
      <c r="AP2337" s="79">
        <f>IF(AN2337="","",IF(AE2337=0,"OK",_xlfn.LET(fechaPago, Z2337, fechaFactura, R2337, diasCredito, IF(E2337="Pago inmediato", 0, IFERROR(VALUE(MID(E2337, 1, SEARCH(" ", E2337)-1)),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37" s="79">
        <f>IF(AN2337="","",IF(AND(N2337&gt;0, AG2337&gt;0), IF(Configuración!$K$2="NO", "ALERTA: DESCUENTO DOBLE NO PERMITIDO", "OK"), "OK"))</f>
        <v/>
      </c>
      <c r="AR2337" s="79">
        <f>IF(AN2337="","",IF(OR(AO2337&lt;&gt;"OK", AP2337&lt;&gt;"OK", AQ2337&lt;&gt;"OK"), "⚠️ REVISAR", "OK"))</f>
        <v/>
      </c>
    </row>
    <row r="2338">
      <c r="A2338" s="79">
        <f>IF('Ordenes_Odoo'!A2338="","",'Ordenes_Odoo'!A2338)</f>
        <v/>
      </c>
      <c r="B2338" s="80">
        <f>IF('Ordenes_Odoo'!B2338="","",'Ordenes_Odoo'!B2338)</f>
        <v/>
      </c>
      <c r="C2338" s="79">
        <f>IF('Ordenes_Odoo'!C2338="","",'Ordenes_Odoo'!C2338)</f>
        <v/>
      </c>
      <c r="D2338" s="79">
        <f>IF('Ordenes_Odoo'!D2338="","",'Ordenes_Odoo'!D2338)</f>
        <v/>
      </c>
      <c r="E2338" s="79">
        <f>IF('Ordenes_Odoo'!E2338="","",'Ordenes_Odoo'!E2338)</f>
        <v/>
      </c>
      <c r="F2338" s="79">
        <f>IF('Ordenes_Odoo'!F2338="","",'Ordenes_Odoo'!F2338)</f>
        <v/>
      </c>
      <c r="G2338" s="79">
        <f>IF('Ordenes_Odoo'!G2338="","",'Ordenes_Odoo'!G2338)</f>
        <v/>
      </c>
      <c r="H2338" s="79">
        <f>IF('Ordenes_Odoo'!H2338="","",'Ordenes_Odoo'!H2338)</f>
        <v/>
      </c>
      <c r="I2338" s="79">
        <f>IF('Ordenes_Odoo'!I2338="","",'Ordenes_Odoo'!I2338)</f>
        <v/>
      </c>
      <c r="J2338" s="79">
        <f>IF('Ordenes_Odoo'!J2338="","",'Ordenes_Odoo'!J2338)</f>
        <v/>
      </c>
      <c r="K2338" s="81">
        <f>IF('Ordenes_Odoo'!K2338="","",'Ordenes_Odoo'!K2338)</f>
        <v/>
      </c>
      <c r="L2338" s="81">
        <f>IF('Ordenes_Odoo'!L2338="","",'Ordenes_Odoo'!L2338)</f>
        <v/>
      </c>
      <c r="M2338" s="79">
        <f>IF('Ordenes_Odoo'!M2338="","",'Ordenes_Odoo'!M2338)</f>
        <v/>
      </c>
      <c r="N2338" s="79">
        <f>IF('Ordenes_Odoo'!N2338="","",'Ordenes_Odoo'!N2338)</f>
        <v/>
      </c>
      <c r="O2338" s="81">
        <f>IF('Ordenes_Odoo'!O2338="","",'Ordenes_Odoo'!O2338)</f>
        <v/>
      </c>
      <c r="P2338" s="81">
        <f>IF('Ordenes_Odoo'!P2338="","",'Ordenes_Odoo'!P2338)</f>
        <v/>
      </c>
      <c r="Q2338" s="79">
        <f>IF(A2338="","",IFERROR(INDEX(Facturas_Odoo!$B:$B, MATCH(A2338, Facturas_Odoo!$D:$D, 0)), "Sin Factura"))</f>
        <v/>
      </c>
      <c r="R2338" s="80">
        <f>IF(Q2338="Sin Factura","",IFERROR(INDEX(Facturas_Odoo!$A:$A, MATCH(Q2338, Facturas_Odoo!$B:$B, 0)), ""))</f>
        <v/>
      </c>
      <c r="S2338" s="79">
        <f>IF(Q2338="Sin Factura","",IFERROR(_xlfn.XLOOKUP(1, (Facturas_Odoo!$D:$D=A2338) * (Facturas_Odoo!$K:$K=I2338), Facturas_Odoo!$L:$L, ""), ""))</f>
        <v/>
      </c>
      <c r="T2338" s="81">
        <f>IF(Q2338="Sin Factura",0,IFERROR(_xlfn.XLOOKUP(1, (Facturas_Odoo!$D:$D=A2338) * (Facturas_Odoo!$K:$K=I2338), Facturas_Odoo!$M:$M, 0), 0))</f>
        <v/>
      </c>
      <c r="U2338" s="79">
        <f>IF(Q2338="Sin Factura",0,IFERROR(_xlfn.XLOOKUP(1, (Facturas_Odoo!$D:$D=A2338) * (Facturas_Odoo!$K:$K=I2338), Facturas_Odoo!$N:$N, 0), 0))</f>
        <v/>
      </c>
      <c r="V2338" s="79">
        <f>IF(Q2338="Sin Factura",0,IFERROR(_xlfn.XLOOKUP(1, (Facturas_Odoo!$D:$D=A2338) * (Facturas_Odoo!$K:$K=I2338), Facturas_Odoo!$O:$O, 0), 0))</f>
        <v/>
      </c>
      <c r="W2338" s="81">
        <f>IF(Q2338="Sin Factura",0,IFERROR(_xlfn.XLOOKUP(1, (Facturas_Odoo!$D:$D=A2338) * (Facturas_Odoo!$K:$K=I2338), Facturas_Odoo!$Q:$Q, 0), 0))</f>
        <v/>
      </c>
      <c r="X2338" s="79">
        <f>IF(OR(Q2338="Sin Factura",Q2338=""),"",IFERROR(INDEX(Pagos_Odoo!$B:$B, MATCH(Q2338, Pagos_Odoo!$I:$I, 0)), "Sin Pago"))</f>
        <v/>
      </c>
      <c r="Y2338" s="79">
        <f>IF(X2338="Sin Pago","",IFERROR(INDEX(Pagos_Odoo!$C:$C, MATCH(X2338, Pagos_Odoo!$B:$B, 0)), ""))</f>
        <v/>
      </c>
      <c r="Z2338" s="80">
        <f>IF(X2338="Sin Pago","",IFERROR(INDEX(Pagos_Odoo!$A:$A, MATCH(X2338, Pagos_Odoo!$B:$B, 0)), ""))</f>
        <v/>
      </c>
      <c r="AA2338" s="79">
        <f>IF(X2338="Sin Pago","",IFERROR(INDEX(Pagos_Odoo!$F:$F, MATCH(X2338, Pagos_Odoo!$B:$B, 0)), ""))</f>
        <v/>
      </c>
      <c r="AB2338" s="81">
        <f>IF(X2338="Sin Pago",0,IFERROR(INDEX(Pagos_Odoo!$E:$E, MATCH(X2338, Pagos_Odoo!$B:$B, 0)), 0))</f>
        <v/>
      </c>
      <c r="AC2338" s="79">
        <f>IF(X2338="Sin Pago","",IFERROR(INDEX(Pagos_Odoo!$G:$G, MATCH(X2338, Pagos_Odoo!$B:$B, 0)), ""))</f>
        <v/>
      </c>
      <c r="AD2338" s="82" t="n">
        <v>0</v>
      </c>
      <c r="AE2338" s="82" t="n"/>
      <c r="AF2338" s="82" t="n"/>
      <c r="AG2338" s="82">
        <f>IF(AN2338="","",AD2338+AE2338+AF2338)</f>
        <v/>
      </c>
      <c r="AH2338" s="81">
        <f>IF(AN2338="","",P2338*(1-AG2338))</f>
        <v/>
      </c>
      <c r="AI2338" s="81">
        <f>IF(AN2338="","",IF(Q2338="Sin Factura",0,IFERROR(INDEX(Facturas_Odoo!$H:$H, MATCH(Q2338, Facturas_Odoo!$B:$B, 0)), 0)*(1-AG2338)))</f>
        <v/>
      </c>
      <c r="AJ2338" s="81">
        <f>IF(AN2338="","",_xlfn.LET(idVenta, AN2338&amp;"",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38" s="81">
        <f>IF(AN2338="","",AH2338-AJ2338)</f>
        <v/>
      </c>
      <c r="AL2338" s="81">
        <f>IF(AN2338="","",IF(Q2338="Sin Factura","",AI2338-AJ2338))</f>
        <v/>
      </c>
      <c r="AM2338" s="81">
        <f>IF(AN2338="","",IF(Q2338="Sin Factura",0,P2338-IFERROR(INDEX(Facturas_Odoo!$H:$H, MATCH(Q2338, Facturas_Odoo!$B:$B, 0)), 0)))</f>
        <v/>
      </c>
      <c r="AN2338" s="79">
        <f>IF(AND(A2338="", J2338=""), "", IF(A2338&lt;&gt;"", VALUE(MID(A2338,2,LEN(A2338))), AN2337))</f>
        <v/>
      </c>
      <c r="AO2338" s="79">
        <f>IF(AN2338="","",IF(AD2338=0,"OK",_xlfn.LET(monedaPago, IF(AA2338="","USD",AA2338), limitePermitido, IFERROR(VLOOKUP(monedaPago, Configuración!$A$2:$B$3, 2, FALSE), 0.15), IF(AD2338&gt;limitePermitido, "ALERTA: EXCESO (" &amp; TEXT(limitePermitido, "0%") &amp; " máx)", "OK"))))</f>
        <v/>
      </c>
      <c r="AP2338" s="79">
        <f>IF(AN2338="","",IF(AE2338=0,"OK",_xlfn.LET(fechaPago, Z2338, fechaFactura, R2338, diasCredito, IF(E2338="Pago inmediato", 0, IFERROR(VALUE(MID(E2338, 1, SEARCH(" ", E2338)-1)),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38" s="79">
        <f>IF(AN2338="","",IF(AND(N2338&gt;0, AG2338&gt;0), IF(Configuración!$K$2="NO", "ALERTA: DESCUENTO DOBLE NO PERMITIDO", "OK"), "OK"))</f>
        <v/>
      </c>
      <c r="AR2338" s="79">
        <f>IF(AN2338="","",IF(OR(AO2338&lt;&gt;"OK", AP2338&lt;&gt;"OK", AQ2338&lt;&gt;"OK"), "⚠️ REVISAR", "OK"))</f>
        <v/>
      </c>
    </row>
    <row r="2339">
      <c r="A2339" s="79">
        <f>IF('Ordenes_Odoo'!A2339="","",'Ordenes_Odoo'!A2339)</f>
        <v/>
      </c>
      <c r="B2339" s="80">
        <f>IF('Ordenes_Odoo'!B2339="","",'Ordenes_Odoo'!B2339)</f>
        <v/>
      </c>
      <c r="C2339" s="79">
        <f>IF('Ordenes_Odoo'!C2339="","",'Ordenes_Odoo'!C2339)</f>
        <v/>
      </c>
      <c r="D2339" s="79">
        <f>IF('Ordenes_Odoo'!D2339="","",'Ordenes_Odoo'!D2339)</f>
        <v/>
      </c>
      <c r="E2339" s="79">
        <f>IF('Ordenes_Odoo'!E2339="","",'Ordenes_Odoo'!E2339)</f>
        <v/>
      </c>
      <c r="F2339" s="79">
        <f>IF('Ordenes_Odoo'!F2339="","",'Ordenes_Odoo'!F2339)</f>
        <v/>
      </c>
      <c r="G2339" s="79">
        <f>IF('Ordenes_Odoo'!G2339="","",'Ordenes_Odoo'!G2339)</f>
        <v/>
      </c>
      <c r="H2339" s="79">
        <f>IF('Ordenes_Odoo'!H2339="","",'Ordenes_Odoo'!H2339)</f>
        <v/>
      </c>
      <c r="I2339" s="79">
        <f>IF('Ordenes_Odoo'!I2339="","",'Ordenes_Odoo'!I2339)</f>
        <v/>
      </c>
      <c r="J2339" s="79">
        <f>IF('Ordenes_Odoo'!J2339="","",'Ordenes_Odoo'!J2339)</f>
        <v/>
      </c>
      <c r="K2339" s="81">
        <f>IF('Ordenes_Odoo'!K2339="","",'Ordenes_Odoo'!K2339)</f>
        <v/>
      </c>
      <c r="L2339" s="81">
        <f>IF('Ordenes_Odoo'!L2339="","",'Ordenes_Odoo'!L2339)</f>
        <v/>
      </c>
      <c r="M2339" s="79">
        <f>IF('Ordenes_Odoo'!M2339="","",'Ordenes_Odoo'!M2339)</f>
        <v/>
      </c>
      <c r="N2339" s="79">
        <f>IF('Ordenes_Odoo'!N2339="","",'Ordenes_Odoo'!N2339)</f>
        <v/>
      </c>
      <c r="O2339" s="81">
        <f>IF('Ordenes_Odoo'!O2339="","",'Ordenes_Odoo'!O2339)</f>
        <v/>
      </c>
      <c r="P2339" s="81">
        <f>IF('Ordenes_Odoo'!P2339="","",'Ordenes_Odoo'!P2339)</f>
        <v/>
      </c>
      <c r="Q2339" s="79">
        <f>IF(A2339="","",IFERROR(INDEX(Facturas_Odoo!$B:$B, MATCH(A2339, Facturas_Odoo!$D:$D, 0)), "Sin Factura"))</f>
        <v/>
      </c>
      <c r="R2339" s="80">
        <f>IF(Q2339="Sin Factura","",IFERROR(INDEX(Facturas_Odoo!$A:$A, MATCH(Q2339, Facturas_Odoo!$B:$B, 0)), ""))</f>
        <v/>
      </c>
      <c r="S2339" s="79">
        <f>IF(Q2339="Sin Factura","",IFERROR(_xlfn.XLOOKUP(1, (Facturas_Odoo!$D:$D=A2339) * (Facturas_Odoo!$K:$K=I2339), Facturas_Odoo!$L:$L, ""), ""))</f>
        <v/>
      </c>
      <c r="T2339" s="81">
        <f>IF(Q2339="Sin Factura",0,IFERROR(_xlfn.XLOOKUP(1, (Facturas_Odoo!$D:$D=A2339) * (Facturas_Odoo!$K:$K=I2339), Facturas_Odoo!$M:$M, 0), 0))</f>
        <v/>
      </c>
      <c r="U2339" s="79">
        <f>IF(Q2339="Sin Factura",0,IFERROR(_xlfn.XLOOKUP(1, (Facturas_Odoo!$D:$D=A2339) * (Facturas_Odoo!$K:$K=I2339), Facturas_Odoo!$N:$N, 0), 0))</f>
        <v/>
      </c>
      <c r="V2339" s="79">
        <f>IF(Q2339="Sin Factura",0,IFERROR(_xlfn.XLOOKUP(1, (Facturas_Odoo!$D:$D=A2339) * (Facturas_Odoo!$K:$K=I2339), Facturas_Odoo!$O:$O, 0), 0))</f>
        <v/>
      </c>
      <c r="W2339" s="81">
        <f>IF(Q2339="Sin Factura",0,IFERROR(_xlfn.XLOOKUP(1, (Facturas_Odoo!$D:$D=A2339) * (Facturas_Odoo!$K:$K=I2339), Facturas_Odoo!$Q:$Q, 0), 0))</f>
        <v/>
      </c>
      <c r="X2339" s="79">
        <f>IF(OR(Q2339="Sin Factura",Q2339=""),"",IFERROR(INDEX(Pagos_Odoo!$B:$B, MATCH(Q2339, Pagos_Odoo!$I:$I, 0)), "Sin Pago"))</f>
        <v/>
      </c>
      <c r="Y2339" s="79">
        <f>IF(X2339="Sin Pago","",IFERROR(INDEX(Pagos_Odoo!$C:$C, MATCH(X2339, Pagos_Odoo!$B:$B, 0)), ""))</f>
        <v/>
      </c>
      <c r="Z2339" s="80">
        <f>IF(X2339="Sin Pago","",IFERROR(INDEX(Pagos_Odoo!$A:$A, MATCH(X2339, Pagos_Odoo!$B:$B, 0)), ""))</f>
        <v/>
      </c>
      <c r="AA2339" s="79">
        <f>IF(X2339="Sin Pago","",IFERROR(INDEX(Pagos_Odoo!$F:$F, MATCH(X2339, Pagos_Odoo!$B:$B, 0)), ""))</f>
        <v/>
      </c>
      <c r="AB2339" s="81">
        <f>IF(X2339="Sin Pago",0,IFERROR(INDEX(Pagos_Odoo!$E:$E, MATCH(X2339, Pagos_Odoo!$B:$B, 0)), 0))</f>
        <v/>
      </c>
      <c r="AC2339" s="79">
        <f>IF(X2339="Sin Pago","",IFERROR(INDEX(Pagos_Odoo!$G:$G, MATCH(X2339, Pagos_Odoo!$B:$B, 0)), ""))</f>
        <v/>
      </c>
      <c r="AD2339" s="82" t="n">
        <v>0</v>
      </c>
      <c r="AE2339" s="82" t="n"/>
      <c r="AF2339" s="82" t="n"/>
      <c r="AG2339" s="82">
        <f>IF(AN2339="","",AD2339+AE2339+AF2339)</f>
        <v/>
      </c>
      <c r="AH2339" s="81">
        <f>IF(AN2339="","",P2339*(1-AG2339))</f>
        <v/>
      </c>
      <c r="AI2339" s="81">
        <f>IF(AN2339="","",IF(Q2339="Sin Factura",0,IFERROR(INDEX(Facturas_Odoo!$H:$H, MATCH(Q2339, Facturas_Odoo!$B:$B, 0)), 0)*(1-AG2339)))</f>
        <v/>
      </c>
      <c r="AJ2339" s="81">
        <f>IF(AN2339="","",_xlfn.LET(idVenta, AN2339&amp;"",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39" s="81">
        <f>IF(AN2339="","",AH2339-AJ2339)</f>
        <v/>
      </c>
      <c r="AL2339" s="81">
        <f>IF(AN2339="","",IF(Q2339="Sin Factura","",AI2339-AJ2339))</f>
        <v/>
      </c>
      <c r="AM2339" s="81">
        <f>IF(AN2339="","",IF(Q2339="Sin Factura",0,P2339-IFERROR(INDEX(Facturas_Odoo!$H:$H, MATCH(Q2339, Facturas_Odoo!$B:$B, 0)), 0)))</f>
        <v/>
      </c>
      <c r="AN2339" s="79">
        <f>IF(AND(A2339="", J2339=""), "", IF(A2339&lt;&gt;"", VALUE(MID(A2339,2,LEN(A2339))), AN2338))</f>
        <v/>
      </c>
      <c r="AO2339" s="79">
        <f>IF(AN2339="","",IF(AD2339=0,"OK",_xlfn.LET(monedaPago, IF(AA2339="","USD",AA2339), limitePermitido, IFERROR(VLOOKUP(monedaPago, Configuración!$A$2:$B$3, 2, FALSE), 0.15), IF(AD2339&gt;limitePermitido, "ALERTA: EXCESO (" &amp; TEXT(limitePermitido, "0%") &amp; " máx)", "OK"))))</f>
        <v/>
      </c>
      <c r="AP2339" s="79">
        <f>IF(AN2339="","",IF(AE2339=0,"OK",_xlfn.LET(fechaPago, Z2339, fechaFactura, R2339, diasCredito, IF(E2339="Pago inmediato", 0, IFERROR(VALUE(MID(E2339, 1, SEARCH(" ", E2339)-1)),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39" s="79">
        <f>IF(AN2339="","",IF(AND(N2339&gt;0, AG2339&gt;0), IF(Configuración!$K$2="NO", "ALERTA: DESCUENTO DOBLE NO PERMITIDO", "OK"), "OK"))</f>
        <v/>
      </c>
      <c r="AR2339" s="79">
        <f>IF(AN2339="","",IF(OR(AO2339&lt;&gt;"OK", AP2339&lt;&gt;"OK", AQ2339&lt;&gt;"OK"), "⚠️ REVISAR", "OK"))</f>
        <v/>
      </c>
    </row>
    <row r="2340">
      <c r="A2340" s="79">
        <f>IF('Ordenes_Odoo'!A2340="","",'Ordenes_Odoo'!A2340)</f>
        <v/>
      </c>
      <c r="B2340" s="80">
        <f>IF('Ordenes_Odoo'!B2340="","",'Ordenes_Odoo'!B2340)</f>
        <v/>
      </c>
      <c r="C2340" s="79">
        <f>IF('Ordenes_Odoo'!C2340="","",'Ordenes_Odoo'!C2340)</f>
        <v/>
      </c>
      <c r="D2340" s="79">
        <f>IF('Ordenes_Odoo'!D2340="","",'Ordenes_Odoo'!D2340)</f>
        <v/>
      </c>
      <c r="E2340" s="79">
        <f>IF('Ordenes_Odoo'!E2340="","",'Ordenes_Odoo'!E2340)</f>
        <v/>
      </c>
      <c r="F2340" s="79">
        <f>IF('Ordenes_Odoo'!F2340="","",'Ordenes_Odoo'!F2340)</f>
        <v/>
      </c>
      <c r="G2340" s="79">
        <f>IF('Ordenes_Odoo'!G2340="","",'Ordenes_Odoo'!G2340)</f>
        <v/>
      </c>
      <c r="H2340" s="79">
        <f>IF('Ordenes_Odoo'!H2340="","",'Ordenes_Odoo'!H2340)</f>
        <v/>
      </c>
      <c r="I2340" s="79">
        <f>IF('Ordenes_Odoo'!I2340="","",'Ordenes_Odoo'!I2340)</f>
        <v/>
      </c>
      <c r="J2340" s="79">
        <f>IF('Ordenes_Odoo'!J2340="","",'Ordenes_Odoo'!J2340)</f>
        <v/>
      </c>
      <c r="K2340" s="81">
        <f>IF('Ordenes_Odoo'!K2340="","",'Ordenes_Odoo'!K2340)</f>
        <v/>
      </c>
      <c r="L2340" s="81">
        <f>IF('Ordenes_Odoo'!L2340="","",'Ordenes_Odoo'!L2340)</f>
        <v/>
      </c>
      <c r="M2340" s="79">
        <f>IF('Ordenes_Odoo'!M2340="","",'Ordenes_Odoo'!M2340)</f>
        <v/>
      </c>
      <c r="N2340" s="79">
        <f>IF('Ordenes_Odoo'!N2340="","",'Ordenes_Odoo'!N2340)</f>
        <v/>
      </c>
      <c r="O2340" s="81">
        <f>IF('Ordenes_Odoo'!O2340="","",'Ordenes_Odoo'!O2340)</f>
        <v/>
      </c>
      <c r="P2340" s="81">
        <f>IF('Ordenes_Odoo'!P2340="","",'Ordenes_Odoo'!P2340)</f>
        <v/>
      </c>
      <c r="Q2340" s="79">
        <f>IF(A2340="","",IFERROR(INDEX(Facturas_Odoo!$B:$B, MATCH(A2340, Facturas_Odoo!$D:$D, 0)), "Sin Factura"))</f>
        <v/>
      </c>
      <c r="R2340" s="80">
        <f>IF(Q2340="Sin Factura","",IFERROR(INDEX(Facturas_Odoo!$A:$A, MATCH(Q2340, Facturas_Odoo!$B:$B, 0)), ""))</f>
        <v/>
      </c>
      <c r="S2340" s="79">
        <f>IF(Q2340="Sin Factura","",IFERROR(_xlfn.XLOOKUP(1, (Facturas_Odoo!$D:$D=A2340) * (Facturas_Odoo!$K:$K=I2340), Facturas_Odoo!$L:$L, ""), ""))</f>
        <v/>
      </c>
      <c r="T2340" s="81">
        <f>IF(Q2340="Sin Factura",0,IFERROR(_xlfn.XLOOKUP(1, (Facturas_Odoo!$D:$D=A2340) * (Facturas_Odoo!$K:$K=I2340), Facturas_Odoo!$M:$M, 0), 0))</f>
        <v/>
      </c>
      <c r="U2340" s="79">
        <f>IF(Q2340="Sin Factura",0,IFERROR(_xlfn.XLOOKUP(1, (Facturas_Odoo!$D:$D=A2340) * (Facturas_Odoo!$K:$K=I2340), Facturas_Odoo!$N:$N, 0), 0))</f>
        <v/>
      </c>
      <c r="V2340" s="79">
        <f>IF(Q2340="Sin Factura",0,IFERROR(_xlfn.XLOOKUP(1, (Facturas_Odoo!$D:$D=A2340) * (Facturas_Odoo!$K:$K=I2340), Facturas_Odoo!$O:$O, 0), 0))</f>
        <v/>
      </c>
      <c r="W2340" s="81">
        <f>IF(Q2340="Sin Factura",0,IFERROR(_xlfn.XLOOKUP(1, (Facturas_Odoo!$D:$D=A2340) * (Facturas_Odoo!$K:$K=I2340), Facturas_Odoo!$Q:$Q, 0), 0))</f>
        <v/>
      </c>
      <c r="X2340" s="79">
        <f>IF(OR(Q2340="Sin Factura",Q2340=""),"",IFERROR(INDEX(Pagos_Odoo!$B:$B, MATCH(Q2340, Pagos_Odoo!$I:$I, 0)), "Sin Pago"))</f>
        <v/>
      </c>
      <c r="Y2340" s="79">
        <f>IF(X2340="Sin Pago","",IFERROR(INDEX(Pagos_Odoo!$C:$C, MATCH(X2340, Pagos_Odoo!$B:$B, 0)), ""))</f>
        <v/>
      </c>
      <c r="Z2340" s="80">
        <f>IF(X2340="Sin Pago","",IFERROR(INDEX(Pagos_Odoo!$A:$A, MATCH(X2340, Pagos_Odoo!$B:$B, 0)), ""))</f>
        <v/>
      </c>
      <c r="AA2340" s="79">
        <f>IF(X2340="Sin Pago","",IFERROR(INDEX(Pagos_Odoo!$F:$F, MATCH(X2340, Pagos_Odoo!$B:$B, 0)), ""))</f>
        <v/>
      </c>
      <c r="AB2340" s="81">
        <f>IF(X2340="Sin Pago",0,IFERROR(INDEX(Pagos_Odoo!$E:$E, MATCH(X2340, Pagos_Odoo!$B:$B, 0)), 0))</f>
        <v/>
      </c>
      <c r="AC2340" s="79">
        <f>IF(X2340="Sin Pago","",IFERROR(INDEX(Pagos_Odoo!$G:$G, MATCH(X2340, Pagos_Odoo!$B:$B, 0)), ""))</f>
        <v/>
      </c>
      <c r="AD2340" s="82" t="n">
        <v>0</v>
      </c>
      <c r="AE2340" s="82" t="n"/>
      <c r="AF2340" s="82" t="n"/>
      <c r="AG2340" s="82">
        <f>IF(AN2340="","",AD2340+AE2340+AF2340)</f>
        <v/>
      </c>
      <c r="AH2340" s="81">
        <f>IF(AN2340="","",P2340*(1-AG2340))</f>
        <v/>
      </c>
      <c r="AI2340" s="81">
        <f>IF(AN2340="","",IF(Q2340="Sin Factura",0,IFERROR(INDEX(Facturas_Odoo!$H:$H, MATCH(Q2340, Facturas_Odoo!$B:$B, 0)), 0)*(1-AG2340)))</f>
        <v/>
      </c>
      <c r="AJ2340" s="81">
        <f>IF(AN2340="","",_xlfn.LET(idVenta, AN2340&amp;"",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40" s="81">
        <f>IF(AN2340="","",AH2340-AJ2340)</f>
        <v/>
      </c>
      <c r="AL2340" s="81">
        <f>IF(AN2340="","",IF(Q2340="Sin Factura","",AI2340-AJ2340))</f>
        <v/>
      </c>
      <c r="AM2340" s="81">
        <f>IF(AN2340="","",IF(Q2340="Sin Factura",0,P2340-IFERROR(INDEX(Facturas_Odoo!$H:$H, MATCH(Q2340, Facturas_Odoo!$B:$B, 0)), 0)))</f>
        <v/>
      </c>
      <c r="AN2340" s="79">
        <f>IF(AND(A2340="", J2340=""), "", IF(A2340&lt;&gt;"", VALUE(MID(A2340,2,LEN(A2340))), AN2339))</f>
        <v/>
      </c>
      <c r="AO2340" s="79">
        <f>IF(AN2340="","",IF(AD2340=0,"OK",_xlfn.LET(monedaPago, IF(AA2340="","USD",AA2340), limitePermitido, IFERROR(VLOOKUP(monedaPago, Configuración!$A$2:$B$3, 2, FALSE), 0.15), IF(AD2340&gt;limitePermitido, "ALERTA: EXCESO (" &amp; TEXT(limitePermitido, "0%") &amp; " máx)", "OK"))))</f>
        <v/>
      </c>
      <c r="AP2340" s="79">
        <f>IF(AN2340="","",IF(AE2340=0,"OK",_xlfn.LET(fechaPago, Z2340, fechaFactura, R2340, diasCredito, IF(E2340="Pago inmediato", 0, IFERROR(VALUE(MID(E2340, 1, SEARCH(" ", E2340)-1)),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40" s="79">
        <f>IF(AN2340="","",IF(AND(N2340&gt;0, AG2340&gt;0), IF(Configuración!$K$2="NO", "ALERTA: DESCUENTO DOBLE NO PERMITIDO", "OK"), "OK"))</f>
        <v/>
      </c>
      <c r="AR2340" s="79">
        <f>IF(AN2340="","",IF(OR(AO2340&lt;&gt;"OK", AP2340&lt;&gt;"OK", AQ2340&lt;&gt;"OK"), "⚠️ REVISAR", "OK"))</f>
        <v/>
      </c>
    </row>
    <row r="2341">
      <c r="A2341" s="79">
        <f>IF('Ordenes_Odoo'!A2341="","",'Ordenes_Odoo'!A2341)</f>
        <v/>
      </c>
      <c r="B2341" s="80">
        <f>IF('Ordenes_Odoo'!B2341="","",'Ordenes_Odoo'!B2341)</f>
        <v/>
      </c>
      <c r="C2341" s="79">
        <f>IF('Ordenes_Odoo'!C2341="","",'Ordenes_Odoo'!C2341)</f>
        <v/>
      </c>
      <c r="D2341" s="79">
        <f>IF('Ordenes_Odoo'!D2341="","",'Ordenes_Odoo'!D2341)</f>
        <v/>
      </c>
      <c r="E2341" s="79">
        <f>IF('Ordenes_Odoo'!E2341="","",'Ordenes_Odoo'!E2341)</f>
        <v/>
      </c>
      <c r="F2341" s="79">
        <f>IF('Ordenes_Odoo'!F2341="","",'Ordenes_Odoo'!F2341)</f>
        <v/>
      </c>
      <c r="G2341" s="79">
        <f>IF('Ordenes_Odoo'!G2341="","",'Ordenes_Odoo'!G2341)</f>
        <v/>
      </c>
      <c r="H2341" s="79">
        <f>IF('Ordenes_Odoo'!H2341="","",'Ordenes_Odoo'!H2341)</f>
        <v/>
      </c>
      <c r="I2341" s="79">
        <f>IF('Ordenes_Odoo'!I2341="","",'Ordenes_Odoo'!I2341)</f>
        <v/>
      </c>
      <c r="J2341" s="79">
        <f>IF('Ordenes_Odoo'!J2341="","",'Ordenes_Odoo'!J2341)</f>
        <v/>
      </c>
      <c r="K2341" s="81">
        <f>IF('Ordenes_Odoo'!K2341="","",'Ordenes_Odoo'!K2341)</f>
        <v/>
      </c>
      <c r="L2341" s="81">
        <f>IF('Ordenes_Odoo'!L2341="","",'Ordenes_Odoo'!L2341)</f>
        <v/>
      </c>
      <c r="M2341" s="79">
        <f>IF('Ordenes_Odoo'!M2341="","",'Ordenes_Odoo'!M2341)</f>
        <v/>
      </c>
      <c r="N2341" s="79">
        <f>IF('Ordenes_Odoo'!N2341="","",'Ordenes_Odoo'!N2341)</f>
        <v/>
      </c>
      <c r="O2341" s="81">
        <f>IF('Ordenes_Odoo'!O2341="","",'Ordenes_Odoo'!O2341)</f>
        <v/>
      </c>
      <c r="P2341" s="81">
        <f>IF('Ordenes_Odoo'!P2341="","",'Ordenes_Odoo'!P2341)</f>
        <v/>
      </c>
      <c r="Q2341" s="79">
        <f>IF(A2341="","",IFERROR(INDEX(Facturas_Odoo!$B:$B, MATCH(A2341, Facturas_Odoo!$D:$D, 0)), "Sin Factura"))</f>
        <v/>
      </c>
      <c r="R2341" s="80">
        <f>IF(Q2341="Sin Factura","",IFERROR(INDEX(Facturas_Odoo!$A:$A, MATCH(Q2341, Facturas_Odoo!$B:$B, 0)), ""))</f>
        <v/>
      </c>
      <c r="S2341" s="79">
        <f>IF(Q2341="Sin Factura","",IFERROR(_xlfn.XLOOKUP(1, (Facturas_Odoo!$D:$D=A2341) * (Facturas_Odoo!$K:$K=I2341), Facturas_Odoo!$L:$L, ""), ""))</f>
        <v/>
      </c>
      <c r="T2341" s="81">
        <f>IF(Q2341="Sin Factura",0,IFERROR(_xlfn.XLOOKUP(1, (Facturas_Odoo!$D:$D=A2341) * (Facturas_Odoo!$K:$K=I2341), Facturas_Odoo!$M:$M, 0), 0))</f>
        <v/>
      </c>
      <c r="U2341" s="79">
        <f>IF(Q2341="Sin Factura",0,IFERROR(_xlfn.XLOOKUP(1, (Facturas_Odoo!$D:$D=A2341) * (Facturas_Odoo!$K:$K=I2341), Facturas_Odoo!$N:$N, 0), 0))</f>
        <v/>
      </c>
      <c r="V2341" s="79">
        <f>IF(Q2341="Sin Factura",0,IFERROR(_xlfn.XLOOKUP(1, (Facturas_Odoo!$D:$D=A2341) * (Facturas_Odoo!$K:$K=I2341), Facturas_Odoo!$O:$O, 0), 0))</f>
        <v/>
      </c>
      <c r="W2341" s="81">
        <f>IF(Q2341="Sin Factura",0,IFERROR(_xlfn.XLOOKUP(1, (Facturas_Odoo!$D:$D=A2341) * (Facturas_Odoo!$K:$K=I2341), Facturas_Odoo!$Q:$Q, 0), 0))</f>
        <v/>
      </c>
      <c r="X2341" s="79">
        <f>IF(OR(Q2341="Sin Factura",Q2341=""),"",IFERROR(INDEX(Pagos_Odoo!$B:$B, MATCH(Q2341, Pagos_Odoo!$I:$I, 0)), "Sin Pago"))</f>
        <v/>
      </c>
      <c r="Y2341" s="79">
        <f>IF(X2341="Sin Pago","",IFERROR(INDEX(Pagos_Odoo!$C:$C, MATCH(X2341, Pagos_Odoo!$B:$B, 0)), ""))</f>
        <v/>
      </c>
      <c r="Z2341" s="80">
        <f>IF(X2341="Sin Pago","",IFERROR(INDEX(Pagos_Odoo!$A:$A, MATCH(X2341, Pagos_Odoo!$B:$B, 0)), ""))</f>
        <v/>
      </c>
      <c r="AA2341" s="79">
        <f>IF(X2341="Sin Pago","",IFERROR(INDEX(Pagos_Odoo!$F:$F, MATCH(X2341, Pagos_Odoo!$B:$B, 0)), ""))</f>
        <v/>
      </c>
      <c r="AB2341" s="81">
        <f>IF(X2341="Sin Pago",0,IFERROR(INDEX(Pagos_Odoo!$E:$E, MATCH(X2341, Pagos_Odoo!$B:$B, 0)), 0))</f>
        <v/>
      </c>
      <c r="AC2341" s="79">
        <f>IF(X2341="Sin Pago","",IFERROR(INDEX(Pagos_Odoo!$G:$G, MATCH(X2341, Pagos_Odoo!$B:$B, 0)), ""))</f>
        <v/>
      </c>
      <c r="AD2341" s="82" t="n">
        <v>0</v>
      </c>
      <c r="AE2341" s="82" t="n"/>
      <c r="AF2341" s="82" t="n"/>
      <c r="AG2341" s="82">
        <f>IF(AN2341="","",AD2341+AE2341+AF2341)</f>
        <v/>
      </c>
      <c r="AH2341" s="81">
        <f>IF(AN2341="","",P2341*(1-AG2341))</f>
        <v/>
      </c>
      <c r="AI2341" s="81">
        <f>IF(AN2341="","",IF(Q2341="Sin Factura",0,IFERROR(INDEX(Facturas_Odoo!$H:$H, MATCH(Q2341, Facturas_Odoo!$B:$B, 0)), 0)*(1-AG2341)))</f>
        <v/>
      </c>
      <c r="AJ2341" s="81">
        <f>IF(AN2341="","",_xlfn.LET(idVenta, AN2341&amp;"",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41" s="81">
        <f>IF(AN2341="","",AH2341-AJ2341)</f>
        <v/>
      </c>
      <c r="AL2341" s="81">
        <f>IF(AN2341="","",IF(Q2341="Sin Factura","",AI2341-AJ2341))</f>
        <v/>
      </c>
      <c r="AM2341" s="81">
        <f>IF(AN2341="","",IF(Q2341="Sin Factura",0,P2341-IFERROR(INDEX(Facturas_Odoo!$H:$H, MATCH(Q2341, Facturas_Odoo!$B:$B, 0)), 0)))</f>
        <v/>
      </c>
      <c r="AN2341" s="79">
        <f>IF(AND(A2341="", J2341=""), "", IF(A2341&lt;&gt;"", VALUE(MID(A2341,2,LEN(A2341))), AN2340))</f>
        <v/>
      </c>
      <c r="AO2341" s="79">
        <f>IF(AN2341="","",IF(AD2341=0,"OK",_xlfn.LET(monedaPago, IF(AA2341="","USD",AA2341), limitePermitido, IFERROR(VLOOKUP(monedaPago, Configuración!$A$2:$B$3, 2, FALSE), 0.15), IF(AD2341&gt;limitePermitido, "ALERTA: EXCESO (" &amp; TEXT(limitePermitido, "0%") &amp; " máx)", "OK"))))</f>
        <v/>
      </c>
      <c r="AP2341" s="79">
        <f>IF(AN2341="","",IF(AE2341=0,"OK",_xlfn.LET(fechaPago, Z2341, fechaFactura, R2341, diasCredito, IF(E2341="Pago inmediato", 0, IFERROR(VALUE(MID(E2341, 1, SEARCH(" ", E2341)-1)),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41" s="79">
        <f>IF(AN2341="","",IF(AND(N2341&gt;0, AG2341&gt;0), IF(Configuración!$K$2="NO", "ALERTA: DESCUENTO DOBLE NO PERMITIDO", "OK"), "OK"))</f>
        <v/>
      </c>
      <c r="AR2341" s="79">
        <f>IF(AN2341="","",IF(OR(AO2341&lt;&gt;"OK", AP2341&lt;&gt;"OK", AQ2341&lt;&gt;"OK"), "⚠️ REVISAR", "OK"))</f>
        <v/>
      </c>
    </row>
    <row r="2342">
      <c r="A2342" s="79">
        <f>IF('Ordenes_Odoo'!A2342="","",'Ordenes_Odoo'!A2342)</f>
        <v/>
      </c>
      <c r="B2342" s="80">
        <f>IF('Ordenes_Odoo'!B2342="","",'Ordenes_Odoo'!B2342)</f>
        <v/>
      </c>
      <c r="C2342" s="79">
        <f>IF('Ordenes_Odoo'!C2342="","",'Ordenes_Odoo'!C2342)</f>
        <v/>
      </c>
      <c r="D2342" s="79">
        <f>IF('Ordenes_Odoo'!D2342="","",'Ordenes_Odoo'!D2342)</f>
        <v/>
      </c>
      <c r="E2342" s="79">
        <f>IF('Ordenes_Odoo'!E2342="","",'Ordenes_Odoo'!E2342)</f>
        <v/>
      </c>
      <c r="F2342" s="79">
        <f>IF('Ordenes_Odoo'!F2342="","",'Ordenes_Odoo'!F2342)</f>
        <v/>
      </c>
      <c r="G2342" s="79">
        <f>IF('Ordenes_Odoo'!G2342="","",'Ordenes_Odoo'!G2342)</f>
        <v/>
      </c>
      <c r="H2342" s="79">
        <f>IF('Ordenes_Odoo'!H2342="","",'Ordenes_Odoo'!H2342)</f>
        <v/>
      </c>
      <c r="I2342" s="79">
        <f>IF('Ordenes_Odoo'!I2342="","",'Ordenes_Odoo'!I2342)</f>
        <v/>
      </c>
      <c r="J2342" s="79">
        <f>IF('Ordenes_Odoo'!J2342="","",'Ordenes_Odoo'!J2342)</f>
        <v/>
      </c>
      <c r="K2342" s="81">
        <f>IF('Ordenes_Odoo'!K2342="","",'Ordenes_Odoo'!K2342)</f>
        <v/>
      </c>
      <c r="L2342" s="81">
        <f>IF('Ordenes_Odoo'!L2342="","",'Ordenes_Odoo'!L2342)</f>
        <v/>
      </c>
      <c r="M2342" s="79">
        <f>IF('Ordenes_Odoo'!M2342="","",'Ordenes_Odoo'!M2342)</f>
        <v/>
      </c>
      <c r="N2342" s="79">
        <f>IF('Ordenes_Odoo'!N2342="","",'Ordenes_Odoo'!N2342)</f>
        <v/>
      </c>
      <c r="O2342" s="81">
        <f>IF('Ordenes_Odoo'!O2342="","",'Ordenes_Odoo'!O2342)</f>
        <v/>
      </c>
      <c r="P2342" s="81">
        <f>IF('Ordenes_Odoo'!P2342="","",'Ordenes_Odoo'!P2342)</f>
        <v/>
      </c>
      <c r="Q2342" s="79">
        <f>IF(A2342="","",IFERROR(INDEX(Facturas_Odoo!$B:$B, MATCH(A2342, Facturas_Odoo!$D:$D, 0)), "Sin Factura"))</f>
        <v/>
      </c>
      <c r="R2342" s="80">
        <f>IF(Q2342="Sin Factura","",IFERROR(INDEX(Facturas_Odoo!$A:$A, MATCH(Q2342, Facturas_Odoo!$B:$B, 0)), ""))</f>
        <v/>
      </c>
      <c r="S2342" s="79">
        <f>IF(Q2342="Sin Factura","",IFERROR(_xlfn.XLOOKUP(1, (Facturas_Odoo!$D:$D=A2342) * (Facturas_Odoo!$K:$K=I2342), Facturas_Odoo!$L:$L, ""), ""))</f>
        <v/>
      </c>
      <c r="T2342" s="81">
        <f>IF(Q2342="Sin Factura",0,IFERROR(_xlfn.XLOOKUP(1, (Facturas_Odoo!$D:$D=A2342) * (Facturas_Odoo!$K:$K=I2342), Facturas_Odoo!$M:$M, 0), 0))</f>
        <v/>
      </c>
      <c r="U2342" s="79">
        <f>IF(Q2342="Sin Factura",0,IFERROR(_xlfn.XLOOKUP(1, (Facturas_Odoo!$D:$D=A2342) * (Facturas_Odoo!$K:$K=I2342), Facturas_Odoo!$N:$N, 0), 0))</f>
        <v/>
      </c>
      <c r="V2342" s="79">
        <f>IF(Q2342="Sin Factura",0,IFERROR(_xlfn.XLOOKUP(1, (Facturas_Odoo!$D:$D=A2342) * (Facturas_Odoo!$K:$K=I2342), Facturas_Odoo!$O:$O, 0), 0))</f>
        <v/>
      </c>
      <c r="W2342" s="81">
        <f>IF(Q2342="Sin Factura",0,IFERROR(_xlfn.XLOOKUP(1, (Facturas_Odoo!$D:$D=A2342) * (Facturas_Odoo!$K:$K=I2342), Facturas_Odoo!$Q:$Q, 0), 0))</f>
        <v/>
      </c>
      <c r="X2342" s="79">
        <f>IF(OR(Q2342="Sin Factura",Q2342=""),"",IFERROR(INDEX(Pagos_Odoo!$B:$B, MATCH(Q2342, Pagos_Odoo!$I:$I, 0)), "Sin Pago"))</f>
        <v/>
      </c>
      <c r="Y2342" s="79">
        <f>IF(X2342="Sin Pago","",IFERROR(INDEX(Pagos_Odoo!$C:$C, MATCH(X2342, Pagos_Odoo!$B:$B, 0)), ""))</f>
        <v/>
      </c>
      <c r="Z2342" s="80">
        <f>IF(X2342="Sin Pago","",IFERROR(INDEX(Pagos_Odoo!$A:$A, MATCH(X2342, Pagos_Odoo!$B:$B, 0)), ""))</f>
        <v/>
      </c>
      <c r="AA2342" s="79">
        <f>IF(X2342="Sin Pago","",IFERROR(INDEX(Pagos_Odoo!$F:$F, MATCH(X2342, Pagos_Odoo!$B:$B, 0)), ""))</f>
        <v/>
      </c>
      <c r="AB2342" s="81">
        <f>IF(X2342="Sin Pago",0,IFERROR(INDEX(Pagos_Odoo!$E:$E, MATCH(X2342, Pagos_Odoo!$B:$B, 0)), 0))</f>
        <v/>
      </c>
      <c r="AC2342" s="79">
        <f>IF(X2342="Sin Pago","",IFERROR(INDEX(Pagos_Odoo!$G:$G, MATCH(X2342, Pagos_Odoo!$B:$B, 0)), ""))</f>
        <v/>
      </c>
      <c r="AD2342" s="82" t="n">
        <v>0</v>
      </c>
      <c r="AE2342" s="82" t="n"/>
      <c r="AF2342" s="82" t="n"/>
      <c r="AG2342" s="82">
        <f>IF(AN2342="","",AD2342+AE2342+AF2342)</f>
        <v/>
      </c>
      <c r="AH2342" s="81">
        <f>IF(AN2342="","",P2342*(1-AG2342))</f>
        <v/>
      </c>
      <c r="AI2342" s="81">
        <f>IF(AN2342="","",IF(Q2342="Sin Factura",0,IFERROR(INDEX(Facturas_Odoo!$H:$H, MATCH(Q2342, Facturas_Odoo!$B:$B, 0)), 0)*(1-AG2342)))</f>
        <v/>
      </c>
      <c r="AJ2342" s="81">
        <f>IF(AN2342="","",_xlfn.LET(idVenta, AN2342&amp;"",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42" s="81">
        <f>IF(AN2342="","",AH2342-AJ2342)</f>
        <v/>
      </c>
      <c r="AL2342" s="81">
        <f>IF(AN2342="","",IF(Q2342="Sin Factura","",AI2342-AJ2342))</f>
        <v/>
      </c>
      <c r="AM2342" s="81">
        <f>IF(AN2342="","",IF(Q2342="Sin Factura",0,P2342-IFERROR(INDEX(Facturas_Odoo!$H:$H, MATCH(Q2342, Facturas_Odoo!$B:$B, 0)), 0)))</f>
        <v/>
      </c>
      <c r="AN2342" s="79">
        <f>IF(AND(A2342="", J2342=""), "", IF(A2342&lt;&gt;"", VALUE(MID(A2342,2,LEN(A2342))), AN2341))</f>
        <v/>
      </c>
      <c r="AO2342" s="79">
        <f>IF(AN2342="","",IF(AD2342=0,"OK",_xlfn.LET(monedaPago, IF(AA2342="","USD",AA2342), limitePermitido, IFERROR(VLOOKUP(monedaPago, Configuración!$A$2:$B$3, 2, FALSE), 0.15), IF(AD2342&gt;limitePermitido, "ALERTA: EXCESO (" &amp; TEXT(limitePermitido, "0%") &amp; " máx)", "OK"))))</f>
        <v/>
      </c>
      <c r="AP2342" s="79">
        <f>IF(AN2342="","",IF(AE2342=0,"OK",_xlfn.LET(fechaPago, Z2342, fechaFactura, R2342, diasCredito, IF(E2342="Pago inmediato", 0, IFERROR(VALUE(MID(E2342, 1, SEARCH(" ", E2342)-1)),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42" s="79">
        <f>IF(AN2342="","",IF(AND(N2342&gt;0, AG2342&gt;0), IF(Configuración!$K$2="NO", "ALERTA: DESCUENTO DOBLE NO PERMITIDO", "OK"), "OK"))</f>
        <v/>
      </c>
      <c r="AR2342" s="79">
        <f>IF(AN2342="","",IF(OR(AO2342&lt;&gt;"OK", AP2342&lt;&gt;"OK", AQ2342&lt;&gt;"OK"), "⚠️ REVISAR", "OK"))</f>
        <v/>
      </c>
    </row>
    <row r="2343">
      <c r="A2343" s="79">
        <f>IF('Ordenes_Odoo'!A2343="","",'Ordenes_Odoo'!A2343)</f>
        <v/>
      </c>
      <c r="B2343" s="80">
        <f>IF('Ordenes_Odoo'!B2343="","",'Ordenes_Odoo'!B2343)</f>
        <v/>
      </c>
      <c r="C2343" s="79">
        <f>IF('Ordenes_Odoo'!C2343="","",'Ordenes_Odoo'!C2343)</f>
        <v/>
      </c>
      <c r="D2343" s="79">
        <f>IF('Ordenes_Odoo'!D2343="","",'Ordenes_Odoo'!D2343)</f>
        <v/>
      </c>
      <c r="E2343" s="79">
        <f>IF('Ordenes_Odoo'!E2343="","",'Ordenes_Odoo'!E2343)</f>
        <v/>
      </c>
      <c r="F2343" s="79">
        <f>IF('Ordenes_Odoo'!F2343="","",'Ordenes_Odoo'!F2343)</f>
        <v/>
      </c>
      <c r="G2343" s="79">
        <f>IF('Ordenes_Odoo'!G2343="","",'Ordenes_Odoo'!G2343)</f>
        <v/>
      </c>
      <c r="H2343" s="79">
        <f>IF('Ordenes_Odoo'!H2343="","",'Ordenes_Odoo'!H2343)</f>
        <v/>
      </c>
      <c r="I2343" s="79">
        <f>IF('Ordenes_Odoo'!I2343="","",'Ordenes_Odoo'!I2343)</f>
        <v/>
      </c>
      <c r="J2343" s="79">
        <f>IF('Ordenes_Odoo'!J2343="","",'Ordenes_Odoo'!J2343)</f>
        <v/>
      </c>
      <c r="K2343" s="81">
        <f>IF('Ordenes_Odoo'!K2343="","",'Ordenes_Odoo'!K2343)</f>
        <v/>
      </c>
      <c r="L2343" s="81">
        <f>IF('Ordenes_Odoo'!L2343="","",'Ordenes_Odoo'!L2343)</f>
        <v/>
      </c>
      <c r="M2343" s="79">
        <f>IF('Ordenes_Odoo'!M2343="","",'Ordenes_Odoo'!M2343)</f>
        <v/>
      </c>
      <c r="N2343" s="79">
        <f>IF('Ordenes_Odoo'!N2343="","",'Ordenes_Odoo'!N2343)</f>
        <v/>
      </c>
      <c r="O2343" s="81">
        <f>IF('Ordenes_Odoo'!O2343="","",'Ordenes_Odoo'!O2343)</f>
        <v/>
      </c>
      <c r="P2343" s="81">
        <f>IF('Ordenes_Odoo'!P2343="","",'Ordenes_Odoo'!P2343)</f>
        <v/>
      </c>
      <c r="Q2343" s="79">
        <f>IF(A2343="","",IFERROR(INDEX(Facturas_Odoo!$B:$B, MATCH(A2343, Facturas_Odoo!$D:$D, 0)), "Sin Factura"))</f>
        <v/>
      </c>
      <c r="R2343" s="80">
        <f>IF(Q2343="Sin Factura","",IFERROR(INDEX(Facturas_Odoo!$A:$A, MATCH(Q2343, Facturas_Odoo!$B:$B, 0)), ""))</f>
        <v/>
      </c>
      <c r="S2343" s="79">
        <f>IF(Q2343="Sin Factura","",IFERROR(_xlfn.XLOOKUP(1, (Facturas_Odoo!$D:$D=A2343) * (Facturas_Odoo!$K:$K=I2343), Facturas_Odoo!$L:$L, ""), ""))</f>
        <v/>
      </c>
      <c r="T2343" s="81">
        <f>IF(Q2343="Sin Factura",0,IFERROR(_xlfn.XLOOKUP(1, (Facturas_Odoo!$D:$D=A2343) * (Facturas_Odoo!$K:$K=I2343), Facturas_Odoo!$M:$M, 0), 0))</f>
        <v/>
      </c>
      <c r="U2343" s="79">
        <f>IF(Q2343="Sin Factura",0,IFERROR(_xlfn.XLOOKUP(1, (Facturas_Odoo!$D:$D=A2343) * (Facturas_Odoo!$K:$K=I2343), Facturas_Odoo!$N:$N, 0), 0))</f>
        <v/>
      </c>
      <c r="V2343" s="79">
        <f>IF(Q2343="Sin Factura",0,IFERROR(_xlfn.XLOOKUP(1, (Facturas_Odoo!$D:$D=A2343) * (Facturas_Odoo!$K:$K=I2343), Facturas_Odoo!$O:$O, 0), 0))</f>
        <v/>
      </c>
      <c r="W2343" s="81">
        <f>IF(Q2343="Sin Factura",0,IFERROR(_xlfn.XLOOKUP(1, (Facturas_Odoo!$D:$D=A2343) * (Facturas_Odoo!$K:$K=I2343), Facturas_Odoo!$Q:$Q, 0), 0))</f>
        <v/>
      </c>
      <c r="X2343" s="79">
        <f>IF(OR(Q2343="Sin Factura",Q2343=""),"",IFERROR(INDEX(Pagos_Odoo!$B:$B, MATCH(Q2343, Pagos_Odoo!$I:$I, 0)), "Sin Pago"))</f>
        <v/>
      </c>
      <c r="Y2343" s="79">
        <f>IF(X2343="Sin Pago","",IFERROR(INDEX(Pagos_Odoo!$C:$C, MATCH(X2343, Pagos_Odoo!$B:$B, 0)), ""))</f>
        <v/>
      </c>
      <c r="Z2343" s="80">
        <f>IF(X2343="Sin Pago","",IFERROR(INDEX(Pagos_Odoo!$A:$A, MATCH(X2343, Pagos_Odoo!$B:$B, 0)), ""))</f>
        <v/>
      </c>
      <c r="AA2343" s="79">
        <f>IF(X2343="Sin Pago","",IFERROR(INDEX(Pagos_Odoo!$F:$F, MATCH(X2343, Pagos_Odoo!$B:$B, 0)), ""))</f>
        <v/>
      </c>
      <c r="AB2343" s="81">
        <f>IF(X2343="Sin Pago",0,IFERROR(INDEX(Pagos_Odoo!$E:$E, MATCH(X2343, Pagos_Odoo!$B:$B, 0)), 0))</f>
        <v/>
      </c>
      <c r="AC2343" s="79">
        <f>IF(X2343="Sin Pago","",IFERROR(INDEX(Pagos_Odoo!$G:$G, MATCH(X2343, Pagos_Odoo!$B:$B, 0)), ""))</f>
        <v/>
      </c>
      <c r="AD2343" s="82" t="n">
        <v>0</v>
      </c>
      <c r="AE2343" s="82" t="n"/>
      <c r="AF2343" s="82" t="n"/>
      <c r="AG2343" s="82">
        <f>IF(AN2343="","",AD2343+AE2343+AF2343)</f>
        <v/>
      </c>
      <c r="AH2343" s="81">
        <f>IF(AN2343="","",P2343*(1-AG2343))</f>
        <v/>
      </c>
      <c r="AI2343" s="81">
        <f>IF(AN2343="","",IF(Q2343="Sin Factura",0,IFERROR(INDEX(Facturas_Odoo!$H:$H, MATCH(Q2343, Facturas_Odoo!$B:$B, 0)), 0)*(1-AG2343)))</f>
        <v/>
      </c>
      <c r="AJ2343" s="81">
        <f>IF(AN2343="","",_xlfn.LET(idVenta, AN2343&amp;"",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43" s="81">
        <f>IF(AN2343="","",AH2343-AJ2343)</f>
        <v/>
      </c>
      <c r="AL2343" s="81">
        <f>IF(AN2343="","",IF(Q2343="Sin Factura","",AI2343-AJ2343))</f>
        <v/>
      </c>
      <c r="AM2343" s="81">
        <f>IF(AN2343="","",IF(Q2343="Sin Factura",0,P2343-IFERROR(INDEX(Facturas_Odoo!$H:$H, MATCH(Q2343, Facturas_Odoo!$B:$B, 0)), 0)))</f>
        <v/>
      </c>
      <c r="AN2343" s="79">
        <f>IF(AND(A2343="", J2343=""), "", IF(A2343&lt;&gt;"", VALUE(MID(A2343,2,LEN(A2343))), AN2342))</f>
        <v/>
      </c>
      <c r="AO2343" s="79">
        <f>IF(AN2343="","",IF(AD2343=0,"OK",_xlfn.LET(monedaPago, IF(AA2343="","USD",AA2343), limitePermitido, IFERROR(VLOOKUP(monedaPago, Configuración!$A$2:$B$3, 2, FALSE), 0.15), IF(AD2343&gt;limitePermitido, "ALERTA: EXCESO (" &amp; TEXT(limitePermitido, "0%") &amp; " máx)", "OK"))))</f>
        <v/>
      </c>
      <c r="AP2343" s="79">
        <f>IF(AN2343="","",IF(AE2343=0,"OK",_xlfn.LET(fechaPago, Z2343, fechaFactura, R2343, diasCredito, IF(E2343="Pago inmediato", 0, IFERROR(VALUE(MID(E2343, 1, SEARCH(" ", E2343)-1)),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43" s="79">
        <f>IF(AN2343="","",IF(AND(N2343&gt;0, AG2343&gt;0), IF(Configuración!$K$2="NO", "ALERTA: DESCUENTO DOBLE NO PERMITIDO", "OK"), "OK"))</f>
        <v/>
      </c>
      <c r="AR2343" s="79">
        <f>IF(AN2343="","",IF(OR(AO2343&lt;&gt;"OK", AP2343&lt;&gt;"OK", AQ2343&lt;&gt;"OK"), "⚠️ REVISAR", "OK"))</f>
        <v/>
      </c>
    </row>
    <row r="2344">
      <c r="A2344" s="79">
        <f>IF('Ordenes_Odoo'!A2344="","",'Ordenes_Odoo'!A2344)</f>
        <v/>
      </c>
      <c r="B2344" s="80">
        <f>IF('Ordenes_Odoo'!B2344="","",'Ordenes_Odoo'!B2344)</f>
        <v/>
      </c>
      <c r="C2344" s="79">
        <f>IF('Ordenes_Odoo'!C2344="","",'Ordenes_Odoo'!C2344)</f>
        <v/>
      </c>
      <c r="D2344" s="79">
        <f>IF('Ordenes_Odoo'!D2344="","",'Ordenes_Odoo'!D2344)</f>
        <v/>
      </c>
      <c r="E2344" s="79">
        <f>IF('Ordenes_Odoo'!E2344="","",'Ordenes_Odoo'!E2344)</f>
        <v/>
      </c>
      <c r="F2344" s="79">
        <f>IF('Ordenes_Odoo'!F2344="","",'Ordenes_Odoo'!F2344)</f>
        <v/>
      </c>
      <c r="G2344" s="79">
        <f>IF('Ordenes_Odoo'!G2344="","",'Ordenes_Odoo'!G2344)</f>
        <v/>
      </c>
      <c r="H2344" s="79">
        <f>IF('Ordenes_Odoo'!H2344="","",'Ordenes_Odoo'!H2344)</f>
        <v/>
      </c>
      <c r="I2344" s="79">
        <f>IF('Ordenes_Odoo'!I2344="","",'Ordenes_Odoo'!I2344)</f>
        <v/>
      </c>
      <c r="J2344" s="79">
        <f>IF('Ordenes_Odoo'!J2344="","",'Ordenes_Odoo'!J2344)</f>
        <v/>
      </c>
      <c r="K2344" s="81">
        <f>IF('Ordenes_Odoo'!K2344="","",'Ordenes_Odoo'!K2344)</f>
        <v/>
      </c>
      <c r="L2344" s="81">
        <f>IF('Ordenes_Odoo'!L2344="","",'Ordenes_Odoo'!L2344)</f>
        <v/>
      </c>
      <c r="M2344" s="79">
        <f>IF('Ordenes_Odoo'!M2344="","",'Ordenes_Odoo'!M2344)</f>
        <v/>
      </c>
      <c r="N2344" s="79">
        <f>IF('Ordenes_Odoo'!N2344="","",'Ordenes_Odoo'!N2344)</f>
        <v/>
      </c>
      <c r="O2344" s="81">
        <f>IF('Ordenes_Odoo'!O2344="","",'Ordenes_Odoo'!O2344)</f>
        <v/>
      </c>
      <c r="P2344" s="81">
        <f>IF('Ordenes_Odoo'!P2344="","",'Ordenes_Odoo'!P2344)</f>
        <v/>
      </c>
      <c r="Q2344" s="79">
        <f>IF(A2344="","",IFERROR(INDEX(Facturas_Odoo!$B:$B, MATCH(A2344, Facturas_Odoo!$D:$D, 0)), "Sin Factura"))</f>
        <v/>
      </c>
      <c r="R2344" s="80">
        <f>IF(Q2344="Sin Factura","",IFERROR(INDEX(Facturas_Odoo!$A:$A, MATCH(Q2344, Facturas_Odoo!$B:$B, 0)), ""))</f>
        <v/>
      </c>
      <c r="S2344" s="79">
        <f>IF(Q2344="Sin Factura","",IFERROR(_xlfn.XLOOKUP(1, (Facturas_Odoo!$D:$D=A2344) * (Facturas_Odoo!$K:$K=I2344), Facturas_Odoo!$L:$L, ""), ""))</f>
        <v/>
      </c>
      <c r="T2344" s="81">
        <f>IF(Q2344="Sin Factura",0,IFERROR(_xlfn.XLOOKUP(1, (Facturas_Odoo!$D:$D=A2344) * (Facturas_Odoo!$K:$K=I2344), Facturas_Odoo!$M:$M, 0), 0))</f>
        <v/>
      </c>
      <c r="U2344" s="79">
        <f>IF(Q2344="Sin Factura",0,IFERROR(_xlfn.XLOOKUP(1, (Facturas_Odoo!$D:$D=A2344) * (Facturas_Odoo!$K:$K=I2344), Facturas_Odoo!$N:$N, 0), 0))</f>
        <v/>
      </c>
      <c r="V2344" s="79">
        <f>IF(Q2344="Sin Factura",0,IFERROR(_xlfn.XLOOKUP(1, (Facturas_Odoo!$D:$D=A2344) * (Facturas_Odoo!$K:$K=I2344), Facturas_Odoo!$O:$O, 0), 0))</f>
        <v/>
      </c>
      <c r="W2344" s="81">
        <f>IF(Q2344="Sin Factura",0,IFERROR(_xlfn.XLOOKUP(1, (Facturas_Odoo!$D:$D=A2344) * (Facturas_Odoo!$K:$K=I2344), Facturas_Odoo!$Q:$Q, 0), 0))</f>
        <v/>
      </c>
      <c r="X2344" s="79">
        <f>IF(OR(Q2344="Sin Factura",Q2344=""),"",IFERROR(INDEX(Pagos_Odoo!$B:$B, MATCH(Q2344, Pagos_Odoo!$I:$I, 0)), "Sin Pago"))</f>
        <v/>
      </c>
      <c r="Y2344" s="79">
        <f>IF(X2344="Sin Pago","",IFERROR(INDEX(Pagos_Odoo!$C:$C, MATCH(X2344, Pagos_Odoo!$B:$B, 0)), ""))</f>
        <v/>
      </c>
      <c r="Z2344" s="80">
        <f>IF(X2344="Sin Pago","",IFERROR(INDEX(Pagos_Odoo!$A:$A, MATCH(X2344, Pagos_Odoo!$B:$B, 0)), ""))</f>
        <v/>
      </c>
      <c r="AA2344" s="79">
        <f>IF(X2344="Sin Pago","",IFERROR(INDEX(Pagos_Odoo!$F:$F, MATCH(X2344, Pagos_Odoo!$B:$B, 0)), ""))</f>
        <v/>
      </c>
      <c r="AB2344" s="81">
        <f>IF(X2344="Sin Pago",0,IFERROR(INDEX(Pagos_Odoo!$E:$E, MATCH(X2344, Pagos_Odoo!$B:$B, 0)), 0))</f>
        <v/>
      </c>
      <c r="AC2344" s="79">
        <f>IF(X2344="Sin Pago","",IFERROR(INDEX(Pagos_Odoo!$G:$G, MATCH(X2344, Pagos_Odoo!$B:$B, 0)), ""))</f>
        <v/>
      </c>
      <c r="AD2344" s="82" t="n">
        <v>0</v>
      </c>
      <c r="AE2344" s="82" t="n"/>
      <c r="AF2344" s="82" t="n"/>
      <c r="AG2344" s="82">
        <f>IF(AN2344="","",AD2344+AE2344+AF2344)</f>
        <v/>
      </c>
      <c r="AH2344" s="81">
        <f>IF(AN2344="","",P2344*(1-AG2344))</f>
        <v/>
      </c>
      <c r="AI2344" s="81">
        <f>IF(AN2344="","",IF(Q2344="Sin Factura",0,IFERROR(INDEX(Facturas_Odoo!$H:$H, MATCH(Q2344, Facturas_Odoo!$B:$B, 0)), 0)*(1-AG2344)))</f>
        <v/>
      </c>
      <c r="AJ2344" s="81">
        <f>IF(AN2344="","",_xlfn.LET(idVenta, AN2344&amp;"",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44" s="81">
        <f>IF(AN2344="","",AH2344-AJ2344)</f>
        <v/>
      </c>
      <c r="AL2344" s="81">
        <f>IF(AN2344="","",IF(Q2344="Sin Factura","",AI2344-AJ2344))</f>
        <v/>
      </c>
      <c r="AM2344" s="81">
        <f>IF(AN2344="","",IF(Q2344="Sin Factura",0,P2344-IFERROR(INDEX(Facturas_Odoo!$H:$H, MATCH(Q2344, Facturas_Odoo!$B:$B, 0)), 0)))</f>
        <v/>
      </c>
      <c r="AN2344" s="79">
        <f>IF(AND(A2344="", J2344=""), "", IF(A2344&lt;&gt;"", VALUE(MID(A2344,2,LEN(A2344))), AN2343))</f>
        <v/>
      </c>
      <c r="AO2344" s="79">
        <f>IF(AN2344="","",IF(AD2344=0,"OK",_xlfn.LET(monedaPago, IF(AA2344="","USD",AA2344), limitePermitido, IFERROR(VLOOKUP(monedaPago, Configuración!$A$2:$B$3, 2, FALSE), 0.15), IF(AD2344&gt;limitePermitido, "ALERTA: EXCESO (" &amp; TEXT(limitePermitido, "0%") &amp; " máx)", "OK"))))</f>
        <v/>
      </c>
      <c r="AP2344" s="79">
        <f>IF(AN2344="","",IF(AE2344=0,"OK",_xlfn.LET(fechaPago, Z2344, fechaFactura, R2344, diasCredito, IF(E2344="Pago inmediato", 0, IFERROR(VALUE(MID(E2344, 1, SEARCH(" ", E2344)-1)),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44" s="79">
        <f>IF(AN2344="","",IF(AND(N2344&gt;0, AG2344&gt;0), IF(Configuración!$K$2="NO", "ALERTA: DESCUENTO DOBLE NO PERMITIDO", "OK"), "OK"))</f>
        <v/>
      </c>
      <c r="AR2344" s="79">
        <f>IF(AN2344="","",IF(OR(AO2344&lt;&gt;"OK", AP2344&lt;&gt;"OK", AQ2344&lt;&gt;"OK"), "⚠️ REVISAR", "OK"))</f>
        <v/>
      </c>
    </row>
    <row r="2345">
      <c r="A2345" s="79">
        <f>IF('Ordenes_Odoo'!A2345="","",'Ordenes_Odoo'!A2345)</f>
        <v/>
      </c>
      <c r="B2345" s="80">
        <f>IF('Ordenes_Odoo'!B2345="","",'Ordenes_Odoo'!B2345)</f>
        <v/>
      </c>
      <c r="C2345" s="79">
        <f>IF('Ordenes_Odoo'!C2345="","",'Ordenes_Odoo'!C2345)</f>
        <v/>
      </c>
      <c r="D2345" s="79">
        <f>IF('Ordenes_Odoo'!D2345="","",'Ordenes_Odoo'!D2345)</f>
        <v/>
      </c>
      <c r="E2345" s="79">
        <f>IF('Ordenes_Odoo'!E2345="","",'Ordenes_Odoo'!E2345)</f>
        <v/>
      </c>
      <c r="F2345" s="79">
        <f>IF('Ordenes_Odoo'!F2345="","",'Ordenes_Odoo'!F2345)</f>
        <v/>
      </c>
      <c r="G2345" s="79">
        <f>IF('Ordenes_Odoo'!G2345="","",'Ordenes_Odoo'!G2345)</f>
        <v/>
      </c>
      <c r="H2345" s="79">
        <f>IF('Ordenes_Odoo'!H2345="","",'Ordenes_Odoo'!H2345)</f>
        <v/>
      </c>
      <c r="I2345" s="79">
        <f>IF('Ordenes_Odoo'!I2345="","",'Ordenes_Odoo'!I2345)</f>
        <v/>
      </c>
      <c r="J2345" s="79">
        <f>IF('Ordenes_Odoo'!J2345="","",'Ordenes_Odoo'!J2345)</f>
        <v/>
      </c>
      <c r="K2345" s="81">
        <f>IF('Ordenes_Odoo'!K2345="","",'Ordenes_Odoo'!K2345)</f>
        <v/>
      </c>
      <c r="L2345" s="81">
        <f>IF('Ordenes_Odoo'!L2345="","",'Ordenes_Odoo'!L2345)</f>
        <v/>
      </c>
      <c r="M2345" s="79">
        <f>IF('Ordenes_Odoo'!M2345="","",'Ordenes_Odoo'!M2345)</f>
        <v/>
      </c>
      <c r="N2345" s="79">
        <f>IF('Ordenes_Odoo'!N2345="","",'Ordenes_Odoo'!N2345)</f>
        <v/>
      </c>
      <c r="O2345" s="81">
        <f>IF('Ordenes_Odoo'!O2345="","",'Ordenes_Odoo'!O2345)</f>
        <v/>
      </c>
      <c r="P2345" s="81">
        <f>IF('Ordenes_Odoo'!P2345="","",'Ordenes_Odoo'!P2345)</f>
        <v/>
      </c>
      <c r="Q2345" s="79">
        <f>IF(A2345="","",IFERROR(INDEX(Facturas_Odoo!$B:$B, MATCH(A2345, Facturas_Odoo!$D:$D, 0)), "Sin Factura"))</f>
        <v/>
      </c>
      <c r="R2345" s="80">
        <f>IF(Q2345="Sin Factura","",IFERROR(INDEX(Facturas_Odoo!$A:$A, MATCH(Q2345, Facturas_Odoo!$B:$B, 0)), ""))</f>
        <v/>
      </c>
      <c r="S2345" s="79">
        <f>IF(Q2345="Sin Factura","",IFERROR(_xlfn.XLOOKUP(1, (Facturas_Odoo!$D:$D=A2345) * (Facturas_Odoo!$K:$K=I2345), Facturas_Odoo!$L:$L, ""), ""))</f>
        <v/>
      </c>
      <c r="T2345" s="81">
        <f>IF(Q2345="Sin Factura",0,IFERROR(_xlfn.XLOOKUP(1, (Facturas_Odoo!$D:$D=A2345) * (Facturas_Odoo!$K:$K=I2345), Facturas_Odoo!$M:$M, 0), 0))</f>
        <v/>
      </c>
      <c r="U2345" s="79">
        <f>IF(Q2345="Sin Factura",0,IFERROR(_xlfn.XLOOKUP(1, (Facturas_Odoo!$D:$D=A2345) * (Facturas_Odoo!$K:$K=I2345), Facturas_Odoo!$N:$N, 0), 0))</f>
        <v/>
      </c>
      <c r="V2345" s="79">
        <f>IF(Q2345="Sin Factura",0,IFERROR(_xlfn.XLOOKUP(1, (Facturas_Odoo!$D:$D=A2345) * (Facturas_Odoo!$K:$K=I2345), Facturas_Odoo!$O:$O, 0), 0))</f>
        <v/>
      </c>
      <c r="W2345" s="81">
        <f>IF(Q2345="Sin Factura",0,IFERROR(_xlfn.XLOOKUP(1, (Facturas_Odoo!$D:$D=A2345) * (Facturas_Odoo!$K:$K=I2345), Facturas_Odoo!$Q:$Q, 0), 0))</f>
        <v/>
      </c>
      <c r="X2345" s="79">
        <f>IF(OR(Q2345="Sin Factura",Q2345=""),"",IFERROR(INDEX(Pagos_Odoo!$B:$B, MATCH(Q2345, Pagos_Odoo!$I:$I, 0)), "Sin Pago"))</f>
        <v/>
      </c>
      <c r="Y2345" s="79">
        <f>IF(X2345="Sin Pago","",IFERROR(INDEX(Pagos_Odoo!$C:$C, MATCH(X2345, Pagos_Odoo!$B:$B, 0)), ""))</f>
        <v/>
      </c>
      <c r="Z2345" s="80">
        <f>IF(X2345="Sin Pago","",IFERROR(INDEX(Pagos_Odoo!$A:$A, MATCH(X2345, Pagos_Odoo!$B:$B, 0)), ""))</f>
        <v/>
      </c>
      <c r="AA2345" s="79">
        <f>IF(X2345="Sin Pago","",IFERROR(INDEX(Pagos_Odoo!$F:$F, MATCH(X2345, Pagos_Odoo!$B:$B, 0)), ""))</f>
        <v/>
      </c>
      <c r="AB2345" s="81">
        <f>IF(X2345="Sin Pago",0,IFERROR(INDEX(Pagos_Odoo!$E:$E, MATCH(X2345, Pagos_Odoo!$B:$B, 0)), 0))</f>
        <v/>
      </c>
      <c r="AC2345" s="79">
        <f>IF(X2345="Sin Pago","",IFERROR(INDEX(Pagos_Odoo!$G:$G, MATCH(X2345, Pagos_Odoo!$B:$B, 0)), ""))</f>
        <v/>
      </c>
      <c r="AD2345" s="82" t="n">
        <v>0</v>
      </c>
      <c r="AE2345" s="82" t="n"/>
      <c r="AF2345" s="82" t="n"/>
      <c r="AG2345" s="82">
        <f>IF(AN2345="","",AD2345+AE2345+AF2345)</f>
        <v/>
      </c>
      <c r="AH2345" s="81">
        <f>IF(AN2345="","",P2345*(1-AG2345))</f>
        <v/>
      </c>
      <c r="AI2345" s="81">
        <f>IF(AN2345="","",IF(Q2345="Sin Factura",0,IFERROR(INDEX(Facturas_Odoo!$H:$H, MATCH(Q2345, Facturas_Odoo!$B:$B, 0)), 0)*(1-AG2345)))</f>
        <v/>
      </c>
      <c r="AJ2345" s="81">
        <f>IF(AN2345="","",_xlfn.LET(idVenta, AN2345&amp;"",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45" s="81">
        <f>IF(AN2345="","",AH2345-AJ2345)</f>
        <v/>
      </c>
      <c r="AL2345" s="81">
        <f>IF(AN2345="","",IF(Q2345="Sin Factura","",AI2345-AJ2345))</f>
        <v/>
      </c>
      <c r="AM2345" s="81">
        <f>IF(AN2345="","",IF(Q2345="Sin Factura",0,P2345-IFERROR(INDEX(Facturas_Odoo!$H:$H, MATCH(Q2345, Facturas_Odoo!$B:$B, 0)), 0)))</f>
        <v/>
      </c>
      <c r="AN2345" s="79">
        <f>IF(AND(A2345="", J2345=""), "", IF(A2345&lt;&gt;"", VALUE(MID(A2345,2,LEN(A2345))), AN2344))</f>
        <v/>
      </c>
      <c r="AO2345" s="79">
        <f>IF(AN2345="","",IF(AD2345=0,"OK",_xlfn.LET(monedaPago, IF(AA2345="","USD",AA2345), limitePermitido, IFERROR(VLOOKUP(monedaPago, Configuración!$A$2:$B$3, 2, FALSE), 0.15), IF(AD2345&gt;limitePermitido, "ALERTA: EXCESO (" &amp; TEXT(limitePermitido, "0%") &amp; " máx)", "OK"))))</f>
        <v/>
      </c>
      <c r="AP2345" s="79">
        <f>IF(AN2345="","",IF(AE2345=0,"OK",_xlfn.LET(fechaPago, Z2345, fechaFactura, R2345, diasCredito, IF(E2345="Pago inmediato", 0, IFERROR(VALUE(MID(E2345, 1, SEARCH(" ", E2345)-1)),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45" s="79">
        <f>IF(AN2345="","",IF(AND(N2345&gt;0, AG2345&gt;0), IF(Configuración!$K$2="NO", "ALERTA: DESCUENTO DOBLE NO PERMITIDO", "OK"), "OK"))</f>
        <v/>
      </c>
      <c r="AR2345" s="79">
        <f>IF(AN2345="","",IF(OR(AO2345&lt;&gt;"OK", AP2345&lt;&gt;"OK", AQ2345&lt;&gt;"OK"), "⚠️ REVISAR", "OK"))</f>
        <v/>
      </c>
    </row>
    <row r="2346">
      <c r="A2346" s="79">
        <f>IF('Ordenes_Odoo'!A2346="","",'Ordenes_Odoo'!A2346)</f>
        <v/>
      </c>
      <c r="B2346" s="80">
        <f>IF('Ordenes_Odoo'!B2346="","",'Ordenes_Odoo'!B2346)</f>
        <v/>
      </c>
      <c r="C2346" s="79">
        <f>IF('Ordenes_Odoo'!C2346="","",'Ordenes_Odoo'!C2346)</f>
        <v/>
      </c>
      <c r="D2346" s="79">
        <f>IF('Ordenes_Odoo'!D2346="","",'Ordenes_Odoo'!D2346)</f>
        <v/>
      </c>
      <c r="E2346" s="79">
        <f>IF('Ordenes_Odoo'!E2346="","",'Ordenes_Odoo'!E2346)</f>
        <v/>
      </c>
      <c r="F2346" s="79">
        <f>IF('Ordenes_Odoo'!F2346="","",'Ordenes_Odoo'!F2346)</f>
        <v/>
      </c>
      <c r="G2346" s="79">
        <f>IF('Ordenes_Odoo'!G2346="","",'Ordenes_Odoo'!G2346)</f>
        <v/>
      </c>
      <c r="H2346" s="79">
        <f>IF('Ordenes_Odoo'!H2346="","",'Ordenes_Odoo'!H2346)</f>
        <v/>
      </c>
      <c r="I2346" s="79">
        <f>IF('Ordenes_Odoo'!I2346="","",'Ordenes_Odoo'!I2346)</f>
        <v/>
      </c>
      <c r="J2346" s="79">
        <f>IF('Ordenes_Odoo'!J2346="","",'Ordenes_Odoo'!J2346)</f>
        <v/>
      </c>
      <c r="K2346" s="81">
        <f>IF('Ordenes_Odoo'!K2346="","",'Ordenes_Odoo'!K2346)</f>
        <v/>
      </c>
      <c r="L2346" s="81">
        <f>IF('Ordenes_Odoo'!L2346="","",'Ordenes_Odoo'!L2346)</f>
        <v/>
      </c>
      <c r="M2346" s="79">
        <f>IF('Ordenes_Odoo'!M2346="","",'Ordenes_Odoo'!M2346)</f>
        <v/>
      </c>
      <c r="N2346" s="79">
        <f>IF('Ordenes_Odoo'!N2346="","",'Ordenes_Odoo'!N2346)</f>
        <v/>
      </c>
      <c r="O2346" s="81">
        <f>IF('Ordenes_Odoo'!O2346="","",'Ordenes_Odoo'!O2346)</f>
        <v/>
      </c>
      <c r="P2346" s="81">
        <f>IF('Ordenes_Odoo'!P2346="","",'Ordenes_Odoo'!P2346)</f>
        <v/>
      </c>
      <c r="Q2346" s="79">
        <f>IF(A2346="","",IFERROR(INDEX(Facturas_Odoo!$B:$B, MATCH(A2346, Facturas_Odoo!$D:$D, 0)), "Sin Factura"))</f>
        <v/>
      </c>
      <c r="R2346" s="80">
        <f>IF(Q2346="Sin Factura","",IFERROR(INDEX(Facturas_Odoo!$A:$A, MATCH(Q2346, Facturas_Odoo!$B:$B, 0)), ""))</f>
        <v/>
      </c>
      <c r="S2346" s="79">
        <f>IF(Q2346="Sin Factura","",IFERROR(_xlfn.XLOOKUP(1, (Facturas_Odoo!$D:$D=A2346) * (Facturas_Odoo!$K:$K=I2346), Facturas_Odoo!$L:$L, ""), ""))</f>
        <v/>
      </c>
      <c r="T2346" s="81">
        <f>IF(Q2346="Sin Factura",0,IFERROR(_xlfn.XLOOKUP(1, (Facturas_Odoo!$D:$D=A2346) * (Facturas_Odoo!$K:$K=I2346), Facturas_Odoo!$M:$M, 0), 0))</f>
        <v/>
      </c>
      <c r="U2346" s="79">
        <f>IF(Q2346="Sin Factura",0,IFERROR(_xlfn.XLOOKUP(1, (Facturas_Odoo!$D:$D=A2346) * (Facturas_Odoo!$K:$K=I2346), Facturas_Odoo!$N:$N, 0), 0))</f>
        <v/>
      </c>
      <c r="V2346" s="79">
        <f>IF(Q2346="Sin Factura",0,IFERROR(_xlfn.XLOOKUP(1, (Facturas_Odoo!$D:$D=A2346) * (Facturas_Odoo!$K:$K=I2346), Facturas_Odoo!$O:$O, 0), 0))</f>
        <v/>
      </c>
      <c r="W2346" s="81">
        <f>IF(Q2346="Sin Factura",0,IFERROR(_xlfn.XLOOKUP(1, (Facturas_Odoo!$D:$D=A2346) * (Facturas_Odoo!$K:$K=I2346), Facturas_Odoo!$Q:$Q, 0), 0))</f>
        <v/>
      </c>
      <c r="X2346" s="79">
        <f>IF(OR(Q2346="Sin Factura",Q2346=""),"",IFERROR(INDEX(Pagos_Odoo!$B:$B, MATCH(Q2346, Pagos_Odoo!$I:$I, 0)), "Sin Pago"))</f>
        <v/>
      </c>
      <c r="Y2346" s="79">
        <f>IF(X2346="Sin Pago","",IFERROR(INDEX(Pagos_Odoo!$C:$C, MATCH(X2346, Pagos_Odoo!$B:$B, 0)), ""))</f>
        <v/>
      </c>
      <c r="Z2346" s="80">
        <f>IF(X2346="Sin Pago","",IFERROR(INDEX(Pagos_Odoo!$A:$A, MATCH(X2346, Pagos_Odoo!$B:$B, 0)), ""))</f>
        <v/>
      </c>
      <c r="AA2346" s="79">
        <f>IF(X2346="Sin Pago","",IFERROR(INDEX(Pagos_Odoo!$F:$F, MATCH(X2346, Pagos_Odoo!$B:$B, 0)), ""))</f>
        <v/>
      </c>
      <c r="AB2346" s="81">
        <f>IF(X2346="Sin Pago",0,IFERROR(INDEX(Pagos_Odoo!$E:$E, MATCH(X2346, Pagos_Odoo!$B:$B, 0)), 0))</f>
        <v/>
      </c>
      <c r="AC2346" s="79">
        <f>IF(X2346="Sin Pago","",IFERROR(INDEX(Pagos_Odoo!$G:$G, MATCH(X2346, Pagos_Odoo!$B:$B, 0)), ""))</f>
        <v/>
      </c>
      <c r="AD2346" s="82" t="n">
        <v>0</v>
      </c>
      <c r="AE2346" s="82" t="n"/>
      <c r="AF2346" s="82" t="n"/>
      <c r="AG2346" s="82">
        <f>IF(AN2346="","",AD2346+AE2346+AF2346)</f>
        <v/>
      </c>
      <c r="AH2346" s="81">
        <f>IF(AN2346="","",P2346*(1-AG2346))</f>
        <v/>
      </c>
      <c r="AI2346" s="81">
        <f>IF(AN2346="","",IF(Q2346="Sin Factura",0,IFERROR(INDEX(Facturas_Odoo!$H:$H, MATCH(Q2346, Facturas_Odoo!$B:$B, 0)), 0)*(1-AG2346)))</f>
        <v/>
      </c>
      <c r="AJ2346" s="81">
        <f>IF(AN2346="","",_xlfn.LET(idVenta, AN2346&amp;"",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46" s="81">
        <f>IF(AN2346="","",AH2346-AJ2346)</f>
        <v/>
      </c>
      <c r="AL2346" s="81">
        <f>IF(AN2346="","",IF(Q2346="Sin Factura","",AI2346-AJ2346))</f>
        <v/>
      </c>
      <c r="AM2346" s="81">
        <f>IF(AN2346="","",IF(Q2346="Sin Factura",0,P2346-IFERROR(INDEX(Facturas_Odoo!$H:$H, MATCH(Q2346, Facturas_Odoo!$B:$B, 0)), 0)))</f>
        <v/>
      </c>
      <c r="AN2346" s="79">
        <f>IF(AND(A2346="", J2346=""), "", IF(A2346&lt;&gt;"", VALUE(MID(A2346,2,LEN(A2346))), AN2345))</f>
        <v/>
      </c>
      <c r="AO2346" s="79">
        <f>IF(AN2346="","",IF(AD2346=0,"OK",_xlfn.LET(monedaPago, IF(AA2346="","USD",AA2346), limitePermitido, IFERROR(VLOOKUP(monedaPago, Configuración!$A$2:$B$3, 2, FALSE), 0.15), IF(AD2346&gt;limitePermitido, "ALERTA: EXCESO (" &amp; TEXT(limitePermitido, "0%") &amp; " máx)", "OK"))))</f>
        <v/>
      </c>
      <c r="AP2346" s="79">
        <f>IF(AN2346="","",IF(AE2346=0,"OK",_xlfn.LET(fechaPago, Z2346, fechaFactura, R2346, diasCredito, IF(E2346="Pago inmediato", 0, IFERROR(VALUE(MID(E2346, 1, SEARCH(" ", E2346)-1)),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46" s="79">
        <f>IF(AN2346="","",IF(AND(N2346&gt;0, AG2346&gt;0), IF(Configuración!$K$2="NO", "ALERTA: DESCUENTO DOBLE NO PERMITIDO", "OK"), "OK"))</f>
        <v/>
      </c>
      <c r="AR2346" s="79">
        <f>IF(AN2346="","",IF(OR(AO2346&lt;&gt;"OK", AP2346&lt;&gt;"OK", AQ2346&lt;&gt;"OK"), "⚠️ REVISAR", "OK"))</f>
        <v/>
      </c>
    </row>
    <row r="2347">
      <c r="A2347" s="79">
        <f>IF('Ordenes_Odoo'!A2347="","",'Ordenes_Odoo'!A2347)</f>
        <v/>
      </c>
      <c r="B2347" s="80">
        <f>IF('Ordenes_Odoo'!B2347="","",'Ordenes_Odoo'!B2347)</f>
        <v/>
      </c>
      <c r="C2347" s="79">
        <f>IF('Ordenes_Odoo'!C2347="","",'Ordenes_Odoo'!C2347)</f>
        <v/>
      </c>
      <c r="D2347" s="79">
        <f>IF('Ordenes_Odoo'!D2347="","",'Ordenes_Odoo'!D2347)</f>
        <v/>
      </c>
      <c r="E2347" s="79">
        <f>IF('Ordenes_Odoo'!E2347="","",'Ordenes_Odoo'!E2347)</f>
        <v/>
      </c>
      <c r="F2347" s="79">
        <f>IF('Ordenes_Odoo'!F2347="","",'Ordenes_Odoo'!F2347)</f>
        <v/>
      </c>
      <c r="G2347" s="79">
        <f>IF('Ordenes_Odoo'!G2347="","",'Ordenes_Odoo'!G2347)</f>
        <v/>
      </c>
      <c r="H2347" s="79">
        <f>IF('Ordenes_Odoo'!H2347="","",'Ordenes_Odoo'!H2347)</f>
        <v/>
      </c>
      <c r="I2347" s="79">
        <f>IF('Ordenes_Odoo'!I2347="","",'Ordenes_Odoo'!I2347)</f>
        <v/>
      </c>
      <c r="J2347" s="79">
        <f>IF('Ordenes_Odoo'!J2347="","",'Ordenes_Odoo'!J2347)</f>
        <v/>
      </c>
      <c r="K2347" s="81">
        <f>IF('Ordenes_Odoo'!K2347="","",'Ordenes_Odoo'!K2347)</f>
        <v/>
      </c>
      <c r="L2347" s="81">
        <f>IF('Ordenes_Odoo'!L2347="","",'Ordenes_Odoo'!L2347)</f>
        <v/>
      </c>
      <c r="M2347" s="79">
        <f>IF('Ordenes_Odoo'!M2347="","",'Ordenes_Odoo'!M2347)</f>
        <v/>
      </c>
      <c r="N2347" s="79">
        <f>IF('Ordenes_Odoo'!N2347="","",'Ordenes_Odoo'!N2347)</f>
        <v/>
      </c>
      <c r="O2347" s="81">
        <f>IF('Ordenes_Odoo'!O2347="","",'Ordenes_Odoo'!O2347)</f>
        <v/>
      </c>
      <c r="P2347" s="81">
        <f>IF('Ordenes_Odoo'!P2347="","",'Ordenes_Odoo'!P2347)</f>
        <v/>
      </c>
      <c r="Q2347" s="79">
        <f>IF(A2347="","",IFERROR(INDEX(Facturas_Odoo!$B:$B, MATCH(A2347, Facturas_Odoo!$D:$D, 0)), "Sin Factura"))</f>
        <v/>
      </c>
      <c r="R2347" s="80">
        <f>IF(Q2347="Sin Factura","",IFERROR(INDEX(Facturas_Odoo!$A:$A, MATCH(Q2347, Facturas_Odoo!$B:$B, 0)), ""))</f>
        <v/>
      </c>
      <c r="S2347" s="79">
        <f>IF(Q2347="Sin Factura","",IFERROR(_xlfn.XLOOKUP(1, (Facturas_Odoo!$D:$D=A2347) * (Facturas_Odoo!$K:$K=I2347), Facturas_Odoo!$L:$L, ""), ""))</f>
        <v/>
      </c>
      <c r="T2347" s="81">
        <f>IF(Q2347="Sin Factura",0,IFERROR(_xlfn.XLOOKUP(1, (Facturas_Odoo!$D:$D=A2347) * (Facturas_Odoo!$K:$K=I2347), Facturas_Odoo!$M:$M, 0), 0))</f>
        <v/>
      </c>
      <c r="U2347" s="79">
        <f>IF(Q2347="Sin Factura",0,IFERROR(_xlfn.XLOOKUP(1, (Facturas_Odoo!$D:$D=A2347) * (Facturas_Odoo!$K:$K=I2347), Facturas_Odoo!$N:$N, 0), 0))</f>
        <v/>
      </c>
      <c r="V2347" s="79">
        <f>IF(Q2347="Sin Factura",0,IFERROR(_xlfn.XLOOKUP(1, (Facturas_Odoo!$D:$D=A2347) * (Facturas_Odoo!$K:$K=I2347), Facturas_Odoo!$O:$O, 0), 0))</f>
        <v/>
      </c>
      <c r="W2347" s="81">
        <f>IF(Q2347="Sin Factura",0,IFERROR(_xlfn.XLOOKUP(1, (Facturas_Odoo!$D:$D=A2347) * (Facturas_Odoo!$K:$K=I2347), Facturas_Odoo!$Q:$Q, 0), 0))</f>
        <v/>
      </c>
      <c r="X2347" s="79">
        <f>IF(OR(Q2347="Sin Factura",Q2347=""),"",IFERROR(INDEX(Pagos_Odoo!$B:$B, MATCH(Q2347, Pagos_Odoo!$I:$I, 0)), "Sin Pago"))</f>
        <v/>
      </c>
      <c r="Y2347" s="79">
        <f>IF(X2347="Sin Pago","",IFERROR(INDEX(Pagos_Odoo!$C:$C, MATCH(X2347, Pagos_Odoo!$B:$B, 0)), ""))</f>
        <v/>
      </c>
      <c r="Z2347" s="80">
        <f>IF(X2347="Sin Pago","",IFERROR(INDEX(Pagos_Odoo!$A:$A, MATCH(X2347, Pagos_Odoo!$B:$B, 0)), ""))</f>
        <v/>
      </c>
      <c r="AA2347" s="79">
        <f>IF(X2347="Sin Pago","",IFERROR(INDEX(Pagos_Odoo!$F:$F, MATCH(X2347, Pagos_Odoo!$B:$B, 0)), ""))</f>
        <v/>
      </c>
      <c r="AB2347" s="81">
        <f>IF(X2347="Sin Pago",0,IFERROR(INDEX(Pagos_Odoo!$E:$E, MATCH(X2347, Pagos_Odoo!$B:$B, 0)), 0))</f>
        <v/>
      </c>
      <c r="AC2347" s="79">
        <f>IF(X2347="Sin Pago","",IFERROR(INDEX(Pagos_Odoo!$G:$G, MATCH(X2347, Pagos_Odoo!$B:$B, 0)), ""))</f>
        <v/>
      </c>
      <c r="AD2347" s="82" t="n">
        <v>0</v>
      </c>
      <c r="AE2347" s="82" t="n"/>
      <c r="AF2347" s="82" t="n"/>
      <c r="AG2347" s="82">
        <f>IF(AN2347="","",AD2347+AE2347+AF2347)</f>
        <v/>
      </c>
      <c r="AH2347" s="81">
        <f>IF(AN2347="","",P2347*(1-AG2347))</f>
        <v/>
      </c>
      <c r="AI2347" s="81">
        <f>IF(AN2347="","",IF(Q2347="Sin Factura",0,IFERROR(INDEX(Facturas_Odoo!$H:$H, MATCH(Q2347, Facturas_Odoo!$B:$B, 0)), 0)*(1-AG2347)))</f>
        <v/>
      </c>
      <c r="AJ2347" s="81">
        <f>IF(AN2347="","",_xlfn.LET(idVenta, AN2347&amp;"",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47" s="81">
        <f>IF(AN2347="","",AH2347-AJ2347)</f>
        <v/>
      </c>
      <c r="AL2347" s="81">
        <f>IF(AN2347="","",IF(Q2347="Sin Factura","",AI2347-AJ2347))</f>
        <v/>
      </c>
      <c r="AM2347" s="81">
        <f>IF(AN2347="","",IF(Q2347="Sin Factura",0,P2347-IFERROR(INDEX(Facturas_Odoo!$H:$H, MATCH(Q2347, Facturas_Odoo!$B:$B, 0)), 0)))</f>
        <v/>
      </c>
      <c r="AN2347" s="79">
        <f>IF(AND(A2347="", J2347=""), "", IF(A2347&lt;&gt;"", VALUE(MID(A2347,2,LEN(A2347))), AN2346))</f>
        <v/>
      </c>
      <c r="AO2347" s="79">
        <f>IF(AN2347="","",IF(AD2347=0,"OK",_xlfn.LET(monedaPago, IF(AA2347="","USD",AA2347), limitePermitido, IFERROR(VLOOKUP(monedaPago, Configuración!$A$2:$B$3, 2, FALSE), 0.15), IF(AD2347&gt;limitePermitido, "ALERTA: EXCESO (" &amp; TEXT(limitePermitido, "0%") &amp; " máx)", "OK"))))</f>
        <v/>
      </c>
      <c r="AP2347" s="79">
        <f>IF(AN2347="","",IF(AE2347=0,"OK",_xlfn.LET(fechaPago, Z2347, fechaFactura, R2347, diasCredito, IF(E2347="Pago inmediato", 0, IFERROR(VALUE(MID(E2347, 1, SEARCH(" ", E2347)-1)),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47" s="79">
        <f>IF(AN2347="","",IF(AND(N2347&gt;0, AG2347&gt;0), IF(Configuración!$K$2="NO", "ALERTA: DESCUENTO DOBLE NO PERMITIDO", "OK"), "OK"))</f>
        <v/>
      </c>
      <c r="AR2347" s="79">
        <f>IF(AN2347="","",IF(OR(AO2347&lt;&gt;"OK", AP2347&lt;&gt;"OK", AQ2347&lt;&gt;"OK"), "⚠️ REVISAR", "OK"))</f>
        <v/>
      </c>
    </row>
    <row r="2348">
      <c r="A2348" s="79">
        <f>IF('Ordenes_Odoo'!A2348="","",'Ordenes_Odoo'!A2348)</f>
        <v/>
      </c>
      <c r="B2348" s="80">
        <f>IF('Ordenes_Odoo'!B2348="","",'Ordenes_Odoo'!B2348)</f>
        <v/>
      </c>
      <c r="C2348" s="79">
        <f>IF('Ordenes_Odoo'!C2348="","",'Ordenes_Odoo'!C2348)</f>
        <v/>
      </c>
      <c r="D2348" s="79">
        <f>IF('Ordenes_Odoo'!D2348="","",'Ordenes_Odoo'!D2348)</f>
        <v/>
      </c>
      <c r="E2348" s="79">
        <f>IF('Ordenes_Odoo'!E2348="","",'Ordenes_Odoo'!E2348)</f>
        <v/>
      </c>
      <c r="F2348" s="79">
        <f>IF('Ordenes_Odoo'!F2348="","",'Ordenes_Odoo'!F2348)</f>
        <v/>
      </c>
      <c r="G2348" s="79">
        <f>IF('Ordenes_Odoo'!G2348="","",'Ordenes_Odoo'!G2348)</f>
        <v/>
      </c>
      <c r="H2348" s="79">
        <f>IF('Ordenes_Odoo'!H2348="","",'Ordenes_Odoo'!H2348)</f>
        <v/>
      </c>
      <c r="I2348" s="79">
        <f>IF('Ordenes_Odoo'!I2348="","",'Ordenes_Odoo'!I2348)</f>
        <v/>
      </c>
      <c r="J2348" s="79">
        <f>IF('Ordenes_Odoo'!J2348="","",'Ordenes_Odoo'!J2348)</f>
        <v/>
      </c>
      <c r="K2348" s="81">
        <f>IF('Ordenes_Odoo'!K2348="","",'Ordenes_Odoo'!K2348)</f>
        <v/>
      </c>
      <c r="L2348" s="81">
        <f>IF('Ordenes_Odoo'!L2348="","",'Ordenes_Odoo'!L2348)</f>
        <v/>
      </c>
      <c r="M2348" s="79">
        <f>IF('Ordenes_Odoo'!M2348="","",'Ordenes_Odoo'!M2348)</f>
        <v/>
      </c>
      <c r="N2348" s="79">
        <f>IF('Ordenes_Odoo'!N2348="","",'Ordenes_Odoo'!N2348)</f>
        <v/>
      </c>
      <c r="O2348" s="81">
        <f>IF('Ordenes_Odoo'!O2348="","",'Ordenes_Odoo'!O2348)</f>
        <v/>
      </c>
      <c r="P2348" s="81">
        <f>IF('Ordenes_Odoo'!P2348="","",'Ordenes_Odoo'!P2348)</f>
        <v/>
      </c>
      <c r="Q2348" s="79">
        <f>IF(A2348="","",IFERROR(INDEX(Facturas_Odoo!$B:$B, MATCH(A2348, Facturas_Odoo!$D:$D, 0)), "Sin Factura"))</f>
        <v/>
      </c>
      <c r="R2348" s="80">
        <f>IF(Q2348="Sin Factura","",IFERROR(INDEX(Facturas_Odoo!$A:$A, MATCH(Q2348, Facturas_Odoo!$B:$B, 0)), ""))</f>
        <v/>
      </c>
      <c r="S2348" s="79">
        <f>IF(Q2348="Sin Factura","",IFERROR(_xlfn.XLOOKUP(1, (Facturas_Odoo!$D:$D=A2348) * (Facturas_Odoo!$K:$K=I2348), Facturas_Odoo!$L:$L, ""), ""))</f>
        <v/>
      </c>
      <c r="T2348" s="81">
        <f>IF(Q2348="Sin Factura",0,IFERROR(_xlfn.XLOOKUP(1, (Facturas_Odoo!$D:$D=A2348) * (Facturas_Odoo!$K:$K=I2348), Facturas_Odoo!$M:$M, 0), 0))</f>
        <v/>
      </c>
      <c r="U2348" s="79">
        <f>IF(Q2348="Sin Factura",0,IFERROR(_xlfn.XLOOKUP(1, (Facturas_Odoo!$D:$D=A2348) * (Facturas_Odoo!$K:$K=I2348), Facturas_Odoo!$N:$N, 0), 0))</f>
        <v/>
      </c>
      <c r="V2348" s="79">
        <f>IF(Q2348="Sin Factura",0,IFERROR(_xlfn.XLOOKUP(1, (Facturas_Odoo!$D:$D=A2348) * (Facturas_Odoo!$K:$K=I2348), Facturas_Odoo!$O:$O, 0), 0))</f>
        <v/>
      </c>
      <c r="W2348" s="81">
        <f>IF(Q2348="Sin Factura",0,IFERROR(_xlfn.XLOOKUP(1, (Facturas_Odoo!$D:$D=A2348) * (Facturas_Odoo!$K:$K=I2348), Facturas_Odoo!$Q:$Q, 0), 0))</f>
        <v/>
      </c>
      <c r="X2348" s="79">
        <f>IF(OR(Q2348="Sin Factura",Q2348=""),"",IFERROR(INDEX(Pagos_Odoo!$B:$B, MATCH(Q2348, Pagos_Odoo!$I:$I, 0)), "Sin Pago"))</f>
        <v/>
      </c>
      <c r="Y2348" s="79">
        <f>IF(X2348="Sin Pago","",IFERROR(INDEX(Pagos_Odoo!$C:$C, MATCH(X2348, Pagos_Odoo!$B:$B, 0)), ""))</f>
        <v/>
      </c>
      <c r="Z2348" s="80">
        <f>IF(X2348="Sin Pago","",IFERROR(INDEX(Pagos_Odoo!$A:$A, MATCH(X2348, Pagos_Odoo!$B:$B, 0)), ""))</f>
        <v/>
      </c>
      <c r="AA2348" s="79">
        <f>IF(X2348="Sin Pago","",IFERROR(INDEX(Pagos_Odoo!$F:$F, MATCH(X2348, Pagos_Odoo!$B:$B, 0)), ""))</f>
        <v/>
      </c>
      <c r="AB2348" s="81">
        <f>IF(X2348="Sin Pago",0,IFERROR(INDEX(Pagos_Odoo!$E:$E, MATCH(X2348, Pagos_Odoo!$B:$B, 0)), 0))</f>
        <v/>
      </c>
      <c r="AC2348" s="79">
        <f>IF(X2348="Sin Pago","",IFERROR(INDEX(Pagos_Odoo!$G:$G, MATCH(X2348, Pagos_Odoo!$B:$B, 0)), ""))</f>
        <v/>
      </c>
      <c r="AD2348" s="82" t="n">
        <v>0</v>
      </c>
      <c r="AE2348" s="82" t="n"/>
      <c r="AF2348" s="82" t="n"/>
      <c r="AG2348" s="82">
        <f>IF(AN2348="","",AD2348+AE2348+AF2348)</f>
        <v/>
      </c>
      <c r="AH2348" s="81">
        <f>IF(AN2348="","",P2348*(1-AG2348))</f>
        <v/>
      </c>
      <c r="AI2348" s="81">
        <f>IF(AN2348="","",IF(Q2348="Sin Factura",0,IFERROR(INDEX(Facturas_Odoo!$H:$H, MATCH(Q2348, Facturas_Odoo!$B:$B, 0)), 0)*(1-AG2348)))</f>
        <v/>
      </c>
      <c r="AJ2348" s="81">
        <f>IF(AN2348="","",_xlfn.LET(idVenta, AN2348&amp;"",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48" s="81">
        <f>IF(AN2348="","",AH2348-AJ2348)</f>
        <v/>
      </c>
      <c r="AL2348" s="81">
        <f>IF(AN2348="","",IF(Q2348="Sin Factura","",AI2348-AJ2348))</f>
        <v/>
      </c>
      <c r="AM2348" s="81">
        <f>IF(AN2348="","",IF(Q2348="Sin Factura",0,P2348-IFERROR(INDEX(Facturas_Odoo!$H:$H, MATCH(Q2348, Facturas_Odoo!$B:$B, 0)), 0)))</f>
        <v/>
      </c>
      <c r="AN2348" s="79">
        <f>IF(AND(A2348="", J2348=""), "", IF(A2348&lt;&gt;"", VALUE(MID(A2348,2,LEN(A2348))), AN2347))</f>
        <v/>
      </c>
      <c r="AO2348" s="79">
        <f>IF(AN2348="","",IF(AD2348=0,"OK",_xlfn.LET(monedaPago, IF(AA2348="","USD",AA2348), limitePermitido, IFERROR(VLOOKUP(monedaPago, Configuración!$A$2:$B$3, 2, FALSE), 0.15), IF(AD2348&gt;limitePermitido, "ALERTA: EXCESO (" &amp; TEXT(limitePermitido, "0%") &amp; " máx)", "OK"))))</f>
        <v/>
      </c>
      <c r="AP2348" s="79">
        <f>IF(AN2348="","",IF(AE2348=0,"OK",_xlfn.LET(fechaPago, Z2348, fechaFactura, R2348, diasCredito, IF(E2348="Pago inmediato", 0, IFERROR(VALUE(MID(E2348, 1, SEARCH(" ", E2348)-1)),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48" s="79">
        <f>IF(AN2348="","",IF(AND(N2348&gt;0, AG2348&gt;0), IF(Configuración!$K$2="NO", "ALERTA: DESCUENTO DOBLE NO PERMITIDO", "OK"), "OK"))</f>
        <v/>
      </c>
      <c r="AR2348" s="79">
        <f>IF(AN2348="","",IF(OR(AO2348&lt;&gt;"OK", AP2348&lt;&gt;"OK", AQ2348&lt;&gt;"OK"), "⚠️ REVISAR", "OK"))</f>
        <v/>
      </c>
    </row>
    <row r="2349">
      <c r="A2349" s="79">
        <f>IF('Ordenes_Odoo'!A2349="","",'Ordenes_Odoo'!A2349)</f>
        <v/>
      </c>
      <c r="B2349" s="80">
        <f>IF('Ordenes_Odoo'!B2349="","",'Ordenes_Odoo'!B2349)</f>
        <v/>
      </c>
      <c r="C2349" s="79">
        <f>IF('Ordenes_Odoo'!C2349="","",'Ordenes_Odoo'!C2349)</f>
        <v/>
      </c>
      <c r="D2349" s="79">
        <f>IF('Ordenes_Odoo'!D2349="","",'Ordenes_Odoo'!D2349)</f>
        <v/>
      </c>
      <c r="E2349" s="79">
        <f>IF('Ordenes_Odoo'!E2349="","",'Ordenes_Odoo'!E2349)</f>
        <v/>
      </c>
      <c r="F2349" s="79">
        <f>IF('Ordenes_Odoo'!F2349="","",'Ordenes_Odoo'!F2349)</f>
        <v/>
      </c>
      <c r="G2349" s="79">
        <f>IF('Ordenes_Odoo'!G2349="","",'Ordenes_Odoo'!G2349)</f>
        <v/>
      </c>
      <c r="H2349" s="79">
        <f>IF('Ordenes_Odoo'!H2349="","",'Ordenes_Odoo'!H2349)</f>
        <v/>
      </c>
      <c r="I2349" s="79">
        <f>IF('Ordenes_Odoo'!I2349="","",'Ordenes_Odoo'!I2349)</f>
        <v/>
      </c>
      <c r="J2349" s="79">
        <f>IF('Ordenes_Odoo'!J2349="","",'Ordenes_Odoo'!J2349)</f>
        <v/>
      </c>
      <c r="K2349" s="81">
        <f>IF('Ordenes_Odoo'!K2349="","",'Ordenes_Odoo'!K2349)</f>
        <v/>
      </c>
      <c r="L2349" s="81">
        <f>IF('Ordenes_Odoo'!L2349="","",'Ordenes_Odoo'!L2349)</f>
        <v/>
      </c>
      <c r="M2349" s="79">
        <f>IF('Ordenes_Odoo'!M2349="","",'Ordenes_Odoo'!M2349)</f>
        <v/>
      </c>
      <c r="N2349" s="79">
        <f>IF('Ordenes_Odoo'!N2349="","",'Ordenes_Odoo'!N2349)</f>
        <v/>
      </c>
      <c r="O2349" s="81">
        <f>IF('Ordenes_Odoo'!O2349="","",'Ordenes_Odoo'!O2349)</f>
        <v/>
      </c>
      <c r="P2349" s="81">
        <f>IF('Ordenes_Odoo'!P2349="","",'Ordenes_Odoo'!P2349)</f>
        <v/>
      </c>
      <c r="Q2349" s="79">
        <f>IF(A2349="","",IFERROR(INDEX(Facturas_Odoo!$B:$B, MATCH(A2349, Facturas_Odoo!$D:$D, 0)), "Sin Factura"))</f>
        <v/>
      </c>
      <c r="R2349" s="80">
        <f>IF(Q2349="Sin Factura","",IFERROR(INDEX(Facturas_Odoo!$A:$A, MATCH(Q2349, Facturas_Odoo!$B:$B, 0)), ""))</f>
        <v/>
      </c>
      <c r="S2349" s="79">
        <f>IF(Q2349="Sin Factura","",IFERROR(_xlfn.XLOOKUP(1, (Facturas_Odoo!$D:$D=A2349) * (Facturas_Odoo!$K:$K=I2349), Facturas_Odoo!$L:$L, ""), ""))</f>
        <v/>
      </c>
      <c r="T2349" s="81">
        <f>IF(Q2349="Sin Factura",0,IFERROR(_xlfn.XLOOKUP(1, (Facturas_Odoo!$D:$D=A2349) * (Facturas_Odoo!$K:$K=I2349), Facturas_Odoo!$M:$M, 0), 0))</f>
        <v/>
      </c>
      <c r="U2349" s="79">
        <f>IF(Q2349="Sin Factura",0,IFERROR(_xlfn.XLOOKUP(1, (Facturas_Odoo!$D:$D=A2349) * (Facturas_Odoo!$K:$K=I2349), Facturas_Odoo!$N:$N, 0), 0))</f>
        <v/>
      </c>
      <c r="V2349" s="79">
        <f>IF(Q2349="Sin Factura",0,IFERROR(_xlfn.XLOOKUP(1, (Facturas_Odoo!$D:$D=A2349) * (Facturas_Odoo!$K:$K=I2349), Facturas_Odoo!$O:$O, 0), 0))</f>
        <v/>
      </c>
      <c r="W2349" s="81">
        <f>IF(Q2349="Sin Factura",0,IFERROR(_xlfn.XLOOKUP(1, (Facturas_Odoo!$D:$D=A2349) * (Facturas_Odoo!$K:$K=I2349), Facturas_Odoo!$Q:$Q, 0), 0))</f>
        <v/>
      </c>
      <c r="X2349" s="79">
        <f>IF(OR(Q2349="Sin Factura",Q2349=""),"",IFERROR(INDEX(Pagos_Odoo!$B:$B, MATCH(Q2349, Pagos_Odoo!$I:$I, 0)), "Sin Pago"))</f>
        <v/>
      </c>
      <c r="Y2349" s="79">
        <f>IF(X2349="Sin Pago","",IFERROR(INDEX(Pagos_Odoo!$C:$C, MATCH(X2349, Pagos_Odoo!$B:$B, 0)), ""))</f>
        <v/>
      </c>
      <c r="Z2349" s="80">
        <f>IF(X2349="Sin Pago","",IFERROR(INDEX(Pagos_Odoo!$A:$A, MATCH(X2349, Pagos_Odoo!$B:$B, 0)), ""))</f>
        <v/>
      </c>
      <c r="AA2349" s="79">
        <f>IF(X2349="Sin Pago","",IFERROR(INDEX(Pagos_Odoo!$F:$F, MATCH(X2349, Pagos_Odoo!$B:$B, 0)), ""))</f>
        <v/>
      </c>
      <c r="AB2349" s="81">
        <f>IF(X2349="Sin Pago",0,IFERROR(INDEX(Pagos_Odoo!$E:$E, MATCH(X2349, Pagos_Odoo!$B:$B, 0)), 0))</f>
        <v/>
      </c>
      <c r="AC2349" s="79">
        <f>IF(X2349="Sin Pago","",IFERROR(INDEX(Pagos_Odoo!$G:$G, MATCH(X2349, Pagos_Odoo!$B:$B, 0)), ""))</f>
        <v/>
      </c>
      <c r="AD2349" s="82" t="n">
        <v>0</v>
      </c>
      <c r="AE2349" s="82" t="n"/>
      <c r="AF2349" s="82" t="n"/>
      <c r="AG2349" s="82">
        <f>IF(AN2349="","",AD2349+AE2349+AF2349)</f>
        <v/>
      </c>
      <c r="AH2349" s="81">
        <f>IF(AN2349="","",P2349*(1-AG2349))</f>
        <v/>
      </c>
      <c r="AI2349" s="81">
        <f>IF(AN2349="","",IF(Q2349="Sin Factura",0,IFERROR(INDEX(Facturas_Odoo!$H:$H, MATCH(Q2349, Facturas_Odoo!$B:$B, 0)), 0)*(1-AG2349)))</f>
        <v/>
      </c>
      <c r="AJ2349" s="81">
        <f>IF(AN2349="","",_xlfn.LET(idVenta, AN2349&amp;"",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49" s="81">
        <f>IF(AN2349="","",AH2349-AJ2349)</f>
        <v/>
      </c>
      <c r="AL2349" s="81">
        <f>IF(AN2349="","",IF(Q2349="Sin Factura","",AI2349-AJ2349))</f>
        <v/>
      </c>
      <c r="AM2349" s="81">
        <f>IF(AN2349="","",IF(Q2349="Sin Factura",0,P2349-IFERROR(INDEX(Facturas_Odoo!$H:$H, MATCH(Q2349, Facturas_Odoo!$B:$B, 0)), 0)))</f>
        <v/>
      </c>
      <c r="AN2349" s="79">
        <f>IF(AND(A2349="", J2349=""), "", IF(A2349&lt;&gt;"", VALUE(MID(A2349,2,LEN(A2349))), AN2348))</f>
        <v/>
      </c>
      <c r="AO2349" s="79">
        <f>IF(AN2349="","",IF(AD2349=0,"OK",_xlfn.LET(monedaPago, IF(AA2349="","USD",AA2349), limitePermitido, IFERROR(VLOOKUP(monedaPago, Configuración!$A$2:$B$3, 2, FALSE), 0.15), IF(AD2349&gt;limitePermitido, "ALERTA: EXCESO (" &amp; TEXT(limitePermitido, "0%") &amp; " máx)", "OK"))))</f>
        <v/>
      </c>
      <c r="AP2349" s="79">
        <f>IF(AN2349="","",IF(AE2349=0,"OK",_xlfn.LET(fechaPago, Z2349, fechaFactura, R2349, diasCredito, IF(E2349="Pago inmediato", 0, IFERROR(VALUE(MID(E2349, 1, SEARCH(" ", E2349)-1)),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49" s="79">
        <f>IF(AN2349="","",IF(AND(N2349&gt;0, AG2349&gt;0), IF(Configuración!$K$2="NO", "ALERTA: DESCUENTO DOBLE NO PERMITIDO", "OK"), "OK"))</f>
        <v/>
      </c>
      <c r="AR2349" s="79">
        <f>IF(AN2349="","",IF(OR(AO2349&lt;&gt;"OK", AP2349&lt;&gt;"OK", AQ2349&lt;&gt;"OK"), "⚠️ REVISAR", "OK"))</f>
        <v/>
      </c>
    </row>
    <row r="2350">
      <c r="A2350" s="79">
        <f>IF('Ordenes_Odoo'!A2350="","",'Ordenes_Odoo'!A2350)</f>
        <v/>
      </c>
      <c r="B2350" s="80">
        <f>IF('Ordenes_Odoo'!B2350="","",'Ordenes_Odoo'!B2350)</f>
        <v/>
      </c>
      <c r="C2350" s="79">
        <f>IF('Ordenes_Odoo'!C2350="","",'Ordenes_Odoo'!C2350)</f>
        <v/>
      </c>
      <c r="D2350" s="79">
        <f>IF('Ordenes_Odoo'!D2350="","",'Ordenes_Odoo'!D2350)</f>
        <v/>
      </c>
      <c r="E2350" s="79">
        <f>IF('Ordenes_Odoo'!E2350="","",'Ordenes_Odoo'!E2350)</f>
        <v/>
      </c>
      <c r="F2350" s="79">
        <f>IF('Ordenes_Odoo'!F2350="","",'Ordenes_Odoo'!F2350)</f>
        <v/>
      </c>
      <c r="G2350" s="79">
        <f>IF('Ordenes_Odoo'!G2350="","",'Ordenes_Odoo'!G2350)</f>
        <v/>
      </c>
      <c r="H2350" s="79">
        <f>IF('Ordenes_Odoo'!H2350="","",'Ordenes_Odoo'!H2350)</f>
        <v/>
      </c>
      <c r="I2350" s="79">
        <f>IF('Ordenes_Odoo'!I2350="","",'Ordenes_Odoo'!I2350)</f>
        <v/>
      </c>
      <c r="J2350" s="79">
        <f>IF('Ordenes_Odoo'!J2350="","",'Ordenes_Odoo'!J2350)</f>
        <v/>
      </c>
      <c r="K2350" s="81">
        <f>IF('Ordenes_Odoo'!K2350="","",'Ordenes_Odoo'!K2350)</f>
        <v/>
      </c>
      <c r="L2350" s="81">
        <f>IF('Ordenes_Odoo'!L2350="","",'Ordenes_Odoo'!L2350)</f>
        <v/>
      </c>
      <c r="M2350" s="79">
        <f>IF('Ordenes_Odoo'!M2350="","",'Ordenes_Odoo'!M2350)</f>
        <v/>
      </c>
      <c r="N2350" s="79">
        <f>IF('Ordenes_Odoo'!N2350="","",'Ordenes_Odoo'!N2350)</f>
        <v/>
      </c>
      <c r="O2350" s="81">
        <f>IF('Ordenes_Odoo'!O2350="","",'Ordenes_Odoo'!O2350)</f>
        <v/>
      </c>
      <c r="P2350" s="81">
        <f>IF('Ordenes_Odoo'!P2350="","",'Ordenes_Odoo'!P2350)</f>
        <v/>
      </c>
      <c r="Q2350" s="79">
        <f>IF(A2350="","",IFERROR(INDEX(Facturas_Odoo!$B:$B, MATCH(A2350, Facturas_Odoo!$D:$D, 0)), "Sin Factura"))</f>
        <v/>
      </c>
      <c r="R2350" s="80">
        <f>IF(Q2350="Sin Factura","",IFERROR(INDEX(Facturas_Odoo!$A:$A, MATCH(Q2350, Facturas_Odoo!$B:$B, 0)), ""))</f>
        <v/>
      </c>
      <c r="S2350" s="79">
        <f>IF(Q2350="Sin Factura","",IFERROR(_xlfn.XLOOKUP(1, (Facturas_Odoo!$D:$D=A2350) * (Facturas_Odoo!$K:$K=I2350), Facturas_Odoo!$L:$L, ""), ""))</f>
        <v/>
      </c>
      <c r="T2350" s="81">
        <f>IF(Q2350="Sin Factura",0,IFERROR(_xlfn.XLOOKUP(1, (Facturas_Odoo!$D:$D=A2350) * (Facturas_Odoo!$K:$K=I2350), Facturas_Odoo!$M:$M, 0), 0))</f>
        <v/>
      </c>
      <c r="U2350" s="79">
        <f>IF(Q2350="Sin Factura",0,IFERROR(_xlfn.XLOOKUP(1, (Facturas_Odoo!$D:$D=A2350) * (Facturas_Odoo!$K:$K=I2350), Facturas_Odoo!$N:$N, 0), 0))</f>
        <v/>
      </c>
      <c r="V2350" s="79">
        <f>IF(Q2350="Sin Factura",0,IFERROR(_xlfn.XLOOKUP(1, (Facturas_Odoo!$D:$D=A2350) * (Facturas_Odoo!$K:$K=I2350), Facturas_Odoo!$O:$O, 0), 0))</f>
        <v/>
      </c>
      <c r="W2350" s="81">
        <f>IF(Q2350="Sin Factura",0,IFERROR(_xlfn.XLOOKUP(1, (Facturas_Odoo!$D:$D=A2350) * (Facturas_Odoo!$K:$K=I2350), Facturas_Odoo!$Q:$Q, 0), 0))</f>
        <v/>
      </c>
      <c r="X2350" s="79">
        <f>IF(OR(Q2350="Sin Factura",Q2350=""),"",IFERROR(INDEX(Pagos_Odoo!$B:$B, MATCH(Q2350, Pagos_Odoo!$I:$I, 0)), "Sin Pago"))</f>
        <v/>
      </c>
      <c r="Y2350" s="79">
        <f>IF(X2350="Sin Pago","",IFERROR(INDEX(Pagos_Odoo!$C:$C, MATCH(X2350, Pagos_Odoo!$B:$B, 0)), ""))</f>
        <v/>
      </c>
      <c r="Z2350" s="80">
        <f>IF(X2350="Sin Pago","",IFERROR(INDEX(Pagos_Odoo!$A:$A, MATCH(X2350, Pagos_Odoo!$B:$B, 0)), ""))</f>
        <v/>
      </c>
      <c r="AA2350" s="79">
        <f>IF(X2350="Sin Pago","",IFERROR(INDEX(Pagos_Odoo!$F:$F, MATCH(X2350, Pagos_Odoo!$B:$B, 0)), ""))</f>
        <v/>
      </c>
      <c r="AB2350" s="81">
        <f>IF(X2350="Sin Pago",0,IFERROR(INDEX(Pagos_Odoo!$E:$E, MATCH(X2350, Pagos_Odoo!$B:$B, 0)), 0))</f>
        <v/>
      </c>
      <c r="AC2350" s="79">
        <f>IF(X2350="Sin Pago","",IFERROR(INDEX(Pagos_Odoo!$G:$G, MATCH(X2350, Pagos_Odoo!$B:$B, 0)), ""))</f>
        <v/>
      </c>
      <c r="AD2350" s="82" t="n">
        <v>0</v>
      </c>
      <c r="AE2350" s="82" t="n"/>
      <c r="AF2350" s="82" t="n"/>
      <c r="AG2350" s="82">
        <f>IF(AN2350="","",AD2350+AE2350+AF2350)</f>
        <v/>
      </c>
      <c r="AH2350" s="81">
        <f>IF(AN2350="","",P2350*(1-AG2350))</f>
        <v/>
      </c>
      <c r="AI2350" s="81">
        <f>IF(AN2350="","",IF(Q2350="Sin Factura",0,IFERROR(INDEX(Facturas_Odoo!$H:$H, MATCH(Q2350, Facturas_Odoo!$B:$B, 0)), 0)*(1-AG2350)))</f>
        <v/>
      </c>
      <c r="AJ2350" s="81">
        <f>IF(AN2350="","",_xlfn.LET(idVenta, AN2350&amp;"",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50" s="81">
        <f>IF(AN2350="","",AH2350-AJ2350)</f>
        <v/>
      </c>
      <c r="AL2350" s="81">
        <f>IF(AN2350="","",IF(Q2350="Sin Factura","",AI2350-AJ2350))</f>
        <v/>
      </c>
      <c r="AM2350" s="81">
        <f>IF(AN2350="","",IF(Q2350="Sin Factura",0,P2350-IFERROR(INDEX(Facturas_Odoo!$H:$H, MATCH(Q2350, Facturas_Odoo!$B:$B, 0)), 0)))</f>
        <v/>
      </c>
      <c r="AN2350" s="79">
        <f>IF(AND(A2350="", J2350=""), "", IF(A2350&lt;&gt;"", VALUE(MID(A2350,2,LEN(A2350))), AN2349))</f>
        <v/>
      </c>
      <c r="AO2350" s="79">
        <f>IF(AN2350="","",IF(AD2350=0,"OK",_xlfn.LET(monedaPago, IF(AA2350="","USD",AA2350), limitePermitido, IFERROR(VLOOKUP(monedaPago, Configuración!$A$2:$B$3, 2, FALSE), 0.15), IF(AD2350&gt;limitePermitido, "ALERTA: EXCESO (" &amp; TEXT(limitePermitido, "0%") &amp; " máx)", "OK"))))</f>
        <v/>
      </c>
      <c r="AP2350" s="79">
        <f>IF(AN2350="","",IF(AE2350=0,"OK",_xlfn.LET(fechaPago, Z2350, fechaFactura, R2350, diasCredito, IF(E2350="Pago inmediato", 0, IFERROR(VALUE(MID(E2350, 1, SEARCH(" ", E2350)-1)),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50" s="79">
        <f>IF(AN2350="","",IF(AND(N2350&gt;0, AG2350&gt;0), IF(Configuración!$K$2="NO", "ALERTA: DESCUENTO DOBLE NO PERMITIDO", "OK"), "OK"))</f>
        <v/>
      </c>
      <c r="AR2350" s="79">
        <f>IF(AN2350="","",IF(OR(AO2350&lt;&gt;"OK", AP2350&lt;&gt;"OK", AQ2350&lt;&gt;"OK"), "⚠️ REVISAR", "OK"))</f>
        <v/>
      </c>
    </row>
    <row r="2351">
      <c r="A2351" s="79">
        <f>IF('Ordenes_Odoo'!A2351="","",'Ordenes_Odoo'!A2351)</f>
        <v/>
      </c>
      <c r="B2351" s="80">
        <f>IF('Ordenes_Odoo'!B2351="","",'Ordenes_Odoo'!B2351)</f>
        <v/>
      </c>
      <c r="C2351" s="79">
        <f>IF('Ordenes_Odoo'!C2351="","",'Ordenes_Odoo'!C2351)</f>
        <v/>
      </c>
      <c r="D2351" s="79">
        <f>IF('Ordenes_Odoo'!D2351="","",'Ordenes_Odoo'!D2351)</f>
        <v/>
      </c>
      <c r="E2351" s="79">
        <f>IF('Ordenes_Odoo'!E2351="","",'Ordenes_Odoo'!E2351)</f>
        <v/>
      </c>
      <c r="F2351" s="79">
        <f>IF('Ordenes_Odoo'!F2351="","",'Ordenes_Odoo'!F2351)</f>
        <v/>
      </c>
      <c r="G2351" s="79">
        <f>IF('Ordenes_Odoo'!G2351="","",'Ordenes_Odoo'!G2351)</f>
        <v/>
      </c>
      <c r="H2351" s="79">
        <f>IF('Ordenes_Odoo'!H2351="","",'Ordenes_Odoo'!H2351)</f>
        <v/>
      </c>
      <c r="I2351" s="79">
        <f>IF('Ordenes_Odoo'!I2351="","",'Ordenes_Odoo'!I2351)</f>
        <v/>
      </c>
      <c r="J2351" s="79">
        <f>IF('Ordenes_Odoo'!J2351="","",'Ordenes_Odoo'!J2351)</f>
        <v/>
      </c>
      <c r="K2351" s="81">
        <f>IF('Ordenes_Odoo'!K2351="","",'Ordenes_Odoo'!K2351)</f>
        <v/>
      </c>
      <c r="L2351" s="81">
        <f>IF('Ordenes_Odoo'!L2351="","",'Ordenes_Odoo'!L2351)</f>
        <v/>
      </c>
      <c r="M2351" s="79">
        <f>IF('Ordenes_Odoo'!M2351="","",'Ordenes_Odoo'!M2351)</f>
        <v/>
      </c>
      <c r="N2351" s="79">
        <f>IF('Ordenes_Odoo'!N2351="","",'Ordenes_Odoo'!N2351)</f>
        <v/>
      </c>
      <c r="O2351" s="81">
        <f>IF('Ordenes_Odoo'!O2351="","",'Ordenes_Odoo'!O2351)</f>
        <v/>
      </c>
      <c r="P2351" s="81">
        <f>IF('Ordenes_Odoo'!P2351="","",'Ordenes_Odoo'!P2351)</f>
        <v/>
      </c>
      <c r="Q2351" s="79">
        <f>IF(A2351="","",IFERROR(INDEX(Facturas_Odoo!$B:$B, MATCH(A2351, Facturas_Odoo!$D:$D, 0)), "Sin Factura"))</f>
        <v/>
      </c>
      <c r="R2351" s="80">
        <f>IF(Q2351="Sin Factura","",IFERROR(INDEX(Facturas_Odoo!$A:$A, MATCH(Q2351, Facturas_Odoo!$B:$B, 0)), ""))</f>
        <v/>
      </c>
      <c r="S2351" s="79">
        <f>IF(Q2351="Sin Factura","",IFERROR(_xlfn.XLOOKUP(1, (Facturas_Odoo!$D:$D=A2351) * (Facturas_Odoo!$K:$K=I2351), Facturas_Odoo!$L:$L, ""), ""))</f>
        <v/>
      </c>
      <c r="T2351" s="81">
        <f>IF(Q2351="Sin Factura",0,IFERROR(_xlfn.XLOOKUP(1, (Facturas_Odoo!$D:$D=A2351) * (Facturas_Odoo!$K:$K=I2351), Facturas_Odoo!$M:$M, 0), 0))</f>
        <v/>
      </c>
      <c r="U2351" s="79">
        <f>IF(Q2351="Sin Factura",0,IFERROR(_xlfn.XLOOKUP(1, (Facturas_Odoo!$D:$D=A2351) * (Facturas_Odoo!$K:$K=I2351), Facturas_Odoo!$N:$N, 0), 0))</f>
        <v/>
      </c>
      <c r="V2351" s="79">
        <f>IF(Q2351="Sin Factura",0,IFERROR(_xlfn.XLOOKUP(1, (Facturas_Odoo!$D:$D=A2351) * (Facturas_Odoo!$K:$K=I2351), Facturas_Odoo!$O:$O, 0), 0))</f>
        <v/>
      </c>
      <c r="W2351" s="81">
        <f>IF(Q2351="Sin Factura",0,IFERROR(_xlfn.XLOOKUP(1, (Facturas_Odoo!$D:$D=A2351) * (Facturas_Odoo!$K:$K=I2351), Facturas_Odoo!$Q:$Q, 0), 0))</f>
        <v/>
      </c>
      <c r="X2351" s="79">
        <f>IF(OR(Q2351="Sin Factura",Q2351=""),"",IFERROR(INDEX(Pagos_Odoo!$B:$B, MATCH(Q2351, Pagos_Odoo!$I:$I, 0)), "Sin Pago"))</f>
        <v/>
      </c>
      <c r="Y2351" s="79">
        <f>IF(X2351="Sin Pago","",IFERROR(INDEX(Pagos_Odoo!$C:$C, MATCH(X2351, Pagos_Odoo!$B:$B, 0)), ""))</f>
        <v/>
      </c>
      <c r="Z2351" s="80">
        <f>IF(X2351="Sin Pago","",IFERROR(INDEX(Pagos_Odoo!$A:$A, MATCH(X2351, Pagos_Odoo!$B:$B, 0)), ""))</f>
        <v/>
      </c>
      <c r="AA2351" s="79">
        <f>IF(X2351="Sin Pago","",IFERROR(INDEX(Pagos_Odoo!$F:$F, MATCH(X2351, Pagos_Odoo!$B:$B, 0)), ""))</f>
        <v/>
      </c>
      <c r="AB2351" s="81">
        <f>IF(X2351="Sin Pago",0,IFERROR(INDEX(Pagos_Odoo!$E:$E, MATCH(X2351, Pagos_Odoo!$B:$B, 0)), 0))</f>
        <v/>
      </c>
      <c r="AC2351" s="79">
        <f>IF(X2351="Sin Pago","",IFERROR(INDEX(Pagos_Odoo!$G:$G, MATCH(X2351, Pagos_Odoo!$B:$B, 0)), ""))</f>
        <v/>
      </c>
      <c r="AD2351" s="82" t="n">
        <v>0</v>
      </c>
      <c r="AE2351" s="82" t="n"/>
      <c r="AF2351" s="82" t="n"/>
      <c r="AG2351" s="82">
        <f>IF(AN2351="","",AD2351+AE2351+AF2351)</f>
        <v/>
      </c>
      <c r="AH2351" s="81">
        <f>IF(AN2351="","",P2351*(1-AG2351))</f>
        <v/>
      </c>
      <c r="AI2351" s="81">
        <f>IF(AN2351="","",IF(Q2351="Sin Factura",0,IFERROR(INDEX(Facturas_Odoo!$H:$H, MATCH(Q2351, Facturas_Odoo!$B:$B, 0)), 0)*(1-AG2351)))</f>
        <v/>
      </c>
      <c r="AJ2351" s="81">
        <f>IF(AN2351="","",_xlfn.LET(idVenta, AN2351&amp;"",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51" s="81">
        <f>IF(AN2351="","",AH2351-AJ2351)</f>
        <v/>
      </c>
      <c r="AL2351" s="81">
        <f>IF(AN2351="","",IF(Q2351="Sin Factura","",AI2351-AJ2351))</f>
        <v/>
      </c>
      <c r="AM2351" s="81">
        <f>IF(AN2351="","",IF(Q2351="Sin Factura",0,P2351-IFERROR(INDEX(Facturas_Odoo!$H:$H, MATCH(Q2351, Facturas_Odoo!$B:$B, 0)), 0)))</f>
        <v/>
      </c>
      <c r="AN2351" s="79">
        <f>IF(AND(A2351="", J2351=""), "", IF(A2351&lt;&gt;"", VALUE(MID(A2351,2,LEN(A2351))), AN2350))</f>
        <v/>
      </c>
      <c r="AO2351" s="79">
        <f>IF(AN2351="","",IF(AD2351=0,"OK",_xlfn.LET(monedaPago, IF(AA2351="","USD",AA2351), limitePermitido, IFERROR(VLOOKUP(monedaPago, Configuración!$A$2:$B$3, 2, FALSE), 0.15), IF(AD2351&gt;limitePermitido, "ALERTA: EXCESO (" &amp; TEXT(limitePermitido, "0%") &amp; " máx)", "OK"))))</f>
        <v/>
      </c>
      <c r="AP2351" s="79">
        <f>IF(AN2351="","",IF(AE2351=0,"OK",_xlfn.LET(fechaPago, Z2351, fechaFactura, R2351, diasCredito, IF(E2351="Pago inmediato", 0, IFERROR(VALUE(MID(E2351, 1, SEARCH(" ", E2351)-1)),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51" s="79">
        <f>IF(AN2351="","",IF(AND(N2351&gt;0, AG2351&gt;0), IF(Configuración!$K$2="NO", "ALERTA: DESCUENTO DOBLE NO PERMITIDO", "OK"), "OK"))</f>
        <v/>
      </c>
      <c r="AR2351" s="79">
        <f>IF(AN2351="","",IF(OR(AO2351&lt;&gt;"OK", AP2351&lt;&gt;"OK", AQ2351&lt;&gt;"OK"), "⚠️ REVISAR", "OK"))</f>
        <v/>
      </c>
    </row>
    <row r="2352">
      <c r="A2352" s="79">
        <f>IF('Ordenes_Odoo'!A2352="","",'Ordenes_Odoo'!A2352)</f>
        <v/>
      </c>
      <c r="B2352" s="80">
        <f>IF('Ordenes_Odoo'!B2352="","",'Ordenes_Odoo'!B2352)</f>
        <v/>
      </c>
      <c r="C2352" s="79">
        <f>IF('Ordenes_Odoo'!C2352="","",'Ordenes_Odoo'!C2352)</f>
        <v/>
      </c>
      <c r="D2352" s="79">
        <f>IF('Ordenes_Odoo'!D2352="","",'Ordenes_Odoo'!D2352)</f>
        <v/>
      </c>
      <c r="E2352" s="79">
        <f>IF('Ordenes_Odoo'!E2352="","",'Ordenes_Odoo'!E2352)</f>
        <v/>
      </c>
      <c r="F2352" s="79">
        <f>IF('Ordenes_Odoo'!F2352="","",'Ordenes_Odoo'!F2352)</f>
        <v/>
      </c>
      <c r="G2352" s="79">
        <f>IF('Ordenes_Odoo'!G2352="","",'Ordenes_Odoo'!G2352)</f>
        <v/>
      </c>
      <c r="H2352" s="79">
        <f>IF('Ordenes_Odoo'!H2352="","",'Ordenes_Odoo'!H2352)</f>
        <v/>
      </c>
      <c r="I2352" s="79">
        <f>IF('Ordenes_Odoo'!I2352="","",'Ordenes_Odoo'!I2352)</f>
        <v/>
      </c>
      <c r="J2352" s="79">
        <f>IF('Ordenes_Odoo'!J2352="","",'Ordenes_Odoo'!J2352)</f>
        <v/>
      </c>
      <c r="K2352" s="81">
        <f>IF('Ordenes_Odoo'!K2352="","",'Ordenes_Odoo'!K2352)</f>
        <v/>
      </c>
      <c r="L2352" s="81">
        <f>IF('Ordenes_Odoo'!L2352="","",'Ordenes_Odoo'!L2352)</f>
        <v/>
      </c>
      <c r="M2352" s="79">
        <f>IF('Ordenes_Odoo'!M2352="","",'Ordenes_Odoo'!M2352)</f>
        <v/>
      </c>
      <c r="N2352" s="79">
        <f>IF('Ordenes_Odoo'!N2352="","",'Ordenes_Odoo'!N2352)</f>
        <v/>
      </c>
      <c r="O2352" s="81">
        <f>IF('Ordenes_Odoo'!O2352="","",'Ordenes_Odoo'!O2352)</f>
        <v/>
      </c>
      <c r="P2352" s="81">
        <f>IF('Ordenes_Odoo'!P2352="","",'Ordenes_Odoo'!P2352)</f>
        <v/>
      </c>
      <c r="Q2352" s="79">
        <f>IF(A2352="","",IFERROR(INDEX(Facturas_Odoo!$B:$B, MATCH(A2352, Facturas_Odoo!$D:$D, 0)), "Sin Factura"))</f>
        <v/>
      </c>
      <c r="R2352" s="80">
        <f>IF(Q2352="Sin Factura","",IFERROR(INDEX(Facturas_Odoo!$A:$A, MATCH(Q2352, Facturas_Odoo!$B:$B, 0)), ""))</f>
        <v/>
      </c>
      <c r="S2352" s="79">
        <f>IF(Q2352="Sin Factura","",IFERROR(_xlfn.XLOOKUP(1, (Facturas_Odoo!$D:$D=A2352) * (Facturas_Odoo!$K:$K=I2352), Facturas_Odoo!$L:$L, ""), ""))</f>
        <v/>
      </c>
      <c r="T2352" s="81">
        <f>IF(Q2352="Sin Factura",0,IFERROR(_xlfn.XLOOKUP(1, (Facturas_Odoo!$D:$D=A2352) * (Facturas_Odoo!$K:$K=I2352), Facturas_Odoo!$M:$M, 0), 0))</f>
        <v/>
      </c>
      <c r="U2352" s="79">
        <f>IF(Q2352="Sin Factura",0,IFERROR(_xlfn.XLOOKUP(1, (Facturas_Odoo!$D:$D=A2352) * (Facturas_Odoo!$K:$K=I2352), Facturas_Odoo!$N:$N, 0), 0))</f>
        <v/>
      </c>
      <c r="V2352" s="79">
        <f>IF(Q2352="Sin Factura",0,IFERROR(_xlfn.XLOOKUP(1, (Facturas_Odoo!$D:$D=A2352) * (Facturas_Odoo!$K:$K=I2352), Facturas_Odoo!$O:$O, 0), 0))</f>
        <v/>
      </c>
      <c r="W2352" s="81">
        <f>IF(Q2352="Sin Factura",0,IFERROR(_xlfn.XLOOKUP(1, (Facturas_Odoo!$D:$D=A2352) * (Facturas_Odoo!$K:$K=I2352), Facturas_Odoo!$Q:$Q, 0), 0))</f>
        <v/>
      </c>
      <c r="X2352" s="79">
        <f>IF(OR(Q2352="Sin Factura",Q2352=""),"",IFERROR(INDEX(Pagos_Odoo!$B:$B, MATCH(Q2352, Pagos_Odoo!$I:$I, 0)), "Sin Pago"))</f>
        <v/>
      </c>
      <c r="Y2352" s="79">
        <f>IF(X2352="Sin Pago","",IFERROR(INDEX(Pagos_Odoo!$C:$C, MATCH(X2352, Pagos_Odoo!$B:$B, 0)), ""))</f>
        <v/>
      </c>
      <c r="Z2352" s="80">
        <f>IF(X2352="Sin Pago","",IFERROR(INDEX(Pagos_Odoo!$A:$A, MATCH(X2352, Pagos_Odoo!$B:$B, 0)), ""))</f>
        <v/>
      </c>
      <c r="AA2352" s="79">
        <f>IF(X2352="Sin Pago","",IFERROR(INDEX(Pagos_Odoo!$F:$F, MATCH(X2352, Pagos_Odoo!$B:$B, 0)), ""))</f>
        <v/>
      </c>
      <c r="AB2352" s="81">
        <f>IF(X2352="Sin Pago",0,IFERROR(INDEX(Pagos_Odoo!$E:$E, MATCH(X2352, Pagos_Odoo!$B:$B, 0)), 0))</f>
        <v/>
      </c>
      <c r="AC2352" s="79">
        <f>IF(X2352="Sin Pago","",IFERROR(INDEX(Pagos_Odoo!$G:$G, MATCH(X2352, Pagos_Odoo!$B:$B, 0)), ""))</f>
        <v/>
      </c>
      <c r="AD2352" s="82" t="n">
        <v>0</v>
      </c>
      <c r="AE2352" s="82" t="n"/>
      <c r="AF2352" s="82" t="n"/>
      <c r="AG2352" s="82">
        <f>IF(AN2352="","",AD2352+AE2352+AF2352)</f>
        <v/>
      </c>
      <c r="AH2352" s="81">
        <f>IF(AN2352="","",P2352*(1-AG2352))</f>
        <v/>
      </c>
      <c r="AI2352" s="81">
        <f>IF(AN2352="","",IF(Q2352="Sin Factura",0,IFERROR(INDEX(Facturas_Odoo!$H:$H, MATCH(Q2352, Facturas_Odoo!$B:$B, 0)), 0)*(1-AG2352)))</f>
        <v/>
      </c>
      <c r="AJ2352" s="81">
        <f>IF(AN2352="","",_xlfn.LET(idVenta, AN2352&amp;"",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52" s="81">
        <f>IF(AN2352="","",AH2352-AJ2352)</f>
        <v/>
      </c>
      <c r="AL2352" s="81">
        <f>IF(AN2352="","",IF(Q2352="Sin Factura","",AI2352-AJ2352))</f>
        <v/>
      </c>
      <c r="AM2352" s="81">
        <f>IF(AN2352="","",IF(Q2352="Sin Factura",0,P2352-IFERROR(INDEX(Facturas_Odoo!$H:$H, MATCH(Q2352, Facturas_Odoo!$B:$B, 0)), 0)))</f>
        <v/>
      </c>
      <c r="AN2352" s="79">
        <f>IF(AND(A2352="", J2352=""), "", IF(A2352&lt;&gt;"", VALUE(MID(A2352,2,LEN(A2352))), AN2351))</f>
        <v/>
      </c>
      <c r="AO2352" s="79">
        <f>IF(AN2352="","",IF(AD2352=0,"OK",_xlfn.LET(monedaPago, IF(AA2352="","USD",AA2352), limitePermitido, IFERROR(VLOOKUP(monedaPago, Configuración!$A$2:$B$3, 2, FALSE), 0.15), IF(AD2352&gt;limitePermitido, "ALERTA: EXCESO (" &amp; TEXT(limitePermitido, "0%") &amp; " máx)", "OK"))))</f>
        <v/>
      </c>
      <c r="AP2352" s="79">
        <f>IF(AN2352="","",IF(AE2352=0,"OK",_xlfn.LET(fechaPago, Z2352, fechaFactura, R2352, diasCredito, IF(E2352="Pago inmediato", 0, IFERROR(VALUE(MID(E2352, 1, SEARCH(" ", E2352)-1)),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52" s="79">
        <f>IF(AN2352="","",IF(AND(N2352&gt;0, AG2352&gt;0), IF(Configuración!$K$2="NO", "ALERTA: DESCUENTO DOBLE NO PERMITIDO", "OK"), "OK"))</f>
        <v/>
      </c>
      <c r="AR2352" s="79">
        <f>IF(AN2352="","",IF(OR(AO2352&lt;&gt;"OK", AP2352&lt;&gt;"OK", AQ2352&lt;&gt;"OK"), "⚠️ REVISAR", "OK"))</f>
        <v/>
      </c>
    </row>
    <row r="2353">
      <c r="A2353" s="79">
        <f>IF('Ordenes_Odoo'!A2353="","",'Ordenes_Odoo'!A2353)</f>
        <v/>
      </c>
      <c r="B2353" s="80">
        <f>IF('Ordenes_Odoo'!B2353="","",'Ordenes_Odoo'!B2353)</f>
        <v/>
      </c>
      <c r="C2353" s="79">
        <f>IF('Ordenes_Odoo'!C2353="","",'Ordenes_Odoo'!C2353)</f>
        <v/>
      </c>
      <c r="D2353" s="79">
        <f>IF('Ordenes_Odoo'!D2353="","",'Ordenes_Odoo'!D2353)</f>
        <v/>
      </c>
      <c r="E2353" s="79">
        <f>IF('Ordenes_Odoo'!E2353="","",'Ordenes_Odoo'!E2353)</f>
        <v/>
      </c>
      <c r="F2353" s="79">
        <f>IF('Ordenes_Odoo'!F2353="","",'Ordenes_Odoo'!F2353)</f>
        <v/>
      </c>
      <c r="G2353" s="79">
        <f>IF('Ordenes_Odoo'!G2353="","",'Ordenes_Odoo'!G2353)</f>
        <v/>
      </c>
      <c r="H2353" s="79">
        <f>IF('Ordenes_Odoo'!H2353="","",'Ordenes_Odoo'!H2353)</f>
        <v/>
      </c>
      <c r="I2353" s="79">
        <f>IF('Ordenes_Odoo'!I2353="","",'Ordenes_Odoo'!I2353)</f>
        <v/>
      </c>
      <c r="J2353" s="79">
        <f>IF('Ordenes_Odoo'!J2353="","",'Ordenes_Odoo'!J2353)</f>
        <v/>
      </c>
      <c r="K2353" s="81">
        <f>IF('Ordenes_Odoo'!K2353="","",'Ordenes_Odoo'!K2353)</f>
        <v/>
      </c>
      <c r="L2353" s="81">
        <f>IF('Ordenes_Odoo'!L2353="","",'Ordenes_Odoo'!L2353)</f>
        <v/>
      </c>
      <c r="M2353" s="79">
        <f>IF('Ordenes_Odoo'!M2353="","",'Ordenes_Odoo'!M2353)</f>
        <v/>
      </c>
      <c r="N2353" s="79">
        <f>IF('Ordenes_Odoo'!N2353="","",'Ordenes_Odoo'!N2353)</f>
        <v/>
      </c>
      <c r="O2353" s="81">
        <f>IF('Ordenes_Odoo'!O2353="","",'Ordenes_Odoo'!O2353)</f>
        <v/>
      </c>
      <c r="P2353" s="81">
        <f>IF('Ordenes_Odoo'!P2353="","",'Ordenes_Odoo'!P2353)</f>
        <v/>
      </c>
      <c r="Q2353" s="79">
        <f>IF(A2353="","",IFERROR(INDEX(Facturas_Odoo!$B:$B, MATCH(A2353, Facturas_Odoo!$D:$D, 0)), "Sin Factura"))</f>
        <v/>
      </c>
      <c r="R2353" s="80">
        <f>IF(Q2353="Sin Factura","",IFERROR(INDEX(Facturas_Odoo!$A:$A, MATCH(Q2353, Facturas_Odoo!$B:$B, 0)), ""))</f>
        <v/>
      </c>
      <c r="S2353" s="79">
        <f>IF(Q2353="Sin Factura","",IFERROR(_xlfn.XLOOKUP(1, (Facturas_Odoo!$D:$D=A2353) * (Facturas_Odoo!$K:$K=I2353), Facturas_Odoo!$L:$L, ""), ""))</f>
        <v/>
      </c>
      <c r="T2353" s="81">
        <f>IF(Q2353="Sin Factura",0,IFERROR(_xlfn.XLOOKUP(1, (Facturas_Odoo!$D:$D=A2353) * (Facturas_Odoo!$K:$K=I2353), Facturas_Odoo!$M:$M, 0), 0))</f>
        <v/>
      </c>
      <c r="U2353" s="79">
        <f>IF(Q2353="Sin Factura",0,IFERROR(_xlfn.XLOOKUP(1, (Facturas_Odoo!$D:$D=A2353) * (Facturas_Odoo!$K:$K=I2353), Facturas_Odoo!$N:$N, 0), 0))</f>
        <v/>
      </c>
      <c r="V2353" s="79">
        <f>IF(Q2353="Sin Factura",0,IFERROR(_xlfn.XLOOKUP(1, (Facturas_Odoo!$D:$D=A2353) * (Facturas_Odoo!$K:$K=I2353), Facturas_Odoo!$O:$O, 0), 0))</f>
        <v/>
      </c>
      <c r="W2353" s="81">
        <f>IF(Q2353="Sin Factura",0,IFERROR(_xlfn.XLOOKUP(1, (Facturas_Odoo!$D:$D=A2353) * (Facturas_Odoo!$K:$K=I2353), Facturas_Odoo!$Q:$Q, 0), 0))</f>
        <v/>
      </c>
      <c r="X2353" s="79">
        <f>IF(OR(Q2353="Sin Factura",Q2353=""),"",IFERROR(INDEX(Pagos_Odoo!$B:$B, MATCH(Q2353, Pagos_Odoo!$I:$I, 0)), "Sin Pago"))</f>
        <v/>
      </c>
      <c r="Y2353" s="79">
        <f>IF(X2353="Sin Pago","",IFERROR(INDEX(Pagos_Odoo!$C:$C, MATCH(X2353, Pagos_Odoo!$B:$B, 0)), ""))</f>
        <v/>
      </c>
      <c r="Z2353" s="80">
        <f>IF(X2353="Sin Pago","",IFERROR(INDEX(Pagos_Odoo!$A:$A, MATCH(X2353, Pagos_Odoo!$B:$B, 0)), ""))</f>
        <v/>
      </c>
      <c r="AA2353" s="79">
        <f>IF(X2353="Sin Pago","",IFERROR(INDEX(Pagos_Odoo!$F:$F, MATCH(X2353, Pagos_Odoo!$B:$B, 0)), ""))</f>
        <v/>
      </c>
      <c r="AB2353" s="81">
        <f>IF(X2353="Sin Pago",0,IFERROR(INDEX(Pagos_Odoo!$E:$E, MATCH(X2353, Pagos_Odoo!$B:$B, 0)), 0))</f>
        <v/>
      </c>
      <c r="AC2353" s="79">
        <f>IF(X2353="Sin Pago","",IFERROR(INDEX(Pagos_Odoo!$G:$G, MATCH(X2353, Pagos_Odoo!$B:$B, 0)), ""))</f>
        <v/>
      </c>
      <c r="AD2353" s="82" t="n">
        <v>0</v>
      </c>
      <c r="AE2353" s="82" t="n"/>
      <c r="AF2353" s="82" t="n"/>
      <c r="AG2353" s="82">
        <f>IF(AN2353="","",AD2353+AE2353+AF2353)</f>
        <v/>
      </c>
      <c r="AH2353" s="81">
        <f>IF(AN2353="","",P2353*(1-AG2353))</f>
        <v/>
      </c>
      <c r="AI2353" s="81">
        <f>IF(AN2353="","",IF(Q2353="Sin Factura",0,IFERROR(INDEX(Facturas_Odoo!$H:$H, MATCH(Q2353, Facturas_Odoo!$B:$B, 0)), 0)*(1-AG2353)))</f>
        <v/>
      </c>
      <c r="AJ2353" s="81">
        <f>IF(AN2353="","",_xlfn.LET(idVenta, AN2353&amp;"",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53" s="81">
        <f>IF(AN2353="","",AH2353-AJ2353)</f>
        <v/>
      </c>
      <c r="AL2353" s="81">
        <f>IF(AN2353="","",IF(Q2353="Sin Factura","",AI2353-AJ2353))</f>
        <v/>
      </c>
      <c r="AM2353" s="81">
        <f>IF(AN2353="","",IF(Q2353="Sin Factura",0,P2353-IFERROR(INDEX(Facturas_Odoo!$H:$H, MATCH(Q2353, Facturas_Odoo!$B:$B, 0)), 0)))</f>
        <v/>
      </c>
      <c r="AN2353" s="79">
        <f>IF(AND(A2353="", J2353=""), "", IF(A2353&lt;&gt;"", VALUE(MID(A2353,2,LEN(A2353))), AN2352))</f>
        <v/>
      </c>
      <c r="AO2353" s="79">
        <f>IF(AN2353="","",IF(AD2353=0,"OK",_xlfn.LET(monedaPago, IF(AA2353="","USD",AA2353), limitePermitido, IFERROR(VLOOKUP(monedaPago, Configuración!$A$2:$B$3, 2, FALSE), 0.15), IF(AD2353&gt;limitePermitido, "ALERTA: EXCESO (" &amp; TEXT(limitePermitido, "0%") &amp; " máx)", "OK"))))</f>
        <v/>
      </c>
      <c r="AP2353" s="79">
        <f>IF(AN2353="","",IF(AE2353=0,"OK",_xlfn.LET(fechaPago, Z2353, fechaFactura, R2353, diasCredito, IF(E2353="Pago inmediato", 0, IFERROR(VALUE(MID(E2353, 1, SEARCH(" ", E2353)-1)),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53" s="79">
        <f>IF(AN2353="","",IF(AND(N2353&gt;0, AG2353&gt;0), IF(Configuración!$K$2="NO", "ALERTA: DESCUENTO DOBLE NO PERMITIDO", "OK"), "OK"))</f>
        <v/>
      </c>
      <c r="AR2353" s="79">
        <f>IF(AN2353="","",IF(OR(AO2353&lt;&gt;"OK", AP2353&lt;&gt;"OK", AQ2353&lt;&gt;"OK"), "⚠️ REVISAR", "OK"))</f>
        <v/>
      </c>
    </row>
    <row r="2354">
      <c r="A2354" s="79">
        <f>IF('Ordenes_Odoo'!A2354="","",'Ordenes_Odoo'!A2354)</f>
        <v/>
      </c>
      <c r="B2354" s="80">
        <f>IF('Ordenes_Odoo'!B2354="","",'Ordenes_Odoo'!B2354)</f>
        <v/>
      </c>
      <c r="C2354" s="79">
        <f>IF('Ordenes_Odoo'!C2354="","",'Ordenes_Odoo'!C2354)</f>
        <v/>
      </c>
      <c r="D2354" s="79">
        <f>IF('Ordenes_Odoo'!D2354="","",'Ordenes_Odoo'!D2354)</f>
        <v/>
      </c>
      <c r="E2354" s="79">
        <f>IF('Ordenes_Odoo'!E2354="","",'Ordenes_Odoo'!E2354)</f>
        <v/>
      </c>
      <c r="F2354" s="79">
        <f>IF('Ordenes_Odoo'!F2354="","",'Ordenes_Odoo'!F2354)</f>
        <v/>
      </c>
      <c r="G2354" s="79">
        <f>IF('Ordenes_Odoo'!G2354="","",'Ordenes_Odoo'!G2354)</f>
        <v/>
      </c>
      <c r="H2354" s="79">
        <f>IF('Ordenes_Odoo'!H2354="","",'Ordenes_Odoo'!H2354)</f>
        <v/>
      </c>
      <c r="I2354" s="79">
        <f>IF('Ordenes_Odoo'!I2354="","",'Ordenes_Odoo'!I2354)</f>
        <v/>
      </c>
      <c r="J2354" s="79">
        <f>IF('Ordenes_Odoo'!J2354="","",'Ordenes_Odoo'!J2354)</f>
        <v/>
      </c>
      <c r="K2354" s="81">
        <f>IF('Ordenes_Odoo'!K2354="","",'Ordenes_Odoo'!K2354)</f>
        <v/>
      </c>
      <c r="L2354" s="81">
        <f>IF('Ordenes_Odoo'!L2354="","",'Ordenes_Odoo'!L2354)</f>
        <v/>
      </c>
      <c r="M2354" s="79">
        <f>IF('Ordenes_Odoo'!M2354="","",'Ordenes_Odoo'!M2354)</f>
        <v/>
      </c>
      <c r="N2354" s="79">
        <f>IF('Ordenes_Odoo'!N2354="","",'Ordenes_Odoo'!N2354)</f>
        <v/>
      </c>
      <c r="O2354" s="81">
        <f>IF('Ordenes_Odoo'!O2354="","",'Ordenes_Odoo'!O2354)</f>
        <v/>
      </c>
      <c r="P2354" s="81">
        <f>IF('Ordenes_Odoo'!P2354="","",'Ordenes_Odoo'!P2354)</f>
        <v/>
      </c>
      <c r="Q2354" s="79">
        <f>IF(A2354="","",IFERROR(INDEX(Facturas_Odoo!$B:$B, MATCH(A2354, Facturas_Odoo!$D:$D, 0)), "Sin Factura"))</f>
        <v/>
      </c>
      <c r="R2354" s="80">
        <f>IF(Q2354="Sin Factura","",IFERROR(INDEX(Facturas_Odoo!$A:$A, MATCH(Q2354, Facturas_Odoo!$B:$B, 0)), ""))</f>
        <v/>
      </c>
      <c r="S2354" s="79">
        <f>IF(Q2354="Sin Factura","",IFERROR(_xlfn.XLOOKUP(1, (Facturas_Odoo!$D:$D=A2354) * (Facturas_Odoo!$K:$K=I2354), Facturas_Odoo!$L:$L, ""), ""))</f>
        <v/>
      </c>
      <c r="T2354" s="81">
        <f>IF(Q2354="Sin Factura",0,IFERROR(_xlfn.XLOOKUP(1, (Facturas_Odoo!$D:$D=A2354) * (Facturas_Odoo!$K:$K=I2354), Facturas_Odoo!$M:$M, 0), 0))</f>
        <v/>
      </c>
      <c r="U2354" s="79">
        <f>IF(Q2354="Sin Factura",0,IFERROR(_xlfn.XLOOKUP(1, (Facturas_Odoo!$D:$D=A2354) * (Facturas_Odoo!$K:$K=I2354), Facturas_Odoo!$N:$N, 0), 0))</f>
        <v/>
      </c>
      <c r="V2354" s="79">
        <f>IF(Q2354="Sin Factura",0,IFERROR(_xlfn.XLOOKUP(1, (Facturas_Odoo!$D:$D=A2354) * (Facturas_Odoo!$K:$K=I2354), Facturas_Odoo!$O:$O, 0), 0))</f>
        <v/>
      </c>
      <c r="W2354" s="81">
        <f>IF(Q2354="Sin Factura",0,IFERROR(_xlfn.XLOOKUP(1, (Facturas_Odoo!$D:$D=A2354) * (Facturas_Odoo!$K:$K=I2354), Facturas_Odoo!$Q:$Q, 0), 0))</f>
        <v/>
      </c>
      <c r="X2354" s="79">
        <f>IF(OR(Q2354="Sin Factura",Q2354=""),"",IFERROR(INDEX(Pagos_Odoo!$B:$B, MATCH(Q2354, Pagos_Odoo!$I:$I, 0)), "Sin Pago"))</f>
        <v/>
      </c>
      <c r="Y2354" s="79">
        <f>IF(X2354="Sin Pago","",IFERROR(INDEX(Pagos_Odoo!$C:$C, MATCH(X2354, Pagos_Odoo!$B:$B, 0)), ""))</f>
        <v/>
      </c>
      <c r="Z2354" s="80">
        <f>IF(X2354="Sin Pago","",IFERROR(INDEX(Pagos_Odoo!$A:$A, MATCH(X2354, Pagos_Odoo!$B:$B, 0)), ""))</f>
        <v/>
      </c>
      <c r="AA2354" s="79">
        <f>IF(X2354="Sin Pago","",IFERROR(INDEX(Pagos_Odoo!$F:$F, MATCH(X2354, Pagos_Odoo!$B:$B, 0)), ""))</f>
        <v/>
      </c>
      <c r="AB2354" s="81">
        <f>IF(X2354="Sin Pago",0,IFERROR(INDEX(Pagos_Odoo!$E:$E, MATCH(X2354, Pagos_Odoo!$B:$B, 0)), 0))</f>
        <v/>
      </c>
      <c r="AC2354" s="79">
        <f>IF(X2354="Sin Pago","",IFERROR(INDEX(Pagos_Odoo!$G:$G, MATCH(X2354, Pagos_Odoo!$B:$B, 0)), ""))</f>
        <v/>
      </c>
      <c r="AD2354" s="82" t="n">
        <v>0</v>
      </c>
      <c r="AE2354" s="82" t="n"/>
      <c r="AF2354" s="82" t="n"/>
      <c r="AG2354" s="82">
        <f>IF(AN2354="","",AD2354+AE2354+AF2354)</f>
        <v/>
      </c>
      <c r="AH2354" s="81">
        <f>IF(AN2354="","",P2354*(1-AG2354))</f>
        <v/>
      </c>
      <c r="AI2354" s="81">
        <f>IF(AN2354="","",IF(Q2354="Sin Factura",0,IFERROR(INDEX(Facturas_Odoo!$H:$H, MATCH(Q2354, Facturas_Odoo!$B:$B, 0)), 0)*(1-AG2354)))</f>
        <v/>
      </c>
      <c r="AJ2354" s="81">
        <f>IF(AN2354="","",_xlfn.LET(idVenta, AN2354&amp;"",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54" s="81">
        <f>IF(AN2354="","",AH2354-AJ2354)</f>
        <v/>
      </c>
      <c r="AL2354" s="81">
        <f>IF(AN2354="","",IF(Q2354="Sin Factura","",AI2354-AJ2354))</f>
        <v/>
      </c>
      <c r="AM2354" s="81">
        <f>IF(AN2354="","",IF(Q2354="Sin Factura",0,P2354-IFERROR(INDEX(Facturas_Odoo!$H:$H, MATCH(Q2354, Facturas_Odoo!$B:$B, 0)), 0)))</f>
        <v/>
      </c>
      <c r="AN2354" s="79">
        <f>IF(AND(A2354="", J2354=""), "", IF(A2354&lt;&gt;"", VALUE(MID(A2354,2,LEN(A2354))), AN2353))</f>
        <v/>
      </c>
      <c r="AO2354" s="79">
        <f>IF(AN2354="","",IF(AD2354=0,"OK",_xlfn.LET(monedaPago, IF(AA2354="","USD",AA2354), limitePermitido, IFERROR(VLOOKUP(monedaPago, Configuración!$A$2:$B$3, 2, FALSE), 0.15), IF(AD2354&gt;limitePermitido, "ALERTA: EXCESO (" &amp; TEXT(limitePermitido, "0%") &amp; " máx)", "OK"))))</f>
        <v/>
      </c>
      <c r="AP2354" s="79">
        <f>IF(AN2354="","",IF(AE2354=0,"OK",_xlfn.LET(fechaPago, Z2354, fechaFactura, R2354, diasCredito, IF(E2354="Pago inmediato", 0, IFERROR(VALUE(MID(E2354, 1, SEARCH(" ", E2354)-1)),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54" s="79">
        <f>IF(AN2354="","",IF(AND(N2354&gt;0, AG2354&gt;0), IF(Configuración!$K$2="NO", "ALERTA: DESCUENTO DOBLE NO PERMITIDO", "OK"), "OK"))</f>
        <v/>
      </c>
      <c r="AR2354" s="79">
        <f>IF(AN2354="","",IF(OR(AO2354&lt;&gt;"OK", AP2354&lt;&gt;"OK", AQ2354&lt;&gt;"OK"), "⚠️ REVISAR", "OK"))</f>
        <v/>
      </c>
    </row>
    <row r="2355">
      <c r="A2355" s="79">
        <f>IF('Ordenes_Odoo'!A2355="","",'Ordenes_Odoo'!A2355)</f>
        <v/>
      </c>
      <c r="B2355" s="80">
        <f>IF('Ordenes_Odoo'!B2355="","",'Ordenes_Odoo'!B2355)</f>
        <v/>
      </c>
      <c r="C2355" s="79">
        <f>IF('Ordenes_Odoo'!C2355="","",'Ordenes_Odoo'!C2355)</f>
        <v/>
      </c>
      <c r="D2355" s="79">
        <f>IF('Ordenes_Odoo'!D2355="","",'Ordenes_Odoo'!D2355)</f>
        <v/>
      </c>
      <c r="E2355" s="79">
        <f>IF('Ordenes_Odoo'!E2355="","",'Ordenes_Odoo'!E2355)</f>
        <v/>
      </c>
      <c r="F2355" s="79">
        <f>IF('Ordenes_Odoo'!F2355="","",'Ordenes_Odoo'!F2355)</f>
        <v/>
      </c>
      <c r="G2355" s="79">
        <f>IF('Ordenes_Odoo'!G2355="","",'Ordenes_Odoo'!G2355)</f>
        <v/>
      </c>
      <c r="H2355" s="79">
        <f>IF('Ordenes_Odoo'!H2355="","",'Ordenes_Odoo'!H2355)</f>
        <v/>
      </c>
      <c r="I2355" s="79">
        <f>IF('Ordenes_Odoo'!I2355="","",'Ordenes_Odoo'!I2355)</f>
        <v/>
      </c>
      <c r="J2355" s="79">
        <f>IF('Ordenes_Odoo'!J2355="","",'Ordenes_Odoo'!J2355)</f>
        <v/>
      </c>
      <c r="K2355" s="81">
        <f>IF('Ordenes_Odoo'!K2355="","",'Ordenes_Odoo'!K2355)</f>
        <v/>
      </c>
      <c r="L2355" s="81">
        <f>IF('Ordenes_Odoo'!L2355="","",'Ordenes_Odoo'!L2355)</f>
        <v/>
      </c>
      <c r="M2355" s="79">
        <f>IF('Ordenes_Odoo'!M2355="","",'Ordenes_Odoo'!M2355)</f>
        <v/>
      </c>
      <c r="N2355" s="79">
        <f>IF('Ordenes_Odoo'!N2355="","",'Ordenes_Odoo'!N2355)</f>
        <v/>
      </c>
      <c r="O2355" s="81">
        <f>IF('Ordenes_Odoo'!O2355="","",'Ordenes_Odoo'!O2355)</f>
        <v/>
      </c>
      <c r="P2355" s="81">
        <f>IF('Ordenes_Odoo'!P2355="","",'Ordenes_Odoo'!P2355)</f>
        <v/>
      </c>
      <c r="Q2355" s="79">
        <f>IF(A2355="","",IFERROR(INDEX(Facturas_Odoo!$B:$B, MATCH(A2355, Facturas_Odoo!$D:$D, 0)), "Sin Factura"))</f>
        <v/>
      </c>
      <c r="R2355" s="80">
        <f>IF(Q2355="Sin Factura","",IFERROR(INDEX(Facturas_Odoo!$A:$A, MATCH(Q2355, Facturas_Odoo!$B:$B, 0)), ""))</f>
        <v/>
      </c>
      <c r="S2355" s="79">
        <f>IF(Q2355="Sin Factura","",IFERROR(_xlfn.XLOOKUP(1, (Facturas_Odoo!$D:$D=A2355) * (Facturas_Odoo!$K:$K=I2355), Facturas_Odoo!$L:$L, ""), ""))</f>
        <v/>
      </c>
      <c r="T2355" s="81">
        <f>IF(Q2355="Sin Factura",0,IFERROR(_xlfn.XLOOKUP(1, (Facturas_Odoo!$D:$D=A2355) * (Facturas_Odoo!$K:$K=I2355), Facturas_Odoo!$M:$M, 0), 0))</f>
        <v/>
      </c>
      <c r="U2355" s="79">
        <f>IF(Q2355="Sin Factura",0,IFERROR(_xlfn.XLOOKUP(1, (Facturas_Odoo!$D:$D=A2355) * (Facturas_Odoo!$K:$K=I2355), Facturas_Odoo!$N:$N, 0), 0))</f>
        <v/>
      </c>
      <c r="V2355" s="79">
        <f>IF(Q2355="Sin Factura",0,IFERROR(_xlfn.XLOOKUP(1, (Facturas_Odoo!$D:$D=A2355) * (Facturas_Odoo!$K:$K=I2355), Facturas_Odoo!$O:$O, 0), 0))</f>
        <v/>
      </c>
      <c r="W2355" s="81">
        <f>IF(Q2355="Sin Factura",0,IFERROR(_xlfn.XLOOKUP(1, (Facturas_Odoo!$D:$D=A2355) * (Facturas_Odoo!$K:$K=I2355), Facturas_Odoo!$Q:$Q, 0), 0))</f>
        <v/>
      </c>
      <c r="X2355" s="79">
        <f>IF(OR(Q2355="Sin Factura",Q2355=""),"",IFERROR(INDEX(Pagos_Odoo!$B:$B, MATCH(Q2355, Pagos_Odoo!$I:$I, 0)), "Sin Pago"))</f>
        <v/>
      </c>
      <c r="Y2355" s="79">
        <f>IF(X2355="Sin Pago","",IFERROR(INDEX(Pagos_Odoo!$C:$C, MATCH(X2355, Pagos_Odoo!$B:$B, 0)), ""))</f>
        <v/>
      </c>
      <c r="Z2355" s="80">
        <f>IF(X2355="Sin Pago","",IFERROR(INDEX(Pagos_Odoo!$A:$A, MATCH(X2355, Pagos_Odoo!$B:$B, 0)), ""))</f>
        <v/>
      </c>
      <c r="AA2355" s="79">
        <f>IF(X2355="Sin Pago","",IFERROR(INDEX(Pagos_Odoo!$F:$F, MATCH(X2355, Pagos_Odoo!$B:$B, 0)), ""))</f>
        <v/>
      </c>
      <c r="AB2355" s="81">
        <f>IF(X2355="Sin Pago",0,IFERROR(INDEX(Pagos_Odoo!$E:$E, MATCH(X2355, Pagos_Odoo!$B:$B, 0)), 0))</f>
        <v/>
      </c>
      <c r="AC2355" s="79">
        <f>IF(X2355="Sin Pago","",IFERROR(INDEX(Pagos_Odoo!$G:$G, MATCH(X2355, Pagos_Odoo!$B:$B, 0)), ""))</f>
        <v/>
      </c>
      <c r="AD2355" s="82" t="n">
        <v>0</v>
      </c>
      <c r="AE2355" s="82" t="n"/>
      <c r="AF2355" s="82" t="n"/>
      <c r="AG2355" s="82">
        <f>IF(AN2355="","",AD2355+AE2355+AF2355)</f>
        <v/>
      </c>
      <c r="AH2355" s="81">
        <f>IF(AN2355="","",P2355*(1-AG2355))</f>
        <v/>
      </c>
      <c r="AI2355" s="81">
        <f>IF(AN2355="","",IF(Q2355="Sin Factura",0,IFERROR(INDEX(Facturas_Odoo!$H:$H, MATCH(Q2355, Facturas_Odoo!$B:$B, 0)), 0)*(1-AG2355)))</f>
        <v/>
      </c>
      <c r="AJ2355" s="81">
        <f>IF(AN2355="","",_xlfn.LET(idVenta, AN2355&amp;"",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55" s="81">
        <f>IF(AN2355="","",AH2355-AJ2355)</f>
        <v/>
      </c>
      <c r="AL2355" s="81">
        <f>IF(AN2355="","",IF(Q2355="Sin Factura","",AI2355-AJ2355))</f>
        <v/>
      </c>
      <c r="AM2355" s="81">
        <f>IF(AN2355="","",IF(Q2355="Sin Factura",0,P2355-IFERROR(INDEX(Facturas_Odoo!$H:$H, MATCH(Q2355, Facturas_Odoo!$B:$B, 0)), 0)))</f>
        <v/>
      </c>
      <c r="AN2355" s="79">
        <f>IF(AND(A2355="", J2355=""), "", IF(A2355&lt;&gt;"", VALUE(MID(A2355,2,LEN(A2355))), AN2354))</f>
        <v/>
      </c>
      <c r="AO2355" s="79">
        <f>IF(AN2355="","",IF(AD2355=0,"OK",_xlfn.LET(monedaPago, IF(AA2355="","USD",AA2355), limitePermitido, IFERROR(VLOOKUP(monedaPago, Configuración!$A$2:$B$3, 2, FALSE), 0.15), IF(AD2355&gt;limitePermitido, "ALERTA: EXCESO (" &amp; TEXT(limitePermitido, "0%") &amp; " máx)", "OK"))))</f>
        <v/>
      </c>
      <c r="AP2355" s="79">
        <f>IF(AN2355="","",IF(AE2355=0,"OK",_xlfn.LET(fechaPago, Z2355, fechaFactura, R2355, diasCredito, IF(E2355="Pago inmediato", 0, IFERROR(VALUE(MID(E2355, 1, SEARCH(" ", E2355)-1)),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55" s="79">
        <f>IF(AN2355="","",IF(AND(N2355&gt;0, AG2355&gt;0), IF(Configuración!$K$2="NO", "ALERTA: DESCUENTO DOBLE NO PERMITIDO", "OK"), "OK"))</f>
        <v/>
      </c>
      <c r="AR2355" s="79">
        <f>IF(AN2355="","",IF(OR(AO2355&lt;&gt;"OK", AP2355&lt;&gt;"OK", AQ2355&lt;&gt;"OK"), "⚠️ REVISAR", "OK"))</f>
        <v/>
      </c>
    </row>
    <row r="2356">
      <c r="A2356" s="79">
        <f>IF('Ordenes_Odoo'!A2356="","",'Ordenes_Odoo'!A2356)</f>
        <v/>
      </c>
      <c r="B2356" s="80">
        <f>IF('Ordenes_Odoo'!B2356="","",'Ordenes_Odoo'!B2356)</f>
        <v/>
      </c>
      <c r="C2356" s="79">
        <f>IF('Ordenes_Odoo'!C2356="","",'Ordenes_Odoo'!C2356)</f>
        <v/>
      </c>
      <c r="D2356" s="79">
        <f>IF('Ordenes_Odoo'!D2356="","",'Ordenes_Odoo'!D2356)</f>
        <v/>
      </c>
      <c r="E2356" s="79">
        <f>IF('Ordenes_Odoo'!E2356="","",'Ordenes_Odoo'!E2356)</f>
        <v/>
      </c>
      <c r="F2356" s="79">
        <f>IF('Ordenes_Odoo'!F2356="","",'Ordenes_Odoo'!F2356)</f>
        <v/>
      </c>
      <c r="G2356" s="79">
        <f>IF('Ordenes_Odoo'!G2356="","",'Ordenes_Odoo'!G2356)</f>
        <v/>
      </c>
      <c r="H2356" s="79">
        <f>IF('Ordenes_Odoo'!H2356="","",'Ordenes_Odoo'!H2356)</f>
        <v/>
      </c>
      <c r="I2356" s="79">
        <f>IF('Ordenes_Odoo'!I2356="","",'Ordenes_Odoo'!I2356)</f>
        <v/>
      </c>
      <c r="J2356" s="79">
        <f>IF('Ordenes_Odoo'!J2356="","",'Ordenes_Odoo'!J2356)</f>
        <v/>
      </c>
      <c r="K2356" s="81">
        <f>IF('Ordenes_Odoo'!K2356="","",'Ordenes_Odoo'!K2356)</f>
        <v/>
      </c>
      <c r="L2356" s="81">
        <f>IF('Ordenes_Odoo'!L2356="","",'Ordenes_Odoo'!L2356)</f>
        <v/>
      </c>
      <c r="M2356" s="79">
        <f>IF('Ordenes_Odoo'!M2356="","",'Ordenes_Odoo'!M2356)</f>
        <v/>
      </c>
      <c r="N2356" s="79">
        <f>IF('Ordenes_Odoo'!N2356="","",'Ordenes_Odoo'!N2356)</f>
        <v/>
      </c>
      <c r="O2356" s="81">
        <f>IF('Ordenes_Odoo'!O2356="","",'Ordenes_Odoo'!O2356)</f>
        <v/>
      </c>
      <c r="P2356" s="81">
        <f>IF('Ordenes_Odoo'!P2356="","",'Ordenes_Odoo'!P2356)</f>
        <v/>
      </c>
      <c r="Q2356" s="79">
        <f>IF(A2356="","",IFERROR(INDEX(Facturas_Odoo!$B:$B, MATCH(A2356, Facturas_Odoo!$D:$D, 0)), "Sin Factura"))</f>
        <v/>
      </c>
      <c r="R2356" s="80">
        <f>IF(Q2356="Sin Factura","",IFERROR(INDEX(Facturas_Odoo!$A:$A, MATCH(Q2356, Facturas_Odoo!$B:$B, 0)), ""))</f>
        <v/>
      </c>
      <c r="S2356" s="79">
        <f>IF(Q2356="Sin Factura","",IFERROR(_xlfn.XLOOKUP(1, (Facturas_Odoo!$D:$D=A2356) * (Facturas_Odoo!$K:$K=I2356), Facturas_Odoo!$L:$L, ""), ""))</f>
        <v/>
      </c>
      <c r="T2356" s="81">
        <f>IF(Q2356="Sin Factura",0,IFERROR(_xlfn.XLOOKUP(1, (Facturas_Odoo!$D:$D=A2356) * (Facturas_Odoo!$K:$K=I2356), Facturas_Odoo!$M:$M, 0), 0))</f>
        <v/>
      </c>
      <c r="U2356" s="79">
        <f>IF(Q2356="Sin Factura",0,IFERROR(_xlfn.XLOOKUP(1, (Facturas_Odoo!$D:$D=A2356) * (Facturas_Odoo!$K:$K=I2356), Facturas_Odoo!$N:$N, 0), 0))</f>
        <v/>
      </c>
      <c r="V2356" s="79">
        <f>IF(Q2356="Sin Factura",0,IFERROR(_xlfn.XLOOKUP(1, (Facturas_Odoo!$D:$D=A2356) * (Facturas_Odoo!$K:$K=I2356), Facturas_Odoo!$O:$O, 0), 0))</f>
        <v/>
      </c>
      <c r="W2356" s="81">
        <f>IF(Q2356="Sin Factura",0,IFERROR(_xlfn.XLOOKUP(1, (Facturas_Odoo!$D:$D=A2356) * (Facturas_Odoo!$K:$K=I2356), Facturas_Odoo!$Q:$Q, 0), 0))</f>
        <v/>
      </c>
      <c r="X2356" s="79">
        <f>IF(OR(Q2356="Sin Factura",Q2356=""),"",IFERROR(INDEX(Pagos_Odoo!$B:$B, MATCH(Q2356, Pagos_Odoo!$I:$I, 0)), "Sin Pago"))</f>
        <v/>
      </c>
      <c r="Y2356" s="79">
        <f>IF(X2356="Sin Pago","",IFERROR(INDEX(Pagos_Odoo!$C:$C, MATCH(X2356, Pagos_Odoo!$B:$B, 0)), ""))</f>
        <v/>
      </c>
      <c r="Z2356" s="80">
        <f>IF(X2356="Sin Pago","",IFERROR(INDEX(Pagos_Odoo!$A:$A, MATCH(X2356, Pagos_Odoo!$B:$B, 0)), ""))</f>
        <v/>
      </c>
      <c r="AA2356" s="79">
        <f>IF(X2356="Sin Pago","",IFERROR(INDEX(Pagos_Odoo!$F:$F, MATCH(X2356, Pagos_Odoo!$B:$B, 0)), ""))</f>
        <v/>
      </c>
      <c r="AB2356" s="81">
        <f>IF(X2356="Sin Pago",0,IFERROR(INDEX(Pagos_Odoo!$E:$E, MATCH(X2356, Pagos_Odoo!$B:$B, 0)), 0))</f>
        <v/>
      </c>
      <c r="AC2356" s="79">
        <f>IF(X2356="Sin Pago","",IFERROR(INDEX(Pagos_Odoo!$G:$G, MATCH(X2356, Pagos_Odoo!$B:$B, 0)), ""))</f>
        <v/>
      </c>
      <c r="AD2356" s="82" t="n">
        <v>0</v>
      </c>
      <c r="AE2356" s="82" t="n"/>
      <c r="AF2356" s="82" t="n"/>
      <c r="AG2356" s="82">
        <f>IF(AN2356="","",AD2356+AE2356+AF2356)</f>
        <v/>
      </c>
      <c r="AH2356" s="81">
        <f>IF(AN2356="","",P2356*(1-AG2356))</f>
        <v/>
      </c>
      <c r="AI2356" s="81">
        <f>IF(AN2356="","",IF(Q2356="Sin Factura",0,IFERROR(INDEX(Facturas_Odoo!$H:$H, MATCH(Q2356, Facturas_Odoo!$B:$B, 0)), 0)*(1-AG2356)))</f>
        <v/>
      </c>
      <c r="AJ2356" s="81">
        <f>IF(AN2356="","",_xlfn.LET(idVenta, AN2356&amp;"",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56" s="81">
        <f>IF(AN2356="","",AH2356-AJ2356)</f>
        <v/>
      </c>
      <c r="AL2356" s="81">
        <f>IF(AN2356="","",IF(Q2356="Sin Factura","",AI2356-AJ2356))</f>
        <v/>
      </c>
      <c r="AM2356" s="81">
        <f>IF(AN2356="","",IF(Q2356="Sin Factura",0,P2356-IFERROR(INDEX(Facturas_Odoo!$H:$H, MATCH(Q2356, Facturas_Odoo!$B:$B, 0)), 0)))</f>
        <v/>
      </c>
      <c r="AN2356" s="79">
        <f>IF(AND(A2356="", J2356=""), "", IF(A2356&lt;&gt;"", VALUE(MID(A2356,2,LEN(A2356))), AN2355))</f>
        <v/>
      </c>
      <c r="AO2356" s="79">
        <f>IF(AN2356="","",IF(AD2356=0,"OK",_xlfn.LET(monedaPago, IF(AA2356="","USD",AA2356), limitePermitido, IFERROR(VLOOKUP(monedaPago, Configuración!$A$2:$B$3, 2, FALSE), 0.15), IF(AD2356&gt;limitePermitido, "ALERTA: EXCESO (" &amp; TEXT(limitePermitido, "0%") &amp; " máx)", "OK"))))</f>
        <v/>
      </c>
      <c r="AP2356" s="79">
        <f>IF(AN2356="","",IF(AE2356=0,"OK",_xlfn.LET(fechaPago, Z2356, fechaFactura, R2356, diasCredito, IF(E2356="Pago inmediato", 0, IFERROR(VALUE(MID(E2356, 1, SEARCH(" ", E2356)-1)),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56" s="79">
        <f>IF(AN2356="","",IF(AND(N2356&gt;0, AG2356&gt;0), IF(Configuración!$K$2="NO", "ALERTA: DESCUENTO DOBLE NO PERMITIDO", "OK"), "OK"))</f>
        <v/>
      </c>
      <c r="AR2356" s="79">
        <f>IF(AN2356="","",IF(OR(AO2356&lt;&gt;"OK", AP2356&lt;&gt;"OK", AQ2356&lt;&gt;"OK"), "⚠️ REVISAR", "OK"))</f>
        <v/>
      </c>
    </row>
    <row r="2357">
      <c r="A2357" s="79">
        <f>IF('Ordenes_Odoo'!A2357="","",'Ordenes_Odoo'!A2357)</f>
        <v/>
      </c>
      <c r="B2357" s="80">
        <f>IF('Ordenes_Odoo'!B2357="","",'Ordenes_Odoo'!B2357)</f>
        <v/>
      </c>
      <c r="C2357" s="79">
        <f>IF('Ordenes_Odoo'!C2357="","",'Ordenes_Odoo'!C2357)</f>
        <v/>
      </c>
      <c r="D2357" s="79">
        <f>IF('Ordenes_Odoo'!D2357="","",'Ordenes_Odoo'!D2357)</f>
        <v/>
      </c>
      <c r="E2357" s="79">
        <f>IF('Ordenes_Odoo'!E2357="","",'Ordenes_Odoo'!E2357)</f>
        <v/>
      </c>
      <c r="F2357" s="79">
        <f>IF('Ordenes_Odoo'!F2357="","",'Ordenes_Odoo'!F2357)</f>
        <v/>
      </c>
      <c r="G2357" s="79">
        <f>IF('Ordenes_Odoo'!G2357="","",'Ordenes_Odoo'!G2357)</f>
        <v/>
      </c>
      <c r="H2357" s="79">
        <f>IF('Ordenes_Odoo'!H2357="","",'Ordenes_Odoo'!H2357)</f>
        <v/>
      </c>
      <c r="I2357" s="79">
        <f>IF('Ordenes_Odoo'!I2357="","",'Ordenes_Odoo'!I2357)</f>
        <v/>
      </c>
      <c r="J2357" s="79">
        <f>IF('Ordenes_Odoo'!J2357="","",'Ordenes_Odoo'!J2357)</f>
        <v/>
      </c>
      <c r="K2357" s="81">
        <f>IF('Ordenes_Odoo'!K2357="","",'Ordenes_Odoo'!K2357)</f>
        <v/>
      </c>
      <c r="L2357" s="81">
        <f>IF('Ordenes_Odoo'!L2357="","",'Ordenes_Odoo'!L2357)</f>
        <v/>
      </c>
      <c r="M2357" s="79">
        <f>IF('Ordenes_Odoo'!M2357="","",'Ordenes_Odoo'!M2357)</f>
        <v/>
      </c>
      <c r="N2357" s="79">
        <f>IF('Ordenes_Odoo'!N2357="","",'Ordenes_Odoo'!N2357)</f>
        <v/>
      </c>
      <c r="O2357" s="81">
        <f>IF('Ordenes_Odoo'!O2357="","",'Ordenes_Odoo'!O2357)</f>
        <v/>
      </c>
      <c r="P2357" s="81">
        <f>IF('Ordenes_Odoo'!P2357="","",'Ordenes_Odoo'!P2357)</f>
        <v/>
      </c>
      <c r="Q2357" s="79">
        <f>IF(A2357="","",IFERROR(INDEX(Facturas_Odoo!$B:$B, MATCH(A2357, Facturas_Odoo!$D:$D, 0)), "Sin Factura"))</f>
        <v/>
      </c>
      <c r="R2357" s="80">
        <f>IF(Q2357="Sin Factura","",IFERROR(INDEX(Facturas_Odoo!$A:$A, MATCH(Q2357, Facturas_Odoo!$B:$B, 0)), ""))</f>
        <v/>
      </c>
      <c r="S2357" s="79">
        <f>IF(Q2357="Sin Factura","",IFERROR(_xlfn.XLOOKUP(1, (Facturas_Odoo!$D:$D=A2357) * (Facturas_Odoo!$K:$K=I2357), Facturas_Odoo!$L:$L, ""), ""))</f>
        <v/>
      </c>
      <c r="T2357" s="81">
        <f>IF(Q2357="Sin Factura",0,IFERROR(_xlfn.XLOOKUP(1, (Facturas_Odoo!$D:$D=A2357) * (Facturas_Odoo!$K:$K=I2357), Facturas_Odoo!$M:$M, 0), 0))</f>
        <v/>
      </c>
      <c r="U2357" s="79">
        <f>IF(Q2357="Sin Factura",0,IFERROR(_xlfn.XLOOKUP(1, (Facturas_Odoo!$D:$D=A2357) * (Facturas_Odoo!$K:$K=I2357), Facturas_Odoo!$N:$N, 0), 0))</f>
        <v/>
      </c>
      <c r="V2357" s="79">
        <f>IF(Q2357="Sin Factura",0,IFERROR(_xlfn.XLOOKUP(1, (Facturas_Odoo!$D:$D=A2357) * (Facturas_Odoo!$K:$K=I2357), Facturas_Odoo!$O:$O, 0), 0))</f>
        <v/>
      </c>
      <c r="W2357" s="81">
        <f>IF(Q2357="Sin Factura",0,IFERROR(_xlfn.XLOOKUP(1, (Facturas_Odoo!$D:$D=A2357) * (Facturas_Odoo!$K:$K=I2357), Facturas_Odoo!$Q:$Q, 0), 0))</f>
        <v/>
      </c>
      <c r="X2357" s="79">
        <f>IF(OR(Q2357="Sin Factura",Q2357=""),"",IFERROR(INDEX(Pagos_Odoo!$B:$B, MATCH(Q2357, Pagos_Odoo!$I:$I, 0)), "Sin Pago"))</f>
        <v/>
      </c>
      <c r="Y2357" s="79">
        <f>IF(X2357="Sin Pago","",IFERROR(INDEX(Pagos_Odoo!$C:$C, MATCH(X2357, Pagos_Odoo!$B:$B, 0)), ""))</f>
        <v/>
      </c>
      <c r="Z2357" s="80">
        <f>IF(X2357="Sin Pago","",IFERROR(INDEX(Pagos_Odoo!$A:$A, MATCH(X2357, Pagos_Odoo!$B:$B, 0)), ""))</f>
        <v/>
      </c>
      <c r="AA2357" s="79">
        <f>IF(X2357="Sin Pago","",IFERROR(INDEX(Pagos_Odoo!$F:$F, MATCH(X2357, Pagos_Odoo!$B:$B, 0)), ""))</f>
        <v/>
      </c>
      <c r="AB2357" s="81">
        <f>IF(X2357="Sin Pago",0,IFERROR(INDEX(Pagos_Odoo!$E:$E, MATCH(X2357, Pagos_Odoo!$B:$B, 0)), 0))</f>
        <v/>
      </c>
      <c r="AC2357" s="79">
        <f>IF(X2357="Sin Pago","",IFERROR(INDEX(Pagos_Odoo!$G:$G, MATCH(X2357, Pagos_Odoo!$B:$B, 0)), ""))</f>
        <v/>
      </c>
      <c r="AD2357" s="82" t="n">
        <v>0</v>
      </c>
      <c r="AE2357" s="82" t="n"/>
      <c r="AF2357" s="82" t="n"/>
      <c r="AG2357" s="82">
        <f>IF(AN2357="","",AD2357+AE2357+AF2357)</f>
        <v/>
      </c>
      <c r="AH2357" s="81">
        <f>IF(AN2357="","",P2357*(1-AG2357))</f>
        <v/>
      </c>
      <c r="AI2357" s="81">
        <f>IF(AN2357="","",IF(Q2357="Sin Factura",0,IFERROR(INDEX(Facturas_Odoo!$H:$H, MATCH(Q2357, Facturas_Odoo!$B:$B, 0)), 0)*(1-AG2357)))</f>
        <v/>
      </c>
      <c r="AJ2357" s="81">
        <f>IF(AN2357="","",_xlfn.LET(idVenta, AN2357&amp;"",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57" s="81">
        <f>IF(AN2357="","",AH2357-AJ2357)</f>
        <v/>
      </c>
      <c r="AL2357" s="81">
        <f>IF(AN2357="","",IF(Q2357="Sin Factura","",AI2357-AJ2357))</f>
        <v/>
      </c>
      <c r="AM2357" s="81">
        <f>IF(AN2357="","",IF(Q2357="Sin Factura",0,P2357-IFERROR(INDEX(Facturas_Odoo!$H:$H, MATCH(Q2357, Facturas_Odoo!$B:$B, 0)), 0)))</f>
        <v/>
      </c>
      <c r="AN2357" s="79">
        <f>IF(AND(A2357="", J2357=""), "", IF(A2357&lt;&gt;"", VALUE(MID(A2357,2,LEN(A2357))), AN2356))</f>
        <v/>
      </c>
      <c r="AO2357" s="79">
        <f>IF(AN2357="","",IF(AD2357=0,"OK",_xlfn.LET(monedaPago, IF(AA2357="","USD",AA2357), limitePermitido, IFERROR(VLOOKUP(monedaPago, Configuración!$A$2:$B$3, 2, FALSE), 0.15), IF(AD2357&gt;limitePermitido, "ALERTA: EXCESO (" &amp; TEXT(limitePermitido, "0%") &amp; " máx)", "OK"))))</f>
        <v/>
      </c>
      <c r="AP2357" s="79">
        <f>IF(AN2357="","",IF(AE2357=0,"OK",_xlfn.LET(fechaPago, Z2357, fechaFactura, R2357, diasCredito, IF(E2357="Pago inmediato", 0, IFERROR(VALUE(MID(E2357, 1, SEARCH(" ", E2357)-1)),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57" s="79">
        <f>IF(AN2357="","",IF(AND(N2357&gt;0, AG2357&gt;0), IF(Configuración!$K$2="NO", "ALERTA: DESCUENTO DOBLE NO PERMITIDO", "OK"), "OK"))</f>
        <v/>
      </c>
      <c r="AR2357" s="79">
        <f>IF(AN2357="","",IF(OR(AO2357&lt;&gt;"OK", AP2357&lt;&gt;"OK", AQ2357&lt;&gt;"OK"), "⚠️ REVISAR", "OK"))</f>
        <v/>
      </c>
    </row>
    <row r="2358">
      <c r="A2358" s="79">
        <f>IF('Ordenes_Odoo'!A2358="","",'Ordenes_Odoo'!A2358)</f>
        <v/>
      </c>
      <c r="B2358" s="80">
        <f>IF('Ordenes_Odoo'!B2358="","",'Ordenes_Odoo'!B2358)</f>
        <v/>
      </c>
      <c r="C2358" s="79">
        <f>IF('Ordenes_Odoo'!C2358="","",'Ordenes_Odoo'!C2358)</f>
        <v/>
      </c>
      <c r="D2358" s="79">
        <f>IF('Ordenes_Odoo'!D2358="","",'Ordenes_Odoo'!D2358)</f>
        <v/>
      </c>
      <c r="E2358" s="79">
        <f>IF('Ordenes_Odoo'!E2358="","",'Ordenes_Odoo'!E2358)</f>
        <v/>
      </c>
      <c r="F2358" s="79">
        <f>IF('Ordenes_Odoo'!F2358="","",'Ordenes_Odoo'!F2358)</f>
        <v/>
      </c>
      <c r="G2358" s="79">
        <f>IF('Ordenes_Odoo'!G2358="","",'Ordenes_Odoo'!G2358)</f>
        <v/>
      </c>
      <c r="H2358" s="79">
        <f>IF('Ordenes_Odoo'!H2358="","",'Ordenes_Odoo'!H2358)</f>
        <v/>
      </c>
      <c r="I2358" s="79">
        <f>IF('Ordenes_Odoo'!I2358="","",'Ordenes_Odoo'!I2358)</f>
        <v/>
      </c>
      <c r="J2358" s="79">
        <f>IF('Ordenes_Odoo'!J2358="","",'Ordenes_Odoo'!J2358)</f>
        <v/>
      </c>
      <c r="K2358" s="81">
        <f>IF('Ordenes_Odoo'!K2358="","",'Ordenes_Odoo'!K2358)</f>
        <v/>
      </c>
      <c r="L2358" s="81">
        <f>IF('Ordenes_Odoo'!L2358="","",'Ordenes_Odoo'!L2358)</f>
        <v/>
      </c>
      <c r="M2358" s="79">
        <f>IF('Ordenes_Odoo'!M2358="","",'Ordenes_Odoo'!M2358)</f>
        <v/>
      </c>
      <c r="N2358" s="79">
        <f>IF('Ordenes_Odoo'!N2358="","",'Ordenes_Odoo'!N2358)</f>
        <v/>
      </c>
      <c r="O2358" s="81">
        <f>IF('Ordenes_Odoo'!O2358="","",'Ordenes_Odoo'!O2358)</f>
        <v/>
      </c>
      <c r="P2358" s="81">
        <f>IF('Ordenes_Odoo'!P2358="","",'Ordenes_Odoo'!P2358)</f>
        <v/>
      </c>
      <c r="Q2358" s="79">
        <f>IF(A2358="","",IFERROR(INDEX(Facturas_Odoo!$B:$B, MATCH(A2358, Facturas_Odoo!$D:$D, 0)), "Sin Factura"))</f>
        <v/>
      </c>
      <c r="R2358" s="80">
        <f>IF(Q2358="Sin Factura","",IFERROR(INDEX(Facturas_Odoo!$A:$A, MATCH(Q2358, Facturas_Odoo!$B:$B, 0)), ""))</f>
        <v/>
      </c>
      <c r="S2358" s="79">
        <f>IF(Q2358="Sin Factura","",IFERROR(_xlfn.XLOOKUP(1, (Facturas_Odoo!$D:$D=A2358) * (Facturas_Odoo!$K:$K=I2358), Facturas_Odoo!$L:$L, ""), ""))</f>
        <v/>
      </c>
      <c r="T2358" s="81">
        <f>IF(Q2358="Sin Factura",0,IFERROR(_xlfn.XLOOKUP(1, (Facturas_Odoo!$D:$D=A2358) * (Facturas_Odoo!$K:$K=I2358), Facturas_Odoo!$M:$M, 0), 0))</f>
        <v/>
      </c>
      <c r="U2358" s="79">
        <f>IF(Q2358="Sin Factura",0,IFERROR(_xlfn.XLOOKUP(1, (Facturas_Odoo!$D:$D=A2358) * (Facturas_Odoo!$K:$K=I2358), Facturas_Odoo!$N:$N, 0), 0))</f>
        <v/>
      </c>
      <c r="V2358" s="79">
        <f>IF(Q2358="Sin Factura",0,IFERROR(_xlfn.XLOOKUP(1, (Facturas_Odoo!$D:$D=A2358) * (Facturas_Odoo!$K:$K=I2358), Facturas_Odoo!$O:$O, 0), 0))</f>
        <v/>
      </c>
      <c r="W2358" s="81">
        <f>IF(Q2358="Sin Factura",0,IFERROR(_xlfn.XLOOKUP(1, (Facturas_Odoo!$D:$D=A2358) * (Facturas_Odoo!$K:$K=I2358), Facturas_Odoo!$Q:$Q, 0), 0))</f>
        <v/>
      </c>
      <c r="X2358" s="79">
        <f>IF(OR(Q2358="Sin Factura",Q2358=""),"",IFERROR(INDEX(Pagos_Odoo!$B:$B, MATCH(Q2358, Pagos_Odoo!$I:$I, 0)), "Sin Pago"))</f>
        <v/>
      </c>
      <c r="Y2358" s="79">
        <f>IF(X2358="Sin Pago","",IFERROR(INDEX(Pagos_Odoo!$C:$C, MATCH(X2358, Pagos_Odoo!$B:$B, 0)), ""))</f>
        <v/>
      </c>
      <c r="Z2358" s="80">
        <f>IF(X2358="Sin Pago","",IFERROR(INDEX(Pagos_Odoo!$A:$A, MATCH(X2358, Pagos_Odoo!$B:$B, 0)), ""))</f>
        <v/>
      </c>
      <c r="AA2358" s="79">
        <f>IF(X2358="Sin Pago","",IFERROR(INDEX(Pagos_Odoo!$F:$F, MATCH(X2358, Pagos_Odoo!$B:$B, 0)), ""))</f>
        <v/>
      </c>
      <c r="AB2358" s="81">
        <f>IF(X2358="Sin Pago",0,IFERROR(INDEX(Pagos_Odoo!$E:$E, MATCH(X2358, Pagos_Odoo!$B:$B, 0)), 0))</f>
        <v/>
      </c>
      <c r="AC2358" s="79">
        <f>IF(X2358="Sin Pago","",IFERROR(INDEX(Pagos_Odoo!$G:$G, MATCH(X2358, Pagos_Odoo!$B:$B, 0)), ""))</f>
        <v/>
      </c>
      <c r="AD2358" s="82" t="n">
        <v>0</v>
      </c>
      <c r="AE2358" s="82" t="n"/>
      <c r="AF2358" s="82" t="n"/>
      <c r="AG2358" s="82">
        <f>IF(AN2358="","",AD2358+AE2358+AF2358)</f>
        <v/>
      </c>
      <c r="AH2358" s="81">
        <f>IF(AN2358="","",P2358*(1-AG2358))</f>
        <v/>
      </c>
      <c r="AI2358" s="81">
        <f>IF(AN2358="","",IF(Q2358="Sin Factura",0,IFERROR(INDEX(Facturas_Odoo!$H:$H, MATCH(Q2358, Facturas_Odoo!$B:$B, 0)), 0)*(1-AG2358)))</f>
        <v/>
      </c>
      <c r="AJ2358" s="81">
        <f>IF(AN2358="","",_xlfn.LET(idVenta, AN2358&amp;"",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58" s="81">
        <f>IF(AN2358="","",AH2358-AJ2358)</f>
        <v/>
      </c>
      <c r="AL2358" s="81">
        <f>IF(AN2358="","",IF(Q2358="Sin Factura","",AI2358-AJ2358))</f>
        <v/>
      </c>
      <c r="AM2358" s="81">
        <f>IF(AN2358="","",IF(Q2358="Sin Factura",0,P2358-IFERROR(INDEX(Facturas_Odoo!$H:$H, MATCH(Q2358, Facturas_Odoo!$B:$B, 0)), 0)))</f>
        <v/>
      </c>
      <c r="AN2358" s="79">
        <f>IF(AND(A2358="", J2358=""), "", IF(A2358&lt;&gt;"", VALUE(MID(A2358,2,LEN(A2358))), AN2357))</f>
        <v/>
      </c>
      <c r="AO2358" s="79">
        <f>IF(AN2358="","",IF(AD2358=0,"OK",_xlfn.LET(monedaPago, IF(AA2358="","USD",AA2358), limitePermitido, IFERROR(VLOOKUP(monedaPago, Configuración!$A$2:$B$3, 2, FALSE), 0.15), IF(AD2358&gt;limitePermitido, "ALERTA: EXCESO (" &amp; TEXT(limitePermitido, "0%") &amp; " máx)", "OK"))))</f>
        <v/>
      </c>
      <c r="AP2358" s="79">
        <f>IF(AN2358="","",IF(AE2358=0,"OK",_xlfn.LET(fechaPago, Z2358, fechaFactura, R2358, diasCredito, IF(E2358="Pago inmediato", 0, IFERROR(VALUE(MID(E2358, 1, SEARCH(" ", E2358)-1)),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58" s="79">
        <f>IF(AN2358="","",IF(AND(N2358&gt;0, AG2358&gt;0), IF(Configuración!$K$2="NO", "ALERTA: DESCUENTO DOBLE NO PERMITIDO", "OK"), "OK"))</f>
        <v/>
      </c>
      <c r="AR2358" s="79">
        <f>IF(AN2358="","",IF(OR(AO2358&lt;&gt;"OK", AP2358&lt;&gt;"OK", AQ2358&lt;&gt;"OK"), "⚠️ REVISAR", "OK"))</f>
        <v/>
      </c>
    </row>
    <row r="2359">
      <c r="A2359" s="79">
        <f>IF('Ordenes_Odoo'!A2359="","",'Ordenes_Odoo'!A2359)</f>
        <v/>
      </c>
      <c r="B2359" s="80">
        <f>IF('Ordenes_Odoo'!B2359="","",'Ordenes_Odoo'!B2359)</f>
        <v/>
      </c>
      <c r="C2359" s="79">
        <f>IF('Ordenes_Odoo'!C2359="","",'Ordenes_Odoo'!C2359)</f>
        <v/>
      </c>
      <c r="D2359" s="79">
        <f>IF('Ordenes_Odoo'!D2359="","",'Ordenes_Odoo'!D2359)</f>
        <v/>
      </c>
      <c r="E2359" s="79">
        <f>IF('Ordenes_Odoo'!E2359="","",'Ordenes_Odoo'!E2359)</f>
        <v/>
      </c>
      <c r="F2359" s="79">
        <f>IF('Ordenes_Odoo'!F2359="","",'Ordenes_Odoo'!F2359)</f>
        <v/>
      </c>
      <c r="G2359" s="79">
        <f>IF('Ordenes_Odoo'!G2359="","",'Ordenes_Odoo'!G2359)</f>
        <v/>
      </c>
      <c r="H2359" s="79">
        <f>IF('Ordenes_Odoo'!H2359="","",'Ordenes_Odoo'!H2359)</f>
        <v/>
      </c>
      <c r="I2359" s="79">
        <f>IF('Ordenes_Odoo'!I2359="","",'Ordenes_Odoo'!I2359)</f>
        <v/>
      </c>
      <c r="J2359" s="79">
        <f>IF('Ordenes_Odoo'!J2359="","",'Ordenes_Odoo'!J2359)</f>
        <v/>
      </c>
      <c r="K2359" s="81">
        <f>IF('Ordenes_Odoo'!K2359="","",'Ordenes_Odoo'!K2359)</f>
        <v/>
      </c>
      <c r="L2359" s="81">
        <f>IF('Ordenes_Odoo'!L2359="","",'Ordenes_Odoo'!L2359)</f>
        <v/>
      </c>
      <c r="M2359" s="79">
        <f>IF('Ordenes_Odoo'!M2359="","",'Ordenes_Odoo'!M2359)</f>
        <v/>
      </c>
      <c r="N2359" s="79">
        <f>IF('Ordenes_Odoo'!N2359="","",'Ordenes_Odoo'!N2359)</f>
        <v/>
      </c>
      <c r="O2359" s="81">
        <f>IF('Ordenes_Odoo'!O2359="","",'Ordenes_Odoo'!O2359)</f>
        <v/>
      </c>
      <c r="P2359" s="81">
        <f>IF('Ordenes_Odoo'!P2359="","",'Ordenes_Odoo'!P2359)</f>
        <v/>
      </c>
      <c r="Q2359" s="79">
        <f>IF(A2359="","",IFERROR(INDEX(Facturas_Odoo!$B:$B, MATCH(A2359, Facturas_Odoo!$D:$D, 0)), "Sin Factura"))</f>
        <v/>
      </c>
      <c r="R2359" s="80">
        <f>IF(Q2359="Sin Factura","",IFERROR(INDEX(Facturas_Odoo!$A:$A, MATCH(Q2359, Facturas_Odoo!$B:$B, 0)), ""))</f>
        <v/>
      </c>
      <c r="S2359" s="79">
        <f>IF(Q2359="Sin Factura","",IFERROR(_xlfn.XLOOKUP(1, (Facturas_Odoo!$D:$D=A2359) * (Facturas_Odoo!$K:$K=I2359), Facturas_Odoo!$L:$L, ""), ""))</f>
        <v/>
      </c>
      <c r="T2359" s="81">
        <f>IF(Q2359="Sin Factura",0,IFERROR(_xlfn.XLOOKUP(1, (Facturas_Odoo!$D:$D=A2359) * (Facturas_Odoo!$K:$K=I2359), Facturas_Odoo!$M:$M, 0), 0))</f>
        <v/>
      </c>
      <c r="U2359" s="79">
        <f>IF(Q2359="Sin Factura",0,IFERROR(_xlfn.XLOOKUP(1, (Facturas_Odoo!$D:$D=A2359) * (Facturas_Odoo!$K:$K=I2359), Facturas_Odoo!$N:$N, 0), 0))</f>
        <v/>
      </c>
      <c r="V2359" s="79">
        <f>IF(Q2359="Sin Factura",0,IFERROR(_xlfn.XLOOKUP(1, (Facturas_Odoo!$D:$D=A2359) * (Facturas_Odoo!$K:$K=I2359), Facturas_Odoo!$O:$O, 0), 0))</f>
        <v/>
      </c>
      <c r="W2359" s="81">
        <f>IF(Q2359="Sin Factura",0,IFERROR(_xlfn.XLOOKUP(1, (Facturas_Odoo!$D:$D=A2359) * (Facturas_Odoo!$K:$K=I2359), Facturas_Odoo!$Q:$Q, 0), 0))</f>
        <v/>
      </c>
      <c r="X2359" s="79">
        <f>IF(OR(Q2359="Sin Factura",Q2359=""),"",IFERROR(INDEX(Pagos_Odoo!$B:$B, MATCH(Q2359, Pagos_Odoo!$I:$I, 0)), "Sin Pago"))</f>
        <v/>
      </c>
      <c r="Y2359" s="79">
        <f>IF(X2359="Sin Pago","",IFERROR(INDEX(Pagos_Odoo!$C:$C, MATCH(X2359, Pagos_Odoo!$B:$B, 0)), ""))</f>
        <v/>
      </c>
      <c r="Z2359" s="80">
        <f>IF(X2359="Sin Pago","",IFERROR(INDEX(Pagos_Odoo!$A:$A, MATCH(X2359, Pagos_Odoo!$B:$B, 0)), ""))</f>
        <v/>
      </c>
      <c r="AA2359" s="79">
        <f>IF(X2359="Sin Pago","",IFERROR(INDEX(Pagos_Odoo!$F:$F, MATCH(X2359, Pagos_Odoo!$B:$B, 0)), ""))</f>
        <v/>
      </c>
      <c r="AB2359" s="81">
        <f>IF(X2359="Sin Pago",0,IFERROR(INDEX(Pagos_Odoo!$E:$E, MATCH(X2359, Pagos_Odoo!$B:$B, 0)), 0))</f>
        <v/>
      </c>
      <c r="AC2359" s="79">
        <f>IF(X2359="Sin Pago","",IFERROR(INDEX(Pagos_Odoo!$G:$G, MATCH(X2359, Pagos_Odoo!$B:$B, 0)), ""))</f>
        <v/>
      </c>
      <c r="AD2359" s="82" t="n">
        <v>0</v>
      </c>
      <c r="AE2359" s="82" t="n"/>
      <c r="AF2359" s="82" t="n"/>
      <c r="AG2359" s="82">
        <f>IF(AN2359="","",AD2359+AE2359+AF2359)</f>
        <v/>
      </c>
      <c r="AH2359" s="81">
        <f>IF(AN2359="","",P2359*(1-AG2359))</f>
        <v/>
      </c>
      <c r="AI2359" s="81">
        <f>IF(AN2359="","",IF(Q2359="Sin Factura",0,IFERROR(INDEX(Facturas_Odoo!$H:$H, MATCH(Q2359, Facturas_Odoo!$B:$B, 0)), 0)*(1-AG2359)))</f>
        <v/>
      </c>
      <c r="AJ2359" s="81">
        <f>IF(AN2359="","",_xlfn.LET(idVenta, AN2359&amp;"",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59" s="81">
        <f>IF(AN2359="","",AH2359-AJ2359)</f>
        <v/>
      </c>
      <c r="AL2359" s="81">
        <f>IF(AN2359="","",IF(Q2359="Sin Factura","",AI2359-AJ2359))</f>
        <v/>
      </c>
      <c r="AM2359" s="81">
        <f>IF(AN2359="","",IF(Q2359="Sin Factura",0,P2359-IFERROR(INDEX(Facturas_Odoo!$H:$H, MATCH(Q2359, Facturas_Odoo!$B:$B, 0)), 0)))</f>
        <v/>
      </c>
      <c r="AN2359" s="79">
        <f>IF(AND(A2359="", J2359=""), "", IF(A2359&lt;&gt;"", VALUE(MID(A2359,2,LEN(A2359))), AN2358))</f>
        <v/>
      </c>
      <c r="AO2359" s="79">
        <f>IF(AN2359="","",IF(AD2359=0,"OK",_xlfn.LET(monedaPago, IF(AA2359="","USD",AA2359), limitePermitido, IFERROR(VLOOKUP(monedaPago, Configuración!$A$2:$B$3, 2, FALSE), 0.15), IF(AD2359&gt;limitePermitido, "ALERTA: EXCESO (" &amp; TEXT(limitePermitido, "0%") &amp; " máx)", "OK"))))</f>
        <v/>
      </c>
      <c r="AP2359" s="79">
        <f>IF(AN2359="","",IF(AE2359=0,"OK",_xlfn.LET(fechaPago, Z2359, fechaFactura, R2359, diasCredito, IF(E2359="Pago inmediato", 0, IFERROR(VALUE(MID(E2359, 1, SEARCH(" ", E2359)-1)),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59" s="79">
        <f>IF(AN2359="","",IF(AND(N2359&gt;0, AG2359&gt;0), IF(Configuración!$K$2="NO", "ALERTA: DESCUENTO DOBLE NO PERMITIDO", "OK"), "OK"))</f>
        <v/>
      </c>
      <c r="AR2359" s="79">
        <f>IF(AN2359="","",IF(OR(AO2359&lt;&gt;"OK", AP2359&lt;&gt;"OK", AQ2359&lt;&gt;"OK"), "⚠️ REVISAR", "OK"))</f>
        <v/>
      </c>
    </row>
    <row r="2360">
      <c r="A2360" s="79">
        <f>IF('Ordenes_Odoo'!A2360="","",'Ordenes_Odoo'!A2360)</f>
        <v/>
      </c>
      <c r="B2360" s="80">
        <f>IF('Ordenes_Odoo'!B2360="","",'Ordenes_Odoo'!B2360)</f>
        <v/>
      </c>
      <c r="C2360" s="79">
        <f>IF('Ordenes_Odoo'!C2360="","",'Ordenes_Odoo'!C2360)</f>
        <v/>
      </c>
      <c r="D2360" s="79">
        <f>IF('Ordenes_Odoo'!D2360="","",'Ordenes_Odoo'!D2360)</f>
        <v/>
      </c>
      <c r="E2360" s="79">
        <f>IF('Ordenes_Odoo'!E2360="","",'Ordenes_Odoo'!E2360)</f>
        <v/>
      </c>
      <c r="F2360" s="79">
        <f>IF('Ordenes_Odoo'!F2360="","",'Ordenes_Odoo'!F2360)</f>
        <v/>
      </c>
      <c r="G2360" s="79">
        <f>IF('Ordenes_Odoo'!G2360="","",'Ordenes_Odoo'!G2360)</f>
        <v/>
      </c>
      <c r="H2360" s="79">
        <f>IF('Ordenes_Odoo'!H2360="","",'Ordenes_Odoo'!H2360)</f>
        <v/>
      </c>
      <c r="I2360" s="79">
        <f>IF('Ordenes_Odoo'!I2360="","",'Ordenes_Odoo'!I2360)</f>
        <v/>
      </c>
      <c r="J2360" s="79">
        <f>IF('Ordenes_Odoo'!J2360="","",'Ordenes_Odoo'!J2360)</f>
        <v/>
      </c>
      <c r="K2360" s="81">
        <f>IF('Ordenes_Odoo'!K2360="","",'Ordenes_Odoo'!K2360)</f>
        <v/>
      </c>
      <c r="L2360" s="81">
        <f>IF('Ordenes_Odoo'!L2360="","",'Ordenes_Odoo'!L2360)</f>
        <v/>
      </c>
      <c r="M2360" s="79">
        <f>IF('Ordenes_Odoo'!M2360="","",'Ordenes_Odoo'!M2360)</f>
        <v/>
      </c>
      <c r="N2360" s="79">
        <f>IF('Ordenes_Odoo'!N2360="","",'Ordenes_Odoo'!N2360)</f>
        <v/>
      </c>
      <c r="O2360" s="81">
        <f>IF('Ordenes_Odoo'!O2360="","",'Ordenes_Odoo'!O2360)</f>
        <v/>
      </c>
      <c r="P2360" s="81">
        <f>IF('Ordenes_Odoo'!P2360="","",'Ordenes_Odoo'!P2360)</f>
        <v/>
      </c>
      <c r="Q2360" s="79">
        <f>IF(A2360="","",IFERROR(INDEX(Facturas_Odoo!$B:$B, MATCH(A2360, Facturas_Odoo!$D:$D, 0)), "Sin Factura"))</f>
        <v/>
      </c>
      <c r="R2360" s="80">
        <f>IF(Q2360="Sin Factura","",IFERROR(INDEX(Facturas_Odoo!$A:$A, MATCH(Q2360, Facturas_Odoo!$B:$B, 0)), ""))</f>
        <v/>
      </c>
      <c r="S2360" s="79">
        <f>IF(Q2360="Sin Factura","",IFERROR(_xlfn.XLOOKUP(1, (Facturas_Odoo!$D:$D=A2360) * (Facturas_Odoo!$K:$K=I2360), Facturas_Odoo!$L:$L, ""), ""))</f>
        <v/>
      </c>
      <c r="T2360" s="81">
        <f>IF(Q2360="Sin Factura",0,IFERROR(_xlfn.XLOOKUP(1, (Facturas_Odoo!$D:$D=A2360) * (Facturas_Odoo!$K:$K=I2360), Facturas_Odoo!$M:$M, 0), 0))</f>
        <v/>
      </c>
      <c r="U2360" s="79">
        <f>IF(Q2360="Sin Factura",0,IFERROR(_xlfn.XLOOKUP(1, (Facturas_Odoo!$D:$D=A2360) * (Facturas_Odoo!$K:$K=I2360), Facturas_Odoo!$N:$N, 0), 0))</f>
        <v/>
      </c>
      <c r="V2360" s="79">
        <f>IF(Q2360="Sin Factura",0,IFERROR(_xlfn.XLOOKUP(1, (Facturas_Odoo!$D:$D=A2360) * (Facturas_Odoo!$K:$K=I2360), Facturas_Odoo!$O:$O, 0), 0))</f>
        <v/>
      </c>
      <c r="W2360" s="81">
        <f>IF(Q2360="Sin Factura",0,IFERROR(_xlfn.XLOOKUP(1, (Facturas_Odoo!$D:$D=A2360) * (Facturas_Odoo!$K:$K=I2360), Facturas_Odoo!$Q:$Q, 0), 0))</f>
        <v/>
      </c>
      <c r="X2360" s="79">
        <f>IF(OR(Q2360="Sin Factura",Q2360=""),"",IFERROR(INDEX(Pagos_Odoo!$B:$B, MATCH(Q2360, Pagos_Odoo!$I:$I, 0)), "Sin Pago"))</f>
        <v/>
      </c>
      <c r="Y2360" s="79">
        <f>IF(X2360="Sin Pago","",IFERROR(INDEX(Pagos_Odoo!$C:$C, MATCH(X2360, Pagos_Odoo!$B:$B, 0)), ""))</f>
        <v/>
      </c>
      <c r="Z2360" s="80">
        <f>IF(X2360="Sin Pago","",IFERROR(INDEX(Pagos_Odoo!$A:$A, MATCH(X2360, Pagos_Odoo!$B:$B, 0)), ""))</f>
        <v/>
      </c>
      <c r="AA2360" s="79">
        <f>IF(X2360="Sin Pago","",IFERROR(INDEX(Pagos_Odoo!$F:$F, MATCH(X2360, Pagos_Odoo!$B:$B, 0)), ""))</f>
        <v/>
      </c>
      <c r="AB2360" s="81">
        <f>IF(X2360="Sin Pago",0,IFERROR(INDEX(Pagos_Odoo!$E:$E, MATCH(X2360, Pagos_Odoo!$B:$B, 0)), 0))</f>
        <v/>
      </c>
      <c r="AC2360" s="79">
        <f>IF(X2360="Sin Pago","",IFERROR(INDEX(Pagos_Odoo!$G:$G, MATCH(X2360, Pagos_Odoo!$B:$B, 0)), ""))</f>
        <v/>
      </c>
      <c r="AD2360" s="82" t="n">
        <v>0</v>
      </c>
      <c r="AE2360" s="82" t="n"/>
      <c r="AF2360" s="82" t="n"/>
      <c r="AG2360" s="82">
        <f>IF(AN2360="","",AD2360+AE2360+AF2360)</f>
        <v/>
      </c>
      <c r="AH2360" s="81">
        <f>IF(AN2360="","",P2360*(1-AG2360))</f>
        <v/>
      </c>
      <c r="AI2360" s="81">
        <f>IF(AN2360="","",IF(Q2360="Sin Factura",0,IFERROR(INDEX(Facturas_Odoo!$H:$H, MATCH(Q2360, Facturas_Odoo!$B:$B, 0)), 0)*(1-AG2360)))</f>
        <v/>
      </c>
      <c r="AJ2360" s="81">
        <f>IF(AN2360="","",_xlfn.LET(idVenta, AN2360&amp;"",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60" s="81">
        <f>IF(AN2360="","",AH2360-AJ2360)</f>
        <v/>
      </c>
      <c r="AL2360" s="81">
        <f>IF(AN2360="","",IF(Q2360="Sin Factura","",AI2360-AJ2360))</f>
        <v/>
      </c>
      <c r="AM2360" s="81">
        <f>IF(AN2360="","",IF(Q2360="Sin Factura",0,P2360-IFERROR(INDEX(Facturas_Odoo!$H:$H, MATCH(Q2360, Facturas_Odoo!$B:$B, 0)), 0)))</f>
        <v/>
      </c>
      <c r="AN2360" s="79">
        <f>IF(AND(A2360="", J2360=""), "", IF(A2360&lt;&gt;"", VALUE(MID(A2360,2,LEN(A2360))), AN2359))</f>
        <v/>
      </c>
      <c r="AO2360" s="79">
        <f>IF(AN2360="","",IF(AD2360=0,"OK",_xlfn.LET(monedaPago, IF(AA2360="","USD",AA2360), limitePermitido, IFERROR(VLOOKUP(monedaPago, Configuración!$A$2:$B$3, 2, FALSE), 0.15), IF(AD2360&gt;limitePermitido, "ALERTA: EXCESO (" &amp; TEXT(limitePermitido, "0%") &amp; " máx)", "OK"))))</f>
        <v/>
      </c>
      <c r="AP2360" s="79">
        <f>IF(AN2360="","",IF(AE2360=0,"OK",_xlfn.LET(fechaPago, Z2360, fechaFactura, R2360, diasCredito, IF(E2360="Pago inmediato", 0, IFERROR(VALUE(MID(E2360, 1, SEARCH(" ", E2360)-1)),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60" s="79">
        <f>IF(AN2360="","",IF(AND(N2360&gt;0, AG2360&gt;0), IF(Configuración!$K$2="NO", "ALERTA: DESCUENTO DOBLE NO PERMITIDO", "OK"), "OK"))</f>
        <v/>
      </c>
      <c r="AR2360" s="79">
        <f>IF(AN2360="","",IF(OR(AO2360&lt;&gt;"OK", AP2360&lt;&gt;"OK", AQ2360&lt;&gt;"OK"), "⚠️ REVISAR", "OK"))</f>
        <v/>
      </c>
    </row>
    <row r="2361">
      <c r="A2361" s="79">
        <f>IF('Ordenes_Odoo'!A2361="","",'Ordenes_Odoo'!A2361)</f>
        <v/>
      </c>
      <c r="B2361" s="80">
        <f>IF('Ordenes_Odoo'!B2361="","",'Ordenes_Odoo'!B2361)</f>
        <v/>
      </c>
      <c r="C2361" s="79">
        <f>IF('Ordenes_Odoo'!C2361="","",'Ordenes_Odoo'!C2361)</f>
        <v/>
      </c>
      <c r="D2361" s="79">
        <f>IF('Ordenes_Odoo'!D2361="","",'Ordenes_Odoo'!D2361)</f>
        <v/>
      </c>
      <c r="E2361" s="79">
        <f>IF('Ordenes_Odoo'!E2361="","",'Ordenes_Odoo'!E2361)</f>
        <v/>
      </c>
      <c r="F2361" s="79">
        <f>IF('Ordenes_Odoo'!F2361="","",'Ordenes_Odoo'!F2361)</f>
        <v/>
      </c>
      <c r="G2361" s="79">
        <f>IF('Ordenes_Odoo'!G2361="","",'Ordenes_Odoo'!G2361)</f>
        <v/>
      </c>
      <c r="H2361" s="79">
        <f>IF('Ordenes_Odoo'!H2361="","",'Ordenes_Odoo'!H2361)</f>
        <v/>
      </c>
      <c r="I2361" s="79">
        <f>IF('Ordenes_Odoo'!I2361="","",'Ordenes_Odoo'!I2361)</f>
        <v/>
      </c>
      <c r="J2361" s="79">
        <f>IF('Ordenes_Odoo'!J2361="","",'Ordenes_Odoo'!J2361)</f>
        <v/>
      </c>
      <c r="K2361" s="81">
        <f>IF('Ordenes_Odoo'!K2361="","",'Ordenes_Odoo'!K2361)</f>
        <v/>
      </c>
      <c r="L2361" s="81">
        <f>IF('Ordenes_Odoo'!L2361="","",'Ordenes_Odoo'!L2361)</f>
        <v/>
      </c>
      <c r="M2361" s="79">
        <f>IF('Ordenes_Odoo'!M2361="","",'Ordenes_Odoo'!M2361)</f>
        <v/>
      </c>
      <c r="N2361" s="79">
        <f>IF('Ordenes_Odoo'!N2361="","",'Ordenes_Odoo'!N2361)</f>
        <v/>
      </c>
      <c r="O2361" s="81">
        <f>IF('Ordenes_Odoo'!O2361="","",'Ordenes_Odoo'!O2361)</f>
        <v/>
      </c>
      <c r="P2361" s="81">
        <f>IF('Ordenes_Odoo'!P2361="","",'Ordenes_Odoo'!P2361)</f>
        <v/>
      </c>
      <c r="Q2361" s="79">
        <f>IF(A2361="","",IFERROR(INDEX(Facturas_Odoo!$B:$B, MATCH(A2361, Facturas_Odoo!$D:$D, 0)), "Sin Factura"))</f>
        <v/>
      </c>
      <c r="R2361" s="80">
        <f>IF(Q2361="Sin Factura","",IFERROR(INDEX(Facturas_Odoo!$A:$A, MATCH(Q2361, Facturas_Odoo!$B:$B, 0)), ""))</f>
        <v/>
      </c>
      <c r="S2361" s="79">
        <f>IF(Q2361="Sin Factura","",IFERROR(_xlfn.XLOOKUP(1, (Facturas_Odoo!$D:$D=A2361) * (Facturas_Odoo!$K:$K=I2361), Facturas_Odoo!$L:$L, ""), ""))</f>
        <v/>
      </c>
      <c r="T2361" s="81">
        <f>IF(Q2361="Sin Factura",0,IFERROR(_xlfn.XLOOKUP(1, (Facturas_Odoo!$D:$D=A2361) * (Facturas_Odoo!$K:$K=I2361), Facturas_Odoo!$M:$M, 0), 0))</f>
        <v/>
      </c>
      <c r="U2361" s="79">
        <f>IF(Q2361="Sin Factura",0,IFERROR(_xlfn.XLOOKUP(1, (Facturas_Odoo!$D:$D=A2361) * (Facturas_Odoo!$K:$K=I2361), Facturas_Odoo!$N:$N, 0), 0))</f>
        <v/>
      </c>
      <c r="V2361" s="79">
        <f>IF(Q2361="Sin Factura",0,IFERROR(_xlfn.XLOOKUP(1, (Facturas_Odoo!$D:$D=A2361) * (Facturas_Odoo!$K:$K=I2361), Facturas_Odoo!$O:$O, 0), 0))</f>
        <v/>
      </c>
      <c r="W2361" s="81">
        <f>IF(Q2361="Sin Factura",0,IFERROR(_xlfn.XLOOKUP(1, (Facturas_Odoo!$D:$D=A2361) * (Facturas_Odoo!$K:$K=I2361), Facturas_Odoo!$Q:$Q, 0), 0))</f>
        <v/>
      </c>
      <c r="X2361" s="79">
        <f>IF(OR(Q2361="Sin Factura",Q2361=""),"",IFERROR(INDEX(Pagos_Odoo!$B:$B, MATCH(Q2361, Pagos_Odoo!$I:$I, 0)), "Sin Pago"))</f>
        <v/>
      </c>
      <c r="Y2361" s="79">
        <f>IF(X2361="Sin Pago","",IFERROR(INDEX(Pagos_Odoo!$C:$C, MATCH(X2361, Pagos_Odoo!$B:$B, 0)), ""))</f>
        <v/>
      </c>
      <c r="Z2361" s="80">
        <f>IF(X2361="Sin Pago","",IFERROR(INDEX(Pagos_Odoo!$A:$A, MATCH(X2361, Pagos_Odoo!$B:$B, 0)), ""))</f>
        <v/>
      </c>
      <c r="AA2361" s="79">
        <f>IF(X2361="Sin Pago","",IFERROR(INDEX(Pagos_Odoo!$F:$F, MATCH(X2361, Pagos_Odoo!$B:$B, 0)), ""))</f>
        <v/>
      </c>
      <c r="AB2361" s="81">
        <f>IF(X2361="Sin Pago",0,IFERROR(INDEX(Pagos_Odoo!$E:$E, MATCH(X2361, Pagos_Odoo!$B:$B, 0)), 0))</f>
        <v/>
      </c>
      <c r="AC2361" s="79">
        <f>IF(X2361="Sin Pago","",IFERROR(INDEX(Pagos_Odoo!$G:$G, MATCH(X2361, Pagos_Odoo!$B:$B, 0)), ""))</f>
        <v/>
      </c>
      <c r="AD2361" s="82" t="n">
        <v>0</v>
      </c>
      <c r="AE2361" s="82" t="n"/>
      <c r="AF2361" s="82" t="n"/>
      <c r="AG2361" s="82">
        <f>IF(AN2361="","",AD2361+AE2361+AF2361)</f>
        <v/>
      </c>
      <c r="AH2361" s="81">
        <f>IF(AN2361="","",P2361*(1-AG2361))</f>
        <v/>
      </c>
      <c r="AI2361" s="81">
        <f>IF(AN2361="","",IF(Q2361="Sin Factura",0,IFERROR(INDEX(Facturas_Odoo!$H:$H, MATCH(Q2361, Facturas_Odoo!$B:$B, 0)), 0)*(1-AG2361)))</f>
        <v/>
      </c>
      <c r="AJ2361" s="81">
        <f>IF(AN2361="","",_xlfn.LET(idVenta, AN2361&amp;"",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61" s="81">
        <f>IF(AN2361="","",AH2361-AJ2361)</f>
        <v/>
      </c>
      <c r="AL2361" s="81">
        <f>IF(AN2361="","",IF(Q2361="Sin Factura","",AI2361-AJ2361))</f>
        <v/>
      </c>
      <c r="AM2361" s="81">
        <f>IF(AN2361="","",IF(Q2361="Sin Factura",0,P2361-IFERROR(INDEX(Facturas_Odoo!$H:$H, MATCH(Q2361, Facturas_Odoo!$B:$B, 0)), 0)))</f>
        <v/>
      </c>
      <c r="AN2361" s="79">
        <f>IF(AND(A2361="", J2361=""), "", IF(A2361&lt;&gt;"", VALUE(MID(A2361,2,LEN(A2361))), AN2360))</f>
        <v/>
      </c>
      <c r="AO2361" s="79">
        <f>IF(AN2361="","",IF(AD2361=0,"OK",_xlfn.LET(monedaPago, IF(AA2361="","USD",AA2361), limitePermitido, IFERROR(VLOOKUP(monedaPago, Configuración!$A$2:$B$3, 2, FALSE), 0.15), IF(AD2361&gt;limitePermitido, "ALERTA: EXCESO (" &amp; TEXT(limitePermitido, "0%") &amp; " máx)", "OK"))))</f>
        <v/>
      </c>
      <c r="AP2361" s="79">
        <f>IF(AN2361="","",IF(AE2361=0,"OK",_xlfn.LET(fechaPago, Z2361, fechaFactura, R2361, diasCredito, IF(E2361="Pago inmediato", 0, IFERROR(VALUE(MID(E2361, 1, SEARCH(" ", E2361)-1)),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61" s="79">
        <f>IF(AN2361="","",IF(AND(N2361&gt;0, AG2361&gt;0), IF(Configuración!$K$2="NO", "ALERTA: DESCUENTO DOBLE NO PERMITIDO", "OK"), "OK"))</f>
        <v/>
      </c>
      <c r="AR2361" s="79">
        <f>IF(AN2361="","",IF(OR(AO2361&lt;&gt;"OK", AP2361&lt;&gt;"OK", AQ2361&lt;&gt;"OK"), "⚠️ REVISAR", "OK"))</f>
        <v/>
      </c>
    </row>
    <row r="2362">
      <c r="A2362" s="79">
        <f>IF('Ordenes_Odoo'!A2362="","",'Ordenes_Odoo'!A2362)</f>
        <v/>
      </c>
      <c r="B2362" s="80">
        <f>IF('Ordenes_Odoo'!B2362="","",'Ordenes_Odoo'!B2362)</f>
        <v/>
      </c>
      <c r="C2362" s="79">
        <f>IF('Ordenes_Odoo'!C2362="","",'Ordenes_Odoo'!C2362)</f>
        <v/>
      </c>
      <c r="D2362" s="79">
        <f>IF('Ordenes_Odoo'!D2362="","",'Ordenes_Odoo'!D2362)</f>
        <v/>
      </c>
      <c r="E2362" s="79">
        <f>IF('Ordenes_Odoo'!E2362="","",'Ordenes_Odoo'!E2362)</f>
        <v/>
      </c>
      <c r="F2362" s="79">
        <f>IF('Ordenes_Odoo'!F2362="","",'Ordenes_Odoo'!F2362)</f>
        <v/>
      </c>
      <c r="G2362" s="79">
        <f>IF('Ordenes_Odoo'!G2362="","",'Ordenes_Odoo'!G2362)</f>
        <v/>
      </c>
      <c r="H2362" s="79">
        <f>IF('Ordenes_Odoo'!H2362="","",'Ordenes_Odoo'!H2362)</f>
        <v/>
      </c>
      <c r="I2362" s="79">
        <f>IF('Ordenes_Odoo'!I2362="","",'Ordenes_Odoo'!I2362)</f>
        <v/>
      </c>
      <c r="J2362" s="79">
        <f>IF('Ordenes_Odoo'!J2362="","",'Ordenes_Odoo'!J2362)</f>
        <v/>
      </c>
      <c r="K2362" s="81">
        <f>IF('Ordenes_Odoo'!K2362="","",'Ordenes_Odoo'!K2362)</f>
        <v/>
      </c>
      <c r="L2362" s="81">
        <f>IF('Ordenes_Odoo'!L2362="","",'Ordenes_Odoo'!L2362)</f>
        <v/>
      </c>
      <c r="M2362" s="79">
        <f>IF('Ordenes_Odoo'!M2362="","",'Ordenes_Odoo'!M2362)</f>
        <v/>
      </c>
      <c r="N2362" s="79">
        <f>IF('Ordenes_Odoo'!N2362="","",'Ordenes_Odoo'!N2362)</f>
        <v/>
      </c>
      <c r="O2362" s="81">
        <f>IF('Ordenes_Odoo'!O2362="","",'Ordenes_Odoo'!O2362)</f>
        <v/>
      </c>
      <c r="P2362" s="81">
        <f>IF('Ordenes_Odoo'!P2362="","",'Ordenes_Odoo'!P2362)</f>
        <v/>
      </c>
      <c r="Q2362" s="79">
        <f>IF(A2362="","",IFERROR(INDEX(Facturas_Odoo!$B:$B, MATCH(A2362, Facturas_Odoo!$D:$D, 0)), "Sin Factura"))</f>
        <v/>
      </c>
      <c r="R2362" s="80">
        <f>IF(Q2362="Sin Factura","",IFERROR(INDEX(Facturas_Odoo!$A:$A, MATCH(Q2362, Facturas_Odoo!$B:$B, 0)), ""))</f>
        <v/>
      </c>
      <c r="S2362" s="79">
        <f>IF(Q2362="Sin Factura","",IFERROR(_xlfn.XLOOKUP(1, (Facturas_Odoo!$D:$D=A2362) * (Facturas_Odoo!$K:$K=I2362), Facturas_Odoo!$L:$L, ""), ""))</f>
        <v/>
      </c>
      <c r="T2362" s="81">
        <f>IF(Q2362="Sin Factura",0,IFERROR(_xlfn.XLOOKUP(1, (Facturas_Odoo!$D:$D=A2362) * (Facturas_Odoo!$K:$K=I2362), Facturas_Odoo!$M:$M, 0), 0))</f>
        <v/>
      </c>
      <c r="U2362" s="79">
        <f>IF(Q2362="Sin Factura",0,IFERROR(_xlfn.XLOOKUP(1, (Facturas_Odoo!$D:$D=A2362) * (Facturas_Odoo!$K:$K=I2362), Facturas_Odoo!$N:$N, 0), 0))</f>
        <v/>
      </c>
      <c r="V2362" s="79">
        <f>IF(Q2362="Sin Factura",0,IFERROR(_xlfn.XLOOKUP(1, (Facturas_Odoo!$D:$D=A2362) * (Facturas_Odoo!$K:$K=I2362), Facturas_Odoo!$O:$O, 0), 0))</f>
        <v/>
      </c>
      <c r="W2362" s="81">
        <f>IF(Q2362="Sin Factura",0,IFERROR(_xlfn.XLOOKUP(1, (Facturas_Odoo!$D:$D=A2362) * (Facturas_Odoo!$K:$K=I2362), Facturas_Odoo!$Q:$Q, 0), 0))</f>
        <v/>
      </c>
      <c r="X2362" s="79">
        <f>IF(OR(Q2362="Sin Factura",Q2362=""),"",IFERROR(INDEX(Pagos_Odoo!$B:$B, MATCH(Q2362, Pagos_Odoo!$I:$I, 0)), "Sin Pago"))</f>
        <v/>
      </c>
      <c r="Y2362" s="79">
        <f>IF(X2362="Sin Pago","",IFERROR(INDEX(Pagos_Odoo!$C:$C, MATCH(X2362, Pagos_Odoo!$B:$B, 0)), ""))</f>
        <v/>
      </c>
      <c r="Z2362" s="80">
        <f>IF(X2362="Sin Pago","",IFERROR(INDEX(Pagos_Odoo!$A:$A, MATCH(X2362, Pagos_Odoo!$B:$B, 0)), ""))</f>
        <v/>
      </c>
      <c r="AA2362" s="79">
        <f>IF(X2362="Sin Pago","",IFERROR(INDEX(Pagos_Odoo!$F:$F, MATCH(X2362, Pagos_Odoo!$B:$B, 0)), ""))</f>
        <v/>
      </c>
      <c r="AB2362" s="81">
        <f>IF(X2362="Sin Pago",0,IFERROR(INDEX(Pagos_Odoo!$E:$E, MATCH(X2362, Pagos_Odoo!$B:$B, 0)), 0))</f>
        <v/>
      </c>
      <c r="AC2362" s="79">
        <f>IF(X2362="Sin Pago","",IFERROR(INDEX(Pagos_Odoo!$G:$G, MATCH(X2362, Pagos_Odoo!$B:$B, 0)), ""))</f>
        <v/>
      </c>
      <c r="AD2362" s="82" t="n">
        <v>0</v>
      </c>
      <c r="AE2362" s="82" t="n"/>
      <c r="AF2362" s="82" t="n"/>
      <c r="AG2362" s="82">
        <f>IF(AN2362="","",AD2362+AE2362+AF2362)</f>
        <v/>
      </c>
      <c r="AH2362" s="81">
        <f>IF(AN2362="","",P2362*(1-AG2362))</f>
        <v/>
      </c>
      <c r="AI2362" s="81">
        <f>IF(AN2362="","",IF(Q2362="Sin Factura",0,IFERROR(INDEX(Facturas_Odoo!$H:$H, MATCH(Q2362, Facturas_Odoo!$B:$B, 0)), 0)*(1-AG2362)))</f>
        <v/>
      </c>
      <c r="AJ2362" s="81">
        <f>IF(AN2362="","",_xlfn.LET(idVenta, AN2362&amp;"",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62" s="81">
        <f>IF(AN2362="","",AH2362-AJ2362)</f>
        <v/>
      </c>
      <c r="AL2362" s="81">
        <f>IF(AN2362="","",IF(Q2362="Sin Factura","",AI2362-AJ2362))</f>
        <v/>
      </c>
      <c r="AM2362" s="81">
        <f>IF(AN2362="","",IF(Q2362="Sin Factura",0,P2362-IFERROR(INDEX(Facturas_Odoo!$H:$H, MATCH(Q2362, Facturas_Odoo!$B:$B, 0)), 0)))</f>
        <v/>
      </c>
      <c r="AN2362" s="79">
        <f>IF(AND(A2362="", J2362=""), "", IF(A2362&lt;&gt;"", VALUE(MID(A2362,2,LEN(A2362))), AN2361))</f>
        <v/>
      </c>
      <c r="AO2362" s="79">
        <f>IF(AN2362="","",IF(AD2362=0,"OK",_xlfn.LET(monedaPago, IF(AA2362="","USD",AA2362), limitePermitido, IFERROR(VLOOKUP(monedaPago, Configuración!$A$2:$B$3, 2, FALSE), 0.15), IF(AD2362&gt;limitePermitido, "ALERTA: EXCESO (" &amp; TEXT(limitePermitido, "0%") &amp; " máx)", "OK"))))</f>
        <v/>
      </c>
      <c r="AP2362" s="79">
        <f>IF(AN2362="","",IF(AE2362=0,"OK",_xlfn.LET(fechaPago, Z2362, fechaFactura, R2362, diasCredito, IF(E2362="Pago inmediato", 0, IFERROR(VALUE(MID(E2362, 1, SEARCH(" ", E2362)-1)),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62" s="79">
        <f>IF(AN2362="","",IF(AND(N2362&gt;0, AG2362&gt;0), IF(Configuración!$K$2="NO", "ALERTA: DESCUENTO DOBLE NO PERMITIDO", "OK"), "OK"))</f>
        <v/>
      </c>
      <c r="AR2362" s="79">
        <f>IF(AN2362="","",IF(OR(AO2362&lt;&gt;"OK", AP2362&lt;&gt;"OK", AQ2362&lt;&gt;"OK"), "⚠️ REVISAR", "OK"))</f>
        <v/>
      </c>
    </row>
    <row r="2363">
      <c r="A2363" s="79">
        <f>IF('Ordenes_Odoo'!A2363="","",'Ordenes_Odoo'!A2363)</f>
        <v/>
      </c>
      <c r="B2363" s="80">
        <f>IF('Ordenes_Odoo'!B2363="","",'Ordenes_Odoo'!B2363)</f>
        <v/>
      </c>
      <c r="C2363" s="79">
        <f>IF('Ordenes_Odoo'!C2363="","",'Ordenes_Odoo'!C2363)</f>
        <v/>
      </c>
      <c r="D2363" s="79">
        <f>IF('Ordenes_Odoo'!D2363="","",'Ordenes_Odoo'!D2363)</f>
        <v/>
      </c>
      <c r="E2363" s="79">
        <f>IF('Ordenes_Odoo'!E2363="","",'Ordenes_Odoo'!E2363)</f>
        <v/>
      </c>
      <c r="F2363" s="79">
        <f>IF('Ordenes_Odoo'!F2363="","",'Ordenes_Odoo'!F2363)</f>
        <v/>
      </c>
      <c r="G2363" s="79">
        <f>IF('Ordenes_Odoo'!G2363="","",'Ordenes_Odoo'!G2363)</f>
        <v/>
      </c>
      <c r="H2363" s="79">
        <f>IF('Ordenes_Odoo'!H2363="","",'Ordenes_Odoo'!H2363)</f>
        <v/>
      </c>
      <c r="I2363" s="79">
        <f>IF('Ordenes_Odoo'!I2363="","",'Ordenes_Odoo'!I2363)</f>
        <v/>
      </c>
      <c r="J2363" s="79">
        <f>IF('Ordenes_Odoo'!J2363="","",'Ordenes_Odoo'!J2363)</f>
        <v/>
      </c>
      <c r="K2363" s="81">
        <f>IF('Ordenes_Odoo'!K2363="","",'Ordenes_Odoo'!K2363)</f>
        <v/>
      </c>
      <c r="L2363" s="81">
        <f>IF('Ordenes_Odoo'!L2363="","",'Ordenes_Odoo'!L2363)</f>
        <v/>
      </c>
      <c r="M2363" s="79">
        <f>IF('Ordenes_Odoo'!M2363="","",'Ordenes_Odoo'!M2363)</f>
        <v/>
      </c>
      <c r="N2363" s="79">
        <f>IF('Ordenes_Odoo'!N2363="","",'Ordenes_Odoo'!N2363)</f>
        <v/>
      </c>
      <c r="O2363" s="81">
        <f>IF('Ordenes_Odoo'!O2363="","",'Ordenes_Odoo'!O2363)</f>
        <v/>
      </c>
      <c r="P2363" s="81">
        <f>IF('Ordenes_Odoo'!P2363="","",'Ordenes_Odoo'!P2363)</f>
        <v/>
      </c>
      <c r="Q2363" s="79">
        <f>IF(A2363="","",IFERROR(INDEX(Facturas_Odoo!$B:$B, MATCH(A2363, Facturas_Odoo!$D:$D, 0)), "Sin Factura"))</f>
        <v/>
      </c>
      <c r="R2363" s="80">
        <f>IF(Q2363="Sin Factura","",IFERROR(INDEX(Facturas_Odoo!$A:$A, MATCH(Q2363, Facturas_Odoo!$B:$B, 0)), ""))</f>
        <v/>
      </c>
      <c r="S2363" s="79">
        <f>IF(Q2363="Sin Factura","",IFERROR(_xlfn.XLOOKUP(1, (Facturas_Odoo!$D:$D=A2363) * (Facturas_Odoo!$K:$K=I2363), Facturas_Odoo!$L:$L, ""), ""))</f>
        <v/>
      </c>
      <c r="T2363" s="81">
        <f>IF(Q2363="Sin Factura",0,IFERROR(_xlfn.XLOOKUP(1, (Facturas_Odoo!$D:$D=A2363) * (Facturas_Odoo!$K:$K=I2363), Facturas_Odoo!$M:$M, 0), 0))</f>
        <v/>
      </c>
      <c r="U2363" s="79">
        <f>IF(Q2363="Sin Factura",0,IFERROR(_xlfn.XLOOKUP(1, (Facturas_Odoo!$D:$D=A2363) * (Facturas_Odoo!$K:$K=I2363), Facturas_Odoo!$N:$N, 0), 0))</f>
        <v/>
      </c>
      <c r="V2363" s="79">
        <f>IF(Q2363="Sin Factura",0,IFERROR(_xlfn.XLOOKUP(1, (Facturas_Odoo!$D:$D=A2363) * (Facturas_Odoo!$K:$K=I2363), Facturas_Odoo!$O:$O, 0), 0))</f>
        <v/>
      </c>
      <c r="W2363" s="81">
        <f>IF(Q2363="Sin Factura",0,IFERROR(_xlfn.XLOOKUP(1, (Facturas_Odoo!$D:$D=A2363) * (Facturas_Odoo!$K:$K=I2363), Facturas_Odoo!$Q:$Q, 0), 0))</f>
        <v/>
      </c>
      <c r="X2363" s="79">
        <f>IF(OR(Q2363="Sin Factura",Q2363=""),"",IFERROR(INDEX(Pagos_Odoo!$B:$B, MATCH(Q2363, Pagos_Odoo!$I:$I, 0)), "Sin Pago"))</f>
        <v/>
      </c>
      <c r="Y2363" s="79">
        <f>IF(X2363="Sin Pago","",IFERROR(INDEX(Pagos_Odoo!$C:$C, MATCH(X2363, Pagos_Odoo!$B:$B, 0)), ""))</f>
        <v/>
      </c>
      <c r="Z2363" s="80">
        <f>IF(X2363="Sin Pago","",IFERROR(INDEX(Pagos_Odoo!$A:$A, MATCH(X2363, Pagos_Odoo!$B:$B, 0)), ""))</f>
        <v/>
      </c>
      <c r="AA2363" s="79">
        <f>IF(X2363="Sin Pago","",IFERROR(INDEX(Pagos_Odoo!$F:$F, MATCH(X2363, Pagos_Odoo!$B:$B, 0)), ""))</f>
        <v/>
      </c>
      <c r="AB2363" s="81">
        <f>IF(X2363="Sin Pago",0,IFERROR(INDEX(Pagos_Odoo!$E:$E, MATCH(X2363, Pagos_Odoo!$B:$B, 0)), 0))</f>
        <v/>
      </c>
      <c r="AC2363" s="79">
        <f>IF(X2363="Sin Pago","",IFERROR(INDEX(Pagos_Odoo!$G:$G, MATCH(X2363, Pagos_Odoo!$B:$B, 0)), ""))</f>
        <v/>
      </c>
      <c r="AD2363" s="82" t="n">
        <v>0</v>
      </c>
      <c r="AE2363" s="82" t="n"/>
      <c r="AF2363" s="82" t="n"/>
      <c r="AG2363" s="82">
        <f>IF(AN2363="","",AD2363+AE2363+AF2363)</f>
        <v/>
      </c>
      <c r="AH2363" s="81">
        <f>IF(AN2363="","",P2363*(1-AG2363))</f>
        <v/>
      </c>
      <c r="AI2363" s="81">
        <f>IF(AN2363="","",IF(Q2363="Sin Factura",0,IFERROR(INDEX(Facturas_Odoo!$H:$H, MATCH(Q2363, Facturas_Odoo!$B:$B, 0)), 0)*(1-AG2363)))</f>
        <v/>
      </c>
      <c r="AJ2363" s="81">
        <f>IF(AN2363="","",_xlfn.LET(idVenta, AN2363&amp;"",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63" s="81">
        <f>IF(AN2363="","",AH2363-AJ2363)</f>
        <v/>
      </c>
      <c r="AL2363" s="81">
        <f>IF(AN2363="","",IF(Q2363="Sin Factura","",AI2363-AJ2363))</f>
        <v/>
      </c>
      <c r="AM2363" s="81">
        <f>IF(AN2363="","",IF(Q2363="Sin Factura",0,P2363-IFERROR(INDEX(Facturas_Odoo!$H:$H, MATCH(Q2363, Facturas_Odoo!$B:$B, 0)), 0)))</f>
        <v/>
      </c>
      <c r="AN2363" s="79">
        <f>IF(AND(A2363="", J2363=""), "", IF(A2363&lt;&gt;"", VALUE(MID(A2363,2,LEN(A2363))), AN2362))</f>
        <v/>
      </c>
      <c r="AO2363" s="79">
        <f>IF(AN2363="","",IF(AD2363=0,"OK",_xlfn.LET(monedaPago, IF(AA2363="","USD",AA2363), limitePermitido, IFERROR(VLOOKUP(monedaPago, Configuración!$A$2:$B$3, 2, FALSE), 0.15), IF(AD2363&gt;limitePermitido, "ALERTA: EXCESO (" &amp; TEXT(limitePermitido, "0%") &amp; " máx)", "OK"))))</f>
        <v/>
      </c>
      <c r="AP2363" s="79">
        <f>IF(AN2363="","",IF(AE2363=0,"OK",_xlfn.LET(fechaPago, Z2363, fechaFactura, R2363, diasCredito, IF(E2363="Pago inmediato", 0, IFERROR(VALUE(MID(E2363, 1, SEARCH(" ", E2363)-1)),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63" s="79">
        <f>IF(AN2363="","",IF(AND(N2363&gt;0, AG2363&gt;0), IF(Configuración!$K$2="NO", "ALERTA: DESCUENTO DOBLE NO PERMITIDO", "OK"), "OK"))</f>
        <v/>
      </c>
      <c r="AR2363" s="79">
        <f>IF(AN2363="","",IF(OR(AO2363&lt;&gt;"OK", AP2363&lt;&gt;"OK", AQ2363&lt;&gt;"OK"), "⚠️ REVISAR", "OK"))</f>
        <v/>
      </c>
    </row>
    <row r="2364">
      <c r="A2364" s="79">
        <f>IF('Ordenes_Odoo'!A2364="","",'Ordenes_Odoo'!A2364)</f>
        <v/>
      </c>
      <c r="B2364" s="80">
        <f>IF('Ordenes_Odoo'!B2364="","",'Ordenes_Odoo'!B2364)</f>
        <v/>
      </c>
      <c r="C2364" s="79">
        <f>IF('Ordenes_Odoo'!C2364="","",'Ordenes_Odoo'!C2364)</f>
        <v/>
      </c>
      <c r="D2364" s="79">
        <f>IF('Ordenes_Odoo'!D2364="","",'Ordenes_Odoo'!D2364)</f>
        <v/>
      </c>
      <c r="E2364" s="79">
        <f>IF('Ordenes_Odoo'!E2364="","",'Ordenes_Odoo'!E2364)</f>
        <v/>
      </c>
      <c r="F2364" s="79">
        <f>IF('Ordenes_Odoo'!F2364="","",'Ordenes_Odoo'!F2364)</f>
        <v/>
      </c>
      <c r="G2364" s="79">
        <f>IF('Ordenes_Odoo'!G2364="","",'Ordenes_Odoo'!G2364)</f>
        <v/>
      </c>
      <c r="H2364" s="79">
        <f>IF('Ordenes_Odoo'!H2364="","",'Ordenes_Odoo'!H2364)</f>
        <v/>
      </c>
      <c r="I2364" s="79">
        <f>IF('Ordenes_Odoo'!I2364="","",'Ordenes_Odoo'!I2364)</f>
        <v/>
      </c>
      <c r="J2364" s="79">
        <f>IF('Ordenes_Odoo'!J2364="","",'Ordenes_Odoo'!J2364)</f>
        <v/>
      </c>
      <c r="K2364" s="81">
        <f>IF('Ordenes_Odoo'!K2364="","",'Ordenes_Odoo'!K2364)</f>
        <v/>
      </c>
      <c r="L2364" s="81">
        <f>IF('Ordenes_Odoo'!L2364="","",'Ordenes_Odoo'!L2364)</f>
        <v/>
      </c>
      <c r="M2364" s="79">
        <f>IF('Ordenes_Odoo'!M2364="","",'Ordenes_Odoo'!M2364)</f>
        <v/>
      </c>
      <c r="N2364" s="79">
        <f>IF('Ordenes_Odoo'!N2364="","",'Ordenes_Odoo'!N2364)</f>
        <v/>
      </c>
      <c r="O2364" s="81">
        <f>IF('Ordenes_Odoo'!O2364="","",'Ordenes_Odoo'!O2364)</f>
        <v/>
      </c>
      <c r="P2364" s="81">
        <f>IF('Ordenes_Odoo'!P2364="","",'Ordenes_Odoo'!P2364)</f>
        <v/>
      </c>
      <c r="Q2364" s="79">
        <f>IF(A2364="","",IFERROR(INDEX(Facturas_Odoo!$B:$B, MATCH(A2364, Facturas_Odoo!$D:$D, 0)), "Sin Factura"))</f>
        <v/>
      </c>
      <c r="R2364" s="80">
        <f>IF(Q2364="Sin Factura","",IFERROR(INDEX(Facturas_Odoo!$A:$A, MATCH(Q2364, Facturas_Odoo!$B:$B, 0)), ""))</f>
        <v/>
      </c>
      <c r="S2364" s="79">
        <f>IF(Q2364="Sin Factura","",IFERROR(_xlfn.XLOOKUP(1, (Facturas_Odoo!$D:$D=A2364) * (Facturas_Odoo!$K:$K=I2364), Facturas_Odoo!$L:$L, ""), ""))</f>
        <v/>
      </c>
      <c r="T2364" s="81">
        <f>IF(Q2364="Sin Factura",0,IFERROR(_xlfn.XLOOKUP(1, (Facturas_Odoo!$D:$D=A2364) * (Facturas_Odoo!$K:$K=I2364), Facturas_Odoo!$M:$M, 0), 0))</f>
        <v/>
      </c>
      <c r="U2364" s="79">
        <f>IF(Q2364="Sin Factura",0,IFERROR(_xlfn.XLOOKUP(1, (Facturas_Odoo!$D:$D=A2364) * (Facturas_Odoo!$K:$K=I2364), Facturas_Odoo!$N:$N, 0), 0))</f>
        <v/>
      </c>
      <c r="V2364" s="79">
        <f>IF(Q2364="Sin Factura",0,IFERROR(_xlfn.XLOOKUP(1, (Facturas_Odoo!$D:$D=A2364) * (Facturas_Odoo!$K:$K=I2364), Facturas_Odoo!$O:$O, 0), 0))</f>
        <v/>
      </c>
      <c r="W2364" s="81">
        <f>IF(Q2364="Sin Factura",0,IFERROR(_xlfn.XLOOKUP(1, (Facturas_Odoo!$D:$D=A2364) * (Facturas_Odoo!$K:$K=I2364), Facturas_Odoo!$Q:$Q, 0), 0))</f>
        <v/>
      </c>
      <c r="X2364" s="79">
        <f>IF(OR(Q2364="Sin Factura",Q2364=""),"",IFERROR(INDEX(Pagos_Odoo!$B:$B, MATCH(Q2364, Pagos_Odoo!$I:$I, 0)), "Sin Pago"))</f>
        <v/>
      </c>
      <c r="Y2364" s="79">
        <f>IF(X2364="Sin Pago","",IFERROR(INDEX(Pagos_Odoo!$C:$C, MATCH(X2364, Pagos_Odoo!$B:$B, 0)), ""))</f>
        <v/>
      </c>
      <c r="Z2364" s="80">
        <f>IF(X2364="Sin Pago","",IFERROR(INDEX(Pagos_Odoo!$A:$A, MATCH(X2364, Pagos_Odoo!$B:$B, 0)), ""))</f>
        <v/>
      </c>
      <c r="AA2364" s="79">
        <f>IF(X2364="Sin Pago","",IFERROR(INDEX(Pagos_Odoo!$F:$F, MATCH(X2364, Pagos_Odoo!$B:$B, 0)), ""))</f>
        <v/>
      </c>
      <c r="AB2364" s="81">
        <f>IF(X2364="Sin Pago",0,IFERROR(INDEX(Pagos_Odoo!$E:$E, MATCH(X2364, Pagos_Odoo!$B:$B, 0)), 0))</f>
        <v/>
      </c>
      <c r="AC2364" s="79">
        <f>IF(X2364="Sin Pago","",IFERROR(INDEX(Pagos_Odoo!$G:$G, MATCH(X2364, Pagos_Odoo!$B:$B, 0)), ""))</f>
        <v/>
      </c>
      <c r="AD2364" s="82" t="n">
        <v>0</v>
      </c>
      <c r="AE2364" s="82" t="n"/>
      <c r="AF2364" s="82" t="n"/>
      <c r="AG2364" s="82">
        <f>IF(AN2364="","",AD2364+AE2364+AF2364)</f>
        <v/>
      </c>
      <c r="AH2364" s="81">
        <f>IF(AN2364="","",P2364*(1-AG2364))</f>
        <v/>
      </c>
      <c r="AI2364" s="81">
        <f>IF(AN2364="","",IF(Q2364="Sin Factura",0,IFERROR(INDEX(Facturas_Odoo!$H:$H, MATCH(Q2364, Facturas_Odoo!$B:$B, 0)), 0)*(1-AG2364)))</f>
        <v/>
      </c>
      <c r="AJ2364" s="81">
        <f>IF(AN2364="","",_xlfn.LET(idVenta, AN2364&amp;"",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64" s="81">
        <f>IF(AN2364="","",AH2364-AJ2364)</f>
        <v/>
      </c>
      <c r="AL2364" s="81">
        <f>IF(AN2364="","",IF(Q2364="Sin Factura","",AI2364-AJ2364))</f>
        <v/>
      </c>
      <c r="AM2364" s="81">
        <f>IF(AN2364="","",IF(Q2364="Sin Factura",0,P2364-IFERROR(INDEX(Facturas_Odoo!$H:$H, MATCH(Q2364, Facturas_Odoo!$B:$B, 0)), 0)))</f>
        <v/>
      </c>
      <c r="AN2364" s="79">
        <f>IF(AND(A2364="", J2364=""), "", IF(A2364&lt;&gt;"", VALUE(MID(A2364,2,LEN(A2364))), AN2363))</f>
        <v/>
      </c>
      <c r="AO2364" s="79">
        <f>IF(AN2364="","",IF(AD2364=0,"OK",_xlfn.LET(monedaPago, IF(AA2364="","USD",AA2364), limitePermitido, IFERROR(VLOOKUP(monedaPago, Configuración!$A$2:$B$3, 2, FALSE), 0.15), IF(AD2364&gt;limitePermitido, "ALERTA: EXCESO (" &amp; TEXT(limitePermitido, "0%") &amp; " máx)", "OK"))))</f>
        <v/>
      </c>
      <c r="AP2364" s="79">
        <f>IF(AN2364="","",IF(AE2364=0,"OK",_xlfn.LET(fechaPago, Z2364, fechaFactura, R2364, diasCredito, IF(E2364="Pago inmediato", 0, IFERROR(VALUE(MID(E2364, 1, SEARCH(" ", E2364)-1)),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64" s="79">
        <f>IF(AN2364="","",IF(AND(N2364&gt;0, AG2364&gt;0), IF(Configuración!$K$2="NO", "ALERTA: DESCUENTO DOBLE NO PERMITIDO", "OK"), "OK"))</f>
        <v/>
      </c>
      <c r="AR2364" s="79">
        <f>IF(AN2364="","",IF(OR(AO2364&lt;&gt;"OK", AP2364&lt;&gt;"OK", AQ2364&lt;&gt;"OK"), "⚠️ REVISAR", "OK"))</f>
        <v/>
      </c>
    </row>
    <row r="2365">
      <c r="A2365" s="79">
        <f>IF('Ordenes_Odoo'!A2365="","",'Ordenes_Odoo'!A2365)</f>
        <v/>
      </c>
      <c r="B2365" s="80">
        <f>IF('Ordenes_Odoo'!B2365="","",'Ordenes_Odoo'!B2365)</f>
        <v/>
      </c>
      <c r="C2365" s="79">
        <f>IF('Ordenes_Odoo'!C2365="","",'Ordenes_Odoo'!C2365)</f>
        <v/>
      </c>
      <c r="D2365" s="79">
        <f>IF('Ordenes_Odoo'!D2365="","",'Ordenes_Odoo'!D2365)</f>
        <v/>
      </c>
      <c r="E2365" s="79">
        <f>IF('Ordenes_Odoo'!E2365="","",'Ordenes_Odoo'!E2365)</f>
        <v/>
      </c>
      <c r="F2365" s="79">
        <f>IF('Ordenes_Odoo'!F2365="","",'Ordenes_Odoo'!F2365)</f>
        <v/>
      </c>
      <c r="G2365" s="79">
        <f>IF('Ordenes_Odoo'!G2365="","",'Ordenes_Odoo'!G2365)</f>
        <v/>
      </c>
      <c r="H2365" s="79">
        <f>IF('Ordenes_Odoo'!H2365="","",'Ordenes_Odoo'!H2365)</f>
        <v/>
      </c>
      <c r="I2365" s="79">
        <f>IF('Ordenes_Odoo'!I2365="","",'Ordenes_Odoo'!I2365)</f>
        <v/>
      </c>
      <c r="J2365" s="79">
        <f>IF('Ordenes_Odoo'!J2365="","",'Ordenes_Odoo'!J2365)</f>
        <v/>
      </c>
      <c r="K2365" s="81">
        <f>IF('Ordenes_Odoo'!K2365="","",'Ordenes_Odoo'!K2365)</f>
        <v/>
      </c>
      <c r="L2365" s="81">
        <f>IF('Ordenes_Odoo'!L2365="","",'Ordenes_Odoo'!L2365)</f>
        <v/>
      </c>
      <c r="M2365" s="79">
        <f>IF('Ordenes_Odoo'!M2365="","",'Ordenes_Odoo'!M2365)</f>
        <v/>
      </c>
      <c r="N2365" s="79">
        <f>IF('Ordenes_Odoo'!N2365="","",'Ordenes_Odoo'!N2365)</f>
        <v/>
      </c>
      <c r="O2365" s="81">
        <f>IF('Ordenes_Odoo'!O2365="","",'Ordenes_Odoo'!O2365)</f>
        <v/>
      </c>
      <c r="P2365" s="81">
        <f>IF('Ordenes_Odoo'!P2365="","",'Ordenes_Odoo'!P2365)</f>
        <v/>
      </c>
      <c r="Q2365" s="79">
        <f>IF(A2365="","",IFERROR(INDEX(Facturas_Odoo!$B:$B, MATCH(A2365, Facturas_Odoo!$D:$D, 0)), "Sin Factura"))</f>
        <v/>
      </c>
      <c r="R2365" s="80">
        <f>IF(Q2365="Sin Factura","",IFERROR(INDEX(Facturas_Odoo!$A:$A, MATCH(Q2365, Facturas_Odoo!$B:$B, 0)), ""))</f>
        <v/>
      </c>
      <c r="S2365" s="79">
        <f>IF(Q2365="Sin Factura","",IFERROR(_xlfn.XLOOKUP(1, (Facturas_Odoo!$D:$D=A2365) * (Facturas_Odoo!$K:$K=I2365), Facturas_Odoo!$L:$L, ""), ""))</f>
        <v/>
      </c>
      <c r="T2365" s="81">
        <f>IF(Q2365="Sin Factura",0,IFERROR(_xlfn.XLOOKUP(1, (Facturas_Odoo!$D:$D=A2365) * (Facturas_Odoo!$K:$K=I2365), Facturas_Odoo!$M:$M, 0), 0))</f>
        <v/>
      </c>
      <c r="U2365" s="79">
        <f>IF(Q2365="Sin Factura",0,IFERROR(_xlfn.XLOOKUP(1, (Facturas_Odoo!$D:$D=A2365) * (Facturas_Odoo!$K:$K=I2365), Facturas_Odoo!$N:$N, 0), 0))</f>
        <v/>
      </c>
      <c r="V2365" s="79">
        <f>IF(Q2365="Sin Factura",0,IFERROR(_xlfn.XLOOKUP(1, (Facturas_Odoo!$D:$D=A2365) * (Facturas_Odoo!$K:$K=I2365), Facturas_Odoo!$O:$O, 0), 0))</f>
        <v/>
      </c>
      <c r="W2365" s="81">
        <f>IF(Q2365="Sin Factura",0,IFERROR(_xlfn.XLOOKUP(1, (Facturas_Odoo!$D:$D=A2365) * (Facturas_Odoo!$K:$K=I2365), Facturas_Odoo!$Q:$Q, 0), 0))</f>
        <v/>
      </c>
      <c r="X2365" s="79">
        <f>IF(OR(Q2365="Sin Factura",Q2365=""),"",IFERROR(INDEX(Pagos_Odoo!$B:$B, MATCH(Q2365, Pagos_Odoo!$I:$I, 0)), "Sin Pago"))</f>
        <v/>
      </c>
      <c r="Y2365" s="79">
        <f>IF(X2365="Sin Pago","",IFERROR(INDEX(Pagos_Odoo!$C:$C, MATCH(X2365, Pagos_Odoo!$B:$B, 0)), ""))</f>
        <v/>
      </c>
      <c r="Z2365" s="80">
        <f>IF(X2365="Sin Pago","",IFERROR(INDEX(Pagos_Odoo!$A:$A, MATCH(X2365, Pagos_Odoo!$B:$B, 0)), ""))</f>
        <v/>
      </c>
      <c r="AA2365" s="79">
        <f>IF(X2365="Sin Pago","",IFERROR(INDEX(Pagos_Odoo!$F:$F, MATCH(X2365, Pagos_Odoo!$B:$B, 0)), ""))</f>
        <v/>
      </c>
      <c r="AB2365" s="81">
        <f>IF(X2365="Sin Pago",0,IFERROR(INDEX(Pagos_Odoo!$E:$E, MATCH(X2365, Pagos_Odoo!$B:$B, 0)), 0))</f>
        <v/>
      </c>
      <c r="AC2365" s="79">
        <f>IF(X2365="Sin Pago","",IFERROR(INDEX(Pagos_Odoo!$G:$G, MATCH(X2365, Pagos_Odoo!$B:$B, 0)), ""))</f>
        <v/>
      </c>
      <c r="AD2365" s="82" t="n">
        <v>0</v>
      </c>
      <c r="AE2365" s="82" t="n"/>
      <c r="AF2365" s="82" t="n"/>
      <c r="AG2365" s="82">
        <f>IF(AN2365="","",AD2365+AE2365+AF2365)</f>
        <v/>
      </c>
      <c r="AH2365" s="81">
        <f>IF(AN2365="","",P2365*(1-AG2365))</f>
        <v/>
      </c>
      <c r="AI2365" s="81">
        <f>IF(AN2365="","",IF(Q2365="Sin Factura",0,IFERROR(INDEX(Facturas_Odoo!$H:$H, MATCH(Q2365, Facturas_Odoo!$B:$B, 0)), 0)*(1-AG2365)))</f>
        <v/>
      </c>
      <c r="AJ2365" s="81">
        <f>IF(AN2365="","",_xlfn.LET(idVenta, AN2365&amp;"",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65" s="81">
        <f>IF(AN2365="","",AH2365-AJ2365)</f>
        <v/>
      </c>
      <c r="AL2365" s="81">
        <f>IF(AN2365="","",IF(Q2365="Sin Factura","",AI2365-AJ2365))</f>
        <v/>
      </c>
      <c r="AM2365" s="81">
        <f>IF(AN2365="","",IF(Q2365="Sin Factura",0,P2365-IFERROR(INDEX(Facturas_Odoo!$H:$H, MATCH(Q2365, Facturas_Odoo!$B:$B, 0)), 0)))</f>
        <v/>
      </c>
      <c r="AN2365" s="79">
        <f>IF(AND(A2365="", J2365=""), "", IF(A2365&lt;&gt;"", VALUE(MID(A2365,2,LEN(A2365))), AN2364))</f>
        <v/>
      </c>
      <c r="AO2365" s="79">
        <f>IF(AN2365="","",IF(AD2365=0,"OK",_xlfn.LET(monedaPago, IF(AA2365="","USD",AA2365), limitePermitido, IFERROR(VLOOKUP(monedaPago, Configuración!$A$2:$B$3, 2, FALSE), 0.15), IF(AD2365&gt;limitePermitido, "ALERTA: EXCESO (" &amp; TEXT(limitePermitido, "0%") &amp; " máx)", "OK"))))</f>
        <v/>
      </c>
      <c r="AP2365" s="79">
        <f>IF(AN2365="","",IF(AE2365=0,"OK",_xlfn.LET(fechaPago, Z2365, fechaFactura, R2365, diasCredito, IF(E2365="Pago inmediato", 0, IFERROR(VALUE(MID(E2365, 1, SEARCH(" ", E2365)-1)),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65" s="79">
        <f>IF(AN2365="","",IF(AND(N2365&gt;0, AG2365&gt;0), IF(Configuración!$K$2="NO", "ALERTA: DESCUENTO DOBLE NO PERMITIDO", "OK"), "OK"))</f>
        <v/>
      </c>
      <c r="AR2365" s="79">
        <f>IF(AN2365="","",IF(OR(AO2365&lt;&gt;"OK", AP2365&lt;&gt;"OK", AQ2365&lt;&gt;"OK"), "⚠️ REVISAR", "OK"))</f>
        <v/>
      </c>
    </row>
    <row r="2366">
      <c r="A2366" s="79">
        <f>IF('Ordenes_Odoo'!A2366="","",'Ordenes_Odoo'!A2366)</f>
        <v/>
      </c>
      <c r="B2366" s="80">
        <f>IF('Ordenes_Odoo'!B2366="","",'Ordenes_Odoo'!B2366)</f>
        <v/>
      </c>
      <c r="C2366" s="79">
        <f>IF('Ordenes_Odoo'!C2366="","",'Ordenes_Odoo'!C2366)</f>
        <v/>
      </c>
      <c r="D2366" s="79">
        <f>IF('Ordenes_Odoo'!D2366="","",'Ordenes_Odoo'!D2366)</f>
        <v/>
      </c>
      <c r="E2366" s="79">
        <f>IF('Ordenes_Odoo'!E2366="","",'Ordenes_Odoo'!E2366)</f>
        <v/>
      </c>
      <c r="F2366" s="79">
        <f>IF('Ordenes_Odoo'!F2366="","",'Ordenes_Odoo'!F2366)</f>
        <v/>
      </c>
      <c r="G2366" s="79">
        <f>IF('Ordenes_Odoo'!G2366="","",'Ordenes_Odoo'!G2366)</f>
        <v/>
      </c>
      <c r="H2366" s="79">
        <f>IF('Ordenes_Odoo'!H2366="","",'Ordenes_Odoo'!H2366)</f>
        <v/>
      </c>
      <c r="I2366" s="79">
        <f>IF('Ordenes_Odoo'!I2366="","",'Ordenes_Odoo'!I2366)</f>
        <v/>
      </c>
      <c r="J2366" s="79">
        <f>IF('Ordenes_Odoo'!J2366="","",'Ordenes_Odoo'!J2366)</f>
        <v/>
      </c>
      <c r="K2366" s="81">
        <f>IF('Ordenes_Odoo'!K2366="","",'Ordenes_Odoo'!K2366)</f>
        <v/>
      </c>
      <c r="L2366" s="81">
        <f>IF('Ordenes_Odoo'!L2366="","",'Ordenes_Odoo'!L2366)</f>
        <v/>
      </c>
      <c r="M2366" s="79">
        <f>IF('Ordenes_Odoo'!M2366="","",'Ordenes_Odoo'!M2366)</f>
        <v/>
      </c>
      <c r="N2366" s="79">
        <f>IF('Ordenes_Odoo'!N2366="","",'Ordenes_Odoo'!N2366)</f>
        <v/>
      </c>
      <c r="O2366" s="81">
        <f>IF('Ordenes_Odoo'!O2366="","",'Ordenes_Odoo'!O2366)</f>
        <v/>
      </c>
      <c r="P2366" s="81">
        <f>IF('Ordenes_Odoo'!P2366="","",'Ordenes_Odoo'!P2366)</f>
        <v/>
      </c>
      <c r="Q2366" s="79">
        <f>IF(A2366="","",IFERROR(INDEX(Facturas_Odoo!$B:$B, MATCH(A2366, Facturas_Odoo!$D:$D, 0)), "Sin Factura"))</f>
        <v/>
      </c>
      <c r="R2366" s="80">
        <f>IF(Q2366="Sin Factura","",IFERROR(INDEX(Facturas_Odoo!$A:$A, MATCH(Q2366, Facturas_Odoo!$B:$B, 0)), ""))</f>
        <v/>
      </c>
      <c r="S2366" s="79">
        <f>IF(Q2366="Sin Factura","",IFERROR(_xlfn.XLOOKUP(1, (Facturas_Odoo!$D:$D=A2366) * (Facturas_Odoo!$K:$K=I2366), Facturas_Odoo!$L:$L, ""), ""))</f>
        <v/>
      </c>
      <c r="T2366" s="81">
        <f>IF(Q2366="Sin Factura",0,IFERROR(_xlfn.XLOOKUP(1, (Facturas_Odoo!$D:$D=A2366) * (Facturas_Odoo!$K:$K=I2366), Facturas_Odoo!$M:$M, 0), 0))</f>
        <v/>
      </c>
      <c r="U2366" s="79">
        <f>IF(Q2366="Sin Factura",0,IFERROR(_xlfn.XLOOKUP(1, (Facturas_Odoo!$D:$D=A2366) * (Facturas_Odoo!$K:$K=I2366), Facturas_Odoo!$N:$N, 0), 0))</f>
        <v/>
      </c>
      <c r="V2366" s="79">
        <f>IF(Q2366="Sin Factura",0,IFERROR(_xlfn.XLOOKUP(1, (Facturas_Odoo!$D:$D=A2366) * (Facturas_Odoo!$K:$K=I2366), Facturas_Odoo!$O:$O, 0), 0))</f>
        <v/>
      </c>
      <c r="W2366" s="81">
        <f>IF(Q2366="Sin Factura",0,IFERROR(_xlfn.XLOOKUP(1, (Facturas_Odoo!$D:$D=A2366) * (Facturas_Odoo!$K:$K=I2366), Facturas_Odoo!$Q:$Q, 0), 0))</f>
        <v/>
      </c>
      <c r="X2366" s="79">
        <f>IF(OR(Q2366="Sin Factura",Q2366=""),"",IFERROR(INDEX(Pagos_Odoo!$B:$B, MATCH(Q2366, Pagos_Odoo!$I:$I, 0)), "Sin Pago"))</f>
        <v/>
      </c>
      <c r="Y2366" s="79">
        <f>IF(X2366="Sin Pago","",IFERROR(INDEX(Pagos_Odoo!$C:$C, MATCH(X2366, Pagos_Odoo!$B:$B, 0)), ""))</f>
        <v/>
      </c>
      <c r="Z2366" s="80">
        <f>IF(X2366="Sin Pago","",IFERROR(INDEX(Pagos_Odoo!$A:$A, MATCH(X2366, Pagos_Odoo!$B:$B, 0)), ""))</f>
        <v/>
      </c>
      <c r="AA2366" s="79">
        <f>IF(X2366="Sin Pago","",IFERROR(INDEX(Pagos_Odoo!$F:$F, MATCH(X2366, Pagos_Odoo!$B:$B, 0)), ""))</f>
        <v/>
      </c>
      <c r="AB2366" s="81">
        <f>IF(X2366="Sin Pago",0,IFERROR(INDEX(Pagos_Odoo!$E:$E, MATCH(X2366, Pagos_Odoo!$B:$B, 0)), 0))</f>
        <v/>
      </c>
      <c r="AC2366" s="79">
        <f>IF(X2366="Sin Pago","",IFERROR(INDEX(Pagos_Odoo!$G:$G, MATCH(X2366, Pagos_Odoo!$B:$B, 0)), ""))</f>
        <v/>
      </c>
      <c r="AD2366" s="82" t="n">
        <v>0</v>
      </c>
      <c r="AE2366" s="82" t="n"/>
      <c r="AF2366" s="82" t="n"/>
      <c r="AG2366" s="82">
        <f>IF(AN2366="","",AD2366+AE2366+AF2366)</f>
        <v/>
      </c>
      <c r="AH2366" s="81">
        <f>IF(AN2366="","",P2366*(1-AG2366))</f>
        <v/>
      </c>
      <c r="AI2366" s="81">
        <f>IF(AN2366="","",IF(Q2366="Sin Factura",0,IFERROR(INDEX(Facturas_Odoo!$H:$H, MATCH(Q2366, Facturas_Odoo!$B:$B, 0)), 0)*(1-AG2366)))</f>
        <v/>
      </c>
      <c r="AJ2366" s="81">
        <f>IF(AN2366="","",_xlfn.LET(idVenta, AN2366&amp;"",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66" s="81">
        <f>IF(AN2366="","",AH2366-AJ2366)</f>
        <v/>
      </c>
      <c r="AL2366" s="81">
        <f>IF(AN2366="","",IF(Q2366="Sin Factura","",AI2366-AJ2366))</f>
        <v/>
      </c>
      <c r="AM2366" s="81">
        <f>IF(AN2366="","",IF(Q2366="Sin Factura",0,P2366-IFERROR(INDEX(Facturas_Odoo!$H:$H, MATCH(Q2366, Facturas_Odoo!$B:$B, 0)), 0)))</f>
        <v/>
      </c>
      <c r="AN2366" s="79">
        <f>IF(AND(A2366="", J2366=""), "", IF(A2366&lt;&gt;"", VALUE(MID(A2366,2,LEN(A2366))), AN2365))</f>
        <v/>
      </c>
      <c r="AO2366" s="79">
        <f>IF(AN2366="","",IF(AD2366=0,"OK",_xlfn.LET(monedaPago, IF(AA2366="","USD",AA2366), limitePermitido, IFERROR(VLOOKUP(monedaPago, Configuración!$A$2:$B$3, 2, FALSE), 0.15), IF(AD2366&gt;limitePermitido, "ALERTA: EXCESO (" &amp; TEXT(limitePermitido, "0%") &amp; " máx)", "OK"))))</f>
        <v/>
      </c>
      <c r="AP2366" s="79">
        <f>IF(AN2366="","",IF(AE2366=0,"OK",_xlfn.LET(fechaPago, Z2366, fechaFactura, R2366, diasCredito, IF(E2366="Pago inmediato", 0, IFERROR(VALUE(MID(E2366, 1, SEARCH(" ", E2366)-1)),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66" s="79">
        <f>IF(AN2366="","",IF(AND(N2366&gt;0, AG2366&gt;0), IF(Configuración!$K$2="NO", "ALERTA: DESCUENTO DOBLE NO PERMITIDO", "OK"), "OK"))</f>
        <v/>
      </c>
      <c r="AR2366" s="79">
        <f>IF(AN2366="","",IF(OR(AO2366&lt;&gt;"OK", AP2366&lt;&gt;"OK", AQ2366&lt;&gt;"OK"), "⚠️ REVISAR", "OK"))</f>
        <v/>
      </c>
    </row>
    <row r="2367">
      <c r="A2367" s="79">
        <f>IF('Ordenes_Odoo'!A2367="","",'Ordenes_Odoo'!A2367)</f>
        <v/>
      </c>
      <c r="B2367" s="80">
        <f>IF('Ordenes_Odoo'!B2367="","",'Ordenes_Odoo'!B2367)</f>
        <v/>
      </c>
      <c r="C2367" s="79">
        <f>IF('Ordenes_Odoo'!C2367="","",'Ordenes_Odoo'!C2367)</f>
        <v/>
      </c>
      <c r="D2367" s="79">
        <f>IF('Ordenes_Odoo'!D2367="","",'Ordenes_Odoo'!D2367)</f>
        <v/>
      </c>
      <c r="E2367" s="79">
        <f>IF('Ordenes_Odoo'!E2367="","",'Ordenes_Odoo'!E2367)</f>
        <v/>
      </c>
      <c r="F2367" s="79">
        <f>IF('Ordenes_Odoo'!F2367="","",'Ordenes_Odoo'!F2367)</f>
        <v/>
      </c>
      <c r="G2367" s="79">
        <f>IF('Ordenes_Odoo'!G2367="","",'Ordenes_Odoo'!G2367)</f>
        <v/>
      </c>
      <c r="H2367" s="79">
        <f>IF('Ordenes_Odoo'!H2367="","",'Ordenes_Odoo'!H2367)</f>
        <v/>
      </c>
      <c r="I2367" s="79">
        <f>IF('Ordenes_Odoo'!I2367="","",'Ordenes_Odoo'!I2367)</f>
        <v/>
      </c>
      <c r="J2367" s="79">
        <f>IF('Ordenes_Odoo'!J2367="","",'Ordenes_Odoo'!J2367)</f>
        <v/>
      </c>
      <c r="K2367" s="81">
        <f>IF('Ordenes_Odoo'!K2367="","",'Ordenes_Odoo'!K2367)</f>
        <v/>
      </c>
      <c r="L2367" s="81">
        <f>IF('Ordenes_Odoo'!L2367="","",'Ordenes_Odoo'!L2367)</f>
        <v/>
      </c>
      <c r="M2367" s="79">
        <f>IF('Ordenes_Odoo'!M2367="","",'Ordenes_Odoo'!M2367)</f>
        <v/>
      </c>
      <c r="N2367" s="79">
        <f>IF('Ordenes_Odoo'!N2367="","",'Ordenes_Odoo'!N2367)</f>
        <v/>
      </c>
      <c r="O2367" s="81">
        <f>IF('Ordenes_Odoo'!O2367="","",'Ordenes_Odoo'!O2367)</f>
        <v/>
      </c>
      <c r="P2367" s="81">
        <f>IF('Ordenes_Odoo'!P2367="","",'Ordenes_Odoo'!P2367)</f>
        <v/>
      </c>
      <c r="Q2367" s="79">
        <f>IF(A2367="","",IFERROR(INDEX(Facturas_Odoo!$B:$B, MATCH(A2367, Facturas_Odoo!$D:$D, 0)), "Sin Factura"))</f>
        <v/>
      </c>
      <c r="R2367" s="80">
        <f>IF(Q2367="Sin Factura","",IFERROR(INDEX(Facturas_Odoo!$A:$A, MATCH(Q2367, Facturas_Odoo!$B:$B, 0)), ""))</f>
        <v/>
      </c>
      <c r="S2367" s="79">
        <f>IF(Q2367="Sin Factura","",IFERROR(_xlfn.XLOOKUP(1, (Facturas_Odoo!$D:$D=A2367) * (Facturas_Odoo!$K:$K=I2367), Facturas_Odoo!$L:$L, ""), ""))</f>
        <v/>
      </c>
      <c r="T2367" s="81">
        <f>IF(Q2367="Sin Factura",0,IFERROR(_xlfn.XLOOKUP(1, (Facturas_Odoo!$D:$D=A2367) * (Facturas_Odoo!$K:$K=I2367), Facturas_Odoo!$M:$M, 0), 0))</f>
        <v/>
      </c>
      <c r="U2367" s="79">
        <f>IF(Q2367="Sin Factura",0,IFERROR(_xlfn.XLOOKUP(1, (Facturas_Odoo!$D:$D=A2367) * (Facturas_Odoo!$K:$K=I2367), Facturas_Odoo!$N:$N, 0), 0))</f>
        <v/>
      </c>
      <c r="V2367" s="79">
        <f>IF(Q2367="Sin Factura",0,IFERROR(_xlfn.XLOOKUP(1, (Facturas_Odoo!$D:$D=A2367) * (Facturas_Odoo!$K:$K=I2367), Facturas_Odoo!$O:$O, 0), 0))</f>
        <v/>
      </c>
      <c r="W2367" s="81">
        <f>IF(Q2367="Sin Factura",0,IFERROR(_xlfn.XLOOKUP(1, (Facturas_Odoo!$D:$D=A2367) * (Facturas_Odoo!$K:$K=I2367), Facturas_Odoo!$Q:$Q, 0), 0))</f>
        <v/>
      </c>
      <c r="X2367" s="79">
        <f>IF(OR(Q2367="Sin Factura",Q2367=""),"",IFERROR(INDEX(Pagos_Odoo!$B:$B, MATCH(Q2367, Pagos_Odoo!$I:$I, 0)), "Sin Pago"))</f>
        <v/>
      </c>
      <c r="Y2367" s="79">
        <f>IF(X2367="Sin Pago","",IFERROR(INDEX(Pagos_Odoo!$C:$C, MATCH(X2367, Pagos_Odoo!$B:$B, 0)), ""))</f>
        <v/>
      </c>
      <c r="Z2367" s="80">
        <f>IF(X2367="Sin Pago","",IFERROR(INDEX(Pagos_Odoo!$A:$A, MATCH(X2367, Pagos_Odoo!$B:$B, 0)), ""))</f>
        <v/>
      </c>
      <c r="AA2367" s="79">
        <f>IF(X2367="Sin Pago","",IFERROR(INDEX(Pagos_Odoo!$F:$F, MATCH(X2367, Pagos_Odoo!$B:$B, 0)), ""))</f>
        <v/>
      </c>
      <c r="AB2367" s="81">
        <f>IF(X2367="Sin Pago",0,IFERROR(INDEX(Pagos_Odoo!$E:$E, MATCH(X2367, Pagos_Odoo!$B:$B, 0)), 0))</f>
        <v/>
      </c>
      <c r="AC2367" s="79">
        <f>IF(X2367="Sin Pago","",IFERROR(INDEX(Pagos_Odoo!$G:$G, MATCH(X2367, Pagos_Odoo!$B:$B, 0)), ""))</f>
        <v/>
      </c>
      <c r="AD2367" s="82" t="n">
        <v>0</v>
      </c>
      <c r="AE2367" s="82" t="n"/>
      <c r="AF2367" s="82" t="n"/>
      <c r="AG2367" s="82">
        <f>IF(AN2367="","",AD2367+AE2367+AF2367)</f>
        <v/>
      </c>
      <c r="AH2367" s="81">
        <f>IF(AN2367="","",P2367*(1-AG2367))</f>
        <v/>
      </c>
      <c r="AI2367" s="81">
        <f>IF(AN2367="","",IF(Q2367="Sin Factura",0,IFERROR(INDEX(Facturas_Odoo!$H:$H, MATCH(Q2367, Facturas_Odoo!$B:$B, 0)), 0)*(1-AG2367)))</f>
        <v/>
      </c>
      <c r="AJ2367" s="81">
        <f>IF(AN2367="","",_xlfn.LET(idVenta, AN2367&amp;"",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67" s="81">
        <f>IF(AN2367="","",AH2367-AJ2367)</f>
        <v/>
      </c>
      <c r="AL2367" s="81">
        <f>IF(AN2367="","",IF(Q2367="Sin Factura","",AI2367-AJ2367))</f>
        <v/>
      </c>
      <c r="AM2367" s="81">
        <f>IF(AN2367="","",IF(Q2367="Sin Factura",0,P2367-IFERROR(INDEX(Facturas_Odoo!$H:$H, MATCH(Q2367, Facturas_Odoo!$B:$B, 0)), 0)))</f>
        <v/>
      </c>
      <c r="AN2367" s="79">
        <f>IF(AND(A2367="", J2367=""), "", IF(A2367&lt;&gt;"", VALUE(MID(A2367,2,LEN(A2367))), AN2366))</f>
        <v/>
      </c>
      <c r="AO2367" s="79">
        <f>IF(AN2367="","",IF(AD2367=0,"OK",_xlfn.LET(monedaPago, IF(AA2367="","USD",AA2367), limitePermitido, IFERROR(VLOOKUP(monedaPago, Configuración!$A$2:$B$3, 2, FALSE), 0.15), IF(AD2367&gt;limitePermitido, "ALERTA: EXCESO (" &amp; TEXT(limitePermitido, "0%") &amp; " máx)", "OK"))))</f>
        <v/>
      </c>
      <c r="AP2367" s="79">
        <f>IF(AN2367="","",IF(AE2367=0,"OK",_xlfn.LET(fechaPago, Z2367, fechaFactura, R2367, diasCredito, IF(E2367="Pago inmediato", 0, IFERROR(VALUE(MID(E2367, 1, SEARCH(" ", E2367)-1)),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67" s="79">
        <f>IF(AN2367="","",IF(AND(N2367&gt;0, AG2367&gt;0), IF(Configuración!$K$2="NO", "ALERTA: DESCUENTO DOBLE NO PERMITIDO", "OK"), "OK"))</f>
        <v/>
      </c>
      <c r="AR2367" s="79">
        <f>IF(AN2367="","",IF(OR(AO2367&lt;&gt;"OK", AP2367&lt;&gt;"OK", AQ2367&lt;&gt;"OK"), "⚠️ REVISAR", "OK"))</f>
        <v/>
      </c>
    </row>
    <row r="2368">
      <c r="A2368" s="79">
        <f>IF('Ordenes_Odoo'!A2368="","",'Ordenes_Odoo'!A2368)</f>
        <v/>
      </c>
      <c r="B2368" s="80">
        <f>IF('Ordenes_Odoo'!B2368="","",'Ordenes_Odoo'!B2368)</f>
        <v/>
      </c>
      <c r="C2368" s="79">
        <f>IF('Ordenes_Odoo'!C2368="","",'Ordenes_Odoo'!C2368)</f>
        <v/>
      </c>
      <c r="D2368" s="79">
        <f>IF('Ordenes_Odoo'!D2368="","",'Ordenes_Odoo'!D2368)</f>
        <v/>
      </c>
      <c r="E2368" s="79">
        <f>IF('Ordenes_Odoo'!E2368="","",'Ordenes_Odoo'!E2368)</f>
        <v/>
      </c>
      <c r="F2368" s="79">
        <f>IF('Ordenes_Odoo'!F2368="","",'Ordenes_Odoo'!F2368)</f>
        <v/>
      </c>
      <c r="G2368" s="79">
        <f>IF('Ordenes_Odoo'!G2368="","",'Ordenes_Odoo'!G2368)</f>
        <v/>
      </c>
      <c r="H2368" s="79">
        <f>IF('Ordenes_Odoo'!H2368="","",'Ordenes_Odoo'!H2368)</f>
        <v/>
      </c>
      <c r="I2368" s="79">
        <f>IF('Ordenes_Odoo'!I2368="","",'Ordenes_Odoo'!I2368)</f>
        <v/>
      </c>
      <c r="J2368" s="79">
        <f>IF('Ordenes_Odoo'!J2368="","",'Ordenes_Odoo'!J2368)</f>
        <v/>
      </c>
      <c r="K2368" s="81">
        <f>IF('Ordenes_Odoo'!K2368="","",'Ordenes_Odoo'!K2368)</f>
        <v/>
      </c>
      <c r="L2368" s="81">
        <f>IF('Ordenes_Odoo'!L2368="","",'Ordenes_Odoo'!L2368)</f>
        <v/>
      </c>
      <c r="M2368" s="79">
        <f>IF('Ordenes_Odoo'!M2368="","",'Ordenes_Odoo'!M2368)</f>
        <v/>
      </c>
      <c r="N2368" s="79">
        <f>IF('Ordenes_Odoo'!N2368="","",'Ordenes_Odoo'!N2368)</f>
        <v/>
      </c>
      <c r="O2368" s="81">
        <f>IF('Ordenes_Odoo'!O2368="","",'Ordenes_Odoo'!O2368)</f>
        <v/>
      </c>
      <c r="P2368" s="81">
        <f>IF('Ordenes_Odoo'!P2368="","",'Ordenes_Odoo'!P2368)</f>
        <v/>
      </c>
      <c r="Q2368" s="79">
        <f>IF(A2368="","",IFERROR(INDEX(Facturas_Odoo!$B:$B, MATCH(A2368, Facturas_Odoo!$D:$D, 0)), "Sin Factura"))</f>
        <v/>
      </c>
      <c r="R2368" s="80">
        <f>IF(Q2368="Sin Factura","",IFERROR(INDEX(Facturas_Odoo!$A:$A, MATCH(Q2368, Facturas_Odoo!$B:$B, 0)), ""))</f>
        <v/>
      </c>
      <c r="S2368" s="79">
        <f>IF(Q2368="Sin Factura","",IFERROR(_xlfn.XLOOKUP(1, (Facturas_Odoo!$D:$D=A2368) * (Facturas_Odoo!$K:$K=I2368), Facturas_Odoo!$L:$L, ""), ""))</f>
        <v/>
      </c>
      <c r="T2368" s="81">
        <f>IF(Q2368="Sin Factura",0,IFERROR(_xlfn.XLOOKUP(1, (Facturas_Odoo!$D:$D=A2368) * (Facturas_Odoo!$K:$K=I2368), Facturas_Odoo!$M:$M, 0), 0))</f>
        <v/>
      </c>
      <c r="U2368" s="79">
        <f>IF(Q2368="Sin Factura",0,IFERROR(_xlfn.XLOOKUP(1, (Facturas_Odoo!$D:$D=A2368) * (Facturas_Odoo!$K:$K=I2368), Facturas_Odoo!$N:$N, 0), 0))</f>
        <v/>
      </c>
      <c r="V2368" s="79">
        <f>IF(Q2368="Sin Factura",0,IFERROR(_xlfn.XLOOKUP(1, (Facturas_Odoo!$D:$D=A2368) * (Facturas_Odoo!$K:$K=I2368), Facturas_Odoo!$O:$O, 0), 0))</f>
        <v/>
      </c>
      <c r="W2368" s="81">
        <f>IF(Q2368="Sin Factura",0,IFERROR(_xlfn.XLOOKUP(1, (Facturas_Odoo!$D:$D=A2368) * (Facturas_Odoo!$K:$K=I2368), Facturas_Odoo!$Q:$Q, 0), 0))</f>
        <v/>
      </c>
      <c r="X2368" s="79">
        <f>IF(OR(Q2368="Sin Factura",Q2368=""),"",IFERROR(INDEX(Pagos_Odoo!$B:$B, MATCH(Q2368, Pagos_Odoo!$I:$I, 0)), "Sin Pago"))</f>
        <v/>
      </c>
      <c r="Y2368" s="79">
        <f>IF(X2368="Sin Pago","",IFERROR(INDEX(Pagos_Odoo!$C:$C, MATCH(X2368, Pagos_Odoo!$B:$B, 0)), ""))</f>
        <v/>
      </c>
      <c r="Z2368" s="80">
        <f>IF(X2368="Sin Pago","",IFERROR(INDEX(Pagos_Odoo!$A:$A, MATCH(X2368, Pagos_Odoo!$B:$B, 0)), ""))</f>
        <v/>
      </c>
      <c r="AA2368" s="79">
        <f>IF(X2368="Sin Pago","",IFERROR(INDEX(Pagos_Odoo!$F:$F, MATCH(X2368, Pagos_Odoo!$B:$B, 0)), ""))</f>
        <v/>
      </c>
      <c r="AB2368" s="81">
        <f>IF(X2368="Sin Pago",0,IFERROR(INDEX(Pagos_Odoo!$E:$E, MATCH(X2368, Pagos_Odoo!$B:$B, 0)), 0))</f>
        <v/>
      </c>
      <c r="AC2368" s="79">
        <f>IF(X2368="Sin Pago","",IFERROR(INDEX(Pagos_Odoo!$G:$G, MATCH(X2368, Pagos_Odoo!$B:$B, 0)), ""))</f>
        <v/>
      </c>
      <c r="AD2368" s="82" t="n">
        <v>0</v>
      </c>
      <c r="AE2368" s="82" t="n"/>
      <c r="AF2368" s="82" t="n"/>
      <c r="AG2368" s="82">
        <f>IF(AN2368="","",AD2368+AE2368+AF2368)</f>
        <v/>
      </c>
      <c r="AH2368" s="81">
        <f>IF(AN2368="","",P2368*(1-AG2368))</f>
        <v/>
      </c>
      <c r="AI2368" s="81">
        <f>IF(AN2368="","",IF(Q2368="Sin Factura",0,IFERROR(INDEX(Facturas_Odoo!$H:$H, MATCH(Q2368, Facturas_Odoo!$B:$B, 0)), 0)*(1-AG2368)))</f>
        <v/>
      </c>
      <c r="AJ2368" s="81">
        <f>IF(AN2368="","",_xlfn.LET(idVenta, AN2368&amp;"",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68" s="81">
        <f>IF(AN2368="","",AH2368-AJ2368)</f>
        <v/>
      </c>
      <c r="AL2368" s="81">
        <f>IF(AN2368="","",IF(Q2368="Sin Factura","",AI2368-AJ2368))</f>
        <v/>
      </c>
      <c r="AM2368" s="81">
        <f>IF(AN2368="","",IF(Q2368="Sin Factura",0,P2368-IFERROR(INDEX(Facturas_Odoo!$H:$H, MATCH(Q2368, Facturas_Odoo!$B:$B, 0)), 0)))</f>
        <v/>
      </c>
      <c r="AN2368" s="79">
        <f>IF(AND(A2368="", J2368=""), "", IF(A2368&lt;&gt;"", VALUE(MID(A2368,2,LEN(A2368))), AN2367))</f>
        <v/>
      </c>
      <c r="AO2368" s="79">
        <f>IF(AN2368="","",IF(AD2368=0,"OK",_xlfn.LET(monedaPago, IF(AA2368="","USD",AA2368), limitePermitido, IFERROR(VLOOKUP(monedaPago, Configuración!$A$2:$B$3, 2, FALSE), 0.15), IF(AD2368&gt;limitePermitido, "ALERTA: EXCESO (" &amp; TEXT(limitePermitido, "0%") &amp; " máx)", "OK"))))</f>
        <v/>
      </c>
      <c r="AP2368" s="79">
        <f>IF(AN2368="","",IF(AE2368=0,"OK",_xlfn.LET(fechaPago, Z2368, fechaFactura, R2368, diasCredito, IF(E2368="Pago inmediato", 0, IFERROR(VALUE(MID(E2368, 1, SEARCH(" ", E2368)-1)),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68" s="79">
        <f>IF(AN2368="","",IF(AND(N2368&gt;0, AG2368&gt;0), IF(Configuración!$K$2="NO", "ALERTA: DESCUENTO DOBLE NO PERMITIDO", "OK"), "OK"))</f>
        <v/>
      </c>
      <c r="AR2368" s="79">
        <f>IF(AN2368="","",IF(OR(AO2368&lt;&gt;"OK", AP2368&lt;&gt;"OK", AQ2368&lt;&gt;"OK"), "⚠️ REVISAR", "OK"))</f>
        <v/>
      </c>
    </row>
    <row r="2369">
      <c r="A2369" s="79">
        <f>IF('Ordenes_Odoo'!A2369="","",'Ordenes_Odoo'!A2369)</f>
        <v/>
      </c>
      <c r="B2369" s="80">
        <f>IF('Ordenes_Odoo'!B2369="","",'Ordenes_Odoo'!B2369)</f>
        <v/>
      </c>
      <c r="C2369" s="79">
        <f>IF('Ordenes_Odoo'!C2369="","",'Ordenes_Odoo'!C2369)</f>
        <v/>
      </c>
      <c r="D2369" s="79">
        <f>IF('Ordenes_Odoo'!D2369="","",'Ordenes_Odoo'!D2369)</f>
        <v/>
      </c>
      <c r="E2369" s="79">
        <f>IF('Ordenes_Odoo'!E2369="","",'Ordenes_Odoo'!E2369)</f>
        <v/>
      </c>
      <c r="F2369" s="79">
        <f>IF('Ordenes_Odoo'!F2369="","",'Ordenes_Odoo'!F2369)</f>
        <v/>
      </c>
      <c r="G2369" s="79">
        <f>IF('Ordenes_Odoo'!G2369="","",'Ordenes_Odoo'!G2369)</f>
        <v/>
      </c>
      <c r="H2369" s="79">
        <f>IF('Ordenes_Odoo'!H2369="","",'Ordenes_Odoo'!H2369)</f>
        <v/>
      </c>
      <c r="I2369" s="79">
        <f>IF('Ordenes_Odoo'!I2369="","",'Ordenes_Odoo'!I2369)</f>
        <v/>
      </c>
      <c r="J2369" s="79">
        <f>IF('Ordenes_Odoo'!J2369="","",'Ordenes_Odoo'!J2369)</f>
        <v/>
      </c>
      <c r="K2369" s="81">
        <f>IF('Ordenes_Odoo'!K2369="","",'Ordenes_Odoo'!K2369)</f>
        <v/>
      </c>
      <c r="L2369" s="81">
        <f>IF('Ordenes_Odoo'!L2369="","",'Ordenes_Odoo'!L2369)</f>
        <v/>
      </c>
      <c r="M2369" s="79">
        <f>IF('Ordenes_Odoo'!M2369="","",'Ordenes_Odoo'!M2369)</f>
        <v/>
      </c>
      <c r="N2369" s="79">
        <f>IF('Ordenes_Odoo'!N2369="","",'Ordenes_Odoo'!N2369)</f>
        <v/>
      </c>
      <c r="O2369" s="81">
        <f>IF('Ordenes_Odoo'!O2369="","",'Ordenes_Odoo'!O2369)</f>
        <v/>
      </c>
      <c r="P2369" s="81">
        <f>IF('Ordenes_Odoo'!P2369="","",'Ordenes_Odoo'!P2369)</f>
        <v/>
      </c>
      <c r="Q2369" s="79">
        <f>IF(A2369="","",IFERROR(INDEX(Facturas_Odoo!$B:$B, MATCH(A2369, Facturas_Odoo!$D:$D, 0)), "Sin Factura"))</f>
        <v/>
      </c>
      <c r="R2369" s="80">
        <f>IF(Q2369="Sin Factura","",IFERROR(INDEX(Facturas_Odoo!$A:$A, MATCH(Q2369, Facturas_Odoo!$B:$B, 0)), ""))</f>
        <v/>
      </c>
      <c r="S2369" s="79">
        <f>IF(Q2369="Sin Factura","",IFERROR(_xlfn.XLOOKUP(1, (Facturas_Odoo!$D:$D=A2369) * (Facturas_Odoo!$K:$K=I2369), Facturas_Odoo!$L:$L, ""), ""))</f>
        <v/>
      </c>
      <c r="T2369" s="81">
        <f>IF(Q2369="Sin Factura",0,IFERROR(_xlfn.XLOOKUP(1, (Facturas_Odoo!$D:$D=A2369) * (Facturas_Odoo!$K:$K=I2369), Facturas_Odoo!$M:$M, 0), 0))</f>
        <v/>
      </c>
      <c r="U2369" s="79">
        <f>IF(Q2369="Sin Factura",0,IFERROR(_xlfn.XLOOKUP(1, (Facturas_Odoo!$D:$D=A2369) * (Facturas_Odoo!$K:$K=I2369), Facturas_Odoo!$N:$N, 0), 0))</f>
        <v/>
      </c>
      <c r="V2369" s="79">
        <f>IF(Q2369="Sin Factura",0,IFERROR(_xlfn.XLOOKUP(1, (Facturas_Odoo!$D:$D=A2369) * (Facturas_Odoo!$K:$K=I2369), Facturas_Odoo!$O:$O, 0), 0))</f>
        <v/>
      </c>
      <c r="W2369" s="81">
        <f>IF(Q2369="Sin Factura",0,IFERROR(_xlfn.XLOOKUP(1, (Facturas_Odoo!$D:$D=A2369) * (Facturas_Odoo!$K:$K=I2369), Facturas_Odoo!$Q:$Q, 0), 0))</f>
        <v/>
      </c>
      <c r="X2369" s="79">
        <f>IF(OR(Q2369="Sin Factura",Q2369=""),"",IFERROR(INDEX(Pagos_Odoo!$B:$B, MATCH(Q2369, Pagos_Odoo!$I:$I, 0)), "Sin Pago"))</f>
        <v/>
      </c>
      <c r="Y2369" s="79">
        <f>IF(X2369="Sin Pago","",IFERROR(INDEX(Pagos_Odoo!$C:$C, MATCH(X2369, Pagos_Odoo!$B:$B, 0)), ""))</f>
        <v/>
      </c>
      <c r="Z2369" s="80">
        <f>IF(X2369="Sin Pago","",IFERROR(INDEX(Pagos_Odoo!$A:$A, MATCH(X2369, Pagos_Odoo!$B:$B, 0)), ""))</f>
        <v/>
      </c>
      <c r="AA2369" s="79">
        <f>IF(X2369="Sin Pago","",IFERROR(INDEX(Pagos_Odoo!$F:$F, MATCH(X2369, Pagos_Odoo!$B:$B, 0)), ""))</f>
        <v/>
      </c>
      <c r="AB2369" s="81">
        <f>IF(X2369="Sin Pago",0,IFERROR(INDEX(Pagos_Odoo!$E:$E, MATCH(X2369, Pagos_Odoo!$B:$B, 0)), 0))</f>
        <v/>
      </c>
      <c r="AC2369" s="79">
        <f>IF(X2369="Sin Pago","",IFERROR(INDEX(Pagos_Odoo!$G:$G, MATCH(X2369, Pagos_Odoo!$B:$B, 0)), ""))</f>
        <v/>
      </c>
      <c r="AD2369" s="82" t="n">
        <v>0</v>
      </c>
      <c r="AE2369" s="82" t="n"/>
      <c r="AF2369" s="82" t="n"/>
      <c r="AG2369" s="82">
        <f>IF(AN2369="","",AD2369+AE2369+AF2369)</f>
        <v/>
      </c>
      <c r="AH2369" s="81">
        <f>IF(AN2369="","",P2369*(1-AG2369))</f>
        <v/>
      </c>
      <c r="AI2369" s="81">
        <f>IF(AN2369="","",IF(Q2369="Sin Factura",0,IFERROR(INDEX(Facturas_Odoo!$H:$H, MATCH(Q2369, Facturas_Odoo!$B:$B, 0)), 0)*(1-AG2369)))</f>
        <v/>
      </c>
      <c r="AJ2369" s="81">
        <f>IF(AN2369="","",_xlfn.LET(idVenta, AN2369&amp;"",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69" s="81">
        <f>IF(AN2369="","",AH2369-AJ2369)</f>
        <v/>
      </c>
      <c r="AL2369" s="81">
        <f>IF(AN2369="","",IF(Q2369="Sin Factura","",AI2369-AJ2369))</f>
        <v/>
      </c>
      <c r="AM2369" s="81">
        <f>IF(AN2369="","",IF(Q2369="Sin Factura",0,P2369-IFERROR(INDEX(Facturas_Odoo!$H:$H, MATCH(Q2369, Facturas_Odoo!$B:$B, 0)), 0)))</f>
        <v/>
      </c>
      <c r="AN2369" s="79">
        <f>IF(AND(A2369="", J2369=""), "", IF(A2369&lt;&gt;"", VALUE(MID(A2369,2,LEN(A2369))), AN2368))</f>
        <v/>
      </c>
      <c r="AO2369" s="79">
        <f>IF(AN2369="","",IF(AD2369=0,"OK",_xlfn.LET(monedaPago, IF(AA2369="","USD",AA2369), limitePermitido, IFERROR(VLOOKUP(monedaPago, Configuración!$A$2:$B$3, 2, FALSE), 0.15), IF(AD2369&gt;limitePermitido, "ALERTA: EXCESO (" &amp; TEXT(limitePermitido, "0%") &amp; " máx)", "OK"))))</f>
        <v/>
      </c>
      <c r="AP2369" s="79">
        <f>IF(AN2369="","",IF(AE2369=0,"OK",_xlfn.LET(fechaPago, Z2369, fechaFactura, R2369, diasCredito, IF(E2369="Pago inmediato", 0, IFERROR(VALUE(MID(E2369, 1, SEARCH(" ", E2369)-1)),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69" s="79">
        <f>IF(AN2369="","",IF(AND(N2369&gt;0, AG2369&gt;0), IF(Configuración!$K$2="NO", "ALERTA: DESCUENTO DOBLE NO PERMITIDO", "OK"), "OK"))</f>
        <v/>
      </c>
      <c r="AR2369" s="79">
        <f>IF(AN2369="","",IF(OR(AO2369&lt;&gt;"OK", AP2369&lt;&gt;"OK", AQ2369&lt;&gt;"OK"), "⚠️ REVISAR", "OK"))</f>
        <v/>
      </c>
    </row>
    <row r="2370">
      <c r="A2370" s="79">
        <f>IF('Ordenes_Odoo'!A2370="","",'Ordenes_Odoo'!A2370)</f>
        <v/>
      </c>
      <c r="B2370" s="80">
        <f>IF('Ordenes_Odoo'!B2370="","",'Ordenes_Odoo'!B2370)</f>
        <v/>
      </c>
      <c r="C2370" s="79">
        <f>IF('Ordenes_Odoo'!C2370="","",'Ordenes_Odoo'!C2370)</f>
        <v/>
      </c>
      <c r="D2370" s="79">
        <f>IF('Ordenes_Odoo'!D2370="","",'Ordenes_Odoo'!D2370)</f>
        <v/>
      </c>
      <c r="E2370" s="79">
        <f>IF('Ordenes_Odoo'!E2370="","",'Ordenes_Odoo'!E2370)</f>
        <v/>
      </c>
      <c r="F2370" s="79">
        <f>IF('Ordenes_Odoo'!F2370="","",'Ordenes_Odoo'!F2370)</f>
        <v/>
      </c>
      <c r="G2370" s="79">
        <f>IF('Ordenes_Odoo'!G2370="","",'Ordenes_Odoo'!G2370)</f>
        <v/>
      </c>
      <c r="H2370" s="79">
        <f>IF('Ordenes_Odoo'!H2370="","",'Ordenes_Odoo'!H2370)</f>
        <v/>
      </c>
      <c r="I2370" s="79">
        <f>IF('Ordenes_Odoo'!I2370="","",'Ordenes_Odoo'!I2370)</f>
        <v/>
      </c>
      <c r="J2370" s="79">
        <f>IF('Ordenes_Odoo'!J2370="","",'Ordenes_Odoo'!J2370)</f>
        <v/>
      </c>
      <c r="K2370" s="81">
        <f>IF('Ordenes_Odoo'!K2370="","",'Ordenes_Odoo'!K2370)</f>
        <v/>
      </c>
      <c r="L2370" s="81">
        <f>IF('Ordenes_Odoo'!L2370="","",'Ordenes_Odoo'!L2370)</f>
        <v/>
      </c>
      <c r="M2370" s="79">
        <f>IF('Ordenes_Odoo'!M2370="","",'Ordenes_Odoo'!M2370)</f>
        <v/>
      </c>
      <c r="N2370" s="79">
        <f>IF('Ordenes_Odoo'!N2370="","",'Ordenes_Odoo'!N2370)</f>
        <v/>
      </c>
      <c r="O2370" s="81">
        <f>IF('Ordenes_Odoo'!O2370="","",'Ordenes_Odoo'!O2370)</f>
        <v/>
      </c>
      <c r="P2370" s="81">
        <f>IF('Ordenes_Odoo'!P2370="","",'Ordenes_Odoo'!P2370)</f>
        <v/>
      </c>
      <c r="Q2370" s="79">
        <f>IF(A2370="","",IFERROR(INDEX(Facturas_Odoo!$B:$B, MATCH(A2370, Facturas_Odoo!$D:$D, 0)), "Sin Factura"))</f>
        <v/>
      </c>
      <c r="R2370" s="80">
        <f>IF(Q2370="Sin Factura","",IFERROR(INDEX(Facturas_Odoo!$A:$A, MATCH(Q2370, Facturas_Odoo!$B:$B, 0)), ""))</f>
        <v/>
      </c>
      <c r="S2370" s="79">
        <f>IF(Q2370="Sin Factura","",IFERROR(_xlfn.XLOOKUP(1, (Facturas_Odoo!$D:$D=A2370) * (Facturas_Odoo!$K:$K=I2370), Facturas_Odoo!$L:$L, ""), ""))</f>
        <v/>
      </c>
      <c r="T2370" s="81">
        <f>IF(Q2370="Sin Factura",0,IFERROR(_xlfn.XLOOKUP(1, (Facturas_Odoo!$D:$D=A2370) * (Facturas_Odoo!$K:$K=I2370), Facturas_Odoo!$M:$M, 0), 0))</f>
        <v/>
      </c>
      <c r="U2370" s="79">
        <f>IF(Q2370="Sin Factura",0,IFERROR(_xlfn.XLOOKUP(1, (Facturas_Odoo!$D:$D=A2370) * (Facturas_Odoo!$K:$K=I2370), Facturas_Odoo!$N:$N, 0), 0))</f>
        <v/>
      </c>
      <c r="V2370" s="79">
        <f>IF(Q2370="Sin Factura",0,IFERROR(_xlfn.XLOOKUP(1, (Facturas_Odoo!$D:$D=A2370) * (Facturas_Odoo!$K:$K=I2370), Facturas_Odoo!$O:$O, 0), 0))</f>
        <v/>
      </c>
      <c r="W2370" s="81">
        <f>IF(Q2370="Sin Factura",0,IFERROR(_xlfn.XLOOKUP(1, (Facturas_Odoo!$D:$D=A2370) * (Facturas_Odoo!$K:$K=I2370), Facturas_Odoo!$Q:$Q, 0), 0))</f>
        <v/>
      </c>
      <c r="X2370" s="79">
        <f>IF(OR(Q2370="Sin Factura",Q2370=""),"",IFERROR(INDEX(Pagos_Odoo!$B:$B, MATCH(Q2370, Pagos_Odoo!$I:$I, 0)), "Sin Pago"))</f>
        <v/>
      </c>
      <c r="Y2370" s="79">
        <f>IF(X2370="Sin Pago","",IFERROR(INDEX(Pagos_Odoo!$C:$C, MATCH(X2370, Pagos_Odoo!$B:$B, 0)), ""))</f>
        <v/>
      </c>
      <c r="Z2370" s="80">
        <f>IF(X2370="Sin Pago","",IFERROR(INDEX(Pagos_Odoo!$A:$A, MATCH(X2370, Pagos_Odoo!$B:$B, 0)), ""))</f>
        <v/>
      </c>
      <c r="AA2370" s="79">
        <f>IF(X2370="Sin Pago","",IFERROR(INDEX(Pagos_Odoo!$F:$F, MATCH(X2370, Pagos_Odoo!$B:$B, 0)), ""))</f>
        <v/>
      </c>
      <c r="AB2370" s="81">
        <f>IF(X2370="Sin Pago",0,IFERROR(INDEX(Pagos_Odoo!$E:$E, MATCH(X2370, Pagos_Odoo!$B:$B, 0)), 0))</f>
        <v/>
      </c>
      <c r="AC2370" s="79">
        <f>IF(X2370="Sin Pago","",IFERROR(INDEX(Pagos_Odoo!$G:$G, MATCH(X2370, Pagos_Odoo!$B:$B, 0)), ""))</f>
        <v/>
      </c>
      <c r="AD2370" s="82" t="n">
        <v>0</v>
      </c>
      <c r="AE2370" s="82" t="n"/>
      <c r="AF2370" s="82" t="n"/>
      <c r="AG2370" s="82">
        <f>IF(AN2370="","",AD2370+AE2370+AF2370)</f>
        <v/>
      </c>
      <c r="AH2370" s="81">
        <f>IF(AN2370="","",P2370*(1-AG2370))</f>
        <v/>
      </c>
      <c r="AI2370" s="81">
        <f>IF(AN2370="","",IF(Q2370="Sin Factura",0,IFERROR(INDEX(Facturas_Odoo!$H:$H, MATCH(Q2370, Facturas_Odoo!$B:$B, 0)), 0)*(1-AG2370)))</f>
        <v/>
      </c>
      <c r="AJ2370" s="81">
        <f>IF(AN2370="","",_xlfn.LET(idVenta, AN2370&amp;"",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70" s="81">
        <f>IF(AN2370="","",AH2370-AJ2370)</f>
        <v/>
      </c>
      <c r="AL2370" s="81">
        <f>IF(AN2370="","",IF(Q2370="Sin Factura","",AI2370-AJ2370))</f>
        <v/>
      </c>
      <c r="AM2370" s="81">
        <f>IF(AN2370="","",IF(Q2370="Sin Factura",0,P2370-IFERROR(INDEX(Facturas_Odoo!$H:$H, MATCH(Q2370, Facturas_Odoo!$B:$B, 0)), 0)))</f>
        <v/>
      </c>
      <c r="AN2370" s="79">
        <f>IF(AND(A2370="", J2370=""), "", IF(A2370&lt;&gt;"", VALUE(MID(A2370,2,LEN(A2370))), AN2369))</f>
        <v/>
      </c>
      <c r="AO2370" s="79">
        <f>IF(AN2370="","",IF(AD2370=0,"OK",_xlfn.LET(monedaPago, IF(AA2370="","USD",AA2370), limitePermitido, IFERROR(VLOOKUP(monedaPago, Configuración!$A$2:$B$3, 2, FALSE), 0.15), IF(AD2370&gt;limitePermitido, "ALERTA: EXCESO (" &amp; TEXT(limitePermitido, "0%") &amp; " máx)", "OK"))))</f>
        <v/>
      </c>
      <c r="AP2370" s="79">
        <f>IF(AN2370="","",IF(AE2370=0,"OK",_xlfn.LET(fechaPago, Z2370, fechaFactura, R2370, diasCredito, IF(E2370="Pago inmediato", 0, IFERROR(VALUE(MID(E2370, 1, SEARCH(" ", E2370)-1)),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70" s="79">
        <f>IF(AN2370="","",IF(AND(N2370&gt;0, AG2370&gt;0), IF(Configuración!$K$2="NO", "ALERTA: DESCUENTO DOBLE NO PERMITIDO", "OK"), "OK"))</f>
        <v/>
      </c>
      <c r="AR2370" s="79">
        <f>IF(AN2370="","",IF(OR(AO2370&lt;&gt;"OK", AP2370&lt;&gt;"OK", AQ2370&lt;&gt;"OK"), "⚠️ REVISAR", "OK"))</f>
        <v/>
      </c>
    </row>
    <row r="2371">
      <c r="A2371" s="79">
        <f>IF('Ordenes_Odoo'!A2371="","",'Ordenes_Odoo'!A2371)</f>
        <v/>
      </c>
      <c r="B2371" s="80">
        <f>IF('Ordenes_Odoo'!B2371="","",'Ordenes_Odoo'!B2371)</f>
        <v/>
      </c>
      <c r="C2371" s="79">
        <f>IF('Ordenes_Odoo'!C2371="","",'Ordenes_Odoo'!C2371)</f>
        <v/>
      </c>
      <c r="D2371" s="79">
        <f>IF('Ordenes_Odoo'!D2371="","",'Ordenes_Odoo'!D2371)</f>
        <v/>
      </c>
      <c r="E2371" s="79">
        <f>IF('Ordenes_Odoo'!E2371="","",'Ordenes_Odoo'!E2371)</f>
        <v/>
      </c>
      <c r="F2371" s="79">
        <f>IF('Ordenes_Odoo'!F2371="","",'Ordenes_Odoo'!F2371)</f>
        <v/>
      </c>
      <c r="G2371" s="79">
        <f>IF('Ordenes_Odoo'!G2371="","",'Ordenes_Odoo'!G2371)</f>
        <v/>
      </c>
      <c r="H2371" s="79">
        <f>IF('Ordenes_Odoo'!H2371="","",'Ordenes_Odoo'!H2371)</f>
        <v/>
      </c>
      <c r="I2371" s="79">
        <f>IF('Ordenes_Odoo'!I2371="","",'Ordenes_Odoo'!I2371)</f>
        <v/>
      </c>
      <c r="J2371" s="79">
        <f>IF('Ordenes_Odoo'!J2371="","",'Ordenes_Odoo'!J2371)</f>
        <v/>
      </c>
      <c r="K2371" s="81">
        <f>IF('Ordenes_Odoo'!K2371="","",'Ordenes_Odoo'!K2371)</f>
        <v/>
      </c>
      <c r="L2371" s="81">
        <f>IF('Ordenes_Odoo'!L2371="","",'Ordenes_Odoo'!L2371)</f>
        <v/>
      </c>
      <c r="M2371" s="79">
        <f>IF('Ordenes_Odoo'!M2371="","",'Ordenes_Odoo'!M2371)</f>
        <v/>
      </c>
      <c r="N2371" s="79">
        <f>IF('Ordenes_Odoo'!N2371="","",'Ordenes_Odoo'!N2371)</f>
        <v/>
      </c>
      <c r="O2371" s="81">
        <f>IF('Ordenes_Odoo'!O2371="","",'Ordenes_Odoo'!O2371)</f>
        <v/>
      </c>
      <c r="P2371" s="81">
        <f>IF('Ordenes_Odoo'!P2371="","",'Ordenes_Odoo'!P2371)</f>
        <v/>
      </c>
      <c r="Q2371" s="79">
        <f>IF(A2371="","",IFERROR(INDEX(Facturas_Odoo!$B:$B, MATCH(A2371, Facturas_Odoo!$D:$D, 0)), "Sin Factura"))</f>
        <v/>
      </c>
      <c r="R2371" s="80">
        <f>IF(Q2371="Sin Factura","",IFERROR(INDEX(Facturas_Odoo!$A:$A, MATCH(Q2371, Facturas_Odoo!$B:$B, 0)), ""))</f>
        <v/>
      </c>
      <c r="S2371" s="79">
        <f>IF(Q2371="Sin Factura","",IFERROR(_xlfn.XLOOKUP(1, (Facturas_Odoo!$D:$D=A2371) * (Facturas_Odoo!$K:$K=I2371), Facturas_Odoo!$L:$L, ""), ""))</f>
        <v/>
      </c>
      <c r="T2371" s="81">
        <f>IF(Q2371="Sin Factura",0,IFERROR(_xlfn.XLOOKUP(1, (Facturas_Odoo!$D:$D=A2371) * (Facturas_Odoo!$K:$K=I2371), Facturas_Odoo!$M:$M, 0), 0))</f>
        <v/>
      </c>
      <c r="U2371" s="79">
        <f>IF(Q2371="Sin Factura",0,IFERROR(_xlfn.XLOOKUP(1, (Facturas_Odoo!$D:$D=A2371) * (Facturas_Odoo!$K:$K=I2371), Facturas_Odoo!$N:$N, 0), 0))</f>
        <v/>
      </c>
      <c r="V2371" s="79">
        <f>IF(Q2371="Sin Factura",0,IFERROR(_xlfn.XLOOKUP(1, (Facturas_Odoo!$D:$D=A2371) * (Facturas_Odoo!$K:$K=I2371), Facturas_Odoo!$O:$O, 0), 0))</f>
        <v/>
      </c>
      <c r="W2371" s="81">
        <f>IF(Q2371="Sin Factura",0,IFERROR(_xlfn.XLOOKUP(1, (Facturas_Odoo!$D:$D=A2371) * (Facturas_Odoo!$K:$K=I2371), Facturas_Odoo!$Q:$Q, 0), 0))</f>
        <v/>
      </c>
      <c r="X2371" s="79">
        <f>IF(OR(Q2371="Sin Factura",Q2371=""),"",IFERROR(INDEX(Pagos_Odoo!$B:$B, MATCH(Q2371, Pagos_Odoo!$I:$I, 0)), "Sin Pago"))</f>
        <v/>
      </c>
      <c r="Y2371" s="79">
        <f>IF(X2371="Sin Pago","",IFERROR(INDEX(Pagos_Odoo!$C:$C, MATCH(X2371, Pagos_Odoo!$B:$B, 0)), ""))</f>
        <v/>
      </c>
      <c r="Z2371" s="80">
        <f>IF(X2371="Sin Pago","",IFERROR(INDEX(Pagos_Odoo!$A:$A, MATCH(X2371, Pagos_Odoo!$B:$B, 0)), ""))</f>
        <v/>
      </c>
      <c r="AA2371" s="79">
        <f>IF(X2371="Sin Pago","",IFERROR(INDEX(Pagos_Odoo!$F:$F, MATCH(X2371, Pagos_Odoo!$B:$B, 0)), ""))</f>
        <v/>
      </c>
      <c r="AB2371" s="81">
        <f>IF(X2371="Sin Pago",0,IFERROR(INDEX(Pagos_Odoo!$E:$E, MATCH(X2371, Pagos_Odoo!$B:$B, 0)), 0))</f>
        <v/>
      </c>
      <c r="AC2371" s="79">
        <f>IF(X2371="Sin Pago","",IFERROR(INDEX(Pagos_Odoo!$G:$G, MATCH(X2371, Pagos_Odoo!$B:$B, 0)), ""))</f>
        <v/>
      </c>
      <c r="AD2371" s="82" t="n">
        <v>0</v>
      </c>
      <c r="AE2371" s="82" t="n"/>
      <c r="AF2371" s="82" t="n"/>
      <c r="AG2371" s="82">
        <f>IF(AN2371="","",AD2371+AE2371+AF2371)</f>
        <v/>
      </c>
      <c r="AH2371" s="81">
        <f>IF(AN2371="","",P2371*(1-AG2371))</f>
        <v/>
      </c>
      <c r="AI2371" s="81">
        <f>IF(AN2371="","",IF(Q2371="Sin Factura",0,IFERROR(INDEX(Facturas_Odoo!$H:$H, MATCH(Q2371, Facturas_Odoo!$B:$B, 0)), 0)*(1-AG2371)))</f>
        <v/>
      </c>
      <c r="AJ2371" s="81">
        <f>IF(AN2371="","",_xlfn.LET(idVenta, AN2371&amp;"",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71" s="81">
        <f>IF(AN2371="","",AH2371-AJ2371)</f>
        <v/>
      </c>
      <c r="AL2371" s="81">
        <f>IF(AN2371="","",IF(Q2371="Sin Factura","",AI2371-AJ2371))</f>
        <v/>
      </c>
      <c r="AM2371" s="81">
        <f>IF(AN2371="","",IF(Q2371="Sin Factura",0,P2371-IFERROR(INDEX(Facturas_Odoo!$H:$H, MATCH(Q2371, Facturas_Odoo!$B:$B, 0)), 0)))</f>
        <v/>
      </c>
      <c r="AN2371" s="79">
        <f>IF(AND(A2371="", J2371=""), "", IF(A2371&lt;&gt;"", VALUE(MID(A2371,2,LEN(A2371))), AN2370))</f>
        <v/>
      </c>
      <c r="AO2371" s="79">
        <f>IF(AN2371="","",IF(AD2371=0,"OK",_xlfn.LET(monedaPago, IF(AA2371="","USD",AA2371), limitePermitido, IFERROR(VLOOKUP(monedaPago, Configuración!$A$2:$B$3, 2, FALSE), 0.15), IF(AD2371&gt;limitePermitido, "ALERTA: EXCESO (" &amp; TEXT(limitePermitido, "0%") &amp; " máx)", "OK"))))</f>
        <v/>
      </c>
      <c r="AP2371" s="79">
        <f>IF(AN2371="","",IF(AE2371=0,"OK",_xlfn.LET(fechaPago, Z2371, fechaFactura, R2371, diasCredito, IF(E2371="Pago inmediato", 0, IFERROR(VALUE(MID(E2371, 1, SEARCH(" ", E2371)-1)),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71" s="79">
        <f>IF(AN2371="","",IF(AND(N2371&gt;0, AG2371&gt;0), IF(Configuración!$K$2="NO", "ALERTA: DESCUENTO DOBLE NO PERMITIDO", "OK"), "OK"))</f>
        <v/>
      </c>
      <c r="AR2371" s="79">
        <f>IF(AN2371="","",IF(OR(AO2371&lt;&gt;"OK", AP2371&lt;&gt;"OK", AQ2371&lt;&gt;"OK"), "⚠️ REVISAR", "OK"))</f>
        <v/>
      </c>
    </row>
    <row r="2372">
      <c r="A2372" s="79">
        <f>IF('Ordenes_Odoo'!A2372="","",'Ordenes_Odoo'!A2372)</f>
        <v/>
      </c>
      <c r="B2372" s="80">
        <f>IF('Ordenes_Odoo'!B2372="","",'Ordenes_Odoo'!B2372)</f>
        <v/>
      </c>
      <c r="C2372" s="79">
        <f>IF('Ordenes_Odoo'!C2372="","",'Ordenes_Odoo'!C2372)</f>
        <v/>
      </c>
      <c r="D2372" s="79">
        <f>IF('Ordenes_Odoo'!D2372="","",'Ordenes_Odoo'!D2372)</f>
        <v/>
      </c>
      <c r="E2372" s="79">
        <f>IF('Ordenes_Odoo'!E2372="","",'Ordenes_Odoo'!E2372)</f>
        <v/>
      </c>
      <c r="F2372" s="79">
        <f>IF('Ordenes_Odoo'!F2372="","",'Ordenes_Odoo'!F2372)</f>
        <v/>
      </c>
      <c r="G2372" s="79">
        <f>IF('Ordenes_Odoo'!G2372="","",'Ordenes_Odoo'!G2372)</f>
        <v/>
      </c>
      <c r="H2372" s="79">
        <f>IF('Ordenes_Odoo'!H2372="","",'Ordenes_Odoo'!H2372)</f>
        <v/>
      </c>
      <c r="I2372" s="79">
        <f>IF('Ordenes_Odoo'!I2372="","",'Ordenes_Odoo'!I2372)</f>
        <v/>
      </c>
      <c r="J2372" s="79">
        <f>IF('Ordenes_Odoo'!J2372="","",'Ordenes_Odoo'!J2372)</f>
        <v/>
      </c>
      <c r="K2372" s="81">
        <f>IF('Ordenes_Odoo'!K2372="","",'Ordenes_Odoo'!K2372)</f>
        <v/>
      </c>
      <c r="L2372" s="81">
        <f>IF('Ordenes_Odoo'!L2372="","",'Ordenes_Odoo'!L2372)</f>
        <v/>
      </c>
      <c r="M2372" s="79">
        <f>IF('Ordenes_Odoo'!M2372="","",'Ordenes_Odoo'!M2372)</f>
        <v/>
      </c>
      <c r="N2372" s="79">
        <f>IF('Ordenes_Odoo'!N2372="","",'Ordenes_Odoo'!N2372)</f>
        <v/>
      </c>
      <c r="O2372" s="81">
        <f>IF('Ordenes_Odoo'!O2372="","",'Ordenes_Odoo'!O2372)</f>
        <v/>
      </c>
      <c r="P2372" s="81">
        <f>IF('Ordenes_Odoo'!P2372="","",'Ordenes_Odoo'!P2372)</f>
        <v/>
      </c>
      <c r="Q2372" s="79">
        <f>IF(A2372="","",IFERROR(INDEX(Facturas_Odoo!$B:$B, MATCH(A2372, Facturas_Odoo!$D:$D, 0)), "Sin Factura"))</f>
        <v/>
      </c>
      <c r="R2372" s="80">
        <f>IF(Q2372="Sin Factura","",IFERROR(INDEX(Facturas_Odoo!$A:$A, MATCH(Q2372, Facturas_Odoo!$B:$B, 0)), ""))</f>
        <v/>
      </c>
      <c r="S2372" s="79">
        <f>IF(Q2372="Sin Factura","",IFERROR(_xlfn.XLOOKUP(1, (Facturas_Odoo!$D:$D=A2372) * (Facturas_Odoo!$K:$K=I2372), Facturas_Odoo!$L:$L, ""), ""))</f>
        <v/>
      </c>
      <c r="T2372" s="81">
        <f>IF(Q2372="Sin Factura",0,IFERROR(_xlfn.XLOOKUP(1, (Facturas_Odoo!$D:$D=A2372) * (Facturas_Odoo!$K:$K=I2372), Facturas_Odoo!$M:$M, 0), 0))</f>
        <v/>
      </c>
      <c r="U2372" s="79">
        <f>IF(Q2372="Sin Factura",0,IFERROR(_xlfn.XLOOKUP(1, (Facturas_Odoo!$D:$D=A2372) * (Facturas_Odoo!$K:$K=I2372), Facturas_Odoo!$N:$N, 0), 0))</f>
        <v/>
      </c>
      <c r="V2372" s="79">
        <f>IF(Q2372="Sin Factura",0,IFERROR(_xlfn.XLOOKUP(1, (Facturas_Odoo!$D:$D=A2372) * (Facturas_Odoo!$K:$K=I2372), Facturas_Odoo!$O:$O, 0), 0))</f>
        <v/>
      </c>
      <c r="W2372" s="81">
        <f>IF(Q2372="Sin Factura",0,IFERROR(_xlfn.XLOOKUP(1, (Facturas_Odoo!$D:$D=A2372) * (Facturas_Odoo!$K:$K=I2372), Facturas_Odoo!$Q:$Q, 0), 0))</f>
        <v/>
      </c>
      <c r="X2372" s="79">
        <f>IF(OR(Q2372="Sin Factura",Q2372=""),"",IFERROR(INDEX(Pagos_Odoo!$B:$B, MATCH(Q2372, Pagos_Odoo!$I:$I, 0)), "Sin Pago"))</f>
        <v/>
      </c>
      <c r="Y2372" s="79">
        <f>IF(X2372="Sin Pago","",IFERROR(INDEX(Pagos_Odoo!$C:$C, MATCH(X2372, Pagos_Odoo!$B:$B, 0)), ""))</f>
        <v/>
      </c>
      <c r="Z2372" s="80">
        <f>IF(X2372="Sin Pago","",IFERROR(INDEX(Pagos_Odoo!$A:$A, MATCH(X2372, Pagos_Odoo!$B:$B, 0)), ""))</f>
        <v/>
      </c>
      <c r="AA2372" s="79">
        <f>IF(X2372="Sin Pago","",IFERROR(INDEX(Pagos_Odoo!$F:$F, MATCH(X2372, Pagos_Odoo!$B:$B, 0)), ""))</f>
        <v/>
      </c>
      <c r="AB2372" s="81">
        <f>IF(X2372="Sin Pago",0,IFERROR(INDEX(Pagos_Odoo!$E:$E, MATCH(X2372, Pagos_Odoo!$B:$B, 0)), 0))</f>
        <v/>
      </c>
      <c r="AC2372" s="79">
        <f>IF(X2372="Sin Pago","",IFERROR(INDEX(Pagos_Odoo!$G:$G, MATCH(X2372, Pagos_Odoo!$B:$B, 0)), ""))</f>
        <v/>
      </c>
      <c r="AD2372" s="82" t="n">
        <v>0</v>
      </c>
      <c r="AE2372" s="82" t="n"/>
      <c r="AF2372" s="82" t="n"/>
      <c r="AG2372" s="82">
        <f>IF(AN2372="","",AD2372+AE2372+AF2372)</f>
        <v/>
      </c>
      <c r="AH2372" s="81">
        <f>IF(AN2372="","",P2372*(1-AG2372))</f>
        <v/>
      </c>
      <c r="AI2372" s="81">
        <f>IF(AN2372="","",IF(Q2372="Sin Factura",0,IFERROR(INDEX(Facturas_Odoo!$H:$H, MATCH(Q2372, Facturas_Odoo!$B:$B, 0)), 0)*(1-AG2372)))</f>
        <v/>
      </c>
      <c r="AJ2372" s="81">
        <f>IF(AN2372="","",_xlfn.LET(idVenta, AN2372&amp;"",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72" s="81">
        <f>IF(AN2372="","",AH2372-AJ2372)</f>
        <v/>
      </c>
      <c r="AL2372" s="81">
        <f>IF(AN2372="","",IF(Q2372="Sin Factura","",AI2372-AJ2372))</f>
        <v/>
      </c>
      <c r="AM2372" s="81">
        <f>IF(AN2372="","",IF(Q2372="Sin Factura",0,P2372-IFERROR(INDEX(Facturas_Odoo!$H:$H, MATCH(Q2372, Facturas_Odoo!$B:$B, 0)), 0)))</f>
        <v/>
      </c>
      <c r="AN2372" s="79">
        <f>IF(AND(A2372="", J2372=""), "", IF(A2372&lt;&gt;"", VALUE(MID(A2372,2,LEN(A2372))), AN2371))</f>
        <v/>
      </c>
      <c r="AO2372" s="79">
        <f>IF(AN2372="","",IF(AD2372=0,"OK",_xlfn.LET(monedaPago, IF(AA2372="","USD",AA2372), limitePermitido, IFERROR(VLOOKUP(monedaPago, Configuración!$A$2:$B$3, 2, FALSE), 0.15), IF(AD2372&gt;limitePermitido, "ALERTA: EXCESO (" &amp; TEXT(limitePermitido, "0%") &amp; " máx)", "OK"))))</f>
        <v/>
      </c>
      <c r="AP2372" s="79">
        <f>IF(AN2372="","",IF(AE2372=0,"OK",_xlfn.LET(fechaPago, Z2372, fechaFactura, R2372, diasCredito, IF(E2372="Pago inmediato", 0, IFERROR(VALUE(MID(E2372, 1, SEARCH(" ", E2372)-1)),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72" s="79">
        <f>IF(AN2372="","",IF(AND(N2372&gt;0, AG2372&gt;0), IF(Configuración!$K$2="NO", "ALERTA: DESCUENTO DOBLE NO PERMITIDO", "OK"), "OK"))</f>
        <v/>
      </c>
      <c r="AR2372" s="79">
        <f>IF(AN2372="","",IF(OR(AO2372&lt;&gt;"OK", AP2372&lt;&gt;"OK", AQ2372&lt;&gt;"OK"), "⚠️ REVISAR", "OK"))</f>
        <v/>
      </c>
    </row>
    <row r="2373">
      <c r="A2373" s="79">
        <f>IF('Ordenes_Odoo'!A2373="","",'Ordenes_Odoo'!A2373)</f>
        <v/>
      </c>
      <c r="B2373" s="80">
        <f>IF('Ordenes_Odoo'!B2373="","",'Ordenes_Odoo'!B2373)</f>
        <v/>
      </c>
      <c r="C2373" s="79">
        <f>IF('Ordenes_Odoo'!C2373="","",'Ordenes_Odoo'!C2373)</f>
        <v/>
      </c>
      <c r="D2373" s="79">
        <f>IF('Ordenes_Odoo'!D2373="","",'Ordenes_Odoo'!D2373)</f>
        <v/>
      </c>
      <c r="E2373" s="79">
        <f>IF('Ordenes_Odoo'!E2373="","",'Ordenes_Odoo'!E2373)</f>
        <v/>
      </c>
      <c r="F2373" s="79">
        <f>IF('Ordenes_Odoo'!F2373="","",'Ordenes_Odoo'!F2373)</f>
        <v/>
      </c>
      <c r="G2373" s="79">
        <f>IF('Ordenes_Odoo'!G2373="","",'Ordenes_Odoo'!G2373)</f>
        <v/>
      </c>
      <c r="H2373" s="79">
        <f>IF('Ordenes_Odoo'!H2373="","",'Ordenes_Odoo'!H2373)</f>
        <v/>
      </c>
      <c r="I2373" s="79">
        <f>IF('Ordenes_Odoo'!I2373="","",'Ordenes_Odoo'!I2373)</f>
        <v/>
      </c>
      <c r="J2373" s="79">
        <f>IF('Ordenes_Odoo'!J2373="","",'Ordenes_Odoo'!J2373)</f>
        <v/>
      </c>
      <c r="K2373" s="81">
        <f>IF('Ordenes_Odoo'!K2373="","",'Ordenes_Odoo'!K2373)</f>
        <v/>
      </c>
      <c r="L2373" s="81">
        <f>IF('Ordenes_Odoo'!L2373="","",'Ordenes_Odoo'!L2373)</f>
        <v/>
      </c>
      <c r="M2373" s="79">
        <f>IF('Ordenes_Odoo'!M2373="","",'Ordenes_Odoo'!M2373)</f>
        <v/>
      </c>
      <c r="N2373" s="79">
        <f>IF('Ordenes_Odoo'!N2373="","",'Ordenes_Odoo'!N2373)</f>
        <v/>
      </c>
      <c r="O2373" s="81">
        <f>IF('Ordenes_Odoo'!O2373="","",'Ordenes_Odoo'!O2373)</f>
        <v/>
      </c>
      <c r="P2373" s="81">
        <f>IF('Ordenes_Odoo'!P2373="","",'Ordenes_Odoo'!P2373)</f>
        <v/>
      </c>
      <c r="Q2373" s="79">
        <f>IF(A2373="","",IFERROR(INDEX(Facturas_Odoo!$B:$B, MATCH(A2373, Facturas_Odoo!$D:$D, 0)), "Sin Factura"))</f>
        <v/>
      </c>
      <c r="R2373" s="80">
        <f>IF(Q2373="Sin Factura","",IFERROR(INDEX(Facturas_Odoo!$A:$A, MATCH(Q2373, Facturas_Odoo!$B:$B, 0)), ""))</f>
        <v/>
      </c>
      <c r="S2373" s="79">
        <f>IF(Q2373="Sin Factura","",IFERROR(_xlfn.XLOOKUP(1, (Facturas_Odoo!$D:$D=A2373) * (Facturas_Odoo!$K:$K=I2373), Facturas_Odoo!$L:$L, ""), ""))</f>
        <v/>
      </c>
      <c r="T2373" s="81">
        <f>IF(Q2373="Sin Factura",0,IFERROR(_xlfn.XLOOKUP(1, (Facturas_Odoo!$D:$D=A2373) * (Facturas_Odoo!$K:$K=I2373), Facturas_Odoo!$M:$M, 0), 0))</f>
        <v/>
      </c>
      <c r="U2373" s="79">
        <f>IF(Q2373="Sin Factura",0,IFERROR(_xlfn.XLOOKUP(1, (Facturas_Odoo!$D:$D=A2373) * (Facturas_Odoo!$K:$K=I2373), Facturas_Odoo!$N:$N, 0), 0))</f>
        <v/>
      </c>
      <c r="V2373" s="79">
        <f>IF(Q2373="Sin Factura",0,IFERROR(_xlfn.XLOOKUP(1, (Facturas_Odoo!$D:$D=A2373) * (Facturas_Odoo!$K:$K=I2373), Facturas_Odoo!$O:$O, 0), 0))</f>
        <v/>
      </c>
      <c r="W2373" s="81">
        <f>IF(Q2373="Sin Factura",0,IFERROR(_xlfn.XLOOKUP(1, (Facturas_Odoo!$D:$D=A2373) * (Facturas_Odoo!$K:$K=I2373), Facturas_Odoo!$Q:$Q, 0), 0))</f>
        <v/>
      </c>
      <c r="X2373" s="79">
        <f>IF(OR(Q2373="Sin Factura",Q2373=""),"",IFERROR(INDEX(Pagos_Odoo!$B:$B, MATCH(Q2373, Pagos_Odoo!$I:$I, 0)), "Sin Pago"))</f>
        <v/>
      </c>
      <c r="Y2373" s="79">
        <f>IF(X2373="Sin Pago","",IFERROR(INDEX(Pagos_Odoo!$C:$C, MATCH(X2373, Pagos_Odoo!$B:$B, 0)), ""))</f>
        <v/>
      </c>
      <c r="Z2373" s="80">
        <f>IF(X2373="Sin Pago","",IFERROR(INDEX(Pagos_Odoo!$A:$A, MATCH(X2373, Pagos_Odoo!$B:$B, 0)), ""))</f>
        <v/>
      </c>
      <c r="AA2373" s="79">
        <f>IF(X2373="Sin Pago","",IFERROR(INDEX(Pagos_Odoo!$F:$F, MATCH(X2373, Pagos_Odoo!$B:$B, 0)), ""))</f>
        <v/>
      </c>
      <c r="AB2373" s="81">
        <f>IF(X2373="Sin Pago",0,IFERROR(INDEX(Pagos_Odoo!$E:$E, MATCH(X2373, Pagos_Odoo!$B:$B, 0)), 0))</f>
        <v/>
      </c>
      <c r="AC2373" s="79">
        <f>IF(X2373="Sin Pago","",IFERROR(INDEX(Pagos_Odoo!$G:$G, MATCH(X2373, Pagos_Odoo!$B:$B, 0)), ""))</f>
        <v/>
      </c>
      <c r="AD2373" s="82" t="n">
        <v>0</v>
      </c>
      <c r="AE2373" s="82" t="n"/>
      <c r="AF2373" s="82" t="n"/>
      <c r="AG2373" s="82">
        <f>IF(AN2373="","",AD2373+AE2373+AF2373)</f>
        <v/>
      </c>
      <c r="AH2373" s="81">
        <f>IF(AN2373="","",P2373*(1-AG2373))</f>
        <v/>
      </c>
      <c r="AI2373" s="81">
        <f>IF(AN2373="","",IF(Q2373="Sin Factura",0,IFERROR(INDEX(Facturas_Odoo!$H:$H, MATCH(Q2373, Facturas_Odoo!$B:$B, 0)), 0)*(1-AG2373)))</f>
        <v/>
      </c>
      <c r="AJ2373" s="81">
        <f>IF(AN2373="","",_xlfn.LET(idVenta, AN2373&amp;"",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73" s="81">
        <f>IF(AN2373="","",AH2373-AJ2373)</f>
        <v/>
      </c>
      <c r="AL2373" s="81">
        <f>IF(AN2373="","",IF(Q2373="Sin Factura","",AI2373-AJ2373))</f>
        <v/>
      </c>
      <c r="AM2373" s="81">
        <f>IF(AN2373="","",IF(Q2373="Sin Factura",0,P2373-IFERROR(INDEX(Facturas_Odoo!$H:$H, MATCH(Q2373, Facturas_Odoo!$B:$B, 0)), 0)))</f>
        <v/>
      </c>
      <c r="AN2373" s="79">
        <f>IF(AND(A2373="", J2373=""), "", IF(A2373&lt;&gt;"", VALUE(MID(A2373,2,LEN(A2373))), AN2372))</f>
        <v/>
      </c>
      <c r="AO2373" s="79">
        <f>IF(AN2373="","",IF(AD2373=0,"OK",_xlfn.LET(monedaPago, IF(AA2373="","USD",AA2373), limitePermitido, IFERROR(VLOOKUP(monedaPago, Configuración!$A$2:$B$3, 2, FALSE), 0.15), IF(AD2373&gt;limitePermitido, "ALERTA: EXCESO (" &amp; TEXT(limitePermitido, "0%") &amp; " máx)", "OK"))))</f>
        <v/>
      </c>
      <c r="AP2373" s="79">
        <f>IF(AN2373="","",IF(AE2373=0,"OK",_xlfn.LET(fechaPago, Z2373, fechaFactura, R2373, diasCredito, IF(E2373="Pago inmediato", 0, IFERROR(VALUE(MID(E2373, 1, SEARCH(" ", E2373)-1)),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73" s="79">
        <f>IF(AN2373="","",IF(AND(N2373&gt;0, AG2373&gt;0), IF(Configuración!$K$2="NO", "ALERTA: DESCUENTO DOBLE NO PERMITIDO", "OK"), "OK"))</f>
        <v/>
      </c>
      <c r="AR2373" s="79">
        <f>IF(AN2373="","",IF(OR(AO2373&lt;&gt;"OK", AP2373&lt;&gt;"OK", AQ2373&lt;&gt;"OK"), "⚠️ REVISAR", "OK"))</f>
        <v/>
      </c>
    </row>
    <row r="2374">
      <c r="A2374" s="79">
        <f>IF('Ordenes_Odoo'!A2374="","",'Ordenes_Odoo'!A2374)</f>
        <v/>
      </c>
      <c r="B2374" s="80">
        <f>IF('Ordenes_Odoo'!B2374="","",'Ordenes_Odoo'!B2374)</f>
        <v/>
      </c>
      <c r="C2374" s="79">
        <f>IF('Ordenes_Odoo'!C2374="","",'Ordenes_Odoo'!C2374)</f>
        <v/>
      </c>
      <c r="D2374" s="79">
        <f>IF('Ordenes_Odoo'!D2374="","",'Ordenes_Odoo'!D2374)</f>
        <v/>
      </c>
      <c r="E2374" s="79">
        <f>IF('Ordenes_Odoo'!E2374="","",'Ordenes_Odoo'!E2374)</f>
        <v/>
      </c>
      <c r="F2374" s="79">
        <f>IF('Ordenes_Odoo'!F2374="","",'Ordenes_Odoo'!F2374)</f>
        <v/>
      </c>
      <c r="G2374" s="79">
        <f>IF('Ordenes_Odoo'!G2374="","",'Ordenes_Odoo'!G2374)</f>
        <v/>
      </c>
      <c r="H2374" s="79">
        <f>IF('Ordenes_Odoo'!H2374="","",'Ordenes_Odoo'!H2374)</f>
        <v/>
      </c>
      <c r="I2374" s="79">
        <f>IF('Ordenes_Odoo'!I2374="","",'Ordenes_Odoo'!I2374)</f>
        <v/>
      </c>
      <c r="J2374" s="79">
        <f>IF('Ordenes_Odoo'!J2374="","",'Ordenes_Odoo'!J2374)</f>
        <v/>
      </c>
      <c r="K2374" s="81">
        <f>IF('Ordenes_Odoo'!K2374="","",'Ordenes_Odoo'!K2374)</f>
        <v/>
      </c>
      <c r="L2374" s="81">
        <f>IF('Ordenes_Odoo'!L2374="","",'Ordenes_Odoo'!L2374)</f>
        <v/>
      </c>
      <c r="M2374" s="79">
        <f>IF('Ordenes_Odoo'!M2374="","",'Ordenes_Odoo'!M2374)</f>
        <v/>
      </c>
      <c r="N2374" s="79">
        <f>IF('Ordenes_Odoo'!N2374="","",'Ordenes_Odoo'!N2374)</f>
        <v/>
      </c>
      <c r="O2374" s="81">
        <f>IF('Ordenes_Odoo'!O2374="","",'Ordenes_Odoo'!O2374)</f>
        <v/>
      </c>
      <c r="P2374" s="81">
        <f>IF('Ordenes_Odoo'!P2374="","",'Ordenes_Odoo'!P2374)</f>
        <v/>
      </c>
      <c r="Q2374" s="79">
        <f>IF(A2374="","",IFERROR(INDEX(Facturas_Odoo!$B:$B, MATCH(A2374, Facturas_Odoo!$D:$D, 0)), "Sin Factura"))</f>
        <v/>
      </c>
      <c r="R2374" s="80">
        <f>IF(Q2374="Sin Factura","",IFERROR(INDEX(Facturas_Odoo!$A:$A, MATCH(Q2374, Facturas_Odoo!$B:$B, 0)), ""))</f>
        <v/>
      </c>
      <c r="S2374" s="79">
        <f>IF(Q2374="Sin Factura","",IFERROR(_xlfn.XLOOKUP(1, (Facturas_Odoo!$D:$D=A2374) * (Facturas_Odoo!$K:$K=I2374), Facturas_Odoo!$L:$L, ""), ""))</f>
        <v/>
      </c>
      <c r="T2374" s="81">
        <f>IF(Q2374="Sin Factura",0,IFERROR(_xlfn.XLOOKUP(1, (Facturas_Odoo!$D:$D=A2374) * (Facturas_Odoo!$K:$K=I2374), Facturas_Odoo!$M:$M, 0), 0))</f>
        <v/>
      </c>
      <c r="U2374" s="79">
        <f>IF(Q2374="Sin Factura",0,IFERROR(_xlfn.XLOOKUP(1, (Facturas_Odoo!$D:$D=A2374) * (Facturas_Odoo!$K:$K=I2374), Facturas_Odoo!$N:$N, 0), 0))</f>
        <v/>
      </c>
      <c r="V2374" s="79">
        <f>IF(Q2374="Sin Factura",0,IFERROR(_xlfn.XLOOKUP(1, (Facturas_Odoo!$D:$D=A2374) * (Facturas_Odoo!$K:$K=I2374), Facturas_Odoo!$O:$O, 0), 0))</f>
        <v/>
      </c>
      <c r="W2374" s="81">
        <f>IF(Q2374="Sin Factura",0,IFERROR(_xlfn.XLOOKUP(1, (Facturas_Odoo!$D:$D=A2374) * (Facturas_Odoo!$K:$K=I2374), Facturas_Odoo!$Q:$Q, 0), 0))</f>
        <v/>
      </c>
      <c r="X2374" s="79">
        <f>IF(OR(Q2374="Sin Factura",Q2374=""),"",IFERROR(INDEX(Pagos_Odoo!$B:$B, MATCH(Q2374, Pagos_Odoo!$I:$I, 0)), "Sin Pago"))</f>
        <v/>
      </c>
      <c r="Y2374" s="79">
        <f>IF(X2374="Sin Pago","",IFERROR(INDEX(Pagos_Odoo!$C:$C, MATCH(X2374, Pagos_Odoo!$B:$B, 0)), ""))</f>
        <v/>
      </c>
      <c r="Z2374" s="80">
        <f>IF(X2374="Sin Pago","",IFERROR(INDEX(Pagos_Odoo!$A:$A, MATCH(X2374, Pagos_Odoo!$B:$B, 0)), ""))</f>
        <v/>
      </c>
      <c r="AA2374" s="79">
        <f>IF(X2374="Sin Pago","",IFERROR(INDEX(Pagos_Odoo!$F:$F, MATCH(X2374, Pagos_Odoo!$B:$B, 0)), ""))</f>
        <v/>
      </c>
      <c r="AB2374" s="81">
        <f>IF(X2374="Sin Pago",0,IFERROR(INDEX(Pagos_Odoo!$E:$E, MATCH(X2374, Pagos_Odoo!$B:$B, 0)), 0))</f>
        <v/>
      </c>
      <c r="AC2374" s="79">
        <f>IF(X2374="Sin Pago","",IFERROR(INDEX(Pagos_Odoo!$G:$G, MATCH(X2374, Pagos_Odoo!$B:$B, 0)), ""))</f>
        <v/>
      </c>
      <c r="AD2374" s="82" t="n">
        <v>0</v>
      </c>
      <c r="AE2374" s="82" t="n"/>
      <c r="AF2374" s="82" t="n"/>
      <c r="AG2374" s="82">
        <f>IF(AN2374="","",AD2374+AE2374+AF2374)</f>
        <v/>
      </c>
      <c r="AH2374" s="81">
        <f>IF(AN2374="","",P2374*(1-AG2374))</f>
        <v/>
      </c>
      <c r="AI2374" s="81">
        <f>IF(AN2374="","",IF(Q2374="Sin Factura",0,IFERROR(INDEX(Facturas_Odoo!$H:$H, MATCH(Q2374, Facturas_Odoo!$B:$B, 0)), 0)*(1-AG2374)))</f>
        <v/>
      </c>
      <c r="AJ2374" s="81">
        <f>IF(AN2374="","",_xlfn.LET(idVenta, AN2374&amp;"",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74" s="81">
        <f>IF(AN2374="","",AH2374-AJ2374)</f>
        <v/>
      </c>
      <c r="AL2374" s="81">
        <f>IF(AN2374="","",IF(Q2374="Sin Factura","",AI2374-AJ2374))</f>
        <v/>
      </c>
      <c r="AM2374" s="81">
        <f>IF(AN2374="","",IF(Q2374="Sin Factura",0,P2374-IFERROR(INDEX(Facturas_Odoo!$H:$H, MATCH(Q2374, Facturas_Odoo!$B:$B, 0)), 0)))</f>
        <v/>
      </c>
      <c r="AN2374" s="79">
        <f>IF(AND(A2374="", J2374=""), "", IF(A2374&lt;&gt;"", VALUE(MID(A2374,2,LEN(A2374))), AN2373))</f>
        <v/>
      </c>
      <c r="AO2374" s="79">
        <f>IF(AN2374="","",IF(AD2374=0,"OK",_xlfn.LET(monedaPago, IF(AA2374="","USD",AA2374), limitePermitido, IFERROR(VLOOKUP(monedaPago, Configuración!$A$2:$B$3, 2, FALSE), 0.15), IF(AD2374&gt;limitePermitido, "ALERTA: EXCESO (" &amp; TEXT(limitePermitido, "0%") &amp; " máx)", "OK"))))</f>
        <v/>
      </c>
      <c r="AP2374" s="79">
        <f>IF(AN2374="","",IF(AE2374=0,"OK",_xlfn.LET(fechaPago, Z2374, fechaFactura, R2374, diasCredito, IF(E2374="Pago inmediato", 0, IFERROR(VALUE(MID(E2374, 1, SEARCH(" ", E2374)-1)),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74" s="79">
        <f>IF(AN2374="","",IF(AND(N2374&gt;0, AG2374&gt;0), IF(Configuración!$K$2="NO", "ALERTA: DESCUENTO DOBLE NO PERMITIDO", "OK"), "OK"))</f>
        <v/>
      </c>
      <c r="AR2374" s="79">
        <f>IF(AN2374="","",IF(OR(AO2374&lt;&gt;"OK", AP2374&lt;&gt;"OK", AQ2374&lt;&gt;"OK"), "⚠️ REVISAR", "OK"))</f>
        <v/>
      </c>
    </row>
    <row r="2375">
      <c r="A2375" s="79">
        <f>IF('Ordenes_Odoo'!A2375="","",'Ordenes_Odoo'!A2375)</f>
        <v/>
      </c>
      <c r="B2375" s="80">
        <f>IF('Ordenes_Odoo'!B2375="","",'Ordenes_Odoo'!B2375)</f>
        <v/>
      </c>
      <c r="C2375" s="79">
        <f>IF('Ordenes_Odoo'!C2375="","",'Ordenes_Odoo'!C2375)</f>
        <v/>
      </c>
      <c r="D2375" s="79">
        <f>IF('Ordenes_Odoo'!D2375="","",'Ordenes_Odoo'!D2375)</f>
        <v/>
      </c>
      <c r="E2375" s="79">
        <f>IF('Ordenes_Odoo'!E2375="","",'Ordenes_Odoo'!E2375)</f>
        <v/>
      </c>
      <c r="F2375" s="79">
        <f>IF('Ordenes_Odoo'!F2375="","",'Ordenes_Odoo'!F2375)</f>
        <v/>
      </c>
      <c r="G2375" s="79">
        <f>IF('Ordenes_Odoo'!G2375="","",'Ordenes_Odoo'!G2375)</f>
        <v/>
      </c>
      <c r="H2375" s="79">
        <f>IF('Ordenes_Odoo'!H2375="","",'Ordenes_Odoo'!H2375)</f>
        <v/>
      </c>
      <c r="I2375" s="79">
        <f>IF('Ordenes_Odoo'!I2375="","",'Ordenes_Odoo'!I2375)</f>
        <v/>
      </c>
      <c r="J2375" s="79">
        <f>IF('Ordenes_Odoo'!J2375="","",'Ordenes_Odoo'!J2375)</f>
        <v/>
      </c>
      <c r="K2375" s="81">
        <f>IF('Ordenes_Odoo'!K2375="","",'Ordenes_Odoo'!K2375)</f>
        <v/>
      </c>
      <c r="L2375" s="81">
        <f>IF('Ordenes_Odoo'!L2375="","",'Ordenes_Odoo'!L2375)</f>
        <v/>
      </c>
      <c r="M2375" s="79">
        <f>IF('Ordenes_Odoo'!M2375="","",'Ordenes_Odoo'!M2375)</f>
        <v/>
      </c>
      <c r="N2375" s="79">
        <f>IF('Ordenes_Odoo'!N2375="","",'Ordenes_Odoo'!N2375)</f>
        <v/>
      </c>
      <c r="O2375" s="81">
        <f>IF('Ordenes_Odoo'!O2375="","",'Ordenes_Odoo'!O2375)</f>
        <v/>
      </c>
      <c r="P2375" s="81">
        <f>IF('Ordenes_Odoo'!P2375="","",'Ordenes_Odoo'!P2375)</f>
        <v/>
      </c>
      <c r="Q2375" s="79">
        <f>IF(A2375="","",IFERROR(INDEX(Facturas_Odoo!$B:$B, MATCH(A2375, Facturas_Odoo!$D:$D, 0)), "Sin Factura"))</f>
        <v/>
      </c>
      <c r="R2375" s="80">
        <f>IF(Q2375="Sin Factura","",IFERROR(INDEX(Facturas_Odoo!$A:$A, MATCH(Q2375, Facturas_Odoo!$B:$B, 0)), ""))</f>
        <v/>
      </c>
      <c r="S2375" s="79">
        <f>IF(Q2375="Sin Factura","",IFERROR(_xlfn.XLOOKUP(1, (Facturas_Odoo!$D:$D=A2375) * (Facturas_Odoo!$K:$K=I2375), Facturas_Odoo!$L:$L, ""), ""))</f>
        <v/>
      </c>
      <c r="T2375" s="81">
        <f>IF(Q2375="Sin Factura",0,IFERROR(_xlfn.XLOOKUP(1, (Facturas_Odoo!$D:$D=A2375) * (Facturas_Odoo!$K:$K=I2375), Facturas_Odoo!$M:$M, 0), 0))</f>
        <v/>
      </c>
      <c r="U2375" s="79">
        <f>IF(Q2375="Sin Factura",0,IFERROR(_xlfn.XLOOKUP(1, (Facturas_Odoo!$D:$D=A2375) * (Facturas_Odoo!$K:$K=I2375), Facturas_Odoo!$N:$N, 0), 0))</f>
        <v/>
      </c>
      <c r="V2375" s="79">
        <f>IF(Q2375="Sin Factura",0,IFERROR(_xlfn.XLOOKUP(1, (Facturas_Odoo!$D:$D=A2375) * (Facturas_Odoo!$K:$K=I2375), Facturas_Odoo!$O:$O, 0), 0))</f>
        <v/>
      </c>
      <c r="W2375" s="81">
        <f>IF(Q2375="Sin Factura",0,IFERROR(_xlfn.XLOOKUP(1, (Facturas_Odoo!$D:$D=A2375) * (Facturas_Odoo!$K:$K=I2375), Facturas_Odoo!$Q:$Q, 0), 0))</f>
        <v/>
      </c>
      <c r="X2375" s="79">
        <f>IF(OR(Q2375="Sin Factura",Q2375=""),"",IFERROR(INDEX(Pagos_Odoo!$B:$B, MATCH(Q2375, Pagos_Odoo!$I:$I, 0)), "Sin Pago"))</f>
        <v/>
      </c>
      <c r="Y2375" s="79">
        <f>IF(X2375="Sin Pago","",IFERROR(INDEX(Pagos_Odoo!$C:$C, MATCH(X2375, Pagos_Odoo!$B:$B, 0)), ""))</f>
        <v/>
      </c>
      <c r="Z2375" s="80">
        <f>IF(X2375="Sin Pago","",IFERROR(INDEX(Pagos_Odoo!$A:$A, MATCH(X2375, Pagos_Odoo!$B:$B, 0)), ""))</f>
        <v/>
      </c>
      <c r="AA2375" s="79">
        <f>IF(X2375="Sin Pago","",IFERROR(INDEX(Pagos_Odoo!$F:$F, MATCH(X2375, Pagos_Odoo!$B:$B, 0)), ""))</f>
        <v/>
      </c>
      <c r="AB2375" s="81">
        <f>IF(X2375="Sin Pago",0,IFERROR(INDEX(Pagos_Odoo!$E:$E, MATCH(X2375, Pagos_Odoo!$B:$B, 0)), 0))</f>
        <v/>
      </c>
      <c r="AC2375" s="79">
        <f>IF(X2375="Sin Pago","",IFERROR(INDEX(Pagos_Odoo!$G:$G, MATCH(X2375, Pagos_Odoo!$B:$B, 0)), ""))</f>
        <v/>
      </c>
      <c r="AD2375" s="82" t="n">
        <v>0</v>
      </c>
      <c r="AE2375" s="82" t="n"/>
      <c r="AF2375" s="82" t="n"/>
      <c r="AG2375" s="82">
        <f>IF(AN2375="","",AD2375+AE2375+AF2375)</f>
        <v/>
      </c>
      <c r="AH2375" s="81">
        <f>IF(AN2375="","",P2375*(1-AG2375))</f>
        <v/>
      </c>
      <c r="AI2375" s="81">
        <f>IF(AN2375="","",IF(Q2375="Sin Factura",0,IFERROR(INDEX(Facturas_Odoo!$H:$H, MATCH(Q2375, Facturas_Odoo!$B:$B, 0)), 0)*(1-AG2375)))</f>
        <v/>
      </c>
      <c r="AJ2375" s="81">
        <f>IF(AN2375="","",_xlfn.LET(idVenta, AN2375&amp;"",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75" s="81">
        <f>IF(AN2375="","",AH2375-AJ2375)</f>
        <v/>
      </c>
      <c r="AL2375" s="81">
        <f>IF(AN2375="","",IF(Q2375="Sin Factura","",AI2375-AJ2375))</f>
        <v/>
      </c>
      <c r="AM2375" s="81">
        <f>IF(AN2375="","",IF(Q2375="Sin Factura",0,P2375-IFERROR(INDEX(Facturas_Odoo!$H:$H, MATCH(Q2375, Facturas_Odoo!$B:$B, 0)), 0)))</f>
        <v/>
      </c>
      <c r="AN2375" s="79">
        <f>IF(AND(A2375="", J2375=""), "", IF(A2375&lt;&gt;"", VALUE(MID(A2375,2,LEN(A2375))), AN2374))</f>
        <v/>
      </c>
      <c r="AO2375" s="79">
        <f>IF(AN2375="","",IF(AD2375=0,"OK",_xlfn.LET(monedaPago, IF(AA2375="","USD",AA2375), limitePermitido, IFERROR(VLOOKUP(monedaPago, Configuración!$A$2:$B$3, 2, FALSE), 0.15), IF(AD2375&gt;limitePermitido, "ALERTA: EXCESO (" &amp; TEXT(limitePermitido, "0%") &amp; " máx)", "OK"))))</f>
        <v/>
      </c>
      <c r="AP2375" s="79">
        <f>IF(AN2375="","",IF(AE2375=0,"OK",_xlfn.LET(fechaPago, Z2375, fechaFactura, R2375, diasCredito, IF(E2375="Pago inmediato", 0, IFERROR(VALUE(MID(E2375, 1, SEARCH(" ", E2375)-1)),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75" s="79">
        <f>IF(AN2375="","",IF(AND(N2375&gt;0, AG2375&gt;0), IF(Configuración!$K$2="NO", "ALERTA: DESCUENTO DOBLE NO PERMITIDO", "OK"), "OK"))</f>
        <v/>
      </c>
      <c r="AR2375" s="79">
        <f>IF(AN2375="","",IF(OR(AO2375&lt;&gt;"OK", AP2375&lt;&gt;"OK", AQ2375&lt;&gt;"OK"), "⚠️ REVISAR", "OK"))</f>
        <v/>
      </c>
    </row>
    <row r="2376">
      <c r="A2376" s="79">
        <f>IF('Ordenes_Odoo'!A2376="","",'Ordenes_Odoo'!A2376)</f>
        <v/>
      </c>
      <c r="B2376" s="80">
        <f>IF('Ordenes_Odoo'!B2376="","",'Ordenes_Odoo'!B2376)</f>
        <v/>
      </c>
      <c r="C2376" s="79">
        <f>IF('Ordenes_Odoo'!C2376="","",'Ordenes_Odoo'!C2376)</f>
        <v/>
      </c>
      <c r="D2376" s="79">
        <f>IF('Ordenes_Odoo'!D2376="","",'Ordenes_Odoo'!D2376)</f>
        <v/>
      </c>
      <c r="E2376" s="79">
        <f>IF('Ordenes_Odoo'!E2376="","",'Ordenes_Odoo'!E2376)</f>
        <v/>
      </c>
      <c r="F2376" s="79">
        <f>IF('Ordenes_Odoo'!F2376="","",'Ordenes_Odoo'!F2376)</f>
        <v/>
      </c>
      <c r="G2376" s="79">
        <f>IF('Ordenes_Odoo'!G2376="","",'Ordenes_Odoo'!G2376)</f>
        <v/>
      </c>
      <c r="H2376" s="79">
        <f>IF('Ordenes_Odoo'!H2376="","",'Ordenes_Odoo'!H2376)</f>
        <v/>
      </c>
      <c r="I2376" s="79">
        <f>IF('Ordenes_Odoo'!I2376="","",'Ordenes_Odoo'!I2376)</f>
        <v/>
      </c>
      <c r="J2376" s="79">
        <f>IF('Ordenes_Odoo'!J2376="","",'Ordenes_Odoo'!J2376)</f>
        <v/>
      </c>
      <c r="K2376" s="81">
        <f>IF('Ordenes_Odoo'!K2376="","",'Ordenes_Odoo'!K2376)</f>
        <v/>
      </c>
      <c r="L2376" s="81">
        <f>IF('Ordenes_Odoo'!L2376="","",'Ordenes_Odoo'!L2376)</f>
        <v/>
      </c>
      <c r="M2376" s="79">
        <f>IF('Ordenes_Odoo'!M2376="","",'Ordenes_Odoo'!M2376)</f>
        <v/>
      </c>
      <c r="N2376" s="79">
        <f>IF('Ordenes_Odoo'!N2376="","",'Ordenes_Odoo'!N2376)</f>
        <v/>
      </c>
      <c r="O2376" s="81">
        <f>IF('Ordenes_Odoo'!O2376="","",'Ordenes_Odoo'!O2376)</f>
        <v/>
      </c>
      <c r="P2376" s="81">
        <f>IF('Ordenes_Odoo'!P2376="","",'Ordenes_Odoo'!P2376)</f>
        <v/>
      </c>
      <c r="Q2376" s="79">
        <f>IF(A2376="","",IFERROR(INDEX(Facturas_Odoo!$B:$B, MATCH(A2376, Facturas_Odoo!$D:$D, 0)), "Sin Factura"))</f>
        <v/>
      </c>
      <c r="R2376" s="80">
        <f>IF(Q2376="Sin Factura","",IFERROR(INDEX(Facturas_Odoo!$A:$A, MATCH(Q2376, Facturas_Odoo!$B:$B, 0)), ""))</f>
        <v/>
      </c>
      <c r="S2376" s="79">
        <f>IF(Q2376="Sin Factura","",IFERROR(_xlfn.XLOOKUP(1, (Facturas_Odoo!$D:$D=A2376) * (Facturas_Odoo!$K:$K=I2376), Facturas_Odoo!$L:$L, ""), ""))</f>
        <v/>
      </c>
      <c r="T2376" s="81">
        <f>IF(Q2376="Sin Factura",0,IFERROR(_xlfn.XLOOKUP(1, (Facturas_Odoo!$D:$D=A2376) * (Facturas_Odoo!$K:$K=I2376), Facturas_Odoo!$M:$M, 0), 0))</f>
        <v/>
      </c>
      <c r="U2376" s="79">
        <f>IF(Q2376="Sin Factura",0,IFERROR(_xlfn.XLOOKUP(1, (Facturas_Odoo!$D:$D=A2376) * (Facturas_Odoo!$K:$K=I2376), Facturas_Odoo!$N:$N, 0), 0))</f>
        <v/>
      </c>
      <c r="V2376" s="79">
        <f>IF(Q2376="Sin Factura",0,IFERROR(_xlfn.XLOOKUP(1, (Facturas_Odoo!$D:$D=A2376) * (Facturas_Odoo!$K:$K=I2376), Facturas_Odoo!$O:$O, 0), 0))</f>
        <v/>
      </c>
      <c r="W2376" s="81">
        <f>IF(Q2376="Sin Factura",0,IFERROR(_xlfn.XLOOKUP(1, (Facturas_Odoo!$D:$D=A2376) * (Facturas_Odoo!$K:$K=I2376), Facturas_Odoo!$Q:$Q, 0), 0))</f>
        <v/>
      </c>
      <c r="X2376" s="79">
        <f>IF(OR(Q2376="Sin Factura",Q2376=""),"",IFERROR(INDEX(Pagos_Odoo!$B:$B, MATCH(Q2376, Pagos_Odoo!$I:$I, 0)), "Sin Pago"))</f>
        <v/>
      </c>
      <c r="Y2376" s="79">
        <f>IF(X2376="Sin Pago","",IFERROR(INDEX(Pagos_Odoo!$C:$C, MATCH(X2376, Pagos_Odoo!$B:$B, 0)), ""))</f>
        <v/>
      </c>
      <c r="Z2376" s="80">
        <f>IF(X2376="Sin Pago","",IFERROR(INDEX(Pagos_Odoo!$A:$A, MATCH(X2376, Pagos_Odoo!$B:$B, 0)), ""))</f>
        <v/>
      </c>
      <c r="AA2376" s="79">
        <f>IF(X2376="Sin Pago","",IFERROR(INDEX(Pagos_Odoo!$F:$F, MATCH(X2376, Pagos_Odoo!$B:$B, 0)), ""))</f>
        <v/>
      </c>
      <c r="AB2376" s="81">
        <f>IF(X2376="Sin Pago",0,IFERROR(INDEX(Pagos_Odoo!$E:$E, MATCH(X2376, Pagos_Odoo!$B:$B, 0)), 0))</f>
        <v/>
      </c>
      <c r="AC2376" s="79">
        <f>IF(X2376="Sin Pago","",IFERROR(INDEX(Pagos_Odoo!$G:$G, MATCH(X2376, Pagos_Odoo!$B:$B, 0)), ""))</f>
        <v/>
      </c>
      <c r="AD2376" s="82" t="n">
        <v>0</v>
      </c>
      <c r="AE2376" s="82" t="n"/>
      <c r="AF2376" s="82" t="n"/>
      <c r="AG2376" s="82">
        <f>IF(AN2376="","",AD2376+AE2376+AF2376)</f>
        <v/>
      </c>
      <c r="AH2376" s="81">
        <f>IF(AN2376="","",P2376*(1-AG2376))</f>
        <v/>
      </c>
      <c r="AI2376" s="81">
        <f>IF(AN2376="","",IF(Q2376="Sin Factura",0,IFERROR(INDEX(Facturas_Odoo!$H:$H, MATCH(Q2376, Facturas_Odoo!$B:$B, 0)), 0)*(1-AG2376)))</f>
        <v/>
      </c>
      <c r="AJ2376" s="81">
        <f>IF(AN2376="","",_xlfn.LET(idVenta, AN2376&amp;"",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76" s="81">
        <f>IF(AN2376="","",AH2376-AJ2376)</f>
        <v/>
      </c>
      <c r="AL2376" s="81">
        <f>IF(AN2376="","",IF(Q2376="Sin Factura","",AI2376-AJ2376))</f>
        <v/>
      </c>
      <c r="AM2376" s="81">
        <f>IF(AN2376="","",IF(Q2376="Sin Factura",0,P2376-IFERROR(INDEX(Facturas_Odoo!$H:$H, MATCH(Q2376, Facturas_Odoo!$B:$B, 0)), 0)))</f>
        <v/>
      </c>
      <c r="AN2376" s="79">
        <f>IF(AND(A2376="", J2376=""), "", IF(A2376&lt;&gt;"", VALUE(MID(A2376,2,LEN(A2376))), AN2375))</f>
        <v/>
      </c>
      <c r="AO2376" s="79">
        <f>IF(AN2376="","",IF(AD2376=0,"OK",_xlfn.LET(monedaPago, IF(AA2376="","USD",AA2376), limitePermitido, IFERROR(VLOOKUP(monedaPago, Configuración!$A$2:$B$3, 2, FALSE), 0.15), IF(AD2376&gt;limitePermitido, "ALERTA: EXCESO (" &amp; TEXT(limitePermitido, "0%") &amp; " máx)", "OK"))))</f>
        <v/>
      </c>
      <c r="AP2376" s="79">
        <f>IF(AN2376="","",IF(AE2376=0,"OK",_xlfn.LET(fechaPago, Z2376, fechaFactura, R2376, diasCredito, IF(E2376="Pago inmediato", 0, IFERROR(VALUE(MID(E2376, 1, SEARCH(" ", E2376)-1)),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76" s="79">
        <f>IF(AN2376="","",IF(AND(N2376&gt;0, AG2376&gt;0), IF(Configuración!$K$2="NO", "ALERTA: DESCUENTO DOBLE NO PERMITIDO", "OK"), "OK"))</f>
        <v/>
      </c>
      <c r="AR2376" s="79">
        <f>IF(AN2376="","",IF(OR(AO2376&lt;&gt;"OK", AP2376&lt;&gt;"OK", AQ2376&lt;&gt;"OK"), "⚠️ REVISAR", "OK"))</f>
        <v/>
      </c>
    </row>
    <row r="2377">
      <c r="A2377" s="79">
        <f>IF('Ordenes_Odoo'!A2377="","",'Ordenes_Odoo'!A2377)</f>
        <v/>
      </c>
      <c r="B2377" s="80">
        <f>IF('Ordenes_Odoo'!B2377="","",'Ordenes_Odoo'!B2377)</f>
        <v/>
      </c>
      <c r="C2377" s="79">
        <f>IF('Ordenes_Odoo'!C2377="","",'Ordenes_Odoo'!C2377)</f>
        <v/>
      </c>
      <c r="D2377" s="79">
        <f>IF('Ordenes_Odoo'!D2377="","",'Ordenes_Odoo'!D2377)</f>
        <v/>
      </c>
      <c r="E2377" s="79">
        <f>IF('Ordenes_Odoo'!E2377="","",'Ordenes_Odoo'!E2377)</f>
        <v/>
      </c>
      <c r="F2377" s="79">
        <f>IF('Ordenes_Odoo'!F2377="","",'Ordenes_Odoo'!F2377)</f>
        <v/>
      </c>
      <c r="G2377" s="79">
        <f>IF('Ordenes_Odoo'!G2377="","",'Ordenes_Odoo'!G2377)</f>
        <v/>
      </c>
      <c r="H2377" s="79">
        <f>IF('Ordenes_Odoo'!H2377="","",'Ordenes_Odoo'!H2377)</f>
        <v/>
      </c>
      <c r="I2377" s="79">
        <f>IF('Ordenes_Odoo'!I2377="","",'Ordenes_Odoo'!I2377)</f>
        <v/>
      </c>
      <c r="J2377" s="79">
        <f>IF('Ordenes_Odoo'!J2377="","",'Ordenes_Odoo'!J2377)</f>
        <v/>
      </c>
      <c r="K2377" s="81">
        <f>IF('Ordenes_Odoo'!K2377="","",'Ordenes_Odoo'!K2377)</f>
        <v/>
      </c>
      <c r="L2377" s="81">
        <f>IF('Ordenes_Odoo'!L2377="","",'Ordenes_Odoo'!L2377)</f>
        <v/>
      </c>
      <c r="M2377" s="79">
        <f>IF('Ordenes_Odoo'!M2377="","",'Ordenes_Odoo'!M2377)</f>
        <v/>
      </c>
      <c r="N2377" s="79">
        <f>IF('Ordenes_Odoo'!N2377="","",'Ordenes_Odoo'!N2377)</f>
        <v/>
      </c>
      <c r="O2377" s="81">
        <f>IF('Ordenes_Odoo'!O2377="","",'Ordenes_Odoo'!O2377)</f>
        <v/>
      </c>
      <c r="P2377" s="81">
        <f>IF('Ordenes_Odoo'!P2377="","",'Ordenes_Odoo'!P2377)</f>
        <v/>
      </c>
      <c r="Q2377" s="79">
        <f>IF(A2377="","",IFERROR(INDEX(Facturas_Odoo!$B:$B, MATCH(A2377, Facturas_Odoo!$D:$D, 0)), "Sin Factura"))</f>
        <v/>
      </c>
      <c r="R2377" s="80">
        <f>IF(Q2377="Sin Factura","",IFERROR(INDEX(Facturas_Odoo!$A:$A, MATCH(Q2377, Facturas_Odoo!$B:$B, 0)), ""))</f>
        <v/>
      </c>
      <c r="S2377" s="79">
        <f>IF(Q2377="Sin Factura","",IFERROR(_xlfn.XLOOKUP(1, (Facturas_Odoo!$D:$D=A2377) * (Facturas_Odoo!$K:$K=I2377), Facturas_Odoo!$L:$L, ""), ""))</f>
        <v/>
      </c>
      <c r="T2377" s="81">
        <f>IF(Q2377="Sin Factura",0,IFERROR(_xlfn.XLOOKUP(1, (Facturas_Odoo!$D:$D=A2377) * (Facturas_Odoo!$K:$K=I2377), Facturas_Odoo!$M:$M, 0), 0))</f>
        <v/>
      </c>
      <c r="U2377" s="79">
        <f>IF(Q2377="Sin Factura",0,IFERROR(_xlfn.XLOOKUP(1, (Facturas_Odoo!$D:$D=A2377) * (Facturas_Odoo!$K:$K=I2377), Facturas_Odoo!$N:$N, 0), 0))</f>
        <v/>
      </c>
      <c r="V2377" s="79">
        <f>IF(Q2377="Sin Factura",0,IFERROR(_xlfn.XLOOKUP(1, (Facturas_Odoo!$D:$D=A2377) * (Facturas_Odoo!$K:$K=I2377), Facturas_Odoo!$O:$O, 0), 0))</f>
        <v/>
      </c>
      <c r="W2377" s="81">
        <f>IF(Q2377="Sin Factura",0,IFERROR(_xlfn.XLOOKUP(1, (Facturas_Odoo!$D:$D=A2377) * (Facturas_Odoo!$K:$K=I2377), Facturas_Odoo!$Q:$Q, 0), 0))</f>
        <v/>
      </c>
      <c r="X2377" s="79">
        <f>IF(OR(Q2377="Sin Factura",Q2377=""),"",IFERROR(INDEX(Pagos_Odoo!$B:$B, MATCH(Q2377, Pagos_Odoo!$I:$I, 0)), "Sin Pago"))</f>
        <v/>
      </c>
      <c r="Y2377" s="79">
        <f>IF(X2377="Sin Pago","",IFERROR(INDEX(Pagos_Odoo!$C:$C, MATCH(X2377, Pagos_Odoo!$B:$B, 0)), ""))</f>
        <v/>
      </c>
      <c r="Z2377" s="80">
        <f>IF(X2377="Sin Pago","",IFERROR(INDEX(Pagos_Odoo!$A:$A, MATCH(X2377, Pagos_Odoo!$B:$B, 0)), ""))</f>
        <v/>
      </c>
      <c r="AA2377" s="79">
        <f>IF(X2377="Sin Pago","",IFERROR(INDEX(Pagos_Odoo!$F:$F, MATCH(X2377, Pagos_Odoo!$B:$B, 0)), ""))</f>
        <v/>
      </c>
      <c r="AB2377" s="81">
        <f>IF(X2377="Sin Pago",0,IFERROR(INDEX(Pagos_Odoo!$E:$E, MATCH(X2377, Pagos_Odoo!$B:$B, 0)), 0))</f>
        <v/>
      </c>
      <c r="AC2377" s="79">
        <f>IF(X2377="Sin Pago","",IFERROR(INDEX(Pagos_Odoo!$G:$G, MATCH(X2377, Pagos_Odoo!$B:$B, 0)), ""))</f>
        <v/>
      </c>
      <c r="AD2377" s="82" t="n">
        <v>0</v>
      </c>
      <c r="AE2377" s="82" t="n"/>
      <c r="AF2377" s="82" t="n"/>
      <c r="AG2377" s="82">
        <f>IF(AN2377="","",AD2377+AE2377+AF2377)</f>
        <v/>
      </c>
      <c r="AH2377" s="81">
        <f>IF(AN2377="","",P2377*(1-AG2377))</f>
        <v/>
      </c>
      <c r="AI2377" s="81">
        <f>IF(AN2377="","",IF(Q2377="Sin Factura",0,IFERROR(INDEX(Facturas_Odoo!$H:$H, MATCH(Q2377, Facturas_Odoo!$B:$B, 0)), 0)*(1-AG2377)))</f>
        <v/>
      </c>
      <c r="AJ2377" s="81">
        <f>IF(AN2377="","",_xlfn.LET(idVenta, AN2377&amp;"",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77" s="81">
        <f>IF(AN2377="","",AH2377-AJ2377)</f>
        <v/>
      </c>
      <c r="AL2377" s="81">
        <f>IF(AN2377="","",IF(Q2377="Sin Factura","",AI2377-AJ2377))</f>
        <v/>
      </c>
      <c r="AM2377" s="81">
        <f>IF(AN2377="","",IF(Q2377="Sin Factura",0,P2377-IFERROR(INDEX(Facturas_Odoo!$H:$H, MATCH(Q2377, Facturas_Odoo!$B:$B, 0)), 0)))</f>
        <v/>
      </c>
      <c r="AN2377" s="79">
        <f>IF(AND(A2377="", J2377=""), "", IF(A2377&lt;&gt;"", VALUE(MID(A2377,2,LEN(A2377))), AN2376))</f>
        <v/>
      </c>
      <c r="AO2377" s="79">
        <f>IF(AN2377="","",IF(AD2377=0,"OK",_xlfn.LET(monedaPago, IF(AA2377="","USD",AA2377), limitePermitido, IFERROR(VLOOKUP(monedaPago, Configuración!$A$2:$B$3, 2, FALSE), 0.15), IF(AD2377&gt;limitePermitido, "ALERTA: EXCESO (" &amp; TEXT(limitePermitido, "0%") &amp; " máx)", "OK"))))</f>
        <v/>
      </c>
      <c r="AP2377" s="79">
        <f>IF(AN2377="","",IF(AE2377=0,"OK",_xlfn.LET(fechaPago, Z2377, fechaFactura, R2377, diasCredito, IF(E2377="Pago inmediato", 0, IFERROR(VALUE(MID(E2377, 1, SEARCH(" ", E2377)-1)),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77" s="79">
        <f>IF(AN2377="","",IF(AND(N2377&gt;0, AG2377&gt;0), IF(Configuración!$K$2="NO", "ALERTA: DESCUENTO DOBLE NO PERMITIDO", "OK"), "OK"))</f>
        <v/>
      </c>
      <c r="AR2377" s="79">
        <f>IF(AN2377="","",IF(OR(AO2377&lt;&gt;"OK", AP2377&lt;&gt;"OK", AQ2377&lt;&gt;"OK"), "⚠️ REVISAR", "OK"))</f>
        <v/>
      </c>
    </row>
    <row r="2378">
      <c r="A2378" s="79">
        <f>IF('Ordenes_Odoo'!A2378="","",'Ordenes_Odoo'!A2378)</f>
        <v/>
      </c>
      <c r="B2378" s="80">
        <f>IF('Ordenes_Odoo'!B2378="","",'Ordenes_Odoo'!B2378)</f>
        <v/>
      </c>
      <c r="C2378" s="79">
        <f>IF('Ordenes_Odoo'!C2378="","",'Ordenes_Odoo'!C2378)</f>
        <v/>
      </c>
      <c r="D2378" s="79">
        <f>IF('Ordenes_Odoo'!D2378="","",'Ordenes_Odoo'!D2378)</f>
        <v/>
      </c>
      <c r="E2378" s="79">
        <f>IF('Ordenes_Odoo'!E2378="","",'Ordenes_Odoo'!E2378)</f>
        <v/>
      </c>
      <c r="F2378" s="79">
        <f>IF('Ordenes_Odoo'!F2378="","",'Ordenes_Odoo'!F2378)</f>
        <v/>
      </c>
      <c r="G2378" s="79">
        <f>IF('Ordenes_Odoo'!G2378="","",'Ordenes_Odoo'!G2378)</f>
        <v/>
      </c>
      <c r="H2378" s="79">
        <f>IF('Ordenes_Odoo'!H2378="","",'Ordenes_Odoo'!H2378)</f>
        <v/>
      </c>
      <c r="I2378" s="79">
        <f>IF('Ordenes_Odoo'!I2378="","",'Ordenes_Odoo'!I2378)</f>
        <v/>
      </c>
      <c r="J2378" s="79">
        <f>IF('Ordenes_Odoo'!J2378="","",'Ordenes_Odoo'!J2378)</f>
        <v/>
      </c>
      <c r="K2378" s="81">
        <f>IF('Ordenes_Odoo'!K2378="","",'Ordenes_Odoo'!K2378)</f>
        <v/>
      </c>
      <c r="L2378" s="81">
        <f>IF('Ordenes_Odoo'!L2378="","",'Ordenes_Odoo'!L2378)</f>
        <v/>
      </c>
      <c r="M2378" s="79">
        <f>IF('Ordenes_Odoo'!M2378="","",'Ordenes_Odoo'!M2378)</f>
        <v/>
      </c>
      <c r="N2378" s="79">
        <f>IF('Ordenes_Odoo'!N2378="","",'Ordenes_Odoo'!N2378)</f>
        <v/>
      </c>
      <c r="O2378" s="81">
        <f>IF('Ordenes_Odoo'!O2378="","",'Ordenes_Odoo'!O2378)</f>
        <v/>
      </c>
      <c r="P2378" s="81">
        <f>IF('Ordenes_Odoo'!P2378="","",'Ordenes_Odoo'!P2378)</f>
        <v/>
      </c>
      <c r="Q2378" s="79">
        <f>IF(A2378="","",IFERROR(INDEX(Facturas_Odoo!$B:$B, MATCH(A2378, Facturas_Odoo!$D:$D, 0)), "Sin Factura"))</f>
        <v/>
      </c>
      <c r="R2378" s="80">
        <f>IF(Q2378="Sin Factura","",IFERROR(INDEX(Facturas_Odoo!$A:$A, MATCH(Q2378, Facturas_Odoo!$B:$B, 0)), ""))</f>
        <v/>
      </c>
      <c r="S2378" s="79">
        <f>IF(Q2378="Sin Factura","",IFERROR(_xlfn.XLOOKUP(1, (Facturas_Odoo!$D:$D=A2378) * (Facturas_Odoo!$K:$K=I2378), Facturas_Odoo!$L:$L, ""), ""))</f>
        <v/>
      </c>
      <c r="T2378" s="81">
        <f>IF(Q2378="Sin Factura",0,IFERROR(_xlfn.XLOOKUP(1, (Facturas_Odoo!$D:$D=A2378) * (Facturas_Odoo!$K:$K=I2378), Facturas_Odoo!$M:$M, 0), 0))</f>
        <v/>
      </c>
      <c r="U2378" s="79">
        <f>IF(Q2378="Sin Factura",0,IFERROR(_xlfn.XLOOKUP(1, (Facturas_Odoo!$D:$D=A2378) * (Facturas_Odoo!$K:$K=I2378), Facturas_Odoo!$N:$N, 0), 0))</f>
        <v/>
      </c>
      <c r="V2378" s="79">
        <f>IF(Q2378="Sin Factura",0,IFERROR(_xlfn.XLOOKUP(1, (Facturas_Odoo!$D:$D=A2378) * (Facturas_Odoo!$K:$K=I2378), Facturas_Odoo!$O:$O, 0), 0))</f>
        <v/>
      </c>
      <c r="W2378" s="81">
        <f>IF(Q2378="Sin Factura",0,IFERROR(_xlfn.XLOOKUP(1, (Facturas_Odoo!$D:$D=A2378) * (Facturas_Odoo!$K:$K=I2378), Facturas_Odoo!$Q:$Q, 0), 0))</f>
        <v/>
      </c>
      <c r="X2378" s="79">
        <f>IF(OR(Q2378="Sin Factura",Q2378=""),"",IFERROR(INDEX(Pagos_Odoo!$B:$B, MATCH(Q2378, Pagos_Odoo!$I:$I, 0)), "Sin Pago"))</f>
        <v/>
      </c>
      <c r="Y2378" s="79">
        <f>IF(X2378="Sin Pago","",IFERROR(INDEX(Pagos_Odoo!$C:$C, MATCH(X2378, Pagos_Odoo!$B:$B, 0)), ""))</f>
        <v/>
      </c>
      <c r="Z2378" s="80">
        <f>IF(X2378="Sin Pago","",IFERROR(INDEX(Pagos_Odoo!$A:$A, MATCH(X2378, Pagos_Odoo!$B:$B, 0)), ""))</f>
        <v/>
      </c>
      <c r="AA2378" s="79">
        <f>IF(X2378="Sin Pago","",IFERROR(INDEX(Pagos_Odoo!$F:$F, MATCH(X2378, Pagos_Odoo!$B:$B, 0)), ""))</f>
        <v/>
      </c>
      <c r="AB2378" s="81">
        <f>IF(X2378="Sin Pago",0,IFERROR(INDEX(Pagos_Odoo!$E:$E, MATCH(X2378, Pagos_Odoo!$B:$B, 0)), 0))</f>
        <v/>
      </c>
      <c r="AC2378" s="79">
        <f>IF(X2378="Sin Pago","",IFERROR(INDEX(Pagos_Odoo!$G:$G, MATCH(X2378, Pagos_Odoo!$B:$B, 0)), ""))</f>
        <v/>
      </c>
      <c r="AD2378" s="82" t="n">
        <v>0</v>
      </c>
      <c r="AE2378" s="82" t="n"/>
      <c r="AF2378" s="82" t="n"/>
      <c r="AG2378" s="82">
        <f>IF(AN2378="","",AD2378+AE2378+AF2378)</f>
        <v/>
      </c>
      <c r="AH2378" s="81">
        <f>IF(AN2378="","",P2378*(1-AG2378))</f>
        <v/>
      </c>
      <c r="AI2378" s="81">
        <f>IF(AN2378="","",IF(Q2378="Sin Factura",0,IFERROR(INDEX(Facturas_Odoo!$H:$H, MATCH(Q2378, Facturas_Odoo!$B:$B, 0)), 0)*(1-AG2378)))</f>
        <v/>
      </c>
      <c r="AJ2378" s="81">
        <f>IF(AN2378="","",_xlfn.LET(idVenta, AN2378&amp;"",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78" s="81">
        <f>IF(AN2378="","",AH2378-AJ2378)</f>
        <v/>
      </c>
      <c r="AL2378" s="81">
        <f>IF(AN2378="","",IF(Q2378="Sin Factura","",AI2378-AJ2378))</f>
        <v/>
      </c>
      <c r="AM2378" s="81">
        <f>IF(AN2378="","",IF(Q2378="Sin Factura",0,P2378-IFERROR(INDEX(Facturas_Odoo!$H:$H, MATCH(Q2378, Facturas_Odoo!$B:$B, 0)), 0)))</f>
        <v/>
      </c>
      <c r="AN2378" s="79">
        <f>IF(AND(A2378="", J2378=""), "", IF(A2378&lt;&gt;"", VALUE(MID(A2378,2,LEN(A2378))), AN2377))</f>
        <v/>
      </c>
      <c r="AO2378" s="79">
        <f>IF(AN2378="","",IF(AD2378=0,"OK",_xlfn.LET(monedaPago, IF(AA2378="","USD",AA2378), limitePermitido, IFERROR(VLOOKUP(monedaPago, Configuración!$A$2:$B$3, 2, FALSE), 0.15), IF(AD2378&gt;limitePermitido, "ALERTA: EXCESO (" &amp; TEXT(limitePermitido, "0%") &amp; " máx)", "OK"))))</f>
        <v/>
      </c>
      <c r="AP2378" s="79">
        <f>IF(AN2378="","",IF(AE2378=0,"OK",_xlfn.LET(fechaPago, Z2378, fechaFactura, R2378, diasCredito, IF(E2378="Pago inmediato", 0, IFERROR(VALUE(MID(E2378, 1, SEARCH(" ", E2378)-1)),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78" s="79">
        <f>IF(AN2378="","",IF(AND(N2378&gt;0, AG2378&gt;0), IF(Configuración!$K$2="NO", "ALERTA: DESCUENTO DOBLE NO PERMITIDO", "OK"), "OK"))</f>
        <v/>
      </c>
      <c r="AR2378" s="79">
        <f>IF(AN2378="","",IF(OR(AO2378&lt;&gt;"OK", AP2378&lt;&gt;"OK", AQ2378&lt;&gt;"OK"), "⚠️ REVISAR", "OK"))</f>
        <v/>
      </c>
    </row>
    <row r="2379">
      <c r="A2379" s="79">
        <f>IF('Ordenes_Odoo'!A2379="","",'Ordenes_Odoo'!A2379)</f>
        <v/>
      </c>
      <c r="B2379" s="80">
        <f>IF('Ordenes_Odoo'!B2379="","",'Ordenes_Odoo'!B2379)</f>
        <v/>
      </c>
      <c r="C2379" s="79">
        <f>IF('Ordenes_Odoo'!C2379="","",'Ordenes_Odoo'!C2379)</f>
        <v/>
      </c>
      <c r="D2379" s="79">
        <f>IF('Ordenes_Odoo'!D2379="","",'Ordenes_Odoo'!D2379)</f>
        <v/>
      </c>
      <c r="E2379" s="79">
        <f>IF('Ordenes_Odoo'!E2379="","",'Ordenes_Odoo'!E2379)</f>
        <v/>
      </c>
      <c r="F2379" s="79">
        <f>IF('Ordenes_Odoo'!F2379="","",'Ordenes_Odoo'!F2379)</f>
        <v/>
      </c>
      <c r="G2379" s="79">
        <f>IF('Ordenes_Odoo'!G2379="","",'Ordenes_Odoo'!G2379)</f>
        <v/>
      </c>
      <c r="H2379" s="79">
        <f>IF('Ordenes_Odoo'!H2379="","",'Ordenes_Odoo'!H2379)</f>
        <v/>
      </c>
      <c r="I2379" s="79">
        <f>IF('Ordenes_Odoo'!I2379="","",'Ordenes_Odoo'!I2379)</f>
        <v/>
      </c>
      <c r="J2379" s="79">
        <f>IF('Ordenes_Odoo'!J2379="","",'Ordenes_Odoo'!J2379)</f>
        <v/>
      </c>
      <c r="K2379" s="81">
        <f>IF('Ordenes_Odoo'!K2379="","",'Ordenes_Odoo'!K2379)</f>
        <v/>
      </c>
      <c r="L2379" s="81">
        <f>IF('Ordenes_Odoo'!L2379="","",'Ordenes_Odoo'!L2379)</f>
        <v/>
      </c>
      <c r="M2379" s="79">
        <f>IF('Ordenes_Odoo'!M2379="","",'Ordenes_Odoo'!M2379)</f>
        <v/>
      </c>
      <c r="N2379" s="79">
        <f>IF('Ordenes_Odoo'!N2379="","",'Ordenes_Odoo'!N2379)</f>
        <v/>
      </c>
      <c r="O2379" s="81">
        <f>IF('Ordenes_Odoo'!O2379="","",'Ordenes_Odoo'!O2379)</f>
        <v/>
      </c>
      <c r="P2379" s="81">
        <f>IF('Ordenes_Odoo'!P2379="","",'Ordenes_Odoo'!P2379)</f>
        <v/>
      </c>
      <c r="Q2379" s="79">
        <f>IF(A2379="","",IFERROR(INDEX(Facturas_Odoo!$B:$B, MATCH(A2379, Facturas_Odoo!$D:$D, 0)), "Sin Factura"))</f>
        <v/>
      </c>
      <c r="R2379" s="80">
        <f>IF(Q2379="Sin Factura","",IFERROR(INDEX(Facturas_Odoo!$A:$A, MATCH(Q2379, Facturas_Odoo!$B:$B, 0)), ""))</f>
        <v/>
      </c>
      <c r="S2379" s="79">
        <f>IF(Q2379="Sin Factura","",IFERROR(_xlfn.XLOOKUP(1, (Facturas_Odoo!$D:$D=A2379) * (Facturas_Odoo!$K:$K=I2379), Facturas_Odoo!$L:$L, ""), ""))</f>
        <v/>
      </c>
      <c r="T2379" s="81">
        <f>IF(Q2379="Sin Factura",0,IFERROR(_xlfn.XLOOKUP(1, (Facturas_Odoo!$D:$D=A2379) * (Facturas_Odoo!$K:$K=I2379), Facturas_Odoo!$M:$M, 0), 0))</f>
        <v/>
      </c>
      <c r="U2379" s="79">
        <f>IF(Q2379="Sin Factura",0,IFERROR(_xlfn.XLOOKUP(1, (Facturas_Odoo!$D:$D=A2379) * (Facturas_Odoo!$K:$K=I2379), Facturas_Odoo!$N:$N, 0), 0))</f>
        <v/>
      </c>
      <c r="V2379" s="79">
        <f>IF(Q2379="Sin Factura",0,IFERROR(_xlfn.XLOOKUP(1, (Facturas_Odoo!$D:$D=A2379) * (Facturas_Odoo!$K:$K=I2379), Facturas_Odoo!$O:$O, 0), 0))</f>
        <v/>
      </c>
      <c r="W2379" s="81">
        <f>IF(Q2379="Sin Factura",0,IFERROR(_xlfn.XLOOKUP(1, (Facturas_Odoo!$D:$D=A2379) * (Facturas_Odoo!$K:$K=I2379), Facturas_Odoo!$Q:$Q, 0), 0))</f>
        <v/>
      </c>
      <c r="X2379" s="79">
        <f>IF(OR(Q2379="Sin Factura",Q2379=""),"",IFERROR(INDEX(Pagos_Odoo!$B:$B, MATCH(Q2379, Pagos_Odoo!$I:$I, 0)), "Sin Pago"))</f>
        <v/>
      </c>
      <c r="Y2379" s="79">
        <f>IF(X2379="Sin Pago","",IFERROR(INDEX(Pagos_Odoo!$C:$C, MATCH(X2379, Pagos_Odoo!$B:$B, 0)), ""))</f>
        <v/>
      </c>
      <c r="Z2379" s="80">
        <f>IF(X2379="Sin Pago","",IFERROR(INDEX(Pagos_Odoo!$A:$A, MATCH(X2379, Pagos_Odoo!$B:$B, 0)), ""))</f>
        <v/>
      </c>
      <c r="AA2379" s="79">
        <f>IF(X2379="Sin Pago","",IFERROR(INDEX(Pagos_Odoo!$F:$F, MATCH(X2379, Pagos_Odoo!$B:$B, 0)), ""))</f>
        <v/>
      </c>
      <c r="AB2379" s="81">
        <f>IF(X2379="Sin Pago",0,IFERROR(INDEX(Pagos_Odoo!$E:$E, MATCH(X2379, Pagos_Odoo!$B:$B, 0)), 0))</f>
        <v/>
      </c>
      <c r="AC2379" s="79">
        <f>IF(X2379="Sin Pago","",IFERROR(INDEX(Pagos_Odoo!$G:$G, MATCH(X2379, Pagos_Odoo!$B:$B, 0)), ""))</f>
        <v/>
      </c>
      <c r="AD2379" s="82" t="n">
        <v>0</v>
      </c>
      <c r="AE2379" s="82" t="n"/>
      <c r="AF2379" s="82" t="n"/>
      <c r="AG2379" s="82">
        <f>IF(AN2379="","",AD2379+AE2379+AF2379)</f>
        <v/>
      </c>
      <c r="AH2379" s="81">
        <f>IF(AN2379="","",P2379*(1-AG2379))</f>
        <v/>
      </c>
      <c r="AI2379" s="81">
        <f>IF(AN2379="","",IF(Q2379="Sin Factura",0,IFERROR(INDEX(Facturas_Odoo!$H:$H, MATCH(Q2379, Facturas_Odoo!$B:$B, 0)), 0)*(1-AG2379)))</f>
        <v/>
      </c>
      <c r="AJ2379" s="81">
        <f>IF(AN2379="","",_xlfn.LET(idVenta, AN2379&amp;"",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79" s="81">
        <f>IF(AN2379="","",AH2379-AJ2379)</f>
        <v/>
      </c>
      <c r="AL2379" s="81">
        <f>IF(AN2379="","",IF(Q2379="Sin Factura","",AI2379-AJ2379))</f>
        <v/>
      </c>
      <c r="AM2379" s="81">
        <f>IF(AN2379="","",IF(Q2379="Sin Factura",0,P2379-IFERROR(INDEX(Facturas_Odoo!$H:$H, MATCH(Q2379, Facturas_Odoo!$B:$B, 0)), 0)))</f>
        <v/>
      </c>
      <c r="AN2379" s="79">
        <f>IF(AND(A2379="", J2379=""), "", IF(A2379&lt;&gt;"", VALUE(MID(A2379,2,LEN(A2379))), AN2378))</f>
        <v/>
      </c>
      <c r="AO2379" s="79">
        <f>IF(AN2379="","",IF(AD2379=0,"OK",_xlfn.LET(monedaPago, IF(AA2379="","USD",AA2379), limitePermitido, IFERROR(VLOOKUP(monedaPago, Configuración!$A$2:$B$3, 2, FALSE), 0.15), IF(AD2379&gt;limitePermitido, "ALERTA: EXCESO (" &amp; TEXT(limitePermitido, "0%") &amp; " máx)", "OK"))))</f>
        <v/>
      </c>
      <c r="AP2379" s="79">
        <f>IF(AN2379="","",IF(AE2379=0,"OK",_xlfn.LET(fechaPago, Z2379, fechaFactura, R2379, diasCredito, IF(E2379="Pago inmediato", 0, IFERROR(VALUE(MID(E2379, 1, SEARCH(" ", E2379)-1)),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79" s="79">
        <f>IF(AN2379="","",IF(AND(N2379&gt;0, AG2379&gt;0), IF(Configuración!$K$2="NO", "ALERTA: DESCUENTO DOBLE NO PERMITIDO", "OK"), "OK"))</f>
        <v/>
      </c>
      <c r="AR2379" s="79">
        <f>IF(AN2379="","",IF(OR(AO2379&lt;&gt;"OK", AP2379&lt;&gt;"OK", AQ2379&lt;&gt;"OK"), "⚠️ REVISAR", "OK"))</f>
        <v/>
      </c>
    </row>
    <row r="2380">
      <c r="A2380" s="79">
        <f>IF('Ordenes_Odoo'!A2380="","",'Ordenes_Odoo'!A2380)</f>
        <v/>
      </c>
      <c r="B2380" s="80">
        <f>IF('Ordenes_Odoo'!B2380="","",'Ordenes_Odoo'!B2380)</f>
        <v/>
      </c>
      <c r="C2380" s="79">
        <f>IF('Ordenes_Odoo'!C2380="","",'Ordenes_Odoo'!C2380)</f>
        <v/>
      </c>
      <c r="D2380" s="79">
        <f>IF('Ordenes_Odoo'!D2380="","",'Ordenes_Odoo'!D2380)</f>
        <v/>
      </c>
      <c r="E2380" s="79">
        <f>IF('Ordenes_Odoo'!E2380="","",'Ordenes_Odoo'!E2380)</f>
        <v/>
      </c>
      <c r="F2380" s="79">
        <f>IF('Ordenes_Odoo'!F2380="","",'Ordenes_Odoo'!F2380)</f>
        <v/>
      </c>
      <c r="G2380" s="79">
        <f>IF('Ordenes_Odoo'!G2380="","",'Ordenes_Odoo'!G2380)</f>
        <v/>
      </c>
      <c r="H2380" s="79">
        <f>IF('Ordenes_Odoo'!H2380="","",'Ordenes_Odoo'!H2380)</f>
        <v/>
      </c>
      <c r="I2380" s="79">
        <f>IF('Ordenes_Odoo'!I2380="","",'Ordenes_Odoo'!I2380)</f>
        <v/>
      </c>
      <c r="J2380" s="79">
        <f>IF('Ordenes_Odoo'!J2380="","",'Ordenes_Odoo'!J2380)</f>
        <v/>
      </c>
      <c r="K2380" s="81">
        <f>IF('Ordenes_Odoo'!K2380="","",'Ordenes_Odoo'!K2380)</f>
        <v/>
      </c>
      <c r="L2380" s="81">
        <f>IF('Ordenes_Odoo'!L2380="","",'Ordenes_Odoo'!L2380)</f>
        <v/>
      </c>
      <c r="M2380" s="79">
        <f>IF('Ordenes_Odoo'!M2380="","",'Ordenes_Odoo'!M2380)</f>
        <v/>
      </c>
      <c r="N2380" s="79">
        <f>IF('Ordenes_Odoo'!N2380="","",'Ordenes_Odoo'!N2380)</f>
        <v/>
      </c>
      <c r="O2380" s="81">
        <f>IF('Ordenes_Odoo'!O2380="","",'Ordenes_Odoo'!O2380)</f>
        <v/>
      </c>
      <c r="P2380" s="81">
        <f>IF('Ordenes_Odoo'!P2380="","",'Ordenes_Odoo'!P2380)</f>
        <v/>
      </c>
      <c r="Q2380" s="79">
        <f>IF(A2380="","",IFERROR(INDEX(Facturas_Odoo!$B:$B, MATCH(A2380, Facturas_Odoo!$D:$D, 0)), "Sin Factura"))</f>
        <v/>
      </c>
      <c r="R2380" s="80">
        <f>IF(Q2380="Sin Factura","",IFERROR(INDEX(Facturas_Odoo!$A:$A, MATCH(Q2380, Facturas_Odoo!$B:$B, 0)), ""))</f>
        <v/>
      </c>
      <c r="S2380" s="79">
        <f>IF(Q2380="Sin Factura","",IFERROR(_xlfn.XLOOKUP(1, (Facturas_Odoo!$D:$D=A2380) * (Facturas_Odoo!$K:$K=I2380), Facturas_Odoo!$L:$L, ""), ""))</f>
        <v/>
      </c>
      <c r="T2380" s="81">
        <f>IF(Q2380="Sin Factura",0,IFERROR(_xlfn.XLOOKUP(1, (Facturas_Odoo!$D:$D=A2380) * (Facturas_Odoo!$K:$K=I2380), Facturas_Odoo!$M:$M, 0), 0))</f>
        <v/>
      </c>
      <c r="U2380" s="79">
        <f>IF(Q2380="Sin Factura",0,IFERROR(_xlfn.XLOOKUP(1, (Facturas_Odoo!$D:$D=A2380) * (Facturas_Odoo!$K:$K=I2380), Facturas_Odoo!$N:$N, 0), 0))</f>
        <v/>
      </c>
      <c r="V2380" s="79">
        <f>IF(Q2380="Sin Factura",0,IFERROR(_xlfn.XLOOKUP(1, (Facturas_Odoo!$D:$D=A2380) * (Facturas_Odoo!$K:$K=I2380), Facturas_Odoo!$O:$O, 0), 0))</f>
        <v/>
      </c>
      <c r="W2380" s="81">
        <f>IF(Q2380="Sin Factura",0,IFERROR(_xlfn.XLOOKUP(1, (Facturas_Odoo!$D:$D=A2380) * (Facturas_Odoo!$K:$K=I2380), Facturas_Odoo!$Q:$Q, 0), 0))</f>
        <v/>
      </c>
      <c r="X2380" s="79">
        <f>IF(OR(Q2380="Sin Factura",Q2380=""),"",IFERROR(INDEX(Pagos_Odoo!$B:$B, MATCH(Q2380, Pagos_Odoo!$I:$I, 0)), "Sin Pago"))</f>
        <v/>
      </c>
      <c r="Y2380" s="79">
        <f>IF(X2380="Sin Pago","",IFERROR(INDEX(Pagos_Odoo!$C:$C, MATCH(X2380, Pagos_Odoo!$B:$B, 0)), ""))</f>
        <v/>
      </c>
      <c r="Z2380" s="80">
        <f>IF(X2380="Sin Pago","",IFERROR(INDEX(Pagos_Odoo!$A:$A, MATCH(X2380, Pagos_Odoo!$B:$B, 0)), ""))</f>
        <v/>
      </c>
      <c r="AA2380" s="79">
        <f>IF(X2380="Sin Pago","",IFERROR(INDEX(Pagos_Odoo!$F:$F, MATCH(X2380, Pagos_Odoo!$B:$B, 0)), ""))</f>
        <v/>
      </c>
      <c r="AB2380" s="81">
        <f>IF(X2380="Sin Pago",0,IFERROR(INDEX(Pagos_Odoo!$E:$E, MATCH(X2380, Pagos_Odoo!$B:$B, 0)), 0))</f>
        <v/>
      </c>
      <c r="AC2380" s="79">
        <f>IF(X2380="Sin Pago","",IFERROR(INDEX(Pagos_Odoo!$G:$G, MATCH(X2380, Pagos_Odoo!$B:$B, 0)), ""))</f>
        <v/>
      </c>
      <c r="AD2380" s="82" t="n">
        <v>0</v>
      </c>
      <c r="AE2380" s="82" t="n"/>
      <c r="AF2380" s="82" t="n"/>
      <c r="AG2380" s="82">
        <f>IF(AN2380="","",AD2380+AE2380+AF2380)</f>
        <v/>
      </c>
      <c r="AH2380" s="81">
        <f>IF(AN2380="","",P2380*(1-AG2380))</f>
        <v/>
      </c>
      <c r="AI2380" s="81">
        <f>IF(AN2380="","",IF(Q2380="Sin Factura",0,IFERROR(INDEX(Facturas_Odoo!$H:$H, MATCH(Q2380, Facturas_Odoo!$B:$B, 0)), 0)*(1-AG2380)))</f>
        <v/>
      </c>
      <c r="AJ2380" s="81">
        <f>IF(AN2380="","",_xlfn.LET(idVenta, AN2380&amp;"",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80" s="81">
        <f>IF(AN2380="","",AH2380-AJ2380)</f>
        <v/>
      </c>
      <c r="AL2380" s="81">
        <f>IF(AN2380="","",IF(Q2380="Sin Factura","",AI2380-AJ2380))</f>
        <v/>
      </c>
      <c r="AM2380" s="81">
        <f>IF(AN2380="","",IF(Q2380="Sin Factura",0,P2380-IFERROR(INDEX(Facturas_Odoo!$H:$H, MATCH(Q2380, Facturas_Odoo!$B:$B, 0)), 0)))</f>
        <v/>
      </c>
      <c r="AN2380" s="79">
        <f>IF(AND(A2380="", J2380=""), "", IF(A2380&lt;&gt;"", VALUE(MID(A2380,2,LEN(A2380))), AN2379))</f>
        <v/>
      </c>
      <c r="AO2380" s="79">
        <f>IF(AN2380="","",IF(AD2380=0,"OK",_xlfn.LET(monedaPago, IF(AA2380="","USD",AA2380), limitePermitido, IFERROR(VLOOKUP(monedaPago, Configuración!$A$2:$B$3, 2, FALSE), 0.15), IF(AD2380&gt;limitePermitido, "ALERTA: EXCESO (" &amp; TEXT(limitePermitido, "0%") &amp; " máx)", "OK"))))</f>
        <v/>
      </c>
      <c r="AP2380" s="79">
        <f>IF(AN2380="","",IF(AE2380=0,"OK",_xlfn.LET(fechaPago, Z2380, fechaFactura, R2380, diasCredito, IF(E2380="Pago inmediato", 0, IFERROR(VALUE(MID(E2380, 1, SEARCH(" ", E2380)-1)),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80" s="79">
        <f>IF(AN2380="","",IF(AND(N2380&gt;0, AG2380&gt;0), IF(Configuración!$K$2="NO", "ALERTA: DESCUENTO DOBLE NO PERMITIDO", "OK"), "OK"))</f>
        <v/>
      </c>
      <c r="AR2380" s="79">
        <f>IF(AN2380="","",IF(OR(AO2380&lt;&gt;"OK", AP2380&lt;&gt;"OK", AQ2380&lt;&gt;"OK"), "⚠️ REVISAR", "OK"))</f>
        <v/>
      </c>
    </row>
    <row r="2381">
      <c r="A2381" s="79">
        <f>IF('Ordenes_Odoo'!A2381="","",'Ordenes_Odoo'!A2381)</f>
        <v/>
      </c>
      <c r="B2381" s="80">
        <f>IF('Ordenes_Odoo'!B2381="","",'Ordenes_Odoo'!B2381)</f>
        <v/>
      </c>
      <c r="C2381" s="79">
        <f>IF('Ordenes_Odoo'!C2381="","",'Ordenes_Odoo'!C2381)</f>
        <v/>
      </c>
      <c r="D2381" s="79">
        <f>IF('Ordenes_Odoo'!D2381="","",'Ordenes_Odoo'!D2381)</f>
        <v/>
      </c>
      <c r="E2381" s="79">
        <f>IF('Ordenes_Odoo'!E2381="","",'Ordenes_Odoo'!E2381)</f>
        <v/>
      </c>
      <c r="F2381" s="79">
        <f>IF('Ordenes_Odoo'!F2381="","",'Ordenes_Odoo'!F2381)</f>
        <v/>
      </c>
      <c r="G2381" s="79">
        <f>IF('Ordenes_Odoo'!G2381="","",'Ordenes_Odoo'!G2381)</f>
        <v/>
      </c>
      <c r="H2381" s="79">
        <f>IF('Ordenes_Odoo'!H2381="","",'Ordenes_Odoo'!H2381)</f>
        <v/>
      </c>
      <c r="I2381" s="79">
        <f>IF('Ordenes_Odoo'!I2381="","",'Ordenes_Odoo'!I2381)</f>
        <v/>
      </c>
      <c r="J2381" s="79">
        <f>IF('Ordenes_Odoo'!J2381="","",'Ordenes_Odoo'!J2381)</f>
        <v/>
      </c>
      <c r="K2381" s="81">
        <f>IF('Ordenes_Odoo'!K2381="","",'Ordenes_Odoo'!K2381)</f>
        <v/>
      </c>
      <c r="L2381" s="81">
        <f>IF('Ordenes_Odoo'!L2381="","",'Ordenes_Odoo'!L2381)</f>
        <v/>
      </c>
      <c r="M2381" s="79">
        <f>IF('Ordenes_Odoo'!M2381="","",'Ordenes_Odoo'!M2381)</f>
        <v/>
      </c>
      <c r="N2381" s="79">
        <f>IF('Ordenes_Odoo'!N2381="","",'Ordenes_Odoo'!N2381)</f>
        <v/>
      </c>
      <c r="O2381" s="81">
        <f>IF('Ordenes_Odoo'!O2381="","",'Ordenes_Odoo'!O2381)</f>
        <v/>
      </c>
      <c r="P2381" s="81">
        <f>IF('Ordenes_Odoo'!P2381="","",'Ordenes_Odoo'!P2381)</f>
        <v/>
      </c>
      <c r="Q2381" s="79">
        <f>IF(A2381="","",IFERROR(INDEX(Facturas_Odoo!$B:$B, MATCH(A2381, Facturas_Odoo!$D:$D, 0)), "Sin Factura"))</f>
        <v/>
      </c>
      <c r="R2381" s="80">
        <f>IF(Q2381="Sin Factura","",IFERROR(INDEX(Facturas_Odoo!$A:$A, MATCH(Q2381, Facturas_Odoo!$B:$B, 0)), ""))</f>
        <v/>
      </c>
      <c r="S2381" s="79">
        <f>IF(Q2381="Sin Factura","",IFERROR(_xlfn.XLOOKUP(1, (Facturas_Odoo!$D:$D=A2381) * (Facturas_Odoo!$K:$K=I2381), Facturas_Odoo!$L:$L, ""), ""))</f>
        <v/>
      </c>
      <c r="T2381" s="81">
        <f>IF(Q2381="Sin Factura",0,IFERROR(_xlfn.XLOOKUP(1, (Facturas_Odoo!$D:$D=A2381) * (Facturas_Odoo!$K:$K=I2381), Facturas_Odoo!$M:$M, 0), 0))</f>
        <v/>
      </c>
      <c r="U2381" s="79">
        <f>IF(Q2381="Sin Factura",0,IFERROR(_xlfn.XLOOKUP(1, (Facturas_Odoo!$D:$D=A2381) * (Facturas_Odoo!$K:$K=I2381), Facturas_Odoo!$N:$N, 0), 0))</f>
        <v/>
      </c>
      <c r="V2381" s="79">
        <f>IF(Q2381="Sin Factura",0,IFERROR(_xlfn.XLOOKUP(1, (Facturas_Odoo!$D:$D=A2381) * (Facturas_Odoo!$K:$K=I2381), Facturas_Odoo!$O:$O, 0), 0))</f>
        <v/>
      </c>
      <c r="W2381" s="81">
        <f>IF(Q2381="Sin Factura",0,IFERROR(_xlfn.XLOOKUP(1, (Facturas_Odoo!$D:$D=A2381) * (Facturas_Odoo!$K:$K=I2381), Facturas_Odoo!$Q:$Q, 0), 0))</f>
        <v/>
      </c>
      <c r="X2381" s="79">
        <f>IF(OR(Q2381="Sin Factura",Q2381=""),"",IFERROR(INDEX(Pagos_Odoo!$B:$B, MATCH(Q2381, Pagos_Odoo!$I:$I, 0)), "Sin Pago"))</f>
        <v/>
      </c>
      <c r="Y2381" s="79">
        <f>IF(X2381="Sin Pago","",IFERROR(INDEX(Pagos_Odoo!$C:$C, MATCH(X2381, Pagos_Odoo!$B:$B, 0)), ""))</f>
        <v/>
      </c>
      <c r="Z2381" s="80">
        <f>IF(X2381="Sin Pago","",IFERROR(INDEX(Pagos_Odoo!$A:$A, MATCH(X2381, Pagos_Odoo!$B:$B, 0)), ""))</f>
        <v/>
      </c>
      <c r="AA2381" s="79">
        <f>IF(X2381="Sin Pago","",IFERROR(INDEX(Pagos_Odoo!$F:$F, MATCH(X2381, Pagos_Odoo!$B:$B, 0)), ""))</f>
        <v/>
      </c>
      <c r="AB2381" s="81">
        <f>IF(X2381="Sin Pago",0,IFERROR(INDEX(Pagos_Odoo!$E:$E, MATCH(X2381, Pagos_Odoo!$B:$B, 0)), 0))</f>
        <v/>
      </c>
      <c r="AC2381" s="79">
        <f>IF(X2381="Sin Pago","",IFERROR(INDEX(Pagos_Odoo!$G:$G, MATCH(X2381, Pagos_Odoo!$B:$B, 0)), ""))</f>
        <v/>
      </c>
      <c r="AD2381" s="82" t="n">
        <v>0</v>
      </c>
      <c r="AE2381" s="82" t="n"/>
      <c r="AF2381" s="82" t="n"/>
      <c r="AG2381" s="82">
        <f>IF(AN2381="","",AD2381+AE2381+AF2381)</f>
        <v/>
      </c>
      <c r="AH2381" s="81">
        <f>IF(AN2381="","",P2381*(1-AG2381))</f>
        <v/>
      </c>
      <c r="AI2381" s="81">
        <f>IF(AN2381="","",IF(Q2381="Sin Factura",0,IFERROR(INDEX(Facturas_Odoo!$H:$H, MATCH(Q2381, Facturas_Odoo!$B:$B, 0)), 0)*(1-AG2381)))</f>
        <v/>
      </c>
      <c r="AJ2381" s="81">
        <f>IF(AN2381="","",_xlfn.LET(idVenta, AN2381&amp;"",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81" s="81">
        <f>IF(AN2381="","",AH2381-AJ2381)</f>
        <v/>
      </c>
      <c r="AL2381" s="81">
        <f>IF(AN2381="","",IF(Q2381="Sin Factura","",AI2381-AJ2381))</f>
        <v/>
      </c>
      <c r="AM2381" s="81">
        <f>IF(AN2381="","",IF(Q2381="Sin Factura",0,P2381-IFERROR(INDEX(Facturas_Odoo!$H:$H, MATCH(Q2381, Facturas_Odoo!$B:$B, 0)), 0)))</f>
        <v/>
      </c>
      <c r="AN2381" s="79">
        <f>IF(AND(A2381="", J2381=""), "", IF(A2381&lt;&gt;"", VALUE(MID(A2381,2,LEN(A2381))), AN2380))</f>
        <v/>
      </c>
      <c r="AO2381" s="79">
        <f>IF(AN2381="","",IF(AD2381=0,"OK",_xlfn.LET(monedaPago, IF(AA2381="","USD",AA2381), limitePermitido, IFERROR(VLOOKUP(monedaPago, Configuración!$A$2:$B$3, 2, FALSE), 0.15), IF(AD2381&gt;limitePermitido, "ALERTA: EXCESO (" &amp; TEXT(limitePermitido, "0%") &amp; " máx)", "OK"))))</f>
        <v/>
      </c>
      <c r="AP2381" s="79">
        <f>IF(AN2381="","",IF(AE2381=0,"OK",_xlfn.LET(fechaPago, Z2381, fechaFactura, R2381, diasCredito, IF(E2381="Pago inmediato", 0, IFERROR(VALUE(MID(E2381, 1, SEARCH(" ", E2381)-1)),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81" s="79">
        <f>IF(AN2381="","",IF(AND(N2381&gt;0, AG2381&gt;0), IF(Configuración!$K$2="NO", "ALERTA: DESCUENTO DOBLE NO PERMITIDO", "OK"), "OK"))</f>
        <v/>
      </c>
      <c r="AR2381" s="79">
        <f>IF(AN2381="","",IF(OR(AO2381&lt;&gt;"OK", AP2381&lt;&gt;"OK", AQ2381&lt;&gt;"OK"), "⚠️ REVISAR", "OK"))</f>
        <v/>
      </c>
    </row>
    <row r="2382">
      <c r="A2382" s="79">
        <f>IF('Ordenes_Odoo'!A2382="","",'Ordenes_Odoo'!A2382)</f>
        <v/>
      </c>
      <c r="B2382" s="80">
        <f>IF('Ordenes_Odoo'!B2382="","",'Ordenes_Odoo'!B2382)</f>
        <v/>
      </c>
      <c r="C2382" s="79">
        <f>IF('Ordenes_Odoo'!C2382="","",'Ordenes_Odoo'!C2382)</f>
        <v/>
      </c>
      <c r="D2382" s="79">
        <f>IF('Ordenes_Odoo'!D2382="","",'Ordenes_Odoo'!D2382)</f>
        <v/>
      </c>
      <c r="E2382" s="79">
        <f>IF('Ordenes_Odoo'!E2382="","",'Ordenes_Odoo'!E2382)</f>
        <v/>
      </c>
      <c r="F2382" s="79">
        <f>IF('Ordenes_Odoo'!F2382="","",'Ordenes_Odoo'!F2382)</f>
        <v/>
      </c>
      <c r="G2382" s="79">
        <f>IF('Ordenes_Odoo'!G2382="","",'Ordenes_Odoo'!G2382)</f>
        <v/>
      </c>
      <c r="H2382" s="79">
        <f>IF('Ordenes_Odoo'!H2382="","",'Ordenes_Odoo'!H2382)</f>
        <v/>
      </c>
      <c r="I2382" s="79">
        <f>IF('Ordenes_Odoo'!I2382="","",'Ordenes_Odoo'!I2382)</f>
        <v/>
      </c>
      <c r="J2382" s="79">
        <f>IF('Ordenes_Odoo'!J2382="","",'Ordenes_Odoo'!J2382)</f>
        <v/>
      </c>
      <c r="K2382" s="81">
        <f>IF('Ordenes_Odoo'!K2382="","",'Ordenes_Odoo'!K2382)</f>
        <v/>
      </c>
      <c r="L2382" s="81">
        <f>IF('Ordenes_Odoo'!L2382="","",'Ordenes_Odoo'!L2382)</f>
        <v/>
      </c>
      <c r="M2382" s="79">
        <f>IF('Ordenes_Odoo'!M2382="","",'Ordenes_Odoo'!M2382)</f>
        <v/>
      </c>
      <c r="N2382" s="79">
        <f>IF('Ordenes_Odoo'!N2382="","",'Ordenes_Odoo'!N2382)</f>
        <v/>
      </c>
      <c r="O2382" s="81">
        <f>IF('Ordenes_Odoo'!O2382="","",'Ordenes_Odoo'!O2382)</f>
        <v/>
      </c>
      <c r="P2382" s="81">
        <f>IF('Ordenes_Odoo'!P2382="","",'Ordenes_Odoo'!P2382)</f>
        <v/>
      </c>
      <c r="Q2382" s="79">
        <f>IF(A2382="","",IFERROR(INDEX(Facturas_Odoo!$B:$B, MATCH(A2382, Facturas_Odoo!$D:$D, 0)), "Sin Factura"))</f>
        <v/>
      </c>
      <c r="R2382" s="80">
        <f>IF(Q2382="Sin Factura","",IFERROR(INDEX(Facturas_Odoo!$A:$A, MATCH(Q2382, Facturas_Odoo!$B:$B, 0)), ""))</f>
        <v/>
      </c>
      <c r="S2382" s="79">
        <f>IF(Q2382="Sin Factura","",IFERROR(_xlfn.XLOOKUP(1, (Facturas_Odoo!$D:$D=A2382) * (Facturas_Odoo!$K:$K=I2382), Facturas_Odoo!$L:$L, ""), ""))</f>
        <v/>
      </c>
      <c r="T2382" s="81">
        <f>IF(Q2382="Sin Factura",0,IFERROR(_xlfn.XLOOKUP(1, (Facturas_Odoo!$D:$D=A2382) * (Facturas_Odoo!$K:$K=I2382), Facturas_Odoo!$M:$M, 0), 0))</f>
        <v/>
      </c>
      <c r="U2382" s="79">
        <f>IF(Q2382="Sin Factura",0,IFERROR(_xlfn.XLOOKUP(1, (Facturas_Odoo!$D:$D=A2382) * (Facturas_Odoo!$K:$K=I2382), Facturas_Odoo!$N:$N, 0), 0))</f>
        <v/>
      </c>
      <c r="V2382" s="79">
        <f>IF(Q2382="Sin Factura",0,IFERROR(_xlfn.XLOOKUP(1, (Facturas_Odoo!$D:$D=A2382) * (Facturas_Odoo!$K:$K=I2382), Facturas_Odoo!$O:$O, 0), 0))</f>
        <v/>
      </c>
      <c r="W2382" s="81">
        <f>IF(Q2382="Sin Factura",0,IFERROR(_xlfn.XLOOKUP(1, (Facturas_Odoo!$D:$D=A2382) * (Facturas_Odoo!$K:$K=I2382), Facturas_Odoo!$Q:$Q, 0), 0))</f>
        <v/>
      </c>
      <c r="X2382" s="79">
        <f>IF(OR(Q2382="Sin Factura",Q2382=""),"",IFERROR(INDEX(Pagos_Odoo!$B:$B, MATCH(Q2382, Pagos_Odoo!$I:$I, 0)), "Sin Pago"))</f>
        <v/>
      </c>
      <c r="Y2382" s="79">
        <f>IF(X2382="Sin Pago","",IFERROR(INDEX(Pagos_Odoo!$C:$C, MATCH(X2382, Pagos_Odoo!$B:$B, 0)), ""))</f>
        <v/>
      </c>
      <c r="Z2382" s="80">
        <f>IF(X2382="Sin Pago","",IFERROR(INDEX(Pagos_Odoo!$A:$A, MATCH(X2382, Pagos_Odoo!$B:$B, 0)), ""))</f>
        <v/>
      </c>
      <c r="AA2382" s="79">
        <f>IF(X2382="Sin Pago","",IFERROR(INDEX(Pagos_Odoo!$F:$F, MATCH(X2382, Pagos_Odoo!$B:$B, 0)), ""))</f>
        <v/>
      </c>
      <c r="AB2382" s="81">
        <f>IF(X2382="Sin Pago",0,IFERROR(INDEX(Pagos_Odoo!$E:$E, MATCH(X2382, Pagos_Odoo!$B:$B, 0)), 0))</f>
        <v/>
      </c>
      <c r="AC2382" s="79">
        <f>IF(X2382="Sin Pago","",IFERROR(INDEX(Pagos_Odoo!$G:$G, MATCH(X2382, Pagos_Odoo!$B:$B, 0)), ""))</f>
        <v/>
      </c>
      <c r="AD2382" s="82" t="n">
        <v>0</v>
      </c>
      <c r="AE2382" s="82" t="n"/>
      <c r="AF2382" s="82" t="n"/>
      <c r="AG2382" s="82">
        <f>IF(AN2382="","",AD2382+AE2382+AF2382)</f>
        <v/>
      </c>
      <c r="AH2382" s="81">
        <f>IF(AN2382="","",P2382*(1-AG2382))</f>
        <v/>
      </c>
      <c r="AI2382" s="81">
        <f>IF(AN2382="","",IF(Q2382="Sin Factura",0,IFERROR(INDEX(Facturas_Odoo!$H:$H, MATCH(Q2382, Facturas_Odoo!$B:$B, 0)), 0)*(1-AG2382)))</f>
        <v/>
      </c>
      <c r="AJ2382" s="81">
        <f>IF(AN2382="","",_xlfn.LET(idVenta, AN2382&amp;"",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82" s="81">
        <f>IF(AN2382="","",AH2382-AJ2382)</f>
        <v/>
      </c>
      <c r="AL2382" s="81">
        <f>IF(AN2382="","",IF(Q2382="Sin Factura","",AI2382-AJ2382))</f>
        <v/>
      </c>
      <c r="AM2382" s="81">
        <f>IF(AN2382="","",IF(Q2382="Sin Factura",0,P2382-IFERROR(INDEX(Facturas_Odoo!$H:$H, MATCH(Q2382, Facturas_Odoo!$B:$B, 0)), 0)))</f>
        <v/>
      </c>
      <c r="AN2382" s="79">
        <f>IF(AND(A2382="", J2382=""), "", IF(A2382&lt;&gt;"", VALUE(MID(A2382,2,LEN(A2382))), AN2381))</f>
        <v/>
      </c>
      <c r="AO2382" s="79">
        <f>IF(AN2382="","",IF(AD2382=0,"OK",_xlfn.LET(monedaPago, IF(AA2382="","USD",AA2382), limitePermitido, IFERROR(VLOOKUP(monedaPago, Configuración!$A$2:$B$3, 2, FALSE), 0.15), IF(AD2382&gt;limitePermitido, "ALERTA: EXCESO (" &amp; TEXT(limitePermitido, "0%") &amp; " máx)", "OK"))))</f>
        <v/>
      </c>
      <c r="AP2382" s="79">
        <f>IF(AN2382="","",IF(AE2382=0,"OK",_xlfn.LET(fechaPago, Z2382, fechaFactura, R2382, diasCredito, IF(E2382="Pago inmediato", 0, IFERROR(VALUE(MID(E2382, 1, SEARCH(" ", E2382)-1)),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82" s="79">
        <f>IF(AN2382="","",IF(AND(N2382&gt;0, AG2382&gt;0), IF(Configuración!$K$2="NO", "ALERTA: DESCUENTO DOBLE NO PERMITIDO", "OK"), "OK"))</f>
        <v/>
      </c>
      <c r="AR2382" s="79">
        <f>IF(AN2382="","",IF(OR(AO2382&lt;&gt;"OK", AP2382&lt;&gt;"OK", AQ2382&lt;&gt;"OK"), "⚠️ REVISAR", "OK"))</f>
        <v/>
      </c>
    </row>
    <row r="2383">
      <c r="A2383" s="79">
        <f>IF('Ordenes_Odoo'!A2383="","",'Ordenes_Odoo'!A2383)</f>
        <v/>
      </c>
      <c r="B2383" s="80">
        <f>IF('Ordenes_Odoo'!B2383="","",'Ordenes_Odoo'!B2383)</f>
        <v/>
      </c>
      <c r="C2383" s="79">
        <f>IF('Ordenes_Odoo'!C2383="","",'Ordenes_Odoo'!C2383)</f>
        <v/>
      </c>
      <c r="D2383" s="79">
        <f>IF('Ordenes_Odoo'!D2383="","",'Ordenes_Odoo'!D2383)</f>
        <v/>
      </c>
      <c r="E2383" s="79">
        <f>IF('Ordenes_Odoo'!E2383="","",'Ordenes_Odoo'!E2383)</f>
        <v/>
      </c>
      <c r="F2383" s="79">
        <f>IF('Ordenes_Odoo'!F2383="","",'Ordenes_Odoo'!F2383)</f>
        <v/>
      </c>
      <c r="G2383" s="79">
        <f>IF('Ordenes_Odoo'!G2383="","",'Ordenes_Odoo'!G2383)</f>
        <v/>
      </c>
      <c r="H2383" s="79">
        <f>IF('Ordenes_Odoo'!H2383="","",'Ordenes_Odoo'!H2383)</f>
        <v/>
      </c>
      <c r="I2383" s="79">
        <f>IF('Ordenes_Odoo'!I2383="","",'Ordenes_Odoo'!I2383)</f>
        <v/>
      </c>
      <c r="J2383" s="79">
        <f>IF('Ordenes_Odoo'!J2383="","",'Ordenes_Odoo'!J2383)</f>
        <v/>
      </c>
      <c r="K2383" s="81">
        <f>IF('Ordenes_Odoo'!K2383="","",'Ordenes_Odoo'!K2383)</f>
        <v/>
      </c>
      <c r="L2383" s="81">
        <f>IF('Ordenes_Odoo'!L2383="","",'Ordenes_Odoo'!L2383)</f>
        <v/>
      </c>
      <c r="M2383" s="79">
        <f>IF('Ordenes_Odoo'!M2383="","",'Ordenes_Odoo'!M2383)</f>
        <v/>
      </c>
      <c r="N2383" s="79">
        <f>IF('Ordenes_Odoo'!N2383="","",'Ordenes_Odoo'!N2383)</f>
        <v/>
      </c>
      <c r="O2383" s="81">
        <f>IF('Ordenes_Odoo'!O2383="","",'Ordenes_Odoo'!O2383)</f>
        <v/>
      </c>
      <c r="P2383" s="81">
        <f>IF('Ordenes_Odoo'!P2383="","",'Ordenes_Odoo'!P2383)</f>
        <v/>
      </c>
      <c r="Q2383" s="79">
        <f>IF(A2383="","",IFERROR(INDEX(Facturas_Odoo!$B:$B, MATCH(A2383, Facturas_Odoo!$D:$D, 0)), "Sin Factura"))</f>
        <v/>
      </c>
      <c r="R2383" s="80">
        <f>IF(Q2383="Sin Factura","",IFERROR(INDEX(Facturas_Odoo!$A:$A, MATCH(Q2383, Facturas_Odoo!$B:$B, 0)), ""))</f>
        <v/>
      </c>
      <c r="S2383" s="79">
        <f>IF(Q2383="Sin Factura","",IFERROR(_xlfn.XLOOKUP(1, (Facturas_Odoo!$D:$D=A2383) * (Facturas_Odoo!$K:$K=I2383), Facturas_Odoo!$L:$L, ""), ""))</f>
        <v/>
      </c>
      <c r="T2383" s="81">
        <f>IF(Q2383="Sin Factura",0,IFERROR(_xlfn.XLOOKUP(1, (Facturas_Odoo!$D:$D=A2383) * (Facturas_Odoo!$K:$K=I2383), Facturas_Odoo!$M:$M, 0), 0))</f>
        <v/>
      </c>
      <c r="U2383" s="79">
        <f>IF(Q2383="Sin Factura",0,IFERROR(_xlfn.XLOOKUP(1, (Facturas_Odoo!$D:$D=A2383) * (Facturas_Odoo!$K:$K=I2383), Facturas_Odoo!$N:$N, 0), 0))</f>
        <v/>
      </c>
      <c r="V2383" s="79">
        <f>IF(Q2383="Sin Factura",0,IFERROR(_xlfn.XLOOKUP(1, (Facturas_Odoo!$D:$D=A2383) * (Facturas_Odoo!$K:$K=I2383), Facturas_Odoo!$O:$O, 0), 0))</f>
        <v/>
      </c>
      <c r="W2383" s="81">
        <f>IF(Q2383="Sin Factura",0,IFERROR(_xlfn.XLOOKUP(1, (Facturas_Odoo!$D:$D=A2383) * (Facturas_Odoo!$K:$K=I2383), Facturas_Odoo!$Q:$Q, 0), 0))</f>
        <v/>
      </c>
      <c r="X2383" s="79">
        <f>IF(OR(Q2383="Sin Factura",Q2383=""),"",IFERROR(INDEX(Pagos_Odoo!$B:$B, MATCH(Q2383, Pagos_Odoo!$I:$I, 0)), "Sin Pago"))</f>
        <v/>
      </c>
      <c r="Y2383" s="79">
        <f>IF(X2383="Sin Pago","",IFERROR(INDEX(Pagos_Odoo!$C:$C, MATCH(X2383, Pagos_Odoo!$B:$B, 0)), ""))</f>
        <v/>
      </c>
      <c r="Z2383" s="80">
        <f>IF(X2383="Sin Pago","",IFERROR(INDEX(Pagos_Odoo!$A:$A, MATCH(X2383, Pagos_Odoo!$B:$B, 0)), ""))</f>
        <v/>
      </c>
      <c r="AA2383" s="79">
        <f>IF(X2383="Sin Pago","",IFERROR(INDEX(Pagos_Odoo!$F:$F, MATCH(X2383, Pagos_Odoo!$B:$B, 0)), ""))</f>
        <v/>
      </c>
      <c r="AB2383" s="81">
        <f>IF(X2383="Sin Pago",0,IFERROR(INDEX(Pagos_Odoo!$E:$E, MATCH(X2383, Pagos_Odoo!$B:$B, 0)), 0))</f>
        <v/>
      </c>
      <c r="AC2383" s="79">
        <f>IF(X2383="Sin Pago","",IFERROR(INDEX(Pagos_Odoo!$G:$G, MATCH(X2383, Pagos_Odoo!$B:$B, 0)), ""))</f>
        <v/>
      </c>
      <c r="AD2383" s="82" t="n">
        <v>0</v>
      </c>
      <c r="AE2383" s="82" t="n"/>
      <c r="AF2383" s="82" t="n"/>
      <c r="AG2383" s="82">
        <f>IF(AN2383="","",AD2383+AE2383+AF2383)</f>
        <v/>
      </c>
      <c r="AH2383" s="81">
        <f>IF(AN2383="","",P2383*(1-AG2383))</f>
        <v/>
      </c>
      <c r="AI2383" s="81">
        <f>IF(AN2383="","",IF(Q2383="Sin Factura",0,IFERROR(INDEX(Facturas_Odoo!$H:$H, MATCH(Q2383, Facturas_Odoo!$B:$B, 0)), 0)*(1-AG2383)))</f>
        <v/>
      </c>
      <c r="AJ2383" s="81">
        <f>IF(AN2383="","",_xlfn.LET(idVenta, AN2383&amp;"",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83" s="81">
        <f>IF(AN2383="","",AH2383-AJ2383)</f>
        <v/>
      </c>
      <c r="AL2383" s="81">
        <f>IF(AN2383="","",IF(Q2383="Sin Factura","",AI2383-AJ2383))</f>
        <v/>
      </c>
      <c r="AM2383" s="81">
        <f>IF(AN2383="","",IF(Q2383="Sin Factura",0,P2383-IFERROR(INDEX(Facturas_Odoo!$H:$H, MATCH(Q2383, Facturas_Odoo!$B:$B, 0)), 0)))</f>
        <v/>
      </c>
      <c r="AN2383" s="79">
        <f>IF(AND(A2383="", J2383=""), "", IF(A2383&lt;&gt;"", VALUE(MID(A2383,2,LEN(A2383))), AN2382))</f>
        <v/>
      </c>
      <c r="AO2383" s="79">
        <f>IF(AN2383="","",IF(AD2383=0,"OK",_xlfn.LET(monedaPago, IF(AA2383="","USD",AA2383), limitePermitido, IFERROR(VLOOKUP(monedaPago, Configuración!$A$2:$B$3, 2, FALSE), 0.15), IF(AD2383&gt;limitePermitido, "ALERTA: EXCESO (" &amp; TEXT(limitePermitido, "0%") &amp; " máx)", "OK"))))</f>
        <v/>
      </c>
      <c r="AP2383" s="79">
        <f>IF(AN2383="","",IF(AE2383=0,"OK",_xlfn.LET(fechaPago, Z2383, fechaFactura, R2383, diasCredito, IF(E2383="Pago inmediato", 0, IFERROR(VALUE(MID(E2383, 1, SEARCH(" ", E2383)-1)),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83" s="79">
        <f>IF(AN2383="","",IF(AND(N2383&gt;0, AG2383&gt;0), IF(Configuración!$K$2="NO", "ALERTA: DESCUENTO DOBLE NO PERMITIDO", "OK"), "OK"))</f>
        <v/>
      </c>
      <c r="AR2383" s="79">
        <f>IF(AN2383="","",IF(OR(AO2383&lt;&gt;"OK", AP2383&lt;&gt;"OK", AQ2383&lt;&gt;"OK"), "⚠️ REVISAR", "OK"))</f>
        <v/>
      </c>
    </row>
    <row r="2384">
      <c r="A2384" s="79">
        <f>IF('Ordenes_Odoo'!A2384="","",'Ordenes_Odoo'!A2384)</f>
        <v/>
      </c>
      <c r="B2384" s="80">
        <f>IF('Ordenes_Odoo'!B2384="","",'Ordenes_Odoo'!B2384)</f>
        <v/>
      </c>
      <c r="C2384" s="79">
        <f>IF('Ordenes_Odoo'!C2384="","",'Ordenes_Odoo'!C2384)</f>
        <v/>
      </c>
      <c r="D2384" s="79">
        <f>IF('Ordenes_Odoo'!D2384="","",'Ordenes_Odoo'!D2384)</f>
        <v/>
      </c>
      <c r="E2384" s="79">
        <f>IF('Ordenes_Odoo'!E2384="","",'Ordenes_Odoo'!E2384)</f>
        <v/>
      </c>
      <c r="F2384" s="79">
        <f>IF('Ordenes_Odoo'!F2384="","",'Ordenes_Odoo'!F2384)</f>
        <v/>
      </c>
      <c r="G2384" s="79">
        <f>IF('Ordenes_Odoo'!G2384="","",'Ordenes_Odoo'!G2384)</f>
        <v/>
      </c>
      <c r="H2384" s="79">
        <f>IF('Ordenes_Odoo'!H2384="","",'Ordenes_Odoo'!H2384)</f>
        <v/>
      </c>
      <c r="I2384" s="79">
        <f>IF('Ordenes_Odoo'!I2384="","",'Ordenes_Odoo'!I2384)</f>
        <v/>
      </c>
      <c r="J2384" s="79">
        <f>IF('Ordenes_Odoo'!J2384="","",'Ordenes_Odoo'!J2384)</f>
        <v/>
      </c>
      <c r="K2384" s="81">
        <f>IF('Ordenes_Odoo'!K2384="","",'Ordenes_Odoo'!K2384)</f>
        <v/>
      </c>
      <c r="L2384" s="81">
        <f>IF('Ordenes_Odoo'!L2384="","",'Ordenes_Odoo'!L2384)</f>
        <v/>
      </c>
      <c r="M2384" s="79">
        <f>IF('Ordenes_Odoo'!M2384="","",'Ordenes_Odoo'!M2384)</f>
        <v/>
      </c>
      <c r="N2384" s="79">
        <f>IF('Ordenes_Odoo'!N2384="","",'Ordenes_Odoo'!N2384)</f>
        <v/>
      </c>
      <c r="O2384" s="81">
        <f>IF('Ordenes_Odoo'!O2384="","",'Ordenes_Odoo'!O2384)</f>
        <v/>
      </c>
      <c r="P2384" s="81">
        <f>IF('Ordenes_Odoo'!P2384="","",'Ordenes_Odoo'!P2384)</f>
        <v/>
      </c>
      <c r="Q2384" s="79">
        <f>IF(A2384="","",IFERROR(INDEX(Facturas_Odoo!$B:$B, MATCH(A2384, Facturas_Odoo!$D:$D, 0)), "Sin Factura"))</f>
        <v/>
      </c>
      <c r="R2384" s="80">
        <f>IF(Q2384="Sin Factura","",IFERROR(INDEX(Facturas_Odoo!$A:$A, MATCH(Q2384, Facturas_Odoo!$B:$B, 0)), ""))</f>
        <v/>
      </c>
      <c r="S2384" s="79">
        <f>IF(Q2384="Sin Factura","",IFERROR(_xlfn.XLOOKUP(1, (Facturas_Odoo!$D:$D=A2384) * (Facturas_Odoo!$K:$K=I2384), Facturas_Odoo!$L:$L, ""), ""))</f>
        <v/>
      </c>
      <c r="T2384" s="81">
        <f>IF(Q2384="Sin Factura",0,IFERROR(_xlfn.XLOOKUP(1, (Facturas_Odoo!$D:$D=A2384) * (Facturas_Odoo!$K:$K=I2384), Facturas_Odoo!$M:$M, 0), 0))</f>
        <v/>
      </c>
      <c r="U2384" s="79">
        <f>IF(Q2384="Sin Factura",0,IFERROR(_xlfn.XLOOKUP(1, (Facturas_Odoo!$D:$D=A2384) * (Facturas_Odoo!$K:$K=I2384), Facturas_Odoo!$N:$N, 0), 0))</f>
        <v/>
      </c>
      <c r="V2384" s="79">
        <f>IF(Q2384="Sin Factura",0,IFERROR(_xlfn.XLOOKUP(1, (Facturas_Odoo!$D:$D=A2384) * (Facturas_Odoo!$K:$K=I2384), Facturas_Odoo!$O:$O, 0), 0))</f>
        <v/>
      </c>
      <c r="W2384" s="81">
        <f>IF(Q2384="Sin Factura",0,IFERROR(_xlfn.XLOOKUP(1, (Facturas_Odoo!$D:$D=A2384) * (Facturas_Odoo!$K:$K=I2384), Facturas_Odoo!$Q:$Q, 0), 0))</f>
        <v/>
      </c>
      <c r="X2384" s="79">
        <f>IF(OR(Q2384="Sin Factura",Q2384=""),"",IFERROR(INDEX(Pagos_Odoo!$B:$B, MATCH(Q2384, Pagos_Odoo!$I:$I, 0)), "Sin Pago"))</f>
        <v/>
      </c>
      <c r="Y2384" s="79">
        <f>IF(X2384="Sin Pago","",IFERROR(INDEX(Pagos_Odoo!$C:$C, MATCH(X2384, Pagos_Odoo!$B:$B, 0)), ""))</f>
        <v/>
      </c>
      <c r="Z2384" s="80">
        <f>IF(X2384="Sin Pago","",IFERROR(INDEX(Pagos_Odoo!$A:$A, MATCH(X2384, Pagos_Odoo!$B:$B, 0)), ""))</f>
        <v/>
      </c>
      <c r="AA2384" s="79">
        <f>IF(X2384="Sin Pago","",IFERROR(INDEX(Pagos_Odoo!$F:$F, MATCH(X2384, Pagos_Odoo!$B:$B, 0)), ""))</f>
        <v/>
      </c>
      <c r="AB2384" s="81">
        <f>IF(X2384="Sin Pago",0,IFERROR(INDEX(Pagos_Odoo!$E:$E, MATCH(X2384, Pagos_Odoo!$B:$B, 0)), 0))</f>
        <v/>
      </c>
      <c r="AC2384" s="79">
        <f>IF(X2384="Sin Pago","",IFERROR(INDEX(Pagos_Odoo!$G:$G, MATCH(X2384, Pagos_Odoo!$B:$B, 0)), ""))</f>
        <v/>
      </c>
      <c r="AD2384" s="82" t="n">
        <v>0</v>
      </c>
      <c r="AE2384" s="82" t="n"/>
      <c r="AF2384" s="82" t="n"/>
      <c r="AG2384" s="82">
        <f>IF(AN2384="","",AD2384+AE2384+AF2384)</f>
        <v/>
      </c>
      <c r="AH2384" s="81">
        <f>IF(AN2384="","",P2384*(1-AG2384))</f>
        <v/>
      </c>
      <c r="AI2384" s="81">
        <f>IF(AN2384="","",IF(Q2384="Sin Factura",0,IFERROR(INDEX(Facturas_Odoo!$H:$H, MATCH(Q2384, Facturas_Odoo!$B:$B, 0)), 0)*(1-AG2384)))</f>
        <v/>
      </c>
      <c r="AJ2384" s="81">
        <f>IF(AN2384="","",_xlfn.LET(idVenta, AN2384&amp;"",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84" s="81">
        <f>IF(AN2384="","",AH2384-AJ2384)</f>
        <v/>
      </c>
      <c r="AL2384" s="81">
        <f>IF(AN2384="","",IF(Q2384="Sin Factura","",AI2384-AJ2384))</f>
        <v/>
      </c>
      <c r="AM2384" s="81">
        <f>IF(AN2384="","",IF(Q2384="Sin Factura",0,P2384-IFERROR(INDEX(Facturas_Odoo!$H:$H, MATCH(Q2384, Facturas_Odoo!$B:$B, 0)), 0)))</f>
        <v/>
      </c>
      <c r="AN2384" s="79">
        <f>IF(AND(A2384="", J2384=""), "", IF(A2384&lt;&gt;"", VALUE(MID(A2384,2,LEN(A2384))), AN2383))</f>
        <v/>
      </c>
      <c r="AO2384" s="79">
        <f>IF(AN2384="","",IF(AD2384=0,"OK",_xlfn.LET(monedaPago, IF(AA2384="","USD",AA2384), limitePermitido, IFERROR(VLOOKUP(monedaPago, Configuración!$A$2:$B$3, 2, FALSE), 0.15), IF(AD2384&gt;limitePermitido, "ALERTA: EXCESO (" &amp; TEXT(limitePermitido, "0%") &amp; " máx)", "OK"))))</f>
        <v/>
      </c>
      <c r="AP2384" s="79">
        <f>IF(AN2384="","",IF(AE2384=0,"OK",_xlfn.LET(fechaPago, Z2384, fechaFactura, R2384, diasCredito, IF(E2384="Pago inmediato", 0, IFERROR(VALUE(MID(E2384, 1, SEARCH(" ", E2384)-1)),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84" s="79">
        <f>IF(AN2384="","",IF(AND(N2384&gt;0, AG2384&gt;0), IF(Configuración!$K$2="NO", "ALERTA: DESCUENTO DOBLE NO PERMITIDO", "OK"), "OK"))</f>
        <v/>
      </c>
      <c r="AR2384" s="79">
        <f>IF(AN2384="","",IF(OR(AO2384&lt;&gt;"OK", AP2384&lt;&gt;"OK", AQ2384&lt;&gt;"OK"), "⚠️ REVISAR", "OK"))</f>
        <v/>
      </c>
    </row>
    <row r="2385">
      <c r="A2385" s="79">
        <f>IF('Ordenes_Odoo'!A2385="","",'Ordenes_Odoo'!A2385)</f>
        <v/>
      </c>
      <c r="B2385" s="80">
        <f>IF('Ordenes_Odoo'!B2385="","",'Ordenes_Odoo'!B2385)</f>
        <v/>
      </c>
      <c r="C2385" s="79">
        <f>IF('Ordenes_Odoo'!C2385="","",'Ordenes_Odoo'!C2385)</f>
        <v/>
      </c>
      <c r="D2385" s="79">
        <f>IF('Ordenes_Odoo'!D2385="","",'Ordenes_Odoo'!D2385)</f>
        <v/>
      </c>
      <c r="E2385" s="79">
        <f>IF('Ordenes_Odoo'!E2385="","",'Ordenes_Odoo'!E2385)</f>
        <v/>
      </c>
      <c r="F2385" s="79">
        <f>IF('Ordenes_Odoo'!F2385="","",'Ordenes_Odoo'!F2385)</f>
        <v/>
      </c>
      <c r="G2385" s="79">
        <f>IF('Ordenes_Odoo'!G2385="","",'Ordenes_Odoo'!G2385)</f>
        <v/>
      </c>
      <c r="H2385" s="79">
        <f>IF('Ordenes_Odoo'!H2385="","",'Ordenes_Odoo'!H2385)</f>
        <v/>
      </c>
      <c r="I2385" s="79">
        <f>IF('Ordenes_Odoo'!I2385="","",'Ordenes_Odoo'!I2385)</f>
        <v/>
      </c>
      <c r="J2385" s="79">
        <f>IF('Ordenes_Odoo'!J2385="","",'Ordenes_Odoo'!J2385)</f>
        <v/>
      </c>
      <c r="K2385" s="81">
        <f>IF('Ordenes_Odoo'!K2385="","",'Ordenes_Odoo'!K2385)</f>
        <v/>
      </c>
      <c r="L2385" s="81">
        <f>IF('Ordenes_Odoo'!L2385="","",'Ordenes_Odoo'!L2385)</f>
        <v/>
      </c>
      <c r="M2385" s="79">
        <f>IF('Ordenes_Odoo'!M2385="","",'Ordenes_Odoo'!M2385)</f>
        <v/>
      </c>
      <c r="N2385" s="79">
        <f>IF('Ordenes_Odoo'!N2385="","",'Ordenes_Odoo'!N2385)</f>
        <v/>
      </c>
      <c r="O2385" s="81">
        <f>IF('Ordenes_Odoo'!O2385="","",'Ordenes_Odoo'!O2385)</f>
        <v/>
      </c>
      <c r="P2385" s="81">
        <f>IF('Ordenes_Odoo'!P2385="","",'Ordenes_Odoo'!P2385)</f>
        <v/>
      </c>
      <c r="Q2385" s="79">
        <f>IF(A2385="","",IFERROR(INDEX(Facturas_Odoo!$B:$B, MATCH(A2385, Facturas_Odoo!$D:$D, 0)), "Sin Factura"))</f>
        <v/>
      </c>
      <c r="R2385" s="80">
        <f>IF(Q2385="Sin Factura","",IFERROR(INDEX(Facturas_Odoo!$A:$A, MATCH(Q2385, Facturas_Odoo!$B:$B, 0)), ""))</f>
        <v/>
      </c>
      <c r="S2385" s="79">
        <f>IF(Q2385="Sin Factura","",IFERROR(_xlfn.XLOOKUP(1, (Facturas_Odoo!$D:$D=A2385) * (Facturas_Odoo!$K:$K=I2385), Facturas_Odoo!$L:$L, ""), ""))</f>
        <v/>
      </c>
      <c r="T2385" s="81">
        <f>IF(Q2385="Sin Factura",0,IFERROR(_xlfn.XLOOKUP(1, (Facturas_Odoo!$D:$D=A2385) * (Facturas_Odoo!$K:$K=I2385), Facturas_Odoo!$M:$M, 0), 0))</f>
        <v/>
      </c>
      <c r="U2385" s="79">
        <f>IF(Q2385="Sin Factura",0,IFERROR(_xlfn.XLOOKUP(1, (Facturas_Odoo!$D:$D=A2385) * (Facturas_Odoo!$K:$K=I2385), Facturas_Odoo!$N:$N, 0), 0))</f>
        <v/>
      </c>
      <c r="V2385" s="79">
        <f>IF(Q2385="Sin Factura",0,IFERROR(_xlfn.XLOOKUP(1, (Facturas_Odoo!$D:$D=A2385) * (Facturas_Odoo!$K:$K=I2385), Facturas_Odoo!$O:$O, 0), 0))</f>
        <v/>
      </c>
      <c r="W2385" s="81">
        <f>IF(Q2385="Sin Factura",0,IFERROR(_xlfn.XLOOKUP(1, (Facturas_Odoo!$D:$D=A2385) * (Facturas_Odoo!$K:$K=I2385), Facturas_Odoo!$Q:$Q, 0), 0))</f>
        <v/>
      </c>
      <c r="X2385" s="79">
        <f>IF(OR(Q2385="Sin Factura",Q2385=""),"",IFERROR(INDEX(Pagos_Odoo!$B:$B, MATCH(Q2385, Pagos_Odoo!$I:$I, 0)), "Sin Pago"))</f>
        <v/>
      </c>
      <c r="Y2385" s="79">
        <f>IF(X2385="Sin Pago","",IFERROR(INDEX(Pagos_Odoo!$C:$C, MATCH(X2385, Pagos_Odoo!$B:$B, 0)), ""))</f>
        <v/>
      </c>
      <c r="Z2385" s="80">
        <f>IF(X2385="Sin Pago","",IFERROR(INDEX(Pagos_Odoo!$A:$A, MATCH(X2385, Pagos_Odoo!$B:$B, 0)), ""))</f>
        <v/>
      </c>
      <c r="AA2385" s="79">
        <f>IF(X2385="Sin Pago","",IFERROR(INDEX(Pagos_Odoo!$F:$F, MATCH(X2385, Pagos_Odoo!$B:$B, 0)), ""))</f>
        <v/>
      </c>
      <c r="AB2385" s="81">
        <f>IF(X2385="Sin Pago",0,IFERROR(INDEX(Pagos_Odoo!$E:$E, MATCH(X2385, Pagos_Odoo!$B:$B, 0)), 0))</f>
        <v/>
      </c>
      <c r="AC2385" s="79">
        <f>IF(X2385="Sin Pago","",IFERROR(INDEX(Pagos_Odoo!$G:$G, MATCH(X2385, Pagos_Odoo!$B:$B, 0)), ""))</f>
        <v/>
      </c>
      <c r="AD2385" s="82" t="n">
        <v>0</v>
      </c>
      <c r="AE2385" s="82" t="n"/>
      <c r="AF2385" s="82" t="n"/>
      <c r="AG2385" s="82">
        <f>IF(AN2385="","",AD2385+AE2385+AF2385)</f>
        <v/>
      </c>
      <c r="AH2385" s="81">
        <f>IF(AN2385="","",P2385*(1-AG2385))</f>
        <v/>
      </c>
      <c r="AI2385" s="81">
        <f>IF(AN2385="","",IF(Q2385="Sin Factura",0,IFERROR(INDEX(Facturas_Odoo!$H:$H, MATCH(Q2385, Facturas_Odoo!$B:$B, 0)), 0)*(1-AG2385)))</f>
        <v/>
      </c>
      <c r="AJ2385" s="81">
        <f>IF(AN2385="","",_xlfn.LET(idVenta, AN2385&amp;"",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85" s="81">
        <f>IF(AN2385="","",AH2385-AJ2385)</f>
        <v/>
      </c>
      <c r="AL2385" s="81">
        <f>IF(AN2385="","",IF(Q2385="Sin Factura","",AI2385-AJ2385))</f>
        <v/>
      </c>
      <c r="AM2385" s="81">
        <f>IF(AN2385="","",IF(Q2385="Sin Factura",0,P2385-IFERROR(INDEX(Facturas_Odoo!$H:$H, MATCH(Q2385, Facturas_Odoo!$B:$B, 0)), 0)))</f>
        <v/>
      </c>
      <c r="AN2385" s="79">
        <f>IF(AND(A2385="", J2385=""), "", IF(A2385&lt;&gt;"", VALUE(MID(A2385,2,LEN(A2385))), AN2384))</f>
        <v/>
      </c>
      <c r="AO2385" s="79">
        <f>IF(AN2385="","",IF(AD2385=0,"OK",_xlfn.LET(monedaPago, IF(AA2385="","USD",AA2385), limitePermitido, IFERROR(VLOOKUP(monedaPago, Configuración!$A$2:$B$3, 2, FALSE), 0.15), IF(AD2385&gt;limitePermitido, "ALERTA: EXCESO (" &amp; TEXT(limitePermitido, "0%") &amp; " máx)", "OK"))))</f>
        <v/>
      </c>
      <c r="AP2385" s="79">
        <f>IF(AN2385="","",IF(AE2385=0,"OK",_xlfn.LET(fechaPago, Z2385, fechaFactura, R2385, diasCredito, IF(E2385="Pago inmediato", 0, IFERROR(VALUE(MID(E2385, 1, SEARCH(" ", E2385)-1)),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85" s="79">
        <f>IF(AN2385="","",IF(AND(N2385&gt;0, AG2385&gt;0), IF(Configuración!$K$2="NO", "ALERTA: DESCUENTO DOBLE NO PERMITIDO", "OK"), "OK"))</f>
        <v/>
      </c>
      <c r="AR2385" s="79">
        <f>IF(AN2385="","",IF(OR(AO2385&lt;&gt;"OK", AP2385&lt;&gt;"OK", AQ2385&lt;&gt;"OK"), "⚠️ REVISAR", "OK"))</f>
        <v/>
      </c>
    </row>
    <row r="2386">
      <c r="A2386" s="79">
        <f>IF('Ordenes_Odoo'!A2386="","",'Ordenes_Odoo'!A2386)</f>
        <v/>
      </c>
      <c r="B2386" s="80">
        <f>IF('Ordenes_Odoo'!B2386="","",'Ordenes_Odoo'!B2386)</f>
        <v/>
      </c>
      <c r="C2386" s="79">
        <f>IF('Ordenes_Odoo'!C2386="","",'Ordenes_Odoo'!C2386)</f>
        <v/>
      </c>
      <c r="D2386" s="79">
        <f>IF('Ordenes_Odoo'!D2386="","",'Ordenes_Odoo'!D2386)</f>
        <v/>
      </c>
      <c r="E2386" s="79">
        <f>IF('Ordenes_Odoo'!E2386="","",'Ordenes_Odoo'!E2386)</f>
        <v/>
      </c>
      <c r="F2386" s="79">
        <f>IF('Ordenes_Odoo'!F2386="","",'Ordenes_Odoo'!F2386)</f>
        <v/>
      </c>
      <c r="G2386" s="79">
        <f>IF('Ordenes_Odoo'!G2386="","",'Ordenes_Odoo'!G2386)</f>
        <v/>
      </c>
      <c r="H2386" s="79">
        <f>IF('Ordenes_Odoo'!H2386="","",'Ordenes_Odoo'!H2386)</f>
        <v/>
      </c>
      <c r="I2386" s="79">
        <f>IF('Ordenes_Odoo'!I2386="","",'Ordenes_Odoo'!I2386)</f>
        <v/>
      </c>
      <c r="J2386" s="79">
        <f>IF('Ordenes_Odoo'!J2386="","",'Ordenes_Odoo'!J2386)</f>
        <v/>
      </c>
      <c r="K2386" s="81">
        <f>IF('Ordenes_Odoo'!K2386="","",'Ordenes_Odoo'!K2386)</f>
        <v/>
      </c>
      <c r="L2386" s="81">
        <f>IF('Ordenes_Odoo'!L2386="","",'Ordenes_Odoo'!L2386)</f>
        <v/>
      </c>
      <c r="M2386" s="79">
        <f>IF('Ordenes_Odoo'!M2386="","",'Ordenes_Odoo'!M2386)</f>
        <v/>
      </c>
      <c r="N2386" s="79">
        <f>IF('Ordenes_Odoo'!N2386="","",'Ordenes_Odoo'!N2386)</f>
        <v/>
      </c>
      <c r="O2386" s="81">
        <f>IF('Ordenes_Odoo'!O2386="","",'Ordenes_Odoo'!O2386)</f>
        <v/>
      </c>
      <c r="P2386" s="81">
        <f>IF('Ordenes_Odoo'!P2386="","",'Ordenes_Odoo'!P2386)</f>
        <v/>
      </c>
      <c r="Q2386" s="79">
        <f>IF(A2386="","",IFERROR(INDEX(Facturas_Odoo!$B:$B, MATCH(A2386, Facturas_Odoo!$D:$D, 0)), "Sin Factura"))</f>
        <v/>
      </c>
      <c r="R2386" s="80">
        <f>IF(Q2386="Sin Factura","",IFERROR(INDEX(Facturas_Odoo!$A:$A, MATCH(Q2386, Facturas_Odoo!$B:$B, 0)), ""))</f>
        <v/>
      </c>
      <c r="S2386" s="79">
        <f>IF(Q2386="Sin Factura","",IFERROR(_xlfn.XLOOKUP(1, (Facturas_Odoo!$D:$D=A2386) * (Facturas_Odoo!$K:$K=I2386), Facturas_Odoo!$L:$L, ""), ""))</f>
        <v/>
      </c>
      <c r="T2386" s="81">
        <f>IF(Q2386="Sin Factura",0,IFERROR(_xlfn.XLOOKUP(1, (Facturas_Odoo!$D:$D=A2386) * (Facturas_Odoo!$K:$K=I2386), Facturas_Odoo!$M:$M, 0), 0))</f>
        <v/>
      </c>
      <c r="U2386" s="79">
        <f>IF(Q2386="Sin Factura",0,IFERROR(_xlfn.XLOOKUP(1, (Facturas_Odoo!$D:$D=A2386) * (Facturas_Odoo!$K:$K=I2386), Facturas_Odoo!$N:$N, 0), 0))</f>
        <v/>
      </c>
      <c r="V2386" s="79">
        <f>IF(Q2386="Sin Factura",0,IFERROR(_xlfn.XLOOKUP(1, (Facturas_Odoo!$D:$D=A2386) * (Facturas_Odoo!$K:$K=I2386), Facturas_Odoo!$O:$O, 0), 0))</f>
        <v/>
      </c>
      <c r="W2386" s="81">
        <f>IF(Q2386="Sin Factura",0,IFERROR(_xlfn.XLOOKUP(1, (Facturas_Odoo!$D:$D=A2386) * (Facturas_Odoo!$K:$K=I2386), Facturas_Odoo!$Q:$Q, 0), 0))</f>
        <v/>
      </c>
      <c r="X2386" s="79">
        <f>IF(OR(Q2386="Sin Factura",Q2386=""),"",IFERROR(INDEX(Pagos_Odoo!$B:$B, MATCH(Q2386, Pagos_Odoo!$I:$I, 0)), "Sin Pago"))</f>
        <v/>
      </c>
      <c r="Y2386" s="79">
        <f>IF(X2386="Sin Pago","",IFERROR(INDEX(Pagos_Odoo!$C:$C, MATCH(X2386, Pagos_Odoo!$B:$B, 0)), ""))</f>
        <v/>
      </c>
      <c r="Z2386" s="80">
        <f>IF(X2386="Sin Pago","",IFERROR(INDEX(Pagos_Odoo!$A:$A, MATCH(X2386, Pagos_Odoo!$B:$B, 0)), ""))</f>
        <v/>
      </c>
      <c r="AA2386" s="79">
        <f>IF(X2386="Sin Pago","",IFERROR(INDEX(Pagos_Odoo!$F:$F, MATCH(X2386, Pagos_Odoo!$B:$B, 0)), ""))</f>
        <v/>
      </c>
      <c r="AB2386" s="81">
        <f>IF(X2386="Sin Pago",0,IFERROR(INDEX(Pagos_Odoo!$E:$E, MATCH(X2386, Pagos_Odoo!$B:$B, 0)), 0))</f>
        <v/>
      </c>
      <c r="AC2386" s="79">
        <f>IF(X2386="Sin Pago","",IFERROR(INDEX(Pagos_Odoo!$G:$G, MATCH(X2386, Pagos_Odoo!$B:$B, 0)), ""))</f>
        <v/>
      </c>
      <c r="AD2386" s="82" t="n">
        <v>0</v>
      </c>
      <c r="AE2386" s="82" t="n"/>
      <c r="AF2386" s="82" t="n"/>
      <c r="AG2386" s="82">
        <f>IF(AN2386="","",AD2386+AE2386+AF2386)</f>
        <v/>
      </c>
      <c r="AH2386" s="81">
        <f>IF(AN2386="","",P2386*(1-AG2386))</f>
        <v/>
      </c>
      <c r="AI2386" s="81">
        <f>IF(AN2386="","",IF(Q2386="Sin Factura",0,IFERROR(INDEX(Facturas_Odoo!$H:$H, MATCH(Q2386, Facturas_Odoo!$B:$B, 0)), 0)*(1-AG2386)))</f>
        <v/>
      </c>
      <c r="AJ2386" s="81">
        <f>IF(AN2386="","",_xlfn.LET(idVenta, AN2386&amp;"",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86" s="81">
        <f>IF(AN2386="","",AH2386-AJ2386)</f>
        <v/>
      </c>
      <c r="AL2386" s="81">
        <f>IF(AN2386="","",IF(Q2386="Sin Factura","",AI2386-AJ2386))</f>
        <v/>
      </c>
      <c r="AM2386" s="81">
        <f>IF(AN2386="","",IF(Q2386="Sin Factura",0,P2386-IFERROR(INDEX(Facturas_Odoo!$H:$H, MATCH(Q2386, Facturas_Odoo!$B:$B, 0)), 0)))</f>
        <v/>
      </c>
      <c r="AN2386" s="79">
        <f>IF(AND(A2386="", J2386=""), "", IF(A2386&lt;&gt;"", VALUE(MID(A2386,2,LEN(A2386))), AN2385))</f>
        <v/>
      </c>
      <c r="AO2386" s="79">
        <f>IF(AN2386="","",IF(AD2386=0,"OK",_xlfn.LET(monedaPago, IF(AA2386="","USD",AA2386), limitePermitido, IFERROR(VLOOKUP(monedaPago, Configuración!$A$2:$B$3, 2, FALSE), 0.15), IF(AD2386&gt;limitePermitido, "ALERTA: EXCESO (" &amp; TEXT(limitePermitido, "0%") &amp; " máx)", "OK"))))</f>
        <v/>
      </c>
      <c r="AP2386" s="79">
        <f>IF(AN2386="","",IF(AE2386=0,"OK",_xlfn.LET(fechaPago, Z2386, fechaFactura, R2386, diasCredito, IF(E2386="Pago inmediato", 0, IFERROR(VALUE(MID(E2386, 1, SEARCH(" ", E2386)-1)),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86" s="79">
        <f>IF(AN2386="","",IF(AND(N2386&gt;0, AG2386&gt;0), IF(Configuración!$K$2="NO", "ALERTA: DESCUENTO DOBLE NO PERMITIDO", "OK"), "OK"))</f>
        <v/>
      </c>
      <c r="AR2386" s="79">
        <f>IF(AN2386="","",IF(OR(AO2386&lt;&gt;"OK", AP2386&lt;&gt;"OK", AQ2386&lt;&gt;"OK"), "⚠️ REVISAR", "OK"))</f>
        <v/>
      </c>
    </row>
    <row r="2387">
      <c r="A2387" s="79">
        <f>IF('Ordenes_Odoo'!A2387="","",'Ordenes_Odoo'!A2387)</f>
        <v/>
      </c>
      <c r="B2387" s="80">
        <f>IF('Ordenes_Odoo'!B2387="","",'Ordenes_Odoo'!B2387)</f>
        <v/>
      </c>
      <c r="C2387" s="79">
        <f>IF('Ordenes_Odoo'!C2387="","",'Ordenes_Odoo'!C2387)</f>
        <v/>
      </c>
      <c r="D2387" s="79">
        <f>IF('Ordenes_Odoo'!D2387="","",'Ordenes_Odoo'!D2387)</f>
        <v/>
      </c>
      <c r="E2387" s="79">
        <f>IF('Ordenes_Odoo'!E2387="","",'Ordenes_Odoo'!E2387)</f>
        <v/>
      </c>
      <c r="F2387" s="79">
        <f>IF('Ordenes_Odoo'!F2387="","",'Ordenes_Odoo'!F2387)</f>
        <v/>
      </c>
      <c r="G2387" s="79">
        <f>IF('Ordenes_Odoo'!G2387="","",'Ordenes_Odoo'!G2387)</f>
        <v/>
      </c>
      <c r="H2387" s="79">
        <f>IF('Ordenes_Odoo'!H2387="","",'Ordenes_Odoo'!H2387)</f>
        <v/>
      </c>
      <c r="I2387" s="79">
        <f>IF('Ordenes_Odoo'!I2387="","",'Ordenes_Odoo'!I2387)</f>
        <v/>
      </c>
      <c r="J2387" s="79">
        <f>IF('Ordenes_Odoo'!J2387="","",'Ordenes_Odoo'!J2387)</f>
        <v/>
      </c>
      <c r="K2387" s="81">
        <f>IF('Ordenes_Odoo'!K2387="","",'Ordenes_Odoo'!K2387)</f>
        <v/>
      </c>
      <c r="L2387" s="81">
        <f>IF('Ordenes_Odoo'!L2387="","",'Ordenes_Odoo'!L2387)</f>
        <v/>
      </c>
      <c r="M2387" s="79">
        <f>IF('Ordenes_Odoo'!M2387="","",'Ordenes_Odoo'!M2387)</f>
        <v/>
      </c>
      <c r="N2387" s="79">
        <f>IF('Ordenes_Odoo'!N2387="","",'Ordenes_Odoo'!N2387)</f>
        <v/>
      </c>
      <c r="O2387" s="81">
        <f>IF('Ordenes_Odoo'!O2387="","",'Ordenes_Odoo'!O2387)</f>
        <v/>
      </c>
      <c r="P2387" s="81">
        <f>IF('Ordenes_Odoo'!P2387="","",'Ordenes_Odoo'!P2387)</f>
        <v/>
      </c>
      <c r="Q2387" s="79">
        <f>IF(A2387="","",IFERROR(INDEX(Facturas_Odoo!$B:$B, MATCH(A2387, Facturas_Odoo!$D:$D, 0)), "Sin Factura"))</f>
        <v/>
      </c>
      <c r="R2387" s="80">
        <f>IF(Q2387="Sin Factura","",IFERROR(INDEX(Facturas_Odoo!$A:$A, MATCH(Q2387, Facturas_Odoo!$B:$B, 0)), ""))</f>
        <v/>
      </c>
      <c r="S2387" s="79">
        <f>IF(Q2387="Sin Factura","",IFERROR(_xlfn.XLOOKUP(1, (Facturas_Odoo!$D:$D=A2387) * (Facturas_Odoo!$K:$K=I2387), Facturas_Odoo!$L:$L, ""), ""))</f>
        <v/>
      </c>
      <c r="T2387" s="81">
        <f>IF(Q2387="Sin Factura",0,IFERROR(_xlfn.XLOOKUP(1, (Facturas_Odoo!$D:$D=A2387) * (Facturas_Odoo!$K:$K=I2387), Facturas_Odoo!$M:$M, 0), 0))</f>
        <v/>
      </c>
      <c r="U2387" s="79">
        <f>IF(Q2387="Sin Factura",0,IFERROR(_xlfn.XLOOKUP(1, (Facturas_Odoo!$D:$D=A2387) * (Facturas_Odoo!$K:$K=I2387), Facturas_Odoo!$N:$N, 0), 0))</f>
        <v/>
      </c>
      <c r="V2387" s="79">
        <f>IF(Q2387="Sin Factura",0,IFERROR(_xlfn.XLOOKUP(1, (Facturas_Odoo!$D:$D=A2387) * (Facturas_Odoo!$K:$K=I2387), Facturas_Odoo!$O:$O, 0), 0))</f>
        <v/>
      </c>
      <c r="W2387" s="81">
        <f>IF(Q2387="Sin Factura",0,IFERROR(_xlfn.XLOOKUP(1, (Facturas_Odoo!$D:$D=A2387) * (Facturas_Odoo!$K:$K=I2387), Facturas_Odoo!$Q:$Q, 0), 0))</f>
        <v/>
      </c>
      <c r="X2387" s="79">
        <f>IF(OR(Q2387="Sin Factura",Q2387=""),"",IFERROR(INDEX(Pagos_Odoo!$B:$B, MATCH(Q2387, Pagos_Odoo!$I:$I, 0)), "Sin Pago"))</f>
        <v/>
      </c>
      <c r="Y2387" s="79">
        <f>IF(X2387="Sin Pago","",IFERROR(INDEX(Pagos_Odoo!$C:$C, MATCH(X2387, Pagos_Odoo!$B:$B, 0)), ""))</f>
        <v/>
      </c>
      <c r="Z2387" s="80">
        <f>IF(X2387="Sin Pago","",IFERROR(INDEX(Pagos_Odoo!$A:$A, MATCH(X2387, Pagos_Odoo!$B:$B, 0)), ""))</f>
        <v/>
      </c>
      <c r="AA2387" s="79">
        <f>IF(X2387="Sin Pago","",IFERROR(INDEX(Pagos_Odoo!$F:$F, MATCH(X2387, Pagos_Odoo!$B:$B, 0)), ""))</f>
        <v/>
      </c>
      <c r="AB2387" s="81">
        <f>IF(X2387="Sin Pago",0,IFERROR(INDEX(Pagos_Odoo!$E:$E, MATCH(X2387, Pagos_Odoo!$B:$B, 0)), 0))</f>
        <v/>
      </c>
      <c r="AC2387" s="79">
        <f>IF(X2387="Sin Pago","",IFERROR(INDEX(Pagos_Odoo!$G:$G, MATCH(X2387, Pagos_Odoo!$B:$B, 0)), ""))</f>
        <v/>
      </c>
      <c r="AD2387" s="82" t="n">
        <v>0</v>
      </c>
      <c r="AE2387" s="82" t="n"/>
      <c r="AF2387" s="82" t="n"/>
      <c r="AG2387" s="82">
        <f>IF(AN2387="","",AD2387+AE2387+AF2387)</f>
        <v/>
      </c>
      <c r="AH2387" s="81">
        <f>IF(AN2387="","",P2387*(1-AG2387))</f>
        <v/>
      </c>
      <c r="AI2387" s="81">
        <f>IF(AN2387="","",IF(Q2387="Sin Factura",0,IFERROR(INDEX(Facturas_Odoo!$H:$H, MATCH(Q2387, Facturas_Odoo!$B:$B, 0)), 0)*(1-AG2387)))</f>
        <v/>
      </c>
      <c r="AJ2387" s="81">
        <f>IF(AN2387="","",_xlfn.LET(idVenta, AN2387&amp;"",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87" s="81">
        <f>IF(AN2387="","",AH2387-AJ2387)</f>
        <v/>
      </c>
      <c r="AL2387" s="81">
        <f>IF(AN2387="","",IF(Q2387="Sin Factura","",AI2387-AJ2387))</f>
        <v/>
      </c>
      <c r="AM2387" s="81">
        <f>IF(AN2387="","",IF(Q2387="Sin Factura",0,P2387-IFERROR(INDEX(Facturas_Odoo!$H:$H, MATCH(Q2387, Facturas_Odoo!$B:$B, 0)), 0)))</f>
        <v/>
      </c>
      <c r="AN2387" s="79">
        <f>IF(AND(A2387="", J2387=""), "", IF(A2387&lt;&gt;"", VALUE(MID(A2387,2,LEN(A2387))), AN2386))</f>
        <v/>
      </c>
      <c r="AO2387" s="79">
        <f>IF(AN2387="","",IF(AD2387=0,"OK",_xlfn.LET(monedaPago, IF(AA2387="","USD",AA2387), limitePermitido, IFERROR(VLOOKUP(monedaPago, Configuración!$A$2:$B$3, 2, FALSE), 0.15), IF(AD2387&gt;limitePermitido, "ALERTA: EXCESO (" &amp; TEXT(limitePermitido, "0%") &amp; " máx)", "OK"))))</f>
        <v/>
      </c>
      <c r="AP2387" s="79">
        <f>IF(AN2387="","",IF(AE2387=0,"OK",_xlfn.LET(fechaPago, Z2387, fechaFactura, R2387, diasCredito, IF(E2387="Pago inmediato", 0, IFERROR(VALUE(MID(E2387, 1, SEARCH(" ", E2387)-1)),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87" s="79">
        <f>IF(AN2387="","",IF(AND(N2387&gt;0, AG2387&gt;0), IF(Configuración!$K$2="NO", "ALERTA: DESCUENTO DOBLE NO PERMITIDO", "OK"), "OK"))</f>
        <v/>
      </c>
      <c r="AR2387" s="79">
        <f>IF(AN2387="","",IF(OR(AO2387&lt;&gt;"OK", AP2387&lt;&gt;"OK", AQ2387&lt;&gt;"OK"), "⚠️ REVISAR", "OK"))</f>
        <v/>
      </c>
    </row>
    <row r="2388">
      <c r="A2388" s="79">
        <f>IF('Ordenes_Odoo'!A2388="","",'Ordenes_Odoo'!A2388)</f>
        <v/>
      </c>
      <c r="B2388" s="80">
        <f>IF('Ordenes_Odoo'!B2388="","",'Ordenes_Odoo'!B2388)</f>
        <v/>
      </c>
      <c r="C2388" s="79">
        <f>IF('Ordenes_Odoo'!C2388="","",'Ordenes_Odoo'!C2388)</f>
        <v/>
      </c>
      <c r="D2388" s="79">
        <f>IF('Ordenes_Odoo'!D2388="","",'Ordenes_Odoo'!D2388)</f>
        <v/>
      </c>
      <c r="E2388" s="79">
        <f>IF('Ordenes_Odoo'!E2388="","",'Ordenes_Odoo'!E2388)</f>
        <v/>
      </c>
      <c r="F2388" s="79">
        <f>IF('Ordenes_Odoo'!F2388="","",'Ordenes_Odoo'!F2388)</f>
        <v/>
      </c>
      <c r="G2388" s="79">
        <f>IF('Ordenes_Odoo'!G2388="","",'Ordenes_Odoo'!G2388)</f>
        <v/>
      </c>
      <c r="H2388" s="79">
        <f>IF('Ordenes_Odoo'!H2388="","",'Ordenes_Odoo'!H2388)</f>
        <v/>
      </c>
      <c r="I2388" s="79">
        <f>IF('Ordenes_Odoo'!I2388="","",'Ordenes_Odoo'!I2388)</f>
        <v/>
      </c>
      <c r="J2388" s="79">
        <f>IF('Ordenes_Odoo'!J2388="","",'Ordenes_Odoo'!J2388)</f>
        <v/>
      </c>
      <c r="K2388" s="81">
        <f>IF('Ordenes_Odoo'!K2388="","",'Ordenes_Odoo'!K2388)</f>
        <v/>
      </c>
      <c r="L2388" s="81">
        <f>IF('Ordenes_Odoo'!L2388="","",'Ordenes_Odoo'!L2388)</f>
        <v/>
      </c>
      <c r="M2388" s="79">
        <f>IF('Ordenes_Odoo'!M2388="","",'Ordenes_Odoo'!M2388)</f>
        <v/>
      </c>
      <c r="N2388" s="79">
        <f>IF('Ordenes_Odoo'!N2388="","",'Ordenes_Odoo'!N2388)</f>
        <v/>
      </c>
      <c r="O2388" s="81">
        <f>IF('Ordenes_Odoo'!O2388="","",'Ordenes_Odoo'!O2388)</f>
        <v/>
      </c>
      <c r="P2388" s="81">
        <f>IF('Ordenes_Odoo'!P2388="","",'Ordenes_Odoo'!P2388)</f>
        <v/>
      </c>
      <c r="Q2388" s="79">
        <f>IF(A2388="","",IFERROR(INDEX(Facturas_Odoo!$B:$B, MATCH(A2388, Facturas_Odoo!$D:$D, 0)), "Sin Factura"))</f>
        <v/>
      </c>
      <c r="R2388" s="80">
        <f>IF(Q2388="Sin Factura","",IFERROR(INDEX(Facturas_Odoo!$A:$A, MATCH(Q2388, Facturas_Odoo!$B:$B, 0)), ""))</f>
        <v/>
      </c>
      <c r="S2388" s="79">
        <f>IF(Q2388="Sin Factura","",IFERROR(_xlfn.XLOOKUP(1, (Facturas_Odoo!$D:$D=A2388) * (Facturas_Odoo!$K:$K=I2388), Facturas_Odoo!$L:$L, ""), ""))</f>
        <v/>
      </c>
      <c r="T2388" s="81">
        <f>IF(Q2388="Sin Factura",0,IFERROR(_xlfn.XLOOKUP(1, (Facturas_Odoo!$D:$D=A2388) * (Facturas_Odoo!$K:$K=I2388), Facturas_Odoo!$M:$M, 0), 0))</f>
        <v/>
      </c>
      <c r="U2388" s="79">
        <f>IF(Q2388="Sin Factura",0,IFERROR(_xlfn.XLOOKUP(1, (Facturas_Odoo!$D:$D=A2388) * (Facturas_Odoo!$K:$K=I2388), Facturas_Odoo!$N:$N, 0), 0))</f>
        <v/>
      </c>
      <c r="V2388" s="79">
        <f>IF(Q2388="Sin Factura",0,IFERROR(_xlfn.XLOOKUP(1, (Facturas_Odoo!$D:$D=A2388) * (Facturas_Odoo!$K:$K=I2388), Facturas_Odoo!$O:$O, 0), 0))</f>
        <v/>
      </c>
      <c r="W2388" s="81">
        <f>IF(Q2388="Sin Factura",0,IFERROR(_xlfn.XLOOKUP(1, (Facturas_Odoo!$D:$D=A2388) * (Facturas_Odoo!$K:$K=I2388), Facturas_Odoo!$Q:$Q, 0), 0))</f>
        <v/>
      </c>
      <c r="X2388" s="79">
        <f>IF(OR(Q2388="Sin Factura",Q2388=""),"",IFERROR(INDEX(Pagos_Odoo!$B:$B, MATCH(Q2388, Pagos_Odoo!$I:$I, 0)), "Sin Pago"))</f>
        <v/>
      </c>
      <c r="Y2388" s="79">
        <f>IF(X2388="Sin Pago","",IFERROR(INDEX(Pagos_Odoo!$C:$C, MATCH(X2388, Pagos_Odoo!$B:$B, 0)), ""))</f>
        <v/>
      </c>
      <c r="Z2388" s="80">
        <f>IF(X2388="Sin Pago","",IFERROR(INDEX(Pagos_Odoo!$A:$A, MATCH(X2388, Pagos_Odoo!$B:$B, 0)), ""))</f>
        <v/>
      </c>
      <c r="AA2388" s="79">
        <f>IF(X2388="Sin Pago","",IFERROR(INDEX(Pagos_Odoo!$F:$F, MATCH(X2388, Pagos_Odoo!$B:$B, 0)), ""))</f>
        <v/>
      </c>
      <c r="AB2388" s="81">
        <f>IF(X2388="Sin Pago",0,IFERROR(INDEX(Pagos_Odoo!$E:$E, MATCH(X2388, Pagos_Odoo!$B:$B, 0)), 0))</f>
        <v/>
      </c>
      <c r="AC2388" s="79">
        <f>IF(X2388="Sin Pago","",IFERROR(INDEX(Pagos_Odoo!$G:$G, MATCH(X2388, Pagos_Odoo!$B:$B, 0)), ""))</f>
        <v/>
      </c>
      <c r="AD2388" s="82" t="n">
        <v>0</v>
      </c>
      <c r="AE2388" s="82" t="n"/>
      <c r="AF2388" s="82" t="n"/>
      <c r="AG2388" s="82">
        <f>IF(AN2388="","",AD2388+AE2388+AF2388)</f>
        <v/>
      </c>
      <c r="AH2388" s="81">
        <f>IF(AN2388="","",P2388*(1-AG2388))</f>
        <v/>
      </c>
      <c r="AI2388" s="81">
        <f>IF(AN2388="","",IF(Q2388="Sin Factura",0,IFERROR(INDEX(Facturas_Odoo!$H:$H, MATCH(Q2388, Facturas_Odoo!$B:$B, 0)), 0)*(1-AG2388)))</f>
        <v/>
      </c>
      <c r="AJ2388" s="81">
        <f>IF(AN2388="","",_xlfn.LET(idVenta, AN2388&amp;"",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88" s="81">
        <f>IF(AN2388="","",AH2388-AJ2388)</f>
        <v/>
      </c>
      <c r="AL2388" s="81">
        <f>IF(AN2388="","",IF(Q2388="Sin Factura","",AI2388-AJ2388))</f>
        <v/>
      </c>
      <c r="AM2388" s="81">
        <f>IF(AN2388="","",IF(Q2388="Sin Factura",0,P2388-IFERROR(INDEX(Facturas_Odoo!$H:$H, MATCH(Q2388, Facturas_Odoo!$B:$B, 0)), 0)))</f>
        <v/>
      </c>
      <c r="AN2388" s="79">
        <f>IF(AND(A2388="", J2388=""), "", IF(A2388&lt;&gt;"", VALUE(MID(A2388,2,LEN(A2388))), AN2387))</f>
        <v/>
      </c>
      <c r="AO2388" s="79">
        <f>IF(AN2388="","",IF(AD2388=0,"OK",_xlfn.LET(monedaPago, IF(AA2388="","USD",AA2388), limitePermitido, IFERROR(VLOOKUP(monedaPago, Configuración!$A$2:$B$3, 2, FALSE), 0.15), IF(AD2388&gt;limitePermitido, "ALERTA: EXCESO (" &amp; TEXT(limitePermitido, "0%") &amp; " máx)", "OK"))))</f>
        <v/>
      </c>
      <c r="AP2388" s="79">
        <f>IF(AN2388="","",IF(AE2388=0,"OK",_xlfn.LET(fechaPago, Z2388, fechaFactura, R2388, diasCredito, IF(E2388="Pago inmediato", 0, IFERROR(VALUE(MID(E2388, 1, SEARCH(" ", E2388)-1)),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88" s="79">
        <f>IF(AN2388="","",IF(AND(N2388&gt;0, AG2388&gt;0), IF(Configuración!$K$2="NO", "ALERTA: DESCUENTO DOBLE NO PERMITIDO", "OK"), "OK"))</f>
        <v/>
      </c>
      <c r="AR2388" s="79">
        <f>IF(AN2388="","",IF(OR(AO2388&lt;&gt;"OK", AP2388&lt;&gt;"OK", AQ2388&lt;&gt;"OK"), "⚠️ REVISAR", "OK"))</f>
        <v/>
      </c>
    </row>
    <row r="2389">
      <c r="A2389" s="79">
        <f>IF('Ordenes_Odoo'!A2389="","",'Ordenes_Odoo'!A2389)</f>
        <v/>
      </c>
      <c r="B2389" s="80">
        <f>IF('Ordenes_Odoo'!B2389="","",'Ordenes_Odoo'!B2389)</f>
        <v/>
      </c>
      <c r="C2389" s="79">
        <f>IF('Ordenes_Odoo'!C2389="","",'Ordenes_Odoo'!C2389)</f>
        <v/>
      </c>
      <c r="D2389" s="79">
        <f>IF('Ordenes_Odoo'!D2389="","",'Ordenes_Odoo'!D2389)</f>
        <v/>
      </c>
      <c r="E2389" s="79">
        <f>IF('Ordenes_Odoo'!E2389="","",'Ordenes_Odoo'!E2389)</f>
        <v/>
      </c>
      <c r="F2389" s="79">
        <f>IF('Ordenes_Odoo'!F2389="","",'Ordenes_Odoo'!F2389)</f>
        <v/>
      </c>
      <c r="G2389" s="79">
        <f>IF('Ordenes_Odoo'!G2389="","",'Ordenes_Odoo'!G2389)</f>
        <v/>
      </c>
      <c r="H2389" s="79">
        <f>IF('Ordenes_Odoo'!H2389="","",'Ordenes_Odoo'!H2389)</f>
        <v/>
      </c>
      <c r="I2389" s="79">
        <f>IF('Ordenes_Odoo'!I2389="","",'Ordenes_Odoo'!I2389)</f>
        <v/>
      </c>
      <c r="J2389" s="79">
        <f>IF('Ordenes_Odoo'!J2389="","",'Ordenes_Odoo'!J2389)</f>
        <v/>
      </c>
      <c r="K2389" s="81">
        <f>IF('Ordenes_Odoo'!K2389="","",'Ordenes_Odoo'!K2389)</f>
        <v/>
      </c>
      <c r="L2389" s="81">
        <f>IF('Ordenes_Odoo'!L2389="","",'Ordenes_Odoo'!L2389)</f>
        <v/>
      </c>
      <c r="M2389" s="79">
        <f>IF('Ordenes_Odoo'!M2389="","",'Ordenes_Odoo'!M2389)</f>
        <v/>
      </c>
      <c r="N2389" s="79">
        <f>IF('Ordenes_Odoo'!N2389="","",'Ordenes_Odoo'!N2389)</f>
        <v/>
      </c>
      <c r="O2389" s="81">
        <f>IF('Ordenes_Odoo'!O2389="","",'Ordenes_Odoo'!O2389)</f>
        <v/>
      </c>
      <c r="P2389" s="81">
        <f>IF('Ordenes_Odoo'!P2389="","",'Ordenes_Odoo'!P2389)</f>
        <v/>
      </c>
      <c r="Q2389" s="79">
        <f>IF(A2389="","",IFERROR(INDEX(Facturas_Odoo!$B:$B, MATCH(A2389, Facturas_Odoo!$D:$D, 0)), "Sin Factura"))</f>
        <v/>
      </c>
      <c r="R2389" s="80">
        <f>IF(Q2389="Sin Factura","",IFERROR(INDEX(Facturas_Odoo!$A:$A, MATCH(Q2389, Facturas_Odoo!$B:$B, 0)), ""))</f>
        <v/>
      </c>
      <c r="S2389" s="79">
        <f>IF(Q2389="Sin Factura","",IFERROR(_xlfn.XLOOKUP(1, (Facturas_Odoo!$D:$D=A2389) * (Facturas_Odoo!$K:$K=I2389), Facturas_Odoo!$L:$L, ""), ""))</f>
        <v/>
      </c>
      <c r="T2389" s="81">
        <f>IF(Q2389="Sin Factura",0,IFERROR(_xlfn.XLOOKUP(1, (Facturas_Odoo!$D:$D=A2389) * (Facturas_Odoo!$K:$K=I2389), Facturas_Odoo!$M:$M, 0), 0))</f>
        <v/>
      </c>
      <c r="U2389" s="79">
        <f>IF(Q2389="Sin Factura",0,IFERROR(_xlfn.XLOOKUP(1, (Facturas_Odoo!$D:$D=A2389) * (Facturas_Odoo!$K:$K=I2389), Facturas_Odoo!$N:$N, 0), 0))</f>
        <v/>
      </c>
      <c r="V2389" s="79">
        <f>IF(Q2389="Sin Factura",0,IFERROR(_xlfn.XLOOKUP(1, (Facturas_Odoo!$D:$D=A2389) * (Facturas_Odoo!$K:$K=I2389), Facturas_Odoo!$O:$O, 0), 0))</f>
        <v/>
      </c>
      <c r="W2389" s="81">
        <f>IF(Q2389="Sin Factura",0,IFERROR(_xlfn.XLOOKUP(1, (Facturas_Odoo!$D:$D=A2389) * (Facturas_Odoo!$K:$K=I2389), Facturas_Odoo!$Q:$Q, 0), 0))</f>
        <v/>
      </c>
      <c r="X2389" s="79">
        <f>IF(OR(Q2389="Sin Factura",Q2389=""),"",IFERROR(INDEX(Pagos_Odoo!$B:$B, MATCH(Q2389, Pagos_Odoo!$I:$I, 0)), "Sin Pago"))</f>
        <v/>
      </c>
      <c r="Y2389" s="79">
        <f>IF(X2389="Sin Pago","",IFERROR(INDEX(Pagos_Odoo!$C:$C, MATCH(X2389, Pagos_Odoo!$B:$B, 0)), ""))</f>
        <v/>
      </c>
      <c r="Z2389" s="80">
        <f>IF(X2389="Sin Pago","",IFERROR(INDEX(Pagos_Odoo!$A:$A, MATCH(X2389, Pagos_Odoo!$B:$B, 0)), ""))</f>
        <v/>
      </c>
      <c r="AA2389" s="79">
        <f>IF(X2389="Sin Pago","",IFERROR(INDEX(Pagos_Odoo!$F:$F, MATCH(X2389, Pagos_Odoo!$B:$B, 0)), ""))</f>
        <v/>
      </c>
      <c r="AB2389" s="81">
        <f>IF(X2389="Sin Pago",0,IFERROR(INDEX(Pagos_Odoo!$E:$E, MATCH(X2389, Pagos_Odoo!$B:$B, 0)), 0))</f>
        <v/>
      </c>
      <c r="AC2389" s="79">
        <f>IF(X2389="Sin Pago","",IFERROR(INDEX(Pagos_Odoo!$G:$G, MATCH(X2389, Pagos_Odoo!$B:$B, 0)), ""))</f>
        <v/>
      </c>
      <c r="AD2389" s="82" t="n">
        <v>0</v>
      </c>
      <c r="AE2389" s="82" t="n"/>
      <c r="AF2389" s="82" t="n"/>
      <c r="AG2389" s="82">
        <f>IF(AN2389="","",AD2389+AE2389+AF2389)</f>
        <v/>
      </c>
      <c r="AH2389" s="81">
        <f>IF(AN2389="","",P2389*(1-AG2389))</f>
        <v/>
      </c>
      <c r="AI2389" s="81">
        <f>IF(AN2389="","",IF(Q2389="Sin Factura",0,IFERROR(INDEX(Facturas_Odoo!$H:$H, MATCH(Q2389, Facturas_Odoo!$B:$B, 0)), 0)*(1-AG2389)))</f>
        <v/>
      </c>
      <c r="AJ2389" s="81">
        <f>IF(AN2389="","",_xlfn.LET(idVenta, AN2389&amp;"",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89" s="81">
        <f>IF(AN2389="","",AH2389-AJ2389)</f>
        <v/>
      </c>
      <c r="AL2389" s="81">
        <f>IF(AN2389="","",IF(Q2389="Sin Factura","",AI2389-AJ2389))</f>
        <v/>
      </c>
      <c r="AM2389" s="81">
        <f>IF(AN2389="","",IF(Q2389="Sin Factura",0,P2389-IFERROR(INDEX(Facturas_Odoo!$H:$H, MATCH(Q2389, Facturas_Odoo!$B:$B, 0)), 0)))</f>
        <v/>
      </c>
      <c r="AN2389" s="79">
        <f>IF(AND(A2389="", J2389=""), "", IF(A2389&lt;&gt;"", VALUE(MID(A2389,2,LEN(A2389))), AN2388))</f>
        <v/>
      </c>
      <c r="AO2389" s="79">
        <f>IF(AN2389="","",IF(AD2389=0,"OK",_xlfn.LET(monedaPago, IF(AA2389="","USD",AA2389), limitePermitido, IFERROR(VLOOKUP(monedaPago, Configuración!$A$2:$B$3, 2, FALSE), 0.15), IF(AD2389&gt;limitePermitido, "ALERTA: EXCESO (" &amp; TEXT(limitePermitido, "0%") &amp; " máx)", "OK"))))</f>
        <v/>
      </c>
      <c r="AP2389" s="79">
        <f>IF(AN2389="","",IF(AE2389=0,"OK",_xlfn.LET(fechaPago, Z2389, fechaFactura, R2389, diasCredito, IF(E2389="Pago inmediato", 0, IFERROR(VALUE(MID(E2389, 1, SEARCH(" ", E2389)-1)),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89" s="79">
        <f>IF(AN2389="","",IF(AND(N2389&gt;0, AG2389&gt;0), IF(Configuración!$K$2="NO", "ALERTA: DESCUENTO DOBLE NO PERMITIDO", "OK"), "OK"))</f>
        <v/>
      </c>
      <c r="AR2389" s="79">
        <f>IF(AN2389="","",IF(OR(AO2389&lt;&gt;"OK", AP2389&lt;&gt;"OK", AQ2389&lt;&gt;"OK"), "⚠️ REVISAR", "OK"))</f>
        <v/>
      </c>
    </row>
    <row r="2390">
      <c r="A2390" s="79">
        <f>IF('Ordenes_Odoo'!A2390="","",'Ordenes_Odoo'!A2390)</f>
        <v/>
      </c>
      <c r="B2390" s="80">
        <f>IF('Ordenes_Odoo'!B2390="","",'Ordenes_Odoo'!B2390)</f>
        <v/>
      </c>
      <c r="C2390" s="79">
        <f>IF('Ordenes_Odoo'!C2390="","",'Ordenes_Odoo'!C2390)</f>
        <v/>
      </c>
      <c r="D2390" s="79">
        <f>IF('Ordenes_Odoo'!D2390="","",'Ordenes_Odoo'!D2390)</f>
        <v/>
      </c>
      <c r="E2390" s="79">
        <f>IF('Ordenes_Odoo'!E2390="","",'Ordenes_Odoo'!E2390)</f>
        <v/>
      </c>
      <c r="F2390" s="79">
        <f>IF('Ordenes_Odoo'!F2390="","",'Ordenes_Odoo'!F2390)</f>
        <v/>
      </c>
      <c r="G2390" s="79">
        <f>IF('Ordenes_Odoo'!G2390="","",'Ordenes_Odoo'!G2390)</f>
        <v/>
      </c>
      <c r="H2390" s="79">
        <f>IF('Ordenes_Odoo'!H2390="","",'Ordenes_Odoo'!H2390)</f>
        <v/>
      </c>
      <c r="I2390" s="79">
        <f>IF('Ordenes_Odoo'!I2390="","",'Ordenes_Odoo'!I2390)</f>
        <v/>
      </c>
      <c r="J2390" s="79">
        <f>IF('Ordenes_Odoo'!J2390="","",'Ordenes_Odoo'!J2390)</f>
        <v/>
      </c>
      <c r="K2390" s="81">
        <f>IF('Ordenes_Odoo'!K2390="","",'Ordenes_Odoo'!K2390)</f>
        <v/>
      </c>
      <c r="L2390" s="81">
        <f>IF('Ordenes_Odoo'!L2390="","",'Ordenes_Odoo'!L2390)</f>
        <v/>
      </c>
      <c r="M2390" s="79">
        <f>IF('Ordenes_Odoo'!M2390="","",'Ordenes_Odoo'!M2390)</f>
        <v/>
      </c>
      <c r="N2390" s="79">
        <f>IF('Ordenes_Odoo'!N2390="","",'Ordenes_Odoo'!N2390)</f>
        <v/>
      </c>
      <c r="O2390" s="81">
        <f>IF('Ordenes_Odoo'!O2390="","",'Ordenes_Odoo'!O2390)</f>
        <v/>
      </c>
      <c r="P2390" s="81">
        <f>IF('Ordenes_Odoo'!P2390="","",'Ordenes_Odoo'!P2390)</f>
        <v/>
      </c>
      <c r="Q2390" s="79">
        <f>IF(A2390="","",IFERROR(INDEX(Facturas_Odoo!$B:$B, MATCH(A2390, Facturas_Odoo!$D:$D, 0)), "Sin Factura"))</f>
        <v/>
      </c>
      <c r="R2390" s="80">
        <f>IF(Q2390="Sin Factura","",IFERROR(INDEX(Facturas_Odoo!$A:$A, MATCH(Q2390, Facturas_Odoo!$B:$B, 0)), ""))</f>
        <v/>
      </c>
      <c r="S2390" s="79">
        <f>IF(Q2390="Sin Factura","",IFERROR(_xlfn.XLOOKUP(1, (Facturas_Odoo!$D:$D=A2390) * (Facturas_Odoo!$K:$K=I2390), Facturas_Odoo!$L:$L, ""), ""))</f>
        <v/>
      </c>
      <c r="T2390" s="81">
        <f>IF(Q2390="Sin Factura",0,IFERROR(_xlfn.XLOOKUP(1, (Facturas_Odoo!$D:$D=A2390) * (Facturas_Odoo!$K:$K=I2390), Facturas_Odoo!$M:$M, 0), 0))</f>
        <v/>
      </c>
      <c r="U2390" s="79">
        <f>IF(Q2390="Sin Factura",0,IFERROR(_xlfn.XLOOKUP(1, (Facturas_Odoo!$D:$D=A2390) * (Facturas_Odoo!$K:$K=I2390), Facturas_Odoo!$N:$N, 0), 0))</f>
        <v/>
      </c>
      <c r="V2390" s="79">
        <f>IF(Q2390="Sin Factura",0,IFERROR(_xlfn.XLOOKUP(1, (Facturas_Odoo!$D:$D=A2390) * (Facturas_Odoo!$K:$K=I2390), Facturas_Odoo!$O:$O, 0), 0))</f>
        <v/>
      </c>
      <c r="W2390" s="81">
        <f>IF(Q2390="Sin Factura",0,IFERROR(_xlfn.XLOOKUP(1, (Facturas_Odoo!$D:$D=A2390) * (Facturas_Odoo!$K:$K=I2390), Facturas_Odoo!$Q:$Q, 0), 0))</f>
        <v/>
      </c>
      <c r="X2390" s="79">
        <f>IF(OR(Q2390="Sin Factura",Q2390=""),"",IFERROR(INDEX(Pagos_Odoo!$B:$B, MATCH(Q2390, Pagos_Odoo!$I:$I, 0)), "Sin Pago"))</f>
        <v/>
      </c>
      <c r="Y2390" s="79">
        <f>IF(X2390="Sin Pago","",IFERROR(INDEX(Pagos_Odoo!$C:$C, MATCH(X2390, Pagos_Odoo!$B:$B, 0)), ""))</f>
        <v/>
      </c>
      <c r="Z2390" s="80">
        <f>IF(X2390="Sin Pago","",IFERROR(INDEX(Pagos_Odoo!$A:$A, MATCH(X2390, Pagos_Odoo!$B:$B, 0)), ""))</f>
        <v/>
      </c>
      <c r="AA2390" s="79">
        <f>IF(X2390="Sin Pago","",IFERROR(INDEX(Pagos_Odoo!$F:$F, MATCH(X2390, Pagos_Odoo!$B:$B, 0)), ""))</f>
        <v/>
      </c>
      <c r="AB2390" s="81">
        <f>IF(X2390="Sin Pago",0,IFERROR(INDEX(Pagos_Odoo!$E:$E, MATCH(X2390, Pagos_Odoo!$B:$B, 0)), 0))</f>
        <v/>
      </c>
      <c r="AC2390" s="79">
        <f>IF(X2390="Sin Pago","",IFERROR(INDEX(Pagos_Odoo!$G:$G, MATCH(X2390, Pagos_Odoo!$B:$B, 0)), ""))</f>
        <v/>
      </c>
      <c r="AD2390" s="82" t="n">
        <v>0</v>
      </c>
      <c r="AE2390" s="82" t="n"/>
      <c r="AF2390" s="82" t="n"/>
      <c r="AG2390" s="82">
        <f>IF(AN2390="","",AD2390+AE2390+AF2390)</f>
        <v/>
      </c>
      <c r="AH2390" s="81">
        <f>IF(AN2390="","",P2390*(1-AG2390))</f>
        <v/>
      </c>
      <c r="AI2390" s="81">
        <f>IF(AN2390="","",IF(Q2390="Sin Factura",0,IFERROR(INDEX(Facturas_Odoo!$H:$H, MATCH(Q2390, Facturas_Odoo!$B:$B, 0)), 0)*(1-AG2390)))</f>
        <v/>
      </c>
      <c r="AJ2390" s="81">
        <f>IF(AN2390="","",_xlfn.LET(idVenta, AN2390&amp;"",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90" s="81">
        <f>IF(AN2390="","",AH2390-AJ2390)</f>
        <v/>
      </c>
      <c r="AL2390" s="81">
        <f>IF(AN2390="","",IF(Q2390="Sin Factura","",AI2390-AJ2390))</f>
        <v/>
      </c>
      <c r="AM2390" s="81">
        <f>IF(AN2390="","",IF(Q2390="Sin Factura",0,P2390-IFERROR(INDEX(Facturas_Odoo!$H:$H, MATCH(Q2390, Facturas_Odoo!$B:$B, 0)), 0)))</f>
        <v/>
      </c>
      <c r="AN2390" s="79">
        <f>IF(AND(A2390="", J2390=""), "", IF(A2390&lt;&gt;"", VALUE(MID(A2390,2,LEN(A2390))), AN2389))</f>
        <v/>
      </c>
      <c r="AO2390" s="79">
        <f>IF(AN2390="","",IF(AD2390=0,"OK",_xlfn.LET(monedaPago, IF(AA2390="","USD",AA2390), limitePermitido, IFERROR(VLOOKUP(monedaPago, Configuración!$A$2:$B$3, 2, FALSE), 0.15), IF(AD2390&gt;limitePermitido, "ALERTA: EXCESO (" &amp; TEXT(limitePermitido, "0%") &amp; " máx)", "OK"))))</f>
        <v/>
      </c>
      <c r="AP2390" s="79">
        <f>IF(AN2390="","",IF(AE2390=0,"OK",_xlfn.LET(fechaPago, Z2390, fechaFactura, R2390, diasCredito, IF(E2390="Pago inmediato", 0, IFERROR(VALUE(MID(E2390, 1, SEARCH(" ", E2390)-1)),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90" s="79">
        <f>IF(AN2390="","",IF(AND(N2390&gt;0, AG2390&gt;0), IF(Configuración!$K$2="NO", "ALERTA: DESCUENTO DOBLE NO PERMITIDO", "OK"), "OK"))</f>
        <v/>
      </c>
      <c r="AR2390" s="79">
        <f>IF(AN2390="","",IF(OR(AO2390&lt;&gt;"OK", AP2390&lt;&gt;"OK", AQ2390&lt;&gt;"OK"), "⚠️ REVISAR", "OK"))</f>
        <v/>
      </c>
    </row>
    <row r="2391">
      <c r="A2391" s="79">
        <f>IF('Ordenes_Odoo'!A2391="","",'Ordenes_Odoo'!A2391)</f>
        <v/>
      </c>
      <c r="B2391" s="80">
        <f>IF('Ordenes_Odoo'!B2391="","",'Ordenes_Odoo'!B2391)</f>
        <v/>
      </c>
      <c r="C2391" s="79">
        <f>IF('Ordenes_Odoo'!C2391="","",'Ordenes_Odoo'!C2391)</f>
        <v/>
      </c>
      <c r="D2391" s="79">
        <f>IF('Ordenes_Odoo'!D2391="","",'Ordenes_Odoo'!D2391)</f>
        <v/>
      </c>
      <c r="E2391" s="79">
        <f>IF('Ordenes_Odoo'!E2391="","",'Ordenes_Odoo'!E2391)</f>
        <v/>
      </c>
      <c r="F2391" s="79">
        <f>IF('Ordenes_Odoo'!F2391="","",'Ordenes_Odoo'!F2391)</f>
        <v/>
      </c>
      <c r="G2391" s="79">
        <f>IF('Ordenes_Odoo'!G2391="","",'Ordenes_Odoo'!G2391)</f>
        <v/>
      </c>
      <c r="H2391" s="79">
        <f>IF('Ordenes_Odoo'!H2391="","",'Ordenes_Odoo'!H2391)</f>
        <v/>
      </c>
      <c r="I2391" s="79">
        <f>IF('Ordenes_Odoo'!I2391="","",'Ordenes_Odoo'!I2391)</f>
        <v/>
      </c>
      <c r="J2391" s="79">
        <f>IF('Ordenes_Odoo'!J2391="","",'Ordenes_Odoo'!J2391)</f>
        <v/>
      </c>
      <c r="K2391" s="81">
        <f>IF('Ordenes_Odoo'!K2391="","",'Ordenes_Odoo'!K2391)</f>
        <v/>
      </c>
      <c r="L2391" s="81">
        <f>IF('Ordenes_Odoo'!L2391="","",'Ordenes_Odoo'!L2391)</f>
        <v/>
      </c>
      <c r="M2391" s="79">
        <f>IF('Ordenes_Odoo'!M2391="","",'Ordenes_Odoo'!M2391)</f>
        <v/>
      </c>
      <c r="N2391" s="79">
        <f>IF('Ordenes_Odoo'!N2391="","",'Ordenes_Odoo'!N2391)</f>
        <v/>
      </c>
      <c r="O2391" s="81">
        <f>IF('Ordenes_Odoo'!O2391="","",'Ordenes_Odoo'!O2391)</f>
        <v/>
      </c>
      <c r="P2391" s="81">
        <f>IF('Ordenes_Odoo'!P2391="","",'Ordenes_Odoo'!P2391)</f>
        <v/>
      </c>
      <c r="Q2391" s="79">
        <f>IF(A2391="","",IFERROR(INDEX(Facturas_Odoo!$B:$B, MATCH(A2391, Facturas_Odoo!$D:$D, 0)), "Sin Factura"))</f>
        <v/>
      </c>
      <c r="R2391" s="80">
        <f>IF(Q2391="Sin Factura","",IFERROR(INDEX(Facturas_Odoo!$A:$A, MATCH(Q2391, Facturas_Odoo!$B:$B, 0)), ""))</f>
        <v/>
      </c>
      <c r="S2391" s="79">
        <f>IF(Q2391="Sin Factura","",IFERROR(_xlfn.XLOOKUP(1, (Facturas_Odoo!$D:$D=A2391) * (Facturas_Odoo!$K:$K=I2391), Facturas_Odoo!$L:$L, ""), ""))</f>
        <v/>
      </c>
      <c r="T2391" s="81">
        <f>IF(Q2391="Sin Factura",0,IFERROR(_xlfn.XLOOKUP(1, (Facturas_Odoo!$D:$D=A2391) * (Facturas_Odoo!$K:$K=I2391), Facturas_Odoo!$M:$M, 0), 0))</f>
        <v/>
      </c>
      <c r="U2391" s="79">
        <f>IF(Q2391="Sin Factura",0,IFERROR(_xlfn.XLOOKUP(1, (Facturas_Odoo!$D:$D=A2391) * (Facturas_Odoo!$K:$K=I2391), Facturas_Odoo!$N:$N, 0), 0))</f>
        <v/>
      </c>
      <c r="V2391" s="79">
        <f>IF(Q2391="Sin Factura",0,IFERROR(_xlfn.XLOOKUP(1, (Facturas_Odoo!$D:$D=A2391) * (Facturas_Odoo!$K:$K=I2391), Facturas_Odoo!$O:$O, 0), 0))</f>
        <v/>
      </c>
      <c r="W2391" s="81">
        <f>IF(Q2391="Sin Factura",0,IFERROR(_xlfn.XLOOKUP(1, (Facturas_Odoo!$D:$D=A2391) * (Facturas_Odoo!$K:$K=I2391), Facturas_Odoo!$Q:$Q, 0), 0))</f>
        <v/>
      </c>
      <c r="X2391" s="79">
        <f>IF(OR(Q2391="Sin Factura",Q2391=""),"",IFERROR(INDEX(Pagos_Odoo!$B:$B, MATCH(Q2391, Pagos_Odoo!$I:$I, 0)), "Sin Pago"))</f>
        <v/>
      </c>
      <c r="Y2391" s="79">
        <f>IF(X2391="Sin Pago","",IFERROR(INDEX(Pagos_Odoo!$C:$C, MATCH(X2391, Pagos_Odoo!$B:$B, 0)), ""))</f>
        <v/>
      </c>
      <c r="Z2391" s="80">
        <f>IF(X2391="Sin Pago","",IFERROR(INDEX(Pagos_Odoo!$A:$A, MATCH(X2391, Pagos_Odoo!$B:$B, 0)), ""))</f>
        <v/>
      </c>
      <c r="AA2391" s="79">
        <f>IF(X2391="Sin Pago","",IFERROR(INDEX(Pagos_Odoo!$F:$F, MATCH(X2391, Pagos_Odoo!$B:$B, 0)), ""))</f>
        <v/>
      </c>
      <c r="AB2391" s="81">
        <f>IF(X2391="Sin Pago",0,IFERROR(INDEX(Pagos_Odoo!$E:$E, MATCH(X2391, Pagos_Odoo!$B:$B, 0)), 0))</f>
        <v/>
      </c>
      <c r="AC2391" s="79">
        <f>IF(X2391="Sin Pago","",IFERROR(INDEX(Pagos_Odoo!$G:$G, MATCH(X2391, Pagos_Odoo!$B:$B, 0)), ""))</f>
        <v/>
      </c>
      <c r="AD2391" s="82" t="n">
        <v>0</v>
      </c>
      <c r="AE2391" s="82" t="n"/>
      <c r="AF2391" s="82" t="n"/>
      <c r="AG2391" s="82">
        <f>IF(AN2391="","",AD2391+AE2391+AF2391)</f>
        <v/>
      </c>
      <c r="AH2391" s="81">
        <f>IF(AN2391="","",P2391*(1-AG2391))</f>
        <v/>
      </c>
      <c r="AI2391" s="81">
        <f>IF(AN2391="","",IF(Q2391="Sin Factura",0,IFERROR(INDEX(Facturas_Odoo!$H:$H, MATCH(Q2391, Facturas_Odoo!$B:$B, 0)), 0)*(1-AG2391)))</f>
        <v/>
      </c>
      <c r="AJ2391" s="81">
        <f>IF(AN2391="","",_xlfn.LET(idVenta, AN2391&amp;"",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91" s="81">
        <f>IF(AN2391="","",AH2391-AJ2391)</f>
        <v/>
      </c>
      <c r="AL2391" s="81">
        <f>IF(AN2391="","",IF(Q2391="Sin Factura","",AI2391-AJ2391))</f>
        <v/>
      </c>
      <c r="AM2391" s="81">
        <f>IF(AN2391="","",IF(Q2391="Sin Factura",0,P2391-IFERROR(INDEX(Facturas_Odoo!$H:$H, MATCH(Q2391, Facturas_Odoo!$B:$B, 0)), 0)))</f>
        <v/>
      </c>
      <c r="AN2391" s="79">
        <f>IF(AND(A2391="", J2391=""), "", IF(A2391&lt;&gt;"", VALUE(MID(A2391,2,LEN(A2391))), AN2390))</f>
        <v/>
      </c>
      <c r="AO2391" s="79">
        <f>IF(AN2391="","",IF(AD2391=0,"OK",_xlfn.LET(monedaPago, IF(AA2391="","USD",AA2391), limitePermitido, IFERROR(VLOOKUP(monedaPago, Configuración!$A$2:$B$3, 2, FALSE), 0.15), IF(AD2391&gt;limitePermitido, "ALERTA: EXCESO (" &amp; TEXT(limitePermitido, "0%") &amp; " máx)", "OK"))))</f>
        <v/>
      </c>
      <c r="AP2391" s="79">
        <f>IF(AN2391="","",IF(AE2391=0,"OK",_xlfn.LET(fechaPago, Z2391, fechaFactura, R2391, diasCredito, IF(E2391="Pago inmediato", 0, IFERROR(VALUE(MID(E2391, 1, SEARCH(" ", E2391)-1)),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91" s="79">
        <f>IF(AN2391="","",IF(AND(N2391&gt;0, AG2391&gt;0), IF(Configuración!$K$2="NO", "ALERTA: DESCUENTO DOBLE NO PERMITIDO", "OK"), "OK"))</f>
        <v/>
      </c>
      <c r="AR2391" s="79">
        <f>IF(AN2391="","",IF(OR(AO2391&lt;&gt;"OK", AP2391&lt;&gt;"OK", AQ2391&lt;&gt;"OK"), "⚠️ REVISAR", "OK"))</f>
        <v/>
      </c>
    </row>
    <row r="2392">
      <c r="A2392" s="79">
        <f>IF('Ordenes_Odoo'!A2392="","",'Ordenes_Odoo'!A2392)</f>
        <v/>
      </c>
      <c r="B2392" s="80">
        <f>IF('Ordenes_Odoo'!B2392="","",'Ordenes_Odoo'!B2392)</f>
        <v/>
      </c>
      <c r="C2392" s="79">
        <f>IF('Ordenes_Odoo'!C2392="","",'Ordenes_Odoo'!C2392)</f>
        <v/>
      </c>
      <c r="D2392" s="79">
        <f>IF('Ordenes_Odoo'!D2392="","",'Ordenes_Odoo'!D2392)</f>
        <v/>
      </c>
      <c r="E2392" s="79">
        <f>IF('Ordenes_Odoo'!E2392="","",'Ordenes_Odoo'!E2392)</f>
        <v/>
      </c>
      <c r="F2392" s="79">
        <f>IF('Ordenes_Odoo'!F2392="","",'Ordenes_Odoo'!F2392)</f>
        <v/>
      </c>
      <c r="G2392" s="79">
        <f>IF('Ordenes_Odoo'!G2392="","",'Ordenes_Odoo'!G2392)</f>
        <v/>
      </c>
      <c r="H2392" s="79">
        <f>IF('Ordenes_Odoo'!H2392="","",'Ordenes_Odoo'!H2392)</f>
        <v/>
      </c>
      <c r="I2392" s="79">
        <f>IF('Ordenes_Odoo'!I2392="","",'Ordenes_Odoo'!I2392)</f>
        <v/>
      </c>
      <c r="J2392" s="79">
        <f>IF('Ordenes_Odoo'!J2392="","",'Ordenes_Odoo'!J2392)</f>
        <v/>
      </c>
      <c r="K2392" s="81">
        <f>IF('Ordenes_Odoo'!K2392="","",'Ordenes_Odoo'!K2392)</f>
        <v/>
      </c>
      <c r="L2392" s="81">
        <f>IF('Ordenes_Odoo'!L2392="","",'Ordenes_Odoo'!L2392)</f>
        <v/>
      </c>
      <c r="M2392" s="79">
        <f>IF('Ordenes_Odoo'!M2392="","",'Ordenes_Odoo'!M2392)</f>
        <v/>
      </c>
      <c r="N2392" s="79">
        <f>IF('Ordenes_Odoo'!N2392="","",'Ordenes_Odoo'!N2392)</f>
        <v/>
      </c>
      <c r="O2392" s="81">
        <f>IF('Ordenes_Odoo'!O2392="","",'Ordenes_Odoo'!O2392)</f>
        <v/>
      </c>
      <c r="P2392" s="81">
        <f>IF('Ordenes_Odoo'!P2392="","",'Ordenes_Odoo'!P2392)</f>
        <v/>
      </c>
      <c r="Q2392" s="79">
        <f>IF(A2392="","",IFERROR(INDEX(Facturas_Odoo!$B:$B, MATCH(A2392, Facturas_Odoo!$D:$D, 0)), "Sin Factura"))</f>
        <v/>
      </c>
      <c r="R2392" s="80">
        <f>IF(Q2392="Sin Factura","",IFERROR(INDEX(Facturas_Odoo!$A:$A, MATCH(Q2392, Facturas_Odoo!$B:$B, 0)), ""))</f>
        <v/>
      </c>
      <c r="S2392" s="79">
        <f>IF(Q2392="Sin Factura","",IFERROR(_xlfn.XLOOKUP(1, (Facturas_Odoo!$D:$D=A2392) * (Facturas_Odoo!$K:$K=I2392), Facturas_Odoo!$L:$L, ""), ""))</f>
        <v/>
      </c>
      <c r="T2392" s="81">
        <f>IF(Q2392="Sin Factura",0,IFERROR(_xlfn.XLOOKUP(1, (Facturas_Odoo!$D:$D=A2392) * (Facturas_Odoo!$K:$K=I2392), Facturas_Odoo!$M:$M, 0), 0))</f>
        <v/>
      </c>
      <c r="U2392" s="79">
        <f>IF(Q2392="Sin Factura",0,IFERROR(_xlfn.XLOOKUP(1, (Facturas_Odoo!$D:$D=A2392) * (Facturas_Odoo!$K:$K=I2392), Facturas_Odoo!$N:$N, 0), 0))</f>
        <v/>
      </c>
      <c r="V2392" s="79">
        <f>IF(Q2392="Sin Factura",0,IFERROR(_xlfn.XLOOKUP(1, (Facturas_Odoo!$D:$D=A2392) * (Facturas_Odoo!$K:$K=I2392), Facturas_Odoo!$O:$O, 0), 0))</f>
        <v/>
      </c>
      <c r="W2392" s="81">
        <f>IF(Q2392="Sin Factura",0,IFERROR(_xlfn.XLOOKUP(1, (Facturas_Odoo!$D:$D=A2392) * (Facturas_Odoo!$K:$K=I2392), Facturas_Odoo!$Q:$Q, 0), 0))</f>
        <v/>
      </c>
      <c r="X2392" s="79">
        <f>IF(OR(Q2392="Sin Factura",Q2392=""),"",IFERROR(INDEX(Pagos_Odoo!$B:$B, MATCH(Q2392, Pagos_Odoo!$I:$I, 0)), "Sin Pago"))</f>
        <v/>
      </c>
      <c r="Y2392" s="79">
        <f>IF(X2392="Sin Pago","",IFERROR(INDEX(Pagos_Odoo!$C:$C, MATCH(X2392, Pagos_Odoo!$B:$B, 0)), ""))</f>
        <v/>
      </c>
      <c r="Z2392" s="80">
        <f>IF(X2392="Sin Pago","",IFERROR(INDEX(Pagos_Odoo!$A:$A, MATCH(X2392, Pagos_Odoo!$B:$B, 0)), ""))</f>
        <v/>
      </c>
      <c r="AA2392" s="79">
        <f>IF(X2392="Sin Pago","",IFERROR(INDEX(Pagos_Odoo!$F:$F, MATCH(X2392, Pagos_Odoo!$B:$B, 0)), ""))</f>
        <v/>
      </c>
      <c r="AB2392" s="81">
        <f>IF(X2392="Sin Pago",0,IFERROR(INDEX(Pagos_Odoo!$E:$E, MATCH(X2392, Pagos_Odoo!$B:$B, 0)), 0))</f>
        <v/>
      </c>
      <c r="AC2392" s="79">
        <f>IF(X2392="Sin Pago","",IFERROR(INDEX(Pagos_Odoo!$G:$G, MATCH(X2392, Pagos_Odoo!$B:$B, 0)), ""))</f>
        <v/>
      </c>
      <c r="AD2392" s="82" t="n">
        <v>0</v>
      </c>
      <c r="AE2392" s="82" t="n"/>
      <c r="AF2392" s="82" t="n"/>
      <c r="AG2392" s="82">
        <f>IF(AN2392="","",AD2392+AE2392+AF2392)</f>
        <v/>
      </c>
      <c r="AH2392" s="81">
        <f>IF(AN2392="","",P2392*(1-AG2392))</f>
        <v/>
      </c>
      <c r="AI2392" s="81">
        <f>IF(AN2392="","",IF(Q2392="Sin Factura",0,IFERROR(INDEX(Facturas_Odoo!$H:$H, MATCH(Q2392, Facturas_Odoo!$B:$B, 0)), 0)*(1-AG2392)))</f>
        <v/>
      </c>
      <c r="AJ2392" s="81">
        <f>IF(AN2392="","",_xlfn.LET(idVenta, AN2392&amp;"",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92" s="81">
        <f>IF(AN2392="","",AH2392-AJ2392)</f>
        <v/>
      </c>
      <c r="AL2392" s="81">
        <f>IF(AN2392="","",IF(Q2392="Sin Factura","",AI2392-AJ2392))</f>
        <v/>
      </c>
      <c r="AM2392" s="81">
        <f>IF(AN2392="","",IF(Q2392="Sin Factura",0,P2392-IFERROR(INDEX(Facturas_Odoo!$H:$H, MATCH(Q2392, Facturas_Odoo!$B:$B, 0)), 0)))</f>
        <v/>
      </c>
      <c r="AN2392" s="79">
        <f>IF(AND(A2392="", J2392=""), "", IF(A2392&lt;&gt;"", VALUE(MID(A2392,2,LEN(A2392))), AN2391))</f>
        <v/>
      </c>
      <c r="AO2392" s="79">
        <f>IF(AN2392="","",IF(AD2392=0,"OK",_xlfn.LET(monedaPago, IF(AA2392="","USD",AA2392), limitePermitido, IFERROR(VLOOKUP(monedaPago, Configuración!$A$2:$B$3, 2, FALSE), 0.15), IF(AD2392&gt;limitePermitido, "ALERTA: EXCESO (" &amp; TEXT(limitePermitido, "0%") &amp; " máx)", "OK"))))</f>
        <v/>
      </c>
      <c r="AP2392" s="79">
        <f>IF(AN2392="","",IF(AE2392=0,"OK",_xlfn.LET(fechaPago, Z2392, fechaFactura, R2392, diasCredito, IF(E2392="Pago inmediato", 0, IFERROR(VALUE(MID(E2392, 1, SEARCH(" ", E2392)-1)),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92" s="79">
        <f>IF(AN2392="","",IF(AND(N2392&gt;0, AG2392&gt;0), IF(Configuración!$K$2="NO", "ALERTA: DESCUENTO DOBLE NO PERMITIDO", "OK"), "OK"))</f>
        <v/>
      </c>
      <c r="AR2392" s="79">
        <f>IF(AN2392="","",IF(OR(AO2392&lt;&gt;"OK", AP2392&lt;&gt;"OK", AQ2392&lt;&gt;"OK"), "⚠️ REVISAR", "OK"))</f>
        <v/>
      </c>
    </row>
    <row r="2393">
      <c r="A2393" s="79">
        <f>IF('Ordenes_Odoo'!A2393="","",'Ordenes_Odoo'!A2393)</f>
        <v/>
      </c>
      <c r="B2393" s="80">
        <f>IF('Ordenes_Odoo'!B2393="","",'Ordenes_Odoo'!B2393)</f>
        <v/>
      </c>
      <c r="C2393" s="79">
        <f>IF('Ordenes_Odoo'!C2393="","",'Ordenes_Odoo'!C2393)</f>
        <v/>
      </c>
      <c r="D2393" s="79">
        <f>IF('Ordenes_Odoo'!D2393="","",'Ordenes_Odoo'!D2393)</f>
        <v/>
      </c>
      <c r="E2393" s="79">
        <f>IF('Ordenes_Odoo'!E2393="","",'Ordenes_Odoo'!E2393)</f>
        <v/>
      </c>
      <c r="F2393" s="79">
        <f>IF('Ordenes_Odoo'!F2393="","",'Ordenes_Odoo'!F2393)</f>
        <v/>
      </c>
      <c r="G2393" s="79">
        <f>IF('Ordenes_Odoo'!G2393="","",'Ordenes_Odoo'!G2393)</f>
        <v/>
      </c>
      <c r="H2393" s="79">
        <f>IF('Ordenes_Odoo'!H2393="","",'Ordenes_Odoo'!H2393)</f>
        <v/>
      </c>
      <c r="I2393" s="79">
        <f>IF('Ordenes_Odoo'!I2393="","",'Ordenes_Odoo'!I2393)</f>
        <v/>
      </c>
      <c r="J2393" s="79">
        <f>IF('Ordenes_Odoo'!J2393="","",'Ordenes_Odoo'!J2393)</f>
        <v/>
      </c>
      <c r="K2393" s="81">
        <f>IF('Ordenes_Odoo'!K2393="","",'Ordenes_Odoo'!K2393)</f>
        <v/>
      </c>
      <c r="L2393" s="81">
        <f>IF('Ordenes_Odoo'!L2393="","",'Ordenes_Odoo'!L2393)</f>
        <v/>
      </c>
      <c r="M2393" s="79">
        <f>IF('Ordenes_Odoo'!M2393="","",'Ordenes_Odoo'!M2393)</f>
        <v/>
      </c>
      <c r="N2393" s="79">
        <f>IF('Ordenes_Odoo'!N2393="","",'Ordenes_Odoo'!N2393)</f>
        <v/>
      </c>
      <c r="O2393" s="81">
        <f>IF('Ordenes_Odoo'!O2393="","",'Ordenes_Odoo'!O2393)</f>
        <v/>
      </c>
      <c r="P2393" s="81">
        <f>IF('Ordenes_Odoo'!P2393="","",'Ordenes_Odoo'!P2393)</f>
        <v/>
      </c>
      <c r="Q2393" s="79">
        <f>IF(A2393="","",IFERROR(INDEX(Facturas_Odoo!$B:$B, MATCH(A2393, Facturas_Odoo!$D:$D, 0)), "Sin Factura"))</f>
        <v/>
      </c>
      <c r="R2393" s="80">
        <f>IF(Q2393="Sin Factura","",IFERROR(INDEX(Facturas_Odoo!$A:$A, MATCH(Q2393, Facturas_Odoo!$B:$B, 0)), ""))</f>
        <v/>
      </c>
      <c r="S2393" s="79">
        <f>IF(Q2393="Sin Factura","",IFERROR(_xlfn.XLOOKUP(1, (Facturas_Odoo!$D:$D=A2393) * (Facturas_Odoo!$K:$K=I2393), Facturas_Odoo!$L:$L, ""), ""))</f>
        <v/>
      </c>
      <c r="T2393" s="81">
        <f>IF(Q2393="Sin Factura",0,IFERROR(_xlfn.XLOOKUP(1, (Facturas_Odoo!$D:$D=A2393) * (Facturas_Odoo!$K:$K=I2393), Facturas_Odoo!$M:$M, 0), 0))</f>
        <v/>
      </c>
      <c r="U2393" s="79">
        <f>IF(Q2393="Sin Factura",0,IFERROR(_xlfn.XLOOKUP(1, (Facturas_Odoo!$D:$D=A2393) * (Facturas_Odoo!$K:$K=I2393), Facturas_Odoo!$N:$N, 0), 0))</f>
        <v/>
      </c>
      <c r="V2393" s="79">
        <f>IF(Q2393="Sin Factura",0,IFERROR(_xlfn.XLOOKUP(1, (Facturas_Odoo!$D:$D=A2393) * (Facturas_Odoo!$K:$K=I2393), Facturas_Odoo!$O:$O, 0), 0))</f>
        <v/>
      </c>
      <c r="W2393" s="81">
        <f>IF(Q2393="Sin Factura",0,IFERROR(_xlfn.XLOOKUP(1, (Facturas_Odoo!$D:$D=A2393) * (Facturas_Odoo!$K:$K=I2393), Facturas_Odoo!$Q:$Q, 0), 0))</f>
        <v/>
      </c>
      <c r="X2393" s="79">
        <f>IF(OR(Q2393="Sin Factura",Q2393=""),"",IFERROR(INDEX(Pagos_Odoo!$B:$B, MATCH(Q2393, Pagos_Odoo!$I:$I, 0)), "Sin Pago"))</f>
        <v/>
      </c>
      <c r="Y2393" s="79">
        <f>IF(X2393="Sin Pago","",IFERROR(INDEX(Pagos_Odoo!$C:$C, MATCH(X2393, Pagos_Odoo!$B:$B, 0)), ""))</f>
        <v/>
      </c>
      <c r="Z2393" s="80">
        <f>IF(X2393="Sin Pago","",IFERROR(INDEX(Pagos_Odoo!$A:$A, MATCH(X2393, Pagos_Odoo!$B:$B, 0)), ""))</f>
        <v/>
      </c>
      <c r="AA2393" s="79">
        <f>IF(X2393="Sin Pago","",IFERROR(INDEX(Pagos_Odoo!$F:$F, MATCH(X2393, Pagos_Odoo!$B:$B, 0)), ""))</f>
        <v/>
      </c>
      <c r="AB2393" s="81">
        <f>IF(X2393="Sin Pago",0,IFERROR(INDEX(Pagos_Odoo!$E:$E, MATCH(X2393, Pagos_Odoo!$B:$B, 0)), 0))</f>
        <v/>
      </c>
      <c r="AC2393" s="79">
        <f>IF(X2393="Sin Pago","",IFERROR(INDEX(Pagos_Odoo!$G:$G, MATCH(X2393, Pagos_Odoo!$B:$B, 0)), ""))</f>
        <v/>
      </c>
      <c r="AD2393" s="82" t="n">
        <v>0</v>
      </c>
      <c r="AE2393" s="82" t="n"/>
      <c r="AF2393" s="82" t="n"/>
      <c r="AG2393" s="82">
        <f>IF(AN2393="","",AD2393+AE2393+AF2393)</f>
        <v/>
      </c>
      <c r="AH2393" s="81">
        <f>IF(AN2393="","",P2393*(1-AG2393))</f>
        <v/>
      </c>
      <c r="AI2393" s="81">
        <f>IF(AN2393="","",IF(Q2393="Sin Factura",0,IFERROR(INDEX(Facturas_Odoo!$H:$H, MATCH(Q2393, Facturas_Odoo!$B:$B, 0)), 0)*(1-AG2393)))</f>
        <v/>
      </c>
      <c r="AJ2393" s="81">
        <f>IF(AN2393="","",_xlfn.LET(idVenta, AN2393&amp;"",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93" s="81">
        <f>IF(AN2393="","",AH2393-AJ2393)</f>
        <v/>
      </c>
      <c r="AL2393" s="81">
        <f>IF(AN2393="","",IF(Q2393="Sin Factura","",AI2393-AJ2393))</f>
        <v/>
      </c>
      <c r="AM2393" s="81">
        <f>IF(AN2393="","",IF(Q2393="Sin Factura",0,P2393-IFERROR(INDEX(Facturas_Odoo!$H:$H, MATCH(Q2393, Facturas_Odoo!$B:$B, 0)), 0)))</f>
        <v/>
      </c>
      <c r="AN2393" s="79">
        <f>IF(AND(A2393="", J2393=""), "", IF(A2393&lt;&gt;"", VALUE(MID(A2393,2,LEN(A2393))), AN2392))</f>
        <v/>
      </c>
      <c r="AO2393" s="79">
        <f>IF(AN2393="","",IF(AD2393=0,"OK",_xlfn.LET(monedaPago, IF(AA2393="","USD",AA2393), limitePermitido, IFERROR(VLOOKUP(monedaPago, Configuración!$A$2:$B$3, 2, FALSE), 0.15), IF(AD2393&gt;limitePermitido, "ALERTA: EXCESO (" &amp; TEXT(limitePermitido, "0%") &amp; " máx)", "OK"))))</f>
        <v/>
      </c>
      <c r="AP2393" s="79">
        <f>IF(AN2393="","",IF(AE2393=0,"OK",_xlfn.LET(fechaPago, Z2393, fechaFactura, R2393, diasCredito, IF(E2393="Pago inmediato", 0, IFERROR(VALUE(MID(E2393, 1, SEARCH(" ", E2393)-1)),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93" s="79">
        <f>IF(AN2393="","",IF(AND(N2393&gt;0, AG2393&gt;0), IF(Configuración!$K$2="NO", "ALERTA: DESCUENTO DOBLE NO PERMITIDO", "OK"), "OK"))</f>
        <v/>
      </c>
      <c r="AR2393" s="79">
        <f>IF(AN2393="","",IF(OR(AO2393&lt;&gt;"OK", AP2393&lt;&gt;"OK", AQ2393&lt;&gt;"OK"), "⚠️ REVISAR", "OK"))</f>
        <v/>
      </c>
    </row>
    <row r="2394">
      <c r="A2394" s="79">
        <f>IF('Ordenes_Odoo'!A2394="","",'Ordenes_Odoo'!A2394)</f>
        <v/>
      </c>
      <c r="B2394" s="80">
        <f>IF('Ordenes_Odoo'!B2394="","",'Ordenes_Odoo'!B2394)</f>
        <v/>
      </c>
      <c r="C2394" s="79">
        <f>IF('Ordenes_Odoo'!C2394="","",'Ordenes_Odoo'!C2394)</f>
        <v/>
      </c>
      <c r="D2394" s="79">
        <f>IF('Ordenes_Odoo'!D2394="","",'Ordenes_Odoo'!D2394)</f>
        <v/>
      </c>
      <c r="E2394" s="79">
        <f>IF('Ordenes_Odoo'!E2394="","",'Ordenes_Odoo'!E2394)</f>
        <v/>
      </c>
      <c r="F2394" s="79">
        <f>IF('Ordenes_Odoo'!F2394="","",'Ordenes_Odoo'!F2394)</f>
        <v/>
      </c>
      <c r="G2394" s="79">
        <f>IF('Ordenes_Odoo'!G2394="","",'Ordenes_Odoo'!G2394)</f>
        <v/>
      </c>
      <c r="H2394" s="79">
        <f>IF('Ordenes_Odoo'!H2394="","",'Ordenes_Odoo'!H2394)</f>
        <v/>
      </c>
      <c r="I2394" s="79">
        <f>IF('Ordenes_Odoo'!I2394="","",'Ordenes_Odoo'!I2394)</f>
        <v/>
      </c>
      <c r="J2394" s="79">
        <f>IF('Ordenes_Odoo'!J2394="","",'Ordenes_Odoo'!J2394)</f>
        <v/>
      </c>
      <c r="K2394" s="81">
        <f>IF('Ordenes_Odoo'!K2394="","",'Ordenes_Odoo'!K2394)</f>
        <v/>
      </c>
      <c r="L2394" s="81">
        <f>IF('Ordenes_Odoo'!L2394="","",'Ordenes_Odoo'!L2394)</f>
        <v/>
      </c>
      <c r="M2394" s="79">
        <f>IF('Ordenes_Odoo'!M2394="","",'Ordenes_Odoo'!M2394)</f>
        <v/>
      </c>
      <c r="N2394" s="79">
        <f>IF('Ordenes_Odoo'!N2394="","",'Ordenes_Odoo'!N2394)</f>
        <v/>
      </c>
      <c r="O2394" s="81">
        <f>IF('Ordenes_Odoo'!O2394="","",'Ordenes_Odoo'!O2394)</f>
        <v/>
      </c>
      <c r="P2394" s="81">
        <f>IF('Ordenes_Odoo'!P2394="","",'Ordenes_Odoo'!P2394)</f>
        <v/>
      </c>
      <c r="Q2394" s="79">
        <f>IF(A2394="","",IFERROR(INDEX(Facturas_Odoo!$B:$B, MATCH(A2394, Facturas_Odoo!$D:$D, 0)), "Sin Factura"))</f>
        <v/>
      </c>
      <c r="R2394" s="80">
        <f>IF(Q2394="Sin Factura","",IFERROR(INDEX(Facturas_Odoo!$A:$A, MATCH(Q2394, Facturas_Odoo!$B:$B, 0)), ""))</f>
        <v/>
      </c>
      <c r="S2394" s="79">
        <f>IF(Q2394="Sin Factura","",IFERROR(_xlfn.XLOOKUP(1, (Facturas_Odoo!$D:$D=A2394) * (Facturas_Odoo!$K:$K=I2394), Facturas_Odoo!$L:$L, ""), ""))</f>
        <v/>
      </c>
      <c r="T2394" s="81">
        <f>IF(Q2394="Sin Factura",0,IFERROR(_xlfn.XLOOKUP(1, (Facturas_Odoo!$D:$D=A2394) * (Facturas_Odoo!$K:$K=I2394), Facturas_Odoo!$M:$M, 0), 0))</f>
        <v/>
      </c>
      <c r="U2394" s="79">
        <f>IF(Q2394="Sin Factura",0,IFERROR(_xlfn.XLOOKUP(1, (Facturas_Odoo!$D:$D=A2394) * (Facturas_Odoo!$K:$K=I2394), Facturas_Odoo!$N:$N, 0), 0))</f>
        <v/>
      </c>
      <c r="V2394" s="79">
        <f>IF(Q2394="Sin Factura",0,IFERROR(_xlfn.XLOOKUP(1, (Facturas_Odoo!$D:$D=A2394) * (Facturas_Odoo!$K:$K=I2394), Facturas_Odoo!$O:$O, 0), 0))</f>
        <v/>
      </c>
      <c r="W2394" s="81">
        <f>IF(Q2394="Sin Factura",0,IFERROR(_xlfn.XLOOKUP(1, (Facturas_Odoo!$D:$D=A2394) * (Facturas_Odoo!$K:$K=I2394), Facturas_Odoo!$Q:$Q, 0), 0))</f>
        <v/>
      </c>
      <c r="X2394" s="79">
        <f>IF(OR(Q2394="Sin Factura",Q2394=""),"",IFERROR(INDEX(Pagos_Odoo!$B:$B, MATCH(Q2394, Pagos_Odoo!$I:$I, 0)), "Sin Pago"))</f>
        <v/>
      </c>
      <c r="Y2394" s="79">
        <f>IF(X2394="Sin Pago","",IFERROR(INDEX(Pagos_Odoo!$C:$C, MATCH(X2394, Pagos_Odoo!$B:$B, 0)), ""))</f>
        <v/>
      </c>
      <c r="Z2394" s="80">
        <f>IF(X2394="Sin Pago","",IFERROR(INDEX(Pagos_Odoo!$A:$A, MATCH(X2394, Pagos_Odoo!$B:$B, 0)), ""))</f>
        <v/>
      </c>
      <c r="AA2394" s="79">
        <f>IF(X2394="Sin Pago","",IFERROR(INDEX(Pagos_Odoo!$F:$F, MATCH(X2394, Pagos_Odoo!$B:$B, 0)), ""))</f>
        <v/>
      </c>
      <c r="AB2394" s="81">
        <f>IF(X2394="Sin Pago",0,IFERROR(INDEX(Pagos_Odoo!$E:$E, MATCH(X2394, Pagos_Odoo!$B:$B, 0)), 0))</f>
        <v/>
      </c>
      <c r="AC2394" s="79">
        <f>IF(X2394="Sin Pago","",IFERROR(INDEX(Pagos_Odoo!$G:$G, MATCH(X2394, Pagos_Odoo!$B:$B, 0)), ""))</f>
        <v/>
      </c>
      <c r="AD2394" s="82" t="n">
        <v>0</v>
      </c>
      <c r="AE2394" s="82" t="n"/>
      <c r="AF2394" s="82" t="n"/>
      <c r="AG2394" s="82">
        <f>IF(AN2394="","",AD2394+AE2394+AF2394)</f>
        <v/>
      </c>
      <c r="AH2394" s="81">
        <f>IF(AN2394="","",P2394*(1-AG2394))</f>
        <v/>
      </c>
      <c r="AI2394" s="81">
        <f>IF(AN2394="","",IF(Q2394="Sin Factura",0,IFERROR(INDEX(Facturas_Odoo!$H:$H, MATCH(Q2394, Facturas_Odoo!$B:$B, 0)), 0)*(1-AG2394)))</f>
        <v/>
      </c>
      <c r="AJ2394" s="81">
        <f>IF(AN2394="","",_xlfn.LET(idVenta, AN2394&amp;"",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94" s="81">
        <f>IF(AN2394="","",AH2394-AJ2394)</f>
        <v/>
      </c>
      <c r="AL2394" s="81">
        <f>IF(AN2394="","",IF(Q2394="Sin Factura","",AI2394-AJ2394))</f>
        <v/>
      </c>
      <c r="AM2394" s="81">
        <f>IF(AN2394="","",IF(Q2394="Sin Factura",0,P2394-IFERROR(INDEX(Facturas_Odoo!$H:$H, MATCH(Q2394, Facturas_Odoo!$B:$B, 0)), 0)))</f>
        <v/>
      </c>
      <c r="AN2394" s="79">
        <f>IF(AND(A2394="", J2394=""), "", IF(A2394&lt;&gt;"", VALUE(MID(A2394,2,LEN(A2394))), AN2393))</f>
        <v/>
      </c>
      <c r="AO2394" s="79">
        <f>IF(AN2394="","",IF(AD2394=0,"OK",_xlfn.LET(monedaPago, IF(AA2394="","USD",AA2394), limitePermitido, IFERROR(VLOOKUP(monedaPago, Configuración!$A$2:$B$3, 2, FALSE), 0.15), IF(AD2394&gt;limitePermitido, "ALERTA: EXCESO (" &amp; TEXT(limitePermitido, "0%") &amp; " máx)", "OK"))))</f>
        <v/>
      </c>
      <c r="AP2394" s="79">
        <f>IF(AN2394="","",IF(AE2394=0,"OK",_xlfn.LET(fechaPago, Z2394, fechaFactura, R2394, diasCredito, IF(E2394="Pago inmediato", 0, IFERROR(VALUE(MID(E2394, 1, SEARCH(" ", E2394)-1)),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94" s="79">
        <f>IF(AN2394="","",IF(AND(N2394&gt;0, AG2394&gt;0), IF(Configuración!$K$2="NO", "ALERTA: DESCUENTO DOBLE NO PERMITIDO", "OK"), "OK"))</f>
        <v/>
      </c>
      <c r="AR2394" s="79">
        <f>IF(AN2394="","",IF(OR(AO2394&lt;&gt;"OK", AP2394&lt;&gt;"OK", AQ2394&lt;&gt;"OK"), "⚠️ REVISAR", "OK"))</f>
        <v/>
      </c>
    </row>
    <row r="2395">
      <c r="A2395" s="79">
        <f>IF('Ordenes_Odoo'!A2395="","",'Ordenes_Odoo'!A2395)</f>
        <v/>
      </c>
      <c r="B2395" s="80">
        <f>IF('Ordenes_Odoo'!B2395="","",'Ordenes_Odoo'!B2395)</f>
        <v/>
      </c>
      <c r="C2395" s="79">
        <f>IF('Ordenes_Odoo'!C2395="","",'Ordenes_Odoo'!C2395)</f>
        <v/>
      </c>
      <c r="D2395" s="79">
        <f>IF('Ordenes_Odoo'!D2395="","",'Ordenes_Odoo'!D2395)</f>
        <v/>
      </c>
      <c r="E2395" s="79">
        <f>IF('Ordenes_Odoo'!E2395="","",'Ordenes_Odoo'!E2395)</f>
        <v/>
      </c>
      <c r="F2395" s="79">
        <f>IF('Ordenes_Odoo'!F2395="","",'Ordenes_Odoo'!F2395)</f>
        <v/>
      </c>
      <c r="G2395" s="79">
        <f>IF('Ordenes_Odoo'!G2395="","",'Ordenes_Odoo'!G2395)</f>
        <v/>
      </c>
      <c r="H2395" s="79">
        <f>IF('Ordenes_Odoo'!H2395="","",'Ordenes_Odoo'!H2395)</f>
        <v/>
      </c>
      <c r="I2395" s="79">
        <f>IF('Ordenes_Odoo'!I2395="","",'Ordenes_Odoo'!I2395)</f>
        <v/>
      </c>
      <c r="J2395" s="79">
        <f>IF('Ordenes_Odoo'!J2395="","",'Ordenes_Odoo'!J2395)</f>
        <v/>
      </c>
      <c r="K2395" s="81">
        <f>IF('Ordenes_Odoo'!K2395="","",'Ordenes_Odoo'!K2395)</f>
        <v/>
      </c>
      <c r="L2395" s="81">
        <f>IF('Ordenes_Odoo'!L2395="","",'Ordenes_Odoo'!L2395)</f>
        <v/>
      </c>
      <c r="M2395" s="79">
        <f>IF('Ordenes_Odoo'!M2395="","",'Ordenes_Odoo'!M2395)</f>
        <v/>
      </c>
      <c r="N2395" s="79">
        <f>IF('Ordenes_Odoo'!N2395="","",'Ordenes_Odoo'!N2395)</f>
        <v/>
      </c>
      <c r="O2395" s="81">
        <f>IF('Ordenes_Odoo'!O2395="","",'Ordenes_Odoo'!O2395)</f>
        <v/>
      </c>
      <c r="P2395" s="81">
        <f>IF('Ordenes_Odoo'!P2395="","",'Ordenes_Odoo'!P2395)</f>
        <v/>
      </c>
      <c r="Q2395" s="79">
        <f>IF(A2395="","",IFERROR(INDEX(Facturas_Odoo!$B:$B, MATCH(A2395, Facturas_Odoo!$D:$D, 0)), "Sin Factura"))</f>
        <v/>
      </c>
      <c r="R2395" s="80">
        <f>IF(Q2395="Sin Factura","",IFERROR(INDEX(Facturas_Odoo!$A:$A, MATCH(Q2395, Facturas_Odoo!$B:$B, 0)), ""))</f>
        <v/>
      </c>
      <c r="S2395" s="79">
        <f>IF(Q2395="Sin Factura","",IFERROR(_xlfn.XLOOKUP(1, (Facturas_Odoo!$D:$D=A2395) * (Facturas_Odoo!$K:$K=I2395), Facturas_Odoo!$L:$L, ""), ""))</f>
        <v/>
      </c>
      <c r="T2395" s="81">
        <f>IF(Q2395="Sin Factura",0,IFERROR(_xlfn.XLOOKUP(1, (Facturas_Odoo!$D:$D=A2395) * (Facturas_Odoo!$K:$K=I2395), Facturas_Odoo!$M:$M, 0), 0))</f>
        <v/>
      </c>
      <c r="U2395" s="79">
        <f>IF(Q2395="Sin Factura",0,IFERROR(_xlfn.XLOOKUP(1, (Facturas_Odoo!$D:$D=A2395) * (Facturas_Odoo!$K:$K=I2395), Facturas_Odoo!$N:$N, 0), 0))</f>
        <v/>
      </c>
      <c r="V2395" s="79">
        <f>IF(Q2395="Sin Factura",0,IFERROR(_xlfn.XLOOKUP(1, (Facturas_Odoo!$D:$D=A2395) * (Facturas_Odoo!$K:$K=I2395), Facturas_Odoo!$O:$O, 0), 0))</f>
        <v/>
      </c>
      <c r="W2395" s="81">
        <f>IF(Q2395="Sin Factura",0,IFERROR(_xlfn.XLOOKUP(1, (Facturas_Odoo!$D:$D=A2395) * (Facturas_Odoo!$K:$K=I2395), Facturas_Odoo!$Q:$Q, 0), 0))</f>
        <v/>
      </c>
      <c r="X2395" s="79">
        <f>IF(OR(Q2395="Sin Factura",Q2395=""),"",IFERROR(INDEX(Pagos_Odoo!$B:$B, MATCH(Q2395, Pagos_Odoo!$I:$I, 0)), "Sin Pago"))</f>
        <v/>
      </c>
      <c r="Y2395" s="79">
        <f>IF(X2395="Sin Pago","",IFERROR(INDEX(Pagos_Odoo!$C:$C, MATCH(X2395, Pagos_Odoo!$B:$B, 0)), ""))</f>
        <v/>
      </c>
      <c r="Z2395" s="80">
        <f>IF(X2395="Sin Pago","",IFERROR(INDEX(Pagos_Odoo!$A:$A, MATCH(X2395, Pagos_Odoo!$B:$B, 0)), ""))</f>
        <v/>
      </c>
      <c r="AA2395" s="79">
        <f>IF(X2395="Sin Pago","",IFERROR(INDEX(Pagos_Odoo!$F:$F, MATCH(X2395, Pagos_Odoo!$B:$B, 0)), ""))</f>
        <v/>
      </c>
      <c r="AB2395" s="81">
        <f>IF(X2395="Sin Pago",0,IFERROR(INDEX(Pagos_Odoo!$E:$E, MATCH(X2395, Pagos_Odoo!$B:$B, 0)), 0))</f>
        <v/>
      </c>
      <c r="AC2395" s="79">
        <f>IF(X2395="Sin Pago","",IFERROR(INDEX(Pagos_Odoo!$G:$G, MATCH(X2395, Pagos_Odoo!$B:$B, 0)), ""))</f>
        <v/>
      </c>
      <c r="AD2395" s="82" t="n">
        <v>0</v>
      </c>
      <c r="AE2395" s="82" t="n"/>
      <c r="AF2395" s="82" t="n"/>
      <c r="AG2395" s="82">
        <f>IF(AN2395="","",AD2395+AE2395+AF2395)</f>
        <v/>
      </c>
      <c r="AH2395" s="81">
        <f>IF(AN2395="","",P2395*(1-AG2395))</f>
        <v/>
      </c>
      <c r="AI2395" s="81">
        <f>IF(AN2395="","",IF(Q2395="Sin Factura",0,IFERROR(INDEX(Facturas_Odoo!$H:$H, MATCH(Q2395, Facturas_Odoo!$B:$B, 0)), 0)*(1-AG2395)))</f>
        <v/>
      </c>
      <c r="AJ2395" s="81">
        <f>IF(AN2395="","",_xlfn.LET(idVenta, AN2395&amp;"",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95" s="81">
        <f>IF(AN2395="","",AH2395-AJ2395)</f>
        <v/>
      </c>
      <c r="AL2395" s="81">
        <f>IF(AN2395="","",IF(Q2395="Sin Factura","",AI2395-AJ2395))</f>
        <v/>
      </c>
      <c r="AM2395" s="81">
        <f>IF(AN2395="","",IF(Q2395="Sin Factura",0,P2395-IFERROR(INDEX(Facturas_Odoo!$H:$H, MATCH(Q2395, Facturas_Odoo!$B:$B, 0)), 0)))</f>
        <v/>
      </c>
      <c r="AN2395" s="79">
        <f>IF(AND(A2395="", J2395=""), "", IF(A2395&lt;&gt;"", VALUE(MID(A2395,2,LEN(A2395))), AN2394))</f>
        <v/>
      </c>
      <c r="AO2395" s="79">
        <f>IF(AN2395="","",IF(AD2395=0,"OK",_xlfn.LET(monedaPago, IF(AA2395="","USD",AA2395), limitePermitido, IFERROR(VLOOKUP(monedaPago, Configuración!$A$2:$B$3, 2, FALSE), 0.15), IF(AD2395&gt;limitePermitido, "ALERTA: EXCESO (" &amp; TEXT(limitePermitido, "0%") &amp; " máx)", "OK"))))</f>
        <v/>
      </c>
      <c r="AP2395" s="79">
        <f>IF(AN2395="","",IF(AE2395=0,"OK",_xlfn.LET(fechaPago, Z2395, fechaFactura, R2395, diasCredito, IF(E2395="Pago inmediato", 0, IFERROR(VALUE(MID(E2395, 1, SEARCH(" ", E2395)-1)),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95" s="79">
        <f>IF(AN2395="","",IF(AND(N2395&gt;0, AG2395&gt;0), IF(Configuración!$K$2="NO", "ALERTA: DESCUENTO DOBLE NO PERMITIDO", "OK"), "OK"))</f>
        <v/>
      </c>
      <c r="AR2395" s="79">
        <f>IF(AN2395="","",IF(OR(AO2395&lt;&gt;"OK", AP2395&lt;&gt;"OK", AQ2395&lt;&gt;"OK"), "⚠️ REVISAR", "OK"))</f>
        <v/>
      </c>
    </row>
    <row r="2396">
      <c r="A2396" s="79">
        <f>IF('Ordenes_Odoo'!A2396="","",'Ordenes_Odoo'!A2396)</f>
        <v/>
      </c>
      <c r="B2396" s="80">
        <f>IF('Ordenes_Odoo'!B2396="","",'Ordenes_Odoo'!B2396)</f>
        <v/>
      </c>
      <c r="C2396" s="79">
        <f>IF('Ordenes_Odoo'!C2396="","",'Ordenes_Odoo'!C2396)</f>
        <v/>
      </c>
      <c r="D2396" s="79">
        <f>IF('Ordenes_Odoo'!D2396="","",'Ordenes_Odoo'!D2396)</f>
        <v/>
      </c>
      <c r="E2396" s="79">
        <f>IF('Ordenes_Odoo'!E2396="","",'Ordenes_Odoo'!E2396)</f>
        <v/>
      </c>
      <c r="F2396" s="79">
        <f>IF('Ordenes_Odoo'!F2396="","",'Ordenes_Odoo'!F2396)</f>
        <v/>
      </c>
      <c r="G2396" s="79">
        <f>IF('Ordenes_Odoo'!G2396="","",'Ordenes_Odoo'!G2396)</f>
        <v/>
      </c>
      <c r="H2396" s="79">
        <f>IF('Ordenes_Odoo'!H2396="","",'Ordenes_Odoo'!H2396)</f>
        <v/>
      </c>
      <c r="I2396" s="79">
        <f>IF('Ordenes_Odoo'!I2396="","",'Ordenes_Odoo'!I2396)</f>
        <v/>
      </c>
      <c r="J2396" s="79">
        <f>IF('Ordenes_Odoo'!J2396="","",'Ordenes_Odoo'!J2396)</f>
        <v/>
      </c>
      <c r="K2396" s="81">
        <f>IF('Ordenes_Odoo'!K2396="","",'Ordenes_Odoo'!K2396)</f>
        <v/>
      </c>
      <c r="L2396" s="81">
        <f>IF('Ordenes_Odoo'!L2396="","",'Ordenes_Odoo'!L2396)</f>
        <v/>
      </c>
      <c r="M2396" s="79">
        <f>IF('Ordenes_Odoo'!M2396="","",'Ordenes_Odoo'!M2396)</f>
        <v/>
      </c>
      <c r="N2396" s="79">
        <f>IF('Ordenes_Odoo'!N2396="","",'Ordenes_Odoo'!N2396)</f>
        <v/>
      </c>
      <c r="O2396" s="81">
        <f>IF('Ordenes_Odoo'!O2396="","",'Ordenes_Odoo'!O2396)</f>
        <v/>
      </c>
      <c r="P2396" s="81">
        <f>IF('Ordenes_Odoo'!P2396="","",'Ordenes_Odoo'!P2396)</f>
        <v/>
      </c>
      <c r="Q2396" s="79">
        <f>IF(A2396="","",IFERROR(INDEX(Facturas_Odoo!$B:$B, MATCH(A2396, Facturas_Odoo!$D:$D, 0)), "Sin Factura"))</f>
        <v/>
      </c>
      <c r="R2396" s="80">
        <f>IF(Q2396="Sin Factura","",IFERROR(INDEX(Facturas_Odoo!$A:$A, MATCH(Q2396, Facturas_Odoo!$B:$B, 0)), ""))</f>
        <v/>
      </c>
      <c r="S2396" s="79">
        <f>IF(Q2396="Sin Factura","",IFERROR(_xlfn.XLOOKUP(1, (Facturas_Odoo!$D:$D=A2396) * (Facturas_Odoo!$K:$K=I2396), Facturas_Odoo!$L:$L, ""), ""))</f>
        <v/>
      </c>
      <c r="T2396" s="81">
        <f>IF(Q2396="Sin Factura",0,IFERROR(_xlfn.XLOOKUP(1, (Facturas_Odoo!$D:$D=A2396) * (Facturas_Odoo!$K:$K=I2396), Facturas_Odoo!$M:$M, 0), 0))</f>
        <v/>
      </c>
      <c r="U2396" s="79">
        <f>IF(Q2396="Sin Factura",0,IFERROR(_xlfn.XLOOKUP(1, (Facturas_Odoo!$D:$D=A2396) * (Facturas_Odoo!$K:$K=I2396), Facturas_Odoo!$N:$N, 0), 0))</f>
        <v/>
      </c>
      <c r="V2396" s="79">
        <f>IF(Q2396="Sin Factura",0,IFERROR(_xlfn.XLOOKUP(1, (Facturas_Odoo!$D:$D=A2396) * (Facturas_Odoo!$K:$K=I2396), Facturas_Odoo!$O:$O, 0), 0))</f>
        <v/>
      </c>
      <c r="W2396" s="81">
        <f>IF(Q2396="Sin Factura",0,IFERROR(_xlfn.XLOOKUP(1, (Facturas_Odoo!$D:$D=A2396) * (Facturas_Odoo!$K:$K=I2396), Facturas_Odoo!$Q:$Q, 0), 0))</f>
        <v/>
      </c>
      <c r="X2396" s="79">
        <f>IF(OR(Q2396="Sin Factura",Q2396=""),"",IFERROR(INDEX(Pagos_Odoo!$B:$B, MATCH(Q2396, Pagos_Odoo!$I:$I, 0)), "Sin Pago"))</f>
        <v/>
      </c>
      <c r="Y2396" s="79">
        <f>IF(X2396="Sin Pago","",IFERROR(INDEX(Pagos_Odoo!$C:$C, MATCH(X2396, Pagos_Odoo!$B:$B, 0)), ""))</f>
        <v/>
      </c>
      <c r="Z2396" s="80">
        <f>IF(X2396="Sin Pago","",IFERROR(INDEX(Pagos_Odoo!$A:$A, MATCH(X2396, Pagos_Odoo!$B:$B, 0)), ""))</f>
        <v/>
      </c>
      <c r="AA2396" s="79">
        <f>IF(X2396="Sin Pago","",IFERROR(INDEX(Pagos_Odoo!$F:$F, MATCH(X2396, Pagos_Odoo!$B:$B, 0)), ""))</f>
        <v/>
      </c>
      <c r="AB2396" s="81">
        <f>IF(X2396="Sin Pago",0,IFERROR(INDEX(Pagos_Odoo!$E:$E, MATCH(X2396, Pagos_Odoo!$B:$B, 0)), 0))</f>
        <v/>
      </c>
      <c r="AC2396" s="79">
        <f>IF(X2396="Sin Pago","",IFERROR(INDEX(Pagos_Odoo!$G:$G, MATCH(X2396, Pagos_Odoo!$B:$B, 0)), ""))</f>
        <v/>
      </c>
      <c r="AD2396" s="82" t="n">
        <v>0</v>
      </c>
      <c r="AE2396" s="82" t="n"/>
      <c r="AF2396" s="82" t="n"/>
      <c r="AG2396" s="82">
        <f>IF(AN2396="","",AD2396+AE2396+AF2396)</f>
        <v/>
      </c>
      <c r="AH2396" s="81">
        <f>IF(AN2396="","",P2396*(1-AG2396))</f>
        <v/>
      </c>
      <c r="AI2396" s="81">
        <f>IF(AN2396="","",IF(Q2396="Sin Factura",0,IFERROR(INDEX(Facturas_Odoo!$H:$H, MATCH(Q2396, Facturas_Odoo!$B:$B, 0)), 0)*(1-AG2396)))</f>
        <v/>
      </c>
      <c r="AJ2396" s="81">
        <f>IF(AN2396="","",_xlfn.LET(idVenta, AN2396&amp;"",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96" s="81">
        <f>IF(AN2396="","",AH2396-AJ2396)</f>
        <v/>
      </c>
      <c r="AL2396" s="81">
        <f>IF(AN2396="","",IF(Q2396="Sin Factura","",AI2396-AJ2396))</f>
        <v/>
      </c>
      <c r="AM2396" s="81">
        <f>IF(AN2396="","",IF(Q2396="Sin Factura",0,P2396-IFERROR(INDEX(Facturas_Odoo!$H:$H, MATCH(Q2396, Facturas_Odoo!$B:$B, 0)), 0)))</f>
        <v/>
      </c>
      <c r="AN2396" s="79">
        <f>IF(AND(A2396="", J2396=""), "", IF(A2396&lt;&gt;"", VALUE(MID(A2396,2,LEN(A2396))), AN2395))</f>
        <v/>
      </c>
      <c r="AO2396" s="79">
        <f>IF(AN2396="","",IF(AD2396=0,"OK",_xlfn.LET(monedaPago, IF(AA2396="","USD",AA2396), limitePermitido, IFERROR(VLOOKUP(monedaPago, Configuración!$A$2:$B$3, 2, FALSE), 0.15), IF(AD2396&gt;limitePermitido, "ALERTA: EXCESO (" &amp; TEXT(limitePermitido, "0%") &amp; " máx)", "OK"))))</f>
        <v/>
      </c>
      <c r="AP2396" s="79">
        <f>IF(AN2396="","",IF(AE2396=0,"OK",_xlfn.LET(fechaPago, Z2396, fechaFactura, R2396, diasCredito, IF(E2396="Pago inmediato", 0, IFERROR(VALUE(MID(E2396, 1, SEARCH(" ", E2396)-1)),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96" s="79">
        <f>IF(AN2396="","",IF(AND(N2396&gt;0, AG2396&gt;0), IF(Configuración!$K$2="NO", "ALERTA: DESCUENTO DOBLE NO PERMITIDO", "OK"), "OK"))</f>
        <v/>
      </c>
      <c r="AR2396" s="79">
        <f>IF(AN2396="","",IF(OR(AO2396&lt;&gt;"OK", AP2396&lt;&gt;"OK", AQ2396&lt;&gt;"OK"), "⚠️ REVISAR", "OK"))</f>
        <v/>
      </c>
    </row>
    <row r="2397">
      <c r="A2397" s="79">
        <f>IF('Ordenes_Odoo'!A2397="","",'Ordenes_Odoo'!A2397)</f>
        <v/>
      </c>
      <c r="B2397" s="80">
        <f>IF('Ordenes_Odoo'!B2397="","",'Ordenes_Odoo'!B2397)</f>
        <v/>
      </c>
      <c r="C2397" s="79">
        <f>IF('Ordenes_Odoo'!C2397="","",'Ordenes_Odoo'!C2397)</f>
        <v/>
      </c>
      <c r="D2397" s="79">
        <f>IF('Ordenes_Odoo'!D2397="","",'Ordenes_Odoo'!D2397)</f>
        <v/>
      </c>
      <c r="E2397" s="79">
        <f>IF('Ordenes_Odoo'!E2397="","",'Ordenes_Odoo'!E2397)</f>
        <v/>
      </c>
      <c r="F2397" s="79">
        <f>IF('Ordenes_Odoo'!F2397="","",'Ordenes_Odoo'!F2397)</f>
        <v/>
      </c>
      <c r="G2397" s="79">
        <f>IF('Ordenes_Odoo'!G2397="","",'Ordenes_Odoo'!G2397)</f>
        <v/>
      </c>
      <c r="H2397" s="79">
        <f>IF('Ordenes_Odoo'!H2397="","",'Ordenes_Odoo'!H2397)</f>
        <v/>
      </c>
      <c r="I2397" s="79">
        <f>IF('Ordenes_Odoo'!I2397="","",'Ordenes_Odoo'!I2397)</f>
        <v/>
      </c>
      <c r="J2397" s="79">
        <f>IF('Ordenes_Odoo'!J2397="","",'Ordenes_Odoo'!J2397)</f>
        <v/>
      </c>
      <c r="K2397" s="81">
        <f>IF('Ordenes_Odoo'!K2397="","",'Ordenes_Odoo'!K2397)</f>
        <v/>
      </c>
      <c r="L2397" s="81">
        <f>IF('Ordenes_Odoo'!L2397="","",'Ordenes_Odoo'!L2397)</f>
        <v/>
      </c>
      <c r="M2397" s="79">
        <f>IF('Ordenes_Odoo'!M2397="","",'Ordenes_Odoo'!M2397)</f>
        <v/>
      </c>
      <c r="N2397" s="79">
        <f>IF('Ordenes_Odoo'!N2397="","",'Ordenes_Odoo'!N2397)</f>
        <v/>
      </c>
      <c r="O2397" s="81">
        <f>IF('Ordenes_Odoo'!O2397="","",'Ordenes_Odoo'!O2397)</f>
        <v/>
      </c>
      <c r="P2397" s="81">
        <f>IF('Ordenes_Odoo'!P2397="","",'Ordenes_Odoo'!P2397)</f>
        <v/>
      </c>
      <c r="Q2397" s="79">
        <f>IF(A2397="","",IFERROR(INDEX(Facturas_Odoo!$B:$B, MATCH(A2397, Facturas_Odoo!$D:$D, 0)), "Sin Factura"))</f>
        <v/>
      </c>
      <c r="R2397" s="80">
        <f>IF(Q2397="Sin Factura","",IFERROR(INDEX(Facturas_Odoo!$A:$A, MATCH(Q2397, Facturas_Odoo!$B:$B, 0)), ""))</f>
        <v/>
      </c>
      <c r="S2397" s="79">
        <f>IF(Q2397="Sin Factura","",IFERROR(_xlfn.XLOOKUP(1, (Facturas_Odoo!$D:$D=A2397) * (Facturas_Odoo!$K:$K=I2397), Facturas_Odoo!$L:$L, ""), ""))</f>
        <v/>
      </c>
      <c r="T2397" s="81">
        <f>IF(Q2397="Sin Factura",0,IFERROR(_xlfn.XLOOKUP(1, (Facturas_Odoo!$D:$D=A2397) * (Facturas_Odoo!$K:$K=I2397), Facturas_Odoo!$M:$M, 0), 0))</f>
        <v/>
      </c>
      <c r="U2397" s="79">
        <f>IF(Q2397="Sin Factura",0,IFERROR(_xlfn.XLOOKUP(1, (Facturas_Odoo!$D:$D=A2397) * (Facturas_Odoo!$K:$K=I2397), Facturas_Odoo!$N:$N, 0), 0))</f>
        <v/>
      </c>
      <c r="V2397" s="79">
        <f>IF(Q2397="Sin Factura",0,IFERROR(_xlfn.XLOOKUP(1, (Facturas_Odoo!$D:$D=A2397) * (Facturas_Odoo!$K:$K=I2397), Facturas_Odoo!$O:$O, 0), 0))</f>
        <v/>
      </c>
      <c r="W2397" s="81">
        <f>IF(Q2397="Sin Factura",0,IFERROR(_xlfn.XLOOKUP(1, (Facturas_Odoo!$D:$D=A2397) * (Facturas_Odoo!$K:$K=I2397), Facturas_Odoo!$Q:$Q, 0), 0))</f>
        <v/>
      </c>
      <c r="X2397" s="79">
        <f>IF(OR(Q2397="Sin Factura",Q2397=""),"",IFERROR(INDEX(Pagos_Odoo!$B:$B, MATCH(Q2397, Pagos_Odoo!$I:$I, 0)), "Sin Pago"))</f>
        <v/>
      </c>
      <c r="Y2397" s="79">
        <f>IF(X2397="Sin Pago","",IFERROR(INDEX(Pagos_Odoo!$C:$C, MATCH(X2397, Pagos_Odoo!$B:$B, 0)), ""))</f>
        <v/>
      </c>
      <c r="Z2397" s="80">
        <f>IF(X2397="Sin Pago","",IFERROR(INDEX(Pagos_Odoo!$A:$A, MATCH(X2397, Pagos_Odoo!$B:$B, 0)), ""))</f>
        <v/>
      </c>
      <c r="AA2397" s="79">
        <f>IF(X2397="Sin Pago","",IFERROR(INDEX(Pagos_Odoo!$F:$F, MATCH(X2397, Pagos_Odoo!$B:$B, 0)), ""))</f>
        <v/>
      </c>
      <c r="AB2397" s="81">
        <f>IF(X2397="Sin Pago",0,IFERROR(INDEX(Pagos_Odoo!$E:$E, MATCH(X2397, Pagos_Odoo!$B:$B, 0)), 0))</f>
        <v/>
      </c>
      <c r="AC2397" s="79">
        <f>IF(X2397="Sin Pago","",IFERROR(INDEX(Pagos_Odoo!$G:$G, MATCH(X2397, Pagos_Odoo!$B:$B, 0)), ""))</f>
        <v/>
      </c>
      <c r="AD2397" s="82" t="n">
        <v>0</v>
      </c>
      <c r="AE2397" s="82" t="n"/>
      <c r="AF2397" s="82" t="n"/>
      <c r="AG2397" s="82">
        <f>IF(AN2397="","",AD2397+AE2397+AF2397)</f>
        <v/>
      </c>
      <c r="AH2397" s="81">
        <f>IF(AN2397="","",P2397*(1-AG2397))</f>
        <v/>
      </c>
      <c r="AI2397" s="81">
        <f>IF(AN2397="","",IF(Q2397="Sin Factura",0,IFERROR(INDEX(Facturas_Odoo!$H:$H, MATCH(Q2397, Facturas_Odoo!$B:$B, 0)), 0)*(1-AG2397)))</f>
        <v/>
      </c>
      <c r="AJ2397" s="81">
        <f>IF(AN2397="","",_xlfn.LET(idVenta, AN2397&amp;"",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97" s="81">
        <f>IF(AN2397="","",AH2397-AJ2397)</f>
        <v/>
      </c>
      <c r="AL2397" s="81">
        <f>IF(AN2397="","",IF(Q2397="Sin Factura","",AI2397-AJ2397))</f>
        <v/>
      </c>
      <c r="AM2397" s="81">
        <f>IF(AN2397="","",IF(Q2397="Sin Factura",0,P2397-IFERROR(INDEX(Facturas_Odoo!$H:$H, MATCH(Q2397, Facturas_Odoo!$B:$B, 0)), 0)))</f>
        <v/>
      </c>
      <c r="AN2397" s="79">
        <f>IF(AND(A2397="", J2397=""), "", IF(A2397&lt;&gt;"", VALUE(MID(A2397,2,LEN(A2397))), AN2396))</f>
        <v/>
      </c>
      <c r="AO2397" s="79">
        <f>IF(AN2397="","",IF(AD2397=0,"OK",_xlfn.LET(monedaPago, IF(AA2397="","USD",AA2397), limitePermitido, IFERROR(VLOOKUP(monedaPago, Configuración!$A$2:$B$3, 2, FALSE), 0.15), IF(AD2397&gt;limitePermitido, "ALERTA: EXCESO (" &amp; TEXT(limitePermitido, "0%") &amp; " máx)", "OK"))))</f>
        <v/>
      </c>
      <c r="AP2397" s="79">
        <f>IF(AN2397="","",IF(AE2397=0,"OK",_xlfn.LET(fechaPago, Z2397, fechaFactura, R2397, diasCredito, IF(E2397="Pago inmediato", 0, IFERROR(VALUE(MID(E2397, 1, SEARCH(" ", E2397)-1)),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97" s="79">
        <f>IF(AN2397="","",IF(AND(N2397&gt;0, AG2397&gt;0), IF(Configuración!$K$2="NO", "ALERTA: DESCUENTO DOBLE NO PERMITIDO", "OK"), "OK"))</f>
        <v/>
      </c>
      <c r="AR2397" s="79">
        <f>IF(AN2397="","",IF(OR(AO2397&lt;&gt;"OK", AP2397&lt;&gt;"OK", AQ2397&lt;&gt;"OK"), "⚠️ REVISAR", "OK"))</f>
        <v/>
      </c>
    </row>
    <row r="2398">
      <c r="A2398" s="79">
        <f>IF('Ordenes_Odoo'!A2398="","",'Ordenes_Odoo'!A2398)</f>
        <v/>
      </c>
      <c r="B2398" s="80">
        <f>IF('Ordenes_Odoo'!B2398="","",'Ordenes_Odoo'!B2398)</f>
        <v/>
      </c>
      <c r="C2398" s="79">
        <f>IF('Ordenes_Odoo'!C2398="","",'Ordenes_Odoo'!C2398)</f>
        <v/>
      </c>
      <c r="D2398" s="79">
        <f>IF('Ordenes_Odoo'!D2398="","",'Ordenes_Odoo'!D2398)</f>
        <v/>
      </c>
      <c r="E2398" s="79">
        <f>IF('Ordenes_Odoo'!E2398="","",'Ordenes_Odoo'!E2398)</f>
        <v/>
      </c>
      <c r="F2398" s="79">
        <f>IF('Ordenes_Odoo'!F2398="","",'Ordenes_Odoo'!F2398)</f>
        <v/>
      </c>
      <c r="G2398" s="79">
        <f>IF('Ordenes_Odoo'!G2398="","",'Ordenes_Odoo'!G2398)</f>
        <v/>
      </c>
      <c r="H2398" s="79">
        <f>IF('Ordenes_Odoo'!H2398="","",'Ordenes_Odoo'!H2398)</f>
        <v/>
      </c>
      <c r="I2398" s="79">
        <f>IF('Ordenes_Odoo'!I2398="","",'Ordenes_Odoo'!I2398)</f>
        <v/>
      </c>
      <c r="J2398" s="79">
        <f>IF('Ordenes_Odoo'!J2398="","",'Ordenes_Odoo'!J2398)</f>
        <v/>
      </c>
      <c r="K2398" s="81">
        <f>IF('Ordenes_Odoo'!K2398="","",'Ordenes_Odoo'!K2398)</f>
        <v/>
      </c>
      <c r="L2398" s="81">
        <f>IF('Ordenes_Odoo'!L2398="","",'Ordenes_Odoo'!L2398)</f>
        <v/>
      </c>
      <c r="M2398" s="79">
        <f>IF('Ordenes_Odoo'!M2398="","",'Ordenes_Odoo'!M2398)</f>
        <v/>
      </c>
      <c r="N2398" s="79">
        <f>IF('Ordenes_Odoo'!N2398="","",'Ordenes_Odoo'!N2398)</f>
        <v/>
      </c>
      <c r="O2398" s="81">
        <f>IF('Ordenes_Odoo'!O2398="","",'Ordenes_Odoo'!O2398)</f>
        <v/>
      </c>
      <c r="P2398" s="81">
        <f>IF('Ordenes_Odoo'!P2398="","",'Ordenes_Odoo'!P2398)</f>
        <v/>
      </c>
      <c r="Q2398" s="79">
        <f>IF(A2398="","",IFERROR(INDEX(Facturas_Odoo!$B:$B, MATCH(A2398, Facturas_Odoo!$D:$D, 0)), "Sin Factura"))</f>
        <v/>
      </c>
      <c r="R2398" s="80">
        <f>IF(Q2398="Sin Factura","",IFERROR(INDEX(Facturas_Odoo!$A:$A, MATCH(Q2398, Facturas_Odoo!$B:$B, 0)), ""))</f>
        <v/>
      </c>
      <c r="S2398" s="79">
        <f>IF(Q2398="Sin Factura","",IFERROR(_xlfn.XLOOKUP(1, (Facturas_Odoo!$D:$D=A2398) * (Facturas_Odoo!$K:$K=I2398), Facturas_Odoo!$L:$L, ""), ""))</f>
        <v/>
      </c>
      <c r="T2398" s="81">
        <f>IF(Q2398="Sin Factura",0,IFERROR(_xlfn.XLOOKUP(1, (Facturas_Odoo!$D:$D=A2398) * (Facturas_Odoo!$K:$K=I2398), Facturas_Odoo!$M:$M, 0), 0))</f>
        <v/>
      </c>
      <c r="U2398" s="79">
        <f>IF(Q2398="Sin Factura",0,IFERROR(_xlfn.XLOOKUP(1, (Facturas_Odoo!$D:$D=A2398) * (Facturas_Odoo!$K:$K=I2398), Facturas_Odoo!$N:$N, 0), 0))</f>
        <v/>
      </c>
      <c r="V2398" s="79">
        <f>IF(Q2398="Sin Factura",0,IFERROR(_xlfn.XLOOKUP(1, (Facturas_Odoo!$D:$D=A2398) * (Facturas_Odoo!$K:$K=I2398), Facturas_Odoo!$O:$O, 0), 0))</f>
        <v/>
      </c>
      <c r="W2398" s="81">
        <f>IF(Q2398="Sin Factura",0,IFERROR(_xlfn.XLOOKUP(1, (Facturas_Odoo!$D:$D=A2398) * (Facturas_Odoo!$K:$K=I2398), Facturas_Odoo!$Q:$Q, 0), 0))</f>
        <v/>
      </c>
      <c r="X2398" s="79">
        <f>IF(OR(Q2398="Sin Factura",Q2398=""),"",IFERROR(INDEX(Pagos_Odoo!$B:$B, MATCH(Q2398, Pagos_Odoo!$I:$I, 0)), "Sin Pago"))</f>
        <v/>
      </c>
      <c r="Y2398" s="79">
        <f>IF(X2398="Sin Pago","",IFERROR(INDEX(Pagos_Odoo!$C:$C, MATCH(X2398, Pagos_Odoo!$B:$B, 0)), ""))</f>
        <v/>
      </c>
      <c r="Z2398" s="80">
        <f>IF(X2398="Sin Pago","",IFERROR(INDEX(Pagos_Odoo!$A:$A, MATCH(X2398, Pagos_Odoo!$B:$B, 0)), ""))</f>
        <v/>
      </c>
      <c r="AA2398" s="79">
        <f>IF(X2398="Sin Pago","",IFERROR(INDEX(Pagos_Odoo!$F:$F, MATCH(X2398, Pagos_Odoo!$B:$B, 0)), ""))</f>
        <v/>
      </c>
      <c r="AB2398" s="81">
        <f>IF(X2398="Sin Pago",0,IFERROR(INDEX(Pagos_Odoo!$E:$E, MATCH(X2398, Pagos_Odoo!$B:$B, 0)), 0))</f>
        <v/>
      </c>
      <c r="AC2398" s="79">
        <f>IF(X2398="Sin Pago","",IFERROR(INDEX(Pagos_Odoo!$G:$G, MATCH(X2398, Pagos_Odoo!$B:$B, 0)), ""))</f>
        <v/>
      </c>
      <c r="AD2398" s="82" t="n">
        <v>0</v>
      </c>
      <c r="AE2398" s="82" t="n"/>
      <c r="AF2398" s="82" t="n"/>
      <c r="AG2398" s="82">
        <f>IF(AN2398="","",AD2398+AE2398+AF2398)</f>
        <v/>
      </c>
      <c r="AH2398" s="81">
        <f>IF(AN2398="","",P2398*(1-AG2398))</f>
        <v/>
      </c>
      <c r="AI2398" s="81">
        <f>IF(AN2398="","",IF(Q2398="Sin Factura",0,IFERROR(INDEX(Facturas_Odoo!$H:$H, MATCH(Q2398, Facturas_Odoo!$B:$B, 0)), 0)*(1-AG2398)))</f>
        <v/>
      </c>
      <c r="AJ2398" s="81">
        <f>IF(AN2398="","",_xlfn.LET(idVenta, AN2398&amp;"",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98" s="81">
        <f>IF(AN2398="","",AH2398-AJ2398)</f>
        <v/>
      </c>
      <c r="AL2398" s="81">
        <f>IF(AN2398="","",IF(Q2398="Sin Factura","",AI2398-AJ2398))</f>
        <v/>
      </c>
      <c r="AM2398" s="81">
        <f>IF(AN2398="","",IF(Q2398="Sin Factura",0,P2398-IFERROR(INDEX(Facturas_Odoo!$H:$H, MATCH(Q2398, Facturas_Odoo!$B:$B, 0)), 0)))</f>
        <v/>
      </c>
      <c r="AN2398" s="79">
        <f>IF(AND(A2398="", J2398=""), "", IF(A2398&lt;&gt;"", VALUE(MID(A2398,2,LEN(A2398))), AN2397))</f>
        <v/>
      </c>
      <c r="AO2398" s="79">
        <f>IF(AN2398="","",IF(AD2398=0,"OK",_xlfn.LET(monedaPago, IF(AA2398="","USD",AA2398), limitePermitido, IFERROR(VLOOKUP(monedaPago, Configuración!$A$2:$B$3, 2, FALSE), 0.15), IF(AD2398&gt;limitePermitido, "ALERTA: EXCESO (" &amp; TEXT(limitePermitido, "0%") &amp; " máx)", "OK"))))</f>
        <v/>
      </c>
      <c r="AP2398" s="79">
        <f>IF(AN2398="","",IF(AE2398=0,"OK",_xlfn.LET(fechaPago, Z2398, fechaFactura, R2398, diasCredito, IF(E2398="Pago inmediato", 0, IFERROR(VALUE(MID(E2398, 1, SEARCH(" ", E2398)-1)),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98" s="79">
        <f>IF(AN2398="","",IF(AND(N2398&gt;0, AG2398&gt;0), IF(Configuración!$K$2="NO", "ALERTA: DESCUENTO DOBLE NO PERMITIDO", "OK"), "OK"))</f>
        <v/>
      </c>
      <c r="AR2398" s="79">
        <f>IF(AN2398="","",IF(OR(AO2398&lt;&gt;"OK", AP2398&lt;&gt;"OK", AQ2398&lt;&gt;"OK"), "⚠️ REVISAR", "OK"))</f>
        <v/>
      </c>
    </row>
    <row r="2399">
      <c r="A2399" s="79">
        <f>IF('Ordenes_Odoo'!A2399="","",'Ordenes_Odoo'!A2399)</f>
        <v/>
      </c>
      <c r="B2399" s="80">
        <f>IF('Ordenes_Odoo'!B2399="","",'Ordenes_Odoo'!B2399)</f>
        <v/>
      </c>
      <c r="C2399" s="79">
        <f>IF('Ordenes_Odoo'!C2399="","",'Ordenes_Odoo'!C2399)</f>
        <v/>
      </c>
      <c r="D2399" s="79">
        <f>IF('Ordenes_Odoo'!D2399="","",'Ordenes_Odoo'!D2399)</f>
        <v/>
      </c>
      <c r="E2399" s="79">
        <f>IF('Ordenes_Odoo'!E2399="","",'Ordenes_Odoo'!E2399)</f>
        <v/>
      </c>
      <c r="F2399" s="79">
        <f>IF('Ordenes_Odoo'!F2399="","",'Ordenes_Odoo'!F2399)</f>
        <v/>
      </c>
      <c r="G2399" s="79">
        <f>IF('Ordenes_Odoo'!G2399="","",'Ordenes_Odoo'!G2399)</f>
        <v/>
      </c>
      <c r="H2399" s="79">
        <f>IF('Ordenes_Odoo'!H2399="","",'Ordenes_Odoo'!H2399)</f>
        <v/>
      </c>
      <c r="I2399" s="79">
        <f>IF('Ordenes_Odoo'!I2399="","",'Ordenes_Odoo'!I2399)</f>
        <v/>
      </c>
      <c r="J2399" s="79">
        <f>IF('Ordenes_Odoo'!J2399="","",'Ordenes_Odoo'!J2399)</f>
        <v/>
      </c>
      <c r="K2399" s="81">
        <f>IF('Ordenes_Odoo'!K2399="","",'Ordenes_Odoo'!K2399)</f>
        <v/>
      </c>
      <c r="L2399" s="81">
        <f>IF('Ordenes_Odoo'!L2399="","",'Ordenes_Odoo'!L2399)</f>
        <v/>
      </c>
      <c r="M2399" s="79">
        <f>IF('Ordenes_Odoo'!M2399="","",'Ordenes_Odoo'!M2399)</f>
        <v/>
      </c>
      <c r="N2399" s="79">
        <f>IF('Ordenes_Odoo'!N2399="","",'Ordenes_Odoo'!N2399)</f>
        <v/>
      </c>
      <c r="O2399" s="81">
        <f>IF('Ordenes_Odoo'!O2399="","",'Ordenes_Odoo'!O2399)</f>
        <v/>
      </c>
      <c r="P2399" s="81">
        <f>IF('Ordenes_Odoo'!P2399="","",'Ordenes_Odoo'!P2399)</f>
        <v/>
      </c>
      <c r="Q2399" s="79">
        <f>IF(A2399="","",IFERROR(INDEX(Facturas_Odoo!$B:$B, MATCH(A2399, Facturas_Odoo!$D:$D, 0)), "Sin Factura"))</f>
        <v/>
      </c>
      <c r="R2399" s="80">
        <f>IF(Q2399="Sin Factura","",IFERROR(INDEX(Facturas_Odoo!$A:$A, MATCH(Q2399, Facturas_Odoo!$B:$B, 0)), ""))</f>
        <v/>
      </c>
      <c r="S2399" s="79">
        <f>IF(Q2399="Sin Factura","",IFERROR(_xlfn.XLOOKUP(1, (Facturas_Odoo!$D:$D=A2399) * (Facturas_Odoo!$K:$K=I2399), Facturas_Odoo!$L:$L, ""), ""))</f>
        <v/>
      </c>
      <c r="T2399" s="81">
        <f>IF(Q2399="Sin Factura",0,IFERROR(_xlfn.XLOOKUP(1, (Facturas_Odoo!$D:$D=A2399) * (Facturas_Odoo!$K:$K=I2399), Facturas_Odoo!$M:$M, 0), 0))</f>
        <v/>
      </c>
      <c r="U2399" s="79">
        <f>IF(Q2399="Sin Factura",0,IFERROR(_xlfn.XLOOKUP(1, (Facturas_Odoo!$D:$D=A2399) * (Facturas_Odoo!$K:$K=I2399), Facturas_Odoo!$N:$N, 0), 0))</f>
        <v/>
      </c>
      <c r="V2399" s="79">
        <f>IF(Q2399="Sin Factura",0,IFERROR(_xlfn.XLOOKUP(1, (Facturas_Odoo!$D:$D=A2399) * (Facturas_Odoo!$K:$K=I2399), Facturas_Odoo!$O:$O, 0), 0))</f>
        <v/>
      </c>
      <c r="W2399" s="81">
        <f>IF(Q2399="Sin Factura",0,IFERROR(_xlfn.XLOOKUP(1, (Facturas_Odoo!$D:$D=A2399) * (Facturas_Odoo!$K:$K=I2399), Facturas_Odoo!$Q:$Q, 0), 0))</f>
        <v/>
      </c>
      <c r="X2399" s="79">
        <f>IF(OR(Q2399="Sin Factura",Q2399=""),"",IFERROR(INDEX(Pagos_Odoo!$B:$B, MATCH(Q2399, Pagos_Odoo!$I:$I, 0)), "Sin Pago"))</f>
        <v/>
      </c>
      <c r="Y2399" s="79">
        <f>IF(X2399="Sin Pago","",IFERROR(INDEX(Pagos_Odoo!$C:$C, MATCH(X2399, Pagos_Odoo!$B:$B, 0)), ""))</f>
        <v/>
      </c>
      <c r="Z2399" s="80">
        <f>IF(X2399="Sin Pago","",IFERROR(INDEX(Pagos_Odoo!$A:$A, MATCH(X2399, Pagos_Odoo!$B:$B, 0)), ""))</f>
        <v/>
      </c>
      <c r="AA2399" s="79">
        <f>IF(X2399="Sin Pago","",IFERROR(INDEX(Pagos_Odoo!$F:$F, MATCH(X2399, Pagos_Odoo!$B:$B, 0)), ""))</f>
        <v/>
      </c>
      <c r="AB2399" s="81">
        <f>IF(X2399="Sin Pago",0,IFERROR(INDEX(Pagos_Odoo!$E:$E, MATCH(X2399, Pagos_Odoo!$B:$B, 0)), 0))</f>
        <v/>
      </c>
      <c r="AC2399" s="79">
        <f>IF(X2399="Sin Pago","",IFERROR(INDEX(Pagos_Odoo!$G:$G, MATCH(X2399, Pagos_Odoo!$B:$B, 0)), ""))</f>
        <v/>
      </c>
      <c r="AD2399" s="82" t="n">
        <v>0</v>
      </c>
      <c r="AE2399" s="82" t="n"/>
      <c r="AF2399" s="82" t="n"/>
      <c r="AG2399" s="82">
        <f>IF(AN2399="","",AD2399+AE2399+AF2399)</f>
        <v/>
      </c>
      <c r="AH2399" s="81">
        <f>IF(AN2399="","",P2399*(1-AG2399))</f>
        <v/>
      </c>
      <c r="AI2399" s="81">
        <f>IF(AN2399="","",IF(Q2399="Sin Factura",0,IFERROR(INDEX(Facturas_Odoo!$H:$H, MATCH(Q2399, Facturas_Odoo!$B:$B, 0)), 0)*(1-AG2399)))</f>
        <v/>
      </c>
      <c r="AJ2399" s="81">
        <f>IF(AN2399="","",_xlfn.LET(idVenta, AN2399&amp;"",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399" s="81">
        <f>IF(AN2399="","",AH2399-AJ2399)</f>
        <v/>
      </c>
      <c r="AL2399" s="81">
        <f>IF(AN2399="","",IF(Q2399="Sin Factura","",AI2399-AJ2399))</f>
        <v/>
      </c>
      <c r="AM2399" s="81">
        <f>IF(AN2399="","",IF(Q2399="Sin Factura",0,P2399-IFERROR(INDEX(Facturas_Odoo!$H:$H, MATCH(Q2399, Facturas_Odoo!$B:$B, 0)), 0)))</f>
        <v/>
      </c>
      <c r="AN2399" s="79">
        <f>IF(AND(A2399="", J2399=""), "", IF(A2399&lt;&gt;"", VALUE(MID(A2399,2,LEN(A2399))), AN2398))</f>
        <v/>
      </c>
      <c r="AO2399" s="79">
        <f>IF(AN2399="","",IF(AD2399=0,"OK",_xlfn.LET(monedaPago, IF(AA2399="","USD",AA2399), limitePermitido, IFERROR(VLOOKUP(monedaPago, Configuración!$A$2:$B$3, 2, FALSE), 0.15), IF(AD2399&gt;limitePermitido, "ALERTA: EXCESO (" &amp; TEXT(limitePermitido, "0%") &amp; " máx)", "OK"))))</f>
        <v/>
      </c>
      <c r="AP2399" s="79">
        <f>IF(AN2399="","",IF(AE2399=0,"OK",_xlfn.LET(fechaPago, Z2399, fechaFactura, R2399, diasCredito, IF(E2399="Pago inmediato", 0, IFERROR(VALUE(MID(E2399, 1, SEARCH(" ", E2399)-1)),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399" s="79">
        <f>IF(AN2399="","",IF(AND(N2399&gt;0, AG2399&gt;0), IF(Configuración!$K$2="NO", "ALERTA: DESCUENTO DOBLE NO PERMITIDO", "OK"), "OK"))</f>
        <v/>
      </c>
      <c r="AR2399" s="79">
        <f>IF(AN2399="","",IF(OR(AO2399&lt;&gt;"OK", AP2399&lt;&gt;"OK", AQ2399&lt;&gt;"OK"), "⚠️ REVISAR", "OK"))</f>
        <v/>
      </c>
    </row>
    <row r="2400">
      <c r="A2400" s="79">
        <f>IF('Ordenes_Odoo'!A2400="","",'Ordenes_Odoo'!A2400)</f>
        <v/>
      </c>
      <c r="B2400" s="80">
        <f>IF('Ordenes_Odoo'!B2400="","",'Ordenes_Odoo'!B2400)</f>
        <v/>
      </c>
      <c r="C2400" s="79">
        <f>IF('Ordenes_Odoo'!C2400="","",'Ordenes_Odoo'!C2400)</f>
        <v/>
      </c>
      <c r="D2400" s="79">
        <f>IF('Ordenes_Odoo'!D2400="","",'Ordenes_Odoo'!D2400)</f>
        <v/>
      </c>
      <c r="E2400" s="79">
        <f>IF('Ordenes_Odoo'!E2400="","",'Ordenes_Odoo'!E2400)</f>
        <v/>
      </c>
      <c r="F2400" s="79">
        <f>IF('Ordenes_Odoo'!F2400="","",'Ordenes_Odoo'!F2400)</f>
        <v/>
      </c>
      <c r="G2400" s="79">
        <f>IF('Ordenes_Odoo'!G2400="","",'Ordenes_Odoo'!G2400)</f>
        <v/>
      </c>
      <c r="H2400" s="79">
        <f>IF('Ordenes_Odoo'!H2400="","",'Ordenes_Odoo'!H2400)</f>
        <v/>
      </c>
      <c r="I2400" s="79">
        <f>IF('Ordenes_Odoo'!I2400="","",'Ordenes_Odoo'!I2400)</f>
        <v/>
      </c>
      <c r="J2400" s="79">
        <f>IF('Ordenes_Odoo'!J2400="","",'Ordenes_Odoo'!J2400)</f>
        <v/>
      </c>
      <c r="K2400" s="81">
        <f>IF('Ordenes_Odoo'!K2400="","",'Ordenes_Odoo'!K2400)</f>
        <v/>
      </c>
      <c r="L2400" s="81">
        <f>IF('Ordenes_Odoo'!L2400="","",'Ordenes_Odoo'!L2400)</f>
        <v/>
      </c>
      <c r="M2400" s="79">
        <f>IF('Ordenes_Odoo'!M2400="","",'Ordenes_Odoo'!M2400)</f>
        <v/>
      </c>
      <c r="N2400" s="79">
        <f>IF('Ordenes_Odoo'!N2400="","",'Ordenes_Odoo'!N2400)</f>
        <v/>
      </c>
      <c r="O2400" s="81">
        <f>IF('Ordenes_Odoo'!O2400="","",'Ordenes_Odoo'!O2400)</f>
        <v/>
      </c>
      <c r="P2400" s="81">
        <f>IF('Ordenes_Odoo'!P2400="","",'Ordenes_Odoo'!P2400)</f>
        <v/>
      </c>
      <c r="Q2400" s="79">
        <f>IF(A2400="","",IFERROR(INDEX(Facturas_Odoo!$B:$B, MATCH(A2400, Facturas_Odoo!$D:$D, 0)), "Sin Factura"))</f>
        <v/>
      </c>
      <c r="R2400" s="80">
        <f>IF(Q2400="Sin Factura","",IFERROR(INDEX(Facturas_Odoo!$A:$A, MATCH(Q2400, Facturas_Odoo!$B:$B, 0)), ""))</f>
        <v/>
      </c>
      <c r="S2400" s="79">
        <f>IF(Q2400="Sin Factura","",IFERROR(_xlfn.XLOOKUP(1, (Facturas_Odoo!$D:$D=A2400) * (Facturas_Odoo!$K:$K=I2400), Facturas_Odoo!$L:$L, ""), ""))</f>
        <v/>
      </c>
      <c r="T2400" s="81">
        <f>IF(Q2400="Sin Factura",0,IFERROR(_xlfn.XLOOKUP(1, (Facturas_Odoo!$D:$D=A2400) * (Facturas_Odoo!$K:$K=I2400), Facturas_Odoo!$M:$M, 0), 0))</f>
        <v/>
      </c>
      <c r="U2400" s="79">
        <f>IF(Q2400="Sin Factura",0,IFERROR(_xlfn.XLOOKUP(1, (Facturas_Odoo!$D:$D=A2400) * (Facturas_Odoo!$K:$K=I2400), Facturas_Odoo!$N:$N, 0), 0))</f>
        <v/>
      </c>
      <c r="V2400" s="79">
        <f>IF(Q2400="Sin Factura",0,IFERROR(_xlfn.XLOOKUP(1, (Facturas_Odoo!$D:$D=A2400) * (Facturas_Odoo!$K:$K=I2400), Facturas_Odoo!$O:$O, 0), 0))</f>
        <v/>
      </c>
      <c r="W2400" s="81">
        <f>IF(Q2400="Sin Factura",0,IFERROR(_xlfn.XLOOKUP(1, (Facturas_Odoo!$D:$D=A2400) * (Facturas_Odoo!$K:$K=I2400), Facturas_Odoo!$Q:$Q, 0), 0))</f>
        <v/>
      </c>
      <c r="X2400" s="79">
        <f>IF(OR(Q2400="Sin Factura",Q2400=""),"",IFERROR(INDEX(Pagos_Odoo!$B:$B, MATCH(Q2400, Pagos_Odoo!$I:$I, 0)), "Sin Pago"))</f>
        <v/>
      </c>
      <c r="Y2400" s="79">
        <f>IF(X2400="Sin Pago","",IFERROR(INDEX(Pagos_Odoo!$C:$C, MATCH(X2400, Pagos_Odoo!$B:$B, 0)), ""))</f>
        <v/>
      </c>
      <c r="Z2400" s="80">
        <f>IF(X2400="Sin Pago","",IFERROR(INDEX(Pagos_Odoo!$A:$A, MATCH(X2400, Pagos_Odoo!$B:$B, 0)), ""))</f>
        <v/>
      </c>
      <c r="AA2400" s="79">
        <f>IF(X2400="Sin Pago","",IFERROR(INDEX(Pagos_Odoo!$F:$F, MATCH(X2400, Pagos_Odoo!$B:$B, 0)), ""))</f>
        <v/>
      </c>
      <c r="AB2400" s="81">
        <f>IF(X2400="Sin Pago",0,IFERROR(INDEX(Pagos_Odoo!$E:$E, MATCH(X2400, Pagos_Odoo!$B:$B, 0)), 0))</f>
        <v/>
      </c>
      <c r="AC2400" s="79">
        <f>IF(X2400="Sin Pago","",IFERROR(INDEX(Pagos_Odoo!$G:$G, MATCH(X2400, Pagos_Odoo!$B:$B, 0)), ""))</f>
        <v/>
      </c>
      <c r="AD2400" s="82" t="n">
        <v>0</v>
      </c>
      <c r="AE2400" s="82" t="n"/>
      <c r="AF2400" s="82" t="n"/>
      <c r="AG2400" s="82">
        <f>IF(AN2400="","",AD2400+AE2400+AF2400)</f>
        <v/>
      </c>
      <c r="AH2400" s="81">
        <f>IF(AN2400="","",P2400*(1-AG2400))</f>
        <v/>
      </c>
      <c r="AI2400" s="81">
        <f>IF(AN2400="","",IF(Q2400="Sin Factura",0,IFERROR(INDEX(Facturas_Odoo!$H:$H, MATCH(Q2400, Facturas_Odoo!$B:$B, 0)), 0)*(1-AG2400)))</f>
        <v/>
      </c>
      <c r="AJ2400" s="81">
        <f>IF(AN2400="","",_xlfn.LET(idVenta, AN2400&amp;"",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00" s="81">
        <f>IF(AN2400="","",AH2400-AJ2400)</f>
        <v/>
      </c>
      <c r="AL2400" s="81">
        <f>IF(AN2400="","",IF(Q2400="Sin Factura","",AI2400-AJ2400))</f>
        <v/>
      </c>
      <c r="AM2400" s="81">
        <f>IF(AN2400="","",IF(Q2400="Sin Factura",0,P2400-IFERROR(INDEX(Facturas_Odoo!$H:$H, MATCH(Q2400, Facturas_Odoo!$B:$B, 0)), 0)))</f>
        <v/>
      </c>
      <c r="AN2400" s="79">
        <f>IF(AND(A2400="", J2400=""), "", IF(A2400&lt;&gt;"", VALUE(MID(A2400,2,LEN(A2400))), AN2399))</f>
        <v/>
      </c>
      <c r="AO2400" s="79">
        <f>IF(AN2400="","",IF(AD2400=0,"OK",_xlfn.LET(monedaPago, IF(AA2400="","USD",AA2400), limitePermitido, IFERROR(VLOOKUP(monedaPago, Configuración!$A$2:$B$3, 2, FALSE), 0.15), IF(AD2400&gt;limitePermitido, "ALERTA: EXCESO (" &amp; TEXT(limitePermitido, "0%") &amp; " máx)", "OK"))))</f>
        <v/>
      </c>
      <c r="AP2400" s="79">
        <f>IF(AN2400="","",IF(AE2400=0,"OK",_xlfn.LET(fechaPago, Z2400, fechaFactura, R2400, diasCredito, IF(E2400="Pago inmediato", 0, IFERROR(VALUE(MID(E2400, 1, SEARCH(" ", E2400)-1)),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00" s="79">
        <f>IF(AN2400="","",IF(AND(N2400&gt;0, AG2400&gt;0), IF(Configuración!$K$2="NO", "ALERTA: DESCUENTO DOBLE NO PERMITIDO", "OK"), "OK"))</f>
        <v/>
      </c>
      <c r="AR2400" s="79">
        <f>IF(AN2400="","",IF(OR(AO2400&lt;&gt;"OK", AP2400&lt;&gt;"OK", AQ2400&lt;&gt;"OK"), "⚠️ REVISAR", "OK"))</f>
        <v/>
      </c>
    </row>
    <row r="2401">
      <c r="A2401" s="79">
        <f>IF('Ordenes_Odoo'!A2401="","",'Ordenes_Odoo'!A2401)</f>
        <v/>
      </c>
      <c r="B2401" s="80">
        <f>IF('Ordenes_Odoo'!B2401="","",'Ordenes_Odoo'!B2401)</f>
        <v/>
      </c>
      <c r="C2401" s="79">
        <f>IF('Ordenes_Odoo'!C2401="","",'Ordenes_Odoo'!C2401)</f>
        <v/>
      </c>
      <c r="D2401" s="79">
        <f>IF('Ordenes_Odoo'!D2401="","",'Ordenes_Odoo'!D2401)</f>
        <v/>
      </c>
      <c r="E2401" s="79">
        <f>IF('Ordenes_Odoo'!E2401="","",'Ordenes_Odoo'!E2401)</f>
        <v/>
      </c>
      <c r="F2401" s="79">
        <f>IF('Ordenes_Odoo'!F2401="","",'Ordenes_Odoo'!F2401)</f>
        <v/>
      </c>
      <c r="G2401" s="79">
        <f>IF('Ordenes_Odoo'!G2401="","",'Ordenes_Odoo'!G2401)</f>
        <v/>
      </c>
      <c r="H2401" s="79">
        <f>IF('Ordenes_Odoo'!H2401="","",'Ordenes_Odoo'!H2401)</f>
        <v/>
      </c>
      <c r="I2401" s="79">
        <f>IF('Ordenes_Odoo'!I2401="","",'Ordenes_Odoo'!I2401)</f>
        <v/>
      </c>
      <c r="J2401" s="79">
        <f>IF('Ordenes_Odoo'!J2401="","",'Ordenes_Odoo'!J2401)</f>
        <v/>
      </c>
      <c r="K2401" s="81">
        <f>IF('Ordenes_Odoo'!K2401="","",'Ordenes_Odoo'!K2401)</f>
        <v/>
      </c>
      <c r="L2401" s="81">
        <f>IF('Ordenes_Odoo'!L2401="","",'Ordenes_Odoo'!L2401)</f>
        <v/>
      </c>
      <c r="M2401" s="79">
        <f>IF('Ordenes_Odoo'!M2401="","",'Ordenes_Odoo'!M2401)</f>
        <v/>
      </c>
      <c r="N2401" s="79">
        <f>IF('Ordenes_Odoo'!N2401="","",'Ordenes_Odoo'!N2401)</f>
        <v/>
      </c>
      <c r="O2401" s="81">
        <f>IF('Ordenes_Odoo'!O2401="","",'Ordenes_Odoo'!O2401)</f>
        <v/>
      </c>
      <c r="P2401" s="81">
        <f>IF('Ordenes_Odoo'!P2401="","",'Ordenes_Odoo'!P2401)</f>
        <v/>
      </c>
      <c r="Q2401" s="79">
        <f>IF(A2401="","",IFERROR(INDEX(Facturas_Odoo!$B:$B, MATCH(A2401, Facturas_Odoo!$D:$D, 0)), "Sin Factura"))</f>
        <v/>
      </c>
      <c r="R2401" s="80">
        <f>IF(Q2401="Sin Factura","",IFERROR(INDEX(Facturas_Odoo!$A:$A, MATCH(Q2401, Facturas_Odoo!$B:$B, 0)), ""))</f>
        <v/>
      </c>
      <c r="S2401" s="79">
        <f>IF(Q2401="Sin Factura","",IFERROR(_xlfn.XLOOKUP(1, (Facturas_Odoo!$D:$D=A2401) * (Facturas_Odoo!$K:$K=I2401), Facturas_Odoo!$L:$L, ""), ""))</f>
        <v/>
      </c>
      <c r="T2401" s="81">
        <f>IF(Q2401="Sin Factura",0,IFERROR(_xlfn.XLOOKUP(1, (Facturas_Odoo!$D:$D=A2401) * (Facturas_Odoo!$K:$K=I2401), Facturas_Odoo!$M:$M, 0), 0))</f>
        <v/>
      </c>
      <c r="U2401" s="79">
        <f>IF(Q2401="Sin Factura",0,IFERROR(_xlfn.XLOOKUP(1, (Facturas_Odoo!$D:$D=A2401) * (Facturas_Odoo!$K:$K=I2401), Facturas_Odoo!$N:$N, 0), 0))</f>
        <v/>
      </c>
      <c r="V2401" s="79">
        <f>IF(Q2401="Sin Factura",0,IFERROR(_xlfn.XLOOKUP(1, (Facturas_Odoo!$D:$D=A2401) * (Facturas_Odoo!$K:$K=I2401), Facturas_Odoo!$O:$O, 0), 0))</f>
        <v/>
      </c>
      <c r="W2401" s="81">
        <f>IF(Q2401="Sin Factura",0,IFERROR(_xlfn.XLOOKUP(1, (Facturas_Odoo!$D:$D=A2401) * (Facturas_Odoo!$K:$K=I2401), Facturas_Odoo!$Q:$Q, 0), 0))</f>
        <v/>
      </c>
      <c r="X2401" s="79">
        <f>IF(OR(Q2401="Sin Factura",Q2401=""),"",IFERROR(INDEX(Pagos_Odoo!$B:$B, MATCH(Q2401, Pagos_Odoo!$I:$I, 0)), "Sin Pago"))</f>
        <v/>
      </c>
      <c r="Y2401" s="79">
        <f>IF(X2401="Sin Pago","",IFERROR(INDEX(Pagos_Odoo!$C:$C, MATCH(X2401, Pagos_Odoo!$B:$B, 0)), ""))</f>
        <v/>
      </c>
      <c r="Z2401" s="80">
        <f>IF(X2401="Sin Pago","",IFERROR(INDEX(Pagos_Odoo!$A:$A, MATCH(X2401, Pagos_Odoo!$B:$B, 0)), ""))</f>
        <v/>
      </c>
      <c r="AA2401" s="79">
        <f>IF(X2401="Sin Pago","",IFERROR(INDEX(Pagos_Odoo!$F:$F, MATCH(X2401, Pagos_Odoo!$B:$B, 0)), ""))</f>
        <v/>
      </c>
      <c r="AB2401" s="81">
        <f>IF(X2401="Sin Pago",0,IFERROR(INDEX(Pagos_Odoo!$E:$E, MATCH(X2401, Pagos_Odoo!$B:$B, 0)), 0))</f>
        <v/>
      </c>
      <c r="AC2401" s="79">
        <f>IF(X2401="Sin Pago","",IFERROR(INDEX(Pagos_Odoo!$G:$G, MATCH(X2401, Pagos_Odoo!$B:$B, 0)), ""))</f>
        <v/>
      </c>
      <c r="AD2401" s="82" t="n">
        <v>0</v>
      </c>
      <c r="AE2401" s="82" t="n"/>
      <c r="AF2401" s="82" t="n"/>
      <c r="AG2401" s="82">
        <f>IF(AN2401="","",AD2401+AE2401+AF2401)</f>
        <v/>
      </c>
      <c r="AH2401" s="81">
        <f>IF(AN2401="","",P2401*(1-AG2401))</f>
        <v/>
      </c>
      <c r="AI2401" s="81">
        <f>IF(AN2401="","",IF(Q2401="Sin Factura",0,IFERROR(INDEX(Facturas_Odoo!$H:$H, MATCH(Q2401, Facturas_Odoo!$B:$B, 0)), 0)*(1-AG2401)))</f>
        <v/>
      </c>
      <c r="AJ2401" s="81">
        <f>IF(AN2401="","",_xlfn.LET(idVenta, AN2401&amp;"",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01" s="81">
        <f>IF(AN2401="","",AH2401-AJ2401)</f>
        <v/>
      </c>
      <c r="AL2401" s="81">
        <f>IF(AN2401="","",IF(Q2401="Sin Factura","",AI2401-AJ2401))</f>
        <v/>
      </c>
      <c r="AM2401" s="81">
        <f>IF(AN2401="","",IF(Q2401="Sin Factura",0,P2401-IFERROR(INDEX(Facturas_Odoo!$H:$H, MATCH(Q2401, Facturas_Odoo!$B:$B, 0)), 0)))</f>
        <v/>
      </c>
      <c r="AN2401" s="79">
        <f>IF(AND(A2401="", J2401=""), "", IF(A2401&lt;&gt;"", VALUE(MID(A2401,2,LEN(A2401))), AN2400))</f>
        <v/>
      </c>
      <c r="AO2401" s="79">
        <f>IF(AN2401="","",IF(AD2401=0,"OK",_xlfn.LET(monedaPago, IF(AA2401="","USD",AA2401), limitePermitido, IFERROR(VLOOKUP(monedaPago, Configuración!$A$2:$B$3, 2, FALSE), 0.15), IF(AD2401&gt;limitePermitido, "ALERTA: EXCESO (" &amp; TEXT(limitePermitido, "0%") &amp; " máx)", "OK"))))</f>
        <v/>
      </c>
      <c r="AP2401" s="79">
        <f>IF(AN2401="","",IF(AE2401=0,"OK",_xlfn.LET(fechaPago, Z2401, fechaFactura, R2401, diasCredito, IF(E2401="Pago inmediato", 0, IFERROR(VALUE(MID(E2401, 1, SEARCH(" ", E2401)-1)),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01" s="79">
        <f>IF(AN2401="","",IF(AND(N2401&gt;0, AG2401&gt;0), IF(Configuración!$K$2="NO", "ALERTA: DESCUENTO DOBLE NO PERMITIDO", "OK"), "OK"))</f>
        <v/>
      </c>
      <c r="AR2401" s="79">
        <f>IF(AN2401="","",IF(OR(AO2401&lt;&gt;"OK", AP2401&lt;&gt;"OK", AQ2401&lt;&gt;"OK"), "⚠️ REVISAR", "OK"))</f>
        <v/>
      </c>
    </row>
    <row r="2402">
      <c r="A2402" s="79">
        <f>IF('Ordenes_Odoo'!A2402="","",'Ordenes_Odoo'!A2402)</f>
        <v/>
      </c>
      <c r="B2402" s="80">
        <f>IF('Ordenes_Odoo'!B2402="","",'Ordenes_Odoo'!B2402)</f>
        <v/>
      </c>
      <c r="C2402" s="79">
        <f>IF('Ordenes_Odoo'!C2402="","",'Ordenes_Odoo'!C2402)</f>
        <v/>
      </c>
      <c r="D2402" s="79">
        <f>IF('Ordenes_Odoo'!D2402="","",'Ordenes_Odoo'!D2402)</f>
        <v/>
      </c>
      <c r="E2402" s="79">
        <f>IF('Ordenes_Odoo'!E2402="","",'Ordenes_Odoo'!E2402)</f>
        <v/>
      </c>
      <c r="F2402" s="79">
        <f>IF('Ordenes_Odoo'!F2402="","",'Ordenes_Odoo'!F2402)</f>
        <v/>
      </c>
      <c r="G2402" s="79">
        <f>IF('Ordenes_Odoo'!G2402="","",'Ordenes_Odoo'!G2402)</f>
        <v/>
      </c>
      <c r="H2402" s="79">
        <f>IF('Ordenes_Odoo'!H2402="","",'Ordenes_Odoo'!H2402)</f>
        <v/>
      </c>
      <c r="I2402" s="79">
        <f>IF('Ordenes_Odoo'!I2402="","",'Ordenes_Odoo'!I2402)</f>
        <v/>
      </c>
      <c r="J2402" s="79">
        <f>IF('Ordenes_Odoo'!J2402="","",'Ordenes_Odoo'!J2402)</f>
        <v/>
      </c>
      <c r="K2402" s="81">
        <f>IF('Ordenes_Odoo'!K2402="","",'Ordenes_Odoo'!K2402)</f>
        <v/>
      </c>
      <c r="L2402" s="81">
        <f>IF('Ordenes_Odoo'!L2402="","",'Ordenes_Odoo'!L2402)</f>
        <v/>
      </c>
      <c r="M2402" s="79">
        <f>IF('Ordenes_Odoo'!M2402="","",'Ordenes_Odoo'!M2402)</f>
        <v/>
      </c>
      <c r="N2402" s="79">
        <f>IF('Ordenes_Odoo'!N2402="","",'Ordenes_Odoo'!N2402)</f>
        <v/>
      </c>
      <c r="O2402" s="81">
        <f>IF('Ordenes_Odoo'!O2402="","",'Ordenes_Odoo'!O2402)</f>
        <v/>
      </c>
      <c r="P2402" s="81">
        <f>IF('Ordenes_Odoo'!P2402="","",'Ordenes_Odoo'!P2402)</f>
        <v/>
      </c>
      <c r="Q2402" s="79">
        <f>IF(A2402="","",IFERROR(INDEX(Facturas_Odoo!$B:$B, MATCH(A2402, Facturas_Odoo!$D:$D, 0)), "Sin Factura"))</f>
        <v/>
      </c>
      <c r="R2402" s="80">
        <f>IF(Q2402="Sin Factura","",IFERROR(INDEX(Facturas_Odoo!$A:$A, MATCH(Q2402, Facturas_Odoo!$B:$B, 0)), ""))</f>
        <v/>
      </c>
      <c r="S2402" s="79">
        <f>IF(Q2402="Sin Factura","",IFERROR(_xlfn.XLOOKUP(1, (Facturas_Odoo!$D:$D=A2402) * (Facturas_Odoo!$K:$K=I2402), Facturas_Odoo!$L:$L, ""), ""))</f>
        <v/>
      </c>
      <c r="T2402" s="81">
        <f>IF(Q2402="Sin Factura",0,IFERROR(_xlfn.XLOOKUP(1, (Facturas_Odoo!$D:$D=A2402) * (Facturas_Odoo!$K:$K=I2402), Facturas_Odoo!$M:$M, 0), 0))</f>
        <v/>
      </c>
      <c r="U2402" s="79">
        <f>IF(Q2402="Sin Factura",0,IFERROR(_xlfn.XLOOKUP(1, (Facturas_Odoo!$D:$D=A2402) * (Facturas_Odoo!$K:$K=I2402), Facturas_Odoo!$N:$N, 0), 0))</f>
        <v/>
      </c>
      <c r="V2402" s="79">
        <f>IF(Q2402="Sin Factura",0,IFERROR(_xlfn.XLOOKUP(1, (Facturas_Odoo!$D:$D=A2402) * (Facturas_Odoo!$K:$K=I2402), Facturas_Odoo!$O:$O, 0), 0))</f>
        <v/>
      </c>
      <c r="W2402" s="81">
        <f>IF(Q2402="Sin Factura",0,IFERROR(_xlfn.XLOOKUP(1, (Facturas_Odoo!$D:$D=A2402) * (Facturas_Odoo!$K:$K=I2402), Facturas_Odoo!$Q:$Q, 0), 0))</f>
        <v/>
      </c>
      <c r="X2402" s="79">
        <f>IF(OR(Q2402="Sin Factura",Q2402=""),"",IFERROR(INDEX(Pagos_Odoo!$B:$B, MATCH(Q2402, Pagos_Odoo!$I:$I, 0)), "Sin Pago"))</f>
        <v/>
      </c>
      <c r="Y2402" s="79">
        <f>IF(X2402="Sin Pago","",IFERROR(INDEX(Pagos_Odoo!$C:$C, MATCH(X2402, Pagos_Odoo!$B:$B, 0)), ""))</f>
        <v/>
      </c>
      <c r="Z2402" s="80">
        <f>IF(X2402="Sin Pago","",IFERROR(INDEX(Pagos_Odoo!$A:$A, MATCH(X2402, Pagos_Odoo!$B:$B, 0)), ""))</f>
        <v/>
      </c>
      <c r="AA2402" s="79">
        <f>IF(X2402="Sin Pago","",IFERROR(INDEX(Pagos_Odoo!$F:$F, MATCH(X2402, Pagos_Odoo!$B:$B, 0)), ""))</f>
        <v/>
      </c>
      <c r="AB2402" s="81">
        <f>IF(X2402="Sin Pago",0,IFERROR(INDEX(Pagos_Odoo!$E:$E, MATCH(X2402, Pagos_Odoo!$B:$B, 0)), 0))</f>
        <v/>
      </c>
      <c r="AC2402" s="79">
        <f>IF(X2402="Sin Pago","",IFERROR(INDEX(Pagos_Odoo!$G:$G, MATCH(X2402, Pagos_Odoo!$B:$B, 0)), ""))</f>
        <v/>
      </c>
      <c r="AD2402" s="82" t="n">
        <v>0</v>
      </c>
      <c r="AE2402" s="82" t="n"/>
      <c r="AF2402" s="82" t="n"/>
      <c r="AG2402" s="82">
        <f>IF(AN2402="","",AD2402+AE2402+AF2402)</f>
        <v/>
      </c>
      <c r="AH2402" s="81">
        <f>IF(AN2402="","",P2402*(1-AG2402))</f>
        <v/>
      </c>
      <c r="AI2402" s="81">
        <f>IF(AN2402="","",IF(Q2402="Sin Factura",0,IFERROR(INDEX(Facturas_Odoo!$H:$H, MATCH(Q2402, Facturas_Odoo!$B:$B, 0)), 0)*(1-AG2402)))</f>
        <v/>
      </c>
      <c r="AJ2402" s="81">
        <f>IF(AN2402="","",_xlfn.LET(idVenta, AN2402&amp;"",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02" s="81">
        <f>IF(AN2402="","",AH2402-AJ2402)</f>
        <v/>
      </c>
      <c r="AL2402" s="81">
        <f>IF(AN2402="","",IF(Q2402="Sin Factura","",AI2402-AJ2402))</f>
        <v/>
      </c>
      <c r="AM2402" s="81">
        <f>IF(AN2402="","",IF(Q2402="Sin Factura",0,P2402-IFERROR(INDEX(Facturas_Odoo!$H:$H, MATCH(Q2402, Facturas_Odoo!$B:$B, 0)), 0)))</f>
        <v/>
      </c>
      <c r="AN2402" s="79">
        <f>IF(AND(A2402="", J2402=""), "", IF(A2402&lt;&gt;"", VALUE(MID(A2402,2,LEN(A2402))), AN2401))</f>
        <v/>
      </c>
      <c r="AO2402" s="79">
        <f>IF(AN2402="","",IF(AD2402=0,"OK",_xlfn.LET(monedaPago, IF(AA2402="","USD",AA2402), limitePermitido, IFERROR(VLOOKUP(monedaPago, Configuración!$A$2:$B$3, 2, FALSE), 0.15), IF(AD2402&gt;limitePermitido, "ALERTA: EXCESO (" &amp; TEXT(limitePermitido, "0%") &amp; " máx)", "OK"))))</f>
        <v/>
      </c>
      <c r="AP2402" s="79">
        <f>IF(AN2402="","",IF(AE2402=0,"OK",_xlfn.LET(fechaPago, Z2402, fechaFactura, R2402, diasCredito, IF(E2402="Pago inmediato", 0, IFERROR(VALUE(MID(E2402, 1, SEARCH(" ", E2402)-1)),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02" s="79">
        <f>IF(AN2402="","",IF(AND(N2402&gt;0, AG2402&gt;0), IF(Configuración!$K$2="NO", "ALERTA: DESCUENTO DOBLE NO PERMITIDO", "OK"), "OK"))</f>
        <v/>
      </c>
      <c r="AR2402" s="79">
        <f>IF(AN2402="","",IF(OR(AO2402&lt;&gt;"OK", AP2402&lt;&gt;"OK", AQ2402&lt;&gt;"OK"), "⚠️ REVISAR", "OK"))</f>
        <v/>
      </c>
    </row>
    <row r="2403">
      <c r="A2403" s="79">
        <f>IF('Ordenes_Odoo'!A2403="","",'Ordenes_Odoo'!A2403)</f>
        <v/>
      </c>
      <c r="B2403" s="80">
        <f>IF('Ordenes_Odoo'!B2403="","",'Ordenes_Odoo'!B2403)</f>
        <v/>
      </c>
      <c r="C2403" s="79">
        <f>IF('Ordenes_Odoo'!C2403="","",'Ordenes_Odoo'!C2403)</f>
        <v/>
      </c>
      <c r="D2403" s="79">
        <f>IF('Ordenes_Odoo'!D2403="","",'Ordenes_Odoo'!D2403)</f>
        <v/>
      </c>
      <c r="E2403" s="79">
        <f>IF('Ordenes_Odoo'!E2403="","",'Ordenes_Odoo'!E2403)</f>
        <v/>
      </c>
      <c r="F2403" s="79">
        <f>IF('Ordenes_Odoo'!F2403="","",'Ordenes_Odoo'!F2403)</f>
        <v/>
      </c>
      <c r="G2403" s="79">
        <f>IF('Ordenes_Odoo'!G2403="","",'Ordenes_Odoo'!G2403)</f>
        <v/>
      </c>
      <c r="H2403" s="79">
        <f>IF('Ordenes_Odoo'!H2403="","",'Ordenes_Odoo'!H2403)</f>
        <v/>
      </c>
      <c r="I2403" s="79">
        <f>IF('Ordenes_Odoo'!I2403="","",'Ordenes_Odoo'!I2403)</f>
        <v/>
      </c>
      <c r="J2403" s="79">
        <f>IF('Ordenes_Odoo'!J2403="","",'Ordenes_Odoo'!J2403)</f>
        <v/>
      </c>
      <c r="K2403" s="81">
        <f>IF('Ordenes_Odoo'!K2403="","",'Ordenes_Odoo'!K2403)</f>
        <v/>
      </c>
      <c r="L2403" s="81">
        <f>IF('Ordenes_Odoo'!L2403="","",'Ordenes_Odoo'!L2403)</f>
        <v/>
      </c>
      <c r="M2403" s="79">
        <f>IF('Ordenes_Odoo'!M2403="","",'Ordenes_Odoo'!M2403)</f>
        <v/>
      </c>
      <c r="N2403" s="79">
        <f>IF('Ordenes_Odoo'!N2403="","",'Ordenes_Odoo'!N2403)</f>
        <v/>
      </c>
      <c r="O2403" s="81">
        <f>IF('Ordenes_Odoo'!O2403="","",'Ordenes_Odoo'!O2403)</f>
        <v/>
      </c>
      <c r="P2403" s="81">
        <f>IF('Ordenes_Odoo'!P2403="","",'Ordenes_Odoo'!P2403)</f>
        <v/>
      </c>
      <c r="Q2403" s="79">
        <f>IF(A2403="","",IFERROR(INDEX(Facturas_Odoo!$B:$B, MATCH(A2403, Facturas_Odoo!$D:$D, 0)), "Sin Factura"))</f>
        <v/>
      </c>
      <c r="R2403" s="80">
        <f>IF(Q2403="Sin Factura","",IFERROR(INDEX(Facturas_Odoo!$A:$A, MATCH(Q2403, Facturas_Odoo!$B:$B, 0)), ""))</f>
        <v/>
      </c>
      <c r="S2403" s="79">
        <f>IF(Q2403="Sin Factura","",IFERROR(_xlfn.XLOOKUP(1, (Facturas_Odoo!$D:$D=A2403) * (Facturas_Odoo!$K:$K=I2403), Facturas_Odoo!$L:$L, ""), ""))</f>
        <v/>
      </c>
      <c r="T2403" s="81">
        <f>IF(Q2403="Sin Factura",0,IFERROR(_xlfn.XLOOKUP(1, (Facturas_Odoo!$D:$D=A2403) * (Facturas_Odoo!$K:$K=I2403), Facturas_Odoo!$M:$M, 0), 0))</f>
        <v/>
      </c>
      <c r="U2403" s="79">
        <f>IF(Q2403="Sin Factura",0,IFERROR(_xlfn.XLOOKUP(1, (Facturas_Odoo!$D:$D=A2403) * (Facturas_Odoo!$K:$K=I2403), Facturas_Odoo!$N:$N, 0), 0))</f>
        <v/>
      </c>
      <c r="V2403" s="79">
        <f>IF(Q2403="Sin Factura",0,IFERROR(_xlfn.XLOOKUP(1, (Facturas_Odoo!$D:$D=A2403) * (Facturas_Odoo!$K:$K=I2403), Facturas_Odoo!$O:$O, 0), 0))</f>
        <v/>
      </c>
      <c r="W2403" s="81">
        <f>IF(Q2403="Sin Factura",0,IFERROR(_xlfn.XLOOKUP(1, (Facturas_Odoo!$D:$D=A2403) * (Facturas_Odoo!$K:$K=I2403), Facturas_Odoo!$Q:$Q, 0), 0))</f>
        <v/>
      </c>
      <c r="X2403" s="79">
        <f>IF(OR(Q2403="Sin Factura",Q2403=""),"",IFERROR(INDEX(Pagos_Odoo!$B:$B, MATCH(Q2403, Pagos_Odoo!$I:$I, 0)), "Sin Pago"))</f>
        <v/>
      </c>
      <c r="Y2403" s="79">
        <f>IF(X2403="Sin Pago","",IFERROR(INDEX(Pagos_Odoo!$C:$C, MATCH(X2403, Pagos_Odoo!$B:$B, 0)), ""))</f>
        <v/>
      </c>
      <c r="Z2403" s="80">
        <f>IF(X2403="Sin Pago","",IFERROR(INDEX(Pagos_Odoo!$A:$A, MATCH(X2403, Pagos_Odoo!$B:$B, 0)), ""))</f>
        <v/>
      </c>
      <c r="AA2403" s="79">
        <f>IF(X2403="Sin Pago","",IFERROR(INDEX(Pagos_Odoo!$F:$F, MATCH(X2403, Pagos_Odoo!$B:$B, 0)), ""))</f>
        <v/>
      </c>
      <c r="AB2403" s="81">
        <f>IF(X2403="Sin Pago",0,IFERROR(INDEX(Pagos_Odoo!$E:$E, MATCH(X2403, Pagos_Odoo!$B:$B, 0)), 0))</f>
        <v/>
      </c>
      <c r="AC2403" s="79">
        <f>IF(X2403="Sin Pago","",IFERROR(INDEX(Pagos_Odoo!$G:$G, MATCH(X2403, Pagos_Odoo!$B:$B, 0)), ""))</f>
        <v/>
      </c>
      <c r="AD2403" s="82" t="n">
        <v>0</v>
      </c>
      <c r="AE2403" s="82" t="n"/>
      <c r="AF2403" s="82" t="n"/>
      <c r="AG2403" s="82">
        <f>IF(AN2403="","",AD2403+AE2403+AF2403)</f>
        <v/>
      </c>
      <c r="AH2403" s="81">
        <f>IF(AN2403="","",P2403*(1-AG2403))</f>
        <v/>
      </c>
      <c r="AI2403" s="81">
        <f>IF(AN2403="","",IF(Q2403="Sin Factura",0,IFERROR(INDEX(Facturas_Odoo!$H:$H, MATCH(Q2403, Facturas_Odoo!$B:$B, 0)), 0)*(1-AG2403)))</f>
        <v/>
      </c>
      <c r="AJ2403" s="81">
        <f>IF(AN2403="","",_xlfn.LET(idVenta, AN2403&amp;"",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03" s="81">
        <f>IF(AN2403="","",AH2403-AJ2403)</f>
        <v/>
      </c>
      <c r="AL2403" s="81">
        <f>IF(AN2403="","",IF(Q2403="Sin Factura","",AI2403-AJ2403))</f>
        <v/>
      </c>
      <c r="AM2403" s="81">
        <f>IF(AN2403="","",IF(Q2403="Sin Factura",0,P2403-IFERROR(INDEX(Facturas_Odoo!$H:$H, MATCH(Q2403, Facturas_Odoo!$B:$B, 0)), 0)))</f>
        <v/>
      </c>
      <c r="AN2403" s="79">
        <f>IF(AND(A2403="", J2403=""), "", IF(A2403&lt;&gt;"", VALUE(MID(A2403,2,LEN(A2403))), AN2402))</f>
        <v/>
      </c>
      <c r="AO2403" s="79">
        <f>IF(AN2403="","",IF(AD2403=0,"OK",_xlfn.LET(monedaPago, IF(AA2403="","USD",AA2403), limitePermitido, IFERROR(VLOOKUP(monedaPago, Configuración!$A$2:$B$3, 2, FALSE), 0.15), IF(AD2403&gt;limitePermitido, "ALERTA: EXCESO (" &amp; TEXT(limitePermitido, "0%") &amp; " máx)", "OK"))))</f>
        <v/>
      </c>
      <c r="AP2403" s="79">
        <f>IF(AN2403="","",IF(AE2403=0,"OK",_xlfn.LET(fechaPago, Z2403, fechaFactura, R2403, diasCredito, IF(E2403="Pago inmediato", 0, IFERROR(VALUE(MID(E2403, 1, SEARCH(" ", E2403)-1)),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03" s="79">
        <f>IF(AN2403="","",IF(AND(N2403&gt;0, AG2403&gt;0), IF(Configuración!$K$2="NO", "ALERTA: DESCUENTO DOBLE NO PERMITIDO", "OK"), "OK"))</f>
        <v/>
      </c>
      <c r="AR2403" s="79">
        <f>IF(AN2403="","",IF(OR(AO2403&lt;&gt;"OK", AP2403&lt;&gt;"OK", AQ2403&lt;&gt;"OK"), "⚠️ REVISAR", "OK"))</f>
        <v/>
      </c>
    </row>
    <row r="2404">
      <c r="A2404" s="79">
        <f>IF('Ordenes_Odoo'!A2404="","",'Ordenes_Odoo'!A2404)</f>
        <v/>
      </c>
      <c r="B2404" s="80">
        <f>IF('Ordenes_Odoo'!B2404="","",'Ordenes_Odoo'!B2404)</f>
        <v/>
      </c>
      <c r="C2404" s="79">
        <f>IF('Ordenes_Odoo'!C2404="","",'Ordenes_Odoo'!C2404)</f>
        <v/>
      </c>
      <c r="D2404" s="79">
        <f>IF('Ordenes_Odoo'!D2404="","",'Ordenes_Odoo'!D2404)</f>
        <v/>
      </c>
      <c r="E2404" s="79">
        <f>IF('Ordenes_Odoo'!E2404="","",'Ordenes_Odoo'!E2404)</f>
        <v/>
      </c>
      <c r="F2404" s="79">
        <f>IF('Ordenes_Odoo'!F2404="","",'Ordenes_Odoo'!F2404)</f>
        <v/>
      </c>
      <c r="G2404" s="79">
        <f>IF('Ordenes_Odoo'!G2404="","",'Ordenes_Odoo'!G2404)</f>
        <v/>
      </c>
      <c r="H2404" s="79">
        <f>IF('Ordenes_Odoo'!H2404="","",'Ordenes_Odoo'!H2404)</f>
        <v/>
      </c>
      <c r="I2404" s="79">
        <f>IF('Ordenes_Odoo'!I2404="","",'Ordenes_Odoo'!I2404)</f>
        <v/>
      </c>
      <c r="J2404" s="79">
        <f>IF('Ordenes_Odoo'!J2404="","",'Ordenes_Odoo'!J2404)</f>
        <v/>
      </c>
      <c r="K2404" s="81">
        <f>IF('Ordenes_Odoo'!K2404="","",'Ordenes_Odoo'!K2404)</f>
        <v/>
      </c>
      <c r="L2404" s="81">
        <f>IF('Ordenes_Odoo'!L2404="","",'Ordenes_Odoo'!L2404)</f>
        <v/>
      </c>
      <c r="M2404" s="79">
        <f>IF('Ordenes_Odoo'!M2404="","",'Ordenes_Odoo'!M2404)</f>
        <v/>
      </c>
      <c r="N2404" s="79">
        <f>IF('Ordenes_Odoo'!N2404="","",'Ordenes_Odoo'!N2404)</f>
        <v/>
      </c>
      <c r="O2404" s="81">
        <f>IF('Ordenes_Odoo'!O2404="","",'Ordenes_Odoo'!O2404)</f>
        <v/>
      </c>
      <c r="P2404" s="81">
        <f>IF('Ordenes_Odoo'!P2404="","",'Ordenes_Odoo'!P2404)</f>
        <v/>
      </c>
      <c r="Q2404" s="79">
        <f>IF(A2404="","",IFERROR(INDEX(Facturas_Odoo!$B:$B, MATCH(A2404, Facturas_Odoo!$D:$D, 0)), "Sin Factura"))</f>
        <v/>
      </c>
      <c r="R2404" s="80">
        <f>IF(Q2404="Sin Factura","",IFERROR(INDEX(Facturas_Odoo!$A:$A, MATCH(Q2404, Facturas_Odoo!$B:$B, 0)), ""))</f>
        <v/>
      </c>
      <c r="S2404" s="79">
        <f>IF(Q2404="Sin Factura","",IFERROR(_xlfn.XLOOKUP(1, (Facturas_Odoo!$D:$D=A2404) * (Facturas_Odoo!$K:$K=I2404), Facturas_Odoo!$L:$L, ""), ""))</f>
        <v/>
      </c>
      <c r="T2404" s="81">
        <f>IF(Q2404="Sin Factura",0,IFERROR(_xlfn.XLOOKUP(1, (Facturas_Odoo!$D:$D=A2404) * (Facturas_Odoo!$K:$K=I2404), Facturas_Odoo!$M:$M, 0), 0))</f>
        <v/>
      </c>
      <c r="U2404" s="79">
        <f>IF(Q2404="Sin Factura",0,IFERROR(_xlfn.XLOOKUP(1, (Facturas_Odoo!$D:$D=A2404) * (Facturas_Odoo!$K:$K=I2404), Facturas_Odoo!$N:$N, 0), 0))</f>
        <v/>
      </c>
      <c r="V2404" s="79">
        <f>IF(Q2404="Sin Factura",0,IFERROR(_xlfn.XLOOKUP(1, (Facturas_Odoo!$D:$D=A2404) * (Facturas_Odoo!$K:$K=I2404), Facturas_Odoo!$O:$O, 0), 0))</f>
        <v/>
      </c>
      <c r="W2404" s="81">
        <f>IF(Q2404="Sin Factura",0,IFERROR(_xlfn.XLOOKUP(1, (Facturas_Odoo!$D:$D=A2404) * (Facturas_Odoo!$K:$K=I2404), Facturas_Odoo!$Q:$Q, 0), 0))</f>
        <v/>
      </c>
      <c r="X2404" s="79">
        <f>IF(OR(Q2404="Sin Factura",Q2404=""),"",IFERROR(INDEX(Pagos_Odoo!$B:$B, MATCH(Q2404, Pagos_Odoo!$I:$I, 0)), "Sin Pago"))</f>
        <v/>
      </c>
      <c r="Y2404" s="79">
        <f>IF(X2404="Sin Pago","",IFERROR(INDEX(Pagos_Odoo!$C:$C, MATCH(X2404, Pagos_Odoo!$B:$B, 0)), ""))</f>
        <v/>
      </c>
      <c r="Z2404" s="80">
        <f>IF(X2404="Sin Pago","",IFERROR(INDEX(Pagos_Odoo!$A:$A, MATCH(X2404, Pagos_Odoo!$B:$B, 0)), ""))</f>
        <v/>
      </c>
      <c r="AA2404" s="79">
        <f>IF(X2404="Sin Pago","",IFERROR(INDEX(Pagos_Odoo!$F:$F, MATCH(X2404, Pagos_Odoo!$B:$B, 0)), ""))</f>
        <v/>
      </c>
      <c r="AB2404" s="81">
        <f>IF(X2404="Sin Pago",0,IFERROR(INDEX(Pagos_Odoo!$E:$E, MATCH(X2404, Pagos_Odoo!$B:$B, 0)), 0))</f>
        <v/>
      </c>
      <c r="AC2404" s="79">
        <f>IF(X2404="Sin Pago","",IFERROR(INDEX(Pagos_Odoo!$G:$G, MATCH(X2404, Pagos_Odoo!$B:$B, 0)), ""))</f>
        <v/>
      </c>
      <c r="AD2404" s="82" t="n">
        <v>0</v>
      </c>
      <c r="AE2404" s="82" t="n"/>
      <c r="AF2404" s="82" t="n"/>
      <c r="AG2404" s="82">
        <f>IF(AN2404="","",AD2404+AE2404+AF2404)</f>
        <v/>
      </c>
      <c r="AH2404" s="81">
        <f>IF(AN2404="","",P2404*(1-AG2404))</f>
        <v/>
      </c>
      <c r="AI2404" s="81">
        <f>IF(AN2404="","",IF(Q2404="Sin Factura",0,IFERROR(INDEX(Facturas_Odoo!$H:$H, MATCH(Q2404, Facturas_Odoo!$B:$B, 0)), 0)*(1-AG2404)))</f>
        <v/>
      </c>
      <c r="AJ2404" s="81">
        <f>IF(AN2404="","",_xlfn.LET(idVenta, AN2404&amp;"",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04" s="81">
        <f>IF(AN2404="","",AH2404-AJ2404)</f>
        <v/>
      </c>
      <c r="AL2404" s="81">
        <f>IF(AN2404="","",IF(Q2404="Sin Factura","",AI2404-AJ2404))</f>
        <v/>
      </c>
      <c r="AM2404" s="81">
        <f>IF(AN2404="","",IF(Q2404="Sin Factura",0,P2404-IFERROR(INDEX(Facturas_Odoo!$H:$H, MATCH(Q2404, Facturas_Odoo!$B:$B, 0)), 0)))</f>
        <v/>
      </c>
      <c r="AN2404" s="79">
        <f>IF(AND(A2404="", J2404=""), "", IF(A2404&lt;&gt;"", VALUE(MID(A2404,2,LEN(A2404))), AN2403))</f>
        <v/>
      </c>
      <c r="AO2404" s="79">
        <f>IF(AN2404="","",IF(AD2404=0,"OK",_xlfn.LET(monedaPago, IF(AA2404="","USD",AA2404), limitePermitido, IFERROR(VLOOKUP(monedaPago, Configuración!$A$2:$B$3, 2, FALSE), 0.15), IF(AD2404&gt;limitePermitido, "ALERTA: EXCESO (" &amp; TEXT(limitePermitido, "0%") &amp; " máx)", "OK"))))</f>
        <v/>
      </c>
      <c r="AP2404" s="79">
        <f>IF(AN2404="","",IF(AE2404=0,"OK",_xlfn.LET(fechaPago, Z2404, fechaFactura, R2404, diasCredito, IF(E2404="Pago inmediato", 0, IFERROR(VALUE(MID(E2404, 1, SEARCH(" ", E2404)-1)),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04" s="79">
        <f>IF(AN2404="","",IF(AND(N2404&gt;0, AG2404&gt;0), IF(Configuración!$K$2="NO", "ALERTA: DESCUENTO DOBLE NO PERMITIDO", "OK"), "OK"))</f>
        <v/>
      </c>
      <c r="AR2404" s="79">
        <f>IF(AN2404="","",IF(OR(AO2404&lt;&gt;"OK", AP2404&lt;&gt;"OK", AQ2404&lt;&gt;"OK"), "⚠️ REVISAR", "OK"))</f>
        <v/>
      </c>
    </row>
    <row r="2405">
      <c r="A2405" s="79">
        <f>IF('Ordenes_Odoo'!A2405="","",'Ordenes_Odoo'!A2405)</f>
        <v/>
      </c>
      <c r="B2405" s="80">
        <f>IF('Ordenes_Odoo'!B2405="","",'Ordenes_Odoo'!B2405)</f>
        <v/>
      </c>
      <c r="C2405" s="79">
        <f>IF('Ordenes_Odoo'!C2405="","",'Ordenes_Odoo'!C2405)</f>
        <v/>
      </c>
      <c r="D2405" s="79">
        <f>IF('Ordenes_Odoo'!D2405="","",'Ordenes_Odoo'!D2405)</f>
        <v/>
      </c>
      <c r="E2405" s="79">
        <f>IF('Ordenes_Odoo'!E2405="","",'Ordenes_Odoo'!E2405)</f>
        <v/>
      </c>
      <c r="F2405" s="79">
        <f>IF('Ordenes_Odoo'!F2405="","",'Ordenes_Odoo'!F2405)</f>
        <v/>
      </c>
      <c r="G2405" s="79">
        <f>IF('Ordenes_Odoo'!G2405="","",'Ordenes_Odoo'!G2405)</f>
        <v/>
      </c>
      <c r="H2405" s="79">
        <f>IF('Ordenes_Odoo'!H2405="","",'Ordenes_Odoo'!H2405)</f>
        <v/>
      </c>
      <c r="I2405" s="79">
        <f>IF('Ordenes_Odoo'!I2405="","",'Ordenes_Odoo'!I2405)</f>
        <v/>
      </c>
      <c r="J2405" s="79">
        <f>IF('Ordenes_Odoo'!J2405="","",'Ordenes_Odoo'!J2405)</f>
        <v/>
      </c>
      <c r="K2405" s="81">
        <f>IF('Ordenes_Odoo'!K2405="","",'Ordenes_Odoo'!K2405)</f>
        <v/>
      </c>
      <c r="L2405" s="81">
        <f>IF('Ordenes_Odoo'!L2405="","",'Ordenes_Odoo'!L2405)</f>
        <v/>
      </c>
      <c r="M2405" s="79">
        <f>IF('Ordenes_Odoo'!M2405="","",'Ordenes_Odoo'!M2405)</f>
        <v/>
      </c>
      <c r="N2405" s="79">
        <f>IF('Ordenes_Odoo'!N2405="","",'Ordenes_Odoo'!N2405)</f>
        <v/>
      </c>
      <c r="O2405" s="81">
        <f>IF('Ordenes_Odoo'!O2405="","",'Ordenes_Odoo'!O2405)</f>
        <v/>
      </c>
      <c r="P2405" s="81">
        <f>IF('Ordenes_Odoo'!P2405="","",'Ordenes_Odoo'!P2405)</f>
        <v/>
      </c>
      <c r="Q2405" s="79">
        <f>IF(A2405="","",IFERROR(INDEX(Facturas_Odoo!$B:$B, MATCH(A2405, Facturas_Odoo!$D:$D, 0)), "Sin Factura"))</f>
        <v/>
      </c>
      <c r="R2405" s="80">
        <f>IF(Q2405="Sin Factura","",IFERROR(INDEX(Facturas_Odoo!$A:$A, MATCH(Q2405, Facturas_Odoo!$B:$B, 0)), ""))</f>
        <v/>
      </c>
      <c r="S2405" s="79">
        <f>IF(Q2405="Sin Factura","",IFERROR(_xlfn.XLOOKUP(1, (Facturas_Odoo!$D:$D=A2405) * (Facturas_Odoo!$K:$K=I2405), Facturas_Odoo!$L:$L, ""), ""))</f>
        <v/>
      </c>
      <c r="T2405" s="81">
        <f>IF(Q2405="Sin Factura",0,IFERROR(_xlfn.XLOOKUP(1, (Facturas_Odoo!$D:$D=A2405) * (Facturas_Odoo!$K:$K=I2405), Facturas_Odoo!$M:$M, 0), 0))</f>
        <v/>
      </c>
      <c r="U2405" s="79">
        <f>IF(Q2405="Sin Factura",0,IFERROR(_xlfn.XLOOKUP(1, (Facturas_Odoo!$D:$D=A2405) * (Facturas_Odoo!$K:$K=I2405), Facturas_Odoo!$N:$N, 0), 0))</f>
        <v/>
      </c>
      <c r="V2405" s="79">
        <f>IF(Q2405="Sin Factura",0,IFERROR(_xlfn.XLOOKUP(1, (Facturas_Odoo!$D:$D=A2405) * (Facturas_Odoo!$K:$K=I2405), Facturas_Odoo!$O:$O, 0), 0))</f>
        <v/>
      </c>
      <c r="W2405" s="81">
        <f>IF(Q2405="Sin Factura",0,IFERROR(_xlfn.XLOOKUP(1, (Facturas_Odoo!$D:$D=A2405) * (Facturas_Odoo!$K:$K=I2405), Facturas_Odoo!$Q:$Q, 0), 0))</f>
        <v/>
      </c>
      <c r="X2405" s="79">
        <f>IF(OR(Q2405="Sin Factura",Q2405=""),"",IFERROR(INDEX(Pagos_Odoo!$B:$B, MATCH(Q2405, Pagos_Odoo!$I:$I, 0)), "Sin Pago"))</f>
        <v/>
      </c>
      <c r="Y2405" s="79">
        <f>IF(X2405="Sin Pago","",IFERROR(INDEX(Pagos_Odoo!$C:$C, MATCH(X2405, Pagos_Odoo!$B:$B, 0)), ""))</f>
        <v/>
      </c>
      <c r="Z2405" s="80">
        <f>IF(X2405="Sin Pago","",IFERROR(INDEX(Pagos_Odoo!$A:$A, MATCH(X2405, Pagos_Odoo!$B:$B, 0)), ""))</f>
        <v/>
      </c>
      <c r="AA2405" s="79">
        <f>IF(X2405="Sin Pago","",IFERROR(INDEX(Pagos_Odoo!$F:$F, MATCH(X2405, Pagos_Odoo!$B:$B, 0)), ""))</f>
        <v/>
      </c>
      <c r="AB2405" s="81">
        <f>IF(X2405="Sin Pago",0,IFERROR(INDEX(Pagos_Odoo!$E:$E, MATCH(X2405, Pagos_Odoo!$B:$B, 0)), 0))</f>
        <v/>
      </c>
      <c r="AC2405" s="79">
        <f>IF(X2405="Sin Pago","",IFERROR(INDEX(Pagos_Odoo!$G:$G, MATCH(X2405, Pagos_Odoo!$B:$B, 0)), ""))</f>
        <v/>
      </c>
      <c r="AD2405" s="82" t="n">
        <v>0</v>
      </c>
      <c r="AE2405" s="82" t="n"/>
      <c r="AF2405" s="82" t="n"/>
      <c r="AG2405" s="82">
        <f>IF(AN2405="","",AD2405+AE2405+AF2405)</f>
        <v/>
      </c>
      <c r="AH2405" s="81">
        <f>IF(AN2405="","",P2405*(1-AG2405))</f>
        <v/>
      </c>
      <c r="AI2405" s="81">
        <f>IF(AN2405="","",IF(Q2405="Sin Factura",0,IFERROR(INDEX(Facturas_Odoo!$H:$H, MATCH(Q2405, Facturas_Odoo!$B:$B, 0)), 0)*(1-AG2405)))</f>
        <v/>
      </c>
      <c r="AJ2405" s="81">
        <f>IF(AN2405="","",_xlfn.LET(idVenta, AN2405&amp;"",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05" s="81">
        <f>IF(AN2405="","",AH2405-AJ2405)</f>
        <v/>
      </c>
      <c r="AL2405" s="81">
        <f>IF(AN2405="","",IF(Q2405="Sin Factura","",AI2405-AJ2405))</f>
        <v/>
      </c>
      <c r="AM2405" s="81">
        <f>IF(AN2405="","",IF(Q2405="Sin Factura",0,P2405-IFERROR(INDEX(Facturas_Odoo!$H:$H, MATCH(Q2405, Facturas_Odoo!$B:$B, 0)), 0)))</f>
        <v/>
      </c>
      <c r="AN2405" s="79">
        <f>IF(AND(A2405="", J2405=""), "", IF(A2405&lt;&gt;"", VALUE(MID(A2405,2,LEN(A2405))), AN2404))</f>
        <v/>
      </c>
      <c r="AO2405" s="79">
        <f>IF(AN2405="","",IF(AD2405=0,"OK",_xlfn.LET(monedaPago, IF(AA2405="","USD",AA2405), limitePermitido, IFERROR(VLOOKUP(monedaPago, Configuración!$A$2:$B$3, 2, FALSE), 0.15), IF(AD2405&gt;limitePermitido, "ALERTA: EXCESO (" &amp; TEXT(limitePermitido, "0%") &amp; " máx)", "OK"))))</f>
        <v/>
      </c>
      <c r="AP2405" s="79">
        <f>IF(AN2405="","",IF(AE2405=0,"OK",_xlfn.LET(fechaPago, Z2405, fechaFactura, R2405, diasCredito, IF(E2405="Pago inmediato", 0, IFERROR(VALUE(MID(E2405, 1, SEARCH(" ", E2405)-1)),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05" s="79">
        <f>IF(AN2405="","",IF(AND(N2405&gt;0, AG2405&gt;0), IF(Configuración!$K$2="NO", "ALERTA: DESCUENTO DOBLE NO PERMITIDO", "OK"), "OK"))</f>
        <v/>
      </c>
      <c r="AR2405" s="79">
        <f>IF(AN2405="","",IF(OR(AO2405&lt;&gt;"OK", AP2405&lt;&gt;"OK", AQ2405&lt;&gt;"OK"), "⚠️ REVISAR", "OK"))</f>
        <v/>
      </c>
    </row>
    <row r="2406">
      <c r="A2406" s="79">
        <f>IF('Ordenes_Odoo'!A2406="","",'Ordenes_Odoo'!A2406)</f>
        <v/>
      </c>
      <c r="B2406" s="80">
        <f>IF('Ordenes_Odoo'!B2406="","",'Ordenes_Odoo'!B2406)</f>
        <v/>
      </c>
      <c r="C2406" s="79">
        <f>IF('Ordenes_Odoo'!C2406="","",'Ordenes_Odoo'!C2406)</f>
        <v/>
      </c>
      <c r="D2406" s="79">
        <f>IF('Ordenes_Odoo'!D2406="","",'Ordenes_Odoo'!D2406)</f>
        <v/>
      </c>
      <c r="E2406" s="79">
        <f>IF('Ordenes_Odoo'!E2406="","",'Ordenes_Odoo'!E2406)</f>
        <v/>
      </c>
      <c r="F2406" s="79">
        <f>IF('Ordenes_Odoo'!F2406="","",'Ordenes_Odoo'!F2406)</f>
        <v/>
      </c>
      <c r="G2406" s="79">
        <f>IF('Ordenes_Odoo'!G2406="","",'Ordenes_Odoo'!G2406)</f>
        <v/>
      </c>
      <c r="H2406" s="79">
        <f>IF('Ordenes_Odoo'!H2406="","",'Ordenes_Odoo'!H2406)</f>
        <v/>
      </c>
      <c r="I2406" s="79">
        <f>IF('Ordenes_Odoo'!I2406="","",'Ordenes_Odoo'!I2406)</f>
        <v/>
      </c>
      <c r="J2406" s="79">
        <f>IF('Ordenes_Odoo'!J2406="","",'Ordenes_Odoo'!J2406)</f>
        <v/>
      </c>
      <c r="K2406" s="81">
        <f>IF('Ordenes_Odoo'!K2406="","",'Ordenes_Odoo'!K2406)</f>
        <v/>
      </c>
      <c r="L2406" s="81">
        <f>IF('Ordenes_Odoo'!L2406="","",'Ordenes_Odoo'!L2406)</f>
        <v/>
      </c>
      <c r="M2406" s="79">
        <f>IF('Ordenes_Odoo'!M2406="","",'Ordenes_Odoo'!M2406)</f>
        <v/>
      </c>
      <c r="N2406" s="79">
        <f>IF('Ordenes_Odoo'!N2406="","",'Ordenes_Odoo'!N2406)</f>
        <v/>
      </c>
      <c r="O2406" s="81">
        <f>IF('Ordenes_Odoo'!O2406="","",'Ordenes_Odoo'!O2406)</f>
        <v/>
      </c>
      <c r="P2406" s="81">
        <f>IF('Ordenes_Odoo'!P2406="","",'Ordenes_Odoo'!P2406)</f>
        <v/>
      </c>
      <c r="Q2406" s="79">
        <f>IF(A2406="","",IFERROR(INDEX(Facturas_Odoo!$B:$B, MATCH(A2406, Facturas_Odoo!$D:$D, 0)), "Sin Factura"))</f>
        <v/>
      </c>
      <c r="R2406" s="80">
        <f>IF(Q2406="Sin Factura","",IFERROR(INDEX(Facturas_Odoo!$A:$A, MATCH(Q2406, Facturas_Odoo!$B:$B, 0)), ""))</f>
        <v/>
      </c>
      <c r="S2406" s="79">
        <f>IF(Q2406="Sin Factura","",IFERROR(_xlfn.XLOOKUP(1, (Facturas_Odoo!$D:$D=A2406) * (Facturas_Odoo!$K:$K=I2406), Facturas_Odoo!$L:$L, ""), ""))</f>
        <v/>
      </c>
      <c r="T2406" s="81">
        <f>IF(Q2406="Sin Factura",0,IFERROR(_xlfn.XLOOKUP(1, (Facturas_Odoo!$D:$D=A2406) * (Facturas_Odoo!$K:$K=I2406), Facturas_Odoo!$M:$M, 0), 0))</f>
        <v/>
      </c>
      <c r="U2406" s="79">
        <f>IF(Q2406="Sin Factura",0,IFERROR(_xlfn.XLOOKUP(1, (Facturas_Odoo!$D:$D=A2406) * (Facturas_Odoo!$K:$K=I2406), Facturas_Odoo!$N:$N, 0), 0))</f>
        <v/>
      </c>
      <c r="V2406" s="79">
        <f>IF(Q2406="Sin Factura",0,IFERROR(_xlfn.XLOOKUP(1, (Facturas_Odoo!$D:$D=A2406) * (Facturas_Odoo!$K:$K=I2406), Facturas_Odoo!$O:$O, 0), 0))</f>
        <v/>
      </c>
      <c r="W2406" s="81">
        <f>IF(Q2406="Sin Factura",0,IFERROR(_xlfn.XLOOKUP(1, (Facturas_Odoo!$D:$D=A2406) * (Facturas_Odoo!$K:$K=I2406), Facturas_Odoo!$Q:$Q, 0), 0))</f>
        <v/>
      </c>
      <c r="X2406" s="79">
        <f>IF(OR(Q2406="Sin Factura",Q2406=""),"",IFERROR(INDEX(Pagos_Odoo!$B:$B, MATCH(Q2406, Pagos_Odoo!$I:$I, 0)), "Sin Pago"))</f>
        <v/>
      </c>
      <c r="Y2406" s="79">
        <f>IF(X2406="Sin Pago","",IFERROR(INDEX(Pagos_Odoo!$C:$C, MATCH(X2406, Pagos_Odoo!$B:$B, 0)), ""))</f>
        <v/>
      </c>
      <c r="Z2406" s="80">
        <f>IF(X2406="Sin Pago","",IFERROR(INDEX(Pagos_Odoo!$A:$A, MATCH(X2406, Pagos_Odoo!$B:$B, 0)), ""))</f>
        <v/>
      </c>
      <c r="AA2406" s="79">
        <f>IF(X2406="Sin Pago","",IFERROR(INDEX(Pagos_Odoo!$F:$F, MATCH(X2406, Pagos_Odoo!$B:$B, 0)), ""))</f>
        <v/>
      </c>
      <c r="AB2406" s="81">
        <f>IF(X2406="Sin Pago",0,IFERROR(INDEX(Pagos_Odoo!$E:$E, MATCH(X2406, Pagos_Odoo!$B:$B, 0)), 0))</f>
        <v/>
      </c>
      <c r="AC2406" s="79">
        <f>IF(X2406="Sin Pago","",IFERROR(INDEX(Pagos_Odoo!$G:$G, MATCH(X2406, Pagos_Odoo!$B:$B, 0)), ""))</f>
        <v/>
      </c>
      <c r="AD2406" s="82" t="n">
        <v>0</v>
      </c>
      <c r="AE2406" s="82" t="n"/>
      <c r="AF2406" s="82" t="n"/>
      <c r="AG2406" s="82">
        <f>IF(AN2406="","",AD2406+AE2406+AF2406)</f>
        <v/>
      </c>
      <c r="AH2406" s="81">
        <f>IF(AN2406="","",P2406*(1-AG2406))</f>
        <v/>
      </c>
      <c r="AI2406" s="81">
        <f>IF(AN2406="","",IF(Q2406="Sin Factura",0,IFERROR(INDEX(Facturas_Odoo!$H:$H, MATCH(Q2406, Facturas_Odoo!$B:$B, 0)), 0)*(1-AG2406)))</f>
        <v/>
      </c>
      <c r="AJ2406" s="81">
        <f>IF(AN2406="","",_xlfn.LET(idVenta, AN2406&amp;"",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06" s="81">
        <f>IF(AN2406="","",AH2406-AJ2406)</f>
        <v/>
      </c>
      <c r="AL2406" s="81">
        <f>IF(AN2406="","",IF(Q2406="Sin Factura","",AI2406-AJ2406))</f>
        <v/>
      </c>
      <c r="AM2406" s="81">
        <f>IF(AN2406="","",IF(Q2406="Sin Factura",0,P2406-IFERROR(INDEX(Facturas_Odoo!$H:$H, MATCH(Q2406, Facturas_Odoo!$B:$B, 0)), 0)))</f>
        <v/>
      </c>
      <c r="AN2406" s="79">
        <f>IF(AND(A2406="", J2406=""), "", IF(A2406&lt;&gt;"", VALUE(MID(A2406,2,LEN(A2406))), AN2405))</f>
        <v/>
      </c>
      <c r="AO2406" s="79">
        <f>IF(AN2406="","",IF(AD2406=0,"OK",_xlfn.LET(monedaPago, IF(AA2406="","USD",AA2406), limitePermitido, IFERROR(VLOOKUP(monedaPago, Configuración!$A$2:$B$3, 2, FALSE), 0.15), IF(AD2406&gt;limitePermitido, "ALERTA: EXCESO (" &amp; TEXT(limitePermitido, "0%") &amp; " máx)", "OK"))))</f>
        <v/>
      </c>
      <c r="AP2406" s="79">
        <f>IF(AN2406="","",IF(AE2406=0,"OK",_xlfn.LET(fechaPago, Z2406, fechaFactura, R2406, diasCredito, IF(E2406="Pago inmediato", 0, IFERROR(VALUE(MID(E2406, 1, SEARCH(" ", E2406)-1)),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06" s="79">
        <f>IF(AN2406="","",IF(AND(N2406&gt;0, AG2406&gt;0), IF(Configuración!$K$2="NO", "ALERTA: DESCUENTO DOBLE NO PERMITIDO", "OK"), "OK"))</f>
        <v/>
      </c>
      <c r="AR2406" s="79">
        <f>IF(AN2406="","",IF(OR(AO2406&lt;&gt;"OK", AP2406&lt;&gt;"OK", AQ2406&lt;&gt;"OK"), "⚠️ REVISAR", "OK"))</f>
        <v/>
      </c>
    </row>
    <row r="2407">
      <c r="A2407" s="79">
        <f>IF('Ordenes_Odoo'!A2407="","",'Ordenes_Odoo'!A2407)</f>
        <v/>
      </c>
      <c r="B2407" s="80">
        <f>IF('Ordenes_Odoo'!B2407="","",'Ordenes_Odoo'!B2407)</f>
        <v/>
      </c>
      <c r="C2407" s="79">
        <f>IF('Ordenes_Odoo'!C2407="","",'Ordenes_Odoo'!C2407)</f>
        <v/>
      </c>
      <c r="D2407" s="79">
        <f>IF('Ordenes_Odoo'!D2407="","",'Ordenes_Odoo'!D2407)</f>
        <v/>
      </c>
      <c r="E2407" s="79">
        <f>IF('Ordenes_Odoo'!E2407="","",'Ordenes_Odoo'!E2407)</f>
        <v/>
      </c>
      <c r="F2407" s="79">
        <f>IF('Ordenes_Odoo'!F2407="","",'Ordenes_Odoo'!F2407)</f>
        <v/>
      </c>
      <c r="G2407" s="79">
        <f>IF('Ordenes_Odoo'!G2407="","",'Ordenes_Odoo'!G2407)</f>
        <v/>
      </c>
      <c r="H2407" s="79">
        <f>IF('Ordenes_Odoo'!H2407="","",'Ordenes_Odoo'!H2407)</f>
        <v/>
      </c>
      <c r="I2407" s="79">
        <f>IF('Ordenes_Odoo'!I2407="","",'Ordenes_Odoo'!I2407)</f>
        <v/>
      </c>
      <c r="J2407" s="79">
        <f>IF('Ordenes_Odoo'!J2407="","",'Ordenes_Odoo'!J2407)</f>
        <v/>
      </c>
      <c r="K2407" s="81">
        <f>IF('Ordenes_Odoo'!K2407="","",'Ordenes_Odoo'!K2407)</f>
        <v/>
      </c>
      <c r="L2407" s="81">
        <f>IF('Ordenes_Odoo'!L2407="","",'Ordenes_Odoo'!L2407)</f>
        <v/>
      </c>
      <c r="M2407" s="79">
        <f>IF('Ordenes_Odoo'!M2407="","",'Ordenes_Odoo'!M2407)</f>
        <v/>
      </c>
      <c r="N2407" s="79">
        <f>IF('Ordenes_Odoo'!N2407="","",'Ordenes_Odoo'!N2407)</f>
        <v/>
      </c>
      <c r="O2407" s="81">
        <f>IF('Ordenes_Odoo'!O2407="","",'Ordenes_Odoo'!O2407)</f>
        <v/>
      </c>
      <c r="P2407" s="81">
        <f>IF('Ordenes_Odoo'!P2407="","",'Ordenes_Odoo'!P2407)</f>
        <v/>
      </c>
      <c r="Q2407" s="79">
        <f>IF(A2407="","",IFERROR(INDEX(Facturas_Odoo!$B:$B, MATCH(A2407, Facturas_Odoo!$D:$D, 0)), "Sin Factura"))</f>
        <v/>
      </c>
      <c r="R2407" s="80">
        <f>IF(Q2407="Sin Factura","",IFERROR(INDEX(Facturas_Odoo!$A:$A, MATCH(Q2407, Facturas_Odoo!$B:$B, 0)), ""))</f>
        <v/>
      </c>
      <c r="S2407" s="79">
        <f>IF(Q2407="Sin Factura","",IFERROR(_xlfn.XLOOKUP(1, (Facturas_Odoo!$D:$D=A2407) * (Facturas_Odoo!$K:$K=I2407), Facturas_Odoo!$L:$L, ""), ""))</f>
        <v/>
      </c>
      <c r="T2407" s="81">
        <f>IF(Q2407="Sin Factura",0,IFERROR(_xlfn.XLOOKUP(1, (Facturas_Odoo!$D:$D=A2407) * (Facturas_Odoo!$K:$K=I2407), Facturas_Odoo!$M:$M, 0), 0))</f>
        <v/>
      </c>
      <c r="U2407" s="79">
        <f>IF(Q2407="Sin Factura",0,IFERROR(_xlfn.XLOOKUP(1, (Facturas_Odoo!$D:$D=A2407) * (Facturas_Odoo!$K:$K=I2407), Facturas_Odoo!$N:$N, 0), 0))</f>
        <v/>
      </c>
      <c r="V2407" s="79">
        <f>IF(Q2407="Sin Factura",0,IFERROR(_xlfn.XLOOKUP(1, (Facturas_Odoo!$D:$D=A2407) * (Facturas_Odoo!$K:$K=I2407), Facturas_Odoo!$O:$O, 0), 0))</f>
        <v/>
      </c>
      <c r="W2407" s="81">
        <f>IF(Q2407="Sin Factura",0,IFERROR(_xlfn.XLOOKUP(1, (Facturas_Odoo!$D:$D=A2407) * (Facturas_Odoo!$K:$K=I2407), Facturas_Odoo!$Q:$Q, 0), 0))</f>
        <v/>
      </c>
      <c r="X2407" s="79">
        <f>IF(OR(Q2407="Sin Factura",Q2407=""),"",IFERROR(INDEX(Pagos_Odoo!$B:$B, MATCH(Q2407, Pagos_Odoo!$I:$I, 0)), "Sin Pago"))</f>
        <v/>
      </c>
      <c r="Y2407" s="79">
        <f>IF(X2407="Sin Pago","",IFERROR(INDEX(Pagos_Odoo!$C:$C, MATCH(X2407, Pagos_Odoo!$B:$B, 0)), ""))</f>
        <v/>
      </c>
      <c r="Z2407" s="80">
        <f>IF(X2407="Sin Pago","",IFERROR(INDEX(Pagos_Odoo!$A:$A, MATCH(X2407, Pagos_Odoo!$B:$B, 0)), ""))</f>
        <v/>
      </c>
      <c r="AA2407" s="79">
        <f>IF(X2407="Sin Pago","",IFERROR(INDEX(Pagos_Odoo!$F:$F, MATCH(X2407, Pagos_Odoo!$B:$B, 0)), ""))</f>
        <v/>
      </c>
      <c r="AB2407" s="81">
        <f>IF(X2407="Sin Pago",0,IFERROR(INDEX(Pagos_Odoo!$E:$E, MATCH(X2407, Pagos_Odoo!$B:$B, 0)), 0))</f>
        <v/>
      </c>
      <c r="AC2407" s="79">
        <f>IF(X2407="Sin Pago","",IFERROR(INDEX(Pagos_Odoo!$G:$G, MATCH(X2407, Pagos_Odoo!$B:$B, 0)), ""))</f>
        <v/>
      </c>
      <c r="AD2407" s="82" t="n">
        <v>0</v>
      </c>
      <c r="AE2407" s="82" t="n"/>
      <c r="AF2407" s="82" t="n"/>
      <c r="AG2407" s="82">
        <f>IF(AN2407="","",AD2407+AE2407+AF2407)</f>
        <v/>
      </c>
      <c r="AH2407" s="81">
        <f>IF(AN2407="","",P2407*(1-AG2407))</f>
        <v/>
      </c>
      <c r="AI2407" s="81">
        <f>IF(AN2407="","",IF(Q2407="Sin Factura",0,IFERROR(INDEX(Facturas_Odoo!$H:$H, MATCH(Q2407, Facturas_Odoo!$B:$B, 0)), 0)*(1-AG2407)))</f>
        <v/>
      </c>
      <c r="AJ2407" s="81">
        <f>IF(AN2407="","",_xlfn.LET(idVenta, AN2407&amp;"",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07" s="81">
        <f>IF(AN2407="","",AH2407-AJ2407)</f>
        <v/>
      </c>
      <c r="AL2407" s="81">
        <f>IF(AN2407="","",IF(Q2407="Sin Factura","",AI2407-AJ2407))</f>
        <v/>
      </c>
      <c r="AM2407" s="81">
        <f>IF(AN2407="","",IF(Q2407="Sin Factura",0,P2407-IFERROR(INDEX(Facturas_Odoo!$H:$H, MATCH(Q2407, Facturas_Odoo!$B:$B, 0)), 0)))</f>
        <v/>
      </c>
      <c r="AN2407" s="79">
        <f>IF(AND(A2407="", J2407=""), "", IF(A2407&lt;&gt;"", VALUE(MID(A2407,2,LEN(A2407))), AN2406))</f>
        <v/>
      </c>
      <c r="AO2407" s="79">
        <f>IF(AN2407="","",IF(AD2407=0,"OK",_xlfn.LET(monedaPago, IF(AA2407="","USD",AA2407), limitePermitido, IFERROR(VLOOKUP(monedaPago, Configuración!$A$2:$B$3, 2, FALSE), 0.15), IF(AD2407&gt;limitePermitido, "ALERTA: EXCESO (" &amp; TEXT(limitePermitido, "0%") &amp; " máx)", "OK"))))</f>
        <v/>
      </c>
      <c r="AP2407" s="79">
        <f>IF(AN2407="","",IF(AE2407=0,"OK",_xlfn.LET(fechaPago, Z2407, fechaFactura, R2407, diasCredito, IF(E2407="Pago inmediato", 0, IFERROR(VALUE(MID(E2407, 1, SEARCH(" ", E2407)-1)),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07" s="79">
        <f>IF(AN2407="","",IF(AND(N2407&gt;0, AG2407&gt;0), IF(Configuración!$K$2="NO", "ALERTA: DESCUENTO DOBLE NO PERMITIDO", "OK"), "OK"))</f>
        <v/>
      </c>
      <c r="AR2407" s="79">
        <f>IF(AN2407="","",IF(OR(AO2407&lt;&gt;"OK", AP2407&lt;&gt;"OK", AQ2407&lt;&gt;"OK"), "⚠️ REVISAR", "OK"))</f>
        <v/>
      </c>
    </row>
    <row r="2408">
      <c r="A2408" s="79">
        <f>IF('Ordenes_Odoo'!A2408="","",'Ordenes_Odoo'!A2408)</f>
        <v/>
      </c>
      <c r="B2408" s="80">
        <f>IF('Ordenes_Odoo'!B2408="","",'Ordenes_Odoo'!B2408)</f>
        <v/>
      </c>
      <c r="C2408" s="79">
        <f>IF('Ordenes_Odoo'!C2408="","",'Ordenes_Odoo'!C2408)</f>
        <v/>
      </c>
      <c r="D2408" s="79">
        <f>IF('Ordenes_Odoo'!D2408="","",'Ordenes_Odoo'!D2408)</f>
        <v/>
      </c>
      <c r="E2408" s="79">
        <f>IF('Ordenes_Odoo'!E2408="","",'Ordenes_Odoo'!E2408)</f>
        <v/>
      </c>
      <c r="F2408" s="79">
        <f>IF('Ordenes_Odoo'!F2408="","",'Ordenes_Odoo'!F2408)</f>
        <v/>
      </c>
      <c r="G2408" s="79">
        <f>IF('Ordenes_Odoo'!G2408="","",'Ordenes_Odoo'!G2408)</f>
        <v/>
      </c>
      <c r="H2408" s="79">
        <f>IF('Ordenes_Odoo'!H2408="","",'Ordenes_Odoo'!H2408)</f>
        <v/>
      </c>
      <c r="I2408" s="79">
        <f>IF('Ordenes_Odoo'!I2408="","",'Ordenes_Odoo'!I2408)</f>
        <v/>
      </c>
      <c r="J2408" s="79">
        <f>IF('Ordenes_Odoo'!J2408="","",'Ordenes_Odoo'!J2408)</f>
        <v/>
      </c>
      <c r="K2408" s="81">
        <f>IF('Ordenes_Odoo'!K2408="","",'Ordenes_Odoo'!K2408)</f>
        <v/>
      </c>
      <c r="L2408" s="81">
        <f>IF('Ordenes_Odoo'!L2408="","",'Ordenes_Odoo'!L2408)</f>
        <v/>
      </c>
      <c r="M2408" s="79">
        <f>IF('Ordenes_Odoo'!M2408="","",'Ordenes_Odoo'!M2408)</f>
        <v/>
      </c>
      <c r="N2408" s="79">
        <f>IF('Ordenes_Odoo'!N2408="","",'Ordenes_Odoo'!N2408)</f>
        <v/>
      </c>
      <c r="O2408" s="81">
        <f>IF('Ordenes_Odoo'!O2408="","",'Ordenes_Odoo'!O2408)</f>
        <v/>
      </c>
      <c r="P2408" s="81">
        <f>IF('Ordenes_Odoo'!P2408="","",'Ordenes_Odoo'!P2408)</f>
        <v/>
      </c>
      <c r="Q2408" s="79">
        <f>IF(A2408="","",IFERROR(INDEX(Facturas_Odoo!$B:$B, MATCH(A2408, Facturas_Odoo!$D:$D, 0)), "Sin Factura"))</f>
        <v/>
      </c>
      <c r="R2408" s="80">
        <f>IF(Q2408="Sin Factura","",IFERROR(INDEX(Facturas_Odoo!$A:$A, MATCH(Q2408, Facturas_Odoo!$B:$B, 0)), ""))</f>
        <v/>
      </c>
      <c r="S2408" s="79">
        <f>IF(Q2408="Sin Factura","",IFERROR(_xlfn.XLOOKUP(1, (Facturas_Odoo!$D:$D=A2408) * (Facturas_Odoo!$K:$K=I2408), Facturas_Odoo!$L:$L, ""), ""))</f>
        <v/>
      </c>
      <c r="T2408" s="81">
        <f>IF(Q2408="Sin Factura",0,IFERROR(_xlfn.XLOOKUP(1, (Facturas_Odoo!$D:$D=A2408) * (Facturas_Odoo!$K:$K=I2408), Facturas_Odoo!$M:$M, 0), 0))</f>
        <v/>
      </c>
      <c r="U2408" s="79">
        <f>IF(Q2408="Sin Factura",0,IFERROR(_xlfn.XLOOKUP(1, (Facturas_Odoo!$D:$D=A2408) * (Facturas_Odoo!$K:$K=I2408), Facturas_Odoo!$N:$N, 0), 0))</f>
        <v/>
      </c>
      <c r="V2408" s="79">
        <f>IF(Q2408="Sin Factura",0,IFERROR(_xlfn.XLOOKUP(1, (Facturas_Odoo!$D:$D=A2408) * (Facturas_Odoo!$K:$K=I2408), Facturas_Odoo!$O:$O, 0), 0))</f>
        <v/>
      </c>
      <c r="W2408" s="81">
        <f>IF(Q2408="Sin Factura",0,IFERROR(_xlfn.XLOOKUP(1, (Facturas_Odoo!$D:$D=A2408) * (Facturas_Odoo!$K:$K=I2408), Facturas_Odoo!$Q:$Q, 0), 0))</f>
        <v/>
      </c>
      <c r="X2408" s="79">
        <f>IF(OR(Q2408="Sin Factura",Q2408=""),"",IFERROR(INDEX(Pagos_Odoo!$B:$B, MATCH(Q2408, Pagos_Odoo!$I:$I, 0)), "Sin Pago"))</f>
        <v/>
      </c>
      <c r="Y2408" s="79">
        <f>IF(X2408="Sin Pago","",IFERROR(INDEX(Pagos_Odoo!$C:$C, MATCH(X2408, Pagos_Odoo!$B:$B, 0)), ""))</f>
        <v/>
      </c>
      <c r="Z2408" s="80">
        <f>IF(X2408="Sin Pago","",IFERROR(INDEX(Pagos_Odoo!$A:$A, MATCH(X2408, Pagos_Odoo!$B:$B, 0)), ""))</f>
        <v/>
      </c>
      <c r="AA2408" s="79">
        <f>IF(X2408="Sin Pago","",IFERROR(INDEX(Pagos_Odoo!$F:$F, MATCH(X2408, Pagos_Odoo!$B:$B, 0)), ""))</f>
        <v/>
      </c>
      <c r="AB2408" s="81">
        <f>IF(X2408="Sin Pago",0,IFERROR(INDEX(Pagos_Odoo!$E:$E, MATCH(X2408, Pagos_Odoo!$B:$B, 0)), 0))</f>
        <v/>
      </c>
      <c r="AC2408" s="79">
        <f>IF(X2408="Sin Pago","",IFERROR(INDEX(Pagos_Odoo!$G:$G, MATCH(X2408, Pagos_Odoo!$B:$B, 0)), ""))</f>
        <v/>
      </c>
      <c r="AD2408" s="82" t="n">
        <v>0</v>
      </c>
      <c r="AE2408" s="82" t="n"/>
      <c r="AF2408" s="82" t="n"/>
      <c r="AG2408" s="82">
        <f>IF(AN2408="","",AD2408+AE2408+AF2408)</f>
        <v/>
      </c>
      <c r="AH2408" s="81">
        <f>IF(AN2408="","",P2408*(1-AG2408))</f>
        <v/>
      </c>
      <c r="AI2408" s="81">
        <f>IF(AN2408="","",IF(Q2408="Sin Factura",0,IFERROR(INDEX(Facturas_Odoo!$H:$H, MATCH(Q2408, Facturas_Odoo!$B:$B, 0)), 0)*(1-AG2408)))</f>
        <v/>
      </c>
      <c r="AJ2408" s="81">
        <f>IF(AN2408="","",_xlfn.LET(idVenta, AN2408&amp;"",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08" s="81">
        <f>IF(AN2408="","",AH2408-AJ2408)</f>
        <v/>
      </c>
      <c r="AL2408" s="81">
        <f>IF(AN2408="","",IF(Q2408="Sin Factura","",AI2408-AJ2408))</f>
        <v/>
      </c>
      <c r="AM2408" s="81">
        <f>IF(AN2408="","",IF(Q2408="Sin Factura",0,P2408-IFERROR(INDEX(Facturas_Odoo!$H:$H, MATCH(Q2408, Facturas_Odoo!$B:$B, 0)), 0)))</f>
        <v/>
      </c>
      <c r="AN2408" s="79">
        <f>IF(AND(A2408="", J2408=""), "", IF(A2408&lt;&gt;"", VALUE(MID(A2408,2,LEN(A2408))), AN2407))</f>
        <v/>
      </c>
      <c r="AO2408" s="79">
        <f>IF(AN2408="","",IF(AD2408=0,"OK",_xlfn.LET(monedaPago, IF(AA2408="","USD",AA2408), limitePermitido, IFERROR(VLOOKUP(monedaPago, Configuración!$A$2:$B$3, 2, FALSE), 0.15), IF(AD2408&gt;limitePermitido, "ALERTA: EXCESO (" &amp; TEXT(limitePermitido, "0%") &amp; " máx)", "OK"))))</f>
        <v/>
      </c>
      <c r="AP2408" s="79">
        <f>IF(AN2408="","",IF(AE2408=0,"OK",_xlfn.LET(fechaPago, Z2408, fechaFactura, R2408, diasCredito, IF(E2408="Pago inmediato", 0, IFERROR(VALUE(MID(E2408, 1, SEARCH(" ", E2408)-1)),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08" s="79">
        <f>IF(AN2408="","",IF(AND(N2408&gt;0, AG2408&gt;0), IF(Configuración!$K$2="NO", "ALERTA: DESCUENTO DOBLE NO PERMITIDO", "OK"), "OK"))</f>
        <v/>
      </c>
      <c r="AR2408" s="79">
        <f>IF(AN2408="","",IF(OR(AO2408&lt;&gt;"OK", AP2408&lt;&gt;"OK", AQ2408&lt;&gt;"OK"), "⚠️ REVISAR", "OK"))</f>
        <v/>
      </c>
    </row>
    <row r="2409">
      <c r="A2409" s="79">
        <f>IF('Ordenes_Odoo'!A2409="","",'Ordenes_Odoo'!A2409)</f>
        <v/>
      </c>
      <c r="B2409" s="80">
        <f>IF('Ordenes_Odoo'!B2409="","",'Ordenes_Odoo'!B2409)</f>
        <v/>
      </c>
      <c r="C2409" s="79">
        <f>IF('Ordenes_Odoo'!C2409="","",'Ordenes_Odoo'!C2409)</f>
        <v/>
      </c>
      <c r="D2409" s="79">
        <f>IF('Ordenes_Odoo'!D2409="","",'Ordenes_Odoo'!D2409)</f>
        <v/>
      </c>
      <c r="E2409" s="79">
        <f>IF('Ordenes_Odoo'!E2409="","",'Ordenes_Odoo'!E2409)</f>
        <v/>
      </c>
      <c r="F2409" s="79">
        <f>IF('Ordenes_Odoo'!F2409="","",'Ordenes_Odoo'!F2409)</f>
        <v/>
      </c>
      <c r="G2409" s="79">
        <f>IF('Ordenes_Odoo'!G2409="","",'Ordenes_Odoo'!G2409)</f>
        <v/>
      </c>
      <c r="H2409" s="79">
        <f>IF('Ordenes_Odoo'!H2409="","",'Ordenes_Odoo'!H2409)</f>
        <v/>
      </c>
      <c r="I2409" s="79">
        <f>IF('Ordenes_Odoo'!I2409="","",'Ordenes_Odoo'!I2409)</f>
        <v/>
      </c>
      <c r="J2409" s="79">
        <f>IF('Ordenes_Odoo'!J2409="","",'Ordenes_Odoo'!J2409)</f>
        <v/>
      </c>
      <c r="K2409" s="81">
        <f>IF('Ordenes_Odoo'!K2409="","",'Ordenes_Odoo'!K2409)</f>
        <v/>
      </c>
      <c r="L2409" s="81">
        <f>IF('Ordenes_Odoo'!L2409="","",'Ordenes_Odoo'!L2409)</f>
        <v/>
      </c>
      <c r="M2409" s="79">
        <f>IF('Ordenes_Odoo'!M2409="","",'Ordenes_Odoo'!M2409)</f>
        <v/>
      </c>
      <c r="N2409" s="79">
        <f>IF('Ordenes_Odoo'!N2409="","",'Ordenes_Odoo'!N2409)</f>
        <v/>
      </c>
      <c r="O2409" s="81">
        <f>IF('Ordenes_Odoo'!O2409="","",'Ordenes_Odoo'!O2409)</f>
        <v/>
      </c>
      <c r="P2409" s="81">
        <f>IF('Ordenes_Odoo'!P2409="","",'Ordenes_Odoo'!P2409)</f>
        <v/>
      </c>
      <c r="Q2409" s="79">
        <f>IF(A2409="","",IFERROR(INDEX(Facturas_Odoo!$B:$B, MATCH(A2409, Facturas_Odoo!$D:$D, 0)), "Sin Factura"))</f>
        <v/>
      </c>
      <c r="R2409" s="80">
        <f>IF(Q2409="Sin Factura","",IFERROR(INDEX(Facturas_Odoo!$A:$A, MATCH(Q2409, Facturas_Odoo!$B:$B, 0)), ""))</f>
        <v/>
      </c>
      <c r="S2409" s="79">
        <f>IF(Q2409="Sin Factura","",IFERROR(_xlfn.XLOOKUP(1, (Facturas_Odoo!$D:$D=A2409) * (Facturas_Odoo!$K:$K=I2409), Facturas_Odoo!$L:$L, ""), ""))</f>
        <v/>
      </c>
      <c r="T2409" s="81">
        <f>IF(Q2409="Sin Factura",0,IFERROR(_xlfn.XLOOKUP(1, (Facturas_Odoo!$D:$D=A2409) * (Facturas_Odoo!$K:$K=I2409), Facturas_Odoo!$M:$M, 0), 0))</f>
        <v/>
      </c>
      <c r="U2409" s="79">
        <f>IF(Q2409="Sin Factura",0,IFERROR(_xlfn.XLOOKUP(1, (Facturas_Odoo!$D:$D=A2409) * (Facturas_Odoo!$K:$K=I2409), Facturas_Odoo!$N:$N, 0), 0))</f>
        <v/>
      </c>
      <c r="V2409" s="79">
        <f>IF(Q2409="Sin Factura",0,IFERROR(_xlfn.XLOOKUP(1, (Facturas_Odoo!$D:$D=A2409) * (Facturas_Odoo!$K:$K=I2409), Facturas_Odoo!$O:$O, 0), 0))</f>
        <v/>
      </c>
      <c r="W2409" s="81">
        <f>IF(Q2409="Sin Factura",0,IFERROR(_xlfn.XLOOKUP(1, (Facturas_Odoo!$D:$D=A2409) * (Facturas_Odoo!$K:$K=I2409), Facturas_Odoo!$Q:$Q, 0), 0))</f>
        <v/>
      </c>
      <c r="X2409" s="79">
        <f>IF(OR(Q2409="Sin Factura",Q2409=""),"",IFERROR(INDEX(Pagos_Odoo!$B:$B, MATCH(Q2409, Pagos_Odoo!$I:$I, 0)), "Sin Pago"))</f>
        <v/>
      </c>
      <c r="Y2409" s="79">
        <f>IF(X2409="Sin Pago","",IFERROR(INDEX(Pagos_Odoo!$C:$C, MATCH(X2409, Pagos_Odoo!$B:$B, 0)), ""))</f>
        <v/>
      </c>
      <c r="Z2409" s="80">
        <f>IF(X2409="Sin Pago","",IFERROR(INDEX(Pagos_Odoo!$A:$A, MATCH(X2409, Pagos_Odoo!$B:$B, 0)), ""))</f>
        <v/>
      </c>
      <c r="AA2409" s="79">
        <f>IF(X2409="Sin Pago","",IFERROR(INDEX(Pagos_Odoo!$F:$F, MATCH(X2409, Pagos_Odoo!$B:$B, 0)), ""))</f>
        <v/>
      </c>
      <c r="AB2409" s="81">
        <f>IF(X2409="Sin Pago",0,IFERROR(INDEX(Pagos_Odoo!$E:$E, MATCH(X2409, Pagos_Odoo!$B:$B, 0)), 0))</f>
        <v/>
      </c>
      <c r="AC2409" s="79">
        <f>IF(X2409="Sin Pago","",IFERROR(INDEX(Pagos_Odoo!$G:$G, MATCH(X2409, Pagos_Odoo!$B:$B, 0)), ""))</f>
        <v/>
      </c>
      <c r="AD2409" s="82" t="n">
        <v>0</v>
      </c>
      <c r="AE2409" s="82" t="n"/>
      <c r="AF2409" s="82" t="n"/>
      <c r="AG2409" s="82">
        <f>IF(AN2409="","",AD2409+AE2409+AF2409)</f>
        <v/>
      </c>
      <c r="AH2409" s="81">
        <f>IF(AN2409="","",P2409*(1-AG2409))</f>
        <v/>
      </c>
      <c r="AI2409" s="81">
        <f>IF(AN2409="","",IF(Q2409="Sin Factura",0,IFERROR(INDEX(Facturas_Odoo!$H:$H, MATCH(Q2409, Facturas_Odoo!$B:$B, 0)), 0)*(1-AG2409)))</f>
        <v/>
      </c>
      <c r="AJ2409" s="81">
        <f>IF(AN2409="","",_xlfn.LET(idVenta, AN2409&amp;"",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09" s="81">
        <f>IF(AN2409="","",AH2409-AJ2409)</f>
        <v/>
      </c>
      <c r="AL2409" s="81">
        <f>IF(AN2409="","",IF(Q2409="Sin Factura","",AI2409-AJ2409))</f>
        <v/>
      </c>
      <c r="AM2409" s="81">
        <f>IF(AN2409="","",IF(Q2409="Sin Factura",0,P2409-IFERROR(INDEX(Facturas_Odoo!$H:$H, MATCH(Q2409, Facturas_Odoo!$B:$B, 0)), 0)))</f>
        <v/>
      </c>
      <c r="AN2409" s="79">
        <f>IF(AND(A2409="", J2409=""), "", IF(A2409&lt;&gt;"", VALUE(MID(A2409,2,LEN(A2409))), AN2408))</f>
        <v/>
      </c>
      <c r="AO2409" s="79">
        <f>IF(AN2409="","",IF(AD2409=0,"OK",_xlfn.LET(monedaPago, IF(AA2409="","USD",AA2409), limitePermitido, IFERROR(VLOOKUP(monedaPago, Configuración!$A$2:$B$3, 2, FALSE), 0.15), IF(AD2409&gt;limitePermitido, "ALERTA: EXCESO (" &amp; TEXT(limitePermitido, "0%") &amp; " máx)", "OK"))))</f>
        <v/>
      </c>
      <c r="AP2409" s="79">
        <f>IF(AN2409="","",IF(AE2409=0,"OK",_xlfn.LET(fechaPago, Z2409, fechaFactura, R2409, diasCredito, IF(E2409="Pago inmediato", 0, IFERROR(VALUE(MID(E2409, 1, SEARCH(" ", E2409)-1)),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09" s="79">
        <f>IF(AN2409="","",IF(AND(N2409&gt;0, AG2409&gt;0), IF(Configuración!$K$2="NO", "ALERTA: DESCUENTO DOBLE NO PERMITIDO", "OK"), "OK"))</f>
        <v/>
      </c>
      <c r="AR2409" s="79">
        <f>IF(AN2409="","",IF(OR(AO2409&lt;&gt;"OK", AP2409&lt;&gt;"OK", AQ2409&lt;&gt;"OK"), "⚠️ REVISAR", "OK"))</f>
        <v/>
      </c>
    </row>
    <row r="2410">
      <c r="A2410" s="79">
        <f>IF('Ordenes_Odoo'!A2410="","",'Ordenes_Odoo'!A2410)</f>
        <v/>
      </c>
      <c r="B2410" s="80">
        <f>IF('Ordenes_Odoo'!B2410="","",'Ordenes_Odoo'!B2410)</f>
        <v/>
      </c>
      <c r="C2410" s="79">
        <f>IF('Ordenes_Odoo'!C2410="","",'Ordenes_Odoo'!C2410)</f>
        <v/>
      </c>
      <c r="D2410" s="79">
        <f>IF('Ordenes_Odoo'!D2410="","",'Ordenes_Odoo'!D2410)</f>
        <v/>
      </c>
      <c r="E2410" s="79">
        <f>IF('Ordenes_Odoo'!E2410="","",'Ordenes_Odoo'!E2410)</f>
        <v/>
      </c>
      <c r="F2410" s="79">
        <f>IF('Ordenes_Odoo'!F2410="","",'Ordenes_Odoo'!F2410)</f>
        <v/>
      </c>
      <c r="G2410" s="79">
        <f>IF('Ordenes_Odoo'!G2410="","",'Ordenes_Odoo'!G2410)</f>
        <v/>
      </c>
      <c r="H2410" s="79">
        <f>IF('Ordenes_Odoo'!H2410="","",'Ordenes_Odoo'!H2410)</f>
        <v/>
      </c>
      <c r="I2410" s="79">
        <f>IF('Ordenes_Odoo'!I2410="","",'Ordenes_Odoo'!I2410)</f>
        <v/>
      </c>
      <c r="J2410" s="79">
        <f>IF('Ordenes_Odoo'!J2410="","",'Ordenes_Odoo'!J2410)</f>
        <v/>
      </c>
      <c r="K2410" s="81">
        <f>IF('Ordenes_Odoo'!K2410="","",'Ordenes_Odoo'!K2410)</f>
        <v/>
      </c>
      <c r="L2410" s="81">
        <f>IF('Ordenes_Odoo'!L2410="","",'Ordenes_Odoo'!L2410)</f>
        <v/>
      </c>
      <c r="M2410" s="79">
        <f>IF('Ordenes_Odoo'!M2410="","",'Ordenes_Odoo'!M2410)</f>
        <v/>
      </c>
      <c r="N2410" s="79">
        <f>IF('Ordenes_Odoo'!N2410="","",'Ordenes_Odoo'!N2410)</f>
        <v/>
      </c>
      <c r="O2410" s="81">
        <f>IF('Ordenes_Odoo'!O2410="","",'Ordenes_Odoo'!O2410)</f>
        <v/>
      </c>
      <c r="P2410" s="81">
        <f>IF('Ordenes_Odoo'!P2410="","",'Ordenes_Odoo'!P2410)</f>
        <v/>
      </c>
      <c r="Q2410" s="79">
        <f>IF(A2410="","",IFERROR(INDEX(Facturas_Odoo!$B:$B, MATCH(A2410, Facturas_Odoo!$D:$D, 0)), "Sin Factura"))</f>
        <v/>
      </c>
      <c r="R2410" s="80">
        <f>IF(Q2410="Sin Factura","",IFERROR(INDEX(Facturas_Odoo!$A:$A, MATCH(Q2410, Facturas_Odoo!$B:$B, 0)), ""))</f>
        <v/>
      </c>
      <c r="S2410" s="79">
        <f>IF(Q2410="Sin Factura","",IFERROR(_xlfn.XLOOKUP(1, (Facturas_Odoo!$D:$D=A2410) * (Facturas_Odoo!$K:$K=I2410), Facturas_Odoo!$L:$L, ""), ""))</f>
        <v/>
      </c>
      <c r="T2410" s="81">
        <f>IF(Q2410="Sin Factura",0,IFERROR(_xlfn.XLOOKUP(1, (Facturas_Odoo!$D:$D=A2410) * (Facturas_Odoo!$K:$K=I2410), Facturas_Odoo!$M:$M, 0), 0))</f>
        <v/>
      </c>
      <c r="U2410" s="79">
        <f>IF(Q2410="Sin Factura",0,IFERROR(_xlfn.XLOOKUP(1, (Facturas_Odoo!$D:$D=A2410) * (Facturas_Odoo!$K:$K=I2410), Facturas_Odoo!$N:$N, 0), 0))</f>
        <v/>
      </c>
      <c r="V2410" s="79">
        <f>IF(Q2410="Sin Factura",0,IFERROR(_xlfn.XLOOKUP(1, (Facturas_Odoo!$D:$D=A2410) * (Facturas_Odoo!$K:$K=I2410), Facturas_Odoo!$O:$O, 0), 0))</f>
        <v/>
      </c>
      <c r="W2410" s="81">
        <f>IF(Q2410="Sin Factura",0,IFERROR(_xlfn.XLOOKUP(1, (Facturas_Odoo!$D:$D=A2410) * (Facturas_Odoo!$K:$K=I2410), Facturas_Odoo!$Q:$Q, 0), 0))</f>
        <v/>
      </c>
      <c r="X2410" s="79">
        <f>IF(OR(Q2410="Sin Factura",Q2410=""),"",IFERROR(INDEX(Pagos_Odoo!$B:$B, MATCH(Q2410, Pagos_Odoo!$I:$I, 0)), "Sin Pago"))</f>
        <v/>
      </c>
      <c r="Y2410" s="79">
        <f>IF(X2410="Sin Pago","",IFERROR(INDEX(Pagos_Odoo!$C:$C, MATCH(X2410, Pagos_Odoo!$B:$B, 0)), ""))</f>
        <v/>
      </c>
      <c r="Z2410" s="80">
        <f>IF(X2410="Sin Pago","",IFERROR(INDEX(Pagos_Odoo!$A:$A, MATCH(X2410, Pagos_Odoo!$B:$B, 0)), ""))</f>
        <v/>
      </c>
      <c r="AA2410" s="79">
        <f>IF(X2410="Sin Pago","",IFERROR(INDEX(Pagos_Odoo!$F:$F, MATCH(X2410, Pagos_Odoo!$B:$B, 0)), ""))</f>
        <v/>
      </c>
      <c r="AB2410" s="81">
        <f>IF(X2410="Sin Pago",0,IFERROR(INDEX(Pagos_Odoo!$E:$E, MATCH(X2410, Pagos_Odoo!$B:$B, 0)), 0))</f>
        <v/>
      </c>
      <c r="AC2410" s="79">
        <f>IF(X2410="Sin Pago","",IFERROR(INDEX(Pagos_Odoo!$G:$G, MATCH(X2410, Pagos_Odoo!$B:$B, 0)), ""))</f>
        <v/>
      </c>
      <c r="AD2410" s="82" t="n">
        <v>0</v>
      </c>
      <c r="AE2410" s="82" t="n"/>
      <c r="AF2410" s="82" t="n"/>
      <c r="AG2410" s="82">
        <f>IF(AN2410="","",AD2410+AE2410+AF2410)</f>
        <v/>
      </c>
      <c r="AH2410" s="81">
        <f>IF(AN2410="","",P2410*(1-AG2410))</f>
        <v/>
      </c>
      <c r="AI2410" s="81">
        <f>IF(AN2410="","",IF(Q2410="Sin Factura",0,IFERROR(INDEX(Facturas_Odoo!$H:$H, MATCH(Q2410, Facturas_Odoo!$B:$B, 0)), 0)*(1-AG2410)))</f>
        <v/>
      </c>
      <c r="AJ2410" s="81">
        <f>IF(AN2410="","",_xlfn.LET(idVenta, AN2410&amp;"",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10" s="81">
        <f>IF(AN2410="","",AH2410-AJ2410)</f>
        <v/>
      </c>
      <c r="AL2410" s="81">
        <f>IF(AN2410="","",IF(Q2410="Sin Factura","",AI2410-AJ2410))</f>
        <v/>
      </c>
      <c r="AM2410" s="81">
        <f>IF(AN2410="","",IF(Q2410="Sin Factura",0,P2410-IFERROR(INDEX(Facturas_Odoo!$H:$H, MATCH(Q2410, Facturas_Odoo!$B:$B, 0)), 0)))</f>
        <v/>
      </c>
      <c r="AN2410" s="79">
        <f>IF(AND(A2410="", J2410=""), "", IF(A2410&lt;&gt;"", VALUE(MID(A2410,2,LEN(A2410))), AN2409))</f>
        <v/>
      </c>
      <c r="AO2410" s="79">
        <f>IF(AN2410="","",IF(AD2410=0,"OK",_xlfn.LET(monedaPago, IF(AA2410="","USD",AA2410), limitePermitido, IFERROR(VLOOKUP(monedaPago, Configuración!$A$2:$B$3, 2, FALSE), 0.15), IF(AD2410&gt;limitePermitido, "ALERTA: EXCESO (" &amp; TEXT(limitePermitido, "0%") &amp; " máx)", "OK"))))</f>
        <v/>
      </c>
      <c r="AP2410" s="79">
        <f>IF(AN2410="","",IF(AE2410=0,"OK",_xlfn.LET(fechaPago, Z2410, fechaFactura, R2410, diasCredito, IF(E2410="Pago inmediato", 0, IFERROR(VALUE(MID(E2410, 1, SEARCH(" ", E2410)-1)),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10" s="79">
        <f>IF(AN2410="","",IF(AND(N2410&gt;0, AG2410&gt;0), IF(Configuración!$K$2="NO", "ALERTA: DESCUENTO DOBLE NO PERMITIDO", "OK"), "OK"))</f>
        <v/>
      </c>
      <c r="AR2410" s="79">
        <f>IF(AN2410="","",IF(OR(AO2410&lt;&gt;"OK", AP2410&lt;&gt;"OK", AQ2410&lt;&gt;"OK"), "⚠️ REVISAR", "OK"))</f>
        <v/>
      </c>
    </row>
    <row r="2411">
      <c r="A2411" s="79">
        <f>IF('Ordenes_Odoo'!A2411="","",'Ordenes_Odoo'!A2411)</f>
        <v/>
      </c>
      <c r="B2411" s="80">
        <f>IF('Ordenes_Odoo'!B2411="","",'Ordenes_Odoo'!B2411)</f>
        <v/>
      </c>
      <c r="C2411" s="79">
        <f>IF('Ordenes_Odoo'!C2411="","",'Ordenes_Odoo'!C2411)</f>
        <v/>
      </c>
      <c r="D2411" s="79">
        <f>IF('Ordenes_Odoo'!D2411="","",'Ordenes_Odoo'!D2411)</f>
        <v/>
      </c>
      <c r="E2411" s="79">
        <f>IF('Ordenes_Odoo'!E2411="","",'Ordenes_Odoo'!E2411)</f>
        <v/>
      </c>
      <c r="F2411" s="79">
        <f>IF('Ordenes_Odoo'!F2411="","",'Ordenes_Odoo'!F2411)</f>
        <v/>
      </c>
      <c r="G2411" s="79">
        <f>IF('Ordenes_Odoo'!G2411="","",'Ordenes_Odoo'!G2411)</f>
        <v/>
      </c>
      <c r="H2411" s="79">
        <f>IF('Ordenes_Odoo'!H2411="","",'Ordenes_Odoo'!H2411)</f>
        <v/>
      </c>
      <c r="I2411" s="79">
        <f>IF('Ordenes_Odoo'!I2411="","",'Ordenes_Odoo'!I2411)</f>
        <v/>
      </c>
      <c r="J2411" s="79">
        <f>IF('Ordenes_Odoo'!J2411="","",'Ordenes_Odoo'!J2411)</f>
        <v/>
      </c>
      <c r="K2411" s="81">
        <f>IF('Ordenes_Odoo'!K2411="","",'Ordenes_Odoo'!K2411)</f>
        <v/>
      </c>
      <c r="L2411" s="81">
        <f>IF('Ordenes_Odoo'!L2411="","",'Ordenes_Odoo'!L2411)</f>
        <v/>
      </c>
      <c r="M2411" s="79">
        <f>IF('Ordenes_Odoo'!M2411="","",'Ordenes_Odoo'!M2411)</f>
        <v/>
      </c>
      <c r="N2411" s="79">
        <f>IF('Ordenes_Odoo'!N2411="","",'Ordenes_Odoo'!N2411)</f>
        <v/>
      </c>
      <c r="O2411" s="81">
        <f>IF('Ordenes_Odoo'!O2411="","",'Ordenes_Odoo'!O2411)</f>
        <v/>
      </c>
      <c r="P2411" s="81">
        <f>IF('Ordenes_Odoo'!P2411="","",'Ordenes_Odoo'!P2411)</f>
        <v/>
      </c>
      <c r="Q2411" s="79">
        <f>IF(A2411="","",IFERROR(INDEX(Facturas_Odoo!$B:$B, MATCH(A2411, Facturas_Odoo!$D:$D, 0)), "Sin Factura"))</f>
        <v/>
      </c>
      <c r="R2411" s="80">
        <f>IF(Q2411="Sin Factura","",IFERROR(INDEX(Facturas_Odoo!$A:$A, MATCH(Q2411, Facturas_Odoo!$B:$B, 0)), ""))</f>
        <v/>
      </c>
      <c r="S2411" s="79">
        <f>IF(Q2411="Sin Factura","",IFERROR(_xlfn.XLOOKUP(1, (Facturas_Odoo!$D:$D=A2411) * (Facturas_Odoo!$K:$K=I2411), Facturas_Odoo!$L:$L, ""), ""))</f>
        <v/>
      </c>
      <c r="T2411" s="81">
        <f>IF(Q2411="Sin Factura",0,IFERROR(_xlfn.XLOOKUP(1, (Facturas_Odoo!$D:$D=A2411) * (Facturas_Odoo!$K:$K=I2411), Facturas_Odoo!$M:$M, 0), 0))</f>
        <v/>
      </c>
      <c r="U2411" s="79">
        <f>IF(Q2411="Sin Factura",0,IFERROR(_xlfn.XLOOKUP(1, (Facturas_Odoo!$D:$D=A2411) * (Facturas_Odoo!$K:$K=I2411), Facturas_Odoo!$N:$N, 0), 0))</f>
        <v/>
      </c>
      <c r="V2411" s="79">
        <f>IF(Q2411="Sin Factura",0,IFERROR(_xlfn.XLOOKUP(1, (Facturas_Odoo!$D:$D=A2411) * (Facturas_Odoo!$K:$K=I2411), Facturas_Odoo!$O:$O, 0), 0))</f>
        <v/>
      </c>
      <c r="W2411" s="81">
        <f>IF(Q2411="Sin Factura",0,IFERROR(_xlfn.XLOOKUP(1, (Facturas_Odoo!$D:$D=A2411) * (Facturas_Odoo!$K:$K=I2411), Facturas_Odoo!$Q:$Q, 0), 0))</f>
        <v/>
      </c>
      <c r="X2411" s="79">
        <f>IF(OR(Q2411="Sin Factura",Q2411=""),"",IFERROR(INDEX(Pagos_Odoo!$B:$B, MATCH(Q2411, Pagos_Odoo!$I:$I, 0)), "Sin Pago"))</f>
        <v/>
      </c>
      <c r="Y2411" s="79">
        <f>IF(X2411="Sin Pago","",IFERROR(INDEX(Pagos_Odoo!$C:$C, MATCH(X2411, Pagos_Odoo!$B:$B, 0)), ""))</f>
        <v/>
      </c>
      <c r="Z2411" s="80">
        <f>IF(X2411="Sin Pago","",IFERROR(INDEX(Pagos_Odoo!$A:$A, MATCH(X2411, Pagos_Odoo!$B:$B, 0)), ""))</f>
        <v/>
      </c>
      <c r="AA2411" s="79">
        <f>IF(X2411="Sin Pago","",IFERROR(INDEX(Pagos_Odoo!$F:$F, MATCH(X2411, Pagos_Odoo!$B:$B, 0)), ""))</f>
        <v/>
      </c>
      <c r="AB2411" s="81">
        <f>IF(X2411="Sin Pago",0,IFERROR(INDEX(Pagos_Odoo!$E:$E, MATCH(X2411, Pagos_Odoo!$B:$B, 0)), 0))</f>
        <v/>
      </c>
      <c r="AC2411" s="79">
        <f>IF(X2411="Sin Pago","",IFERROR(INDEX(Pagos_Odoo!$G:$G, MATCH(X2411, Pagos_Odoo!$B:$B, 0)), ""))</f>
        <v/>
      </c>
      <c r="AD2411" s="82" t="n">
        <v>0</v>
      </c>
      <c r="AE2411" s="82" t="n"/>
      <c r="AF2411" s="82" t="n"/>
      <c r="AG2411" s="82">
        <f>IF(AN2411="","",AD2411+AE2411+AF2411)</f>
        <v/>
      </c>
      <c r="AH2411" s="81">
        <f>IF(AN2411="","",P2411*(1-AG2411))</f>
        <v/>
      </c>
      <c r="AI2411" s="81">
        <f>IF(AN2411="","",IF(Q2411="Sin Factura",0,IFERROR(INDEX(Facturas_Odoo!$H:$H, MATCH(Q2411, Facturas_Odoo!$B:$B, 0)), 0)*(1-AG2411)))</f>
        <v/>
      </c>
      <c r="AJ2411" s="81">
        <f>IF(AN2411="","",_xlfn.LET(idVenta, AN2411&amp;"",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11" s="81">
        <f>IF(AN2411="","",AH2411-AJ2411)</f>
        <v/>
      </c>
      <c r="AL2411" s="81">
        <f>IF(AN2411="","",IF(Q2411="Sin Factura","",AI2411-AJ2411))</f>
        <v/>
      </c>
      <c r="AM2411" s="81">
        <f>IF(AN2411="","",IF(Q2411="Sin Factura",0,P2411-IFERROR(INDEX(Facturas_Odoo!$H:$H, MATCH(Q2411, Facturas_Odoo!$B:$B, 0)), 0)))</f>
        <v/>
      </c>
      <c r="AN2411" s="79">
        <f>IF(AND(A2411="", J2411=""), "", IF(A2411&lt;&gt;"", VALUE(MID(A2411,2,LEN(A2411))), AN2410))</f>
        <v/>
      </c>
      <c r="AO2411" s="79">
        <f>IF(AN2411="","",IF(AD2411=0,"OK",_xlfn.LET(monedaPago, IF(AA2411="","USD",AA2411), limitePermitido, IFERROR(VLOOKUP(monedaPago, Configuración!$A$2:$B$3, 2, FALSE), 0.15), IF(AD2411&gt;limitePermitido, "ALERTA: EXCESO (" &amp; TEXT(limitePermitido, "0%") &amp; " máx)", "OK"))))</f>
        <v/>
      </c>
      <c r="AP2411" s="79">
        <f>IF(AN2411="","",IF(AE2411=0,"OK",_xlfn.LET(fechaPago, Z2411, fechaFactura, R2411, diasCredito, IF(E2411="Pago inmediato", 0, IFERROR(VALUE(MID(E2411, 1, SEARCH(" ", E2411)-1)),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11" s="79">
        <f>IF(AN2411="","",IF(AND(N2411&gt;0, AG2411&gt;0), IF(Configuración!$K$2="NO", "ALERTA: DESCUENTO DOBLE NO PERMITIDO", "OK"), "OK"))</f>
        <v/>
      </c>
      <c r="AR2411" s="79">
        <f>IF(AN2411="","",IF(OR(AO2411&lt;&gt;"OK", AP2411&lt;&gt;"OK", AQ2411&lt;&gt;"OK"), "⚠️ REVISAR", "OK"))</f>
        <v/>
      </c>
    </row>
    <row r="2412">
      <c r="A2412" s="79">
        <f>IF('Ordenes_Odoo'!A2412="","",'Ordenes_Odoo'!A2412)</f>
        <v/>
      </c>
      <c r="B2412" s="80">
        <f>IF('Ordenes_Odoo'!B2412="","",'Ordenes_Odoo'!B2412)</f>
        <v/>
      </c>
      <c r="C2412" s="79">
        <f>IF('Ordenes_Odoo'!C2412="","",'Ordenes_Odoo'!C2412)</f>
        <v/>
      </c>
      <c r="D2412" s="79">
        <f>IF('Ordenes_Odoo'!D2412="","",'Ordenes_Odoo'!D2412)</f>
        <v/>
      </c>
      <c r="E2412" s="79">
        <f>IF('Ordenes_Odoo'!E2412="","",'Ordenes_Odoo'!E2412)</f>
        <v/>
      </c>
      <c r="F2412" s="79">
        <f>IF('Ordenes_Odoo'!F2412="","",'Ordenes_Odoo'!F2412)</f>
        <v/>
      </c>
      <c r="G2412" s="79">
        <f>IF('Ordenes_Odoo'!G2412="","",'Ordenes_Odoo'!G2412)</f>
        <v/>
      </c>
      <c r="H2412" s="79">
        <f>IF('Ordenes_Odoo'!H2412="","",'Ordenes_Odoo'!H2412)</f>
        <v/>
      </c>
      <c r="I2412" s="79">
        <f>IF('Ordenes_Odoo'!I2412="","",'Ordenes_Odoo'!I2412)</f>
        <v/>
      </c>
      <c r="J2412" s="79">
        <f>IF('Ordenes_Odoo'!J2412="","",'Ordenes_Odoo'!J2412)</f>
        <v/>
      </c>
      <c r="K2412" s="81">
        <f>IF('Ordenes_Odoo'!K2412="","",'Ordenes_Odoo'!K2412)</f>
        <v/>
      </c>
      <c r="L2412" s="81">
        <f>IF('Ordenes_Odoo'!L2412="","",'Ordenes_Odoo'!L2412)</f>
        <v/>
      </c>
      <c r="M2412" s="79">
        <f>IF('Ordenes_Odoo'!M2412="","",'Ordenes_Odoo'!M2412)</f>
        <v/>
      </c>
      <c r="N2412" s="79">
        <f>IF('Ordenes_Odoo'!N2412="","",'Ordenes_Odoo'!N2412)</f>
        <v/>
      </c>
      <c r="O2412" s="81">
        <f>IF('Ordenes_Odoo'!O2412="","",'Ordenes_Odoo'!O2412)</f>
        <v/>
      </c>
      <c r="P2412" s="81">
        <f>IF('Ordenes_Odoo'!P2412="","",'Ordenes_Odoo'!P2412)</f>
        <v/>
      </c>
      <c r="Q2412" s="79">
        <f>IF(A2412="","",IFERROR(INDEX(Facturas_Odoo!$B:$B, MATCH(A2412, Facturas_Odoo!$D:$D, 0)), "Sin Factura"))</f>
        <v/>
      </c>
      <c r="R2412" s="80">
        <f>IF(Q2412="Sin Factura","",IFERROR(INDEX(Facturas_Odoo!$A:$A, MATCH(Q2412, Facturas_Odoo!$B:$B, 0)), ""))</f>
        <v/>
      </c>
      <c r="S2412" s="79">
        <f>IF(Q2412="Sin Factura","",IFERROR(_xlfn.XLOOKUP(1, (Facturas_Odoo!$D:$D=A2412) * (Facturas_Odoo!$K:$K=I2412), Facturas_Odoo!$L:$L, ""), ""))</f>
        <v/>
      </c>
      <c r="T2412" s="81">
        <f>IF(Q2412="Sin Factura",0,IFERROR(_xlfn.XLOOKUP(1, (Facturas_Odoo!$D:$D=A2412) * (Facturas_Odoo!$K:$K=I2412), Facturas_Odoo!$M:$M, 0), 0))</f>
        <v/>
      </c>
      <c r="U2412" s="79">
        <f>IF(Q2412="Sin Factura",0,IFERROR(_xlfn.XLOOKUP(1, (Facturas_Odoo!$D:$D=A2412) * (Facturas_Odoo!$K:$K=I2412), Facturas_Odoo!$N:$N, 0), 0))</f>
        <v/>
      </c>
      <c r="V2412" s="79">
        <f>IF(Q2412="Sin Factura",0,IFERROR(_xlfn.XLOOKUP(1, (Facturas_Odoo!$D:$D=A2412) * (Facturas_Odoo!$K:$K=I2412), Facturas_Odoo!$O:$O, 0), 0))</f>
        <v/>
      </c>
      <c r="W2412" s="81">
        <f>IF(Q2412="Sin Factura",0,IFERROR(_xlfn.XLOOKUP(1, (Facturas_Odoo!$D:$D=A2412) * (Facturas_Odoo!$K:$K=I2412), Facturas_Odoo!$Q:$Q, 0), 0))</f>
        <v/>
      </c>
      <c r="X2412" s="79">
        <f>IF(OR(Q2412="Sin Factura",Q2412=""),"",IFERROR(INDEX(Pagos_Odoo!$B:$B, MATCH(Q2412, Pagos_Odoo!$I:$I, 0)), "Sin Pago"))</f>
        <v/>
      </c>
      <c r="Y2412" s="79">
        <f>IF(X2412="Sin Pago","",IFERROR(INDEX(Pagos_Odoo!$C:$C, MATCH(X2412, Pagos_Odoo!$B:$B, 0)), ""))</f>
        <v/>
      </c>
      <c r="Z2412" s="80">
        <f>IF(X2412="Sin Pago","",IFERROR(INDEX(Pagos_Odoo!$A:$A, MATCH(X2412, Pagos_Odoo!$B:$B, 0)), ""))</f>
        <v/>
      </c>
      <c r="AA2412" s="79">
        <f>IF(X2412="Sin Pago","",IFERROR(INDEX(Pagos_Odoo!$F:$F, MATCH(X2412, Pagos_Odoo!$B:$B, 0)), ""))</f>
        <v/>
      </c>
      <c r="AB2412" s="81">
        <f>IF(X2412="Sin Pago",0,IFERROR(INDEX(Pagos_Odoo!$E:$E, MATCH(X2412, Pagos_Odoo!$B:$B, 0)), 0))</f>
        <v/>
      </c>
      <c r="AC2412" s="79">
        <f>IF(X2412="Sin Pago","",IFERROR(INDEX(Pagos_Odoo!$G:$G, MATCH(X2412, Pagos_Odoo!$B:$B, 0)), ""))</f>
        <v/>
      </c>
      <c r="AD2412" s="82" t="n">
        <v>0</v>
      </c>
      <c r="AE2412" s="82" t="n"/>
      <c r="AF2412" s="82" t="n"/>
      <c r="AG2412" s="82">
        <f>IF(AN2412="","",AD2412+AE2412+AF2412)</f>
        <v/>
      </c>
      <c r="AH2412" s="81">
        <f>IF(AN2412="","",P2412*(1-AG2412))</f>
        <v/>
      </c>
      <c r="AI2412" s="81">
        <f>IF(AN2412="","",IF(Q2412="Sin Factura",0,IFERROR(INDEX(Facturas_Odoo!$H:$H, MATCH(Q2412, Facturas_Odoo!$B:$B, 0)), 0)*(1-AG2412)))</f>
        <v/>
      </c>
      <c r="AJ2412" s="81">
        <f>IF(AN2412="","",_xlfn.LET(idVenta, AN2412&amp;"",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12" s="81">
        <f>IF(AN2412="","",AH2412-AJ2412)</f>
        <v/>
      </c>
      <c r="AL2412" s="81">
        <f>IF(AN2412="","",IF(Q2412="Sin Factura","",AI2412-AJ2412))</f>
        <v/>
      </c>
      <c r="AM2412" s="81">
        <f>IF(AN2412="","",IF(Q2412="Sin Factura",0,P2412-IFERROR(INDEX(Facturas_Odoo!$H:$H, MATCH(Q2412, Facturas_Odoo!$B:$B, 0)), 0)))</f>
        <v/>
      </c>
      <c r="AN2412" s="79">
        <f>IF(AND(A2412="", J2412=""), "", IF(A2412&lt;&gt;"", VALUE(MID(A2412,2,LEN(A2412))), AN2411))</f>
        <v/>
      </c>
      <c r="AO2412" s="79">
        <f>IF(AN2412="","",IF(AD2412=0,"OK",_xlfn.LET(monedaPago, IF(AA2412="","USD",AA2412), limitePermitido, IFERROR(VLOOKUP(monedaPago, Configuración!$A$2:$B$3, 2, FALSE), 0.15), IF(AD2412&gt;limitePermitido, "ALERTA: EXCESO (" &amp; TEXT(limitePermitido, "0%") &amp; " máx)", "OK"))))</f>
        <v/>
      </c>
      <c r="AP2412" s="79">
        <f>IF(AN2412="","",IF(AE2412=0,"OK",_xlfn.LET(fechaPago, Z2412, fechaFactura, R2412, diasCredito, IF(E2412="Pago inmediato", 0, IFERROR(VALUE(MID(E2412, 1, SEARCH(" ", E2412)-1)),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12" s="79">
        <f>IF(AN2412="","",IF(AND(N2412&gt;0, AG2412&gt;0), IF(Configuración!$K$2="NO", "ALERTA: DESCUENTO DOBLE NO PERMITIDO", "OK"), "OK"))</f>
        <v/>
      </c>
      <c r="AR2412" s="79">
        <f>IF(AN2412="","",IF(OR(AO2412&lt;&gt;"OK", AP2412&lt;&gt;"OK", AQ2412&lt;&gt;"OK"), "⚠️ REVISAR", "OK"))</f>
        <v/>
      </c>
    </row>
    <row r="2413">
      <c r="A2413" s="79">
        <f>IF('Ordenes_Odoo'!A2413="","",'Ordenes_Odoo'!A2413)</f>
        <v/>
      </c>
      <c r="B2413" s="80">
        <f>IF('Ordenes_Odoo'!B2413="","",'Ordenes_Odoo'!B2413)</f>
        <v/>
      </c>
      <c r="C2413" s="79">
        <f>IF('Ordenes_Odoo'!C2413="","",'Ordenes_Odoo'!C2413)</f>
        <v/>
      </c>
      <c r="D2413" s="79">
        <f>IF('Ordenes_Odoo'!D2413="","",'Ordenes_Odoo'!D2413)</f>
        <v/>
      </c>
      <c r="E2413" s="79">
        <f>IF('Ordenes_Odoo'!E2413="","",'Ordenes_Odoo'!E2413)</f>
        <v/>
      </c>
      <c r="F2413" s="79">
        <f>IF('Ordenes_Odoo'!F2413="","",'Ordenes_Odoo'!F2413)</f>
        <v/>
      </c>
      <c r="G2413" s="79">
        <f>IF('Ordenes_Odoo'!G2413="","",'Ordenes_Odoo'!G2413)</f>
        <v/>
      </c>
      <c r="H2413" s="79">
        <f>IF('Ordenes_Odoo'!H2413="","",'Ordenes_Odoo'!H2413)</f>
        <v/>
      </c>
      <c r="I2413" s="79">
        <f>IF('Ordenes_Odoo'!I2413="","",'Ordenes_Odoo'!I2413)</f>
        <v/>
      </c>
      <c r="J2413" s="79">
        <f>IF('Ordenes_Odoo'!J2413="","",'Ordenes_Odoo'!J2413)</f>
        <v/>
      </c>
      <c r="K2413" s="81">
        <f>IF('Ordenes_Odoo'!K2413="","",'Ordenes_Odoo'!K2413)</f>
        <v/>
      </c>
      <c r="L2413" s="81">
        <f>IF('Ordenes_Odoo'!L2413="","",'Ordenes_Odoo'!L2413)</f>
        <v/>
      </c>
      <c r="M2413" s="79">
        <f>IF('Ordenes_Odoo'!M2413="","",'Ordenes_Odoo'!M2413)</f>
        <v/>
      </c>
      <c r="N2413" s="79">
        <f>IF('Ordenes_Odoo'!N2413="","",'Ordenes_Odoo'!N2413)</f>
        <v/>
      </c>
      <c r="O2413" s="81">
        <f>IF('Ordenes_Odoo'!O2413="","",'Ordenes_Odoo'!O2413)</f>
        <v/>
      </c>
      <c r="P2413" s="81">
        <f>IF('Ordenes_Odoo'!P2413="","",'Ordenes_Odoo'!P2413)</f>
        <v/>
      </c>
      <c r="Q2413" s="79">
        <f>IF(A2413="","",IFERROR(INDEX(Facturas_Odoo!$B:$B, MATCH(A2413, Facturas_Odoo!$D:$D, 0)), "Sin Factura"))</f>
        <v/>
      </c>
      <c r="R2413" s="80">
        <f>IF(Q2413="Sin Factura","",IFERROR(INDEX(Facturas_Odoo!$A:$A, MATCH(Q2413, Facturas_Odoo!$B:$B, 0)), ""))</f>
        <v/>
      </c>
      <c r="S2413" s="79">
        <f>IF(Q2413="Sin Factura","",IFERROR(_xlfn.XLOOKUP(1, (Facturas_Odoo!$D:$D=A2413) * (Facturas_Odoo!$K:$K=I2413), Facturas_Odoo!$L:$L, ""), ""))</f>
        <v/>
      </c>
      <c r="T2413" s="81">
        <f>IF(Q2413="Sin Factura",0,IFERROR(_xlfn.XLOOKUP(1, (Facturas_Odoo!$D:$D=A2413) * (Facturas_Odoo!$K:$K=I2413), Facturas_Odoo!$M:$M, 0), 0))</f>
        <v/>
      </c>
      <c r="U2413" s="79">
        <f>IF(Q2413="Sin Factura",0,IFERROR(_xlfn.XLOOKUP(1, (Facturas_Odoo!$D:$D=A2413) * (Facturas_Odoo!$K:$K=I2413), Facturas_Odoo!$N:$N, 0), 0))</f>
        <v/>
      </c>
      <c r="V2413" s="79">
        <f>IF(Q2413="Sin Factura",0,IFERROR(_xlfn.XLOOKUP(1, (Facturas_Odoo!$D:$D=A2413) * (Facturas_Odoo!$K:$K=I2413), Facturas_Odoo!$O:$O, 0), 0))</f>
        <v/>
      </c>
      <c r="W2413" s="81">
        <f>IF(Q2413="Sin Factura",0,IFERROR(_xlfn.XLOOKUP(1, (Facturas_Odoo!$D:$D=A2413) * (Facturas_Odoo!$K:$K=I2413), Facturas_Odoo!$Q:$Q, 0), 0))</f>
        <v/>
      </c>
      <c r="X2413" s="79">
        <f>IF(OR(Q2413="Sin Factura",Q2413=""),"",IFERROR(INDEX(Pagos_Odoo!$B:$B, MATCH(Q2413, Pagos_Odoo!$I:$I, 0)), "Sin Pago"))</f>
        <v/>
      </c>
      <c r="Y2413" s="79">
        <f>IF(X2413="Sin Pago","",IFERROR(INDEX(Pagos_Odoo!$C:$C, MATCH(X2413, Pagos_Odoo!$B:$B, 0)), ""))</f>
        <v/>
      </c>
      <c r="Z2413" s="80">
        <f>IF(X2413="Sin Pago","",IFERROR(INDEX(Pagos_Odoo!$A:$A, MATCH(X2413, Pagos_Odoo!$B:$B, 0)), ""))</f>
        <v/>
      </c>
      <c r="AA2413" s="79">
        <f>IF(X2413="Sin Pago","",IFERROR(INDEX(Pagos_Odoo!$F:$F, MATCH(X2413, Pagos_Odoo!$B:$B, 0)), ""))</f>
        <v/>
      </c>
      <c r="AB2413" s="81">
        <f>IF(X2413="Sin Pago",0,IFERROR(INDEX(Pagos_Odoo!$E:$E, MATCH(X2413, Pagos_Odoo!$B:$B, 0)), 0))</f>
        <v/>
      </c>
      <c r="AC2413" s="79">
        <f>IF(X2413="Sin Pago","",IFERROR(INDEX(Pagos_Odoo!$G:$G, MATCH(X2413, Pagos_Odoo!$B:$B, 0)), ""))</f>
        <v/>
      </c>
      <c r="AD2413" s="82" t="n">
        <v>0</v>
      </c>
      <c r="AE2413" s="82" t="n"/>
      <c r="AF2413" s="82" t="n"/>
      <c r="AG2413" s="82">
        <f>IF(AN2413="","",AD2413+AE2413+AF2413)</f>
        <v/>
      </c>
      <c r="AH2413" s="81">
        <f>IF(AN2413="","",P2413*(1-AG2413))</f>
        <v/>
      </c>
      <c r="AI2413" s="81">
        <f>IF(AN2413="","",IF(Q2413="Sin Factura",0,IFERROR(INDEX(Facturas_Odoo!$H:$H, MATCH(Q2413, Facturas_Odoo!$B:$B, 0)), 0)*(1-AG2413)))</f>
        <v/>
      </c>
      <c r="AJ2413" s="81">
        <f>IF(AN2413="","",_xlfn.LET(idVenta, AN2413&amp;"",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13" s="81">
        <f>IF(AN2413="","",AH2413-AJ2413)</f>
        <v/>
      </c>
      <c r="AL2413" s="81">
        <f>IF(AN2413="","",IF(Q2413="Sin Factura","",AI2413-AJ2413))</f>
        <v/>
      </c>
      <c r="AM2413" s="81">
        <f>IF(AN2413="","",IF(Q2413="Sin Factura",0,P2413-IFERROR(INDEX(Facturas_Odoo!$H:$H, MATCH(Q2413, Facturas_Odoo!$B:$B, 0)), 0)))</f>
        <v/>
      </c>
      <c r="AN2413" s="79">
        <f>IF(AND(A2413="", J2413=""), "", IF(A2413&lt;&gt;"", VALUE(MID(A2413,2,LEN(A2413))), AN2412))</f>
        <v/>
      </c>
      <c r="AO2413" s="79">
        <f>IF(AN2413="","",IF(AD2413=0,"OK",_xlfn.LET(monedaPago, IF(AA2413="","USD",AA2413), limitePermitido, IFERROR(VLOOKUP(monedaPago, Configuración!$A$2:$B$3, 2, FALSE), 0.15), IF(AD2413&gt;limitePermitido, "ALERTA: EXCESO (" &amp; TEXT(limitePermitido, "0%") &amp; " máx)", "OK"))))</f>
        <v/>
      </c>
      <c r="AP2413" s="79">
        <f>IF(AN2413="","",IF(AE2413=0,"OK",_xlfn.LET(fechaPago, Z2413, fechaFactura, R2413, diasCredito, IF(E2413="Pago inmediato", 0, IFERROR(VALUE(MID(E2413, 1, SEARCH(" ", E2413)-1)),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13" s="79">
        <f>IF(AN2413="","",IF(AND(N2413&gt;0, AG2413&gt;0), IF(Configuración!$K$2="NO", "ALERTA: DESCUENTO DOBLE NO PERMITIDO", "OK"), "OK"))</f>
        <v/>
      </c>
      <c r="AR2413" s="79">
        <f>IF(AN2413="","",IF(OR(AO2413&lt;&gt;"OK", AP2413&lt;&gt;"OK", AQ2413&lt;&gt;"OK"), "⚠️ REVISAR", "OK"))</f>
        <v/>
      </c>
    </row>
    <row r="2414">
      <c r="A2414" s="79">
        <f>IF('Ordenes_Odoo'!A2414="","",'Ordenes_Odoo'!A2414)</f>
        <v/>
      </c>
      <c r="B2414" s="80">
        <f>IF('Ordenes_Odoo'!B2414="","",'Ordenes_Odoo'!B2414)</f>
        <v/>
      </c>
      <c r="C2414" s="79">
        <f>IF('Ordenes_Odoo'!C2414="","",'Ordenes_Odoo'!C2414)</f>
        <v/>
      </c>
      <c r="D2414" s="79">
        <f>IF('Ordenes_Odoo'!D2414="","",'Ordenes_Odoo'!D2414)</f>
        <v/>
      </c>
      <c r="E2414" s="79">
        <f>IF('Ordenes_Odoo'!E2414="","",'Ordenes_Odoo'!E2414)</f>
        <v/>
      </c>
      <c r="F2414" s="79">
        <f>IF('Ordenes_Odoo'!F2414="","",'Ordenes_Odoo'!F2414)</f>
        <v/>
      </c>
      <c r="G2414" s="79">
        <f>IF('Ordenes_Odoo'!G2414="","",'Ordenes_Odoo'!G2414)</f>
        <v/>
      </c>
      <c r="H2414" s="79">
        <f>IF('Ordenes_Odoo'!H2414="","",'Ordenes_Odoo'!H2414)</f>
        <v/>
      </c>
      <c r="I2414" s="79">
        <f>IF('Ordenes_Odoo'!I2414="","",'Ordenes_Odoo'!I2414)</f>
        <v/>
      </c>
      <c r="J2414" s="79">
        <f>IF('Ordenes_Odoo'!J2414="","",'Ordenes_Odoo'!J2414)</f>
        <v/>
      </c>
      <c r="K2414" s="81">
        <f>IF('Ordenes_Odoo'!K2414="","",'Ordenes_Odoo'!K2414)</f>
        <v/>
      </c>
      <c r="L2414" s="81">
        <f>IF('Ordenes_Odoo'!L2414="","",'Ordenes_Odoo'!L2414)</f>
        <v/>
      </c>
      <c r="M2414" s="79">
        <f>IF('Ordenes_Odoo'!M2414="","",'Ordenes_Odoo'!M2414)</f>
        <v/>
      </c>
      <c r="N2414" s="79">
        <f>IF('Ordenes_Odoo'!N2414="","",'Ordenes_Odoo'!N2414)</f>
        <v/>
      </c>
      <c r="O2414" s="81">
        <f>IF('Ordenes_Odoo'!O2414="","",'Ordenes_Odoo'!O2414)</f>
        <v/>
      </c>
      <c r="P2414" s="81">
        <f>IF('Ordenes_Odoo'!P2414="","",'Ordenes_Odoo'!P2414)</f>
        <v/>
      </c>
      <c r="Q2414" s="79">
        <f>IF(A2414="","",IFERROR(INDEX(Facturas_Odoo!$B:$B, MATCH(A2414, Facturas_Odoo!$D:$D, 0)), "Sin Factura"))</f>
        <v/>
      </c>
      <c r="R2414" s="80">
        <f>IF(Q2414="Sin Factura","",IFERROR(INDEX(Facturas_Odoo!$A:$A, MATCH(Q2414, Facturas_Odoo!$B:$B, 0)), ""))</f>
        <v/>
      </c>
      <c r="S2414" s="79">
        <f>IF(Q2414="Sin Factura","",IFERROR(_xlfn.XLOOKUP(1, (Facturas_Odoo!$D:$D=A2414) * (Facturas_Odoo!$K:$K=I2414), Facturas_Odoo!$L:$L, ""), ""))</f>
        <v/>
      </c>
      <c r="T2414" s="81">
        <f>IF(Q2414="Sin Factura",0,IFERROR(_xlfn.XLOOKUP(1, (Facturas_Odoo!$D:$D=A2414) * (Facturas_Odoo!$K:$K=I2414), Facturas_Odoo!$M:$M, 0), 0))</f>
        <v/>
      </c>
      <c r="U2414" s="79">
        <f>IF(Q2414="Sin Factura",0,IFERROR(_xlfn.XLOOKUP(1, (Facturas_Odoo!$D:$D=A2414) * (Facturas_Odoo!$K:$K=I2414), Facturas_Odoo!$N:$N, 0), 0))</f>
        <v/>
      </c>
      <c r="V2414" s="79">
        <f>IF(Q2414="Sin Factura",0,IFERROR(_xlfn.XLOOKUP(1, (Facturas_Odoo!$D:$D=A2414) * (Facturas_Odoo!$K:$K=I2414), Facturas_Odoo!$O:$O, 0), 0))</f>
        <v/>
      </c>
      <c r="W2414" s="81">
        <f>IF(Q2414="Sin Factura",0,IFERROR(_xlfn.XLOOKUP(1, (Facturas_Odoo!$D:$D=A2414) * (Facturas_Odoo!$K:$K=I2414), Facturas_Odoo!$Q:$Q, 0), 0))</f>
        <v/>
      </c>
      <c r="X2414" s="79">
        <f>IF(OR(Q2414="Sin Factura",Q2414=""),"",IFERROR(INDEX(Pagos_Odoo!$B:$B, MATCH(Q2414, Pagos_Odoo!$I:$I, 0)), "Sin Pago"))</f>
        <v/>
      </c>
      <c r="Y2414" s="79">
        <f>IF(X2414="Sin Pago","",IFERROR(INDEX(Pagos_Odoo!$C:$C, MATCH(X2414, Pagos_Odoo!$B:$B, 0)), ""))</f>
        <v/>
      </c>
      <c r="Z2414" s="80">
        <f>IF(X2414="Sin Pago","",IFERROR(INDEX(Pagos_Odoo!$A:$A, MATCH(X2414, Pagos_Odoo!$B:$B, 0)), ""))</f>
        <v/>
      </c>
      <c r="AA2414" s="79">
        <f>IF(X2414="Sin Pago","",IFERROR(INDEX(Pagos_Odoo!$F:$F, MATCH(X2414, Pagos_Odoo!$B:$B, 0)), ""))</f>
        <v/>
      </c>
      <c r="AB2414" s="81">
        <f>IF(X2414="Sin Pago",0,IFERROR(INDEX(Pagos_Odoo!$E:$E, MATCH(X2414, Pagos_Odoo!$B:$B, 0)), 0))</f>
        <v/>
      </c>
      <c r="AC2414" s="79">
        <f>IF(X2414="Sin Pago","",IFERROR(INDEX(Pagos_Odoo!$G:$G, MATCH(X2414, Pagos_Odoo!$B:$B, 0)), ""))</f>
        <v/>
      </c>
      <c r="AD2414" s="82" t="n">
        <v>0</v>
      </c>
      <c r="AE2414" s="82" t="n"/>
      <c r="AF2414" s="82" t="n"/>
      <c r="AG2414" s="82">
        <f>IF(AN2414="","",AD2414+AE2414+AF2414)</f>
        <v/>
      </c>
      <c r="AH2414" s="81">
        <f>IF(AN2414="","",P2414*(1-AG2414))</f>
        <v/>
      </c>
      <c r="AI2414" s="81">
        <f>IF(AN2414="","",IF(Q2414="Sin Factura",0,IFERROR(INDEX(Facturas_Odoo!$H:$H, MATCH(Q2414, Facturas_Odoo!$B:$B, 0)), 0)*(1-AG2414)))</f>
        <v/>
      </c>
      <c r="AJ2414" s="81">
        <f>IF(AN2414="","",_xlfn.LET(idVenta, AN2414&amp;"",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14" s="81">
        <f>IF(AN2414="","",AH2414-AJ2414)</f>
        <v/>
      </c>
      <c r="AL2414" s="81">
        <f>IF(AN2414="","",IF(Q2414="Sin Factura","",AI2414-AJ2414))</f>
        <v/>
      </c>
      <c r="AM2414" s="81">
        <f>IF(AN2414="","",IF(Q2414="Sin Factura",0,P2414-IFERROR(INDEX(Facturas_Odoo!$H:$H, MATCH(Q2414, Facturas_Odoo!$B:$B, 0)), 0)))</f>
        <v/>
      </c>
      <c r="AN2414" s="79">
        <f>IF(AND(A2414="", J2414=""), "", IF(A2414&lt;&gt;"", VALUE(MID(A2414,2,LEN(A2414))), AN2413))</f>
        <v/>
      </c>
      <c r="AO2414" s="79">
        <f>IF(AN2414="","",IF(AD2414=0,"OK",_xlfn.LET(monedaPago, IF(AA2414="","USD",AA2414), limitePermitido, IFERROR(VLOOKUP(monedaPago, Configuración!$A$2:$B$3, 2, FALSE), 0.15), IF(AD2414&gt;limitePermitido, "ALERTA: EXCESO (" &amp; TEXT(limitePermitido, "0%") &amp; " máx)", "OK"))))</f>
        <v/>
      </c>
      <c r="AP2414" s="79">
        <f>IF(AN2414="","",IF(AE2414=0,"OK",_xlfn.LET(fechaPago, Z2414, fechaFactura, R2414, diasCredito, IF(E2414="Pago inmediato", 0, IFERROR(VALUE(MID(E2414, 1, SEARCH(" ", E2414)-1)),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14" s="79">
        <f>IF(AN2414="","",IF(AND(N2414&gt;0, AG2414&gt;0), IF(Configuración!$K$2="NO", "ALERTA: DESCUENTO DOBLE NO PERMITIDO", "OK"), "OK"))</f>
        <v/>
      </c>
      <c r="AR2414" s="79">
        <f>IF(AN2414="","",IF(OR(AO2414&lt;&gt;"OK", AP2414&lt;&gt;"OK", AQ2414&lt;&gt;"OK"), "⚠️ REVISAR", "OK"))</f>
        <v/>
      </c>
    </row>
    <row r="2415">
      <c r="A2415" s="79">
        <f>IF('Ordenes_Odoo'!A2415="","",'Ordenes_Odoo'!A2415)</f>
        <v/>
      </c>
      <c r="B2415" s="80">
        <f>IF('Ordenes_Odoo'!B2415="","",'Ordenes_Odoo'!B2415)</f>
        <v/>
      </c>
      <c r="C2415" s="79">
        <f>IF('Ordenes_Odoo'!C2415="","",'Ordenes_Odoo'!C2415)</f>
        <v/>
      </c>
      <c r="D2415" s="79">
        <f>IF('Ordenes_Odoo'!D2415="","",'Ordenes_Odoo'!D2415)</f>
        <v/>
      </c>
      <c r="E2415" s="79">
        <f>IF('Ordenes_Odoo'!E2415="","",'Ordenes_Odoo'!E2415)</f>
        <v/>
      </c>
      <c r="F2415" s="79">
        <f>IF('Ordenes_Odoo'!F2415="","",'Ordenes_Odoo'!F2415)</f>
        <v/>
      </c>
      <c r="G2415" s="79">
        <f>IF('Ordenes_Odoo'!G2415="","",'Ordenes_Odoo'!G2415)</f>
        <v/>
      </c>
      <c r="H2415" s="79">
        <f>IF('Ordenes_Odoo'!H2415="","",'Ordenes_Odoo'!H2415)</f>
        <v/>
      </c>
      <c r="I2415" s="79">
        <f>IF('Ordenes_Odoo'!I2415="","",'Ordenes_Odoo'!I2415)</f>
        <v/>
      </c>
      <c r="J2415" s="79">
        <f>IF('Ordenes_Odoo'!J2415="","",'Ordenes_Odoo'!J2415)</f>
        <v/>
      </c>
      <c r="K2415" s="81">
        <f>IF('Ordenes_Odoo'!K2415="","",'Ordenes_Odoo'!K2415)</f>
        <v/>
      </c>
      <c r="L2415" s="81">
        <f>IF('Ordenes_Odoo'!L2415="","",'Ordenes_Odoo'!L2415)</f>
        <v/>
      </c>
      <c r="M2415" s="79">
        <f>IF('Ordenes_Odoo'!M2415="","",'Ordenes_Odoo'!M2415)</f>
        <v/>
      </c>
      <c r="N2415" s="79">
        <f>IF('Ordenes_Odoo'!N2415="","",'Ordenes_Odoo'!N2415)</f>
        <v/>
      </c>
      <c r="O2415" s="81">
        <f>IF('Ordenes_Odoo'!O2415="","",'Ordenes_Odoo'!O2415)</f>
        <v/>
      </c>
      <c r="P2415" s="81">
        <f>IF('Ordenes_Odoo'!P2415="","",'Ordenes_Odoo'!P2415)</f>
        <v/>
      </c>
      <c r="Q2415" s="79">
        <f>IF(A2415="","",IFERROR(INDEX(Facturas_Odoo!$B:$B, MATCH(A2415, Facturas_Odoo!$D:$D, 0)), "Sin Factura"))</f>
        <v/>
      </c>
      <c r="R2415" s="80">
        <f>IF(Q2415="Sin Factura","",IFERROR(INDEX(Facturas_Odoo!$A:$A, MATCH(Q2415, Facturas_Odoo!$B:$B, 0)), ""))</f>
        <v/>
      </c>
      <c r="S2415" s="79">
        <f>IF(Q2415="Sin Factura","",IFERROR(_xlfn.XLOOKUP(1, (Facturas_Odoo!$D:$D=A2415) * (Facturas_Odoo!$K:$K=I2415), Facturas_Odoo!$L:$L, ""), ""))</f>
        <v/>
      </c>
      <c r="T2415" s="81">
        <f>IF(Q2415="Sin Factura",0,IFERROR(_xlfn.XLOOKUP(1, (Facturas_Odoo!$D:$D=A2415) * (Facturas_Odoo!$K:$K=I2415), Facturas_Odoo!$M:$M, 0), 0))</f>
        <v/>
      </c>
      <c r="U2415" s="79">
        <f>IF(Q2415="Sin Factura",0,IFERROR(_xlfn.XLOOKUP(1, (Facturas_Odoo!$D:$D=A2415) * (Facturas_Odoo!$K:$K=I2415), Facturas_Odoo!$N:$N, 0), 0))</f>
        <v/>
      </c>
      <c r="V2415" s="79">
        <f>IF(Q2415="Sin Factura",0,IFERROR(_xlfn.XLOOKUP(1, (Facturas_Odoo!$D:$D=A2415) * (Facturas_Odoo!$K:$K=I2415), Facturas_Odoo!$O:$O, 0), 0))</f>
        <v/>
      </c>
      <c r="W2415" s="81">
        <f>IF(Q2415="Sin Factura",0,IFERROR(_xlfn.XLOOKUP(1, (Facturas_Odoo!$D:$D=A2415) * (Facturas_Odoo!$K:$K=I2415), Facturas_Odoo!$Q:$Q, 0), 0))</f>
        <v/>
      </c>
      <c r="X2415" s="79">
        <f>IF(OR(Q2415="Sin Factura",Q2415=""),"",IFERROR(INDEX(Pagos_Odoo!$B:$B, MATCH(Q2415, Pagos_Odoo!$I:$I, 0)), "Sin Pago"))</f>
        <v/>
      </c>
      <c r="Y2415" s="79">
        <f>IF(X2415="Sin Pago","",IFERROR(INDEX(Pagos_Odoo!$C:$C, MATCH(X2415, Pagos_Odoo!$B:$B, 0)), ""))</f>
        <v/>
      </c>
      <c r="Z2415" s="80">
        <f>IF(X2415="Sin Pago","",IFERROR(INDEX(Pagos_Odoo!$A:$A, MATCH(X2415, Pagos_Odoo!$B:$B, 0)), ""))</f>
        <v/>
      </c>
      <c r="AA2415" s="79">
        <f>IF(X2415="Sin Pago","",IFERROR(INDEX(Pagos_Odoo!$F:$F, MATCH(X2415, Pagos_Odoo!$B:$B, 0)), ""))</f>
        <v/>
      </c>
      <c r="AB2415" s="81">
        <f>IF(X2415="Sin Pago",0,IFERROR(INDEX(Pagos_Odoo!$E:$E, MATCH(X2415, Pagos_Odoo!$B:$B, 0)), 0))</f>
        <v/>
      </c>
      <c r="AC2415" s="79">
        <f>IF(X2415="Sin Pago","",IFERROR(INDEX(Pagos_Odoo!$G:$G, MATCH(X2415, Pagos_Odoo!$B:$B, 0)), ""))</f>
        <v/>
      </c>
      <c r="AD2415" s="82" t="n">
        <v>0</v>
      </c>
      <c r="AE2415" s="82" t="n"/>
      <c r="AF2415" s="82" t="n"/>
      <c r="AG2415" s="82">
        <f>IF(AN2415="","",AD2415+AE2415+AF2415)</f>
        <v/>
      </c>
      <c r="AH2415" s="81">
        <f>IF(AN2415="","",P2415*(1-AG2415))</f>
        <v/>
      </c>
      <c r="AI2415" s="81">
        <f>IF(AN2415="","",IF(Q2415="Sin Factura",0,IFERROR(INDEX(Facturas_Odoo!$H:$H, MATCH(Q2415, Facturas_Odoo!$B:$B, 0)), 0)*(1-AG2415)))</f>
        <v/>
      </c>
      <c r="AJ2415" s="81">
        <f>IF(AN2415="","",_xlfn.LET(idVenta, AN2415&amp;"",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15" s="81">
        <f>IF(AN2415="","",AH2415-AJ2415)</f>
        <v/>
      </c>
      <c r="AL2415" s="81">
        <f>IF(AN2415="","",IF(Q2415="Sin Factura","",AI2415-AJ2415))</f>
        <v/>
      </c>
      <c r="AM2415" s="81">
        <f>IF(AN2415="","",IF(Q2415="Sin Factura",0,P2415-IFERROR(INDEX(Facturas_Odoo!$H:$H, MATCH(Q2415, Facturas_Odoo!$B:$B, 0)), 0)))</f>
        <v/>
      </c>
      <c r="AN2415" s="79">
        <f>IF(AND(A2415="", J2415=""), "", IF(A2415&lt;&gt;"", VALUE(MID(A2415,2,LEN(A2415))), AN2414))</f>
        <v/>
      </c>
      <c r="AO2415" s="79">
        <f>IF(AN2415="","",IF(AD2415=0,"OK",_xlfn.LET(monedaPago, IF(AA2415="","USD",AA2415), limitePermitido, IFERROR(VLOOKUP(monedaPago, Configuración!$A$2:$B$3, 2, FALSE), 0.15), IF(AD2415&gt;limitePermitido, "ALERTA: EXCESO (" &amp; TEXT(limitePermitido, "0%") &amp; " máx)", "OK"))))</f>
        <v/>
      </c>
      <c r="AP2415" s="79">
        <f>IF(AN2415="","",IF(AE2415=0,"OK",_xlfn.LET(fechaPago, Z2415, fechaFactura, R2415, diasCredito, IF(E2415="Pago inmediato", 0, IFERROR(VALUE(MID(E2415, 1, SEARCH(" ", E2415)-1)),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15" s="79">
        <f>IF(AN2415="","",IF(AND(N2415&gt;0, AG2415&gt;0), IF(Configuración!$K$2="NO", "ALERTA: DESCUENTO DOBLE NO PERMITIDO", "OK"), "OK"))</f>
        <v/>
      </c>
      <c r="AR2415" s="79">
        <f>IF(AN2415="","",IF(OR(AO2415&lt;&gt;"OK", AP2415&lt;&gt;"OK", AQ2415&lt;&gt;"OK"), "⚠️ REVISAR", "OK"))</f>
        <v/>
      </c>
    </row>
    <row r="2416">
      <c r="A2416" s="79">
        <f>IF('Ordenes_Odoo'!A2416="","",'Ordenes_Odoo'!A2416)</f>
        <v/>
      </c>
      <c r="B2416" s="80">
        <f>IF('Ordenes_Odoo'!B2416="","",'Ordenes_Odoo'!B2416)</f>
        <v/>
      </c>
      <c r="C2416" s="79">
        <f>IF('Ordenes_Odoo'!C2416="","",'Ordenes_Odoo'!C2416)</f>
        <v/>
      </c>
      <c r="D2416" s="79">
        <f>IF('Ordenes_Odoo'!D2416="","",'Ordenes_Odoo'!D2416)</f>
        <v/>
      </c>
      <c r="E2416" s="79">
        <f>IF('Ordenes_Odoo'!E2416="","",'Ordenes_Odoo'!E2416)</f>
        <v/>
      </c>
      <c r="F2416" s="79">
        <f>IF('Ordenes_Odoo'!F2416="","",'Ordenes_Odoo'!F2416)</f>
        <v/>
      </c>
      <c r="G2416" s="79">
        <f>IF('Ordenes_Odoo'!G2416="","",'Ordenes_Odoo'!G2416)</f>
        <v/>
      </c>
      <c r="H2416" s="79">
        <f>IF('Ordenes_Odoo'!H2416="","",'Ordenes_Odoo'!H2416)</f>
        <v/>
      </c>
      <c r="I2416" s="79">
        <f>IF('Ordenes_Odoo'!I2416="","",'Ordenes_Odoo'!I2416)</f>
        <v/>
      </c>
      <c r="J2416" s="79">
        <f>IF('Ordenes_Odoo'!J2416="","",'Ordenes_Odoo'!J2416)</f>
        <v/>
      </c>
      <c r="K2416" s="81">
        <f>IF('Ordenes_Odoo'!K2416="","",'Ordenes_Odoo'!K2416)</f>
        <v/>
      </c>
      <c r="L2416" s="81">
        <f>IF('Ordenes_Odoo'!L2416="","",'Ordenes_Odoo'!L2416)</f>
        <v/>
      </c>
      <c r="M2416" s="79">
        <f>IF('Ordenes_Odoo'!M2416="","",'Ordenes_Odoo'!M2416)</f>
        <v/>
      </c>
      <c r="N2416" s="79">
        <f>IF('Ordenes_Odoo'!N2416="","",'Ordenes_Odoo'!N2416)</f>
        <v/>
      </c>
      <c r="O2416" s="81">
        <f>IF('Ordenes_Odoo'!O2416="","",'Ordenes_Odoo'!O2416)</f>
        <v/>
      </c>
      <c r="P2416" s="81">
        <f>IF('Ordenes_Odoo'!P2416="","",'Ordenes_Odoo'!P2416)</f>
        <v/>
      </c>
      <c r="Q2416" s="79">
        <f>IF(A2416="","",IFERROR(INDEX(Facturas_Odoo!$B:$B, MATCH(A2416, Facturas_Odoo!$D:$D, 0)), "Sin Factura"))</f>
        <v/>
      </c>
      <c r="R2416" s="80">
        <f>IF(Q2416="Sin Factura","",IFERROR(INDEX(Facturas_Odoo!$A:$A, MATCH(Q2416, Facturas_Odoo!$B:$B, 0)), ""))</f>
        <v/>
      </c>
      <c r="S2416" s="79">
        <f>IF(Q2416="Sin Factura","",IFERROR(_xlfn.XLOOKUP(1, (Facturas_Odoo!$D:$D=A2416) * (Facturas_Odoo!$K:$K=I2416), Facturas_Odoo!$L:$L, ""), ""))</f>
        <v/>
      </c>
      <c r="T2416" s="81">
        <f>IF(Q2416="Sin Factura",0,IFERROR(_xlfn.XLOOKUP(1, (Facturas_Odoo!$D:$D=A2416) * (Facturas_Odoo!$K:$K=I2416), Facturas_Odoo!$M:$M, 0), 0))</f>
        <v/>
      </c>
      <c r="U2416" s="79">
        <f>IF(Q2416="Sin Factura",0,IFERROR(_xlfn.XLOOKUP(1, (Facturas_Odoo!$D:$D=A2416) * (Facturas_Odoo!$K:$K=I2416), Facturas_Odoo!$N:$N, 0), 0))</f>
        <v/>
      </c>
      <c r="V2416" s="79">
        <f>IF(Q2416="Sin Factura",0,IFERROR(_xlfn.XLOOKUP(1, (Facturas_Odoo!$D:$D=A2416) * (Facturas_Odoo!$K:$K=I2416), Facturas_Odoo!$O:$O, 0), 0))</f>
        <v/>
      </c>
      <c r="W2416" s="81">
        <f>IF(Q2416="Sin Factura",0,IFERROR(_xlfn.XLOOKUP(1, (Facturas_Odoo!$D:$D=A2416) * (Facturas_Odoo!$K:$K=I2416), Facturas_Odoo!$Q:$Q, 0), 0))</f>
        <v/>
      </c>
      <c r="X2416" s="79">
        <f>IF(OR(Q2416="Sin Factura",Q2416=""),"",IFERROR(INDEX(Pagos_Odoo!$B:$B, MATCH(Q2416, Pagos_Odoo!$I:$I, 0)), "Sin Pago"))</f>
        <v/>
      </c>
      <c r="Y2416" s="79">
        <f>IF(X2416="Sin Pago","",IFERROR(INDEX(Pagos_Odoo!$C:$C, MATCH(X2416, Pagos_Odoo!$B:$B, 0)), ""))</f>
        <v/>
      </c>
      <c r="Z2416" s="80">
        <f>IF(X2416="Sin Pago","",IFERROR(INDEX(Pagos_Odoo!$A:$A, MATCH(X2416, Pagos_Odoo!$B:$B, 0)), ""))</f>
        <v/>
      </c>
      <c r="AA2416" s="79">
        <f>IF(X2416="Sin Pago","",IFERROR(INDEX(Pagos_Odoo!$F:$F, MATCH(X2416, Pagos_Odoo!$B:$B, 0)), ""))</f>
        <v/>
      </c>
      <c r="AB2416" s="81">
        <f>IF(X2416="Sin Pago",0,IFERROR(INDEX(Pagos_Odoo!$E:$E, MATCH(X2416, Pagos_Odoo!$B:$B, 0)), 0))</f>
        <v/>
      </c>
      <c r="AC2416" s="79">
        <f>IF(X2416="Sin Pago","",IFERROR(INDEX(Pagos_Odoo!$G:$G, MATCH(X2416, Pagos_Odoo!$B:$B, 0)), ""))</f>
        <v/>
      </c>
      <c r="AD2416" s="82" t="n">
        <v>0</v>
      </c>
      <c r="AE2416" s="82" t="n"/>
      <c r="AF2416" s="82" t="n"/>
      <c r="AG2416" s="82">
        <f>IF(AN2416="","",AD2416+AE2416+AF2416)</f>
        <v/>
      </c>
      <c r="AH2416" s="81">
        <f>IF(AN2416="","",P2416*(1-AG2416))</f>
        <v/>
      </c>
      <c r="AI2416" s="81">
        <f>IF(AN2416="","",IF(Q2416="Sin Factura",0,IFERROR(INDEX(Facturas_Odoo!$H:$H, MATCH(Q2416, Facturas_Odoo!$B:$B, 0)), 0)*(1-AG2416)))</f>
        <v/>
      </c>
      <c r="AJ2416" s="81">
        <f>IF(AN2416="","",_xlfn.LET(idVenta, AN2416&amp;"",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16" s="81">
        <f>IF(AN2416="","",AH2416-AJ2416)</f>
        <v/>
      </c>
      <c r="AL2416" s="81">
        <f>IF(AN2416="","",IF(Q2416="Sin Factura","",AI2416-AJ2416))</f>
        <v/>
      </c>
      <c r="AM2416" s="81">
        <f>IF(AN2416="","",IF(Q2416="Sin Factura",0,P2416-IFERROR(INDEX(Facturas_Odoo!$H:$H, MATCH(Q2416, Facturas_Odoo!$B:$B, 0)), 0)))</f>
        <v/>
      </c>
      <c r="AN2416" s="79">
        <f>IF(AND(A2416="", J2416=""), "", IF(A2416&lt;&gt;"", VALUE(MID(A2416,2,LEN(A2416))), AN2415))</f>
        <v/>
      </c>
      <c r="AO2416" s="79">
        <f>IF(AN2416="","",IF(AD2416=0,"OK",_xlfn.LET(monedaPago, IF(AA2416="","USD",AA2416), limitePermitido, IFERROR(VLOOKUP(monedaPago, Configuración!$A$2:$B$3, 2, FALSE), 0.15), IF(AD2416&gt;limitePermitido, "ALERTA: EXCESO (" &amp; TEXT(limitePermitido, "0%") &amp; " máx)", "OK"))))</f>
        <v/>
      </c>
      <c r="AP2416" s="79">
        <f>IF(AN2416="","",IF(AE2416=0,"OK",_xlfn.LET(fechaPago, Z2416, fechaFactura, R2416, diasCredito, IF(E2416="Pago inmediato", 0, IFERROR(VALUE(MID(E2416, 1, SEARCH(" ", E2416)-1)),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16" s="79">
        <f>IF(AN2416="","",IF(AND(N2416&gt;0, AG2416&gt;0), IF(Configuración!$K$2="NO", "ALERTA: DESCUENTO DOBLE NO PERMITIDO", "OK"), "OK"))</f>
        <v/>
      </c>
      <c r="AR2416" s="79">
        <f>IF(AN2416="","",IF(OR(AO2416&lt;&gt;"OK", AP2416&lt;&gt;"OK", AQ2416&lt;&gt;"OK"), "⚠️ REVISAR", "OK"))</f>
        <v/>
      </c>
    </row>
    <row r="2417">
      <c r="A2417" s="79">
        <f>IF('Ordenes_Odoo'!A2417="","",'Ordenes_Odoo'!A2417)</f>
        <v/>
      </c>
      <c r="B2417" s="80">
        <f>IF('Ordenes_Odoo'!B2417="","",'Ordenes_Odoo'!B2417)</f>
        <v/>
      </c>
      <c r="C2417" s="79">
        <f>IF('Ordenes_Odoo'!C2417="","",'Ordenes_Odoo'!C2417)</f>
        <v/>
      </c>
      <c r="D2417" s="79">
        <f>IF('Ordenes_Odoo'!D2417="","",'Ordenes_Odoo'!D2417)</f>
        <v/>
      </c>
      <c r="E2417" s="79">
        <f>IF('Ordenes_Odoo'!E2417="","",'Ordenes_Odoo'!E2417)</f>
        <v/>
      </c>
      <c r="F2417" s="79">
        <f>IF('Ordenes_Odoo'!F2417="","",'Ordenes_Odoo'!F2417)</f>
        <v/>
      </c>
      <c r="G2417" s="79">
        <f>IF('Ordenes_Odoo'!G2417="","",'Ordenes_Odoo'!G2417)</f>
        <v/>
      </c>
      <c r="H2417" s="79">
        <f>IF('Ordenes_Odoo'!H2417="","",'Ordenes_Odoo'!H2417)</f>
        <v/>
      </c>
      <c r="I2417" s="79">
        <f>IF('Ordenes_Odoo'!I2417="","",'Ordenes_Odoo'!I2417)</f>
        <v/>
      </c>
      <c r="J2417" s="79">
        <f>IF('Ordenes_Odoo'!J2417="","",'Ordenes_Odoo'!J2417)</f>
        <v/>
      </c>
      <c r="K2417" s="81">
        <f>IF('Ordenes_Odoo'!K2417="","",'Ordenes_Odoo'!K2417)</f>
        <v/>
      </c>
      <c r="L2417" s="81">
        <f>IF('Ordenes_Odoo'!L2417="","",'Ordenes_Odoo'!L2417)</f>
        <v/>
      </c>
      <c r="M2417" s="79">
        <f>IF('Ordenes_Odoo'!M2417="","",'Ordenes_Odoo'!M2417)</f>
        <v/>
      </c>
      <c r="N2417" s="79">
        <f>IF('Ordenes_Odoo'!N2417="","",'Ordenes_Odoo'!N2417)</f>
        <v/>
      </c>
      <c r="O2417" s="81">
        <f>IF('Ordenes_Odoo'!O2417="","",'Ordenes_Odoo'!O2417)</f>
        <v/>
      </c>
      <c r="P2417" s="81">
        <f>IF('Ordenes_Odoo'!P2417="","",'Ordenes_Odoo'!P2417)</f>
        <v/>
      </c>
      <c r="Q2417" s="79">
        <f>IF(A2417="","",IFERROR(INDEX(Facturas_Odoo!$B:$B, MATCH(A2417, Facturas_Odoo!$D:$D, 0)), "Sin Factura"))</f>
        <v/>
      </c>
      <c r="R2417" s="80">
        <f>IF(Q2417="Sin Factura","",IFERROR(INDEX(Facturas_Odoo!$A:$A, MATCH(Q2417, Facturas_Odoo!$B:$B, 0)), ""))</f>
        <v/>
      </c>
      <c r="S2417" s="79">
        <f>IF(Q2417="Sin Factura","",IFERROR(_xlfn.XLOOKUP(1, (Facturas_Odoo!$D:$D=A2417) * (Facturas_Odoo!$K:$K=I2417), Facturas_Odoo!$L:$L, ""), ""))</f>
        <v/>
      </c>
      <c r="T2417" s="81">
        <f>IF(Q2417="Sin Factura",0,IFERROR(_xlfn.XLOOKUP(1, (Facturas_Odoo!$D:$D=A2417) * (Facturas_Odoo!$K:$K=I2417), Facturas_Odoo!$M:$M, 0), 0))</f>
        <v/>
      </c>
      <c r="U2417" s="79">
        <f>IF(Q2417="Sin Factura",0,IFERROR(_xlfn.XLOOKUP(1, (Facturas_Odoo!$D:$D=A2417) * (Facturas_Odoo!$K:$K=I2417), Facturas_Odoo!$N:$N, 0), 0))</f>
        <v/>
      </c>
      <c r="V2417" s="79">
        <f>IF(Q2417="Sin Factura",0,IFERROR(_xlfn.XLOOKUP(1, (Facturas_Odoo!$D:$D=A2417) * (Facturas_Odoo!$K:$K=I2417), Facturas_Odoo!$O:$O, 0), 0))</f>
        <v/>
      </c>
      <c r="W2417" s="81">
        <f>IF(Q2417="Sin Factura",0,IFERROR(_xlfn.XLOOKUP(1, (Facturas_Odoo!$D:$D=A2417) * (Facturas_Odoo!$K:$K=I2417), Facturas_Odoo!$Q:$Q, 0), 0))</f>
        <v/>
      </c>
      <c r="X2417" s="79">
        <f>IF(OR(Q2417="Sin Factura",Q2417=""),"",IFERROR(INDEX(Pagos_Odoo!$B:$B, MATCH(Q2417, Pagos_Odoo!$I:$I, 0)), "Sin Pago"))</f>
        <v/>
      </c>
      <c r="Y2417" s="79">
        <f>IF(X2417="Sin Pago","",IFERROR(INDEX(Pagos_Odoo!$C:$C, MATCH(X2417, Pagos_Odoo!$B:$B, 0)), ""))</f>
        <v/>
      </c>
      <c r="Z2417" s="80">
        <f>IF(X2417="Sin Pago","",IFERROR(INDEX(Pagos_Odoo!$A:$A, MATCH(X2417, Pagos_Odoo!$B:$B, 0)), ""))</f>
        <v/>
      </c>
      <c r="AA2417" s="79">
        <f>IF(X2417="Sin Pago","",IFERROR(INDEX(Pagos_Odoo!$F:$F, MATCH(X2417, Pagos_Odoo!$B:$B, 0)), ""))</f>
        <v/>
      </c>
      <c r="AB2417" s="81">
        <f>IF(X2417="Sin Pago",0,IFERROR(INDEX(Pagos_Odoo!$E:$E, MATCH(X2417, Pagos_Odoo!$B:$B, 0)), 0))</f>
        <v/>
      </c>
      <c r="AC2417" s="79">
        <f>IF(X2417="Sin Pago","",IFERROR(INDEX(Pagos_Odoo!$G:$G, MATCH(X2417, Pagos_Odoo!$B:$B, 0)), ""))</f>
        <v/>
      </c>
      <c r="AD2417" s="82" t="n">
        <v>0</v>
      </c>
      <c r="AE2417" s="82" t="n"/>
      <c r="AF2417" s="82" t="n"/>
      <c r="AG2417" s="82">
        <f>IF(AN2417="","",AD2417+AE2417+AF2417)</f>
        <v/>
      </c>
      <c r="AH2417" s="81">
        <f>IF(AN2417="","",P2417*(1-AG2417))</f>
        <v/>
      </c>
      <c r="AI2417" s="81">
        <f>IF(AN2417="","",IF(Q2417="Sin Factura",0,IFERROR(INDEX(Facturas_Odoo!$H:$H, MATCH(Q2417, Facturas_Odoo!$B:$B, 0)), 0)*(1-AG2417)))</f>
        <v/>
      </c>
      <c r="AJ2417" s="81">
        <f>IF(AN2417="","",_xlfn.LET(idVenta, AN2417&amp;"",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17" s="81">
        <f>IF(AN2417="","",AH2417-AJ2417)</f>
        <v/>
      </c>
      <c r="AL2417" s="81">
        <f>IF(AN2417="","",IF(Q2417="Sin Factura","",AI2417-AJ2417))</f>
        <v/>
      </c>
      <c r="AM2417" s="81">
        <f>IF(AN2417="","",IF(Q2417="Sin Factura",0,P2417-IFERROR(INDEX(Facturas_Odoo!$H:$H, MATCH(Q2417, Facturas_Odoo!$B:$B, 0)), 0)))</f>
        <v/>
      </c>
      <c r="AN2417" s="79">
        <f>IF(AND(A2417="", J2417=""), "", IF(A2417&lt;&gt;"", VALUE(MID(A2417,2,LEN(A2417))), AN2416))</f>
        <v/>
      </c>
      <c r="AO2417" s="79">
        <f>IF(AN2417="","",IF(AD2417=0,"OK",_xlfn.LET(monedaPago, IF(AA2417="","USD",AA2417), limitePermitido, IFERROR(VLOOKUP(monedaPago, Configuración!$A$2:$B$3, 2, FALSE), 0.15), IF(AD2417&gt;limitePermitido, "ALERTA: EXCESO (" &amp; TEXT(limitePermitido, "0%") &amp; " máx)", "OK"))))</f>
        <v/>
      </c>
      <c r="AP2417" s="79">
        <f>IF(AN2417="","",IF(AE2417=0,"OK",_xlfn.LET(fechaPago, Z2417, fechaFactura, R2417, diasCredito, IF(E2417="Pago inmediato", 0, IFERROR(VALUE(MID(E2417, 1, SEARCH(" ", E2417)-1)),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17" s="79">
        <f>IF(AN2417="","",IF(AND(N2417&gt;0, AG2417&gt;0), IF(Configuración!$K$2="NO", "ALERTA: DESCUENTO DOBLE NO PERMITIDO", "OK"), "OK"))</f>
        <v/>
      </c>
      <c r="AR2417" s="79">
        <f>IF(AN2417="","",IF(OR(AO2417&lt;&gt;"OK", AP2417&lt;&gt;"OK", AQ2417&lt;&gt;"OK"), "⚠️ REVISAR", "OK"))</f>
        <v/>
      </c>
    </row>
    <row r="2418">
      <c r="A2418" s="79">
        <f>IF('Ordenes_Odoo'!A2418="","",'Ordenes_Odoo'!A2418)</f>
        <v/>
      </c>
      <c r="B2418" s="80">
        <f>IF('Ordenes_Odoo'!B2418="","",'Ordenes_Odoo'!B2418)</f>
        <v/>
      </c>
      <c r="C2418" s="79">
        <f>IF('Ordenes_Odoo'!C2418="","",'Ordenes_Odoo'!C2418)</f>
        <v/>
      </c>
      <c r="D2418" s="79">
        <f>IF('Ordenes_Odoo'!D2418="","",'Ordenes_Odoo'!D2418)</f>
        <v/>
      </c>
      <c r="E2418" s="79">
        <f>IF('Ordenes_Odoo'!E2418="","",'Ordenes_Odoo'!E2418)</f>
        <v/>
      </c>
      <c r="F2418" s="79">
        <f>IF('Ordenes_Odoo'!F2418="","",'Ordenes_Odoo'!F2418)</f>
        <v/>
      </c>
      <c r="G2418" s="79">
        <f>IF('Ordenes_Odoo'!G2418="","",'Ordenes_Odoo'!G2418)</f>
        <v/>
      </c>
      <c r="H2418" s="79">
        <f>IF('Ordenes_Odoo'!H2418="","",'Ordenes_Odoo'!H2418)</f>
        <v/>
      </c>
      <c r="I2418" s="79">
        <f>IF('Ordenes_Odoo'!I2418="","",'Ordenes_Odoo'!I2418)</f>
        <v/>
      </c>
      <c r="J2418" s="79">
        <f>IF('Ordenes_Odoo'!J2418="","",'Ordenes_Odoo'!J2418)</f>
        <v/>
      </c>
      <c r="K2418" s="81">
        <f>IF('Ordenes_Odoo'!K2418="","",'Ordenes_Odoo'!K2418)</f>
        <v/>
      </c>
      <c r="L2418" s="81">
        <f>IF('Ordenes_Odoo'!L2418="","",'Ordenes_Odoo'!L2418)</f>
        <v/>
      </c>
      <c r="M2418" s="79">
        <f>IF('Ordenes_Odoo'!M2418="","",'Ordenes_Odoo'!M2418)</f>
        <v/>
      </c>
      <c r="N2418" s="79">
        <f>IF('Ordenes_Odoo'!N2418="","",'Ordenes_Odoo'!N2418)</f>
        <v/>
      </c>
      <c r="O2418" s="81">
        <f>IF('Ordenes_Odoo'!O2418="","",'Ordenes_Odoo'!O2418)</f>
        <v/>
      </c>
      <c r="P2418" s="81">
        <f>IF('Ordenes_Odoo'!P2418="","",'Ordenes_Odoo'!P2418)</f>
        <v/>
      </c>
      <c r="Q2418" s="79">
        <f>IF(A2418="","",IFERROR(INDEX(Facturas_Odoo!$B:$B, MATCH(A2418, Facturas_Odoo!$D:$D, 0)), "Sin Factura"))</f>
        <v/>
      </c>
      <c r="R2418" s="80">
        <f>IF(Q2418="Sin Factura","",IFERROR(INDEX(Facturas_Odoo!$A:$A, MATCH(Q2418, Facturas_Odoo!$B:$B, 0)), ""))</f>
        <v/>
      </c>
      <c r="S2418" s="79">
        <f>IF(Q2418="Sin Factura","",IFERROR(_xlfn.XLOOKUP(1, (Facturas_Odoo!$D:$D=A2418) * (Facturas_Odoo!$K:$K=I2418), Facturas_Odoo!$L:$L, ""), ""))</f>
        <v/>
      </c>
      <c r="T2418" s="81">
        <f>IF(Q2418="Sin Factura",0,IFERROR(_xlfn.XLOOKUP(1, (Facturas_Odoo!$D:$D=A2418) * (Facturas_Odoo!$K:$K=I2418), Facturas_Odoo!$M:$M, 0), 0))</f>
        <v/>
      </c>
      <c r="U2418" s="79">
        <f>IF(Q2418="Sin Factura",0,IFERROR(_xlfn.XLOOKUP(1, (Facturas_Odoo!$D:$D=A2418) * (Facturas_Odoo!$K:$K=I2418), Facturas_Odoo!$N:$N, 0), 0))</f>
        <v/>
      </c>
      <c r="V2418" s="79">
        <f>IF(Q2418="Sin Factura",0,IFERROR(_xlfn.XLOOKUP(1, (Facturas_Odoo!$D:$D=A2418) * (Facturas_Odoo!$K:$K=I2418), Facturas_Odoo!$O:$O, 0), 0))</f>
        <v/>
      </c>
      <c r="W2418" s="81">
        <f>IF(Q2418="Sin Factura",0,IFERROR(_xlfn.XLOOKUP(1, (Facturas_Odoo!$D:$D=A2418) * (Facturas_Odoo!$K:$K=I2418), Facturas_Odoo!$Q:$Q, 0), 0))</f>
        <v/>
      </c>
      <c r="X2418" s="79">
        <f>IF(OR(Q2418="Sin Factura",Q2418=""),"",IFERROR(INDEX(Pagos_Odoo!$B:$B, MATCH(Q2418, Pagos_Odoo!$I:$I, 0)), "Sin Pago"))</f>
        <v/>
      </c>
      <c r="Y2418" s="79">
        <f>IF(X2418="Sin Pago","",IFERROR(INDEX(Pagos_Odoo!$C:$C, MATCH(X2418, Pagos_Odoo!$B:$B, 0)), ""))</f>
        <v/>
      </c>
      <c r="Z2418" s="80">
        <f>IF(X2418="Sin Pago","",IFERROR(INDEX(Pagos_Odoo!$A:$A, MATCH(X2418, Pagos_Odoo!$B:$B, 0)), ""))</f>
        <v/>
      </c>
      <c r="AA2418" s="79">
        <f>IF(X2418="Sin Pago","",IFERROR(INDEX(Pagos_Odoo!$F:$F, MATCH(X2418, Pagos_Odoo!$B:$B, 0)), ""))</f>
        <v/>
      </c>
      <c r="AB2418" s="81">
        <f>IF(X2418="Sin Pago",0,IFERROR(INDEX(Pagos_Odoo!$E:$E, MATCH(X2418, Pagos_Odoo!$B:$B, 0)), 0))</f>
        <v/>
      </c>
      <c r="AC2418" s="79">
        <f>IF(X2418="Sin Pago","",IFERROR(INDEX(Pagos_Odoo!$G:$G, MATCH(X2418, Pagos_Odoo!$B:$B, 0)), ""))</f>
        <v/>
      </c>
      <c r="AD2418" s="82" t="n">
        <v>0</v>
      </c>
      <c r="AE2418" s="82" t="n"/>
      <c r="AF2418" s="82" t="n"/>
      <c r="AG2418" s="82">
        <f>IF(AN2418="","",AD2418+AE2418+AF2418)</f>
        <v/>
      </c>
      <c r="AH2418" s="81">
        <f>IF(AN2418="","",P2418*(1-AG2418))</f>
        <v/>
      </c>
      <c r="AI2418" s="81">
        <f>IF(AN2418="","",IF(Q2418="Sin Factura",0,IFERROR(INDEX(Facturas_Odoo!$H:$H, MATCH(Q2418, Facturas_Odoo!$B:$B, 0)), 0)*(1-AG2418)))</f>
        <v/>
      </c>
      <c r="AJ2418" s="81">
        <f>IF(AN2418="","",_xlfn.LET(idVenta, AN2418&amp;"",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18" s="81">
        <f>IF(AN2418="","",AH2418-AJ2418)</f>
        <v/>
      </c>
      <c r="AL2418" s="81">
        <f>IF(AN2418="","",IF(Q2418="Sin Factura","",AI2418-AJ2418))</f>
        <v/>
      </c>
      <c r="AM2418" s="81">
        <f>IF(AN2418="","",IF(Q2418="Sin Factura",0,P2418-IFERROR(INDEX(Facturas_Odoo!$H:$H, MATCH(Q2418, Facturas_Odoo!$B:$B, 0)), 0)))</f>
        <v/>
      </c>
      <c r="AN2418" s="79">
        <f>IF(AND(A2418="", J2418=""), "", IF(A2418&lt;&gt;"", VALUE(MID(A2418,2,LEN(A2418))), AN2417))</f>
        <v/>
      </c>
      <c r="AO2418" s="79">
        <f>IF(AN2418="","",IF(AD2418=0,"OK",_xlfn.LET(monedaPago, IF(AA2418="","USD",AA2418), limitePermitido, IFERROR(VLOOKUP(monedaPago, Configuración!$A$2:$B$3, 2, FALSE), 0.15), IF(AD2418&gt;limitePermitido, "ALERTA: EXCESO (" &amp; TEXT(limitePermitido, "0%") &amp; " máx)", "OK"))))</f>
        <v/>
      </c>
      <c r="AP2418" s="79">
        <f>IF(AN2418="","",IF(AE2418=0,"OK",_xlfn.LET(fechaPago, Z2418, fechaFactura, R2418, diasCredito, IF(E2418="Pago inmediato", 0, IFERROR(VALUE(MID(E2418, 1, SEARCH(" ", E2418)-1)),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18" s="79">
        <f>IF(AN2418="","",IF(AND(N2418&gt;0, AG2418&gt;0), IF(Configuración!$K$2="NO", "ALERTA: DESCUENTO DOBLE NO PERMITIDO", "OK"), "OK"))</f>
        <v/>
      </c>
      <c r="AR2418" s="79">
        <f>IF(AN2418="","",IF(OR(AO2418&lt;&gt;"OK", AP2418&lt;&gt;"OK", AQ2418&lt;&gt;"OK"), "⚠️ REVISAR", "OK"))</f>
        <v/>
      </c>
    </row>
    <row r="2419">
      <c r="A2419" s="79">
        <f>IF('Ordenes_Odoo'!A2419="","",'Ordenes_Odoo'!A2419)</f>
        <v/>
      </c>
      <c r="B2419" s="80">
        <f>IF('Ordenes_Odoo'!B2419="","",'Ordenes_Odoo'!B2419)</f>
        <v/>
      </c>
      <c r="C2419" s="79">
        <f>IF('Ordenes_Odoo'!C2419="","",'Ordenes_Odoo'!C2419)</f>
        <v/>
      </c>
      <c r="D2419" s="79">
        <f>IF('Ordenes_Odoo'!D2419="","",'Ordenes_Odoo'!D2419)</f>
        <v/>
      </c>
      <c r="E2419" s="79">
        <f>IF('Ordenes_Odoo'!E2419="","",'Ordenes_Odoo'!E2419)</f>
        <v/>
      </c>
      <c r="F2419" s="79">
        <f>IF('Ordenes_Odoo'!F2419="","",'Ordenes_Odoo'!F2419)</f>
        <v/>
      </c>
      <c r="G2419" s="79">
        <f>IF('Ordenes_Odoo'!G2419="","",'Ordenes_Odoo'!G2419)</f>
        <v/>
      </c>
      <c r="H2419" s="79">
        <f>IF('Ordenes_Odoo'!H2419="","",'Ordenes_Odoo'!H2419)</f>
        <v/>
      </c>
      <c r="I2419" s="79">
        <f>IF('Ordenes_Odoo'!I2419="","",'Ordenes_Odoo'!I2419)</f>
        <v/>
      </c>
      <c r="J2419" s="79">
        <f>IF('Ordenes_Odoo'!J2419="","",'Ordenes_Odoo'!J2419)</f>
        <v/>
      </c>
      <c r="K2419" s="81">
        <f>IF('Ordenes_Odoo'!K2419="","",'Ordenes_Odoo'!K2419)</f>
        <v/>
      </c>
      <c r="L2419" s="81">
        <f>IF('Ordenes_Odoo'!L2419="","",'Ordenes_Odoo'!L2419)</f>
        <v/>
      </c>
      <c r="M2419" s="79">
        <f>IF('Ordenes_Odoo'!M2419="","",'Ordenes_Odoo'!M2419)</f>
        <v/>
      </c>
      <c r="N2419" s="79">
        <f>IF('Ordenes_Odoo'!N2419="","",'Ordenes_Odoo'!N2419)</f>
        <v/>
      </c>
      <c r="O2419" s="81">
        <f>IF('Ordenes_Odoo'!O2419="","",'Ordenes_Odoo'!O2419)</f>
        <v/>
      </c>
      <c r="P2419" s="81">
        <f>IF('Ordenes_Odoo'!P2419="","",'Ordenes_Odoo'!P2419)</f>
        <v/>
      </c>
      <c r="Q2419" s="79">
        <f>IF(A2419="","",IFERROR(INDEX(Facturas_Odoo!$B:$B, MATCH(A2419, Facturas_Odoo!$D:$D, 0)), "Sin Factura"))</f>
        <v/>
      </c>
      <c r="R2419" s="80">
        <f>IF(Q2419="Sin Factura","",IFERROR(INDEX(Facturas_Odoo!$A:$A, MATCH(Q2419, Facturas_Odoo!$B:$B, 0)), ""))</f>
        <v/>
      </c>
      <c r="S2419" s="79">
        <f>IF(Q2419="Sin Factura","",IFERROR(_xlfn.XLOOKUP(1, (Facturas_Odoo!$D:$D=A2419) * (Facturas_Odoo!$K:$K=I2419), Facturas_Odoo!$L:$L, ""), ""))</f>
        <v/>
      </c>
      <c r="T2419" s="81">
        <f>IF(Q2419="Sin Factura",0,IFERROR(_xlfn.XLOOKUP(1, (Facturas_Odoo!$D:$D=A2419) * (Facturas_Odoo!$K:$K=I2419), Facturas_Odoo!$M:$M, 0), 0))</f>
        <v/>
      </c>
      <c r="U2419" s="79">
        <f>IF(Q2419="Sin Factura",0,IFERROR(_xlfn.XLOOKUP(1, (Facturas_Odoo!$D:$D=A2419) * (Facturas_Odoo!$K:$K=I2419), Facturas_Odoo!$N:$N, 0), 0))</f>
        <v/>
      </c>
      <c r="V2419" s="79">
        <f>IF(Q2419="Sin Factura",0,IFERROR(_xlfn.XLOOKUP(1, (Facturas_Odoo!$D:$D=A2419) * (Facturas_Odoo!$K:$K=I2419), Facturas_Odoo!$O:$O, 0), 0))</f>
        <v/>
      </c>
      <c r="W2419" s="81">
        <f>IF(Q2419="Sin Factura",0,IFERROR(_xlfn.XLOOKUP(1, (Facturas_Odoo!$D:$D=A2419) * (Facturas_Odoo!$K:$K=I2419), Facturas_Odoo!$Q:$Q, 0), 0))</f>
        <v/>
      </c>
      <c r="X2419" s="79">
        <f>IF(OR(Q2419="Sin Factura",Q2419=""),"",IFERROR(INDEX(Pagos_Odoo!$B:$B, MATCH(Q2419, Pagos_Odoo!$I:$I, 0)), "Sin Pago"))</f>
        <v/>
      </c>
      <c r="Y2419" s="79">
        <f>IF(X2419="Sin Pago","",IFERROR(INDEX(Pagos_Odoo!$C:$C, MATCH(X2419, Pagos_Odoo!$B:$B, 0)), ""))</f>
        <v/>
      </c>
      <c r="Z2419" s="80">
        <f>IF(X2419="Sin Pago","",IFERROR(INDEX(Pagos_Odoo!$A:$A, MATCH(X2419, Pagos_Odoo!$B:$B, 0)), ""))</f>
        <v/>
      </c>
      <c r="AA2419" s="79">
        <f>IF(X2419="Sin Pago","",IFERROR(INDEX(Pagos_Odoo!$F:$F, MATCH(X2419, Pagos_Odoo!$B:$B, 0)), ""))</f>
        <v/>
      </c>
      <c r="AB2419" s="81">
        <f>IF(X2419="Sin Pago",0,IFERROR(INDEX(Pagos_Odoo!$E:$E, MATCH(X2419, Pagos_Odoo!$B:$B, 0)), 0))</f>
        <v/>
      </c>
      <c r="AC2419" s="79">
        <f>IF(X2419="Sin Pago","",IFERROR(INDEX(Pagos_Odoo!$G:$G, MATCH(X2419, Pagos_Odoo!$B:$B, 0)), ""))</f>
        <v/>
      </c>
      <c r="AD2419" s="82" t="n">
        <v>0</v>
      </c>
      <c r="AE2419" s="82" t="n"/>
      <c r="AF2419" s="82" t="n"/>
      <c r="AG2419" s="82">
        <f>IF(AN2419="","",AD2419+AE2419+AF2419)</f>
        <v/>
      </c>
      <c r="AH2419" s="81">
        <f>IF(AN2419="","",P2419*(1-AG2419))</f>
        <v/>
      </c>
      <c r="AI2419" s="81">
        <f>IF(AN2419="","",IF(Q2419="Sin Factura",0,IFERROR(INDEX(Facturas_Odoo!$H:$H, MATCH(Q2419, Facturas_Odoo!$B:$B, 0)), 0)*(1-AG2419)))</f>
        <v/>
      </c>
      <c r="AJ2419" s="81">
        <f>IF(AN2419="","",_xlfn.LET(idVenta, AN2419&amp;"",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19" s="81">
        <f>IF(AN2419="","",AH2419-AJ2419)</f>
        <v/>
      </c>
      <c r="AL2419" s="81">
        <f>IF(AN2419="","",IF(Q2419="Sin Factura","",AI2419-AJ2419))</f>
        <v/>
      </c>
      <c r="AM2419" s="81">
        <f>IF(AN2419="","",IF(Q2419="Sin Factura",0,P2419-IFERROR(INDEX(Facturas_Odoo!$H:$H, MATCH(Q2419, Facturas_Odoo!$B:$B, 0)), 0)))</f>
        <v/>
      </c>
      <c r="AN2419" s="79">
        <f>IF(AND(A2419="", J2419=""), "", IF(A2419&lt;&gt;"", VALUE(MID(A2419,2,LEN(A2419))), AN2418))</f>
        <v/>
      </c>
      <c r="AO2419" s="79">
        <f>IF(AN2419="","",IF(AD2419=0,"OK",_xlfn.LET(monedaPago, IF(AA2419="","USD",AA2419), limitePermitido, IFERROR(VLOOKUP(monedaPago, Configuración!$A$2:$B$3, 2, FALSE), 0.15), IF(AD2419&gt;limitePermitido, "ALERTA: EXCESO (" &amp; TEXT(limitePermitido, "0%") &amp; " máx)", "OK"))))</f>
        <v/>
      </c>
      <c r="AP2419" s="79">
        <f>IF(AN2419="","",IF(AE2419=0,"OK",_xlfn.LET(fechaPago, Z2419, fechaFactura, R2419, diasCredito, IF(E2419="Pago inmediato", 0, IFERROR(VALUE(MID(E2419, 1, SEARCH(" ", E2419)-1)),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19" s="79">
        <f>IF(AN2419="","",IF(AND(N2419&gt;0, AG2419&gt;0), IF(Configuración!$K$2="NO", "ALERTA: DESCUENTO DOBLE NO PERMITIDO", "OK"), "OK"))</f>
        <v/>
      </c>
      <c r="AR2419" s="79">
        <f>IF(AN2419="","",IF(OR(AO2419&lt;&gt;"OK", AP2419&lt;&gt;"OK", AQ2419&lt;&gt;"OK"), "⚠️ REVISAR", "OK"))</f>
        <v/>
      </c>
    </row>
    <row r="2420">
      <c r="A2420" s="79">
        <f>IF('Ordenes_Odoo'!A2420="","",'Ordenes_Odoo'!A2420)</f>
        <v/>
      </c>
      <c r="B2420" s="80">
        <f>IF('Ordenes_Odoo'!B2420="","",'Ordenes_Odoo'!B2420)</f>
        <v/>
      </c>
      <c r="C2420" s="79">
        <f>IF('Ordenes_Odoo'!C2420="","",'Ordenes_Odoo'!C2420)</f>
        <v/>
      </c>
      <c r="D2420" s="79">
        <f>IF('Ordenes_Odoo'!D2420="","",'Ordenes_Odoo'!D2420)</f>
        <v/>
      </c>
      <c r="E2420" s="79">
        <f>IF('Ordenes_Odoo'!E2420="","",'Ordenes_Odoo'!E2420)</f>
        <v/>
      </c>
      <c r="F2420" s="79">
        <f>IF('Ordenes_Odoo'!F2420="","",'Ordenes_Odoo'!F2420)</f>
        <v/>
      </c>
      <c r="G2420" s="79">
        <f>IF('Ordenes_Odoo'!G2420="","",'Ordenes_Odoo'!G2420)</f>
        <v/>
      </c>
      <c r="H2420" s="79">
        <f>IF('Ordenes_Odoo'!H2420="","",'Ordenes_Odoo'!H2420)</f>
        <v/>
      </c>
      <c r="I2420" s="79">
        <f>IF('Ordenes_Odoo'!I2420="","",'Ordenes_Odoo'!I2420)</f>
        <v/>
      </c>
      <c r="J2420" s="79">
        <f>IF('Ordenes_Odoo'!J2420="","",'Ordenes_Odoo'!J2420)</f>
        <v/>
      </c>
      <c r="K2420" s="81">
        <f>IF('Ordenes_Odoo'!K2420="","",'Ordenes_Odoo'!K2420)</f>
        <v/>
      </c>
      <c r="L2420" s="81">
        <f>IF('Ordenes_Odoo'!L2420="","",'Ordenes_Odoo'!L2420)</f>
        <v/>
      </c>
      <c r="M2420" s="79">
        <f>IF('Ordenes_Odoo'!M2420="","",'Ordenes_Odoo'!M2420)</f>
        <v/>
      </c>
      <c r="N2420" s="79">
        <f>IF('Ordenes_Odoo'!N2420="","",'Ordenes_Odoo'!N2420)</f>
        <v/>
      </c>
      <c r="O2420" s="81">
        <f>IF('Ordenes_Odoo'!O2420="","",'Ordenes_Odoo'!O2420)</f>
        <v/>
      </c>
      <c r="P2420" s="81">
        <f>IF('Ordenes_Odoo'!P2420="","",'Ordenes_Odoo'!P2420)</f>
        <v/>
      </c>
      <c r="Q2420" s="79">
        <f>IF(A2420="","",IFERROR(INDEX(Facturas_Odoo!$B:$B, MATCH(A2420, Facturas_Odoo!$D:$D, 0)), "Sin Factura"))</f>
        <v/>
      </c>
      <c r="R2420" s="80">
        <f>IF(Q2420="Sin Factura","",IFERROR(INDEX(Facturas_Odoo!$A:$A, MATCH(Q2420, Facturas_Odoo!$B:$B, 0)), ""))</f>
        <v/>
      </c>
      <c r="S2420" s="79">
        <f>IF(Q2420="Sin Factura","",IFERROR(_xlfn.XLOOKUP(1, (Facturas_Odoo!$D:$D=A2420) * (Facturas_Odoo!$K:$K=I2420), Facturas_Odoo!$L:$L, ""), ""))</f>
        <v/>
      </c>
      <c r="T2420" s="81">
        <f>IF(Q2420="Sin Factura",0,IFERROR(_xlfn.XLOOKUP(1, (Facturas_Odoo!$D:$D=A2420) * (Facturas_Odoo!$K:$K=I2420), Facturas_Odoo!$M:$M, 0), 0))</f>
        <v/>
      </c>
      <c r="U2420" s="79">
        <f>IF(Q2420="Sin Factura",0,IFERROR(_xlfn.XLOOKUP(1, (Facturas_Odoo!$D:$D=A2420) * (Facturas_Odoo!$K:$K=I2420), Facturas_Odoo!$N:$N, 0), 0))</f>
        <v/>
      </c>
      <c r="V2420" s="79">
        <f>IF(Q2420="Sin Factura",0,IFERROR(_xlfn.XLOOKUP(1, (Facturas_Odoo!$D:$D=A2420) * (Facturas_Odoo!$K:$K=I2420), Facturas_Odoo!$O:$O, 0), 0))</f>
        <v/>
      </c>
      <c r="W2420" s="81">
        <f>IF(Q2420="Sin Factura",0,IFERROR(_xlfn.XLOOKUP(1, (Facturas_Odoo!$D:$D=A2420) * (Facturas_Odoo!$K:$K=I2420), Facturas_Odoo!$Q:$Q, 0), 0))</f>
        <v/>
      </c>
      <c r="X2420" s="79">
        <f>IF(OR(Q2420="Sin Factura",Q2420=""),"",IFERROR(INDEX(Pagos_Odoo!$B:$B, MATCH(Q2420, Pagos_Odoo!$I:$I, 0)), "Sin Pago"))</f>
        <v/>
      </c>
      <c r="Y2420" s="79">
        <f>IF(X2420="Sin Pago","",IFERROR(INDEX(Pagos_Odoo!$C:$C, MATCH(X2420, Pagos_Odoo!$B:$B, 0)), ""))</f>
        <v/>
      </c>
      <c r="Z2420" s="80">
        <f>IF(X2420="Sin Pago","",IFERROR(INDEX(Pagos_Odoo!$A:$A, MATCH(X2420, Pagos_Odoo!$B:$B, 0)), ""))</f>
        <v/>
      </c>
      <c r="AA2420" s="79">
        <f>IF(X2420="Sin Pago","",IFERROR(INDEX(Pagos_Odoo!$F:$F, MATCH(X2420, Pagos_Odoo!$B:$B, 0)), ""))</f>
        <v/>
      </c>
      <c r="AB2420" s="81">
        <f>IF(X2420="Sin Pago",0,IFERROR(INDEX(Pagos_Odoo!$E:$E, MATCH(X2420, Pagos_Odoo!$B:$B, 0)), 0))</f>
        <v/>
      </c>
      <c r="AC2420" s="79">
        <f>IF(X2420="Sin Pago","",IFERROR(INDEX(Pagos_Odoo!$G:$G, MATCH(X2420, Pagos_Odoo!$B:$B, 0)), ""))</f>
        <v/>
      </c>
      <c r="AD2420" s="82" t="n">
        <v>0</v>
      </c>
      <c r="AE2420" s="82" t="n"/>
      <c r="AF2420" s="82" t="n"/>
      <c r="AG2420" s="82">
        <f>IF(AN2420="","",AD2420+AE2420+AF2420)</f>
        <v/>
      </c>
      <c r="AH2420" s="81">
        <f>IF(AN2420="","",P2420*(1-AG2420))</f>
        <v/>
      </c>
      <c r="AI2420" s="81">
        <f>IF(AN2420="","",IF(Q2420="Sin Factura",0,IFERROR(INDEX(Facturas_Odoo!$H:$H, MATCH(Q2420, Facturas_Odoo!$B:$B, 0)), 0)*(1-AG2420)))</f>
        <v/>
      </c>
      <c r="AJ2420" s="81">
        <f>IF(AN2420="","",_xlfn.LET(idVenta, AN2420&amp;"",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20" s="81">
        <f>IF(AN2420="","",AH2420-AJ2420)</f>
        <v/>
      </c>
      <c r="AL2420" s="81">
        <f>IF(AN2420="","",IF(Q2420="Sin Factura","",AI2420-AJ2420))</f>
        <v/>
      </c>
      <c r="AM2420" s="81">
        <f>IF(AN2420="","",IF(Q2420="Sin Factura",0,P2420-IFERROR(INDEX(Facturas_Odoo!$H:$H, MATCH(Q2420, Facturas_Odoo!$B:$B, 0)), 0)))</f>
        <v/>
      </c>
      <c r="AN2420" s="79">
        <f>IF(AND(A2420="", J2420=""), "", IF(A2420&lt;&gt;"", VALUE(MID(A2420,2,LEN(A2420))), AN2419))</f>
        <v/>
      </c>
      <c r="AO2420" s="79">
        <f>IF(AN2420="","",IF(AD2420=0,"OK",_xlfn.LET(monedaPago, IF(AA2420="","USD",AA2420), limitePermitido, IFERROR(VLOOKUP(monedaPago, Configuración!$A$2:$B$3, 2, FALSE), 0.15), IF(AD2420&gt;limitePermitido, "ALERTA: EXCESO (" &amp; TEXT(limitePermitido, "0%") &amp; " máx)", "OK"))))</f>
        <v/>
      </c>
      <c r="AP2420" s="79">
        <f>IF(AN2420="","",IF(AE2420=0,"OK",_xlfn.LET(fechaPago, Z2420, fechaFactura, R2420, diasCredito, IF(E2420="Pago inmediato", 0, IFERROR(VALUE(MID(E2420, 1, SEARCH(" ", E2420)-1)),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20" s="79">
        <f>IF(AN2420="","",IF(AND(N2420&gt;0, AG2420&gt;0), IF(Configuración!$K$2="NO", "ALERTA: DESCUENTO DOBLE NO PERMITIDO", "OK"), "OK"))</f>
        <v/>
      </c>
      <c r="AR2420" s="79">
        <f>IF(AN2420="","",IF(OR(AO2420&lt;&gt;"OK", AP2420&lt;&gt;"OK", AQ2420&lt;&gt;"OK"), "⚠️ REVISAR", "OK"))</f>
        <v/>
      </c>
    </row>
    <row r="2421">
      <c r="A2421" s="79">
        <f>IF('Ordenes_Odoo'!A2421="","",'Ordenes_Odoo'!A2421)</f>
        <v/>
      </c>
      <c r="B2421" s="80">
        <f>IF('Ordenes_Odoo'!B2421="","",'Ordenes_Odoo'!B2421)</f>
        <v/>
      </c>
      <c r="C2421" s="79">
        <f>IF('Ordenes_Odoo'!C2421="","",'Ordenes_Odoo'!C2421)</f>
        <v/>
      </c>
      <c r="D2421" s="79">
        <f>IF('Ordenes_Odoo'!D2421="","",'Ordenes_Odoo'!D2421)</f>
        <v/>
      </c>
      <c r="E2421" s="79">
        <f>IF('Ordenes_Odoo'!E2421="","",'Ordenes_Odoo'!E2421)</f>
        <v/>
      </c>
      <c r="F2421" s="79">
        <f>IF('Ordenes_Odoo'!F2421="","",'Ordenes_Odoo'!F2421)</f>
        <v/>
      </c>
      <c r="G2421" s="79">
        <f>IF('Ordenes_Odoo'!G2421="","",'Ordenes_Odoo'!G2421)</f>
        <v/>
      </c>
      <c r="H2421" s="79">
        <f>IF('Ordenes_Odoo'!H2421="","",'Ordenes_Odoo'!H2421)</f>
        <v/>
      </c>
      <c r="I2421" s="79">
        <f>IF('Ordenes_Odoo'!I2421="","",'Ordenes_Odoo'!I2421)</f>
        <v/>
      </c>
      <c r="J2421" s="79">
        <f>IF('Ordenes_Odoo'!J2421="","",'Ordenes_Odoo'!J2421)</f>
        <v/>
      </c>
      <c r="K2421" s="81">
        <f>IF('Ordenes_Odoo'!K2421="","",'Ordenes_Odoo'!K2421)</f>
        <v/>
      </c>
      <c r="L2421" s="81">
        <f>IF('Ordenes_Odoo'!L2421="","",'Ordenes_Odoo'!L2421)</f>
        <v/>
      </c>
      <c r="M2421" s="79">
        <f>IF('Ordenes_Odoo'!M2421="","",'Ordenes_Odoo'!M2421)</f>
        <v/>
      </c>
      <c r="N2421" s="79">
        <f>IF('Ordenes_Odoo'!N2421="","",'Ordenes_Odoo'!N2421)</f>
        <v/>
      </c>
      <c r="O2421" s="81">
        <f>IF('Ordenes_Odoo'!O2421="","",'Ordenes_Odoo'!O2421)</f>
        <v/>
      </c>
      <c r="P2421" s="81">
        <f>IF('Ordenes_Odoo'!P2421="","",'Ordenes_Odoo'!P2421)</f>
        <v/>
      </c>
      <c r="Q2421" s="79">
        <f>IF(A2421="","",IFERROR(INDEX(Facturas_Odoo!$B:$B, MATCH(A2421, Facturas_Odoo!$D:$D, 0)), "Sin Factura"))</f>
        <v/>
      </c>
      <c r="R2421" s="80">
        <f>IF(Q2421="Sin Factura","",IFERROR(INDEX(Facturas_Odoo!$A:$A, MATCH(Q2421, Facturas_Odoo!$B:$B, 0)), ""))</f>
        <v/>
      </c>
      <c r="S2421" s="79">
        <f>IF(Q2421="Sin Factura","",IFERROR(_xlfn.XLOOKUP(1, (Facturas_Odoo!$D:$D=A2421) * (Facturas_Odoo!$K:$K=I2421), Facturas_Odoo!$L:$L, ""), ""))</f>
        <v/>
      </c>
      <c r="T2421" s="81">
        <f>IF(Q2421="Sin Factura",0,IFERROR(_xlfn.XLOOKUP(1, (Facturas_Odoo!$D:$D=A2421) * (Facturas_Odoo!$K:$K=I2421), Facturas_Odoo!$M:$M, 0), 0))</f>
        <v/>
      </c>
      <c r="U2421" s="79">
        <f>IF(Q2421="Sin Factura",0,IFERROR(_xlfn.XLOOKUP(1, (Facturas_Odoo!$D:$D=A2421) * (Facturas_Odoo!$K:$K=I2421), Facturas_Odoo!$N:$N, 0), 0))</f>
        <v/>
      </c>
      <c r="V2421" s="79">
        <f>IF(Q2421="Sin Factura",0,IFERROR(_xlfn.XLOOKUP(1, (Facturas_Odoo!$D:$D=A2421) * (Facturas_Odoo!$K:$K=I2421), Facturas_Odoo!$O:$O, 0), 0))</f>
        <v/>
      </c>
      <c r="W2421" s="81">
        <f>IF(Q2421="Sin Factura",0,IFERROR(_xlfn.XLOOKUP(1, (Facturas_Odoo!$D:$D=A2421) * (Facturas_Odoo!$K:$K=I2421), Facturas_Odoo!$Q:$Q, 0), 0))</f>
        <v/>
      </c>
      <c r="X2421" s="79">
        <f>IF(OR(Q2421="Sin Factura",Q2421=""),"",IFERROR(INDEX(Pagos_Odoo!$B:$B, MATCH(Q2421, Pagos_Odoo!$I:$I, 0)), "Sin Pago"))</f>
        <v/>
      </c>
      <c r="Y2421" s="79">
        <f>IF(X2421="Sin Pago","",IFERROR(INDEX(Pagos_Odoo!$C:$C, MATCH(X2421, Pagos_Odoo!$B:$B, 0)), ""))</f>
        <v/>
      </c>
      <c r="Z2421" s="80">
        <f>IF(X2421="Sin Pago","",IFERROR(INDEX(Pagos_Odoo!$A:$A, MATCH(X2421, Pagos_Odoo!$B:$B, 0)), ""))</f>
        <v/>
      </c>
      <c r="AA2421" s="79">
        <f>IF(X2421="Sin Pago","",IFERROR(INDEX(Pagos_Odoo!$F:$F, MATCH(X2421, Pagos_Odoo!$B:$B, 0)), ""))</f>
        <v/>
      </c>
      <c r="AB2421" s="81">
        <f>IF(X2421="Sin Pago",0,IFERROR(INDEX(Pagos_Odoo!$E:$E, MATCH(X2421, Pagos_Odoo!$B:$B, 0)), 0))</f>
        <v/>
      </c>
      <c r="AC2421" s="79">
        <f>IF(X2421="Sin Pago","",IFERROR(INDEX(Pagos_Odoo!$G:$G, MATCH(X2421, Pagos_Odoo!$B:$B, 0)), ""))</f>
        <v/>
      </c>
      <c r="AD2421" s="82" t="n">
        <v>0</v>
      </c>
      <c r="AE2421" s="82" t="n"/>
      <c r="AF2421" s="82" t="n"/>
      <c r="AG2421" s="82">
        <f>IF(AN2421="","",AD2421+AE2421+AF2421)</f>
        <v/>
      </c>
      <c r="AH2421" s="81">
        <f>IF(AN2421="","",P2421*(1-AG2421))</f>
        <v/>
      </c>
      <c r="AI2421" s="81">
        <f>IF(AN2421="","",IF(Q2421="Sin Factura",0,IFERROR(INDEX(Facturas_Odoo!$H:$H, MATCH(Q2421, Facturas_Odoo!$B:$B, 0)), 0)*(1-AG2421)))</f>
        <v/>
      </c>
      <c r="AJ2421" s="81">
        <f>IF(AN2421="","",_xlfn.LET(idVenta, AN2421&amp;"",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21" s="81">
        <f>IF(AN2421="","",AH2421-AJ2421)</f>
        <v/>
      </c>
      <c r="AL2421" s="81">
        <f>IF(AN2421="","",IF(Q2421="Sin Factura","",AI2421-AJ2421))</f>
        <v/>
      </c>
      <c r="AM2421" s="81">
        <f>IF(AN2421="","",IF(Q2421="Sin Factura",0,P2421-IFERROR(INDEX(Facturas_Odoo!$H:$H, MATCH(Q2421, Facturas_Odoo!$B:$B, 0)), 0)))</f>
        <v/>
      </c>
      <c r="AN2421" s="79">
        <f>IF(AND(A2421="", J2421=""), "", IF(A2421&lt;&gt;"", VALUE(MID(A2421,2,LEN(A2421))), AN2420))</f>
        <v/>
      </c>
      <c r="AO2421" s="79">
        <f>IF(AN2421="","",IF(AD2421=0,"OK",_xlfn.LET(monedaPago, IF(AA2421="","USD",AA2421), limitePermitido, IFERROR(VLOOKUP(monedaPago, Configuración!$A$2:$B$3, 2, FALSE), 0.15), IF(AD2421&gt;limitePermitido, "ALERTA: EXCESO (" &amp; TEXT(limitePermitido, "0%") &amp; " máx)", "OK"))))</f>
        <v/>
      </c>
      <c r="AP2421" s="79">
        <f>IF(AN2421="","",IF(AE2421=0,"OK",_xlfn.LET(fechaPago, Z2421, fechaFactura, R2421, diasCredito, IF(E2421="Pago inmediato", 0, IFERROR(VALUE(MID(E2421, 1, SEARCH(" ", E2421)-1)),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21" s="79">
        <f>IF(AN2421="","",IF(AND(N2421&gt;0, AG2421&gt;0), IF(Configuración!$K$2="NO", "ALERTA: DESCUENTO DOBLE NO PERMITIDO", "OK"), "OK"))</f>
        <v/>
      </c>
      <c r="AR2421" s="79">
        <f>IF(AN2421="","",IF(OR(AO2421&lt;&gt;"OK", AP2421&lt;&gt;"OK", AQ2421&lt;&gt;"OK"), "⚠️ REVISAR", "OK"))</f>
        <v/>
      </c>
    </row>
    <row r="2422">
      <c r="A2422" s="79">
        <f>IF('Ordenes_Odoo'!A2422="","",'Ordenes_Odoo'!A2422)</f>
        <v/>
      </c>
      <c r="B2422" s="80">
        <f>IF('Ordenes_Odoo'!B2422="","",'Ordenes_Odoo'!B2422)</f>
        <v/>
      </c>
      <c r="C2422" s="79">
        <f>IF('Ordenes_Odoo'!C2422="","",'Ordenes_Odoo'!C2422)</f>
        <v/>
      </c>
      <c r="D2422" s="79">
        <f>IF('Ordenes_Odoo'!D2422="","",'Ordenes_Odoo'!D2422)</f>
        <v/>
      </c>
      <c r="E2422" s="79">
        <f>IF('Ordenes_Odoo'!E2422="","",'Ordenes_Odoo'!E2422)</f>
        <v/>
      </c>
      <c r="F2422" s="79">
        <f>IF('Ordenes_Odoo'!F2422="","",'Ordenes_Odoo'!F2422)</f>
        <v/>
      </c>
      <c r="G2422" s="79">
        <f>IF('Ordenes_Odoo'!G2422="","",'Ordenes_Odoo'!G2422)</f>
        <v/>
      </c>
      <c r="H2422" s="79">
        <f>IF('Ordenes_Odoo'!H2422="","",'Ordenes_Odoo'!H2422)</f>
        <v/>
      </c>
      <c r="I2422" s="79">
        <f>IF('Ordenes_Odoo'!I2422="","",'Ordenes_Odoo'!I2422)</f>
        <v/>
      </c>
      <c r="J2422" s="79">
        <f>IF('Ordenes_Odoo'!J2422="","",'Ordenes_Odoo'!J2422)</f>
        <v/>
      </c>
      <c r="K2422" s="81">
        <f>IF('Ordenes_Odoo'!K2422="","",'Ordenes_Odoo'!K2422)</f>
        <v/>
      </c>
      <c r="L2422" s="81">
        <f>IF('Ordenes_Odoo'!L2422="","",'Ordenes_Odoo'!L2422)</f>
        <v/>
      </c>
      <c r="M2422" s="79">
        <f>IF('Ordenes_Odoo'!M2422="","",'Ordenes_Odoo'!M2422)</f>
        <v/>
      </c>
      <c r="N2422" s="79">
        <f>IF('Ordenes_Odoo'!N2422="","",'Ordenes_Odoo'!N2422)</f>
        <v/>
      </c>
      <c r="O2422" s="81">
        <f>IF('Ordenes_Odoo'!O2422="","",'Ordenes_Odoo'!O2422)</f>
        <v/>
      </c>
      <c r="P2422" s="81">
        <f>IF('Ordenes_Odoo'!P2422="","",'Ordenes_Odoo'!P2422)</f>
        <v/>
      </c>
      <c r="Q2422" s="79">
        <f>IF(A2422="","",IFERROR(INDEX(Facturas_Odoo!$B:$B, MATCH(A2422, Facturas_Odoo!$D:$D, 0)), "Sin Factura"))</f>
        <v/>
      </c>
      <c r="R2422" s="80">
        <f>IF(Q2422="Sin Factura","",IFERROR(INDEX(Facturas_Odoo!$A:$A, MATCH(Q2422, Facturas_Odoo!$B:$B, 0)), ""))</f>
        <v/>
      </c>
      <c r="S2422" s="79">
        <f>IF(Q2422="Sin Factura","",IFERROR(_xlfn.XLOOKUP(1, (Facturas_Odoo!$D:$D=A2422) * (Facturas_Odoo!$K:$K=I2422), Facturas_Odoo!$L:$L, ""), ""))</f>
        <v/>
      </c>
      <c r="T2422" s="81">
        <f>IF(Q2422="Sin Factura",0,IFERROR(_xlfn.XLOOKUP(1, (Facturas_Odoo!$D:$D=A2422) * (Facturas_Odoo!$K:$K=I2422), Facturas_Odoo!$M:$M, 0), 0))</f>
        <v/>
      </c>
      <c r="U2422" s="79">
        <f>IF(Q2422="Sin Factura",0,IFERROR(_xlfn.XLOOKUP(1, (Facturas_Odoo!$D:$D=A2422) * (Facturas_Odoo!$K:$K=I2422), Facturas_Odoo!$N:$N, 0), 0))</f>
        <v/>
      </c>
      <c r="V2422" s="79">
        <f>IF(Q2422="Sin Factura",0,IFERROR(_xlfn.XLOOKUP(1, (Facturas_Odoo!$D:$D=A2422) * (Facturas_Odoo!$K:$K=I2422), Facturas_Odoo!$O:$O, 0), 0))</f>
        <v/>
      </c>
      <c r="W2422" s="81">
        <f>IF(Q2422="Sin Factura",0,IFERROR(_xlfn.XLOOKUP(1, (Facturas_Odoo!$D:$D=A2422) * (Facturas_Odoo!$K:$K=I2422), Facturas_Odoo!$Q:$Q, 0), 0))</f>
        <v/>
      </c>
      <c r="X2422" s="79">
        <f>IF(OR(Q2422="Sin Factura",Q2422=""),"",IFERROR(INDEX(Pagos_Odoo!$B:$B, MATCH(Q2422, Pagos_Odoo!$I:$I, 0)), "Sin Pago"))</f>
        <v/>
      </c>
      <c r="Y2422" s="79">
        <f>IF(X2422="Sin Pago","",IFERROR(INDEX(Pagos_Odoo!$C:$C, MATCH(X2422, Pagos_Odoo!$B:$B, 0)), ""))</f>
        <v/>
      </c>
      <c r="Z2422" s="80">
        <f>IF(X2422="Sin Pago","",IFERROR(INDEX(Pagos_Odoo!$A:$A, MATCH(X2422, Pagos_Odoo!$B:$B, 0)), ""))</f>
        <v/>
      </c>
      <c r="AA2422" s="79">
        <f>IF(X2422="Sin Pago","",IFERROR(INDEX(Pagos_Odoo!$F:$F, MATCH(X2422, Pagos_Odoo!$B:$B, 0)), ""))</f>
        <v/>
      </c>
      <c r="AB2422" s="81">
        <f>IF(X2422="Sin Pago",0,IFERROR(INDEX(Pagos_Odoo!$E:$E, MATCH(X2422, Pagos_Odoo!$B:$B, 0)), 0))</f>
        <v/>
      </c>
      <c r="AC2422" s="79">
        <f>IF(X2422="Sin Pago","",IFERROR(INDEX(Pagos_Odoo!$G:$G, MATCH(X2422, Pagos_Odoo!$B:$B, 0)), ""))</f>
        <v/>
      </c>
      <c r="AD2422" s="82" t="n">
        <v>0</v>
      </c>
      <c r="AE2422" s="82" t="n"/>
      <c r="AF2422" s="82" t="n"/>
      <c r="AG2422" s="82">
        <f>IF(AN2422="","",AD2422+AE2422+AF2422)</f>
        <v/>
      </c>
      <c r="AH2422" s="81">
        <f>IF(AN2422="","",P2422*(1-AG2422))</f>
        <v/>
      </c>
      <c r="AI2422" s="81">
        <f>IF(AN2422="","",IF(Q2422="Sin Factura",0,IFERROR(INDEX(Facturas_Odoo!$H:$H, MATCH(Q2422, Facturas_Odoo!$B:$B, 0)), 0)*(1-AG2422)))</f>
        <v/>
      </c>
      <c r="AJ2422" s="81">
        <f>IF(AN2422="","",_xlfn.LET(idVenta, AN2422&amp;"",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22" s="81">
        <f>IF(AN2422="","",AH2422-AJ2422)</f>
        <v/>
      </c>
      <c r="AL2422" s="81">
        <f>IF(AN2422="","",IF(Q2422="Sin Factura","",AI2422-AJ2422))</f>
        <v/>
      </c>
      <c r="AM2422" s="81">
        <f>IF(AN2422="","",IF(Q2422="Sin Factura",0,P2422-IFERROR(INDEX(Facturas_Odoo!$H:$H, MATCH(Q2422, Facturas_Odoo!$B:$B, 0)), 0)))</f>
        <v/>
      </c>
      <c r="AN2422" s="79">
        <f>IF(AND(A2422="", J2422=""), "", IF(A2422&lt;&gt;"", VALUE(MID(A2422,2,LEN(A2422))), AN2421))</f>
        <v/>
      </c>
      <c r="AO2422" s="79">
        <f>IF(AN2422="","",IF(AD2422=0,"OK",_xlfn.LET(monedaPago, IF(AA2422="","USD",AA2422), limitePermitido, IFERROR(VLOOKUP(monedaPago, Configuración!$A$2:$B$3, 2, FALSE), 0.15), IF(AD2422&gt;limitePermitido, "ALERTA: EXCESO (" &amp; TEXT(limitePermitido, "0%") &amp; " máx)", "OK"))))</f>
        <v/>
      </c>
      <c r="AP2422" s="79">
        <f>IF(AN2422="","",IF(AE2422=0,"OK",_xlfn.LET(fechaPago, Z2422, fechaFactura, R2422, diasCredito, IF(E2422="Pago inmediato", 0, IFERROR(VALUE(MID(E2422, 1, SEARCH(" ", E2422)-1)),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22" s="79">
        <f>IF(AN2422="","",IF(AND(N2422&gt;0, AG2422&gt;0), IF(Configuración!$K$2="NO", "ALERTA: DESCUENTO DOBLE NO PERMITIDO", "OK"), "OK"))</f>
        <v/>
      </c>
      <c r="AR2422" s="79">
        <f>IF(AN2422="","",IF(OR(AO2422&lt;&gt;"OK", AP2422&lt;&gt;"OK", AQ2422&lt;&gt;"OK"), "⚠️ REVISAR", "OK"))</f>
        <v/>
      </c>
    </row>
    <row r="2423">
      <c r="A2423" s="79">
        <f>IF('Ordenes_Odoo'!A2423="","",'Ordenes_Odoo'!A2423)</f>
        <v/>
      </c>
      <c r="B2423" s="80">
        <f>IF('Ordenes_Odoo'!B2423="","",'Ordenes_Odoo'!B2423)</f>
        <v/>
      </c>
      <c r="C2423" s="79">
        <f>IF('Ordenes_Odoo'!C2423="","",'Ordenes_Odoo'!C2423)</f>
        <v/>
      </c>
      <c r="D2423" s="79">
        <f>IF('Ordenes_Odoo'!D2423="","",'Ordenes_Odoo'!D2423)</f>
        <v/>
      </c>
      <c r="E2423" s="79">
        <f>IF('Ordenes_Odoo'!E2423="","",'Ordenes_Odoo'!E2423)</f>
        <v/>
      </c>
      <c r="F2423" s="79">
        <f>IF('Ordenes_Odoo'!F2423="","",'Ordenes_Odoo'!F2423)</f>
        <v/>
      </c>
      <c r="G2423" s="79">
        <f>IF('Ordenes_Odoo'!G2423="","",'Ordenes_Odoo'!G2423)</f>
        <v/>
      </c>
      <c r="H2423" s="79">
        <f>IF('Ordenes_Odoo'!H2423="","",'Ordenes_Odoo'!H2423)</f>
        <v/>
      </c>
      <c r="I2423" s="79">
        <f>IF('Ordenes_Odoo'!I2423="","",'Ordenes_Odoo'!I2423)</f>
        <v/>
      </c>
      <c r="J2423" s="79">
        <f>IF('Ordenes_Odoo'!J2423="","",'Ordenes_Odoo'!J2423)</f>
        <v/>
      </c>
      <c r="K2423" s="81">
        <f>IF('Ordenes_Odoo'!K2423="","",'Ordenes_Odoo'!K2423)</f>
        <v/>
      </c>
      <c r="L2423" s="81">
        <f>IF('Ordenes_Odoo'!L2423="","",'Ordenes_Odoo'!L2423)</f>
        <v/>
      </c>
      <c r="M2423" s="79">
        <f>IF('Ordenes_Odoo'!M2423="","",'Ordenes_Odoo'!M2423)</f>
        <v/>
      </c>
      <c r="N2423" s="79">
        <f>IF('Ordenes_Odoo'!N2423="","",'Ordenes_Odoo'!N2423)</f>
        <v/>
      </c>
      <c r="O2423" s="81">
        <f>IF('Ordenes_Odoo'!O2423="","",'Ordenes_Odoo'!O2423)</f>
        <v/>
      </c>
      <c r="P2423" s="81">
        <f>IF('Ordenes_Odoo'!P2423="","",'Ordenes_Odoo'!P2423)</f>
        <v/>
      </c>
      <c r="Q2423" s="79">
        <f>IF(A2423="","",IFERROR(INDEX(Facturas_Odoo!$B:$B, MATCH(A2423, Facturas_Odoo!$D:$D, 0)), "Sin Factura"))</f>
        <v/>
      </c>
      <c r="R2423" s="80">
        <f>IF(Q2423="Sin Factura","",IFERROR(INDEX(Facturas_Odoo!$A:$A, MATCH(Q2423, Facturas_Odoo!$B:$B, 0)), ""))</f>
        <v/>
      </c>
      <c r="S2423" s="79">
        <f>IF(Q2423="Sin Factura","",IFERROR(_xlfn.XLOOKUP(1, (Facturas_Odoo!$D:$D=A2423) * (Facturas_Odoo!$K:$K=I2423), Facturas_Odoo!$L:$L, ""), ""))</f>
        <v/>
      </c>
      <c r="T2423" s="81">
        <f>IF(Q2423="Sin Factura",0,IFERROR(_xlfn.XLOOKUP(1, (Facturas_Odoo!$D:$D=A2423) * (Facturas_Odoo!$K:$K=I2423), Facturas_Odoo!$M:$M, 0), 0))</f>
        <v/>
      </c>
      <c r="U2423" s="79">
        <f>IF(Q2423="Sin Factura",0,IFERROR(_xlfn.XLOOKUP(1, (Facturas_Odoo!$D:$D=A2423) * (Facturas_Odoo!$K:$K=I2423), Facturas_Odoo!$N:$N, 0), 0))</f>
        <v/>
      </c>
      <c r="V2423" s="79">
        <f>IF(Q2423="Sin Factura",0,IFERROR(_xlfn.XLOOKUP(1, (Facturas_Odoo!$D:$D=A2423) * (Facturas_Odoo!$K:$K=I2423), Facturas_Odoo!$O:$O, 0), 0))</f>
        <v/>
      </c>
      <c r="W2423" s="81">
        <f>IF(Q2423="Sin Factura",0,IFERROR(_xlfn.XLOOKUP(1, (Facturas_Odoo!$D:$D=A2423) * (Facturas_Odoo!$K:$K=I2423), Facturas_Odoo!$Q:$Q, 0), 0))</f>
        <v/>
      </c>
      <c r="X2423" s="79">
        <f>IF(OR(Q2423="Sin Factura",Q2423=""),"",IFERROR(INDEX(Pagos_Odoo!$B:$B, MATCH(Q2423, Pagos_Odoo!$I:$I, 0)), "Sin Pago"))</f>
        <v/>
      </c>
      <c r="Y2423" s="79">
        <f>IF(X2423="Sin Pago","",IFERROR(INDEX(Pagos_Odoo!$C:$C, MATCH(X2423, Pagos_Odoo!$B:$B, 0)), ""))</f>
        <v/>
      </c>
      <c r="Z2423" s="80">
        <f>IF(X2423="Sin Pago","",IFERROR(INDEX(Pagos_Odoo!$A:$A, MATCH(X2423, Pagos_Odoo!$B:$B, 0)), ""))</f>
        <v/>
      </c>
      <c r="AA2423" s="79">
        <f>IF(X2423="Sin Pago","",IFERROR(INDEX(Pagos_Odoo!$F:$F, MATCH(X2423, Pagos_Odoo!$B:$B, 0)), ""))</f>
        <v/>
      </c>
      <c r="AB2423" s="81">
        <f>IF(X2423="Sin Pago",0,IFERROR(INDEX(Pagos_Odoo!$E:$E, MATCH(X2423, Pagos_Odoo!$B:$B, 0)), 0))</f>
        <v/>
      </c>
      <c r="AC2423" s="79">
        <f>IF(X2423="Sin Pago","",IFERROR(INDEX(Pagos_Odoo!$G:$G, MATCH(X2423, Pagos_Odoo!$B:$B, 0)), ""))</f>
        <v/>
      </c>
      <c r="AD2423" s="82" t="n">
        <v>0</v>
      </c>
      <c r="AE2423" s="82" t="n"/>
      <c r="AF2423" s="82" t="n"/>
      <c r="AG2423" s="82">
        <f>IF(AN2423="","",AD2423+AE2423+AF2423)</f>
        <v/>
      </c>
      <c r="AH2423" s="81">
        <f>IF(AN2423="","",P2423*(1-AG2423))</f>
        <v/>
      </c>
      <c r="AI2423" s="81">
        <f>IF(AN2423="","",IF(Q2423="Sin Factura",0,IFERROR(INDEX(Facturas_Odoo!$H:$H, MATCH(Q2423, Facturas_Odoo!$B:$B, 0)), 0)*(1-AG2423)))</f>
        <v/>
      </c>
      <c r="AJ2423" s="81">
        <f>IF(AN2423="","",_xlfn.LET(idVenta, AN2423&amp;"",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23" s="81">
        <f>IF(AN2423="","",AH2423-AJ2423)</f>
        <v/>
      </c>
      <c r="AL2423" s="81">
        <f>IF(AN2423="","",IF(Q2423="Sin Factura","",AI2423-AJ2423))</f>
        <v/>
      </c>
      <c r="AM2423" s="81">
        <f>IF(AN2423="","",IF(Q2423="Sin Factura",0,P2423-IFERROR(INDEX(Facturas_Odoo!$H:$H, MATCH(Q2423, Facturas_Odoo!$B:$B, 0)), 0)))</f>
        <v/>
      </c>
      <c r="AN2423" s="79">
        <f>IF(AND(A2423="", J2423=""), "", IF(A2423&lt;&gt;"", VALUE(MID(A2423,2,LEN(A2423))), AN2422))</f>
        <v/>
      </c>
      <c r="AO2423" s="79">
        <f>IF(AN2423="","",IF(AD2423=0,"OK",_xlfn.LET(monedaPago, IF(AA2423="","USD",AA2423), limitePermitido, IFERROR(VLOOKUP(monedaPago, Configuración!$A$2:$B$3, 2, FALSE), 0.15), IF(AD2423&gt;limitePermitido, "ALERTA: EXCESO (" &amp; TEXT(limitePermitido, "0%") &amp; " máx)", "OK"))))</f>
        <v/>
      </c>
      <c r="AP2423" s="79">
        <f>IF(AN2423="","",IF(AE2423=0,"OK",_xlfn.LET(fechaPago, Z2423, fechaFactura, R2423, diasCredito, IF(E2423="Pago inmediato", 0, IFERROR(VALUE(MID(E2423, 1, SEARCH(" ", E2423)-1)),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23" s="79">
        <f>IF(AN2423="","",IF(AND(N2423&gt;0, AG2423&gt;0), IF(Configuración!$K$2="NO", "ALERTA: DESCUENTO DOBLE NO PERMITIDO", "OK"), "OK"))</f>
        <v/>
      </c>
      <c r="AR2423" s="79">
        <f>IF(AN2423="","",IF(OR(AO2423&lt;&gt;"OK", AP2423&lt;&gt;"OK", AQ2423&lt;&gt;"OK"), "⚠️ REVISAR", "OK"))</f>
        <v/>
      </c>
    </row>
    <row r="2424">
      <c r="A2424" s="79">
        <f>IF('Ordenes_Odoo'!A2424="","",'Ordenes_Odoo'!A2424)</f>
        <v/>
      </c>
      <c r="B2424" s="80">
        <f>IF('Ordenes_Odoo'!B2424="","",'Ordenes_Odoo'!B2424)</f>
        <v/>
      </c>
      <c r="C2424" s="79">
        <f>IF('Ordenes_Odoo'!C2424="","",'Ordenes_Odoo'!C2424)</f>
        <v/>
      </c>
      <c r="D2424" s="79">
        <f>IF('Ordenes_Odoo'!D2424="","",'Ordenes_Odoo'!D2424)</f>
        <v/>
      </c>
      <c r="E2424" s="79">
        <f>IF('Ordenes_Odoo'!E2424="","",'Ordenes_Odoo'!E2424)</f>
        <v/>
      </c>
      <c r="F2424" s="79">
        <f>IF('Ordenes_Odoo'!F2424="","",'Ordenes_Odoo'!F2424)</f>
        <v/>
      </c>
      <c r="G2424" s="79">
        <f>IF('Ordenes_Odoo'!G2424="","",'Ordenes_Odoo'!G2424)</f>
        <v/>
      </c>
      <c r="H2424" s="79">
        <f>IF('Ordenes_Odoo'!H2424="","",'Ordenes_Odoo'!H2424)</f>
        <v/>
      </c>
      <c r="I2424" s="79">
        <f>IF('Ordenes_Odoo'!I2424="","",'Ordenes_Odoo'!I2424)</f>
        <v/>
      </c>
      <c r="J2424" s="79">
        <f>IF('Ordenes_Odoo'!J2424="","",'Ordenes_Odoo'!J2424)</f>
        <v/>
      </c>
      <c r="K2424" s="81">
        <f>IF('Ordenes_Odoo'!K2424="","",'Ordenes_Odoo'!K2424)</f>
        <v/>
      </c>
      <c r="L2424" s="81">
        <f>IF('Ordenes_Odoo'!L2424="","",'Ordenes_Odoo'!L2424)</f>
        <v/>
      </c>
      <c r="M2424" s="79">
        <f>IF('Ordenes_Odoo'!M2424="","",'Ordenes_Odoo'!M2424)</f>
        <v/>
      </c>
      <c r="N2424" s="79">
        <f>IF('Ordenes_Odoo'!N2424="","",'Ordenes_Odoo'!N2424)</f>
        <v/>
      </c>
      <c r="O2424" s="81">
        <f>IF('Ordenes_Odoo'!O2424="","",'Ordenes_Odoo'!O2424)</f>
        <v/>
      </c>
      <c r="P2424" s="81">
        <f>IF('Ordenes_Odoo'!P2424="","",'Ordenes_Odoo'!P2424)</f>
        <v/>
      </c>
      <c r="Q2424" s="79">
        <f>IF(A2424="","",IFERROR(INDEX(Facturas_Odoo!$B:$B, MATCH(A2424, Facturas_Odoo!$D:$D, 0)), "Sin Factura"))</f>
        <v/>
      </c>
      <c r="R2424" s="80">
        <f>IF(Q2424="Sin Factura","",IFERROR(INDEX(Facturas_Odoo!$A:$A, MATCH(Q2424, Facturas_Odoo!$B:$B, 0)), ""))</f>
        <v/>
      </c>
      <c r="S2424" s="79">
        <f>IF(Q2424="Sin Factura","",IFERROR(_xlfn.XLOOKUP(1, (Facturas_Odoo!$D:$D=A2424) * (Facturas_Odoo!$K:$K=I2424), Facturas_Odoo!$L:$L, ""), ""))</f>
        <v/>
      </c>
      <c r="T2424" s="81">
        <f>IF(Q2424="Sin Factura",0,IFERROR(_xlfn.XLOOKUP(1, (Facturas_Odoo!$D:$D=A2424) * (Facturas_Odoo!$K:$K=I2424), Facturas_Odoo!$M:$M, 0), 0))</f>
        <v/>
      </c>
      <c r="U2424" s="79">
        <f>IF(Q2424="Sin Factura",0,IFERROR(_xlfn.XLOOKUP(1, (Facturas_Odoo!$D:$D=A2424) * (Facturas_Odoo!$K:$K=I2424), Facturas_Odoo!$N:$N, 0), 0))</f>
        <v/>
      </c>
      <c r="V2424" s="79">
        <f>IF(Q2424="Sin Factura",0,IFERROR(_xlfn.XLOOKUP(1, (Facturas_Odoo!$D:$D=A2424) * (Facturas_Odoo!$K:$K=I2424), Facturas_Odoo!$O:$O, 0), 0))</f>
        <v/>
      </c>
      <c r="W2424" s="81">
        <f>IF(Q2424="Sin Factura",0,IFERROR(_xlfn.XLOOKUP(1, (Facturas_Odoo!$D:$D=A2424) * (Facturas_Odoo!$K:$K=I2424), Facturas_Odoo!$Q:$Q, 0), 0))</f>
        <v/>
      </c>
      <c r="X2424" s="79">
        <f>IF(OR(Q2424="Sin Factura",Q2424=""),"",IFERROR(INDEX(Pagos_Odoo!$B:$B, MATCH(Q2424, Pagos_Odoo!$I:$I, 0)), "Sin Pago"))</f>
        <v/>
      </c>
      <c r="Y2424" s="79">
        <f>IF(X2424="Sin Pago","",IFERROR(INDEX(Pagos_Odoo!$C:$C, MATCH(X2424, Pagos_Odoo!$B:$B, 0)), ""))</f>
        <v/>
      </c>
      <c r="Z2424" s="80">
        <f>IF(X2424="Sin Pago","",IFERROR(INDEX(Pagos_Odoo!$A:$A, MATCH(X2424, Pagos_Odoo!$B:$B, 0)), ""))</f>
        <v/>
      </c>
      <c r="AA2424" s="79">
        <f>IF(X2424="Sin Pago","",IFERROR(INDEX(Pagos_Odoo!$F:$F, MATCH(X2424, Pagos_Odoo!$B:$B, 0)), ""))</f>
        <v/>
      </c>
      <c r="AB2424" s="81">
        <f>IF(X2424="Sin Pago",0,IFERROR(INDEX(Pagos_Odoo!$E:$E, MATCH(X2424, Pagos_Odoo!$B:$B, 0)), 0))</f>
        <v/>
      </c>
      <c r="AC2424" s="79">
        <f>IF(X2424="Sin Pago","",IFERROR(INDEX(Pagos_Odoo!$G:$G, MATCH(X2424, Pagos_Odoo!$B:$B, 0)), ""))</f>
        <v/>
      </c>
      <c r="AD2424" s="82" t="n">
        <v>0</v>
      </c>
      <c r="AE2424" s="82" t="n"/>
      <c r="AF2424" s="82" t="n"/>
      <c r="AG2424" s="82">
        <f>IF(AN2424="","",AD2424+AE2424+AF2424)</f>
        <v/>
      </c>
      <c r="AH2424" s="81">
        <f>IF(AN2424="","",P2424*(1-AG2424))</f>
        <v/>
      </c>
      <c r="AI2424" s="81">
        <f>IF(AN2424="","",IF(Q2424="Sin Factura",0,IFERROR(INDEX(Facturas_Odoo!$H:$H, MATCH(Q2424, Facturas_Odoo!$B:$B, 0)), 0)*(1-AG2424)))</f>
        <v/>
      </c>
      <c r="AJ2424" s="81">
        <f>IF(AN2424="","",_xlfn.LET(idVenta, AN2424&amp;"",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24" s="81">
        <f>IF(AN2424="","",AH2424-AJ2424)</f>
        <v/>
      </c>
      <c r="AL2424" s="81">
        <f>IF(AN2424="","",IF(Q2424="Sin Factura","",AI2424-AJ2424))</f>
        <v/>
      </c>
      <c r="AM2424" s="81">
        <f>IF(AN2424="","",IF(Q2424="Sin Factura",0,P2424-IFERROR(INDEX(Facturas_Odoo!$H:$H, MATCH(Q2424, Facturas_Odoo!$B:$B, 0)), 0)))</f>
        <v/>
      </c>
      <c r="AN2424" s="79">
        <f>IF(AND(A2424="", J2424=""), "", IF(A2424&lt;&gt;"", VALUE(MID(A2424,2,LEN(A2424))), AN2423))</f>
        <v/>
      </c>
      <c r="AO2424" s="79">
        <f>IF(AN2424="","",IF(AD2424=0,"OK",_xlfn.LET(monedaPago, IF(AA2424="","USD",AA2424), limitePermitido, IFERROR(VLOOKUP(monedaPago, Configuración!$A$2:$B$3, 2, FALSE), 0.15), IF(AD2424&gt;limitePermitido, "ALERTA: EXCESO (" &amp; TEXT(limitePermitido, "0%") &amp; " máx)", "OK"))))</f>
        <v/>
      </c>
      <c r="AP2424" s="79">
        <f>IF(AN2424="","",IF(AE2424=0,"OK",_xlfn.LET(fechaPago, Z2424, fechaFactura, R2424, diasCredito, IF(E2424="Pago inmediato", 0, IFERROR(VALUE(MID(E2424, 1, SEARCH(" ", E2424)-1)),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24" s="79">
        <f>IF(AN2424="","",IF(AND(N2424&gt;0, AG2424&gt;0), IF(Configuración!$K$2="NO", "ALERTA: DESCUENTO DOBLE NO PERMITIDO", "OK"), "OK"))</f>
        <v/>
      </c>
      <c r="AR2424" s="79">
        <f>IF(AN2424="","",IF(OR(AO2424&lt;&gt;"OK", AP2424&lt;&gt;"OK", AQ2424&lt;&gt;"OK"), "⚠️ REVISAR", "OK"))</f>
        <v/>
      </c>
    </row>
    <row r="2425">
      <c r="A2425" s="79">
        <f>IF('Ordenes_Odoo'!A2425="","",'Ordenes_Odoo'!A2425)</f>
        <v/>
      </c>
      <c r="B2425" s="80">
        <f>IF('Ordenes_Odoo'!B2425="","",'Ordenes_Odoo'!B2425)</f>
        <v/>
      </c>
      <c r="C2425" s="79">
        <f>IF('Ordenes_Odoo'!C2425="","",'Ordenes_Odoo'!C2425)</f>
        <v/>
      </c>
      <c r="D2425" s="79">
        <f>IF('Ordenes_Odoo'!D2425="","",'Ordenes_Odoo'!D2425)</f>
        <v/>
      </c>
      <c r="E2425" s="79">
        <f>IF('Ordenes_Odoo'!E2425="","",'Ordenes_Odoo'!E2425)</f>
        <v/>
      </c>
      <c r="F2425" s="79">
        <f>IF('Ordenes_Odoo'!F2425="","",'Ordenes_Odoo'!F2425)</f>
        <v/>
      </c>
      <c r="G2425" s="79">
        <f>IF('Ordenes_Odoo'!G2425="","",'Ordenes_Odoo'!G2425)</f>
        <v/>
      </c>
      <c r="H2425" s="79">
        <f>IF('Ordenes_Odoo'!H2425="","",'Ordenes_Odoo'!H2425)</f>
        <v/>
      </c>
      <c r="I2425" s="79">
        <f>IF('Ordenes_Odoo'!I2425="","",'Ordenes_Odoo'!I2425)</f>
        <v/>
      </c>
      <c r="J2425" s="79">
        <f>IF('Ordenes_Odoo'!J2425="","",'Ordenes_Odoo'!J2425)</f>
        <v/>
      </c>
      <c r="K2425" s="81">
        <f>IF('Ordenes_Odoo'!K2425="","",'Ordenes_Odoo'!K2425)</f>
        <v/>
      </c>
      <c r="L2425" s="81">
        <f>IF('Ordenes_Odoo'!L2425="","",'Ordenes_Odoo'!L2425)</f>
        <v/>
      </c>
      <c r="M2425" s="79">
        <f>IF('Ordenes_Odoo'!M2425="","",'Ordenes_Odoo'!M2425)</f>
        <v/>
      </c>
      <c r="N2425" s="79">
        <f>IF('Ordenes_Odoo'!N2425="","",'Ordenes_Odoo'!N2425)</f>
        <v/>
      </c>
      <c r="O2425" s="81">
        <f>IF('Ordenes_Odoo'!O2425="","",'Ordenes_Odoo'!O2425)</f>
        <v/>
      </c>
      <c r="P2425" s="81">
        <f>IF('Ordenes_Odoo'!P2425="","",'Ordenes_Odoo'!P2425)</f>
        <v/>
      </c>
      <c r="Q2425" s="79">
        <f>IF(A2425="","",IFERROR(INDEX(Facturas_Odoo!$B:$B, MATCH(A2425, Facturas_Odoo!$D:$D, 0)), "Sin Factura"))</f>
        <v/>
      </c>
      <c r="R2425" s="80">
        <f>IF(Q2425="Sin Factura","",IFERROR(INDEX(Facturas_Odoo!$A:$A, MATCH(Q2425, Facturas_Odoo!$B:$B, 0)), ""))</f>
        <v/>
      </c>
      <c r="S2425" s="79">
        <f>IF(Q2425="Sin Factura","",IFERROR(_xlfn.XLOOKUP(1, (Facturas_Odoo!$D:$D=A2425) * (Facturas_Odoo!$K:$K=I2425), Facturas_Odoo!$L:$L, ""), ""))</f>
        <v/>
      </c>
      <c r="T2425" s="81">
        <f>IF(Q2425="Sin Factura",0,IFERROR(_xlfn.XLOOKUP(1, (Facturas_Odoo!$D:$D=A2425) * (Facturas_Odoo!$K:$K=I2425), Facturas_Odoo!$M:$M, 0), 0))</f>
        <v/>
      </c>
      <c r="U2425" s="79">
        <f>IF(Q2425="Sin Factura",0,IFERROR(_xlfn.XLOOKUP(1, (Facturas_Odoo!$D:$D=A2425) * (Facturas_Odoo!$K:$K=I2425), Facturas_Odoo!$N:$N, 0), 0))</f>
        <v/>
      </c>
      <c r="V2425" s="79">
        <f>IF(Q2425="Sin Factura",0,IFERROR(_xlfn.XLOOKUP(1, (Facturas_Odoo!$D:$D=A2425) * (Facturas_Odoo!$K:$K=I2425), Facturas_Odoo!$O:$O, 0), 0))</f>
        <v/>
      </c>
      <c r="W2425" s="81">
        <f>IF(Q2425="Sin Factura",0,IFERROR(_xlfn.XLOOKUP(1, (Facturas_Odoo!$D:$D=A2425) * (Facturas_Odoo!$K:$K=I2425), Facturas_Odoo!$Q:$Q, 0), 0))</f>
        <v/>
      </c>
      <c r="X2425" s="79">
        <f>IF(OR(Q2425="Sin Factura",Q2425=""),"",IFERROR(INDEX(Pagos_Odoo!$B:$B, MATCH(Q2425, Pagos_Odoo!$I:$I, 0)), "Sin Pago"))</f>
        <v/>
      </c>
      <c r="Y2425" s="79">
        <f>IF(X2425="Sin Pago","",IFERROR(INDEX(Pagos_Odoo!$C:$C, MATCH(X2425, Pagos_Odoo!$B:$B, 0)), ""))</f>
        <v/>
      </c>
      <c r="Z2425" s="80">
        <f>IF(X2425="Sin Pago","",IFERROR(INDEX(Pagos_Odoo!$A:$A, MATCH(X2425, Pagos_Odoo!$B:$B, 0)), ""))</f>
        <v/>
      </c>
      <c r="AA2425" s="79">
        <f>IF(X2425="Sin Pago","",IFERROR(INDEX(Pagos_Odoo!$F:$F, MATCH(X2425, Pagos_Odoo!$B:$B, 0)), ""))</f>
        <v/>
      </c>
      <c r="AB2425" s="81">
        <f>IF(X2425="Sin Pago",0,IFERROR(INDEX(Pagos_Odoo!$E:$E, MATCH(X2425, Pagos_Odoo!$B:$B, 0)), 0))</f>
        <v/>
      </c>
      <c r="AC2425" s="79">
        <f>IF(X2425="Sin Pago","",IFERROR(INDEX(Pagos_Odoo!$G:$G, MATCH(X2425, Pagos_Odoo!$B:$B, 0)), ""))</f>
        <v/>
      </c>
      <c r="AD2425" s="82" t="n">
        <v>0</v>
      </c>
      <c r="AE2425" s="82" t="n"/>
      <c r="AF2425" s="82" t="n"/>
      <c r="AG2425" s="82">
        <f>IF(AN2425="","",AD2425+AE2425+AF2425)</f>
        <v/>
      </c>
      <c r="AH2425" s="81">
        <f>IF(AN2425="","",P2425*(1-AG2425))</f>
        <v/>
      </c>
      <c r="AI2425" s="81">
        <f>IF(AN2425="","",IF(Q2425="Sin Factura",0,IFERROR(INDEX(Facturas_Odoo!$H:$H, MATCH(Q2425, Facturas_Odoo!$B:$B, 0)), 0)*(1-AG2425)))</f>
        <v/>
      </c>
      <c r="AJ2425" s="81">
        <f>IF(AN2425="","",_xlfn.LET(idVenta, AN2425&amp;"",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25" s="81">
        <f>IF(AN2425="","",AH2425-AJ2425)</f>
        <v/>
      </c>
      <c r="AL2425" s="81">
        <f>IF(AN2425="","",IF(Q2425="Sin Factura","",AI2425-AJ2425))</f>
        <v/>
      </c>
      <c r="AM2425" s="81">
        <f>IF(AN2425="","",IF(Q2425="Sin Factura",0,P2425-IFERROR(INDEX(Facturas_Odoo!$H:$H, MATCH(Q2425, Facturas_Odoo!$B:$B, 0)), 0)))</f>
        <v/>
      </c>
      <c r="AN2425" s="79">
        <f>IF(AND(A2425="", J2425=""), "", IF(A2425&lt;&gt;"", VALUE(MID(A2425,2,LEN(A2425))), AN2424))</f>
        <v/>
      </c>
      <c r="AO2425" s="79">
        <f>IF(AN2425="","",IF(AD2425=0,"OK",_xlfn.LET(monedaPago, IF(AA2425="","USD",AA2425), limitePermitido, IFERROR(VLOOKUP(monedaPago, Configuración!$A$2:$B$3, 2, FALSE), 0.15), IF(AD2425&gt;limitePermitido, "ALERTA: EXCESO (" &amp; TEXT(limitePermitido, "0%") &amp; " máx)", "OK"))))</f>
        <v/>
      </c>
      <c r="AP2425" s="79">
        <f>IF(AN2425="","",IF(AE2425=0,"OK",_xlfn.LET(fechaPago, Z2425, fechaFactura, R2425, diasCredito, IF(E2425="Pago inmediato", 0, IFERROR(VALUE(MID(E2425, 1, SEARCH(" ", E2425)-1)),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25" s="79">
        <f>IF(AN2425="","",IF(AND(N2425&gt;0, AG2425&gt;0), IF(Configuración!$K$2="NO", "ALERTA: DESCUENTO DOBLE NO PERMITIDO", "OK"), "OK"))</f>
        <v/>
      </c>
      <c r="AR2425" s="79">
        <f>IF(AN2425="","",IF(OR(AO2425&lt;&gt;"OK", AP2425&lt;&gt;"OK", AQ2425&lt;&gt;"OK"), "⚠️ REVISAR", "OK"))</f>
        <v/>
      </c>
    </row>
    <row r="2426">
      <c r="A2426" s="79">
        <f>IF('Ordenes_Odoo'!A2426="","",'Ordenes_Odoo'!A2426)</f>
        <v/>
      </c>
      <c r="B2426" s="80">
        <f>IF('Ordenes_Odoo'!B2426="","",'Ordenes_Odoo'!B2426)</f>
        <v/>
      </c>
      <c r="C2426" s="79">
        <f>IF('Ordenes_Odoo'!C2426="","",'Ordenes_Odoo'!C2426)</f>
        <v/>
      </c>
      <c r="D2426" s="79">
        <f>IF('Ordenes_Odoo'!D2426="","",'Ordenes_Odoo'!D2426)</f>
        <v/>
      </c>
      <c r="E2426" s="79">
        <f>IF('Ordenes_Odoo'!E2426="","",'Ordenes_Odoo'!E2426)</f>
        <v/>
      </c>
      <c r="F2426" s="79">
        <f>IF('Ordenes_Odoo'!F2426="","",'Ordenes_Odoo'!F2426)</f>
        <v/>
      </c>
      <c r="G2426" s="79">
        <f>IF('Ordenes_Odoo'!G2426="","",'Ordenes_Odoo'!G2426)</f>
        <v/>
      </c>
      <c r="H2426" s="79">
        <f>IF('Ordenes_Odoo'!H2426="","",'Ordenes_Odoo'!H2426)</f>
        <v/>
      </c>
      <c r="I2426" s="79">
        <f>IF('Ordenes_Odoo'!I2426="","",'Ordenes_Odoo'!I2426)</f>
        <v/>
      </c>
      <c r="J2426" s="79">
        <f>IF('Ordenes_Odoo'!J2426="","",'Ordenes_Odoo'!J2426)</f>
        <v/>
      </c>
      <c r="K2426" s="81">
        <f>IF('Ordenes_Odoo'!K2426="","",'Ordenes_Odoo'!K2426)</f>
        <v/>
      </c>
      <c r="L2426" s="81">
        <f>IF('Ordenes_Odoo'!L2426="","",'Ordenes_Odoo'!L2426)</f>
        <v/>
      </c>
      <c r="M2426" s="79">
        <f>IF('Ordenes_Odoo'!M2426="","",'Ordenes_Odoo'!M2426)</f>
        <v/>
      </c>
      <c r="N2426" s="79">
        <f>IF('Ordenes_Odoo'!N2426="","",'Ordenes_Odoo'!N2426)</f>
        <v/>
      </c>
      <c r="O2426" s="81">
        <f>IF('Ordenes_Odoo'!O2426="","",'Ordenes_Odoo'!O2426)</f>
        <v/>
      </c>
      <c r="P2426" s="81">
        <f>IF('Ordenes_Odoo'!P2426="","",'Ordenes_Odoo'!P2426)</f>
        <v/>
      </c>
      <c r="Q2426" s="79">
        <f>IF(A2426="","",IFERROR(INDEX(Facturas_Odoo!$B:$B, MATCH(A2426, Facturas_Odoo!$D:$D, 0)), "Sin Factura"))</f>
        <v/>
      </c>
      <c r="R2426" s="80">
        <f>IF(Q2426="Sin Factura","",IFERROR(INDEX(Facturas_Odoo!$A:$A, MATCH(Q2426, Facturas_Odoo!$B:$B, 0)), ""))</f>
        <v/>
      </c>
      <c r="S2426" s="79">
        <f>IF(Q2426="Sin Factura","",IFERROR(_xlfn.XLOOKUP(1, (Facturas_Odoo!$D:$D=A2426) * (Facturas_Odoo!$K:$K=I2426), Facturas_Odoo!$L:$L, ""), ""))</f>
        <v/>
      </c>
      <c r="T2426" s="81">
        <f>IF(Q2426="Sin Factura",0,IFERROR(_xlfn.XLOOKUP(1, (Facturas_Odoo!$D:$D=A2426) * (Facturas_Odoo!$K:$K=I2426), Facturas_Odoo!$M:$M, 0), 0))</f>
        <v/>
      </c>
      <c r="U2426" s="79">
        <f>IF(Q2426="Sin Factura",0,IFERROR(_xlfn.XLOOKUP(1, (Facturas_Odoo!$D:$D=A2426) * (Facturas_Odoo!$K:$K=I2426), Facturas_Odoo!$N:$N, 0), 0))</f>
        <v/>
      </c>
      <c r="V2426" s="79">
        <f>IF(Q2426="Sin Factura",0,IFERROR(_xlfn.XLOOKUP(1, (Facturas_Odoo!$D:$D=A2426) * (Facturas_Odoo!$K:$K=I2426), Facturas_Odoo!$O:$O, 0), 0))</f>
        <v/>
      </c>
      <c r="W2426" s="81">
        <f>IF(Q2426="Sin Factura",0,IFERROR(_xlfn.XLOOKUP(1, (Facturas_Odoo!$D:$D=A2426) * (Facturas_Odoo!$K:$K=I2426), Facturas_Odoo!$Q:$Q, 0), 0))</f>
        <v/>
      </c>
      <c r="X2426" s="79">
        <f>IF(OR(Q2426="Sin Factura",Q2426=""),"",IFERROR(INDEX(Pagos_Odoo!$B:$B, MATCH(Q2426, Pagos_Odoo!$I:$I, 0)), "Sin Pago"))</f>
        <v/>
      </c>
      <c r="Y2426" s="79">
        <f>IF(X2426="Sin Pago","",IFERROR(INDEX(Pagos_Odoo!$C:$C, MATCH(X2426, Pagos_Odoo!$B:$B, 0)), ""))</f>
        <v/>
      </c>
      <c r="Z2426" s="80">
        <f>IF(X2426="Sin Pago","",IFERROR(INDEX(Pagos_Odoo!$A:$A, MATCH(X2426, Pagos_Odoo!$B:$B, 0)), ""))</f>
        <v/>
      </c>
      <c r="AA2426" s="79">
        <f>IF(X2426="Sin Pago","",IFERROR(INDEX(Pagos_Odoo!$F:$F, MATCH(X2426, Pagos_Odoo!$B:$B, 0)), ""))</f>
        <v/>
      </c>
      <c r="AB2426" s="81">
        <f>IF(X2426="Sin Pago",0,IFERROR(INDEX(Pagos_Odoo!$E:$E, MATCH(X2426, Pagos_Odoo!$B:$B, 0)), 0))</f>
        <v/>
      </c>
      <c r="AC2426" s="79">
        <f>IF(X2426="Sin Pago","",IFERROR(INDEX(Pagos_Odoo!$G:$G, MATCH(X2426, Pagos_Odoo!$B:$B, 0)), ""))</f>
        <v/>
      </c>
      <c r="AD2426" s="82" t="n">
        <v>0</v>
      </c>
      <c r="AE2426" s="82" t="n"/>
      <c r="AF2426" s="82" t="n"/>
      <c r="AG2426" s="82">
        <f>IF(AN2426="","",AD2426+AE2426+AF2426)</f>
        <v/>
      </c>
      <c r="AH2426" s="81">
        <f>IF(AN2426="","",P2426*(1-AG2426))</f>
        <v/>
      </c>
      <c r="AI2426" s="81">
        <f>IF(AN2426="","",IF(Q2426="Sin Factura",0,IFERROR(INDEX(Facturas_Odoo!$H:$H, MATCH(Q2426, Facturas_Odoo!$B:$B, 0)), 0)*(1-AG2426)))</f>
        <v/>
      </c>
      <c r="AJ2426" s="81">
        <f>IF(AN2426="","",_xlfn.LET(idVenta, AN2426&amp;"",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26" s="81">
        <f>IF(AN2426="","",AH2426-AJ2426)</f>
        <v/>
      </c>
      <c r="AL2426" s="81">
        <f>IF(AN2426="","",IF(Q2426="Sin Factura","",AI2426-AJ2426))</f>
        <v/>
      </c>
      <c r="AM2426" s="81">
        <f>IF(AN2426="","",IF(Q2426="Sin Factura",0,P2426-IFERROR(INDEX(Facturas_Odoo!$H:$H, MATCH(Q2426, Facturas_Odoo!$B:$B, 0)), 0)))</f>
        <v/>
      </c>
      <c r="AN2426" s="79">
        <f>IF(AND(A2426="", J2426=""), "", IF(A2426&lt;&gt;"", VALUE(MID(A2426,2,LEN(A2426))), AN2425))</f>
        <v/>
      </c>
      <c r="AO2426" s="79">
        <f>IF(AN2426="","",IF(AD2426=0,"OK",_xlfn.LET(monedaPago, IF(AA2426="","USD",AA2426), limitePermitido, IFERROR(VLOOKUP(monedaPago, Configuración!$A$2:$B$3, 2, FALSE), 0.15), IF(AD2426&gt;limitePermitido, "ALERTA: EXCESO (" &amp; TEXT(limitePermitido, "0%") &amp; " máx)", "OK"))))</f>
        <v/>
      </c>
      <c r="AP2426" s="79">
        <f>IF(AN2426="","",IF(AE2426=0,"OK",_xlfn.LET(fechaPago, Z2426, fechaFactura, R2426, diasCredito, IF(E2426="Pago inmediato", 0, IFERROR(VALUE(MID(E2426, 1, SEARCH(" ", E2426)-1)),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26" s="79">
        <f>IF(AN2426="","",IF(AND(N2426&gt;0, AG2426&gt;0), IF(Configuración!$K$2="NO", "ALERTA: DESCUENTO DOBLE NO PERMITIDO", "OK"), "OK"))</f>
        <v/>
      </c>
      <c r="AR2426" s="79">
        <f>IF(AN2426="","",IF(OR(AO2426&lt;&gt;"OK", AP2426&lt;&gt;"OK", AQ2426&lt;&gt;"OK"), "⚠️ REVISAR", "OK"))</f>
        <v/>
      </c>
    </row>
    <row r="2427">
      <c r="A2427" s="79">
        <f>IF('Ordenes_Odoo'!A2427="","",'Ordenes_Odoo'!A2427)</f>
        <v/>
      </c>
      <c r="B2427" s="80">
        <f>IF('Ordenes_Odoo'!B2427="","",'Ordenes_Odoo'!B2427)</f>
        <v/>
      </c>
      <c r="C2427" s="79">
        <f>IF('Ordenes_Odoo'!C2427="","",'Ordenes_Odoo'!C2427)</f>
        <v/>
      </c>
      <c r="D2427" s="79">
        <f>IF('Ordenes_Odoo'!D2427="","",'Ordenes_Odoo'!D2427)</f>
        <v/>
      </c>
      <c r="E2427" s="79">
        <f>IF('Ordenes_Odoo'!E2427="","",'Ordenes_Odoo'!E2427)</f>
        <v/>
      </c>
      <c r="F2427" s="79">
        <f>IF('Ordenes_Odoo'!F2427="","",'Ordenes_Odoo'!F2427)</f>
        <v/>
      </c>
      <c r="G2427" s="79">
        <f>IF('Ordenes_Odoo'!G2427="","",'Ordenes_Odoo'!G2427)</f>
        <v/>
      </c>
      <c r="H2427" s="79">
        <f>IF('Ordenes_Odoo'!H2427="","",'Ordenes_Odoo'!H2427)</f>
        <v/>
      </c>
      <c r="I2427" s="79">
        <f>IF('Ordenes_Odoo'!I2427="","",'Ordenes_Odoo'!I2427)</f>
        <v/>
      </c>
      <c r="J2427" s="79">
        <f>IF('Ordenes_Odoo'!J2427="","",'Ordenes_Odoo'!J2427)</f>
        <v/>
      </c>
      <c r="K2427" s="81">
        <f>IF('Ordenes_Odoo'!K2427="","",'Ordenes_Odoo'!K2427)</f>
        <v/>
      </c>
      <c r="L2427" s="81">
        <f>IF('Ordenes_Odoo'!L2427="","",'Ordenes_Odoo'!L2427)</f>
        <v/>
      </c>
      <c r="M2427" s="79">
        <f>IF('Ordenes_Odoo'!M2427="","",'Ordenes_Odoo'!M2427)</f>
        <v/>
      </c>
      <c r="N2427" s="79">
        <f>IF('Ordenes_Odoo'!N2427="","",'Ordenes_Odoo'!N2427)</f>
        <v/>
      </c>
      <c r="O2427" s="81">
        <f>IF('Ordenes_Odoo'!O2427="","",'Ordenes_Odoo'!O2427)</f>
        <v/>
      </c>
      <c r="P2427" s="81">
        <f>IF('Ordenes_Odoo'!P2427="","",'Ordenes_Odoo'!P2427)</f>
        <v/>
      </c>
      <c r="Q2427" s="79">
        <f>IF(A2427="","",IFERROR(INDEX(Facturas_Odoo!$B:$B, MATCH(A2427, Facturas_Odoo!$D:$D, 0)), "Sin Factura"))</f>
        <v/>
      </c>
      <c r="R2427" s="80">
        <f>IF(Q2427="Sin Factura","",IFERROR(INDEX(Facturas_Odoo!$A:$A, MATCH(Q2427, Facturas_Odoo!$B:$B, 0)), ""))</f>
        <v/>
      </c>
      <c r="S2427" s="79">
        <f>IF(Q2427="Sin Factura","",IFERROR(_xlfn.XLOOKUP(1, (Facturas_Odoo!$D:$D=A2427) * (Facturas_Odoo!$K:$K=I2427), Facturas_Odoo!$L:$L, ""), ""))</f>
        <v/>
      </c>
      <c r="T2427" s="81">
        <f>IF(Q2427="Sin Factura",0,IFERROR(_xlfn.XLOOKUP(1, (Facturas_Odoo!$D:$D=A2427) * (Facturas_Odoo!$K:$K=I2427), Facturas_Odoo!$M:$M, 0), 0))</f>
        <v/>
      </c>
      <c r="U2427" s="79">
        <f>IF(Q2427="Sin Factura",0,IFERROR(_xlfn.XLOOKUP(1, (Facturas_Odoo!$D:$D=A2427) * (Facturas_Odoo!$K:$K=I2427), Facturas_Odoo!$N:$N, 0), 0))</f>
        <v/>
      </c>
      <c r="V2427" s="79">
        <f>IF(Q2427="Sin Factura",0,IFERROR(_xlfn.XLOOKUP(1, (Facturas_Odoo!$D:$D=A2427) * (Facturas_Odoo!$K:$K=I2427), Facturas_Odoo!$O:$O, 0), 0))</f>
        <v/>
      </c>
      <c r="W2427" s="81">
        <f>IF(Q2427="Sin Factura",0,IFERROR(_xlfn.XLOOKUP(1, (Facturas_Odoo!$D:$D=A2427) * (Facturas_Odoo!$K:$K=I2427), Facturas_Odoo!$Q:$Q, 0), 0))</f>
        <v/>
      </c>
      <c r="X2427" s="79">
        <f>IF(OR(Q2427="Sin Factura",Q2427=""),"",IFERROR(INDEX(Pagos_Odoo!$B:$B, MATCH(Q2427, Pagos_Odoo!$I:$I, 0)), "Sin Pago"))</f>
        <v/>
      </c>
      <c r="Y2427" s="79">
        <f>IF(X2427="Sin Pago","",IFERROR(INDEX(Pagos_Odoo!$C:$C, MATCH(X2427, Pagos_Odoo!$B:$B, 0)), ""))</f>
        <v/>
      </c>
      <c r="Z2427" s="80">
        <f>IF(X2427="Sin Pago","",IFERROR(INDEX(Pagos_Odoo!$A:$A, MATCH(X2427, Pagos_Odoo!$B:$B, 0)), ""))</f>
        <v/>
      </c>
      <c r="AA2427" s="79">
        <f>IF(X2427="Sin Pago","",IFERROR(INDEX(Pagos_Odoo!$F:$F, MATCH(X2427, Pagos_Odoo!$B:$B, 0)), ""))</f>
        <v/>
      </c>
      <c r="AB2427" s="81">
        <f>IF(X2427="Sin Pago",0,IFERROR(INDEX(Pagos_Odoo!$E:$E, MATCH(X2427, Pagos_Odoo!$B:$B, 0)), 0))</f>
        <v/>
      </c>
      <c r="AC2427" s="79">
        <f>IF(X2427="Sin Pago","",IFERROR(INDEX(Pagos_Odoo!$G:$G, MATCH(X2427, Pagos_Odoo!$B:$B, 0)), ""))</f>
        <v/>
      </c>
      <c r="AD2427" s="82" t="n">
        <v>0</v>
      </c>
      <c r="AE2427" s="82" t="n"/>
      <c r="AF2427" s="82" t="n"/>
      <c r="AG2427" s="82">
        <f>IF(AN2427="","",AD2427+AE2427+AF2427)</f>
        <v/>
      </c>
      <c r="AH2427" s="81">
        <f>IF(AN2427="","",P2427*(1-AG2427))</f>
        <v/>
      </c>
      <c r="AI2427" s="81">
        <f>IF(AN2427="","",IF(Q2427="Sin Factura",0,IFERROR(INDEX(Facturas_Odoo!$H:$H, MATCH(Q2427, Facturas_Odoo!$B:$B, 0)), 0)*(1-AG2427)))</f>
        <v/>
      </c>
      <c r="AJ2427" s="81">
        <f>IF(AN2427="","",_xlfn.LET(idVenta, AN2427&amp;"",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27" s="81">
        <f>IF(AN2427="","",AH2427-AJ2427)</f>
        <v/>
      </c>
      <c r="AL2427" s="81">
        <f>IF(AN2427="","",IF(Q2427="Sin Factura","",AI2427-AJ2427))</f>
        <v/>
      </c>
      <c r="AM2427" s="81">
        <f>IF(AN2427="","",IF(Q2427="Sin Factura",0,P2427-IFERROR(INDEX(Facturas_Odoo!$H:$H, MATCH(Q2427, Facturas_Odoo!$B:$B, 0)), 0)))</f>
        <v/>
      </c>
      <c r="AN2427" s="79">
        <f>IF(AND(A2427="", J2427=""), "", IF(A2427&lt;&gt;"", VALUE(MID(A2427,2,LEN(A2427))), AN2426))</f>
        <v/>
      </c>
      <c r="AO2427" s="79">
        <f>IF(AN2427="","",IF(AD2427=0,"OK",_xlfn.LET(monedaPago, IF(AA2427="","USD",AA2427), limitePermitido, IFERROR(VLOOKUP(monedaPago, Configuración!$A$2:$B$3, 2, FALSE), 0.15), IF(AD2427&gt;limitePermitido, "ALERTA: EXCESO (" &amp; TEXT(limitePermitido, "0%") &amp; " máx)", "OK"))))</f>
        <v/>
      </c>
      <c r="AP2427" s="79">
        <f>IF(AN2427="","",IF(AE2427=0,"OK",_xlfn.LET(fechaPago, Z2427, fechaFactura, R2427, diasCredito, IF(E2427="Pago inmediato", 0, IFERROR(VALUE(MID(E2427, 1, SEARCH(" ", E2427)-1)),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27" s="79">
        <f>IF(AN2427="","",IF(AND(N2427&gt;0, AG2427&gt;0), IF(Configuración!$K$2="NO", "ALERTA: DESCUENTO DOBLE NO PERMITIDO", "OK"), "OK"))</f>
        <v/>
      </c>
      <c r="AR2427" s="79">
        <f>IF(AN2427="","",IF(OR(AO2427&lt;&gt;"OK", AP2427&lt;&gt;"OK", AQ2427&lt;&gt;"OK"), "⚠️ REVISAR", "OK"))</f>
        <v/>
      </c>
    </row>
    <row r="2428">
      <c r="A2428" s="79">
        <f>IF('Ordenes_Odoo'!A2428="","",'Ordenes_Odoo'!A2428)</f>
        <v/>
      </c>
      <c r="B2428" s="80">
        <f>IF('Ordenes_Odoo'!B2428="","",'Ordenes_Odoo'!B2428)</f>
        <v/>
      </c>
      <c r="C2428" s="79">
        <f>IF('Ordenes_Odoo'!C2428="","",'Ordenes_Odoo'!C2428)</f>
        <v/>
      </c>
      <c r="D2428" s="79">
        <f>IF('Ordenes_Odoo'!D2428="","",'Ordenes_Odoo'!D2428)</f>
        <v/>
      </c>
      <c r="E2428" s="79">
        <f>IF('Ordenes_Odoo'!E2428="","",'Ordenes_Odoo'!E2428)</f>
        <v/>
      </c>
      <c r="F2428" s="79">
        <f>IF('Ordenes_Odoo'!F2428="","",'Ordenes_Odoo'!F2428)</f>
        <v/>
      </c>
      <c r="G2428" s="79">
        <f>IF('Ordenes_Odoo'!G2428="","",'Ordenes_Odoo'!G2428)</f>
        <v/>
      </c>
      <c r="H2428" s="79">
        <f>IF('Ordenes_Odoo'!H2428="","",'Ordenes_Odoo'!H2428)</f>
        <v/>
      </c>
      <c r="I2428" s="79">
        <f>IF('Ordenes_Odoo'!I2428="","",'Ordenes_Odoo'!I2428)</f>
        <v/>
      </c>
      <c r="J2428" s="79">
        <f>IF('Ordenes_Odoo'!J2428="","",'Ordenes_Odoo'!J2428)</f>
        <v/>
      </c>
      <c r="K2428" s="81">
        <f>IF('Ordenes_Odoo'!K2428="","",'Ordenes_Odoo'!K2428)</f>
        <v/>
      </c>
      <c r="L2428" s="81">
        <f>IF('Ordenes_Odoo'!L2428="","",'Ordenes_Odoo'!L2428)</f>
        <v/>
      </c>
      <c r="M2428" s="79">
        <f>IF('Ordenes_Odoo'!M2428="","",'Ordenes_Odoo'!M2428)</f>
        <v/>
      </c>
      <c r="N2428" s="79">
        <f>IF('Ordenes_Odoo'!N2428="","",'Ordenes_Odoo'!N2428)</f>
        <v/>
      </c>
      <c r="O2428" s="81">
        <f>IF('Ordenes_Odoo'!O2428="","",'Ordenes_Odoo'!O2428)</f>
        <v/>
      </c>
      <c r="P2428" s="81">
        <f>IF('Ordenes_Odoo'!P2428="","",'Ordenes_Odoo'!P2428)</f>
        <v/>
      </c>
      <c r="Q2428" s="79">
        <f>IF(A2428="","",IFERROR(INDEX(Facturas_Odoo!$B:$B, MATCH(A2428, Facturas_Odoo!$D:$D, 0)), "Sin Factura"))</f>
        <v/>
      </c>
      <c r="R2428" s="80">
        <f>IF(Q2428="Sin Factura","",IFERROR(INDEX(Facturas_Odoo!$A:$A, MATCH(Q2428, Facturas_Odoo!$B:$B, 0)), ""))</f>
        <v/>
      </c>
      <c r="S2428" s="79">
        <f>IF(Q2428="Sin Factura","",IFERROR(_xlfn.XLOOKUP(1, (Facturas_Odoo!$D:$D=A2428) * (Facturas_Odoo!$K:$K=I2428), Facturas_Odoo!$L:$L, ""), ""))</f>
        <v/>
      </c>
      <c r="T2428" s="81">
        <f>IF(Q2428="Sin Factura",0,IFERROR(_xlfn.XLOOKUP(1, (Facturas_Odoo!$D:$D=A2428) * (Facturas_Odoo!$K:$K=I2428), Facturas_Odoo!$M:$M, 0), 0))</f>
        <v/>
      </c>
      <c r="U2428" s="79">
        <f>IF(Q2428="Sin Factura",0,IFERROR(_xlfn.XLOOKUP(1, (Facturas_Odoo!$D:$D=A2428) * (Facturas_Odoo!$K:$K=I2428), Facturas_Odoo!$N:$N, 0), 0))</f>
        <v/>
      </c>
      <c r="V2428" s="79">
        <f>IF(Q2428="Sin Factura",0,IFERROR(_xlfn.XLOOKUP(1, (Facturas_Odoo!$D:$D=A2428) * (Facturas_Odoo!$K:$K=I2428), Facturas_Odoo!$O:$O, 0), 0))</f>
        <v/>
      </c>
      <c r="W2428" s="81">
        <f>IF(Q2428="Sin Factura",0,IFERROR(_xlfn.XLOOKUP(1, (Facturas_Odoo!$D:$D=A2428) * (Facturas_Odoo!$K:$K=I2428), Facturas_Odoo!$Q:$Q, 0), 0))</f>
        <v/>
      </c>
      <c r="X2428" s="79">
        <f>IF(OR(Q2428="Sin Factura",Q2428=""),"",IFERROR(INDEX(Pagos_Odoo!$B:$B, MATCH(Q2428, Pagos_Odoo!$I:$I, 0)), "Sin Pago"))</f>
        <v/>
      </c>
      <c r="Y2428" s="79">
        <f>IF(X2428="Sin Pago","",IFERROR(INDEX(Pagos_Odoo!$C:$C, MATCH(X2428, Pagos_Odoo!$B:$B, 0)), ""))</f>
        <v/>
      </c>
      <c r="Z2428" s="80">
        <f>IF(X2428="Sin Pago","",IFERROR(INDEX(Pagos_Odoo!$A:$A, MATCH(X2428, Pagos_Odoo!$B:$B, 0)), ""))</f>
        <v/>
      </c>
      <c r="AA2428" s="79">
        <f>IF(X2428="Sin Pago","",IFERROR(INDEX(Pagos_Odoo!$F:$F, MATCH(X2428, Pagos_Odoo!$B:$B, 0)), ""))</f>
        <v/>
      </c>
      <c r="AB2428" s="81">
        <f>IF(X2428="Sin Pago",0,IFERROR(INDEX(Pagos_Odoo!$E:$E, MATCH(X2428, Pagos_Odoo!$B:$B, 0)), 0))</f>
        <v/>
      </c>
      <c r="AC2428" s="79">
        <f>IF(X2428="Sin Pago","",IFERROR(INDEX(Pagos_Odoo!$G:$G, MATCH(X2428, Pagos_Odoo!$B:$B, 0)), ""))</f>
        <v/>
      </c>
      <c r="AD2428" s="82" t="n">
        <v>0</v>
      </c>
      <c r="AE2428" s="82" t="n"/>
      <c r="AF2428" s="82" t="n"/>
      <c r="AG2428" s="82">
        <f>IF(AN2428="","",AD2428+AE2428+AF2428)</f>
        <v/>
      </c>
      <c r="AH2428" s="81">
        <f>IF(AN2428="","",P2428*(1-AG2428))</f>
        <v/>
      </c>
      <c r="AI2428" s="81">
        <f>IF(AN2428="","",IF(Q2428="Sin Factura",0,IFERROR(INDEX(Facturas_Odoo!$H:$H, MATCH(Q2428, Facturas_Odoo!$B:$B, 0)), 0)*(1-AG2428)))</f>
        <v/>
      </c>
      <c r="AJ2428" s="81">
        <f>IF(AN2428="","",_xlfn.LET(idVenta, AN2428&amp;"",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28" s="81">
        <f>IF(AN2428="","",AH2428-AJ2428)</f>
        <v/>
      </c>
      <c r="AL2428" s="81">
        <f>IF(AN2428="","",IF(Q2428="Sin Factura","",AI2428-AJ2428))</f>
        <v/>
      </c>
      <c r="AM2428" s="81">
        <f>IF(AN2428="","",IF(Q2428="Sin Factura",0,P2428-IFERROR(INDEX(Facturas_Odoo!$H:$H, MATCH(Q2428, Facturas_Odoo!$B:$B, 0)), 0)))</f>
        <v/>
      </c>
      <c r="AN2428" s="79">
        <f>IF(AND(A2428="", J2428=""), "", IF(A2428&lt;&gt;"", VALUE(MID(A2428,2,LEN(A2428))), AN2427))</f>
        <v/>
      </c>
      <c r="AO2428" s="79">
        <f>IF(AN2428="","",IF(AD2428=0,"OK",_xlfn.LET(monedaPago, IF(AA2428="","USD",AA2428), limitePermitido, IFERROR(VLOOKUP(monedaPago, Configuración!$A$2:$B$3, 2, FALSE), 0.15), IF(AD2428&gt;limitePermitido, "ALERTA: EXCESO (" &amp; TEXT(limitePermitido, "0%") &amp; " máx)", "OK"))))</f>
        <v/>
      </c>
      <c r="AP2428" s="79">
        <f>IF(AN2428="","",IF(AE2428=0,"OK",_xlfn.LET(fechaPago, Z2428, fechaFactura, R2428, diasCredito, IF(E2428="Pago inmediato", 0, IFERROR(VALUE(MID(E2428, 1, SEARCH(" ", E2428)-1)),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28" s="79">
        <f>IF(AN2428="","",IF(AND(N2428&gt;0, AG2428&gt;0), IF(Configuración!$K$2="NO", "ALERTA: DESCUENTO DOBLE NO PERMITIDO", "OK"), "OK"))</f>
        <v/>
      </c>
      <c r="AR2428" s="79">
        <f>IF(AN2428="","",IF(OR(AO2428&lt;&gt;"OK", AP2428&lt;&gt;"OK", AQ2428&lt;&gt;"OK"), "⚠️ REVISAR", "OK"))</f>
        <v/>
      </c>
    </row>
    <row r="2429">
      <c r="A2429" s="79">
        <f>IF('Ordenes_Odoo'!A2429="","",'Ordenes_Odoo'!A2429)</f>
        <v/>
      </c>
      <c r="B2429" s="80">
        <f>IF('Ordenes_Odoo'!B2429="","",'Ordenes_Odoo'!B2429)</f>
        <v/>
      </c>
      <c r="C2429" s="79">
        <f>IF('Ordenes_Odoo'!C2429="","",'Ordenes_Odoo'!C2429)</f>
        <v/>
      </c>
      <c r="D2429" s="79">
        <f>IF('Ordenes_Odoo'!D2429="","",'Ordenes_Odoo'!D2429)</f>
        <v/>
      </c>
      <c r="E2429" s="79">
        <f>IF('Ordenes_Odoo'!E2429="","",'Ordenes_Odoo'!E2429)</f>
        <v/>
      </c>
      <c r="F2429" s="79">
        <f>IF('Ordenes_Odoo'!F2429="","",'Ordenes_Odoo'!F2429)</f>
        <v/>
      </c>
      <c r="G2429" s="79">
        <f>IF('Ordenes_Odoo'!G2429="","",'Ordenes_Odoo'!G2429)</f>
        <v/>
      </c>
      <c r="H2429" s="79">
        <f>IF('Ordenes_Odoo'!H2429="","",'Ordenes_Odoo'!H2429)</f>
        <v/>
      </c>
      <c r="I2429" s="79">
        <f>IF('Ordenes_Odoo'!I2429="","",'Ordenes_Odoo'!I2429)</f>
        <v/>
      </c>
      <c r="J2429" s="79">
        <f>IF('Ordenes_Odoo'!J2429="","",'Ordenes_Odoo'!J2429)</f>
        <v/>
      </c>
      <c r="K2429" s="81">
        <f>IF('Ordenes_Odoo'!K2429="","",'Ordenes_Odoo'!K2429)</f>
        <v/>
      </c>
      <c r="L2429" s="81">
        <f>IF('Ordenes_Odoo'!L2429="","",'Ordenes_Odoo'!L2429)</f>
        <v/>
      </c>
      <c r="M2429" s="79">
        <f>IF('Ordenes_Odoo'!M2429="","",'Ordenes_Odoo'!M2429)</f>
        <v/>
      </c>
      <c r="N2429" s="79">
        <f>IF('Ordenes_Odoo'!N2429="","",'Ordenes_Odoo'!N2429)</f>
        <v/>
      </c>
      <c r="O2429" s="81">
        <f>IF('Ordenes_Odoo'!O2429="","",'Ordenes_Odoo'!O2429)</f>
        <v/>
      </c>
      <c r="P2429" s="81">
        <f>IF('Ordenes_Odoo'!P2429="","",'Ordenes_Odoo'!P2429)</f>
        <v/>
      </c>
      <c r="Q2429" s="79">
        <f>IF(A2429="","",IFERROR(INDEX(Facturas_Odoo!$B:$B, MATCH(A2429, Facturas_Odoo!$D:$D, 0)), "Sin Factura"))</f>
        <v/>
      </c>
      <c r="R2429" s="80">
        <f>IF(Q2429="Sin Factura","",IFERROR(INDEX(Facturas_Odoo!$A:$A, MATCH(Q2429, Facturas_Odoo!$B:$B, 0)), ""))</f>
        <v/>
      </c>
      <c r="S2429" s="79">
        <f>IF(Q2429="Sin Factura","",IFERROR(_xlfn.XLOOKUP(1, (Facturas_Odoo!$D:$D=A2429) * (Facturas_Odoo!$K:$K=I2429), Facturas_Odoo!$L:$L, ""), ""))</f>
        <v/>
      </c>
      <c r="T2429" s="81">
        <f>IF(Q2429="Sin Factura",0,IFERROR(_xlfn.XLOOKUP(1, (Facturas_Odoo!$D:$D=A2429) * (Facturas_Odoo!$K:$K=I2429), Facturas_Odoo!$M:$M, 0), 0))</f>
        <v/>
      </c>
      <c r="U2429" s="79">
        <f>IF(Q2429="Sin Factura",0,IFERROR(_xlfn.XLOOKUP(1, (Facturas_Odoo!$D:$D=A2429) * (Facturas_Odoo!$K:$K=I2429), Facturas_Odoo!$N:$N, 0), 0))</f>
        <v/>
      </c>
      <c r="V2429" s="79">
        <f>IF(Q2429="Sin Factura",0,IFERROR(_xlfn.XLOOKUP(1, (Facturas_Odoo!$D:$D=A2429) * (Facturas_Odoo!$K:$K=I2429), Facturas_Odoo!$O:$O, 0), 0))</f>
        <v/>
      </c>
      <c r="W2429" s="81">
        <f>IF(Q2429="Sin Factura",0,IFERROR(_xlfn.XLOOKUP(1, (Facturas_Odoo!$D:$D=A2429) * (Facturas_Odoo!$K:$K=I2429), Facturas_Odoo!$Q:$Q, 0), 0))</f>
        <v/>
      </c>
      <c r="X2429" s="79">
        <f>IF(OR(Q2429="Sin Factura",Q2429=""),"",IFERROR(INDEX(Pagos_Odoo!$B:$B, MATCH(Q2429, Pagos_Odoo!$I:$I, 0)), "Sin Pago"))</f>
        <v/>
      </c>
      <c r="Y2429" s="79">
        <f>IF(X2429="Sin Pago","",IFERROR(INDEX(Pagos_Odoo!$C:$C, MATCH(X2429, Pagos_Odoo!$B:$B, 0)), ""))</f>
        <v/>
      </c>
      <c r="Z2429" s="80">
        <f>IF(X2429="Sin Pago","",IFERROR(INDEX(Pagos_Odoo!$A:$A, MATCH(X2429, Pagos_Odoo!$B:$B, 0)), ""))</f>
        <v/>
      </c>
      <c r="AA2429" s="79">
        <f>IF(X2429="Sin Pago","",IFERROR(INDEX(Pagos_Odoo!$F:$F, MATCH(X2429, Pagos_Odoo!$B:$B, 0)), ""))</f>
        <v/>
      </c>
      <c r="AB2429" s="81">
        <f>IF(X2429="Sin Pago",0,IFERROR(INDEX(Pagos_Odoo!$E:$E, MATCH(X2429, Pagos_Odoo!$B:$B, 0)), 0))</f>
        <v/>
      </c>
      <c r="AC2429" s="79">
        <f>IF(X2429="Sin Pago","",IFERROR(INDEX(Pagos_Odoo!$G:$G, MATCH(X2429, Pagos_Odoo!$B:$B, 0)), ""))</f>
        <v/>
      </c>
      <c r="AD2429" s="82" t="n">
        <v>0</v>
      </c>
      <c r="AE2429" s="82" t="n"/>
      <c r="AF2429" s="82" t="n"/>
      <c r="AG2429" s="82">
        <f>IF(AN2429="","",AD2429+AE2429+AF2429)</f>
        <v/>
      </c>
      <c r="AH2429" s="81">
        <f>IF(AN2429="","",P2429*(1-AG2429))</f>
        <v/>
      </c>
      <c r="AI2429" s="81">
        <f>IF(AN2429="","",IF(Q2429="Sin Factura",0,IFERROR(INDEX(Facturas_Odoo!$H:$H, MATCH(Q2429, Facturas_Odoo!$B:$B, 0)), 0)*(1-AG2429)))</f>
        <v/>
      </c>
      <c r="AJ2429" s="81">
        <f>IF(AN2429="","",_xlfn.LET(idVenta, AN2429&amp;"",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29" s="81">
        <f>IF(AN2429="","",AH2429-AJ2429)</f>
        <v/>
      </c>
      <c r="AL2429" s="81">
        <f>IF(AN2429="","",IF(Q2429="Sin Factura","",AI2429-AJ2429))</f>
        <v/>
      </c>
      <c r="AM2429" s="81">
        <f>IF(AN2429="","",IF(Q2429="Sin Factura",0,P2429-IFERROR(INDEX(Facturas_Odoo!$H:$H, MATCH(Q2429, Facturas_Odoo!$B:$B, 0)), 0)))</f>
        <v/>
      </c>
      <c r="AN2429" s="79">
        <f>IF(AND(A2429="", J2429=""), "", IF(A2429&lt;&gt;"", VALUE(MID(A2429,2,LEN(A2429))), AN2428))</f>
        <v/>
      </c>
      <c r="AO2429" s="79">
        <f>IF(AN2429="","",IF(AD2429=0,"OK",_xlfn.LET(monedaPago, IF(AA2429="","USD",AA2429), limitePermitido, IFERROR(VLOOKUP(monedaPago, Configuración!$A$2:$B$3, 2, FALSE), 0.15), IF(AD2429&gt;limitePermitido, "ALERTA: EXCESO (" &amp; TEXT(limitePermitido, "0%") &amp; " máx)", "OK"))))</f>
        <v/>
      </c>
      <c r="AP2429" s="79">
        <f>IF(AN2429="","",IF(AE2429=0,"OK",_xlfn.LET(fechaPago, Z2429, fechaFactura, R2429, diasCredito, IF(E2429="Pago inmediato", 0, IFERROR(VALUE(MID(E2429, 1, SEARCH(" ", E2429)-1)),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29" s="79">
        <f>IF(AN2429="","",IF(AND(N2429&gt;0, AG2429&gt;0), IF(Configuración!$K$2="NO", "ALERTA: DESCUENTO DOBLE NO PERMITIDO", "OK"), "OK"))</f>
        <v/>
      </c>
      <c r="AR2429" s="79">
        <f>IF(AN2429="","",IF(OR(AO2429&lt;&gt;"OK", AP2429&lt;&gt;"OK", AQ2429&lt;&gt;"OK"), "⚠️ REVISAR", "OK"))</f>
        <v/>
      </c>
    </row>
    <row r="2430">
      <c r="A2430" s="79">
        <f>IF('Ordenes_Odoo'!A2430="","",'Ordenes_Odoo'!A2430)</f>
        <v/>
      </c>
      <c r="B2430" s="80">
        <f>IF('Ordenes_Odoo'!B2430="","",'Ordenes_Odoo'!B2430)</f>
        <v/>
      </c>
      <c r="C2430" s="79">
        <f>IF('Ordenes_Odoo'!C2430="","",'Ordenes_Odoo'!C2430)</f>
        <v/>
      </c>
      <c r="D2430" s="79">
        <f>IF('Ordenes_Odoo'!D2430="","",'Ordenes_Odoo'!D2430)</f>
        <v/>
      </c>
      <c r="E2430" s="79">
        <f>IF('Ordenes_Odoo'!E2430="","",'Ordenes_Odoo'!E2430)</f>
        <v/>
      </c>
      <c r="F2430" s="79">
        <f>IF('Ordenes_Odoo'!F2430="","",'Ordenes_Odoo'!F2430)</f>
        <v/>
      </c>
      <c r="G2430" s="79">
        <f>IF('Ordenes_Odoo'!G2430="","",'Ordenes_Odoo'!G2430)</f>
        <v/>
      </c>
      <c r="H2430" s="79">
        <f>IF('Ordenes_Odoo'!H2430="","",'Ordenes_Odoo'!H2430)</f>
        <v/>
      </c>
      <c r="I2430" s="79">
        <f>IF('Ordenes_Odoo'!I2430="","",'Ordenes_Odoo'!I2430)</f>
        <v/>
      </c>
      <c r="J2430" s="79">
        <f>IF('Ordenes_Odoo'!J2430="","",'Ordenes_Odoo'!J2430)</f>
        <v/>
      </c>
      <c r="K2430" s="81">
        <f>IF('Ordenes_Odoo'!K2430="","",'Ordenes_Odoo'!K2430)</f>
        <v/>
      </c>
      <c r="L2430" s="81">
        <f>IF('Ordenes_Odoo'!L2430="","",'Ordenes_Odoo'!L2430)</f>
        <v/>
      </c>
      <c r="M2430" s="79">
        <f>IF('Ordenes_Odoo'!M2430="","",'Ordenes_Odoo'!M2430)</f>
        <v/>
      </c>
      <c r="N2430" s="79">
        <f>IF('Ordenes_Odoo'!N2430="","",'Ordenes_Odoo'!N2430)</f>
        <v/>
      </c>
      <c r="O2430" s="81">
        <f>IF('Ordenes_Odoo'!O2430="","",'Ordenes_Odoo'!O2430)</f>
        <v/>
      </c>
      <c r="P2430" s="81">
        <f>IF('Ordenes_Odoo'!P2430="","",'Ordenes_Odoo'!P2430)</f>
        <v/>
      </c>
      <c r="Q2430" s="79">
        <f>IF(A2430="","",IFERROR(INDEX(Facturas_Odoo!$B:$B, MATCH(A2430, Facturas_Odoo!$D:$D, 0)), "Sin Factura"))</f>
        <v/>
      </c>
      <c r="R2430" s="80">
        <f>IF(Q2430="Sin Factura","",IFERROR(INDEX(Facturas_Odoo!$A:$A, MATCH(Q2430, Facturas_Odoo!$B:$B, 0)), ""))</f>
        <v/>
      </c>
      <c r="S2430" s="79">
        <f>IF(Q2430="Sin Factura","",IFERROR(_xlfn.XLOOKUP(1, (Facturas_Odoo!$D:$D=A2430) * (Facturas_Odoo!$K:$K=I2430), Facturas_Odoo!$L:$L, ""), ""))</f>
        <v/>
      </c>
      <c r="T2430" s="81">
        <f>IF(Q2430="Sin Factura",0,IFERROR(_xlfn.XLOOKUP(1, (Facturas_Odoo!$D:$D=A2430) * (Facturas_Odoo!$K:$K=I2430), Facturas_Odoo!$M:$M, 0), 0))</f>
        <v/>
      </c>
      <c r="U2430" s="79">
        <f>IF(Q2430="Sin Factura",0,IFERROR(_xlfn.XLOOKUP(1, (Facturas_Odoo!$D:$D=A2430) * (Facturas_Odoo!$K:$K=I2430), Facturas_Odoo!$N:$N, 0), 0))</f>
        <v/>
      </c>
      <c r="V2430" s="79">
        <f>IF(Q2430="Sin Factura",0,IFERROR(_xlfn.XLOOKUP(1, (Facturas_Odoo!$D:$D=A2430) * (Facturas_Odoo!$K:$K=I2430), Facturas_Odoo!$O:$O, 0), 0))</f>
        <v/>
      </c>
      <c r="W2430" s="81">
        <f>IF(Q2430="Sin Factura",0,IFERROR(_xlfn.XLOOKUP(1, (Facturas_Odoo!$D:$D=A2430) * (Facturas_Odoo!$K:$K=I2430), Facturas_Odoo!$Q:$Q, 0), 0))</f>
        <v/>
      </c>
      <c r="X2430" s="79">
        <f>IF(OR(Q2430="Sin Factura",Q2430=""),"",IFERROR(INDEX(Pagos_Odoo!$B:$B, MATCH(Q2430, Pagos_Odoo!$I:$I, 0)), "Sin Pago"))</f>
        <v/>
      </c>
      <c r="Y2430" s="79">
        <f>IF(X2430="Sin Pago","",IFERROR(INDEX(Pagos_Odoo!$C:$C, MATCH(X2430, Pagos_Odoo!$B:$B, 0)), ""))</f>
        <v/>
      </c>
      <c r="Z2430" s="80">
        <f>IF(X2430="Sin Pago","",IFERROR(INDEX(Pagos_Odoo!$A:$A, MATCH(X2430, Pagos_Odoo!$B:$B, 0)), ""))</f>
        <v/>
      </c>
      <c r="AA2430" s="79">
        <f>IF(X2430="Sin Pago","",IFERROR(INDEX(Pagos_Odoo!$F:$F, MATCH(X2430, Pagos_Odoo!$B:$B, 0)), ""))</f>
        <v/>
      </c>
      <c r="AB2430" s="81">
        <f>IF(X2430="Sin Pago",0,IFERROR(INDEX(Pagos_Odoo!$E:$E, MATCH(X2430, Pagos_Odoo!$B:$B, 0)), 0))</f>
        <v/>
      </c>
      <c r="AC2430" s="79">
        <f>IF(X2430="Sin Pago","",IFERROR(INDEX(Pagos_Odoo!$G:$G, MATCH(X2430, Pagos_Odoo!$B:$B, 0)), ""))</f>
        <v/>
      </c>
      <c r="AD2430" s="82" t="n">
        <v>0</v>
      </c>
      <c r="AE2430" s="82" t="n"/>
      <c r="AF2430" s="82" t="n"/>
      <c r="AG2430" s="82">
        <f>IF(AN2430="","",AD2430+AE2430+AF2430)</f>
        <v/>
      </c>
      <c r="AH2430" s="81">
        <f>IF(AN2430="","",P2430*(1-AG2430))</f>
        <v/>
      </c>
      <c r="AI2430" s="81">
        <f>IF(AN2430="","",IF(Q2430="Sin Factura",0,IFERROR(INDEX(Facturas_Odoo!$H:$H, MATCH(Q2430, Facturas_Odoo!$B:$B, 0)), 0)*(1-AG2430)))</f>
        <v/>
      </c>
      <c r="AJ2430" s="81">
        <f>IF(AN2430="","",_xlfn.LET(idVenta, AN2430&amp;"",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30" s="81">
        <f>IF(AN2430="","",AH2430-AJ2430)</f>
        <v/>
      </c>
      <c r="AL2430" s="81">
        <f>IF(AN2430="","",IF(Q2430="Sin Factura","",AI2430-AJ2430))</f>
        <v/>
      </c>
      <c r="AM2430" s="81">
        <f>IF(AN2430="","",IF(Q2430="Sin Factura",0,P2430-IFERROR(INDEX(Facturas_Odoo!$H:$H, MATCH(Q2430, Facturas_Odoo!$B:$B, 0)), 0)))</f>
        <v/>
      </c>
      <c r="AN2430" s="79">
        <f>IF(AND(A2430="", J2430=""), "", IF(A2430&lt;&gt;"", VALUE(MID(A2430,2,LEN(A2430))), AN2429))</f>
        <v/>
      </c>
      <c r="AO2430" s="79">
        <f>IF(AN2430="","",IF(AD2430=0,"OK",_xlfn.LET(monedaPago, IF(AA2430="","USD",AA2430), limitePermitido, IFERROR(VLOOKUP(monedaPago, Configuración!$A$2:$B$3, 2, FALSE), 0.15), IF(AD2430&gt;limitePermitido, "ALERTA: EXCESO (" &amp; TEXT(limitePermitido, "0%") &amp; " máx)", "OK"))))</f>
        <v/>
      </c>
      <c r="AP2430" s="79">
        <f>IF(AN2430="","",IF(AE2430=0,"OK",_xlfn.LET(fechaPago, Z2430, fechaFactura, R2430, diasCredito, IF(E2430="Pago inmediato", 0, IFERROR(VALUE(MID(E2430, 1, SEARCH(" ", E2430)-1)),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30" s="79">
        <f>IF(AN2430="","",IF(AND(N2430&gt;0, AG2430&gt;0), IF(Configuración!$K$2="NO", "ALERTA: DESCUENTO DOBLE NO PERMITIDO", "OK"), "OK"))</f>
        <v/>
      </c>
      <c r="AR2430" s="79">
        <f>IF(AN2430="","",IF(OR(AO2430&lt;&gt;"OK", AP2430&lt;&gt;"OK", AQ2430&lt;&gt;"OK"), "⚠️ REVISAR", "OK"))</f>
        <v/>
      </c>
    </row>
    <row r="2431">
      <c r="A2431" s="79">
        <f>IF('Ordenes_Odoo'!A2431="","",'Ordenes_Odoo'!A2431)</f>
        <v/>
      </c>
      <c r="B2431" s="80">
        <f>IF('Ordenes_Odoo'!B2431="","",'Ordenes_Odoo'!B2431)</f>
        <v/>
      </c>
      <c r="C2431" s="79">
        <f>IF('Ordenes_Odoo'!C2431="","",'Ordenes_Odoo'!C2431)</f>
        <v/>
      </c>
      <c r="D2431" s="79">
        <f>IF('Ordenes_Odoo'!D2431="","",'Ordenes_Odoo'!D2431)</f>
        <v/>
      </c>
      <c r="E2431" s="79">
        <f>IF('Ordenes_Odoo'!E2431="","",'Ordenes_Odoo'!E2431)</f>
        <v/>
      </c>
      <c r="F2431" s="79">
        <f>IF('Ordenes_Odoo'!F2431="","",'Ordenes_Odoo'!F2431)</f>
        <v/>
      </c>
      <c r="G2431" s="79">
        <f>IF('Ordenes_Odoo'!G2431="","",'Ordenes_Odoo'!G2431)</f>
        <v/>
      </c>
      <c r="H2431" s="79">
        <f>IF('Ordenes_Odoo'!H2431="","",'Ordenes_Odoo'!H2431)</f>
        <v/>
      </c>
      <c r="I2431" s="79">
        <f>IF('Ordenes_Odoo'!I2431="","",'Ordenes_Odoo'!I2431)</f>
        <v/>
      </c>
      <c r="J2431" s="79">
        <f>IF('Ordenes_Odoo'!J2431="","",'Ordenes_Odoo'!J2431)</f>
        <v/>
      </c>
      <c r="K2431" s="81">
        <f>IF('Ordenes_Odoo'!K2431="","",'Ordenes_Odoo'!K2431)</f>
        <v/>
      </c>
      <c r="L2431" s="81">
        <f>IF('Ordenes_Odoo'!L2431="","",'Ordenes_Odoo'!L2431)</f>
        <v/>
      </c>
      <c r="M2431" s="79">
        <f>IF('Ordenes_Odoo'!M2431="","",'Ordenes_Odoo'!M2431)</f>
        <v/>
      </c>
      <c r="N2431" s="79">
        <f>IF('Ordenes_Odoo'!N2431="","",'Ordenes_Odoo'!N2431)</f>
        <v/>
      </c>
      <c r="O2431" s="81">
        <f>IF('Ordenes_Odoo'!O2431="","",'Ordenes_Odoo'!O2431)</f>
        <v/>
      </c>
      <c r="P2431" s="81">
        <f>IF('Ordenes_Odoo'!P2431="","",'Ordenes_Odoo'!P2431)</f>
        <v/>
      </c>
      <c r="Q2431" s="79">
        <f>IF(A2431="","",IFERROR(INDEX(Facturas_Odoo!$B:$B, MATCH(A2431, Facturas_Odoo!$D:$D, 0)), "Sin Factura"))</f>
        <v/>
      </c>
      <c r="R2431" s="80">
        <f>IF(Q2431="Sin Factura","",IFERROR(INDEX(Facturas_Odoo!$A:$A, MATCH(Q2431, Facturas_Odoo!$B:$B, 0)), ""))</f>
        <v/>
      </c>
      <c r="S2431" s="79">
        <f>IF(Q2431="Sin Factura","",IFERROR(_xlfn.XLOOKUP(1, (Facturas_Odoo!$D:$D=A2431) * (Facturas_Odoo!$K:$K=I2431), Facturas_Odoo!$L:$L, ""), ""))</f>
        <v/>
      </c>
      <c r="T2431" s="81">
        <f>IF(Q2431="Sin Factura",0,IFERROR(_xlfn.XLOOKUP(1, (Facturas_Odoo!$D:$D=A2431) * (Facturas_Odoo!$K:$K=I2431), Facturas_Odoo!$M:$M, 0), 0))</f>
        <v/>
      </c>
      <c r="U2431" s="79">
        <f>IF(Q2431="Sin Factura",0,IFERROR(_xlfn.XLOOKUP(1, (Facturas_Odoo!$D:$D=A2431) * (Facturas_Odoo!$K:$K=I2431), Facturas_Odoo!$N:$N, 0), 0))</f>
        <v/>
      </c>
      <c r="V2431" s="79">
        <f>IF(Q2431="Sin Factura",0,IFERROR(_xlfn.XLOOKUP(1, (Facturas_Odoo!$D:$D=A2431) * (Facturas_Odoo!$K:$K=I2431), Facturas_Odoo!$O:$O, 0), 0))</f>
        <v/>
      </c>
      <c r="W2431" s="81">
        <f>IF(Q2431="Sin Factura",0,IFERROR(_xlfn.XLOOKUP(1, (Facturas_Odoo!$D:$D=A2431) * (Facturas_Odoo!$K:$K=I2431), Facturas_Odoo!$Q:$Q, 0), 0))</f>
        <v/>
      </c>
      <c r="X2431" s="79">
        <f>IF(OR(Q2431="Sin Factura",Q2431=""),"",IFERROR(INDEX(Pagos_Odoo!$B:$B, MATCH(Q2431, Pagos_Odoo!$I:$I, 0)), "Sin Pago"))</f>
        <v/>
      </c>
      <c r="Y2431" s="79">
        <f>IF(X2431="Sin Pago","",IFERROR(INDEX(Pagos_Odoo!$C:$C, MATCH(X2431, Pagos_Odoo!$B:$B, 0)), ""))</f>
        <v/>
      </c>
      <c r="Z2431" s="80">
        <f>IF(X2431="Sin Pago","",IFERROR(INDEX(Pagos_Odoo!$A:$A, MATCH(X2431, Pagos_Odoo!$B:$B, 0)), ""))</f>
        <v/>
      </c>
      <c r="AA2431" s="79">
        <f>IF(X2431="Sin Pago","",IFERROR(INDEX(Pagos_Odoo!$F:$F, MATCH(X2431, Pagos_Odoo!$B:$B, 0)), ""))</f>
        <v/>
      </c>
      <c r="AB2431" s="81">
        <f>IF(X2431="Sin Pago",0,IFERROR(INDEX(Pagos_Odoo!$E:$E, MATCH(X2431, Pagos_Odoo!$B:$B, 0)), 0))</f>
        <v/>
      </c>
      <c r="AC2431" s="79">
        <f>IF(X2431="Sin Pago","",IFERROR(INDEX(Pagos_Odoo!$G:$G, MATCH(X2431, Pagos_Odoo!$B:$B, 0)), ""))</f>
        <v/>
      </c>
      <c r="AD2431" s="82" t="n">
        <v>0</v>
      </c>
      <c r="AE2431" s="82" t="n"/>
      <c r="AF2431" s="82" t="n"/>
      <c r="AG2431" s="82">
        <f>IF(AN2431="","",AD2431+AE2431+AF2431)</f>
        <v/>
      </c>
      <c r="AH2431" s="81">
        <f>IF(AN2431="","",P2431*(1-AG2431))</f>
        <v/>
      </c>
      <c r="AI2431" s="81">
        <f>IF(AN2431="","",IF(Q2431="Sin Factura",0,IFERROR(INDEX(Facturas_Odoo!$H:$H, MATCH(Q2431, Facturas_Odoo!$B:$B, 0)), 0)*(1-AG2431)))</f>
        <v/>
      </c>
      <c r="AJ2431" s="81">
        <f>IF(AN2431="","",_xlfn.LET(idVenta, AN2431&amp;"",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31" s="81">
        <f>IF(AN2431="","",AH2431-AJ2431)</f>
        <v/>
      </c>
      <c r="AL2431" s="81">
        <f>IF(AN2431="","",IF(Q2431="Sin Factura","",AI2431-AJ2431))</f>
        <v/>
      </c>
      <c r="AM2431" s="81">
        <f>IF(AN2431="","",IF(Q2431="Sin Factura",0,P2431-IFERROR(INDEX(Facturas_Odoo!$H:$H, MATCH(Q2431, Facturas_Odoo!$B:$B, 0)), 0)))</f>
        <v/>
      </c>
      <c r="AN2431" s="79">
        <f>IF(AND(A2431="", J2431=""), "", IF(A2431&lt;&gt;"", VALUE(MID(A2431,2,LEN(A2431))), AN2430))</f>
        <v/>
      </c>
      <c r="AO2431" s="79">
        <f>IF(AN2431="","",IF(AD2431=0,"OK",_xlfn.LET(monedaPago, IF(AA2431="","USD",AA2431), limitePermitido, IFERROR(VLOOKUP(monedaPago, Configuración!$A$2:$B$3, 2, FALSE), 0.15), IF(AD2431&gt;limitePermitido, "ALERTA: EXCESO (" &amp; TEXT(limitePermitido, "0%") &amp; " máx)", "OK"))))</f>
        <v/>
      </c>
      <c r="AP2431" s="79">
        <f>IF(AN2431="","",IF(AE2431=0,"OK",_xlfn.LET(fechaPago, Z2431, fechaFactura, R2431, diasCredito, IF(E2431="Pago inmediato", 0, IFERROR(VALUE(MID(E2431, 1, SEARCH(" ", E2431)-1)),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31" s="79">
        <f>IF(AN2431="","",IF(AND(N2431&gt;0, AG2431&gt;0), IF(Configuración!$K$2="NO", "ALERTA: DESCUENTO DOBLE NO PERMITIDO", "OK"), "OK"))</f>
        <v/>
      </c>
      <c r="AR2431" s="79">
        <f>IF(AN2431="","",IF(OR(AO2431&lt;&gt;"OK", AP2431&lt;&gt;"OK", AQ2431&lt;&gt;"OK"), "⚠️ REVISAR", "OK"))</f>
        <v/>
      </c>
    </row>
    <row r="2432">
      <c r="A2432" s="79">
        <f>IF('Ordenes_Odoo'!A2432="","",'Ordenes_Odoo'!A2432)</f>
        <v/>
      </c>
      <c r="B2432" s="80">
        <f>IF('Ordenes_Odoo'!B2432="","",'Ordenes_Odoo'!B2432)</f>
        <v/>
      </c>
      <c r="C2432" s="79">
        <f>IF('Ordenes_Odoo'!C2432="","",'Ordenes_Odoo'!C2432)</f>
        <v/>
      </c>
      <c r="D2432" s="79">
        <f>IF('Ordenes_Odoo'!D2432="","",'Ordenes_Odoo'!D2432)</f>
        <v/>
      </c>
      <c r="E2432" s="79">
        <f>IF('Ordenes_Odoo'!E2432="","",'Ordenes_Odoo'!E2432)</f>
        <v/>
      </c>
      <c r="F2432" s="79">
        <f>IF('Ordenes_Odoo'!F2432="","",'Ordenes_Odoo'!F2432)</f>
        <v/>
      </c>
      <c r="G2432" s="79">
        <f>IF('Ordenes_Odoo'!G2432="","",'Ordenes_Odoo'!G2432)</f>
        <v/>
      </c>
      <c r="H2432" s="79">
        <f>IF('Ordenes_Odoo'!H2432="","",'Ordenes_Odoo'!H2432)</f>
        <v/>
      </c>
      <c r="I2432" s="79">
        <f>IF('Ordenes_Odoo'!I2432="","",'Ordenes_Odoo'!I2432)</f>
        <v/>
      </c>
      <c r="J2432" s="79">
        <f>IF('Ordenes_Odoo'!J2432="","",'Ordenes_Odoo'!J2432)</f>
        <v/>
      </c>
      <c r="K2432" s="81">
        <f>IF('Ordenes_Odoo'!K2432="","",'Ordenes_Odoo'!K2432)</f>
        <v/>
      </c>
      <c r="L2432" s="81">
        <f>IF('Ordenes_Odoo'!L2432="","",'Ordenes_Odoo'!L2432)</f>
        <v/>
      </c>
      <c r="M2432" s="79">
        <f>IF('Ordenes_Odoo'!M2432="","",'Ordenes_Odoo'!M2432)</f>
        <v/>
      </c>
      <c r="N2432" s="79">
        <f>IF('Ordenes_Odoo'!N2432="","",'Ordenes_Odoo'!N2432)</f>
        <v/>
      </c>
      <c r="O2432" s="81">
        <f>IF('Ordenes_Odoo'!O2432="","",'Ordenes_Odoo'!O2432)</f>
        <v/>
      </c>
      <c r="P2432" s="81">
        <f>IF('Ordenes_Odoo'!P2432="","",'Ordenes_Odoo'!P2432)</f>
        <v/>
      </c>
      <c r="Q2432" s="79">
        <f>IF(A2432="","",IFERROR(INDEX(Facturas_Odoo!$B:$B, MATCH(A2432, Facturas_Odoo!$D:$D, 0)), "Sin Factura"))</f>
        <v/>
      </c>
      <c r="R2432" s="80">
        <f>IF(Q2432="Sin Factura","",IFERROR(INDEX(Facturas_Odoo!$A:$A, MATCH(Q2432, Facturas_Odoo!$B:$B, 0)), ""))</f>
        <v/>
      </c>
      <c r="S2432" s="79">
        <f>IF(Q2432="Sin Factura","",IFERROR(_xlfn.XLOOKUP(1, (Facturas_Odoo!$D:$D=A2432) * (Facturas_Odoo!$K:$K=I2432), Facturas_Odoo!$L:$L, ""), ""))</f>
        <v/>
      </c>
      <c r="T2432" s="81">
        <f>IF(Q2432="Sin Factura",0,IFERROR(_xlfn.XLOOKUP(1, (Facturas_Odoo!$D:$D=A2432) * (Facturas_Odoo!$K:$K=I2432), Facturas_Odoo!$M:$M, 0), 0))</f>
        <v/>
      </c>
      <c r="U2432" s="79">
        <f>IF(Q2432="Sin Factura",0,IFERROR(_xlfn.XLOOKUP(1, (Facturas_Odoo!$D:$D=A2432) * (Facturas_Odoo!$K:$K=I2432), Facturas_Odoo!$N:$N, 0), 0))</f>
        <v/>
      </c>
      <c r="V2432" s="79">
        <f>IF(Q2432="Sin Factura",0,IFERROR(_xlfn.XLOOKUP(1, (Facturas_Odoo!$D:$D=A2432) * (Facturas_Odoo!$K:$K=I2432), Facturas_Odoo!$O:$O, 0), 0))</f>
        <v/>
      </c>
      <c r="W2432" s="81">
        <f>IF(Q2432="Sin Factura",0,IFERROR(_xlfn.XLOOKUP(1, (Facturas_Odoo!$D:$D=A2432) * (Facturas_Odoo!$K:$K=I2432), Facturas_Odoo!$Q:$Q, 0), 0))</f>
        <v/>
      </c>
      <c r="X2432" s="79">
        <f>IF(OR(Q2432="Sin Factura",Q2432=""),"",IFERROR(INDEX(Pagos_Odoo!$B:$B, MATCH(Q2432, Pagos_Odoo!$I:$I, 0)), "Sin Pago"))</f>
        <v/>
      </c>
      <c r="Y2432" s="79">
        <f>IF(X2432="Sin Pago","",IFERROR(INDEX(Pagos_Odoo!$C:$C, MATCH(X2432, Pagos_Odoo!$B:$B, 0)), ""))</f>
        <v/>
      </c>
      <c r="Z2432" s="80">
        <f>IF(X2432="Sin Pago","",IFERROR(INDEX(Pagos_Odoo!$A:$A, MATCH(X2432, Pagos_Odoo!$B:$B, 0)), ""))</f>
        <v/>
      </c>
      <c r="AA2432" s="79">
        <f>IF(X2432="Sin Pago","",IFERROR(INDEX(Pagos_Odoo!$F:$F, MATCH(X2432, Pagos_Odoo!$B:$B, 0)), ""))</f>
        <v/>
      </c>
      <c r="AB2432" s="81">
        <f>IF(X2432="Sin Pago",0,IFERROR(INDEX(Pagos_Odoo!$E:$E, MATCH(X2432, Pagos_Odoo!$B:$B, 0)), 0))</f>
        <v/>
      </c>
      <c r="AC2432" s="79">
        <f>IF(X2432="Sin Pago","",IFERROR(INDEX(Pagos_Odoo!$G:$G, MATCH(X2432, Pagos_Odoo!$B:$B, 0)), ""))</f>
        <v/>
      </c>
      <c r="AD2432" s="82" t="n">
        <v>0</v>
      </c>
      <c r="AE2432" s="82" t="n"/>
      <c r="AF2432" s="82" t="n"/>
      <c r="AG2432" s="82">
        <f>IF(AN2432="","",AD2432+AE2432+AF2432)</f>
        <v/>
      </c>
      <c r="AH2432" s="81">
        <f>IF(AN2432="","",P2432*(1-AG2432))</f>
        <v/>
      </c>
      <c r="AI2432" s="81">
        <f>IF(AN2432="","",IF(Q2432="Sin Factura",0,IFERROR(INDEX(Facturas_Odoo!$H:$H, MATCH(Q2432, Facturas_Odoo!$B:$B, 0)), 0)*(1-AG2432)))</f>
        <v/>
      </c>
      <c r="AJ2432" s="81">
        <f>IF(AN2432="","",_xlfn.LET(idVenta, AN2432&amp;"",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32" s="81">
        <f>IF(AN2432="","",AH2432-AJ2432)</f>
        <v/>
      </c>
      <c r="AL2432" s="81">
        <f>IF(AN2432="","",IF(Q2432="Sin Factura","",AI2432-AJ2432))</f>
        <v/>
      </c>
      <c r="AM2432" s="81">
        <f>IF(AN2432="","",IF(Q2432="Sin Factura",0,P2432-IFERROR(INDEX(Facturas_Odoo!$H:$H, MATCH(Q2432, Facturas_Odoo!$B:$B, 0)), 0)))</f>
        <v/>
      </c>
      <c r="AN2432" s="79">
        <f>IF(AND(A2432="", J2432=""), "", IF(A2432&lt;&gt;"", VALUE(MID(A2432,2,LEN(A2432))), AN2431))</f>
        <v/>
      </c>
      <c r="AO2432" s="79">
        <f>IF(AN2432="","",IF(AD2432=0,"OK",_xlfn.LET(monedaPago, IF(AA2432="","USD",AA2432), limitePermitido, IFERROR(VLOOKUP(monedaPago, Configuración!$A$2:$B$3, 2, FALSE), 0.15), IF(AD2432&gt;limitePermitido, "ALERTA: EXCESO (" &amp; TEXT(limitePermitido, "0%") &amp; " máx)", "OK"))))</f>
        <v/>
      </c>
      <c r="AP2432" s="79">
        <f>IF(AN2432="","",IF(AE2432=0,"OK",_xlfn.LET(fechaPago, Z2432, fechaFactura, R2432, diasCredito, IF(E2432="Pago inmediato", 0, IFERROR(VALUE(MID(E2432, 1, SEARCH(" ", E2432)-1)),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32" s="79">
        <f>IF(AN2432="","",IF(AND(N2432&gt;0, AG2432&gt;0), IF(Configuración!$K$2="NO", "ALERTA: DESCUENTO DOBLE NO PERMITIDO", "OK"), "OK"))</f>
        <v/>
      </c>
      <c r="AR2432" s="79">
        <f>IF(AN2432="","",IF(OR(AO2432&lt;&gt;"OK", AP2432&lt;&gt;"OK", AQ2432&lt;&gt;"OK"), "⚠️ REVISAR", "OK"))</f>
        <v/>
      </c>
    </row>
    <row r="2433">
      <c r="A2433" s="79">
        <f>IF('Ordenes_Odoo'!A2433="","",'Ordenes_Odoo'!A2433)</f>
        <v/>
      </c>
      <c r="B2433" s="80">
        <f>IF('Ordenes_Odoo'!B2433="","",'Ordenes_Odoo'!B2433)</f>
        <v/>
      </c>
      <c r="C2433" s="79">
        <f>IF('Ordenes_Odoo'!C2433="","",'Ordenes_Odoo'!C2433)</f>
        <v/>
      </c>
      <c r="D2433" s="79">
        <f>IF('Ordenes_Odoo'!D2433="","",'Ordenes_Odoo'!D2433)</f>
        <v/>
      </c>
      <c r="E2433" s="79">
        <f>IF('Ordenes_Odoo'!E2433="","",'Ordenes_Odoo'!E2433)</f>
        <v/>
      </c>
      <c r="F2433" s="79">
        <f>IF('Ordenes_Odoo'!F2433="","",'Ordenes_Odoo'!F2433)</f>
        <v/>
      </c>
      <c r="G2433" s="79">
        <f>IF('Ordenes_Odoo'!G2433="","",'Ordenes_Odoo'!G2433)</f>
        <v/>
      </c>
      <c r="H2433" s="79">
        <f>IF('Ordenes_Odoo'!H2433="","",'Ordenes_Odoo'!H2433)</f>
        <v/>
      </c>
      <c r="I2433" s="79">
        <f>IF('Ordenes_Odoo'!I2433="","",'Ordenes_Odoo'!I2433)</f>
        <v/>
      </c>
      <c r="J2433" s="79">
        <f>IF('Ordenes_Odoo'!J2433="","",'Ordenes_Odoo'!J2433)</f>
        <v/>
      </c>
      <c r="K2433" s="81">
        <f>IF('Ordenes_Odoo'!K2433="","",'Ordenes_Odoo'!K2433)</f>
        <v/>
      </c>
      <c r="L2433" s="81">
        <f>IF('Ordenes_Odoo'!L2433="","",'Ordenes_Odoo'!L2433)</f>
        <v/>
      </c>
      <c r="M2433" s="79">
        <f>IF('Ordenes_Odoo'!M2433="","",'Ordenes_Odoo'!M2433)</f>
        <v/>
      </c>
      <c r="N2433" s="79">
        <f>IF('Ordenes_Odoo'!N2433="","",'Ordenes_Odoo'!N2433)</f>
        <v/>
      </c>
      <c r="O2433" s="81">
        <f>IF('Ordenes_Odoo'!O2433="","",'Ordenes_Odoo'!O2433)</f>
        <v/>
      </c>
      <c r="P2433" s="81">
        <f>IF('Ordenes_Odoo'!P2433="","",'Ordenes_Odoo'!P2433)</f>
        <v/>
      </c>
      <c r="Q2433" s="79">
        <f>IF(A2433="","",IFERROR(INDEX(Facturas_Odoo!$B:$B, MATCH(A2433, Facturas_Odoo!$D:$D, 0)), "Sin Factura"))</f>
        <v/>
      </c>
      <c r="R2433" s="80">
        <f>IF(Q2433="Sin Factura","",IFERROR(INDEX(Facturas_Odoo!$A:$A, MATCH(Q2433, Facturas_Odoo!$B:$B, 0)), ""))</f>
        <v/>
      </c>
      <c r="S2433" s="79">
        <f>IF(Q2433="Sin Factura","",IFERROR(_xlfn.XLOOKUP(1, (Facturas_Odoo!$D:$D=A2433) * (Facturas_Odoo!$K:$K=I2433), Facturas_Odoo!$L:$L, ""), ""))</f>
        <v/>
      </c>
      <c r="T2433" s="81">
        <f>IF(Q2433="Sin Factura",0,IFERROR(_xlfn.XLOOKUP(1, (Facturas_Odoo!$D:$D=A2433) * (Facturas_Odoo!$K:$K=I2433), Facturas_Odoo!$M:$M, 0), 0))</f>
        <v/>
      </c>
      <c r="U2433" s="79">
        <f>IF(Q2433="Sin Factura",0,IFERROR(_xlfn.XLOOKUP(1, (Facturas_Odoo!$D:$D=A2433) * (Facturas_Odoo!$K:$K=I2433), Facturas_Odoo!$N:$N, 0), 0))</f>
        <v/>
      </c>
      <c r="V2433" s="79">
        <f>IF(Q2433="Sin Factura",0,IFERROR(_xlfn.XLOOKUP(1, (Facturas_Odoo!$D:$D=A2433) * (Facturas_Odoo!$K:$K=I2433), Facturas_Odoo!$O:$O, 0), 0))</f>
        <v/>
      </c>
      <c r="W2433" s="81">
        <f>IF(Q2433="Sin Factura",0,IFERROR(_xlfn.XLOOKUP(1, (Facturas_Odoo!$D:$D=A2433) * (Facturas_Odoo!$K:$K=I2433), Facturas_Odoo!$Q:$Q, 0), 0))</f>
        <v/>
      </c>
      <c r="X2433" s="79">
        <f>IF(OR(Q2433="Sin Factura",Q2433=""),"",IFERROR(INDEX(Pagos_Odoo!$B:$B, MATCH(Q2433, Pagos_Odoo!$I:$I, 0)), "Sin Pago"))</f>
        <v/>
      </c>
      <c r="Y2433" s="79">
        <f>IF(X2433="Sin Pago","",IFERROR(INDEX(Pagos_Odoo!$C:$C, MATCH(X2433, Pagos_Odoo!$B:$B, 0)), ""))</f>
        <v/>
      </c>
      <c r="Z2433" s="80">
        <f>IF(X2433="Sin Pago","",IFERROR(INDEX(Pagos_Odoo!$A:$A, MATCH(X2433, Pagos_Odoo!$B:$B, 0)), ""))</f>
        <v/>
      </c>
      <c r="AA2433" s="79">
        <f>IF(X2433="Sin Pago","",IFERROR(INDEX(Pagos_Odoo!$F:$F, MATCH(X2433, Pagos_Odoo!$B:$B, 0)), ""))</f>
        <v/>
      </c>
      <c r="AB2433" s="81">
        <f>IF(X2433="Sin Pago",0,IFERROR(INDEX(Pagos_Odoo!$E:$E, MATCH(X2433, Pagos_Odoo!$B:$B, 0)), 0))</f>
        <v/>
      </c>
      <c r="AC2433" s="79">
        <f>IF(X2433="Sin Pago","",IFERROR(INDEX(Pagos_Odoo!$G:$G, MATCH(X2433, Pagos_Odoo!$B:$B, 0)), ""))</f>
        <v/>
      </c>
      <c r="AD2433" s="82" t="n">
        <v>0</v>
      </c>
      <c r="AE2433" s="82" t="n"/>
      <c r="AF2433" s="82" t="n"/>
      <c r="AG2433" s="82">
        <f>IF(AN2433="","",AD2433+AE2433+AF2433)</f>
        <v/>
      </c>
      <c r="AH2433" s="81">
        <f>IF(AN2433="","",P2433*(1-AG2433))</f>
        <v/>
      </c>
      <c r="AI2433" s="81">
        <f>IF(AN2433="","",IF(Q2433="Sin Factura",0,IFERROR(INDEX(Facturas_Odoo!$H:$H, MATCH(Q2433, Facturas_Odoo!$B:$B, 0)), 0)*(1-AG2433)))</f>
        <v/>
      </c>
      <c r="AJ2433" s="81">
        <f>IF(AN2433="","",_xlfn.LET(idVenta, AN2433&amp;"",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33" s="81">
        <f>IF(AN2433="","",AH2433-AJ2433)</f>
        <v/>
      </c>
      <c r="AL2433" s="81">
        <f>IF(AN2433="","",IF(Q2433="Sin Factura","",AI2433-AJ2433))</f>
        <v/>
      </c>
      <c r="AM2433" s="81">
        <f>IF(AN2433="","",IF(Q2433="Sin Factura",0,P2433-IFERROR(INDEX(Facturas_Odoo!$H:$H, MATCH(Q2433, Facturas_Odoo!$B:$B, 0)), 0)))</f>
        <v/>
      </c>
      <c r="AN2433" s="79">
        <f>IF(AND(A2433="", J2433=""), "", IF(A2433&lt;&gt;"", VALUE(MID(A2433,2,LEN(A2433))), AN2432))</f>
        <v/>
      </c>
      <c r="AO2433" s="79">
        <f>IF(AN2433="","",IF(AD2433=0,"OK",_xlfn.LET(monedaPago, IF(AA2433="","USD",AA2433), limitePermitido, IFERROR(VLOOKUP(monedaPago, Configuración!$A$2:$B$3, 2, FALSE), 0.15), IF(AD2433&gt;limitePermitido, "ALERTA: EXCESO (" &amp; TEXT(limitePermitido, "0%") &amp; " máx)", "OK"))))</f>
        <v/>
      </c>
      <c r="AP2433" s="79">
        <f>IF(AN2433="","",IF(AE2433=0,"OK",_xlfn.LET(fechaPago, Z2433, fechaFactura, R2433, diasCredito, IF(E2433="Pago inmediato", 0, IFERROR(VALUE(MID(E2433, 1, SEARCH(" ", E2433)-1)),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33" s="79">
        <f>IF(AN2433="","",IF(AND(N2433&gt;0, AG2433&gt;0), IF(Configuración!$K$2="NO", "ALERTA: DESCUENTO DOBLE NO PERMITIDO", "OK"), "OK"))</f>
        <v/>
      </c>
      <c r="AR2433" s="79">
        <f>IF(AN2433="","",IF(OR(AO2433&lt;&gt;"OK", AP2433&lt;&gt;"OK", AQ2433&lt;&gt;"OK"), "⚠️ REVISAR", "OK"))</f>
        <v/>
      </c>
    </row>
    <row r="2434">
      <c r="A2434" s="79">
        <f>IF('Ordenes_Odoo'!A2434="","",'Ordenes_Odoo'!A2434)</f>
        <v/>
      </c>
      <c r="B2434" s="80">
        <f>IF('Ordenes_Odoo'!B2434="","",'Ordenes_Odoo'!B2434)</f>
        <v/>
      </c>
      <c r="C2434" s="79">
        <f>IF('Ordenes_Odoo'!C2434="","",'Ordenes_Odoo'!C2434)</f>
        <v/>
      </c>
      <c r="D2434" s="79">
        <f>IF('Ordenes_Odoo'!D2434="","",'Ordenes_Odoo'!D2434)</f>
        <v/>
      </c>
      <c r="E2434" s="79">
        <f>IF('Ordenes_Odoo'!E2434="","",'Ordenes_Odoo'!E2434)</f>
        <v/>
      </c>
      <c r="F2434" s="79">
        <f>IF('Ordenes_Odoo'!F2434="","",'Ordenes_Odoo'!F2434)</f>
        <v/>
      </c>
      <c r="G2434" s="79">
        <f>IF('Ordenes_Odoo'!G2434="","",'Ordenes_Odoo'!G2434)</f>
        <v/>
      </c>
      <c r="H2434" s="79">
        <f>IF('Ordenes_Odoo'!H2434="","",'Ordenes_Odoo'!H2434)</f>
        <v/>
      </c>
      <c r="I2434" s="79">
        <f>IF('Ordenes_Odoo'!I2434="","",'Ordenes_Odoo'!I2434)</f>
        <v/>
      </c>
      <c r="J2434" s="79">
        <f>IF('Ordenes_Odoo'!J2434="","",'Ordenes_Odoo'!J2434)</f>
        <v/>
      </c>
      <c r="K2434" s="81">
        <f>IF('Ordenes_Odoo'!K2434="","",'Ordenes_Odoo'!K2434)</f>
        <v/>
      </c>
      <c r="L2434" s="81">
        <f>IF('Ordenes_Odoo'!L2434="","",'Ordenes_Odoo'!L2434)</f>
        <v/>
      </c>
      <c r="M2434" s="79">
        <f>IF('Ordenes_Odoo'!M2434="","",'Ordenes_Odoo'!M2434)</f>
        <v/>
      </c>
      <c r="N2434" s="79">
        <f>IF('Ordenes_Odoo'!N2434="","",'Ordenes_Odoo'!N2434)</f>
        <v/>
      </c>
      <c r="O2434" s="81">
        <f>IF('Ordenes_Odoo'!O2434="","",'Ordenes_Odoo'!O2434)</f>
        <v/>
      </c>
      <c r="P2434" s="81">
        <f>IF('Ordenes_Odoo'!P2434="","",'Ordenes_Odoo'!P2434)</f>
        <v/>
      </c>
      <c r="Q2434" s="79">
        <f>IF(A2434="","",IFERROR(INDEX(Facturas_Odoo!$B:$B, MATCH(A2434, Facturas_Odoo!$D:$D, 0)), "Sin Factura"))</f>
        <v/>
      </c>
      <c r="R2434" s="80">
        <f>IF(Q2434="Sin Factura","",IFERROR(INDEX(Facturas_Odoo!$A:$A, MATCH(Q2434, Facturas_Odoo!$B:$B, 0)), ""))</f>
        <v/>
      </c>
      <c r="S2434" s="79">
        <f>IF(Q2434="Sin Factura","",IFERROR(_xlfn.XLOOKUP(1, (Facturas_Odoo!$D:$D=A2434) * (Facturas_Odoo!$K:$K=I2434), Facturas_Odoo!$L:$L, ""), ""))</f>
        <v/>
      </c>
      <c r="T2434" s="81">
        <f>IF(Q2434="Sin Factura",0,IFERROR(_xlfn.XLOOKUP(1, (Facturas_Odoo!$D:$D=A2434) * (Facturas_Odoo!$K:$K=I2434), Facturas_Odoo!$M:$M, 0), 0))</f>
        <v/>
      </c>
      <c r="U2434" s="79">
        <f>IF(Q2434="Sin Factura",0,IFERROR(_xlfn.XLOOKUP(1, (Facturas_Odoo!$D:$D=A2434) * (Facturas_Odoo!$K:$K=I2434), Facturas_Odoo!$N:$N, 0), 0))</f>
        <v/>
      </c>
      <c r="V2434" s="79">
        <f>IF(Q2434="Sin Factura",0,IFERROR(_xlfn.XLOOKUP(1, (Facturas_Odoo!$D:$D=A2434) * (Facturas_Odoo!$K:$K=I2434), Facturas_Odoo!$O:$O, 0), 0))</f>
        <v/>
      </c>
      <c r="W2434" s="81">
        <f>IF(Q2434="Sin Factura",0,IFERROR(_xlfn.XLOOKUP(1, (Facturas_Odoo!$D:$D=A2434) * (Facturas_Odoo!$K:$K=I2434), Facturas_Odoo!$Q:$Q, 0), 0))</f>
        <v/>
      </c>
      <c r="X2434" s="79">
        <f>IF(OR(Q2434="Sin Factura",Q2434=""),"",IFERROR(INDEX(Pagos_Odoo!$B:$B, MATCH(Q2434, Pagos_Odoo!$I:$I, 0)), "Sin Pago"))</f>
        <v/>
      </c>
      <c r="Y2434" s="79">
        <f>IF(X2434="Sin Pago","",IFERROR(INDEX(Pagos_Odoo!$C:$C, MATCH(X2434, Pagos_Odoo!$B:$B, 0)), ""))</f>
        <v/>
      </c>
      <c r="Z2434" s="80">
        <f>IF(X2434="Sin Pago","",IFERROR(INDEX(Pagos_Odoo!$A:$A, MATCH(X2434, Pagos_Odoo!$B:$B, 0)), ""))</f>
        <v/>
      </c>
      <c r="AA2434" s="79">
        <f>IF(X2434="Sin Pago","",IFERROR(INDEX(Pagos_Odoo!$F:$F, MATCH(X2434, Pagos_Odoo!$B:$B, 0)), ""))</f>
        <v/>
      </c>
      <c r="AB2434" s="81">
        <f>IF(X2434="Sin Pago",0,IFERROR(INDEX(Pagos_Odoo!$E:$E, MATCH(X2434, Pagos_Odoo!$B:$B, 0)), 0))</f>
        <v/>
      </c>
      <c r="AC2434" s="79">
        <f>IF(X2434="Sin Pago","",IFERROR(INDEX(Pagos_Odoo!$G:$G, MATCH(X2434, Pagos_Odoo!$B:$B, 0)), ""))</f>
        <v/>
      </c>
      <c r="AD2434" s="82" t="n">
        <v>0</v>
      </c>
      <c r="AE2434" s="82" t="n"/>
      <c r="AF2434" s="82" t="n"/>
      <c r="AG2434" s="82">
        <f>IF(AN2434="","",AD2434+AE2434+AF2434)</f>
        <v/>
      </c>
      <c r="AH2434" s="81">
        <f>IF(AN2434="","",P2434*(1-AG2434))</f>
        <v/>
      </c>
      <c r="AI2434" s="81">
        <f>IF(AN2434="","",IF(Q2434="Sin Factura",0,IFERROR(INDEX(Facturas_Odoo!$H:$H, MATCH(Q2434, Facturas_Odoo!$B:$B, 0)), 0)*(1-AG2434)))</f>
        <v/>
      </c>
      <c r="AJ2434" s="81">
        <f>IF(AN2434="","",_xlfn.LET(idVenta, AN2434&amp;"",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34" s="81">
        <f>IF(AN2434="","",AH2434-AJ2434)</f>
        <v/>
      </c>
      <c r="AL2434" s="81">
        <f>IF(AN2434="","",IF(Q2434="Sin Factura","",AI2434-AJ2434))</f>
        <v/>
      </c>
      <c r="AM2434" s="81">
        <f>IF(AN2434="","",IF(Q2434="Sin Factura",0,P2434-IFERROR(INDEX(Facturas_Odoo!$H:$H, MATCH(Q2434, Facturas_Odoo!$B:$B, 0)), 0)))</f>
        <v/>
      </c>
      <c r="AN2434" s="79">
        <f>IF(AND(A2434="", J2434=""), "", IF(A2434&lt;&gt;"", VALUE(MID(A2434,2,LEN(A2434))), AN2433))</f>
        <v/>
      </c>
      <c r="AO2434" s="79">
        <f>IF(AN2434="","",IF(AD2434=0,"OK",_xlfn.LET(monedaPago, IF(AA2434="","USD",AA2434), limitePermitido, IFERROR(VLOOKUP(monedaPago, Configuración!$A$2:$B$3, 2, FALSE), 0.15), IF(AD2434&gt;limitePermitido, "ALERTA: EXCESO (" &amp; TEXT(limitePermitido, "0%") &amp; " máx)", "OK"))))</f>
        <v/>
      </c>
      <c r="AP2434" s="79">
        <f>IF(AN2434="","",IF(AE2434=0,"OK",_xlfn.LET(fechaPago, Z2434, fechaFactura, R2434, diasCredito, IF(E2434="Pago inmediato", 0, IFERROR(VALUE(MID(E2434, 1, SEARCH(" ", E2434)-1)),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34" s="79">
        <f>IF(AN2434="","",IF(AND(N2434&gt;0, AG2434&gt;0), IF(Configuración!$K$2="NO", "ALERTA: DESCUENTO DOBLE NO PERMITIDO", "OK"), "OK"))</f>
        <v/>
      </c>
      <c r="AR2434" s="79">
        <f>IF(AN2434="","",IF(OR(AO2434&lt;&gt;"OK", AP2434&lt;&gt;"OK", AQ2434&lt;&gt;"OK"), "⚠️ REVISAR", "OK"))</f>
        <v/>
      </c>
    </row>
    <row r="2435">
      <c r="A2435" s="79">
        <f>IF('Ordenes_Odoo'!A2435="","",'Ordenes_Odoo'!A2435)</f>
        <v/>
      </c>
      <c r="B2435" s="80">
        <f>IF('Ordenes_Odoo'!B2435="","",'Ordenes_Odoo'!B2435)</f>
        <v/>
      </c>
      <c r="C2435" s="79">
        <f>IF('Ordenes_Odoo'!C2435="","",'Ordenes_Odoo'!C2435)</f>
        <v/>
      </c>
      <c r="D2435" s="79">
        <f>IF('Ordenes_Odoo'!D2435="","",'Ordenes_Odoo'!D2435)</f>
        <v/>
      </c>
      <c r="E2435" s="79">
        <f>IF('Ordenes_Odoo'!E2435="","",'Ordenes_Odoo'!E2435)</f>
        <v/>
      </c>
      <c r="F2435" s="79">
        <f>IF('Ordenes_Odoo'!F2435="","",'Ordenes_Odoo'!F2435)</f>
        <v/>
      </c>
      <c r="G2435" s="79">
        <f>IF('Ordenes_Odoo'!G2435="","",'Ordenes_Odoo'!G2435)</f>
        <v/>
      </c>
      <c r="H2435" s="79">
        <f>IF('Ordenes_Odoo'!H2435="","",'Ordenes_Odoo'!H2435)</f>
        <v/>
      </c>
      <c r="I2435" s="79">
        <f>IF('Ordenes_Odoo'!I2435="","",'Ordenes_Odoo'!I2435)</f>
        <v/>
      </c>
      <c r="J2435" s="79">
        <f>IF('Ordenes_Odoo'!J2435="","",'Ordenes_Odoo'!J2435)</f>
        <v/>
      </c>
      <c r="K2435" s="81">
        <f>IF('Ordenes_Odoo'!K2435="","",'Ordenes_Odoo'!K2435)</f>
        <v/>
      </c>
      <c r="L2435" s="81">
        <f>IF('Ordenes_Odoo'!L2435="","",'Ordenes_Odoo'!L2435)</f>
        <v/>
      </c>
      <c r="M2435" s="79">
        <f>IF('Ordenes_Odoo'!M2435="","",'Ordenes_Odoo'!M2435)</f>
        <v/>
      </c>
      <c r="N2435" s="79">
        <f>IF('Ordenes_Odoo'!N2435="","",'Ordenes_Odoo'!N2435)</f>
        <v/>
      </c>
      <c r="O2435" s="81">
        <f>IF('Ordenes_Odoo'!O2435="","",'Ordenes_Odoo'!O2435)</f>
        <v/>
      </c>
      <c r="P2435" s="81">
        <f>IF('Ordenes_Odoo'!P2435="","",'Ordenes_Odoo'!P2435)</f>
        <v/>
      </c>
      <c r="Q2435" s="79">
        <f>IF(A2435="","",IFERROR(INDEX(Facturas_Odoo!$B:$B, MATCH(A2435, Facturas_Odoo!$D:$D, 0)), "Sin Factura"))</f>
        <v/>
      </c>
      <c r="R2435" s="80">
        <f>IF(Q2435="Sin Factura","",IFERROR(INDEX(Facturas_Odoo!$A:$A, MATCH(Q2435, Facturas_Odoo!$B:$B, 0)), ""))</f>
        <v/>
      </c>
      <c r="S2435" s="79">
        <f>IF(Q2435="Sin Factura","",IFERROR(_xlfn.XLOOKUP(1, (Facturas_Odoo!$D:$D=A2435) * (Facturas_Odoo!$K:$K=I2435), Facturas_Odoo!$L:$L, ""), ""))</f>
        <v/>
      </c>
      <c r="T2435" s="81">
        <f>IF(Q2435="Sin Factura",0,IFERROR(_xlfn.XLOOKUP(1, (Facturas_Odoo!$D:$D=A2435) * (Facturas_Odoo!$K:$K=I2435), Facturas_Odoo!$M:$M, 0), 0))</f>
        <v/>
      </c>
      <c r="U2435" s="79">
        <f>IF(Q2435="Sin Factura",0,IFERROR(_xlfn.XLOOKUP(1, (Facturas_Odoo!$D:$D=A2435) * (Facturas_Odoo!$K:$K=I2435), Facturas_Odoo!$N:$N, 0), 0))</f>
        <v/>
      </c>
      <c r="V2435" s="79">
        <f>IF(Q2435="Sin Factura",0,IFERROR(_xlfn.XLOOKUP(1, (Facturas_Odoo!$D:$D=A2435) * (Facturas_Odoo!$K:$K=I2435), Facturas_Odoo!$O:$O, 0), 0))</f>
        <v/>
      </c>
      <c r="W2435" s="81">
        <f>IF(Q2435="Sin Factura",0,IFERROR(_xlfn.XLOOKUP(1, (Facturas_Odoo!$D:$D=A2435) * (Facturas_Odoo!$K:$K=I2435), Facturas_Odoo!$Q:$Q, 0), 0))</f>
        <v/>
      </c>
      <c r="X2435" s="79">
        <f>IF(OR(Q2435="Sin Factura",Q2435=""),"",IFERROR(INDEX(Pagos_Odoo!$B:$B, MATCH(Q2435, Pagos_Odoo!$I:$I, 0)), "Sin Pago"))</f>
        <v/>
      </c>
      <c r="Y2435" s="79">
        <f>IF(X2435="Sin Pago","",IFERROR(INDEX(Pagos_Odoo!$C:$C, MATCH(X2435, Pagos_Odoo!$B:$B, 0)), ""))</f>
        <v/>
      </c>
      <c r="Z2435" s="80">
        <f>IF(X2435="Sin Pago","",IFERROR(INDEX(Pagos_Odoo!$A:$A, MATCH(X2435, Pagos_Odoo!$B:$B, 0)), ""))</f>
        <v/>
      </c>
      <c r="AA2435" s="79">
        <f>IF(X2435="Sin Pago","",IFERROR(INDEX(Pagos_Odoo!$F:$F, MATCH(X2435, Pagos_Odoo!$B:$B, 0)), ""))</f>
        <v/>
      </c>
      <c r="AB2435" s="81">
        <f>IF(X2435="Sin Pago",0,IFERROR(INDEX(Pagos_Odoo!$E:$E, MATCH(X2435, Pagos_Odoo!$B:$B, 0)), 0))</f>
        <v/>
      </c>
      <c r="AC2435" s="79">
        <f>IF(X2435="Sin Pago","",IFERROR(INDEX(Pagos_Odoo!$G:$G, MATCH(X2435, Pagos_Odoo!$B:$B, 0)), ""))</f>
        <v/>
      </c>
      <c r="AD2435" s="82" t="n">
        <v>0</v>
      </c>
      <c r="AE2435" s="82" t="n"/>
      <c r="AF2435" s="82" t="n"/>
      <c r="AG2435" s="82">
        <f>IF(AN2435="","",AD2435+AE2435+AF2435)</f>
        <v/>
      </c>
      <c r="AH2435" s="81">
        <f>IF(AN2435="","",P2435*(1-AG2435))</f>
        <v/>
      </c>
      <c r="AI2435" s="81">
        <f>IF(AN2435="","",IF(Q2435="Sin Factura",0,IFERROR(INDEX(Facturas_Odoo!$H:$H, MATCH(Q2435, Facturas_Odoo!$B:$B, 0)), 0)*(1-AG2435)))</f>
        <v/>
      </c>
      <c r="AJ2435" s="81">
        <f>IF(AN2435="","",_xlfn.LET(idVenta, AN2435&amp;"",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35" s="81">
        <f>IF(AN2435="","",AH2435-AJ2435)</f>
        <v/>
      </c>
      <c r="AL2435" s="81">
        <f>IF(AN2435="","",IF(Q2435="Sin Factura","",AI2435-AJ2435))</f>
        <v/>
      </c>
      <c r="AM2435" s="81">
        <f>IF(AN2435="","",IF(Q2435="Sin Factura",0,P2435-IFERROR(INDEX(Facturas_Odoo!$H:$H, MATCH(Q2435, Facturas_Odoo!$B:$B, 0)), 0)))</f>
        <v/>
      </c>
      <c r="AN2435" s="79">
        <f>IF(AND(A2435="", J2435=""), "", IF(A2435&lt;&gt;"", VALUE(MID(A2435,2,LEN(A2435))), AN2434))</f>
        <v/>
      </c>
      <c r="AO2435" s="79">
        <f>IF(AN2435="","",IF(AD2435=0,"OK",_xlfn.LET(monedaPago, IF(AA2435="","USD",AA2435), limitePermitido, IFERROR(VLOOKUP(monedaPago, Configuración!$A$2:$B$3, 2, FALSE), 0.15), IF(AD2435&gt;limitePermitido, "ALERTA: EXCESO (" &amp; TEXT(limitePermitido, "0%") &amp; " máx)", "OK"))))</f>
        <v/>
      </c>
      <c r="AP2435" s="79">
        <f>IF(AN2435="","",IF(AE2435=0,"OK",_xlfn.LET(fechaPago, Z2435, fechaFactura, R2435, diasCredito, IF(E2435="Pago inmediato", 0, IFERROR(VALUE(MID(E2435, 1, SEARCH(" ", E2435)-1)),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35" s="79">
        <f>IF(AN2435="","",IF(AND(N2435&gt;0, AG2435&gt;0), IF(Configuración!$K$2="NO", "ALERTA: DESCUENTO DOBLE NO PERMITIDO", "OK"), "OK"))</f>
        <v/>
      </c>
      <c r="AR2435" s="79">
        <f>IF(AN2435="","",IF(OR(AO2435&lt;&gt;"OK", AP2435&lt;&gt;"OK", AQ2435&lt;&gt;"OK"), "⚠️ REVISAR", "OK"))</f>
        <v/>
      </c>
    </row>
    <row r="2436">
      <c r="A2436" s="79">
        <f>IF('Ordenes_Odoo'!A2436="","",'Ordenes_Odoo'!A2436)</f>
        <v/>
      </c>
      <c r="B2436" s="80">
        <f>IF('Ordenes_Odoo'!B2436="","",'Ordenes_Odoo'!B2436)</f>
        <v/>
      </c>
      <c r="C2436" s="79">
        <f>IF('Ordenes_Odoo'!C2436="","",'Ordenes_Odoo'!C2436)</f>
        <v/>
      </c>
      <c r="D2436" s="79">
        <f>IF('Ordenes_Odoo'!D2436="","",'Ordenes_Odoo'!D2436)</f>
        <v/>
      </c>
      <c r="E2436" s="79">
        <f>IF('Ordenes_Odoo'!E2436="","",'Ordenes_Odoo'!E2436)</f>
        <v/>
      </c>
      <c r="F2436" s="79">
        <f>IF('Ordenes_Odoo'!F2436="","",'Ordenes_Odoo'!F2436)</f>
        <v/>
      </c>
      <c r="G2436" s="79">
        <f>IF('Ordenes_Odoo'!G2436="","",'Ordenes_Odoo'!G2436)</f>
        <v/>
      </c>
      <c r="H2436" s="79">
        <f>IF('Ordenes_Odoo'!H2436="","",'Ordenes_Odoo'!H2436)</f>
        <v/>
      </c>
      <c r="I2436" s="79">
        <f>IF('Ordenes_Odoo'!I2436="","",'Ordenes_Odoo'!I2436)</f>
        <v/>
      </c>
      <c r="J2436" s="79">
        <f>IF('Ordenes_Odoo'!J2436="","",'Ordenes_Odoo'!J2436)</f>
        <v/>
      </c>
      <c r="K2436" s="81">
        <f>IF('Ordenes_Odoo'!K2436="","",'Ordenes_Odoo'!K2436)</f>
        <v/>
      </c>
      <c r="L2436" s="81">
        <f>IF('Ordenes_Odoo'!L2436="","",'Ordenes_Odoo'!L2436)</f>
        <v/>
      </c>
      <c r="M2436" s="79">
        <f>IF('Ordenes_Odoo'!M2436="","",'Ordenes_Odoo'!M2436)</f>
        <v/>
      </c>
      <c r="N2436" s="79">
        <f>IF('Ordenes_Odoo'!N2436="","",'Ordenes_Odoo'!N2436)</f>
        <v/>
      </c>
      <c r="O2436" s="81">
        <f>IF('Ordenes_Odoo'!O2436="","",'Ordenes_Odoo'!O2436)</f>
        <v/>
      </c>
      <c r="P2436" s="81">
        <f>IF('Ordenes_Odoo'!P2436="","",'Ordenes_Odoo'!P2436)</f>
        <v/>
      </c>
      <c r="Q2436" s="79">
        <f>IF(A2436="","",IFERROR(INDEX(Facturas_Odoo!$B:$B, MATCH(A2436, Facturas_Odoo!$D:$D, 0)), "Sin Factura"))</f>
        <v/>
      </c>
      <c r="R2436" s="80">
        <f>IF(Q2436="Sin Factura","",IFERROR(INDEX(Facturas_Odoo!$A:$A, MATCH(Q2436, Facturas_Odoo!$B:$B, 0)), ""))</f>
        <v/>
      </c>
      <c r="S2436" s="79">
        <f>IF(Q2436="Sin Factura","",IFERROR(_xlfn.XLOOKUP(1, (Facturas_Odoo!$D:$D=A2436) * (Facturas_Odoo!$K:$K=I2436), Facturas_Odoo!$L:$L, ""), ""))</f>
        <v/>
      </c>
      <c r="T2436" s="81">
        <f>IF(Q2436="Sin Factura",0,IFERROR(_xlfn.XLOOKUP(1, (Facturas_Odoo!$D:$D=A2436) * (Facturas_Odoo!$K:$K=I2436), Facturas_Odoo!$M:$M, 0), 0))</f>
        <v/>
      </c>
      <c r="U2436" s="79">
        <f>IF(Q2436="Sin Factura",0,IFERROR(_xlfn.XLOOKUP(1, (Facturas_Odoo!$D:$D=A2436) * (Facturas_Odoo!$K:$K=I2436), Facturas_Odoo!$N:$N, 0), 0))</f>
        <v/>
      </c>
      <c r="V2436" s="79">
        <f>IF(Q2436="Sin Factura",0,IFERROR(_xlfn.XLOOKUP(1, (Facturas_Odoo!$D:$D=A2436) * (Facturas_Odoo!$K:$K=I2436), Facturas_Odoo!$O:$O, 0), 0))</f>
        <v/>
      </c>
      <c r="W2436" s="81">
        <f>IF(Q2436="Sin Factura",0,IFERROR(_xlfn.XLOOKUP(1, (Facturas_Odoo!$D:$D=A2436) * (Facturas_Odoo!$K:$K=I2436), Facturas_Odoo!$Q:$Q, 0), 0))</f>
        <v/>
      </c>
      <c r="X2436" s="79">
        <f>IF(OR(Q2436="Sin Factura",Q2436=""),"",IFERROR(INDEX(Pagos_Odoo!$B:$B, MATCH(Q2436, Pagos_Odoo!$I:$I, 0)), "Sin Pago"))</f>
        <v/>
      </c>
      <c r="Y2436" s="79">
        <f>IF(X2436="Sin Pago","",IFERROR(INDEX(Pagos_Odoo!$C:$C, MATCH(X2436, Pagos_Odoo!$B:$B, 0)), ""))</f>
        <v/>
      </c>
      <c r="Z2436" s="80">
        <f>IF(X2436="Sin Pago","",IFERROR(INDEX(Pagos_Odoo!$A:$A, MATCH(X2436, Pagos_Odoo!$B:$B, 0)), ""))</f>
        <v/>
      </c>
      <c r="AA2436" s="79">
        <f>IF(X2436="Sin Pago","",IFERROR(INDEX(Pagos_Odoo!$F:$F, MATCH(X2436, Pagos_Odoo!$B:$B, 0)), ""))</f>
        <v/>
      </c>
      <c r="AB2436" s="81">
        <f>IF(X2436="Sin Pago",0,IFERROR(INDEX(Pagos_Odoo!$E:$E, MATCH(X2436, Pagos_Odoo!$B:$B, 0)), 0))</f>
        <v/>
      </c>
      <c r="AC2436" s="79">
        <f>IF(X2436="Sin Pago","",IFERROR(INDEX(Pagos_Odoo!$G:$G, MATCH(X2436, Pagos_Odoo!$B:$B, 0)), ""))</f>
        <v/>
      </c>
      <c r="AD2436" s="82" t="n">
        <v>0</v>
      </c>
      <c r="AE2436" s="82" t="n"/>
      <c r="AF2436" s="82" t="n"/>
      <c r="AG2436" s="82">
        <f>IF(AN2436="","",AD2436+AE2436+AF2436)</f>
        <v/>
      </c>
      <c r="AH2436" s="81">
        <f>IF(AN2436="","",P2436*(1-AG2436))</f>
        <v/>
      </c>
      <c r="AI2436" s="81">
        <f>IF(AN2436="","",IF(Q2436="Sin Factura",0,IFERROR(INDEX(Facturas_Odoo!$H:$H, MATCH(Q2436, Facturas_Odoo!$B:$B, 0)), 0)*(1-AG2436)))</f>
        <v/>
      </c>
      <c r="AJ2436" s="81">
        <f>IF(AN2436="","",_xlfn.LET(idVenta, AN2436&amp;"",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36" s="81">
        <f>IF(AN2436="","",AH2436-AJ2436)</f>
        <v/>
      </c>
      <c r="AL2436" s="81">
        <f>IF(AN2436="","",IF(Q2436="Sin Factura","",AI2436-AJ2436))</f>
        <v/>
      </c>
      <c r="AM2436" s="81">
        <f>IF(AN2436="","",IF(Q2436="Sin Factura",0,P2436-IFERROR(INDEX(Facturas_Odoo!$H:$H, MATCH(Q2436, Facturas_Odoo!$B:$B, 0)), 0)))</f>
        <v/>
      </c>
      <c r="AN2436" s="79">
        <f>IF(AND(A2436="", J2436=""), "", IF(A2436&lt;&gt;"", VALUE(MID(A2436,2,LEN(A2436))), AN2435))</f>
        <v/>
      </c>
      <c r="AO2436" s="79">
        <f>IF(AN2436="","",IF(AD2436=0,"OK",_xlfn.LET(monedaPago, IF(AA2436="","USD",AA2436), limitePermitido, IFERROR(VLOOKUP(monedaPago, Configuración!$A$2:$B$3, 2, FALSE), 0.15), IF(AD2436&gt;limitePermitido, "ALERTA: EXCESO (" &amp; TEXT(limitePermitido, "0%") &amp; " máx)", "OK"))))</f>
        <v/>
      </c>
      <c r="AP2436" s="79">
        <f>IF(AN2436="","",IF(AE2436=0,"OK",_xlfn.LET(fechaPago, Z2436, fechaFactura, R2436, diasCredito, IF(E2436="Pago inmediato", 0, IFERROR(VALUE(MID(E2436, 1, SEARCH(" ", E2436)-1)),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36" s="79">
        <f>IF(AN2436="","",IF(AND(N2436&gt;0, AG2436&gt;0), IF(Configuración!$K$2="NO", "ALERTA: DESCUENTO DOBLE NO PERMITIDO", "OK"), "OK"))</f>
        <v/>
      </c>
      <c r="AR2436" s="79">
        <f>IF(AN2436="","",IF(OR(AO2436&lt;&gt;"OK", AP2436&lt;&gt;"OK", AQ2436&lt;&gt;"OK"), "⚠️ REVISAR", "OK"))</f>
        <v/>
      </c>
    </row>
    <row r="2437">
      <c r="A2437" s="79">
        <f>IF('Ordenes_Odoo'!A2437="","",'Ordenes_Odoo'!A2437)</f>
        <v/>
      </c>
      <c r="B2437" s="80">
        <f>IF('Ordenes_Odoo'!B2437="","",'Ordenes_Odoo'!B2437)</f>
        <v/>
      </c>
      <c r="C2437" s="79">
        <f>IF('Ordenes_Odoo'!C2437="","",'Ordenes_Odoo'!C2437)</f>
        <v/>
      </c>
      <c r="D2437" s="79">
        <f>IF('Ordenes_Odoo'!D2437="","",'Ordenes_Odoo'!D2437)</f>
        <v/>
      </c>
      <c r="E2437" s="79">
        <f>IF('Ordenes_Odoo'!E2437="","",'Ordenes_Odoo'!E2437)</f>
        <v/>
      </c>
      <c r="F2437" s="79">
        <f>IF('Ordenes_Odoo'!F2437="","",'Ordenes_Odoo'!F2437)</f>
        <v/>
      </c>
      <c r="G2437" s="79">
        <f>IF('Ordenes_Odoo'!G2437="","",'Ordenes_Odoo'!G2437)</f>
        <v/>
      </c>
      <c r="H2437" s="79">
        <f>IF('Ordenes_Odoo'!H2437="","",'Ordenes_Odoo'!H2437)</f>
        <v/>
      </c>
      <c r="I2437" s="79">
        <f>IF('Ordenes_Odoo'!I2437="","",'Ordenes_Odoo'!I2437)</f>
        <v/>
      </c>
      <c r="J2437" s="79">
        <f>IF('Ordenes_Odoo'!J2437="","",'Ordenes_Odoo'!J2437)</f>
        <v/>
      </c>
      <c r="K2437" s="81">
        <f>IF('Ordenes_Odoo'!K2437="","",'Ordenes_Odoo'!K2437)</f>
        <v/>
      </c>
      <c r="L2437" s="81">
        <f>IF('Ordenes_Odoo'!L2437="","",'Ordenes_Odoo'!L2437)</f>
        <v/>
      </c>
      <c r="M2437" s="79">
        <f>IF('Ordenes_Odoo'!M2437="","",'Ordenes_Odoo'!M2437)</f>
        <v/>
      </c>
      <c r="N2437" s="79">
        <f>IF('Ordenes_Odoo'!N2437="","",'Ordenes_Odoo'!N2437)</f>
        <v/>
      </c>
      <c r="O2437" s="81">
        <f>IF('Ordenes_Odoo'!O2437="","",'Ordenes_Odoo'!O2437)</f>
        <v/>
      </c>
      <c r="P2437" s="81">
        <f>IF('Ordenes_Odoo'!P2437="","",'Ordenes_Odoo'!P2437)</f>
        <v/>
      </c>
      <c r="Q2437" s="79">
        <f>IF(A2437="","",IFERROR(INDEX(Facturas_Odoo!$B:$B, MATCH(A2437, Facturas_Odoo!$D:$D, 0)), "Sin Factura"))</f>
        <v/>
      </c>
      <c r="R2437" s="80">
        <f>IF(Q2437="Sin Factura","",IFERROR(INDEX(Facturas_Odoo!$A:$A, MATCH(Q2437, Facturas_Odoo!$B:$B, 0)), ""))</f>
        <v/>
      </c>
      <c r="S2437" s="79">
        <f>IF(Q2437="Sin Factura","",IFERROR(_xlfn.XLOOKUP(1, (Facturas_Odoo!$D:$D=A2437) * (Facturas_Odoo!$K:$K=I2437), Facturas_Odoo!$L:$L, ""), ""))</f>
        <v/>
      </c>
      <c r="T2437" s="81">
        <f>IF(Q2437="Sin Factura",0,IFERROR(_xlfn.XLOOKUP(1, (Facturas_Odoo!$D:$D=A2437) * (Facturas_Odoo!$K:$K=I2437), Facturas_Odoo!$M:$M, 0), 0))</f>
        <v/>
      </c>
      <c r="U2437" s="79">
        <f>IF(Q2437="Sin Factura",0,IFERROR(_xlfn.XLOOKUP(1, (Facturas_Odoo!$D:$D=A2437) * (Facturas_Odoo!$K:$K=I2437), Facturas_Odoo!$N:$N, 0), 0))</f>
        <v/>
      </c>
      <c r="V2437" s="79">
        <f>IF(Q2437="Sin Factura",0,IFERROR(_xlfn.XLOOKUP(1, (Facturas_Odoo!$D:$D=A2437) * (Facturas_Odoo!$K:$K=I2437), Facturas_Odoo!$O:$O, 0), 0))</f>
        <v/>
      </c>
      <c r="W2437" s="81">
        <f>IF(Q2437="Sin Factura",0,IFERROR(_xlfn.XLOOKUP(1, (Facturas_Odoo!$D:$D=A2437) * (Facturas_Odoo!$K:$K=I2437), Facturas_Odoo!$Q:$Q, 0), 0))</f>
        <v/>
      </c>
      <c r="X2437" s="79">
        <f>IF(OR(Q2437="Sin Factura",Q2437=""),"",IFERROR(INDEX(Pagos_Odoo!$B:$B, MATCH(Q2437, Pagos_Odoo!$I:$I, 0)), "Sin Pago"))</f>
        <v/>
      </c>
      <c r="Y2437" s="79">
        <f>IF(X2437="Sin Pago","",IFERROR(INDEX(Pagos_Odoo!$C:$C, MATCH(X2437, Pagos_Odoo!$B:$B, 0)), ""))</f>
        <v/>
      </c>
      <c r="Z2437" s="80">
        <f>IF(X2437="Sin Pago","",IFERROR(INDEX(Pagos_Odoo!$A:$A, MATCH(X2437, Pagos_Odoo!$B:$B, 0)), ""))</f>
        <v/>
      </c>
      <c r="AA2437" s="79">
        <f>IF(X2437="Sin Pago","",IFERROR(INDEX(Pagos_Odoo!$F:$F, MATCH(X2437, Pagos_Odoo!$B:$B, 0)), ""))</f>
        <v/>
      </c>
      <c r="AB2437" s="81">
        <f>IF(X2437="Sin Pago",0,IFERROR(INDEX(Pagos_Odoo!$E:$E, MATCH(X2437, Pagos_Odoo!$B:$B, 0)), 0))</f>
        <v/>
      </c>
      <c r="AC2437" s="79">
        <f>IF(X2437="Sin Pago","",IFERROR(INDEX(Pagos_Odoo!$G:$G, MATCH(X2437, Pagos_Odoo!$B:$B, 0)), ""))</f>
        <v/>
      </c>
      <c r="AD2437" s="82" t="n">
        <v>0</v>
      </c>
      <c r="AE2437" s="82" t="n"/>
      <c r="AF2437" s="82" t="n"/>
      <c r="AG2437" s="82">
        <f>IF(AN2437="","",AD2437+AE2437+AF2437)</f>
        <v/>
      </c>
      <c r="AH2437" s="81">
        <f>IF(AN2437="","",P2437*(1-AG2437))</f>
        <v/>
      </c>
      <c r="AI2437" s="81">
        <f>IF(AN2437="","",IF(Q2437="Sin Factura",0,IFERROR(INDEX(Facturas_Odoo!$H:$H, MATCH(Q2437, Facturas_Odoo!$B:$B, 0)), 0)*(1-AG2437)))</f>
        <v/>
      </c>
      <c r="AJ2437" s="81">
        <f>IF(AN2437="","",_xlfn.LET(idVenta, AN2437&amp;"",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37" s="81">
        <f>IF(AN2437="","",AH2437-AJ2437)</f>
        <v/>
      </c>
      <c r="AL2437" s="81">
        <f>IF(AN2437="","",IF(Q2437="Sin Factura","",AI2437-AJ2437))</f>
        <v/>
      </c>
      <c r="AM2437" s="81">
        <f>IF(AN2437="","",IF(Q2437="Sin Factura",0,P2437-IFERROR(INDEX(Facturas_Odoo!$H:$H, MATCH(Q2437, Facturas_Odoo!$B:$B, 0)), 0)))</f>
        <v/>
      </c>
      <c r="AN2437" s="79">
        <f>IF(AND(A2437="", J2437=""), "", IF(A2437&lt;&gt;"", VALUE(MID(A2437,2,LEN(A2437))), AN2436))</f>
        <v/>
      </c>
      <c r="AO2437" s="79">
        <f>IF(AN2437="","",IF(AD2437=0,"OK",_xlfn.LET(monedaPago, IF(AA2437="","USD",AA2437), limitePermitido, IFERROR(VLOOKUP(monedaPago, Configuración!$A$2:$B$3, 2, FALSE), 0.15), IF(AD2437&gt;limitePermitido, "ALERTA: EXCESO (" &amp; TEXT(limitePermitido, "0%") &amp; " máx)", "OK"))))</f>
        <v/>
      </c>
      <c r="AP2437" s="79">
        <f>IF(AN2437="","",IF(AE2437=0,"OK",_xlfn.LET(fechaPago, Z2437, fechaFactura, R2437, diasCredito, IF(E2437="Pago inmediato", 0, IFERROR(VALUE(MID(E2437, 1, SEARCH(" ", E2437)-1)),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37" s="79">
        <f>IF(AN2437="","",IF(AND(N2437&gt;0, AG2437&gt;0), IF(Configuración!$K$2="NO", "ALERTA: DESCUENTO DOBLE NO PERMITIDO", "OK"), "OK"))</f>
        <v/>
      </c>
      <c r="AR2437" s="79">
        <f>IF(AN2437="","",IF(OR(AO2437&lt;&gt;"OK", AP2437&lt;&gt;"OK", AQ2437&lt;&gt;"OK"), "⚠️ REVISAR", "OK"))</f>
        <v/>
      </c>
    </row>
    <row r="2438">
      <c r="A2438" s="79">
        <f>IF('Ordenes_Odoo'!A2438="","",'Ordenes_Odoo'!A2438)</f>
        <v/>
      </c>
      <c r="B2438" s="80">
        <f>IF('Ordenes_Odoo'!B2438="","",'Ordenes_Odoo'!B2438)</f>
        <v/>
      </c>
      <c r="C2438" s="79">
        <f>IF('Ordenes_Odoo'!C2438="","",'Ordenes_Odoo'!C2438)</f>
        <v/>
      </c>
      <c r="D2438" s="79">
        <f>IF('Ordenes_Odoo'!D2438="","",'Ordenes_Odoo'!D2438)</f>
        <v/>
      </c>
      <c r="E2438" s="79">
        <f>IF('Ordenes_Odoo'!E2438="","",'Ordenes_Odoo'!E2438)</f>
        <v/>
      </c>
      <c r="F2438" s="79">
        <f>IF('Ordenes_Odoo'!F2438="","",'Ordenes_Odoo'!F2438)</f>
        <v/>
      </c>
      <c r="G2438" s="79">
        <f>IF('Ordenes_Odoo'!G2438="","",'Ordenes_Odoo'!G2438)</f>
        <v/>
      </c>
      <c r="H2438" s="79">
        <f>IF('Ordenes_Odoo'!H2438="","",'Ordenes_Odoo'!H2438)</f>
        <v/>
      </c>
      <c r="I2438" s="79">
        <f>IF('Ordenes_Odoo'!I2438="","",'Ordenes_Odoo'!I2438)</f>
        <v/>
      </c>
      <c r="J2438" s="79">
        <f>IF('Ordenes_Odoo'!J2438="","",'Ordenes_Odoo'!J2438)</f>
        <v/>
      </c>
      <c r="K2438" s="81">
        <f>IF('Ordenes_Odoo'!K2438="","",'Ordenes_Odoo'!K2438)</f>
        <v/>
      </c>
      <c r="L2438" s="81">
        <f>IF('Ordenes_Odoo'!L2438="","",'Ordenes_Odoo'!L2438)</f>
        <v/>
      </c>
      <c r="M2438" s="79">
        <f>IF('Ordenes_Odoo'!M2438="","",'Ordenes_Odoo'!M2438)</f>
        <v/>
      </c>
      <c r="N2438" s="79">
        <f>IF('Ordenes_Odoo'!N2438="","",'Ordenes_Odoo'!N2438)</f>
        <v/>
      </c>
      <c r="O2438" s="81">
        <f>IF('Ordenes_Odoo'!O2438="","",'Ordenes_Odoo'!O2438)</f>
        <v/>
      </c>
      <c r="P2438" s="81">
        <f>IF('Ordenes_Odoo'!P2438="","",'Ordenes_Odoo'!P2438)</f>
        <v/>
      </c>
      <c r="Q2438" s="79">
        <f>IF(A2438="","",IFERROR(INDEX(Facturas_Odoo!$B:$B, MATCH(A2438, Facturas_Odoo!$D:$D, 0)), "Sin Factura"))</f>
        <v/>
      </c>
      <c r="R2438" s="80">
        <f>IF(Q2438="Sin Factura","",IFERROR(INDEX(Facturas_Odoo!$A:$A, MATCH(Q2438, Facturas_Odoo!$B:$B, 0)), ""))</f>
        <v/>
      </c>
      <c r="S2438" s="79">
        <f>IF(Q2438="Sin Factura","",IFERROR(_xlfn.XLOOKUP(1, (Facturas_Odoo!$D:$D=A2438) * (Facturas_Odoo!$K:$K=I2438), Facturas_Odoo!$L:$L, ""), ""))</f>
        <v/>
      </c>
      <c r="T2438" s="81">
        <f>IF(Q2438="Sin Factura",0,IFERROR(_xlfn.XLOOKUP(1, (Facturas_Odoo!$D:$D=A2438) * (Facturas_Odoo!$K:$K=I2438), Facturas_Odoo!$M:$M, 0), 0))</f>
        <v/>
      </c>
      <c r="U2438" s="79">
        <f>IF(Q2438="Sin Factura",0,IFERROR(_xlfn.XLOOKUP(1, (Facturas_Odoo!$D:$D=A2438) * (Facturas_Odoo!$K:$K=I2438), Facturas_Odoo!$N:$N, 0), 0))</f>
        <v/>
      </c>
      <c r="V2438" s="79">
        <f>IF(Q2438="Sin Factura",0,IFERROR(_xlfn.XLOOKUP(1, (Facturas_Odoo!$D:$D=A2438) * (Facturas_Odoo!$K:$K=I2438), Facturas_Odoo!$O:$O, 0), 0))</f>
        <v/>
      </c>
      <c r="W2438" s="81">
        <f>IF(Q2438="Sin Factura",0,IFERROR(_xlfn.XLOOKUP(1, (Facturas_Odoo!$D:$D=A2438) * (Facturas_Odoo!$K:$K=I2438), Facturas_Odoo!$Q:$Q, 0), 0))</f>
        <v/>
      </c>
      <c r="X2438" s="79">
        <f>IF(OR(Q2438="Sin Factura",Q2438=""),"",IFERROR(INDEX(Pagos_Odoo!$B:$B, MATCH(Q2438, Pagos_Odoo!$I:$I, 0)), "Sin Pago"))</f>
        <v/>
      </c>
      <c r="Y2438" s="79">
        <f>IF(X2438="Sin Pago","",IFERROR(INDEX(Pagos_Odoo!$C:$C, MATCH(X2438, Pagos_Odoo!$B:$B, 0)), ""))</f>
        <v/>
      </c>
      <c r="Z2438" s="80">
        <f>IF(X2438="Sin Pago","",IFERROR(INDEX(Pagos_Odoo!$A:$A, MATCH(X2438, Pagos_Odoo!$B:$B, 0)), ""))</f>
        <v/>
      </c>
      <c r="AA2438" s="79">
        <f>IF(X2438="Sin Pago","",IFERROR(INDEX(Pagos_Odoo!$F:$F, MATCH(X2438, Pagos_Odoo!$B:$B, 0)), ""))</f>
        <v/>
      </c>
      <c r="AB2438" s="81">
        <f>IF(X2438="Sin Pago",0,IFERROR(INDEX(Pagos_Odoo!$E:$E, MATCH(X2438, Pagos_Odoo!$B:$B, 0)), 0))</f>
        <v/>
      </c>
      <c r="AC2438" s="79">
        <f>IF(X2438="Sin Pago","",IFERROR(INDEX(Pagos_Odoo!$G:$G, MATCH(X2438, Pagos_Odoo!$B:$B, 0)), ""))</f>
        <v/>
      </c>
      <c r="AD2438" s="82" t="n">
        <v>0</v>
      </c>
      <c r="AE2438" s="82" t="n"/>
      <c r="AF2438" s="82" t="n"/>
      <c r="AG2438" s="82">
        <f>IF(AN2438="","",AD2438+AE2438+AF2438)</f>
        <v/>
      </c>
      <c r="AH2438" s="81">
        <f>IF(AN2438="","",P2438*(1-AG2438))</f>
        <v/>
      </c>
      <c r="AI2438" s="81">
        <f>IF(AN2438="","",IF(Q2438="Sin Factura",0,IFERROR(INDEX(Facturas_Odoo!$H:$H, MATCH(Q2438, Facturas_Odoo!$B:$B, 0)), 0)*(1-AG2438)))</f>
        <v/>
      </c>
      <c r="AJ2438" s="81">
        <f>IF(AN2438="","",_xlfn.LET(idVenta, AN2438&amp;"",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38" s="81">
        <f>IF(AN2438="","",AH2438-AJ2438)</f>
        <v/>
      </c>
      <c r="AL2438" s="81">
        <f>IF(AN2438="","",IF(Q2438="Sin Factura","",AI2438-AJ2438))</f>
        <v/>
      </c>
      <c r="AM2438" s="81">
        <f>IF(AN2438="","",IF(Q2438="Sin Factura",0,P2438-IFERROR(INDEX(Facturas_Odoo!$H:$H, MATCH(Q2438, Facturas_Odoo!$B:$B, 0)), 0)))</f>
        <v/>
      </c>
      <c r="AN2438" s="79">
        <f>IF(AND(A2438="", J2438=""), "", IF(A2438&lt;&gt;"", VALUE(MID(A2438,2,LEN(A2438))), AN2437))</f>
        <v/>
      </c>
      <c r="AO2438" s="79">
        <f>IF(AN2438="","",IF(AD2438=0,"OK",_xlfn.LET(monedaPago, IF(AA2438="","USD",AA2438), limitePermitido, IFERROR(VLOOKUP(monedaPago, Configuración!$A$2:$B$3, 2, FALSE), 0.15), IF(AD2438&gt;limitePermitido, "ALERTA: EXCESO (" &amp; TEXT(limitePermitido, "0%") &amp; " máx)", "OK"))))</f>
        <v/>
      </c>
      <c r="AP2438" s="79">
        <f>IF(AN2438="","",IF(AE2438=0,"OK",_xlfn.LET(fechaPago, Z2438, fechaFactura, R2438, diasCredito, IF(E2438="Pago inmediato", 0, IFERROR(VALUE(MID(E2438, 1, SEARCH(" ", E2438)-1)),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38" s="79">
        <f>IF(AN2438="","",IF(AND(N2438&gt;0, AG2438&gt;0), IF(Configuración!$K$2="NO", "ALERTA: DESCUENTO DOBLE NO PERMITIDO", "OK"), "OK"))</f>
        <v/>
      </c>
      <c r="AR2438" s="79">
        <f>IF(AN2438="","",IF(OR(AO2438&lt;&gt;"OK", AP2438&lt;&gt;"OK", AQ2438&lt;&gt;"OK"), "⚠️ REVISAR", "OK"))</f>
        <v/>
      </c>
    </row>
    <row r="2439">
      <c r="A2439" s="79">
        <f>IF('Ordenes_Odoo'!A2439="","",'Ordenes_Odoo'!A2439)</f>
        <v/>
      </c>
      <c r="B2439" s="80">
        <f>IF('Ordenes_Odoo'!B2439="","",'Ordenes_Odoo'!B2439)</f>
        <v/>
      </c>
      <c r="C2439" s="79">
        <f>IF('Ordenes_Odoo'!C2439="","",'Ordenes_Odoo'!C2439)</f>
        <v/>
      </c>
      <c r="D2439" s="79">
        <f>IF('Ordenes_Odoo'!D2439="","",'Ordenes_Odoo'!D2439)</f>
        <v/>
      </c>
      <c r="E2439" s="79">
        <f>IF('Ordenes_Odoo'!E2439="","",'Ordenes_Odoo'!E2439)</f>
        <v/>
      </c>
      <c r="F2439" s="79">
        <f>IF('Ordenes_Odoo'!F2439="","",'Ordenes_Odoo'!F2439)</f>
        <v/>
      </c>
      <c r="G2439" s="79">
        <f>IF('Ordenes_Odoo'!G2439="","",'Ordenes_Odoo'!G2439)</f>
        <v/>
      </c>
      <c r="H2439" s="79">
        <f>IF('Ordenes_Odoo'!H2439="","",'Ordenes_Odoo'!H2439)</f>
        <v/>
      </c>
      <c r="I2439" s="79">
        <f>IF('Ordenes_Odoo'!I2439="","",'Ordenes_Odoo'!I2439)</f>
        <v/>
      </c>
      <c r="J2439" s="79">
        <f>IF('Ordenes_Odoo'!J2439="","",'Ordenes_Odoo'!J2439)</f>
        <v/>
      </c>
      <c r="K2439" s="81">
        <f>IF('Ordenes_Odoo'!K2439="","",'Ordenes_Odoo'!K2439)</f>
        <v/>
      </c>
      <c r="L2439" s="81">
        <f>IF('Ordenes_Odoo'!L2439="","",'Ordenes_Odoo'!L2439)</f>
        <v/>
      </c>
      <c r="M2439" s="79">
        <f>IF('Ordenes_Odoo'!M2439="","",'Ordenes_Odoo'!M2439)</f>
        <v/>
      </c>
      <c r="N2439" s="79">
        <f>IF('Ordenes_Odoo'!N2439="","",'Ordenes_Odoo'!N2439)</f>
        <v/>
      </c>
      <c r="O2439" s="81">
        <f>IF('Ordenes_Odoo'!O2439="","",'Ordenes_Odoo'!O2439)</f>
        <v/>
      </c>
      <c r="P2439" s="81">
        <f>IF('Ordenes_Odoo'!P2439="","",'Ordenes_Odoo'!P2439)</f>
        <v/>
      </c>
      <c r="Q2439" s="79">
        <f>IF(A2439="","",IFERROR(INDEX(Facturas_Odoo!$B:$B, MATCH(A2439, Facturas_Odoo!$D:$D, 0)), "Sin Factura"))</f>
        <v/>
      </c>
      <c r="R2439" s="80">
        <f>IF(Q2439="Sin Factura","",IFERROR(INDEX(Facturas_Odoo!$A:$A, MATCH(Q2439, Facturas_Odoo!$B:$B, 0)), ""))</f>
        <v/>
      </c>
      <c r="S2439" s="79">
        <f>IF(Q2439="Sin Factura","",IFERROR(_xlfn.XLOOKUP(1, (Facturas_Odoo!$D:$D=A2439) * (Facturas_Odoo!$K:$K=I2439), Facturas_Odoo!$L:$L, ""), ""))</f>
        <v/>
      </c>
      <c r="T2439" s="81">
        <f>IF(Q2439="Sin Factura",0,IFERROR(_xlfn.XLOOKUP(1, (Facturas_Odoo!$D:$D=A2439) * (Facturas_Odoo!$K:$K=I2439), Facturas_Odoo!$M:$M, 0), 0))</f>
        <v/>
      </c>
      <c r="U2439" s="79">
        <f>IF(Q2439="Sin Factura",0,IFERROR(_xlfn.XLOOKUP(1, (Facturas_Odoo!$D:$D=A2439) * (Facturas_Odoo!$K:$K=I2439), Facturas_Odoo!$N:$N, 0), 0))</f>
        <v/>
      </c>
      <c r="V2439" s="79">
        <f>IF(Q2439="Sin Factura",0,IFERROR(_xlfn.XLOOKUP(1, (Facturas_Odoo!$D:$D=A2439) * (Facturas_Odoo!$K:$K=I2439), Facturas_Odoo!$O:$O, 0), 0))</f>
        <v/>
      </c>
      <c r="W2439" s="81">
        <f>IF(Q2439="Sin Factura",0,IFERROR(_xlfn.XLOOKUP(1, (Facturas_Odoo!$D:$D=A2439) * (Facturas_Odoo!$K:$K=I2439), Facturas_Odoo!$Q:$Q, 0), 0))</f>
        <v/>
      </c>
      <c r="X2439" s="79">
        <f>IF(OR(Q2439="Sin Factura",Q2439=""),"",IFERROR(INDEX(Pagos_Odoo!$B:$B, MATCH(Q2439, Pagos_Odoo!$I:$I, 0)), "Sin Pago"))</f>
        <v/>
      </c>
      <c r="Y2439" s="79">
        <f>IF(X2439="Sin Pago","",IFERROR(INDEX(Pagos_Odoo!$C:$C, MATCH(X2439, Pagos_Odoo!$B:$B, 0)), ""))</f>
        <v/>
      </c>
      <c r="Z2439" s="80">
        <f>IF(X2439="Sin Pago","",IFERROR(INDEX(Pagos_Odoo!$A:$A, MATCH(X2439, Pagos_Odoo!$B:$B, 0)), ""))</f>
        <v/>
      </c>
      <c r="AA2439" s="79">
        <f>IF(X2439="Sin Pago","",IFERROR(INDEX(Pagos_Odoo!$F:$F, MATCH(X2439, Pagos_Odoo!$B:$B, 0)), ""))</f>
        <v/>
      </c>
      <c r="AB2439" s="81">
        <f>IF(X2439="Sin Pago",0,IFERROR(INDEX(Pagos_Odoo!$E:$E, MATCH(X2439, Pagos_Odoo!$B:$B, 0)), 0))</f>
        <v/>
      </c>
      <c r="AC2439" s="79">
        <f>IF(X2439="Sin Pago","",IFERROR(INDEX(Pagos_Odoo!$G:$G, MATCH(X2439, Pagos_Odoo!$B:$B, 0)), ""))</f>
        <v/>
      </c>
      <c r="AD2439" s="82" t="n">
        <v>0</v>
      </c>
      <c r="AE2439" s="82" t="n"/>
      <c r="AF2439" s="82" t="n"/>
      <c r="AG2439" s="82">
        <f>IF(AN2439="","",AD2439+AE2439+AF2439)</f>
        <v/>
      </c>
      <c r="AH2439" s="81">
        <f>IF(AN2439="","",P2439*(1-AG2439))</f>
        <v/>
      </c>
      <c r="AI2439" s="81">
        <f>IF(AN2439="","",IF(Q2439="Sin Factura",0,IFERROR(INDEX(Facturas_Odoo!$H:$H, MATCH(Q2439, Facturas_Odoo!$B:$B, 0)), 0)*(1-AG2439)))</f>
        <v/>
      </c>
      <c r="AJ2439" s="81">
        <f>IF(AN2439="","",_xlfn.LET(idVenta, AN2439&amp;"",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39" s="81">
        <f>IF(AN2439="","",AH2439-AJ2439)</f>
        <v/>
      </c>
      <c r="AL2439" s="81">
        <f>IF(AN2439="","",IF(Q2439="Sin Factura","",AI2439-AJ2439))</f>
        <v/>
      </c>
      <c r="AM2439" s="81">
        <f>IF(AN2439="","",IF(Q2439="Sin Factura",0,P2439-IFERROR(INDEX(Facturas_Odoo!$H:$H, MATCH(Q2439, Facturas_Odoo!$B:$B, 0)), 0)))</f>
        <v/>
      </c>
      <c r="AN2439" s="79">
        <f>IF(AND(A2439="", J2439=""), "", IF(A2439&lt;&gt;"", VALUE(MID(A2439,2,LEN(A2439))), AN2438))</f>
        <v/>
      </c>
      <c r="AO2439" s="79">
        <f>IF(AN2439="","",IF(AD2439=0,"OK",_xlfn.LET(monedaPago, IF(AA2439="","USD",AA2439), limitePermitido, IFERROR(VLOOKUP(monedaPago, Configuración!$A$2:$B$3, 2, FALSE), 0.15), IF(AD2439&gt;limitePermitido, "ALERTA: EXCESO (" &amp; TEXT(limitePermitido, "0%") &amp; " máx)", "OK"))))</f>
        <v/>
      </c>
      <c r="AP2439" s="79">
        <f>IF(AN2439="","",IF(AE2439=0,"OK",_xlfn.LET(fechaPago, Z2439, fechaFactura, R2439, diasCredito, IF(E2439="Pago inmediato", 0, IFERROR(VALUE(MID(E2439, 1, SEARCH(" ", E2439)-1)),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39" s="79">
        <f>IF(AN2439="","",IF(AND(N2439&gt;0, AG2439&gt;0), IF(Configuración!$K$2="NO", "ALERTA: DESCUENTO DOBLE NO PERMITIDO", "OK"), "OK"))</f>
        <v/>
      </c>
      <c r="AR2439" s="79">
        <f>IF(AN2439="","",IF(OR(AO2439&lt;&gt;"OK", AP2439&lt;&gt;"OK", AQ2439&lt;&gt;"OK"), "⚠️ REVISAR", "OK"))</f>
        <v/>
      </c>
    </row>
    <row r="2440">
      <c r="A2440" s="79">
        <f>IF('Ordenes_Odoo'!A2440="","",'Ordenes_Odoo'!A2440)</f>
        <v/>
      </c>
      <c r="B2440" s="80">
        <f>IF('Ordenes_Odoo'!B2440="","",'Ordenes_Odoo'!B2440)</f>
        <v/>
      </c>
      <c r="C2440" s="79">
        <f>IF('Ordenes_Odoo'!C2440="","",'Ordenes_Odoo'!C2440)</f>
        <v/>
      </c>
      <c r="D2440" s="79">
        <f>IF('Ordenes_Odoo'!D2440="","",'Ordenes_Odoo'!D2440)</f>
        <v/>
      </c>
      <c r="E2440" s="79">
        <f>IF('Ordenes_Odoo'!E2440="","",'Ordenes_Odoo'!E2440)</f>
        <v/>
      </c>
      <c r="F2440" s="79">
        <f>IF('Ordenes_Odoo'!F2440="","",'Ordenes_Odoo'!F2440)</f>
        <v/>
      </c>
      <c r="G2440" s="79">
        <f>IF('Ordenes_Odoo'!G2440="","",'Ordenes_Odoo'!G2440)</f>
        <v/>
      </c>
      <c r="H2440" s="79">
        <f>IF('Ordenes_Odoo'!H2440="","",'Ordenes_Odoo'!H2440)</f>
        <v/>
      </c>
      <c r="I2440" s="79">
        <f>IF('Ordenes_Odoo'!I2440="","",'Ordenes_Odoo'!I2440)</f>
        <v/>
      </c>
      <c r="J2440" s="79">
        <f>IF('Ordenes_Odoo'!J2440="","",'Ordenes_Odoo'!J2440)</f>
        <v/>
      </c>
      <c r="K2440" s="81">
        <f>IF('Ordenes_Odoo'!K2440="","",'Ordenes_Odoo'!K2440)</f>
        <v/>
      </c>
      <c r="L2440" s="81">
        <f>IF('Ordenes_Odoo'!L2440="","",'Ordenes_Odoo'!L2440)</f>
        <v/>
      </c>
      <c r="M2440" s="79">
        <f>IF('Ordenes_Odoo'!M2440="","",'Ordenes_Odoo'!M2440)</f>
        <v/>
      </c>
      <c r="N2440" s="79">
        <f>IF('Ordenes_Odoo'!N2440="","",'Ordenes_Odoo'!N2440)</f>
        <v/>
      </c>
      <c r="O2440" s="81">
        <f>IF('Ordenes_Odoo'!O2440="","",'Ordenes_Odoo'!O2440)</f>
        <v/>
      </c>
      <c r="P2440" s="81">
        <f>IF('Ordenes_Odoo'!P2440="","",'Ordenes_Odoo'!P2440)</f>
        <v/>
      </c>
      <c r="Q2440" s="79">
        <f>IF(A2440="","",IFERROR(INDEX(Facturas_Odoo!$B:$B, MATCH(A2440, Facturas_Odoo!$D:$D, 0)), "Sin Factura"))</f>
        <v/>
      </c>
      <c r="R2440" s="80">
        <f>IF(Q2440="Sin Factura","",IFERROR(INDEX(Facturas_Odoo!$A:$A, MATCH(Q2440, Facturas_Odoo!$B:$B, 0)), ""))</f>
        <v/>
      </c>
      <c r="S2440" s="79">
        <f>IF(Q2440="Sin Factura","",IFERROR(_xlfn.XLOOKUP(1, (Facturas_Odoo!$D:$D=A2440) * (Facturas_Odoo!$K:$K=I2440), Facturas_Odoo!$L:$L, ""), ""))</f>
        <v/>
      </c>
      <c r="T2440" s="81">
        <f>IF(Q2440="Sin Factura",0,IFERROR(_xlfn.XLOOKUP(1, (Facturas_Odoo!$D:$D=A2440) * (Facturas_Odoo!$K:$K=I2440), Facturas_Odoo!$M:$M, 0), 0))</f>
        <v/>
      </c>
      <c r="U2440" s="79">
        <f>IF(Q2440="Sin Factura",0,IFERROR(_xlfn.XLOOKUP(1, (Facturas_Odoo!$D:$D=A2440) * (Facturas_Odoo!$K:$K=I2440), Facturas_Odoo!$N:$N, 0), 0))</f>
        <v/>
      </c>
      <c r="V2440" s="79">
        <f>IF(Q2440="Sin Factura",0,IFERROR(_xlfn.XLOOKUP(1, (Facturas_Odoo!$D:$D=A2440) * (Facturas_Odoo!$K:$K=I2440), Facturas_Odoo!$O:$O, 0), 0))</f>
        <v/>
      </c>
      <c r="W2440" s="81">
        <f>IF(Q2440="Sin Factura",0,IFERROR(_xlfn.XLOOKUP(1, (Facturas_Odoo!$D:$D=A2440) * (Facturas_Odoo!$K:$K=I2440), Facturas_Odoo!$Q:$Q, 0), 0))</f>
        <v/>
      </c>
      <c r="X2440" s="79">
        <f>IF(OR(Q2440="Sin Factura",Q2440=""),"",IFERROR(INDEX(Pagos_Odoo!$B:$B, MATCH(Q2440, Pagos_Odoo!$I:$I, 0)), "Sin Pago"))</f>
        <v/>
      </c>
      <c r="Y2440" s="79">
        <f>IF(X2440="Sin Pago","",IFERROR(INDEX(Pagos_Odoo!$C:$C, MATCH(X2440, Pagos_Odoo!$B:$B, 0)), ""))</f>
        <v/>
      </c>
      <c r="Z2440" s="80">
        <f>IF(X2440="Sin Pago","",IFERROR(INDEX(Pagos_Odoo!$A:$A, MATCH(X2440, Pagos_Odoo!$B:$B, 0)), ""))</f>
        <v/>
      </c>
      <c r="AA2440" s="79">
        <f>IF(X2440="Sin Pago","",IFERROR(INDEX(Pagos_Odoo!$F:$F, MATCH(X2440, Pagos_Odoo!$B:$B, 0)), ""))</f>
        <v/>
      </c>
      <c r="AB2440" s="81">
        <f>IF(X2440="Sin Pago",0,IFERROR(INDEX(Pagos_Odoo!$E:$E, MATCH(X2440, Pagos_Odoo!$B:$B, 0)), 0))</f>
        <v/>
      </c>
      <c r="AC2440" s="79">
        <f>IF(X2440="Sin Pago","",IFERROR(INDEX(Pagos_Odoo!$G:$G, MATCH(X2440, Pagos_Odoo!$B:$B, 0)), ""))</f>
        <v/>
      </c>
      <c r="AD2440" s="82" t="n">
        <v>0</v>
      </c>
      <c r="AE2440" s="82" t="n"/>
      <c r="AF2440" s="82" t="n"/>
      <c r="AG2440" s="82">
        <f>IF(AN2440="","",AD2440+AE2440+AF2440)</f>
        <v/>
      </c>
      <c r="AH2440" s="81">
        <f>IF(AN2440="","",P2440*(1-AG2440))</f>
        <v/>
      </c>
      <c r="AI2440" s="81">
        <f>IF(AN2440="","",IF(Q2440="Sin Factura",0,IFERROR(INDEX(Facturas_Odoo!$H:$H, MATCH(Q2440, Facturas_Odoo!$B:$B, 0)), 0)*(1-AG2440)))</f>
        <v/>
      </c>
      <c r="AJ2440" s="81">
        <f>IF(AN2440="","",_xlfn.LET(idVenta, AN2440&amp;"",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40" s="81">
        <f>IF(AN2440="","",AH2440-AJ2440)</f>
        <v/>
      </c>
      <c r="AL2440" s="81">
        <f>IF(AN2440="","",IF(Q2440="Sin Factura","",AI2440-AJ2440))</f>
        <v/>
      </c>
      <c r="AM2440" s="81">
        <f>IF(AN2440="","",IF(Q2440="Sin Factura",0,P2440-IFERROR(INDEX(Facturas_Odoo!$H:$H, MATCH(Q2440, Facturas_Odoo!$B:$B, 0)), 0)))</f>
        <v/>
      </c>
      <c r="AN2440" s="79">
        <f>IF(AND(A2440="", J2440=""), "", IF(A2440&lt;&gt;"", VALUE(MID(A2440,2,LEN(A2440))), AN2439))</f>
        <v/>
      </c>
      <c r="AO2440" s="79">
        <f>IF(AN2440="","",IF(AD2440=0,"OK",_xlfn.LET(monedaPago, IF(AA2440="","USD",AA2440), limitePermitido, IFERROR(VLOOKUP(monedaPago, Configuración!$A$2:$B$3, 2, FALSE), 0.15), IF(AD2440&gt;limitePermitido, "ALERTA: EXCESO (" &amp; TEXT(limitePermitido, "0%") &amp; " máx)", "OK"))))</f>
        <v/>
      </c>
      <c r="AP2440" s="79">
        <f>IF(AN2440="","",IF(AE2440=0,"OK",_xlfn.LET(fechaPago, Z2440, fechaFactura, R2440, diasCredito, IF(E2440="Pago inmediato", 0, IFERROR(VALUE(MID(E2440, 1, SEARCH(" ", E2440)-1)),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40" s="79">
        <f>IF(AN2440="","",IF(AND(N2440&gt;0, AG2440&gt;0), IF(Configuración!$K$2="NO", "ALERTA: DESCUENTO DOBLE NO PERMITIDO", "OK"), "OK"))</f>
        <v/>
      </c>
      <c r="AR2440" s="79">
        <f>IF(AN2440="","",IF(OR(AO2440&lt;&gt;"OK", AP2440&lt;&gt;"OK", AQ2440&lt;&gt;"OK"), "⚠️ REVISAR", "OK"))</f>
        <v/>
      </c>
    </row>
    <row r="2441">
      <c r="A2441" s="79">
        <f>IF('Ordenes_Odoo'!A2441="","",'Ordenes_Odoo'!A2441)</f>
        <v/>
      </c>
      <c r="B2441" s="80">
        <f>IF('Ordenes_Odoo'!B2441="","",'Ordenes_Odoo'!B2441)</f>
        <v/>
      </c>
      <c r="C2441" s="79">
        <f>IF('Ordenes_Odoo'!C2441="","",'Ordenes_Odoo'!C2441)</f>
        <v/>
      </c>
      <c r="D2441" s="79">
        <f>IF('Ordenes_Odoo'!D2441="","",'Ordenes_Odoo'!D2441)</f>
        <v/>
      </c>
      <c r="E2441" s="79">
        <f>IF('Ordenes_Odoo'!E2441="","",'Ordenes_Odoo'!E2441)</f>
        <v/>
      </c>
      <c r="F2441" s="79">
        <f>IF('Ordenes_Odoo'!F2441="","",'Ordenes_Odoo'!F2441)</f>
        <v/>
      </c>
      <c r="G2441" s="79">
        <f>IF('Ordenes_Odoo'!G2441="","",'Ordenes_Odoo'!G2441)</f>
        <v/>
      </c>
      <c r="H2441" s="79">
        <f>IF('Ordenes_Odoo'!H2441="","",'Ordenes_Odoo'!H2441)</f>
        <v/>
      </c>
      <c r="I2441" s="79">
        <f>IF('Ordenes_Odoo'!I2441="","",'Ordenes_Odoo'!I2441)</f>
        <v/>
      </c>
      <c r="J2441" s="79">
        <f>IF('Ordenes_Odoo'!J2441="","",'Ordenes_Odoo'!J2441)</f>
        <v/>
      </c>
      <c r="K2441" s="81">
        <f>IF('Ordenes_Odoo'!K2441="","",'Ordenes_Odoo'!K2441)</f>
        <v/>
      </c>
      <c r="L2441" s="81">
        <f>IF('Ordenes_Odoo'!L2441="","",'Ordenes_Odoo'!L2441)</f>
        <v/>
      </c>
      <c r="M2441" s="79">
        <f>IF('Ordenes_Odoo'!M2441="","",'Ordenes_Odoo'!M2441)</f>
        <v/>
      </c>
      <c r="N2441" s="79">
        <f>IF('Ordenes_Odoo'!N2441="","",'Ordenes_Odoo'!N2441)</f>
        <v/>
      </c>
      <c r="O2441" s="81">
        <f>IF('Ordenes_Odoo'!O2441="","",'Ordenes_Odoo'!O2441)</f>
        <v/>
      </c>
      <c r="P2441" s="81">
        <f>IF('Ordenes_Odoo'!P2441="","",'Ordenes_Odoo'!P2441)</f>
        <v/>
      </c>
      <c r="Q2441" s="79">
        <f>IF(A2441="","",IFERROR(INDEX(Facturas_Odoo!$B:$B, MATCH(A2441, Facturas_Odoo!$D:$D, 0)), "Sin Factura"))</f>
        <v/>
      </c>
      <c r="R2441" s="80">
        <f>IF(Q2441="Sin Factura","",IFERROR(INDEX(Facturas_Odoo!$A:$A, MATCH(Q2441, Facturas_Odoo!$B:$B, 0)), ""))</f>
        <v/>
      </c>
      <c r="S2441" s="79">
        <f>IF(Q2441="Sin Factura","",IFERROR(_xlfn.XLOOKUP(1, (Facturas_Odoo!$D:$D=A2441) * (Facturas_Odoo!$K:$K=I2441), Facturas_Odoo!$L:$L, ""), ""))</f>
        <v/>
      </c>
      <c r="T2441" s="81">
        <f>IF(Q2441="Sin Factura",0,IFERROR(_xlfn.XLOOKUP(1, (Facturas_Odoo!$D:$D=A2441) * (Facturas_Odoo!$K:$K=I2441), Facturas_Odoo!$M:$M, 0), 0))</f>
        <v/>
      </c>
      <c r="U2441" s="79">
        <f>IF(Q2441="Sin Factura",0,IFERROR(_xlfn.XLOOKUP(1, (Facturas_Odoo!$D:$D=A2441) * (Facturas_Odoo!$K:$K=I2441), Facturas_Odoo!$N:$N, 0), 0))</f>
        <v/>
      </c>
      <c r="V2441" s="79">
        <f>IF(Q2441="Sin Factura",0,IFERROR(_xlfn.XLOOKUP(1, (Facturas_Odoo!$D:$D=A2441) * (Facturas_Odoo!$K:$K=I2441), Facturas_Odoo!$O:$O, 0), 0))</f>
        <v/>
      </c>
      <c r="W2441" s="81">
        <f>IF(Q2441="Sin Factura",0,IFERROR(_xlfn.XLOOKUP(1, (Facturas_Odoo!$D:$D=A2441) * (Facturas_Odoo!$K:$K=I2441), Facturas_Odoo!$Q:$Q, 0), 0))</f>
        <v/>
      </c>
      <c r="X2441" s="79">
        <f>IF(OR(Q2441="Sin Factura",Q2441=""),"",IFERROR(INDEX(Pagos_Odoo!$B:$B, MATCH(Q2441, Pagos_Odoo!$I:$I, 0)), "Sin Pago"))</f>
        <v/>
      </c>
      <c r="Y2441" s="79">
        <f>IF(X2441="Sin Pago","",IFERROR(INDEX(Pagos_Odoo!$C:$C, MATCH(X2441, Pagos_Odoo!$B:$B, 0)), ""))</f>
        <v/>
      </c>
      <c r="Z2441" s="80">
        <f>IF(X2441="Sin Pago","",IFERROR(INDEX(Pagos_Odoo!$A:$A, MATCH(X2441, Pagos_Odoo!$B:$B, 0)), ""))</f>
        <v/>
      </c>
      <c r="AA2441" s="79">
        <f>IF(X2441="Sin Pago","",IFERROR(INDEX(Pagos_Odoo!$F:$F, MATCH(X2441, Pagos_Odoo!$B:$B, 0)), ""))</f>
        <v/>
      </c>
      <c r="AB2441" s="81">
        <f>IF(X2441="Sin Pago",0,IFERROR(INDEX(Pagos_Odoo!$E:$E, MATCH(X2441, Pagos_Odoo!$B:$B, 0)), 0))</f>
        <v/>
      </c>
      <c r="AC2441" s="79">
        <f>IF(X2441="Sin Pago","",IFERROR(INDEX(Pagos_Odoo!$G:$G, MATCH(X2441, Pagos_Odoo!$B:$B, 0)), ""))</f>
        <v/>
      </c>
      <c r="AD2441" s="82" t="n">
        <v>0</v>
      </c>
      <c r="AE2441" s="82" t="n"/>
      <c r="AF2441" s="82" t="n"/>
      <c r="AG2441" s="82">
        <f>IF(AN2441="","",AD2441+AE2441+AF2441)</f>
        <v/>
      </c>
      <c r="AH2441" s="81">
        <f>IF(AN2441="","",P2441*(1-AG2441))</f>
        <v/>
      </c>
      <c r="AI2441" s="81">
        <f>IF(AN2441="","",IF(Q2441="Sin Factura",0,IFERROR(INDEX(Facturas_Odoo!$H:$H, MATCH(Q2441, Facturas_Odoo!$B:$B, 0)), 0)*(1-AG2441)))</f>
        <v/>
      </c>
      <c r="AJ2441" s="81">
        <f>IF(AN2441="","",_xlfn.LET(idVenta, AN2441&amp;"",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41" s="81">
        <f>IF(AN2441="","",AH2441-AJ2441)</f>
        <v/>
      </c>
      <c r="AL2441" s="81">
        <f>IF(AN2441="","",IF(Q2441="Sin Factura","",AI2441-AJ2441))</f>
        <v/>
      </c>
      <c r="AM2441" s="81">
        <f>IF(AN2441="","",IF(Q2441="Sin Factura",0,P2441-IFERROR(INDEX(Facturas_Odoo!$H:$H, MATCH(Q2441, Facturas_Odoo!$B:$B, 0)), 0)))</f>
        <v/>
      </c>
      <c r="AN2441" s="79">
        <f>IF(AND(A2441="", J2441=""), "", IF(A2441&lt;&gt;"", VALUE(MID(A2441,2,LEN(A2441))), AN2440))</f>
        <v/>
      </c>
      <c r="AO2441" s="79">
        <f>IF(AN2441="","",IF(AD2441=0,"OK",_xlfn.LET(monedaPago, IF(AA2441="","USD",AA2441), limitePermitido, IFERROR(VLOOKUP(monedaPago, Configuración!$A$2:$B$3, 2, FALSE), 0.15), IF(AD2441&gt;limitePermitido, "ALERTA: EXCESO (" &amp; TEXT(limitePermitido, "0%") &amp; " máx)", "OK"))))</f>
        <v/>
      </c>
      <c r="AP2441" s="79">
        <f>IF(AN2441="","",IF(AE2441=0,"OK",_xlfn.LET(fechaPago, Z2441, fechaFactura, R2441, diasCredito, IF(E2441="Pago inmediato", 0, IFERROR(VALUE(MID(E2441, 1, SEARCH(" ", E2441)-1)),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41" s="79">
        <f>IF(AN2441="","",IF(AND(N2441&gt;0, AG2441&gt;0), IF(Configuración!$K$2="NO", "ALERTA: DESCUENTO DOBLE NO PERMITIDO", "OK"), "OK"))</f>
        <v/>
      </c>
      <c r="AR2441" s="79">
        <f>IF(AN2441="","",IF(OR(AO2441&lt;&gt;"OK", AP2441&lt;&gt;"OK", AQ2441&lt;&gt;"OK"), "⚠️ REVISAR", "OK"))</f>
        <v/>
      </c>
    </row>
    <row r="2442">
      <c r="A2442" s="79">
        <f>IF('Ordenes_Odoo'!A2442="","",'Ordenes_Odoo'!A2442)</f>
        <v/>
      </c>
      <c r="B2442" s="80">
        <f>IF('Ordenes_Odoo'!B2442="","",'Ordenes_Odoo'!B2442)</f>
        <v/>
      </c>
      <c r="C2442" s="79">
        <f>IF('Ordenes_Odoo'!C2442="","",'Ordenes_Odoo'!C2442)</f>
        <v/>
      </c>
      <c r="D2442" s="79">
        <f>IF('Ordenes_Odoo'!D2442="","",'Ordenes_Odoo'!D2442)</f>
        <v/>
      </c>
      <c r="E2442" s="79">
        <f>IF('Ordenes_Odoo'!E2442="","",'Ordenes_Odoo'!E2442)</f>
        <v/>
      </c>
      <c r="F2442" s="79">
        <f>IF('Ordenes_Odoo'!F2442="","",'Ordenes_Odoo'!F2442)</f>
        <v/>
      </c>
      <c r="G2442" s="79">
        <f>IF('Ordenes_Odoo'!G2442="","",'Ordenes_Odoo'!G2442)</f>
        <v/>
      </c>
      <c r="H2442" s="79">
        <f>IF('Ordenes_Odoo'!H2442="","",'Ordenes_Odoo'!H2442)</f>
        <v/>
      </c>
      <c r="I2442" s="79">
        <f>IF('Ordenes_Odoo'!I2442="","",'Ordenes_Odoo'!I2442)</f>
        <v/>
      </c>
      <c r="J2442" s="79">
        <f>IF('Ordenes_Odoo'!J2442="","",'Ordenes_Odoo'!J2442)</f>
        <v/>
      </c>
      <c r="K2442" s="81">
        <f>IF('Ordenes_Odoo'!K2442="","",'Ordenes_Odoo'!K2442)</f>
        <v/>
      </c>
      <c r="L2442" s="81">
        <f>IF('Ordenes_Odoo'!L2442="","",'Ordenes_Odoo'!L2442)</f>
        <v/>
      </c>
      <c r="M2442" s="79">
        <f>IF('Ordenes_Odoo'!M2442="","",'Ordenes_Odoo'!M2442)</f>
        <v/>
      </c>
      <c r="N2442" s="79">
        <f>IF('Ordenes_Odoo'!N2442="","",'Ordenes_Odoo'!N2442)</f>
        <v/>
      </c>
      <c r="O2442" s="81">
        <f>IF('Ordenes_Odoo'!O2442="","",'Ordenes_Odoo'!O2442)</f>
        <v/>
      </c>
      <c r="P2442" s="81">
        <f>IF('Ordenes_Odoo'!P2442="","",'Ordenes_Odoo'!P2442)</f>
        <v/>
      </c>
      <c r="Q2442" s="79">
        <f>IF(A2442="","",IFERROR(INDEX(Facturas_Odoo!$B:$B, MATCH(A2442, Facturas_Odoo!$D:$D, 0)), "Sin Factura"))</f>
        <v/>
      </c>
      <c r="R2442" s="80">
        <f>IF(Q2442="Sin Factura","",IFERROR(INDEX(Facturas_Odoo!$A:$A, MATCH(Q2442, Facturas_Odoo!$B:$B, 0)), ""))</f>
        <v/>
      </c>
      <c r="S2442" s="79">
        <f>IF(Q2442="Sin Factura","",IFERROR(_xlfn.XLOOKUP(1, (Facturas_Odoo!$D:$D=A2442) * (Facturas_Odoo!$K:$K=I2442), Facturas_Odoo!$L:$L, ""), ""))</f>
        <v/>
      </c>
      <c r="T2442" s="81">
        <f>IF(Q2442="Sin Factura",0,IFERROR(_xlfn.XLOOKUP(1, (Facturas_Odoo!$D:$D=A2442) * (Facturas_Odoo!$K:$K=I2442), Facturas_Odoo!$M:$M, 0), 0))</f>
        <v/>
      </c>
      <c r="U2442" s="79">
        <f>IF(Q2442="Sin Factura",0,IFERROR(_xlfn.XLOOKUP(1, (Facturas_Odoo!$D:$D=A2442) * (Facturas_Odoo!$K:$K=I2442), Facturas_Odoo!$N:$N, 0), 0))</f>
        <v/>
      </c>
      <c r="V2442" s="79">
        <f>IF(Q2442="Sin Factura",0,IFERROR(_xlfn.XLOOKUP(1, (Facturas_Odoo!$D:$D=A2442) * (Facturas_Odoo!$K:$K=I2442), Facturas_Odoo!$O:$O, 0), 0))</f>
        <v/>
      </c>
      <c r="W2442" s="81">
        <f>IF(Q2442="Sin Factura",0,IFERROR(_xlfn.XLOOKUP(1, (Facturas_Odoo!$D:$D=A2442) * (Facturas_Odoo!$K:$K=I2442), Facturas_Odoo!$Q:$Q, 0), 0))</f>
        <v/>
      </c>
      <c r="X2442" s="79">
        <f>IF(OR(Q2442="Sin Factura",Q2442=""),"",IFERROR(INDEX(Pagos_Odoo!$B:$B, MATCH(Q2442, Pagos_Odoo!$I:$I, 0)), "Sin Pago"))</f>
        <v/>
      </c>
      <c r="Y2442" s="79">
        <f>IF(X2442="Sin Pago","",IFERROR(INDEX(Pagos_Odoo!$C:$C, MATCH(X2442, Pagos_Odoo!$B:$B, 0)), ""))</f>
        <v/>
      </c>
      <c r="Z2442" s="80">
        <f>IF(X2442="Sin Pago","",IFERROR(INDEX(Pagos_Odoo!$A:$A, MATCH(X2442, Pagos_Odoo!$B:$B, 0)), ""))</f>
        <v/>
      </c>
      <c r="AA2442" s="79">
        <f>IF(X2442="Sin Pago","",IFERROR(INDEX(Pagos_Odoo!$F:$F, MATCH(X2442, Pagos_Odoo!$B:$B, 0)), ""))</f>
        <v/>
      </c>
      <c r="AB2442" s="81">
        <f>IF(X2442="Sin Pago",0,IFERROR(INDEX(Pagos_Odoo!$E:$E, MATCH(X2442, Pagos_Odoo!$B:$B, 0)), 0))</f>
        <v/>
      </c>
      <c r="AC2442" s="79">
        <f>IF(X2442="Sin Pago","",IFERROR(INDEX(Pagos_Odoo!$G:$G, MATCH(X2442, Pagos_Odoo!$B:$B, 0)), ""))</f>
        <v/>
      </c>
      <c r="AD2442" s="82" t="n">
        <v>0</v>
      </c>
      <c r="AE2442" s="82" t="n"/>
      <c r="AF2442" s="82" t="n"/>
      <c r="AG2442" s="82">
        <f>IF(AN2442="","",AD2442+AE2442+AF2442)</f>
        <v/>
      </c>
      <c r="AH2442" s="81">
        <f>IF(AN2442="","",P2442*(1-AG2442))</f>
        <v/>
      </c>
      <c r="AI2442" s="81">
        <f>IF(AN2442="","",IF(Q2442="Sin Factura",0,IFERROR(INDEX(Facturas_Odoo!$H:$H, MATCH(Q2442, Facturas_Odoo!$B:$B, 0)), 0)*(1-AG2442)))</f>
        <v/>
      </c>
      <c r="AJ2442" s="81">
        <f>IF(AN2442="","",_xlfn.LET(idVenta, AN2442&amp;"",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42" s="81">
        <f>IF(AN2442="","",AH2442-AJ2442)</f>
        <v/>
      </c>
      <c r="AL2442" s="81">
        <f>IF(AN2442="","",IF(Q2442="Sin Factura","",AI2442-AJ2442))</f>
        <v/>
      </c>
      <c r="AM2442" s="81">
        <f>IF(AN2442="","",IF(Q2442="Sin Factura",0,P2442-IFERROR(INDEX(Facturas_Odoo!$H:$H, MATCH(Q2442, Facturas_Odoo!$B:$B, 0)), 0)))</f>
        <v/>
      </c>
      <c r="AN2442" s="79">
        <f>IF(AND(A2442="", J2442=""), "", IF(A2442&lt;&gt;"", VALUE(MID(A2442,2,LEN(A2442))), AN2441))</f>
        <v/>
      </c>
      <c r="AO2442" s="79">
        <f>IF(AN2442="","",IF(AD2442=0,"OK",_xlfn.LET(monedaPago, IF(AA2442="","USD",AA2442), limitePermitido, IFERROR(VLOOKUP(monedaPago, Configuración!$A$2:$B$3, 2, FALSE), 0.15), IF(AD2442&gt;limitePermitido, "ALERTA: EXCESO (" &amp; TEXT(limitePermitido, "0%") &amp; " máx)", "OK"))))</f>
        <v/>
      </c>
      <c r="AP2442" s="79">
        <f>IF(AN2442="","",IF(AE2442=0,"OK",_xlfn.LET(fechaPago, Z2442, fechaFactura, R2442, diasCredito, IF(E2442="Pago inmediato", 0, IFERROR(VALUE(MID(E2442, 1, SEARCH(" ", E2442)-1)),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42" s="79">
        <f>IF(AN2442="","",IF(AND(N2442&gt;0, AG2442&gt;0), IF(Configuración!$K$2="NO", "ALERTA: DESCUENTO DOBLE NO PERMITIDO", "OK"), "OK"))</f>
        <v/>
      </c>
      <c r="AR2442" s="79">
        <f>IF(AN2442="","",IF(OR(AO2442&lt;&gt;"OK", AP2442&lt;&gt;"OK", AQ2442&lt;&gt;"OK"), "⚠️ REVISAR", "OK"))</f>
        <v/>
      </c>
    </row>
    <row r="2443">
      <c r="A2443" s="79">
        <f>IF('Ordenes_Odoo'!A2443="","",'Ordenes_Odoo'!A2443)</f>
        <v/>
      </c>
      <c r="B2443" s="80">
        <f>IF('Ordenes_Odoo'!B2443="","",'Ordenes_Odoo'!B2443)</f>
        <v/>
      </c>
      <c r="C2443" s="79">
        <f>IF('Ordenes_Odoo'!C2443="","",'Ordenes_Odoo'!C2443)</f>
        <v/>
      </c>
      <c r="D2443" s="79">
        <f>IF('Ordenes_Odoo'!D2443="","",'Ordenes_Odoo'!D2443)</f>
        <v/>
      </c>
      <c r="E2443" s="79">
        <f>IF('Ordenes_Odoo'!E2443="","",'Ordenes_Odoo'!E2443)</f>
        <v/>
      </c>
      <c r="F2443" s="79">
        <f>IF('Ordenes_Odoo'!F2443="","",'Ordenes_Odoo'!F2443)</f>
        <v/>
      </c>
      <c r="G2443" s="79">
        <f>IF('Ordenes_Odoo'!G2443="","",'Ordenes_Odoo'!G2443)</f>
        <v/>
      </c>
      <c r="H2443" s="79">
        <f>IF('Ordenes_Odoo'!H2443="","",'Ordenes_Odoo'!H2443)</f>
        <v/>
      </c>
      <c r="I2443" s="79">
        <f>IF('Ordenes_Odoo'!I2443="","",'Ordenes_Odoo'!I2443)</f>
        <v/>
      </c>
      <c r="J2443" s="79">
        <f>IF('Ordenes_Odoo'!J2443="","",'Ordenes_Odoo'!J2443)</f>
        <v/>
      </c>
      <c r="K2443" s="81">
        <f>IF('Ordenes_Odoo'!K2443="","",'Ordenes_Odoo'!K2443)</f>
        <v/>
      </c>
      <c r="L2443" s="81">
        <f>IF('Ordenes_Odoo'!L2443="","",'Ordenes_Odoo'!L2443)</f>
        <v/>
      </c>
      <c r="M2443" s="79">
        <f>IF('Ordenes_Odoo'!M2443="","",'Ordenes_Odoo'!M2443)</f>
        <v/>
      </c>
      <c r="N2443" s="79">
        <f>IF('Ordenes_Odoo'!N2443="","",'Ordenes_Odoo'!N2443)</f>
        <v/>
      </c>
      <c r="O2443" s="81">
        <f>IF('Ordenes_Odoo'!O2443="","",'Ordenes_Odoo'!O2443)</f>
        <v/>
      </c>
      <c r="P2443" s="81">
        <f>IF('Ordenes_Odoo'!P2443="","",'Ordenes_Odoo'!P2443)</f>
        <v/>
      </c>
      <c r="Q2443" s="79">
        <f>IF(A2443="","",IFERROR(INDEX(Facturas_Odoo!$B:$B, MATCH(A2443, Facturas_Odoo!$D:$D, 0)), "Sin Factura"))</f>
        <v/>
      </c>
      <c r="R2443" s="80">
        <f>IF(Q2443="Sin Factura","",IFERROR(INDEX(Facturas_Odoo!$A:$A, MATCH(Q2443, Facturas_Odoo!$B:$B, 0)), ""))</f>
        <v/>
      </c>
      <c r="S2443" s="79">
        <f>IF(Q2443="Sin Factura","",IFERROR(_xlfn.XLOOKUP(1, (Facturas_Odoo!$D:$D=A2443) * (Facturas_Odoo!$K:$K=I2443), Facturas_Odoo!$L:$L, ""), ""))</f>
        <v/>
      </c>
      <c r="T2443" s="81">
        <f>IF(Q2443="Sin Factura",0,IFERROR(_xlfn.XLOOKUP(1, (Facturas_Odoo!$D:$D=A2443) * (Facturas_Odoo!$K:$K=I2443), Facturas_Odoo!$M:$M, 0), 0))</f>
        <v/>
      </c>
      <c r="U2443" s="79">
        <f>IF(Q2443="Sin Factura",0,IFERROR(_xlfn.XLOOKUP(1, (Facturas_Odoo!$D:$D=A2443) * (Facturas_Odoo!$K:$K=I2443), Facturas_Odoo!$N:$N, 0), 0))</f>
        <v/>
      </c>
      <c r="V2443" s="79">
        <f>IF(Q2443="Sin Factura",0,IFERROR(_xlfn.XLOOKUP(1, (Facturas_Odoo!$D:$D=A2443) * (Facturas_Odoo!$K:$K=I2443), Facturas_Odoo!$O:$O, 0), 0))</f>
        <v/>
      </c>
      <c r="W2443" s="81">
        <f>IF(Q2443="Sin Factura",0,IFERROR(_xlfn.XLOOKUP(1, (Facturas_Odoo!$D:$D=A2443) * (Facturas_Odoo!$K:$K=I2443), Facturas_Odoo!$Q:$Q, 0), 0))</f>
        <v/>
      </c>
      <c r="X2443" s="79">
        <f>IF(OR(Q2443="Sin Factura",Q2443=""),"",IFERROR(INDEX(Pagos_Odoo!$B:$B, MATCH(Q2443, Pagos_Odoo!$I:$I, 0)), "Sin Pago"))</f>
        <v/>
      </c>
      <c r="Y2443" s="79">
        <f>IF(X2443="Sin Pago","",IFERROR(INDEX(Pagos_Odoo!$C:$C, MATCH(X2443, Pagos_Odoo!$B:$B, 0)), ""))</f>
        <v/>
      </c>
      <c r="Z2443" s="80">
        <f>IF(X2443="Sin Pago","",IFERROR(INDEX(Pagos_Odoo!$A:$A, MATCH(X2443, Pagos_Odoo!$B:$B, 0)), ""))</f>
        <v/>
      </c>
      <c r="AA2443" s="79">
        <f>IF(X2443="Sin Pago","",IFERROR(INDEX(Pagos_Odoo!$F:$F, MATCH(X2443, Pagos_Odoo!$B:$B, 0)), ""))</f>
        <v/>
      </c>
      <c r="AB2443" s="81">
        <f>IF(X2443="Sin Pago",0,IFERROR(INDEX(Pagos_Odoo!$E:$E, MATCH(X2443, Pagos_Odoo!$B:$B, 0)), 0))</f>
        <v/>
      </c>
      <c r="AC2443" s="79">
        <f>IF(X2443="Sin Pago","",IFERROR(INDEX(Pagos_Odoo!$G:$G, MATCH(X2443, Pagos_Odoo!$B:$B, 0)), ""))</f>
        <v/>
      </c>
      <c r="AD2443" s="82" t="n">
        <v>0</v>
      </c>
      <c r="AE2443" s="82" t="n"/>
      <c r="AF2443" s="82" t="n"/>
      <c r="AG2443" s="82">
        <f>IF(AN2443="","",AD2443+AE2443+AF2443)</f>
        <v/>
      </c>
      <c r="AH2443" s="81">
        <f>IF(AN2443="","",P2443*(1-AG2443))</f>
        <v/>
      </c>
      <c r="AI2443" s="81">
        <f>IF(AN2443="","",IF(Q2443="Sin Factura",0,IFERROR(INDEX(Facturas_Odoo!$H:$H, MATCH(Q2443, Facturas_Odoo!$B:$B, 0)), 0)*(1-AG2443)))</f>
        <v/>
      </c>
      <c r="AJ2443" s="81">
        <f>IF(AN2443="","",_xlfn.LET(idVenta, AN2443&amp;"",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43" s="81">
        <f>IF(AN2443="","",AH2443-AJ2443)</f>
        <v/>
      </c>
      <c r="AL2443" s="81">
        <f>IF(AN2443="","",IF(Q2443="Sin Factura","",AI2443-AJ2443))</f>
        <v/>
      </c>
      <c r="AM2443" s="81">
        <f>IF(AN2443="","",IF(Q2443="Sin Factura",0,P2443-IFERROR(INDEX(Facturas_Odoo!$H:$H, MATCH(Q2443, Facturas_Odoo!$B:$B, 0)), 0)))</f>
        <v/>
      </c>
      <c r="AN2443" s="79">
        <f>IF(AND(A2443="", J2443=""), "", IF(A2443&lt;&gt;"", VALUE(MID(A2443,2,LEN(A2443))), AN2442))</f>
        <v/>
      </c>
      <c r="AO2443" s="79">
        <f>IF(AN2443="","",IF(AD2443=0,"OK",_xlfn.LET(monedaPago, IF(AA2443="","USD",AA2443), limitePermitido, IFERROR(VLOOKUP(monedaPago, Configuración!$A$2:$B$3, 2, FALSE), 0.15), IF(AD2443&gt;limitePermitido, "ALERTA: EXCESO (" &amp; TEXT(limitePermitido, "0%") &amp; " máx)", "OK"))))</f>
        <v/>
      </c>
      <c r="AP2443" s="79">
        <f>IF(AN2443="","",IF(AE2443=0,"OK",_xlfn.LET(fechaPago, Z2443, fechaFactura, R2443, diasCredito, IF(E2443="Pago inmediato", 0, IFERROR(VALUE(MID(E2443, 1, SEARCH(" ", E2443)-1)),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43" s="79">
        <f>IF(AN2443="","",IF(AND(N2443&gt;0, AG2443&gt;0), IF(Configuración!$K$2="NO", "ALERTA: DESCUENTO DOBLE NO PERMITIDO", "OK"), "OK"))</f>
        <v/>
      </c>
      <c r="AR2443" s="79">
        <f>IF(AN2443="","",IF(OR(AO2443&lt;&gt;"OK", AP2443&lt;&gt;"OK", AQ2443&lt;&gt;"OK"), "⚠️ REVISAR", "OK"))</f>
        <v/>
      </c>
    </row>
    <row r="2444">
      <c r="A2444" s="79">
        <f>IF('Ordenes_Odoo'!A2444="","",'Ordenes_Odoo'!A2444)</f>
        <v/>
      </c>
      <c r="B2444" s="80">
        <f>IF('Ordenes_Odoo'!B2444="","",'Ordenes_Odoo'!B2444)</f>
        <v/>
      </c>
      <c r="C2444" s="79">
        <f>IF('Ordenes_Odoo'!C2444="","",'Ordenes_Odoo'!C2444)</f>
        <v/>
      </c>
      <c r="D2444" s="79">
        <f>IF('Ordenes_Odoo'!D2444="","",'Ordenes_Odoo'!D2444)</f>
        <v/>
      </c>
      <c r="E2444" s="79">
        <f>IF('Ordenes_Odoo'!E2444="","",'Ordenes_Odoo'!E2444)</f>
        <v/>
      </c>
      <c r="F2444" s="79">
        <f>IF('Ordenes_Odoo'!F2444="","",'Ordenes_Odoo'!F2444)</f>
        <v/>
      </c>
      <c r="G2444" s="79">
        <f>IF('Ordenes_Odoo'!G2444="","",'Ordenes_Odoo'!G2444)</f>
        <v/>
      </c>
      <c r="H2444" s="79">
        <f>IF('Ordenes_Odoo'!H2444="","",'Ordenes_Odoo'!H2444)</f>
        <v/>
      </c>
      <c r="I2444" s="79">
        <f>IF('Ordenes_Odoo'!I2444="","",'Ordenes_Odoo'!I2444)</f>
        <v/>
      </c>
      <c r="J2444" s="79">
        <f>IF('Ordenes_Odoo'!J2444="","",'Ordenes_Odoo'!J2444)</f>
        <v/>
      </c>
      <c r="K2444" s="81">
        <f>IF('Ordenes_Odoo'!K2444="","",'Ordenes_Odoo'!K2444)</f>
        <v/>
      </c>
      <c r="L2444" s="81">
        <f>IF('Ordenes_Odoo'!L2444="","",'Ordenes_Odoo'!L2444)</f>
        <v/>
      </c>
      <c r="M2444" s="79">
        <f>IF('Ordenes_Odoo'!M2444="","",'Ordenes_Odoo'!M2444)</f>
        <v/>
      </c>
      <c r="N2444" s="79">
        <f>IF('Ordenes_Odoo'!N2444="","",'Ordenes_Odoo'!N2444)</f>
        <v/>
      </c>
      <c r="O2444" s="81">
        <f>IF('Ordenes_Odoo'!O2444="","",'Ordenes_Odoo'!O2444)</f>
        <v/>
      </c>
      <c r="P2444" s="81">
        <f>IF('Ordenes_Odoo'!P2444="","",'Ordenes_Odoo'!P2444)</f>
        <v/>
      </c>
      <c r="Q2444" s="79">
        <f>IF(A2444="","",IFERROR(INDEX(Facturas_Odoo!$B:$B, MATCH(A2444, Facturas_Odoo!$D:$D, 0)), "Sin Factura"))</f>
        <v/>
      </c>
      <c r="R2444" s="80">
        <f>IF(Q2444="Sin Factura","",IFERROR(INDEX(Facturas_Odoo!$A:$A, MATCH(Q2444, Facturas_Odoo!$B:$B, 0)), ""))</f>
        <v/>
      </c>
      <c r="S2444" s="79">
        <f>IF(Q2444="Sin Factura","",IFERROR(_xlfn.XLOOKUP(1, (Facturas_Odoo!$D:$D=A2444) * (Facturas_Odoo!$K:$K=I2444), Facturas_Odoo!$L:$L, ""), ""))</f>
        <v/>
      </c>
      <c r="T2444" s="81">
        <f>IF(Q2444="Sin Factura",0,IFERROR(_xlfn.XLOOKUP(1, (Facturas_Odoo!$D:$D=A2444) * (Facturas_Odoo!$K:$K=I2444), Facturas_Odoo!$M:$M, 0), 0))</f>
        <v/>
      </c>
      <c r="U2444" s="79">
        <f>IF(Q2444="Sin Factura",0,IFERROR(_xlfn.XLOOKUP(1, (Facturas_Odoo!$D:$D=A2444) * (Facturas_Odoo!$K:$K=I2444), Facturas_Odoo!$N:$N, 0), 0))</f>
        <v/>
      </c>
      <c r="V2444" s="79">
        <f>IF(Q2444="Sin Factura",0,IFERROR(_xlfn.XLOOKUP(1, (Facturas_Odoo!$D:$D=A2444) * (Facturas_Odoo!$K:$K=I2444), Facturas_Odoo!$O:$O, 0), 0))</f>
        <v/>
      </c>
      <c r="W2444" s="81">
        <f>IF(Q2444="Sin Factura",0,IFERROR(_xlfn.XLOOKUP(1, (Facturas_Odoo!$D:$D=A2444) * (Facturas_Odoo!$K:$K=I2444), Facturas_Odoo!$Q:$Q, 0), 0))</f>
        <v/>
      </c>
      <c r="X2444" s="79">
        <f>IF(OR(Q2444="Sin Factura",Q2444=""),"",IFERROR(INDEX(Pagos_Odoo!$B:$B, MATCH(Q2444, Pagos_Odoo!$I:$I, 0)), "Sin Pago"))</f>
        <v/>
      </c>
      <c r="Y2444" s="79">
        <f>IF(X2444="Sin Pago","",IFERROR(INDEX(Pagos_Odoo!$C:$C, MATCH(X2444, Pagos_Odoo!$B:$B, 0)), ""))</f>
        <v/>
      </c>
      <c r="Z2444" s="80">
        <f>IF(X2444="Sin Pago","",IFERROR(INDEX(Pagos_Odoo!$A:$A, MATCH(X2444, Pagos_Odoo!$B:$B, 0)), ""))</f>
        <v/>
      </c>
      <c r="AA2444" s="79">
        <f>IF(X2444="Sin Pago","",IFERROR(INDEX(Pagos_Odoo!$F:$F, MATCH(X2444, Pagos_Odoo!$B:$B, 0)), ""))</f>
        <v/>
      </c>
      <c r="AB2444" s="81">
        <f>IF(X2444="Sin Pago",0,IFERROR(INDEX(Pagos_Odoo!$E:$E, MATCH(X2444, Pagos_Odoo!$B:$B, 0)), 0))</f>
        <v/>
      </c>
      <c r="AC2444" s="79">
        <f>IF(X2444="Sin Pago","",IFERROR(INDEX(Pagos_Odoo!$G:$G, MATCH(X2444, Pagos_Odoo!$B:$B, 0)), ""))</f>
        <v/>
      </c>
      <c r="AD2444" s="82" t="n">
        <v>0</v>
      </c>
      <c r="AE2444" s="82" t="n"/>
      <c r="AF2444" s="82" t="n"/>
      <c r="AG2444" s="82">
        <f>IF(AN2444="","",AD2444+AE2444+AF2444)</f>
        <v/>
      </c>
      <c r="AH2444" s="81">
        <f>IF(AN2444="","",P2444*(1-AG2444))</f>
        <v/>
      </c>
      <c r="AI2444" s="81">
        <f>IF(AN2444="","",IF(Q2444="Sin Factura",0,IFERROR(INDEX(Facturas_Odoo!$H:$H, MATCH(Q2444, Facturas_Odoo!$B:$B, 0)), 0)*(1-AG2444)))</f>
        <v/>
      </c>
      <c r="AJ2444" s="81">
        <f>IF(AN2444="","",_xlfn.LET(idVenta, AN2444&amp;"",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44" s="81">
        <f>IF(AN2444="","",AH2444-AJ2444)</f>
        <v/>
      </c>
      <c r="AL2444" s="81">
        <f>IF(AN2444="","",IF(Q2444="Sin Factura","",AI2444-AJ2444))</f>
        <v/>
      </c>
      <c r="AM2444" s="81">
        <f>IF(AN2444="","",IF(Q2444="Sin Factura",0,P2444-IFERROR(INDEX(Facturas_Odoo!$H:$H, MATCH(Q2444, Facturas_Odoo!$B:$B, 0)), 0)))</f>
        <v/>
      </c>
      <c r="AN2444" s="79">
        <f>IF(AND(A2444="", J2444=""), "", IF(A2444&lt;&gt;"", VALUE(MID(A2444,2,LEN(A2444))), AN2443))</f>
        <v/>
      </c>
      <c r="AO2444" s="79">
        <f>IF(AN2444="","",IF(AD2444=0,"OK",_xlfn.LET(monedaPago, IF(AA2444="","USD",AA2444), limitePermitido, IFERROR(VLOOKUP(monedaPago, Configuración!$A$2:$B$3, 2, FALSE), 0.15), IF(AD2444&gt;limitePermitido, "ALERTA: EXCESO (" &amp; TEXT(limitePermitido, "0%") &amp; " máx)", "OK"))))</f>
        <v/>
      </c>
      <c r="AP2444" s="79">
        <f>IF(AN2444="","",IF(AE2444=0,"OK",_xlfn.LET(fechaPago, Z2444, fechaFactura, R2444, diasCredito, IF(E2444="Pago inmediato", 0, IFERROR(VALUE(MID(E2444, 1, SEARCH(" ", E2444)-1)),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44" s="79">
        <f>IF(AN2444="","",IF(AND(N2444&gt;0, AG2444&gt;0), IF(Configuración!$K$2="NO", "ALERTA: DESCUENTO DOBLE NO PERMITIDO", "OK"), "OK"))</f>
        <v/>
      </c>
      <c r="AR2444" s="79">
        <f>IF(AN2444="","",IF(OR(AO2444&lt;&gt;"OK", AP2444&lt;&gt;"OK", AQ2444&lt;&gt;"OK"), "⚠️ REVISAR", "OK"))</f>
        <v/>
      </c>
    </row>
    <row r="2445">
      <c r="A2445" s="79">
        <f>IF('Ordenes_Odoo'!A2445="","",'Ordenes_Odoo'!A2445)</f>
        <v/>
      </c>
      <c r="B2445" s="80">
        <f>IF('Ordenes_Odoo'!B2445="","",'Ordenes_Odoo'!B2445)</f>
        <v/>
      </c>
      <c r="C2445" s="79">
        <f>IF('Ordenes_Odoo'!C2445="","",'Ordenes_Odoo'!C2445)</f>
        <v/>
      </c>
      <c r="D2445" s="79">
        <f>IF('Ordenes_Odoo'!D2445="","",'Ordenes_Odoo'!D2445)</f>
        <v/>
      </c>
      <c r="E2445" s="79">
        <f>IF('Ordenes_Odoo'!E2445="","",'Ordenes_Odoo'!E2445)</f>
        <v/>
      </c>
      <c r="F2445" s="79">
        <f>IF('Ordenes_Odoo'!F2445="","",'Ordenes_Odoo'!F2445)</f>
        <v/>
      </c>
      <c r="G2445" s="79">
        <f>IF('Ordenes_Odoo'!G2445="","",'Ordenes_Odoo'!G2445)</f>
        <v/>
      </c>
      <c r="H2445" s="79">
        <f>IF('Ordenes_Odoo'!H2445="","",'Ordenes_Odoo'!H2445)</f>
        <v/>
      </c>
      <c r="I2445" s="79">
        <f>IF('Ordenes_Odoo'!I2445="","",'Ordenes_Odoo'!I2445)</f>
        <v/>
      </c>
      <c r="J2445" s="79">
        <f>IF('Ordenes_Odoo'!J2445="","",'Ordenes_Odoo'!J2445)</f>
        <v/>
      </c>
      <c r="K2445" s="81">
        <f>IF('Ordenes_Odoo'!K2445="","",'Ordenes_Odoo'!K2445)</f>
        <v/>
      </c>
      <c r="L2445" s="81">
        <f>IF('Ordenes_Odoo'!L2445="","",'Ordenes_Odoo'!L2445)</f>
        <v/>
      </c>
      <c r="M2445" s="79">
        <f>IF('Ordenes_Odoo'!M2445="","",'Ordenes_Odoo'!M2445)</f>
        <v/>
      </c>
      <c r="N2445" s="79">
        <f>IF('Ordenes_Odoo'!N2445="","",'Ordenes_Odoo'!N2445)</f>
        <v/>
      </c>
      <c r="O2445" s="81">
        <f>IF('Ordenes_Odoo'!O2445="","",'Ordenes_Odoo'!O2445)</f>
        <v/>
      </c>
      <c r="P2445" s="81">
        <f>IF('Ordenes_Odoo'!P2445="","",'Ordenes_Odoo'!P2445)</f>
        <v/>
      </c>
      <c r="Q2445" s="79">
        <f>IF(A2445="","",IFERROR(INDEX(Facturas_Odoo!$B:$B, MATCH(A2445, Facturas_Odoo!$D:$D, 0)), "Sin Factura"))</f>
        <v/>
      </c>
      <c r="R2445" s="80">
        <f>IF(Q2445="Sin Factura","",IFERROR(INDEX(Facturas_Odoo!$A:$A, MATCH(Q2445, Facturas_Odoo!$B:$B, 0)), ""))</f>
        <v/>
      </c>
      <c r="S2445" s="79">
        <f>IF(Q2445="Sin Factura","",IFERROR(_xlfn.XLOOKUP(1, (Facturas_Odoo!$D:$D=A2445) * (Facturas_Odoo!$K:$K=I2445), Facturas_Odoo!$L:$L, ""), ""))</f>
        <v/>
      </c>
      <c r="T2445" s="81">
        <f>IF(Q2445="Sin Factura",0,IFERROR(_xlfn.XLOOKUP(1, (Facturas_Odoo!$D:$D=A2445) * (Facturas_Odoo!$K:$K=I2445), Facturas_Odoo!$M:$M, 0), 0))</f>
        <v/>
      </c>
      <c r="U2445" s="79">
        <f>IF(Q2445="Sin Factura",0,IFERROR(_xlfn.XLOOKUP(1, (Facturas_Odoo!$D:$D=A2445) * (Facturas_Odoo!$K:$K=I2445), Facturas_Odoo!$N:$N, 0), 0))</f>
        <v/>
      </c>
      <c r="V2445" s="79">
        <f>IF(Q2445="Sin Factura",0,IFERROR(_xlfn.XLOOKUP(1, (Facturas_Odoo!$D:$D=A2445) * (Facturas_Odoo!$K:$K=I2445), Facturas_Odoo!$O:$O, 0), 0))</f>
        <v/>
      </c>
      <c r="W2445" s="81">
        <f>IF(Q2445="Sin Factura",0,IFERROR(_xlfn.XLOOKUP(1, (Facturas_Odoo!$D:$D=A2445) * (Facturas_Odoo!$K:$K=I2445), Facturas_Odoo!$Q:$Q, 0), 0))</f>
        <v/>
      </c>
      <c r="X2445" s="79">
        <f>IF(OR(Q2445="Sin Factura",Q2445=""),"",IFERROR(INDEX(Pagos_Odoo!$B:$B, MATCH(Q2445, Pagos_Odoo!$I:$I, 0)), "Sin Pago"))</f>
        <v/>
      </c>
      <c r="Y2445" s="79">
        <f>IF(X2445="Sin Pago","",IFERROR(INDEX(Pagos_Odoo!$C:$C, MATCH(X2445, Pagos_Odoo!$B:$B, 0)), ""))</f>
        <v/>
      </c>
      <c r="Z2445" s="80">
        <f>IF(X2445="Sin Pago","",IFERROR(INDEX(Pagos_Odoo!$A:$A, MATCH(X2445, Pagos_Odoo!$B:$B, 0)), ""))</f>
        <v/>
      </c>
      <c r="AA2445" s="79">
        <f>IF(X2445="Sin Pago","",IFERROR(INDEX(Pagos_Odoo!$F:$F, MATCH(X2445, Pagos_Odoo!$B:$B, 0)), ""))</f>
        <v/>
      </c>
      <c r="AB2445" s="81">
        <f>IF(X2445="Sin Pago",0,IFERROR(INDEX(Pagos_Odoo!$E:$E, MATCH(X2445, Pagos_Odoo!$B:$B, 0)), 0))</f>
        <v/>
      </c>
      <c r="AC2445" s="79">
        <f>IF(X2445="Sin Pago","",IFERROR(INDEX(Pagos_Odoo!$G:$G, MATCH(X2445, Pagos_Odoo!$B:$B, 0)), ""))</f>
        <v/>
      </c>
      <c r="AD2445" s="82" t="n">
        <v>0</v>
      </c>
      <c r="AE2445" s="82" t="n"/>
      <c r="AF2445" s="82" t="n"/>
      <c r="AG2445" s="82">
        <f>IF(AN2445="","",AD2445+AE2445+AF2445)</f>
        <v/>
      </c>
      <c r="AH2445" s="81">
        <f>IF(AN2445="","",P2445*(1-AG2445))</f>
        <v/>
      </c>
      <c r="AI2445" s="81">
        <f>IF(AN2445="","",IF(Q2445="Sin Factura",0,IFERROR(INDEX(Facturas_Odoo!$H:$H, MATCH(Q2445, Facturas_Odoo!$B:$B, 0)), 0)*(1-AG2445)))</f>
        <v/>
      </c>
      <c r="AJ2445" s="81">
        <f>IF(AN2445="","",_xlfn.LET(idVenta, AN2445&amp;"",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45" s="81">
        <f>IF(AN2445="","",AH2445-AJ2445)</f>
        <v/>
      </c>
      <c r="AL2445" s="81">
        <f>IF(AN2445="","",IF(Q2445="Sin Factura","",AI2445-AJ2445))</f>
        <v/>
      </c>
      <c r="AM2445" s="81">
        <f>IF(AN2445="","",IF(Q2445="Sin Factura",0,P2445-IFERROR(INDEX(Facturas_Odoo!$H:$H, MATCH(Q2445, Facturas_Odoo!$B:$B, 0)), 0)))</f>
        <v/>
      </c>
      <c r="AN2445" s="79">
        <f>IF(AND(A2445="", J2445=""), "", IF(A2445&lt;&gt;"", VALUE(MID(A2445,2,LEN(A2445))), AN2444))</f>
        <v/>
      </c>
      <c r="AO2445" s="79">
        <f>IF(AN2445="","",IF(AD2445=0,"OK",_xlfn.LET(monedaPago, IF(AA2445="","USD",AA2445), limitePermitido, IFERROR(VLOOKUP(monedaPago, Configuración!$A$2:$B$3, 2, FALSE), 0.15), IF(AD2445&gt;limitePermitido, "ALERTA: EXCESO (" &amp; TEXT(limitePermitido, "0%") &amp; " máx)", "OK"))))</f>
        <v/>
      </c>
      <c r="AP2445" s="79">
        <f>IF(AN2445="","",IF(AE2445=0,"OK",_xlfn.LET(fechaPago, Z2445, fechaFactura, R2445, diasCredito, IF(E2445="Pago inmediato", 0, IFERROR(VALUE(MID(E2445, 1, SEARCH(" ", E2445)-1)),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45" s="79">
        <f>IF(AN2445="","",IF(AND(N2445&gt;0, AG2445&gt;0), IF(Configuración!$K$2="NO", "ALERTA: DESCUENTO DOBLE NO PERMITIDO", "OK"), "OK"))</f>
        <v/>
      </c>
      <c r="AR2445" s="79">
        <f>IF(AN2445="","",IF(OR(AO2445&lt;&gt;"OK", AP2445&lt;&gt;"OK", AQ2445&lt;&gt;"OK"), "⚠️ REVISAR", "OK"))</f>
        <v/>
      </c>
    </row>
    <row r="2446">
      <c r="A2446" s="79">
        <f>IF('Ordenes_Odoo'!A2446="","",'Ordenes_Odoo'!A2446)</f>
        <v/>
      </c>
      <c r="B2446" s="80">
        <f>IF('Ordenes_Odoo'!B2446="","",'Ordenes_Odoo'!B2446)</f>
        <v/>
      </c>
      <c r="C2446" s="79">
        <f>IF('Ordenes_Odoo'!C2446="","",'Ordenes_Odoo'!C2446)</f>
        <v/>
      </c>
      <c r="D2446" s="79">
        <f>IF('Ordenes_Odoo'!D2446="","",'Ordenes_Odoo'!D2446)</f>
        <v/>
      </c>
      <c r="E2446" s="79">
        <f>IF('Ordenes_Odoo'!E2446="","",'Ordenes_Odoo'!E2446)</f>
        <v/>
      </c>
      <c r="F2446" s="79">
        <f>IF('Ordenes_Odoo'!F2446="","",'Ordenes_Odoo'!F2446)</f>
        <v/>
      </c>
      <c r="G2446" s="79">
        <f>IF('Ordenes_Odoo'!G2446="","",'Ordenes_Odoo'!G2446)</f>
        <v/>
      </c>
      <c r="H2446" s="79">
        <f>IF('Ordenes_Odoo'!H2446="","",'Ordenes_Odoo'!H2446)</f>
        <v/>
      </c>
      <c r="I2446" s="79">
        <f>IF('Ordenes_Odoo'!I2446="","",'Ordenes_Odoo'!I2446)</f>
        <v/>
      </c>
      <c r="J2446" s="79">
        <f>IF('Ordenes_Odoo'!J2446="","",'Ordenes_Odoo'!J2446)</f>
        <v/>
      </c>
      <c r="K2446" s="81">
        <f>IF('Ordenes_Odoo'!K2446="","",'Ordenes_Odoo'!K2446)</f>
        <v/>
      </c>
      <c r="L2446" s="81">
        <f>IF('Ordenes_Odoo'!L2446="","",'Ordenes_Odoo'!L2446)</f>
        <v/>
      </c>
      <c r="M2446" s="79">
        <f>IF('Ordenes_Odoo'!M2446="","",'Ordenes_Odoo'!M2446)</f>
        <v/>
      </c>
      <c r="N2446" s="79">
        <f>IF('Ordenes_Odoo'!N2446="","",'Ordenes_Odoo'!N2446)</f>
        <v/>
      </c>
      <c r="O2446" s="81">
        <f>IF('Ordenes_Odoo'!O2446="","",'Ordenes_Odoo'!O2446)</f>
        <v/>
      </c>
      <c r="P2446" s="81">
        <f>IF('Ordenes_Odoo'!P2446="","",'Ordenes_Odoo'!P2446)</f>
        <v/>
      </c>
      <c r="Q2446" s="79">
        <f>IF(A2446="","",IFERROR(INDEX(Facturas_Odoo!$B:$B, MATCH(A2446, Facturas_Odoo!$D:$D, 0)), "Sin Factura"))</f>
        <v/>
      </c>
      <c r="R2446" s="80">
        <f>IF(Q2446="Sin Factura","",IFERROR(INDEX(Facturas_Odoo!$A:$A, MATCH(Q2446, Facturas_Odoo!$B:$B, 0)), ""))</f>
        <v/>
      </c>
      <c r="S2446" s="79">
        <f>IF(Q2446="Sin Factura","",IFERROR(_xlfn.XLOOKUP(1, (Facturas_Odoo!$D:$D=A2446) * (Facturas_Odoo!$K:$K=I2446), Facturas_Odoo!$L:$L, ""), ""))</f>
        <v/>
      </c>
      <c r="T2446" s="81">
        <f>IF(Q2446="Sin Factura",0,IFERROR(_xlfn.XLOOKUP(1, (Facturas_Odoo!$D:$D=A2446) * (Facturas_Odoo!$K:$K=I2446), Facturas_Odoo!$M:$M, 0), 0))</f>
        <v/>
      </c>
      <c r="U2446" s="79">
        <f>IF(Q2446="Sin Factura",0,IFERROR(_xlfn.XLOOKUP(1, (Facturas_Odoo!$D:$D=A2446) * (Facturas_Odoo!$K:$K=I2446), Facturas_Odoo!$N:$N, 0), 0))</f>
        <v/>
      </c>
      <c r="V2446" s="79">
        <f>IF(Q2446="Sin Factura",0,IFERROR(_xlfn.XLOOKUP(1, (Facturas_Odoo!$D:$D=A2446) * (Facturas_Odoo!$K:$K=I2446), Facturas_Odoo!$O:$O, 0), 0))</f>
        <v/>
      </c>
      <c r="W2446" s="81">
        <f>IF(Q2446="Sin Factura",0,IFERROR(_xlfn.XLOOKUP(1, (Facturas_Odoo!$D:$D=A2446) * (Facturas_Odoo!$K:$K=I2446), Facturas_Odoo!$Q:$Q, 0), 0))</f>
        <v/>
      </c>
      <c r="X2446" s="79">
        <f>IF(OR(Q2446="Sin Factura",Q2446=""),"",IFERROR(INDEX(Pagos_Odoo!$B:$B, MATCH(Q2446, Pagos_Odoo!$I:$I, 0)), "Sin Pago"))</f>
        <v/>
      </c>
      <c r="Y2446" s="79">
        <f>IF(X2446="Sin Pago","",IFERROR(INDEX(Pagos_Odoo!$C:$C, MATCH(X2446, Pagos_Odoo!$B:$B, 0)), ""))</f>
        <v/>
      </c>
      <c r="Z2446" s="80">
        <f>IF(X2446="Sin Pago","",IFERROR(INDEX(Pagos_Odoo!$A:$A, MATCH(X2446, Pagos_Odoo!$B:$B, 0)), ""))</f>
        <v/>
      </c>
      <c r="AA2446" s="79">
        <f>IF(X2446="Sin Pago","",IFERROR(INDEX(Pagos_Odoo!$F:$F, MATCH(X2446, Pagos_Odoo!$B:$B, 0)), ""))</f>
        <v/>
      </c>
      <c r="AB2446" s="81">
        <f>IF(X2446="Sin Pago",0,IFERROR(INDEX(Pagos_Odoo!$E:$E, MATCH(X2446, Pagos_Odoo!$B:$B, 0)), 0))</f>
        <v/>
      </c>
      <c r="AC2446" s="79">
        <f>IF(X2446="Sin Pago","",IFERROR(INDEX(Pagos_Odoo!$G:$G, MATCH(X2446, Pagos_Odoo!$B:$B, 0)), ""))</f>
        <v/>
      </c>
      <c r="AD2446" s="82" t="n">
        <v>0</v>
      </c>
      <c r="AE2446" s="82" t="n"/>
      <c r="AF2446" s="82" t="n"/>
      <c r="AG2446" s="82">
        <f>IF(AN2446="","",AD2446+AE2446+AF2446)</f>
        <v/>
      </c>
      <c r="AH2446" s="81">
        <f>IF(AN2446="","",P2446*(1-AG2446))</f>
        <v/>
      </c>
      <c r="AI2446" s="81">
        <f>IF(AN2446="","",IF(Q2446="Sin Factura",0,IFERROR(INDEX(Facturas_Odoo!$H:$H, MATCH(Q2446, Facturas_Odoo!$B:$B, 0)), 0)*(1-AG2446)))</f>
        <v/>
      </c>
      <c r="AJ2446" s="81">
        <f>IF(AN2446="","",_xlfn.LET(idVenta, AN2446&amp;"",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46" s="81">
        <f>IF(AN2446="","",AH2446-AJ2446)</f>
        <v/>
      </c>
      <c r="AL2446" s="81">
        <f>IF(AN2446="","",IF(Q2446="Sin Factura","",AI2446-AJ2446))</f>
        <v/>
      </c>
      <c r="AM2446" s="81">
        <f>IF(AN2446="","",IF(Q2446="Sin Factura",0,P2446-IFERROR(INDEX(Facturas_Odoo!$H:$H, MATCH(Q2446, Facturas_Odoo!$B:$B, 0)), 0)))</f>
        <v/>
      </c>
      <c r="AN2446" s="79">
        <f>IF(AND(A2446="", J2446=""), "", IF(A2446&lt;&gt;"", VALUE(MID(A2446,2,LEN(A2446))), AN2445))</f>
        <v/>
      </c>
      <c r="AO2446" s="79">
        <f>IF(AN2446="","",IF(AD2446=0,"OK",_xlfn.LET(monedaPago, IF(AA2446="","USD",AA2446), limitePermitido, IFERROR(VLOOKUP(monedaPago, Configuración!$A$2:$B$3, 2, FALSE), 0.15), IF(AD2446&gt;limitePermitido, "ALERTA: EXCESO (" &amp; TEXT(limitePermitido, "0%") &amp; " máx)", "OK"))))</f>
        <v/>
      </c>
      <c r="AP2446" s="79">
        <f>IF(AN2446="","",IF(AE2446=0,"OK",_xlfn.LET(fechaPago, Z2446, fechaFactura, R2446, diasCredito, IF(E2446="Pago inmediato", 0, IFERROR(VALUE(MID(E2446, 1, SEARCH(" ", E2446)-1)),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46" s="79">
        <f>IF(AN2446="","",IF(AND(N2446&gt;0, AG2446&gt;0), IF(Configuración!$K$2="NO", "ALERTA: DESCUENTO DOBLE NO PERMITIDO", "OK"), "OK"))</f>
        <v/>
      </c>
      <c r="AR2446" s="79">
        <f>IF(AN2446="","",IF(OR(AO2446&lt;&gt;"OK", AP2446&lt;&gt;"OK", AQ2446&lt;&gt;"OK"), "⚠️ REVISAR", "OK"))</f>
        <v/>
      </c>
    </row>
    <row r="2447">
      <c r="A2447" s="79">
        <f>IF('Ordenes_Odoo'!A2447="","",'Ordenes_Odoo'!A2447)</f>
        <v/>
      </c>
      <c r="B2447" s="80">
        <f>IF('Ordenes_Odoo'!B2447="","",'Ordenes_Odoo'!B2447)</f>
        <v/>
      </c>
      <c r="C2447" s="79">
        <f>IF('Ordenes_Odoo'!C2447="","",'Ordenes_Odoo'!C2447)</f>
        <v/>
      </c>
      <c r="D2447" s="79">
        <f>IF('Ordenes_Odoo'!D2447="","",'Ordenes_Odoo'!D2447)</f>
        <v/>
      </c>
      <c r="E2447" s="79">
        <f>IF('Ordenes_Odoo'!E2447="","",'Ordenes_Odoo'!E2447)</f>
        <v/>
      </c>
      <c r="F2447" s="79">
        <f>IF('Ordenes_Odoo'!F2447="","",'Ordenes_Odoo'!F2447)</f>
        <v/>
      </c>
      <c r="G2447" s="79">
        <f>IF('Ordenes_Odoo'!G2447="","",'Ordenes_Odoo'!G2447)</f>
        <v/>
      </c>
      <c r="H2447" s="79">
        <f>IF('Ordenes_Odoo'!H2447="","",'Ordenes_Odoo'!H2447)</f>
        <v/>
      </c>
      <c r="I2447" s="79">
        <f>IF('Ordenes_Odoo'!I2447="","",'Ordenes_Odoo'!I2447)</f>
        <v/>
      </c>
      <c r="J2447" s="79">
        <f>IF('Ordenes_Odoo'!J2447="","",'Ordenes_Odoo'!J2447)</f>
        <v/>
      </c>
      <c r="K2447" s="81">
        <f>IF('Ordenes_Odoo'!K2447="","",'Ordenes_Odoo'!K2447)</f>
        <v/>
      </c>
      <c r="L2447" s="81">
        <f>IF('Ordenes_Odoo'!L2447="","",'Ordenes_Odoo'!L2447)</f>
        <v/>
      </c>
      <c r="M2447" s="79">
        <f>IF('Ordenes_Odoo'!M2447="","",'Ordenes_Odoo'!M2447)</f>
        <v/>
      </c>
      <c r="N2447" s="79">
        <f>IF('Ordenes_Odoo'!N2447="","",'Ordenes_Odoo'!N2447)</f>
        <v/>
      </c>
      <c r="O2447" s="81">
        <f>IF('Ordenes_Odoo'!O2447="","",'Ordenes_Odoo'!O2447)</f>
        <v/>
      </c>
      <c r="P2447" s="81">
        <f>IF('Ordenes_Odoo'!P2447="","",'Ordenes_Odoo'!P2447)</f>
        <v/>
      </c>
      <c r="Q2447" s="79">
        <f>IF(A2447="","",IFERROR(INDEX(Facturas_Odoo!$B:$B, MATCH(A2447, Facturas_Odoo!$D:$D, 0)), "Sin Factura"))</f>
        <v/>
      </c>
      <c r="R2447" s="80">
        <f>IF(Q2447="Sin Factura","",IFERROR(INDEX(Facturas_Odoo!$A:$A, MATCH(Q2447, Facturas_Odoo!$B:$B, 0)), ""))</f>
        <v/>
      </c>
      <c r="S2447" s="79">
        <f>IF(Q2447="Sin Factura","",IFERROR(_xlfn.XLOOKUP(1, (Facturas_Odoo!$D:$D=A2447) * (Facturas_Odoo!$K:$K=I2447), Facturas_Odoo!$L:$L, ""), ""))</f>
        <v/>
      </c>
      <c r="T2447" s="81">
        <f>IF(Q2447="Sin Factura",0,IFERROR(_xlfn.XLOOKUP(1, (Facturas_Odoo!$D:$D=A2447) * (Facturas_Odoo!$K:$K=I2447), Facturas_Odoo!$M:$M, 0), 0))</f>
        <v/>
      </c>
      <c r="U2447" s="79">
        <f>IF(Q2447="Sin Factura",0,IFERROR(_xlfn.XLOOKUP(1, (Facturas_Odoo!$D:$D=A2447) * (Facturas_Odoo!$K:$K=I2447), Facturas_Odoo!$N:$N, 0), 0))</f>
        <v/>
      </c>
      <c r="V2447" s="79">
        <f>IF(Q2447="Sin Factura",0,IFERROR(_xlfn.XLOOKUP(1, (Facturas_Odoo!$D:$D=A2447) * (Facturas_Odoo!$K:$K=I2447), Facturas_Odoo!$O:$O, 0), 0))</f>
        <v/>
      </c>
      <c r="W2447" s="81">
        <f>IF(Q2447="Sin Factura",0,IFERROR(_xlfn.XLOOKUP(1, (Facturas_Odoo!$D:$D=A2447) * (Facturas_Odoo!$K:$K=I2447), Facturas_Odoo!$Q:$Q, 0), 0))</f>
        <v/>
      </c>
      <c r="X2447" s="79">
        <f>IF(OR(Q2447="Sin Factura",Q2447=""),"",IFERROR(INDEX(Pagos_Odoo!$B:$B, MATCH(Q2447, Pagos_Odoo!$I:$I, 0)), "Sin Pago"))</f>
        <v/>
      </c>
      <c r="Y2447" s="79">
        <f>IF(X2447="Sin Pago","",IFERROR(INDEX(Pagos_Odoo!$C:$C, MATCH(X2447, Pagos_Odoo!$B:$B, 0)), ""))</f>
        <v/>
      </c>
      <c r="Z2447" s="80">
        <f>IF(X2447="Sin Pago","",IFERROR(INDEX(Pagos_Odoo!$A:$A, MATCH(X2447, Pagos_Odoo!$B:$B, 0)), ""))</f>
        <v/>
      </c>
      <c r="AA2447" s="79">
        <f>IF(X2447="Sin Pago","",IFERROR(INDEX(Pagos_Odoo!$F:$F, MATCH(X2447, Pagos_Odoo!$B:$B, 0)), ""))</f>
        <v/>
      </c>
      <c r="AB2447" s="81">
        <f>IF(X2447="Sin Pago",0,IFERROR(INDEX(Pagos_Odoo!$E:$E, MATCH(X2447, Pagos_Odoo!$B:$B, 0)), 0))</f>
        <v/>
      </c>
      <c r="AC2447" s="79">
        <f>IF(X2447="Sin Pago","",IFERROR(INDEX(Pagos_Odoo!$G:$G, MATCH(X2447, Pagos_Odoo!$B:$B, 0)), ""))</f>
        <v/>
      </c>
      <c r="AD2447" s="82" t="n">
        <v>0</v>
      </c>
      <c r="AE2447" s="82" t="n"/>
      <c r="AF2447" s="82" t="n"/>
      <c r="AG2447" s="82">
        <f>IF(AN2447="","",AD2447+AE2447+AF2447)</f>
        <v/>
      </c>
      <c r="AH2447" s="81">
        <f>IF(AN2447="","",P2447*(1-AG2447))</f>
        <v/>
      </c>
      <c r="AI2447" s="81">
        <f>IF(AN2447="","",IF(Q2447="Sin Factura",0,IFERROR(INDEX(Facturas_Odoo!$H:$H, MATCH(Q2447, Facturas_Odoo!$B:$B, 0)), 0)*(1-AG2447)))</f>
        <v/>
      </c>
      <c r="AJ2447" s="81">
        <f>IF(AN2447="","",_xlfn.LET(idVenta, AN2447&amp;"",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47" s="81">
        <f>IF(AN2447="","",AH2447-AJ2447)</f>
        <v/>
      </c>
      <c r="AL2447" s="81">
        <f>IF(AN2447="","",IF(Q2447="Sin Factura","",AI2447-AJ2447))</f>
        <v/>
      </c>
      <c r="AM2447" s="81">
        <f>IF(AN2447="","",IF(Q2447="Sin Factura",0,P2447-IFERROR(INDEX(Facturas_Odoo!$H:$H, MATCH(Q2447, Facturas_Odoo!$B:$B, 0)), 0)))</f>
        <v/>
      </c>
      <c r="AN2447" s="79">
        <f>IF(AND(A2447="", J2447=""), "", IF(A2447&lt;&gt;"", VALUE(MID(A2447,2,LEN(A2447))), AN2446))</f>
        <v/>
      </c>
      <c r="AO2447" s="79">
        <f>IF(AN2447="","",IF(AD2447=0,"OK",_xlfn.LET(monedaPago, IF(AA2447="","USD",AA2447), limitePermitido, IFERROR(VLOOKUP(monedaPago, Configuración!$A$2:$B$3, 2, FALSE), 0.15), IF(AD2447&gt;limitePermitido, "ALERTA: EXCESO (" &amp; TEXT(limitePermitido, "0%") &amp; " máx)", "OK"))))</f>
        <v/>
      </c>
      <c r="AP2447" s="79">
        <f>IF(AN2447="","",IF(AE2447=0,"OK",_xlfn.LET(fechaPago, Z2447, fechaFactura, R2447, diasCredito, IF(E2447="Pago inmediato", 0, IFERROR(VALUE(MID(E2447, 1, SEARCH(" ", E2447)-1)),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47" s="79">
        <f>IF(AN2447="","",IF(AND(N2447&gt;0, AG2447&gt;0), IF(Configuración!$K$2="NO", "ALERTA: DESCUENTO DOBLE NO PERMITIDO", "OK"), "OK"))</f>
        <v/>
      </c>
      <c r="AR2447" s="79">
        <f>IF(AN2447="","",IF(OR(AO2447&lt;&gt;"OK", AP2447&lt;&gt;"OK", AQ2447&lt;&gt;"OK"), "⚠️ REVISAR", "OK"))</f>
        <v/>
      </c>
    </row>
    <row r="2448">
      <c r="A2448" s="79">
        <f>IF('Ordenes_Odoo'!A2448="","",'Ordenes_Odoo'!A2448)</f>
        <v/>
      </c>
      <c r="B2448" s="80">
        <f>IF('Ordenes_Odoo'!B2448="","",'Ordenes_Odoo'!B2448)</f>
        <v/>
      </c>
      <c r="C2448" s="79">
        <f>IF('Ordenes_Odoo'!C2448="","",'Ordenes_Odoo'!C2448)</f>
        <v/>
      </c>
      <c r="D2448" s="79">
        <f>IF('Ordenes_Odoo'!D2448="","",'Ordenes_Odoo'!D2448)</f>
        <v/>
      </c>
      <c r="E2448" s="79">
        <f>IF('Ordenes_Odoo'!E2448="","",'Ordenes_Odoo'!E2448)</f>
        <v/>
      </c>
      <c r="F2448" s="79">
        <f>IF('Ordenes_Odoo'!F2448="","",'Ordenes_Odoo'!F2448)</f>
        <v/>
      </c>
      <c r="G2448" s="79">
        <f>IF('Ordenes_Odoo'!G2448="","",'Ordenes_Odoo'!G2448)</f>
        <v/>
      </c>
      <c r="H2448" s="79">
        <f>IF('Ordenes_Odoo'!H2448="","",'Ordenes_Odoo'!H2448)</f>
        <v/>
      </c>
      <c r="I2448" s="79">
        <f>IF('Ordenes_Odoo'!I2448="","",'Ordenes_Odoo'!I2448)</f>
        <v/>
      </c>
      <c r="J2448" s="79">
        <f>IF('Ordenes_Odoo'!J2448="","",'Ordenes_Odoo'!J2448)</f>
        <v/>
      </c>
      <c r="K2448" s="81">
        <f>IF('Ordenes_Odoo'!K2448="","",'Ordenes_Odoo'!K2448)</f>
        <v/>
      </c>
      <c r="L2448" s="81">
        <f>IF('Ordenes_Odoo'!L2448="","",'Ordenes_Odoo'!L2448)</f>
        <v/>
      </c>
      <c r="M2448" s="79">
        <f>IF('Ordenes_Odoo'!M2448="","",'Ordenes_Odoo'!M2448)</f>
        <v/>
      </c>
      <c r="N2448" s="79">
        <f>IF('Ordenes_Odoo'!N2448="","",'Ordenes_Odoo'!N2448)</f>
        <v/>
      </c>
      <c r="O2448" s="81">
        <f>IF('Ordenes_Odoo'!O2448="","",'Ordenes_Odoo'!O2448)</f>
        <v/>
      </c>
      <c r="P2448" s="81">
        <f>IF('Ordenes_Odoo'!P2448="","",'Ordenes_Odoo'!P2448)</f>
        <v/>
      </c>
      <c r="Q2448" s="79">
        <f>IF(A2448="","",IFERROR(INDEX(Facturas_Odoo!$B:$B, MATCH(A2448, Facturas_Odoo!$D:$D, 0)), "Sin Factura"))</f>
        <v/>
      </c>
      <c r="R2448" s="80">
        <f>IF(Q2448="Sin Factura","",IFERROR(INDEX(Facturas_Odoo!$A:$A, MATCH(Q2448, Facturas_Odoo!$B:$B, 0)), ""))</f>
        <v/>
      </c>
      <c r="S2448" s="79">
        <f>IF(Q2448="Sin Factura","",IFERROR(_xlfn.XLOOKUP(1, (Facturas_Odoo!$D:$D=A2448) * (Facturas_Odoo!$K:$K=I2448), Facturas_Odoo!$L:$L, ""), ""))</f>
        <v/>
      </c>
      <c r="T2448" s="81">
        <f>IF(Q2448="Sin Factura",0,IFERROR(_xlfn.XLOOKUP(1, (Facturas_Odoo!$D:$D=A2448) * (Facturas_Odoo!$K:$K=I2448), Facturas_Odoo!$M:$M, 0), 0))</f>
        <v/>
      </c>
      <c r="U2448" s="79">
        <f>IF(Q2448="Sin Factura",0,IFERROR(_xlfn.XLOOKUP(1, (Facturas_Odoo!$D:$D=A2448) * (Facturas_Odoo!$K:$K=I2448), Facturas_Odoo!$N:$N, 0), 0))</f>
        <v/>
      </c>
      <c r="V2448" s="79">
        <f>IF(Q2448="Sin Factura",0,IFERROR(_xlfn.XLOOKUP(1, (Facturas_Odoo!$D:$D=A2448) * (Facturas_Odoo!$K:$K=I2448), Facturas_Odoo!$O:$O, 0), 0))</f>
        <v/>
      </c>
      <c r="W2448" s="81">
        <f>IF(Q2448="Sin Factura",0,IFERROR(_xlfn.XLOOKUP(1, (Facturas_Odoo!$D:$D=A2448) * (Facturas_Odoo!$K:$K=I2448), Facturas_Odoo!$Q:$Q, 0), 0))</f>
        <v/>
      </c>
      <c r="X2448" s="79">
        <f>IF(OR(Q2448="Sin Factura",Q2448=""),"",IFERROR(INDEX(Pagos_Odoo!$B:$B, MATCH(Q2448, Pagos_Odoo!$I:$I, 0)), "Sin Pago"))</f>
        <v/>
      </c>
      <c r="Y2448" s="79">
        <f>IF(X2448="Sin Pago","",IFERROR(INDEX(Pagos_Odoo!$C:$C, MATCH(X2448, Pagos_Odoo!$B:$B, 0)), ""))</f>
        <v/>
      </c>
      <c r="Z2448" s="80">
        <f>IF(X2448="Sin Pago","",IFERROR(INDEX(Pagos_Odoo!$A:$A, MATCH(X2448, Pagos_Odoo!$B:$B, 0)), ""))</f>
        <v/>
      </c>
      <c r="AA2448" s="79">
        <f>IF(X2448="Sin Pago","",IFERROR(INDEX(Pagos_Odoo!$F:$F, MATCH(X2448, Pagos_Odoo!$B:$B, 0)), ""))</f>
        <v/>
      </c>
      <c r="AB2448" s="81">
        <f>IF(X2448="Sin Pago",0,IFERROR(INDEX(Pagos_Odoo!$E:$E, MATCH(X2448, Pagos_Odoo!$B:$B, 0)), 0))</f>
        <v/>
      </c>
      <c r="AC2448" s="79">
        <f>IF(X2448="Sin Pago","",IFERROR(INDEX(Pagos_Odoo!$G:$G, MATCH(X2448, Pagos_Odoo!$B:$B, 0)), ""))</f>
        <v/>
      </c>
      <c r="AD2448" s="82" t="n">
        <v>0</v>
      </c>
      <c r="AE2448" s="82" t="n"/>
      <c r="AF2448" s="82" t="n"/>
      <c r="AG2448" s="82">
        <f>IF(AN2448="","",AD2448+AE2448+AF2448)</f>
        <v/>
      </c>
      <c r="AH2448" s="81">
        <f>IF(AN2448="","",P2448*(1-AG2448))</f>
        <v/>
      </c>
      <c r="AI2448" s="81">
        <f>IF(AN2448="","",IF(Q2448="Sin Factura",0,IFERROR(INDEX(Facturas_Odoo!$H:$H, MATCH(Q2448, Facturas_Odoo!$B:$B, 0)), 0)*(1-AG2448)))</f>
        <v/>
      </c>
      <c r="AJ2448" s="81">
        <f>IF(AN2448="","",_xlfn.LET(idVenta, AN2448&amp;"",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48" s="81">
        <f>IF(AN2448="","",AH2448-AJ2448)</f>
        <v/>
      </c>
      <c r="AL2448" s="81">
        <f>IF(AN2448="","",IF(Q2448="Sin Factura","",AI2448-AJ2448))</f>
        <v/>
      </c>
      <c r="AM2448" s="81">
        <f>IF(AN2448="","",IF(Q2448="Sin Factura",0,P2448-IFERROR(INDEX(Facturas_Odoo!$H:$H, MATCH(Q2448, Facturas_Odoo!$B:$B, 0)), 0)))</f>
        <v/>
      </c>
      <c r="AN2448" s="79">
        <f>IF(AND(A2448="", J2448=""), "", IF(A2448&lt;&gt;"", VALUE(MID(A2448,2,LEN(A2448))), AN2447))</f>
        <v/>
      </c>
      <c r="AO2448" s="79">
        <f>IF(AN2448="","",IF(AD2448=0,"OK",_xlfn.LET(monedaPago, IF(AA2448="","USD",AA2448), limitePermitido, IFERROR(VLOOKUP(monedaPago, Configuración!$A$2:$B$3, 2, FALSE), 0.15), IF(AD2448&gt;limitePermitido, "ALERTA: EXCESO (" &amp; TEXT(limitePermitido, "0%") &amp; " máx)", "OK"))))</f>
        <v/>
      </c>
      <c r="AP2448" s="79">
        <f>IF(AN2448="","",IF(AE2448=0,"OK",_xlfn.LET(fechaPago, Z2448, fechaFactura, R2448, diasCredito, IF(E2448="Pago inmediato", 0, IFERROR(VALUE(MID(E2448, 1, SEARCH(" ", E2448)-1)),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48" s="79">
        <f>IF(AN2448="","",IF(AND(N2448&gt;0, AG2448&gt;0), IF(Configuración!$K$2="NO", "ALERTA: DESCUENTO DOBLE NO PERMITIDO", "OK"), "OK"))</f>
        <v/>
      </c>
      <c r="AR2448" s="79">
        <f>IF(AN2448="","",IF(OR(AO2448&lt;&gt;"OK", AP2448&lt;&gt;"OK", AQ2448&lt;&gt;"OK"), "⚠️ REVISAR", "OK"))</f>
        <v/>
      </c>
    </row>
    <row r="2449">
      <c r="A2449" s="79">
        <f>IF('Ordenes_Odoo'!A2449="","",'Ordenes_Odoo'!A2449)</f>
        <v/>
      </c>
      <c r="B2449" s="80">
        <f>IF('Ordenes_Odoo'!B2449="","",'Ordenes_Odoo'!B2449)</f>
        <v/>
      </c>
      <c r="C2449" s="79">
        <f>IF('Ordenes_Odoo'!C2449="","",'Ordenes_Odoo'!C2449)</f>
        <v/>
      </c>
      <c r="D2449" s="79">
        <f>IF('Ordenes_Odoo'!D2449="","",'Ordenes_Odoo'!D2449)</f>
        <v/>
      </c>
      <c r="E2449" s="79">
        <f>IF('Ordenes_Odoo'!E2449="","",'Ordenes_Odoo'!E2449)</f>
        <v/>
      </c>
      <c r="F2449" s="79">
        <f>IF('Ordenes_Odoo'!F2449="","",'Ordenes_Odoo'!F2449)</f>
        <v/>
      </c>
      <c r="G2449" s="79">
        <f>IF('Ordenes_Odoo'!G2449="","",'Ordenes_Odoo'!G2449)</f>
        <v/>
      </c>
      <c r="H2449" s="79">
        <f>IF('Ordenes_Odoo'!H2449="","",'Ordenes_Odoo'!H2449)</f>
        <v/>
      </c>
      <c r="I2449" s="79">
        <f>IF('Ordenes_Odoo'!I2449="","",'Ordenes_Odoo'!I2449)</f>
        <v/>
      </c>
      <c r="J2449" s="79">
        <f>IF('Ordenes_Odoo'!J2449="","",'Ordenes_Odoo'!J2449)</f>
        <v/>
      </c>
      <c r="K2449" s="81">
        <f>IF('Ordenes_Odoo'!K2449="","",'Ordenes_Odoo'!K2449)</f>
        <v/>
      </c>
      <c r="L2449" s="81">
        <f>IF('Ordenes_Odoo'!L2449="","",'Ordenes_Odoo'!L2449)</f>
        <v/>
      </c>
      <c r="M2449" s="79">
        <f>IF('Ordenes_Odoo'!M2449="","",'Ordenes_Odoo'!M2449)</f>
        <v/>
      </c>
      <c r="N2449" s="79">
        <f>IF('Ordenes_Odoo'!N2449="","",'Ordenes_Odoo'!N2449)</f>
        <v/>
      </c>
      <c r="O2449" s="81">
        <f>IF('Ordenes_Odoo'!O2449="","",'Ordenes_Odoo'!O2449)</f>
        <v/>
      </c>
      <c r="P2449" s="81">
        <f>IF('Ordenes_Odoo'!P2449="","",'Ordenes_Odoo'!P2449)</f>
        <v/>
      </c>
      <c r="Q2449" s="79">
        <f>IF(A2449="","",IFERROR(INDEX(Facturas_Odoo!$B:$B, MATCH(A2449, Facturas_Odoo!$D:$D, 0)), "Sin Factura"))</f>
        <v/>
      </c>
      <c r="R2449" s="80">
        <f>IF(Q2449="Sin Factura","",IFERROR(INDEX(Facturas_Odoo!$A:$A, MATCH(Q2449, Facturas_Odoo!$B:$B, 0)), ""))</f>
        <v/>
      </c>
      <c r="S2449" s="79">
        <f>IF(Q2449="Sin Factura","",IFERROR(_xlfn.XLOOKUP(1, (Facturas_Odoo!$D:$D=A2449) * (Facturas_Odoo!$K:$K=I2449), Facturas_Odoo!$L:$L, ""), ""))</f>
        <v/>
      </c>
      <c r="T2449" s="81">
        <f>IF(Q2449="Sin Factura",0,IFERROR(_xlfn.XLOOKUP(1, (Facturas_Odoo!$D:$D=A2449) * (Facturas_Odoo!$K:$K=I2449), Facturas_Odoo!$M:$M, 0), 0))</f>
        <v/>
      </c>
      <c r="U2449" s="79">
        <f>IF(Q2449="Sin Factura",0,IFERROR(_xlfn.XLOOKUP(1, (Facturas_Odoo!$D:$D=A2449) * (Facturas_Odoo!$K:$K=I2449), Facturas_Odoo!$N:$N, 0), 0))</f>
        <v/>
      </c>
      <c r="V2449" s="79">
        <f>IF(Q2449="Sin Factura",0,IFERROR(_xlfn.XLOOKUP(1, (Facturas_Odoo!$D:$D=A2449) * (Facturas_Odoo!$K:$K=I2449), Facturas_Odoo!$O:$O, 0), 0))</f>
        <v/>
      </c>
      <c r="W2449" s="81">
        <f>IF(Q2449="Sin Factura",0,IFERROR(_xlfn.XLOOKUP(1, (Facturas_Odoo!$D:$D=A2449) * (Facturas_Odoo!$K:$K=I2449), Facturas_Odoo!$Q:$Q, 0), 0))</f>
        <v/>
      </c>
      <c r="X2449" s="79">
        <f>IF(OR(Q2449="Sin Factura",Q2449=""),"",IFERROR(INDEX(Pagos_Odoo!$B:$B, MATCH(Q2449, Pagos_Odoo!$I:$I, 0)), "Sin Pago"))</f>
        <v/>
      </c>
      <c r="Y2449" s="79">
        <f>IF(X2449="Sin Pago","",IFERROR(INDEX(Pagos_Odoo!$C:$C, MATCH(X2449, Pagos_Odoo!$B:$B, 0)), ""))</f>
        <v/>
      </c>
      <c r="Z2449" s="80">
        <f>IF(X2449="Sin Pago","",IFERROR(INDEX(Pagos_Odoo!$A:$A, MATCH(X2449, Pagos_Odoo!$B:$B, 0)), ""))</f>
        <v/>
      </c>
      <c r="AA2449" s="79">
        <f>IF(X2449="Sin Pago","",IFERROR(INDEX(Pagos_Odoo!$F:$F, MATCH(X2449, Pagos_Odoo!$B:$B, 0)), ""))</f>
        <v/>
      </c>
      <c r="AB2449" s="81">
        <f>IF(X2449="Sin Pago",0,IFERROR(INDEX(Pagos_Odoo!$E:$E, MATCH(X2449, Pagos_Odoo!$B:$B, 0)), 0))</f>
        <v/>
      </c>
      <c r="AC2449" s="79">
        <f>IF(X2449="Sin Pago","",IFERROR(INDEX(Pagos_Odoo!$G:$G, MATCH(X2449, Pagos_Odoo!$B:$B, 0)), ""))</f>
        <v/>
      </c>
      <c r="AD2449" s="82" t="n">
        <v>0</v>
      </c>
      <c r="AE2449" s="82" t="n"/>
      <c r="AF2449" s="82" t="n"/>
      <c r="AG2449" s="82">
        <f>IF(AN2449="","",AD2449+AE2449+AF2449)</f>
        <v/>
      </c>
      <c r="AH2449" s="81">
        <f>IF(AN2449="","",P2449*(1-AG2449))</f>
        <v/>
      </c>
      <c r="AI2449" s="81">
        <f>IF(AN2449="","",IF(Q2449="Sin Factura",0,IFERROR(INDEX(Facturas_Odoo!$H:$H, MATCH(Q2449, Facturas_Odoo!$B:$B, 0)), 0)*(1-AG2449)))</f>
        <v/>
      </c>
      <c r="AJ2449" s="81">
        <f>IF(AN2449="","",_xlfn.LET(idVenta, AN2449&amp;"",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49" s="81">
        <f>IF(AN2449="","",AH2449-AJ2449)</f>
        <v/>
      </c>
      <c r="AL2449" s="81">
        <f>IF(AN2449="","",IF(Q2449="Sin Factura","",AI2449-AJ2449))</f>
        <v/>
      </c>
      <c r="AM2449" s="81">
        <f>IF(AN2449="","",IF(Q2449="Sin Factura",0,P2449-IFERROR(INDEX(Facturas_Odoo!$H:$H, MATCH(Q2449, Facturas_Odoo!$B:$B, 0)), 0)))</f>
        <v/>
      </c>
      <c r="AN2449" s="79">
        <f>IF(AND(A2449="", J2449=""), "", IF(A2449&lt;&gt;"", VALUE(MID(A2449,2,LEN(A2449))), AN2448))</f>
        <v/>
      </c>
      <c r="AO2449" s="79">
        <f>IF(AN2449="","",IF(AD2449=0,"OK",_xlfn.LET(monedaPago, IF(AA2449="","USD",AA2449), limitePermitido, IFERROR(VLOOKUP(monedaPago, Configuración!$A$2:$B$3, 2, FALSE), 0.15), IF(AD2449&gt;limitePermitido, "ALERTA: EXCESO (" &amp; TEXT(limitePermitido, "0%") &amp; " máx)", "OK"))))</f>
        <v/>
      </c>
      <c r="AP2449" s="79">
        <f>IF(AN2449="","",IF(AE2449=0,"OK",_xlfn.LET(fechaPago, Z2449, fechaFactura, R2449, diasCredito, IF(E2449="Pago inmediato", 0, IFERROR(VALUE(MID(E2449, 1, SEARCH(" ", E2449)-1)),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49" s="79">
        <f>IF(AN2449="","",IF(AND(N2449&gt;0, AG2449&gt;0), IF(Configuración!$K$2="NO", "ALERTA: DESCUENTO DOBLE NO PERMITIDO", "OK"), "OK"))</f>
        <v/>
      </c>
      <c r="AR2449" s="79">
        <f>IF(AN2449="","",IF(OR(AO2449&lt;&gt;"OK", AP2449&lt;&gt;"OK", AQ2449&lt;&gt;"OK"), "⚠️ REVISAR", "OK"))</f>
        <v/>
      </c>
    </row>
    <row r="2450">
      <c r="A2450" s="79">
        <f>IF('Ordenes_Odoo'!A2450="","",'Ordenes_Odoo'!A2450)</f>
        <v/>
      </c>
      <c r="B2450" s="80">
        <f>IF('Ordenes_Odoo'!B2450="","",'Ordenes_Odoo'!B2450)</f>
        <v/>
      </c>
      <c r="C2450" s="79">
        <f>IF('Ordenes_Odoo'!C2450="","",'Ordenes_Odoo'!C2450)</f>
        <v/>
      </c>
      <c r="D2450" s="79">
        <f>IF('Ordenes_Odoo'!D2450="","",'Ordenes_Odoo'!D2450)</f>
        <v/>
      </c>
      <c r="E2450" s="79">
        <f>IF('Ordenes_Odoo'!E2450="","",'Ordenes_Odoo'!E2450)</f>
        <v/>
      </c>
      <c r="F2450" s="79">
        <f>IF('Ordenes_Odoo'!F2450="","",'Ordenes_Odoo'!F2450)</f>
        <v/>
      </c>
      <c r="G2450" s="79">
        <f>IF('Ordenes_Odoo'!G2450="","",'Ordenes_Odoo'!G2450)</f>
        <v/>
      </c>
      <c r="H2450" s="79">
        <f>IF('Ordenes_Odoo'!H2450="","",'Ordenes_Odoo'!H2450)</f>
        <v/>
      </c>
      <c r="I2450" s="79">
        <f>IF('Ordenes_Odoo'!I2450="","",'Ordenes_Odoo'!I2450)</f>
        <v/>
      </c>
      <c r="J2450" s="79">
        <f>IF('Ordenes_Odoo'!J2450="","",'Ordenes_Odoo'!J2450)</f>
        <v/>
      </c>
      <c r="K2450" s="81">
        <f>IF('Ordenes_Odoo'!K2450="","",'Ordenes_Odoo'!K2450)</f>
        <v/>
      </c>
      <c r="L2450" s="81">
        <f>IF('Ordenes_Odoo'!L2450="","",'Ordenes_Odoo'!L2450)</f>
        <v/>
      </c>
      <c r="M2450" s="79">
        <f>IF('Ordenes_Odoo'!M2450="","",'Ordenes_Odoo'!M2450)</f>
        <v/>
      </c>
      <c r="N2450" s="79">
        <f>IF('Ordenes_Odoo'!N2450="","",'Ordenes_Odoo'!N2450)</f>
        <v/>
      </c>
      <c r="O2450" s="81">
        <f>IF('Ordenes_Odoo'!O2450="","",'Ordenes_Odoo'!O2450)</f>
        <v/>
      </c>
      <c r="P2450" s="81">
        <f>IF('Ordenes_Odoo'!P2450="","",'Ordenes_Odoo'!P2450)</f>
        <v/>
      </c>
      <c r="Q2450" s="79">
        <f>IF(A2450="","",IFERROR(INDEX(Facturas_Odoo!$B:$B, MATCH(A2450, Facturas_Odoo!$D:$D, 0)), "Sin Factura"))</f>
        <v/>
      </c>
      <c r="R2450" s="80">
        <f>IF(Q2450="Sin Factura","",IFERROR(INDEX(Facturas_Odoo!$A:$A, MATCH(Q2450, Facturas_Odoo!$B:$B, 0)), ""))</f>
        <v/>
      </c>
      <c r="S2450" s="79">
        <f>IF(Q2450="Sin Factura","",IFERROR(_xlfn.XLOOKUP(1, (Facturas_Odoo!$D:$D=A2450) * (Facturas_Odoo!$K:$K=I2450), Facturas_Odoo!$L:$L, ""), ""))</f>
        <v/>
      </c>
      <c r="T2450" s="81">
        <f>IF(Q2450="Sin Factura",0,IFERROR(_xlfn.XLOOKUP(1, (Facturas_Odoo!$D:$D=A2450) * (Facturas_Odoo!$K:$K=I2450), Facturas_Odoo!$M:$M, 0), 0))</f>
        <v/>
      </c>
      <c r="U2450" s="79">
        <f>IF(Q2450="Sin Factura",0,IFERROR(_xlfn.XLOOKUP(1, (Facturas_Odoo!$D:$D=A2450) * (Facturas_Odoo!$K:$K=I2450), Facturas_Odoo!$N:$N, 0), 0))</f>
        <v/>
      </c>
      <c r="V2450" s="79">
        <f>IF(Q2450="Sin Factura",0,IFERROR(_xlfn.XLOOKUP(1, (Facturas_Odoo!$D:$D=A2450) * (Facturas_Odoo!$K:$K=I2450), Facturas_Odoo!$O:$O, 0), 0))</f>
        <v/>
      </c>
      <c r="W2450" s="81">
        <f>IF(Q2450="Sin Factura",0,IFERROR(_xlfn.XLOOKUP(1, (Facturas_Odoo!$D:$D=A2450) * (Facturas_Odoo!$K:$K=I2450), Facturas_Odoo!$Q:$Q, 0), 0))</f>
        <v/>
      </c>
      <c r="X2450" s="79">
        <f>IF(OR(Q2450="Sin Factura",Q2450=""),"",IFERROR(INDEX(Pagos_Odoo!$B:$B, MATCH(Q2450, Pagos_Odoo!$I:$I, 0)), "Sin Pago"))</f>
        <v/>
      </c>
      <c r="Y2450" s="79">
        <f>IF(X2450="Sin Pago","",IFERROR(INDEX(Pagos_Odoo!$C:$C, MATCH(X2450, Pagos_Odoo!$B:$B, 0)), ""))</f>
        <v/>
      </c>
      <c r="Z2450" s="80">
        <f>IF(X2450="Sin Pago","",IFERROR(INDEX(Pagos_Odoo!$A:$A, MATCH(X2450, Pagos_Odoo!$B:$B, 0)), ""))</f>
        <v/>
      </c>
      <c r="AA2450" s="79">
        <f>IF(X2450="Sin Pago","",IFERROR(INDEX(Pagos_Odoo!$F:$F, MATCH(X2450, Pagos_Odoo!$B:$B, 0)), ""))</f>
        <v/>
      </c>
      <c r="AB2450" s="81">
        <f>IF(X2450="Sin Pago",0,IFERROR(INDEX(Pagos_Odoo!$E:$E, MATCH(X2450, Pagos_Odoo!$B:$B, 0)), 0))</f>
        <v/>
      </c>
      <c r="AC2450" s="79">
        <f>IF(X2450="Sin Pago","",IFERROR(INDEX(Pagos_Odoo!$G:$G, MATCH(X2450, Pagos_Odoo!$B:$B, 0)), ""))</f>
        <v/>
      </c>
      <c r="AD2450" s="82" t="n">
        <v>0</v>
      </c>
      <c r="AE2450" s="82" t="n"/>
      <c r="AF2450" s="82" t="n"/>
      <c r="AG2450" s="82">
        <f>IF(AN2450="","",AD2450+AE2450+AF2450)</f>
        <v/>
      </c>
      <c r="AH2450" s="81">
        <f>IF(AN2450="","",P2450*(1-AG2450))</f>
        <v/>
      </c>
      <c r="AI2450" s="81">
        <f>IF(AN2450="","",IF(Q2450="Sin Factura",0,IFERROR(INDEX(Facturas_Odoo!$H:$H, MATCH(Q2450, Facturas_Odoo!$B:$B, 0)), 0)*(1-AG2450)))</f>
        <v/>
      </c>
      <c r="AJ2450" s="81">
        <f>IF(AN2450="","",_xlfn.LET(idVenta, AN2450&amp;"",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50" s="81">
        <f>IF(AN2450="","",AH2450-AJ2450)</f>
        <v/>
      </c>
      <c r="AL2450" s="81">
        <f>IF(AN2450="","",IF(Q2450="Sin Factura","",AI2450-AJ2450))</f>
        <v/>
      </c>
      <c r="AM2450" s="81">
        <f>IF(AN2450="","",IF(Q2450="Sin Factura",0,P2450-IFERROR(INDEX(Facturas_Odoo!$H:$H, MATCH(Q2450, Facturas_Odoo!$B:$B, 0)), 0)))</f>
        <v/>
      </c>
      <c r="AN2450" s="79">
        <f>IF(AND(A2450="", J2450=""), "", IF(A2450&lt;&gt;"", VALUE(MID(A2450,2,LEN(A2450))), AN2449))</f>
        <v/>
      </c>
      <c r="AO2450" s="79">
        <f>IF(AN2450="","",IF(AD2450=0,"OK",_xlfn.LET(monedaPago, IF(AA2450="","USD",AA2450), limitePermitido, IFERROR(VLOOKUP(monedaPago, Configuración!$A$2:$B$3, 2, FALSE), 0.15), IF(AD2450&gt;limitePermitido, "ALERTA: EXCESO (" &amp; TEXT(limitePermitido, "0%") &amp; " máx)", "OK"))))</f>
        <v/>
      </c>
      <c r="AP2450" s="79">
        <f>IF(AN2450="","",IF(AE2450=0,"OK",_xlfn.LET(fechaPago, Z2450, fechaFactura, R2450, diasCredito, IF(E2450="Pago inmediato", 0, IFERROR(VALUE(MID(E2450, 1, SEARCH(" ", E2450)-1)),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50" s="79">
        <f>IF(AN2450="","",IF(AND(N2450&gt;0, AG2450&gt;0), IF(Configuración!$K$2="NO", "ALERTA: DESCUENTO DOBLE NO PERMITIDO", "OK"), "OK"))</f>
        <v/>
      </c>
      <c r="AR2450" s="79">
        <f>IF(AN2450="","",IF(OR(AO2450&lt;&gt;"OK", AP2450&lt;&gt;"OK", AQ2450&lt;&gt;"OK"), "⚠️ REVISAR", "OK"))</f>
        <v/>
      </c>
    </row>
    <row r="2451">
      <c r="A2451" s="79">
        <f>IF('Ordenes_Odoo'!A2451="","",'Ordenes_Odoo'!A2451)</f>
        <v/>
      </c>
      <c r="B2451" s="80">
        <f>IF('Ordenes_Odoo'!B2451="","",'Ordenes_Odoo'!B2451)</f>
        <v/>
      </c>
      <c r="C2451" s="79">
        <f>IF('Ordenes_Odoo'!C2451="","",'Ordenes_Odoo'!C2451)</f>
        <v/>
      </c>
      <c r="D2451" s="79">
        <f>IF('Ordenes_Odoo'!D2451="","",'Ordenes_Odoo'!D2451)</f>
        <v/>
      </c>
      <c r="E2451" s="79">
        <f>IF('Ordenes_Odoo'!E2451="","",'Ordenes_Odoo'!E2451)</f>
        <v/>
      </c>
      <c r="F2451" s="79">
        <f>IF('Ordenes_Odoo'!F2451="","",'Ordenes_Odoo'!F2451)</f>
        <v/>
      </c>
      <c r="G2451" s="79">
        <f>IF('Ordenes_Odoo'!G2451="","",'Ordenes_Odoo'!G2451)</f>
        <v/>
      </c>
      <c r="H2451" s="79">
        <f>IF('Ordenes_Odoo'!H2451="","",'Ordenes_Odoo'!H2451)</f>
        <v/>
      </c>
      <c r="I2451" s="79">
        <f>IF('Ordenes_Odoo'!I2451="","",'Ordenes_Odoo'!I2451)</f>
        <v/>
      </c>
      <c r="J2451" s="79">
        <f>IF('Ordenes_Odoo'!J2451="","",'Ordenes_Odoo'!J2451)</f>
        <v/>
      </c>
      <c r="K2451" s="81">
        <f>IF('Ordenes_Odoo'!K2451="","",'Ordenes_Odoo'!K2451)</f>
        <v/>
      </c>
      <c r="L2451" s="81">
        <f>IF('Ordenes_Odoo'!L2451="","",'Ordenes_Odoo'!L2451)</f>
        <v/>
      </c>
      <c r="M2451" s="79">
        <f>IF('Ordenes_Odoo'!M2451="","",'Ordenes_Odoo'!M2451)</f>
        <v/>
      </c>
      <c r="N2451" s="79">
        <f>IF('Ordenes_Odoo'!N2451="","",'Ordenes_Odoo'!N2451)</f>
        <v/>
      </c>
      <c r="O2451" s="81">
        <f>IF('Ordenes_Odoo'!O2451="","",'Ordenes_Odoo'!O2451)</f>
        <v/>
      </c>
      <c r="P2451" s="81">
        <f>IF('Ordenes_Odoo'!P2451="","",'Ordenes_Odoo'!P2451)</f>
        <v/>
      </c>
      <c r="Q2451" s="79">
        <f>IF(A2451="","",IFERROR(INDEX(Facturas_Odoo!$B:$B, MATCH(A2451, Facturas_Odoo!$D:$D, 0)), "Sin Factura"))</f>
        <v/>
      </c>
      <c r="R2451" s="80">
        <f>IF(Q2451="Sin Factura","",IFERROR(INDEX(Facturas_Odoo!$A:$A, MATCH(Q2451, Facturas_Odoo!$B:$B, 0)), ""))</f>
        <v/>
      </c>
      <c r="S2451" s="79">
        <f>IF(Q2451="Sin Factura","",IFERROR(_xlfn.XLOOKUP(1, (Facturas_Odoo!$D:$D=A2451) * (Facturas_Odoo!$K:$K=I2451), Facturas_Odoo!$L:$L, ""), ""))</f>
        <v/>
      </c>
      <c r="T2451" s="81">
        <f>IF(Q2451="Sin Factura",0,IFERROR(_xlfn.XLOOKUP(1, (Facturas_Odoo!$D:$D=A2451) * (Facturas_Odoo!$K:$K=I2451), Facturas_Odoo!$M:$M, 0), 0))</f>
        <v/>
      </c>
      <c r="U2451" s="79">
        <f>IF(Q2451="Sin Factura",0,IFERROR(_xlfn.XLOOKUP(1, (Facturas_Odoo!$D:$D=A2451) * (Facturas_Odoo!$K:$K=I2451), Facturas_Odoo!$N:$N, 0), 0))</f>
        <v/>
      </c>
      <c r="V2451" s="79">
        <f>IF(Q2451="Sin Factura",0,IFERROR(_xlfn.XLOOKUP(1, (Facturas_Odoo!$D:$D=A2451) * (Facturas_Odoo!$K:$K=I2451), Facturas_Odoo!$O:$O, 0), 0))</f>
        <v/>
      </c>
      <c r="W2451" s="81">
        <f>IF(Q2451="Sin Factura",0,IFERROR(_xlfn.XLOOKUP(1, (Facturas_Odoo!$D:$D=A2451) * (Facturas_Odoo!$K:$K=I2451), Facturas_Odoo!$Q:$Q, 0), 0))</f>
        <v/>
      </c>
      <c r="X2451" s="79">
        <f>IF(OR(Q2451="Sin Factura",Q2451=""),"",IFERROR(INDEX(Pagos_Odoo!$B:$B, MATCH(Q2451, Pagos_Odoo!$I:$I, 0)), "Sin Pago"))</f>
        <v/>
      </c>
      <c r="Y2451" s="79">
        <f>IF(X2451="Sin Pago","",IFERROR(INDEX(Pagos_Odoo!$C:$C, MATCH(X2451, Pagos_Odoo!$B:$B, 0)), ""))</f>
        <v/>
      </c>
      <c r="Z2451" s="80">
        <f>IF(X2451="Sin Pago","",IFERROR(INDEX(Pagos_Odoo!$A:$A, MATCH(X2451, Pagos_Odoo!$B:$B, 0)), ""))</f>
        <v/>
      </c>
      <c r="AA2451" s="79">
        <f>IF(X2451="Sin Pago","",IFERROR(INDEX(Pagos_Odoo!$F:$F, MATCH(X2451, Pagos_Odoo!$B:$B, 0)), ""))</f>
        <v/>
      </c>
      <c r="AB2451" s="81">
        <f>IF(X2451="Sin Pago",0,IFERROR(INDEX(Pagos_Odoo!$E:$E, MATCH(X2451, Pagos_Odoo!$B:$B, 0)), 0))</f>
        <v/>
      </c>
      <c r="AC2451" s="79">
        <f>IF(X2451="Sin Pago","",IFERROR(INDEX(Pagos_Odoo!$G:$G, MATCH(X2451, Pagos_Odoo!$B:$B, 0)), ""))</f>
        <v/>
      </c>
      <c r="AD2451" s="82" t="n">
        <v>0</v>
      </c>
      <c r="AE2451" s="82" t="n"/>
      <c r="AF2451" s="82" t="n"/>
      <c r="AG2451" s="82">
        <f>IF(AN2451="","",AD2451+AE2451+AF2451)</f>
        <v/>
      </c>
      <c r="AH2451" s="81">
        <f>IF(AN2451="","",P2451*(1-AG2451))</f>
        <v/>
      </c>
      <c r="AI2451" s="81">
        <f>IF(AN2451="","",IF(Q2451="Sin Factura",0,IFERROR(INDEX(Facturas_Odoo!$H:$H, MATCH(Q2451, Facturas_Odoo!$B:$B, 0)), 0)*(1-AG2451)))</f>
        <v/>
      </c>
      <c r="AJ2451" s="81">
        <f>IF(AN2451="","",_xlfn.LET(idVenta, AN2451&amp;"",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51" s="81">
        <f>IF(AN2451="","",AH2451-AJ2451)</f>
        <v/>
      </c>
      <c r="AL2451" s="81">
        <f>IF(AN2451="","",IF(Q2451="Sin Factura","",AI2451-AJ2451))</f>
        <v/>
      </c>
      <c r="AM2451" s="81">
        <f>IF(AN2451="","",IF(Q2451="Sin Factura",0,P2451-IFERROR(INDEX(Facturas_Odoo!$H:$H, MATCH(Q2451, Facturas_Odoo!$B:$B, 0)), 0)))</f>
        <v/>
      </c>
      <c r="AN2451" s="79">
        <f>IF(AND(A2451="", J2451=""), "", IF(A2451&lt;&gt;"", VALUE(MID(A2451,2,LEN(A2451))), AN2450))</f>
        <v/>
      </c>
      <c r="AO2451" s="79">
        <f>IF(AN2451="","",IF(AD2451=0,"OK",_xlfn.LET(monedaPago, IF(AA2451="","USD",AA2451), limitePermitido, IFERROR(VLOOKUP(monedaPago, Configuración!$A$2:$B$3, 2, FALSE), 0.15), IF(AD2451&gt;limitePermitido, "ALERTA: EXCESO (" &amp; TEXT(limitePermitido, "0%") &amp; " máx)", "OK"))))</f>
        <v/>
      </c>
      <c r="AP2451" s="79">
        <f>IF(AN2451="","",IF(AE2451=0,"OK",_xlfn.LET(fechaPago, Z2451, fechaFactura, R2451, diasCredito, IF(E2451="Pago inmediato", 0, IFERROR(VALUE(MID(E2451, 1, SEARCH(" ", E2451)-1)),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51" s="79">
        <f>IF(AN2451="","",IF(AND(N2451&gt;0, AG2451&gt;0), IF(Configuración!$K$2="NO", "ALERTA: DESCUENTO DOBLE NO PERMITIDO", "OK"), "OK"))</f>
        <v/>
      </c>
      <c r="AR2451" s="79">
        <f>IF(AN2451="","",IF(OR(AO2451&lt;&gt;"OK", AP2451&lt;&gt;"OK", AQ2451&lt;&gt;"OK"), "⚠️ REVISAR", "OK"))</f>
        <v/>
      </c>
    </row>
    <row r="2452">
      <c r="A2452" s="79">
        <f>IF('Ordenes_Odoo'!A2452="","",'Ordenes_Odoo'!A2452)</f>
        <v/>
      </c>
      <c r="B2452" s="80">
        <f>IF('Ordenes_Odoo'!B2452="","",'Ordenes_Odoo'!B2452)</f>
        <v/>
      </c>
      <c r="C2452" s="79">
        <f>IF('Ordenes_Odoo'!C2452="","",'Ordenes_Odoo'!C2452)</f>
        <v/>
      </c>
      <c r="D2452" s="79">
        <f>IF('Ordenes_Odoo'!D2452="","",'Ordenes_Odoo'!D2452)</f>
        <v/>
      </c>
      <c r="E2452" s="79">
        <f>IF('Ordenes_Odoo'!E2452="","",'Ordenes_Odoo'!E2452)</f>
        <v/>
      </c>
      <c r="F2452" s="79">
        <f>IF('Ordenes_Odoo'!F2452="","",'Ordenes_Odoo'!F2452)</f>
        <v/>
      </c>
      <c r="G2452" s="79">
        <f>IF('Ordenes_Odoo'!G2452="","",'Ordenes_Odoo'!G2452)</f>
        <v/>
      </c>
      <c r="H2452" s="79">
        <f>IF('Ordenes_Odoo'!H2452="","",'Ordenes_Odoo'!H2452)</f>
        <v/>
      </c>
      <c r="I2452" s="79">
        <f>IF('Ordenes_Odoo'!I2452="","",'Ordenes_Odoo'!I2452)</f>
        <v/>
      </c>
      <c r="J2452" s="79">
        <f>IF('Ordenes_Odoo'!J2452="","",'Ordenes_Odoo'!J2452)</f>
        <v/>
      </c>
      <c r="K2452" s="81">
        <f>IF('Ordenes_Odoo'!K2452="","",'Ordenes_Odoo'!K2452)</f>
        <v/>
      </c>
      <c r="L2452" s="81">
        <f>IF('Ordenes_Odoo'!L2452="","",'Ordenes_Odoo'!L2452)</f>
        <v/>
      </c>
      <c r="M2452" s="79">
        <f>IF('Ordenes_Odoo'!M2452="","",'Ordenes_Odoo'!M2452)</f>
        <v/>
      </c>
      <c r="N2452" s="79">
        <f>IF('Ordenes_Odoo'!N2452="","",'Ordenes_Odoo'!N2452)</f>
        <v/>
      </c>
      <c r="O2452" s="81">
        <f>IF('Ordenes_Odoo'!O2452="","",'Ordenes_Odoo'!O2452)</f>
        <v/>
      </c>
      <c r="P2452" s="81">
        <f>IF('Ordenes_Odoo'!P2452="","",'Ordenes_Odoo'!P2452)</f>
        <v/>
      </c>
      <c r="Q2452" s="79">
        <f>IF(A2452="","",IFERROR(INDEX(Facturas_Odoo!$B:$B, MATCH(A2452, Facturas_Odoo!$D:$D, 0)), "Sin Factura"))</f>
        <v/>
      </c>
      <c r="R2452" s="80">
        <f>IF(Q2452="Sin Factura","",IFERROR(INDEX(Facturas_Odoo!$A:$A, MATCH(Q2452, Facturas_Odoo!$B:$B, 0)), ""))</f>
        <v/>
      </c>
      <c r="S2452" s="79">
        <f>IF(Q2452="Sin Factura","",IFERROR(_xlfn.XLOOKUP(1, (Facturas_Odoo!$D:$D=A2452) * (Facturas_Odoo!$K:$K=I2452), Facturas_Odoo!$L:$L, ""), ""))</f>
        <v/>
      </c>
      <c r="T2452" s="81">
        <f>IF(Q2452="Sin Factura",0,IFERROR(_xlfn.XLOOKUP(1, (Facturas_Odoo!$D:$D=A2452) * (Facturas_Odoo!$K:$K=I2452), Facturas_Odoo!$M:$M, 0), 0))</f>
        <v/>
      </c>
      <c r="U2452" s="79">
        <f>IF(Q2452="Sin Factura",0,IFERROR(_xlfn.XLOOKUP(1, (Facturas_Odoo!$D:$D=A2452) * (Facturas_Odoo!$K:$K=I2452), Facturas_Odoo!$N:$N, 0), 0))</f>
        <v/>
      </c>
      <c r="V2452" s="79">
        <f>IF(Q2452="Sin Factura",0,IFERROR(_xlfn.XLOOKUP(1, (Facturas_Odoo!$D:$D=A2452) * (Facturas_Odoo!$K:$K=I2452), Facturas_Odoo!$O:$O, 0), 0))</f>
        <v/>
      </c>
      <c r="W2452" s="81">
        <f>IF(Q2452="Sin Factura",0,IFERROR(_xlfn.XLOOKUP(1, (Facturas_Odoo!$D:$D=A2452) * (Facturas_Odoo!$K:$K=I2452), Facturas_Odoo!$Q:$Q, 0), 0))</f>
        <v/>
      </c>
      <c r="X2452" s="79">
        <f>IF(OR(Q2452="Sin Factura",Q2452=""),"",IFERROR(INDEX(Pagos_Odoo!$B:$B, MATCH(Q2452, Pagos_Odoo!$I:$I, 0)), "Sin Pago"))</f>
        <v/>
      </c>
      <c r="Y2452" s="79">
        <f>IF(X2452="Sin Pago","",IFERROR(INDEX(Pagos_Odoo!$C:$C, MATCH(X2452, Pagos_Odoo!$B:$B, 0)), ""))</f>
        <v/>
      </c>
      <c r="Z2452" s="80">
        <f>IF(X2452="Sin Pago","",IFERROR(INDEX(Pagos_Odoo!$A:$A, MATCH(X2452, Pagos_Odoo!$B:$B, 0)), ""))</f>
        <v/>
      </c>
      <c r="AA2452" s="79">
        <f>IF(X2452="Sin Pago","",IFERROR(INDEX(Pagos_Odoo!$F:$F, MATCH(X2452, Pagos_Odoo!$B:$B, 0)), ""))</f>
        <v/>
      </c>
      <c r="AB2452" s="81">
        <f>IF(X2452="Sin Pago",0,IFERROR(INDEX(Pagos_Odoo!$E:$E, MATCH(X2452, Pagos_Odoo!$B:$B, 0)), 0))</f>
        <v/>
      </c>
      <c r="AC2452" s="79">
        <f>IF(X2452="Sin Pago","",IFERROR(INDEX(Pagos_Odoo!$G:$G, MATCH(X2452, Pagos_Odoo!$B:$B, 0)), ""))</f>
        <v/>
      </c>
      <c r="AD2452" s="82" t="n">
        <v>0</v>
      </c>
      <c r="AE2452" s="82" t="n"/>
      <c r="AF2452" s="82" t="n"/>
      <c r="AG2452" s="82">
        <f>IF(AN2452="","",AD2452+AE2452+AF2452)</f>
        <v/>
      </c>
      <c r="AH2452" s="81">
        <f>IF(AN2452="","",P2452*(1-AG2452))</f>
        <v/>
      </c>
      <c r="AI2452" s="81">
        <f>IF(AN2452="","",IF(Q2452="Sin Factura",0,IFERROR(INDEX(Facturas_Odoo!$H:$H, MATCH(Q2452, Facturas_Odoo!$B:$B, 0)), 0)*(1-AG2452)))</f>
        <v/>
      </c>
      <c r="AJ2452" s="81">
        <f>IF(AN2452="","",_xlfn.LET(idVenta, AN2452&amp;"",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52" s="81">
        <f>IF(AN2452="","",AH2452-AJ2452)</f>
        <v/>
      </c>
      <c r="AL2452" s="81">
        <f>IF(AN2452="","",IF(Q2452="Sin Factura","",AI2452-AJ2452))</f>
        <v/>
      </c>
      <c r="AM2452" s="81">
        <f>IF(AN2452="","",IF(Q2452="Sin Factura",0,P2452-IFERROR(INDEX(Facturas_Odoo!$H:$H, MATCH(Q2452, Facturas_Odoo!$B:$B, 0)), 0)))</f>
        <v/>
      </c>
      <c r="AN2452" s="79">
        <f>IF(AND(A2452="", J2452=""), "", IF(A2452&lt;&gt;"", VALUE(MID(A2452,2,LEN(A2452))), AN2451))</f>
        <v/>
      </c>
      <c r="AO2452" s="79">
        <f>IF(AN2452="","",IF(AD2452=0,"OK",_xlfn.LET(monedaPago, IF(AA2452="","USD",AA2452), limitePermitido, IFERROR(VLOOKUP(monedaPago, Configuración!$A$2:$B$3, 2, FALSE), 0.15), IF(AD2452&gt;limitePermitido, "ALERTA: EXCESO (" &amp; TEXT(limitePermitido, "0%") &amp; " máx)", "OK"))))</f>
        <v/>
      </c>
      <c r="AP2452" s="79">
        <f>IF(AN2452="","",IF(AE2452=0,"OK",_xlfn.LET(fechaPago, Z2452, fechaFactura, R2452, diasCredito, IF(E2452="Pago inmediato", 0, IFERROR(VALUE(MID(E2452, 1, SEARCH(" ", E2452)-1)),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52" s="79">
        <f>IF(AN2452="","",IF(AND(N2452&gt;0, AG2452&gt;0), IF(Configuración!$K$2="NO", "ALERTA: DESCUENTO DOBLE NO PERMITIDO", "OK"), "OK"))</f>
        <v/>
      </c>
      <c r="AR2452" s="79">
        <f>IF(AN2452="","",IF(OR(AO2452&lt;&gt;"OK", AP2452&lt;&gt;"OK", AQ2452&lt;&gt;"OK"), "⚠️ REVISAR", "OK"))</f>
        <v/>
      </c>
    </row>
    <row r="2453">
      <c r="A2453" s="79">
        <f>IF('Ordenes_Odoo'!A2453="","",'Ordenes_Odoo'!A2453)</f>
        <v/>
      </c>
      <c r="B2453" s="80">
        <f>IF('Ordenes_Odoo'!B2453="","",'Ordenes_Odoo'!B2453)</f>
        <v/>
      </c>
      <c r="C2453" s="79">
        <f>IF('Ordenes_Odoo'!C2453="","",'Ordenes_Odoo'!C2453)</f>
        <v/>
      </c>
      <c r="D2453" s="79">
        <f>IF('Ordenes_Odoo'!D2453="","",'Ordenes_Odoo'!D2453)</f>
        <v/>
      </c>
      <c r="E2453" s="79">
        <f>IF('Ordenes_Odoo'!E2453="","",'Ordenes_Odoo'!E2453)</f>
        <v/>
      </c>
      <c r="F2453" s="79">
        <f>IF('Ordenes_Odoo'!F2453="","",'Ordenes_Odoo'!F2453)</f>
        <v/>
      </c>
      <c r="G2453" s="79">
        <f>IF('Ordenes_Odoo'!G2453="","",'Ordenes_Odoo'!G2453)</f>
        <v/>
      </c>
      <c r="H2453" s="79">
        <f>IF('Ordenes_Odoo'!H2453="","",'Ordenes_Odoo'!H2453)</f>
        <v/>
      </c>
      <c r="I2453" s="79">
        <f>IF('Ordenes_Odoo'!I2453="","",'Ordenes_Odoo'!I2453)</f>
        <v/>
      </c>
      <c r="J2453" s="79">
        <f>IF('Ordenes_Odoo'!J2453="","",'Ordenes_Odoo'!J2453)</f>
        <v/>
      </c>
      <c r="K2453" s="81">
        <f>IF('Ordenes_Odoo'!K2453="","",'Ordenes_Odoo'!K2453)</f>
        <v/>
      </c>
      <c r="L2453" s="81">
        <f>IF('Ordenes_Odoo'!L2453="","",'Ordenes_Odoo'!L2453)</f>
        <v/>
      </c>
      <c r="M2453" s="79">
        <f>IF('Ordenes_Odoo'!M2453="","",'Ordenes_Odoo'!M2453)</f>
        <v/>
      </c>
      <c r="N2453" s="79">
        <f>IF('Ordenes_Odoo'!N2453="","",'Ordenes_Odoo'!N2453)</f>
        <v/>
      </c>
      <c r="O2453" s="81">
        <f>IF('Ordenes_Odoo'!O2453="","",'Ordenes_Odoo'!O2453)</f>
        <v/>
      </c>
      <c r="P2453" s="81">
        <f>IF('Ordenes_Odoo'!P2453="","",'Ordenes_Odoo'!P2453)</f>
        <v/>
      </c>
      <c r="Q2453" s="79">
        <f>IF(A2453="","",IFERROR(INDEX(Facturas_Odoo!$B:$B, MATCH(A2453, Facturas_Odoo!$D:$D, 0)), "Sin Factura"))</f>
        <v/>
      </c>
      <c r="R2453" s="80">
        <f>IF(Q2453="Sin Factura","",IFERROR(INDEX(Facturas_Odoo!$A:$A, MATCH(Q2453, Facturas_Odoo!$B:$B, 0)), ""))</f>
        <v/>
      </c>
      <c r="S2453" s="79">
        <f>IF(Q2453="Sin Factura","",IFERROR(_xlfn.XLOOKUP(1, (Facturas_Odoo!$D:$D=A2453) * (Facturas_Odoo!$K:$K=I2453), Facturas_Odoo!$L:$L, ""), ""))</f>
        <v/>
      </c>
      <c r="T2453" s="81">
        <f>IF(Q2453="Sin Factura",0,IFERROR(_xlfn.XLOOKUP(1, (Facturas_Odoo!$D:$D=A2453) * (Facturas_Odoo!$K:$K=I2453), Facturas_Odoo!$M:$M, 0), 0))</f>
        <v/>
      </c>
      <c r="U2453" s="79">
        <f>IF(Q2453="Sin Factura",0,IFERROR(_xlfn.XLOOKUP(1, (Facturas_Odoo!$D:$D=A2453) * (Facturas_Odoo!$K:$K=I2453), Facturas_Odoo!$N:$N, 0), 0))</f>
        <v/>
      </c>
      <c r="V2453" s="79">
        <f>IF(Q2453="Sin Factura",0,IFERROR(_xlfn.XLOOKUP(1, (Facturas_Odoo!$D:$D=A2453) * (Facturas_Odoo!$K:$K=I2453), Facturas_Odoo!$O:$O, 0), 0))</f>
        <v/>
      </c>
      <c r="W2453" s="81">
        <f>IF(Q2453="Sin Factura",0,IFERROR(_xlfn.XLOOKUP(1, (Facturas_Odoo!$D:$D=A2453) * (Facturas_Odoo!$K:$K=I2453), Facturas_Odoo!$Q:$Q, 0), 0))</f>
        <v/>
      </c>
      <c r="X2453" s="79">
        <f>IF(OR(Q2453="Sin Factura",Q2453=""),"",IFERROR(INDEX(Pagos_Odoo!$B:$B, MATCH(Q2453, Pagos_Odoo!$I:$I, 0)), "Sin Pago"))</f>
        <v/>
      </c>
      <c r="Y2453" s="79">
        <f>IF(X2453="Sin Pago","",IFERROR(INDEX(Pagos_Odoo!$C:$C, MATCH(X2453, Pagos_Odoo!$B:$B, 0)), ""))</f>
        <v/>
      </c>
      <c r="Z2453" s="80">
        <f>IF(X2453="Sin Pago","",IFERROR(INDEX(Pagos_Odoo!$A:$A, MATCH(X2453, Pagos_Odoo!$B:$B, 0)), ""))</f>
        <v/>
      </c>
      <c r="AA2453" s="79">
        <f>IF(X2453="Sin Pago","",IFERROR(INDEX(Pagos_Odoo!$F:$F, MATCH(X2453, Pagos_Odoo!$B:$B, 0)), ""))</f>
        <v/>
      </c>
      <c r="AB2453" s="81">
        <f>IF(X2453="Sin Pago",0,IFERROR(INDEX(Pagos_Odoo!$E:$E, MATCH(X2453, Pagos_Odoo!$B:$B, 0)), 0))</f>
        <v/>
      </c>
      <c r="AC2453" s="79">
        <f>IF(X2453="Sin Pago","",IFERROR(INDEX(Pagos_Odoo!$G:$G, MATCH(X2453, Pagos_Odoo!$B:$B, 0)), ""))</f>
        <v/>
      </c>
      <c r="AD2453" s="82" t="n">
        <v>0</v>
      </c>
      <c r="AE2453" s="82" t="n"/>
      <c r="AF2453" s="82" t="n"/>
      <c r="AG2453" s="82">
        <f>IF(AN2453="","",AD2453+AE2453+AF2453)</f>
        <v/>
      </c>
      <c r="AH2453" s="81">
        <f>IF(AN2453="","",P2453*(1-AG2453))</f>
        <v/>
      </c>
      <c r="AI2453" s="81">
        <f>IF(AN2453="","",IF(Q2453="Sin Factura",0,IFERROR(INDEX(Facturas_Odoo!$H:$H, MATCH(Q2453, Facturas_Odoo!$B:$B, 0)), 0)*(1-AG2453)))</f>
        <v/>
      </c>
      <c r="AJ2453" s="81">
        <f>IF(AN2453="","",_xlfn.LET(idVenta, AN2453&amp;"",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53" s="81">
        <f>IF(AN2453="","",AH2453-AJ2453)</f>
        <v/>
      </c>
      <c r="AL2453" s="81">
        <f>IF(AN2453="","",IF(Q2453="Sin Factura","",AI2453-AJ2453))</f>
        <v/>
      </c>
      <c r="AM2453" s="81">
        <f>IF(AN2453="","",IF(Q2453="Sin Factura",0,P2453-IFERROR(INDEX(Facturas_Odoo!$H:$H, MATCH(Q2453, Facturas_Odoo!$B:$B, 0)), 0)))</f>
        <v/>
      </c>
      <c r="AN2453" s="79">
        <f>IF(AND(A2453="", J2453=""), "", IF(A2453&lt;&gt;"", VALUE(MID(A2453,2,LEN(A2453))), AN2452))</f>
        <v/>
      </c>
      <c r="AO2453" s="79">
        <f>IF(AN2453="","",IF(AD2453=0,"OK",_xlfn.LET(monedaPago, IF(AA2453="","USD",AA2453), limitePermitido, IFERROR(VLOOKUP(monedaPago, Configuración!$A$2:$B$3, 2, FALSE), 0.15), IF(AD2453&gt;limitePermitido, "ALERTA: EXCESO (" &amp; TEXT(limitePermitido, "0%") &amp; " máx)", "OK"))))</f>
        <v/>
      </c>
      <c r="AP2453" s="79">
        <f>IF(AN2453="","",IF(AE2453=0,"OK",_xlfn.LET(fechaPago, Z2453, fechaFactura, R2453, diasCredito, IF(E2453="Pago inmediato", 0, IFERROR(VALUE(MID(E2453, 1, SEARCH(" ", E2453)-1)),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53" s="79">
        <f>IF(AN2453="","",IF(AND(N2453&gt;0, AG2453&gt;0), IF(Configuración!$K$2="NO", "ALERTA: DESCUENTO DOBLE NO PERMITIDO", "OK"), "OK"))</f>
        <v/>
      </c>
      <c r="AR2453" s="79">
        <f>IF(AN2453="","",IF(OR(AO2453&lt;&gt;"OK", AP2453&lt;&gt;"OK", AQ2453&lt;&gt;"OK"), "⚠️ REVISAR", "OK"))</f>
        <v/>
      </c>
    </row>
    <row r="2454">
      <c r="A2454" s="79">
        <f>IF('Ordenes_Odoo'!A2454="","",'Ordenes_Odoo'!A2454)</f>
        <v/>
      </c>
      <c r="B2454" s="80">
        <f>IF('Ordenes_Odoo'!B2454="","",'Ordenes_Odoo'!B2454)</f>
        <v/>
      </c>
      <c r="C2454" s="79">
        <f>IF('Ordenes_Odoo'!C2454="","",'Ordenes_Odoo'!C2454)</f>
        <v/>
      </c>
      <c r="D2454" s="79">
        <f>IF('Ordenes_Odoo'!D2454="","",'Ordenes_Odoo'!D2454)</f>
        <v/>
      </c>
      <c r="E2454" s="79">
        <f>IF('Ordenes_Odoo'!E2454="","",'Ordenes_Odoo'!E2454)</f>
        <v/>
      </c>
      <c r="F2454" s="79">
        <f>IF('Ordenes_Odoo'!F2454="","",'Ordenes_Odoo'!F2454)</f>
        <v/>
      </c>
      <c r="G2454" s="79">
        <f>IF('Ordenes_Odoo'!G2454="","",'Ordenes_Odoo'!G2454)</f>
        <v/>
      </c>
      <c r="H2454" s="79">
        <f>IF('Ordenes_Odoo'!H2454="","",'Ordenes_Odoo'!H2454)</f>
        <v/>
      </c>
      <c r="I2454" s="79">
        <f>IF('Ordenes_Odoo'!I2454="","",'Ordenes_Odoo'!I2454)</f>
        <v/>
      </c>
      <c r="J2454" s="79">
        <f>IF('Ordenes_Odoo'!J2454="","",'Ordenes_Odoo'!J2454)</f>
        <v/>
      </c>
      <c r="K2454" s="81">
        <f>IF('Ordenes_Odoo'!K2454="","",'Ordenes_Odoo'!K2454)</f>
        <v/>
      </c>
      <c r="L2454" s="81">
        <f>IF('Ordenes_Odoo'!L2454="","",'Ordenes_Odoo'!L2454)</f>
        <v/>
      </c>
      <c r="M2454" s="79">
        <f>IF('Ordenes_Odoo'!M2454="","",'Ordenes_Odoo'!M2454)</f>
        <v/>
      </c>
      <c r="N2454" s="79">
        <f>IF('Ordenes_Odoo'!N2454="","",'Ordenes_Odoo'!N2454)</f>
        <v/>
      </c>
      <c r="O2454" s="81">
        <f>IF('Ordenes_Odoo'!O2454="","",'Ordenes_Odoo'!O2454)</f>
        <v/>
      </c>
      <c r="P2454" s="81">
        <f>IF('Ordenes_Odoo'!P2454="","",'Ordenes_Odoo'!P2454)</f>
        <v/>
      </c>
      <c r="Q2454" s="79">
        <f>IF(A2454="","",IFERROR(INDEX(Facturas_Odoo!$B:$B, MATCH(A2454, Facturas_Odoo!$D:$D, 0)), "Sin Factura"))</f>
        <v/>
      </c>
      <c r="R2454" s="80">
        <f>IF(Q2454="Sin Factura","",IFERROR(INDEX(Facturas_Odoo!$A:$A, MATCH(Q2454, Facturas_Odoo!$B:$B, 0)), ""))</f>
        <v/>
      </c>
      <c r="S2454" s="79">
        <f>IF(Q2454="Sin Factura","",IFERROR(_xlfn.XLOOKUP(1, (Facturas_Odoo!$D:$D=A2454) * (Facturas_Odoo!$K:$K=I2454), Facturas_Odoo!$L:$L, ""), ""))</f>
        <v/>
      </c>
      <c r="T2454" s="81">
        <f>IF(Q2454="Sin Factura",0,IFERROR(_xlfn.XLOOKUP(1, (Facturas_Odoo!$D:$D=A2454) * (Facturas_Odoo!$K:$K=I2454), Facturas_Odoo!$M:$M, 0), 0))</f>
        <v/>
      </c>
      <c r="U2454" s="79">
        <f>IF(Q2454="Sin Factura",0,IFERROR(_xlfn.XLOOKUP(1, (Facturas_Odoo!$D:$D=A2454) * (Facturas_Odoo!$K:$K=I2454), Facturas_Odoo!$N:$N, 0), 0))</f>
        <v/>
      </c>
      <c r="V2454" s="79">
        <f>IF(Q2454="Sin Factura",0,IFERROR(_xlfn.XLOOKUP(1, (Facturas_Odoo!$D:$D=A2454) * (Facturas_Odoo!$K:$K=I2454), Facturas_Odoo!$O:$O, 0), 0))</f>
        <v/>
      </c>
      <c r="W2454" s="81">
        <f>IF(Q2454="Sin Factura",0,IFERROR(_xlfn.XLOOKUP(1, (Facturas_Odoo!$D:$D=A2454) * (Facturas_Odoo!$K:$K=I2454), Facturas_Odoo!$Q:$Q, 0), 0))</f>
        <v/>
      </c>
      <c r="X2454" s="79">
        <f>IF(OR(Q2454="Sin Factura",Q2454=""),"",IFERROR(INDEX(Pagos_Odoo!$B:$B, MATCH(Q2454, Pagos_Odoo!$I:$I, 0)), "Sin Pago"))</f>
        <v/>
      </c>
      <c r="Y2454" s="79">
        <f>IF(X2454="Sin Pago","",IFERROR(INDEX(Pagos_Odoo!$C:$C, MATCH(X2454, Pagos_Odoo!$B:$B, 0)), ""))</f>
        <v/>
      </c>
      <c r="Z2454" s="80">
        <f>IF(X2454="Sin Pago","",IFERROR(INDEX(Pagos_Odoo!$A:$A, MATCH(X2454, Pagos_Odoo!$B:$B, 0)), ""))</f>
        <v/>
      </c>
      <c r="AA2454" s="79">
        <f>IF(X2454="Sin Pago","",IFERROR(INDEX(Pagos_Odoo!$F:$F, MATCH(X2454, Pagos_Odoo!$B:$B, 0)), ""))</f>
        <v/>
      </c>
      <c r="AB2454" s="81">
        <f>IF(X2454="Sin Pago",0,IFERROR(INDEX(Pagos_Odoo!$E:$E, MATCH(X2454, Pagos_Odoo!$B:$B, 0)), 0))</f>
        <v/>
      </c>
      <c r="AC2454" s="79">
        <f>IF(X2454="Sin Pago","",IFERROR(INDEX(Pagos_Odoo!$G:$G, MATCH(X2454, Pagos_Odoo!$B:$B, 0)), ""))</f>
        <v/>
      </c>
      <c r="AD2454" s="82" t="n">
        <v>0</v>
      </c>
      <c r="AE2454" s="82" t="n"/>
      <c r="AF2454" s="82" t="n"/>
      <c r="AG2454" s="82">
        <f>IF(AN2454="","",AD2454+AE2454+AF2454)</f>
        <v/>
      </c>
      <c r="AH2454" s="81">
        <f>IF(AN2454="","",P2454*(1-AG2454))</f>
        <v/>
      </c>
      <c r="AI2454" s="81">
        <f>IF(AN2454="","",IF(Q2454="Sin Factura",0,IFERROR(INDEX(Facturas_Odoo!$H:$H, MATCH(Q2454, Facturas_Odoo!$B:$B, 0)), 0)*(1-AG2454)))</f>
        <v/>
      </c>
      <c r="AJ2454" s="81">
        <f>IF(AN2454="","",_xlfn.LET(idVenta, AN2454&amp;"",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54" s="81">
        <f>IF(AN2454="","",AH2454-AJ2454)</f>
        <v/>
      </c>
      <c r="AL2454" s="81">
        <f>IF(AN2454="","",IF(Q2454="Sin Factura","",AI2454-AJ2454))</f>
        <v/>
      </c>
      <c r="AM2454" s="81">
        <f>IF(AN2454="","",IF(Q2454="Sin Factura",0,P2454-IFERROR(INDEX(Facturas_Odoo!$H:$H, MATCH(Q2454, Facturas_Odoo!$B:$B, 0)), 0)))</f>
        <v/>
      </c>
      <c r="AN2454" s="79">
        <f>IF(AND(A2454="", J2454=""), "", IF(A2454&lt;&gt;"", VALUE(MID(A2454,2,LEN(A2454))), AN2453))</f>
        <v/>
      </c>
      <c r="AO2454" s="79">
        <f>IF(AN2454="","",IF(AD2454=0,"OK",_xlfn.LET(monedaPago, IF(AA2454="","USD",AA2454), limitePermitido, IFERROR(VLOOKUP(monedaPago, Configuración!$A$2:$B$3, 2, FALSE), 0.15), IF(AD2454&gt;limitePermitido, "ALERTA: EXCESO (" &amp; TEXT(limitePermitido, "0%") &amp; " máx)", "OK"))))</f>
        <v/>
      </c>
      <c r="AP2454" s="79">
        <f>IF(AN2454="","",IF(AE2454=0,"OK",_xlfn.LET(fechaPago, Z2454, fechaFactura, R2454, diasCredito, IF(E2454="Pago inmediato", 0, IFERROR(VALUE(MID(E2454, 1, SEARCH(" ", E2454)-1)),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54" s="79">
        <f>IF(AN2454="","",IF(AND(N2454&gt;0, AG2454&gt;0), IF(Configuración!$K$2="NO", "ALERTA: DESCUENTO DOBLE NO PERMITIDO", "OK"), "OK"))</f>
        <v/>
      </c>
      <c r="AR2454" s="79">
        <f>IF(AN2454="","",IF(OR(AO2454&lt;&gt;"OK", AP2454&lt;&gt;"OK", AQ2454&lt;&gt;"OK"), "⚠️ REVISAR", "OK"))</f>
        <v/>
      </c>
    </row>
    <row r="2455">
      <c r="A2455" s="79">
        <f>IF('Ordenes_Odoo'!A2455="","",'Ordenes_Odoo'!A2455)</f>
        <v/>
      </c>
      <c r="B2455" s="80">
        <f>IF('Ordenes_Odoo'!B2455="","",'Ordenes_Odoo'!B2455)</f>
        <v/>
      </c>
      <c r="C2455" s="79">
        <f>IF('Ordenes_Odoo'!C2455="","",'Ordenes_Odoo'!C2455)</f>
        <v/>
      </c>
      <c r="D2455" s="79">
        <f>IF('Ordenes_Odoo'!D2455="","",'Ordenes_Odoo'!D2455)</f>
        <v/>
      </c>
      <c r="E2455" s="79">
        <f>IF('Ordenes_Odoo'!E2455="","",'Ordenes_Odoo'!E2455)</f>
        <v/>
      </c>
      <c r="F2455" s="79">
        <f>IF('Ordenes_Odoo'!F2455="","",'Ordenes_Odoo'!F2455)</f>
        <v/>
      </c>
      <c r="G2455" s="79">
        <f>IF('Ordenes_Odoo'!G2455="","",'Ordenes_Odoo'!G2455)</f>
        <v/>
      </c>
      <c r="H2455" s="79">
        <f>IF('Ordenes_Odoo'!H2455="","",'Ordenes_Odoo'!H2455)</f>
        <v/>
      </c>
      <c r="I2455" s="79">
        <f>IF('Ordenes_Odoo'!I2455="","",'Ordenes_Odoo'!I2455)</f>
        <v/>
      </c>
      <c r="J2455" s="79">
        <f>IF('Ordenes_Odoo'!J2455="","",'Ordenes_Odoo'!J2455)</f>
        <v/>
      </c>
      <c r="K2455" s="81">
        <f>IF('Ordenes_Odoo'!K2455="","",'Ordenes_Odoo'!K2455)</f>
        <v/>
      </c>
      <c r="L2455" s="81">
        <f>IF('Ordenes_Odoo'!L2455="","",'Ordenes_Odoo'!L2455)</f>
        <v/>
      </c>
      <c r="M2455" s="79">
        <f>IF('Ordenes_Odoo'!M2455="","",'Ordenes_Odoo'!M2455)</f>
        <v/>
      </c>
      <c r="N2455" s="79">
        <f>IF('Ordenes_Odoo'!N2455="","",'Ordenes_Odoo'!N2455)</f>
        <v/>
      </c>
      <c r="O2455" s="81">
        <f>IF('Ordenes_Odoo'!O2455="","",'Ordenes_Odoo'!O2455)</f>
        <v/>
      </c>
      <c r="P2455" s="81">
        <f>IF('Ordenes_Odoo'!P2455="","",'Ordenes_Odoo'!P2455)</f>
        <v/>
      </c>
      <c r="Q2455" s="79">
        <f>IF(A2455="","",IFERROR(INDEX(Facturas_Odoo!$B:$B, MATCH(A2455, Facturas_Odoo!$D:$D, 0)), "Sin Factura"))</f>
        <v/>
      </c>
      <c r="R2455" s="80">
        <f>IF(Q2455="Sin Factura","",IFERROR(INDEX(Facturas_Odoo!$A:$A, MATCH(Q2455, Facturas_Odoo!$B:$B, 0)), ""))</f>
        <v/>
      </c>
      <c r="S2455" s="79">
        <f>IF(Q2455="Sin Factura","",IFERROR(_xlfn.XLOOKUP(1, (Facturas_Odoo!$D:$D=A2455) * (Facturas_Odoo!$K:$K=I2455), Facturas_Odoo!$L:$L, ""), ""))</f>
        <v/>
      </c>
      <c r="T2455" s="81">
        <f>IF(Q2455="Sin Factura",0,IFERROR(_xlfn.XLOOKUP(1, (Facturas_Odoo!$D:$D=A2455) * (Facturas_Odoo!$K:$K=I2455), Facturas_Odoo!$M:$M, 0), 0))</f>
        <v/>
      </c>
      <c r="U2455" s="79">
        <f>IF(Q2455="Sin Factura",0,IFERROR(_xlfn.XLOOKUP(1, (Facturas_Odoo!$D:$D=A2455) * (Facturas_Odoo!$K:$K=I2455), Facturas_Odoo!$N:$N, 0), 0))</f>
        <v/>
      </c>
      <c r="V2455" s="79">
        <f>IF(Q2455="Sin Factura",0,IFERROR(_xlfn.XLOOKUP(1, (Facturas_Odoo!$D:$D=A2455) * (Facturas_Odoo!$K:$K=I2455), Facturas_Odoo!$O:$O, 0), 0))</f>
        <v/>
      </c>
      <c r="W2455" s="81">
        <f>IF(Q2455="Sin Factura",0,IFERROR(_xlfn.XLOOKUP(1, (Facturas_Odoo!$D:$D=A2455) * (Facturas_Odoo!$K:$K=I2455), Facturas_Odoo!$Q:$Q, 0), 0))</f>
        <v/>
      </c>
      <c r="X2455" s="79">
        <f>IF(OR(Q2455="Sin Factura",Q2455=""),"",IFERROR(INDEX(Pagos_Odoo!$B:$B, MATCH(Q2455, Pagos_Odoo!$I:$I, 0)), "Sin Pago"))</f>
        <v/>
      </c>
      <c r="Y2455" s="79">
        <f>IF(X2455="Sin Pago","",IFERROR(INDEX(Pagos_Odoo!$C:$C, MATCH(X2455, Pagos_Odoo!$B:$B, 0)), ""))</f>
        <v/>
      </c>
      <c r="Z2455" s="80">
        <f>IF(X2455="Sin Pago","",IFERROR(INDEX(Pagos_Odoo!$A:$A, MATCH(X2455, Pagos_Odoo!$B:$B, 0)), ""))</f>
        <v/>
      </c>
      <c r="AA2455" s="79">
        <f>IF(X2455="Sin Pago","",IFERROR(INDEX(Pagos_Odoo!$F:$F, MATCH(X2455, Pagos_Odoo!$B:$B, 0)), ""))</f>
        <v/>
      </c>
      <c r="AB2455" s="81">
        <f>IF(X2455="Sin Pago",0,IFERROR(INDEX(Pagos_Odoo!$E:$E, MATCH(X2455, Pagos_Odoo!$B:$B, 0)), 0))</f>
        <v/>
      </c>
      <c r="AC2455" s="79">
        <f>IF(X2455="Sin Pago","",IFERROR(INDEX(Pagos_Odoo!$G:$G, MATCH(X2455, Pagos_Odoo!$B:$B, 0)), ""))</f>
        <v/>
      </c>
      <c r="AD2455" s="82" t="n">
        <v>0</v>
      </c>
      <c r="AE2455" s="82" t="n"/>
      <c r="AF2455" s="82" t="n"/>
      <c r="AG2455" s="82">
        <f>IF(AN2455="","",AD2455+AE2455+AF2455)</f>
        <v/>
      </c>
      <c r="AH2455" s="81">
        <f>IF(AN2455="","",P2455*(1-AG2455))</f>
        <v/>
      </c>
      <c r="AI2455" s="81">
        <f>IF(AN2455="","",IF(Q2455="Sin Factura",0,IFERROR(INDEX(Facturas_Odoo!$H:$H, MATCH(Q2455, Facturas_Odoo!$B:$B, 0)), 0)*(1-AG2455)))</f>
        <v/>
      </c>
      <c r="AJ2455" s="81">
        <f>IF(AN2455="","",_xlfn.LET(idVenta, AN2455&amp;"",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55" s="81">
        <f>IF(AN2455="","",AH2455-AJ2455)</f>
        <v/>
      </c>
      <c r="AL2455" s="81">
        <f>IF(AN2455="","",IF(Q2455="Sin Factura","",AI2455-AJ2455))</f>
        <v/>
      </c>
      <c r="AM2455" s="81">
        <f>IF(AN2455="","",IF(Q2455="Sin Factura",0,P2455-IFERROR(INDEX(Facturas_Odoo!$H:$H, MATCH(Q2455, Facturas_Odoo!$B:$B, 0)), 0)))</f>
        <v/>
      </c>
      <c r="AN2455" s="79">
        <f>IF(AND(A2455="", J2455=""), "", IF(A2455&lt;&gt;"", VALUE(MID(A2455,2,LEN(A2455))), AN2454))</f>
        <v/>
      </c>
      <c r="AO2455" s="79">
        <f>IF(AN2455="","",IF(AD2455=0,"OK",_xlfn.LET(monedaPago, IF(AA2455="","USD",AA2455), limitePermitido, IFERROR(VLOOKUP(monedaPago, Configuración!$A$2:$B$3, 2, FALSE), 0.15), IF(AD2455&gt;limitePermitido, "ALERTA: EXCESO (" &amp; TEXT(limitePermitido, "0%") &amp; " máx)", "OK"))))</f>
        <v/>
      </c>
      <c r="AP2455" s="79">
        <f>IF(AN2455="","",IF(AE2455=0,"OK",_xlfn.LET(fechaPago, Z2455, fechaFactura, R2455, diasCredito, IF(E2455="Pago inmediato", 0, IFERROR(VALUE(MID(E2455, 1, SEARCH(" ", E2455)-1)),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55" s="79">
        <f>IF(AN2455="","",IF(AND(N2455&gt;0, AG2455&gt;0), IF(Configuración!$K$2="NO", "ALERTA: DESCUENTO DOBLE NO PERMITIDO", "OK"), "OK"))</f>
        <v/>
      </c>
      <c r="AR2455" s="79">
        <f>IF(AN2455="","",IF(OR(AO2455&lt;&gt;"OK", AP2455&lt;&gt;"OK", AQ2455&lt;&gt;"OK"), "⚠️ REVISAR", "OK"))</f>
        <v/>
      </c>
    </row>
    <row r="2456">
      <c r="A2456" s="79">
        <f>IF('Ordenes_Odoo'!A2456="","",'Ordenes_Odoo'!A2456)</f>
        <v/>
      </c>
      <c r="B2456" s="80">
        <f>IF('Ordenes_Odoo'!B2456="","",'Ordenes_Odoo'!B2456)</f>
        <v/>
      </c>
      <c r="C2456" s="79">
        <f>IF('Ordenes_Odoo'!C2456="","",'Ordenes_Odoo'!C2456)</f>
        <v/>
      </c>
      <c r="D2456" s="79">
        <f>IF('Ordenes_Odoo'!D2456="","",'Ordenes_Odoo'!D2456)</f>
        <v/>
      </c>
      <c r="E2456" s="79">
        <f>IF('Ordenes_Odoo'!E2456="","",'Ordenes_Odoo'!E2456)</f>
        <v/>
      </c>
      <c r="F2456" s="79">
        <f>IF('Ordenes_Odoo'!F2456="","",'Ordenes_Odoo'!F2456)</f>
        <v/>
      </c>
      <c r="G2456" s="79">
        <f>IF('Ordenes_Odoo'!G2456="","",'Ordenes_Odoo'!G2456)</f>
        <v/>
      </c>
      <c r="H2456" s="79">
        <f>IF('Ordenes_Odoo'!H2456="","",'Ordenes_Odoo'!H2456)</f>
        <v/>
      </c>
      <c r="I2456" s="79">
        <f>IF('Ordenes_Odoo'!I2456="","",'Ordenes_Odoo'!I2456)</f>
        <v/>
      </c>
      <c r="J2456" s="79">
        <f>IF('Ordenes_Odoo'!J2456="","",'Ordenes_Odoo'!J2456)</f>
        <v/>
      </c>
      <c r="K2456" s="81">
        <f>IF('Ordenes_Odoo'!K2456="","",'Ordenes_Odoo'!K2456)</f>
        <v/>
      </c>
      <c r="L2456" s="81">
        <f>IF('Ordenes_Odoo'!L2456="","",'Ordenes_Odoo'!L2456)</f>
        <v/>
      </c>
      <c r="M2456" s="79">
        <f>IF('Ordenes_Odoo'!M2456="","",'Ordenes_Odoo'!M2456)</f>
        <v/>
      </c>
      <c r="N2456" s="79">
        <f>IF('Ordenes_Odoo'!N2456="","",'Ordenes_Odoo'!N2456)</f>
        <v/>
      </c>
      <c r="O2456" s="81">
        <f>IF('Ordenes_Odoo'!O2456="","",'Ordenes_Odoo'!O2456)</f>
        <v/>
      </c>
      <c r="P2456" s="81">
        <f>IF('Ordenes_Odoo'!P2456="","",'Ordenes_Odoo'!P2456)</f>
        <v/>
      </c>
      <c r="Q2456" s="79">
        <f>IF(A2456="","",IFERROR(INDEX(Facturas_Odoo!$B:$B, MATCH(A2456, Facturas_Odoo!$D:$D, 0)), "Sin Factura"))</f>
        <v/>
      </c>
      <c r="R2456" s="80">
        <f>IF(Q2456="Sin Factura","",IFERROR(INDEX(Facturas_Odoo!$A:$A, MATCH(Q2456, Facturas_Odoo!$B:$B, 0)), ""))</f>
        <v/>
      </c>
      <c r="S2456" s="79">
        <f>IF(Q2456="Sin Factura","",IFERROR(_xlfn.XLOOKUP(1, (Facturas_Odoo!$D:$D=A2456) * (Facturas_Odoo!$K:$K=I2456), Facturas_Odoo!$L:$L, ""), ""))</f>
        <v/>
      </c>
      <c r="T2456" s="81">
        <f>IF(Q2456="Sin Factura",0,IFERROR(_xlfn.XLOOKUP(1, (Facturas_Odoo!$D:$D=A2456) * (Facturas_Odoo!$K:$K=I2456), Facturas_Odoo!$M:$M, 0), 0))</f>
        <v/>
      </c>
      <c r="U2456" s="79">
        <f>IF(Q2456="Sin Factura",0,IFERROR(_xlfn.XLOOKUP(1, (Facturas_Odoo!$D:$D=A2456) * (Facturas_Odoo!$K:$K=I2456), Facturas_Odoo!$N:$N, 0), 0))</f>
        <v/>
      </c>
      <c r="V2456" s="79">
        <f>IF(Q2456="Sin Factura",0,IFERROR(_xlfn.XLOOKUP(1, (Facturas_Odoo!$D:$D=A2456) * (Facturas_Odoo!$K:$K=I2456), Facturas_Odoo!$O:$O, 0), 0))</f>
        <v/>
      </c>
      <c r="W2456" s="81">
        <f>IF(Q2456="Sin Factura",0,IFERROR(_xlfn.XLOOKUP(1, (Facturas_Odoo!$D:$D=A2456) * (Facturas_Odoo!$K:$K=I2456), Facturas_Odoo!$Q:$Q, 0), 0))</f>
        <v/>
      </c>
      <c r="X2456" s="79">
        <f>IF(OR(Q2456="Sin Factura",Q2456=""),"",IFERROR(INDEX(Pagos_Odoo!$B:$B, MATCH(Q2456, Pagos_Odoo!$I:$I, 0)), "Sin Pago"))</f>
        <v/>
      </c>
      <c r="Y2456" s="79">
        <f>IF(X2456="Sin Pago","",IFERROR(INDEX(Pagos_Odoo!$C:$C, MATCH(X2456, Pagos_Odoo!$B:$B, 0)), ""))</f>
        <v/>
      </c>
      <c r="Z2456" s="80">
        <f>IF(X2456="Sin Pago","",IFERROR(INDEX(Pagos_Odoo!$A:$A, MATCH(X2456, Pagos_Odoo!$B:$B, 0)), ""))</f>
        <v/>
      </c>
      <c r="AA2456" s="79">
        <f>IF(X2456="Sin Pago","",IFERROR(INDEX(Pagos_Odoo!$F:$F, MATCH(X2456, Pagos_Odoo!$B:$B, 0)), ""))</f>
        <v/>
      </c>
      <c r="AB2456" s="81">
        <f>IF(X2456="Sin Pago",0,IFERROR(INDEX(Pagos_Odoo!$E:$E, MATCH(X2456, Pagos_Odoo!$B:$B, 0)), 0))</f>
        <v/>
      </c>
      <c r="AC2456" s="79">
        <f>IF(X2456="Sin Pago","",IFERROR(INDEX(Pagos_Odoo!$G:$G, MATCH(X2456, Pagos_Odoo!$B:$B, 0)), ""))</f>
        <v/>
      </c>
      <c r="AD2456" s="82" t="n">
        <v>0</v>
      </c>
      <c r="AE2456" s="82" t="n"/>
      <c r="AF2456" s="82" t="n"/>
      <c r="AG2456" s="82">
        <f>IF(AN2456="","",AD2456+AE2456+AF2456)</f>
        <v/>
      </c>
      <c r="AH2456" s="81">
        <f>IF(AN2456="","",P2456*(1-AG2456))</f>
        <v/>
      </c>
      <c r="AI2456" s="81">
        <f>IF(AN2456="","",IF(Q2456="Sin Factura",0,IFERROR(INDEX(Facturas_Odoo!$H:$H, MATCH(Q2456, Facturas_Odoo!$B:$B, 0)), 0)*(1-AG2456)))</f>
        <v/>
      </c>
      <c r="AJ2456" s="81">
        <f>IF(AN2456="","",_xlfn.LET(idVenta, AN2456&amp;"",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56" s="81">
        <f>IF(AN2456="","",AH2456-AJ2456)</f>
        <v/>
      </c>
      <c r="AL2456" s="81">
        <f>IF(AN2456="","",IF(Q2456="Sin Factura","",AI2456-AJ2456))</f>
        <v/>
      </c>
      <c r="AM2456" s="81">
        <f>IF(AN2456="","",IF(Q2456="Sin Factura",0,P2456-IFERROR(INDEX(Facturas_Odoo!$H:$H, MATCH(Q2456, Facturas_Odoo!$B:$B, 0)), 0)))</f>
        <v/>
      </c>
      <c r="AN2456" s="79">
        <f>IF(AND(A2456="", J2456=""), "", IF(A2456&lt;&gt;"", VALUE(MID(A2456,2,LEN(A2456))), AN2455))</f>
        <v/>
      </c>
      <c r="AO2456" s="79">
        <f>IF(AN2456="","",IF(AD2456=0,"OK",_xlfn.LET(monedaPago, IF(AA2456="","USD",AA2456), limitePermitido, IFERROR(VLOOKUP(monedaPago, Configuración!$A$2:$B$3, 2, FALSE), 0.15), IF(AD2456&gt;limitePermitido, "ALERTA: EXCESO (" &amp; TEXT(limitePermitido, "0%") &amp; " máx)", "OK"))))</f>
        <v/>
      </c>
      <c r="AP2456" s="79">
        <f>IF(AN2456="","",IF(AE2456=0,"OK",_xlfn.LET(fechaPago, Z2456, fechaFactura, R2456, diasCredito, IF(E2456="Pago inmediato", 0, IFERROR(VALUE(MID(E2456, 1, SEARCH(" ", E2456)-1)),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56" s="79">
        <f>IF(AN2456="","",IF(AND(N2456&gt;0, AG2456&gt;0), IF(Configuración!$K$2="NO", "ALERTA: DESCUENTO DOBLE NO PERMITIDO", "OK"), "OK"))</f>
        <v/>
      </c>
      <c r="AR2456" s="79">
        <f>IF(AN2456="","",IF(OR(AO2456&lt;&gt;"OK", AP2456&lt;&gt;"OK", AQ2456&lt;&gt;"OK"), "⚠️ REVISAR", "OK"))</f>
        <v/>
      </c>
    </row>
    <row r="2457">
      <c r="A2457" s="79">
        <f>IF('Ordenes_Odoo'!A2457="","",'Ordenes_Odoo'!A2457)</f>
        <v/>
      </c>
      <c r="B2457" s="80">
        <f>IF('Ordenes_Odoo'!B2457="","",'Ordenes_Odoo'!B2457)</f>
        <v/>
      </c>
      <c r="C2457" s="79">
        <f>IF('Ordenes_Odoo'!C2457="","",'Ordenes_Odoo'!C2457)</f>
        <v/>
      </c>
      <c r="D2457" s="79">
        <f>IF('Ordenes_Odoo'!D2457="","",'Ordenes_Odoo'!D2457)</f>
        <v/>
      </c>
      <c r="E2457" s="79">
        <f>IF('Ordenes_Odoo'!E2457="","",'Ordenes_Odoo'!E2457)</f>
        <v/>
      </c>
      <c r="F2457" s="79">
        <f>IF('Ordenes_Odoo'!F2457="","",'Ordenes_Odoo'!F2457)</f>
        <v/>
      </c>
      <c r="G2457" s="79">
        <f>IF('Ordenes_Odoo'!G2457="","",'Ordenes_Odoo'!G2457)</f>
        <v/>
      </c>
      <c r="H2457" s="79">
        <f>IF('Ordenes_Odoo'!H2457="","",'Ordenes_Odoo'!H2457)</f>
        <v/>
      </c>
      <c r="I2457" s="79">
        <f>IF('Ordenes_Odoo'!I2457="","",'Ordenes_Odoo'!I2457)</f>
        <v/>
      </c>
      <c r="J2457" s="79">
        <f>IF('Ordenes_Odoo'!J2457="","",'Ordenes_Odoo'!J2457)</f>
        <v/>
      </c>
      <c r="K2457" s="81">
        <f>IF('Ordenes_Odoo'!K2457="","",'Ordenes_Odoo'!K2457)</f>
        <v/>
      </c>
      <c r="L2457" s="81">
        <f>IF('Ordenes_Odoo'!L2457="","",'Ordenes_Odoo'!L2457)</f>
        <v/>
      </c>
      <c r="M2457" s="79">
        <f>IF('Ordenes_Odoo'!M2457="","",'Ordenes_Odoo'!M2457)</f>
        <v/>
      </c>
      <c r="N2457" s="79">
        <f>IF('Ordenes_Odoo'!N2457="","",'Ordenes_Odoo'!N2457)</f>
        <v/>
      </c>
      <c r="O2457" s="81">
        <f>IF('Ordenes_Odoo'!O2457="","",'Ordenes_Odoo'!O2457)</f>
        <v/>
      </c>
      <c r="P2457" s="81">
        <f>IF('Ordenes_Odoo'!P2457="","",'Ordenes_Odoo'!P2457)</f>
        <v/>
      </c>
      <c r="Q2457" s="79">
        <f>IF(A2457="","",IFERROR(INDEX(Facturas_Odoo!$B:$B, MATCH(A2457, Facturas_Odoo!$D:$D, 0)), "Sin Factura"))</f>
        <v/>
      </c>
      <c r="R2457" s="80">
        <f>IF(Q2457="Sin Factura","",IFERROR(INDEX(Facturas_Odoo!$A:$A, MATCH(Q2457, Facturas_Odoo!$B:$B, 0)), ""))</f>
        <v/>
      </c>
      <c r="S2457" s="79">
        <f>IF(Q2457="Sin Factura","",IFERROR(_xlfn.XLOOKUP(1, (Facturas_Odoo!$D:$D=A2457) * (Facturas_Odoo!$K:$K=I2457), Facturas_Odoo!$L:$L, ""), ""))</f>
        <v/>
      </c>
      <c r="T2457" s="81">
        <f>IF(Q2457="Sin Factura",0,IFERROR(_xlfn.XLOOKUP(1, (Facturas_Odoo!$D:$D=A2457) * (Facturas_Odoo!$K:$K=I2457), Facturas_Odoo!$M:$M, 0), 0))</f>
        <v/>
      </c>
      <c r="U2457" s="79">
        <f>IF(Q2457="Sin Factura",0,IFERROR(_xlfn.XLOOKUP(1, (Facturas_Odoo!$D:$D=A2457) * (Facturas_Odoo!$K:$K=I2457), Facturas_Odoo!$N:$N, 0), 0))</f>
        <v/>
      </c>
      <c r="V2457" s="79">
        <f>IF(Q2457="Sin Factura",0,IFERROR(_xlfn.XLOOKUP(1, (Facturas_Odoo!$D:$D=A2457) * (Facturas_Odoo!$K:$K=I2457), Facturas_Odoo!$O:$O, 0), 0))</f>
        <v/>
      </c>
      <c r="W2457" s="81">
        <f>IF(Q2457="Sin Factura",0,IFERROR(_xlfn.XLOOKUP(1, (Facturas_Odoo!$D:$D=A2457) * (Facturas_Odoo!$K:$K=I2457), Facturas_Odoo!$Q:$Q, 0), 0))</f>
        <v/>
      </c>
      <c r="X2457" s="79">
        <f>IF(OR(Q2457="Sin Factura",Q2457=""),"",IFERROR(INDEX(Pagos_Odoo!$B:$B, MATCH(Q2457, Pagos_Odoo!$I:$I, 0)), "Sin Pago"))</f>
        <v/>
      </c>
      <c r="Y2457" s="79">
        <f>IF(X2457="Sin Pago","",IFERROR(INDEX(Pagos_Odoo!$C:$C, MATCH(X2457, Pagos_Odoo!$B:$B, 0)), ""))</f>
        <v/>
      </c>
      <c r="Z2457" s="80">
        <f>IF(X2457="Sin Pago","",IFERROR(INDEX(Pagos_Odoo!$A:$A, MATCH(X2457, Pagos_Odoo!$B:$B, 0)), ""))</f>
        <v/>
      </c>
      <c r="AA2457" s="79">
        <f>IF(X2457="Sin Pago","",IFERROR(INDEX(Pagos_Odoo!$F:$F, MATCH(X2457, Pagos_Odoo!$B:$B, 0)), ""))</f>
        <v/>
      </c>
      <c r="AB2457" s="81">
        <f>IF(X2457="Sin Pago",0,IFERROR(INDEX(Pagos_Odoo!$E:$E, MATCH(X2457, Pagos_Odoo!$B:$B, 0)), 0))</f>
        <v/>
      </c>
      <c r="AC2457" s="79">
        <f>IF(X2457="Sin Pago","",IFERROR(INDEX(Pagos_Odoo!$G:$G, MATCH(X2457, Pagos_Odoo!$B:$B, 0)), ""))</f>
        <v/>
      </c>
      <c r="AD2457" s="82" t="n">
        <v>0</v>
      </c>
      <c r="AE2457" s="82" t="n"/>
      <c r="AF2457" s="82" t="n"/>
      <c r="AG2457" s="82">
        <f>IF(AN2457="","",AD2457+AE2457+AF2457)</f>
        <v/>
      </c>
      <c r="AH2457" s="81">
        <f>IF(AN2457="","",P2457*(1-AG2457))</f>
        <v/>
      </c>
      <c r="AI2457" s="81">
        <f>IF(AN2457="","",IF(Q2457="Sin Factura",0,IFERROR(INDEX(Facturas_Odoo!$H:$H, MATCH(Q2457, Facturas_Odoo!$B:$B, 0)), 0)*(1-AG2457)))</f>
        <v/>
      </c>
      <c r="AJ2457" s="81">
        <f>IF(AN2457="","",_xlfn.LET(idVenta, AN2457&amp;"",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57" s="81">
        <f>IF(AN2457="","",AH2457-AJ2457)</f>
        <v/>
      </c>
      <c r="AL2457" s="81">
        <f>IF(AN2457="","",IF(Q2457="Sin Factura","",AI2457-AJ2457))</f>
        <v/>
      </c>
      <c r="AM2457" s="81">
        <f>IF(AN2457="","",IF(Q2457="Sin Factura",0,P2457-IFERROR(INDEX(Facturas_Odoo!$H:$H, MATCH(Q2457, Facturas_Odoo!$B:$B, 0)), 0)))</f>
        <v/>
      </c>
      <c r="AN2457" s="79">
        <f>IF(AND(A2457="", J2457=""), "", IF(A2457&lt;&gt;"", VALUE(MID(A2457,2,LEN(A2457))), AN2456))</f>
        <v/>
      </c>
      <c r="AO2457" s="79">
        <f>IF(AN2457="","",IF(AD2457=0,"OK",_xlfn.LET(monedaPago, IF(AA2457="","USD",AA2457), limitePermitido, IFERROR(VLOOKUP(monedaPago, Configuración!$A$2:$B$3, 2, FALSE), 0.15), IF(AD2457&gt;limitePermitido, "ALERTA: EXCESO (" &amp; TEXT(limitePermitido, "0%") &amp; " máx)", "OK"))))</f>
        <v/>
      </c>
      <c r="AP2457" s="79">
        <f>IF(AN2457="","",IF(AE2457=0,"OK",_xlfn.LET(fechaPago, Z2457, fechaFactura, R2457, diasCredito, IF(E2457="Pago inmediato", 0, IFERROR(VALUE(MID(E2457, 1, SEARCH(" ", E2457)-1)),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57" s="79">
        <f>IF(AN2457="","",IF(AND(N2457&gt;0, AG2457&gt;0), IF(Configuración!$K$2="NO", "ALERTA: DESCUENTO DOBLE NO PERMITIDO", "OK"), "OK"))</f>
        <v/>
      </c>
      <c r="AR2457" s="79">
        <f>IF(AN2457="","",IF(OR(AO2457&lt;&gt;"OK", AP2457&lt;&gt;"OK", AQ2457&lt;&gt;"OK"), "⚠️ REVISAR", "OK"))</f>
        <v/>
      </c>
    </row>
    <row r="2458">
      <c r="A2458" s="79">
        <f>IF('Ordenes_Odoo'!A2458="","",'Ordenes_Odoo'!A2458)</f>
        <v/>
      </c>
      <c r="B2458" s="80">
        <f>IF('Ordenes_Odoo'!B2458="","",'Ordenes_Odoo'!B2458)</f>
        <v/>
      </c>
      <c r="C2458" s="79">
        <f>IF('Ordenes_Odoo'!C2458="","",'Ordenes_Odoo'!C2458)</f>
        <v/>
      </c>
      <c r="D2458" s="79">
        <f>IF('Ordenes_Odoo'!D2458="","",'Ordenes_Odoo'!D2458)</f>
        <v/>
      </c>
      <c r="E2458" s="79">
        <f>IF('Ordenes_Odoo'!E2458="","",'Ordenes_Odoo'!E2458)</f>
        <v/>
      </c>
      <c r="F2458" s="79">
        <f>IF('Ordenes_Odoo'!F2458="","",'Ordenes_Odoo'!F2458)</f>
        <v/>
      </c>
      <c r="G2458" s="79">
        <f>IF('Ordenes_Odoo'!G2458="","",'Ordenes_Odoo'!G2458)</f>
        <v/>
      </c>
      <c r="H2458" s="79">
        <f>IF('Ordenes_Odoo'!H2458="","",'Ordenes_Odoo'!H2458)</f>
        <v/>
      </c>
      <c r="I2458" s="79">
        <f>IF('Ordenes_Odoo'!I2458="","",'Ordenes_Odoo'!I2458)</f>
        <v/>
      </c>
      <c r="J2458" s="79">
        <f>IF('Ordenes_Odoo'!J2458="","",'Ordenes_Odoo'!J2458)</f>
        <v/>
      </c>
      <c r="K2458" s="81">
        <f>IF('Ordenes_Odoo'!K2458="","",'Ordenes_Odoo'!K2458)</f>
        <v/>
      </c>
      <c r="L2458" s="81">
        <f>IF('Ordenes_Odoo'!L2458="","",'Ordenes_Odoo'!L2458)</f>
        <v/>
      </c>
      <c r="M2458" s="79">
        <f>IF('Ordenes_Odoo'!M2458="","",'Ordenes_Odoo'!M2458)</f>
        <v/>
      </c>
      <c r="N2458" s="79">
        <f>IF('Ordenes_Odoo'!N2458="","",'Ordenes_Odoo'!N2458)</f>
        <v/>
      </c>
      <c r="O2458" s="81">
        <f>IF('Ordenes_Odoo'!O2458="","",'Ordenes_Odoo'!O2458)</f>
        <v/>
      </c>
      <c r="P2458" s="81">
        <f>IF('Ordenes_Odoo'!P2458="","",'Ordenes_Odoo'!P2458)</f>
        <v/>
      </c>
      <c r="Q2458" s="79">
        <f>IF(A2458="","",IFERROR(INDEX(Facturas_Odoo!$B:$B, MATCH(A2458, Facturas_Odoo!$D:$D, 0)), "Sin Factura"))</f>
        <v/>
      </c>
      <c r="R2458" s="80">
        <f>IF(Q2458="Sin Factura","",IFERROR(INDEX(Facturas_Odoo!$A:$A, MATCH(Q2458, Facturas_Odoo!$B:$B, 0)), ""))</f>
        <v/>
      </c>
      <c r="S2458" s="79">
        <f>IF(Q2458="Sin Factura","",IFERROR(_xlfn.XLOOKUP(1, (Facturas_Odoo!$D:$D=A2458) * (Facturas_Odoo!$K:$K=I2458), Facturas_Odoo!$L:$L, ""), ""))</f>
        <v/>
      </c>
      <c r="T2458" s="81">
        <f>IF(Q2458="Sin Factura",0,IFERROR(_xlfn.XLOOKUP(1, (Facturas_Odoo!$D:$D=A2458) * (Facturas_Odoo!$K:$K=I2458), Facturas_Odoo!$M:$M, 0), 0))</f>
        <v/>
      </c>
      <c r="U2458" s="79">
        <f>IF(Q2458="Sin Factura",0,IFERROR(_xlfn.XLOOKUP(1, (Facturas_Odoo!$D:$D=A2458) * (Facturas_Odoo!$K:$K=I2458), Facturas_Odoo!$N:$N, 0), 0))</f>
        <v/>
      </c>
      <c r="V2458" s="79">
        <f>IF(Q2458="Sin Factura",0,IFERROR(_xlfn.XLOOKUP(1, (Facturas_Odoo!$D:$D=A2458) * (Facturas_Odoo!$K:$K=I2458), Facturas_Odoo!$O:$O, 0), 0))</f>
        <v/>
      </c>
      <c r="W2458" s="81">
        <f>IF(Q2458="Sin Factura",0,IFERROR(_xlfn.XLOOKUP(1, (Facturas_Odoo!$D:$D=A2458) * (Facturas_Odoo!$K:$K=I2458), Facturas_Odoo!$Q:$Q, 0), 0))</f>
        <v/>
      </c>
      <c r="X2458" s="79">
        <f>IF(OR(Q2458="Sin Factura",Q2458=""),"",IFERROR(INDEX(Pagos_Odoo!$B:$B, MATCH(Q2458, Pagos_Odoo!$I:$I, 0)), "Sin Pago"))</f>
        <v/>
      </c>
      <c r="Y2458" s="79">
        <f>IF(X2458="Sin Pago","",IFERROR(INDEX(Pagos_Odoo!$C:$C, MATCH(X2458, Pagos_Odoo!$B:$B, 0)), ""))</f>
        <v/>
      </c>
      <c r="Z2458" s="80">
        <f>IF(X2458="Sin Pago","",IFERROR(INDEX(Pagos_Odoo!$A:$A, MATCH(X2458, Pagos_Odoo!$B:$B, 0)), ""))</f>
        <v/>
      </c>
      <c r="AA2458" s="79">
        <f>IF(X2458="Sin Pago","",IFERROR(INDEX(Pagos_Odoo!$F:$F, MATCH(X2458, Pagos_Odoo!$B:$B, 0)), ""))</f>
        <v/>
      </c>
      <c r="AB2458" s="81">
        <f>IF(X2458="Sin Pago",0,IFERROR(INDEX(Pagos_Odoo!$E:$E, MATCH(X2458, Pagos_Odoo!$B:$B, 0)), 0))</f>
        <v/>
      </c>
      <c r="AC2458" s="79">
        <f>IF(X2458="Sin Pago","",IFERROR(INDEX(Pagos_Odoo!$G:$G, MATCH(X2458, Pagos_Odoo!$B:$B, 0)), ""))</f>
        <v/>
      </c>
      <c r="AD2458" s="82" t="n">
        <v>0</v>
      </c>
      <c r="AE2458" s="82" t="n"/>
      <c r="AF2458" s="82" t="n"/>
      <c r="AG2458" s="82">
        <f>IF(AN2458="","",AD2458+AE2458+AF2458)</f>
        <v/>
      </c>
      <c r="AH2458" s="81">
        <f>IF(AN2458="","",P2458*(1-AG2458))</f>
        <v/>
      </c>
      <c r="AI2458" s="81">
        <f>IF(AN2458="","",IF(Q2458="Sin Factura",0,IFERROR(INDEX(Facturas_Odoo!$H:$H, MATCH(Q2458, Facturas_Odoo!$B:$B, 0)), 0)*(1-AG2458)))</f>
        <v/>
      </c>
      <c r="AJ2458" s="81">
        <f>IF(AN2458="","",_xlfn.LET(idVenta, AN2458&amp;"",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58" s="81">
        <f>IF(AN2458="","",AH2458-AJ2458)</f>
        <v/>
      </c>
      <c r="AL2458" s="81">
        <f>IF(AN2458="","",IF(Q2458="Sin Factura","",AI2458-AJ2458))</f>
        <v/>
      </c>
      <c r="AM2458" s="81">
        <f>IF(AN2458="","",IF(Q2458="Sin Factura",0,P2458-IFERROR(INDEX(Facturas_Odoo!$H:$H, MATCH(Q2458, Facturas_Odoo!$B:$B, 0)), 0)))</f>
        <v/>
      </c>
      <c r="AN2458" s="79">
        <f>IF(AND(A2458="", J2458=""), "", IF(A2458&lt;&gt;"", VALUE(MID(A2458,2,LEN(A2458))), AN2457))</f>
        <v/>
      </c>
      <c r="AO2458" s="79">
        <f>IF(AN2458="","",IF(AD2458=0,"OK",_xlfn.LET(monedaPago, IF(AA2458="","USD",AA2458), limitePermitido, IFERROR(VLOOKUP(monedaPago, Configuración!$A$2:$B$3, 2, FALSE), 0.15), IF(AD2458&gt;limitePermitido, "ALERTA: EXCESO (" &amp; TEXT(limitePermitido, "0%") &amp; " máx)", "OK"))))</f>
        <v/>
      </c>
      <c r="AP2458" s="79">
        <f>IF(AN2458="","",IF(AE2458=0,"OK",_xlfn.LET(fechaPago, Z2458, fechaFactura, R2458, diasCredito, IF(E2458="Pago inmediato", 0, IFERROR(VALUE(MID(E2458, 1, SEARCH(" ", E2458)-1)),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58" s="79">
        <f>IF(AN2458="","",IF(AND(N2458&gt;0, AG2458&gt;0), IF(Configuración!$K$2="NO", "ALERTA: DESCUENTO DOBLE NO PERMITIDO", "OK"), "OK"))</f>
        <v/>
      </c>
      <c r="AR2458" s="79">
        <f>IF(AN2458="","",IF(OR(AO2458&lt;&gt;"OK", AP2458&lt;&gt;"OK", AQ2458&lt;&gt;"OK"), "⚠️ REVISAR", "OK"))</f>
        <v/>
      </c>
    </row>
    <row r="2459">
      <c r="A2459" s="79">
        <f>IF('Ordenes_Odoo'!A2459="","",'Ordenes_Odoo'!A2459)</f>
        <v/>
      </c>
      <c r="B2459" s="80">
        <f>IF('Ordenes_Odoo'!B2459="","",'Ordenes_Odoo'!B2459)</f>
        <v/>
      </c>
      <c r="C2459" s="79">
        <f>IF('Ordenes_Odoo'!C2459="","",'Ordenes_Odoo'!C2459)</f>
        <v/>
      </c>
      <c r="D2459" s="79">
        <f>IF('Ordenes_Odoo'!D2459="","",'Ordenes_Odoo'!D2459)</f>
        <v/>
      </c>
      <c r="E2459" s="79">
        <f>IF('Ordenes_Odoo'!E2459="","",'Ordenes_Odoo'!E2459)</f>
        <v/>
      </c>
      <c r="F2459" s="79">
        <f>IF('Ordenes_Odoo'!F2459="","",'Ordenes_Odoo'!F2459)</f>
        <v/>
      </c>
      <c r="G2459" s="79">
        <f>IF('Ordenes_Odoo'!G2459="","",'Ordenes_Odoo'!G2459)</f>
        <v/>
      </c>
      <c r="H2459" s="79">
        <f>IF('Ordenes_Odoo'!H2459="","",'Ordenes_Odoo'!H2459)</f>
        <v/>
      </c>
      <c r="I2459" s="79">
        <f>IF('Ordenes_Odoo'!I2459="","",'Ordenes_Odoo'!I2459)</f>
        <v/>
      </c>
      <c r="J2459" s="79">
        <f>IF('Ordenes_Odoo'!J2459="","",'Ordenes_Odoo'!J2459)</f>
        <v/>
      </c>
      <c r="K2459" s="81">
        <f>IF('Ordenes_Odoo'!K2459="","",'Ordenes_Odoo'!K2459)</f>
        <v/>
      </c>
      <c r="L2459" s="81">
        <f>IF('Ordenes_Odoo'!L2459="","",'Ordenes_Odoo'!L2459)</f>
        <v/>
      </c>
      <c r="M2459" s="79">
        <f>IF('Ordenes_Odoo'!M2459="","",'Ordenes_Odoo'!M2459)</f>
        <v/>
      </c>
      <c r="N2459" s="79">
        <f>IF('Ordenes_Odoo'!N2459="","",'Ordenes_Odoo'!N2459)</f>
        <v/>
      </c>
      <c r="O2459" s="81">
        <f>IF('Ordenes_Odoo'!O2459="","",'Ordenes_Odoo'!O2459)</f>
        <v/>
      </c>
      <c r="P2459" s="81">
        <f>IF('Ordenes_Odoo'!P2459="","",'Ordenes_Odoo'!P2459)</f>
        <v/>
      </c>
      <c r="Q2459" s="79">
        <f>IF(A2459="","",IFERROR(INDEX(Facturas_Odoo!$B:$B, MATCH(A2459, Facturas_Odoo!$D:$D, 0)), "Sin Factura"))</f>
        <v/>
      </c>
      <c r="R2459" s="80">
        <f>IF(Q2459="Sin Factura","",IFERROR(INDEX(Facturas_Odoo!$A:$A, MATCH(Q2459, Facturas_Odoo!$B:$B, 0)), ""))</f>
        <v/>
      </c>
      <c r="S2459" s="79">
        <f>IF(Q2459="Sin Factura","",IFERROR(_xlfn.XLOOKUP(1, (Facturas_Odoo!$D:$D=A2459) * (Facturas_Odoo!$K:$K=I2459), Facturas_Odoo!$L:$L, ""), ""))</f>
        <v/>
      </c>
      <c r="T2459" s="81">
        <f>IF(Q2459="Sin Factura",0,IFERROR(_xlfn.XLOOKUP(1, (Facturas_Odoo!$D:$D=A2459) * (Facturas_Odoo!$K:$K=I2459), Facturas_Odoo!$M:$M, 0), 0))</f>
        <v/>
      </c>
      <c r="U2459" s="79">
        <f>IF(Q2459="Sin Factura",0,IFERROR(_xlfn.XLOOKUP(1, (Facturas_Odoo!$D:$D=A2459) * (Facturas_Odoo!$K:$K=I2459), Facturas_Odoo!$N:$N, 0), 0))</f>
        <v/>
      </c>
      <c r="V2459" s="79">
        <f>IF(Q2459="Sin Factura",0,IFERROR(_xlfn.XLOOKUP(1, (Facturas_Odoo!$D:$D=A2459) * (Facturas_Odoo!$K:$K=I2459), Facturas_Odoo!$O:$O, 0), 0))</f>
        <v/>
      </c>
      <c r="W2459" s="81">
        <f>IF(Q2459="Sin Factura",0,IFERROR(_xlfn.XLOOKUP(1, (Facturas_Odoo!$D:$D=A2459) * (Facturas_Odoo!$K:$K=I2459), Facturas_Odoo!$Q:$Q, 0), 0))</f>
        <v/>
      </c>
      <c r="X2459" s="79">
        <f>IF(OR(Q2459="Sin Factura",Q2459=""),"",IFERROR(INDEX(Pagos_Odoo!$B:$B, MATCH(Q2459, Pagos_Odoo!$I:$I, 0)), "Sin Pago"))</f>
        <v/>
      </c>
      <c r="Y2459" s="79">
        <f>IF(X2459="Sin Pago","",IFERROR(INDEX(Pagos_Odoo!$C:$C, MATCH(X2459, Pagos_Odoo!$B:$B, 0)), ""))</f>
        <v/>
      </c>
      <c r="Z2459" s="80">
        <f>IF(X2459="Sin Pago","",IFERROR(INDEX(Pagos_Odoo!$A:$A, MATCH(X2459, Pagos_Odoo!$B:$B, 0)), ""))</f>
        <v/>
      </c>
      <c r="AA2459" s="79">
        <f>IF(X2459="Sin Pago","",IFERROR(INDEX(Pagos_Odoo!$F:$F, MATCH(X2459, Pagos_Odoo!$B:$B, 0)), ""))</f>
        <v/>
      </c>
      <c r="AB2459" s="81">
        <f>IF(X2459="Sin Pago",0,IFERROR(INDEX(Pagos_Odoo!$E:$E, MATCH(X2459, Pagos_Odoo!$B:$B, 0)), 0))</f>
        <v/>
      </c>
      <c r="AC2459" s="79">
        <f>IF(X2459="Sin Pago","",IFERROR(INDEX(Pagos_Odoo!$G:$G, MATCH(X2459, Pagos_Odoo!$B:$B, 0)), ""))</f>
        <v/>
      </c>
      <c r="AD2459" s="82" t="n">
        <v>0</v>
      </c>
      <c r="AE2459" s="82" t="n"/>
      <c r="AF2459" s="82" t="n"/>
      <c r="AG2459" s="82">
        <f>IF(AN2459="","",AD2459+AE2459+AF2459)</f>
        <v/>
      </c>
      <c r="AH2459" s="81">
        <f>IF(AN2459="","",P2459*(1-AG2459))</f>
        <v/>
      </c>
      <c r="AI2459" s="81">
        <f>IF(AN2459="","",IF(Q2459="Sin Factura",0,IFERROR(INDEX(Facturas_Odoo!$H:$H, MATCH(Q2459, Facturas_Odoo!$B:$B, 0)), 0)*(1-AG2459)))</f>
        <v/>
      </c>
      <c r="AJ2459" s="81">
        <f>IF(AN2459="","",_xlfn.LET(idVenta, AN2459&amp;"",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59" s="81">
        <f>IF(AN2459="","",AH2459-AJ2459)</f>
        <v/>
      </c>
      <c r="AL2459" s="81">
        <f>IF(AN2459="","",IF(Q2459="Sin Factura","",AI2459-AJ2459))</f>
        <v/>
      </c>
      <c r="AM2459" s="81">
        <f>IF(AN2459="","",IF(Q2459="Sin Factura",0,P2459-IFERROR(INDEX(Facturas_Odoo!$H:$H, MATCH(Q2459, Facturas_Odoo!$B:$B, 0)), 0)))</f>
        <v/>
      </c>
      <c r="AN2459" s="79">
        <f>IF(AND(A2459="", J2459=""), "", IF(A2459&lt;&gt;"", VALUE(MID(A2459,2,LEN(A2459))), AN2458))</f>
        <v/>
      </c>
      <c r="AO2459" s="79">
        <f>IF(AN2459="","",IF(AD2459=0,"OK",_xlfn.LET(monedaPago, IF(AA2459="","USD",AA2459), limitePermitido, IFERROR(VLOOKUP(monedaPago, Configuración!$A$2:$B$3, 2, FALSE), 0.15), IF(AD2459&gt;limitePermitido, "ALERTA: EXCESO (" &amp; TEXT(limitePermitido, "0%") &amp; " máx)", "OK"))))</f>
        <v/>
      </c>
      <c r="AP2459" s="79">
        <f>IF(AN2459="","",IF(AE2459=0,"OK",_xlfn.LET(fechaPago, Z2459, fechaFactura, R2459, diasCredito, IF(E2459="Pago inmediato", 0, IFERROR(VALUE(MID(E2459, 1, SEARCH(" ", E2459)-1)),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59" s="79">
        <f>IF(AN2459="","",IF(AND(N2459&gt;0, AG2459&gt;0), IF(Configuración!$K$2="NO", "ALERTA: DESCUENTO DOBLE NO PERMITIDO", "OK"), "OK"))</f>
        <v/>
      </c>
      <c r="AR2459" s="79">
        <f>IF(AN2459="","",IF(OR(AO2459&lt;&gt;"OK", AP2459&lt;&gt;"OK", AQ2459&lt;&gt;"OK"), "⚠️ REVISAR", "OK"))</f>
        <v/>
      </c>
    </row>
    <row r="2460">
      <c r="A2460" s="79">
        <f>IF('Ordenes_Odoo'!A2460="","",'Ordenes_Odoo'!A2460)</f>
        <v/>
      </c>
      <c r="B2460" s="80">
        <f>IF('Ordenes_Odoo'!B2460="","",'Ordenes_Odoo'!B2460)</f>
        <v/>
      </c>
      <c r="C2460" s="79">
        <f>IF('Ordenes_Odoo'!C2460="","",'Ordenes_Odoo'!C2460)</f>
        <v/>
      </c>
      <c r="D2460" s="79">
        <f>IF('Ordenes_Odoo'!D2460="","",'Ordenes_Odoo'!D2460)</f>
        <v/>
      </c>
      <c r="E2460" s="79">
        <f>IF('Ordenes_Odoo'!E2460="","",'Ordenes_Odoo'!E2460)</f>
        <v/>
      </c>
      <c r="F2460" s="79">
        <f>IF('Ordenes_Odoo'!F2460="","",'Ordenes_Odoo'!F2460)</f>
        <v/>
      </c>
      <c r="G2460" s="79">
        <f>IF('Ordenes_Odoo'!G2460="","",'Ordenes_Odoo'!G2460)</f>
        <v/>
      </c>
      <c r="H2460" s="79">
        <f>IF('Ordenes_Odoo'!H2460="","",'Ordenes_Odoo'!H2460)</f>
        <v/>
      </c>
      <c r="I2460" s="79">
        <f>IF('Ordenes_Odoo'!I2460="","",'Ordenes_Odoo'!I2460)</f>
        <v/>
      </c>
      <c r="J2460" s="79">
        <f>IF('Ordenes_Odoo'!J2460="","",'Ordenes_Odoo'!J2460)</f>
        <v/>
      </c>
      <c r="K2460" s="81">
        <f>IF('Ordenes_Odoo'!K2460="","",'Ordenes_Odoo'!K2460)</f>
        <v/>
      </c>
      <c r="L2460" s="81">
        <f>IF('Ordenes_Odoo'!L2460="","",'Ordenes_Odoo'!L2460)</f>
        <v/>
      </c>
      <c r="M2460" s="79">
        <f>IF('Ordenes_Odoo'!M2460="","",'Ordenes_Odoo'!M2460)</f>
        <v/>
      </c>
      <c r="N2460" s="79">
        <f>IF('Ordenes_Odoo'!N2460="","",'Ordenes_Odoo'!N2460)</f>
        <v/>
      </c>
      <c r="O2460" s="81">
        <f>IF('Ordenes_Odoo'!O2460="","",'Ordenes_Odoo'!O2460)</f>
        <v/>
      </c>
      <c r="P2460" s="81">
        <f>IF('Ordenes_Odoo'!P2460="","",'Ordenes_Odoo'!P2460)</f>
        <v/>
      </c>
      <c r="Q2460" s="79">
        <f>IF(A2460="","",IFERROR(INDEX(Facturas_Odoo!$B:$B, MATCH(A2460, Facturas_Odoo!$D:$D, 0)), "Sin Factura"))</f>
        <v/>
      </c>
      <c r="R2460" s="80">
        <f>IF(Q2460="Sin Factura","",IFERROR(INDEX(Facturas_Odoo!$A:$A, MATCH(Q2460, Facturas_Odoo!$B:$B, 0)), ""))</f>
        <v/>
      </c>
      <c r="S2460" s="79">
        <f>IF(Q2460="Sin Factura","",IFERROR(_xlfn.XLOOKUP(1, (Facturas_Odoo!$D:$D=A2460) * (Facturas_Odoo!$K:$K=I2460), Facturas_Odoo!$L:$L, ""), ""))</f>
        <v/>
      </c>
      <c r="T2460" s="81">
        <f>IF(Q2460="Sin Factura",0,IFERROR(_xlfn.XLOOKUP(1, (Facturas_Odoo!$D:$D=A2460) * (Facturas_Odoo!$K:$K=I2460), Facturas_Odoo!$M:$M, 0), 0))</f>
        <v/>
      </c>
      <c r="U2460" s="79">
        <f>IF(Q2460="Sin Factura",0,IFERROR(_xlfn.XLOOKUP(1, (Facturas_Odoo!$D:$D=A2460) * (Facturas_Odoo!$K:$K=I2460), Facturas_Odoo!$N:$N, 0), 0))</f>
        <v/>
      </c>
      <c r="V2460" s="79">
        <f>IF(Q2460="Sin Factura",0,IFERROR(_xlfn.XLOOKUP(1, (Facturas_Odoo!$D:$D=A2460) * (Facturas_Odoo!$K:$K=I2460), Facturas_Odoo!$O:$O, 0), 0))</f>
        <v/>
      </c>
      <c r="W2460" s="81">
        <f>IF(Q2460="Sin Factura",0,IFERROR(_xlfn.XLOOKUP(1, (Facturas_Odoo!$D:$D=A2460) * (Facturas_Odoo!$K:$K=I2460), Facturas_Odoo!$Q:$Q, 0), 0))</f>
        <v/>
      </c>
      <c r="X2460" s="79">
        <f>IF(OR(Q2460="Sin Factura",Q2460=""),"",IFERROR(INDEX(Pagos_Odoo!$B:$B, MATCH(Q2460, Pagos_Odoo!$I:$I, 0)), "Sin Pago"))</f>
        <v/>
      </c>
      <c r="Y2460" s="79">
        <f>IF(X2460="Sin Pago","",IFERROR(INDEX(Pagos_Odoo!$C:$C, MATCH(X2460, Pagos_Odoo!$B:$B, 0)), ""))</f>
        <v/>
      </c>
      <c r="Z2460" s="80">
        <f>IF(X2460="Sin Pago","",IFERROR(INDEX(Pagos_Odoo!$A:$A, MATCH(X2460, Pagos_Odoo!$B:$B, 0)), ""))</f>
        <v/>
      </c>
      <c r="AA2460" s="79">
        <f>IF(X2460="Sin Pago","",IFERROR(INDEX(Pagos_Odoo!$F:$F, MATCH(X2460, Pagos_Odoo!$B:$B, 0)), ""))</f>
        <v/>
      </c>
      <c r="AB2460" s="81">
        <f>IF(X2460="Sin Pago",0,IFERROR(INDEX(Pagos_Odoo!$E:$E, MATCH(X2460, Pagos_Odoo!$B:$B, 0)), 0))</f>
        <v/>
      </c>
      <c r="AC2460" s="79">
        <f>IF(X2460="Sin Pago","",IFERROR(INDEX(Pagos_Odoo!$G:$G, MATCH(X2460, Pagos_Odoo!$B:$B, 0)), ""))</f>
        <v/>
      </c>
      <c r="AD2460" s="82" t="n">
        <v>0</v>
      </c>
      <c r="AE2460" s="82" t="n"/>
      <c r="AF2460" s="82" t="n"/>
      <c r="AG2460" s="82">
        <f>IF(AN2460="","",AD2460+AE2460+AF2460)</f>
        <v/>
      </c>
      <c r="AH2460" s="81">
        <f>IF(AN2460="","",P2460*(1-AG2460))</f>
        <v/>
      </c>
      <c r="AI2460" s="81">
        <f>IF(AN2460="","",IF(Q2460="Sin Factura",0,IFERROR(INDEX(Facturas_Odoo!$H:$H, MATCH(Q2460, Facturas_Odoo!$B:$B, 0)), 0)*(1-AG2460)))</f>
        <v/>
      </c>
      <c r="AJ2460" s="81">
        <f>IF(AN2460="","",_xlfn.LET(idVenta, AN2460&amp;"",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60" s="81">
        <f>IF(AN2460="","",AH2460-AJ2460)</f>
        <v/>
      </c>
      <c r="AL2460" s="81">
        <f>IF(AN2460="","",IF(Q2460="Sin Factura","",AI2460-AJ2460))</f>
        <v/>
      </c>
      <c r="AM2460" s="81">
        <f>IF(AN2460="","",IF(Q2460="Sin Factura",0,P2460-IFERROR(INDEX(Facturas_Odoo!$H:$H, MATCH(Q2460, Facturas_Odoo!$B:$B, 0)), 0)))</f>
        <v/>
      </c>
      <c r="AN2460" s="79">
        <f>IF(AND(A2460="", J2460=""), "", IF(A2460&lt;&gt;"", VALUE(MID(A2460,2,LEN(A2460))), AN2459))</f>
        <v/>
      </c>
      <c r="AO2460" s="79">
        <f>IF(AN2460="","",IF(AD2460=0,"OK",_xlfn.LET(monedaPago, IF(AA2460="","USD",AA2460), limitePermitido, IFERROR(VLOOKUP(monedaPago, Configuración!$A$2:$B$3, 2, FALSE), 0.15), IF(AD2460&gt;limitePermitido, "ALERTA: EXCESO (" &amp; TEXT(limitePermitido, "0%") &amp; " máx)", "OK"))))</f>
        <v/>
      </c>
      <c r="AP2460" s="79">
        <f>IF(AN2460="","",IF(AE2460=0,"OK",_xlfn.LET(fechaPago, Z2460, fechaFactura, R2460, diasCredito, IF(E2460="Pago inmediato", 0, IFERROR(VALUE(MID(E2460, 1, SEARCH(" ", E2460)-1)),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60" s="79">
        <f>IF(AN2460="","",IF(AND(N2460&gt;0, AG2460&gt;0), IF(Configuración!$K$2="NO", "ALERTA: DESCUENTO DOBLE NO PERMITIDO", "OK"), "OK"))</f>
        <v/>
      </c>
      <c r="AR2460" s="79">
        <f>IF(AN2460="","",IF(OR(AO2460&lt;&gt;"OK", AP2460&lt;&gt;"OK", AQ2460&lt;&gt;"OK"), "⚠️ REVISAR", "OK"))</f>
        <v/>
      </c>
    </row>
    <row r="2461">
      <c r="A2461" s="79">
        <f>IF('Ordenes_Odoo'!A2461="","",'Ordenes_Odoo'!A2461)</f>
        <v/>
      </c>
      <c r="B2461" s="80">
        <f>IF('Ordenes_Odoo'!B2461="","",'Ordenes_Odoo'!B2461)</f>
        <v/>
      </c>
      <c r="C2461" s="79">
        <f>IF('Ordenes_Odoo'!C2461="","",'Ordenes_Odoo'!C2461)</f>
        <v/>
      </c>
      <c r="D2461" s="79">
        <f>IF('Ordenes_Odoo'!D2461="","",'Ordenes_Odoo'!D2461)</f>
        <v/>
      </c>
      <c r="E2461" s="79">
        <f>IF('Ordenes_Odoo'!E2461="","",'Ordenes_Odoo'!E2461)</f>
        <v/>
      </c>
      <c r="F2461" s="79">
        <f>IF('Ordenes_Odoo'!F2461="","",'Ordenes_Odoo'!F2461)</f>
        <v/>
      </c>
      <c r="G2461" s="79">
        <f>IF('Ordenes_Odoo'!G2461="","",'Ordenes_Odoo'!G2461)</f>
        <v/>
      </c>
      <c r="H2461" s="79">
        <f>IF('Ordenes_Odoo'!H2461="","",'Ordenes_Odoo'!H2461)</f>
        <v/>
      </c>
      <c r="I2461" s="79">
        <f>IF('Ordenes_Odoo'!I2461="","",'Ordenes_Odoo'!I2461)</f>
        <v/>
      </c>
      <c r="J2461" s="79">
        <f>IF('Ordenes_Odoo'!J2461="","",'Ordenes_Odoo'!J2461)</f>
        <v/>
      </c>
      <c r="K2461" s="81">
        <f>IF('Ordenes_Odoo'!K2461="","",'Ordenes_Odoo'!K2461)</f>
        <v/>
      </c>
      <c r="L2461" s="81">
        <f>IF('Ordenes_Odoo'!L2461="","",'Ordenes_Odoo'!L2461)</f>
        <v/>
      </c>
      <c r="M2461" s="79">
        <f>IF('Ordenes_Odoo'!M2461="","",'Ordenes_Odoo'!M2461)</f>
        <v/>
      </c>
      <c r="N2461" s="79">
        <f>IF('Ordenes_Odoo'!N2461="","",'Ordenes_Odoo'!N2461)</f>
        <v/>
      </c>
      <c r="O2461" s="81">
        <f>IF('Ordenes_Odoo'!O2461="","",'Ordenes_Odoo'!O2461)</f>
        <v/>
      </c>
      <c r="P2461" s="81">
        <f>IF('Ordenes_Odoo'!P2461="","",'Ordenes_Odoo'!P2461)</f>
        <v/>
      </c>
      <c r="Q2461" s="79">
        <f>IF(A2461="","",IFERROR(INDEX(Facturas_Odoo!$B:$B, MATCH(A2461, Facturas_Odoo!$D:$D, 0)), "Sin Factura"))</f>
        <v/>
      </c>
      <c r="R2461" s="80">
        <f>IF(Q2461="Sin Factura","",IFERROR(INDEX(Facturas_Odoo!$A:$A, MATCH(Q2461, Facturas_Odoo!$B:$B, 0)), ""))</f>
        <v/>
      </c>
      <c r="S2461" s="79">
        <f>IF(Q2461="Sin Factura","",IFERROR(_xlfn.XLOOKUP(1, (Facturas_Odoo!$D:$D=A2461) * (Facturas_Odoo!$K:$K=I2461), Facturas_Odoo!$L:$L, ""), ""))</f>
        <v/>
      </c>
      <c r="T2461" s="81">
        <f>IF(Q2461="Sin Factura",0,IFERROR(_xlfn.XLOOKUP(1, (Facturas_Odoo!$D:$D=A2461) * (Facturas_Odoo!$K:$K=I2461), Facturas_Odoo!$M:$M, 0), 0))</f>
        <v/>
      </c>
      <c r="U2461" s="79">
        <f>IF(Q2461="Sin Factura",0,IFERROR(_xlfn.XLOOKUP(1, (Facturas_Odoo!$D:$D=A2461) * (Facturas_Odoo!$K:$K=I2461), Facturas_Odoo!$N:$N, 0), 0))</f>
        <v/>
      </c>
      <c r="V2461" s="79">
        <f>IF(Q2461="Sin Factura",0,IFERROR(_xlfn.XLOOKUP(1, (Facturas_Odoo!$D:$D=A2461) * (Facturas_Odoo!$K:$K=I2461), Facturas_Odoo!$O:$O, 0), 0))</f>
        <v/>
      </c>
      <c r="W2461" s="81">
        <f>IF(Q2461="Sin Factura",0,IFERROR(_xlfn.XLOOKUP(1, (Facturas_Odoo!$D:$D=A2461) * (Facturas_Odoo!$K:$K=I2461), Facturas_Odoo!$Q:$Q, 0), 0))</f>
        <v/>
      </c>
      <c r="X2461" s="79">
        <f>IF(OR(Q2461="Sin Factura",Q2461=""),"",IFERROR(INDEX(Pagos_Odoo!$B:$B, MATCH(Q2461, Pagos_Odoo!$I:$I, 0)), "Sin Pago"))</f>
        <v/>
      </c>
      <c r="Y2461" s="79">
        <f>IF(X2461="Sin Pago","",IFERROR(INDEX(Pagos_Odoo!$C:$C, MATCH(X2461, Pagos_Odoo!$B:$B, 0)), ""))</f>
        <v/>
      </c>
      <c r="Z2461" s="80">
        <f>IF(X2461="Sin Pago","",IFERROR(INDEX(Pagos_Odoo!$A:$A, MATCH(X2461, Pagos_Odoo!$B:$B, 0)), ""))</f>
        <v/>
      </c>
      <c r="AA2461" s="79">
        <f>IF(X2461="Sin Pago","",IFERROR(INDEX(Pagos_Odoo!$F:$F, MATCH(X2461, Pagos_Odoo!$B:$B, 0)), ""))</f>
        <v/>
      </c>
      <c r="AB2461" s="81">
        <f>IF(X2461="Sin Pago",0,IFERROR(INDEX(Pagos_Odoo!$E:$E, MATCH(X2461, Pagos_Odoo!$B:$B, 0)), 0))</f>
        <v/>
      </c>
      <c r="AC2461" s="79">
        <f>IF(X2461="Sin Pago","",IFERROR(INDEX(Pagos_Odoo!$G:$G, MATCH(X2461, Pagos_Odoo!$B:$B, 0)), ""))</f>
        <v/>
      </c>
      <c r="AD2461" s="82" t="n">
        <v>0</v>
      </c>
      <c r="AE2461" s="82" t="n"/>
      <c r="AF2461" s="82" t="n"/>
      <c r="AG2461" s="82">
        <f>IF(AN2461="","",AD2461+AE2461+AF2461)</f>
        <v/>
      </c>
      <c r="AH2461" s="81">
        <f>IF(AN2461="","",P2461*(1-AG2461))</f>
        <v/>
      </c>
      <c r="AI2461" s="81">
        <f>IF(AN2461="","",IF(Q2461="Sin Factura",0,IFERROR(INDEX(Facturas_Odoo!$H:$H, MATCH(Q2461, Facturas_Odoo!$B:$B, 0)), 0)*(1-AG2461)))</f>
        <v/>
      </c>
      <c r="AJ2461" s="81">
        <f>IF(AN2461="","",_xlfn.LET(idVenta, AN2461&amp;"",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61" s="81">
        <f>IF(AN2461="","",AH2461-AJ2461)</f>
        <v/>
      </c>
      <c r="AL2461" s="81">
        <f>IF(AN2461="","",IF(Q2461="Sin Factura","",AI2461-AJ2461))</f>
        <v/>
      </c>
      <c r="AM2461" s="81">
        <f>IF(AN2461="","",IF(Q2461="Sin Factura",0,P2461-IFERROR(INDEX(Facturas_Odoo!$H:$H, MATCH(Q2461, Facturas_Odoo!$B:$B, 0)), 0)))</f>
        <v/>
      </c>
      <c r="AN2461" s="79">
        <f>IF(AND(A2461="", J2461=""), "", IF(A2461&lt;&gt;"", VALUE(MID(A2461,2,LEN(A2461))), AN2460))</f>
        <v/>
      </c>
      <c r="AO2461" s="79">
        <f>IF(AN2461="","",IF(AD2461=0,"OK",_xlfn.LET(monedaPago, IF(AA2461="","USD",AA2461), limitePermitido, IFERROR(VLOOKUP(monedaPago, Configuración!$A$2:$B$3, 2, FALSE), 0.15), IF(AD2461&gt;limitePermitido, "ALERTA: EXCESO (" &amp; TEXT(limitePermitido, "0%") &amp; " máx)", "OK"))))</f>
        <v/>
      </c>
      <c r="AP2461" s="79">
        <f>IF(AN2461="","",IF(AE2461=0,"OK",_xlfn.LET(fechaPago, Z2461, fechaFactura, R2461, diasCredito, IF(E2461="Pago inmediato", 0, IFERROR(VALUE(MID(E2461, 1, SEARCH(" ", E2461)-1)),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61" s="79">
        <f>IF(AN2461="","",IF(AND(N2461&gt;0, AG2461&gt;0), IF(Configuración!$K$2="NO", "ALERTA: DESCUENTO DOBLE NO PERMITIDO", "OK"), "OK"))</f>
        <v/>
      </c>
      <c r="AR2461" s="79">
        <f>IF(AN2461="","",IF(OR(AO2461&lt;&gt;"OK", AP2461&lt;&gt;"OK", AQ2461&lt;&gt;"OK"), "⚠️ REVISAR", "OK"))</f>
        <v/>
      </c>
    </row>
    <row r="2462">
      <c r="A2462" s="79">
        <f>IF('Ordenes_Odoo'!A2462="","",'Ordenes_Odoo'!A2462)</f>
        <v/>
      </c>
      <c r="B2462" s="80">
        <f>IF('Ordenes_Odoo'!B2462="","",'Ordenes_Odoo'!B2462)</f>
        <v/>
      </c>
      <c r="C2462" s="79">
        <f>IF('Ordenes_Odoo'!C2462="","",'Ordenes_Odoo'!C2462)</f>
        <v/>
      </c>
      <c r="D2462" s="79">
        <f>IF('Ordenes_Odoo'!D2462="","",'Ordenes_Odoo'!D2462)</f>
        <v/>
      </c>
      <c r="E2462" s="79">
        <f>IF('Ordenes_Odoo'!E2462="","",'Ordenes_Odoo'!E2462)</f>
        <v/>
      </c>
      <c r="F2462" s="79">
        <f>IF('Ordenes_Odoo'!F2462="","",'Ordenes_Odoo'!F2462)</f>
        <v/>
      </c>
      <c r="G2462" s="79">
        <f>IF('Ordenes_Odoo'!G2462="","",'Ordenes_Odoo'!G2462)</f>
        <v/>
      </c>
      <c r="H2462" s="79">
        <f>IF('Ordenes_Odoo'!H2462="","",'Ordenes_Odoo'!H2462)</f>
        <v/>
      </c>
      <c r="I2462" s="79">
        <f>IF('Ordenes_Odoo'!I2462="","",'Ordenes_Odoo'!I2462)</f>
        <v/>
      </c>
      <c r="J2462" s="79">
        <f>IF('Ordenes_Odoo'!J2462="","",'Ordenes_Odoo'!J2462)</f>
        <v/>
      </c>
      <c r="K2462" s="81">
        <f>IF('Ordenes_Odoo'!K2462="","",'Ordenes_Odoo'!K2462)</f>
        <v/>
      </c>
      <c r="L2462" s="81">
        <f>IF('Ordenes_Odoo'!L2462="","",'Ordenes_Odoo'!L2462)</f>
        <v/>
      </c>
      <c r="M2462" s="79">
        <f>IF('Ordenes_Odoo'!M2462="","",'Ordenes_Odoo'!M2462)</f>
        <v/>
      </c>
      <c r="N2462" s="79">
        <f>IF('Ordenes_Odoo'!N2462="","",'Ordenes_Odoo'!N2462)</f>
        <v/>
      </c>
      <c r="O2462" s="81">
        <f>IF('Ordenes_Odoo'!O2462="","",'Ordenes_Odoo'!O2462)</f>
        <v/>
      </c>
      <c r="P2462" s="81">
        <f>IF('Ordenes_Odoo'!P2462="","",'Ordenes_Odoo'!P2462)</f>
        <v/>
      </c>
      <c r="Q2462" s="79">
        <f>IF(A2462="","",IFERROR(INDEX(Facturas_Odoo!$B:$B, MATCH(A2462, Facturas_Odoo!$D:$D, 0)), "Sin Factura"))</f>
        <v/>
      </c>
      <c r="R2462" s="80">
        <f>IF(Q2462="Sin Factura","",IFERROR(INDEX(Facturas_Odoo!$A:$A, MATCH(Q2462, Facturas_Odoo!$B:$B, 0)), ""))</f>
        <v/>
      </c>
      <c r="S2462" s="79">
        <f>IF(Q2462="Sin Factura","",IFERROR(_xlfn.XLOOKUP(1, (Facturas_Odoo!$D:$D=A2462) * (Facturas_Odoo!$K:$K=I2462), Facturas_Odoo!$L:$L, ""), ""))</f>
        <v/>
      </c>
      <c r="T2462" s="81">
        <f>IF(Q2462="Sin Factura",0,IFERROR(_xlfn.XLOOKUP(1, (Facturas_Odoo!$D:$D=A2462) * (Facturas_Odoo!$K:$K=I2462), Facturas_Odoo!$M:$M, 0), 0))</f>
        <v/>
      </c>
      <c r="U2462" s="79">
        <f>IF(Q2462="Sin Factura",0,IFERROR(_xlfn.XLOOKUP(1, (Facturas_Odoo!$D:$D=A2462) * (Facturas_Odoo!$K:$K=I2462), Facturas_Odoo!$N:$N, 0), 0))</f>
        <v/>
      </c>
      <c r="V2462" s="79">
        <f>IF(Q2462="Sin Factura",0,IFERROR(_xlfn.XLOOKUP(1, (Facturas_Odoo!$D:$D=A2462) * (Facturas_Odoo!$K:$K=I2462), Facturas_Odoo!$O:$O, 0), 0))</f>
        <v/>
      </c>
      <c r="W2462" s="81">
        <f>IF(Q2462="Sin Factura",0,IFERROR(_xlfn.XLOOKUP(1, (Facturas_Odoo!$D:$D=A2462) * (Facturas_Odoo!$K:$K=I2462), Facturas_Odoo!$Q:$Q, 0), 0))</f>
        <v/>
      </c>
      <c r="X2462" s="79">
        <f>IF(OR(Q2462="Sin Factura",Q2462=""),"",IFERROR(INDEX(Pagos_Odoo!$B:$B, MATCH(Q2462, Pagos_Odoo!$I:$I, 0)), "Sin Pago"))</f>
        <v/>
      </c>
      <c r="Y2462" s="79">
        <f>IF(X2462="Sin Pago","",IFERROR(INDEX(Pagos_Odoo!$C:$C, MATCH(X2462, Pagos_Odoo!$B:$B, 0)), ""))</f>
        <v/>
      </c>
      <c r="Z2462" s="80">
        <f>IF(X2462="Sin Pago","",IFERROR(INDEX(Pagos_Odoo!$A:$A, MATCH(X2462, Pagos_Odoo!$B:$B, 0)), ""))</f>
        <v/>
      </c>
      <c r="AA2462" s="79">
        <f>IF(X2462="Sin Pago","",IFERROR(INDEX(Pagos_Odoo!$F:$F, MATCH(X2462, Pagos_Odoo!$B:$B, 0)), ""))</f>
        <v/>
      </c>
      <c r="AB2462" s="81">
        <f>IF(X2462="Sin Pago",0,IFERROR(INDEX(Pagos_Odoo!$E:$E, MATCH(X2462, Pagos_Odoo!$B:$B, 0)), 0))</f>
        <v/>
      </c>
      <c r="AC2462" s="79">
        <f>IF(X2462="Sin Pago","",IFERROR(INDEX(Pagos_Odoo!$G:$G, MATCH(X2462, Pagos_Odoo!$B:$B, 0)), ""))</f>
        <v/>
      </c>
      <c r="AD2462" s="82" t="n">
        <v>0</v>
      </c>
      <c r="AE2462" s="82" t="n"/>
      <c r="AF2462" s="82" t="n"/>
      <c r="AG2462" s="82">
        <f>IF(AN2462="","",AD2462+AE2462+AF2462)</f>
        <v/>
      </c>
      <c r="AH2462" s="81">
        <f>IF(AN2462="","",P2462*(1-AG2462))</f>
        <v/>
      </c>
      <c r="AI2462" s="81">
        <f>IF(AN2462="","",IF(Q2462="Sin Factura",0,IFERROR(INDEX(Facturas_Odoo!$H:$H, MATCH(Q2462, Facturas_Odoo!$B:$B, 0)), 0)*(1-AG2462)))</f>
        <v/>
      </c>
      <c r="AJ2462" s="81">
        <f>IF(AN2462="","",_xlfn.LET(idVenta, AN2462&amp;"",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62" s="81">
        <f>IF(AN2462="","",AH2462-AJ2462)</f>
        <v/>
      </c>
      <c r="AL2462" s="81">
        <f>IF(AN2462="","",IF(Q2462="Sin Factura","",AI2462-AJ2462))</f>
        <v/>
      </c>
      <c r="AM2462" s="81">
        <f>IF(AN2462="","",IF(Q2462="Sin Factura",0,P2462-IFERROR(INDEX(Facturas_Odoo!$H:$H, MATCH(Q2462, Facturas_Odoo!$B:$B, 0)), 0)))</f>
        <v/>
      </c>
      <c r="AN2462" s="79">
        <f>IF(AND(A2462="", J2462=""), "", IF(A2462&lt;&gt;"", VALUE(MID(A2462,2,LEN(A2462))), AN2461))</f>
        <v/>
      </c>
      <c r="AO2462" s="79">
        <f>IF(AN2462="","",IF(AD2462=0,"OK",_xlfn.LET(monedaPago, IF(AA2462="","USD",AA2462), limitePermitido, IFERROR(VLOOKUP(monedaPago, Configuración!$A$2:$B$3, 2, FALSE), 0.15), IF(AD2462&gt;limitePermitido, "ALERTA: EXCESO (" &amp; TEXT(limitePermitido, "0%") &amp; " máx)", "OK"))))</f>
        <v/>
      </c>
      <c r="AP2462" s="79">
        <f>IF(AN2462="","",IF(AE2462=0,"OK",_xlfn.LET(fechaPago, Z2462, fechaFactura, R2462, diasCredito, IF(E2462="Pago inmediato", 0, IFERROR(VALUE(MID(E2462, 1, SEARCH(" ", E2462)-1)),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62" s="79">
        <f>IF(AN2462="","",IF(AND(N2462&gt;0, AG2462&gt;0), IF(Configuración!$K$2="NO", "ALERTA: DESCUENTO DOBLE NO PERMITIDO", "OK"), "OK"))</f>
        <v/>
      </c>
      <c r="AR2462" s="79">
        <f>IF(AN2462="","",IF(OR(AO2462&lt;&gt;"OK", AP2462&lt;&gt;"OK", AQ2462&lt;&gt;"OK"), "⚠️ REVISAR", "OK"))</f>
        <v/>
      </c>
    </row>
    <row r="2463">
      <c r="A2463" s="79">
        <f>IF('Ordenes_Odoo'!A2463="","",'Ordenes_Odoo'!A2463)</f>
        <v/>
      </c>
      <c r="B2463" s="80">
        <f>IF('Ordenes_Odoo'!B2463="","",'Ordenes_Odoo'!B2463)</f>
        <v/>
      </c>
      <c r="C2463" s="79">
        <f>IF('Ordenes_Odoo'!C2463="","",'Ordenes_Odoo'!C2463)</f>
        <v/>
      </c>
      <c r="D2463" s="79">
        <f>IF('Ordenes_Odoo'!D2463="","",'Ordenes_Odoo'!D2463)</f>
        <v/>
      </c>
      <c r="E2463" s="79">
        <f>IF('Ordenes_Odoo'!E2463="","",'Ordenes_Odoo'!E2463)</f>
        <v/>
      </c>
      <c r="F2463" s="79">
        <f>IF('Ordenes_Odoo'!F2463="","",'Ordenes_Odoo'!F2463)</f>
        <v/>
      </c>
      <c r="G2463" s="79">
        <f>IF('Ordenes_Odoo'!G2463="","",'Ordenes_Odoo'!G2463)</f>
        <v/>
      </c>
      <c r="H2463" s="79">
        <f>IF('Ordenes_Odoo'!H2463="","",'Ordenes_Odoo'!H2463)</f>
        <v/>
      </c>
      <c r="I2463" s="79">
        <f>IF('Ordenes_Odoo'!I2463="","",'Ordenes_Odoo'!I2463)</f>
        <v/>
      </c>
      <c r="J2463" s="79">
        <f>IF('Ordenes_Odoo'!J2463="","",'Ordenes_Odoo'!J2463)</f>
        <v/>
      </c>
      <c r="K2463" s="81">
        <f>IF('Ordenes_Odoo'!K2463="","",'Ordenes_Odoo'!K2463)</f>
        <v/>
      </c>
      <c r="L2463" s="81">
        <f>IF('Ordenes_Odoo'!L2463="","",'Ordenes_Odoo'!L2463)</f>
        <v/>
      </c>
      <c r="M2463" s="79">
        <f>IF('Ordenes_Odoo'!M2463="","",'Ordenes_Odoo'!M2463)</f>
        <v/>
      </c>
      <c r="N2463" s="79">
        <f>IF('Ordenes_Odoo'!N2463="","",'Ordenes_Odoo'!N2463)</f>
        <v/>
      </c>
      <c r="O2463" s="81">
        <f>IF('Ordenes_Odoo'!O2463="","",'Ordenes_Odoo'!O2463)</f>
        <v/>
      </c>
      <c r="P2463" s="81">
        <f>IF('Ordenes_Odoo'!P2463="","",'Ordenes_Odoo'!P2463)</f>
        <v/>
      </c>
      <c r="Q2463" s="79">
        <f>IF(A2463="","",IFERROR(INDEX(Facturas_Odoo!$B:$B, MATCH(A2463, Facturas_Odoo!$D:$D, 0)), "Sin Factura"))</f>
        <v/>
      </c>
      <c r="R2463" s="80">
        <f>IF(Q2463="Sin Factura","",IFERROR(INDEX(Facturas_Odoo!$A:$A, MATCH(Q2463, Facturas_Odoo!$B:$B, 0)), ""))</f>
        <v/>
      </c>
      <c r="S2463" s="79">
        <f>IF(Q2463="Sin Factura","",IFERROR(_xlfn.XLOOKUP(1, (Facturas_Odoo!$D:$D=A2463) * (Facturas_Odoo!$K:$K=I2463), Facturas_Odoo!$L:$L, ""), ""))</f>
        <v/>
      </c>
      <c r="T2463" s="81">
        <f>IF(Q2463="Sin Factura",0,IFERROR(_xlfn.XLOOKUP(1, (Facturas_Odoo!$D:$D=A2463) * (Facturas_Odoo!$K:$K=I2463), Facturas_Odoo!$M:$M, 0), 0))</f>
        <v/>
      </c>
      <c r="U2463" s="79">
        <f>IF(Q2463="Sin Factura",0,IFERROR(_xlfn.XLOOKUP(1, (Facturas_Odoo!$D:$D=A2463) * (Facturas_Odoo!$K:$K=I2463), Facturas_Odoo!$N:$N, 0), 0))</f>
        <v/>
      </c>
      <c r="V2463" s="79">
        <f>IF(Q2463="Sin Factura",0,IFERROR(_xlfn.XLOOKUP(1, (Facturas_Odoo!$D:$D=A2463) * (Facturas_Odoo!$K:$K=I2463), Facturas_Odoo!$O:$O, 0), 0))</f>
        <v/>
      </c>
      <c r="W2463" s="81">
        <f>IF(Q2463="Sin Factura",0,IFERROR(_xlfn.XLOOKUP(1, (Facturas_Odoo!$D:$D=A2463) * (Facturas_Odoo!$K:$K=I2463), Facturas_Odoo!$Q:$Q, 0), 0))</f>
        <v/>
      </c>
      <c r="X2463" s="79">
        <f>IF(OR(Q2463="Sin Factura",Q2463=""),"",IFERROR(INDEX(Pagos_Odoo!$B:$B, MATCH(Q2463, Pagos_Odoo!$I:$I, 0)), "Sin Pago"))</f>
        <v/>
      </c>
      <c r="Y2463" s="79">
        <f>IF(X2463="Sin Pago","",IFERROR(INDEX(Pagos_Odoo!$C:$C, MATCH(X2463, Pagos_Odoo!$B:$B, 0)), ""))</f>
        <v/>
      </c>
      <c r="Z2463" s="80">
        <f>IF(X2463="Sin Pago","",IFERROR(INDEX(Pagos_Odoo!$A:$A, MATCH(X2463, Pagos_Odoo!$B:$B, 0)), ""))</f>
        <v/>
      </c>
      <c r="AA2463" s="79">
        <f>IF(X2463="Sin Pago","",IFERROR(INDEX(Pagos_Odoo!$F:$F, MATCH(X2463, Pagos_Odoo!$B:$B, 0)), ""))</f>
        <v/>
      </c>
      <c r="AB2463" s="81">
        <f>IF(X2463="Sin Pago",0,IFERROR(INDEX(Pagos_Odoo!$E:$E, MATCH(X2463, Pagos_Odoo!$B:$B, 0)), 0))</f>
        <v/>
      </c>
      <c r="AC2463" s="79">
        <f>IF(X2463="Sin Pago","",IFERROR(INDEX(Pagos_Odoo!$G:$G, MATCH(X2463, Pagos_Odoo!$B:$B, 0)), ""))</f>
        <v/>
      </c>
      <c r="AD2463" s="82" t="n">
        <v>0</v>
      </c>
      <c r="AE2463" s="82" t="n"/>
      <c r="AF2463" s="82" t="n"/>
      <c r="AG2463" s="82">
        <f>IF(AN2463="","",AD2463+AE2463+AF2463)</f>
        <v/>
      </c>
      <c r="AH2463" s="81">
        <f>IF(AN2463="","",P2463*(1-AG2463))</f>
        <v/>
      </c>
      <c r="AI2463" s="81">
        <f>IF(AN2463="","",IF(Q2463="Sin Factura",0,IFERROR(INDEX(Facturas_Odoo!$H:$H, MATCH(Q2463, Facturas_Odoo!$B:$B, 0)), 0)*(1-AG2463)))</f>
        <v/>
      </c>
      <c r="AJ2463" s="81">
        <f>IF(AN2463="","",_xlfn.LET(idVenta, AN2463&amp;"",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63" s="81">
        <f>IF(AN2463="","",AH2463-AJ2463)</f>
        <v/>
      </c>
      <c r="AL2463" s="81">
        <f>IF(AN2463="","",IF(Q2463="Sin Factura","",AI2463-AJ2463))</f>
        <v/>
      </c>
      <c r="AM2463" s="81">
        <f>IF(AN2463="","",IF(Q2463="Sin Factura",0,P2463-IFERROR(INDEX(Facturas_Odoo!$H:$H, MATCH(Q2463, Facturas_Odoo!$B:$B, 0)), 0)))</f>
        <v/>
      </c>
      <c r="AN2463" s="79">
        <f>IF(AND(A2463="", J2463=""), "", IF(A2463&lt;&gt;"", VALUE(MID(A2463,2,LEN(A2463))), AN2462))</f>
        <v/>
      </c>
      <c r="AO2463" s="79">
        <f>IF(AN2463="","",IF(AD2463=0,"OK",_xlfn.LET(monedaPago, IF(AA2463="","USD",AA2463), limitePermitido, IFERROR(VLOOKUP(monedaPago, Configuración!$A$2:$B$3, 2, FALSE), 0.15), IF(AD2463&gt;limitePermitido, "ALERTA: EXCESO (" &amp; TEXT(limitePermitido, "0%") &amp; " máx)", "OK"))))</f>
        <v/>
      </c>
      <c r="AP2463" s="79">
        <f>IF(AN2463="","",IF(AE2463=0,"OK",_xlfn.LET(fechaPago, Z2463, fechaFactura, R2463, diasCredito, IF(E2463="Pago inmediato", 0, IFERROR(VALUE(MID(E2463, 1, SEARCH(" ", E2463)-1)),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63" s="79">
        <f>IF(AN2463="","",IF(AND(N2463&gt;0, AG2463&gt;0), IF(Configuración!$K$2="NO", "ALERTA: DESCUENTO DOBLE NO PERMITIDO", "OK"), "OK"))</f>
        <v/>
      </c>
      <c r="AR2463" s="79">
        <f>IF(AN2463="","",IF(OR(AO2463&lt;&gt;"OK", AP2463&lt;&gt;"OK", AQ2463&lt;&gt;"OK"), "⚠️ REVISAR", "OK"))</f>
        <v/>
      </c>
    </row>
    <row r="2464">
      <c r="A2464" s="79">
        <f>IF('Ordenes_Odoo'!A2464="","",'Ordenes_Odoo'!A2464)</f>
        <v/>
      </c>
      <c r="B2464" s="80">
        <f>IF('Ordenes_Odoo'!B2464="","",'Ordenes_Odoo'!B2464)</f>
        <v/>
      </c>
      <c r="C2464" s="79">
        <f>IF('Ordenes_Odoo'!C2464="","",'Ordenes_Odoo'!C2464)</f>
        <v/>
      </c>
      <c r="D2464" s="79">
        <f>IF('Ordenes_Odoo'!D2464="","",'Ordenes_Odoo'!D2464)</f>
        <v/>
      </c>
      <c r="E2464" s="79">
        <f>IF('Ordenes_Odoo'!E2464="","",'Ordenes_Odoo'!E2464)</f>
        <v/>
      </c>
      <c r="F2464" s="79">
        <f>IF('Ordenes_Odoo'!F2464="","",'Ordenes_Odoo'!F2464)</f>
        <v/>
      </c>
      <c r="G2464" s="79">
        <f>IF('Ordenes_Odoo'!G2464="","",'Ordenes_Odoo'!G2464)</f>
        <v/>
      </c>
      <c r="H2464" s="79">
        <f>IF('Ordenes_Odoo'!H2464="","",'Ordenes_Odoo'!H2464)</f>
        <v/>
      </c>
      <c r="I2464" s="79">
        <f>IF('Ordenes_Odoo'!I2464="","",'Ordenes_Odoo'!I2464)</f>
        <v/>
      </c>
      <c r="J2464" s="79">
        <f>IF('Ordenes_Odoo'!J2464="","",'Ordenes_Odoo'!J2464)</f>
        <v/>
      </c>
      <c r="K2464" s="81">
        <f>IF('Ordenes_Odoo'!K2464="","",'Ordenes_Odoo'!K2464)</f>
        <v/>
      </c>
      <c r="L2464" s="81">
        <f>IF('Ordenes_Odoo'!L2464="","",'Ordenes_Odoo'!L2464)</f>
        <v/>
      </c>
      <c r="M2464" s="79">
        <f>IF('Ordenes_Odoo'!M2464="","",'Ordenes_Odoo'!M2464)</f>
        <v/>
      </c>
      <c r="N2464" s="79">
        <f>IF('Ordenes_Odoo'!N2464="","",'Ordenes_Odoo'!N2464)</f>
        <v/>
      </c>
      <c r="O2464" s="81">
        <f>IF('Ordenes_Odoo'!O2464="","",'Ordenes_Odoo'!O2464)</f>
        <v/>
      </c>
      <c r="P2464" s="81">
        <f>IF('Ordenes_Odoo'!P2464="","",'Ordenes_Odoo'!P2464)</f>
        <v/>
      </c>
      <c r="Q2464" s="79">
        <f>IF(A2464="","",IFERROR(INDEX(Facturas_Odoo!$B:$B, MATCH(A2464, Facturas_Odoo!$D:$D, 0)), "Sin Factura"))</f>
        <v/>
      </c>
      <c r="R2464" s="80">
        <f>IF(Q2464="Sin Factura","",IFERROR(INDEX(Facturas_Odoo!$A:$A, MATCH(Q2464, Facturas_Odoo!$B:$B, 0)), ""))</f>
        <v/>
      </c>
      <c r="S2464" s="79">
        <f>IF(Q2464="Sin Factura","",IFERROR(_xlfn.XLOOKUP(1, (Facturas_Odoo!$D:$D=A2464) * (Facturas_Odoo!$K:$K=I2464), Facturas_Odoo!$L:$L, ""), ""))</f>
        <v/>
      </c>
      <c r="T2464" s="81">
        <f>IF(Q2464="Sin Factura",0,IFERROR(_xlfn.XLOOKUP(1, (Facturas_Odoo!$D:$D=A2464) * (Facturas_Odoo!$K:$K=I2464), Facturas_Odoo!$M:$M, 0), 0))</f>
        <v/>
      </c>
      <c r="U2464" s="79">
        <f>IF(Q2464="Sin Factura",0,IFERROR(_xlfn.XLOOKUP(1, (Facturas_Odoo!$D:$D=A2464) * (Facturas_Odoo!$K:$K=I2464), Facturas_Odoo!$N:$N, 0), 0))</f>
        <v/>
      </c>
      <c r="V2464" s="79">
        <f>IF(Q2464="Sin Factura",0,IFERROR(_xlfn.XLOOKUP(1, (Facturas_Odoo!$D:$D=A2464) * (Facturas_Odoo!$K:$K=I2464), Facturas_Odoo!$O:$O, 0), 0))</f>
        <v/>
      </c>
      <c r="W2464" s="81">
        <f>IF(Q2464="Sin Factura",0,IFERROR(_xlfn.XLOOKUP(1, (Facturas_Odoo!$D:$D=A2464) * (Facturas_Odoo!$K:$K=I2464), Facturas_Odoo!$Q:$Q, 0), 0))</f>
        <v/>
      </c>
      <c r="X2464" s="79">
        <f>IF(OR(Q2464="Sin Factura",Q2464=""),"",IFERROR(INDEX(Pagos_Odoo!$B:$B, MATCH(Q2464, Pagos_Odoo!$I:$I, 0)), "Sin Pago"))</f>
        <v/>
      </c>
      <c r="Y2464" s="79">
        <f>IF(X2464="Sin Pago","",IFERROR(INDEX(Pagos_Odoo!$C:$C, MATCH(X2464, Pagos_Odoo!$B:$B, 0)), ""))</f>
        <v/>
      </c>
      <c r="Z2464" s="80">
        <f>IF(X2464="Sin Pago","",IFERROR(INDEX(Pagos_Odoo!$A:$A, MATCH(X2464, Pagos_Odoo!$B:$B, 0)), ""))</f>
        <v/>
      </c>
      <c r="AA2464" s="79">
        <f>IF(X2464="Sin Pago","",IFERROR(INDEX(Pagos_Odoo!$F:$F, MATCH(X2464, Pagos_Odoo!$B:$B, 0)), ""))</f>
        <v/>
      </c>
      <c r="AB2464" s="81">
        <f>IF(X2464="Sin Pago",0,IFERROR(INDEX(Pagos_Odoo!$E:$E, MATCH(X2464, Pagos_Odoo!$B:$B, 0)), 0))</f>
        <v/>
      </c>
      <c r="AC2464" s="79">
        <f>IF(X2464="Sin Pago","",IFERROR(INDEX(Pagos_Odoo!$G:$G, MATCH(X2464, Pagos_Odoo!$B:$B, 0)), ""))</f>
        <v/>
      </c>
      <c r="AD2464" s="82" t="n">
        <v>0</v>
      </c>
      <c r="AE2464" s="82" t="n"/>
      <c r="AF2464" s="82" t="n"/>
      <c r="AG2464" s="82">
        <f>IF(AN2464="","",AD2464+AE2464+AF2464)</f>
        <v/>
      </c>
      <c r="AH2464" s="81">
        <f>IF(AN2464="","",P2464*(1-AG2464))</f>
        <v/>
      </c>
      <c r="AI2464" s="81">
        <f>IF(AN2464="","",IF(Q2464="Sin Factura",0,IFERROR(INDEX(Facturas_Odoo!$H:$H, MATCH(Q2464, Facturas_Odoo!$B:$B, 0)), 0)*(1-AG2464)))</f>
        <v/>
      </c>
      <c r="AJ2464" s="81">
        <f>IF(AN2464="","",_xlfn.LET(idVenta, AN2464&amp;"",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64" s="81">
        <f>IF(AN2464="","",AH2464-AJ2464)</f>
        <v/>
      </c>
      <c r="AL2464" s="81">
        <f>IF(AN2464="","",IF(Q2464="Sin Factura","",AI2464-AJ2464))</f>
        <v/>
      </c>
      <c r="AM2464" s="81">
        <f>IF(AN2464="","",IF(Q2464="Sin Factura",0,P2464-IFERROR(INDEX(Facturas_Odoo!$H:$H, MATCH(Q2464, Facturas_Odoo!$B:$B, 0)), 0)))</f>
        <v/>
      </c>
      <c r="AN2464" s="79">
        <f>IF(AND(A2464="", J2464=""), "", IF(A2464&lt;&gt;"", VALUE(MID(A2464,2,LEN(A2464))), AN2463))</f>
        <v/>
      </c>
      <c r="AO2464" s="79">
        <f>IF(AN2464="","",IF(AD2464=0,"OK",_xlfn.LET(monedaPago, IF(AA2464="","USD",AA2464), limitePermitido, IFERROR(VLOOKUP(monedaPago, Configuración!$A$2:$B$3, 2, FALSE), 0.15), IF(AD2464&gt;limitePermitido, "ALERTA: EXCESO (" &amp; TEXT(limitePermitido, "0%") &amp; " máx)", "OK"))))</f>
        <v/>
      </c>
      <c r="AP2464" s="79">
        <f>IF(AN2464="","",IF(AE2464=0,"OK",_xlfn.LET(fechaPago, Z2464, fechaFactura, R2464, diasCredito, IF(E2464="Pago inmediato", 0, IFERROR(VALUE(MID(E2464, 1, SEARCH(" ", E2464)-1)),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64" s="79">
        <f>IF(AN2464="","",IF(AND(N2464&gt;0, AG2464&gt;0), IF(Configuración!$K$2="NO", "ALERTA: DESCUENTO DOBLE NO PERMITIDO", "OK"), "OK"))</f>
        <v/>
      </c>
      <c r="AR2464" s="79">
        <f>IF(AN2464="","",IF(OR(AO2464&lt;&gt;"OK", AP2464&lt;&gt;"OK", AQ2464&lt;&gt;"OK"), "⚠️ REVISAR", "OK"))</f>
        <v/>
      </c>
    </row>
    <row r="2465">
      <c r="A2465" s="79">
        <f>IF('Ordenes_Odoo'!A2465="","",'Ordenes_Odoo'!A2465)</f>
        <v/>
      </c>
      <c r="B2465" s="80">
        <f>IF('Ordenes_Odoo'!B2465="","",'Ordenes_Odoo'!B2465)</f>
        <v/>
      </c>
      <c r="C2465" s="79">
        <f>IF('Ordenes_Odoo'!C2465="","",'Ordenes_Odoo'!C2465)</f>
        <v/>
      </c>
      <c r="D2465" s="79">
        <f>IF('Ordenes_Odoo'!D2465="","",'Ordenes_Odoo'!D2465)</f>
        <v/>
      </c>
      <c r="E2465" s="79">
        <f>IF('Ordenes_Odoo'!E2465="","",'Ordenes_Odoo'!E2465)</f>
        <v/>
      </c>
      <c r="F2465" s="79">
        <f>IF('Ordenes_Odoo'!F2465="","",'Ordenes_Odoo'!F2465)</f>
        <v/>
      </c>
      <c r="G2465" s="79">
        <f>IF('Ordenes_Odoo'!G2465="","",'Ordenes_Odoo'!G2465)</f>
        <v/>
      </c>
      <c r="H2465" s="79">
        <f>IF('Ordenes_Odoo'!H2465="","",'Ordenes_Odoo'!H2465)</f>
        <v/>
      </c>
      <c r="I2465" s="79">
        <f>IF('Ordenes_Odoo'!I2465="","",'Ordenes_Odoo'!I2465)</f>
        <v/>
      </c>
      <c r="J2465" s="79">
        <f>IF('Ordenes_Odoo'!J2465="","",'Ordenes_Odoo'!J2465)</f>
        <v/>
      </c>
      <c r="K2465" s="81">
        <f>IF('Ordenes_Odoo'!K2465="","",'Ordenes_Odoo'!K2465)</f>
        <v/>
      </c>
      <c r="L2465" s="81">
        <f>IF('Ordenes_Odoo'!L2465="","",'Ordenes_Odoo'!L2465)</f>
        <v/>
      </c>
      <c r="M2465" s="79">
        <f>IF('Ordenes_Odoo'!M2465="","",'Ordenes_Odoo'!M2465)</f>
        <v/>
      </c>
      <c r="N2465" s="79">
        <f>IF('Ordenes_Odoo'!N2465="","",'Ordenes_Odoo'!N2465)</f>
        <v/>
      </c>
      <c r="O2465" s="81">
        <f>IF('Ordenes_Odoo'!O2465="","",'Ordenes_Odoo'!O2465)</f>
        <v/>
      </c>
      <c r="P2465" s="81">
        <f>IF('Ordenes_Odoo'!P2465="","",'Ordenes_Odoo'!P2465)</f>
        <v/>
      </c>
      <c r="Q2465" s="79">
        <f>IF(A2465="","",IFERROR(INDEX(Facturas_Odoo!$B:$B, MATCH(A2465, Facturas_Odoo!$D:$D, 0)), "Sin Factura"))</f>
        <v/>
      </c>
      <c r="R2465" s="80">
        <f>IF(Q2465="Sin Factura","",IFERROR(INDEX(Facturas_Odoo!$A:$A, MATCH(Q2465, Facturas_Odoo!$B:$B, 0)), ""))</f>
        <v/>
      </c>
      <c r="S2465" s="79">
        <f>IF(Q2465="Sin Factura","",IFERROR(_xlfn.XLOOKUP(1, (Facturas_Odoo!$D:$D=A2465) * (Facturas_Odoo!$K:$K=I2465), Facturas_Odoo!$L:$L, ""), ""))</f>
        <v/>
      </c>
      <c r="T2465" s="81">
        <f>IF(Q2465="Sin Factura",0,IFERROR(_xlfn.XLOOKUP(1, (Facturas_Odoo!$D:$D=A2465) * (Facturas_Odoo!$K:$K=I2465), Facturas_Odoo!$M:$M, 0), 0))</f>
        <v/>
      </c>
      <c r="U2465" s="79">
        <f>IF(Q2465="Sin Factura",0,IFERROR(_xlfn.XLOOKUP(1, (Facturas_Odoo!$D:$D=A2465) * (Facturas_Odoo!$K:$K=I2465), Facturas_Odoo!$N:$N, 0), 0))</f>
        <v/>
      </c>
      <c r="V2465" s="79">
        <f>IF(Q2465="Sin Factura",0,IFERROR(_xlfn.XLOOKUP(1, (Facturas_Odoo!$D:$D=A2465) * (Facturas_Odoo!$K:$K=I2465), Facturas_Odoo!$O:$O, 0), 0))</f>
        <v/>
      </c>
      <c r="W2465" s="81">
        <f>IF(Q2465="Sin Factura",0,IFERROR(_xlfn.XLOOKUP(1, (Facturas_Odoo!$D:$D=A2465) * (Facturas_Odoo!$K:$K=I2465), Facturas_Odoo!$Q:$Q, 0), 0))</f>
        <v/>
      </c>
      <c r="X2465" s="79">
        <f>IF(OR(Q2465="Sin Factura",Q2465=""),"",IFERROR(INDEX(Pagos_Odoo!$B:$B, MATCH(Q2465, Pagos_Odoo!$I:$I, 0)), "Sin Pago"))</f>
        <v/>
      </c>
      <c r="Y2465" s="79">
        <f>IF(X2465="Sin Pago","",IFERROR(INDEX(Pagos_Odoo!$C:$C, MATCH(X2465, Pagos_Odoo!$B:$B, 0)), ""))</f>
        <v/>
      </c>
      <c r="Z2465" s="80">
        <f>IF(X2465="Sin Pago","",IFERROR(INDEX(Pagos_Odoo!$A:$A, MATCH(X2465, Pagos_Odoo!$B:$B, 0)), ""))</f>
        <v/>
      </c>
      <c r="AA2465" s="79">
        <f>IF(X2465="Sin Pago","",IFERROR(INDEX(Pagos_Odoo!$F:$F, MATCH(X2465, Pagos_Odoo!$B:$B, 0)), ""))</f>
        <v/>
      </c>
      <c r="AB2465" s="81">
        <f>IF(X2465="Sin Pago",0,IFERROR(INDEX(Pagos_Odoo!$E:$E, MATCH(X2465, Pagos_Odoo!$B:$B, 0)), 0))</f>
        <v/>
      </c>
      <c r="AC2465" s="79">
        <f>IF(X2465="Sin Pago","",IFERROR(INDEX(Pagos_Odoo!$G:$G, MATCH(X2465, Pagos_Odoo!$B:$B, 0)), ""))</f>
        <v/>
      </c>
      <c r="AD2465" s="82" t="n">
        <v>0</v>
      </c>
      <c r="AE2465" s="82" t="n"/>
      <c r="AF2465" s="82" t="n"/>
      <c r="AG2465" s="82">
        <f>IF(AN2465="","",AD2465+AE2465+AF2465)</f>
        <v/>
      </c>
      <c r="AH2465" s="81">
        <f>IF(AN2465="","",P2465*(1-AG2465))</f>
        <v/>
      </c>
      <c r="AI2465" s="81">
        <f>IF(AN2465="","",IF(Q2465="Sin Factura",0,IFERROR(INDEX(Facturas_Odoo!$H:$H, MATCH(Q2465, Facturas_Odoo!$B:$B, 0)), 0)*(1-AG2465)))</f>
        <v/>
      </c>
      <c r="AJ2465" s="81">
        <f>IF(AN2465="","",_xlfn.LET(idVenta, AN2465&amp;"",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65" s="81">
        <f>IF(AN2465="","",AH2465-AJ2465)</f>
        <v/>
      </c>
      <c r="AL2465" s="81">
        <f>IF(AN2465="","",IF(Q2465="Sin Factura","",AI2465-AJ2465))</f>
        <v/>
      </c>
      <c r="AM2465" s="81">
        <f>IF(AN2465="","",IF(Q2465="Sin Factura",0,P2465-IFERROR(INDEX(Facturas_Odoo!$H:$H, MATCH(Q2465, Facturas_Odoo!$B:$B, 0)), 0)))</f>
        <v/>
      </c>
      <c r="AN2465" s="79">
        <f>IF(AND(A2465="", J2465=""), "", IF(A2465&lt;&gt;"", VALUE(MID(A2465,2,LEN(A2465))), AN2464))</f>
        <v/>
      </c>
      <c r="AO2465" s="79">
        <f>IF(AN2465="","",IF(AD2465=0,"OK",_xlfn.LET(monedaPago, IF(AA2465="","USD",AA2465), limitePermitido, IFERROR(VLOOKUP(monedaPago, Configuración!$A$2:$B$3, 2, FALSE), 0.15), IF(AD2465&gt;limitePermitido, "ALERTA: EXCESO (" &amp; TEXT(limitePermitido, "0%") &amp; " máx)", "OK"))))</f>
        <v/>
      </c>
      <c r="AP2465" s="79">
        <f>IF(AN2465="","",IF(AE2465=0,"OK",_xlfn.LET(fechaPago, Z2465, fechaFactura, R2465, diasCredito, IF(E2465="Pago inmediato", 0, IFERROR(VALUE(MID(E2465, 1, SEARCH(" ", E2465)-1)),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65" s="79">
        <f>IF(AN2465="","",IF(AND(N2465&gt;0, AG2465&gt;0), IF(Configuración!$K$2="NO", "ALERTA: DESCUENTO DOBLE NO PERMITIDO", "OK"), "OK"))</f>
        <v/>
      </c>
      <c r="AR2465" s="79">
        <f>IF(AN2465="","",IF(OR(AO2465&lt;&gt;"OK", AP2465&lt;&gt;"OK", AQ2465&lt;&gt;"OK"), "⚠️ REVISAR", "OK"))</f>
        <v/>
      </c>
    </row>
    <row r="2466">
      <c r="A2466" s="79">
        <f>IF('Ordenes_Odoo'!A2466="","",'Ordenes_Odoo'!A2466)</f>
        <v/>
      </c>
      <c r="B2466" s="80">
        <f>IF('Ordenes_Odoo'!B2466="","",'Ordenes_Odoo'!B2466)</f>
        <v/>
      </c>
      <c r="C2466" s="79">
        <f>IF('Ordenes_Odoo'!C2466="","",'Ordenes_Odoo'!C2466)</f>
        <v/>
      </c>
      <c r="D2466" s="79">
        <f>IF('Ordenes_Odoo'!D2466="","",'Ordenes_Odoo'!D2466)</f>
        <v/>
      </c>
      <c r="E2466" s="79">
        <f>IF('Ordenes_Odoo'!E2466="","",'Ordenes_Odoo'!E2466)</f>
        <v/>
      </c>
      <c r="F2466" s="79">
        <f>IF('Ordenes_Odoo'!F2466="","",'Ordenes_Odoo'!F2466)</f>
        <v/>
      </c>
      <c r="G2466" s="79">
        <f>IF('Ordenes_Odoo'!G2466="","",'Ordenes_Odoo'!G2466)</f>
        <v/>
      </c>
      <c r="H2466" s="79">
        <f>IF('Ordenes_Odoo'!H2466="","",'Ordenes_Odoo'!H2466)</f>
        <v/>
      </c>
      <c r="I2466" s="79">
        <f>IF('Ordenes_Odoo'!I2466="","",'Ordenes_Odoo'!I2466)</f>
        <v/>
      </c>
      <c r="J2466" s="79">
        <f>IF('Ordenes_Odoo'!J2466="","",'Ordenes_Odoo'!J2466)</f>
        <v/>
      </c>
      <c r="K2466" s="81">
        <f>IF('Ordenes_Odoo'!K2466="","",'Ordenes_Odoo'!K2466)</f>
        <v/>
      </c>
      <c r="L2466" s="81">
        <f>IF('Ordenes_Odoo'!L2466="","",'Ordenes_Odoo'!L2466)</f>
        <v/>
      </c>
      <c r="M2466" s="79">
        <f>IF('Ordenes_Odoo'!M2466="","",'Ordenes_Odoo'!M2466)</f>
        <v/>
      </c>
      <c r="N2466" s="79">
        <f>IF('Ordenes_Odoo'!N2466="","",'Ordenes_Odoo'!N2466)</f>
        <v/>
      </c>
      <c r="O2466" s="81">
        <f>IF('Ordenes_Odoo'!O2466="","",'Ordenes_Odoo'!O2466)</f>
        <v/>
      </c>
      <c r="P2466" s="81">
        <f>IF('Ordenes_Odoo'!P2466="","",'Ordenes_Odoo'!P2466)</f>
        <v/>
      </c>
      <c r="Q2466" s="79">
        <f>IF(A2466="","",IFERROR(INDEX(Facturas_Odoo!$B:$B, MATCH(A2466, Facturas_Odoo!$D:$D, 0)), "Sin Factura"))</f>
        <v/>
      </c>
      <c r="R2466" s="80">
        <f>IF(Q2466="Sin Factura","",IFERROR(INDEX(Facturas_Odoo!$A:$A, MATCH(Q2466, Facturas_Odoo!$B:$B, 0)), ""))</f>
        <v/>
      </c>
      <c r="S2466" s="79">
        <f>IF(Q2466="Sin Factura","",IFERROR(_xlfn.XLOOKUP(1, (Facturas_Odoo!$D:$D=A2466) * (Facturas_Odoo!$K:$K=I2466), Facturas_Odoo!$L:$L, ""), ""))</f>
        <v/>
      </c>
      <c r="T2466" s="81">
        <f>IF(Q2466="Sin Factura",0,IFERROR(_xlfn.XLOOKUP(1, (Facturas_Odoo!$D:$D=A2466) * (Facturas_Odoo!$K:$K=I2466), Facturas_Odoo!$M:$M, 0), 0))</f>
        <v/>
      </c>
      <c r="U2466" s="79">
        <f>IF(Q2466="Sin Factura",0,IFERROR(_xlfn.XLOOKUP(1, (Facturas_Odoo!$D:$D=A2466) * (Facturas_Odoo!$K:$K=I2466), Facturas_Odoo!$N:$N, 0), 0))</f>
        <v/>
      </c>
      <c r="V2466" s="79">
        <f>IF(Q2466="Sin Factura",0,IFERROR(_xlfn.XLOOKUP(1, (Facturas_Odoo!$D:$D=A2466) * (Facturas_Odoo!$K:$K=I2466), Facturas_Odoo!$O:$O, 0), 0))</f>
        <v/>
      </c>
      <c r="W2466" s="81">
        <f>IF(Q2466="Sin Factura",0,IFERROR(_xlfn.XLOOKUP(1, (Facturas_Odoo!$D:$D=A2466) * (Facturas_Odoo!$K:$K=I2466), Facturas_Odoo!$Q:$Q, 0), 0))</f>
        <v/>
      </c>
      <c r="X2466" s="79">
        <f>IF(OR(Q2466="Sin Factura",Q2466=""),"",IFERROR(INDEX(Pagos_Odoo!$B:$B, MATCH(Q2466, Pagos_Odoo!$I:$I, 0)), "Sin Pago"))</f>
        <v/>
      </c>
      <c r="Y2466" s="79">
        <f>IF(X2466="Sin Pago","",IFERROR(INDEX(Pagos_Odoo!$C:$C, MATCH(X2466, Pagos_Odoo!$B:$B, 0)), ""))</f>
        <v/>
      </c>
      <c r="Z2466" s="80">
        <f>IF(X2466="Sin Pago","",IFERROR(INDEX(Pagos_Odoo!$A:$A, MATCH(X2466, Pagos_Odoo!$B:$B, 0)), ""))</f>
        <v/>
      </c>
      <c r="AA2466" s="79">
        <f>IF(X2466="Sin Pago","",IFERROR(INDEX(Pagos_Odoo!$F:$F, MATCH(X2466, Pagos_Odoo!$B:$B, 0)), ""))</f>
        <v/>
      </c>
      <c r="AB2466" s="81">
        <f>IF(X2466="Sin Pago",0,IFERROR(INDEX(Pagos_Odoo!$E:$E, MATCH(X2466, Pagos_Odoo!$B:$B, 0)), 0))</f>
        <v/>
      </c>
      <c r="AC2466" s="79">
        <f>IF(X2466="Sin Pago","",IFERROR(INDEX(Pagos_Odoo!$G:$G, MATCH(X2466, Pagos_Odoo!$B:$B, 0)), ""))</f>
        <v/>
      </c>
      <c r="AD2466" s="82" t="n">
        <v>0</v>
      </c>
      <c r="AE2466" s="82" t="n"/>
      <c r="AF2466" s="82" t="n"/>
      <c r="AG2466" s="82">
        <f>IF(AN2466="","",AD2466+AE2466+AF2466)</f>
        <v/>
      </c>
      <c r="AH2466" s="81">
        <f>IF(AN2466="","",P2466*(1-AG2466))</f>
        <v/>
      </c>
      <c r="AI2466" s="81">
        <f>IF(AN2466="","",IF(Q2466="Sin Factura",0,IFERROR(INDEX(Facturas_Odoo!$H:$H, MATCH(Q2466, Facturas_Odoo!$B:$B, 0)), 0)*(1-AG2466)))</f>
        <v/>
      </c>
      <c r="AJ2466" s="81">
        <f>IF(AN2466="","",_xlfn.LET(idVenta, AN2466&amp;"",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66" s="81">
        <f>IF(AN2466="","",AH2466-AJ2466)</f>
        <v/>
      </c>
      <c r="AL2466" s="81">
        <f>IF(AN2466="","",IF(Q2466="Sin Factura","",AI2466-AJ2466))</f>
        <v/>
      </c>
      <c r="AM2466" s="81">
        <f>IF(AN2466="","",IF(Q2466="Sin Factura",0,P2466-IFERROR(INDEX(Facturas_Odoo!$H:$H, MATCH(Q2466, Facturas_Odoo!$B:$B, 0)), 0)))</f>
        <v/>
      </c>
      <c r="AN2466" s="79">
        <f>IF(AND(A2466="", J2466=""), "", IF(A2466&lt;&gt;"", VALUE(MID(A2466,2,LEN(A2466))), AN2465))</f>
        <v/>
      </c>
      <c r="AO2466" s="79">
        <f>IF(AN2466="","",IF(AD2466=0,"OK",_xlfn.LET(monedaPago, IF(AA2466="","USD",AA2466), limitePermitido, IFERROR(VLOOKUP(monedaPago, Configuración!$A$2:$B$3, 2, FALSE), 0.15), IF(AD2466&gt;limitePermitido, "ALERTA: EXCESO (" &amp; TEXT(limitePermitido, "0%") &amp; " máx)", "OK"))))</f>
        <v/>
      </c>
      <c r="AP2466" s="79">
        <f>IF(AN2466="","",IF(AE2466=0,"OK",_xlfn.LET(fechaPago, Z2466, fechaFactura, R2466, diasCredito, IF(E2466="Pago inmediato", 0, IFERROR(VALUE(MID(E2466, 1, SEARCH(" ", E2466)-1)),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66" s="79">
        <f>IF(AN2466="","",IF(AND(N2466&gt;0, AG2466&gt;0), IF(Configuración!$K$2="NO", "ALERTA: DESCUENTO DOBLE NO PERMITIDO", "OK"), "OK"))</f>
        <v/>
      </c>
      <c r="AR2466" s="79">
        <f>IF(AN2466="","",IF(OR(AO2466&lt;&gt;"OK", AP2466&lt;&gt;"OK", AQ2466&lt;&gt;"OK"), "⚠️ REVISAR", "OK"))</f>
        <v/>
      </c>
    </row>
    <row r="2467">
      <c r="A2467" s="79">
        <f>IF('Ordenes_Odoo'!A2467="","",'Ordenes_Odoo'!A2467)</f>
        <v/>
      </c>
      <c r="B2467" s="80">
        <f>IF('Ordenes_Odoo'!B2467="","",'Ordenes_Odoo'!B2467)</f>
        <v/>
      </c>
      <c r="C2467" s="79">
        <f>IF('Ordenes_Odoo'!C2467="","",'Ordenes_Odoo'!C2467)</f>
        <v/>
      </c>
      <c r="D2467" s="79">
        <f>IF('Ordenes_Odoo'!D2467="","",'Ordenes_Odoo'!D2467)</f>
        <v/>
      </c>
      <c r="E2467" s="79">
        <f>IF('Ordenes_Odoo'!E2467="","",'Ordenes_Odoo'!E2467)</f>
        <v/>
      </c>
      <c r="F2467" s="79">
        <f>IF('Ordenes_Odoo'!F2467="","",'Ordenes_Odoo'!F2467)</f>
        <v/>
      </c>
      <c r="G2467" s="79">
        <f>IF('Ordenes_Odoo'!G2467="","",'Ordenes_Odoo'!G2467)</f>
        <v/>
      </c>
      <c r="H2467" s="79">
        <f>IF('Ordenes_Odoo'!H2467="","",'Ordenes_Odoo'!H2467)</f>
        <v/>
      </c>
      <c r="I2467" s="79">
        <f>IF('Ordenes_Odoo'!I2467="","",'Ordenes_Odoo'!I2467)</f>
        <v/>
      </c>
      <c r="J2467" s="79">
        <f>IF('Ordenes_Odoo'!J2467="","",'Ordenes_Odoo'!J2467)</f>
        <v/>
      </c>
      <c r="K2467" s="81">
        <f>IF('Ordenes_Odoo'!K2467="","",'Ordenes_Odoo'!K2467)</f>
        <v/>
      </c>
      <c r="L2467" s="81">
        <f>IF('Ordenes_Odoo'!L2467="","",'Ordenes_Odoo'!L2467)</f>
        <v/>
      </c>
      <c r="M2467" s="79">
        <f>IF('Ordenes_Odoo'!M2467="","",'Ordenes_Odoo'!M2467)</f>
        <v/>
      </c>
      <c r="N2467" s="79">
        <f>IF('Ordenes_Odoo'!N2467="","",'Ordenes_Odoo'!N2467)</f>
        <v/>
      </c>
      <c r="O2467" s="81">
        <f>IF('Ordenes_Odoo'!O2467="","",'Ordenes_Odoo'!O2467)</f>
        <v/>
      </c>
      <c r="P2467" s="81">
        <f>IF('Ordenes_Odoo'!P2467="","",'Ordenes_Odoo'!P2467)</f>
        <v/>
      </c>
      <c r="Q2467" s="79">
        <f>IF(A2467="","",IFERROR(INDEX(Facturas_Odoo!$B:$B, MATCH(A2467, Facturas_Odoo!$D:$D, 0)), "Sin Factura"))</f>
        <v/>
      </c>
      <c r="R2467" s="80">
        <f>IF(Q2467="Sin Factura","",IFERROR(INDEX(Facturas_Odoo!$A:$A, MATCH(Q2467, Facturas_Odoo!$B:$B, 0)), ""))</f>
        <v/>
      </c>
      <c r="S2467" s="79">
        <f>IF(Q2467="Sin Factura","",IFERROR(_xlfn.XLOOKUP(1, (Facturas_Odoo!$D:$D=A2467) * (Facturas_Odoo!$K:$K=I2467), Facturas_Odoo!$L:$L, ""), ""))</f>
        <v/>
      </c>
      <c r="T2467" s="81">
        <f>IF(Q2467="Sin Factura",0,IFERROR(_xlfn.XLOOKUP(1, (Facturas_Odoo!$D:$D=A2467) * (Facturas_Odoo!$K:$K=I2467), Facturas_Odoo!$M:$M, 0), 0))</f>
        <v/>
      </c>
      <c r="U2467" s="79">
        <f>IF(Q2467="Sin Factura",0,IFERROR(_xlfn.XLOOKUP(1, (Facturas_Odoo!$D:$D=A2467) * (Facturas_Odoo!$K:$K=I2467), Facturas_Odoo!$N:$N, 0), 0))</f>
        <v/>
      </c>
      <c r="V2467" s="79">
        <f>IF(Q2467="Sin Factura",0,IFERROR(_xlfn.XLOOKUP(1, (Facturas_Odoo!$D:$D=A2467) * (Facturas_Odoo!$K:$K=I2467), Facturas_Odoo!$O:$O, 0), 0))</f>
        <v/>
      </c>
      <c r="W2467" s="81">
        <f>IF(Q2467="Sin Factura",0,IFERROR(_xlfn.XLOOKUP(1, (Facturas_Odoo!$D:$D=A2467) * (Facturas_Odoo!$K:$K=I2467), Facturas_Odoo!$Q:$Q, 0), 0))</f>
        <v/>
      </c>
      <c r="X2467" s="79">
        <f>IF(OR(Q2467="Sin Factura",Q2467=""),"",IFERROR(INDEX(Pagos_Odoo!$B:$B, MATCH(Q2467, Pagos_Odoo!$I:$I, 0)), "Sin Pago"))</f>
        <v/>
      </c>
      <c r="Y2467" s="79">
        <f>IF(X2467="Sin Pago","",IFERROR(INDEX(Pagos_Odoo!$C:$C, MATCH(X2467, Pagos_Odoo!$B:$B, 0)), ""))</f>
        <v/>
      </c>
      <c r="Z2467" s="80">
        <f>IF(X2467="Sin Pago","",IFERROR(INDEX(Pagos_Odoo!$A:$A, MATCH(X2467, Pagos_Odoo!$B:$B, 0)), ""))</f>
        <v/>
      </c>
      <c r="AA2467" s="79">
        <f>IF(X2467="Sin Pago","",IFERROR(INDEX(Pagos_Odoo!$F:$F, MATCH(X2467, Pagos_Odoo!$B:$B, 0)), ""))</f>
        <v/>
      </c>
      <c r="AB2467" s="81">
        <f>IF(X2467="Sin Pago",0,IFERROR(INDEX(Pagos_Odoo!$E:$E, MATCH(X2467, Pagos_Odoo!$B:$B, 0)), 0))</f>
        <v/>
      </c>
      <c r="AC2467" s="79">
        <f>IF(X2467="Sin Pago","",IFERROR(INDEX(Pagos_Odoo!$G:$G, MATCH(X2467, Pagos_Odoo!$B:$B, 0)), ""))</f>
        <v/>
      </c>
      <c r="AD2467" s="82" t="n">
        <v>0</v>
      </c>
      <c r="AE2467" s="82" t="n"/>
      <c r="AF2467" s="82" t="n"/>
      <c r="AG2467" s="82">
        <f>IF(AN2467="","",AD2467+AE2467+AF2467)</f>
        <v/>
      </c>
      <c r="AH2467" s="81">
        <f>IF(AN2467="","",P2467*(1-AG2467))</f>
        <v/>
      </c>
      <c r="AI2467" s="81">
        <f>IF(AN2467="","",IF(Q2467="Sin Factura",0,IFERROR(INDEX(Facturas_Odoo!$H:$H, MATCH(Q2467, Facturas_Odoo!$B:$B, 0)), 0)*(1-AG2467)))</f>
        <v/>
      </c>
      <c r="AJ2467" s="81">
        <f>IF(AN2467="","",_xlfn.LET(idVenta, AN2467&amp;"",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67" s="81">
        <f>IF(AN2467="","",AH2467-AJ2467)</f>
        <v/>
      </c>
      <c r="AL2467" s="81">
        <f>IF(AN2467="","",IF(Q2467="Sin Factura","",AI2467-AJ2467))</f>
        <v/>
      </c>
      <c r="AM2467" s="81">
        <f>IF(AN2467="","",IF(Q2467="Sin Factura",0,P2467-IFERROR(INDEX(Facturas_Odoo!$H:$H, MATCH(Q2467, Facturas_Odoo!$B:$B, 0)), 0)))</f>
        <v/>
      </c>
      <c r="AN2467" s="79">
        <f>IF(AND(A2467="", J2467=""), "", IF(A2467&lt;&gt;"", VALUE(MID(A2467,2,LEN(A2467))), AN2466))</f>
        <v/>
      </c>
      <c r="AO2467" s="79">
        <f>IF(AN2467="","",IF(AD2467=0,"OK",_xlfn.LET(monedaPago, IF(AA2467="","USD",AA2467), limitePermitido, IFERROR(VLOOKUP(monedaPago, Configuración!$A$2:$B$3, 2, FALSE), 0.15), IF(AD2467&gt;limitePermitido, "ALERTA: EXCESO (" &amp; TEXT(limitePermitido, "0%") &amp; " máx)", "OK"))))</f>
        <v/>
      </c>
      <c r="AP2467" s="79">
        <f>IF(AN2467="","",IF(AE2467=0,"OK",_xlfn.LET(fechaPago, Z2467, fechaFactura, R2467, diasCredito, IF(E2467="Pago inmediato", 0, IFERROR(VALUE(MID(E2467, 1, SEARCH(" ", E2467)-1)),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67" s="79">
        <f>IF(AN2467="","",IF(AND(N2467&gt;0, AG2467&gt;0), IF(Configuración!$K$2="NO", "ALERTA: DESCUENTO DOBLE NO PERMITIDO", "OK"), "OK"))</f>
        <v/>
      </c>
      <c r="AR2467" s="79">
        <f>IF(AN2467="","",IF(OR(AO2467&lt;&gt;"OK", AP2467&lt;&gt;"OK", AQ2467&lt;&gt;"OK"), "⚠️ REVISAR", "OK"))</f>
        <v/>
      </c>
    </row>
    <row r="2468">
      <c r="A2468" s="79">
        <f>IF('Ordenes_Odoo'!A2468="","",'Ordenes_Odoo'!A2468)</f>
        <v/>
      </c>
      <c r="B2468" s="80">
        <f>IF('Ordenes_Odoo'!B2468="","",'Ordenes_Odoo'!B2468)</f>
        <v/>
      </c>
      <c r="C2468" s="79">
        <f>IF('Ordenes_Odoo'!C2468="","",'Ordenes_Odoo'!C2468)</f>
        <v/>
      </c>
      <c r="D2468" s="79">
        <f>IF('Ordenes_Odoo'!D2468="","",'Ordenes_Odoo'!D2468)</f>
        <v/>
      </c>
      <c r="E2468" s="79">
        <f>IF('Ordenes_Odoo'!E2468="","",'Ordenes_Odoo'!E2468)</f>
        <v/>
      </c>
      <c r="F2468" s="79">
        <f>IF('Ordenes_Odoo'!F2468="","",'Ordenes_Odoo'!F2468)</f>
        <v/>
      </c>
      <c r="G2468" s="79">
        <f>IF('Ordenes_Odoo'!G2468="","",'Ordenes_Odoo'!G2468)</f>
        <v/>
      </c>
      <c r="H2468" s="79">
        <f>IF('Ordenes_Odoo'!H2468="","",'Ordenes_Odoo'!H2468)</f>
        <v/>
      </c>
      <c r="I2468" s="79">
        <f>IF('Ordenes_Odoo'!I2468="","",'Ordenes_Odoo'!I2468)</f>
        <v/>
      </c>
      <c r="J2468" s="79">
        <f>IF('Ordenes_Odoo'!J2468="","",'Ordenes_Odoo'!J2468)</f>
        <v/>
      </c>
      <c r="K2468" s="81">
        <f>IF('Ordenes_Odoo'!K2468="","",'Ordenes_Odoo'!K2468)</f>
        <v/>
      </c>
      <c r="L2468" s="81">
        <f>IF('Ordenes_Odoo'!L2468="","",'Ordenes_Odoo'!L2468)</f>
        <v/>
      </c>
      <c r="M2468" s="79">
        <f>IF('Ordenes_Odoo'!M2468="","",'Ordenes_Odoo'!M2468)</f>
        <v/>
      </c>
      <c r="N2468" s="79">
        <f>IF('Ordenes_Odoo'!N2468="","",'Ordenes_Odoo'!N2468)</f>
        <v/>
      </c>
      <c r="O2468" s="81">
        <f>IF('Ordenes_Odoo'!O2468="","",'Ordenes_Odoo'!O2468)</f>
        <v/>
      </c>
      <c r="P2468" s="81">
        <f>IF('Ordenes_Odoo'!P2468="","",'Ordenes_Odoo'!P2468)</f>
        <v/>
      </c>
      <c r="Q2468" s="79">
        <f>IF(A2468="","",IFERROR(INDEX(Facturas_Odoo!$B:$B, MATCH(A2468, Facturas_Odoo!$D:$D, 0)), "Sin Factura"))</f>
        <v/>
      </c>
      <c r="R2468" s="80">
        <f>IF(Q2468="Sin Factura","",IFERROR(INDEX(Facturas_Odoo!$A:$A, MATCH(Q2468, Facturas_Odoo!$B:$B, 0)), ""))</f>
        <v/>
      </c>
      <c r="S2468" s="79">
        <f>IF(Q2468="Sin Factura","",IFERROR(_xlfn.XLOOKUP(1, (Facturas_Odoo!$D:$D=A2468) * (Facturas_Odoo!$K:$K=I2468), Facturas_Odoo!$L:$L, ""), ""))</f>
        <v/>
      </c>
      <c r="T2468" s="81">
        <f>IF(Q2468="Sin Factura",0,IFERROR(_xlfn.XLOOKUP(1, (Facturas_Odoo!$D:$D=A2468) * (Facturas_Odoo!$K:$K=I2468), Facturas_Odoo!$M:$M, 0), 0))</f>
        <v/>
      </c>
      <c r="U2468" s="79">
        <f>IF(Q2468="Sin Factura",0,IFERROR(_xlfn.XLOOKUP(1, (Facturas_Odoo!$D:$D=A2468) * (Facturas_Odoo!$K:$K=I2468), Facturas_Odoo!$N:$N, 0), 0))</f>
        <v/>
      </c>
      <c r="V2468" s="79">
        <f>IF(Q2468="Sin Factura",0,IFERROR(_xlfn.XLOOKUP(1, (Facturas_Odoo!$D:$D=A2468) * (Facturas_Odoo!$K:$K=I2468), Facturas_Odoo!$O:$O, 0), 0))</f>
        <v/>
      </c>
      <c r="W2468" s="81">
        <f>IF(Q2468="Sin Factura",0,IFERROR(_xlfn.XLOOKUP(1, (Facturas_Odoo!$D:$D=A2468) * (Facturas_Odoo!$K:$K=I2468), Facturas_Odoo!$Q:$Q, 0), 0))</f>
        <v/>
      </c>
      <c r="X2468" s="79">
        <f>IF(OR(Q2468="Sin Factura",Q2468=""),"",IFERROR(INDEX(Pagos_Odoo!$B:$B, MATCH(Q2468, Pagos_Odoo!$I:$I, 0)), "Sin Pago"))</f>
        <v/>
      </c>
      <c r="Y2468" s="79">
        <f>IF(X2468="Sin Pago","",IFERROR(INDEX(Pagos_Odoo!$C:$C, MATCH(X2468, Pagos_Odoo!$B:$B, 0)), ""))</f>
        <v/>
      </c>
      <c r="Z2468" s="80">
        <f>IF(X2468="Sin Pago","",IFERROR(INDEX(Pagos_Odoo!$A:$A, MATCH(X2468, Pagos_Odoo!$B:$B, 0)), ""))</f>
        <v/>
      </c>
      <c r="AA2468" s="79">
        <f>IF(X2468="Sin Pago","",IFERROR(INDEX(Pagos_Odoo!$F:$F, MATCH(X2468, Pagos_Odoo!$B:$B, 0)), ""))</f>
        <v/>
      </c>
      <c r="AB2468" s="81">
        <f>IF(X2468="Sin Pago",0,IFERROR(INDEX(Pagos_Odoo!$E:$E, MATCH(X2468, Pagos_Odoo!$B:$B, 0)), 0))</f>
        <v/>
      </c>
      <c r="AC2468" s="79">
        <f>IF(X2468="Sin Pago","",IFERROR(INDEX(Pagos_Odoo!$G:$G, MATCH(X2468, Pagos_Odoo!$B:$B, 0)), ""))</f>
        <v/>
      </c>
      <c r="AD2468" s="82" t="n">
        <v>0</v>
      </c>
      <c r="AE2468" s="82" t="n"/>
      <c r="AF2468" s="82" t="n"/>
      <c r="AG2468" s="82">
        <f>IF(AN2468="","",AD2468+AE2468+AF2468)</f>
        <v/>
      </c>
      <c r="AH2468" s="81">
        <f>IF(AN2468="","",P2468*(1-AG2468))</f>
        <v/>
      </c>
      <c r="AI2468" s="81">
        <f>IF(AN2468="","",IF(Q2468="Sin Factura",0,IFERROR(INDEX(Facturas_Odoo!$H:$H, MATCH(Q2468, Facturas_Odoo!$B:$B, 0)), 0)*(1-AG2468)))</f>
        <v/>
      </c>
      <c r="AJ2468" s="81">
        <f>IF(AN2468="","",_xlfn.LET(idVenta, AN2468&amp;"",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68" s="81">
        <f>IF(AN2468="","",AH2468-AJ2468)</f>
        <v/>
      </c>
      <c r="AL2468" s="81">
        <f>IF(AN2468="","",IF(Q2468="Sin Factura","",AI2468-AJ2468))</f>
        <v/>
      </c>
      <c r="AM2468" s="81">
        <f>IF(AN2468="","",IF(Q2468="Sin Factura",0,P2468-IFERROR(INDEX(Facturas_Odoo!$H:$H, MATCH(Q2468, Facturas_Odoo!$B:$B, 0)), 0)))</f>
        <v/>
      </c>
      <c r="AN2468" s="79">
        <f>IF(AND(A2468="", J2468=""), "", IF(A2468&lt;&gt;"", VALUE(MID(A2468,2,LEN(A2468))), AN2467))</f>
        <v/>
      </c>
      <c r="AO2468" s="79">
        <f>IF(AN2468="","",IF(AD2468=0,"OK",_xlfn.LET(monedaPago, IF(AA2468="","USD",AA2468), limitePermitido, IFERROR(VLOOKUP(monedaPago, Configuración!$A$2:$B$3, 2, FALSE), 0.15), IF(AD2468&gt;limitePermitido, "ALERTA: EXCESO (" &amp; TEXT(limitePermitido, "0%") &amp; " máx)", "OK"))))</f>
        <v/>
      </c>
      <c r="AP2468" s="79">
        <f>IF(AN2468="","",IF(AE2468=0,"OK",_xlfn.LET(fechaPago, Z2468, fechaFactura, R2468, diasCredito, IF(E2468="Pago inmediato", 0, IFERROR(VALUE(MID(E2468, 1, SEARCH(" ", E2468)-1)),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68" s="79">
        <f>IF(AN2468="","",IF(AND(N2468&gt;0, AG2468&gt;0), IF(Configuración!$K$2="NO", "ALERTA: DESCUENTO DOBLE NO PERMITIDO", "OK"), "OK"))</f>
        <v/>
      </c>
      <c r="AR2468" s="79">
        <f>IF(AN2468="","",IF(OR(AO2468&lt;&gt;"OK", AP2468&lt;&gt;"OK", AQ2468&lt;&gt;"OK"), "⚠️ REVISAR", "OK"))</f>
        <v/>
      </c>
    </row>
    <row r="2469">
      <c r="A2469" s="79">
        <f>IF('Ordenes_Odoo'!A2469="","",'Ordenes_Odoo'!A2469)</f>
        <v/>
      </c>
      <c r="B2469" s="80">
        <f>IF('Ordenes_Odoo'!B2469="","",'Ordenes_Odoo'!B2469)</f>
        <v/>
      </c>
      <c r="C2469" s="79">
        <f>IF('Ordenes_Odoo'!C2469="","",'Ordenes_Odoo'!C2469)</f>
        <v/>
      </c>
      <c r="D2469" s="79">
        <f>IF('Ordenes_Odoo'!D2469="","",'Ordenes_Odoo'!D2469)</f>
        <v/>
      </c>
      <c r="E2469" s="79">
        <f>IF('Ordenes_Odoo'!E2469="","",'Ordenes_Odoo'!E2469)</f>
        <v/>
      </c>
      <c r="F2469" s="79">
        <f>IF('Ordenes_Odoo'!F2469="","",'Ordenes_Odoo'!F2469)</f>
        <v/>
      </c>
      <c r="G2469" s="79">
        <f>IF('Ordenes_Odoo'!G2469="","",'Ordenes_Odoo'!G2469)</f>
        <v/>
      </c>
      <c r="H2469" s="79">
        <f>IF('Ordenes_Odoo'!H2469="","",'Ordenes_Odoo'!H2469)</f>
        <v/>
      </c>
      <c r="I2469" s="79">
        <f>IF('Ordenes_Odoo'!I2469="","",'Ordenes_Odoo'!I2469)</f>
        <v/>
      </c>
      <c r="J2469" s="79">
        <f>IF('Ordenes_Odoo'!J2469="","",'Ordenes_Odoo'!J2469)</f>
        <v/>
      </c>
      <c r="K2469" s="81">
        <f>IF('Ordenes_Odoo'!K2469="","",'Ordenes_Odoo'!K2469)</f>
        <v/>
      </c>
      <c r="L2469" s="81">
        <f>IF('Ordenes_Odoo'!L2469="","",'Ordenes_Odoo'!L2469)</f>
        <v/>
      </c>
      <c r="M2469" s="79">
        <f>IF('Ordenes_Odoo'!M2469="","",'Ordenes_Odoo'!M2469)</f>
        <v/>
      </c>
      <c r="N2469" s="79">
        <f>IF('Ordenes_Odoo'!N2469="","",'Ordenes_Odoo'!N2469)</f>
        <v/>
      </c>
      <c r="O2469" s="81">
        <f>IF('Ordenes_Odoo'!O2469="","",'Ordenes_Odoo'!O2469)</f>
        <v/>
      </c>
      <c r="P2469" s="81">
        <f>IF('Ordenes_Odoo'!P2469="","",'Ordenes_Odoo'!P2469)</f>
        <v/>
      </c>
      <c r="Q2469" s="79">
        <f>IF(A2469="","",IFERROR(INDEX(Facturas_Odoo!$B:$B, MATCH(A2469, Facturas_Odoo!$D:$D, 0)), "Sin Factura"))</f>
        <v/>
      </c>
      <c r="R2469" s="80">
        <f>IF(Q2469="Sin Factura","",IFERROR(INDEX(Facturas_Odoo!$A:$A, MATCH(Q2469, Facturas_Odoo!$B:$B, 0)), ""))</f>
        <v/>
      </c>
      <c r="S2469" s="79">
        <f>IF(Q2469="Sin Factura","",IFERROR(_xlfn.XLOOKUP(1, (Facturas_Odoo!$D:$D=A2469) * (Facturas_Odoo!$K:$K=I2469), Facturas_Odoo!$L:$L, ""), ""))</f>
        <v/>
      </c>
      <c r="T2469" s="81">
        <f>IF(Q2469="Sin Factura",0,IFERROR(_xlfn.XLOOKUP(1, (Facturas_Odoo!$D:$D=A2469) * (Facturas_Odoo!$K:$K=I2469), Facturas_Odoo!$M:$M, 0), 0))</f>
        <v/>
      </c>
      <c r="U2469" s="79">
        <f>IF(Q2469="Sin Factura",0,IFERROR(_xlfn.XLOOKUP(1, (Facturas_Odoo!$D:$D=A2469) * (Facturas_Odoo!$K:$K=I2469), Facturas_Odoo!$N:$N, 0), 0))</f>
        <v/>
      </c>
      <c r="V2469" s="79">
        <f>IF(Q2469="Sin Factura",0,IFERROR(_xlfn.XLOOKUP(1, (Facturas_Odoo!$D:$D=A2469) * (Facturas_Odoo!$K:$K=I2469), Facturas_Odoo!$O:$O, 0), 0))</f>
        <v/>
      </c>
      <c r="W2469" s="81">
        <f>IF(Q2469="Sin Factura",0,IFERROR(_xlfn.XLOOKUP(1, (Facturas_Odoo!$D:$D=A2469) * (Facturas_Odoo!$K:$K=I2469), Facturas_Odoo!$Q:$Q, 0), 0))</f>
        <v/>
      </c>
      <c r="X2469" s="79">
        <f>IF(OR(Q2469="Sin Factura",Q2469=""),"",IFERROR(INDEX(Pagos_Odoo!$B:$B, MATCH(Q2469, Pagos_Odoo!$I:$I, 0)), "Sin Pago"))</f>
        <v/>
      </c>
      <c r="Y2469" s="79">
        <f>IF(X2469="Sin Pago","",IFERROR(INDEX(Pagos_Odoo!$C:$C, MATCH(X2469, Pagos_Odoo!$B:$B, 0)), ""))</f>
        <v/>
      </c>
      <c r="Z2469" s="80">
        <f>IF(X2469="Sin Pago","",IFERROR(INDEX(Pagos_Odoo!$A:$A, MATCH(X2469, Pagos_Odoo!$B:$B, 0)), ""))</f>
        <v/>
      </c>
      <c r="AA2469" s="79">
        <f>IF(X2469="Sin Pago","",IFERROR(INDEX(Pagos_Odoo!$F:$F, MATCH(X2469, Pagos_Odoo!$B:$B, 0)), ""))</f>
        <v/>
      </c>
      <c r="AB2469" s="81">
        <f>IF(X2469="Sin Pago",0,IFERROR(INDEX(Pagos_Odoo!$E:$E, MATCH(X2469, Pagos_Odoo!$B:$B, 0)), 0))</f>
        <v/>
      </c>
      <c r="AC2469" s="79">
        <f>IF(X2469="Sin Pago","",IFERROR(INDEX(Pagos_Odoo!$G:$G, MATCH(X2469, Pagos_Odoo!$B:$B, 0)), ""))</f>
        <v/>
      </c>
      <c r="AD2469" s="82" t="n">
        <v>0</v>
      </c>
      <c r="AE2469" s="82" t="n"/>
      <c r="AF2469" s="82" t="n"/>
      <c r="AG2469" s="82">
        <f>IF(AN2469="","",AD2469+AE2469+AF2469)</f>
        <v/>
      </c>
      <c r="AH2469" s="81">
        <f>IF(AN2469="","",P2469*(1-AG2469))</f>
        <v/>
      </c>
      <c r="AI2469" s="81">
        <f>IF(AN2469="","",IF(Q2469="Sin Factura",0,IFERROR(INDEX(Facturas_Odoo!$H:$H, MATCH(Q2469, Facturas_Odoo!$B:$B, 0)), 0)*(1-AG2469)))</f>
        <v/>
      </c>
      <c r="AJ2469" s="81">
        <f>IF(AN2469="","",_xlfn.LET(idVenta, AN2469&amp;"",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69" s="81">
        <f>IF(AN2469="","",AH2469-AJ2469)</f>
        <v/>
      </c>
      <c r="AL2469" s="81">
        <f>IF(AN2469="","",IF(Q2469="Sin Factura","",AI2469-AJ2469))</f>
        <v/>
      </c>
      <c r="AM2469" s="81">
        <f>IF(AN2469="","",IF(Q2469="Sin Factura",0,P2469-IFERROR(INDEX(Facturas_Odoo!$H:$H, MATCH(Q2469, Facturas_Odoo!$B:$B, 0)), 0)))</f>
        <v/>
      </c>
      <c r="AN2469" s="79">
        <f>IF(AND(A2469="", J2469=""), "", IF(A2469&lt;&gt;"", VALUE(MID(A2469,2,LEN(A2469))), AN2468))</f>
        <v/>
      </c>
      <c r="AO2469" s="79">
        <f>IF(AN2469="","",IF(AD2469=0,"OK",_xlfn.LET(monedaPago, IF(AA2469="","USD",AA2469), limitePermitido, IFERROR(VLOOKUP(monedaPago, Configuración!$A$2:$B$3, 2, FALSE), 0.15), IF(AD2469&gt;limitePermitido, "ALERTA: EXCESO (" &amp; TEXT(limitePermitido, "0%") &amp; " máx)", "OK"))))</f>
        <v/>
      </c>
      <c r="AP2469" s="79">
        <f>IF(AN2469="","",IF(AE2469=0,"OK",_xlfn.LET(fechaPago, Z2469, fechaFactura, R2469, diasCredito, IF(E2469="Pago inmediato", 0, IFERROR(VALUE(MID(E2469, 1, SEARCH(" ", E2469)-1)),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69" s="79">
        <f>IF(AN2469="","",IF(AND(N2469&gt;0, AG2469&gt;0), IF(Configuración!$K$2="NO", "ALERTA: DESCUENTO DOBLE NO PERMITIDO", "OK"), "OK"))</f>
        <v/>
      </c>
      <c r="AR2469" s="79">
        <f>IF(AN2469="","",IF(OR(AO2469&lt;&gt;"OK", AP2469&lt;&gt;"OK", AQ2469&lt;&gt;"OK"), "⚠️ REVISAR", "OK"))</f>
        <v/>
      </c>
    </row>
    <row r="2470">
      <c r="A2470" s="79">
        <f>IF('Ordenes_Odoo'!A2470="","",'Ordenes_Odoo'!A2470)</f>
        <v/>
      </c>
      <c r="B2470" s="80">
        <f>IF('Ordenes_Odoo'!B2470="","",'Ordenes_Odoo'!B2470)</f>
        <v/>
      </c>
      <c r="C2470" s="79">
        <f>IF('Ordenes_Odoo'!C2470="","",'Ordenes_Odoo'!C2470)</f>
        <v/>
      </c>
      <c r="D2470" s="79">
        <f>IF('Ordenes_Odoo'!D2470="","",'Ordenes_Odoo'!D2470)</f>
        <v/>
      </c>
      <c r="E2470" s="79">
        <f>IF('Ordenes_Odoo'!E2470="","",'Ordenes_Odoo'!E2470)</f>
        <v/>
      </c>
      <c r="F2470" s="79">
        <f>IF('Ordenes_Odoo'!F2470="","",'Ordenes_Odoo'!F2470)</f>
        <v/>
      </c>
      <c r="G2470" s="79">
        <f>IF('Ordenes_Odoo'!G2470="","",'Ordenes_Odoo'!G2470)</f>
        <v/>
      </c>
      <c r="H2470" s="79">
        <f>IF('Ordenes_Odoo'!H2470="","",'Ordenes_Odoo'!H2470)</f>
        <v/>
      </c>
      <c r="I2470" s="79">
        <f>IF('Ordenes_Odoo'!I2470="","",'Ordenes_Odoo'!I2470)</f>
        <v/>
      </c>
      <c r="J2470" s="79">
        <f>IF('Ordenes_Odoo'!J2470="","",'Ordenes_Odoo'!J2470)</f>
        <v/>
      </c>
      <c r="K2470" s="81">
        <f>IF('Ordenes_Odoo'!K2470="","",'Ordenes_Odoo'!K2470)</f>
        <v/>
      </c>
      <c r="L2470" s="81">
        <f>IF('Ordenes_Odoo'!L2470="","",'Ordenes_Odoo'!L2470)</f>
        <v/>
      </c>
      <c r="M2470" s="79">
        <f>IF('Ordenes_Odoo'!M2470="","",'Ordenes_Odoo'!M2470)</f>
        <v/>
      </c>
      <c r="N2470" s="79">
        <f>IF('Ordenes_Odoo'!N2470="","",'Ordenes_Odoo'!N2470)</f>
        <v/>
      </c>
      <c r="O2470" s="81">
        <f>IF('Ordenes_Odoo'!O2470="","",'Ordenes_Odoo'!O2470)</f>
        <v/>
      </c>
      <c r="P2470" s="81">
        <f>IF('Ordenes_Odoo'!P2470="","",'Ordenes_Odoo'!P2470)</f>
        <v/>
      </c>
      <c r="Q2470" s="79">
        <f>IF(A2470="","",IFERROR(INDEX(Facturas_Odoo!$B:$B, MATCH(A2470, Facturas_Odoo!$D:$D, 0)), "Sin Factura"))</f>
        <v/>
      </c>
      <c r="R2470" s="80">
        <f>IF(Q2470="Sin Factura","",IFERROR(INDEX(Facturas_Odoo!$A:$A, MATCH(Q2470, Facturas_Odoo!$B:$B, 0)), ""))</f>
        <v/>
      </c>
      <c r="S2470" s="79">
        <f>IF(Q2470="Sin Factura","",IFERROR(_xlfn.XLOOKUP(1, (Facturas_Odoo!$D:$D=A2470) * (Facturas_Odoo!$K:$K=I2470), Facturas_Odoo!$L:$L, ""), ""))</f>
        <v/>
      </c>
      <c r="T2470" s="81">
        <f>IF(Q2470="Sin Factura",0,IFERROR(_xlfn.XLOOKUP(1, (Facturas_Odoo!$D:$D=A2470) * (Facturas_Odoo!$K:$K=I2470), Facturas_Odoo!$M:$M, 0), 0))</f>
        <v/>
      </c>
      <c r="U2470" s="79">
        <f>IF(Q2470="Sin Factura",0,IFERROR(_xlfn.XLOOKUP(1, (Facturas_Odoo!$D:$D=A2470) * (Facturas_Odoo!$K:$K=I2470), Facturas_Odoo!$N:$N, 0), 0))</f>
        <v/>
      </c>
      <c r="V2470" s="79">
        <f>IF(Q2470="Sin Factura",0,IFERROR(_xlfn.XLOOKUP(1, (Facturas_Odoo!$D:$D=A2470) * (Facturas_Odoo!$K:$K=I2470), Facturas_Odoo!$O:$O, 0), 0))</f>
        <v/>
      </c>
      <c r="W2470" s="81">
        <f>IF(Q2470="Sin Factura",0,IFERROR(_xlfn.XLOOKUP(1, (Facturas_Odoo!$D:$D=A2470) * (Facturas_Odoo!$K:$K=I2470), Facturas_Odoo!$Q:$Q, 0), 0))</f>
        <v/>
      </c>
      <c r="X2470" s="79">
        <f>IF(OR(Q2470="Sin Factura",Q2470=""),"",IFERROR(INDEX(Pagos_Odoo!$B:$B, MATCH(Q2470, Pagos_Odoo!$I:$I, 0)), "Sin Pago"))</f>
        <v/>
      </c>
      <c r="Y2470" s="79">
        <f>IF(X2470="Sin Pago","",IFERROR(INDEX(Pagos_Odoo!$C:$C, MATCH(X2470, Pagos_Odoo!$B:$B, 0)), ""))</f>
        <v/>
      </c>
      <c r="Z2470" s="80">
        <f>IF(X2470="Sin Pago","",IFERROR(INDEX(Pagos_Odoo!$A:$A, MATCH(X2470, Pagos_Odoo!$B:$B, 0)), ""))</f>
        <v/>
      </c>
      <c r="AA2470" s="79">
        <f>IF(X2470="Sin Pago","",IFERROR(INDEX(Pagos_Odoo!$F:$F, MATCH(X2470, Pagos_Odoo!$B:$B, 0)), ""))</f>
        <v/>
      </c>
      <c r="AB2470" s="81">
        <f>IF(X2470="Sin Pago",0,IFERROR(INDEX(Pagos_Odoo!$E:$E, MATCH(X2470, Pagos_Odoo!$B:$B, 0)), 0))</f>
        <v/>
      </c>
      <c r="AC2470" s="79">
        <f>IF(X2470="Sin Pago","",IFERROR(INDEX(Pagos_Odoo!$G:$G, MATCH(X2470, Pagos_Odoo!$B:$B, 0)), ""))</f>
        <v/>
      </c>
      <c r="AD2470" s="82" t="n">
        <v>0</v>
      </c>
      <c r="AE2470" s="82" t="n"/>
      <c r="AF2470" s="82" t="n"/>
      <c r="AG2470" s="82">
        <f>IF(AN2470="","",AD2470+AE2470+AF2470)</f>
        <v/>
      </c>
      <c r="AH2470" s="81">
        <f>IF(AN2470="","",P2470*(1-AG2470))</f>
        <v/>
      </c>
      <c r="AI2470" s="81">
        <f>IF(AN2470="","",IF(Q2470="Sin Factura",0,IFERROR(INDEX(Facturas_Odoo!$H:$H, MATCH(Q2470, Facturas_Odoo!$B:$B, 0)), 0)*(1-AG2470)))</f>
        <v/>
      </c>
      <c r="AJ2470" s="81">
        <f>IF(AN2470="","",_xlfn.LET(idVenta, AN2470&amp;"",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70" s="81">
        <f>IF(AN2470="","",AH2470-AJ2470)</f>
        <v/>
      </c>
      <c r="AL2470" s="81">
        <f>IF(AN2470="","",IF(Q2470="Sin Factura","",AI2470-AJ2470))</f>
        <v/>
      </c>
      <c r="AM2470" s="81">
        <f>IF(AN2470="","",IF(Q2470="Sin Factura",0,P2470-IFERROR(INDEX(Facturas_Odoo!$H:$H, MATCH(Q2470, Facturas_Odoo!$B:$B, 0)), 0)))</f>
        <v/>
      </c>
      <c r="AN2470" s="79">
        <f>IF(AND(A2470="", J2470=""), "", IF(A2470&lt;&gt;"", VALUE(MID(A2470,2,LEN(A2470))), AN2469))</f>
        <v/>
      </c>
      <c r="AO2470" s="79">
        <f>IF(AN2470="","",IF(AD2470=0,"OK",_xlfn.LET(monedaPago, IF(AA2470="","USD",AA2470), limitePermitido, IFERROR(VLOOKUP(monedaPago, Configuración!$A$2:$B$3, 2, FALSE), 0.15), IF(AD2470&gt;limitePermitido, "ALERTA: EXCESO (" &amp; TEXT(limitePermitido, "0%") &amp; " máx)", "OK"))))</f>
        <v/>
      </c>
      <c r="AP2470" s="79">
        <f>IF(AN2470="","",IF(AE2470=0,"OK",_xlfn.LET(fechaPago, Z2470, fechaFactura, R2470, diasCredito, IF(E2470="Pago inmediato", 0, IFERROR(VALUE(MID(E2470, 1, SEARCH(" ", E2470)-1)),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70" s="79">
        <f>IF(AN2470="","",IF(AND(N2470&gt;0, AG2470&gt;0), IF(Configuración!$K$2="NO", "ALERTA: DESCUENTO DOBLE NO PERMITIDO", "OK"), "OK"))</f>
        <v/>
      </c>
      <c r="AR2470" s="79">
        <f>IF(AN2470="","",IF(OR(AO2470&lt;&gt;"OK", AP2470&lt;&gt;"OK", AQ2470&lt;&gt;"OK"), "⚠️ REVISAR", "OK"))</f>
        <v/>
      </c>
    </row>
    <row r="2471">
      <c r="A2471" s="79">
        <f>IF('Ordenes_Odoo'!A2471="","",'Ordenes_Odoo'!A2471)</f>
        <v/>
      </c>
      <c r="B2471" s="80">
        <f>IF('Ordenes_Odoo'!B2471="","",'Ordenes_Odoo'!B2471)</f>
        <v/>
      </c>
      <c r="C2471" s="79">
        <f>IF('Ordenes_Odoo'!C2471="","",'Ordenes_Odoo'!C2471)</f>
        <v/>
      </c>
      <c r="D2471" s="79">
        <f>IF('Ordenes_Odoo'!D2471="","",'Ordenes_Odoo'!D2471)</f>
        <v/>
      </c>
      <c r="E2471" s="79">
        <f>IF('Ordenes_Odoo'!E2471="","",'Ordenes_Odoo'!E2471)</f>
        <v/>
      </c>
      <c r="F2471" s="79">
        <f>IF('Ordenes_Odoo'!F2471="","",'Ordenes_Odoo'!F2471)</f>
        <v/>
      </c>
      <c r="G2471" s="79">
        <f>IF('Ordenes_Odoo'!G2471="","",'Ordenes_Odoo'!G2471)</f>
        <v/>
      </c>
      <c r="H2471" s="79">
        <f>IF('Ordenes_Odoo'!H2471="","",'Ordenes_Odoo'!H2471)</f>
        <v/>
      </c>
      <c r="I2471" s="79">
        <f>IF('Ordenes_Odoo'!I2471="","",'Ordenes_Odoo'!I2471)</f>
        <v/>
      </c>
      <c r="J2471" s="79">
        <f>IF('Ordenes_Odoo'!J2471="","",'Ordenes_Odoo'!J2471)</f>
        <v/>
      </c>
      <c r="K2471" s="81">
        <f>IF('Ordenes_Odoo'!K2471="","",'Ordenes_Odoo'!K2471)</f>
        <v/>
      </c>
      <c r="L2471" s="81">
        <f>IF('Ordenes_Odoo'!L2471="","",'Ordenes_Odoo'!L2471)</f>
        <v/>
      </c>
      <c r="M2471" s="79">
        <f>IF('Ordenes_Odoo'!M2471="","",'Ordenes_Odoo'!M2471)</f>
        <v/>
      </c>
      <c r="N2471" s="79">
        <f>IF('Ordenes_Odoo'!N2471="","",'Ordenes_Odoo'!N2471)</f>
        <v/>
      </c>
      <c r="O2471" s="81">
        <f>IF('Ordenes_Odoo'!O2471="","",'Ordenes_Odoo'!O2471)</f>
        <v/>
      </c>
      <c r="P2471" s="81">
        <f>IF('Ordenes_Odoo'!P2471="","",'Ordenes_Odoo'!P2471)</f>
        <v/>
      </c>
      <c r="Q2471" s="79">
        <f>IF(A2471="","",IFERROR(INDEX(Facturas_Odoo!$B:$B, MATCH(A2471, Facturas_Odoo!$D:$D, 0)), "Sin Factura"))</f>
        <v/>
      </c>
      <c r="R2471" s="80">
        <f>IF(Q2471="Sin Factura","",IFERROR(INDEX(Facturas_Odoo!$A:$A, MATCH(Q2471, Facturas_Odoo!$B:$B, 0)), ""))</f>
        <v/>
      </c>
      <c r="S2471" s="79">
        <f>IF(Q2471="Sin Factura","",IFERROR(_xlfn.XLOOKUP(1, (Facturas_Odoo!$D:$D=A2471) * (Facturas_Odoo!$K:$K=I2471), Facturas_Odoo!$L:$L, ""), ""))</f>
        <v/>
      </c>
      <c r="T2471" s="81">
        <f>IF(Q2471="Sin Factura",0,IFERROR(_xlfn.XLOOKUP(1, (Facturas_Odoo!$D:$D=A2471) * (Facturas_Odoo!$K:$K=I2471), Facturas_Odoo!$M:$M, 0), 0))</f>
        <v/>
      </c>
      <c r="U2471" s="79">
        <f>IF(Q2471="Sin Factura",0,IFERROR(_xlfn.XLOOKUP(1, (Facturas_Odoo!$D:$D=A2471) * (Facturas_Odoo!$K:$K=I2471), Facturas_Odoo!$N:$N, 0), 0))</f>
        <v/>
      </c>
      <c r="V2471" s="79">
        <f>IF(Q2471="Sin Factura",0,IFERROR(_xlfn.XLOOKUP(1, (Facturas_Odoo!$D:$D=A2471) * (Facturas_Odoo!$K:$K=I2471), Facturas_Odoo!$O:$O, 0), 0))</f>
        <v/>
      </c>
      <c r="W2471" s="81">
        <f>IF(Q2471="Sin Factura",0,IFERROR(_xlfn.XLOOKUP(1, (Facturas_Odoo!$D:$D=A2471) * (Facturas_Odoo!$K:$K=I2471), Facturas_Odoo!$Q:$Q, 0), 0))</f>
        <v/>
      </c>
      <c r="X2471" s="79">
        <f>IF(OR(Q2471="Sin Factura",Q2471=""),"",IFERROR(INDEX(Pagos_Odoo!$B:$B, MATCH(Q2471, Pagos_Odoo!$I:$I, 0)), "Sin Pago"))</f>
        <v/>
      </c>
      <c r="Y2471" s="79">
        <f>IF(X2471="Sin Pago","",IFERROR(INDEX(Pagos_Odoo!$C:$C, MATCH(X2471, Pagos_Odoo!$B:$B, 0)), ""))</f>
        <v/>
      </c>
      <c r="Z2471" s="80">
        <f>IF(X2471="Sin Pago","",IFERROR(INDEX(Pagos_Odoo!$A:$A, MATCH(X2471, Pagos_Odoo!$B:$B, 0)), ""))</f>
        <v/>
      </c>
      <c r="AA2471" s="79">
        <f>IF(X2471="Sin Pago","",IFERROR(INDEX(Pagos_Odoo!$F:$F, MATCH(X2471, Pagos_Odoo!$B:$B, 0)), ""))</f>
        <v/>
      </c>
      <c r="AB2471" s="81">
        <f>IF(X2471="Sin Pago",0,IFERROR(INDEX(Pagos_Odoo!$E:$E, MATCH(X2471, Pagos_Odoo!$B:$B, 0)), 0))</f>
        <v/>
      </c>
      <c r="AC2471" s="79">
        <f>IF(X2471="Sin Pago","",IFERROR(INDEX(Pagos_Odoo!$G:$G, MATCH(X2471, Pagos_Odoo!$B:$B, 0)), ""))</f>
        <v/>
      </c>
      <c r="AD2471" s="82" t="n">
        <v>0</v>
      </c>
      <c r="AE2471" s="82" t="n"/>
      <c r="AF2471" s="82" t="n"/>
      <c r="AG2471" s="82">
        <f>IF(AN2471="","",AD2471+AE2471+AF2471)</f>
        <v/>
      </c>
      <c r="AH2471" s="81">
        <f>IF(AN2471="","",P2471*(1-AG2471))</f>
        <v/>
      </c>
      <c r="AI2471" s="81">
        <f>IF(AN2471="","",IF(Q2471="Sin Factura",0,IFERROR(INDEX(Facturas_Odoo!$H:$H, MATCH(Q2471, Facturas_Odoo!$B:$B, 0)), 0)*(1-AG2471)))</f>
        <v/>
      </c>
      <c r="AJ2471" s="81">
        <f>IF(AN2471="","",_xlfn.LET(idVenta, AN2471&amp;"",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71" s="81">
        <f>IF(AN2471="","",AH2471-AJ2471)</f>
        <v/>
      </c>
      <c r="AL2471" s="81">
        <f>IF(AN2471="","",IF(Q2471="Sin Factura","",AI2471-AJ2471))</f>
        <v/>
      </c>
      <c r="AM2471" s="81">
        <f>IF(AN2471="","",IF(Q2471="Sin Factura",0,P2471-IFERROR(INDEX(Facturas_Odoo!$H:$H, MATCH(Q2471, Facturas_Odoo!$B:$B, 0)), 0)))</f>
        <v/>
      </c>
      <c r="AN2471" s="79">
        <f>IF(AND(A2471="", J2471=""), "", IF(A2471&lt;&gt;"", VALUE(MID(A2471,2,LEN(A2471))), AN2470))</f>
        <v/>
      </c>
      <c r="AO2471" s="79">
        <f>IF(AN2471="","",IF(AD2471=0,"OK",_xlfn.LET(monedaPago, IF(AA2471="","USD",AA2471), limitePermitido, IFERROR(VLOOKUP(monedaPago, Configuración!$A$2:$B$3, 2, FALSE), 0.15), IF(AD2471&gt;limitePermitido, "ALERTA: EXCESO (" &amp; TEXT(limitePermitido, "0%") &amp; " máx)", "OK"))))</f>
        <v/>
      </c>
      <c r="AP2471" s="79">
        <f>IF(AN2471="","",IF(AE2471=0,"OK",_xlfn.LET(fechaPago, Z2471, fechaFactura, R2471, diasCredito, IF(E2471="Pago inmediato", 0, IFERROR(VALUE(MID(E2471, 1, SEARCH(" ", E2471)-1)),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71" s="79">
        <f>IF(AN2471="","",IF(AND(N2471&gt;0, AG2471&gt;0), IF(Configuración!$K$2="NO", "ALERTA: DESCUENTO DOBLE NO PERMITIDO", "OK"), "OK"))</f>
        <v/>
      </c>
      <c r="AR2471" s="79">
        <f>IF(AN2471="","",IF(OR(AO2471&lt;&gt;"OK", AP2471&lt;&gt;"OK", AQ2471&lt;&gt;"OK"), "⚠️ REVISAR", "OK"))</f>
        <v/>
      </c>
    </row>
    <row r="2472">
      <c r="A2472" s="79">
        <f>IF('Ordenes_Odoo'!A2472="","",'Ordenes_Odoo'!A2472)</f>
        <v/>
      </c>
      <c r="B2472" s="80">
        <f>IF('Ordenes_Odoo'!B2472="","",'Ordenes_Odoo'!B2472)</f>
        <v/>
      </c>
      <c r="C2472" s="79">
        <f>IF('Ordenes_Odoo'!C2472="","",'Ordenes_Odoo'!C2472)</f>
        <v/>
      </c>
      <c r="D2472" s="79">
        <f>IF('Ordenes_Odoo'!D2472="","",'Ordenes_Odoo'!D2472)</f>
        <v/>
      </c>
      <c r="E2472" s="79">
        <f>IF('Ordenes_Odoo'!E2472="","",'Ordenes_Odoo'!E2472)</f>
        <v/>
      </c>
      <c r="F2472" s="79">
        <f>IF('Ordenes_Odoo'!F2472="","",'Ordenes_Odoo'!F2472)</f>
        <v/>
      </c>
      <c r="G2472" s="79">
        <f>IF('Ordenes_Odoo'!G2472="","",'Ordenes_Odoo'!G2472)</f>
        <v/>
      </c>
      <c r="H2472" s="79">
        <f>IF('Ordenes_Odoo'!H2472="","",'Ordenes_Odoo'!H2472)</f>
        <v/>
      </c>
      <c r="I2472" s="79">
        <f>IF('Ordenes_Odoo'!I2472="","",'Ordenes_Odoo'!I2472)</f>
        <v/>
      </c>
      <c r="J2472" s="79">
        <f>IF('Ordenes_Odoo'!J2472="","",'Ordenes_Odoo'!J2472)</f>
        <v/>
      </c>
      <c r="K2472" s="81">
        <f>IF('Ordenes_Odoo'!K2472="","",'Ordenes_Odoo'!K2472)</f>
        <v/>
      </c>
      <c r="L2472" s="81">
        <f>IF('Ordenes_Odoo'!L2472="","",'Ordenes_Odoo'!L2472)</f>
        <v/>
      </c>
      <c r="M2472" s="79">
        <f>IF('Ordenes_Odoo'!M2472="","",'Ordenes_Odoo'!M2472)</f>
        <v/>
      </c>
      <c r="N2472" s="79">
        <f>IF('Ordenes_Odoo'!N2472="","",'Ordenes_Odoo'!N2472)</f>
        <v/>
      </c>
      <c r="O2472" s="81">
        <f>IF('Ordenes_Odoo'!O2472="","",'Ordenes_Odoo'!O2472)</f>
        <v/>
      </c>
      <c r="P2472" s="81">
        <f>IF('Ordenes_Odoo'!P2472="","",'Ordenes_Odoo'!P2472)</f>
        <v/>
      </c>
      <c r="Q2472" s="79">
        <f>IF(A2472="","",IFERROR(INDEX(Facturas_Odoo!$B:$B, MATCH(A2472, Facturas_Odoo!$D:$D, 0)), "Sin Factura"))</f>
        <v/>
      </c>
      <c r="R2472" s="80">
        <f>IF(Q2472="Sin Factura","",IFERROR(INDEX(Facturas_Odoo!$A:$A, MATCH(Q2472, Facturas_Odoo!$B:$B, 0)), ""))</f>
        <v/>
      </c>
      <c r="S2472" s="79">
        <f>IF(Q2472="Sin Factura","",IFERROR(_xlfn.XLOOKUP(1, (Facturas_Odoo!$D:$D=A2472) * (Facturas_Odoo!$K:$K=I2472), Facturas_Odoo!$L:$L, ""), ""))</f>
        <v/>
      </c>
      <c r="T2472" s="81">
        <f>IF(Q2472="Sin Factura",0,IFERROR(_xlfn.XLOOKUP(1, (Facturas_Odoo!$D:$D=A2472) * (Facturas_Odoo!$K:$K=I2472), Facturas_Odoo!$M:$M, 0), 0))</f>
        <v/>
      </c>
      <c r="U2472" s="79">
        <f>IF(Q2472="Sin Factura",0,IFERROR(_xlfn.XLOOKUP(1, (Facturas_Odoo!$D:$D=A2472) * (Facturas_Odoo!$K:$K=I2472), Facturas_Odoo!$N:$N, 0), 0))</f>
        <v/>
      </c>
      <c r="V2472" s="79">
        <f>IF(Q2472="Sin Factura",0,IFERROR(_xlfn.XLOOKUP(1, (Facturas_Odoo!$D:$D=A2472) * (Facturas_Odoo!$K:$K=I2472), Facturas_Odoo!$O:$O, 0), 0))</f>
        <v/>
      </c>
      <c r="W2472" s="81">
        <f>IF(Q2472="Sin Factura",0,IFERROR(_xlfn.XLOOKUP(1, (Facturas_Odoo!$D:$D=A2472) * (Facturas_Odoo!$K:$K=I2472), Facturas_Odoo!$Q:$Q, 0), 0))</f>
        <v/>
      </c>
      <c r="X2472" s="79">
        <f>IF(OR(Q2472="Sin Factura",Q2472=""),"",IFERROR(INDEX(Pagos_Odoo!$B:$B, MATCH(Q2472, Pagos_Odoo!$I:$I, 0)), "Sin Pago"))</f>
        <v/>
      </c>
      <c r="Y2472" s="79">
        <f>IF(X2472="Sin Pago","",IFERROR(INDEX(Pagos_Odoo!$C:$C, MATCH(X2472, Pagos_Odoo!$B:$B, 0)), ""))</f>
        <v/>
      </c>
      <c r="Z2472" s="80">
        <f>IF(X2472="Sin Pago","",IFERROR(INDEX(Pagos_Odoo!$A:$A, MATCH(X2472, Pagos_Odoo!$B:$B, 0)), ""))</f>
        <v/>
      </c>
      <c r="AA2472" s="79">
        <f>IF(X2472="Sin Pago","",IFERROR(INDEX(Pagos_Odoo!$F:$F, MATCH(X2472, Pagos_Odoo!$B:$B, 0)), ""))</f>
        <v/>
      </c>
      <c r="AB2472" s="81">
        <f>IF(X2472="Sin Pago",0,IFERROR(INDEX(Pagos_Odoo!$E:$E, MATCH(X2472, Pagos_Odoo!$B:$B, 0)), 0))</f>
        <v/>
      </c>
      <c r="AC2472" s="79">
        <f>IF(X2472="Sin Pago","",IFERROR(INDEX(Pagos_Odoo!$G:$G, MATCH(X2472, Pagos_Odoo!$B:$B, 0)), ""))</f>
        <v/>
      </c>
      <c r="AD2472" s="82" t="n">
        <v>0</v>
      </c>
      <c r="AE2472" s="82" t="n"/>
      <c r="AF2472" s="82" t="n"/>
      <c r="AG2472" s="82">
        <f>IF(AN2472="","",AD2472+AE2472+AF2472)</f>
        <v/>
      </c>
      <c r="AH2472" s="81">
        <f>IF(AN2472="","",P2472*(1-AG2472))</f>
        <v/>
      </c>
      <c r="AI2472" s="81">
        <f>IF(AN2472="","",IF(Q2472="Sin Factura",0,IFERROR(INDEX(Facturas_Odoo!$H:$H, MATCH(Q2472, Facturas_Odoo!$B:$B, 0)), 0)*(1-AG2472)))</f>
        <v/>
      </c>
      <c r="AJ2472" s="81">
        <f>IF(AN2472="","",_xlfn.LET(idVenta, AN2472&amp;"",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72" s="81">
        <f>IF(AN2472="","",AH2472-AJ2472)</f>
        <v/>
      </c>
      <c r="AL2472" s="81">
        <f>IF(AN2472="","",IF(Q2472="Sin Factura","",AI2472-AJ2472))</f>
        <v/>
      </c>
      <c r="AM2472" s="81">
        <f>IF(AN2472="","",IF(Q2472="Sin Factura",0,P2472-IFERROR(INDEX(Facturas_Odoo!$H:$H, MATCH(Q2472, Facturas_Odoo!$B:$B, 0)), 0)))</f>
        <v/>
      </c>
      <c r="AN2472" s="79">
        <f>IF(AND(A2472="", J2472=""), "", IF(A2472&lt;&gt;"", VALUE(MID(A2472,2,LEN(A2472))), AN2471))</f>
        <v/>
      </c>
      <c r="AO2472" s="79">
        <f>IF(AN2472="","",IF(AD2472=0,"OK",_xlfn.LET(monedaPago, IF(AA2472="","USD",AA2472), limitePermitido, IFERROR(VLOOKUP(monedaPago, Configuración!$A$2:$B$3, 2, FALSE), 0.15), IF(AD2472&gt;limitePermitido, "ALERTA: EXCESO (" &amp; TEXT(limitePermitido, "0%") &amp; " máx)", "OK"))))</f>
        <v/>
      </c>
      <c r="AP2472" s="79">
        <f>IF(AN2472="","",IF(AE2472=0,"OK",_xlfn.LET(fechaPago, Z2472, fechaFactura, R2472, diasCredito, IF(E2472="Pago inmediato", 0, IFERROR(VALUE(MID(E2472, 1, SEARCH(" ", E2472)-1)),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72" s="79">
        <f>IF(AN2472="","",IF(AND(N2472&gt;0, AG2472&gt;0), IF(Configuración!$K$2="NO", "ALERTA: DESCUENTO DOBLE NO PERMITIDO", "OK"), "OK"))</f>
        <v/>
      </c>
      <c r="AR2472" s="79">
        <f>IF(AN2472="","",IF(OR(AO2472&lt;&gt;"OK", AP2472&lt;&gt;"OK", AQ2472&lt;&gt;"OK"), "⚠️ REVISAR", "OK"))</f>
        <v/>
      </c>
    </row>
    <row r="2473">
      <c r="A2473" s="79">
        <f>IF('Ordenes_Odoo'!A2473="","",'Ordenes_Odoo'!A2473)</f>
        <v/>
      </c>
      <c r="B2473" s="80">
        <f>IF('Ordenes_Odoo'!B2473="","",'Ordenes_Odoo'!B2473)</f>
        <v/>
      </c>
      <c r="C2473" s="79">
        <f>IF('Ordenes_Odoo'!C2473="","",'Ordenes_Odoo'!C2473)</f>
        <v/>
      </c>
      <c r="D2473" s="79">
        <f>IF('Ordenes_Odoo'!D2473="","",'Ordenes_Odoo'!D2473)</f>
        <v/>
      </c>
      <c r="E2473" s="79">
        <f>IF('Ordenes_Odoo'!E2473="","",'Ordenes_Odoo'!E2473)</f>
        <v/>
      </c>
      <c r="F2473" s="79">
        <f>IF('Ordenes_Odoo'!F2473="","",'Ordenes_Odoo'!F2473)</f>
        <v/>
      </c>
      <c r="G2473" s="79">
        <f>IF('Ordenes_Odoo'!G2473="","",'Ordenes_Odoo'!G2473)</f>
        <v/>
      </c>
      <c r="H2473" s="79">
        <f>IF('Ordenes_Odoo'!H2473="","",'Ordenes_Odoo'!H2473)</f>
        <v/>
      </c>
      <c r="I2473" s="79">
        <f>IF('Ordenes_Odoo'!I2473="","",'Ordenes_Odoo'!I2473)</f>
        <v/>
      </c>
      <c r="J2473" s="79">
        <f>IF('Ordenes_Odoo'!J2473="","",'Ordenes_Odoo'!J2473)</f>
        <v/>
      </c>
      <c r="K2473" s="81">
        <f>IF('Ordenes_Odoo'!K2473="","",'Ordenes_Odoo'!K2473)</f>
        <v/>
      </c>
      <c r="L2473" s="81">
        <f>IF('Ordenes_Odoo'!L2473="","",'Ordenes_Odoo'!L2473)</f>
        <v/>
      </c>
      <c r="M2473" s="79">
        <f>IF('Ordenes_Odoo'!M2473="","",'Ordenes_Odoo'!M2473)</f>
        <v/>
      </c>
      <c r="N2473" s="79">
        <f>IF('Ordenes_Odoo'!N2473="","",'Ordenes_Odoo'!N2473)</f>
        <v/>
      </c>
      <c r="O2473" s="81">
        <f>IF('Ordenes_Odoo'!O2473="","",'Ordenes_Odoo'!O2473)</f>
        <v/>
      </c>
      <c r="P2473" s="81">
        <f>IF('Ordenes_Odoo'!P2473="","",'Ordenes_Odoo'!P2473)</f>
        <v/>
      </c>
      <c r="Q2473" s="79">
        <f>IF(A2473="","",IFERROR(INDEX(Facturas_Odoo!$B:$B, MATCH(A2473, Facturas_Odoo!$D:$D, 0)), "Sin Factura"))</f>
        <v/>
      </c>
      <c r="R2473" s="80">
        <f>IF(Q2473="Sin Factura","",IFERROR(INDEX(Facturas_Odoo!$A:$A, MATCH(Q2473, Facturas_Odoo!$B:$B, 0)), ""))</f>
        <v/>
      </c>
      <c r="S2473" s="79">
        <f>IF(Q2473="Sin Factura","",IFERROR(_xlfn.XLOOKUP(1, (Facturas_Odoo!$D:$D=A2473) * (Facturas_Odoo!$K:$K=I2473), Facturas_Odoo!$L:$L, ""), ""))</f>
        <v/>
      </c>
      <c r="T2473" s="81">
        <f>IF(Q2473="Sin Factura",0,IFERROR(_xlfn.XLOOKUP(1, (Facturas_Odoo!$D:$D=A2473) * (Facturas_Odoo!$K:$K=I2473), Facturas_Odoo!$M:$M, 0), 0))</f>
        <v/>
      </c>
      <c r="U2473" s="79">
        <f>IF(Q2473="Sin Factura",0,IFERROR(_xlfn.XLOOKUP(1, (Facturas_Odoo!$D:$D=A2473) * (Facturas_Odoo!$K:$K=I2473), Facturas_Odoo!$N:$N, 0), 0))</f>
        <v/>
      </c>
      <c r="V2473" s="79">
        <f>IF(Q2473="Sin Factura",0,IFERROR(_xlfn.XLOOKUP(1, (Facturas_Odoo!$D:$D=A2473) * (Facturas_Odoo!$K:$K=I2473), Facturas_Odoo!$O:$O, 0), 0))</f>
        <v/>
      </c>
      <c r="W2473" s="81">
        <f>IF(Q2473="Sin Factura",0,IFERROR(_xlfn.XLOOKUP(1, (Facturas_Odoo!$D:$D=A2473) * (Facturas_Odoo!$K:$K=I2473), Facturas_Odoo!$Q:$Q, 0), 0))</f>
        <v/>
      </c>
      <c r="X2473" s="79">
        <f>IF(OR(Q2473="Sin Factura",Q2473=""),"",IFERROR(INDEX(Pagos_Odoo!$B:$B, MATCH(Q2473, Pagos_Odoo!$I:$I, 0)), "Sin Pago"))</f>
        <v/>
      </c>
      <c r="Y2473" s="79">
        <f>IF(X2473="Sin Pago","",IFERROR(INDEX(Pagos_Odoo!$C:$C, MATCH(X2473, Pagos_Odoo!$B:$B, 0)), ""))</f>
        <v/>
      </c>
      <c r="Z2473" s="80">
        <f>IF(X2473="Sin Pago","",IFERROR(INDEX(Pagos_Odoo!$A:$A, MATCH(X2473, Pagos_Odoo!$B:$B, 0)), ""))</f>
        <v/>
      </c>
      <c r="AA2473" s="79">
        <f>IF(X2473="Sin Pago","",IFERROR(INDEX(Pagos_Odoo!$F:$F, MATCH(X2473, Pagos_Odoo!$B:$B, 0)), ""))</f>
        <v/>
      </c>
      <c r="AB2473" s="81">
        <f>IF(X2473="Sin Pago",0,IFERROR(INDEX(Pagos_Odoo!$E:$E, MATCH(X2473, Pagos_Odoo!$B:$B, 0)), 0))</f>
        <v/>
      </c>
      <c r="AC2473" s="79">
        <f>IF(X2473="Sin Pago","",IFERROR(INDEX(Pagos_Odoo!$G:$G, MATCH(X2473, Pagos_Odoo!$B:$B, 0)), ""))</f>
        <v/>
      </c>
      <c r="AD2473" s="82" t="n">
        <v>0</v>
      </c>
      <c r="AE2473" s="82" t="n"/>
      <c r="AF2473" s="82" t="n"/>
      <c r="AG2473" s="82">
        <f>IF(AN2473="","",AD2473+AE2473+AF2473)</f>
        <v/>
      </c>
      <c r="AH2473" s="81">
        <f>IF(AN2473="","",P2473*(1-AG2473))</f>
        <v/>
      </c>
      <c r="AI2473" s="81">
        <f>IF(AN2473="","",IF(Q2473="Sin Factura",0,IFERROR(INDEX(Facturas_Odoo!$H:$H, MATCH(Q2473, Facturas_Odoo!$B:$B, 0)), 0)*(1-AG2473)))</f>
        <v/>
      </c>
      <c r="AJ2473" s="81">
        <f>IF(AN2473="","",_xlfn.LET(idVenta, AN2473&amp;"",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73" s="81">
        <f>IF(AN2473="","",AH2473-AJ2473)</f>
        <v/>
      </c>
      <c r="AL2473" s="81">
        <f>IF(AN2473="","",IF(Q2473="Sin Factura","",AI2473-AJ2473))</f>
        <v/>
      </c>
      <c r="AM2473" s="81">
        <f>IF(AN2473="","",IF(Q2473="Sin Factura",0,P2473-IFERROR(INDEX(Facturas_Odoo!$H:$H, MATCH(Q2473, Facturas_Odoo!$B:$B, 0)), 0)))</f>
        <v/>
      </c>
      <c r="AN2473" s="79">
        <f>IF(AND(A2473="", J2473=""), "", IF(A2473&lt;&gt;"", VALUE(MID(A2473,2,LEN(A2473))), AN2472))</f>
        <v/>
      </c>
      <c r="AO2473" s="79">
        <f>IF(AN2473="","",IF(AD2473=0,"OK",_xlfn.LET(monedaPago, IF(AA2473="","USD",AA2473), limitePermitido, IFERROR(VLOOKUP(monedaPago, Configuración!$A$2:$B$3, 2, FALSE), 0.15), IF(AD2473&gt;limitePermitido, "ALERTA: EXCESO (" &amp; TEXT(limitePermitido, "0%") &amp; " máx)", "OK"))))</f>
        <v/>
      </c>
      <c r="AP2473" s="79">
        <f>IF(AN2473="","",IF(AE2473=0,"OK",_xlfn.LET(fechaPago, Z2473, fechaFactura, R2473, diasCredito, IF(E2473="Pago inmediato", 0, IFERROR(VALUE(MID(E2473, 1, SEARCH(" ", E2473)-1)),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73" s="79">
        <f>IF(AN2473="","",IF(AND(N2473&gt;0, AG2473&gt;0), IF(Configuración!$K$2="NO", "ALERTA: DESCUENTO DOBLE NO PERMITIDO", "OK"), "OK"))</f>
        <v/>
      </c>
      <c r="AR2473" s="79">
        <f>IF(AN2473="","",IF(OR(AO2473&lt;&gt;"OK", AP2473&lt;&gt;"OK", AQ2473&lt;&gt;"OK"), "⚠️ REVISAR", "OK"))</f>
        <v/>
      </c>
    </row>
    <row r="2474">
      <c r="A2474" s="79">
        <f>IF('Ordenes_Odoo'!A2474="","",'Ordenes_Odoo'!A2474)</f>
        <v/>
      </c>
      <c r="B2474" s="80">
        <f>IF('Ordenes_Odoo'!B2474="","",'Ordenes_Odoo'!B2474)</f>
        <v/>
      </c>
      <c r="C2474" s="79">
        <f>IF('Ordenes_Odoo'!C2474="","",'Ordenes_Odoo'!C2474)</f>
        <v/>
      </c>
      <c r="D2474" s="79">
        <f>IF('Ordenes_Odoo'!D2474="","",'Ordenes_Odoo'!D2474)</f>
        <v/>
      </c>
      <c r="E2474" s="79">
        <f>IF('Ordenes_Odoo'!E2474="","",'Ordenes_Odoo'!E2474)</f>
        <v/>
      </c>
      <c r="F2474" s="79">
        <f>IF('Ordenes_Odoo'!F2474="","",'Ordenes_Odoo'!F2474)</f>
        <v/>
      </c>
      <c r="G2474" s="79">
        <f>IF('Ordenes_Odoo'!G2474="","",'Ordenes_Odoo'!G2474)</f>
        <v/>
      </c>
      <c r="H2474" s="79">
        <f>IF('Ordenes_Odoo'!H2474="","",'Ordenes_Odoo'!H2474)</f>
        <v/>
      </c>
      <c r="I2474" s="79">
        <f>IF('Ordenes_Odoo'!I2474="","",'Ordenes_Odoo'!I2474)</f>
        <v/>
      </c>
      <c r="J2474" s="79">
        <f>IF('Ordenes_Odoo'!J2474="","",'Ordenes_Odoo'!J2474)</f>
        <v/>
      </c>
      <c r="K2474" s="81">
        <f>IF('Ordenes_Odoo'!K2474="","",'Ordenes_Odoo'!K2474)</f>
        <v/>
      </c>
      <c r="L2474" s="81">
        <f>IF('Ordenes_Odoo'!L2474="","",'Ordenes_Odoo'!L2474)</f>
        <v/>
      </c>
      <c r="M2474" s="79">
        <f>IF('Ordenes_Odoo'!M2474="","",'Ordenes_Odoo'!M2474)</f>
        <v/>
      </c>
      <c r="N2474" s="79">
        <f>IF('Ordenes_Odoo'!N2474="","",'Ordenes_Odoo'!N2474)</f>
        <v/>
      </c>
      <c r="O2474" s="81">
        <f>IF('Ordenes_Odoo'!O2474="","",'Ordenes_Odoo'!O2474)</f>
        <v/>
      </c>
      <c r="P2474" s="81">
        <f>IF('Ordenes_Odoo'!P2474="","",'Ordenes_Odoo'!P2474)</f>
        <v/>
      </c>
      <c r="Q2474" s="79">
        <f>IF(A2474="","",IFERROR(INDEX(Facturas_Odoo!$B:$B, MATCH(A2474, Facturas_Odoo!$D:$D, 0)), "Sin Factura"))</f>
        <v/>
      </c>
      <c r="R2474" s="80">
        <f>IF(Q2474="Sin Factura","",IFERROR(INDEX(Facturas_Odoo!$A:$A, MATCH(Q2474, Facturas_Odoo!$B:$B, 0)), ""))</f>
        <v/>
      </c>
      <c r="S2474" s="79">
        <f>IF(Q2474="Sin Factura","",IFERROR(_xlfn.XLOOKUP(1, (Facturas_Odoo!$D:$D=A2474) * (Facturas_Odoo!$K:$K=I2474), Facturas_Odoo!$L:$L, ""), ""))</f>
        <v/>
      </c>
      <c r="T2474" s="81">
        <f>IF(Q2474="Sin Factura",0,IFERROR(_xlfn.XLOOKUP(1, (Facturas_Odoo!$D:$D=A2474) * (Facturas_Odoo!$K:$K=I2474), Facturas_Odoo!$M:$M, 0), 0))</f>
        <v/>
      </c>
      <c r="U2474" s="79">
        <f>IF(Q2474="Sin Factura",0,IFERROR(_xlfn.XLOOKUP(1, (Facturas_Odoo!$D:$D=A2474) * (Facturas_Odoo!$K:$K=I2474), Facturas_Odoo!$N:$N, 0), 0))</f>
        <v/>
      </c>
      <c r="V2474" s="79">
        <f>IF(Q2474="Sin Factura",0,IFERROR(_xlfn.XLOOKUP(1, (Facturas_Odoo!$D:$D=A2474) * (Facturas_Odoo!$K:$K=I2474), Facturas_Odoo!$O:$O, 0), 0))</f>
        <v/>
      </c>
      <c r="W2474" s="81">
        <f>IF(Q2474="Sin Factura",0,IFERROR(_xlfn.XLOOKUP(1, (Facturas_Odoo!$D:$D=A2474) * (Facturas_Odoo!$K:$K=I2474), Facturas_Odoo!$Q:$Q, 0), 0))</f>
        <v/>
      </c>
      <c r="X2474" s="79">
        <f>IF(OR(Q2474="Sin Factura",Q2474=""),"",IFERROR(INDEX(Pagos_Odoo!$B:$B, MATCH(Q2474, Pagos_Odoo!$I:$I, 0)), "Sin Pago"))</f>
        <v/>
      </c>
      <c r="Y2474" s="79">
        <f>IF(X2474="Sin Pago","",IFERROR(INDEX(Pagos_Odoo!$C:$C, MATCH(X2474, Pagos_Odoo!$B:$B, 0)), ""))</f>
        <v/>
      </c>
      <c r="Z2474" s="80">
        <f>IF(X2474="Sin Pago","",IFERROR(INDEX(Pagos_Odoo!$A:$A, MATCH(X2474, Pagos_Odoo!$B:$B, 0)), ""))</f>
        <v/>
      </c>
      <c r="AA2474" s="79">
        <f>IF(X2474="Sin Pago","",IFERROR(INDEX(Pagos_Odoo!$F:$F, MATCH(X2474, Pagos_Odoo!$B:$B, 0)), ""))</f>
        <v/>
      </c>
      <c r="AB2474" s="81">
        <f>IF(X2474="Sin Pago",0,IFERROR(INDEX(Pagos_Odoo!$E:$E, MATCH(X2474, Pagos_Odoo!$B:$B, 0)), 0))</f>
        <v/>
      </c>
      <c r="AC2474" s="79">
        <f>IF(X2474="Sin Pago","",IFERROR(INDEX(Pagos_Odoo!$G:$G, MATCH(X2474, Pagos_Odoo!$B:$B, 0)), ""))</f>
        <v/>
      </c>
      <c r="AD2474" s="82" t="n">
        <v>0</v>
      </c>
      <c r="AE2474" s="82" t="n"/>
      <c r="AF2474" s="82" t="n"/>
      <c r="AG2474" s="82">
        <f>IF(AN2474="","",AD2474+AE2474+AF2474)</f>
        <v/>
      </c>
      <c r="AH2474" s="81">
        <f>IF(AN2474="","",P2474*(1-AG2474))</f>
        <v/>
      </c>
      <c r="AI2474" s="81">
        <f>IF(AN2474="","",IF(Q2474="Sin Factura",0,IFERROR(INDEX(Facturas_Odoo!$H:$H, MATCH(Q2474, Facturas_Odoo!$B:$B, 0)), 0)*(1-AG2474)))</f>
        <v/>
      </c>
      <c r="AJ2474" s="81">
        <f>IF(AN2474="","",_xlfn.LET(idVenta, AN2474&amp;"",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74" s="81">
        <f>IF(AN2474="","",AH2474-AJ2474)</f>
        <v/>
      </c>
      <c r="AL2474" s="81">
        <f>IF(AN2474="","",IF(Q2474="Sin Factura","",AI2474-AJ2474))</f>
        <v/>
      </c>
      <c r="AM2474" s="81">
        <f>IF(AN2474="","",IF(Q2474="Sin Factura",0,P2474-IFERROR(INDEX(Facturas_Odoo!$H:$H, MATCH(Q2474, Facturas_Odoo!$B:$B, 0)), 0)))</f>
        <v/>
      </c>
      <c r="AN2474" s="79">
        <f>IF(AND(A2474="", J2474=""), "", IF(A2474&lt;&gt;"", VALUE(MID(A2474,2,LEN(A2474))), AN2473))</f>
        <v/>
      </c>
      <c r="AO2474" s="79">
        <f>IF(AN2474="","",IF(AD2474=0,"OK",_xlfn.LET(monedaPago, IF(AA2474="","USD",AA2474), limitePermitido, IFERROR(VLOOKUP(monedaPago, Configuración!$A$2:$B$3, 2, FALSE), 0.15), IF(AD2474&gt;limitePermitido, "ALERTA: EXCESO (" &amp; TEXT(limitePermitido, "0%") &amp; " máx)", "OK"))))</f>
        <v/>
      </c>
      <c r="AP2474" s="79">
        <f>IF(AN2474="","",IF(AE2474=0,"OK",_xlfn.LET(fechaPago, Z2474, fechaFactura, R2474, diasCredito, IF(E2474="Pago inmediato", 0, IFERROR(VALUE(MID(E2474, 1, SEARCH(" ", E2474)-1)),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74" s="79">
        <f>IF(AN2474="","",IF(AND(N2474&gt;0, AG2474&gt;0), IF(Configuración!$K$2="NO", "ALERTA: DESCUENTO DOBLE NO PERMITIDO", "OK"), "OK"))</f>
        <v/>
      </c>
      <c r="AR2474" s="79">
        <f>IF(AN2474="","",IF(OR(AO2474&lt;&gt;"OK", AP2474&lt;&gt;"OK", AQ2474&lt;&gt;"OK"), "⚠️ REVISAR", "OK"))</f>
        <v/>
      </c>
    </row>
    <row r="2475">
      <c r="A2475" s="79">
        <f>IF('Ordenes_Odoo'!A2475="","",'Ordenes_Odoo'!A2475)</f>
        <v/>
      </c>
      <c r="B2475" s="80">
        <f>IF('Ordenes_Odoo'!B2475="","",'Ordenes_Odoo'!B2475)</f>
        <v/>
      </c>
      <c r="C2475" s="79">
        <f>IF('Ordenes_Odoo'!C2475="","",'Ordenes_Odoo'!C2475)</f>
        <v/>
      </c>
      <c r="D2475" s="79">
        <f>IF('Ordenes_Odoo'!D2475="","",'Ordenes_Odoo'!D2475)</f>
        <v/>
      </c>
      <c r="E2475" s="79">
        <f>IF('Ordenes_Odoo'!E2475="","",'Ordenes_Odoo'!E2475)</f>
        <v/>
      </c>
      <c r="F2475" s="79">
        <f>IF('Ordenes_Odoo'!F2475="","",'Ordenes_Odoo'!F2475)</f>
        <v/>
      </c>
      <c r="G2475" s="79">
        <f>IF('Ordenes_Odoo'!G2475="","",'Ordenes_Odoo'!G2475)</f>
        <v/>
      </c>
      <c r="H2475" s="79">
        <f>IF('Ordenes_Odoo'!H2475="","",'Ordenes_Odoo'!H2475)</f>
        <v/>
      </c>
      <c r="I2475" s="79">
        <f>IF('Ordenes_Odoo'!I2475="","",'Ordenes_Odoo'!I2475)</f>
        <v/>
      </c>
      <c r="J2475" s="79">
        <f>IF('Ordenes_Odoo'!J2475="","",'Ordenes_Odoo'!J2475)</f>
        <v/>
      </c>
      <c r="K2475" s="81">
        <f>IF('Ordenes_Odoo'!K2475="","",'Ordenes_Odoo'!K2475)</f>
        <v/>
      </c>
      <c r="L2475" s="81">
        <f>IF('Ordenes_Odoo'!L2475="","",'Ordenes_Odoo'!L2475)</f>
        <v/>
      </c>
      <c r="M2475" s="79">
        <f>IF('Ordenes_Odoo'!M2475="","",'Ordenes_Odoo'!M2475)</f>
        <v/>
      </c>
      <c r="N2475" s="79">
        <f>IF('Ordenes_Odoo'!N2475="","",'Ordenes_Odoo'!N2475)</f>
        <v/>
      </c>
      <c r="O2475" s="81">
        <f>IF('Ordenes_Odoo'!O2475="","",'Ordenes_Odoo'!O2475)</f>
        <v/>
      </c>
      <c r="P2475" s="81">
        <f>IF('Ordenes_Odoo'!P2475="","",'Ordenes_Odoo'!P2475)</f>
        <v/>
      </c>
      <c r="Q2475" s="79">
        <f>IF(A2475="","",IFERROR(INDEX(Facturas_Odoo!$B:$B, MATCH(A2475, Facturas_Odoo!$D:$D, 0)), "Sin Factura"))</f>
        <v/>
      </c>
      <c r="R2475" s="80">
        <f>IF(Q2475="Sin Factura","",IFERROR(INDEX(Facturas_Odoo!$A:$A, MATCH(Q2475, Facturas_Odoo!$B:$B, 0)), ""))</f>
        <v/>
      </c>
      <c r="S2475" s="79">
        <f>IF(Q2475="Sin Factura","",IFERROR(_xlfn.XLOOKUP(1, (Facturas_Odoo!$D:$D=A2475) * (Facturas_Odoo!$K:$K=I2475), Facturas_Odoo!$L:$L, ""), ""))</f>
        <v/>
      </c>
      <c r="T2475" s="81">
        <f>IF(Q2475="Sin Factura",0,IFERROR(_xlfn.XLOOKUP(1, (Facturas_Odoo!$D:$D=A2475) * (Facturas_Odoo!$K:$K=I2475), Facturas_Odoo!$M:$M, 0), 0))</f>
        <v/>
      </c>
      <c r="U2475" s="79">
        <f>IF(Q2475="Sin Factura",0,IFERROR(_xlfn.XLOOKUP(1, (Facturas_Odoo!$D:$D=A2475) * (Facturas_Odoo!$K:$K=I2475), Facturas_Odoo!$N:$N, 0), 0))</f>
        <v/>
      </c>
      <c r="V2475" s="79">
        <f>IF(Q2475="Sin Factura",0,IFERROR(_xlfn.XLOOKUP(1, (Facturas_Odoo!$D:$D=A2475) * (Facturas_Odoo!$K:$K=I2475), Facturas_Odoo!$O:$O, 0), 0))</f>
        <v/>
      </c>
      <c r="W2475" s="81">
        <f>IF(Q2475="Sin Factura",0,IFERROR(_xlfn.XLOOKUP(1, (Facturas_Odoo!$D:$D=A2475) * (Facturas_Odoo!$K:$K=I2475), Facturas_Odoo!$Q:$Q, 0), 0))</f>
        <v/>
      </c>
      <c r="X2475" s="79">
        <f>IF(OR(Q2475="Sin Factura",Q2475=""),"",IFERROR(INDEX(Pagos_Odoo!$B:$B, MATCH(Q2475, Pagos_Odoo!$I:$I, 0)), "Sin Pago"))</f>
        <v/>
      </c>
      <c r="Y2475" s="79">
        <f>IF(X2475="Sin Pago","",IFERROR(INDEX(Pagos_Odoo!$C:$C, MATCH(X2475, Pagos_Odoo!$B:$B, 0)), ""))</f>
        <v/>
      </c>
      <c r="Z2475" s="80">
        <f>IF(X2475="Sin Pago","",IFERROR(INDEX(Pagos_Odoo!$A:$A, MATCH(X2475, Pagos_Odoo!$B:$B, 0)), ""))</f>
        <v/>
      </c>
      <c r="AA2475" s="79">
        <f>IF(X2475="Sin Pago","",IFERROR(INDEX(Pagos_Odoo!$F:$F, MATCH(X2475, Pagos_Odoo!$B:$B, 0)), ""))</f>
        <v/>
      </c>
      <c r="AB2475" s="81">
        <f>IF(X2475="Sin Pago",0,IFERROR(INDEX(Pagos_Odoo!$E:$E, MATCH(X2475, Pagos_Odoo!$B:$B, 0)), 0))</f>
        <v/>
      </c>
      <c r="AC2475" s="79">
        <f>IF(X2475="Sin Pago","",IFERROR(INDEX(Pagos_Odoo!$G:$G, MATCH(X2475, Pagos_Odoo!$B:$B, 0)), ""))</f>
        <v/>
      </c>
      <c r="AD2475" s="82" t="n">
        <v>0</v>
      </c>
      <c r="AE2475" s="82" t="n"/>
      <c r="AF2475" s="82" t="n"/>
      <c r="AG2475" s="82">
        <f>IF(AN2475="","",AD2475+AE2475+AF2475)</f>
        <v/>
      </c>
      <c r="AH2475" s="81">
        <f>IF(AN2475="","",P2475*(1-AG2475))</f>
        <v/>
      </c>
      <c r="AI2475" s="81">
        <f>IF(AN2475="","",IF(Q2475="Sin Factura",0,IFERROR(INDEX(Facturas_Odoo!$H:$H, MATCH(Q2475, Facturas_Odoo!$B:$B, 0)), 0)*(1-AG2475)))</f>
        <v/>
      </c>
      <c r="AJ2475" s="81">
        <f>IF(AN2475="","",_xlfn.LET(idVenta, AN2475&amp;"",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75" s="81">
        <f>IF(AN2475="","",AH2475-AJ2475)</f>
        <v/>
      </c>
      <c r="AL2475" s="81">
        <f>IF(AN2475="","",IF(Q2475="Sin Factura","",AI2475-AJ2475))</f>
        <v/>
      </c>
      <c r="AM2475" s="81">
        <f>IF(AN2475="","",IF(Q2475="Sin Factura",0,P2475-IFERROR(INDEX(Facturas_Odoo!$H:$H, MATCH(Q2475, Facturas_Odoo!$B:$B, 0)), 0)))</f>
        <v/>
      </c>
      <c r="AN2475" s="79">
        <f>IF(AND(A2475="", J2475=""), "", IF(A2475&lt;&gt;"", VALUE(MID(A2475,2,LEN(A2475))), AN2474))</f>
        <v/>
      </c>
      <c r="AO2475" s="79">
        <f>IF(AN2475="","",IF(AD2475=0,"OK",_xlfn.LET(monedaPago, IF(AA2475="","USD",AA2475), limitePermitido, IFERROR(VLOOKUP(monedaPago, Configuración!$A$2:$B$3, 2, FALSE), 0.15), IF(AD2475&gt;limitePermitido, "ALERTA: EXCESO (" &amp; TEXT(limitePermitido, "0%") &amp; " máx)", "OK"))))</f>
        <v/>
      </c>
      <c r="AP2475" s="79">
        <f>IF(AN2475="","",IF(AE2475=0,"OK",_xlfn.LET(fechaPago, Z2475, fechaFactura, R2475, diasCredito, IF(E2475="Pago inmediato", 0, IFERROR(VALUE(MID(E2475, 1, SEARCH(" ", E2475)-1)),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75" s="79">
        <f>IF(AN2475="","",IF(AND(N2475&gt;0, AG2475&gt;0), IF(Configuración!$K$2="NO", "ALERTA: DESCUENTO DOBLE NO PERMITIDO", "OK"), "OK"))</f>
        <v/>
      </c>
      <c r="AR2475" s="79">
        <f>IF(AN2475="","",IF(OR(AO2475&lt;&gt;"OK", AP2475&lt;&gt;"OK", AQ2475&lt;&gt;"OK"), "⚠️ REVISAR", "OK"))</f>
        <v/>
      </c>
    </row>
    <row r="2476">
      <c r="A2476" s="79">
        <f>IF('Ordenes_Odoo'!A2476="","",'Ordenes_Odoo'!A2476)</f>
        <v/>
      </c>
      <c r="B2476" s="80">
        <f>IF('Ordenes_Odoo'!B2476="","",'Ordenes_Odoo'!B2476)</f>
        <v/>
      </c>
      <c r="C2476" s="79">
        <f>IF('Ordenes_Odoo'!C2476="","",'Ordenes_Odoo'!C2476)</f>
        <v/>
      </c>
      <c r="D2476" s="79">
        <f>IF('Ordenes_Odoo'!D2476="","",'Ordenes_Odoo'!D2476)</f>
        <v/>
      </c>
      <c r="E2476" s="79">
        <f>IF('Ordenes_Odoo'!E2476="","",'Ordenes_Odoo'!E2476)</f>
        <v/>
      </c>
      <c r="F2476" s="79">
        <f>IF('Ordenes_Odoo'!F2476="","",'Ordenes_Odoo'!F2476)</f>
        <v/>
      </c>
      <c r="G2476" s="79">
        <f>IF('Ordenes_Odoo'!G2476="","",'Ordenes_Odoo'!G2476)</f>
        <v/>
      </c>
      <c r="H2476" s="79">
        <f>IF('Ordenes_Odoo'!H2476="","",'Ordenes_Odoo'!H2476)</f>
        <v/>
      </c>
      <c r="I2476" s="79">
        <f>IF('Ordenes_Odoo'!I2476="","",'Ordenes_Odoo'!I2476)</f>
        <v/>
      </c>
      <c r="J2476" s="79">
        <f>IF('Ordenes_Odoo'!J2476="","",'Ordenes_Odoo'!J2476)</f>
        <v/>
      </c>
      <c r="K2476" s="81">
        <f>IF('Ordenes_Odoo'!K2476="","",'Ordenes_Odoo'!K2476)</f>
        <v/>
      </c>
      <c r="L2476" s="81">
        <f>IF('Ordenes_Odoo'!L2476="","",'Ordenes_Odoo'!L2476)</f>
        <v/>
      </c>
      <c r="M2476" s="79">
        <f>IF('Ordenes_Odoo'!M2476="","",'Ordenes_Odoo'!M2476)</f>
        <v/>
      </c>
      <c r="N2476" s="79">
        <f>IF('Ordenes_Odoo'!N2476="","",'Ordenes_Odoo'!N2476)</f>
        <v/>
      </c>
      <c r="O2476" s="81">
        <f>IF('Ordenes_Odoo'!O2476="","",'Ordenes_Odoo'!O2476)</f>
        <v/>
      </c>
      <c r="P2476" s="81">
        <f>IF('Ordenes_Odoo'!P2476="","",'Ordenes_Odoo'!P2476)</f>
        <v/>
      </c>
      <c r="Q2476" s="79">
        <f>IF(A2476="","",IFERROR(INDEX(Facturas_Odoo!$B:$B, MATCH(A2476, Facturas_Odoo!$D:$D, 0)), "Sin Factura"))</f>
        <v/>
      </c>
      <c r="R2476" s="80">
        <f>IF(Q2476="Sin Factura","",IFERROR(INDEX(Facturas_Odoo!$A:$A, MATCH(Q2476, Facturas_Odoo!$B:$B, 0)), ""))</f>
        <v/>
      </c>
      <c r="S2476" s="79">
        <f>IF(Q2476="Sin Factura","",IFERROR(_xlfn.XLOOKUP(1, (Facturas_Odoo!$D:$D=A2476) * (Facturas_Odoo!$K:$K=I2476), Facturas_Odoo!$L:$L, ""), ""))</f>
        <v/>
      </c>
      <c r="T2476" s="81">
        <f>IF(Q2476="Sin Factura",0,IFERROR(_xlfn.XLOOKUP(1, (Facturas_Odoo!$D:$D=A2476) * (Facturas_Odoo!$K:$K=I2476), Facturas_Odoo!$M:$M, 0), 0))</f>
        <v/>
      </c>
      <c r="U2476" s="79">
        <f>IF(Q2476="Sin Factura",0,IFERROR(_xlfn.XLOOKUP(1, (Facturas_Odoo!$D:$D=A2476) * (Facturas_Odoo!$K:$K=I2476), Facturas_Odoo!$N:$N, 0), 0))</f>
        <v/>
      </c>
      <c r="V2476" s="79">
        <f>IF(Q2476="Sin Factura",0,IFERROR(_xlfn.XLOOKUP(1, (Facturas_Odoo!$D:$D=A2476) * (Facturas_Odoo!$K:$K=I2476), Facturas_Odoo!$O:$O, 0), 0))</f>
        <v/>
      </c>
      <c r="W2476" s="81">
        <f>IF(Q2476="Sin Factura",0,IFERROR(_xlfn.XLOOKUP(1, (Facturas_Odoo!$D:$D=A2476) * (Facturas_Odoo!$K:$K=I2476), Facturas_Odoo!$Q:$Q, 0), 0))</f>
        <v/>
      </c>
      <c r="X2476" s="79">
        <f>IF(OR(Q2476="Sin Factura",Q2476=""),"",IFERROR(INDEX(Pagos_Odoo!$B:$B, MATCH(Q2476, Pagos_Odoo!$I:$I, 0)), "Sin Pago"))</f>
        <v/>
      </c>
      <c r="Y2476" s="79">
        <f>IF(X2476="Sin Pago","",IFERROR(INDEX(Pagos_Odoo!$C:$C, MATCH(X2476, Pagos_Odoo!$B:$B, 0)), ""))</f>
        <v/>
      </c>
      <c r="Z2476" s="80">
        <f>IF(X2476="Sin Pago","",IFERROR(INDEX(Pagos_Odoo!$A:$A, MATCH(X2476, Pagos_Odoo!$B:$B, 0)), ""))</f>
        <v/>
      </c>
      <c r="AA2476" s="79">
        <f>IF(X2476="Sin Pago","",IFERROR(INDEX(Pagos_Odoo!$F:$F, MATCH(X2476, Pagos_Odoo!$B:$B, 0)), ""))</f>
        <v/>
      </c>
      <c r="AB2476" s="81">
        <f>IF(X2476="Sin Pago",0,IFERROR(INDEX(Pagos_Odoo!$E:$E, MATCH(X2476, Pagos_Odoo!$B:$B, 0)), 0))</f>
        <v/>
      </c>
      <c r="AC2476" s="79">
        <f>IF(X2476="Sin Pago","",IFERROR(INDEX(Pagos_Odoo!$G:$G, MATCH(X2476, Pagos_Odoo!$B:$B, 0)), ""))</f>
        <v/>
      </c>
      <c r="AD2476" s="82" t="n">
        <v>0</v>
      </c>
      <c r="AE2476" s="82" t="n"/>
      <c r="AF2476" s="82" t="n"/>
      <c r="AG2476" s="82">
        <f>IF(AN2476="","",AD2476+AE2476+AF2476)</f>
        <v/>
      </c>
      <c r="AH2476" s="81">
        <f>IF(AN2476="","",P2476*(1-AG2476))</f>
        <v/>
      </c>
      <c r="AI2476" s="81">
        <f>IF(AN2476="","",IF(Q2476="Sin Factura",0,IFERROR(INDEX(Facturas_Odoo!$H:$H, MATCH(Q2476, Facturas_Odoo!$B:$B, 0)), 0)*(1-AG2476)))</f>
        <v/>
      </c>
      <c r="AJ2476" s="81">
        <f>IF(AN2476="","",_xlfn.LET(idVenta, AN2476&amp;"",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76" s="81">
        <f>IF(AN2476="","",AH2476-AJ2476)</f>
        <v/>
      </c>
      <c r="AL2476" s="81">
        <f>IF(AN2476="","",IF(Q2476="Sin Factura","",AI2476-AJ2476))</f>
        <v/>
      </c>
      <c r="AM2476" s="81">
        <f>IF(AN2476="","",IF(Q2476="Sin Factura",0,P2476-IFERROR(INDEX(Facturas_Odoo!$H:$H, MATCH(Q2476, Facturas_Odoo!$B:$B, 0)), 0)))</f>
        <v/>
      </c>
      <c r="AN2476" s="79">
        <f>IF(AND(A2476="", J2476=""), "", IF(A2476&lt;&gt;"", VALUE(MID(A2476,2,LEN(A2476))), AN2475))</f>
        <v/>
      </c>
      <c r="AO2476" s="79">
        <f>IF(AN2476="","",IF(AD2476=0,"OK",_xlfn.LET(monedaPago, IF(AA2476="","USD",AA2476), limitePermitido, IFERROR(VLOOKUP(monedaPago, Configuración!$A$2:$B$3, 2, FALSE), 0.15), IF(AD2476&gt;limitePermitido, "ALERTA: EXCESO (" &amp; TEXT(limitePermitido, "0%") &amp; " máx)", "OK"))))</f>
        <v/>
      </c>
      <c r="AP2476" s="79">
        <f>IF(AN2476="","",IF(AE2476=0,"OK",_xlfn.LET(fechaPago, Z2476, fechaFactura, R2476, diasCredito, IF(E2476="Pago inmediato", 0, IFERROR(VALUE(MID(E2476, 1, SEARCH(" ", E2476)-1)),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76" s="79">
        <f>IF(AN2476="","",IF(AND(N2476&gt;0, AG2476&gt;0), IF(Configuración!$K$2="NO", "ALERTA: DESCUENTO DOBLE NO PERMITIDO", "OK"), "OK"))</f>
        <v/>
      </c>
      <c r="AR2476" s="79">
        <f>IF(AN2476="","",IF(OR(AO2476&lt;&gt;"OK", AP2476&lt;&gt;"OK", AQ2476&lt;&gt;"OK"), "⚠️ REVISAR", "OK"))</f>
        <v/>
      </c>
    </row>
    <row r="2477">
      <c r="A2477" s="79">
        <f>IF('Ordenes_Odoo'!A2477="","",'Ordenes_Odoo'!A2477)</f>
        <v/>
      </c>
      <c r="B2477" s="80">
        <f>IF('Ordenes_Odoo'!B2477="","",'Ordenes_Odoo'!B2477)</f>
        <v/>
      </c>
      <c r="C2477" s="79">
        <f>IF('Ordenes_Odoo'!C2477="","",'Ordenes_Odoo'!C2477)</f>
        <v/>
      </c>
      <c r="D2477" s="79">
        <f>IF('Ordenes_Odoo'!D2477="","",'Ordenes_Odoo'!D2477)</f>
        <v/>
      </c>
      <c r="E2477" s="79">
        <f>IF('Ordenes_Odoo'!E2477="","",'Ordenes_Odoo'!E2477)</f>
        <v/>
      </c>
      <c r="F2477" s="79">
        <f>IF('Ordenes_Odoo'!F2477="","",'Ordenes_Odoo'!F2477)</f>
        <v/>
      </c>
      <c r="G2477" s="79">
        <f>IF('Ordenes_Odoo'!G2477="","",'Ordenes_Odoo'!G2477)</f>
        <v/>
      </c>
      <c r="H2477" s="79">
        <f>IF('Ordenes_Odoo'!H2477="","",'Ordenes_Odoo'!H2477)</f>
        <v/>
      </c>
      <c r="I2477" s="79">
        <f>IF('Ordenes_Odoo'!I2477="","",'Ordenes_Odoo'!I2477)</f>
        <v/>
      </c>
      <c r="J2477" s="79">
        <f>IF('Ordenes_Odoo'!J2477="","",'Ordenes_Odoo'!J2477)</f>
        <v/>
      </c>
      <c r="K2477" s="81">
        <f>IF('Ordenes_Odoo'!K2477="","",'Ordenes_Odoo'!K2477)</f>
        <v/>
      </c>
      <c r="L2477" s="81">
        <f>IF('Ordenes_Odoo'!L2477="","",'Ordenes_Odoo'!L2477)</f>
        <v/>
      </c>
      <c r="M2477" s="79">
        <f>IF('Ordenes_Odoo'!M2477="","",'Ordenes_Odoo'!M2477)</f>
        <v/>
      </c>
      <c r="N2477" s="79">
        <f>IF('Ordenes_Odoo'!N2477="","",'Ordenes_Odoo'!N2477)</f>
        <v/>
      </c>
      <c r="O2477" s="81">
        <f>IF('Ordenes_Odoo'!O2477="","",'Ordenes_Odoo'!O2477)</f>
        <v/>
      </c>
      <c r="P2477" s="81">
        <f>IF('Ordenes_Odoo'!P2477="","",'Ordenes_Odoo'!P2477)</f>
        <v/>
      </c>
      <c r="Q2477" s="79">
        <f>IF(A2477="","",IFERROR(INDEX(Facturas_Odoo!$B:$B, MATCH(A2477, Facturas_Odoo!$D:$D, 0)), "Sin Factura"))</f>
        <v/>
      </c>
      <c r="R2477" s="80">
        <f>IF(Q2477="Sin Factura","",IFERROR(INDEX(Facturas_Odoo!$A:$A, MATCH(Q2477, Facturas_Odoo!$B:$B, 0)), ""))</f>
        <v/>
      </c>
      <c r="S2477" s="79">
        <f>IF(Q2477="Sin Factura","",IFERROR(_xlfn.XLOOKUP(1, (Facturas_Odoo!$D:$D=A2477) * (Facturas_Odoo!$K:$K=I2477), Facturas_Odoo!$L:$L, ""), ""))</f>
        <v/>
      </c>
      <c r="T2477" s="81">
        <f>IF(Q2477="Sin Factura",0,IFERROR(_xlfn.XLOOKUP(1, (Facturas_Odoo!$D:$D=A2477) * (Facturas_Odoo!$K:$K=I2477), Facturas_Odoo!$M:$M, 0), 0))</f>
        <v/>
      </c>
      <c r="U2477" s="79">
        <f>IF(Q2477="Sin Factura",0,IFERROR(_xlfn.XLOOKUP(1, (Facturas_Odoo!$D:$D=A2477) * (Facturas_Odoo!$K:$K=I2477), Facturas_Odoo!$N:$N, 0), 0))</f>
        <v/>
      </c>
      <c r="V2477" s="79">
        <f>IF(Q2477="Sin Factura",0,IFERROR(_xlfn.XLOOKUP(1, (Facturas_Odoo!$D:$D=A2477) * (Facturas_Odoo!$K:$K=I2477), Facturas_Odoo!$O:$O, 0), 0))</f>
        <v/>
      </c>
      <c r="W2477" s="81">
        <f>IF(Q2477="Sin Factura",0,IFERROR(_xlfn.XLOOKUP(1, (Facturas_Odoo!$D:$D=A2477) * (Facturas_Odoo!$K:$K=I2477), Facturas_Odoo!$Q:$Q, 0), 0))</f>
        <v/>
      </c>
      <c r="X2477" s="79">
        <f>IF(OR(Q2477="Sin Factura",Q2477=""),"",IFERROR(INDEX(Pagos_Odoo!$B:$B, MATCH(Q2477, Pagos_Odoo!$I:$I, 0)), "Sin Pago"))</f>
        <v/>
      </c>
      <c r="Y2477" s="79">
        <f>IF(X2477="Sin Pago","",IFERROR(INDEX(Pagos_Odoo!$C:$C, MATCH(X2477, Pagos_Odoo!$B:$B, 0)), ""))</f>
        <v/>
      </c>
      <c r="Z2477" s="80">
        <f>IF(X2477="Sin Pago","",IFERROR(INDEX(Pagos_Odoo!$A:$A, MATCH(X2477, Pagos_Odoo!$B:$B, 0)), ""))</f>
        <v/>
      </c>
      <c r="AA2477" s="79">
        <f>IF(X2477="Sin Pago","",IFERROR(INDEX(Pagos_Odoo!$F:$F, MATCH(X2477, Pagos_Odoo!$B:$B, 0)), ""))</f>
        <v/>
      </c>
      <c r="AB2477" s="81">
        <f>IF(X2477="Sin Pago",0,IFERROR(INDEX(Pagos_Odoo!$E:$E, MATCH(X2477, Pagos_Odoo!$B:$B, 0)), 0))</f>
        <v/>
      </c>
      <c r="AC2477" s="79">
        <f>IF(X2477="Sin Pago","",IFERROR(INDEX(Pagos_Odoo!$G:$G, MATCH(X2477, Pagos_Odoo!$B:$B, 0)), ""))</f>
        <v/>
      </c>
      <c r="AD2477" s="82" t="n">
        <v>0</v>
      </c>
      <c r="AE2477" s="82" t="n"/>
      <c r="AF2477" s="82" t="n"/>
      <c r="AG2477" s="82">
        <f>IF(AN2477="","",AD2477+AE2477+AF2477)</f>
        <v/>
      </c>
      <c r="AH2477" s="81">
        <f>IF(AN2477="","",P2477*(1-AG2477))</f>
        <v/>
      </c>
      <c r="AI2477" s="81">
        <f>IF(AN2477="","",IF(Q2477="Sin Factura",0,IFERROR(INDEX(Facturas_Odoo!$H:$H, MATCH(Q2477, Facturas_Odoo!$B:$B, 0)), 0)*(1-AG2477)))</f>
        <v/>
      </c>
      <c r="AJ2477" s="81">
        <f>IF(AN2477="","",_xlfn.LET(idVenta, AN2477&amp;"",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77" s="81">
        <f>IF(AN2477="","",AH2477-AJ2477)</f>
        <v/>
      </c>
      <c r="AL2477" s="81">
        <f>IF(AN2477="","",IF(Q2477="Sin Factura","",AI2477-AJ2477))</f>
        <v/>
      </c>
      <c r="AM2477" s="81">
        <f>IF(AN2477="","",IF(Q2477="Sin Factura",0,P2477-IFERROR(INDEX(Facturas_Odoo!$H:$H, MATCH(Q2477, Facturas_Odoo!$B:$B, 0)), 0)))</f>
        <v/>
      </c>
      <c r="AN2477" s="79">
        <f>IF(AND(A2477="", J2477=""), "", IF(A2477&lt;&gt;"", VALUE(MID(A2477,2,LEN(A2477))), AN2476))</f>
        <v/>
      </c>
      <c r="AO2477" s="79">
        <f>IF(AN2477="","",IF(AD2477=0,"OK",_xlfn.LET(monedaPago, IF(AA2477="","USD",AA2477), limitePermitido, IFERROR(VLOOKUP(monedaPago, Configuración!$A$2:$B$3, 2, FALSE), 0.15), IF(AD2477&gt;limitePermitido, "ALERTA: EXCESO (" &amp; TEXT(limitePermitido, "0%") &amp; " máx)", "OK"))))</f>
        <v/>
      </c>
      <c r="AP2477" s="79">
        <f>IF(AN2477="","",IF(AE2477=0,"OK",_xlfn.LET(fechaPago, Z2477, fechaFactura, R2477, diasCredito, IF(E2477="Pago inmediato", 0, IFERROR(VALUE(MID(E2477, 1, SEARCH(" ", E2477)-1)),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77" s="79">
        <f>IF(AN2477="","",IF(AND(N2477&gt;0, AG2477&gt;0), IF(Configuración!$K$2="NO", "ALERTA: DESCUENTO DOBLE NO PERMITIDO", "OK"), "OK"))</f>
        <v/>
      </c>
      <c r="AR2477" s="79">
        <f>IF(AN2477="","",IF(OR(AO2477&lt;&gt;"OK", AP2477&lt;&gt;"OK", AQ2477&lt;&gt;"OK"), "⚠️ REVISAR", "OK"))</f>
        <v/>
      </c>
    </row>
    <row r="2478">
      <c r="A2478" s="79">
        <f>IF('Ordenes_Odoo'!A2478="","",'Ordenes_Odoo'!A2478)</f>
        <v/>
      </c>
      <c r="B2478" s="80">
        <f>IF('Ordenes_Odoo'!B2478="","",'Ordenes_Odoo'!B2478)</f>
        <v/>
      </c>
      <c r="C2478" s="79">
        <f>IF('Ordenes_Odoo'!C2478="","",'Ordenes_Odoo'!C2478)</f>
        <v/>
      </c>
      <c r="D2478" s="79">
        <f>IF('Ordenes_Odoo'!D2478="","",'Ordenes_Odoo'!D2478)</f>
        <v/>
      </c>
      <c r="E2478" s="79">
        <f>IF('Ordenes_Odoo'!E2478="","",'Ordenes_Odoo'!E2478)</f>
        <v/>
      </c>
      <c r="F2478" s="79">
        <f>IF('Ordenes_Odoo'!F2478="","",'Ordenes_Odoo'!F2478)</f>
        <v/>
      </c>
      <c r="G2478" s="79">
        <f>IF('Ordenes_Odoo'!G2478="","",'Ordenes_Odoo'!G2478)</f>
        <v/>
      </c>
      <c r="H2478" s="79">
        <f>IF('Ordenes_Odoo'!H2478="","",'Ordenes_Odoo'!H2478)</f>
        <v/>
      </c>
      <c r="I2478" s="79">
        <f>IF('Ordenes_Odoo'!I2478="","",'Ordenes_Odoo'!I2478)</f>
        <v/>
      </c>
      <c r="J2478" s="79">
        <f>IF('Ordenes_Odoo'!J2478="","",'Ordenes_Odoo'!J2478)</f>
        <v/>
      </c>
      <c r="K2478" s="81">
        <f>IF('Ordenes_Odoo'!K2478="","",'Ordenes_Odoo'!K2478)</f>
        <v/>
      </c>
      <c r="L2478" s="81">
        <f>IF('Ordenes_Odoo'!L2478="","",'Ordenes_Odoo'!L2478)</f>
        <v/>
      </c>
      <c r="M2478" s="79">
        <f>IF('Ordenes_Odoo'!M2478="","",'Ordenes_Odoo'!M2478)</f>
        <v/>
      </c>
      <c r="N2478" s="79">
        <f>IF('Ordenes_Odoo'!N2478="","",'Ordenes_Odoo'!N2478)</f>
        <v/>
      </c>
      <c r="O2478" s="81">
        <f>IF('Ordenes_Odoo'!O2478="","",'Ordenes_Odoo'!O2478)</f>
        <v/>
      </c>
      <c r="P2478" s="81">
        <f>IF('Ordenes_Odoo'!P2478="","",'Ordenes_Odoo'!P2478)</f>
        <v/>
      </c>
      <c r="Q2478" s="79">
        <f>IF(A2478="","",IFERROR(INDEX(Facturas_Odoo!$B:$B, MATCH(A2478, Facturas_Odoo!$D:$D, 0)), "Sin Factura"))</f>
        <v/>
      </c>
      <c r="R2478" s="80">
        <f>IF(Q2478="Sin Factura","",IFERROR(INDEX(Facturas_Odoo!$A:$A, MATCH(Q2478, Facturas_Odoo!$B:$B, 0)), ""))</f>
        <v/>
      </c>
      <c r="S2478" s="79">
        <f>IF(Q2478="Sin Factura","",IFERROR(_xlfn.XLOOKUP(1, (Facturas_Odoo!$D:$D=A2478) * (Facturas_Odoo!$K:$K=I2478), Facturas_Odoo!$L:$L, ""), ""))</f>
        <v/>
      </c>
      <c r="T2478" s="81">
        <f>IF(Q2478="Sin Factura",0,IFERROR(_xlfn.XLOOKUP(1, (Facturas_Odoo!$D:$D=A2478) * (Facturas_Odoo!$K:$K=I2478), Facturas_Odoo!$M:$M, 0), 0))</f>
        <v/>
      </c>
      <c r="U2478" s="79">
        <f>IF(Q2478="Sin Factura",0,IFERROR(_xlfn.XLOOKUP(1, (Facturas_Odoo!$D:$D=A2478) * (Facturas_Odoo!$K:$K=I2478), Facturas_Odoo!$N:$N, 0), 0))</f>
        <v/>
      </c>
      <c r="V2478" s="79">
        <f>IF(Q2478="Sin Factura",0,IFERROR(_xlfn.XLOOKUP(1, (Facturas_Odoo!$D:$D=A2478) * (Facturas_Odoo!$K:$K=I2478), Facturas_Odoo!$O:$O, 0), 0))</f>
        <v/>
      </c>
      <c r="W2478" s="81">
        <f>IF(Q2478="Sin Factura",0,IFERROR(_xlfn.XLOOKUP(1, (Facturas_Odoo!$D:$D=A2478) * (Facturas_Odoo!$K:$K=I2478), Facturas_Odoo!$Q:$Q, 0), 0))</f>
        <v/>
      </c>
      <c r="X2478" s="79">
        <f>IF(OR(Q2478="Sin Factura",Q2478=""),"",IFERROR(INDEX(Pagos_Odoo!$B:$B, MATCH(Q2478, Pagos_Odoo!$I:$I, 0)), "Sin Pago"))</f>
        <v/>
      </c>
      <c r="Y2478" s="79">
        <f>IF(X2478="Sin Pago","",IFERROR(INDEX(Pagos_Odoo!$C:$C, MATCH(X2478, Pagos_Odoo!$B:$B, 0)), ""))</f>
        <v/>
      </c>
      <c r="Z2478" s="80">
        <f>IF(X2478="Sin Pago","",IFERROR(INDEX(Pagos_Odoo!$A:$A, MATCH(X2478, Pagos_Odoo!$B:$B, 0)), ""))</f>
        <v/>
      </c>
      <c r="AA2478" s="79">
        <f>IF(X2478="Sin Pago","",IFERROR(INDEX(Pagos_Odoo!$F:$F, MATCH(X2478, Pagos_Odoo!$B:$B, 0)), ""))</f>
        <v/>
      </c>
      <c r="AB2478" s="81">
        <f>IF(X2478="Sin Pago",0,IFERROR(INDEX(Pagos_Odoo!$E:$E, MATCH(X2478, Pagos_Odoo!$B:$B, 0)), 0))</f>
        <v/>
      </c>
      <c r="AC2478" s="79">
        <f>IF(X2478="Sin Pago","",IFERROR(INDEX(Pagos_Odoo!$G:$G, MATCH(X2478, Pagos_Odoo!$B:$B, 0)), ""))</f>
        <v/>
      </c>
      <c r="AD2478" s="82" t="n">
        <v>0</v>
      </c>
      <c r="AE2478" s="82" t="n"/>
      <c r="AF2478" s="82" t="n"/>
      <c r="AG2478" s="82">
        <f>IF(AN2478="","",AD2478+AE2478+AF2478)</f>
        <v/>
      </c>
      <c r="AH2478" s="81">
        <f>IF(AN2478="","",P2478*(1-AG2478))</f>
        <v/>
      </c>
      <c r="AI2478" s="81">
        <f>IF(AN2478="","",IF(Q2478="Sin Factura",0,IFERROR(INDEX(Facturas_Odoo!$H:$H, MATCH(Q2478, Facturas_Odoo!$B:$B, 0)), 0)*(1-AG2478)))</f>
        <v/>
      </c>
      <c r="AJ2478" s="81">
        <f>IF(AN2478="","",_xlfn.LET(idVenta, AN2478&amp;"",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78" s="81">
        <f>IF(AN2478="","",AH2478-AJ2478)</f>
        <v/>
      </c>
      <c r="AL2478" s="81">
        <f>IF(AN2478="","",IF(Q2478="Sin Factura","",AI2478-AJ2478))</f>
        <v/>
      </c>
      <c r="AM2478" s="81">
        <f>IF(AN2478="","",IF(Q2478="Sin Factura",0,P2478-IFERROR(INDEX(Facturas_Odoo!$H:$H, MATCH(Q2478, Facturas_Odoo!$B:$B, 0)), 0)))</f>
        <v/>
      </c>
      <c r="AN2478" s="79">
        <f>IF(AND(A2478="", J2478=""), "", IF(A2478&lt;&gt;"", VALUE(MID(A2478,2,LEN(A2478))), AN2477))</f>
        <v/>
      </c>
      <c r="AO2478" s="79">
        <f>IF(AN2478="","",IF(AD2478=0,"OK",_xlfn.LET(monedaPago, IF(AA2478="","USD",AA2478), limitePermitido, IFERROR(VLOOKUP(monedaPago, Configuración!$A$2:$B$3, 2, FALSE), 0.15), IF(AD2478&gt;limitePermitido, "ALERTA: EXCESO (" &amp; TEXT(limitePermitido, "0%") &amp; " máx)", "OK"))))</f>
        <v/>
      </c>
      <c r="AP2478" s="79">
        <f>IF(AN2478="","",IF(AE2478=0,"OK",_xlfn.LET(fechaPago, Z2478, fechaFactura, R2478, diasCredito, IF(E2478="Pago inmediato", 0, IFERROR(VALUE(MID(E2478, 1, SEARCH(" ", E2478)-1)),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78" s="79">
        <f>IF(AN2478="","",IF(AND(N2478&gt;0, AG2478&gt;0), IF(Configuración!$K$2="NO", "ALERTA: DESCUENTO DOBLE NO PERMITIDO", "OK"), "OK"))</f>
        <v/>
      </c>
      <c r="AR2478" s="79">
        <f>IF(AN2478="","",IF(OR(AO2478&lt;&gt;"OK", AP2478&lt;&gt;"OK", AQ2478&lt;&gt;"OK"), "⚠️ REVISAR", "OK"))</f>
        <v/>
      </c>
    </row>
    <row r="2479">
      <c r="A2479" s="79">
        <f>IF('Ordenes_Odoo'!A2479="","",'Ordenes_Odoo'!A2479)</f>
        <v/>
      </c>
      <c r="B2479" s="80">
        <f>IF('Ordenes_Odoo'!B2479="","",'Ordenes_Odoo'!B2479)</f>
        <v/>
      </c>
      <c r="C2479" s="79">
        <f>IF('Ordenes_Odoo'!C2479="","",'Ordenes_Odoo'!C2479)</f>
        <v/>
      </c>
      <c r="D2479" s="79">
        <f>IF('Ordenes_Odoo'!D2479="","",'Ordenes_Odoo'!D2479)</f>
        <v/>
      </c>
      <c r="E2479" s="79">
        <f>IF('Ordenes_Odoo'!E2479="","",'Ordenes_Odoo'!E2479)</f>
        <v/>
      </c>
      <c r="F2479" s="79">
        <f>IF('Ordenes_Odoo'!F2479="","",'Ordenes_Odoo'!F2479)</f>
        <v/>
      </c>
      <c r="G2479" s="79">
        <f>IF('Ordenes_Odoo'!G2479="","",'Ordenes_Odoo'!G2479)</f>
        <v/>
      </c>
      <c r="H2479" s="79">
        <f>IF('Ordenes_Odoo'!H2479="","",'Ordenes_Odoo'!H2479)</f>
        <v/>
      </c>
      <c r="I2479" s="79">
        <f>IF('Ordenes_Odoo'!I2479="","",'Ordenes_Odoo'!I2479)</f>
        <v/>
      </c>
      <c r="J2479" s="79">
        <f>IF('Ordenes_Odoo'!J2479="","",'Ordenes_Odoo'!J2479)</f>
        <v/>
      </c>
      <c r="K2479" s="81">
        <f>IF('Ordenes_Odoo'!K2479="","",'Ordenes_Odoo'!K2479)</f>
        <v/>
      </c>
      <c r="L2479" s="81">
        <f>IF('Ordenes_Odoo'!L2479="","",'Ordenes_Odoo'!L2479)</f>
        <v/>
      </c>
      <c r="M2479" s="79">
        <f>IF('Ordenes_Odoo'!M2479="","",'Ordenes_Odoo'!M2479)</f>
        <v/>
      </c>
      <c r="N2479" s="79">
        <f>IF('Ordenes_Odoo'!N2479="","",'Ordenes_Odoo'!N2479)</f>
        <v/>
      </c>
      <c r="O2479" s="81">
        <f>IF('Ordenes_Odoo'!O2479="","",'Ordenes_Odoo'!O2479)</f>
        <v/>
      </c>
      <c r="P2479" s="81">
        <f>IF('Ordenes_Odoo'!P2479="","",'Ordenes_Odoo'!P2479)</f>
        <v/>
      </c>
      <c r="Q2479" s="79">
        <f>IF(A2479="","",IFERROR(INDEX(Facturas_Odoo!$B:$B, MATCH(A2479, Facturas_Odoo!$D:$D, 0)), "Sin Factura"))</f>
        <v/>
      </c>
      <c r="R2479" s="80">
        <f>IF(Q2479="Sin Factura","",IFERROR(INDEX(Facturas_Odoo!$A:$A, MATCH(Q2479, Facturas_Odoo!$B:$B, 0)), ""))</f>
        <v/>
      </c>
      <c r="S2479" s="79">
        <f>IF(Q2479="Sin Factura","",IFERROR(_xlfn.XLOOKUP(1, (Facturas_Odoo!$D:$D=A2479) * (Facturas_Odoo!$K:$K=I2479), Facturas_Odoo!$L:$L, ""), ""))</f>
        <v/>
      </c>
      <c r="T2479" s="81">
        <f>IF(Q2479="Sin Factura",0,IFERROR(_xlfn.XLOOKUP(1, (Facturas_Odoo!$D:$D=A2479) * (Facturas_Odoo!$K:$K=I2479), Facturas_Odoo!$M:$M, 0), 0))</f>
        <v/>
      </c>
      <c r="U2479" s="79">
        <f>IF(Q2479="Sin Factura",0,IFERROR(_xlfn.XLOOKUP(1, (Facturas_Odoo!$D:$D=A2479) * (Facturas_Odoo!$K:$K=I2479), Facturas_Odoo!$N:$N, 0), 0))</f>
        <v/>
      </c>
      <c r="V2479" s="79">
        <f>IF(Q2479="Sin Factura",0,IFERROR(_xlfn.XLOOKUP(1, (Facturas_Odoo!$D:$D=A2479) * (Facturas_Odoo!$K:$K=I2479), Facturas_Odoo!$O:$O, 0), 0))</f>
        <v/>
      </c>
      <c r="W2479" s="81">
        <f>IF(Q2479="Sin Factura",0,IFERROR(_xlfn.XLOOKUP(1, (Facturas_Odoo!$D:$D=A2479) * (Facturas_Odoo!$K:$K=I2479), Facturas_Odoo!$Q:$Q, 0), 0))</f>
        <v/>
      </c>
      <c r="X2479" s="79">
        <f>IF(OR(Q2479="Sin Factura",Q2479=""),"",IFERROR(INDEX(Pagos_Odoo!$B:$B, MATCH(Q2479, Pagos_Odoo!$I:$I, 0)), "Sin Pago"))</f>
        <v/>
      </c>
      <c r="Y2479" s="79">
        <f>IF(X2479="Sin Pago","",IFERROR(INDEX(Pagos_Odoo!$C:$C, MATCH(X2479, Pagos_Odoo!$B:$B, 0)), ""))</f>
        <v/>
      </c>
      <c r="Z2479" s="80">
        <f>IF(X2479="Sin Pago","",IFERROR(INDEX(Pagos_Odoo!$A:$A, MATCH(X2479, Pagos_Odoo!$B:$B, 0)), ""))</f>
        <v/>
      </c>
      <c r="AA2479" s="79">
        <f>IF(X2479="Sin Pago","",IFERROR(INDEX(Pagos_Odoo!$F:$F, MATCH(X2479, Pagos_Odoo!$B:$B, 0)), ""))</f>
        <v/>
      </c>
      <c r="AB2479" s="81">
        <f>IF(X2479="Sin Pago",0,IFERROR(INDEX(Pagos_Odoo!$E:$E, MATCH(X2479, Pagos_Odoo!$B:$B, 0)), 0))</f>
        <v/>
      </c>
      <c r="AC2479" s="79">
        <f>IF(X2479="Sin Pago","",IFERROR(INDEX(Pagos_Odoo!$G:$G, MATCH(X2479, Pagos_Odoo!$B:$B, 0)), ""))</f>
        <v/>
      </c>
      <c r="AD2479" s="82" t="n">
        <v>0</v>
      </c>
      <c r="AE2479" s="82" t="n"/>
      <c r="AF2479" s="82" t="n"/>
      <c r="AG2479" s="82">
        <f>IF(AN2479="","",AD2479+AE2479+AF2479)</f>
        <v/>
      </c>
      <c r="AH2479" s="81">
        <f>IF(AN2479="","",P2479*(1-AG2479))</f>
        <v/>
      </c>
      <c r="AI2479" s="81">
        <f>IF(AN2479="","",IF(Q2479="Sin Factura",0,IFERROR(INDEX(Facturas_Odoo!$H:$H, MATCH(Q2479, Facturas_Odoo!$B:$B, 0)), 0)*(1-AG2479)))</f>
        <v/>
      </c>
      <c r="AJ2479" s="81">
        <f>IF(AN2479="","",_xlfn.LET(idVenta, AN2479&amp;"",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79" s="81">
        <f>IF(AN2479="","",AH2479-AJ2479)</f>
        <v/>
      </c>
      <c r="AL2479" s="81">
        <f>IF(AN2479="","",IF(Q2479="Sin Factura","",AI2479-AJ2479))</f>
        <v/>
      </c>
      <c r="AM2479" s="81">
        <f>IF(AN2479="","",IF(Q2479="Sin Factura",0,P2479-IFERROR(INDEX(Facturas_Odoo!$H:$H, MATCH(Q2479, Facturas_Odoo!$B:$B, 0)), 0)))</f>
        <v/>
      </c>
      <c r="AN2479" s="79">
        <f>IF(AND(A2479="", J2479=""), "", IF(A2479&lt;&gt;"", VALUE(MID(A2479,2,LEN(A2479))), AN2478))</f>
        <v/>
      </c>
      <c r="AO2479" s="79">
        <f>IF(AN2479="","",IF(AD2479=0,"OK",_xlfn.LET(monedaPago, IF(AA2479="","USD",AA2479), limitePermitido, IFERROR(VLOOKUP(monedaPago, Configuración!$A$2:$B$3, 2, FALSE), 0.15), IF(AD2479&gt;limitePermitido, "ALERTA: EXCESO (" &amp; TEXT(limitePermitido, "0%") &amp; " máx)", "OK"))))</f>
        <v/>
      </c>
      <c r="AP2479" s="79">
        <f>IF(AN2479="","",IF(AE2479=0,"OK",_xlfn.LET(fechaPago, Z2479, fechaFactura, R2479, diasCredito, IF(E2479="Pago inmediato", 0, IFERROR(VALUE(MID(E2479, 1, SEARCH(" ", E2479)-1)),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79" s="79">
        <f>IF(AN2479="","",IF(AND(N2479&gt;0, AG2479&gt;0), IF(Configuración!$K$2="NO", "ALERTA: DESCUENTO DOBLE NO PERMITIDO", "OK"), "OK"))</f>
        <v/>
      </c>
      <c r="AR2479" s="79">
        <f>IF(AN2479="","",IF(OR(AO2479&lt;&gt;"OK", AP2479&lt;&gt;"OK", AQ2479&lt;&gt;"OK"), "⚠️ REVISAR", "OK"))</f>
        <v/>
      </c>
    </row>
    <row r="2480">
      <c r="A2480" s="79">
        <f>IF('Ordenes_Odoo'!A2480="","",'Ordenes_Odoo'!A2480)</f>
        <v/>
      </c>
      <c r="B2480" s="80">
        <f>IF('Ordenes_Odoo'!B2480="","",'Ordenes_Odoo'!B2480)</f>
        <v/>
      </c>
      <c r="C2480" s="79">
        <f>IF('Ordenes_Odoo'!C2480="","",'Ordenes_Odoo'!C2480)</f>
        <v/>
      </c>
      <c r="D2480" s="79">
        <f>IF('Ordenes_Odoo'!D2480="","",'Ordenes_Odoo'!D2480)</f>
        <v/>
      </c>
      <c r="E2480" s="79">
        <f>IF('Ordenes_Odoo'!E2480="","",'Ordenes_Odoo'!E2480)</f>
        <v/>
      </c>
      <c r="F2480" s="79">
        <f>IF('Ordenes_Odoo'!F2480="","",'Ordenes_Odoo'!F2480)</f>
        <v/>
      </c>
      <c r="G2480" s="79">
        <f>IF('Ordenes_Odoo'!G2480="","",'Ordenes_Odoo'!G2480)</f>
        <v/>
      </c>
      <c r="H2480" s="79">
        <f>IF('Ordenes_Odoo'!H2480="","",'Ordenes_Odoo'!H2480)</f>
        <v/>
      </c>
      <c r="I2480" s="79">
        <f>IF('Ordenes_Odoo'!I2480="","",'Ordenes_Odoo'!I2480)</f>
        <v/>
      </c>
      <c r="J2480" s="79">
        <f>IF('Ordenes_Odoo'!J2480="","",'Ordenes_Odoo'!J2480)</f>
        <v/>
      </c>
      <c r="K2480" s="81">
        <f>IF('Ordenes_Odoo'!K2480="","",'Ordenes_Odoo'!K2480)</f>
        <v/>
      </c>
      <c r="L2480" s="81">
        <f>IF('Ordenes_Odoo'!L2480="","",'Ordenes_Odoo'!L2480)</f>
        <v/>
      </c>
      <c r="M2480" s="79">
        <f>IF('Ordenes_Odoo'!M2480="","",'Ordenes_Odoo'!M2480)</f>
        <v/>
      </c>
      <c r="N2480" s="79">
        <f>IF('Ordenes_Odoo'!N2480="","",'Ordenes_Odoo'!N2480)</f>
        <v/>
      </c>
      <c r="O2480" s="81">
        <f>IF('Ordenes_Odoo'!O2480="","",'Ordenes_Odoo'!O2480)</f>
        <v/>
      </c>
      <c r="P2480" s="81">
        <f>IF('Ordenes_Odoo'!P2480="","",'Ordenes_Odoo'!P2480)</f>
        <v/>
      </c>
      <c r="Q2480" s="79">
        <f>IF(A2480="","",IFERROR(INDEX(Facturas_Odoo!$B:$B, MATCH(A2480, Facturas_Odoo!$D:$D, 0)), "Sin Factura"))</f>
        <v/>
      </c>
      <c r="R2480" s="80">
        <f>IF(Q2480="Sin Factura","",IFERROR(INDEX(Facturas_Odoo!$A:$A, MATCH(Q2480, Facturas_Odoo!$B:$B, 0)), ""))</f>
        <v/>
      </c>
      <c r="S2480" s="79">
        <f>IF(Q2480="Sin Factura","",IFERROR(_xlfn.XLOOKUP(1, (Facturas_Odoo!$D:$D=A2480) * (Facturas_Odoo!$K:$K=I2480), Facturas_Odoo!$L:$L, ""), ""))</f>
        <v/>
      </c>
      <c r="T2480" s="81">
        <f>IF(Q2480="Sin Factura",0,IFERROR(_xlfn.XLOOKUP(1, (Facturas_Odoo!$D:$D=A2480) * (Facturas_Odoo!$K:$K=I2480), Facturas_Odoo!$M:$M, 0), 0))</f>
        <v/>
      </c>
      <c r="U2480" s="79">
        <f>IF(Q2480="Sin Factura",0,IFERROR(_xlfn.XLOOKUP(1, (Facturas_Odoo!$D:$D=A2480) * (Facturas_Odoo!$K:$K=I2480), Facturas_Odoo!$N:$N, 0), 0))</f>
        <v/>
      </c>
      <c r="V2480" s="79">
        <f>IF(Q2480="Sin Factura",0,IFERROR(_xlfn.XLOOKUP(1, (Facturas_Odoo!$D:$D=A2480) * (Facturas_Odoo!$K:$K=I2480), Facturas_Odoo!$O:$O, 0), 0))</f>
        <v/>
      </c>
      <c r="W2480" s="81">
        <f>IF(Q2480="Sin Factura",0,IFERROR(_xlfn.XLOOKUP(1, (Facturas_Odoo!$D:$D=A2480) * (Facturas_Odoo!$K:$K=I2480), Facturas_Odoo!$Q:$Q, 0), 0))</f>
        <v/>
      </c>
      <c r="X2480" s="79">
        <f>IF(OR(Q2480="Sin Factura",Q2480=""),"",IFERROR(INDEX(Pagos_Odoo!$B:$B, MATCH(Q2480, Pagos_Odoo!$I:$I, 0)), "Sin Pago"))</f>
        <v/>
      </c>
      <c r="Y2480" s="79">
        <f>IF(X2480="Sin Pago","",IFERROR(INDEX(Pagos_Odoo!$C:$C, MATCH(X2480, Pagos_Odoo!$B:$B, 0)), ""))</f>
        <v/>
      </c>
      <c r="Z2480" s="80">
        <f>IF(X2480="Sin Pago","",IFERROR(INDEX(Pagos_Odoo!$A:$A, MATCH(X2480, Pagos_Odoo!$B:$B, 0)), ""))</f>
        <v/>
      </c>
      <c r="AA2480" s="79">
        <f>IF(X2480="Sin Pago","",IFERROR(INDEX(Pagos_Odoo!$F:$F, MATCH(X2480, Pagos_Odoo!$B:$B, 0)), ""))</f>
        <v/>
      </c>
      <c r="AB2480" s="81">
        <f>IF(X2480="Sin Pago",0,IFERROR(INDEX(Pagos_Odoo!$E:$E, MATCH(X2480, Pagos_Odoo!$B:$B, 0)), 0))</f>
        <v/>
      </c>
      <c r="AC2480" s="79">
        <f>IF(X2480="Sin Pago","",IFERROR(INDEX(Pagos_Odoo!$G:$G, MATCH(X2480, Pagos_Odoo!$B:$B, 0)), ""))</f>
        <v/>
      </c>
      <c r="AD2480" s="82" t="n">
        <v>0</v>
      </c>
      <c r="AE2480" s="82" t="n"/>
      <c r="AF2480" s="82" t="n"/>
      <c r="AG2480" s="82">
        <f>IF(AN2480="","",AD2480+AE2480+AF2480)</f>
        <v/>
      </c>
      <c r="AH2480" s="81">
        <f>IF(AN2480="","",P2480*(1-AG2480))</f>
        <v/>
      </c>
      <c r="AI2480" s="81">
        <f>IF(AN2480="","",IF(Q2480="Sin Factura",0,IFERROR(INDEX(Facturas_Odoo!$H:$H, MATCH(Q2480, Facturas_Odoo!$B:$B, 0)), 0)*(1-AG2480)))</f>
        <v/>
      </c>
      <c r="AJ2480" s="81">
        <f>IF(AN2480="","",_xlfn.LET(idVenta, AN2480&amp;"",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80" s="81">
        <f>IF(AN2480="","",AH2480-AJ2480)</f>
        <v/>
      </c>
      <c r="AL2480" s="81">
        <f>IF(AN2480="","",IF(Q2480="Sin Factura","",AI2480-AJ2480))</f>
        <v/>
      </c>
      <c r="AM2480" s="81">
        <f>IF(AN2480="","",IF(Q2480="Sin Factura",0,P2480-IFERROR(INDEX(Facturas_Odoo!$H:$H, MATCH(Q2480, Facturas_Odoo!$B:$B, 0)), 0)))</f>
        <v/>
      </c>
      <c r="AN2480" s="79">
        <f>IF(AND(A2480="", J2480=""), "", IF(A2480&lt;&gt;"", VALUE(MID(A2480,2,LEN(A2480))), AN2479))</f>
        <v/>
      </c>
      <c r="AO2480" s="79">
        <f>IF(AN2480="","",IF(AD2480=0,"OK",_xlfn.LET(monedaPago, IF(AA2480="","USD",AA2480), limitePermitido, IFERROR(VLOOKUP(monedaPago, Configuración!$A$2:$B$3, 2, FALSE), 0.15), IF(AD2480&gt;limitePermitido, "ALERTA: EXCESO (" &amp; TEXT(limitePermitido, "0%") &amp; " máx)", "OK"))))</f>
        <v/>
      </c>
      <c r="AP2480" s="79">
        <f>IF(AN2480="","",IF(AE2480=0,"OK",_xlfn.LET(fechaPago, Z2480, fechaFactura, R2480, diasCredito, IF(E2480="Pago inmediato", 0, IFERROR(VALUE(MID(E2480, 1, SEARCH(" ", E2480)-1)),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80" s="79">
        <f>IF(AN2480="","",IF(AND(N2480&gt;0, AG2480&gt;0), IF(Configuración!$K$2="NO", "ALERTA: DESCUENTO DOBLE NO PERMITIDO", "OK"), "OK"))</f>
        <v/>
      </c>
      <c r="AR2480" s="79">
        <f>IF(AN2480="","",IF(OR(AO2480&lt;&gt;"OK", AP2480&lt;&gt;"OK", AQ2480&lt;&gt;"OK"), "⚠️ REVISAR", "OK"))</f>
        <v/>
      </c>
    </row>
    <row r="2481">
      <c r="A2481" s="79">
        <f>IF('Ordenes_Odoo'!A2481="","",'Ordenes_Odoo'!A2481)</f>
        <v/>
      </c>
      <c r="B2481" s="80">
        <f>IF('Ordenes_Odoo'!B2481="","",'Ordenes_Odoo'!B2481)</f>
        <v/>
      </c>
      <c r="C2481" s="79">
        <f>IF('Ordenes_Odoo'!C2481="","",'Ordenes_Odoo'!C2481)</f>
        <v/>
      </c>
      <c r="D2481" s="79">
        <f>IF('Ordenes_Odoo'!D2481="","",'Ordenes_Odoo'!D2481)</f>
        <v/>
      </c>
      <c r="E2481" s="79">
        <f>IF('Ordenes_Odoo'!E2481="","",'Ordenes_Odoo'!E2481)</f>
        <v/>
      </c>
      <c r="F2481" s="79">
        <f>IF('Ordenes_Odoo'!F2481="","",'Ordenes_Odoo'!F2481)</f>
        <v/>
      </c>
      <c r="G2481" s="79">
        <f>IF('Ordenes_Odoo'!G2481="","",'Ordenes_Odoo'!G2481)</f>
        <v/>
      </c>
      <c r="H2481" s="79">
        <f>IF('Ordenes_Odoo'!H2481="","",'Ordenes_Odoo'!H2481)</f>
        <v/>
      </c>
      <c r="I2481" s="79">
        <f>IF('Ordenes_Odoo'!I2481="","",'Ordenes_Odoo'!I2481)</f>
        <v/>
      </c>
      <c r="J2481" s="79">
        <f>IF('Ordenes_Odoo'!J2481="","",'Ordenes_Odoo'!J2481)</f>
        <v/>
      </c>
      <c r="K2481" s="81">
        <f>IF('Ordenes_Odoo'!K2481="","",'Ordenes_Odoo'!K2481)</f>
        <v/>
      </c>
      <c r="L2481" s="81">
        <f>IF('Ordenes_Odoo'!L2481="","",'Ordenes_Odoo'!L2481)</f>
        <v/>
      </c>
      <c r="M2481" s="79">
        <f>IF('Ordenes_Odoo'!M2481="","",'Ordenes_Odoo'!M2481)</f>
        <v/>
      </c>
      <c r="N2481" s="79">
        <f>IF('Ordenes_Odoo'!N2481="","",'Ordenes_Odoo'!N2481)</f>
        <v/>
      </c>
      <c r="O2481" s="81">
        <f>IF('Ordenes_Odoo'!O2481="","",'Ordenes_Odoo'!O2481)</f>
        <v/>
      </c>
      <c r="P2481" s="81">
        <f>IF('Ordenes_Odoo'!P2481="","",'Ordenes_Odoo'!P2481)</f>
        <v/>
      </c>
      <c r="Q2481" s="79">
        <f>IF(A2481="","",IFERROR(INDEX(Facturas_Odoo!$B:$B, MATCH(A2481, Facturas_Odoo!$D:$D, 0)), "Sin Factura"))</f>
        <v/>
      </c>
      <c r="R2481" s="80">
        <f>IF(Q2481="Sin Factura","",IFERROR(INDEX(Facturas_Odoo!$A:$A, MATCH(Q2481, Facturas_Odoo!$B:$B, 0)), ""))</f>
        <v/>
      </c>
      <c r="S2481" s="79">
        <f>IF(Q2481="Sin Factura","",IFERROR(_xlfn.XLOOKUP(1, (Facturas_Odoo!$D:$D=A2481) * (Facturas_Odoo!$K:$K=I2481), Facturas_Odoo!$L:$L, ""), ""))</f>
        <v/>
      </c>
      <c r="T2481" s="81">
        <f>IF(Q2481="Sin Factura",0,IFERROR(_xlfn.XLOOKUP(1, (Facturas_Odoo!$D:$D=A2481) * (Facturas_Odoo!$K:$K=I2481), Facturas_Odoo!$M:$M, 0), 0))</f>
        <v/>
      </c>
      <c r="U2481" s="79">
        <f>IF(Q2481="Sin Factura",0,IFERROR(_xlfn.XLOOKUP(1, (Facturas_Odoo!$D:$D=A2481) * (Facturas_Odoo!$K:$K=I2481), Facturas_Odoo!$N:$N, 0), 0))</f>
        <v/>
      </c>
      <c r="V2481" s="79">
        <f>IF(Q2481="Sin Factura",0,IFERROR(_xlfn.XLOOKUP(1, (Facturas_Odoo!$D:$D=A2481) * (Facturas_Odoo!$K:$K=I2481), Facturas_Odoo!$O:$O, 0), 0))</f>
        <v/>
      </c>
      <c r="W2481" s="81">
        <f>IF(Q2481="Sin Factura",0,IFERROR(_xlfn.XLOOKUP(1, (Facturas_Odoo!$D:$D=A2481) * (Facturas_Odoo!$K:$K=I2481), Facturas_Odoo!$Q:$Q, 0), 0))</f>
        <v/>
      </c>
      <c r="X2481" s="79">
        <f>IF(OR(Q2481="Sin Factura",Q2481=""),"",IFERROR(INDEX(Pagos_Odoo!$B:$B, MATCH(Q2481, Pagos_Odoo!$I:$I, 0)), "Sin Pago"))</f>
        <v/>
      </c>
      <c r="Y2481" s="79">
        <f>IF(X2481="Sin Pago","",IFERROR(INDEX(Pagos_Odoo!$C:$C, MATCH(X2481, Pagos_Odoo!$B:$B, 0)), ""))</f>
        <v/>
      </c>
      <c r="Z2481" s="80">
        <f>IF(X2481="Sin Pago","",IFERROR(INDEX(Pagos_Odoo!$A:$A, MATCH(X2481, Pagos_Odoo!$B:$B, 0)), ""))</f>
        <v/>
      </c>
      <c r="AA2481" s="79">
        <f>IF(X2481="Sin Pago","",IFERROR(INDEX(Pagos_Odoo!$F:$F, MATCH(X2481, Pagos_Odoo!$B:$B, 0)), ""))</f>
        <v/>
      </c>
      <c r="AB2481" s="81">
        <f>IF(X2481="Sin Pago",0,IFERROR(INDEX(Pagos_Odoo!$E:$E, MATCH(X2481, Pagos_Odoo!$B:$B, 0)), 0))</f>
        <v/>
      </c>
      <c r="AC2481" s="79">
        <f>IF(X2481="Sin Pago","",IFERROR(INDEX(Pagos_Odoo!$G:$G, MATCH(X2481, Pagos_Odoo!$B:$B, 0)), ""))</f>
        <v/>
      </c>
      <c r="AD2481" s="82" t="n">
        <v>0</v>
      </c>
      <c r="AE2481" s="82" t="n"/>
      <c r="AF2481" s="82" t="n"/>
      <c r="AG2481" s="82">
        <f>IF(AN2481="","",AD2481+AE2481+AF2481)</f>
        <v/>
      </c>
      <c r="AH2481" s="81">
        <f>IF(AN2481="","",P2481*(1-AG2481))</f>
        <v/>
      </c>
      <c r="AI2481" s="81">
        <f>IF(AN2481="","",IF(Q2481="Sin Factura",0,IFERROR(INDEX(Facturas_Odoo!$H:$H, MATCH(Q2481, Facturas_Odoo!$B:$B, 0)), 0)*(1-AG2481)))</f>
        <v/>
      </c>
      <c r="AJ2481" s="81">
        <f>IF(AN2481="","",_xlfn.LET(idVenta, AN2481&amp;"",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81" s="81">
        <f>IF(AN2481="","",AH2481-AJ2481)</f>
        <v/>
      </c>
      <c r="AL2481" s="81">
        <f>IF(AN2481="","",IF(Q2481="Sin Factura","",AI2481-AJ2481))</f>
        <v/>
      </c>
      <c r="AM2481" s="81">
        <f>IF(AN2481="","",IF(Q2481="Sin Factura",0,P2481-IFERROR(INDEX(Facturas_Odoo!$H:$H, MATCH(Q2481, Facturas_Odoo!$B:$B, 0)), 0)))</f>
        <v/>
      </c>
      <c r="AN2481" s="79">
        <f>IF(AND(A2481="", J2481=""), "", IF(A2481&lt;&gt;"", VALUE(MID(A2481,2,LEN(A2481))), AN2480))</f>
        <v/>
      </c>
      <c r="AO2481" s="79">
        <f>IF(AN2481="","",IF(AD2481=0,"OK",_xlfn.LET(monedaPago, IF(AA2481="","USD",AA2481), limitePermitido, IFERROR(VLOOKUP(monedaPago, Configuración!$A$2:$B$3, 2, FALSE), 0.15), IF(AD2481&gt;limitePermitido, "ALERTA: EXCESO (" &amp; TEXT(limitePermitido, "0%") &amp; " máx)", "OK"))))</f>
        <v/>
      </c>
      <c r="AP2481" s="79">
        <f>IF(AN2481="","",IF(AE2481=0,"OK",_xlfn.LET(fechaPago, Z2481, fechaFactura, R2481, diasCredito, IF(E2481="Pago inmediato", 0, IFERROR(VALUE(MID(E2481, 1, SEARCH(" ", E2481)-1)),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81" s="79">
        <f>IF(AN2481="","",IF(AND(N2481&gt;0, AG2481&gt;0), IF(Configuración!$K$2="NO", "ALERTA: DESCUENTO DOBLE NO PERMITIDO", "OK"), "OK"))</f>
        <v/>
      </c>
      <c r="AR2481" s="79">
        <f>IF(AN2481="","",IF(OR(AO2481&lt;&gt;"OK", AP2481&lt;&gt;"OK", AQ2481&lt;&gt;"OK"), "⚠️ REVISAR", "OK"))</f>
        <v/>
      </c>
    </row>
    <row r="2482">
      <c r="A2482" s="79">
        <f>IF('Ordenes_Odoo'!A2482="","",'Ordenes_Odoo'!A2482)</f>
        <v/>
      </c>
      <c r="B2482" s="80">
        <f>IF('Ordenes_Odoo'!B2482="","",'Ordenes_Odoo'!B2482)</f>
        <v/>
      </c>
      <c r="C2482" s="79">
        <f>IF('Ordenes_Odoo'!C2482="","",'Ordenes_Odoo'!C2482)</f>
        <v/>
      </c>
      <c r="D2482" s="79">
        <f>IF('Ordenes_Odoo'!D2482="","",'Ordenes_Odoo'!D2482)</f>
        <v/>
      </c>
      <c r="E2482" s="79">
        <f>IF('Ordenes_Odoo'!E2482="","",'Ordenes_Odoo'!E2482)</f>
        <v/>
      </c>
      <c r="F2482" s="79">
        <f>IF('Ordenes_Odoo'!F2482="","",'Ordenes_Odoo'!F2482)</f>
        <v/>
      </c>
      <c r="G2482" s="79">
        <f>IF('Ordenes_Odoo'!G2482="","",'Ordenes_Odoo'!G2482)</f>
        <v/>
      </c>
      <c r="H2482" s="79">
        <f>IF('Ordenes_Odoo'!H2482="","",'Ordenes_Odoo'!H2482)</f>
        <v/>
      </c>
      <c r="I2482" s="79">
        <f>IF('Ordenes_Odoo'!I2482="","",'Ordenes_Odoo'!I2482)</f>
        <v/>
      </c>
      <c r="J2482" s="79">
        <f>IF('Ordenes_Odoo'!J2482="","",'Ordenes_Odoo'!J2482)</f>
        <v/>
      </c>
      <c r="K2482" s="81">
        <f>IF('Ordenes_Odoo'!K2482="","",'Ordenes_Odoo'!K2482)</f>
        <v/>
      </c>
      <c r="L2482" s="81">
        <f>IF('Ordenes_Odoo'!L2482="","",'Ordenes_Odoo'!L2482)</f>
        <v/>
      </c>
      <c r="M2482" s="79">
        <f>IF('Ordenes_Odoo'!M2482="","",'Ordenes_Odoo'!M2482)</f>
        <v/>
      </c>
      <c r="N2482" s="79">
        <f>IF('Ordenes_Odoo'!N2482="","",'Ordenes_Odoo'!N2482)</f>
        <v/>
      </c>
      <c r="O2482" s="81">
        <f>IF('Ordenes_Odoo'!O2482="","",'Ordenes_Odoo'!O2482)</f>
        <v/>
      </c>
      <c r="P2482" s="81">
        <f>IF('Ordenes_Odoo'!P2482="","",'Ordenes_Odoo'!P2482)</f>
        <v/>
      </c>
      <c r="Q2482" s="79">
        <f>IF(A2482="","",IFERROR(INDEX(Facturas_Odoo!$B:$B, MATCH(A2482, Facturas_Odoo!$D:$D, 0)), "Sin Factura"))</f>
        <v/>
      </c>
      <c r="R2482" s="80">
        <f>IF(Q2482="Sin Factura","",IFERROR(INDEX(Facturas_Odoo!$A:$A, MATCH(Q2482, Facturas_Odoo!$B:$B, 0)), ""))</f>
        <v/>
      </c>
      <c r="S2482" s="79">
        <f>IF(Q2482="Sin Factura","",IFERROR(_xlfn.XLOOKUP(1, (Facturas_Odoo!$D:$D=A2482) * (Facturas_Odoo!$K:$K=I2482), Facturas_Odoo!$L:$L, ""), ""))</f>
        <v/>
      </c>
      <c r="T2482" s="81">
        <f>IF(Q2482="Sin Factura",0,IFERROR(_xlfn.XLOOKUP(1, (Facturas_Odoo!$D:$D=A2482) * (Facturas_Odoo!$K:$K=I2482), Facturas_Odoo!$M:$M, 0), 0))</f>
        <v/>
      </c>
      <c r="U2482" s="79">
        <f>IF(Q2482="Sin Factura",0,IFERROR(_xlfn.XLOOKUP(1, (Facturas_Odoo!$D:$D=A2482) * (Facturas_Odoo!$K:$K=I2482), Facturas_Odoo!$N:$N, 0), 0))</f>
        <v/>
      </c>
      <c r="V2482" s="79">
        <f>IF(Q2482="Sin Factura",0,IFERROR(_xlfn.XLOOKUP(1, (Facturas_Odoo!$D:$D=A2482) * (Facturas_Odoo!$K:$K=I2482), Facturas_Odoo!$O:$O, 0), 0))</f>
        <v/>
      </c>
      <c r="W2482" s="81">
        <f>IF(Q2482="Sin Factura",0,IFERROR(_xlfn.XLOOKUP(1, (Facturas_Odoo!$D:$D=A2482) * (Facturas_Odoo!$K:$K=I2482), Facturas_Odoo!$Q:$Q, 0), 0))</f>
        <v/>
      </c>
      <c r="X2482" s="79">
        <f>IF(OR(Q2482="Sin Factura",Q2482=""),"",IFERROR(INDEX(Pagos_Odoo!$B:$B, MATCH(Q2482, Pagos_Odoo!$I:$I, 0)), "Sin Pago"))</f>
        <v/>
      </c>
      <c r="Y2482" s="79">
        <f>IF(X2482="Sin Pago","",IFERROR(INDEX(Pagos_Odoo!$C:$C, MATCH(X2482, Pagos_Odoo!$B:$B, 0)), ""))</f>
        <v/>
      </c>
      <c r="Z2482" s="80">
        <f>IF(X2482="Sin Pago","",IFERROR(INDEX(Pagos_Odoo!$A:$A, MATCH(X2482, Pagos_Odoo!$B:$B, 0)), ""))</f>
        <v/>
      </c>
      <c r="AA2482" s="79">
        <f>IF(X2482="Sin Pago","",IFERROR(INDEX(Pagos_Odoo!$F:$F, MATCH(X2482, Pagos_Odoo!$B:$B, 0)), ""))</f>
        <v/>
      </c>
      <c r="AB2482" s="81">
        <f>IF(X2482="Sin Pago",0,IFERROR(INDEX(Pagos_Odoo!$E:$E, MATCH(X2482, Pagos_Odoo!$B:$B, 0)), 0))</f>
        <v/>
      </c>
      <c r="AC2482" s="79">
        <f>IF(X2482="Sin Pago","",IFERROR(INDEX(Pagos_Odoo!$G:$G, MATCH(X2482, Pagos_Odoo!$B:$B, 0)), ""))</f>
        <v/>
      </c>
      <c r="AD2482" s="82" t="n">
        <v>0</v>
      </c>
      <c r="AE2482" s="82" t="n"/>
      <c r="AF2482" s="82" t="n"/>
      <c r="AG2482" s="82">
        <f>IF(AN2482="","",AD2482+AE2482+AF2482)</f>
        <v/>
      </c>
      <c r="AH2482" s="81">
        <f>IF(AN2482="","",P2482*(1-AG2482))</f>
        <v/>
      </c>
      <c r="AI2482" s="81">
        <f>IF(AN2482="","",IF(Q2482="Sin Factura",0,IFERROR(INDEX(Facturas_Odoo!$H:$H, MATCH(Q2482, Facturas_Odoo!$B:$B, 0)), 0)*(1-AG2482)))</f>
        <v/>
      </c>
      <c r="AJ2482" s="81">
        <f>IF(AN2482="","",_xlfn.LET(idVenta, AN2482&amp;"",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82" s="81">
        <f>IF(AN2482="","",AH2482-AJ2482)</f>
        <v/>
      </c>
      <c r="AL2482" s="81">
        <f>IF(AN2482="","",IF(Q2482="Sin Factura","",AI2482-AJ2482))</f>
        <v/>
      </c>
      <c r="AM2482" s="81">
        <f>IF(AN2482="","",IF(Q2482="Sin Factura",0,P2482-IFERROR(INDEX(Facturas_Odoo!$H:$H, MATCH(Q2482, Facturas_Odoo!$B:$B, 0)), 0)))</f>
        <v/>
      </c>
      <c r="AN2482" s="79">
        <f>IF(AND(A2482="", J2482=""), "", IF(A2482&lt;&gt;"", VALUE(MID(A2482,2,LEN(A2482))), AN2481))</f>
        <v/>
      </c>
      <c r="AO2482" s="79">
        <f>IF(AN2482="","",IF(AD2482=0,"OK",_xlfn.LET(monedaPago, IF(AA2482="","USD",AA2482), limitePermitido, IFERROR(VLOOKUP(monedaPago, Configuración!$A$2:$B$3, 2, FALSE), 0.15), IF(AD2482&gt;limitePermitido, "ALERTA: EXCESO (" &amp; TEXT(limitePermitido, "0%") &amp; " máx)", "OK"))))</f>
        <v/>
      </c>
      <c r="AP2482" s="79">
        <f>IF(AN2482="","",IF(AE2482=0,"OK",_xlfn.LET(fechaPago, Z2482, fechaFactura, R2482, diasCredito, IF(E2482="Pago inmediato", 0, IFERROR(VALUE(MID(E2482, 1, SEARCH(" ", E2482)-1)),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82" s="79">
        <f>IF(AN2482="","",IF(AND(N2482&gt;0, AG2482&gt;0), IF(Configuración!$K$2="NO", "ALERTA: DESCUENTO DOBLE NO PERMITIDO", "OK"), "OK"))</f>
        <v/>
      </c>
      <c r="AR2482" s="79">
        <f>IF(AN2482="","",IF(OR(AO2482&lt;&gt;"OK", AP2482&lt;&gt;"OK", AQ2482&lt;&gt;"OK"), "⚠️ REVISAR", "OK"))</f>
        <v/>
      </c>
    </row>
    <row r="2483">
      <c r="A2483" s="79">
        <f>IF('Ordenes_Odoo'!A2483="","",'Ordenes_Odoo'!A2483)</f>
        <v/>
      </c>
      <c r="B2483" s="80">
        <f>IF('Ordenes_Odoo'!B2483="","",'Ordenes_Odoo'!B2483)</f>
        <v/>
      </c>
      <c r="C2483" s="79">
        <f>IF('Ordenes_Odoo'!C2483="","",'Ordenes_Odoo'!C2483)</f>
        <v/>
      </c>
      <c r="D2483" s="79">
        <f>IF('Ordenes_Odoo'!D2483="","",'Ordenes_Odoo'!D2483)</f>
        <v/>
      </c>
      <c r="E2483" s="79">
        <f>IF('Ordenes_Odoo'!E2483="","",'Ordenes_Odoo'!E2483)</f>
        <v/>
      </c>
      <c r="F2483" s="79">
        <f>IF('Ordenes_Odoo'!F2483="","",'Ordenes_Odoo'!F2483)</f>
        <v/>
      </c>
      <c r="G2483" s="79">
        <f>IF('Ordenes_Odoo'!G2483="","",'Ordenes_Odoo'!G2483)</f>
        <v/>
      </c>
      <c r="H2483" s="79">
        <f>IF('Ordenes_Odoo'!H2483="","",'Ordenes_Odoo'!H2483)</f>
        <v/>
      </c>
      <c r="I2483" s="79">
        <f>IF('Ordenes_Odoo'!I2483="","",'Ordenes_Odoo'!I2483)</f>
        <v/>
      </c>
      <c r="J2483" s="79">
        <f>IF('Ordenes_Odoo'!J2483="","",'Ordenes_Odoo'!J2483)</f>
        <v/>
      </c>
      <c r="K2483" s="81">
        <f>IF('Ordenes_Odoo'!K2483="","",'Ordenes_Odoo'!K2483)</f>
        <v/>
      </c>
      <c r="L2483" s="81">
        <f>IF('Ordenes_Odoo'!L2483="","",'Ordenes_Odoo'!L2483)</f>
        <v/>
      </c>
      <c r="M2483" s="79">
        <f>IF('Ordenes_Odoo'!M2483="","",'Ordenes_Odoo'!M2483)</f>
        <v/>
      </c>
      <c r="N2483" s="79">
        <f>IF('Ordenes_Odoo'!N2483="","",'Ordenes_Odoo'!N2483)</f>
        <v/>
      </c>
      <c r="O2483" s="81">
        <f>IF('Ordenes_Odoo'!O2483="","",'Ordenes_Odoo'!O2483)</f>
        <v/>
      </c>
      <c r="P2483" s="81">
        <f>IF('Ordenes_Odoo'!P2483="","",'Ordenes_Odoo'!P2483)</f>
        <v/>
      </c>
      <c r="Q2483" s="79">
        <f>IF(A2483="","",IFERROR(INDEX(Facturas_Odoo!$B:$B, MATCH(A2483, Facturas_Odoo!$D:$D, 0)), "Sin Factura"))</f>
        <v/>
      </c>
      <c r="R2483" s="80">
        <f>IF(Q2483="Sin Factura","",IFERROR(INDEX(Facturas_Odoo!$A:$A, MATCH(Q2483, Facturas_Odoo!$B:$B, 0)), ""))</f>
        <v/>
      </c>
      <c r="S2483" s="79">
        <f>IF(Q2483="Sin Factura","",IFERROR(_xlfn.XLOOKUP(1, (Facturas_Odoo!$D:$D=A2483) * (Facturas_Odoo!$K:$K=I2483), Facturas_Odoo!$L:$L, ""), ""))</f>
        <v/>
      </c>
      <c r="T2483" s="81">
        <f>IF(Q2483="Sin Factura",0,IFERROR(_xlfn.XLOOKUP(1, (Facturas_Odoo!$D:$D=A2483) * (Facturas_Odoo!$K:$K=I2483), Facturas_Odoo!$M:$M, 0), 0))</f>
        <v/>
      </c>
      <c r="U2483" s="79">
        <f>IF(Q2483="Sin Factura",0,IFERROR(_xlfn.XLOOKUP(1, (Facturas_Odoo!$D:$D=A2483) * (Facturas_Odoo!$K:$K=I2483), Facturas_Odoo!$N:$N, 0), 0))</f>
        <v/>
      </c>
      <c r="V2483" s="79">
        <f>IF(Q2483="Sin Factura",0,IFERROR(_xlfn.XLOOKUP(1, (Facturas_Odoo!$D:$D=A2483) * (Facturas_Odoo!$K:$K=I2483), Facturas_Odoo!$O:$O, 0), 0))</f>
        <v/>
      </c>
      <c r="W2483" s="81">
        <f>IF(Q2483="Sin Factura",0,IFERROR(_xlfn.XLOOKUP(1, (Facturas_Odoo!$D:$D=A2483) * (Facturas_Odoo!$K:$K=I2483), Facturas_Odoo!$Q:$Q, 0), 0))</f>
        <v/>
      </c>
      <c r="X2483" s="79">
        <f>IF(OR(Q2483="Sin Factura",Q2483=""),"",IFERROR(INDEX(Pagos_Odoo!$B:$B, MATCH(Q2483, Pagos_Odoo!$I:$I, 0)), "Sin Pago"))</f>
        <v/>
      </c>
      <c r="Y2483" s="79">
        <f>IF(X2483="Sin Pago","",IFERROR(INDEX(Pagos_Odoo!$C:$C, MATCH(X2483, Pagos_Odoo!$B:$B, 0)), ""))</f>
        <v/>
      </c>
      <c r="Z2483" s="80">
        <f>IF(X2483="Sin Pago","",IFERROR(INDEX(Pagos_Odoo!$A:$A, MATCH(X2483, Pagos_Odoo!$B:$B, 0)), ""))</f>
        <v/>
      </c>
      <c r="AA2483" s="79">
        <f>IF(X2483="Sin Pago","",IFERROR(INDEX(Pagos_Odoo!$F:$F, MATCH(X2483, Pagos_Odoo!$B:$B, 0)), ""))</f>
        <v/>
      </c>
      <c r="AB2483" s="81">
        <f>IF(X2483="Sin Pago",0,IFERROR(INDEX(Pagos_Odoo!$E:$E, MATCH(X2483, Pagos_Odoo!$B:$B, 0)), 0))</f>
        <v/>
      </c>
      <c r="AC2483" s="79">
        <f>IF(X2483="Sin Pago","",IFERROR(INDEX(Pagos_Odoo!$G:$G, MATCH(X2483, Pagos_Odoo!$B:$B, 0)), ""))</f>
        <v/>
      </c>
      <c r="AD2483" s="82" t="n">
        <v>0</v>
      </c>
      <c r="AE2483" s="82" t="n"/>
      <c r="AF2483" s="82" t="n"/>
      <c r="AG2483" s="82">
        <f>IF(AN2483="","",AD2483+AE2483+AF2483)</f>
        <v/>
      </c>
      <c r="AH2483" s="81">
        <f>IF(AN2483="","",P2483*(1-AG2483))</f>
        <v/>
      </c>
      <c r="AI2483" s="81">
        <f>IF(AN2483="","",IF(Q2483="Sin Factura",0,IFERROR(INDEX(Facturas_Odoo!$H:$H, MATCH(Q2483, Facturas_Odoo!$B:$B, 0)), 0)*(1-AG2483)))</f>
        <v/>
      </c>
      <c r="AJ2483" s="81">
        <f>IF(AN2483="","",_xlfn.LET(idVenta, AN2483&amp;"",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83" s="81">
        <f>IF(AN2483="","",AH2483-AJ2483)</f>
        <v/>
      </c>
      <c r="AL2483" s="81">
        <f>IF(AN2483="","",IF(Q2483="Sin Factura","",AI2483-AJ2483))</f>
        <v/>
      </c>
      <c r="AM2483" s="81">
        <f>IF(AN2483="","",IF(Q2483="Sin Factura",0,P2483-IFERROR(INDEX(Facturas_Odoo!$H:$H, MATCH(Q2483, Facturas_Odoo!$B:$B, 0)), 0)))</f>
        <v/>
      </c>
      <c r="AN2483" s="79">
        <f>IF(AND(A2483="", J2483=""), "", IF(A2483&lt;&gt;"", VALUE(MID(A2483,2,LEN(A2483))), AN2482))</f>
        <v/>
      </c>
      <c r="AO2483" s="79">
        <f>IF(AN2483="","",IF(AD2483=0,"OK",_xlfn.LET(monedaPago, IF(AA2483="","USD",AA2483), limitePermitido, IFERROR(VLOOKUP(monedaPago, Configuración!$A$2:$B$3, 2, FALSE), 0.15), IF(AD2483&gt;limitePermitido, "ALERTA: EXCESO (" &amp; TEXT(limitePermitido, "0%") &amp; " máx)", "OK"))))</f>
        <v/>
      </c>
      <c r="AP2483" s="79">
        <f>IF(AN2483="","",IF(AE2483=0,"OK",_xlfn.LET(fechaPago, Z2483, fechaFactura, R2483, diasCredito, IF(E2483="Pago inmediato", 0, IFERROR(VALUE(MID(E2483, 1, SEARCH(" ", E2483)-1)),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83" s="79">
        <f>IF(AN2483="","",IF(AND(N2483&gt;0, AG2483&gt;0), IF(Configuración!$K$2="NO", "ALERTA: DESCUENTO DOBLE NO PERMITIDO", "OK"), "OK"))</f>
        <v/>
      </c>
      <c r="AR2483" s="79">
        <f>IF(AN2483="","",IF(OR(AO2483&lt;&gt;"OK", AP2483&lt;&gt;"OK", AQ2483&lt;&gt;"OK"), "⚠️ REVISAR", "OK"))</f>
        <v/>
      </c>
    </row>
    <row r="2484">
      <c r="A2484" s="79">
        <f>IF('Ordenes_Odoo'!A2484="","",'Ordenes_Odoo'!A2484)</f>
        <v/>
      </c>
      <c r="B2484" s="80">
        <f>IF('Ordenes_Odoo'!B2484="","",'Ordenes_Odoo'!B2484)</f>
        <v/>
      </c>
      <c r="C2484" s="79">
        <f>IF('Ordenes_Odoo'!C2484="","",'Ordenes_Odoo'!C2484)</f>
        <v/>
      </c>
      <c r="D2484" s="79">
        <f>IF('Ordenes_Odoo'!D2484="","",'Ordenes_Odoo'!D2484)</f>
        <v/>
      </c>
      <c r="E2484" s="79">
        <f>IF('Ordenes_Odoo'!E2484="","",'Ordenes_Odoo'!E2484)</f>
        <v/>
      </c>
      <c r="F2484" s="79">
        <f>IF('Ordenes_Odoo'!F2484="","",'Ordenes_Odoo'!F2484)</f>
        <v/>
      </c>
      <c r="G2484" s="79">
        <f>IF('Ordenes_Odoo'!G2484="","",'Ordenes_Odoo'!G2484)</f>
        <v/>
      </c>
      <c r="H2484" s="79">
        <f>IF('Ordenes_Odoo'!H2484="","",'Ordenes_Odoo'!H2484)</f>
        <v/>
      </c>
      <c r="I2484" s="79">
        <f>IF('Ordenes_Odoo'!I2484="","",'Ordenes_Odoo'!I2484)</f>
        <v/>
      </c>
      <c r="J2484" s="79">
        <f>IF('Ordenes_Odoo'!J2484="","",'Ordenes_Odoo'!J2484)</f>
        <v/>
      </c>
      <c r="K2484" s="81">
        <f>IF('Ordenes_Odoo'!K2484="","",'Ordenes_Odoo'!K2484)</f>
        <v/>
      </c>
      <c r="L2484" s="81">
        <f>IF('Ordenes_Odoo'!L2484="","",'Ordenes_Odoo'!L2484)</f>
        <v/>
      </c>
      <c r="M2484" s="79">
        <f>IF('Ordenes_Odoo'!M2484="","",'Ordenes_Odoo'!M2484)</f>
        <v/>
      </c>
      <c r="N2484" s="79">
        <f>IF('Ordenes_Odoo'!N2484="","",'Ordenes_Odoo'!N2484)</f>
        <v/>
      </c>
      <c r="O2484" s="81">
        <f>IF('Ordenes_Odoo'!O2484="","",'Ordenes_Odoo'!O2484)</f>
        <v/>
      </c>
      <c r="P2484" s="81">
        <f>IF('Ordenes_Odoo'!P2484="","",'Ordenes_Odoo'!P2484)</f>
        <v/>
      </c>
      <c r="Q2484" s="79">
        <f>IF(A2484="","",IFERROR(INDEX(Facturas_Odoo!$B:$B, MATCH(A2484, Facturas_Odoo!$D:$D, 0)), "Sin Factura"))</f>
        <v/>
      </c>
      <c r="R2484" s="80">
        <f>IF(Q2484="Sin Factura","",IFERROR(INDEX(Facturas_Odoo!$A:$A, MATCH(Q2484, Facturas_Odoo!$B:$B, 0)), ""))</f>
        <v/>
      </c>
      <c r="S2484" s="79">
        <f>IF(Q2484="Sin Factura","",IFERROR(_xlfn.XLOOKUP(1, (Facturas_Odoo!$D:$D=A2484) * (Facturas_Odoo!$K:$K=I2484), Facturas_Odoo!$L:$L, ""), ""))</f>
        <v/>
      </c>
      <c r="T2484" s="81">
        <f>IF(Q2484="Sin Factura",0,IFERROR(_xlfn.XLOOKUP(1, (Facturas_Odoo!$D:$D=A2484) * (Facturas_Odoo!$K:$K=I2484), Facturas_Odoo!$M:$M, 0), 0))</f>
        <v/>
      </c>
      <c r="U2484" s="79">
        <f>IF(Q2484="Sin Factura",0,IFERROR(_xlfn.XLOOKUP(1, (Facturas_Odoo!$D:$D=A2484) * (Facturas_Odoo!$K:$K=I2484), Facturas_Odoo!$N:$N, 0), 0))</f>
        <v/>
      </c>
      <c r="V2484" s="79">
        <f>IF(Q2484="Sin Factura",0,IFERROR(_xlfn.XLOOKUP(1, (Facturas_Odoo!$D:$D=A2484) * (Facturas_Odoo!$K:$K=I2484), Facturas_Odoo!$O:$O, 0), 0))</f>
        <v/>
      </c>
      <c r="W2484" s="81">
        <f>IF(Q2484="Sin Factura",0,IFERROR(_xlfn.XLOOKUP(1, (Facturas_Odoo!$D:$D=A2484) * (Facturas_Odoo!$K:$K=I2484), Facturas_Odoo!$Q:$Q, 0), 0))</f>
        <v/>
      </c>
      <c r="X2484" s="79">
        <f>IF(OR(Q2484="Sin Factura",Q2484=""),"",IFERROR(INDEX(Pagos_Odoo!$B:$B, MATCH(Q2484, Pagos_Odoo!$I:$I, 0)), "Sin Pago"))</f>
        <v/>
      </c>
      <c r="Y2484" s="79">
        <f>IF(X2484="Sin Pago","",IFERROR(INDEX(Pagos_Odoo!$C:$C, MATCH(X2484, Pagos_Odoo!$B:$B, 0)), ""))</f>
        <v/>
      </c>
      <c r="Z2484" s="80">
        <f>IF(X2484="Sin Pago","",IFERROR(INDEX(Pagos_Odoo!$A:$A, MATCH(X2484, Pagos_Odoo!$B:$B, 0)), ""))</f>
        <v/>
      </c>
      <c r="AA2484" s="79">
        <f>IF(X2484="Sin Pago","",IFERROR(INDEX(Pagos_Odoo!$F:$F, MATCH(X2484, Pagos_Odoo!$B:$B, 0)), ""))</f>
        <v/>
      </c>
      <c r="AB2484" s="81">
        <f>IF(X2484="Sin Pago",0,IFERROR(INDEX(Pagos_Odoo!$E:$E, MATCH(X2484, Pagos_Odoo!$B:$B, 0)), 0))</f>
        <v/>
      </c>
      <c r="AC2484" s="79">
        <f>IF(X2484="Sin Pago","",IFERROR(INDEX(Pagos_Odoo!$G:$G, MATCH(X2484, Pagos_Odoo!$B:$B, 0)), ""))</f>
        <v/>
      </c>
      <c r="AD2484" s="82" t="n">
        <v>0</v>
      </c>
      <c r="AE2484" s="82" t="n"/>
      <c r="AF2484" s="82" t="n"/>
      <c r="AG2484" s="82">
        <f>IF(AN2484="","",AD2484+AE2484+AF2484)</f>
        <v/>
      </c>
      <c r="AH2484" s="81">
        <f>IF(AN2484="","",P2484*(1-AG2484))</f>
        <v/>
      </c>
      <c r="AI2484" s="81">
        <f>IF(AN2484="","",IF(Q2484="Sin Factura",0,IFERROR(INDEX(Facturas_Odoo!$H:$H, MATCH(Q2484, Facturas_Odoo!$B:$B, 0)), 0)*(1-AG2484)))</f>
        <v/>
      </c>
      <c r="AJ2484" s="81">
        <f>IF(AN2484="","",_xlfn.LET(idVenta, AN2484&amp;"",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84" s="81">
        <f>IF(AN2484="","",AH2484-AJ2484)</f>
        <v/>
      </c>
      <c r="AL2484" s="81">
        <f>IF(AN2484="","",IF(Q2484="Sin Factura","",AI2484-AJ2484))</f>
        <v/>
      </c>
      <c r="AM2484" s="81">
        <f>IF(AN2484="","",IF(Q2484="Sin Factura",0,P2484-IFERROR(INDEX(Facturas_Odoo!$H:$H, MATCH(Q2484, Facturas_Odoo!$B:$B, 0)), 0)))</f>
        <v/>
      </c>
      <c r="AN2484" s="79">
        <f>IF(AND(A2484="", J2484=""), "", IF(A2484&lt;&gt;"", VALUE(MID(A2484,2,LEN(A2484))), AN2483))</f>
        <v/>
      </c>
      <c r="AO2484" s="79">
        <f>IF(AN2484="","",IF(AD2484=0,"OK",_xlfn.LET(monedaPago, IF(AA2484="","USD",AA2484), limitePermitido, IFERROR(VLOOKUP(monedaPago, Configuración!$A$2:$B$3, 2, FALSE), 0.15), IF(AD2484&gt;limitePermitido, "ALERTA: EXCESO (" &amp; TEXT(limitePermitido, "0%") &amp; " máx)", "OK"))))</f>
        <v/>
      </c>
      <c r="AP2484" s="79">
        <f>IF(AN2484="","",IF(AE2484=0,"OK",_xlfn.LET(fechaPago, Z2484, fechaFactura, R2484, diasCredito, IF(E2484="Pago inmediato", 0, IFERROR(VALUE(MID(E2484, 1, SEARCH(" ", E2484)-1)),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84" s="79">
        <f>IF(AN2484="","",IF(AND(N2484&gt;0, AG2484&gt;0), IF(Configuración!$K$2="NO", "ALERTA: DESCUENTO DOBLE NO PERMITIDO", "OK"), "OK"))</f>
        <v/>
      </c>
      <c r="AR2484" s="79">
        <f>IF(AN2484="","",IF(OR(AO2484&lt;&gt;"OK", AP2484&lt;&gt;"OK", AQ2484&lt;&gt;"OK"), "⚠️ REVISAR", "OK"))</f>
        <v/>
      </c>
    </row>
    <row r="2485">
      <c r="A2485" s="79">
        <f>IF('Ordenes_Odoo'!A2485="","",'Ordenes_Odoo'!A2485)</f>
        <v/>
      </c>
      <c r="B2485" s="80">
        <f>IF('Ordenes_Odoo'!B2485="","",'Ordenes_Odoo'!B2485)</f>
        <v/>
      </c>
      <c r="C2485" s="79">
        <f>IF('Ordenes_Odoo'!C2485="","",'Ordenes_Odoo'!C2485)</f>
        <v/>
      </c>
      <c r="D2485" s="79">
        <f>IF('Ordenes_Odoo'!D2485="","",'Ordenes_Odoo'!D2485)</f>
        <v/>
      </c>
      <c r="E2485" s="79">
        <f>IF('Ordenes_Odoo'!E2485="","",'Ordenes_Odoo'!E2485)</f>
        <v/>
      </c>
      <c r="F2485" s="79">
        <f>IF('Ordenes_Odoo'!F2485="","",'Ordenes_Odoo'!F2485)</f>
        <v/>
      </c>
      <c r="G2485" s="79">
        <f>IF('Ordenes_Odoo'!G2485="","",'Ordenes_Odoo'!G2485)</f>
        <v/>
      </c>
      <c r="H2485" s="79">
        <f>IF('Ordenes_Odoo'!H2485="","",'Ordenes_Odoo'!H2485)</f>
        <v/>
      </c>
      <c r="I2485" s="79">
        <f>IF('Ordenes_Odoo'!I2485="","",'Ordenes_Odoo'!I2485)</f>
        <v/>
      </c>
      <c r="J2485" s="79">
        <f>IF('Ordenes_Odoo'!J2485="","",'Ordenes_Odoo'!J2485)</f>
        <v/>
      </c>
      <c r="K2485" s="81">
        <f>IF('Ordenes_Odoo'!K2485="","",'Ordenes_Odoo'!K2485)</f>
        <v/>
      </c>
      <c r="L2485" s="81">
        <f>IF('Ordenes_Odoo'!L2485="","",'Ordenes_Odoo'!L2485)</f>
        <v/>
      </c>
      <c r="M2485" s="79">
        <f>IF('Ordenes_Odoo'!M2485="","",'Ordenes_Odoo'!M2485)</f>
        <v/>
      </c>
      <c r="N2485" s="79">
        <f>IF('Ordenes_Odoo'!N2485="","",'Ordenes_Odoo'!N2485)</f>
        <v/>
      </c>
      <c r="O2485" s="81">
        <f>IF('Ordenes_Odoo'!O2485="","",'Ordenes_Odoo'!O2485)</f>
        <v/>
      </c>
      <c r="P2485" s="81">
        <f>IF('Ordenes_Odoo'!P2485="","",'Ordenes_Odoo'!P2485)</f>
        <v/>
      </c>
      <c r="Q2485" s="79">
        <f>IF(A2485="","",IFERROR(INDEX(Facturas_Odoo!$B:$B, MATCH(A2485, Facturas_Odoo!$D:$D, 0)), "Sin Factura"))</f>
        <v/>
      </c>
      <c r="R2485" s="80">
        <f>IF(Q2485="Sin Factura","",IFERROR(INDEX(Facturas_Odoo!$A:$A, MATCH(Q2485, Facturas_Odoo!$B:$B, 0)), ""))</f>
        <v/>
      </c>
      <c r="S2485" s="79">
        <f>IF(Q2485="Sin Factura","",IFERROR(_xlfn.XLOOKUP(1, (Facturas_Odoo!$D:$D=A2485) * (Facturas_Odoo!$K:$K=I2485), Facturas_Odoo!$L:$L, ""), ""))</f>
        <v/>
      </c>
      <c r="T2485" s="81">
        <f>IF(Q2485="Sin Factura",0,IFERROR(_xlfn.XLOOKUP(1, (Facturas_Odoo!$D:$D=A2485) * (Facturas_Odoo!$K:$K=I2485), Facturas_Odoo!$M:$M, 0), 0))</f>
        <v/>
      </c>
      <c r="U2485" s="79">
        <f>IF(Q2485="Sin Factura",0,IFERROR(_xlfn.XLOOKUP(1, (Facturas_Odoo!$D:$D=A2485) * (Facturas_Odoo!$K:$K=I2485), Facturas_Odoo!$N:$N, 0), 0))</f>
        <v/>
      </c>
      <c r="V2485" s="79">
        <f>IF(Q2485="Sin Factura",0,IFERROR(_xlfn.XLOOKUP(1, (Facturas_Odoo!$D:$D=A2485) * (Facturas_Odoo!$K:$K=I2485), Facturas_Odoo!$O:$O, 0), 0))</f>
        <v/>
      </c>
      <c r="W2485" s="81">
        <f>IF(Q2485="Sin Factura",0,IFERROR(_xlfn.XLOOKUP(1, (Facturas_Odoo!$D:$D=A2485) * (Facturas_Odoo!$K:$K=I2485), Facturas_Odoo!$Q:$Q, 0), 0))</f>
        <v/>
      </c>
      <c r="X2485" s="79">
        <f>IF(OR(Q2485="Sin Factura",Q2485=""),"",IFERROR(INDEX(Pagos_Odoo!$B:$B, MATCH(Q2485, Pagos_Odoo!$I:$I, 0)), "Sin Pago"))</f>
        <v/>
      </c>
      <c r="Y2485" s="79">
        <f>IF(X2485="Sin Pago","",IFERROR(INDEX(Pagos_Odoo!$C:$C, MATCH(X2485, Pagos_Odoo!$B:$B, 0)), ""))</f>
        <v/>
      </c>
      <c r="Z2485" s="80">
        <f>IF(X2485="Sin Pago","",IFERROR(INDEX(Pagos_Odoo!$A:$A, MATCH(X2485, Pagos_Odoo!$B:$B, 0)), ""))</f>
        <v/>
      </c>
      <c r="AA2485" s="79">
        <f>IF(X2485="Sin Pago","",IFERROR(INDEX(Pagos_Odoo!$F:$F, MATCH(X2485, Pagos_Odoo!$B:$B, 0)), ""))</f>
        <v/>
      </c>
      <c r="AB2485" s="81">
        <f>IF(X2485="Sin Pago",0,IFERROR(INDEX(Pagos_Odoo!$E:$E, MATCH(X2485, Pagos_Odoo!$B:$B, 0)), 0))</f>
        <v/>
      </c>
      <c r="AC2485" s="79">
        <f>IF(X2485="Sin Pago","",IFERROR(INDEX(Pagos_Odoo!$G:$G, MATCH(X2485, Pagos_Odoo!$B:$B, 0)), ""))</f>
        <v/>
      </c>
      <c r="AD2485" s="82" t="n">
        <v>0</v>
      </c>
      <c r="AE2485" s="82" t="n"/>
      <c r="AF2485" s="82" t="n"/>
      <c r="AG2485" s="82">
        <f>IF(AN2485="","",AD2485+AE2485+AF2485)</f>
        <v/>
      </c>
      <c r="AH2485" s="81">
        <f>IF(AN2485="","",P2485*(1-AG2485))</f>
        <v/>
      </c>
      <c r="AI2485" s="81">
        <f>IF(AN2485="","",IF(Q2485="Sin Factura",0,IFERROR(INDEX(Facturas_Odoo!$H:$H, MATCH(Q2485, Facturas_Odoo!$B:$B, 0)), 0)*(1-AG2485)))</f>
        <v/>
      </c>
      <c r="AJ2485" s="81">
        <f>IF(AN2485="","",_xlfn.LET(idVenta, AN2485&amp;"",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85" s="81">
        <f>IF(AN2485="","",AH2485-AJ2485)</f>
        <v/>
      </c>
      <c r="AL2485" s="81">
        <f>IF(AN2485="","",IF(Q2485="Sin Factura","",AI2485-AJ2485))</f>
        <v/>
      </c>
      <c r="AM2485" s="81">
        <f>IF(AN2485="","",IF(Q2485="Sin Factura",0,P2485-IFERROR(INDEX(Facturas_Odoo!$H:$H, MATCH(Q2485, Facturas_Odoo!$B:$B, 0)), 0)))</f>
        <v/>
      </c>
      <c r="AN2485" s="79">
        <f>IF(AND(A2485="", J2485=""), "", IF(A2485&lt;&gt;"", VALUE(MID(A2485,2,LEN(A2485))), AN2484))</f>
        <v/>
      </c>
      <c r="AO2485" s="79">
        <f>IF(AN2485="","",IF(AD2485=0,"OK",_xlfn.LET(monedaPago, IF(AA2485="","USD",AA2485), limitePermitido, IFERROR(VLOOKUP(monedaPago, Configuración!$A$2:$B$3, 2, FALSE), 0.15), IF(AD2485&gt;limitePermitido, "ALERTA: EXCESO (" &amp; TEXT(limitePermitido, "0%") &amp; " máx)", "OK"))))</f>
        <v/>
      </c>
      <c r="AP2485" s="79">
        <f>IF(AN2485="","",IF(AE2485=0,"OK",_xlfn.LET(fechaPago, Z2485, fechaFactura, R2485, diasCredito, IF(E2485="Pago inmediato", 0, IFERROR(VALUE(MID(E2485, 1, SEARCH(" ", E2485)-1)),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85" s="79">
        <f>IF(AN2485="","",IF(AND(N2485&gt;0, AG2485&gt;0), IF(Configuración!$K$2="NO", "ALERTA: DESCUENTO DOBLE NO PERMITIDO", "OK"), "OK"))</f>
        <v/>
      </c>
      <c r="AR2485" s="79">
        <f>IF(AN2485="","",IF(OR(AO2485&lt;&gt;"OK", AP2485&lt;&gt;"OK", AQ2485&lt;&gt;"OK"), "⚠️ REVISAR", "OK"))</f>
        <v/>
      </c>
    </row>
    <row r="2486">
      <c r="A2486" s="79">
        <f>IF('Ordenes_Odoo'!A2486="","",'Ordenes_Odoo'!A2486)</f>
        <v/>
      </c>
      <c r="B2486" s="80">
        <f>IF('Ordenes_Odoo'!B2486="","",'Ordenes_Odoo'!B2486)</f>
        <v/>
      </c>
      <c r="C2486" s="79">
        <f>IF('Ordenes_Odoo'!C2486="","",'Ordenes_Odoo'!C2486)</f>
        <v/>
      </c>
      <c r="D2486" s="79">
        <f>IF('Ordenes_Odoo'!D2486="","",'Ordenes_Odoo'!D2486)</f>
        <v/>
      </c>
      <c r="E2486" s="79">
        <f>IF('Ordenes_Odoo'!E2486="","",'Ordenes_Odoo'!E2486)</f>
        <v/>
      </c>
      <c r="F2486" s="79">
        <f>IF('Ordenes_Odoo'!F2486="","",'Ordenes_Odoo'!F2486)</f>
        <v/>
      </c>
      <c r="G2486" s="79">
        <f>IF('Ordenes_Odoo'!G2486="","",'Ordenes_Odoo'!G2486)</f>
        <v/>
      </c>
      <c r="H2486" s="79">
        <f>IF('Ordenes_Odoo'!H2486="","",'Ordenes_Odoo'!H2486)</f>
        <v/>
      </c>
      <c r="I2486" s="79">
        <f>IF('Ordenes_Odoo'!I2486="","",'Ordenes_Odoo'!I2486)</f>
        <v/>
      </c>
      <c r="J2486" s="79">
        <f>IF('Ordenes_Odoo'!J2486="","",'Ordenes_Odoo'!J2486)</f>
        <v/>
      </c>
      <c r="K2486" s="81">
        <f>IF('Ordenes_Odoo'!K2486="","",'Ordenes_Odoo'!K2486)</f>
        <v/>
      </c>
      <c r="L2486" s="81">
        <f>IF('Ordenes_Odoo'!L2486="","",'Ordenes_Odoo'!L2486)</f>
        <v/>
      </c>
      <c r="M2486" s="79">
        <f>IF('Ordenes_Odoo'!M2486="","",'Ordenes_Odoo'!M2486)</f>
        <v/>
      </c>
      <c r="N2486" s="79">
        <f>IF('Ordenes_Odoo'!N2486="","",'Ordenes_Odoo'!N2486)</f>
        <v/>
      </c>
      <c r="O2486" s="81">
        <f>IF('Ordenes_Odoo'!O2486="","",'Ordenes_Odoo'!O2486)</f>
        <v/>
      </c>
      <c r="P2486" s="81">
        <f>IF('Ordenes_Odoo'!P2486="","",'Ordenes_Odoo'!P2486)</f>
        <v/>
      </c>
      <c r="Q2486" s="79">
        <f>IF(A2486="","",IFERROR(INDEX(Facturas_Odoo!$B:$B, MATCH(A2486, Facturas_Odoo!$D:$D, 0)), "Sin Factura"))</f>
        <v/>
      </c>
      <c r="R2486" s="80">
        <f>IF(Q2486="Sin Factura","",IFERROR(INDEX(Facturas_Odoo!$A:$A, MATCH(Q2486, Facturas_Odoo!$B:$B, 0)), ""))</f>
        <v/>
      </c>
      <c r="S2486" s="79">
        <f>IF(Q2486="Sin Factura","",IFERROR(_xlfn.XLOOKUP(1, (Facturas_Odoo!$D:$D=A2486) * (Facturas_Odoo!$K:$K=I2486), Facturas_Odoo!$L:$L, ""), ""))</f>
        <v/>
      </c>
      <c r="T2486" s="81">
        <f>IF(Q2486="Sin Factura",0,IFERROR(_xlfn.XLOOKUP(1, (Facturas_Odoo!$D:$D=A2486) * (Facturas_Odoo!$K:$K=I2486), Facturas_Odoo!$M:$M, 0), 0))</f>
        <v/>
      </c>
      <c r="U2486" s="79">
        <f>IF(Q2486="Sin Factura",0,IFERROR(_xlfn.XLOOKUP(1, (Facturas_Odoo!$D:$D=A2486) * (Facturas_Odoo!$K:$K=I2486), Facturas_Odoo!$N:$N, 0), 0))</f>
        <v/>
      </c>
      <c r="V2486" s="79">
        <f>IF(Q2486="Sin Factura",0,IFERROR(_xlfn.XLOOKUP(1, (Facturas_Odoo!$D:$D=A2486) * (Facturas_Odoo!$K:$K=I2486), Facturas_Odoo!$O:$O, 0), 0))</f>
        <v/>
      </c>
      <c r="W2486" s="81">
        <f>IF(Q2486="Sin Factura",0,IFERROR(_xlfn.XLOOKUP(1, (Facturas_Odoo!$D:$D=A2486) * (Facturas_Odoo!$K:$K=I2486), Facturas_Odoo!$Q:$Q, 0), 0))</f>
        <v/>
      </c>
      <c r="X2486" s="79">
        <f>IF(OR(Q2486="Sin Factura",Q2486=""),"",IFERROR(INDEX(Pagos_Odoo!$B:$B, MATCH(Q2486, Pagos_Odoo!$I:$I, 0)), "Sin Pago"))</f>
        <v/>
      </c>
      <c r="Y2486" s="79">
        <f>IF(X2486="Sin Pago","",IFERROR(INDEX(Pagos_Odoo!$C:$C, MATCH(X2486, Pagos_Odoo!$B:$B, 0)), ""))</f>
        <v/>
      </c>
      <c r="Z2486" s="80">
        <f>IF(X2486="Sin Pago","",IFERROR(INDEX(Pagos_Odoo!$A:$A, MATCH(X2486, Pagos_Odoo!$B:$B, 0)), ""))</f>
        <v/>
      </c>
      <c r="AA2486" s="79">
        <f>IF(X2486="Sin Pago","",IFERROR(INDEX(Pagos_Odoo!$F:$F, MATCH(X2486, Pagos_Odoo!$B:$B, 0)), ""))</f>
        <v/>
      </c>
      <c r="AB2486" s="81">
        <f>IF(X2486="Sin Pago",0,IFERROR(INDEX(Pagos_Odoo!$E:$E, MATCH(X2486, Pagos_Odoo!$B:$B, 0)), 0))</f>
        <v/>
      </c>
      <c r="AC2486" s="79">
        <f>IF(X2486="Sin Pago","",IFERROR(INDEX(Pagos_Odoo!$G:$G, MATCH(X2486, Pagos_Odoo!$B:$B, 0)), ""))</f>
        <v/>
      </c>
      <c r="AD2486" s="82" t="n">
        <v>0</v>
      </c>
      <c r="AE2486" s="82" t="n"/>
      <c r="AF2486" s="82" t="n"/>
      <c r="AG2486" s="82">
        <f>IF(AN2486="","",AD2486+AE2486+AF2486)</f>
        <v/>
      </c>
      <c r="AH2486" s="81">
        <f>IF(AN2486="","",P2486*(1-AG2486))</f>
        <v/>
      </c>
      <c r="AI2486" s="81">
        <f>IF(AN2486="","",IF(Q2486="Sin Factura",0,IFERROR(INDEX(Facturas_Odoo!$H:$H, MATCH(Q2486, Facturas_Odoo!$B:$B, 0)), 0)*(1-AG2486)))</f>
        <v/>
      </c>
      <c r="AJ2486" s="81">
        <f>IF(AN2486="","",_xlfn.LET(idVenta, AN2486&amp;"",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86" s="81">
        <f>IF(AN2486="","",AH2486-AJ2486)</f>
        <v/>
      </c>
      <c r="AL2486" s="81">
        <f>IF(AN2486="","",IF(Q2486="Sin Factura","",AI2486-AJ2486))</f>
        <v/>
      </c>
      <c r="AM2486" s="81">
        <f>IF(AN2486="","",IF(Q2486="Sin Factura",0,P2486-IFERROR(INDEX(Facturas_Odoo!$H:$H, MATCH(Q2486, Facturas_Odoo!$B:$B, 0)), 0)))</f>
        <v/>
      </c>
      <c r="AN2486" s="79">
        <f>IF(AND(A2486="", J2486=""), "", IF(A2486&lt;&gt;"", VALUE(MID(A2486,2,LEN(A2486))), AN2485))</f>
        <v/>
      </c>
      <c r="AO2486" s="79">
        <f>IF(AN2486="","",IF(AD2486=0,"OK",_xlfn.LET(monedaPago, IF(AA2486="","USD",AA2486), limitePermitido, IFERROR(VLOOKUP(monedaPago, Configuración!$A$2:$B$3, 2, FALSE), 0.15), IF(AD2486&gt;limitePermitido, "ALERTA: EXCESO (" &amp; TEXT(limitePermitido, "0%") &amp; " máx)", "OK"))))</f>
        <v/>
      </c>
      <c r="AP2486" s="79">
        <f>IF(AN2486="","",IF(AE2486=0,"OK",_xlfn.LET(fechaPago, Z2486, fechaFactura, R2486, diasCredito, IF(E2486="Pago inmediato", 0, IFERROR(VALUE(MID(E2486, 1, SEARCH(" ", E2486)-1)),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86" s="79">
        <f>IF(AN2486="","",IF(AND(N2486&gt;0, AG2486&gt;0), IF(Configuración!$K$2="NO", "ALERTA: DESCUENTO DOBLE NO PERMITIDO", "OK"), "OK"))</f>
        <v/>
      </c>
      <c r="AR2486" s="79">
        <f>IF(AN2486="","",IF(OR(AO2486&lt;&gt;"OK", AP2486&lt;&gt;"OK", AQ2486&lt;&gt;"OK"), "⚠️ REVISAR", "OK"))</f>
        <v/>
      </c>
    </row>
    <row r="2487">
      <c r="A2487" s="79">
        <f>IF('Ordenes_Odoo'!A2487="","",'Ordenes_Odoo'!A2487)</f>
        <v/>
      </c>
      <c r="B2487" s="80">
        <f>IF('Ordenes_Odoo'!B2487="","",'Ordenes_Odoo'!B2487)</f>
        <v/>
      </c>
      <c r="C2487" s="79">
        <f>IF('Ordenes_Odoo'!C2487="","",'Ordenes_Odoo'!C2487)</f>
        <v/>
      </c>
      <c r="D2487" s="79">
        <f>IF('Ordenes_Odoo'!D2487="","",'Ordenes_Odoo'!D2487)</f>
        <v/>
      </c>
      <c r="E2487" s="79">
        <f>IF('Ordenes_Odoo'!E2487="","",'Ordenes_Odoo'!E2487)</f>
        <v/>
      </c>
      <c r="F2487" s="79">
        <f>IF('Ordenes_Odoo'!F2487="","",'Ordenes_Odoo'!F2487)</f>
        <v/>
      </c>
      <c r="G2487" s="79">
        <f>IF('Ordenes_Odoo'!G2487="","",'Ordenes_Odoo'!G2487)</f>
        <v/>
      </c>
      <c r="H2487" s="79">
        <f>IF('Ordenes_Odoo'!H2487="","",'Ordenes_Odoo'!H2487)</f>
        <v/>
      </c>
      <c r="I2487" s="79">
        <f>IF('Ordenes_Odoo'!I2487="","",'Ordenes_Odoo'!I2487)</f>
        <v/>
      </c>
      <c r="J2487" s="79">
        <f>IF('Ordenes_Odoo'!J2487="","",'Ordenes_Odoo'!J2487)</f>
        <v/>
      </c>
      <c r="K2487" s="81">
        <f>IF('Ordenes_Odoo'!K2487="","",'Ordenes_Odoo'!K2487)</f>
        <v/>
      </c>
      <c r="L2487" s="81">
        <f>IF('Ordenes_Odoo'!L2487="","",'Ordenes_Odoo'!L2487)</f>
        <v/>
      </c>
      <c r="M2487" s="79">
        <f>IF('Ordenes_Odoo'!M2487="","",'Ordenes_Odoo'!M2487)</f>
        <v/>
      </c>
      <c r="N2487" s="79">
        <f>IF('Ordenes_Odoo'!N2487="","",'Ordenes_Odoo'!N2487)</f>
        <v/>
      </c>
      <c r="O2487" s="81">
        <f>IF('Ordenes_Odoo'!O2487="","",'Ordenes_Odoo'!O2487)</f>
        <v/>
      </c>
      <c r="P2487" s="81">
        <f>IF('Ordenes_Odoo'!P2487="","",'Ordenes_Odoo'!P2487)</f>
        <v/>
      </c>
      <c r="Q2487" s="79">
        <f>IF(A2487="","",IFERROR(INDEX(Facturas_Odoo!$B:$B, MATCH(A2487, Facturas_Odoo!$D:$D, 0)), "Sin Factura"))</f>
        <v/>
      </c>
      <c r="R2487" s="80">
        <f>IF(Q2487="Sin Factura","",IFERROR(INDEX(Facturas_Odoo!$A:$A, MATCH(Q2487, Facturas_Odoo!$B:$B, 0)), ""))</f>
        <v/>
      </c>
      <c r="S2487" s="79">
        <f>IF(Q2487="Sin Factura","",IFERROR(_xlfn.XLOOKUP(1, (Facturas_Odoo!$D:$D=A2487) * (Facturas_Odoo!$K:$K=I2487), Facturas_Odoo!$L:$L, ""), ""))</f>
        <v/>
      </c>
      <c r="T2487" s="81">
        <f>IF(Q2487="Sin Factura",0,IFERROR(_xlfn.XLOOKUP(1, (Facturas_Odoo!$D:$D=A2487) * (Facturas_Odoo!$K:$K=I2487), Facturas_Odoo!$M:$M, 0), 0))</f>
        <v/>
      </c>
      <c r="U2487" s="79">
        <f>IF(Q2487="Sin Factura",0,IFERROR(_xlfn.XLOOKUP(1, (Facturas_Odoo!$D:$D=A2487) * (Facturas_Odoo!$K:$K=I2487), Facturas_Odoo!$N:$N, 0), 0))</f>
        <v/>
      </c>
      <c r="V2487" s="79">
        <f>IF(Q2487="Sin Factura",0,IFERROR(_xlfn.XLOOKUP(1, (Facturas_Odoo!$D:$D=A2487) * (Facturas_Odoo!$K:$K=I2487), Facturas_Odoo!$O:$O, 0), 0))</f>
        <v/>
      </c>
      <c r="W2487" s="81">
        <f>IF(Q2487="Sin Factura",0,IFERROR(_xlfn.XLOOKUP(1, (Facturas_Odoo!$D:$D=A2487) * (Facturas_Odoo!$K:$K=I2487), Facturas_Odoo!$Q:$Q, 0), 0))</f>
        <v/>
      </c>
      <c r="X2487" s="79">
        <f>IF(OR(Q2487="Sin Factura",Q2487=""),"",IFERROR(INDEX(Pagos_Odoo!$B:$B, MATCH(Q2487, Pagos_Odoo!$I:$I, 0)), "Sin Pago"))</f>
        <v/>
      </c>
      <c r="Y2487" s="79">
        <f>IF(X2487="Sin Pago","",IFERROR(INDEX(Pagos_Odoo!$C:$C, MATCH(X2487, Pagos_Odoo!$B:$B, 0)), ""))</f>
        <v/>
      </c>
      <c r="Z2487" s="80">
        <f>IF(X2487="Sin Pago","",IFERROR(INDEX(Pagos_Odoo!$A:$A, MATCH(X2487, Pagos_Odoo!$B:$B, 0)), ""))</f>
        <v/>
      </c>
      <c r="AA2487" s="79">
        <f>IF(X2487="Sin Pago","",IFERROR(INDEX(Pagos_Odoo!$F:$F, MATCH(X2487, Pagos_Odoo!$B:$B, 0)), ""))</f>
        <v/>
      </c>
      <c r="AB2487" s="81">
        <f>IF(X2487="Sin Pago",0,IFERROR(INDEX(Pagos_Odoo!$E:$E, MATCH(X2487, Pagos_Odoo!$B:$B, 0)), 0))</f>
        <v/>
      </c>
      <c r="AC2487" s="79">
        <f>IF(X2487="Sin Pago","",IFERROR(INDEX(Pagos_Odoo!$G:$G, MATCH(X2487, Pagos_Odoo!$B:$B, 0)), ""))</f>
        <v/>
      </c>
      <c r="AD2487" s="82" t="n">
        <v>0</v>
      </c>
      <c r="AE2487" s="82" t="n"/>
      <c r="AF2487" s="82" t="n"/>
      <c r="AG2487" s="82">
        <f>IF(AN2487="","",AD2487+AE2487+AF2487)</f>
        <v/>
      </c>
      <c r="AH2487" s="81">
        <f>IF(AN2487="","",P2487*(1-AG2487))</f>
        <v/>
      </c>
      <c r="AI2487" s="81">
        <f>IF(AN2487="","",IF(Q2487="Sin Factura",0,IFERROR(INDEX(Facturas_Odoo!$H:$H, MATCH(Q2487, Facturas_Odoo!$B:$B, 0)), 0)*(1-AG2487)))</f>
        <v/>
      </c>
      <c r="AJ2487" s="81">
        <f>IF(AN2487="","",_xlfn.LET(idVenta, AN2487&amp;"",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87" s="81">
        <f>IF(AN2487="","",AH2487-AJ2487)</f>
        <v/>
      </c>
      <c r="AL2487" s="81">
        <f>IF(AN2487="","",IF(Q2487="Sin Factura","",AI2487-AJ2487))</f>
        <v/>
      </c>
      <c r="AM2487" s="81">
        <f>IF(AN2487="","",IF(Q2487="Sin Factura",0,P2487-IFERROR(INDEX(Facturas_Odoo!$H:$H, MATCH(Q2487, Facturas_Odoo!$B:$B, 0)), 0)))</f>
        <v/>
      </c>
      <c r="AN2487" s="79">
        <f>IF(AND(A2487="", J2487=""), "", IF(A2487&lt;&gt;"", VALUE(MID(A2487,2,LEN(A2487))), AN2486))</f>
        <v/>
      </c>
      <c r="AO2487" s="79">
        <f>IF(AN2487="","",IF(AD2487=0,"OK",_xlfn.LET(monedaPago, IF(AA2487="","USD",AA2487), limitePermitido, IFERROR(VLOOKUP(monedaPago, Configuración!$A$2:$B$3, 2, FALSE), 0.15), IF(AD2487&gt;limitePermitido, "ALERTA: EXCESO (" &amp; TEXT(limitePermitido, "0%") &amp; " máx)", "OK"))))</f>
        <v/>
      </c>
      <c r="AP2487" s="79">
        <f>IF(AN2487="","",IF(AE2487=0,"OK",_xlfn.LET(fechaPago, Z2487, fechaFactura, R2487, diasCredito, IF(E2487="Pago inmediato", 0, IFERROR(VALUE(MID(E2487, 1, SEARCH(" ", E2487)-1)),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87" s="79">
        <f>IF(AN2487="","",IF(AND(N2487&gt;0, AG2487&gt;0), IF(Configuración!$K$2="NO", "ALERTA: DESCUENTO DOBLE NO PERMITIDO", "OK"), "OK"))</f>
        <v/>
      </c>
      <c r="AR2487" s="79">
        <f>IF(AN2487="","",IF(OR(AO2487&lt;&gt;"OK", AP2487&lt;&gt;"OK", AQ2487&lt;&gt;"OK"), "⚠️ REVISAR", "OK"))</f>
        <v/>
      </c>
    </row>
    <row r="2488">
      <c r="A2488" s="79">
        <f>IF('Ordenes_Odoo'!A2488="","",'Ordenes_Odoo'!A2488)</f>
        <v/>
      </c>
      <c r="B2488" s="80">
        <f>IF('Ordenes_Odoo'!B2488="","",'Ordenes_Odoo'!B2488)</f>
        <v/>
      </c>
      <c r="C2488" s="79">
        <f>IF('Ordenes_Odoo'!C2488="","",'Ordenes_Odoo'!C2488)</f>
        <v/>
      </c>
      <c r="D2488" s="79">
        <f>IF('Ordenes_Odoo'!D2488="","",'Ordenes_Odoo'!D2488)</f>
        <v/>
      </c>
      <c r="E2488" s="79">
        <f>IF('Ordenes_Odoo'!E2488="","",'Ordenes_Odoo'!E2488)</f>
        <v/>
      </c>
      <c r="F2488" s="79">
        <f>IF('Ordenes_Odoo'!F2488="","",'Ordenes_Odoo'!F2488)</f>
        <v/>
      </c>
      <c r="G2488" s="79">
        <f>IF('Ordenes_Odoo'!G2488="","",'Ordenes_Odoo'!G2488)</f>
        <v/>
      </c>
      <c r="H2488" s="79">
        <f>IF('Ordenes_Odoo'!H2488="","",'Ordenes_Odoo'!H2488)</f>
        <v/>
      </c>
      <c r="I2488" s="79">
        <f>IF('Ordenes_Odoo'!I2488="","",'Ordenes_Odoo'!I2488)</f>
        <v/>
      </c>
      <c r="J2488" s="79">
        <f>IF('Ordenes_Odoo'!J2488="","",'Ordenes_Odoo'!J2488)</f>
        <v/>
      </c>
      <c r="K2488" s="81">
        <f>IF('Ordenes_Odoo'!K2488="","",'Ordenes_Odoo'!K2488)</f>
        <v/>
      </c>
      <c r="L2488" s="81">
        <f>IF('Ordenes_Odoo'!L2488="","",'Ordenes_Odoo'!L2488)</f>
        <v/>
      </c>
      <c r="M2488" s="79">
        <f>IF('Ordenes_Odoo'!M2488="","",'Ordenes_Odoo'!M2488)</f>
        <v/>
      </c>
      <c r="N2488" s="79">
        <f>IF('Ordenes_Odoo'!N2488="","",'Ordenes_Odoo'!N2488)</f>
        <v/>
      </c>
      <c r="O2488" s="81">
        <f>IF('Ordenes_Odoo'!O2488="","",'Ordenes_Odoo'!O2488)</f>
        <v/>
      </c>
      <c r="P2488" s="81">
        <f>IF('Ordenes_Odoo'!P2488="","",'Ordenes_Odoo'!P2488)</f>
        <v/>
      </c>
      <c r="Q2488" s="79">
        <f>IF(A2488="","",IFERROR(INDEX(Facturas_Odoo!$B:$B, MATCH(A2488, Facturas_Odoo!$D:$D, 0)), "Sin Factura"))</f>
        <v/>
      </c>
      <c r="R2488" s="80">
        <f>IF(Q2488="Sin Factura","",IFERROR(INDEX(Facturas_Odoo!$A:$A, MATCH(Q2488, Facturas_Odoo!$B:$B, 0)), ""))</f>
        <v/>
      </c>
      <c r="S2488" s="79">
        <f>IF(Q2488="Sin Factura","",IFERROR(_xlfn.XLOOKUP(1, (Facturas_Odoo!$D:$D=A2488) * (Facturas_Odoo!$K:$K=I2488), Facturas_Odoo!$L:$L, ""), ""))</f>
        <v/>
      </c>
      <c r="T2488" s="81">
        <f>IF(Q2488="Sin Factura",0,IFERROR(_xlfn.XLOOKUP(1, (Facturas_Odoo!$D:$D=A2488) * (Facturas_Odoo!$K:$K=I2488), Facturas_Odoo!$M:$M, 0), 0))</f>
        <v/>
      </c>
      <c r="U2488" s="79">
        <f>IF(Q2488="Sin Factura",0,IFERROR(_xlfn.XLOOKUP(1, (Facturas_Odoo!$D:$D=A2488) * (Facturas_Odoo!$K:$K=I2488), Facturas_Odoo!$N:$N, 0), 0))</f>
        <v/>
      </c>
      <c r="V2488" s="79">
        <f>IF(Q2488="Sin Factura",0,IFERROR(_xlfn.XLOOKUP(1, (Facturas_Odoo!$D:$D=A2488) * (Facturas_Odoo!$K:$K=I2488), Facturas_Odoo!$O:$O, 0), 0))</f>
        <v/>
      </c>
      <c r="W2488" s="81">
        <f>IF(Q2488="Sin Factura",0,IFERROR(_xlfn.XLOOKUP(1, (Facturas_Odoo!$D:$D=A2488) * (Facturas_Odoo!$K:$K=I2488), Facturas_Odoo!$Q:$Q, 0), 0))</f>
        <v/>
      </c>
      <c r="X2488" s="79">
        <f>IF(OR(Q2488="Sin Factura",Q2488=""),"",IFERROR(INDEX(Pagos_Odoo!$B:$B, MATCH(Q2488, Pagos_Odoo!$I:$I, 0)), "Sin Pago"))</f>
        <v/>
      </c>
      <c r="Y2488" s="79">
        <f>IF(X2488="Sin Pago","",IFERROR(INDEX(Pagos_Odoo!$C:$C, MATCH(X2488, Pagos_Odoo!$B:$B, 0)), ""))</f>
        <v/>
      </c>
      <c r="Z2488" s="80">
        <f>IF(X2488="Sin Pago","",IFERROR(INDEX(Pagos_Odoo!$A:$A, MATCH(X2488, Pagos_Odoo!$B:$B, 0)), ""))</f>
        <v/>
      </c>
      <c r="AA2488" s="79">
        <f>IF(X2488="Sin Pago","",IFERROR(INDEX(Pagos_Odoo!$F:$F, MATCH(X2488, Pagos_Odoo!$B:$B, 0)), ""))</f>
        <v/>
      </c>
      <c r="AB2488" s="81">
        <f>IF(X2488="Sin Pago",0,IFERROR(INDEX(Pagos_Odoo!$E:$E, MATCH(X2488, Pagos_Odoo!$B:$B, 0)), 0))</f>
        <v/>
      </c>
      <c r="AC2488" s="79">
        <f>IF(X2488="Sin Pago","",IFERROR(INDEX(Pagos_Odoo!$G:$G, MATCH(X2488, Pagos_Odoo!$B:$B, 0)), ""))</f>
        <v/>
      </c>
      <c r="AD2488" s="82" t="n">
        <v>0</v>
      </c>
      <c r="AE2488" s="82" t="n"/>
      <c r="AF2488" s="82" t="n"/>
      <c r="AG2488" s="82">
        <f>IF(AN2488="","",AD2488+AE2488+AF2488)</f>
        <v/>
      </c>
      <c r="AH2488" s="81">
        <f>IF(AN2488="","",P2488*(1-AG2488))</f>
        <v/>
      </c>
      <c r="AI2488" s="81">
        <f>IF(AN2488="","",IF(Q2488="Sin Factura",0,IFERROR(INDEX(Facturas_Odoo!$H:$H, MATCH(Q2488, Facturas_Odoo!$B:$B, 0)), 0)*(1-AG2488)))</f>
        <v/>
      </c>
      <c r="AJ2488" s="81">
        <f>IF(AN2488="","",_xlfn.LET(idVenta, AN2488&amp;"",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88" s="81">
        <f>IF(AN2488="","",AH2488-AJ2488)</f>
        <v/>
      </c>
      <c r="AL2488" s="81">
        <f>IF(AN2488="","",IF(Q2488="Sin Factura","",AI2488-AJ2488))</f>
        <v/>
      </c>
      <c r="AM2488" s="81">
        <f>IF(AN2488="","",IF(Q2488="Sin Factura",0,P2488-IFERROR(INDEX(Facturas_Odoo!$H:$H, MATCH(Q2488, Facturas_Odoo!$B:$B, 0)), 0)))</f>
        <v/>
      </c>
      <c r="AN2488" s="79">
        <f>IF(AND(A2488="", J2488=""), "", IF(A2488&lt;&gt;"", VALUE(MID(A2488,2,LEN(A2488))), AN2487))</f>
        <v/>
      </c>
      <c r="AO2488" s="79">
        <f>IF(AN2488="","",IF(AD2488=0,"OK",_xlfn.LET(monedaPago, IF(AA2488="","USD",AA2488), limitePermitido, IFERROR(VLOOKUP(monedaPago, Configuración!$A$2:$B$3, 2, FALSE), 0.15), IF(AD2488&gt;limitePermitido, "ALERTA: EXCESO (" &amp; TEXT(limitePermitido, "0%") &amp; " máx)", "OK"))))</f>
        <v/>
      </c>
      <c r="AP2488" s="79">
        <f>IF(AN2488="","",IF(AE2488=0,"OK",_xlfn.LET(fechaPago, Z2488, fechaFactura, R2488, diasCredito, IF(E2488="Pago inmediato", 0, IFERROR(VALUE(MID(E2488, 1, SEARCH(" ", E2488)-1)),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88" s="79">
        <f>IF(AN2488="","",IF(AND(N2488&gt;0, AG2488&gt;0), IF(Configuración!$K$2="NO", "ALERTA: DESCUENTO DOBLE NO PERMITIDO", "OK"), "OK"))</f>
        <v/>
      </c>
      <c r="AR2488" s="79">
        <f>IF(AN2488="","",IF(OR(AO2488&lt;&gt;"OK", AP2488&lt;&gt;"OK", AQ2488&lt;&gt;"OK"), "⚠️ REVISAR", "OK"))</f>
        <v/>
      </c>
    </row>
    <row r="2489">
      <c r="A2489" s="79">
        <f>IF('Ordenes_Odoo'!A2489="","",'Ordenes_Odoo'!A2489)</f>
        <v/>
      </c>
      <c r="B2489" s="80">
        <f>IF('Ordenes_Odoo'!B2489="","",'Ordenes_Odoo'!B2489)</f>
        <v/>
      </c>
      <c r="C2489" s="79">
        <f>IF('Ordenes_Odoo'!C2489="","",'Ordenes_Odoo'!C2489)</f>
        <v/>
      </c>
      <c r="D2489" s="79">
        <f>IF('Ordenes_Odoo'!D2489="","",'Ordenes_Odoo'!D2489)</f>
        <v/>
      </c>
      <c r="E2489" s="79">
        <f>IF('Ordenes_Odoo'!E2489="","",'Ordenes_Odoo'!E2489)</f>
        <v/>
      </c>
      <c r="F2489" s="79">
        <f>IF('Ordenes_Odoo'!F2489="","",'Ordenes_Odoo'!F2489)</f>
        <v/>
      </c>
      <c r="G2489" s="79">
        <f>IF('Ordenes_Odoo'!G2489="","",'Ordenes_Odoo'!G2489)</f>
        <v/>
      </c>
      <c r="H2489" s="79">
        <f>IF('Ordenes_Odoo'!H2489="","",'Ordenes_Odoo'!H2489)</f>
        <v/>
      </c>
      <c r="I2489" s="79">
        <f>IF('Ordenes_Odoo'!I2489="","",'Ordenes_Odoo'!I2489)</f>
        <v/>
      </c>
      <c r="J2489" s="79">
        <f>IF('Ordenes_Odoo'!J2489="","",'Ordenes_Odoo'!J2489)</f>
        <v/>
      </c>
      <c r="K2489" s="81">
        <f>IF('Ordenes_Odoo'!K2489="","",'Ordenes_Odoo'!K2489)</f>
        <v/>
      </c>
      <c r="L2489" s="81">
        <f>IF('Ordenes_Odoo'!L2489="","",'Ordenes_Odoo'!L2489)</f>
        <v/>
      </c>
      <c r="M2489" s="79">
        <f>IF('Ordenes_Odoo'!M2489="","",'Ordenes_Odoo'!M2489)</f>
        <v/>
      </c>
      <c r="N2489" s="79">
        <f>IF('Ordenes_Odoo'!N2489="","",'Ordenes_Odoo'!N2489)</f>
        <v/>
      </c>
      <c r="O2489" s="81">
        <f>IF('Ordenes_Odoo'!O2489="","",'Ordenes_Odoo'!O2489)</f>
        <v/>
      </c>
      <c r="P2489" s="81">
        <f>IF('Ordenes_Odoo'!P2489="","",'Ordenes_Odoo'!P2489)</f>
        <v/>
      </c>
      <c r="Q2489" s="79">
        <f>IF(A2489="","",IFERROR(INDEX(Facturas_Odoo!$B:$B, MATCH(A2489, Facturas_Odoo!$D:$D, 0)), "Sin Factura"))</f>
        <v/>
      </c>
      <c r="R2489" s="80">
        <f>IF(Q2489="Sin Factura","",IFERROR(INDEX(Facturas_Odoo!$A:$A, MATCH(Q2489, Facturas_Odoo!$B:$B, 0)), ""))</f>
        <v/>
      </c>
      <c r="S2489" s="79">
        <f>IF(Q2489="Sin Factura","",IFERROR(_xlfn.XLOOKUP(1, (Facturas_Odoo!$D:$D=A2489) * (Facturas_Odoo!$K:$K=I2489), Facturas_Odoo!$L:$L, ""), ""))</f>
        <v/>
      </c>
      <c r="T2489" s="81">
        <f>IF(Q2489="Sin Factura",0,IFERROR(_xlfn.XLOOKUP(1, (Facturas_Odoo!$D:$D=A2489) * (Facturas_Odoo!$K:$K=I2489), Facturas_Odoo!$M:$M, 0), 0))</f>
        <v/>
      </c>
      <c r="U2489" s="79">
        <f>IF(Q2489="Sin Factura",0,IFERROR(_xlfn.XLOOKUP(1, (Facturas_Odoo!$D:$D=A2489) * (Facturas_Odoo!$K:$K=I2489), Facturas_Odoo!$N:$N, 0), 0))</f>
        <v/>
      </c>
      <c r="V2489" s="79">
        <f>IF(Q2489="Sin Factura",0,IFERROR(_xlfn.XLOOKUP(1, (Facturas_Odoo!$D:$D=A2489) * (Facturas_Odoo!$K:$K=I2489), Facturas_Odoo!$O:$O, 0), 0))</f>
        <v/>
      </c>
      <c r="W2489" s="81">
        <f>IF(Q2489="Sin Factura",0,IFERROR(_xlfn.XLOOKUP(1, (Facturas_Odoo!$D:$D=A2489) * (Facturas_Odoo!$K:$K=I2489), Facturas_Odoo!$Q:$Q, 0), 0))</f>
        <v/>
      </c>
      <c r="X2489" s="79">
        <f>IF(OR(Q2489="Sin Factura",Q2489=""),"",IFERROR(INDEX(Pagos_Odoo!$B:$B, MATCH(Q2489, Pagos_Odoo!$I:$I, 0)), "Sin Pago"))</f>
        <v/>
      </c>
      <c r="Y2489" s="79">
        <f>IF(X2489="Sin Pago","",IFERROR(INDEX(Pagos_Odoo!$C:$C, MATCH(X2489, Pagos_Odoo!$B:$B, 0)), ""))</f>
        <v/>
      </c>
      <c r="Z2489" s="80">
        <f>IF(X2489="Sin Pago","",IFERROR(INDEX(Pagos_Odoo!$A:$A, MATCH(X2489, Pagos_Odoo!$B:$B, 0)), ""))</f>
        <v/>
      </c>
      <c r="AA2489" s="79">
        <f>IF(X2489="Sin Pago","",IFERROR(INDEX(Pagos_Odoo!$F:$F, MATCH(X2489, Pagos_Odoo!$B:$B, 0)), ""))</f>
        <v/>
      </c>
      <c r="AB2489" s="81">
        <f>IF(X2489="Sin Pago",0,IFERROR(INDEX(Pagos_Odoo!$E:$E, MATCH(X2489, Pagos_Odoo!$B:$B, 0)), 0))</f>
        <v/>
      </c>
      <c r="AC2489" s="79">
        <f>IF(X2489="Sin Pago","",IFERROR(INDEX(Pagos_Odoo!$G:$G, MATCH(X2489, Pagos_Odoo!$B:$B, 0)), ""))</f>
        <v/>
      </c>
      <c r="AD2489" s="82" t="n">
        <v>0</v>
      </c>
      <c r="AE2489" s="82" t="n"/>
      <c r="AF2489" s="82" t="n"/>
      <c r="AG2489" s="82">
        <f>IF(AN2489="","",AD2489+AE2489+AF2489)</f>
        <v/>
      </c>
      <c r="AH2489" s="81">
        <f>IF(AN2489="","",P2489*(1-AG2489))</f>
        <v/>
      </c>
      <c r="AI2489" s="81">
        <f>IF(AN2489="","",IF(Q2489="Sin Factura",0,IFERROR(INDEX(Facturas_Odoo!$H:$H, MATCH(Q2489, Facturas_Odoo!$B:$B, 0)), 0)*(1-AG2489)))</f>
        <v/>
      </c>
      <c r="AJ2489" s="81">
        <f>IF(AN2489="","",_xlfn.LET(idVenta, AN2489&amp;"",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89" s="81">
        <f>IF(AN2489="","",AH2489-AJ2489)</f>
        <v/>
      </c>
      <c r="AL2489" s="81">
        <f>IF(AN2489="","",IF(Q2489="Sin Factura","",AI2489-AJ2489))</f>
        <v/>
      </c>
      <c r="AM2489" s="81">
        <f>IF(AN2489="","",IF(Q2489="Sin Factura",0,P2489-IFERROR(INDEX(Facturas_Odoo!$H:$H, MATCH(Q2489, Facturas_Odoo!$B:$B, 0)), 0)))</f>
        <v/>
      </c>
      <c r="AN2489" s="79">
        <f>IF(AND(A2489="", J2489=""), "", IF(A2489&lt;&gt;"", VALUE(MID(A2489,2,LEN(A2489))), AN2488))</f>
        <v/>
      </c>
      <c r="AO2489" s="79">
        <f>IF(AN2489="","",IF(AD2489=0,"OK",_xlfn.LET(monedaPago, IF(AA2489="","USD",AA2489), limitePermitido, IFERROR(VLOOKUP(monedaPago, Configuración!$A$2:$B$3, 2, FALSE), 0.15), IF(AD2489&gt;limitePermitido, "ALERTA: EXCESO (" &amp; TEXT(limitePermitido, "0%") &amp; " máx)", "OK"))))</f>
        <v/>
      </c>
      <c r="AP2489" s="79">
        <f>IF(AN2489="","",IF(AE2489=0,"OK",_xlfn.LET(fechaPago, Z2489, fechaFactura, R2489, diasCredito, IF(E2489="Pago inmediato", 0, IFERROR(VALUE(MID(E2489, 1, SEARCH(" ", E2489)-1)),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89" s="79">
        <f>IF(AN2489="","",IF(AND(N2489&gt;0, AG2489&gt;0), IF(Configuración!$K$2="NO", "ALERTA: DESCUENTO DOBLE NO PERMITIDO", "OK"), "OK"))</f>
        <v/>
      </c>
      <c r="AR2489" s="79">
        <f>IF(AN2489="","",IF(OR(AO2489&lt;&gt;"OK", AP2489&lt;&gt;"OK", AQ2489&lt;&gt;"OK"), "⚠️ REVISAR", "OK"))</f>
        <v/>
      </c>
    </row>
    <row r="2490">
      <c r="A2490" s="79">
        <f>IF('Ordenes_Odoo'!A2490="","",'Ordenes_Odoo'!A2490)</f>
        <v/>
      </c>
      <c r="B2490" s="80">
        <f>IF('Ordenes_Odoo'!B2490="","",'Ordenes_Odoo'!B2490)</f>
        <v/>
      </c>
      <c r="C2490" s="79">
        <f>IF('Ordenes_Odoo'!C2490="","",'Ordenes_Odoo'!C2490)</f>
        <v/>
      </c>
      <c r="D2490" s="79">
        <f>IF('Ordenes_Odoo'!D2490="","",'Ordenes_Odoo'!D2490)</f>
        <v/>
      </c>
      <c r="E2490" s="79">
        <f>IF('Ordenes_Odoo'!E2490="","",'Ordenes_Odoo'!E2490)</f>
        <v/>
      </c>
      <c r="F2490" s="79">
        <f>IF('Ordenes_Odoo'!F2490="","",'Ordenes_Odoo'!F2490)</f>
        <v/>
      </c>
      <c r="G2490" s="79">
        <f>IF('Ordenes_Odoo'!G2490="","",'Ordenes_Odoo'!G2490)</f>
        <v/>
      </c>
      <c r="H2490" s="79">
        <f>IF('Ordenes_Odoo'!H2490="","",'Ordenes_Odoo'!H2490)</f>
        <v/>
      </c>
      <c r="I2490" s="79">
        <f>IF('Ordenes_Odoo'!I2490="","",'Ordenes_Odoo'!I2490)</f>
        <v/>
      </c>
      <c r="J2490" s="79">
        <f>IF('Ordenes_Odoo'!J2490="","",'Ordenes_Odoo'!J2490)</f>
        <v/>
      </c>
      <c r="K2490" s="81">
        <f>IF('Ordenes_Odoo'!K2490="","",'Ordenes_Odoo'!K2490)</f>
        <v/>
      </c>
      <c r="L2490" s="81">
        <f>IF('Ordenes_Odoo'!L2490="","",'Ordenes_Odoo'!L2490)</f>
        <v/>
      </c>
      <c r="M2490" s="79">
        <f>IF('Ordenes_Odoo'!M2490="","",'Ordenes_Odoo'!M2490)</f>
        <v/>
      </c>
      <c r="N2490" s="79">
        <f>IF('Ordenes_Odoo'!N2490="","",'Ordenes_Odoo'!N2490)</f>
        <v/>
      </c>
      <c r="O2490" s="81">
        <f>IF('Ordenes_Odoo'!O2490="","",'Ordenes_Odoo'!O2490)</f>
        <v/>
      </c>
      <c r="P2490" s="81">
        <f>IF('Ordenes_Odoo'!P2490="","",'Ordenes_Odoo'!P2490)</f>
        <v/>
      </c>
      <c r="Q2490" s="79">
        <f>IF(A2490="","",IFERROR(INDEX(Facturas_Odoo!$B:$B, MATCH(A2490, Facturas_Odoo!$D:$D, 0)), "Sin Factura"))</f>
        <v/>
      </c>
      <c r="R2490" s="80">
        <f>IF(Q2490="Sin Factura","",IFERROR(INDEX(Facturas_Odoo!$A:$A, MATCH(Q2490, Facturas_Odoo!$B:$B, 0)), ""))</f>
        <v/>
      </c>
      <c r="S2490" s="79">
        <f>IF(Q2490="Sin Factura","",IFERROR(_xlfn.XLOOKUP(1, (Facturas_Odoo!$D:$D=A2490) * (Facturas_Odoo!$K:$K=I2490), Facturas_Odoo!$L:$L, ""), ""))</f>
        <v/>
      </c>
      <c r="T2490" s="81">
        <f>IF(Q2490="Sin Factura",0,IFERROR(_xlfn.XLOOKUP(1, (Facturas_Odoo!$D:$D=A2490) * (Facturas_Odoo!$K:$K=I2490), Facturas_Odoo!$M:$M, 0), 0))</f>
        <v/>
      </c>
      <c r="U2490" s="79">
        <f>IF(Q2490="Sin Factura",0,IFERROR(_xlfn.XLOOKUP(1, (Facturas_Odoo!$D:$D=A2490) * (Facturas_Odoo!$K:$K=I2490), Facturas_Odoo!$N:$N, 0), 0))</f>
        <v/>
      </c>
      <c r="V2490" s="79">
        <f>IF(Q2490="Sin Factura",0,IFERROR(_xlfn.XLOOKUP(1, (Facturas_Odoo!$D:$D=A2490) * (Facturas_Odoo!$K:$K=I2490), Facturas_Odoo!$O:$O, 0), 0))</f>
        <v/>
      </c>
      <c r="W2490" s="81">
        <f>IF(Q2490="Sin Factura",0,IFERROR(_xlfn.XLOOKUP(1, (Facturas_Odoo!$D:$D=A2490) * (Facturas_Odoo!$K:$K=I2490), Facturas_Odoo!$Q:$Q, 0), 0))</f>
        <v/>
      </c>
      <c r="X2490" s="79">
        <f>IF(OR(Q2490="Sin Factura",Q2490=""),"",IFERROR(INDEX(Pagos_Odoo!$B:$B, MATCH(Q2490, Pagos_Odoo!$I:$I, 0)), "Sin Pago"))</f>
        <v/>
      </c>
      <c r="Y2490" s="79">
        <f>IF(X2490="Sin Pago","",IFERROR(INDEX(Pagos_Odoo!$C:$C, MATCH(X2490, Pagos_Odoo!$B:$B, 0)), ""))</f>
        <v/>
      </c>
      <c r="Z2490" s="80">
        <f>IF(X2490="Sin Pago","",IFERROR(INDEX(Pagos_Odoo!$A:$A, MATCH(X2490, Pagos_Odoo!$B:$B, 0)), ""))</f>
        <v/>
      </c>
      <c r="AA2490" s="79">
        <f>IF(X2490="Sin Pago","",IFERROR(INDEX(Pagos_Odoo!$F:$F, MATCH(X2490, Pagos_Odoo!$B:$B, 0)), ""))</f>
        <v/>
      </c>
      <c r="AB2490" s="81">
        <f>IF(X2490="Sin Pago",0,IFERROR(INDEX(Pagos_Odoo!$E:$E, MATCH(X2490, Pagos_Odoo!$B:$B, 0)), 0))</f>
        <v/>
      </c>
      <c r="AC2490" s="79">
        <f>IF(X2490="Sin Pago","",IFERROR(INDEX(Pagos_Odoo!$G:$G, MATCH(X2490, Pagos_Odoo!$B:$B, 0)), ""))</f>
        <v/>
      </c>
      <c r="AD2490" s="82" t="n">
        <v>0</v>
      </c>
      <c r="AE2490" s="82" t="n"/>
      <c r="AF2490" s="82" t="n"/>
      <c r="AG2490" s="82">
        <f>IF(AN2490="","",AD2490+AE2490+AF2490)</f>
        <v/>
      </c>
      <c r="AH2490" s="81">
        <f>IF(AN2490="","",P2490*(1-AG2490))</f>
        <v/>
      </c>
      <c r="AI2490" s="81">
        <f>IF(AN2490="","",IF(Q2490="Sin Factura",0,IFERROR(INDEX(Facturas_Odoo!$H:$H, MATCH(Q2490, Facturas_Odoo!$B:$B, 0)), 0)*(1-AG2490)))</f>
        <v/>
      </c>
      <c r="AJ2490" s="81">
        <f>IF(AN2490="","",_xlfn.LET(idVenta, AN2490&amp;"",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90" s="81">
        <f>IF(AN2490="","",AH2490-AJ2490)</f>
        <v/>
      </c>
      <c r="AL2490" s="81">
        <f>IF(AN2490="","",IF(Q2490="Sin Factura","",AI2490-AJ2490))</f>
        <v/>
      </c>
      <c r="AM2490" s="81">
        <f>IF(AN2490="","",IF(Q2490="Sin Factura",0,P2490-IFERROR(INDEX(Facturas_Odoo!$H:$H, MATCH(Q2490, Facturas_Odoo!$B:$B, 0)), 0)))</f>
        <v/>
      </c>
      <c r="AN2490" s="79">
        <f>IF(AND(A2490="", J2490=""), "", IF(A2490&lt;&gt;"", VALUE(MID(A2490,2,LEN(A2490))), AN2489))</f>
        <v/>
      </c>
      <c r="AO2490" s="79">
        <f>IF(AN2490="","",IF(AD2490=0,"OK",_xlfn.LET(monedaPago, IF(AA2490="","USD",AA2490), limitePermitido, IFERROR(VLOOKUP(monedaPago, Configuración!$A$2:$B$3, 2, FALSE), 0.15), IF(AD2490&gt;limitePermitido, "ALERTA: EXCESO (" &amp; TEXT(limitePermitido, "0%") &amp; " máx)", "OK"))))</f>
        <v/>
      </c>
      <c r="AP2490" s="79">
        <f>IF(AN2490="","",IF(AE2490=0,"OK",_xlfn.LET(fechaPago, Z2490, fechaFactura, R2490, diasCredito, IF(E2490="Pago inmediato", 0, IFERROR(VALUE(MID(E2490, 1, SEARCH(" ", E2490)-1)),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90" s="79">
        <f>IF(AN2490="","",IF(AND(N2490&gt;0, AG2490&gt;0), IF(Configuración!$K$2="NO", "ALERTA: DESCUENTO DOBLE NO PERMITIDO", "OK"), "OK"))</f>
        <v/>
      </c>
      <c r="AR2490" s="79">
        <f>IF(AN2490="","",IF(OR(AO2490&lt;&gt;"OK", AP2490&lt;&gt;"OK", AQ2490&lt;&gt;"OK"), "⚠️ REVISAR", "OK"))</f>
        <v/>
      </c>
    </row>
    <row r="2491">
      <c r="A2491" s="79">
        <f>IF('Ordenes_Odoo'!A2491="","",'Ordenes_Odoo'!A2491)</f>
        <v/>
      </c>
      <c r="B2491" s="80">
        <f>IF('Ordenes_Odoo'!B2491="","",'Ordenes_Odoo'!B2491)</f>
        <v/>
      </c>
      <c r="C2491" s="79">
        <f>IF('Ordenes_Odoo'!C2491="","",'Ordenes_Odoo'!C2491)</f>
        <v/>
      </c>
      <c r="D2491" s="79">
        <f>IF('Ordenes_Odoo'!D2491="","",'Ordenes_Odoo'!D2491)</f>
        <v/>
      </c>
      <c r="E2491" s="79">
        <f>IF('Ordenes_Odoo'!E2491="","",'Ordenes_Odoo'!E2491)</f>
        <v/>
      </c>
      <c r="F2491" s="79">
        <f>IF('Ordenes_Odoo'!F2491="","",'Ordenes_Odoo'!F2491)</f>
        <v/>
      </c>
      <c r="G2491" s="79">
        <f>IF('Ordenes_Odoo'!G2491="","",'Ordenes_Odoo'!G2491)</f>
        <v/>
      </c>
      <c r="H2491" s="79">
        <f>IF('Ordenes_Odoo'!H2491="","",'Ordenes_Odoo'!H2491)</f>
        <v/>
      </c>
      <c r="I2491" s="79">
        <f>IF('Ordenes_Odoo'!I2491="","",'Ordenes_Odoo'!I2491)</f>
        <v/>
      </c>
      <c r="J2491" s="79">
        <f>IF('Ordenes_Odoo'!J2491="","",'Ordenes_Odoo'!J2491)</f>
        <v/>
      </c>
      <c r="K2491" s="81">
        <f>IF('Ordenes_Odoo'!K2491="","",'Ordenes_Odoo'!K2491)</f>
        <v/>
      </c>
      <c r="L2491" s="81">
        <f>IF('Ordenes_Odoo'!L2491="","",'Ordenes_Odoo'!L2491)</f>
        <v/>
      </c>
      <c r="M2491" s="79">
        <f>IF('Ordenes_Odoo'!M2491="","",'Ordenes_Odoo'!M2491)</f>
        <v/>
      </c>
      <c r="N2491" s="79">
        <f>IF('Ordenes_Odoo'!N2491="","",'Ordenes_Odoo'!N2491)</f>
        <v/>
      </c>
      <c r="O2491" s="81">
        <f>IF('Ordenes_Odoo'!O2491="","",'Ordenes_Odoo'!O2491)</f>
        <v/>
      </c>
      <c r="P2491" s="81">
        <f>IF('Ordenes_Odoo'!P2491="","",'Ordenes_Odoo'!P2491)</f>
        <v/>
      </c>
      <c r="Q2491" s="79">
        <f>IF(A2491="","",IFERROR(INDEX(Facturas_Odoo!$B:$B, MATCH(A2491, Facturas_Odoo!$D:$D, 0)), "Sin Factura"))</f>
        <v/>
      </c>
      <c r="R2491" s="80">
        <f>IF(Q2491="Sin Factura","",IFERROR(INDEX(Facturas_Odoo!$A:$A, MATCH(Q2491, Facturas_Odoo!$B:$B, 0)), ""))</f>
        <v/>
      </c>
      <c r="S2491" s="79">
        <f>IF(Q2491="Sin Factura","",IFERROR(_xlfn.XLOOKUP(1, (Facturas_Odoo!$D:$D=A2491) * (Facturas_Odoo!$K:$K=I2491), Facturas_Odoo!$L:$L, ""), ""))</f>
        <v/>
      </c>
      <c r="T2491" s="81">
        <f>IF(Q2491="Sin Factura",0,IFERROR(_xlfn.XLOOKUP(1, (Facturas_Odoo!$D:$D=A2491) * (Facturas_Odoo!$K:$K=I2491), Facturas_Odoo!$M:$M, 0), 0))</f>
        <v/>
      </c>
      <c r="U2491" s="79">
        <f>IF(Q2491="Sin Factura",0,IFERROR(_xlfn.XLOOKUP(1, (Facturas_Odoo!$D:$D=A2491) * (Facturas_Odoo!$K:$K=I2491), Facturas_Odoo!$N:$N, 0), 0))</f>
        <v/>
      </c>
      <c r="V2491" s="79">
        <f>IF(Q2491="Sin Factura",0,IFERROR(_xlfn.XLOOKUP(1, (Facturas_Odoo!$D:$D=A2491) * (Facturas_Odoo!$K:$K=I2491), Facturas_Odoo!$O:$O, 0), 0))</f>
        <v/>
      </c>
      <c r="W2491" s="81">
        <f>IF(Q2491="Sin Factura",0,IFERROR(_xlfn.XLOOKUP(1, (Facturas_Odoo!$D:$D=A2491) * (Facturas_Odoo!$K:$K=I2491), Facturas_Odoo!$Q:$Q, 0), 0))</f>
        <v/>
      </c>
      <c r="X2491" s="79">
        <f>IF(OR(Q2491="Sin Factura",Q2491=""),"",IFERROR(INDEX(Pagos_Odoo!$B:$B, MATCH(Q2491, Pagos_Odoo!$I:$I, 0)), "Sin Pago"))</f>
        <v/>
      </c>
      <c r="Y2491" s="79">
        <f>IF(X2491="Sin Pago","",IFERROR(INDEX(Pagos_Odoo!$C:$C, MATCH(X2491, Pagos_Odoo!$B:$B, 0)), ""))</f>
        <v/>
      </c>
      <c r="Z2491" s="80">
        <f>IF(X2491="Sin Pago","",IFERROR(INDEX(Pagos_Odoo!$A:$A, MATCH(X2491, Pagos_Odoo!$B:$B, 0)), ""))</f>
        <v/>
      </c>
      <c r="AA2491" s="79">
        <f>IF(X2491="Sin Pago","",IFERROR(INDEX(Pagos_Odoo!$F:$F, MATCH(X2491, Pagos_Odoo!$B:$B, 0)), ""))</f>
        <v/>
      </c>
      <c r="AB2491" s="81">
        <f>IF(X2491="Sin Pago",0,IFERROR(INDEX(Pagos_Odoo!$E:$E, MATCH(X2491, Pagos_Odoo!$B:$B, 0)), 0))</f>
        <v/>
      </c>
      <c r="AC2491" s="79">
        <f>IF(X2491="Sin Pago","",IFERROR(INDEX(Pagos_Odoo!$G:$G, MATCH(X2491, Pagos_Odoo!$B:$B, 0)), ""))</f>
        <v/>
      </c>
      <c r="AD2491" s="82" t="n">
        <v>0</v>
      </c>
      <c r="AE2491" s="82" t="n"/>
      <c r="AF2491" s="82" t="n"/>
      <c r="AG2491" s="82">
        <f>IF(AN2491="","",AD2491+AE2491+AF2491)</f>
        <v/>
      </c>
      <c r="AH2491" s="81">
        <f>IF(AN2491="","",P2491*(1-AG2491))</f>
        <v/>
      </c>
      <c r="AI2491" s="81">
        <f>IF(AN2491="","",IF(Q2491="Sin Factura",0,IFERROR(INDEX(Facturas_Odoo!$H:$H, MATCH(Q2491, Facturas_Odoo!$B:$B, 0)), 0)*(1-AG2491)))</f>
        <v/>
      </c>
      <c r="AJ2491" s="81">
        <f>IF(AN2491="","",_xlfn.LET(idVenta, AN2491&amp;"",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91" s="81">
        <f>IF(AN2491="","",AH2491-AJ2491)</f>
        <v/>
      </c>
      <c r="AL2491" s="81">
        <f>IF(AN2491="","",IF(Q2491="Sin Factura","",AI2491-AJ2491))</f>
        <v/>
      </c>
      <c r="AM2491" s="81">
        <f>IF(AN2491="","",IF(Q2491="Sin Factura",0,P2491-IFERROR(INDEX(Facturas_Odoo!$H:$H, MATCH(Q2491, Facturas_Odoo!$B:$B, 0)), 0)))</f>
        <v/>
      </c>
      <c r="AN2491" s="79">
        <f>IF(AND(A2491="", J2491=""), "", IF(A2491&lt;&gt;"", VALUE(MID(A2491,2,LEN(A2491))), AN2490))</f>
        <v/>
      </c>
      <c r="AO2491" s="79">
        <f>IF(AN2491="","",IF(AD2491=0,"OK",_xlfn.LET(monedaPago, IF(AA2491="","USD",AA2491), limitePermitido, IFERROR(VLOOKUP(monedaPago, Configuración!$A$2:$B$3, 2, FALSE), 0.15), IF(AD2491&gt;limitePermitido, "ALERTA: EXCESO (" &amp; TEXT(limitePermitido, "0%") &amp; " máx)", "OK"))))</f>
        <v/>
      </c>
      <c r="AP2491" s="79">
        <f>IF(AN2491="","",IF(AE2491=0,"OK",_xlfn.LET(fechaPago, Z2491, fechaFactura, R2491, diasCredito, IF(E2491="Pago inmediato", 0, IFERROR(VALUE(MID(E2491, 1, SEARCH(" ", E2491)-1)),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91" s="79">
        <f>IF(AN2491="","",IF(AND(N2491&gt;0, AG2491&gt;0), IF(Configuración!$K$2="NO", "ALERTA: DESCUENTO DOBLE NO PERMITIDO", "OK"), "OK"))</f>
        <v/>
      </c>
      <c r="AR2491" s="79">
        <f>IF(AN2491="","",IF(OR(AO2491&lt;&gt;"OK", AP2491&lt;&gt;"OK", AQ2491&lt;&gt;"OK"), "⚠️ REVISAR", "OK"))</f>
        <v/>
      </c>
    </row>
    <row r="2492">
      <c r="A2492" s="79">
        <f>IF('Ordenes_Odoo'!A2492="","",'Ordenes_Odoo'!A2492)</f>
        <v/>
      </c>
      <c r="B2492" s="80">
        <f>IF('Ordenes_Odoo'!B2492="","",'Ordenes_Odoo'!B2492)</f>
        <v/>
      </c>
      <c r="C2492" s="79">
        <f>IF('Ordenes_Odoo'!C2492="","",'Ordenes_Odoo'!C2492)</f>
        <v/>
      </c>
      <c r="D2492" s="79">
        <f>IF('Ordenes_Odoo'!D2492="","",'Ordenes_Odoo'!D2492)</f>
        <v/>
      </c>
      <c r="E2492" s="79">
        <f>IF('Ordenes_Odoo'!E2492="","",'Ordenes_Odoo'!E2492)</f>
        <v/>
      </c>
      <c r="F2492" s="79">
        <f>IF('Ordenes_Odoo'!F2492="","",'Ordenes_Odoo'!F2492)</f>
        <v/>
      </c>
      <c r="G2492" s="79">
        <f>IF('Ordenes_Odoo'!G2492="","",'Ordenes_Odoo'!G2492)</f>
        <v/>
      </c>
      <c r="H2492" s="79">
        <f>IF('Ordenes_Odoo'!H2492="","",'Ordenes_Odoo'!H2492)</f>
        <v/>
      </c>
      <c r="I2492" s="79">
        <f>IF('Ordenes_Odoo'!I2492="","",'Ordenes_Odoo'!I2492)</f>
        <v/>
      </c>
      <c r="J2492" s="79">
        <f>IF('Ordenes_Odoo'!J2492="","",'Ordenes_Odoo'!J2492)</f>
        <v/>
      </c>
      <c r="K2492" s="81">
        <f>IF('Ordenes_Odoo'!K2492="","",'Ordenes_Odoo'!K2492)</f>
        <v/>
      </c>
      <c r="L2492" s="81">
        <f>IF('Ordenes_Odoo'!L2492="","",'Ordenes_Odoo'!L2492)</f>
        <v/>
      </c>
      <c r="M2492" s="79">
        <f>IF('Ordenes_Odoo'!M2492="","",'Ordenes_Odoo'!M2492)</f>
        <v/>
      </c>
      <c r="N2492" s="79">
        <f>IF('Ordenes_Odoo'!N2492="","",'Ordenes_Odoo'!N2492)</f>
        <v/>
      </c>
      <c r="O2492" s="81">
        <f>IF('Ordenes_Odoo'!O2492="","",'Ordenes_Odoo'!O2492)</f>
        <v/>
      </c>
      <c r="P2492" s="81">
        <f>IF('Ordenes_Odoo'!P2492="","",'Ordenes_Odoo'!P2492)</f>
        <v/>
      </c>
      <c r="Q2492" s="79">
        <f>IF(A2492="","",IFERROR(INDEX(Facturas_Odoo!$B:$B, MATCH(A2492, Facturas_Odoo!$D:$D, 0)), "Sin Factura"))</f>
        <v/>
      </c>
      <c r="R2492" s="80">
        <f>IF(Q2492="Sin Factura","",IFERROR(INDEX(Facturas_Odoo!$A:$A, MATCH(Q2492, Facturas_Odoo!$B:$B, 0)), ""))</f>
        <v/>
      </c>
      <c r="S2492" s="79">
        <f>IF(Q2492="Sin Factura","",IFERROR(_xlfn.XLOOKUP(1, (Facturas_Odoo!$D:$D=A2492) * (Facturas_Odoo!$K:$K=I2492), Facturas_Odoo!$L:$L, ""), ""))</f>
        <v/>
      </c>
      <c r="T2492" s="81">
        <f>IF(Q2492="Sin Factura",0,IFERROR(_xlfn.XLOOKUP(1, (Facturas_Odoo!$D:$D=A2492) * (Facturas_Odoo!$K:$K=I2492), Facturas_Odoo!$M:$M, 0), 0))</f>
        <v/>
      </c>
      <c r="U2492" s="79">
        <f>IF(Q2492="Sin Factura",0,IFERROR(_xlfn.XLOOKUP(1, (Facturas_Odoo!$D:$D=A2492) * (Facturas_Odoo!$K:$K=I2492), Facturas_Odoo!$N:$N, 0), 0))</f>
        <v/>
      </c>
      <c r="V2492" s="79">
        <f>IF(Q2492="Sin Factura",0,IFERROR(_xlfn.XLOOKUP(1, (Facturas_Odoo!$D:$D=A2492) * (Facturas_Odoo!$K:$K=I2492), Facturas_Odoo!$O:$O, 0), 0))</f>
        <v/>
      </c>
      <c r="W2492" s="81">
        <f>IF(Q2492="Sin Factura",0,IFERROR(_xlfn.XLOOKUP(1, (Facturas_Odoo!$D:$D=A2492) * (Facturas_Odoo!$K:$K=I2492), Facturas_Odoo!$Q:$Q, 0), 0))</f>
        <v/>
      </c>
      <c r="X2492" s="79">
        <f>IF(OR(Q2492="Sin Factura",Q2492=""),"",IFERROR(INDEX(Pagos_Odoo!$B:$B, MATCH(Q2492, Pagos_Odoo!$I:$I, 0)), "Sin Pago"))</f>
        <v/>
      </c>
      <c r="Y2492" s="79">
        <f>IF(X2492="Sin Pago","",IFERROR(INDEX(Pagos_Odoo!$C:$C, MATCH(X2492, Pagos_Odoo!$B:$B, 0)), ""))</f>
        <v/>
      </c>
      <c r="Z2492" s="80">
        <f>IF(X2492="Sin Pago","",IFERROR(INDEX(Pagos_Odoo!$A:$A, MATCH(X2492, Pagos_Odoo!$B:$B, 0)), ""))</f>
        <v/>
      </c>
      <c r="AA2492" s="79">
        <f>IF(X2492="Sin Pago","",IFERROR(INDEX(Pagos_Odoo!$F:$F, MATCH(X2492, Pagos_Odoo!$B:$B, 0)), ""))</f>
        <v/>
      </c>
      <c r="AB2492" s="81">
        <f>IF(X2492="Sin Pago",0,IFERROR(INDEX(Pagos_Odoo!$E:$E, MATCH(X2492, Pagos_Odoo!$B:$B, 0)), 0))</f>
        <v/>
      </c>
      <c r="AC2492" s="79">
        <f>IF(X2492="Sin Pago","",IFERROR(INDEX(Pagos_Odoo!$G:$G, MATCH(X2492, Pagos_Odoo!$B:$B, 0)), ""))</f>
        <v/>
      </c>
      <c r="AD2492" s="82" t="n">
        <v>0</v>
      </c>
      <c r="AE2492" s="82" t="n"/>
      <c r="AF2492" s="82" t="n"/>
      <c r="AG2492" s="82">
        <f>IF(AN2492="","",AD2492+AE2492+AF2492)</f>
        <v/>
      </c>
      <c r="AH2492" s="81">
        <f>IF(AN2492="","",P2492*(1-AG2492))</f>
        <v/>
      </c>
      <c r="AI2492" s="81">
        <f>IF(AN2492="","",IF(Q2492="Sin Factura",0,IFERROR(INDEX(Facturas_Odoo!$H:$H, MATCH(Q2492, Facturas_Odoo!$B:$B, 0)), 0)*(1-AG2492)))</f>
        <v/>
      </c>
      <c r="AJ2492" s="81">
        <f>IF(AN2492="","",_xlfn.LET(idVenta, AN2492&amp;"",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92" s="81">
        <f>IF(AN2492="","",AH2492-AJ2492)</f>
        <v/>
      </c>
      <c r="AL2492" s="81">
        <f>IF(AN2492="","",IF(Q2492="Sin Factura","",AI2492-AJ2492))</f>
        <v/>
      </c>
      <c r="AM2492" s="81">
        <f>IF(AN2492="","",IF(Q2492="Sin Factura",0,P2492-IFERROR(INDEX(Facturas_Odoo!$H:$H, MATCH(Q2492, Facturas_Odoo!$B:$B, 0)), 0)))</f>
        <v/>
      </c>
      <c r="AN2492" s="79">
        <f>IF(AND(A2492="", J2492=""), "", IF(A2492&lt;&gt;"", VALUE(MID(A2492,2,LEN(A2492))), AN2491))</f>
        <v/>
      </c>
      <c r="AO2492" s="79">
        <f>IF(AN2492="","",IF(AD2492=0,"OK",_xlfn.LET(monedaPago, IF(AA2492="","USD",AA2492), limitePermitido, IFERROR(VLOOKUP(monedaPago, Configuración!$A$2:$B$3, 2, FALSE), 0.15), IF(AD2492&gt;limitePermitido, "ALERTA: EXCESO (" &amp; TEXT(limitePermitido, "0%") &amp; " máx)", "OK"))))</f>
        <v/>
      </c>
      <c r="AP2492" s="79">
        <f>IF(AN2492="","",IF(AE2492=0,"OK",_xlfn.LET(fechaPago, Z2492, fechaFactura, R2492, diasCredito, IF(E2492="Pago inmediato", 0, IFERROR(VALUE(MID(E2492, 1, SEARCH(" ", E2492)-1)),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92" s="79">
        <f>IF(AN2492="","",IF(AND(N2492&gt;0, AG2492&gt;0), IF(Configuración!$K$2="NO", "ALERTA: DESCUENTO DOBLE NO PERMITIDO", "OK"), "OK"))</f>
        <v/>
      </c>
      <c r="AR2492" s="79">
        <f>IF(AN2492="","",IF(OR(AO2492&lt;&gt;"OK", AP2492&lt;&gt;"OK", AQ2492&lt;&gt;"OK"), "⚠️ REVISAR", "OK"))</f>
        <v/>
      </c>
    </row>
    <row r="2493">
      <c r="A2493" s="79">
        <f>IF('Ordenes_Odoo'!A2493="","",'Ordenes_Odoo'!A2493)</f>
        <v/>
      </c>
      <c r="B2493" s="80">
        <f>IF('Ordenes_Odoo'!B2493="","",'Ordenes_Odoo'!B2493)</f>
        <v/>
      </c>
      <c r="C2493" s="79">
        <f>IF('Ordenes_Odoo'!C2493="","",'Ordenes_Odoo'!C2493)</f>
        <v/>
      </c>
      <c r="D2493" s="79">
        <f>IF('Ordenes_Odoo'!D2493="","",'Ordenes_Odoo'!D2493)</f>
        <v/>
      </c>
      <c r="E2493" s="79">
        <f>IF('Ordenes_Odoo'!E2493="","",'Ordenes_Odoo'!E2493)</f>
        <v/>
      </c>
      <c r="F2493" s="79">
        <f>IF('Ordenes_Odoo'!F2493="","",'Ordenes_Odoo'!F2493)</f>
        <v/>
      </c>
      <c r="G2493" s="79">
        <f>IF('Ordenes_Odoo'!G2493="","",'Ordenes_Odoo'!G2493)</f>
        <v/>
      </c>
      <c r="H2493" s="79">
        <f>IF('Ordenes_Odoo'!H2493="","",'Ordenes_Odoo'!H2493)</f>
        <v/>
      </c>
      <c r="I2493" s="79">
        <f>IF('Ordenes_Odoo'!I2493="","",'Ordenes_Odoo'!I2493)</f>
        <v/>
      </c>
      <c r="J2493" s="79">
        <f>IF('Ordenes_Odoo'!J2493="","",'Ordenes_Odoo'!J2493)</f>
        <v/>
      </c>
      <c r="K2493" s="81">
        <f>IF('Ordenes_Odoo'!K2493="","",'Ordenes_Odoo'!K2493)</f>
        <v/>
      </c>
      <c r="L2493" s="81">
        <f>IF('Ordenes_Odoo'!L2493="","",'Ordenes_Odoo'!L2493)</f>
        <v/>
      </c>
      <c r="M2493" s="79">
        <f>IF('Ordenes_Odoo'!M2493="","",'Ordenes_Odoo'!M2493)</f>
        <v/>
      </c>
      <c r="N2493" s="79">
        <f>IF('Ordenes_Odoo'!N2493="","",'Ordenes_Odoo'!N2493)</f>
        <v/>
      </c>
      <c r="O2493" s="81">
        <f>IF('Ordenes_Odoo'!O2493="","",'Ordenes_Odoo'!O2493)</f>
        <v/>
      </c>
      <c r="P2493" s="81">
        <f>IF('Ordenes_Odoo'!P2493="","",'Ordenes_Odoo'!P2493)</f>
        <v/>
      </c>
      <c r="Q2493" s="79">
        <f>IF(A2493="","",IFERROR(INDEX(Facturas_Odoo!$B:$B, MATCH(A2493, Facturas_Odoo!$D:$D, 0)), "Sin Factura"))</f>
        <v/>
      </c>
      <c r="R2493" s="80">
        <f>IF(Q2493="Sin Factura","",IFERROR(INDEX(Facturas_Odoo!$A:$A, MATCH(Q2493, Facturas_Odoo!$B:$B, 0)), ""))</f>
        <v/>
      </c>
      <c r="S2493" s="79">
        <f>IF(Q2493="Sin Factura","",IFERROR(_xlfn.XLOOKUP(1, (Facturas_Odoo!$D:$D=A2493) * (Facturas_Odoo!$K:$K=I2493), Facturas_Odoo!$L:$L, ""), ""))</f>
        <v/>
      </c>
      <c r="T2493" s="81">
        <f>IF(Q2493="Sin Factura",0,IFERROR(_xlfn.XLOOKUP(1, (Facturas_Odoo!$D:$D=A2493) * (Facturas_Odoo!$K:$K=I2493), Facturas_Odoo!$M:$M, 0), 0))</f>
        <v/>
      </c>
      <c r="U2493" s="79">
        <f>IF(Q2493="Sin Factura",0,IFERROR(_xlfn.XLOOKUP(1, (Facturas_Odoo!$D:$D=A2493) * (Facturas_Odoo!$K:$K=I2493), Facturas_Odoo!$N:$N, 0), 0))</f>
        <v/>
      </c>
      <c r="V2493" s="79">
        <f>IF(Q2493="Sin Factura",0,IFERROR(_xlfn.XLOOKUP(1, (Facturas_Odoo!$D:$D=A2493) * (Facturas_Odoo!$K:$K=I2493), Facturas_Odoo!$O:$O, 0), 0))</f>
        <v/>
      </c>
      <c r="W2493" s="81">
        <f>IF(Q2493="Sin Factura",0,IFERROR(_xlfn.XLOOKUP(1, (Facturas_Odoo!$D:$D=A2493) * (Facturas_Odoo!$K:$K=I2493), Facturas_Odoo!$Q:$Q, 0), 0))</f>
        <v/>
      </c>
      <c r="X2493" s="79">
        <f>IF(OR(Q2493="Sin Factura",Q2493=""),"",IFERROR(INDEX(Pagos_Odoo!$B:$B, MATCH(Q2493, Pagos_Odoo!$I:$I, 0)), "Sin Pago"))</f>
        <v/>
      </c>
      <c r="Y2493" s="79">
        <f>IF(X2493="Sin Pago","",IFERROR(INDEX(Pagos_Odoo!$C:$C, MATCH(X2493, Pagos_Odoo!$B:$B, 0)), ""))</f>
        <v/>
      </c>
      <c r="Z2493" s="80">
        <f>IF(X2493="Sin Pago","",IFERROR(INDEX(Pagos_Odoo!$A:$A, MATCH(X2493, Pagos_Odoo!$B:$B, 0)), ""))</f>
        <v/>
      </c>
      <c r="AA2493" s="79">
        <f>IF(X2493="Sin Pago","",IFERROR(INDEX(Pagos_Odoo!$F:$F, MATCH(X2493, Pagos_Odoo!$B:$B, 0)), ""))</f>
        <v/>
      </c>
      <c r="AB2493" s="81">
        <f>IF(X2493="Sin Pago",0,IFERROR(INDEX(Pagos_Odoo!$E:$E, MATCH(X2493, Pagos_Odoo!$B:$B, 0)), 0))</f>
        <v/>
      </c>
      <c r="AC2493" s="79">
        <f>IF(X2493="Sin Pago","",IFERROR(INDEX(Pagos_Odoo!$G:$G, MATCH(X2493, Pagos_Odoo!$B:$B, 0)), ""))</f>
        <v/>
      </c>
      <c r="AD2493" s="82" t="n">
        <v>0</v>
      </c>
      <c r="AE2493" s="82" t="n"/>
      <c r="AF2493" s="82" t="n"/>
      <c r="AG2493" s="82">
        <f>IF(AN2493="","",AD2493+AE2493+AF2493)</f>
        <v/>
      </c>
      <c r="AH2493" s="81">
        <f>IF(AN2493="","",P2493*(1-AG2493))</f>
        <v/>
      </c>
      <c r="AI2493" s="81">
        <f>IF(AN2493="","",IF(Q2493="Sin Factura",0,IFERROR(INDEX(Facturas_Odoo!$H:$H, MATCH(Q2493, Facturas_Odoo!$B:$B, 0)), 0)*(1-AG2493)))</f>
        <v/>
      </c>
      <c r="AJ2493" s="81">
        <f>IF(AN2493="","",_xlfn.LET(idVenta, AN2493&amp;"",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93" s="81">
        <f>IF(AN2493="","",AH2493-AJ2493)</f>
        <v/>
      </c>
      <c r="AL2493" s="81">
        <f>IF(AN2493="","",IF(Q2493="Sin Factura","",AI2493-AJ2493))</f>
        <v/>
      </c>
      <c r="AM2493" s="81">
        <f>IF(AN2493="","",IF(Q2493="Sin Factura",0,P2493-IFERROR(INDEX(Facturas_Odoo!$H:$H, MATCH(Q2493, Facturas_Odoo!$B:$B, 0)), 0)))</f>
        <v/>
      </c>
      <c r="AN2493" s="79">
        <f>IF(AND(A2493="", J2493=""), "", IF(A2493&lt;&gt;"", VALUE(MID(A2493,2,LEN(A2493))), AN2492))</f>
        <v/>
      </c>
      <c r="AO2493" s="79">
        <f>IF(AN2493="","",IF(AD2493=0,"OK",_xlfn.LET(monedaPago, IF(AA2493="","USD",AA2493), limitePermitido, IFERROR(VLOOKUP(monedaPago, Configuración!$A$2:$B$3, 2, FALSE), 0.15), IF(AD2493&gt;limitePermitido, "ALERTA: EXCESO (" &amp; TEXT(limitePermitido, "0%") &amp; " máx)", "OK"))))</f>
        <v/>
      </c>
      <c r="AP2493" s="79">
        <f>IF(AN2493="","",IF(AE2493=0,"OK",_xlfn.LET(fechaPago, Z2493, fechaFactura, R2493, diasCredito, IF(E2493="Pago inmediato", 0, IFERROR(VALUE(MID(E2493, 1, SEARCH(" ", E2493)-1)),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93" s="79">
        <f>IF(AN2493="","",IF(AND(N2493&gt;0, AG2493&gt;0), IF(Configuración!$K$2="NO", "ALERTA: DESCUENTO DOBLE NO PERMITIDO", "OK"), "OK"))</f>
        <v/>
      </c>
      <c r="AR2493" s="79">
        <f>IF(AN2493="","",IF(OR(AO2493&lt;&gt;"OK", AP2493&lt;&gt;"OK", AQ2493&lt;&gt;"OK"), "⚠️ REVISAR", "OK"))</f>
        <v/>
      </c>
    </row>
    <row r="2494">
      <c r="A2494" s="79">
        <f>IF('Ordenes_Odoo'!A2494="","",'Ordenes_Odoo'!A2494)</f>
        <v/>
      </c>
      <c r="B2494" s="80">
        <f>IF('Ordenes_Odoo'!B2494="","",'Ordenes_Odoo'!B2494)</f>
        <v/>
      </c>
      <c r="C2494" s="79">
        <f>IF('Ordenes_Odoo'!C2494="","",'Ordenes_Odoo'!C2494)</f>
        <v/>
      </c>
      <c r="D2494" s="79">
        <f>IF('Ordenes_Odoo'!D2494="","",'Ordenes_Odoo'!D2494)</f>
        <v/>
      </c>
      <c r="E2494" s="79">
        <f>IF('Ordenes_Odoo'!E2494="","",'Ordenes_Odoo'!E2494)</f>
        <v/>
      </c>
      <c r="F2494" s="79">
        <f>IF('Ordenes_Odoo'!F2494="","",'Ordenes_Odoo'!F2494)</f>
        <v/>
      </c>
      <c r="G2494" s="79">
        <f>IF('Ordenes_Odoo'!G2494="","",'Ordenes_Odoo'!G2494)</f>
        <v/>
      </c>
      <c r="H2494" s="79">
        <f>IF('Ordenes_Odoo'!H2494="","",'Ordenes_Odoo'!H2494)</f>
        <v/>
      </c>
      <c r="I2494" s="79">
        <f>IF('Ordenes_Odoo'!I2494="","",'Ordenes_Odoo'!I2494)</f>
        <v/>
      </c>
      <c r="J2494" s="79">
        <f>IF('Ordenes_Odoo'!J2494="","",'Ordenes_Odoo'!J2494)</f>
        <v/>
      </c>
      <c r="K2494" s="81">
        <f>IF('Ordenes_Odoo'!K2494="","",'Ordenes_Odoo'!K2494)</f>
        <v/>
      </c>
      <c r="L2494" s="81">
        <f>IF('Ordenes_Odoo'!L2494="","",'Ordenes_Odoo'!L2494)</f>
        <v/>
      </c>
      <c r="M2494" s="79">
        <f>IF('Ordenes_Odoo'!M2494="","",'Ordenes_Odoo'!M2494)</f>
        <v/>
      </c>
      <c r="N2494" s="79">
        <f>IF('Ordenes_Odoo'!N2494="","",'Ordenes_Odoo'!N2494)</f>
        <v/>
      </c>
      <c r="O2494" s="81">
        <f>IF('Ordenes_Odoo'!O2494="","",'Ordenes_Odoo'!O2494)</f>
        <v/>
      </c>
      <c r="P2494" s="81">
        <f>IF('Ordenes_Odoo'!P2494="","",'Ordenes_Odoo'!P2494)</f>
        <v/>
      </c>
      <c r="Q2494" s="79">
        <f>IF(A2494="","",IFERROR(INDEX(Facturas_Odoo!$B:$B, MATCH(A2494, Facturas_Odoo!$D:$D, 0)), "Sin Factura"))</f>
        <v/>
      </c>
      <c r="R2494" s="80">
        <f>IF(Q2494="Sin Factura","",IFERROR(INDEX(Facturas_Odoo!$A:$A, MATCH(Q2494, Facturas_Odoo!$B:$B, 0)), ""))</f>
        <v/>
      </c>
      <c r="S2494" s="79">
        <f>IF(Q2494="Sin Factura","",IFERROR(_xlfn.XLOOKUP(1, (Facturas_Odoo!$D:$D=A2494) * (Facturas_Odoo!$K:$K=I2494), Facturas_Odoo!$L:$L, ""), ""))</f>
        <v/>
      </c>
      <c r="T2494" s="81">
        <f>IF(Q2494="Sin Factura",0,IFERROR(_xlfn.XLOOKUP(1, (Facturas_Odoo!$D:$D=A2494) * (Facturas_Odoo!$K:$K=I2494), Facturas_Odoo!$M:$M, 0), 0))</f>
        <v/>
      </c>
      <c r="U2494" s="79">
        <f>IF(Q2494="Sin Factura",0,IFERROR(_xlfn.XLOOKUP(1, (Facturas_Odoo!$D:$D=A2494) * (Facturas_Odoo!$K:$K=I2494), Facturas_Odoo!$N:$N, 0), 0))</f>
        <v/>
      </c>
      <c r="V2494" s="79">
        <f>IF(Q2494="Sin Factura",0,IFERROR(_xlfn.XLOOKUP(1, (Facturas_Odoo!$D:$D=A2494) * (Facturas_Odoo!$K:$K=I2494), Facturas_Odoo!$O:$O, 0), 0))</f>
        <v/>
      </c>
      <c r="W2494" s="81">
        <f>IF(Q2494="Sin Factura",0,IFERROR(_xlfn.XLOOKUP(1, (Facturas_Odoo!$D:$D=A2494) * (Facturas_Odoo!$K:$K=I2494), Facturas_Odoo!$Q:$Q, 0), 0))</f>
        <v/>
      </c>
      <c r="X2494" s="79">
        <f>IF(OR(Q2494="Sin Factura",Q2494=""),"",IFERROR(INDEX(Pagos_Odoo!$B:$B, MATCH(Q2494, Pagos_Odoo!$I:$I, 0)), "Sin Pago"))</f>
        <v/>
      </c>
      <c r="Y2494" s="79">
        <f>IF(X2494="Sin Pago","",IFERROR(INDEX(Pagos_Odoo!$C:$C, MATCH(X2494, Pagos_Odoo!$B:$B, 0)), ""))</f>
        <v/>
      </c>
      <c r="Z2494" s="80">
        <f>IF(X2494="Sin Pago","",IFERROR(INDEX(Pagos_Odoo!$A:$A, MATCH(X2494, Pagos_Odoo!$B:$B, 0)), ""))</f>
        <v/>
      </c>
      <c r="AA2494" s="79">
        <f>IF(X2494="Sin Pago","",IFERROR(INDEX(Pagos_Odoo!$F:$F, MATCH(X2494, Pagos_Odoo!$B:$B, 0)), ""))</f>
        <v/>
      </c>
      <c r="AB2494" s="81">
        <f>IF(X2494="Sin Pago",0,IFERROR(INDEX(Pagos_Odoo!$E:$E, MATCH(X2494, Pagos_Odoo!$B:$B, 0)), 0))</f>
        <v/>
      </c>
      <c r="AC2494" s="79">
        <f>IF(X2494="Sin Pago","",IFERROR(INDEX(Pagos_Odoo!$G:$G, MATCH(X2494, Pagos_Odoo!$B:$B, 0)), ""))</f>
        <v/>
      </c>
      <c r="AD2494" s="82" t="n">
        <v>0</v>
      </c>
      <c r="AE2494" s="82" t="n"/>
      <c r="AF2494" s="82" t="n"/>
      <c r="AG2494" s="82">
        <f>IF(AN2494="","",AD2494+AE2494+AF2494)</f>
        <v/>
      </c>
      <c r="AH2494" s="81">
        <f>IF(AN2494="","",P2494*(1-AG2494))</f>
        <v/>
      </c>
      <c r="AI2494" s="81">
        <f>IF(AN2494="","",IF(Q2494="Sin Factura",0,IFERROR(INDEX(Facturas_Odoo!$H:$H, MATCH(Q2494, Facturas_Odoo!$B:$B, 0)), 0)*(1-AG2494)))</f>
        <v/>
      </c>
      <c r="AJ2494" s="81">
        <f>IF(AN2494="","",_xlfn.LET(idVenta, AN2494&amp;"",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94" s="81">
        <f>IF(AN2494="","",AH2494-AJ2494)</f>
        <v/>
      </c>
      <c r="AL2494" s="81">
        <f>IF(AN2494="","",IF(Q2494="Sin Factura","",AI2494-AJ2494))</f>
        <v/>
      </c>
      <c r="AM2494" s="81">
        <f>IF(AN2494="","",IF(Q2494="Sin Factura",0,P2494-IFERROR(INDEX(Facturas_Odoo!$H:$H, MATCH(Q2494, Facturas_Odoo!$B:$B, 0)), 0)))</f>
        <v/>
      </c>
      <c r="AN2494" s="79">
        <f>IF(AND(A2494="", J2494=""), "", IF(A2494&lt;&gt;"", VALUE(MID(A2494,2,LEN(A2494))), AN2493))</f>
        <v/>
      </c>
      <c r="AO2494" s="79">
        <f>IF(AN2494="","",IF(AD2494=0,"OK",_xlfn.LET(monedaPago, IF(AA2494="","USD",AA2494), limitePermitido, IFERROR(VLOOKUP(monedaPago, Configuración!$A$2:$B$3, 2, FALSE), 0.15), IF(AD2494&gt;limitePermitido, "ALERTA: EXCESO (" &amp; TEXT(limitePermitido, "0%") &amp; " máx)", "OK"))))</f>
        <v/>
      </c>
      <c r="AP2494" s="79">
        <f>IF(AN2494="","",IF(AE2494=0,"OK",_xlfn.LET(fechaPago, Z2494, fechaFactura, R2494, diasCredito, IF(E2494="Pago inmediato", 0, IFERROR(VALUE(MID(E2494, 1, SEARCH(" ", E2494)-1)),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94" s="79">
        <f>IF(AN2494="","",IF(AND(N2494&gt;0, AG2494&gt;0), IF(Configuración!$K$2="NO", "ALERTA: DESCUENTO DOBLE NO PERMITIDO", "OK"), "OK"))</f>
        <v/>
      </c>
      <c r="AR2494" s="79">
        <f>IF(AN2494="","",IF(OR(AO2494&lt;&gt;"OK", AP2494&lt;&gt;"OK", AQ2494&lt;&gt;"OK"), "⚠️ REVISAR", "OK"))</f>
        <v/>
      </c>
    </row>
    <row r="2495">
      <c r="A2495" s="79">
        <f>IF('Ordenes_Odoo'!A2495="","",'Ordenes_Odoo'!A2495)</f>
        <v/>
      </c>
      <c r="B2495" s="80">
        <f>IF('Ordenes_Odoo'!B2495="","",'Ordenes_Odoo'!B2495)</f>
        <v/>
      </c>
      <c r="C2495" s="79">
        <f>IF('Ordenes_Odoo'!C2495="","",'Ordenes_Odoo'!C2495)</f>
        <v/>
      </c>
      <c r="D2495" s="79">
        <f>IF('Ordenes_Odoo'!D2495="","",'Ordenes_Odoo'!D2495)</f>
        <v/>
      </c>
      <c r="E2495" s="79">
        <f>IF('Ordenes_Odoo'!E2495="","",'Ordenes_Odoo'!E2495)</f>
        <v/>
      </c>
      <c r="F2495" s="79">
        <f>IF('Ordenes_Odoo'!F2495="","",'Ordenes_Odoo'!F2495)</f>
        <v/>
      </c>
      <c r="G2495" s="79">
        <f>IF('Ordenes_Odoo'!G2495="","",'Ordenes_Odoo'!G2495)</f>
        <v/>
      </c>
      <c r="H2495" s="79">
        <f>IF('Ordenes_Odoo'!H2495="","",'Ordenes_Odoo'!H2495)</f>
        <v/>
      </c>
      <c r="I2495" s="79">
        <f>IF('Ordenes_Odoo'!I2495="","",'Ordenes_Odoo'!I2495)</f>
        <v/>
      </c>
      <c r="J2495" s="79">
        <f>IF('Ordenes_Odoo'!J2495="","",'Ordenes_Odoo'!J2495)</f>
        <v/>
      </c>
      <c r="K2495" s="81">
        <f>IF('Ordenes_Odoo'!K2495="","",'Ordenes_Odoo'!K2495)</f>
        <v/>
      </c>
      <c r="L2495" s="81">
        <f>IF('Ordenes_Odoo'!L2495="","",'Ordenes_Odoo'!L2495)</f>
        <v/>
      </c>
      <c r="M2495" s="79">
        <f>IF('Ordenes_Odoo'!M2495="","",'Ordenes_Odoo'!M2495)</f>
        <v/>
      </c>
      <c r="N2495" s="79">
        <f>IF('Ordenes_Odoo'!N2495="","",'Ordenes_Odoo'!N2495)</f>
        <v/>
      </c>
      <c r="O2495" s="81">
        <f>IF('Ordenes_Odoo'!O2495="","",'Ordenes_Odoo'!O2495)</f>
        <v/>
      </c>
      <c r="P2495" s="81">
        <f>IF('Ordenes_Odoo'!P2495="","",'Ordenes_Odoo'!P2495)</f>
        <v/>
      </c>
      <c r="Q2495" s="79">
        <f>IF(A2495="","",IFERROR(INDEX(Facturas_Odoo!$B:$B, MATCH(A2495, Facturas_Odoo!$D:$D, 0)), "Sin Factura"))</f>
        <v/>
      </c>
      <c r="R2495" s="80">
        <f>IF(Q2495="Sin Factura","",IFERROR(INDEX(Facturas_Odoo!$A:$A, MATCH(Q2495, Facturas_Odoo!$B:$B, 0)), ""))</f>
        <v/>
      </c>
      <c r="S2495" s="79">
        <f>IF(Q2495="Sin Factura","",IFERROR(_xlfn.XLOOKUP(1, (Facturas_Odoo!$D:$D=A2495) * (Facturas_Odoo!$K:$K=I2495), Facturas_Odoo!$L:$L, ""), ""))</f>
        <v/>
      </c>
      <c r="T2495" s="81">
        <f>IF(Q2495="Sin Factura",0,IFERROR(_xlfn.XLOOKUP(1, (Facturas_Odoo!$D:$D=A2495) * (Facturas_Odoo!$K:$K=I2495), Facturas_Odoo!$M:$M, 0), 0))</f>
        <v/>
      </c>
      <c r="U2495" s="79">
        <f>IF(Q2495="Sin Factura",0,IFERROR(_xlfn.XLOOKUP(1, (Facturas_Odoo!$D:$D=A2495) * (Facturas_Odoo!$K:$K=I2495), Facturas_Odoo!$N:$N, 0), 0))</f>
        <v/>
      </c>
      <c r="V2495" s="79">
        <f>IF(Q2495="Sin Factura",0,IFERROR(_xlfn.XLOOKUP(1, (Facturas_Odoo!$D:$D=A2495) * (Facturas_Odoo!$K:$K=I2495), Facturas_Odoo!$O:$O, 0), 0))</f>
        <v/>
      </c>
      <c r="W2495" s="81">
        <f>IF(Q2495="Sin Factura",0,IFERROR(_xlfn.XLOOKUP(1, (Facturas_Odoo!$D:$D=A2495) * (Facturas_Odoo!$K:$K=I2495), Facturas_Odoo!$Q:$Q, 0), 0))</f>
        <v/>
      </c>
      <c r="X2495" s="79">
        <f>IF(OR(Q2495="Sin Factura",Q2495=""),"",IFERROR(INDEX(Pagos_Odoo!$B:$B, MATCH(Q2495, Pagos_Odoo!$I:$I, 0)), "Sin Pago"))</f>
        <v/>
      </c>
      <c r="Y2495" s="79">
        <f>IF(X2495="Sin Pago","",IFERROR(INDEX(Pagos_Odoo!$C:$C, MATCH(X2495, Pagos_Odoo!$B:$B, 0)), ""))</f>
        <v/>
      </c>
      <c r="Z2495" s="80">
        <f>IF(X2495="Sin Pago","",IFERROR(INDEX(Pagos_Odoo!$A:$A, MATCH(X2495, Pagos_Odoo!$B:$B, 0)), ""))</f>
        <v/>
      </c>
      <c r="AA2495" s="79">
        <f>IF(X2495="Sin Pago","",IFERROR(INDEX(Pagos_Odoo!$F:$F, MATCH(X2495, Pagos_Odoo!$B:$B, 0)), ""))</f>
        <v/>
      </c>
      <c r="AB2495" s="81">
        <f>IF(X2495="Sin Pago",0,IFERROR(INDEX(Pagos_Odoo!$E:$E, MATCH(X2495, Pagos_Odoo!$B:$B, 0)), 0))</f>
        <v/>
      </c>
      <c r="AC2495" s="79">
        <f>IF(X2495="Sin Pago","",IFERROR(INDEX(Pagos_Odoo!$G:$G, MATCH(X2495, Pagos_Odoo!$B:$B, 0)), ""))</f>
        <v/>
      </c>
      <c r="AD2495" s="82" t="n">
        <v>0</v>
      </c>
      <c r="AE2495" s="82" t="n"/>
      <c r="AF2495" s="82" t="n"/>
      <c r="AG2495" s="82">
        <f>IF(AN2495="","",AD2495+AE2495+AF2495)</f>
        <v/>
      </c>
      <c r="AH2495" s="81">
        <f>IF(AN2495="","",P2495*(1-AG2495))</f>
        <v/>
      </c>
      <c r="AI2495" s="81">
        <f>IF(AN2495="","",IF(Q2495="Sin Factura",0,IFERROR(INDEX(Facturas_Odoo!$H:$H, MATCH(Q2495, Facturas_Odoo!$B:$B, 0)), 0)*(1-AG2495)))</f>
        <v/>
      </c>
      <c r="AJ2495" s="81">
        <f>IF(AN2495="","",_xlfn.LET(idVenta, AN2495&amp;"",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95" s="81">
        <f>IF(AN2495="","",AH2495-AJ2495)</f>
        <v/>
      </c>
      <c r="AL2495" s="81">
        <f>IF(AN2495="","",IF(Q2495="Sin Factura","",AI2495-AJ2495))</f>
        <v/>
      </c>
      <c r="AM2495" s="81">
        <f>IF(AN2495="","",IF(Q2495="Sin Factura",0,P2495-IFERROR(INDEX(Facturas_Odoo!$H:$H, MATCH(Q2495, Facturas_Odoo!$B:$B, 0)), 0)))</f>
        <v/>
      </c>
      <c r="AN2495" s="79">
        <f>IF(AND(A2495="", J2495=""), "", IF(A2495&lt;&gt;"", VALUE(MID(A2495,2,LEN(A2495))), AN2494))</f>
        <v/>
      </c>
      <c r="AO2495" s="79">
        <f>IF(AN2495="","",IF(AD2495=0,"OK",_xlfn.LET(monedaPago, IF(AA2495="","USD",AA2495), limitePermitido, IFERROR(VLOOKUP(monedaPago, Configuración!$A$2:$B$3, 2, FALSE), 0.15), IF(AD2495&gt;limitePermitido, "ALERTA: EXCESO (" &amp; TEXT(limitePermitido, "0%") &amp; " máx)", "OK"))))</f>
        <v/>
      </c>
      <c r="AP2495" s="79">
        <f>IF(AN2495="","",IF(AE2495=0,"OK",_xlfn.LET(fechaPago, Z2495, fechaFactura, R2495, diasCredito, IF(E2495="Pago inmediato", 0, IFERROR(VALUE(MID(E2495, 1, SEARCH(" ", E2495)-1)),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95" s="79">
        <f>IF(AN2495="","",IF(AND(N2495&gt;0, AG2495&gt;0), IF(Configuración!$K$2="NO", "ALERTA: DESCUENTO DOBLE NO PERMITIDO", "OK"), "OK"))</f>
        <v/>
      </c>
      <c r="AR2495" s="79">
        <f>IF(AN2495="","",IF(OR(AO2495&lt;&gt;"OK", AP2495&lt;&gt;"OK", AQ2495&lt;&gt;"OK"), "⚠️ REVISAR", "OK"))</f>
        <v/>
      </c>
    </row>
    <row r="2496">
      <c r="A2496" s="79">
        <f>IF('Ordenes_Odoo'!A2496="","",'Ordenes_Odoo'!A2496)</f>
        <v/>
      </c>
      <c r="B2496" s="80">
        <f>IF('Ordenes_Odoo'!B2496="","",'Ordenes_Odoo'!B2496)</f>
        <v/>
      </c>
      <c r="C2496" s="79">
        <f>IF('Ordenes_Odoo'!C2496="","",'Ordenes_Odoo'!C2496)</f>
        <v/>
      </c>
      <c r="D2496" s="79">
        <f>IF('Ordenes_Odoo'!D2496="","",'Ordenes_Odoo'!D2496)</f>
        <v/>
      </c>
      <c r="E2496" s="79">
        <f>IF('Ordenes_Odoo'!E2496="","",'Ordenes_Odoo'!E2496)</f>
        <v/>
      </c>
      <c r="F2496" s="79">
        <f>IF('Ordenes_Odoo'!F2496="","",'Ordenes_Odoo'!F2496)</f>
        <v/>
      </c>
      <c r="G2496" s="79">
        <f>IF('Ordenes_Odoo'!G2496="","",'Ordenes_Odoo'!G2496)</f>
        <v/>
      </c>
      <c r="H2496" s="79">
        <f>IF('Ordenes_Odoo'!H2496="","",'Ordenes_Odoo'!H2496)</f>
        <v/>
      </c>
      <c r="I2496" s="79">
        <f>IF('Ordenes_Odoo'!I2496="","",'Ordenes_Odoo'!I2496)</f>
        <v/>
      </c>
      <c r="J2496" s="79">
        <f>IF('Ordenes_Odoo'!J2496="","",'Ordenes_Odoo'!J2496)</f>
        <v/>
      </c>
      <c r="K2496" s="81">
        <f>IF('Ordenes_Odoo'!K2496="","",'Ordenes_Odoo'!K2496)</f>
        <v/>
      </c>
      <c r="L2496" s="81">
        <f>IF('Ordenes_Odoo'!L2496="","",'Ordenes_Odoo'!L2496)</f>
        <v/>
      </c>
      <c r="M2496" s="79">
        <f>IF('Ordenes_Odoo'!M2496="","",'Ordenes_Odoo'!M2496)</f>
        <v/>
      </c>
      <c r="N2496" s="79">
        <f>IF('Ordenes_Odoo'!N2496="","",'Ordenes_Odoo'!N2496)</f>
        <v/>
      </c>
      <c r="O2496" s="81">
        <f>IF('Ordenes_Odoo'!O2496="","",'Ordenes_Odoo'!O2496)</f>
        <v/>
      </c>
      <c r="P2496" s="81">
        <f>IF('Ordenes_Odoo'!P2496="","",'Ordenes_Odoo'!P2496)</f>
        <v/>
      </c>
      <c r="Q2496" s="79">
        <f>IF(A2496="","",IFERROR(INDEX(Facturas_Odoo!$B:$B, MATCH(A2496, Facturas_Odoo!$D:$D, 0)), "Sin Factura"))</f>
        <v/>
      </c>
      <c r="R2496" s="80">
        <f>IF(Q2496="Sin Factura","",IFERROR(INDEX(Facturas_Odoo!$A:$A, MATCH(Q2496, Facturas_Odoo!$B:$B, 0)), ""))</f>
        <v/>
      </c>
      <c r="S2496" s="79">
        <f>IF(Q2496="Sin Factura","",IFERROR(_xlfn.XLOOKUP(1, (Facturas_Odoo!$D:$D=A2496) * (Facturas_Odoo!$K:$K=I2496), Facturas_Odoo!$L:$L, ""), ""))</f>
        <v/>
      </c>
      <c r="T2496" s="81">
        <f>IF(Q2496="Sin Factura",0,IFERROR(_xlfn.XLOOKUP(1, (Facturas_Odoo!$D:$D=A2496) * (Facturas_Odoo!$K:$K=I2496), Facturas_Odoo!$M:$M, 0), 0))</f>
        <v/>
      </c>
      <c r="U2496" s="79">
        <f>IF(Q2496="Sin Factura",0,IFERROR(_xlfn.XLOOKUP(1, (Facturas_Odoo!$D:$D=A2496) * (Facturas_Odoo!$K:$K=I2496), Facturas_Odoo!$N:$N, 0), 0))</f>
        <v/>
      </c>
      <c r="V2496" s="79">
        <f>IF(Q2496="Sin Factura",0,IFERROR(_xlfn.XLOOKUP(1, (Facturas_Odoo!$D:$D=A2496) * (Facturas_Odoo!$K:$K=I2496), Facturas_Odoo!$O:$O, 0), 0))</f>
        <v/>
      </c>
      <c r="W2496" s="81">
        <f>IF(Q2496="Sin Factura",0,IFERROR(_xlfn.XLOOKUP(1, (Facturas_Odoo!$D:$D=A2496) * (Facturas_Odoo!$K:$K=I2496), Facturas_Odoo!$Q:$Q, 0), 0))</f>
        <v/>
      </c>
      <c r="X2496" s="79">
        <f>IF(OR(Q2496="Sin Factura",Q2496=""),"",IFERROR(INDEX(Pagos_Odoo!$B:$B, MATCH(Q2496, Pagos_Odoo!$I:$I, 0)), "Sin Pago"))</f>
        <v/>
      </c>
      <c r="Y2496" s="79">
        <f>IF(X2496="Sin Pago","",IFERROR(INDEX(Pagos_Odoo!$C:$C, MATCH(X2496, Pagos_Odoo!$B:$B, 0)), ""))</f>
        <v/>
      </c>
      <c r="Z2496" s="80">
        <f>IF(X2496="Sin Pago","",IFERROR(INDEX(Pagos_Odoo!$A:$A, MATCH(X2496, Pagos_Odoo!$B:$B, 0)), ""))</f>
        <v/>
      </c>
      <c r="AA2496" s="79">
        <f>IF(X2496="Sin Pago","",IFERROR(INDEX(Pagos_Odoo!$F:$F, MATCH(X2496, Pagos_Odoo!$B:$B, 0)), ""))</f>
        <v/>
      </c>
      <c r="AB2496" s="81">
        <f>IF(X2496="Sin Pago",0,IFERROR(INDEX(Pagos_Odoo!$E:$E, MATCH(X2496, Pagos_Odoo!$B:$B, 0)), 0))</f>
        <v/>
      </c>
      <c r="AC2496" s="79">
        <f>IF(X2496="Sin Pago","",IFERROR(INDEX(Pagos_Odoo!$G:$G, MATCH(X2496, Pagos_Odoo!$B:$B, 0)), ""))</f>
        <v/>
      </c>
      <c r="AD2496" s="82" t="n">
        <v>0</v>
      </c>
      <c r="AE2496" s="82" t="n"/>
      <c r="AF2496" s="82" t="n"/>
      <c r="AG2496" s="82">
        <f>IF(AN2496="","",AD2496+AE2496+AF2496)</f>
        <v/>
      </c>
      <c r="AH2496" s="81">
        <f>IF(AN2496="","",P2496*(1-AG2496))</f>
        <v/>
      </c>
      <c r="AI2496" s="81">
        <f>IF(AN2496="","",IF(Q2496="Sin Factura",0,IFERROR(INDEX(Facturas_Odoo!$H:$H, MATCH(Q2496, Facturas_Odoo!$B:$B, 0)), 0)*(1-AG2496)))</f>
        <v/>
      </c>
      <c r="AJ2496" s="81">
        <f>IF(AN2496="","",_xlfn.LET(idVenta, AN2496&amp;"",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96" s="81">
        <f>IF(AN2496="","",AH2496-AJ2496)</f>
        <v/>
      </c>
      <c r="AL2496" s="81">
        <f>IF(AN2496="","",IF(Q2496="Sin Factura","",AI2496-AJ2496))</f>
        <v/>
      </c>
      <c r="AM2496" s="81">
        <f>IF(AN2496="","",IF(Q2496="Sin Factura",0,P2496-IFERROR(INDEX(Facturas_Odoo!$H:$H, MATCH(Q2496, Facturas_Odoo!$B:$B, 0)), 0)))</f>
        <v/>
      </c>
      <c r="AN2496" s="79">
        <f>IF(AND(A2496="", J2496=""), "", IF(A2496&lt;&gt;"", VALUE(MID(A2496,2,LEN(A2496))), AN2495))</f>
        <v/>
      </c>
      <c r="AO2496" s="79">
        <f>IF(AN2496="","",IF(AD2496=0,"OK",_xlfn.LET(monedaPago, IF(AA2496="","USD",AA2496), limitePermitido, IFERROR(VLOOKUP(monedaPago, Configuración!$A$2:$B$3, 2, FALSE), 0.15), IF(AD2496&gt;limitePermitido, "ALERTA: EXCESO (" &amp; TEXT(limitePermitido, "0%") &amp; " máx)", "OK"))))</f>
        <v/>
      </c>
      <c r="AP2496" s="79">
        <f>IF(AN2496="","",IF(AE2496=0,"OK",_xlfn.LET(fechaPago, Z2496, fechaFactura, R2496, diasCredito, IF(E2496="Pago inmediato", 0, IFERROR(VALUE(MID(E2496, 1, SEARCH(" ", E2496)-1)),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96" s="79">
        <f>IF(AN2496="","",IF(AND(N2496&gt;0, AG2496&gt;0), IF(Configuración!$K$2="NO", "ALERTA: DESCUENTO DOBLE NO PERMITIDO", "OK"), "OK"))</f>
        <v/>
      </c>
      <c r="AR2496" s="79">
        <f>IF(AN2496="","",IF(OR(AO2496&lt;&gt;"OK", AP2496&lt;&gt;"OK", AQ2496&lt;&gt;"OK"), "⚠️ REVISAR", "OK"))</f>
        <v/>
      </c>
    </row>
    <row r="2497">
      <c r="A2497" s="79">
        <f>IF('Ordenes_Odoo'!A2497="","",'Ordenes_Odoo'!A2497)</f>
        <v/>
      </c>
      <c r="B2497" s="80">
        <f>IF('Ordenes_Odoo'!B2497="","",'Ordenes_Odoo'!B2497)</f>
        <v/>
      </c>
      <c r="C2497" s="79">
        <f>IF('Ordenes_Odoo'!C2497="","",'Ordenes_Odoo'!C2497)</f>
        <v/>
      </c>
      <c r="D2497" s="79">
        <f>IF('Ordenes_Odoo'!D2497="","",'Ordenes_Odoo'!D2497)</f>
        <v/>
      </c>
      <c r="E2497" s="79">
        <f>IF('Ordenes_Odoo'!E2497="","",'Ordenes_Odoo'!E2497)</f>
        <v/>
      </c>
      <c r="F2497" s="79">
        <f>IF('Ordenes_Odoo'!F2497="","",'Ordenes_Odoo'!F2497)</f>
        <v/>
      </c>
      <c r="G2497" s="79">
        <f>IF('Ordenes_Odoo'!G2497="","",'Ordenes_Odoo'!G2497)</f>
        <v/>
      </c>
      <c r="H2497" s="79">
        <f>IF('Ordenes_Odoo'!H2497="","",'Ordenes_Odoo'!H2497)</f>
        <v/>
      </c>
      <c r="I2497" s="79">
        <f>IF('Ordenes_Odoo'!I2497="","",'Ordenes_Odoo'!I2497)</f>
        <v/>
      </c>
      <c r="J2497" s="79">
        <f>IF('Ordenes_Odoo'!J2497="","",'Ordenes_Odoo'!J2497)</f>
        <v/>
      </c>
      <c r="K2497" s="81">
        <f>IF('Ordenes_Odoo'!K2497="","",'Ordenes_Odoo'!K2497)</f>
        <v/>
      </c>
      <c r="L2497" s="81">
        <f>IF('Ordenes_Odoo'!L2497="","",'Ordenes_Odoo'!L2497)</f>
        <v/>
      </c>
      <c r="M2497" s="79">
        <f>IF('Ordenes_Odoo'!M2497="","",'Ordenes_Odoo'!M2497)</f>
        <v/>
      </c>
      <c r="N2497" s="79">
        <f>IF('Ordenes_Odoo'!N2497="","",'Ordenes_Odoo'!N2497)</f>
        <v/>
      </c>
      <c r="O2497" s="81">
        <f>IF('Ordenes_Odoo'!O2497="","",'Ordenes_Odoo'!O2497)</f>
        <v/>
      </c>
      <c r="P2497" s="81">
        <f>IF('Ordenes_Odoo'!P2497="","",'Ordenes_Odoo'!P2497)</f>
        <v/>
      </c>
      <c r="Q2497" s="79">
        <f>IF(A2497="","",IFERROR(INDEX(Facturas_Odoo!$B:$B, MATCH(A2497, Facturas_Odoo!$D:$D, 0)), "Sin Factura"))</f>
        <v/>
      </c>
      <c r="R2497" s="80">
        <f>IF(Q2497="Sin Factura","",IFERROR(INDEX(Facturas_Odoo!$A:$A, MATCH(Q2497, Facturas_Odoo!$B:$B, 0)), ""))</f>
        <v/>
      </c>
      <c r="S2497" s="79">
        <f>IF(Q2497="Sin Factura","",IFERROR(_xlfn.XLOOKUP(1, (Facturas_Odoo!$D:$D=A2497) * (Facturas_Odoo!$K:$K=I2497), Facturas_Odoo!$L:$L, ""), ""))</f>
        <v/>
      </c>
      <c r="T2497" s="81">
        <f>IF(Q2497="Sin Factura",0,IFERROR(_xlfn.XLOOKUP(1, (Facturas_Odoo!$D:$D=A2497) * (Facturas_Odoo!$K:$K=I2497), Facturas_Odoo!$M:$M, 0), 0))</f>
        <v/>
      </c>
      <c r="U2497" s="79">
        <f>IF(Q2497="Sin Factura",0,IFERROR(_xlfn.XLOOKUP(1, (Facturas_Odoo!$D:$D=A2497) * (Facturas_Odoo!$K:$K=I2497), Facturas_Odoo!$N:$N, 0), 0))</f>
        <v/>
      </c>
      <c r="V2497" s="79">
        <f>IF(Q2497="Sin Factura",0,IFERROR(_xlfn.XLOOKUP(1, (Facturas_Odoo!$D:$D=A2497) * (Facturas_Odoo!$K:$K=I2497), Facturas_Odoo!$O:$O, 0), 0))</f>
        <v/>
      </c>
      <c r="W2497" s="81">
        <f>IF(Q2497="Sin Factura",0,IFERROR(_xlfn.XLOOKUP(1, (Facturas_Odoo!$D:$D=A2497) * (Facturas_Odoo!$K:$K=I2497), Facturas_Odoo!$Q:$Q, 0), 0))</f>
        <v/>
      </c>
      <c r="X2497" s="79">
        <f>IF(OR(Q2497="Sin Factura",Q2497=""),"",IFERROR(INDEX(Pagos_Odoo!$B:$B, MATCH(Q2497, Pagos_Odoo!$I:$I, 0)), "Sin Pago"))</f>
        <v/>
      </c>
      <c r="Y2497" s="79">
        <f>IF(X2497="Sin Pago","",IFERROR(INDEX(Pagos_Odoo!$C:$C, MATCH(X2497, Pagos_Odoo!$B:$B, 0)), ""))</f>
        <v/>
      </c>
      <c r="Z2497" s="80">
        <f>IF(X2497="Sin Pago","",IFERROR(INDEX(Pagos_Odoo!$A:$A, MATCH(X2497, Pagos_Odoo!$B:$B, 0)), ""))</f>
        <v/>
      </c>
      <c r="AA2497" s="79">
        <f>IF(X2497="Sin Pago","",IFERROR(INDEX(Pagos_Odoo!$F:$F, MATCH(X2497, Pagos_Odoo!$B:$B, 0)), ""))</f>
        <v/>
      </c>
      <c r="AB2497" s="81">
        <f>IF(X2497="Sin Pago",0,IFERROR(INDEX(Pagos_Odoo!$E:$E, MATCH(X2497, Pagos_Odoo!$B:$B, 0)), 0))</f>
        <v/>
      </c>
      <c r="AC2497" s="79">
        <f>IF(X2497="Sin Pago","",IFERROR(INDEX(Pagos_Odoo!$G:$G, MATCH(X2497, Pagos_Odoo!$B:$B, 0)), ""))</f>
        <v/>
      </c>
      <c r="AD2497" s="82" t="n">
        <v>0</v>
      </c>
      <c r="AE2497" s="82" t="n"/>
      <c r="AF2497" s="82" t="n"/>
      <c r="AG2497" s="82">
        <f>IF(AN2497="","",AD2497+AE2497+AF2497)</f>
        <v/>
      </c>
      <c r="AH2497" s="81">
        <f>IF(AN2497="","",P2497*(1-AG2497))</f>
        <v/>
      </c>
      <c r="AI2497" s="81">
        <f>IF(AN2497="","",IF(Q2497="Sin Factura",0,IFERROR(INDEX(Facturas_Odoo!$H:$H, MATCH(Q2497, Facturas_Odoo!$B:$B, 0)), 0)*(1-AG2497)))</f>
        <v/>
      </c>
      <c r="AJ2497" s="81">
        <f>IF(AN2497="","",_xlfn.LET(idVenta, AN2497&amp;"",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97" s="81">
        <f>IF(AN2497="","",AH2497-AJ2497)</f>
        <v/>
      </c>
      <c r="AL2497" s="81">
        <f>IF(AN2497="","",IF(Q2497="Sin Factura","",AI2497-AJ2497))</f>
        <v/>
      </c>
      <c r="AM2497" s="81">
        <f>IF(AN2497="","",IF(Q2497="Sin Factura",0,P2497-IFERROR(INDEX(Facturas_Odoo!$H:$H, MATCH(Q2497, Facturas_Odoo!$B:$B, 0)), 0)))</f>
        <v/>
      </c>
      <c r="AN2497" s="79">
        <f>IF(AND(A2497="", J2497=""), "", IF(A2497&lt;&gt;"", VALUE(MID(A2497,2,LEN(A2497))), AN2496))</f>
        <v/>
      </c>
      <c r="AO2497" s="79">
        <f>IF(AN2497="","",IF(AD2497=0,"OK",_xlfn.LET(monedaPago, IF(AA2497="","USD",AA2497), limitePermitido, IFERROR(VLOOKUP(monedaPago, Configuración!$A$2:$B$3, 2, FALSE), 0.15), IF(AD2497&gt;limitePermitido, "ALERTA: EXCESO (" &amp; TEXT(limitePermitido, "0%") &amp; " máx)", "OK"))))</f>
        <v/>
      </c>
      <c r="AP2497" s="79">
        <f>IF(AN2497="","",IF(AE2497=0,"OK",_xlfn.LET(fechaPago, Z2497, fechaFactura, R2497, diasCredito, IF(E2497="Pago inmediato", 0, IFERROR(VALUE(MID(E2497, 1, SEARCH(" ", E2497)-1)),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97" s="79">
        <f>IF(AN2497="","",IF(AND(N2497&gt;0, AG2497&gt;0), IF(Configuración!$K$2="NO", "ALERTA: DESCUENTO DOBLE NO PERMITIDO", "OK"), "OK"))</f>
        <v/>
      </c>
      <c r="AR2497" s="79">
        <f>IF(AN2497="","",IF(OR(AO2497&lt;&gt;"OK", AP2497&lt;&gt;"OK", AQ2497&lt;&gt;"OK"), "⚠️ REVISAR", "OK"))</f>
        <v/>
      </c>
    </row>
    <row r="2498">
      <c r="A2498" s="79">
        <f>IF('Ordenes_Odoo'!A2498="","",'Ordenes_Odoo'!A2498)</f>
        <v/>
      </c>
      <c r="B2498" s="80">
        <f>IF('Ordenes_Odoo'!B2498="","",'Ordenes_Odoo'!B2498)</f>
        <v/>
      </c>
      <c r="C2498" s="79">
        <f>IF('Ordenes_Odoo'!C2498="","",'Ordenes_Odoo'!C2498)</f>
        <v/>
      </c>
      <c r="D2498" s="79">
        <f>IF('Ordenes_Odoo'!D2498="","",'Ordenes_Odoo'!D2498)</f>
        <v/>
      </c>
      <c r="E2498" s="79">
        <f>IF('Ordenes_Odoo'!E2498="","",'Ordenes_Odoo'!E2498)</f>
        <v/>
      </c>
      <c r="F2498" s="79">
        <f>IF('Ordenes_Odoo'!F2498="","",'Ordenes_Odoo'!F2498)</f>
        <v/>
      </c>
      <c r="G2498" s="79">
        <f>IF('Ordenes_Odoo'!G2498="","",'Ordenes_Odoo'!G2498)</f>
        <v/>
      </c>
      <c r="H2498" s="79">
        <f>IF('Ordenes_Odoo'!H2498="","",'Ordenes_Odoo'!H2498)</f>
        <v/>
      </c>
      <c r="I2498" s="79">
        <f>IF('Ordenes_Odoo'!I2498="","",'Ordenes_Odoo'!I2498)</f>
        <v/>
      </c>
      <c r="J2498" s="79">
        <f>IF('Ordenes_Odoo'!J2498="","",'Ordenes_Odoo'!J2498)</f>
        <v/>
      </c>
      <c r="K2498" s="81">
        <f>IF('Ordenes_Odoo'!K2498="","",'Ordenes_Odoo'!K2498)</f>
        <v/>
      </c>
      <c r="L2498" s="81">
        <f>IF('Ordenes_Odoo'!L2498="","",'Ordenes_Odoo'!L2498)</f>
        <v/>
      </c>
      <c r="M2498" s="79">
        <f>IF('Ordenes_Odoo'!M2498="","",'Ordenes_Odoo'!M2498)</f>
        <v/>
      </c>
      <c r="N2498" s="79">
        <f>IF('Ordenes_Odoo'!N2498="","",'Ordenes_Odoo'!N2498)</f>
        <v/>
      </c>
      <c r="O2498" s="81">
        <f>IF('Ordenes_Odoo'!O2498="","",'Ordenes_Odoo'!O2498)</f>
        <v/>
      </c>
      <c r="P2498" s="81">
        <f>IF('Ordenes_Odoo'!P2498="","",'Ordenes_Odoo'!P2498)</f>
        <v/>
      </c>
      <c r="Q2498" s="79">
        <f>IF(A2498="","",IFERROR(INDEX(Facturas_Odoo!$B:$B, MATCH(A2498, Facturas_Odoo!$D:$D, 0)), "Sin Factura"))</f>
        <v/>
      </c>
      <c r="R2498" s="80">
        <f>IF(Q2498="Sin Factura","",IFERROR(INDEX(Facturas_Odoo!$A:$A, MATCH(Q2498, Facturas_Odoo!$B:$B, 0)), ""))</f>
        <v/>
      </c>
      <c r="S2498" s="79">
        <f>IF(Q2498="Sin Factura","",IFERROR(_xlfn.XLOOKUP(1, (Facturas_Odoo!$D:$D=A2498) * (Facturas_Odoo!$K:$K=I2498), Facturas_Odoo!$L:$L, ""), ""))</f>
        <v/>
      </c>
      <c r="T2498" s="81">
        <f>IF(Q2498="Sin Factura",0,IFERROR(_xlfn.XLOOKUP(1, (Facturas_Odoo!$D:$D=A2498) * (Facturas_Odoo!$K:$K=I2498), Facturas_Odoo!$M:$M, 0), 0))</f>
        <v/>
      </c>
      <c r="U2498" s="79">
        <f>IF(Q2498="Sin Factura",0,IFERROR(_xlfn.XLOOKUP(1, (Facturas_Odoo!$D:$D=A2498) * (Facturas_Odoo!$K:$K=I2498), Facturas_Odoo!$N:$N, 0), 0))</f>
        <v/>
      </c>
      <c r="V2498" s="79">
        <f>IF(Q2498="Sin Factura",0,IFERROR(_xlfn.XLOOKUP(1, (Facturas_Odoo!$D:$D=A2498) * (Facturas_Odoo!$K:$K=I2498), Facturas_Odoo!$O:$O, 0), 0))</f>
        <v/>
      </c>
      <c r="W2498" s="81">
        <f>IF(Q2498="Sin Factura",0,IFERROR(_xlfn.XLOOKUP(1, (Facturas_Odoo!$D:$D=A2498) * (Facturas_Odoo!$K:$K=I2498), Facturas_Odoo!$Q:$Q, 0), 0))</f>
        <v/>
      </c>
      <c r="X2498" s="79">
        <f>IF(OR(Q2498="Sin Factura",Q2498=""),"",IFERROR(INDEX(Pagos_Odoo!$B:$B, MATCH(Q2498, Pagos_Odoo!$I:$I, 0)), "Sin Pago"))</f>
        <v/>
      </c>
      <c r="Y2498" s="79">
        <f>IF(X2498="Sin Pago","",IFERROR(INDEX(Pagos_Odoo!$C:$C, MATCH(X2498, Pagos_Odoo!$B:$B, 0)), ""))</f>
        <v/>
      </c>
      <c r="Z2498" s="80">
        <f>IF(X2498="Sin Pago","",IFERROR(INDEX(Pagos_Odoo!$A:$A, MATCH(X2498, Pagos_Odoo!$B:$B, 0)), ""))</f>
        <v/>
      </c>
      <c r="AA2498" s="79">
        <f>IF(X2498="Sin Pago","",IFERROR(INDEX(Pagos_Odoo!$F:$F, MATCH(X2498, Pagos_Odoo!$B:$B, 0)), ""))</f>
        <v/>
      </c>
      <c r="AB2498" s="81">
        <f>IF(X2498="Sin Pago",0,IFERROR(INDEX(Pagos_Odoo!$E:$E, MATCH(X2498, Pagos_Odoo!$B:$B, 0)), 0))</f>
        <v/>
      </c>
      <c r="AC2498" s="79">
        <f>IF(X2498="Sin Pago","",IFERROR(INDEX(Pagos_Odoo!$G:$G, MATCH(X2498, Pagos_Odoo!$B:$B, 0)), ""))</f>
        <v/>
      </c>
      <c r="AD2498" s="82" t="n">
        <v>0</v>
      </c>
      <c r="AE2498" s="82" t="n"/>
      <c r="AF2498" s="82" t="n"/>
      <c r="AG2498" s="82">
        <f>IF(AN2498="","",AD2498+AE2498+AF2498)</f>
        <v/>
      </c>
      <c r="AH2498" s="81">
        <f>IF(AN2498="","",P2498*(1-AG2498))</f>
        <v/>
      </c>
      <c r="AI2498" s="81">
        <f>IF(AN2498="","",IF(Q2498="Sin Factura",0,IFERROR(INDEX(Facturas_Odoo!$H:$H, MATCH(Q2498, Facturas_Odoo!$B:$B, 0)), 0)*(1-AG2498)))</f>
        <v/>
      </c>
      <c r="AJ2498" s="81">
        <f>IF(AN2498="","",_xlfn.LET(idVenta, AN2498&amp;"",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98" s="81">
        <f>IF(AN2498="","",AH2498-AJ2498)</f>
        <v/>
      </c>
      <c r="AL2498" s="81">
        <f>IF(AN2498="","",IF(Q2498="Sin Factura","",AI2498-AJ2498))</f>
        <v/>
      </c>
      <c r="AM2498" s="81">
        <f>IF(AN2498="","",IF(Q2498="Sin Factura",0,P2498-IFERROR(INDEX(Facturas_Odoo!$H:$H, MATCH(Q2498, Facturas_Odoo!$B:$B, 0)), 0)))</f>
        <v/>
      </c>
      <c r="AN2498" s="79">
        <f>IF(AND(A2498="", J2498=""), "", IF(A2498&lt;&gt;"", VALUE(MID(A2498,2,LEN(A2498))), AN2497))</f>
        <v/>
      </c>
      <c r="AO2498" s="79">
        <f>IF(AN2498="","",IF(AD2498=0,"OK",_xlfn.LET(monedaPago, IF(AA2498="","USD",AA2498), limitePermitido, IFERROR(VLOOKUP(monedaPago, Configuración!$A$2:$B$3, 2, FALSE), 0.15), IF(AD2498&gt;limitePermitido, "ALERTA: EXCESO (" &amp; TEXT(limitePermitido, "0%") &amp; " máx)", "OK"))))</f>
        <v/>
      </c>
      <c r="AP2498" s="79">
        <f>IF(AN2498="","",IF(AE2498=0,"OK",_xlfn.LET(fechaPago, Z2498, fechaFactura, R2498, diasCredito, IF(E2498="Pago inmediato", 0, IFERROR(VALUE(MID(E2498, 1, SEARCH(" ", E2498)-1)),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98" s="79">
        <f>IF(AN2498="","",IF(AND(N2498&gt;0, AG2498&gt;0), IF(Configuración!$K$2="NO", "ALERTA: DESCUENTO DOBLE NO PERMITIDO", "OK"), "OK"))</f>
        <v/>
      </c>
      <c r="AR2498" s="79">
        <f>IF(AN2498="","",IF(OR(AO2498&lt;&gt;"OK", AP2498&lt;&gt;"OK", AQ2498&lt;&gt;"OK"), "⚠️ REVISAR", "OK"))</f>
        <v/>
      </c>
    </row>
    <row r="2499">
      <c r="A2499" s="79">
        <f>IF('Ordenes_Odoo'!A2499="","",'Ordenes_Odoo'!A2499)</f>
        <v/>
      </c>
      <c r="B2499" s="80">
        <f>IF('Ordenes_Odoo'!B2499="","",'Ordenes_Odoo'!B2499)</f>
        <v/>
      </c>
      <c r="C2499" s="79">
        <f>IF('Ordenes_Odoo'!C2499="","",'Ordenes_Odoo'!C2499)</f>
        <v/>
      </c>
      <c r="D2499" s="79">
        <f>IF('Ordenes_Odoo'!D2499="","",'Ordenes_Odoo'!D2499)</f>
        <v/>
      </c>
      <c r="E2499" s="79">
        <f>IF('Ordenes_Odoo'!E2499="","",'Ordenes_Odoo'!E2499)</f>
        <v/>
      </c>
      <c r="F2499" s="79">
        <f>IF('Ordenes_Odoo'!F2499="","",'Ordenes_Odoo'!F2499)</f>
        <v/>
      </c>
      <c r="G2499" s="79">
        <f>IF('Ordenes_Odoo'!G2499="","",'Ordenes_Odoo'!G2499)</f>
        <v/>
      </c>
      <c r="H2499" s="79">
        <f>IF('Ordenes_Odoo'!H2499="","",'Ordenes_Odoo'!H2499)</f>
        <v/>
      </c>
      <c r="I2499" s="79">
        <f>IF('Ordenes_Odoo'!I2499="","",'Ordenes_Odoo'!I2499)</f>
        <v/>
      </c>
      <c r="J2499" s="79">
        <f>IF('Ordenes_Odoo'!J2499="","",'Ordenes_Odoo'!J2499)</f>
        <v/>
      </c>
      <c r="K2499" s="81">
        <f>IF('Ordenes_Odoo'!K2499="","",'Ordenes_Odoo'!K2499)</f>
        <v/>
      </c>
      <c r="L2499" s="81">
        <f>IF('Ordenes_Odoo'!L2499="","",'Ordenes_Odoo'!L2499)</f>
        <v/>
      </c>
      <c r="M2499" s="79">
        <f>IF('Ordenes_Odoo'!M2499="","",'Ordenes_Odoo'!M2499)</f>
        <v/>
      </c>
      <c r="N2499" s="79">
        <f>IF('Ordenes_Odoo'!N2499="","",'Ordenes_Odoo'!N2499)</f>
        <v/>
      </c>
      <c r="O2499" s="81">
        <f>IF('Ordenes_Odoo'!O2499="","",'Ordenes_Odoo'!O2499)</f>
        <v/>
      </c>
      <c r="P2499" s="81">
        <f>IF('Ordenes_Odoo'!P2499="","",'Ordenes_Odoo'!P2499)</f>
        <v/>
      </c>
      <c r="Q2499" s="79">
        <f>IF(A2499="","",IFERROR(INDEX(Facturas_Odoo!$B:$B, MATCH(A2499, Facturas_Odoo!$D:$D, 0)), "Sin Factura"))</f>
        <v/>
      </c>
      <c r="R2499" s="80">
        <f>IF(Q2499="Sin Factura","",IFERROR(INDEX(Facturas_Odoo!$A:$A, MATCH(Q2499, Facturas_Odoo!$B:$B, 0)), ""))</f>
        <v/>
      </c>
      <c r="S2499" s="79">
        <f>IF(Q2499="Sin Factura","",IFERROR(_xlfn.XLOOKUP(1, (Facturas_Odoo!$D:$D=A2499) * (Facturas_Odoo!$K:$K=I2499), Facturas_Odoo!$L:$L, ""), ""))</f>
        <v/>
      </c>
      <c r="T2499" s="81">
        <f>IF(Q2499="Sin Factura",0,IFERROR(_xlfn.XLOOKUP(1, (Facturas_Odoo!$D:$D=A2499) * (Facturas_Odoo!$K:$K=I2499), Facturas_Odoo!$M:$M, 0), 0))</f>
        <v/>
      </c>
      <c r="U2499" s="79">
        <f>IF(Q2499="Sin Factura",0,IFERROR(_xlfn.XLOOKUP(1, (Facturas_Odoo!$D:$D=A2499) * (Facturas_Odoo!$K:$K=I2499), Facturas_Odoo!$N:$N, 0), 0))</f>
        <v/>
      </c>
      <c r="V2499" s="79">
        <f>IF(Q2499="Sin Factura",0,IFERROR(_xlfn.XLOOKUP(1, (Facturas_Odoo!$D:$D=A2499) * (Facturas_Odoo!$K:$K=I2499), Facturas_Odoo!$O:$O, 0), 0))</f>
        <v/>
      </c>
      <c r="W2499" s="81">
        <f>IF(Q2499="Sin Factura",0,IFERROR(_xlfn.XLOOKUP(1, (Facturas_Odoo!$D:$D=A2499) * (Facturas_Odoo!$K:$K=I2499), Facturas_Odoo!$Q:$Q, 0), 0))</f>
        <v/>
      </c>
      <c r="X2499" s="79">
        <f>IF(OR(Q2499="Sin Factura",Q2499=""),"",IFERROR(INDEX(Pagos_Odoo!$B:$B, MATCH(Q2499, Pagos_Odoo!$I:$I, 0)), "Sin Pago"))</f>
        <v/>
      </c>
      <c r="Y2499" s="79">
        <f>IF(X2499="Sin Pago","",IFERROR(INDEX(Pagos_Odoo!$C:$C, MATCH(X2499, Pagos_Odoo!$B:$B, 0)), ""))</f>
        <v/>
      </c>
      <c r="Z2499" s="80">
        <f>IF(X2499="Sin Pago","",IFERROR(INDEX(Pagos_Odoo!$A:$A, MATCH(X2499, Pagos_Odoo!$B:$B, 0)), ""))</f>
        <v/>
      </c>
      <c r="AA2499" s="79">
        <f>IF(X2499="Sin Pago","",IFERROR(INDEX(Pagos_Odoo!$F:$F, MATCH(X2499, Pagos_Odoo!$B:$B, 0)), ""))</f>
        <v/>
      </c>
      <c r="AB2499" s="81">
        <f>IF(X2499="Sin Pago",0,IFERROR(INDEX(Pagos_Odoo!$E:$E, MATCH(X2499, Pagos_Odoo!$B:$B, 0)), 0))</f>
        <v/>
      </c>
      <c r="AC2499" s="79">
        <f>IF(X2499="Sin Pago","",IFERROR(INDEX(Pagos_Odoo!$G:$G, MATCH(X2499, Pagos_Odoo!$B:$B, 0)), ""))</f>
        <v/>
      </c>
      <c r="AD2499" s="82" t="n">
        <v>0</v>
      </c>
      <c r="AE2499" s="82" t="n"/>
      <c r="AF2499" s="82" t="n"/>
      <c r="AG2499" s="82">
        <f>IF(AN2499="","",AD2499+AE2499+AF2499)</f>
        <v/>
      </c>
      <c r="AH2499" s="81">
        <f>IF(AN2499="","",P2499*(1-AG2499))</f>
        <v/>
      </c>
      <c r="AI2499" s="81">
        <f>IF(AN2499="","",IF(Q2499="Sin Factura",0,IFERROR(INDEX(Facturas_Odoo!$H:$H, MATCH(Q2499, Facturas_Odoo!$B:$B, 0)), 0)*(1-AG2499)))</f>
        <v/>
      </c>
      <c r="AJ2499" s="81">
        <f>IF(AN2499="","",_xlfn.LET(idVenta, AN2499&amp;"",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499" s="81">
        <f>IF(AN2499="","",AH2499-AJ2499)</f>
        <v/>
      </c>
      <c r="AL2499" s="81">
        <f>IF(AN2499="","",IF(Q2499="Sin Factura","",AI2499-AJ2499))</f>
        <v/>
      </c>
      <c r="AM2499" s="81">
        <f>IF(AN2499="","",IF(Q2499="Sin Factura",0,P2499-IFERROR(INDEX(Facturas_Odoo!$H:$H, MATCH(Q2499, Facturas_Odoo!$B:$B, 0)), 0)))</f>
        <v/>
      </c>
      <c r="AN2499" s="79">
        <f>IF(AND(A2499="", J2499=""), "", IF(A2499&lt;&gt;"", VALUE(MID(A2499,2,LEN(A2499))), AN2498))</f>
        <v/>
      </c>
      <c r="AO2499" s="79">
        <f>IF(AN2499="","",IF(AD2499=0,"OK",_xlfn.LET(monedaPago, IF(AA2499="","USD",AA2499), limitePermitido, IFERROR(VLOOKUP(monedaPago, Configuración!$A$2:$B$3, 2, FALSE), 0.15), IF(AD2499&gt;limitePermitido, "ALERTA: EXCESO (" &amp; TEXT(limitePermitido, "0%") &amp; " máx)", "OK"))))</f>
        <v/>
      </c>
      <c r="AP2499" s="79">
        <f>IF(AN2499="","",IF(AE2499=0,"OK",_xlfn.LET(fechaPago, Z2499, fechaFactura, R2499, diasCredito, IF(E2499="Pago inmediato", 0, IFERROR(VALUE(MID(E2499, 1, SEARCH(" ", E2499)-1)),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499" s="79">
        <f>IF(AN2499="","",IF(AND(N2499&gt;0, AG2499&gt;0), IF(Configuración!$K$2="NO", "ALERTA: DESCUENTO DOBLE NO PERMITIDO", "OK"), "OK"))</f>
        <v/>
      </c>
      <c r="AR2499" s="79">
        <f>IF(AN2499="","",IF(OR(AO2499&lt;&gt;"OK", AP2499&lt;&gt;"OK", AQ2499&lt;&gt;"OK"), "⚠️ REVISAR", "OK"))</f>
        <v/>
      </c>
    </row>
    <row r="2500">
      <c r="A2500" s="79">
        <f>IF('Ordenes_Odoo'!A2500="","",'Ordenes_Odoo'!A2500)</f>
        <v/>
      </c>
      <c r="B2500" s="80">
        <f>IF('Ordenes_Odoo'!B2500="","",'Ordenes_Odoo'!B2500)</f>
        <v/>
      </c>
      <c r="C2500" s="79">
        <f>IF('Ordenes_Odoo'!C2500="","",'Ordenes_Odoo'!C2500)</f>
        <v/>
      </c>
      <c r="D2500" s="79">
        <f>IF('Ordenes_Odoo'!D2500="","",'Ordenes_Odoo'!D2500)</f>
        <v/>
      </c>
      <c r="E2500" s="79">
        <f>IF('Ordenes_Odoo'!E2500="","",'Ordenes_Odoo'!E2500)</f>
        <v/>
      </c>
      <c r="F2500" s="79">
        <f>IF('Ordenes_Odoo'!F2500="","",'Ordenes_Odoo'!F2500)</f>
        <v/>
      </c>
      <c r="G2500" s="79">
        <f>IF('Ordenes_Odoo'!G2500="","",'Ordenes_Odoo'!G2500)</f>
        <v/>
      </c>
      <c r="H2500" s="79">
        <f>IF('Ordenes_Odoo'!H2500="","",'Ordenes_Odoo'!H2500)</f>
        <v/>
      </c>
      <c r="I2500" s="79">
        <f>IF('Ordenes_Odoo'!I2500="","",'Ordenes_Odoo'!I2500)</f>
        <v/>
      </c>
      <c r="J2500" s="79">
        <f>IF('Ordenes_Odoo'!J2500="","",'Ordenes_Odoo'!J2500)</f>
        <v/>
      </c>
      <c r="K2500" s="81">
        <f>IF('Ordenes_Odoo'!K2500="","",'Ordenes_Odoo'!K2500)</f>
        <v/>
      </c>
      <c r="L2500" s="81">
        <f>IF('Ordenes_Odoo'!L2500="","",'Ordenes_Odoo'!L2500)</f>
        <v/>
      </c>
      <c r="M2500" s="79">
        <f>IF('Ordenes_Odoo'!M2500="","",'Ordenes_Odoo'!M2500)</f>
        <v/>
      </c>
      <c r="N2500" s="79">
        <f>IF('Ordenes_Odoo'!N2500="","",'Ordenes_Odoo'!N2500)</f>
        <v/>
      </c>
      <c r="O2500" s="81">
        <f>IF('Ordenes_Odoo'!O2500="","",'Ordenes_Odoo'!O2500)</f>
        <v/>
      </c>
      <c r="P2500" s="81">
        <f>IF('Ordenes_Odoo'!P2500="","",'Ordenes_Odoo'!P2500)</f>
        <v/>
      </c>
      <c r="Q2500" s="79">
        <f>IF(A2500="","",IFERROR(INDEX(Facturas_Odoo!$B:$B, MATCH(A2500, Facturas_Odoo!$D:$D, 0)), "Sin Factura"))</f>
        <v/>
      </c>
      <c r="R2500" s="80">
        <f>IF(Q2500="Sin Factura","",IFERROR(INDEX(Facturas_Odoo!$A:$A, MATCH(Q2500, Facturas_Odoo!$B:$B, 0)), ""))</f>
        <v/>
      </c>
      <c r="S2500" s="79">
        <f>IF(Q2500="Sin Factura","",IFERROR(_xlfn.XLOOKUP(1, (Facturas_Odoo!$D:$D=A2500) * (Facturas_Odoo!$K:$K=I2500), Facturas_Odoo!$L:$L, ""), ""))</f>
        <v/>
      </c>
      <c r="T2500" s="81">
        <f>IF(Q2500="Sin Factura",0,IFERROR(_xlfn.XLOOKUP(1, (Facturas_Odoo!$D:$D=A2500) * (Facturas_Odoo!$K:$K=I2500), Facturas_Odoo!$M:$M, 0), 0))</f>
        <v/>
      </c>
      <c r="U2500" s="79">
        <f>IF(Q2500="Sin Factura",0,IFERROR(_xlfn.XLOOKUP(1, (Facturas_Odoo!$D:$D=A2500) * (Facturas_Odoo!$K:$K=I2500), Facturas_Odoo!$N:$N, 0), 0))</f>
        <v/>
      </c>
      <c r="V2500" s="79">
        <f>IF(Q2500="Sin Factura",0,IFERROR(_xlfn.XLOOKUP(1, (Facturas_Odoo!$D:$D=A2500) * (Facturas_Odoo!$K:$K=I2500), Facturas_Odoo!$O:$O, 0), 0))</f>
        <v/>
      </c>
      <c r="W2500" s="81">
        <f>IF(Q2500="Sin Factura",0,IFERROR(_xlfn.XLOOKUP(1, (Facturas_Odoo!$D:$D=A2500) * (Facturas_Odoo!$K:$K=I2500), Facturas_Odoo!$Q:$Q, 0), 0))</f>
        <v/>
      </c>
      <c r="X2500" s="79">
        <f>IF(OR(Q2500="Sin Factura",Q2500=""),"",IFERROR(INDEX(Pagos_Odoo!$B:$B, MATCH(Q2500, Pagos_Odoo!$I:$I, 0)), "Sin Pago"))</f>
        <v/>
      </c>
      <c r="Y2500" s="79">
        <f>IF(X2500="Sin Pago","",IFERROR(INDEX(Pagos_Odoo!$C:$C, MATCH(X2500, Pagos_Odoo!$B:$B, 0)), ""))</f>
        <v/>
      </c>
      <c r="Z2500" s="80">
        <f>IF(X2500="Sin Pago","",IFERROR(INDEX(Pagos_Odoo!$A:$A, MATCH(X2500, Pagos_Odoo!$B:$B, 0)), ""))</f>
        <v/>
      </c>
      <c r="AA2500" s="79">
        <f>IF(X2500="Sin Pago","",IFERROR(INDEX(Pagos_Odoo!$F:$F, MATCH(X2500, Pagos_Odoo!$B:$B, 0)), ""))</f>
        <v/>
      </c>
      <c r="AB2500" s="81">
        <f>IF(X2500="Sin Pago",0,IFERROR(INDEX(Pagos_Odoo!$E:$E, MATCH(X2500, Pagos_Odoo!$B:$B, 0)), 0))</f>
        <v/>
      </c>
      <c r="AC2500" s="79">
        <f>IF(X2500="Sin Pago","",IFERROR(INDEX(Pagos_Odoo!$G:$G, MATCH(X2500, Pagos_Odoo!$B:$B, 0)), ""))</f>
        <v/>
      </c>
      <c r="AD2500" s="82" t="n">
        <v>0</v>
      </c>
      <c r="AE2500" s="82" t="n"/>
      <c r="AF2500" s="82" t="n"/>
      <c r="AG2500" s="82">
        <f>IF(AN2500="","",AD2500+AE2500+AF2500)</f>
        <v/>
      </c>
      <c r="AH2500" s="81">
        <f>IF(AN2500="","",P2500*(1-AG2500))</f>
        <v/>
      </c>
      <c r="AI2500" s="81">
        <f>IF(AN2500="","",IF(Q2500="Sin Factura",0,IFERROR(INDEX(Facturas_Odoo!$H:$H, MATCH(Q2500, Facturas_Odoo!$B:$B, 0)), 0)*(1-AG2500)))</f>
        <v/>
      </c>
      <c r="AJ2500" s="81">
        <f>IF(AN2500="","",_xlfn.LET(idVenta, AN2500&amp;"",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00" s="81">
        <f>IF(AN2500="","",AH2500-AJ2500)</f>
        <v/>
      </c>
      <c r="AL2500" s="81">
        <f>IF(AN2500="","",IF(Q2500="Sin Factura","",AI2500-AJ2500))</f>
        <v/>
      </c>
      <c r="AM2500" s="81">
        <f>IF(AN2500="","",IF(Q2500="Sin Factura",0,P2500-IFERROR(INDEX(Facturas_Odoo!$H:$H, MATCH(Q2500, Facturas_Odoo!$B:$B, 0)), 0)))</f>
        <v/>
      </c>
      <c r="AN2500" s="79">
        <f>IF(AND(A2500="", J2500=""), "", IF(A2500&lt;&gt;"", VALUE(MID(A2500,2,LEN(A2500))), AN2499))</f>
        <v/>
      </c>
      <c r="AO2500" s="79">
        <f>IF(AN2500="","",IF(AD2500=0,"OK",_xlfn.LET(monedaPago, IF(AA2500="","USD",AA2500), limitePermitido, IFERROR(VLOOKUP(monedaPago, Configuración!$A$2:$B$3, 2, FALSE), 0.15), IF(AD2500&gt;limitePermitido, "ALERTA: EXCESO (" &amp; TEXT(limitePermitido, "0%") &amp; " máx)", "OK"))))</f>
        <v/>
      </c>
      <c r="AP2500" s="79">
        <f>IF(AN2500="","",IF(AE2500=0,"OK",_xlfn.LET(fechaPago, Z2500, fechaFactura, R2500, diasCredito, IF(E2500="Pago inmediato", 0, IFERROR(VALUE(MID(E2500, 1, SEARCH(" ", E2500)-1)),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00" s="79">
        <f>IF(AN2500="","",IF(AND(N2500&gt;0, AG2500&gt;0), IF(Configuración!$K$2="NO", "ALERTA: DESCUENTO DOBLE NO PERMITIDO", "OK"), "OK"))</f>
        <v/>
      </c>
      <c r="AR2500" s="79">
        <f>IF(AN2500="","",IF(OR(AO2500&lt;&gt;"OK", AP2500&lt;&gt;"OK", AQ2500&lt;&gt;"OK"), "⚠️ REVISAR", "OK"))</f>
        <v/>
      </c>
    </row>
    <row r="2501">
      <c r="A2501" s="79">
        <f>IF('Ordenes_Odoo'!A2501="","",'Ordenes_Odoo'!A2501)</f>
        <v/>
      </c>
      <c r="B2501" s="80">
        <f>IF('Ordenes_Odoo'!B2501="","",'Ordenes_Odoo'!B2501)</f>
        <v/>
      </c>
      <c r="C2501" s="79">
        <f>IF('Ordenes_Odoo'!C2501="","",'Ordenes_Odoo'!C2501)</f>
        <v/>
      </c>
      <c r="D2501" s="79">
        <f>IF('Ordenes_Odoo'!D2501="","",'Ordenes_Odoo'!D2501)</f>
        <v/>
      </c>
      <c r="E2501" s="79">
        <f>IF('Ordenes_Odoo'!E2501="","",'Ordenes_Odoo'!E2501)</f>
        <v/>
      </c>
      <c r="F2501" s="79">
        <f>IF('Ordenes_Odoo'!F2501="","",'Ordenes_Odoo'!F2501)</f>
        <v/>
      </c>
      <c r="G2501" s="79">
        <f>IF('Ordenes_Odoo'!G2501="","",'Ordenes_Odoo'!G2501)</f>
        <v/>
      </c>
      <c r="H2501" s="79">
        <f>IF('Ordenes_Odoo'!H2501="","",'Ordenes_Odoo'!H2501)</f>
        <v/>
      </c>
      <c r="I2501" s="79">
        <f>IF('Ordenes_Odoo'!I2501="","",'Ordenes_Odoo'!I2501)</f>
        <v/>
      </c>
      <c r="J2501" s="79">
        <f>IF('Ordenes_Odoo'!J2501="","",'Ordenes_Odoo'!J2501)</f>
        <v/>
      </c>
      <c r="K2501" s="81">
        <f>IF('Ordenes_Odoo'!K2501="","",'Ordenes_Odoo'!K2501)</f>
        <v/>
      </c>
      <c r="L2501" s="81">
        <f>IF('Ordenes_Odoo'!L2501="","",'Ordenes_Odoo'!L2501)</f>
        <v/>
      </c>
      <c r="M2501" s="79">
        <f>IF('Ordenes_Odoo'!M2501="","",'Ordenes_Odoo'!M2501)</f>
        <v/>
      </c>
      <c r="N2501" s="79">
        <f>IF('Ordenes_Odoo'!N2501="","",'Ordenes_Odoo'!N2501)</f>
        <v/>
      </c>
      <c r="O2501" s="81">
        <f>IF('Ordenes_Odoo'!O2501="","",'Ordenes_Odoo'!O2501)</f>
        <v/>
      </c>
      <c r="P2501" s="81">
        <f>IF('Ordenes_Odoo'!P2501="","",'Ordenes_Odoo'!P2501)</f>
        <v/>
      </c>
      <c r="Q2501" s="79">
        <f>IF(A2501="","",IFERROR(INDEX(Facturas_Odoo!$B:$B, MATCH(A2501, Facturas_Odoo!$D:$D, 0)), "Sin Factura"))</f>
        <v/>
      </c>
      <c r="R2501" s="80">
        <f>IF(Q2501="Sin Factura","",IFERROR(INDEX(Facturas_Odoo!$A:$A, MATCH(Q2501, Facturas_Odoo!$B:$B, 0)), ""))</f>
        <v/>
      </c>
      <c r="S2501" s="79">
        <f>IF(Q2501="Sin Factura","",IFERROR(_xlfn.XLOOKUP(1, (Facturas_Odoo!$D:$D=A2501) * (Facturas_Odoo!$K:$K=I2501), Facturas_Odoo!$L:$L, ""), ""))</f>
        <v/>
      </c>
      <c r="T2501" s="81">
        <f>IF(Q2501="Sin Factura",0,IFERROR(_xlfn.XLOOKUP(1, (Facturas_Odoo!$D:$D=A2501) * (Facturas_Odoo!$K:$K=I2501), Facturas_Odoo!$M:$M, 0), 0))</f>
        <v/>
      </c>
      <c r="U2501" s="79">
        <f>IF(Q2501="Sin Factura",0,IFERROR(_xlfn.XLOOKUP(1, (Facturas_Odoo!$D:$D=A2501) * (Facturas_Odoo!$K:$K=I2501), Facturas_Odoo!$N:$N, 0), 0))</f>
        <v/>
      </c>
      <c r="V2501" s="79">
        <f>IF(Q2501="Sin Factura",0,IFERROR(_xlfn.XLOOKUP(1, (Facturas_Odoo!$D:$D=A2501) * (Facturas_Odoo!$K:$K=I2501), Facturas_Odoo!$O:$O, 0), 0))</f>
        <v/>
      </c>
      <c r="W2501" s="81">
        <f>IF(Q2501="Sin Factura",0,IFERROR(_xlfn.XLOOKUP(1, (Facturas_Odoo!$D:$D=A2501) * (Facturas_Odoo!$K:$K=I2501), Facturas_Odoo!$Q:$Q, 0), 0))</f>
        <v/>
      </c>
      <c r="X2501" s="79">
        <f>IF(OR(Q2501="Sin Factura",Q2501=""),"",IFERROR(INDEX(Pagos_Odoo!$B:$B, MATCH(Q2501, Pagos_Odoo!$I:$I, 0)), "Sin Pago"))</f>
        <v/>
      </c>
      <c r="Y2501" s="79">
        <f>IF(X2501="Sin Pago","",IFERROR(INDEX(Pagos_Odoo!$C:$C, MATCH(X2501, Pagos_Odoo!$B:$B, 0)), ""))</f>
        <v/>
      </c>
      <c r="Z2501" s="80">
        <f>IF(X2501="Sin Pago","",IFERROR(INDEX(Pagos_Odoo!$A:$A, MATCH(X2501, Pagos_Odoo!$B:$B, 0)), ""))</f>
        <v/>
      </c>
      <c r="AA2501" s="79">
        <f>IF(X2501="Sin Pago","",IFERROR(INDEX(Pagos_Odoo!$F:$F, MATCH(X2501, Pagos_Odoo!$B:$B, 0)), ""))</f>
        <v/>
      </c>
      <c r="AB2501" s="81">
        <f>IF(X2501="Sin Pago",0,IFERROR(INDEX(Pagos_Odoo!$E:$E, MATCH(X2501, Pagos_Odoo!$B:$B, 0)), 0))</f>
        <v/>
      </c>
      <c r="AC2501" s="79">
        <f>IF(X2501="Sin Pago","",IFERROR(INDEX(Pagos_Odoo!$G:$G, MATCH(X2501, Pagos_Odoo!$B:$B, 0)), ""))</f>
        <v/>
      </c>
      <c r="AD2501" s="82" t="n">
        <v>0</v>
      </c>
      <c r="AE2501" s="82" t="n"/>
      <c r="AF2501" s="82" t="n"/>
      <c r="AG2501" s="82">
        <f>IF(AN2501="","",AD2501+AE2501+AF2501)</f>
        <v/>
      </c>
      <c r="AH2501" s="81">
        <f>IF(AN2501="","",P2501*(1-AG2501))</f>
        <v/>
      </c>
      <c r="AI2501" s="81">
        <f>IF(AN2501="","",IF(Q2501="Sin Factura",0,IFERROR(INDEX(Facturas_Odoo!$H:$H, MATCH(Q2501, Facturas_Odoo!$B:$B, 0)), 0)*(1-AG2501)))</f>
        <v/>
      </c>
      <c r="AJ2501" s="81">
        <f>IF(AN2501="","",_xlfn.LET(idVenta, AN2501&amp;"",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01" s="81">
        <f>IF(AN2501="","",AH2501-AJ2501)</f>
        <v/>
      </c>
      <c r="AL2501" s="81">
        <f>IF(AN2501="","",IF(Q2501="Sin Factura","",AI2501-AJ2501))</f>
        <v/>
      </c>
      <c r="AM2501" s="81">
        <f>IF(AN2501="","",IF(Q2501="Sin Factura",0,P2501-IFERROR(INDEX(Facturas_Odoo!$H:$H, MATCH(Q2501, Facturas_Odoo!$B:$B, 0)), 0)))</f>
        <v/>
      </c>
      <c r="AN2501" s="79">
        <f>IF(AND(A2501="", J2501=""), "", IF(A2501&lt;&gt;"", VALUE(MID(A2501,2,LEN(A2501))), AN2500))</f>
        <v/>
      </c>
      <c r="AO2501" s="79">
        <f>IF(AN2501="","",IF(AD2501=0,"OK",_xlfn.LET(monedaPago, IF(AA2501="","USD",AA2501), limitePermitido, IFERROR(VLOOKUP(monedaPago, Configuración!$A$2:$B$3, 2, FALSE), 0.15), IF(AD2501&gt;limitePermitido, "ALERTA: EXCESO (" &amp; TEXT(limitePermitido, "0%") &amp; " máx)", "OK"))))</f>
        <v/>
      </c>
      <c r="AP2501" s="79">
        <f>IF(AN2501="","",IF(AE2501=0,"OK",_xlfn.LET(fechaPago, Z2501, fechaFactura, R2501, diasCredito, IF(E2501="Pago inmediato", 0, IFERROR(VALUE(MID(E2501, 1, SEARCH(" ", E2501)-1)),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01" s="79">
        <f>IF(AN2501="","",IF(AND(N2501&gt;0, AG2501&gt;0), IF(Configuración!$K$2="NO", "ALERTA: DESCUENTO DOBLE NO PERMITIDO", "OK"), "OK"))</f>
        <v/>
      </c>
      <c r="AR2501" s="79">
        <f>IF(AN2501="","",IF(OR(AO2501&lt;&gt;"OK", AP2501&lt;&gt;"OK", AQ2501&lt;&gt;"OK"), "⚠️ REVISAR", "OK"))</f>
        <v/>
      </c>
    </row>
    <row r="2502">
      <c r="A2502" s="79">
        <f>IF('Ordenes_Odoo'!A2502="","",'Ordenes_Odoo'!A2502)</f>
        <v/>
      </c>
      <c r="B2502" s="80">
        <f>IF('Ordenes_Odoo'!B2502="","",'Ordenes_Odoo'!B2502)</f>
        <v/>
      </c>
      <c r="C2502" s="79">
        <f>IF('Ordenes_Odoo'!C2502="","",'Ordenes_Odoo'!C2502)</f>
        <v/>
      </c>
      <c r="D2502" s="79">
        <f>IF('Ordenes_Odoo'!D2502="","",'Ordenes_Odoo'!D2502)</f>
        <v/>
      </c>
      <c r="E2502" s="79">
        <f>IF('Ordenes_Odoo'!E2502="","",'Ordenes_Odoo'!E2502)</f>
        <v/>
      </c>
      <c r="F2502" s="79">
        <f>IF('Ordenes_Odoo'!F2502="","",'Ordenes_Odoo'!F2502)</f>
        <v/>
      </c>
      <c r="G2502" s="79">
        <f>IF('Ordenes_Odoo'!G2502="","",'Ordenes_Odoo'!G2502)</f>
        <v/>
      </c>
      <c r="H2502" s="79">
        <f>IF('Ordenes_Odoo'!H2502="","",'Ordenes_Odoo'!H2502)</f>
        <v/>
      </c>
      <c r="I2502" s="79">
        <f>IF('Ordenes_Odoo'!I2502="","",'Ordenes_Odoo'!I2502)</f>
        <v/>
      </c>
      <c r="J2502" s="79">
        <f>IF('Ordenes_Odoo'!J2502="","",'Ordenes_Odoo'!J2502)</f>
        <v/>
      </c>
      <c r="K2502" s="81">
        <f>IF('Ordenes_Odoo'!K2502="","",'Ordenes_Odoo'!K2502)</f>
        <v/>
      </c>
      <c r="L2502" s="81">
        <f>IF('Ordenes_Odoo'!L2502="","",'Ordenes_Odoo'!L2502)</f>
        <v/>
      </c>
      <c r="M2502" s="79">
        <f>IF('Ordenes_Odoo'!M2502="","",'Ordenes_Odoo'!M2502)</f>
        <v/>
      </c>
      <c r="N2502" s="79">
        <f>IF('Ordenes_Odoo'!N2502="","",'Ordenes_Odoo'!N2502)</f>
        <v/>
      </c>
      <c r="O2502" s="81">
        <f>IF('Ordenes_Odoo'!O2502="","",'Ordenes_Odoo'!O2502)</f>
        <v/>
      </c>
      <c r="P2502" s="81">
        <f>IF('Ordenes_Odoo'!P2502="","",'Ordenes_Odoo'!P2502)</f>
        <v/>
      </c>
      <c r="Q2502" s="79">
        <f>IF(A2502="","",IFERROR(INDEX(Facturas_Odoo!$B:$B, MATCH(A2502, Facturas_Odoo!$D:$D, 0)), "Sin Factura"))</f>
        <v/>
      </c>
      <c r="R2502" s="80">
        <f>IF(Q2502="Sin Factura","",IFERROR(INDEX(Facturas_Odoo!$A:$A, MATCH(Q2502, Facturas_Odoo!$B:$B, 0)), ""))</f>
        <v/>
      </c>
      <c r="S2502" s="79">
        <f>IF(Q2502="Sin Factura","",IFERROR(_xlfn.XLOOKUP(1, (Facturas_Odoo!$D:$D=A2502) * (Facturas_Odoo!$K:$K=I2502), Facturas_Odoo!$L:$L, ""), ""))</f>
        <v/>
      </c>
      <c r="T2502" s="81">
        <f>IF(Q2502="Sin Factura",0,IFERROR(_xlfn.XLOOKUP(1, (Facturas_Odoo!$D:$D=A2502) * (Facturas_Odoo!$K:$K=I2502), Facturas_Odoo!$M:$M, 0), 0))</f>
        <v/>
      </c>
      <c r="U2502" s="79">
        <f>IF(Q2502="Sin Factura",0,IFERROR(_xlfn.XLOOKUP(1, (Facturas_Odoo!$D:$D=A2502) * (Facturas_Odoo!$K:$K=I2502), Facturas_Odoo!$N:$N, 0), 0))</f>
        <v/>
      </c>
      <c r="V2502" s="79">
        <f>IF(Q2502="Sin Factura",0,IFERROR(_xlfn.XLOOKUP(1, (Facturas_Odoo!$D:$D=A2502) * (Facturas_Odoo!$K:$K=I2502), Facturas_Odoo!$O:$O, 0), 0))</f>
        <v/>
      </c>
      <c r="W2502" s="81">
        <f>IF(Q2502="Sin Factura",0,IFERROR(_xlfn.XLOOKUP(1, (Facturas_Odoo!$D:$D=A2502) * (Facturas_Odoo!$K:$K=I2502), Facturas_Odoo!$Q:$Q, 0), 0))</f>
        <v/>
      </c>
      <c r="X2502" s="79">
        <f>IF(OR(Q2502="Sin Factura",Q2502=""),"",IFERROR(INDEX(Pagos_Odoo!$B:$B, MATCH(Q2502, Pagos_Odoo!$I:$I, 0)), "Sin Pago"))</f>
        <v/>
      </c>
      <c r="Y2502" s="79">
        <f>IF(X2502="Sin Pago","",IFERROR(INDEX(Pagos_Odoo!$C:$C, MATCH(X2502, Pagos_Odoo!$B:$B, 0)), ""))</f>
        <v/>
      </c>
      <c r="Z2502" s="80">
        <f>IF(X2502="Sin Pago","",IFERROR(INDEX(Pagos_Odoo!$A:$A, MATCH(X2502, Pagos_Odoo!$B:$B, 0)), ""))</f>
        <v/>
      </c>
      <c r="AA2502" s="79">
        <f>IF(X2502="Sin Pago","",IFERROR(INDEX(Pagos_Odoo!$F:$F, MATCH(X2502, Pagos_Odoo!$B:$B, 0)), ""))</f>
        <v/>
      </c>
      <c r="AB2502" s="81">
        <f>IF(X2502="Sin Pago",0,IFERROR(INDEX(Pagos_Odoo!$E:$E, MATCH(X2502, Pagos_Odoo!$B:$B, 0)), 0))</f>
        <v/>
      </c>
      <c r="AC2502" s="79">
        <f>IF(X2502="Sin Pago","",IFERROR(INDEX(Pagos_Odoo!$G:$G, MATCH(X2502, Pagos_Odoo!$B:$B, 0)), ""))</f>
        <v/>
      </c>
      <c r="AD2502" s="82" t="n">
        <v>0</v>
      </c>
      <c r="AE2502" s="82" t="n"/>
      <c r="AF2502" s="82" t="n"/>
      <c r="AG2502" s="82">
        <f>IF(AN2502="","",AD2502+AE2502+AF2502)</f>
        <v/>
      </c>
      <c r="AH2502" s="81">
        <f>IF(AN2502="","",P2502*(1-AG2502))</f>
        <v/>
      </c>
      <c r="AI2502" s="81">
        <f>IF(AN2502="","",IF(Q2502="Sin Factura",0,IFERROR(INDEX(Facturas_Odoo!$H:$H, MATCH(Q2502, Facturas_Odoo!$B:$B, 0)), 0)*(1-AG2502)))</f>
        <v/>
      </c>
      <c r="AJ2502" s="81">
        <f>IF(AN2502="","",_xlfn.LET(idVenta, AN2502&amp;"",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02" s="81">
        <f>IF(AN2502="","",AH2502-AJ2502)</f>
        <v/>
      </c>
      <c r="AL2502" s="81">
        <f>IF(AN2502="","",IF(Q2502="Sin Factura","",AI2502-AJ2502))</f>
        <v/>
      </c>
      <c r="AM2502" s="81">
        <f>IF(AN2502="","",IF(Q2502="Sin Factura",0,P2502-IFERROR(INDEX(Facturas_Odoo!$H:$H, MATCH(Q2502, Facturas_Odoo!$B:$B, 0)), 0)))</f>
        <v/>
      </c>
      <c r="AN2502" s="79">
        <f>IF(AND(A2502="", J2502=""), "", IF(A2502&lt;&gt;"", VALUE(MID(A2502,2,LEN(A2502))), AN2501))</f>
        <v/>
      </c>
      <c r="AO2502" s="79">
        <f>IF(AN2502="","",IF(AD2502=0,"OK",_xlfn.LET(monedaPago, IF(AA2502="","USD",AA2502), limitePermitido, IFERROR(VLOOKUP(monedaPago, Configuración!$A$2:$B$3, 2, FALSE), 0.15), IF(AD2502&gt;limitePermitido, "ALERTA: EXCESO (" &amp; TEXT(limitePermitido, "0%") &amp; " máx)", "OK"))))</f>
        <v/>
      </c>
      <c r="AP2502" s="79">
        <f>IF(AN2502="","",IF(AE2502=0,"OK",_xlfn.LET(fechaPago, Z2502, fechaFactura, R2502, diasCredito, IF(E2502="Pago inmediato", 0, IFERROR(VALUE(MID(E2502, 1, SEARCH(" ", E2502)-1)),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02" s="79">
        <f>IF(AN2502="","",IF(AND(N2502&gt;0, AG2502&gt;0), IF(Configuración!$K$2="NO", "ALERTA: DESCUENTO DOBLE NO PERMITIDO", "OK"), "OK"))</f>
        <v/>
      </c>
      <c r="AR2502" s="79">
        <f>IF(AN2502="","",IF(OR(AO2502&lt;&gt;"OK", AP2502&lt;&gt;"OK", AQ2502&lt;&gt;"OK"), "⚠️ REVISAR", "OK"))</f>
        <v/>
      </c>
    </row>
    <row r="2503">
      <c r="A2503" s="79">
        <f>IF('Ordenes_Odoo'!A2503="","",'Ordenes_Odoo'!A2503)</f>
        <v/>
      </c>
      <c r="B2503" s="80">
        <f>IF('Ordenes_Odoo'!B2503="","",'Ordenes_Odoo'!B2503)</f>
        <v/>
      </c>
      <c r="C2503" s="79">
        <f>IF('Ordenes_Odoo'!C2503="","",'Ordenes_Odoo'!C2503)</f>
        <v/>
      </c>
      <c r="D2503" s="79">
        <f>IF('Ordenes_Odoo'!D2503="","",'Ordenes_Odoo'!D2503)</f>
        <v/>
      </c>
      <c r="E2503" s="79">
        <f>IF('Ordenes_Odoo'!E2503="","",'Ordenes_Odoo'!E2503)</f>
        <v/>
      </c>
      <c r="F2503" s="79">
        <f>IF('Ordenes_Odoo'!F2503="","",'Ordenes_Odoo'!F2503)</f>
        <v/>
      </c>
      <c r="G2503" s="79">
        <f>IF('Ordenes_Odoo'!G2503="","",'Ordenes_Odoo'!G2503)</f>
        <v/>
      </c>
      <c r="H2503" s="79">
        <f>IF('Ordenes_Odoo'!H2503="","",'Ordenes_Odoo'!H2503)</f>
        <v/>
      </c>
      <c r="I2503" s="79">
        <f>IF('Ordenes_Odoo'!I2503="","",'Ordenes_Odoo'!I2503)</f>
        <v/>
      </c>
      <c r="J2503" s="79">
        <f>IF('Ordenes_Odoo'!J2503="","",'Ordenes_Odoo'!J2503)</f>
        <v/>
      </c>
      <c r="K2503" s="81">
        <f>IF('Ordenes_Odoo'!K2503="","",'Ordenes_Odoo'!K2503)</f>
        <v/>
      </c>
      <c r="L2503" s="81">
        <f>IF('Ordenes_Odoo'!L2503="","",'Ordenes_Odoo'!L2503)</f>
        <v/>
      </c>
      <c r="M2503" s="79">
        <f>IF('Ordenes_Odoo'!M2503="","",'Ordenes_Odoo'!M2503)</f>
        <v/>
      </c>
      <c r="N2503" s="79">
        <f>IF('Ordenes_Odoo'!N2503="","",'Ordenes_Odoo'!N2503)</f>
        <v/>
      </c>
      <c r="O2503" s="81">
        <f>IF('Ordenes_Odoo'!O2503="","",'Ordenes_Odoo'!O2503)</f>
        <v/>
      </c>
      <c r="P2503" s="81">
        <f>IF('Ordenes_Odoo'!P2503="","",'Ordenes_Odoo'!P2503)</f>
        <v/>
      </c>
      <c r="Q2503" s="79">
        <f>IF(A2503="","",IFERROR(INDEX(Facturas_Odoo!$B:$B, MATCH(A2503, Facturas_Odoo!$D:$D, 0)), "Sin Factura"))</f>
        <v/>
      </c>
      <c r="R2503" s="80">
        <f>IF(Q2503="Sin Factura","",IFERROR(INDEX(Facturas_Odoo!$A:$A, MATCH(Q2503, Facturas_Odoo!$B:$B, 0)), ""))</f>
        <v/>
      </c>
      <c r="S2503" s="79">
        <f>IF(Q2503="Sin Factura","",IFERROR(_xlfn.XLOOKUP(1, (Facturas_Odoo!$D:$D=A2503) * (Facturas_Odoo!$K:$K=I2503), Facturas_Odoo!$L:$L, ""), ""))</f>
        <v/>
      </c>
      <c r="T2503" s="81">
        <f>IF(Q2503="Sin Factura",0,IFERROR(_xlfn.XLOOKUP(1, (Facturas_Odoo!$D:$D=A2503) * (Facturas_Odoo!$K:$K=I2503), Facturas_Odoo!$M:$M, 0), 0))</f>
        <v/>
      </c>
      <c r="U2503" s="79">
        <f>IF(Q2503="Sin Factura",0,IFERROR(_xlfn.XLOOKUP(1, (Facturas_Odoo!$D:$D=A2503) * (Facturas_Odoo!$K:$K=I2503), Facturas_Odoo!$N:$N, 0), 0))</f>
        <v/>
      </c>
      <c r="V2503" s="79">
        <f>IF(Q2503="Sin Factura",0,IFERROR(_xlfn.XLOOKUP(1, (Facturas_Odoo!$D:$D=A2503) * (Facturas_Odoo!$K:$K=I2503), Facturas_Odoo!$O:$O, 0), 0))</f>
        <v/>
      </c>
      <c r="W2503" s="81">
        <f>IF(Q2503="Sin Factura",0,IFERROR(_xlfn.XLOOKUP(1, (Facturas_Odoo!$D:$D=A2503) * (Facturas_Odoo!$K:$K=I2503), Facturas_Odoo!$Q:$Q, 0), 0))</f>
        <v/>
      </c>
      <c r="X2503" s="79">
        <f>IF(OR(Q2503="Sin Factura",Q2503=""),"",IFERROR(INDEX(Pagos_Odoo!$B:$B, MATCH(Q2503, Pagos_Odoo!$I:$I, 0)), "Sin Pago"))</f>
        <v/>
      </c>
      <c r="Y2503" s="79">
        <f>IF(X2503="Sin Pago","",IFERROR(INDEX(Pagos_Odoo!$C:$C, MATCH(X2503, Pagos_Odoo!$B:$B, 0)), ""))</f>
        <v/>
      </c>
      <c r="Z2503" s="80">
        <f>IF(X2503="Sin Pago","",IFERROR(INDEX(Pagos_Odoo!$A:$A, MATCH(X2503, Pagos_Odoo!$B:$B, 0)), ""))</f>
        <v/>
      </c>
      <c r="AA2503" s="79">
        <f>IF(X2503="Sin Pago","",IFERROR(INDEX(Pagos_Odoo!$F:$F, MATCH(X2503, Pagos_Odoo!$B:$B, 0)), ""))</f>
        <v/>
      </c>
      <c r="AB2503" s="81">
        <f>IF(X2503="Sin Pago",0,IFERROR(INDEX(Pagos_Odoo!$E:$E, MATCH(X2503, Pagos_Odoo!$B:$B, 0)), 0))</f>
        <v/>
      </c>
      <c r="AC2503" s="79">
        <f>IF(X2503="Sin Pago","",IFERROR(INDEX(Pagos_Odoo!$G:$G, MATCH(X2503, Pagos_Odoo!$B:$B, 0)), ""))</f>
        <v/>
      </c>
      <c r="AD2503" s="82" t="n">
        <v>0</v>
      </c>
      <c r="AE2503" s="82" t="n"/>
      <c r="AF2503" s="82" t="n"/>
      <c r="AG2503" s="82">
        <f>IF(AN2503="","",AD2503+AE2503+AF2503)</f>
        <v/>
      </c>
      <c r="AH2503" s="81">
        <f>IF(AN2503="","",P2503*(1-AG2503))</f>
        <v/>
      </c>
      <c r="AI2503" s="81">
        <f>IF(AN2503="","",IF(Q2503="Sin Factura",0,IFERROR(INDEX(Facturas_Odoo!$H:$H, MATCH(Q2503, Facturas_Odoo!$B:$B, 0)), 0)*(1-AG2503)))</f>
        <v/>
      </c>
      <c r="AJ2503" s="81">
        <f>IF(AN2503="","",_xlfn.LET(idVenta, AN2503&amp;"",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03" s="81">
        <f>IF(AN2503="","",AH2503-AJ2503)</f>
        <v/>
      </c>
      <c r="AL2503" s="81">
        <f>IF(AN2503="","",IF(Q2503="Sin Factura","",AI2503-AJ2503))</f>
        <v/>
      </c>
      <c r="AM2503" s="81">
        <f>IF(AN2503="","",IF(Q2503="Sin Factura",0,P2503-IFERROR(INDEX(Facturas_Odoo!$H:$H, MATCH(Q2503, Facturas_Odoo!$B:$B, 0)), 0)))</f>
        <v/>
      </c>
      <c r="AN2503" s="79">
        <f>IF(AND(A2503="", J2503=""), "", IF(A2503&lt;&gt;"", VALUE(MID(A2503,2,LEN(A2503))), AN2502))</f>
        <v/>
      </c>
      <c r="AO2503" s="79">
        <f>IF(AN2503="","",IF(AD2503=0,"OK",_xlfn.LET(monedaPago, IF(AA2503="","USD",AA2503), limitePermitido, IFERROR(VLOOKUP(monedaPago, Configuración!$A$2:$B$3, 2, FALSE), 0.15), IF(AD2503&gt;limitePermitido, "ALERTA: EXCESO (" &amp; TEXT(limitePermitido, "0%") &amp; " máx)", "OK"))))</f>
        <v/>
      </c>
      <c r="AP2503" s="79">
        <f>IF(AN2503="","",IF(AE2503=0,"OK",_xlfn.LET(fechaPago, Z2503, fechaFactura, R2503, diasCredito, IF(E2503="Pago inmediato", 0, IFERROR(VALUE(MID(E2503, 1, SEARCH(" ", E2503)-1)),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03" s="79">
        <f>IF(AN2503="","",IF(AND(N2503&gt;0, AG2503&gt;0), IF(Configuración!$K$2="NO", "ALERTA: DESCUENTO DOBLE NO PERMITIDO", "OK"), "OK"))</f>
        <v/>
      </c>
      <c r="AR2503" s="79">
        <f>IF(AN2503="","",IF(OR(AO2503&lt;&gt;"OK", AP2503&lt;&gt;"OK", AQ2503&lt;&gt;"OK"), "⚠️ REVISAR", "OK"))</f>
        <v/>
      </c>
    </row>
    <row r="2504">
      <c r="A2504" s="79">
        <f>IF('Ordenes_Odoo'!A2504="","",'Ordenes_Odoo'!A2504)</f>
        <v/>
      </c>
      <c r="B2504" s="80">
        <f>IF('Ordenes_Odoo'!B2504="","",'Ordenes_Odoo'!B2504)</f>
        <v/>
      </c>
      <c r="C2504" s="79">
        <f>IF('Ordenes_Odoo'!C2504="","",'Ordenes_Odoo'!C2504)</f>
        <v/>
      </c>
      <c r="D2504" s="79">
        <f>IF('Ordenes_Odoo'!D2504="","",'Ordenes_Odoo'!D2504)</f>
        <v/>
      </c>
      <c r="E2504" s="79">
        <f>IF('Ordenes_Odoo'!E2504="","",'Ordenes_Odoo'!E2504)</f>
        <v/>
      </c>
      <c r="F2504" s="79">
        <f>IF('Ordenes_Odoo'!F2504="","",'Ordenes_Odoo'!F2504)</f>
        <v/>
      </c>
      <c r="G2504" s="79">
        <f>IF('Ordenes_Odoo'!G2504="","",'Ordenes_Odoo'!G2504)</f>
        <v/>
      </c>
      <c r="H2504" s="79">
        <f>IF('Ordenes_Odoo'!H2504="","",'Ordenes_Odoo'!H2504)</f>
        <v/>
      </c>
      <c r="I2504" s="79">
        <f>IF('Ordenes_Odoo'!I2504="","",'Ordenes_Odoo'!I2504)</f>
        <v/>
      </c>
      <c r="J2504" s="79">
        <f>IF('Ordenes_Odoo'!J2504="","",'Ordenes_Odoo'!J2504)</f>
        <v/>
      </c>
      <c r="K2504" s="81">
        <f>IF('Ordenes_Odoo'!K2504="","",'Ordenes_Odoo'!K2504)</f>
        <v/>
      </c>
      <c r="L2504" s="81">
        <f>IF('Ordenes_Odoo'!L2504="","",'Ordenes_Odoo'!L2504)</f>
        <v/>
      </c>
      <c r="M2504" s="79">
        <f>IF('Ordenes_Odoo'!M2504="","",'Ordenes_Odoo'!M2504)</f>
        <v/>
      </c>
      <c r="N2504" s="79">
        <f>IF('Ordenes_Odoo'!N2504="","",'Ordenes_Odoo'!N2504)</f>
        <v/>
      </c>
      <c r="O2504" s="81">
        <f>IF('Ordenes_Odoo'!O2504="","",'Ordenes_Odoo'!O2504)</f>
        <v/>
      </c>
      <c r="P2504" s="81">
        <f>IF('Ordenes_Odoo'!P2504="","",'Ordenes_Odoo'!P2504)</f>
        <v/>
      </c>
      <c r="Q2504" s="79">
        <f>IF(A2504="","",IFERROR(INDEX(Facturas_Odoo!$B:$B, MATCH(A2504, Facturas_Odoo!$D:$D, 0)), "Sin Factura"))</f>
        <v/>
      </c>
      <c r="R2504" s="80">
        <f>IF(Q2504="Sin Factura","",IFERROR(INDEX(Facturas_Odoo!$A:$A, MATCH(Q2504, Facturas_Odoo!$B:$B, 0)), ""))</f>
        <v/>
      </c>
      <c r="S2504" s="79">
        <f>IF(Q2504="Sin Factura","",IFERROR(_xlfn.XLOOKUP(1, (Facturas_Odoo!$D:$D=A2504) * (Facturas_Odoo!$K:$K=I2504), Facturas_Odoo!$L:$L, ""), ""))</f>
        <v/>
      </c>
      <c r="T2504" s="81">
        <f>IF(Q2504="Sin Factura",0,IFERROR(_xlfn.XLOOKUP(1, (Facturas_Odoo!$D:$D=A2504) * (Facturas_Odoo!$K:$K=I2504), Facturas_Odoo!$M:$M, 0), 0))</f>
        <v/>
      </c>
      <c r="U2504" s="79">
        <f>IF(Q2504="Sin Factura",0,IFERROR(_xlfn.XLOOKUP(1, (Facturas_Odoo!$D:$D=A2504) * (Facturas_Odoo!$K:$K=I2504), Facturas_Odoo!$N:$N, 0), 0))</f>
        <v/>
      </c>
      <c r="V2504" s="79">
        <f>IF(Q2504="Sin Factura",0,IFERROR(_xlfn.XLOOKUP(1, (Facturas_Odoo!$D:$D=A2504) * (Facturas_Odoo!$K:$K=I2504), Facturas_Odoo!$O:$O, 0), 0))</f>
        <v/>
      </c>
      <c r="W2504" s="81">
        <f>IF(Q2504="Sin Factura",0,IFERROR(_xlfn.XLOOKUP(1, (Facturas_Odoo!$D:$D=A2504) * (Facturas_Odoo!$K:$K=I2504), Facturas_Odoo!$Q:$Q, 0), 0))</f>
        <v/>
      </c>
      <c r="X2504" s="79">
        <f>IF(OR(Q2504="Sin Factura",Q2504=""),"",IFERROR(INDEX(Pagos_Odoo!$B:$B, MATCH(Q2504, Pagos_Odoo!$I:$I, 0)), "Sin Pago"))</f>
        <v/>
      </c>
      <c r="Y2504" s="79">
        <f>IF(X2504="Sin Pago","",IFERROR(INDEX(Pagos_Odoo!$C:$C, MATCH(X2504, Pagos_Odoo!$B:$B, 0)), ""))</f>
        <v/>
      </c>
      <c r="Z2504" s="80">
        <f>IF(X2504="Sin Pago","",IFERROR(INDEX(Pagos_Odoo!$A:$A, MATCH(X2504, Pagos_Odoo!$B:$B, 0)), ""))</f>
        <v/>
      </c>
      <c r="AA2504" s="79">
        <f>IF(X2504="Sin Pago","",IFERROR(INDEX(Pagos_Odoo!$F:$F, MATCH(X2504, Pagos_Odoo!$B:$B, 0)), ""))</f>
        <v/>
      </c>
      <c r="AB2504" s="81">
        <f>IF(X2504="Sin Pago",0,IFERROR(INDEX(Pagos_Odoo!$E:$E, MATCH(X2504, Pagos_Odoo!$B:$B, 0)), 0))</f>
        <v/>
      </c>
      <c r="AC2504" s="79">
        <f>IF(X2504="Sin Pago","",IFERROR(INDEX(Pagos_Odoo!$G:$G, MATCH(X2504, Pagos_Odoo!$B:$B, 0)), ""))</f>
        <v/>
      </c>
      <c r="AD2504" s="82" t="n">
        <v>0</v>
      </c>
      <c r="AE2504" s="82" t="n"/>
      <c r="AF2504" s="82" t="n"/>
      <c r="AG2504" s="82">
        <f>IF(AN2504="","",AD2504+AE2504+AF2504)</f>
        <v/>
      </c>
      <c r="AH2504" s="81">
        <f>IF(AN2504="","",P2504*(1-AG2504))</f>
        <v/>
      </c>
      <c r="AI2504" s="81">
        <f>IF(AN2504="","",IF(Q2504="Sin Factura",0,IFERROR(INDEX(Facturas_Odoo!$H:$H, MATCH(Q2504, Facturas_Odoo!$B:$B, 0)), 0)*(1-AG2504)))</f>
        <v/>
      </c>
      <c r="AJ2504" s="81">
        <f>IF(AN2504="","",_xlfn.LET(idVenta, AN2504&amp;"",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04" s="81">
        <f>IF(AN2504="","",AH2504-AJ2504)</f>
        <v/>
      </c>
      <c r="AL2504" s="81">
        <f>IF(AN2504="","",IF(Q2504="Sin Factura","",AI2504-AJ2504))</f>
        <v/>
      </c>
      <c r="AM2504" s="81">
        <f>IF(AN2504="","",IF(Q2504="Sin Factura",0,P2504-IFERROR(INDEX(Facturas_Odoo!$H:$H, MATCH(Q2504, Facturas_Odoo!$B:$B, 0)), 0)))</f>
        <v/>
      </c>
      <c r="AN2504" s="79">
        <f>IF(AND(A2504="", J2504=""), "", IF(A2504&lt;&gt;"", VALUE(MID(A2504,2,LEN(A2504))), AN2503))</f>
        <v/>
      </c>
      <c r="AO2504" s="79">
        <f>IF(AN2504="","",IF(AD2504=0,"OK",_xlfn.LET(monedaPago, IF(AA2504="","USD",AA2504), limitePermitido, IFERROR(VLOOKUP(monedaPago, Configuración!$A$2:$B$3, 2, FALSE), 0.15), IF(AD2504&gt;limitePermitido, "ALERTA: EXCESO (" &amp; TEXT(limitePermitido, "0%") &amp; " máx)", "OK"))))</f>
        <v/>
      </c>
      <c r="AP2504" s="79">
        <f>IF(AN2504="","",IF(AE2504=0,"OK",_xlfn.LET(fechaPago, Z2504, fechaFactura, R2504, diasCredito, IF(E2504="Pago inmediato", 0, IFERROR(VALUE(MID(E2504, 1, SEARCH(" ", E2504)-1)),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04" s="79">
        <f>IF(AN2504="","",IF(AND(N2504&gt;0, AG2504&gt;0), IF(Configuración!$K$2="NO", "ALERTA: DESCUENTO DOBLE NO PERMITIDO", "OK"), "OK"))</f>
        <v/>
      </c>
      <c r="AR2504" s="79">
        <f>IF(AN2504="","",IF(OR(AO2504&lt;&gt;"OK", AP2504&lt;&gt;"OK", AQ2504&lt;&gt;"OK"), "⚠️ REVISAR", "OK"))</f>
        <v/>
      </c>
    </row>
    <row r="2505">
      <c r="A2505" s="79">
        <f>IF('Ordenes_Odoo'!A2505="","",'Ordenes_Odoo'!A2505)</f>
        <v/>
      </c>
      <c r="B2505" s="80">
        <f>IF('Ordenes_Odoo'!B2505="","",'Ordenes_Odoo'!B2505)</f>
        <v/>
      </c>
      <c r="C2505" s="79">
        <f>IF('Ordenes_Odoo'!C2505="","",'Ordenes_Odoo'!C2505)</f>
        <v/>
      </c>
      <c r="D2505" s="79">
        <f>IF('Ordenes_Odoo'!D2505="","",'Ordenes_Odoo'!D2505)</f>
        <v/>
      </c>
      <c r="E2505" s="79">
        <f>IF('Ordenes_Odoo'!E2505="","",'Ordenes_Odoo'!E2505)</f>
        <v/>
      </c>
      <c r="F2505" s="79">
        <f>IF('Ordenes_Odoo'!F2505="","",'Ordenes_Odoo'!F2505)</f>
        <v/>
      </c>
      <c r="G2505" s="79">
        <f>IF('Ordenes_Odoo'!G2505="","",'Ordenes_Odoo'!G2505)</f>
        <v/>
      </c>
      <c r="H2505" s="79">
        <f>IF('Ordenes_Odoo'!H2505="","",'Ordenes_Odoo'!H2505)</f>
        <v/>
      </c>
      <c r="I2505" s="79">
        <f>IF('Ordenes_Odoo'!I2505="","",'Ordenes_Odoo'!I2505)</f>
        <v/>
      </c>
      <c r="J2505" s="79">
        <f>IF('Ordenes_Odoo'!J2505="","",'Ordenes_Odoo'!J2505)</f>
        <v/>
      </c>
      <c r="K2505" s="81">
        <f>IF('Ordenes_Odoo'!K2505="","",'Ordenes_Odoo'!K2505)</f>
        <v/>
      </c>
      <c r="L2505" s="81">
        <f>IF('Ordenes_Odoo'!L2505="","",'Ordenes_Odoo'!L2505)</f>
        <v/>
      </c>
      <c r="M2505" s="79">
        <f>IF('Ordenes_Odoo'!M2505="","",'Ordenes_Odoo'!M2505)</f>
        <v/>
      </c>
      <c r="N2505" s="79">
        <f>IF('Ordenes_Odoo'!N2505="","",'Ordenes_Odoo'!N2505)</f>
        <v/>
      </c>
      <c r="O2505" s="81">
        <f>IF('Ordenes_Odoo'!O2505="","",'Ordenes_Odoo'!O2505)</f>
        <v/>
      </c>
      <c r="P2505" s="81">
        <f>IF('Ordenes_Odoo'!P2505="","",'Ordenes_Odoo'!P2505)</f>
        <v/>
      </c>
      <c r="Q2505" s="79">
        <f>IF(A2505="","",IFERROR(INDEX(Facturas_Odoo!$B:$B, MATCH(A2505, Facturas_Odoo!$D:$D, 0)), "Sin Factura"))</f>
        <v/>
      </c>
      <c r="R2505" s="80">
        <f>IF(Q2505="Sin Factura","",IFERROR(INDEX(Facturas_Odoo!$A:$A, MATCH(Q2505, Facturas_Odoo!$B:$B, 0)), ""))</f>
        <v/>
      </c>
      <c r="S2505" s="79">
        <f>IF(Q2505="Sin Factura","",IFERROR(_xlfn.XLOOKUP(1, (Facturas_Odoo!$D:$D=A2505) * (Facturas_Odoo!$K:$K=I2505), Facturas_Odoo!$L:$L, ""), ""))</f>
        <v/>
      </c>
      <c r="T2505" s="81">
        <f>IF(Q2505="Sin Factura",0,IFERROR(_xlfn.XLOOKUP(1, (Facturas_Odoo!$D:$D=A2505) * (Facturas_Odoo!$K:$K=I2505), Facturas_Odoo!$M:$M, 0), 0))</f>
        <v/>
      </c>
      <c r="U2505" s="79">
        <f>IF(Q2505="Sin Factura",0,IFERROR(_xlfn.XLOOKUP(1, (Facturas_Odoo!$D:$D=A2505) * (Facturas_Odoo!$K:$K=I2505), Facturas_Odoo!$N:$N, 0), 0))</f>
        <v/>
      </c>
      <c r="V2505" s="79">
        <f>IF(Q2505="Sin Factura",0,IFERROR(_xlfn.XLOOKUP(1, (Facturas_Odoo!$D:$D=A2505) * (Facturas_Odoo!$K:$K=I2505), Facturas_Odoo!$O:$O, 0), 0))</f>
        <v/>
      </c>
      <c r="W2505" s="81">
        <f>IF(Q2505="Sin Factura",0,IFERROR(_xlfn.XLOOKUP(1, (Facturas_Odoo!$D:$D=A2505) * (Facturas_Odoo!$K:$K=I2505), Facturas_Odoo!$Q:$Q, 0), 0))</f>
        <v/>
      </c>
      <c r="X2505" s="79">
        <f>IF(OR(Q2505="Sin Factura",Q2505=""),"",IFERROR(INDEX(Pagos_Odoo!$B:$B, MATCH(Q2505, Pagos_Odoo!$I:$I, 0)), "Sin Pago"))</f>
        <v/>
      </c>
      <c r="Y2505" s="79">
        <f>IF(X2505="Sin Pago","",IFERROR(INDEX(Pagos_Odoo!$C:$C, MATCH(X2505, Pagos_Odoo!$B:$B, 0)), ""))</f>
        <v/>
      </c>
      <c r="Z2505" s="80">
        <f>IF(X2505="Sin Pago","",IFERROR(INDEX(Pagos_Odoo!$A:$A, MATCH(X2505, Pagos_Odoo!$B:$B, 0)), ""))</f>
        <v/>
      </c>
      <c r="AA2505" s="79">
        <f>IF(X2505="Sin Pago","",IFERROR(INDEX(Pagos_Odoo!$F:$F, MATCH(X2505, Pagos_Odoo!$B:$B, 0)), ""))</f>
        <v/>
      </c>
      <c r="AB2505" s="81">
        <f>IF(X2505="Sin Pago",0,IFERROR(INDEX(Pagos_Odoo!$E:$E, MATCH(X2505, Pagos_Odoo!$B:$B, 0)), 0))</f>
        <v/>
      </c>
      <c r="AC2505" s="79">
        <f>IF(X2505="Sin Pago","",IFERROR(INDEX(Pagos_Odoo!$G:$G, MATCH(X2505, Pagos_Odoo!$B:$B, 0)), ""))</f>
        <v/>
      </c>
      <c r="AD2505" s="82" t="n">
        <v>0</v>
      </c>
      <c r="AE2505" s="82" t="n"/>
      <c r="AF2505" s="82" t="n"/>
      <c r="AG2505" s="82">
        <f>IF(AN2505="","",AD2505+AE2505+AF2505)</f>
        <v/>
      </c>
      <c r="AH2505" s="81">
        <f>IF(AN2505="","",P2505*(1-AG2505))</f>
        <v/>
      </c>
      <c r="AI2505" s="81">
        <f>IF(AN2505="","",IF(Q2505="Sin Factura",0,IFERROR(INDEX(Facturas_Odoo!$H:$H, MATCH(Q2505, Facturas_Odoo!$B:$B, 0)), 0)*(1-AG2505)))</f>
        <v/>
      </c>
      <c r="AJ2505" s="81">
        <f>IF(AN2505="","",_xlfn.LET(idVenta, AN2505&amp;"",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05" s="81">
        <f>IF(AN2505="","",AH2505-AJ2505)</f>
        <v/>
      </c>
      <c r="AL2505" s="81">
        <f>IF(AN2505="","",IF(Q2505="Sin Factura","",AI2505-AJ2505))</f>
        <v/>
      </c>
      <c r="AM2505" s="81">
        <f>IF(AN2505="","",IF(Q2505="Sin Factura",0,P2505-IFERROR(INDEX(Facturas_Odoo!$H:$H, MATCH(Q2505, Facturas_Odoo!$B:$B, 0)), 0)))</f>
        <v/>
      </c>
      <c r="AN2505" s="79">
        <f>IF(AND(A2505="", J2505=""), "", IF(A2505&lt;&gt;"", VALUE(MID(A2505,2,LEN(A2505))), AN2504))</f>
        <v/>
      </c>
      <c r="AO2505" s="79">
        <f>IF(AN2505="","",IF(AD2505=0,"OK",_xlfn.LET(monedaPago, IF(AA2505="","USD",AA2505), limitePermitido, IFERROR(VLOOKUP(monedaPago, Configuración!$A$2:$B$3, 2, FALSE), 0.15), IF(AD2505&gt;limitePermitido, "ALERTA: EXCESO (" &amp; TEXT(limitePermitido, "0%") &amp; " máx)", "OK"))))</f>
        <v/>
      </c>
      <c r="AP2505" s="79">
        <f>IF(AN2505="","",IF(AE2505=0,"OK",_xlfn.LET(fechaPago, Z2505, fechaFactura, R2505, diasCredito, IF(E2505="Pago inmediato", 0, IFERROR(VALUE(MID(E2505, 1, SEARCH(" ", E2505)-1)),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05" s="79">
        <f>IF(AN2505="","",IF(AND(N2505&gt;0, AG2505&gt;0), IF(Configuración!$K$2="NO", "ALERTA: DESCUENTO DOBLE NO PERMITIDO", "OK"), "OK"))</f>
        <v/>
      </c>
      <c r="AR2505" s="79">
        <f>IF(AN2505="","",IF(OR(AO2505&lt;&gt;"OK", AP2505&lt;&gt;"OK", AQ2505&lt;&gt;"OK"), "⚠️ REVISAR", "OK"))</f>
        <v/>
      </c>
    </row>
    <row r="2506">
      <c r="A2506" s="79">
        <f>IF('Ordenes_Odoo'!A2506="","",'Ordenes_Odoo'!A2506)</f>
        <v/>
      </c>
      <c r="B2506" s="80">
        <f>IF('Ordenes_Odoo'!B2506="","",'Ordenes_Odoo'!B2506)</f>
        <v/>
      </c>
      <c r="C2506" s="79">
        <f>IF('Ordenes_Odoo'!C2506="","",'Ordenes_Odoo'!C2506)</f>
        <v/>
      </c>
      <c r="D2506" s="79">
        <f>IF('Ordenes_Odoo'!D2506="","",'Ordenes_Odoo'!D2506)</f>
        <v/>
      </c>
      <c r="E2506" s="79">
        <f>IF('Ordenes_Odoo'!E2506="","",'Ordenes_Odoo'!E2506)</f>
        <v/>
      </c>
      <c r="F2506" s="79">
        <f>IF('Ordenes_Odoo'!F2506="","",'Ordenes_Odoo'!F2506)</f>
        <v/>
      </c>
      <c r="G2506" s="79">
        <f>IF('Ordenes_Odoo'!G2506="","",'Ordenes_Odoo'!G2506)</f>
        <v/>
      </c>
      <c r="H2506" s="79">
        <f>IF('Ordenes_Odoo'!H2506="","",'Ordenes_Odoo'!H2506)</f>
        <v/>
      </c>
      <c r="I2506" s="79">
        <f>IF('Ordenes_Odoo'!I2506="","",'Ordenes_Odoo'!I2506)</f>
        <v/>
      </c>
      <c r="J2506" s="79">
        <f>IF('Ordenes_Odoo'!J2506="","",'Ordenes_Odoo'!J2506)</f>
        <v/>
      </c>
      <c r="K2506" s="81">
        <f>IF('Ordenes_Odoo'!K2506="","",'Ordenes_Odoo'!K2506)</f>
        <v/>
      </c>
      <c r="L2506" s="81">
        <f>IF('Ordenes_Odoo'!L2506="","",'Ordenes_Odoo'!L2506)</f>
        <v/>
      </c>
      <c r="M2506" s="79">
        <f>IF('Ordenes_Odoo'!M2506="","",'Ordenes_Odoo'!M2506)</f>
        <v/>
      </c>
      <c r="N2506" s="79">
        <f>IF('Ordenes_Odoo'!N2506="","",'Ordenes_Odoo'!N2506)</f>
        <v/>
      </c>
      <c r="O2506" s="81">
        <f>IF('Ordenes_Odoo'!O2506="","",'Ordenes_Odoo'!O2506)</f>
        <v/>
      </c>
      <c r="P2506" s="81">
        <f>IF('Ordenes_Odoo'!P2506="","",'Ordenes_Odoo'!P2506)</f>
        <v/>
      </c>
      <c r="Q2506" s="79">
        <f>IF(A2506="","",IFERROR(INDEX(Facturas_Odoo!$B:$B, MATCH(A2506, Facturas_Odoo!$D:$D, 0)), "Sin Factura"))</f>
        <v/>
      </c>
      <c r="R2506" s="80">
        <f>IF(Q2506="Sin Factura","",IFERROR(INDEX(Facturas_Odoo!$A:$A, MATCH(Q2506, Facturas_Odoo!$B:$B, 0)), ""))</f>
        <v/>
      </c>
      <c r="S2506" s="79">
        <f>IF(Q2506="Sin Factura","",IFERROR(_xlfn.XLOOKUP(1, (Facturas_Odoo!$D:$D=A2506) * (Facturas_Odoo!$K:$K=I2506), Facturas_Odoo!$L:$L, ""), ""))</f>
        <v/>
      </c>
      <c r="T2506" s="81">
        <f>IF(Q2506="Sin Factura",0,IFERROR(_xlfn.XLOOKUP(1, (Facturas_Odoo!$D:$D=A2506) * (Facturas_Odoo!$K:$K=I2506), Facturas_Odoo!$M:$M, 0), 0))</f>
        <v/>
      </c>
      <c r="U2506" s="79">
        <f>IF(Q2506="Sin Factura",0,IFERROR(_xlfn.XLOOKUP(1, (Facturas_Odoo!$D:$D=A2506) * (Facturas_Odoo!$K:$K=I2506), Facturas_Odoo!$N:$N, 0), 0))</f>
        <v/>
      </c>
      <c r="V2506" s="79">
        <f>IF(Q2506="Sin Factura",0,IFERROR(_xlfn.XLOOKUP(1, (Facturas_Odoo!$D:$D=A2506) * (Facturas_Odoo!$K:$K=I2506), Facturas_Odoo!$O:$O, 0), 0))</f>
        <v/>
      </c>
      <c r="W2506" s="81">
        <f>IF(Q2506="Sin Factura",0,IFERROR(_xlfn.XLOOKUP(1, (Facturas_Odoo!$D:$D=A2506) * (Facturas_Odoo!$K:$K=I2506), Facturas_Odoo!$Q:$Q, 0), 0))</f>
        <v/>
      </c>
      <c r="X2506" s="79">
        <f>IF(OR(Q2506="Sin Factura",Q2506=""),"",IFERROR(INDEX(Pagos_Odoo!$B:$B, MATCH(Q2506, Pagos_Odoo!$I:$I, 0)), "Sin Pago"))</f>
        <v/>
      </c>
      <c r="Y2506" s="79">
        <f>IF(X2506="Sin Pago","",IFERROR(INDEX(Pagos_Odoo!$C:$C, MATCH(X2506, Pagos_Odoo!$B:$B, 0)), ""))</f>
        <v/>
      </c>
      <c r="Z2506" s="80">
        <f>IF(X2506="Sin Pago","",IFERROR(INDEX(Pagos_Odoo!$A:$A, MATCH(X2506, Pagos_Odoo!$B:$B, 0)), ""))</f>
        <v/>
      </c>
      <c r="AA2506" s="79">
        <f>IF(X2506="Sin Pago","",IFERROR(INDEX(Pagos_Odoo!$F:$F, MATCH(X2506, Pagos_Odoo!$B:$B, 0)), ""))</f>
        <v/>
      </c>
      <c r="AB2506" s="81">
        <f>IF(X2506="Sin Pago",0,IFERROR(INDEX(Pagos_Odoo!$E:$E, MATCH(X2506, Pagos_Odoo!$B:$B, 0)), 0))</f>
        <v/>
      </c>
      <c r="AC2506" s="79">
        <f>IF(X2506="Sin Pago","",IFERROR(INDEX(Pagos_Odoo!$G:$G, MATCH(X2506, Pagos_Odoo!$B:$B, 0)), ""))</f>
        <v/>
      </c>
      <c r="AD2506" s="82" t="n">
        <v>0</v>
      </c>
      <c r="AE2506" s="82" t="n"/>
      <c r="AF2506" s="82" t="n"/>
      <c r="AG2506" s="82">
        <f>IF(AN2506="","",AD2506+AE2506+AF2506)</f>
        <v/>
      </c>
      <c r="AH2506" s="81">
        <f>IF(AN2506="","",P2506*(1-AG2506))</f>
        <v/>
      </c>
      <c r="AI2506" s="81">
        <f>IF(AN2506="","",IF(Q2506="Sin Factura",0,IFERROR(INDEX(Facturas_Odoo!$H:$H, MATCH(Q2506, Facturas_Odoo!$B:$B, 0)), 0)*(1-AG2506)))</f>
        <v/>
      </c>
      <c r="AJ2506" s="81">
        <f>IF(AN2506="","",_xlfn.LET(idVenta, AN2506&amp;"",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06" s="81">
        <f>IF(AN2506="","",AH2506-AJ2506)</f>
        <v/>
      </c>
      <c r="AL2506" s="81">
        <f>IF(AN2506="","",IF(Q2506="Sin Factura","",AI2506-AJ2506))</f>
        <v/>
      </c>
      <c r="AM2506" s="81">
        <f>IF(AN2506="","",IF(Q2506="Sin Factura",0,P2506-IFERROR(INDEX(Facturas_Odoo!$H:$H, MATCH(Q2506, Facturas_Odoo!$B:$B, 0)), 0)))</f>
        <v/>
      </c>
      <c r="AN2506" s="79">
        <f>IF(AND(A2506="", J2506=""), "", IF(A2506&lt;&gt;"", VALUE(MID(A2506,2,LEN(A2506))), AN2505))</f>
        <v/>
      </c>
      <c r="AO2506" s="79">
        <f>IF(AN2506="","",IF(AD2506=0,"OK",_xlfn.LET(monedaPago, IF(AA2506="","USD",AA2506), limitePermitido, IFERROR(VLOOKUP(monedaPago, Configuración!$A$2:$B$3, 2, FALSE), 0.15), IF(AD2506&gt;limitePermitido, "ALERTA: EXCESO (" &amp; TEXT(limitePermitido, "0%") &amp; " máx)", "OK"))))</f>
        <v/>
      </c>
      <c r="AP2506" s="79">
        <f>IF(AN2506="","",IF(AE2506=0,"OK",_xlfn.LET(fechaPago, Z2506, fechaFactura, R2506, diasCredito, IF(E2506="Pago inmediato", 0, IFERROR(VALUE(MID(E2506, 1, SEARCH(" ", E2506)-1)),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06" s="79">
        <f>IF(AN2506="","",IF(AND(N2506&gt;0, AG2506&gt;0), IF(Configuración!$K$2="NO", "ALERTA: DESCUENTO DOBLE NO PERMITIDO", "OK"), "OK"))</f>
        <v/>
      </c>
      <c r="AR2506" s="79">
        <f>IF(AN2506="","",IF(OR(AO2506&lt;&gt;"OK", AP2506&lt;&gt;"OK", AQ2506&lt;&gt;"OK"), "⚠️ REVISAR", "OK"))</f>
        <v/>
      </c>
    </row>
    <row r="2507">
      <c r="A2507" s="79">
        <f>IF('Ordenes_Odoo'!A2507="","",'Ordenes_Odoo'!A2507)</f>
        <v/>
      </c>
      <c r="B2507" s="80">
        <f>IF('Ordenes_Odoo'!B2507="","",'Ordenes_Odoo'!B2507)</f>
        <v/>
      </c>
      <c r="C2507" s="79">
        <f>IF('Ordenes_Odoo'!C2507="","",'Ordenes_Odoo'!C2507)</f>
        <v/>
      </c>
      <c r="D2507" s="79">
        <f>IF('Ordenes_Odoo'!D2507="","",'Ordenes_Odoo'!D2507)</f>
        <v/>
      </c>
      <c r="E2507" s="79">
        <f>IF('Ordenes_Odoo'!E2507="","",'Ordenes_Odoo'!E2507)</f>
        <v/>
      </c>
      <c r="F2507" s="79">
        <f>IF('Ordenes_Odoo'!F2507="","",'Ordenes_Odoo'!F2507)</f>
        <v/>
      </c>
      <c r="G2507" s="79">
        <f>IF('Ordenes_Odoo'!G2507="","",'Ordenes_Odoo'!G2507)</f>
        <v/>
      </c>
      <c r="H2507" s="79">
        <f>IF('Ordenes_Odoo'!H2507="","",'Ordenes_Odoo'!H2507)</f>
        <v/>
      </c>
      <c r="I2507" s="79">
        <f>IF('Ordenes_Odoo'!I2507="","",'Ordenes_Odoo'!I2507)</f>
        <v/>
      </c>
      <c r="J2507" s="79">
        <f>IF('Ordenes_Odoo'!J2507="","",'Ordenes_Odoo'!J2507)</f>
        <v/>
      </c>
      <c r="K2507" s="81">
        <f>IF('Ordenes_Odoo'!K2507="","",'Ordenes_Odoo'!K2507)</f>
        <v/>
      </c>
      <c r="L2507" s="81">
        <f>IF('Ordenes_Odoo'!L2507="","",'Ordenes_Odoo'!L2507)</f>
        <v/>
      </c>
      <c r="M2507" s="79">
        <f>IF('Ordenes_Odoo'!M2507="","",'Ordenes_Odoo'!M2507)</f>
        <v/>
      </c>
      <c r="N2507" s="79">
        <f>IF('Ordenes_Odoo'!N2507="","",'Ordenes_Odoo'!N2507)</f>
        <v/>
      </c>
      <c r="O2507" s="81">
        <f>IF('Ordenes_Odoo'!O2507="","",'Ordenes_Odoo'!O2507)</f>
        <v/>
      </c>
      <c r="P2507" s="81">
        <f>IF('Ordenes_Odoo'!P2507="","",'Ordenes_Odoo'!P2507)</f>
        <v/>
      </c>
      <c r="Q2507" s="79">
        <f>IF(A2507="","",IFERROR(INDEX(Facturas_Odoo!$B:$B, MATCH(A2507, Facturas_Odoo!$D:$D, 0)), "Sin Factura"))</f>
        <v/>
      </c>
      <c r="R2507" s="80">
        <f>IF(Q2507="Sin Factura","",IFERROR(INDEX(Facturas_Odoo!$A:$A, MATCH(Q2507, Facturas_Odoo!$B:$B, 0)), ""))</f>
        <v/>
      </c>
      <c r="S2507" s="79">
        <f>IF(Q2507="Sin Factura","",IFERROR(_xlfn.XLOOKUP(1, (Facturas_Odoo!$D:$D=A2507) * (Facturas_Odoo!$K:$K=I2507), Facturas_Odoo!$L:$L, ""), ""))</f>
        <v/>
      </c>
      <c r="T2507" s="81">
        <f>IF(Q2507="Sin Factura",0,IFERROR(_xlfn.XLOOKUP(1, (Facturas_Odoo!$D:$D=A2507) * (Facturas_Odoo!$K:$K=I2507), Facturas_Odoo!$M:$M, 0), 0))</f>
        <v/>
      </c>
      <c r="U2507" s="79">
        <f>IF(Q2507="Sin Factura",0,IFERROR(_xlfn.XLOOKUP(1, (Facturas_Odoo!$D:$D=A2507) * (Facturas_Odoo!$K:$K=I2507), Facturas_Odoo!$N:$N, 0), 0))</f>
        <v/>
      </c>
      <c r="V2507" s="79">
        <f>IF(Q2507="Sin Factura",0,IFERROR(_xlfn.XLOOKUP(1, (Facturas_Odoo!$D:$D=A2507) * (Facturas_Odoo!$K:$K=I2507), Facturas_Odoo!$O:$O, 0), 0))</f>
        <v/>
      </c>
      <c r="W2507" s="81">
        <f>IF(Q2507="Sin Factura",0,IFERROR(_xlfn.XLOOKUP(1, (Facturas_Odoo!$D:$D=A2507) * (Facturas_Odoo!$K:$K=I2507), Facturas_Odoo!$Q:$Q, 0), 0))</f>
        <v/>
      </c>
      <c r="X2507" s="79">
        <f>IF(OR(Q2507="Sin Factura",Q2507=""),"",IFERROR(INDEX(Pagos_Odoo!$B:$B, MATCH(Q2507, Pagos_Odoo!$I:$I, 0)), "Sin Pago"))</f>
        <v/>
      </c>
      <c r="Y2507" s="79">
        <f>IF(X2507="Sin Pago","",IFERROR(INDEX(Pagos_Odoo!$C:$C, MATCH(X2507, Pagos_Odoo!$B:$B, 0)), ""))</f>
        <v/>
      </c>
      <c r="Z2507" s="80">
        <f>IF(X2507="Sin Pago","",IFERROR(INDEX(Pagos_Odoo!$A:$A, MATCH(X2507, Pagos_Odoo!$B:$B, 0)), ""))</f>
        <v/>
      </c>
      <c r="AA2507" s="79">
        <f>IF(X2507="Sin Pago","",IFERROR(INDEX(Pagos_Odoo!$F:$F, MATCH(X2507, Pagos_Odoo!$B:$B, 0)), ""))</f>
        <v/>
      </c>
      <c r="AB2507" s="81">
        <f>IF(X2507="Sin Pago",0,IFERROR(INDEX(Pagos_Odoo!$E:$E, MATCH(X2507, Pagos_Odoo!$B:$B, 0)), 0))</f>
        <v/>
      </c>
      <c r="AC2507" s="79">
        <f>IF(X2507="Sin Pago","",IFERROR(INDEX(Pagos_Odoo!$G:$G, MATCH(X2507, Pagos_Odoo!$B:$B, 0)), ""))</f>
        <v/>
      </c>
      <c r="AD2507" s="82" t="n">
        <v>0</v>
      </c>
      <c r="AE2507" s="82" t="n"/>
      <c r="AF2507" s="82" t="n"/>
      <c r="AG2507" s="82">
        <f>IF(AN2507="","",AD2507+AE2507+AF2507)</f>
        <v/>
      </c>
      <c r="AH2507" s="81">
        <f>IF(AN2507="","",P2507*(1-AG2507))</f>
        <v/>
      </c>
      <c r="AI2507" s="81">
        <f>IF(AN2507="","",IF(Q2507="Sin Factura",0,IFERROR(INDEX(Facturas_Odoo!$H:$H, MATCH(Q2507, Facturas_Odoo!$B:$B, 0)), 0)*(1-AG2507)))</f>
        <v/>
      </c>
      <c r="AJ2507" s="81">
        <f>IF(AN2507="","",_xlfn.LET(idVenta, AN2507&amp;"",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07" s="81">
        <f>IF(AN2507="","",AH2507-AJ2507)</f>
        <v/>
      </c>
      <c r="AL2507" s="81">
        <f>IF(AN2507="","",IF(Q2507="Sin Factura","",AI2507-AJ2507))</f>
        <v/>
      </c>
      <c r="AM2507" s="81">
        <f>IF(AN2507="","",IF(Q2507="Sin Factura",0,P2507-IFERROR(INDEX(Facturas_Odoo!$H:$H, MATCH(Q2507, Facturas_Odoo!$B:$B, 0)), 0)))</f>
        <v/>
      </c>
      <c r="AN2507" s="79">
        <f>IF(AND(A2507="", J2507=""), "", IF(A2507&lt;&gt;"", VALUE(MID(A2507,2,LEN(A2507))), AN2506))</f>
        <v/>
      </c>
      <c r="AO2507" s="79">
        <f>IF(AN2507="","",IF(AD2507=0,"OK",_xlfn.LET(monedaPago, IF(AA2507="","USD",AA2507), limitePermitido, IFERROR(VLOOKUP(monedaPago, Configuración!$A$2:$B$3, 2, FALSE), 0.15), IF(AD2507&gt;limitePermitido, "ALERTA: EXCESO (" &amp; TEXT(limitePermitido, "0%") &amp; " máx)", "OK"))))</f>
        <v/>
      </c>
      <c r="AP2507" s="79">
        <f>IF(AN2507="","",IF(AE2507=0,"OK",_xlfn.LET(fechaPago, Z2507, fechaFactura, R2507, diasCredito, IF(E2507="Pago inmediato", 0, IFERROR(VALUE(MID(E2507, 1, SEARCH(" ", E2507)-1)),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07" s="79">
        <f>IF(AN2507="","",IF(AND(N2507&gt;0, AG2507&gt;0), IF(Configuración!$K$2="NO", "ALERTA: DESCUENTO DOBLE NO PERMITIDO", "OK"), "OK"))</f>
        <v/>
      </c>
      <c r="AR2507" s="79">
        <f>IF(AN2507="","",IF(OR(AO2507&lt;&gt;"OK", AP2507&lt;&gt;"OK", AQ2507&lt;&gt;"OK"), "⚠️ REVISAR", "OK"))</f>
        <v/>
      </c>
    </row>
    <row r="2508">
      <c r="A2508" s="79">
        <f>IF('Ordenes_Odoo'!A2508="","",'Ordenes_Odoo'!A2508)</f>
        <v/>
      </c>
      <c r="B2508" s="80">
        <f>IF('Ordenes_Odoo'!B2508="","",'Ordenes_Odoo'!B2508)</f>
        <v/>
      </c>
      <c r="C2508" s="79">
        <f>IF('Ordenes_Odoo'!C2508="","",'Ordenes_Odoo'!C2508)</f>
        <v/>
      </c>
      <c r="D2508" s="79">
        <f>IF('Ordenes_Odoo'!D2508="","",'Ordenes_Odoo'!D2508)</f>
        <v/>
      </c>
      <c r="E2508" s="79">
        <f>IF('Ordenes_Odoo'!E2508="","",'Ordenes_Odoo'!E2508)</f>
        <v/>
      </c>
      <c r="F2508" s="79">
        <f>IF('Ordenes_Odoo'!F2508="","",'Ordenes_Odoo'!F2508)</f>
        <v/>
      </c>
      <c r="G2508" s="79">
        <f>IF('Ordenes_Odoo'!G2508="","",'Ordenes_Odoo'!G2508)</f>
        <v/>
      </c>
      <c r="H2508" s="79">
        <f>IF('Ordenes_Odoo'!H2508="","",'Ordenes_Odoo'!H2508)</f>
        <v/>
      </c>
      <c r="I2508" s="79">
        <f>IF('Ordenes_Odoo'!I2508="","",'Ordenes_Odoo'!I2508)</f>
        <v/>
      </c>
      <c r="J2508" s="79">
        <f>IF('Ordenes_Odoo'!J2508="","",'Ordenes_Odoo'!J2508)</f>
        <v/>
      </c>
      <c r="K2508" s="81">
        <f>IF('Ordenes_Odoo'!K2508="","",'Ordenes_Odoo'!K2508)</f>
        <v/>
      </c>
      <c r="L2508" s="81">
        <f>IF('Ordenes_Odoo'!L2508="","",'Ordenes_Odoo'!L2508)</f>
        <v/>
      </c>
      <c r="M2508" s="79">
        <f>IF('Ordenes_Odoo'!M2508="","",'Ordenes_Odoo'!M2508)</f>
        <v/>
      </c>
      <c r="N2508" s="79">
        <f>IF('Ordenes_Odoo'!N2508="","",'Ordenes_Odoo'!N2508)</f>
        <v/>
      </c>
      <c r="O2508" s="81">
        <f>IF('Ordenes_Odoo'!O2508="","",'Ordenes_Odoo'!O2508)</f>
        <v/>
      </c>
      <c r="P2508" s="81">
        <f>IF('Ordenes_Odoo'!P2508="","",'Ordenes_Odoo'!P2508)</f>
        <v/>
      </c>
      <c r="Q2508" s="79">
        <f>IF(A2508="","",IFERROR(INDEX(Facturas_Odoo!$B:$B, MATCH(A2508, Facturas_Odoo!$D:$D, 0)), "Sin Factura"))</f>
        <v/>
      </c>
      <c r="R2508" s="80">
        <f>IF(Q2508="Sin Factura","",IFERROR(INDEX(Facturas_Odoo!$A:$A, MATCH(Q2508, Facturas_Odoo!$B:$B, 0)), ""))</f>
        <v/>
      </c>
      <c r="S2508" s="79">
        <f>IF(Q2508="Sin Factura","",IFERROR(_xlfn.XLOOKUP(1, (Facturas_Odoo!$D:$D=A2508) * (Facturas_Odoo!$K:$K=I2508), Facturas_Odoo!$L:$L, ""), ""))</f>
        <v/>
      </c>
      <c r="T2508" s="81">
        <f>IF(Q2508="Sin Factura",0,IFERROR(_xlfn.XLOOKUP(1, (Facturas_Odoo!$D:$D=A2508) * (Facturas_Odoo!$K:$K=I2508), Facturas_Odoo!$M:$M, 0), 0))</f>
        <v/>
      </c>
      <c r="U2508" s="79">
        <f>IF(Q2508="Sin Factura",0,IFERROR(_xlfn.XLOOKUP(1, (Facturas_Odoo!$D:$D=A2508) * (Facturas_Odoo!$K:$K=I2508), Facturas_Odoo!$N:$N, 0), 0))</f>
        <v/>
      </c>
      <c r="V2508" s="79">
        <f>IF(Q2508="Sin Factura",0,IFERROR(_xlfn.XLOOKUP(1, (Facturas_Odoo!$D:$D=A2508) * (Facturas_Odoo!$K:$K=I2508), Facturas_Odoo!$O:$O, 0), 0))</f>
        <v/>
      </c>
      <c r="W2508" s="81">
        <f>IF(Q2508="Sin Factura",0,IFERROR(_xlfn.XLOOKUP(1, (Facturas_Odoo!$D:$D=A2508) * (Facturas_Odoo!$K:$K=I2508), Facturas_Odoo!$Q:$Q, 0), 0))</f>
        <v/>
      </c>
      <c r="X2508" s="79">
        <f>IF(OR(Q2508="Sin Factura",Q2508=""),"",IFERROR(INDEX(Pagos_Odoo!$B:$B, MATCH(Q2508, Pagos_Odoo!$I:$I, 0)), "Sin Pago"))</f>
        <v/>
      </c>
      <c r="Y2508" s="79">
        <f>IF(X2508="Sin Pago","",IFERROR(INDEX(Pagos_Odoo!$C:$C, MATCH(X2508, Pagos_Odoo!$B:$B, 0)), ""))</f>
        <v/>
      </c>
      <c r="Z2508" s="80">
        <f>IF(X2508="Sin Pago","",IFERROR(INDEX(Pagos_Odoo!$A:$A, MATCH(X2508, Pagos_Odoo!$B:$B, 0)), ""))</f>
        <v/>
      </c>
      <c r="AA2508" s="79">
        <f>IF(X2508="Sin Pago","",IFERROR(INDEX(Pagos_Odoo!$F:$F, MATCH(X2508, Pagos_Odoo!$B:$B, 0)), ""))</f>
        <v/>
      </c>
      <c r="AB2508" s="81">
        <f>IF(X2508="Sin Pago",0,IFERROR(INDEX(Pagos_Odoo!$E:$E, MATCH(X2508, Pagos_Odoo!$B:$B, 0)), 0))</f>
        <v/>
      </c>
      <c r="AC2508" s="79">
        <f>IF(X2508="Sin Pago","",IFERROR(INDEX(Pagos_Odoo!$G:$G, MATCH(X2508, Pagos_Odoo!$B:$B, 0)), ""))</f>
        <v/>
      </c>
      <c r="AD2508" s="82" t="n">
        <v>0</v>
      </c>
      <c r="AE2508" s="82" t="n"/>
      <c r="AF2508" s="82" t="n"/>
      <c r="AG2508" s="82">
        <f>IF(AN2508="","",AD2508+AE2508+AF2508)</f>
        <v/>
      </c>
      <c r="AH2508" s="81">
        <f>IF(AN2508="","",P2508*(1-AG2508))</f>
        <v/>
      </c>
      <c r="AI2508" s="81">
        <f>IF(AN2508="","",IF(Q2508="Sin Factura",0,IFERROR(INDEX(Facturas_Odoo!$H:$H, MATCH(Q2508, Facturas_Odoo!$B:$B, 0)), 0)*(1-AG2508)))</f>
        <v/>
      </c>
      <c r="AJ2508" s="81">
        <f>IF(AN2508="","",_xlfn.LET(idVenta, AN2508&amp;"",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08" s="81">
        <f>IF(AN2508="","",AH2508-AJ2508)</f>
        <v/>
      </c>
      <c r="AL2508" s="81">
        <f>IF(AN2508="","",IF(Q2508="Sin Factura","",AI2508-AJ2508))</f>
        <v/>
      </c>
      <c r="AM2508" s="81">
        <f>IF(AN2508="","",IF(Q2508="Sin Factura",0,P2508-IFERROR(INDEX(Facturas_Odoo!$H:$H, MATCH(Q2508, Facturas_Odoo!$B:$B, 0)), 0)))</f>
        <v/>
      </c>
      <c r="AN2508" s="79">
        <f>IF(AND(A2508="", J2508=""), "", IF(A2508&lt;&gt;"", VALUE(MID(A2508,2,LEN(A2508))), AN2507))</f>
        <v/>
      </c>
      <c r="AO2508" s="79">
        <f>IF(AN2508="","",IF(AD2508=0,"OK",_xlfn.LET(monedaPago, IF(AA2508="","USD",AA2508), limitePermitido, IFERROR(VLOOKUP(monedaPago, Configuración!$A$2:$B$3, 2, FALSE), 0.15), IF(AD2508&gt;limitePermitido, "ALERTA: EXCESO (" &amp; TEXT(limitePermitido, "0%") &amp; " máx)", "OK"))))</f>
        <v/>
      </c>
      <c r="AP2508" s="79">
        <f>IF(AN2508="","",IF(AE2508=0,"OK",_xlfn.LET(fechaPago, Z2508, fechaFactura, R2508, diasCredito, IF(E2508="Pago inmediato", 0, IFERROR(VALUE(MID(E2508, 1, SEARCH(" ", E2508)-1)),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08" s="79">
        <f>IF(AN2508="","",IF(AND(N2508&gt;0, AG2508&gt;0), IF(Configuración!$K$2="NO", "ALERTA: DESCUENTO DOBLE NO PERMITIDO", "OK"), "OK"))</f>
        <v/>
      </c>
      <c r="AR2508" s="79">
        <f>IF(AN2508="","",IF(OR(AO2508&lt;&gt;"OK", AP2508&lt;&gt;"OK", AQ2508&lt;&gt;"OK"), "⚠️ REVISAR", "OK"))</f>
        <v/>
      </c>
    </row>
    <row r="2509">
      <c r="A2509" s="79">
        <f>IF('Ordenes_Odoo'!A2509="","",'Ordenes_Odoo'!A2509)</f>
        <v/>
      </c>
      <c r="B2509" s="80">
        <f>IF('Ordenes_Odoo'!B2509="","",'Ordenes_Odoo'!B2509)</f>
        <v/>
      </c>
      <c r="C2509" s="79">
        <f>IF('Ordenes_Odoo'!C2509="","",'Ordenes_Odoo'!C2509)</f>
        <v/>
      </c>
      <c r="D2509" s="79">
        <f>IF('Ordenes_Odoo'!D2509="","",'Ordenes_Odoo'!D2509)</f>
        <v/>
      </c>
      <c r="E2509" s="79">
        <f>IF('Ordenes_Odoo'!E2509="","",'Ordenes_Odoo'!E2509)</f>
        <v/>
      </c>
      <c r="F2509" s="79">
        <f>IF('Ordenes_Odoo'!F2509="","",'Ordenes_Odoo'!F2509)</f>
        <v/>
      </c>
      <c r="G2509" s="79">
        <f>IF('Ordenes_Odoo'!G2509="","",'Ordenes_Odoo'!G2509)</f>
        <v/>
      </c>
      <c r="H2509" s="79">
        <f>IF('Ordenes_Odoo'!H2509="","",'Ordenes_Odoo'!H2509)</f>
        <v/>
      </c>
      <c r="I2509" s="79">
        <f>IF('Ordenes_Odoo'!I2509="","",'Ordenes_Odoo'!I2509)</f>
        <v/>
      </c>
      <c r="J2509" s="79">
        <f>IF('Ordenes_Odoo'!J2509="","",'Ordenes_Odoo'!J2509)</f>
        <v/>
      </c>
      <c r="K2509" s="81">
        <f>IF('Ordenes_Odoo'!K2509="","",'Ordenes_Odoo'!K2509)</f>
        <v/>
      </c>
      <c r="L2509" s="81">
        <f>IF('Ordenes_Odoo'!L2509="","",'Ordenes_Odoo'!L2509)</f>
        <v/>
      </c>
      <c r="M2509" s="79">
        <f>IF('Ordenes_Odoo'!M2509="","",'Ordenes_Odoo'!M2509)</f>
        <v/>
      </c>
      <c r="N2509" s="79">
        <f>IF('Ordenes_Odoo'!N2509="","",'Ordenes_Odoo'!N2509)</f>
        <v/>
      </c>
      <c r="O2509" s="81">
        <f>IF('Ordenes_Odoo'!O2509="","",'Ordenes_Odoo'!O2509)</f>
        <v/>
      </c>
      <c r="P2509" s="81">
        <f>IF('Ordenes_Odoo'!P2509="","",'Ordenes_Odoo'!P2509)</f>
        <v/>
      </c>
      <c r="Q2509" s="79">
        <f>IF(A2509="","",IFERROR(INDEX(Facturas_Odoo!$B:$B, MATCH(A2509, Facturas_Odoo!$D:$D, 0)), "Sin Factura"))</f>
        <v/>
      </c>
      <c r="R2509" s="80">
        <f>IF(Q2509="Sin Factura","",IFERROR(INDEX(Facturas_Odoo!$A:$A, MATCH(Q2509, Facturas_Odoo!$B:$B, 0)), ""))</f>
        <v/>
      </c>
      <c r="S2509" s="79">
        <f>IF(Q2509="Sin Factura","",IFERROR(_xlfn.XLOOKUP(1, (Facturas_Odoo!$D:$D=A2509) * (Facturas_Odoo!$K:$K=I2509), Facturas_Odoo!$L:$L, ""), ""))</f>
        <v/>
      </c>
      <c r="T2509" s="81">
        <f>IF(Q2509="Sin Factura",0,IFERROR(_xlfn.XLOOKUP(1, (Facturas_Odoo!$D:$D=A2509) * (Facturas_Odoo!$K:$K=I2509), Facturas_Odoo!$M:$M, 0), 0))</f>
        <v/>
      </c>
      <c r="U2509" s="79">
        <f>IF(Q2509="Sin Factura",0,IFERROR(_xlfn.XLOOKUP(1, (Facturas_Odoo!$D:$D=A2509) * (Facturas_Odoo!$K:$K=I2509), Facturas_Odoo!$N:$N, 0), 0))</f>
        <v/>
      </c>
      <c r="V2509" s="79">
        <f>IF(Q2509="Sin Factura",0,IFERROR(_xlfn.XLOOKUP(1, (Facturas_Odoo!$D:$D=A2509) * (Facturas_Odoo!$K:$K=I2509), Facturas_Odoo!$O:$O, 0), 0))</f>
        <v/>
      </c>
      <c r="W2509" s="81">
        <f>IF(Q2509="Sin Factura",0,IFERROR(_xlfn.XLOOKUP(1, (Facturas_Odoo!$D:$D=A2509) * (Facturas_Odoo!$K:$K=I2509), Facturas_Odoo!$Q:$Q, 0), 0))</f>
        <v/>
      </c>
      <c r="X2509" s="79">
        <f>IF(OR(Q2509="Sin Factura",Q2509=""),"",IFERROR(INDEX(Pagos_Odoo!$B:$B, MATCH(Q2509, Pagos_Odoo!$I:$I, 0)), "Sin Pago"))</f>
        <v/>
      </c>
      <c r="Y2509" s="79">
        <f>IF(X2509="Sin Pago","",IFERROR(INDEX(Pagos_Odoo!$C:$C, MATCH(X2509, Pagos_Odoo!$B:$B, 0)), ""))</f>
        <v/>
      </c>
      <c r="Z2509" s="80">
        <f>IF(X2509="Sin Pago","",IFERROR(INDEX(Pagos_Odoo!$A:$A, MATCH(X2509, Pagos_Odoo!$B:$B, 0)), ""))</f>
        <v/>
      </c>
      <c r="AA2509" s="79">
        <f>IF(X2509="Sin Pago","",IFERROR(INDEX(Pagos_Odoo!$F:$F, MATCH(X2509, Pagos_Odoo!$B:$B, 0)), ""))</f>
        <v/>
      </c>
      <c r="AB2509" s="81">
        <f>IF(X2509="Sin Pago",0,IFERROR(INDEX(Pagos_Odoo!$E:$E, MATCH(X2509, Pagos_Odoo!$B:$B, 0)), 0))</f>
        <v/>
      </c>
      <c r="AC2509" s="79">
        <f>IF(X2509="Sin Pago","",IFERROR(INDEX(Pagos_Odoo!$G:$G, MATCH(X2509, Pagos_Odoo!$B:$B, 0)), ""))</f>
        <v/>
      </c>
      <c r="AD2509" s="82" t="n">
        <v>0</v>
      </c>
      <c r="AE2509" s="82" t="n"/>
      <c r="AF2509" s="82" t="n"/>
      <c r="AG2509" s="82">
        <f>IF(AN2509="","",AD2509+AE2509+AF2509)</f>
        <v/>
      </c>
      <c r="AH2509" s="81">
        <f>IF(AN2509="","",P2509*(1-AG2509))</f>
        <v/>
      </c>
      <c r="AI2509" s="81">
        <f>IF(AN2509="","",IF(Q2509="Sin Factura",0,IFERROR(INDEX(Facturas_Odoo!$H:$H, MATCH(Q2509, Facturas_Odoo!$B:$B, 0)), 0)*(1-AG2509)))</f>
        <v/>
      </c>
      <c r="AJ2509" s="81">
        <f>IF(AN2509="","",_xlfn.LET(idVenta, AN2509&amp;"",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09" s="81">
        <f>IF(AN2509="","",AH2509-AJ2509)</f>
        <v/>
      </c>
      <c r="AL2509" s="81">
        <f>IF(AN2509="","",IF(Q2509="Sin Factura","",AI2509-AJ2509))</f>
        <v/>
      </c>
      <c r="AM2509" s="81">
        <f>IF(AN2509="","",IF(Q2509="Sin Factura",0,P2509-IFERROR(INDEX(Facturas_Odoo!$H:$H, MATCH(Q2509, Facturas_Odoo!$B:$B, 0)), 0)))</f>
        <v/>
      </c>
      <c r="AN2509" s="79">
        <f>IF(AND(A2509="", J2509=""), "", IF(A2509&lt;&gt;"", VALUE(MID(A2509,2,LEN(A2509))), AN2508))</f>
        <v/>
      </c>
      <c r="AO2509" s="79">
        <f>IF(AN2509="","",IF(AD2509=0,"OK",_xlfn.LET(monedaPago, IF(AA2509="","USD",AA2509), limitePermitido, IFERROR(VLOOKUP(monedaPago, Configuración!$A$2:$B$3, 2, FALSE), 0.15), IF(AD2509&gt;limitePermitido, "ALERTA: EXCESO (" &amp; TEXT(limitePermitido, "0%") &amp; " máx)", "OK"))))</f>
        <v/>
      </c>
      <c r="AP2509" s="79">
        <f>IF(AN2509="","",IF(AE2509=0,"OK",_xlfn.LET(fechaPago, Z2509, fechaFactura, R2509, diasCredito, IF(E2509="Pago inmediato", 0, IFERROR(VALUE(MID(E2509, 1, SEARCH(" ", E2509)-1)),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09" s="79">
        <f>IF(AN2509="","",IF(AND(N2509&gt;0, AG2509&gt;0), IF(Configuración!$K$2="NO", "ALERTA: DESCUENTO DOBLE NO PERMITIDO", "OK"), "OK"))</f>
        <v/>
      </c>
      <c r="AR2509" s="79">
        <f>IF(AN2509="","",IF(OR(AO2509&lt;&gt;"OK", AP2509&lt;&gt;"OK", AQ2509&lt;&gt;"OK"), "⚠️ REVISAR", "OK"))</f>
        <v/>
      </c>
    </row>
    <row r="2510">
      <c r="A2510" s="79">
        <f>IF('Ordenes_Odoo'!A2510="","",'Ordenes_Odoo'!A2510)</f>
        <v/>
      </c>
      <c r="B2510" s="80">
        <f>IF('Ordenes_Odoo'!B2510="","",'Ordenes_Odoo'!B2510)</f>
        <v/>
      </c>
      <c r="C2510" s="79">
        <f>IF('Ordenes_Odoo'!C2510="","",'Ordenes_Odoo'!C2510)</f>
        <v/>
      </c>
      <c r="D2510" s="79">
        <f>IF('Ordenes_Odoo'!D2510="","",'Ordenes_Odoo'!D2510)</f>
        <v/>
      </c>
      <c r="E2510" s="79">
        <f>IF('Ordenes_Odoo'!E2510="","",'Ordenes_Odoo'!E2510)</f>
        <v/>
      </c>
      <c r="F2510" s="79">
        <f>IF('Ordenes_Odoo'!F2510="","",'Ordenes_Odoo'!F2510)</f>
        <v/>
      </c>
      <c r="G2510" s="79">
        <f>IF('Ordenes_Odoo'!G2510="","",'Ordenes_Odoo'!G2510)</f>
        <v/>
      </c>
      <c r="H2510" s="79">
        <f>IF('Ordenes_Odoo'!H2510="","",'Ordenes_Odoo'!H2510)</f>
        <v/>
      </c>
      <c r="I2510" s="79">
        <f>IF('Ordenes_Odoo'!I2510="","",'Ordenes_Odoo'!I2510)</f>
        <v/>
      </c>
      <c r="J2510" s="79">
        <f>IF('Ordenes_Odoo'!J2510="","",'Ordenes_Odoo'!J2510)</f>
        <v/>
      </c>
      <c r="K2510" s="81">
        <f>IF('Ordenes_Odoo'!K2510="","",'Ordenes_Odoo'!K2510)</f>
        <v/>
      </c>
      <c r="L2510" s="81">
        <f>IF('Ordenes_Odoo'!L2510="","",'Ordenes_Odoo'!L2510)</f>
        <v/>
      </c>
      <c r="M2510" s="79">
        <f>IF('Ordenes_Odoo'!M2510="","",'Ordenes_Odoo'!M2510)</f>
        <v/>
      </c>
      <c r="N2510" s="79">
        <f>IF('Ordenes_Odoo'!N2510="","",'Ordenes_Odoo'!N2510)</f>
        <v/>
      </c>
      <c r="O2510" s="81">
        <f>IF('Ordenes_Odoo'!O2510="","",'Ordenes_Odoo'!O2510)</f>
        <v/>
      </c>
      <c r="P2510" s="81">
        <f>IF('Ordenes_Odoo'!P2510="","",'Ordenes_Odoo'!P2510)</f>
        <v/>
      </c>
      <c r="Q2510" s="79">
        <f>IF(A2510="","",IFERROR(INDEX(Facturas_Odoo!$B:$B, MATCH(A2510, Facturas_Odoo!$D:$D, 0)), "Sin Factura"))</f>
        <v/>
      </c>
      <c r="R2510" s="80">
        <f>IF(Q2510="Sin Factura","",IFERROR(INDEX(Facturas_Odoo!$A:$A, MATCH(Q2510, Facturas_Odoo!$B:$B, 0)), ""))</f>
        <v/>
      </c>
      <c r="S2510" s="79">
        <f>IF(Q2510="Sin Factura","",IFERROR(_xlfn.XLOOKUP(1, (Facturas_Odoo!$D:$D=A2510) * (Facturas_Odoo!$K:$K=I2510), Facturas_Odoo!$L:$L, ""), ""))</f>
        <v/>
      </c>
      <c r="T2510" s="81">
        <f>IF(Q2510="Sin Factura",0,IFERROR(_xlfn.XLOOKUP(1, (Facturas_Odoo!$D:$D=A2510) * (Facturas_Odoo!$K:$K=I2510), Facturas_Odoo!$M:$M, 0), 0))</f>
        <v/>
      </c>
      <c r="U2510" s="79">
        <f>IF(Q2510="Sin Factura",0,IFERROR(_xlfn.XLOOKUP(1, (Facturas_Odoo!$D:$D=A2510) * (Facturas_Odoo!$K:$K=I2510), Facturas_Odoo!$N:$N, 0), 0))</f>
        <v/>
      </c>
      <c r="V2510" s="79">
        <f>IF(Q2510="Sin Factura",0,IFERROR(_xlfn.XLOOKUP(1, (Facturas_Odoo!$D:$D=A2510) * (Facturas_Odoo!$K:$K=I2510), Facturas_Odoo!$O:$O, 0), 0))</f>
        <v/>
      </c>
      <c r="W2510" s="81">
        <f>IF(Q2510="Sin Factura",0,IFERROR(_xlfn.XLOOKUP(1, (Facturas_Odoo!$D:$D=A2510) * (Facturas_Odoo!$K:$K=I2510), Facturas_Odoo!$Q:$Q, 0), 0))</f>
        <v/>
      </c>
      <c r="X2510" s="79">
        <f>IF(OR(Q2510="Sin Factura",Q2510=""),"",IFERROR(INDEX(Pagos_Odoo!$B:$B, MATCH(Q2510, Pagos_Odoo!$I:$I, 0)), "Sin Pago"))</f>
        <v/>
      </c>
      <c r="Y2510" s="79">
        <f>IF(X2510="Sin Pago","",IFERROR(INDEX(Pagos_Odoo!$C:$C, MATCH(X2510, Pagos_Odoo!$B:$B, 0)), ""))</f>
        <v/>
      </c>
      <c r="Z2510" s="80">
        <f>IF(X2510="Sin Pago","",IFERROR(INDEX(Pagos_Odoo!$A:$A, MATCH(X2510, Pagos_Odoo!$B:$B, 0)), ""))</f>
        <v/>
      </c>
      <c r="AA2510" s="79">
        <f>IF(X2510="Sin Pago","",IFERROR(INDEX(Pagos_Odoo!$F:$F, MATCH(X2510, Pagos_Odoo!$B:$B, 0)), ""))</f>
        <v/>
      </c>
      <c r="AB2510" s="81">
        <f>IF(X2510="Sin Pago",0,IFERROR(INDEX(Pagos_Odoo!$E:$E, MATCH(X2510, Pagos_Odoo!$B:$B, 0)), 0))</f>
        <v/>
      </c>
      <c r="AC2510" s="79">
        <f>IF(X2510="Sin Pago","",IFERROR(INDEX(Pagos_Odoo!$G:$G, MATCH(X2510, Pagos_Odoo!$B:$B, 0)), ""))</f>
        <v/>
      </c>
      <c r="AD2510" s="82" t="n">
        <v>0</v>
      </c>
      <c r="AE2510" s="82" t="n"/>
      <c r="AF2510" s="82" t="n"/>
      <c r="AG2510" s="82">
        <f>IF(AN2510="","",AD2510+AE2510+AF2510)</f>
        <v/>
      </c>
      <c r="AH2510" s="81">
        <f>IF(AN2510="","",P2510*(1-AG2510))</f>
        <v/>
      </c>
      <c r="AI2510" s="81">
        <f>IF(AN2510="","",IF(Q2510="Sin Factura",0,IFERROR(INDEX(Facturas_Odoo!$H:$H, MATCH(Q2510, Facturas_Odoo!$B:$B, 0)), 0)*(1-AG2510)))</f>
        <v/>
      </c>
      <c r="AJ2510" s="81">
        <f>IF(AN2510="","",_xlfn.LET(idVenta, AN2510&amp;"",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10" s="81">
        <f>IF(AN2510="","",AH2510-AJ2510)</f>
        <v/>
      </c>
      <c r="AL2510" s="81">
        <f>IF(AN2510="","",IF(Q2510="Sin Factura","",AI2510-AJ2510))</f>
        <v/>
      </c>
      <c r="AM2510" s="81">
        <f>IF(AN2510="","",IF(Q2510="Sin Factura",0,P2510-IFERROR(INDEX(Facturas_Odoo!$H:$H, MATCH(Q2510, Facturas_Odoo!$B:$B, 0)), 0)))</f>
        <v/>
      </c>
      <c r="AN2510" s="79">
        <f>IF(AND(A2510="", J2510=""), "", IF(A2510&lt;&gt;"", VALUE(MID(A2510,2,LEN(A2510))), AN2509))</f>
        <v/>
      </c>
      <c r="AO2510" s="79">
        <f>IF(AN2510="","",IF(AD2510=0,"OK",_xlfn.LET(monedaPago, IF(AA2510="","USD",AA2510), limitePermitido, IFERROR(VLOOKUP(monedaPago, Configuración!$A$2:$B$3, 2, FALSE), 0.15), IF(AD2510&gt;limitePermitido, "ALERTA: EXCESO (" &amp; TEXT(limitePermitido, "0%") &amp; " máx)", "OK"))))</f>
        <v/>
      </c>
      <c r="AP2510" s="79">
        <f>IF(AN2510="","",IF(AE2510=0,"OK",_xlfn.LET(fechaPago, Z2510, fechaFactura, R2510, diasCredito, IF(E2510="Pago inmediato", 0, IFERROR(VALUE(MID(E2510, 1, SEARCH(" ", E2510)-1)),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10" s="79">
        <f>IF(AN2510="","",IF(AND(N2510&gt;0, AG2510&gt;0), IF(Configuración!$K$2="NO", "ALERTA: DESCUENTO DOBLE NO PERMITIDO", "OK"), "OK"))</f>
        <v/>
      </c>
      <c r="AR2510" s="79">
        <f>IF(AN2510="","",IF(OR(AO2510&lt;&gt;"OK", AP2510&lt;&gt;"OK", AQ2510&lt;&gt;"OK"), "⚠️ REVISAR", "OK"))</f>
        <v/>
      </c>
    </row>
    <row r="2511">
      <c r="A2511" s="79">
        <f>IF('Ordenes_Odoo'!A2511="","",'Ordenes_Odoo'!A2511)</f>
        <v/>
      </c>
      <c r="B2511" s="80">
        <f>IF('Ordenes_Odoo'!B2511="","",'Ordenes_Odoo'!B2511)</f>
        <v/>
      </c>
      <c r="C2511" s="79">
        <f>IF('Ordenes_Odoo'!C2511="","",'Ordenes_Odoo'!C2511)</f>
        <v/>
      </c>
      <c r="D2511" s="79">
        <f>IF('Ordenes_Odoo'!D2511="","",'Ordenes_Odoo'!D2511)</f>
        <v/>
      </c>
      <c r="E2511" s="79">
        <f>IF('Ordenes_Odoo'!E2511="","",'Ordenes_Odoo'!E2511)</f>
        <v/>
      </c>
      <c r="F2511" s="79">
        <f>IF('Ordenes_Odoo'!F2511="","",'Ordenes_Odoo'!F2511)</f>
        <v/>
      </c>
      <c r="G2511" s="79">
        <f>IF('Ordenes_Odoo'!G2511="","",'Ordenes_Odoo'!G2511)</f>
        <v/>
      </c>
      <c r="H2511" s="79">
        <f>IF('Ordenes_Odoo'!H2511="","",'Ordenes_Odoo'!H2511)</f>
        <v/>
      </c>
      <c r="I2511" s="79">
        <f>IF('Ordenes_Odoo'!I2511="","",'Ordenes_Odoo'!I2511)</f>
        <v/>
      </c>
      <c r="J2511" s="79">
        <f>IF('Ordenes_Odoo'!J2511="","",'Ordenes_Odoo'!J2511)</f>
        <v/>
      </c>
      <c r="K2511" s="81">
        <f>IF('Ordenes_Odoo'!K2511="","",'Ordenes_Odoo'!K2511)</f>
        <v/>
      </c>
      <c r="L2511" s="81">
        <f>IF('Ordenes_Odoo'!L2511="","",'Ordenes_Odoo'!L2511)</f>
        <v/>
      </c>
      <c r="M2511" s="79">
        <f>IF('Ordenes_Odoo'!M2511="","",'Ordenes_Odoo'!M2511)</f>
        <v/>
      </c>
      <c r="N2511" s="79">
        <f>IF('Ordenes_Odoo'!N2511="","",'Ordenes_Odoo'!N2511)</f>
        <v/>
      </c>
      <c r="O2511" s="81">
        <f>IF('Ordenes_Odoo'!O2511="","",'Ordenes_Odoo'!O2511)</f>
        <v/>
      </c>
      <c r="P2511" s="81">
        <f>IF('Ordenes_Odoo'!P2511="","",'Ordenes_Odoo'!P2511)</f>
        <v/>
      </c>
      <c r="Q2511" s="79">
        <f>IF(A2511="","",IFERROR(INDEX(Facturas_Odoo!$B:$B, MATCH(A2511, Facturas_Odoo!$D:$D, 0)), "Sin Factura"))</f>
        <v/>
      </c>
      <c r="R2511" s="80">
        <f>IF(Q2511="Sin Factura","",IFERROR(INDEX(Facturas_Odoo!$A:$A, MATCH(Q2511, Facturas_Odoo!$B:$B, 0)), ""))</f>
        <v/>
      </c>
      <c r="S2511" s="79">
        <f>IF(Q2511="Sin Factura","",IFERROR(_xlfn.XLOOKUP(1, (Facturas_Odoo!$D:$D=A2511) * (Facturas_Odoo!$K:$K=I2511), Facturas_Odoo!$L:$L, ""), ""))</f>
        <v/>
      </c>
      <c r="T2511" s="81">
        <f>IF(Q2511="Sin Factura",0,IFERROR(_xlfn.XLOOKUP(1, (Facturas_Odoo!$D:$D=A2511) * (Facturas_Odoo!$K:$K=I2511), Facturas_Odoo!$M:$M, 0), 0))</f>
        <v/>
      </c>
      <c r="U2511" s="79">
        <f>IF(Q2511="Sin Factura",0,IFERROR(_xlfn.XLOOKUP(1, (Facturas_Odoo!$D:$D=A2511) * (Facturas_Odoo!$K:$K=I2511), Facturas_Odoo!$N:$N, 0), 0))</f>
        <v/>
      </c>
      <c r="V2511" s="79">
        <f>IF(Q2511="Sin Factura",0,IFERROR(_xlfn.XLOOKUP(1, (Facturas_Odoo!$D:$D=A2511) * (Facturas_Odoo!$K:$K=I2511), Facturas_Odoo!$O:$O, 0), 0))</f>
        <v/>
      </c>
      <c r="W2511" s="81">
        <f>IF(Q2511="Sin Factura",0,IFERROR(_xlfn.XLOOKUP(1, (Facturas_Odoo!$D:$D=A2511) * (Facturas_Odoo!$K:$K=I2511), Facturas_Odoo!$Q:$Q, 0), 0))</f>
        <v/>
      </c>
      <c r="X2511" s="79">
        <f>IF(OR(Q2511="Sin Factura",Q2511=""),"",IFERROR(INDEX(Pagos_Odoo!$B:$B, MATCH(Q2511, Pagos_Odoo!$I:$I, 0)), "Sin Pago"))</f>
        <v/>
      </c>
      <c r="Y2511" s="79">
        <f>IF(X2511="Sin Pago","",IFERROR(INDEX(Pagos_Odoo!$C:$C, MATCH(X2511, Pagos_Odoo!$B:$B, 0)), ""))</f>
        <v/>
      </c>
      <c r="Z2511" s="80">
        <f>IF(X2511="Sin Pago","",IFERROR(INDEX(Pagos_Odoo!$A:$A, MATCH(X2511, Pagos_Odoo!$B:$B, 0)), ""))</f>
        <v/>
      </c>
      <c r="AA2511" s="79">
        <f>IF(X2511="Sin Pago","",IFERROR(INDEX(Pagos_Odoo!$F:$F, MATCH(X2511, Pagos_Odoo!$B:$B, 0)), ""))</f>
        <v/>
      </c>
      <c r="AB2511" s="81">
        <f>IF(X2511="Sin Pago",0,IFERROR(INDEX(Pagos_Odoo!$E:$E, MATCH(X2511, Pagos_Odoo!$B:$B, 0)), 0))</f>
        <v/>
      </c>
      <c r="AC2511" s="79">
        <f>IF(X2511="Sin Pago","",IFERROR(INDEX(Pagos_Odoo!$G:$G, MATCH(X2511, Pagos_Odoo!$B:$B, 0)), ""))</f>
        <v/>
      </c>
      <c r="AD2511" s="82" t="n">
        <v>0</v>
      </c>
      <c r="AE2511" s="82" t="n"/>
      <c r="AF2511" s="82" t="n"/>
      <c r="AG2511" s="82">
        <f>IF(AN2511="","",AD2511+AE2511+AF2511)</f>
        <v/>
      </c>
      <c r="AH2511" s="81">
        <f>IF(AN2511="","",P2511*(1-AG2511))</f>
        <v/>
      </c>
      <c r="AI2511" s="81">
        <f>IF(AN2511="","",IF(Q2511="Sin Factura",0,IFERROR(INDEX(Facturas_Odoo!$H:$H, MATCH(Q2511, Facturas_Odoo!$B:$B, 0)), 0)*(1-AG2511)))</f>
        <v/>
      </c>
      <c r="AJ2511" s="81">
        <f>IF(AN2511="","",_xlfn.LET(idVenta, AN2511&amp;"",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11" s="81">
        <f>IF(AN2511="","",AH2511-AJ2511)</f>
        <v/>
      </c>
      <c r="AL2511" s="81">
        <f>IF(AN2511="","",IF(Q2511="Sin Factura","",AI2511-AJ2511))</f>
        <v/>
      </c>
      <c r="AM2511" s="81">
        <f>IF(AN2511="","",IF(Q2511="Sin Factura",0,P2511-IFERROR(INDEX(Facturas_Odoo!$H:$H, MATCH(Q2511, Facturas_Odoo!$B:$B, 0)), 0)))</f>
        <v/>
      </c>
      <c r="AN2511" s="79">
        <f>IF(AND(A2511="", J2511=""), "", IF(A2511&lt;&gt;"", VALUE(MID(A2511,2,LEN(A2511))), AN2510))</f>
        <v/>
      </c>
      <c r="AO2511" s="79">
        <f>IF(AN2511="","",IF(AD2511=0,"OK",_xlfn.LET(monedaPago, IF(AA2511="","USD",AA2511), limitePermitido, IFERROR(VLOOKUP(monedaPago, Configuración!$A$2:$B$3, 2, FALSE), 0.15), IF(AD2511&gt;limitePermitido, "ALERTA: EXCESO (" &amp; TEXT(limitePermitido, "0%") &amp; " máx)", "OK"))))</f>
        <v/>
      </c>
      <c r="AP2511" s="79">
        <f>IF(AN2511="","",IF(AE2511=0,"OK",_xlfn.LET(fechaPago, Z2511, fechaFactura, R2511, diasCredito, IF(E2511="Pago inmediato", 0, IFERROR(VALUE(MID(E2511, 1, SEARCH(" ", E2511)-1)),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11" s="79">
        <f>IF(AN2511="","",IF(AND(N2511&gt;0, AG2511&gt;0), IF(Configuración!$K$2="NO", "ALERTA: DESCUENTO DOBLE NO PERMITIDO", "OK"), "OK"))</f>
        <v/>
      </c>
      <c r="AR2511" s="79">
        <f>IF(AN2511="","",IF(OR(AO2511&lt;&gt;"OK", AP2511&lt;&gt;"OK", AQ2511&lt;&gt;"OK"), "⚠️ REVISAR", "OK"))</f>
        <v/>
      </c>
    </row>
    <row r="2512">
      <c r="A2512" s="79">
        <f>IF('Ordenes_Odoo'!A2512="","",'Ordenes_Odoo'!A2512)</f>
        <v/>
      </c>
      <c r="B2512" s="80">
        <f>IF('Ordenes_Odoo'!B2512="","",'Ordenes_Odoo'!B2512)</f>
        <v/>
      </c>
      <c r="C2512" s="79">
        <f>IF('Ordenes_Odoo'!C2512="","",'Ordenes_Odoo'!C2512)</f>
        <v/>
      </c>
      <c r="D2512" s="79">
        <f>IF('Ordenes_Odoo'!D2512="","",'Ordenes_Odoo'!D2512)</f>
        <v/>
      </c>
      <c r="E2512" s="79">
        <f>IF('Ordenes_Odoo'!E2512="","",'Ordenes_Odoo'!E2512)</f>
        <v/>
      </c>
      <c r="F2512" s="79">
        <f>IF('Ordenes_Odoo'!F2512="","",'Ordenes_Odoo'!F2512)</f>
        <v/>
      </c>
      <c r="G2512" s="79">
        <f>IF('Ordenes_Odoo'!G2512="","",'Ordenes_Odoo'!G2512)</f>
        <v/>
      </c>
      <c r="H2512" s="79">
        <f>IF('Ordenes_Odoo'!H2512="","",'Ordenes_Odoo'!H2512)</f>
        <v/>
      </c>
      <c r="I2512" s="79">
        <f>IF('Ordenes_Odoo'!I2512="","",'Ordenes_Odoo'!I2512)</f>
        <v/>
      </c>
      <c r="J2512" s="79">
        <f>IF('Ordenes_Odoo'!J2512="","",'Ordenes_Odoo'!J2512)</f>
        <v/>
      </c>
      <c r="K2512" s="81">
        <f>IF('Ordenes_Odoo'!K2512="","",'Ordenes_Odoo'!K2512)</f>
        <v/>
      </c>
      <c r="L2512" s="81">
        <f>IF('Ordenes_Odoo'!L2512="","",'Ordenes_Odoo'!L2512)</f>
        <v/>
      </c>
      <c r="M2512" s="79">
        <f>IF('Ordenes_Odoo'!M2512="","",'Ordenes_Odoo'!M2512)</f>
        <v/>
      </c>
      <c r="N2512" s="79">
        <f>IF('Ordenes_Odoo'!N2512="","",'Ordenes_Odoo'!N2512)</f>
        <v/>
      </c>
      <c r="O2512" s="81">
        <f>IF('Ordenes_Odoo'!O2512="","",'Ordenes_Odoo'!O2512)</f>
        <v/>
      </c>
      <c r="P2512" s="81">
        <f>IF('Ordenes_Odoo'!P2512="","",'Ordenes_Odoo'!P2512)</f>
        <v/>
      </c>
      <c r="Q2512" s="79">
        <f>IF(A2512="","",IFERROR(INDEX(Facturas_Odoo!$B:$B, MATCH(A2512, Facturas_Odoo!$D:$D, 0)), "Sin Factura"))</f>
        <v/>
      </c>
      <c r="R2512" s="80">
        <f>IF(Q2512="Sin Factura","",IFERROR(INDEX(Facturas_Odoo!$A:$A, MATCH(Q2512, Facturas_Odoo!$B:$B, 0)), ""))</f>
        <v/>
      </c>
      <c r="S2512" s="79">
        <f>IF(Q2512="Sin Factura","",IFERROR(_xlfn.XLOOKUP(1, (Facturas_Odoo!$D:$D=A2512) * (Facturas_Odoo!$K:$K=I2512), Facturas_Odoo!$L:$L, ""), ""))</f>
        <v/>
      </c>
      <c r="T2512" s="81">
        <f>IF(Q2512="Sin Factura",0,IFERROR(_xlfn.XLOOKUP(1, (Facturas_Odoo!$D:$D=A2512) * (Facturas_Odoo!$K:$K=I2512), Facturas_Odoo!$M:$M, 0), 0))</f>
        <v/>
      </c>
      <c r="U2512" s="79">
        <f>IF(Q2512="Sin Factura",0,IFERROR(_xlfn.XLOOKUP(1, (Facturas_Odoo!$D:$D=A2512) * (Facturas_Odoo!$K:$K=I2512), Facturas_Odoo!$N:$N, 0), 0))</f>
        <v/>
      </c>
      <c r="V2512" s="79">
        <f>IF(Q2512="Sin Factura",0,IFERROR(_xlfn.XLOOKUP(1, (Facturas_Odoo!$D:$D=A2512) * (Facturas_Odoo!$K:$K=I2512), Facturas_Odoo!$O:$O, 0), 0))</f>
        <v/>
      </c>
      <c r="W2512" s="81">
        <f>IF(Q2512="Sin Factura",0,IFERROR(_xlfn.XLOOKUP(1, (Facturas_Odoo!$D:$D=A2512) * (Facturas_Odoo!$K:$K=I2512), Facturas_Odoo!$Q:$Q, 0), 0))</f>
        <v/>
      </c>
      <c r="X2512" s="79">
        <f>IF(OR(Q2512="Sin Factura",Q2512=""),"",IFERROR(INDEX(Pagos_Odoo!$B:$B, MATCH(Q2512, Pagos_Odoo!$I:$I, 0)), "Sin Pago"))</f>
        <v/>
      </c>
      <c r="Y2512" s="79">
        <f>IF(X2512="Sin Pago","",IFERROR(INDEX(Pagos_Odoo!$C:$C, MATCH(X2512, Pagos_Odoo!$B:$B, 0)), ""))</f>
        <v/>
      </c>
      <c r="Z2512" s="80">
        <f>IF(X2512="Sin Pago","",IFERROR(INDEX(Pagos_Odoo!$A:$A, MATCH(X2512, Pagos_Odoo!$B:$B, 0)), ""))</f>
        <v/>
      </c>
      <c r="AA2512" s="79">
        <f>IF(X2512="Sin Pago","",IFERROR(INDEX(Pagos_Odoo!$F:$F, MATCH(X2512, Pagos_Odoo!$B:$B, 0)), ""))</f>
        <v/>
      </c>
      <c r="AB2512" s="81">
        <f>IF(X2512="Sin Pago",0,IFERROR(INDEX(Pagos_Odoo!$E:$E, MATCH(X2512, Pagos_Odoo!$B:$B, 0)), 0))</f>
        <v/>
      </c>
      <c r="AC2512" s="79">
        <f>IF(X2512="Sin Pago","",IFERROR(INDEX(Pagos_Odoo!$G:$G, MATCH(X2512, Pagos_Odoo!$B:$B, 0)), ""))</f>
        <v/>
      </c>
      <c r="AD2512" s="82" t="n">
        <v>0</v>
      </c>
      <c r="AE2512" s="82" t="n"/>
      <c r="AF2512" s="82" t="n"/>
      <c r="AG2512" s="82">
        <f>IF(AN2512="","",AD2512+AE2512+AF2512)</f>
        <v/>
      </c>
      <c r="AH2512" s="81">
        <f>IF(AN2512="","",P2512*(1-AG2512))</f>
        <v/>
      </c>
      <c r="AI2512" s="81">
        <f>IF(AN2512="","",IF(Q2512="Sin Factura",0,IFERROR(INDEX(Facturas_Odoo!$H:$H, MATCH(Q2512, Facturas_Odoo!$B:$B, 0)), 0)*(1-AG2512)))</f>
        <v/>
      </c>
      <c r="AJ2512" s="81">
        <f>IF(AN2512="","",_xlfn.LET(idVenta, AN2512&amp;"",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12" s="81">
        <f>IF(AN2512="","",AH2512-AJ2512)</f>
        <v/>
      </c>
      <c r="AL2512" s="81">
        <f>IF(AN2512="","",IF(Q2512="Sin Factura","",AI2512-AJ2512))</f>
        <v/>
      </c>
      <c r="AM2512" s="81">
        <f>IF(AN2512="","",IF(Q2512="Sin Factura",0,P2512-IFERROR(INDEX(Facturas_Odoo!$H:$H, MATCH(Q2512, Facturas_Odoo!$B:$B, 0)), 0)))</f>
        <v/>
      </c>
      <c r="AN2512" s="79">
        <f>IF(AND(A2512="", J2512=""), "", IF(A2512&lt;&gt;"", VALUE(MID(A2512,2,LEN(A2512))), AN2511))</f>
        <v/>
      </c>
      <c r="AO2512" s="79">
        <f>IF(AN2512="","",IF(AD2512=0,"OK",_xlfn.LET(monedaPago, IF(AA2512="","USD",AA2512), limitePermitido, IFERROR(VLOOKUP(monedaPago, Configuración!$A$2:$B$3, 2, FALSE), 0.15), IF(AD2512&gt;limitePermitido, "ALERTA: EXCESO (" &amp; TEXT(limitePermitido, "0%") &amp; " máx)", "OK"))))</f>
        <v/>
      </c>
      <c r="AP2512" s="79">
        <f>IF(AN2512="","",IF(AE2512=0,"OK",_xlfn.LET(fechaPago, Z2512, fechaFactura, R2512, diasCredito, IF(E2512="Pago inmediato", 0, IFERROR(VALUE(MID(E2512, 1, SEARCH(" ", E2512)-1)),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12" s="79">
        <f>IF(AN2512="","",IF(AND(N2512&gt;0, AG2512&gt;0), IF(Configuración!$K$2="NO", "ALERTA: DESCUENTO DOBLE NO PERMITIDO", "OK"), "OK"))</f>
        <v/>
      </c>
      <c r="AR2512" s="79">
        <f>IF(AN2512="","",IF(OR(AO2512&lt;&gt;"OK", AP2512&lt;&gt;"OK", AQ2512&lt;&gt;"OK"), "⚠️ REVISAR", "OK"))</f>
        <v/>
      </c>
    </row>
    <row r="2513">
      <c r="A2513" s="79">
        <f>IF('Ordenes_Odoo'!A2513="","",'Ordenes_Odoo'!A2513)</f>
        <v/>
      </c>
      <c r="B2513" s="80">
        <f>IF('Ordenes_Odoo'!B2513="","",'Ordenes_Odoo'!B2513)</f>
        <v/>
      </c>
      <c r="C2513" s="79">
        <f>IF('Ordenes_Odoo'!C2513="","",'Ordenes_Odoo'!C2513)</f>
        <v/>
      </c>
      <c r="D2513" s="79">
        <f>IF('Ordenes_Odoo'!D2513="","",'Ordenes_Odoo'!D2513)</f>
        <v/>
      </c>
      <c r="E2513" s="79">
        <f>IF('Ordenes_Odoo'!E2513="","",'Ordenes_Odoo'!E2513)</f>
        <v/>
      </c>
      <c r="F2513" s="79">
        <f>IF('Ordenes_Odoo'!F2513="","",'Ordenes_Odoo'!F2513)</f>
        <v/>
      </c>
      <c r="G2513" s="79">
        <f>IF('Ordenes_Odoo'!G2513="","",'Ordenes_Odoo'!G2513)</f>
        <v/>
      </c>
      <c r="H2513" s="79">
        <f>IF('Ordenes_Odoo'!H2513="","",'Ordenes_Odoo'!H2513)</f>
        <v/>
      </c>
      <c r="I2513" s="79">
        <f>IF('Ordenes_Odoo'!I2513="","",'Ordenes_Odoo'!I2513)</f>
        <v/>
      </c>
      <c r="J2513" s="79">
        <f>IF('Ordenes_Odoo'!J2513="","",'Ordenes_Odoo'!J2513)</f>
        <v/>
      </c>
      <c r="K2513" s="81">
        <f>IF('Ordenes_Odoo'!K2513="","",'Ordenes_Odoo'!K2513)</f>
        <v/>
      </c>
      <c r="L2513" s="81">
        <f>IF('Ordenes_Odoo'!L2513="","",'Ordenes_Odoo'!L2513)</f>
        <v/>
      </c>
      <c r="M2513" s="79">
        <f>IF('Ordenes_Odoo'!M2513="","",'Ordenes_Odoo'!M2513)</f>
        <v/>
      </c>
      <c r="N2513" s="79">
        <f>IF('Ordenes_Odoo'!N2513="","",'Ordenes_Odoo'!N2513)</f>
        <v/>
      </c>
      <c r="O2513" s="81">
        <f>IF('Ordenes_Odoo'!O2513="","",'Ordenes_Odoo'!O2513)</f>
        <v/>
      </c>
      <c r="P2513" s="81">
        <f>IF('Ordenes_Odoo'!P2513="","",'Ordenes_Odoo'!P2513)</f>
        <v/>
      </c>
      <c r="Q2513" s="79">
        <f>IF(A2513="","",IFERROR(INDEX(Facturas_Odoo!$B:$B, MATCH(A2513, Facturas_Odoo!$D:$D, 0)), "Sin Factura"))</f>
        <v/>
      </c>
      <c r="R2513" s="80">
        <f>IF(Q2513="Sin Factura","",IFERROR(INDEX(Facturas_Odoo!$A:$A, MATCH(Q2513, Facturas_Odoo!$B:$B, 0)), ""))</f>
        <v/>
      </c>
      <c r="S2513" s="79">
        <f>IF(Q2513="Sin Factura","",IFERROR(_xlfn.XLOOKUP(1, (Facturas_Odoo!$D:$D=A2513) * (Facturas_Odoo!$K:$K=I2513), Facturas_Odoo!$L:$L, ""), ""))</f>
        <v/>
      </c>
      <c r="T2513" s="81">
        <f>IF(Q2513="Sin Factura",0,IFERROR(_xlfn.XLOOKUP(1, (Facturas_Odoo!$D:$D=A2513) * (Facturas_Odoo!$K:$K=I2513), Facturas_Odoo!$M:$M, 0), 0))</f>
        <v/>
      </c>
      <c r="U2513" s="79">
        <f>IF(Q2513="Sin Factura",0,IFERROR(_xlfn.XLOOKUP(1, (Facturas_Odoo!$D:$D=A2513) * (Facturas_Odoo!$K:$K=I2513), Facturas_Odoo!$N:$N, 0), 0))</f>
        <v/>
      </c>
      <c r="V2513" s="79">
        <f>IF(Q2513="Sin Factura",0,IFERROR(_xlfn.XLOOKUP(1, (Facturas_Odoo!$D:$D=A2513) * (Facturas_Odoo!$K:$K=I2513), Facturas_Odoo!$O:$O, 0), 0))</f>
        <v/>
      </c>
      <c r="W2513" s="81">
        <f>IF(Q2513="Sin Factura",0,IFERROR(_xlfn.XLOOKUP(1, (Facturas_Odoo!$D:$D=A2513) * (Facturas_Odoo!$K:$K=I2513), Facturas_Odoo!$Q:$Q, 0), 0))</f>
        <v/>
      </c>
      <c r="X2513" s="79">
        <f>IF(OR(Q2513="Sin Factura",Q2513=""),"",IFERROR(INDEX(Pagos_Odoo!$B:$B, MATCH(Q2513, Pagos_Odoo!$I:$I, 0)), "Sin Pago"))</f>
        <v/>
      </c>
      <c r="Y2513" s="79">
        <f>IF(X2513="Sin Pago","",IFERROR(INDEX(Pagos_Odoo!$C:$C, MATCH(X2513, Pagos_Odoo!$B:$B, 0)), ""))</f>
        <v/>
      </c>
      <c r="Z2513" s="80">
        <f>IF(X2513="Sin Pago","",IFERROR(INDEX(Pagos_Odoo!$A:$A, MATCH(X2513, Pagos_Odoo!$B:$B, 0)), ""))</f>
        <v/>
      </c>
      <c r="AA2513" s="79">
        <f>IF(X2513="Sin Pago","",IFERROR(INDEX(Pagos_Odoo!$F:$F, MATCH(X2513, Pagos_Odoo!$B:$B, 0)), ""))</f>
        <v/>
      </c>
      <c r="AB2513" s="81">
        <f>IF(X2513="Sin Pago",0,IFERROR(INDEX(Pagos_Odoo!$E:$E, MATCH(X2513, Pagos_Odoo!$B:$B, 0)), 0))</f>
        <v/>
      </c>
      <c r="AC2513" s="79">
        <f>IF(X2513="Sin Pago","",IFERROR(INDEX(Pagos_Odoo!$G:$G, MATCH(X2513, Pagos_Odoo!$B:$B, 0)), ""))</f>
        <v/>
      </c>
      <c r="AD2513" s="82" t="n">
        <v>0</v>
      </c>
      <c r="AE2513" s="82" t="n"/>
      <c r="AF2513" s="82" t="n"/>
      <c r="AG2513" s="82">
        <f>IF(AN2513="","",AD2513+AE2513+AF2513)</f>
        <v/>
      </c>
      <c r="AH2513" s="81">
        <f>IF(AN2513="","",P2513*(1-AG2513))</f>
        <v/>
      </c>
      <c r="AI2513" s="81">
        <f>IF(AN2513="","",IF(Q2513="Sin Factura",0,IFERROR(INDEX(Facturas_Odoo!$H:$H, MATCH(Q2513, Facturas_Odoo!$B:$B, 0)), 0)*(1-AG2513)))</f>
        <v/>
      </c>
      <c r="AJ2513" s="81">
        <f>IF(AN2513="","",_xlfn.LET(idVenta, AN2513&amp;"",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13" s="81">
        <f>IF(AN2513="","",AH2513-AJ2513)</f>
        <v/>
      </c>
      <c r="AL2513" s="81">
        <f>IF(AN2513="","",IF(Q2513="Sin Factura","",AI2513-AJ2513))</f>
        <v/>
      </c>
      <c r="AM2513" s="81">
        <f>IF(AN2513="","",IF(Q2513="Sin Factura",0,P2513-IFERROR(INDEX(Facturas_Odoo!$H:$H, MATCH(Q2513, Facturas_Odoo!$B:$B, 0)), 0)))</f>
        <v/>
      </c>
      <c r="AN2513" s="79">
        <f>IF(AND(A2513="", J2513=""), "", IF(A2513&lt;&gt;"", VALUE(MID(A2513,2,LEN(A2513))), AN2512))</f>
        <v/>
      </c>
      <c r="AO2513" s="79">
        <f>IF(AN2513="","",IF(AD2513=0,"OK",_xlfn.LET(monedaPago, IF(AA2513="","USD",AA2513), limitePermitido, IFERROR(VLOOKUP(monedaPago, Configuración!$A$2:$B$3, 2, FALSE), 0.15), IF(AD2513&gt;limitePermitido, "ALERTA: EXCESO (" &amp; TEXT(limitePermitido, "0%") &amp; " máx)", "OK"))))</f>
        <v/>
      </c>
      <c r="AP2513" s="79">
        <f>IF(AN2513="","",IF(AE2513=0,"OK",_xlfn.LET(fechaPago, Z2513, fechaFactura, R2513, diasCredito, IF(E2513="Pago inmediato", 0, IFERROR(VALUE(MID(E2513, 1, SEARCH(" ", E2513)-1)),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13" s="79">
        <f>IF(AN2513="","",IF(AND(N2513&gt;0, AG2513&gt;0), IF(Configuración!$K$2="NO", "ALERTA: DESCUENTO DOBLE NO PERMITIDO", "OK"), "OK"))</f>
        <v/>
      </c>
      <c r="AR2513" s="79">
        <f>IF(AN2513="","",IF(OR(AO2513&lt;&gt;"OK", AP2513&lt;&gt;"OK", AQ2513&lt;&gt;"OK"), "⚠️ REVISAR", "OK"))</f>
        <v/>
      </c>
    </row>
    <row r="2514">
      <c r="A2514" s="79">
        <f>IF('Ordenes_Odoo'!A2514="","",'Ordenes_Odoo'!A2514)</f>
        <v/>
      </c>
      <c r="B2514" s="80">
        <f>IF('Ordenes_Odoo'!B2514="","",'Ordenes_Odoo'!B2514)</f>
        <v/>
      </c>
      <c r="C2514" s="79">
        <f>IF('Ordenes_Odoo'!C2514="","",'Ordenes_Odoo'!C2514)</f>
        <v/>
      </c>
      <c r="D2514" s="79">
        <f>IF('Ordenes_Odoo'!D2514="","",'Ordenes_Odoo'!D2514)</f>
        <v/>
      </c>
      <c r="E2514" s="79">
        <f>IF('Ordenes_Odoo'!E2514="","",'Ordenes_Odoo'!E2514)</f>
        <v/>
      </c>
      <c r="F2514" s="79">
        <f>IF('Ordenes_Odoo'!F2514="","",'Ordenes_Odoo'!F2514)</f>
        <v/>
      </c>
      <c r="G2514" s="79">
        <f>IF('Ordenes_Odoo'!G2514="","",'Ordenes_Odoo'!G2514)</f>
        <v/>
      </c>
      <c r="H2514" s="79">
        <f>IF('Ordenes_Odoo'!H2514="","",'Ordenes_Odoo'!H2514)</f>
        <v/>
      </c>
      <c r="I2514" s="79">
        <f>IF('Ordenes_Odoo'!I2514="","",'Ordenes_Odoo'!I2514)</f>
        <v/>
      </c>
      <c r="J2514" s="79">
        <f>IF('Ordenes_Odoo'!J2514="","",'Ordenes_Odoo'!J2514)</f>
        <v/>
      </c>
      <c r="K2514" s="81">
        <f>IF('Ordenes_Odoo'!K2514="","",'Ordenes_Odoo'!K2514)</f>
        <v/>
      </c>
      <c r="L2514" s="81">
        <f>IF('Ordenes_Odoo'!L2514="","",'Ordenes_Odoo'!L2514)</f>
        <v/>
      </c>
      <c r="M2514" s="79">
        <f>IF('Ordenes_Odoo'!M2514="","",'Ordenes_Odoo'!M2514)</f>
        <v/>
      </c>
      <c r="N2514" s="79">
        <f>IF('Ordenes_Odoo'!N2514="","",'Ordenes_Odoo'!N2514)</f>
        <v/>
      </c>
      <c r="O2514" s="81">
        <f>IF('Ordenes_Odoo'!O2514="","",'Ordenes_Odoo'!O2514)</f>
        <v/>
      </c>
      <c r="P2514" s="81">
        <f>IF('Ordenes_Odoo'!P2514="","",'Ordenes_Odoo'!P2514)</f>
        <v/>
      </c>
      <c r="Q2514" s="79">
        <f>IF(A2514="","",IFERROR(INDEX(Facturas_Odoo!$B:$B, MATCH(A2514, Facturas_Odoo!$D:$D, 0)), "Sin Factura"))</f>
        <v/>
      </c>
      <c r="R2514" s="80">
        <f>IF(Q2514="Sin Factura","",IFERROR(INDEX(Facturas_Odoo!$A:$A, MATCH(Q2514, Facturas_Odoo!$B:$B, 0)), ""))</f>
        <v/>
      </c>
      <c r="S2514" s="79">
        <f>IF(Q2514="Sin Factura","",IFERROR(_xlfn.XLOOKUP(1, (Facturas_Odoo!$D:$D=A2514) * (Facturas_Odoo!$K:$K=I2514), Facturas_Odoo!$L:$L, ""), ""))</f>
        <v/>
      </c>
      <c r="T2514" s="81">
        <f>IF(Q2514="Sin Factura",0,IFERROR(_xlfn.XLOOKUP(1, (Facturas_Odoo!$D:$D=A2514) * (Facturas_Odoo!$K:$K=I2514), Facturas_Odoo!$M:$M, 0), 0))</f>
        <v/>
      </c>
      <c r="U2514" s="79">
        <f>IF(Q2514="Sin Factura",0,IFERROR(_xlfn.XLOOKUP(1, (Facturas_Odoo!$D:$D=A2514) * (Facturas_Odoo!$K:$K=I2514), Facturas_Odoo!$N:$N, 0), 0))</f>
        <v/>
      </c>
      <c r="V2514" s="79">
        <f>IF(Q2514="Sin Factura",0,IFERROR(_xlfn.XLOOKUP(1, (Facturas_Odoo!$D:$D=A2514) * (Facturas_Odoo!$K:$K=I2514), Facturas_Odoo!$O:$O, 0), 0))</f>
        <v/>
      </c>
      <c r="W2514" s="81">
        <f>IF(Q2514="Sin Factura",0,IFERROR(_xlfn.XLOOKUP(1, (Facturas_Odoo!$D:$D=A2514) * (Facturas_Odoo!$K:$K=I2514), Facturas_Odoo!$Q:$Q, 0), 0))</f>
        <v/>
      </c>
      <c r="X2514" s="79">
        <f>IF(OR(Q2514="Sin Factura",Q2514=""),"",IFERROR(INDEX(Pagos_Odoo!$B:$B, MATCH(Q2514, Pagos_Odoo!$I:$I, 0)), "Sin Pago"))</f>
        <v/>
      </c>
      <c r="Y2514" s="79">
        <f>IF(X2514="Sin Pago","",IFERROR(INDEX(Pagos_Odoo!$C:$C, MATCH(X2514, Pagos_Odoo!$B:$B, 0)), ""))</f>
        <v/>
      </c>
      <c r="Z2514" s="80">
        <f>IF(X2514="Sin Pago","",IFERROR(INDEX(Pagos_Odoo!$A:$A, MATCH(X2514, Pagos_Odoo!$B:$B, 0)), ""))</f>
        <v/>
      </c>
      <c r="AA2514" s="79">
        <f>IF(X2514="Sin Pago","",IFERROR(INDEX(Pagos_Odoo!$F:$F, MATCH(X2514, Pagos_Odoo!$B:$B, 0)), ""))</f>
        <v/>
      </c>
      <c r="AB2514" s="81">
        <f>IF(X2514="Sin Pago",0,IFERROR(INDEX(Pagos_Odoo!$E:$E, MATCH(X2514, Pagos_Odoo!$B:$B, 0)), 0))</f>
        <v/>
      </c>
      <c r="AC2514" s="79">
        <f>IF(X2514="Sin Pago","",IFERROR(INDEX(Pagos_Odoo!$G:$G, MATCH(X2514, Pagos_Odoo!$B:$B, 0)), ""))</f>
        <v/>
      </c>
      <c r="AD2514" s="82" t="n">
        <v>0</v>
      </c>
      <c r="AE2514" s="82" t="n"/>
      <c r="AF2514" s="82" t="n"/>
      <c r="AG2514" s="82">
        <f>IF(AN2514="","",AD2514+AE2514+AF2514)</f>
        <v/>
      </c>
      <c r="AH2514" s="81">
        <f>IF(AN2514="","",P2514*(1-AG2514))</f>
        <v/>
      </c>
      <c r="AI2514" s="81">
        <f>IF(AN2514="","",IF(Q2514="Sin Factura",0,IFERROR(INDEX(Facturas_Odoo!$H:$H, MATCH(Q2514, Facturas_Odoo!$B:$B, 0)), 0)*(1-AG2514)))</f>
        <v/>
      </c>
      <c r="AJ2514" s="81">
        <f>IF(AN2514="","",_xlfn.LET(idVenta, AN2514&amp;"",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14" s="81">
        <f>IF(AN2514="","",AH2514-AJ2514)</f>
        <v/>
      </c>
      <c r="AL2514" s="81">
        <f>IF(AN2514="","",IF(Q2514="Sin Factura","",AI2514-AJ2514))</f>
        <v/>
      </c>
      <c r="AM2514" s="81">
        <f>IF(AN2514="","",IF(Q2514="Sin Factura",0,P2514-IFERROR(INDEX(Facturas_Odoo!$H:$H, MATCH(Q2514, Facturas_Odoo!$B:$B, 0)), 0)))</f>
        <v/>
      </c>
      <c r="AN2514" s="79">
        <f>IF(AND(A2514="", J2514=""), "", IF(A2514&lt;&gt;"", VALUE(MID(A2514,2,LEN(A2514))), AN2513))</f>
        <v/>
      </c>
      <c r="AO2514" s="79">
        <f>IF(AN2514="","",IF(AD2514=0,"OK",_xlfn.LET(monedaPago, IF(AA2514="","USD",AA2514), limitePermitido, IFERROR(VLOOKUP(monedaPago, Configuración!$A$2:$B$3, 2, FALSE), 0.15), IF(AD2514&gt;limitePermitido, "ALERTA: EXCESO (" &amp; TEXT(limitePermitido, "0%") &amp; " máx)", "OK"))))</f>
        <v/>
      </c>
      <c r="AP2514" s="79">
        <f>IF(AN2514="","",IF(AE2514=0,"OK",_xlfn.LET(fechaPago, Z2514, fechaFactura, R2514, diasCredito, IF(E2514="Pago inmediato", 0, IFERROR(VALUE(MID(E2514, 1, SEARCH(" ", E2514)-1)),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14" s="79">
        <f>IF(AN2514="","",IF(AND(N2514&gt;0, AG2514&gt;0), IF(Configuración!$K$2="NO", "ALERTA: DESCUENTO DOBLE NO PERMITIDO", "OK"), "OK"))</f>
        <v/>
      </c>
      <c r="AR2514" s="79">
        <f>IF(AN2514="","",IF(OR(AO2514&lt;&gt;"OK", AP2514&lt;&gt;"OK", AQ2514&lt;&gt;"OK"), "⚠️ REVISAR", "OK"))</f>
        <v/>
      </c>
    </row>
    <row r="2515">
      <c r="A2515" s="79">
        <f>IF('Ordenes_Odoo'!A2515="","",'Ordenes_Odoo'!A2515)</f>
        <v/>
      </c>
      <c r="B2515" s="80">
        <f>IF('Ordenes_Odoo'!B2515="","",'Ordenes_Odoo'!B2515)</f>
        <v/>
      </c>
      <c r="C2515" s="79">
        <f>IF('Ordenes_Odoo'!C2515="","",'Ordenes_Odoo'!C2515)</f>
        <v/>
      </c>
      <c r="D2515" s="79">
        <f>IF('Ordenes_Odoo'!D2515="","",'Ordenes_Odoo'!D2515)</f>
        <v/>
      </c>
      <c r="E2515" s="79">
        <f>IF('Ordenes_Odoo'!E2515="","",'Ordenes_Odoo'!E2515)</f>
        <v/>
      </c>
      <c r="F2515" s="79">
        <f>IF('Ordenes_Odoo'!F2515="","",'Ordenes_Odoo'!F2515)</f>
        <v/>
      </c>
      <c r="G2515" s="79">
        <f>IF('Ordenes_Odoo'!G2515="","",'Ordenes_Odoo'!G2515)</f>
        <v/>
      </c>
      <c r="H2515" s="79">
        <f>IF('Ordenes_Odoo'!H2515="","",'Ordenes_Odoo'!H2515)</f>
        <v/>
      </c>
      <c r="I2515" s="79">
        <f>IF('Ordenes_Odoo'!I2515="","",'Ordenes_Odoo'!I2515)</f>
        <v/>
      </c>
      <c r="J2515" s="79">
        <f>IF('Ordenes_Odoo'!J2515="","",'Ordenes_Odoo'!J2515)</f>
        <v/>
      </c>
      <c r="K2515" s="81">
        <f>IF('Ordenes_Odoo'!K2515="","",'Ordenes_Odoo'!K2515)</f>
        <v/>
      </c>
      <c r="L2515" s="81">
        <f>IF('Ordenes_Odoo'!L2515="","",'Ordenes_Odoo'!L2515)</f>
        <v/>
      </c>
      <c r="M2515" s="79">
        <f>IF('Ordenes_Odoo'!M2515="","",'Ordenes_Odoo'!M2515)</f>
        <v/>
      </c>
      <c r="N2515" s="79">
        <f>IF('Ordenes_Odoo'!N2515="","",'Ordenes_Odoo'!N2515)</f>
        <v/>
      </c>
      <c r="O2515" s="81">
        <f>IF('Ordenes_Odoo'!O2515="","",'Ordenes_Odoo'!O2515)</f>
        <v/>
      </c>
      <c r="P2515" s="81">
        <f>IF('Ordenes_Odoo'!P2515="","",'Ordenes_Odoo'!P2515)</f>
        <v/>
      </c>
      <c r="Q2515" s="79">
        <f>IF(A2515="","",IFERROR(INDEX(Facturas_Odoo!$B:$B, MATCH(A2515, Facturas_Odoo!$D:$D, 0)), "Sin Factura"))</f>
        <v/>
      </c>
      <c r="R2515" s="80">
        <f>IF(Q2515="Sin Factura","",IFERROR(INDEX(Facturas_Odoo!$A:$A, MATCH(Q2515, Facturas_Odoo!$B:$B, 0)), ""))</f>
        <v/>
      </c>
      <c r="S2515" s="79">
        <f>IF(Q2515="Sin Factura","",IFERROR(_xlfn.XLOOKUP(1, (Facturas_Odoo!$D:$D=A2515) * (Facturas_Odoo!$K:$K=I2515), Facturas_Odoo!$L:$L, ""), ""))</f>
        <v/>
      </c>
      <c r="T2515" s="81">
        <f>IF(Q2515="Sin Factura",0,IFERROR(_xlfn.XLOOKUP(1, (Facturas_Odoo!$D:$D=A2515) * (Facturas_Odoo!$K:$K=I2515), Facturas_Odoo!$M:$M, 0), 0))</f>
        <v/>
      </c>
      <c r="U2515" s="79">
        <f>IF(Q2515="Sin Factura",0,IFERROR(_xlfn.XLOOKUP(1, (Facturas_Odoo!$D:$D=A2515) * (Facturas_Odoo!$K:$K=I2515), Facturas_Odoo!$N:$N, 0), 0))</f>
        <v/>
      </c>
      <c r="V2515" s="79">
        <f>IF(Q2515="Sin Factura",0,IFERROR(_xlfn.XLOOKUP(1, (Facturas_Odoo!$D:$D=A2515) * (Facturas_Odoo!$K:$K=I2515), Facturas_Odoo!$O:$O, 0), 0))</f>
        <v/>
      </c>
      <c r="W2515" s="81">
        <f>IF(Q2515="Sin Factura",0,IFERROR(_xlfn.XLOOKUP(1, (Facturas_Odoo!$D:$D=A2515) * (Facturas_Odoo!$K:$K=I2515), Facturas_Odoo!$Q:$Q, 0), 0))</f>
        <v/>
      </c>
      <c r="X2515" s="79">
        <f>IF(OR(Q2515="Sin Factura",Q2515=""),"",IFERROR(INDEX(Pagos_Odoo!$B:$B, MATCH(Q2515, Pagos_Odoo!$I:$I, 0)), "Sin Pago"))</f>
        <v/>
      </c>
      <c r="Y2515" s="79">
        <f>IF(X2515="Sin Pago","",IFERROR(INDEX(Pagos_Odoo!$C:$C, MATCH(X2515, Pagos_Odoo!$B:$B, 0)), ""))</f>
        <v/>
      </c>
      <c r="Z2515" s="80">
        <f>IF(X2515="Sin Pago","",IFERROR(INDEX(Pagos_Odoo!$A:$A, MATCH(X2515, Pagos_Odoo!$B:$B, 0)), ""))</f>
        <v/>
      </c>
      <c r="AA2515" s="79">
        <f>IF(X2515="Sin Pago","",IFERROR(INDEX(Pagos_Odoo!$F:$F, MATCH(X2515, Pagos_Odoo!$B:$B, 0)), ""))</f>
        <v/>
      </c>
      <c r="AB2515" s="81">
        <f>IF(X2515="Sin Pago",0,IFERROR(INDEX(Pagos_Odoo!$E:$E, MATCH(X2515, Pagos_Odoo!$B:$B, 0)), 0))</f>
        <v/>
      </c>
      <c r="AC2515" s="79">
        <f>IF(X2515="Sin Pago","",IFERROR(INDEX(Pagos_Odoo!$G:$G, MATCH(X2515, Pagos_Odoo!$B:$B, 0)), ""))</f>
        <v/>
      </c>
      <c r="AD2515" s="82" t="n">
        <v>0</v>
      </c>
      <c r="AE2515" s="82" t="n"/>
      <c r="AF2515" s="82" t="n"/>
      <c r="AG2515" s="82">
        <f>IF(AN2515="","",AD2515+AE2515+AF2515)</f>
        <v/>
      </c>
      <c r="AH2515" s="81">
        <f>IF(AN2515="","",P2515*(1-AG2515))</f>
        <v/>
      </c>
      <c r="AI2515" s="81">
        <f>IF(AN2515="","",IF(Q2515="Sin Factura",0,IFERROR(INDEX(Facturas_Odoo!$H:$H, MATCH(Q2515, Facturas_Odoo!$B:$B, 0)), 0)*(1-AG2515)))</f>
        <v/>
      </c>
      <c r="AJ2515" s="81">
        <f>IF(AN2515="","",_xlfn.LET(idVenta, AN2515&amp;"",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15" s="81">
        <f>IF(AN2515="","",AH2515-AJ2515)</f>
        <v/>
      </c>
      <c r="AL2515" s="81">
        <f>IF(AN2515="","",IF(Q2515="Sin Factura","",AI2515-AJ2515))</f>
        <v/>
      </c>
      <c r="AM2515" s="81">
        <f>IF(AN2515="","",IF(Q2515="Sin Factura",0,P2515-IFERROR(INDEX(Facturas_Odoo!$H:$H, MATCH(Q2515, Facturas_Odoo!$B:$B, 0)), 0)))</f>
        <v/>
      </c>
      <c r="AN2515" s="79">
        <f>IF(AND(A2515="", J2515=""), "", IF(A2515&lt;&gt;"", VALUE(MID(A2515,2,LEN(A2515))), AN2514))</f>
        <v/>
      </c>
      <c r="AO2515" s="79">
        <f>IF(AN2515="","",IF(AD2515=0,"OK",_xlfn.LET(monedaPago, IF(AA2515="","USD",AA2515), limitePermitido, IFERROR(VLOOKUP(monedaPago, Configuración!$A$2:$B$3, 2, FALSE), 0.15), IF(AD2515&gt;limitePermitido, "ALERTA: EXCESO (" &amp; TEXT(limitePermitido, "0%") &amp; " máx)", "OK"))))</f>
        <v/>
      </c>
      <c r="AP2515" s="79">
        <f>IF(AN2515="","",IF(AE2515=0,"OK",_xlfn.LET(fechaPago, Z2515, fechaFactura, R2515, diasCredito, IF(E2515="Pago inmediato", 0, IFERROR(VALUE(MID(E2515, 1, SEARCH(" ", E2515)-1)),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15" s="79">
        <f>IF(AN2515="","",IF(AND(N2515&gt;0, AG2515&gt;0), IF(Configuración!$K$2="NO", "ALERTA: DESCUENTO DOBLE NO PERMITIDO", "OK"), "OK"))</f>
        <v/>
      </c>
      <c r="AR2515" s="79">
        <f>IF(AN2515="","",IF(OR(AO2515&lt;&gt;"OK", AP2515&lt;&gt;"OK", AQ2515&lt;&gt;"OK"), "⚠️ REVISAR", "OK"))</f>
        <v/>
      </c>
    </row>
    <row r="2516">
      <c r="A2516" s="79">
        <f>IF('Ordenes_Odoo'!A2516="","",'Ordenes_Odoo'!A2516)</f>
        <v/>
      </c>
      <c r="B2516" s="80">
        <f>IF('Ordenes_Odoo'!B2516="","",'Ordenes_Odoo'!B2516)</f>
        <v/>
      </c>
      <c r="C2516" s="79">
        <f>IF('Ordenes_Odoo'!C2516="","",'Ordenes_Odoo'!C2516)</f>
        <v/>
      </c>
      <c r="D2516" s="79">
        <f>IF('Ordenes_Odoo'!D2516="","",'Ordenes_Odoo'!D2516)</f>
        <v/>
      </c>
      <c r="E2516" s="79">
        <f>IF('Ordenes_Odoo'!E2516="","",'Ordenes_Odoo'!E2516)</f>
        <v/>
      </c>
      <c r="F2516" s="79">
        <f>IF('Ordenes_Odoo'!F2516="","",'Ordenes_Odoo'!F2516)</f>
        <v/>
      </c>
      <c r="G2516" s="79">
        <f>IF('Ordenes_Odoo'!G2516="","",'Ordenes_Odoo'!G2516)</f>
        <v/>
      </c>
      <c r="H2516" s="79">
        <f>IF('Ordenes_Odoo'!H2516="","",'Ordenes_Odoo'!H2516)</f>
        <v/>
      </c>
      <c r="I2516" s="79">
        <f>IF('Ordenes_Odoo'!I2516="","",'Ordenes_Odoo'!I2516)</f>
        <v/>
      </c>
      <c r="J2516" s="79">
        <f>IF('Ordenes_Odoo'!J2516="","",'Ordenes_Odoo'!J2516)</f>
        <v/>
      </c>
      <c r="K2516" s="81">
        <f>IF('Ordenes_Odoo'!K2516="","",'Ordenes_Odoo'!K2516)</f>
        <v/>
      </c>
      <c r="L2516" s="81">
        <f>IF('Ordenes_Odoo'!L2516="","",'Ordenes_Odoo'!L2516)</f>
        <v/>
      </c>
      <c r="M2516" s="79">
        <f>IF('Ordenes_Odoo'!M2516="","",'Ordenes_Odoo'!M2516)</f>
        <v/>
      </c>
      <c r="N2516" s="79">
        <f>IF('Ordenes_Odoo'!N2516="","",'Ordenes_Odoo'!N2516)</f>
        <v/>
      </c>
      <c r="O2516" s="81">
        <f>IF('Ordenes_Odoo'!O2516="","",'Ordenes_Odoo'!O2516)</f>
        <v/>
      </c>
      <c r="P2516" s="81">
        <f>IF('Ordenes_Odoo'!P2516="","",'Ordenes_Odoo'!P2516)</f>
        <v/>
      </c>
      <c r="Q2516" s="79">
        <f>IF(A2516="","",IFERROR(INDEX(Facturas_Odoo!$B:$B, MATCH(A2516, Facturas_Odoo!$D:$D, 0)), "Sin Factura"))</f>
        <v/>
      </c>
      <c r="R2516" s="80">
        <f>IF(Q2516="Sin Factura","",IFERROR(INDEX(Facturas_Odoo!$A:$A, MATCH(Q2516, Facturas_Odoo!$B:$B, 0)), ""))</f>
        <v/>
      </c>
      <c r="S2516" s="79">
        <f>IF(Q2516="Sin Factura","",IFERROR(_xlfn.XLOOKUP(1, (Facturas_Odoo!$D:$D=A2516) * (Facturas_Odoo!$K:$K=I2516), Facturas_Odoo!$L:$L, ""), ""))</f>
        <v/>
      </c>
      <c r="T2516" s="81">
        <f>IF(Q2516="Sin Factura",0,IFERROR(_xlfn.XLOOKUP(1, (Facturas_Odoo!$D:$D=A2516) * (Facturas_Odoo!$K:$K=I2516), Facturas_Odoo!$M:$M, 0), 0))</f>
        <v/>
      </c>
      <c r="U2516" s="79">
        <f>IF(Q2516="Sin Factura",0,IFERROR(_xlfn.XLOOKUP(1, (Facturas_Odoo!$D:$D=A2516) * (Facturas_Odoo!$K:$K=I2516), Facturas_Odoo!$N:$N, 0), 0))</f>
        <v/>
      </c>
      <c r="V2516" s="79">
        <f>IF(Q2516="Sin Factura",0,IFERROR(_xlfn.XLOOKUP(1, (Facturas_Odoo!$D:$D=A2516) * (Facturas_Odoo!$K:$K=I2516), Facturas_Odoo!$O:$O, 0), 0))</f>
        <v/>
      </c>
      <c r="W2516" s="81">
        <f>IF(Q2516="Sin Factura",0,IFERROR(_xlfn.XLOOKUP(1, (Facturas_Odoo!$D:$D=A2516) * (Facturas_Odoo!$K:$K=I2516), Facturas_Odoo!$Q:$Q, 0), 0))</f>
        <v/>
      </c>
      <c r="X2516" s="79">
        <f>IF(OR(Q2516="Sin Factura",Q2516=""),"",IFERROR(INDEX(Pagos_Odoo!$B:$B, MATCH(Q2516, Pagos_Odoo!$I:$I, 0)), "Sin Pago"))</f>
        <v/>
      </c>
      <c r="Y2516" s="79">
        <f>IF(X2516="Sin Pago","",IFERROR(INDEX(Pagos_Odoo!$C:$C, MATCH(X2516, Pagos_Odoo!$B:$B, 0)), ""))</f>
        <v/>
      </c>
      <c r="Z2516" s="80">
        <f>IF(X2516="Sin Pago","",IFERROR(INDEX(Pagos_Odoo!$A:$A, MATCH(X2516, Pagos_Odoo!$B:$B, 0)), ""))</f>
        <v/>
      </c>
      <c r="AA2516" s="79">
        <f>IF(X2516="Sin Pago","",IFERROR(INDEX(Pagos_Odoo!$F:$F, MATCH(X2516, Pagos_Odoo!$B:$B, 0)), ""))</f>
        <v/>
      </c>
      <c r="AB2516" s="81">
        <f>IF(X2516="Sin Pago",0,IFERROR(INDEX(Pagos_Odoo!$E:$E, MATCH(X2516, Pagos_Odoo!$B:$B, 0)), 0))</f>
        <v/>
      </c>
      <c r="AC2516" s="79">
        <f>IF(X2516="Sin Pago","",IFERROR(INDEX(Pagos_Odoo!$G:$G, MATCH(X2516, Pagos_Odoo!$B:$B, 0)), ""))</f>
        <v/>
      </c>
      <c r="AD2516" s="82" t="n">
        <v>0</v>
      </c>
      <c r="AE2516" s="82" t="n"/>
      <c r="AF2516" s="82" t="n"/>
      <c r="AG2516" s="82">
        <f>IF(AN2516="","",AD2516+AE2516+AF2516)</f>
        <v/>
      </c>
      <c r="AH2516" s="81">
        <f>IF(AN2516="","",P2516*(1-AG2516))</f>
        <v/>
      </c>
      <c r="AI2516" s="81">
        <f>IF(AN2516="","",IF(Q2516="Sin Factura",0,IFERROR(INDEX(Facturas_Odoo!$H:$H, MATCH(Q2516, Facturas_Odoo!$B:$B, 0)), 0)*(1-AG2516)))</f>
        <v/>
      </c>
      <c r="AJ2516" s="81">
        <f>IF(AN2516="","",_xlfn.LET(idVenta, AN2516&amp;"",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16" s="81">
        <f>IF(AN2516="","",AH2516-AJ2516)</f>
        <v/>
      </c>
      <c r="AL2516" s="81">
        <f>IF(AN2516="","",IF(Q2516="Sin Factura","",AI2516-AJ2516))</f>
        <v/>
      </c>
      <c r="AM2516" s="81">
        <f>IF(AN2516="","",IF(Q2516="Sin Factura",0,P2516-IFERROR(INDEX(Facturas_Odoo!$H:$H, MATCH(Q2516, Facturas_Odoo!$B:$B, 0)), 0)))</f>
        <v/>
      </c>
      <c r="AN2516" s="79">
        <f>IF(AND(A2516="", J2516=""), "", IF(A2516&lt;&gt;"", VALUE(MID(A2516,2,LEN(A2516))), AN2515))</f>
        <v/>
      </c>
      <c r="AO2516" s="79">
        <f>IF(AN2516="","",IF(AD2516=0,"OK",_xlfn.LET(monedaPago, IF(AA2516="","USD",AA2516), limitePermitido, IFERROR(VLOOKUP(monedaPago, Configuración!$A$2:$B$3, 2, FALSE), 0.15), IF(AD2516&gt;limitePermitido, "ALERTA: EXCESO (" &amp; TEXT(limitePermitido, "0%") &amp; " máx)", "OK"))))</f>
        <v/>
      </c>
      <c r="AP2516" s="79">
        <f>IF(AN2516="","",IF(AE2516=0,"OK",_xlfn.LET(fechaPago, Z2516, fechaFactura, R2516, diasCredito, IF(E2516="Pago inmediato", 0, IFERROR(VALUE(MID(E2516, 1, SEARCH(" ", E2516)-1)),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16" s="79">
        <f>IF(AN2516="","",IF(AND(N2516&gt;0, AG2516&gt;0), IF(Configuración!$K$2="NO", "ALERTA: DESCUENTO DOBLE NO PERMITIDO", "OK"), "OK"))</f>
        <v/>
      </c>
      <c r="AR2516" s="79">
        <f>IF(AN2516="","",IF(OR(AO2516&lt;&gt;"OK", AP2516&lt;&gt;"OK", AQ2516&lt;&gt;"OK"), "⚠️ REVISAR", "OK"))</f>
        <v/>
      </c>
    </row>
    <row r="2517">
      <c r="A2517" s="79">
        <f>IF('Ordenes_Odoo'!A2517="","",'Ordenes_Odoo'!A2517)</f>
        <v/>
      </c>
      <c r="B2517" s="80">
        <f>IF('Ordenes_Odoo'!B2517="","",'Ordenes_Odoo'!B2517)</f>
        <v/>
      </c>
      <c r="C2517" s="79">
        <f>IF('Ordenes_Odoo'!C2517="","",'Ordenes_Odoo'!C2517)</f>
        <v/>
      </c>
      <c r="D2517" s="79">
        <f>IF('Ordenes_Odoo'!D2517="","",'Ordenes_Odoo'!D2517)</f>
        <v/>
      </c>
      <c r="E2517" s="79">
        <f>IF('Ordenes_Odoo'!E2517="","",'Ordenes_Odoo'!E2517)</f>
        <v/>
      </c>
      <c r="F2517" s="79">
        <f>IF('Ordenes_Odoo'!F2517="","",'Ordenes_Odoo'!F2517)</f>
        <v/>
      </c>
      <c r="G2517" s="79">
        <f>IF('Ordenes_Odoo'!G2517="","",'Ordenes_Odoo'!G2517)</f>
        <v/>
      </c>
      <c r="H2517" s="79">
        <f>IF('Ordenes_Odoo'!H2517="","",'Ordenes_Odoo'!H2517)</f>
        <v/>
      </c>
      <c r="I2517" s="79">
        <f>IF('Ordenes_Odoo'!I2517="","",'Ordenes_Odoo'!I2517)</f>
        <v/>
      </c>
      <c r="J2517" s="79">
        <f>IF('Ordenes_Odoo'!J2517="","",'Ordenes_Odoo'!J2517)</f>
        <v/>
      </c>
      <c r="K2517" s="81">
        <f>IF('Ordenes_Odoo'!K2517="","",'Ordenes_Odoo'!K2517)</f>
        <v/>
      </c>
      <c r="L2517" s="81">
        <f>IF('Ordenes_Odoo'!L2517="","",'Ordenes_Odoo'!L2517)</f>
        <v/>
      </c>
      <c r="M2517" s="79">
        <f>IF('Ordenes_Odoo'!M2517="","",'Ordenes_Odoo'!M2517)</f>
        <v/>
      </c>
      <c r="N2517" s="79">
        <f>IF('Ordenes_Odoo'!N2517="","",'Ordenes_Odoo'!N2517)</f>
        <v/>
      </c>
      <c r="O2517" s="81">
        <f>IF('Ordenes_Odoo'!O2517="","",'Ordenes_Odoo'!O2517)</f>
        <v/>
      </c>
      <c r="P2517" s="81">
        <f>IF('Ordenes_Odoo'!P2517="","",'Ordenes_Odoo'!P2517)</f>
        <v/>
      </c>
      <c r="Q2517" s="79">
        <f>IF(A2517="","",IFERROR(INDEX(Facturas_Odoo!$B:$B, MATCH(A2517, Facturas_Odoo!$D:$D, 0)), "Sin Factura"))</f>
        <v/>
      </c>
      <c r="R2517" s="80">
        <f>IF(Q2517="Sin Factura","",IFERROR(INDEX(Facturas_Odoo!$A:$A, MATCH(Q2517, Facturas_Odoo!$B:$B, 0)), ""))</f>
        <v/>
      </c>
      <c r="S2517" s="79">
        <f>IF(Q2517="Sin Factura","",IFERROR(_xlfn.XLOOKUP(1, (Facturas_Odoo!$D:$D=A2517) * (Facturas_Odoo!$K:$K=I2517), Facturas_Odoo!$L:$L, ""), ""))</f>
        <v/>
      </c>
      <c r="T2517" s="81">
        <f>IF(Q2517="Sin Factura",0,IFERROR(_xlfn.XLOOKUP(1, (Facturas_Odoo!$D:$D=A2517) * (Facturas_Odoo!$K:$K=I2517), Facturas_Odoo!$M:$M, 0), 0))</f>
        <v/>
      </c>
      <c r="U2517" s="79">
        <f>IF(Q2517="Sin Factura",0,IFERROR(_xlfn.XLOOKUP(1, (Facturas_Odoo!$D:$D=A2517) * (Facturas_Odoo!$K:$K=I2517), Facturas_Odoo!$N:$N, 0), 0))</f>
        <v/>
      </c>
      <c r="V2517" s="79">
        <f>IF(Q2517="Sin Factura",0,IFERROR(_xlfn.XLOOKUP(1, (Facturas_Odoo!$D:$D=A2517) * (Facturas_Odoo!$K:$K=I2517), Facturas_Odoo!$O:$O, 0), 0))</f>
        <v/>
      </c>
      <c r="W2517" s="81">
        <f>IF(Q2517="Sin Factura",0,IFERROR(_xlfn.XLOOKUP(1, (Facturas_Odoo!$D:$D=A2517) * (Facturas_Odoo!$K:$K=I2517), Facturas_Odoo!$Q:$Q, 0), 0))</f>
        <v/>
      </c>
      <c r="X2517" s="79">
        <f>IF(OR(Q2517="Sin Factura",Q2517=""),"",IFERROR(INDEX(Pagos_Odoo!$B:$B, MATCH(Q2517, Pagos_Odoo!$I:$I, 0)), "Sin Pago"))</f>
        <v/>
      </c>
      <c r="Y2517" s="79">
        <f>IF(X2517="Sin Pago","",IFERROR(INDEX(Pagos_Odoo!$C:$C, MATCH(X2517, Pagos_Odoo!$B:$B, 0)), ""))</f>
        <v/>
      </c>
      <c r="Z2517" s="80">
        <f>IF(X2517="Sin Pago","",IFERROR(INDEX(Pagos_Odoo!$A:$A, MATCH(X2517, Pagos_Odoo!$B:$B, 0)), ""))</f>
        <v/>
      </c>
      <c r="AA2517" s="79">
        <f>IF(X2517="Sin Pago","",IFERROR(INDEX(Pagos_Odoo!$F:$F, MATCH(X2517, Pagos_Odoo!$B:$B, 0)), ""))</f>
        <v/>
      </c>
      <c r="AB2517" s="81">
        <f>IF(X2517="Sin Pago",0,IFERROR(INDEX(Pagos_Odoo!$E:$E, MATCH(X2517, Pagos_Odoo!$B:$B, 0)), 0))</f>
        <v/>
      </c>
      <c r="AC2517" s="79">
        <f>IF(X2517="Sin Pago","",IFERROR(INDEX(Pagos_Odoo!$G:$G, MATCH(X2517, Pagos_Odoo!$B:$B, 0)), ""))</f>
        <v/>
      </c>
      <c r="AD2517" s="82" t="n">
        <v>0</v>
      </c>
      <c r="AE2517" s="82" t="n"/>
      <c r="AF2517" s="82" t="n"/>
      <c r="AG2517" s="82">
        <f>IF(AN2517="","",AD2517+AE2517+AF2517)</f>
        <v/>
      </c>
      <c r="AH2517" s="81">
        <f>IF(AN2517="","",P2517*(1-AG2517))</f>
        <v/>
      </c>
      <c r="AI2517" s="81">
        <f>IF(AN2517="","",IF(Q2517="Sin Factura",0,IFERROR(INDEX(Facturas_Odoo!$H:$H, MATCH(Q2517, Facturas_Odoo!$B:$B, 0)), 0)*(1-AG2517)))</f>
        <v/>
      </c>
      <c r="AJ2517" s="81">
        <f>IF(AN2517="","",_xlfn.LET(idVenta, AN2517&amp;"",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17" s="81">
        <f>IF(AN2517="","",AH2517-AJ2517)</f>
        <v/>
      </c>
      <c r="AL2517" s="81">
        <f>IF(AN2517="","",IF(Q2517="Sin Factura","",AI2517-AJ2517))</f>
        <v/>
      </c>
      <c r="AM2517" s="81">
        <f>IF(AN2517="","",IF(Q2517="Sin Factura",0,P2517-IFERROR(INDEX(Facturas_Odoo!$H:$H, MATCH(Q2517, Facturas_Odoo!$B:$B, 0)), 0)))</f>
        <v/>
      </c>
      <c r="AN2517" s="79">
        <f>IF(AND(A2517="", J2517=""), "", IF(A2517&lt;&gt;"", VALUE(MID(A2517,2,LEN(A2517))), AN2516))</f>
        <v/>
      </c>
      <c r="AO2517" s="79">
        <f>IF(AN2517="","",IF(AD2517=0,"OK",_xlfn.LET(monedaPago, IF(AA2517="","USD",AA2517), limitePermitido, IFERROR(VLOOKUP(monedaPago, Configuración!$A$2:$B$3, 2, FALSE), 0.15), IF(AD2517&gt;limitePermitido, "ALERTA: EXCESO (" &amp; TEXT(limitePermitido, "0%") &amp; " máx)", "OK"))))</f>
        <v/>
      </c>
      <c r="AP2517" s="79">
        <f>IF(AN2517="","",IF(AE2517=0,"OK",_xlfn.LET(fechaPago, Z2517, fechaFactura, R2517, diasCredito, IF(E2517="Pago inmediato", 0, IFERROR(VALUE(MID(E2517, 1, SEARCH(" ", E2517)-1)),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17" s="79">
        <f>IF(AN2517="","",IF(AND(N2517&gt;0, AG2517&gt;0), IF(Configuración!$K$2="NO", "ALERTA: DESCUENTO DOBLE NO PERMITIDO", "OK"), "OK"))</f>
        <v/>
      </c>
      <c r="AR2517" s="79">
        <f>IF(AN2517="","",IF(OR(AO2517&lt;&gt;"OK", AP2517&lt;&gt;"OK", AQ2517&lt;&gt;"OK"), "⚠️ REVISAR", "OK"))</f>
        <v/>
      </c>
    </row>
    <row r="2518">
      <c r="A2518" s="79">
        <f>IF('Ordenes_Odoo'!A2518="","",'Ordenes_Odoo'!A2518)</f>
        <v/>
      </c>
      <c r="B2518" s="80">
        <f>IF('Ordenes_Odoo'!B2518="","",'Ordenes_Odoo'!B2518)</f>
        <v/>
      </c>
      <c r="C2518" s="79">
        <f>IF('Ordenes_Odoo'!C2518="","",'Ordenes_Odoo'!C2518)</f>
        <v/>
      </c>
      <c r="D2518" s="79">
        <f>IF('Ordenes_Odoo'!D2518="","",'Ordenes_Odoo'!D2518)</f>
        <v/>
      </c>
      <c r="E2518" s="79">
        <f>IF('Ordenes_Odoo'!E2518="","",'Ordenes_Odoo'!E2518)</f>
        <v/>
      </c>
      <c r="F2518" s="79">
        <f>IF('Ordenes_Odoo'!F2518="","",'Ordenes_Odoo'!F2518)</f>
        <v/>
      </c>
      <c r="G2518" s="79">
        <f>IF('Ordenes_Odoo'!G2518="","",'Ordenes_Odoo'!G2518)</f>
        <v/>
      </c>
      <c r="H2518" s="79">
        <f>IF('Ordenes_Odoo'!H2518="","",'Ordenes_Odoo'!H2518)</f>
        <v/>
      </c>
      <c r="I2518" s="79">
        <f>IF('Ordenes_Odoo'!I2518="","",'Ordenes_Odoo'!I2518)</f>
        <v/>
      </c>
      <c r="J2518" s="79">
        <f>IF('Ordenes_Odoo'!J2518="","",'Ordenes_Odoo'!J2518)</f>
        <v/>
      </c>
      <c r="K2518" s="81">
        <f>IF('Ordenes_Odoo'!K2518="","",'Ordenes_Odoo'!K2518)</f>
        <v/>
      </c>
      <c r="L2518" s="81">
        <f>IF('Ordenes_Odoo'!L2518="","",'Ordenes_Odoo'!L2518)</f>
        <v/>
      </c>
      <c r="M2518" s="79">
        <f>IF('Ordenes_Odoo'!M2518="","",'Ordenes_Odoo'!M2518)</f>
        <v/>
      </c>
      <c r="N2518" s="79">
        <f>IF('Ordenes_Odoo'!N2518="","",'Ordenes_Odoo'!N2518)</f>
        <v/>
      </c>
      <c r="O2518" s="81">
        <f>IF('Ordenes_Odoo'!O2518="","",'Ordenes_Odoo'!O2518)</f>
        <v/>
      </c>
      <c r="P2518" s="81">
        <f>IF('Ordenes_Odoo'!P2518="","",'Ordenes_Odoo'!P2518)</f>
        <v/>
      </c>
      <c r="Q2518" s="79">
        <f>IF(A2518="","",IFERROR(INDEX(Facturas_Odoo!$B:$B, MATCH(A2518, Facturas_Odoo!$D:$D, 0)), "Sin Factura"))</f>
        <v/>
      </c>
      <c r="R2518" s="80">
        <f>IF(Q2518="Sin Factura","",IFERROR(INDEX(Facturas_Odoo!$A:$A, MATCH(Q2518, Facturas_Odoo!$B:$B, 0)), ""))</f>
        <v/>
      </c>
      <c r="S2518" s="79">
        <f>IF(Q2518="Sin Factura","",IFERROR(_xlfn.XLOOKUP(1, (Facturas_Odoo!$D:$D=A2518) * (Facturas_Odoo!$K:$K=I2518), Facturas_Odoo!$L:$L, ""), ""))</f>
        <v/>
      </c>
      <c r="T2518" s="81">
        <f>IF(Q2518="Sin Factura",0,IFERROR(_xlfn.XLOOKUP(1, (Facturas_Odoo!$D:$D=A2518) * (Facturas_Odoo!$K:$K=I2518), Facturas_Odoo!$M:$M, 0), 0))</f>
        <v/>
      </c>
      <c r="U2518" s="79">
        <f>IF(Q2518="Sin Factura",0,IFERROR(_xlfn.XLOOKUP(1, (Facturas_Odoo!$D:$D=A2518) * (Facturas_Odoo!$K:$K=I2518), Facturas_Odoo!$N:$N, 0), 0))</f>
        <v/>
      </c>
      <c r="V2518" s="79">
        <f>IF(Q2518="Sin Factura",0,IFERROR(_xlfn.XLOOKUP(1, (Facturas_Odoo!$D:$D=A2518) * (Facturas_Odoo!$K:$K=I2518), Facturas_Odoo!$O:$O, 0), 0))</f>
        <v/>
      </c>
      <c r="W2518" s="81">
        <f>IF(Q2518="Sin Factura",0,IFERROR(_xlfn.XLOOKUP(1, (Facturas_Odoo!$D:$D=A2518) * (Facturas_Odoo!$K:$K=I2518), Facturas_Odoo!$Q:$Q, 0), 0))</f>
        <v/>
      </c>
      <c r="X2518" s="79">
        <f>IF(OR(Q2518="Sin Factura",Q2518=""),"",IFERROR(INDEX(Pagos_Odoo!$B:$B, MATCH(Q2518, Pagos_Odoo!$I:$I, 0)), "Sin Pago"))</f>
        <v/>
      </c>
      <c r="Y2518" s="79">
        <f>IF(X2518="Sin Pago","",IFERROR(INDEX(Pagos_Odoo!$C:$C, MATCH(X2518, Pagos_Odoo!$B:$B, 0)), ""))</f>
        <v/>
      </c>
      <c r="Z2518" s="80">
        <f>IF(X2518="Sin Pago","",IFERROR(INDEX(Pagos_Odoo!$A:$A, MATCH(X2518, Pagos_Odoo!$B:$B, 0)), ""))</f>
        <v/>
      </c>
      <c r="AA2518" s="79">
        <f>IF(X2518="Sin Pago","",IFERROR(INDEX(Pagos_Odoo!$F:$F, MATCH(X2518, Pagos_Odoo!$B:$B, 0)), ""))</f>
        <v/>
      </c>
      <c r="AB2518" s="81">
        <f>IF(X2518="Sin Pago",0,IFERROR(INDEX(Pagos_Odoo!$E:$E, MATCH(X2518, Pagos_Odoo!$B:$B, 0)), 0))</f>
        <v/>
      </c>
      <c r="AC2518" s="79">
        <f>IF(X2518="Sin Pago","",IFERROR(INDEX(Pagos_Odoo!$G:$G, MATCH(X2518, Pagos_Odoo!$B:$B, 0)), ""))</f>
        <v/>
      </c>
      <c r="AD2518" s="82" t="n">
        <v>0</v>
      </c>
      <c r="AE2518" s="82" t="n"/>
      <c r="AF2518" s="82" t="n"/>
      <c r="AG2518" s="82">
        <f>IF(AN2518="","",AD2518+AE2518+AF2518)</f>
        <v/>
      </c>
      <c r="AH2518" s="81">
        <f>IF(AN2518="","",P2518*(1-AG2518))</f>
        <v/>
      </c>
      <c r="AI2518" s="81">
        <f>IF(AN2518="","",IF(Q2518="Sin Factura",0,IFERROR(INDEX(Facturas_Odoo!$H:$H, MATCH(Q2518, Facturas_Odoo!$B:$B, 0)), 0)*(1-AG2518)))</f>
        <v/>
      </c>
      <c r="AJ2518" s="81">
        <f>IF(AN2518="","",_xlfn.LET(idVenta, AN2518&amp;"",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18" s="81">
        <f>IF(AN2518="","",AH2518-AJ2518)</f>
        <v/>
      </c>
      <c r="AL2518" s="81">
        <f>IF(AN2518="","",IF(Q2518="Sin Factura","",AI2518-AJ2518))</f>
        <v/>
      </c>
      <c r="AM2518" s="81">
        <f>IF(AN2518="","",IF(Q2518="Sin Factura",0,P2518-IFERROR(INDEX(Facturas_Odoo!$H:$H, MATCH(Q2518, Facturas_Odoo!$B:$B, 0)), 0)))</f>
        <v/>
      </c>
      <c r="AN2518" s="79">
        <f>IF(AND(A2518="", J2518=""), "", IF(A2518&lt;&gt;"", VALUE(MID(A2518,2,LEN(A2518))), AN2517))</f>
        <v/>
      </c>
      <c r="AO2518" s="79">
        <f>IF(AN2518="","",IF(AD2518=0,"OK",_xlfn.LET(monedaPago, IF(AA2518="","USD",AA2518), limitePermitido, IFERROR(VLOOKUP(monedaPago, Configuración!$A$2:$B$3, 2, FALSE), 0.15), IF(AD2518&gt;limitePermitido, "ALERTA: EXCESO (" &amp; TEXT(limitePermitido, "0%") &amp; " máx)", "OK"))))</f>
        <v/>
      </c>
      <c r="AP2518" s="79">
        <f>IF(AN2518="","",IF(AE2518=0,"OK",_xlfn.LET(fechaPago, Z2518, fechaFactura, R2518, diasCredito, IF(E2518="Pago inmediato", 0, IFERROR(VALUE(MID(E2518, 1, SEARCH(" ", E2518)-1)),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18" s="79">
        <f>IF(AN2518="","",IF(AND(N2518&gt;0, AG2518&gt;0), IF(Configuración!$K$2="NO", "ALERTA: DESCUENTO DOBLE NO PERMITIDO", "OK"), "OK"))</f>
        <v/>
      </c>
      <c r="AR2518" s="79">
        <f>IF(AN2518="","",IF(OR(AO2518&lt;&gt;"OK", AP2518&lt;&gt;"OK", AQ2518&lt;&gt;"OK"), "⚠️ REVISAR", "OK"))</f>
        <v/>
      </c>
    </row>
    <row r="2519">
      <c r="A2519" s="79">
        <f>IF('Ordenes_Odoo'!A2519="","",'Ordenes_Odoo'!A2519)</f>
        <v/>
      </c>
      <c r="B2519" s="80">
        <f>IF('Ordenes_Odoo'!B2519="","",'Ordenes_Odoo'!B2519)</f>
        <v/>
      </c>
      <c r="C2519" s="79">
        <f>IF('Ordenes_Odoo'!C2519="","",'Ordenes_Odoo'!C2519)</f>
        <v/>
      </c>
      <c r="D2519" s="79">
        <f>IF('Ordenes_Odoo'!D2519="","",'Ordenes_Odoo'!D2519)</f>
        <v/>
      </c>
      <c r="E2519" s="79">
        <f>IF('Ordenes_Odoo'!E2519="","",'Ordenes_Odoo'!E2519)</f>
        <v/>
      </c>
      <c r="F2519" s="79">
        <f>IF('Ordenes_Odoo'!F2519="","",'Ordenes_Odoo'!F2519)</f>
        <v/>
      </c>
      <c r="G2519" s="79">
        <f>IF('Ordenes_Odoo'!G2519="","",'Ordenes_Odoo'!G2519)</f>
        <v/>
      </c>
      <c r="H2519" s="79">
        <f>IF('Ordenes_Odoo'!H2519="","",'Ordenes_Odoo'!H2519)</f>
        <v/>
      </c>
      <c r="I2519" s="79">
        <f>IF('Ordenes_Odoo'!I2519="","",'Ordenes_Odoo'!I2519)</f>
        <v/>
      </c>
      <c r="J2519" s="79">
        <f>IF('Ordenes_Odoo'!J2519="","",'Ordenes_Odoo'!J2519)</f>
        <v/>
      </c>
      <c r="K2519" s="81">
        <f>IF('Ordenes_Odoo'!K2519="","",'Ordenes_Odoo'!K2519)</f>
        <v/>
      </c>
      <c r="L2519" s="81">
        <f>IF('Ordenes_Odoo'!L2519="","",'Ordenes_Odoo'!L2519)</f>
        <v/>
      </c>
      <c r="M2519" s="79">
        <f>IF('Ordenes_Odoo'!M2519="","",'Ordenes_Odoo'!M2519)</f>
        <v/>
      </c>
      <c r="N2519" s="79">
        <f>IF('Ordenes_Odoo'!N2519="","",'Ordenes_Odoo'!N2519)</f>
        <v/>
      </c>
      <c r="O2519" s="81">
        <f>IF('Ordenes_Odoo'!O2519="","",'Ordenes_Odoo'!O2519)</f>
        <v/>
      </c>
      <c r="P2519" s="81">
        <f>IF('Ordenes_Odoo'!P2519="","",'Ordenes_Odoo'!P2519)</f>
        <v/>
      </c>
      <c r="Q2519" s="79">
        <f>IF(A2519="","",IFERROR(INDEX(Facturas_Odoo!$B:$B, MATCH(A2519, Facturas_Odoo!$D:$D, 0)), "Sin Factura"))</f>
        <v/>
      </c>
      <c r="R2519" s="80">
        <f>IF(Q2519="Sin Factura","",IFERROR(INDEX(Facturas_Odoo!$A:$A, MATCH(Q2519, Facturas_Odoo!$B:$B, 0)), ""))</f>
        <v/>
      </c>
      <c r="S2519" s="79">
        <f>IF(Q2519="Sin Factura","",IFERROR(_xlfn.XLOOKUP(1, (Facturas_Odoo!$D:$D=A2519) * (Facturas_Odoo!$K:$K=I2519), Facturas_Odoo!$L:$L, ""), ""))</f>
        <v/>
      </c>
      <c r="T2519" s="81">
        <f>IF(Q2519="Sin Factura",0,IFERROR(_xlfn.XLOOKUP(1, (Facturas_Odoo!$D:$D=A2519) * (Facturas_Odoo!$K:$K=I2519), Facturas_Odoo!$M:$M, 0), 0))</f>
        <v/>
      </c>
      <c r="U2519" s="79">
        <f>IF(Q2519="Sin Factura",0,IFERROR(_xlfn.XLOOKUP(1, (Facturas_Odoo!$D:$D=A2519) * (Facturas_Odoo!$K:$K=I2519), Facturas_Odoo!$N:$N, 0), 0))</f>
        <v/>
      </c>
      <c r="V2519" s="79">
        <f>IF(Q2519="Sin Factura",0,IFERROR(_xlfn.XLOOKUP(1, (Facturas_Odoo!$D:$D=A2519) * (Facturas_Odoo!$K:$K=I2519), Facturas_Odoo!$O:$O, 0), 0))</f>
        <v/>
      </c>
      <c r="W2519" s="81">
        <f>IF(Q2519="Sin Factura",0,IFERROR(_xlfn.XLOOKUP(1, (Facturas_Odoo!$D:$D=A2519) * (Facturas_Odoo!$K:$K=I2519), Facturas_Odoo!$Q:$Q, 0), 0))</f>
        <v/>
      </c>
      <c r="X2519" s="79">
        <f>IF(OR(Q2519="Sin Factura",Q2519=""),"",IFERROR(INDEX(Pagos_Odoo!$B:$B, MATCH(Q2519, Pagos_Odoo!$I:$I, 0)), "Sin Pago"))</f>
        <v/>
      </c>
      <c r="Y2519" s="79">
        <f>IF(X2519="Sin Pago","",IFERROR(INDEX(Pagos_Odoo!$C:$C, MATCH(X2519, Pagos_Odoo!$B:$B, 0)), ""))</f>
        <v/>
      </c>
      <c r="Z2519" s="80">
        <f>IF(X2519="Sin Pago","",IFERROR(INDEX(Pagos_Odoo!$A:$A, MATCH(X2519, Pagos_Odoo!$B:$B, 0)), ""))</f>
        <v/>
      </c>
      <c r="AA2519" s="79">
        <f>IF(X2519="Sin Pago","",IFERROR(INDEX(Pagos_Odoo!$F:$F, MATCH(X2519, Pagos_Odoo!$B:$B, 0)), ""))</f>
        <v/>
      </c>
      <c r="AB2519" s="81">
        <f>IF(X2519="Sin Pago",0,IFERROR(INDEX(Pagos_Odoo!$E:$E, MATCH(X2519, Pagos_Odoo!$B:$B, 0)), 0))</f>
        <v/>
      </c>
      <c r="AC2519" s="79">
        <f>IF(X2519="Sin Pago","",IFERROR(INDEX(Pagos_Odoo!$G:$G, MATCH(X2519, Pagos_Odoo!$B:$B, 0)), ""))</f>
        <v/>
      </c>
      <c r="AD2519" s="82" t="n">
        <v>0</v>
      </c>
      <c r="AE2519" s="82" t="n"/>
      <c r="AF2519" s="82" t="n"/>
      <c r="AG2519" s="82">
        <f>IF(AN2519="","",AD2519+AE2519+AF2519)</f>
        <v/>
      </c>
      <c r="AH2519" s="81">
        <f>IF(AN2519="","",P2519*(1-AG2519))</f>
        <v/>
      </c>
      <c r="AI2519" s="81">
        <f>IF(AN2519="","",IF(Q2519="Sin Factura",0,IFERROR(INDEX(Facturas_Odoo!$H:$H, MATCH(Q2519, Facturas_Odoo!$B:$B, 0)), 0)*(1-AG2519)))</f>
        <v/>
      </c>
      <c r="AJ2519" s="81">
        <f>IF(AN2519="","",_xlfn.LET(idVenta, AN2519&amp;"",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19" s="81">
        <f>IF(AN2519="","",AH2519-AJ2519)</f>
        <v/>
      </c>
      <c r="AL2519" s="81">
        <f>IF(AN2519="","",IF(Q2519="Sin Factura","",AI2519-AJ2519))</f>
        <v/>
      </c>
      <c r="AM2519" s="81">
        <f>IF(AN2519="","",IF(Q2519="Sin Factura",0,P2519-IFERROR(INDEX(Facturas_Odoo!$H:$H, MATCH(Q2519, Facturas_Odoo!$B:$B, 0)), 0)))</f>
        <v/>
      </c>
      <c r="AN2519" s="79">
        <f>IF(AND(A2519="", J2519=""), "", IF(A2519&lt;&gt;"", VALUE(MID(A2519,2,LEN(A2519))), AN2518))</f>
        <v/>
      </c>
      <c r="AO2519" s="79">
        <f>IF(AN2519="","",IF(AD2519=0,"OK",_xlfn.LET(monedaPago, IF(AA2519="","USD",AA2519), limitePermitido, IFERROR(VLOOKUP(monedaPago, Configuración!$A$2:$B$3, 2, FALSE), 0.15), IF(AD2519&gt;limitePermitido, "ALERTA: EXCESO (" &amp; TEXT(limitePermitido, "0%") &amp; " máx)", "OK"))))</f>
        <v/>
      </c>
      <c r="AP2519" s="79">
        <f>IF(AN2519="","",IF(AE2519=0,"OK",_xlfn.LET(fechaPago, Z2519, fechaFactura, R2519, diasCredito, IF(E2519="Pago inmediato", 0, IFERROR(VALUE(MID(E2519, 1, SEARCH(" ", E2519)-1)),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19" s="79">
        <f>IF(AN2519="","",IF(AND(N2519&gt;0, AG2519&gt;0), IF(Configuración!$K$2="NO", "ALERTA: DESCUENTO DOBLE NO PERMITIDO", "OK"), "OK"))</f>
        <v/>
      </c>
      <c r="AR2519" s="79">
        <f>IF(AN2519="","",IF(OR(AO2519&lt;&gt;"OK", AP2519&lt;&gt;"OK", AQ2519&lt;&gt;"OK"), "⚠️ REVISAR", "OK"))</f>
        <v/>
      </c>
    </row>
    <row r="2520">
      <c r="A2520" s="79">
        <f>IF('Ordenes_Odoo'!A2520="","",'Ordenes_Odoo'!A2520)</f>
        <v/>
      </c>
      <c r="B2520" s="80">
        <f>IF('Ordenes_Odoo'!B2520="","",'Ordenes_Odoo'!B2520)</f>
        <v/>
      </c>
      <c r="C2520" s="79">
        <f>IF('Ordenes_Odoo'!C2520="","",'Ordenes_Odoo'!C2520)</f>
        <v/>
      </c>
      <c r="D2520" s="79">
        <f>IF('Ordenes_Odoo'!D2520="","",'Ordenes_Odoo'!D2520)</f>
        <v/>
      </c>
      <c r="E2520" s="79">
        <f>IF('Ordenes_Odoo'!E2520="","",'Ordenes_Odoo'!E2520)</f>
        <v/>
      </c>
      <c r="F2520" s="79">
        <f>IF('Ordenes_Odoo'!F2520="","",'Ordenes_Odoo'!F2520)</f>
        <v/>
      </c>
      <c r="G2520" s="79">
        <f>IF('Ordenes_Odoo'!G2520="","",'Ordenes_Odoo'!G2520)</f>
        <v/>
      </c>
      <c r="H2520" s="79">
        <f>IF('Ordenes_Odoo'!H2520="","",'Ordenes_Odoo'!H2520)</f>
        <v/>
      </c>
      <c r="I2520" s="79">
        <f>IF('Ordenes_Odoo'!I2520="","",'Ordenes_Odoo'!I2520)</f>
        <v/>
      </c>
      <c r="J2520" s="79">
        <f>IF('Ordenes_Odoo'!J2520="","",'Ordenes_Odoo'!J2520)</f>
        <v/>
      </c>
      <c r="K2520" s="81">
        <f>IF('Ordenes_Odoo'!K2520="","",'Ordenes_Odoo'!K2520)</f>
        <v/>
      </c>
      <c r="L2520" s="81">
        <f>IF('Ordenes_Odoo'!L2520="","",'Ordenes_Odoo'!L2520)</f>
        <v/>
      </c>
      <c r="M2520" s="79">
        <f>IF('Ordenes_Odoo'!M2520="","",'Ordenes_Odoo'!M2520)</f>
        <v/>
      </c>
      <c r="N2520" s="79">
        <f>IF('Ordenes_Odoo'!N2520="","",'Ordenes_Odoo'!N2520)</f>
        <v/>
      </c>
      <c r="O2520" s="81">
        <f>IF('Ordenes_Odoo'!O2520="","",'Ordenes_Odoo'!O2520)</f>
        <v/>
      </c>
      <c r="P2520" s="81">
        <f>IF('Ordenes_Odoo'!P2520="","",'Ordenes_Odoo'!P2520)</f>
        <v/>
      </c>
      <c r="Q2520" s="79">
        <f>IF(A2520="","",IFERROR(INDEX(Facturas_Odoo!$B:$B, MATCH(A2520, Facturas_Odoo!$D:$D, 0)), "Sin Factura"))</f>
        <v/>
      </c>
      <c r="R2520" s="80">
        <f>IF(Q2520="Sin Factura","",IFERROR(INDEX(Facturas_Odoo!$A:$A, MATCH(Q2520, Facturas_Odoo!$B:$B, 0)), ""))</f>
        <v/>
      </c>
      <c r="S2520" s="79">
        <f>IF(Q2520="Sin Factura","",IFERROR(_xlfn.XLOOKUP(1, (Facturas_Odoo!$D:$D=A2520) * (Facturas_Odoo!$K:$K=I2520), Facturas_Odoo!$L:$L, ""), ""))</f>
        <v/>
      </c>
      <c r="T2520" s="81">
        <f>IF(Q2520="Sin Factura",0,IFERROR(_xlfn.XLOOKUP(1, (Facturas_Odoo!$D:$D=A2520) * (Facturas_Odoo!$K:$K=I2520), Facturas_Odoo!$M:$M, 0), 0))</f>
        <v/>
      </c>
      <c r="U2520" s="79">
        <f>IF(Q2520="Sin Factura",0,IFERROR(_xlfn.XLOOKUP(1, (Facturas_Odoo!$D:$D=A2520) * (Facturas_Odoo!$K:$K=I2520), Facturas_Odoo!$N:$N, 0), 0))</f>
        <v/>
      </c>
      <c r="V2520" s="79">
        <f>IF(Q2520="Sin Factura",0,IFERROR(_xlfn.XLOOKUP(1, (Facturas_Odoo!$D:$D=A2520) * (Facturas_Odoo!$K:$K=I2520), Facturas_Odoo!$O:$O, 0), 0))</f>
        <v/>
      </c>
      <c r="W2520" s="81">
        <f>IF(Q2520="Sin Factura",0,IFERROR(_xlfn.XLOOKUP(1, (Facturas_Odoo!$D:$D=A2520) * (Facturas_Odoo!$K:$K=I2520), Facturas_Odoo!$Q:$Q, 0), 0))</f>
        <v/>
      </c>
      <c r="X2520" s="79">
        <f>IF(OR(Q2520="Sin Factura",Q2520=""),"",IFERROR(INDEX(Pagos_Odoo!$B:$B, MATCH(Q2520, Pagos_Odoo!$I:$I, 0)), "Sin Pago"))</f>
        <v/>
      </c>
      <c r="Y2520" s="79">
        <f>IF(X2520="Sin Pago","",IFERROR(INDEX(Pagos_Odoo!$C:$C, MATCH(X2520, Pagos_Odoo!$B:$B, 0)), ""))</f>
        <v/>
      </c>
      <c r="Z2520" s="80">
        <f>IF(X2520="Sin Pago","",IFERROR(INDEX(Pagos_Odoo!$A:$A, MATCH(X2520, Pagos_Odoo!$B:$B, 0)), ""))</f>
        <v/>
      </c>
      <c r="AA2520" s="79">
        <f>IF(X2520="Sin Pago","",IFERROR(INDEX(Pagos_Odoo!$F:$F, MATCH(X2520, Pagos_Odoo!$B:$B, 0)), ""))</f>
        <v/>
      </c>
      <c r="AB2520" s="81">
        <f>IF(X2520="Sin Pago",0,IFERROR(INDEX(Pagos_Odoo!$E:$E, MATCH(X2520, Pagos_Odoo!$B:$B, 0)), 0))</f>
        <v/>
      </c>
      <c r="AC2520" s="79">
        <f>IF(X2520="Sin Pago","",IFERROR(INDEX(Pagos_Odoo!$G:$G, MATCH(X2520, Pagos_Odoo!$B:$B, 0)), ""))</f>
        <v/>
      </c>
      <c r="AD2520" s="82" t="n">
        <v>0</v>
      </c>
      <c r="AE2520" s="82" t="n"/>
      <c r="AF2520" s="82" t="n"/>
      <c r="AG2520" s="82">
        <f>IF(AN2520="","",AD2520+AE2520+AF2520)</f>
        <v/>
      </c>
      <c r="AH2520" s="81">
        <f>IF(AN2520="","",P2520*(1-AG2520))</f>
        <v/>
      </c>
      <c r="AI2520" s="81">
        <f>IF(AN2520="","",IF(Q2520="Sin Factura",0,IFERROR(INDEX(Facturas_Odoo!$H:$H, MATCH(Q2520, Facturas_Odoo!$B:$B, 0)), 0)*(1-AG2520)))</f>
        <v/>
      </c>
      <c r="AJ2520" s="81">
        <f>IF(AN2520="","",_xlfn.LET(idVenta, AN2520&amp;"",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20" s="81">
        <f>IF(AN2520="","",AH2520-AJ2520)</f>
        <v/>
      </c>
      <c r="AL2520" s="81">
        <f>IF(AN2520="","",IF(Q2520="Sin Factura","",AI2520-AJ2520))</f>
        <v/>
      </c>
      <c r="AM2520" s="81">
        <f>IF(AN2520="","",IF(Q2520="Sin Factura",0,P2520-IFERROR(INDEX(Facturas_Odoo!$H:$H, MATCH(Q2520, Facturas_Odoo!$B:$B, 0)), 0)))</f>
        <v/>
      </c>
      <c r="AN2520" s="79">
        <f>IF(AND(A2520="", J2520=""), "", IF(A2520&lt;&gt;"", VALUE(MID(A2520,2,LEN(A2520))), AN2519))</f>
        <v/>
      </c>
      <c r="AO2520" s="79">
        <f>IF(AN2520="","",IF(AD2520=0,"OK",_xlfn.LET(monedaPago, IF(AA2520="","USD",AA2520), limitePermitido, IFERROR(VLOOKUP(monedaPago, Configuración!$A$2:$B$3, 2, FALSE), 0.15), IF(AD2520&gt;limitePermitido, "ALERTA: EXCESO (" &amp; TEXT(limitePermitido, "0%") &amp; " máx)", "OK"))))</f>
        <v/>
      </c>
      <c r="AP2520" s="79">
        <f>IF(AN2520="","",IF(AE2520=0,"OK",_xlfn.LET(fechaPago, Z2520, fechaFactura, R2520, diasCredito, IF(E2520="Pago inmediato", 0, IFERROR(VALUE(MID(E2520, 1, SEARCH(" ", E2520)-1)),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20" s="79">
        <f>IF(AN2520="","",IF(AND(N2520&gt;0, AG2520&gt;0), IF(Configuración!$K$2="NO", "ALERTA: DESCUENTO DOBLE NO PERMITIDO", "OK"), "OK"))</f>
        <v/>
      </c>
      <c r="AR2520" s="79">
        <f>IF(AN2520="","",IF(OR(AO2520&lt;&gt;"OK", AP2520&lt;&gt;"OK", AQ2520&lt;&gt;"OK"), "⚠️ REVISAR", "OK"))</f>
        <v/>
      </c>
    </row>
    <row r="2521">
      <c r="A2521" s="79">
        <f>IF('Ordenes_Odoo'!A2521="","",'Ordenes_Odoo'!A2521)</f>
        <v/>
      </c>
      <c r="B2521" s="80">
        <f>IF('Ordenes_Odoo'!B2521="","",'Ordenes_Odoo'!B2521)</f>
        <v/>
      </c>
      <c r="C2521" s="79">
        <f>IF('Ordenes_Odoo'!C2521="","",'Ordenes_Odoo'!C2521)</f>
        <v/>
      </c>
      <c r="D2521" s="79">
        <f>IF('Ordenes_Odoo'!D2521="","",'Ordenes_Odoo'!D2521)</f>
        <v/>
      </c>
      <c r="E2521" s="79">
        <f>IF('Ordenes_Odoo'!E2521="","",'Ordenes_Odoo'!E2521)</f>
        <v/>
      </c>
      <c r="F2521" s="79">
        <f>IF('Ordenes_Odoo'!F2521="","",'Ordenes_Odoo'!F2521)</f>
        <v/>
      </c>
      <c r="G2521" s="79">
        <f>IF('Ordenes_Odoo'!G2521="","",'Ordenes_Odoo'!G2521)</f>
        <v/>
      </c>
      <c r="H2521" s="79">
        <f>IF('Ordenes_Odoo'!H2521="","",'Ordenes_Odoo'!H2521)</f>
        <v/>
      </c>
      <c r="I2521" s="79">
        <f>IF('Ordenes_Odoo'!I2521="","",'Ordenes_Odoo'!I2521)</f>
        <v/>
      </c>
      <c r="J2521" s="79">
        <f>IF('Ordenes_Odoo'!J2521="","",'Ordenes_Odoo'!J2521)</f>
        <v/>
      </c>
      <c r="K2521" s="81">
        <f>IF('Ordenes_Odoo'!K2521="","",'Ordenes_Odoo'!K2521)</f>
        <v/>
      </c>
      <c r="L2521" s="81">
        <f>IF('Ordenes_Odoo'!L2521="","",'Ordenes_Odoo'!L2521)</f>
        <v/>
      </c>
      <c r="M2521" s="79">
        <f>IF('Ordenes_Odoo'!M2521="","",'Ordenes_Odoo'!M2521)</f>
        <v/>
      </c>
      <c r="N2521" s="79">
        <f>IF('Ordenes_Odoo'!N2521="","",'Ordenes_Odoo'!N2521)</f>
        <v/>
      </c>
      <c r="O2521" s="81">
        <f>IF('Ordenes_Odoo'!O2521="","",'Ordenes_Odoo'!O2521)</f>
        <v/>
      </c>
      <c r="P2521" s="81">
        <f>IF('Ordenes_Odoo'!P2521="","",'Ordenes_Odoo'!P2521)</f>
        <v/>
      </c>
      <c r="Q2521" s="79">
        <f>IF(A2521="","",IFERROR(INDEX(Facturas_Odoo!$B:$B, MATCH(A2521, Facturas_Odoo!$D:$D, 0)), "Sin Factura"))</f>
        <v/>
      </c>
      <c r="R2521" s="80">
        <f>IF(Q2521="Sin Factura","",IFERROR(INDEX(Facturas_Odoo!$A:$A, MATCH(Q2521, Facturas_Odoo!$B:$B, 0)), ""))</f>
        <v/>
      </c>
      <c r="S2521" s="79">
        <f>IF(Q2521="Sin Factura","",IFERROR(_xlfn.XLOOKUP(1, (Facturas_Odoo!$D:$D=A2521) * (Facturas_Odoo!$K:$K=I2521), Facturas_Odoo!$L:$L, ""), ""))</f>
        <v/>
      </c>
      <c r="T2521" s="81">
        <f>IF(Q2521="Sin Factura",0,IFERROR(_xlfn.XLOOKUP(1, (Facturas_Odoo!$D:$D=A2521) * (Facturas_Odoo!$K:$K=I2521), Facturas_Odoo!$M:$M, 0), 0))</f>
        <v/>
      </c>
      <c r="U2521" s="79">
        <f>IF(Q2521="Sin Factura",0,IFERROR(_xlfn.XLOOKUP(1, (Facturas_Odoo!$D:$D=A2521) * (Facturas_Odoo!$K:$K=I2521), Facturas_Odoo!$N:$N, 0), 0))</f>
        <v/>
      </c>
      <c r="V2521" s="79">
        <f>IF(Q2521="Sin Factura",0,IFERROR(_xlfn.XLOOKUP(1, (Facturas_Odoo!$D:$D=A2521) * (Facturas_Odoo!$K:$K=I2521), Facturas_Odoo!$O:$O, 0), 0))</f>
        <v/>
      </c>
      <c r="W2521" s="81">
        <f>IF(Q2521="Sin Factura",0,IFERROR(_xlfn.XLOOKUP(1, (Facturas_Odoo!$D:$D=A2521) * (Facturas_Odoo!$K:$K=I2521), Facturas_Odoo!$Q:$Q, 0), 0))</f>
        <v/>
      </c>
      <c r="X2521" s="79">
        <f>IF(OR(Q2521="Sin Factura",Q2521=""),"",IFERROR(INDEX(Pagos_Odoo!$B:$B, MATCH(Q2521, Pagos_Odoo!$I:$I, 0)), "Sin Pago"))</f>
        <v/>
      </c>
      <c r="Y2521" s="79">
        <f>IF(X2521="Sin Pago","",IFERROR(INDEX(Pagos_Odoo!$C:$C, MATCH(X2521, Pagos_Odoo!$B:$B, 0)), ""))</f>
        <v/>
      </c>
      <c r="Z2521" s="80">
        <f>IF(X2521="Sin Pago","",IFERROR(INDEX(Pagos_Odoo!$A:$A, MATCH(X2521, Pagos_Odoo!$B:$B, 0)), ""))</f>
        <v/>
      </c>
      <c r="AA2521" s="79">
        <f>IF(X2521="Sin Pago","",IFERROR(INDEX(Pagos_Odoo!$F:$F, MATCH(X2521, Pagos_Odoo!$B:$B, 0)), ""))</f>
        <v/>
      </c>
      <c r="AB2521" s="81">
        <f>IF(X2521="Sin Pago",0,IFERROR(INDEX(Pagos_Odoo!$E:$E, MATCH(X2521, Pagos_Odoo!$B:$B, 0)), 0))</f>
        <v/>
      </c>
      <c r="AC2521" s="79">
        <f>IF(X2521="Sin Pago","",IFERROR(INDEX(Pagos_Odoo!$G:$G, MATCH(X2521, Pagos_Odoo!$B:$B, 0)), ""))</f>
        <v/>
      </c>
      <c r="AD2521" s="82" t="n">
        <v>0</v>
      </c>
      <c r="AE2521" s="82" t="n"/>
      <c r="AF2521" s="82" t="n"/>
      <c r="AG2521" s="82">
        <f>IF(AN2521="","",AD2521+AE2521+AF2521)</f>
        <v/>
      </c>
      <c r="AH2521" s="81">
        <f>IF(AN2521="","",P2521*(1-AG2521))</f>
        <v/>
      </c>
      <c r="AI2521" s="81">
        <f>IF(AN2521="","",IF(Q2521="Sin Factura",0,IFERROR(INDEX(Facturas_Odoo!$H:$H, MATCH(Q2521, Facturas_Odoo!$B:$B, 0)), 0)*(1-AG2521)))</f>
        <v/>
      </c>
      <c r="AJ2521" s="81">
        <f>IF(AN2521="","",_xlfn.LET(idVenta, AN2521&amp;"",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21" s="81">
        <f>IF(AN2521="","",AH2521-AJ2521)</f>
        <v/>
      </c>
      <c r="AL2521" s="81">
        <f>IF(AN2521="","",IF(Q2521="Sin Factura","",AI2521-AJ2521))</f>
        <v/>
      </c>
      <c r="AM2521" s="81">
        <f>IF(AN2521="","",IF(Q2521="Sin Factura",0,P2521-IFERROR(INDEX(Facturas_Odoo!$H:$H, MATCH(Q2521, Facturas_Odoo!$B:$B, 0)), 0)))</f>
        <v/>
      </c>
      <c r="AN2521" s="79">
        <f>IF(AND(A2521="", J2521=""), "", IF(A2521&lt;&gt;"", VALUE(MID(A2521,2,LEN(A2521))), AN2520))</f>
        <v/>
      </c>
      <c r="AO2521" s="79">
        <f>IF(AN2521="","",IF(AD2521=0,"OK",_xlfn.LET(monedaPago, IF(AA2521="","USD",AA2521), limitePermitido, IFERROR(VLOOKUP(monedaPago, Configuración!$A$2:$B$3, 2, FALSE), 0.15), IF(AD2521&gt;limitePermitido, "ALERTA: EXCESO (" &amp; TEXT(limitePermitido, "0%") &amp; " máx)", "OK"))))</f>
        <v/>
      </c>
      <c r="AP2521" s="79">
        <f>IF(AN2521="","",IF(AE2521=0,"OK",_xlfn.LET(fechaPago, Z2521, fechaFactura, R2521, diasCredito, IF(E2521="Pago inmediato", 0, IFERROR(VALUE(MID(E2521, 1, SEARCH(" ", E2521)-1)),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21" s="79">
        <f>IF(AN2521="","",IF(AND(N2521&gt;0, AG2521&gt;0), IF(Configuración!$K$2="NO", "ALERTA: DESCUENTO DOBLE NO PERMITIDO", "OK"), "OK"))</f>
        <v/>
      </c>
      <c r="AR2521" s="79">
        <f>IF(AN2521="","",IF(OR(AO2521&lt;&gt;"OK", AP2521&lt;&gt;"OK", AQ2521&lt;&gt;"OK"), "⚠️ REVISAR", "OK"))</f>
        <v/>
      </c>
    </row>
    <row r="2522">
      <c r="A2522" s="79">
        <f>IF('Ordenes_Odoo'!A2522="","",'Ordenes_Odoo'!A2522)</f>
        <v/>
      </c>
      <c r="B2522" s="80">
        <f>IF('Ordenes_Odoo'!B2522="","",'Ordenes_Odoo'!B2522)</f>
        <v/>
      </c>
      <c r="C2522" s="79">
        <f>IF('Ordenes_Odoo'!C2522="","",'Ordenes_Odoo'!C2522)</f>
        <v/>
      </c>
      <c r="D2522" s="79">
        <f>IF('Ordenes_Odoo'!D2522="","",'Ordenes_Odoo'!D2522)</f>
        <v/>
      </c>
      <c r="E2522" s="79">
        <f>IF('Ordenes_Odoo'!E2522="","",'Ordenes_Odoo'!E2522)</f>
        <v/>
      </c>
      <c r="F2522" s="79">
        <f>IF('Ordenes_Odoo'!F2522="","",'Ordenes_Odoo'!F2522)</f>
        <v/>
      </c>
      <c r="G2522" s="79">
        <f>IF('Ordenes_Odoo'!G2522="","",'Ordenes_Odoo'!G2522)</f>
        <v/>
      </c>
      <c r="H2522" s="79">
        <f>IF('Ordenes_Odoo'!H2522="","",'Ordenes_Odoo'!H2522)</f>
        <v/>
      </c>
      <c r="I2522" s="79">
        <f>IF('Ordenes_Odoo'!I2522="","",'Ordenes_Odoo'!I2522)</f>
        <v/>
      </c>
      <c r="J2522" s="79">
        <f>IF('Ordenes_Odoo'!J2522="","",'Ordenes_Odoo'!J2522)</f>
        <v/>
      </c>
      <c r="K2522" s="81">
        <f>IF('Ordenes_Odoo'!K2522="","",'Ordenes_Odoo'!K2522)</f>
        <v/>
      </c>
      <c r="L2522" s="81">
        <f>IF('Ordenes_Odoo'!L2522="","",'Ordenes_Odoo'!L2522)</f>
        <v/>
      </c>
      <c r="M2522" s="79">
        <f>IF('Ordenes_Odoo'!M2522="","",'Ordenes_Odoo'!M2522)</f>
        <v/>
      </c>
      <c r="N2522" s="79">
        <f>IF('Ordenes_Odoo'!N2522="","",'Ordenes_Odoo'!N2522)</f>
        <v/>
      </c>
      <c r="O2522" s="81">
        <f>IF('Ordenes_Odoo'!O2522="","",'Ordenes_Odoo'!O2522)</f>
        <v/>
      </c>
      <c r="P2522" s="81">
        <f>IF('Ordenes_Odoo'!P2522="","",'Ordenes_Odoo'!P2522)</f>
        <v/>
      </c>
      <c r="Q2522" s="79">
        <f>IF(A2522="","",IFERROR(INDEX(Facturas_Odoo!$B:$B, MATCH(A2522, Facturas_Odoo!$D:$D, 0)), "Sin Factura"))</f>
        <v/>
      </c>
      <c r="R2522" s="80">
        <f>IF(Q2522="Sin Factura","",IFERROR(INDEX(Facturas_Odoo!$A:$A, MATCH(Q2522, Facturas_Odoo!$B:$B, 0)), ""))</f>
        <v/>
      </c>
      <c r="S2522" s="79">
        <f>IF(Q2522="Sin Factura","",IFERROR(_xlfn.XLOOKUP(1, (Facturas_Odoo!$D:$D=A2522) * (Facturas_Odoo!$K:$K=I2522), Facturas_Odoo!$L:$L, ""), ""))</f>
        <v/>
      </c>
      <c r="T2522" s="81">
        <f>IF(Q2522="Sin Factura",0,IFERROR(_xlfn.XLOOKUP(1, (Facturas_Odoo!$D:$D=A2522) * (Facturas_Odoo!$K:$K=I2522), Facturas_Odoo!$M:$M, 0), 0))</f>
        <v/>
      </c>
      <c r="U2522" s="79">
        <f>IF(Q2522="Sin Factura",0,IFERROR(_xlfn.XLOOKUP(1, (Facturas_Odoo!$D:$D=A2522) * (Facturas_Odoo!$K:$K=I2522), Facturas_Odoo!$N:$N, 0), 0))</f>
        <v/>
      </c>
      <c r="V2522" s="79">
        <f>IF(Q2522="Sin Factura",0,IFERROR(_xlfn.XLOOKUP(1, (Facturas_Odoo!$D:$D=A2522) * (Facturas_Odoo!$K:$K=I2522), Facturas_Odoo!$O:$O, 0), 0))</f>
        <v/>
      </c>
      <c r="W2522" s="81">
        <f>IF(Q2522="Sin Factura",0,IFERROR(_xlfn.XLOOKUP(1, (Facturas_Odoo!$D:$D=A2522) * (Facturas_Odoo!$K:$K=I2522), Facturas_Odoo!$Q:$Q, 0), 0))</f>
        <v/>
      </c>
      <c r="X2522" s="79">
        <f>IF(OR(Q2522="Sin Factura",Q2522=""),"",IFERROR(INDEX(Pagos_Odoo!$B:$B, MATCH(Q2522, Pagos_Odoo!$I:$I, 0)), "Sin Pago"))</f>
        <v/>
      </c>
      <c r="Y2522" s="79">
        <f>IF(X2522="Sin Pago","",IFERROR(INDEX(Pagos_Odoo!$C:$C, MATCH(X2522, Pagos_Odoo!$B:$B, 0)), ""))</f>
        <v/>
      </c>
      <c r="Z2522" s="80">
        <f>IF(X2522="Sin Pago","",IFERROR(INDEX(Pagos_Odoo!$A:$A, MATCH(X2522, Pagos_Odoo!$B:$B, 0)), ""))</f>
        <v/>
      </c>
      <c r="AA2522" s="79">
        <f>IF(X2522="Sin Pago","",IFERROR(INDEX(Pagos_Odoo!$F:$F, MATCH(X2522, Pagos_Odoo!$B:$B, 0)), ""))</f>
        <v/>
      </c>
      <c r="AB2522" s="81">
        <f>IF(X2522="Sin Pago",0,IFERROR(INDEX(Pagos_Odoo!$E:$E, MATCH(X2522, Pagos_Odoo!$B:$B, 0)), 0))</f>
        <v/>
      </c>
      <c r="AC2522" s="79">
        <f>IF(X2522="Sin Pago","",IFERROR(INDEX(Pagos_Odoo!$G:$G, MATCH(X2522, Pagos_Odoo!$B:$B, 0)), ""))</f>
        <v/>
      </c>
      <c r="AD2522" s="82" t="n">
        <v>0</v>
      </c>
      <c r="AE2522" s="82" t="n"/>
      <c r="AF2522" s="82" t="n"/>
      <c r="AG2522" s="82">
        <f>IF(AN2522="","",AD2522+AE2522+AF2522)</f>
        <v/>
      </c>
      <c r="AH2522" s="81">
        <f>IF(AN2522="","",P2522*(1-AG2522))</f>
        <v/>
      </c>
      <c r="AI2522" s="81">
        <f>IF(AN2522="","",IF(Q2522="Sin Factura",0,IFERROR(INDEX(Facturas_Odoo!$H:$H, MATCH(Q2522, Facturas_Odoo!$B:$B, 0)), 0)*(1-AG2522)))</f>
        <v/>
      </c>
      <c r="AJ2522" s="81">
        <f>IF(AN2522="","",_xlfn.LET(idVenta, AN2522&amp;"",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22" s="81">
        <f>IF(AN2522="","",AH2522-AJ2522)</f>
        <v/>
      </c>
      <c r="AL2522" s="81">
        <f>IF(AN2522="","",IF(Q2522="Sin Factura","",AI2522-AJ2522))</f>
        <v/>
      </c>
      <c r="AM2522" s="81">
        <f>IF(AN2522="","",IF(Q2522="Sin Factura",0,P2522-IFERROR(INDEX(Facturas_Odoo!$H:$H, MATCH(Q2522, Facturas_Odoo!$B:$B, 0)), 0)))</f>
        <v/>
      </c>
      <c r="AN2522" s="79">
        <f>IF(AND(A2522="", J2522=""), "", IF(A2522&lt;&gt;"", VALUE(MID(A2522,2,LEN(A2522))), AN2521))</f>
        <v/>
      </c>
      <c r="AO2522" s="79">
        <f>IF(AN2522="","",IF(AD2522=0,"OK",_xlfn.LET(monedaPago, IF(AA2522="","USD",AA2522), limitePermitido, IFERROR(VLOOKUP(monedaPago, Configuración!$A$2:$B$3, 2, FALSE), 0.15), IF(AD2522&gt;limitePermitido, "ALERTA: EXCESO (" &amp; TEXT(limitePermitido, "0%") &amp; " máx)", "OK"))))</f>
        <v/>
      </c>
      <c r="AP2522" s="79">
        <f>IF(AN2522="","",IF(AE2522=0,"OK",_xlfn.LET(fechaPago, Z2522, fechaFactura, R2522, diasCredito, IF(E2522="Pago inmediato", 0, IFERROR(VALUE(MID(E2522, 1, SEARCH(" ", E2522)-1)),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22" s="79">
        <f>IF(AN2522="","",IF(AND(N2522&gt;0, AG2522&gt;0), IF(Configuración!$K$2="NO", "ALERTA: DESCUENTO DOBLE NO PERMITIDO", "OK"), "OK"))</f>
        <v/>
      </c>
      <c r="AR2522" s="79">
        <f>IF(AN2522="","",IF(OR(AO2522&lt;&gt;"OK", AP2522&lt;&gt;"OK", AQ2522&lt;&gt;"OK"), "⚠️ REVISAR", "OK"))</f>
        <v/>
      </c>
    </row>
    <row r="2523">
      <c r="A2523" s="79">
        <f>IF('Ordenes_Odoo'!A2523="","",'Ordenes_Odoo'!A2523)</f>
        <v/>
      </c>
      <c r="B2523" s="80">
        <f>IF('Ordenes_Odoo'!B2523="","",'Ordenes_Odoo'!B2523)</f>
        <v/>
      </c>
      <c r="C2523" s="79">
        <f>IF('Ordenes_Odoo'!C2523="","",'Ordenes_Odoo'!C2523)</f>
        <v/>
      </c>
      <c r="D2523" s="79">
        <f>IF('Ordenes_Odoo'!D2523="","",'Ordenes_Odoo'!D2523)</f>
        <v/>
      </c>
      <c r="E2523" s="79">
        <f>IF('Ordenes_Odoo'!E2523="","",'Ordenes_Odoo'!E2523)</f>
        <v/>
      </c>
      <c r="F2523" s="79">
        <f>IF('Ordenes_Odoo'!F2523="","",'Ordenes_Odoo'!F2523)</f>
        <v/>
      </c>
      <c r="G2523" s="79">
        <f>IF('Ordenes_Odoo'!G2523="","",'Ordenes_Odoo'!G2523)</f>
        <v/>
      </c>
      <c r="H2523" s="79">
        <f>IF('Ordenes_Odoo'!H2523="","",'Ordenes_Odoo'!H2523)</f>
        <v/>
      </c>
      <c r="I2523" s="79">
        <f>IF('Ordenes_Odoo'!I2523="","",'Ordenes_Odoo'!I2523)</f>
        <v/>
      </c>
      <c r="J2523" s="79">
        <f>IF('Ordenes_Odoo'!J2523="","",'Ordenes_Odoo'!J2523)</f>
        <v/>
      </c>
      <c r="K2523" s="81">
        <f>IF('Ordenes_Odoo'!K2523="","",'Ordenes_Odoo'!K2523)</f>
        <v/>
      </c>
      <c r="L2523" s="81">
        <f>IF('Ordenes_Odoo'!L2523="","",'Ordenes_Odoo'!L2523)</f>
        <v/>
      </c>
      <c r="M2523" s="79">
        <f>IF('Ordenes_Odoo'!M2523="","",'Ordenes_Odoo'!M2523)</f>
        <v/>
      </c>
      <c r="N2523" s="79">
        <f>IF('Ordenes_Odoo'!N2523="","",'Ordenes_Odoo'!N2523)</f>
        <v/>
      </c>
      <c r="O2523" s="81">
        <f>IF('Ordenes_Odoo'!O2523="","",'Ordenes_Odoo'!O2523)</f>
        <v/>
      </c>
      <c r="P2523" s="81">
        <f>IF('Ordenes_Odoo'!P2523="","",'Ordenes_Odoo'!P2523)</f>
        <v/>
      </c>
      <c r="Q2523" s="79">
        <f>IF(A2523="","",IFERROR(INDEX(Facturas_Odoo!$B:$B, MATCH(A2523, Facturas_Odoo!$D:$D, 0)), "Sin Factura"))</f>
        <v/>
      </c>
      <c r="R2523" s="80">
        <f>IF(Q2523="Sin Factura","",IFERROR(INDEX(Facturas_Odoo!$A:$A, MATCH(Q2523, Facturas_Odoo!$B:$B, 0)), ""))</f>
        <v/>
      </c>
      <c r="S2523" s="79">
        <f>IF(Q2523="Sin Factura","",IFERROR(_xlfn.XLOOKUP(1, (Facturas_Odoo!$D:$D=A2523) * (Facturas_Odoo!$K:$K=I2523), Facturas_Odoo!$L:$L, ""), ""))</f>
        <v/>
      </c>
      <c r="T2523" s="81">
        <f>IF(Q2523="Sin Factura",0,IFERROR(_xlfn.XLOOKUP(1, (Facturas_Odoo!$D:$D=A2523) * (Facturas_Odoo!$K:$K=I2523), Facturas_Odoo!$M:$M, 0), 0))</f>
        <v/>
      </c>
      <c r="U2523" s="79">
        <f>IF(Q2523="Sin Factura",0,IFERROR(_xlfn.XLOOKUP(1, (Facturas_Odoo!$D:$D=A2523) * (Facturas_Odoo!$K:$K=I2523), Facturas_Odoo!$N:$N, 0), 0))</f>
        <v/>
      </c>
      <c r="V2523" s="79">
        <f>IF(Q2523="Sin Factura",0,IFERROR(_xlfn.XLOOKUP(1, (Facturas_Odoo!$D:$D=A2523) * (Facturas_Odoo!$K:$K=I2523), Facturas_Odoo!$O:$O, 0), 0))</f>
        <v/>
      </c>
      <c r="W2523" s="81">
        <f>IF(Q2523="Sin Factura",0,IFERROR(_xlfn.XLOOKUP(1, (Facturas_Odoo!$D:$D=A2523) * (Facturas_Odoo!$K:$K=I2523), Facturas_Odoo!$Q:$Q, 0), 0))</f>
        <v/>
      </c>
      <c r="X2523" s="79">
        <f>IF(OR(Q2523="Sin Factura",Q2523=""),"",IFERROR(INDEX(Pagos_Odoo!$B:$B, MATCH(Q2523, Pagos_Odoo!$I:$I, 0)), "Sin Pago"))</f>
        <v/>
      </c>
      <c r="Y2523" s="79">
        <f>IF(X2523="Sin Pago","",IFERROR(INDEX(Pagos_Odoo!$C:$C, MATCH(X2523, Pagos_Odoo!$B:$B, 0)), ""))</f>
        <v/>
      </c>
      <c r="Z2523" s="80">
        <f>IF(X2523="Sin Pago","",IFERROR(INDEX(Pagos_Odoo!$A:$A, MATCH(X2523, Pagos_Odoo!$B:$B, 0)), ""))</f>
        <v/>
      </c>
      <c r="AA2523" s="79">
        <f>IF(X2523="Sin Pago","",IFERROR(INDEX(Pagos_Odoo!$F:$F, MATCH(X2523, Pagos_Odoo!$B:$B, 0)), ""))</f>
        <v/>
      </c>
      <c r="AB2523" s="81">
        <f>IF(X2523="Sin Pago",0,IFERROR(INDEX(Pagos_Odoo!$E:$E, MATCH(X2523, Pagos_Odoo!$B:$B, 0)), 0))</f>
        <v/>
      </c>
      <c r="AC2523" s="79">
        <f>IF(X2523="Sin Pago","",IFERROR(INDEX(Pagos_Odoo!$G:$G, MATCH(X2523, Pagos_Odoo!$B:$B, 0)), ""))</f>
        <v/>
      </c>
      <c r="AD2523" s="82" t="n">
        <v>0</v>
      </c>
      <c r="AE2523" s="82" t="n"/>
      <c r="AF2523" s="82" t="n"/>
      <c r="AG2523" s="82">
        <f>IF(AN2523="","",AD2523+AE2523+AF2523)</f>
        <v/>
      </c>
      <c r="AH2523" s="81">
        <f>IF(AN2523="","",P2523*(1-AG2523))</f>
        <v/>
      </c>
      <c r="AI2523" s="81">
        <f>IF(AN2523="","",IF(Q2523="Sin Factura",0,IFERROR(INDEX(Facturas_Odoo!$H:$H, MATCH(Q2523, Facturas_Odoo!$B:$B, 0)), 0)*(1-AG2523)))</f>
        <v/>
      </c>
      <c r="AJ2523" s="81">
        <f>IF(AN2523="","",_xlfn.LET(idVenta, AN2523&amp;"",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23" s="81">
        <f>IF(AN2523="","",AH2523-AJ2523)</f>
        <v/>
      </c>
      <c r="AL2523" s="81">
        <f>IF(AN2523="","",IF(Q2523="Sin Factura","",AI2523-AJ2523))</f>
        <v/>
      </c>
      <c r="AM2523" s="81">
        <f>IF(AN2523="","",IF(Q2523="Sin Factura",0,P2523-IFERROR(INDEX(Facturas_Odoo!$H:$H, MATCH(Q2523, Facturas_Odoo!$B:$B, 0)), 0)))</f>
        <v/>
      </c>
      <c r="AN2523" s="79">
        <f>IF(AND(A2523="", J2523=""), "", IF(A2523&lt;&gt;"", VALUE(MID(A2523,2,LEN(A2523))), AN2522))</f>
        <v/>
      </c>
      <c r="AO2523" s="79">
        <f>IF(AN2523="","",IF(AD2523=0,"OK",_xlfn.LET(monedaPago, IF(AA2523="","USD",AA2523), limitePermitido, IFERROR(VLOOKUP(monedaPago, Configuración!$A$2:$B$3, 2, FALSE), 0.15), IF(AD2523&gt;limitePermitido, "ALERTA: EXCESO (" &amp; TEXT(limitePermitido, "0%") &amp; " máx)", "OK"))))</f>
        <v/>
      </c>
      <c r="AP2523" s="79">
        <f>IF(AN2523="","",IF(AE2523=0,"OK",_xlfn.LET(fechaPago, Z2523, fechaFactura, R2523, diasCredito, IF(E2523="Pago inmediato", 0, IFERROR(VALUE(MID(E2523, 1, SEARCH(" ", E2523)-1)),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23" s="79">
        <f>IF(AN2523="","",IF(AND(N2523&gt;0, AG2523&gt;0), IF(Configuración!$K$2="NO", "ALERTA: DESCUENTO DOBLE NO PERMITIDO", "OK"), "OK"))</f>
        <v/>
      </c>
      <c r="AR2523" s="79">
        <f>IF(AN2523="","",IF(OR(AO2523&lt;&gt;"OK", AP2523&lt;&gt;"OK", AQ2523&lt;&gt;"OK"), "⚠️ REVISAR", "OK"))</f>
        <v/>
      </c>
    </row>
    <row r="2524">
      <c r="A2524" s="79">
        <f>IF('Ordenes_Odoo'!A2524="","",'Ordenes_Odoo'!A2524)</f>
        <v/>
      </c>
      <c r="B2524" s="80">
        <f>IF('Ordenes_Odoo'!B2524="","",'Ordenes_Odoo'!B2524)</f>
        <v/>
      </c>
      <c r="C2524" s="79">
        <f>IF('Ordenes_Odoo'!C2524="","",'Ordenes_Odoo'!C2524)</f>
        <v/>
      </c>
      <c r="D2524" s="79">
        <f>IF('Ordenes_Odoo'!D2524="","",'Ordenes_Odoo'!D2524)</f>
        <v/>
      </c>
      <c r="E2524" s="79">
        <f>IF('Ordenes_Odoo'!E2524="","",'Ordenes_Odoo'!E2524)</f>
        <v/>
      </c>
      <c r="F2524" s="79">
        <f>IF('Ordenes_Odoo'!F2524="","",'Ordenes_Odoo'!F2524)</f>
        <v/>
      </c>
      <c r="G2524" s="79">
        <f>IF('Ordenes_Odoo'!G2524="","",'Ordenes_Odoo'!G2524)</f>
        <v/>
      </c>
      <c r="H2524" s="79">
        <f>IF('Ordenes_Odoo'!H2524="","",'Ordenes_Odoo'!H2524)</f>
        <v/>
      </c>
      <c r="I2524" s="79">
        <f>IF('Ordenes_Odoo'!I2524="","",'Ordenes_Odoo'!I2524)</f>
        <v/>
      </c>
      <c r="J2524" s="79">
        <f>IF('Ordenes_Odoo'!J2524="","",'Ordenes_Odoo'!J2524)</f>
        <v/>
      </c>
      <c r="K2524" s="81">
        <f>IF('Ordenes_Odoo'!K2524="","",'Ordenes_Odoo'!K2524)</f>
        <v/>
      </c>
      <c r="L2524" s="81">
        <f>IF('Ordenes_Odoo'!L2524="","",'Ordenes_Odoo'!L2524)</f>
        <v/>
      </c>
      <c r="M2524" s="79">
        <f>IF('Ordenes_Odoo'!M2524="","",'Ordenes_Odoo'!M2524)</f>
        <v/>
      </c>
      <c r="N2524" s="79">
        <f>IF('Ordenes_Odoo'!N2524="","",'Ordenes_Odoo'!N2524)</f>
        <v/>
      </c>
      <c r="O2524" s="81">
        <f>IF('Ordenes_Odoo'!O2524="","",'Ordenes_Odoo'!O2524)</f>
        <v/>
      </c>
      <c r="P2524" s="81">
        <f>IF('Ordenes_Odoo'!P2524="","",'Ordenes_Odoo'!P2524)</f>
        <v/>
      </c>
      <c r="Q2524" s="79">
        <f>IF(A2524="","",IFERROR(INDEX(Facturas_Odoo!$B:$B, MATCH(A2524, Facturas_Odoo!$D:$D, 0)), "Sin Factura"))</f>
        <v/>
      </c>
      <c r="R2524" s="80">
        <f>IF(Q2524="Sin Factura","",IFERROR(INDEX(Facturas_Odoo!$A:$A, MATCH(Q2524, Facturas_Odoo!$B:$B, 0)), ""))</f>
        <v/>
      </c>
      <c r="S2524" s="79">
        <f>IF(Q2524="Sin Factura","",IFERROR(_xlfn.XLOOKUP(1, (Facturas_Odoo!$D:$D=A2524) * (Facturas_Odoo!$K:$K=I2524), Facturas_Odoo!$L:$L, ""), ""))</f>
        <v/>
      </c>
      <c r="T2524" s="81">
        <f>IF(Q2524="Sin Factura",0,IFERROR(_xlfn.XLOOKUP(1, (Facturas_Odoo!$D:$D=A2524) * (Facturas_Odoo!$K:$K=I2524), Facturas_Odoo!$M:$M, 0), 0))</f>
        <v/>
      </c>
      <c r="U2524" s="79">
        <f>IF(Q2524="Sin Factura",0,IFERROR(_xlfn.XLOOKUP(1, (Facturas_Odoo!$D:$D=A2524) * (Facturas_Odoo!$K:$K=I2524), Facturas_Odoo!$N:$N, 0), 0))</f>
        <v/>
      </c>
      <c r="V2524" s="79">
        <f>IF(Q2524="Sin Factura",0,IFERROR(_xlfn.XLOOKUP(1, (Facturas_Odoo!$D:$D=A2524) * (Facturas_Odoo!$K:$K=I2524), Facturas_Odoo!$O:$O, 0), 0))</f>
        <v/>
      </c>
      <c r="W2524" s="81">
        <f>IF(Q2524="Sin Factura",0,IFERROR(_xlfn.XLOOKUP(1, (Facturas_Odoo!$D:$D=A2524) * (Facturas_Odoo!$K:$K=I2524), Facturas_Odoo!$Q:$Q, 0), 0))</f>
        <v/>
      </c>
      <c r="X2524" s="79">
        <f>IF(OR(Q2524="Sin Factura",Q2524=""),"",IFERROR(INDEX(Pagos_Odoo!$B:$B, MATCH(Q2524, Pagos_Odoo!$I:$I, 0)), "Sin Pago"))</f>
        <v/>
      </c>
      <c r="Y2524" s="79">
        <f>IF(X2524="Sin Pago","",IFERROR(INDEX(Pagos_Odoo!$C:$C, MATCH(X2524, Pagos_Odoo!$B:$B, 0)), ""))</f>
        <v/>
      </c>
      <c r="Z2524" s="80">
        <f>IF(X2524="Sin Pago","",IFERROR(INDEX(Pagos_Odoo!$A:$A, MATCH(X2524, Pagos_Odoo!$B:$B, 0)), ""))</f>
        <v/>
      </c>
      <c r="AA2524" s="79">
        <f>IF(X2524="Sin Pago","",IFERROR(INDEX(Pagos_Odoo!$F:$F, MATCH(X2524, Pagos_Odoo!$B:$B, 0)), ""))</f>
        <v/>
      </c>
      <c r="AB2524" s="81">
        <f>IF(X2524="Sin Pago",0,IFERROR(INDEX(Pagos_Odoo!$E:$E, MATCH(X2524, Pagos_Odoo!$B:$B, 0)), 0))</f>
        <v/>
      </c>
      <c r="AC2524" s="79">
        <f>IF(X2524="Sin Pago","",IFERROR(INDEX(Pagos_Odoo!$G:$G, MATCH(X2524, Pagos_Odoo!$B:$B, 0)), ""))</f>
        <v/>
      </c>
      <c r="AD2524" s="82" t="n">
        <v>0</v>
      </c>
      <c r="AE2524" s="82" t="n"/>
      <c r="AF2524" s="82" t="n"/>
      <c r="AG2524" s="82">
        <f>IF(AN2524="","",AD2524+AE2524+AF2524)</f>
        <v/>
      </c>
      <c r="AH2524" s="81">
        <f>IF(AN2524="","",P2524*(1-AG2524))</f>
        <v/>
      </c>
      <c r="AI2524" s="81">
        <f>IF(AN2524="","",IF(Q2524="Sin Factura",0,IFERROR(INDEX(Facturas_Odoo!$H:$H, MATCH(Q2524, Facturas_Odoo!$B:$B, 0)), 0)*(1-AG2524)))</f>
        <v/>
      </c>
      <c r="AJ2524" s="81">
        <f>IF(AN2524="","",_xlfn.LET(idVenta, AN2524&amp;"",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24" s="81">
        <f>IF(AN2524="","",AH2524-AJ2524)</f>
        <v/>
      </c>
      <c r="AL2524" s="81">
        <f>IF(AN2524="","",IF(Q2524="Sin Factura","",AI2524-AJ2524))</f>
        <v/>
      </c>
      <c r="AM2524" s="81">
        <f>IF(AN2524="","",IF(Q2524="Sin Factura",0,P2524-IFERROR(INDEX(Facturas_Odoo!$H:$H, MATCH(Q2524, Facturas_Odoo!$B:$B, 0)), 0)))</f>
        <v/>
      </c>
      <c r="AN2524" s="79">
        <f>IF(AND(A2524="", J2524=""), "", IF(A2524&lt;&gt;"", VALUE(MID(A2524,2,LEN(A2524))), AN2523))</f>
        <v/>
      </c>
      <c r="AO2524" s="79">
        <f>IF(AN2524="","",IF(AD2524=0,"OK",_xlfn.LET(monedaPago, IF(AA2524="","USD",AA2524), limitePermitido, IFERROR(VLOOKUP(monedaPago, Configuración!$A$2:$B$3, 2, FALSE), 0.15), IF(AD2524&gt;limitePermitido, "ALERTA: EXCESO (" &amp; TEXT(limitePermitido, "0%") &amp; " máx)", "OK"))))</f>
        <v/>
      </c>
      <c r="AP2524" s="79">
        <f>IF(AN2524="","",IF(AE2524=0,"OK",_xlfn.LET(fechaPago, Z2524, fechaFactura, R2524, diasCredito, IF(E2524="Pago inmediato", 0, IFERROR(VALUE(MID(E2524, 1, SEARCH(" ", E2524)-1)),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24" s="79">
        <f>IF(AN2524="","",IF(AND(N2524&gt;0, AG2524&gt;0), IF(Configuración!$K$2="NO", "ALERTA: DESCUENTO DOBLE NO PERMITIDO", "OK"), "OK"))</f>
        <v/>
      </c>
      <c r="AR2524" s="79">
        <f>IF(AN2524="","",IF(OR(AO2524&lt;&gt;"OK", AP2524&lt;&gt;"OK", AQ2524&lt;&gt;"OK"), "⚠️ REVISAR", "OK"))</f>
        <v/>
      </c>
    </row>
    <row r="2525">
      <c r="A2525" s="79">
        <f>IF('Ordenes_Odoo'!A2525="","",'Ordenes_Odoo'!A2525)</f>
        <v/>
      </c>
      <c r="B2525" s="80">
        <f>IF('Ordenes_Odoo'!B2525="","",'Ordenes_Odoo'!B2525)</f>
        <v/>
      </c>
      <c r="C2525" s="79">
        <f>IF('Ordenes_Odoo'!C2525="","",'Ordenes_Odoo'!C2525)</f>
        <v/>
      </c>
      <c r="D2525" s="79">
        <f>IF('Ordenes_Odoo'!D2525="","",'Ordenes_Odoo'!D2525)</f>
        <v/>
      </c>
      <c r="E2525" s="79">
        <f>IF('Ordenes_Odoo'!E2525="","",'Ordenes_Odoo'!E2525)</f>
        <v/>
      </c>
      <c r="F2525" s="79">
        <f>IF('Ordenes_Odoo'!F2525="","",'Ordenes_Odoo'!F2525)</f>
        <v/>
      </c>
      <c r="G2525" s="79">
        <f>IF('Ordenes_Odoo'!G2525="","",'Ordenes_Odoo'!G2525)</f>
        <v/>
      </c>
      <c r="H2525" s="79">
        <f>IF('Ordenes_Odoo'!H2525="","",'Ordenes_Odoo'!H2525)</f>
        <v/>
      </c>
      <c r="I2525" s="79">
        <f>IF('Ordenes_Odoo'!I2525="","",'Ordenes_Odoo'!I2525)</f>
        <v/>
      </c>
      <c r="J2525" s="79">
        <f>IF('Ordenes_Odoo'!J2525="","",'Ordenes_Odoo'!J2525)</f>
        <v/>
      </c>
      <c r="K2525" s="81">
        <f>IF('Ordenes_Odoo'!K2525="","",'Ordenes_Odoo'!K2525)</f>
        <v/>
      </c>
      <c r="L2525" s="81">
        <f>IF('Ordenes_Odoo'!L2525="","",'Ordenes_Odoo'!L2525)</f>
        <v/>
      </c>
      <c r="M2525" s="79">
        <f>IF('Ordenes_Odoo'!M2525="","",'Ordenes_Odoo'!M2525)</f>
        <v/>
      </c>
      <c r="N2525" s="79">
        <f>IF('Ordenes_Odoo'!N2525="","",'Ordenes_Odoo'!N2525)</f>
        <v/>
      </c>
      <c r="O2525" s="81">
        <f>IF('Ordenes_Odoo'!O2525="","",'Ordenes_Odoo'!O2525)</f>
        <v/>
      </c>
      <c r="P2525" s="81">
        <f>IF('Ordenes_Odoo'!P2525="","",'Ordenes_Odoo'!P2525)</f>
        <v/>
      </c>
      <c r="Q2525" s="79">
        <f>IF(A2525="","",IFERROR(INDEX(Facturas_Odoo!$B:$B, MATCH(A2525, Facturas_Odoo!$D:$D, 0)), "Sin Factura"))</f>
        <v/>
      </c>
      <c r="R2525" s="80">
        <f>IF(Q2525="Sin Factura","",IFERROR(INDEX(Facturas_Odoo!$A:$A, MATCH(Q2525, Facturas_Odoo!$B:$B, 0)), ""))</f>
        <v/>
      </c>
      <c r="S2525" s="79">
        <f>IF(Q2525="Sin Factura","",IFERROR(_xlfn.XLOOKUP(1, (Facturas_Odoo!$D:$D=A2525) * (Facturas_Odoo!$K:$K=I2525), Facturas_Odoo!$L:$L, ""), ""))</f>
        <v/>
      </c>
      <c r="T2525" s="81">
        <f>IF(Q2525="Sin Factura",0,IFERROR(_xlfn.XLOOKUP(1, (Facturas_Odoo!$D:$D=A2525) * (Facturas_Odoo!$K:$K=I2525), Facturas_Odoo!$M:$M, 0), 0))</f>
        <v/>
      </c>
      <c r="U2525" s="79">
        <f>IF(Q2525="Sin Factura",0,IFERROR(_xlfn.XLOOKUP(1, (Facturas_Odoo!$D:$D=A2525) * (Facturas_Odoo!$K:$K=I2525), Facturas_Odoo!$N:$N, 0), 0))</f>
        <v/>
      </c>
      <c r="V2525" s="79">
        <f>IF(Q2525="Sin Factura",0,IFERROR(_xlfn.XLOOKUP(1, (Facturas_Odoo!$D:$D=A2525) * (Facturas_Odoo!$K:$K=I2525), Facturas_Odoo!$O:$O, 0), 0))</f>
        <v/>
      </c>
      <c r="W2525" s="81">
        <f>IF(Q2525="Sin Factura",0,IFERROR(_xlfn.XLOOKUP(1, (Facturas_Odoo!$D:$D=A2525) * (Facturas_Odoo!$K:$K=I2525), Facturas_Odoo!$Q:$Q, 0), 0))</f>
        <v/>
      </c>
      <c r="X2525" s="79">
        <f>IF(OR(Q2525="Sin Factura",Q2525=""),"",IFERROR(INDEX(Pagos_Odoo!$B:$B, MATCH(Q2525, Pagos_Odoo!$I:$I, 0)), "Sin Pago"))</f>
        <v/>
      </c>
      <c r="Y2525" s="79">
        <f>IF(X2525="Sin Pago","",IFERROR(INDEX(Pagos_Odoo!$C:$C, MATCH(X2525, Pagos_Odoo!$B:$B, 0)), ""))</f>
        <v/>
      </c>
      <c r="Z2525" s="80">
        <f>IF(X2525="Sin Pago","",IFERROR(INDEX(Pagos_Odoo!$A:$A, MATCH(X2525, Pagos_Odoo!$B:$B, 0)), ""))</f>
        <v/>
      </c>
      <c r="AA2525" s="79">
        <f>IF(X2525="Sin Pago","",IFERROR(INDEX(Pagos_Odoo!$F:$F, MATCH(X2525, Pagos_Odoo!$B:$B, 0)), ""))</f>
        <v/>
      </c>
      <c r="AB2525" s="81">
        <f>IF(X2525="Sin Pago",0,IFERROR(INDEX(Pagos_Odoo!$E:$E, MATCH(X2525, Pagos_Odoo!$B:$B, 0)), 0))</f>
        <v/>
      </c>
      <c r="AC2525" s="79">
        <f>IF(X2525="Sin Pago","",IFERROR(INDEX(Pagos_Odoo!$G:$G, MATCH(X2525, Pagos_Odoo!$B:$B, 0)), ""))</f>
        <v/>
      </c>
      <c r="AD2525" s="82" t="n">
        <v>0</v>
      </c>
      <c r="AE2525" s="82" t="n"/>
      <c r="AF2525" s="82" t="n"/>
      <c r="AG2525" s="82">
        <f>IF(AN2525="","",AD2525+AE2525+AF2525)</f>
        <v/>
      </c>
      <c r="AH2525" s="81">
        <f>IF(AN2525="","",P2525*(1-AG2525))</f>
        <v/>
      </c>
      <c r="AI2525" s="81">
        <f>IF(AN2525="","",IF(Q2525="Sin Factura",0,IFERROR(INDEX(Facturas_Odoo!$H:$H, MATCH(Q2525, Facturas_Odoo!$B:$B, 0)), 0)*(1-AG2525)))</f>
        <v/>
      </c>
      <c r="AJ2525" s="81">
        <f>IF(AN2525="","",_xlfn.LET(idVenta, AN2525&amp;"",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25" s="81">
        <f>IF(AN2525="","",AH2525-AJ2525)</f>
        <v/>
      </c>
      <c r="AL2525" s="81">
        <f>IF(AN2525="","",IF(Q2525="Sin Factura","",AI2525-AJ2525))</f>
        <v/>
      </c>
      <c r="AM2525" s="81">
        <f>IF(AN2525="","",IF(Q2525="Sin Factura",0,P2525-IFERROR(INDEX(Facturas_Odoo!$H:$H, MATCH(Q2525, Facturas_Odoo!$B:$B, 0)), 0)))</f>
        <v/>
      </c>
      <c r="AN2525" s="79">
        <f>IF(AND(A2525="", J2525=""), "", IF(A2525&lt;&gt;"", VALUE(MID(A2525,2,LEN(A2525))), AN2524))</f>
        <v/>
      </c>
      <c r="AO2525" s="79">
        <f>IF(AN2525="","",IF(AD2525=0,"OK",_xlfn.LET(monedaPago, IF(AA2525="","USD",AA2525), limitePermitido, IFERROR(VLOOKUP(monedaPago, Configuración!$A$2:$B$3, 2, FALSE), 0.15), IF(AD2525&gt;limitePermitido, "ALERTA: EXCESO (" &amp; TEXT(limitePermitido, "0%") &amp; " máx)", "OK"))))</f>
        <v/>
      </c>
      <c r="AP2525" s="79">
        <f>IF(AN2525="","",IF(AE2525=0,"OK",_xlfn.LET(fechaPago, Z2525, fechaFactura, R2525, diasCredito, IF(E2525="Pago inmediato", 0, IFERROR(VALUE(MID(E2525, 1, SEARCH(" ", E2525)-1)),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25" s="79">
        <f>IF(AN2525="","",IF(AND(N2525&gt;0, AG2525&gt;0), IF(Configuración!$K$2="NO", "ALERTA: DESCUENTO DOBLE NO PERMITIDO", "OK"), "OK"))</f>
        <v/>
      </c>
      <c r="AR2525" s="79">
        <f>IF(AN2525="","",IF(OR(AO2525&lt;&gt;"OK", AP2525&lt;&gt;"OK", AQ2525&lt;&gt;"OK"), "⚠️ REVISAR", "OK"))</f>
        <v/>
      </c>
    </row>
    <row r="2526">
      <c r="A2526" s="79">
        <f>IF('Ordenes_Odoo'!A2526="","",'Ordenes_Odoo'!A2526)</f>
        <v/>
      </c>
      <c r="B2526" s="80">
        <f>IF('Ordenes_Odoo'!B2526="","",'Ordenes_Odoo'!B2526)</f>
        <v/>
      </c>
      <c r="C2526" s="79">
        <f>IF('Ordenes_Odoo'!C2526="","",'Ordenes_Odoo'!C2526)</f>
        <v/>
      </c>
      <c r="D2526" s="79">
        <f>IF('Ordenes_Odoo'!D2526="","",'Ordenes_Odoo'!D2526)</f>
        <v/>
      </c>
      <c r="E2526" s="79">
        <f>IF('Ordenes_Odoo'!E2526="","",'Ordenes_Odoo'!E2526)</f>
        <v/>
      </c>
      <c r="F2526" s="79">
        <f>IF('Ordenes_Odoo'!F2526="","",'Ordenes_Odoo'!F2526)</f>
        <v/>
      </c>
      <c r="G2526" s="79">
        <f>IF('Ordenes_Odoo'!G2526="","",'Ordenes_Odoo'!G2526)</f>
        <v/>
      </c>
      <c r="H2526" s="79">
        <f>IF('Ordenes_Odoo'!H2526="","",'Ordenes_Odoo'!H2526)</f>
        <v/>
      </c>
      <c r="I2526" s="79">
        <f>IF('Ordenes_Odoo'!I2526="","",'Ordenes_Odoo'!I2526)</f>
        <v/>
      </c>
      <c r="J2526" s="79">
        <f>IF('Ordenes_Odoo'!J2526="","",'Ordenes_Odoo'!J2526)</f>
        <v/>
      </c>
      <c r="K2526" s="81">
        <f>IF('Ordenes_Odoo'!K2526="","",'Ordenes_Odoo'!K2526)</f>
        <v/>
      </c>
      <c r="L2526" s="81">
        <f>IF('Ordenes_Odoo'!L2526="","",'Ordenes_Odoo'!L2526)</f>
        <v/>
      </c>
      <c r="M2526" s="79">
        <f>IF('Ordenes_Odoo'!M2526="","",'Ordenes_Odoo'!M2526)</f>
        <v/>
      </c>
      <c r="N2526" s="79">
        <f>IF('Ordenes_Odoo'!N2526="","",'Ordenes_Odoo'!N2526)</f>
        <v/>
      </c>
      <c r="O2526" s="81">
        <f>IF('Ordenes_Odoo'!O2526="","",'Ordenes_Odoo'!O2526)</f>
        <v/>
      </c>
      <c r="P2526" s="81">
        <f>IF('Ordenes_Odoo'!P2526="","",'Ordenes_Odoo'!P2526)</f>
        <v/>
      </c>
      <c r="Q2526" s="79">
        <f>IF(A2526="","",IFERROR(INDEX(Facturas_Odoo!$B:$B, MATCH(A2526, Facturas_Odoo!$D:$D, 0)), "Sin Factura"))</f>
        <v/>
      </c>
      <c r="R2526" s="80">
        <f>IF(Q2526="Sin Factura","",IFERROR(INDEX(Facturas_Odoo!$A:$A, MATCH(Q2526, Facturas_Odoo!$B:$B, 0)), ""))</f>
        <v/>
      </c>
      <c r="S2526" s="79">
        <f>IF(Q2526="Sin Factura","",IFERROR(_xlfn.XLOOKUP(1, (Facturas_Odoo!$D:$D=A2526) * (Facturas_Odoo!$K:$K=I2526), Facturas_Odoo!$L:$L, ""), ""))</f>
        <v/>
      </c>
      <c r="T2526" s="81">
        <f>IF(Q2526="Sin Factura",0,IFERROR(_xlfn.XLOOKUP(1, (Facturas_Odoo!$D:$D=A2526) * (Facturas_Odoo!$K:$K=I2526), Facturas_Odoo!$M:$M, 0), 0))</f>
        <v/>
      </c>
      <c r="U2526" s="79">
        <f>IF(Q2526="Sin Factura",0,IFERROR(_xlfn.XLOOKUP(1, (Facturas_Odoo!$D:$D=A2526) * (Facturas_Odoo!$K:$K=I2526), Facturas_Odoo!$N:$N, 0), 0))</f>
        <v/>
      </c>
      <c r="V2526" s="79">
        <f>IF(Q2526="Sin Factura",0,IFERROR(_xlfn.XLOOKUP(1, (Facturas_Odoo!$D:$D=A2526) * (Facturas_Odoo!$K:$K=I2526), Facturas_Odoo!$O:$O, 0), 0))</f>
        <v/>
      </c>
      <c r="W2526" s="81">
        <f>IF(Q2526="Sin Factura",0,IFERROR(_xlfn.XLOOKUP(1, (Facturas_Odoo!$D:$D=A2526) * (Facturas_Odoo!$K:$K=I2526), Facturas_Odoo!$Q:$Q, 0), 0))</f>
        <v/>
      </c>
      <c r="X2526" s="79">
        <f>IF(OR(Q2526="Sin Factura",Q2526=""),"",IFERROR(INDEX(Pagos_Odoo!$B:$B, MATCH(Q2526, Pagos_Odoo!$I:$I, 0)), "Sin Pago"))</f>
        <v/>
      </c>
      <c r="Y2526" s="79">
        <f>IF(X2526="Sin Pago","",IFERROR(INDEX(Pagos_Odoo!$C:$C, MATCH(X2526, Pagos_Odoo!$B:$B, 0)), ""))</f>
        <v/>
      </c>
      <c r="Z2526" s="80">
        <f>IF(X2526="Sin Pago","",IFERROR(INDEX(Pagos_Odoo!$A:$A, MATCH(X2526, Pagos_Odoo!$B:$B, 0)), ""))</f>
        <v/>
      </c>
      <c r="AA2526" s="79">
        <f>IF(X2526="Sin Pago","",IFERROR(INDEX(Pagos_Odoo!$F:$F, MATCH(X2526, Pagos_Odoo!$B:$B, 0)), ""))</f>
        <v/>
      </c>
      <c r="AB2526" s="81">
        <f>IF(X2526="Sin Pago",0,IFERROR(INDEX(Pagos_Odoo!$E:$E, MATCH(X2526, Pagos_Odoo!$B:$B, 0)), 0))</f>
        <v/>
      </c>
      <c r="AC2526" s="79">
        <f>IF(X2526="Sin Pago","",IFERROR(INDEX(Pagos_Odoo!$G:$G, MATCH(X2526, Pagos_Odoo!$B:$B, 0)), ""))</f>
        <v/>
      </c>
      <c r="AD2526" s="82" t="n">
        <v>0</v>
      </c>
      <c r="AE2526" s="82" t="n"/>
      <c r="AF2526" s="82" t="n"/>
      <c r="AG2526" s="82">
        <f>IF(AN2526="","",AD2526+AE2526+AF2526)</f>
        <v/>
      </c>
      <c r="AH2526" s="81">
        <f>IF(AN2526="","",P2526*(1-AG2526))</f>
        <v/>
      </c>
      <c r="AI2526" s="81">
        <f>IF(AN2526="","",IF(Q2526="Sin Factura",0,IFERROR(INDEX(Facturas_Odoo!$H:$H, MATCH(Q2526, Facturas_Odoo!$B:$B, 0)), 0)*(1-AG2526)))</f>
        <v/>
      </c>
      <c r="AJ2526" s="81">
        <f>IF(AN2526="","",_xlfn.LET(idVenta, AN2526&amp;"",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26" s="81">
        <f>IF(AN2526="","",AH2526-AJ2526)</f>
        <v/>
      </c>
      <c r="AL2526" s="81">
        <f>IF(AN2526="","",IF(Q2526="Sin Factura","",AI2526-AJ2526))</f>
        <v/>
      </c>
      <c r="AM2526" s="81">
        <f>IF(AN2526="","",IF(Q2526="Sin Factura",0,P2526-IFERROR(INDEX(Facturas_Odoo!$H:$H, MATCH(Q2526, Facturas_Odoo!$B:$B, 0)), 0)))</f>
        <v/>
      </c>
      <c r="AN2526" s="79">
        <f>IF(AND(A2526="", J2526=""), "", IF(A2526&lt;&gt;"", VALUE(MID(A2526,2,LEN(A2526))), AN2525))</f>
        <v/>
      </c>
      <c r="AO2526" s="79">
        <f>IF(AN2526="","",IF(AD2526=0,"OK",_xlfn.LET(monedaPago, IF(AA2526="","USD",AA2526), limitePermitido, IFERROR(VLOOKUP(monedaPago, Configuración!$A$2:$B$3, 2, FALSE), 0.15), IF(AD2526&gt;limitePermitido, "ALERTA: EXCESO (" &amp; TEXT(limitePermitido, "0%") &amp; " máx)", "OK"))))</f>
        <v/>
      </c>
      <c r="AP2526" s="79">
        <f>IF(AN2526="","",IF(AE2526=0,"OK",_xlfn.LET(fechaPago, Z2526, fechaFactura, R2526, diasCredito, IF(E2526="Pago inmediato", 0, IFERROR(VALUE(MID(E2526, 1, SEARCH(" ", E2526)-1)),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26" s="79">
        <f>IF(AN2526="","",IF(AND(N2526&gt;0, AG2526&gt;0), IF(Configuración!$K$2="NO", "ALERTA: DESCUENTO DOBLE NO PERMITIDO", "OK"), "OK"))</f>
        <v/>
      </c>
      <c r="AR2526" s="79">
        <f>IF(AN2526="","",IF(OR(AO2526&lt;&gt;"OK", AP2526&lt;&gt;"OK", AQ2526&lt;&gt;"OK"), "⚠️ REVISAR", "OK"))</f>
        <v/>
      </c>
    </row>
    <row r="2527">
      <c r="A2527" s="79">
        <f>IF('Ordenes_Odoo'!A2527="","",'Ordenes_Odoo'!A2527)</f>
        <v/>
      </c>
      <c r="B2527" s="80">
        <f>IF('Ordenes_Odoo'!B2527="","",'Ordenes_Odoo'!B2527)</f>
        <v/>
      </c>
      <c r="C2527" s="79">
        <f>IF('Ordenes_Odoo'!C2527="","",'Ordenes_Odoo'!C2527)</f>
        <v/>
      </c>
      <c r="D2527" s="79">
        <f>IF('Ordenes_Odoo'!D2527="","",'Ordenes_Odoo'!D2527)</f>
        <v/>
      </c>
      <c r="E2527" s="79">
        <f>IF('Ordenes_Odoo'!E2527="","",'Ordenes_Odoo'!E2527)</f>
        <v/>
      </c>
      <c r="F2527" s="79">
        <f>IF('Ordenes_Odoo'!F2527="","",'Ordenes_Odoo'!F2527)</f>
        <v/>
      </c>
      <c r="G2527" s="79">
        <f>IF('Ordenes_Odoo'!G2527="","",'Ordenes_Odoo'!G2527)</f>
        <v/>
      </c>
      <c r="H2527" s="79">
        <f>IF('Ordenes_Odoo'!H2527="","",'Ordenes_Odoo'!H2527)</f>
        <v/>
      </c>
      <c r="I2527" s="79">
        <f>IF('Ordenes_Odoo'!I2527="","",'Ordenes_Odoo'!I2527)</f>
        <v/>
      </c>
      <c r="J2527" s="79">
        <f>IF('Ordenes_Odoo'!J2527="","",'Ordenes_Odoo'!J2527)</f>
        <v/>
      </c>
      <c r="K2527" s="81">
        <f>IF('Ordenes_Odoo'!K2527="","",'Ordenes_Odoo'!K2527)</f>
        <v/>
      </c>
      <c r="L2527" s="81">
        <f>IF('Ordenes_Odoo'!L2527="","",'Ordenes_Odoo'!L2527)</f>
        <v/>
      </c>
      <c r="M2527" s="79">
        <f>IF('Ordenes_Odoo'!M2527="","",'Ordenes_Odoo'!M2527)</f>
        <v/>
      </c>
      <c r="N2527" s="79">
        <f>IF('Ordenes_Odoo'!N2527="","",'Ordenes_Odoo'!N2527)</f>
        <v/>
      </c>
      <c r="O2527" s="81">
        <f>IF('Ordenes_Odoo'!O2527="","",'Ordenes_Odoo'!O2527)</f>
        <v/>
      </c>
      <c r="P2527" s="81">
        <f>IF('Ordenes_Odoo'!P2527="","",'Ordenes_Odoo'!P2527)</f>
        <v/>
      </c>
      <c r="Q2527" s="79">
        <f>IF(A2527="","",IFERROR(INDEX(Facturas_Odoo!$B:$B, MATCH(A2527, Facturas_Odoo!$D:$D, 0)), "Sin Factura"))</f>
        <v/>
      </c>
      <c r="R2527" s="80">
        <f>IF(Q2527="Sin Factura","",IFERROR(INDEX(Facturas_Odoo!$A:$A, MATCH(Q2527, Facturas_Odoo!$B:$B, 0)), ""))</f>
        <v/>
      </c>
      <c r="S2527" s="79">
        <f>IF(Q2527="Sin Factura","",IFERROR(_xlfn.XLOOKUP(1, (Facturas_Odoo!$D:$D=A2527) * (Facturas_Odoo!$K:$K=I2527), Facturas_Odoo!$L:$L, ""), ""))</f>
        <v/>
      </c>
      <c r="T2527" s="81">
        <f>IF(Q2527="Sin Factura",0,IFERROR(_xlfn.XLOOKUP(1, (Facturas_Odoo!$D:$D=A2527) * (Facturas_Odoo!$K:$K=I2527), Facturas_Odoo!$M:$M, 0), 0))</f>
        <v/>
      </c>
      <c r="U2527" s="79">
        <f>IF(Q2527="Sin Factura",0,IFERROR(_xlfn.XLOOKUP(1, (Facturas_Odoo!$D:$D=A2527) * (Facturas_Odoo!$K:$K=I2527), Facturas_Odoo!$N:$N, 0), 0))</f>
        <v/>
      </c>
      <c r="V2527" s="79">
        <f>IF(Q2527="Sin Factura",0,IFERROR(_xlfn.XLOOKUP(1, (Facturas_Odoo!$D:$D=A2527) * (Facturas_Odoo!$K:$K=I2527), Facturas_Odoo!$O:$O, 0), 0))</f>
        <v/>
      </c>
      <c r="W2527" s="81">
        <f>IF(Q2527="Sin Factura",0,IFERROR(_xlfn.XLOOKUP(1, (Facturas_Odoo!$D:$D=A2527) * (Facturas_Odoo!$K:$K=I2527), Facturas_Odoo!$Q:$Q, 0), 0))</f>
        <v/>
      </c>
      <c r="X2527" s="79">
        <f>IF(OR(Q2527="Sin Factura",Q2527=""),"",IFERROR(INDEX(Pagos_Odoo!$B:$B, MATCH(Q2527, Pagos_Odoo!$I:$I, 0)), "Sin Pago"))</f>
        <v/>
      </c>
      <c r="Y2527" s="79">
        <f>IF(X2527="Sin Pago","",IFERROR(INDEX(Pagos_Odoo!$C:$C, MATCH(X2527, Pagos_Odoo!$B:$B, 0)), ""))</f>
        <v/>
      </c>
      <c r="Z2527" s="80">
        <f>IF(X2527="Sin Pago","",IFERROR(INDEX(Pagos_Odoo!$A:$A, MATCH(X2527, Pagos_Odoo!$B:$B, 0)), ""))</f>
        <v/>
      </c>
      <c r="AA2527" s="79">
        <f>IF(X2527="Sin Pago","",IFERROR(INDEX(Pagos_Odoo!$F:$F, MATCH(X2527, Pagos_Odoo!$B:$B, 0)), ""))</f>
        <v/>
      </c>
      <c r="AB2527" s="81">
        <f>IF(X2527="Sin Pago",0,IFERROR(INDEX(Pagos_Odoo!$E:$E, MATCH(X2527, Pagos_Odoo!$B:$B, 0)), 0))</f>
        <v/>
      </c>
      <c r="AC2527" s="79">
        <f>IF(X2527="Sin Pago","",IFERROR(INDEX(Pagos_Odoo!$G:$G, MATCH(X2527, Pagos_Odoo!$B:$B, 0)), ""))</f>
        <v/>
      </c>
      <c r="AD2527" s="82" t="n">
        <v>0</v>
      </c>
      <c r="AE2527" s="82" t="n"/>
      <c r="AF2527" s="82" t="n"/>
      <c r="AG2527" s="82">
        <f>IF(AN2527="","",AD2527+AE2527+AF2527)</f>
        <v/>
      </c>
      <c r="AH2527" s="81">
        <f>IF(AN2527="","",P2527*(1-AG2527))</f>
        <v/>
      </c>
      <c r="AI2527" s="81">
        <f>IF(AN2527="","",IF(Q2527="Sin Factura",0,IFERROR(INDEX(Facturas_Odoo!$H:$H, MATCH(Q2527, Facturas_Odoo!$B:$B, 0)), 0)*(1-AG2527)))</f>
        <v/>
      </c>
      <c r="AJ2527" s="81">
        <f>IF(AN2527="","",_xlfn.LET(idVenta, AN2527&amp;"",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27" s="81">
        <f>IF(AN2527="","",AH2527-AJ2527)</f>
        <v/>
      </c>
      <c r="AL2527" s="81">
        <f>IF(AN2527="","",IF(Q2527="Sin Factura","",AI2527-AJ2527))</f>
        <v/>
      </c>
      <c r="AM2527" s="81">
        <f>IF(AN2527="","",IF(Q2527="Sin Factura",0,P2527-IFERROR(INDEX(Facturas_Odoo!$H:$H, MATCH(Q2527, Facturas_Odoo!$B:$B, 0)), 0)))</f>
        <v/>
      </c>
      <c r="AN2527" s="79">
        <f>IF(AND(A2527="", J2527=""), "", IF(A2527&lt;&gt;"", VALUE(MID(A2527,2,LEN(A2527))), AN2526))</f>
        <v/>
      </c>
      <c r="AO2527" s="79">
        <f>IF(AN2527="","",IF(AD2527=0,"OK",_xlfn.LET(monedaPago, IF(AA2527="","USD",AA2527), limitePermitido, IFERROR(VLOOKUP(monedaPago, Configuración!$A$2:$B$3, 2, FALSE), 0.15), IF(AD2527&gt;limitePermitido, "ALERTA: EXCESO (" &amp; TEXT(limitePermitido, "0%") &amp; " máx)", "OK"))))</f>
        <v/>
      </c>
      <c r="AP2527" s="79">
        <f>IF(AN2527="","",IF(AE2527=0,"OK",_xlfn.LET(fechaPago, Z2527, fechaFactura, R2527, diasCredito, IF(E2527="Pago inmediato", 0, IFERROR(VALUE(MID(E2527, 1, SEARCH(" ", E2527)-1)),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27" s="79">
        <f>IF(AN2527="","",IF(AND(N2527&gt;0, AG2527&gt;0), IF(Configuración!$K$2="NO", "ALERTA: DESCUENTO DOBLE NO PERMITIDO", "OK"), "OK"))</f>
        <v/>
      </c>
      <c r="AR2527" s="79">
        <f>IF(AN2527="","",IF(OR(AO2527&lt;&gt;"OK", AP2527&lt;&gt;"OK", AQ2527&lt;&gt;"OK"), "⚠️ REVISAR", "OK"))</f>
        <v/>
      </c>
    </row>
    <row r="2528">
      <c r="A2528" s="79">
        <f>IF('Ordenes_Odoo'!A2528="","",'Ordenes_Odoo'!A2528)</f>
        <v/>
      </c>
      <c r="B2528" s="80">
        <f>IF('Ordenes_Odoo'!B2528="","",'Ordenes_Odoo'!B2528)</f>
        <v/>
      </c>
      <c r="C2528" s="79">
        <f>IF('Ordenes_Odoo'!C2528="","",'Ordenes_Odoo'!C2528)</f>
        <v/>
      </c>
      <c r="D2528" s="79">
        <f>IF('Ordenes_Odoo'!D2528="","",'Ordenes_Odoo'!D2528)</f>
        <v/>
      </c>
      <c r="E2528" s="79">
        <f>IF('Ordenes_Odoo'!E2528="","",'Ordenes_Odoo'!E2528)</f>
        <v/>
      </c>
      <c r="F2528" s="79">
        <f>IF('Ordenes_Odoo'!F2528="","",'Ordenes_Odoo'!F2528)</f>
        <v/>
      </c>
      <c r="G2528" s="79">
        <f>IF('Ordenes_Odoo'!G2528="","",'Ordenes_Odoo'!G2528)</f>
        <v/>
      </c>
      <c r="H2528" s="79">
        <f>IF('Ordenes_Odoo'!H2528="","",'Ordenes_Odoo'!H2528)</f>
        <v/>
      </c>
      <c r="I2528" s="79">
        <f>IF('Ordenes_Odoo'!I2528="","",'Ordenes_Odoo'!I2528)</f>
        <v/>
      </c>
      <c r="J2528" s="79">
        <f>IF('Ordenes_Odoo'!J2528="","",'Ordenes_Odoo'!J2528)</f>
        <v/>
      </c>
      <c r="K2528" s="81">
        <f>IF('Ordenes_Odoo'!K2528="","",'Ordenes_Odoo'!K2528)</f>
        <v/>
      </c>
      <c r="L2528" s="81">
        <f>IF('Ordenes_Odoo'!L2528="","",'Ordenes_Odoo'!L2528)</f>
        <v/>
      </c>
      <c r="M2528" s="79">
        <f>IF('Ordenes_Odoo'!M2528="","",'Ordenes_Odoo'!M2528)</f>
        <v/>
      </c>
      <c r="N2528" s="79">
        <f>IF('Ordenes_Odoo'!N2528="","",'Ordenes_Odoo'!N2528)</f>
        <v/>
      </c>
      <c r="O2528" s="81">
        <f>IF('Ordenes_Odoo'!O2528="","",'Ordenes_Odoo'!O2528)</f>
        <v/>
      </c>
      <c r="P2528" s="81">
        <f>IF('Ordenes_Odoo'!P2528="","",'Ordenes_Odoo'!P2528)</f>
        <v/>
      </c>
      <c r="Q2528" s="79">
        <f>IF(A2528="","",IFERROR(INDEX(Facturas_Odoo!$B:$B, MATCH(A2528, Facturas_Odoo!$D:$D, 0)), "Sin Factura"))</f>
        <v/>
      </c>
      <c r="R2528" s="80">
        <f>IF(Q2528="Sin Factura","",IFERROR(INDEX(Facturas_Odoo!$A:$A, MATCH(Q2528, Facturas_Odoo!$B:$B, 0)), ""))</f>
        <v/>
      </c>
      <c r="S2528" s="79">
        <f>IF(Q2528="Sin Factura","",IFERROR(_xlfn.XLOOKUP(1, (Facturas_Odoo!$D:$D=A2528) * (Facturas_Odoo!$K:$K=I2528), Facturas_Odoo!$L:$L, ""), ""))</f>
        <v/>
      </c>
      <c r="T2528" s="81">
        <f>IF(Q2528="Sin Factura",0,IFERROR(_xlfn.XLOOKUP(1, (Facturas_Odoo!$D:$D=A2528) * (Facturas_Odoo!$K:$K=I2528), Facturas_Odoo!$M:$M, 0), 0))</f>
        <v/>
      </c>
      <c r="U2528" s="79">
        <f>IF(Q2528="Sin Factura",0,IFERROR(_xlfn.XLOOKUP(1, (Facturas_Odoo!$D:$D=A2528) * (Facturas_Odoo!$K:$K=I2528), Facturas_Odoo!$N:$N, 0), 0))</f>
        <v/>
      </c>
      <c r="V2528" s="79">
        <f>IF(Q2528="Sin Factura",0,IFERROR(_xlfn.XLOOKUP(1, (Facturas_Odoo!$D:$D=A2528) * (Facturas_Odoo!$K:$K=I2528), Facturas_Odoo!$O:$O, 0), 0))</f>
        <v/>
      </c>
      <c r="W2528" s="81">
        <f>IF(Q2528="Sin Factura",0,IFERROR(_xlfn.XLOOKUP(1, (Facturas_Odoo!$D:$D=A2528) * (Facturas_Odoo!$K:$K=I2528), Facturas_Odoo!$Q:$Q, 0), 0))</f>
        <v/>
      </c>
      <c r="X2528" s="79">
        <f>IF(OR(Q2528="Sin Factura",Q2528=""),"",IFERROR(INDEX(Pagos_Odoo!$B:$B, MATCH(Q2528, Pagos_Odoo!$I:$I, 0)), "Sin Pago"))</f>
        <v/>
      </c>
      <c r="Y2528" s="79">
        <f>IF(X2528="Sin Pago","",IFERROR(INDEX(Pagos_Odoo!$C:$C, MATCH(X2528, Pagos_Odoo!$B:$B, 0)), ""))</f>
        <v/>
      </c>
      <c r="Z2528" s="80">
        <f>IF(X2528="Sin Pago","",IFERROR(INDEX(Pagos_Odoo!$A:$A, MATCH(X2528, Pagos_Odoo!$B:$B, 0)), ""))</f>
        <v/>
      </c>
      <c r="AA2528" s="79">
        <f>IF(X2528="Sin Pago","",IFERROR(INDEX(Pagos_Odoo!$F:$F, MATCH(X2528, Pagos_Odoo!$B:$B, 0)), ""))</f>
        <v/>
      </c>
      <c r="AB2528" s="81">
        <f>IF(X2528="Sin Pago",0,IFERROR(INDEX(Pagos_Odoo!$E:$E, MATCH(X2528, Pagos_Odoo!$B:$B, 0)), 0))</f>
        <v/>
      </c>
      <c r="AC2528" s="79">
        <f>IF(X2528="Sin Pago","",IFERROR(INDEX(Pagos_Odoo!$G:$G, MATCH(X2528, Pagos_Odoo!$B:$B, 0)), ""))</f>
        <v/>
      </c>
      <c r="AD2528" s="82" t="n">
        <v>0</v>
      </c>
      <c r="AE2528" s="82" t="n"/>
      <c r="AF2528" s="82" t="n"/>
      <c r="AG2528" s="82">
        <f>IF(AN2528="","",AD2528+AE2528+AF2528)</f>
        <v/>
      </c>
      <c r="AH2528" s="81">
        <f>IF(AN2528="","",P2528*(1-AG2528))</f>
        <v/>
      </c>
      <c r="AI2528" s="81">
        <f>IF(AN2528="","",IF(Q2528="Sin Factura",0,IFERROR(INDEX(Facturas_Odoo!$H:$H, MATCH(Q2528, Facturas_Odoo!$B:$B, 0)), 0)*(1-AG2528)))</f>
        <v/>
      </c>
      <c r="AJ2528" s="81">
        <f>IF(AN2528="","",_xlfn.LET(idVenta, AN2528&amp;"",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28" s="81">
        <f>IF(AN2528="","",AH2528-AJ2528)</f>
        <v/>
      </c>
      <c r="AL2528" s="81">
        <f>IF(AN2528="","",IF(Q2528="Sin Factura","",AI2528-AJ2528))</f>
        <v/>
      </c>
      <c r="AM2528" s="81">
        <f>IF(AN2528="","",IF(Q2528="Sin Factura",0,P2528-IFERROR(INDEX(Facturas_Odoo!$H:$H, MATCH(Q2528, Facturas_Odoo!$B:$B, 0)), 0)))</f>
        <v/>
      </c>
      <c r="AN2528" s="79">
        <f>IF(AND(A2528="", J2528=""), "", IF(A2528&lt;&gt;"", VALUE(MID(A2528,2,LEN(A2528))), AN2527))</f>
        <v/>
      </c>
      <c r="AO2528" s="79">
        <f>IF(AN2528="","",IF(AD2528=0,"OK",_xlfn.LET(monedaPago, IF(AA2528="","USD",AA2528), limitePermitido, IFERROR(VLOOKUP(monedaPago, Configuración!$A$2:$B$3, 2, FALSE), 0.15), IF(AD2528&gt;limitePermitido, "ALERTA: EXCESO (" &amp; TEXT(limitePermitido, "0%") &amp; " máx)", "OK"))))</f>
        <v/>
      </c>
      <c r="AP2528" s="79">
        <f>IF(AN2528="","",IF(AE2528=0,"OK",_xlfn.LET(fechaPago, Z2528, fechaFactura, R2528, diasCredito, IF(E2528="Pago inmediato", 0, IFERROR(VALUE(MID(E2528, 1, SEARCH(" ", E2528)-1)),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28" s="79">
        <f>IF(AN2528="","",IF(AND(N2528&gt;0, AG2528&gt;0), IF(Configuración!$K$2="NO", "ALERTA: DESCUENTO DOBLE NO PERMITIDO", "OK"), "OK"))</f>
        <v/>
      </c>
      <c r="AR2528" s="79">
        <f>IF(AN2528="","",IF(OR(AO2528&lt;&gt;"OK", AP2528&lt;&gt;"OK", AQ2528&lt;&gt;"OK"), "⚠️ REVISAR", "OK"))</f>
        <v/>
      </c>
    </row>
    <row r="2529">
      <c r="A2529" s="79">
        <f>IF('Ordenes_Odoo'!A2529="","",'Ordenes_Odoo'!A2529)</f>
        <v/>
      </c>
      <c r="B2529" s="80">
        <f>IF('Ordenes_Odoo'!B2529="","",'Ordenes_Odoo'!B2529)</f>
        <v/>
      </c>
      <c r="C2529" s="79">
        <f>IF('Ordenes_Odoo'!C2529="","",'Ordenes_Odoo'!C2529)</f>
        <v/>
      </c>
      <c r="D2529" s="79">
        <f>IF('Ordenes_Odoo'!D2529="","",'Ordenes_Odoo'!D2529)</f>
        <v/>
      </c>
      <c r="E2529" s="79">
        <f>IF('Ordenes_Odoo'!E2529="","",'Ordenes_Odoo'!E2529)</f>
        <v/>
      </c>
      <c r="F2529" s="79">
        <f>IF('Ordenes_Odoo'!F2529="","",'Ordenes_Odoo'!F2529)</f>
        <v/>
      </c>
      <c r="G2529" s="79">
        <f>IF('Ordenes_Odoo'!G2529="","",'Ordenes_Odoo'!G2529)</f>
        <v/>
      </c>
      <c r="H2529" s="79">
        <f>IF('Ordenes_Odoo'!H2529="","",'Ordenes_Odoo'!H2529)</f>
        <v/>
      </c>
      <c r="I2529" s="79">
        <f>IF('Ordenes_Odoo'!I2529="","",'Ordenes_Odoo'!I2529)</f>
        <v/>
      </c>
      <c r="J2529" s="79">
        <f>IF('Ordenes_Odoo'!J2529="","",'Ordenes_Odoo'!J2529)</f>
        <v/>
      </c>
      <c r="K2529" s="81">
        <f>IF('Ordenes_Odoo'!K2529="","",'Ordenes_Odoo'!K2529)</f>
        <v/>
      </c>
      <c r="L2529" s="81">
        <f>IF('Ordenes_Odoo'!L2529="","",'Ordenes_Odoo'!L2529)</f>
        <v/>
      </c>
      <c r="M2529" s="79">
        <f>IF('Ordenes_Odoo'!M2529="","",'Ordenes_Odoo'!M2529)</f>
        <v/>
      </c>
      <c r="N2529" s="79">
        <f>IF('Ordenes_Odoo'!N2529="","",'Ordenes_Odoo'!N2529)</f>
        <v/>
      </c>
      <c r="O2529" s="81">
        <f>IF('Ordenes_Odoo'!O2529="","",'Ordenes_Odoo'!O2529)</f>
        <v/>
      </c>
      <c r="P2529" s="81">
        <f>IF('Ordenes_Odoo'!P2529="","",'Ordenes_Odoo'!P2529)</f>
        <v/>
      </c>
      <c r="Q2529" s="79">
        <f>IF(A2529="","",IFERROR(INDEX(Facturas_Odoo!$B:$B, MATCH(A2529, Facturas_Odoo!$D:$D, 0)), "Sin Factura"))</f>
        <v/>
      </c>
      <c r="R2529" s="80">
        <f>IF(Q2529="Sin Factura","",IFERROR(INDEX(Facturas_Odoo!$A:$A, MATCH(Q2529, Facturas_Odoo!$B:$B, 0)), ""))</f>
        <v/>
      </c>
      <c r="S2529" s="79">
        <f>IF(Q2529="Sin Factura","",IFERROR(_xlfn.XLOOKUP(1, (Facturas_Odoo!$D:$D=A2529) * (Facturas_Odoo!$K:$K=I2529), Facturas_Odoo!$L:$L, ""), ""))</f>
        <v/>
      </c>
      <c r="T2529" s="81">
        <f>IF(Q2529="Sin Factura",0,IFERROR(_xlfn.XLOOKUP(1, (Facturas_Odoo!$D:$D=A2529) * (Facturas_Odoo!$K:$K=I2529), Facturas_Odoo!$M:$M, 0), 0))</f>
        <v/>
      </c>
      <c r="U2529" s="79">
        <f>IF(Q2529="Sin Factura",0,IFERROR(_xlfn.XLOOKUP(1, (Facturas_Odoo!$D:$D=A2529) * (Facturas_Odoo!$K:$K=I2529), Facturas_Odoo!$N:$N, 0), 0))</f>
        <v/>
      </c>
      <c r="V2529" s="79">
        <f>IF(Q2529="Sin Factura",0,IFERROR(_xlfn.XLOOKUP(1, (Facturas_Odoo!$D:$D=A2529) * (Facturas_Odoo!$K:$K=I2529), Facturas_Odoo!$O:$O, 0), 0))</f>
        <v/>
      </c>
      <c r="W2529" s="81">
        <f>IF(Q2529="Sin Factura",0,IFERROR(_xlfn.XLOOKUP(1, (Facturas_Odoo!$D:$D=A2529) * (Facturas_Odoo!$K:$K=I2529), Facturas_Odoo!$Q:$Q, 0), 0))</f>
        <v/>
      </c>
      <c r="X2529" s="79">
        <f>IF(OR(Q2529="Sin Factura",Q2529=""),"",IFERROR(INDEX(Pagos_Odoo!$B:$B, MATCH(Q2529, Pagos_Odoo!$I:$I, 0)), "Sin Pago"))</f>
        <v/>
      </c>
      <c r="Y2529" s="79">
        <f>IF(X2529="Sin Pago","",IFERROR(INDEX(Pagos_Odoo!$C:$C, MATCH(X2529, Pagos_Odoo!$B:$B, 0)), ""))</f>
        <v/>
      </c>
      <c r="Z2529" s="80">
        <f>IF(X2529="Sin Pago","",IFERROR(INDEX(Pagos_Odoo!$A:$A, MATCH(X2529, Pagos_Odoo!$B:$B, 0)), ""))</f>
        <v/>
      </c>
      <c r="AA2529" s="79">
        <f>IF(X2529="Sin Pago","",IFERROR(INDEX(Pagos_Odoo!$F:$F, MATCH(X2529, Pagos_Odoo!$B:$B, 0)), ""))</f>
        <v/>
      </c>
      <c r="AB2529" s="81">
        <f>IF(X2529="Sin Pago",0,IFERROR(INDEX(Pagos_Odoo!$E:$E, MATCH(X2529, Pagos_Odoo!$B:$B, 0)), 0))</f>
        <v/>
      </c>
      <c r="AC2529" s="79">
        <f>IF(X2529="Sin Pago","",IFERROR(INDEX(Pagos_Odoo!$G:$G, MATCH(X2529, Pagos_Odoo!$B:$B, 0)), ""))</f>
        <v/>
      </c>
      <c r="AD2529" s="82" t="n">
        <v>0</v>
      </c>
      <c r="AE2529" s="82" t="n"/>
      <c r="AF2529" s="82" t="n"/>
      <c r="AG2529" s="82">
        <f>IF(AN2529="","",AD2529+AE2529+AF2529)</f>
        <v/>
      </c>
      <c r="AH2529" s="81">
        <f>IF(AN2529="","",P2529*(1-AG2529))</f>
        <v/>
      </c>
      <c r="AI2529" s="81">
        <f>IF(AN2529="","",IF(Q2529="Sin Factura",0,IFERROR(INDEX(Facturas_Odoo!$H:$H, MATCH(Q2529, Facturas_Odoo!$B:$B, 0)), 0)*(1-AG2529)))</f>
        <v/>
      </c>
      <c r="AJ2529" s="81">
        <f>IF(AN2529="","",_xlfn.LET(idVenta, AN2529&amp;"",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29" s="81">
        <f>IF(AN2529="","",AH2529-AJ2529)</f>
        <v/>
      </c>
      <c r="AL2529" s="81">
        <f>IF(AN2529="","",IF(Q2529="Sin Factura","",AI2529-AJ2529))</f>
        <v/>
      </c>
      <c r="AM2529" s="81">
        <f>IF(AN2529="","",IF(Q2529="Sin Factura",0,P2529-IFERROR(INDEX(Facturas_Odoo!$H:$H, MATCH(Q2529, Facturas_Odoo!$B:$B, 0)), 0)))</f>
        <v/>
      </c>
      <c r="AN2529" s="79">
        <f>IF(AND(A2529="", J2529=""), "", IF(A2529&lt;&gt;"", VALUE(MID(A2529,2,LEN(A2529))), AN2528))</f>
        <v/>
      </c>
      <c r="AO2529" s="79">
        <f>IF(AN2529="","",IF(AD2529=0,"OK",_xlfn.LET(monedaPago, IF(AA2529="","USD",AA2529), limitePermitido, IFERROR(VLOOKUP(monedaPago, Configuración!$A$2:$B$3, 2, FALSE), 0.15), IF(AD2529&gt;limitePermitido, "ALERTA: EXCESO (" &amp; TEXT(limitePermitido, "0%") &amp; " máx)", "OK"))))</f>
        <v/>
      </c>
      <c r="AP2529" s="79">
        <f>IF(AN2529="","",IF(AE2529=0,"OK",_xlfn.LET(fechaPago, Z2529, fechaFactura, R2529, diasCredito, IF(E2529="Pago inmediato", 0, IFERROR(VALUE(MID(E2529, 1, SEARCH(" ", E2529)-1)),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29" s="79">
        <f>IF(AN2529="","",IF(AND(N2529&gt;0, AG2529&gt;0), IF(Configuración!$K$2="NO", "ALERTA: DESCUENTO DOBLE NO PERMITIDO", "OK"), "OK"))</f>
        <v/>
      </c>
      <c r="AR2529" s="79">
        <f>IF(AN2529="","",IF(OR(AO2529&lt;&gt;"OK", AP2529&lt;&gt;"OK", AQ2529&lt;&gt;"OK"), "⚠️ REVISAR", "OK"))</f>
        <v/>
      </c>
    </row>
    <row r="2530">
      <c r="A2530" s="79">
        <f>IF('Ordenes_Odoo'!A2530="","",'Ordenes_Odoo'!A2530)</f>
        <v/>
      </c>
      <c r="B2530" s="80">
        <f>IF('Ordenes_Odoo'!B2530="","",'Ordenes_Odoo'!B2530)</f>
        <v/>
      </c>
      <c r="C2530" s="79">
        <f>IF('Ordenes_Odoo'!C2530="","",'Ordenes_Odoo'!C2530)</f>
        <v/>
      </c>
      <c r="D2530" s="79">
        <f>IF('Ordenes_Odoo'!D2530="","",'Ordenes_Odoo'!D2530)</f>
        <v/>
      </c>
      <c r="E2530" s="79">
        <f>IF('Ordenes_Odoo'!E2530="","",'Ordenes_Odoo'!E2530)</f>
        <v/>
      </c>
      <c r="F2530" s="79">
        <f>IF('Ordenes_Odoo'!F2530="","",'Ordenes_Odoo'!F2530)</f>
        <v/>
      </c>
      <c r="G2530" s="79">
        <f>IF('Ordenes_Odoo'!G2530="","",'Ordenes_Odoo'!G2530)</f>
        <v/>
      </c>
      <c r="H2530" s="79">
        <f>IF('Ordenes_Odoo'!H2530="","",'Ordenes_Odoo'!H2530)</f>
        <v/>
      </c>
      <c r="I2530" s="79">
        <f>IF('Ordenes_Odoo'!I2530="","",'Ordenes_Odoo'!I2530)</f>
        <v/>
      </c>
      <c r="J2530" s="79">
        <f>IF('Ordenes_Odoo'!J2530="","",'Ordenes_Odoo'!J2530)</f>
        <v/>
      </c>
      <c r="K2530" s="81">
        <f>IF('Ordenes_Odoo'!K2530="","",'Ordenes_Odoo'!K2530)</f>
        <v/>
      </c>
      <c r="L2530" s="81">
        <f>IF('Ordenes_Odoo'!L2530="","",'Ordenes_Odoo'!L2530)</f>
        <v/>
      </c>
      <c r="M2530" s="79">
        <f>IF('Ordenes_Odoo'!M2530="","",'Ordenes_Odoo'!M2530)</f>
        <v/>
      </c>
      <c r="N2530" s="79">
        <f>IF('Ordenes_Odoo'!N2530="","",'Ordenes_Odoo'!N2530)</f>
        <v/>
      </c>
      <c r="O2530" s="81">
        <f>IF('Ordenes_Odoo'!O2530="","",'Ordenes_Odoo'!O2530)</f>
        <v/>
      </c>
      <c r="P2530" s="81">
        <f>IF('Ordenes_Odoo'!P2530="","",'Ordenes_Odoo'!P2530)</f>
        <v/>
      </c>
      <c r="Q2530" s="79">
        <f>IF(A2530="","",IFERROR(INDEX(Facturas_Odoo!$B:$B, MATCH(A2530, Facturas_Odoo!$D:$D, 0)), "Sin Factura"))</f>
        <v/>
      </c>
      <c r="R2530" s="80">
        <f>IF(Q2530="Sin Factura","",IFERROR(INDEX(Facturas_Odoo!$A:$A, MATCH(Q2530, Facturas_Odoo!$B:$B, 0)), ""))</f>
        <v/>
      </c>
      <c r="S2530" s="79">
        <f>IF(Q2530="Sin Factura","",IFERROR(_xlfn.XLOOKUP(1, (Facturas_Odoo!$D:$D=A2530) * (Facturas_Odoo!$K:$K=I2530), Facturas_Odoo!$L:$L, ""), ""))</f>
        <v/>
      </c>
      <c r="T2530" s="81">
        <f>IF(Q2530="Sin Factura",0,IFERROR(_xlfn.XLOOKUP(1, (Facturas_Odoo!$D:$D=A2530) * (Facturas_Odoo!$K:$K=I2530), Facturas_Odoo!$M:$M, 0), 0))</f>
        <v/>
      </c>
      <c r="U2530" s="79">
        <f>IF(Q2530="Sin Factura",0,IFERROR(_xlfn.XLOOKUP(1, (Facturas_Odoo!$D:$D=A2530) * (Facturas_Odoo!$K:$K=I2530), Facturas_Odoo!$N:$N, 0), 0))</f>
        <v/>
      </c>
      <c r="V2530" s="79">
        <f>IF(Q2530="Sin Factura",0,IFERROR(_xlfn.XLOOKUP(1, (Facturas_Odoo!$D:$D=A2530) * (Facturas_Odoo!$K:$K=I2530), Facturas_Odoo!$O:$O, 0), 0))</f>
        <v/>
      </c>
      <c r="W2530" s="81">
        <f>IF(Q2530="Sin Factura",0,IFERROR(_xlfn.XLOOKUP(1, (Facturas_Odoo!$D:$D=A2530) * (Facturas_Odoo!$K:$K=I2530), Facturas_Odoo!$Q:$Q, 0), 0))</f>
        <v/>
      </c>
      <c r="X2530" s="79">
        <f>IF(OR(Q2530="Sin Factura",Q2530=""),"",IFERROR(INDEX(Pagos_Odoo!$B:$B, MATCH(Q2530, Pagos_Odoo!$I:$I, 0)), "Sin Pago"))</f>
        <v/>
      </c>
      <c r="Y2530" s="79">
        <f>IF(X2530="Sin Pago","",IFERROR(INDEX(Pagos_Odoo!$C:$C, MATCH(X2530, Pagos_Odoo!$B:$B, 0)), ""))</f>
        <v/>
      </c>
      <c r="Z2530" s="80">
        <f>IF(X2530="Sin Pago","",IFERROR(INDEX(Pagos_Odoo!$A:$A, MATCH(X2530, Pagos_Odoo!$B:$B, 0)), ""))</f>
        <v/>
      </c>
      <c r="AA2530" s="79">
        <f>IF(X2530="Sin Pago","",IFERROR(INDEX(Pagos_Odoo!$F:$F, MATCH(X2530, Pagos_Odoo!$B:$B, 0)), ""))</f>
        <v/>
      </c>
      <c r="AB2530" s="81">
        <f>IF(X2530="Sin Pago",0,IFERROR(INDEX(Pagos_Odoo!$E:$E, MATCH(X2530, Pagos_Odoo!$B:$B, 0)), 0))</f>
        <v/>
      </c>
      <c r="AC2530" s="79">
        <f>IF(X2530="Sin Pago","",IFERROR(INDEX(Pagos_Odoo!$G:$G, MATCH(X2530, Pagos_Odoo!$B:$B, 0)), ""))</f>
        <v/>
      </c>
      <c r="AD2530" s="82" t="n">
        <v>0</v>
      </c>
      <c r="AE2530" s="82" t="n"/>
      <c r="AF2530" s="82" t="n"/>
      <c r="AG2530" s="82">
        <f>IF(AN2530="","",AD2530+AE2530+AF2530)</f>
        <v/>
      </c>
      <c r="AH2530" s="81">
        <f>IF(AN2530="","",P2530*(1-AG2530))</f>
        <v/>
      </c>
      <c r="AI2530" s="81">
        <f>IF(AN2530="","",IF(Q2530="Sin Factura",0,IFERROR(INDEX(Facturas_Odoo!$H:$H, MATCH(Q2530, Facturas_Odoo!$B:$B, 0)), 0)*(1-AG2530)))</f>
        <v/>
      </c>
      <c r="AJ2530" s="81">
        <f>IF(AN2530="","",_xlfn.LET(idVenta, AN2530&amp;"",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30" s="81">
        <f>IF(AN2530="","",AH2530-AJ2530)</f>
        <v/>
      </c>
      <c r="AL2530" s="81">
        <f>IF(AN2530="","",IF(Q2530="Sin Factura","",AI2530-AJ2530))</f>
        <v/>
      </c>
      <c r="AM2530" s="81">
        <f>IF(AN2530="","",IF(Q2530="Sin Factura",0,P2530-IFERROR(INDEX(Facturas_Odoo!$H:$H, MATCH(Q2530, Facturas_Odoo!$B:$B, 0)), 0)))</f>
        <v/>
      </c>
      <c r="AN2530" s="79">
        <f>IF(AND(A2530="", J2530=""), "", IF(A2530&lt;&gt;"", VALUE(MID(A2530,2,LEN(A2530))), AN2529))</f>
        <v/>
      </c>
      <c r="AO2530" s="79">
        <f>IF(AN2530="","",IF(AD2530=0,"OK",_xlfn.LET(monedaPago, IF(AA2530="","USD",AA2530), limitePermitido, IFERROR(VLOOKUP(monedaPago, Configuración!$A$2:$B$3, 2, FALSE), 0.15), IF(AD2530&gt;limitePermitido, "ALERTA: EXCESO (" &amp; TEXT(limitePermitido, "0%") &amp; " máx)", "OK"))))</f>
        <v/>
      </c>
      <c r="AP2530" s="79">
        <f>IF(AN2530="","",IF(AE2530=0,"OK",_xlfn.LET(fechaPago, Z2530, fechaFactura, R2530, diasCredito, IF(E2530="Pago inmediato", 0, IFERROR(VALUE(MID(E2530, 1, SEARCH(" ", E2530)-1)),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30" s="79">
        <f>IF(AN2530="","",IF(AND(N2530&gt;0, AG2530&gt;0), IF(Configuración!$K$2="NO", "ALERTA: DESCUENTO DOBLE NO PERMITIDO", "OK"), "OK"))</f>
        <v/>
      </c>
      <c r="AR2530" s="79">
        <f>IF(AN2530="","",IF(OR(AO2530&lt;&gt;"OK", AP2530&lt;&gt;"OK", AQ2530&lt;&gt;"OK"), "⚠️ REVISAR", "OK"))</f>
        <v/>
      </c>
    </row>
    <row r="2531">
      <c r="A2531" s="79">
        <f>IF('Ordenes_Odoo'!A2531="","",'Ordenes_Odoo'!A2531)</f>
        <v/>
      </c>
      <c r="B2531" s="80">
        <f>IF('Ordenes_Odoo'!B2531="","",'Ordenes_Odoo'!B2531)</f>
        <v/>
      </c>
      <c r="C2531" s="79">
        <f>IF('Ordenes_Odoo'!C2531="","",'Ordenes_Odoo'!C2531)</f>
        <v/>
      </c>
      <c r="D2531" s="79">
        <f>IF('Ordenes_Odoo'!D2531="","",'Ordenes_Odoo'!D2531)</f>
        <v/>
      </c>
      <c r="E2531" s="79">
        <f>IF('Ordenes_Odoo'!E2531="","",'Ordenes_Odoo'!E2531)</f>
        <v/>
      </c>
      <c r="F2531" s="79">
        <f>IF('Ordenes_Odoo'!F2531="","",'Ordenes_Odoo'!F2531)</f>
        <v/>
      </c>
      <c r="G2531" s="79">
        <f>IF('Ordenes_Odoo'!G2531="","",'Ordenes_Odoo'!G2531)</f>
        <v/>
      </c>
      <c r="H2531" s="79">
        <f>IF('Ordenes_Odoo'!H2531="","",'Ordenes_Odoo'!H2531)</f>
        <v/>
      </c>
      <c r="I2531" s="79">
        <f>IF('Ordenes_Odoo'!I2531="","",'Ordenes_Odoo'!I2531)</f>
        <v/>
      </c>
      <c r="J2531" s="79">
        <f>IF('Ordenes_Odoo'!J2531="","",'Ordenes_Odoo'!J2531)</f>
        <v/>
      </c>
      <c r="K2531" s="81">
        <f>IF('Ordenes_Odoo'!K2531="","",'Ordenes_Odoo'!K2531)</f>
        <v/>
      </c>
      <c r="L2531" s="81">
        <f>IF('Ordenes_Odoo'!L2531="","",'Ordenes_Odoo'!L2531)</f>
        <v/>
      </c>
      <c r="M2531" s="79">
        <f>IF('Ordenes_Odoo'!M2531="","",'Ordenes_Odoo'!M2531)</f>
        <v/>
      </c>
      <c r="N2531" s="79">
        <f>IF('Ordenes_Odoo'!N2531="","",'Ordenes_Odoo'!N2531)</f>
        <v/>
      </c>
      <c r="O2531" s="81">
        <f>IF('Ordenes_Odoo'!O2531="","",'Ordenes_Odoo'!O2531)</f>
        <v/>
      </c>
      <c r="P2531" s="81">
        <f>IF('Ordenes_Odoo'!P2531="","",'Ordenes_Odoo'!P2531)</f>
        <v/>
      </c>
      <c r="Q2531" s="79">
        <f>IF(A2531="","",IFERROR(INDEX(Facturas_Odoo!$B:$B, MATCH(A2531, Facturas_Odoo!$D:$D, 0)), "Sin Factura"))</f>
        <v/>
      </c>
      <c r="R2531" s="80">
        <f>IF(Q2531="Sin Factura","",IFERROR(INDEX(Facturas_Odoo!$A:$A, MATCH(Q2531, Facturas_Odoo!$B:$B, 0)), ""))</f>
        <v/>
      </c>
      <c r="S2531" s="79">
        <f>IF(Q2531="Sin Factura","",IFERROR(_xlfn.XLOOKUP(1, (Facturas_Odoo!$D:$D=A2531) * (Facturas_Odoo!$K:$K=I2531), Facturas_Odoo!$L:$L, ""), ""))</f>
        <v/>
      </c>
      <c r="T2531" s="81">
        <f>IF(Q2531="Sin Factura",0,IFERROR(_xlfn.XLOOKUP(1, (Facturas_Odoo!$D:$D=A2531) * (Facturas_Odoo!$K:$K=I2531), Facturas_Odoo!$M:$M, 0), 0))</f>
        <v/>
      </c>
      <c r="U2531" s="79">
        <f>IF(Q2531="Sin Factura",0,IFERROR(_xlfn.XLOOKUP(1, (Facturas_Odoo!$D:$D=A2531) * (Facturas_Odoo!$K:$K=I2531), Facturas_Odoo!$N:$N, 0), 0))</f>
        <v/>
      </c>
      <c r="V2531" s="79">
        <f>IF(Q2531="Sin Factura",0,IFERROR(_xlfn.XLOOKUP(1, (Facturas_Odoo!$D:$D=A2531) * (Facturas_Odoo!$K:$K=I2531), Facturas_Odoo!$O:$O, 0), 0))</f>
        <v/>
      </c>
      <c r="W2531" s="81">
        <f>IF(Q2531="Sin Factura",0,IFERROR(_xlfn.XLOOKUP(1, (Facturas_Odoo!$D:$D=A2531) * (Facturas_Odoo!$K:$K=I2531), Facturas_Odoo!$Q:$Q, 0), 0))</f>
        <v/>
      </c>
      <c r="X2531" s="79">
        <f>IF(OR(Q2531="Sin Factura",Q2531=""),"",IFERROR(INDEX(Pagos_Odoo!$B:$B, MATCH(Q2531, Pagos_Odoo!$I:$I, 0)), "Sin Pago"))</f>
        <v/>
      </c>
      <c r="Y2531" s="79">
        <f>IF(X2531="Sin Pago","",IFERROR(INDEX(Pagos_Odoo!$C:$C, MATCH(X2531, Pagos_Odoo!$B:$B, 0)), ""))</f>
        <v/>
      </c>
      <c r="Z2531" s="80">
        <f>IF(X2531="Sin Pago","",IFERROR(INDEX(Pagos_Odoo!$A:$A, MATCH(X2531, Pagos_Odoo!$B:$B, 0)), ""))</f>
        <v/>
      </c>
      <c r="AA2531" s="79">
        <f>IF(X2531="Sin Pago","",IFERROR(INDEX(Pagos_Odoo!$F:$F, MATCH(X2531, Pagos_Odoo!$B:$B, 0)), ""))</f>
        <v/>
      </c>
      <c r="AB2531" s="81">
        <f>IF(X2531="Sin Pago",0,IFERROR(INDEX(Pagos_Odoo!$E:$E, MATCH(X2531, Pagos_Odoo!$B:$B, 0)), 0))</f>
        <v/>
      </c>
      <c r="AC2531" s="79">
        <f>IF(X2531="Sin Pago","",IFERROR(INDEX(Pagos_Odoo!$G:$G, MATCH(X2531, Pagos_Odoo!$B:$B, 0)), ""))</f>
        <v/>
      </c>
      <c r="AD2531" s="82" t="n">
        <v>0</v>
      </c>
      <c r="AE2531" s="82" t="n"/>
      <c r="AF2531" s="82" t="n"/>
      <c r="AG2531" s="82">
        <f>IF(AN2531="","",AD2531+AE2531+AF2531)</f>
        <v/>
      </c>
      <c r="AH2531" s="81">
        <f>IF(AN2531="","",P2531*(1-AG2531))</f>
        <v/>
      </c>
      <c r="AI2531" s="81">
        <f>IF(AN2531="","",IF(Q2531="Sin Factura",0,IFERROR(INDEX(Facturas_Odoo!$H:$H, MATCH(Q2531, Facturas_Odoo!$B:$B, 0)), 0)*(1-AG2531)))</f>
        <v/>
      </c>
      <c r="AJ2531" s="81">
        <f>IF(AN2531="","",_xlfn.LET(idVenta, AN2531&amp;"",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31" s="81">
        <f>IF(AN2531="","",AH2531-AJ2531)</f>
        <v/>
      </c>
      <c r="AL2531" s="81">
        <f>IF(AN2531="","",IF(Q2531="Sin Factura","",AI2531-AJ2531))</f>
        <v/>
      </c>
      <c r="AM2531" s="81">
        <f>IF(AN2531="","",IF(Q2531="Sin Factura",0,P2531-IFERROR(INDEX(Facturas_Odoo!$H:$H, MATCH(Q2531, Facturas_Odoo!$B:$B, 0)), 0)))</f>
        <v/>
      </c>
      <c r="AN2531" s="79">
        <f>IF(AND(A2531="", J2531=""), "", IF(A2531&lt;&gt;"", VALUE(MID(A2531,2,LEN(A2531))), AN2530))</f>
        <v/>
      </c>
      <c r="AO2531" s="79">
        <f>IF(AN2531="","",IF(AD2531=0,"OK",_xlfn.LET(monedaPago, IF(AA2531="","USD",AA2531), limitePermitido, IFERROR(VLOOKUP(monedaPago, Configuración!$A$2:$B$3, 2, FALSE), 0.15), IF(AD2531&gt;limitePermitido, "ALERTA: EXCESO (" &amp; TEXT(limitePermitido, "0%") &amp; " máx)", "OK"))))</f>
        <v/>
      </c>
      <c r="AP2531" s="79">
        <f>IF(AN2531="","",IF(AE2531=0,"OK",_xlfn.LET(fechaPago, Z2531, fechaFactura, R2531, diasCredito, IF(E2531="Pago inmediato", 0, IFERROR(VALUE(MID(E2531, 1, SEARCH(" ", E2531)-1)),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31" s="79">
        <f>IF(AN2531="","",IF(AND(N2531&gt;0, AG2531&gt;0), IF(Configuración!$K$2="NO", "ALERTA: DESCUENTO DOBLE NO PERMITIDO", "OK"), "OK"))</f>
        <v/>
      </c>
      <c r="AR2531" s="79">
        <f>IF(AN2531="","",IF(OR(AO2531&lt;&gt;"OK", AP2531&lt;&gt;"OK", AQ2531&lt;&gt;"OK"), "⚠️ REVISAR", "OK"))</f>
        <v/>
      </c>
    </row>
    <row r="2532">
      <c r="A2532" s="79">
        <f>IF('Ordenes_Odoo'!A2532="","",'Ordenes_Odoo'!A2532)</f>
        <v/>
      </c>
      <c r="B2532" s="80">
        <f>IF('Ordenes_Odoo'!B2532="","",'Ordenes_Odoo'!B2532)</f>
        <v/>
      </c>
      <c r="C2532" s="79">
        <f>IF('Ordenes_Odoo'!C2532="","",'Ordenes_Odoo'!C2532)</f>
        <v/>
      </c>
      <c r="D2532" s="79">
        <f>IF('Ordenes_Odoo'!D2532="","",'Ordenes_Odoo'!D2532)</f>
        <v/>
      </c>
      <c r="E2532" s="79">
        <f>IF('Ordenes_Odoo'!E2532="","",'Ordenes_Odoo'!E2532)</f>
        <v/>
      </c>
      <c r="F2532" s="79">
        <f>IF('Ordenes_Odoo'!F2532="","",'Ordenes_Odoo'!F2532)</f>
        <v/>
      </c>
      <c r="G2532" s="79">
        <f>IF('Ordenes_Odoo'!G2532="","",'Ordenes_Odoo'!G2532)</f>
        <v/>
      </c>
      <c r="H2532" s="79">
        <f>IF('Ordenes_Odoo'!H2532="","",'Ordenes_Odoo'!H2532)</f>
        <v/>
      </c>
      <c r="I2532" s="79">
        <f>IF('Ordenes_Odoo'!I2532="","",'Ordenes_Odoo'!I2532)</f>
        <v/>
      </c>
      <c r="J2532" s="79">
        <f>IF('Ordenes_Odoo'!J2532="","",'Ordenes_Odoo'!J2532)</f>
        <v/>
      </c>
      <c r="K2532" s="81">
        <f>IF('Ordenes_Odoo'!K2532="","",'Ordenes_Odoo'!K2532)</f>
        <v/>
      </c>
      <c r="L2532" s="81">
        <f>IF('Ordenes_Odoo'!L2532="","",'Ordenes_Odoo'!L2532)</f>
        <v/>
      </c>
      <c r="M2532" s="79">
        <f>IF('Ordenes_Odoo'!M2532="","",'Ordenes_Odoo'!M2532)</f>
        <v/>
      </c>
      <c r="N2532" s="79">
        <f>IF('Ordenes_Odoo'!N2532="","",'Ordenes_Odoo'!N2532)</f>
        <v/>
      </c>
      <c r="O2532" s="81">
        <f>IF('Ordenes_Odoo'!O2532="","",'Ordenes_Odoo'!O2532)</f>
        <v/>
      </c>
      <c r="P2532" s="81">
        <f>IF('Ordenes_Odoo'!P2532="","",'Ordenes_Odoo'!P2532)</f>
        <v/>
      </c>
      <c r="Q2532" s="79">
        <f>IF(A2532="","",IFERROR(INDEX(Facturas_Odoo!$B:$B, MATCH(A2532, Facturas_Odoo!$D:$D, 0)), "Sin Factura"))</f>
        <v/>
      </c>
      <c r="R2532" s="80">
        <f>IF(Q2532="Sin Factura","",IFERROR(INDEX(Facturas_Odoo!$A:$A, MATCH(Q2532, Facturas_Odoo!$B:$B, 0)), ""))</f>
        <v/>
      </c>
      <c r="S2532" s="79">
        <f>IF(Q2532="Sin Factura","",IFERROR(_xlfn.XLOOKUP(1, (Facturas_Odoo!$D:$D=A2532) * (Facturas_Odoo!$K:$K=I2532), Facturas_Odoo!$L:$L, ""), ""))</f>
        <v/>
      </c>
      <c r="T2532" s="81">
        <f>IF(Q2532="Sin Factura",0,IFERROR(_xlfn.XLOOKUP(1, (Facturas_Odoo!$D:$D=A2532) * (Facturas_Odoo!$K:$K=I2532), Facturas_Odoo!$M:$M, 0), 0))</f>
        <v/>
      </c>
      <c r="U2532" s="79">
        <f>IF(Q2532="Sin Factura",0,IFERROR(_xlfn.XLOOKUP(1, (Facturas_Odoo!$D:$D=A2532) * (Facturas_Odoo!$K:$K=I2532), Facturas_Odoo!$N:$N, 0), 0))</f>
        <v/>
      </c>
      <c r="V2532" s="79">
        <f>IF(Q2532="Sin Factura",0,IFERROR(_xlfn.XLOOKUP(1, (Facturas_Odoo!$D:$D=A2532) * (Facturas_Odoo!$K:$K=I2532), Facturas_Odoo!$O:$O, 0), 0))</f>
        <v/>
      </c>
      <c r="W2532" s="81">
        <f>IF(Q2532="Sin Factura",0,IFERROR(_xlfn.XLOOKUP(1, (Facturas_Odoo!$D:$D=A2532) * (Facturas_Odoo!$K:$K=I2532), Facturas_Odoo!$Q:$Q, 0), 0))</f>
        <v/>
      </c>
      <c r="X2532" s="79">
        <f>IF(OR(Q2532="Sin Factura",Q2532=""),"",IFERROR(INDEX(Pagos_Odoo!$B:$B, MATCH(Q2532, Pagos_Odoo!$I:$I, 0)), "Sin Pago"))</f>
        <v/>
      </c>
      <c r="Y2532" s="79">
        <f>IF(X2532="Sin Pago","",IFERROR(INDEX(Pagos_Odoo!$C:$C, MATCH(X2532, Pagos_Odoo!$B:$B, 0)), ""))</f>
        <v/>
      </c>
      <c r="Z2532" s="80">
        <f>IF(X2532="Sin Pago","",IFERROR(INDEX(Pagos_Odoo!$A:$A, MATCH(X2532, Pagos_Odoo!$B:$B, 0)), ""))</f>
        <v/>
      </c>
      <c r="AA2532" s="79">
        <f>IF(X2532="Sin Pago","",IFERROR(INDEX(Pagos_Odoo!$F:$F, MATCH(X2532, Pagos_Odoo!$B:$B, 0)), ""))</f>
        <v/>
      </c>
      <c r="AB2532" s="81">
        <f>IF(X2532="Sin Pago",0,IFERROR(INDEX(Pagos_Odoo!$E:$E, MATCH(X2532, Pagos_Odoo!$B:$B, 0)), 0))</f>
        <v/>
      </c>
      <c r="AC2532" s="79">
        <f>IF(X2532="Sin Pago","",IFERROR(INDEX(Pagos_Odoo!$G:$G, MATCH(X2532, Pagos_Odoo!$B:$B, 0)), ""))</f>
        <v/>
      </c>
      <c r="AD2532" s="82" t="n">
        <v>0</v>
      </c>
      <c r="AE2532" s="82" t="n"/>
      <c r="AF2532" s="82" t="n"/>
      <c r="AG2532" s="82">
        <f>IF(AN2532="","",AD2532+AE2532+AF2532)</f>
        <v/>
      </c>
      <c r="AH2532" s="81">
        <f>IF(AN2532="","",P2532*(1-AG2532))</f>
        <v/>
      </c>
      <c r="AI2532" s="81">
        <f>IF(AN2532="","",IF(Q2532="Sin Factura",0,IFERROR(INDEX(Facturas_Odoo!$H:$H, MATCH(Q2532, Facturas_Odoo!$B:$B, 0)), 0)*(1-AG2532)))</f>
        <v/>
      </c>
      <c r="AJ2532" s="81">
        <f>IF(AN2532="","",_xlfn.LET(idVenta, AN2532&amp;"",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32" s="81">
        <f>IF(AN2532="","",AH2532-AJ2532)</f>
        <v/>
      </c>
      <c r="AL2532" s="81">
        <f>IF(AN2532="","",IF(Q2532="Sin Factura","",AI2532-AJ2532))</f>
        <v/>
      </c>
      <c r="AM2532" s="81">
        <f>IF(AN2532="","",IF(Q2532="Sin Factura",0,P2532-IFERROR(INDEX(Facturas_Odoo!$H:$H, MATCH(Q2532, Facturas_Odoo!$B:$B, 0)), 0)))</f>
        <v/>
      </c>
      <c r="AN2532" s="79">
        <f>IF(AND(A2532="", J2532=""), "", IF(A2532&lt;&gt;"", VALUE(MID(A2532,2,LEN(A2532))), AN2531))</f>
        <v/>
      </c>
      <c r="AO2532" s="79">
        <f>IF(AN2532="","",IF(AD2532=0,"OK",_xlfn.LET(monedaPago, IF(AA2532="","USD",AA2532), limitePermitido, IFERROR(VLOOKUP(monedaPago, Configuración!$A$2:$B$3, 2, FALSE), 0.15), IF(AD2532&gt;limitePermitido, "ALERTA: EXCESO (" &amp; TEXT(limitePermitido, "0%") &amp; " máx)", "OK"))))</f>
        <v/>
      </c>
      <c r="AP2532" s="79">
        <f>IF(AN2532="","",IF(AE2532=0,"OK",_xlfn.LET(fechaPago, Z2532, fechaFactura, R2532, diasCredito, IF(E2532="Pago inmediato", 0, IFERROR(VALUE(MID(E2532, 1, SEARCH(" ", E2532)-1)),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32" s="79">
        <f>IF(AN2532="","",IF(AND(N2532&gt;0, AG2532&gt;0), IF(Configuración!$K$2="NO", "ALERTA: DESCUENTO DOBLE NO PERMITIDO", "OK"), "OK"))</f>
        <v/>
      </c>
      <c r="AR2532" s="79">
        <f>IF(AN2532="","",IF(OR(AO2532&lt;&gt;"OK", AP2532&lt;&gt;"OK", AQ2532&lt;&gt;"OK"), "⚠️ REVISAR", "OK"))</f>
        <v/>
      </c>
    </row>
    <row r="2533">
      <c r="A2533" s="79">
        <f>IF('Ordenes_Odoo'!A2533="","",'Ordenes_Odoo'!A2533)</f>
        <v/>
      </c>
      <c r="B2533" s="80">
        <f>IF('Ordenes_Odoo'!B2533="","",'Ordenes_Odoo'!B2533)</f>
        <v/>
      </c>
      <c r="C2533" s="79">
        <f>IF('Ordenes_Odoo'!C2533="","",'Ordenes_Odoo'!C2533)</f>
        <v/>
      </c>
      <c r="D2533" s="79">
        <f>IF('Ordenes_Odoo'!D2533="","",'Ordenes_Odoo'!D2533)</f>
        <v/>
      </c>
      <c r="E2533" s="79">
        <f>IF('Ordenes_Odoo'!E2533="","",'Ordenes_Odoo'!E2533)</f>
        <v/>
      </c>
      <c r="F2533" s="79">
        <f>IF('Ordenes_Odoo'!F2533="","",'Ordenes_Odoo'!F2533)</f>
        <v/>
      </c>
      <c r="G2533" s="79">
        <f>IF('Ordenes_Odoo'!G2533="","",'Ordenes_Odoo'!G2533)</f>
        <v/>
      </c>
      <c r="H2533" s="79">
        <f>IF('Ordenes_Odoo'!H2533="","",'Ordenes_Odoo'!H2533)</f>
        <v/>
      </c>
      <c r="I2533" s="79">
        <f>IF('Ordenes_Odoo'!I2533="","",'Ordenes_Odoo'!I2533)</f>
        <v/>
      </c>
      <c r="J2533" s="79">
        <f>IF('Ordenes_Odoo'!J2533="","",'Ordenes_Odoo'!J2533)</f>
        <v/>
      </c>
      <c r="K2533" s="81">
        <f>IF('Ordenes_Odoo'!K2533="","",'Ordenes_Odoo'!K2533)</f>
        <v/>
      </c>
      <c r="L2533" s="81">
        <f>IF('Ordenes_Odoo'!L2533="","",'Ordenes_Odoo'!L2533)</f>
        <v/>
      </c>
      <c r="M2533" s="79">
        <f>IF('Ordenes_Odoo'!M2533="","",'Ordenes_Odoo'!M2533)</f>
        <v/>
      </c>
      <c r="N2533" s="79">
        <f>IF('Ordenes_Odoo'!N2533="","",'Ordenes_Odoo'!N2533)</f>
        <v/>
      </c>
      <c r="O2533" s="81">
        <f>IF('Ordenes_Odoo'!O2533="","",'Ordenes_Odoo'!O2533)</f>
        <v/>
      </c>
      <c r="P2533" s="81">
        <f>IF('Ordenes_Odoo'!P2533="","",'Ordenes_Odoo'!P2533)</f>
        <v/>
      </c>
      <c r="Q2533" s="79">
        <f>IF(A2533="","",IFERROR(INDEX(Facturas_Odoo!$B:$B, MATCH(A2533, Facturas_Odoo!$D:$D, 0)), "Sin Factura"))</f>
        <v/>
      </c>
      <c r="R2533" s="80">
        <f>IF(Q2533="Sin Factura","",IFERROR(INDEX(Facturas_Odoo!$A:$A, MATCH(Q2533, Facturas_Odoo!$B:$B, 0)), ""))</f>
        <v/>
      </c>
      <c r="S2533" s="79">
        <f>IF(Q2533="Sin Factura","",IFERROR(_xlfn.XLOOKUP(1, (Facturas_Odoo!$D:$D=A2533) * (Facturas_Odoo!$K:$K=I2533), Facturas_Odoo!$L:$L, ""), ""))</f>
        <v/>
      </c>
      <c r="T2533" s="81">
        <f>IF(Q2533="Sin Factura",0,IFERROR(_xlfn.XLOOKUP(1, (Facturas_Odoo!$D:$D=A2533) * (Facturas_Odoo!$K:$K=I2533), Facturas_Odoo!$M:$M, 0), 0))</f>
        <v/>
      </c>
      <c r="U2533" s="79">
        <f>IF(Q2533="Sin Factura",0,IFERROR(_xlfn.XLOOKUP(1, (Facturas_Odoo!$D:$D=A2533) * (Facturas_Odoo!$K:$K=I2533), Facturas_Odoo!$N:$N, 0), 0))</f>
        <v/>
      </c>
      <c r="V2533" s="79">
        <f>IF(Q2533="Sin Factura",0,IFERROR(_xlfn.XLOOKUP(1, (Facturas_Odoo!$D:$D=A2533) * (Facturas_Odoo!$K:$K=I2533), Facturas_Odoo!$O:$O, 0), 0))</f>
        <v/>
      </c>
      <c r="W2533" s="81">
        <f>IF(Q2533="Sin Factura",0,IFERROR(_xlfn.XLOOKUP(1, (Facturas_Odoo!$D:$D=A2533) * (Facturas_Odoo!$K:$K=I2533), Facturas_Odoo!$Q:$Q, 0), 0))</f>
        <v/>
      </c>
      <c r="X2533" s="79">
        <f>IF(OR(Q2533="Sin Factura",Q2533=""),"",IFERROR(INDEX(Pagos_Odoo!$B:$B, MATCH(Q2533, Pagos_Odoo!$I:$I, 0)), "Sin Pago"))</f>
        <v/>
      </c>
      <c r="Y2533" s="79">
        <f>IF(X2533="Sin Pago","",IFERROR(INDEX(Pagos_Odoo!$C:$C, MATCH(X2533, Pagos_Odoo!$B:$B, 0)), ""))</f>
        <v/>
      </c>
      <c r="Z2533" s="80">
        <f>IF(X2533="Sin Pago","",IFERROR(INDEX(Pagos_Odoo!$A:$A, MATCH(X2533, Pagos_Odoo!$B:$B, 0)), ""))</f>
        <v/>
      </c>
      <c r="AA2533" s="79">
        <f>IF(X2533="Sin Pago","",IFERROR(INDEX(Pagos_Odoo!$F:$F, MATCH(X2533, Pagos_Odoo!$B:$B, 0)), ""))</f>
        <v/>
      </c>
      <c r="AB2533" s="81">
        <f>IF(X2533="Sin Pago",0,IFERROR(INDEX(Pagos_Odoo!$E:$E, MATCH(X2533, Pagos_Odoo!$B:$B, 0)), 0))</f>
        <v/>
      </c>
      <c r="AC2533" s="79">
        <f>IF(X2533="Sin Pago","",IFERROR(INDEX(Pagos_Odoo!$G:$G, MATCH(X2533, Pagos_Odoo!$B:$B, 0)), ""))</f>
        <v/>
      </c>
      <c r="AD2533" s="82" t="n">
        <v>0</v>
      </c>
      <c r="AE2533" s="82" t="n"/>
      <c r="AF2533" s="82" t="n"/>
      <c r="AG2533" s="82">
        <f>IF(AN2533="","",AD2533+AE2533+AF2533)</f>
        <v/>
      </c>
      <c r="AH2533" s="81">
        <f>IF(AN2533="","",P2533*(1-AG2533))</f>
        <v/>
      </c>
      <c r="AI2533" s="81">
        <f>IF(AN2533="","",IF(Q2533="Sin Factura",0,IFERROR(INDEX(Facturas_Odoo!$H:$H, MATCH(Q2533, Facturas_Odoo!$B:$B, 0)), 0)*(1-AG2533)))</f>
        <v/>
      </c>
      <c r="AJ2533" s="81">
        <f>IF(AN2533="","",_xlfn.LET(idVenta, AN2533&amp;"",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33" s="81">
        <f>IF(AN2533="","",AH2533-AJ2533)</f>
        <v/>
      </c>
      <c r="AL2533" s="81">
        <f>IF(AN2533="","",IF(Q2533="Sin Factura","",AI2533-AJ2533))</f>
        <v/>
      </c>
      <c r="AM2533" s="81">
        <f>IF(AN2533="","",IF(Q2533="Sin Factura",0,P2533-IFERROR(INDEX(Facturas_Odoo!$H:$H, MATCH(Q2533, Facturas_Odoo!$B:$B, 0)), 0)))</f>
        <v/>
      </c>
      <c r="AN2533" s="79">
        <f>IF(AND(A2533="", J2533=""), "", IF(A2533&lt;&gt;"", VALUE(MID(A2533,2,LEN(A2533))), AN2532))</f>
        <v/>
      </c>
      <c r="AO2533" s="79">
        <f>IF(AN2533="","",IF(AD2533=0,"OK",_xlfn.LET(monedaPago, IF(AA2533="","USD",AA2533), limitePermitido, IFERROR(VLOOKUP(monedaPago, Configuración!$A$2:$B$3, 2, FALSE), 0.15), IF(AD2533&gt;limitePermitido, "ALERTA: EXCESO (" &amp; TEXT(limitePermitido, "0%") &amp; " máx)", "OK"))))</f>
        <v/>
      </c>
      <c r="AP2533" s="79">
        <f>IF(AN2533="","",IF(AE2533=0,"OK",_xlfn.LET(fechaPago, Z2533, fechaFactura, R2533, diasCredito, IF(E2533="Pago inmediato", 0, IFERROR(VALUE(MID(E2533, 1, SEARCH(" ", E2533)-1)),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33" s="79">
        <f>IF(AN2533="","",IF(AND(N2533&gt;0, AG2533&gt;0), IF(Configuración!$K$2="NO", "ALERTA: DESCUENTO DOBLE NO PERMITIDO", "OK"), "OK"))</f>
        <v/>
      </c>
      <c r="AR2533" s="79">
        <f>IF(AN2533="","",IF(OR(AO2533&lt;&gt;"OK", AP2533&lt;&gt;"OK", AQ2533&lt;&gt;"OK"), "⚠️ REVISAR", "OK"))</f>
        <v/>
      </c>
    </row>
    <row r="2534">
      <c r="A2534" s="79">
        <f>IF('Ordenes_Odoo'!A2534="","",'Ordenes_Odoo'!A2534)</f>
        <v/>
      </c>
      <c r="B2534" s="80">
        <f>IF('Ordenes_Odoo'!B2534="","",'Ordenes_Odoo'!B2534)</f>
        <v/>
      </c>
      <c r="C2534" s="79">
        <f>IF('Ordenes_Odoo'!C2534="","",'Ordenes_Odoo'!C2534)</f>
        <v/>
      </c>
      <c r="D2534" s="79">
        <f>IF('Ordenes_Odoo'!D2534="","",'Ordenes_Odoo'!D2534)</f>
        <v/>
      </c>
      <c r="E2534" s="79">
        <f>IF('Ordenes_Odoo'!E2534="","",'Ordenes_Odoo'!E2534)</f>
        <v/>
      </c>
      <c r="F2534" s="79">
        <f>IF('Ordenes_Odoo'!F2534="","",'Ordenes_Odoo'!F2534)</f>
        <v/>
      </c>
      <c r="G2534" s="79">
        <f>IF('Ordenes_Odoo'!G2534="","",'Ordenes_Odoo'!G2534)</f>
        <v/>
      </c>
      <c r="H2534" s="79">
        <f>IF('Ordenes_Odoo'!H2534="","",'Ordenes_Odoo'!H2534)</f>
        <v/>
      </c>
      <c r="I2534" s="79">
        <f>IF('Ordenes_Odoo'!I2534="","",'Ordenes_Odoo'!I2534)</f>
        <v/>
      </c>
      <c r="J2534" s="79">
        <f>IF('Ordenes_Odoo'!J2534="","",'Ordenes_Odoo'!J2534)</f>
        <v/>
      </c>
      <c r="K2534" s="81">
        <f>IF('Ordenes_Odoo'!K2534="","",'Ordenes_Odoo'!K2534)</f>
        <v/>
      </c>
      <c r="L2534" s="81">
        <f>IF('Ordenes_Odoo'!L2534="","",'Ordenes_Odoo'!L2534)</f>
        <v/>
      </c>
      <c r="M2534" s="79">
        <f>IF('Ordenes_Odoo'!M2534="","",'Ordenes_Odoo'!M2534)</f>
        <v/>
      </c>
      <c r="N2534" s="79">
        <f>IF('Ordenes_Odoo'!N2534="","",'Ordenes_Odoo'!N2534)</f>
        <v/>
      </c>
      <c r="O2534" s="81">
        <f>IF('Ordenes_Odoo'!O2534="","",'Ordenes_Odoo'!O2534)</f>
        <v/>
      </c>
      <c r="P2534" s="81">
        <f>IF('Ordenes_Odoo'!P2534="","",'Ordenes_Odoo'!P2534)</f>
        <v/>
      </c>
      <c r="Q2534" s="79">
        <f>IF(A2534="","",IFERROR(INDEX(Facturas_Odoo!$B:$B, MATCH(A2534, Facturas_Odoo!$D:$D, 0)), "Sin Factura"))</f>
        <v/>
      </c>
      <c r="R2534" s="80">
        <f>IF(Q2534="Sin Factura","",IFERROR(INDEX(Facturas_Odoo!$A:$A, MATCH(Q2534, Facturas_Odoo!$B:$B, 0)), ""))</f>
        <v/>
      </c>
      <c r="S2534" s="79">
        <f>IF(Q2534="Sin Factura","",IFERROR(_xlfn.XLOOKUP(1, (Facturas_Odoo!$D:$D=A2534) * (Facturas_Odoo!$K:$K=I2534), Facturas_Odoo!$L:$L, ""), ""))</f>
        <v/>
      </c>
      <c r="T2534" s="81">
        <f>IF(Q2534="Sin Factura",0,IFERROR(_xlfn.XLOOKUP(1, (Facturas_Odoo!$D:$D=A2534) * (Facturas_Odoo!$K:$K=I2534), Facturas_Odoo!$M:$M, 0), 0))</f>
        <v/>
      </c>
      <c r="U2534" s="79">
        <f>IF(Q2534="Sin Factura",0,IFERROR(_xlfn.XLOOKUP(1, (Facturas_Odoo!$D:$D=A2534) * (Facturas_Odoo!$K:$K=I2534), Facturas_Odoo!$N:$N, 0), 0))</f>
        <v/>
      </c>
      <c r="V2534" s="79">
        <f>IF(Q2534="Sin Factura",0,IFERROR(_xlfn.XLOOKUP(1, (Facturas_Odoo!$D:$D=A2534) * (Facturas_Odoo!$K:$K=I2534), Facturas_Odoo!$O:$O, 0), 0))</f>
        <v/>
      </c>
      <c r="W2534" s="81">
        <f>IF(Q2534="Sin Factura",0,IFERROR(_xlfn.XLOOKUP(1, (Facturas_Odoo!$D:$D=A2534) * (Facturas_Odoo!$K:$K=I2534), Facturas_Odoo!$Q:$Q, 0), 0))</f>
        <v/>
      </c>
      <c r="X2534" s="79">
        <f>IF(OR(Q2534="Sin Factura",Q2534=""),"",IFERROR(INDEX(Pagos_Odoo!$B:$B, MATCH(Q2534, Pagos_Odoo!$I:$I, 0)), "Sin Pago"))</f>
        <v/>
      </c>
      <c r="Y2534" s="79">
        <f>IF(X2534="Sin Pago","",IFERROR(INDEX(Pagos_Odoo!$C:$C, MATCH(X2534, Pagos_Odoo!$B:$B, 0)), ""))</f>
        <v/>
      </c>
      <c r="Z2534" s="80">
        <f>IF(X2534="Sin Pago","",IFERROR(INDEX(Pagos_Odoo!$A:$A, MATCH(X2534, Pagos_Odoo!$B:$B, 0)), ""))</f>
        <v/>
      </c>
      <c r="AA2534" s="79">
        <f>IF(X2534="Sin Pago","",IFERROR(INDEX(Pagos_Odoo!$F:$F, MATCH(X2534, Pagos_Odoo!$B:$B, 0)), ""))</f>
        <v/>
      </c>
      <c r="AB2534" s="81">
        <f>IF(X2534="Sin Pago",0,IFERROR(INDEX(Pagos_Odoo!$E:$E, MATCH(X2534, Pagos_Odoo!$B:$B, 0)), 0))</f>
        <v/>
      </c>
      <c r="AC2534" s="79">
        <f>IF(X2534="Sin Pago","",IFERROR(INDEX(Pagos_Odoo!$G:$G, MATCH(X2534, Pagos_Odoo!$B:$B, 0)), ""))</f>
        <v/>
      </c>
      <c r="AD2534" s="82" t="n">
        <v>0</v>
      </c>
      <c r="AE2534" s="82" t="n"/>
      <c r="AF2534" s="82" t="n"/>
      <c r="AG2534" s="82">
        <f>IF(AN2534="","",AD2534+AE2534+AF2534)</f>
        <v/>
      </c>
      <c r="AH2534" s="81">
        <f>IF(AN2534="","",P2534*(1-AG2534))</f>
        <v/>
      </c>
      <c r="AI2534" s="81">
        <f>IF(AN2534="","",IF(Q2534="Sin Factura",0,IFERROR(INDEX(Facturas_Odoo!$H:$H, MATCH(Q2534, Facturas_Odoo!$B:$B, 0)), 0)*(1-AG2534)))</f>
        <v/>
      </c>
      <c r="AJ2534" s="81">
        <f>IF(AN2534="","",_xlfn.LET(idVenta, AN2534&amp;"",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34" s="81">
        <f>IF(AN2534="","",AH2534-AJ2534)</f>
        <v/>
      </c>
      <c r="AL2534" s="81">
        <f>IF(AN2534="","",IF(Q2534="Sin Factura","",AI2534-AJ2534))</f>
        <v/>
      </c>
      <c r="AM2534" s="81">
        <f>IF(AN2534="","",IF(Q2534="Sin Factura",0,P2534-IFERROR(INDEX(Facturas_Odoo!$H:$H, MATCH(Q2534, Facturas_Odoo!$B:$B, 0)), 0)))</f>
        <v/>
      </c>
      <c r="AN2534" s="79">
        <f>IF(AND(A2534="", J2534=""), "", IF(A2534&lt;&gt;"", VALUE(MID(A2534,2,LEN(A2534))), AN2533))</f>
        <v/>
      </c>
      <c r="AO2534" s="79">
        <f>IF(AN2534="","",IF(AD2534=0,"OK",_xlfn.LET(monedaPago, IF(AA2534="","USD",AA2534), limitePermitido, IFERROR(VLOOKUP(monedaPago, Configuración!$A$2:$B$3, 2, FALSE), 0.15), IF(AD2534&gt;limitePermitido, "ALERTA: EXCESO (" &amp; TEXT(limitePermitido, "0%") &amp; " máx)", "OK"))))</f>
        <v/>
      </c>
      <c r="AP2534" s="79">
        <f>IF(AN2534="","",IF(AE2534=0,"OK",_xlfn.LET(fechaPago, Z2534, fechaFactura, R2534, diasCredito, IF(E2534="Pago inmediato", 0, IFERROR(VALUE(MID(E2534, 1, SEARCH(" ", E2534)-1)),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34" s="79">
        <f>IF(AN2534="","",IF(AND(N2534&gt;0, AG2534&gt;0), IF(Configuración!$K$2="NO", "ALERTA: DESCUENTO DOBLE NO PERMITIDO", "OK"), "OK"))</f>
        <v/>
      </c>
      <c r="AR2534" s="79">
        <f>IF(AN2534="","",IF(OR(AO2534&lt;&gt;"OK", AP2534&lt;&gt;"OK", AQ2534&lt;&gt;"OK"), "⚠️ REVISAR", "OK"))</f>
        <v/>
      </c>
    </row>
    <row r="2535">
      <c r="A2535" s="79">
        <f>IF('Ordenes_Odoo'!A2535="","",'Ordenes_Odoo'!A2535)</f>
        <v/>
      </c>
      <c r="B2535" s="80">
        <f>IF('Ordenes_Odoo'!B2535="","",'Ordenes_Odoo'!B2535)</f>
        <v/>
      </c>
      <c r="C2535" s="79">
        <f>IF('Ordenes_Odoo'!C2535="","",'Ordenes_Odoo'!C2535)</f>
        <v/>
      </c>
      <c r="D2535" s="79">
        <f>IF('Ordenes_Odoo'!D2535="","",'Ordenes_Odoo'!D2535)</f>
        <v/>
      </c>
      <c r="E2535" s="79">
        <f>IF('Ordenes_Odoo'!E2535="","",'Ordenes_Odoo'!E2535)</f>
        <v/>
      </c>
      <c r="F2535" s="79">
        <f>IF('Ordenes_Odoo'!F2535="","",'Ordenes_Odoo'!F2535)</f>
        <v/>
      </c>
      <c r="G2535" s="79">
        <f>IF('Ordenes_Odoo'!G2535="","",'Ordenes_Odoo'!G2535)</f>
        <v/>
      </c>
      <c r="H2535" s="79">
        <f>IF('Ordenes_Odoo'!H2535="","",'Ordenes_Odoo'!H2535)</f>
        <v/>
      </c>
      <c r="I2535" s="79">
        <f>IF('Ordenes_Odoo'!I2535="","",'Ordenes_Odoo'!I2535)</f>
        <v/>
      </c>
      <c r="J2535" s="79">
        <f>IF('Ordenes_Odoo'!J2535="","",'Ordenes_Odoo'!J2535)</f>
        <v/>
      </c>
      <c r="K2535" s="81">
        <f>IF('Ordenes_Odoo'!K2535="","",'Ordenes_Odoo'!K2535)</f>
        <v/>
      </c>
      <c r="L2535" s="81">
        <f>IF('Ordenes_Odoo'!L2535="","",'Ordenes_Odoo'!L2535)</f>
        <v/>
      </c>
      <c r="M2535" s="79">
        <f>IF('Ordenes_Odoo'!M2535="","",'Ordenes_Odoo'!M2535)</f>
        <v/>
      </c>
      <c r="N2535" s="79">
        <f>IF('Ordenes_Odoo'!N2535="","",'Ordenes_Odoo'!N2535)</f>
        <v/>
      </c>
      <c r="O2535" s="81">
        <f>IF('Ordenes_Odoo'!O2535="","",'Ordenes_Odoo'!O2535)</f>
        <v/>
      </c>
      <c r="P2535" s="81">
        <f>IF('Ordenes_Odoo'!P2535="","",'Ordenes_Odoo'!P2535)</f>
        <v/>
      </c>
      <c r="Q2535" s="79">
        <f>IF(A2535="","",IFERROR(INDEX(Facturas_Odoo!$B:$B, MATCH(A2535, Facturas_Odoo!$D:$D, 0)), "Sin Factura"))</f>
        <v/>
      </c>
      <c r="R2535" s="80">
        <f>IF(Q2535="Sin Factura","",IFERROR(INDEX(Facturas_Odoo!$A:$A, MATCH(Q2535, Facturas_Odoo!$B:$B, 0)), ""))</f>
        <v/>
      </c>
      <c r="S2535" s="79">
        <f>IF(Q2535="Sin Factura","",IFERROR(_xlfn.XLOOKUP(1, (Facturas_Odoo!$D:$D=A2535) * (Facturas_Odoo!$K:$K=I2535), Facturas_Odoo!$L:$L, ""), ""))</f>
        <v/>
      </c>
      <c r="T2535" s="81">
        <f>IF(Q2535="Sin Factura",0,IFERROR(_xlfn.XLOOKUP(1, (Facturas_Odoo!$D:$D=A2535) * (Facturas_Odoo!$K:$K=I2535), Facturas_Odoo!$M:$M, 0), 0))</f>
        <v/>
      </c>
      <c r="U2535" s="79">
        <f>IF(Q2535="Sin Factura",0,IFERROR(_xlfn.XLOOKUP(1, (Facturas_Odoo!$D:$D=A2535) * (Facturas_Odoo!$K:$K=I2535), Facturas_Odoo!$N:$N, 0), 0))</f>
        <v/>
      </c>
      <c r="V2535" s="79">
        <f>IF(Q2535="Sin Factura",0,IFERROR(_xlfn.XLOOKUP(1, (Facturas_Odoo!$D:$D=A2535) * (Facturas_Odoo!$K:$K=I2535), Facturas_Odoo!$O:$O, 0), 0))</f>
        <v/>
      </c>
      <c r="W2535" s="81">
        <f>IF(Q2535="Sin Factura",0,IFERROR(_xlfn.XLOOKUP(1, (Facturas_Odoo!$D:$D=A2535) * (Facturas_Odoo!$K:$K=I2535), Facturas_Odoo!$Q:$Q, 0), 0))</f>
        <v/>
      </c>
      <c r="X2535" s="79">
        <f>IF(OR(Q2535="Sin Factura",Q2535=""),"",IFERROR(INDEX(Pagos_Odoo!$B:$B, MATCH(Q2535, Pagos_Odoo!$I:$I, 0)), "Sin Pago"))</f>
        <v/>
      </c>
      <c r="Y2535" s="79">
        <f>IF(X2535="Sin Pago","",IFERROR(INDEX(Pagos_Odoo!$C:$C, MATCH(X2535, Pagos_Odoo!$B:$B, 0)), ""))</f>
        <v/>
      </c>
      <c r="Z2535" s="80">
        <f>IF(X2535="Sin Pago","",IFERROR(INDEX(Pagos_Odoo!$A:$A, MATCH(X2535, Pagos_Odoo!$B:$B, 0)), ""))</f>
        <v/>
      </c>
      <c r="AA2535" s="79">
        <f>IF(X2535="Sin Pago","",IFERROR(INDEX(Pagos_Odoo!$F:$F, MATCH(X2535, Pagos_Odoo!$B:$B, 0)), ""))</f>
        <v/>
      </c>
      <c r="AB2535" s="81">
        <f>IF(X2535="Sin Pago",0,IFERROR(INDEX(Pagos_Odoo!$E:$E, MATCH(X2535, Pagos_Odoo!$B:$B, 0)), 0))</f>
        <v/>
      </c>
      <c r="AC2535" s="79">
        <f>IF(X2535="Sin Pago","",IFERROR(INDEX(Pagos_Odoo!$G:$G, MATCH(X2535, Pagos_Odoo!$B:$B, 0)), ""))</f>
        <v/>
      </c>
      <c r="AD2535" s="82" t="n">
        <v>0</v>
      </c>
      <c r="AE2535" s="82" t="n"/>
      <c r="AF2535" s="82" t="n"/>
      <c r="AG2535" s="82">
        <f>IF(AN2535="","",AD2535+AE2535+AF2535)</f>
        <v/>
      </c>
      <c r="AH2535" s="81">
        <f>IF(AN2535="","",P2535*(1-AG2535))</f>
        <v/>
      </c>
      <c r="AI2535" s="81">
        <f>IF(AN2535="","",IF(Q2535="Sin Factura",0,IFERROR(INDEX(Facturas_Odoo!$H:$H, MATCH(Q2535, Facturas_Odoo!$B:$B, 0)), 0)*(1-AG2535)))</f>
        <v/>
      </c>
      <c r="AJ2535" s="81">
        <f>IF(AN2535="","",_xlfn.LET(idVenta, AN2535&amp;"",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35" s="81">
        <f>IF(AN2535="","",AH2535-AJ2535)</f>
        <v/>
      </c>
      <c r="AL2535" s="81">
        <f>IF(AN2535="","",IF(Q2535="Sin Factura","",AI2535-AJ2535))</f>
        <v/>
      </c>
      <c r="AM2535" s="81">
        <f>IF(AN2535="","",IF(Q2535="Sin Factura",0,P2535-IFERROR(INDEX(Facturas_Odoo!$H:$H, MATCH(Q2535, Facturas_Odoo!$B:$B, 0)), 0)))</f>
        <v/>
      </c>
      <c r="AN2535" s="79">
        <f>IF(AND(A2535="", J2535=""), "", IF(A2535&lt;&gt;"", VALUE(MID(A2535,2,LEN(A2535))), AN2534))</f>
        <v/>
      </c>
      <c r="AO2535" s="79">
        <f>IF(AN2535="","",IF(AD2535=0,"OK",_xlfn.LET(monedaPago, IF(AA2535="","USD",AA2535), limitePermitido, IFERROR(VLOOKUP(monedaPago, Configuración!$A$2:$B$3, 2, FALSE), 0.15), IF(AD2535&gt;limitePermitido, "ALERTA: EXCESO (" &amp; TEXT(limitePermitido, "0%") &amp; " máx)", "OK"))))</f>
        <v/>
      </c>
      <c r="AP2535" s="79">
        <f>IF(AN2535="","",IF(AE2535=0,"OK",_xlfn.LET(fechaPago, Z2535, fechaFactura, R2535, diasCredito, IF(E2535="Pago inmediato", 0, IFERROR(VALUE(MID(E2535, 1, SEARCH(" ", E2535)-1)),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35" s="79">
        <f>IF(AN2535="","",IF(AND(N2535&gt;0, AG2535&gt;0), IF(Configuración!$K$2="NO", "ALERTA: DESCUENTO DOBLE NO PERMITIDO", "OK"), "OK"))</f>
        <v/>
      </c>
      <c r="AR2535" s="79">
        <f>IF(AN2535="","",IF(OR(AO2535&lt;&gt;"OK", AP2535&lt;&gt;"OK", AQ2535&lt;&gt;"OK"), "⚠️ REVISAR", "OK"))</f>
        <v/>
      </c>
    </row>
    <row r="2536">
      <c r="A2536" s="79">
        <f>IF('Ordenes_Odoo'!A2536="","",'Ordenes_Odoo'!A2536)</f>
        <v/>
      </c>
      <c r="B2536" s="80">
        <f>IF('Ordenes_Odoo'!B2536="","",'Ordenes_Odoo'!B2536)</f>
        <v/>
      </c>
      <c r="C2536" s="79">
        <f>IF('Ordenes_Odoo'!C2536="","",'Ordenes_Odoo'!C2536)</f>
        <v/>
      </c>
      <c r="D2536" s="79">
        <f>IF('Ordenes_Odoo'!D2536="","",'Ordenes_Odoo'!D2536)</f>
        <v/>
      </c>
      <c r="E2536" s="79">
        <f>IF('Ordenes_Odoo'!E2536="","",'Ordenes_Odoo'!E2536)</f>
        <v/>
      </c>
      <c r="F2536" s="79">
        <f>IF('Ordenes_Odoo'!F2536="","",'Ordenes_Odoo'!F2536)</f>
        <v/>
      </c>
      <c r="G2536" s="79">
        <f>IF('Ordenes_Odoo'!G2536="","",'Ordenes_Odoo'!G2536)</f>
        <v/>
      </c>
      <c r="H2536" s="79">
        <f>IF('Ordenes_Odoo'!H2536="","",'Ordenes_Odoo'!H2536)</f>
        <v/>
      </c>
      <c r="I2536" s="79">
        <f>IF('Ordenes_Odoo'!I2536="","",'Ordenes_Odoo'!I2536)</f>
        <v/>
      </c>
      <c r="J2536" s="79">
        <f>IF('Ordenes_Odoo'!J2536="","",'Ordenes_Odoo'!J2536)</f>
        <v/>
      </c>
      <c r="K2536" s="81">
        <f>IF('Ordenes_Odoo'!K2536="","",'Ordenes_Odoo'!K2536)</f>
        <v/>
      </c>
      <c r="L2536" s="81">
        <f>IF('Ordenes_Odoo'!L2536="","",'Ordenes_Odoo'!L2536)</f>
        <v/>
      </c>
      <c r="M2536" s="79">
        <f>IF('Ordenes_Odoo'!M2536="","",'Ordenes_Odoo'!M2536)</f>
        <v/>
      </c>
      <c r="N2536" s="79">
        <f>IF('Ordenes_Odoo'!N2536="","",'Ordenes_Odoo'!N2536)</f>
        <v/>
      </c>
      <c r="O2536" s="81">
        <f>IF('Ordenes_Odoo'!O2536="","",'Ordenes_Odoo'!O2536)</f>
        <v/>
      </c>
      <c r="P2536" s="81">
        <f>IF('Ordenes_Odoo'!P2536="","",'Ordenes_Odoo'!P2536)</f>
        <v/>
      </c>
      <c r="Q2536" s="79">
        <f>IF(A2536="","",IFERROR(INDEX(Facturas_Odoo!$B:$B, MATCH(A2536, Facturas_Odoo!$D:$D, 0)), "Sin Factura"))</f>
        <v/>
      </c>
      <c r="R2536" s="80">
        <f>IF(Q2536="Sin Factura","",IFERROR(INDEX(Facturas_Odoo!$A:$A, MATCH(Q2536, Facturas_Odoo!$B:$B, 0)), ""))</f>
        <v/>
      </c>
      <c r="S2536" s="79">
        <f>IF(Q2536="Sin Factura","",IFERROR(_xlfn.XLOOKUP(1, (Facturas_Odoo!$D:$D=A2536) * (Facturas_Odoo!$K:$K=I2536), Facturas_Odoo!$L:$L, ""), ""))</f>
        <v/>
      </c>
      <c r="T2536" s="81">
        <f>IF(Q2536="Sin Factura",0,IFERROR(_xlfn.XLOOKUP(1, (Facturas_Odoo!$D:$D=A2536) * (Facturas_Odoo!$K:$K=I2536), Facturas_Odoo!$M:$M, 0), 0))</f>
        <v/>
      </c>
      <c r="U2536" s="79">
        <f>IF(Q2536="Sin Factura",0,IFERROR(_xlfn.XLOOKUP(1, (Facturas_Odoo!$D:$D=A2536) * (Facturas_Odoo!$K:$K=I2536), Facturas_Odoo!$N:$N, 0), 0))</f>
        <v/>
      </c>
      <c r="V2536" s="79">
        <f>IF(Q2536="Sin Factura",0,IFERROR(_xlfn.XLOOKUP(1, (Facturas_Odoo!$D:$D=A2536) * (Facturas_Odoo!$K:$K=I2536), Facturas_Odoo!$O:$O, 0), 0))</f>
        <v/>
      </c>
      <c r="W2536" s="81">
        <f>IF(Q2536="Sin Factura",0,IFERROR(_xlfn.XLOOKUP(1, (Facturas_Odoo!$D:$D=A2536) * (Facturas_Odoo!$K:$K=I2536), Facturas_Odoo!$Q:$Q, 0), 0))</f>
        <v/>
      </c>
      <c r="X2536" s="79">
        <f>IF(OR(Q2536="Sin Factura",Q2536=""),"",IFERROR(INDEX(Pagos_Odoo!$B:$B, MATCH(Q2536, Pagos_Odoo!$I:$I, 0)), "Sin Pago"))</f>
        <v/>
      </c>
      <c r="Y2536" s="79">
        <f>IF(X2536="Sin Pago","",IFERROR(INDEX(Pagos_Odoo!$C:$C, MATCH(X2536, Pagos_Odoo!$B:$B, 0)), ""))</f>
        <v/>
      </c>
      <c r="Z2536" s="80">
        <f>IF(X2536="Sin Pago","",IFERROR(INDEX(Pagos_Odoo!$A:$A, MATCH(X2536, Pagos_Odoo!$B:$B, 0)), ""))</f>
        <v/>
      </c>
      <c r="AA2536" s="79">
        <f>IF(X2536="Sin Pago","",IFERROR(INDEX(Pagos_Odoo!$F:$F, MATCH(X2536, Pagos_Odoo!$B:$B, 0)), ""))</f>
        <v/>
      </c>
      <c r="AB2536" s="81">
        <f>IF(X2536="Sin Pago",0,IFERROR(INDEX(Pagos_Odoo!$E:$E, MATCH(X2536, Pagos_Odoo!$B:$B, 0)), 0))</f>
        <v/>
      </c>
      <c r="AC2536" s="79">
        <f>IF(X2536="Sin Pago","",IFERROR(INDEX(Pagos_Odoo!$G:$G, MATCH(X2536, Pagos_Odoo!$B:$B, 0)), ""))</f>
        <v/>
      </c>
      <c r="AD2536" s="82" t="n">
        <v>0</v>
      </c>
      <c r="AE2536" s="82" t="n"/>
      <c r="AF2536" s="82" t="n"/>
      <c r="AG2536" s="82">
        <f>IF(AN2536="","",AD2536+AE2536+AF2536)</f>
        <v/>
      </c>
      <c r="AH2536" s="81">
        <f>IF(AN2536="","",P2536*(1-AG2536))</f>
        <v/>
      </c>
      <c r="AI2536" s="81">
        <f>IF(AN2536="","",IF(Q2536="Sin Factura",0,IFERROR(INDEX(Facturas_Odoo!$H:$H, MATCH(Q2536, Facturas_Odoo!$B:$B, 0)), 0)*(1-AG2536)))</f>
        <v/>
      </c>
      <c r="AJ2536" s="81">
        <f>IF(AN2536="","",_xlfn.LET(idVenta, AN2536&amp;"",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36" s="81">
        <f>IF(AN2536="","",AH2536-AJ2536)</f>
        <v/>
      </c>
      <c r="AL2536" s="81">
        <f>IF(AN2536="","",IF(Q2536="Sin Factura","",AI2536-AJ2536))</f>
        <v/>
      </c>
      <c r="AM2536" s="81">
        <f>IF(AN2536="","",IF(Q2536="Sin Factura",0,P2536-IFERROR(INDEX(Facturas_Odoo!$H:$H, MATCH(Q2536, Facturas_Odoo!$B:$B, 0)), 0)))</f>
        <v/>
      </c>
      <c r="AN2536" s="79">
        <f>IF(AND(A2536="", J2536=""), "", IF(A2536&lt;&gt;"", VALUE(MID(A2536,2,LEN(A2536))), AN2535))</f>
        <v/>
      </c>
      <c r="AO2536" s="79">
        <f>IF(AN2536="","",IF(AD2536=0,"OK",_xlfn.LET(monedaPago, IF(AA2536="","USD",AA2536), limitePermitido, IFERROR(VLOOKUP(monedaPago, Configuración!$A$2:$B$3, 2, FALSE), 0.15), IF(AD2536&gt;limitePermitido, "ALERTA: EXCESO (" &amp; TEXT(limitePermitido, "0%") &amp; " máx)", "OK"))))</f>
        <v/>
      </c>
      <c r="AP2536" s="79">
        <f>IF(AN2536="","",IF(AE2536=0,"OK",_xlfn.LET(fechaPago, Z2536, fechaFactura, R2536, diasCredito, IF(E2536="Pago inmediato", 0, IFERROR(VALUE(MID(E2536, 1, SEARCH(" ", E2536)-1)),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36" s="79">
        <f>IF(AN2536="","",IF(AND(N2536&gt;0, AG2536&gt;0), IF(Configuración!$K$2="NO", "ALERTA: DESCUENTO DOBLE NO PERMITIDO", "OK"), "OK"))</f>
        <v/>
      </c>
      <c r="AR2536" s="79">
        <f>IF(AN2536="","",IF(OR(AO2536&lt;&gt;"OK", AP2536&lt;&gt;"OK", AQ2536&lt;&gt;"OK"), "⚠️ REVISAR", "OK"))</f>
        <v/>
      </c>
    </row>
    <row r="2537">
      <c r="A2537" s="79">
        <f>IF('Ordenes_Odoo'!A2537="","",'Ordenes_Odoo'!A2537)</f>
        <v/>
      </c>
      <c r="B2537" s="80">
        <f>IF('Ordenes_Odoo'!B2537="","",'Ordenes_Odoo'!B2537)</f>
        <v/>
      </c>
      <c r="C2537" s="79">
        <f>IF('Ordenes_Odoo'!C2537="","",'Ordenes_Odoo'!C2537)</f>
        <v/>
      </c>
      <c r="D2537" s="79">
        <f>IF('Ordenes_Odoo'!D2537="","",'Ordenes_Odoo'!D2537)</f>
        <v/>
      </c>
      <c r="E2537" s="79">
        <f>IF('Ordenes_Odoo'!E2537="","",'Ordenes_Odoo'!E2537)</f>
        <v/>
      </c>
      <c r="F2537" s="79">
        <f>IF('Ordenes_Odoo'!F2537="","",'Ordenes_Odoo'!F2537)</f>
        <v/>
      </c>
      <c r="G2537" s="79">
        <f>IF('Ordenes_Odoo'!G2537="","",'Ordenes_Odoo'!G2537)</f>
        <v/>
      </c>
      <c r="H2537" s="79">
        <f>IF('Ordenes_Odoo'!H2537="","",'Ordenes_Odoo'!H2537)</f>
        <v/>
      </c>
      <c r="I2537" s="79">
        <f>IF('Ordenes_Odoo'!I2537="","",'Ordenes_Odoo'!I2537)</f>
        <v/>
      </c>
      <c r="J2537" s="79">
        <f>IF('Ordenes_Odoo'!J2537="","",'Ordenes_Odoo'!J2537)</f>
        <v/>
      </c>
      <c r="K2537" s="81">
        <f>IF('Ordenes_Odoo'!K2537="","",'Ordenes_Odoo'!K2537)</f>
        <v/>
      </c>
      <c r="L2537" s="81">
        <f>IF('Ordenes_Odoo'!L2537="","",'Ordenes_Odoo'!L2537)</f>
        <v/>
      </c>
      <c r="M2537" s="79">
        <f>IF('Ordenes_Odoo'!M2537="","",'Ordenes_Odoo'!M2537)</f>
        <v/>
      </c>
      <c r="N2537" s="79">
        <f>IF('Ordenes_Odoo'!N2537="","",'Ordenes_Odoo'!N2537)</f>
        <v/>
      </c>
      <c r="O2537" s="81">
        <f>IF('Ordenes_Odoo'!O2537="","",'Ordenes_Odoo'!O2537)</f>
        <v/>
      </c>
      <c r="P2537" s="81">
        <f>IF('Ordenes_Odoo'!P2537="","",'Ordenes_Odoo'!P2537)</f>
        <v/>
      </c>
      <c r="Q2537" s="79">
        <f>IF(A2537="","",IFERROR(INDEX(Facturas_Odoo!$B:$B, MATCH(A2537, Facturas_Odoo!$D:$D, 0)), "Sin Factura"))</f>
        <v/>
      </c>
      <c r="R2537" s="80">
        <f>IF(Q2537="Sin Factura","",IFERROR(INDEX(Facturas_Odoo!$A:$A, MATCH(Q2537, Facturas_Odoo!$B:$B, 0)), ""))</f>
        <v/>
      </c>
      <c r="S2537" s="79">
        <f>IF(Q2537="Sin Factura","",IFERROR(_xlfn.XLOOKUP(1, (Facturas_Odoo!$D:$D=A2537) * (Facturas_Odoo!$K:$K=I2537), Facturas_Odoo!$L:$L, ""), ""))</f>
        <v/>
      </c>
      <c r="T2537" s="81">
        <f>IF(Q2537="Sin Factura",0,IFERROR(_xlfn.XLOOKUP(1, (Facturas_Odoo!$D:$D=A2537) * (Facturas_Odoo!$K:$K=I2537), Facturas_Odoo!$M:$M, 0), 0))</f>
        <v/>
      </c>
      <c r="U2537" s="79">
        <f>IF(Q2537="Sin Factura",0,IFERROR(_xlfn.XLOOKUP(1, (Facturas_Odoo!$D:$D=A2537) * (Facturas_Odoo!$K:$K=I2537), Facturas_Odoo!$N:$N, 0), 0))</f>
        <v/>
      </c>
      <c r="V2537" s="79">
        <f>IF(Q2537="Sin Factura",0,IFERROR(_xlfn.XLOOKUP(1, (Facturas_Odoo!$D:$D=A2537) * (Facturas_Odoo!$K:$K=I2537), Facturas_Odoo!$O:$O, 0), 0))</f>
        <v/>
      </c>
      <c r="W2537" s="81">
        <f>IF(Q2537="Sin Factura",0,IFERROR(_xlfn.XLOOKUP(1, (Facturas_Odoo!$D:$D=A2537) * (Facturas_Odoo!$K:$K=I2537), Facturas_Odoo!$Q:$Q, 0), 0))</f>
        <v/>
      </c>
      <c r="X2537" s="79">
        <f>IF(OR(Q2537="Sin Factura",Q2537=""),"",IFERROR(INDEX(Pagos_Odoo!$B:$B, MATCH(Q2537, Pagos_Odoo!$I:$I, 0)), "Sin Pago"))</f>
        <v/>
      </c>
      <c r="Y2537" s="79">
        <f>IF(X2537="Sin Pago","",IFERROR(INDEX(Pagos_Odoo!$C:$C, MATCH(X2537, Pagos_Odoo!$B:$B, 0)), ""))</f>
        <v/>
      </c>
      <c r="Z2537" s="80">
        <f>IF(X2537="Sin Pago","",IFERROR(INDEX(Pagos_Odoo!$A:$A, MATCH(X2537, Pagos_Odoo!$B:$B, 0)), ""))</f>
        <v/>
      </c>
      <c r="AA2537" s="79">
        <f>IF(X2537="Sin Pago","",IFERROR(INDEX(Pagos_Odoo!$F:$F, MATCH(X2537, Pagos_Odoo!$B:$B, 0)), ""))</f>
        <v/>
      </c>
      <c r="AB2537" s="81">
        <f>IF(X2537="Sin Pago",0,IFERROR(INDEX(Pagos_Odoo!$E:$E, MATCH(X2537, Pagos_Odoo!$B:$B, 0)), 0))</f>
        <v/>
      </c>
      <c r="AC2537" s="79">
        <f>IF(X2537="Sin Pago","",IFERROR(INDEX(Pagos_Odoo!$G:$G, MATCH(X2537, Pagos_Odoo!$B:$B, 0)), ""))</f>
        <v/>
      </c>
      <c r="AD2537" s="82" t="n">
        <v>0</v>
      </c>
      <c r="AE2537" s="82" t="n"/>
      <c r="AF2537" s="82" t="n"/>
      <c r="AG2537" s="82">
        <f>IF(AN2537="","",AD2537+AE2537+AF2537)</f>
        <v/>
      </c>
      <c r="AH2537" s="81">
        <f>IF(AN2537="","",P2537*(1-AG2537))</f>
        <v/>
      </c>
      <c r="AI2537" s="81">
        <f>IF(AN2537="","",IF(Q2537="Sin Factura",0,IFERROR(INDEX(Facturas_Odoo!$H:$H, MATCH(Q2537, Facturas_Odoo!$B:$B, 0)), 0)*(1-AG2537)))</f>
        <v/>
      </c>
      <c r="AJ2537" s="81">
        <f>IF(AN2537="","",_xlfn.LET(idVenta, AN2537&amp;"",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37" s="81">
        <f>IF(AN2537="","",AH2537-AJ2537)</f>
        <v/>
      </c>
      <c r="AL2537" s="81">
        <f>IF(AN2537="","",IF(Q2537="Sin Factura","",AI2537-AJ2537))</f>
        <v/>
      </c>
      <c r="AM2537" s="81">
        <f>IF(AN2537="","",IF(Q2537="Sin Factura",0,P2537-IFERROR(INDEX(Facturas_Odoo!$H:$H, MATCH(Q2537, Facturas_Odoo!$B:$B, 0)), 0)))</f>
        <v/>
      </c>
      <c r="AN2537" s="79">
        <f>IF(AND(A2537="", J2537=""), "", IF(A2537&lt;&gt;"", VALUE(MID(A2537,2,LEN(A2537))), AN2536))</f>
        <v/>
      </c>
      <c r="AO2537" s="79">
        <f>IF(AN2537="","",IF(AD2537=0,"OK",_xlfn.LET(monedaPago, IF(AA2537="","USD",AA2537), limitePermitido, IFERROR(VLOOKUP(monedaPago, Configuración!$A$2:$B$3, 2, FALSE), 0.15), IF(AD2537&gt;limitePermitido, "ALERTA: EXCESO (" &amp; TEXT(limitePermitido, "0%") &amp; " máx)", "OK"))))</f>
        <v/>
      </c>
      <c r="AP2537" s="79">
        <f>IF(AN2537="","",IF(AE2537=0,"OK",_xlfn.LET(fechaPago, Z2537, fechaFactura, R2537, diasCredito, IF(E2537="Pago inmediato", 0, IFERROR(VALUE(MID(E2537, 1, SEARCH(" ", E2537)-1)),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37" s="79">
        <f>IF(AN2537="","",IF(AND(N2537&gt;0, AG2537&gt;0), IF(Configuración!$K$2="NO", "ALERTA: DESCUENTO DOBLE NO PERMITIDO", "OK"), "OK"))</f>
        <v/>
      </c>
      <c r="AR2537" s="79">
        <f>IF(AN2537="","",IF(OR(AO2537&lt;&gt;"OK", AP2537&lt;&gt;"OK", AQ2537&lt;&gt;"OK"), "⚠️ REVISAR", "OK"))</f>
        <v/>
      </c>
    </row>
    <row r="2538">
      <c r="A2538" s="79">
        <f>IF('Ordenes_Odoo'!A2538="","",'Ordenes_Odoo'!A2538)</f>
        <v/>
      </c>
      <c r="B2538" s="80">
        <f>IF('Ordenes_Odoo'!B2538="","",'Ordenes_Odoo'!B2538)</f>
        <v/>
      </c>
      <c r="C2538" s="79">
        <f>IF('Ordenes_Odoo'!C2538="","",'Ordenes_Odoo'!C2538)</f>
        <v/>
      </c>
      <c r="D2538" s="79">
        <f>IF('Ordenes_Odoo'!D2538="","",'Ordenes_Odoo'!D2538)</f>
        <v/>
      </c>
      <c r="E2538" s="79">
        <f>IF('Ordenes_Odoo'!E2538="","",'Ordenes_Odoo'!E2538)</f>
        <v/>
      </c>
      <c r="F2538" s="79">
        <f>IF('Ordenes_Odoo'!F2538="","",'Ordenes_Odoo'!F2538)</f>
        <v/>
      </c>
      <c r="G2538" s="79">
        <f>IF('Ordenes_Odoo'!G2538="","",'Ordenes_Odoo'!G2538)</f>
        <v/>
      </c>
      <c r="H2538" s="79">
        <f>IF('Ordenes_Odoo'!H2538="","",'Ordenes_Odoo'!H2538)</f>
        <v/>
      </c>
      <c r="I2538" s="79">
        <f>IF('Ordenes_Odoo'!I2538="","",'Ordenes_Odoo'!I2538)</f>
        <v/>
      </c>
      <c r="J2538" s="79">
        <f>IF('Ordenes_Odoo'!J2538="","",'Ordenes_Odoo'!J2538)</f>
        <v/>
      </c>
      <c r="K2538" s="81">
        <f>IF('Ordenes_Odoo'!K2538="","",'Ordenes_Odoo'!K2538)</f>
        <v/>
      </c>
      <c r="L2538" s="81">
        <f>IF('Ordenes_Odoo'!L2538="","",'Ordenes_Odoo'!L2538)</f>
        <v/>
      </c>
      <c r="M2538" s="79">
        <f>IF('Ordenes_Odoo'!M2538="","",'Ordenes_Odoo'!M2538)</f>
        <v/>
      </c>
      <c r="N2538" s="79">
        <f>IF('Ordenes_Odoo'!N2538="","",'Ordenes_Odoo'!N2538)</f>
        <v/>
      </c>
      <c r="O2538" s="81">
        <f>IF('Ordenes_Odoo'!O2538="","",'Ordenes_Odoo'!O2538)</f>
        <v/>
      </c>
      <c r="P2538" s="81">
        <f>IF('Ordenes_Odoo'!P2538="","",'Ordenes_Odoo'!P2538)</f>
        <v/>
      </c>
      <c r="Q2538" s="79">
        <f>IF(A2538="","",IFERROR(INDEX(Facturas_Odoo!$B:$B, MATCH(A2538, Facturas_Odoo!$D:$D, 0)), "Sin Factura"))</f>
        <v/>
      </c>
      <c r="R2538" s="80">
        <f>IF(Q2538="Sin Factura","",IFERROR(INDEX(Facturas_Odoo!$A:$A, MATCH(Q2538, Facturas_Odoo!$B:$B, 0)), ""))</f>
        <v/>
      </c>
      <c r="S2538" s="79">
        <f>IF(Q2538="Sin Factura","",IFERROR(_xlfn.XLOOKUP(1, (Facturas_Odoo!$D:$D=A2538) * (Facturas_Odoo!$K:$K=I2538), Facturas_Odoo!$L:$L, ""), ""))</f>
        <v/>
      </c>
      <c r="T2538" s="81">
        <f>IF(Q2538="Sin Factura",0,IFERROR(_xlfn.XLOOKUP(1, (Facturas_Odoo!$D:$D=A2538) * (Facturas_Odoo!$K:$K=I2538), Facturas_Odoo!$M:$M, 0), 0))</f>
        <v/>
      </c>
      <c r="U2538" s="79">
        <f>IF(Q2538="Sin Factura",0,IFERROR(_xlfn.XLOOKUP(1, (Facturas_Odoo!$D:$D=A2538) * (Facturas_Odoo!$K:$K=I2538), Facturas_Odoo!$N:$N, 0), 0))</f>
        <v/>
      </c>
      <c r="V2538" s="79">
        <f>IF(Q2538="Sin Factura",0,IFERROR(_xlfn.XLOOKUP(1, (Facturas_Odoo!$D:$D=A2538) * (Facturas_Odoo!$K:$K=I2538), Facturas_Odoo!$O:$O, 0), 0))</f>
        <v/>
      </c>
      <c r="W2538" s="81">
        <f>IF(Q2538="Sin Factura",0,IFERROR(_xlfn.XLOOKUP(1, (Facturas_Odoo!$D:$D=A2538) * (Facturas_Odoo!$K:$K=I2538), Facturas_Odoo!$Q:$Q, 0), 0))</f>
        <v/>
      </c>
      <c r="X2538" s="79">
        <f>IF(OR(Q2538="Sin Factura",Q2538=""),"",IFERROR(INDEX(Pagos_Odoo!$B:$B, MATCH(Q2538, Pagos_Odoo!$I:$I, 0)), "Sin Pago"))</f>
        <v/>
      </c>
      <c r="Y2538" s="79">
        <f>IF(X2538="Sin Pago","",IFERROR(INDEX(Pagos_Odoo!$C:$C, MATCH(X2538, Pagos_Odoo!$B:$B, 0)), ""))</f>
        <v/>
      </c>
      <c r="Z2538" s="80">
        <f>IF(X2538="Sin Pago","",IFERROR(INDEX(Pagos_Odoo!$A:$A, MATCH(X2538, Pagos_Odoo!$B:$B, 0)), ""))</f>
        <v/>
      </c>
      <c r="AA2538" s="79">
        <f>IF(X2538="Sin Pago","",IFERROR(INDEX(Pagos_Odoo!$F:$F, MATCH(X2538, Pagos_Odoo!$B:$B, 0)), ""))</f>
        <v/>
      </c>
      <c r="AB2538" s="81">
        <f>IF(X2538="Sin Pago",0,IFERROR(INDEX(Pagos_Odoo!$E:$E, MATCH(X2538, Pagos_Odoo!$B:$B, 0)), 0))</f>
        <v/>
      </c>
      <c r="AC2538" s="79">
        <f>IF(X2538="Sin Pago","",IFERROR(INDEX(Pagos_Odoo!$G:$G, MATCH(X2538, Pagos_Odoo!$B:$B, 0)), ""))</f>
        <v/>
      </c>
      <c r="AD2538" s="82" t="n">
        <v>0</v>
      </c>
      <c r="AE2538" s="82" t="n"/>
      <c r="AF2538" s="82" t="n"/>
      <c r="AG2538" s="82">
        <f>IF(AN2538="","",AD2538+AE2538+AF2538)</f>
        <v/>
      </c>
      <c r="AH2538" s="81">
        <f>IF(AN2538="","",P2538*(1-AG2538))</f>
        <v/>
      </c>
      <c r="AI2538" s="81">
        <f>IF(AN2538="","",IF(Q2538="Sin Factura",0,IFERROR(INDEX(Facturas_Odoo!$H:$H, MATCH(Q2538, Facturas_Odoo!$B:$B, 0)), 0)*(1-AG2538)))</f>
        <v/>
      </c>
      <c r="AJ2538" s="81">
        <f>IF(AN2538="","",_xlfn.LET(idVenta, AN2538&amp;"",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38" s="81">
        <f>IF(AN2538="","",AH2538-AJ2538)</f>
        <v/>
      </c>
      <c r="AL2538" s="81">
        <f>IF(AN2538="","",IF(Q2538="Sin Factura","",AI2538-AJ2538))</f>
        <v/>
      </c>
      <c r="AM2538" s="81">
        <f>IF(AN2538="","",IF(Q2538="Sin Factura",0,P2538-IFERROR(INDEX(Facturas_Odoo!$H:$H, MATCH(Q2538, Facturas_Odoo!$B:$B, 0)), 0)))</f>
        <v/>
      </c>
      <c r="AN2538" s="79">
        <f>IF(AND(A2538="", J2538=""), "", IF(A2538&lt;&gt;"", VALUE(MID(A2538,2,LEN(A2538))), AN2537))</f>
        <v/>
      </c>
      <c r="AO2538" s="79">
        <f>IF(AN2538="","",IF(AD2538=0,"OK",_xlfn.LET(monedaPago, IF(AA2538="","USD",AA2538), limitePermitido, IFERROR(VLOOKUP(monedaPago, Configuración!$A$2:$B$3, 2, FALSE), 0.15), IF(AD2538&gt;limitePermitido, "ALERTA: EXCESO (" &amp; TEXT(limitePermitido, "0%") &amp; " máx)", "OK"))))</f>
        <v/>
      </c>
      <c r="AP2538" s="79">
        <f>IF(AN2538="","",IF(AE2538=0,"OK",_xlfn.LET(fechaPago, Z2538, fechaFactura, R2538, diasCredito, IF(E2538="Pago inmediato", 0, IFERROR(VALUE(MID(E2538, 1, SEARCH(" ", E2538)-1)),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38" s="79">
        <f>IF(AN2538="","",IF(AND(N2538&gt;0, AG2538&gt;0), IF(Configuración!$K$2="NO", "ALERTA: DESCUENTO DOBLE NO PERMITIDO", "OK"), "OK"))</f>
        <v/>
      </c>
      <c r="AR2538" s="79">
        <f>IF(AN2538="","",IF(OR(AO2538&lt;&gt;"OK", AP2538&lt;&gt;"OK", AQ2538&lt;&gt;"OK"), "⚠️ REVISAR", "OK"))</f>
        <v/>
      </c>
    </row>
    <row r="2539">
      <c r="A2539" s="79">
        <f>IF('Ordenes_Odoo'!A2539="","",'Ordenes_Odoo'!A2539)</f>
        <v/>
      </c>
      <c r="B2539" s="80">
        <f>IF('Ordenes_Odoo'!B2539="","",'Ordenes_Odoo'!B2539)</f>
        <v/>
      </c>
      <c r="C2539" s="79">
        <f>IF('Ordenes_Odoo'!C2539="","",'Ordenes_Odoo'!C2539)</f>
        <v/>
      </c>
      <c r="D2539" s="79">
        <f>IF('Ordenes_Odoo'!D2539="","",'Ordenes_Odoo'!D2539)</f>
        <v/>
      </c>
      <c r="E2539" s="79">
        <f>IF('Ordenes_Odoo'!E2539="","",'Ordenes_Odoo'!E2539)</f>
        <v/>
      </c>
      <c r="F2539" s="79">
        <f>IF('Ordenes_Odoo'!F2539="","",'Ordenes_Odoo'!F2539)</f>
        <v/>
      </c>
      <c r="G2539" s="79">
        <f>IF('Ordenes_Odoo'!G2539="","",'Ordenes_Odoo'!G2539)</f>
        <v/>
      </c>
      <c r="H2539" s="79">
        <f>IF('Ordenes_Odoo'!H2539="","",'Ordenes_Odoo'!H2539)</f>
        <v/>
      </c>
      <c r="I2539" s="79">
        <f>IF('Ordenes_Odoo'!I2539="","",'Ordenes_Odoo'!I2539)</f>
        <v/>
      </c>
      <c r="J2539" s="79">
        <f>IF('Ordenes_Odoo'!J2539="","",'Ordenes_Odoo'!J2539)</f>
        <v/>
      </c>
      <c r="K2539" s="81">
        <f>IF('Ordenes_Odoo'!K2539="","",'Ordenes_Odoo'!K2539)</f>
        <v/>
      </c>
      <c r="L2539" s="81">
        <f>IF('Ordenes_Odoo'!L2539="","",'Ordenes_Odoo'!L2539)</f>
        <v/>
      </c>
      <c r="M2539" s="79">
        <f>IF('Ordenes_Odoo'!M2539="","",'Ordenes_Odoo'!M2539)</f>
        <v/>
      </c>
      <c r="N2539" s="79">
        <f>IF('Ordenes_Odoo'!N2539="","",'Ordenes_Odoo'!N2539)</f>
        <v/>
      </c>
      <c r="O2539" s="81">
        <f>IF('Ordenes_Odoo'!O2539="","",'Ordenes_Odoo'!O2539)</f>
        <v/>
      </c>
      <c r="P2539" s="81">
        <f>IF('Ordenes_Odoo'!P2539="","",'Ordenes_Odoo'!P2539)</f>
        <v/>
      </c>
      <c r="Q2539" s="79">
        <f>IF(A2539="","",IFERROR(INDEX(Facturas_Odoo!$B:$B, MATCH(A2539, Facturas_Odoo!$D:$D, 0)), "Sin Factura"))</f>
        <v/>
      </c>
      <c r="R2539" s="80">
        <f>IF(Q2539="Sin Factura","",IFERROR(INDEX(Facturas_Odoo!$A:$A, MATCH(Q2539, Facturas_Odoo!$B:$B, 0)), ""))</f>
        <v/>
      </c>
      <c r="S2539" s="79">
        <f>IF(Q2539="Sin Factura","",IFERROR(_xlfn.XLOOKUP(1, (Facturas_Odoo!$D:$D=A2539) * (Facturas_Odoo!$K:$K=I2539), Facturas_Odoo!$L:$L, ""), ""))</f>
        <v/>
      </c>
      <c r="T2539" s="81">
        <f>IF(Q2539="Sin Factura",0,IFERROR(_xlfn.XLOOKUP(1, (Facturas_Odoo!$D:$D=A2539) * (Facturas_Odoo!$K:$K=I2539), Facturas_Odoo!$M:$M, 0), 0))</f>
        <v/>
      </c>
      <c r="U2539" s="79">
        <f>IF(Q2539="Sin Factura",0,IFERROR(_xlfn.XLOOKUP(1, (Facturas_Odoo!$D:$D=A2539) * (Facturas_Odoo!$K:$K=I2539), Facturas_Odoo!$N:$N, 0), 0))</f>
        <v/>
      </c>
      <c r="V2539" s="79">
        <f>IF(Q2539="Sin Factura",0,IFERROR(_xlfn.XLOOKUP(1, (Facturas_Odoo!$D:$D=A2539) * (Facturas_Odoo!$K:$K=I2539), Facturas_Odoo!$O:$O, 0), 0))</f>
        <v/>
      </c>
      <c r="W2539" s="81">
        <f>IF(Q2539="Sin Factura",0,IFERROR(_xlfn.XLOOKUP(1, (Facturas_Odoo!$D:$D=A2539) * (Facturas_Odoo!$K:$K=I2539), Facturas_Odoo!$Q:$Q, 0), 0))</f>
        <v/>
      </c>
      <c r="X2539" s="79">
        <f>IF(OR(Q2539="Sin Factura",Q2539=""),"",IFERROR(INDEX(Pagos_Odoo!$B:$B, MATCH(Q2539, Pagos_Odoo!$I:$I, 0)), "Sin Pago"))</f>
        <v/>
      </c>
      <c r="Y2539" s="79">
        <f>IF(X2539="Sin Pago","",IFERROR(INDEX(Pagos_Odoo!$C:$C, MATCH(X2539, Pagos_Odoo!$B:$B, 0)), ""))</f>
        <v/>
      </c>
      <c r="Z2539" s="80">
        <f>IF(X2539="Sin Pago","",IFERROR(INDEX(Pagos_Odoo!$A:$A, MATCH(X2539, Pagos_Odoo!$B:$B, 0)), ""))</f>
        <v/>
      </c>
      <c r="AA2539" s="79">
        <f>IF(X2539="Sin Pago","",IFERROR(INDEX(Pagos_Odoo!$F:$F, MATCH(X2539, Pagos_Odoo!$B:$B, 0)), ""))</f>
        <v/>
      </c>
      <c r="AB2539" s="81">
        <f>IF(X2539="Sin Pago",0,IFERROR(INDEX(Pagos_Odoo!$E:$E, MATCH(X2539, Pagos_Odoo!$B:$B, 0)), 0))</f>
        <v/>
      </c>
      <c r="AC2539" s="79">
        <f>IF(X2539="Sin Pago","",IFERROR(INDEX(Pagos_Odoo!$G:$G, MATCH(X2539, Pagos_Odoo!$B:$B, 0)), ""))</f>
        <v/>
      </c>
      <c r="AD2539" s="82" t="n">
        <v>0</v>
      </c>
      <c r="AE2539" s="82" t="n"/>
      <c r="AF2539" s="82" t="n"/>
      <c r="AG2539" s="82">
        <f>IF(AN2539="","",AD2539+AE2539+AF2539)</f>
        <v/>
      </c>
      <c r="AH2539" s="81">
        <f>IF(AN2539="","",P2539*(1-AG2539))</f>
        <v/>
      </c>
      <c r="AI2539" s="81">
        <f>IF(AN2539="","",IF(Q2539="Sin Factura",0,IFERROR(INDEX(Facturas_Odoo!$H:$H, MATCH(Q2539, Facturas_Odoo!$B:$B, 0)), 0)*(1-AG2539)))</f>
        <v/>
      </c>
      <c r="AJ2539" s="81">
        <f>IF(AN2539="","",_xlfn.LET(idVenta, AN2539&amp;"",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39" s="81">
        <f>IF(AN2539="","",AH2539-AJ2539)</f>
        <v/>
      </c>
      <c r="AL2539" s="81">
        <f>IF(AN2539="","",IF(Q2539="Sin Factura","",AI2539-AJ2539))</f>
        <v/>
      </c>
      <c r="AM2539" s="81">
        <f>IF(AN2539="","",IF(Q2539="Sin Factura",0,P2539-IFERROR(INDEX(Facturas_Odoo!$H:$H, MATCH(Q2539, Facturas_Odoo!$B:$B, 0)), 0)))</f>
        <v/>
      </c>
      <c r="AN2539" s="79">
        <f>IF(AND(A2539="", J2539=""), "", IF(A2539&lt;&gt;"", VALUE(MID(A2539,2,LEN(A2539))), AN2538))</f>
        <v/>
      </c>
      <c r="AO2539" s="79">
        <f>IF(AN2539="","",IF(AD2539=0,"OK",_xlfn.LET(monedaPago, IF(AA2539="","USD",AA2539), limitePermitido, IFERROR(VLOOKUP(monedaPago, Configuración!$A$2:$B$3, 2, FALSE), 0.15), IF(AD2539&gt;limitePermitido, "ALERTA: EXCESO (" &amp; TEXT(limitePermitido, "0%") &amp; " máx)", "OK"))))</f>
        <v/>
      </c>
      <c r="AP2539" s="79">
        <f>IF(AN2539="","",IF(AE2539=0,"OK",_xlfn.LET(fechaPago, Z2539, fechaFactura, R2539, diasCredito, IF(E2539="Pago inmediato", 0, IFERROR(VALUE(MID(E2539, 1, SEARCH(" ", E2539)-1)),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39" s="79">
        <f>IF(AN2539="","",IF(AND(N2539&gt;0, AG2539&gt;0), IF(Configuración!$K$2="NO", "ALERTA: DESCUENTO DOBLE NO PERMITIDO", "OK"), "OK"))</f>
        <v/>
      </c>
      <c r="AR2539" s="79">
        <f>IF(AN2539="","",IF(OR(AO2539&lt;&gt;"OK", AP2539&lt;&gt;"OK", AQ2539&lt;&gt;"OK"), "⚠️ REVISAR", "OK"))</f>
        <v/>
      </c>
    </row>
    <row r="2540">
      <c r="A2540" s="79">
        <f>IF('Ordenes_Odoo'!A2540="","",'Ordenes_Odoo'!A2540)</f>
        <v/>
      </c>
      <c r="B2540" s="80">
        <f>IF('Ordenes_Odoo'!B2540="","",'Ordenes_Odoo'!B2540)</f>
        <v/>
      </c>
      <c r="C2540" s="79">
        <f>IF('Ordenes_Odoo'!C2540="","",'Ordenes_Odoo'!C2540)</f>
        <v/>
      </c>
      <c r="D2540" s="79">
        <f>IF('Ordenes_Odoo'!D2540="","",'Ordenes_Odoo'!D2540)</f>
        <v/>
      </c>
      <c r="E2540" s="79">
        <f>IF('Ordenes_Odoo'!E2540="","",'Ordenes_Odoo'!E2540)</f>
        <v/>
      </c>
      <c r="F2540" s="79">
        <f>IF('Ordenes_Odoo'!F2540="","",'Ordenes_Odoo'!F2540)</f>
        <v/>
      </c>
      <c r="G2540" s="79">
        <f>IF('Ordenes_Odoo'!G2540="","",'Ordenes_Odoo'!G2540)</f>
        <v/>
      </c>
      <c r="H2540" s="79">
        <f>IF('Ordenes_Odoo'!H2540="","",'Ordenes_Odoo'!H2540)</f>
        <v/>
      </c>
      <c r="I2540" s="79">
        <f>IF('Ordenes_Odoo'!I2540="","",'Ordenes_Odoo'!I2540)</f>
        <v/>
      </c>
      <c r="J2540" s="79">
        <f>IF('Ordenes_Odoo'!J2540="","",'Ordenes_Odoo'!J2540)</f>
        <v/>
      </c>
      <c r="K2540" s="81">
        <f>IF('Ordenes_Odoo'!K2540="","",'Ordenes_Odoo'!K2540)</f>
        <v/>
      </c>
      <c r="L2540" s="81">
        <f>IF('Ordenes_Odoo'!L2540="","",'Ordenes_Odoo'!L2540)</f>
        <v/>
      </c>
      <c r="M2540" s="79">
        <f>IF('Ordenes_Odoo'!M2540="","",'Ordenes_Odoo'!M2540)</f>
        <v/>
      </c>
      <c r="N2540" s="79">
        <f>IF('Ordenes_Odoo'!N2540="","",'Ordenes_Odoo'!N2540)</f>
        <v/>
      </c>
      <c r="O2540" s="81">
        <f>IF('Ordenes_Odoo'!O2540="","",'Ordenes_Odoo'!O2540)</f>
        <v/>
      </c>
      <c r="P2540" s="81">
        <f>IF('Ordenes_Odoo'!P2540="","",'Ordenes_Odoo'!P2540)</f>
        <v/>
      </c>
      <c r="Q2540" s="79">
        <f>IF(A2540="","",IFERROR(INDEX(Facturas_Odoo!$B:$B, MATCH(A2540, Facturas_Odoo!$D:$D, 0)), "Sin Factura"))</f>
        <v/>
      </c>
      <c r="R2540" s="80">
        <f>IF(Q2540="Sin Factura","",IFERROR(INDEX(Facturas_Odoo!$A:$A, MATCH(Q2540, Facturas_Odoo!$B:$B, 0)), ""))</f>
        <v/>
      </c>
      <c r="S2540" s="79">
        <f>IF(Q2540="Sin Factura","",IFERROR(_xlfn.XLOOKUP(1, (Facturas_Odoo!$D:$D=A2540) * (Facturas_Odoo!$K:$K=I2540), Facturas_Odoo!$L:$L, ""), ""))</f>
        <v/>
      </c>
      <c r="T2540" s="81">
        <f>IF(Q2540="Sin Factura",0,IFERROR(_xlfn.XLOOKUP(1, (Facturas_Odoo!$D:$D=A2540) * (Facturas_Odoo!$K:$K=I2540), Facturas_Odoo!$M:$M, 0), 0))</f>
        <v/>
      </c>
      <c r="U2540" s="79">
        <f>IF(Q2540="Sin Factura",0,IFERROR(_xlfn.XLOOKUP(1, (Facturas_Odoo!$D:$D=A2540) * (Facturas_Odoo!$K:$K=I2540), Facturas_Odoo!$N:$N, 0), 0))</f>
        <v/>
      </c>
      <c r="V2540" s="79">
        <f>IF(Q2540="Sin Factura",0,IFERROR(_xlfn.XLOOKUP(1, (Facturas_Odoo!$D:$D=A2540) * (Facturas_Odoo!$K:$K=I2540), Facturas_Odoo!$O:$O, 0), 0))</f>
        <v/>
      </c>
      <c r="W2540" s="81">
        <f>IF(Q2540="Sin Factura",0,IFERROR(_xlfn.XLOOKUP(1, (Facturas_Odoo!$D:$D=A2540) * (Facturas_Odoo!$K:$K=I2540), Facturas_Odoo!$Q:$Q, 0), 0))</f>
        <v/>
      </c>
      <c r="X2540" s="79">
        <f>IF(OR(Q2540="Sin Factura",Q2540=""),"",IFERROR(INDEX(Pagos_Odoo!$B:$B, MATCH(Q2540, Pagos_Odoo!$I:$I, 0)), "Sin Pago"))</f>
        <v/>
      </c>
      <c r="Y2540" s="79">
        <f>IF(X2540="Sin Pago","",IFERROR(INDEX(Pagos_Odoo!$C:$C, MATCH(X2540, Pagos_Odoo!$B:$B, 0)), ""))</f>
        <v/>
      </c>
      <c r="Z2540" s="80">
        <f>IF(X2540="Sin Pago","",IFERROR(INDEX(Pagos_Odoo!$A:$A, MATCH(X2540, Pagos_Odoo!$B:$B, 0)), ""))</f>
        <v/>
      </c>
      <c r="AA2540" s="79">
        <f>IF(X2540="Sin Pago","",IFERROR(INDEX(Pagos_Odoo!$F:$F, MATCH(X2540, Pagos_Odoo!$B:$B, 0)), ""))</f>
        <v/>
      </c>
      <c r="AB2540" s="81">
        <f>IF(X2540="Sin Pago",0,IFERROR(INDEX(Pagos_Odoo!$E:$E, MATCH(X2540, Pagos_Odoo!$B:$B, 0)), 0))</f>
        <v/>
      </c>
      <c r="AC2540" s="79">
        <f>IF(X2540="Sin Pago","",IFERROR(INDEX(Pagos_Odoo!$G:$G, MATCH(X2540, Pagos_Odoo!$B:$B, 0)), ""))</f>
        <v/>
      </c>
      <c r="AD2540" s="82" t="n">
        <v>0</v>
      </c>
      <c r="AE2540" s="82" t="n"/>
      <c r="AF2540" s="82" t="n"/>
      <c r="AG2540" s="82">
        <f>IF(AN2540="","",AD2540+AE2540+AF2540)</f>
        <v/>
      </c>
      <c r="AH2540" s="81">
        <f>IF(AN2540="","",P2540*(1-AG2540))</f>
        <v/>
      </c>
      <c r="AI2540" s="81">
        <f>IF(AN2540="","",IF(Q2540="Sin Factura",0,IFERROR(INDEX(Facturas_Odoo!$H:$H, MATCH(Q2540, Facturas_Odoo!$B:$B, 0)), 0)*(1-AG2540)))</f>
        <v/>
      </c>
      <c r="AJ2540" s="81">
        <f>IF(AN2540="","",_xlfn.LET(idVenta, AN2540&amp;"",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40" s="81">
        <f>IF(AN2540="","",AH2540-AJ2540)</f>
        <v/>
      </c>
      <c r="AL2540" s="81">
        <f>IF(AN2540="","",IF(Q2540="Sin Factura","",AI2540-AJ2540))</f>
        <v/>
      </c>
      <c r="AM2540" s="81">
        <f>IF(AN2540="","",IF(Q2540="Sin Factura",0,P2540-IFERROR(INDEX(Facturas_Odoo!$H:$H, MATCH(Q2540, Facturas_Odoo!$B:$B, 0)), 0)))</f>
        <v/>
      </c>
      <c r="AN2540" s="79">
        <f>IF(AND(A2540="", J2540=""), "", IF(A2540&lt;&gt;"", VALUE(MID(A2540,2,LEN(A2540))), AN2539))</f>
        <v/>
      </c>
      <c r="AO2540" s="79">
        <f>IF(AN2540="","",IF(AD2540=0,"OK",_xlfn.LET(monedaPago, IF(AA2540="","USD",AA2540), limitePermitido, IFERROR(VLOOKUP(monedaPago, Configuración!$A$2:$B$3, 2, FALSE), 0.15), IF(AD2540&gt;limitePermitido, "ALERTA: EXCESO (" &amp; TEXT(limitePermitido, "0%") &amp; " máx)", "OK"))))</f>
        <v/>
      </c>
      <c r="AP2540" s="79">
        <f>IF(AN2540="","",IF(AE2540=0,"OK",_xlfn.LET(fechaPago, Z2540, fechaFactura, R2540, diasCredito, IF(E2540="Pago inmediato", 0, IFERROR(VALUE(MID(E2540, 1, SEARCH(" ", E2540)-1)),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40" s="79">
        <f>IF(AN2540="","",IF(AND(N2540&gt;0, AG2540&gt;0), IF(Configuración!$K$2="NO", "ALERTA: DESCUENTO DOBLE NO PERMITIDO", "OK"), "OK"))</f>
        <v/>
      </c>
      <c r="AR2540" s="79">
        <f>IF(AN2540="","",IF(OR(AO2540&lt;&gt;"OK", AP2540&lt;&gt;"OK", AQ2540&lt;&gt;"OK"), "⚠️ REVISAR", "OK"))</f>
        <v/>
      </c>
    </row>
    <row r="2541">
      <c r="A2541" s="79">
        <f>IF('Ordenes_Odoo'!A2541="","",'Ordenes_Odoo'!A2541)</f>
        <v/>
      </c>
      <c r="B2541" s="80">
        <f>IF('Ordenes_Odoo'!B2541="","",'Ordenes_Odoo'!B2541)</f>
        <v/>
      </c>
      <c r="C2541" s="79">
        <f>IF('Ordenes_Odoo'!C2541="","",'Ordenes_Odoo'!C2541)</f>
        <v/>
      </c>
      <c r="D2541" s="79">
        <f>IF('Ordenes_Odoo'!D2541="","",'Ordenes_Odoo'!D2541)</f>
        <v/>
      </c>
      <c r="E2541" s="79">
        <f>IF('Ordenes_Odoo'!E2541="","",'Ordenes_Odoo'!E2541)</f>
        <v/>
      </c>
      <c r="F2541" s="79">
        <f>IF('Ordenes_Odoo'!F2541="","",'Ordenes_Odoo'!F2541)</f>
        <v/>
      </c>
      <c r="G2541" s="79">
        <f>IF('Ordenes_Odoo'!G2541="","",'Ordenes_Odoo'!G2541)</f>
        <v/>
      </c>
      <c r="H2541" s="79">
        <f>IF('Ordenes_Odoo'!H2541="","",'Ordenes_Odoo'!H2541)</f>
        <v/>
      </c>
      <c r="I2541" s="79">
        <f>IF('Ordenes_Odoo'!I2541="","",'Ordenes_Odoo'!I2541)</f>
        <v/>
      </c>
      <c r="J2541" s="79">
        <f>IF('Ordenes_Odoo'!J2541="","",'Ordenes_Odoo'!J2541)</f>
        <v/>
      </c>
      <c r="K2541" s="81">
        <f>IF('Ordenes_Odoo'!K2541="","",'Ordenes_Odoo'!K2541)</f>
        <v/>
      </c>
      <c r="L2541" s="81">
        <f>IF('Ordenes_Odoo'!L2541="","",'Ordenes_Odoo'!L2541)</f>
        <v/>
      </c>
      <c r="M2541" s="79">
        <f>IF('Ordenes_Odoo'!M2541="","",'Ordenes_Odoo'!M2541)</f>
        <v/>
      </c>
      <c r="N2541" s="79">
        <f>IF('Ordenes_Odoo'!N2541="","",'Ordenes_Odoo'!N2541)</f>
        <v/>
      </c>
      <c r="O2541" s="81">
        <f>IF('Ordenes_Odoo'!O2541="","",'Ordenes_Odoo'!O2541)</f>
        <v/>
      </c>
      <c r="P2541" s="81">
        <f>IF('Ordenes_Odoo'!P2541="","",'Ordenes_Odoo'!P2541)</f>
        <v/>
      </c>
      <c r="Q2541" s="79">
        <f>IF(A2541="","",IFERROR(INDEX(Facturas_Odoo!$B:$B, MATCH(A2541, Facturas_Odoo!$D:$D, 0)), "Sin Factura"))</f>
        <v/>
      </c>
      <c r="R2541" s="80">
        <f>IF(Q2541="Sin Factura","",IFERROR(INDEX(Facturas_Odoo!$A:$A, MATCH(Q2541, Facturas_Odoo!$B:$B, 0)), ""))</f>
        <v/>
      </c>
      <c r="S2541" s="79">
        <f>IF(Q2541="Sin Factura","",IFERROR(_xlfn.XLOOKUP(1, (Facturas_Odoo!$D:$D=A2541) * (Facturas_Odoo!$K:$K=I2541), Facturas_Odoo!$L:$L, ""), ""))</f>
        <v/>
      </c>
      <c r="T2541" s="81">
        <f>IF(Q2541="Sin Factura",0,IFERROR(_xlfn.XLOOKUP(1, (Facturas_Odoo!$D:$D=A2541) * (Facturas_Odoo!$K:$K=I2541), Facturas_Odoo!$M:$M, 0), 0))</f>
        <v/>
      </c>
      <c r="U2541" s="79">
        <f>IF(Q2541="Sin Factura",0,IFERROR(_xlfn.XLOOKUP(1, (Facturas_Odoo!$D:$D=A2541) * (Facturas_Odoo!$K:$K=I2541), Facturas_Odoo!$N:$N, 0), 0))</f>
        <v/>
      </c>
      <c r="V2541" s="79">
        <f>IF(Q2541="Sin Factura",0,IFERROR(_xlfn.XLOOKUP(1, (Facturas_Odoo!$D:$D=A2541) * (Facturas_Odoo!$K:$K=I2541), Facturas_Odoo!$O:$O, 0), 0))</f>
        <v/>
      </c>
      <c r="W2541" s="81">
        <f>IF(Q2541="Sin Factura",0,IFERROR(_xlfn.XLOOKUP(1, (Facturas_Odoo!$D:$D=A2541) * (Facturas_Odoo!$K:$K=I2541), Facturas_Odoo!$Q:$Q, 0), 0))</f>
        <v/>
      </c>
      <c r="X2541" s="79">
        <f>IF(OR(Q2541="Sin Factura",Q2541=""),"",IFERROR(INDEX(Pagos_Odoo!$B:$B, MATCH(Q2541, Pagos_Odoo!$I:$I, 0)), "Sin Pago"))</f>
        <v/>
      </c>
      <c r="Y2541" s="79">
        <f>IF(X2541="Sin Pago","",IFERROR(INDEX(Pagos_Odoo!$C:$C, MATCH(X2541, Pagos_Odoo!$B:$B, 0)), ""))</f>
        <v/>
      </c>
      <c r="Z2541" s="80">
        <f>IF(X2541="Sin Pago","",IFERROR(INDEX(Pagos_Odoo!$A:$A, MATCH(X2541, Pagos_Odoo!$B:$B, 0)), ""))</f>
        <v/>
      </c>
      <c r="AA2541" s="79">
        <f>IF(X2541="Sin Pago","",IFERROR(INDEX(Pagos_Odoo!$F:$F, MATCH(X2541, Pagos_Odoo!$B:$B, 0)), ""))</f>
        <v/>
      </c>
      <c r="AB2541" s="81">
        <f>IF(X2541="Sin Pago",0,IFERROR(INDEX(Pagos_Odoo!$E:$E, MATCH(X2541, Pagos_Odoo!$B:$B, 0)), 0))</f>
        <v/>
      </c>
      <c r="AC2541" s="79">
        <f>IF(X2541="Sin Pago","",IFERROR(INDEX(Pagos_Odoo!$G:$G, MATCH(X2541, Pagos_Odoo!$B:$B, 0)), ""))</f>
        <v/>
      </c>
      <c r="AD2541" s="82" t="n">
        <v>0</v>
      </c>
      <c r="AE2541" s="82" t="n"/>
      <c r="AF2541" s="82" t="n"/>
      <c r="AG2541" s="82">
        <f>IF(AN2541="","",AD2541+AE2541+AF2541)</f>
        <v/>
      </c>
      <c r="AH2541" s="81">
        <f>IF(AN2541="","",P2541*(1-AG2541))</f>
        <v/>
      </c>
      <c r="AI2541" s="81">
        <f>IF(AN2541="","",IF(Q2541="Sin Factura",0,IFERROR(INDEX(Facturas_Odoo!$H:$H, MATCH(Q2541, Facturas_Odoo!$B:$B, 0)), 0)*(1-AG2541)))</f>
        <v/>
      </c>
      <c r="AJ2541" s="81">
        <f>IF(AN2541="","",_xlfn.LET(idVenta, AN2541&amp;"",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41" s="81">
        <f>IF(AN2541="","",AH2541-AJ2541)</f>
        <v/>
      </c>
      <c r="AL2541" s="81">
        <f>IF(AN2541="","",IF(Q2541="Sin Factura","",AI2541-AJ2541))</f>
        <v/>
      </c>
      <c r="AM2541" s="81">
        <f>IF(AN2541="","",IF(Q2541="Sin Factura",0,P2541-IFERROR(INDEX(Facturas_Odoo!$H:$H, MATCH(Q2541, Facturas_Odoo!$B:$B, 0)), 0)))</f>
        <v/>
      </c>
      <c r="AN2541" s="79">
        <f>IF(AND(A2541="", J2541=""), "", IF(A2541&lt;&gt;"", VALUE(MID(A2541,2,LEN(A2541))), AN2540))</f>
        <v/>
      </c>
      <c r="AO2541" s="79">
        <f>IF(AN2541="","",IF(AD2541=0,"OK",_xlfn.LET(monedaPago, IF(AA2541="","USD",AA2541), limitePermitido, IFERROR(VLOOKUP(monedaPago, Configuración!$A$2:$B$3, 2, FALSE), 0.15), IF(AD2541&gt;limitePermitido, "ALERTA: EXCESO (" &amp; TEXT(limitePermitido, "0%") &amp; " máx)", "OK"))))</f>
        <v/>
      </c>
      <c r="AP2541" s="79">
        <f>IF(AN2541="","",IF(AE2541=0,"OK",_xlfn.LET(fechaPago, Z2541, fechaFactura, R2541, diasCredito, IF(E2541="Pago inmediato", 0, IFERROR(VALUE(MID(E2541, 1, SEARCH(" ", E2541)-1)),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41" s="79">
        <f>IF(AN2541="","",IF(AND(N2541&gt;0, AG2541&gt;0), IF(Configuración!$K$2="NO", "ALERTA: DESCUENTO DOBLE NO PERMITIDO", "OK"), "OK"))</f>
        <v/>
      </c>
      <c r="AR2541" s="79">
        <f>IF(AN2541="","",IF(OR(AO2541&lt;&gt;"OK", AP2541&lt;&gt;"OK", AQ2541&lt;&gt;"OK"), "⚠️ REVISAR", "OK"))</f>
        <v/>
      </c>
    </row>
    <row r="2542">
      <c r="A2542" s="79">
        <f>IF('Ordenes_Odoo'!A2542="","",'Ordenes_Odoo'!A2542)</f>
        <v/>
      </c>
      <c r="B2542" s="80">
        <f>IF('Ordenes_Odoo'!B2542="","",'Ordenes_Odoo'!B2542)</f>
        <v/>
      </c>
      <c r="C2542" s="79">
        <f>IF('Ordenes_Odoo'!C2542="","",'Ordenes_Odoo'!C2542)</f>
        <v/>
      </c>
      <c r="D2542" s="79">
        <f>IF('Ordenes_Odoo'!D2542="","",'Ordenes_Odoo'!D2542)</f>
        <v/>
      </c>
      <c r="E2542" s="79">
        <f>IF('Ordenes_Odoo'!E2542="","",'Ordenes_Odoo'!E2542)</f>
        <v/>
      </c>
      <c r="F2542" s="79">
        <f>IF('Ordenes_Odoo'!F2542="","",'Ordenes_Odoo'!F2542)</f>
        <v/>
      </c>
      <c r="G2542" s="79">
        <f>IF('Ordenes_Odoo'!G2542="","",'Ordenes_Odoo'!G2542)</f>
        <v/>
      </c>
      <c r="H2542" s="79">
        <f>IF('Ordenes_Odoo'!H2542="","",'Ordenes_Odoo'!H2542)</f>
        <v/>
      </c>
      <c r="I2542" s="79">
        <f>IF('Ordenes_Odoo'!I2542="","",'Ordenes_Odoo'!I2542)</f>
        <v/>
      </c>
      <c r="J2542" s="79">
        <f>IF('Ordenes_Odoo'!J2542="","",'Ordenes_Odoo'!J2542)</f>
        <v/>
      </c>
      <c r="K2542" s="81">
        <f>IF('Ordenes_Odoo'!K2542="","",'Ordenes_Odoo'!K2542)</f>
        <v/>
      </c>
      <c r="L2542" s="81">
        <f>IF('Ordenes_Odoo'!L2542="","",'Ordenes_Odoo'!L2542)</f>
        <v/>
      </c>
      <c r="M2542" s="79">
        <f>IF('Ordenes_Odoo'!M2542="","",'Ordenes_Odoo'!M2542)</f>
        <v/>
      </c>
      <c r="N2542" s="79">
        <f>IF('Ordenes_Odoo'!N2542="","",'Ordenes_Odoo'!N2542)</f>
        <v/>
      </c>
      <c r="O2542" s="81">
        <f>IF('Ordenes_Odoo'!O2542="","",'Ordenes_Odoo'!O2542)</f>
        <v/>
      </c>
      <c r="P2542" s="81">
        <f>IF('Ordenes_Odoo'!P2542="","",'Ordenes_Odoo'!P2542)</f>
        <v/>
      </c>
      <c r="Q2542" s="79">
        <f>IF(A2542="","",IFERROR(INDEX(Facturas_Odoo!$B:$B, MATCH(A2542, Facturas_Odoo!$D:$D, 0)), "Sin Factura"))</f>
        <v/>
      </c>
      <c r="R2542" s="80">
        <f>IF(Q2542="Sin Factura","",IFERROR(INDEX(Facturas_Odoo!$A:$A, MATCH(Q2542, Facturas_Odoo!$B:$B, 0)), ""))</f>
        <v/>
      </c>
      <c r="S2542" s="79">
        <f>IF(Q2542="Sin Factura","",IFERROR(_xlfn.XLOOKUP(1, (Facturas_Odoo!$D:$D=A2542) * (Facturas_Odoo!$K:$K=I2542), Facturas_Odoo!$L:$L, ""), ""))</f>
        <v/>
      </c>
      <c r="T2542" s="81">
        <f>IF(Q2542="Sin Factura",0,IFERROR(_xlfn.XLOOKUP(1, (Facturas_Odoo!$D:$D=A2542) * (Facturas_Odoo!$K:$K=I2542), Facturas_Odoo!$M:$M, 0), 0))</f>
        <v/>
      </c>
      <c r="U2542" s="79">
        <f>IF(Q2542="Sin Factura",0,IFERROR(_xlfn.XLOOKUP(1, (Facturas_Odoo!$D:$D=A2542) * (Facturas_Odoo!$K:$K=I2542), Facturas_Odoo!$N:$N, 0), 0))</f>
        <v/>
      </c>
      <c r="V2542" s="79">
        <f>IF(Q2542="Sin Factura",0,IFERROR(_xlfn.XLOOKUP(1, (Facturas_Odoo!$D:$D=A2542) * (Facturas_Odoo!$K:$K=I2542), Facturas_Odoo!$O:$O, 0), 0))</f>
        <v/>
      </c>
      <c r="W2542" s="81">
        <f>IF(Q2542="Sin Factura",0,IFERROR(_xlfn.XLOOKUP(1, (Facturas_Odoo!$D:$D=A2542) * (Facturas_Odoo!$K:$K=I2542), Facturas_Odoo!$Q:$Q, 0), 0))</f>
        <v/>
      </c>
      <c r="X2542" s="79">
        <f>IF(OR(Q2542="Sin Factura",Q2542=""),"",IFERROR(INDEX(Pagos_Odoo!$B:$B, MATCH(Q2542, Pagos_Odoo!$I:$I, 0)), "Sin Pago"))</f>
        <v/>
      </c>
      <c r="Y2542" s="79">
        <f>IF(X2542="Sin Pago","",IFERROR(INDEX(Pagos_Odoo!$C:$C, MATCH(X2542, Pagos_Odoo!$B:$B, 0)), ""))</f>
        <v/>
      </c>
      <c r="Z2542" s="80">
        <f>IF(X2542="Sin Pago","",IFERROR(INDEX(Pagos_Odoo!$A:$A, MATCH(X2542, Pagos_Odoo!$B:$B, 0)), ""))</f>
        <v/>
      </c>
      <c r="AA2542" s="79">
        <f>IF(X2542="Sin Pago","",IFERROR(INDEX(Pagos_Odoo!$F:$F, MATCH(X2542, Pagos_Odoo!$B:$B, 0)), ""))</f>
        <v/>
      </c>
      <c r="AB2542" s="81">
        <f>IF(X2542="Sin Pago",0,IFERROR(INDEX(Pagos_Odoo!$E:$E, MATCH(X2542, Pagos_Odoo!$B:$B, 0)), 0))</f>
        <v/>
      </c>
      <c r="AC2542" s="79">
        <f>IF(X2542="Sin Pago","",IFERROR(INDEX(Pagos_Odoo!$G:$G, MATCH(X2542, Pagos_Odoo!$B:$B, 0)), ""))</f>
        <v/>
      </c>
      <c r="AD2542" s="82" t="n">
        <v>0</v>
      </c>
      <c r="AE2542" s="82" t="n"/>
      <c r="AF2542" s="82" t="n"/>
      <c r="AG2542" s="82">
        <f>IF(AN2542="","",AD2542+AE2542+AF2542)</f>
        <v/>
      </c>
      <c r="AH2542" s="81">
        <f>IF(AN2542="","",P2542*(1-AG2542))</f>
        <v/>
      </c>
      <c r="AI2542" s="81">
        <f>IF(AN2542="","",IF(Q2542="Sin Factura",0,IFERROR(INDEX(Facturas_Odoo!$H:$H, MATCH(Q2542, Facturas_Odoo!$B:$B, 0)), 0)*(1-AG2542)))</f>
        <v/>
      </c>
      <c r="AJ2542" s="81">
        <f>IF(AN2542="","",_xlfn.LET(idVenta, AN2542&amp;"",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42" s="81">
        <f>IF(AN2542="","",AH2542-AJ2542)</f>
        <v/>
      </c>
      <c r="AL2542" s="81">
        <f>IF(AN2542="","",IF(Q2542="Sin Factura","",AI2542-AJ2542))</f>
        <v/>
      </c>
      <c r="AM2542" s="81">
        <f>IF(AN2542="","",IF(Q2542="Sin Factura",0,P2542-IFERROR(INDEX(Facturas_Odoo!$H:$H, MATCH(Q2542, Facturas_Odoo!$B:$B, 0)), 0)))</f>
        <v/>
      </c>
      <c r="AN2542" s="79">
        <f>IF(AND(A2542="", J2542=""), "", IF(A2542&lt;&gt;"", VALUE(MID(A2542,2,LEN(A2542))), AN2541))</f>
        <v/>
      </c>
      <c r="AO2542" s="79">
        <f>IF(AN2542="","",IF(AD2542=0,"OK",_xlfn.LET(monedaPago, IF(AA2542="","USD",AA2542), limitePermitido, IFERROR(VLOOKUP(monedaPago, Configuración!$A$2:$B$3, 2, FALSE), 0.15), IF(AD2542&gt;limitePermitido, "ALERTA: EXCESO (" &amp; TEXT(limitePermitido, "0%") &amp; " máx)", "OK"))))</f>
        <v/>
      </c>
      <c r="AP2542" s="79">
        <f>IF(AN2542="","",IF(AE2542=0,"OK",_xlfn.LET(fechaPago, Z2542, fechaFactura, R2542, diasCredito, IF(E2542="Pago inmediato", 0, IFERROR(VALUE(MID(E2542, 1, SEARCH(" ", E2542)-1)),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42" s="79">
        <f>IF(AN2542="","",IF(AND(N2542&gt;0, AG2542&gt;0), IF(Configuración!$K$2="NO", "ALERTA: DESCUENTO DOBLE NO PERMITIDO", "OK"), "OK"))</f>
        <v/>
      </c>
      <c r="AR2542" s="79">
        <f>IF(AN2542="","",IF(OR(AO2542&lt;&gt;"OK", AP2542&lt;&gt;"OK", AQ2542&lt;&gt;"OK"), "⚠️ REVISAR", "OK"))</f>
        <v/>
      </c>
    </row>
    <row r="2543">
      <c r="A2543" s="79">
        <f>IF('Ordenes_Odoo'!A2543="","",'Ordenes_Odoo'!A2543)</f>
        <v/>
      </c>
      <c r="B2543" s="80">
        <f>IF('Ordenes_Odoo'!B2543="","",'Ordenes_Odoo'!B2543)</f>
        <v/>
      </c>
      <c r="C2543" s="79">
        <f>IF('Ordenes_Odoo'!C2543="","",'Ordenes_Odoo'!C2543)</f>
        <v/>
      </c>
      <c r="D2543" s="79">
        <f>IF('Ordenes_Odoo'!D2543="","",'Ordenes_Odoo'!D2543)</f>
        <v/>
      </c>
      <c r="E2543" s="79">
        <f>IF('Ordenes_Odoo'!E2543="","",'Ordenes_Odoo'!E2543)</f>
        <v/>
      </c>
      <c r="F2543" s="79">
        <f>IF('Ordenes_Odoo'!F2543="","",'Ordenes_Odoo'!F2543)</f>
        <v/>
      </c>
      <c r="G2543" s="79">
        <f>IF('Ordenes_Odoo'!G2543="","",'Ordenes_Odoo'!G2543)</f>
        <v/>
      </c>
      <c r="H2543" s="79">
        <f>IF('Ordenes_Odoo'!H2543="","",'Ordenes_Odoo'!H2543)</f>
        <v/>
      </c>
      <c r="I2543" s="79">
        <f>IF('Ordenes_Odoo'!I2543="","",'Ordenes_Odoo'!I2543)</f>
        <v/>
      </c>
      <c r="J2543" s="79">
        <f>IF('Ordenes_Odoo'!J2543="","",'Ordenes_Odoo'!J2543)</f>
        <v/>
      </c>
      <c r="K2543" s="81">
        <f>IF('Ordenes_Odoo'!K2543="","",'Ordenes_Odoo'!K2543)</f>
        <v/>
      </c>
      <c r="L2543" s="81">
        <f>IF('Ordenes_Odoo'!L2543="","",'Ordenes_Odoo'!L2543)</f>
        <v/>
      </c>
      <c r="M2543" s="79">
        <f>IF('Ordenes_Odoo'!M2543="","",'Ordenes_Odoo'!M2543)</f>
        <v/>
      </c>
      <c r="N2543" s="79">
        <f>IF('Ordenes_Odoo'!N2543="","",'Ordenes_Odoo'!N2543)</f>
        <v/>
      </c>
      <c r="O2543" s="81">
        <f>IF('Ordenes_Odoo'!O2543="","",'Ordenes_Odoo'!O2543)</f>
        <v/>
      </c>
      <c r="P2543" s="81">
        <f>IF('Ordenes_Odoo'!P2543="","",'Ordenes_Odoo'!P2543)</f>
        <v/>
      </c>
      <c r="Q2543" s="79">
        <f>IF(A2543="","",IFERROR(INDEX(Facturas_Odoo!$B:$B, MATCH(A2543, Facturas_Odoo!$D:$D, 0)), "Sin Factura"))</f>
        <v/>
      </c>
      <c r="R2543" s="80">
        <f>IF(Q2543="Sin Factura","",IFERROR(INDEX(Facturas_Odoo!$A:$A, MATCH(Q2543, Facturas_Odoo!$B:$B, 0)), ""))</f>
        <v/>
      </c>
      <c r="S2543" s="79">
        <f>IF(Q2543="Sin Factura","",IFERROR(_xlfn.XLOOKUP(1, (Facturas_Odoo!$D:$D=A2543) * (Facturas_Odoo!$K:$K=I2543), Facturas_Odoo!$L:$L, ""), ""))</f>
        <v/>
      </c>
      <c r="T2543" s="81">
        <f>IF(Q2543="Sin Factura",0,IFERROR(_xlfn.XLOOKUP(1, (Facturas_Odoo!$D:$D=A2543) * (Facturas_Odoo!$K:$K=I2543), Facturas_Odoo!$M:$M, 0), 0))</f>
        <v/>
      </c>
      <c r="U2543" s="79">
        <f>IF(Q2543="Sin Factura",0,IFERROR(_xlfn.XLOOKUP(1, (Facturas_Odoo!$D:$D=A2543) * (Facturas_Odoo!$K:$K=I2543), Facturas_Odoo!$N:$N, 0), 0))</f>
        <v/>
      </c>
      <c r="V2543" s="79">
        <f>IF(Q2543="Sin Factura",0,IFERROR(_xlfn.XLOOKUP(1, (Facturas_Odoo!$D:$D=A2543) * (Facturas_Odoo!$K:$K=I2543), Facturas_Odoo!$O:$O, 0), 0))</f>
        <v/>
      </c>
      <c r="W2543" s="81">
        <f>IF(Q2543="Sin Factura",0,IFERROR(_xlfn.XLOOKUP(1, (Facturas_Odoo!$D:$D=A2543) * (Facturas_Odoo!$K:$K=I2543), Facturas_Odoo!$Q:$Q, 0), 0))</f>
        <v/>
      </c>
      <c r="X2543" s="79">
        <f>IF(OR(Q2543="Sin Factura",Q2543=""),"",IFERROR(INDEX(Pagos_Odoo!$B:$B, MATCH(Q2543, Pagos_Odoo!$I:$I, 0)), "Sin Pago"))</f>
        <v/>
      </c>
      <c r="Y2543" s="79">
        <f>IF(X2543="Sin Pago","",IFERROR(INDEX(Pagos_Odoo!$C:$C, MATCH(X2543, Pagos_Odoo!$B:$B, 0)), ""))</f>
        <v/>
      </c>
      <c r="Z2543" s="80">
        <f>IF(X2543="Sin Pago","",IFERROR(INDEX(Pagos_Odoo!$A:$A, MATCH(X2543, Pagos_Odoo!$B:$B, 0)), ""))</f>
        <v/>
      </c>
      <c r="AA2543" s="79">
        <f>IF(X2543="Sin Pago","",IFERROR(INDEX(Pagos_Odoo!$F:$F, MATCH(X2543, Pagos_Odoo!$B:$B, 0)), ""))</f>
        <v/>
      </c>
      <c r="AB2543" s="81">
        <f>IF(X2543="Sin Pago",0,IFERROR(INDEX(Pagos_Odoo!$E:$E, MATCH(X2543, Pagos_Odoo!$B:$B, 0)), 0))</f>
        <v/>
      </c>
      <c r="AC2543" s="79">
        <f>IF(X2543="Sin Pago","",IFERROR(INDEX(Pagos_Odoo!$G:$G, MATCH(X2543, Pagos_Odoo!$B:$B, 0)), ""))</f>
        <v/>
      </c>
      <c r="AD2543" s="82" t="n">
        <v>0</v>
      </c>
      <c r="AE2543" s="82" t="n"/>
      <c r="AF2543" s="82" t="n"/>
      <c r="AG2543" s="82">
        <f>IF(AN2543="","",AD2543+AE2543+AF2543)</f>
        <v/>
      </c>
      <c r="AH2543" s="81">
        <f>IF(AN2543="","",P2543*(1-AG2543))</f>
        <v/>
      </c>
      <c r="AI2543" s="81">
        <f>IF(AN2543="","",IF(Q2543="Sin Factura",0,IFERROR(INDEX(Facturas_Odoo!$H:$H, MATCH(Q2543, Facturas_Odoo!$B:$B, 0)), 0)*(1-AG2543)))</f>
        <v/>
      </c>
      <c r="AJ2543" s="81">
        <f>IF(AN2543="","",_xlfn.LET(idVenta, AN2543&amp;"",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43" s="81">
        <f>IF(AN2543="","",AH2543-AJ2543)</f>
        <v/>
      </c>
      <c r="AL2543" s="81">
        <f>IF(AN2543="","",IF(Q2543="Sin Factura","",AI2543-AJ2543))</f>
        <v/>
      </c>
      <c r="AM2543" s="81">
        <f>IF(AN2543="","",IF(Q2543="Sin Factura",0,P2543-IFERROR(INDEX(Facturas_Odoo!$H:$H, MATCH(Q2543, Facturas_Odoo!$B:$B, 0)), 0)))</f>
        <v/>
      </c>
      <c r="AN2543" s="79">
        <f>IF(AND(A2543="", J2543=""), "", IF(A2543&lt;&gt;"", VALUE(MID(A2543,2,LEN(A2543))), AN2542))</f>
        <v/>
      </c>
      <c r="AO2543" s="79">
        <f>IF(AN2543="","",IF(AD2543=0,"OK",_xlfn.LET(monedaPago, IF(AA2543="","USD",AA2543), limitePermitido, IFERROR(VLOOKUP(monedaPago, Configuración!$A$2:$B$3, 2, FALSE), 0.15), IF(AD2543&gt;limitePermitido, "ALERTA: EXCESO (" &amp; TEXT(limitePermitido, "0%") &amp; " máx)", "OK"))))</f>
        <v/>
      </c>
      <c r="AP2543" s="79">
        <f>IF(AN2543="","",IF(AE2543=0,"OK",_xlfn.LET(fechaPago, Z2543, fechaFactura, R2543, diasCredito, IF(E2543="Pago inmediato", 0, IFERROR(VALUE(MID(E2543, 1, SEARCH(" ", E2543)-1)),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43" s="79">
        <f>IF(AN2543="","",IF(AND(N2543&gt;0, AG2543&gt;0), IF(Configuración!$K$2="NO", "ALERTA: DESCUENTO DOBLE NO PERMITIDO", "OK"), "OK"))</f>
        <v/>
      </c>
      <c r="AR2543" s="79">
        <f>IF(AN2543="","",IF(OR(AO2543&lt;&gt;"OK", AP2543&lt;&gt;"OK", AQ2543&lt;&gt;"OK"), "⚠️ REVISAR", "OK"))</f>
        <v/>
      </c>
    </row>
    <row r="2544">
      <c r="A2544" s="79">
        <f>IF('Ordenes_Odoo'!A2544="","",'Ordenes_Odoo'!A2544)</f>
        <v/>
      </c>
      <c r="B2544" s="80">
        <f>IF('Ordenes_Odoo'!B2544="","",'Ordenes_Odoo'!B2544)</f>
        <v/>
      </c>
      <c r="C2544" s="79">
        <f>IF('Ordenes_Odoo'!C2544="","",'Ordenes_Odoo'!C2544)</f>
        <v/>
      </c>
      <c r="D2544" s="79">
        <f>IF('Ordenes_Odoo'!D2544="","",'Ordenes_Odoo'!D2544)</f>
        <v/>
      </c>
      <c r="E2544" s="79">
        <f>IF('Ordenes_Odoo'!E2544="","",'Ordenes_Odoo'!E2544)</f>
        <v/>
      </c>
      <c r="F2544" s="79">
        <f>IF('Ordenes_Odoo'!F2544="","",'Ordenes_Odoo'!F2544)</f>
        <v/>
      </c>
      <c r="G2544" s="79">
        <f>IF('Ordenes_Odoo'!G2544="","",'Ordenes_Odoo'!G2544)</f>
        <v/>
      </c>
      <c r="H2544" s="79">
        <f>IF('Ordenes_Odoo'!H2544="","",'Ordenes_Odoo'!H2544)</f>
        <v/>
      </c>
      <c r="I2544" s="79">
        <f>IF('Ordenes_Odoo'!I2544="","",'Ordenes_Odoo'!I2544)</f>
        <v/>
      </c>
      <c r="J2544" s="79">
        <f>IF('Ordenes_Odoo'!J2544="","",'Ordenes_Odoo'!J2544)</f>
        <v/>
      </c>
      <c r="K2544" s="81">
        <f>IF('Ordenes_Odoo'!K2544="","",'Ordenes_Odoo'!K2544)</f>
        <v/>
      </c>
      <c r="L2544" s="81">
        <f>IF('Ordenes_Odoo'!L2544="","",'Ordenes_Odoo'!L2544)</f>
        <v/>
      </c>
      <c r="M2544" s="79">
        <f>IF('Ordenes_Odoo'!M2544="","",'Ordenes_Odoo'!M2544)</f>
        <v/>
      </c>
      <c r="N2544" s="79">
        <f>IF('Ordenes_Odoo'!N2544="","",'Ordenes_Odoo'!N2544)</f>
        <v/>
      </c>
      <c r="O2544" s="81">
        <f>IF('Ordenes_Odoo'!O2544="","",'Ordenes_Odoo'!O2544)</f>
        <v/>
      </c>
      <c r="P2544" s="81">
        <f>IF('Ordenes_Odoo'!P2544="","",'Ordenes_Odoo'!P2544)</f>
        <v/>
      </c>
      <c r="Q2544" s="79">
        <f>IF(A2544="","",IFERROR(INDEX(Facturas_Odoo!$B:$B, MATCH(A2544, Facturas_Odoo!$D:$D, 0)), "Sin Factura"))</f>
        <v/>
      </c>
      <c r="R2544" s="80">
        <f>IF(Q2544="Sin Factura","",IFERROR(INDEX(Facturas_Odoo!$A:$A, MATCH(Q2544, Facturas_Odoo!$B:$B, 0)), ""))</f>
        <v/>
      </c>
      <c r="S2544" s="79">
        <f>IF(Q2544="Sin Factura","",IFERROR(_xlfn.XLOOKUP(1, (Facturas_Odoo!$D:$D=A2544) * (Facturas_Odoo!$K:$K=I2544), Facturas_Odoo!$L:$L, ""), ""))</f>
        <v/>
      </c>
      <c r="T2544" s="81">
        <f>IF(Q2544="Sin Factura",0,IFERROR(_xlfn.XLOOKUP(1, (Facturas_Odoo!$D:$D=A2544) * (Facturas_Odoo!$K:$K=I2544), Facturas_Odoo!$M:$M, 0), 0))</f>
        <v/>
      </c>
      <c r="U2544" s="79">
        <f>IF(Q2544="Sin Factura",0,IFERROR(_xlfn.XLOOKUP(1, (Facturas_Odoo!$D:$D=A2544) * (Facturas_Odoo!$K:$K=I2544), Facturas_Odoo!$N:$N, 0), 0))</f>
        <v/>
      </c>
      <c r="V2544" s="79">
        <f>IF(Q2544="Sin Factura",0,IFERROR(_xlfn.XLOOKUP(1, (Facturas_Odoo!$D:$D=A2544) * (Facturas_Odoo!$K:$K=I2544), Facturas_Odoo!$O:$O, 0), 0))</f>
        <v/>
      </c>
      <c r="W2544" s="81">
        <f>IF(Q2544="Sin Factura",0,IFERROR(_xlfn.XLOOKUP(1, (Facturas_Odoo!$D:$D=A2544) * (Facturas_Odoo!$K:$K=I2544), Facturas_Odoo!$Q:$Q, 0), 0))</f>
        <v/>
      </c>
      <c r="X2544" s="79">
        <f>IF(OR(Q2544="Sin Factura",Q2544=""),"",IFERROR(INDEX(Pagos_Odoo!$B:$B, MATCH(Q2544, Pagos_Odoo!$I:$I, 0)), "Sin Pago"))</f>
        <v/>
      </c>
      <c r="Y2544" s="79">
        <f>IF(X2544="Sin Pago","",IFERROR(INDEX(Pagos_Odoo!$C:$C, MATCH(X2544, Pagos_Odoo!$B:$B, 0)), ""))</f>
        <v/>
      </c>
      <c r="Z2544" s="80">
        <f>IF(X2544="Sin Pago","",IFERROR(INDEX(Pagos_Odoo!$A:$A, MATCH(X2544, Pagos_Odoo!$B:$B, 0)), ""))</f>
        <v/>
      </c>
      <c r="AA2544" s="79">
        <f>IF(X2544="Sin Pago","",IFERROR(INDEX(Pagos_Odoo!$F:$F, MATCH(X2544, Pagos_Odoo!$B:$B, 0)), ""))</f>
        <v/>
      </c>
      <c r="AB2544" s="81">
        <f>IF(X2544="Sin Pago",0,IFERROR(INDEX(Pagos_Odoo!$E:$E, MATCH(X2544, Pagos_Odoo!$B:$B, 0)), 0))</f>
        <v/>
      </c>
      <c r="AC2544" s="79">
        <f>IF(X2544="Sin Pago","",IFERROR(INDEX(Pagos_Odoo!$G:$G, MATCH(X2544, Pagos_Odoo!$B:$B, 0)), ""))</f>
        <v/>
      </c>
      <c r="AD2544" s="82" t="n">
        <v>0</v>
      </c>
      <c r="AE2544" s="82" t="n"/>
      <c r="AF2544" s="82" t="n"/>
      <c r="AG2544" s="82">
        <f>IF(AN2544="","",AD2544+AE2544+AF2544)</f>
        <v/>
      </c>
      <c r="AH2544" s="81">
        <f>IF(AN2544="","",P2544*(1-AG2544))</f>
        <v/>
      </c>
      <c r="AI2544" s="81">
        <f>IF(AN2544="","",IF(Q2544="Sin Factura",0,IFERROR(INDEX(Facturas_Odoo!$H:$H, MATCH(Q2544, Facturas_Odoo!$B:$B, 0)), 0)*(1-AG2544)))</f>
        <v/>
      </c>
      <c r="AJ2544" s="81">
        <f>IF(AN2544="","",_xlfn.LET(idVenta, AN2544&amp;"",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44" s="81">
        <f>IF(AN2544="","",AH2544-AJ2544)</f>
        <v/>
      </c>
      <c r="AL2544" s="81">
        <f>IF(AN2544="","",IF(Q2544="Sin Factura","",AI2544-AJ2544))</f>
        <v/>
      </c>
      <c r="AM2544" s="81">
        <f>IF(AN2544="","",IF(Q2544="Sin Factura",0,P2544-IFERROR(INDEX(Facturas_Odoo!$H:$H, MATCH(Q2544, Facturas_Odoo!$B:$B, 0)), 0)))</f>
        <v/>
      </c>
      <c r="AN2544" s="79">
        <f>IF(AND(A2544="", J2544=""), "", IF(A2544&lt;&gt;"", VALUE(MID(A2544,2,LEN(A2544))), AN2543))</f>
        <v/>
      </c>
      <c r="AO2544" s="79">
        <f>IF(AN2544="","",IF(AD2544=0,"OK",_xlfn.LET(monedaPago, IF(AA2544="","USD",AA2544), limitePermitido, IFERROR(VLOOKUP(monedaPago, Configuración!$A$2:$B$3, 2, FALSE), 0.15), IF(AD2544&gt;limitePermitido, "ALERTA: EXCESO (" &amp; TEXT(limitePermitido, "0%") &amp; " máx)", "OK"))))</f>
        <v/>
      </c>
      <c r="AP2544" s="79">
        <f>IF(AN2544="","",IF(AE2544=0,"OK",_xlfn.LET(fechaPago, Z2544, fechaFactura, R2544, diasCredito, IF(E2544="Pago inmediato", 0, IFERROR(VALUE(MID(E2544, 1, SEARCH(" ", E2544)-1)),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44" s="79">
        <f>IF(AN2544="","",IF(AND(N2544&gt;0, AG2544&gt;0), IF(Configuración!$K$2="NO", "ALERTA: DESCUENTO DOBLE NO PERMITIDO", "OK"), "OK"))</f>
        <v/>
      </c>
      <c r="AR2544" s="79">
        <f>IF(AN2544="","",IF(OR(AO2544&lt;&gt;"OK", AP2544&lt;&gt;"OK", AQ2544&lt;&gt;"OK"), "⚠️ REVISAR", "OK"))</f>
        <v/>
      </c>
    </row>
    <row r="2545">
      <c r="A2545" s="79">
        <f>IF('Ordenes_Odoo'!A2545="","",'Ordenes_Odoo'!A2545)</f>
        <v/>
      </c>
      <c r="B2545" s="80">
        <f>IF('Ordenes_Odoo'!B2545="","",'Ordenes_Odoo'!B2545)</f>
        <v/>
      </c>
      <c r="C2545" s="79">
        <f>IF('Ordenes_Odoo'!C2545="","",'Ordenes_Odoo'!C2545)</f>
        <v/>
      </c>
      <c r="D2545" s="79">
        <f>IF('Ordenes_Odoo'!D2545="","",'Ordenes_Odoo'!D2545)</f>
        <v/>
      </c>
      <c r="E2545" s="79">
        <f>IF('Ordenes_Odoo'!E2545="","",'Ordenes_Odoo'!E2545)</f>
        <v/>
      </c>
      <c r="F2545" s="79">
        <f>IF('Ordenes_Odoo'!F2545="","",'Ordenes_Odoo'!F2545)</f>
        <v/>
      </c>
      <c r="G2545" s="79">
        <f>IF('Ordenes_Odoo'!G2545="","",'Ordenes_Odoo'!G2545)</f>
        <v/>
      </c>
      <c r="H2545" s="79">
        <f>IF('Ordenes_Odoo'!H2545="","",'Ordenes_Odoo'!H2545)</f>
        <v/>
      </c>
      <c r="I2545" s="79">
        <f>IF('Ordenes_Odoo'!I2545="","",'Ordenes_Odoo'!I2545)</f>
        <v/>
      </c>
      <c r="J2545" s="79">
        <f>IF('Ordenes_Odoo'!J2545="","",'Ordenes_Odoo'!J2545)</f>
        <v/>
      </c>
      <c r="K2545" s="81">
        <f>IF('Ordenes_Odoo'!K2545="","",'Ordenes_Odoo'!K2545)</f>
        <v/>
      </c>
      <c r="L2545" s="81">
        <f>IF('Ordenes_Odoo'!L2545="","",'Ordenes_Odoo'!L2545)</f>
        <v/>
      </c>
      <c r="M2545" s="79">
        <f>IF('Ordenes_Odoo'!M2545="","",'Ordenes_Odoo'!M2545)</f>
        <v/>
      </c>
      <c r="N2545" s="79">
        <f>IF('Ordenes_Odoo'!N2545="","",'Ordenes_Odoo'!N2545)</f>
        <v/>
      </c>
      <c r="O2545" s="81">
        <f>IF('Ordenes_Odoo'!O2545="","",'Ordenes_Odoo'!O2545)</f>
        <v/>
      </c>
      <c r="P2545" s="81">
        <f>IF('Ordenes_Odoo'!P2545="","",'Ordenes_Odoo'!P2545)</f>
        <v/>
      </c>
      <c r="Q2545" s="79">
        <f>IF(A2545="","",IFERROR(INDEX(Facturas_Odoo!$B:$B, MATCH(A2545, Facturas_Odoo!$D:$D, 0)), "Sin Factura"))</f>
        <v/>
      </c>
      <c r="R2545" s="80">
        <f>IF(Q2545="Sin Factura","",IFERROR(INDEX(Facturas_Odoo!$A:$A, MATCH(Q2545, Facturas_Odoo!$B:$B, 0)), ""))</f>
        <v/>
      </c>
      <c r="S2545" s="79">
        <f>IF(Q2545="Sin Factura","",IFERROR(_xlfn.XLOOKUP(1, (Facturas_Odoo!$D:$D=A2545) * (Facturas_Odoo!$K:$K=I2545), Facturas_Odoo!$L:$L, ""), ""))</f>
        <v/>
      </c>
      <c r="T2545" s="81">
        <f>IF(Q2545="Sin Factura",0,IFERROR(_xlfn.XLOOKUP(1, (Facturas_Odoo!$D:$D=A2545) * (Facturas_Odoo!$K:$K=I2545), Facturas_Odoo!$M:$M, 0), 0))</f>
        <v/>
      </c>
      <c r="U2545" s="79">
        <f>IF(Q2545="Sin Factura",0,IFERROR(_xlfn.XLOOKUP(1, (Facturas_Odoo!$D:$D=A2545) * (Facturas_Odoo!$K:$K=I2545), Facturas_Odoo!$N:$N, 0), 0))</f>
        <v/>
      </c>
      <c r="V2545" s="79">
        <f>IF(Q2545="Sin Factura",0,IFERROR(_xlfn.XLOOKUP(1, (Facturas_Odoo!$D:$D=A2545) * (Facturas_Odoo!$K:$K=I2545), Facturas_Odoo!$O:$O, 0), 0))</f>
        <v/>
      </c>
      <c r="W2545" s="81">
        <f>IF(Q2545="Sin Factura",0,IFERROR(_xlfn.XLOOKUP(1, (Facturas_Odoo!$D:$D=A2545) * (Facturas_Odoo!$K:$K=I2545), Facturas_Odoo!$Q:$Q, 0), 0))</f>
        <v/>
      </c>
      <c r="X2545" s="79">
        <f>IF(OR(Q2545="Sin Factura",Q2545=""),"",IFERROR(INDEX(Pagos_Odoo!$B:$B, MATCH(Q2545, Pagos_Odoo!$I:$I, 0)), "Sin Pago"))</f>
        <v/>
      </c>
      <c r="Y2545" s="79">
        <f>IF(X2545="Sin Pago","",IFERROR(INDEX(Pagos_Odoo!$C:$C, MATCH(X2545, Pagos_Odoo!$B:$B, 0)), ""))</f>
        <v/>
      </c>
      <c r="Z2545" s="80">
        <f>IF(X2545="Sin Pago","",IFERROR(INDEX(Pagos_Odoo!$A:$A, MATCH(X2545, Pagos_Odoo!$B:$B, 0)), ""))</f>
        <v/>
      </c>
      <c r="AA2545" s="79">
        <f>IF(X2545="Sin Pago","",IFERROR(INDEX(Pagos_Odoo!$F:$F, MATCH(X2545, Pagos_Odoo!$B:$B, 0)), ""))</f>
        <v/>
      </c>
      <c r="AB2545" s="81">
        <f>IF(X2545="Sin Pago",0,IFERROR(INDEX(Pagos_Odoo!$E:$E, MATCH(X2545, Pagos_Odoo!$B:$B, 0)), 0))</f>
        <v/>
      </c>
      <c r="AC2545" s="79">
        <f>IF(X2545="Sin Pago","",IFERROR(INDEX(Pagos_Odoo!$G:$G, MATCH(X2545, Pagos_Odoo!$B:$B, 0)), ""))</f>
        <v/>
      </c>
      <c r="AD2545" s="82" t="n">
        <v>0</v>
      </c>
      <c r="AE2545" s="82" t="n"/>
      <c r="AF2545" s="82" t="n"/>
      <c r="AG2545" s="82">
        <f>IF(AN2545="","",AD2545+AE2545+AF2545)</f>
        <v/>
      </c>
      <c r="AH2545" s="81">
        <f>IF(AN2545="","",P2545*(1-AG2545))</f>
        <v/>
      </c>
      <c r="AI2545" s="81">
        <f>IF(AN2545="","",IF(Q2545="Sin Factura",0,IFERROR(INDEX(Facturas_Odoo!$H:$H, MATCH(Q2545, Facturas_Odoo!$B:$B, 0)), 0)*(1-AG2545)))</f>
        <v/>
      </c>
      <c r="AJ2545" s="81">
        <f>IF(AN2545="","",_xlfn.LET(idVenta, AN2545&amp;"",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45" s="81">
        <f>IF(AN2545="","",AH2545-AJ2545)</f>
        <v/>
      </c>
      <c r="AL2545" s="81">
        <f>IF(AN2545="","",IF(Q2545="Sin Factura","",AI2545-AJ2545))</f>
        <v/>
      </c>
      <c r="AM2545" s="81">
        <f>IF(AN2545="","",IF(Q2545="Sin Factura",0,P2545-IFERROR(INDEX(Facturas_Odoo!$H:$H, MATCH(Q2545, Facturas_Odoo!$B:$B, 0)), 0)))</f>
        <v/>
      </c>
      <c r="AN2545" s="79">
        <f>IF(AND(A2545="", J2545=""), "", IF(A2545&lt;&gt;"", VALUE(MID(A2545,2,LEN(A2545))), AN2544))</f>
        <v/>
      </c>
      <c r="AO2545" s="79">
        <f>IF(AN2545="","",IF(AD2545=0,"OK",_xlfn.LET(monedaPago, IF(AA2545="","USD",AA2545), limitePermitido, IFERROR(VLOOKUP(monedaPago, Configuración!$A$2:$B$3, 2, FALSE), 0.15), IF(AD2545&gt;limitePermitido, "ALERTA: EXCESO (" &amp; TEXT(limitePermitido, "0%") &amp; " máx)", "OK"))))</f>
        <v/>
      </c>
      <c r="AP2545" s="79">
        <f>IF(AN2545="","",IF(AE2545=0,"OK",_xlfn.LET(fechaPago, Z2545, fechaFactura, R2545, diasCredito, IF(E2545="Pago inmediato", 0, IFERROR(VALUE(MID(E2545, 1, SEARCH(" ", E2545)-1)),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45" s="79">
        <f>IF(AN2545="","",IF(AND(N2545&gt;0, AG2545&gt;0), IF(Configuración!$K$2="NO", "ALERTA: DESCUENTO DOBLE NO PERMITIDO", "OK"), "OK"))</f>
        <v/>
      </c>
      <c r="AR2545" s="79">
        <f>IF(AN2545="","",IF(OR(AO2545&lt;&gt;"OK", AP2545&lt;&gt;"OK", AQ2545&lt;&gt;"OK"), "⚠️ REVISAR", "OK"))</f>
        <v/>
      </c>
    </row>
    <row r="2546">
      <c r="A2546" s="79">
        <f>IF('Ordenes_Odoo'!A2546="","",'Ordenes_Odoo'!A2546)</f>
        <v/>
      </c>
      <c r="B2546" s="80">
        <f>IF('Ordenes_Odoo'!B2546="","",'Ordenes_Odoo'!B2546)</f>
        <v/>
      </c>
      <c r="C2546" s="79">
        <f>IF('Ordenes_Odoo'!C2546="","",'Ordenes_Odoo'!C2546)</f>
        <v/>
      </c>
      <c r="D2546" s="79">
        <f>IF('Ordenes_Odoo'!D2546="","",'Ordenes_Odoo'!D2546)</f>
        <v/>
      </c>
      <c r="E2546" s="79">
        <f>IF('Ordenes_Odoo'!E2546="","",'Ordenes_Odoo'!E2546)</f>
        <v/>
      </c>
      <c r="F2546" s="79">
        <f>IF('Ordenes_Odoo'!F2546="","",'Ordenes_Odoo'!F2546)</f>
        <v/>
      </c>
      <c r="G2546" s="79">
        <f>IF('Ordenes_Odoo'!G2546="","",'Ordenes_Odoo'!G2546)</f>
        <v/>
      </c>
      <c r="H2546" s="79">
        <f>IF('Ordenes_Odoo'!H2546="","",'Ordenes_Odoo'!H2546)</f>
        <v/>
      </c>
      <c r="I2546" s="79">
        <f>IF('Ordenes_Odoo'!I2546="","",'Ordenes_Odoo'!I2546)</f>
        <v/>
      </c>
      <c r="J2546" s="79">
        <f>IF('Ordenes_Odoo'!J2546="","",'Ordenes_Odoo'!J2546)</f>
        <v/>
      </c>
      <c r="K2546" s="81">
        <f>IF('Ordenes_Odoo'!K2546="","",'Ordenes_Odoo'!K2546)</f>
        <v/>
      </c>
      <c r="L2546" s="81">
        <f>IF('Ordenes_Odoo'!L2546="","",'Ordenes_Odoo'!L2546)</f>
        <v/>
      </c>
      <c r="M2546" s="79">
        <f>IF('Ordenes_Odoo'!M2546="","",'Ordenes_Odoo'!M2546)</f>
        <v/>
      </c>
      <c r="N2546" s="79">
        <f>IF('Ordenes_Odoo'!N2546="","",'Ordenes_Odoo'!N2546)</f>
        <v/>
      </c>
      <c r="O2546" s="81">
        <f>IF('Ordenes_Odoo'!O2546="","",'Ordenes_Odoo'!O2546)</f>
        <v/>
      </c>
      <c r="P2546" s="81">
        <f>IF('Ordenes_Odoo'!P2546="","",'Ordenes_Odoo'!P2546)</f>
        <v/>
      </c>
      <c r="Q2546" s="79">
        <f>IF(A2546="","",IFERROR(INDEX(Facturas_Odoo!$B:$B, MATCH(A2546, Facturas_Odoo!$D:$D, 0)), "Sin Factura"))</f>
        <v/>
      </c>
      <c r="R2546" s="80">
        <f>IF(Q2546="Sin Factura","",IFERROR(INDEX(Facturas_Odoo!$A:$A, MATCH(Q2546, Facturas_Odoo!$B:$B, 0)), ""))</f>
        <v/>
      </c>
      <c r="S2546" s="79">
        <f>IF(Q2546="Sin Factura","",IFERROR(_xlfn.XLOOKUP(1, (Facturas_Odoo!$D:$D=A2546) * (Facturas_Odoo!$K:$K=I2546), Facturas_Odoo!$L:$L, ""), ""))</f>
        <v/>
      </c>
      <c r="T2546" s="81">
        <f>IF(Q2546="Sin Factura",0,IFERROR(_xlfn.XLOOKUP(1, (Facturas_Odoo!$D:$D=A2546) * (Facturas_Odoo!$K:$K=I2546), Facturas_Odoo!$M:$M, 0), 0))</f>
        <v/>
      </c>
      <c r="U2546" s="79">
        <f>IF(Q2546="Sin Factura",0,IFERROR(_xlfn.XLOOKUP(1, (Facturas_Odoo!$D:$D=A2546) * (Facturas_Odoo!$K:$K=I2546), Facturas_Odoo!$N:$N, 0), 0))</f>
        <v/>
      </c>
      <c r="V2546" s="79">
        <f>IF(Q2546="Sin Factura",0,IFERROR(_xlfn.XLOOKUP(1, (Facturas_Odoo!$D:$D=A2546) * (Facturas_Odoo!$K:$K=I2546), Facturas_Odoo!$O:$O, 0), 0))</f>
        <v/>
      </c>
      <c r="W2546" s="81">
        <f>IF(Q2546="Sin Factura",0,IFERROR(_xlfn.XLOOKUP(1, (Facturas_Odoo!$D:$D=A2546) * (Facturas_Odoo!$K:$K=I2546), Facturas_Odoo!$Q:$Q, 0), 0))</f>
        <v/>
      </c>
      <c r="X2546" s="79">
        <f>IF(OR(Q2546="Sin Factura",Q2546=""),"",IFERROR(INDEX(Pagos_Odoo!$B:$B, MATCH(Q2546, Pagos_Odoo!$I:$I, 0)), "Sin Pago"))</f>
        <v/>
      </c>
      <c r="Y2546" s="79">
        <f>IF(X2546="Sin Pago","",IFERROR(INDEX(Pagos_Odoo!$C:$C, MATCH(X2546, Pagos_Odoo!$B:$B, 0)), ""))</f>
        <v/>
      </c>
      <c r="Z2546" s="80">
        <f>IF(X2546="Sin Pago","",IFERROR(INDEX(Pagos_Odoo!$A:$A, MATCH(X2546, Pagos_Odoo!$B:$B, 0)), ""))</f>
        <v/>
      </c>
      <c r="AA2546" s="79">
        <f>IF(X2546="Sin Pago","",IFERROR(INDEX(Pagos_Odoo!$F:$F, MATCH(X2546, Pagos_Odoo!$B:$B, 0)), ""))</f>
        <v/>
      </c>
      <c r="AB2546" s="81">
        <f>IF(X2546="Sin Pago",0,IFERROR(INDEX(Pagos_Odoo!$E:$E, MATCH(X2546, Pagos_Odoo!$B:$B, 0)), 0))</f>
        <v/>
      </c>
      <c r="AC2546" s="79">
        <f>IF(X2546="Sin Pago","",IFERROR(INDEX(Pagos_Odoo!$G:$G, MATCH(X2546, Pagos_Odoo!$B:$B, 0)), ""))</f>
        <v/>
      </c>
      <c r="AD2546" s="82" t="n">
        <v>0</v>
      </c>
      <c r="AE2546" s="82" t="n"/>
      <c r="AF2546" s="82" t="n"/>
      <c r="AG2546" s="82">
        <f>IF(AN2546="","",AD2546+AE2546+AF2546)</f>
        <v/>
      </c>
      <c r="AH2546" s="81">
        <f>IF(AN2546="","",P2546*(1-AG2546))</f>
        <v/>
      </c>
      <c r="AI2546" s="81">
        <f>IF(AN2546="","",IF(Q2546="Sin Factura",0,IFERROR(INDEX(Facturas_Odoo!$H:$H, MATCH(Q2546, Facturas_Odoo!$B:$B, 0)), 0)*(1-AG2546)))</f>
        <v/>
      </c>
      <c r="AJ2546" s="81">
        <f>IF(AN2546="","",_xlfn.LET(idVenta, AN2546&amp;"",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46" s="81">
        <f>IF(AN2546="","",AH2546-AJ2546)</f>
        <v/>
      </c>
      <c r="AL2546" s="81">
        <f>IF(AN2546="","",IF(Q2546="Sin Factura","",AI2546-AJ2546))</f>
        <v/>
      </c>
      <c r="AM2546" s="81">
        <f>IF(AN2546="","",IF(Q2546="Sin Factura",0,P2546-IFERROR(INDEX(Facturas_Odoo!$H:$H, MATCH(Q2546, Facturas_Odoo!$B:$B, 0)), 0)))</f>
        <v/>
      </c>
      <c r="AN2546" s="79">
        <f>IF(AND(A2546="", J2546=""), "", IF(A2546&lt;&gt;"", VALUE(MID(A2546,2,LEN(A2546))), AN2545))</f>
        <v/>
      </c>
      <c r="AO2546" s="79">
        <f>IF(AN2546="","",IF(AD2546=0,"OK",_xlfn.LET(monedaPago, IF(AA2546="","USD",AA2546), limitePermitido, IFERROR(VLOOKUP(monedaPago, Configuración!$A$2:$B$3, 2, FALSE), 0.15), IF(AD2546&gt;limitePermitido, "ALERTA: EXCESO (" &amp; TEXT(limitePermitido, "0%") &amp; " máx)", "OK"))))</f>
        <v/>
      </c>
      <c r="AP2546" s="79">
        <f>IF(AN2546="","",IF(AE2546=0,"OK",_xlfn.LET(fechaPago, Z2546, fechaFactura, R2546, diasCredito, IF(E2546="Pago inmediato", 0, IFERROR(VALUE(MID(E2546, 1, SEARCH(" ", E2546)-1)),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46" s="79">
        <f>IF(AN2546="","",IF(AND(N2546&gt;0, AG2546&gt;0), IF(Configuración!$K$2="NO", "ALERTA: DESCUENTO DOBLE NO PERMITIDO", "OK"), "OK"))</f>
        <v/>
      </c>
      <c r="AR2546" s="79">
        <f>IF(AN2546="","",IF(OR(AO2546&lt;&gt;"OK", AP2546&lt;&gt;"OK", AQ2546&lt;&gt;"OK"), "⚠️ REVISAR", "OK"))</f>
        <v/>
      </c>
    </row>
    <row r="2547">
      <c r="A2547" s="79">
        <f>IF('Ordenes_Odoo'!A2547="","",'Ordenes_Odoo'!A2547)</f>
        <v/>
      </c>
      <c r="B2547" s="80">
        <f>IF('Ordenes_Odoo'!B2547="","",'Ordenes_Odoo'!B2547)</f>
        <v/>
      </c>
      <c r="C2547" s="79">
        <f>IF('Ordenes_Odoo'!C2547="","",'Ordenes_Odoo'!C2547)</f>
        <v/>
      </c>
      <c r="D2547" s="79">
        <f>IF('Ordenes_Odoo'!D2547="","",'Ordenes_Odoo'!D2547)</f>
        <v/>
      </c>
      <c r="E2547" s="79">
        <f>IF('Ordenes_Odoo'!E2547="","",'Ordenes_Odoo'!E2547)</f>
        <v/>
      </c>
      <c r="F2547" s="79">
        <f>IF('Ordenes_Odoo'!F2547="","",'Ordenes_Odoo'!F2547)</f>
        <v/>
      </c>
      <c r="G2547" s="79">
        <f>IF('Ordenes_Odoo'!G2547="","",'Ordenes_Odoo'!G2547)</f>
        <v/>
      </c>
      <c r="H2547" s="79">
        <f>IF('Ordenes_Odoo'!H2547="","",'Ordenes_Odoo'!H2547)</f>
        <v/>
      </c>
      <c r="I2547" s="79">
        <f>IF('Ordenes_Odoo'!I2547="","",'Ordenes_Odoo'!I2547)</f>
        <v/>
      </c>
      <c r="J2547" s="79">
        <f>IF('Ordenes_Odoo'!J2547="","",'Ordenes_Odoo'!J2547)</f>
        <v/>
      </c>
      <c r="K2547" s="81">
        <f>IF('Ordenes_Odoo'!K2547="","",'Ordenes_Odoo'!K2547)</f>
        <v/>
      </c>
      <c r="L2547" s="81">
        <f>IF('Ordenes_Odoo'!L2547="","",'Ordenes_Odoo'!L2547)</f>
        <v/>
      </c>
      <c r="M2547" s="79">
        <f>IF('Ordenes_Odoo'!M2547="","",'Ordenes_Odoo'!M2547)</f>
        <v/>
      </c>
      <c r="N2547" s="79">
        <f>IF('Ordenes_Odoo'!N2547="","",'Ordenes_Odoo'!N2547)</f>
        <v/>
      </c>
      <c r="O2547" s="81">
        <f>IF('Ordenes_Odoo'!O2547="","",'Ordenes_Odoo'!O2547)</f>
        <v/>
      </c>
      <c r="P2547" s="81">
        <f>IF('Ordenes_Odoo'!P2547="","",'Ordenes_Odoo'!P2547)</f>
        <v/>
      </c>
      <c r="Q2547" s="79">
        <f>IF(A2547="","",IFERROR(INDEX(Facturas_Odoo!$B:$B, MATCH(A2547, Facturas_Odoo!$D:$D, 0)), "Sin Factura"))</f>
        <v/>
      </c>
      <c r="R2547" s="80">
        <f>IF(Q2547="Sin Factura","",IFERROR(INDEX(Facturas_Odoo!$A:$A, MATCH(Q2547, Facturas_Odoo!$B:$B, 0)), ""))</f>
        <v/>
      </c>
      <c r="S2547" s="79">
        <f>IF(Q2547="Sin Factura","",IFERROR(_xlfn.XLOOKUP(1, (Facturas_Odoo!$D:$D=A2547) * (Facturas_Odoo!$K:$K=I2547), Facturas_Odoo!$L:$L, ""), ""))</f>
        <v/>
      </c>
      <c r="T2547" s="81">
        <f>IF(Q2547="Sin Factura",0,IFERROR(_xlfn.XLOOKUP(1, (Facturas_Odoo!$D:$D=A2547) * (Facturas_Odoo!$K:$K=I2547), Facturas_Odoo!$M:$M, 0), 0))</f>
        <v/>
      </c>
      <c r="U2547" s="79">
        <f>IF(Q2547="Sin Factura",0,IFERROR(_xlfn.XLOOKUP(1, (Facturas_Odoo!$D:$D=A2547) * (Facturas_Odoo!$K:$K=I2547), Facturas_Odoo!$N:$N, 0), 0))</f>
        <v/>
      </c>
      <c r="V2547" s="79">
        <f>IF(Q2547="Sin Factura",0,IFERROR(_xlfn.XLOOKUP(1, (Facturas_Odoo!$D:$D=A2547) * (Facturas_Odoo!$K:$K=I2547), Facturas_Odoo!$O:$O, 0), 0))</f>
        <v/>
      </c>
      <c r="W2547" s="81">
        <f>IF(Q2547="Sin Factura",0,IFERROR(_xlfn.XLOOKUP(1, (Facturas_Odoo!$D:$D=A2547) * (Facturas_Odoo!$K:$K=I2547), Facturas_Odoo!$Q:$Q, 0), 0))</f>
        <v/>
      </c>
      <c r="X2547" s="79">
        <f>IF(OR(Q2547="Sin Factura",Q2547=""),"",IFERROR(INDEX(Pagos_Odoo!$B:$B, MATCH(Q2547, Pagos_Odoo!$I:$I, 0)), "Sin Pago"))</f>
        <v/>
      </c>
      <c r="Y2547" s="79">
        <f>IF(X2547="Sin Pago","",IFERROR(INDEX(Pagos_Odoo!$C:$C, MATCH(X2547, Pagos_Odoo!$B:$B, 0)), ""))</f>
        <v/>
      </c>
      <c r="Z2547" s="80">
        <f>IF(X2547="Sin Pago","",IFERROR(INDEX(Pagos_Odoo!$A:$A, MATCH(X2547, Pagos_Odoo!$B:$B, 0)), ""))</f>
        <v/>
      </c>
      <c r="AA2547" s="79">
        <f>IF(X2547="Sin Pago","",IFERROR(INDEX(Pagos_Odoo!$F:$F, MATCH(X2547, Pagos_Odoo!$B:$B, 0)), ""))</f>
        <v/>
      </c>
      <c r="AB2547" s="81">
        <f>IF(X2547="Sin Pago",0,IFERROR(INDEX(Pagos_Odoo!$E:$E, MATCH(X2547, Pagos_Odoo!$B:$B, 0)), 0))</f>
        <v/>
      </c>
      <c r="AC2547" s="79">
        <f>IF(X2547="Sin Pago","",IFERROR(INDEX(Pagos_Odoo!$G:$G, MATCH(X2547, Pagos_Odoo!$B:$B, 0)), ""))</f>
        <v/>
      </c>
      <c r="AD2547" s="82" t="n">
        <v>0</v>
      </c>
      <c r="AE2547" s="82" t="n"/>
      <c r="AF2547" s="82" t="n"/>
      <c r="AG2547" s="82">
        <f>IF(AN2547="","",AD2547+AE2547+AF2547)</f>
        <v/>
      </c>
      <c r="AH2547" s="81">
        <f>IF(AN2547="","",P2547*(1-AG2547))</f>
        <v/>
      </c>
      <c r="AI2547" s="81">
        <f>IF(AN2547="","",IF(Q2547="Sin Factura",0,IFERROR(INDEX(Facturas_Odoo!$H:$H, MATCH(Q2547, Facturas_Odoo!$B:$B, 0)), 0)*(1-AG2547)))</f>
        <v/>
      </c>
      <c r="AJ2547" s="81">
        <f>IF(AN2547="","",_xlfn.LET(idVenta, AN2547&amp;"",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47" s="81">
        <f>IF(AN2547="","",AH2547-AJ2547)</f>
        <v/>
      </c>
      <c r="AL2547" s="81">
        <f>IF(AN2547="","",IF(Q2547="Sin Factura","",AI2547-AJ2547))</f>
        <v/>
      </c>
      <c r="AM2547" s="81">
        <f>IF(AN2547="","",IF(Q2547="Sin Factura",0,P2547-IFERROR(INDEX(Facturas_Odoo!$H:$H, MATCH(Q2547, Facturas_Odoo!$B:$B, 0)), 0)))</f>
        <v/>
      </c>
      <c r="AN2547" s="79">
        <f>IF(AND(A2547="", J2547=""), "", IF(A2547&lt;&gt;"", VALUE(MID(A2547,2,LEN(A2547))), AN2546))</f>
        <v/>
      </c>
      <c r="AO2547" s="79">
        <f>IF(AN2547="","",IF(AD2547=0,"OK",_xlfn.LET(monedaPago, IF(AA2547="","USD",AA2547), limitePermitido, IFERROR(VLOOKUP(monedaPago, Configuración!$A$2:$B$3, 2, FALSE), 0.15), IF(AD2547&gt;limitePermitido, "ALERTA: EXCESO (" &amp; TEXT(limitePermitido, "0%") &amp; " máx)", "OK"))))</f>
        <v/>
      </c>
      <c r="AP2547" s="79">
        <f>IF(AN2547="","",IF(AE2547=0,"OK",_xlfn.LET(fechaPago, Z2547, fechaFactura, R2547, diasCredito, IF(E2547="Pago inmediato", 0, IFERROR(VALUE(MID(E2547, 1, SEARCH(" ", E2547)-1)),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47" s="79">
        <f>IF(AN2547="","",IF(AND(N2547&gt;0, AG2547&gt;0), IF(Configuración!$K$2="NO", "ALERTA: DESCUENTO DOBLE NO PERMITIDO", "OK"), "OK"))</f>
        <v/>
      </c>
      <c r="AR2547" s="79">
        <f>IF(AN2547="","",IF(OR(AO2547&lt;&gt;"OK", AP2547&lt;&gt;"OK", AQ2547&lt;&gt;"OK"), "⚠️ REVISAR", "OK"))</f>
        <v/>
      </c>
    </row>
    <row r="2548">
      <c r="A2548" s="79">
        <f>IF('Ordenes_Odoo'!A2548="","",'Ordenes_Odoo'!A2548)</f>
        <v/>
      </c>
      <c r="B2548" s="80">
        <f>IF('Ordenes_Odoo'!B2548="","",'Ordenes_Odoo'!B2548)</f>
        <v/>
      </c>
      <c r="C2548" s="79">
        <f>IF('Ordenes_Odoo'!C2548="","",'Ordenes_Odoo'!C2548)</f>
        <v/>
      </c>
      <c r="D2548" s="79">
        <f>IF('Ordenes_Odoo'!D2548="","",'Ordenes_Odoo'!D2548)</f>
        <v/>
      </c>
      <c r="E2548" s="79">
        <f>IF('Ordenes_Odoo'!E2548="","",'Ordenes_Odoo'!E2548)</f>
        <v/>
      </c>
      <c r="F2548" s="79">
        <f>IF('Ordenes_Odoo'!F2548="","",'Ordenes_Odoo'!F2548)</f>
        <v/>
      </c>
      <c r="G2548" s="79">
        <f>IF('Ordenes_Odoo'!G2548="","",'Ordenes_Odoo'!G2548)</f>
        <v/>
      </c>
      <c r="H2548" s="79">
        <f>IF('Ordenes_Odoo'!H2548="","",'Ordenes_Odoo'!H2548)</f>
        <v/>
      </c>
      <c r="I2548" s="79">
        <f>IF('Ordenes_Odoo'!I2548="","",'Ordenes_Odoo'!I2548)</f>
        <v/>
      </c>
      <c r="J2548" s="79">
        <f>IF('Ordenes_Odoo'!J2548="","",'Ordenes_Odoo'!J2548)</f>
        <v/>
      </c>
      <c r="K2548" s="81">
        <f>IF('Ordenes_Odoo'!K2548="","",'Ordenes_Odoo'!K2548)</f>
        <v/>
      </c>
      <c r="L2548" s="81">
        <f>IF('Ordenes_Odoo'!L2548="","",'Ordenes_Odoo'!L2548)</f>
        <v/>
      </c>
      <c r="M2548" s="79">
        <f>IF('Ordenes_Odoo'!M2548="","",'Ordenes_Odoo'!M2548)</f>
        <v/>
      </c>
      <c r="N2548" s="79">
        <f>IF('Ordenes_Odoo'!N2548="","",'Ordenes_Odoo'!N2548)</f>
        <v/>
      </c>
      <c r="O2548" s="81">
        <f>IF('Ordenes_Odoo'!O2548="","",'Ordenes_Odoo'!O2548)</f>
        <v/>
      </c>
      <c r="P2548" s="81">
        <f>IF('Ordenes_Odoo'!P2548="","",'Ordenes_Odoo'!P2548)</f>
        <v/>
      </c>
      <c r="Q2548" s="79">
        <f>IF(A2548="","",IFERROR(INDEX(Facturas_Odoo!$B:$B, MATCH(A2548, Facturas_Odoo!$D:$D, 0)), "Sin Factura"))</f>
        <v/>
      </c>
      <c r="R2548" s="80">
        <f>IF(Q2548="Sin Factura","",IFERROR(INDEX(Facturas_Odoo!$A:$A, MATCH(Q2548, Facturas_Odoo!$B:$B, 0)), ""))</f>
        <v/>
      </c>
      <c r="S2548" s="79">
        <f>IF(Q2548="Sin Factura","",IFERROR(_xlfn.XLOOKUP(1, (Facturas_Odoo!$D:$D=A2548) * (Facturas_Odoo!$K:$K=I2548), Facturas_Odoo!$L:$L, ""), ""))</f>
        <v/>
      </c>
      <c r="T2548" s="81">
        <f>IF(Q2548="Sin Factura",0,IFERROR(_xlfn.XLOOKUP(1, (Facturas_Odoo!$D:$D=A2548) * (Facturas_Odoo!$K:$K=I2548), Facturas_Odoo!$M:$M, 0), 0))</f>
        <v/>
      </c>
      <c r="U2548" s="79">
        <f>IF(Q2548="Sin Factura",0,IFERROR(_xlfn.XLOOKUP(1, (Facturas_Odoo!$D:$D=A2548) * (Facturas_Odoo!$K:$K=I2548), Facturas_Odoo!$N:$N, 0), 0))</f>
        <v/>
      </c>
      <c r="V2548" s="79">
        <f>IF(Q2548="Sin Factura",0,IFERROR(_xlfn.XLOOKUP(1, (Facturas_Odoo!$D:$D=A2548) * (Facturas_Odoo!$K:$K=I2548), Facturas_Odoo!$O:$O, 0), 0))</f>
        <v/>
      </c>
      <c r="W2548" s="81">
        <f>IF(Q2548="Sin Factura",0,IFERROR(_xlfn.XLOOKUP(1, (Facturas_Odoo!$D:$D=A2548) * (Facturas_Odoo!$K:$K=I2548), Facturas_Odoo!$Q:$Q, 0), 0))</f>
        <v/>
      </c>
      <c r="X2548" s="79">
        <f>IF(OR(Q2548="Sin Factura",Q2548=""),"",IFERROR(INDEX(Pagos_Odoo!$B:$B, MATCH(Q2548, Pagos_Odoo!$I:$I, 0)), "Sin Pago"))</f>
        <v/>
      </c>
      <c r="Y2548" s="79">
        <f>IF(X2548="Sin Pago","",IFERROR(INDEX(Pagos_Odoo!$C:$C, MATCH(X2548, Pagos_Odoo!$B:$B, 0)), ""))</f>
        <v/>
      </c>
      <c r="Z2548" s="80">
        <f>IF(X2548="Sin Pago","",IFERROR(INDEX(Pagos_Odoo!$A:$A, MATCH(X2548, Pagos_Odoo!$B:$B, 0)), ""))</f>
        <v/>
      </c>
      <c r="AA2548" s="79">
        <f>IF(X2548="Sin Pago","",IFERROR(INDEX(Pagos_Odoo!$F:$F, MATCH(X2548, Pagos_Odoo!$B:$B, 0)), ""))</f>
        <v/>
      </c>
      <c r="AB2548" s="81">
        <f>IF(X2548="Sin Pago",0,IFERROR(INDEX(Pagos_Odoo!$E:$E, MATCH(X2548, Pagos_Odoo!$B:$B, 0)), 0))</f>
        <v/>
      </c>
      <c r="AC2548" s="79">
        <f>IF(X2548="Sin Pago","",IFERROR(INDEX(Pagos_Odoo!$G:$G, MATCH(X2548, Pagos_Odoo!$B:$B, 0)), ""))</f>
        <v/>
      </c>
      <c r="AD2548" s="82" t="n">
        <v>0</v>
      </c>
      <c r="AE2548" s="82" t="n"/>
      <c r="AF2548" s="82" t="n"/>
      <c r="AG2548" s="82">
        <f>IF(AN2548="","",AD2548+AE2548+AF2548)</f>
        <v/>
      </c>
      <c r="AH2548" s="81">
        <f>IF(AN2548="","",P2548*(1-AG2548))</f>
        <v/>
      </c>
      <c r="AI2548" s="81">
        <f>IF(AN2548="","",IF(Q2548="Sin Factura",0,IFERROR(INDEX(Facturas_Odoo!$H:$H, MATCH(Q2548, Facturas_Odoo!$B:$B, 0)), 0)*(1-AG2548)))</f>
        <v/>
      </c>
      <c r="AJ2548" s="81">
        <f>IF(AN2548="","",_xlfn.LET(idVenta, AN2548&amp;"",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48" s="81">
        <f>IF(AN2548="","",AH2548-AJ2548)</f>
        <v/>
      </c>
      <c r="AL2548" s="81">
        <f>IF(AN2548="","",IF(Q2548="Sin Factura","",AI2548-AJ2548))</f>
        <v/>
      </c>
      <c r="AM2548" s="81">
        <f>IF(AN2548="","",IF(Q2548="Sin Factura",0,P2548-IFERROR(INDEX(Facturas_Odoo!$H:$H, MATCH(Q2548, Facturas_Odoo!$B:$B, 0)), 0)))</f>
        <v/>
      </c>
      <c r="AN2548" s="79">
        <f>IF(AND(A2548="", J2548=""), "", IF(A2548&lt;&gt;"", VALUE(MID(A2548,2,LEN(A2548))), AN2547))</f>
        <v/>
      </c>
      <c r="AO2548" s="79">
        <f>IF(AN2548="","",IF(AD2548=0,"OK",_xlfn.LET(monedaPago, IF(AA2548="","USD",AA2548), limitePermitido, IFERROR(VLOOKUP(monedaPago, Configuración!$A$2:$B$3, 2, FALSE), 0.15), IF(AD2548&gt;limitePermitido, "ALERTA: EXCESO (" &amp; TEXT(limitePermitido, "0%") &amp; " máx)", "OK"))))</f>
        <v/>
      </c>
      <c r="AP2548" s="79">
        <f>IF(AN2548="","",IF(AE2548=0,"OK",_xlfn.LET(fechaPago, Z2548, fechaFactura, R2548, diasCredito, IF(E2548="Pago inmediato", 0, IFERROR(VALUE(MID(E2548, 1, SEARCH(" ", E2548)-1)),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48" s="79">
        <f>IF(AN2548="","",IF(AND(N2548&gt;0, AG2548&gt;0), IF(Configuración!$K$2="NO", "ALERTA: DESCUENTO DOBLE NO PERMITIDO", "OK"), "OK"))</f>
        <v/>
      </c>
      <c r="AR2548" s="79">
        <f>IF(AN2548="","",IF(OR(AO2548&lt;&gt;"OK", AP2548&lt;&gt;"OK", AQ2548&lt;&gt;"OK"), "⚠️ REVISAR", "OK"))</f>
        <v/>
      </c>
    </row>
    <row r="2549">
      <c r="A2549" s="79">
        <f>IF('Ordenes_Odoo'!A2549="","",'Ordenes_Odoo'!A2549)</f>
        <v/>
      </c>
      <c r="B2549" s="80">
        <f>IF('Ordenes_Odoo'!B2549="","",'Ordenes_Odoo'!B2549)</f>
        <v/>
      </c>
      <c r="C2549" s="79">
        <f>IF('Ordenes_Odoo'!C2549="","",'Ordenes_Odoo'!C2549)</f>
        <v/>
      </c>
      <c r="D2549" s="79">
        <f>IF('Ordenes_Odoo'!D2549="","",'Ordenes_Odoo'!D2549)</f>
        <v/>
      </c>
      <c r="E2549" s="79">
        <f>IF('Ordenes_Odoo'!E2549="","",'Ordenes_Odoo'!E2549)</f>
        <v/>
      </c>
      <c r="F2549" s="79">
        <f>IF('Ordenes_Odoo'!F2549="","",'Ordenes_Odoo'!F2549)</f>
        <v/>
      </c>
      <c r="G2549" s="79">
        <f>IF('Ordenes_Odoo'!G2549="","",'Ordenes_Odoo'!G2549)</f>
        <v/>
      </c>
      <c r="H2549" s="79">
        <f>IF('Ordenes_Odoo'!H2549="","",'Ordenes_Odoo'!H2549)</f>
        <v/>
      </c>
      <c r="I2549" s="79">
        <f>IF('Ordenes_Odoo'!I2549="","",'Ordenes_Odoo'!I2549)</f>
        <v/>
      </c>
      <c r="J2549" s="79">
        <f>IF('Ordenes_Odoo'!J2549="","",'Ordenes_Odoo'!J2549)</f>
        <v/>
      </c>
      <c r="K2549" s="81">
        <f>IF('Ordenes_Odoo'!K2549="","",'Ordenes_Odoo'!K2549)</f>
        <v/>
      </c>
      <c r="L2549" s="81">
        <f>IF('Ordenes_Odoo'!L2549="","",'Ordenes_Odoo'!L2549)</f>
        <v/>
      </c>
      <c r="M2549" s="79">
        <f>IF('Ordenes_Odoo'!M2549="","",'Ordenes_Odoo'!M2549)</f>
        <v/>
      </c>
      <c r="N2549" s="79">
        <f>IF('Ordenes_Odoo'!N2549="","",'Ordenes_Odoo'!N2549)</f>
        <v/>
      </c>
      <c r="O2549" s="81">
        <f>IF('Ordenes_Odoo'!O2549="","",'Ordenes_Odoo'!O2549)</f>
        <v/>
      </c>
      <c r="P2549" s="81">
        <f>IF('Ordenes_Odoo'!P2549="","",'Ordenes_Odoo'!P2549)</f>
        <v/>
      </c>
      <c r="Q2549" s="79">
        <f>IF(A2549="","",IFERROR(INDEX(Facturas_Odoo!$B:$B, MATCH(A2549, Facturas_Odoo!$D:$D, 0)), "Sin Factura"))</f>
        <v/>
      </c>
      <c r="R2549" s="80">
        <f>IF(Q2549="Sin Factura","",IFERROR(INDEX(Facturas_Odoo!$A:$A, MATCH(Q2549, Facturas_Odoo!$B:$B, 0)), ""))</f>
        <v/>
      </c>
      <c r="S2549" s="79">
        <f>IF(Q2549="Sin Factura","",IFERROR(_xlfn.XLOOKUP(1, (Facturas_Odoo!$D:$D=A2549) * (Facturas_Odoo!$K:$K=I2549), Facturas_Odoo!$L:$L, ""), ""))</f>
        <v/>
      </c>
      <c r="T2549" s="81">
        <f>IF(Q2549="Sin Factura",0,IFERROR(_xlfn.XLOOKUP(1, (Facturas_Odoo!$D:$D=A2549) * (Facturas_Odoo!$K:$K=I2549), Facturas_Odoo!$M:$M, 0), 0))</f>
        <v/>
      </c>
      <c r="U2549" s="79">
        <f>IF(Q2549="Sin Factura",0,IFERROR(_xlfn.XLOOKUP(1, (Facturas_Odoo!$D:$D=A2549) * (Facturas_Odoo!$K:$K=I2549), Facturas_Odoo!$N:$N, 0), 0))</f>
        <v/>
      </c>
      <c r="V2549" s="79">
        <f>IF(Q2549="Sin Factura",0,IFERROR(_xlfn.XLOOKUP(1, (Facturas_Odoo!$D:$D=A2549) * (Facturas_Odoo!$K:$K=I2549), Facturas_Odoo!$O:$O, 0), 0))</f>
        <v/>
      </c>
      <c r="W2549" s="81">
        <f>IF(Q2549="Sin Factura",0,IFERROR(_xlfn.XLOOKUP(1, (Facturas_Odoo!$D:$D=A2549) * (Facturas_Odoo!$K:$K=I2549), Facturas_Odoo!$Q:$Q, 0), 0))</f>
        <v/>
      </c>
      <c r="X2549" s="79">
        <f>IF(OR(Q2549="Sin Factura",Q2549=""),"",IFERROR(INDEX(Pagos_Odoo!$B:$B, MATCH(Q2549, Pagos_Odoo!$I:$I, 0)), "Sin Pago"))</f>
        <v/>
      </c>
      <c r="Y2549" s="79">
        <f>IF(X2549="Sin Pago","",IFERROR(INDEX(Pagos_Odoo!$C:$C, MATCH(X2549, Pagos_Odoo!$B:$B, 0)), ""))</f>
        <v/>
      </c>
      <c r="Z2549" s="80">
        <f>IF(X2549="Sin Pago","",IFERROR(INDEX(Pagos_Odoo!$A:$A, MATCH(X2549, Pagos_Odoo!$B:$B, 0)), ""))</f>
        <v/>
      </c>
      <c r="AA2549" s="79">
        <f>IF(X2549="Sin Pago","",IFERROR(INDEX(Pagos_Odoo!$F:$F, MATCH(X2549, Pagos_Odoo!$B:$B, 0)), ""))</f>
        <v/>
      </c>
      <c r="AB2549" s="81">
        <f>IF(X2549="Sin Pago",0,IFERROR(INDEX(Pagos_Odoo!$E:$E, MATCH(X2549, Pagos_Odoo!$B:$B, 0)), 0))</f>
        <v/>
      </c>
      <c r="AC2549" s="79">
        <f>IF(X2549="Sin Pago","",IFERROR(INDEX(Pagos_Odoo!$G:$G, MATCH(X2549, Pagos_Odoo!$B:$B, 0)), ""))</f>
        <v/>
      </c>
      <c r="AD2549" s="82" t="n">
        <v>0</v>
      </c>
      <c r="AE2549" s="82" t="n"/>
      <c r="AF2549" s="82" t="n"/>
      <c r="AG2549" s="82">
        <f>IF(AN2549="","",AD2549+AE2549+AF2549)</f>
        <v/>
      </c>
      <c r="AH2549" s="81">
        <f>IF(AN2549="","",P2549*(1-AG2549))</f>
        <v/>
      </c>
      <c r="AI2549" s="81">
        <f>IF(AN2549="","",IF(Q2549="Sin Factura",0,IFERROR(INDEX(Facturas_Odoo!$H:$H, MATCH(Q2549, Facturas_Odoo!$B:$B, 0)), 0)*(1-AG2549)))</f>
        <v/>
      </c>
      <c r="AJ2549" s="81">
        <f>IF(AN2549="","",_xlfn.LET(idVenta, AN2549&amp;"",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49" s="81">
        <f>IF(AN2549="","",AH2549-AJ2549)</f>
        <v/>
      </c>
      <c r="AL2549" s="81">
        <f>IF(AN2549="","",IF(Q2549="Sin Factura","",AI2549-AJ2549))</f>
        <v/>
      </c>
      <c r="AM2549" s="81">
        <f>IF(AN2549="","",IF(Q2549="Sin Factura",0,P2549-IFERROR(INDEX(Facturas_Odoo!$H:$H, MATCH(Q2549, Facturas_Odoo!$B:$B, 0)), 0)))</f>
        <v/>
      </c>
      <c r="AN2549" s="79">
        <f>IF(AND(A2549="", J2549=""), "", IF(A2549&lt;&gt;"", VALUE(MID(A2549,2,LEN(A2549))), AN2548))</f>
        <v/>
      </c>
      <c r="AO2549" s="79">
        <f>IF(AN2549="","",IF(AD2549=0,"OK",_xlfn.LET(monedaPago, IF(AA2549="","USD",AA2549), limitePermitido, IFERROR(VLOOKUP(monedaPago, Configuración!$A$2:$B$3, 2, FALSE), 0.15), IF(AD2549&gt;limitePermitido, "ALERTA: EXCESO (" &amp; TEXT(limitePermitido, "0%") &amp; " máx)", "OK"))))</f>
        <v/>
      </c>
      <c r="AP2549" s="79">
        <f>IF(AN2549="","",IF(AE2549=0,"OK",_xlfn.LET(fechaPago, Z2549, fechaFactura, R2549, diasCredito, IF(E2549="Pago inmediato", 0, IFERROR(VALUE(MID(E2549, 1, SEARCH(" ", E2549)-1)),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49" s="79">
        <f>IF(AN2549="","",IF(AND(N2549&gt;0, AG2549&gt;0), IF(Configuración!$K$2="NO", "ALERTA: DESCUENTO DOBLE NO PERMITIDO", "OK"), "OK"))</f>
        <v/>
      </c>
      <c r="AR2549" s="79">
        <f>IF(AN2549="","",IF(OR(AO2549&lt;&gt;"OK", AP2549&lt;&gt;"OK", AQ2549&lt;&gt;"OK"), "⚠️ REVISAR", "OK"))</f>
        <v/>
      </c>
    </row>
    <row r="2550">
      <c r="A2550" s="79">
        <f>IF('Ordenes_Odoo'!A2550="","",'Ordenes_Odoo'!A2550)</f>
        <v/>
      </c>
      <c r="B2550" s="80">
        <f>IF('Ordenes_Odoo'!B2550="","",'Ordenes_Odoo'!B2550)</f>
        <v/>
      </c>
      <c r="C2550" s="79">
        <f>IF('Ordenes_Odoo'!C2550="","",'Ordenes_Odoo'!C2550)</f>
        <v/>
      </c>
      <c r="D2550" s="79">
        <f>IF('Ordenes_Odoo'!D2550="","",'Ordenes_Odoo'!D2550)</f>
        <v/>
      </c>
      <c r="E2550" s="79">
        <f>IF('Ordenes_Odoo'!E2550="","",'Ordenes_Odoo'!E2550)</f>
        <v/>
      </c>
      <c r="F2550" s="79">
        <f>IF('Ordenes_Odoo'!F2550="","",'Ordenes_Odoo'!F2550)</f>
        <v/>
      </c>
      <c r="G2550" s="79">
        <f>IF('Ordenes_Odoo'!G2550="","",'Ordenes_Odoo'!G2550)</f>
        <v/>
      </c>
      <c r="H2550" s="79">
        <f>IF('Ordenes_Odoo'!H2550="","",'Ordenes_Odoo'!H2550)</f>
        <v/>
      </c>
      <c r="I2550" s="79">
        <f>IF('Ordenes_Odoo'!I2550="","",'Ordenes_Odoo'!I2550)</f>
        <v/>
      </c>
      <c r="J2550" s="79">
        <f>IF('Ordenes_Odoo'!J2550="","",'Ordenes_Odoo'!J2550)</f>
        <v/>
      </c>
      <c r="K2550" s="81">
        <f>IF('Ordenes_Odoo'!K2550="","",'Ordenes_Odoo'!K2550)</f>
        <v/>
      </c>
      <c r="L2550" s="81">
        <f>IF('Ordenes_Odoo'!L2550="","",'Ordenes_Odoo'!L2550)</f>
        <v/>
      </c>
      <c r="M2550" s="79">
        <f>IF('Ordenes_Odoo'!M2550="","",'Ordenes_Odoo'!M2550)</f>
        <v/>
      </c>
      <c r="N2550" s="79">
        <f>IF('Ordenes_Odoo'!N2550="","",'Ordenes_Odoo'!N2550)</f>
        <v/>
      </c>
      <c r="O2550" s="81">
        <f>IF('Ordenes_Odoo'!O2550="","",'Ordenes_Odoo'!O2550)</f>
        <v/>
      </c>
      <c r="P2550" s="81">
        <f>IF('Ordenes_Odoo'!P2550="","",'Ordenes_Odoo'!P2550)</f>
        <v/>
      </c>
      <c r="Q2550" s="79">
        <f>IF(A2550="","",IFERROR(INDEX(Facturas_Odoo!$B:$B, MATCH(A2550, Facturas_Odoo!$D:$D, 0)), "Sin Factura"))</f>
        <v/>
      </c>
      <c r="R2550" s="80">
        <f>IF(Q2550="Sin Factura","",IFERROR(INDEX(Facturas_Odoo!$A:$A, MATCH(Q2550, Facturas_Odoo!$B:$B, 0)), ""))</f>
        <v/>
      </c>
      <c r="S2550" s="79">
        <f>IF(Q2550="Sin Factura","",IFERROR(_xlfn.XLOOKUP(1, (Facturas_Odoo!$D:$D=A2550) * (Facturas_Odoo!$K:$K=I2550), Facturas_Odoo!$L:$L, ""), ""))</f>
        <v/>
      </c>
      <c r="T2550" s="81">
        <f>IF(Q2550="Sin Factura",0,IFERROR(_xlfn.XLOOKUP(1, (Facturas_Odoo!$D:$D=A2550) * (Facturas_Odoo!$K:$K=I2550), Facturas_Odoo!$M:$M, 0), 0))</f>
        <v/>
      </c>
      <c r="U2550" s="79">
        <f>IF(Q2550="Sin Factura",0,IFERROR(_xlfn.XLOOKUP(1, (Facturas_Odoo!$D:$D=A2550) * (Facturas_Odoo!$K:$K=I2550), Facturas_Odoo!$N:$N, 0), 0))</f>
        <v/>
      </c>
      <c r="V2550" s="79">
        <f>IF(Q2550="Sin Factura",0,IFERROR(_xlfn.XLOOKUP(1, (Facturas_Odoo!$D:$D=A2550) * (Facturas_Odoo!$K:$K=I2550), Facturas_Odoo!$O:$O, 0), 0))</f>
        <v/>
      </c>
      <c r="W2550" s="81">
        <f>IF(Q2550="Sin Factura",0,IFERROR(_xlfn.XLOOKUP(1, (Facturas_Odoo!$D:$D=A2550) * (Facturas_Odoo!$K:$K=I2550), Facturas_Odoo!$Q:$Q, 0), 0))</f>
        <v/>
      </c>
      <c r="X2550" s="79">
        <f>IF(OR(Q2550="Sin Factura",Q2550=""),"",IFERROR(INDEX(Pagos_Odoo!$B:$B, MATCH(Q2550, Pagos_Odoo!$I:$I, 0)), "Sin Pago"))</f>
        <v/>
      </c>
      <c r="Y2550" s="79">
        <f>IF(X2550="Sin Pago","",IFERROR(INDEX(Pagos_Odoo!$C:$C, MATCH(X2550, Pagos_Odoo!$B:$B, 0)), ""))</f>
        <v/>
      </c>
      <c r="Z2550" s="80">
        <f>IF(X2550="Sin Pago","",IFERROR(INDEX(Pagos_Odoo!$A:$A, MATCH(X2550, Pagos_Odoo!$B:$B, 0)), ""))</f>
        <v/>
      </c>
      <c r="AA2550" s="79">
        <f>IF(X2550="Sin Pago","",IFERROR(INDEX(Pagos_Odoo!$F:$F, MATCH(X2550, Pagos_Odoo!$B:$B, 0)), ""))</f>
        <v/>
      </c>
      <c r="AB2550" s="81">
        <f>IF(X2550="Sin Pago",0,IFERROR(INDEX(Pagos_Odoo!$E:$E, MATCH(X2550, Pagos_Odoo!$B:$B, 0)), 0))</f>
        <v/>
      </c>
      <c r="AC2550" s="79">
        <f>IF(X2550="Sin Pago","",IFERROR(INDEX(Pagos_Odoo!$G:$G, MATCH(X2550, Pagos_Odoo!$B:$B, 0)), ""))</f>
        <v/>
      </c>
      <c r="AD2550" s="82" t="n">
        <v>0</v>
      </c>
      <c r="AE2550" s="82" t="n"/>
      <c r="AF2550" s="82" t="n"/>
      <c r="AG2550" s="82">
        <f>IF(AN2550="","",AD2550+AE2550+AF2550)</f>
        <v/>
      </c>
      <c r="AH2550" s="81">
        <f>IF(AN2550="","",P2550*(1-AG2550))</f>
        <v/>
      </c>
      <c r="AI2550" s="81">
        <f>IF(AN2550="","",IF(Q2550="Sin Factura",0,IFERROR(INDEX(Facturas_Odoo!$H:$H, MATCH(Q2550, Facturas_Odoo!$B:$B, 0)), 0)*(1-AG2550)))</f>
        <v/>
      </c>
      <c r="AJ2550" s="81">
        <f>IF(AN2550="","",_xlfn.LET(idVenta, AN2550&amp;"",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50" s="81">
        <f>IF(AN2550="","",AH2550-AJ2550)</f>
        <v/>
      </c>
      <c r="AL2550" s="81">
        <f>IF(AN2550="","",IF(Q2550="Sin Factura","",AI2550-AJ2550))</f>
        <v/>
      </c>
      <c r="AM2550" s="81">
        <f>IF(AN2550="","",IF(Q2550="Sin Factura",0,P2550-IFERROR(INDEX(Facturas_Odoo!$H:$H, MATCH(Q2550, Facturas_Odoo!$B:$B, 0)), 0)))</f>
        <v/>
      </c>
      <c r="AN2550" s="79">
        <f>IF(AND(A2550="", J2550=""), "", IF(A2550&lt;&gt;"", VALUE(MID(A2550,2,LEN(A2550))), AN2549))</f>
        <v/>
      </c>
      <c r="AO2550" s="79">
        <f>IF(AN2550="","",IF(AD2550=0,"OK",_xlfn.LET(monedaPago, IF(AA2550="","USD",AA2550), limitePermitido, IFERROR(VLOOKUP(monedaPago, Configuración!$A$2:$B$3, 2, FALSE), 0.15), IF(AD2550&gt;limitePermitido, "ALERTA: EXCESO (" &amp; TEXT(limitePermitido, "0%") &amp; " máx)", "OK"))))</f>
        <v/>
      </c>
      <c r="AP2550" s="79">
        <f>IF(AN2550="","",IF(AE2550=0,"OK",_xlfn.LET(fechaPago, Z2550, fechaFactura, R2550, diasCredito, IF(E2550="Pago inmediato", 0, IFERROR(VALUE(MID(E2550, 1, SEARCH(" ", E2550)-1)),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50" s="79">
        <f>IF(AN2550="","",IF(AND(N2550&gt;0, AG2550&gt;0), IF(Configuración!$K$2="NO", "ALERTA: DESCUENTO DOBLE NO PERMITIDO", "OK"), "OK"))</f>
        <v/>
      </c>
      <c r="AR2550" s="79">
        <f>IF(AN2550="","",IF(OR(AO2550&lt;&gt;"OK", AP2550&lt;&gt;"OK", AQ2550&lt;&gt;"OK"), "⚠️ REVISAR", "OK"))</f>
        <v/>
      </c>
    </row>
    <row r="2551">
      <c r="A2551" s="79">
        <f>IF('Ordenes_Odoo'!A2551="","",'Ordenes_Odoo'!A2551)</f>
        <v/>
      </c>
      <c r="B2551" s="80">
        <f>IF('Ordenes_Odoo'!B2551="","",'Ordenes_Odoo'!B2551)</f>
        <v/>
      </c>
      <c r="C2551" s="79">
        <f>IF('Ordenes_Odoo'!C2551="","",'Ordenes_Odoo'!C2551)</f>
        <v/>
      </c>
      <c r="D2551" s="79">
        <f>IF('Ordenes_Odoo'!D2551="","",'Ordenes_Odoo'!D2551)</f>
        <v/>
      </c>
      <c r="E2551" s="79">
        <f>IF('Ordenes_Odoo'!E2551="","",'Ordenes_Odoo'!E2551)</f>
        <v/>
      </c>
      <c r="F2551" s="79">
        <f>IF('Ordenes_Odoo'!F2551="","",'Ordenes_Odoo'!F2551)</f>
        <v/>
      </c>
      <c r="G2551" s="79">
        <f>IF('Ordenes_Odoo'!G2551="","",'Ordenes_Odoo'!G2551)</f>
        <v/>
      </c>
      <c r="H2551" s="79">
        <f>IF('Ordenes_Odoo'!H2551="","",'Ordenes_Odoo'!H2551)</f>
        <v/>
      </c>
      <c r="I2551" s="79">
        <f>IF('Ordenes_Odoo'!I2551="","",'Ordenes_Odoo'!I2551)</f>
        <v/>
      </c>
      <c r="J2551" s="79">
        <f>IF('Ordenes_Odoo'!J2551="","",'Ordenes_Odoo'!J2551)</f>
        <v/>
      </c>
      <c r="K2551" s="81">
        <f>IF('Ordenes_Odoo'!K2551="","",'Ordenes_Odoo'!K2551)</f>
        <v/>
      </c>
      <c r="L2551" s="81">
        <f>IF('Ordenes_Odoo'!L2551="","",'Ordenes_Odoo'!L2551)</f>
        <v/>
      </c>
      <c r="M2551" s="79">
        <f>IF('Ordenes_Odoo'!M2551="","",'Ordenes_Odoo'!M2551)</f>
        <v/>
      </c>
      <c r="N2551" s="79">
        <f>IF('Ordenes_Odoo'!N2551="","",'Ordenes_Odoo'!N2551)</f>
        <v/>
      </c>
      <c r="O2551" s="81">
        <f>IF('Ordenes_Odoo'!O2551="","",'Ordenes_Odoo'!O2551)</f>
        <v/>
      </c>
      <c r="P2551" s="81">
        <f>IF('Ordenes_Odoo'!P2551="","",'Ordenes_Odoo'!P2551)</f>
        <v/>
      </c>
      <c r="Q2551" s="79">
        <f>IF(A2551="","",IFERROR(INDEX(Facturas_Odoo!$B:$B, MATCH(A2551, Facturas_Odoo!$D:$D, 0)), "Sin Factura"))</f>
        <v/>
      </c>
      <c r="R2551" s="80">
        <f>IF(Q2551="Sin Factura","",IFERROR(INDEX(Facturas_Odoo!$A:$A, MATCH(Q2551, Facturas_Odoo!$B:$B, 0)), ""))</f>
        <v/>
      </c>
      <c r="S2551" s="79">
        <f>IF(Q2551="Sin Factura","",IFERROR(_xlfn.XLOOKUP(1, (Facturas_Odoo!$D:$D=A2551) * (Facturas_Odoo!$K:$K=I2551), Facturas_Odoo!$L:$L, ""), ""))</f>
        <v/>
      </c>
      <c r="T2551" s="81">
        <f>IF(Q2551="Sin Factura",0,IFERROR(_xlfn.XLOOKUP(1, (Facturas_Odoo!$D:$D=A2551) * (Facturas_Odoo!$K:$K=I2551), Facturas_Odoo!$M:$M, 0), 0))</f>
        <v/>
      </c>
      <c r="U2551" s="79">
        <f>IF(Q2551="Sin Factura",0,IFERROR(_xlfn.XLOOKUP(1, (Facturas_Odoo!$D:$D=A2551) * (Facturas_Odoo!$K:$K=I2551), Facturas_Odoo!$N:$N, 0), 0))</f>
        <v/>
      </c>
      <c r="V2551" s="79">
        <f>IF(Q2551="Sin Factura",0,IFERROR(_xlfn.XLOOKUP(1, (Facturas_Odoo!$D:$D=A2551) * (Facturas_Odoo!$K:$K=I2551), Facturas_Odoo!$O:$O, 0), 0))</f>
        <v/>
      </c>
      <c r="W2551" s="81">
        <f>IF(Q2551="Sin Factura",0,IFERROR(_xlfn.XLOOKUP(1, (Facturas_Odoo!$D:$D=A2551) * (Facturas_Odoo!$K:$K=I2551), Facturas_Odoo!$Q:$Q, 0), 0))</f>
        <v/>
      </c>
      <c r="X2551" s="79">
        <f>IF(OR(Q2551="Sin Factura",Q2551=""),"",IFERROR(INDEX(Pagos_Odoo!$B:$B, MATCH(Q2551, Pagos_Odoo!$I:$I, 0)), "Sin Pago"))</f>
        <v/>
      </c>
      <c r="Y2551" s="79">
        <f>IF(X2551="Sin Pago","",IFERROR(INDEX(Pagos_Odoo!$C:$C, MATCH(X2551, Pagos_Odoo!$B:$B, 0)), ""))</f>
        <v/>
      </c>
      <c r="Z2551" s="80">
        <f>IF(X2551="Sin Pago","",IFERROR(INDEX(Pagos_Odoo!$A:$A, MATCH(X2551, Pagos_Odoo!$B:$B, 0)), ""))</f>
        <v/>
      </c>
      <c r="AA2551" s="79">
        <f>IF(X2551="Sin Pago","",IFERROR(INDEX(Pagos_Odoo!$F:$F, MATCH(X2551, Pagos_Odoo!$B:$B, 0)), ""))</f>
        <v/>
      </c>
      <c r="AB2551" s="81">
        <f>IF(X2551="Sin Pago",0,IFERROR(INDEX(Pagos_Odoo!$E:$E, MATCH(X2551, Pagos_Odoo!$B:$B, 0)), 0))</f>
        <v/>
      </c>
      <c r="AC2551" s="79">
        <f>IF(X2551="Sin Pago","",IFERROR(INDEX(Pagos_Odoo!$G:$G, MATCH(X2551, Pagos_Odoo!$B:$B, 0)), ""))</f>
        <v/>
      </c>
      <c r="AD2551" s="82" t="n">
        <v>0</v>
      </c>
      <c r="AE2551" s="82" t="n"/>
      <c r="AF2551" s="82" t="n"/>
      <c r="AG2551" s="82">
        <f>IF(AN2551="","",AD2551+AE2551+AF2551)</f>
        <v/>
      </c>
      <c r="AH2551" s="81">
        <f>IF(AN2551="","",P2551*(1-AG2551))</f>
        <v/>
      </c>
      <c r="AI2551" s="81">
        <f>IF(AN2551="","",IF(Q2551="Sin Factura",0,IFERROR(INDEX(Facturas_Odoo!$H:$H, MATCH(Q2551, Facturas_Odoo!$B:$B, 0)), 0)*(1-AG2551)))</f>
        <v/>
      </c>
      <c r="AJ2551" s="81">
        <f>IF(AN2551="","",_xlfn.LET(idVenta, AN2551&amp;"",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51" s="81">
        <f>IF(AN2551="","",AH2551-AJ2551)</f>
        <v/>
      </c>
      <c r="AL2551" s="81">
        <f>IF(AN2551="","",IF(Q2551="Sin Factura","",AI2551-AJ2551))</f>
        <v/>
      </c>
      <c r="AM2551" s="81">
        <f>IF(AN2551="","",IF(Q2551="Sin Factura",0,P2551-IFERROR(INDEX(Facturas_Odoo!$H:$H, MATCH(Q2551, Facturas_Odoo!$B:$B, 0)), 0)))</f>
        <v/>
      </c>
      <c r="AN2551" s="79">
        <f>IF(AND(A2551="", J2551=""), "", IF(A2551&lt;&gt;"", VALUE(MID(A2551,2,LEN(A2551))), AN2550))</f>
        <v/>
      </c>
      <c r="AO2551" s="79">
        <f>IF(AN2551="","",IF(AD2551=0,"OK",_xlfn.LET(monedaPago, IF(AA2551="","USD",AA2551), limitePermitido, IFERROR(VLOOKUP(monedaPago, Configuración!$A$2:$B$3, 2, FALSE), 0.15), IF(AD2551&gt;limitePermitido, "ALERTA: EXCESO (" &amp; TEXT(limitePermitido, "0%") &amp; " máx)", "OK"))))</f>
        <v/>
      </c>
      <c r="AP2551" s="79">
        <f>IF(AN2551="","",IF(AE2551=0,"OK",_xlfn.LET(fechaPago, Z2551, fechaFactura, R2551, diasCredito, IF(E2551="Pago inmediato", 0, IFERROR(VALUE(MID(E2551, 1, SEARCH(" ", E2551)-1)),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51" s="79">
        <f>IF(AN2551="","",IF(AND(N2551&gt;0, AG2551&gt;0), IF(Configuración!$K$2="NO", "ALERTA: DESCUENTO DOBLE NO PERMITIDO", "OK"), "OK"))</f>
        <v/>
      </c>
      <c r="AR2551" s="79">
        <f>IF(AN2551="","",IF(OR(AO2551&lt;&gt;"OK", AP2551&lt;&gt;"OK", AQ2551&lt;&gt;"OK"), "⚠️ REVISAR", "OK"))</f>
        <v/>
      </c>
    </row>
    <row r="2552">
      <c r="A2552" s="79">
        <f>IF('Ordenes_Odoo'!A2552="","",'Ordenes_Odoo'!A2552)</f>
        <v/>
      </c>
      <c r="B2552" s="80">
        <f>IF('Ordenes_Odoo'!B2552="","",'Ordenes_Odoo'!B2552)</f>
        <v/>
      </c>
      <c r="C2552" s="79">
        <f>IF('Ordenes_Odoo'!C2552="","",'Ordenes_Odoo'!C2552)</f>
        <v/>
      </c>
      <c r="D2552" s="79">
        <f>IF('Ordenes_Odoo'!D2552="","",'Ordenes_Odoo'!D2552)</f>
        <v/>
      </c>
      <c r="E2552" s="79">
        <f>IF('Ordenes_Odoo'!E2552="","",'Ordenes_Odoo'!E2552)</f>
        <v/>
      </c>
      <c r="F2552" s="79">
        <f>IF('Ordenes_Odoo'!F2552="","",'Ordenes_Odoo'!F2552)</f>
        <v/>
      </c>
      <c r="G2552" s="79">
        <f>IF('Ordenes_Odoo'!G2552="","",'Ordenes_Odoo'!G2552)</f>
        <v/>
      </c>
      <c r="H2552" s="79">
        <f>IF('Ordenes_Odoo'!H2552="","",'Ordenes_Odoo'!H2552)</f>
        <v/>
      </c>
      <c r="I2552" s="79">
        <f>IF('Ordenes_Odoo'!I2552="","",'Ordenes_Odoo'!I2552)</f>
        <v/>
      </c>
      <c r="J2552" s="79">
        <f>IF('Ordenes_Odoo'!J2552="","",'Ordenes_Odoo'!J2552)</f>
        <v/>
      </c>
      <c r="K2552" s="81">
        <f>IF('Ordenes_Odoo'!K2552="","",'Ordenes_Odoo'!K2552)</f>
        <v/>
      </c>
      <c r="L2552" s="81">
        <f>IF('Ordenes_Odoo'!L2552="","",'Ordenes_Odoo'!L2552)</f>
        <v/>
      </c>
      <c r="M2552" s="79">
        <f>IF('Ordenes_Odoo'!M2552="","",'Ordenes_Odoo'!M2552)</f>
        <v/>
      </c>
      <c r="N2552" s="79">
        <f>IF('Ordenes_Odoo'!N2552="","",'Ordenes_Odoo'!N2552)</f>
        <v/>
      </c>
      <c r="O2552" s="81">
        <f>IF('Ordenes_Odoo'!O2552="","",'Ordenes_Odoo'!O2552)</f>
        <v/>
      </c>
      <c r="P2552" s="81">
        <f>IF('Ordenes_Odoo'!P2552="","",'Ordenes_Odoo'!P2552)</f>
        <v/>
      </c>
      <c r="Q2552" s="79">
        <f>IF(A2552="","",IFERROR(INDEX(Facturas_Odoo!$B:$B, MATCH(A2552, Facturas_Odoo!$D:$D, 0)), "Sin Factura"))</f>
        <v/>
      </c>
      <c r="R2552" s="80">
        <f>IF(Q2552="Sin Factura","",IFERROR(INDEX(Facturas_Odoo!$A:$A, MATCH(Q2552, Facturas_Odoo!$B:$B, 0)), ""))</f>
        <v/>
      </c>
      <c r="S2552" s="79">
        <f>IF(Q2552="Sin Factura","",IFERROR(_xlfn.XLOOKUP(1, (Facturas_Odoo!$D:$D=A2552) * (Facturas_Odoo!$K:$K=I2552), Facturas_Odoo!$L:$L, ""), ""))</f>
        <v/>
      </c>
      <c r="T2552" s="81">
        <f>IF(Q2552="Sin Factura",0,IFERROR(_xlfn.XLOOKUP(1, (Facturas_Odoo!$D:$D=A2552) * (Facturas_Odoo!$K:$K=I2552), Facturas_Odoo!$M:$M, 0), 0))</f>
        <v/>
      </c>
      <c r="U2552" s="79">
        <f>IF(Q2552="Sin Factura",0,IFERROR(_xlfn.XLOOKUP(1, (Facturas_Odoo!$D:$D=A2552) * (Facturas_Odoo!$K:$K=I2552), Facturas_Odoo!$N:$N, 0), 0))</f>
        <v/>
      </c>
      <c r="V2552" s="79">
        <f>IF(Q2552="Sin Factura",0,IFERROR(_xlfn.XLOOKUP(1, (Facturas_Odoo!$D:$D=A2552) * (Facturas_Odoo!$K:$K=I2552), Facturas_Odoo!$O:$O, 0), 0))</f>
        <v/>
      </c>
      <c r="W2552" s="81">
        <f>IF(Q2552="Sin Factura",0,IFERROR(_xlfn.XLOOKUP(1, (Facturas_Odoo!$D:$D=A2552) * (Facturas_Odoo!$K:$K=I2552), Facturas_Odoo!$Q:$Q, 0), 0))</f>
        <v/>
      </c>
      <c r="X2552" s="79">
        <f>IF(OR(Q2552="Sin Factura",Q2552=""),"",IFERROR(INDEX(Pagos_Odoo!$B:$B, MATCH(Q2552, Pagos_Odoo!$I:$I, 0)), "Sin Pago"))</f>
        <v/>
      </c>
      <c r="Y2552" s="79">
        <f>IF(X2552="Sin Pago","",IFERROR(INDEX(Pagos_Odoo!$C:$C, MATCH(X2552, Pagos_Odoo!$B:$B, 0)), ""))</f>
        <v/>
      </c>
      <c r="Z2552" s="80">
        <f>IF(X2552="Sin Pago","",IFERROR(INDEX(Pagos_Odoo!$A:$A, MATCH(X2552, Pagos_Odoo!$B:$B, 0)), ""))</f>
        <v/>
      </c>
      <c r="AA2552" s="79">
        <f>IF(X2552="Sin Pago","",IFERROR(INDEX(Pagos_Odoo!$F:$F, MATCH(X2552, Pagos_Odoo!$B:$B, 0)), ""))</f>
        <v/>
      </c>
      <c r="AB2552" s="81">
        <f>IF(X2552="Sin Pago",0,IFERROR(INDEX(Pagos_Odoo!$E:$E, MATCH(X2552, Pagos_Odoo!$B:$B, 0)), 0))</f>
        <v/>
      </c>
      <c r="AC2552" s="79">
        <f>IF(X2552="Sin Pago","",IFERROR(INDEX(Pagos_Odoo!$G:$G, MATCH(X2552, Pagos_Odoo!$B:$B, 0)), ""))</f>
        <v/>
      </c>
      <c r="AD2552" s="82" t="n">
        <v>0</v>
      </c>
      <c r="AE2552" s="82" t="n"/>
      <c r="AF2552" s="82" t="n"/>
      <c r="AG2552" s="82">
        <f>IF(AN2552="","",AD2552+AE2552+AF2552)</f>
        <v/>
      </c>
      <c r="AH2552" s="81">
        <f>IF(AN2552="","",P2552*(1-AG2552))</f>
        <v/>
      </c>
      <c r="AI2552" s="81">
        <f>IF(AN2552="","",IF(Q2552="Sin Factura",0,IFERROR(INDEX(Facturas_Odoo!$H:$H, MATCH(Q2552, Facturas_Odoo!$B:$B, 0)), 0)*(1-AG2552)))</f>
        <v/>
      </c>
      <c r="AJ2552" s="81">
        <f>IF(AN2552="","",_xlfn.LET(idVenta, AN2552&amp;"",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52" s="81">
        <f>IF(AN2552="","",AH2552-AJ2552)</f>
        <v/>
      </c>
      <c r="AL2552" s="81">
        <f>IF(AN2552="","",IF(Q2552="Sin Factura","",AI2552-AJ2552))</f>
        <v/>
      </c>
      <c r="AM2552" s="81">
        <f>IF(AN2552="","",IF(Q2552="Sin Factura",0,P2552-IFERROR(INDEX(Facturas_Odoo!$H:$H, MATCH(Q2552, Facturas_Odoo!$B:$B, 0)), 0)))</f>
        <v/>
      </c>
      <c r="AN2552" s="79">
        <f>IF(AND(A2552="", J2552=""), "", IF(A2552&lt;&gt;"", VALUE(MID(A2552,2,LEN(A2552))), AN2551))</f>
        <v/>
      </c>
      <c r="AO2552" s="79">
        <f>IF(AN2552="","",IF(AD2552=0,"OK",_xlfn.LET(monedaPago, IF(AA2552="","USD",AA2552), limitePermitido, IFERROR(VLOOKUP(monedaPago, Configuración!$A$2:$B$3, 2, FALSE), 0.15), IF(AD2552&gt;limitePermitido, "ALERTA: EXCESO (" &amp; TEXT(limitePermitido, "0%") &amp; " máx)", "OK"))))</f>
        <v/>
      </c>
      <c r="AP2552" s="79">
        <f>IF(AN2552="","",IF(AE2552=0,"OK",_xlfn.LET(fechaPago, Z2552, fechaFactura, R2552, diasCredito, IF(E2552="Pago inmediato", 0, IFERROR(VALUE(MID(E2552, 1, SEARCH(" ", E2552)-1)),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52" s="79">
        <f>IF(AN2552="","",IF(AND(N2552&gt;0, AG2552&gt;0), IF(Configuración!$K$2="NO", "ALERTA: DESCUENTO DOBLE NO PERMITIDO", "OK"), "OK"))</f>
        <v/>
      </c>
      <c r="AR2552" s="79">
        <f>IF(AN2552="","",IF(OR(AO2552&lt;&gt;"OK", AP2552&lt;&gt;"OK", AQ2552&lt;&gt;"OK"), "⚠️ REVISAR", "OK"))</f>
        <v/>
      </c>
    </row>
    <row r="2553">
      <c r="A2553" s="79">
        <f>IF('Ordenes_Odoo'!A2553="","",'Ordenes_Odoo'!A2553)</f>
        <v/>
      </c>
      <c r="B2553" s="80">
        <f>IF('Ordenes_Odoo'!B2553="","",'Ordenes_Odoo'!B2553)</f>
        <v/>
      </c>
      <c r="C2553" s="79">
        <f>IF('Ordenes_Odoo'!C2553="","",'Ordenes_Odoo'!C2553)</f>
        <v/>
      </c>
      <c r="D2553" s="79">
        <f>IF('Ordenes_Odoo'!D2553="","",'Ordenes_Odoo'!D2553)</f>
        <v/>
      </c>
      <c r="E2553" s="79">
        <f>IF('Ordenes_Odoo'!E2553="","",'Ordenes_Odoo'!E2553)</f>
        <v/>
      </c>
      <c r="F2553" s="79">
        <f>IF('Ordenes_Odoo'!F2553="","",'Ordenes_Odoo'!F2553)</f>
        <v/>
      </c>
      <c r="G2553" s="79">
        <f>IF('Ordenes_Odoo'!G2553="","",'Ordenes_Odoo'!G2553)</f>
        <v/>
      </c>
      <c r="H2553" s="79">
        <f>IF('Ordenes_Odoo'!H2553="","",'Ordenes_Odoo'!H2553)</f>
        <v/>
      </c>
      <c r="I2553" s="79">
        <f>IF('Ordenes_Odoo'!I2553="","",'Ordenes_Odoo'!I2553)</f>
        <v/>
      </c>
      <c r="J2553" s="79">
        <f>IF('Ordenes_Odoo'!J2553="","",'Ordenes_Odoo'!J2553)</f>
        <v/>
      </c>
      <c r="K2553" s="81">
        <f>IF('Ordenes_Odoo'!K2553="","",'Ordenes_Odoo'!K2553)</f>
        <v/>
      </c>
      <c r="L2553" s="81">
        <f>IF('Ordenes_Odoo'!L2553="","",'Ordenes_Odoo'!L2553)</f>
        <v/>
      </c>
      <c r="M2553" s="79">
        <f>IF('Ordenes_Odoo'!M2553="","",'Ordenes_Odoo'!M2553)</f>
        <v/>
      </c>
      <c r="N2553" s="79">
        <f>IF('Ordenes_Odoo'!N2553="","",'Ordenes_Odoo'!N2553)</f>
        <v/>
      </c>
      <c r="O2553" s="81">
        <f>IF('Ordenes_Odoo'!O2553="","",'Ordenes_Odoo'!O2553)</f>
        <v/>
      </c>
      <c r="P2553" s="81">
        <f>IF('Ordenes_Odoo'!P2553="","",'Ordenes_Odoo'!P2553)</f>
        <v/>
      </c>
      <c r="Q2553" s="79">
        <f>IF(A2553="","",IFERROR(INDEX(Facturas_Odoo!$B:$B, MATCH(A2553, Facturas_Odoo!$D:$D, 0)), "Sin Factura"))</f>
        <v/>
      </c>
      <c r="R2553" s="80">
        <f>IF(Q2553="Sin Factura","",IFERROR(INDEX(Facturas_Odoo!$A:$A, MATCH(Q2553, Facturas_Odoo!$B:$B, 0)), ""))</f>
        <v/>
      </c>
      <c r="S2553" s="79">
        <f>IF(Q2553="Sin Factura","",IFERROR(_xlfn.XLOOKUP(1, (Facturas_Odoo!$D:$D=A2553) * (Facturas_Odoo!$K:$K=I2553), Facturas_Odoo!$L:$L, ""), ""))</f>
        <v/>
      </c>
      <c r="T2553" s="81">
        <f>IF(Q2553="Sin Factura",0,IFERROR(_xlfn.XLOOKUP(1, (Facturas_Odoo!$D:$D=A2553) * (Facturas_Odoo!$K:$K=I2553), Facturas_Odoo!$M:$M, 0), 0))</f>
        <v/>
      </c>
      <c r="U2553" s="79">
        <f>IF(Q2553="Sin Factura",0,IFERROR(_xlfn.XLOOKUP(1, (Facturas_Odoo!$D:$D=A2553) * (Facturas_Odoo!$K:$K=I2553), Facturas_Odoo!$N:$N, 0), 0))</f>
        <v/>
      </c>
      <c r="V2553" s="79">
        <f>IF(Q2553="Sin Factura",0,IFERROR(_xlfn.XLOOKUP(1, (Facturas_Odoo!$D:$D=A2553) * (Facturas_Odoo!$K:$K=I2553), Facturas_Odoo!$O:$O, 0), 0))</f>
        <v/>
      </c>
      <c r="W2553" s="81">
        <f>IF(Q2553="Sin Factura",0,IFERROR(_xlfn.XLOOKUP(1, (Facturas_Odoo!$D:$D=A2553) * (Facturas_Odoo!$K:$K=I2553), Facturas_Odoo!$Q:$Q, 0), 0))</f>
        <v/>
      </c>
      <c r="X2553" s="79">
        <f>IF(OR(Q2553="Sin Factura",Q2553=""),"",IFERROR(INDEX(Pagos_Odoo!$B:$B, MATCH(Q2553, Pagos_Odoo!$I:$I, 0)), "Sin Pago"))</f>
        <v/>
      </c>
      <c r="Y2553" s="79">
        <f>IF(X2553="Sin Pago","",IFERROR(INDEX(Pagos_Odoo!$C:$C, MATCH(X2553, Pagos_Odoo!$B:$B, 0)), ""))</f>
        <v/>
      </c>
      <c r="Z2553" s="80">
        <f>IF(X2553="Sin Pago","",IFERROR(INDEX(Pagos_Odoo!$A:$A, MATCH(X2553, Pagos_Odoo!$B:$B, 0)), ""))</f>
        <v/>
      </c>
      <c r="AA2553" s="79">
        <f>IF(X2553="Sin Pago","",IFERROR(INDEX(Pagos_Odoo!$F:$F, MATCH(X2553, Pagos_Odoo!$B:$B, 0)), ""))</f>
        <v/>
      </c>
      <c r="AB2553" s="81">
        <f>IF(X2553="Sin Pago",0,IFERROR(INDEX(Pagos_Odoo!$E:$E, MATCH(X2553, Pagos_Odoo!$B:$B, 0)), 0))</f>
        <v/>
      </c>
      <c r="AC2553" s="79">
        <f>IF(X2553="Sin Pago","",IFERROR(INDEX(Pagos_Odoo!$G:$G, MATCH(X2553, Pagos_Odoo!$B:$B, 0)), ""))</f>
        <v/>
      </c>
      <c r="AD2553" s="82" t="n">
        <v>0</v>
      </c>
      <c r="AE2553" s="82" t="n"/>
      <c r="AF2553" s="82" t="n"/>
      <c r="AG2553" s="82">
        <f>IF(AN2553="","",AD2553+AE2553+AF2553)</f>
        <v/>
      </c>
      <c r="AH2553" s="81">
        <f>IF(AN2553="","",P2553*(1-AG2553))</f>
        <v/>
      </c>
      <c r="AI2553" s="81">
        <f>IF(AN2553="","",IF(Q2553="Sin Factura",0,IFERROR(INDEX(Facturas_Odoo!$H:$H, MATCH(Q2553, Facturas_Odoo!$B:$B, 0)), 0)*(1-AG2553)))</f>
        <v/>
      </c>
      <c r="AJ2553" s="81">
        <f>IF(AN2553="","",_xlfn.LET(idVenta, AN2553&amp;"",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53" s="81">
        <f>IF(AN2553="","",AH2553-AJ2553)</f>
        <v/>
      </c>
      <c r="AL2553" s="81">
        <f>IF(AN2553="","",IF(Q2553="Sin Factura","",AI2553-AJ2553))</f>
        <v/>
      </c>
      <c r="AM2553" s="81">
        <f>IF(AN2553="","",IF(Q2553="Sin Factura",0,P2553-IFERROR(INDEX(Facturas_Odoo!$H:$H, MATCH(Q2553, Facturas_Odoo!$B:$B, 0)), 0)))</f>
        <v/>
      </c>
      <c r="AN2553" s="79">
        <f>IF(AND(A2553="", J2553=""), "", IF(A2553&lt;&gt;"", VALUE(MID(A2553,2,LEN(A2553))), AN2552))</f>
        <v/>
      </c>
      <c r="AO2553" s="79">
        <f>IF(AN2553="","",IF(AD2553=0,"OK",_xlfn.LET(monedaPago, IF(AA2553="","USD",AA2553), limitePermitido, IFERROR(VLOOKUP(monedaPago, Configuración!$A$2:$B$3, 2, FALSE), 0.15), IF(AD2553&gt;limitePermitido, "ALERTA: EXCESO (" &amp; TEXT(limitePermitido, "0%") &amp; " máx)", "OK"))))</f>
        <v/>
      </c>
      <c r="AP2553" s="79">
        <f>IF(AN2553="","",IF(AE2553=0,"OK",_xlfn.LET(fechaPago, Z2553, fechaFactura, R2553, diasCredito, IF(E2553="Pago inmediato", 0, IFERROR(VALUE(MID(E2553, 1, SEARCH(" ", E2553)-1)),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53" s="79">
        <f>IF(AN2553="","",IF(AND(N2553&gt;0, AG2553&gt;0), IF(Configuración!$K$2="NO", "ALERTA: DESCUENTO DOBLE NO PERMITIDO", "OK"), "OK"))</f>
        <v/>
      </c>
      <c r="AR2553" s="79">
        <f>IF(AN2553="","",IF(OR(AO2553&lt;&gt;"OK", AP2553&lt;&gt;"OK", AQ2553&lt;&gt;"OK"), "⚠️ REVISAR", "OK"))</f>
        <v/>
      </c>
    </row>
    <row r="2554">
      <c r="A2554" s="79">
        <f>IF('Ordenes_Odoo'!A2554="","",'Ordenes_Odoo'!A2554)</f>
        <v/>
      </c>
      <c r="B2554" s="80">
        <f>IF('Ordenes_Odoo'!B2554="","",'Ordenes_Odoo'!B2554)</f>
        <v/>
      </c>
      <c r="C2554" s="79">
        <f>IF('Ordenes_Odoo'!C2554="","",'Ordenes_Odoo'!C2554)</f>
        <v/>
      </c>
      <c r="D2554" s="79">
        <f>IF('Ordenes_Odoo'!D2554="","",'Ordenes_Odoo'!D2554)</f>
        <v/>
      </c>
      <c r="E2554" s="79">
        <f>IF('Ordenes_Odoo'!E2554="","",'Ordenes_Odoo'!E2554)</f>
        <v/>
      </c>
      <c r="F2554" s="79">
        <f>IF('Ordenes_Odoo'!F2554="","",'Ordenes_Odoo'!F2554)</f>
        <v/>
      </c>
      <c r="G2554" s="79">
        <f>IF('Ordenes_Odoo'!G2554="","",'Ordenes_Odoo'!G2554)</f>
        <v/>
      </c>
      <c r="H2554" s="79">
        <f>IF('Ordenes_Odoo'!H2554="","",'Ordenes_Odoo'!H2554)</f>
        <v/>
      </c>
      <c r="I2554" s="79">
        <f>IF('Ordenes_Odoo'!I2554="","",'Ordenes_Odoo'!I2554)</f>
        <v/>
      </c>
      <c r="J2554" s="79">
        <f>IF('Ordenes_Odoo'!J2554="","",'Ordenes_Odoo'!J2554)</f>
        <v/>
      </c>
      <c r="K2554" s="81">
        <f>IF('Ordenes_Odoo'!K2554="","",'Ordenes_Odoo'!K2554)</f>
        <v/>
      </c>
      <c r="L2554" s="81">
        <f>IF('Ordenes_Odoo'!L2554="","",'Ordenes_Odoo'!L2554)</f>
        <v/>
      </c>
      <c r="M2554" s="79">
        <f>IF('Ordenes_Odoo'!M2554="","",'Ordenes_Odoo'!M2554)</f>
        <v/>
      </c>
      <c r="N2554" s="79">
        <f>IF('Ordenes_Odoo'!N2554="","",'Ordenes_Odoo'!N2554)</f>
        <v/>
      </c>
      <c r="O2554" s="81">
        <f>IF('Ordenes_Odoo'!O2554="","",'Ordenes_Odoo'!O2554)</f>
        <v/>
      </c>
      <c r="P2554" s="81">
        <f>IF('Ordenes_Odoo'!P2554="","",'Ordenes_Odoo'!P2554)</f>
        <v/>
      </c>
      <c r="Q2554" s="79">
        <f>IF(A2554="","",IFERROR(INDEX(Facturas_Odoo!$B:$B, MATCH(A2554, Facturas_Odoo!$D:$D, 0)), "Sin Factura"))</f>
        <v/>
      </c>
      <c r="R2554" s="80">
        <f>IF(Q2554="Sin Factura","",IFERROR(INDEX(Facturas_Odoo!$A:$A, MATCH(Q2554, Facturas_Odoo!$B:$B, 0)), ""))</f>
        <v/>
      </c>
      <c r="S2554" s="79">
        <f>IF(Q2554="Sin Factura","",IFERROR(_xlfn.XLOOKUP(1, (Facturas_Odoo!$D:$D=A2554) * (Facturas_Odoo!$K:$K=I2554), Facturas_Odoo!$L:$L, ""), ""))</f>
        <v/>
      </c>
      <c r="T2554" s="81">
        <f>IF(Q2554="Sin Factura",0,IFERROR(_xlfn.XLOOKUP(1, (Facturas_Odoo!$D:$D=A2554) * (Facturas_Odoo!$K:$K=I2554), Facturas_Odoo!$M:$M, 0), 0))</f>
        <v/>
      </c>
      <c r="U2554" s="79">
        <f>IF(Q2554="Sin Factura",0,IFERROR(_xlfn.XLOOKUP(1, (Facturas_Odoo!$D:$D=A2554) * (Facturas_Odoo!$K:$K=I2554), Facturas_Odoo!$N:$N, 0), 0))</f>
        <v/>
      </c>
      <c r="V2554" s="79">
        <f>IF(Q2554="Sin Factura",0,IFERROR(_xlfn.XLOOKUP(1, (Facturas_Odoo!$D:$D=A2554) * (Facturas_Odoo!$K:$K=I2554), Facturas_Odoo!$O:$O, 0), 0))</f>
        <v/>
      </c>
      <c r="W2554" s="81">
        <f>IF(Q2554="Sin Factura",0,IFERROR(_xlfn.XLOOKUP(1, (Facturas_Odoo!$D:$D=A2554) * (Facturas_Odoo!$K:$K=I2554), Facturas_Odoo!$Q:$Q, 0), 0))</f>
        <v/>
      </c>
      <c r="X2554" s="79">
        <f>IF(OR(Q2554="Sin Factura",Q2554=""),"",IFERROR(INDEX(Pagos_Odoo!$B:$B, MATCH(Q2554, Pagos_Odoo!$I:$I, 0)), "Sin Pago"))</f>
        <v/>
      </c>
      <c r="Y2554" s="79">
        <f>IF(X2554="Sin Pago","",IFERROR(INDEX(Pagos_Odoo!$C:$C, MATCH(X2554, Pagos_Odoo!$B:$B, 0)), ""))</f>
        <v/>
      </c>
      <c r="Z2554" s="80">
        <f>IF(X2554="Sin Pago","",IFERROR(INDEX(Pagos_Odoo!$A:$A, MATCH(X2554, Pagos_Odoo!$B:$B, 0)), ""))</f>
        <v/>
      </c>
      <c r="AA2554" s="79">
        <f>IF(X2554="Sin Pago","",IFERROR(INDEX(Pagos_Odoo!$F:$F, MATCH(X2554, Pagos_Odoo!$B:$B, 0)), ""))</f>
        <v/>
      </c>
      <c r="AB2554" s="81">
        <f>IF(X2554="Sin Pago",0,IFERROR(INDEX(Pagos_Odoo!$E:$E, MATCH(X2554, Pagos_Odoo!$B:$B, 0)), 0))</f>
        <v/>
      </c>
      <c r="AC2554" s="79">
        <f>IF(X2554="Sin Pago","",IFERROR(INDEX(Pagos_Odoo!$G:$G, MATCH(X2554, Pagos_Odoo!$B:$B, 0)), ""))</f>
        <v/>
      </c>
      <c r="AD2554" s="82" t="n">
        <v>0</v>
      </c>
      <c r="AE2554" s="82" t="n"/>
      <c r="AF2554" s="82" t="n"/>
      <c r="AG2554" s="82">
        <f>IF(AN2554="","",AD2554+AE2554+AF2554)</f>
        <v/>
      </c>
      <c r="AH2554" s="81">
        <f>IF(AN2554="","",P2554*(1-AG2554))</f>
        <v/>
      </c>
      <c r="AI2554" s="81">
        <f>IF(AN2554="","",IF(Q2554="Sin Factura",0,IFERROR(INDEX(Facturas_Odoo!$H:$H, MATCH(Q2554, Facturas_Odoo!$B:$B, 0)), 0)*(1-AG2554)))</f>
        <v/>
      </c>
      <c r="AJ2554" s="81">
        <f>IF(AN2554="","",_xlfn.LET(idVenta, AN2554&amp;"",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54" s="81">
        <f>IF(AN2554="","",AH2554-AJ2554)</f>
        <v/>
      </c>
      <c r="AL2554" s="81">
        <f>IF(AN2554="","",IF(Q2554="Sin Factura","",AI2554-AJ2554))</f>
        <v/>
      </c>
      <c r="AM2554" s="81">
        <f>IF(AN2554="","",IF(Q2554="Sin Factura",0,P2554-IFERROR(INDEX(Facturas_Odoo!$H:$H, MATCH(Q2554, Facturas_Odoo!$B:$B, 0)), 0)))</f>
        <v/>
      </c>
      <c r="AN2554" s="79">
        <f>IF(AND(A2554="", J2554=""), "", IF(A2554&lt;&gt;"", VALUE(MID(A2554,2,LEN(A2554))), AN2553))</f>
        <v/>
      </c>
      <c r="AO2554" s="79">
        <f>IF(AN2554="","",IF(AD2554=0,"OK",_xlfn.LET(monedaPago, IF(AA2554="","USD",AA2554), limitePermitido, IFERROR(VLOOKUP(monedaPago, Configuración!$A$2:$B$3, 2, FALSE), 0.15), IF(AD2554&gt;limitePermitido, "ALERTA: EXCESO (" &amp; TEXT(limitePermitido, "0%") &amp; " máx)", "OK"))))</f>
        <v/>
      </c>
      <c r="AP2554" s="79">
        <f>IF(AN2554="","",IF(AE2554=0,"OK",_xlfn.LET(fechaPago, Z2554, fechaFactura, R2554, diasCredito, IF(E2554="Pago inmediato", 0, IFERROR(VALUE(MID(E2554, 1, SEARCH(" ", E2554)-1)),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54" s="79">
        <f>IF(AN2554="","",IF(AND(N2554&gt;0, AG2554&gt;0), IF(Configuración!$K$2="NO", "ALERTA: DESCUENTO DOBLE NO PERMITIDO", "OK"), "OK"))</f>
        <v/>
      </c>
      <c r="AR2554" s="79">
        <f>IF(AN2554="","",IF(OR(AO2554&lt;&gt;"OK", AP2554&lt;&gt;"OK", AQ2554&lt;&gt;"OK"), "⚠️ REVISAR", "OK"))</f>
        <v/>
      </c>
    </row>
    <row r="2555">
      <c r="A2555" s="79">
        <f>IF('Ordenes_Odoo'!A2555="","",'Ordenes_Odoo'!A2555)</f>
        <v/>
      </c>
      <c r="B2555" s="80">
        <f>IF('Ordenes_Odoo'!B2555="","",'Ordenes_Odoo'!B2555)</f>
        <v/>
      </c>
      <c r="C2555" s="79">
        <f>IF('Ordenes_Odoo'!C2555="","",'Ordenes_Odoo'!C2555)</f>
        <v/>
      </c>
      <c r="D2555" s="79">
        <f>IF('Ordenes_Odoo'!D2555="","",'Ordenes_Odoo'!D2555)</f>
        <v/>
      </c>
      <c r="E2555" s="79">
        <f>IF('Ordenes_Odoo'!E2555="","",'Ordenes_Odoo'!E2555)</f>
        <v/>
      </c>
      <c r="F2555" s="79">
        <f>IF('Ordenes_Odoo'!F2555="","",'Ordenes_Odoo'!F2555)</f>
        <v/>
      </c>
      <c r="G2555" s="79">
        <f>IF('Ordenes_Odoo'!G2555="","",'Ordenes_Odoo'!G2555)</f>
        <v/>
      </c>
      <c r="H2555" s="79">
        <f>IF('Ordenes_Odoo'!H2555="","",'Ordenes_Odoo'!H2555)</f>
        <v/>
      </c>
      <c r="I2555" s="79">
        <f>IF('Ordenes_Odoo'!I2555="","",'Ordenes_Odoo'!I2555)</f>
        <v/>
      </c>
      <c r="J2555" s="79">
        <f>IF('Ordenes_Odoo'!J2555="","",'Ordenes_Odoo'!J2555)</f>
        <v/>
      </c>
      <c r="K2555" s="81">
        <f>IF('Ordenes_Odoo'!K2555="","",'Ordenes_Odoo'!K2555)</f>
        <v/>
      </c>
      <c r="L2555" s="81">
        <f>IF('Ordenes_Odoo'!L2555="","",'Ordenes_Odoo'!L2555)</f>
        <v/>
      </c>
      <c r="M2555" s="79">
        <f>IF('Ordenes_Odoo'!M2555="","",'Ordenes_Odoo'!M2555)</f>
        <v/>
      </c>
      <c r="N2555" s="79">
        <f>IF('Ordenes_Odoo'!N2555="","",'Ordenes_Odoo'!N2555)</f>
        <v/>
      </c>
      <c r="O2555" s="81">
        <f>IF('Ordenes_Odoo'!O2555="","",'Ordenes_Odoo'!O2555)</f>
        <v/>
      </c>
      <c r="P2555" s="81">
        <f>IF('Ordenes_Odoo'!P2555="","",'Ordenes_Odoo'!P2555)</f>
        <v/>
      </c>
      <c r="Q2555" s="79">
        <f>IF(A2555="","",IFERROR(INDEX(Facturas_Odoo!$B:$B, MATCH(A2555, Facturas_Odoo!$D:$D, 0)), "Sin Factura"))</f>
        <v/>
      </c>
      <c r="R2555" s="80">
        <f>IF(Q2555="Sin Factura","",IFERROR(INDEX(Facturas_Odoo!$A:$A, MATCH(Q2555, Facturas_Odoo!$B:$B, 0)), ""))</f>
        <v/>
      </c>
      <c r="S2555" s="79">
        <f>IF(Q2555="Sin Factura","",IFERROR(_xlfn.XLOOKUP(1, (Facturas_Odoo!$D:$D=A2555) * (Facturas_Odoo!$K:$K=I2555), Facturas_Odoo!$L:$L, ""), ""))</f>
        <v/>
      </c>
      <c r="T2555" s="81">
        <f>IF(Q2555="Sin Factura",0,IFERROR(_xlfn.XLOOKUP(1, (Facturas_Odoo!$D:$D=A2555) * (Facturas_Odoo!$K:$K=I2555), Facturas_Odoo!$M:$M, 0), 0))</f>
        <v/>
      </c>
      <c r="U2555" s="79">
        <f>IF(Q2555="Sin Factura",0,IFERROR(_xlfn.XLOOKUP(1, (Facturas_Odoo!$D:$D=A2555) * (Facturas_Odoo!$K:$K=I2555), Facturas_Odoo!$N:$N, 0), 0))</f>
        <v/>
      </c>
      <c r="V2555" s="79">
        <f>IF(Q2555="Sin Factura",0,IFERROR(_xlfn.XLOOKUP(1, (Facturas_Odoo!$D:$D=A2555) * (Facturas_Odoo!$K:$K=I2555), Facturas_Odoo!$O:$O, 0), 0))</f>
        <v/>
      </c>
      <c r="W2555" s="81">
        <f>IF(Q2555="Sin Factura",0,IFERROR(_xlfn.XLOOKUP(1, (Facturas_Odoo!$D:$D=A2555) * (Facturas_Odoo!$K:$K=I2555), Facturas_Odoo!$Q:$Q, 0), 0))</f>
        <v/>
      </c>
      <c r="X2555" s="79">
        <f>IF(OR(Q2555="Sin Factura",Q2555=""),"",IFERROR(INDEX(Pagos_Odoo!$B:$B, MATCH(Q2555, Pagos_Odoo!$I:$I, 0)), "Sin Pago"))</f>
        <v/>
      </c>
      <c r="Y2555" s="79">
        <f>IF(X2555="Sin Pago","",IFERROR(INDEX(Pagos_Odoo!$C:$C, MATCH(X2555, Pagos_Odoo!$B:$B, 0)), ""))</f>
        <v/>
      </c>
      <c r="Z2555" s="80">
        <f>IF(X2555="Sin Pago","",IFERROR(INDEX(Pagos_Odoo!$A:$A, MATCH(X2555, Pagos_Odoo!$B:$B, 0)), ""))</f>
        <v/>
      </c>
      <c r="AA2555" s="79">
        <f>IF(X2555="Sin Pago","",IFERROR(INDEX(Pagos_Odoo!$F:$F, MATCH(X2555, Pagos_Odoo!$B:$B, 0)), ""))</f>
        <v/>
      </c>
      <c r="AB2555" s="81">
        <f>IF(X2555="Sin Pago",0,IFERROR(INDEX(Pagos_Odoo!$E:$E, MATCH(X2555, Pagos_Odoo!$B:$B, 0)), 0))</f>
        <v/>
      </c>
      <c r="AC2555" s="79">
        <f>IF(X2555="Sin Pago","",IFERROR(INDEX(Pagos_Odoo!$G:$G, MATCH(X2555, Pagos_Odoo!$B:$B, 0)), ""))</f>
        <v/>
      </c>
      <c r="AD2555" s="82" t="n">
        <v>0</v>
      </c>
      <c r="AE2555" s="82" t="n"/>
      <c r="AF2555" s="82" t="n"/>
      <c r="AG2555" s="82">
        <f>IF(AN2555="","",AD2555+AE2555+AF2555)</f>
        <v/>
      </c>
      <c r="AH2555" s="81">
        <f>IF(AN2555="","",P2555*(1-AG2555))</f>
        <v/>
      </c>
      <c r="AI2555" s="81">
        <f>IF(AN2555="","",IF(Q2555="Sin Factura",0,IFERROR(INDEX(Facturas_Odoo!$H:$H, MATCH(Q2555, Facturas_Odoo!$B:$B, 0)), 0)*(1-AG2555)))</f>
        <v/>
      </c>
      <c r="AJ2555" s="81">
        <f>IF(AN2555="","",_xlfn.LET(idVenta, AN2555&amp;"",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55" s="81">
        <f>IF(AN2555="","",AH2555-AJ2555)</f>
        <v/>
      </c>
      <c r="AL2555" s="81">
        <f>IF(AN2555="","",IF(Q2555="Sin Factura","",AI2555-AJ2555))</f>
        <v/>
      </c>
      <c r="AM2555" s="81">
        <f>IF(AN2555="","",IF(Q2555="Sin Factura",0,P2555-IFERROR(INDEX(Facturas_Odoo!$H:$H, MATCH(Q2555, Facturas_Odoo!$B:$B, 0)), 0)))</f>
        <v/>
      </c>
      <c r="AN2555" s="79">
        <f>IF(AND(A2555="", J2555=""), "", IF(A2555&lt;&gt;"", VALUE(MID(A2555,2,LEN(A2555))), AN2554))</f>
        <v/>
      </c>
      <c r="AO2555" s="79">
        <f>IF(AN2555="","",IF(AD2555=0,"OK",_xlfn.LET(monedaPago, IF(AA2555="","USD",AA2555), limitePermitido, IFERROR(VLOOKUP(monedaPago, Configuración!$A$2:$B$3, 2, FALSE), 0.15), IF(AD2555&gt;limitePermitido, "ALERTA: EXCESO (" &amp; TEXT(limitePermitido, "0%") &amp; " máx)", "OK"))))</f>
        <v/>
      </c>
      <c r="AP2555" s="79">
        <f>IF(AN2555="","",IF(AE2555=0,"OK",_xlfn.LET(fechaPago, Z2555, fechaFactura, R2555, diasCredito, IF(E2555="Pago inmediato", 0, IFERROR(VALUE(MID(E2555, 1, SEARCH(" ", E2555)-1)),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55" s="79">
        <f>IF(AN2555="","",IF(AND(N2555&gt;0, AG2555&gt;0), IF(Configuración!$K$2="NO", "ALERTA: DESCUENTO DOBLE NO PERMITIDO", "OK"), "OK"))</f>
        <v/>
      </c>
      <c r="AR2555" s="79">
        <f>IF(AN2555="","",IF(OR(AO2555&lt;&gt;"OK", AP2555&lt;&gt;"OK", AQ2555&lt;&gt;"OK"), "⚠️ REVISAR", "OK"))</f>
        <v/>
      </c>
    </row>
    <row r="2556">
      <c r="A2556" s="79">
        <f>IF('Ordenes_Odoo'!A2556="","",'Ordenes_Odoo'!A2556)</f>
        <v/>
      </c>
      <c r="B2556" s="80">
        <f>IF('Ordenes_Odoo'!B2556="","",'Ordenes_Odoo'!B2556)</f>
        <v/>
      </c>
      <c r="C2556" s="79">
        <f>IF('Ordenes_Odoo'!C2556="","",'Ordenes_Odoo'!C2556)</f>
        <v/>
      </c>
      <c r="D2556" s="79">
        <f>IF('Ordenes_Odoo'!D2556="","",'Ordenes_Odoo'!D2556)</f>
        <v/>
      </c>
      <c r="E2556" s="79">
        <f>IF('Ordenes_Odoo'!E2556="","",'Ordenes_Odoo'!E2556)</f>
        <v/>
      </c>
      <c r="F2556" s="79">
        <f>IF('Ordenes_Odoo'!F2556="","",'Ordenes_Odoo'!F2556)</f>
        <v/>
      </c>
      <c r="G2556" s="79">
        <f>IF('Ordenes_Odoo'!G2556="","",'Ordenes_Odoo'!G2556)</f>
        <v/>
      </c>
      <c r="H2556" s="79">
        <f>IF('Ordenes_Odoo'!H2556="","",'Ordenes_Odoo'!H2556)</f>
        <v/>
      </c>
      <c r="I2556" s="79">
        <f>IF('Ordenes_Odoo'!I2556="","",'Ordenes_Odoo'!I2556)</f>
        <v/>
      </c>
      <c r="J2556" s="79">
        <f>IF('Ordenes_Odoo'!J2556="","",'Ordenes_Odoo'!J2556)</f>
        <v/>
      </c>
      <c r="K2556" s="81">
        <f>IF('Ordenes_Odoo'!K2556="","",'Ordenes_Odoo'!K2556)</f>
        <v/>
      </c>
      <c r="L2556" s="81">
        <f>IF('Ordenes_Odoo'!L2556="","",'Ordenes_Odoo'!L2556)</f>
        <v/>
      </c>
      <c r="M2556" s="79">
        <f>IF('Ordenes_Odoo'!M2556="","",'Ordenes_Odoo'!M2556)</f>
        <v/>
      </c>
      <c r="N2556" s="79">
        <f>IF('Ordenes_Odoo'!N2556="","",'Ordenes_Odoo'!N2556)</f>
        <v/>
      </c>
      <c r="O2556" s="81">
        <f>IF('Ordenes_Odoo'!O2556="","",'Ordenes_Odoo'!O2556)</f>
        <v/>
      </c>
      <c r="P2556" s="81">
        <f>IF('Ordenes_Odoo'!P2556="","",'Ordenes_Odoo'!P2556)</f>
        <v/>
      </c>
      <c r="Q2556" s="79">
        <f>IF(A2556="","",IFERROR(INDEX(Facturas_Odoo!$B:$B, MATCH(A2556, Facturas_Odoo!$D:$D, 0)), "Sin Factura"))</f>
        <v/>
      </c>
      <c r="R2556" s="80">
        <f>IF(Q2556="Sin Factura","",IFERROR(INDEX(Facturas_Odoo!$A:$A, MATCH(Q2556, Facturas_Odoo!$B:$B, 0)), ""))</f>
        <v/>
      </c>
      <c r="S2556" s="79">
        <f>IF(Q2556="Sin Factura","",IFERROR(_xlfn.XLOOKUP(1, (Facturas_Odoo!$D:$D=A2556) * (Facturas_Odoo!$K:$K=I2556), Facturas_Odoo!$L:$L, ""), ""))</f>
        <v/>
      </c>
      <c r="T2556" s="81">
        <f>IF(Q2556="Sin Factura",0,IFERROR(_xlfn.XLOOKUP(1, (Facturas_Odoo!$D:$D=A2556) * (Facturas_Odoo!$K:$K=I2556), Facturas_Odoo!$M:$M, 0), 0))</f>
        <v/>
      </c>
      <c r="U2556" s="79">
        <f>IF(Q2556="Sin Factura",0,IFERROR(_xlfn.XLOOKUP(1, (Facturas_Odoo!$D:$D=A2556) * (Facturas_Odoo!$K:$K=I2556), Facturas_Odoo!$N:$N, 0), 0))</f>
        <v/>
      </c>
      <c r="V2556" s="79">
        <f>IF(Q2556="Sin Factura",0,IFERROR(_xlfn.XLOOKUP(1, (Facturas_Odoo!$D:$D=A2556) * (Facturas_Odoo!$K:$K=I2556), Facturas_Odoo!$O:$O, 0), 0))</f>
        <v/>
      </c>
      <c r="W2556" s="81">
        <f>IF(Q2556="Sin Factura",0,IFERROR(_xlfn.XLOOKUP(1, (Facturas_Odoo!$D:$D=A2556) * (Facturas_Odoo!$K:$K=I2556), Facturas_Odoo!$Q:$Q, 0), 0))</f>
        <v/>
      </c>
      <c r="X2556" s="79">
        <f>IF(OR(Q2556="Sin Factura",Q2556=""),"",IFERROR(INDEX(Pagos_Odoo!$B:$B, MATCH(Q2556, Pagos_Odoo!$I:$I, 0)), "Sin Pago"))</f>
        <v/>
      </c>
      <c r="Y2556" s="79">
        <f>IF(X2556="Sin Pago","",IFERROR(INDEX(Pagos_Odoo!$C:$C, MATCH(X2556, Pagos_Odoo!$B:$B, 0)), ""))</f>
        <v/>
      </c>
      <c r="Z2556" s="80">
        <f>IF(X2556="Sin Pago","",IFERROR(INDEX(Pagos_Odoo!$A:$A, MATCH(X2556, Pagos_Odoo!$B:$B, 0)), ""))</f>
        <v/>
      </c>
      <c r="AA2556" s="79">
        <f>IF(X2556="Sin Pago","",IFERROR(INDEX(Pagos_Odoo!$F:$F, MATCH(X2556, Pagos_Odoo!$B:$B, 0)), ""))</f>
        <v/>
      </c>
      <c r="AB2556" s="81">
        <f>IF(X2556="Sin Pago",0,IFERROR(INDEX(Pagos_Odoo!$E:$E, MATCH(X2556, Pagos_Odoo!$B:$B, 0)), 0))</f>
        <v/>
      </c>
      <c r="AC2556" s="79">
        <f>IF(X2556="Sin Pago","",IFERROR(INDEX(Pagos_Odoo!$G:$G, MATCH(X2556, Pagos_Odoo!$B:$B, 0)), ""))</f>
        <v/>
      </c>
      <c r="AD2556" s="82" t="n">
        <v>0</v>
      </c>
      <c r="AE2556" s="82" t="n"/>
      <c r="AF2556" s="82" t="n"/>
      <c r="AG2556" s="82">
        <f>IF(AN2556="","",AD2556+AE2556+AF2556)</f>
        <v/>
      </c>
      <c r="AH2556" s="81">
        <f>IF(AN2556="","",P2556*(1-AG2556))</f>
        <v/>
      </c>
      <c r="AI2556" s="81">
        <f>IF(AN2556="","",IF(Q2556="Sin Factura",0,IFERROR(INDEX(Facturas_Odoo!$H:$H, MATCH(Q2556, Facturas_Odoo!$B:$B, 0)), 0)*(1-AG2556)))</f>
        <v/>
      </c>
      <c r="AJ2556" s="81">
        <f>IF(AN2556="","",_xlfn.LET(idVenta, AN2556&amp;"",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56" s="81">
        <f>IF(AN2556="","",AH2556-AJ2556)</f>
        <v/>
      </c>
      <c r="AL2556" s="81">
        <f>IF(AN2556="","",IF(Q2556="Sin Factura","",AI2556-AJ2556))</f>
        <v/>
      </c>
      <c r="AM2556" s="81">
        <f>IF(AN2556="","",IF(Q2556="Sin Factura",0,P2556-IFERROR(INDEX(Facturas_Odoo!$H:$H, MATCH(Q2556, Facturas_Odoo!$B:$B, 0)), 0)))</f>
        <v/>
      </c>
      <c r="AN2556" s="79">
        <f>IF(AND(A2556="", J2556=""), "", IF(A2556&lt;&gt;"", VALUE(MID(A2556,2,LEN(A2556))), AN2555))</f>
        <v/>
      </c>
      <c r="AO2556" s="79">
        <f>IF(AN2556="","",IF(AD2556=0,"OK",_xlfn.LET(monedaPago, IF(AA2556="","USD",AA2556), limitePermitido, IFERROR(VLOOKUP(monedaPago, Configuración!$A$2:$B$3, 2, FALSE), 0.15), IF(AD2556&gt;limitePermitido, "ALERTA: EXCESO (" &amp; TEXT(limitePermitido, "0%") &amp; " máx)", "OK"))))</f>
        <v/>
      </c>
      <c r="AP2556" s="79">
        <f>IF(AN2556="","",IF(AE2556=0,"OK",_xlfn.LET(fechaPago, Z2556, fechaFactura, R2556, diasCredito, IF(E2556="Pago inmediato", 0, IFERROR(VALUE(MID(E2556, 1, SEARCH(" ", E2556)-1)),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56" s="79">
        <f>IF(AN2556="","",IF(AND(N2556&gt;0, AG2556&gt;0), IF(Configuración!$K$2="NO", "ALERTA: DESCUENTO DOBLE NO PERMITIDO", "OK"), "OK"))</f>
        <v/>
      </c>
      <c r="AR2556" s="79">
        <f>IF(AN2556="","",IF(OR(AO2556&lt;&gt;"OK", AP2556&lt;&gt;"OK", AQ2556&lt;&gt;"OK"), "⚠️ REVISAR", "OK"))</f>
        <v/>
      </c>
    </row>
    <row r="2557">
      <c r="A2557" s="79">
        <f>IF('Ordenes_Odoo'!A2557="","",'Ordenes_Odoo'!A2557)</f>
        <v/>
      </c>
      <c r="B2557" s="80">
        <f>IF('Ordenes_Odoo'!B2557="","",'Ordenes_Odoo'!B2557)</f>
        <v/>
      </c>
      <c r="C2557" s="79">
        <f>IF('Ordenes_Odoo'!C2557="","",'Ordenes_Odoo'!C2557)</f>
        <v/>
      </c>
      <c r="D2557" s="79">
        <f>IF('Ordenes_Odoo'!D2557="","",'Ordenes_Odoo'!D2557)</f>
        <v/>
      </c>
      <c r="E2557" s="79">
        <f>IF('Ordenes_Odoo'!E2557="","",'Ordenes_Odoo'!E2557)</f>
        <v/>
      </c>
      <c r="F2557" s="79">
        <f>IF('Ordenes_Odoo'!F2557="","",'Ordenes_Odoo'!F2557)</f>
        <v/>
      </c>
      <c r="G2557" s="79">
        <f>IF('Ordenes_Odoo'!G2557="","",'Ordenes_Odoo'!G2557)</f>
        <v/>
      </c>
      <c r="H2557" s="79">
        <f>IF('Ordenes_Odoo'!H2557="","",'Ordenes_Odoo'!H2557)</f>
        <v/>
      </c>
      <c r="I2557" s="79">
        <f>IF('Ordenes_Odoo'!I2557="","",'Ordenes_Odoo'!I2557)</f>
        <v/>
      </c>
      <c r="J2557" s="79">
        <f>IF('Ordenes_Odoo'!J2557="","",'Ordenes_Odoo'!J2557)</f>
        <v/>
      </c>
      <c r="K2557" s="81">
        <f>IF('Ordenes_Odoo'!K2557="","",'Ordenes_Odoo'!K2557)</f>
        <v/>
      </c>
      <c r="L2557" s="81">
        <f>IF('Ordenes_Odoo'!L2557="","",'Ordenes_Odoo'!L2557)</f>
        <v/>
      </c>
      <c r="M2557" s="79">
        <f>IF('Ordenes_Odoo'!M2557="","",'Ordenes_Odoo'!M2557)</f>
        <v/>
      </c>
      <c r="N2557" s="79">
        <f>IF('Ordenes_Odoo'!N2557="","",'Ordenes_Odoo'!N2557)</f>
        <v/>
      </c>
      <c r="O2557" s="81">
        <f>IF('Ordenes_Odoo'!O2557="","",'Ordenes_Odoo'!O2557)</f>
        <v/>
      </c>
      <c r="P2557" s="81">
        <f>IF('Ordenes_Odoo'!P2557="","",'Ordenes_Odoo'!P2557)</f>
        <v/>
      </c>
      <c r="Q2557" s="79">
        <f>IF(A2557="","",IFERROR(INDEX(Facturas_Odoo!$B:$B, MATCH(A2557, Facturas_Odoo!$D:$D, 0)), "Sin Factura"))</f>
        <v/>
      </c>
      <c r="R2557" s="80">
        <f>IF(Q2557="Sin Factura","",IFERROR(INDEX(Facturas_Odoo!$A:$A, MATCH(Q2557, Facturas_Odoo!$B:$B, 0)), ""))</f>
        <v/>
      </c>
      <c r="S2557" s="79">
        <f>IF(Q2557="Sin Factura","",IFERROR(_xlfn.XLOOKUP(1, (Facturas_Odoo!$D:$D=A2557) * (Facturas_Odoo!$K:$K=I2557), Facturas_Odoo!$L:$L, ""), ""))</f>
        <v/>
      </c>
      <c r="T2557" s="81">
        <f>IF(Q2557="Sin Factura",0,IFERROR(_xlfn.XLOOKUP(1, (Facturas_Odoo!$D:$D=A2557) * (Facturas_Odoo!$K:$K=I2557), Facturas_Odoo!$M:$M, 0), 0))</f>
        <v/>
      </c>
      <c r="U2557" s="79">
        <f>IF(Q2557="Sin Factura",0,IFERROR(_xlfn.XLOOKUP(1, (Facturas_Odoo!$D:$D=A2557) * (Facturas_Odoo!$K:$K=I2557), Facturas_Odoo!$N:$N, 0), 0))</f>
        <v/>
      </c>
      <c r="V2557" s="79">
        <f>IF(Q2557="Sin Factura",0,IFERROR(_xlfn.XLOOKUP(1, (Facturas_Odoo!$D:$D=A2557) * (Facturas_Odoo!$K:$K=I2557), Facturas_Odoo!$O:$O, 0), 0))</f>
        <v/>
      </c>
      <c r="W2557" s="81">
        <f>IF(Q2557="Sin Factura",0,IFERROR(_xlfn.XLOOKUP(1, (Facturas_Odoo!$D:$D=A2557) * (Facturas_Odoo!$K:$K=I2557), Facturas_Odoo!$Q:$Q, 0), 0))</f>
        <v/>
      </c>
      <c r="X2557" s="79">
        <f>IF(OR(Q2557="Sin Factura",Q2557=""),"",IFERROR(INDEX(Pagos_Odoo!$B:$B, MATCH(Q2557, Pagos_Odoo!$I:$I, 0)), "Sin Pago"))</f>
        <v/>
      </c>
      <c r="Y2557" s="79">
        <f>IF(X2557="Sin Pago","",IFERROR(INDEX(Pagos_Odoo!$C:$C, MATCH(X2557, Pagos_Odoo!$B:$B, 0)), ""))</f>
        <v/>
      </c>
      <c r="Z2557" s="80">
        <f>IF(X2557="Sin Pago","",IFERROR(INDEX(Pagos_Odoo!$A:$A, MATCH(X2557, Pagos_Odoo!$B:$B, 0)), ""))</f>
        <v/>
      </c>
      <c r="AA2557" s="79">
        <f>IF(X2557="Sin Pago","",IFERROR(INDEX(Pagos_Odoo!$F:$F, MATCH(X2557, Pagos_Odoo!$B:$B, 0)), ""))</f>
        <v/>
      </c>
      <c r="AB2557" s="81">
        <f>IF(X2557="Sin Pago",0,IFERROR(INDEX(Pagos_Odoo!$E:$E, MATCH(X2557, Pagos_Odoo!$B:$B, 0)), 0))</f>
        <v/>
      </c>
      <c r="AC2557" s="79">
        <f>IF(X2557="Sin Pago","",IFERROR(INDEX(Pagos_Odoo!$G:$G, MATCH(X2557, Pagos_Odoo!$B:$B, 0)), ""))</f>
        <v/>
      </c>
      <c r="AD2557" s="82" t="n">
        <v>0</v>
      </c>
      <c r="AE2557" s="82" t="n"/>
      <c r="AF2557" s="82" t="n"/>
      <c r="AG2557" s="82">
        <f>IF(AN2557="","",AD2557+AE2557+AF2557)</f>
        <v/>
      </c>
      <c r="AH2557" s="81">
        <f>IF(AN2557="","",P2557*(1-AG2557))</f>
        <v/>
      </c>
      <c r="AI2557" s="81">
        <f>IF(AN2557="","",IF(Q2557="Sin Factura",0,IFERROR(INDEX(Facturas_Odoo!$H:$H, MATCH(Q2557, Facturas_Odoo!$B:$B, 0)), 0)*(1-AG2557)))</f>
        <v/>
      </c>
      <c r="AJ2557" s="81">
        <f>IF(AN2557="","",_xlfn.LET(idVenta, AN2557&amp;"",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57" s="81">
        <f>IF(AN2557="","",AH2557-AJ2557)</f>
        <v/>
      </c>
      <c r="AL2557" s="81">
        <f>IF(AN2557="","",IF(Q2557="Sin Factura","",AI2557-AJ2557))</f>
        <v/>
      </c>
      <c r="AM2557" s="81">
        <f>IF(AN2557="","",IF(Q2557="Sin Factura",0,P2557-IFERROR(INDEX(Facturas_Odoo!$H:$H, MATCH(Q2557, Facturas_Odoo!$B:$B, 0)), 0)))</f>
        <v/>
      </c>
      <c r="AN2557" s="79">
        <f>IF(AND(A2557="", J2557=""), "", IF(A2557&lt;&gt;"", VALUE(MID(A2557,2,LEN(A2557))), AN2556))</f>
        <v/>
      </c>
      <c r="AO2557" s="79">
        <f>IF(AN2557="","",IF(AD2557=0,"OK",_xlfn.LET(monedaPago, IF(AA2557="","USD",AA2557), limitePermitido, IFERROR(VLOOKUP(monedaPago, Configuración!$A$2:$B$3, 2, FALSE), 0.15), IF(AD2557&gt;limitePermitido, "ALERTA: EXCESO (" &amp; TEXT(limitePermitido, "0%") &amp; " máx)", "OK"))))</f>
        <v/>
      </c>
      <c r="AP2557" s="79">
        <f>IF(AN2557="","",IF(AE2557=0,"OK",_xlfn.LET(fechaPago, Z2557, fechaFactura, R2557, diasCredito, IF(E2557="Pago inmediato", 0, IFERROR(VALUE(MID(E2557, 1, SEARCH(" ", E2557)-1)),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57" s="79">
        <f>IF(AN2557="","",IF(AND(N2557&gt;0, AG2557&gt;0), IF(Configuración!$K$2="NO", "ALERTA: DESCUENTO DOBLE NO PERMITIDO", "OK"), "OK"))</f>
        <v/>
      </c>
      <c r="AR2557" s="79">
        <f>IF(AN2557="","",IF(OR(AO2557&lt;&gt;"OK", AP2557&lt;&gt;"OK", AQ2557&lt;&gt;"OK"), "⚠️ REVISAR", "OK"))</f>
        <v/>
      </c>
    </row>
    <row r="2558">
      <c r="A2558" s="79">
        <f>IF('Ordenes_Odoo'!A2558="","",'Ordenes_Odoo'!A2558)</f>
        <v/>
      </c>
      <c r="B2558" s="80">
        <f>IF('Ordenes_Odoo'!B2558="","",'Ordenes_Odoo'!B2558)</f>
        <v/>
      </c>
      <c r="C2558" s="79">
        <f>IF('Ordenes_Odoo'!C2558="","",'Ordenes_Odoo'!C2558)</f>
        <v/>
      </c>
      <c r="D2558" s="79">
        <f>IF('Ordenes_Odoo'!D2558="","",'Ordenes_Odoo'!D2558)</f>
        <v/>
      </c>
      <c r="E2558" s="79">
        <f>IF('Ordenes_Odoo'!E2558="","",'Ordenes_Odoo'!E2558)</f>
        <v/>
      </c>
      <c r="F2558" s="79">
        <f>IF('Ordenes_Odoo'!F2558="","",'Ordenes_Odoo'!F2558)</f>
        <v/>
      </c>
      <c r="G2558" s="79">
        <f>IF('Ordenes_Odoo'!G2558="","",'Ordenes_Odoo'!G2558)</f>
        <v/>
      </c>
      <c r="H2558" s="79">
        <f>IF('Ordenes_Odoo'!H2558="","",'Ordenes_Odoo'!H2558)</f>
        <v/>
      </c>
      <c r="I2558" s="79">
        <f>IF('Ordenes_Odoo'!I2558="","",'Ordenes_Odoo'!I2558)</f>
        <v/>
      </c>
      <c r="J2558" s="79">
        <f>IF('Ordenes_Odoo'!J2558="","",'Ordenes_Odoo'!J2558)</f>
        <v/>
      </c>
      <c r="K2558" s="81">
        <f>IF('Ordenes_Odoo'!K2558="","",'Ordenes_Odoo'!K2558)</f>
        <v/>
      </c>
      <c r="L2558" s="81">
        <f>IF('Ordenes_Odoo'!L2558="","",'Ordenes_Odoo'!L2558)</f>
        <v/>
      </c>
      <c r="M2558" s="79">
        <f>IF('Ordenes_Odoo'!M2558="","",'Ordenes_Odoo'!M2558)</f>
        <v/>
      </c>
      <c r="N2558" s="79">
        <f>IF('Ordenes_Odoo'!N2558="","",'Ordenes_Odoo'!N2558)</f>
        <v/>
      </c>
      <c r="O2558" s="81">
        <f>IF('Ordenes_Odoo'!O2558="","",'Ordenes_Odoo'!O2558)</f>
        <v/>
      </c>
      <c r="P2558" s="81">
        <f>IF('Ordenes_Odoo'!P2558="","",'Ordenes_Odoo'!P2558)</f>
        <v/>
      </c>
      <c r="Q2558" s="79">
        <f>IF(A2558="","",IFERROR(INDEX(Facturas_Odoo!$B:$B, MATCH(A2558, Facturas_Odoo!$D:$D, 0)), "Sin Factura"))</f>
        <v/>
      </c>
      <c r="R2558" s="80">
        <f>IF(Q2558="Sin Factura","",IFERROR(INDEX(Facturas_Odoo!$A:$A, MATCH(Q2558, Facturas_Odoo!$B:$B, 0)), ""))</f>
        <v/>
      </c>
      <c r="S2558" s="79">
        <f>IF(Q2558="Sin Factura","",IFERROR(_xlfn.XLOOKUP(1, (Facturas_Odoo!$D:$D=A2558) * (Facturas_Odoo!$K:$K=I2558), Facturas_Odoo!$L:$L, ""), ""))</f>
        <v/>
      </c>
      <c r="T2558" s="81">
        <f>IF(Q2558="Sin Factura",0,IFERROR(_xlfn.XLOOKUP(1, (Facturas_Odoo!$D:$D=A2558) * (Facturas_Odoo!$K:$K=I2558), Facturas_Odoo!$M:$M, 0), 0))</f>
        <v/>
      </c>
      <c r="U2558" s="79">
        <f>IF(Q2558="Sin Factura",0,IFERROR(_xlfn.XLOOKUP(1, (Facturas_Odoo!$D:$D=A2558) * (Facturas_Odoo!$K:$K=I2558), Facturas_Odoo!$N:$N, 0), 0))</f>
        <v/>
      </c>
      <c r="V2558" s="79">
        <f>IF(Q2558="Sin Factura",0,IFERROR(_xlfn.XLOOKUP(1, (Facturas_Odoo!$D:$D=A2558) * (Facturas_Odoo!$K:$K=I2558), Facturas_Odoo!$O:$O, 0), 0))</f>
        <v/>
      </c>
      <c r="W2558" s="81">
        <f>IF(Q2558="Sin Factura",0,IFERROR(_xlfn.XLOOKUP(1, (Facturas_Odoo!$D:$D=A2558) * (Facturas_Odoo!$K:$K=I2558), Facturas_Odoo!$Q:$Q, 0), 0))</f>
        <v/>
      </c>
      <c r="X2558" s="79">
        <f>IF(OR(Q2558="Sin Factura",Q2558=""),"",IFERROR(INDEX(Pagos_Odoo!$B:$B, MATCH(Q2558, Pagos_Odoo!$I:$I, 0)), "Sin Pago"))</f>
        <v/>
      </c>
      <c r="Y2558" s="79">
        <f>IF(X2558="Sin Pago","",IFERROR(INDEX(Pagos_Odoo!$C:$C, MATCH(X2558, Pagos_Odoo!$B:$B, 0)), ""))</f>
        <v/>
      </c>
      <c r="Z2558" s="80">
        <f>IF(X2558="Sin Pago","",IFERROR(INDEX(Pagos_Odoo!$A:$A, MATCH(X2558, Pagos_Odoo!$B:$B, 0)), ""))</f>
        <v/>
      </c>
      <c r="AA2558" s="79">
        <f>IF(X2558="Sin Pago","",IFERROR(INDEX(Pagos_Odoo!$F:$F, MATCH(X2558, Pagos_Odoo!$B:$B, 0)), ""))</f>
        <v/>
      </c>
      <c r="AB2558" s="81">
        <f>IF(X2558="Sin Pago",0,IFERROR(INDEX(Pagos_Odoo!$E:$E, MATCH(X2558, Pagos_Odoo!$B:$B, 0)), 0))</f>
        <v/>
      </c>
      <c r="AC2558" s="79">
        <f>IF(X2558="Sin Pago","",IFERROR(INDEX(Pagos_Odoo!$G:$G, MATCH(X2558, Pagos_Odoo!$B:$B, 0)), ""))</f>
        <v/>
      </c>
      <c r="AD2558" s="82" t="n">
        <v>0</v>
      </c>
      <c r="AE2558" s="82" t="n"/>
      <c r="AF2558" s="82" t="n"/>
      <c r="AG2558" s="82">
        <f>IF(AN2558="","",AD2558+AE2558+AF2558)</f>
        <v/>
      </c>
      <c r="AH2558" s="81">
        <f>IF(AN2558="","",P2558*(1-AG2558))</f>
        <v/>
      </c>
      <c r="AI2558" s="81">
        <f>IF(AN2558="","",IF(Q2558="Sin Factura",0,IFERROR(INDEX(Facturas_Odoo!$H:$H, MATCH(Q2558, Facturas_Odoo!$B:$B, 0)), 0)*(1-AG2558)))</f>
        <v/>
      </c>
      <c r="AJ2558" s="81">
        <f>IF(AN2558="","",_xlfn.LET(idVenta, AN2558&amp;"",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58" s="81">
        <f>IF(AN2558="","",AH2558-AJ2558)</f>
        <v/>
      </c>
      <c r="AL2558" s="81">
        <f>IF(AN2558="","",IF(Q2558="Sin Factura","",AI2558-AJ2558))</f>
        <v/>
      </c>
      <c r="AM2558" s="81">
        <f>IF(AN2558="","",IF(Q2558="Sin Factura",0,P2558-IFERROR(INDEX(Facturas_Odoo!$H:$H, MATCH(Q2558, Facturas_Odoo!$B:$B, 0)), 0)))</f>
        <v/>
      </c>
      <c r="AN2558" s="79">
        <f>IF(AND(A2558="", J2558=""), "", IF(A2558&lt;&gt;"", VALUE(MID(A2558,2,LEN(A2558))), AN2557))</f>
        <v/>
      </c>
      <c r="AO2558" s="79">
        <f>IF(AN2558="","",IF(AD2558=0,"OK",_xlfn.LET(monedaPago, IF(AA2558="","USD",AA2558), limitePermitido, IFERROR(VLOOKUP(monedaPago, Configuración!$A$2:$B$3, 2, FALSE), 0.15), IF(AD2558&gt;limitePermitido, "ALERTA: EXCESO (" &amp; TEXT(limitePermitido, "0%") &amp; " máx)", "OK"))))</f>
        <v/>
      </c>
      <c r="AP2558" s="79">
        <f>IF(AN2558="","",IF(AE2558=0,"OK",_xlfn.LET(fechaPago, Z2558, fechaFactura, R2558, diasCredito, IF(E2558="Pago inmediato", 0, IFERROR(VALUE(MID(E2558, 1, SEARCH(" ", E2558)-1)),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58" s="79">
        <f>IF(AN2558="","",IF(AND(N2558&gt;0, AG2558&gt;0), IF(Configuración!$K$2="NO", "ALERTA: DESCUENTO DOBLE NO PERMITIDO", "OK"), "OK"))</f>
        <v/>
      </c>
      <c r="AR2558" s="79">
        <f>IF(AN2558="","",IF(OR(AO2558&lt;&gt;"OK", AP2558&lt;&gt;"OK", AQ2558&lt;&gt;"OK"), "⚠️ REVISAR", "OK"))</f>
        <v/>
      </c>
    </row>
    <row r="2559">
      <c r="A2559" s="79">
        <f>IF('Ordenes_Odoo'!A2559="","",'Ordenes_Odoo'!A2559)</f>
        <v/>
      </c>
      <c r="B2559" s="80">
        <f>IF('Ordenes_Odoo'!B2559="","",'Ordenes_Odoo'!B2559)</f>
        <v/>
      </c>
      <c r="C2559" s="79">
        <f>IF('Ordenes_Odoo'!C2559="","",'Ordenes_Odoo'!C2559)</f>
        <v/>
      </c>
      <c r="D2559" s="79">
        <f>IF('Ordenes_Odoo'!D2559="","",'Ordenes_Odoo'!D2559)</f>
        <v/>
      </c>
      <c r="E2559" s="79">
        <f>IF('Ordenes_Odoo'!E2559="","",'Ordenes_Odoo'!E2559)</f>
        <v/>
      </c>
      <c r="F2559" s="79">
        <f>IF('Ordenes_Odoo'!F2559="","",'Ordenes_Odoo'!F2559)</f>
        <v/>
      </c>
      <c r="G2559" s="79">
        <f>IF('Ordenes_Odoo'!G2559="","",'Ordenes_Odoo'!G2559)</f>
        <v/>
      </c>
      <c r="H2559" s="79">
        <f>IF('Ordenes_Odoo'!H2559="","",'Ordenes_Odoo'!H2559)</f>
        <v/>
      </c>
      <c r="I2559" s="79">
        <f>IF('Ordenes_Odoo'!I2559="","",'Ordenes_Odoo'!I2559)</f>
        <v/>
      </c>
      <c r="J2559" s="79">
        <f>IF('Ordenes_Odoo'!J2559="","",'Ordenes_Odoo'!J2559)</f>
        <v/>
      </c>
      <c r="K2559" s="81">
        <f>IF('Ordenes_Odoo'!K2559="","",'Ordenes_Odoo'!K2559)</f>
        <v/>
      </c>
      <c r="L2559" s="81">
        <f>IF('Ordenes_Odoo'!L2559="","",'Ordenes_Odoo'!L2559)</f>
        <v/>
      </c>
      <c r="M2559" s="79">
        <f>IF('Ordenes_Odoo'!M2559="","",'Ordenes_Odoo'!M2559)</f>
        <v/>
      </c>
      <c r="N2559" s="79">
        <f>IF('Ordenes_Odoo'!N2559="","",'Ordenes_Odoo'!N2559)</f>
        <v/>
      </c>
      <c r="O2559" s="81">
        <f>IF('Ordenes_Odoo'!O2559="","",'Ordenes_Odoo'!O2559)</f>
        <v/>
      </c>
      <c r="P2559" s="81">
        <f>IF('Ordenes_Odoo'!P2559="","",'Ordenes_Odoo'!P2559)</f>
        <v/>
      </c>
      <c r="Q2559" s="79">
        <f>IF(A2559="","",IFERROR(INDEX(Facturas_Odoo!$B:$B, MATCH(A2559, Facturas_Odoo!$D:$D, 0)), "Sin Factura"))</f>
        <v/>
      </c>
      <c r="R2559" s="80">
        <f>IF(Q2559="Sin Factura","",IFERROR(INDEX(Facturas_Odoo!$A:$A, MATCH(Q2559, Facturas_Odoo!$B:$B, 0)), ""))</f>
        <v/>
      </c>
      <c r="S2559" s="79">
        <f>IF(Q2559="Sin Factura","",IFERROR(_xlfn.XLOOKUP(1, (Facturas_Odoo!$D:$D=A2559) * (Facturas_Odoo!$K:$K=I2559), Facturas_Odoo!$L:$L, ""), ""))</f>
        <v/>
      </c>
      <c r="T2559" s="81">
        <f>IF(Q2559="Sin Factura",0,IFERROR(_xlfn.XLOOKUP(1, (Facturas_Odoo!$D:$D=A2559) * (Facturas_Odoo!$K:$K=I2559), Facturas_Odoo!$M:$M, 0), 0))</f>
        <v/>
      </c>
      <c r="U2559" s="79">
        <f>IF(Q2559="Sin Factura",0,IFERROR(_xlfn.XLOOKUP(1, (Facturas_Odoo!$D:$D=A2559) * (Facturas_Odoo!$K:$K=I2559), Facturas_Odoo!$N:$N, 0), 0))</f>
        <v/>
      </c>
      <c r="V2559" s="79">
        <f>IF(Q2559="Sin Factura",0,IFERROR(_xlfn.XLOOKUP(1, (Facturas_Odoo!$D:$D=A2559) * (Facturas_Odoo!$K:$K=I2559), Facturas_Odoo!$O:$O, 0), 0))</f>
        <v/>
      </c>
      <c r="W2559" s="81">
        <f>IF(Q2559="Sin Factura",0,IFERROR(_xlfn.XLOOKUP(1, (Facturas_Odoo!$D:$D=A2559) * (Facturas_Odoo!$K:$K=I2559), Facturas_Odoo!$Q:$Q, 0), 0))</f>
        <v/>
      </c>
      <c r="X2559" s="79">
        <f>IF(OR(Q2559="Sin Factura",Q2559=""),"",IFERROR(INDEX(Pagos_Odoo!$B:$B, MATCH(Q2559, Pagos_Odoo!$I:$I, 0)), "Sin Pago"))</f>
        <v/>
      </c>
      <c r="Y2559" s="79">
        <f>IF(X2559="Sin Pago","",IFERROR(INDEX(Pagos_Odoo!$C:$C, MATCH(X2559, Pagos_Odoo!$B:$B, 0)), ""))</f>
        <v/>
      </c>
      <c r="Z2559" s="80">
        <f>IF(X2559="Sin Pago","",IFERROR(INDEX(Pagos_Odoo!$A:$A, MATCH(X2559, Pagos_Odoo!$B:$B, 0)), ""))</f>
        <v/>
      </c>
      <c r="AA2559" s="79">
        <f>IF(X2559="Sin Pago","",IFERROR(INDEX(Pagos_Odoo!$F:$F, MATCH(X2559, Pagos_Odoo!$B:$B, 0)), ""))</f>
        <v/>
      </c>
      <c r="AB2559" s="81">
        <f>IF(X2559="Sin Pago",0,IFERROR(INDEX(Pagos_Odoo!$E:$E, MATCH(X2559, Pagos_Odoo!$B:$B, 0)), 0))</f>
        <v/>
      </c>
      <c r="AC2559" s="79">
        <f>IF(X2559="Sin Pago","",IFERROR(INDEX(Pagos_Odoo!$G:$G, MATCH(X2559, Pagos_Odoo!$B:$B, 0)), ""))</f>
        <v/>
      </c>
      <c r="AD2559" s="82" t="n">
        <v>0</v>
      </c>
      <c r="AE2559" s="82" t="n"/>
      <c r="AF2559" s="82" t="n"/>
      <c r="AG2559" s="82">
        <f>IF(AN2559="","",AD2559+AE2559+AF2559)</f>
        <v/>
      </c>
      <c r="AH2559" s="81">
        <f>IF(AN2559="","",P2559*(1-AG2559))</f>
        <v/>
      </c>
      <c r="AI2559" s="81">
        <f>IF(AN2559="","",IF(Q2559="Sin Factura",0,IFERROR(INDEX(Facturas_Odoo!$H:$H, MATCH(Q2559, Facturas_Odoo!$B:$B, 0)), 0)*(1-AG2559)))</f>
        <v/>
      </c>
      <c r="AJ2559" s="81">
        <f>IF(AN2559="","",_xlfn.LET(idVenta, AN2559&amp;"",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59" s="81">
        <f>IF(AN2559="","",AH2559-AJ2559)</f>
        <v/>
      </c>
      <c r="AL2559" s="81">
        <f>IF(AN2559="","",IF(Q2559="Sin Factura","",AI2559-AJ2559))</f>
        <v/>
      </c>
      <c r="AM2559" s="81">
        <f>IF(AN2559="","",IF(Q2559="Sin Factura",0,P2559-IFERROR(INDEX(Facturas_Odoo!$H:$H, MATCH(Q2559, Facturas_Odoo!$B:$B, 0)), 0)))</f>
        <v/>
      </c>
      <c r="AN2559" s="79">
        <f>IF(AND(A2559="", J2559=""), "", IF(A2559&lt;&gt;"", VALUE(MID(A2559,2,LEN(A2559))), AN2558))</f>
        <v/>
      </c>
      <c r="AO2559" s="79">
        <f>IF(AN2559="","",IF(AD2559=0,"OK",_xlfn.LET(monedaPago, IF(AA2559="","USD",AA2559), limitePermitido, IFERROR(VLOOKUP(monedaPago, Configuración!$A$2:$B$3, 2, FALSE), 0.15), IF(AD2559&gt;limitePermitido, "ALERTA: EXCESO (" &amp; TEXT(limitePermitido, "0%") &amp; " máx)", "OK"))))</f>
        <v/>
      </c>
      <c r="AP2559" s="79">
        <f>IF(AN2559="","",IF(AE2559=0,"OK",_xlfn.LET(fechaPago, Z2559, fechaFactura, R2559, diasCredito, IF(E2559="Pago inmediato", 0, IFERROR(VALUE(MID(E2559, 1, SEARCH(" ", E2559)-1)),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59" s="79">
        <f>IF(AN2559="","",IF(AND(N2559&gt;0, AG2559&gt;0), IF(Configuración!$K$2="NO", "ALERTA: DESCUENTO DOBLE NO PERMITIDO", "OK"), "OK"))</f>
        <v/>
      </c>
      <c r="AR2559" s="79">
        <f>IF(AN2559="","",IF(OR(AO2559&lt;&gt;"OK", AP2559&lt;&gt;"OK", AQ2559&lt;&gt;"OK"), "⚠️ REVISAR", "OK"))</f>
        <v/>
      </c>
    </row>
    <row r="2560">
      <c r="A2560" s="79">
        <f>IF('Ordenes_Odoo'!A2560="","",'Ordenes_Odoo'!A2560)</f>
        <v/>
      </c>
      <c r="B2560" s="80">
        <f>IF('Ordenes_Odoo'!B2560="","",'Ordenes_Odoo'!B2560)</f>
        <v/>
      </c>
      <c r="C2560" s="79">
        <f>IF('Ordenes_Odoo'!C2560="","",'Ordenes_Odoo'!C2560)</f>
        <v/>
      </c>
      <c r="D2560" s="79">
        <f>IF('Ordenes_Odoo'!D2560="","",'Ordenes_Odoo'!D2560)</f>
        <v/>
      </c>
      <c r="E2560" s="79">
        <f>IF('Ordenes_Odoo'!E2560="","",'Ordenes_Odoo'!E2560)</f>
        <v/>
      </c>
      <c r="F2560" s="79">
        <f>IF('Ordenes_Odoo'!F2560="","",'Ordenes_Odoo'!F2560)</f>
        <v/>
      </c>
      <c r="G2560" s="79">
        <f>IF('Ordenes_Odoo'!G2560="","",'Ordenes_Odoo'!G2560)</f>
        <v/>
      </c>
      <c r="H2560" s="79">
        <f>IF('Ordenes_Odoo'!H2560="","",'Ordenes_Odoo'!H2560)</f>
        <v/>
      </c>
      <c r="I2560" s="79">
        <f>IF('Ordenes_Odoo'!I2560="","",'Ordenes_Odoo'!I2560)</f>
        <v/>
      </c>
      <c r="J2560" s="79">
        <f>IF('Ordenes_Odoo'!J2560="","",'Ordenes_Odoo'!J2560)</f>
        <v/>
      </c>
      <c r="K2560" s="81">
        <f>IF('Ordenes_Odoo'!K2560="","",'Ordenes_Odoo'!K2560)</f>
        <v/>
      </c>
      <c r="L2560" s="81">
        <f>IF('Ordenes_Odoo'!L2560="","",'Ordenes_Odoo'!L2560)</f>
        <v/>
      </c>
      <c r="M2560" s="79">
        <f>IF('Ordenes_Odoo'!M2560="","",'Ordenes_Odoo'!M2560)</f>
        <v/>
      </c>
      <c r="N2560" s="79">
        <f>IF('Ordenes_Odoo'!N2560="","",'Ordenes_Odoo'!N2560)</f>
        <v/>
      </c>
      <c r="O2560" s="81">
        <f>IF('Ordenes_Odoo'!O2560="","",'Ordenes_Odoo'!O2560)</f>
        <v/>
      </c>
      <c r="P2560" s="81">
        <f>IF('Ordenes_Odoo'!P2560="","",'Ordenes_Odoo'!P2560)</f>
        <v/>
      </c>
      <c r="Q2560" s="79">
        <f>IF(A2560="","",IFERROR(INDEX(Facturas_Odoo!$B:$B, MATCH(A2560, Facturas_Odoo!$D:$D, 0)), "Sin Factura"))</f>
        <v/>
      </c>
      <c r="R2560" s="80">
        <f>IF(Q2560="Sin Factura","",IFERROR(INDEX(Facturas_Odoo!$A:$A, MATCH(Q2560, Facturas_Odoo!$B:$B, 0)), ""))</f>
        <v/>
      </c>
      <c r="S2560" s="79">
        <f>IF(Q2560="Sin Factura","",IFERROR(_xlfn.XLOOKUP(1, (Facturas_Odoo!$D:$D=A2560) * (Facturas_Odoo!$K:$K=I2560), Facturas_Odoo!$L:$L, ""), ""))</f>
        <v/>
      </c>
      <c r="T2560" s="81">
        <f>IF(Q2560="Sin Factura",0,IFERROR(_xlfn.XLOOKUP(1, (Facturas_Odoo!$D:$D=A2560) * (Facturas_Odoo!$K:$K=I2560), Facturas_Odoo!$M:$M, 0), 0))</f>
        <v/>
      </c>
      <c r="U2560" s="79">
        <f>IF(Q2560="Sin Factura",0,IFERROR(_xlfn.XLOOKUP(1, (Facturas_Odoo!$D:$D=A2560) * (Facturas_Odoo!$K:$K=I2560), Facturas_Odoo!$N:$N, 0), 0))</f>
        <v/>
      </c>
      <c r="V2560" s="79">
        <f>IF(Q2560="Sin Factura",0,IFERROR(_xlfn.XLOOKUP(1, (Facturas_Odoo!$D:$D=A2560) * (Facturas_Odoo!$K:$K=I2560), Facturas_Odoo!$O:$O, 0), 0))</f>
        <v/>
      </c>
      <c r="W2560" s="81">
        <f>IF(Q2560="Sin Factura",0,IFERROR(_xlfn.XLOOKUP(1, (Facturas_Odoo!$D:$D=A2560) * (Facturas_Odoo!$K:$K=I2560), Facturas_Odoo!$Q:$Q, 0), 0))</f>
        <v/>
      </c>
      <c r="X2560" s="79">
        <f>IF(OR(Q2560="Sin Factura",Q2560=""),"",IFERROR(INDEX(Pagos_Odoo!$B:$B, MATCH(Q2560, Pagos_Odoo!$I:$I, 0)), "Sin Pago"))</f>
        <v/>
      </c>
      <c r="Y2560" s="79">
        <f>IF(X2560="Sin Pago","",IFERROR(INDEX(Pagos_Odoo!$C:$C, MATCH(X2560, Pagos_Odoo!$B:$B, 0)), ""))</f>
        <v/>
      </c>
      <c r="Z2560" s="80">
        <f>IF(X2560="Sin Pago","",IFERROR(INDEX(Pagos_Odoo!$A:$A, MATCH(X2560, Pagos_Odoo!$B:$B, 0)), ""))</f>
        <v/>
      </c>
      <c r="AA2560" s="79">
        <f>IF(X2560="Sin Pago","",IFERROR(INDEX(Pagos_Odoo!$F:$F, MATCH(X2560, Pagos_Odoo!$B:$B, 0)), ""))</f>
        <v/>
      </c>
      <c r="AB2560" s="81">
        <f>IF(X2560="Sin Pago",0,IFERROR(INDEX(Pagos_Odoo!$E:$E, MATCH(X2560, Pagos_Odoo!$B:$B, 0)), 0))</f>
        <v/>
      </c>
      <c r="AC2560" s="79">
        <f>IF(X2560="Sin Pago","",IFERROR(INDEX(Pagos_Odoo!$G:$G, MATCH(X2560, Pagos_Odoo!$B:$B, 0)), ""))</f>
        <v/>
      </c>
      <c r="AD2560" s="82" t="n">
        <v>0</v>
      </c>
      <c r="AE2560" s="82" t="n"/>
      <c r="AF2560" s="82" t="n"/>
      <c r="AG2560" s="82">
        <f>IF(AN2560="","",AD2560+AE2560+AF2560)</f>
        <v/>
      </c>
      <c r="AH2560" s="81">
        <f>IF(AN2560="","",P2560*(1-AG2560))</f>
        <v/>
      </c>
      <c r="AI2560" s="81">
        <f>IF(AN2560="","",IF(Q2560="Sin Factura",0,IFERROR(INDEX(Facturas_Odoo!$H:$H, MATCH(Q2560, Facturas_Odoo!$B:$B, 0)), 0)*(1-AG2560)))</f>
        <v/>
      </c>
      <c r="AJ2560" s="81">
        <f>IF(AN2560="","",_xlfn.LET(idVenta, AN2560&amp;"",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60" s="81">
        <f>IF(AN2560="","",AH2560-AJ2560)</f>
        <v/>
      </c>
      <c r="AL2560" s="81">
        <f>IF(AN2560="","",IF(Q2560="Sin Factura","",AI2560-AJ2560))</f>
        <v/>
      </c>
      <c r="AM2560" s="81">
        <f>IF(AN2560="","",IF(Q2560="Sin Factura",0,P2560-IFERROR(INDEX(Facturas_Odoo!$H:$H, MATCH(Q2560, Facturas_Odoo!$B:$B, 0)), 0)))</f>
        <v/>
      </c>
      <c r="AN2560" s="79">
        <f>IF(AND(A2560="", J2560=""), "", IF(A2560&lt;&gt;"", VALUE(MID(A2560,2,LEN(A2560))), AN2559))</f>
        <v/>
      </c>
      <c r="AO2560" s="79">
        <f>IF(AN2560="","",IF(AD2560=0,"OK",_xlfn.LET(monedaPago, IF(AA2560="","USD",AA2560), limitePermitido, IFERROR(VLOOKUP(monedaPago, Configuración!$A$2:$B$3, 2, FALSE), 0.15), IF(AD2560&gt;limitePermitido, "ALERTA: EXCESO (" &amp; TEXT(limitePermitido, "0%") &amp; " máx)", "OK"))))</f>
        <v/>
      </c>
      <c r="AP2560" s="79">
        <f>IF(AN2560="","",IF(AE2560=0,"OK",_xlfn.LET(fechaPago, Z2560, fechaFactura, R2560, diasCredito, IF(E2560="Pago inmediato", 0, IFERROR(VALUE(MID(E2560, 1, SEARCH(" ", E2560)-1)),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60" s="79">
        <f>IF(AN2560="","",IF(AND(N2560&gt;0, AG2560&gt;0), IF(Configuración!$K$2="NO", "ALERTA: DESCUENTO DOBLE NO PERMITIDO", "OK"), "OK"))</f>
        <v/>
      </c>
      <c r="AR2560" s="79">
        <f>IF(AN2560="","",IF(OR(AO2560&lt;&gt;"OK", AP2560&lt;&gt;"OK", AQ2560&lt;&gt;"OK"), "⚠️ REVISAR", "OK"))</f>
        <v/>
      </c>
    </row>
    <row r="2561">
      <c r="A2561" s="79">
        <f>IF('Ordenes_Odoo'!A2561="","",'Ordenes_Odoo'!A2561)</f>
        <v/>
      </c>
      <c r="B2561" s="80">
        <f>IF('Ordenes_Odoo'!B2561="","",'Ordenes_Odoo'!B2561)</f>
        <v/>
      </c>
      <c r="C2561" s="79">
        <f>IF('Ordenes_Odoo'!C2561="","",'Ordenes_Odoo'!C2561)</f>
        <v/>
      </c>
      <c r="D2561" s="79">
        <f>IF('Ordenes_Odoo'!D2561="","",'Ordenes_Odoo'!D2561)</f>
        <v/>
      </c>
      <c r="E2561" s="79">
        <f>IF('Ordenes_Odoo'!E2561="","",'Ordenes_Odoo'!E2561)</f>
        <v/>
      </c>
      <c r="F2561" s="79">
        <f>IF('Ordenes_Odoo'!F2561="","",'Ordenes_Odoo'!F2561)</f>
        <v/>
      </c>
      <c r="G2561" s="79">
        <f>IF('Ordenes_Odoo'!G2561="","",'Ordenes_Odoo'!G2561)</f>
        <v/>
      </c>
      <c r="H2561" s="79">
        <f>IF('Ordenes_Odoo'!H2561="","",'Ordenes_Odoo'!H2561)</f>
        <v/>
      </c>
      <c r="I2561" s="79">
        <f>IF('Ordenes_Odoo'!I2561="","",'Ordenes_Odoo'!I2561)</f>
        <v/>
      </c>
      <c r="J2561" s="79">
        <f>IF('Ordenes_Odoo'!J2561="","",'Ordenes_Odoo'!J2561)</f>
        <v/>
      </c>
      <c r="K2561" s="81">
        <f>IF('Ordenes_Odoo'!K2561="","",'Ordenes_Odoo'!K2561)</f>
        <v/>
      </c>
      <c r="L2561" s="81">
        <f>IF('Ordenes_Odoo'!L2561="","",'Ordenes_Odoo'!L2561)</f>
        <v/>
      </c>
      <c r="M2561" s="79">
        <f>IF('Ordenes_Odoo'!M2561="","",'Ordenes_Odoo'!M2561)</f>
        <v/>
      </c>
      <c r="N2561" s="79">
        <f>IF('Ordenes_Odoo'!N2561="","",'Ordenes_Odoo'!N2561)</f>
        <v/>
      </c>
      <c r="O2561" s="81">
        <f>IF('Ordenes_Odoo'!O2561="","",'Ordenes_Odoo'!O2561)</f>
        <v/>
      </c>
      <c r="P2561" s="81">
        <f>IF('Ordenes_Odoo'!P2561="","",'Ordenes_Odoo'!P2561)</f>
        <v/>
      </c>
      <c r="Q2561" s="79">
        <f>IF(A2561="","",IFERROR(INDEX(Facturas_Odoo!$B:$B, MATCH(A2561, Facturas_Odoo!$D:$D, 0)), "Sin Factura"))</f>
        <v/>
      </c>
      <c r="R2561" s="80">
        <f>IF(Q2561="Sin Factura","",IFERROR(INDEX(Facturas_Odoo!$A:$A, MATCH(Q2561, Facturas_Odoo!$B:$B, 0)), ""))</f>
        <v/>
      </c>
      <c r="S2561" s="79">
        <f>IF(Q2561="Sin Factura","",IFERROR(_xlfn.XLOOKUP(1, (Facturas_Odoo!$D:$D=A2561) * (Facturas_Odoo!$K:$K=I2561), Facturas_Odoo!$L:$L, ""), ""))</f>
        <v/>
      </c>
      <c r="T2561" s="81">
        <f>IF(Q2561="Sin Factura",0,IFERROR(_xlfn.XLOOKUP(1, (Facturas_Odoo!$D:$D=A2561) * (Facturas_Odoo!$K:$K=I2561), Facturas_Odoo!$M:$M, 0), 0))</f>
        <v/>
      </c>
      <c r="U2561" s="79">
        <f>IF(Q2561="Sin Factura",0,IFERROR(_xlfn.XLOOKUP(1, (Facturas_Odoo!$D:$D=A2561) * (Facturas_Odoo!$K:$K=I2561), Facturas_Odoo!$N:$N, 0), 0))</f>
        <v/>
      </c>
      <c r="V2561" s="79">
        <f>IF(Q2561="Sin Factura",0,IFERROR(_xlfn.XLOOKUP(1, (Facturas_Odoo!$D:$D=A2561) * (Facturas_Odoo!$K:$K=I2561), Facturas_Odoo!$O:$O, 0), 0))</f>
        <v/>
      </c>
      <c r="W2561" s="81">
        <f>IF(Q2561="Sin Factura",0,IFERROR(_xlfn.XLOOKUP(1, (Facturas_Odoo!$D:$D=A2561) * (Facturas_Odoo!$K:$K=I2561), Facturas_Odoo!$Q:$Q, 0), 0))</f>
        <v/>
      </c>
      <c r="X2561" s="79">
        <f>IF(OR(Q2561="Sin Factura",Q2561=""),"",IFERROR(INDEX(Pagos_Odoo!$B:$B, MATCH(Q2561, Pagos_Odoo!$I:$I, 0)), "Sin Pago"))</f>
        <v/>
      </c>
      <c r="Y2561" s="79">
        <f>IF(X2561="Sin Pago","",IFERROR(INDEX(Pagos_Odoo!$C:$C, MATCH(X2561, Pagos_Odoo!$B:$B, 0)), ""))</f>
        <v/>
      </c>
      <c r="Z2561" s="80">
        <f>IF(X2561="Sin Pago","",IFERROR(INDEX(Pagos_Odoo!$A:$A, MATCH(X2561, Pagos_Odoo!$B:$B, 0)), ""))</f>
        <v/>
      </c>
      <c r="AA2561" s="79">
        <f>IF(X2561="Sin Pago","",IFERROR(INDEX(Pagos_Odoo!$F:$F, MATCH(X2561, Pagos_Odoo!$B:$B, 0)), ""))</f>
        <v/>
      </c>
      <c r="AB2561" s="81">
        <f>IF(X2561="Sin Pago",0,IFERROR(INDEX(Pagos_Odoo!$E:$E, MATCH(X2561, Pagos_Odoo!$B:$B, 0)), 0))</f>
        <v/>
      </c>
      <c r="AC2561" s="79">
        <f>IF(X2561="Sin Pago","",IFERROR(INDEX(Pagos_Odoo!$G:$G, MATCH(X2561, Pagos_Odoo!$B:$B, 0)), ""))</f>
        <v/>
      </c>
      <c r="AD2561" s="82" t="n">
        <v>0</v>
      </c>
      <c r="AE2561" s="82" t="n"/>
      <c r="AF2561" s="82" t="n"/>
      <c r="AG2561" s="82">
        <f>IF(AN2561="","",AD2561+AE2561+AF2561)</f>
        <v/>
      </c>
      <c r="AH2561" s="81">
        <f>IF(AN2561="","",P2561*(1-AG2561))</f>
        <v/>
      </c>
      <c r="AI2561" s="81">
        <f>IF(AN2561="","",IF(Q2561="Sin Factura",0,IFERROR(INDEX(Facturas_Odoo!$H:$H, MATCH(Q2561, Facturas_Odoo!$B:$B, 0)), 0)*(1-AG2561)))</f>
        <v/>
      </c>
      <c r="AJ2561" s="81">
        <f>IF(AN2561="","",_xlfn.LET(idVenta, AN2561&amp;"",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61" s="81">
        <f>IF(AN2561="","",AH2561-AJ2561)</f>
        <v/>
      </c>
      <c r="AL2561" s="81">
        <f>IF(AN2561="","",IF(Q2561="Sin Factura","",AI2561-AJ2561))</f>
        <v/>
      </c>
      <c r="AM2561" s="81">
        <f>IF(AN2561="","",IF(Q2561="Sin Factura",0,P2561-IFERROR(INDEX(Facturas_Odoo!$H:$H, MATCH(Q2561, Facturas_Odoo!$B:$B, 0)), 0)))</f>
        <v/>
      </c>
      <c r="AN2561" s="79">
        <f>IF(AND(A2561="", J2561=""), "", IF(A2561&lt;&gt;"", VALUE(MID(A2561,2,LEN(A2561))), AN2560))</f>
        <v/>
      </c>
      <c r="AO2561" s="79">
        <f>IF(AN2561="","",IF(AD2561=0,"OK",_xlfn.LET(monedaPago, IF(AA2561="","USD",AA2561), limitePermitido, IFERROR(VLOOKUP(monedaPago, Configuración!$A$2:$B$3, 2, FALSE), 0.15), IF(AD2561&gt;limitePermitido, "ALERTA: EXCESO (" &amp; TEXT(limitePermitido, "0%") &amp; " máx)", "OK"))))</f>
        <v/>
      </c>
      <c r="AP2561" s="79">
        <f>IF(AN2561="","",IF(AE2561=0,"OK",_xlfn.LET(fechaPago, Z2561, fechaFactura, R2561, diasCredito, IF(E2561="Pago inmediato", 0, IFERROR(VALUE(MID(E2561, 1, SEARCH(" ", E2561)-1)),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61" s="79">
        <f>IF(AN2561="","",IF(AND(N2561&gt;0, AG2561&gt;0), IF(Configuración!$K$2="NO", "ALERTA: DESCUENTO DOBLE NO PERMITIDO", "OK"), "OK"))</f>
        <v/>
      </c>
      <c r="AR2561" s="79">
        <f>IF(AN2561="","",IF(OR(AO2561&lt;&gt;"OK", AP2561&lt;&gt;"OK", AQ2561&lt;&gt;"OK"), "⚠️ REVISAR", "OK"))</f>
        <v/>
      </c>
    </row>
    <row r="2562">
      <c r="A2562" s="79">
        <f>IF('Ordenes_Odoo'!A2562="","",'Ordenes_Odoo'!A2562)</f>
        <v/>
      </c>
      <c r="B2562" s="80">
        <f>IF('Ordenes_Odoo'!B2562="","",'Ordenes_Odoo'!B2562)</f>
        <v/>
      </c>
      <c r="C2562" s="79">
        <f>IF('Ordenes_Odoo'!C2562="","",'Ordenes_Odoo'!C2562)</f>
        <v/>
      </c>
      <c r="D2562" s="79">
        <f>IF('Ordenes_Odoo'!D2562="","",'Ordenes_Odoo'!D2562)</f>
        <v/>
      </c>
      <c r="E2562" s="79">
        <f>IF('Ordenes_Odoo'!E2562="","",'Ordenes_Odoo'!E2562)</f>
        <v/>
      </c>
      <c r="F2562" s="79">
        <f>IF('Ordenes_Odoo'!F2562="","",'Ordenes_Odoo'!F2562)</f>
        <v/>
      </c>
      <c r="G2562" s="79">
        <f>IF('Ordenes_Odoo'!G2562="","",'Ordenes_Odoo'!G2562)</f>
        <v/>
      </c>
      <c r="H2562" s="79">
        <f>IF('Ordenes_Odoo'!H2562="","",'Ordenes_Odoo'!H2562)</f>
        <v/>
      </c>
      <c r="I2562" s="79">
        <f>IF('Ordenes_Odoo'!I2562="","",'Ordenes_Odoo'!I2562)</f>
        <v/>
      </c>
      <c r="J2562" s="79">
        <f>IF('Ordenes_Odoo'!J2562="","",'Ordenes_Odoo'!J2562)</f>
        <v/>
      </c>
      <c r="K2562" s="81">
        <f>IF('Ordenes_Odoo'!K2562="","",'Ordenes_Odoo'!K2562)</f>
        <v/>
      </c>
      <c r="L2562" s="81">
        <f>IF('Ordenes_Odoo'!L2562="","",'Ordenes_Odoo'!L2562)</f>
        <v/>
      </c>
      <c r="M2562" s="79">
        <f>IF('Ordenes_Odoo'!M2562="","",'Ordenes_Odoo'!M2562)</f>
        <v/>
      </c>
      <c r="N2562" s="79">
        <f>IF('Ordenes_Odoo'!N2562="","",'Ordenes_Odoo'!N2562)</f>
        <v/>
      </c>
      <c r="O2562" s="81">
        <f>IF('Ordenes_Odoo'!O2562="","",'Ordenes_Odoo'!O2562)</f>
        <v/>
      </c>
      <c r="P2562" s="81">
        <f>IF('Ordenes_Odoo'!P2562="","",'Ordenes_Odoo'!P2562)</f>
        <v/>
      </c>
      <c r="Q2562" s="79">
        <f>IF(A2562="","",IFERROR(INDEX(Facturas_Odoo!$B:$B, MATCH(A2562, Facturas_Odoo!$D:$D, 0)), "Sin Factura"))</f>
        <v/>
      </c>
      <c r="R2562" s="80">
        <f>IF(Q2562="Sin Factura","",IFERROR(INDEX(Facturas_Odoo!$A:$A, MATCH(Q2562, Facturas_Odoo!$B:$B, 0)), ""))</f>
        <v/>
      </c>
      <c r="S2562" s="79">
        <f>IF(Q2562="Sin Factura","",IFERROR(_xlfn.XLOOKUP(1, (Facturas_Odoo!$D:$D=A2562) * (Facturas_Odoo!$K:$K=I2562), Facturas_Odoo!$L:$L, ""), ""))</f>
        <v/>
      </c>
      <c r="T2562" s="81">
        <f>IF(Q2562="Sin Factura",0,IFERROR(_xlfn.XLOOKUP(1, (Facturas_Odoo!$D:$D=A2562) * (Facturas_Odoo!$K:$K=I2562), Facturas_Odoo!$M:$M, 0), 0))</f>
        <v/>
      </c>
      <c r="U2562" s="79">
        <f>IF(Q2562="Sin Factura",0,IFERROR(_xlfn.XLOOKUP(1, (Facturas_Odoo!$D:$D=A2562) * (Facturas_Odoo!$K:$K=I2562), Facturas_Odoo!$N:$N, 0), 0))</f>
        <v/>
      </c>
      <c r="V2562" s="79">
        <f>IF(Q2562="Sin Factura",0,IFERROR(_xlfn.XLOOKUP(1, (Facturas_Odoo!$D:$D=A2562) * (Facturas_Odoo!$K:$K=I2562), Facturas_Odoo!$O:$O, 0), 0))</f>
        <v/>
      </c>
      <c r="W2562" s="81">
        <f>IF(Q2562="Sin Factura",0,IFERROR(_xlfn.XLOOKUP(1, (Facturas_Odoo!$D:$D=A2562) * (Facturas_Odoo!$K:$K=I2562), Facturas_Odoo!$Q:$Q, 0), 0))</f>
        <v/>
      </c>
      <c r="X2562" s="79">
        <f>IF(OR(Q2562="Sin Factura",Q2562=""),"",IFERROR(INDEX(Pagos_Odoo!$B:$B, MATCH(Q2562, Pagos_Odoo!$I:$I, 0)), "Sin Pago"))</f>
        <v/>
      </c>
      <c r="Y2562" s="79">
        <f>IF(X2562="Sin Pago","",IFERROR(INDEX(Pagos_Odoo!$C:$C, MATCH(X2562, Pagos_Odoo!$B:$B, 0)), ""))</f>
        <v/>
      </c>
      <c r="Z2562" s="80">
        <f>IF(X2562="Sin Pago","",IFERROR(INDEX(Pagos_Odoo!$A:$A, MATCH(X2562, Pagos_Odoo!$B:$B, 0)), ""))</f>
        <v/>
      </c>
      <c r="AA2562" s="79">
        <f>IF(X2562="Sin Pago","",IFERROR(INDEX(Pagos_Odoo!$F:$F, MATCH(X2562, Pagos_Odoo!$B:$B, 0)), ""))</f>
        <v/>
      </c>
      <c r="AB2562" s="81">
        <f>IF(X2562="Sin Pago",0,IFERROR(INDEX(Pagos_Odoo!$E:$E, MATCH(X2562, Pagos_Odoo!$B:$B, 0)), 0))</f>
        <v/>
      </c>
      <c r="AC2562" s="79">
        <f>IF(X2562="Sin Pago","",IFERROR(INDEX(Pagos_Odoo!$G:$G, MATCH(X2562, Pagos_Odoo!$B:$B, 0)), ""))</f>
        <v/>
      </c>
      <c r="AD2562" s="82" t="n">
        <v>0</v>
      </c>
      <c r="AE2562" s="82" t="n"/>
      <c r="AF2562" s="82" t="n"/>
      <c r="AG2562" s="82">
        <f>IF(AN2562="","",AD2562+AE2562+AF2562)</f>
        <v/>
      </c>
      <c r="AH2562" s="81">
        <f>IF(AN2562="","",P2562*(1-AG2562))</f>
        <v/>
      </c>
      <c r="AI2562" s="81">
        <f>IF(AN2562="","",IF(Q2562="Sin Factura",0,IFERROR(INDEX(Facturas_Odoo!$H:$H, MATCH(Q2562, Facturas_Odoo!$B:$B, 0)), 0)*(1-AG2562)))</f>
        <v/>
      </c>
      <c r="AJ2562" s="81">
        <f>IF(AN2562="","",_xlfn.LET(idVenta, AN2562&amp;"",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62" s="81">
        <f>IF(AN2562="","",AH2562-AJ2562)</f>
        <v/>
      </c>
      <c r="AL2562" s="81">
        <f>IF(AN2562="","",IF(Q2562="Sin Factura","",AI2562-AJ2562))</f>
        <v/>
      </c>
      <c r="AM2562" s="81">
        <f>IF(AN2562="","",IF(Q2562="Sin Factura",0,P2562-IFERROR(INDEX(Facturas_Odoo!$H:$H, MATCH(Q2562, Facturas_Odoo!$B:$B, 0)), 0)))</f>
        <v/>
      </c>
      <c r="AN2562" s="79">
        <f>IF(AND(A2562="", J2562=""), "", IF(A2562&lt;&gt;"", VALUE(MID(A2562,2,LEN(A2562))), AN2561))</f>
        <v/>
      </c>
      <c r="AO2562" s="79">
        <f>IF(AN2562="","",IF(AD2562=0,"OK",_xlfn.LET(monedaPago, IF(AA2562="","USD",AA2562), limitePermitido, IFERROR(VLOOKUP(monedaPago, Configuración!$A$2:$B$3, 2, FALSE), 0.15), IF(AD2562&gt;limitePermitido, "ALERTA: EXCESO (" &amp; TEXT(limitePermitido, "0%") &amp; " máx)", "OK"))))</f>
        <v/>
      </c>
      <c r="AP2562" s="79">
        <f>IF(AN2562="","",IF(AE2562=0,"OK",_xlfn.LET(fechaPago, Z2562, fechaFactura, R2562, diasCredito, IF(E2562="Pago inmediato", 0, IFERROR(VALUE(MID(E2562, 1, SEARCH(" ", E2562)-1)),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62" s="79">
        <f>IF(AN2562="","",IF(AND(N2562&gt;0, AG2562&gt;0), IF(Configuración!$K$2="NO", "ALERTA: DESCUENTO DOBLE NO PERMITIDO", "OK"), "OK"))</f>
        <v/>
      </c>
      <c r="AR2562" s="79">
        <f>IF(AN2562="","",IF(OR(AO2562&lt;&gt;"OK", AP2562&lt;&gt;"OK", AQ2562&lt;&gt;"OK"), "⚠️ REVISAR", "OK"))</f>
        <v/>
      </c>
    </row>
    <row r="2563">
      <c r="A2563" s="79">
        <f>IF('Ordenes_Odoo'!A2563="","",'Ordenes_Odoo'!A2563)</f>
        <v/>
      </c>
      <c r="B2563" s="80">
        <f>IF('Ordenes_Odoo'!B2563="","",'Ordenes_Odoo'!B2563)</f>
        <v/>
      </c>
      <c r="C2563" s="79">
        <f>IF('Ordenes_Odoo'!C2563="","",'Ordenes_Odoo'!C2563)</f>
        <v/>
      </c>
      <c r="D2563" s="79">
        <f>IF('Ordenes_Odoo'!D2563="","",'Ordenes_Odoo'!D2563)</f>
        <v/>
      </c>
      <c r="E2563" s="79">
        <f>IF('Ordenes_Odoo'!E2563="","",'Ordenes_Odoo'!E2563)</f>
        <v/>
      </c>
      <c r="F2563" s="79">
        <f>IF('Ordenes_Odoo'!F2563="","",'Ordenes_Odoo'!F2563)</f>
        <v/>
      </c>
      <c r="G2563" s="79">
        <f>IF('Ordenes_Odoo'!G2563="","",'Ordenes_Odoo'!G2563)</f>
        <v/>
      </c>
      <c r="H2563" s="79">
        <f>IF('Ordenes_Odoo'!H2563="","",'Ordenes_Odoo'!H2563)</f>
        <v/>
      </c>
      <c r="I2563" s="79">
        <f>IF('Ordenes_Odoo'!I2563="","",'Ordenes_Odoo'!I2563)</f>
        <v/>
      </c>
      <c r="J2563" s="79">
        <f>IF('Ordenes_Odoo'!J2563="","",'Ordenes_Odoo'!J2563)</f>
        <v/>
      </c>
      <c r="K2563" s="81">
        <f>IF('Ordenes_Odoo'!K2563="","",'Ordenes_Odoo'!K2563)</f>
        <v/>
      </c>
      <c r="L2563" s="81">
        <f>IF('Ordenes_Odoo'!L2563="","",'Ordenes_Odoo'!L2563)</f>
        <v/>
      </c>
      <c r="M2563" s="79">
        <f>IF('Ordenes_Odoo'!M2563="","",'Ordenes_Odoo'!M2563)</f>
        <v/>
      </c>
      <c r="N2563" s="79">
        <f>IF('Ordenes_Odoo'!N2563="","",'Ordenes_Odoo'!N2563)</f>
        <v/>
      </c>
      <c r="O2563" s="81">
        <f>IF('Ordenes_Odoo'!O2563="","",'Ordenes_Odoo'!O2563)</f>
        <v/>
      </c>
      <c r="P2563" s="81">
        <f>IF('Ordenes_Odoo'!P2563="","",'Ordenes_Odoo'!P2563)</f>
        <v/>
      </c>
      <c r="Q2563" s="79">
        <f>IF(A2563="","",IFERROR(INDEX(Facturas_Odoo!$B:$B, MATCH(A2563, Facturas_Odoo!$D:$D, 0)), "Sin Factura"))</f>
        <v/>
      </c>
      <c r="R2563" s="80">
        <f>IF(Q2563="Sin Factura","",IFERROR(INDEX(Facturas_Odoo!$A:$A, MATCH(Q2563, Facturas_Odoo!$B:$B, 0)), ""))</f>
        <v/>
      </c>
      <c r="S2563" s="79">
        <f>IF(Q2563="Sin Factura","",IFERROR(_xlfn.XLOOKUP(1, (Facturas_Odoo!$D:$D=A2563) * (Facturas_Odoo!$K:$K=I2563), Facturas_Odoo!$L:$L, ""), ""))</f>
        <v/>
      </c>
      <c r="T2563" s="81">
        <f>IF(Q2563="Sin Factura",0,IFERROR(_xlfn.XLOOKUP(1, (Facturas_Odoo!$D:$D=A2563) * (Facturas_Odoo!$K:$K=I2563), Facturas_Odoo!$M:$M, 0), 0))</f>
        <v/>
      </c>
      <c r="U2563" s="79">
        <f>IF(Q2563="Sin Factura",0,IFERROR(_xlfn.XLOOKUP(1, (Facturas_Odoo!$D:$D=A2563) * (Facturas_Odoo!$K:$K=I2563), Facturas_Odoo!$N:$N, 0), 0))</f>
        <v/>
      </c>
      <c r="V2563" s="79">
        <f>IF(Q2563="Sin Factura",0,IFERROR(_xlfn.XLOOKUP(1, (Facturas_Odoo!$D:$D=A2563) * (Facturas_Odoo!$K:$K=I2563), Facturas_Odoo!$O:$O, 0), 0))</f>
        <v/>
      </c>
      <c r="W2563" s="81">
        <f>IF(Q2563="Sin Factura",0,IFERROR(_xlfn.XLOOKUP(1, (Facturas_Odoo!$D:$D=A2563) * (Facturas_Odoo!$K:$K=I2563), Facturas_Odoo!$Q:$Q, 0), 0))</f>
        <v/>
      </c>
      <c r="X2563" s="79">
        <f>IF(OR(Q2563="Sin Factura",Q2563=""),"",IFERROR(INDEX(Pagos_Odoo!$B:$B, MATCH(Q2563, Pagos_Odoo!$I:$I, 0)), "Sin Pago"))</f>
        <v/>
      </c>
      <c r="Y2563" s="79">
        <f>IF(X2563="Sin Pago","",IFERROR(INDEX(Pagos_Odoo!$C:$C, MATCH(X2563, Pagos_Odoo!$B:$B, 0)), ""))</f>
        <v/>
      </c>
      <c r="Z2563" s="80">
        <f>IF(X2563="Sin Pago","",IFERROR(INDEX(Pagos_Odoo!$A:$A, MATCH(X2563, Pagos_Odoo!$B:$B, 0)), ""))</f>
        <v/>
      </c>
      <c r="AA2563" s="79">
        <f>IF(X2563="Sin Pago","",IFERROR(INDEX(Pagos_Odoo!$F:$F, MATCH(X2563, Pagos_Odoo!$B:$B, 0)), ""))</f>
        <v/>
      </c>
      <c r="AB2563" s="81">
        <f>IF(X2563="Sin Pago",0,IFERROR(INDEX(Pagos_Odoo!$E:$E, MATCH(X2563, Pagos_Odoo!$B:$B, 0)), 0))</f>
        <v/>
      </c>
      <c r="AC2563" s="79">
        <f>IF(X2563="Sin Pago","",IFERROR(INDEX(Pagos_Odoo!$G:$G, MATCH(X2563, Pagos_Odoo!$B:$B, 0)), ""))</f>
        <v/>
      </c>
      <c r="AD2563" s="82" t="n">
        <v>0</v>
      </c>
      <c r="AE2563" s="82" t="n"/>
      <c r="AF2563" s="82" t="n"/>
      <c r="AG2563" s="82">
        <f>IF(AN2563="","",AD2563+AE2563+AF2563)</f>
        <v/>
      </c>
      <c r="AH2563" s="81">
        <f>IF(AN2563="","",P2563*(1-AG2563))</f>
        <v/>
      </c>
      <c r="AI2563" s="81">
        <f>IF(AN2563="","",IF(Q2563="Sin Factura",0,IFERROR(INDEX(Facturas_Odoo!$H:$H, MATCH(Q2563, Facturas_Odoo!$B:$B, 0)), 0)*(1-AG2563)))</f>
        <v/>
      </c>
      <c r="AJ2563" s="81">
        <f>IF(AN2563="","",_xlfn.LET(idVenta, AN2563&amp;"",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63" s="81">
        <f>IF(AN2563="","",AH2563-AJ2563)</f>
        <v/>
      </c>
      <c r="AL2563" s="81">
        <f>IF(AN2563="","",IF(Q2563="Sin Factura","",AI2563-AJ2563))</f>
        <v/>
      </c>
      <c r="AM2563" s="81">
        <f>IF(AN2563="","",IF(Q2563="Sin Factura",0,P2563-IFERROR(INDEX(Facturas_Odoo!$H:$H, MATCH(Q2563, Facturas_Odoo!$B:$B, 0)), 0)))</f>
        <v/>
      </c>
      <c r="AN2563" s="79">
        <f>IF(AND(A2563="", J2563=""), "", IF(A2563&lt;&gt;"", VALUE(MID(A2563,2,LEN(A2563))), AN2562))</f>
        <v/>
      </c>
      <c r="AO2563" s="79">
        <f>IF(AN2563="","",IF(AD2563=0,"OK",_xlfn.LET(monedaPago, IF(AA2563="","USD",AA2563), limitePermitido, IFERROR(VLOOKUP(monedaPago, Configuración!$A$2:$B$3, 2, FALSE), 0.15), IF(AD2563&gt;limitePermitido, "ALERTA: EXCESO (" &amp; TEXT(limitePermitido, "0%") &amp; " máx)", "OK"))))</f>
        <v/>
      </c>
      <c r="AP2563" s="79">
        <f>IF(AN2563="","",IF(AE2563=0,"OK",_xlfn.LET(fechaPago, Z2563, fechaFactura, R2563, diasCredito, IF(E2563="Pago inmediato", 0, IFERROR(VALUE(MID(E2563, 1, SEARCH(" ", E2563)-1)),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63" s="79">
        <f>IF(AN2563="","",IF(AND(N2563&gt;0, AG2563&gt;0), IF(Configuración!$K$2="NO", "ALERTA: DESCUENTO DOBLE NO PERMITIDO", "OK"), "OK"))</f>
        <v/>
      </c>
      <c r="AR2563" s="79">
        <f>IF(AN2563="","",IF(OR(AO2563&lt;&gt;"OK", AP2563&lt;&gt;"OK", AQ2563&lt;&gt;"OK"), "⚠️ REVISAR", "OK"))</f>
        <v/>
      </c>
    </row>
    <row r="2564">
      <c r="A2564" s="79">
        <f>IF('Ordenes_Odoo'!A2564="","",'Ordenes_Odoo'!A2564)</f>
        <v/>
      </c>
      <c r="B2564" s="80">
        <f>IF('Ordenes_Odoo'!B2564="","",'Ordenes_Odoo'!B2564)</f>
        <v/>
      </c>
      <c r="C2564" s="79">
        <f>IF('Ordenes_Odoo'!C2564="","",'Ordenes_Odoo'!C2564)</f>
        <v/>
      </c>
      <c r="D2564" s="79">
        <f>IF('Ordenes_Odoo'!D2564="","",'Ordenes_Odoo'!D2564)</f>
        <v/>
      </c>
      <c r="E2564" s="79">
        <f>IF('Ordenes_Odoo'!E2564="","",'Ordenes_Odoo'!E2564)</f>
        <v/>
      </c>
      <c r="F2564" s="79">
        <f>IF('Ordenes_Odoo'!F2564="","",'Ordenes_Odoo'!F2564)</f>
        <v/>
      </c>
      <c r="G2564" s="79">
        <f>IF('Ordenes_Odoo'!G2564="","",'Ordenes_Odoo'!G2564)</f>
        <v/>
      </c>
      <c r="H2564" s="79">
        <f>IF('Ordenes_Odoo'!H2564="","",'Ordenes_Odoo'!H2564)</f>
        <v/>
      </c>
      <c r="I2564" s="79">
        <f>IF('Ordenes_Odoo'!I2564="","",'Ordenes_Odoo'!I2564)</f>
        <v/>
      </c>
      <c r="J2564" s="79">
        <f>IF('Ordenes_Odoo'!J2564="","",'Ordenes_Odoo'!J2564)</f>
        <v/>
      </c>
      <c r="K2564" s="81">
        <f>IF('Ordenes_Odoo'!K2564="","",'Ordenes_Odoo'!K2564)</f>
        <v/>
      </c>
      <c r="L2564" s="81">
        <f>IF('Ordenes_Odoo'!L2564="","",'Ordenes_Odoo'!L2564)</f>
        <v/>
      </c>
      <c r="M2564" s="79">
        <f>IF('Ordenes_Odoo'!M2564="","",'Ordenes_Odoo'!M2564)</f>
        <v/>
      </c>
      <c r="N2564" s="79">
        <f>IF('Ordenes_Odoo'!N2564="","",'Ordenes_Odoo'!N2564)</f>
        <v/>
      </c>
      <c r="O2564" s="81">
        <f>IF('Ordenes_Odoo'!O2564="","",'Ordenes_Odoo'!O2564)</f>
        <v/>
      </c>
      <c r="P2564" s="81">
        <f>IF('Ordenes_Odoo'!P2564="","",'Ordenes_Odoo'!P2564)</f>
        <v/>
      </c>
      <c r="Q2564" s="79">
        <f>IF(A2564="","",IFERROR(INDEX(Facturas_Odoo!$B:$B, MATCH(A2564, Facturas_Odoo!$D:$D, 0)), "Sin Factura"))</f>
        <v/>
      </c>
      <c r="R2564" s="80">
        <f>IF(Q2564="Sin Factura","",IFERROR(INDEX(Facturas_Odoo!$A:$A, MATCH(Q2564, Facturas_Odoo!$B:$B, 0)), ""))</f>
        <v/>
      </c>
      <c r="S2564" s="79">
        <f>IF(Q2564="Sin Factura","",IFERROR(_xlfn.XLOOKUP(1, (Facturas_Odoo!$D:$D=A2564) * (Facturas_Odoo!$K:$K=I2564), Facturas_Odoo!$L:$L, ""), ""))</f>
        <v/>
      </c>
      <c r="T2564" s="81">
        <f>IF(Q2564="Sin Factura",0,IFERROR(_xlfn.XLOOKUP(1, (Facturas_Odoo!$D:$D=A2564) * (Facturas_Odoo!$K:$K=I2564), Facturas_Odoo!$M:$M, 0), 0))</f>
        <v/>
      </c>
      <c r="U2564" s="79">
        <f>IF(Q2564="Sin Factura",0,IFERROR(_xlfn.XLOOKUP(1, (Facturas_Odoo!$D:$D=A2564) * (Facturas_Odoo!$K:$K=I2564), Facturas_Odoo!$N:$N, 0), 0))</f>
        <v/>
      </c>
      <c r="V2564" s="79">
        <f>IF(Q2564="Sin Factura",0,IFERROR(_xlfn.XLOOKUP(1, (Facturas_Odoo!$D:$D=A2564) * (Facturas_Odoo!$K:$K=I2564), Facturas_Odoo!$O:$O, 0), 0))</f>
        <v/>
      </c>
      <c r="W2564" s="81">
        <f>IF(Q2564="Sin Factura",0,IFERROR(_xlfn.XLOOKUP(1, (Facturas_Odoo!$D:$D=A2564) * (Facturas_Odoo!$K:$K=I2564), Facturas_Odoo!$Q:$Q, 0), 0))</f>
        <v/>
      </c>
      <c r="X2564" s="79">
        <f>IF(OR(Q2564="Sin Factura",Q2564=""),"",IFERROR(INDEX(Pagos_Odoo!$B:$B, MATCH(Q2564, Pagos_Odoo!$I:$I, 0)), "Sin Pago"))</f>
        <v/>
      </c>
      <c r="Y2564" s="79">
        <f>IF(X2564="Sin Pago","",IFERROR(INDEX(Pagos_Odoo!$C:$C, MATCH(X2564, Pagos_Odoo!$B:$B, 0)), ""))</f>
        <v/>
      </c>
      <c r="Z2564" s="80">
        <f>IF(X2564="Sin Pago","",IFERROR(INDEX(Pagos_Odoo!$A:$A, MATCH(X2564, Pagos_Odoo!$B:$B, 0)), ""))</f>
        <v/>
      </c>
      <c r="AA2564" s="79">
        <f>IF(X2564="Sin Pago","",IFERROR(INDEX(Pagos_Odoo!$F:$F, MATCH(X2564, Pagos_Odoo!$B:$B, 0)), ""))</f>
        <v/>
      </c>
      <c r="AB2564" s="81">
        <f>IF(X2564="Sin Pago",0,IFERROR(INDEX(Pagos_Odoo!$E:$E, MATCH(X2564, Pagos_Odoo!$B:$B, 0)), 0))</f>
        <v/>
      </c>
      <c r="AC2564" s="79">
        <f>IF(X2564="Sin Pago","",IFERROR(INDEX(Pagos_Odoo!$G:$G, MATCH(X2564, Pagos_Odoo!$B:$B, 0)), ""))</f>
        <v/>
      </c>
      <c r="AD2564" s="82" t="n">
        <v>0</v>
      </c>
      <c r="AE2564" s="82" t="n"/>
      <c r="AF2564" s="82" t="n"/>
      <c r="AG2564" s="82">
        <f>IF(AN2564="","",AD2564+AE2564+AF2564)</f>
        <v/>
      </c>
      <c r="AH2564" s="81">
        <f>IF(AN2564="","",P2564*(1-AG2564))</f>
        <v/>
      </c>
      <c r="AI2564" s="81">
        <f>IF(AN2564="","",IF(Q2564="Sin Factura",0,IFERROR(INDEX(Facturas_Odoo!$H:$H, MATCH(Q2564, Facturas_Odoo!$B:$B, 0)), 0)*(1-AG2564)))</f>
        <v/>
      </c>
      <c r="AJ2564" s="81">
        <f>IF(AN2564="","",_xlfn.LET(idVenta, AN2564&amp;"",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64" s="81">
        <f>IF(AN2564="","",AH2564-AJ2564)</f>
        <v/>
      </c>
      <c r="AL2564" s="81">
        <f>IF(AN2564="","",IF(Q2564="Sin Factura","",AI2564-AJ2564))</f>
        <v/>
      </c>
      <c r="AM2564" s="81">
        <f>IF(AN2564="","",IF(Q2564="Sin Factura",0,P2564-IFERROR(INDEX(Facturas_Odoo!$H:$H, MATCH(Q2564, Facturas_Odoo!$B:$B, 0)), 0)))</f>
        <v/>
      </c>
      <c r="AN2564" s="79">
        <f>IF(AND(A2564="", J2564=""), "", IF(A2564&lt;&gt;"", VALUE(MID(A2564,2,LEN(A2564))), AN2563))</f>
        <v/>
      </c>
      <c r="AO2564" s="79">
        <f>IF(AN2564="","",IF(AD2564=0,"OK",_xlfn.LET(monedaPago, IF(AA2564="","USD",AA2564), limitePermitido, IFERROR(VLOOKUP(monedaPago, Configuración!$A$2:$B$3, 2, FALSE), 0.15), IF(AD2564&gt;limitePermitido, "ALERTA: EXCESO (" &amp; TEXT(limitePermitido, "0%") &amp; " máx)", "OK"))))</f>
        <v/>
      </c>
      <c r="AP2564" s="79">
        <f>IF(AN2564="","",IF(AE2564=0,"OK",_xlfn.LET(fechaPago, Z2564, fechaFactura, R2564, diasCredito, IF(E2564="Pago inmediato", 0, IFERROR(VALUE(MID(E2564, 1, SEARCH(" ", E2564)-1)),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64" s="79">
        <f>IF(AN2564="","",IF(AND(N2564&gt;0, AG2564&gt;0), IF(Configuración!$K$2="NO", "ALERTA: DESCUENTO DOBLE NO PERMITIDO", "OK"), "OK"))</f>
        <v/>
      </c>
      <c r="AR2564" s="79">
        <f>IF(AN2564="","",IF(OR(AO2564&lt;&gt;"OK", AP2564&lt;&gt;"OK", AQ2564&lt;&gt;"OK"), "⚠️ REVISAR", "OK"))</f>
        <v/>
      </c>
    </row>
    <row r="2565">
      <c r="A2565" s="79">
        <f>IF('Ordenes_Odoo'!A2565="","",'Ordenes_Odoo'!A2565)</f>
        <v/>
      </c>
      <c r="B2565" s="80">
        <f>IF('Ordenes_Odoo'!B2565="","",'Ordenes_Odoo'!B2565)</f>
        <v/>
      </c>
      <c r="C2565" s="79">
        <f>IF('Ordenes_Odoo'!C2565="","",'Ordenes_Odoo'!C2565)</f>
        <v/>
      </c>
      <c r="D2565" s="79">
        <f>IF('Ordenes_Odoo'!D2565="","",'Ordenes_Odoo'!D2565)</f>
        <v/>
      </c>
      <c r="E2565" s="79">
        <f>IF('Ordenes_Odoo'!E2565="","",'Ordenes_Odoo'!E2565)</f>
        <v/>
      </c>
      <c r="F2565" s="79">
        <f>IF('Ordenes_Odoo'!F2565="","",'Ordenes_Odoo'!F2565)</f>
        <v/>
      </c>
      <c r="G2565" s="79">
        <f>IF('Ordenes_Odoo'!G2565="","",'Ordenes_Odoo'!G2565)</f>
        <v/>
      </c>
      <c r="H2565" s="79">
        <f>IF('Ordenes_Odoo'!H2565="","",'Ordenes_Odoo'!H2565)</f>
        <v/>
      </c>
      <c r="I2565" s="79">
        <f>IF('Ordenes_Odoo'!I2565="","",'Ordenes_Odoo'!I2565)</f>
        <v/>
      </c>
      <c r="J2565" s="79">
        <f>IF('Ordenes_Odoo'!J2565="","",'Ordenes_Odoo'!J2565)</f>
        <v/>
      </c>
      <c r="K2565" s="81">
        <f>IF('Ordenes_Odoo'!K2565="","",'Ordenes_Odoo'!K2565)</f>
        <v/>
      </c>
      <c r="L2565" s="81">
        <f>IF('Ordenes_Odoo'!L2565="","",'Ordenes_Odoo'!L2565)</f>
        <v/>
      </c>
      <c r="M2565" s="79">
        <f>IF('Ordenes_Odoo'!M2565="","",'Ordenes_Odoo'!M2565)</f>
        <v/>
      </c>
      <c r="N2565" s="79">
        <f>IF('Ordenes_Odoo'!N2565="","",'Ordenes_Odoo'!N2565)</f>
        <v/>
      </c>
      <c r="O2565" s="81">
        <f>IF('Ordenes_Odoo'!O2565="","",'Ordenes_Odoo'!O2565)</f>
        <v/>
      </c>
      <c r="P2565" s="81">
        <f>IF('Ordenes_Odoo'!P2565="","",'Ordenes_Odoo'!P2565)</f>
        <v/>
      </c>
      <c r="Q2565" s="79">
        <f>IF(A2565="","",IFERROR(INDEX(Facturas_Odoo!$B:$B, MATCH(A2565, Facturas_Odoo!$D:$D, 0)), "Sin Factura"))</f>
        <v/>
      </c>
      <c r="R2565" s="80">
        <f>IF(Q2565="Sin Factura","",IFERROR(INDEX(Facturas_Odoo!$A:$A, MATCH(Q2565, Facturas_Odoo!$B:$B, 0)), ""))</f>
        <v/>
      </c>
      <c r="S2565" s="79">
        <f>IF(Q2565="Sin Factura","",IFERROR(_xlfn.XLOOKUP(1, (Facturas_Odoo!$D:$D=A2565) * (Facturas_Odoo!$K:$K=I2565), Facturas_Odoo!$L:$L, ""), ""))</f>
        <v/>
      </c>
      <c r="T2565" s="81">
        <f>IF(Q2565="Sin Factura",0,IFERROR(_xlfn.XLOOKUP(1, (Facturas_Odoo!$D:$D=A2565) * (Facturas_Odoo!$K:$K=I2565), Facturas_Odoo!$M:$M, 0), 0))</f>
        <v/>
      </c>
      <c r="U2565" s="79">
        <f>IF(Q2565="Sin Factura",0,IFERROR(_xlfn.XLOOKUP(1, (Facturas_Odoo!$D:$D=A2565) * (Facturas_Odoo!$K:$K=I2565), Facturas_Odoo!$N:$N, 0), 0))</f>
        <v/>
      </c>
      <c r="V2565" s="79">
        <f>IF(Q2565="Sin Factura",0,IFERROR(_xlfn.XLOOKUP(1, (Facturas_Odoo!$D:$D=A2565) * (Facturas_Odoo!$K:$K=I2565), Facturas_Odoo!$O:$O, 0), 0))</f>
        <v/>
      </c>
      <c r="W2565" s="81">
        <f>IF(Q2565="Sin Factura",0,IFERROR(_xlfn.XLOOKUP(1, (Facturas_Odoo!$D:$D=A2565) * (Facturas_Odoo!$K:$K=I2565), Facturas_Odoo!$Q:$Q, 0), 0))</f>
        <v/>
      </c>
      <c r="X2565" s="79">
        <f>IF(OR(Q2565="Sin Factura",Q2565=""),"",IFERROR(INDEX(Pagos_Odoo!$B:$B, MATCH(Q2565, Pagos_Odoo!$I:$I, 0)), "Sin Pago"))</f>
        <v/>
      </c>
      <c r="Y2565" s="79">
        <f>IF(X2565="Sin Pago","",IFERROR(INDEX(Pagos_Odoo!$C:$C, MATCH(X2565, Pagos_Odoo!$B:$B, 0)), ""))</f>
        <v/>
      </c>
      <c r="Z2565" s="80">
        <f>IF(X2565="Sin Pago","",IFERROR(INDEX(Pagos_Odoo!$A:$A, MATCH(X2565, Pagos_Odoo!$B:$B, 0)), ""))</f>
        <v/>
      </c>
      <c r="AA2565" s="79">
        <f>IF(X2565="Sin Pago","",IFERROR(INDEX(Pagos_Odoo!$F:$F, MATCH(X2565, Pagos_Odoo!$B:$B, 0)), ""))</f>
        <v/>
      </c>
      <c r="AB2565" s="81">
        <f>IF(X2565="Sin Pago",0,IFERROR(INDEX(Pagos_Odoo!$E:$E, MATCH(X2565, Pagos_Odoo!$B:$B, 0)), 0))</f>
        <v/>
      </c>
      <c r="AC2565" s="79">
        <f>IF(X2565="Sin Pago","",IFERROR(INDEX(Pagos_Odoo!$G:$G, MATCH(X2565, Pagos_Odoo!$B:$B, 0)), ""))</f>
        <v/>
      </c>
      <c r="AD2565" s="82" t="n">
        <v>0</v>
      </c>
      <c r="AE2565" s="82" t="n"/>
      <c r="AF2565" s="82" t="n"/>
      <c r="AG2565" s="82">
        <f>IF(AN2565="","",AD2565+AE2565+AF2565)</f>
        <v/>
      </c>
      <c r="AH2565" s="81">
        <f>IF(AN2565="","",P2565*(1-AG2565))</f>
        <v/>
      </c>
      <c r="AI2565" s="81">
        <f>IF(AN2565="","",IF(Q2565="Sin Factura",0,IFERROR(INDEX(Facturas_Odoo!$H:$H, MATCH(Q2565, Facturas_Odoo!$B:$B, 0)), 0)*(1-AG2565)))</f>
        <v/>
      </c>
      <c r="AJ2565" s="81">
        <f>IF(AN2565="","",_xlfn.LET(idVenta, AN2565&amp;"",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65" s="81">
        <f>IF(AN2565="","",AH2565-AJ2565)</f>
        <v/>
      </c>
      <c r="AL2565" s="81">
        <f>IF(AN2565="","",IF(Q2565="Sin Factura","",AI2565-AJ2565))</f>
        <v/>
      </c>
      <c r="AM2565" s="81">
        <f>IF(AN2565="","",IF(Q2565="Sin Factura",0,P2565-IFERROR(INDEX(Facturas_Odoo!$H:$H, MATCH(Q2565, Facturas_Odoo!$B:$B, 0)), 0)))</f>
        <v/>
      </c>
      <c r="AN2565" s="79">
        <f>IF(AND(A2565="", J2565=""), "", IF(A2565&lt;&gt;"", VALUE(MID(A2565,2,LEN(A2565))), AN2564))</f>
        <v/>
      </c>
      <c r="AO2565" s="79">
        <f>IF(AN2565="","",IF(AD2565=0,"OK",_xlfn.LET(monedaPago, IF(AA2565="","USD",AA2565), limitePermitido, IFERROR(VLOOKUP(monedaPago, Configuración!$A$2:$B$3, 2, FALSE), 0.15), IF(AD2565&gt;limitePermitido, "ALERTA: EXCESO (" &amp; TEXT(limitePermitido, "0%") &amp; " máx)", "OK"))))</f>
        <v/>
      </c>
      <c r="AP2565" s="79">
        <f>IF(AN2565="","",IF(AE2565=0,"OK",_xlfn.LET(fechaPago, Z2565, fechaFactura, R2565, diasCredito, IF(E2565="Pago inmediato", 0, IFERROR(VALUE(MID(E2565, 1, SEARCH(" ", E2565)-1)),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65" s="79">
        <f>IF(AN2565="","",IF(AND(N2565&gt;0, AG2565&gt;0), IF(Configuración!$K$2="NO", "ALERTA: DESCUENTO DOBLE NO PERMITIDO", "OK"), "OK"))</f>
        <v/>
      </c>
      <c r="AR2565" s="79">
        <f>IF(AN2565="","",IF(OR(AO2565&lt;&gt;"OK", AP2565&lt;&gt;"OK", AQ2565&lt;&gt;"OK"), "⚠️ REVISAR", "OK"))</f>
        <v/>
      </c>
    </row>
    <row r="2566">
      <c r="A2566" s="79">
        <f>IF('Ordenes_Odoo'!A2566="","",'Ordenes_Odoo'!A2566)</f>
        <v/>
      </c>
      <c r="B2566" s="80">
        <f>IF('Ordenes_Odoo'!B2566="","",'Ordenes_Odoo'!B2566)</f>
        <v/>
      </c>
      <c r="C2566" s="79">
        <f>IF('Ordenes_Odoo'!C2566="","",'Ordenes_Odoo'!C2566)</f>
        <v/>
      </c>
      <c r="D2566" s="79">
        <f>IF('Ordenes_Odoo'!D2566="","",'Ordenes_Odoo'!D2566)</f>
        <v/>
      </c>
      <c r="E2566" s="79">
        <f>IF('Ordenes_Odoo'!E2566="","",'Ordenes_Odoo'!E2566)</f>
        <v/>
      </c>
      <c r="F2566" s="79">
        <f>IF('Ordenes_Odoo'!F2566="","",'Ordenes_Odoo'!F2566)</f>
        <v/>
      </c>
      <c r="G2566" s="79">
        <f>IF('Ordenes_Odoo'!G2566="","",'Ordenes_Odoo'!G2566)</f>
        <v/>
      </c>
      <c r="H2566" s="79">
        <f>IF('Ordenes_Odoo'!H2566="","",'Ordenes_Odoo'!H2566)</f>
        <v/>
      </c>
      <c r="I2566" s="79">
        <f>IF('Ordenes_Odoo'!I2566="","",'Ordenes_Odoo'!I2566)</f>
        <v/>
      </c>
      <c r="J2566" s="79">
        <f>IF('Ordenes_Odoo'!J2566="","",'Ordenes_Odoo'!J2566)</f>
        <v/>
      </c>
      <c r="K2566" s="81">
        <f>IF('Ordenes_Odoo'!K2566="","",'Ordenes_Odoo'!K2566)</f>
        <v/>
      </c>
      <c r="L2566" s="81">
        <f>IF('Ordenes_Odoo'!L2566="","",'Ordenes_Odoo'!L2566)</f>
        <v/>
      </c>
      <c r="M2566" s="79">
        <f>IF('Ordenes_Odoo'!M2566="","",'Ordenes_Odoo'!M2566)</f>
        <v/>
      </c>
      <c r="N2566" s="79">
        <f>IF('Ordenes_Odoo'!N2566="","",'Ordenes_Odoo'!N2566)</f>
        <v/>
      </c>
      <c r="O2566" s="81">
        <f>IF('Ordenes_Odoo'!O2566="","",'Ordenes_Odoo'!O2566)</f>
        <v/>
      </c>
      <c r="P2566" s="81">
        <f>IF('Ordenes_Odoo'!P2566="","",'Ordenes_Odoo'!P2566)</f>
        <v/>
      </c>
      <c r="Q2566" s="79">
        <f>IF(A2566="","",IFERROR(INDEX(Facturas_Odoo!$B:$B, MATCH(A2566, Facturas_Odoo!$D:$D, 0)), "Sin Factura"))</f>
        <v/>
      </c>
      <c r="R2566" s="80">
        <f>IF(Q2566="Sin Factura","",IFERROR(INDEX(Facturas_Odoo!$A:$A, MATCH(Q2566, Facturas_Odoo!$B:$B, 0)), ""))</f>
        <v/>
      </c>
      <c r="S2566" s="79">
        <f>IF(Q2566="Sin Factura","",IFERROR(_xlfn.XLOOKUP(1, (Facturas_Odoo!$D:$D=A2566) * (Facturas_Odoo!$K:$K=I2566), Facturas_Odoo!$L:$L, ""), ""))</f>
        <v/>
      </c>
      <c r="T2566" s="81">
        <f>IF(Q2566="Sin Factura",0,IFERROR(_xlfn.XLOOKUP(1, (Facturas_Odoo!$D:$D=A2566) * (Facturas_Odoo!$K:$K=I2566), Facturas_Odoo!$M:$M, 0), 0))</f>
        <v/>
      </c>
      <c r="U2566" s="79">
        <f>IF(Q2566="Sin Factura",0,IFERROR(_xlfn.XLOOKUP(1, (Facturas_Odoo!$D:$D=A2566) * (Facturas_Odoo!$K:$K=I2566), Facturas_Odoo!$N:$N, 0), 0))</f>
        <v/>
      </c>
      <c r="V2566" s="79">
        <f>IF(Q2566="Sin Factura",0,IFERROR(_xlfn.XLOOKUP(1, (Facturas_Odoo!$D:$D=A2566) * (Facturas_Odoo!$K:$K=I2566), Facturas_Odoo!$O:$O, 0), 0))</f>
        <v/>
      </c>
      <c r="W2566" s="81">
        <f>IF(Q2566="Sin Factura",0,IFERROR(_xlfn.XLOOKUP(1, (Facturas_Odoo!$D:$D=A2566) * (Facturas_Odoo!$K:$K=I2566), Facturas_Odoo!$Q:$Q, 0), 0))</f>
        <v/>
      </c>
      <c r="X2566" s="79">
        <f>IF(OR(Q2566="Sin Factura",Q2566=""),"",IFERROR(INDEX(Pagos_Odoo!$B:$B, MATCH(Q2566, Pagos_Odoo!$I:$I, 0)), "Sin Pago"))</f>
        <v/>
      </c>
      <c r="Y2566" s="79">
        <f>IF(X2566="Sin Pago","",IFERROR(INDEX(Pagos_Odoo!$C:$C, MATCH(X2566, Pagos_Odoo!$B:$B, 0)), ""))</f>
        <v/>
      </c>
      <c r="Z2566" s="80">
        <f>IF(X2566="Sin Pago","",IFERROR(INDEX(Pagos_Odoo!$A:$A, MATCH(X2566, Pagos_Odoo!$B:$B, 0)), ""))</f>
        <v/>
      </c>
      <c r="AA2566" s="79">
        <f>IF(X2566="Sin Pago","",IFERROR(INDEX(Pagos_Odoo!$F:$F, MATCH(X2566, Pagos_Odoo!$B:$B, 0)), ""))</f>
        <v/>
      </c>
      <c r="AB2566" s="81">
        <f>IF(X2566="Sin Pago",0,IFERROR(INDEX(Pagos_Odoo!$E:$E, MATCH(X2566, Pagos_Odoo!$B:$B, 0)), 0))</f>
        <v/>
      </c>
      <c r="AC2566" s="79">
        <f>IF(X2566="Sin Pago","",IFERROR(INDEX(Pagos_Odoo!$G:$G, MATCH(X2566, Pagos_Odoo!$B:$B, 0)), ""))</f>
        <v/>
      </c>
      <c r="AD2566" s="82" t="n">
        <v>0</v>
      </c>
      <c r="AE2566" s="82" t="n"/>
      <c r="AF2566" s="82" t="n"/>
      <c r="AG2566" s="82">
        <f>IF(AN2566="","",AD2566+AE2566+AF2566)</f>
        <v/>
      </c>
      <c r="AH2566" s="81">
        <f>IF(AN2566="","",P2566*(1-AG2566))</f>
        <v/>
      </c>
      <c r="AI2566" s="81">
        <f>IF(AN2566="","",IF(Q2566="Sin Factura",0,IFERROR(INDEX(Facturas_Odoo!$H:$H, MATCH(Q2566, Facturas_Odoo!$B:$B, 0)), 0)*(1-AG2566)))</f>
        <v/>
      </c>
      <c r="AJ2566" s="81">
        <f>IF(AN2566="","",_xlfn.LET(idVenta, AN2566&amp;"",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66" s="81">
        <f>IF(AN2566="","",AH2566-AJ2566)</f>
        <v/>
      </c>
      <c r="AL2566" s="81">
        <f>IF(AN2566="","",IF(Q2566="Sin Factura","",AI2566-AJ2566))</f>
        <v/>
      </c>
      <c r="AM2566" s="81">
        <f>IF(AN2566="","",IF(Q2566="Sin Factura",0,P2566-IFERROR(INDEX(Facturas_Odoo!$H:$H, MATCH(Q2566, Facturas_Odoo!$B:$B, 0)), 0)))</f>
        <v/>
      </c>
      <c r="AN2566" s="79">
        <f>IF(AND(A2566="", J2566=""), "", IF(A2566&lt;&gt;"", VALUE(MID(A2566,2,LEN(A2566))), AN2565))</f>
        <v/>
      </c>
      <c r="AO2566" s="79">
        <f>IF(AN2566="","",IF(AD2566=0,"OK",_xlfn.LET(monedaPago, IF(AA2566="","USD",AA2566), limitePermitido, IFERROR(VLOOKUP(monedaPago, Configuración!$A$2:$B$3, 2, FALSE), 0.15), IF(AD2566&gt;limitePermitido, "ALERTA: EXCESO (" &amp; TEXT(limitePermitido, "0%") &amp; " máx)", "OK"))))</f>
        <v/>
      </c>
      <c r="AP2566" s="79">
        <f>IF(AN2566="","",IF(AE2566=0,"OK",_xlfn.LET(fechaPago, Z2566, fechaFactura, R2566, diasCredito, IF(E2566="Pago inmediato", 0, IFERROR(VALUE(MID(E2566, 1, SEARCH(" ", E2566)-1)),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66" s="79">
        <f>IF(AN2566="","",IF(AND(N2566&gt;0, AG2566&gt;0), IF(Configuración!$K$2="NO", "ALERTA: DESCUENTO DOBLE NO PERMITIDO", "OK"), "OK"))</f>
        <v/>
      </c>
      <c r="AR2566" s="79">
        <f>IF(AN2566="","",IF(OR(AO2566&lt;&gt;"OK", AP2566&lt;&gt;"OK", AQ2566&lt;&gt;"OK"), "⚠️ REVISAR", "OK"))</f>
        <v/>
      </c>
    </row>
    <row r="2567">
      <c r="A2567" s="79">
        <f>IF('Ordenes_Odoo'!A2567="","",'Ordenes_Odoo'!A2567)</f>
        <v/>
      </c>
      <c r="B2567" s="80">
        <f>IF('Ordenes_Odoo'!B2567="","",'Ordenes_Odoo'!B2567)</f>
        <v/>
      </c>
      <c r="C2567" s="79">
        <f>IF('Ordenes_Odoo'!C2567="","",'Ordenes_Odoo'!C2567)</f>
        <v/>
      </c>
      <c r="D2567" s="79">
        <f>IF('Ordenes_Odoo'!D2567="","",'Ordenes_Odoo'!D2567)</f>
        <v/>
      </c>
      <c r="E2567" s="79">
        <f>IF('Ordenes_Odoo'!E2567="","",'Ordenes_Odoo'!E2567)</f>
        <v/>
      </c>
      <c r="F2567" s="79">
        <f>IF('Ordenes_Odoo'!F2567="","",'Ordenes_Odoo'!F2567)</f>
        <v/>
      </c>
      <c r="G2567" s="79">
        <f>IF('Ordenes_Odoo'!G2567="","",'Ordenes_Odoo'!G2567)</f>
        <v/>
      </c>
      <c r="H2567" s="79">
        <f>IF('Ordenes_Odoo'!H2567="","",'Ordenes_Odoo'!H2567)</f>
        <v/>
      </c>
      <c r="I2567" s="79">
        <f>IF('Ordenes_Odoo'!I2567="","",'Ordenes_Odoo'!I2567)</f>
        <v/>
      </c>
      <c r="J2567" s="79">
        <f>IF('Ordenes_Odoo'!J2567="","",'Ordenes_Odoo'!J2567)</f>
        <v/>
      </c>
      <c r="K2567" s="81">
        <f>IF('Ordenes_Odoo'!K2567="","",'Ordenes_Odoo'!K2567)</f>
        <v/>
      </c>
      <c r="L2567" s="81">
        <f>IF('Ordenes_Odoo'!L2567="","",'Ordenes_Odoo'!L2567)</f>
        <v/>
      </c>
      <c r="M2567" s="79">
        <f>IF('Ordenes_Odoo'!M2567="","",'Ordenes_Odoo'!M2567)</f>
        <v/>
      </c>
      <c r="N2567" s="79">
        <f>IF('Ordenes_Odoo'!N2567="","",'Ordenes_Odoo'!N2567)</f>
        <v/>
      </c>
      <c r="O2567" s="81">
        <f>IF('Ordenes_Odoo'!O2567="","",'Ordenes_Odoo'!O2567)</f>
        <v/>
      </c>
      <c r="P2567" s="81">
        <f>IF('Ordenes_Odoo'!P2567="","",'Ordenes_Odoo'!P2567)</f>
        <v/>
      </c>
      <c r="Q2567" s="79">
        <f>IF(A2567="","",IFERROR(INDEX(Facturas_Odoo!$B:$B, MATCH(A2567, Facturas_Odoo!$D:$D, 0)), "Sin Factura"))</f>
        <v/>
      </c>
      <c r="R2567" s="80">
        <f>IF(Q2567="Sin Factura","",IFERROR(INDEX(Facturas_Odoo!$A:$A, MATCH(Q2567, Facturas_Odoo!$B:$B, 0)), ""))</f>
        <v/>
      </c>
      <c r="S2567" s="79">
        <f>IF(Q2567="Sin Factura","",IFERROR(_xlfn.XLOOKUP(1, (Facturas_Odoo!$D:$D=A2567) * (Facturas_Odoo!$K:$K=I2567), Facturas_Odoo!$L:$L, ""), ""))</f>
        <v/>
      </c>
      <c r="T2567" s="81">
        <f>IF(Q2567="Sin Factura",0,IFERROR(_xlfn.XLOOKUP(1, (Facturas_Odoo!$D:$D=A2567) * (Facturas_Odoo!$K:$K=I2567), Facturas_Odoo!$M:$M, 0), 0))</f>
        <v/>
      </c>
      <c r="U2567" s="79">
        <f>IF(Q2567="Sin Factura",0,IFERROR(_xlfn.XLOOKUP(1, (Facturas_Odoo!$D:$D=A2567) * (Facturas_Odoo!$K:$K=I2567), Facturas_Odoo!$N:$N, 0), 0))</f>
        <v/>
      </c>
      <c r="V2567" s="79">
        <f>IF(Q2567="Sin Factura",0,IFERROR(_xlfn.XLOOKUP(1, (Facturas_Odoo!$D:$D=A2567) * (Facturas_Odoo!$K:$K=I2567), Facturas_Odoo!$O:$O, 0), 0))</f>
        <v/>
      </c>
      <c r="W2567" s="81">
        <f>IF(Q2567="Sin Factura",0,IFERROR(_xlfn.XLOOKUP(1, (Facturas_Odoo!$D:$D=A2567) * (Facturas_Odoo!$K:$K=I2567), Facturas_Odoo!$Q:$Q, 0), 0))</f>
        <v/>
      </c>
      <c r="X2567" s="79">
        <f>IF(OR(Q2567="Sin Factura",Q2567=""),"",IFERROR(INDEX(Pagos_Odoo!$B:$B, MATCH(Q2567, Pagos_Odoo!$I:$I, 0)), "Sin Pago"))</f>
        <v/>
      </c>
      <c r="Y2567" s="79">
        <f>IF(X2567="Sin Pago","",IFERROR(INDEX(Pagos_Odoo!$C:$C, MATCH(X2567, Pagos_Odoo!$B:$B, 0)), ""))</f>
        <v/>
      </c>
      <c r="Z2567" s="80">
        <f>IF(X2567="Sin Pago","",IFERROR(INDEX(Pagos_Odoo!$A:$A, MATCH(X2567, Pagos_Odoo!$B:$B, 0)), ""))</f>
        <v/>
      </c>
      <c r="AA2567" s="79">
        <f>IF(X2567="Sin Pago","",IFERROR(INDEX(Pagos_Odoo!$F:$F, MATCH(X2567, Pagos_Odoo!$B:$B, 0)), ""))</f>
        <v/>
      </c>
      <c r="AB2567" s="81">
        <f>IF(X2567="Sin Pago",0,IFERROR(INDEX(Pagos_Odoo!$E:$E, MATCH(X2567, Pagos_Odoo!$B:$B, 0)), 0))</f>
        <v/>
      </c>
      <c r="AC2567" s="79">
        <f>IF(X2567="Sin Pago","",IFERROR(INDEX(Pagos_Odoo!$G:$G, MATCH(X2567, Pagos_Odoo!$B:$B, 0)), ""))</f>
        <v/>
      </c>
      <c r="AD2567" s="82" t="n">
        <v>0</v>
      </c>
      <c r="AE2567" s="82" t="n"/>
      <c r="AF2567" s="82" t="n"/>
      <c r="AG2567" s="82">
        <f>IF(AN2567="","",AD2567+AE2567+AF2567)</f>
        <v/>
      </c>
      <c r="AH2567" s="81">
        <f>IF(AN2567="","",P2567*(1-AG2567))</f>
        <v/>
      </c>
      <c r="AI2567" s="81">
        <f>IF(AN2567="","",IF(Q2567="Sin Factura",0,IFERROR(INDEX(Facturas_Odoo!$H:$H, MATCH(Q2567, Facturas_Odoo!$B:$B, 0)), 0)*(1-AG2567)))</f>
        <v/>
      </c>
      <c r="AJ2567" s="81">
        <f>IF(AN2567="","",_xlfn.LET(idVenta, AN2567&amp;"",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67" s="81">
        <f>IF(AN2567="","",AH2567-AJ2567)</f>
        <v/>
      </c>
      <c r="AL2567" s="81">
        <f>IF(AN2567="","",IF(Q2567="Sin Factura","",AI2567-AJ2567))</f>
        <v/>
      </c>
      <c r="AM2567" s="81">
        <f>IF(AN2567="","",IF(Q2567="Sin Factura",0,P2567-IFERROR(INDEX(Facturas_Odoo!$H:$H, MATCH(Q2567, Facturas_Odoo!$B:$B, 0)), 0)))</f>
        <v/>
      </c>
      <c r="AN2567" s="79">
        <f>IF(AND(A2567="", J2567=""), "", IF(A2567&lt;&gt;"", VALUE(MID(A2567,2,LEN(A2567))), AN2566))</f>
        <v/>
      </c>
      <c r="AO2567" s="79">
        <f>IF(AN2567="","",IF(AD2567=0,"OK",_xlfn.LET(monedaPago, IF(AA2567="","USD",AA2567), limitePermitido, IFERROR(VLOOKUP(monedaPago, Configuración!$A$2:$B$3, 2, FALSE), 0.15), IF(AD2567&gt;limitePermitido, "ALERTA: EXCESO (" &amp; TEXT(limitePermitido, "0%") &amp; " máx)", "OK"))))</f>
        <v/>
      </c>
      <c r="AP2567" s="79">
        <f>IF(AN2567="","",IF(AE2567=0,"OK",_xlfn.LET(fechaPago, Z2567, fechaFactura, R2567, diasCredito, IF(E2567="Pago inmediato", 0, IFERROR(VALUE(MID(E2567, 1, SEARCH(" ", E2567)-1)),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67" s="79">
        <f>IF(AN2567="","",IF(AND(N2567&gt;0, AG2567&gt;0), IF(Configuración!$K$2="NO", "ALERTA: DESCUENTO DOBLE NO PERMITIDO", "OK"), "OK"))</f>
        <v/>
      </c>
      <c r="AR2567" s="79">
        <f>IF(AN2567="","",IF(OR(AO2567&lt;&gt;"OK", AP2567&lt;&gt;"OK", AQ2567&lt;&gt;"OK"), "⚠️ REVISAR", "OK"))</f>
        <v/>
      </c>
    </row>
    <row r="2568">
      <c r="A2568" s="79">
        <f>IF('Ordenes_Odoo'!A2568="","",'Ordenes_Odoo'!A2568)</f>
        <v/>
      </c>
      <c r="B2568" s="80">
        <f>IF('Ordenes_Odoo'!B2568="","",'Ordenes_Odoo'!B2568)</f>
        <v/>
      </c>
      <c r="C2568" s="79">
        <f>IF('Ordenes_Odoo'!C2568="","",'Ordenes_Odoo'!C2568)</f>
        <v/>
      </c>
      <c r="D2568" s="79">
        <f>IF('Ordenes_Odoo'!D2568="","",'Ordenes_Odoo'!D2568)</f>
        <v/>
      </c>
      <c r="E2568" s="79">
        <f>IF('Ordenes_Odoo'!E2568="","",'Ordenes_Odoo'!E2568)</f>
        <v/>
      </c>
      <c r="F2568" s="79">
        <f>IF('Ordenes_Odoo'!F2568="","",'Ordenes_Odoo'!F2568)</f>
        <v/>
      </c>
      <c r="G2568" s="79">
        <f>IF('Ordenes_Odoo'!G2568="","",'Ordenes_Odoo'!G2568)</f>
        <v/>
      </c>
      <c r="H2568" s="79">
        <f>IF('Ordenes_Odoo'!H2568="","",'Ordenes_Odoo'!H2568)</f>
        <v/>
      </c>
      <c r="I2568" s="79">
        <f>IF('Ordenes_Odoo'!I2568="","",'Ordenes_Odoo'!I2568)</f>
        <v/>
      </c>
      <c r="J2568" s="79">
        <f>IF('Ordenes_Odoo'!J2568="","",'Ordenes_Odoo'!J2568)</f>
        <v/>
      </c>
      <c r="K2568" s="81">
        <f>IF('Ordenes_Odoo'!K2568="","",'Ordenes_Odoo'!K2568)</f>
        <v/>
      </c>
      <c r="L2568" s="81">
        <f>IF('Ordenes_Odoo'!L2568="","",'Ordenes_Odoo'!L2568)</f>
        <v/>
      </c>
      <c r="M2568" s="79">
        <f>IF('Ordenes_Odoo'!M2568="","",'Ordenes_Odoo'!M2568)</f>
        <v/>
      </c>
      <c r="N2568" s="79">
        <f>IF('Ordenes_Odoo'!N2568="","",'Ordenes_Odoo'!N2568)</f>
        <v/>
      </c>
      <c r="O2568" s="81">
        <f>IF('Ordenes_Odoo'!O2568="","",'Ordenes_Odoo'!O2568)</f>
        <v/>
      </c>
      <c r="P2568" s="81">
        <f>IF('Ordenes_Odoo'!P2568="","",'Ordenes_Odoo'!P2568)</f>
        <v/>
      </c>
      <c r="Q2568" s="79">
        <f>IF(A2568="","",IFERROR(INDEX(Facturas_Odoo!$B:$B, MATCH(A2568, Facturas_Odoo!$D:$D, 0)), "Sin Factura"))</f>
        <v/>
      </c>
      <c r="R2568" s="80">
        <f>IF(Q2568="Sin Factura","",IFERROR(INDEX(Facturas_Odoo!$A:$A, MATCH(Q2568, Facturas_Odoo!$B:$B, 0)), ""))</f>
        <v/>
      </c>
      <c r="S2568" s="79">
        <f>IF(Q2568="Sin Factura","",IFERROR(_xlfn.XLOOKUP(1, (Facturas_Odoo!$D:$D=A2568) * (Facturas_Odoo!$K:$K=I2568), Facturas_Odoo!$L:$L, ""), ""))</f>
        <v/>
      </c>
      <c r="T2568" s="81">
        <f>IF(Q2568="Sin Factura",0,IFERROR(_xlfn.XLOOKUP(1, (Facturas_Odoo!$D:$D=A2568) * (Facturas_Odoo!$K:$K=I2568), Facturas_Odoo!$M:$M, 0), 0))</f>
        <v/>
      </c>
      <c r="U2568" s="79">
        <f>IF(Q2568="Sin Factura",0,IFERROR(_xlfn.XLOOKUP(1, (Facturas_Odoo!$D:$D=A2568) * (Facturas_Odoo!$K:$K=I2568), Facturas_Odoo!$N:$N, 0), 0))</f>
        <v/>
      </c>
      <c r="V2568" s="79">
        <f>IF(Q2568="Sin Factura",0,IFERROR(_xlfn.XLOOKUP(1, (Facturas_Odoo!$D:$D=A2568) * (Facturas_Odoo!$K:$K=I2568), Facturas_Odoo!$O:$O, 0), 0))</f>
        <v/>
      </c>
      <c r="W2568" s="81">
        <f>IF(Q2568="Sin Factura",0,IFERROR(_xlfn.XLOOKUP(1, (Facturas_Odoo!$D:$D=A2568) * (Facturas_Odoo!$K:$K=I2568), Facturas_Odoo!$Q:$Q, 0), 0))</f>
        <v/>
      </c>
      <c r="X2568" s="79">
        <f>IF(OR(Q2568="Sin Factura",Q2568=""),"",IFERROR(INDEX(Pagos_Odoo!$B:$B, MATCH(Q2568, Pagos_Odoo!$I:$I, 0)), "Sin Pago"))</f>
        <v/>
      </c>
      <c r="Y2568" s="79">
        <f>IF(X2568="Sin Pago","",IFERROR(INDEX(Pagos_Odoo!$C:$C, MATCH(X2568, Pagos_Odoo!$B:$B, 0)), ""))</f>
        <v/>
      </c>
      <c r="Z2568" s="80">
        <f>IF(X2568="Sin Pago","",IFERROR(INDEX(Pagos_Odoo!$A:$A, MATCH(X2568, Pagos_Odoo!$B:$B, 0)), ""))</f>
        <v/>
      </c>
      <c r="AA2568" s="79">
        <f>IF(X2568="Sin Pago","",IFERROR(INDEX(Pagos_Odoo!$F:$F, MATCH(X2568, Pagos_Odoo!$B:$B, 0)), ""))</f>
        <v/>
      </c>
      <c r="AB2568" s="81">
        <f>IF(X2568="Sin Pago",0,IFERROR(INDEX(Pagos_Odoo!$E:$E, MATCH(X2568, Pagos_Odoo!$B:$B, 0)), 0))</f>
        <v/>
      </c>
      <c r="AC2568" s="79">
        <f>IF(X2568="Sin Pago","",IFERROR(INDEX(Pagos_Odoo!$G:$G, MATCH(X2568, Pagos_Odoo!$B:$B, 0)), ""))</f>
        <v/>
      </c>
      <c r="AD2568" s="82" t="n">
        <v>0</v>
      </c>
      <c r="AE2568" s="82" t="n"/>
      <c r="AF2568" s="82" t="n"/>
      <c r="AG2568" s="82">
        <f>IF(AN2568="","",AD2568+AE2568+AF2568)</f>
        <v/>
      </c>
      <c r="AH2568" s="81">
        <f>IF(AN2568="","",P2568*(1-AG2568))</f>
        <v/>
      </c>
      <c r="AI2568" s="81">
        <f>IF(AN2568="","",IF(Q2568="Sin Factura",0,IFERROR(INDEX(Facturas_Odoo!$H:$H, MATCH(Q2568, Facturas_Odoo!$B:$B, 0)), 0)*(1-AG2568)))</f>
        <v/>
      </c>
      <c r="AJ2568" s="81">
        <f>IF(AN2568="","",_xlfn.LET(idVenta, AN2568&amp;"",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68" s="81">
        <f>IF(AN2568="","",AH2568-AJ2568)</f>
        <v/>
      </c>
      <c r="AL2568" s="81">
        <f>IF(AN2568="","",IF(Q2568="Sin Factura","",AI2568-AJ2568))</f>
        <v/>
      </c>
      <c r="AM2568" s="81">
        <f>IF(AN2568="","",IF(Q2568="Sin Factura",0,P2568-IFERROR(INDEX(Facturas_Odoo!$H:$H, MATCH(Q2568, Facturas_Odoo!$B:$B, 0)), 0)))</f>
        <v/>
      </c>
      <c r="AN2568" s="79">
        <f>IF(AND(A2568="", J2568=""), "", IF(A2568&lt;&gt;"", VALUE(MID(A2568,2,LEN(A2568))), AN2567))</f>
        <v/>
      </c>
      <c r="AO2568" s="79">
        <f>IF(AN2568="","",IF(AD2568=0,"OK",_xlfn.LET(monedaPago, IF(AA2568="","USD",AA2568), limitePermitido, IFERROR(VLOOKUP(monedaPago, Configuración!$A$2:$B$3, 2, FALSE), 0.15), IF(AD2568&gt;limitePermitido, "ALERTA: EXCESO (" &amp; TEXT(limitePermitido, "0%") &amp; " máx)", "OK"))))</f>
        <v/>
      </c>
      <c r="AP2568" s="79">
        <f>IF(AN2568="","",IF(AE2568=0,"OK",_xlfn.LET(fechaPago, Z2568, fechaFactura, R2568, diasCredito, IF(E2568="Pago inmediato", 0, IFERROR(VALUE(MID(E2568, 1, SEARCH(" ", E2568)-1)),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68" s="79">
        <f>IF(AN2568="","",IF(AND(N2568&gt;0, AG2568&gt;0), IF(Configuración!$K$2="NO", "ALERTA: DESCUENTO DOBLE NO PERMITIDO", "OK"), "OK"))</f>
        <v/>
      </c>
      <c r="AR2568" s="79">
        <f>IF(AN2568="","",IF(OR(AO2568&lt;&gt;"OK", AP2568&lt;&gt;"OK", AQ2568&lt;&gt;"OK"), "⚠️ REVISAR", "OK"))</f>
        <v/>
      </c>
    </row>
    <row r="2569">
      <c r="A2569" s="79">
        <f>IF('Ordenes_Odoo'!A2569="","",'Ordenes_Odoo'!A2569)</f>
        <v/>
      </c>
      <c r="B2569" s="80">
        <f>IF('Ordenes_Odoo'!B2569="","",'Ordenes_Odoo'!B2569)</f>
        <v/>
      </c>
      <c r="C2569" s="79">
        <f>IF('Ordenes_Odoo'!C2569="","",'Ordenes_Odoo'!C2569)</f>
        <v/>
      </c>
      <c r="D2569" s="79">
        <f>IF('Ordenes_Odoo'!D2569="","",'Ordenes_Odoo'!D2569)</f>
        <v/>
      </c>
      <c r="E2569" s="79">
        <f>IF('Ordenes_Odoo'!E2569="","",'Ordenes_Odoo'!E2569)</f>
        <v/>
      </c>
      <c r="F2569" s="79">
        <f>IF('Ordenes_Odoo'!F2569="","",'Ordenes_Odoo'!F2569)</f>
        <v/>
      </c>
      <c r="G2569" s="79">
        <f>IF('Ordenes_Odoo'!G2569="","",'Ordenes_Odoo'!G2569)</f>
        <v/>
      </c>
      <c r="H2569" s="79">
        <f>IF('Ordenes_Odoo'!H2569="","",'Ordenes_Odoo'!H2569)</f>
        <v/>
      </c>
      <c r="I2569" s="79">
        <f>IF('Ordenes_Odoo'!I2569="","",'Ordenes_Odoo'!I2569)</f>
        <v/>
      </c>
      <c r="J2569" s="79">
        <f>IF('Ordenes_Odoo'!J2569="","",'Ordenes_Odoo'!J2569)</f>
        <v/>
      </c>
      <c r="K2569" s="81">
        <f>IF('Ordenes_Odoo'!K2569="","",'Ordenes_Odoo'!K2569)</f>
        <v/>
      </c>
      <c r="L2569" s="81">
        <f>IF('Ordenes_Odoo'!L2569="","",'Ordenes_Odoo'!L2569)</f>
        <v/>
      </c>
      <c r="M2569" s="79">
        <f>IF('Ordenes_Odoo'!M2569="","",'Ordenes_Odoo'!M2569)</f>
        <v/>
      </c>
      <c r="N2569" s="79">
        <f>IF('Ordenes_Odoo'!N2569="","",'Ordenes_Odoo'!N2569)</f>
        <v/>
      </c>
      <c r="O2569" s="81">
        <f>IF('Ordenes_Odoo'!O2569="","",'Ordenes_Odoo'!O2569)</f>
        <v/>
      </c>
      <c r="P2569" s="81">
        <f>IF('Ordenes_Odoo'!P2569="","",'Ordenes_Odoo'!P2569)</f>
        <v/>
      </c>
      <c r="Q2569" s="79">
        <f>IF(A2569="","",IFERROR(INDEX(Facturas_Odoo!$B:$B, MATCH(A2569, Facturas_Odoo!$D:$D, 0)), "Sin Factura"))</f>
        <v/>
      </c>
      <c r="R2569" s="80">
        <f>IF(Q2569="Sin Factura","",IFERROR(INDEX(Facturas_Odoo!$A:$A, MATCH(Q2569, Facturas_Odoo!$B:$B, 0)), ""))</f>
        <v/>
      </c>
      <c r="S2569" s="79">
        <f>IF(Q2569="Sin Factura","",IFERROR(_xlfn.XLOOKUP(1, (Facturas_Odoo!$D:$D=A2569) * (Facturas_Odoo!$K:$K=I2569), Facturas_Odoo!$L:$L, ""), ""))</f>
        <v/>
      </c>
      <c r="T2569" s="81">
        <f>IF(Q2569="Sin Factura",0,IFERROR(_xlfn.XLOOKUP(1, (Facturas_Odoo!$D:$D=A2569) * (Facturas_Odoo!$K:$K=I2569), Facturas_Odoo!$M:$M, 0), 0))</f>
        <v/>
      </c>
      <c r="U2569" s="79">
        <f>IF(Q2569="Sin Factura",0,IFERROR(_xlfn.XLOOKUP(1, (Facturas_Odoo!$D:$D=A2569) * (Facturas_Odoo!$K:$K=I2569), Facturas_Odoo!$N:$N, 0), 0))</f>
        <v/>
      </c>
      <c r="V2569" s="79">
        <f>IF(Q2569="Sin Factura",0,IFERROR(_xlfn.XLOOKUP(1, (Facturas_Odoo!$D:$D=A2569) * (Facturas_Odoo!$K:$K=I2569), Facturas_Odoo!$O:$O, 0), 0))</f>
        <v/>
      </c>
      <c r="W2569" s="81">
        <f>IF(Q2569="Sin Factura",0,IFERROR(_xlfn.XLOOKUP(1, (Facturas_Odoo!$D:$D=A2569) * (Facturas_Odoo!$K:$K=I2569), Facturas_Odoo!$Q:$Q, 0), 0))</f>
        <v/>
      </c>
      <c r="X2569" s="79">
        <f>IF(OR(Q2569="Sin Factura",Q2569=""),"",IFERROR(INDEX(Pagos_Odoo!$B:$B, MATCH(Q2569, Pagos_Odoo!$I:$I, 0)), "Sin Pago"))</f>
        <v/>
      </c>
      <c r="Y2569" s="79">
        <f>IF(X2569="Sin Pago","",IFERROR(INDEX(Pagos_Odoo!$C:$C, MATCH(X2569, Pagos_Odoo!$B:$B, 0)), ""))</f>
        <v/>
      </c>
      <c r="Z2569" s="80">
        <f>IF(X2569="Sin Pago","",IFERROR(INDEX(Pagos_Odoo!$A:$A, MATCH(X2569, Pagos_Odoo!$B:$B, 0)), ""))</f>
        <v/>
      </c>
      <c r="AA2569" s="79">
        <f>IF(X2569="Sin Pago","",IFERROR(INDEX(Pagos_Odoo!$F:$F, MATCH(X2569, Pagos_Odoo!$B:$B, 0)), ""))</f>
        <v/>
      </c>
      <c r="AB2569" s="81">
        <f>IF(X2569="Sin Pago",0,IFERROR(INDEX(Pagos_Odoo!$E:$E, MATCH(X2569, Pagos_Odoo!$B:$B, 0)), 0))</f>
        <v/>
      </c>
      <c r="AC2569" s="79">
        <f>IF(X2569="Sin Pago","",IFERROR(INDEX(Pagos_Odoo!$G:$G, MATCH(X2569, Pagos_Odoo!$B:$B, 0)), ""))</f>
        <v/>
      </c>
      <c r="AD2569" s="82" t="n">
        <v>0</v>
      </c>
      <c r="AE2569" s="82" t="n"/>
      <c r="AF2569" s="82" t="n"/>
      <c r="AG2569" s="82">
        <f>IF(AN2569="","",AD2569+AE2569+AF2569)</f>
        <v/>
      </c>
      <c r="AH2569" s="81">
        <f>IF(AN2569="","",P2569*(1-AG2569))</f>
        <v/>
      </c>
      <c r="AI2569" s="81">
        <f>IF(AN2569="","",IF(Q2569="Sin Factura",0,IFERROR(INDEX(Facturas_Odoo!$H:$H, MATCH(Q2569, Facturas_Odoo!$B:$B, 0)), 0)*(1-AG2569)))</f>
        <v/>
      </c>
      <c r="AJ2569" s="81">
        <f>IF(AN2569="","",_xlfn.LET(idVenta, AN2569&amp;"",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69" s="81">
        <f>IF(AN2569="","",AH2569-AJ2569)</f>
        <v/>
      </c>
      <c r="AL2569" s="81">
        <f>IF(AN2569="","",IF(Q2569="Sin Factura","",AI2569-AJ2569))</f>
        <v/>
      </c>
      <c r="AM2569" s="81">
        <f>IF(AN2569="","",IF(Q2569="Sin Factura",0,P2569-IFERROR(INDEX(Facturas_Odoo!$H:$H, MATCH(Q2569, Facturas_Odoo!$B:$B, 0)), 0)))</f>
        <v/>
      </c>
      <c r="AN2569" s="79">
        <f>IF(AND(A2569="", J2569=""), "", IF(A2569&lt;&gt;"", VALUE(MID(A2569,2,LEN(A2569))), AN2568))</f>
        <v/>
      </c>
      <c r="AO2569" s="79">
        <f>IF(AN2569="","",IF(AD2569=0,"OK",_xlfn.LET(monedaPago, IF(AA2569="","USD",AA2569), limitePermitido, IFERROR(VLOOKUP(monedaPago, Configuración!$A$2:$B$3, 2, FALSE), 0.15), IF(AD2569&gt;limitePermitido, "ALERTA: EXCESO (" &amp; TEXT(limitePermitido, "0%") &amp; " máx)", "OK"))))</f>
        <v/>
      </c>
      <c r="AP2569" s="79">
        <f>IF(AN2569="","",IF(AE2569=0,"OK",_xlfn.LET(fechaPago, Z2569, fechaFactura, R2569, diasCredito, IF(E2569="Pago inmediato", 0, IFERROR(VALUE(MID(E2569, 1, SEARCH(" ", E2569)-1)),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69" s="79">
        <f>IF(AN2569="","",IF(AND(N2569&gt;0, AG2569&gt;0), IF(Configuración!$K$2="NO", "ALERTA: DESCUENTO DOBLE NO PERMITIDO", "OK"), "OK"))</f>
        <v/>
      </c>
      <c r="AR2569" s="79">
        <f>IF(AN2569="","",IF(OR(AO2569&lt;&gt;"OK", AP2569&lt;&gt;"OK", AQ2569&lt;&gt;"OK"), "⚠️ REVISAR", "OK"))</f>
        <v/>
      </c>
    </row>
    <row r="2570">
      <c r="A2570" s="79">
        <f>IF('Ordenes_Odoo'!A2570="","",'Ordenes_Odoo'!A2570)</f>
        <v/>
      </c>
      <c r="B2570" s="80">
        <f>IF('Ordenes_Odoo'!B2570="","",'Ordenes_Odoo'!B2570)</f>
        <v/>
      </c>
      <c r="C2570" s="79">
        <f>IF('Ordenes_Odoo'!C2570="","",'Ordenes_Odoo'!C2570)</f>
        <v/>
      </c>
      <c r="D2570" s="79">
        <f>IF('Ordenes_Odoo'!D2570="","",'Ordenes_Odoo'!D2570)</f>
        <v/>
      </c>
      <c r="E2570" s="79">
        <f>IF('Ordenes_Odoo'!E2570="","",'Ordenes_Odoo'!E2570)</f>
        <v/>
      </c>
      <c r="F2570" s="79">
        <f>IF('Ordenes_Odoo'!F2570="","",'Ordenes_Odoo'!F2570)</f>
        <v/>
      </c>
      <c r="G2570" s="79">
        <f>IF('Ordenes_Odoo'!G2570="","",'Ordenes_Odoo'!G2570)</f>
        <v/>
      </c>
      <c r="H2570" s="79">
        <f>IF('Ordenes_Odoo'!H2570="","",'Ordenes_Odoo'!H2570)</f>
        <v/>
      </c>
      <c r="I2570" s="79">
        <f>IF('Ordenes_Odoo'!I2570="","",'Ordenes_Odoo'!I2570)</f>
        <v/>
      </c>
      <c r="J2570" s="79">
        <f>IF('Ordenes_Odoo'!J2570="","",'Ordenes_Odoo'!J2570)</f>
        <v/>
      </c>
      <c r="K2570" s="81">
        <f>IF('Ordenes_Odoo'!K2570="","",'Ordenes_Odoo'!K2570)</f>
        <v/>
      </c>
      <c r="L2570" s="81">
        <f>IF('Ordenes_Odoo'!L2570="","",'Ordenes_Odoo'!L2570)</f>
        <v/>
      </c>
      <c r="M2570" s="79">
        <f>IF('Ordenes_Odoo'!M2570="","",'Ordenes_Odoo'!M2570)</f>
        <v/>
      </c>
      <c r="N2570" s="79">
        <f>IF('Ordenes_Odoo'!N2570="","",'Ordenes_Odoo'!N2570)</f>
        <v/>
      </c>
      <c r="O2570" s="81">
        <f>IF('Ordenes_Odoo'!O2570="","",'Ordenes_Odoo'!O2570)</f>
        <v/>
      </c>
      <c r="P2570" s="81">
        <f>IF('Ordenes_Odoo'!P2570="","",'Ordenes_Odoo'!P2570)</f>
        <v/>
      </c>
      <c r="Q2570" s="79">
        <f>IF(A2570="","",IFERROR(INDEX(Facturas_Odoo!$B:$B, MATCH(A2570, Facturas_Odoo!$D:$D, 0)), "Sin Factura"))</f>
        <v/>
      </c>
      <c r="R2570" s="80">
        <f>IF(Q2570="Sin Factura","",IFERROR(INDEX(Facturas_Odoo!$A:$A, MATCH(Q2570, Facturas_Odoo!$B:$B, 0)), ""))</f>
        <v/>
      </c>
      <c r="S2570" s="79">
        <f>IF(Q2570="Sin Factura","",IFERROR(_xlfn.XLOOKUP(1, (Facturas_Odoo!$D:$D=A2570) * (Facturas_Odoo!$K:$K=I2570), Facturas_Odoo!$L:$L, ""), ""))</f>
        <v/>
      </c>
      <c r="T2570" s="81">
        <f>IF(Q2570="Sin Factura",0,IFERROR(_xlfn.XLOOKUP(1, (Facturas_Odoo!$D:$D=A2570) * (Facturas_Odoo!$K:$K=I2570), Facturas_Odoo!$M:$M, 0), 0))</f>
        <v/>
      </c>
      <c r="U2570" s="79">
        <f>IF(Q2570="Sin Factura",0,IFERROR(_xlfn.XLOOKUP(1, (Facturas_Odoo!$D:$D=A2570) * (Facturas_Odoo!$K:$K=I2570), Facturas_Odoo!$N:$N, 0), 0))</f>
        <v/>
      </c>
      <c r="V2570" s="79">
        <f>IF(Q2570="Sin Factura",0,IFERROR(_xlfn.XLOOKUP(1, (Facturas_Odoo!$D:$D=A2570) * (Facturas_Odoo!$K:$K=I2570), Facturas_Odoo!$O:$O, 0), 0))</f>
        <v/>
      </c>
      <c r="W2570" s="81">
        <f>IF(Q2570="Sin Factura",0,IFERROR(_xlfn.XLOOKUP(1, (Facturas_Odoo!$D:$D=A2570) * (Facturas_Odoo!$K:$K=I2570), Facturas_Odoo!$Q:$Q, 0), 0))</f>
        <v/>
      </c>
      <c r="X2570" s="79">
        <f>IF(OR(Q2570="Sin Factura",Q2570=""),"",IFERROR(INDEX(Pagos_Odoo!$B:$B, MATCH(Q2570, Pagos_Odoo!$I:$I, 0)), "Sin Pago"))</f>
        <v/>
      </c>
      <c r="Y2570" s="79">
        <f>IF(X2570="Sin Pago","",IFERROR(INDEX(Pagos_Odoo!$C:$C, MATCH(X2570, Pagos_Odoo!$B:$B, 0)), ""))</f>
        <v/>
      </c>
      <c r="Z2570" s="80">
        <f>IF(X2570="Sin Pago","",IFERROR(INDEX(Pagos_Odoo!$A:$A, MATCH(X2570, Pagos_Odoo!$B:$B, 0)), ""))</f>
        <v/>
      </c>
      <c r="AA2570" s="79">
        <f>IF(X2570="Sin Pago","",IFERROR(INDEX(Pagos_Odoo!$F:$F, MATCH(X2570, Pagos_Odoo!$B:$B, 0)), ""))</f>
        <v/>
      </c>
      <c r="AB2570" s="81">
        <f>IF(X2570="Sin Pago",0,IFERROR(INDEX(Pagos_Odoo!$E:$E, MATCH(X2570, Pagos_Odoo!$B:$B, 0)), 0))</f>
        <v/>
      </c>
      <c r="AC2570" s="79">
        <f>IF(X2570="Sin Pago","",IFERROR(INDEX(Pagos_Odoo!$G:$G, MATCH(X2570, Pagos_Odoo!$B:$B, 0)), ""))</f>
        <v/>
      </c>
      <c r="AD2570" s="82" t="n">
        <v>0</v>
      </c>
      <c r="AE2570" s="82" t="n"/>
      <c r="AF2570" s="82" t="n"/>
      <c r="AG2570" s="82">
        <f>IF(AN2570="","",AD2570+AE2570+AF2570)</f>
        <v/>
      </c>
      <c r="AH2570" s="81">
        <f>IF(AN2570="","",P2570*(1-AG2570))</f>
        <v/>
      </c>
      <c r="AI2570" s="81">
        <f>IF(AN2570="","",IF(Q2570="Sin Factura",0,IFERROR(INDEX(Facturas_Odoo!$H:$H, MATCH(Q2570, Facturas_Odoo!$B:$B, 0)), 0)*(1-AG2570)))</f>
        <v/>
      </c>
      <c r="AJ2570" s="81">
        <f>IF(AN2570="","",_xlfn.LET(idVenta, AN2570&amp;"",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70" s="81">
        <f>IF(AN2570="","",AH2570-AJ2570)</f>
        <v/>
      </c>
      <c r="AL2570" s="81">
        <f>IF(AN2570="","",IF(Q2570="Sin Factura","",AI2570-AJ2570))</f>
        <v/>
      </c>
      <c r="AM2570" s="81">
        <f>IF(AN2570="","",IF(Q2570="Sin Factura",0,P2570-IFERROR(INDEX(Facturas_Odoo!$H:$H, MATCH(Q2570, Facturas_Odoo!$B:$B, 0)), 0)))</f>
        <v/>
      </c>
      <c r="AN2570" s="79">
        <f>IF(AND(A2570="", J2570=""), "", IF(A2570&lt;&gt;"", VALUE(MID(A2570,2,LEN(A2570))), AN2569))</f>
        <v/>
      </c>
      <c r="AO2570" s="79">
        <f>IF(AN2570="","",IF(AD2570=0,"OK",_xlfn.LET(monedaPago, IF(AA2570="","USD",AA2570), limitePermitido, IFERROR(VLOOKUP(monedaPago, Configuración!$A$2:$B$3, 2, FALSE), 0.15), IF(AD2570&gt;limitePermitido, "ALERTA: EXCESO (" &amp; TEXT(limitePermitido, "0%") &amp; " máx)", "OK"))))</f>
        <v/>
      </c>
      <c r="AP2570" s="79">
        <f>IF(AN2570="","",IF(AE2570=0,"OK",_xlfn.LET(fechaPago, Z2570, fechaFactura, R2570, diasCredito, IF(E2570="Pago inmediato", 0, IFERROR(VALUE(MID(E2570, 1, SEARCH(" ", E2570)-1)),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70" s="79">
        <f>IF(AN2570="","",IF(AND(N2570&gt;0, AG2570&gt;0), IF(Configuración!$K$2="NO", "ALERTA: DESCUENTO DOBLE NO PERMITIDO", "OK"), "OK"))</f>
        <v/>
      </c>
      <c r="AR2570" s="79">
        <f>IF(AN2570="","",IF(OR(AO2570&lt;&gt;"OK", AP2570&lt;&gt;"OK", AQ2570&lt;&gt;"OK"), "⚠️ REVISAR", "OK"))</f>
        <v/>
      </c>
    </row>
    <row r="2571">
      <c r="A2571" s="79">
        <f>IF('Ordenes_Odoo'!A2571="","",'Ordenes_Odoo'!A2571)</f>
        <v/>
      </c>
      <c r="B2571" s="80">
        <f>IF('Ordenes_Odoo'!B2571="","",'Ordenes_Odoo'!B2571)</f>
        <v/>
      </c>
      <c r="C2571" s="79">
        <f>IF('Ordenes_Odoo'!C2571="","",'Ordenes_Odoo'!C2571)</f>
        <v/>
      </c>
      <c r="D2571" s="79">
        <f>IF('Ordenes_Odoo'!D2571="","",'Ordenes_Odoo'!D2571)</f>
        <v/>
      </c>
      <c r="E2571" s="79">
        <f>IF('Ordenes_Odoo'!E2571="","",'Ordenes_Odoo'!E2571)</f>
        <v/>
      </c>
      <c r="F2571" s="79">
        <f>IF('Ordenes_Odoo'!F2571="","",'Ordenes_Odoo'!F2571)</f>
        <v/>
      </c>
      <c r="G2571" s="79">
        <f>IF('Ordenes_Odoo'!G2571="","",'Ordenes_Odoo'!G2571)</f>
        <v/>
      </c>
      <c r="H2571" s="79">
        <f>IF('Ordenes_Odoo'!H2571="","",'Ordenes_Odoo'!H2571)</f>
        <v/>
      </c>
      <c r="I2571" s="79">
        <f>IF('Ordenes_Odoo'!I2571="","",'Ordenes_Odoo'!I2571)</f>
        <v/>
      </c>
      <c r="J2571" s="79">
        <f>IF('Ordenes_Odoo'!J2571="","",'Ordenes_Odoo'!J2571)</f>
        <v/>
      </c>
      <c r="K2571" s="81">
        <f>IF('Ordenes_Odoo'!K2571="","",'Ordenes_Odoo'!K2571)</f>
        <v/>
      </c>
      <c r="L2571" s="81">
        <f>IF('Ordenes_Odoo'!L2571="","",'Ordenes_Odoo'!L2571)</f>
        <v/>
      </c>
      <c r="M2571" s="79">
        <f>IF('Ordenes_Odoo'!M2571="","",'Ordenes_Odoo'!M2571)</f>
        <v/>
      </c>
      <c r="N2571" s="79">
        <f>IF('Ordenes_Odoo'!N2571="","",'Ordenes_Odoo'!N2571)</f>
        <v/>
      </c>
      <c r="O2571" s="81">
        <f>IF('Ordenes_Odoo'!O2571="","",'Ordenes_Odoo'!O2571)</f>
        <v/>
      </c>
      <c r="P2571" s="81">
        <f>IF('Ordenes_Odoo'!P2571="","",'Ordenes_Odoo'!P2571)</f>
        <v/>
      </c>
      <c r="Q2571" s="79">
        <f>IF(A2571="","",IFERROR(INDEX(Facturas_Odoo!$B:$B, MATCH(A2571, Facturas_Odoo!$D:$D, 0)), "Sin Factura"))</f>
        <v/>
      </c>
      <c r="R2571" s="80">
        <f>IF(Q2571="Sin Factura","",IFERROR(INDEX(Facturas_Odoo!$A:$A, MATCH(Q2571, Facturas_Odoo!$B:$B, 0)), ""))</f>
        <v/>
      </c>
      <c r="S2571" s="79">
        <f>IF(Q2571="Sin Factura","",IFERROR(_xlfn.XLOOKUP(1, (Facturas_Odoo!$D:$D=A2571) * (Facturas_Odoo!$K:$K=I2571), Facturas_Odoo!$L:$L, ""), ""))</f>
        <v/>
      </c>
      <c r="T2571" s="81">
        <f>IF(Q2571="Sin Factura",0,IFERROR(_xlfn.XLOOKUP(1, (Facturas_Odoo!$D:$D=A2571) * (Facturas_Odoo!$K:$K=I2571), Facturas_Odoo!$M:$M, 0), 0))</f>
        <v/>
      </c>
      <c r="U2571" s="79">
        <f>IF(Q2571="Sin Factura",0,IFERROR(_xlfn.XLOOKUP(1, (Facturas_Odoo!$D:$D=A2571) * (Facturas_Odoo!$K:$K=I2571), Facturas_Odoo!$N:$N, 0), 0))</f>
        <v/>
      </c>
      <c r="V2571" s="79">
        <f>IF(Q2571="Sin Factura",0,IFERROR(_xlfn.XLOOKUP(1, (Facturas_Odoo!$D:$D=A2571) * (Facturas_Odoo!$K:$K=I2571), Facturas_Odoo!$O:$O, 0), 0))</f>
        <v/>
      </c>
      <c r="W2571" s="81">
        <f>IF(Q2571="Sin Factura",0,IFERROR(_xlfn.XLOOKUP(1, (Facturas_Odoo!$D:$D=A2571) * (Facturas_Odoo!$K:$K=I2571), Facturas_Odoo!$Q:$Q, 0), 0))</f>
        <v/>
      </c>
      <c r="X2571" s="79">
        <f>IF(OR(Q2571="Sin Factura",Q2571=""),"",IFERROR(INDEX(Pagos_Odoo!$B:$B, MATCH(Q2571, Pagos_Odoo!$I:$I, 0)), "Sin Pago"))</f>
        <v/>
      </c>
      <c r="Y2571" s="79">
        <f>IF(X2571="Sin Pago","",IFERROR(INDEX(Pagos_Odoo!$C:$C, MATCH(X2571, Pagos_Odoo!$B:$B, 0)), ""))</f>
        <v/>
      </c>
      <c r="Z2571" s="80">
        <f>IF(X2571="Sin Pago","",IFERROR(INDEX(Pagos_Odoo!$A:$A, MATCH(X2571, Pagos_Odoo!$B:$B, 0)), ""))</f>
        <v/>
      </c>
      <c r="AA2571" s="79">
        <f>IF(X2571="Sin Pago","",IFERROR(INDEX(Pagos_Odoo!$F:$F, MATCH(X2571, Pagos_Odoo!$B:$B, 0)), ""))</f>
        <v/>
      </c>
      <c r="AB2571" s="81">
        <f>IF(X2571="Sin Pago",0,IFERROR(INDEX(Pagos_Odoo!$E:$E, MATCH(X2571, Pagos_Odoo!$B:$B, 0)), 0))</f>
        <v/>
      </c>
      <c r="AC2571" s="79">
        <f>IF(X2571="Sin Pago","",IFERROR(INDEX(Pagos_Odoo!$G:$G, MATCH(X2571, Pagos_Odoo!$B:$B, 0)), ""))</f>
        <v/>
      </c>
      <c r="AD2571" s="82" t="n">
        <v>0</v>
      </c>
      <c r="AE2571" s="82" t="n"/>
      <c r="AF2571" s="82" t="n"/>
      <c r="AG2571" s="82">
        <f>IF(AN2571="","",AD2571+AE2571+AF2571)</f>
        <v/>
      </c>
      <c r="AH2571" s="81">
        <f>IF(AN2571="","",P2571*(1-AG2571))</f>
        <v/>
      </c>
      <c r="AI2571" s="81">
        <f>IF(AN2571="","",IF(Q2571="Sin Factura",0,IFERROR(INDEX(Facturas_Odoo!$H:$H, MATCH(Q2571, Facturas_Odoo!$B:$B, 0)), 0)*(1-AG2571)))</f>
        <v/>
      </c>
      <c r="AJ2571" s="81">
        <f>IF(AN2571="","",_xlfn.LET(idVenta, AN2571&amp;"",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71" s="81">
        <f>IF(AN2571="","",AH2571-AJ2571)</f>
        <v/>
      </c>
      <c r="AL2571" s="81">
        <f>IF(AN2571="","",IF(Q2571="Sin Factura","",AI2571-AJ2571))</f>
        <v/>
      </c>
      <c r="AM2571" s="81">
        <f>IF(AN2571="","",IF(Q2571="Sin Factura",0,P2571-IFERROR(INDEX(Facturas_Odoo!$H:$H, MATCH(Q2571, Facturas_Odoo!$B:$B, 0)), 0)))</f>
        <v/>
      </c>
      <c r="AN2571" s="79">
        <f>IF(AND(A2571="", J2571=""), "", IF(A2571&lt;&gt;"", VALUE(MID(A2571,2,LEN(A2571))), AN2570))</f>
        <v/>
      </c>
      <c r="AO2571" s="79">
        <f>IF(AN2571="","",IF(AD2571=0,"OK",_xlfn.LET(monedaPago, IF(AA2571="","USD",AA2571), limitePermitido, IFERROR(VLOOKUP(monedaPago, Configuración!$A$2:$B$3, 2, FALSE), 0.15), IF(AD2571&gt;limitePermitido, "ALERTA: EXCESO (" &amp; TEXT(limitePermitido, "0%") &amp; " máx)", "OK"))))</f>
        <v/>
      </c>
      <c r="AP2571" s="79">
        <f>IF(AN2571="","",IF(AE2571=0,"OK",_xlfn.LET(fechaPago, Z2571, fechaFactura, R2571, diasCredito, IF(E2571="Pago inmediato", 0, IFERROR(VALUE(MID(E2571, 1, SEARCH(" ", E2571)-1)),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71" s="79">
        <f>IF(AN2571="","",IF(AND(N2571&gt;0, AG2571&gt;0), IF(Configuración!$K$2="NO", "ALERTA: DESCUENTO DOBLE NO PERMITIDO", "OK"), "OK"))</f>
        <v/>
      </c>
      <c r="AR2571" s="79">
        <f>IF(AN2571="","",IF(OR(AO2571&lt;&gt;"OK", AP2571&lt;&gt;"OK", AQ2571&lt;&gt;"OK"), "⚠️ REVISAR", "OK"))</f>
        <v/>
      </c>
    </row>
    <row r="2572">
      <c r="A2572" s="79">
        <f>IF('Ordenes_Odoo'!A2572="","",'Ordenes_Odoo'!A2572)</f>
        <v/>
      </c>
      <c r="B2572" s="80">
        <f>IF('Ordenes_Odoo'!B2572="","",'Ordenes_Odoo'!B2572)</f>
        <v/>
      </c>
      <c r="C2572" s="79">
        <f>IF('Ordenes_Odoo'!C2572="","",'Ordenes_Odoo'!C2572)</f>
        <v/>
      </c>
      <c r="D2572" s="79">
        <f>IF('Ordenes_Odoo'!D2572="","",'Ordenes_Odoo'!D2572)</f>
        <v/>
      </c>
      <c r="E2572" s="79">
        <f>IF('Ordenes_Odoo'!E2572="","",'Ordenes_Odoo'!E2572)</f>
        <v/>
      </c>
      <c r="F2572" s="79">
        <f>IF('Ordenes_Odoo'!F2572="","",'Ordenes_Odoo'!F2572)</f>
        <v/>
      </c>
      <c r="G2572" s="79">
        <f>IF('Ordenes_Odoo'!G2572="","",'Ordenes_Odoo'!G2572)</f>
        <v/>
      </c>
      <c r="H2572" s="79">
        <f>IF('Ordenes_Odoo'!H2572="","",'Ordenes_Odoo'!H2572)</f>
        <v/>
      </c>
      <c r="I2572" s="79">
        <f>IF('Ordenes_Odoo'!I2572="","",'Ordenes_Odoo'!I2572)</f>
        <v/>
      </c>
      <c r="J2572" s="79">
        <f>IF('Ordenes_Odoo'!J2572="","",'Ordenes_Odoo'!J2572)</f>
        <v/>
      </c>
      <c r="K2572" s="81">
        <f>IF('Ordenes_Odoo'!K2572="","",'Ordenes_Odoo'!K2572)</f>
        <v/>
      </c>
      <c r="L2572" s="81">
        <f>IF('Ordenes_Odoo'!L2572="","",'Ordenes_Odoo'!L2572)</f>
        <v/>
      </c>
      <c r="M2572" s="79">
        <f>IF('Ordenes_Odoo'!M2572="","",'Ordenes_Odoo'!M2572)</f>
        <v/>
      </c>
      <c r="N2572" s="79">
        <f>IF('Ordenes_Odoo'!N2572="","",'Ordenes_Odoo'!N2572)</f>
        <v/>
      </c>
      <c r="O2572" s="81">
        <f>IF('Ordenes_Odoo'!O2572="","",'Ordenes_Odoo'!O2572)</f>
        <v/>
      </c>
      <c r="P2572" s="81">
        <f>IF('Ordenes_Odoo'!P2572="","",'Ordenes_Odoo'!P2572)</f>
        <v/>
      </c>
      <c r="Q2572" s="79">
        <f>IF(A2572="","",IFERROR(INDEX(Facturas_Odoo!$B:$B, MATCH(A2572, Facturas_Odoo!$D:$D, 0)), "Sin Factura"))</f>
        <v/>
      </c>
      <c r="R2572" s="80">
        <f>IF(Q2572="Sin Factura","",IFERROR(INDEX(Facturas_Odoo!$A:$A, MATCH(Q2572, Facturas_Odoo!$B:$B, 0)), ""))</f>
        <v/>
      </c>
      <c r="S2572" s="79">
        <f>IF(Q2572="Sin Factura","",IFERROR(_xlfn.XLOOKUP(1, (Facturas_Odoo!$D:$D=A2572) * (Facturas_Odoo!$K:$K=I2572), Facturas_Odoo!$L:$L, ""), ""))</f>
        <v/>
      </c>
      <c r="T2572" s="81">
        <f>IF(Q2572="Sin Factura",0,IFERROR(_xlfn.XLOOKUP(1, (Facturas_Odoo!$D:$D=A2572) * (Facturas_Odoo!$K:$K=I2572), Facturas_Odoo!$M:$M, 0), 0))</f>
        <v/>
      </c>
      <c r="U2572" s="79">
        <f>IF(Q2572="Sin Factura",0,IFERROR(_xlfn.XLOOKUP(1, (Facturas_Odoo!$D:$D=A2572) * (Facturas_Odoo!$K:$K=I2572), Facturas_Odoo!$N:$N, 0), 0))</f>
        <v/>
      </c>
      <c r="V2572" s="79">
        <f>IF(Q2572="Sin Factura",0,IFERROR(_xlfn.XLOOKUP(1, (Facturas_Odoo!$D:$D=A2572) * (Facturas_Odoo!$K:$K=I2572), Facturas_Odoo!$O:$O, 0), 0))</f>
        <v/>
      </c>
      <c r="W2572" s="81">
        <f>IF(Q2572="Sin Factura",0,IFERROR(_xlfn.XLOOKUP(1, (Facturas_Odoo!$D:$D=A2572) * (Facturas_Odoo!$K:$K=I2572), Facturas_Odoo!$Q:$Q, 0), 0))</f>
        <v/>
      </c>
      <c r="X2572" s="79">
        <f>IF(OR(Q2572="Sin Factura",Q2572=""),"",IFERROR(INDEX(Pagos_Odoo!$B:$B, MATCH(Q2572, Pagos_Odoo!$I:$I, 0)), "Sin Pago"))</f>
        <v/>
      </c>
      <c r="Y2572" s="79">
        <f>IF(X2572="Sin Pago","",IFERROR(INDEX(Pagos_Odoo!$C:$C, MATCH(X2572, Pagos_Odoo!$B:$B, 0)), ""))</f>
        <v/>
      </c>
      <c r="Z2572" s="80">
        <f>IF(X2572="Sin Pago","",IFERROR(INDEX(Pagos_Odoo!$A:$A, MATCH(X2572, Pagos_Odoo!$B:$B, 0)), ""))</f>
        <v/>
      </c>
      <c r="AA2572" s="79">
        <f>IF(X2572="Sin Pago","",IFERROR(INDEX(Pagos_Odoo!$F:$F, MATCH(X2572, Pagos_Odoo!$B:$B, 0)), ""))</f>
        <v/>
      </c>
      <c r="AB2572" s="81">
        <f>IF(X2572="Sin Pago",0,IFERROR(INDEX(Pagos_Odoo!$E:$E, MATCH(X2572, Pagos_Odoo!$B:$B, 0)), 0))</f>
        <v/>
      </c>
      <c r="AC2572" s="79">
        <f>IF(X2572="Sin Pago","",IFERROR(INDEX(Pagos_Odoo!$G:$G, MATCH(X2572, Pagos_Odoo!$B:$B, 0)), ""))</f>
        <v/>
      </c>
      <c r="AD2572" s="82" t="n">
        <v>0</v>
      </c>
      <c r="AE2572" s="82" t="n"/>
      <c r="AF2572" s="82" t="n"/>
      <c r="AG2572" s="82">
        <f>IF(AN2572="","",AD2572+AE2572+AF2572)</f>
        <v/>
      </c>
      <c r="AH2572" s="81">
        <f>IF(AN2572="","",P2572*(1-AG2572))</f>
        <v/>
      </c>
      <c r="AI2572" s="81">
        <f>IF(AN2572="","",IF(Q2572="Sin Factura",0,IFERROR(INDEX(Facturas_Odoo!$H:$H, MATCH(Q2572, Facturas_Odoo!$B:$B, 0)), 0)*(1-AG2572)))</f>
        <v/>
      </c>
      <c r="AJ2572" s="81">
        <f>IF(AN2572="","",_xlfn.LET(idVenta, AN2572&amp;"",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72" s="81">
        <f>IF(AN2572="","",AH2572-AJ2572)</f>
        <v/>
      </c>
      <c r="AL2572" s="81">
        <f>IF(AN2572="","",IF(Q2572="Sin Factura","",AI2572-AJ2572))</f>
        <v/>
      </c>
      <c r="AM2572" s="81">
        <f>IF(AN2572="","",IF(Q2572="Sin Factura",0,P2572-IFERROR(INDEX(Facturas_Odoo!$H:$H, MATCH(Q2572, Facturas_Odoo!$B:$B, 0)), 0)))</f>
        <v/>
      </c>
      <c r="AN2572" s="79">
        <f>IF(AND(A2572="", J2572=""), "", IF(A2572&lt;&gt;"", VALUE(MID(A2572,2,LEN(A2572))), AN2571))</f>
        <v/>
      </c>
      <c r="AO2572" s="79">
        <f>IF(AN2572="","",IF(AD2572=0,"OK",_xlfn.LET(monedaPago, IF(AA2572="","USD",AA2572), limitePermitido, IFERROR(VLOOKUP(monedaPago, Configuración!$A$2:$B$3, 2, FALSE), 0.15), IF(AD2572&gt;limitePermitido, "ALERTA: EXCESO (" &amp; TEXT(limitePermitido, "0%") &amp; " máx)", "OK"))))</f>
        <v/>
      </c>
      <c r="AP2572" s="79">
        <f>IF(AN2572="","",IF(AE2572=0,"OK",_xlfn.LET(fechaPago, Z2572, fechaFactura, R2572, diasCredito, IF(E2572="Pago inmediato", 0, IFERROR(VALUE(MID(E2572, 1, SEARCH(" ", E2572)-1)),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72" s="79">
        <f>IF(AN2572="","",IF(AND(N2572&gt;0, AG2572&gt;0), IF(Configuración!$K$2="NO", "ALERTA: DESCUENTO DOBLE NO PERMITIDO", "OK"), "OK"))</f>
        <v/>
      </c>
      <c r="AR2572" s="79">
        <f>IF(AN2572="","",IF(OR(AO2572&lt;&gt;"OK", AP2572&lt;&gt;"OK", AQ2572&lt;&gt;"OK"), "⚠️ REVISAR", "OK"))</f>
        <v/>
      </c>
    </row>
    <row r="2573">
      <c r="A2573" s="79">
        <f>IF('Ordenes_Odoo'!A2573="","",'Ordenes_Odoo'!A2573)</f>
        <v/>
      </c>
      <c r="B2573" s="80">
        <f>IF('Ordenes_Odoo'!B2573="","",'Ordenes_Odoo'!B2573)</f>
        <v/>
      </c>
      <c r="C2573" s="79">
        <f>IF('Ordenes_Odoo'!C2573="","",'Ordenes_Odoo'!C2573)</f>
        <v/>
      </c>
      <c r="D2573" s="79">
        <f>IF('Ordenes_Odoo'!D2573="","",'Ordenes_Odoo'!D2573)</f>
        <v/>
      </c>
      <c r="E2573" s="79">
        <f>IF('Ordenes_Odoo'!E2573="","",'Ordenes_Odoo'!E2573)</f>
        <v/>
      </c>
      <c r="F2573" s="79">
        <f>IF('Ordenes_Odoo'!F2573="","",'Ordenes_Odoo'!F2573)</f>
        <v/>
      </c>
      <c r="G2573" s="79">
        <f>IF('Ordenes_Odoo'!G2573="","",'Ordenes_Odoo'!G2573)</f>
        <v/>
      </c>
      <c r="H2573" s="79">
        <f>IF('Ordenes_Odoo'!H2573="","",'Ordenes_Odoo'!H2573)</f>
        <v/>
      </c>
      <c r="I2573" s="79">
        <f>IF('Ordenes_Odoo'!I2573="","",'Ordenes_Odoo'!I2573)</f>
        <v/>
      </c>
      <c r="J2573" s="79">
        <f>IF('Ordenes_Odoo'!J2573="","",'Ordenes_Odoo'!J2573)</f>
        <v/>
      </c>
      <c r="K2573" s="81">
        <f>IF('Ordenes_Odoo'!K2573="","",'Ordenes_Odoo'!K2573)</f>
        <v/>
      </c>
      <c r="L2573" s="81">
        <f>IF('Ordenes_Odoo'!L2573="","",'Ordenes_Odoo'!L2573)</f>
        <v/>
      </c>
      <c r="M2573" s="79">
        <f>IF('Ordenes_Odoo'!M2573="","",'Ordenes_Odoo'!M2573)</f>
        <v/>
      </c>
      <c r="N2573" s="79">
        <f>IF('Ordenes_Odoo'!N2573="","",'Ordenes_Odoo'!N2573)</f>
        <v/>
      </c>
      <c r="O2573" s="81">
        <f>IF('Ordenes_Odoo'!O2573="","",'Ordenes_Odoo'!O2573)</f>
        <v/>
      </c>
      <c r="P2573" s="81">
        <f>IF('Ordenes_Odoo'!P2573="","",'Ordenes_Odoo'!P2573)</f>
        <v/>
      </c>
      <c r="Q2573" s="79">
        <f>IF(A2573="","",IFERROR(INDEX(Facturas_Odoo!$B:$B, MATCH(A2573, Facturas_Odoo!$D:$D, 0)), "Sin Factura"))</f>
        <v/>
      </c>
      <c r="R2573" s="80">
        <f>IF(Q2573="Sin Factura","",IFERROR(INDEX(Facturas_Odoo!$A:$A, MATCH(Q2573, Facturas_Odoo!$B:$B, 0)), ""))</f>
        <v/>
      </c>
      <c r="S2573" s="79">
        <f>IF(Q2573="Sin Factura","",IFERROR(_xlfn.XLOOKUP(1, (Facturas_Odoo!$D:$D=A2573) * (Facturas_Odoo!$K:$K=I2573), Facturas_Odoo!$L:$L, ""), ""))</f>
        <v/>
      </c>
      <c r="T2573" s="81">
        <f>IF(Q2573="Sin Factura",0,IFERROR(_xlfn.XLOOKUP(1, (Facturas_Odoo!$D:$D=A2573) * (Facturas_Odoo!$K:$K=I2573), Facturas_Odoo!$M:$M, 0), 0))</f>
        <v/>
      </c>
      <c r="U2573" s="79">
        <f>IF(Q2573="Sin Factura",0,IFERROR(_xlfn.XLOOKUP(1, (Facturas_Odoo!$D:$D=A2573) * (Facturas_Odoo!$K:$K=I2573), Facturas_Odoo!$N:$N, 0), 0))</f>
        <v/>
      </c>
      <c r="V2573" s="79">
        <f>IF(Q2573="Sin Factura",0,IFERROR(_xlfn.XLOOKUP(1, (Facturas_Odoo!$D:$D=A2573) * (Facturas_Odoo!$K:$K=I2573), Facturas_Odoo!$O:$O, 0), 0))</f>
        <v/>
      </c>
      <c r="W2573" s="81">
        <f>IF(Q2573="Sin Factura",0,IFERROR(_xlfn.XLOOKUP(1, (Facturas_Odoo!$D:$D=A2573) * (Facturas_Odoo!$K:$K=I2573), Facturas_Odoo!$Q:$Q, 0), 0))</f>
        <v/>
      </c>
      <c r="X2573" s="79">
        <f>IF(OR(Q2573="Sin Factura",Q2573=""),"",IFERROR(INDEX(Pagos_Odoo!$B:$B, MATCH(Q2573, Pagos_Odoo!$I:$I, 0)), "Sin Pago"))</f>
        <v/>
      </c>
      <c r="Y2573" s="79">
        <f>IF(X2573="Sin Pago","",IFERROR(INDEX(Pagos_Odoo!$C:$C, MATCH(X2573, Pagos_Odoo!$B:$B, 0)), ""))</f>
        <v/>
      </c>
      <c r="Z2573" s="80">
        <f>IF(X2573="Sin Pago","",IFERROR(INDEX(Pagos_Odoo!$A:$A, MATCH(X2573, Pagos_Odoo!$B:$B, 0)), ""))</f>
        <v/>
      </c>
      <c r="AA2573" s="79">
        <f>IF(X2573="Sin Pago","",IFERROR(INDEX(Pagos_Odoo!$F:$F, MATCH(X2573, Pagos_Odoo!$B:$B, 0)), ""))</f>
        <v/>
      </c>
      <c r="AB2573" s="81">
        <f>IF(X2573="Sin Pago",0,IFERROR(INDEX(Pagos_Odoo!$E:$E, MATCH(X2573, Pagos_Odoo!$B:$B, 0)), 0))</f>
        <v/>
      </c>
      <c r="AC2573" s="79">
        <f>IF(X2573="Sin Pago","",IFERROR(INDEX(Pagos_Odoo!$G:$G, MATCH(X2573, Pagos_Odoo!$B:$B, 0)), ""))</f>
        <v/>
      </c>
      <c r="AD2573" s="82" t="n">
        <v>0</v>
      </c>
      <c r="AE2573" s="82" t="n"/>
      <c r="AF2573" s="82" t="n"/>
      <c r="AG2573" s="82">
        <f>IF(AN2573="","",AD2573+AE2573+AF2573)</f>
        <v/>
      </c>
      <c r="AH2573" s="81">
        <f>IF(AN2573="","",P2573*(1-AG2573))</f>
        <v/>
      </c>
      <c r="AI2573" s="81">
        <f>IF(AN2573="","",IF(Q2573="Sin Factura",0,IFERROR(INDEX(Facturas_Odoo!$H:$H, MATCH(Q2573, Facturas_Odoo!$B:$B, 0)), 0)*(1-AG2573)))</f>
        <v/>
      </c>
      <c r="AJ2573" s="81">
        <f>IF(AN2573="","",_xlfn.LET(idVenta, AN2573&amp;"",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73" s="81">
        <f>IF(AN2573="","",AH2573-AJ2573)</f>
        <v/>
      </c>
      <c r="AL2573" s="81">
        <f>IF(AN2573="","",IF(Q2573="Sin Factura","",AI2573-AJ2573))</f>
        <v/>
      </c>
      <c r="AM2573" s="81">
        <f>IF(AN2573="","",IF(Q2573="Sin Factura",0,P2573-IFERROR(INDEX(Facturas_Odoo!$H:$H, MATCH(Q2573, Facturas_Odoo!$B:$B, 0)), 0)))</f>
        <v/>
      </c>
      <c r="AN2573" s="79">
        <f>IF(AND(A2573="", J2573=""), "", IF(A2573&lt;&gt;"", VALUE(MID(A2573,2,LEN(A2573))), AN2572))</f>
        <v/>
      </c>
      <c r="AO2573" s="79">
        <f>IF(AN2573="","",IF(AD2573=0,"OK",_xlfn.LET(monedaPago, IF(AA2573="","USD",AA2573), limitePermitido, IFERROR(VLOOKUP(monedaPago, Configuración!$A$2:$B$3, 2, FALSE), 0.15), IF(AD2573&gt;limitePermitido, "ALERTA: EXCESO (" &amp; TEXT(limitePermitido, "0%") &amp; " máx)", "OK"))))</f>
        <v/>
      </c>
      <c r="AP2573" s="79">
        <f>IF(AN2573="","",IF(AE2573=0,"OK",_xlfn.LET(fechaPago, Z2573, fechaFactura, R2573, diasCredito, IF(E2573="Pago inmediato", 0, IFERROR(VALUE(MID(E2573, 1, SEARCH(" ", E2573)-1)),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73" s="79">
        <f>IF(AN2573="","",IF(AND(N2573&gt;0, AG2573&gt;0), IF(Configuración!$K$2="NO", "ALERTA: DESCUENTO DOBLE NO PERMITIDO", "OK"), "OK"))</f>
        <v/>
      </c>
      <c r="AR2573" s="79">
        <f>IF(AN2573="","",IF(OR(AO2573&lt;&gt;"OK", AP2573&lt;&gt;"OK", AQ2573&lt;&gt;"OK"), "⚠️ REVISAR", "OK"))</f>
        <v/>
      </c>
    </row>
    <row r="2574">
      <c r="A2574" s="79">
        <f>IF('Ordenes_Odoo'!A2574="","",'Ordenes_Odoo'!A2574)</f>
        <v/>
      </c>
      <c r="B2574" s="80">
        <f>IF('Ordenes_Odoo'!B2574="","",'Ordenes_Odoo'!B2574)</f>
        <v/>
      </c>
      <c r="C2574" s="79">
        <f>IF('Ordenes_Odoo'!C2574="","",'Ordenes_Odoo'!C2574)</f>
        <v/>
      </c>
      <c r="D2574" s="79">
        <f>IF('Ordenes_Odoo'!D2574="","",'Ordenes_Odoo'!D2574)</f>
        <v/>
      </c>
      <c r="E2574" s="79">
        <f>IF('Ordenes_Odoo'!E2574="","",'Ordenes_Odoo'!E2574)</f>
        <v/>
      </c>
      <c r="F2574" s="79">
        <f>IF('Ordenes_Odoo'!F2574="","",'Ordenes_Odoo'!F2574)</f>
        <v/>
      </c>
      <c r="G2574" s="79">
        <f>IF('Ordenes_Odoo'!G2574="","",'Ordenes_Odoo'!G2574)</f>
        <v/>
      </c>
      <c r="H2574" s="79">
        <f>IF('Ordenes_Odoo'!H2574="","",'Ordenes_Odoo'!H2574)</f>
        <v/>
      </c>
      <c r="I2574" s="79">
        <f>IF('Ordenes_Odoo'!I2574="","",'Ordenes_Odoo'!I2574)</f>
        <v/>
      </c>
      <c r="J2574" s="79">
        <f>IF('Ordenes_Odoo'!J2574="","",'Ordenes_Odoo'!J2574)</f>
        <v/>
      </c>
      <c r="K2574" s="81">
        <f>IF('Ordenes_Odoo'!K2574="","",'Ordenes_Odoo'!K2574)</f>
        <v/>
      </c>
      <c r="L2574" s="81">
        <f>IF('Ordenes_Odoo'!L2574="","",'Ordenes_Odoo'!L2574)</f>
        <v/>
      </c>
      <c r="M2574" s="79">
        <f>IF('Ordenes_Odoo'!M2574="","",'Ordenes_Odoo'!M2574)</f>
        <v/>
      </c>
      <c r="N2574" s="79">
        <f>IF('Ordenes_Odoo'!N2574="","",'Ordenes_Odoo'!N2574)</f>
        <v/>
      </c>
      <c r="O2574" s="81">
        <f>IF('Ordenes_Odoo'!O2574="","",'Ordenes_Odoo'!O2574)</f>
        <v/>
      </c>
      <c r="P2574" s="81">
        <f>IF('Ordenes_Odoo'!P2574="","",'Ordenes_Odoo'!P2574)</f>
        <v/>
      </c>
      <c r="Q2574" s="79">
        <f>IF(A2574="","",IFERROR(INDEX(Facturas_Odoo!$B:$B, MATCH(A2574, Facturas_Odoo!$D:$D, 0)), "Sin Factura"))</f>
        <v/>
      </c>
      <c r="R2574" s="80">
        <f>IF(Q2574="Sin Factura","",IFERROR(INDEX(Facturas_Odoo!$A:$A, MATCH(Q2574, Facturas_Odoo!$B:$B, 0)), ""))</f>
        <v/>
      </c>
      <c r="S2574" s="79">
        <f>IF(Q2574="Sin Factura","",IFERROR(_xlfn.XLOOKUP(1, (Facturas_Odoo!$D:$D=A2574) * (Facturas_Odoo!$K:$K=I2574), Facturas_Odoo!$L:$L, ""), ""))</f>
        <v/>
      </c>
      <c r="T2574" s="81">
        <f>IF(Q2574="Sin Factura",0,IFERROR(_xlfn.XLOOKUP(1, (Facturas_Odoo!$D:$D=A2574) * (Facturas_Odoo!$K:$K=I2574), Facturas_Odoo!$M:$M, 0), 0))</f>
        <v/>
      </c>
      <c r="U2574" s="79">
        <f>IF(Q2574="Sin Factura",0,IFERROR(_xlfn.XLOOKUP(1, (Facturas_Odoo!$D:$D=A2574) * (Facturas_Odoo!$K:$K=I2574), Facturas_Odoo!$N:$N, 0), 0))</f>
        <v/>
      </c>
      <c r="V2574" s="79">
        <f>IF(Q2574="Sin Factura",0,IFERROR(_xlfn.XLOOKUP(1, (Facturas_Odoo!$D:$D=A2574) * (Facturas_Odoo!$K:$K=I2574), Facturas_Odoo!$O:$O, 0), 0))</f>
        <v/>
      </c>
      <c r="W2574" s="81">
        <f>IF(Q2574="Sin Factura",0,IFERROR(_xlfn.XLOOKUP(1, (Facturas_Odoo!$D:$D=A2574) * (Facturas_Odoo!$K:$K=I2574), Facturas_Odoo!$Q:$Q, 0), 0))</f>
        <v/>
      </c>
      <c r="X2574" s="79">
        <f>IF(OR(Q2574="Sin Factura",Q2574=""),"",IFERROR(INDEX(Pagos_Odoo!$B:$B, MATCH(Q2574, Pagos_Odoo!$I:$I, 0)), "Sin Pago"))</f>
        <v/>
      </c>
      <c r="Y2574" s="79">
        <f>IF(X2574="Sin Pago","",IFERROR(INDEX(Pagos_Odoo!$C:$C, MATCH(X2574, Pagos_Odoo!$B:$B, 0)), ""))</f>
        <v/>
      </c>
      <c r="Z2574" s="80">
        <f>IF(X2574="Sin Pago","",IFERROR(INDEX(Pagos_Odoo!$A:$A, MATCH(X2574, Pagos_Odoo!$B:$B, 0)), ""))</f>
        <v/>
      </c>
      <c r="AA2574" s="79">
        <f>IF(X2574="Sin Pago","",IFERROR(INDEX(Pagos_Odoo!$F:$F, MATCH(X2574, Pagos_Odoo!$B:$B, 0)), ""))</f>
        <v/>
      </c>
      <c r="AB2574" s="81">
        <f>IF(X2574="Sin Pago",0,IFERROR(INDEX(Pagos_Odoo!$E:$E, MATCH(X2574, Pagos_Odoo!$B:$B, 0)), 0))</f>
        <v/>
      </c>
      <c r="AC2574" s="79">
        <f>IF(X2574="Sin Pago","",IFERROR(INDEX(Pagos_Odoo!$G:$G, MATCH(X2574, Pagos_Odoo!$B:$B, 0)), ""))</f>
        <v/>
      </c>
      <c r="AD2574" s="82" t="n">
        <v>0</v>
      </c>
      <c r="AE2574" s="82" t="n"/>
      <c r="AF2574" s="82" t="n"/>
      <c r="AG2574" s="82">
        <f>IF(AN2574="","",AD2574+AE2574+AF2574)</f>
        <v/>
      </c>
      <c r="AH2574" s="81">
        <f>IF(AN2574="","",P2574*(1-AG2574))</f>
        <v/>
      </c>
      <c r="AI2574" s="81">
        <f>IF(AN2574="","",IF(Q2574="Sin Factura",0,IFERROR(INDEX(Facturas_Odoo!$H:$H, MATCH(Q2574, Facturas_Odoo!$B:$B, 0)), 0)*(1-AG2574)))</f>
        <v/>
      </c>
      <c r="AJ2574" s="81">
        <f>IF(AN2574="","",_xlfn.LET(idVenta, AN2574&amp;"",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74" s="81">
        <f>IF(AN2574="","",AH2574-AJ2574)</f>
        <v/>
      </c>
      <c r="AL2574" s="81">
        <f>IF(AN2574="","",IF(Q2574="Sin Factura","",AI2574-AJ2574))</f>
        <v/>
      </c>
      <c r="AM2574" s="81">
        <f>IF(AN2574="","",IF(Q2574="Sin Factura",0,P2574-IFERROR(INDEX(Facturas_Odoo!$H:$H, MATCH(Q2574, Facturas_Odoo!$B:$B, 0)), 0)))</f>
        <v/>
      </c>
      <c r="AN2574" s="79">
        <f>IF(AND(A2574="", J2574=""), "", IF(A2574&lt;&gt;"", VALUE(MID(A2574,2,LEN(A2574))), AN2573))</f>
        <v/>
      </c>
      <c r="AO2574" s="79">
        <f>IF(AN2574="","",IF(AD2574=0,"OK",_xlfn.LET(monedaPago, IF(AA2574="","USD",AA2574), limitePermitido, IFERROR(VLOOKUP(monedaPago, Configuración!$A$2:$B$3, 2, FALSE), 0.15), IF(AD2574&gt;limitePermitido, "ALERTA: EXCESO (" &amp; TEXT(limitePermitido, "0%") &amp; " máx)", "OK"))))</f>
        <v/>
      </c>
      <c r="AP2574" s="79">
        <f>IF(AN2574="","",IF(AE2574=0,"OK",_xlfn.LET(fechaPago, Z2574, fechaFactura, R2574, diasCredito, IF(E2574="Pago inmediato", 0, IFERROR(VALUE(MID(E2574, 1, SEARCH(" ", E2574)-1)),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74" s="79">
        <f>IF(AN2574="","",IF(AND(N2574&gt;0, AG2574&gt;0), IF(Configuración!$K$2="NO", "ALERTA: DESCUENTO DOBLE NO PERMITIDO", "OK"), "OK"))</f>
        <v/>
      </c>
      <c r="AR2574" s="79">
        <f>IF(AN2574="","",IF(OR(AO2574&lt;&gt;"OK", AP2574&lt;&gt;"OK", AQ2574&lt;&gt;"OK"), "⚠️ REVISAR", "OK"))</f>
        <v/>
      </c>
    </row>
    <row r="2575">
      <c r="A2575" s="79">
        <f>IF('Ordenes_Odoo'!A2575="","",'Ordenes_Odoo'!A2575)</f>
        <v/>
      </c>
      <c r="B2575" s="80">
        <f>IF('Ordenes_Odoo'!B2575="","",'Ordenes_Odoo'!B2575)</f>
        <v/>
      </c>
      <c r="C2575" s="79">
        <f>IF('Ordenes_Odoo'!C2575="","",'Ordenes_Odoo'!C2575)</f>
        <v/>
      </c>
      <c r="D2575" s="79">
        <f>IF('Ordenes_Odoo'!D2575="","",'Ordenes_Odoo'!D2575)</f>
        <v/>
      </c>
      <c r="E2575" s="79">
        <f>IF('Ordenes_Odoo'!E2575="","",'Ordenes_Odoo'!E2575)</f>
        <v/>
      </c>
      <c r="F2575" s="79">
        <f>IF('Ordenes_Odoo'!F2575="","",'Ordenes_Odoo'!F2575)</f>
        <v/>
      </c>
      <c r="G2575" s="79">
        <f>IF('Ordenes_Odoo'!G2575="","",'Ordenes_Odoo'!G2575)</f>
        <v/>
      </c>
      <c r="H2575" s="79">
        <f>IF('Ordenes_Odoo'!H2575="","",'Ordenes_Odoo'!H2575)</f>
        <v/>
      </c>
      <c r="I2575" s="79">
        <f>IF('Ordenes_Odoo'!I2575="","",'Ordenes_Odoo'!I2575)</f>
        <v/>
      </c>
      <c r="J2575" s="79">
        <f>IF('Ordenes_Odoo'!J2575="","",'Ordenes_Odoo'!J2575)</f>
        <v/>
      </c>
      <c r="K2575" s="81">
        <f>IF('Ordenes_Odoo'!K2575="","",'Ordenes_Odoo'!K2575)</f>
        <v/>
      </c>
      <c r="L2575" s="81">
        <f>IF('Ordenes_Odoo'!L2575="","",'Ordenes_Odoo'!L2575)</f>
        <v/>
      </c>
      <c r="M2575" s="79">
        <f>IF('Ordenes_Odoo'!M2575="","",'Ordenes_Odoo'!M2575)</f>
        <v/>
      </c>
      <c r="N2575" s="79">
        <f>IF('Ordenes_Odoo'!N2575="","",'Ordenes_Odoo'!N2575)</f>
        <v/>
      </c>
      <c r="O2575" s="81">
        <f>IF('Ordenes_Odoo'!O2575="","",'Ordenes_Odoo'!O2575)</f>
        <v/>
      </c>
      <c r="P2575" s="81">
        <f>IF('Ordenes_Odoo'!P2575="","",'Ordenes_Odoo'!P2575)</f>
        <v/>
      </c>
      <c r="Q2575" s="79">
        <f>IF(A2575="","",IFERROR(INDEX(Facturas_Odoo!$B:$B, MATCH(A2575, Facturas_Odoo!$D:$D, 0)), "Sin Factura"))</f>
        <v/>
      </c>
      <c r="R2575" s="80">
        <f>IF(Q2575="Sin Factura","",IFERROR(INDEX(Facturas_Odoo!$A:$A, MATCH(Q2575, Facturas_Odoo!$B:$B, 0)), ""))</f>
        <v/>
      </c>
      <c r="S2575" s="79">
        <f>IF(Q2575="Sin Factura","",IFERROR(_xlfn.XLOOKUP(1, (Facturas_Odoo!$D:$D=A2575) * (Facturas_Odoo!$K:$K=I2575), Facturas_Odoo!$L:$L, ""), ""))</f>
        <v/>
      </c>
      <c r="T2575" s="81">
        <f>IF(Q2575="Sin Factura",0,IFERROR(_xlfn.XLOOKUP(1, (Facturas_Odoo!$D:$D=A2575) * (Facturas_Odoo!$K:$K=I2575), Facturas_Odoo!$M:$M, 0), 0))</f>
        <v/>
      </c>
      <c r="U2575" s="79">
        <f>IF(Q2575="Sin Factura",0,IFERROR(_xlfn.XLOOKUP(1, (Facturas_Odoo!$D:$D=A2575) * (Facturas_Odoo!$K:$K=I2575), Facturas_Odoo!$N:$N, 0), 0))</f>
        <v/>
      </c>
      <c r="V2575" s="79">
        <f>IF(Q2575="Sin Factura",0,IFERROR(_xlfn.XLOOKUP(1, (Facturas_Odoo!$D:$D=A2575) * (Facturas_Odoo!$K:$K=I2575), Facturas_Odoo!$O:$O, 0), 0))</f>
        <v/>
      </c>
      <c r="W2575" s="81">
        <f>IF(Q2575="Sin Factura",0,IFERROR(_xlfn.XLOOKUP(1, (Facturas_Odoo!$D:$D=A2575) * (Facturas_Odoo!$K:$K=I2575), Facturas_Odoo!$Q:$Q, 0), 0))</f>
        <v/>
      </c>
      <c r="X2575" s="79">
        <f>IF(OR(Q2575="Sin Factura",Q2575=""),"",IFERROR(INDEX(Pagos_Odoo!$B:$B, MATCH(Q2575, Pagos_Odoo!$I:$I, 0)), "Sin Pago"))</f>
        <v/>
      </c>
      <c r="Y2575" s="79">
        <f>IF(X2575="Sin Pago","",IFERROR(INDEX(Pagos_Odoo!$C:$C, MATCH(X2575, Pagos_Odoo!$B:$B, 0)), ""))</f>
        <v/>
      </c>
      <c r="Z2575" s="80">
        <f>IF(X2575="Sin Pago","",IFERROR(INDEX(Pagos_Odoo!$A:$A, MATCH(X2575, Pagos_Odoo!$B:$B, 0)), ""))</f>
        <v/>
      </c>
      <c r="AA2575" s="79">
        <f>IF(X2575="Sin Pago","",IFERROR(INDEX(Pagos_Odoo!$F:$F, MATCH(X2575, Pagos_Odoo!$B:$B, 0)), ""))</f>
        <v/>
      </c>
      <c r="AB2575" s="81">
        <f>IF(X2575="Sin Pago",0,IFERROR(INDEX(Pagos_Odoo!$E:$E, MATCH(X2575, Pagos_Odoo!$B:$B, 0)), 0))</f>
        <v/>
      </c>
      <c r="AC2575" s="79">
        <f>IF(X2575="Sin Pago","",IFERROR(INDEX(Pagos_Odoo!$G:$G, MATCH(X2575, Pagos_Odoo!$B:$B, 0)), ""))</f>
        <v/>
      </c>
      <c r="AD2575" s="82" t="n">
        <v>0</v>
      </c>
      <c r="AE2575" s="82" t="n"/>
      <c r="AF2575" s="82" t="n"/>
      <c r="AG2575" s="82">
        <f>IF(AN2575="","",AD2575+AE2575+AF2575)</f>
        <v/>
      </c>
      <c r="AH2575" s="81">
        <f>IF(AN2575="","",P2575*(1-AG2575))</f>
        <v/>
      </c>
      <c r="AI2575" s="81">
        <f>IF(AN2575="","",IF(Q2575="Sin Factura",0,IFERROR(INDEX(Facturas_Odoo!$H:$H, MATCH(Q2575, Facturas_Odoo!$B:$B, 0)), 0)*(1-AG2575)))</f>
        <v/>
      </c>
      <c r="AJ2575" s="81">
        <f>IF(AN2575="","",_xlfn.LET(idVenta, AN2575&amp;"",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75" s="81">
        <f>IF(AN2575="","",AH2575-AJ2575)</f>
        <v/>
      </c>
      <c r="AL2575" s="81">
        <f>IF(AN2575="","",IF(Q2575="Sin Factura","",AI2575-AJ2575))</f>
        <v/>
      </c>
      <c r="AM2575" s="81">
        <f>IF(AN2575="","",IF(Q2575="Sin Factura",0,P2575-IFERROR(INDEX(Facturas_Odoo!$H:$H, MATCH(Q2575, Facturas_Odoo!$B:$B, 0)), 0)))</f>
        <v/>
      </c>
      <c r="AN2575" s="79">
        <f>IF(AND(A2575="", J2575=""), "", IF(A2575&lt;&gt;"", VALUE(MID(A2575,2,LEN(A2575))), AN2574))</f>
        <v/>
      </c>
      <c r="AO2575" s="79">
        <f>IF(AN2575="","",IF(AD2575=0,"OK",_xlfn.LET(monedaPago, IF(AA2575="","USD",AA2575), limitePermitido, IFERROR(VLOOKUP(monedaPago, Configuración!$A$2:$B$3, 2, FALSE), 0.15), IF(AD2575&gt;limitePermitido, "ALERTA: EXCESO (" &amp; TEXT(limitePermitido, "0%") &amp; " máx)", "OK"))))</f>
        <v/>
      </c>
      <c r="AP2575" s="79">
        <f>IF(AN2575="","",IF(AE2575=0,"OK",_xlfn.LET(fechaPago, Z2575, fechaFactura, R2575, diasCredito, IF(E2575="Pago inmediato", 0, IFERROR(VALUE(MID(E2575, 1, SEARCH(" ", E2575)-1)),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75" s="79">
        <f>IF(AN2575="","",IF(AND(N2575&gt;0, AG2575&gt;0), IF(Configuración!$K$2="NO", "ALERTA: DESCUENTO DOBLE NO PERMITIDO", "OK"), "OK"))</f>
        <v/>
      </c>
      <c r="AR2575" s="79">
        <f>IF(AN2575="","",IF(OR(AO2575&lt;&gt;"OK", AP2575&lt;&gt;"OK", AQ2575&lt;&gt;"OK"), "⚠️ REVISAR", "OK"))</f>
        <v/>
      </c>
    </row>
    <row r="2576">
      <c r="A2576" s="79">
        <f>IF('Ordenes_Odoo'!A2576="","",'Ordenes_Odoo'!A2576)</f>
        <v/>
      </c>
      <c r="B2576" s="80">
        <f>IF('Ordenes_Odoo'!B2576="","",'Ordenes_Odoo'!B2576)</f>
        <v/>
      </c>
      <c r="C2576" s="79">
        <f>IF('Ordenes_Odoo'!C2576="","",'Ordenes_Odoo'!C2576)</f>
        <v/>
      </c>
      <c r="D2576" s="79">
        <f>IF('Ordenes_Odoo'!D2576="","",'Ordenes_Odoo'!D2576)</f>
        <v/>
      </c>
      <c r="E2576" s="79">
        <f>IF('Ordenes_Odoo'!E2576="","",'Ordenes_Odoo'!E2576)</f>
        <v/>
      </c>
      <c r="F2576" s="79">
        <f>IF('Ordenes_Odoo'!F2576="","",'Ordenes_Odoo'!F2576)</f>
        <v/>
      </c>
      <c r="G2576" s="79">
        <f>IF('Ordenes_Odoo'!G2576="","",'Ordenes_Odoo'!G2576)</f>
        <v/>
      </c>
      <c r="H2576" s="79">
        <f>IF('Ordenes_Odoo'!H2576="","",'Ordenes_Odoo'!H2576)</f>
        <v/>
      </c>
      <c r="I2576" s="79">
        <f>IF('Ordenes_Odoo'!I2576="","",'Ordenes_Odoo'!I2576)</f>
        <v/>
      </c>
      <c r="J2576" s="79">
        <f>IF('Ordenes_Odoo'!J2576="","",'Ordenes_Odoo'!J2576)</f>
        <v/>
      </c>
      <c r="K2576" s="81">
        <f>IF('Ordenes_Odoo'!K2576="","",'Ordenes_Odoo'!K2576)</f>
        <v/>
      </c>
      <c r="L2576" s="81">
        <f>IF('Ordenes_Odoo'!L2576="","",'Ordenes_Odoo'!L2576)</f>
        <v/>
      </c>
      <c r="M2576" s="79">
        <f>IF('Ordenes_Odoo'!M2576="","",'Ordenes_Odoo'!M2576)</f>
        <v/>
      </c>
      <c r="N2576" s="79">
        <f>IF('Ordenes_Odoo'!N2576="","",'Ordenes_Odoo'!N2576)</f>
        <v/>
      </c>
      <c r="O2576" s="81">
        <f>IF('Ordenes_Odoo'!O2576="","",'Ordenes_Odoo'!O2576)</f>
        <v/>
      </c>
      <c r="P2576" s="81">
        <f>IF('Ordenes_Odoo'!P2576="","",'Ordenes_Odoo'!P2576)</f>
        <v/>
      </c>
      <c r="Q2576" s="79">
        <f>IF(A2576="","",IFERROR(INDEX(Facturas_Odoo!$B:$B, MATCH(A2576, Facturas_Odoo!$D:$D, 0)), "Sin Factura"))</f>
        <v/>
      </c>
      <c r="R2576" s="80">
        <f>IF(Q2576="Sin Factura","",IFERROR(INDEX(Facturas_Odoo!$A:$A, MATCH(Q2576, Facturas_Odoo!$B:$B, 0)), ""))</f>
        <v/>
      </c>
      <c r="S2576" s="79">
        <f>IF(Q2576="Sin Factura","",IFERROR(_xlfn.XLOOKUP(1, (Facturas_Odoo!$D:$D=A2576) * (Facturas_Odoo!$K:$K=I2576), Facturas_Odoo!$L:$L, ""), ""))</f>
        <v/>
      </c>
      <c r="T2576" s="81">
        <f>IF(Q2576="Sin Factura",0,IFERROR(_xlfn.XLOOKUP(1, (Facturas_Odoo!$D:$D=A2576) * (Facturas_Odoo!$K:$K=I2576), Facturas_Odoo!$M:$M, 0), 0))</f>
        <v/>
      </c>
      <c r="U2576" s="79">
        <f>IF(Q2576="Sin Factura",0,IFERROR(_xlfn.XLOOKUP(1, (Facturas_Odoo!$D:$D=A2576) * (Facturas_Odoo!$K:$K=I2576), Facturas_Odoo!$N:$N, 0), 0))</f>
        <v/>
      </c>
      <c r="V2576" s="79">
        <f>IF(Q2576="Sin Factura",0,IFERROR(_xlfn.XLOOKUP(1, (Facturas_Odoo!$D:$D=A2576) * (Facturas_Odoo!$K:$K=I2576), Facturas_Odoo!$O:$O, 0), 0))</f>
        <v/>
      </c>
      <c r="W2576" s="81">
        <f>IF(Q2576="Sin Factura",0,IFERROR(_xlfn.XLOOKUP(1, (Facturas_Odoo!$D:$D=A2576) * (Facturas_Odoo!$K:$K=I2576), Facturas_Odoo!$Q:$Q, 0), 0))</f>
        <v/>
      </c>
      <c r="X2576" s="79">
        <f>IF(OR(Q2576="Sin Factura",Q2576=""),"",IFERROR(INDEX(Pagos_Odoo!$B:$B, MATCH(Q2576, Pagos_Odoo!$I:$I, 0)), "Sin Pago"))</f>
        <v/>
      </c>
      <c r="Y2576" s="79">
        <f>IF(X2576="Sin Pago","",IFERROR(INDEX(Pagos_Odoo!$C:$C, MATCH(X2576, Pagos_Odoo!$B:$B, 0)), ""))</f>
        <v/>
      </c>
      <c r="Z2576" s="80">
        <f>IF(X2576="Sin Pago","",IFERROR(INDEX(Pagos_Odoo!$A:$A, MATCH(X2576, Pagos_Odoo!$B:$B, 0)), ""))</f>
        <v/>
      </c>
      <c r="AA2576" s="79">
        <f>IF(X2576="Sin Pago","",IFERROR(INDEX(Pagos_Odoo!$F:$F, MATCH(X2576, Pagos_Odoo!$B:$B, 0)), ""))</f>
        <v/>
      </c>
      <c r="AB2576" s="81">
        <f>IF(X2576="Sin Pago",0,IFERROR(INDEX(Pagos_Odoo!$E:$E, MATCH(X2576, Pagos_Odoo!$B:$B, 0)), 0))</f>
        <v/>
      </c>
      <c r="AC2576" s="79">
        <f>IF(X2576="Sin Pago","",IFERROR(INDEX(Pagos_Odoo!$G:$G, MATCH(X2576, Pagos_Odoo!$B:$B, 0)), ""))</f>
        <v/>
      </c>
      <c r="AD2576" s="82" t="n">
        <v>0</v>
      </c>
      <c r="AE2576" s="82" t="n"/>
      <c r="AF2576" s="82" t="n"/>
      <c r="AG2576" s="82">
        <f>IF(AN2576="","",AD2576+AE2576+AF2576)</f>
        <v/>
      </c>
      <c r="AH2576" s="81">
        <f>IF(AN2576="","",P2576*(1-AG2576))</f>
        <v/>
      </c>
      <c r="AI2576" s="81">
        <f>IF(AN2576="","",IF(Q2576="Sin Factura",0,IFERROR(INDEX(Facturas_Odoo!$H:$H, MATCH(Q2576, Facturas_Odoo!$B:$B, 0)), 0)*(1-AG2576)))</f>
        <v/>
      </c>
      <c r="AJ2576" s="81">
        <f>IF(AN2576="","",_xlfn.LET(idVenta, AN2576&amp;"",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76" s="81">
        <f>IF(AN2576="","",AH2576-AJ2576)</f>
        <v/>
      </c>
      <c r="AL2576" s="81">
        <f>IF(AN2576="","",IF(Q2576="Sin Factura","",AI2576-AJ2576))</f>
        <v/>
      </c>
      <c r="AM2576" s="81">
        <f>IF(AN2576="","",IF(Q2576="Sin Factura",0,P2576-IFERROR(INDEX(Facturas_Odoo!$H:$H, MATCH(Q2576, Facturas_Odoo!$B:$B, 0)), 0)))</f>
        <v/>
      </c>
      <c r="AN2576" s="79">
        <f>IF(AND(A2576="", J2576=""), "", IF(A2576&lt;&gt;"", VALUE(MID(A2576,2,LEN(A2576))), AN2575))</f>
        <v/>
      </c>
      <c r="AO2576" s="79">
        <f>IF(AN2576="","",IF(AD2576=0,"OK",_xlfn.LET(monedaPago, IF(AA2576="","USD",AA2576), limitePermitido, IFERROR(VLOOKUP(monedaPago, Configuración!$A$2:$B$3, 2, FALSE), 0.15), IF(AD2576&gt;limitePermitido, "ALERTA: EXCESO (" &amp; TEXT(limitePermitido, "0%") &amp; " máx)", "OK"))))</f>
        <v/>
      </c>
      <c r="AP2576" s="79">
        <f>IF(AN2576="","",IF(AE2576=0,"OK",_xlfn.LET(fechaPago, Z2576, fechaFactura, R2576, diasCredito, IF(E2576="Pago inmediato", 0, IFERROR(VALUE(MID(E2576, 1, SEARCH(" ", E2576)-1)),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76" s="79">
        <f>IF(AN2576="","",IF(AND(N2576&gt;0, AG2576&gt;0), IF(Configuración!$K$2="NO", "ALERTA: DESCUENTO DOBLE NO PERMITIDO", "OK"), "OK"))</f>
        <v/>
      </c>
      <c r="AR2576" s="79">
        <f>IF(AN2576="","",IF(OR(AO2576&lt;&gt;"OK", AP2576&lt;&gt;"OK", AQ2576&lt;&gt;"OK"), "⚠️ REVISAR", "OK"))</f>
        <v/>
      </c>
    </row>
    <row r="2577">
      <c r="A2577" s="79">
        <f>IF('Ordenes_Odoo'!A2577="","",'Ordenes_Odoo'!A2577)</f>
        <v/>
      </c>
      <c r="B2577" s="80">
        <f>IF('Ordenes_Odoo'!B2577="","",'Ordenes_Odoo'!B2577)</f>
        <v/>
      </c>
      <c r="C2577" s="79">
        <f>IF('Ordenes_Odoo'!C2577="","",'Ordenes_Odoo'!C2577)</f>
        <v/>
      </c>
      <c r="D2577" s="79">
        <f>IF('Ordenes_Odoo'!D2577="","",'Ordenes_Odoo'!D2577)</f>
        <v/>
      </c>
      <c r="E2577" s="79">
        <f>IF('Ordenes_Odoo'!E2577="","",'Ordenes_Odoo'!E2577)</f>
        <v/>
      </c>
      <c r="F2577" s="79">
        <f>IF('Ordenes_Odoo'!F2577="","",'Ordenes_Odoo'!F2577)</f>
        <v/>
      </c>
      <c r="G2577" s="79">
        <f>IF('Ordenes_Odoo'!G2577="","",'Ordenes_Odoo'!G2577)</f>
        <v/>
      </c>
      <c r="H2577" s="79">
        <f>IF('Ordenes_Odoo'!H2577="","",'Ordenes_Odoo'!H2577)</f>
        <v/>
      </c>
      <c r="I2577" s="79">
        <f>IF('Ordenes_Odoo'!I2577="","",'Ordenes_Odoo'!I2577)</f>
        <v/>
      </c>
      <c r="J2577" s="79">
        <f>IF('Ordenes_Odoo'!J2577="","",'Ordenes_Odoo'!J2577)</f>
        <v/>
      </c>
      <c r="K2577" s="81">
        <f>IF('Ordenes_Odoo'!K2577="","",'Ordenes_Odoo'!K2577)</f>
        <v/>
      </c>
      <c r="L2577" s="81">
        <f>IF('Ordenes_Odoo'!L2577="","",'Ordenes_Odoo'!L2577)</f>
        <v/>
      </c>
      <c r="M2577" s="79">
        <f>IF('Ordenes_Odoo'!M2577="","",'Ordenes_Odoo'!M2577)</f>
        <v/>
      </c>
      <c r="N2577" s="79">
        <f>IF('Ordenes_Odoo'!N2577="","",'Ordenes_Odoo'!N2577)</f>
        <v/>
      </c>
      <c r="O2577" s="81">
        <f>IF('Ordenes_Odoo'!O2577="","",'Ordenes_Odoo'!O2577)</f>
        <v/>
      </c>
      <c r="P2577" s="81">
        <f>IF('Ordenes_Odoo'!P2577="","",'Ordenes_Odoo'!P2577)</f>
        <v/>
      </c>
      <c r="Q2577" s="79">
        <f>IF(A2577="","",IFERROR(INDEX(Facturas_Odoo!$B:$B, MATCH(A2577, Facturas_Odoo!$D:$D, 0)), "Sin Factura"))</f>
        <v/>
      </c>
      <c r="R2577" s="80">
        <f>IF(Q2577="Sin Factura","",IFERROR(INDEX(Facturas_Odoo!$A:$A, MATCH(Q2577, Facturas_Odoo!$B:$B, 0)), ""))</f>
        <v/>
      </c>
      <c r="S2577" s="79">
        <f>IF(Q2577="Sin Factura","",IFERROR(_xlfn.XLOOKUP(1, (Facturas_Odoo!$D:$D=A2577) * (Facturas_Odoo!$K:$K=I2577), Facturas_Odoo!$L:$L, ""), ""))</f>
        <v/>
      </c>
      <c r="T2577" s="81">
        <f>IF(Q2577="Sin Factura",0,IFERROR(_xlfn.XLOOKUP(1, (Facturas_Odoo!$D:$D=A2577) * (Facturas_Odoo!$K:$K=I2577), Facturas_Odoo!$M:$M, 0), 0))</f>
        <v/>
      </c>
      <c r="U2577" s="79">
        <f>IF(Q2577="Sin Factura",0,IFERROR(_xlfn.XLOOKUP(1, (Facturas_Odoo!$D:$D=A2577) * (Facturas_Odoo!$K:$K=I2577), Facturas_Odoo!$N:$N, 0), 0))</f>
        <v/>
      </c>
      <c r="V2577" s="79">
        <f>IF(Q2577="Sin Factura",0,IFERROR(_xlfn.XLOOKUP(1, (Facturas_Odoo!$D:$D=A2577) * (Facturas_Odoo!$K:$K=I2577), Facturas_Odoo!$O:$O, 0), 0))</f>
        <v/>
      </c>
      <c r="W2577" s="81">
        <f>IF(Q2577="Sin Factura",0,IFERROR(_xlfn.XLOOKUP(1, (Facturas_Odoo!$D:$D=A2577) * (Facturas_Odoo!$K:$K=I2577), Facturas_Odoo!$Q:$Q, 0), 0))</f>
        <v/>
      </c>
      <c r="X2577" s="79">
        <f>IF(OR(Q2577="Sin Factura",Q2577=""),"",IFERROR(INDEX(Pagos_Odoo!$B:$B, MATCH(Q2577, Pagos_Odoo!$I:$I, 0)), "Sin Pago"))</f>
        <v/>
      </c>
      <c r="Y2577" s="79">
        <f>IF(X2577="Sin Pago","",IFERROR(INDEX(Pagos_Odoo!$C:$C, MATCH(X2577, Pagos_Odoo!$B:$B, 0)), ""))</f>
        <v/>
      </c>
      <c r="Z2577" s="80">
        <f>IF(X2577="Sin Pago","",IFERROR(INDEX(Pagos_Odoo!$A:$A, MATCH(X2577, Pagos_Odoo!$B:$B, 0)), ""))</f>
        <v/>
      </c>
      <c r="AA2577" s="79">
        <f>IF(X2577="Sin Pago","",IFERROR(INDEX(Pagos_Odoo!$F:$F, MATCH(X2577, Pagos_Odoo!$B:$B, 0)), ""))</f>
        <v/>
      </c>
      <c r="AB2577" s="81">
        <f>IF(X2577="Sin Pago",0,IFERROR(INDEX(Pagos_Odoo!$E:$E, MATCH(X2577, Pagos_Odoo!$B:$B, 0)), 0))</f>
        <v/>
      </c>
      <c r="AC2577" s="79">
        <f>IF(X2577="Sin Pago","",IFERROR(INDEX(Pagos_Odoo!$G:$G, MATCH(X2577, Pagos_Odoo!$B:$B, 0)), ""))</f>
        <v/>
      </c>
      <c r="AD2577" s="82" t="n">
        <v>0</v>
      </c>
      <c r="AE2577" s="82" t="n"/>
      <c r="AF2577" s="82" t="n"/>
      <c r="AG2577" s="82">
        <f>IF(AN2577="","",AD2577+AE2577+AF2577)</f>
        <v/>
      </c>
      <c r="AH2577" s="81">
        <f>IF(AN2577="","",P2577*(1-AG2577))</f>
        <v/>
      </c>
      <c r="AI2577" s="81">
        <f>IF(AN2577="","",IF(Q2577="Sin Factura",0,IFERROR(INDEX(Facturas_Odoo!$H:$H, MATCH(Q2577, Facturas_Odoo!$B:$B, 0)), 0)*(1-AG2577)))</f>
        <v/>
      </c>
      <c r="AJ2577" s="81">
        <f>IF(AN2577="","",_xlfn.LET(idVenta, AN2577&amp;"",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77" s="81">
        <f>IF(AN2577="","",AH2577-AJ2577)</f>
        <v/>
      </c>
      <c r="AL2577" s="81">
        <f>IF(AN2577="","",IF(Q2577="Sin Factura","",AI2577-AJ2577))</f>
        <v/>
      </c>
      <c r="AM2577" s="81">
        <f>IF(AN2577="","",IF(Q2577="Sin Factura",0,P2577-IFERROR(INDEX(Facturas_Odoo!$H:$H, MATCH(Q2577, Facturas_Odoo!$B:$B, 0)), 0)))</f>
        <v/>
      </c>
      <c r="AN2577" s="79">
        <f>IF(AND(A2577="", J2577=""), "", IF(A2577&lt;&gt;"", VALUE(MID(A2577,2,LEN(A2577))), AN2576))</f>
        <v/>
      </c>
      <c r="AO2577" s="79">
        <f>IF(AN2577="","",IF(AD2577=0,"OK",_xlfn.LET(monedaPago, IF(AA2577="","USD",AA2577), limitePermitido, IFERROR(VLOOKUP(monedaPago, Configuración!$A$2:$B$3, 2, FALSE), 0.15), IF(AD2577&gt;limitePermitido, "ALERTA: EXCESO (" &amp; TEXT(limitePermitido, "0%") &amp; " máx)", "OK"))))</f>
        <v/>
      </c>
      <c r="AP2577" s="79">
        <f>IF(AN2577="","",IF(AE2577=0,"OK",_xlfn.LET(fechaPago, Z2577, fechaFactura, R2577, diasCredito, IF(E2577="Pago inmediato", 0, IFERROR(VALUE(MID(E2577, 1, SEARCH(" ", E2577)-1)),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77" s="79">
        <f>IF(AN2577="","",IF(AND(N2577&gt;0, AG2577&gt;0), IF(Configuración!$K$2="NO", "ALERTA: DESCUENTO DOBLE NO PERMITIDO", "OK"), "OK"))</f>
        <v/>
      </c>
      <c r="AR2577" s="79">
        <f>IF(AN2577="","",IF(OR(AO2577&lt;&gt;"OK", AP2577&lt;&gt;"OK", AQ2577&lt;&gt;"OK"), "⚠️ REVISAR", "OK"))</f>
        <v/>
      </c>
    </row>
    <row r="2578">
      <c r="A2578" s="79">
        <f>IF('Ordenes_Odoo'!A2578="","",'Ordenes_Odoo'!A2578)</f>
        <v/>
      </c>
      <c r="B2578" s="80">
        <f>IF('Ordenes_Odoo'!B2578="","",'Ordenes_Odoo'!B2578)</f>
        <v/>
      </c>
      <c r="C2578" s="79">
        <f>IF('Ordenes_Odoo'!C2578="","",'Ordenes_Odoo'!C2578)</f>
        <v/>
      </c>
      <c r="D2578" s="79">
        <f>IF('Ordenes_Odoo'!D2578="","",'Ordenes_Odoo'!D2578)</f>
        <v/>
      </c>
      <c r="E2578" s="79">
        <f>IF('Ordenes_Odoo'!E2578="","",'Ordenes_Odoo'!E2578)</f>
        <v/>
      </c>
      <c r="F2578" s="79">
        <f>IF('Ordenes_Odoo'!F2578="","",'Ordenes_Odoo'!F2578)</f>
        <v/>
      </c>
      <c r="G2578" s="79">
        <f>IF('Ordenes_Odoo'!G2578="","",'Ordenes_Odoo'!G2578)</f>
        <v/>
      </c>
      <c r="H2578" s="79">
        <f>IF('Ordenes_Odoo'!H2578="","",'Ordenes_Odoo'!H2578)</f>
        <v/>
      </c>
      <c r="I2578" s="79">
        <f>IF('Ordenes_Odoo'!I2578="","",'Ordenes_Odoo'!I2578)</f>
        <v/>
      </c>
      <c r="J2578" s="79">
        <f>IF('Ordenes_Odoo'!J2578="","",'Ordenes_Odoo'!J2578)</f>
        <v/>
      </c>
      <c r="K2578" s="81">
        <f>IF('Ordenes_Odoo'!K2578="","",'Ordenes_Odoo'!K2578)</f>
        <v/>
      </c>
      <c r="L2578" s="81">
        <f>IF('Ordenes_Odoo'!L2578="","",'Ordenes_Odoo'!L2578)</f>
        <v/>
      </c>
      <c r="M2578" s="79">
        <f>IF('Ordenes_Odoo'!M2578="","",'Ordenes_Odoo'!M2578)</f>
        <v/>
      </c>
      <c r="N2578" s="79">
        <f>IF('Ordenes_Odoo'!N2578="","",'Ordenes_Odoo'!N2578)</f>
        <v/>
      </c>
      <c r="O2578" s="81">
        <f>IF('Ordenes_Odoo'!O2578="","",'Ordenes_Odoo'!O2578)</f>
        <v/>
      </c>
      <c r="P2578" s="81">
        <f>IF('Ordenes_Odoo'!P2578="","",'Ordenes_Odoo'!P2578)</f>
        <v/>
      </c>
      <c r="Q2578" s="79">
        <f>IF(A2578="","",IFERROR(INDEX(Facturas_Odoo!$B:$B, MATCH(A2578, Facturas_Odoo!$D:$D, 0)), "Sin Factura"))</f>
        <v/>
      </c>
      <c r="R2578" s="80">
        <f>IF(Q2578="Sin Factura","",IFERROR(INDEX(Facturas_Odoo!$A:$A, MATCH(Q2578, Facturas_Odoo!$B:$B, 0)), ""))</f>
        <v/>
      </c>
      <c r="S2578" s="79">
        <f>IF(Q2578="Sin Factura","",IFERROR(_xlfn.XLOOKUP(1, (Facturas_Odoo!$D:$D=A2578) * (Facturas_Odoo!$K:$K=I2578), Facturas_Odoo!$L:$L, ""), ""))</f>
        <v/>
      </c>
      <c r="T2578" s="81">
        <f>IF(Q2578="Sin Factura",0,IFERROR(_xlfn.XLOOKUP(1, (Facturas_Odoo!$D:$D=A2578) * (Facturas_Odoo!$K:$K=I2578), Facturas_Odoo!$M:$M, 0), 0))</f>
        <v/>
      </c>
      <c r="U2578" s="79">
        <f>IF(Q2578="Sin Factura",0,IFERROR(_xlfn.XLOOKUP(1, (Facturas_Odoo!$D:$D=A2578) * (Facturas_Odoo!$K:$K=I2578), Facturas_Odoo!$N:$N, 0), 0))</f>
        <v/>
      </c>
      <c r="V2578" s="79">
        <f>IF(Q2578="Sin Factura",0,IFERROR(_xlfn.XLOOKUP(1, (Facturas_Odoo!$D:$D=A2578) * (Facturas_Odoo!$K:$K=I2578), Facturas_Odoo!$O:$O, 0), 0))</f>
        <v/>
      </c>
      <c r="W2578" s="81">
        <f>IF(Q2578="Sin Factura",0,IFERROR(_xlfn.XLOOKUP(1, (Facturas_Odoo!$D:$D=A2578) * (Facturas_Odoo!$K:$K=I2578), Facturas_Odoo!$Q:$Q, 0), 0))</f>
        <v/>
      </c>
      <c r="X2578" s="79">
        <f>IF(OR(Q2578="Sin Factura",Q2578=""),"",IFERROR(INDEX(Pagos_Odoo!$B:$B, MATCH(Q2578, Pagos_Odoo!$I:$I, 0)), "Sin Pago"))</f>
        <v/>
      </c>
      <c r="Y2578" s="79">
        <f>IF(X2578="Sin Pago","",IFERROR(INDEX(Pagos_Odoo!$C:$C, MATCH(X2578, Pagos_Odoo!$B:$B, 0)), ""))</f>
        <v/>
      </c>
      <c r="Z2578" s="80">
        <f>IF(X2578="Sin Pago","",IFERROR(INDEX(Pagos_Odoo!$A:$A, MATCH(X2578, Pagos_Odoo!$B:$B, 0)), ""))</f>
        <v/>
      </c>
      <c r="AA2578" s="79">
        <f>IF(X2578="Sin Pago","",IFERROR(INDEX(Pagos_Odoo!$F:$F, MATCH(X2578, Pagos_Odoo!$B:$B, 0)), ""))</f>
        <v/>
      </c>
      <c r="AB2578" s="81">
        <f>IF(X2578="Sin Pago",0,IFERROR(INDEX(Pagos_Odoo!$E:$E, MATCH(X2578, Pagos_Odoo!$B:$B, 0)), 0))</f>
        <v/>
      </c>
      <c r="AC2578" s="79">
        <f>IF(X2578="Sin Pago","",IFERROR(INDEX(Pagos_Odoo!$G:$G, MATCH(X2578, Pagos_Odoo!$B:$B, 0)), ""))</f>
        <v/>
      </c>
      <c r="AD2578" s="82" t="n">
        <v>0</v>
      </c>
      <c r="AE2578" s="82" t="n"/>
      <c r="AF2578" s="82" t="n"/>
      <c r="AG2578" s="82">
        <f>IF(AN2578="","",AD2578+AE2578+AF2578)</f>
        <v/>
      </c>
      <c r="AH2578" s="81">
        <f>IF(AN2578="","",P2578*(1-AG2578))</f>
        <v/>
      </c>
      <c r="AI2578" s="81">
        <f>IF(AN2578="","",IF(Q2578="Sin Factura",0,IFERROR(INDEX(Facturas_Odoo!$H:$H, MATCH(Q2578, Facturas_Odoo!$B:$B, 0)), 0)*(1-AG2578)))</f>
        <v/>
      </c>
      <c r="AJ2578" s="81">
        <f>IF(AN2578="","",_xlfn.LET(idVenta, AN2578&amp;"",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78" s="81">
        <f>IF(AN2578="","",AH2578-AJ2578)</f>
        <v/>
      </c>
      <c r="AL2578" s="81">
        <f>IF(AN2578="","",IF(Q2578="Sin Factura","",AI2578-AJ2578))</f>
        <v/>
      </c>
      <c r="AM2578" s="81">
        <f>IF(AN2578="","",IF(Q2578="Sin Factura",0,P2578-IFERROR(INDEX(Facturas_Odoo!$H:$H, MATCH(Q2578, Facturas_Odoo!$B:$B, 0)), 0)))</f>
        <v/>
      </c>
      <c r="AN2578" s="79">
        <f>IF(AND(A2578="", J2578=""), "", IF(A2578&lt;&gt;"", VALUE(MID(A2578,2,LEN(A2578))), AN2577))</f>
        <v/>
      </c>
      <c r="AO2578" s="79">
        <f>IF(AN2578="","",IF(AD2578=0,"OK",_xlfn.LET(monedaPago, IF(AA2578="","USD",AA2578), limitePermitido, IFERROR(VLOOKUP(monedaPago, Configuración!$A$2:$B$3, 2, FALSE), 0.15), IF(AD2578&gt;limitePermitido, "ALERTA: EXCESO (" &amp; TEXT(limitePermitido, "0%") &amp; " máx)", "OK"))))</f>
        <v/>
      </c>
      <c r="AP2578" s="79">
        <f>IF(AN2578="","",IF(AE2578=0,"OK",_xlfn.LET(fechaPago, Z2578, fechaFactura, R2578, diasCredito, IF(E2578="Pago inmediato", 0, IFERROR(VALUE(MID(E2578, 1, SEARCH(" ", E2578)-1)),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78" s="79">
        <f>IF(AN2578="","",IF(AND(N2578&gt;0, AG2578&gt;0), IF(Configuración!$K$2="NO", "ALERTA: DESCUENTO DOBLE NO PERMITIDO", "OK"), "OK"))</f>
        <v/>
      </c>
      <c r="AR2578" s="79">
        <f>IF(AN2578="","",IF(OR(AO2578&lt;&gt;"OK", AP2578&lt;&gt;"OK", AQ2578&lt;&gt;"OK"), "⚠️ REVISAR", "OK"))</f>
        <v/>
      </c>
    </row>
    <row r="2579">
      <c r="A2579" s="79">
        <f>IF('Ordenes_Odoo'!A2579="","",'Ordenes_Odoo'!A2579)</f>
        <v/>
      </c>
      <c r="B2579" s="80">
        <f>IF('Ordenes_Odoo'!B2579="","",'Ordenes_Odoo'!B2579)</f>
        <v/>
      </c>
      <c r="C2579" s="79">
        <f>IF('Ordenes_Odoo'!C2579="","",'Ordenes_Odoo'!C2579)</f>
        <v/>
      </c>
      <c r="D2579" s="79">
        <f>IF('Ordenes_Odoo'!D2579="","",'Ordenes_Odoo'!D2579)</f>
        <v/>
      </c>
      <c r="E2579" s="79">
        <f>IF('Ordenes_Odoo'!E2579="","",'Ordenes_Odoo'!E2579)</f>
        <v/>
      </c>
      <c r="F2579" s="79">
        <f>IF('Ordenes_Odoo'!F2579="","",'Ordenes_Odoo'!F2579)</f>
        <v/>
      </c>
      <c r="G2579" s="79">
        <f>IF('Ordenes_Odoo'!G2579="","",'Ordenes_Odoo'!G2579)</f>
        <v/>
      </c>
      <c r="H2579" s="79">
        <f>IF('Ordenes_Odoo'!H2579="","",'Ordenes_Odoo'!H2579)</f>
        <v/>
      </c>
      <c r="I2579" s="79">
        <f>IF('Ordenes_Odoo'!I2579="","",'Ordenes_Odoo'!I2579)</f>
        <v/>
      </c>
      <c r="J2579" s="79">
        <f>IF('Ordenes_Odoo'!J2579="","",'Ordenes_Odoo'!J2579)</f>
        <v/>
      </c>
      <c r="K2579" s="81">
        <f>IF('Ordenes_Odoo'!K2579="","",'Ordenes_Odoo'!K2579)</f>
        <v/>
      </c>
      <c r="L2579" s="81">
        <f>IF('Ordenes_Odoo'!L2579="","",'Ordenes_Odoo'!L2579)</f>
        <v/>
      </c>
      <c r="M2579" s="79">
        <f>IF('Ordenes_Odoo'!M2579="","",'Ordenes_Odoo'!M2579)</f>
        <v/>
      </c>
      <c r="N2579" s="79">
        <f>IF('Ordenes_Odoo'!N2579="","",'Ordenes_Odoo'!N2579)</f>
        <v/>
      </c>
      <c r="O2579" s="81">
        <f>IF('Ordenes_Odoo'!O2579="","",'Ordenes_Odoo'!O2579)</f>
        <v/>
      </c>
      <c r="P2579" s="81">
        <f>IF('Ordenes_Odoo'!P2579="","",'Ordenes_Odoo'!P2579)</f>
        <v/>
      </c>
      <c r="Q2579" s="79">
        <f>IF(A2579="","",IFERROR(INDEX(Facturas_Odoo!$B:$B, MATCH(A2579, Facturas_Odoo!$D:$D, 0)), "Sin Factura"))</f>
        <v/>
      </c>
      <c r="R2579" s="80">
        <f>IF(Q2579="Sin Factura","",IFERROR(INDEX(Facturas_Odoo!$A:$A, MATCH(Q2579, Facturas_Odoo!$B:$B, 0)), ""))</f>
        <v/>
      </c>
      <c r="S2579" s="79">
        <f>IF(Q2579="Sin Factura","",IFERROR(_xlfn.XLOOKUP(1, (Facturas_Odoo!$D:$D=A2579) * (Facturas_Odoo!$K:$K=I2579), Facturas_Odoo!$L:$L, ""), ""))</f>
        <v/>
      </c>
      <c r="T2579" s="81">
        <f>IF(Q2579="Sin Factura",0,IFERROR(_xlfn.XLOOKUP(1, (Facturas_Odoo!$D:$D=A2579) * (Facturas_Odoo!$K:$K=I2579), Facturas_Odoo!$M:$M, 0), 0))</f>
        <v/>
      </c>
      <c r="U2579" s="79">
        <f>IF(Q2579="Sin Factura",0,IFERROR(_xlfn.XLOOKUP(1, (Facturas_Odoo!$D:$D=A2579) * (Facturas_Odoo!$K:$K=I2579), Facturas_Odoo!$N:$N, 0), 0))</f>
        <v/>
      </c>
      <c r="V2579" s="79">
        <f>IF(Q2579="Sin Factura",0,IFERROR(_xlfn.XLOOKUP(1, (Facturas_Odoo!$D:$D=A2579) * (Facturas_Odoo!$K:$K=I2579), Facturas_Odoo!$O:$O, 0), 0))</f>
        <v/>
      </c>
      <c r="W2579" s="81">
        <f>IF(Q2579="Sin Factura",0,IFERROR(_xlfn.XLOOKUP(1, (Facturas_Odoo!$D:$D=A2579) * (Facturas_Odoo!$K:$K=I2579), Facturas_Odoo!$Q:$Q, 0), 0))</f>
        <v/>
      </c>
      <c r="X2579" s="79">
        <f>IF(OR(Q2579="Sin Factura",Q2579=""),"",IFERROR(INDEX(Pagos_Odoo!$B:$B, MATCH(Q2579, Pagos_Odoo!$I:$I, 0)), "Sin Pago"))</f>
        <v/>
      </c>
      <c r="Y2579" s="79">
        <f>IF(X2579="Sin Pago","",IFERROR(INDEX(Pagos_Odoo!$C:$C, MATCH(X2579, Pagos_Odoo!$B:$B, 0)), ""))</f>
        <v/>
      </c>
      <c r="Z2579" s="80">
        <f>IF(X2579="Sin Pago","",IFERROR(INDEX(Pagos_Odoo!$A:$A, MATCH(X2579, Pagos_Odoo!$B:$B, 0)), ""))</f>
        <v/>
      </c>
      <c r="AA2579" s="79">
        <f>IF(X2579="Sin Pago","",IFERROR(INDEX(Pagos_Odoo!$F:$F, MATCH(X2579, Pagos_Odoo!$B:$B, 0)), ""))</f>
        <v/>
      </c>
      <c r="AB2579" s="81">
        <f>IF(X2579="Sin Pago",0,IFERROR(INDEX(Pagos_Odoo!$E:$E, MATCH(X2579, Pagos_Odoo!$B:$B, 0)), 0))</f>
        <v/>
      </c>
      <c r="AC2579" s="79">
        <f>IF(X2579="Sin Pago","",IFERROR(INDEX(Pagos_Odoo!$G:$G, MATCH(X2579, Pagos_Odoo!$B:$B, 0)), ""))</f>
        <v/>
      </c>
      <c r="AD2579" s="82" t="n">
        <v>0</v>
      </c>
      <c r="AE2579" s="82" t="n"/>
      <c r="AF2579" s="82" t="n"/>
      <c r="AG2579" s="82">
        <f>IF(AN2579="","",AD2579+AE2579+AF2579)</f>
        <v/>
      </c>
      <c r="AH2579" s="81">
        <f>IF(AN2579="","",P2579*(1-AG2579))</f>
        <v/>
      </c>
      <c r="AI2579" s="81">
        <f>IF(AN2579="","",IF(Q2579="Sin Factura",0,IFERROR(INDEX(Facturas_Odoo!$H:$H, MATCH(Q2579, Facturas_Odoo!$B:$B, 0)), 0)*(1-AG2579)))</f>
        <v/>
      </c>
      <c r="AJ2579" s="81">
        <f>IF(AN2579="","",_xlfn.LET(idVenta, AN2579&amp;"",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79" s="81">
        <f>IF(AN2579="","",AH2579-AJ2579)</f>
        <v/>
      </c>
      <c r="AL2579" s="81">
        <f>IF(AN2579="","",IF(Q2579="Sin Factura","",AI2579-AJ2579))</f>
        <v/>
      </c>
      <c r="AM2579" s="81">
        <f>IF(AN2579="","",IF(Q2579="Sin Factura",0,P2579-IFERROR(INDEX(Facturas_Odoo!$H:$H, MATCH(Q2579, Facturas_Odoo!$B:$B, 0)), 0)))</f>
        <v/>
      </c>
      <c r="AN2579" s="79">
        <f>IF(AND(A2579="", J2579=""), "", IF(A2579&lt;&gt;"", VALUE(MID(A2579,2,LEN(A2579))), AN2578))</f>
        <v/>
      </c>
      <c r="AO2579" s="79">
        <f>IF(AN2579="","",IF(AD2579=0,"OK",_xlfn.LET(monedaPago, IF(AA2579="","USD",AA2579), limitePermitido, IFERROR(VLOOKUP(monedaPago, Configuración!$A$2:$B$3, 2, FALSE), 0.15), IF(AD2579&gt;limitePermitido, "ALERTA: EXCESO (" &amp; TEXT(limitePermitido, "0%") &amp; " máx)", "OK"))))</f>
        <v/>
      </c>
      <c r="AP2579" s="79">
        <f>IF(AN2579="","",IF(AE2579=0,"OK",_xlfn.LET(fechaPago, Z2579, fechaFactura, R2579, diasCredito, IF(E2579="Pago inmediato", 0, IFERROR(VALUE(MID(E2579, 1, SEARCH(" ", E2579)-1)),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79" s="79">
        <f>IF(AN2579="","",IF(AND(N2579&gt;0, AG2579&gt;0), IF(Configuración!$K$2="NO", "ALERTA: DESCUENTO DOBLE NO PERMITIDO", "OK"), "OK"))</f>
        <v/>
      </c>
      <c r="AR2579" s="79">
        <f>IF(AN2579="","",IF(OR(AO2579&lt;&gt;"OK", AP2579&lt;&gt;"OK", AQ2579&lt;&gt;"OK"), "⚠️ REVISAR", "OK"))</f>
        <v/>
      </c>
    </row>
    <row r="2580">
      <c r="A2580" s="79">
        <f>IF('Ordenes_Odoo'!A2580="","",'Ordenes_Odoo'!A2580)</f>
        <v/>
      </c>
      <c r="B2580" s="80">
        <f>IF('Ordenes_Odoo'!B2580="","",'Ordenes_Odoo'!B2580)</f>
        <v/>
      </c>
      <c r="C2580" s="79">
        <f>IF('Ordenes_Odoo'!C2580="","",'Ordenes_Odoo'!C2580)</f>
        <v/>
      </c>
      <c r="D2580" s="79">
        <f>IF('Ordenes_Odoo'!D2580="","",'Ordenes_Odoo'!D2580)</f>
        <v/>
      </c>
      <c r="E2580" s="79">
        <f>IF('Ordenes_Odoo'!E2580="","",'Ordenes_Odoo'!E2580)</f>
        <v/>
      </c>
      <c r="F2580" s="79">
        <f>IF('Ordenes_Odoo'!F2580="","",'Ordenes_Odoo'!F2580)</f>
        <v/>
      </c>
      <c r="G2580" s="79">
        <f>IF('Ordenes_Odoo'!G2580="","",'Ordenes_Odoo'!G2580)</f>
        <v/>
      </c>
      <c r="H2580" s="79">
        <f>IF('Ordenes_Odoo'!H2580="","",'Ordenes_Odoo'!H2580)</f>
        <v/>
      </c>
      <c r="I2580" s="79">
        <f>IF('Ordenes_Odoo'!I2580="","",'Ordenes_Odoo'!I2580)</f>
        <v/>
      </c>
      <c r="J2580" s="79">
        <f>IF('Ordenes_Odoo'!J2580="","",'Ordenes_Odoo'!J2580)</f>
        <v/>
      </c>
      <c r="K2580" s="81">
        <f>IF('Ordenes_Odoo'!K2580="","",'Ordenes_Odoo'!K2580)</f>
        <v/>
      </c>
      <c r="L2580" s="81">
        <f>IF('Ordenes_Odoo'!L2580="","",'Ordenes_Odoo'!L2580)</f>
        <v/>
      </c>
      <c r="M2580" s="79">
        <f>IF('Ordenes_Odoo'!M2580="","",'Ordenes_Odoo'!M2580)</f>
        <v/>
      </c>
      <c r="N2580" s="79">
        <f>IF('Ordenes_Odoo'!N2580="","",'Ordenes_Odoo'!N2580)</f>
        <v/>
      </c>
      <c r="O2580" s="81">
        <f>IF('Ordenes_Odoo'!O2580="","",'Ordenes_Odoo'!O2580)</f>
        <v/>
      </c>
      <c r="P2580" s="81">
        <f>IF('Ordenes_Odoo'!P2580="","",'Ordenes_Odoo'!P2580)</f>
        <v/>
      </c>
      <c r="Q2580" s="79">
        <f>IF(A2580="","",IFERROR(INDEX(Facturas_Odoo!$B:$B, MATCH(A2580, Facturas_Odoo!$D:$D, 0)), "Sin Factura"))</f>
        <v/>
      </c>
      <c r="R2580" s="80">
        <f>IF(Q2580="Sin Factura","",IFERROR(INDEX(Facturas_Odoo!$A:$A, MATCH(Q2580, Facturas_Odoo!$B:$B, 0)), ""))</f>
        <v/>
      </c>
      <c r="S2580" s="79">
        <f>IF(Q2580="Sin Factura","",IFERROR(_xlfn.XLOOKUP(1, (Facturas_Odoo!$D:$D=A2580) * (Facturas_Odoo!$K:$K=I2580), Facturas_Odoo!$L:$L, ""), ""))</f>
        <v/>
      </c>
      <c r="T2580" s="81">
        <f>IF(Q2580="Sin Factura",0,IFERROR(_xlfn.XLOOKUP(1, (Facturas_Odoo!$D:$D=A2580) * (Facturas_Odoo!$K:$K=I2580), Facturas_Odoo!$M:$M, 0), 0))</f>
        <v/>
      </c>
      <c r="U2580" s="79">
        <f>IF(Q2580="Sin Factura",0,IFERROR(_xlfn.XLOOKUP(1, (Facturas_Odoo!$D:$D=A2580) * (Facturas_Odoo!$K:$K=I2580), Facturas_Odoo!$N:$N, 0), 0))</f>
        <v/>
      </c>
      <c r="V2580" s="79">
        <f>IF(Q2580="Sin Factura",0,IFERROR(_xlfn.XLOOKUP(1, (Facturas_Odoo!$D:$D=A2580) * (Facturas_Odoo!$K:$K=I2580), Facturas_Odoo!$O:$O, 0), 0))</f>
        <v/>
      </c>
      <c r="W2580" s="81">
        <f>IF(Q2580="Sin Factura",0,IFERROR(_xlfn.XLOOKUP(1, (Facturas_Odoo!$D:$D=A2580) * (Facturas_Odoo!$K:$K=I2580), Facturas_Odoo!$Q:$Q, 0), 0))</f>
        <v/>
      </c>
      <c r="X2580" s="79">
        <f>IF(OR(Q2580="Sin Factura",Q2580=""),"",IFERROR(INDEX(Pagos_Odoo!$B:$B, MATCH(Q2580, Pagos_Odoo!$I:$I, 0)), "Sin Pago"))</f>
        <v/>
      </c>
      <c r="Y2580" s="79">
        <f>IF(X2580="Sin Pago","",IFERROR(INDEX(Pagos_Odoo!$C:$C, MATCH(X2580, Pagos_Odoo!$B:$B, 0)), ""))</f>
        <v/>
      </c>
      <c r="Z2580" s="80">
        <f>IF(X2580="Sin Pago","",IFERROR(INDEX(Pagos_Odoo!$A:$A, MATCH(X2580, Pagos_Odoo!$B:$B, 0)), ""))</f>
        <v/>
      </c>
      <c r="AA2580" s="79">
        <f>IF(X2580="Sin Pago","",IFERROR(INDEX(Pagos_Odoo!$F:$F, MATCH(X2580, Pagos_Odoo!$B:$B, 0)), ""))</f>
        <v/>
      </c>
      <c r="AB2580" s="81">
        <f>IF(X2580="Sin Pago",0,IFERROR(INDEX(Pagos_Odoo!$E:$E, MATCH(X2580, Pagos_Odoo!$B:$B, 0)), 0))</f>
        <v/>
      </c>
      <c r="AC2580" s="79">
        <f>IF(X2580="Sin Pago","",IFERROR(INDEX(Pagos_Odoo!$G:$G, MATCH(X2580, Pagos_Odoo!$B:$B, 0)), ""))</f>
        <v/>
      </c>
      <c r="AD2580" s="82" t="n">
        <v>0</v>
      </c>
      <c r="AE2580" s="82" t="n"/>
      <c r="AF2580" s="82" t="n"/>
      <c r="AG2580" s="82">
        <f>IF(AN2580="","",AD2580+AE2580+AF2580)</f>
        <v/>
      </c>
      <c r="AH2580" s="81">
        <f>IF(AN2580="","",P2580*(1-AG2580))</f>
        <v/>
      </c>
      <c r="AI2580" s="81">
        <f>IF(AN2580="","",IF(Q2580="Sin Factura",0,IFERROR(INDEX(Facturas_Odoo!$H:$H, MATCH(Q2580, Facturas_Odoo!$B:$B, 0)), 0)*(1-AG2580)))</f>
        <v/>
      </c>
      <c r="AJ2580" s="81">
        <f>IF(AN2580="","",_xlfn.LET(idVenta, AN2580&amp;"",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80" s="81">
        <f>IF(AN2580="","",AH2580-AJ2580)</f>
        <v/>
      </c>
      <c r="AL2580" s="81">
        <f>IF(AN2580="","",IF(Q2580="Sin Factura","",AI2580-AJ2580))</f>
        <v/>
      </c>
      <c r="AM2580" s="81">
        <f>IF(AN2580="","",IF(Q2580="Sin Factura",0,P2580-IFERROR(INDEX(Facturas_Odoo!$H:$H, MATCH(Q2580, Facturas_Odoo!$B:$B, 0)), 0)))</f>
        <v/>
      </c>
      <c r="AN2580" s="79">
        <f>IF(AND(A2580="", J2580=""), "", IF(A2580&lt;&gt;"", VALUE(MID(A2580,2,LEN(A2580))), AN2579))</f>
        <v/>
      </c>
      <c r="AO2580" s="79">
        <f>IF(AN2580="","",IF(AD2580=0,"OK",_xlfn.LET(monedaPago, IF(AA2580="","USD",AA2580), limitePermitido, IFERROR(VLOOKUP(monedaPago, Configuración!$A$2:$B$3, 2, FALSE), 0.15), IF(AD2580&gt;limitePermitido, "ALERTA: EXCESO (" &amp; TEXT(limitePermitido, "0%") &amp; " máx)", "OK"))))</f>
        <v/>
      </c>
      <c r="AP2580" s="79">
        <f>IF(AN2580="","",IF(AE2580=0,"OK",_xlfn.LET(fechaPago, Z2580, fechaFactura, R2580, diasCredito, IF(E2580="Pago inmediato", 0, IFERROR(VALUE(MID(E2580, 1, SEARCH(" ", E2580)-1)),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80" s="79">
        <f>IF(AN2580="","",IF(AND(N2580&gt;0, AG2580&gt;0), IF(Configuración!$K$2="NO", "ALERTA: DESCUENTO DOBLE NO PERMITIDO", "OK"), "OK"))</f>
        <v/>
      </c>
      <c r="AR2580" s="79">
        <f>IF(AN2580="","",IF(OR(AO2580&lt;&gt;"OK", AP2580&lt;&gt;"OK", AQ2580&lt;&gt;"OK"), "⚠️ REVISAR", "OK"))</f>
        <v/>
      </c>
    </row>
    <row r="2581">
      <c r="A2581" s="79">
        <f>IF('Ordenes_Odoo'!A2581="","",'Ordenes_Odoo'!A2581)</f>
        <v/>
      </c>
      <c r="B2581" s="80">
        <f>IF('Ordenes_Odoo'!B2581="","",'Ordenes_Odoo'!B2581)</f>
        <v/>
      </c>
      <c r="C2581" s="79">
        <f>IF('Ordenes_Odoo'!C2581="","",'Ordenes_Odoo'!C2581)</f>
        <v/>
      </c>
      <c r="D2581" s="79">
        <f>IF('Ordenes_Odoo'!D2581="","",'Ordenes_Odoo'!D2581)</f>
        <v/>
      </c>
      <c r="E2581" s="79">
        <f>IF('Ordenes_Odoo'!E2581="","",'Ordenes_Odoo'!E2581)</f>
        <v/>
      </c>
      <c r="F2581" s="79">
        <f>IF('Ordenes_Odoo'!F2581="","",'Ordenes_Odoo'!F2581)</f>
        <v/>
      </c>
      <c r="G2581" s="79">
        <f>IF('Ordenes_Odoo'!G2581="","",'Ordenes_Odoo'!G2581)</f>
        <v/>
      </c>
      <c r="H2581" s="79">
        <f>IF('Ordenes_Odoo'!H2581="","",'Ordenes_Odoo'!H2581)</f>
        <v/>
      </c>
      <c r="I2581" s="79">
        <f>IF('Ordenes_Odoo'!I2581="","",'Ordenes_Odoo'!I2581)</f>
        <v/>
      </c>
      <c r="J2581" s="79">
        <f>IF('Ordenes_Odoo'!J2581="","",'Ordenes_Odoo'!J2581)</f>
        <v/>
      </c>
      <c r="K2581" s="81">
        <f>IF('Ordenes_Odoo'!K2581="","",'Ordenes_Odoo'!K2581)</f>
        <v/>
      </c>
      <c r="L2581" s="81">
        <f>IF('Ordenes_Odoo'!L2581="","",'Ordenes_Odoo'!L2581)</f>
        <v/>
      </c>
      <c r="M2581" s="79">
        <f>IF('Ordenes_Odoo'!M2581="","",'Ordenes_Odoo'!M2581)</f>
        <v/>
      </c>
      <c r="N2581" s="79">
        <f>IF('Ordenes_Odoo'!N2581="","",'Ordenes_Odoo'!N2581)</f>
        <v/>
      </c>
      <c r="O2581" s="81">
        <f>IF('Ordenes_Odoo'!O2581="","",'Ordenes_Odoo'!O2581)</f>
        <v/>
      </c>
      <c r="P2581" s="81">
        <f>IF('Ordenes_Odoo'!P2581="","",'Ordenes_Odoo'!P2581)</f>
        <v/>
      </c>
      <c r="Q2581" s="79">
        <f>IF(A2581="","",IFERROR(INDEX(Facturas_Odoo!$B:$B, MATCH(A2581, Facturas_Odoo!$D:$D, 0)), "Sin Factura"))</f>
        <v/>
      </c>
      <c r="R2581" s="80">
        <f>IF(Q2581="Sin Factura","",IFERROR(INDEX(Facturas_Odoo!$A:$A, MATCH(Q2581, Facturas_Odoo!$B:$B, 0)), ""))</f>
        <v/>
      </c>
      <c r="S2581" s="79">
        <f>IF(Q2581="Sin Factura","",IFERROR(_xlfn.XLOOKUP(1, (Facturas_Odoo!$D:$D=A2581) * (Facturas_Odoo!$K:$K=I2581), Facturas_Odoo!$L:$L, ""), ""))</f>
        <v/>
      </c>
      <c r="T2581" s="81">
        <f>IF(Q2581="Sin Factura",0,IFERROR(_xlfn.XLOOKUP(1, (Facturas_Odoo!$D:$D=A2581) * (Facturas_Odoo!$K:$K=I2581), Facturas_Odoo!$M:$M, 0), 0))</f>
        <v/>
      </c>
      <c r="U2581" s="79">
        <f>IF(Q2581="Sin Factura",0,IFERROR(_xlfn.XLOOKUP(1, (Facturas_Odoo!$D:$D=A2581) * (Facturas_Odoo!$K:$K=I2581), Facturas_Odoo!$N:$N, 0), 0))</f>
        <v/>
      </c>
      <c r="V2581" s="79">
        <f>IF(Q2581="Sin Factura",0,IFERROR(_xlfn.XLOOKUP(1, (Facturas_Odoo!$D:$D=A2581) * (Facturas_Odoo!$K:$K=I2581), Facturas_Odoo!$O:$O, 0), 0))</f>
        <v/>
      </c>
      <c r="W2581" s="81">
        <f>IF(Q2581="Sin Factura",0,IFERROR(_xlfn.XLOOKUP(1, (Facturas_Odoo!$D:$D=A2581) * (Facturas_Odoo!$K:$K=I2581), Facturas_Odoo!$Q:$Q, 0), 0))</f>
        <v/>
      </c>
      <c r="X2581" s="79">
        <f>IF(OR(Q2581="Sin Factura",Q2581=""),"",IFERROR(INDEX(Pagos_Odoo!$B:$B, MATCH(Q2581, Pagos_Odoo!$I:$I, 0)), "Sin Pago"))</f>
        <v/>
      </c>
      <c r="Y2581" s="79">
        <f>IF(X2581="Sin Pago","",IFERROR(INDEX(Pagos_Odoo!$C:$C, MATCH(X2581, Pagos_Odoo!$B:$B, 0)), ""))</f>
        <v/>
      </c>
      <c r="Z2581" s="80">
        <f>IF(X2581="Sin Pago","",IFERROR(INDEX(Pagos_Odoo!$A:$A, MATCH(X2581, Pagos_Odoo!$B:$B, 0)), ""))</f>
        <v/>
      </c>
      <c r="AA2581" s="79">
        <f>IF(X2581="Sin Pago","",IFERROR(INDEX(Pagos_Odoo!$F:$F, MATCH(X2581, Pagos_Odoo!$B:$B, 0)), ""))</f>
        <v/>
      </c>
      <c r="AB2581" s="81">
        <f>IF(X2581="Sin Pago",0,IFERROR(INDEX(Pagos_Odoo!$E:$E, MATCH(X2581, Pagos_Odoo!$B:$B, 0)), 0))</f>
        <v/>
      </c>
      <c r="AC2581" s="79">
        <f>IF(X2581="Sin Pago","",IFERROR(INDEX(Pagos_Odoo!$G:$G, MATCH(X2581, Pagos_Odoo!$B:$B, 0)), ""))</f>
        <v/>
      </c>
      <c r="AD2581" s="82" t="n">
        <v>0</v>
      </c>
      <c r="AE2581" s="82" t="n"/>
      <c r="AF2581" s="82" t="n"/>
      <c r="AG2581" s="82">
        <f>IF(AN2581="","",AD2581+AE2581+AF2581)</f>
        <v/>
      </c>
      <c r="AH2581" s="81">
        <f>IF(AN2581="","",P2581*(1-AG2581))</f>
        <v/>
      </c>
      <c r="AI2581" s="81">
        <f>IF(AN2581="","",IF(Q2581="Sin Factura",0,IFERROR(INDEX(Facturas_Odoo!$H:$H, MATCH(Q2581, Facturas_Odoo!$B:$B, 0)), 0)*(1-AG2581)))</f>
        <v/>
      </c>
      <c r="AJ2581" s="81">
        <f>IF(AN2581="","",_xlfn.LET(idVenta, AN2581&amp;"",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81" s="81">
        <f>IF(AN2581="","",AH2581-AJ2581)</f>
        <v/>
      </c>
      <c r="AL2581" s="81">
        <f>IF(AN2581="","",IF(Q2581="Sin Factura","",AI2581-AJ2581))</f>
        <v/>
      </c>
      <c r="AM2581" s="81">
        <f>IF(AN2581="","",IF(Q2581="Sin Factura",0,P2581-IFERROR(INDEX(Facturas_Odoo!$H:$H, MATCH(Q2581, Facturas_Odoo!$B:$B, 0)), 0)))</f>
        <v/>
      </c>
      <c r="AN2581" s="79">
        <f>IF(AND(A2581="", J2581=""), "", IF(A2581&lt;&gt;"", VALUE(MID(A2581,2,LEN(A2581))), AN2580))</f>
        <v/>
      </c>
      <c r="AO2581" s="79">
        <f>IF(AN2581="","",IF(AD2581=0,"OK",_xlfn.LET(monedaPago, IF(AA2581="","USD",AA2581), limitePermitido, IFERROR(VLOOKUP(monedaPago, Configuración!$A$2:$B$3, 2, FALSE), 0.15), IF(AD2581&gt;limitePermitido, "ALERTA: EXCESO (" &amp; TEXT(limitePermitido, "0%") &amp; " máx)", "OK"))))</f>
        <v/>
      </c>
      <c r="AP2581" s="79">
        <f>IF(AN2581="","",IF(AE2581=0,"OK",_xlfn.LET(fechaPago, Z2581, fechaFactura, R2581, diasCredito, IF(E2581="Pago inmediato", 0, IFERROR(VALUE(MID(E2581, 1, SEARCH(" ", E2581)-1)),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81" s="79">
        <f>IF(AN2581="","",IF(AND(N2581&gt;0, AG2581&gt;0), IF(Configuración!$K$2="NO", "ALERTA: DESCUENTO DOBLE NO PERMITIDO", "OK"), "OK"))</f>
        <v/>
      </c>
      <c r="AR2581" s="79">
        <f>IF(AN2581="","",IF(OR(AO2581&lt;&gt;"OK", AP2581&lt;&gt;"OK", AQ2581&lt;&gt;"OK"), "⚠️ REVISAR", "OK"))</f>
        <v/>
      </c>
    </row>
    <row r="2582">
      <c r="A2582" s="79">
        <f>IF('Ordenes_Odoo'!A2582="","",'Ordenes_Odoo'!A2582)</f>
        <v/>
      </c>
      <c r="B2582" s="80">
        <f>IF('Ordenes_Odoo'!B2582="","",'Ordenes_Odoo'!B2582)</f>
        <v/>
      </c>
      <c r="C2582" s="79">
        <f>IF('Ordenes_Odoo'!C2582="","",'Ordenes_Odoo'!C2582)</f>
        <v/>
      </c>
      <c r="D2582" s="79">
        <f>IF('Ordenes_Odoo'!D2582="","",'Ordenes_Odoo'!D2582)</f>
        <v/>
      </c>
      <c r="E2582" s="79">
        <f>IF('Ordenes_Odoo'!E2582="","",'Ordenes_Odoo'!E2582)</f>
        <v/>
      </c>
      <c r="F2582" s="79">
        <f>IF('Ordenes_Odoo'!F2582="","",'Ordenes_Odoo'!F2582)</f>
        <v/>
      </c>
      <c r="G2582" s="79">
        <f>IF('Ordenes_Odoo'!G2582="","",'Ordenes_Odoo'!G2582)</f>
        <v/>
      </c>
      <c r="H2582" s="79">
        <f>IF('Ordenes_Odoo'!H2582="","",'Ordenes_Odoo'!H2582)</f>
        <v/>
      </c>
      <c r="I2582" s="79">
        <f>IF('Ordenes_Odoo'!I2582="","",'Ordenes_Odoo'!I2582)</f>
        <v/>
      </c>
      <c r="J2582" s="79">
        <f>IF('Ordenes_Odoo'!J2582="","",'Ordenes_Odoo'!J2582)</f>
        <v/>
      </c>
      <c r="K2582" s="81">
        <f>IF('Ordenes_Odoo'!K2582="","",'Ordenes_Odoo'!K2582)</f>
        <v/>
      </c>
      <c r="L2582" s="81">
        <f>IF('Ordenes_Odoo'!L2582="","",'Ordenes_Odoo'!L2582)</f>
        <v/>
      </c>
      <c r="M2582" s="79">
        <f>IF('Ordenes_Odoo'!M2582="","",'Ordenes_Odoo'!M2582)</f>
        <v/>
      </c>
      <c r="N2582" s="79">
        <f>IF('Ordenes_Odoo'!N2582="","",'Ordenes_Odoo'!N2582)</f>
        <v/>
      </c>
      <c r="O2582" s="81">
        <f>IF('Ordenes_Odoo'!O2582="","",'Ordenes_Odoo'!O2582)</f>
        <v/>
      </c>
      <c r="P2582" s="81">
        <f>IF('Ordenes_Odoo'!P2582="","",'Ordenes_Odoo'!P2582)</f>
        <v/>
      </c>
      <c r="Q2582" s="79">
        <f>IF(A2582="","",IFERROR(INDEX(Facturas_Odoo!$B:$B, MATCH(A2582, Facturas_Odoo!$D:$D, 0)), "Sin Factura"))</f>
        <v/>
      </c>
      <c r="R2582" s="80">
        <f>IF(Q2582="Sin Factura","",IFERROR(INDEX(Facturas_Odoo!$A:$A, MATCH(Q2582, Facturas_Odoo!$B:$B, 0)), ""))</f>
        <v/>
      </c>
      <c r="S2582" s="79">
        <f>IF(Q2582="Sin Factura","",IFERROR(_xlfn.XLOOKUP(1, (Facturas_Odoo!$D:$D=A2582) * (Facturas_Odoo!$K:$K=I2582), Facturas_Odoo!$L:$L, ""), ""))</f>
        <v/>
      </c>
      <c r="T2582" s="81">
        <f>IF(Q2582="Sin Factura",0,IFERROR(_xlfn.XLOOKUP(1, (Facturas_Odoo!$D:$D=A2582) * (Facturas_Odoo!$K:$K=I2582), Facturas_Odoo!$M:$M, 0), 0))</f>
        <v/>
      </c>
      <c r="U2582" s="79">
        <f>IF(Q2582="Sin Factura",0,IFERROR(_xlfn.XLOOKUP(1, (Facturas_Odoo!$D:$D=A2582) * (Facturas_Odoo!$K:$K=I2582), Facturas_Odoo!$N:$N, 0), 0))</f>
        <v/>
      </c>
      <c r="V2582" s="79">
        <f>IF(Q2582="Sin Factura",0,IFERROR(_xlfn.XLOOKUP(1, (Facturas_Odoo!$D:$D=A2582) * (Facturas_Odoo!$K:$K=I2582), Facturas_Odoo!$O:$O, 0), 0))</f>
        <v/>
      </c>
      <c r="W2582" s="81">
        <f>IF(Q2582="Sin Factura",0,IFERROR(_xlfn.XLOOKUP(1, (Facturas_Odoo!$D:$D=A2582) * (Facturas_Odoo!$K:$K=I2582), Facturas_Odoo!$Q:$Q, 0), 0))</f>
        <v/>
      </c>
      <c r="X2582" s="79">
        <f>IF(OR(Q2582="Sin Factura",Q2582=""),"",IFERROR(INDEX(Pagos_Odoo!$B:$B, MATCH(Q2582, Pagos_Odoo!$I:$I, 0)), "Sin Pago"))</f>
        <v/>
      </c>
      <c r="Y2582" s="79">
        <f>IF(X2582="Sin Pago","",IFERROR(INDEX(Pagos_Odoo!$C:$C, MATCH(X2582, Pagos_Odoo!$B:$B, 0)), ""))</f>
        <v/>
      </c>
      <c r="Z2582" s="80">
        <f>IF(X2582="Sin Pago","",IFERROR(INDEX(Pagos_Odoo!$A:$A, MATCH(X2582, Pagos_Odoo!$B:$B, 0)), ""))</f>
        <v/>
      </c>
      <c r="AA2582" s="79">
        <f>IF(X2582="Sin Pago","",IFERROR(INDEX(Pagos_Odoo!$F:$F, MATCH(X2582, Pagos_Odoo!$B:$B, 0)), ""))</f>
        <v/>
      </c>
      <c r="AB2582" s="81">
        <f>IF(X2582="Sin Pago",0,IFERROR(INDEX(Pagos_Odoo!$E:$E, MATCH(X2582, Pagos_Odoo!$B:$B, 0)), 0))</f>
        <v/>
      </c>
      <c r="AC2582" s="79">
        <f>IF(X2582="Sin Pago","",IFERROR(INDEX(Pagos_Odoo!$G:$G, MATCH(X2582, Pagos_Odoo!$B:$B, 0)), ""))</f>
        <v/>
      </c>
      <c r="AD2582" s="82" t="n">
        <v>0</v>
      </c>
      <c r="AE2582" s="82" t="n"/>
      <c r="AF2582" s="82" t="n"/>
      <c r="AG2582" s="82">
        <f>IF(AN2582="","",AD2582+AE2582+AF2582)</f>
        <v/>
      </c>
      <c r="AH2582" s="81">
        <f>IF(AN2582="","",P2582*(1-AG2582))</f>
        <v/>
      </c>
      <c r="AI2582" s="81">
        <f>IF(AN2582="","",IF(Q2582="Sin Factura",0,IFERROR(INDEX(Facturas_Odoo!$H:$H, MATCH(Q2582, Facturas_Odoo!$B:$B, 0)), 0)*(1-AG2582)))</f>
        <v/>
      </c>
      <c r="AJ2582" s="81">
        <f>IF(AN2582="","",_xlfn.LET(idVenta, AN2582&amp;"",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82" s="81">
        <f>IF(AN2582="","",AH2582-AJ2582)</f>
        <v/>
      </c>
      <c r="AL2582" s="81">
        <f>IF(AN2582="","",IF(Q2582="Sin Factura","",AI2582-AJ2582))</f>
        <v/>
      </c>
      <c r="AM2582" s="81">
        <f>IF(AN2582="","",IF(Q2582="Sin Factura",0,P2582-IFERROR(INDEX(Facturas_Odoo!$H:$H, MATCH(Q2582, Facturas_Odoo!$B:$B, 0)), 0)))</f>
        <v/>
      </c>
      <c r="AN2582" s="79">
        <f>IF(AND(A2582="", J2582=""), "", IF(A2582&lt;&gt;"", VALUE(MID(A2582,2,LEN(A2582))), AN2581))</f>
        <v/>
      </c>
      <c r="AO2582" s="79">
        <f>IF(AN2582="","",IF(AD2582=0,"OK",_xlfn.LET(monedaPago, IF(AA2582="","USD",AA2582), limitePermitido, IFERROR(VLOOKUP(monedaPago, Configuración!$A$2:$B$3, 2, FALSE), 0.15), IF(AD2582&gt;limitePermitido, "ALERTA: EXCESO (" &amp; TEXT(limitePermitido, "0%") &amp; " máx)", "OK"))))</f>
        <v/>
      </c>
      <c r="AP2582" s="79">
        <f>IF(AN2582="","",IF(AE2582=0,"OK",_xlfn.LET(fechaPago, Z2582, fechaFactura, R2582, diasCredito, IF(E2582="Pago inmediato", 0, IFERROR(VALUE(MID(E2582, 1, SEARCH(" ", E2582)-1)),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82" s="79">
        <f>IF(AN2582="","",IF(AND(N2582&gt;0, AG2582&gt;0), IF(Configuración!$K$2="NO", "ALERTA: DESCUENTO DOBLE NO PERMITIDO", "OK"), "OK"))</f>
        <v/>
      </c>
      <c r="AR2582" s="79">
        <f>IF(AN2582="","",IF(OR(AO2582&lt;&gt;"OK", AP2582&lt;&gt;"OK", AQ2582&lt;&gt;"OK"), "⚠️ REVISAR", "OK"))</f>
        <v/>
      </c>
    </row>
    <row r="2583">
      <c r="A2583" s="79">
        <f>IF('Ordenes_Odoo'!A2583="","",'Ordenes_Odoo'!A2583)</f>
        <v/>
      </c>
      <c r="B2583" s="80">
        <f>IF('Ordenes_Odoo'!B2583="","",'Ordenes_Odoo'!B2583)</f>
        <v/>
      </c>
      <c r="C2583" s="79">
        <f>IF('Ordenes_Odoo'!C2583="","",'Ordenes_Odoo'!C2583)</f>
        <v/>
      </c>
      <c r="D2583" s="79">
        <f>IF('Ordenes_Odoo'!D2583="","",'Ordenes_Odoo'!D2583)</f>
        <v/>
      </c>
      <c r="E2583" s="79">
        <f>IF('Ordenes_Odoo'!E2583="","",'Ordenes_Odoo'!E2583)</f>
        <v/>
      </c>
      <c r="F2583" s="79">
        <f>IF('Ordenes_Odoo'!F2583="","",'Ordenes_Odoo'!F2583)</f>
        <v/>
      </c>
      <c r="G2583" s="79">
        <f>IF('Ordenes_Odoo'!G2583="","",'Ordenes_Odoo'!G2583)</f>
        <v/>
      </c>
      <c r="H2583" s="79">
        <f>IF('Ordenes_Odoo'!H2583="","",'Ordenes_Odoo'!H2583)</f>
        <v/>
      </c>
      <c r="I2583" s="79">
        <f>IF('Ordenes_Odoo'!I2583="","",'Ordenes_Odoo'!I2583)</f>
        <v/>
      </c>
      <c r="J2583" s="79">
        <f>IF('Ordenes_Odoo'!J2583="","",'Ordenes_Odoo'!J2583)</f>
        <v/>
      </c>
      <c r="K2583" s="81">
        <f>IF('Ordenes_Odoo'!K2583="","",'Ordenes_Odoo'!K2583)</f>
        <v/>
      </c>
      <c r="L2583" s="81">
        <f>IF('Ordenes_Odoo'!L2583="","",'Ordenes_Odoo'!L2583)</f>
        <v/>
      </c>
      <c r="M2583" s="79">
        <f>IF('Ordenes_Odoo'!M2583="","",'Ordenes_Odoo'!M2583)</f>
        <v/>
      </c>
      <c r="N2583" s="79">
        <f>IF('Ordenes_Odoo'!N2583="","",'Ordenes_Odoo'!N2583)</f>
        <v/>
      </c>
      <c r="O2583" s="81">
        <f>IF('Ordenes_Odoo'!O2583="","",'Ordenes_Odoo'!O2583)</f>
        <v/>
      </c>
      <c r="P2583" s="81">
        <f>IF('Ordenes_Odoo'!P2583="","",'Ordenes_Odoo'!P2583)</f>
        <v/>
      </c>
      <c r="Q2583" s="79">
        <f>IF(A2583="","",IFERROR(INDEX(Facturas_Odoo!$B:$B, MATCH(A2583, Facturas_Odoo!$D:$D, 0)), "Sin Factura"))</f>
        <v/>
      </c>
      <c r="R2583" s="80">
        <f>IF(Q2583="Sin Factura","",IFERROR(INDEX(Facturas_Odoo!$A:$A, MATCH(Q2583, Facturas_Odoo!$B:$B, 0)), ""))</f>
        <v/>
      </c>
      <c r="S2583" s="79">
        <f>IF(Q2583="Sin Factura","",IFERROR(_xlfn.XLOOKUP(1, (Facturas_Odoo!$D:$D=A2583) * (Facturas_Odoo!$K:$K=I2583), Facturas_Odoo!$L:$L, ""), ""))</f>
        <v/>
      </c>
      <c r="T2583" s="81">
        <f>IF(Q2583="Sin Factura",0,IFERROR(_xlfn.XLOOKUP(1, (Facturas_Odoo!$D:$D=A2583) * (Facturas_Odoo!$K:$K=I2583), Facturas_Odoo!$M:$M, 0), 0))</f>
        <v/>
      </c>
      <c r="U2583" s="79">
        <f>IF(Q2583="Sin Factura",0,IFERROR(_xlfn.XLOOKUP(1, (Facturas_Odoo!$D:$D=A2583) * (Facturas_Odoo!$K:$K=I2583), Facturas_Odoo!$N:$N, 0), 0))</f>
        <v/>
      </c>
      <c r="V2583" s="79">
        <f>IF(Q2583="Sin Factura",0,IFERROR(_xlfn.XLOOKUP(1, (Facturas_Odoo!$D:$D=A2583) * (Facturas_Odoo!$K:$K=I2583), Facturas_Odoo!$O:$O, 0), 0))</f>
        <v/>
      </c>
      <c r="W2583" s="81">
        <f>IF(Q2583="Sin Factura",0,IFERROR(_xlfn.XLOOKUP(1, (Facturas_Odoo!$D:$D=A2583) * (Facturas_Odoo!$K:$K=I2583), Facturas_Odoo!$Q:$Q, 0), 0))</f>
        <v/>
      </c>
      <c r="X2583" s="79">
        <f>IF(OR(Q2583="Sin Factura",Q2583=""),"",IFERROR(INDEX(Pagos_Odoo!$B:$B, MATCH(Q2583, Pagos_Odoo!$I:$I, 0)), "Sin Pago"))</f>
        <v/>
      </c>
      <c r="Y2583" s="79">
        <f>IF(X2583="Sin Pago","",IFERROR(INDEX(Pagos_Odoo!$C:$C, MATCH(X2583, Pagos_Odoo!$B:$B, 0)), ""))</f>
        <v/>
      </c>
      <c r="Z2583" s="80">
        <f>IF(X2583="Sin Pago","",IFERROR(INDEX(Pagos_Odoo!$A:$A, MATCH(X2583, Pagos_Odoo!$B:$B, 0)), ""))</f>
        <v/>
      </c>
      <c r="AA2583" s="79">
        <f>IF(X2583="Sin Pago","",IFERROR(INDEX(Pagos_Odoo!$F:$F, MATCH(X2583, Pagos_Odoo!$B:$B, 0)), ""))</f>
        <v/>
      </c>
      <c r="AB2583" s="81">
        <f>IF(X2583="Sin Pago",0,IFERROR(INDEX(Pagos_Odoo!$E:$E, MATCH(X2583, Pagos_Odoo!$B:$B, 0)), 0))</f>
        <v/>
      </c>
      <c r="AC2583" s="79">
        <f>IF(X2583="Sin Pago","",IFERROR(INDEX(Pagos_Odoo!$G:$G, MATCH(X2583, Pagos_Odoo!$B:$B, 0)), ""))</f>
        <v/>
      </c>
      <c r="AD2583" s="82" t="n">
        <v>0</v>
      </c>
      <c r="AE2583" s="82" t="n"/>
      <c r="AF2583" s="82" t="n"/>
      <c r="AG2583" s="82">
        <f>IF(AN2583="","",AD2583+AE2583+AF2583)</f>
        <v/>
      </c>
      <c r="AH2583" s="81">
        <f>IF(AN2583="","",P2583*(1-AG2583))</f>
        <v/>
      </c>
      <c r="AI2583" s="81">
        <f>IF(AN2583="","",IF(Q2583="Sin Factura",0,IFERROR(INDEX(Facturas_Odoo!$H:$H, MATCH(Q2583, Facturas_Odoo!$B:$B, 0)), 0)*(1-AG2583)))</f>
        <v/>
      </c>
      <c r="AJ2583" s="81">
        <f>IF(AN2583="","",_xlfn.LET(idVenta, AN2583&amp;"",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83" s="81">
        <f>IF(AN2583="","",AH2583-AJ2583)</f>
        <v/>
      </c>
      <c r="AL2583" s="81">
        <f>IF(AN2583="","",IF(Q2583="Sin Factura","",AI2583-AJ2583))</f>
        <v/>
      </c>
      <c r="AM2583" s="81">
        <f>IF(AN2583="","",IF(Q2583="Sin Factura",0,P2583-IFERROR(INDEX(Facturas_Odoo!$H:$H, MATCH(Q2583, Facturas_Odoo!$B:$B, 0)), 0)))</f>
        <v/>
      </c>
      <c r="AN2583" s="79">
        <f>IF(AND(A2583="", J2583=""), "", IF(A2583&lt;&gt;"", VALUE(MID(A2583,2,LEN(A2583))), AN2582))</f>
        <v/>
      </c>
      <c r="AO2583" s="79">
        <f>IF(AN2583="","",IF(AD2583=0,"OK",_xlfn.LET(monedaPago, IF(AA2583="","USD",AA2583), limitePermitido, IFERROR(VLOOKUP(monedaPago, Configuración!$A$2:$B$3, 2, FALSE), 0.15), IF(AD2583&gt;limitePermitido, "ALERTA: EXCESO (" &amp; TEXT(limitePermitido, "0%") &amp; " máx)", "OK"))))</f>
        <v/>
      </c>
      <c r="AP2583" s="79">
        <f>IF(AN2583="","",IF(AE2583=0,"OK",_xlfn.LET(fechaPago, Z2583, fechaFactura, R2583, diasCredito, IF(E2583="Pago inmediato", 0, IFERROR(VALUE(MID(E2583, 1, SEARCH(" ", E2583)-1)),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83" s="79">
        <f>IF(AN2583="","",IF(AND(N2583&gt;0, AG2583&gt;0), IF(Configuración!$K$2="NO", "ALERTA: DESCUENTO DOBLE NO PERMITIDO", "OK"), "OK"))</f>
        <v/>
      </c>
      <c r="AR2583" s="79">
        <f>IF(AN2583="","",IF(OR(AO2583&lt;&gt;"OK", AP2583&lt;&gt;"OK", AQ2583&lt;&gt;"OK"), "⚠️ REVISAR", "OK"))</f>
        <v/>
      </c>
    </row>
    <row r="2584">
      <c r="A2584" s="79">
        <f>IF('Ordenes_Odoo'!A2584="","",'Ordenes_Odoo'!A2584)</f>
        <v/>
      </c>
      <c r="B2584" s="80">
        <f>IF('Ordenes_Odoo'!B2584="","",'Ordenes_Odoo'!B2584)</f>
        <v/>
      </c>
      <c r="C2584" s="79">
        <f>IF('Ordenes_Odoo'!C2584="","",'Ordenes_Odoo'!C2584)</f>
        <v/>
      </c>
      <c r="D2584" s="79">
        <f>IF('Ordenes_Odoo'!D2584="","",'Ordenes_Odoo'!D2584)</f>
        <v/>
      </c>
      <c r="E2584" s="79">
        <f>IF('Ordenes_Odoo'!E2584="","",'Ordenes_Odoo'!E2584)</f>
        <v/>
      </c>
      <c r="F2584" s="79">
        <f>IF('Ordenes_Odoo'!F2584="","",'Ordenes_Odoo'!F2584)</f>
        <v/>
      </c>
      <c r="G2584" s="79">
        <f>IF('Ordenes_Odoo'!G2584="","",'Ordenes_Odoo'!G2584)</f>
        <v/>
      </c>
      <c r="H2584" s="79">
        <f>IF('Ordenes_Odoo'!H2584="","",'Ordenes_Odoo'!H2584)</f>
        <v/>
      </c>
      <c r="I2584" s="79">
        <f>IF('Ordenes_Odoo'!I2584="","",'Ordenes_Odoo'!I2584)</f>
        <v/>
      </c>
      <c r="J2584" s="79">
        <f>IF('Ordenes_Odoo'!J2584="","",'Ordenes_Odoo'!J2584)</f>
        <v/>
      </c>
      <c r="K2584" s="81">
        <f>IF('Ordenes_Odoo'!K2584="","",'Ordenes_Odoo'!K2584)</f>
        <v/>
      </c>
      <c r="L2584" s="81">
        <f>IF('Ordenes_Odoo'!L2584="","",'Ordenes_Odoo'!L2584)</f>
        <v/>
      </c>
      <c r="M2584" s="79">
        <f>IF('Ordenes_Odoo'!M2584="","",'Ordenes_Odoo'!M2584)</f>
        <v/>
      </c>
      <c r="N2584" s="79">
        <f>IF('Ordenes_Odoo'!N2584="","",'Ordenes_Odoo'!N2584)</f>
        <v/>
      </c>
      <c r="O2584" s="81">
        <f>IF('Ordenes_Odoo'!O2584="","",'Ordenes_Odoo'!O2584)</f>
        <v/>
      </c>
      <c r="P2584" s="81">
        <f>IF('Ordenes_Odoo'!P2584="","",'Ordenes_Odoo'!P2584)</f>
        <v/>
      </c>
      <c r="Q2584" s="79">
        <f>IF(A2584="","",IFERROR(INDEX(Facturas_Odoo!$B:$B, MATCH(A2584, Facturas_Odoo!$D:$D, 0)), "Sin Factura"))</f>
        <v/>
      </c>
      <c r="R2584" s="80">
        <f>IF(Q2584="Sin Factura","",IFERROR(INDEX(Facturas_Odoo!$A:$A, MATCH(Q2584, Facturas_Odoo!$B:$B, 0)), ""))</f>
        <v/>
      </c>
      <c r="S2584" s="79">
        <f>IF(Q2584="Sin Factura","",IFERROR(_xlfn.XLOOKUP(1, (Facturas_Odoo!$D:$D=A2584) * (Facturas_Odoo!$K:$K=I2584), Facturas_Odoo!$L:$L, ""), ""))</f>
        <v/>
      </c>
      <c r="T2584" s="81">
        <f>IF(Q2584="Sin Factura",0,IFERROR(_xlfn.XLOOKUP(1, (Facturas_Odoo!$D:$D=A2584) * (Facturas_Odoo!$K:$K=I2584), Facturas_Odoo!$M:$M, 0), 0))</f>
        <v/>
      </c>
      <c r="U2584" s="79">
        <f>IF(Q2584="Sin Factura",0,IFERROR(_xlfn.XLOOKUP(1, (Facturas_Odoo!$D:$D=A2584) * (Facturas_Odoo!$K:$K=I2584), Facturas_Odoo!$N:$N, 0), 0))</f>
        <v/>
      </c>
      <c r="V2584" s="79">
        <f>IF(Q2584="Sin Factura",0,IFERROR(_xlfn.XLOOKUP(1, (Facturas_Odoo!$D:$D=A2584) * (Facturas_Odoo!$K:$K=I2584), Facturas_Odoo!$O:$O, 0), 0))</f>
        <v/>
      </c>
      <c r="W2584" s="81">
        <f>IF(Q2584="Sin Factura",0,IFERROR(_xlfn.XLOOKUP(1, (Facturas_Odoo!$D:$D=A2584) * (Facturas_Odoo!$K:$K=I2584), Facturas_Odoo!$Q:$Q, 0), 0))</f>
        <v/>
      </c>
      <c r="X2584" s="79">
        <f>IF(OR(Q2584="Sin Factura",Q2584=""),"",IFERROR(INDEX(Pagos_Odoo!$B:$B, MATCH(Q2584, Pagos_Odoo!$I:$I, 0)), "Sin Pago"))</f>
        <v/>
      </c>
      <c r="Y2584" s="79">
        <f>IF(X2584="Sin Pago","",IFERROR(INDEX(Pagos_Odoo!$C:$C, MATCH(X2584, Pagos_Odoo!$B:$B, 0)), ""))</f>
        <v/>
      </c>
      <c r="Z2584" s="80">
        <f>IF(X2584="Sin Pago","",IFERROR(INDEX(Pagos_Odoo!$A:$A, MATCH(X2584, Pagos_Odoo!$B:$B, 0)), ""))</f>
        <v/>
      </c>
      <c r="AA2584" s="79">
        <f>IF(X2584="Sin Pago","",IFERROR(INDEX(Pagos_Odoo!$F:$F, MATCH(X2584, Pagos_Odoo!$B:$B, 0)), ""))</f>
        <v/>
      </c>
      <c r="AB2584" s="81">
        <f>IF(X2584="Sin Pago",0,IFERROR(INDEX(Pagos_Odoo!$E:$E, MATCH(X2584, Pagos_Odoo!$B:$B, 0)), 0))</f>
        <v/>
      </c>
      <c r="AC2584" s="79">
        <f>IF(X2584="Sin Pago","",IFERROR(INDEX(Pagos_Odoo!$G:$G, MATCH(X2584, Pagos_Odoo!$B:$B, 0)), ""))</f>
        <v/>
      </c>
      <c r="AD2584" s="82" t="n">
        <v>0</v>
      </c>
      <c r="AE2584" s="82" t="n"/>
      <c r="AF2584" s="82" t="n"/>
      <c r="AG2584" s="82">
        <f>IF(AN2584="","",AD2584+AE2584+AF2584)</f>
        <v/>
      </c>
      <c r="AH2584" s="81">
        <f>IF(AN2584="","",P2584*(1-AG2584))</f>
        <v/>
      </c>
      <c r="AI2584" s="81">
        <f>IF(AN2584="","",IF(Q2584="Sin Factura",0,IFERROR(INDEX(Facturas_Odoo!$H:$H, MATCH(Q2584, Facturas_Odoo!$B:$B, 0)), 0)*(1-AG2584)))</f>
        <v/>
      </c>
      <c r="AJ2584" s="81">
        <f>IF(AN2584="","",_xlfn.LET(idVenta, AN2584&amp;"",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84" s="81">
        <f>IF(AN2584="","",AH2584-AJ2584)</f>
        <v/>
      </c>
      <c r="AL2584" s="81">
        <f>IF(AN2584="","",IF(Q2584="Sin Factura","",AI2584-AJ2584))</f>
        <v/>
      </c>
      <c r="AM2584" s="81">
        <f>IF(AN2584="","",IF(Q2584="Sin Factura",0,P2584-IFERROR(INDEX(Facturas_Odoo!$H:$H, MATCH(Q2584, Facturas_Odoo!$B:$B, 0)), 0)))</f>
        <v/>
      </c>
      <c r="AN2584" s="79">
        <f>IF(AND(A2584="", J2584=""), "", IF(A2584&lt;&gt;"", VALUE(MID(A2584,2,LEN(A2584))), AN2583))</f>
        <v/>
      </c>
      <c r="AO2584" s="79">
        <f>IF(AN2584="","",IF(AD2584=0,"OK",_xlfn.LET(monedaPago, IF(AA2584="","USD",AA2584), limitePermitido, IFERROR(VLOOKUP(monedaPago, Configuración!$A$2:$B$3, 2, FALSE), 0.15), IF(AD2584&gt;limitePermitido, "ALERTA: EXCESO (" &amp; TEXT(limitePermitido, "0%") &amp; " máx)", "OK"))))</f>
        <v/>
      </c>
      <c r="AP2584" s="79">
        <f>IF(AN2584="","",IF(AE2584=0,"OK",_xlfn.LET(fechaPago, Z2584, fechaFactura, R2584, diasCredito, IF(E2584="Pago inmediato", 0, IFERROR(VALUE(MID(E2584, 1, SEARCH(" ", E2584)-1)),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84" s="79">
        <f>IF(AN2584="","",IF(AND(N2584&gt;0, AG2584&gt;0), IF(Configuración!$K$2="NO", "ALERTA: DESCUENTO DOBLE NO PERMITIDO", "OK"), "OK"))</f>
        <v/>
      </c>
      <c r="AR2584" s="79">
        <f>IF(AN2584="","",IF(OR(AO2584&lt;&gt;"OK", AP2584&lt;&gt;"OK", AQ2584&lt;&gt;"OK"), "⚠️ REVISAR", "OK"))</f>
        <v/>
      </c>
    </row>
    <row r="2585">
      <c r="A2585" s="79">
        <f>IF('Ordenes_Odoo'!A2585="","",'Ordenes_Odoo'!A2585)</f>
        <v/>
      </c>
      <c r="B2585" s="80">
        <f>IF('Ordenes_Odoo'!B2585="","",'Ordenes_Odoo'!B2585)</f>
        <v/>
      </c>
      <c r="C2585" s="79">
        <f>IF('Ordenes_Odoo'!C2585="","",'Ordenes_Odoo'!C2585)</f>
        <v/>
      </c>
      <c r="D2585" s="79">
        <f>IF('Ordenes_Odoo'!D2585="","",'Ordenes_Odoo'!D2585)</f>
        <v/>
      </c>
      <c r="E2585" s="79">
        <f>IF('Ordenes_Odoo'!E2585="","",'Ordenes_Odoo'!E2585)</f>
        <v/>
      </c>
      <c r="F2585" s="79">
        <f>IF('Ordenes_Odoo'!F2585="","",'Ordenes_Odoo'!F2585)</f>
        <v/>
      </c>
      <c r="G2585" s="79">
        <f>IF('Ordenes_Odoo'!G2585="","",'Ordenes_Odoo'!G2585)</f>
        <v/>
      </c>
      <c r="H2585" s="79">
        <f>IF('Ordenes_Odoo'!H2585="","",'Ordenes_Odoo'!H2585)</f>
        <v/>
      </c>
      <c r="I2585" s="79">
        <f>IF('Ordenes_Odoo'!I2585="","",'Ordenes_Odoo'!I2585)</f>
        <v/>
      </c>
      <c r="J2585" s="79">
        <f>IF('Ordenes_Odoo'!J2585="","",'Ordenes_Odoo'!J2585)</f>
        <v/>
      </c>
      <c r="K2585" s="81">
        <f>IF('Ordenes_Odoo'!K2585="","",'Ordenes_Odoo'!K2585)</f>
        <v/>
      </c>
      <c r="L2585" s="81">
        <f>IF('Ordenes_Odoo'!L2585="","",'Ordenes_Odoo'!L2585)</f>
        <v/>
      </c>
      <c r="M2585" s="79">
        <f>IF('Ordenes_Odoo'!M2585="","",'Ordenes_Odoo'!M2585)</f>
        <v/>
      </c>
      <c r="N2585" s="79">
        <f>IF('Ordenes_Odoo'!N2585="","",'Ordenes_Odoo'!N2585)</f>
        <v/>
      </c>
      <c r="O2585" s="81">
        <f>IF('Ordenes_Odoo'!O2585="","",'Ordenes_Odoo'!O2585)</f>
        <v/>
      </c>
      <c r="P2585" s="81">
        <f>IF('Ordenes_Odoo'!P2585="","",'Ordenes_Odoo'!P2585)</f>
        <v/>
      </c>
      <c r="Q2585" s="79">
        <f>IF(A2585="","",IFERROR(INDEX(Facturas_Odoo!$B:$B, MATCH(A2585, Facturas_Odoo!$D:$D, 0)), "Sin Factura"))</f>
        <v/>
      </c>
      <c r="R2585" s="80">
        <f>IF(Q2585="Sin Factura","",IFERROR(INDEX(Facturas_Odoo!$A:$A, MATCH(Q2585, Facturas_Odoo!$B:$B, 0)), ""))</f>
        <v/>
      </c>
      <c r="S2585" s="79">
        <f>IF(Q2585="Sin Factura","",IFERROR(_xlfn.XLOOKUP(1, (Facturas_Odoo!$D:$D=A2585) * (Facturas_Odoo!$K:$K=I2585), Facturas_Odoo!$L:$L, ""), ""))</f>
        <v/>
      </c>
      <c r="T2585" s="81">
        <f>IF(Q2585="Sin Factura",0,IFERROR(_xlfn.XLOOKUP(1, (Facturas_Odoo!$D:$D=A2585) * (Facturas_Odoo!$K:$K=I2585), Facturas_Odoo!$M:$M, 0), 0))</f>
        <v/>
      </c>
      <c r="U2585" s="79">
        <f>IF(Q2585="Sin Factura",0,IFERROR(_xlfn.XLOOKUP(1, (Facturas_Odoo!$D:$D=A2585) * (Facturas_Odoo!$K:$K=I2585), Facturas_Odoo!$N:$N, 0), 0))</f>
        <v/>
      </c>
      <c r="V2585" s="79">
        <f>IF(Q2585="Sin Factura",0,IFERROR(_xlfn.XLOOKUP(1, (Facturas_Odoo!$D:$D=A2585) * (Facturas_Odoo!$K:$K=I2585), Facturas_Odoo!$O:$O, 0), 0))</f>
        <v/>
      </c>
      <c r="W2585" s="81">
        <f>IF(Q2585="Sin Factura",0,IFERROR(_xlfn.XLOOKUP(1, (Facturas_Odoo!$D:$D=A2585) * (Facturas_Odoo!$K:$K=I2585), Facturas_Odoo!$Q:$Q, 0), 0))</f>
        <v/>
      </c>
      <c r="X2585" s="79">
        <f>IF(OR(Q2585="Sin Factura",Q2585=""),"",IFERROR(INDEX(Pagos_Odoo!$B:$B, MATCH(Q2585, Pagos_Odoo!$I:$I, 0)), "Sin Pago"))</f>
        <v/>
      </c>
      <c r="Y2585" s="79">
        <f>IF(X2585="Sin Pago","",IFERROR(INDEX(Pagos_Odoo!$C:$C, MATCH(X2585, Pagos_Odoo!$B:$B, 0)), ""))</f>
        <v/>
      </c>
      <c r="Z2585" s="80">
        <f>IF(X2585="Sin Pago","",IFERROR(INDEX(Pagos_Odoo!$A:$A, MATCH(X2585, Pagos_Odoo!$B:$B, 0)), ""))</f>
        <v/>
      </c>
      <c r="AA2585" s="79">
        <f>IF(X2585="Sin Pago","",IFERROR(INDEX(Pagos_Odoo!$F:$F, MATCH(X2585, Pagos_Odoo!$B:$B, 0)), ""))</f>
        <v/>
      </c>
      <c r="AB2585" s="81">
        <f>IF(X2585="Sin Pago",0,IFERROR(INDEX(Pagos_Odoo!$E:$E, MATCH(X2585, Pagos_Odoo!$B:$B, 0)), 0))</f>
        <v/>
      </c>
      <c r="AC2585" s="79">
        <f>IF(X2585="Sin Pago","",IFERROR(INDEX(Pagos_Odoo!$G:$G, MATCH(X2585, Pagos_Odoo!$B:$B, 0)), ""))</f>
        <v/>
      </c>
      <c r="AD2585" s="82" t="n">
        <v>0</v>
      </c>
      <c r="AE2585" s="82" t="n"/>
      <c r="AF2585" s="82" t="n"/>
      <c r="AG2585" s="82">
        <f>IF(AN2585="","",AD2585+AE2585+AF2585)</f>
        <v/>
      </c>
      <c r="AH2585" s="81">
        <f>IF(AN2585="","",P2585*(1-AG2585))</f>
        <v/>
      </c>
      <c r="AI2585" s="81">
        <f>IF(AN2585="","",IF(Q2585="Sin Factura",0,IFERROR(INDEX(Facturas_Odoo!$H:$H, MATCH(Q2585, Facturas_Odoo!$B:$B, 0)), 0)*(1-AG2585)))</f>
        <v/>
      </c>
      <c r="AJ2585" s="81">
        <f>IF(AN2585="","",_xlfn.LET(idVenta, AN2585&amp;"",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85" s="81">
        <f>IF(AN2585="","",AH2585-AJ2585)</f>
        <v/>
      </c>
      <c r="AL2585" s="81">
        <f>IF(AN2585="","",IF(Q2585="Sin Factura","",AI2585-AJ2585))</f>
        <v/>
      </c>
      <c r="AM2585" s="81">
        <f>IF(AN2585="","",IF(Q2585="Sin Factura",0,P2585-IFERROR(INDEX(Facturas_Odoo!$H:$H, MATCH(Q2585, Facturas_Odoo!$B:$B, 0)), 0)))</f>
        <v/>
      </c>
      <c r="AN2585" s="79">
        <f>IF(AND(A2585="", J2585=""), "", IF(A2585&lt;&gt;"", VALUE(MID(A2585,2,LEN(A2585))), AN2584))</f>
        <v/>
      </c>
      <c r="AO2585" s="79">
        <f>IF(AN2585="","",IF(AD2585=0,"OK",_xlfn.LET(monedaPago, IF(AA2585="","USD",AA2585), limitePermitido, IFERROR(VLOOKUP(monedaPago, Configuración!$A$2:$B$3, 2, FALSE), 0.15), IF(AD2585&gt;limitePermitido, "ALERTA: EXCESO (" &amp; TEXT(limitePermitido, "0%") &amp; " máx)", "OK"))))</f>
        <v/>
      </c>
      <c r="AP2585" s="79">
        <f>IF(AN2585="","",IF(AE2585=0,"OK",_xlfn.LET(fechaPago, Z2585, fechaFactura, R2585, diasCredito, IF(E2585="Pago inmediato", 0, IFERROR(VALUE(MID(E2585, 1, SEARCH(" ", E2585)-1)),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85" s="79">
        <f>IF(AN2585="","",IF(AND(N2585&gt;0, AG2585&gt;0), IF(Configuración!$K$2="NO", "ALERTA: DESCUENTO DOBLE NO PERMITIDO", "OK"), "OK"))</f>
        <v/>
      </c>
      <c r="AR2585" s="79">
        <f>IF(AN2585="","",IF(OR(AO2585&lt;&gt;"OK", AP2585&lt;&gt;"OK", AQ2585&lt;&gt;"OK"), "⚠️ REVISAR", "OK"))</f>
        <v/>
      </c>
    </row>
    <row r="2586">
      <c r="A2586" s="79">
        <f>IF('Ordenes_Odoo'!A2586="","",'Ordenes_Odoo'!A2586)</f>
        <v/>
      </c>
      <c r="B2586" s="80">
        <f>IF('Ordenes_Odoo'!B2586="","",'Ordenes_Odoo'!B2586)</f>
        <v/>
      </c>
      <c r="C2586" s="79">
        <f>IF('Ordenes_Odoo'!C2586="","",'Ordenes_Odoo'!C2586)</f>
        <v/>
      </c>
      <c r="D2586" s="79">
        <f>IF('Ordenes_Odoo'!D2586="","",'Ordenes_Odoo'!D2586)</f>
        <v/>
      </c>
      <c r="E2586" s="79">
        <f>IF('Ordenes_Odoo'!E2586="","",'Ordenes_Odoo'!E2586)</f>
        <v/>
      </c>
      <c r="F2586" s="79">
        <f>IF('Ordenes_Odoo'!F2586="","",'Ordenes_Odoo'!F2586)</f>
        <v/>
      </c>
      <c r="G2586" s="79">
        <f>IF('Ordenes_Odoo'!G2586="","",'Ordenes_Odoo'!G2586)</f>
        <v/>
      </c>
      <c r="H2586" s="79">
        <f>IF('Ordenes_Odoo'!H2586="","",'Ordenes_Odoo'!H2586)</f>
        <v/>
      </c>
      <c r="I2586" s="79">
        <f>IF('Ordenes_Odoo'!I2586="","",'Ordenes_Odoo'!I2586)</f>
        <v/>
      </c>
      <c r="J2586" s="79">
        <f>IF('Ordenes_Odoo'!J2586="","",'Ordenes_Odoo'!J2586)</f>
        <v/>
      </c>
      <c r="K2586" s="81">
        <f>IF('Ordenes_Odoo'!K2586="","",'Ordenes_Odoo'!K2586)</f>
        <v/>
      </c>
      <c r="L2586" s="81">
        <f>IF('Ordenes_Odoo'!L2586="","",'Ordenes_Odoo'!L2586)</f>
        <v/>
      </c>
      <c r="M2586" s="79">
        <f>IF('Ordenes_Odoo'!M2586="","",'Ordenes_Odoo'!M2586)</f>
        <v/>
      </c>
      <c r="N2586" s="79">
        <f>IF('Ordenes_Odoo'!N2586="","",'Ordenes_Odoo'!N2586)</f>
        <v/>
      </c>
      <c r="O2586" s="81">
        <f>IF('Ordenes_Odoo'!O2586="","",'Ordenes_Odoo'!O2586)</f>
        <v/>
      </c>
      <c r="P2586" s="81">
        <f>IF('Ordenes_Odoo'!P2586="","",'Ordenes_Odoo'!P2586)</f>
        <v/>
      </c>
      <c r="Q2586" s="79">
        <f>IF(A2586="","",IFERROR(INDEX(Facturas_Odoo!$B:$B, MATCH(A2586, Facturas_Odoo!$D:$D, 0)), "Sin Factura"))</f>
        <v/>
      </c>
      <c r="R2586" s="80">
        <f>IF(Q2586="Sin Factura","",IFERROR(INDEX(Facturas_Odoo!$A:$A, MATCH(Q2586, Facturas_Odoo!$B:$B, 0)), ""))</f>
        <v/>
      </c>
      <c r="S2586" s="79">
        <f>IF(Q2586="Sin Factura","",IFERROR(_xlfn.XLOOKUP(1, (Facturas_Odoo!$D:$D=A2586) * (Facturas_Odoo!$K:$K=I2586), Facturas_Odoo!$L:$L, ""), ""))</f>
        <v/>
      </c>
      <c r="T2586" s="81">
        <f>IF(Q2586="Sin Factura",0,IFERROR(_xlfn.XLOOKUP(1, (Facturas_Odoo!$D:$D=A2586) * (Facturas_Odoo!$K:$K=I2586), Facturas_Odoo!$M:$M, 0), 0))</f>
        <v/>
      </c>
      <c r="U2586" s="79">
        <f>IF(Q2586="Sin Factura",0,IFERROR(_xlfn.XLOOKUP(1, (Facturas_Odoo!$D:$D=A2586) * (Facturas_Odoo!$K:$K=I2586), Facturas_Odoo!$N:$N, 0), 0))</f>
        <v/>
      </c>
      <c r="V2586" s="79">
        <f>IF(Q2586="Sin Factura",0,IFERROR(_xlfn.XLOOKUP(1, (Facturas_Odoo!$D:$D=A2586) * (Facturas_Odoo!$K:$K=I2586), Facturas_Odoo!$O:$O, 0), 0))</f>
        <v/>
      </c>
      <c r="W2586" s="81">
        <f>IF(Q2586="Sin Factura",0,IFERROR(_xlfn.XLOOKUP(1, (Facturas_Odoo!$D:$D=A2586) * (Facturas_Odoo!$K:$K=I2586), Facturas_Odoo!$Q:$Q, 0), 0))</f>
        <v/>
      </c>
      <c r="X2586" s="79">
        <f>IF(OR(Q2586="Sin Factura",Q2586=""),"",IFERROR(INDEX(Pagos_Odoo!$B:$B, MATCH(Q2586, Pagos_Odoo!$I:$I, 0)), "Sin Pago"))</f>
        <v/>
      </c>
      <c r="Y2586" s="79">
        <f>IF(X2586="Sin Pago","",IFERROR(INDEX(Pagos_Odoo!$C:$C, MATCH(X2586, Pagos_Odoo!$B:$B, 0)), ""))</f>
        <v/>
      </c>
      <c r="Z2586" s="80">
        <f>IF(X2586="Sin Pago","",IFERROR(INDEX(Pagos_Odoo!$A:$A, MATCH(X2586, Pagos_Odoo!$B:$B, 0)), ""))</f>
        <v/>
      </c>
      <c r="AA2586" s="79">
        <f>IF(X2586="Sin Pago","",IFERROR(INDEX(Pagos_Odoo!$F:$F, MATCH(X2586, Pagos_Odoo!$B:$B, 0)), ""))</f>
        <v/>
      </c>
      <c r="AB2586" s="81">
        <f>IF(X2586="Sin Pago",0,IFERROR(INDEX(Pagos_Odoo!$E:$E, MATCH(X2586, Pagos_Odoo!$B:$B, 0)), 0))</f>
        <v/>
      </c>
      <c r="AC2586" s="79">
        <f>IF(X2586="Sin Pago","",IFERROR(INDEX(Pagos_Odoo!$G:$G, MATCH(X2586, Pagos_Odoo!$B:$B, 0)), ""))</f>
        <v/>
      </c>
      <c r="AD2586" s="82" t="n">
        <v>0</v>
      </c>
      <c r="AE2586" s="82" t="n"/>
      <c r="AF2586" s="82" t="n"/>
      <c r="AG2586" s="82">
        <f>IF(AN2586="","",AD2586+AE2586+AF2586)</f>
        <v/>
      </c>
      <c r="AH2586" s="81">
        <f>IF(AN2586="","",P2586*(1-AG2586))</f>
        <v/>
      </c>
      <c r="AI2586" s="81">
        <f>IF(AN2586="","",IF(Q2586="Sin Factura",0,IFERROR(INDEX(Facturas_Odoo!$H:$H, MATCH(Q2586, Facturas_Odoo!$B:$B, 0)), 0)*(1-AG2586)))</f>
        <v/>
      </c>
      <c r="AJ2586" s="81">
        <f>IF(AN2586="","",_xlfn.LET(idVenta, AN2586&amp;"",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86" s="81">
        <f>IF(AN2586="","",AH2586-AJ2586)</f>
        <v/>
      </c>
      <c r="AL2586" s="81">
        <f>IF(AN2586="","",IF(Q2586="Sin Factura","",AI2586-AJ2586))</f>
        <v/>
      </c>
      <c r="AM2586" s="81">
        <f>IF(AN2586="","",IF(Q2586="Sin Factura",0,P2586-IFERROR(INDEX(Facturas_Odoo!$H:$H, MATCH(Q2586, Facturas_Odoo!$B:$B, 0)), 0)))</f>
        <v/>
      </c>
      <c r="AN2586" s="79">
        <f>IF(AND(A2586="", J2586=""), "", IF(A2586&lt;&gt;"", VALUE(MID(A2586,2,LEN(A2586))), AN2585))</f>
        <v/>
      </c>
      <c r="AO2586" s="79">
        <f>IF(AN2586="","",IF(AD2586=0,"OK",_xlfn.LET(monedaPago, IF(AA2586="","USD",AA2586), limitePermitido, IFERROR(VLOOKUP(monedaPago, Configuración!$A$2:$B$3, 2, FALSE), 0.15), IF(AD2586&gt;limitePermitido, "ALERTA: EXCESO (" &amp; TEXT(limitePermitido, "0%") &amp; " máx)", "OK"))))</f>
        <v/>
      </c>
      <c r="AP2586" s="79">
        <f>IF(AN2586="","",IF(AE2586=0,"OK",_xlfn.LET(fechaPago, Z2586, fechaFactura, R2586, diasCredito, IF(E2586="Pago inmediato", 0, IFERROR(VALUE(MID(E2586, 1, SEARCH(" ", E2586)-1)),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86" s="79">
        <f>IF(AN2586="","",IF(AND(N2586&gt;0, AG2586&gt;0), IF(Configuración!$K$2="NO", "ALERTA: DESCUENTO DOBLE NO PERMITIDO", "OK"), "OK"))</f>
        <v/>
      </c>
      <c r="AR2586" s="79">
        <f>IF(AN2586="","",IF(OR(AO2586&lt;&gt;"OK", AP2586&lt;&gt;"OK", AQ2586&lt;&gt;"OK"), "⚠️ REVISAR", "OK"))</f>
        <v/>
      </c>
    </row>
    <row r="2587">
      <c r="A2587" s="79">
        <f>IF('Ordenes_Odoo'!A2587="","",'Ordenes_Odoo'!A2587)</f>
        <v/>
      </c>
      <c r="B2587" s="80">
        <f>IF('Ordenes_Odoo'!B2587="","",'Ordenes_Odoo'!B2587)</f>
        <v/>
      </c>
      <c r="C2587" s="79">
        <f>IF('Ordenes_Odoo'!C2587="","",'Ordenes_Odoo'!C2587)</f>
        <v/>
      </c>
      <c r="D2587" s="79">
        <f>IF('Ordenes_Odoo'!D2587="","",'Ordenes_Odoo'!D2587)</f>
        <v/>
      </c>
      <c r="E2587" s="79">
        <f>IF('Ordenes_Odoo'!E2587="","",'Ordenes_Odoo'!E2587)</f>
        <v/>
      </c>
      <c r="F2587" s="79">
        <f>IF('Ordenes_Odoo'!F2587="","",'Ordenes_Odoo'!F2587)</f>
        <v/>
      </c>
      <c r="G2587" s="79">
        <f>IF('Ordenes_Odoo'!G2587="","",'Ordenes_Odoo'!G2587)</f>
        <v/>
      </c>
      <c r="H2587" s="79">
        <f>IF('Ordenes_Odoo'!H2587="","",'Ordenes_Odoo'!H2587)</f>
        <v/>
      </c>
      <c r="I2587" s="79">
        <f>IF('Ordenes_Odoo'!I2587="","",'Ordenes_Odoo'!I2587)</f>
        <v/>
      </c>
      <c r="J2587" s="79">
        <f>IF('Ordenes_Odoo'!J2587="","",'Ordenes_Odoo'!J2587)</f>
        <v/>
      </c>
      <c r="K2587" s="81">
        <f>IF('Ordenes_Odoo'!K2587="","",'Ordenes_Odoo'!K2587)</f>
        <v/>
      </c>
      <c r="L2587" s="81">
        <f>IF('Ordenes_Odoo'!L2587="","",'Ordenes_Odoo'!L2587)</f>
        <v/>
      </c>
      <c r="M2587" s="79">
        <f>IF('Ordenes_Odoo'!M2587="","",'Ordenes_Odoo'!M2587)</f>
        <v/>
      </c>
      <c r="N2587" s="79">
        <f>IF('Ordenes_Odoo'!N2587="","",'Ordenes_Odoo'!N2587)</f>
        <v/>
      </c>
      <c r="O2587" s="81">
        <f>IF('Ordenes_Odoo'!O2587="","",'Ordenes_Odoo'!O2587)</f>
        <v/>
      </c>
      <c r="P2587" s="81">
        <f>IF('Ordenes_Odoo'!P2587="","",'Ordenes_Odoo'!P2587)</f>
        <v/>
      </c>
      <c r="Q2587" s="79">
        <f>IF(A2587="","",IFERROR(INDEX(Facturas_Odoo!$B:$B, MATCH(A2587, Facturas_Odoo!$D:$D, 0)), "Sin Factura"))</f>
        <v/>
      </c>
      <c r="R2587" s="80">
        <f>IF(Q2587="Sin Factura","",IFERROR(INDEX(Facturas_Odoo!$A:$A, MATCH(Q2587, Facturas_Odoo!$B:$B, 0)), ""))</f>
        <v/>
      </c>
      <c r="S2587" s="79">
        <f>IF(Q2587="Sin Factura","",IFERROR(_xlfn.XLOOKUP(1, (Facturas_Odoo!$D:$D=A2587) * (Facturas_Odoo!$K:$K=I2587), Facturas_Odoo!$L:$L, ""), ""))</f>
        <v/>
      </c>
      <c r="T2587" s="81">
        <f>IF(Q2587="Sin Factura",0,IFERROR(_xlfn.XLOOKUP(1, (Facturas_Odoo!$D:$D=A2587) * (Facturas_Odoo!$K:$K=I2587), Facturas_Odoo!$M:$M, 0), 0))</f>
        <v/>
      </c>
      <c r="U2587" s="79">
        <f>IF(Q2587="Sin Factura",0,IFERROR(_xlfn.XLOOKUP(1, (Facturas_Odoo!$D:$D=A2587) * (Facturas_Odoo!$K:$K=I2587), Facturas_Odoo!$N:$N, 0), 0))</f>
        <v/>
      </c>
      <c r="V2587" s="79">
        <f>IF(Q2587="Sin Factura",0,IFERROR(_xlfn.XLOOKUP(1, (Facturas_Odoo!$D:$D=A2587) * (Facturas_Odoo!$K:$K=I2587), Facturas_Odoo!$O:$O, 0), 0))</f>
        <v/>
      </c>
      <c r="W2587" s="81">
        <f>IF(Q2587="Sin Factura",0,IFERROR(_xlfn.XLOOKUP(1, (Facturas_Odoo!$D:$D=A2587) * (Facturas_Odoo!$K:$K=I2587), Facturas_Odoo!$Q:$Q, 0), 0))</f>
        <v/>
      </c>
      <c r="X2587" s="79">
        <f>IF(OR(Q2587="Sin Factura",Q2587=""),"",IFERROR(INDEX(Pagos_Odoo!$B:$B, MATCH(Q2587, Pagos_Odoo!$I:$I, 0)), "Sin Pago"))</f>
        <v/>
      </c>
      <c r="Y2587" s="79">
        <f>IF(X2587="Sin Pago","",IFERROR(INDEX(Pagos_Odoo!$C:$C, MATCH(X2587, Pagos_Odoo!$B:$B, 0)), ""))</f>
        <v/>
      </c>
      <c r="Z2587" s="80">
        <f>IF(X2587="Sin Pago","",IFERROR(INDEX(Pagos_Odoo!$A:$A, MATCH(X2587, Pagos_Odoo!$B:$B, 0)), ""))</f>
        <v/>
      </c>
      <c r="AA2587" s="79">
        <f>IF(X2587="Sin Pago","",IFERROR(INDEX(Pagos_Odoo!$F:$F, MATCH(X2587, Pagos_Odoo!$B:$B, 0)), ""))</f>
        <v/>
      </c>
      <c r="AB2587" s="81">
        <f>IF(X2587="Sin Pago",0,IFERROR(INDEX(Pagos_Odoo!$E:$E, MATCH(X2587, Pagos_Odoo!$B:$B, 0)), 0))</f>
        <v/>
      </c>
      <c r="AC2587" s="79">
        <f>IF(X2587="Sin Pago","",IFERROR(INDEX(Pagos_Odoo!$G:$G, MATCH(X2587, Pagos_Odoo!$B:$B, 0)), ""))</f>
        <v/>
      </c>
      <c r="AD2587" s="82" t="n">
        <v>0</v>
      </c>
      <c r="AE2587" s="82" t="n"/>
      <c r="AF2587" s="82" t="n"/>
      <c r="AG2587" s="82">
        <f>IF(AN2587="","",AD2587+AE2587+AF2587)</f>
        <v/>
      </c>
      <c r="AH2587" s="81">
        <f>IF(AN2587="","",P2587*(1-AG2587))</f>
        <v/>
      </c>
      <c r="AI2587" s="81">
        <f>IF(AN2587="","",IF(Q2587="Sin Factura",0,IFERROR(INDEX(Facturas_Odoo!$H:$H, MATCH(Q2587, Facturas_Odoo!$B:$B, 0)), 0)*(1-AG2587)))</f>
        <v/>
      </c>
      <c r="AJ2587" s="81">
        <f>IF(AN2587="","",_xlfn.LET(idVenta, AN2587&amp;"",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87" s="81">
        <f>IF(AN2587="","",AH2587-AJ2587)</f>
        <v/>
      </c>
      <c r="AL2587" s="81">
        <f>IF(AN2587="","",IF(Q2587="Sin Factura","",AI2587-AJ2587))</f>
        <v/>
      </c>
      <c r="AM2587" s="81">
        <f>IF(AN2587="","",IF(Q2587="Sin Factura",0,P2587-IFERROR(INDEX(Facturas_Odoo!$H:$H, MATCH(Q2587, Facturas_Odoo!$B:$B, 0)), 0)))</f>
        <v/>
      </c>
      <c r="AN2587" s="79">
        <f>IF(AND(A2587="", J2587=""), "", IF(A2587&lt;&gt;"", VALUE(MID(A2587,2,LEN(A2587))), AN2586))</f>
        <v/>
      </c>
      <c r="AO2587" s="79">
        <f>IF(AN2587="","",IF(AD2587=0,"OK",_xlfn.LET(monedaPago, IF(AA2587="","USD",AA2587), limitePermitido, IFERROR(VLOOKUP(monedaPago, Configuración!$A$2:$B$3, 2, FALSE), 0.15), IF(AD2587&gt;limitePermitido, "ALERTA: EXCESO (" &amp; TEXT(limitePermitido, "0%") &amp; " máx)", "OK"))))</f>
        <v/>
      </c>
      <c r="AP2587" s="79">
        <f>IF(AN2587="","",IF(AE2587=0,"OK",_xlfn.LET(fechaPago, Z2587, fechaFactura, R2587, diasCredito, IF(E2587="Pago inmediato", 0, IFERROR(VALUE(MID(E2587, 1, SEARCH(" ", E2587)-1)),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87" s="79">
        <f>IF(AN2587="","",IF(AND(N2587&gt;0, AG2587&gt;0), IF(Configuración!$K$2="NO", "ALERTA: DESCUENTO DOBLE NO PERMITIDO", "OK"), "OK"))</f>
        <v/>
      </c>
      <c r="AR2587" s="79">
        <f>IF(AN2587="","",IF(OR(AO2587&lt;&gt;"OK", AP2587&lt;&gt;"OK", AQ2587&lt;&gt;"OK"), "⚠️ REVISAR", "OK"))</f>
        <v/>
      </c>
    </row>
    <row r="2588">
      <c r="A2588" s="79">
        <f>IF('Ordenes_Odoo'!A2588="","",'Ordenes_Odoo'!A2588)</f>
        <v/>
      </c>
      <c r="B2588" s="80">
        <f>IF('Ordenes_Odoo'!B2588="","",'Ordenes_Odoo'!B2588)</f>
        <v/>
      </c>
      <c r="C2588" s="79">
        <f>IF('Ordenes_Odoo'!C2588="","",'Ordenes_Odoo'!C2588)</f>
        <v/>
      </c>
      <c r="D2588" s="79">
        <f>IF('Ordenes_Odoo'!D2588="","",'Ordenes_Odoo'!D2588)</f>
        <v/>
      </c>
      <c r="E2588" s="79">
        <f>IF('Ordenes_Odoo'!E2588="","",'Ordenes_Odoo'!E2588)</f>
        <v/>
      </c>
      <c r="F2588" s="79">
        <f>IF('Ordenes_Odoo'!F2588="","",'Ordenes_Odoo'!F2588)</f>
        <v/>
      </c>
      <c r="G2588" s="79">
        <f>IF('Ordenes_Odoo'!G2588="","",'Ordenes_Odoo'!G2588)</f>
        <v/>
      </c>
      <c r="H2588" s="79">
        <f>IF('Ordenes_Odoo'!H2588="","",'Ordenes_Odoo'!H2588)</f>
        <v/>
      </c>
      <c r="I2588" s="79">
        <f>IF('Ordenes_Odoo'!I2588="","",'Ordenes_Odoo'!I2588)</f>
        <v/>
      </c>
      <c r="J2588" s="79">
        <f>IF('Ordenes_Odoo'!J2588="","",'Ordenes_Odoo'!J2588)</f>
        <v/>
      </c>
      <c r="K2588" s="81">
        <f>IF('Ordenes_Odoo'!K2588="","",'Ordenes_Odoo'!K2588)</f>
        <v/>
      </c>
      <c r="L2588" s="81">
        <f>IF('Ordenes_Odoo'!L2588="","",'Ordenes_Odoo'!L2588)</f>
        <v/>
      </c>
      <c r="M2588" s="79">
        <f>IF('Ordenes_Odoo'!M2588="","",'Ordenes_Odoo'!M2588)</f>
        <v/>
      </c>
      <c r="N2588" s="79">
        <f>IF('Ordenes_Odoo'!N2588="","",'Ordenes_Odoo'!N2588)</f>
        <v/>
      </c>
      <c r="O2588" s="81">
        <f>IF('Ordenes_Odoo'!O2588="","",'Ordenes_Odoo'!O2588)</f>
        <v/>
      </c>
      <c r="P2588" s="81">
        <f>IF('Ordenes_Odoo'!P2588="","",'Ordenes_Odoo'!P2588)</f>
        <v/>
      </c>
      <c r="Q2588" s="79">
        <f>IF(A2588="","",IFERROR(INDEX(Facturas_Odoo!$B:$B, MATCH(A2588, Facturas_Odoo!$D:$D, 0)), "Sin Factura"))</f>
        <v/>
      </c>
      <c r="R2588" s="80">
        <f>IF(Q2588="Sin Factura","",IFERROR(INDEX(Facturas_Odoo!$A:$A, MATCH(Q2588, Facturas_Odoo!$B:$B, 0)), ""))</f>
        <v/>
      </c>
      <c r="S2588" s="79">
        <f>IF(Q2588="Sin Factura","",IFERROR(_xlfn.XLOOKUP(1, (Facturas_Odoo!$D:$D=A2588) * (Facturas_Odoo!$K:$K=I2588), Facturas_Odoo!$L:$L, ""), ""))</f>
        <v/>
      </c>
      <c r="T2588" s="81">
        <f>IF(Q2588="Sin Factura",0,IFERROR(_xlfn.XLOOKUP(1, (Facturas_Odoo!$D:$D=A2588) * (Facturas_Odoo!$K:$K=I2588), Facturas_Odoo!$M:$M, 0), 0))</f>
        <v/>
      </c>
      <c r="U2588" s="79">
        <f>IF(Q2588="Sin Factura",0,IFERROR(_xlfn.XLOOKUP(1, (Facturas_Odoo!$D:$D=A2588) * (Facturas_Odoo!$K:$K=I2588), Facturas_Odoo!$N:$N, 0), 0))</f>
        <v/>
      </c>
      <c r="V2588" s="79">
        <f>IF(Q2588="Sin Factura",0,IFERROR(_xlfn.XLOOKUP(1, (Facturas_Odoo!$D:$D=A2588) * (Facturas_Odoo!$K:$K=I2588), Facturas_Odoo!$O:$O, 0), 0))</f>
        <v/>
      </c>
      <c r="W2588" s="81">
        <f>IF(Q2588="Sin Factura",0,IFERROR(_xlfn.XLOOKUP(1, (Facturas_Odoo!$D:$D=A2588) * (Facturas_Odoo!$K:$K=I2588), Facturas_Odoo!$Q:$Q, 0), 0))</f>
        <v/>
      </c>
      <c r="X2588" s="79">
        <f>IF(OR(Q2588="Sin Factura",Q2588=""),"",IFERROR(INDEX(Pagos_Odoo!$B:$B, MATCH(Q2588, Pagos_Odoo!$I:$I, 0)), "Sin Pago"))</f>
        <v/>
      </c>
      <c r="Y2588" s="79">
        <f>IF(X2588="Sin Pago","",IFERROR(INDEX(Pagos_Odoo!$C:$C, MATCH(X2588, Pagos_Odoo!$B:$B, 0)), ""))</f>
        <v/>
      </c>
      <c r="Z2588" s="80">
        <f>IF(X2588="Sin Pago","",IFERROR(INDEX(Pagos_Odoo!$A:$A, MATCH(X2588, Pagos_Odoo!$B:$B, 0)), ""))</f>
        <v/>
      </c>
      <c r="AA2588" s="79">
        <f>IF(X2588="Sin Pago","",IFERROR(INDEX(Pagos_Odoo!$F:$F, MATCH(X2588, Pagos_Odoo!$B:$B, 0)), ""))</f>
        <v/>
      </c>
      <c r="AB2588" s="81">
        <f>IF(X2588="Sin Pago",0,IFERROR(INDEX(Pagos_Odoo!$E:$E, MATCH(X2588, Pagos_Odoo!$B:$B, 0)), 0))</f>
        <v/>
      </c>
      <c r="AC2588" s="79">
        <f>IF(X2588="Sin Pago","",IFERROR(INDEX(Pagos_Odoo!$G:$G, MATCH(X2588, Pagos_Odoo!$B:$B, 0)), ""))</f>
        <v/>
      </c>
      <c r="AD2588" s="82" t="n">
        <v>0</v>
      </c>
      <c r="AE2588" s="82" t="n"/>
      <c r="AF2588" s="82" t="n"/>
      <c r="AG2588" s="82">
        <f>IF(AN2588="","",AD2588+AE2588+AF2588)</f>
        <v/>
      </c>
      <c r="AH2588" s="81">
        <f>IF(AN2588="","",P2588*(1-AG2588))</f>
        <v/>
      </c>
      <c r="AI2588" s="81">
        <f>IF(AN2588="","",IF(Q2588="Sin Factura",0,IFERROR(INDEX(Facturas_Odoo!$H:$H, MATCH(Q2588, Facturas_Odoo!$B:$B, 0)), 0)*(1-AG2588)))</f>
        <v/>
      </c>
      <c r="AJ2588" s="81">
        <f>IF(AN2588="","",_xlfn.LET(idVenta, AN2588&amp;"",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88" s="81">
        <f>IF(AN2588="","",AH2588-AJ2588)</f>
        <v/>
      </c>
      <c r="AL2588" s="81">
        <f>IF(AN2588="","",IF(Q2588="Sin Factura","",AI2588-AJ2588))</f>
        <v/>
      </c>
      <c r="AM2588" s="81">
        <f>IF(AN2588="","",IF(Q2588="Sin Factura",0,P2588-IFERROR(INDEX(Facturas_Odoo!$H:$H, MATCH(Q2588, Facturas_Odoo!$B:$B, 0)), 0)))</f>
        <v/>
      </c>
      <c r="AN2588" s="79">
        <f>IF(AND(A2588="", J2588=""), "", IF(A2588&lt;&gt;"", VALUE(MID(A2588,2,LEN(A2588))), AN2587))</f>
        <v/>
      </c>
      <c r="AO2588" s="79">
        <f>IF(AN2588="","",IF(AD2588=0,"OK",_xlfn.LET(monedaPago, IF(AA2588="","USD",AA2588), limitePermitido, IFERROR(VLOOKUP(monedaPago, Configuración!$A$2:$B$3, 2, FALSE), 0.15), IF(AD2588&gt;limitePermitido, "ALERTA: EXCESO (" &amp; TEXT(limitePermitido, "0%") &amp; " máx)", "OK"))))</f>
        <v/>
      </c>
      <c r="AP2588" s="79">
        <f>IF(AN2588="","",IF(AE2588=0,"OK",_xlfn.LET(fechaPago, Z2588, fechaFactura, R2588, diasCredito, IF(E2588="Pago inmediato", 0, IFERROR(VALUE(MID(E2588, 1, SEARCH(" ", E2588)-1)),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88" s="79">
        <f>IF(AN2588="","",IF(AND(N2588&gt;0, AG2588&gt;0), IF(Configuración!$K$2="NO", "ALERTA: DESCUENTO DOBLE NO PERMITIDO", "OK"), "OK"))</f>
        <v/>
      </c>
      <c r="AR2588" s="79">
        <f>IF(AN2588="","",IF(OR(AO2588&lt;&gt;"OK", AP2588&lt;&gt;"OK", AQ2588&lt;&gt;"OK"), "⚠️ REVISAR", "OK"))</f>
        <v/>
      </c>
    </row>
    <row r="2589">
      <c r="A2589" s="79">
        <f>IF('Ordenes_Odoo'!A2589="","",'Ordenes_Odoo'!A2589)</f>
        <v/>
      </c>
      <c r="B2589" s="80">
        <f>IF('Ordenes_Odoo'!B2589="","",'Ordenes_Odoo'!B2589)</f>
        <v/>
      </c>
      <c r="C2589" s="79">
        <f>IF('Ordenes_Odoo'!C2589="","",'Ordenes_Odoo'!C2589)</f>
        <v/>
      </c>
      <c r="D2589" s="79">
        <f>IF('Ordenes_Odoo'!D2589="","",'Ordenes_Odoo'!D2589)</f>
        <v/>
      </c>
      <c r="E2589" s="79">
        <f>IF('Ordenes_Odoo'!E2589="","",'Ordenes_Odoo'!E2589)</f>
        <v/>
      </c>
      <c r="F2589" s="79">
        <f>IF('Ordenes_Odoo'!F2589="","",'Ordenes_Odoo'!F2589)</f>
        <v/>
      </c>
      <c r="G2589" s="79">
        <f>IF('Ordenes_Odoo'!G2589="","",'Ordenes_Odoo'!G2589)</f>
        <v/>
      </c>
      <c r="H2589" s="79">
        <f>IF('Ordenes_Odoo'!H2589="","",'Ordenes_Odoo'!H2589)</f>
        <v/>
      </c>
      <c r="I2589" s="79">
        <f>IF('Ordenes_Odoo'!I2589="","",'Ordenes_Odoo'!I2589)</f>
        <v/>
      </c>
      <c r="J2589" s="79">
        <f>IF('Ordenes_Odoo'!J2589="","",'Ordenes_Odoo'!J2589)</f>
        <v/>
      </c>
      <c r="K2589" s="81">
        <f>IF('Ordenes_Odoo'!K2589="","",'Ordenes_Odoo'!K2589)</f>
        <v/>
      </c>
      <c r="L2589" s="81">
        <f>IF('Ordenes_Odoo'!L2589="","",'Ordenes_Odoo'!L2589)</f>
        <v/>
      </c>
      <c r="M2589" s="79">
        <f>IF('Ordenes_Odoo'!M2589="","",'Ordenes_Odoo'!M2589)</f>
        <v/>
      </c>
      <c r="N2589" s="79">
        <f>IF('Ordenes_Odoo'!N2589="","",'Ordenes_Odoo'!N2589)</f>
        <v/>
      </c>
      <c r="O2589" s="81">
        <f>IF('Ordenes_Odoo'!O2589="","",'Ordenes_Odoo'!O2589)</f>
        <v/>
      </c>
      <c r="P2589" s="81">
        <f>IF('Ordenes_Odoo'!P2589="","",'Ordenes_Odoo'!P2589)</f>
        <v/>
      </c>
      <c r="Q2589" s="79">
        <f>IF(A2589="","",IFERROR(INDEX(Facturas_Odoo!$B:$B, MATCH(A2589, Facturas_Odoo!$D:$D, 0)), "Sin Factura"))</f>
        <v/>
      </c>
      <c r="R2589" s="80">
        <f>IF(Q2589="Sin Factura","",IFERROR(INDEX(Facturas_Odoo!$A:$A, MATCH(Q2589, Facturas_Odoo!$B:$B, 0)), ""))</f>
        <v/>
      </c>
      <c r="S2589" s="79">
        <f>IF(Q2589="Sin Factura","",IFERROR(_xlfn.XLOOKUP(1, (Facturas_Odoo!$D:$D=A2589) * (Facturas_Odoo!$K:$K=I2589), Facturas_Odoo!$L:$L, ""), ""))</f>
        <v/>
      </c>
      <c r="T2589" s="81">
        <f>IF(Q2589="Sin Factura",0,IFERROR(_xlfn.XLOOKUP(1, (Facturas_Odoo!$D:$D=A2589) * (Facturas_Odoo!$K:$K=I2589), Facturas_Odoo!$M:$M, 0), 0))</f>
        <v/>
      </c>
      <c r="U2589" s="79">
        <f>IF(Q2589="Sin Factura",0,IFERROR(_xlfn.XLOOKUP(1, (Facturas_Odoo!$D:$D=A2589) * (Facturas_Odoo!$K:$K=I2589), Facturas_Odoo!$N:$N, 0), 0))</f>
        <v/>
      </c>
      <c r="V2589" s="79">
        <f>IF(Q2589="Sin Factura",0,IFERROR(_xlfn.XLOOKUP(1, (Facturas_Odoo!$D:$D=A2589) * (Facturas_Odoo!$K:$K=I2589), Facturas_Odoo!$O:$O, 0), 0))</f>
        <v/>
      </c>
      <c r="W2589" s="81">
        <f>IF(Q2589="Sin Factura",0,IFERROR(_xlfn.XLOOKUP(1, (Facturas_Odoo!$D:$D=A2589) * (Facturas_Odoo!$K:$K=I2589), Facturas_Odoo!$Q:$Q, 0), 0))</f>
        <v/>
      </c>
      <c r="X2589" s="79">
        <f>IF(OR(Q2589="Sin Factura",Q2589=""),"",IFERROR(INDEX(Pagos_Odoo!$B:$B, MATCH(Q2589, Pagos_Odoo!$I:$I, 0)), "Sin Pago"))</f>
        <v/>
      </c>
      <c r="Y2589" s="79">
        <f>IF(X2589="Sin Pago","",IFERROR(INDEX(Pagos_Odoo!$C:$C, MATCH(X2589, Pagos_Odoo!$B:$B, 0)), ""))</f>
        <v/>
      </c>
      <c r="Z2589" s="80">
        <f>IF(X2589="Sin Pago","",IFERROR(INDEX(Pagos_Odoo!$A:$A, MATCH(X2589, Pagos_Odoo!$B:$B, 0)), ""))</f>
        <v/>
      </c>
      <c r="AA2589" s="79">
        <f>IF(X2589="Sin Pago","",IFERROR(INDEX(Pagos_Odoo!$F:$F, MATCH(X2589, Pagos_Odoo!$B:$B, 0)), ""))</f>
        <v/>
      </c>
      <c r="AB2589" s="81">
        <f>IF(X2589="Sin Pago",0,IFERROR(INDEX(Pagos_Odoo!$E:$E, MATCH(X2589, Pagos_Odoo!$B:$B, 0)), 0))</f>
        <v/>
      </c>
      <c r="AC2589" s="79">
        <f>IF(X2589="Sin Pago","",IFERROR(INDEX(Pagos_Odoo!$G:$G, MATCH(X2589, Pagos_Odoo!$B:$B, 0)), ""))</f>
        <v/>
      </c>
      <c r="AD2589" s="82" t="n">
        <v>0</v>
      </c>
      <c r="AE2589" s="82" t="n"/>
      <c r="AF2589" s="82" t="n"/>
      <c r="AG2589" s="82">
        <f>IF(AN2589="","",AD2589+AE2589+AF2589)</f>
        <v/>
      </c>
      <c r="AH2589" s="81">
        <f>IF(AN2589="","",P2589*(1-AG2589))</f>
        <v/>
      </c>
      <c r="AI2589" s="81">
        <f>IF(AN2589="","",IF(Q2589="Sin Factura",0,IFERROR(INDEX(Facturas_Odoo!$H:$H, MATCH(Q2589, Facturas_Odoo!$B:$B, 0)), 0)*(1-AG2589)))</f>
        <v/>
      </c>
      <c r="AJ2589" s="81">
        <f>IF(AN2589="","",_xlfn.LET(idVenta, AN2589&amp;"",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89" s="81">
        <f>IF(AN2589="","",AH2589-AJ2589)</f>
        <v/>
      </c>
      <c r="AL2589" s="81">
        <f>IF(AN2589="","",IF(Q2589="Sin Factura","",AI2589-AJ2589))</f>
        <v/>
      </c>
      <c r="AM2589" s="81">
        <f>IF(AN2589="","",IF(Q2589="Sin Factura",0,P2589-IFERROR(INDEX(Facturas_Odoo!$H:$H, MATCH(Q2589, Facturas_Odoo!$B:$B, 0)), 0)))</f>
        <v/>
      </c>
      <c r="AN2589" s="79">
        <f>IF(AND(A2589="", J2589=""), "", IF(A2589&lt;&gt;"", VALUE(MID(A2589,2,LEN(A2589))), AN2588))</f>
        <v/>
      </c>
      <c r="AO2589" s="79">
        <f>IF(AN2589="","",IF(AD2589=0,"OK",_xlfn.LET(monedaPago, IF(AA2589="","USD",AA2589), limitePermitido, IFERROR(VLOOKUP(monedaPago, Configuración!$A$2:$B$3, 2, FALSE), 0.15), IF(AD2589&gt;limitePermitido, "ALERTA: EXCESO (" &amp; TEXT(limitePermitido, "0%") &amp; " máx)", "OK"))))</f>
        <v/>
      </c>
      <c r="AP2589" s="79">
        <f>IF(AN2589="","",IF(AE2589=0,"OK",_xlfn.LET(fechaPago, Z2589, fechaFactura, R2589, diasCredito, IF(E2589="Pago inmediato", 0, IFERROR(VALUE(MID(E2589, 1, SEARCH(" ", E2589)-1)),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89" s="79">
        <f>IF(AN2589="","",IF(AND(N2589&gt;0, AG2589&gt;0), IF(Configuración!$K$2="NO", "ALERTA: DESCUENTO DOBLE NO PERMITIDO", "OK"), "OK"))</f>
        <v/>
      </c>
      <c r="AR2589" s="79">
        <f>IF(AN2589="","",IF(OR(AO2589&lt;&gt;"OK", AP2589&lt;&gt;"OK", AQ2589&lt;&gt;"OK"), "⚠️ REVISAR", "OK"))</f>
        <v/>
      </c>
    </row>
    <row r="2590">
      <c r="A2590" s="79">
        <f>IF('Ordenes_Odoo'!A2590="","",'Ordenes_Odoo'!A2590)</f>
        <v/>
      </c>
      <c r="B2590" s="80">
        <f>IF('Ordenes_Odoo'!B2590="","",'Ordenes_Odoo'!B2590)</f>
        <v/>
      </c>
      <c r="C2590" s="79">
        <f>IF('Ordenes_Odoo'!C2590="","",'Ordenes_Odoo'!C2590)</f>
        <v/>
      </c>
      <c r="D2590" s="79">
        <f>IF('Ordenes_Odoo'!D2590="","",'Ordenes_Odoo'!D2590)</f>
        <v/>
      </c>
      <c r="E2590" s="79">
        <f>IF('Ordenes_Odoo'!E2590="","",'Ordenes_Odoo'!E2590)</f>
        <v/>
      </c>
      <c r="F2590" s="79">
        <f>IF('Ordenes_Odoo'!F2590="","",'Ordenes_Odoo'!F2590)</f>
        <v/>
      </c>
      <c r="G2590" s="79">
        <f>IF('Ordenes_Odoo'!G2590="","",'Ordenes_Odoo'!G2590)</f>
        <v/>
      </c>
      <c r="H2590" s="79">
        <f>IF('Ordenes_Odoo'!H2590="","",'Ordenes_Odoo'!H2590)</f>
        <v/>
      </c>
      <c r="I2590" s="79">
        <f>IF('Ordenes_Odoo'!I2590="","",'Ordenes_Odoo'!I2590)</f>
        <v/>
      </c>
      <c r="J2590" s="79">
        <f>IF('Ordenes_Odoo'!J2590="","",'Ordenes_Odoo'!J2590)</f>
        <v/>
      </c>
      <c r="K2590" s="81">
        <f>IF('Ordenes_Odoo'!K2590="","",'Ordenes_Odoo'!K2590)</f>
        <v/>
      </c>
      <c r="L2590" s="81">
        <f>IF('Ordenes_Odoo'!L2590="","",'Ordenes_Odoo'!L2590)</f>
        <v/>
      </c>
      <c r="M2590" s="79">
        <f>IF('Ordenes_Odoo'!M2590="","",'Ordenes_Odoo'!M2590)</f>
        <v/>
      </c>
      <c r="N2590" s="79">
        <f>IF('Ordenes_Odoo'!N2590="","",'Ordenes_Odoo'!N2590)</f>
        <v/>
      </c>
      <c r="O2590" s="81">
        <f>IF('Ordenes_Odoo'!O2590="","",'Ordenes_Odoo'!O2590)</f>
        <v/>
      </c>
      <c r="P2590" s="81">
        <f>IF('Ordenes_Odoo'!P2590="","",'Ordenes_Odoo'!P2590)</f>
        <v/>
      </c>
      <c r="Q2590" s="79">
        <f>IF(A2590="","",IFERROR(INDEX(Facturas_Odoo!$B:$B, MATCH(A2590, Facturas_Odoo!$D:$D, 0)), "Sin Factura"))</f>
        <v/>
      </c>
      <c r="R2590" s="80">
        <f>IF(Q2590="Sin Factura","",IFERROR(INDEX(Facturas_Odoo!$A:$A, MATCH(Q2590, Facturas_Odoo!$B:$B, 0)), ""))</f>
        <v/>
      </c>
      <c r="S2590" s="79">
        <f>IF(Q2590="Sin Factura","",IFERROR(_xlfn.XLOOKUP(1, (Facturas_Odoo!$D:$D=A2590) * (Facturas_Odoo!$K:$K=I2590), Facturas_Odoo!$L:$L, ""), ""))</f>
        <v/>
      </c>
      <c r="T2590" s="81">
        <f>IF(Q2590="Sin Factura",0,IFERROR(_xlfn.XLOOKUP(1, (Facturas_Odoo!$D:$D=A2590) * (Facturas_Odoo!$K:$K=I2590), Facturas_Odoo!$M:$M, 0), 0))</f>
        <v/>
      </c>
      <c r="U2590" s="79">
        <f>IF(Q2590="Sin Factura",0,IFERROR(_xlfn.XLOOKUP(1, (Facturas_Odoo!$D:$D=A2590) * (Facturas_Odoo!$K:$K=I2590), Facturas_Odoo!$N:$N, 0), 0))</f>
        <v/>
      </c>
      <c r="V2590" s="79">
        <f>IF(Q2590="Sin Factura",0,IFERROR(_xlfn.XLOOKUP(1, (Facturas_Odoo!$D:$D=A2590) * (Facturas_Odoo!$K:$K=I2590), Facturas_Odoo!$O:$O, 0), 0))</f>
        <v/>
      </c>
      <c r="W2590" s="81">
        <f>IF(Q2590="Sin Factura",0,IFERROR(_xlfn.XLOOKUP(1, (Facturas_Odoo!$D:$D=A2590) * (Facturas_Odoo!$K:$K=I2590), Facturas_Odoo!$Q:$Q, 0), 0))</f>
        <v/>
      </c>
      <c r="X2590" s="79">
        <f>IF(OR(Q2590="Sin Factura",Q2590=""),"",IFERROR(INDEX(Pagos_Odoo!$B:$B, MATCH(Q2590, Pagos_Odoo!$I:$I, 0)), "Sin Pago"))</f>
        <v/>
      </c>
      <c r="Y2590" s="79">
        <f>IF(X2590="Sin Pago","",IFERROR(INDEX(Pagos_Odoo!$C:$C, MATCH(X2590, Pagos_Odoo!$B:$B, 0)), ""))</f>
        <v/>
      </c>
      <c r="Z2590" s="80">
        <f>IF(X2590="Sin Pago","",IFERROR(INDEX(Pagos_Odoo!$A:$A, MATCH(X2590, Pagos_Odoo!$B:$B, 0)), ""))</f>
        <v/>
      </c>
      <c r="AA2590" s="79">
        <f>IF(X2590="Sin Pago","",IFERROR(INDEX(Pagos_Odoo!$F:$F, MATCH(X2590, Pagos_Odoo!$B:$B, 0)), ""))</f>
        <v/>
      </c>
      <c r="AB2590" s="81">
        <f>IF(X2590="Sin Pago",0,IFERROR(INDEX(Pagos_Odoo!$E:$E, MATCH(X2590, Pagos_Odoo!$B:$B, 0)), 0))</f>
        <v/>
      </c>
      <c r="AC2590" s="79">
        <f>IF(X2590="Sin Pago","",IFERROR(INDEX(Pagos_Odoo!$G:$G, MATCH(X2590, Pagos_Odoo!$B:$B, 0)), ""))</f>
        <v/>
      </c>
      <c r="AD2590" s="82" t="n">
        <v>0</v>
      </c>
      <c r="AE2590" s="82" t="n"/>
      <c r="AF2590" s="82" t="n"/>
      <c r="AG2590" s="82">
        <f>IF(AN2590="","",AD2590+AE2590+AF2590)</f>
        <v/>
      </c>
      <c r="AH2590" s="81">
        <f>IF(AN2590="","",P2590*(1-AG2590))</f>
        <v/>
      </c>
      <c r="AI2590" s="81">
        <f>IF(AN2590="","",IF(Q2590="Sin Factura",0,IFERROR(INDEX(Facturas_Odoo!$H:$H, MATCH(Q2590, Facturas_Odoo!$B:$B, 0)), 0)*(1-AG2590)))</f>
        <v/>
      </c>
      <c r="AJ2590" s="81">
        <f>IF(AN2590="","",_xlfn.LET(idVenta, AN2590&amp;"",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90" s="81">
        <f>IF(AN2590="","",AH2590-AJ2590)</f>
        <v/>
      </c>
      <c r="AL2590" s="81">
        <f>IF(AN2590="","",IF(Q2590="Sin Factura","",AI2590-AJ2590))</f>
        <v/>
      </c>
      <c r="AM2590" s="81">
        <f>IF(AN2590="","",IF(Q2590="Sin Factura",0,P2590-IFERROR(INDEX(Facturas_Odoo!$H:$H, MATCH(Q2590, Facturas_Odoo!$B:$B, 0)), 0)))</f>
        <v/>
      </c>
      <c r="AN2590" s="79">
        <f>IF(AND(A2590="", J2590=""), "", IF(A2590&lt;&gt;"", VALUE(MID(A2590,2,LEN(A2590))), AN2589))</f>
        <v/>
      </c>
      <c r="AO2590" s="79">
        <f>IF(AN2590="","",IF(AD2590=0,"OK",_xlfn.LET(monedaPago, IF(AA2590="","USD",AA2590), limitePermitido, IFERROR(VLOOKUP(monedaPago, Configuración!$A$2:$B$3, 2, FALSE), 0.15), IF(AD2590&gt;limitePermitido, "ALERTA: EXCESO (" &amp; TEXT(limitePermitido, "0%") &amp; " máx)", "OK"))))</f>
        <v/>
      </c>
      <c r="AP2590" s="79">
        <f>IF(AN2590="","",IF(AE2590=0,"OK",_xlfn.LET(fechaPago, Z2590, fechaFactura, R2590, diasCredito, IF(E2590="Pago inmediato", 0, IFERROR(VALUE(MID(E2590, 1, SEARCH(" ", E2590)-1)),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90" s="79">
        <f>IF(AN2590="","",IF(AND(N2590&gt;0, AG2590&gt;0), IF(Configuración!$K$2="NO", "ALERTA: DESCUENTO DOBLE NO PERMITIDO", "OK"), "OK"))</f>
        <v/>
      </c>
      <c r="AR2590" s="79">
        <f>IF(AN2590="","",IF(OR(AO2590&lt;&gt;"OK", AP2590&lt;&gt;"OK", AQ2590&lt;&gt;"OK"), "⚠️ REVISAR", "OK"))</f>
        <v/>
      </c>
    </row>
    <row r="2591">
      <c r="A2591" s="79">
        <f>IF('Ordenes_Odoo'!A2591="","",'Ordenes_Odoo'!A2591)</f>
        <v/>
      </c>
      <c r="B2591" s="80">
        <f>IF('Ordenes_Odoo'!B2591="","",'Ordenes_Odoo'!B2591)</f>
        <v/>
      </c>
      <c r="C2591" s="79">
        <f>IF('Ordenes_Odoo'!C2591="","",'Ordenes_Odoo'!C2591)</f>
        <v/>
      </c>
      <c r="D2591" s="79">
        <f>IF('Ordenes_Odoo'!D2591="","",'Ordenes_Odoo'!D2591)</f>
        <v/>
      </c>
      <c r="E2591" s="79">
        <f>IF('Ordenes_Odoo'!E2591="","",'Ordenes_Odoo'!E2591)</f>
        <v/>
      </c>
      <c r="F2591" s="79">
        <f>IF('Ordenes_Odoo'!F2591="","",'Ordenes_Odoo'!F2591)</f>
        <v/>
      </c>
      <c r="G2591" s="79">
        <f>IF('Ordenes_Odoo'!G2591="","",'Ordenes_Odoo'!G2591)</f>
        <v/>
      </c>
      <c r="H2591" s="79">
        <f>IF('Ordenes_Odoo'!H2591="","",'Ordenes_Odoo'!H2591)</f>
        <v/>
      </c>
      <c r="I2591" s="79">
        <f>IF('Ordenes_Odoo'!I2591="","",'Ordenes_Odoo'!I2591)</f>
        <v/>
      </c>
      <c r="J2591" s="79">
        <f>IF('Ordenes_Odoo'!J2591="","",'Ordenes_Odoo'!J2591)</f>
        <v/>
      </c>
      <c r="K2591" s="81">
        <f>IF('Ordenes_Odoo'!K2591="","",'Ordenes_Odoo'!K2591)</f>
        <v/>
      </c>
      <c r="L2591" s="81">
        <f>IF('Ordenes_Odoo'!L2591="","",'Ordenes_Odoo'!L2591)</f>
        <v/>
      </c>
      <c r="M2591" s="79">
        <f>IF('Ordenes_Odoo'!M2591="","",'Ordenes_Odoo'!M2591)</f>
        <v/>
      </c>
      <c r="N2591" s="79">
        <f>IF('Ordenes_Odoo'!N2591="","",'Ordenes_Odoo'!N2591)</f>
        <v/>
      </c>
      <c r="O2591" s="81">
        <f>IF('Ordenes_Odoo'!O2591="","",'Ordenes_Odoo'!O2591)</f>
        <v/>
      </c>
      <c r="P2591" s="81">
        <f>IF('Ordenes_Odoo'!P2591="","",'Ordenes_Odoo'!P2591)</f>
        <v/>
      </c>
      <c r="Q2591" s="79">
        <f>IF(A2591="","",IFERROR(INDEX(Facturas_Odoo!$B:$B, MATCH(A2591, Facturas_Odoo!$D:$D, 0)), "Sin Factura"))</f>
        <v/>
      </c>
      <c r="R2591" s="80">
        <f>IF(Q2591="Sin Factura","",IFERROR(INDEX(Facturas_Odoo!$A:$A, MATCH(Q2591, Facturas_Odoo!$B:$B, 0)), ""))</f>
        <v/>
      </c>
      <c r="S2591" s="79">
        <f>IF(Q2591="Sin Factura","",IFERROR(_xlfn.XLOOKUP(1, (Facturas_Odoo!$D:$D=A2591) * (Facturas_Odoo!$K:$K=I2591), Facturas_Odoo!$L:$L, ""), ""))</f>
        <v/>
      </c>
      <c r="T2591" s="81">
        <f>IF(Q2591="Sin Factura",0,IFERROR(_xlfn.XLOOKUP(1, (Facturas_Odoo!$D:$D=A2591) * (Facturas_Odoo!$K:$K=I2591), Facturas_Odoo!$M:$M, 0), 0))</f>
        <v/>
      </c>
      <c r="U2591" s="79">
        <f>IF(Q2591="Sin Factura",0,IFERROR(_xlfn.XLOOKUP(1, (Facturas_Odoo!$D:$D=A2591) * (Facturas_Odoo!$K:$K=I2591), Facturas_Odoo!$N:$N, 0), 0))</f>
        <v/>
      </c>
      <c r="V2591" s="79">
        <f>IF(Q2591="Sin Factura",0,IFERROR(_xlfn.XLOOKUP(1, (Facturas_Odoo!$D:$D=A2591) * (Facturas_Odoo!$K:$K=I2591), Facturas_Odoo!$O:$O, 0), 0))</f>
        <v/>
      </c>
      <c r="W2591" s="81">
        <f>IF(Q2591="Sin Factura",0,IFERROR(_xlfn.XLOOKUP(1, (Facturas_Odoo!$D:$D=A2591) * (Facturas_Odoo!$K:$K=I2591), Facturas_Odoo!$Q:$Q, 0), 0))</f>
        <v/>
      </c>
      <c r="X2591" s="79">
        <f>IF(OR(Q2591="Sin Factura",Q2591=""),"",IFERROR(INDEX(Pagos_Odoo!$B:$B, MATCH(Q2591, Pagos_Odoo!$I:$I, 0)), "Sin Pago"))</f>
        <v/>
      </c>
      <c r="Y2591" s="79">
        <f>IF(X2591="Sin Pago","",IFERROR(INDEX(Pagos_Odoo!$C:$C, MATCH(X2591, Pagos_Odoo!$B:$B, 0)), ""))</f>
        <v/>
      </c>
      <c r="Z2591" s="80">
        <f>IF(X2591="Sin Pago","",IFERROR(INDEX(Pagos_Odoo!$A:$A, MATCH(X2591, Pagos_Odoo!$B:$B, 0)), ""))</f>
        <v/>
      </c>
      <c r="AA2591" s="79">
        <f>IF(X2591="Sin Pago","",IFERROR(INDEX(Pagos_Odoo!$F:$F, MATCH(X2591, Pagos_Odoo!$B:$B, 0)), ""))</f>
        <v/>
      </c>
      <c r="AB2591" s="81">
        <f>IF(X2591="Sin Pago",0,IFERROR(INDEX(Pagos_Odoo!$E:$E, MATCH(X2591, Pagos_Odoo!$B:$B, 0)), 0))</f>
        <v/>
      </c>
      <c r="AC2591" s="79">
        <f>IF(X2591="Sin Pago","",IFERROR(INDEX(Pagos_Odoo!$G:$G, MATCH(X2591, Pagos_Odoo!$B:$B, 0)), ""))</f>
        <v/>
      </c>
      <c r="AD2591" s="82" t="n">
        <v>0</v>
      </c>
      <c r="AE2591" s="82" t="n"/>
      <c r="AF2591" s="82" t="n"/>
      <c r="AG2591" s="82">
        <f>IF(AN2591="","",AD2591+AE2591+AF2591)</f>
        <v/>
      </c>
      <c r="AH2591" s="81">
        <f>IF(AN2591="","",P2591*(1-AG2591))</f>
        <v/>
      </c>
      <c r="AI2591" s="81">
        <f>IF(AN2591="","",IF(Q2591="Sin Factura",0,IFERROR(INDEX(Facturas_Odoo!$H:$H, MATCH(Q2591, Facturas_Odoo!$B:$B, 0)), 0)*(1-AG2591)))</f>
        <v/>
      </c>
      <c r="AJ2591" s="81">
        <f>IF(AN2591="","",_xlfn.LET(idVenta, AN2591&amp;"",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91" s="81">
        <f>IF(AN2591="","",AH2591-AJ2591)</f>
        <v/>
      </c>
      <c r="AL2591" s="81">
        <f>IF(AN2591="","",IF(Q2591="Sin Factura","",AI2591-AJ2591))</f>
        <v/>
      </c>
      <c r="AM2591" s="81">
        <f>IF(AN2591="","",IF(Q2591="Sin Factura",0,P2591-IFERROR(INDEX(Facturas_Odoo!$H:$H, MATCH(Q2591, Facturas_Odoo!$B:$B, 0)), 0)))</f>
        <v/>
      </c>
      <c r="AN2591" s="79">
        <f>IF(AND(A2591="", J2591=""), "", IF(A2591&lt;&gt;"", VALUE(MID(A2591,2,LEN(A2591))), AN2590))</f>
        <v/>
      </c>
      <c r="AO2591" s="79">
        <f>IF(AN2591="","",IF(AD2591=0,"OK",_xlfn.LET(monedaPago, IF(AA2591="","USD",AA2591), limitePermitido, IFERROR(VLOOKUP(monedaPago, Configuración!$A$2:$B$3, 2, FALSE), 0.15), IF(AD2591&gt;limitePermitido, "ALERTA: EXCESO (" &amp; TEXT(limitePermitido, "0%") &amp; " máx)", "OK"))))</f>
        <v/>
      </c>
      <c r="AP2591" s="79">
        <f>IF(AN2591="","",IF(AE2591=0,"OK",_xlfn.LET(fechaPago, Z2591, fechaFactura, R2591, diasCredito, IF(E2591="Pago inmediato", 0, IFERROR(VALUE(MID(E2591, 1, SEARCH(" ", E2591)-1)),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91" s="79">
        <f>IF(AN2591="","",IF(AND(N2591&gt;0, AG2591&gt;0), IF(Configuración!$K$2="NO", "ALERTA: DESCUENTO DOBLE NO PERMITIDO", "OK"), "OK"))</f>
        <v/>
      </c>
      <c r="AR2591" s="79">
        <f>IF(AN2591="","",IF(OR(AO2591&lt;&gt;"OK", AP2591&lt;&gt;"OK", AQ2591&lt;&gt;"OK"), "⚠️ REVISAR", "OK"))</f>
        <v/>
      </c>
    </row>
    <row r="2592">
      <c r="A2592" s="79">
        <f>IF('Ordenes_Odoo'!A2592="","",'Ordenes_Odoo'!A2592)</f>
        <v/>
      </c>
      <c r="B2592" s="80">
        <f>IF('Ordenes_Odoo'!B2592="","",'Ordenes_Odoo'!B2592)</f>
        <v/>
      </c>
      <c r="C2592" s="79">
        <f>IF('Ordenes_Odoo'!C2592="","",'Ordenes_Odoo'!C2592)</f>
        <v/>
      </c>
      <c r="D2592" s="79">
        <f>IF('Ordenes_Odoo'!D2592="","",'Ordenes_Odoo'!D2592)</f>
        <v/>
      </c>
      <c r="E2592" s="79">
        <f>IF('Ordenes_Odoo'!E2592="","",'Ordenes_Odoo'!E2592)</f>
        <v/>
      </c>
      <c r="F2592" s="79">
        <f>IF('Ordenes_Odoo'!F2592="","",'Ordenes_Odoo'!F2592)</f>
        <v/>
      </c>
      <c r="G2592" s="79">
        <f>IF('Ordenes_Odoo'!G2592="","",'Ordenes_Odoo'!G2592)</f>
        <v/>
      </c>
      <c r="H2592" s="79">
        <f>IF('Ordenes_Odoo'!H2592="","",'Ordenes_Odoo'!H2592)</f>
        <v/>
      </c>
      <c r="I2592" s="79">
        <f>IF('Ordenes_Odoo'!I2592="","",'Ordenes_Odoo'!I2592)</f>
        <v/>
      </c>
      <c r="J2592" s="79">
        <f>IF('Ordenes_Odoo'!J2592="","",'Ordenes_Odoo'!J2592)</f>
        <v/>
      </c>
      <c r="K2592" s="81">
        <f>IF('Ordenes_Odoo'!K2592="","",'Ordenes_Odoo'!K2592)</f>
        <v/>
      </c>
      <c r="L2592" s="81">
        <f>IF('Ordenes_Odoo'!L2592="","",'Ordenes_Odoo'!L2592)</f>
        <v/>
      </c>
      <c r="M2592" s="79">
        <f>IF('Ordenes_Odoo'!M2592="","",'Ordenes_Odoo'!M2592)</f>
        <v/>
      </c>
      <c r="N2592" s="79">
        <f>IF('Ordenes_Odoo'!N2592="","",'Ordenes_Odoo'!N2592)</f>
        <v/>
      </c>
      <c r="O2592" s="81">
        <f>IF('Ordenes_Odoo'!O2592="","",'Ordenes_Odoo'!O2592)</f>
        <v/>
      </c>
      <c r="P2592" s="81">
        <f>IF('Ordenes_Odoo'!P2592="","",'Ordenes_Odoo'!P2592)</f>
        <v/>
      </c>
      <c r="Q2592" s="79">
        <f>IF(A2592="","",IFERROR(INDEX(Facturas_Odoo!$B:$B, MATCH(A2592, Facturas_Odoo!$D:$D, 0)), "Sin Factura"))</f>
        <v/>
      </c>
      <c r="R2592" s="80">
        <f>IF(Q2592="Sin Factura","",IFERROR(INDEX(Facturas_Odoo!$A:$A, MATCH(Q2592, Facturas_Odoo!$B:$B, 0)), ""))</f>
        <v/>
      </c>
      <c r="S2592" s="79">
        <f>IF(Q2592="Sin Factura","",IFERROR(_xlfn.XLOOKUP(1, (Facturas_Odoo!$D:$D=A2592) * (Facturas_Odoo!$K:$K=I2592), Facturas_Odoo!$L:$L, ""), ""))</f>
        <v/>
      </c>
      <c r="T2592" s="81">
        <f>IF(Q2592="Sin Factura",0,IFERROR(_xlfn.XLOOKUP(1, (Facturas_Odoo!$D:$D=A2592) * (Facturas_Odoo!$K:$K=I2592), Facturas_Odoo!$M:$M, 0), 0))</f>
        <v/>
      </c>
      <c r="U2592" s="79">
        <f>IF(Q2592="Sin Factura",0,IFERROR(_xlfn.XLOOKUP(1, (Facturas_Odoo!$D:$D=A2592) * (Facturas_Odoo!$K:$K=I2592), Facturas_Odoo!$N:$N, 0), 0))</f>
        <v/>
      </c>
      <c r="V2592" s="79">
        <f>IF(Q2592="Sin Factura",0,IFERROR(_xlfn.XLOOKUP(1, (Facturas_Odoo!$D:$D=A2592) * (Facturas_Odoo!$K:$K=I2592), Facturas_Odoo!$O:$O, 0), 0))</f>
        <v/>
      </c>
      <c r="W2592" s="81">
        <f>IF(Q2592="Sin Factura",0,IFERROR(_xlfn.XLOOKUP(1, (Facturas_Odoo!$D:$D=A2592) * (Facturas_Odoo!$K:$K=I2592), Facturas_Odoo!$Q:$Q, 0), 0))</f>
        <v/>
      </c>
      <c r="X2592" s="79">
        <f>IF(OR(Q2592="Sin Factura",Q2592=""),"",IFERROR(INDEX(Pagos_Odoo!$B:$B, MATCH(Q2592, Pagos_Odoo!$I:$I, 0)), "Sin Pago"))</f>
        <v/>
      </c>
      <c r="Y2592" s="79">
        <f>IF(X2592="Sin Pago","",IFERROR(INDEX(Pagos_Odoo!$C:$C, MATCH(X2592, Pagos_Odoo!$B:$B, 0)), ""))</f>
        <v/>
      </c>
      <c r="Z2592" s="80">
        <f>IF(X2592="Sin Pago","",IFERROR(INDEX(Pagos_Odoo!$A:$A, MATCH(X2592, Pagos_Odoo!$B:$B, 0)), ""))</f>
        <v/>
      </c>
      <c r="AA2592" s="79">
        <f>IF(X2592="Sin Pago","",IFERROR(INDEX(Pagos_Odoo!$F:$F, MATCH(X2592, Pagos_Odoo!$B:$B, 0)), ""))</f>
        <v/>
      </c>
      <c r="AB2592" s="81">
        <f>IF(X2592="Sin Pago",0,IFERROR(INDEX(Pagos_Odoo!$E:$E, MATCH(X2592, Pagos_Odoo!$B:$B, 0)), 0))</f>
        <v/>
      </c>
      <c r="AC2592" s="79">
        <f>IF(X2592="Sin Pago","",IFERROR(INDEX(Pagos_Odoo!$G:$G, MATCH(X2592, Pagos_Odoo!$B:$B, 0)), ""))</f>
        <v/>
      </c>
      <c r="AD2592" s="82" t="n">
        <v>0</v>
      </c>
      <c r="AE2592" s="82" t="n"/>
      <c r="AF2592" s="82" t="n"/>
      <c r="AG2592" s="82">
        <f>IF(AN2592="","",AD2592+AE2592+AF2592)</f>
        <v/>
      </c>
      <c r="AH2592" s="81">
        <f>IF(AN2592="","",P2592*(1-AG2592))</f>
        <v/>
      </c>
      <c r="AI2592" s="81">
        <f>IF(AN2592="","",IF(Q2592="Sin Factura",0,IFERROR(INDEX(Facturas_Odoo!$H:$H, MATCH(Q2592, Facturas_Odoo!$B:$B, 0)), 0)*(1-AG2592)))</f>
        <v/>
      </c>
      <c r="AJ2592" s="81">
        <f>IF(AN2592="","",_xlfn.LET(idVenta, AN2592&amp;"",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92" s="81">
        <f>IF(AN2592="","",AH2592-AJ2592)</f>
        <v/>
      </c>
      <c r="AL2592" s="81">
        <f>IF(AN2592="","",IF(Q2592="Sin Factura","",AI2592-AJ2592))</f>
        <v/>
      </c>
      <c r="AM2592" s="81">
        <f>IF(AN2592="","",IF(Q2592="Sin Factura",0,P2592-IFERROR(INDEX(Facturas_Odoo!$H:$H, MATCH(Q2592, Facturas_Odoo!$B:$B, 0)), 0)))</f>
        <v/>
      </c>
      <c r="AN2592" s="79">
        <f>IF(AND(A2592="", J2592=""), "", IF(A2592&lt;&gt;"", VALUE(MID(A2592,2,LEN(A2592))), AN2591))</f>
        <v/>
      </c>
      <c r="AO2592" s="79">
        <f>IF(AN2592="","",IF(AD2592=0,"OK",_xlfn.LET(monedaPago, IF(AA2592="","USD",AA2592), limitePermitido, IFERROR(VLOOKUP(monedaPago, Configuración!$A$2:$B$3, 2, FALSE), 0.15), IF(AD2592&gt;limitePermitido, "ALERTA: EXCESO (" &amp; TEXT(limitePermitido, "0%") &amp; " máx)", "OK"))))</f>
        <v/>
      </c>
      <c r="AP2592" s="79">
        <f>IF(AN2592="","",IF(AE2592=0,"OK",_xlfn.LET(fechaPago, Z2592, fechaFactura, R2592, diasCredito, IF(E2592="Pago inmediato", 0, IFERROR(VALUE(MID(E2592, 1, SEARCH(" ", E2592)-1)),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92" s="79">
        <f>IF(AN2592="","",IF(AND(N2592&gt;0, AG2592&gt;0), IF(Configuración!$K$2="NO", "ALERTA: DESCUENTO DOBLE NO PERMITIDO", "OK"), "OK"))</f>
        <v/>
      </c>
      <c r="AR2592" s="79">
        <f>IF(AN2592="","",IF(OR(AO2592&lt;&gt;"OK", AP2592&lt;&gt;"OK", AQ2592&lt;&gt;"OK"), "⚠️ REVISAR", "OK"))</f>
        <v/>
      </c>
    </row>
    <row r="2593">
      <c r="A2593" s="79">
        <f>IF('Ordenes_Odoo'!A2593="","",'Ordenes_Odoo'!A2593)</f>
        <v/>
      </c>
      <c r="B2593" s="80">
        <f>IF('Ordenes_Odoo'!B2593="","",'Ordenes_Odoo'!B2593)</f>
        <v/>
      </c>
      <c r="C2593" s="79">
        <f>IF('Ordenes_Odoo'!C2593="","",'Ordenes_Odoo'!C2593)</f>
        <v/>
      </c>
      <c r="D2593" s="79">
        <f>IF('Ordenes_Odoo'!D2593="","",'Ordenes_Odoo'!D2593)</f>
        <v/>
      </c>
      <c r="E2593" s="79">
        <f>IF('Ordenes_Odoo'!E2593="","",'Ordenes_Odoo'!E2593)</f>
        <v/>
      </c>
      <c r="F2593" s="79">
        <f>IF('Ordenes_Odoo'!F2593="","",'Ordenes_Odoo'!F2593)</f>
        <v/>
      </c>
      <c r="G2593" s="79">
        <f>IF('Ordenes_Odoo'!G2593="","",'Ordenes_Odoo'!G2593)</f>
        <v/>
      </c>
      <c r="H2593" s="79">
        <f>IF('Ordenes_Odoo'!H2593="","",'Ordenes_Odoo'!H2593)</f>
        <v/>
      </c>
      <c r="I2593" s="79">
        <f>IF('Ordenes_Odoo'!I2593="","",'Ordenes_Odoo'!I2593)</f>
        <v/>
      </c>
      <c r="J2593" s="79">
        <f>IF('Ordenes_Odoo'!J2593="","",'Ordenes_Odoo'!J2593)</f>
        <v/>
      </c>
      <c r="K2593" s="81">
        <f>IF('Ordenes_Odoo'!K2593="","",'Ordenes_Odoo'!K2593)</f>
        <v/>
      </c>
      <c r="L2593" s="81">
        <f>IF('Ordenes_Odoo'!L2593="","",'Ordenes_Odoo'!L2593)</f>
        <v/>
      </c>
      <c r="M2593" s="79">
        <f>IF('Ordenes_Odoo'!M2593="","",'Ordenes_Odoo'!M2593)</f>
        <v/>
      </c>
      <c r="N2593" s="79">
        <f>IF('Ordenes_Odoo'!N2593="","",'Ordenes_Odoo'!N2593)</f>
        <v/>
      </c>
      <c r="O2593" s="81">
        <f>IF('Ordenes_Odoo'!O2593="","",'Ordenes_Odoo'!O2593)</f>
        <v/>
      </c>
      <c r="P2593" s="81">
        <f>IF('Ordenes_Odoo'!P2593="","",'Ordenes_Odoo'!P2593)</f>
        <v/>
      </c>
      <c r="Q2593" s="79">
        <f>IF(A2593="","",IFERROR(INDEX(Facturas_Odoo!$B:$B, MATCH(A2593, Facturas_Odoo!$D:$D, 0)), "Sin Factura"))</f>
        <v/>
      </c>
      <c r="R2593" s="80">
        <f>IF(Q2593="Sin Factura","",IFERROR(INDEX(Facturas_Odoo!$A:$A, MATCH(Q2593, Facturas_Odoo!$B:$B, 0)), ""))</f>
        <v/>
      </c>
      <c r="S2593" s="79">
        <f>IF(Q2593="Sin Factura","",IFERROR(_xlfn.XLOOKUP(1, (Facturas_Odoo!$D:$D=A2593) * (Facturas_Odoo!$K:$K=I2593), Facturas_Odoo!$L:$L, ""), ""))</f>
        <v/>
      </c>
      <c r="T2593" s="81">
        <f>IF(Q2593="Sin Factura",0,IFERROR(_xlfn.XLOOKUP(1, (Facturas_Odoo!$D:$D=A2593) * (Facturas_Odoo!$K:$K=I2593), Facturas_Odoo!$M:$M, 0), 0))</f>
        <v/>
      </c>
      <c r="U2593" s="79">
        <f>IF(Q2593="Sin Factura",0,IFERROR(_xlfn.XLOOKUP(1, (Facturas_Odoo!$D:$D=A2593) * (Facturas_Odoo!$K:$K=I2593), Facturas_Odoo!$N:$N, 0), 0))</f>
        <v/>
      </c>
      <c r="V2593" s="79">
        <f>IF(Q2593="Sin Factura",0,IFERROR(_xlfn.XLOOKUP(1, (Facturas_Odoo!$D:$D=A2593) * (Facturas_Odoo!$K:$K=I2593), Facturas_Odoo!$O:$O, 0), 0))</f>
        <v/>
      </c>
      <c r="W2593" s="81">
        <f>IF(Q2593="Sin Factura",0,IFERROR(_xlfn.XLOOKUP(1, (Facturas_Odoo!$D:$D=A2593) * (Facturas_Odoo!$K:$K=I2593), Facturas_Odoo!$Q:$Q, 0), 0))</f>
        <v/>
      </c>
      <c r="X2593" s="79">
        <f>IF(OR(Q2593="Sin Factura",Q2593=""),"",IFERROR(INDEX(Pagos_Odoo!$B:$B, MATCH(Q2593, Pagos_Odoo!$I:$I, 0)), "Sin Pago"))</f>
        <v/>
      </c>
      <c r="Y2593" s="79">
        <f>IF(X2593="Sin Pago","",IFERROR(INDEX(Pagos_Odoo!$C:$C, MATCH(X2593, Pagos_Odoo!$B:$B, 0)), ""))</f>
        <v/>
      </c>
      <c r="Z2593" s="80">
        <f>IF(X2593="Sin Pago","",IFERROR(INDEX(Pagos_Odoo!$A:$A, MATCH(X2593, Pagos_Odoo!$B:$B, 0)), ""))</f>
        <v/>
      </c>
      <c r="AA2593" s="79">
        <f>IF(X2593="Sin Pago","",IFERROR(INDEX(Pagos_Odoo!$F:$F, MATCH(X2593, Pagos_Odoo!$B:$B, 0)), ""))</f>
        <v/>
      </c>
      <c r="AB2593" s="81">
        <f>IF(X2593="Sin Pago",0,IFERROR(INDEX(Pagos_Odoo!$E:$E, MATCH(X2593, Pagos_Odoo!$B:$B, 0)), 0))</f>
        <v/>
      </c>
      <c r="AC2593" s="79">
        <f>IF(X2593="Sin Pago","",IFERROR(INDEX(Pagos_Odoo!$G:$G, MATCH(X2593, Pagos_Odoo!$B:$B, 0)), ""))</f>
        <v/>
      </c>
      <c r="AD2593" s="82" t="n">
        <v>0</v>
      </c>
      <c r="AE2593" s="82" t="n"/>
      <c r="AF2593" s="82" t="n"/>
      <c r="AG2593" s="82">
        <f>IF(AN2593="","",AD2593+AE2593+AF2593)</f>
        <v/>
      </c>
      <c r="AH2593" s="81">
        <f>IF(AN2593="","",P2593*(1-AG2593))</f>
        <v/>
      </c>
      <c r="AI2593" s="81">
        <f>IF(AN2593="","",IF(Q2593="Sin Factura",0,IFERROR(INDEX(Facturas_Odoo!$H:$H, MATCH(Q2593, Facturas_Odoo!$B:$B, 0)), 0)*(1-AG2593)))</f>
        <v/>
      </c>
      <c r="AJ2593" s="81">
        <f>IF(AN2593="","",_xlfn.LET(idVenta, AN2593&amp;"",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93" s="81">
        <f>IF(AN2593="","",AH2593-AJ2593)</f>
        <v/>
      </c>
      <c r="AL2593" s="81">
        <f>IF(AN2593="","",IF(Q2593="Sin Factura","",AI2593-AJ2593))</f>
        <v/>
      </c>
      <c r="AM2593" s="81">
        <f>IF(AN2593="","",IF(Q2593="Sin Factura",0,P2593-IFERROR(INDEX(Facturas_Odoo!$H:$H, MATCH(Q2593, Facturas_Odoo!$B:$B, 0)), 0)))</f>
        <v/>
      </c>
      <c r="AN2593" s="79">
        <f>IF(AND(A2593="", J2593=""), "", IF(A2593&lt;&gt;"", VALUE(MID(A2593,2,LEN(A2593))), AN2592))</f>
        <v/>
      </c>
      <c r="AO2593" s="79">
        <f>IF(AN2593="","",IF(AD2593=0,"OK",_xlfn.LET(monedaPago, IF(AA2593="","USD",AA2593), limitePermitido, IFERROR(VLOOKUP(monedaPago, Configuración!$A$2:$B$3, 2, FALSE), 0.15), IF(AD2593&gt;limitePermitido, "ALERTA: EXCESO (" &amp; TEXT(limitePermitido, "0%") &amp; " máx)", "OK"))))</f>
        <v/>
      </c>
      <c r="AP2593" s="79">
        <f>IF(AN2593="","",IF(AE2593=0,"OK",_xlfn.LET(fechaPago, Z2593, fechaFactura, R2593, diasCredito, IF(E2593="Pago inmediato", 0, IFERROR(VALUE(MID(E2593, 1, SEARCH(" ", E2593)-1)),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93" s="79">
        <f>IF(AN2593="","",IF(AND(N2593&gt;0, AG2593&gt;0), IF(Configuración!$K$2="NO", "ALERTA: DESCUENTO DOBLE NO PERMITIDO", "OK"), "OK"))</f>
        <v/>
      </c>
      <c r="AR2593" s="79">
        <f>IF(AN2593="","",IF(OR(AO2593&lt;&gt;"OK", AP2593&lt;&gt;"OK", AQ2593&lt;&gt;"OK"), "⚠️ REVISAR", "OK"))</f>
        <v/>
      </c>
    </row>
    <row r="2594">
      <c r="A2594" s="79">
        <f>IF('Ordenes_Odoo'!A2594="","",'Ordenes_Odoo'!A2594)</f>
        <v/>
      </c>
      <c r="B2594" s="80">
        <f>IF('Ordenes_Odoo'!B2594="","",'Ordenes_Odoo'!B2594)</f>
        <v/>
      </c>
      <c r="C2594" s="79">
        <f>IF('Ordenes_Odoo'!C2594="","",'Ordenes_Odoo'!C2594)</f>
        <v/>
      </c>
      <c r="D2594" s="79">
        <f>IF('Ordenes_Odoo'!D2594="","",'Ordenes_Odoo'!D2594)</f>
        <v/>
      </c>
      <c r="E2594" s="79">
        <f>IF('Ordenes_Odoo'!E2594="","",'Ordenes_Odoo'!E2594)</f>
        <v/>
      </c>
      <c r="F2594" s="79">
        <f>IF('Ordenes_Odoo'!F2594="","",'Ordenes_Odoo'!F2594)</f>
        <v/>
      </c>
      <c r="G2594" s="79">
        <f>IF('Ordenes_Odoo'!G2594="","",'Ordenes_Odoo'!G2594)</f>
        <v/>
      </c>
      <c r="H2594" s="79">
        <f>IF('Ordenes_Odoo'!H2594="","",'Ordenes_Odoo'!H2594)</f>
        <v/>
      </c>
      <c r="I2594" s="79">
        <f>IF('Ordenes_Odoo'!I2594="","",'Ordenes_Odoo'!I2594)</f>
        <v/>
      </c>
      <c r="J2594" s="79">
        <f>IF('Ordenes_Odoo'!J2594="","",'Ordenes_Odoo'!J2594)</f>
        <v/>
      </c>
      <c r="K2594" s="81">
        <f>IF('Ordenes_Odoo'!K2594="","",'Ordenes_Odoo'!K2594)</f>
        <v/>
      </c>
      <c r="L2594" s="81">
        <f>IF('Ordenes_Odoo'!L2594="","",'Ordenes_Odoo'!L2594)</f>
        <v/>
      </c>
      <c r="M2594" s="79">
        <f>IF('Ordenes_Odoo'!M2594="","",'Ordenes_Odoo'!M2594)</f>
        <v/>
      </c>
      <c r="N2594" s="79">
        <f>IF('Ordenes_Odoo'!N2594="","",'Ordenes_Odoo'!N2594)</f>
        <v/>
      </c>
      <c r="O2594" s="81">
        <f>IF('Ordenes_Odoo'!O2594="","",'Ordenes_Odoo'!O2594)</f>
        <v/>
      </c>
      <c r="P2594" s="81">
        <f>IF('Ordenes_Odoo'!P2594="","",'Ordenes_Odoo'!P2594)</f>
        <v/>
      </c>
      <c r="Q2594" s="79">
        <f>IF(A2594="","",IFERROR(INDEX(Facturas_Odoo!$B:$B, MATCH(A2594, Facturas_Odoo!$D:$D, 0)), "Sin Factura"))</f>
        <v/>
      </c>
      <c r="R2594" s="80">
        <f>IF(Q2594="Sin Factura","",IFERROR(INDEX(Facturas_Odoo!$A:$A, MATCH(Q2594, Facturas_Odoo!$B:$B, 0)), ""))</f>
        <v/>
      </c>
      <c r="S2594" s="79">
        <f>IF(Q2594="Sin Factura","",IFERROR(_xlfn.XLOOKUP(1, (Facturas_Odoo!$D:$D=A2594) * (Facturas_Odoo!$K:$K=I2594), Facturas_Odoo!$L:$L, ""), ""))</f>
        <v/>
      </c>
      <c r="T2594" s="81">
        <f>IF(Q2594="Sin Factura",0,IFERROR(_xlfn.XLOOKUP(1, (Facturas_Odoo!$D:$D=A2594) * (Facturas_Odoo!$K:$K=I2594), Facturas_Odoo!$M:$M, 0), 0))</f>
        <v/>
      </c>
      <c r="U2594" s="79">
        <f>IF(Q2594="Sin Factura",0,IFERROR(_xlfn.XLOOKUP(1, (Facturas_Odoo!$D:$D=A2594) * (Facturas_Odoo!$K:$K=I2594), Facturas_Odoo!$N:$N, 0), 0))</f>
        <v/>
      </c>
      <c r="V2594" s="79">
        <f>IF(Q2594="Sin Factura",0,IFERROR(_xlfn.XLOOKUP(1, (Facturas_Odoo!$D:$D=A2594) * (Facturas_Odoo!$K:$K=I2594), Facturas_Odoo!$O:$O, 0), 0))</f>
        <v/>
      </c>
      <c r="W2594" s="81">
        <f>IF(Q2594="Sin Factura",0,IFERROR(_xlfn.XLOOKUP(1, (Facturas_Odoo!$D:$D=A2594) * (Facturas_Odoo!$K:$K=I2594), Facturas_Odoo!$Q:$Q, 0), 0))</f>
        <v/>
      </c>
      <c r="X2594" s="79">
        <f>IF(OR(Q2594="Sin Factura",Q2594=""),"",IFERROR(INDEX(Pagos_Odoo!$B:$B, MATCH(Q2594, Pagos_Odoo!$I:$I, 0)), "Sin Pago"))</f>
        <v/>
      </c>
      <c r="Y2594" s="79">
        <f>IF(X2594="Sin Pago","",IFERROR(INDEX(Pagos_Odoo!$C:$C, MATCH(X2594, Pagos_Odoo!$B:$B, 0)), ""))</f>
        <v/>
      </c>
      <c r="Z2594" s="80">
        <f>IF(X2594="Sin Pago","",IFERROR(INDEX(Pagos_Odoo!$A:$A, MATCH(X2594, Pagos_Odoo!$B:$B, 0)), ""))</f>
        <v/>
      </c>
      <c r="AA2594" s="79">
        <f>IF(X2594="Sin Pago","",IFERROR(INDEX(Pagos_Odoo!$F:$F, MATCH(X2594, Pagos_Odoo!$B:$B, 0)), ""))</f>
        <v/>
      </c>
      <c r="AB2594" s="81">
        <f>IF(X2594="Sin Pago",0,IFERROR(INDEX(Pagos_Odoo!$E:$E, MATCH(X2594, Pagos_Odoo!$B:$B, 0)), 0))</f>
        <v/>
      </c>
      <c r="AC2594" s="79">
        <f>IF(X2594="Sin Pago","",IFERROR(INDEX(Pagos_Odoo!$G:$G, MATCH(X2594, Pagos_Odoo!$B:$B, 0)), ""))</f>
        <v/>
      </c>
      <c r="AD2594" s="82" t="n">
        <v>0</v>
      </c>
      <c r="AE2594" s="82" t="n"/>
      <c r="AF2594" s="82" t="n"/>
      <c r="AG2594" s="82">
        <f>IF(AN2594="","",AD2594+AE2594+AF2594)</f>
        <v/>
      </c>
      <c r="AH2594" s="81">
        <f>IF(AN2594="","",P2594*(1-AG2594))</f>
        <v/>
      </c>
      <c r="AI2594" s="81">
        <f>IF(AN2594="","",IF(Q2594="Sin Factura",0,IFERROR(INDEX(Facturas_Odoo!$H:$H, MATCH(Q2594, Facturas_Odoo!$B:$B, 0)), 0)*(1-AG2594)))</f>
        <v/>
      </c>
      <c r="AJ2594" s="81">
        <f>IF(AN2594="","",_xlfn.LET(idVenta, AN2594&amp;"",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94" s="81">
        <f>IF(AN2594="","",AH2594-AJ2594)</f>
        <v/>
      </c>
      <c r="AL2594" s="81">
        <f>IF(AN2594="","",IF(Q2594="Sin Factura","",AI2594-AJ2594))</f>
        <v/>
      </c>
      <c r="AM2594" s="81">
        <f>IF(AN2594="","",IF(Q2594="Sin Factura",0,P2594-IFERROR(INDEX(Facturas_Odoo!$H:$H, MATCH(Q2594, Facturas_Odoo!$B:$B, 0)), 0)))</f>
        <v/>
      </c>
      <c r="AN2594" s="79">
        <f>IF(AND(A2594="", J2594=""), "", IF(A2594&lt;&gt;"", VALUE(MID(A2594,2,LEN(A2594))), AN2593))</f>
        <v/>
      </c>
      <c r="AO2594" s="79">
        <f>IF(AN2594="","",IF(AD2594=0,"OK",_xlfn.LET(monedaPago, IF(AA2594="","USD",AA2594), limitePermitido, IFERROR(VLOOKUP(monedaPago, Configuración!$A$2:$B$3, 2, FALSE), 0.15), IF(AD2594&gt;limitePermitido, "ALERTA: EXCESO (" &amp; TEXT(limitePermitido, "0%") &amp; " máx)", "OK"))))</f>
        <v/>
      </c>
      <c r="AP2594" s="79">
        <f>IF(AN2594="","",IF(AE2594=0,"OK",_xlfn.LET(fechaPago, Z2594, fechaFactura, R2594, diasCredito, IF(E2594="Pago inmediato", 0, IFERROR(VALUE(MID(E2594, 1, SEARCH(" ", E2594)-1)),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94" s="79">
        <f>IF(AN2594="","",IF(AND(N2594&gt;0, AG2594&gt;0), IF(Configuración!$K$2="NO", "ALERTA: DESCUENTO DOBLE NO PERMITIDO", "OK"), "OK"))</f>
        <v/>
      </c>
      <c r="AR2594" s="79">
        <f>IF(AN2594="","",IF(OR(AO2594&lt;&gt;"OK", AP2594&lt;&gt;"OK", AQ2594&lt;&gt;"OK"), "⚠️ REVISAR", "OK"))</f>
        <v/>
      </c>
    </row>
    <row r="2595">
      <c r="A2595" s="79">
        <f>IF('Ordenes_Odoo'!A2595="","",'Ordenes_Odoo'!A2595)</f>
        <v/>
      </c>
      <c r="B2595" s="80">
        <f>IF('Ordenes_Odoo'!B2595="","",'Ordenes_Odoo'!B2595)</f>
        <v/>
      </c>
      <c r="C2595" s="79">
        <f>IF('Ordenes_Odoo'!C2595="","",'Ordenes_Odoo'!C2595)</f>
        <v/>
      </c>
      <c r="D2595" s="79">
        <f>IF('Ordenes_Odoo'!D2595="","",'Ordenes_Odoo'!D2595)</f>
        <v/>
      </c>
      <c r="E2595" s="79">
        <f>IF('Ordenes_Odoo'!E2595="","",'Ordenes_Odoo'!E2595)</f>
        <v/>
      </c>
      <c r="F2595" s="79">
        <f>IF('Ordenes_Odoo'!F2595="","",'Ordenes_Odoo'!F2595)</f>
        <v/>
      </c>
      <c r="G2595" s="79">
        <f>IF('Ordenes_Odoo'!G2595="","",'Ordenes_Odoo'!G2595)</f>
        <v/>
      </c>
      <c r="H2595" s="79">
        <f>IF('Ordenes_Odoo'!H2595="","",'Ordenes_Odoo'!H2595)</f>
        <v/>
      </c>
      <c r="I2595" s="79">
        <f>IF('Ordenes_Odoo'!I2595="","",'Ordenes_Odoo'!I2595)</f>
        <v/>
      </c>
      <c r="J2595" s="79">
        <f>IF('Ordenes_Odoo'!J2595="","",'Ordenes_Odoo'!J2595)</f>
        <v/>
      </c>
      <c r="K2595" s="81">
        <f>IF('Ordenes_Odoo'!K2595="","",'Ordenes_Odoo'!K2595)</f>
        <v/>
      </c>
      <c r="L2595" s="81">
        <f>IF('Ordenes_Odoo'!L2595="","",'Ordenes_Odoo'!L2595)</f>
        <v/>
      </c>
      <c r="M2595" s="79">
        <f>IF('Ordenes_Odoo'!M2595="","",'Ordenes_Odoo'!M2595)</f>
        <v/>
      </c>
      <c r="N2595" s="79">
        <f>IF('Ordenes_Odoo'!N2595="","",'Ordenes_Odoo'!N2595)</f>
        <v/>
      </c>
      <c r="O2595" s="81">
        <f>IF('Ordenes_Odoo'!O2595="","",'Ordenes_Odoo'!O2595)</f>
        <v/>
      </c>
      <c r="P2595" s="81">
        <f>IF('Ordenes_Odoo'!P2595="","",'Ordenes_Odoo'!P2595)</f>
        <v/>
      </c>
      <c r="Q2595" s="79">
        <f>IF(A2595="","",IFERROR(INDEX(Facturas_Odoo!$B:$B, MATCH(A2595, Facturas_Odoo!$D:$D, 0)), "Sin Factura"))</f>
        <v/>
      </c>
      <c r="R2595" s="80">
        <f>IF(Q2595="Sin Factura","",IFERROR(INDEX(Facturas_Odoo!$A:$A, MATCH(Q2595, Facturas_Odoo!$B:$B, 0)), ""))</f>
        <v/>
      </c>
      <c r="S2595" s="79">
        <f>IF(Q2595="Sin Factura","",IFERROR(_xlfn.XLOOKUP(1, (Facturas_Odoo!$D:$D=A2595) * (Facturas_Odoo!$K:$K=I2595), Facturas_Odoo!$L:$L, ""), ""))</f>
        <v/>
      </c>
      <c r="T2595" s="81">
        <f>IF(Q2595="Sin Factura",0,IFERROR(_xlfn.XLOOKUP(1, (Facturas_Odoo!$D:$D=A2595) * (Facturas_Odoo!$K:$K=I2595), Facturas_Odoo!$M:$M, 0), 0))</f>
        <v/>
      </c>
      <c r="U2595" s="79">
        <f>IF(Q2595="Sin Factura",0,IFERROR(_xlfn.XLOOKUP(1, (Facturas_Odoo!$D:$D=A2595) * (Facturas_Odoo!$K:$K=I2595), Facturas_Odoo!$N:$N, 0), 0))</f>
        <v/>
      </c>
      <c r="V2595" s="79">
        <f>IF(Q2595="Sin Factura",0,IFERROR(_xlfn.XLOOKUP(1, (Facturas_Odoo!$D:$D=A2595) * (Facturas_Odoo!$K:$K=I2595), Facturas_Odoo!$O:$O, 0), 0))</f>
        <v/>
      </c>
      <c r="W2595" s="81">
        <f>IF(Q2595="Sin Factura",0,IFERROR(_xlfn.XLOOKUP(1, (Facturas_Odoo!$D:$D=A2595) * (Facturas_Odoo!$K:$K=I2595), Facturas_Odoo!$Q:$Q, 0), 0))</f>
        <v/>
      </c>
      <c r="X2595" s="79">
        <f>IF(OR(Q2595="Sin Factura",Q2595=""),"",IFERROR(INDEX(Pagos_Odoo!$B:$B, MATCH(Q2595, Pagos_Odoo!$I:$I, 0)), "Sin Pago"))</f>
        <v/>
      </c>
      <c r="Y2595" s="79">
        <f>IF(X2595="Sin Pago","",IFERROR(INDEX(Pagos_Odoo!$C:$C, MATCH(X2595, Pagos_Odoo!$B:$B, 0)), ""))</f>
        <v/>
      </c>
      <c r="Z2595" s="80">
        <f>IF(X2595="Sin Pago","",IFERROR(INDEX(Pagos_Odoo!$A:$A, MATCH(X2595, Pagos_Odoo!$B:$B, 0)), ""))</f>
        <v/>
      </c>
      <c r="AA2595" s="79">
        <f>IF(X2595="Sin Pago","",IFERROR(INDEX(Pagos_Odoo!$F:$F, MATCH(X2595, Pagos_Odoo!$B:$B, 0)), ""))</f>
        <v/>
      </c>
      <c r="AB2595" s="81">
        <f>IF(X2595="Sin Pago",0,IFERROR(INDEX(Pagos_Odoo!$E:$E, MATCH(X2595, Pagos_Odoo!$B:$B, 0)), 0))</f>
        <v/>
      </c>
      <c r="AC2595" s="79">
        <f>IF(X2595="Sin Pago","",IFERROR(INDEX(Pagos_Odoo!$G:$G, MATCH(X2595, Pagos_Odoo!$B:$B, 0)), ""))</f>
        <v/>
      </c>
      <c r="AD2595" s="82" t="n">
        <v>0</v>
      </c>
      <c r="AE2595" s="82" t="n"/>
      <c r="AF2595" s="82" t="n"/>
      <c r="AG2595" s="82">
        <f>IF(AN2595="","",AD2595+AE2595+AF2595)</f>
        <v/>
      </c>
      <c r="AH2595" s="81">
        <f>IF(AN2595="","",P2595*(1-AG2595))</f>
        <v/>
      </c>
      <c r="AI2595" s="81">
        <f>IF(AN2595="","",IF(Q2595="Sin Factura",0,IFERROR(INDEX(Facturas_Odoo!$H:$H, MATCH(Q2595, Facturas_Odoo!$B:$B, 0)), 0)*(1-AG2595)))</f>
        <v/>
      </c>
      <c r="AJ2595" s="81">
        <f>IF(AN2595="","",_xlfn.LET(idVenta, AN2595&amp;"",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95" s="81">
        <f>IF(AN2595="","",AH2595-AJ2595)</f>
        <v/>
      </c>
      <c r="AL2595" s="81">
        <f>IF(AN2595="","",IF(Q2595="Sin Factura","",AI2595-AJ2595))</f>
        <v/>
      </c>
      <c r="AM2595" s="81">
        <f>IF(AN2595="","",IF(Q2595="Sin Factura",0,P2595-IFERROR(INDEX(Facturas_Odoo!$H:$H, MATCH(Q2595, Facturas_Odoo!$B:$B, 0)), 0)))</f>
        <v/>
      </c>
      <c r="AN2595" s="79">
        <f>IF(AND(A2595="", J2595=""), "", IF(A2595&lt;&gt;"", VALUE(MID(A2595,2,LEN(A2595))), AN2594))</f>
        <v/>
      </c>
      <c r="AO2595" s="79">
        <f>IF(AN2595="","",IF(AD2595=0,"OK",_xlfn.LET(monedaPago, IF(AA2595="","USD",AA2595), limitePermitido, IFERROR(VLOOKUP(monedaPago, Configuración!$A$2:$B$3, 2, FALSE), 0.15), IF(AD2595&gt;limitePermitido, "ALERTA: EXCESO (" &amp; TEXT(limitePermitido, "0%") &amp; " máx)", "OK"))))</f>
        <v/>
      </c>
      <c r="AP2595" s="79">
        <f>IF(AN2595="","",IF(AE2595=0,"OK",_xlfn.LET(fechaPago, Z2595, fechaFactura, R2595, diasCredito, IF(E2595="Pago inmediato", 0, IFERROR(VALUE(MID(E2595, 1, SEARCH(" ", E2595)-1)),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95" s="79">
        <f>IF(AN2595="","",IF(AND(N2595&gt;0, AG2595&gt;0), IF(Configuración!$K$2="NO", "ALERTA: DESCUENTO DOBLE NO PERMITIDO", "OK"), "OK"))</f>
        <v/>
      </c>
      <c r="AR2595" s="79">
        <f>IF(AN2595="","",IF(OR(AO2595&lt;&gt;"OK", AP2595&lt;&gt;"OK", AQ2595&lt;&gt;"OK"), "⚠️ REVISAR", "OK"))</f>
        <v/>
      </c>
    </row>
    <row r="2596">
      <c r="A2596" s="79">
        <f>IF('Ordenes_Odoo'!A2596="","",'Ordenes_Odoo'!A2596)</f>
        <v/>
      </c>
      <c r="B2596" s="80">
        <f>IF('Ordenes_Odoo'!B2596="","",'Ordenes_Odoo'!B2596)</f>
        <v/>
      </c>
      <c r="C2596" s="79">
        <f>IF('Ordenes_Odoo'!C2596="","",'Ordenes_Odoo'!C2596)</f>
        <v/>
      </c>
      <c r="D2596" s="79">
        <f>IF('Ordenes_Odoo'!D2596="","",'Ordenes_Odoo'!D2596)</f>
        <v/>
      </c>
      <c r="E2596" s="79">
        <f>IF('Ordenes_Odoo'!E2596="","",'Ordenes_Odoo'!E2596)</f>
        <v/>
      </c>
      <c r="F2596" s="79">
        <f>IF('Ordenes_Odoo'!F2596="","",'Ordenes_Odoo'!F2596)</f>
        <v/>
      </c>
      <c r="G2596" s="79">
        <f>IF('Ordenes_Odoo'!G2596="","",'Ordenes_Odoo'!G2596)</f>
        <v/>
      </c>
      <c r="H2596" s="79">
        <f>IF('Ordenes_Odoo'!H2596="","",'Ordenes_Odoo'!H2596)</f>
        <v/>
      </c>
      <c r="I2596" s="79">
        <f>IF('Ordenes_Odoo'!I2596="","",'Ordenes_Odoo'!I2596)</f>
        <v/>
      </c>
      <c r="J2596" s="79">
        <f>IF('Ordenes_Odoo'!J2596="","",'Ordenes_Odoo'!J2596)</f>
        <v/>
      </c>
      <c r="K2596" s="81">
        <f>IF('Ordenes_Odoo'!K2596="","",'Ordenes_Odoo'!K2596)</f>
        <v/>
      </c>
      <c r="L2596" s="81">
        <f>IF('Ordenes_Odoo'!L2596="","",'Ordenes_Odoo'!L2596)</f>
        <v/>
      </c>
      <c r="M2596" s="79">
        <f>IF('Ordenes_Odoo'!M2596="","",'Ordenes_Odoo'!M2596)</f>
        <v/>
      </c>
      <c r="N2596" s="79">
        <f>IF('Ordenes_Odoo'!N2596="","",'Ordenes_Odoo'!N2596)</f>
        <v/>
      </c>
      <c r="O2596" s="81">
        <f>IF('Ordenes_Odoo'!O2596="","",'Ordenes_Odoo'!O2596)</f>
        <v/>
      </c>
      <c r="P2596" s="81">
        <f>IF('Ordenes_Odoo'!P2596="","",'Ordenes_Odoo'!P2596)</f>
        <v/>
      </c>
      <c r="Q2596" s="79">
        <f>IF(A2596="","",IFERROR(INDEX(Facturas_Odoo!$B:$B, MATCH(A2596, Facturas_Odoo!$D:$D, 0)), "Sin Factura"))</f>
        <v/>
      </c>
      <c r="R2596" s="80">
        <f>IF(Q2596="Sin Factura","",IFERROR(INDEX(Facturas_Odoo!$A:$A, MATCH(Q2596, Facturas_Odoo!$B:$B, 0)), ""))</f>
        <v/>
      </c>
      <c r="S2596" s="79">
        <f>IF(Q2596="Sin Factura","",IFERROR(_xlfn.XLOOKUP(1, (Facturas_Odoo!$D:$D=A2596) * (Facturas_Odoo!$K:$K=I2596), Facturas_Odoo!$L:$L, ""), ""))</f>
        <v/>
      </c>
      <c r="T2596" s="81">
        <f>IF(Q2596="Sin Factura",0,IFERROR(_xlfn.XLOOKUP(1, (Facturas_Odoo!$D:$D=A2596) * (Facturas_Odoo!$K:$K=I2596), Facturas_Odoo!$M:$M, 0), 0))</f>
        <v/>
      </c>
      <c r="U2596" s="79">
        <f>IF(Q2596="Sin Factura",0,IFERROR(_xlfn.XLOOKUP(1, (Facturas_Odoo!$D:$D=A2596) * (Facturas_Odoo!$K:$K=I2596), Facturas_Odoo!$N:$N, 0), 0))</f>
        <v/>
      </c>
      <c r="V2596" s="79">
        <f>IF(Q2596="Sin Factura",0,IFERROR(_xlfn.XLOOKUP(1, (Facturas_Odoo!$D:$D=A2596) * (Facturas_Odoo!$K:$K=I2596), Facturas_Odoo!$O:$O, 0), 0))</f>
        <v/>
      </c>
      <c r="W2596" s="81">
        <f>IF(Q2596="Sin Factura",0,IFERROR(_xlfn.XLOOKUP(1, (Facturas_Odoo!$D:$D=A2596) * (Facturas_Odoo!$K:$K=I2596), Facturas_Odoo!$Q:$Q, 0), 0))</f>
        <v/>
      </c>
      <c r="X2596" s="79">
        <f>IF(OR(Q2596="Sin Factura",Q2596=""),"",IFERROR(INDEX(Pagos_Odoo!$B:$B, MATCH(Q2596, Pagos_Odoo!$I:$I, 0)), "Sin Pago"))</f>
        <v/>
      </c>
      <c r="Y2596" s="79">
        <f>IF(X2596="Sin Pago","",IFERROR(INDEX(Pagos_Odoo!$C:$C, MATCH(X2596, Pagos_Odoo!$B:$B, 0)), ""))</f>
        <v/>
      </c>
      <c r="Z2596" s="80">
        <f>IF(X2596="Sin Pago","",IFERROR(INDEX(Pagos_Odoo!$A:$A, MATCH(X2596, Pagos_Odoo!$B:$B, 0)), ""))</f>
        <v/>
      </c>
      <c r="AA2596" s="79">
        <f>IF(X2596="Sin Pago","",IFERROR(INDEX(Pagos_Odoo!$F:$F, MATCH(X2596, Pagos_Odoo!$B:$B, 0)), ""))</f>
        <v/>
      </c>
      <c r="AB2596" s="81">
        <f>IF(X2596="Sin Pago",0,IFERROR(INDEX(Pagos_Odoo!$E:$E, MATCH(X2596, Pagos_Odoo!$B:$B, 0)), 0))</f>
        <v/>
      </c>
      <c r="AC2596" s="79">
        <f>IF(X2596="Sin Pago","",IFERROR(INDEX(Pagos_Odoo!$G:$G, MATCH(X2596, Pagos_Odoo!$B:$B, 0)), ""))</f>
        <v/>
      </c>
      <c r="AD2596" s="82" t="n">
        <v>0</v>
      </c>
      <c r="AE2596" s="82" t="n"/>
      <c r="AF2596" s="82" t="n"/>
      <c r="AG2596" s="82">
        <f>IF(AN2596="","",AD2596+AE2596+AF2596)</f>
        <v/>
      </c>
      <c r="AH2596" s="81">
        <f>IF(AN2596="","",P2596*(1-AG2596))</f>
        <v/>
      </c>
      <c r="AI2596" s="81">
        <f>IF(AN2596="","",IF(Q2596="Sin Factura",0,IFERROR(INDEX(Facturas_Odoo!$H:$H, MATCH(Q2596, Facturas_Odoo!$B:$B, 0)), 0)*(1-AG2596)))</f>
        <v/>
      </c>
      <c r="AJ2596" s="81">
        <f>IF(AN2596="","",_xlfn.LET(idVenta, AN2596&amp;"",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96" s="81">
        <f>IF(AN2596="","",AH2596-AJ2596)</f>
        <v/>
      </c>
      <c r="AL2596" s="81">
        <f>IF(AN2596="","",IF(Q2596="Sin Factura","",AI2596-AJ2596))</f>
        <v/>
      </c>
      <c r="AM2596" s="81">
        <f>IF(AN2596="","",IF(Q2596="Sin Factura",0,P2596-IFERROR(INDEX(Facturas_Odoo!$H:$H, MATCH(Q2596, Facturas_Odoo!$B:$B, 0)), 0)))</f>
        <v/>
      </c>
      <c r="AN2596" s="79">
        <f>IF(AND(A2596="", J2596=""), "", IF(A2596&lt;&gt;"", VALUE(MID(A2596,2,LEN(A2596))), AN2595))</f>
        <v/>
      </c>
      <c r="AO2596" s="79">
        <f>IF(AN2596="","",IF(AD2596=0,"OK",_xlfn.LET(monedaPago, IF(AA2596="","USD",AA2596), limitePermitido, IFERROR(VLOOKUP(monedaPago, Configuración!$A$2:$B$3, 2, FALSE), 0.15), IF(AD2596&gt;limitePermitido, "ALERTA: EXCESO (" &amp; TEXT(limitePermitido, "0%") &amp; " máx)", "OK"))))</f>
        <v/>
      </c>
      <c r="AP2596" s="79">
        <f>IF(AN2596="","",IF(AE2596=0,"OK",_xlfn.LET(fechaPago, Z2596, fechaFactura, R2596, diasCredito, IF(E2596="Pago inmediato", 0, IFERROR(VALUE(MID(E2596, 1, SEARCH(" ", E2596)-1)),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96" s="79">
        <f>IF(AN2596="","",IF(AND(N2596&gt;0, AG2596&gt;0), IF(Configuración!$K$2="NO", "ALERTA: DESCUENTO DOBLE NO PERMITIDO", "OK"), "OK"))</f>
        <v/>
      </c>
      <c r="AR2596" s="79">
        <f>IF(AN2596="","",IF(OR(AO2596&lt;&gt;"OK", AP2596&lt;&gt;"OK", AQ2596&lt;&gt;"OK"), "⚠️ REVISAR", "OK"))</f>
        <v/>
      </c>
    </row>
    <row r="2597">
      <c r="A2597" s="79">
        <f>IF('Ordenes_Odoo'!A2597="","",'Ordenes_Odoo'!A2597)</f>
        <v/>
      </c>
      <c r="B2597" s="80">
        <f>IF('Ordenes_Odoo'!B2597="","",'Ordenes_Odoo'!B2597)</f>
        <v/>
      </c>
      <c r="C2597" s="79">
        <f>IF('Ordenes_Odoo'!C2597="","",'Ordenes_Odoo'!C2597)</f>
        <v/>
      </c>
      <c r="D2597" s="79">
        <f>IF('Ordenes_Odoo'!D2597="","",'Ordenes_Odoo'!D2597)</f>
        <v/>
      </c>
      <c r="E2597" s="79">
        <f>IF('Ordenes_Odoo'!E2597="","",'Ordenes_Odoo'!E2597)</f>
        <v/>
      </c>
      <c r="F2597" s="79">
        <f>IF('Ordenes_Odoo'!F2597="","",'Ordenes_Odoo'!F2597)</f>
        <v/>
      </c>
      <c r="G2597" s="79">
        <f>IF('Ordenes_Odoo'!G2597="","",'Ordenes_Odoo'!G2597)</f>
        <v/>
      </c>
      <c r="H2597" s="79">
        <f>IF('Ordenes_Odoo'!H2597="","",'Ordenes_Odoo'!H2597)</f>
        <v/>
      </c>
      <c r="I2597" s="79">
        <f>IF('Ordenes_Odoo'!I2597="","",'Ordenes_Odoo'!I2597)</f>
        <v/>
      </c>
      <c r="J2597" s="79">
        <f>IF('Ordenes_Odoo'!J2597="","",'Ordenes_Odoo'!J2597)</f>
        <v/>
      </c>
      <c r="K2597" s="81">
        <f>IF('Ordenes_Odoo'!K2597="","",'Ordenes_Odoo'!K2597)</f>
        <v/>
      </c>
      <c r="L2597" s="81">
        <f>IF('Ordenes_Odoo'!L2597="","",'Ordenes_Odoo'!L2597)</f>
        <v/>
      </c>
      <c r="M2597" s="79">
        <f>IF('Ordenes_Odoo'!M2597="","",'Ordenes_Odoo'!M2597)</f>
        <v/>
      </c>
      <c r="N2597" s="79">
        <f>IF('Ordenes_Odoo'!N2597="","",'Ordenes_Odoo'!N2597)</f>
        <v/>
      </c>
      <c r="O2597" s="81">
        <f>IF('Ordenes_Odoo'!O2597="","",'Ordenes_Odoo'!O2597)</f>
        <v/>
      </c>
      <c r="P2597" s="81">
        <f>IF('Ordenes_Odoo'!P2597="","",'Ordenes_Odoo'!P2597)</f>
        <v/>
      </c>
      <c r="Q2597" s="79">
        <f>IF(A2597="","",IFERROR(INDEX(Facturas_Odoo!$B:$B, MATCH(A2597, Facturas_Odoo!$D:$D, 0)), "Sin Factura"))</f>
        <v/>
      </c>
      <c r="R2597" s="80">
        <f>IF(Q2597="Sin Factura","",IFERROR(INDEX(Facturas_Odoo!$A:$A, MATCH(Q2597, Facturas_Odoo!$B:$B, 0)), ""))</f>
        <v/>
      </c>
      <c r="S2597" s="79">
        <f>IF(Q2597="Sin Factura","",IFERROR(_xlfn.XLOOKUP(1, (Facturas_Odoo!$D:$D=A2597) * (Facturas_Odoo!$K:$K=I2597), Facturas_Odoo!$L:$L, ""), ""))</f>
        <v/>
      </c>
      <c r="T2597" s="81">
        <f>IF(Q2597="Sin Factura",0,IFERROR(_xlfn.XLOOKUP(1, (Facturas_Odoo!$D:$D=A2597) * (Facturas_Odoo!$K:$K=I2597), Facturas_Odoo!$M:$M, 0), 0))</f>
        <v/>
      </c>
      <c r="U2597" s="79">
        <f>IF(Q2597="Sin Factura",0,IFERROR(_xlfn.XLOOKUP(1, (Facturas_Odoo!$D:$D=A2597) * (Facturas_Odoo!$K:$K=I2597), Facturas_Odoo!$N:$N, 0), 0))</f>
        <v/>
      </c>
      <c r="V2597" s="79">
        <f>IF(Q2597="Sin Factura",0,IFERROR(_xlfn.XLOOKUP(1, (Facturas_Odoo!$D:$D=A2597) * (Facturas_Odoo!$K:$K=I2597), Facturas_Odoo!$O:$O, 0), 0))</f>
        <v/>
      </c>
      <c r="W2597" s="81">
        <f>IF(Q2597="Sin Factura",0,IFERROR(_xlfn.XLOOKUP(1, (Facturas_Odoo!$D:$D=A2597) * (Facturas_Odoo!$K:$K=I2597), Facturas_Odoo!$Q:$Q, 0), 0))</f>
        <v/>
      </c>
      <c r="X2597" s="79">
        <f>IF(OR(Q2597="Sin Factura",Q2597=""),"",IFERROR(INDEX(Pagos_Odoo!$B:$B, MATCH(Q2597, Pagos_Odoo!$I:$I, 0)), "Sin Pago"))</f>
        <v/>
      </c>
      <c r="Y2597" s="79">
        <f>IF(X2597="Sin Pago","",IFERROR(INDEX(Pagos_Odoo!$C:$C, MATCH(X2597, Pagos_Odoo!$B:$B, 0)), ""))</f>
        <v/>
      </c>
      <c r="Z2597" s="80">
        <f>IF(X2597="Sin Pago","",IFERROR(INDEX(Pagos_Odoo!$A:$A, MATCH(X2597, Pagos_Odoo!$B:$B, 0)), ""))</f>
        <v/>
      </c>
      <c r="AA2597" s="79">
        <f>IF(X2597="Sin Pago","",IFERROR(INDEX(Pagos_Odoo!$F:$F, MATCH(X2597, Pagos_Odoo!$B:$B, 0)), ""))</f>
        <v/>
      </c>
      <c r="AB2597" s="81">
        <f>IF(X2597="Sin Pago",0,IFERROR(INDEX(Pagos_Odoo!$E:$E, MATCH(X2597, Pagos_Odoo!$B:$B, 0)), 0))</f>
        <v/>
      </c>
      <c r="AC2597" s="79">
        <f>IF(X2597="Sin Pago","",IFERROR(INDEX(Pagos_Odoo!$G:$G, MATCH(X2597, Pagos_Odoo!$B:$B, 0)), ""))</f>
        <v/>
      </c>
      <c r="AD2597" s="82" t="n">
        <v>0</v>
      </c>
      <c r="AE2597" s="82" t="n"/>
      <c r="AF2597" s="82" t="n"/>
      <c r="AG2597" s="82">
        <f>IF(AN2597="","",AD2597+AE2597+AF2597)</f>
        <v/>
      </c>
      <c r="AH2597" s="81">
        <f>IF(AN2597="","",P2597*(1-AG2597))</f>
        <v/>
      </c>
      <c r="AI2597" s="81">
        <f>IF(AN2597="","",IF(Q2597="Sin Factura",0,IFERROR(INDEX(Facturas_Odoo!$H:$H, MATCH(Q2597, Facturas_Odoo!$B:$B, 0)), 0)*(1-AG2597)))</f>
        <v/>
      </c>
      <c r="AJ2597" s="81">
        <f>IF(AN2597="","",_xlfn.LET(idVenta, AN2597&amp;"",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97" s="81">
        <f>IF(AN2597="","",AH2597-AJ2597)</f>
        <v/>
      </c>
      <c r="AL2597" s="81">
        <f>IF(AN2597="","",IF(Q2597="Sin Factura","",AI2597-AJ2597))</f>
        <v/>
      </c>
      <c r="AM2597" s="81">
        <f>IF(AN2597="","",IF(Q2597="Sin Factura",0,P2597-IFERROR(INDEX(Facturas_Odoo!$H:$H, MATCH(Q2597, Facturas_Odoo!$B:$B, 0)), 0)))</f>
        <v/>
      </c>
      <c r="AN2597" s="79">
        <f>IF(AND(A2597="", J2597=""), "", IF(A2597&lt;&gt;"", VALUE(MID(A2597,2,LEN(A2597))), AN2596))</f>
        <v/>
      </c>
      <c r="AO2597" s="79">
        <f>IF(AN2597="","",IF(AD2597=0,"OK",_xlfn.LET(monedaPago, IF(AA2597="","USD",AA2597), limitePermitido, IFERROR(VLOOKUP(monedaPago, Configuración!$A$2:$B$3, 2, FALSE), 0.15), IF(AD2597&gt;limitePermitido, "ALERTA: EXCESO (" &amp; TEXT(limitePermitido, "0%") &amp; " máx)", "OK"))))</f>
        <v/>
      </c>
      <c r="AP2597" s="79">
        <f>IF(AN2597="","",IF(AE2597=0,"OK",_xlfn.LET(fechaPago, Z2597, fechaFactura, R2597, diasCredito, IF(E2597="Pago inmediato", 0, IFERROR(VALUE(MID(E2597, 1, SEARCH(" ", E2597)-1)),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97" s="79">
        <f>IF(AN2597="","",IF(AND(N2597&gt;0, AG2597&gt;0), IF(Configuración!$K$2="NO", "ALERTA: DESCUENTO DOBLE NO PERMITIDO", "OK"), "OK"))</f>
        <v/>
      </c>
      <c r="AR2597" s="79">
        <f>IF(AN2597="","",IF(OR(AO2597&lt;&gt;"OK", AP2597&lt;&gt;"OK", AQ2597&lt;&gt;"OK"), "⚠️ REVISAR", "OK"))</f>
        <v/>
      </c>
    </row>
    <row r="2598">
      <c r="A2598" s="79">
        <f>IF('Ordenes_Odoo'!A2598="","",'Ordenes_Odoo'!A2598)</f>
        <v/>
      </c>
      <c r="B2598" s="80">
        <f>IF('Ordenes_Odoo'!B2598="","",'Ordenes_Odoo'!B2598)</f>
        <v/>
      </c>
      <c r="C2598" s="79">
        <f>IF('Ordenes_Odoo'!C2598="","",'Ordenes_Odoo'!C2598)</f>
        <v/>
      </c>
      <c r="D2598" s="79">
        <f>IF('Ordenes_Odoo'!D2598="","",'Ordenes_Odoo'!D2598)</f>
        <v/>
      </c>
      <c r="E2598" s="79">
        <f>IF('Ordenes_Odoo'!E2598="","",'Ordenes_Odoo'!E2598)</f>
        <v/>
      </c>
      <c r="F2598" s="79">
        <f>IF('Ordenes_Odoo'!F2598="","",'Ordenes_Odoo'!F2598)</f>
        <v/>
      </c>
      <c r="G2598" s="79">
        <f>IF('Ordenes_Odoo'!G2598="","",'Ordenes_Odoo'!G2598)</f>
        <v/>
      </c>
      <c r="H2598" s="79">
        <f>IF('Ordenes_Odoo'!H2598="","",'Ordenes_Odoo'!H2598)</f>
        <v/>
      </c>
      <c r="I2598" s="79">
        <f>IF('Ordenes_Odoo'!I2598="","",'Ordenes_Odoo'!I2598)</f>
        <v/>
      </c>
      <c r="J2598" s="79">
        <f>IF('Ordenes_Odoo'!J2598="","",'Ordenes_Odoo'!J2598)</f>
        <v/>
      </c>
      <c r="K2598" s="81">
        <f>IF('Ordenes_Odoo'!K2598="","",'Ordenes_Odoo'!K2598)</f>
        <v/>
      </c>
      <c r="L2598" s="81">
        <f>IF('Ordenes_Odoo'!L2598="","",'Ordenes_Odoo'!L2598)</f>
        <v/>
      </c>
      <c r="M2598" s="79">
        <f>IF('Ordenes_Odoo'!M2598="","",'Ordenes_Odoo'!M2598)</f>
        <v/>
      </c>
      <c r="N2598" s="79">
        <f>IF('Ordenes_Odoo'!N2598="","",'Ordenes_Odoo'!N2598)</f>
        <v/>
      </c>
      <c r="O2598" s="81">
        <f>IF('Ordenes_Odoo'!O2598="","",'Ordenes_Odoo'!O2598)</f>
        <v/>
      </c>
      <c r="P2598" s="81">
        <f>IF('Ordenes_Odoo'!P2598="","",'Ordenes_Odoo'!P2598)</f>
        <v/>
      </c>
      <c r="Q2598" s="79">
        <f>IF(A2598="","",IFERROR(INDEX(Facturas_Odoo!$B:$B, MATCH(A2598, Facturas_Odoo!$D:$D, 0)), "Sin Factura"))</f>
        <v/>
      </c>
      <c r="R2598" s="80">
        <f>IF(Q2598="Sin Factura","",IFERROR(INDEX(Facturas_Odoo!$A:$A, MATCH(Q2598, Facturas_Odoo!$B:$B, 0)), ""))</f>
        <v/>
      </c>
      <c r="S2598" s="79">
        <f>IF(Q2598="Sin Factura","",IFERROR(_xlfn.XLOOKUP(1, (Facturas_Odoo!$D:$D=A2598) * (Facturas_Odoo!$K:$K=I2598), Facturas_Odoo!$L:$L, ""), ""))</f>
        <v/>
      </c>
      <c r="T2598" s="81">
        <f>IF(Q2598="Sin Factura",0,IFERROR(_xlfn.XLOOKUP(1, (Facturas_Odoo!$D:$D=A2598) * (Facturas_Odoo!$K:$K=I2598), Facturas_Odoo!$M:$M, 0), 0))</f>
        <v/>
      </c>
      <c r="U2598" s="79">
        <f>IF(Q2598="Sin Factura",0,IFERROR(_xlfn.XLOOKUP(1, (Facturas_Odoo!$D:$D=A2598) * (Facturas_Odoo!$K:$K=I2598), Facturas_Odoo!$N:$N, 0), 0))</f>
        <v/>
      </c>
      <c r="V2598" s="79">
        <f>IF(Q2598="Sin Factura",0,IFERROR(_xlfn.XLOOKUP(1, (Facturas_Odoo!$D:$D=A2598) * (Facturas_Odoo!$K:$K=I2598), Facturas_Odoo!$O:$O, 0), 0))</f>
        <v/>
      </c>
      <c r="W2598" s="81">
        <f>IF(Q2598="Sin Factura",0,IFERROR(_xlfn.XLOOKUP(1, (Facturas_Odoo!$D:$D=A2598) * (Facturas_Odoo!$K:$K=I2598), Facturas_Odoo!$Q:$Q, 0), 0))</f>
        <v/>
      </c>
      <c r="X2598" s="79">
        <f>IF(OR(Q2598="Sin Factura",Q2598=""),"",IFERROR(INDEX(Pagos_Odoo!$B:$B, MATCH(Q2598, Pagos_Odoo!$I:$I, 0)), "Sin Pago"))</f>
        <v/>
      </c>
      <c r="Y2598" s="79">
        <f>IF(X2598="Sin Pago","",IFERROR(INDEX(Pagos_Odoo!$C:$C, MATCH(X2598, Pagos_Odoo!$B:$B, 0)), ""))</f>
        <v/>
      </c>
      <c r="Z2598" s="80">
        <f>IF(X2598="Sin Pago","",IFERROR(INDEX(Pagos_Odoo!$A:$A, MATCH(X2598, Pagos_Odoo!$B:$B, 0)), ""))</f>
        <v/>
      </c>
      <c r="AA2598" s="79">
        <f>IF(X2598="Sin Pago","",IFERROR(INDEX(Pagos_Odoo!$F:$F, MATCH(X2598, Pagos_Odoo!$B:$B, 0)), ""))</f>
        <v/>
      </c>
      <c r="AB2598" s="81">
        <f>IF(X2598="Sin Pago",0,IFERROR(INDEX(Pagos_Odoo!$E:$E, MATCH(X2598, Pagos_Odoo!$B:$B, 0)), 0))</f>
        <v/>
      </c>
      <c r="AC2598" s="79">
        <f>IF(X2598="Sin Pago","",IFERROR(INDEX(Pagos_Odoo!$G:$G, MATCH(X2598, Pagos_Odoo!$B:$B, 0)), ""))</f>
        <v/>
      </c>
      <c r="AD2598" s="82" t="n">
        <v>0</v>
      </c>
      <c r="AE2598" s="82" t="n"/>
      <c r="AF2598" s="82" t="n"/>
      <c r="AG2598" s="82">
        <f>IF(AN2598="","",AD2598+AE2598+AF2598)</f>
        <v/>
      </c>
      <c r="AH2598" s="81">
        <f>IF(AN2598="","",P2598*(1-AG2598))</f>
        <v/>
      </c>
      <c r="AI2598" s="81">
        <f>IF(AN2598="","",IF(Q2598="Sin Factura",0,IFERROR(INDEX(Facturas_Odoo!$H:$H, MATCH(Q2598, Facturas_Odoo!$B:$B, 0)), 0)*(1-AG2598)))</f>
        <v/>
      </c>
      <c r="AJ2598" s="81">
        <f>IF(AN2598="","",_xlfn.LET(idVenta, AN2598&amp;"",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98" s="81">
        <f>IF(AN2598="","",AH2598-AJ2598)</f>
        <v/>
      </c>
      <c r="AL2598" s="81">
        <f>IF(AN2598="","",IF(Q2598="Sin Factura","",AI2598-AJ2598))</f>
        <v/>
      </c>
      <c r="AM2598" s="81">
        <f>IF(AN2598="","",IF(Q2598="Sin Factura",0,P2598-IFERROR(INDEX(Facturas_Odoo!$H:$H, MATCH(Q2598, Facturas_Odoo!$B:$B, 0)), 0)))</f>
        <v/>
      </c>
      <c r="AN2598" s="79">
        <f>IF(AND(A2598="", J2598=""), "", IF(A2598&lt;&gt;"", VALUE(MID(A2598,2,LEN(A2598))), AN2597))</f>
        <v/>
      </c>
      <c r="AO2598" s="79">
        <f>IF(AN2598="","",IF(AD2598=0,"OK",_xlfn.LET(monedaPago, IF(AA2598="","USD",AA2598), limitePermitido, IFERROR(VLOOKUP(monedaPago, Configuración!$A$2:$B$3, 2, FALSE), 0.15), IF(AD2598&gt;limitePermitido, "ALERTA: EXCESO (" &amp; TEXT(limitePermitido, "0%") &amp; " máx)", "OK"))))</f>
        <v/>
      </c>
      <c r="AP2598" s="79">
        <f>IF(AN2598="","",IF(AE2598=0,"OK",_xlfn.LET(fechaPago, Z2598, fechaFactura, R2598, diasCredito, IF(E2598="Pago inmediato", 0, IFERROR(VALUE(MID(E2598, 1, SEARCH(" ", E2598)-1)),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98" s="79">
        <f>IF(AN2598="","",IF(AND(N2598&gt;0, AG2598&gt;0), IF(Configuración!$K$2="NO", "ALERTA: DESCUENTO DOBLE NO PERMITIDO", "OK"), "OK"))</f>
        <v/>
      </c>
      <c r="AR2598" s="79">
        <f>IF(AN2598="","",IF(OR(AO2598&lt;&gt;"OK", AP2598&lt;&gt;"OK", AQ2598&lt;&gt;"OK"), "⚠️ REVISAR", "OK"))</f>
        <v/>
      </c>
    </row>
    <row r="2599">
      <c r="A2599" s="79">
        <f>IF('Ordenes_Odoo'!A2599="","",'Ordenes_Odoo'!A2599)</f>
        <v/>
      </c>
      <c r="B2599" s="80">
        <f>IF('Ordenes_Odoo'!B2599="","",'Ordenes_Odoo'!B2599)</f>
        <v/>
      </c>
      <c r="C2599" s="79">
        <f>IF('Ordenes_Odoo'!C2599="","",'Ordenes_Odoo'!C2599)</f>
        <v/>
      </c>
      <c r="D2599" s="79">
        <f>IF('Ordenes_Odoo'!D2599="","",'Ordenes_Odoo'!D2599)</f>
        <v/>
      </c>
      <c r="E2599" s="79">
        <f>IF('Ordenes_Odoo'!E2599="","",'Ordenes_Odoo'!E2599)</f>
        <v/>
      </c>
      <c r="F2599" s="79">
        <f>IF('Ordenes_Odoo'!F2599="","",'Ordenes_Odoo'!F2599)</f>
        <v/>
      </c>
      <c r="G2599" s="79">
        <f>IF('Ordenes_Odoo'!G2599="","",'Ordenes_Odoo'!G2599)</f>
        <v/>
      </c>
      <c r="H2599" s="79">
        <f>IF('Ordenes_Odoo'!H2599="","",'Ordenes_Odoo'!H2599)</f>
        <v/>
      </c>
      <c r="I2599" s="79">
        <f>IF('Ordenes_Odoo'!I2599="","",'Ordenes_Odoo'!I2599)</f>
        <v/>
      </c>
      <c r="J2599" s="79">
        <f>IF('Ordenes_Odoo'!J2599="","",'Ordenes_Odoo'!J2599)</f>
        <v/>
      </c>
      <c r="K2599" s="81">
        <f>IF('Ordenes_Odoo'!K2599="","",'Ordenes_Odoo'!K2599)</f>
        <v/>
      </c>
      <c r="L2599" s="81">
        <f>IF('Ordenes_Odoo'!L2599="","",'Ordenes_Odoo'!L2599)</f>
        <v/>
      </c>
      <c r="M2599" s="79">
        <f>IF('Ordenes_Odoo'!M2599="","",'Ordenes_Odoo'!M2599)</f>
        <v/>
      </c>
      <c r="N2599" s="79">
        <f>IF('Ordenes_Odoo'!N2599="","",'Ordenes_Odoo'!N2599)</f>
        <v/>
      </c>
      <c r="O2599" s="81">
        <f>IF('Ordenes_Odoo'!O2599="","",'Ordenes_Odoo'!O2599)</f>
        <v/>
      </c>
      <c r="P2599" s="81">
        <f>IF('Ordenes_Odoo'!P2599="","",'Ordenes_Odoo'!P2599)</f>
        <v/>
      </c>
      <c r="Q2599" s="79">
        <f>IF(A2599="","",IFERROR(INDEX(Facturas_Odoo!$B:$B, MATCH(A2599, Facturas_Odoo!$D:$D, 0)), "Sin Factura"))</f>
        <v/>
      </c>
      <c r="R2599" s="80">
        <f>IF(Q2599="Sin Factura","",IFERROR(INDEX(Facturas_Odoo!$A:$A, MATCH(Q2599, Facturas_Odoo!$B:$B, 0)), ""))</f>
        <v/>
      </c>
      <c r="S2599" s="79">
        <f>IF(Q2599="Sin Factura","",IFERROR(_xlfn.XLOOKUP(1, (Facturas_Odoo!$D:$D=A2599) * (Facturas_Odoo!$K:$K=I2599), Facturas_Odoo!$L:$L, ""), ""))</f>
        <v/>
      </c>
      <c r="T2599" s="81">
        <f>IF(Q2599="Sin Factura",0,IFERROR(_xlfn.XLOOKUP(1, (Facturas_Odoo!$D:$D=A2599) * (Facturas_Odoo!$K:$K=I2599), Facturas_Odoo!$M:$M, 0), 0))</f>
        <v/>
      </c>
      <c r="U2599" s="79">
        <f>IF(Q2599="Sin Factura",0,IFERROR(_xlfn.XLOOKUP(1, (Facturas_Odoo!$D:$D=A2599) * (Facturas_Odoo!$K:$K=I2599), Facturas_Odoo!$N:$N, 0), 0))</f>
        <v/>
      </c>
      <c r="V2599" s="79">
        <f>IF(Q2599="Sin Factura",0,IFERROR(_xlfn.XLOOKUP(1, (Facturas_Odoo!$D:$D=A2599) * (Facturas_Odoo!$K:$K=I2599), Facturas_Odoo!$O:$O, 0), 0))</f>
        <v/>
      </c>
      <c r="W2599" s="81">
        <f>IF(Q2599="Sin Factura",0,IFERROR(_xlfn.XLOOKUP(1, (Facturas_Odoo!$D:$D=A2599) * (Facturas_Odoo!$K:$K=I2599), Facturas_Odoo!$Q:$Q, 0), 0))</f>
        <v/>
      </c>
      <c r="X2599" s="79">
        <f>IF(OR(Q2599="Sin Factura",Q2599=""),"",IFERROR(INDEX(Pagos_Odoo!$B:$B, MATCH(Q2599, Pagos_Odoo!$I:$I, 0)), "Sin Pago"))</f>
        <v/>
      </c>
      <c r="Y2599" s="79">
        <f>IF(X2599="Sin Pago","",IFERROR(INDEX(Pagos_Odoo!$C:$C, MATCH(X2599, Pagos_Odoo!$B:$B, 0)), ""))</f>
        <v/>
      </c>
      <c r="Z2599" s="80">
        <f>IF(X2599="Sin Pago","",IFERROR(INDEX(Pagos_Odoo!$A:$A, MATCH(X2599, Pagos_Odoo!$B:$B, 0)), ""))</f>
        <v/>
      </c>
      <c r="AA2599" s="79">
        <f>IF(X2599="Sin Pago","",IFERROR(INDEX(Pagos_Odoo!$F:$F, MATCH(X2599, Pagos_Odoo!$B:$B, 0)), ""))</f>
        <v/>
      </c>
      <c r="AB2599" s="81">
        <f>IF(X2599="Sin Pago",0,IFERROR(INDEX(Pagos_Odoo!$E:$E, MATCH(X2599, Pagos_Odoo!$B:$B, 0)), 0))</f>
        <v/>
      </c>
      <c r="AC2599" s="79">
        <f>IF(X2599="Sin Pago","",IFERROR(INDEX(Pagos_Odoo!$G:$G, MATCH(X2599, Pagos_Odoo!$B:$B, 0)), ""))</f>
        <v/>
      </c>
      <c r="AD2599" s="82" t="n">
        <v>0</v>
      </c>
      <c r="AE2599" s="82" t="n"/>
      <c r="AF2599" s="82" t="n"/>
      <c r="AG2599" s="82">
        <f>IF(AN2599="","",AD2599+AE2599+AF2599)</f>
        <v/>
      </c>
      <c r="AH2599" s="81">
        <f>IF(AN2599="","",P2599*(1-AG2599))</f>
        <v/>
      </c>
      <c r="AI2599" s="81">
        <f>IF(AN2599="","",IF(Q2599="Sin Factura",0,IFERROR(INDEX(Facturas_Odoo!$H:$H, MATCH(Q2599, Facturas_Odoo!$B:$B, 0)), 0)*(1-AG2599)))</f>
        <v/>
      </c>
      <c r="AJ2599" s="81">
        <f>IF(AN2599="","",_xlfn.LET(idVenta, AN2599&amp;"",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599" s="81">
        <f>IF(AN2599="","",AH2599-AJ2599)</f>
        <v/>
      </c>
      <c r="AL2599" s="81">
        <f>IF(AN2599="","",IF(Q2599="Sin Factura","",AI2599-AJ2599))</f>
        <v/>
      </c>
      <c r="AM2599" s="81">
        <f>IF(AN2599="","",IF(Q2599="Sin Factura",0,P2599-IFERROR(INDEX(Facturas_Odoo!$H:$H, MATCH(Q2599, Facturas_Odoo!$B:$B, 0)), 0)))</f>
        <v/>
      </c>
      <c r="AN2599" s="79">
        <f>IF(AND(A2599="", J2599=""), "", IF(A2599&lt;&gt;"", VALUE(MID(A2599,2,LEN(A2599))), AN2598))</f>
        <v/>
      </c>
      <c r="AO2599" s="79">
        <f>IF(AN2599="","",IF(AD2599=0,"OK",_xlfn.LET(monedaPago, IF(AA2599="","USD",AA2599), limitePermitido, IFERROR(VLOOKUP(monedaPago, Configuración!$A$2:$B$3, 2, FALSE), 0.15), IF(AD2599&gt;limitePermitido, "ALERTA: EXCESO (" &amp; TEXT(limitePermitido, "0%") &amp; " máx)", "OK"))))</f>
        <v/>
      </c>
      <c r="AP2599" s="79">
        <f>IF(AN2599="","",IF(AE2599=0,"OK",_xlfn.LET(fechaPago, Z2599, fechaFactura, R2599, diasCredito, IF(E2599="Pago inmediato", 0, IFERROR(VALUE(MID(E2599, 1, SEARCH(" ", E2599)-1)),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599" s="79">
        <f>IF(AN2599="","",IF(AND(N2599&gt;0, AG2599&gt;0), IF(Configuración!$K$2="NO", "ALERTA: DESCUENTO DOBLE NO PERMITIDO", "OK"), "OK"))</f>
        <v/>
      </c>
      <c r="AR2599" s="79">
        <f>IF(AN2599="","",IF(OR(AO2599&lt;&gt;"OK", AP2599&lt;&gt;"OK", AQ2599&lt;&gt;"OK"), "⚠️ REVISAR", "OK"))</f>
        <v/>
      </c>
    </row>
    <row r="2600">
      <c r="A2600" s="79">
        <f>IF('Ordenes_Odoo'!A2600="","",'Ordenes_Odoo'!A2600)</f>
        <v/>
      </c>
      <c r="B2600" s="80">
        <f>IF('Ordenes_Odoo'!B2600="","",'Ordenes_Odoo'!B2600)</f>
        <v/>
      </c>
      <c r="C2600" s="79">
        <f>IF('Ordenes_Odoo'!C2600="","",'Ordenes_Odoo'!C2600)</f>
        <v/>
      </c>
      <c r="D2600" s="79">
        <f>IF('Ordenes_Odoo'!D2600="","",'Ordenes_Odoo'!D2600)</f>
        <v/>
      </c>
      <c r="E2600" s="79">
        <f>IF('Ordenes_Odoo'!E2600="","",'Ordenes_Odoo'!E2600)</f>
        <v/>
      </c>
      <c r="F2600" s="79">
        <f>IF('Ordenes_Odoo'!F2600="","",'Ordenes_Odoo'!F2600)</f>
        <v/>
      </c>
      <c r="G2600" s="79">
        <f>IF('Ordenes_Odoo'!G2600="","",'Ordenes_Odoo'!G2600)</f>
        <v/>
      </c>
      <c r="H2600" s="79">
        <f>IF('Ordenes_Odoo'!H2600="","",'Ordenes_Odoo'!H2600)</f>
        <v/>
      </c>
      <c r="I2600" s="79">
        <f>IF('Ordenes_Odoo'!I2600="","",'Ordenes_Odoo'!I2600)</f>
        <v/>
      </c>
      <c r="J2600" s="79">
        <f>IF('Ordenes_Odoo'!J2600="","",'Ordenes_Odoo'!J2600)</f>
        <v/>
      </c>
      <c r="K2600" s="81">
        <f>IF('Ordenes_Odoo'!K2600="","",'Ordenes_Odoo'!K2600)</f>
        <v/>
      </c>
      <c r="L2600" s="81">
        <f>IF('Ordenes_Odoo'!L2600="","",'Ordenes_Odoo'!L2600)</f>
        <v/>
      </c>
      <c r="M2600" s="79">
        <f>IF('Ordenes_Odoo'!M2600="","",'Ordenes_Odoo'!M2600)</f>
        <v/>
      </c>
      <c r="N2600" s="79">
        <f>IF('Ordenes_Odoo'!N2600="","",'Ordenes_Odoo'!N2600)</f>
        <v/>
      </c>
      <c r="O2600" s="81">
        <f>IF('Ordenes_Odoo'!O2600="","",'Ordenes_Odoo'!O2600)</f>
        <v/>
      </c>
      <c r="P2600" s="81">
        <f>IF('Ordenes_Odoo'!P2600="","",'Ordenes_Odoo'!P2600)</f>
        <v/>
      </c>
      <c r="Q2600" s="79">
        <f>IF(A2600="","",IFERROR(INDEX(Facturas_Odoo!$B:$B, MATCH(A2600, Facturas_Odoo!$D:$D, 0)), "Sin Factura"))</f>
        <v/>
      </c>
      <c r="R2600" s="80">
        <f>IF(Q2600="Sin Factura","",IFERROR(INDEX(Facturas_Odoo!$A:$A, MATCH(Q2600, Facturas_Odoo!$B:$B, 0)), ""))</f>
        <v/>
      </c>
      <c r="S2600" s="79">
        <f>IF(Q2600="Sin Factura","",IFERROR(_xlfn.XLOOKUP(1, (Facturas_Odoo!$D:$D=A2600) * (Facturas_Odoo!$K:$K=I2600), Facturas_Odoo!$L:$L, ""), ""))</f>
        <v/>
      </c>
      <c r="T2600" s="81">
        <f>IF(Q2600="Sin Factura",0,IFERROR(_xlfn.XLOOKUP(1, (Facturas_Odoo!$D:$D=A2600) * (Facturas_Odoo!$K:$K=I2600), Facturas_Odoo!$M:$M, 0), 0))</f>
        <v/>
      </c>
      <c r="U2600" s="79">
        <f>IF(Q2600="Sin Factura",0,IFERROR(_xlfn.XLOOKUP(1, (Facturas_Odoo!$D:$D=A2600) * (Facturas_Odoo!$K:$K=I2600), Facturas_Odoo!$N:$N, 0), 0))</f>
        <v/>
      </c>
      <c r="V2600" s="79">
        <f>IF(Q2600="Sin Factura",0,IFERROR(_xlfn.XLOOKUP(1, (Facturas_Odoo!$D:$D=A2600) * (Facturas_Odoo!$K:$K=I2600), Facturas_Odoo!$O:$O, 0), 0))</f>
        <v/>
      </c>
      <c r="W2600" s="81">
        <f>IF(Q2600="Sin Factura",0,IFERROR(_xlfn.XLOOKUP(1, (Facturas_Odoo!$D:$D=A2600) * (Facturas_Odoo!$K:$K=I2600), Facturas_Odoo!$Q:$Q, 0), 0))</f>
        <v/>
      </c>
      <c r="X2600" s="79">
        <f>IF(OR(Q2600="Sin Factura",Q2600=""),"",IFERROR(INDEX(Pagos_Odoo!$B:$B, MATCH(Q2600, Pagos_Odoo!$I:$I, 0)), "Sin Pago"))</f>
        <v/>
      </c>
      <c r="Y2600" s="79">
        <f>IF(X2600="Sin Pago","",IFERROR(INDEX(Pagos_Odoo!$C:$C, MATCH(X2600, Pagos_Odoo!$B:$B, 0)), ""))</f>
        <v/>
      </c>
      <c r="Z2600" s="80">
        <f>IF(X2600="Sin Pago","",IFERROR(INDEX(Pagos_Odoo!$A:$A, MATCH(X2600, Pagos_Odoo!$B:$B, 0)), ""))</f>
        <v/>
      </c>
      <c r="AA2600" s="79">
        <f>IF(X2600="Sin Pago","",IFERROR(INDEX(Pagos_Odoo!$F:$F, MATCH(X2600, Pagos_Odoo!$B:$B, 0)), ""))</f>
        <v/>
      </c>
      <c r="AB2600" s="81">
        <f>IF(X2600="Sin Pago",0,IFERROR(INDEX(Pagos_Odoo!$E:$E, MATCH(X2600, Pagos_Odoo!$B:$B, 0)), 0))</f>
        <v/>
      </c>
      <c r="AC2600" s="79">
        <f>IF(X2600="Sin Pago","",IFERROR(INDEX(Pagos_Odoo!$G:$G, MATCH(X2600, Pagos_Odoo!$B:$B, 0)), ""))</f>
        <v/>
      </c>
      <c r="AD2600" s="82" t="n">
        <v>0</v>
      </c>
      <c r="AE2600" s="82" t="n"/>
      <c r="AF2600" s="82" t="n"/>
      <c r="AG2600" s="82">
        <f>IF(AN2600="","",AD2600+AE2600+AF2600)</f>
        <v/>
      </c>
      <c r="AH2600" s="81">
        <f>IF(AN2600="","",P2600*(1-AG2600))</f>
        <v/>
      </c>
      <c r="AI2600" s="81">
        <f>IF(AN2600="","",IF(Q2600="Sin Factura",0,IFERROR(INDEX(Facturas_Odoo!$H:$H, MATCH(Q2600, Facturas_Odoo!$B:$B, 0)), 0)*(1-AG2600)))</f>
        <v/>
      </c>
      <c r="AJ2600" s="81">
        <f>IF(AN2600="","",_xlfn.LET(idVenta, AN2600&amp;"",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00" s="81">
        <f>IF(AN2600="","",AH2600-AJ2600)</f>
        <v/>
      </c>
      <c r="AL2600" s="81">
        <f>IF(AN2600="","",IF(Q2600="Sin Factura","",AI2600-AJ2600))</f>
        <v/>
      </c>
      <c r="AM2600" s="81">
        <f>IF(AN2600="","",IF(Q2600="Sin Factura",0,P2600-IFERROR(INDEX(Facturas_Odoo!$H:$H, MATCH(Q2600, Facturas_Odoo!$B:$B, 0)), 0)))</f>
        <v/>
      </c>
      <c r="AN2600" s="79">
        <f>IF(AND(A2600="", J2600=""), "", IF(A2600&lt;&gt;"", VALUE(MID(A2600,2,LEN(A2600))), AN2599))</f>
        <v/>
      </c>
      <c r="AO2600" s="79">
        <f>IF(AN2600="","",IF(AD2600=0,"OK",_xlfn.LET(monedaPago, IF(AA2600="","USD",AA2600), limitePermitido, IFERROR(VLOOKUP(monedaPago, Configuración!$A$2:$B$3, 2, FALSE), 0.15), IF(AD2600&gt;limitePermitido, "ALERTA: EXCESO (" &amp; TEXT(limitePermitido, "0%") &amp; " máx)", "OK"))))</f>
        <v/>
      </c>
      <c r="AP2600" s="79">
        <f>IF(AN2600="","",IF(AE2600=0,"OK",_xlfn.LET(fechaPago, Z2600, fechaFactura, R2600, diasCredito, IF(E2600="Pago inmediato", 0, IFERROR(VALUE(MID(E2600, 1, SEARCH(" ", E2600)-1)),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00" s="79">
        <f>IF(AN2600="","",IF(AND(N2600&gt;0, AG2600&gt;0), IF(Configuración!$K$2="NO", "ALERTA: DESCUENTO DOBLE NO PERMITIDO", "OK"), "OK"))</f>
        <v/>
      </c>
      <c r="AR2600" s="79">
        <f>IF(AN2600="","",IF(OR(AO2600&lt;&gt;"OK", AP2600&lt;&gt;"OK", AQ2600&lt;&gt;"OK"), "⚠️ REVISAR", "OK"))</f>
        <v/>
      </c>
    </row>
    <row r="2601">
      <c r="A2601" s="79">
        <f>IF('Ordenes_Odoo'!A2601="","",'Ordenes_Odoo'!A2601)</f>
        <v/>
      </c>
      <c r="B2601" s="80">
        <f>IF('Ordenes_Odoo'!B2601="","",'Ordenes_Odoo'!B2601)</f>
        <v/>
      </c>
      <c r="C2601" s="79">
        <f>IF('Ordenes_Odoo'!C2601="","",'Ordenes_Odoo'!C2601)</f>
        <v/>
      </c>
      <c r="D2601" s="79">
        <f>IF('Ordenes_Odoo'!D2601="","",'Ordenes_Odoo'!D2601)</f>
        <v/>
      </c>
      <c r="E2601" s="79">
        <f>IF('Ordenes_Odoo'!E2601="","",'Ordenes_Odoo'!E2601)</f>
        <v/>
      </c>
      <c r="F2601" s="79">
        <f>IF('Ordenes_Odoo'!F2601="","",'Ordenes_Odoo'!F2601)</f>
        <v/>
      </c>
      <c r="G2601" s="79">
        <f>IF('Ordenes_Odoo'!G2601="","",'Ordenes_Odoo'!G2601)</f>
        <v/>
      </c>
      <c r="H2601" s="79">
        <f>IF('Ordenes_Odoo'!H2601="","",'Ordenes_Odoo'!H2601)</f>
        <v/>
      </c>
      <c r="I2601" s="79">
        <f>IF('Ordenes_Odoo'!I2601="","",'Ordenes_Odoo'!I2601)</f>
        <v/>
      </c>
      <c r="J2601" s="79">
        <f>IF('Ordenes_Odoo'!J2601="","",'Ordenes_Odoo'!J2601)</f>
        <v/>
      </c>
      <c r="K2601" s="81">
        <f>IF('Ordenes_Odoo'!K2601="","",'Ordenes_Odoo'!K2601)</f>
        <v/>
      </c>
      <c r="L2601" s="81">
        <f>IF('Ordenes_Odoo'!L2601="","",'Ordenes_Odoo'!L2601)</f>
        <v/>
      </c>
      <c r="M2601" s="79">
        <f>IF('Ordenes_Odoo'!M2601="","",'Ordenes_Odoo'!M2601)</f>
        <v/>
      </c>
      <c r="N2601" s="79">
        <f>IF('Ordenes_Odoo'!N2601="","",'Ordenes_Odoo'!N2601)</f>
        <v/>
      </c>
      <c r="O2601" s="81">
        <f>IF('Ordenes_Odoo'!O2601="","",'Ordenes_Odoo'!O2601)</f>
        <v/>
      </c>
      <c r="P2601" s="81">
        <f>IF('Ordenes_Odoo'!P2601="","",'Ordenes_Odoo'!P2601)</f>
        <v/>
      </c>
      <c r="Q2601" s="79">
        <f>IF(A2601="","",IFERROR(INDEX(Facturas_Odoo!$B:$B, MATCH(A2601, Facturas_Odoo!$D:$D, 0)), "Sin Factura"))</f>
        <v/>
      </c>
      <c r="R2601" s="80">
        <f>IF(Q2601="Sin Factura","",IFERROR(INDEX(Facturas_Odoo!$A:$A, MATCH(Q2601, Facturas_Odoo!$B:$B, 0)), ""))</f>
        <v/>
      </c>
      <c r="S2601" s="79">
        <f>IF(Q2601="Sin Factura","",IFERROR(_xlfn.XLOOKUP(1, (Facturas_Odoo!$D:$D=A2601) * (Facturas_Odoo!$K:$K=I2601), Facturas_Odoo!$L:$L, ""), ""))</f>
        <v/>
      </c>
      <c r="T2601" s="81">
        <f>IF(Q2601="Sin Factura",0,IFERROR(_xlfn.XLOOKUP(1, (Facturas_Odoo!$D:$D=A2601) * (Facturas_Odoo!$K:$K=I2601), Facturas_Odoo!$M:$M, 0), 0))</f>
        <v/>
      </c>
      <c r="U2601" s="79">
        <f>IF(Q2601="Sin Factura",0,IFERROR(_xlfn.XLOOKUP(1, (Facturas_Odoo!$D:$D=A2601) * (Facturas_Odoo!$K:$K=I2601), Facturas_Odoo!$N:$N, 0), 0))</f>
        <v/>
      </c>
      <c r="V2601" s="79">
        <f>IF(Q2601="Sin Factura",0,IFERROR(_xlfn.XLOOKUP(1, (Facturas_Odoo!$D:$D=A2601) * (Facturas_Odoo!$K:$K=I2601), Facturas_Odoo!$O:$O, 0), 0))</f>
        <v/>
      </c>
      <c r="W2601" s="81">
        <f>IF(Q2601="Sin Factura",0,IFERROR(_xlfn.XLOOKUP(1, (Facturas_Odoo!$D:$D=A2601) * (Facturas_Odoo!$K:$K=I2601), Facturas_Odoo!$Q:$Q, 0), 0))</f>
        <v/>
      </c>
      <c r="X2601" s="79">
        <f>IF(OR(Q2601="Sin Factura",Q2601=""),"",IFERROR(INDEX(Pagos_Odoo!$B:$B, MATCH(Q2601, Pagos_Odoo!$I:$I, 0)), "Sin Pago"))</f>
        <v/>
      </c>
      <c r="Y2601" s="79">
        <f>IF(X2601="Sin Pago","",IFERROR(INDEX(Pagos_Odoo!$C:$C, MATCH(X2601, Pagos_Odoo!$B:$B, 0)), ""))</f>
        <v/>
      </c>
      <c r="Z2601" s="80">
        <f>IF(X2601="Sin Pago","",IFERROR(INDEX(Pagos_Odoo!$A:$A, MATCH(X2601, Pagos_Odoo!$B:$B, 0)), ""))</f>
        <v/>
      </c>
      <c r="AA2601" s="79">
        <f>IF(X2601="Sin Pago","",IFERROR(INDEX(Pagos_Odoo!$F:$F, MATCH(X2601, Pagos_Odoo!$B:$B, 0)), ""))</f>
        <v/>
      </c>
      <c r="AB2601" s="81">
        <f>IF(X2601="Sin Pago",0,IFERROR(INDEX(Pagos_Odoo!$E:$E, MATCH(X2601, Pagos_Odoo!$B:$B, 0)), 0))</f>
        <v/>
      </c>
      <c r="AC2601" s="79">
        <f>IF(X2601="Sin Pago","",IFERROR(INDEX(Pagos_Odoo!$G:$G, MATCH(X2601, Pagos_Odoo!$B:$B, 0)), ""))</f>
        <v/>
      </c>
      <c r="AD2601" s="82" t="n">
        <v>0</v>
      </c>
      <c r="AE2601" s="82" t="n"/>
      <c r="AF2601" s="82" t="n"/>
      <c r="AG2601" s="82">
        <f>IF(AN2601="","",AD2601+AE2601+AF2601)</f>
        <v/>
      </c>
      <c r="AH2601" s="81">
        <f>IF(AN2601="","",P2601*(1-AG2601))</f>
        <v/>
      </c>
      <c r="AI2601" s="81">
        <f>IF(AN2601="","",IF(Q2601="Sin Factura",0,IFERROR(INDEX(Facturas_Odoo!$H:$H, MATCH(Q2601, Facturas_Odoo!$B:$B, 0)), 0)*(1-AG2601)))</f>
        <v/>
      </c>
      <c r="AJ2601" s="81">
        <f>IF(AN2601="","",_xlfn.LET(idVenta, AN2601&amp;"",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01" s="81">
        <f>IF(AN2601="","",AH2601-AJ2601)</f>
        <v/>
      </c>
      <c r="AL2601" s="81">
        <f>IF(AN2601="","",IF(Q2601="Sin Factura","",AI2601-AJ2601))</f>
        <v/>
      </c>
      <c r="AM2601" s="81">
        <f>IF(AN2601="","",IF(Q2601="Sin Factura",0,P2601-IFERROR(INDEX(Facturas_Odoo!$H:$H, MATCH(Q2601, Facturas_Odoo!$B:$B, 0)), 0)))</f>
        <v/>
      </c>
      <c r="AN2601" s="79">
        <f>IF(AND(A2601="", J2601=""), "", IF(A2601&lt;&gt;"", VALUE(MID(A2601,2,LEN(A2601))), AN2600))</f>
        <v/>
      </c>
      <c r="AO2601" s="79">
        <f>IF(AN2601="","",IF(AD2601=0,"OK",_xlfn.LET(monedaPago, IF(AA2601="","USD",AA2601), limitePermitido, IFERROR(VLOOKUP(monedaPago, Configuración!$A$2:$B$3, 2, FALSE), 0.15), IF(AD2601&gt;limitePermitido, "ALERTA: EXCESO (" &amp; TEXT(limitePermitido, "0%") &amp; " máx)", "OK"))))</f>
        <v/>
      </c>
      <c r="AP2601" s="79">
        <f>IF(AN2601="","",IF(AE2601=0,"OK",_xlfn.LET(fechaPago, Z2601, fechaFactura, R2601, diasCredito, IF(E2601="Pago inmediato", 0, IFERROR(VALUE(MID(E2601, 1, SEARCH(" ", E2601)-1)),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01" s="79">
        <f>IF(AN2601="","",IF(AND(N2601&gt;0, AG2601&gt;0), IF(Configuración!$K$2="NO", "ALERTA: DESCUENTO DOBLE NO PERMITIDO", "OK"), "OK"))</f>
        <v/>
      </c>
      <c r="AR2601" s="79">
        <f>IF(AN2601="","",IF(OR(AO2601&lt;&gt;"OK", AP2601&lt;&gt;"OK", AQ2601&lt;&gt;"OK"), "⚠️ REVISAR", "OK"))</f>
        <v/>
      </c>
    </row>
    <row r="2602">
      <c r="A2602" s="79">
        <f>IF('Ordenes_Odoo'!A2602="","",'Ordenes_Odoo'!A2602)</f>
        <v/>
      </c>
      <c r="B2602" s="80">
        <f>IF('Ordenes_Odoo'!B2602="","",'Ordenes_Odoo'!B2602)</f>
        <v/>
      </c>
      <c r="C2602" s="79">
        <f>IF('Ordenes_Odoo'!C2602="","",'Ordenes_Odoo'!C2602)</f>
        <v/>
      </c>
      <c r="D2602" s="79">
        <f>IF('Ordenes_Odoo'!D2602="","",'Ordenes_Odoo'!D2602)</f>
        <v/>
      </c>
      <c r="E2602" s="79">
        <f>IF('Ordenes_Odoo'!E2602="","",'Ordenes_Odoo'!E2602)</f>
        <v/>
      </c>
      <c r="F2602" s="79">
        <f>IF('Ordenes_Odoo'!F2602="","",'Ordenes_Odoo'!F2602)</f>
        <v/>
      </c>
      <c r="G2602" s="79">
        <f>IF('Ordenes_Odoo'!G2602="","",'Ordenes_Odoo'!G2602)</f>
        <v/>
      </c>
      <c r="H2602" s="79">
        <f>IF('Ordenes_Odoo'!H2602="","",'Ordenes_Odoo'!H2602)</f>
        <v/>
      </c>
      <c r="I2602" s="79">
        <f>IF('Ordenes_Odoo'!I2602="","",'Ordenes_Odoo'!I2602)</f>
        <v/>
      </c>
      <c r="J2602" s="79">
        <f>IF('Ordenes_Odoo'!J2602="","",'Ordenes_Odoo'!J2602)</f>
        <v/>
      </c>
      <c r="K2602" s="81">
        <f>IF('Ordenes_Odoo'!K2602="","",'Ordenes_Odoo'!K2602)</f>
        <v/>
      </c>
      <c r="L2602" s="81">
        <f>IF('Ordenes_Odoo'!L2602="","",'Ordenes_Odoo'!L2602)</f>
        <v/>
      </c>
      <c r="M2602" s="79">
        <f>IF('Ordenes_Odoo'!M2602="","",'Ordenes_Odoo'!M2602)</f>
        <v/>
      </c>
      <c r="N2602" s="79">
        <f>IF('Ordenes_Odoo'!N2602="","",'Ordenes_Odoo'!N2602)</f>
        <v/>
      </c>
      <c r="O2602" s="81">
        <f>IF('Ordenes_Odoo'!O2602="","",'Ordenes_Odoo'!O2602)</f>
        <v/>
      </c>
      <c r="P2602" s="81">
        <f>IF('Ordenes_Odoo'!P2602="","",'Ordenes_Odoo'!P2602)</f>
        <v/>
      </c>
      <c r="Q2602" s="79">
        <f>IF(A2602="","",IFERROR(INDEX(Facturas_Odoo!$B:$B, MATCH(A2602, Facturas_Odoo!$D:$D, 0)), "Sin Factura"))</f>
        <v/>
      </c>
      <c r="R2602" s="80">
        <f>IF(Q2602="Sin Factura","",IFERROR(INDEX(Facturas_Odoo!$A:$A, MATCH(Q2602, Facturas_Odoo!$B:$B, 0)), ""))</f>
        <v/>
      </c>
      <c r="S2602" s="79">
        <f>IF(Q2602="Sin Factura","",IFERROR(_xlfn.XLOOKUP(1, (Facturas_Odoo!$D:$D=A2602) * (Facturas_Odoo!$K:$K=I2602), Facturas_Odoo!$L:$L, ""), ""))</f>
        <v/>
      </c>
      <c r="T2602" s="81">
        <f>IF(Q2602="Sin Factura",0,IFERROR(_xlfn.XLOOKUP(1, (Facturas_Odoo!$D:$D=A2602) * (Facturas_Odoo!$K:$K=I2602), Facturas_Odoo!$M:$M, 0), 0))</f>
        <v/>
      </c>
      <c r="U2602" s="79">
        <f>IF(Q2602="Sin Factura",0,IFERROR(_xlfn.XLOOKUP(1, (Facturas_Odoo!$D:$D=A2602) * (Facturas_Odoo!$K:$K=I2602), Facturas_Odoo!$N:$N, 0), 0))</f>
        <v/>
      </c>
      <c r="V2602" s="79">
        <f>IF(Q2602="Sin Factura",0,IFERROR(_xlfn.XLOOKUP(1, (Facturas_Odoo!$D:$D=A2602) * (Facturas_Odoo!$K:$K=I2602), Facturas_Odoo!$O:$O, 0), 0))</f>
        <v/>
      </c>
      <c r="W2602" s="81">
        <f>IF(Q2602="Sin Factura",0,IFERROR(_xlfn.XLOOKUP(1, (Facturas_Odoo!$D:$D=A2602) * (Facturas_Odoo!$K:$K=I2602), Facturas_Odoo!$Q:$Q, 0), 0))</f>
        <v/>
      </c>
      <c r="X2602" s="79">
        <f>IF(OR(Q2602="Sin Factura",Q2602=""),"",IFERROR(INDEX(Pagos_Odoo!$B:$B, MATCH(Q2602, Pagos_Odoo!$I:$I, 0)), "Sin Pago"))</f>
        <v/>
      </c>
      <c r="Y2602" s="79">
        <f>IF(X2602="Sin Pago","",IFERROR(INDEX(Pagos_Odoo!$C:$C, MATCH(X2602, Pagos_Odoo!$B:$B, 0)), ""))</f>
        <v/>
      </c>
      <c r="Z2602" s="80">
        <f>IF(X2602="Sin Pago","",IFERROR(INDEX(Pagos_Odoo!$A:$A, MATCH(X2602, Pagos_Odoo!$B:$B, 0)), ""))</f>
        <v/>
      </c>
      <c r="AA2602" s="79">
        <f>IF(X2602="Sin Pago","",IFERROR(INDEX(Pagos_Odoo!$F:$F, MATCH(X2602, Pagos_Odoo!$B:$B, 0)), ""))</f>
        <v/>
      </c>
      <c r="AB2602" s="81">
        <f>IF(X2602="Sin Pago",0,IFERROR(INDEX(Pagos_Odoo!$E:$E, MATCH(X2602, Pagos_Odoo!$B:$B, 0)), 0))</f>
        <v/>
      </c>
      <c r="AC2602" s="79">
        <f>IF(X2602="Sin Pago","",IFERROR(INDEX(Pagos_Odoo!$G:$G, MATCH(X2602, Pagos_Odoo!$B:$B, 0)), ""))</f>
        <v/>
      </c>
      <c r="AD2602" s="82" t="n">
        <v>0</v>
      </c>
      <c r="AE2602" s="82" t="n"/>
      <c r="AF2602" s="82" t="n"/>
      <c r="AG2602" s="82">
        <f>IF(AN2602="","",AD2602+AE2602+AF2602)</f>
        <v/>
      </c>
      <c r="AH2602" s="81">
        <f>IF(AN2602="","",P2602*(1-AG2602))</f>
        <v/>
      </c>
      <c r="AI2602" s="81">
        <f>IF(AN2602="","",IF(Q2602="Sin Factura",0,IFERROR(INDEX(Facturas_Odoo!$H:$H, MATCH(Q2602, Facturas_Odoo!$B:$B, 0)), 0)*(1-AG2602)))</f>
        <v/>
      </c>
      <c r="AJ2602" s="81">
        <f>IF(AN2602="","",_xlfn.LET(idVenta, AN2602&amp;"",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02" s="81">
        <f>IF(AN2602="","",AH2602-AJ2602)</f>
        <v/>
      </c>
      <c r="AL2602" s="81">
        <f>IF(AN2602="","",IF(Q2602="Sin Factura","",AI2602-AJ2602))</f>
        <v/>
      </c>
      <c r="AM2602" s="81">
        <f>IF(AN2602="","",IF(Q2602="Sin Factura",0,P2602-IFERROR(INDEX(Facturas_Odoo!$H:$H, MATCH(Q2602, Facturas_Odoo!$B:$B, 0)), 0)))</f>
        <v/>
      </c>
      <c r="AN2602" s="79">
        <f>IF(AND(A2602="", J2602=""), "", IF(A2602&lt;&gt;"", VALUE(MID(A2602,2,LEN(A2602))), AN2601))</f>
        <v/>
      </c>
      <c r="AO2602" s="79">
        <f>IF(AN2602="","",IF(AD2602=0,"OK",_xlfn.LET(monedaPago, IF(AA2602="","USD",AA2602), limitePermitido, IFERROR(VLOOKUP(monedaPago, Configuración!$A$2:$B$3, 2, FALSE), 0.15), IF(AD2602&gt;limitePermitido, "ALERTA: EXCESO (" &amp; TEXT(limitePermitido, "0%") &amp; " máx)", "OK"))))</f>
        <v/>
      </c>
      <c r="AP2602" s="79">
        <f>IF(AN2602="","",IF(AE2602=0,"OK",_xlfn.LET(fechaPago, Z2602, fechaFactura, R2602, diasCredito, IF(E2602="Pago inmediato", 0, IFERROR(VALUE(MID(E2602, 1, SEARCH(" ", E2602)-1)),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02" s="79">
        <f>IF(AN2602="","",IF(AND(N2602&gt;0, AG2602&gt;0), IF(Configuración!$K$2="NO", "ALERTA: DESCUENTO DOBLE NO PERMITIDO", "OK"), "OK"))</f>
        <v/>
      </c>
      <c r="AR2602" s="79">
        <f>IF(AN2602="","",IF(OR(AO2602&lt;&gt;"OK", AP2602&lt;&gt;"OK", AQ2602&lt;&gt;"OK"), "⚠️ REVISAR", "OK"))</f>
        <v/>
      </c>
    </row>
    <row r="2603">
      <c r="A2603" s="79">
        <f>IF('Ordenes_Odoo'!A2603="","",'Ordenes_Odoo'!A2603)</f>
        <v/>
      </c>
      <c r="B2603" s="80">
        <f>IF('Ordenes_Odoo'!B2603="","",'Ordenes_Odoo'!B2603)</f>
        <v/>
      </c>
      <c r="C2603" s="79">
        <f>IF('Ordenes_Odoo'!C2603="","",'Ordenes_Odoo'!C2603)</f>
        <v/>
      </c>
      <c r="D2603" s="79">
        <f>IF('Ordenes_Odoo'!D2603="","",'Ordenes_Odoo'!D2603)</f>
        <v/>
      </c>
      <c r="E2603" s="79">
        <f>IF('Ordenes_Odoo'!E2603="","",'Ordenes_Odoo'!E2603)</f>
        <v/>
      </c>
      <c r="F2603" s="79">
        <f>IF('Ordenes_Odoo'!F2603="","",'Ordenes_Odoo'!F2603)</f>
        <v/>
      </c>
      <c r="G2603" s="79">
        <f>IF('Ordenes_Odoo'!G2603="","",'Ordenes_Odoo'!G2603)</f>
        <v/>
      </c>
      <c r="H2603" s="79">
        <f>IF('Ordenes_Odoo'!H2603="","",'Ordenes_Odoo'!H2603)</f>
        <v/>
      </c>
      <c r="I2603" s="79">
        <f>IF('Ordenes_Odoo'!I2603="","",'Ordenes_Odoo'!I2603)</f>
        <v/>
      </c>
      <c r="J2603" s="79">
        <f>IF('Ordenes_Odoo'!J2603="","",'Ordenes_Odoo'!J2603)</f>
        <v/>
      </c>
      <c r="K2603" s="81">
        <f>IF('Ordenes_Odoo'!K2603="","",'Ordenes_Odoo'!K2603)</f>
        <v/>
      </c>
      <c r="L2603" s="81">
        <f>IF('Ordenes_Odoo'!L2603="","",'Ordenes_Odoo'!L2603)</f>
        <v/>
      </c>
      <c r="M2603" s="79">
        <f>IF('Ordenes_Odoo'!M2603="","",'Ordenes_Odoo'!M2603)</f>
        <v/>
      </c>
      <c r="N2603" s="79">
        <f>IF('Ordenes_Odoo'!N2603="","",'Ordenes_Odoo'!N2603)</f>
        <v/>
      </c>
      <c r="O2603" s="81">
        <f>IF('Ordenes_Odoo'!O2603="","",'Ordenes_Odoo'!O2603)</f>
        <v/>
      </c>
      <c r="P2603" s="81">
        <f>IF('Ordenes_Odoo'!P2603="","",'Ordenes_Odoo'!P2603)</f>
        <v/>
      </c>
      <c r="Q2603" s="79">
        <f>IF(A2603="","",IFERROR(INDEX(Facturas_Odoo!$B:$B, MATCH(A2603, Facturas_Odoo!$D:$D, 0)), "Sin Factura"))</f>
        <v/>
      </c>
      <c r="R2603" s="80">
        <f>IF(Q2603="Sin Factura","",IFERROR(INDEX(Facturas_Odoo!$A:$A, MATCH(Q2603, Facturas_Odoo!$B:$B, 0)), ""))</f>
        <v/>
      </c>
      <c r="S2603" s="79">
        <f>IF(Q2603="Sin Factura","",IFERROR(_xlfn.XLOOKUP(1, (Facturas_Odoo!$D:$D=A2603) * (Facturas_Odoo!$K:$K=I2603), Facturas_Odoo!$L:$L, ""), ""))</f>
        <v/>
      </c>
      <c r="T2603" s="81">
        <f>IF(Q2603="Sin Factura",0,IFERROR(_xlfn.XLOOKUP(1, (Facturas_Odoo!$D:$D=A2603) * (Facturas_Odoo!$K:$K=I2603), Facturas_Odoo!$M:$M, 0), 0))</f>
        <v/>
      </c>
      <c r="U2603" s="79">
        <f>IF(Q2603="Sin Factura",0,IFERROR(_xlfn.XLOOKUP(1, (Facturas_Odoo!$D:$D=A2603) * (Facturas_Odoo!$K:$K=I2603), Facturas_Odoo!$N:$N, 0), 0))</f>
        <v/>
      </c>
      <c r="V2603" s="79">
        <f>IF(Q2603="Sin Factura",0,IFERROR(_xlfn.XLOOKUP(1, (Facturas_Odoo!$D:$D=A2603) * (Facturas_Odoo!$K:$K=I2603), Facturas_Odoo!$O:$O, 0), 0))</f>
        <v/>
      </c>
      <c r="W2603" s="81">
        <f>IF(Q2603="Sin Factura",0,IFERROR(_xlfn.XLOOKUP(1, (Facturas_Odoo!$D:$D=A2603) * (Facturas_Odoo!$K:$K=I2603), Facturas_Odoo!$Q:$Q, 0), 0))</f>
        <v/>
      </c>
      <c r="X2603" s="79">
        <f>IF(OR(Q2603="Sin Factura",Q2603=""),"",IFERROR(INDEX(Pagos_Odoo!$B:$B, MATCH(Q2603, Pagos_Odoo!$I:$I, 0)), "Sin Pago"))</f>
        <v/>
      </c>
      <c r="Y2603" s="79">
        <f>IF(X2603="Sin Pago","",IFERROR(INDEX(Pagos_Odoo!$C:$C, MATCH(X2603, Pagos_Odoo!$B:$B, 0)), ""))</f>
        <v/>
      </c>
      <c r="Z2603" s="80">
        <f>IF(X2603="Sin Pago","",IFERROR(INDEX(Pagos_Odoo!$A:$A, MATCH(X2603, Pagos_Odoo!$B:$B, 0)), ""))</f>
        <v/>
      </c>
      <c r="AA2603" s="79">
        <f>IF(X2603="Sin Pago","",IFERROR(INDEX(Pagos_Odoo!$F:$F, MATCH(X2603, Pagos_Odoo!$B:$B, 0)), ""))</f>
        <v/>
      </c>
      <c r="AB2603" s="81">
        <f>IF(X2603="Sin Pago",0,IFERROR(INDEX(Pagos_Odoo!$E:$E, MATCH(X2603, Pagos_Odoo!$B:$B, 0)), 0))</f>
        <v/>
      </c>
      <c r="AC2603" s="79">
        <f>IF(X2603="Sin Pago","",IFERROR(INDEX(Pagos_Odoo!$G:$G, MATCH(X2603, Pagos_Odoo!$B:$B, 0)), ""))</f>
        <v/>
      </c>
      <c r="AD2603" s="82" t="n">
        <v>0</v>
      </c>
      <c r="AE2603" s="82" t="n"/>
      <c r="AF2603" s="82" t="n"/>
      <c r="AG2603" s="82">
        <f>IF(AN2603="","",AD2603+AE2603+AF2603)</f>
        <v/>
      </c>
      <c r="AH2603" s="81">
        <f>IF(AN2603="","",P2603*(1-AG2603))</f>
        <v/>
      </c>
      <c r="AI2603" s="81">
        <f>IF(AN2603="","",IF(Q2603="Sin Factura",0,IFERROR(INDEX(Facturas_Odoo!$H:$H, MATCH(Q2603, Facturas_Odoo!$B:$B, 0)), 0)*(1-AG2603)))</f>
        <v/>
      </c>
      <c r="AJ2603" s="81">
        <f>IF(AN2603="","",_xlfn.LET(idVenta, AN2603&amp;"",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03" s="81">
        <f>IF(AN2603="","",AH2603-AJ2603)</f>
        <v/>
      </c>
      <c r="AL2603" s="81">
        <f>IF(AN2603="","",IF(Q2603="Sin Factura","",AI2603-AJ2603))</f>
        <v/>
      </c>
      <c r="AM2603" s="81">
        <f>IF(AN2603="","",IF(Q2603="Sin Factura",0,P2603-IFERROR(INDEX(Facturas_Odoo!$H:$H, MATCH(Q2603, Facturas_Odoo!$B:$B, 0)), 0)))</f>
        <v/>
      </c>
      <c r="AN2603" s="79">
        <f>IF(AND(A2603="", J2603=""), "", IF(A2603&lt;&gt;"", VALUE(MID(A2603,2,LEN(A2603))), AN2602))</f>
        <v/>
      </c>
      <c r="AO2603" s="79">
        <f>IF(AN2603="","",IF(AD2603=0,"OK",_xlfn.LET(monedaPago, IF(AA2603="","USD",AA2603), limitePermitido, IFERROR(VLOOKUP(monedaPago, Configuración!$A$2:$B$3, 2, FALSE), 0.15), IF(AD2603&gt;limitePermitido, "ALERTA: EXCESO (" &amp; TEXT(limitePermitido, "0%") &amp; " máx)", "OK"))))</f>
        <v/>
      </c>
      <c r="AP2603" s="79">
        <f>IF(AN2603="","",IF(AE2603=0,"OK",_xlfn.LET(fechaPago, Z2603, fechaFactura, R2603, diasCredito, IF(E2603="Pago inmediato", 0, IFERROR(VALUE(MID(E2603, 1, SEARCH(" ", E2603)-1)),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03" s="79">
        <f>IF(AN2603="","",IF(AND(N2603&gt;0, AG2603&gt;0), IF(Configuración!$K$2="NO", "ALERTA: DESCUENTO DOBLE NO PERMITIDO", "OK"), "OK"))</f>
        <v/>
      </c>
      <c r="AR2603" s="79">
        <f>IF(AN2603="","",IF(OR(AO2603&lt;&gt;"OK", AP2603&lt;&gt;"OK", AQ2603&lt;&gt;"OK"), "⚠️ REVISAR", "OK"))</f>
        <v/>
      </c>
    </row>
    <row r="2604">
      <c r="A2604" s="79">
        <f>IF('Ordenes_Odoo'!A2604="","",'Ordenes_Odoo'!A2604)</f>
        <v/>
      </c>
      <c r="B2604" s="80">
        <f>IF('Ordenes_Odoo'!B2604="","",'Ordenes_Odoo'!B2604)</f>
        <v/>
      </c>
      <c r="C2604" s="79">
        <f>IF('Ordenes_Odoo'!C2604="","",'Ordenes_Odoo'!C2604)</f>
        <v/>
      </c>
      <c r="D2604" s="79">
        <f>IF('Ordenes_Odoo'!D2604="","",'Ordenes_Odoo'!D2604)</f>
        <v/>
      </c>
      <c r="E2604" s="79">
        <f>IF('Ordenes_Odoo'!E2604="","",'Ordenes_Odoo'!E2604)</f>
        <v/>
      </c>
      <c r="F2604" s="79">
        <f>IF('Ordenes_Odoo'!F2604="","",'Ordenes_Odoo'!F2604)</f>
        <v/>
      </c>
      <c r="G2604" s="79">
        <f>IF('Ordenes_Odoo'!G2604="","",'Ordenes_Odoo'!G2604)</f>
        <v/>
      </c>
      <c r="H2604" s="79">
        <f>IF('Ordenes_Odoo'!H2604="","",'Ordenes_Odoo'!H2604)</f>
        <v/>
      </c>
      <c r="I2604" s="79">
        <f>IF('Ordenes_Odoo'!I2604="","",'Ordenes_Odoo'!I2604)</f>
        <v/>
      </c>
      <c r="J2604" s="79">
        <f>IF('Ordenes_Odoo'!J2604="","",'Ordenes_Odoo'!J2604)</f>
        <v/>
      </c>
      <c r="K2604" s="81">
        <f>IF('Ordenes_Odoo'!K2604="","",'Ordenes_Odoo'!K2604)</f>
        <v/>
      </c>
      <c r="L2604" s="81">
        <f>IF('Ordenes_Odoo'!L2604="","",'Ordenes_Odoo'!L2604)</f>
        <v/>
      </c>
      <c r="M2604" s="79">
        <f>IF('Ordenes_Odoo'!M2604="","",'Ordenes_Odoo'!M2604)</f>
        <v/>
      </c>
      <c r="N2604" s="79">
        <f>IF('Ordenes_Odoo'!N2604="","",'Ordenes_Odoo'!N2604)</f>
        <v/>
      </c>
      <c r="O2604" s="81">
        <f>IF('Ordenes_Odoo'!O2604="","",'Ordenes_Odoo'!O2604)</f>
        <v/>
      </c>
      <c r="P2604" s="81">
        <f>IF('Ordenes_Odoo'!P2604="","",'Ordenes_Odoo'!P2604)</f>
        <v/>
      </c>
      <c r="Q2604" s="79">
        <f>IF(A2604="","",IFERROR(INDEX(Facturas_Odoo!$B:$B, MATCH(A2604, Facturas_Odoo!$D:$D, 0)), "Sin Factura"))</f>
        <v/>
      </c>
      <c r="R2604" s="80">
        <f>IF(Q2604="Sin Factura","",IFERROR(INDEX(Facturas_Odoo!$A:$A, MATCH(Q2604, Facturas_Odoo!$B:$B, 0)), ""))</f>
        <v/>
      </c>
      <c r="S2604" s="79">
        <f>IF(Q2604="Sin Factura","",IFERROR(_xlfn.XLOOKUP(1, (Facturas_Odoo!$D:$D=A2604) * (Facturas_Odoo!$K:$K=I2604), Facturas_Odoo!$L:$L, ""), ""))</f>
        <v/>
      </c>
      <c r="T2604" s="81">
        <f>IF(Q2604="Sin Factura",0,IFERROR(_xlfn.XLOOKUP(1, (Facturas_Odoo!$D:$D=A2604) * (Facturas_Odoo!$K:$K=I2604), Facturas_Odoo!$M:$M, 0), 0))</f>
        <v/>
      </c>
      <c r="U2604" s="79">
        <f>IF(Q2604="Sin Factura",0,IFERROR(_xlfn.XLOOKUP(1, (Facturas_Odoo!$D:$D=A2604) * (Facturas_Odoo!$K:$K=I2604), Facturas_Odoo!$N:$N, 0), 0))</f>
        <v/>
      </c>
      <c r="V2604" s="79">
        <f>IF(Q2604="Sin Factura",0,IFERROR(_xlfn.XLOOKUP(1, (Facturas_Odoo!$D:$D=A2604) * (Facturas_Odoo!$K:$K=I2604), Facturas_Odoo!$O:$O, 0), 0))</f>
        <v/>
      </c>
      <c r="W2604" s="81">
        <f>IF(Q2604="Sin Factura",0,IFERROR(_xlfn.XLOOKUP(1, (Facturas_Odoo!$D:$D=A2604) * (Facturas_Odoo!$K:$K=I2604), Facturas_Odoo!$Q:$Q, 0), 0))</f>
        <v/>
      </c>
      <c r="X2604" s="79">
        <f>IF(OR(Q2604="Sin Factura",Q2604=""),"",IFERROR(INDEX(Pagos_Odoo!$B:$B, MATCH(Q2604, Pagos_Odoo!$I:$I, 0)), "Sin Pago"))</f>
        <v/>
      </c>
      <c r="Y2604" s="79">
        <f>IF(X2604="Sin Pago","",IFERROR(INDEX(Pagos_Odoo!$C:$C, MATCH(X2604, Pagos_Odoo!$B:$B, 0)), ""))</f>
        <v/>
      </c>
      <c r="Z2604" s="80">
        <f>IF(X2604="Sin Pago","",IFERROR(INDEX(Pagos_Odoo!$A:$A, MATCH(X2604, Pagos_Odoo!$B:$B, 0)), ""))</f>
        <v/>
      </c>
      <c r="AA2604" s="79">
        <f>IF(X2604="Sin Pago","",IFERROR(INDEX(Pagos_Odoo!$F:$F, MATCH(X2604, Pagos_Odoo!$B:$B, 0)), ""))</f>
        <v/>
      </c>
      <c r="AB2604" s="81">
        <f>IF(X2604="Sin Pago",0,IFERROR(INDEX(Pagos_Odoo!$E:$E, MATCH(X2604, Pagos_Odoo!$B:$B, 0)), 0))</f>
        <v/>
      </c>
      <c r="AC2604" s="79">
        <f>IF(X2604="Sin Pago","",IFERROR(INDEX(Pagos_Odoo!$G:$G, MATCH(X2604, Pagos_Odoo!$B:$B, 0)), ""))</f>
        <v/>
      </c>
      <c r="AD2604" s="82" t="n">
        <v>0</v>
      </c>
      <c r="AE2604" s="82" t="n"/>
      <c r="AF2604" s="82" t="n"/>
      <c r="AG2604" s="82">
        <f>IF(AN2604="","",AD2604+AE2604+AF2604)</f>
        <v/>
      </c>
      <c r="AH2604" s="81">
        <f>IF(AN2604="","",P2604*(1-AG2604))</f>
        <v/>
      </c>
      <c r="AI2604" s="81">
        <f>IF(AN2604="","",IF(Q2604="Sin Factura",0,IFERROR(INDEX(Facturas_Odoo!$H:$H, MATCH(Q2604, Facturas_Odoo!$B:$B, 0)), 0)*(1-AG2604)))</f>
        <v/>
      </c>
      <c r="AJ2604" s="81">
        <f>IF(AN2604="","",_xlfn.LET(idVenta, AN2604&amp;"",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04" s="81">
        <f>IF(AN2604="","",AH2604-AJ2604)</f>
        <v/>
      </c>
      <c r="AL2604" s="81">
        <f>IF(AN2604="","",IF(Q2604="Sin Factura","",AI2604-AJ2604))</f>
        <v/>
      </c>
      <c r="AM2604" s="81">
        <f>IF(AN2604="","",IF(Q2604="Sin Factura",0,P2604-IFERROR(INDEX(Facturas_Odoo!$H:$H, MATCH(Q2604, Facturas_Odoo!$B:$B, 0)), 0)))</f>
        <v/>
      </c>
      <c r="AN2604" s="79">
        <f>IF(AND(A2604="", J2604=""), "", IF(A2604&lt;&gt;"", VALUE(MID(A2604,2,LEN(A2604))), AN2603))</f>
        <v/>
      </c>
      <c r="AO2604" s="79">
        <f>IF(AN2604="","",IF(AD2604=0,"OK",_xlfn.LET(monedaPago, IF(AA2604="","USD",AA2604), limitePermitido, IFERROR(VLOOKUP(monedaPago, Configuración!$A$2:$B$3, 2, FALSE), 0.15), IF(AD2604&gt;limitePermitido, "ALERTA: EXCESO (" &amp; TEXT(limitePermitido, "0%") &amp; " máx)", "OK"))))</f>
        <v/>
      </c>
      <c r="AP2604" s="79">
        <f>IF(AN2604="","",IF(AE2604=0,"OK",_xlfn.LET(fechaPago, Z2604, fechaFactura, R2604, diasCredito, IF(E2604="Pago inmediato", 0, IFERROR(VALUE(MID(E2604, 1, SEARCH(" ", E2604)-1)),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04" s="79">
        <f>IF(AN2604="","",IF(AND(N2604&gt;0, AG2604&gt;0), IF(Configuración!$K$2="NO", "ALERTA: DESCUENTO DOBLE NO PERMITIDO", "OK"), "OK"))</f>
        <v/>
      </c>
      <c r="AR2604" s="79">
        <f>IF(AN2604="","",IF(OR(AO2604&lt;&gt;"OK", AP2604&lt;&gt;"OK", AQ2604&lt;&gt;"OK"), "⚠️ REVISAR", "OK"))</f>
        <v/>
      </c>
    </row>
    <row r="2605">
      <c r="A2605" s="79">
        <f>IF('Ordenes_Odoo'!A2605="","",'Ordenes_Odoo'!A2605)</f>
        <v/>
      </c>
      <c r="B2605" s="80">
        <f>IF('Ordenes_Odoo'!B2605="","",'Ordenes_Odoo'!B2605)</f>
        <v/>
      </c>
      <c r="C2605" s="79">
        <f>IF('Ordenes_Odoo'!C2605="","",'Ordenes_Odoo'!C2605)</f>
        <v/>
      </c>
      <c r="D2605" s="79">
        <f>IF('Ordenes_Odoo'!D2605="","",'Ordenes_Odoo'!D2605)</f>
        <v/>
      </c>
      <c r="E2605" s="79">
        <f>IF('Ordenes_Odoo'!E2605="","",'Ordenes_Odoo'!E2605)</f>
        <v/>
      </c>
      <c r="F2605" s="79">
        <f>IF('Ordenes_Odoo'!F2605="","",'Ordenes_Odoo'!F2605)</f>
        <v/>
      </c>
      <c r="G2605" s="79">
        <f>IF('Ordenes_Odoo'!G2605="","",'Ordenes_Odoo'!G2605)</f>
        <v/>
      </c>
      <c r="H2605" s="79">
        <f>IF('Ordenes_Odoo'!H2605="","",'Ordenes_Odoo'!H2605)</f>
        <v/>
      </c>
      <c r="I2605" s="79">
        <f>IF('Ordenes_Odoo'!I2605="","",'Ordenes_Odoo'!I2605)</f>
        <v/>
      </c>
      <c r="J2605" s="79">
        <f>IF('Ordenes_Odoo'!J2605="","",'Ordenes_Odoo'!J2605)</f>
        <v/>
      </c>
      <c r="K2605" s="81">
        <f>IF('Ordenes_Odoo'!K2605="","",'Ordenes_Odoo'!K2605)</f>
        <v/>
      </c>
      <c r="L2605" s="81">
        <f>IF('Ordenes_Odoo'!L2605="","",'Ordenes_Odoo'!L2605)</f>
        <v/>
      </c>
      <c r="M2605" s="79">
        <f>IF('Ordenes_Odoo'!M2605="","",'Ordenes_Odoo'!M2605)</f>
        <v/>
      </c>
      <c r="N2605" s="79">
        <f>IF('Ordenes_Odoo'!N2605="","",'Ordenes_Odoo'!N2605)</f>
        <v/>
      </c>
      <c r="O2605" s="81">
        <f>IF('Ordenes_Odoo'!O2605="","",'Ordenes_Odoo'!O2605)</f>
        <v/>
      </c>
      <c r="P2605" s="81">
        <f>IF('Ordenes_Odoo'!P2605="","",'Ordenes_Odoo'!P2605)</f>
        <v/>
      </c>
      <c r="Q2605" s="79">
        <f>IF(A2605="","",IFERROR(INDEX(Facturas_Odoo!$B:$B, MATCH(A2605, Facturas_Odoo!$D:$D, 0)), "Sin Factura"))</f>
        <v/>
      </c>
      <c r="R2605" s="80">
        <f>IF(Q2605="Sin Factura","",IFERROR(INDEX(Facturas_Odoo!$A:$A, MATCH(Q2605, Facturas_Odoo!$B:$B, 0)), ""))</f>
        <v/>
      </c>
      <c r="S2605" s="79">
        <f>IF(Q2605="Sin Factura","",IFERROR(_xlfn.XLOOKUP(1, (Facturas_Odoo!$D:$D=A2605) * (Facturas_Odoo!$K:$K=I2605), Facturas_Odoo!$L:$L, ""), ""))</f>
        <v/>
      </c>
      <c r="T2605" s="81">
        <f>IF(Q2605="Sin Factura",0,IFERROR(_xlfn.XLOOKUP(1, (Facturas_Odoo!$D:$D=A2605) * (Facturas_Odoo!$K:$K=I2605), Facturas_Odoo!$M:$M, 0), 0))</f>
        <v/>
      </c>
      <c r="U2605" s="79">
        <f>IF(Q2605="Sin Factura",0,IFERROR(_xlfn.XLOOKUP(1, (Facturas_Odoo!$D:$D=A2605) * (Facturas_Odoo!$K:$K=I2605), Facturas_Odoo!$N:$N, 0), 0))</f>
        <v/>
      </c>
      <c r="V2605" s="79">
        <f>IF(Q2605="Sin Factura",0,IFERROR(_xlfn.XLOOKUP(1, (Facturas_Odoo!$D:$D=A2605) * (Facturas_Odoo!$K:$K=I2605), Facturas_Odoo!$O:$O, 0), 0))</f>
        <v/>
      </c>
      <c r="W2605" s="81">
        <f>IF(Q2605="Sin Factura",0,IFERROR(_xlfn.XLOOKUP(1, (Facturas_Odoo!$D:$D=A2605) * (Facturas_Odoo!$K:$K=I2605), Facturas_Odoo!$Q:$Q, 0), 0))</f>
        <v/>
      </c>
      <c r="X2605" s="79">
        <f>IF(OR(Q2605="Sin Factura",Q2605=""),"",IFERROR(INDEX(Pagos_Odoo!$B:$B, MATCH(Q2605, Pagos_Odoo!$I:$I, 0)), "Sin Pago"))</f>
        <v/>
      </c>
      <c r="Y2605" s="79">
        <f>IF(X2605="Sin Pago","",IFERROR(INDEX(Pagos_Odoo!$C:$C, MATCH(X2605, Pagos_Odoo!$B:$B, 0)), ""))</f>
        <v/>
      </c>
      <c r="Z2605" s="80">
        <f>IF(X2605="Sin Pago","",IFERROR(INDEX(Pagos_Odoo!$A:$A, MATCH(X2605, Pagos_Odoo!$B:$B, 0)), ""))</f>
        <v/>
      </c>
      <c r="AA2605" s="79">
        <f>IF(X2605="Sin Pago","",IFERROR(INDEX(Pagos_Odoo!$F:$F, MATCH(X2605, Pagos_Odoo!$B:$B, 0)), ""))</f>
        <v/>
      </c>
      <c r="AB2605" s="81">
        <f>IF(X2605="Sin Pago",0,IFERROR(INDEX(Pagos_Odoo!$E:$E, MATCH(X2605, Pagos_Odoo!$B:$B, 0)), 0))</f>
        <v/>
      </c>
      <c r="AC2605" s="79">
        <f>IF(X2605="Sin Pago","",IFERROR(INDEX(Pagos_Odoo!$G:$G, MATCH(X2605, Pagos_Odoo!$B:$B, 0)), ""))</f>
        <v/>
      </c>
      <c r="AD2605" s="82" t="n">
        <v>0</v>
      </c>
      <c r="AE2605" s="82" t="n"/>
      <c r="AF2605" s="82" t="n"/>
      <c r="AG2605" s="82">
        <f>IF(AN2605="","",AD2605+AE2605+AF2605)</f>
        <v/>
      </c>
      <c r="AH2605" s="81">
        <f>IF(AN2605="","",P2605*(1-AG2605))</f>
        <v/>
      </c>
      <c r="AI2605" s="81">
        <f>IF(AN2605="","",IF(Q2605="Sin Factura",0,IFERROR(INDEX(Facturas_Odoo!$H:$H, MATCH(Q2605, Facturas_Odoo!$B:$B, 0)), 0)*(1-AG2605)))</f>
        <v/>
      </c>
      <c r="AJ2605" s="81">
        <f>IF(AN2605="","",_xlfn.LET(idVenta, AN2605&amp;"",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05" s="81">
        <f>IF(AN2605="","",AH2605-AJ2605)</f>
        <v/>
      </c>
      <c r="AL2605" s="81">
        <f>IF(AN2605="","",IF(Q2605="Sin Factura","",AI2605-AJ2605))</f>
        <v/>
      </c>
      <c r="AM2605" s="81">
        <f>IF(AN2605="","",IF(Q2605="Sin Factura",0,P2605-IFERROR(INDEX(Facturas_Odoo!$H:$H, MATCH(Q2605, Facturas_Odoo!$B:$B, 0)), 0)))</f>
        <v/>
      </c>
      <c r="AN2605" s="79">
        <f>IF(AND(A2605="", J2605=""), "", IF(A2605&lt;&gt;"", VALUE(MID(A2605,2,LEN(A2605))), AN2604))</f>
        <v/>
      </c>
      <c r="AO2605" s="79">
        <f>IF(AN2605="","",IF(AD2605=0,"OK",_xlfn.LET(monedaPago, IF(AA2605="","USD",AA2605), limitePermitido, IFERROR(VLOOKUP(monedaPago, Configuración!$A$2:$B$3, 2, FALSE), 0.15), IF(AD2605&gt;limitePermitido, "ALERTA: EXCESO (" &amp; TEXT(limitePermitido, "0%") &amp; " máx)", "OK"))))</f>
        <v/>
      </c>
      <c r="AP2605" s="79">
        <f>IF(AN2605="","",IF(AE2605=0,"OK",_xlfn.LET(fechaPago, Z2605, fechaFactura, R2605, diasCredito, IF(E2605="Pago inmediato", 0, IFERROR(VALUE(MID(E2605, 1, SEARCH(" ", E2605)-1)),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05" s="79">
        <f>IF(AN2605="","",IF(AND(N2605&gt;0, AG2605&gt;0), IF(Configuración!$K$2="NO", "ALERTA: DESCUENTO DOBLE NO PERMITIDO", "OK"), "OK"))</f>
        <v/>
      </c>
      <c r="AR2605" s="79">
        <f>IF(AN2605="","",IF(OR(AO2605&lt;&gt;"OK", AP2605&lt;&gt;"OK", AQ2605&lt;&gt;"OK"), "⚠️ REVISAR", "OK"))</f>
        <v/>
      </c>
    </row>
    <row r="2606">
      <c r="A2606" s="79">
        <f>IF('Ordenes_Odoo'!A2606="","",'Ordenes_Odoo'!A2606)</f>
        <v/>
      </c>
      <c r="B2606" s="80">
        <f>IF('Ordenes_Odoo'!B2606="","",'Ordenes_Odoo'!B2606)</f>
        <v/>
      </c>
      <c r="C2606" s="79">
        <f>IF('Ordenes_Odoo'!C2606="","",'Ordenes_Odoo'!C2606)</f>
        <v/>
      </c>
      <c r="D2606" s="79">
        <f>IF('Ordenes_Odoo'!D2606="","",'Ordenes_Odoo'!D2606)</f>
        <v/>
      </c>
      <c r="E2606" s="79">
        <f>IF('Ordenes_Odoo'!E2606="","",'Ordenes_Odoo'!E2606)</f>
        <v/>
      </c>
      <c r="F2606" s="79">
        <f>IF('Ordenes_Odoo'!F2606="","",'Ordenes_Odoo'!F2606)</f>
        <v/>
      </c>
      <c r="G2606" s="79">
        <f>IF('Ordenes_Odoo'!G2606="","",'Ordenes_Odoo'!G2606)</f>
        <v/>
      </c>
      <c r="H2606" s="79">
        <f>IF('Ordenes_Odoo'!H2606="","",'Ordenes_Odoo'!H2606)</f>
        <v/>
      </c>
      <c r="I2606" s="79">
        <f>IF('Ordenes_Odoo'!I2606="","",'Ordenes_Odoo'!I2606)</f>
        <v/>
      </c>
      <c r="J2606" s="79">
        <f>IF('Ordenes_Odoo'!J2606="","",'Ordenes_Odoo'!J2606)</f>
        <v/>
      </c>
      <c r="K2606" s="81">
        <f>IF('Ordenes_Odoo'!K2606="","",'Ordenes_Odoo'!K2606)</f>
        <v/>
      </c>
      <c r="L2606" s="81">
        <f>IF('Ordenes_Odoo'!L2606="","",'Ordenes_Odoo'!L2606)</f>
        <v/>
      </c>
      <c r="M2606" s="79">
        <f>IF('Ordenes_Odoo'!M2606="","",'Ordenes_Odoo'!M2606)</f>
        <v/>
      </c>
      <c r="N2606" s="79">
        <f>IF('Ordenes_Odoo'!N2606="","",'Ordenes_Odoo'!N2606)</f>
        <v/>
      </c>
      <c r="O2606" s="81">
        <f>IF('Ordenes_Odoo'!O2606="","",'Ordenes_Odoo'!O2606)</f>
        <v/>
      </c>
      <c r="P2606" s="81">
        <f>IF('Ordenes_Odoo'!P2606="","",'Ordenes_Odoo'!P2606)</f>
        <v/>
      </c>
      <c r="Q2606" s="79">
        <f>IF(A2606="","",IFERROR(INDEX(Facturas_Odoo!$B:$B, MATCH(A2606, Facturas_Odoo!$D:$D, 0)), "Sin Factura"))</f>
        <v/>
      </c>
      <c r="R2606" s="80">
        <f>IF(Q2606="Sin Factura","",IFERROR(INDEX(Facturas_Odoo!$A:$A, MATCH(Q2606, Facturas_Odoo!$B:$B, 0)), ""))</f>
        <v/>
      </c>
      <c r="S2606" s="79">
        <f>IF(Q2606="Sin Factura","",IFERROR(_xlfn.XLOOKUP(1, (Facturas_Odoo!$D:$D=A2606) * (Facturas_Odoo!$K:$K=I2606), Facturas_Odoo!$L:$L, ""), ""))</f>
        <v/>
      </c>
      <c r="T2606" s="81">
        <f>IF(Q2606="Sin Factura",0,IFERROR(_xlfn.XLOOKUP(1, (Facturas_Odoo!$D:$D=A2606) * (Facturas_Odoo!$K:$K=I2606), Facturas_Odoo!$M:$M, 0), 0))</f>
        <v/>
      </c>
      <c r="U2606" s="79">
        <f>IF(Q2606="Sin Factura",0,IFERROR(_xlfn.XLOOKUP(1, (Facturas_Odoo!$D:$D=A2606) * (Facturas_Odoo!$K:$K=I2606), Facturas_Odoo!$N:$N, 0), 0))</f>
        <v/>
      </c>
      <c r="V2606" s="79">
        <f>IF(Q2606="Sin Factura",0,IFERROR(_xlfn.XLOOKUP(1, (Facturas_Odoo!$D:$D=A2606) * (Facturas_Odoo!$K:$K=I2606), Facturas_Odoo!$O:$O, 0), 0))</f>
        <v/>
      </c>
      <c r="W2606" s="81">
        <f>IF(Q2606="Sin Factura",0,IFERROR(_xlfn.XLOOKUP(1, (Facturas_Odoo!$D:$D=A2606) * (Facturas_Odoo!$K:$K=I2606), Facturas_Odoo!$Q:$Q, 0), 0))</f>
        <v/>
      </c>
      <c r="X2606" s="79">
        <f>IF(OR(Q2606="Sin Factura",Q2606=""),"",IFERROR(INDEX(Pagos_Odoo!$B:$B, MATCH(Q2606, Pagos_Odoo!$I:$I, 0)), "Sin Pago"))</f>
        <v/>
      </c>
      <c r="Y2606" s="79">
        <f>IF(X2606="Sin Pago","",IFERROR(INDEX(Pagos_Odoo!$C:$C, MATCH(X2606, Pagos_Odoo!$B:$B, 0)), ""))</f>
        <v/>
      </c>
      <c r="Z2606" s="80">
        <f>IF(X2606="Sin Pago","",IFERROR(INDEX(Pagos_Odoo!$A:$A, MATCH(X2606, Pagos_Odoo!$B:$B, 0)), ""))</f>
        <v/>
      </c>
      <c r="AA2606" s="79">
        <f>IF(X2606="Sin Pago","",IFERROR(INDEX(Pagos_Odoo!$F:$F, MATCH(X2606, Pagos_Odoo!$B:$B, 0)), ""))</f>
        <v/>
      </c>
      <c r="AB2606" s="81">
        <f>IF(X2606="Sin Pago",0,IFERROR(INDEX(Pagos_Odoo!$E:$E, MATCH(X2606, Pagos_Odoo!$B:$B, 0)), 0))</f>
        <v/>
      </c>
      <c r="AC2606" s="79">
        <f>IF(X2606="Sin Pago","",IFERROR(INDEX(Pagos_Odoo!$G:$G, MATCH(X2606, Pagos_Odoo!$B:$B, 0)), ""))</f>
        <v/>
      </c>
      <c r="AD2606" s="82" t="n">
        <v>0</v>
      </c>
      <c r="AE2606" s="82" t="n"/>
      <c r="AF2606" s="82" t="n"/>
      <c r="AG2606" s="82">
        <f>IF(AN2606="","",AD2606+AE2606+AF2606)</f>
        <v/>
      </c>
      <c r="AH2606" s="81">
        <f>IF(AN2606="","",P2606*(1-AG2606))</f>
        <v/>
      </c>
      <c r="AI2606" s="81">
        <f>IF(AN2606="","",IF(Q2606="Sin Factura",0,IFERROR(INDEX(Facturas_Odoo!$H:$H, MATCH(Q2606, Facturas_Odoo!$B:$B, 0)), 0)*(1-AG2606)))</f>
        <v/>
      </c>
      <c r="AJ2606" s="81">
        <f>IF(AN2606="","",_xlfn.LET(idVenta, AN2606&amp;"",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06" s="81">
        <f>IF(AN2606="","",AH2606-AJ2606)</f>
        <v/>
      </c>
      <c r="AL2606" s="81">
        <f>IF(AN2606="","",IF(Q2606="Sin Factura","",AI2606-AJ2606))</f>
        <v/>
      </c>
      <c r="AM2606" s="81">
        <f>IF(AN2606="","",IF(Q2606="Sin Factura",0,P2606-IFERROR(INDEX(Facturas_Odoo!$H:$H, MATCH(Q2606, Facturas_Odoo!$B:$B, 0)), 0)))</f>
        <v/>
      </c>
      <c r="AN2606" s="79">
        <f>IF(AND(A2606="", J2606=""), "", IF(A2606&lt;&gt;"", VALUE(MID(A2606,2,LEN(A2606))), AN2605))</f>
        <v/>
      </c>
      <c r="AO2606" s="79">
        <f>IF(AN2606="","",IF(AD2606=0,"OK",_xlfn.LET(monedaPago, IF(AA2606="","USD",AA2606), limitePermitido, IFERROR(VLOOKUP(monedaPago, Configuración!$A$2:$B$3, 2, FALSE), 0.15), IF(AD2606&gt;limitePermitido, "ALERTA: EXCESO (" &amp; TEXT(limitePermitido, "0%") &amp; " máx)", "OK"))))</f>
        <v/>
      </c>
      <c r="AP2606" s="79">
        <f>IF(AN2606="","",IF(AE2606=0,"OK",_xlfn.LET(fechaPago, Z2606, fechaFactura, R2606, diasCredito, IF(E2606="Pago inmediato", 0, IFERROR(VALUE(MID(E2606, 1, SEARCH(" ", E2606)-1)),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06" s="79">
        <f>IF(AN2606="","",IF(AND(N2606&gt;0, AG2606&gt;0), IF(Configuración!$K$2="NO", "ALERTA: DESCUENTO DOBLE NO PERMITIDO", "OK"), "OK"))</f>
        <v/>
      </c>
      <c r="AR2606" s="79">
        <f>IF(AN2606="","",IF(OR(AO2606&lt;&gt;"OK", AP2606&lt;&gt;"OK", AQ2606&lt;&gt;"OK"), "⚠️ REVISAR", "OK"))</f>
        <v/>
      </c>
    </row>
    <row r="2607">
      <c r="A2607" s="79">
        <f>IF('Ordenes_Odoo'!A2607="","",'Ordenes_Odoo'!A2607)</f>
        <v/>
      </c>
      <c r="B2607" s="80">
        <f>IF('Ordenes_Odoo'!B2607="","",'Ordenes_Odoo'!B2607)</f>
        <v/>
      </c>
      <c r="C2607" s="79">
        <f>IF('Ordenes_Odoo'!C2607="","",'Ordenes_Odoo'!C2607)</f>
        <v/>
      </c>
      <c r="D2607" s="79">
        <f>IF('Ordenes_Odoo'!D2607="","",'Ordenes_Odoo'!D2607)</f>
        <v/>
      </c>
      <c r="E2607" s="79">
        <f>IF('Ordenes_Odoo'!E2607="","",'Ordenes_Odoo'!E2607)</f>
        <v/>
      </c>
      <c r="F2607" s="79">
        <f>IF('Ordenes_Odoo'!F2607="","",'Ordenes_Odoo'!F2607)</f>
        <v/>
      </c>
      <c r="G2607" s="79">
        <f>IF('Ordenes_Odoo'!G2607="","",'Ordenes_Odoo'!G2607)</f>
        <v/>
      </c>
      <c r="H2607" s="79">
        <f>IF('Ordenes_Odoo'!H2607="","",'Ordenes_Odoo'!H2607)</f>
        <v/>
      </c>
      <c r="I2607" s="79">
        <f>IF('Ordenes_Odoo'!I2607="","",'Ordenes_Odoo'!I2607)</f>
        <v/>
      </c>
      <c r="J2607" s="79">
        <f>IF('Ordenes_Odoo'!J2607="","",'Ordenes_Odoo'!J2607)</f>
        <v/>
      </c>
      <c r="K2607" s="81">
        <f>IF('Ordenes_Odoo'!K2607="","",'Ordenes_Odoo'!K2607)</f>
        <v/>
      </c>
      <c r="L2607" s="81">
        <f>IF('Ordenes_Odoo'!L2607="","",'Ordenes_Odoo'!L2607)</f>
        <v/>
      </c>
      <c r="M2607" s="79">
        <f>IF('Ordenes_Odoo'!M2607="","",'Ordenes_Odoo'!M2607)</f>
        <v/>
      </c>
      <c r="N2607" s="79">
        <f>IF('Ordenes_Odoo'!N2607="","",'Ordenes_Odoo'!N2607)</f>
        <v/>
      </c>
      <c r="O2607" s="81">
        <f>IF('Ordenes_Odoo'!O2607="","",'Ordenes_Odoo'!O2607)</f>
        <v/>
      </c>
      <c r="P2607" s="81">
        <f>IF('Ordenes_Odoo'!P2607="","",'Ordenes_Odoo'!P2607)</f>
        <v/>
      </c>
      <c r="Q2607" s="79">
        <f>IF(A2607="","",IFERROR(INDEX(Facturas_Odoo!$B:$B, MATCH(A2607, Facturas_Odoo!$D:$D, 0)), "Sin Factura"))</f>
        <v/>
      </c>
      <c r="R2607" s="80">
        <f>IF(Q2607="Sin Factura","",IFERROR(INDEX(Facturas_Odoo!$A:$A, MATCH(Q2607, Facturas_Odoo!$B:$B, 0)), ""))</f>
        <v/>
      </c>
      <c r="S2607" s="79">
        <f>IF(Q2607="Sin Factura","",IFERROR(_xlfn.XLOOKUP(1, (Facturas_Odoo!$D:$D=A2607) * (Facturas_Odoo!$K:$K=I2607), Facturas_Odoo!$L:$L, ""), ""))</f>
        <v/>
      </c>
      <c r="T2607" s="81">
        <f>IF(Q2607="Sin Factura",0,IFERROR(_xlfn.XLOOKUP(1, (Facturas_Odoo!$D:$D=A2607) * (Facturas_Odoo!$K:$K=I2607), Facturas_Odoo!$M:$M, 0), 0))</f>
        <v/>
      </c>
      <c r="U2607" s="79">
        <f>IF(Q2607="Sin Factura",0,IFERROR(_xlfn.XLOOKUP(1, (Facturas_Odoo!$D:$D=A2607) * (Facturas_Odoo!$K:$K=I2607), Facturas_Odoo!$N:$N, 0), 0))</f>
        <v/>
      </c>
      <c r="V2607" s="79">
        <f>IF(Q2607="Sin Factura",0,IFERROR(_xlfn.XLOOKUP(1, (Facturas_Odoo!$D:$D=A2607) * (Facturas_Odoo!$K:$K=I2607), Facturas_Odoo!$O:$O, 0), 0))</f>
        <v/>
      </c>
      <c r="W2607" s="81">
        <f>IF(Q2607="Sin Factura",0,IFERROR(_xlfn.XLOOKUP(1, (Facturas_Odoo!$D:$D=A2607) * (Facturas_Odoo!$K:$K=I2607), Facturas_Odoo!$Q:$Q, 0), 0))</f>
        <v/>
      </c>
      <c r="X2607" s="79">
        <f>IF(OR(Q2607="Sin Factura",Q2607=""),"",IFERROR(INDEX(Pagos_Odoo!$B:$B, MATCH(Q2607, Pagos_Odoo!$I:$I, 0)), "Sin Pago"))</f>
        <v/>
      </c>
      <c r="Y2607" s="79">
        <f>IF(X2607="Sin Pago","",IFERROR(INDEX(Pagos_Odoo!$C:$C, MATCH(X2607, Pagos_Odoo!$B:$B, 0)), ""))</f>
        <v/>
      </c>
      <c r="Z2607" s="80">
        <f>IF(X2607="Sin Pago","",IFERROR(INDEX(Pagos_Odoo!$A:$A, MATCH(X2607, Pagos_Odoo!$B:$B, 0)), ""))</f>
        <v/>
      </c>
      <c r="AA2607" s="79">
        <f>IF(X2607="Sin Pago","",IFERROR(INDEX(Pagos_Odoo!$F:$F, MATCH(X2607, Pagos_Odoo!$B:$B, 0)), ""))</f>
        <v/>
      </c>
      <c r="AB2607" s="81">
        <f>IF(X2607="Sin Pago",0,IFERROR(INDEX(Pagos_Odoo!$E:$E, MATCH(X2607, Pagos_Odoo!$B:$B, 0)), 0))</f>
        <v/>
      </c>
      <c r="AC2607" s="79">
        <f>IF(X2607="Sin Pago","",IFERROR(INDEX(Pagos_Odoo!$G:$G, MATCH(X2607, Pagos_Odoo!$B:$B, 0)), ""))</f>
        <v/>
      </c>
      <c r="AD2607" s="82" t="n">
        <v>0</v>
      </c>
      <c r="AE2607" s="82" t="n"/>
      <c r="AF2607" s="82" t="n"/>
      <c r="AG2607" s="82">
        <f>IF(AN2607="","",AD2607+AE2607+AF2607)</f>
        <v/>
      </c>
      <c r="AH2607" s="81">
        <f>IF(AN2607="","",P2607*(1-AG2607))</f>
        <v/>
      </c>
      <c r="AI2607" s="81">
        <f>IF(AN2607="","",IF(Q2607="Sin Factura",0,IFERROR(INDEX(Facturas_Odoo!$H:$H, MATCH(Q2607, Facturas_Odoo!$B:$B, 0)), 0)*(1-AG2607)))</f>
        <v/>
      </c>
      <c r="AJ2607" s="81">
        <f>IF(AN2607="","",_xlfn.LET(idVenta, AN2607&amp;"",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07" s="81">
        <f>IF(AN2607="","",AH2607-AJ2607)</f>
        <v/>
      </c>
      <c r="AL2607" s="81">
        <f>IF(AN2607="","",IF(Q2607="Sin Factura","",AI2607-AJ2607))</f>
        <v/>
      </c>
      <c r="AM2607" s="81">
        <f>IF(AN2607="","",IF(Q2607="Sin Factura",0,P2607-IFERROR(INDEX(Facturas_Odoo!$H:$H, MATCH(Q2607, Facturas_Odoo!$B:$B, 0)), 0)))</f>
        <v/>
      </c>
      <c r="AN2607" s="79">
        <f>IF(AND(A2607="", J2607=""), "", IF(A2607&lt;&gt;"", VALUE(MID(A2607,2,LEN(A2607))), AN2606))</f>
        <v/>
      </c>
      <c r="AO2607" s="79">
        <f>IF(AN2607="","",IF(AD2607=0,"OK",_xlfn.LET(monedaPago, IF(AA2607="","USD",AA2607), limitePermitido, IFERROR(VLOOKUP(monedaPago, Configuración!$A$2:$B$3, 2, FALSE), 0.15), IF(AD2607&gt;limitePermitido, "ALERTA: EXCESO (" &amp; TEXT(limitePermitido, "0%") &amp; " máx)", "OK"))))</f>
        <v/>
      </c>
      <c r="AP2607" s="79">
        <f>IF(AN2607="","",IF(AE2607=0,"OK",_xlfn.LET(fechaPago, Z2607, fechaFactura, R2607, diasCredito, IF(E2607="Pago inmediato", 0, IFERROR(VALUE(MID(E2607, 1, SEARCH(" ", E2607)-1)),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07" s="79">
        <f>IF(AN2607="","",IF(AND(N2607&gt;0, AG2607&gt;0), IF(Configuración!$K$2="NO", "ALERTA: DESCUENTO DOBLE NO PERMITIDO", "OK"), "OK"))</f>
        <v/>
      </c>
      <c r="AR2607" s="79">
        <f>IF(AN2607="","",IF(OR(AO2607&lt;&gt;"OK", AP2607&lt;&gt;"OK", AQ2607&lt;&gt;"OK"), "⚠️ REVISAR", "OK"))</f>
        <v/>
      </c>
    </row>
    <row r="2608">
      <c r="A2608" s="79">
        <f>IF('Ordenes_Odoo'!A2608="","",'Ordenes_Odoo'!A2608)</f>
        <v/>
      </c>
      <c r="B2608" s="80">
        <f>IF('Ordenes_Odoo'!B2608="","",'Ordenes_Odoo'!B2608)</f>
        <v/>
      </c>
      <c r="C2608" s="79">
        <f>IF('Ordenes_Odoo'!C2608="","",'Ordenes_Odoo'!C2608)</f>
        <v/>
      </c>
      <c r="D2608" s="79">
        <f>IF('Ordenes_Odoo'!D2608="","",'Ordenes_Odoo'!D2608)</f>
        <v/>
      </c>
      <c r="E2608" s="79">
        <f>IF('Ordenes_Odoo'!E2608="","",'Ordenes_Odoo'!E2608)</f>
        <v/>
      </c>
      <c r="F2608" s="79">
        <f>IF('Ordenes_Odoo'!F2608="","",'Ordenes_Odoo'!F2608)</f>
        <v/>
      </c>
      <c r="G2608" s="79">
        <f>IF('Ordenes_Odoo'!G2608="","",'Ordenes_Odoo'!G2608)</f>
        <v/>
      </c>
      <c r="H2608" s="79">
        <f>IF('Ordenes_Odoo'!H2608="","",'Ordenes_Odoo'!H2608)</f>
        <v/>
      </c>
      <c r="I2608" s="79">
        <f>IF('Ordenes_Odoo'!I2608="","",'Ordenes_Odoo'!I2608)</f>
        <v/>
      </c>
      <c r="J2608" s="79">
        <f>IF('Ordenes_Odoo'!J2608="","",'Ordenes_Odoo'!J2608)</f>
        <v/>
      </c>
      <c r="K2608" s="81">
        <f>IF('Ordenes_Odoo'!K2608="","",'Ordenes_Odoo'!K2608)</f>
        <v/>
      </c>
      <c r="L2608" s="81">
        <f>IF('Ordenes_Odoo'!L2608="","",'Ordenes_Odoo'!L2608)</f>
        <v/>
      </c>
      <c r="M2608" s="79">
        <f>IF('Ordenes_Odoo'!M2608="","",'Ordenes_Odoo'!M2608)</f>
        <v/>
      </c>
      <c r="N2608" s="79">
        <f>IF('Ordenes_Odoo'!N2608="","",'Ordenes_Odoo'!N2608)</f>
        <v/>
      </c>
      <c r="O2608" s="81">
        <f>IF('Ordenes_Odoo'!O2608="","",'Ordenes_Odoo'!O2608)</f>
        <v/>
      </c>
      <c r="P2608" s="81">
        <f>IF('Ordenes_Odoo'!P2608="","",'Ordenes_Odoo'!P2608)</f>
        <v/>
      </c>
      <c r="Q2608" s="79">
        <f>IF(A2608="","",IFERROR(INDEX(Facturas_Odoo!$B:$B, MATCH(A2608, Facturas_Odoo!$D:$D, 0)), "Sin Factura"))</f>
        <v/>
      </c>
      <c r="R2608" s="80">
        <f>IF(Q2608="Sin Factura","",IFERROR(INDEX(Facturas_Odoo!$A:$A, MATCH(Q2608, Facturas_Odoo!$B:$B, 0)), ""))</f>
        <v/>
      </c>
      <c r="S2608" s="79">
        <f>IF(Q2608="Sin Factura","",IFERROR(_xlfn.XLOOKUP(1, (Facturas_Odoo!$D:$D=A2608) * (Facturas_Odoo!$K:$K=I2608), Facturas_Odoo!$L:$L, ""), ""))</f>
        <v/>
      </c>
      <c r="T2608" s="81">
        <f>IF(Q2608="Sin Factura",0,IFERROR(_xlfn.XLOOKUP(1, (Facturas_Odoo!$D:$D=A2608) * (Facturas_Odoo!$K:$K=I2608), Facturas_Odoo!$M:$M, 0), 0))</f>
        <v/>
      </c>
      <c r="U2608" s="79">
        <f>IF(Q2608="Sin Factura",0,IFERROR(_xlfn.XLOOKUP(1, (Facturas_Odoo!$D:$D=A2608) * (Facturas_Odoo!$K:$K=I2608), Facturas_Odoo!$N:$N, 0), 0))</f>
        <v/>
      </c>
      <c r="V2608" s="79">
        <f>IF(Q2608="Sin Factura",0,IFERROR(_xlfn.XLOOKUP(1, (Facturas_Odoo!$D:$D=A2608) * (Facturas_Odoo!$K:$K=I2608), Facturas_Odoo!$O:$O, 0), 0))</f>
        <v/>
      </c>
      <c r="W2608" s="81">
        <f>IF(Q2608="Sin Factura",0,IFERROR(_xlfn.XLOOKUP(1, (Facturas_Odoo!$D:$D=A2608) * (Facturas_Odoo!$K:$K=I2608), Facturas_Odoo!$Q:$Q, 0), 0))</f>
        <v/>
      </c>
      <c r="X2608" s="79">
        <f>IF(OR(Q2608="Sin Factura",Q2608=""),"",IFERROR(INDEX(Pagos_Odoo!$B:$B, MATCH(Q2608, Pagos_Odoo!$I:$I, 0)), "Sin Pago"))</f>
        <v/>
      </c>
      <c r="Y2608" s="79">
        <f>IF(X2608="Sin Pago","",IFERROR(INDEX(Pagos_Odoo!$C:$C, MATCH(X2608, Pagos_Odoo!$B:$B, 0)), ""))</f>
        <v/>
      </c>
      <c r="Z2608" s="80">
        <f>IF(X2608="Sin Pago","",IFERROR(INDEX(Pagos_Odoo!$A:$A, MATCH(X2608, Pagos_Odoo!$B:$B, 0)), ""))</f>
        <v/>
      </c>
      <c r="AA2608" s="79">
        <f>IF(X2608="Sin Pago","",IFERROR(INDEX(Pagos_Odoo!$F:$F, MATCH(X2608, Pagos_Odoo!$B:$B, 0)), ""))</f>
        <v/>
      </c>
      <c r="AB2608" s="81">
        <f>IF(X2608="Sin Pago",0,IFERROR(INDEX(Pagos_Odoo!$E:$E, MATCH(X2608, Pagos_Odoo!$B:$B, 0)), 0))</f>
        <v/>
      </c>
      <c r="AC2608" s="79">
        <f>IF(X2608="Sin Pago","",IFERROR(INDEX(Pagos_Odoo!$G:$G, MATCH(X2608, Pagos_Odoo!$B:$B, 0)), ""))</f>
        <v/>
      </c>
      <c r="AD2608" s="82" t="n">
        <v>0</v>
      </c>
      <c r="AE2608" s="82" t="n"/>
      <c r="AF2608" s="82" t="n"/>
      <c r="AG2608" s="82">
        <f>IF(AN2608="","",AD2608+AE2608+AF2608)</f>
        <v/>
      </c>
      <c r="AH2608" s="81">
        <f>IF(AN2608="","",P2608*(1-AG2608))</f>
        <v/>
      </c>
      <c r="AI2608" s="81">
        <f>IF(AN2608="","",IF(Q2608="Sin Factura",0,IFERROR(INDEX(Facturas_Odoo!$H:$H, MATCH(Q2608, Facturas_Odoo!$B:$B, 0)), 0)*(1-AG2608)))</f>
        <v/>
      </c>
      <c r="AJ2608" s="81">
        <f>IF(AN2608="","",_xlfn.LET(idVenta, AN2608&amp;"",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08" s="81">
        <f>IF(AN2608="","",AH2608-AJ2608)</f>
        <v/>
      </c>
      <c r="AL2608" s="81">
        <f>IF(AN2608="","",IF(Q2608="Sin Factura","",AI2608-AJ2608))</f>
        <v/>
      </c>
      <c r="AM2608" s="81">
        <f>IF(AN2608="","",IF(Q2608="Sin Factura",0,P2608-IFERROR(INDEX(Facturas_Odoo!$H:$H, MATCH(Q2608, Facturas_Odoo!$B:$B, 0)), 0)))</f>
        <v/>
      </c>
      <c r="AN2608" s="79">
        <f>IF(AND(A2608="", J2608=""), "", IF(A2608&lt;&gt;"", VALUE(MID(A2608,2,LEN(A2608))), AN2607))</f>
        <v/>
      </c>
      <c r="AO2608" s="79">
        <f>IF(AN2608="","",IF(AD2608=0,"OK",_xlfn.LET(monedaPago, IF(AA2608="","USD",AA2608), limitePermitido, IFERROR(VLOOKUP(monedaPago, Configuración!$A$2:$B$3, 2, FALSE), 0.15), IF(AD2608&gt;limitePermitido, "ALERTA: EXCESO (" &amp; TEXT(limitePermitido, "0%") &amp; " máx)", "OK"))))</f>
        <v/>
      </c>
      <c r="AP2608" s="79">
        <f>IF(AN2608="","",IF(AE2608=0,"OK",_xlfn.LET(fechaPago, Z2608, fechaFactura, R2608, diasCredito, IF(E2608="Pago inmediato", 0, IFERROR(VALUE(MID(E2608, 1, SEARCH(" ", E2608)-1)),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08" s="79">
        <f>IF(AN2608="","",IF(AND(N2608&gt;0, AG2608&gt;0), IF(Configuración!$K$2="NO", "ALERTA: DESCUENTO DOBLE NO PERMITIDO", "OK"), "OK"))</f>
        <v/>
      </c>
      <c r="AR2608" s="79">
        <f>IF(AN2608="","",IF(OR(AO2608&lt;&gt;"OK", AP2608&lt;&gt;"OK", AQ2608&lt;&gt;"OK"), "⚠️ REVISAR", "OK"))</f>
        <v/>
      </c>
    </row>
    <row r="2609">
      <c r="A2609" s="79">
        <f>IF('Ordenes_Odoo'!A2609="","",'Ordenes_Odoo'!A2609)</f>
        <v/>
      </c>
      <c r="B2609" s="80">
        <f>IF('Ordenes_Odoo'!B2609="","",'Ordenes_Odoo'!B2609)</f>
        <v/>
      </c>
      <c r="C2609" s="79">
        <f>IF('Ordenes_Odoo'!C2609="","",'Ordenes_Odoo'!C2609)</f>
        <v/>
      </c>
      <c r="D2609" s="79">
        <f>IF('Ordenes_Odoo'!D2609="","",'Ordenes_Odoo'!D2609)</f>
        <v/>
      </c>
      <c r="E2609" s="79">
        <f>IF('Ordenes_Odoo'!E2609="","",'Ordenes_Odoo'!E2609)</f>
        <v/>
      </c>
      <c r="F2609" s="79">
        <f>IF('Ordenes_Odoo'!F2609="","",'Ordenes_Odoo'!F2609)</f>
        <v/>
      </c>
      <c r="G2609" s="79">
        <f>IF('Ordenes_Odoo'!G2609="","",'Ordenes_Odoo'!G2609)</f>
        <v/>
      </c>
      <c r="H2609" s="79">
        <f>IF('Ordenes_Odoo'!H2609="","",'Ordenes_Odoo'!H2609)</f>
        <v/>
      </c>
      <c r="I2609" s="79">
        <f>IF('Ordenes_Odoo'!I2609="","",'Ordenes_Odoo'!I2609)</f>
        <v/>
      </c>
      <c r="J2609" s="79">
        <f>IF('Ordenes_Odoo'!J2609="","",'Ordenes_Odoo'!J2609)</f>
        <v/>
      </c>
      <c r="K2609" s="81">
        <f>IF('Ordenes_Odoo'!K2609="","",'Ordenes_Odoo'!K2609)</f>
        <v/>
      </c>
      <c r="L2609" s="81">
        <f>IF('Ordenes_Odoo'!L2609="","",'Ordenes_Odoo'!L2609)</f>
        <v/>
      </c>
      <c r="M2609" s="79">
        <f>IF('Ordenes_Odoo'!M2609="","",'Ordenes_Odoo'!M2609)</f>
        <v/>
      </c>
      <c r="N2609" s="79">
        <f>IF('Ordenes_Odoo'!N2609="","",'Ordenes_Odoo'!N2609)</f>
        <v/>
      </c>
      <c r="O2609" s="81">
        <f>IF('Ordenes_Odoo'!O2609="","",'Ordenes_Odoo'!O2609)</f>
        <v/>
      </c>
      <c r="P2609" s="81">
        <f>IF('Ordenes_Odoo'!P2609="","",'Ordenes_Odoo'!P2609)</f>
        <v/>
      </c>
      <c r="Q2609" s="79">
        <f>IF(A2609="","",IFERROR(INDEX(Facturas_Odoo!$B:$B, MATCH(A2609, Facturas_Odoo!$D:$D, 0)), "Sin Factura"))</f>
        <v/>
      </c>
      <c r="R2609" s="80">
        <f>IF(Q2609="Sin Factura","",IFERROR(INDEX(Facturas_Odoo!$A:$A, MATCH(Q2609, Facturas_Odoo!$B:$B, 0)), ""))</f>
        <v/>
      </c>
      <c r="S2609" s="79">
        <f>IF(Q2609="Sin Factura","",IFERROR(_xlfn.XLOOKUP(1, (Facturas_Odoo!$D:$D=A2609) * (Facturas_Odoo!$K:$K=I2609), Facturas_Odoo!$L:$L, ""), ""))</f>
        <v/>
      </c>
      <c r="T2609" s="81">
        <f>IF(Q2609="Sin Factura",0,IFERROR(_xlfn.XLOOKUP(1, (Facturas_Odoo!$D:$D=A2609) * (Facturas_Odoo!$K:$K=I2609), Facturas_Odoo!$M:$M, 0), 0))</f>
        <v/>
      </c>
      <c r="U2609" s="79">
        <f>IF(Q2609="Sin Factura",0,IFERROR(_xlfn.XLOOKUP(1, (Facturas_Odoo!$D:$D=A2609) * (Facturas_Odoo!$K:$K=I2609), Facturas_Odoo!$N:$N, 0), 0))</f>
        <v/>
      </c>
      <c r="V2609" s="79">
        <f>IF(Q2609="Sin Factura",0,IFERROR(_xlfn.XLOOKUP(1, (Facturas_Odoo!$D:$D=A2609) * (Facturas_Odoo!$K:$K=I2609), Facturas_Odoo!$O:$O, 0), 0))</f>
        <v/>
      </c>
      <c r="W2609" s="81">
        <f>IF(Q2609="Sin Factura",0,IFERROR(_xlfn.XLOOKUP(1, (Facturas_Odoo!$D:$D=A2609) * (Facturas_Odoo!$K:$K=I2609), Facturas_Odoo!$Q:$Q, 0), 0))</f>
        <v/>
      </c>
      <c r="X2609" s="79">
        <f>IF(OR(Q2609="Sin Factura",Q2609=""),"",IFERROR(INDEX(Pagos_Odoo!$B:$B, MATCH(Q2609, Pagos_Odoo!$I:$I, 0)), "Sin Pago"))</f>
        <v/>
      </c>
      <c r="Y2609" s="79">
        <f>IF(X2609="Sin Pago","",IFERROR(INDEX(Pagos_Odoo!$C:$C, MATCH(X2609, Pagos_Odoo!$B:$B, 0)), ""))</f>
        <v/>
      </c>
      <c r="Z2609" s="80">
        <f>IF(X2609="Sin Pago","",IFERROR(INDEX(Pagos_Odoo!$A:$A, MATCH(X2609, Pagos_Odoo!$B:$B, 0)), ""))</f>
        <v/>
      </c>
      <c r="AA2609" s="79">
        <f>IF(X2609="Sin Pago","",IFERROR(INDEX(Pagos_Odoo!$F:$F, MATCH(X2609, Pagos_Odoo!$B:$B, 0)), ""))</f>
        <v/>
      </c>
      <c r="AB2609" s="81">
        <f>IF(X2609="Sin Pago",0,IFERROR(INDEX(Pagos_Odoo!$E:$E, MATCH(X2609, Pagos_Odoo!$B:$B, 0)), 0))</f>
        <v/>
      </c>
      <c r="AC2609" s="79">
        <f>IF(X2609="Sin Pago","",IFERROR(INDEX(Pagos_Odoo!$G:$G, MATCH(X2609, Pagos_Odoo!$B:$B, 0)), ""))</f>
        <v/>
      </c>
      <c r="AD2609" s="82" t="n">
        <v>0</v>
      </c>
      <c r="AE2609" s="82" t="n"/>
      <c r="AF2609" s="82" t="n"/>
      <c r="AG2609" s="82">
        <f>IF(AN2609="","",AD2609+AE2609+AF2609)</f>
        <v/>
      </c>
      <c r="AH2609" s="81">
        <f>IF(AN2609="","",P2609*(1-AG2609))</f>
        <v/>
      </c>
      <c r="AI2609" s="81">
        <f>IF(AN2609="","",IF(Q2609="Sin Factura",0,IFERROR(INDEX(Facturas_Odoo!$H:$H, MATCH(Q2609, Facturas_Odoo!$B:$B, 0)), 0)*(1-AG2609)))</f>
        <v/>
      </c>
      <c r="AJ2609" s="81">
        <f>IF(AN2609="","",_xlfn.LET(idVenta, AN2609&amp;"",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09" s="81">
        <f>IF(AN2609="","",AH2609-AJ2609)</f>
        <v/>
      </c>
      <c r="AL2609" s="81">
        <f>IF(AN2609="","",IF(Q2609="Sin Factura","",AI2609-AJ2609))</f>
        <v/>
      </c>
      <c r="AM2609" s="81">
        <f>IF(AN2609="","",IF(Q2609="Sin Factura",0,P2609-IFERROR(INDEX(Facturas_Odoo!$H:$H, MATCH(Q2609, Facturas_Odoo!$B:$B, 0)), 0)))</f>
        <v/>
      </c>
      <c r="AN2609" s="79">
        <f>IF(AND(A2609="", J2609=""), "", IF(A2609&lt;&gt;"", VALUE(MID(A2609,2,LEN(A2609))), AN2608))</f>
        <v/>
      </c>
      <c r="AO2609" s="79">
        <f>IF(AN2609="","",IF(AD2609=0,"OK",_xlfn.LET(monedaPago, IF(AA2609="","USD",AA2609), limitePermitido, IFERROR(VLOOKUP(monedaPago, Configuración!$A$2:$B$3, 2, FALSE), 0.15), IF(AD2609&gt;limitePermitido, "ALERTA: EXCESO (" &amp; TEXT(limitePermitido, "0%") &amp; " máx)", "OK"))))</f>
        <v/>
      </c>
      <c r="AP2609" s="79">
        <f>IF(AN2609="","",IF(AE2609=0,"OK",_xlfn.LET(fechaPago, Z2609, fechaFactura, R2609, diasCredito, IF(E2609="Pago inmediato", 0, IFERROR(VALUE(MID(E2609, 1, SEARCH(" ", E2609)-1)),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09" s="79">
        <f>IF(AN2609="","",IF(AND(N2609&gt;0, AG2609&gt;0), IF(Configuración!$K$2="NO", "ALERTA: DESCUENTO DOBLE NO PERMITIDO", "OK"), "OK"))</f>
        <v/>
      </c>
      <c r="AR2609" s="79">
        <f>IF(AN2609="","",IF(OR(AO2609&lt;&gt;"OK", AP2609&lt;&gt;"OK", AQ2609&lt;&gt;"OK"), "⚠️ REVISAR", "OK"))</f>
        <v/>
      </c>
    </row>
    <row r="2610">
      <c r="A2610" s="79">
        <f>IF('Ordenes_Odoo'!A2610="","",'Ordenes_Odoo'!A2610)</f>
        <v/>
      </c>
      <c r="B2610" s="80">
        <f>IF('Ordenes_Odoo'!B2610="","",'Ordenes_Odoo'!B2610)</f>
        <v/>
      </c>
      <c r="C2610" s="79">
        <f>IF('Ordenes_Odoo'!C2610="","",'Ordenes_Odoo'!C2610)</f>
        <v/>
      </c>
      <c r="D2610" s="79">
        <f>IF('Ordenes_Odoo'!D2610="","",'Ordenes_Odoo'!D2610)</f>
        <v/>
      </c>
      <c r="E2610" s="79">
        <f>IF('Ordenes_Odoo'!E2610="","",'Ordenes_Odoo'!E2610)</f>
        <v/>
      </c>
      <c r="F2610" s="79">
        <f>IF('Ordenes_Odoo'!F2610="","",'Ordenes_Odoo'!F2610)</f>
        <v/>
      </c>
      <c r="G2610" s="79">
        <f>IF('Ordenes_Odoo'!G2610="","",'Ordenes_Odoo'!G2610)</f>
        <v/>
      </c>
      <c r="H2610" s="79">
        <f>IF('Ordenes_Odoo'!H2610="","",'Ordenes_Odoo'!H2610)</f>
        <v/>
      </c>
      <c r="I2610" s="79">
        <f>IF('Ordenes_Odoo'!I2610="","",'Ordenes_Odoo'!I2610)</f>
        <v/>
      </c>
      <c r="J2610" s="79">
        <f>IF('Ordenes_Odoo'!J2610="","",'Ordenes_Odoo'!J2610)</f>
        <v/>
      </c>
      <c r="K2610" s="81">
        <f>IF('Ordenes_Odoo'!K2610="","",'Ordenes_Odoo'!K2610)</f>
        <v/>
      </c>
      <c r="L2610" s="81">
        <f>IF('Ordenes_Odoo'!L2610="","",'Ordenes_Odoo'!L2610)</f>
        <v/>
      </c>
      <c r="M2610" s="79">
        <f>IF('Ordenes_Odoo'!M2610="","",'Ordenes_Odoo'!M2610)</f>
        <v/>
      </c>
      <c r="N2610" s="79">
        <f>IF('Ordenes_Odoo'!N2610="","",'Ordenes_Odoo'!N2610)</f>
        <v/>
      </c>
      <c r="O2610" s="81">
        <f>IF('Ordenes_Odoo'!O2610="","",'Ordenes_Odoo'!O2610)</f>
        <v/>
      </c>
      <c r="P2610" s="81">
        <f>IF('Ordenes_Odoo'!P2610="","",'Ordenes_Odoo'!P2610)</f>
        <v/>
      </c>
      <c r="Q2610" s="79">
        <f>IF(A2610="","",IFERROR(INDEX(Facturas_Odoo!$B:$B, MATCH(A2610, Facturas_Odoo!$D:$D, 0)), "Sin Factura"))</f>
        <v/>
      </c>
      <c r="R2610" s="80">
        <f>IF(Q2610="Sin Factura","",IFERROR(INDEX(Facturas_Odoo!$A:$A, MATCH(Q2610, Facturas_Odoo!$B:$B, 0)), ""))</f>
        <v/>
      </c>
      <c r="S2610" s="79">
        <f>IF(Q2610="Sin Factura","",IFERROR(_xlfn.XLOOKUP(1, (Facturas_Odoo!$D:$D=A2610) * (Facturas_Odoo!$K:$K=I2610), Facturas_Odoo!$L:$L, ""), ""))</f>
        <v/>
      </c>
      <c r="T2610" s="81">
        <f>IF(Q2610="Sin Factura",0,IFERROR(_xlfn.XLOOKUP(1, (Facturas_Odoo!$D:$D=A2610) * (Facturas_Odoo!$K:$K=I2610), Facturas_Odoo!$M:$M, 0), 0))</f>
        <v/>
      </c>
      <c r="U2610" s="79">
        <f>IF(Q2610="Sin Factura",0,IFERROR(_xlfn.XLOOKUP(1, (Facturas_Odoo!$D:$D=A2610) * (Facturas_Odoo!$K:$K=I2610), Facturas_Odoo!$N:$N, 0), 0))</f>
        <v/>
      </c>
      <c r="V2610" s="79">
        <f>IF(Q2610="Sin Factura",0,IFERROR(_xlfn.XLOOKUP(1, (Facturas_Odoo!$D:$D=A2610) * (Facturas_Odoo!$K:$K=I2610), Facturas_Odoo!$O:$O, 0), 0))</f>
        <v/>
      </c>
      <c r="W2610" s="81">
        <f>IF(Q2610="Sin Factura",0,IFERROR(_xlfn.XLOOKUP(1, (Facturas_Odoo!$D:$D=A2610) * (Facturas_Odoo!$K:$K=I2610), Facturas_Odoo!$Q:$Q, 0), 0))</f>
        <v/>
      </c>
      <c r="X2610" s="79">
        <f>IF(OR(Q2610="Sin Factura",Q2610=""),"",IFERROR(INDEX(Pagos_Odoo!$B:$B, MATCH(Q2610, Pagos_Odoo!$I:$I, 0)), "Sin Pago"))</f>
        <v/>
      </c>
      <c r="Y2610" s="79">
        <f>IF(X2610="Sin Pago","",IFERROR(INDEX(Pagos_Odoo!$C:$C, MATCH(X2610, Pagos_Odoo!$B:$B, 0)), ""))</f>
        <v/>
      </c>
      <c r="Z2610" s="80">
        <f>IF(X2610="Sin Pago","",IFERROR(INDEX(Pagos_Odoo!$A:$A, MATCH(X2610, Pagos_Odoo!$B:$B, 0)), ""))</f>
        <v/>
      </c>
      <c r="AA2610" s="79">
        <f>IF(X2610="Sin Pago","",IFERROR(INDEX(Pagos_Odoo!$F:$F, MATCH(X2610, Pagos_Odoo!$B:$B, 0)), ""))</f>
        <v/>
      </c>
      <c r="AB2610" s="81">
        <f>IF(X2610="Sin Pago",0,IFERROR(INDEX(Pagos_Odoo!$E:$E, MATCH(X2610, Pagos_Odoo!$B:$B, 0)), 0))</f>
        <v/>
      </c>
      <c r="AC2610" s="79">
        <f>IF(X2610="Sin Pago","",IFERROR(INDEX(Pagos_Odoo!$G:$G, MATCH(X2610, Pagos_Odoo!$B:$B, 0)), ""))</f>
        <v/>
      </c>
      <c r="AD2610" s="82" t="n">
        <v>0</v>
      </c>
      <c r="AE2610" s="82" t="n"/>
      <c r="AF2610" s="82" t="n"/>
      <c r="AG2610" s="82">
        <f>IF(AN2610="","",AD2610+AE2610+AF2610)</f>
        <v/>
      </c>
      <c r="AH2610" s="81">
        <f>IF(AN2610="","",P2610*(1-AG2610))</f>
        <v/>
      </c>
      <c r="AI2610" s="81">
        <f>IF(AN2610="","",IF(Q2610="Sin Factura",0,IFERROR(INDEX(Facturas_Odoo!$H:$H, MATCH(Q2610, Facturas_Odoo!$B:$B, 0)), 0)*(1-AG2610)))</f>
        <v/>
      </c>
      <c r="AJ2610" s="81">
        <f>IF(AN2610="","",_xlfn.LET(idVenta, AN2610&amp;"",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10" s="81">
        <f>IF(AN2610="","",AH2610-AJ2610)</f>
        <v/>
      </c>
      <c r="AL2610" s="81">
        <f>IF(AN2610="","",IF(Q2610="Sin Factura","",AI2610-AJ2610))</f>
        <v/>
      </c>
      <c r="AM2610" s="81">
        <f>IF(AN2610="","",IF(Q2610="Sin Factura",0,P2610-IFERROR(INDEX(Facturas_Odoo!$H:$H, MATCH(Q2610, Facturas_Odoo!$B:$B, 0)), 0)))</f>
        <v/>
      </c>
      <c r="AN2610" s="79">
        <f>IF(AND(A2610="", J2610=""), "", IF(A2610&lt;&gt;"", VALUE(MID(A2610,2,LEN(A2610))), AN2609))</f>
        <v/>
      </c>
      <c r="AO2610" s="79">
        <f>IF(AN2610="","",IF(AD2610=0,"OK",_xlfn.LET(monedaPago, IF(AA2610="","USD",AA2610), limitePermitido, IFERROR(VLOOKUP(monedaPago, Configuración!$A$2:$B$3, 2, FALSE), 0.15), IF(AD2610&gt;limitePermitido, "ALERTA: EXCESO (" &amp; TEXT(limitePermitido, "0%") &amp; " máx)", "OK"))))</f>
        <v/>
      </c>
      <c r="AP2610" s="79">
        <f>IF(AN2610="","",IF(AE2610=0,"OK",_xlfn.LET(fechaPago, Z2610, fechaFactura, R2610, diasCredito, IF(E2610="Pago inmediato", 0, IFERROR(VALUE(MID(E2610, 1, SEARCH(" ", E2610)-1)),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10" s="79">
        <f>IF(AN2610="","",IF(AND(N2610&gt;0, AG2610&gt;0), IF(Configuración!$K$2="NO", "ALERTA: DESCUENTO DOBLE NO PERMITIDO", "OK"), "OK"))</f>
        <v/>
      </c>
      <c r="AR2610" s="79">
        <f>IF(AN2610="","",IF(OR(AO2610&lt;&gt;"OK", AP2610&lt;&gt;"OK", AQ2610&lt;&gt;"OK"), "⚠️ REVISAR", "OK"))</f>
        <v/>
      </c>
    </row>
    <row r="2611">
      <c r="A2611" s="79">
        <f>IF('Ordenes_Odoo'!A2611="","",'Ordenes_Odoo'!A2611)</f>
        <v/>
      </c>
      <c r="B2611" s="80">
        <f>IF('Ordenes_Odoo'!B2611="","",'Ordenes_Odoo'!B2611)</f>
        <v/>
      </c>
      <c r="C2611" s="79">
        <f>IF('Ordenes_Odoo'!C2611="","",'Ordenes_Odoo'!C2611)</f>
        <v/>
      </c>
      <c r="D2611" s="79">
        <f>IF('Ordenes_Odoo'!D2611="","",'Ordenes_Odoo'!D2611)</f>
        <v/>
      </c>
      <c r="E2611" s="79">
        <f>IF('Ordenes_Odoo'!E2611="","",'Ordenes_Odoo'!E2611)</f>
        <v/>
      </c>
      <c r="F2611" s="79">
        <f>IF('Ordenes_Odoo'!F2611="","",'Ordenes_Odoo'!F2611)</f>
        <v/>
      </c>
      <c r="G2611" s="79">
        <f>IF('Ordenes_Odoo'!G2611="","",'Ordenes_Odoo'!G2611)</f>
        <v/>
      </c>
      <c r="H2611" s="79">
        <f>IF('Ordenes_Odoo'!H2611="","",'Ordenes_Odoo'!H2611)</f>
        <v/>
      </c>
      <c r="I2611" s="79">
        <f>IF('Ordenes_Odoo'!I2611="","",'Ordenes_Odoo'!I2611)</f>
        <v/>
      </c>
      <c r="J2611" s="79">
        <f>IF('Ordenes_Odoo'!J2611="","",'Ordenes_Odoo'!J2611)</f>
        <v/>
      </c>
      <c r="K2611" s="81">
        <f>IF('Ordenes_Odoo'!K2611="","",'Ordenes_Odoo'!K2611)</f>
        <v/>
      </c>
      <c r="L2611" s="81">
        <f>IF('Ordenes_Odoo'!L2611="","",'Ordenes_Odoo'!L2611)</f>
        <v/>
      </c>
      <c r="M2611" s="79">
        <f>IF('Ordenes_Odoo'!M2611="","",'Ordenes_Odoo'!M2611)</f>
        <v/>
      </c>
      <c r="N2611" s="79">
        <f>IF('Ordenes_Odoo'!N2611="","",'Ordenes_Odoo'!N2611)</f>
        <v/>
      </c>
      <c r="O2611" s="81">
        <f>IF('Ordenes_Odoo'!O2611="","",'Ordenes_Odoo'!O2611)</f>
        <v/>
      </c>
      <c r="P2611" s="81">
        <f>IF('Ordenes_Odoo'!P2611="","",'Ordenes_Odoo'!P2611)</f>
        <v/>
      </c>
      <c r="Q2611" s="79">
        <f>IF(A2611="","",IFERROR(INDEX(Facturas_Odoo!$B:$B, MATCH(A2611, Facturas_Odoo!$D:$D, 0)), "Sin Factura"))</f>
        <v/>
      </c>
      <c r="R2611" s="80">
        <f>IF(Q2611="Sin Factura","",IFERROR(INDEX(Facturas_Odoo!$A:$A, MATCH(Q2611, Facturas_Odoo!$B:$B, 0)), ""))</f>
        <v/>
      </c>
      <c r="S2611" s="79">
        <f>IF(Q2611="Sin Factura","",IFERROR(_xlfn.XLOOKUP(1, (Facturas_Odoo!$D:$D=A2611) * (Facturas_Odoo!$K:$K=I2611), Facturas_Odoo!$L:$L, ""), ""))</f>
        <v/>
      </c>
      <c r="T2611" s="81">
        <f>IF(Q2611="Sin Factura",0,IFERROR(_xlfn.XLOOKUP(1, (Facturas_Odoo!$D:$D=A2611) * (Facturas_Odoo!$K:$K=I2611), Facturas_Odoo!$M:$M, 0), 0))</f>
        <v/>
      </c>
      <c r="U2611" s="79">
        <f>IF(Q2611="Sin Factura",0,IFERROR(_xlfn.XLOOKUP(1, (Facturas_Odoo!$D:$D=A2611) * (Facturas_Odoo!$K:$K=I2611), Facturas_Odoo!$N:$N, 0), 0))</f>
        <v/>
      </c>
      <c r="V2611" s="79">
        <f>IF(Q2611="Sin Factura",0,IFERROR(_xlfn.XLOOKUP(1, (Facturas_Odoo!$D:$D=A2611) * (Facturas_Odoo!$K:$K=I2611), Facturas_Odoo!$O:$O, 0), 0))</f>
        <v/>
      </c>
      <c r="W2611" s="81">
        <f>IF(Q2611="Sin Factura",0,IFERROR(_xlfn.XLOOKUP(1, (Facturas_Odoo!$D:$D=A2611) * (Facturas_Odoo!$K:$K=I2611), Facturas_Odoo!$Q:$Q, 0), 0))</f>
        <v/>
      </c>
      <c r="X2611" s="79">
        <f>IF(OR(Q2611="Sin Factura",Q2611=""),"",IFERROR(INDEX(Pagos_Odoo!$B:$B, MATCH(Q2611, Pagos_Odoo!$I:$I, 0)), "Sin Pago"))</f>
        <v/>
      </c>
      <c r="Y2611" s="79">
        <f>IF(X2611="Sin Pago","",IFERROR(INDEX(Pagos_Odoo!$C:$C, MATCH(X2611, Pagos_Odoo!$B:$B, 0)), ""))</f>
        <v/>
      </c>
      <c r="Z2611" s="80">
        <f>IF(X2611="Sin Pago","",IFERROR(INDEX(Pagos_Odoo!$A:$A, MATCH(X2611, Pagos_Odoo!$B:$B, 0)), ""))</f>
        <v/>
      </c>
      <c r="AA2611" s="79">
        <f>IF(X2611="Sin Pago","",IFERROR(INDEX(Pagos_Odoo!$F:$F, MATCH(X2611, Pagos_Odoo!$B:$B, 0)), ""))</f>
        <v/>
      </c>
      <c r="AB2611" s="81">
        <f>IF(X2611="Sin Pago",0,IFERROR(INDEX(Pagos_Odoo!$E:$E, MATCH(X2611, Pagos_Odoo!$B:$B, 0)), 0))</f>
        <v/>
      </c>
      <c r="AC2611" s="79">
        <f>IF(X2611="Sin Pago","",IFERROR(INDEX(Pagos_Odoo!$G:$G, MATCH(X2611, Pagos_Odoo!$B:$B, 0)), ""))</f>
        <v/>
      </c>
      <c r="AD2611" s="82" t="n">
        <v>0</v>
      </c>
      <c r="AE2611" s="82" t="n"/>
      <c r="AF2611" s="82" t="n"/>
      <c r="AG2611" s="82">
        <f>IF(AN2611="","",AD2611+AE2611+AF2611)</f>
        <v/>
      </c>
      <c r="AH2611" s="81">
        <f>IF(AN2611="","",P2611*(1-AG2611))</f>
        <v/>
      </c>
      <c r="AI2611" s="81">
        <f>IF(AN2611="","",IF(Q2611="Sin Factura",0,IFERROR(INDEX(Facturas_Odoo!$H:$H, MATCH(Q2611, Facturas_Odoo!$B:$B, 0)), 0)*(1-AG2611)))</f>
        <v/>
      </c>
      <c r="AJ2611" s="81">
        <f>IF(AN2611="","",_xlfn.LET(idVenta, AN2611&amp;"",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11" s="81">
        <f>IF(AN2611="","",AH2611-AJ2611)</f>
        <v/>
      </c>
      <c r="AL2611" s="81">
        <f>IF(AN2611="","",IF(Q2611="Sin Factura","",AI2611-AJ2611))</f>
        <v/>
      </c>
      <c r="AM2611" s="81">
        <f>IF(AN2611="","",IF(Q2611="Sin Factura",0,P2611-IFERROR(INDEX(Facturas_Odoo!$H:$H, MATCH(Q2611, Facturas_Odoo!$B:$B, 0)), 0)))</f>
        <v/>
      </c>
      <c r="AN2611" s="79">
        <f>IF(AND(A2611="", J2611=""), "", IF(A2611&lt;&gt;"", VALUE(MID(A2611,2,LEN(A2611))), AN2610))</f>
        <v/>
      </c>
      <c r="AO2611" s="79">
        <f>IF(AN2611="","",IF(AD2611=0,"OK",_xlfn.LET(monedaPago, IF(AA2611="","USD",AA2611), limitePermitido, IFERROR(VLOOKUP(monedaPago, Configuración!$A$2:$B$3, 2, FALSE), 0.15), IF(AD2611&gt;limitePermitido, "ALERTA: EXCESO (" &amp; TEXT(limitePermitido, "0%") &amp; " máx)", "OK"))))</f>
        <v/>
      </c>
      <c r="AP2611" s="79">
        <f>IF(AN2611="","",IF(AE2611=0,"OK",_xlfn.LET(fechaPago, Z2611, fechaFactura, R2611, diasCredito, IF(E2611="Pago inmediato", 0, IFERROR(VALUE(MID(E2611, 1, SEARCH(" ", E2611)-1)),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11" s="79">
        <f>IF(AN2611="","",IF(AND(N2611&gt;0, AG2611&gt;0), IF(Configuración!$K$2="NO", "ALERTA: DESCUENTO DOBLE NO PERMITIDO", "OK"), "OK"))</f>
        <v/>
      </c>
      <c r="AR2611" s="79">
        <f>IF(AN2611="","",IF(OR(AO2611&lt;&gt;"OK", AP2611&lt;&gt;"OK", AQ2611&lt;&gt;"OK"), "⚠️ REVISAR", "OK"))</f>
        <v/>
      </c>
    </row>
    <row r="2612">
      <c r="A2612" s="79">
        <f>IF('Ordenes_Odoo'!A2612="","",'Ordenes_Odoo'!A2612)</f>
        <v/>
      </c>
      <c r="B2612" s="80">
        <f>IF('Ordenes_Odoo'!B2612="","",'Ordenes_Odoo'!B2612)</f>
        <v/>
      </c>
      <c r="C2612" s="79">
        <f>IF('Ordenes_Odoo'!C2612="","",'Ordenes_Odoo'!C2612)</f>
        <v/>
      </c>
      <c r="D2612" s="79">
        <f>IF('Ordenes_Odoo'!D2612="","",'Ordenes_Odoo'!D2612)</f>
        <v/>
      </c>
      <c r="E2612" s="79">
        <f>IF('Ordenes_Odoo'!E2612="","",'Ordenes_Odoo'!E2612)</f>
        <v/>
      </c>
      <c r="F2612" s="79">
        <f>IF('Ordenes_Odoo'!F2612="","",'Ordenes_Odoo'!F2612)</f>
        <v/>
      </c>
      <c r="G2612" s="79">
        <f>IF('Ordenes_Odoo'!G2612="","",'Ordenes_Odoo'!G2612)</f>
        <v/>
      </c>
      <c r="H2612" s="79">
        <f>IF('Ordenes_Odoo'!H2612="","",'Ordenes_Odoo'!H2612)</f>
        <v/>
      </c>
      <c r="I2612" s="79">
        <f>IF('Ordenes_Odoo'!I2612="","",'Ordenes_Odoo'!I2612)</f>
        <v/>
      </c>
      <c r="J2612" s="79">
        <f>IF('Ordenes_Odoo'!J2612="","",'Ordenes_Odoo'!J2612)</f>
        <v/>
      </c>
      <c r="K2612" s="81">
        <f>IF('Ordenes_Odoo'!K2612="","",'Ordenes_Odoo'!K2612)</f>
        <v/>
      </c>
      <c r="L2612" s="81">
        <f>IF('Ordenes_Odoo'!L2612="","",'Ordenes_Odoo'!L2612)</f>
        <v/>
      </c>
      <c r="M2612" s="79">
        <f>IF('Ordenes_Odoo'!M2612="","",'Ordenes_Odoo'!M2612)</f>
        <v/>
      </c>
      <c r="N2612" s="79">
        <f>IF('Ordenes_Odoo'!N2612="","",'Ordenes_Odoo'!N2612)</f>
        <v/>
      </c>
      <c r="O2612" s="81">
        <f>IF('Ordenes_Odoo'!O2612="","",'Ordenes_Odoo'!O2612)</f>
        <v/>
      </c>
      <c r="P2612" s="81">
        <f>IF('Ordenes_Odoo'!P2612="","",'Ordenes_Odoo'!P2612)</f>
        <v/>
      </c>
      <c r="Q2612" s="79">
        <f>IF(A2612="","",IFERROR(INDEX(Facturas_Odoo!$B:$B, MATCH(A2612, Facturas_Odoo!$D:$D, 0)), "Sin Factura"))</f>
        <v/>
      </c>
      <c r="R2612" s="80">
        <f>IF(Q2612="Sin Factura","",IFERROR(INDEX(Facturas_Odoo!$A:$A, MATCH(Q2612, Facturas_Odoo!$B:$B, 0)), ""))</f>
        <v/>
      </c>
      <c r="S2612" s="79">
        <f>IF(Q2612="Sin Factura","",IFERROR(_xlfn.XLOOKUP(1, (Facturas_Odoo!$D:$D=A2612) * (Facturas_Odoo!$K:$K=I2612), Facturas_Odoo!$L:$L, ""), ""))</f>
        <v/>
      </c>
      <c r="T2612" s="81">
        <f>IF(Q2612="Sin Factura",0,IFERROR(_xlfn.XLOOKUP(1, (Facturas_Odoo!$D:$D=A2612) * (Facturas_Odoo!$K:$K=I2612), Facturas_Odoo!$M:$M, 0), 0))</f>
        <v/>
      </c>
      <c r="U2612" s="79">
        <f>IF(Q2612="Sin Factura",0,IFERROR(_xlfn.XLOOKUP(1, (Facturas_Odoo!$D:$D=A2612) * (Facturas_Odoo!$K:$K=I2612), Facturas_Odoo!$N:$N, 0), 0))</f>
        <v/>
      </c>
      <c r="V2612" s="79">
        <f>IF(Q2612="Sin Factura",0,IFERROR(_xlfn.XLOOKUP(1, (Facturas_Odoo!$D:$D=A2612) * (Facturas_Odoo!$K:$K=I2612), Facturas_Odoo!$O:$O, 0), 0))</f>
        <v/>
      </c>
      <c r="W2612" s="81">
        <f>IF(Q2612="Sin Factura",0,IFERROR(_xlfn.XLOOKUP(1, (Facturas_Odoo!$D:$D=A2612) * (Facturas_Odoo!$K:$K=I2612), Facturas_Odoo!$Q:$Q, 0), 0))</f>
        <v/>
      </c>
      <c r="X2612" s="79">
        <f>IF(OR(Q2612="Sin Factura",Q2612=""),"",IFERROR(INDEX(Pagos_Odoo!$B:$B, MATCH(Q2612, Pagos_Odoo!$I:$I, 0)), "Sin Pago"))</f>
        <v/>
      </c>
      <c r="Y2612" s="79">
        <f>IF(X2612="Sin Pago","",IFERROR(INDEX(Pagos_Odoo!$C:$C, MATCH(X2612, Pagos_Odoo!$B:$B, 0)), ""))</f>
        <v/>
      </c>
      <c r="Z2612" s="80">
        <f>IF(X2612="Sin Pago","",IFERROR(INDEX(Pagos_Odoo!$A:$A, MATCH(X2612, Pagos_Odoo!$B:$B, 0)), ""))</f>
        <v/>
      </c>
      <c r="AA2612" s="79">
        <f>IF(X2612="Sin Pago","",IFERROR(INDEX(Pagos_Odoo!$F:$F, MATCH(X2612, Pagos_Odoo!$B:$B, 0)), ""))</f>
        <v/>
      </c>
      <c r="AB2612" s="81">
        <f>IF(X2612="Sin Pago",0,IFERROR(INDEX(Pagos_Odoo!$E:$E, MATCH(X2612, Pagos_Odoo!$B:$B, 0)), 0))</f>
        <v/>
      </c>
      <c r="AC2612" s="79">
        <f>IF(X2612="Sin Pago","",IFERROR(INDEX(Pagos_Odoo!$G:$G, MATCH(X2612, Pagos_Odoo!$B:$B, 0)), ""))</f>
        <v/>
      </c>
      <c r="AD2612" s="82" t="n">
        <v>0</v>
      </c>
      <c r="AE2612" s="82" t="n"/>
      <c r="AF2612" s="82" t="n"/>
      <c r="AG2612" s="82">
        <f>IF(AN2612="","",AD2612+AE2612+AF2612)</f>
        <v/>
      </c>
      <c r="AH2612" s="81">
        <f>IF(AN2612="","",P2612*(1-AG2612))</f>
        <v/>
      </c>
      <c r="AI2612" s="81">
        <f>IF(AN2612="","",IF(Q2612="Sin Factura",0,IFERROR(INDEX(Facturas_Odoo!$H:$H, MATCH(Q2612, Facturas_Odoo!$B:$B, 0)), 0)*(1-AG2612)))</f>
        <v/>
      </c>
      <c r="AJ2612" s="81">
        <f>IF(AN2612="","",_xlfn.LET(idVenta, AN2612&amp;"",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12" s="81">
        <f>IF(AN2612="","",AH2612-AJ2612)</f>
        <v/>
      </c>
      <c r="AL2612" s="81">
        <f>IF(AN2612="","",IF(Q2612="Sin Factura","",AI2612-AJ2612))</f>
        <v/>
      </c>
      <c r="AM2612" s="81">
        <f>IF(AN2612="","",IF(Q2612="Sin Factura",0,P2612-IFERROR(INDEX(Facturas_Odoo!$H:$H, MATCH(Q2612, Facturas_Odoo!$B:$B, 0)), 0)))</f>
        <v/>
      </c>
      <c r="AN2612" s="79">
        <f>IF(AND(A2612="", J2612=""), "", IF(A2612&lt;&gt;"", VALUE(MID(A2612,2,LEN(A2612))), AN2611))</f>
        <v/>
      </c>
      <c r="AO2612" s="79">
        <f>IF(AN2612="","",IF(AD2612=0,"OK",_xlfn.LET(monedaPago, IF(AA2612="","USD",AA2612), limitePermitido, IFERROR(VLOOKUP(monedaPago, Configuración!$A$2:$B$3, 2, FALSE), 0.15), IF(AD2612&gt;limitePermitido, "ALERTA: EXCESO (" &amp; TEXT(limitePermitido, "0%") &amp; " máx)", "OK"))))</f>
        <v/>
      </c>
      <c r="AP2612" s="79">
        <f>IF(AN2612="","",IF(AE2612=0,"OK",_xlfn.LET(fechaPago, Z2612, fechaFactura, R2612, diasCredito, IF(E2612="Pago inmediato", 0, IFERROR(VALUE(MID(E2612, 1, SEARCH(" ", E2612)-1)),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12" s="79">
        <f>IF(AN2612="","",IF(AND(N2612&gt;0, AG2612&gt;0), IF(Configuración!$K$2="NO", "ALERTA: DESCUENTO DOBLE NO PERMITIDO", "OK"), "OK"))</f>
        <v/>
      </c>
      <c r="AR2612" s="79">
        <f>IF(AN2612="","",IF(OR(AO2612&lt;&gt;"OK", AP2612&lt;&gt;"OK", AQ2612&lt;&gt;"OK"), "⚠️ REVISAR", "OK"))</f>
        <v/>
      </c>
    </row>
    <row r="2613">
      <c r="A2613" s="79">
        <f>IF('Ordenes_Odoo'!A2613="","",'Ordenes_Odoo'!A2613)</f>
        <v/>
      </c>
      <c r="B2613" s="80">
        <f>IF('Ordenes_Odoo'!B2613="","",'Ordenes_Odoo'!B2613)</f>
        <v/>
      </c>
      <c r="C2613" s="79">
        <f>IF('Ordenes_Odoo'!C2613="","",'Ordenes_Odoo'!C2613)</f>
        <v/>
      </c>
      <c r="D2613" s="79">
        <f>IF('Ordenes_Odoo'!D2613="","",'Ordenes_Odoo'!D2613)</f>
        <v/>
      </c>
      <c r="E2613" s="79">
        <f>IF('Ordenes_Odoo'!E2613="","",'Ordenes_Odoo'!E2613)</f>
        <v/>
      </c>
      <c r="F2613" s="79">
        <f>IF('Ordenes_Odoo'!F2613="","",'Ordenes_Odoo'!F2613)</f>
        <v/>
      </c>
      <c r="G2613" s="79">
        <f>IF('Ordenes_Odoo'!G2613="","",'Ordenes_Odoo'!G2613)</f>
        <v/>
      </c>
      <c r="H2613" s="79">
        <f>IF('Ordenes_Odoo'!H2613="","",'Ordenes_Odoo'!H2613)</f>
        <v/>
      </c>
      <c r="I2613" s="79">
        <f>IF('Ordenes_Odoo'!I2613="","",'Ordenes_Odoo'!I2613)</f>
        <v/>
      </c>
      <c r="J2613" s="79">
        <f>IF('Ordenes_Odoo'!J2613="","",'Ordenes_Odoo'!J2613)</f>
        <v/>
      </c>
      <c r="K2613" s="81">
        <f>IF('Ordenes_Odoo'!K2613="","",'Ordenes_Odoo'!K2613)</f>
        <v/>
      </c>
      <c r="L2613" s="81">
        <f>IF('Ordenes_Odoo'!L2613="","",'Ordenes_Odoo'!L2613)</f>
        <v/>
      </c>
      <c r="M2613" s="79">
        <f>IF('Ordenes_Odoo'!M2613="","",'Ordenes_Odoo'!M2613)</f>
        <v/>
      </c>
      <c r="N2613" s="79">
        <f>IF('Ordenes_Odoo'!N2613="","",'Ordenes_Odoo'!N2613)</f>
        <v/>
      </c>
      <c r="O2613" s="81">
        <f>IF('Ordenes_Odoo'!O2613="","",'Ordenes_Odoo'!O2613)</f>
        <v/>
      </c>
      <c r="P2613" s="81">
        <f>IF('Ordenes_Odoo'!P2613="","",'Ordenes_Odoo'!P2613)</f>
        <v/>
      </c>
      <c r="Q2613" s="79">
        <f>IF(A2613="","",IFERROR(INDEX(Facturas_Odoo!$B:$B, MATCH(A2613, Facturas_Odoo!$D:$D, 0)), "Sin Factura"))</f>
        <v/>
      </c>
      <c r="R2613" s="80">
        <f>IF(Q2613="Sin Factura","",IFERROR(INDEX(Facturas_Odoo!$A:$A, MATCH(Q2613, Facturas_Odoo!$B:$B, 0)), ""))</f>
        <v/>
      </c>
      <c r="S2613" s="79">
        <f>IF(Q2613="Sin Factura","",IFERROR(_xlfn.XLOOKUP(1, (Facturas_Odoo!$D:$D=A2613) * (Facturas_Odoo!$K:$K=I2613), Facturas_Odoo!$L:$L, ""), ""))</f>
        <v/>
      </c>
      <c r="T2613" s="81">
        <f>IF(Q2613="Sin Factura",0,IFERROR(_xlfn.XLOOKUP(1, (Facturas_Odoo!$D:$D=A2613) * (Facturas_Odoo!$K:$K=I2613), Facturas_Odoo!$M:$M, 0), 0))</f>
        <v/>
      </c>
      <c r="U2613" s="79">
        <f>IF(Q2613="Sin Factura",0,IFERROR(_xlfn.XLOOKUP(1, (Facturas_Odoo!$D:$D=A2613) * (Facturas_Odoo!$K:$K=I2613), Facturas_Odoo!$N:$N, 0), 0))</f>
        <v/>
      </c>
      <c r="V2613" s="79">
        <f>IF(Q2613="Sin Factura",0,IFERROR(_xlfn.XLOOKUP(1, (Facturas_Odoo!$D:$D=A2613) * (Facturas_Odoo!$K:$K=I2613), Facturas_Odoo!$O:$O, 0), 0))</f>
        <v/>
      </c>
      <c r="W2613" s="81">
        <f>IF(Q2613="Sin Factura",0,IFERROR(_xlfn.XLOOKUP(1, (Facturas_Odoo!$D:$D=A2613) * (Facturas_Odoo!$K:$K=I2613), Facturas_Odoo!$Q:$Q, 0), 0))</f>
        <v/>
      </c>
      <c r="X2613" s="79">
        <f>IF(OR(Q2613="Sin Factura",Q2613=""),"",IFERROR(INDEX(Pagos_Odoo!$B:$B, MATCH(Q2613, Pagos_Odoo!$I:$I, 0)), "Sin Pago"))</f>
        <v/>
      </c>
      <c r="Y2613" s="79">
        <f>IF(X2613="Sin Pago","",IFERROR(INDEX(Pagos_Odoo!$C:$C, MATCH(X2613, Pagos_Odoo!$B:$B, 0)), ""))</f>
        <v/>
      </c>
      <c r="Z2613" s="80">
        <f>IF(X2613="Sin Pago","",IFERROR(INDEX(Pagos_Odoo!$A:$A, MATCH(X2613, Pagos_Odoo!$B:$B, 0)), ""))</f>
        <v/>
      </c>
      <c r="AA2613" s="79">
        <f>IF(X2613="Sin Pago","",IFERROR(INDEX(Pagos_Odoo!$F:$F, MATCH(X2613, Pagos_Odoo!$B:$B, 0)), ""))</f>
        <v/>
      </c>
      <c r="AB2613" s="81">
        <f>IF(X2613="Sin Pago",0,IFERROR(INDEX(Pagos_Odoo!$E:$E, MATCH(X2613, Pagos_Odoo!$B:$B, 0)), 0))</f>
        <v/>
      </c>
      <c r="AC2613" s="79">
        <f>IF(X2613="Sin Pago","",IFERROR(INDEX(Pagos_Odoo!$G:$G, MATCH(X2613, Pagos_Odoo!$B:$B, 0)), ""))</f>
        <v/>
      </c>
      <c r="AD2613" s="82" t="n">
        <v>0</v>
      </c>
      <c r="AE2613" s="82" t="n"/>
      <c r="AF2613" s="82" t="n"/>
      <c r="AG2613" s="82">
        <f>IF(AN2613="","",AD2613+AE2613+AF2613)</f>
        <v/>
      </c>
      <c r="AH2613" s="81">
        <f>IF(AN2613="","",P2613*(1-AG2613))</f>
        <v/>
      </c>
      <c r="AI2613" s="81">
        <f>IF(AN2613="","",IF(Q2613="Sin Factura",0,IFERROR(INDEX(Facturas_Odoo!$H:$H, MATCH(Q2613, Facturas_Odoo!$B:$B, 0)), 0)*(1-AG2613)))</f>
        <v/>
      </c>
      <c r="AJ2613" s="81">
        <f>IF(AN2613="","",_xlfn.LET(idVenta, AN2613&amp;"",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13" s="81">
        <f>IF(AN2613="","",AH2613-AJ2613)</f>
        <v/>
      </c>
      <c r="AL2613" s="81">
        <f>IF(AN2613="","",IF(Q2613="Sin Factura","",AI2613-AJ2613))</f>
        <v/>
      </c>
      <c r="AM2613" s="81">
        <f>IF(AN2613="","",IF(Q2613="Sin Factura",0,P2613-IFERROR(INDEX(Facturas_Odoo!$H:$H, MATCH(Q2613, Facturas_Odoo!$B:$B, 0)), 0)))</f>
        <v/>
      </c>
      <c r="AN2613" s="79">
        <f>IF(AND(A2613="", J2613=""), "", IF(A2613&lt;&gt;"", VALUE(MID(A2613,2,LEN(A2613))), AN2612))</f>
        <v/>
      </c>
      <c r="AO2613" s="79">
        <f>IF(AN2613="","",IF(AD2613=0,"OK",_xlfn.LET(monedaPago, IF(AA2613="","USD",AA2613), limitePermitido, IFERROR(VLOOKUP(monedaPago, Configuración!$A$2:$B$3, 2, FALSE), 0.15), IF(AD2613&gt;limitePermitido, "ALERTA: EXCESO (" &amp; TEXT(limitePermitido, "0%") &amp; " máx)", "OK"))))</f>
        <v/>
      </c>
      <c r="AP2613" s="79">
        <f>IF(AN2613="","",IF(AE2613=0,"OK",_xlfn.LET(fechaPago, Z2613, fechaFactura, R2613, diasCredito, IF(E2613="Pago inmediato", 0, IFERROR(VALUE(MID(E2613, 1, SEARCH(" ", E2613)-1)),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13" s="79">
        <f>IF(AN2613="","",IF(AND(N2613&gt;0, AG2613&gt;0), IF(Configuración!$K$2="NO", "ALERTA: DESCUENTO DOBLE NO PERMITIDO", "OK"), "OK"))</f>
        <v/>
      </c>
      <c r="AR2613" s="79">
        <f>IF(AN2613="","",IF(OR(AO2613&lt;&gt;"OK", AP2613&lt;&gt;"OK", AQ2613&lt;&gt;"OK"), "⚠️ REVISAR", "OK"))</f>
        <v/>
      </c>
    </row>
    <row r="2614">
      <c r="A2614" s="79">
        <f>IF('Ordenes_Odoo'!A2614="","",'Ordenes_Odoo'!A2614)</f>
        <v/>
      </c>
      <c r="B2614" s="80">
        <f>IF('Ordenes_Odoo'!B2614="","",'Ordenes_Odoo'!B2614)</f>
        <v/>
      </c>
      <c r="C2614" s="79">
        <f>IF('Ordenes_Odoo'!C2614="","",'Ordenes_Odoo'!C2614)</f>
        <v/>
      </c>
      <c r="D2614" s="79">
        <f>IF('Ordenes_Odoo'!D2614="","",'Ordenes_Odoo'!D2614)</f>
        <v/>
      </c>
      <c r="E2614" s="79">
        <f>IF('Ordenes_Odoo'!E2614="","",'Ordenes_Odoo'!E2614)</f>
        <v/>
      </c>
      <c r="F2614" s="79">
        <f>IF('Ordenes_Odoo'!F2614="","",'Ordenes_Odoo'!F2614)</f>
        <v/>
      </c>
      <c r="G2614" s="79">
        <f>IF('Ordenes_Odoo'!G2614="","",'Ordenes_Odoo'!G2614)</f>
        <v/>
      </c>
      <c r="H2614" s="79">
        <f>IF('Ordenes_Odoo'!H2614="","",'Ordenes_Odoo'!H2614)</f>
        <v/>
      </c>
      <c r="I2614" s="79">
        <f>IF('Ordenes_Odoo'!I2614="","",'Ordenes_Odoo'!I2614)</f>
        <v/>
      </c>
      <c r="J2614" s="79">
        <f>IF('Ordenes_Odoo'!J2614="","",'Ordenes_Odoo'!J2614)</f>
        <v/>
      </c>
      <c r="K2614" s="81">
        <f>IF('Ordenes_Odoo'!K2614="","",'Ordenes_Odoo'!K2614)</f>
        <v/>
      </c>
      <c r="L2614" s="81">
        <f>IF('Ordenes_Odoo'!L2614="","",'Ordenes_Odoo'!L2614)</f>
        <v/>
      </c>
      <c r="M2614" s="79">
        <f>IF('Ordenes_Odoo'!M2614="","",'Ordenes_Odoo'!M2614)</f>
        <v/>
      </c>
      <c r="N2614" s="79">
        <f>IF('Ordenes_Odoo'!N2614="","",'Ordenes_Odoo'!N2614)</f>
        <v/>
      </c>
      <c r="O2614" s="81">
        <f>IF('Ordenes_Odoo'!O2614="","",'Ordenes_Odoo'!O2614)</f>
        <v/>
      </c>
      <c r="P2614" s="81">
        <f>IF('Ordenes_Odoo'!P2614="","",'Ordenes_Odoo'!P2614)</f>
        <v/>
      </c>
      <c r="Q2614" s="79">
        <f>IF(A2614="","",IFERROR(INDEX(Facturas_Odoo!$B:$B, MATCH(A2614, Facturas_Odoo!$D:$D, 0)), "Sin Factura"))</f>
        <v/>
      </c>
      <c r="R2614" s="80">
        <f>IF(Q2614="Sin Factura","",IFERROR(INDEX(Facturas_Odoo!$A:$A, MATCH(Q2614, Facturas_Odoo!$B:$B, 0)), ""))</f>
        <v/>
      </c>
      <c r="S2614" s="79">
        <f>IF(Q2614="Sin Factura","",IFERROR(_xlfn.XLOOKUP(1, (Facturas_Odoo!$D:$D=A2614) * (Facturas_Odoo!$K:$K=I2614), Facturas_Odoo!$L:$L, ""), ""))</f>
        <v/>
      </c>
      <c r="T2614" s="81">
        <f>IF(Q2614="Sin Factura",0,IFERROR(_xlfn.XLOOKUP(1, (Facturas_Odoo!$D:$D=A2614) * (Facturas_Odoo!$K:$K=I2614), Facturas_Odoo!$M:$M, 0), 0))</f>
        <v/>
      </c>
      <c r="U2614" s="79">
        <f>IF(Q2614="Sin Factura",0,IFERROR(_xlfn.XLOOKUP(1, (Facturas_Odoo!$D:$D=A2614) * (Facturas_Odoo!$K:$K=I2614), Facturas_Odoo!$N:$N, 0), 0))</f>
        <v/>
      </c>
      <c r="V2614" s="79">
        <f>IF(Q2614="Sin Factura",0,IFERROR(_xlfn.XLOOKUP(1, (Facturas_Odoo!$D:$D=A2614) * (Facturas_Odoo!$K:$K=I2614), Facturas_Odoo!$O:$O, 0), 0))</f>
        <v/>
      </c>
      <c r="W2614" s="81">
        <f>IF(Q2614="Sin Factura",0,IFERROR(_xlfn.XLOOKUP(1, (Facturas_Odoo!$D:$D=A2614) * (Facturas_Odoo!$K:$K=I2614), Facturas_Odoo!$Q:$Q, 0), 0))</f>
        <v/>
      </c>
      <c r="X2614" s="79">
        <f>IF(OR(Q2614="Sin Factura",Q2614=""),"",IFERROR(INDEX(Pagos_Odoo!$B:$B, MATCH(Q2614, Pagos_Odoo!$I:$I, 0)), "Sin Pago"))</f>
        <v/>
      </c>
      <c r="Y2614" s="79">
        <f>IF(X2614="Sin Pago","",IFERROR(INDEX(Pagos_Odoo!$C:$C, MATCH(X2614, Pagos_Odoo!$B:$B, 0)), ""))</f>
        <v/>
      </c>
      <c r="Z2614" s="80">
        <f>IF(X2614="Sin Pago","",IFERROR(INDEX(Pagos_Odoo!$A:$A, MATCH(X2614, Pagos_Odoo!$B:$B, 0)), ""))</f>
        <v/>
      </c>
      <c r="AA2614" s="79">
        <f>IF(X2614="Sin Pago","",IFERROR(INDEX(Pagos_Odoo!$F:$F, MATCH(X2614, Pagos_Odoo!$B:$B, 0)), ""))</f>
        <v/>
      </c>
      <c r="AB2614" s="81">
        <f>IF(X2614="Sin Pago",0,IFERROR(INDEX(Pagos_Odoo!$E:$E, MATCH(X2614, Pagos_Odoo!$B:$B, 0)), 0))</f>
        <v/>
      </c>
      <c r="AC2614" s="79">
        <f>IF(X2614="Sin Pago","",IFERROR(INDEX(Pagos_Odoo!$G:$G, MATCH(X2614, Pagos_Odoo!$B:$B, 0)), ""))</f>
        <v/>
      </c>
      <c r="AD2614" s="82" t="n">
        <v>0</v>
      </c>
      <c r="AE2614" s="82" t="n"/>
      <c r="AF2614" s="82" t="n"/>
      <c r="AG2614" s="82">
        <f>IF(AN2614="","",AD2614+AE2614+AF2614)</f>
        <v/>
      </c>
      <c r="AH2614" s="81">
        <f>IF(AN2614="","",P2614*(1-AG2614))</f>
        <v/>
      </c>
      <c r="AI2614" s="81">
        <f>IF(AN2614="","",IF(Q2614="Sin Factura",0,IFERROR(INDEX(Facturas_Odoo!$H:$H, MATCH(Q2614, Facturas_Odoo!$B:$B, 0)), 0)*(1-AG2614)))</f>
        <v/>
      </c>
      <c r="AJ2614" s="81">
        <f>IF(AN2614="","",_xlfn.LET(idVenta, AN2614&amp;"",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14" s="81">
        <f>IF(AN2614="","",AH2614-AJ2614)</f>
        <v/>
      </c>
      <c r="AL2614" s="81">
        <f>IF(AN2614="","",IF(Q2614="Sin Factura","",AI2614-AJ2614))</f>
        <v/>
      </c>
      <c r="AM2614" s="81">
        <f>IF(AN2614="","",IF(Q2614="Sin Factura",0,P2614-IFERROR(INDEX(Facturas_Odoo!$H:$H, MATCH(Q2614, Facturas_Odoo!$B:$B, 0)), 0)))</f>
        <v/>
      </c>
      <c r="AN2614" s="79">
        <f>IF(AND(A2614="", J2614=""), "", IF(A2614&lt;&gt;"", VALUE(MID(A2614,2,LEN(A2614))), AN2613))</f>
        <v/>
      </c>
      <c r="AO2614" s="79">
        <f>IF(AN2614="","",IF(AD2614=0,"OK",_xlfn.LET(monedaPago, IF(AA2614="","USD",AA2614), limitePermitido, IFERROR(VLOOKUP(monedaPago, Configuración!$A$2:$B$3, 2, FALSE), 0.15), IF(AD2614&gt;limitePermitido, "ALERTA: EXCESO (" &amp; TEXT(limitePermitido, "0%") &amp; " máx)", "OK"))))</f>
        <v/>
      </c>
      <c r="AP2614" s="79">
        <f>IF(AN2614="","",IF(AE2614=0,"OK",_xlfn.LET(fechaPago, Z2614, fechaFactura, R2614, diasCredito, IF(E2614="Pago inmediato", 0, IFERROR(VALUE(MID(E2614, 1, SEARCH(" ", E2614)-1)),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14" s="79">
        <f>IF(AN2614="","",IF(AND(N2614&gt;0, AG2614&gt;0), IF(Configuración!$K$2="NO", "ALERTA: DESCUENTO DOBLE NO PERMITIDO", "OK"), "OK"))</f>
        <v/>
      </c>
      <c r="AR2614" s="79">
        <f>IF(AN2614="","",IF(OR(AO2614&lt;&gt;"OK", AP2614&lt;&gt;"OK", AQ2614&lt;&gt;"OK"), "⚠️ REVISAR", "OK"))</f>
        <v/>
      </c>
    </row>
    <row r="2615">
      <c r="A2615" s="79">
        <f>IF('Ordenes_Odoo'!A2615="","",'Ordenes_Odoo'!A2615)</f>
        <v/>
      </c>
      <c r="B2615" s="80">
        <f>IF('Ordenes_Odoo'!B2615="","",'Ordenes_Odoo'!B2615)</f>
        <v/>
      </c>
      <c r="C2615" s="79">
        <f>IF('Ordenes_Odoo'!C2615="","",'Ordenes_Odoo'!C2615)</f>
        <v/>
      </c>
      <c r="D2615" s="79">
        <f>IF('Ordenes_Odoo'!D2615="","",'Ordenes_Odoo'!D2615)</f>
        <v/>
      </c>
      <c r="E2615" s="79">
        <f>IF('Ordenes_Odoo'!E2615="","",'Ordenes_Odoo'!E2615)</f>
        <v/>
      </c>
      <c r="F2615" s="79">
        <f>IF('Ordenes_Odoo'!F2615="","",'Ordenes_Odoo'!F2615)</f>
        <v/>
      </c>
      <c r="G2615" s="79">
        <f>IF('Ordenes_Odoo'!G2615="","",'Ordenes_Odoo'!G2615)</f>
        <v/>
      </c>
      <c r="H2615" s="79">
        <f>IF('Ordenes_Odoo'!H2615="","",'Ordenes_Odoo'!H2615)</f>
        <v/>
      </c>
      <c r="I2615" s="79">
        <f>IF('Ordenes_Odoo'!I2615="","",'Ordenes_Odoo'!I2615)</f>
        <v/>
      </c>
      <c r="J2615" s="79">
        <f>IF('Ordenes_Odoo'!J2615="","",'Ordenes_Odoo'!J2615)</f>
        <v/>
      </c>
      <c r="K2615" s="81">
        <f>IF('Ordenes_Odoo'!K2615="","",'Ordenes_Odoo'!K2615)</f>
        <v/>
      </c>
      <c r="L2615" s="81">
        <f>IF('Ordenes_Odoo'!L2615="","",'Ordenes_Odoo'!L2615)</f>
        <v/>
      </c>
      <c r="M2615" s="79">
        <f>IF('Ordenes_Odoo'!M2615="","",'Ordenes_Odoo'!M2615)</f>
        <v/>
      </c>
      <c r="N2615" s="79">
        <f>IF('Ordenes_Odoo'!N2615="","",'Ordenes_Odoo'!N2615)</f>
        <v/>
      </c>
      <c r="O2615" s="81">
        <f>IF('Ordenes_Odoo'!O2615="","",'Ordenes_Odoo'!O2615)</f>
        <v/>
      </c>
      <c r="P2615" s="81">
        <f>IF('Ordenes_Odoo'!P2615="","",'Ordenes_Odoo'!P2615)</f>
        <v/>
      </c>
      <c r="Q2615" s="79">
        <f>IF(A2615="","",IFERROR(INDEX(Facturas_Odoo!$B:$B, MATCH(A2615, Facturas_Odoo!$D:$D, 0)), "Sin Factura"))</f>
        <v/>
      </c>
      <c r="R2615" s="80">
        <f>IF(Q2615="Sin Factura","",IFERROR(INDEX(Facturas_Odoo!$A:$A, MATCH(Q2615, Facturas_Odoo!$B:$B, 0)), ""))</f>
        <v/>
      </c>
      <c r="S2615" s="79">
        <f>IF(Q2615="Sin Factura","",IFERROR(_xlfn.XLOOKUP(1, (Facturas_Odoo!$D:$D=A2615) * (Facturas_Odoo!$K:$K=I2615), Facturas_Odoo!$L:$L, ""), ""))</f>
        <v/>
      </c>
      <c r="T2615" s="81">
        <f>IF(Q2615="Sin Factura",0,IFERROR(_xlfn.XLOOKUP(1, (Facturas_Odoo!$D:$D=A2615) * (Facturas_Odoo!$K:$K=I2615), Facturas_Odoo!$M:$M, 0), 0))</f>
        <v/>
      </c>
      <c r="U2615" s="79">
        <f>IF(Q2615="Sin Factura",0,IFERROR(_xlfn.XLOOKUP(1, (Facturas_Odoo!$D:$D=A2615) * (Facturas_Odoo!$K:$K=I2615), Facturas_Odoo!$N:$N, 0), 0))</f>
        <v/>
      </c>
      <c r="V2615" s="79">
        <f>IF(Q2615="Sin Factura",0,IFERROR(_xlfn.XLOOKUP(1, (Facturas_Odoo!$D:$D=A2615) * (Facturas_Odoo!$K:$K=I2615), Facturas_Odoo!$O:$O, 0), 0))</f>
        <v/>
      </c>
      <c r="W2615" s="81">
        <f>IF(Q2615="Sin Factura",0,IFERROR(_xlfn.XLOOKUP(1, (Facturas_Odoo!$D:$D=A2615) * (Facturas_Odoo!$K:$K=I2615), Facturas_Odoo!$Q:$Q, 0), 0))</f>
        <v/>
      </c>
      <c r="X2615" s="79">
        <f>IF(OR(Q2615="Sin Factura",Q2615=""),"",IFERROR(INDEX(Pagos_Odoo!$B:$B, MATCH(Q2615, Pagos_Odoo!$I:$I, 0)), "Sin Pago"))</f>
        <v/>
      </c>
      <c r="Y2615" s="79">
        <f>IF(X2615="Sin Pago","",IFERROR(INDEX(Pagos_Odoo!$C:$C, MATCH(X2615, Pagos_Odoo!$B:$B, 0)), ""))</f>
        <v/>
      </c>
      <c r="Z2615" s="80">
        <f>IF(X2615="Sin Pago","",IFERROR(INDEX(Pagos_Odoo!$A:$A, MATCH(X2615, Pagos_Odoo!$B:$B, 0)), ""))</f>
        <v/>
      </c>
      <c r="AA2615" s="79">
        <f>IF(X2615="Sin Pago","",IFERROR(INDEX(Pagos_Odoo!$F:$F, MATCH(X2615, Pagos_Odoo!$B:$B, 0)), ""))</f>
        <v/>
      </c>
      <c r="AB2615" s="81">
        <f>IF(X2615="Sin Pago",0,IFERROR(INDEX(Pagos_Odoo!$E:$E, MATCH(X2615, Pagos_Odoo!$B:$B, 0)), 0))</f>
        <v/>
      </c>
      <c r="AC2615" s="79">
        <f>IF(X2615="Sin Pago","",IFERROR(INDEX(Pagos_Odoo!$G:$G, MATCH(X2615, Pagos_Odoo!$B:$B, 0)), ""))</f>
        <v/>
      </c>
      <c r="AD2615" s="82" t="n">
        <v>0</v>
      </c>
      <c r="AE2615" s="82" t="n"/>
      <c r="AF2615" s="82" t="n"/>
      <c r="AG2615" s="82">
        <f>IF(AN2615="","",AD2615+AE2615+AF2615)</f>
        <v/>
      </c>
      <c r="AH2615" s="81">
        <f>IF(AN2615="","",P2615*(1-AG2615))</f>
        <v/>
      </c>
      <c r="AI2615" s="81">
        <f>IF(AN2615="","",IF(Q2615="Sin Factura",0,IFERROR(INDEX(Facturas_Odoo!$H:$H, MATCH(Q2615, Facturas_Odoo!$B:$B, 0)), 0)*(1-AG2615)))</f>
        <v/>
      </c>
      <c r="AJ2615" s="81">
        <f>IF(AN2615="","",_xlfn.LET(idVenta, AN2615&amp;"",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15" s="81">
        <f>IF(AN2615="","",AH2615-AJ2615)</f>
        <v/>
      </c>
      <c r="AL2615" s="81">
        <f>IF(AN2615="","",IF(Q2615="Sin Factura","",AI2615-AJ2615))</f>
        <v/>
      </c>
      <c r="AM2615" s="81">
        <f>IF(AN2615="","",IF(Q2615="Sin Factura",0,P2615-IFERROR(INDEX(Facturas_Odoo!$H:$H, MATCH(Q2615, Facturas_Odoo!$B:$B, 0)), 0)))</f>
        <v/>
      </c>
      <c r="AN2615" s="79">
        <f>IF(AND(A2615="", J2615=""), "", IF(A2615&lt;&gt;"", VALUE(MID(A2615,2,LEN(A2615))), AN2614))</f>
        <v/>
      </c>
      <c r="AO2615" s="79">
        <f>IF(AN2615="","",IF(AD2615=0,"OK",_xlfn.LET(monedaPago, IF(AA2615="","USD",AA2615), limitePermitido, IFERROR(VLOOKUP(monedaPago, Configuración!$A$2:$B$3, 2, FALSE), 0.15), IF(AD2615&gt;limitePermitido, "ALERTA: EXCESO (" &amp; TEXT(limitePermitido, "0%") &amp; " máx)", "OK"))))</f>
        <v/>
      </c>
      <c r="AP2615" s="79">
        <f>IF(AN2615="","",IF(AE2615=0,"OK",_xlfn.LET(fechaPago, Z2615, fechaFactura, R2615, diasCredito, IF(E2615="Pago inmediato", 0, IFERROR(VALUE(MID(E2615, 1, SEARCH(" ", E2615)-1)),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15" s="79">
        <f>IF(AN2615="","",IF(AND(N2615&gt;0, AG2615&gt;0), IF(Configuración!$K$2="NO", "ALERTA: DESCUENTO DOBLE NO PERMITIDO", "OK"), "OK"))</f>
        <v/>
      </c>
      <c r="AR2615" s="79">
        <f>IF(AN2615="","",IF(OR(AO2615&lt;&gt;"OK", AP2615&lt;&gt;"OK", AQ2615&lt;&gt;"OK"), "⚠️ REVISAR", "OK"))</f>
        <v/>
      </c>
    </row>
    <row r="2616">
      <c r="A2616" s="79">
        <f>IF('Ordenes_Odoo'!A2616="","",'Ordenes_Odoo'!A2616)</f>
        <v/>
      </c>
      <c r="B2616" s="80">
        <f>IF('Ordenes_Odoo'!B2616="","",'Ordenes_Odoo'!B2616)</f>
        <v/>
      </c>
      <c r="C2616" s="79">
        <f>IF('Ordenes_Odoo'!C2616="","",'Ordenes_Odoo'!C2616)</f>
        <v/>
      </c>
      <c r="D2616" s="79">
        <f>IF('Ordenes_Odoo'!D2616="","",'Ordenes_Odoo'!D2616)</f>
        <v/>
      </c>
      <c r="E2616" s="79">
        <f>IF('Ordenes_Odoo'!E2616="","",'Ordenes_Odoo'!E2616)</f>
        <v/>
      </c>
      <c r="F2616" s="79">
        <f>IF('Ordenes_Odoo'!F2616="","",'Ordenes_Odoo'!F2616)</f>
        <v/>
      </c>
      <c r="G2616" s="79">
        <f>IF('Ordenes_Odoo'!G2616="","",'Ordenes_Odoo'!G2616)</f>
        <v/>
      </c>
      <c r="H2616" s="79">
        <f>IF('Ordenes_Odoo'!H2616="","",'Ordenes_Odoo'!H2616)</f>
        <v/>
      </c>
      <c r="I2616" s="79">
        <f>IF('Ordenes_Odoo'!I2616="","",'Ordenes_Odoo'!I2616)</f>
        <v/>
      </c>
      <c r="J2616" s="79">
        <f>IF('Ordenes_Odoo'!J2616="","",'Ordenes_Odoo'!J2616)</f>
        <v/>
      </c>
      <c r="K2616" s="81">
        <f>IF('Ordenes_Odoo'!K2616="","",'Ordenes_Odoo'!K2616)</f>
        <v/>
      </c>
      <c r="L2616" s="81">
        <f>IF('Ordenes_Odoo'!L2616="","",'Ordenes_Odoo'!L2616)</f>
        <v/>
      </c>
      <c r="M2616" s="79">
        <f>IF('Ordenes_Odoo'!M2616="","",'Ordenes_Odoo'!M2616)</f>
        <v/>
      </c>
      <c r="N2616" s="79">
        <f>IF('Ordenes_Odoo'!N2616="","",'Ordenes_Odoo'!N2616)</f>
        <v/>
      </c>
      <c r="O2616" s="81">
        <f>IF('Ordenes_Odoo'!O2616="","",'Ordenes_Odoo'!O2616)</f>
        <v/>
      </c>
      <c r="P2616" s="81">
        <f>IF('Ordenes_Odoo'!P2616="","",'Ordenes_Odoo'!P2616)</f>
        <v/>
      </c>
      <c r="Q2616" s="79">
        <f>IF(A2616="","",IFERROR(INDEX(Facturas_Odoo!$B:$B, MATCH(A2616, Facturas_Odoo!$D:$D, 0)), "Sin Factura"))</f>
        <v/>
      </c>
      <c r="R2616" s="80">
        <f>IF(Q2616="Sin Factura","",IFERROR(INDEX(Facturas_Odoo!$A:$A, MATCH(Q2616, Facturas_Odoo!$B:$B, 0)), ""))</f>
        <v/>
      </c>
      <c r="S2616" s="79">
        <f>IF(Q2616="Sin Factura","",IFERROR(_xlfn.XLOOKUP(1, (Facturas_Odoo!$D:$D=A2616) * (Facturas_Odoo!$K:$K=I2616), Facturas_Odoo!$L:$L, ""), ""))</f>
        <v/>
      </c>
      <c r="T2616" s="81">
        <f>IF(Q2616="Sin Factura",0,IFERROR(_xlfn.XLOOKUP(1, (Facturas_Odoo!$D:$D=A2616) * (Facturas_Odoo!$K:$K=I2616), Facturas_Odoo!$M:$M, 0), 0))</f>
        <v/>
      </c>
      <c r="U2616" s="79">
        <f>IF(Q2616="Sin Factura",0,IFERROR(_xlfn.XLOOKUP(1, (Facturas_Odoo!$D:$D=A2616) * (Facturas_Odoo!$K:$K=I2616), Facturas_Odoo!$N:$N, 0), 0))</f>
        <v/>
      </c>
      <c r="V2616" s="79">
        <f>IF(Q2616="Sin Factura",0,IFERROR(_xlfn.XLOOKUP(1, (Facturas_Odoo!$D:$D=A2616) * (Facturas_Odoo!$K:$K=I2616), Facturas_Odoo!$O:$O, 0), 0))</f>
        <v/>
      </c>
      <c r="W2616" s="81">
        <f>IF(Q2616="Sin Factura",0,IFERROR(_xlfn.XLOOKUP(1, (Facturas_Odoo!$D:$D=A2616) * (Facturas_Odoo!$K:$K=I2616), Facturas_Odoo!$Q:$Q, 0), 0))</f>
        <v/>
      </c>
      <c r="X2616" s="79">
        <f>IF(OR(Q2616="Sin Factura",Q2616=""),"",IFERROR(INDEX(Pagos_Odoo!$B:$B, MATCH(Q2616, Pagos_Odoo!$I:$I, 0)), "Sin Pago"))</f>
        <v/>
      </c>
      <c r="Y2616" s="79">
        <f>IF(X2616="Sin Pago","",IFERROR(INDEX(Pagos_Odoo!$C:$C, MATCH(X2616, Pagos_Odoo!$B:$B, 0)), ""))</f>
        <v/>
      </c>
      <c r="Z2616" s="80">
        <f>IF(X2616="Sin Pago","",IFERROR(INDEX(Pagos_Odoo!$A:$A, MATCH(X2616, Pagos_Odoo!$B:$B, 0)), ""))</f>
        <v/>
      </c>
      <c r="AA2616" s="79">
        <f>IF(X2616="Sin Pago","",IFERROR(INDEX(Pagos_Odoo!$F:$F, MATCH(X2616, Pagos_Odoo!$B:$B, 0)), ""))</f>
        <v/>
      </c>
      <c r="AB2616" s="81">
        <f>IF(X2616="Sin Pago",0,IFERROR(INDEX(Pagos_Odoo!$E:$E, MATCH(X2616, Pagos_Odoo!$B:$B, 0)), 0))</f>
        <v/>
      </c>
      <c r="AC2616" s="79">
        <f>IF(X2616="Sin Pago","",IFERROR(INDEX(Pagos_Odoo!$G:$G, MATCH(X2616, Pagos_Odoo!$B:$B, 0)), ""))</f>
        <v/>
      </c>
      <c r="AD2616" s="82" t="n">
        <v>0</v>
      </c>
      <c r="AE2616" s="82" t="n"/>
      <c r="AF2616" s="82" t="n"/>
      <c r="AG2616" s="82">
        <f>IF(AN2616="","",AD2616+AE2616+AF2616)</f>
        <v/>
      </c>
      <c r="AH2616" s="81">
        <f>IF(AN2616="","",P2616*(1-AG2616))</f>
        <v/>
      </c>
      <c r="AI2616" s="81">
        <f>IF(AN2616="","",IF(Q2616="Sin Factura",0,IFERROR(INDEX(Facturas_Odoo!$H:$H, MATCH(Q2616, Facturas_Odoo!$B:$B, 0)), 0)*(1-AG2616)))</f>
        <v/>
      </c>
      <c r="AJ2616" s="81">
        <f>IF(AN2616="","",_xlfn.LET(idVenta, AN2616&amp;"",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16" s="81">
        <f>IF(AN2616="","",AH2616-AJ2616)</f>
        <v/>
      </c>
      <c r="AL2616" s="81">
        <f>IF(AN2616="","",IF(Q2616="Sin Factura","",AI2616-AJ2616))</f>
        <v/>
      </c>
      <c r="AM2616" s="81">
        <f>IF(AN2616="","",IF(Q2616="Sin Factura",0,P2616-IFERROR(INDEX(Facturas_Odoo!$H:$H, MATCH(Q2616, Facturas_Odoo!$B:$B, 0)), 0)))</f>
        <v/>
      </c>
      <c r="AN2616" s="79">
        <f>IF(AND(A2616="", J2616=""), "", IF(A2616&lt;&gt;"", VALUE(MID(A2616,2,LEN(A2616))), AN2615))</f>
        <v/>
      </c>
      <c r="AO2616" s="79">
        <f>IF(AN2616="","",IF(AD2616=0,"OK",_xlfn.LET(monedaPago, IF(AA2616="","USD",AA2616), limitePermitido, IFERROR(VLOOKUP(monedaPago, Configuración!$A$2:$B$3, 2, FALSE), 0.15), IF(AD2616&gt;limitePermitido, "ALERTA: EXCESO (" &amp; TEXT(limitePermitido, "0%") &amp; " máx)", "OK"))))</f>
        <v/>
      </c>
      <c r="AP2616" s="79">
        <f>IF(AN2616="","",IF(AE2616=0,"OK",_xlfn.LET(fechaPago, Z2616, fechaFactura, R2616, diasCredito, IF(E2616="Pago inmediato", 0, IFERROR(VALUE(MID(E2616, 1, SEARCH(" ", E2616)-1)),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16" s="79">
        <f>IF(AN2616="","",IF(AND(N2616&gt;0, AG2616&gt;0), IF(Configuración!$K$2="NO", "ALERTA: DESCUENTO DOBLE NO PERMITIDO", "OK"), "OK"))</f>
        <v/>
      </c>
      <c r="AR2616" s="79">
        <f>IF(AN2616="","",IF(OR(AO2616&lt;&gt;"OK", AP2616&lt;&gt;"OK", AQ2616&lt;&gt;"OK"), "⚠️ REVISAR", "OK"))</f>
        <v/>
      </c>
    </row>
    <row r="2617">
      <c r="A2617" s="79">
        <f>IF('Ordenes_Odoo'!A2617="","",'Ordenes_Odoo'!A2617)</f>
        <v/>
      </c>
      <c r="B2617" s="80">
        <f>IF('Ordenes_Odoo'!B2617="","",'Ordenes_Odoo'!B2617)</f>
        <v/>
      </c>
      <c r="C2617" s="79">
        <f>IF('Ordenes_Odoo'!C2617="","",'Ordenes_Odoo'!C2617)</f>
        <v/>
      </c>
      <c r="D2617" s="79">
        <f>IF('Ordenes_Odoo'!D2617="","",'Ordenes_Odoo'!D2617)</f>
        <v/>
      </c>
      <c r="E2617" s="79">
        <f>IF('Ordenes_Odoo'!E2617="","",'Ordenes_Odoo'!E2617)</f>
        <v/>
      </c>
      <c r="F2617" s="79">
        <f>IF('Ordenes_Odoo'!F2617="","",'Ordenes_Odoo'!F2617)</f>
        <v/>
      </c>
      <c r="G2617" s="79">
        <f>IF('Ordenes_Odoo'!G2617="","",'Ordenes_Odoo'!G2617)</f>
        <v/>
      </c>
      <c r="H2617" s="79">
        <f>IF('Ordenes_Odoo'!H2617="","",'Ordenes_Odoo'!H2617)</f>
        <v/>
      </c>
      <c r="I2617" s="79">
        <f>IF('Ordenes_Odoo'!I2617="","",'Ordenes_Odoo'!I2617)</f>
        <v/>
      </c>
      <c r="J2617" s="79">
        <f>IF('Ordenes_Odoo'!J2617="","",'Ordenes_Odoo'!J2617)</f>
        <v/>
      </c>
      <c r="K2617" s="81">
        <f>IF('Ordenes_Odoo'!K2617="","",'Ordenes_Odoo'!K2617)</f>
        <v/>
      </c>
      <c r="L2617" s="81">
        <f>IF('Ordenes_Odoo'!L2617="","",'Ordenes_Odoo'!L2617)</f>
        <v/>
      </c>
      <c r="M2617" s="79">
        <f>IF('Ordenes_Odoo'!M2617="","",'Ordenes_Odoo'!M2617)</f>
        <v/>
      </c>
      <c r="N2617" s="79">
        <f>IF('Ordenes_Odoo'!N2617="","",'Ordenes_Odoo'!N2617)</f>
        <v/>
      </c>
      <c r="O2617" s="81">
        <f>IF('Ordenes_Odoo'!O2617="","",'Ordenes_Odoo'!O2617)</f>
        <v/>
      </c>
      <c r="P2617" s="81">
        <f>IF('Ordenes_Odoo'!P2617="","",'Ordenes_Odoo'!P2617)</f>
        <v/>
      </c>
      <c r="Q2617" s="79">
        <f>IF(A2617="","",IFERROR(INDEX(Facturas_Odoo!$B:$B, MATCH(A2617, Facturas_Odoo!$D:$D, 0)), "Sin Factura"))</f>
        <v/>
      </c>
      <c r="R2617" s="80">
        <f>IF(Q2617="Sin Factura","",IFERROR(INDEX(Facturas_Odoo!$A:$A, MATCH(Q2617, Facturas_Odoo!$B:$B, 0)), ""))</f>
        <v/>
      </c>
      <c r="S2617" s="79">
        <f>IF(Q2617="Sin Factura","",IFERROR(_xlfn.XLOOKUP(1, (Facturas_Odoo!$D:$D=A2617) * (Facturas_Odoo!$K:$K=I2617), Facturas_Odoo!$L:$L, ""), ""))</f>
        <v/>
      </c>
      <c r="T2617" s="81">
        <f>IF(Q2617="Sin Factura",0,IFERROR(_xlfn.XLOOKUP(1, (Facturas_Odoo!$D:$D=A2617) * (Facturas_Odoo!$K:$K=I2617), Facturas_Odoo!$M:$M, 0), 0))</f>
        <v/>
      </c>
      <c r="U2617" s="79">
        <f>IF(Q2617="Sin Factura",0,IFERROR(_xlfn.XLOOKUP(1, (Facturas_Odoo!$D:$D=A2617) * (Facturas_Odoo!$K:$K=I2617), Facturas_Odoo!$N:$N, 0), 0))</f>
        <v/>
      </c>
      <c r="V2617" s="79">
        <f>IF(Q2617="Sin Factura",0,IFERROR(_xlfn.XLOOKUP(1, (Facturas_Odoo!$D:$D=A2617) * (Facturas_Odoo!$K:$K=I2617), Facturas_Odoo!$O:$O, 0), 0))</f>
        <v/>
      </c>
      <c r="W2617" s="81">
        <f>IF(Q2617="Sin Factura",0,IFERROR(_xlfn.XLOOKUP(1, (Facturas_Odoo!$D:$D=A2617) * (Facturas_Odoo!$K:$K=I2617), Facturas_Odoo!$Q:$Q, 0), 0))</f>
        <v/>
      </c>
      <c r="X2617" s="79">
        <f>IF(OR(Q2617="Sin Factura",Q2617=""),"",IFERROR(INDEX(Pagos_Odoo!$B:$B, MATCH(Q2617, Pagos_Odoo!$I:$I, 0)), "Sin Pago"))</f>
        <v/>
      </c>
      <c r="Y2617" s="79">
        <f>IF(X2617="Sin Pago","",IFERROR(INDEX(Pagos_Odoo!$C:$C, MATCH(X2617, Pagos_Odoo!$B:$B, 0)), ""))</f>
        <v/>
      </c>
      <c r="Z2617" s="80">
        <f>IF(X2617="Sin Pago","",IFERROR(INDEX(Pagos_Odoo!$A:$A, MATCH(X2617, Pagos_Odoo!$B:$B, 0)), ""))</f>
        <v/>
      </c>
      <c r="AA2617" s="79">
        <f>IF(X2617="Sin Pago","",IFERROR(INDEX(Pagos_Odoo!$F:$F, MATCH(X2617, Pagos_Odoo!$B:$B, 0)), ""))</f>
        <v/>
      </c>
      <c r="AB2617" s="81">
        <f>IF(X2617="Sin Pago",0,IFERROR(INDEX(Pagos_Odoo!$E:$E, MATCH(X2617, Pagos_Odoo!$B:$B, 0)), 0))</f>
        <v/>
      </c>
      <c r="AC2617" s="79">
        <f>IF(X2617="Sin Pago","",IFERROR(INDEX(Pagos_Odoo!$G:$G, MATCH(X2617, Pagos_Odoo!$B:$B, 0)), ""))</f>
        <v/>
      </c>
      <c r="AD2617" s="82" t="n">
        <v>0</v>
      </c>
      <c r="AE2617" s="82" t="n"/>
      <c r="AF2617" s="82" t="n"/>
      <c r="AG2617" s="82">
        <f>IF(AN2617="","",AD2617+AE2617+AF2617)</f>
        <v/>
      </c>
      <c r="AH2617" s="81">
        <f>IF(AN2617="","",P2617*(1-AG2617))</f>
        <v/>
      </c>
      <c r="AI2617" s="81">
        <f>IF(AN2617="","",IF(Q2617="Sin Factura",0,IFERROR(INDEX(Facturas_Odoo!$H:$H, MATCH(Q2617, Facturas_Odoo!$B:$B, 0)), 0)*(1-AG2617)))</f>
        <v/>
      </c>
      <c r="AJ2617" s="81">
        <f>IF(AN2617="","",_xlfn.LET(idVenta, AN2617&amp;"",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17" s="81">
        <f>IF(AN2617="","",AH2617-AJ2617)</f>
        <v/>
      </c>
      <c r="AL2617" s="81">
        <f>IF(AN2617="","",IF(Q2617="Sin Factura","",AI2617-AJ2617))</f>
        <v/>
      </c>
      <c r="AM2617" s="81">
        <f>IF(AN2617="","",IF(Q2617="Sin Factura",0,P2617-IFERROR(INDEX(Facturas_Odoo!$H:$H, MATCH(Q2617, Facturas_Odoo!$B:$B, 0)), 0)))</f>
        <v/>
      </c>
      <c r="AN2617" s="79">
        <f>IF(AND(A2617="", J2617=""), "", IF(A2617&lt;&gt;"", VALUE(MID(A2617,2,LEN(A2617))), AN2616))</f>
        <v/>
      </c>
      <c r="AO2617" s="79">
        <f>IF(AN2617="","",IF(AD2617=0,"OK",_xlfn.LET(monedaPago, IF(AA2617="","USD",AA2617), limitePermitido, IFERROR(VLOOKUP(monedaPago, Configuración!$A$2:$B$3, 2, FALSE), 0.15), IF(AD2617&gt;limitePermitido, "ALERTA: EXCESO (" &amp; TEXT(limitePermitido, "0%") &amp; " máx)", "OK"))))</f>
        <v/>
      </c>
      <c r="AP2617" s="79">
        <f>IF(AN2617="","",IF(AE2617=0,"OK",_xlfn.LET(fechaPago, Z2617, fechaFactura, R2617, diasCredito, IF(E2617="Pago inmediato", 0, IFERROR(VALUE(MID(E2617, 1, SEARCH(" ", E2617)-1)),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17" s="79">
        <f>IF(AN2617="","",IF(AND(N2617&gt;0, AG2617&gt;0), IF(Configuración!$K$2="NO", "ALERTA: DESCUENTO DOBLE NO PERMITIDO", "OK"), "OK"))</f>
        <v/>
      </c>
      <c r="AR2617" s="79">
        <f>IF(AN2617="","",IF(OR(AO2617&lt;&gt;"OK", AP2617&lt;&gt;"OK", AQ2617&lt;&gt;"OK"), "⚠️ REVISAR", "OK"))</f>
        <v/>
      </c>
    </row>
    <row r="2618">
      <c r="A2618" s="79">
        <f>IF('Ordenes_Odoo'!A2618="","",'Ordenes_Odoo'!A2618)</f>
        <v/>
      </c>
      <c r="B2618" s="80">
        <f>IF('Ordenes_Odoo'!B2618="","",'Ordenes_Odoo'!B2618)</f>
        <v/>
      </c>
      <c r="C2618" s="79">
        <f>IF('Ordenes_Odoo'!C2618="","",'Ordenes_Odoo'!C2618)</f>
        <v/>
      </c>
      <c r="D2618" s="79">
        <f>IF('Ordenes_Odoo'!D2618="","",'Ordenes_Odoo'!D2618)</f>
        <v/>
      </c>
      <c r="E2618" s="79">
        <f>IF('Ordenes_Odoo'!E2618="","",'Ordenes_Odoo'!E2618)</f>
        <v/>
      </c>
      <c r="F2618" s="79">
        <f>IF('Ordenes_Odoo'!F2618="","",'Ordenes_Odoo'!F2618)</f>
        <v/>
      </c>
      <c r="G2618" s="79">
        <f>IF('Ordenes_Odoo'!G2618="","",'Ordenes_Odoo'!G2618)</f>
        <v/>
      </c>
      <c r="H2618" s="79">
        <f>IF('Ordenes_Odoo'!H2618="","",'Ordenes_Odoo'!H2618)</f>
        <v/>
      </c>
      <c r="I2618" s="79">
        <f>IF('Ordenes_Odoo'!I2618="","",'Ordenes_Odoo'!I2618)</f>
        <v/>
      </c>
      <c r="J2618" s="79">
        <f>IF('Ordenes_Odoo'!J2618="","",'Ordenes_Odoo'!J2618)</f>
        <v/>
      </c>
      <c r="K2618" s="81">
        <f>IF('Ordenes_Odoo'!K2618="","",'Ordenes_Odoo'!K2618)</f>
        <v/>
      </c>
      <c r="L2618" s="81">
        <f>IF('Ordenes_Odoo'!L2618="","",'Ordenes_Odoo'!L2618)</f>
        <v/>
      </c>
      <c r="M2618" s="79">
        <f>IF('Ordenes_Odoo'!M2618="","",'Ordenes_Odoo'!M2618)</f>
        <v/>
      </c>
      <c r="N2618" s="79">
        <f>IF('Ordenes_Odoo'!N2618="","",'Ordenes_Odoo'!N2618)</f>
        <v/>
      </c>
      <c r="O2618" s="81">
        <f>IF('Ordenes_Odoo'!O2618="","",'Ordenes_Odoo'!O2618)</f>
        <v/>
      </c>
      <c r="P2618" s="81">
        <f>IF('Ordenes_Odoo'!P2618="","",'Ordenes_Odoo'!P2618)</f>
        <v/>
      </c>
      <c r="Q2618" s="79">
        <f>IF(A2618="","",IFERROR(INDEX(Facturas_Odoo!$B:$B, MATCH(A2618, Facturas_Odoo!$D:$D, 0)), "Sin Factura"))</f>
        <v/>
      </c>
      <c r="R2618" s="80">
        <f>IF(Q2618="Sin Factura","",IFERROR(INDEX(Facturas_Odoo!$A:$A, MATCH(Q2618, Facturas_Odoo!$B:$B, 0)), ""))</f>
        <v/>
      </c>
      <c r="S2618" s="79">
        <f>IF(Q2618="Sin Factura","",IFERROR(_xlfn.XLOOKUP(1, (Facturas_Odoo!$D:$D=A2618) * (Facturas_Odoo!$K:$K=I2618), Facturas_Odoo!$L:$L, ""), ""))</f>
        <v/>
      </c>
      <c r="T2618" s="81">
        <f>IF(Q2618="Sin Factura",0,IFERROR(_xlfn.XLOOKUP(1, (Facturas_Odoo!$D:$D=A2618) * (Facturas_Odoo!$K:$K=I2618), Facturas_Odoo!$M:$M, 0), 0))</f>
        <v/>
      </c>
      <c r="U2618" s="79">
        <f>IF(Q2618="Sin Factura",0,IFERROR(_xlfn.XLOOKUP(1, (Facturas_Odoo!$D:$D=A2618) * (Facturas_Odoo!$K:$K=I2618), Facturas_Odoo!$N:$N, 0), 0))</f>
        <v/>
      </c>
      <c r="V2618" s="79">
        <f>IF(Q2618="Sin Factura",0,IFERROR(_xlfn.XLOOKUP(1, (Facturas_Odoo!$D:$D=A2618) * (Facturas_Odoo!$K:$K=I2618), Facturas_Odoo!$O:$O, 0), 0))</f>
        <v/>
      </c>
      <c r="W2618" s="81">
        <f>IF(Q2618="Sin Factura",0,IFERROR(_xlfn.XLOOKUP(1, (Facturas_Odoo!$D:$D=A2618) * (Facturas_Odoo!$K:$K=I2618), Facturas_Odoo!$Q:$Q, 0), 0))</f>
        <v/>
      </c>
      <c r="X2618" s="79">
        <f>IF(OR(Q2618="Sin Factura",Q2618=""),"",IFERROR(INDEX(Pagos_Odoo!$B:$B, MATCH(Q2618, Pagos_Odoo!$I:$I, 0)), "Sin Pago"))</f>
        <v/>
      </c>
      <c r="Y2618" s="79">
        <f>IF(X2618="Sin Pago","",IFERROR(INDEX(Pagos_Odoo!$C:$C, MATCH(X2618, Pagos_Odoo!$B:$B, 0)), ""))</f>
        <v/>
      </c>
      <c r="Z2618" s="80">
        <f>IF(X2618="Sin Pago","",IFERROR(INDEX(Pagos_Odoo!$A:$A, MATCH(X2618, Pagos_Odoo!$B:$B, 0)), ""))</f>
        <v/>
      </c>
      <c r="AA2618" s="79">
        <f>IF(X2618="Sin Pago","",IFERROR(INDEX(Pagos_Odoo!$F:$F, MATCH(X2618, Pagos_Odoo!$B:$B, 0)), ""))</f>
        <v/>
      </c>
      <c r="AB2618" s="81">
        <f>IF(X2618="Sin Pago",0,IFERROR(INDEX(Pagos_Odoo!$E:$E, MATCH(X2618, Pagos_Odoo!$B:$B, 0)), 0))</f>
        <v/>
      </c>
      <c r="AC2618" s="79">
        <f>IF(X2618="Sin Pago","",IFERROR(INDEX(Pagos_Odoo!$G:$G, MATCH(X2618, Pagos_Odoo!$B:$B, 0)), ""))</f>
        <v/>
      </c>
      <c r="AD2618" s="82" t="n">
        <v>0</v>
      </c>
      <c r="AE2618" s="82" t="n"/>
      <c r="AF2618" s="82" t="n"/>
      <c r="AG2618" s="82">
        <f>IF(AN2618="","",AD2618+AE2618+AF2618)</f>
        <v/>
      </c>
      <c r="AH2618" s="81">
        <f>IF(AN2618="","",P2618*(1-AG2618))</f>
        <v/>
      </c>
      <c r="AI2618" s="81">
        <f>IF(AN2618="","",IF(Q2618="Sin Factura",0,IFERROR(INDEX(Facturas_Odoo!$H:$H, MATCH(Q2618, Facturas_Odoo!$B:$B, 0)), 0)*(1-AG2618)))</f>
        <v/>
      </c>
      <c r="AJ2618" s="81">
        <f>IF(AN2618="","",_xlfn.LET(idVenta, AN2618&amp;"",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18" s="81">
        <f>IF(AN2618="","",AH2618-AJ2618)</f>
        <v/>
      </c>
      <c r="AL2618" s="81">
        <f>IF(AN2618="","",IF(Q2618="Sin Factura","",AI2618-AJ2618))</f>
        <v/>
      </c>
      <c r="AM2618" s="81">
        <f>IF(AN2618="","",IF(Q2618="Sin Factura",0,P2618-IFERROR(INDEX(Facturas_Odoo!$H:$H, MATCH(Q2618, Facturas_Odoo!$B:$B, 0)), 0)))</f>
        <v/>
      </c>
      <c r="AN2618" s="79">
        <f>IF(AND(A2618="", J2618=""), "", IF(A2618&lt;&gt;"", VALUE(MID(A2618,2,LEN(A2618))), AN2617))</f>
        <v/>
      </c>
      <c r="AO2618" s="79">
        <f>IF(AN2618="","",IF(AD2618=0,"OK",_xlfn.LET(monedaPago, IF(AA2618="","USD",AA2618), limitePermitido, IFERROR(VLOOKUP(monedaPago, Configuración!$A$2:$B$3, 2, FALSE), 0.15), IF(AD2618&gt;limitePermitido, "ALERTA: EXCESO (" &amp; TEXT(limitePermitido, "0%") &amp; " máx)", "OK"))))</f>
        <v/>
      </c>
      <c r="AP2618" s="79">
        <f>IF(AN2618="","",IF(AE2618=0,"OK",_xlfn.LET(fechaPago, Z2618, fechaFactura, R2618, diasCredito, IF(E2618="Pago inmediato", 0, IFERROR(VALUE(MID(E2618, 1, SEARCH(" ", E2618)-1)),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18" s="79">
        <f>IF(AN2618="","",IF(AND(N2618&gt;0, AG2618&gt;0), IF(Configuración!$K$2="NO", "ALERTA: DESCUENTO DOBLE NO PERMITIDO", "OK"), "OK"))</f>
        <v/>
      </c>
      <c r="AR2618" s="79">
        <f>IF(AN2618="","",IF(OR(AO2618&lt;&gt;"OK", AP2618&lt;&gt;"OK", AQ2618&lt;&gt;"OK"), "⚠️ REVISAR", "OK"))</f>
        <v/>
      </c>
    </row>
    <row r="2619">
      <c r="A2619" s="79">
        <f>IF('Ordenes_Odoo'!A2619="","",'Ordenes_Odoo'!A2619)</f>
        <v/>
      </c>
      <c r="B2619" s="80">
        <f>IF('Ordenes_Odoo'!B2619="","",'Ordenes_Odoo'!B2619)</f>
        <v/>
      </c>
      <c r="C2619" s="79">
        <f>IF('Ordenes_Odoo'!C2619="","",'Ordenes_Odoo'!C2619)</f>
        <v/>
      </c>
      <c r="D2619" s="79">
        <f>IF('Ordenes_Odoo'!D2619="","",'Ordenes_Odoo'!D2619)</f>
        <v/>
      </c>
      <c r="E2619" s="79">
        <f>IF('Ordenes_Odoo'!E2619="","",'Ordenes_Odoo'!E2619)</f>
        <v/>
      </c>
      <c r="F2619" s="79">
        <f>IF('Ordenes_Odoo'!F2619="","",'Ordenes_Odoo'!F2619)</f>
        <v/>
      </c>
      <c r="G2619" s="79">
        <f>IF('Ordenes_Odoo'!G2619="","",'Ordenes_Odoo'!G2619)</f>
        <v/>
      </c>
      <c r="H2619" s="79">
        <f>IF('Ordenes_Odoo'!H2619="","",'Ordenes_Odoo'!H2619)</f>
        <v/>
      </c>
      <c r="I2619" s="79">
        <f>IF('Ordenes_Odoo'!I2619="","",'Ordenes_Odoo'!I2619)</f>
        <v/>
      </c>
      <c r="J2619" s="79">
        <f>IF('Ordenes_Odoo'!J2619="","",'Ordenes_Odoo'!J2619)</f>
        <v/>
      </c>
      <c r="K2619" s="81">
        <f>IF('Ordenes_Odoo'!K2619="","",'Ordenes_Odoo'!K2619)</f>
        <v/>
      </c>
      <c r="L2619" s="81">
        <f>IF('Ordenes_Odoo'!L2619="","",'Ordenes_Odoo'!L2619)</f>
        <v/>
      </c>
      <c r="M2619" s="79">
        <f>IF('Ordenes_Odoo'!M2619="","",'Ordenes_Odoo'!M2619)</f>
        <v/>
      </c>
      <c r="N2619" s="79">
        <f>IF('Ordenes_Odoo'!N2619="","",'Ordenes_Odoo'!N2619)</f>
        <v/>
      </c>
      <c r="O2619" s="81">
        <f>IF('Ordenes_Odoo'!O2619="","",'Ordenes_Odoo'!O2619)</f>
        <v/>
      </c>
      <c r="P2619" s="81">
        <f>IF('Ordenes_Odoo'!P2619="","",'Ordenes_Odoo'!P2619)</f>
        <v/>
      </c>
      <c r="Q2619" s="79">
        <f>IF(A2619="","",IFERROR(INDEX(Facturas_Odoo!$B:$B, MATCH(A2619, Facturas_Odoo!$D:$D, 0)), "Sin Factura"))</f>
        <v/>
      </c>
      <c r="R2619" s="80">
        <f>IF(Q2619="Sin Factura","",IFERROR(INDEX(Facturas_Odoo!$A:$A, MATCH(Q2619, Facturas_Odoo!$B:$B, 0)), ""))</f>
        <v/>
      </c>
      <c r="S2619" s="79">
        <f>IF(Q2619="Sin Factura","",IFERROR(_xlfn.XLOOKUP(1, (Facturas_Odoo!$D:$D=A2619) * (Facturas_Odoo!$K:$K=I2619), Facturas_Odoo!$L:$L, ""), ""))</f>
        <v/>
      </c>
      <c r="T2619" s="81">
        <f>IF(Q2619="Sin Factura",0,IFERROR(_xlfn.XLOOKUP(1, (Facturas_Odoo!$D:$D=A2619) * (Facturas_Odoo!$K:$K=I2619), Facturas_Odoo!$M:$M, 0), 0))</f>
        <v/>
      </c>
      <c r="U2619" s="79">
        <f>IF(Q2619="Sin Factura",0,IFERROR(_xlfn.XLOOKUP(1, (Facturas_Odoo!$D:$D=A2619) * (Facturas_Odoo!$K:$K=I2619), Facturas_Odoo!$N:$N, 0), 0))</f>
        <v/>
      </c>
      <c r="V2619" s="79">
        <f>IF(Q2619="Sin Factura",0,IFERROR(_xlfn.XLOOKUP(1, (Facturas_Odoo!$D:$D=A2619) * (Facturas_Odoo!$K:$K=I2619), Facturas_Odoo!$O:$O, 0), 0))</f>
        <v/>
      </c>
      <c r="W2619" s="81">
        <f>IF(Q2619="Sin Factura",0,IFERROR(_xlfn.XLOOKUP(1, (Facturas_Odoo!$D:$D=A2619) * (Facturas_Odoo!$K:$K=I2619), Facturas_Odoo!$Q:$Q, 0), 0))</f>
        <v/>
      </c>
      <c r="X2619" s="79">
        <f>IF(OR(Q2619="Sin Factura",Q2619=""),"",IFERROR(INDEX(Pagos_Odoo!$B:$B, MATCH(Q2619, Pagos_Odoo!$I:$I, 0)), "Sin Pago"))</f>
        <v/>
      </c>
      <c r="Y2619" s="79">
        <f>IF(X2619="Sin Pago","",IFERROR(INDEX(Pagos_Odoo!$C:$C, MATCH(X2619, Pagos_Odoo!$B:$B, 0)), ""))</f>
        <v/>
      </c>
      <c r="Z2619" s="80">
        <f>IF(X2619="Sin Pago","",IFERROR(INDEX(Pagos_Odoo!$A:$A, MATCH(X2619, Pagos_Odoo!$B:$B, 0)), ""))</f>
        <v/>
      </c>
      <c r="AA2619" s="79">
        <f>IF(X2619="Sin Pago","",IFERROR(INDEX(Pagos_Odoo!$F:$F, MATCH(X2619, Pagos_Odoo!$B:$B, 0)), ""))</f>
        <v/>
      </c>
      <c r="AB2619" s="81">
        <f>IF(X2619="Sin Pago",0,IFERROR(INDEX(Pagos_Odoo!$E:$E, MATCH(X2619, Pagos_Odoo!$B:$B, 0)), 0))</f>
        <v/>
      </c>
      <c r="AC2619" s="79">
        <f>IF(X2619="Sin Pago","",IFERROR(INDEX(Pagos_Odoo!$G:$G, MATCH(X2619, Pagos_Odoo!$B:$B, 0)), ""))</f>
        <v/>
      </c>
      <c r="AD2619" s="82" t="n">
        <v>0</v>
      </c>
      <c r="AE2619" s="82" t="n"/>
      <c r="AF2619" s="82" t="n"/>
      <c r="AG2619" s="82">
        <f>IF(AN2619="","",AD2619+AE2619+AF2619)</f>
        <v/>
      </c>
      <c r="AH2619" s="81">
        <f>IF(AN2619="","",P2619*(1-AG2619))</f>
        <v/>
      </c>
      <c r="AI2619" s="81">
        <f>IF(AN2619="","",IF(Q2619="Sin Factura",0,IFERROR(INDEX(Facturas_Odoo!$H:$H, MATCH(Q2619, Facturas_Odoo!$B:$B, 0)), 0)*(1-AG2619)))</f>
        <v/>
      </c>
      <c r="AJ2619" s="81">
        <f>IF(AN2619="","",_xlfn.LET(idVenta, AN2619&amp;"",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19" s="81">
        <f>IF(AN2619="","",AH2619-AJ2619)</f>
        <v/>
      </c>
      <c r="AL2619" s="81">
        <f>IF(AN2619="","",IF(Q2619="Sin Factura","",AI2619-AJ2619))</f>
        <v/>
      </c>
      <c r="AM2619" s="81">
        <f>IF(AN2619="","",IF(Q2619="Sin Factura",0,P2619-IFERROR(INDEX(Facturas_Odoo!$H:$H, MATCH(Q2619, Facturas_Odoo!$B:$B, 0)), 0)))</f>
        <v/>
      </c>
      <c r="AN2619" s="79">
        <f>IF(AND(A2619="", J2619=""), "", IF(A2619&lt;&gt;"", VALUE(MID(A2619,2,LEN(A2619))), AN2618))</f>
        <v/>
      </c>
      <c r="AO2619" s="79">
        <f>IF(AN2619="","",IF(AD2619=0,"OK",_xlfn.LET(monedaPago, IF(AA2619="","USD",AA2619), limitePermitido, IFERROR(VLOOKUP(monedaPago, Configuración!$A$2:$B$3, 2, FALSE), 0.15), IF(AD2619&gt;limitePermitido, "ALERTA: EXCESO (" &amp; TEXT(limitePermitido, "0%") &amp; " máx)", "OK"))))</f>
        <v/>
      </c>
      <c r="AP2619" s="79">
        <f>IF(AN2619="","",IF(AE2619=0,"OK",_xlfn.LET(fechaPago, Z2619, fechaFactura, R2619, diasCredito, IF(E2619="Pago inmediato", 0, IFERROR(VALUE(MID(E2619, 1, SEARCH(" ", E2619)-1)),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19" s="79">
        <f>IF(AN2619="","",IF(AND(N2619&gt;0, AG2619&gt;0), IF(Configuración!$K$2="NO", "ALERTA: DESCUENTO DOBLE NO PERMITIDO", "OK"), "OK"))</f>
        <v/>
      </c>
      <c r="AR2619" s="79">
        <f>IF(AN2619="","",IF(OR(AO2619&lt;&gt;"OK", AP2619&lt;&gt;"OK", AQ2619&lt;&gt;"OK"), "⚠️ REVISAR", "OK"))</f>
        <v/>
      </c>
    </row>
    <row r="2620">
      <c r="A2620" s="79">
        <f>IF('Ordenes_Odoo'!A2620="","",'Ordenes_Odoo'!A2620)</f>
        <v/>
      </c>
      <c r="B2620" s="80">
        <f>IF('Ordenes_Odoo'!B2620="","",'Ordenes_Odoo'!B2620)</f>
        <v/>
      </c>
      <c r="C2620" s="79">
        <f>IF('Ordenes_Odoo'!C2620="","",'Ordenes_Odoo'!C2620)</f>
        <v/>
      </c>
      <c r="D2620" s="79">
        <f>IF('Ordenes_Odoo'!D2620="","",'Ordenes_Odoo'!D2620)</f>
        <v/>
      </c>
      <c r="E2620" s="79">
        <f>IF('Ordenes_Odoo'!E2620="","",'Ordenes_Odoo'!E2620)</f>
        <v/>
      </c>
      <c r="F2620" s="79">
        <f>IF('Ordenes_Odoo'!F2620="","",'Ordenes_Odoo'!F2620)</f>
        <v/>
      </c>
      <c r="G2620" s="79">
        <f>IF('Ordenes_Odoo'!G2620="","",'Ordenes_Odoo'!G2620)</f>
        <v/>
      </c>
      <c r="H2620" s="79">
        <f>IF('Ordenes_Odoo'!H2620="","",'Ordenes_Odoo'!H2620)</f>
        <v/>
      </c>
      <c r="I2620" s="79">
        <f>IF('Ordenes_Odoo'!I2620="","",'Ordenes_Odoo'!I2620)</f>
        <v/>
      </c>
      <c r="J2620" s="79">
        <f>IF('Ordenes_Odoo'!J2620="","",'Ordenes_Odoo'!J2620)</f>
        <v/>
      </c>
      <c r="K2620" s="81">
        <f>IF('Ordenes_Odoo'!K2620="","",'Ordenes_Odoo'!K2620)</f>
        <v/>
      </c>
      <c r="L2620" s="81">
        <f>IF('Ordenes_Odoo'!L2620="","",'Ordenes_Odoo'!L2620)</f>
        <v/>
      </c>
      <c r="M2620" s="79">
        <f>IF('Ordenes_Odoo'!M2620="","",'Ordenes_Odoo'!M2620)</f>
        <v/>
      </c>
      <c r="N2620" s="79">
        <f>IF('Ordenes_Odoo'!N2620="","",'Ordenes_Odoo'!N2620)</f>
        <v/>
      </c>
      <c r="O2620" s="81">
        <f>IF('Ordenes_Odoo'!O2620="","",'Ordenes_Odoo'!O2620)</f>
        <v/>
      </c>
      <c r="P2620" s="81">
        <f>IF('Ordenes_Odoo'!P2620="","",'Ordenes_Odoo'!P2620)</f>
        <v/>
      </c>
      <c r="Q2620" s="79">
        <f>IF(A2620="","",IFERROR(INDEX(Facturas_Odoo!$B:$B, MATCH(A2620, Facturas_Odoo!$D:$D, 0)), "Sin Factura"))</f>
        <v/>
      </c>
      <c r="R2620" s="80">
        <f>IF(Q2620="Sin Factura","",IFERROR(INDEX(Facturas_Odoo!$A:$A, MATCH(Q2620, Facturas_Odoo!$B:$B, 0)), ""))</f>
        <v/>
      </c>
      <c r="S2620" s="79">
        <f>IF(Q2620="Sin Factura","",IFERROR(_xlfn.XLOOKUP(1, (Facturas_Odoo!$D:$D=A2620) * (Facturas_Odoo!$K:$K=I2620), Facturas_Odoo!$L:$L, ""), ""))</f>
        <v/>
      </c>
      <c r="T2620" s="81">
        <f>IF(Q2620="Sin Factura",0,IFERROR(_xlfn.XLOOKUP(1, (Facturas_Odoo!$D:$D=A2620) * (Facturas_Odoo!$K:$K=I2620), Facturas_Odoo!$M:$M, 0), 0))</f>
        <v/>
      </c>
      <c r="U2620" s="79">
        <f>IF(Q2620="Sin Factura",0,IFERROR(_xlfn.XLOOKUP(1, (Facturas_Odoo!$D:$D=A2620) * (Facturas_Odoo!$K:$K=I2620), Facturas_Odoo!$N:$N, 0), 0))</f>
        <v/>
      </c>
      <c r="V2620" s="79">
        <f>IF(Q2620="Sin Factura",0,IFERROR(_xlfn.XLOOKUP(1, (Facturas_Odoo!$D:$D=A2620) * (Facturas_Odoo!$K:$K=I2620), Facturas_Odoo!$O:$O, 0), 0))</f>
        <v/>
      </c>
      <c r="W2620" s="81">
        <f>IF(Q2620="Sin Factura",0,IFERROR(_xlfn.XLOOKUP(1, (Facturas_Odoo!$D:$D=A2620) * (Facturas_Odoo!$K:$K=I2620), Facturas_Odoo!$Q:$Q, 0), 0))</f>
        <v/>
      </c>
      <c r="X2620" s="79">
        <f>IF(OR(Q2620="Sin Factura",Q2620=""),"",IFERROR(INDEX(Pagos_Odoo!$B:$B, MATCH(Q2620, Pagos_Odoo!$I:$I, 0)), "Sin Pago"))</f>
        <v/>
      </c>
      <c r="Y2620" s="79">
        <f>IF(X2620="Sin Pago","",IFERROR(INDEX(Pagos_Odoo!$C:$C, MATCH(X2620, Pagos_Odoo!$B:$B, 0)), ""))</f>
        <v/>
      </c>
      <c r="Z2620" s="80">
        <f>IF(X2620="Sin Pago","",IFERROR(INDEX(Pagos_Odoo!$A:$A, MATCH(X2620, Pagos_Odoo!$B:$B, 0)), ""))</f>
        <v/>
      </c>
      <c r="AA2620" s="79">
        <f>IF(X2620="Sin Pago","",IFERROR(INDEX(Pagos_Odoo!$F:$F, MATCH(X2620, Pagos_Odoo!$B:$B, 0)), ""))</f>
        <v/>
      </c>
      <c r="AB2620" s="81">
        <f>IF(X2620="Sin Pago",0,IFERROR(INDEX(Pagos_Odoo!$E:$E, MATCH(X2620, Pagos_Odoo!$B:$B, 0)), 0))</f>
        <v/>
      </c>
      <c r="AC2620" s="79">
        <f>IF(X2620="Sin Pago","",IFERROR(INDEX(Pagos_Odoo!$G:$G, MATCH(X2620, Pagos_Odoo!$B:$B, 0)), ""))</f>
        <v/>
      </c>
      <c r="AD2620" s="82" t="n">
        <v>0</v>
      </c>
      <c r="AE2620" s="82" t="n"/>
      <c r="AF2620" s="82" t="n"/>
      <c r="AG2620" s="82">
        <f>IF(AN2620="","",AD2620+AE2620+AF2620)</f>
        <v/>
      </c>
      <c r="AH2620" s="81">
        <f>IF(AN2620="","",P2620*(1-AG2620))</f>
        <v/>
      </c>
      <c r="AI2620" s="81">
        <f>IF(AN2620="","",IF(Q2620="Sin Factura",0,IFERROR(INDEX(Facturas_Odoo!$H:$H, MATCH(Q2620, Facturas_Odoo!$B:$B, 0)), 0)*(1-AG2620)))</f>
        <v/>
      </c>
      <c r="AJ2620" s="81">
        <f>IF(AN2620="","",_xlfn.LET(idVenta, AN2620&amp;"",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20" s="81">
        <f>IF(AN2620="","",AH2620-AJ2620)</f>
        <v/>
      </c>
      <c r="AL2620" s="81">
        <f>IF(AN2620="","",IF(Q2620="Sin Factura","",AI2620-AJ2620))</f>
        <v/>
      </c>
      <c r="AM2620" s="81">
        <f>IF(AN2620="","",IF(Q2620="Sin Factura",0,P2620-IFERROR(INDEX(Facturas_Odoo!$H:$H, MATCH(Q2620, Facturas_Odoo!$B:$B, 0)), 0)))</f>
        <v/>
      </c>
      <c r="AN2620" s="79">
        <f>IF(AND(A2620="", J2620=""), "", IF(A2620&lt;&gt;"", VALUE(MID(A2620,2,LEN(A2620))), AN2619))</f>
        <v/>
      </c>
      <c r="AO2620" s="79">
        <f>IF(AN2620="","",IF(AD2620=0,"OK",_xlfn.LET(monedaPago, IF(AA2620="","USD",AA2620), limitePermitido, IFERROR(VLOOKUP(monedaPago, Configuración!$A$2:$B$3, 2, FALSE), 0.15), IF(AD2620&gt;limitePermitido, "ALERTA: EXCESO (" &amp; TEXT(limitePermitido, "0%") &amp; " máx)", "OK"))))</f>
        <v/>
      </c>
      <c r="AP2620" s="79">
        <f>IF(AN2620="","",IF(AE2620=0,"OK",_xlfn.LET(fechaPago, Z2620, fechaFactura, R2620, diasCredito, IF(E2620="Pago inmediato", 0, IFERROR(VALUE(MID(E2620, 1, SEARCH(" ", E2620)-1)),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20" s="79">
        <f>IF(AN2620="","",IF(AND(N2620&gt;0, AG2620&gt;0), IF(Configuración!$K$2="NO", "ALERTA: DESCUENTO DOBLE NO PERMITIDO", "OK"), "OK"))</f>
        <v/>
      </c>
      <c r="AR2620" s="79">
        <f>IF(AN2620="","",IF(OR(AO2620&lt;&gt;"OK", AP2620&lt;&gt;"OK", AQ2620&lt;&gt;"OK"), "⚠️ REVISAR", "OK"))</f>
        <v/>
      </c>
    </row>
    <row r="2621">
      <c r="A2621" s="79">
        <f>IF('Ordenes_Odoo'!A2621="","",'Ordenes_Odoo'!A2621)</f>
        <v/>
      </c>
      <c r="B2621" s="80">
        <f>IF('Ordenes_Odoo'!B2621="","",'Ordenes_Odoo'!B2621)</f>
        <v/>
      </c>
      <c r="C2621" s="79">
        <f>IF('Ordenes_Odoo'!C2621="","",'Ordenes_Odoo'!C2621)</f>
        <v/>
      </c>
      <c r="D2621" s="79">
        <f>IF('Ordenes_Odoo'!D2621="","",'Ordenes_Odoo'!D2621)</f>
        <v/>
      </c>
      <c r="E2621" s="79">
        <f>IF('Ordenes_Odoo'!E2621="","",'Ordenes_Odoo'!E2621)</f>
        <v/>
      </c>
      <c r="F2621" s="79">
        <f>IF('Ordenes_Odoo'!F2621="","",'Ordenes_Odoo'!F2621)</f>
        <v/>
      </c>
      <c r="G2621" s="79">
        <f>IF('Ordenes_Odoo'!G2621="","",'Ordenes_Odoo'!G2621)</f>
        <v/>
      </c>
      <c r="H2621" s="79">
        <f>IF('Ordenes_Odoo'!H2621="","",'Ordenes_Odoo'!H2621)</f>
        <v/>
      </c>
      <c r="I2621" s="79">
        <f>IF('Ordenes_Odoo'!I2621="","",'Ordenes_Odoo'!I2621)</f>
        <v/>
      </c>
      <c r="J2621" s="79">
        <f>IF('Ordenes_Odoo'!J2621="","",'Ordenes_Odoo'!J2621)</f>
        <v/>
      </c>
      <c r="K2621" s="81">
        <f>IF('Ordenes_Odoo'!K2621="","",'Ordenes_Odoo'!K2621)</f>
        <v/>
      </c>
      <c r="L2621" s="81">
        <f>IF('Ordenes_Odoo'!L2621="","",'Ordenes_Odoo'!L2621)</f>
        <v/>
      </c>
      <c r="M2621" s="79">
        <f>IF('Ordenes_Odoo'!M2621="","",'Ordenes_Odoo'!M2621)</f>
        <v/>
      </c>
      <c r="N2621" s="79">
        <f>IF('Ordenes_Odoo'!N2621="","",'Ordenes_Odoo'!N2621)</f>
        <v/>
      </c>
      <c r="O2621" s="81">
        <f>IF('Ordenes_Odoo'!O2621="","",'Ordenes_Odoo'!O2621)</f>
        <v/>
      </c>
      <c r="P2621" s="81">
        <f>IF('Ordenes_Odoo'!P2621="","",'Ordenes_Odoo'!P2621)</f>
        <v/>
      </c>
      <c r="Q2621" s="79">
        <f>IF(A2621="","",IFERROR(INDEX(Facturas_Odoo!$B:$B, MATCH(A2621, Facturas_Odoo!$D:$D, 0)), "Sin Factura"))</f>
        <v/>
      </c>
      <c r="R2621" s="80">
        <f>IF(Q2621="Sin Factura","",IFERROR(INDEX(Facturas_Odoo!$A:$A, MATCH(Q2621, Facturas_Odoo!$B:$B, 0)), ""))</f>
        <v/>
      </c>
      <c r="S2621" s="79">
        <f>IF(Q2621="Sin Factura","",IFERROR(_xlfn.XLOOKUP(1, (Facturas_Odoo!$D:$D=A2621) * (Facturas_Odoo!$K:$K=I2621), Facturas_Odoo!$L:$L, ""), ""))</f>
        <v/>
      </c>
      <c r="T2621" s="81">
        <f>IF(Q2621="Sin Factura",0,IFERROR(_xlfn.XLOOKUP(1, (Facturas_Odoo!$D:$D=A2621) * (Facturas_Odoo!$K:$K=I2621), Facturas_Odoo!$M:$M, 0), 0))</f>
        <v/>
      </c>
      <c r="U2621" s="79">
        <f>IF(Q2621="Sin Factura",0,IFERROR(_xlfn.XLOOKUP(1, (Facturas_Odoo!$D:$D=A2621) * (Facturas_Odoo!$K:$K=I2621), Facturas_Odoo!$N:$N, 0), 0))</f>
        <v/>
      </c>
      <c r="V2621" s="79">
        <f>IF(Q2621="Sin Factura",0,IFERROR(_xlfn.XLOOKUP(1, (Facturas_Odoo!$D:$D=A2621) * (Facturas_Odoo!$K:$K=I2621), Facturas_Odoo!$O:$O, 0), 0))</f>
        <v/>
      </c>
      <c r="W2621" s="81">
        <f>IF(Q2621="Sin Factura",0,IFERROR(_xlfn.XLOOKUP(1, (Facturas_Odoo!$D:$D=A2621) * (Facturas_Odoo!$K:$K=I2621), Facturas_Odoo!$Q:$Q, 0), 0))</f>
        <v/>
      </c>
      <c r="X2621" s="79">
        <f>IF(OR(Q2621="Sin Factura",Q2621=""),"",IFERROR(INDEX(Pagos_Odoo!$B:$B, MATCH(Q2621, Pagos_Odoo!$I:$I, 0)), "Sin Pago"))</f>
        <v/>
      </c>
      <c r="Y2621" s="79">
        <f>IF(X2621="Sin Pago","",IFERROR(INDEX(Pagos_Odoo!$C:$C, MATCH(X2621, Pagos_Odoo!$B:$B, 0)), ""))</f>
        <v/>
      </c>
      <c r="Z2621" s="80">
        <f>IF(X2621="Sin Pago","",IFERROR(INDEX(Pagos_Odoo!$A:$A, MATCH(X2621, Pagos_Odoo!$B:$B, 0)), ""))</f>
        <v/>
      </c>
      <c r="AA2621" s="79">
        <f>IF(X2621="Sin Pago","",IFERROR(INDEX(Pagos_Odoo!$F:$F, MATCH(X2621, Pagos_Odoo!$B:$B, 0)), ""))</f>
        <v/>
      </c>
      <c r="AB2621" s="81">
        <f>IF(X2621="Sin Pago",0,IFERROR(INDEX(Pagos_Odoo!$E:$E, MATCH(X2621, Pagos_Odoo!$B:$B, 0)), 0))</f>
        <v/>
      </c>
      <c r="AC2621" s="79">
        <f>IF(X2621="Sin Pago","",IFERROR(INDEX(Pagos_Odoo!$G:$G, MATCH(X2621, Pagos_Odoo!$B:$B, 0)), ""))</f>
        <v/>
      </c>
      <c r="AD2621" s="82" t="n">
        <v>0</v>
      </c>
      <c r="AE2621" s="82" t="n"/>
      <c r="AF2621" s="82" t="n"/>
      <c r="AG2621" s="82">
        <f>IF(AN2621="","",AD2621+AE2621+AF2621)</f>
        <v/>
      </c>
      <c r="AH2621" s="81">
        <f>IF(AN2621="","",P2621*(1-AG2621))</f>
        <v/>
      </c>
      <c r="AI2621" s="81">
        <f>IF(AN2621="","",IF(Q2621="Sin Factura",0,IFERROR(INDEX(Facturas_Odoo!$H:$H, MATCH(Q2621, Facturas_Odoo!$B:$B, 0)), 0)*(1-AG2621)))</f>
        <v/>
      </c>
      <c r="AJ2621" s="81">
        <f>IF(AN2621="","",_xlfn.LET(idVenta, AN2621&amp;"",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21" s="81">
        <f>IF(AN2621="","",AH2621-AJ2621)</f>
        <v/>
      </c>
      <c r="AL2621" s="81">
        <f>IF(AN2621="","",IF(Q2621="Sin Factura","",AI2621-AJ2621))</f>
        <v/>
      </c>
      <c r="AM2621" s="81">
        <f>IF(AN2621="","",IF(Q2621="Sin Factura",0,P2621-IFERROR(INDEX(Facturas_Odoo!$H:$H, MATCH(Q2621, Facturas_Odoo!$B:$B, 0)), 0)))</f>
        <v/>
      </c>
      <c r="AN2621" s="79">
        <f>IF(AND(A2621="", J2621=""), "", IF(A2621&lt;&gt;"", VALUE(MID(A2621,2,LEN(A2621))), AN2620))</f>
        <v/>
      </c>
      <c r="AO2621" s="79">
        <f>IF(AN2621="","",IF(AD2621=0,"OK",_xlfn.LET(monedaPago, IF(AA2621="","USD",AA2621), limitePermitido, IFERROR(VLOOKUP(monedaPago, Configuración!$A$2:$B$3, 2, FALSE), 0.15), IF(AD2621&gt;limitePermitido, "ALERTA: EXCESO (" &amp; TEXT(limitePermitido, "0%") &amp; " máx)", "OK"))))</f>
        <v/>
      </c>
      <c r="AP2621" s="79">
        <f>IF(AN2621="","",IF(AE2621=0,"OK",_xlfn.LET(fechaPago, Z2621, fechaFactura, R2621, diasCredito, IF(E2621="Pago inmediato", 0, IFERROR(VALUE(MID(E2621, 1, SEARCH(" ", E2621)-1)),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21" s="79">
        <f>IF(AN2621="","",IF(AND(N2621&gt;0, AG2621&gt;0), IF(Configuración!$K$2="NO", "ALERTA: DESCUENTO DOBLE NO PERMITIDO", "OK"), "OK"))</f>
        <v/>
      </c>
      <c r="AR2621" s="79">
        <f>IF(AN2621="","",IF(OR(AO2621&lt;&gt;"OK", AP2621&lt;&gt;"OK", AQ2621&lt;&gt;"OK"), "⚠️ REVISAR", "OK"))</f>
        <v/>
      </c>
    </row>
    <row r="2622">
      <c r="A2622" s="79">
        <f>IF('Ordenes_Odoo'!A2622="","",'Ordenes_Odoo'!A2622)</f>
        <v/>
      </c>
      <c r="B2622" s="80">
        <f>IF('Ordenes_Odoo'!B2622="","",'Ordenes_Odoo'!B2622)</f>
        <v/>
      </c>
      <c r="C2622" s="79">
        <f>IF('Ordenes_Odoo'!C2622="","",'Ordenes_Odoo'!C2622)</f>
        <v/>
      </c>
      <c r="D2622" s="79">
        <f>IF('Ordenes_Odoo'!D2622="","",'Ordenes_Odoo'!D2622)</f>
        <v/>
      </c>
      <c r="E2622" s="79">
        <f>IF('Ordenes_Odoo'!E2622="","",'Ordenes_Odoo'!E2622)</f>
        <v/>
      </c>
      <c r="F2622" s="79">
        <f>IF('Ordenes_Odoo'!F2622="","",'Ordenes_Odoo'!F2622)</f>
        <v/>
      </c>
      <c r="G2622" s="79">
        <f>IF('Ordenes_Odoo'!G2622="","",'Ordenes_Odoo'!G2622)</f>
        <v/>
      </c>
      <c r="H2622" s="79">
        <f>IF('Ordenes_Odoo'!H2622="","",'Ordenes_Odoo'!H2622)</f>
        <v/>
      </c>
      <c r="I2622" s="79">
        <f>IF('Ordenes_Odoo'!I2622="","",'Ordenes_Odoo'!I2622)</f>
        <v/>
      </c>
      <c r="J2622" s="79">
        <f>IF('Ordenes_Odoo'!J2622="","",'Ordenes_Odoo'!J2622)</f>
        <v/>
      </c>
      <c r="K2622" s="81">
        <f>IF('Ordenes_Odoo'!K2622="","",'Ordenes_Odoo'!K2622)</f>
        <v/>
      </c>
      <c r="L2622" s="81">
        <f>IF('Ordenes_Odoo'!L2622="","",'Ordenes_Odoo'!L2622)</f>
        <v/>
      </c>
      <c r="M2622" s="79">
        <f>IF('Ordenes_Odoo'!M2622="","",'Ordenes_Odoo'!M2622)</f>
        <v/>
      </c>
      <c r="N2622" s="79">
        <f>IF('Ordenes_Odoo'!N2622="","",'Ordenes_Odoo'!N2622)</f>
        <v/>
      </c>
      <c r="O2622" s="81">
        <f>IF('Ordenes_Odoo'!O2622="","",'Ordenes_Odoo'!O2622)</f>
        <v/>
      </c>
      <c r="P2622" s="81">
        <f>IF('Ordenes_Odoo'!P2622="","",'Ordenes_Odoo'!P2622)</f>
        <v/>
      </c>
      <c r="Q2622" s="79">
        <f>IF(A2622="","",IFERROR(INDEX(Facturas_Odoo!$B:$B, MATCH(A2622, Facturas_Odoo!$D:$D, 0)), "Sin Factura"))</f>
        <v/>
      </c>
      <c r="R2622" s="80">
        <f>IF(Q2622="Sin Factura","",IFERROR(INDEX(Facturas_Odoo!$A:$A, MATCH(Q2622, Facturas_Odoo!$B:$B, 0)), ""))</f>
        <v/>
      </c>
      <c r="S2622" s="79">
        <f>IF(Q2622="Sin Factura","",IFERROR(_xlfn.XLOOKUP(1, (Facturas_Odoo!$D:$D=A2622) * (Facturas_Odoo!$K:$K=I2622), Facturas_Odoo!$L:$L, ""), ""))</f>
        <v/>
      </c>
      <c r="T2622" s="81">
        <f>IF(Q2622="Sin Factura",0,IFERROR(_xlfn.XLOOKUP(1, (Facturas_Odoo!$D:$D=A2622) * (Facturas_Odoo!$K:$K=I2622), Facturas_Odoo!$M:$M, 0), 0))</f>
        <v/>
      </c>
      <c r="U2622" s="79">
        <f>IF(Q2622="Sin Factura",0,IFERROR(_xlfn.XLOOKUP(1, (Facturas_Odoo!$D:$D=A2622) * (Facturas_Odoo!$K:$K=I2622), Facturas_Odoo!$N:$N, 0), 0))</f>
        <v/>
      </c>
      <c r="V2622" s="79">
        <f>IF(Q2622="Sin Factura",0,IFERROR(_xlfn.XLOOKUP(1, (Facturas_Odoo!$D:$D=A2622) * (Facturas_Odoo!$K:$K=I2622), Facturas_Odoo!$O:$O, 0), 0))</f>
        <v/>
      </c>
      <c r="W2622" s="81">
        <f>IF(Q2622="Sin Factura",0,IFERROR(_xlfn.XLOOKUP(1, (Facturas_Odoo!$D:$D=A2622) * (Facturas_Odoo!$K:$K=I2622), Facturas_Odoo!$Q:$Q, 0), 0))</f>
        <v/>
      </c>
      <c r="X2622" s="79">
        <f>IF(OR(Q2622="Sin Factura",Q2622=""),"",IFERROR(INDEX(Pagos_Odoo!$B:$B, MATCH(Q2622, Pagos_Odoo!$I:$I, 0)), "Sin Pago"))</f>
        <v/>
      </c>
      <c r="Y2622" s="79">
        <f>IF(X2622="Sin Pago","",IFERROR(INDEX(Pagos_Odoo!$C:$C, MATCH(X2622, Pagos_Odoo!$B:$B, 0)), ""))</f>
        <v/>
      </c>
      <c r="Z2622" s="80">
        <f>IF(X2622="Sin Pago","",IFERROR(INDEX(Pagos_Odoo!$A:$A, MATCH(X2622, Pagos_Odoo!$B:$B, 0)), ""))</f>
        <v/>
      </c>
      <c r="AA2622" s="79">
        <f>IF(X2622="Sin Pago","",IFERROR(INDEX(Pagos_Odoo!$F:$F, MATCH(X2622, Pagos_Odoo!$B:$B, 0)), ""))</f>
        <v/>
      </c>
      <c r="AB2622" s="81">
        <f>IF(X2622="Sin Pago",0,IFERROR(INDEX(Pagos_Odoo!$E:$E, MATCH(X2622, Pagos_Odoo!$B:$B, 0)), 0))</f>
        <v/>
      </c>
      <c r="AC2622" s="79">
        <f>IF(X2622="Sin Pago","",IFERROR(INDEX(Pagos_Odoo!$G:$G, MATCH(X2622, Pagos_Odoo!$B:$B, 0)), ""))</f>
        <v/>
      </c>
      <c r="AD2622" s="82" t="n">
        <v>0</v>
      </c>
      <c r="AE2622" s="82" t="n"/>
      <c r="AF2622" s="82" t="n"/>
      <c r="AG2622" s="82">
        <f>IF(AN2622="","",AD2622+AE2622+AF2622)</f>
        <v/>
      </c>
      <c r="AH2622" s="81">
        <f>IF(AN2622="","",P2622*(1-AG2622))</f>
        <v/>
      </c>
      <c r="AI2622" s="81">
        <f>IF(AN2622="","",IF(Q2622="Sin Factura",0,IFERROR(INDEX(Facturas_Odoo!$H:$H, MATCH(Q2622, Facturas_Odoo!$B:$B, 0)), 0)*(1-AG2622)))</f>
        <v/>
      </c>
      <c r="AJ2622" s="81">
        <f>IF(AN2622="","",_xlfn.LET(idVenta, AN2622&amp;"",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22" s="81">
        <f>IF(AN2622="","",AH2622-AJ2622)</f>
        <v/>
      </c>
      <c r="AL2622" s="81">
        <f>IF(AN2622="","",IF(Q2622="Sin Factura","",AI2622-AJ2622))</f>
        <v/>
      </c>
      <c r="AM2622" s="81">
        <f>IF(AN2622="","",IF(Q2622="Sin Factura",0,P2622-IFERROR(INDEX(Facturas_Odoo!$H:$H, MATCH(Q2622, Facturas_Odoo!$B:$B, 0)), 0)))</f>
        <v/>
      </c>
      <c r="AN2622" s="79">
        <f>IF(AND(A2622="", J2622=""), "", IF(A2622&lt;&gt;"", VALUE(MID(A2622,2,LEN(A2622))), AN2621))</f>
        <v/>
      </c>
      <c r="AO2622" s="79">
        <f>IF(AN2622="","",IF(AD2622=0,"OK",_xlfn.LET(monedaPago, IF(AA2622="","USD",AA2622), limitePermitido, IFERROR(VLOOKUP(monedaPago, Configuración!$A$2:$B$3, 2, FALSE), 0.15), IF(AD2622&gt;limitePermitido, "ALERTA: EXCESO (" &amp; TEXT(limitePermitido, "0%") &amp; " máx)", "OK"))))</f>
        <v/>
      </c>
      <c r="AP2622" s="79">
        <f>IF(AN2622="","",IF(AE2622=0,"OK",_xlfn.LET(fechaPago, Z2622, fechaFactura, R2622, diasCredito, IF(E2622="Pago inmediato", 0, IFERROR(VALUE(MID(E2622, 1, SEARCH(" ", E2622)-1)),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22" s="79">
        <f>IF(AN2622="","",IF(AND(N2622&gt;0, AG2622&gt;0), IF(Configuración!$K$2="NO", "ALERTA: DESCUENTO DOBLE NO PERMITIDO", "OK"), "OK"))</f>
        <v/>
      </c>
      <c r="AR2622" s="79">
        <f>IF(AN2622="","",IF(OR(AO2622&lt;&gt;"OK", AP2622&lt;&gt;"OK", AQ2622&lt;&gt;"OK"), "⚠️ REVISAR", "OK"))</f>
        <v/>
      </c>
    </row>
    <row r="2623">
      <c r="A2623" s="79">
        <f>IF('Ordenes_Odoo'!A2623="","",'Ordenes_Odoo'!A2623)</f>
        <v/>
      </c>
      <c r="B2623" s="80">
        <f>IF('Ordenes_Odoo'!B2623="","",'Ordenes_Odoo'!B2623)</f>
        <v/>
      </c>
      <c r="C2623" s="79">
        <f>IF('Ordenes_Odoo'!C2623="","",'Ordenes_Odoo'!C2623)</f>
        <v/>
      </c>
      <c r="D2623" s="79">
        <f>IF('Ordenes_Odoo'!D2623="","",'Ordenes_Odoo'!D2623)</f>
        <v/>
      </c>
      <c r="E2623" s="79">
        <f>IF('Ordenes_Odoo'!E2623="","",'Ordenes_Odoo'!E2623)</f>
        <v/>
      </c>
      <c r="F2623" s="79">
        <f>IF('Ordenes_Odoo'!F2623="","",'Ordenes_Odoo'!F2623)</f>
        <v/>
      </c>
      <c r="G2623" s="79">
        <f>IF('Ordenes_Odoo'!G2623="","",'Ordenes_Odoo'!G2623)</f>
        <v/>
      </c>
      <c r="H2623" s="79">
        <f>IF('Ordenes_Odoo'!H2623="","",'Ordenes_Odoo'!H2623)</f>
        <v/>
      </c>
      <c r="I2623" s="79">
        <f>IF('Ordenes_Odoo'!I2623="","",'Ordenes_Odoo'!I2623)</f>
        <v/>
      </c>
      <c r="J2623" s="79">
        <f>IF('Ordenes_Odoo'!J2623="","",'Ordenes_Odoo'!J2623)</f>
        <v/>
      </c>
      <c r="K2623" s="81">
        <f>IF('Ordenes_Odoo'!K2623="","",'Ordenes_Odoo'!K2623)</f>
        <v/>
      </c>
      <c r="L2623" s="81">
        <f>IF('Ordenes_Odoo'!L2623="","",'Ordenes_Odoo'!L2623)</f>
        <v/>
      </c>
      <c r="M2623" s="79">
        <f>IF('Ordenes_Odoo'!M2623="","",'Ordenes_Odoo'!M2623)</f>
        <v/>
      </c>
      <c r="N2623" s="79">
        <f>IF('Ordenes_Odoo'!N2623="","",'Ordenes_Odoo'!N2623)</f>
        <v/>
      </c>
      <c r="O2623" s="81">
        <f>IF('Ordenes_Odoo'!O2623="","",'Ordenes_Odoo'!O2623)</f>
        <v/>
      </c>
      <c r="P2623" s="81">
        <f>IF('Ordenes_Odoo'!P2623="","",'Ordenes_Odoo'!P2623)</f>
        <v/>
      </c>
      <c r="Q2623" s="79">
        <f>IF(A2623="","",IFERROR(INDEX(Facturas_Odoo!$B:$B, MATCH(A2623, Facturas_Odoo!$D:$D, 0)), "Sin Factura"))</f>
        <v/>
      </c>
      <c r="R2623" s="80">
        <f>IF(Q2623="Sin Factura","",IFERROR(INDEX(Facturas_Odoo!$A:$A, MATCH(Q2623, Facturas_Odoo!$B:$B, 0)), ""))</f>
        <v/>
      </c>
      <c r="S2623" s="79">
        <f>IF(Q2623="Sin Factura","",IFERROR(_xlfn.XLOOKUP(1, (Facturas_Odoo!$D:$D=A2623) * (Facturas_Odoo!$K:$K=I2623), Facturas_Odoo!$L:$L, ""), ""))</f>
        <v/>
      </c>
      <c r="T2623" s="81">
        <f>IF(Q2623="Sin Factura",0,IFERROR(_xlfn.XLOOKUP(1, (Facturas_Odoo!$D:$D=A2623) * (Facturas_Odoo!$K:$K=I2623), Facturas_Odoo!$M:$M, 0), 0))</f>
        <v/>
      </c>
      <c r="U2623" s="79">
        <f>IF(Q2623="Sin Factura",0,IFERROR(_xlfn.XLOOKUP(1, (Facturas_Odoo!$D:$D=A2623) * (Facturas_Odoo!$K:$K=I2623), Facturas_Odoo!$N:$N, 0), 0))</f>
        <v/>
      </c>
      <c r="V2623" s="79">
        <f>IF(Q2623="Sin Factura",0,IFERROR(_xlfn.XLOOKUP(1, (Facturas_Odoo!$D:$D=A2623) * (Facturas_Odoo!$K:$K=I2623), Facturas_Odoo!$O:$O, 0), 0))</f>
        <v/>
      </c>
      <c r="W2623" s="81">
        <f>IF(Q2623="Sin Factura",0,IFERROR(_xlfn.XLOOKUP(1, (Facturas_Odoo!$D:$D=A2623) * (Facturas_Odoo!$K:$K=I2623), Facturas_Odoo!$Q:$Q, 0), 0))</f>
        <v/>
      </c>
      <c r="X2623" s="79">
        <f>IF(OR(Q2623="Sin Factura",Q2623=""),"",IFERROR(INDEX(Pagos_Odoo!$B:$B, MATCH(Q2623, Pagos_Odoo!$I:$I, 0)), "Sin Pago"))</f>
        <v/>
      </c>
      <c r="Y2623" s="79">
        <f>IF(X2623="Sin Pago","",IFERROR(INDEX(Pagos_Odoo!$C:$C, MATCH(X2623, Pagos_Odoo!$B:$B, 0)), ""))</f>
        <v/>
      </c>
      <c r="Z2623" s="80">
        <f>IF(X2623="Sin Pago","",IFERROR(INDEX(Pagos_Odoo!$A:$A, MATCH(X2623, Pagos_Odoo!$B:$B, 0)), ""))</f>
        <v/>
      </c>
      <c r="AA2623" s="79">
        <f>IF(X2623="Sin Pago","",IFERROR(INDEX(Pagos_Odoo!$F:$F, MATCH(X2623, Pagos_Odoo!$B:$B, 0)), ""))</f>
        <v/>
      </c>
      <c r="AB2623" s="81">
        <f>IF(X2623="Sin Pago",0,IFERROR(INDEX(Pagos_Odoo!$E:$E, MATCH(X2623, Pagos_Odoo!$B:$B, 0)), 0))</f>
        <v/>
      </c>
      <c r="AC2623" s="79">
        <f>IF(X2623="Sin Pago","",IFERROR(INDEX(Pagos_Odoo!$G:$G, MATCH(X2623, Pagos_Odoo!$B:$B, 0)), ""))</f>
        <v/>
      </c>
      <c r="AD2623" s="82" t="n">
        <v>0</v>
      </c>
      <c r="AE2623" s="82" t="n"/>
      <c r="AF2623" s="82" t="n"/>
      <c r="AG2623" s="82">
        <f>IF(AN2623="","",AD2623+AE2623+AF2623)</f>
        <v/>
      </c>
      <c r="AH2623" s="81">
        <f>IF(AN2623="","",P2623*(1-AG2623))</f>
        <v/>
      </c>
      <c r="AI2623" s="81">
        <f>IF(AN2623="","",IF(Q2623="Sin Factura",0,IFERROR(INDEX(Facturas_Odoo!$H:$H, MATCH(Q2623, Facturas_Odoo!$B:$B, 0)), 0)*(1-AG2623)))</f>
        <v/>
      </c>
      <c r="AJ2623" s="81">
        <f>IF(AN2623="","",_xlfn.LET(idVenta, AN2623&amp;"",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23" s="81">
        <f>IF(AN2623="","",AH2623-AJ2623)</f>
        <v/>
      </c>
      <c r="AL2623" s="81">
        <f>IF(AN2623="","",IF(Q2623="Sin Factura","",AI2623-AJ2623))</f>
        <v/>
      </c>
      <c r="AM2623" s="81">
        <f>IF(AN2623="","",IF(Q2623="Sin Factura",0,P2623-IFERROR(INDEX(Facturas_Odoo!$H:$H, MATCH(Q2623, Facturas_Odoo!$B:$B, 0)), 0)))</f>
        <v/>
      </c>
      <c r="AN2623" s="79">
        <f>IF(AND(A2623="", J2623=""), "", IF(A2623&lt;&gt;"", VALUE(MID(A2623,2,LEN(A2623))), AN2622))</f>
        <v/>
      </c>
      <c r="AO2623" s="79">
        <f>IF(AN2623="","",IF(AD2623=0,"OK",_xlfn.LET(monedaPago, IF(AA2623="","USD",AA2623), limitePermitido, IFERROR(VLOOKUP(monedaPago, Configuración!$A$2:$B$3, 2, FALSE), 0.15), IF(AD2623&gt;limitePermitido, "ALERTA: EXCESO (" &amp; TEXT(limitePermitido, "0%") &amp; " máx)", "OK"))))</f>
        <v/>
      </c>
      <c r="AP2623" s="79">
        <f>IF(AN2623="","",IF(AE2623=0,"OK",_xlfn.LET(fechaPago, Z2623, fechaFactura, R2623, diasCredito, IF(E2623="Pago inmediato", 0, IFERROR(VALUE(MID(E2623, 1, SEARCH(" ", E2623)-1)),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23" s="79">
        <f>IF(AN2623="","",IF(AND(N2623&gt;0, AG2623&gt;0), IF(Configuración!$K$2="NO", "ALERTA: DESCUENTO DOBLE NO PERMITIDO", "OK"), "OK"))</f>
        <v/>
      </c>
      <c r="AR2623" s="79">
        <f>IF(AN2623="","",IF(OR(AO2623&lt;&gt;"OK", AP2623&lt;&gt;"OK", AQ2623&lt;&gt;"OK"), "⚠️ REVISAR", "OK"))</f>
        <v/>
      </c>
    </row>
    <row r="2624">
      <c r="A2624" s="79">
        <f>IF('Ordenes_Odoo'!A2624="","",'Ordenes_Odoo'!A2624)</f>
        <v/>
      </c>
      <c r="B2624" s="80">
        <f>IF('Ordenes_Odoo'!B2624="","",'Ordenes_Odoo'!B2624)</f>
        <v/>
      </c>
      <c r="C2624" s="79">
        <f>IF('Ordenes_Odoo'!C2624="","",'Ordenes_Odoo'!C2624)</f>
        <v/>
      </c>
      <c r="D2624" s="79">
        <f>IF('Ordenes_Odoo'!D2624="","",'Ordenes_Odoo'!D2624)</f>
        <v/>
      </c>
      <c r="E2624" s="79">
        <f>IF('Ordenes_Odoo'!E2624="","",'Ordenes_Odoo'!E2624)</f>
        <v/>
      </c>
      <c r="F2624" s="79">
        <f>IF('Ordenes_Odoo'!F2624="","",'Ordenes_Odoo'!F2624)</f>
        <v/>
      </c>
      <c r="G2624" s="79">
        <f>IF('Ordenes_Odoo'!G2624="","",'Ordenes_Odoo'!G2624)</f>
        <v/>
      </c>
      <c r="H2624" s="79">
        <f>IF('Ordenes_Odoo'!H2624="","",'Ordenes_Odoo'!H2624)</f>
        <v/>
      </c>
      <c r="I2624" s="79">
        <f>IF('Ordenes_Odoo'!I2624="","",'Ordenes_Odoo'!I2624)</f>
        <v/>
      </c>
      <c r="J2624" s="79">
        <f>IF('Ordenes_Odoo'!J2624="","",'Ordenes_Odoo'!J2624)</f>
        <v/>
      </c>
      <c r="K2624" s="81">
        <f>IF('Ordenes_Odoo'!K2624="","",'Ordenes_Odoo'!K2624)</f>
        <v/>
      </c>
      <c r="L2624" s="81">
        <f>IF('Ordenes_Odoo'!L2624="","",'Ordenes_Odoo'!L2624)</f>
        <v/>
      </c>
      <c r="M2624" s="79">
        <f>IF('Ordenes_Odoo'!M2624="","",'Ordenes_Odoo'!M2624)</f>
        <v/>
      </c>
      <c r="N2624" s="79">
        <f>IF('Ordenes_Odoo'!N2624="","",'Ordenes_Odoo'!N2624)</f>
        <v/>
      </c>
      <c r="O2624" s="81">
        <f>IF('Ordenes_Odoo'!O2624="","",'Ordenes_Odoo'!O2624)</f>
        <v/>
      </c>
      <c r="P2624" s="81">
        <f>IF('Ordenes_Odoo'!P2624="","",'Ordenes_Odoo'!P2624)</f>
        <v/>
      </c>
      <c r="Q2624" s="79">
        <f>IF(A2624="","",IFERROR(INDEX(Facturas_Odoo!$B:$B, MATCH(A2624, Facturas_Odoo!$D:$D, 0)), "Sin Factura"))</f>
        <v/>
      </c>
      <c r="R2624" s="80">
        <f>IF(Q2624="Sin Factura","",IFERROR(INDEX(Facturas_Odoo!$A:$A, MATCH(Q2624, Facturas_Odoo!$B:$B, 0)), ""))</f>
        <v/>
      </c>
      <c r="S2624" s="79">
        <f>IF(Q2624="Sin Factura","",IFERROR(_xlfn.XLOOKUP(1, (Facturas_Odoo!$D:$D=A2624) * (Facturas_Odoo!$K:$K=I2624), Facturas_Odoo!$L:$L, ""), ""))</f>
        <v/>
      </c>
      <c r="T2624" s="81">
        <f>IF(Q2624="Sin Factura",0,IFERROR(_xlfn.XLOOKUP(1, (Facturas_Odoo!$D:$D=A2624) * (Facturas_Odoo!$K:$K=I2624), Facturas_Odoo!$M:$M, 0), 0))</f>
        <v/>
      </c>
      <c r="U2624" s="79">
        <f>IF(Q2624="Sin Factura",0,IFERROR(_xlfn.XLOOKUP(1, (Facturas_Odoo!$D:$D=A2624) * (Facturas_Odoo!$K:$K=I2624), Facturas_Odoo!$N:$N, 0), 0))</f>
        <v/>
      </c>
      <c r="V2624" s="79">
        <f>IF(Q2624="Sin Factura",0,IFERROR(_xlfn.XLOOKUP(1, (Facturas_Odoo!$D:$D=A2624) * (Facturas_Odoo!$K:$K=I2624), Facturas_Odoo!$O:$O, 0), 0))</f>
        <v/>
      </c>
      <c r="W2624" s="81">
        <f>IF(Q2624="Sin Factura",0,IFERROR(_xlfn.XLOOKUP(1, (Facturas_Odoo!$D:$D=A2624) * (Facturas_Odoo!$K:$K=I2624), Facturas_Odoo!$Q:$Q, 0), 0))</f>
        <v/>
      </c>
      <c r="X2624" s="79">
        <f>IF(OR(Q2624="Sin Factura",Q2624=""),"",IFERROR(INDEX(Pagos_Odoo!$B:$B, MATCH(Q2624, Pagos_Odoo!$I:$I, 0)), "Sin Pago"))</f>
        <v/>
      </c>
      <c r="Y2624" s="79">
        <f>IF(X2624="Sin Pago","",IFERROR(INDEX(Pagos_Odoo!$C:$C, MATCH(X2624, Pagos_Odoo!$B:$B, 0)), ""))</f>
        <v/>
      </c>
      <c r="Z2624" s="80">
        <f>IF(X2624="Sin Pago","",IFERROR(INDEX(Pagos_Odoo!$A:$A, MATCH(X2624, Pagos_Odoo!$B:$B, 0)), ""))</f>
        <v/>
      </c>
      <c r="AA2624" s="79">
        <f>IF(X2624="Sin Pago","",IFERROR(INDEX(Pagos_Odoo!$F:$F, MATCH(X2624, Pagos_Odoo!$B:$B, 0)), ""))</f>
        <v/>
      </c>
      <c r="AB2624" s="81">
        <f>IF(X2624="Sin Pago",0,IFERROR(INDEX(Pagos_Odoo!$E:$E, MATCH(X2624, Pagos_Odoo!$B:$B, 0)), 0))</f>
        <v/>
      </c>
      <c r="AC2624" s="79">
        <f>IF(X2624="Sin Pago","",IFERROR(INDEX(Pagos_Odoo!$G:$G, MATCH(X2624, Pagos_Odoo!$B:$B, 0)), ""))</f>
        <v/>
      </c>
      <c r="AD2624" s="82" t="n">
        <v>0</v>
      </c>
      <c r="AE2624" s="82" t="n"/>
      <c r="AF2624" s="82" t="n"/>
      <c r="AG2624" s="82">
        <f>IF(AN2624="","",AD2624+AE2624+AF2624)</f>
        <v/>
      </c>
      <c r="AH2624" s="81">
        <f>IF(AN2624="","",P2624*(1-AG2624))</f>
        <v/>
      </c>
      <c r="AI2624" s="81">
        <f>IF(AN2624="","",IF(Q2624="Sin Factura",0,IFERROR(INDEX(Facturas_Odoo!$H:$H, MATCH(Q2624, Facturas_Odoo!$B:$B, 0)), 0)*(1-AG2624)))</f>
        <v/>
      </c>
      <c r="AJ2624" s="81">
        <f>IF(AN2624="","",_xlfn.LET(idVenta, AN2624&amp;"",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24" s="81">
        <f>IF(AN2624="","",AH2624-AJ2624)</f>
        <v/>
      </c>
      <c r="AL2624" s="81">
        <f>IF(AN2624="","",IF(Q2624="Sin Factura","",AI2624-AJ2624))</f>
        <v/>
      </c>
      <c r="AM2624" s="81">
        <f>IF(AN2624="","",IF(Q2624="Sin Factura",0,P2624-IFERROR(INDEX(Facturas_Odoo!$H:$H, MATCH(Q2624, Facturas_Odoo!$B:$B, 0)), 0)))</f>
        <v/>
      </c>
      <c r="AN2624" s="79">
        <f>IF(AND(A2624="", J2624=""), "", IF(A2624&lt;&gt;"", VALUE(MID(A2624,2,LEN(A2624))), AN2623))</f>
        <v/>
      </c>
      <c r="AO2624" s="79">
        <f>IF(AN2624="","",IF(AD2624=0,"OK",_xlfn.LET(monedaPago, IF(AA2624="","USD",AA2624), limitePermitido, IFERROR(VLOOKUP(monedaPago, Configuración!$A$2:$B$3, 2, FALSE), 0.15), IF(AD2624&gt;limitePermitido, "ALERTA: EXCESO (" &amp; TEXT(limitePermitido, "0%") &amp; " máx)", "OK"))))</f>
        <v/>
      </c>
      <c r="AP2624" s="79">
        <f>IF(AN2624="","",IF(AE2624=0,"OK",_xlfn.LET(fechaPago, Z2624, fechaFactura, R2624, diasCredito, IF(E2624="Pago inmediato", 0, IFERROR(VALUE(MID(E2624, 1, SEARCH(" ", E2624)-1)),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24" s="79">
        <f>IF(AN2624="","",IF(AND(N2624&gt;0, AG2624&gt;0), IF(Configuración!$K$2="NO", "ALERTA: DESCUENTO DOBLE NO PERMITIDO", "OK"), "OK"))</f>
        <v/>
      </c>
      <c r="AR2624" s="79">
        <f>IF(AN2624="","",IF(OR(AO2624&lt;&gt;"OK", AP2624&lt;&gt;"OK", AQ2624&lt;&gt;"OK"), "⚠️ REVISAR", "OK"))</f>
        <v/>
      </c>
    </row>
    <row r="2625">
      <c r="A2625" s="79">
        <f>IF('Ordenes_Odoo'!A2625="","",'Ordenes_Odoo'!A2625)</f>
        <v/>
      </c>
      <c r="B2625" s="80">
        <f>IF('Ordenes_Odoo'!B2625="","",'Ordenes_Odoo'!B2625)</f>
        <v/>
      </c>
      <c r="C2625" s="79">
        <f>IF('Ordenes_Odoo'!C2625="","",'Ordenes_Odoo'!C2625)</f>
        <v/>
      </c>
      <c r="D2625" s="79">
        <f>IF('Ordenes_Odoo'!D2625="","",'Ordenes_Odoo'!D2625)</f>
        <v/>
      </c>
      <c r="E2625" s="79">
        <f>IF('Ordenes_Odoo'!E2625="","",'Ordenes_Odoo'!E2625)</f>
        <v/>
      </c>
      <c r="F2625" s="79">
        <f>IF('Ordenes_Odoo'!F2625="","",'Ordenes_Odoo'!F2625)</f>
        <v/>
      </c>
      <c r="G2625" s="79">
        <f>IF('Ordenes_Odoo'!G2625="","",'Ordenes_Odoo'!G2625)</f>
        <v/>
      </c>
      <c r="H2625" s="79">
        <f>IF('Ordenes_Odoo'!H2625="","",'Ordenes_Odoo'!H2625)</f>
        <v/>
      </c>
      <c r="I2625" s="79">
        <f>IF('Ordenes_Odoo'!I2625="","",'Ordenes_Odoo'!I2625)</f>
        <v/>
      </c>
      <c r="J2625" s="79">
        <f>IF('Ordenes_Odoo'!J2625="","",'Ordenes_Odoo'!J2625)</f>
        <v/>
      </c>
      <c r="K2625" s="81">
        <f>IF('Ordenes_Odoo'!K2625="","",'Ordenes_Odoo'!K2625)</f>
        <v/>
      </c>
      <c r="L2625" s="81">
        <f>IF('Ordenes_Odoo'!L2625="","",'Ordenes_Odoo'!L2625)</f>
        <v/>
      </c>
      <c r="M2625" s="79">
        <f>IF('Ordenes_Odoo'!M2625="","",'Ordenes_Odoo'!M2625)</f>
        <v/>
      </c>
      <c r="N2625" s="79">
        <f>IF('Ordenes_Odoo'!N2625="","",'Ordenes_Odoo'!N2625)</f>
        <v/>
      </c>
      <c r="O2625" s="81">
        <f>IF('Ordenes_Odoo'!O2625="","",'Ordenes_Odoo'!O2625)</f>
        <v/>
      </c>
      <c r="P2625" s="81">
        <f>IF('Ordenes_Odoo'!P2625="","",'Ordenes_Odoo'!P2625)</f>
        <v/>
      </c>
      <c r="Q2625" s="79">
        <f>IF(A2625="","",IFERROR(INDEX(Facturas_Odoo!$B:$B, MATCH(A2625, Facturas_Odoo!$D:$D, 0)), "Sin Factura"))</f>
        <v/>
      </c>
      <c r="R2625" s="80">
        <f>IF(Q2625="Sin Factura","",IFERROR(INDEX(Facturas_Odoo!$A:$A, MATCH(Q2625, Facturas_Odoo!$B:$B, 0)), ""))</f>
        <v/>
      </c>
      <c r="S2625" s="79">
        <f>IF(Q2625="Sin Factura","",IFERROR(_xlfn.XLOOKUP(1, (Facturas_Odoo!$D:$D=A2625) * (Facturas_Odoo!$K:$K=I2625), Facturas_Odoo!$L:$L, ""), ""))</f>
        <v/>
      </c>
      <c r="T2625" s="81">
        <f>IF(Q2625="Sin Factura",0,IFERROR(_xlfn.XLOOKUP(1, (Facturas_Odoo!$D:$D=A2625) * (Facturas_Odoo!$K:$K=I2625), Facturas_Odoo!$M:$M, 0), 0))</f>
        <v/>
      </c>
      <c r="U2625" s="79">
        <f>IF(Q2625="Sin Factura",0,IFERROR(_xlfn.XLOOKUP(1, (Facturas_Odoo!$D:$D=A2625) * (Facturas_Odoo!$K:$K=I2625), Facturas_Odoo!$N:$N, 0), 0))</f>
        <v/>
      </c>
      <c r="V2625" s="79">
        <f>IF(Q2625="Sin Factura",0,IFERROR(_xlfn.XLOOKUP(1, (Facturas_Odoo!$D:$D=A2625) * (Facturas_Odoo!$K:$K=I2625), Facturas_Odoo!$O:$O, 0), 0))</f>
        <v/>
      </c>
      <c r="W2625" s="81">
        <f>IF(Q2625="Sin Factura",0,IFERROR(_xlfn.XLOOKUP(1, (Facturas_Odoo!$D:$D=A2625) * (Facturas_Odoo!$K:$K=I2625), Facturas_Odoo!$Q:$Q, 0), 0))</f>
        <v/>
      </c>
      <c r="X2625" s="79">
        <f>IF(OR(Q2625="Sin Factura",Q2625=""),"",IFERROR(INDEX(Pagos_Odoo!$B:$B, MATCH(Q2625, Pagos_Odoo!$I:$I, 0)), "Sin Pago"))</f>
        <v/>
      </c>
      <c r="Y2625" s="79">
        <f>IF(X2625="Sin Pago","",IFERROR(INDEX(Pagos_Odoo!$C:$C, MATCH(X2625, Pagos_Odoo!$B:$B, 0)), ""))</f>
        <v/>
      </c>
      <c r="Z2625" s="80">
        <f>IF(X2625="Sin Pago","",IFERROR(INDEX(Pagos_Odoo!$A:$A, MATCH(X2625, Pagos_Odoo!$B:$B, 0)), ""))</f>
        <v/>
      </c>
      <c r="AA2625" s="79">
        <f>IF(X2625="Sin Pago","",IFERROR(INDEX(Pagos_Odoo!$F:$F, MATCH(X2625, Pagos_Odoo!$B:$B, 0)), ""))</f>
        <v/>
      </c>
      <c r="AB2625" s="81">
        <f>IF(X2625="Sin Pago",0,IFERROR(INDEX(Pagos_Odoo!$E:$E, MATCH(X2625, Pagos_Odoo!$B:$B, 0)), 0))</f>
        <v/>
      </c>
      <c r="AC2625" s="79">
        <f>IF(X2625="Sin Pago","",IFERROR(INDEX(Pagos_Odoo!$G:$G, MATCH(X2625, Pagos_Odoo!$B:$B, 0)), ""))</f>
        <v/>
      </c>
      <c r="AD2625" s="82" t="n">
        <v>0</v>
      </c>
      <c r="AE2625" s="82" t="n"/>
      <c r="AF2625" s="82" t="n"/>
      <c r="AG2625" s="82">
        <f>IF(AN2625="","",AD2625+AE2625+AF2625)</f>
        <v/>
      </c>
      <c r="AH2625" s="81">
        <f>IF(AN2625="","",P2625*(1-AG2625))</f>
        <v/>
      </c>
      <c r="AI2625" s="81">
        <f>IF(AN2625="","",IF(Q2625="Sin Factura",0,IFERROR(INDEX(Facturas_Odoo!$H:$H, MATCH(Q2625, Facturas_Odoo!$B:$B, 0)), 0)*(1-AG2625)))</f>
        <v/>
      </c>
      <c r="AJ2625" s="81">
        <f>IF(AN2625="","",_xlfn.LET(idVenta, AN2625&amp;"",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25" s="81">
        <f>IF(AN2625="","",AH2625-AJ2625)</f>
        <v/>
      </c>
      <c r="AL2625" s="81">
        <f>IF(AN2625="","",IF(Q2625="Sin Factura","",AI2625-AJ2625))</f>
        <v/>
      </c>
      <c r="AM2625" s="81">
        <f>IF(AN2625="","",IF(Q2625="Sin Factura",0,P2625-IFERROR(INDEX(Facturas_Odoo!$H:$H, MATCH(Q2625, Facturas_Odoo!$B:$B, 0)), 0)))</f>
        <v/>
      </c>
      <c r="AN2625" s="79">
        <f>IF(AND(A2625="", J2625=""), "", IF(A2625&lt;&gt;"", VALUE(MID(A2625,2,LEN(A2625))), AN2624))</f>
        <v/>
      </c>
      <c r="AO2625" s="79">
        <f>IF(AN2625="","",IF(AD2625=0,"OK",_xlfn.LET(monedaPago, IF(AA2625="","USD",AA2625), limitePermitido, IFERROR(VLOOKUP(monedaPago, Configuración!$A$2:$B$3, 2, FALSE), 0.15), IF(AD2625&gt;limitePermitido, "ALERTA: EXCESO (" &amp; TEXT(limitePermitido, "0%") &amp; " máx)", "OK"))))</f>
        <v/>
      </c>
      <c r="AP2625" s="79">
        <f>IF(AN2625="","",IF(AE2625=0,"OK",_xlfn.LET(fechaPago, Z2625, fechaFactura, R2625, diasCredito, IF(E2625="Pago inmediato", 0, IFERROR(VALUE(MID(E2625, 1, SEARCH(" ", E2625)-1)),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25" s="79">
        <f>IF(AN2625="","",IF(AND(N2625&gt;0, AG2625&gt;0), IF(Configuración!$K$2="NO", "ALERTA: DESCUENTO DOBLE NO PERMITIDO", "OK"), "OK"))</f>
        <v/>
      </c>
      <c r="AR2625" s="79">
        <f>IF(AN2625="","",IF(OR(AO2625&lt;&gt;"OK", AP2625&lt;&gt;"OK", AQ2625&lt;&gt;"OK"), "⚠️ REVISAR", "OK"))</f>
        <v/>
      </c>
    </row>
    <row r="2626">
      <c r="A2626" s="79">
        <f>IF('Ordenes_Odoo'!A2626="","",'Ordenes_Odoo'!A2626)</f>
        <v/>
      </c>
      <c r="B2626" s="80">
        <f>IF('Ordenes_Odoo'!B2626="","",'Ordenes_Odoo'!B2626)</f>
        <v/>
      </c>
      <c r="C2626" s="79">
        <f>IF('Ordenes_Odoo'!C2626="","",'Ordenes_Odoo'!C2626)</f>
        <v/>
      </c>
      <c r="D2626" s="79">
        <f>IF('Ordenes_Odoo'!D2626="","",'Ordenes_Odoo'!D2626)</f>
        <v/>
      </c>
      <c r="E2626" s="79">
        <f>IF('Ordenes_Odoo'!E2626="","",'Ordenes_Odoo'!E2626)</f>
        <v/>
      </c>
      <c r="F2626" s="79">
        <f>IF('Ordenes_Odoo'!F2626="","",'Ordenes_Odoo'!F2626)</f>
        <v/>
      </c>
      <c r="G2626" s="79">
        <f>IF('Ordenes_Odoo'!G2626="","",'Ordenes_Odoo'!G2626)</f>
        <v/>
      </c>
      <c r="H2626" s="79">
        <f>IF('Ordenes_Odoo'!H2626="","",'Ordenes_Odoo'!H2626)</f>
        <v/>
      </c>
      <c r="I2626" s="79">
        <f>IF('Ordenes_Odoo'!I2626="","",'Ordenes_Odoo'!I2626)</f>
        <v/>
      </c>
      <c r="J2626" s="79">
        <f>IF('Ordenes_Odoo'!J2626="","",'Ordenes_Odoo'!J2626)</f>
        <v/>
      </c>
      <c r="K2626" s="81">
        <f>IF('Ordenes_Odoo'!K2626="","",'Ordenes_Odoo'!K2626)</f>
        <v/>
      </c>
      <c r="L2626" s="81">
        <f>IF('Ordenes_Odoo'!L2626="","",'Ordenes_Odoo'!L2626)</f>
        <v/>
      </c>
      <c r="M2626" s="79">
        <f>IF('Ordenes_Odoo'!M2626="","",'Ordenes_Odoo'!M2626)</f>
        <v/>
      </c>
      <c r="N2626" s="79">
        <f>IF('Ordenes_Odoo'!N2626="","",'Ordenes_Odoo'!N2626)</f>
        <v/>
      </c>
      <c r="O2626" s="81">
        <f>IF('Ordenes_Odoo'!O2626="","",'Ordenes_Odoo'!O2626)</f>
        <v/>
      </c>
      <c r="P2626" s="81">
        <f>IF('Ordenes_Odoo'!P2626="","",'Ordenes_Odoo'!P2626)</f>
        <v/>
      </c>
      <c r="Q2626" s="79">
        <f>IF(A2626="","",IFERROR(INDEX(Facturas_Odoo!$B:$B, MATCH(A2626, Facturas_Odoo!$D:$D, 0)), "Sin Factura"))</f>
        <v/>
      </c>
      <c r="R2626" s="80">
        <f>IF(Q2626="Sin Factura","",IFERROR(INDEX(Facturas_Odoo!$A:$A, MATCH(Q2626, Facturas_Odoo!$B:$B, 0)), ""))</f>
        <v/>
      </c>
      <c r="S2626" s="79">
        <f>IF(Q2626="Sin Factura","",IFERROR(_xlfn.XLOOKUP(1, (Facturas_Odoo!$D:$D=A2626) * (Facturas_Odoo!$K:$K=I2626), Facturas_Odoo!$L:$L, ""), ""))</f>
        <v/>
      </c>
      <c r="T2626" s="81">
        <f>IF(Q2626="Sin Factura",0,IFERROR(_xlfn.XLOOKUP(1, (Facturas_Odoo!$D:$D=A2626) * (Facturas_Odoo!$K:$K=I2626), Facturas_Odoo!$M:$M, 0), 0))</f>
        <v/>
      </c>
      <c r="U2626" s="79">
        <f>IF(Q2626="Sin Factura",0,IFERROR(_xlfn.XLOOKUP(1, (Facturas_Odoo!$D:$D=A2626) * (Facturas_Odoo!$K:$K=I2626), Facturas_Odoo!$N:$N, 0), 0))</f>
        <v/>
      </c>
      <c r="V2626" s="79">
        <f>IF(Q2626="Sin Factura",0,IFERROR(_xlfn.XLOOKUP(1, (Facturas_Odoo!$D:$D=A2626) * (Facturas_Odoo!$K:$K=I2626), Facturas_Odoo!$O:$O, 0), 0))</f>
        <v/>
      </c>
      <c r="W2626" s="81">
        <f>IF(Q2626="Sin Factura",0,IFERROR(_xlfn.XLOOKUP(1, (Facturas_Odoo!$D:$D=A2626) * (Facturas_Odoo!$K:$K=I2626), Facturas_Odoo!$Q:$Q, 0), 0))</f>
        <v/>
      </c>
      <c r="X2626" s="79">
        <f>IF(OR(Q2626="Sin Factura",Q2626=""),"",IFERROR(INDEX(Pagos_Odoo!$B:$B, MATCH(Q2626, Pagos_Odoo!$I:$I, 0)), "Sin Pago"))</f>
        <v/>
      </c>
      <c r="Y2626" s="79">
        <f>IF(X2626="Sin Pago","",IFERROR(INDEX(Pagos_Odoo!$C:$C, MATCH(X2626, Pagos_Odoo!$B:$B, 0)), ""))</f>
        <v/>
      </c>
      <c r="Z2626" s="80">
        <f>IF(X2626="Sin Pago","",IFERROR(INDEX(Pagos_Odoo!$A:$A, MATCH(X2626, Pagos_Odoo!$B:$B, 0)), ""))</f>
        <v/>
      </c>
      <c r="AA2626" s="79">
        <f>IF(X2626="Sin Pago","",IFERROR(INDEX(Pagos_Odoo!$F:$F, MATCH(X2626, Pagos_Odoo!$B:$B, 0)), ""))</f>
        <v/>
      </c>
      <c r="AB2626" s="81">
        <f>IF(X2626="Sin Pago",0,IFERROR(INDEX(Pagos_Odoo!$E:$E, MATCH(X2626, Pagos_Odoo!$B:$B, 0)), 0))</f>
        <v/>
      </c>
      <c r="AC2626" s="79">
        <f>IF(X2626="Sin Pago","",IFERROR(INDEX(Pagos_Odoo!$G:$G, MATCH(X2626, Pagos_Odoo!$B:$B, 0)), ""))</f>
        <v/>
      </c>
      <c r="AD2626" s="82" t="n">
        <v>0</v>
      </c>
      <c r="AE2626" s="82" t="n"/>
      <c r="AF2626" s="82" t="n"/>
      <c r="AG2626" s="82">
        <f>IF(AN2626="","",AD2626+AE2626+AF2626)</f>
        <v/>
      </c>
      <c r="AH2626" s="81">
        <f>IF(AN2626="","",P2626*(1-AG2626))</f>
        <v/>
      </c>
      <c r="AI2626" s="81">
        <f>IF(AN2626="","",IF(Q2626="Sin Factura",0,IFERROR(INDEX(Facturas_Odoo!$H:$H, MATCH(Q2626, Facturas_Odoo!$B:$B, 0)), 0)*(1-AG2626)))</f>
        <v/>
      </c>
      <c r="AJ2626" s="81">
        <f>IF(AN2626="","",_xlfn.LET(idVenta, AN2626&amp;"",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26" s="81">
        <f>IF(AN2626="","",AH2626-AJ2626)</f>
        <v/>
      </c>
      <c r="AL2626" s="81">
        <f>IF(AN2626="","",IF(Q2626="Sin Factura","",AI2626-AJ2626))</f>
        <v/>
      </c>
      <c r="AM2626" s="81">
        <f>IF(AN2626="","",IF(Q2626="Sin Factura",0,P2626-IFERROR(INDEX(Facturas_Odoo!$H:$H, MATCH(Q2626, Facturas_Odoo!$B:$B, 0)), 0)))</f>
        <v/>
      </c>
      <c r="AN2626" s="79">
        <f>IF(AND(A2626="", J2626=""), "", IF(A2626&lt;&gt;"", VALUE(MID(A2626,2,LEN(A2626))), AN2625))</f>
        <v/>
      </c>
      <c r="AO2626" s="79">
        <f>IF(AN2626="","",IF(AD2626=0,"OK",_xlfn.LET(monedaPago, IF(AA2626="","USD",AA2626), limitePermitido, IFERROR(VLOOKUP(monedaPago, Configuración!$A$2:$B$3, 2, FALSE), 0.15), IF(AD2626&gt;limitePermitido, "ALERTA: EXCESO (" &amp; TEXT(limitePermitido, "0%") &amp; " máx)", "OK"))))</f>
        <v/>
      </c>
      <c r="AP2626" s="79">
        <f>IF(AN2626="","",IF(AE2626=0,"OK",_xlfn.LET(fechaPago, Z2626, fechaFactura, R2626, diasCredito, IF(E2626="Pago inmediato", 0, IFERROR(VALUE(MID(E2626, 1, SEARCH(" ", E2626)-1)),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26" s="79">
        <f>IF(AN2626="","",IF(AND(N2626&gt;0, AG2626&gt;0), IF(Configuración!$K$2="NO", "ALERTA: DESCUENTO DOBLE NO PERMITIDO", "OK"), "OK"))</f>
        <v/>
      </c>
      <c r="AR2626" s="79">
        <f>IF(AN2626="","",IF(OR(AO2626&lt;&gt;"OK", AP2626&lt;&gt;"OK", AQ2626&lt;&gt;"OK"), "⚠️ REVISAR", "OK"))</f>
        <v/>
      </c>
    </row>
    <row r="2627">
      <c r="A2627" s="79">
        <f>IF('Ordenes_Odoo'!A2627="","",'Ordenes_Odoo'!A2627)</f>
        <v/>
      </c>
      <c r="B2627" s="80">
        <f>IF('Ordenes_Odoo'!B2627="","",'Ordenes_Odoo'!B2627)</f>
        <v/>
      </c>
      <c r="C2627" s="79">
        <f>IF('Ordenes_Odoo'!C2627="","",'Ordenes_Odoo'!C2627)</f>
        <v/>
      </c>
      <c r="D2627" s="79">
        <f>IF('Ordenes_Odoo'!D2627="","",'Ordenes_Odoo'!D2627)</f>
        <v/>
      </c>
      <c r="E2627" s="79">
        <f>IF('Ordenes_Odoo'!E2627="","",'Ordenes_Odoo'!E2627)</f>
        <v/>
      </c>
      <c r="F2627" s="79">
        <f>IF('Ordenes_Odoo'!F2627="","",'Ordenes_Odoo'!F2627)</f>
        <v/>
      </c>
      <c r="G2627" s="79">
        <f>IF('Ordenes_Odoo'!G2627="","",'Ordenes_Odoo'!G2627)</f>
        <v/>
      </c>
      <c r="H2627" s="79">
        <f>IF('Ordenes_Odoo'!H2627="","",'Ordenes_Odoo'!H2627)</f>
        <v/>
      </c>
      <c r="I2627" s="79">
        <f>IF('Ordenes_Odoo'!I2627="","",'Ordenes_Odoo'!I2627)</f>
        <v/>
      </c>
      <c r="J2627" s="79">
        <f>IF('Ordenes_Odoo'!J2627="","",'Ordenes_Odoo'!J2627)</f>
        <v/>
      </c>
      <c r="K2627" s="81">
        <f>IF('Ordenes_Odoo'!K2627="","",'Ordenes_Odoo'!K2627)</f>
        <v/>
      </c>
      <c r="L2627" s="81">
        <f>IF('Ordenes_Odoo'!L2627="","",'Ordenes_Odoo'!L2627)</f>
        <v/>
      </c>
      <c r="M2627" s="79">
        <f>IF('Ordenes_Odoo'!M2627="","",'Ordenes_Odoo'!M2627)</f>
        <v/>
      </c>
      <c r="N2627" s="79">
        <f>IF('Ordenes_Odoo'!N2627="","",'Ordenes_Odoo'!N2627)</f>
        <v/>
      </c>
      <c r="O2627" s="81">
        <f>IF('Ordenes_Odoo'!O2627="","",'Ordenes_Odoo'!O2627)</f>
        <v/>
      </c>
      <c r="P2627" s="81">
        <f>IF('Ordenes_Odoo'!P2627="","",'Ordenes_Odoo'!P2627)</f>
        <v/>
      </c>
      <c r="Q2627" s="79">
        <f>IF(A2627="","",IFERROR(INDEX(Facturas_Odoo!$B:$B, MATCH(A2627, Facturas_Odoo!$D:$D, 0)), "Sin Factura"))</f>
        <v/>
      </c>
      <c r="R2627" s="80">
        <f>IF(Q2627="Sin Factura","",IFERROR(INDEX(Facturas_Odoo!$A:$A, MATCH(Q2627, Facturas_Odoo!$B:$B, 0)), ""))</f>
        <v/>
      </c>
      <c r="S2627" s="79">
        <f>IF(Q2627="Sin Factura","",IFERROR(_xlfn.XLOOKUP(1, (Facturas_Odoo!$D:$D=A2627) * (Facturas_Odoo!$K:$K=I2627), Facturas_Odoo!$L:$L, ""), ""))</f>
        <v/>
      </c>
      <c r="T2627" s="81">
        <f>IF(Q2627="Sin Factura",0,IFERROR(_xlfn.XLOOKUP(1, (Facturas_Odoo!$D:$D=A2627) * (Facturas_Odoo!$K:$K=I2627), Facturas_Odoo!$M:$M, 0), 0))</f>
        <v/>
      </c>
      <c r="U2627" s="79">
        <f>IF(Q2627="Sin Factura",0,IFERROR(_xlfn.XLOOKUP(1, (Facturas_Odoo!$D:$D=A2627) * (Facturas_Odoo!$K:$K=I2627), Facturas_Odoo!$N:$N, 0), 0))</f>
        <v/>
      </c>
      <c r="V2627" s="79">
        <f>IF(Q2627="Sin Factura",0,IFERROR(_xlfn.XLOOKUP(1, (Facturas_Odoo!$D:$D=A2627) * (Facturas_Odoo!$K:$K=I2627), Facturas_Odoo!$O:$O, 0), 0))</f>
        <v/>
      </c>
      <c r="W2627" s="81">
        <f>IF(Q2627="Sin Factura",0,IFERROR(_xlfn.XLOOKUP(1, (Facturas_Odoo!$D:$D=A2627) * (Facturas_Odoo!$K:$K=I2627), Facturas_Odoo!$Q:$Q, 0), 0))</f>
        <v/>
      </c>
      <c r="X2627" s="79">
        <f>IF(OR(Q2627="Sin Factura",Q2627=""),"",IFERROR(INDEX(Pagos_Odoo!$B:$B, MATCH(Q2627, Pagos_Odoo!$I:$I, 0)), "Sin Pago"))</f>
        <v/>
      </c>
      <c r="Y2627" s="79">
        <f>IF(X2627="Sin Pago","",IFERROR(INDEX(Pagos_Odoo!$C:$C, MATCH(X2627, Pagos_Odoo!$B:$B, 0)), ""))</f>
        <v/>
      </c>
      <c r="Z2627" s="80">
        <f>IF(X2627="Sin Pago","",IFERROR(INDEX(Pagos_Odoo!$A:$A, MATCH(X2627, Pagos_Odoo!$B:$B, 0)), ""))</f>
        <v/>
      </c>
      <c r="AA2627" s="79">
        <f>IF(X2627="Sin Pago","",IFERROR(INDEX(Pagos_Odoo!$F:$F, MATCH(X2627, Pagos_Odoo!$B:$B, 0)), ""))</f>
        <v/>
      </c>
      <c r="AB2627" s="81">
        <f>IF(X2627="Sin Pago",0,IFERROR(INDEX(Pagos_Odoo!$E:$E, MATCH(X2627, Pagos_Odoo!$B:$B, 0)), 0))</f>
        <v/>
      </c>
      <c r="AC2627" s="79">
        <f>IF(X2627="Sin Pago","",IFERROR(INDEX(Pagos_Odoo!$G:$G, MATCH(X2627, Pagos_Odoo!$B:$B, 0)), ""))</f>
        <v/>
      </c>
      <c r="AD2627" s="82" t="n">
        <v>0</v>
      </c>
      <c r="AE2627" s="82" t="n"/>
      <c r="AF2627" s="82" t="n"/>
      <c r="AG2627" s="82">
        <f>IF(AN2627="","",AD2627+AE2627+AF2627)</f>
        <v/>
      </c>
      <c r="AH2627" s="81">
        <f>IF(AN2627="","",P2627*(1-AG2627))</f>
        <v/>
      </c>
      <c r="AI2627" s="81">
        <f>IF(AN2627="","",IF(Q2627="Sin Factura",0,IFERROR(INDEX(Facturas_Odoo!$H:$H, MATCH(Q2627, Facturas_Odoo!$B:$B, 0)), 0)*(1-AG2627)))</f>
        <v/>
      </c>
      <c r="AJ2627" s="81">
        <f>IF(AN2627="","",_xlfn.LET(idVenta, AN2627&amp;"",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27" s="81">
        <f>IF(AN2627="","",AH2627-AJ2627)</f>
        <v/>
      </c>
      <c r="AL2627" s="81">
        <f>IF(AN2627="","",IF(Q2627="Sin Factura","",AI2627-AJ2627))</f>
        <v/>
      </c>
      <c r="AM2627" s="81">
        <f>IF(AN2627="","",IF(Q2627="Sin Factura",0,P2627-IFERROR(INDEX(Facturas_Odoo!$H:$H, MATCH(Q2627, Facturas_Odoo!$B:$B, 0)), 0)))</f>
        <v/>
      </c>
      <c r="AN2627" s="79">
        <f>IF(AND(A2627="", J2627=""), "", IF(A2627&lt;&gt;"", VALUE(MID(A2627,2,LEN(A2627))), AN2626))</f>
        <v/>
      </c>
      <c r="AO2627" s="79">
        <f>IF(AN2627="","",IF(AD2627=0,"OK",_xlfn.LET(monedaPago, IF(AA2627="","USD",AA2627), limitePermitido, IFERROR(VLOOKUP(monedaPago, Configuración!$A$2:$B$3, 2, FALSE), 0.15), IF(AD2627&gt;limitePermitido, "ALERTA: EXCESO (" &amp; TEXT(limitePermitido, "0%") &amp; " máx)", "OK"))))</f>
        <v/>
      </c>
      <c r="AP2627" s="79">
        <f>IF(AN2627="","",IF(AE2627=0,"OK",_xlfn.LET(fechaPago, Z2627, fechaFactura, R2627, diasCredito, IF(E2627="Pago inmediato", 0, IFERROR(VALUE(MID(E2627, 1, SEARCH(" ", E2627)-1)),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27" s="79">
        <f>IF(AN2627="","",IF(AND(N2627&gt;0, AG2627&gt;0), IF(Configuración!$K$2="NO", "ALERTA: DESCUENTO DOBLE NO PERMITIDO", "OK"), "OK"))</f>
        <v/>
      </c>
      <c r="AR2627" s="79">
        <f>IF(AN2627="","",IF(OR(AO2627&lt;&gt;"OK", AP2627&lt;&gt;"OK", AQ2627&lt;&gt;"OK"), "⚠️ REVISAR", "OK"))</f>
        <v/>
      </c>
    </row>
    <row r="2628">
      <c r="A2628" s="79">
        <f>IF('Ordenes_Odoo'!A2628="","",'Ordenes_Odoo'!A2628)</f>
        <v/>
      </c>
      <c r="B2628" s="80">
        <f>IF('Ordenes_Odoo'!B2628="","",'Ordenes_Odoo'!B2628)</f>
        <v/>
      </c>
      <c r="C2628" s="79">
        <f>IF('Ordenes_Odoo'!C2628="","",'Ordenes_Odoo'!C2628)</f>
        <v/>
      </c>
      <c r="D2628" s="79">
        <f>IF('Ordenes_Odoo'!D2628="","",'Ordenes_Odoo'!D2628)</f>
        <v/>
      </c>
      <c r="E2628" s="79">
        <f>IF('Ordenes_Odoo'!E2628="","",'Ordenes_Odoo'!E2628)</f>
        <v/>
      </c>
      <c r="F2628" s="79">
        <f>IF('Ordenes_Odoo'!F2628="","",'Ordenes_Odoo'!F2628)</f>
        <v/>
      </c>
      <c r="G2628" s="79">
        <f>IF('Ordenes_Odoo'!G2628="","",'Ordenes_Odoo'!G2628)</f>
        <v/>
      </c>
      <c r="H2628" s="79">
        <f>IF('Ordenes_Odoo'!H2628="","",'Ordenes_Odoo'!H2628)</f>
        <v/>
      </c>
      <c r="I2628" s="79">
        <f>IF('Ordenes_Odoo'!I2628="","",'Ordenes_Odoo'!I2628)</f>
        <v/>
      </c>
      <c r="J2628" s="79">
        <f>IF('Ordenes_Odoo'!J2628="","",'Ordenes_Odoo'!J2628)</f>
        <v/>
      </c>
      <c r="K2628" s="81">
        <f>IF('Ordenes_Odoo'!K2628="","",'Ordenes_Odoo'!K2628)</f>
        <v/>
      </c>
      <c r="L2628" s="81">
        <f>IF('Ordenes_Odoo'!L2628="","",'Ordenes_Odoo'!L2628)</f>
        <v/>
      </c>
      <c r="M2628" s="79">
        <f>IF('Ordenes_Odoo'!M2628="","",'Ordenes_Odoo'!M2628)</f>
        <v/>
      </c>
      <c r="N2628" s="79">
        <f>IF('Ordenes_Odoo'!N2628="","",'Ordenes_Odoo'!N2628)</f>
        <v/>
      </c>
      <c r="O2628" s="81">
        <f>IF('Ordenes_Odoo'!O2628="","",'Ordenes_Odoo'!O2628)</f>
        <v/>
      </c>
      <c r="P2628" s="81">
        <f>IF('Ordenes_Odoo'!P2628="","",'Ordenes_Odoo'!P2628)</f>
        <v/>
      </c>
      <c r="Q2628" s="79">
        <f>IF(A2628="","",IFERROR(INDEX(Facturas_Odoo!$B:$B, MATCH(A2628, Facturas_Odoo!$D:$D, 0)), "Sin Factura"))</f>
        <v/>
      </c>
      <c r="R2628" s="80">
        <f>IF(Q2628="Sin Factura","",IFERROR(INDEX(Facturas_Odoo!$A:$A, MATCH(Q2628, Facturas_Odoo!$B:$B, 0)), ""))</f>
        <v/>
      </c>
      <c r="S2628" s="79">
        <f>IF(Q2628="Sin Factura","",IFERROR(_xlfn.XLOOKUP(1, (Facturas_Odoo!$D:$D=A2628) * (Facturas_Odoo!$K:$K=I2628), Facturas_Odoo!$L:$L, ""), ""))</f>
        <v/>
      </c>
      <c r="T2628" s="81">
        <f>IF(Q2628="Sin Factura",0,IFERROR(_xlfn.XLOOKUP(1, (Facturas_Odoo!$D:$D=A2628) * (Facturas_Odoo!$K:$K=I2628), Facturas_Odoo!$M:$M, 0), 0))</f>
        <v/>
      </c>
      <c r="U2628" s="79">
        <f>IF(Q2628="Sin Factura",0,IFERROR(_xlfn.XLOOKUP(1, (Facturas_Odoo!$D:$D=A2628) * (Facturas_Odoo!$K:$K=I2628), Facturas_Odoo!$N:$N, 0), 0))</f>
        <v/>
      </c>
      <c r="V2628" s="79">
        <f>IF(Q2628="Sin Factura",0,IFERROR(_xlfn.XLOOKUP(1, (Facturas_Odoo!$D:$D=A2628) * (Facturas_Odoo!$K:$K=I2628), Facturas_Odoo!$O:$O, 0), 0))</f>
        <v/>
      </c>
      <c r="W2628" s="81">
        <f>IF(Q2628="Sin Factura",0,IFERROR(_xlfn.XLOOKUP(1, (Facturas_Odoo!$D:$D=A2628) * (Facturas_Odoo!$K:$K=I2628), Facturas_Odoo!$Q:$Q, 0), 0))</f>
        <v/>
      </c>
      <c r="X2628" s="79">
        <f>IF(OR(Q2628="Sin Factura",Q2628=""),"",IFERROR(INDEX(Pagos_Odoo!$B:$B, MATCH(Q2628, Pagos_Odoo!$I:$I, 0)), "Sin Pago"))</f>
        <v/>
      </c>
      <c r="Y2628" s="79">
        <f>IF(X2628="Sin Pago","",IFERROR(INDEX(Pagos_Odoo!$C:$C, MATCH(X2628, Pagos_Odoo!$B:$B, 0)), ""))</f>
        <v/>
      </c>
      <c r="Z2628" s="80">
        <f>IF(X2628="Sin Pago","",IFERROR(INDEX(Pagos_Odoo!$A:$A, MATCH(X2628, Pagos_Odoo!$B:$B, 0)), ""))</f>
        <v/>
      </c>
      <c r="AA2628" s="79">
        <f>IF(X2628="Sin Pago","",IFERROR(INDEX(Pagos_Odoo!$F:$F, MATCH(X2628, Pagos_Odoo!$B:$B, 0)), ""))</f>
        <v/>
      </c>
      <c r="AB2628" s="81">
        <f>IF(X2628="Sin Pago",0,IFERROR(INDEX(Pagos_Odoo!$E:$E, MATCH(X2628, Pagos_Odoo!$B:$B, 0)), 0))</f>
        <v/>
      </c>
      <c r="AC2628" s="79">
        <f>IF(X2628="Sin Pago","",IFERROR(INDEX(Pagos_Odoo!$G:$G, MATCH(X2628, Pagos_Odoo!$B:$B, 0)), ""))</f>
        <v/>
      </c>
      <c r="AD2628" s="82" t="n">
        <v>0</v>
      </c>
      <c r="AE2628" s="82" t="n"/>
      <c r="AF2628" s="82" t="n"/>
      <c r="AG2628" s="82">
        <f>IF(AN2628="","",AD2628+AE2628+AF2628)</f>
        <v/>
      </c>
      <c r="AH2628" s="81">
        <f>IF(AN2628="","",P2628*(1-AG2628))</f>
        <v/>
      </c>
      <c r="AI2628" s="81">
        <f>IF(AN2628="","",IF(Q2628="Sin Factura",0,IFERROR(INDEX(Facturas_Odoo!$H:$H, MATCH(Q2628, Facturas_Odoo!$B:$B, 0)), 0)*(1-AG2628)))</f>
        <v/>
      </c>
      <c r="AJ2628" s="81">
        <f>IF(AN2628="","",_xlfn.LET(idVenta, AN2628&amp;"",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28" s="81">
        <f>IF(AN2628="","",AH2628-AJ2628)</f>
        <v/>
      </c>
      <c r="AL2628" s="81">
        <f>IF(AN2628="","",IF(Q2628="Sin Factura","",AI2628-AJ2628))</f>
        <v/>
      </c>
      <c r="AM2628" s="81">
        <f>IF(AN2628="","",IF(Q2628="Sin Factura",0,P2628-IFERROR(INDEX(Facturas_Odoo!$H:$H, MATCH(Q2628, Facturas_Odoo!$B:$B, 0)), 0)))</f>
        <v/>
      </c>
      <c r="AN2628" s="79">
        <f>IF(AND(A2628="", J2628=""), "", IF(A2628&lt;&gt;"", VALUE(MID(A2628,2,LEN(A2628))), AN2627))</f>
        <v/>
      </c>
      <c r="AO2628" s="79">
        <f>IF(AN2628="","",IF(AD2628=0,"OK",_xlfn.LET(monedaPago, IF(AA2628="","USD",AA2628), limitePermitido, IFERROR(VLOOKUP(monedaPago, Configuración!$A$2:$B$3, 2, FALSE), 0.15), IF(AD2628&gt;limitePermitido, "ALERTA: EXCESO (" &amp; TEXT(limitePermitido, "0%") &amp; " máx)", "OK"))))</f>
        <v/>
      </c>
      <c r="AP2628" s="79">
        <f>IF(AN2628="","",IF(AE2628=0,"OK",_xlfn.LET(fechaPago, Z2628, fechaFactura, R2628, diasCredito, IF(E2628="Pago inmediato", 0, IFERROR(VALUE(MID(E2628, 1, SEARCH(" ", E2628)-1)),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28" s="79">
        <f>IF(AN2628="","",IF(AND(N2628&gt;0, AG2628&gt;0), IF(Configuración!$K$2="NO", "ALERTA: DESCUENTO DOBLE NO PERMITIDO", "OK"), "OK"))</f>
        <v/>
      </c>
      <c r="AR2628" s="79">
        <f>IF(AN2628="","",IF(OR(AO2628&lt;&gt;"OK", AP2628&lt;&gt;"OK", AQ2628&lt;&gt;"OK"), "⚠️ REVISAR", "OK"))</f>
        <v/>
      </c>
    </row>
    <row r="2629">
      <c r="A2629" s="79">
        <f>IF('Ordenes_Odoo'!A2629="","",'Ordenes_Odoo'!A2629)</f>
        <v/>
      </c>
      <c r="B2629" s="80">
        <f>IF('Ordenes_Odoo'!B2629="","",'Ordenes_Odoo'!B2629)</f>
        <v/>
      </c>
      <c r="C2629" s="79">
        <f>IF('Ordenes_Odoo'!C2629="","",'Ordenes_Odoo'!C2629)</f>
        <v/>
      </c>
      <c r="D2629" s="79">
        <f>IF('Ordenes_Odoo'!D2629="","",'Ordenes_Odoo'!D2629)</f>
        <v/>
      </c>
      <c r="E2629" s="79">
        <f>IF('Ordenes_Odoo'!E2629="","",'Ordenes_Odoo'!E2629)</f>
        <v/>
      </c>
      <c r="F2629" s="79">
        <f>IF('Ordenes_Odoo'!F2629="","",'Ordenes_Odoo'!F2629)</f>
        <v/>
      </c>
      <c r="G2629" s="79">
        <f>IF('Ordenes_Odoo'!G2629="","",'Ordenes_Odoo'!G2629)</f>
        <v/>
      </c>
      <c r="H2629" s="79">
        <f>IF('Ordenes_Odoo'!H2629="","",'Ordenes_Odoo'!H2629)</f>
        <v/>
      </c>
      <c r="I2629" s="79">
        <f>IF('Ordenes_Odoo'!I2629="","",'Ordenes_Odoo'!I2629)</f>
        <v/>
      </c>
      <c r="J2629" s="79">
        <f>IF('Ordenes_Odoo'!J2629="","",'Ordenes_Odoo'!J2629)</f>
        <v/>
      </c>
      <c r="K2629" s="81">
        <f>IF('Ordenes_Odoo'!K2629="","",'Ordenes_Odoo'!K2629)</f>
        <v/>
      </c>
      <c r="L2629" s="81">
        <f>IF('Ordenes_Odoo'!L2629="","",'Ordenes_Odoo'!L2629)</f>
        <v/>
      </c>
      <c r="M2629" s="79">
        <f>IF('Ordenes_Odoo'!M2629="","",'Ordenes_Odoo'!M2629)</f>
        <v/>
      </c>
      <c r="N2629" s="79">
        <f>IF('Ordenes_Odoo'!N2629="","",'Ordenes_Odoo'!N2629)</f>
        <v/>
      </c>
      <c r="O2629" s="81">
        <f>IF('Ordenes_Odoo'!O2629="","",'Ordenes_Odoo'!O2629)</f>
        <v/>
      </c>
      <c r="P2629" s="81">
        <f>IF('Ordenes_Odoo'!P2629="","",'Ordenes_Odoo'!P2629)</f>
        <v/>
      </c>
      <c r="Q2629" s="79">
        <f>IF(A2629="","",IFERROR(INDEX(Facturas_Odoo!$B:$B, MATCH(A2629, Facturas_Odoo!$D:$D, 0)), "Sin Factura"))</f>
        <v/>
      </c>
      <c r="R2629" s="80">
        <f>IF(Q2629="Sin Factura","",IFERROR(INDEX(Facturas_Odoo!$A:$A, MATCH(Q2629, Facturas_Odoo!$B:$B, 0)), ""))</f>
        <v/>
      </c>
      <c r="S2629" s="79">
        <f>IF(Q2629="Sin Factura","",IFERROR(_xlfn.XLOOKUP(1, (Facturas_Odoo!$D:$D=A2629) * (Facturas_Odoo!$K:$K=I2629), Facturas_Odoo!$L:$L, ""), ""))</f>
        <v/>
      </c>
      <c r="T2629" s="81">
        <f>IF(Q2629="Sin Factura",0,IFERROR(_xlfn.XLOOKUP(1, (Facturas_Odoo!$D:$D=A2629) * (Facturas_Odoo!$K:$K=I2629), Facturas_Odoo!$M:$M, 0), 0))</f>
        <v/>
      </c>
      <c r="U2629" s="79">
        <f>IF(Q2629="Sin Factura",0,IFERROR(_xlfn.XLOOKUP(1, (Facturas_Odoo!$D:$D=A2629) * (Facturas_Odoo!$K:$K=I2629), Facturas_Odoo!$N:$N, 0), 0))</f>
        <v/>
      </c>
      <c r="V2629" s="79">
        <f>IF(Q2629="Sin Factura",0,IFERROR(_xlfn.XLOOKUP(1, (Facturas_Odoo!$D:$D=A2629) * (Facturas_Odoo!$K:$K=I2629), Facturas_Odoo!$O:$O, 0), 0))</f>
        <v/>
      </c>
      <c r="W2629" s="81">
        <f>IF(Q2629="Sin Factura",0,IFERROR(_xlfn.XLOOKUP(1, (Facturas_Odoo!$D:$D=A2629) * (Facturas_Odoo!$K:$K=I2629), Facturas_Odoo!$Q:$Q, 0), 0))</f>
        <v/>
      </c>
      <c r="X2629" s="79">
        <f>IF(OR(Q2629="Sin Factura",Q2629=""),"",IFERROR(INDEX(Pagos_Odoo!$B:$B, MATCH(Q2629, Pagos_Odoo!$I:$I, 0)), "Sin Pago"))</f>
        <v/>
      </c>
      <c r="Y2629" s="79">
        <f>IF(X2629="Sin Pago","",IFERROR(INDEX(Pagos_Odoo!$C:$C, MATCH(X2629, Pagos_Odoo!$B:$B, 0)), ""))</f>
        <v/>
      </c>
      <c r="Z2629" s="80">
        <f>IF(X2629="Sin Pago","",IFERROR(INDEX(Pagos_Odoo!$A:$A, MATCH(X2629, Pagos_Odoo!$B:$B, 0)), ""))</f>
        <v/>
      </c>
      <c r="AA2629" s="79">
        <f>IF(X2629="Sin Pago","",IFERROR(INDEX(Pagos_Odoo!$F:$F, MATCH(X2629, Pagos_Odoo!$B:$B, 0)), ""))</f>
        <v/>
      </c>
      <c r="AB2629" s="81">
        <f>IF(X2629="Sin Pago",0,IFERROR(INDEX(Pagos_Odoo!$E:$E, MATCH(X2629, Pagos_Odoo!$B:$B, 0)), 0))</f>
        <v/>
      </c>
      <c r="AC2629" s="79">
        <f>IF(X2629="Sin Pago","",IFERROR(INDEX(Pagos_Odoo!$G:$G, MATCH(X2629, Pagos_Odoo!$B:$B, 0)), ""))</f>
        <v/>
      </c>
      <c r="AD2629" s="82" t="n">
        <v>0</v>
      </c>
      <c r="AE2629" s="82" t="n"/>
      <c r="AF2629" s="82" t="n"/>
      <c r="AG2629" s="82">
        <f>IF(AN2629="","",AD2629+AE2629+AF2629)</f>
        <v/>
      </c>
      <c r="AH2629" s="81">
        <f>IF(AN2629="","",P2629*(1-AG2629))</f>
        <v/>
      </c>
      <c r="AI2629" s="81">
        <f>IF(AN2629="","",IF(Q2629="Sin Factura",0,IFERROR(INDEX(Facturas_Odoo!$H:$H, MATCH(Q2629, Facturas_Odoo!$B:$B, 0)), 0)*(1-AG2629)))</f>
        <v/>
      </c>
      <c r="AJ2629" s="81">
        <f>IF(AN2629="","",_xlfn.LET(idVenta, AN2629&amp;"",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29" s="81">
        <f>IF(AN2629="","",AH2629-AJ2629)</f>
        <v/>
      </c>
      <c r="AL2629" s="81">
        <f>IF(AN2629="","",IF(Q2629="Sin Factura","",AI2629-AJ2629))</f>
        <v/>
      </c>
      <c r="AM2629" s="81">
        <f>IF(AN2629="","",IF(Q2629="Sin Factura",0,P2629-IFERROR(INDEX(Facturas_Odoo!$H:$H, MATCH(Q2629, Facturas_Odoo!$B:$B, 0)), 0)))</f>
        <v/>
      </c>
      <c r="AN2629" s="79">
        <f>IF(AND(A2629="", J2629=""), "", IF(A2629&lt;&gt;"", VALUE(MID(A2629,2,LEN(A2629))), AN2628))</f>
        <v/>
      </c>
      <c r="AO2629" s="79">
        <f>IF(AN2629="","",IF(AD2629=0,"OK",_xlfn.LET(monedaPago, IF(AA2629="","USD",AA2629), limitePermitido, IFERROR(VLOOKUP(monedaPago, Configuración!$A$2:$B$3, 2, FALSE), 0.15), IF(AD2629&gt;limitePermitido, "ALERTA: EXCESO (" &amp; TEXT(limitePermitido, "0%") &amp; " máx)", "OK"))))</f>
        <v/>
      </c>
      <c r="AP2629" s="79">
        <f>IF(AN2629="","",IF(AE2629=0,"OK",_xlfn.LET(fechaPago, Z2629, fechaFactura, R2629, diasCredito, IF(E2629="Pago inmediato", 0, IFERROR(VALUE(MID(E2629, 1, SEARCH(" ", E2629)-1)),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29" s="79">
        <f>IF(AN2629="","",IF(AND(N2629&gt;0, AG2629&gt;0), IF(Configuración!$K$2="NO", "ALERTA: DESCUENTO DOBLE NO PERMITIDO", "OK"), "OK"))</f>
        <v/>
      </c>
      <c r="AR2629" s="79">
        <f>IF(AN2629="","",IF(OR(AO2629&lt;&gt;"OK", AP2629&lt;&gt;"OK", AQ2629&lt;&gt;"OK"), "⚠️ REVISAR", "OK"))</f>
        <v/>
      </c>
    </row>
    <row r="2630">
      <c r="A2630" s="79">
        <f>IF('Ordenes_Odoo'!A2630="","",'Ordenes_Odoo'!A2630)</f>
        <v/>
      </c>
      <c r="B2630" s="80">
        <f>IF('Ordenes_Odoo'!B2630="","",'Ordenes_Odoo'!B2630)</f>
        <v/>
      </c>
      <c r="C2630" s="79">
        <f>IF('Ordenes_Odoo'!C2630="","",'Ordenes_Odoo'!C2630)</f>
        <v/>
      </c>
      <c r="D2630" s="79">
        <f>IF('Ordenes_Odoo'!D2630="","",'Ordenes_Odoo'!D2630)</f>
        <v/>
      </c>
      <c r="E2630" s="79">
        <f>IF('Ordenes_Odoo'!E2630="","",'Ordenes_Odoo'!E2630)</f>
        <v/>
      </c>
      <c r="F2630" s="79">
        <f>IF('Ordenes_Odoo'!F2630="","",'Ordenes_Odoo'!F2630)</f>
        <v/>
      </c>
      <c r="G2630" s="79">
        <f>IF('Ordenes_Odoo'!G2630="","",'Ordenes_Odoo'!G2630)</f>
        <v/>
      </c>
      <c r="H2630" s="79">
        <f>IF('Ordenes_Odoo'!H2630="","",'Ordenes_Odoo'!H2630)</f>
        <v/>
      </c>
      <c r="I2630" s="79">
        <f>IF('Ordenes_Odoo'!I2630="","",'Ordenes_Odoo'!I2630)</f>
        <v/>
      </c>
      <c r="J2630" s="79">
        <f>IF('Ordenes_Odoo'!J2630="","",'Ordenes_Odoo'!J2630)</f>
        <v/>
      </c>
      <c r="K2630" s="81">
        <f>IF('Ordenes_Odoo'!K2630="","",'Ordenes_Odoo'!K2630)</f>
        <v/>
      </c>
      <c r="L2630" s="81">
        <f>IF('Ordenes_Odoo'!L2630="","",'Ordenes_Odoo'!L2630)</f>
        <v/>
      </c>
      <c r="M2630" s="79">
        <f>IF('Ordenes_Odoo'!M2630="","",'Ordenes_Odoo'!M2630)</f>
        <v/>
      </c>
      <c r="N2630" s="79">
        <f>IF('Ordenes_Odoo'!N2630="","",'Ordenes_Odoo'!N2630)</f>
        <v/>
      </c>
      <c r="O2630" s="81">
        <f>IF('Ordenes_Odoo'!O2630="","",'Ordenes_Odoo'!O2630)</f>
        <v/>
      </c>
      <c r="P2630" s="81">
        <f>IF('Ordenes_Odoo'!P2630="","",'Ordenes_Odoo'!P2630)</f>
        <v/>
      </c>
      <c r="Q2630" s="79">
        <f>IF(A2630="","",IFERROR(INDEX(Facturas_Odoo!$B:$B, MATCH(A2630, Facturas_Odoo!$D:$D, 0)), "Sin Factura"))</f>
        <v/>
      </c>
      <c r="R2630" s="80">
        <f>IF(Q2630="Sin Factura","",IFERROR(INDEX(Facturas_Odoo!$A:$A, MATCH(Q2630, Facturas_Odoo!$B:$B, 0)), ""))</f>
        <v/>
      </c>
      <c r="S2630" s="79">
        <f>IF(Q2630="Sin Factura","",IFERROR(_xlfn.XLOOKUP(1, (Facturas_Odoo!$D:$D=A2630) * (Facturas_Odoo!$K:$K=I2630), Facturas_Odoo!$L:$L, ""), ""))</f>
        <v/>
      </c>
      <c r="T2630" s="81">
        <f>IF(Q2630="Sin Factura",0,IFERROR(_xlfn.XLOOKUP(1, (Facturas_Odoo!$D:$D=A2630) * (Facturas_Odoo!$K:$K=I2630), Facturas_Odoo!$M:$M, 0), 0))</f>
        <v/>
      </c>
      <c r="U2630" s="79">
        <f>IF(Q2630="Sin Factura",0,IFERROR(_xlfn.XLOOKUP(1, (Facturas_Odoo!$D:$D=A2630) * (Facturas_Odoo!$K:$K=I2630), Facturas_Odoo!$N:$N, 0), 0))</f>
        <v/>
      </c>
      <c r="V2630" s="79">
        <f>IF(Q2630="Sin Factura",0,IFERROR(_xlfn.XLOOKUP(1, (Facturas_Odoo!$D:$D=A2630) * (Facturas_Odoo!$K:$K=I2630), Facturas_Odoo!$O:$O, 0), 0))</f>
        <v/>
      </c>
      <c r="W2630" s="81">
        <f>IF(Q2630="Sin Factura",0,IFERROR(_xlfn.XLOOKUP(1, (Facturas_Odoo!$D:$D=A2630) * (Facturas_Odoo!$K:$K=I2630), Facturas_Odoo!$Q:$Q, 0), 0))</f>
        <v/>
      </c>
      <c r="X2630" s="79">
        <f>IF(OR(Q2630="Sin Factura",Q2630=""),"",IFERROR(INDEX(Pagos_Odoo!$B:$B, MATCH(Q2630, Pagos_Odoo!$I:$I, 0)), "Sin Pago"))</f>
        <v/>
      </c>
      <c r="Y2630" s="79">
        <f>IF(X2630="Sin Pago","",IFERROR(INDEX(Pagos_Odoo!$C:$C, MATCH(X2630, Pagos_Odoo!$B:$B, 0)), ""))</f>
        <v/>
      </c>
      <c r="Z2630" s="80">
        <f>IF(X2630="Sin Pago","",IFERROR(INDEX(Pagos_Odoo!$A:$A, MATCH(X2630, Pagos_Odoo!$B:$B, 0)), ""))</f>
        <v/>
      </c>
      <c r="AA2630" s="79">
        <f>IF(X2630="Sin Pago","",IFERROR(INDEX(Pagos_Odoo!$F:$F, MATCH(X2630, Pagos_Odoo!$B:$B, 0)), ""))</f>
        <v/>
      </c>
      <c r="AB2630" s="81">
        <f>IF(X2630="Sin Pago",0,IFERROR(INDEX(Pagos_Odoo!$E:$E, MATCH(X2630, Pagos_Odoo!$B:$B, 0)), 0))</f>
        <v/>
      </c>
      <c r="AC2630" s="79">
        <f>IF(X2630="Sin Pago","",IFERROR(INDEX(Pagos_Odoo!$G:$G, MATCH(X2630, Pagos_Odoo!$B:$B, 0)), ""))</f>
        <v/>
      </c>
      <c r="AD2630" s="82" t="n">
        <v>0</v>
      </c>
      <c r="AE2630" s="82" t="n"/>
      <c r="AF2630" s="82" t="n"/>
      <c r="AG2630" s="82">
        <f>IF(AN2630="","",AD2630+AE2630+AF2630)</f>
        <v/>
      </c>
      <c r="AH2630" s="81">
        <f>IF(AN2630="","",P2630*(1-AG2630))</f>
        <v/>
      </c>
      <c r="AI2630" s="81">
        <f>IF(AN2630="","",IF(Q2630="Sin Factura",0,IFERROR(INDEX(Facturas_Odoo!$H:$H, MATCH(Q2630, Facturas_Odoo!$B:$B, 0)), 0)*(1-AG2630)))</f>
        <v/>
      </c>
      <c r="AJ2630" s="81">
        <f>IF(AN2630="","",_xlfn.LET(idVenta, AN2630&amp;"",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30" s="81">
        <f>IF(AN2630="","",AH2630-AJ2630)</f>
        <v/>
      </c>
      <c r="AL2630" s="81">
        <f>IF(AN2630="","",IF(Q2630="Sin Factura","",AI2630-AJ2630))</f>
        <v/>
      </c>
      <c r="AM2630" s="81">
        <f>IF(AN2630="","",IF(Q2630="Sin Factura",0,P2630-IFERROR(INDEX(Facturas_Odoo!$H:$H, MATCH(Q2630, Facturas_Odoo!$B:$B, 0)), 0)))</f>
        <v/>
      </c>
      <c r="AN2630" s="79">
        <f>IF(AND(A2630="", J2630=""), "", IF(A2630&lt;&gt;"", VALUE(MID(A2630,2,LEN(A2630))), AN2629))</f>
        <v/>
      </c>
      <c r="AO2630" s="79">
        <f>IF(AN2630="","",IF(AD2630=0,"OK",_xlfn.LET(monedaPago, IF(AA2630="","USD",AA2630), limitePermitido, IFERROR(VLOOKUP(monedaPago, Configuración!$A$2:$B$3, 2, FALSE), 0.15), IF(AD2630&gt;limitePermitido, "ALERTA: EXCESO (" &amp; TEXT(limitePermitido, "0%") &amp; " máx)", "OK"))))</f>
        <v/>
      </c>
      <c r="AP2630" s="79">
        <f>IF(AN2630="","",IF(AE2630=0,"OK",_xlfn.LET(fechaPago, Z2630, fechaFactura, R2630, diasCredito, IF(E2630="Pago inmediato", 0, IFERROR(VALUE(MID(E2630, 1, SEARCH(" ", E2630)-1)),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30" s="79">
        <f>IF(AN2630="","",IF(AND(N2630&gt;0, AG2630&gt;0), IF(Configuración!$K$2="NO", "ALERTA: DESCUENTO DOBLE NO PERMITIDO", "OK"), "OK"))</f>
        <v/>
      </c>
      <c r="AR2630" s="79">
        <f>IF(AN2630="","",IF(OR(AO2630&lt;&gt;"OK", AP2630&lt;&gt;"OK", AQ2630&lt;&gt;"OK"), "⚠️ REVISAR", "OK"))</f>
        <v/>
      </c>
    </row>
    <row r="2631">
      <c r="A2631" s="79">
        <f>IF('Ordenes_Odoo'!A2631="","",'Ordenes_Odoo'!A2631)</f>
        <v/>
      </c>
      <c r="B2631" s="80">
        <f>IF('Ordenes_Odoo'!B2631="","",'Ordenes_Odoo'!B2631)</f>
        <v/>
      </c>
      <c r="C2631" s="79">
        <f>IF('Ordenes_Odoo'!C2631="","",'Ordenes_Odoo'!C2631)</f>
        <v/>
      </c>
      <c r="D2631" s="79">
        <f>IF('Ordenes_Odoo'!D2631="","",'Ordenes_Odoo'!D2631)</f>
        <v/>
      </c>
      <c r="E2631" s="79">
        <f>IF('Ordenes_Odoo'!E2631="","",'Ordenes_Odoo'!E2631)</f>
        <v/>
      </c>
      <c r="F2631" s="79">
        <f>IF('Ordenes_Odoo'!F2631="","",'Ordenes_Odoo'!F2631)</f>
        <v/>
      </c>
      <c r="G2631" s="79">
        <f>IF('Ordenes_Odoo'!G2631="","",'Ordenes_Odoo'!G2631)</f>
        <v/>
      </c>
      <c r="H2631" s="79">
        <f>IF('Ordenes_Odoo'!H2631="","",'Ordenes_Odoo'!H2631)</f>
        <v/>
      </c>
      <c r="I2631" s="79">
        <f>IF('Ordenes_Odoo'!I2631="","",'Ordenes_Odoo'!I2631)</f>
        <v/>
      </c>
      <c r="J2631" s="79">
        <f>IF('Ordenes_Odoo'!J2631="","",'Ordenes_Odoo'!J2631)</f>
        <v/>
      </c>
      <c r="K2631" s="81">
        <f>IF('Ordenes_Odoo'!K2631="","",'Ordenes_Odoo'!K2631)</f>
        <v/>
      </c>
      <c r="L2631" s="81">
        <f>IF('Ordenes_Odoo'!L2631="","",'Ordenes_Odoo'!L2631)</f>
        <v/>
      </c>
      <c r="M2631" s="79">
        <f>IF('Ordenes_Odoo'!M2631="","",'Ordenes_Odoo'!M2631)</f>
        <v/>
      </c>
      <c r="N2631" s="79">
        <f>IF('Ordenes_Odoo'!N2631="","",'Ordenes_Odoo'!N2631)</f>
        <v/>
      </c>
      <c r="O2631" s="81">
        <f>IF('Ordenes_Odoo'!O2631="","",'Ordenes_Odoo'!O2631)</f>
        <v/>
      </c>
      <c r="P2631" s="81">
        <f>IF('Ordenes_Odoo'!P2631="","",'Ordenes_Odoo'!P2631)</f>
        <v/>
      </c>
      <c r="Q2631" s="79">
        <f>IF(A2631="","",IFERROR(INDEX(Facturas_Odoo!$B:$B, MATCH(A2631, Facturas_Odoo!$D:$D, 0)), "Sin Factura"))</f>
        <v/>
      </c>
      <c r="R2631" s="80">
        <f>IF(Q2631="Sin Factura","",IFERROR(INDEX(Facturas_Odoo!$A:$A, MATCH(Q2631, Facturas_Odoo!$B:$B, 0)), ""))</f>
        <v/>
      </c>
      <c r="S2631" s="79">
        <f>IF(Q2631="Sin Factura","",IFERROR(_xlfn.XLOOKUP(1, (Facturas_Odoo!$D:$D=A2631) * (Facturas_Odoo!$K:$K=I2631), Facturas_Odoo!$L:$L, ""), ""))</f>
        <v/>
      </c>
      <c r="T2631" s="81">
        <f>IF(Q2631="Sin Factura",0,IFERROR(_xlfn.XLOOKUP(1, (Facturas_Odoo!$D:$D=A2631) * (Facturas_Odoo!$K:$K=I2631), Facturas_Odoo!$M:$M, 0), 0))</f>
        <v/>
      </c>
      <c r="U2631" s="79">
        <f>IF(Q2631="Sin Factura",0,IFERROR(_xlfn.XLOOKUP(1, (Facturas_Odoo!$D:$D=A2631) * (Facturas_Odoo!$K:$K=I2631), Facturas_Odoo!$N:$N, 0), 0))</f>
        <v/>
      </c>
      <c r="V2631" s="79">
        <f>IF(Q2631="Sin Factura",0,IFERROR(_xlfn.XLOOKUP(1, (Facturas_Odoo!$D:$D=A2631) * (Facturas_Odoo!$K:$K=I2631), Facturas_Odoo!$O:$O, 0), 0))</f>
        <v/>
      </c>
      <c r="W2631" s="81">
        <f>IF(Q2631="Sin Factura",0,IFERROR(_xlfn.XLOOKUP(1, (Facturas_Odoo!$D:$D=A2631) * (Facturas_Odoo!$K:$K=I2631), Facturas_Odoo!$Q:$Q, 0), 0))</f>
        <v/>
      </c>
      <c r="X2631" s="79">
        <f>IF(OR(Q2631="Sin Factura",Q2631=""),"",IFERROR(INDEX(Pagos_Odoo!$B:$B, MATCH(Q2631, Pagos_Odoo!$I:$I, 0)), "Sin Pago"))</f>
        <v/>
      </c>
      <c r="Y2631" s="79">
        <f>IF(X2631="Sin Pago","",IFERROR(INDEX(Pagos_Odoo!$C:$C, MATCH(X2631, Pagos_Odoo!$B:$B, 0)), ""))</f>
        <v/>
      </c>
      <c r="Z2631" s="80">
        <f>IF(X2631="Sin Pago","",IFERROR(INDEX(Pagos_Odoo!$A:$A, MATCH(X2631, Pagos_Odoo!$B:$B, 0)), ""))</f>
        <v/>
      </c>
      <c r="AA2631" s="79">
        <f>IF(X2631="Sin Pago","",IFERROR(INDEX(Pagos_Odoo!$F:$F, MATCH(X2631, Pagos_Odoo!$B:$B, 0)), ""))</f>
        <v/>
      </c>
      <c r="AB2631" s="81">
        <f>IF(X2631="Sin Pago",0,IFERROR(INDEX(Pagos_Odoo!$E:$E, MATCH(X2631, Pagos_Odoo!$B:$B, 0)), 0))</f>
        <v/>
      </c>
      <c r="AC2631" s="79">
        <f>IF(X2631="Sin Pago","",IFERROR(INDEX(Pagos_Odoo!$G:$G, MATCH(X2631, Pagos_Odoo!$B:$B, 0)), ""))</f>
        <v/>
      </c>
      <c r="AD2631" s="82" t="n">
        <v>0</v>
      </c>
      <c r="AE2631" s="82" t="n"/>
      <c r="AF2631" s="82" t="n"/>
      <c r="AG2631" s="82">
        <f>IF(AN2631="","",AD2631+AE2631+AF2631)</f>
        <v/>
      </c>
      <c r="AH2631" s="81">
        <f>IF(AN2631="","",P2631*(1-AG2631))</f>
        <v/>
      </c>
      <c r="AI2631" s="81">
        <f>IF(AN2631="","",IF(Q2631="Sin Factura",0,IFERROR(INDEX(Facturas_Odoo!$H:$H, MATCH(Q2631, Facturas_Odoo!$B:$B, 0)), 0)*(1-AG2631)))</f>
        <v/>
      </c>
      <c r="AJ2631" s="81">
        <f>IF(AN2631="","",_xlfn.LET(idVenta, AN2631&amp;"",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31" s="81">
        <f>IF(AN2631="","",AH2631-AJ2631)</f>
        <v/>
      </c>
      <c r="AL2631" s="81">
        <f>IF(AN2631="","",IF(Q2631="Sin Factura","",AI2631-AJ2631))</f>
        <v/>
      </c>
      <c r="AM2631" s="81">
        <f>IF(AN2631="","",IF(Q2631="Sin Factura",0,P2631-IFERROR(INDEX(Facturas_Odoo!$H:$H, MATCH(Q2631, Facturas_Odoo!$B:$B, 0)), 0)))</f>
        <v/>
      </c>
      <c r="AN2631" s="79">
        <f>IF(AND(A2631="", J2631=""), "", IF(A2631&lt;&gt;"", VALUE(MID(A2631,2,LEN(A2631))), AN2630))</f>
        <v/>
      </c>
      <c r="AO2631" s="79">
        <f>IF(AN2631="","",IF(AD2631=0,"OK",_xlfn.LET(monedaPago, IF(AA2631="","USD",AA2631), limitePermitido, IFERROR(VLOOKUP(monedaPago, Configuración!$A$2:$B$3, 2, FALSE), 0.15), IF(AD2631&gt;limitePermitido, "ALERTA: EXCESO (" &amp; TEXT(limitePermitido, "0%") &amp; " máx)", "OK"))))</f>
        <v/>
      </c>
      <c r="AP2631" s="79">
        <f>IF(AN2631="","",IF(AE2631=0,"OK",_xlfn.LET(fechaPago, Z2631, fechaFactura, R2631, diasCredito, IF(E2631="Pago inmediato", 0, IFERROR(VALUE(MID(E2631, 1, SEARCH(" ", E2631)-1)),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31" s="79">
        <f>IF(AN2631="","",IF(AND(N2631&gt;0, AG2631&gt;0), IF(Configuración!$K$2="NO", "ALERTA: DESCUENTO DOBLE NO PERMITIDO", "OK"), "OK"))</f>
        <v/>
      </c>
      <c r="AR2631" s="79">
        <f>IF(AN2631="","",IF(OR(AO2631&lt;&gt;"OK", AP2631&lt;&gt;"OK", AQ2631&lt;&gt;"OK"), "⚠️ REVISAR", "OK"))</f>
        <v/>
      </c>
    </row>
    <row r="2632">
      <c r="A2632" s="79">
        <f>IF('Ordenes_Odoo'!A2632="","",'Ordenes_Odoo'!A2632)</f>
        <v/>
      </c>
      <c r="B2632" s="80">
        <f>IF('Ordenes_Odoo'!B2632="","",'Ordenes_Odoo'!B2632)</f>
        <v/>
      </c>
      <c r="C2632" s="79">
        <f>IF('Ordenes_Odoo'!C2632="","",'Ordenes_Odoo'!C2632)</f>
        <v/>
      </c>
      <c r="D2632" s="79">
        <f>IF('Ordenes_Odoo'!D2632="","",'Ordenes_Odoo'!D2632)</f>
        <v/>
      </c>
      <c r="E2632" s="79">
        <f>IF('Ordenes_Odoo'!E2632="","",'Ordenes_Odoo'!E2632)</f>
        <v/>
      </c>
      <c r="F2632" s="79">
        <f>IF('Ordenes_Odoo'!F2632="","",'Ordenes_Odoo'!F2632)</f>
        <v/>
      </c>
      <c r="G2632" s="79">
        <f>IF('Ordenes_Odoo'!G2632="","",'Ordenes_Odoo'!G2632)</f>
        <v/>
      </c>
      <c r="H2632" s="79">
        <f>IF('Ordenes_Odoo'!H2632="","",'Ordenes_Odoo'!H2632)</f>
        <v/>
      </c>
      <c r="I2632" s="79">
        <f>IF('Ordenes_Odoo'!I2632="","",'Ordenes_Odoo'!I2632)</f>
        <v/>
      </c>
      <c r="J2632" s="79">
        <f>IF('Ordenes_Odoo'!J2632="","",'Ordenes_Odoo'!J2632)</f>
        <v/>
      </c>
      <c r="K2632" s="81">
        <f>IF('Ordenes_Odoo'!K2632="","",'Ordenes_Odoo'!K2632)</f>
        <v/>
      </c>
      <c r="L2632" s="81">
        <f>IF('Ordenes_Odoo'!L2632="","",'Ordenes_Odoo'!L2632)</f>
        <v/>
      </c>
      <c r="M2632" s="79">
        <f>IF('Ordenes_Odoo'!M2632="","",'Ordenes_Odoo'!M2632)</f>
        <v/>
      </c>
      <c r="N2632" s="79">
        <f>IF('Ordenes_Odoo'!N2632="","",'Ordenes_Odoo'!N2632)</f>
        <v/>
      </c>
      <c r="O2632" s="81">
        <f>IF('Ordenes_Odoo'!O2632="","",'Ordenes_Odoo'!O2632)</f>
        <v/>
      </c>
      <c r="P2632" s="81">
        <f>IF('Ordenes_Odoo'!P2632="","",'Ordenes_Odoo'!P2632)</f>
        <v/>
      </c>
      <c r="Q2632" s="79">
        <f>IF(A2632="","",IFERROR(INDEX(Facturas_Odoo!$B:$B, MATCH(A2632, Facturas_Odoo!$D:$D, 0)), "Sin Factura"))</f>
        <v/>
      </c>
      <c r="R2632" s="80">
        <f>IF(Q2632="Sin Factura","",IFERROR(INDEX(Facturas_Odoo!$A:$A, MATCH(Q2632, Facturas_Odoo!$B:$B, 0)), ""))</f>
        <v/>
      </c>
      <c r="S2632" s="79">
        <f>IF(Q2632="Sin Factura","",IFERROR(_xlfn.XLOOKUP(1, (Facturas_Odoo!$D:$D=A2632) * (Facturas_Odoo!$K:$K=I2632), Facturas_Odoo!$L:$L, ""), ""))</f>
        <v/>
      </c>
      <c r="T2632" s="81">
        <f>IF(Q2632="Sin Factura",0,IFERROR(_xlfn.XLOOKUP(1, (Facturas_Odoo!$D:$D=A2632) * (Facturas_Odoo!$K:$K=I2632), Facturas_Odoo!$M:$M, 0), 0))</f>
        <v/>
      </c>
      <c r="U2632" s="79">
        <f>IF(Q2632="Sin Factura",0,IFERROR(_xlfn.XLOOKUP(1, (Facturas_Odoo!$D:$D=A2632) * (Facturas_Odoo!$K:$K=I2632), Facturas_Odoo!$N:$N, 0), 0))</f>
        <v/>
      </c>
      <c r="V2632" s="79">
        <f>IF(Q2632="Sin Factura",0,IFERROR(_xlfn.XLOOKUP(1, (Facturas_Odoo!$D:$D=A2632) * (Facturas_Odoo!$K:$K=I2632), Facturas_Odoo!$O:$O, 0), 0))</f>
        <v/>
      </c>
      <c r="W2632" s="81">
        <f>IF(Q2632="Sin Factura",0,IFERROR(_xlfn.XLOOKUP(1, (Facturas_Odoo!$D:$D=A2632) * (Facturas_Odoo!$K:$K=I2632), Facturas_Odoo!$Q:$Q, 0), 0))</f>
        <v/>
      </c>
      <c r="X2632" s="79">
        <f>IF(OR(Q2632="Sin Factura",Q2632=""),"",IFERROR(INDEX(Pagos_Odoo!$B:$B, MATCH(Q2632, Pagos_Odoo!$I:$I, 0)), "Sin Pago"))</f>
        <v/>
      </c>
      <c r="Y2632" s="79">
        <f>IF(X2632="Sin Pago","",IFERROR(INDEX(Pagos_Odoo!$C:$C, MATCH(X2632, Pagos_Odoo!$B:$B, 0)), ""))</f>
        <v/>
      </c>
      <c r="Z2632" s="80">
        <f>IF(X2632="Sin Pago","",IFERROR(INDEX(Pagos_Odoo!$A:$A, MATCH(X2632, Pagos_Odoo!$B:$B, 0)), ""))</f>
        <v/>
      </c>
      <c r="AA2632" s="79">
        <f>IF(X2632="Sin Pago","",IFERROR(INDEX(Pagos_Odoo!$F:$F, MATCH(X2632, Pagos_Odoo!$B:$B, 0)), ""))</f>
        <v/>
      </c>
      <c r="AB2632" s="81">
        <f>IF(X2632="Sin Pago",0,IFERROR(INDEX(Pagos_Odoo!$E:$E, MATCH(X2632, Pagos_Odoo!$B:$B, 0)), 0))</f>
        <v/>
      </c>
      <c r="AC2632" s="79">
        <f>IF(X2632="Sin Pago","",IFERROR(INDEX(Pagos_Odoo!$G:$G, MATCH(X2632, Pagos_Odoo!$B:$B, 0)), ""))</f>
        <v/>
      </c>
      <c r="AD2632" s="82" t="n">
        <v>0</v>
      </c>
      <c r="AE2632" s="82" t="n"/>
      <c r="AF2632" s="82" t="n"/>
      <c r="AG2632" s="82">
        <f>IF(AN2632="","",AD2632+AE2632+AF2632)</f>
        <v/>
      </c>
      <c r="AH2632" s="81">
        <f>IF(AN2632="","",P2632*(1-AG2632))</f>
        <v/>
      </c>
      <c r="AI2632" s="81">
        <f>IF(AN2632="","",IF(Q2632="Sin Factura",0,IFERROR(INDEX(Facturas_Odoo!$H:$H, MATCH(Q2632, Facturas_Odoo!$B:$B, 0)), 0)*(1-AG2632)))</f>
        <v/>
      </c>
      <c r="AJ2632" s="81">
        <f>IF(AN2632="","",_xlfn.LET(idVenta, AN2632&amp;"",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32" s="81">
        <f>IF(AN2632="","",AH2632-AJ2632)</f>
        <v/>
      </c>
      <c r="AL2632" s="81">
        <f>IF(AN2632="","",IF(Q2632="Sin Factura","",AI2632-AJ2632))</f>
        <v/>
      </c>
      <c r="AM2632" s="81">
        <f>IF(AN2632="","",IF(Q2632="Sin Factura",0,P2632-IFERROR(INDEX(Facturas_Odoo!$H:$H, MATCH(Q2632, Facturas_Odoo!$B:$B, 0)), 0)))</f>
        <v/>
      </c>
      <c r="AN2632" s="79">
        <f>IF(AND(A2632="", J2632=""), "", IF(A2632&lt;&gt;"", VALUE(MID(A2632,2,LEN(A2632))), AN2631))</f>
        <v/>
      </c>
      <c r="AO2632" s="79">
        <f>IF(AN2632="","",IF(AD2632=0,"OK",_xlfn.LET(monedaPago, IF(AA2632="","USD",AA2632), limitePermitido, IFERROR(VLOOKUP(monedaPago, Configuración!$A$2:$B$3, 2, FALSE), 0.15), IF(AD2632&gt;limitePermitido, "ALERTA: EXCESO (" &amp; TEXT(limitePermitido, "0%") &amp; " máx)", "OK"))))</f>
        <v/>
      </c>
      <c r="AP2632" s="79">
        <f>IF(AN2632="","",IF(AE2632=0,"OK",_xlfn.LET(fechaPago, Z2632, fechaFactura, R2632, diasCredito, IF(E2632="Pago inmediato", 0, IFERROR(VALUE(MID(E2632, 1, SEARCH(" ", E2632)-1)),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32" s="79">
        <f>IF(AN2632="","",IF(AND(N2632&gt;0, AG2632&gt;0), IF(Configuración!$K$2="NO", "ALERTA: DESCUENTO DOBLE NO PERMITIDO", "OK"), "OK"))</f>
        <v/>
      </c>
      <c r="AR2632" s="79">
        <f>IF(AN2632="","",IF(OR(AO2632&lt;&gt;"OK", AP2632&lt;&gt;"OK", AQ2632&lt;&gt;"OK"), "⚠️ REVISAR", "OK"))</f>
        <v/>
      </c>
    </row>
    <row r="2633">
      <c r="A2633" s="79">
        <f>IF('Ordenes_Odoo'!A2633="","",'Ordenes_Odoo'!A2633)</f>
        <v/>
      </c>
      <c r="B2633" s="80">
        <f>IF('Ordenes_Odoo'!B2633="","",'Ordenes_Odoo'!B2633)</f>
        <v/>
      </c>
      <c r="C2633" s="79">
        <f>IF('Ordenes_Odoo'!C2633="","",'Ordenes_Odoo'!C2633)</f>
        <v/>
      </c>
      <c r="D2633" s="79">
        <f>IF('Ordenes_Odoo'!D2633="","",'Ordenes_Odoo'!D2633)</f>
        <v/>
      </c>
      <c r="E2633" s="79">
        <f>IF('Ordenes_Odoo'!E2633="","",'Ordenes_Odoo'!E2633)</f>
        <v/>
      </c>
      <c r="F2633" s="79">
        <f>IF('Ordenes_Odoo'!F2633="","",'Ordenes_Odoo'!F2633)</f>
        <v/>
      </c>
      <c r="G2633" s="79">
        <f>IF('Ordenes_Odoo'!G2633="","",'Ordenes_Odoo'!G2633)</f>
        <v/>
      </c>
      <c r="H2633" s="79">
        <f>IF('Ordenes_Odoo'!H2633="","",'Ordenes_Odoo'!H2633)</f>
        <v/>
      </c>
      <c r="I2633" s="79">
        <f>IF('Ordenes_Odoo'!I2633="","",'Ordenes_Odoo'!I2633)</f>
        <v/>
      </c>
      <c r="J2633" s="79">
        <f>IF('Ordenes_Odoo'!J2633="","",'Ordenes_Odoo'!J2633)</f>
        <v/>
      </c>
      <c r="K2633" s="81">
        <f>IF('Ordenes_Odoo'!K2633="","",'Ordenes_Odoo'!K2633)</f>
        <v/>
      </c>
      <c r="L2633" s="81">
        <f>IF('Ordenes_Odoo'!L2633="","",'Ordenes_Odoo'!L2633)</f>
        <v/>
      </c>
      <c r="M2633" s="79">
        <f>IF('Ordenes_Odoo'!M2633="","",'Ordenes_Odoo'!M2633)</f>
        <v/>
      </c>
      <c r="N2633" s="79">
        <f>IF('Ordenes_Odoo'!N2633="","",'Ordenes_Odoo'!N2633)</f>
        <v/>
      </c>
      <c r="O2633" s="81">
        <f>IF('Ordenes_Odoo'!O2633="","",'Ordenes_Odoo'!O2633)</f>
        <v/>
      </c>
      <c r="P2633" s="81">
        <f>IF('Ordenes_Odoo'!P2633="","",'Ordenes_Odoo'!P2633)</f>
        <v/>
      </c>
      <c r="Q2633" s="79">
        <f>IF(A2633="","",IFERROR(INDEX(Facturas_Odoo!$B:$B, MATCH(A2633, Facturas_Odoo!$D:$D, 0)), "Sin Factura"))</f>
        <v/>
      </c>
      <c r="R2633" s="80">
        <f>IF(Q2633="Sin Factura","",IFERROR(INDEX(Facturas_Odoo!$A:$A, MATCH(Q2633, Facturas_Odoo!$B:$B, 0)), ""))</f>
        <v/>
      </c>
      <c r="S2633" s="79">
        <f>IF(Q2633="Sin Factura","",IFERROR(_xlfn.XLOOKUP(1, (Facturas_Odoo!$D:$D=A2633) * (Facturas_Odoo!$K:$K=I2633), Facturas_Odoo!$L:$L, ""), ""))</f>
        <v/>
      </c>
      <c r="T2633" s="81">
        <f>IF(Q2633="Sin Factura",0,IFERROR(_xlfn.XLOOKUP(1, (Facturas_Odoo!$D:$D=A2633) * (Facturas_Odoo!$K:$K=I2633), Facturas_Odoo!$M:$M, 0), 0))</f>
        <v/>
      </c>
      <c r="U2633" s="79">
        <f>IF(Q2633="Sin Factura",0,IFERROR(_xlfn.XLOOKUP(1, (Facturas_Odoo!$D:$D=A2633) * (Facturas_Odoo!$K:$K=I2633), Facturas_Odoo!$N:$N, 0), 0))</f>
        <v/>
      </c>
      <c r="V2633" s="79">
        <f>IF(Q2633="Sin Factura",0,IFERROR(_xlfn.XLOOKUP(1, (Facturas_Odoo!$D:$D=A2633) * (Facturas_Odoo!$K:$K=I2633), Facturas_Odoo!$O:$O, 0), 0))</f>
        <v/>
      </c>
      <c r="W2633" s="81">
        <f>IF(Q2633="Sin Factura",0,IFERROR(_xlfn.XLOOKUP(1, (Facturas_Odoo!$D:$D=A2633) * (Facturas_Odoo!$K:$K=I2633), Facturas_Odoo!$Q:$Q, 0), 0))</f>
        <v/>
      </c>
      <c r="X2633" s="79">
        <f>IF(OR(Q2633="Sin Factura",Q2633=""),"",IFERROR(INDEX(Pagos_Odoo!$B:$B, MATCH(Q2633, Pagos_Odoo!$I:$I, 0)), "Sin Pago"))</f>
        <v/>
      </c>
      <c r="Y2633" s="79">
        <f>IF(X2633="Sin Pago","",IFERROR(INDEX(Pagos_Odoo!$C:$C, MATCH(X2633, Pagos_Odoo!$B:$B, 0)), ""))</f>
        <v/>
      </c>
      <c r="Z2633" s="80">
        <f>IF(X2633="Sin Pago","",IFERROR(INDEX(Pagos_Odoo!$A:$A, MATCH(X2633, Pagos_Odoo!$B:$B, 0)), ""))</f>
        <v/>
      </c>
      <c r="AA2633" s="79">
        <f>IF(X2633="Sin Pago","",IFERROR(INDEX(Pagos_Odoo!$F:$F, MATCH(X2633, Pagos_Odoo!$B:$B, 0)), ""))</f>
        <v/>
      </c>
      <c r="AB2633" s="81">
        <f>IF(X2633="Sin Pago",0,IFERROR(INDEX(Pagos_Odoo!$E:$E, MATCH(X2633, Pagos_Odoo!$B:$B, 0)), 0))</f>
        <v/>
      </c>
      <c r="AC2633" s="79">
        <f>IF(X2633="Sin Pago","",IFERROR(INDEX(Pagos_Odoo!$G:$G, MATCH(X2633, Pagos_Odoo!$B:$B, 0)), ""))</f>
        <v/>
      </c>
      <c r="AD2633" s="82" t="n">
        <v>0</v>
      </c>
      <c r="AE2633" s="82" t="n"/>
      <c r="AF2633" s="82" t="n"/>
      <c r="AG2633" s="82">
        <f>IF(AN2633="","",AD2633+AE2633+AF2633)</f>
        <v/>
      </c>
      <c r="AH2633" s="81">
        <f>IF(AN2633="","",P2633*(1-AG2633))</f>
        <v/>
      </c>
      <c r="AI2633" s="81">
        <f>IF(AN2633="","",IF(Q2633="Sin Factura",0,IFERROR(INDEX(Facturas_Odoo!$H:$H, MATCH(Q2633, Facturas_Odoo!$B:$B, 0)), 0)*(1-AG2633)))</f>
        <v/>
      </c>
      <c r="AJ2633" s="81">
        <f>IF(AN2633="","",_xlfn.LET(idVenta, AN2633&amp;"",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33" s="81">
        <f>IF(AN2633="","",AH2633-AJ2633)</f>
        <v/>
      </c>
      <c r="AL2633" s="81">
        <f>IF(AN2633="","",IF(Q2633="Sin Factura","",AI2633-AJ2633))</f>
        <v/>
      </c>
      <c r="AM2633" s="81">
        <f>IF(AN2633="","",IF(Q2633="Sin Factura",0,P2633-IFERROR(INDEX(Facturas_Odoo!$H:$H, MATCH(Q2633, Facturas_Odoo!$B:$B, 0)), 0)))</f>
        <v/>
      </c>
      <c r="AN2633" s="79">
        <f>IF(AND(A2633="", J2633=""), "", IF(A2633&lt;&gt;"", VALUE(MID(A2633,2,LEN(A2633))), AN2632))</f>
        <v/>
      </c>
      <c r="AO2633" s="79">
        <f>IF(AN2633="","",IF(AD2633=0,"OK",_xlfn.LET(monedaPago, IF(AA2633="","USD",AA2633), limitePermitido, IFERROR(VLOOKUP(monedaPago, Configuración!$A$2:$B$3, 2, FALSE), 0.15), IF(AD2633&gt;limitePermitido, "ALERTA: EXCESO (" &amp; TEXT(limitePermitido, "0%") &amp; " máx)", "OK"))))</f>
        <v/>
      </c>
      <c r="AP2633" s="79">
        <f>IF(AN2633="","",IF(AE2633=0,"OK",_xlfn.LET(fechaPago, Z2633, fechaFactura, R2633, diasCredito, IF(E2633="Pago inmediato", 0, IFERROR(VALUE(MID(E2633, 1, SEARCH(" ", E2633)-1)),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33" s="79">
        <f>IF(AN2633="","",IF(AND(N2633&gt;0, AG2633&gt;0), IF(Configuración!$K$2="NO", "ALERTA: DESCUENTO DOBLE NO PERMITIDO", "OK"), "OK"))</f>
        <v/>
      </c>
      <c r="AR2633" s="79">
        <f>IF(AN2633="","",IF(OR(AO2633&lt;&gt;"OK", AP2633&lt;&gt;"OK", AQ2633&lt;&gt;"OK"), "⚠️ REVISAR", "OK"))</f>
        <v/>
      </c>
    </row>
    <row r="2634">
      <c r="A2634" s="79">
        <f>IF('Ordenes_Odoo'!A2634="","",'Ordenes_Odoo'!A2634)</f>
        <v/>
      </c>
      <c r="B2634" s="80">
        <f>IF('Ordenes_Odoo'!B2634="","",'Ordenes_Odoo'!B2634)</f>
        <v/>
      </c>
      <c r="C2634" s="79">
        <f>IF('Ordenes_Odoo'!C2634="","",'Ordenes_Odoo'!C2634)</f>
        <v/>
      </c>
      <c r="D2634" s="79">
        <f>IF('Ordenes_Odoo'!D2634="","",'Ordenes_Odoo'!D2634)</f>
        <v/>
      </c>
      <c r="E2634" s="79">
        <f>IF('Ordenes_Odoo'!E2634="","",'Ordenes_Odoo'!E2634)</f>
        <v/>
      </c>
      <c r="F2634" s="79">
        <f>IF('Ordenes_Odoo'!F2634="","",'Ordenes_Odoo'!F2634)</f>
        <v/>
      </c>
      <c r="G2634" s="79">
        <f>IF('Ordenes_Odoo'!G2634="","",'Ordenes_Odoo'!G2634)</f>
        <v/>
      </c>
      <c r="H2634" s="79">
        <f>IF('Ordenes_Odoo'!H2634="","",'Ordenes_Odoo'!H2634)</f>
        <v/>
      </c>
      <c r="I2634" s="79">
        <f>IF('Ordenes_Odoo'!I2634="","",'Ordenes_Odoo'!I2634)</f>
        <v/>
      </c>
      <c r="J2634" s="79">
        <f>IF('Ordenes_Odoo'!J2634="","",'Ordenes_Odoo'!J2634)</f>
        <v/>
      </c>
      <c r="K2634" s="81">
        <f>IF('Ordenes_Odoo'!K2634="","",'Ordenes_Odoo'!K2634)</f>
        <v/>
      </c>
      <c r="L2634" s="81">
        <f>IF('Ordenes_Odoo'!L2634="","",'Ordenes_Odoo'!L2634)</f>
        <v/>
      </c>
      <c r="M2634" s="79">
        <f>IF('Ordenes_Odoo'!M2634="","",'Ordenes_Odoo'!M2634)</f>
        <v/>
      </c>
      <c r="N2634" s="79">
        <f>IF('Ordenes_Odoo'!N2634="","",'Ordenes_Odoo'!N2634)</f>
        <v/>
      </c>
      <c r="O2634" s="81">
        <f>IF('Ordenes_Odoo'!O2634="","",'Ordenes_Odoo'!O2634)</f>
        <v/>
      </c>
      <c r="P2634" s="81">
        <f>IF('Ordenes_Odoo'!P2634="","",'Ordenes_Odoo'!P2634)</f>
        <v/>
      </c>
      <c r="Q2634" s="79">
        <f>IF(A2634="","",IFERROR(INDEX(Facturas_Odoo!$B:$B, MATCH(A2634, Facturas_Odoo!$D:$D, 0)), "Sin Factura"))</f>
        <v/>
      </c>
      <c r="R2634" s="80">
        <f>IF(Q2634="Sin Factura","",IFERROR(INDEX(Facturas_Odoo!$A:$A, MATCH(Q2634, Facturas_Odoo!$B:$B, 0)), ""))</f>
        <v/>
      </c>
      <c r="S2634" s="79">
        <f>IF(Q2634="Sin Factura","",IFERROR(_xlfn.XLOOKUP(1, (Facturas_Odoo!$D:$D=A2634) * (Facturas_Odoo!$K:$K=I2634), Facturas_Odoo!$L:$L, ""), ""))</f>
        <v/>
      </c>
      <c r="T2634" s="81">
        <f>IF(Q2634="Sin Factura",0,IFERROR(_xlfn.XLOOKUP(1, (Facturas_Odoo!$D:$D=A2634) * (Facturas_Odoo!$K:$K=I2634), Facturas_Odoo!$M:$M, 0), 0))</f>
        <v/>
      </c>
      <c r="U2634" s="79">
        <f>IF(Q2634="Sin Factura",0,IFERROR(_xlfn.XLOOKUP(1, (Facturas_Odoo!$D:$D=A2634) * (Facturas_Odoo!$K:$K=I2634), Facturas_Odoo!$N:$N, 0), 0))</f>
        <v/>
      </c>
      <c r="V2634" s="79">
        <f>IF(Q2634="Sin Factura",0,IFERROR(_xlfn.XLOOKUP(1, (Facturas_Odoo!$D:$D=A2634) * (Facturas_Odoo!$K:$K=I2634), Facturas_Odoo!$O:$O, 0), 0))</f>
        <v/>
      </c>
      <c r="W2634" s="81">
        <f>IF(Q2634="Sin Factura",0,IFERROR(_xlfn.XLOOKUP(1, (Facturas_Odoo!$D:$D=A2634) * (Facturas_Odoo!$K:$K=I2634), Facturas_Odoo!$Q:$Q, 0), 0))</f>
        <v/>
      </c>
      <c r="X2634" s="79">
        <f>IF(OR(Q2634="Sin Factura",Q2634=""),"",IFERROR(INDEX(Pagos_Odoo!$B:$B, MATCH(Q2634, Pagos_Odoo!$I:$I, 0)), "Sin Pago"))</f>
        <v/>
      </c>
      <c r="Y2634" s="79">
        <f>IF(X2634="Sin Pago","",IFERROR(INDEX(Pagos_Odoo!$C:$C, MATCH(X2634, Pagos_Odoo!$B:$B, 0)), ""))</f>
        <v/>
      </c>
      <c r="Z2634" s="80">
        <f>IF(X2634="Sin Pago","",IFERROR(INDEX(Pagos_Odoo!$A:$A, MATCH(X2634, Pagos_Odoo!$B:$B, 0)), ""))</f>
        <v/>
      </c>
      <c r="AA2634" s="79">
        <f>IF(X2634="Sin Pago","",IFERROR(INDEX(Pagos_Odoo!$F:$F, MATCH(X2634, Pagos_Odoo!$B:$B, 0)), ""))</f>
        <v/>
      </c>
      <c r="AB2634" s="81">
        <f>IF(X2634="Sin Pago",0,IFERROR(INDEX(Pagos_Odoo!$E:$E, MATCH(X2634, Pagos_Odoo!$B:$B, 0)), 0))</f>
        <v/>
      </c>
      <c r="AC2634" s="79">
        <f>IF(X2634="Sin Pago","",IFERROR(INDEX(Pagos_Odoo!$G:$G, MATCH(X2634, Pagos_Odoo!$B:$B, 0)), ""))</f>
        <v/>
      </c>
      <c r="AD2634" s="82" t="n">
        <v>0</v>
      </c>
      <c r="AE2634" s="82" t="n"/>
      <c r="AF2634" s="82" t="n"/>
      <c r="AG2634" s="82">
        <f>IF(AN2634="","",AD2634+AE2634+AF2634)</f>
        <v/>
      </c>
      <c r="AH2634" s="81">
        <f>IF(AN2634="","",P2634*(1-AG2634))</f>
        <v/>
      </c>
      <c r="AI2634" s="81">
        <f>IF(AN2634="","",IF(Q2634="Sin Factura",0,IFERROR(INDEX(Facturas_Odoo!$H:$H, MATCH(Q2634, Facturas_Odoo!$B:$B, 0)), 0)*(1-AG2634)))</f>
        <v/>
      </c>
      <c r="AJ2634" s="81">
        <f>IF(AN2634="","",_xlfn.LET(idVenta, AN2634&amp;"",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34" s="81">
        <f>IF(AN2634="","",AH2634-AJ2634)</f>
        <v/>
      </c>
      <c r="AL2634" s="81">
        <f>IF(AN2634="","",IF(Q2634="Sin Factura","",AI2634-AJ2634))</f>
        <v/>
      </c>
      <c r="AM2634" s="81">
        <f>IF(AN2634="","",IF(Q2634="Sin Factura",0,P2634-IFERROR(INDEX(Facturas_Odoo!$H:$H, MATCH(Q2634, Facturas_Odoo!$B:$B, 0)), 0)))</f>
        <v/>
      </c>
      <c r="AN2634" s="79">
        <f>IF(AND(A2634="", J2634=""), "", IF(A2634&lt;&gt;"", VALUE(MID(A2634,2,LEN(A2634))), AN2633))</f>
        <v/>
      </c>
      <c r="AO2634" s="79">
        <f>IF(AN2634="","",IF(AD2634=0,"OK",_xlfn.LET(monedaPago, IF(AA2634="","USD",AA2634), limitePermitido, IFERROR(VLOOKUP(monedaPago, Configuración!$A$2:$B$3, 2, FALSE), 0.15), IF(AD2634&gt;limitePermitido, "ALERTA: EXCESO (" &amp; TEXT(limitePermitido, "0%") &amp; " máx)", "OK"))))</f>
        <v/>
      </c>
      <c r="AP2634" s="79">
        <f>IF(AN2634="","",IF(AE2634=0,"OK",_xlfn.LET(fechaPago, Z2634, fechaFactura, R2634, diasCredito, IF(E2634="Pago inmediato", 0, IFERROR(VALUE(MID(E2634, 1, SEARCH(" ", E2634)-1)),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34" s="79">
        <f>IF(AN2634="","",IF(AND(N2634&gt;0, AG2634&gt;0), IF(Configuración!$K$2="NO", "ALERTA: DESCUENTO DOBLE NO PERMITIDO", "OK"), "OK"))</f>
        <v/>
      </c>
      <c r="AR2634" s="79">
        <f>IF(AN2634="","",IF(OR(AO2634&lt;&gt;"OK", AP2634&lt;&gt;"OK", AQ2634&lt;&gt;"OK"), "⚠️ REVISAR", "OK"))</f>
        <v/>
      </c>
    </row>
    <row r="2635">
      <c r="A2635" s="79">
        <f>IF('Ordenes_Odoo'!A2635="","",'Ordenes_Odoo'!A2635)</f>
        <v/>
      </c>
      <c r="B2635" s="80">
        <f>IF('Ordenes_Odoo'!B2635="","",'Ordenes_Odoo'!B2635)</f>
        <v/>
      </c>
      <c r="C2635" s="79">
        <f>IF('Ordenes_Odoo'!C2635="","",'Ordenes_Odoo'!C2635)</f>
        <v/>
      </c>
      <c r="D2635" s="79">
        <f>IF('Ordenes_Odoo'!D2635="","",'Ordenes_Odoo'!D2635)</f>
        <v/>
      </c>
      <c r="E2635" s="79">
        <f>IF('Ordenes_Odoo'!E2635="","",'Ordenes_Odoo'!E2635)</f>
        <v/>
      </c>
      <c r="F2635" s="79">
        <f>IF('Ordenes_Odoo'!F2635="","",'Ordenes_Odoo'!F2635)</f>
        <v/>
      </c>
      <c r="G2635" s="79">
        <f>IF('Ordenes_Odoo'!G2635="","",'Ordenes_Odoo'!G2635)</f>
        <v/>
      </c>
      <c r="H2635" s="79">
        <f>IF('Ordenes_Odoo'!H2635="","",'Ordenes_Odoo'!H2635)</f>
        <v/>
      </c>
      <c r="I2635" s="79">
        <f>IF('Ordenes_Odoo'!I2635="","",'Ordenes_Odoo'!I2635)</f>
        <v/>
      </c>
      <c r="J2635" s="79">
        <f>IF('Ordenes_Odoo'!J2635="","",'Ordenes_Odoo'!J2635)</f>
        <v/>
      </c>
      <c r="K2635" s="81">
        <f>IF('Ordenes_Odoo'!K2635="","",'Ordenes_Odoo'!K2635)</f>
        <v/>
      </c>
      <c r="L2635" s="81">
        <f>IF('Ordenes_Odoo'!L2635="","",'Ordenes_Odoo'!L2635)</f>
        <v/>
      </c>
      <c r="M2635" s="79">
        <f>IF('Ordenes_Odoo'!M2635="","",'Ordenes_Odoo'!M2635)</f>
        <v/>
      </c>
      <c r="N2635" s="79">
        <f>IF('Ordenes_Odoo'!N2635="","",'Ordenes_Odoo'!N2635)</f>
        <v/>
      </c>
      <c r="O2635" s="81">
        <f>IF('Ordenes_Odoo'!O2635="","",'Ordenes_Odoo'!O2635)</f>
        <v/>
      </c>
      <c r="P2635" s="81">
        <f>IF('Ordenes_Odoo'!P2635="","",'Ordenes_Odoo'!P2635)</f>
        <v/>
      </c>
      <c r="Q2635" s="79">
        <f>IF(A2635="","",IFERROR(INDEX(Facturas_Odoo!$B:$B, MATCH(A2635, Facturas_Odoo!$D:$D, 0)), "Sin Factura"))</f>
        <v/>
      </c>
      <c r="R2635" s="80">
        <f>IF(Q2635="Sin Factura","",IFERROR(INDEX(Facturas_Odoo!$A:$A, MATCH(Q2635, Facturas_Odoo!$B:$B, 0)), ""))</f>
        <v/>
      </c>
      <c r="S2635" s="79">
        <f>IF(Q2635="Sin Factura","",IFERROR(_xlfn.XLOOKUP(1, (Facturas_Odoo!$D:$D=A2635) * (Facturas_Odoo!$K:$K=I2635), Facturas_Odoo!$L:$L, ""), ""))</f>
        <v/>
      </c>
      <c r="T2635" s="81">
        <f>IF(Q2635="Sin Factura",0,IFERROR(_xlfn.XLOOKUP(1, (Facturas_Odoo!$D:$D=A2635) * (Facturas_Odoo!$K:$K=I2635), Facturas_Odoo!$M:$M, 0), 0))</f>
        <v/>
      </c>
      <c r="U2635" s="79">
        <f>IF(Q2635="Sin Factura",0,IFERROR(_xlfn.XLOOKUP(1, (Facturas_Odoo!$D:$D=A2635) * (Facturas_Odoo!$K:$K=I2635), Facturas_Odoo!$N:$N, 0), 0))</f>
        <v/>
      </c>
      <c r="V2635" s="79">
        <f>IF(Q2635="Sin Factura",0,IFERROR(_xlfn.XLOOKUP(1, (Facturas_Odoo!$D:$D=A2635) * (Facturas_Odoo!$K:$K=I2635), Facturas_Odoo!$O:$O, 0), 0))</f>
        <v/>
      </c>
      <c r="W2635" s="81">
        <f>IF(Q2635="Sin Factura",0,IFERROR(_xlfn.XLOOKUP(1, (Facturas_Odoo!$D:$D=A2635) * (Facturas_Odoo!$K:$K=I2635), Facturas_Odoo!$Q:$Q, 0), 0))</f>
        <v/>
      </c>
      <c r="X2635" s="79">
        <f>IF(OR(Q2635="Sin Factura",Q2635=""),"",IFERROR(INDEX(Pagos_Odoo!$B:$B, MATCH(Q2635, Pagos_Odoo!$I:$I, 0)), "Sin Pago"))</f>
        <v/>
      </c>
      <c r="Y2635" s="79">
        <f>IF(X2635="Sin Pago","",IFERROR(INDEX(Pagos_Odoo!$C:$C, MATCH(X2635, Pagos_Odoo!$B:$B, 0)), ""))</f>
        <v/>
      </c>
      <c r="Z2635" s="80">
        <f>IF(X2635="Sin Pago","",IFERROR(INDEX(Pagos_Odoo!$A:$A, MATCH(X2635, Pagos_Odoo!$B:$B, 0)), ""))</f>
        <v/>
      </c>
      <c r="AA2635" s="79">
        <f>IF(X2635="Sin Pago","",IFERROR(INDEX(Pagos_Odoo!$F:$F, MATCH(X2635, Pagos_Odoo!$B:$B, 0)), ""))</f>
        <v/>
      </c>
      <c r="AB2635" s="81">
        <f>IF(X2635="Sin Pago",0,IFERROR(INDEX(Pagos_Odoo!$E:$E, MATCH(X2635, Pagos_Odoo!$B:$B, 0)), 0))</f>
        <v/>
      </c>
      <c r="AC2635" s="79">
        <f>IF(X2635="Sin Pago","",IFERROR(INDEX(Pagos_Odoo!$G:$G, MATCH(X2635, Pagos_Odoo!$B:$B, 0)), ""))</f>
        <v/>
      </c>
      <c r="AD2635" s="82" t="n">
        <v>0</v>
      </c>
      <c r="AE2635" s="82" t="n"/>
      <c r="AF2635" s="82" t="n"/>
      <c r="AG2635" s="82">
        <f>IF(AN2635="","",AD2635+AE2635+AF2635)</f>
        <v/>
      </c>
      <c r="AH2635" s="81">
        <f>IF(AN2635="","",P2635*(1-AG2635))</f>
        <v/>
      </c>
      <c r="AI2635" s="81">
        <f>IF(AN2635="","",IF(Q2635="Sin Factura",0,IFERROR(INDEX(Facturas_Odoo!$H:$H, MATCH(Q2635, Facturas_Odoo!$B:$B, 0)), 0)*(1-AG2635)))</f>
        <v/>
      </c>
      <c r="AJ2635" s="81">
        <f>IF(AN2635="","",_xlfn.LET(idVenta, AN2635&amp;"",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35" s="81">
        <f>IF(AN2635="","",AH2635-AJ2635)</f>
        <v/>
      </c>
      <c r="AL2635" s="81">
        <f>IF(AN2635="","",IF(Q2635="Sin Factura","",AI2635-AJ2635))</f>
        <v/>
      </c>
      <c r="AM2635" s="81">
        <f>IF(AN2635="","",IF(Q2635="Sin Factura",0,P2635-IFERROR(INDEX(Facturas_Odoo!$H:$H, MATCH(Q2635, Facturas_Odoo!$B:$B, 0)), 0)))</f>
        <v/>
      </c>
      <c r="AN2635" s="79">
        <f>IF(AND(A2635="", J2635=""), "", IF(A2635&lt;&gt;"", VALUE(MID(A2635,2,LEN(A2635))), AN2634))</f>
        <v/>
      </c>
      <c r="AO2635" s="79">
        <f>IF(AN2635="","",IF(AD2635=0,"OK",_xlfn.LET(monedaPago, IF(AA2635="","USD",AA2635), limitePermitido, IFERROR(VLOOKUP(monedaPago, Configuración!$A$2:$B$3, 2, FALSE), 0.15), IF(AD2635&gt;limitePermitido, "ALERTA: EXCESO (" &amp; TEXT(limitePermitido, "0%") &amp; " máx)", "OK"))))</f>
        <v/>
      </c>
      <c r="AP2635" s="79">
        <f>IF(AN2635="","",IF(AE2635=0,"OK",_xlfn.LET(fechaPago, Z2635, fechaFactura, R2635, diasCredito, IF(E2635="Pago inmediato", 0, IFERROR(VALUE(MID(E2635, 1, SEARCH(" ", E2635)-1)),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35" s="79">
        <f>IF(AN2635="","",IF(AND(N2635&gt;0, AG2635&gt;0), IF(Configuración!$K$2="NO", "ALERTA: DESCUENTO DOBLE NO PERMITIDO", "OK"), "OK"))</f>
        <v/>
      </c>
      <c r="AR2635" s="79">
        <f>IF(AN2635="","",IF(OR(AO2635&lt;&gt;"OK", AP2635&lt;&gt;"OK", AQ2635&lt;&gt;"OK"), "⚠️ REVISAR", "OK"))</f>
        <v/>
      </c>
    </row>
    <row r="2636">
      <c r="A2636" s="79">
        <f>IF('Ordenes_Odoo'!A2636="","",'Ordenes_Odoo'!A2636)</f>
        <v/>
      </c>
      <c r="B2636" s="80">
        <f>IF('Ordenes_Odoo'!B2636="","",'Ordenes_Odoo'!B2636)</f>
        <v/>
      </c>
      <c r="C2636" s="79">
        <f>IF('Ordenes_Odoo'!C2636="","",'Ordenes_Odoo'!C2636)</f>
        <v/>
      </c>
      <c r="D2636" s="79">
        <f>IF('Ordenes_Odoo'!D2636="","",'Ordenes_Odoo'!D2636)</f>
        <v/>
      </c>
      <c r="E2636" s="79">
        <f>IF('Ordenes_Odoo'!E2636="","",'Ordenes_Odoo'!E2636)</f>
        <v/>
      </c>
      <c r="F2636" s="79">
        <f>IF('Ordenes_Odoo'!F2636="","",'Ordenes_Odoo'!F2636)</f>
        <v/>
      </c>
      <c r="G2636" s="79">
        <f>IF('Ordenes_Odoo'!G2636="","",'Ordenes_Odoo'!G2636)</f>
        <v/>
      </c>
      <c r="H2636" s="79">
        <f>IF('Ordenes_Odoo'!H2636="","",'Ordenes_Odoo'!H2636)</f>
        <v/>
      </c>
      <c r="I2636" s="79">
        <f>IF('Ordenes_Odoo'!I2636="","",'Ordenes_Odoo'!I2636)</f>
        <v/>
      </c>
      <c r="J2636" s="79">
        <f>IF('Ordenes_Odoo'!J2636="","",'Ordenes_Odoo'!J2636)</f>
        <v/>
      </c>
      <c r="K2636" s="81">
        <f>IF('Ordenes_Odoo'!K2636="","",'Ordenes_Odoo'!K2636)</f>
        <v/>
      </c>
      <c r="L2636" s="81">
        <f>IF('Ordenes_Odoo'!L2636="","",'Ordenes_Odoo'!L2636)</f>
        <v/>
      </c>
      <c r="M2636" s="79">
        <f>IF('Ordenes_Odoo'!M2636="","",'Ordenes_Odoo'!M2636)</f>
        <v/>
      </c>
      <c r="N2636" s="79">
        <f>IF('Ordenes_Odoo'!N2636="","",'Ordenes_Odoo'!N2636)</f>
        <v/>
      </c>
      <c r="O2636" s="81">
        <f>IF('Ordenes_Odoo'!O2636="","",'Ordenes_Odoo'!O2636)</f>
        <v/>
      </c>
      <c r="P2636" s="81">
        <f>IF('Ordenes_Odoo'!P2636="","",'Ordenes_Odoo'!P2636)</f>
        <v/>
      </c>
      <c r="Q2636" s="79">
        <f>IF(A2636="","",IFERROR(INDEX(Facturas_Odoo!$B:$B, MATCH(A2636, Facturas_Odoo!$D:$D, 0)), "Sin Factura"))</f>
        <v/>
      </c>
      <c r="R2636" s="80">
        <f>IF(Q2636="Sin Factura","",IFERROR(INDEX(Facturas_Odoo!$A:$A, MATCH(Q2636, Facturas_Odoo!$B:$B, 0)), ""))</f>
        <v/>
      </c>
      <c r="S2636" s="79">
        <f>IF(Q2636="Sin Factura","",IFERROR(_xlfn.XLOOKUP(1, (Facturas_Odoo!$D:$D=A2636) * (Facturas_Odoo!$K:$K=I2636), Facturas_Odoo!$L:$L, ""), ""))</f>
        <v/>
      </c>
      <c r="T2636" s="81">
        <f>IF(Q2636="Sin Factura",0,IFERROR(_xlfn.XLOOKUP(1, (Facturas_Odoo!$D:$D=A2636) * (Facturas_Odoo!$K:$K=I2636), Facturas_Odoo!$M:$M, 0), 0))</f>
        <v/>
      </c>
      <c r="U2636" s="79">
        <f>IF(Q2636="Sin Factura",0,IFERROR(_xlfn.XLOOKUP(1, (Facturas_Odoo!$D:$D=A2636) * (Facturas_Odoo!$K:$K=I2636), Facturas_Odoo!$N:$N, 0), 0))</f>
        <v/>
      </c>
      <c r="V2636" s="79">
        <f>IF(Q2636="Sin Factura",0,IFERROR(_xlfn.XLOOKUP(1, (Facturas_Odoo!$D:$D=A2636) * (Facturas_Odoo!$K:$K=I2636), Facturas_Odoo!$O:$O, 0), 0))</f>
        <v/>
      </c>
      <c r="W2636" s="81">
        <f>IF(Q2636="Sin Factura",0,IFERROR(_xlfn.XLOOKUP(1, (Facturas_Odoo!$D:$D=A2636) * (Facturas_Odoo!$K:$K=I2636), Facturas_Odoo!$Q:$Q, 0), 0))</f>
        <v/>
      </c>
      <c r="X2636" s="79">
        <f>IF(OR(Q2636="Sin Factura",Q2636=""),"",IFERROR(INDEX(Pagos_Odoo!$B:$B, MATCH(Q2636, Pagos_Odoo!$I:$I, 0)), "Sin Pago"))</f>
        <v/>
      </c>
      <c r="Y2636" s="79">
        <f>IF(X2636="Sin Pago","",IFERROR(INDEX(Pagos_Odoo!$C:$C, MATCH(X2636, Pagos_Odoo!$B:$B, 0)), ""))</f>
        <v/>
      </c>
      <c r="Z2636" s="80">
        <f>IF(X2636="Sin Pago","",IFERROR(INDEX(Pagos_Odoo!$A:$A, MATCH(X2636, Pagos_Odoo!$B:$B, 0)), ""))</f>
        <v/>
      </c>
      <c r="AA2636" s="79">
        <f>IF(X2636="Sin Pago","",IFERROR(INDEX(Pagos_Odoo!$F:$F, MATCH(X2636, Pagos_Odoo!$B:$B, 0)), ""))</f>
        <v/>
      </c>
      <c r="AB2636" s="81">
        <f>IF(X2636="Sin Pago",0,IFERROR(INDEX(Pagos_Odoo!$E:$E, MATCH(X2636, Pagos_Odoo!$B:$B, 0)), 0))</f>
        <v/>
      </c>
      <c r="AC2636" s="79">
        <f>IF(X2636="Sin Pago","",IFERROR(INDEX(Pagos_Odoo!$G:$G, MATCH(X2636, Pagos_Odoo!$B:$B, 0)), ""))</f>
        <v/>
      </c>
      <c r="AD2636" s="82" t="n">
        <v>0</v>
      </c>
      <c r="AE2636" s="82" t="n"/>
      <c r="AF2636" s="82" t="n"/>
      <c r="AG2636" s="82">
        <f>IF(AN2636="","",AD2636+AE2636+AF2636)</f>
        <v/>
      </c>
      <c r="AH2636" s="81">
        <f>IF(AN2636="","",P2636*(1-AG2636))</f>
        <v/>
      </c>
      <c r="AI2636" s="81">
        <f>IF(AN2636="","",IF(Q2636="Sin Factura",0,IFERROR(INDEX(Facturas_Odoo!$H:$H, MATCH(Q2636, Facturas_Odoo!$B:$B, 0)), 0)*(1-AG2636)))</f>
        <v/>
      </c>
      <c r="AJ2636" s="81">
        <f>IF(AN2636="","",_xlfn.LET(idVenta, AN2636&amp;"",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36" s="81">
        <f>IF(AN2636="","",AH2636-AJ2636)</f>
        <v/>
      </c>
      <c r="AL2636" s="81">
        <f>IF(AN2636="","",IF(Q2636="Sin Factura","",AI2636-AJ2636))</f>
        <v/>
      </c>
      <c r="AM2636" s="81">
        <f>IF(AN2636="","",IF(Q2636="Sin Factura",0,P2636-IFERROR(INDEX(Facturas_Odoo!$H:$H, MATCH(Q2636, Facturas_Odoo!$B:$B, 0)), 0)))</f>
        <v/>
      </c>
      <c r="AN2636" s="79">
        <f>IF(AND(A2636="", J2636=""), "", IF(A2636&lt;&gt;"", VALUE(MID(A2636,2,LEN(A2636))), AN2635))</f>
        <v/>
      </c>
      <c r="AO2636" s="79">
        <f>IF(AN2636="","",IF(AD2636=0,"OK",_xlfn.LET(monedaPago, IF(AA2636="","USD",AA2636), limitePermitido, IFERROR(VLOOKUP(monedaPago, Configuración!$A$2:$B$3, 2, FALSE), 0.15), IF(AD2636&gt;limitePermitido, "ALERTA: EXCESO (" &amp; TEXT(limitePermitido, "0%") &amp; " máx)", "OK"))))</f>
        <v/>
      </c>
      <c r="AP2636" s="79">
        <f>IF(AN2636="","",IF(AE2636=0,"OK",_xlfn.LET(fechaPago, Z2636, fechaFactura, R2636, diasCredito, IF(E2636="Pago inmediato", 0, IFERROR(VALUE(MID(E2636, 1, SEARCH(" ", E2636)-1)),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36" s="79">
        <f>IF(AN2636="","",IF(AND(N2636&gt;0, AG2636&gt;0), IF(Configuración!$K$2="NO", "ALERTA: DESCUENTO DOBLE NO PERMITIDO", "OK"), "OK"))</f>
        <v/>
      </c>
      <c r="AR2636" s="79">
        <f>IF(AN2636="","",IF(OR(AO2636&lt;&gt;"OK", AP2636&lt;&gt;"OK", AQ2636&lt;&gt;"OK"), "⚠️ REVISAR", "OK"))</f>
        <v/>
      </c>
    </row>
    <row r="2637">
      <c r="A2637" s="79">
        <f>IF('Ordenes_Odoo'!A2637="","",'Ordenes_Odoo'!A2637)</f>
        <v/>
      </c>
      <c r="B2637" s="80">
        <f>IF('Ordenes_Odoo'!B2637="","",'Ordenes_Odoo'!B2637)</f>
        <v/>
      </c>
      <c r="C2637" s="79">
        <f>IF('Ordenes_Odoo'!C2637="","",'Ordenes_Odoo'!C2637)</f>
        <v/>
      </c>
      <c r="D2637" s="79">
        <f>IF('Ordenes_Odoo'!D2637="","",'Ordenes_Odoo'!D2637)</f>
        <v/>
      </c>
      <c r="E2637" s="79">
        <f>IF('Ordenes_Odoo'!E2637="","",'Ordenes_Odoo'!E2637)</f>
        <v/>
      </c>
      <c r="F2637" s="79">
        <f>IF('Ordenes_Odoo'!F2637="","",'Ordenes_Odoo'!F2637)</f>
        <v/>
      </c>
      <c r="G2637" s="79">
        <f>IF('Ordenes_Odoo'!G2637="","",'Ordenes_Odoo'!G2637)</f>
        <v/>
      </c>
      <c r="H2637" s="79">
        <f>IF('Ordenes_Odoo'!H2637="","",'Ordenes_Odoo'!H2637)</f>
        <v/>
      </c>
      <c r="I2637" s="79">
        <f>IF('Ordenes_Odoo'!I2637="","",'Ordenes_Odoo'!I2637)</f>
        <v/>
      </c>
      <c r="J2637" s="79">
        <f>IF('Ordenes_Odoo'!J2637="","",'Ordenes_Odoo'!J2637)</f>
        <v/>
      </c>
      <c r="K2637" s="81">
        <f>IF('Ordenes_Odoo'!K2637="","",'Ordenes_Odoo'!K2637)</f>
        <v/>
      </c>
      <c r="L2637" s="81">
        <f>IF('Ordenes_Odoo'!L2637="","",'Ordenes_Odoo'!L2637)</f>
        <v/>
      </c>
      <c r="M2637" s="79">
        <f>IF('Ordenes_Odoo'!M2637="","",'Ordenes_Odoo'!M2637)</f>
        <v/>
      </c>
      <c r="N2637" s="79">
        <f>IF('Ordenes_Odoo'!N2637="","",'Ordenes_Odoo'!N2637)</f>
        <v/>
      </c>
      <c r="O2637" s="81">
        <f>IF('Ordenes_Odoo'!O2637="","",'Ordenes_Odoo'!O2637)</f>
        <v/>
      </c>
      <c r="P2637" s="81">
        <f>IF('Ordenes_Odoo'!P2637="","",'Ordenes_Odoo'!P2637)</f>
        <v/>
      </c>
      <c r="Q2637" s="79">
        <f>IF(A2637="","",IFERROR(INDEX(Facturas_Odoo!$B:$B, MATCH(A2637, Facturas_Odoo!$D:$D, 0)), "Sin Factura"))</f>
        <v/>
      </c>
      <c r="R2637" s="80">
        <f>IF(Q2637="Sin Factura","",IFERROR(INDEX(Facturas_Odoo!$A:$A, MATCH(Q2637, Facturas_Odoo!$B:$B, 0)), ""))</f>
        <v/>
      </c>
      <c r="S2637" s="79">
        <f>IF(Q2637="Sin Factura","",IFERROR(_xlfn.XLOOKUP(1, (Facturas_Odoo!$D:$D=A2637) * (Facturas_Odoo!$K:$K=I2637), Facturas_Odoo!$L:$L, ""), ""))</f>
        <v/>
      </c>
      <c r="T2637" s="81">
        <f>IF(Q2637="Sin Factura",0,IFERROR(_xlfn.XLOOKUP(1, (Facturas_Odoo!$D:$D=A2637) * (Facturas_Odoo!$K:$K=I2637), Facturas_Odoo!$M:$M, 0), 0))</f>
        <v/>
      </c>
      <c r="U2637" s="79">
        <f>IF(Q2637="Sin Factura",0,IFERROR(_xlfn.XLOOKUP(1, (Facturas_Odoo!$D:$D=A2637) * (Facturas_Odoo!$K:$K=I2637), Facturas_Odoo!$N:$N, 0), 0))</f>
        <v/>
      </c>
      <c r="V2637" s="79">
        <f>IF(Q2637="Sin Factura",0,IFERROR(_xlfn.XLOOKUP(1, (Facturas_Odoo!$D:$D=A2637) * (Facturas_Odoo!$K:$K=I2637), Facturas_Odoo!$O:$O, 0), 0))</f>
        <v/>
      </c>
      <c r="W2637" s="81">
        <f>IF(Q2637="Sin Factura",0,IFERROR(_xlfn.XLOOKUP(1, (Facturas_Odoo!$D:$D=A2637) * (Facturas_Odoo!$K:$K=I2637), Facturas_Odoo!$Q:$Q, 0), 0))</f>
        <v/>
      </c>
      <c r="X2637" s="79">
        <f>IF(OR(Q2637="Sin Factura",Q2637=""),"",IFERROR(INDEX(Pagos_Odoo!$B:$B, MATCH(Q2637, Pagos_Odoo!$I:$I, 0)), "Sin Pago"))</f>
        <v/>
      </c>
      <c r="Y2637" s="79">
        <f>IF(X2637="Sin Pago","",IFERROR(INDEX(Pagos_Odoo!$C:$C, MATCH(X2637, Pagos_Odoo!$B:$B, 0)), ""))</f>
        <v/>
      </c>
      <c r="Z2637" s="80">
        <f>IF(X2637="Sin Pago","",IFERROR(INDEX(Pagos_Odoo!$A:$A, MATCH(X2637, Pagos_Odoo!$B:$B, 0)), ""))</f>
        <v/>
      </c>
      <c r="AA2637" s="79">
        <f>IF(X2637="Sin Pago","",IFERROR(INDEX(Pagos_Odoo!$F:$F, MATCH(X2637, Pagos_Odoo!$B:$B, 0)), ""))</f>
        <v/>
      </c>
      <c r="AB2637" s="81">
        <f>IF(X2637="Sin Pago",0,IFERROR(INDEX(Pagos_Odoo!$E:$E, MATCH(X2637, Pagos_Odoo!$B:$B, 0)), 0))</f>
        <v/>
      </c>
      <c r="AC2637" s="79">
        <f>IF(X2637="Sin Pago","",IFERROR(INDEX(Pagos_Odoo!$G:$G, MATCH(X2637, Pagos_Odoo!$B:$B, 0)), ""))</f>
        <v/>
      </c>
      <c r="AD2637" s="82" t="n">
        <v>0</v>
      </c>
      <c r="AE2637" s="82" t="n"/>
      <c r="AF2637" s="82" t="n"/>
      <c r="AG2637" s="82">
        <f>IF(AN2637="","",AD2637+AE2637+AF2637)</f>
        <v/>
      </c>
      <c r="AH2637" s="81">
        <f>IF(AN2637="","",P2637*(1-AG2637))</f>
        <v/>
      </c>
      <c r="AI2637" s="81">
        <f>IF(AN2637="","",IF(Q2637="Sin Factura",0,IFERROR(INDEX(Facturas_Odoo!$H:$H, MATCH(Q2637, Facturas_Odoo!$B:$B, 0)), 0)*(1-AG2637)))</f>
        <v/>
      </c>
      <c r="AJ2637" s="81">
        <f>IF(AN2637="","",_xlfn.LET(idVenta, AN2637&amp;"",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37" s="81">
        <f>IF(AN2637="","",AH2637-AJ2637)</f>
        <v/>
      </c>
      <c r="AL2637" s="81">
        <f>IF(AN2637="","",IF(Q2637="Sin Factura","",AI2637-AJ2637))</f>
        <v/>
      </c>
      <c r="AM2637" s="81">
        <f>IF(AN2637="","",IF(Q2637="Sin Factura",0,P2637-IFERROR(INDEX(Facturas_Odoo!$H:$H, MATCH(Q2637, Facturas_Odoo!$B:$B, 0)), 0)))</f>
        <v/>
      </c>
      <c r="AN2637" s="79">
        <f>IF(AND(A2637="", J2637=""), "", IF(A2637&lt;&gt;"", VALUE(MID(A2637,2,LEN(A2637))), AN2636))</f>
        <v/>
      </c>
      <c r="AO2637" s="79">
        <f>IF(AN2637="","",IF(AD2637=0,"OK",_xlfn.LET(monedaPago, IF(AA2637="","USD",AA2637), limitePermitido, IFERROR(VLOOKUP(monedaPago, Configuración!$A$2:$B$3, 2, FALSE), 0.15), IF(AD2637&gt;limitePermitido, "ALERTA: EXCESO (" &amp; TEXT(limitePermitido, "0%") &amp; " máx)", "OK"))))</f>
        <v/>
      </c>
      <c r="AP2637" s="79">
        <f>IF(AN2637="","",IF(AE2637=0,"OK",_xlfn.LET(fechaPago, Z2637, fechaFactura, R2637, diasCredito, IF(E2637="Pago inmediato", 0, IFERROR(VALUE(MID(E2637, 1, SEARCH(" ", E2637)-1)),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37" s="79">
        <f>IF(AN2637="","",IF(AND(N2637&gt;0, AG2637&gt;0), IF(Configuración!$K$2="NO", "ALERTA: DESCUENTO DOBLE NO PERMITIDO", "OK"), "OK"))</f>
        <v/>
      </c>
      <c r="AR2637" s="79">
        <f>IF(AN2637="","",IF(OR(AO2637&lt;&gt;"OK", AP2637&lt;&gt;"OK", AQ2637&lt;&gt;"OK"), "⚠️ REVISAR", "OK"))</f>
        <v/>
      </c>
    </row>
    <row r="2638">
      <c r="A2638" s="79">
        <f>IF('Ordenes_Odoo'!A2638="","",'Ordenes_Odoo'!A2638)</f>
        <v/>
      </c>
      <c r="B2638" s="80">
        <f>IF('Ordenes_Odoo'!B2638="","",'Ordenes_Odoo'!B2638)</f>
        <v/>
      </c>
      <c r="C2638" s="79">
        <f>IF('Ordenes_Odoo'!C2638="","",'Ordenes_Odoo'!C2638)</f>
        <v/>
      </c>
      <c r="D2638" s="79">
        <f>IF('Ordenes_Odoo'!D2638="","",'Ordenes_Odoo'!D2638)</f>
        <v/>
      </c>
      <c r="E2638" s="79">
        <f>IF('Ordenes_Odoo'!E2638="","",'Ordenes_Odoo'!E2638)</f>
        <v/>
      </c>
      <c r="F2638" s="79">
        <f>IF('Ordenes_Odoo'!F2638="","",'Ordenes_Odoo'!F2638)</f>
        <v/>
      </c>
      <c r="G2638" s="79">
        <f>IF('Ordenes_Odoo'!G2638="","",'Ordenes_Odoo'!G2638)</f>
        <v/>
      </c>
      <c r="H2638" s="79">
        <f>IF('Ordenes_Odoo'!H2638="","",'Ordenes_Odoo'!H2638)</f>
        <v/>
      </c>
      <c r="I2638" s="79">
        <f>IF('Ordenes_Odoo'!I2638="","",'Ordenes_Odoo'!I2638)</f>
        <v/>
      </c>
      <c r="J2638" s="79">
        <f>IF('Ordenes_Odoo'!J2638="","",'Ordenes_Odoo'!J2638)</f>
        <v/>
      </c>
      <c r="K2638" s="81">
        <f>IF('Ordenes_Odoo'!K2638="","",'Ordenes_Odoo'!K2638)</f>
        <v/>
      </c>
      <c r="L2638" s="81">
        <f>IF('Ordenes_Odoo'!L2638="","",'Ordenes_Odoo'!L2638)</f>
        <v/>
      </c>
      <c r="M2638" s="79">
        <f>IF('Ordenes_Odoo'!M2638="","",'Ordenes_Odoo'!M2638)</f>
        <v/>
      </c>
      <c r="N2638" s="79">
        <f>IF('Ordenes_Odoo'!N2638="","",'Ordenes_Odoo'!N2638)</f>
        <v/>
      </c>
      <c r="O2638" s="81">
        <f>IF('Ordenes_Odoo'!O2638="","",'Ordenes_Odoo'!O2638)</f>
        <v/>
      </c>
      <c r="P2638" s="81">
        <f>IF('Ordenes_Odoo'!P2638="","",'Ordenes_Odoo'!P2638)</f>
        <v/>
      </c>
      <c r="Q2638" s="79">
        <f>IF(A2638="","",IFERROR(INDEX(Facturas_Odoo!$B:$B, MATCH(A2638, Facturas_Odoo!$D:$D, 0)), "Sin Factura"))</f>
        <v/>
      </c>
      <c r="R2638" s="80">
        <f>IF(Q2638="Sin Factura","",IFERROR(INDEX(Facturas_Odoo!$A:$A, MATCH(Q2638, Facturas_Odoo!$B:$B, 0)), ""))</f>
        <v/>
      </c>
      <c r="S2638" s="79">
        <f>IF(Q2638="Sin Factura","",IFERROR(_xlfn.XLOOKUP(1, (Facturas_Odoo!$D:$D=A2638) * (Facturas_Odoo!$K:$K=I2638), Facturas_Odoo!$L:$L, ""), ""))</f>
        <v/>
      </c>
      <c r="T2638" s="81">
        <f>IF(Q2638="Sin Factura",0,IFERROR(_xlfn.XLOOKUP(1, (Facturas_Odoo!$D:$D=A2638) * (Facturas_Odoo!$K:$K=I2638), Facturas_Odoo!$M:$M, 0), 0))</f>
        <v/>
      </c>
      <c r="U2638" s="79">
        <f>IF(Q2638="Sin Factura",0,IFERROR(_xlfn.XLOOKUP(1, (Facturas_Odoo!$D:$D=A2638) * (Facturas_Odoo!$K:$K=I2638), Facturas_Odoo!$N:$N, 0), 0))</f>
        <v/>
      </c>
      <c r="V2638" s="79">
        <f>IF(Q2638="Sin Factura",0,IFERROR(_xlfn.XLOOKUP(1, (Facturas_Odoo!$D:$D=A2638) * (Facturas_Odoo!$K:$K=I2638), Facturas_Odoo!$O:$O, 0), 0))</f>
        <v/>
      </c>
      <c r="W2638" s="81">
        <f>IF(Q2638="Sin Factura",0,IFERROR(_xlfn.XLOOKUP(1, (Facturas_Odoo!$D:$D=A2638) * (Facturas_Odoo!$K:$K=I2638), Facturas_Odoo!$Q:$Q, 0), 0))</f>
        <v/>
      </c>
      <c r="X2638" s="79">
        <f>IF(OR(Q2638="Sin Factura",Q2638=""),"",IFERROR(INDEX(Pagos_Odoo!$B:$B, MATCH(Q2638, Pagos_Odoo!$I:$I, 0)), "Sin Pago"))</f>
        <v/>
      </c>
      <c r="Y2638" s="79">
        <f>IF(X2638="Sin Pago","",IFERROR(INDEX(Pagos_Odoo!$C:$C, MATCH(X2638, Pagos_Odoo!$B:$B, 0)), ""))</f>
        <v/>
      </c>
      <c r="Z2638" s="80">
        <f>IF(X2638="Sin Pago","",IFERROR(INDEX(Pagos_Odoo!$A:$A, MATCH(X2638, Pagos_Odoo!$B:$B, 0)), ""))</f>
        <v/>
      </c>
      <c r="AA2638" s="79">
        <f>IF(X2638="Sin Pago","",IFERROR(INDEX(Pagos_Odoo!$F:$F, MATCH(X2638, Pagos_Odoo!$B:$B, 0)), ""))</f>
        <v/>
      </c>
      <c r="AB2638" s="81">
        <f>IF(X2638="Sin Pago",0,IFERROR(INDEX(Pagos_Odoo!$E:$E, MATCH(X2638, Pagos_Odoo!$B:$B, 0)), 0))</f>
        <v/>
      </c>
      <c r="AC2638" s="79">
        <f>IF(X2638="Sin Pago","",IFERROR(INDEX(Pagos_Odoo!$G:$G, MATCH(X2638, Pagos_Odoo!$B:$B, 0)), ""))</f>
        <v/>
      </c>
      <c r="AD2638" s="82" t="n">
        <v>0</v>
      </c>
      <c r="AE2638" s="82" t="n"/>
      <c r="AF2638" s="82" t="n"/>
      <c r="AG2638" s="82">
        <f>IF(AN2638="","",AD2638+AE2638+AF2638)</f>
        <v/>
      </c>
      <c r="AH2638" s="81">
        <f>IF(AN2638="","",P2638*(1-AG2638))</f>
        <v/>
      </c>
      <c r="AI2638" s="81">
        <f>IF(AN2638="","",IF(Q2638="Sin Factura",0,IFERROR(INDEX(Facturas_Odoo!$H:$H, MATCH(Q2638, Facturas_Odoo!$B:$B, 0)), 0)*(1-AG2638)))</f>
        <v/>
      </c>
      <c r="AJ2638" s="81">
        <f>IF(AN2638="","",_xlfn.LET(idVenta, AN2638&amp;"",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38" s="81">
        <f>IF(AN2638="","",AH2638-AJ2638)</f>
        <v/>
      </c>
      <c r="AL2638" s="81">
        <f>IF(AN2638="","",IF(Q2638="Sin Factura","",AI2638-AJ2638))</f>
        <v/>
      </c>
      <c r="AM2638" s="81">
        <f>IF(AN2638="","",IF(Q2638="Sin Factura",0,P2638-IFERROR(INDEX(Facturas_Odoo!$H:$H, MATCH(Q2638, Facturas_Odoo!$B:$B, 0)), 0)))</f>
        <v/>
      </c>
      <c r="AN2638" s="79">
        <f>IF(AND(A2638="", J2638=""), "", IF(A2638&lt;&gt;"", VALUE(MID(A2638,2,LEN(A2638))), AN2637))</f>
        <v/>
      </c>
      <c r="AO2638" s="79">
        <f>IF(AN2638="","",IF(AD2638=0,"OK",_xlfn.LET(monedaPago, IF(AA2638="","USD",AA2638), limitePermitido, IFERROR(VLOOKUP(monedaPago, Configuración!$A$2:$B$3, 2, FALSE), 0.15), IF(AD2638&gt;limitePermitido, "ALERTA: EXCESO (" &amp; TEXT(limitePermitido, "0%") &amp; " máx)", "OK"))))</f>
        <v/>
      </c>
      <c r="AP2638" s="79">
        <f>IF(AN2638="","",IF(AE2638=0,"OK",_xlfn.LET(fechaPago, Z2638, fechaFactura, R2638, diasCredito, IF(E2638="Pago inmediato", 0, IFERROR(VALUE(MID(E2638, 1, SEARCH(" ", E2638)-1)),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38" s="79">
        <f>IF(AN2638="","",IF(AND(N2638&gt;0, AG2638&gt;0), IF(Configuración!$K$2="NO", "ALERTA: DESCUENTO DOBLE NO PERMITIDO", "OK"), "OK"))</f>
        <v/>
      </c>
      <c r="AR2638" s="79">
        <f>IF(AN2638="","",IF(OR(AO2638&lt;&gt;"OK", AP2638&lt;&gt;"OK", AQ2638&lt;&gt;"OK"), "⚠️ REVISAR", "OK"))</f>
        <v/>
      </c>
    </row>
    <row r="2639">
      <c r="A2639" s="79">
        <f>IF('Ordenes_Odoo'!A2639="","",'Ordenes_Odoo'!A2639)</f>
        <v/>
      </c>
      <c r="B2639" s="80">
        <f>IF('Ordenes_Odoo'!B2639="","",'Ordenes_Odoo'!B2639)</f>
        <v/>
      </c>
      <c r="C2639" s="79">
        <f>IF('Ordenes_Odoo'!C2639="","",'Ordenes_Odoo'!C2639)</f>
        <v/>
      </c>
      <c r="D2639" s="79">
        <f>IF('Ordenes_Odoo'!D2639="","",'Ordenes_Odoo'!D2639)</f>
        <v/>
      </c>
      <c r="E2639" s="79">
        <f>IF('Ordenes_Odoo'!E2639="","",'Ordenes_Odoo'!E2639)</f>
        <v/>
      </c>
      <c r="F2639" s="79">
        <f>IF('Ordenes_Odoo'!F2639="","",'Ordenes_Odoo'!F2639)</f>
        <v/>
      </c>
      <c r="G2639" s="79">
        <f>IF('Ordenes_Odoo'!G2639="","",'Ordenes_Odoo'!G2639)</f>
        <v/>
      </c>
      <c r="H2639" s="79">
        <f>IF('Ordenes_Odoo'!H2639="","",'Ordenes_Odoo'!H2639)</f>
        <v/>
      </c>
      <c r="I2639" s="79">
        <f>IF('Ordenes_Odoo'!I2639="","",'Ordenes_Odoo'!I2639)</f>
        <v/>
      </c>
      <c r="J2639" s="79">
        <f>IF('Ordenes_Odoo'!J2639="","",'Ordenes_Odoo'!J2639)</f>
        <v/>
      </c>
      <c r="K2639" s="81">
        <f>IF('Ordenes_Odoo'!K2639="","",'Ordenes_Odoo'!K2639)</f>
        <v/>
      </c>
      <c r="L2639" s="81">
        <f>IF('Ordenes_Odoo'!L2639="","",'Ordenes_Odoo'!L2639)</f>
        <v/>
      </c>
      <c r="M2639" s="79">
        <f>IF('Ordenes_Odoo'!M2639="","",'Ordenes_Odoo'!M2639)</f>
        <v/>
      </c>
      <c r="N2639" s="79">
        <f>IF('Ordenes_Odoo'!N2639="","",'Ordenes_Odoo'!N2639)</f>
        <v/>
      </c>
      <c r="O2639" s="81">
        <f>IF('Ordenes_Odoo'!O2639="","",'Ordenes_Odoo'!O2639)</f>
        <v/>
      </c>
      <c r="P2639" s="81">
        <f>IF('Ordenes_Odoo'!P2639="","",'Ordenes_Odoo'!P2639)</f>
        <v/>
      </c>
      <c r="Q2639" s="79">
        <f>IF(A2639="","",IFERROR(INDEX(Facturas_Odoo!$B:$B, MATCH(A2639, Facturas_Odoo!$D:$D, 0)), "Sin Factura"))</f>
        <v/>
      </c>
      <c r="R2639" s="80">
        <f>IF(Q2639="Sin Factura","",IFERROR(INDEX(Facturas_Odoo!$A:$A, MATCH(Q2639, Facturas_Odoo!$B:$B, 0)), ""))</f>
        <v/>
      </c>
      <c r="S2639" s="79">
        <f>IF(Q2639="Sin Factura","",IFERROR(_xlfn.XLOOKUP(1, (Facturas_Odoo!$D:$D=A2639) * (Facturas_Odoo!$K:$K=I2639), Facturas_Odoo!$L:$L, ""), ""))</f>
        <v/>
      </c>
      <c r="T2639" s="81">
        <f>IF(Q2639="Sin Factura",0,IFERROR(_xlfn.XLOOKUP(1, (Facturas_Odoo!$D:$D=A2639) * (Facturas_Odoo!$K:$K=I2639), Facturas_Odoo!$M:$M, 0), 0))</f>
        <v/>
      </c>
      <c r="U2639" s="79">
        <f>IF(Q2639="Sin Factura",0,IFERROR(_xlfn.XLOOKUP(1, (Facturas_Odoo!$D:$D=A2639) * (Facturas_Odoo!$K:$K=I2639), Facturas_Odoo!$N:$N, 0), 0))</f>
        <v/>
      </c>
      <c r="V2639" s="79">
        <f>IF(Q2639="Sin Factura",0,IFERROR(_xlfn.XLOOKUP(1, (Facturas_Odoo!$D:$D=A2639) * (Facturas_Odoo!$K:$K=I2639), Facturas_Odoo!$O:$O, 0), 0))</f>
        <v/>
      </c>
      <c r="W2639" s="81">
        <f>IF(Q2639="Sin Factura",0,IFERROR(_xlfn.XLOOKUP(1, (Facturas_Odoo!$D:$D=A2639) * (Facturas_Odoo!$K:$K=I2639), Facturas_Odoo!$Q:$Q, 0), 0))</f>
        <v/>
      </c>
      <c r="X2639" s="79">
        <f>IF(OR(Q2639="Sin Factura",Q2639=""),"",IFERROR(INDEX(Pagos_Odoo!$B:$B, MATCH(Q2639, Pagos_Odoo!$I:$I, 0)), "Sin Pago"))</f>
        <v/>
      </c>
      <c r="Y2639" s="79">
        <f>IF(X2639="Sin Pago","",IFERROR(INDEX(Pagos_Odoo!$C:$C, MATCH(X2639, Pagos_Odoo!$B:$B, 0)), ""))</f>
        <v/>
      </c>
      <c r="Z2639" s="80">
        <f>IF(X2639="Sin Pago","",IFERROR(INDEX(Pagos_Odoo!$A:$A, MATCH(X2639, Pagos_Odoo!$B:$B, 0)), ""))</f>
        <v/>
      </c>
      <c r="AA2639" s="79">
        <f>IF(X2639="Sin Pago","",IFERROR(INDEX(Pagos_Odoo!$F:$F, MATCH(X2639, Pagos_Odoo!$B:$B, 0)), ""))</f>
        <v/>
      </c>
      <c r="AB2639" s="81">
        <f>IF(X2639="Sin Pago",0,IFERROR(INDEX(Pagos_Odoo!$E:$E, MATCH(X2639, Pagos_Odoo!$B:$B, 0)), 0))</f>
        <v/>
      </c>
      <c r="AC2639" s="79">
        <f>IF(X2639="Sin Pago","",IFERROR(INDEX(Pagos_Odoo!$G:$G, MATCH(X2639, Pagos_Odoo!$B:$B, 0)), ""))</f>
        <v/>
      </c>
      <c r="AD2639" s="82" t="n">
        <v>0</v>
      </c>
      <c r="AE2639" s="82" t="n"/>
      <c r="AF2639" s="82" t="n"/>
      <c r="AG2639" s="82">
        <f>IF(AN2639="","",AD2639+AE2639+AF2639)</f>
        <v/>
      </c>
      <c r="AH2639" s="81">
        <f>IF(AN2639="","",P2639*(1-AG2639))</f>
        <v/>
      </c>
      <c r="AI2639" s="81">
        <f>IF(AN2639="","",IF(Q2639="Sin Factura",0,IFERROR(INDEX(Facturas_Odoo!$H:$H, MATCH(Q2639, Facturas_Odoo!$B:$B, 0)), 0)*(1-AG2639)))</f>
        <v/>
      </c>
      <c r="AJ2639" s="81">
        <f>IF(AN2639="","",_xlfn.LET(idVenta, AN2639&amp;"",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39" s="81">
        <f>IF(AN2639="","",AH2639-AJ2639)</f>
        <v/>
      </c>
      <c r="AL2639" s="81">
        <f>IF(AN2639="","",IF(Q2639="Sin Factura","",AI2639-AJ2639))</f>
        <v/>
      </c>
      <c r="AM2639" s="81">
        <f>IF(AN2639="","",IF(Q2639="Sin Factura",0,P2639-IFERROR(INDEX(Facturas_Odoo!$H:$H, MATCH(Q2639, Facturas_Odoo!$B:$B, 0)), 0)))</f>
        <v/>
      </c>
      <c r="AN2639" s="79">
        <f>IF(AND(A2639="", J2639=""), "", IF(A2639&lt;&gt;"", VALUE(MID(A2639,2,LEN(A2639))), AN2638))</f>
        <v/>
      </c>
      <c r="AO2639" s="79">
        <f>IF(AN2639="","",IF(AD2639=0,"OK",_xlfn.LET(monedaPago, IF(AA2639="","USD",AA2639), limitePermitido, IFERROR(VLOOKUP(monedaPago, Configuración!$A$2:$B$3, 2, FALSE), 0.15), IF(AD2639&gt;limitePermitido, "ALERTA: EXCESO (" &amp; TEXT(limitePermitido, "0%") &amp; " máx)", "OK"))))</f>
        <v/>
      </c>
      <c r="AP2639" s="79">
        <f>IF(AN2639="","",IF(AE2639=0,"OK",_xlfn.LET(fechaPago, Z2639, fechaFactura, R2639, diasCredito, IF(E2639="Pago inmediato", 0, IFERROR(VALUE(MID(E2639, 1, SEARCH(" ", E2639)-1)),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39" s="79">
        <f>IF(AN2639="","",IF(AND(N2639&gt;0, AG2639&gt;0), IF(Configuración!$K$2="NO", "ALERTA: DESCUENTO DOBLE NO PERMITIDO", "OK"), "OK"))</f>
        <v/>
      </c>
      <c r="AR2639" s="79">
        <f>IF(AN2639="","",IF(OR(AO2639&lt;&gt;"OK", AP2639&lt;&gt;"OK", AQ2639&lt;&gt;"OK"), "⚠️ REVISAR", "OK"))</f>
        <v/>
      </c>
    </row>
    <row r="2640">
      <c r="A2640" s="79">
        <f>IF('Ordenes_Odoo'!A2640="","",'Ordenes_Odoo'!A2640)</f>
        <v/>
      </c>
      <c r="B2640" s="80">
        <f>IF('Ordenes_Odoo'!B2640="","",'Ordenes_Odoo'!B2640)</f>
        <v/>
      </c>
      <c r="C2640" s="79">
        <f>IF('Ordenes_Odoo'!C2640="","",'Ordenes_Odoo'!C2640)</f>
        <v/>
      </c>
      <c r="D2640" s="79">
        <f>IF('Ordenes_Odoo'!D2640="","",'Ordenes_Odoo'!D2640)</f>
        <v/>
      </c>
      <c r="E2640" s="79">
        <f>IF('Ordenes_Odoo'!E2640="","",'Ordenes_Odoo'!E2640)</f>
        <v/>
      </c>
      <c r="F2640" s="79">
        <f>IF('Ordenes_Odoo'!F2640="","",'Ordenes_Odoo'!F2640)</f>
        <v/>
      </c>
      <c r="G2640" s="79">
        <f>IF('Ordenes_Odoo'!G2640="","",'Ordenes_Odoo'!G2640)</f>
        <v/>
      </c>
      <c r="H2640" s="79">
        <f>IF('Ordenes_Odoo'!H2640="","",'Ordenes_Odoo'!H2640)</f>
        <v/>
      </c>
      <c r="I2640" s="79">
        <f>IF('Ordenes_Odoo'!I2640="","",'Ordenes_Odoo'!I2640)</f>
        <v/>
      </c>
      <c r="J2640" s="79">
        <f>IF('Ordenes_Odoo'!J2640="","",'Ordenes_Odoo'!J2640)</f>
        <v/>
      </c>
      <c r="K2640" s="81">
        <f>IF('Ordenes_Odoo'!K2640="","",'Ordenes_Odoo'!K2640)</f>
        <v/>
      </c>
      <c r="L2640" s="81">
        <f>IF('Ordenes_Odoo'!L2640="","",'Ordenes_Odoo'!L2640)</f>
        <v/>
      </c>
      <c r="M2640" s="79">
        <f>IF('Ordenes_Odoo'!M2640="","",'Ordenes_Odoo'!M2640)</f>
        <v/>
      </c>
      <c r="N2640" s="79">
        <f>IF('Ordenes_Odoo'!N2640="","",'Ordenes_Odoo'!N2640)</f>
        <v/>
      </c>
      <c r="O2640" s="81">
        <f>IF('Ordenes_Odoo'!O2640="","",'Ordenes_Odoo'!O2640)</f>
        <v/>
      </c>
      <c r="P2640" s="81">
        <f>IF('Ordenes_Odoo'!P2640="","",'Ordenes_Odoo'!P2640)</f>
        <v/>
      </c>
      <c r="Q2640" s="79">
        <f>IF(A2640="","",IFERROR(INDEX(Facturas_Odoo!$B:$B, MATCH(A2640, Facturas_Odoo!$D:$D, 0)), "Sin Factura"))</f>
        <v/>
      </c>
      <c r="R2640" s="80">
        <f>IF(Q2640="Sin Factura","",IFERROR(INDEX(Facturas_Odoo!$A:$A, MATCH(Q2640, Facturas_Odoo!$B:$B, 0)), ""))</f>
        <v/>
      </c>
      <c r="S2640" s="79">
        <f>IF(Q2640="Sin Factura","",IFERROR(_xlfn.XLOOKUP(1, (Facturas_Odoo!$D:$D=A2640) * (Facturas_Odoo!$K:$K=I2640), Facturas_Odoo!$L:$L, ""), ""))</f>
        <v/>
      </c>
      <c r="T2640" s="81">
        <f>IF(Q2640="Sin Factura",0,IFERROR(_xlfn.XLOOKUP(1, (Facturas_Odoo!$D:$D=A2640) * (Facturas_Odoo!$K:$K=I2640), Facturas_Odoo!$M:$M, 0), 0))</f>
        <v/>
      </c>
      <c r="U2640" s="79">
        <f>IF(Q2640="Sin Factura",0,IFERROR(_xlfn.XLOOKUP(1, (Facturas_Odoo!$D:$D=A2640) * (Facturas_Odoo!$K:$K=I2640), Facturas_Odoo!$N:$N, 0), 0))</f>
        <v/>
      </c>
      <c r="V2640" s="79">
        <f>IF(Q2640="Sin Factura",0,IFERROR(_xlfn.XLOOKUP(1, (Facturas_Odoo!$D:$D=A2640) * (Facturas_Odoo!$K:$K=I2640), Facturas_Odoo!$O:$O, 0), 0))</f>
        <v/>
      </c>
      <c r="W2640" s="81">
        <f>IF(Q2640="Sin Factura",0,IFERROR(_xlfn.XLOOKUP(1, (Facturas_Odoo!$D:$D=A2640) * (Facturas_Odoo!$K:$K=I2640), Facturas_Odoo!$Q:$Q, 0), 0))</f>
        <v/>
      </c>
      <c r="X2640" s="79">
        <f>IF(OR(Q2640="Sin Factura",Q2640=""),"",IFERROR(INDEX(Pagos_Odoo!$B:$B, MATCH(Q2640, Pagos_Odoo!$I:$I, 0)), "Sin Pago"))</f>
        <v/>
      </c>
      <c r="Y2640" s="79">
        <f>IF(X2640="Sin Pago","",IFERROR(INDEX(Pagos_Odoo!$C:$C, MATCH(X2640, Pagos_Odoo!$B:$B, 0)), ""))</f>
        <v/>
      </c>
      <c r="Z2640" s="80">
        <f>IF(X2640="Sin Pago","",IFERROR(INDEX(Pagos_Odoo!$A:$A, MATCH(X2640, Pagos_Odoo!$B:$B, 0)), ""))</f>
        <v/>
      </c>
      <c r="AA2640" s="79">
        <f>IF(X2640="Sin Pago","",IFERROR(INDEX(Pagos_Odoo!$F:$F, MATCH(X2640, Pagos_Odoo!$B:$B, 0)), ""))</f>
        <v/>
      </c>
      <c r="AB2640" s="81">
        <f>IF(X2640="Sin Pago",0,IFERROR(INDEX(Pagos_Odoo!$E:$E, MATCH(X2640, Pagos_Odoo!$B:$B, 0)), 0))</f>
        <v/>
      </c>
      <c r="AC2640" s="79">
        <f>IF(X2640="Sin Pago","",IFERROR(INDEX(Pagos_Odoo!$G:$G, MATCH(X2640, Pagos_Odoo!$B:$B, 0)), ""))</f>
        <v/>
      </c>
      <c r="AD2640" s="82" t="n">
        <v>0</v>
      </c>
      <c r="AE2640" s="82" t="n"/>
      <c r="AF2640" s="82" t="n"/>
      <c r="AG2640" s="82">
        <f>IF(AN2640="","",AD2640+AE2640+AF2640)</f>
        <v/>
      </c>
      <c r="AH2640" s="81">
        <f>IF(AN2640="","",P2640*(1-AG2640))</f>
        <v/>
      </c>
      <c r="AI2640" s="81">
        <f>IF(AN2640="","",IF(Q2640="Sin Factura",0,IFERROR(INDEX(Facturas_Odoo!$H:$H, MATCH(Q2640, Facturas_Odoo!$B:$B, 0)), 0)*(1-AG2640)))</f>
        <v/>
      </c>
      <c r="AJ2640" s="81">
        <f>IF(AN2640="","",_xlfn.LET(idVenta, AN2640&amp;"",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40" s="81">
        <f>IF(AN2640="","",AH2640-AJ2640)</f>
        <v/>
      </c>
      <c r="AL2640" s="81">
        <f>IF(AN2640="","",IF(Q2640="Sin Factura","",AI2640-AJ2640))</f>
        <v/>
      </c>
      <c r="AM2640" s="81">
        <f>IF(AN2640="","",IF(Q2640="Sin Factura",0,P2640-IFERROR(INDEX(Facturas_Odoo!$H:$H, MATCH(Q2640, Facturas_Odoo!$B:$B, 0)), 0)))</f>
        <v/>
      </c>
      <c r="AN2640" s="79">
        <f>IF(AND(A2640="", J2640=""), "", IF(A2640&lt;&gt;"", VALUE(MID(A2640,2,LEN(A2640))), AN2639))</f>
        <v/>
      </c>
      <c r="AO2640" s="79">
        <f>IF(AN2640="","",IF(AD2640=0,"OK",_xlfn.LET(monedaPago, IF(AA2640="","USD",AA2640), limitePermitido, IFERROR(VLOOKUP(monedaPago, Configuración!$A$2:$B$3, 2, FALSE), 0.15), IF(AD2640&gt;limitePermitido, "ALERTA: EXCESO (" &amp; TEXT(limitePermitido, "0%") &amp; " máx)", "OK"))))</f>
        <v/>
      </c>
      <c r="AP2640" s="79">
        <f>IF(AN2640="","",IF(AE2640=0,"OK",_xlfn.LET(fechaPago, Z2640, fechaFactura, R2640, diasCredito, IF(E2640="Pago inmediato", 0, IFERROR(VALUE(MID(E2640, 1, SEARCH(" ", E2640)-1)),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40" s="79">
        <f>IF(AN2640="","",IF(AND(N2640&gt;0, AG2640&gt;0), IF(Configuración!$K$2="NO", "ALERTA: DESCUENTO DOBLE NO PERMITIDO", "OK"), "OK"))</f>
        <v/>
      </c>
      <c r="AR2640" s="79">
        <f>IF(AN2640="","",IF(OR(AO2640&lt;&gt;"OK", AP2640&lt;&gt;"OK", AQ2640&lt;&gt;"OK"), "⚠️ REVISAR", "OK"))</f>
        <v/>
      </c>
    </row>
    <row r="2641">
      <c r="A2641" s="79">
        <f>IF('Ordenes_Odoo'!A2641="","",'Ordenes_Odoo'!A2641)</f>
        <v/>
      </c>
      <c r="B2641" s="80">
        <f>IF('Ordenes_Odoo'!B2641="","",'Ordenes_Odoo'!B2641)</f>
        <v/>
      </c>
      <c r="C2641" s="79">
        <f>IF('Ordenes_Odoo'!C2641="","",'Ordenes_Odoo'!C2641)</f>
        <v/>
      </c>
      <c r="D2641" s="79">
        <f>IF('Ordenes_Odoo'!D2641="","",'Ordenes_Odoo'!D2641)</f>
        <v/>
      </c>
      <c r="E2641" s="79">
        <f>IF('Ordenes_Odoo'!E2641="","",'Ordenes_Odoo'!E2641)</f>
        <v/>
      </c>
      <c r="F2641" s="79">
        <f>IF('Ordenes_Odoo'!F2641="","",'Ordenes_Odoo'!F2641)</f>
        <v/>
      </c>
      <c r="G2641" s="79">
        <f>IF('Ordenes_Odoo'!G2641="","",'Ordenes_Odoo'!G2641)</f>
        <v/>
      </c>
      <c r="H2641" s="79">
        <f>IF('Ordenes_Odoo'!H2641="","",'Ordenes_Odoo'!H2641)</f>
        <v/>
      </c>
      <c r="I2641" s="79">
        <f>IF('Ordenes_Odoo'!I2641="","",'Ordenes_Odoo'!I2641)</f>
        <v/>
      </c>
      <c r="J2641" s="79">
        <f>IF('Ordenes_Odoo'!J2641="","",'Ordenes_Odoo'!J2641)</f>
        <v/>
      </c>
      <c r="K2641" s="81">
        <f>IF('Ordenes_Odoo'!K2641="","",'Ordenes_Odoo'!K2641)</f>
        <v/>
      </c>
      <c r="L2641" s="81">
        <f>IF('Ordenes_Odoo'!L2641="","",'Ordenes_Odoo'!L2641)</f>
        <v/>
      </c>
      <c r="M2641" s="79">
        <f>IF('Ordenes_Odoo'!M2641="","",'Ordenes_Odoo'!M2641)</f>
        <v/>
      </c>
      <c r="N2641" s="79">
        <f>IF('Ordenes_Odoo'!N2641="","",'Ordenes_Odoo'!N2641)</f>
        <v/>
      </c>
      <c r="O2641" s="81">
        <f>IF('Ordenes_Odoo'!O2641="","",'Ordenes_Odoo'!O2641)</f>
        <v/>
      </c>
      <c r="P2641" s="81">
        <f>IF('Ordenes_Odoo'!P2641="","",'Ordenes_Odoo'!P2641)</f>
        <v/>
      </c>
      <c r="Q2641" s="79">
        <f>IF(A2641="","",IFERROR(INDEX(Facturas_Odoo!$B:$B, MATCH(A2641, Facturas_Odoo!$D:$D, 0)), "Sin Factura"))</f>
        <v/>
      </c>
      <c r="R2641" s="80">
        <f>IF(Q2641="Sin Factura","",IFERROR(INDEX(Facturas_Odoo!$A:$A, MATCH(Q2641, Facturas_Odoo!$B:$B, 0)), ""))</f>
        <v/>
      </c>
      <c r="S2641" s="79">
        <f>IF(Q2641="Sin Factura","",IFERROR(_xlfn.XLOOKUP(1, (Facturas_Odoo!$D:$D=A2641) * (Facturas_Odoo!$K:$K=I2641), Facturas_Odoo!$L:$L, ""), ""))</f>
        <v/>
      </c>
      <c r="T2641" s="81">
        <f>IF(Q2641="Sin Factura",0,IFERROR(_xlfn.XLOOKUP(1, (Facturas_Odoo!$D:$D=A2641) * (Facturas_Odoo!$K:$K=I2641), Facturas_Odoo!$M:$M, 0), 0))</f>
        <v/>
      </c>
      <c r="U2641" s="79">
        <f>IF(Q2641="Sin Factura",0,IFERROR(_xlfn.XLOOKUP(1, (Facturas_Odoo!$D:$D=A2641) * (Facturas_Odoo!$K:$K=I2641), Facturas_Odoo!$N:$N, 0), 0))</f>
        <v/>
      </c>
      <c r="V2641" s="79">
        <f>IF(Q2641="Sin Factura",0,IFERROR(_xlfn.XLOOKUP(1, (Facturas_Odoo!$D:$D=A2641) * (Facturas_Odoo!$K:$K=I2641), Facturas_Odoo!$O:$O, 0), 0))</f>
        <v/>
      </c>
      <c r="W2641" s="81">
        <f>IF(Q2641="Sin Factura",0,IFERROR(_xlfn.XLOOKUP(1, (Facturas_Odoo!$D:$D=A2641) * (Facturas_Odoo!$K:$K=I2641), Facturas_Odoo!$Q:$Q, 0), 0))</f>
        <v/>
      </c>
      <c r="X2641" s="79">
        <f>IF(OR(Q2641="Sin Factura",Q2641=""),"",IFERROR(INDEX(Pagos_Odoo!$B:$B, MATCH(Q2641, Pagos_Odoo!$I:$I, 0)), "Sin Pago"))</f>
        <v/>
      </c>
      <c r="Y2641" s="79">
        <f>IF(X2641="Sin Pago","",IFERROR(INDEX(Pagos_Odoo!$C:$C, MATCH(X2641, Pagos_Odoo!$B:$B, 0)), ""))</f>
        <v/>
      </c>
      <c r="Z2641" s="80">
        <f>IF(X2641="Sin Pago","",IFERROR(INDEX(Pagos_Odoo!$A:$A, MATCH(X2641, Pagos_Odoo!$B:$B, 0)), ""))</f>
        <v/>
      </c>
      <c r="AA2641" s="79">
        <f>IF(X2641="Sin Pago","",IFERROR(INDEX(Pagos_Odoo!$F:$F, MATCH(X2641, Pagos_Odoo!$B:$B, 0)), ""))</f>
        <v/>
      </c>
      <c r="AB2641" s="81">
        <f>IF(X2641="Sin Pago",0,IFERROR(INDEX(Pagos_Odoo!$E:$E, MATCH(X2641, Pagos_Odoo!$B:$B, 0)), 0))</f>
        <v/>
      </c>
      <c r="AC2641" s="79">
        <f>IF(X2641="Sin Pago","",IFERROR(INDEX(Pagos_Odoo!$G:$G, MATCH(X2641, Pagos_Odoo!$B:$B, 0)), ""))</f>
        <v/>
      </c>
      <c r="AD2641" s="82" t="n">
        <v>0</v>
      </c>
      <c r="AE2641" s="82" t="n"/>
      <c r="AF2641" s="82" t="n"/>
      <c r="AG2641" s="82">
        <f>IF(AN2641="","",AD2641+AE2641+AF2641)</f>
        <v/>
      </c>
      <c r="AH2641" s="81">
        <f>IF(AN2641="","",P2641*(1-AG2641))</f>
        <v/>
      </c>
      <c r="AI2641" s="81">
        <f>IF(AN2641="","",IF(Q2641="Sin Factura",0,IFERROR(INDEX(Facturas_Odoo!$H:$H, MATCH(Q2641, Facturas_Odoo!$B:$B, 0)), 0)*(1-AG2641)))</f>
        <v/>
      </c>
      <c r="AJ2641" s="81">
        <f>IF(AN2641="","",_xlfn.LET(idVenta, AN2641&amp;"",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41" s="81">
        <f>IF(AN2641="","",AH2641-AJ2641)</f>
        <v/>
      </c>
      <c r="AL2641" s="81">
        <f>IF(AN2641="","",IF(Q2641="Sin Factura","",AI2641-AJ2641))</f>
        <v/>
      </c>
      <c r="AM2641" s="81">
        <f>IF(AN2641="","",IF(Q2641="Sin Factura",0,P2641-IFERROR(INDEX(Facturas_Odoo!$H:$H, MATCH(Q2641, Facturas_Odoo!$B:$B, 0)), 0)))</f>
        <v/>
      </c>
      <c r="AN2641" s="79">
        <f>IF(AND(A2641="", J2641=""), "", IF(A2641&lt;&gt;"", VALUE(MID(A2641,2,LEN(A2641))), AN2640))</f>
        <v/>
      </c>
      <c r="AO2641" s="79">
        <f>IF(AN2641="","",IF(AD2641=0,"OK",_xlfn.LET(monedaPago, IF(AA2641="","USD",AA2641), limitePermitido, IFERROR(VLOOKUP(monedaPago, Configuración!$A$2:$B$3, 2, FALSE), 0.15), IF(AD2641&gt;limitePermitido, "ALERTA: EXCESO (" &amp; TEXT(limitePermitido, "0%") &amp; " máx)", "OK"))))</f>
        <v/>
      </c>
      <c r="AP2641" s="79">
        <f>IF(AN2641="","",IF(AE2641=0,"OK",_xlfn.LET(fechaPago, Z2641, fechaFactura, R2641, diasCredito, IF(E2641="Pago inmediato", 0, IFERROR(VALUE(MID(E2641, 1, SEARCH(" ", E2641)-1)),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41" s="79">
        <f>IF(AN2641="","",IF(AND(N2641&gt;0, AG2641&gt;0), IF(Configuración!$K$2="NO", "ALERTA: DESCUENTO DOBLE NO PERMITIDO", "OK"), "OK"))</f>
        <v/>
      </c>
      <c r="AR2641" s="79">
        <f>IF(AN2641="","",IF(OR(AO2641&lt;&gt;"OK", AP2641&lt;&gt;"OK", AQ2641&lt;&gt;"OK"), "⚠️ REVISAR", "OK"))</f>
        <v/>
      </c>
    </row>
    <row r="2642">
      <c r="A2642" s="79">
        <f>IF('Ordenes_Odoo'!A2642="","",'Ordenes_Odoo'!A2642)</f>
        <v/>
      </c>
      <c r="B2642" s="80">
        <f>IF('Ordenes_Odoo'!B2642="","",'Ordenes_Odoo'!B2642)</f>
        <v/>
      </c>
      <c r="C2642" s="79">
        <f>IF('Ordenes_Odoo'!C2642="","",'Ordenes_Odoo'!C2642)</f>
        <v/>
      </c>
      <c r="D2642" s="79">
        <f>IF('Ordenes_Odoo'!D2642="","",'Ordenes_Odoo'!D2642)</f>
        <v/>
      </c>
      <c r="E2642" s="79">
        <f>IF('Ordenes_Odoo'!E2642="","",'Ordenes_Odoo'!E2642)</f>
        <v/>
      </c>
      <c r="F2642" s="79">
        <f>IF('Ordenes_Odoo'!F2642="","",'Ordenes_Odoo'!F2642)</f>
        <v/>
      </c>
      <c r="G2642" s="79">
        <f>IF('Ordenes_Odoo'!G2642="","",'Ordenes_Odoo'!G2642)</f>
        <v/>
      </c>
      <c r="H2642" s="79">
        <f>IF('Ordenes_Odoo'!H2642="","",'Ordenes_Odoo'!H2642)</f>
        <v/>
      </c>
      <c r="I2642" s="79">
        <f>IF('Ordenes_Odoo'!I2642="","",'Ordenes_Odoo'!I2642)</f>
        <v/>
      </c>
      <c r="J2642" s="79">
        <f>IF('Ordenes_Odoo'!J2642="","",'Ordenes_Odoo'!J2642)</f>
        <v/>
      </c>
      <c r="K2642" s="81">
        <f>IF('Ordenes_Odoo'!K2642="","",'Ordenes_Odoo'!K2642)</f>
        <v/>
      </c>
      <c r="L2642" s="81">
        <f>IF('Ordenes_Odoo'!L2642="","",'Ordenes_Odoo'!L2642)</f>
        <v/>
      </c>
      <c r="M2642" s="79">
        <f>IF('Ordenes_Odoo'!M2642="","",'Ordenes_Odoo'!M2642)</f>
        <v/>
      </c>
      <c r="N2642" s="79">
        <f>IF('Ordenes_Odoo'!N2642="","",'Ordenes_Odoo'!N2642)</f>
        <v/>
      </c>
      <c r="O2642" s="81">
        <f>IF('Ordenes_Odoo'!O2642="","",'Ordenes_Odoo'!O2642)</f>
        <v/>
      </c>
      <c r="P2642" s="81">
        <f>IF('Ordenes_Odoo'!P2642="","",'Ordenes_Odoo'!P2642)</f>
        <v/>
      </c>
      <c r="Q2642" s="79">
        <f>IF(A2642="","",IFERROR(INDEX(Facturas_Odoo!$B:$B, MATCH(A2642, Facturas_Odoo!$D:$D, 0)), "Sin Factura"))</f>
        <v/>
      </c>
      <c r="R2642" s="80">
        <f>IF(Q2642="Sin Factura","",IFERROR(INDEX(Facturas_Odoo!$A:$A, MATCH(Q2642, Facturas_Odoo!$B:$B, 0)), ""))</f>
        <v/>
      </c>
      <c r="S2642" s="79">
        <f>IF(Q2642="Sin Factura","",IFERROR(_xlfn.XLOOKUP(1, (Facturas_Odoo!$D:$D=A2642) * (Facturas_Odoo!$K:$K=I2642), Facturas_Odoo!$L:$L, ""), ""))</f>
        <v/>
      </c>
      <c r="T2642" s="81">
        <f>IF(Q2642="Sin Factura",0,IFERROR(_xlfn.XLOOKUP(1, (Facturas_Odoo!$D:$D=A2642) * (Facturas_Odoo!$K:$K=I2642), Facturas_Odoo!$M:$M, 0), 0))</f>
        <v/>
      </c>
      <c r="U2642" s="79">
        <f>IF(Q2642="Sin Factura",0,IFERROR(_xlfn.XLOOKUP(1, (Facturas_Odoo!$D:$D=A2642) * (Facturas_Odoo!$K:$K=I2642), Facturas_Odoo!$N:$N, 0), 0))</f>
        <v/>
      </c>
      <c r="V2642" s="79">
        <f>IF(Q2642="Sin Factura",0,IFERROR(_xlfn.XLOOKUP(1, (Facturas_Odoo!$D:$D=A2642) * (Facturas_Odoo!$K:$K=I2642), Facturas_Odoo!$O:$O, 0), 0))</f>
        <v/>
      </c>
      <c r="W2642" s="81">
        <f>IF(Q2642="Sin Factura",0,IFERROR(_xlfn.XLOOKUP(1, (Facturas_Odoo!$D:$D=A2642) * (Facturas_Odoo!$K:$K=I2642), Facturas_Odoo!$Q:$Q, 0), 0))</f>
        <v/>
      </c>
      <c r="X2642" s="79">
        <f>IF(OR(Q2642="Sin Factura",Q2642=""),"",IFERROR(INDEX(Pagos_Odoo!$B:$B, MATCH(Q2642, Pagos_Odoo!$I:$I, 0)), "Sin Pago"))</f>
        <v/>
      </c>
      <c r="Y2642" s="79">
        <f>IF(X2642="Sin Pago","",IFERROR(INDEX(Pagos_Odoo!$C:$C, MATCH(X2642, Pagos_Odoo!$B:$B, 0)), ""))</f>
        <v/>
      </c>
      <c r="Z2642" s="80">
        <f>IF(X2642="Sin Pago","",IFERROR(INDEX(Pagos_Odoo!$A:$A, MATCH(X2642, Pagos_Odoo!$B:$B, 0)), ""))</f>
        <v/>
      </c>
      <c r="AA2642" s="79">
        <f>IF(X2642="Sin Pago","",IFERROR(INDEX(Pagos_Odoo!$F:$F, MATCH(X2642, Pagos_Odoo!$B:$B, 0)), ""))</f>
        <v/>
      </c>
      <c r="AB2642" s="81">
        <f>IF(X2642="Sin Pago",0,IFERROR(INDEX(Pagos_Odoo!$E:$E, MATCH(X2642, Pagos_Odoo!$B:$B, 0)), 0))</f>
        <v/>
      </c>
      <c r="AC2642" s="79">
        <f>IF(X2642="Sin Pago","",IFERROR(INDEX(Pagos_Odoo!$G:$G, MATCH(X2642, Pagos_Odoo!$B:$B, 0)), ""))</f>
        <v/>
      </c>
      <c r="AD2642" s="82" t="n">
        <v>0</v>
      </c>
      <c r="AE2642" s="82" t="n"/>
      <c r="AF2642" s="82" t="n"/>
      <c r="AG2642" s="82">
        <f>IF(AN2642="","",AD2642+AE2642+AF2642)</f>
        <v/>
      </c>
      <c r="AH2642" s="81">
        <f>IF(AN2642="","",P2642*(1-AG2642))</f>
        <v/>
      </c>
      <c r="AI2642" s="81">
        <f>IF(AN2642="","",IF(Q2642="Sin Factura",0,IFERROR(INDEX(Facturas_Odoo!$H:$H, MATCH(Q2642, Facturas_Odoo!$B:$B, 0)), 0)*(1-AG2642)))</f>
        <v/>
      </c>
      <c r="AJ2642" s="81">
        <f>IF(AN2642="","",_xlfn.LET(idVenta, AN2642&amp;"",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42" s="81">
        <f>IF(AN2642="","",AH2642-AJ2642)</f>
        <v/>
      </c>
      <c r="AL2642" s="81">
        <f>IF(AN2642="","",IF(Q2642="Sin Factura","",AI2642-AJ2642))</f>
        <v/>
      </c>
      <c r="AM2642" s="81">
        <f>IF(AN2642="","",IF(Q2642="Sin Factura",0,P2642-IFERROR(INDEX(Facturas_Odoo!$H:$H, MATCH(Q2642, Facturas_Odoo!$B:$B, 0)), 0)))</f>
        <v/>
      </c>
      <c r="AN2642" s="79">
        <f>IF(AND(A2642="", J2642=""), "", IF(A2642&lt;&gt;"", VALUE(MID(A2642,2,LEN(A2642))), AN2641))</f>
        <v/>
      </c>
      <c r="AO2642" s="79">
        <f>IF(AN2642="","",IF(AD2642=0,"OK",_xlfn.LET(monedaPago, IF(AA2642="","USD",AA2642), limitePermitido, IFERROR(VLOOKUP(monedaPago, Configuración!$A$2:$B$3, 2, FALSE), 0.15), IF(AD2642&gt;limitePermitido, "ALERTA: EXCESO (" &amp; TEXT(limitePermitido, "0%") &amp; " máx)", "OK"))))</f>
        <v/>
      </c>
      <c r="AP2642" s="79">
        <f>IF(AN2642="","",IF(AE2642=0,"OK",_xlfn.LET(fechaPago, Z2642, fechaFactura, R2642, diasCredito, IF(E2642="Pago inmediato", 0, IFERROR(VALUE(MID(E2642, 1, SEARCH(" ", E2642)-1)),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42" s="79">
        <f>IF(AN2642="","",IF(AND(N2642&gt;0, AG2642&gt;0), IF(Configuración!$K$2="NO", "ALERTA: DESCUENTO DOBLE NO PERMITIDO", "OK"), "OK"))</f>
        <v/>
      </c>
      <c r="AR2642" s="79">
        <f>IF(AN2642="","",IF(OR(AO2642&lt;&gt;"OK", AP2642&lt;&gt;"OK", AQ2642&lt;&gt;"OK"), "⚠️ REVISAR", "OK"))</f>
        <v/>
      </c>
    </row>
    <row r="2643">
      <c r="A2643" s="79">
        <f>IF('Ordenes_Odoo'!A2643="","",'Ordenes_Odoo'!A2643)</f>
        <v/>
      </c>
      <c r="B2643" s="80">
        <f>IF('Ordenes_Odoo'!B2643="","",'Ordenes_Odoo'!B2643)</f>
        <v/>
      </c>
      <c r="C2643" s="79">
        <f>IF('Ordenes_Odoo'!C2643="","",'Ordenes_Odoo'!C2643)</f>
        <v/>
      </c>
      <c r="D2643" s="79">
        <f>IF('Ordenes_Odoo'!D2643="","",'Ordenes_Odoo'!D2643)</f>
        <v/>
      </c>
      <c r="E2643" s="79">
        <f>IF('Ordenes_Odoo'!E2643="","",'Ordenes_Odoo'!E2643)</f>
        <v/>
      </c>
      <c r="F2643" s="79">
        <f>IF('Ordenes_Odoo'!F2643="","",'Ordenes_Odoo'!F2643)</f>
        <v/>
      </c>
      <c r="G2643" s="79">
        <f>IF('Ordenes_Odoo'!G2643="","",'Ordenes_Odoo'!G2643)</f>
        <v/>
      </c>
      <c r="H2643" s="79">
        <f>IF('Ordenes_Odoo'!H2643="","",'Ordenes_Odoo'!H2643)</f>
        <v/>
      </c>
      <c r="I2643" s="79">
        <f>IF('Ordenes_Odoo'!I2643="","",'Ordenes_Odoo'!I2643)</f>
        <v/>
      </c>
      <c r="J2643" s="79">
        <f>IF('Ordenes_Odoo'!J2643="","",'Ordenes_Odoo'!J2643)</f>
        <v/>
      </c>
      <c r="K2643" s="81">
        <f>IF('Ordenes_Odoo'!K2643="","",'Ordenes_Odoo'!K2643)</f>
        <v/>
      </c>
      <c r="L2643" s="81">
        <f>IF('Ordenes_Odoo'!L2643="","",'Ordenes_Odoo'!L2643)</f>
        <v/>
      </c>
      <c r="M2643" s="79">
        <f>IF('Ordenes_Odoo'!M2643="","",'Ordenes_Odoo'!M2643)</f>
        <v/>
      </c>
      <c r="N2643" s="79">
        <f>IF('Ordenes_Odoo'!N2643="","",'Ordenes_Odoo'!N2643)</f>
        <v/>
      </c>
      <c r="O2643" s="81">
        <f>IF('Ordenes_Odoo'!O2643="","",'Ordenes_Odoo'!O2643)</f>
        <v/>
      </c>
      <c r="P2643" s="81">
        <f>IF('Ordenes_Odoo'!P2643="","",'Ordenes_Odoo'!P2643)</f>
        <v/>
      </c>
      <c r="Q2643" s="79">
        <f>IF(A2643="","",IFERROR(INDEX(Facturas_Odoo!$B:$B, MATCH(A2643, Facturas_Odoo!$D:$D, 0)), "Sin Factura"))</f>
        <v/>
      </c>
      <c r="R2643" s="80">
        <f>IF(Q2643="Sin Factura","",IFERROR(INDEX(Facturas_Odoo!$A:$A, MATCH(Q2643, Facturas_Odoo!$B:$B, 0)), ""))</f>
        <v/>
      </c>
      <c r="S2643" s="79">
        <f>IF(Q2643="Sin Factura","",IFERROR(_xlfn.XLOOKUP(1, (Facturas_Odoo!$D:$D=A2643) * (Facturas_Odoo!$K:$K=I2643), Facturas_Odoo!$L:$L, ""), ""))</f>
        <v/>
      </c>
      <c r="T2643" s="81">
        <f>IF(Q2643="Sin Factura",0,IFERROR(_xlfn.XLOOKUP(1, (Facturas_Odoo!$D:$D=A2643) * (Facturas_Odoo!$K:$K=I2643), Facturas_Odoo!$M:$M, 0), 0))</f>
        <v/>
      </c>
      <c r="U2643" s="79">
        <f>IF(Q2643="Sin Factura",0,IFERROR(_xlfn.XLOOKUP(1, (Facturas_Odoo!$D:$D=A2643) * (Facturas_Odoo!$K:$K=I2643), Facturas_Odoo!$N:$N, 0), 0))</f>
        <v/>
      </c>
      <c r="V2643" s="79">
        <f>IF(Q2643="Sin Factura",0,IFERROR(_xlfn.XLOOKUP(1, (Facturas_Odoo!$D:$D=A2643) * (Facturas_Odoo!$K:$K=I2643), Facturas_Odoo!$O:$O, 0), 0))</f>
        <v/>
      </c>
      <c r="W2643" s="81">
        <f>IF(Q2643="Sin Factura",0,IFERROR(_xlfn.XLOOKUP(1, (Facturas_Odoo!$D:$D=A2643) * (Facturas_Odoo!$K:$K=I2643), Facturas_Odoo!$Q:$Q, 0), 0))</f>
        <v/>
      </c>
      <c r="X2643" s="79">
        <f>IF(OR(Q2643="Sin Factura",Q2643=""),"",IFERROR(INDEX(Pagos_Odoo!$B:$B, MATCH(Q2643, Pagos_Odoo!$I:$I, 0)), "Sin Pago"))</f>
        <v/>
      </c>
      <c r="Y2643" s="79">
        <f>IF(X2643="Sin Pago","",IFERROR(INDEX(Pagos_Odoo!$C:$C, MATCH(X2643, Pagos_Odoo!$B:$B, 0)), ""))</f>
        <v/>
      </c>
      <c r="Z2643" s="80">
        <f>IF(X2643="Sin Pago","",IFERROR(INDEX(Pagos_Odoo!$A:$A, MATCH(X2643, Pagos_Odoo!$B:$B, 0)), ""))</f>
        <v/>
      </c>
      <c r="AA2643" s="79">
        <f>IF(X2643="Sin Pago","",IFERROR(INDEX(Pagos_Odoo!$F:$F, MATCH(X2643, Pagos_Odoo!$B:$B, 0)), ""))</f>
        <v/>
      </c>
      <c r="AB2643" s="81">
        <f>IF(X2643="Sin Pago",0,IFERROR(INDEX(Pagos_Odoo!$E:$E, MATCH(X2643, Pagos_Odoo!$B:$B, 0)), 0))</f>
        <v/>
      </c>
      <c r="AC2643" s="79">
        <f>IF(X2643="Sin Pago","",IFERROR(INDEX(Pagos_Odoo!$G:$G, MATCH(X2643, Pagos_Odoo!$B:$B, 0)), ""))</f>
        <v/>
      </c>
      <c r="AD2643" s="82" t="n">
        <v>0</v>
      </c>
      <c r="AE2643" s="82" t="n"/>
      <c r="AF2643" s="82" t="n"/>
      <c r="AG2643" s="82">
        <f>IF(AN2643="","",AD2643+AE2643+AF2643)</f>
        <v/>
      </c>
      <c r="AH2643" s="81">
        <f>IF(AN2643="","",P2643*(1-AG2643))</f>
        <v/>
      </c>
      <c r="AI2643" s="81">
        <f>IF(AN2643="","",IF(Q2643="Sin Factura",0,IFERROR(INDEX(Facturas_Odoo!$H:$H, MATCH(Q2643, Facturas_Odoo!$B:$B, 0)), 0)*(1-AG2643)))</f>
        <v/>
      </c>
      <c r="AJ2643" s="81">
        <f>IF(AN2643="","",_xlfn.LET(idVenta, AN2643&amp;"",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43" s="81">
        <f>IF(AN2643="","",AH2643-AJ2643)</f>
        <v/>
      </c>
      <c r="AL2643" s="81">
        <f>IF(AN2643="","",IF(Q2643="Sin Factura","",AI2643-AJ2643))</f>
        <v/>
      </c>
      <c r="AM2643" s="81">
        <f>IF(AN2643="","",IF(Q2643="Sin Factura",0,P2643-IFERROR(INDEX(Facturas_Odoo!$H:$H, MATCH(Q2643, Facturas_Odoo!$B:$B, 0)), 0)))</f>
        <v/>
      </c>
      <c r="AN2643" s="79">
        <f>IF(AND(A2643="", J2643=""), "", IF(A2643&lt;&gt;"", VALUE(MID(A2643,2,LEN(A2643))), AN2642))</f>
        <v/>
      </c>
      <c r="AO2643" s="79">
        <f>IF(AN2643="","",IF(AD2643=0,"OK",_xlfn.LET(monedaPago, IF(AA2643="","USD",AA2643), limitePermitido, IFERROR(VLOOKUP(monedaPago, Configuración!$A$2:$B$3, 2, FALSE), 0.15), IF(AD2643&gt;limitePermitido, "ALERTA: EXCESO (" &amp; TEXT(limitePermitido, "0%") &amp; " máx)", "OK"))))</f>
        <v/>
      </c>
      <c r="AP2643" s="79">
        <f>IF(AN2643="","",IF(AE2643=0,"OK",_xlfn.LET(fechaPago, Z2643, fechaFactura, R2643, diasCredito, IF(E2643="Pago inmediato", 0, IFERROR(VALUE(MID(E2643, 1, SEARCH(" ", E2643)-1)),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43" s="79">
        <f>IF(AN2643="","",IF(AND(N2643&gt;0, AG2643&gt;0), IF(Configuración!$K$2="NO", "ALERTA: DESCUENTO DOBLE NO PERMITIDO", "OK"), "OK"))</f>
        <v/>
      </c>
      <c r="AR2643" s="79">
        <f>IF(AN2643="","",IF(OR(AO2643&lt;&gt;"OK", AP2643&lt;&gt;"OK", AQ2643&lt;&gt;"OK"), "⚠️ REVISAR", "OK"))</f>
        <v/>
      </c>
    </row>
    <row r="2644">
      <c r="A2644" s="79">
        <f>IF('Ordenes_Odoo'!A2644="","",'Ordenes_Odoo'!A2644)</f>
        <v/>
      </c>
      <c r="B2644" s="80">
        <f>IF('Ordenes_Odoo'!B2644="","",'Ordenes_Odoo'!B2644)</f>
        <v/>
      </c>
      <c r="C2644" s="79">
        <f>IF('Ordenes_Odoo'!C2644="","",'Ordenes_Odoo'!C2644)</f>
        <v/>
      </c>
      <c r="D2644" s="79">
        <f>IF('Ordenes_Odoo'!D2644="","",'Ordenes_Odoo'!D2644)</f>
        <v/>
      </c>
      <c r="E2644" s="79">
        <f>IF('Ordenes_Odoo'!E2644="","",'Ordenes_Odoo'!E2644)</f>
        <v/>
      </c>
      <c r="F2644" s="79">
        <f>IF('Ordenes_Odoo'!F2644="","",'Ordenes_Odoo'!F2644)</f>
        <v/>
      </c>
      <c r="G2644" s="79">
        <f>IF('Ordenes_Odoo'!G2644="","",'Ordenes_Odoo'!G2644)</f>
        <v/>
      </c>
      <c r="H2644" s="79">
        <f>IF('Ordenes_Odoo'!H2644="","",'Ordenes_Odoo'!H2644)</f>
        <v/>
      </c>
      <c r="I2644" s="79">
        <f>IF('Ordenes_Odoo'!I2644="","",'Ordenes_Odoo'!I2644)</f>
        <v/>
      </c>
      <c r="J2644" s="79">
        <f>IF('Ordenes_Odoo'!J2644="","",'Ordenes_Odoo'!J2644)</f>
        <v/>
      </c>
      <c r="K2644" s="81">
        <f>IF('Ordenes_Odoo'!K2644="","",'Ordenes_Odoo'!K2644)</f>
        <v/>
      </c>
      <c r="L2644" s="81">
        <f>IF('Ordenes_Odoo'!L2644="","",'Ordenes_Odoo'!L2644)</f>
        <v/>
      </c>
      <c r="M2644" s="79">
        <f>IF('Ordenes_Odoo'!M2644="","",'Ordenes_Odoo'!M2644)</f>
        <v/>
      </c>
      <c r="N2644" s="79">
        <f>IF('Ordenes_Odoo'!N2644="","",'Ordenes_Odoo'!N2644)</f>
        <v/>
      </c>
      <c r="O2644" s="81">
        <f>IF('Ordenes_Odoo'!O2644="","",'Ordenes_Odoo'!O2644)</f>
        <v/>
      </c>
      <c r="P2644" s="81">
        <f>IF('Ordenes_Odoo'!P2644="","",'Ordenes_Odoo'!P2644)</f>
        <v/>
      </c>
      <c r="Q2644" s="79">
        <f>IF(A2644="","",IFERROR(INDEX(Facturas_Odoo!$B:$B, MATCH(A2644, Facturas_Odoo!$D:$D, 0)), "Sin Factura"))</f>
        <v/>
      </c>
      <c r="R2644" s="80">
        <f>IF(Q2644="Sin Factura","",IFERROR(INDEX(Facturas_Odoo!$A:$A, MATCH(Q2644, Facturas_Odoo!$B:$B, 0)), ""))</f>
        <v/>
      </c>
      <c r="S2644" s="79">
        <f>IF(Q2644="Sin Factura","",IFERROR(_xlfn.XLOOKUP(1, (Facturas_Odoo!$D:$D=A2644) * (Facturas_Odoo!$K:$K=I2644), Facturas_Odoo!$L:$L, ""), ""))</f>
        <v/>
      </c>
      <c r="T2644" s="81">
        <f>IF(Q2644="Sin Factura",0,IFERROR(_xlfn.XLOOKUP(1, (Facturas_Odoo!$D:$D=A2644) * (Facturas_Odoo!$K:$K=I2644), Facturas_Odoo!$M:$M, 0), 0))</f>
        <v/>
      </c>
      <c r="U2644" s="79">
        <f>IF(Q2644="Sin Factura",0,IFERROR(_xlfn.XLOOKUP(1, (Facturas_Odoo!$D:$D=A2644) * (Facturas_Odoo!$K:$K=I2644), Facturas_Odoo!$N:$N, 0), 0))</f>
        <v/>
      </c>
      <c r="V2644" s="79">
        <f>IF(Q2644="Sin Factura",0,IFERROR(_xlfn.XLOOKUP(1, (Facturas_Odoo!$D:$D=A2644) * (Facturas_Odoo!$K:$K=I2644), Facturas_Odoo!$O:$O, 0), 0))</f>
        <v/>
      </c>
      <c r="W2644" s="81">
        <f>IF(Q2644="Sin Factura",0,IFERROR(_xlfn.XLOOKUP(1, (Facturas_Odoo!$D:$D=A2644) * (Facturas_Odoo!$K:$K=I2644), Facturas_Odoo!$Q:$Q, 0), 0))</f>
        <v/>
      </c>
      <c r="X2644" s="79">
        <f>IF(OR(Q2644="Sin Factura",Q2644=""),"",IFERROR(INDEX(Pagos_Odoo!$B:$B, MATCH(Q2644, Pagos_Odoo!$I:$I, 0)), "Sin Pago"))</f>
        <v/>
      </c>
      <c r="Y2644" s="79">
        <f>IF(X2644="Sin Pago","",IFERROR(INDEX(Pagos_Odoo!$C:$C, MATCH(X2644, Pagos_Odoo!$B:$B, 0)), ""))</f>
        <v/>
      </c>
      <c r="Z2644" s="80">
        <f>IF(X2644="Sin Pago","",IFERROR(INDEX(Pagos_Odoo!$A:$A, MATCH(X2644, Pagos_Odoo!$B:$B, 0)), ""))</f>
        <v/>
      </c>
      <c r="AA2644" s="79">
        <f>IF(X2644="Sin Pago","",IFERROR(INDEX(Pagos_Odoo!$F:$F, MATCH(X2644, Pagos_Odoo!$B:$B, 0)), ""))</f>
        <v/>
      </c>
      <c r="AB2644" s="81">
        <f>IF(X2644="Sin Pago",0,IFERROR(INDEX(Pagos_Odoo!$E:$E, MATCH(X2644, Pagos_Odoo!$B:$B, 0)), 0))</f>
        <v/>
      </c>
      <c r="AC2644" s="79">
        <f>IF(X2644="Sin Pago","",IFERROR(INDEX(Pagos_Odoo!$G:$G, MATCH(X2644, Pagos_Odoo!$B:$B, 0)), ""))</f>
        <v/>
      </c>
      <c r="AD2644" s="82" t="n">
        <v>0</v>
      </c>
      <c r="AE2644" s="82" t="n"/>
      <c r="AF2644" s="82" t="n"/>
      <c r="AG2644" s="82">
        <f>IF(AN2644="","",AD2644+AE2644+AF2644)</f>
        <v/>
      </c>
      <c r="AH2644" s="81">
        <f>IF(AN2644="","",P2644*(1-AG2644))</f>
        <v/>
      </c>
      <c r="AI2644" s="81">
        <f>IF(AN2644="","",IF(Q2644="Sin Factura",0,IFERROR(INDEX(Facturas_Odoo!$H:$H, MATCH(Q2644, Facturas_Odoo!$B:$B, 0)), 0)*(1-AG2644)))</f>
        <v/>
      </c>
      <c r="AJ2644" s="81">
        <f>IF(AN2644="","",_xlfn.LET(idVenta, AN2644&amp;"",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44" s="81">
        <f>IF(AN2644="","",AH2644-AJ2644)</f>
        <v/>
      </c>
      <c r="AL2644" s="81">
        <f>IF(AN2644="","",IF(Q2644="Sin Factura","",AI2644-AJ2644))</f>
        <v/>
      </c>
      <c r="AM2644" s="81">
        <f>IF(AN2644="","",IF(Q2644="Sin Factura",0,P2644-IFERROR(INDEX(Facturas_Odoo!$H:$H, MATCH(Q2644, Facturas_Odoo!$B:$B, 0)), 0)))</f>
        <v/>
      </c>
      <c r="AN2644" s="79">
        <f>IF(AND(A2644="", J2644=""), "", IF(A2644&lt;&gt;"", VALUE(MID(A2644,2,LEN(A2644))), AN2643))</f>
        <v/>
      </c>
      <c r="AO2644" s="79">
        <f>IF(AN2644="","",IF(AD2644=0,"OK",_xlfn.LET(monedaPago, IF(AA2644="","USD",AA2644), limitePermitido, IFERROR(VLOOKUP(monedaPago, Configuración!$A$2:$B$3, 2, FALSE), 0.15), IF(AD2644&gt;limitePermitido, "ALERTA: EXCESO (" &amp; TEXT(limitePermitido, "0%") &amp; " máx)", "OK"))))</f>
        <v/>
      </c>
      <c r="AP2644" s="79">
        <f>IF(AN2644="","",IF(AE2644=0,"OK",_xlfn.LET(fechaPago, Z2644, fechaFactura, R2644, diasCredito, IF(E2644="Pago inmediato", 0, IFERROR(VALUE(MID(E2644, 1, SEARCH(" ", E2644)-1)),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44" s="79">
        <f>IF(AN2644="","",IF(AND(N2644&gt;0, AG2644&gt;0), IF(Configuración!$K$2="NO", "ALERTA: DESCUENTO DOBLE NO PERMITIDO", "OK"), "OK"))</f>
        <v/>
      </c>
      <c r="AR2644" s="79">
        <f>IF(AN2644="","",IF(OR(AO2644&lt;&gt;"OK", AP2644&lt;&gt;"OK", AQ2644&lt;&gt;"OK"), "⚠️ REVISAR", "OK"))</f>
        <v/>
      </c>
    </row>
    <row r="2645">
      <c r="A2645" s="79">
        <f>IF('Ordenes_Odoo'!A2645="","",'Ordenes_Odoo'!A2645)</f>
        <v/>
      </c>
      <c r="B2645" s="80">
        <f>IF('Ordenes_Odoo'!B2645="","",'Ordenes_Odoo'!B2645)</f>
        <v/>
      </c>
      <c r="C2645" s="79">
        <f>IF('Ordenes_Odoo'!C2645="","",'Ordenes_Odoo'!C2645)</f>
        <v/>
      </c>
      <c r="D2645" s="79">
        <f>IF('Ordenes_Odoo'!D2645="","",'Ordenes_Odoo'!D2645)</f>
        <v/>
      </c>
      <c r="E2645" s="79">
        <f>IF('Ordenes_Odoo'!E2645="","",'Ordenes_Odoo'!E2645)</f>
        <v/>
      </c>
      <c r="F2645" s="79">
        <f>IF('Ordenes_Odoo'!F2645="","",'Ordenes_Odoo'!F2645)</f>
        <v/>
      </c>
      <c r="G2645" s="79">
        <f>IF('Ordenes_Odoo'!G2645="","",'Ordenes_Odoo'!G2645)</f>
        <v/>
      </c>
      <c r="H2645" s="79">
        <f>IF('Ordenes_Odoo'!H2645="","",'Ordenes_Odoo'!H2645)</f>
        <v/>
      </c>
      <c r="I2645" s="79">
        <f>IF('Ordenes_Odoo'!I2645="","",'Ordenes_Odoo'!I2645)</f>
        <v/>
      </c>
      <c r="J2645" s="79">
        <f>IF('Ordenes_Odoo'!J2645="","",'Ordenes_Odoo'!J2645)</f>
        <v/>
      </c>
      <c r="K2645" s="81">
        <f>IF('Ordenes_Odoo'!K2645="","",'Ordenes_Odoo'!K2645)</f>
        <v/>
      </c>
      <c r="L2645" s="81">
        <f>IF('Ordenes_Odoo'!L2645="","",'Ordenes_Odoo'!L2645)</f>
        <v/>
      </c>
      <c r="M2645" s="79">
        <f>IF('Ordenes_Odoo'!M2645="","",'Ordenes_Odoo'!M2645)</f>
        <v/>
      </c>
      <c r="N2645" s="79">
        <f>IF('Ordenes_Odoo'!N2645="","",'Ordenes_Odoo'!N2645)</f>
        <v/>
      </c>
      <c r="O2645" s="81">
        <f>IF('Ordenes_Odoo'!O2645="","",'Ordenes_Odoo'!O2645)</f>
        <v/>
      </c>
      <c r="P2645" s="81">
        <f>IF('Ordenes_Odoo'!P2645="","",'Ordenes_Odoo'!P2645)</f>
        <v/>
      </c>
      <c r="Q2645" s="79">
        <f>IF(A2645="","",IFERROR(INDEX(Facturas_Odoo!$B:$B, MATCH(A2645, Facturas_Odoo!$D:$D, 0)), "Sin Factura"))</f>
        <v/>
      </c>
      <c r="R2645" s="80">
        <f>IF(Q2645="Sin Factura","",IFERROR(INDEX(Facturas_Odoo!$A:$A, MATCH(Q2645, Facturas_Odoo!$B:$B, 0)), ""))</f>
        <v/>
      </c>
      <c r="S2645" s="79">
        <f>IF(Q2645="Sin Factura","",IFERROR(_xlfn.XLOOKUP(1, (Facturas_Odoo!$D:$D=A2645) * (Facturas_Odoo!$K:$K=I2645), Facturas_Odoo!$L:$L, ""), ""))</f>
        <v/>
      </c>
      <c r="T2645" s="81">
        <f>IF(Q2645="Sin Factura",0,IFERROR(_xlfn.XLOOKUP(1, (Facturas_Odoo!$D:$D=A2645) * (Facturas_Odoo!$K:$K=I2645), Facturas_Odoo!$M:$M, 0), 0))</f>
        <v/>
      </c>
      <c r="U2645" s="79">
        <f>IF(Q2645="Sin Factura",0,IFERROR(_xlfn.XLOOKUP(1, (Facturas_Odoo!$D:$D=A2645) * (Facturas_Odoo!$K:$K=I2645), Facturas_Odoo!$N:$N, 0), 0))</f>
        <v/>
      </c>
      <c r="V2645" s="79">
        <f>IF(Q2645="Sin Factura",0,IFERROR(_xlfn.XLOOKUP(1, (Facturas_Odoo!$D:$D=A2645) * (Facturas_Odoo!$K:$K=I2645), Facturas_Odoo!$O:$O, 0), 0))</f>
        <v/>
      </c>
      <c r="W2645" s="81">
        <f>IF(Q2645="Sin Factura",0,IFERROR(_xlfn.XLOOKUP(1, (Facturas_Odoo!$D:$D=A2645) * (Facturas_Odoo!$K:$K=I2645), Facturas_Odoo!$Q:$Q, 0), 0))</f>
        <v/>
      </c>
      <c r="X2645" s="79">
        <f>IF(OR(Q2645="Sin Factura",Q2645=""),"",IFERROR(INDEX(Pagos_Odoo!$B:$B, MATCH(Q2645, Pagos_Odoo!$I:$I, 0)), "Sin Pago"))</f>
        <v/>
      </c>
      <c r="Y2645" s="79">
        <f>IF(X2645="Sin Pago","",IFERROR(INDEX(Pagos_Odoo!$C:$C, MATCH(X2645, Pagos_Odoo!$B:$B, 0)), ""))</f>
        <v/>
      </c>
      <c r="Z2645" s="80">
        <f>IF(X2645="Sin Pago","",IFERROR(INDEX(Pagos_Odoo!$A:$A, MATCH(X2645, Pagos_Odoo!$B:$B, 0)), ""))</f>
        <v/>
      </c>
      <c r="AA2645" s="79">
        <f>IF(X2645="Sin Pago","",IFERROR(INDEX(Pagos_Odoo!$F:$F, MATCH(X2645, Pagos_Odoo!$B:$B, 0)), ""))</f>
        <v/>
      </c>
      <c r="AB2645" s="81">
        <f>IF(X2645="Sin Pago",0,IFERROR(INDEX(Pagos_Odoo!$E:$E, MATCH(X2645, Pagos_Odoo!$B:$B, 0)), 0))</f>
        <v/>
      </c>
      <c r="AC2645" s="79">
        <f>IF(X2645="Sin Pago","",IFERROR(INDEX(Pagos_Odoo!$G:$G, MATCH(X2645, Pagos_Odoo!$B:$B, 0)), ""))</f>
        <v/>
      </c>
      <c r="AD2645" s="82" t="n">
        <v>0</v>
      </c>
      <c r="AE2645" s="82" t="n"/>
      <c r="AF2645" s="82" t="n"/>
      <c r="AG2645" s="82">
        <f>IF(AN2645="","",AD2645+AE2645+AF2645)</f>
        <v/>
      </c>
      <c r="AH2645" s="81">
        <f>IF(AN2645="","",P2645*(1-AG2645))</f>
        <v/>
      </c>
      <c r="AI2645" s="81">
        <f>IF(AN2645="","",IF(Q2645="Sin Factura",0,IFERROR(INDEX(Facturas_Odoo!$H:$H, MATCH(Q2645, Facturas_Odoo!$B:$B, 0)), 0)*(1-AG2645)))</f>
        <v/>
      </c>
      <c r="AJ2645" s="81">
        <f>IF(AN2645="","",_xlfn.LET(idVenta, AN2645&amp;"",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45" s="81">
        <f>IF(AN2645="","",AH2645-AJ2645)</f>
        <v/>
      </c>
      <c r="AL2645" s="81">
        <f>IF(AN2645="","",IF(Q2645="Sin Factura","",AI2645-AJ2645))</f>
        <v/>
      </c>
      <c r="AM2645" s="81">
        <f>IF(AN2645="","",IF(Q2645="Sin Factura",0,P2645-IFERROR(INDEX(Facturas_Odoo!$H:$H, MATCH(Q2645, Facturas_Odoo!$B:$B, 0)), 0)))</f>
        <v/>
      </c>
      <c r="AN2645" s="79">
        <f>IF(AND(A2645="", J2645=""), "", IF(A2645&lt;&gt;"", VALUE(MID(A2645,2,LEN(A2645))), AN2644))</f>
        <v/>
      </c>
      <c r="AO2645" s="79">
        <f>IF(AN2645="","",IF(AD2645=0,"OK",_xlfn.LET(monedaPago, IF(AA2645="","USD",AA2645), limitePermitido, IFERROR(VLOOKUP(monedaPago, Configuración!$A$2:$B$3, 2, FALSE), 0.15), IF(AD2645&gt;limitePermitido, "ALERTA: EXCESO (" &amp; TEXT(limitePermitido, "0%") &amp; " máx)", "OK"))))</f>
        <v/>
      </c>
      <c r="AP2645" s="79">
        <f>IF(AN2645="","",IF(AE2645=0,"OK",_xlfn.LET(fechaPago, Z2645, fechaFactura, R2645, diasCredito, IF(E2645="Pago inmediato", 0, IFERROR(VALUE(MID(E2645, 1, SEARCH(" ", E2645)-1)),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45" s="79">
        <f>IF(AN2645="","",IF(AND(N2645&gt;0, AG2645&gt;0), IF(Configuración!$K$2="NO", "ALERTA: DESCUENTO DOBLE NO PERMITIDO", "OK"), "OK"))</f>
        <v/>
      </c>
      <c r="AR2645" s="79">
        <f>IF(AN2645="","",IF(OR(AO2645&lt;&gt;"OK", AP2645&lt;&gt;"OK", AQ2645&lt;&gt;"OK"), "⚠️ REVISAR", "OK"))</f>
        <v/>
      </c>
    </row>
    <row r="2646">
      <c r="A2646" s="79">
        <f>IF('Ordenes_Odoo'!A2646="","",'Ordenes_Odoo'!A2646)</f>
        <v/>
      </c>
      <c r="B2646" s="80">
        <f>IF('Ordenes_Odoo'!B2646="","",'Ordenes_Odoo'!B2646)</f>
        <v/>
      </c>
      <c r="C2646" s="79">
        <f>IF('Ordenes_Odoo'!C2646="","",'Ordenes_Odoo'!C2646)</f>
        <v/>
      </c>
      <c r="D2646" s="79">
        <f>IF('Ordenes_Odoo'!D2646="","",'Ordenes_Odoo'!D2646)</f>
        <v/>
      </c>
      <c r="E2646" s="79">
        <f>IF('Ordenes_Odoo'!E2646="","",'Ordenes_Odoo'!E2646)</f>
        <v/>
      </c>
      <c r="F2646" s="79">
        <f>IF('Ordenes_Odoo'!F2646="","",'Ordenes_Odoo'!F2646)</f>
        <v/>
      </c>
      <c r="G2646" s="79">
        <f>IF('Ordenes_Odoo'!G2646="","",'Ordenes_Odoo'!G2646)</f>
        <v/>
      </c>
      <c r="H2646" s="79">
        <f>IF('Ordenes_Odoo'!H2646="","",'Ordenes_Odoo'!H2646)</f>
        <v/>
      </c>
      <c r="I2646" s="79">
        <f>IF('Ordenes_Odoo'!I2646="","",'Ordenes_Odoo'!I2646)</f>
        <v/>
      </c>
      <c r="J2646" s="79">
        <f>IF('Ordenes_Odoo'!J2646="","",'Ordenes_Odoo'!J2646)</f>
        <v/>
      </c>
      <c r="K2646" s="81">
        <f>IF('Ordenes_Odoo'!K2646="","",'Ordenes_Odoo'!K2646)</f>
        <v/>
      </c>
      <c r="L2646" s="81">
        <f>IF('Ordenes_Odoo'!L2646="","",'Ordenes_Odoo'!L2646)</f>
        <v/>
      </c>
      <c r="M2646" s="79">
        <f>IF('Ordenes_Odoo'!M2646="","",'Ordenes_Odoo'!M2646)</f>
        <v/>
      </c>
      <c r="N2646" s="79">
        <f>IF('Ordenes_Odoo'!N2646="","",'Ordenes_Odoo'!N2646)</f>
        <v/>
      </c>
      <c r="O2646" s="81">
        <f>IF('Ordenes_Odoo'!O2646="","",'Ordenes_Odoo'!O2646)</f>
        <v/>
      </c>
      <c r="P2646" s="81">
        <f>IF('Ordenes_Odoo'!P2646="","",'Ordenes_Odoo'!P2646)</f>
        <v/>
      </c>
      <c r="Q2646" s="79">
        <f>IF(A2646="","",IFERROR(INDEX(Facturas_Odoo!$B:$B, MATCH(A2646, Facturas_Odoo!$D:$D, 0)), "Sin Factura"))</f>
        <v/>
      </c>
      <c r="R2646" s="80">
        <f>IF(Q2646="Sin Factura","",IFERROR(INDEX(Facturas_Odoo!$A:$A, MATCH(Q2646, Facturas_Odoo!$B:$B, 0)), ""))</f>
        <v/>
      </c>
      <c r="S2646" s="79">
        <f>IF(Q2646="Sin Factura","",IFERROR(_xlfn.XLOOKUP(1, (Facturas_Odoo!$D:$D=A2646) * (Facturas_Odoo!$K:$K=I2646), Facturas_Odoo!$L:$L, ""), ""))</f>
        <v/>
      </c>
      <c r="T2646" s="81">
        <f>IF(Q2646="Sin Factura",0,IFERROR(_xlfn.XLOOKUP(1, (Facturas_Odoo!$D:$D=A2646) * (Facturas_Odoo!$K:$K=I2646), Facturas_Odoo!$M:$M, 0), 0))</f>
        <v/>
      </c>
      <c r="U2646" s="79">
        <f>IF(Q2646="Sin Factura",0,IFERROR(_xlfn.XLOOKUP(1, (Facturas_Odoo!$D:$D=A2646) * (Facturas_Odoo!$K:$K=I2646), Facturas_Odoo!$N:$N, 0), 0))</f>
        <v/>
      </c>
      <c r="V2646" s="79">
        <f>IF(Q2646="Sin Factura",0,IFERROR(_xlfn.XLOOKUP(1, (Facturas_Odoo!$D:$D=A2646) * (Facturas_Odoo!$K:$K=I2646), Facturas_Odoo!$O:$O, 0), 0))</f>
        <v/>
      </c>
      <c r="W2646" s="81">
        <f>IF(Q2646="Sin Factura",0,IFERROR(_xlfn.XLOOKUP(1, (Facturas_Odoo!$D:$D=A2646) * (Facturas_Odoo!$K:$K=I2646), Facturas_Odoo!$Q:$Q, 0), 0))</f>
        <v/>
      </c>
      <c r="X2646" s="79">
        <f>IF(OR(Q2646="Sin Factura",Q2646=""),"",IFERROR(INDEX(Pagos_Odoo!$B:$B, MATCH(Q2646, Pagos_Odoo!$I:$I, 0)), "Sin Pago"))</f>
        <v/>
      </c>
      <c r="Y2646" s="79">
        <f>IF(X2646="Sin Pago","",IFERROR(INDEX(Pagos_Odoo!$C:$C, MATCH(X2646, Pagos_Odoo!$B:$B, 0)), ""))</f>
        <v/>
      </c>
      <c r="Z2646" s="80">
        <f>IF(X2646="Sin Pago","",IFERROR(INDEX(Pagos_Odoo!$A:$A, MATCH(X2646, Pagos_Odoo!$B:$B, 0)), ""))</f>
        <v/>
      </c>
      <c r="AA2646" s="79">
        <f>IF(X2646="Sin Pago","",IFERROR(INDEX(Pagos_Odoo!$F:$F, MATCH(X2646, Pagos_Odoo!$B:$B, 0)), ""))</f>
        <v/>
      </c>
      <c r="AB2646" s="81">
        <f>IF(X2646="Sin Pago",0,IFERROR(INDEX(Pagos_Odoo!$E:$E, MATCH(X2646, Pagos_Odoo!$B:$B, 0)), 0))</f>
        <v/>
      </c>
      <c r="AC2646" s="79">
        <f>IF(X2646="Sin Pago","",IFERROR(INDEX(Pagos_Odoo!$G:$G, MATCH(X2646, Pagos_Odoo!$B:$B, 0)), ""))</f>
        <v/>
      </c>
      <c r="AD2646" s="82" t="n">
        <v>0</v>
      </c>
      <c r="AE2646" s="82" t="n"/>
      <c r="AF2646" s="82" t="n"/>
      <c r="AG2646" s="82">
        <f>IF(AN2646="","",AD2646+AE2646+AF2646)</f>
        <v/>
      </c>
      <c r="AH2646" s="81">
        <f>IF(AN2646="","",P2646*(1-AG2646))</f>
        <v/>
      </c>
      <c r="AI2646" s="81">
        <f>IF(AN2646="","",IF(Q2646="Sin Factura",0,IFERROR(INDEX(Facturas_Odoo!$H:$H, MATCH(Q2646, Facturas_Odoo!$B:$B, 0)), 0)*(1-AG2646)))</f>
        <v/>
      </c>
      <c r="AJ2646" s="81">
        <f>IF(AN2646="","",_xlfn.LET(idVenta, AN2646&amp;"",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46" s="81">
        <f>IF(AN2646="","",AH2646-AJ2646)</f>
        <v/>
      </c>
      <c r="AL2646" s="81">
        <f>IF(AN2646="","",IF(Q2646="Sin Factura","",AI2646-AJ2646))</f>
        <v/>
      </c>
      <c r="AM2646" s="81">
        <f>IF(AN2646="","",IF(Q2646="Sin Factura",0,P2646-IFERROR(INDEX(Facturas_Odoo!$H:$H, MATCH(Q2646, Facturas_Odoo!$B:$B, 0)), 0)))</f>
        <v/>
      </c>
      <c r="AN2646" s="79">
        <f>IF(AND(A2646="", J2646=""), "", IF(A2646&lt;&gt;"", VALUE(MID(A2646,2,LEN(A2646))), AN2645))</f>
        <v/>
      </c>
      <c r="AO2646" s="79">
        <f>IF(AN2646="","",IF(AD2646=0,"OK",_xlfn.LET(monedaPago, IF(AA2646="","USD",AA2646), limitePermitido, IFERROR(VLOOKUP(monedaPago, Configuración!$A$2:$B$3, 2, FALSE), 0.15), IF(AD2646&gt;limitePermitido, "ALERTA: EXCESO (" &amp; TEXT(limitePermitido, "0%") &amp; " máx)", "OK"))))</f>
        <v/>
      </c>
      <c r="AP2646" s="79">
        <f>IF(AN2646="","",IF(AE2646=0,"OK",_xlfn.LET(fechaPago, Z2646, fechaFactura, R2646, diasCredito, IF(E2646="Pago inmediato", 0, IFERROR(VALUE(MID(E2646, 1, SEARCH(" ", E2646)-1)),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46" s="79">
        <f>IF(AN2646="","",IF(AND(N2646&gt;0, AG2646&gt;0), IF(Configuración!$K$2="NO", "ALERTA: DESCUENTO DOBLE NO PERMITIDO", "OK"), "OK"))</f>
        <v/>
      </c>
      <c r="AR2646" s="79">
        <f>IF(AN2646="","",IF(OR(AO2646&lt;&gt;"OK", AP2646&lt;&gt;"OK", AQ2646&lt;&gt;"OK"), "⚠️ REVISAR", "OK"))</f>
        <v/>
      </c>
    </row>
    <row r="2647">
      <c r="A2647" s="79">
        <f>IF('Ordenes_Odoo'!A2647="","",'Ordenes_Odoo'!A2647)</f>
        <v/>
      </c>
      <c r="B2647" s="80">
        <f>IF('Ordenes_Odoo'!B2647="","",'Ordenes_Odoo'!B2647)</f>
        <v/>
      </c>
      <c r="C2647" s="79">
        <f>IF('Ordenes_Odoo'!C2647="","",'Ordenes_Odoo'!C2647)</f>
        <v/>
      </c>
      <c r="D2647" s="79">
        <f>IF('Ordenes_Odoo'!D2647="","",'Ordenes_Odoo'!D2647)</f>
        <v/>
      </c>
      <c r="E2647" s="79">
        <f>IF('Ordenes_Odoo'!E2647="","",'Ordenes_Odoo'!E2647)</f>
        <v/>
      </c>
      <c r="F2647" s="79">
        <f>IF('Ordenes_Odoo'!F2647="","",'Ordenes_Odoo'!F2647)</f>
        <v/>
      </c>
      <c r="G2647" s="79">
        <f>IF('Ordenes_Odoo'!G2647="","",'Ordenes_Odoo'!G2647)</f>
        <v/>
      </c>
      <c r="H2647" s="79">
        <f>IF('Ordenes_Odoo'!H2647="","",'Ordenes_Odoo'!H2647)</f>
        <v/>
      </c>
      <c r="I2647" s="79">
        <f>IF('Ordenes_Odoo'!I2647="","",'Ordenes_Odoo'!I2647)</f>
        <v/>
      </c>
      <c r="J2647" s="79">
        <f>IF('Ordenes_Odoo'!J2647="","",'Ordenes_Odoo'!J2647)</f>
        <v/>
      </c>
      <c r="K2647" s="81">
        <f>IF('Ordenes_Odoo'!K2647="","",'Ordenes_Odoo'!K2647)</f>
        <v/>
      </c>
      <c r="L2647" s="81">
        <f>IF('Ordenes_Odoo'!L2647="","",'Ordenes_Odoo'!L2647)</f>
        <v/>
      </c>
      <c r="M2647" s="79">
        <f>IF('Ordenes_Odoo'!M2647="","",'Ordenes_Odoo'!M2647)</f>
        <v/>
      </c>
      <c r="N2647" s="79">
        <f>IF('Ordenes_Odoo'!N2647="","",'Ordenes_Odoo'!N2647)</f>
        <v/>
      </c>
      <c r="O2647" s="81">
        <f>IF('Ordenes_Odoo'!O2647="","",'Ordenes_Odoo'!O2647)</f>
        <v/>
      </c>
      <c r="P2647" s="81">
        <f>IF('Ordenes_Odoo'!P2647="","",'Ordenes_Odoo'!P2647)</f>
        <v/>
      </c>
      <c r="Q2647" s="79">
        <f>IF(A2647="","",IFERROR(INDEX(Facturas_Odoo!$B:$B, MATCH(A2647, Facturas_Odoo!$D:$D, 0)), "Sin Factura"))</f>
        <v/>
      </c>
      <c r="R2647" s="80">
        <f>IF(Q2647="Sin Factura","",IFERROR(INDEX(Facturas_Odoo!$A:$A, MATCH(Q2647, Facturas_Odoo!$B:$B, 0)), ""))</f>
        <v/>
      </c>
      <c r="S2647" s="79">
        <f>IF(Q2647="Sin Factura","",IFERROR(_xlfn.XLOOKUP(1, (Facturas_Odoo!$D:$D=A2647) * (Facturas_Odoo!$K:$K=I2647), Facturas_Odoo!$L:$L, ""), ""))</f>
        <v/>
      </c>
      <c r="T2647" s="81">
        <f>IF(Q2647="Sin Factura",0,IFERROR(_xlfn.XLOOKUP(1, (Facturas_Odoo!$D:$D=A2647) * (Facturas_Odoo!$K:$K=I2647), Facturas_Odoo!$M:$M, 0), 0))</f>
        <v/>
      </c>
      <c r="U2647" s="79">
        <f>IF(Q2647="Sin Factura",0,IFERROR(_xlfn.XLOOKUP(1, (Facturas_Odoo!$D:$D=A2647) * (Facturas_Odoo!$K:$K=I2647), Facturas_Odoo!$N:$N, 0), 0))</f>
        <v/>
      </c>
      <c r="V2647" s="79">
        <f>IF(Q2647="Sin Factura",0,IFERROR(_xlfn.XLOOKUP(1, (Facturas_Odoo!$D:$D=A2647) * (Facturas_Odoo!$K:$K=I2647), Facturas_Odoo!$O:$O, 0), 0))</f>
        <v/>
      </c>
      <c r="W2647" s="81">
        <f>IF(Q2647="Sin Factura",0,IFERROR(_xlfn.XLOOKUP(1, (Facturas_Odoo!$D:$D=A2647) * (Facturas_Odoo!$K:$K=I2647), Facturas_Odoo!$Q:$Q, 0), 0))</f>
        <v/>
      </c>
      <c r="X2647" s="79">
        <f>IF(OR(Q2647="Sin Factura",Q2647=""),"",IFERROR(INDEX(Pagos_Odoo!$B:$B, MATCH(Q2647, Pagos_Odoo!$I:$I, 0)), "Sin Pago"))</f>
        <v/>
      </c>
      <c r="Y2647" s="79">
        <f>IF(X2647="Sin Pago","",IFERROR(INDEX(Pagos_Odoo!$C:$C, MATCH(X2647, Pagos_Odoo!$B:$B, 0)), ""))</f>
        <v/>
      </c>
      <c r="Z2647" s="80">
        <f>IF(X2647="Sin Pago","",IFERROR(INDEX(Pagos_Odoo!$A:$A, MATCH(X2647, Pagos_Odoo!$B:$B, 0)), ""))</f>
        <v/>
      </c>
      <c r="AA2647" s="79">
        <f>IF(X2647="Sin Pago","",IFERROR(INDEX(Pagos_Odoo!$F:$F, MATCH(X2647, Pagos_Odoo!$B:$B, 0)), ""))</f>
        <v/>
      </c>
      <c r="AB2647" s="81">
        <f>IF(X2647="Sin Pago",0,IFERROR(INDEX(Pagos_Odoo!$E:$E, MATCH(X2647, Pagos_Odoo!$B:$B, 0)), 0))</f>
        <v/>
      </c>
      <c r="AC2647" s="79">
        <f>IF(X2647="Sin Pago","",IFERROR(INDEX(Pagos_Odoo!$G:$G, MATCH(X2647, Pagos_Odoo!$B:$B, 0)), ""))</f>
        <v/>
      </c>
      <c r="AD2647" s="82" t="n">
        <v>0</v>
      </c>
      <c r="AE2647" s="82" t="n"/>
      <c r="AF2647" s="82" t="n"/>
      <c r="AG2647" s="82">
        <f>IF(AN2647="","",AD2647+AE2647+AF2647)</f>
        <v/>
      </c>
      <c r="AH2647" s="81">
        <f>IF(AN2647="","",P2647*(1-AG2647))</f>
        <v/>
      </c>
      <c r="AI2647" s="81">
        <f>IF(AN2647="","",IF(Q2647="Sin Factura",0,IFERROR(INDEX(Facturas_Odoo!$H:$H, MATCH(Q2647, Facturas_Odoo!$B:$B, 0)), 0)*(1-AG2647)))</f>
        <v/>
      </c>
      <c r="AJ2647" s="81">
        <f>IF(AN2647="","",_xlfn.LET(idVenta, AN2647&amp;"",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47" s="81">
        <f>IF(AN2647="","",AH2647-AJ2647)</f>
        <v/>
      </c>
      <c r="AL2647" s="81">
        <f>IF(AN2647="","",IF(Q2647="Sin Factura","",AI2647-AJ2647))</f>
        <v/>
      </c>
      <c r="AM2647" s="81">
        <f>IF(AN2647="","",IF(Q2647="Sin Factura",0,P2647-IFERROR(INDEX(Facturas_Odoo!$H:$H, MATCH(Q2647, Facturas_Odoo!$B:$B, 0)), 0)))</f>
        <v/>
      </c>
      <c r="AN2647" s="79">
        <f>IF(AND(A2647="", J2647=""), "", IF(A2647&lt;&gt;"", VALUE(MID(A2647,2,LEN(A2647))), AN2646))</f>
        <v/>
      </c>
      <c r="AO2647" s="79">
        <f>IF(AN2647="","",IF(AD2647=0,"OK",_xlfn.LET(monedaPago, IF(AA2647="","USD",AA2647), limitePermitido, IFERROR(VLOOKUP(monedaPago, Configuración!$A$2:$B$3, 2, FALSE), 0.15), IF(AD2647&gt;limitePermitido, "ALERTA: EXCESO (" &amp; TEXT(limitePermitido, "0%") &amp; " máx)", "OK"))))</f>
        <v/>
      </c>
      <c r="AP2647" s="79">
        <f>IF(AN2647="","",IF(AE2647=0,"OK",_xlfn.LET(fechaPago, Z2647, fechaFactura, R2647, diasCredito, IF(E2647="Pago inmediato", 0, IFERROR(VALUE(MID(E2647, 1, SEARCH(" ", E2647)-1)),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47" s="79">
        <f>IF(AN2647="","",IF(AND(N2647&gt;0, AG2647&gt;0), IF(Configuración!$K$2="NO", "ALERTA: DESCUENTO DOBLE NO PERMITIDO", "OK"), "OK"))</f>
        <v/>
      </c>
      <c r="AR2647" s="79">
        <f>IF(AN2647="","",IF(OR(AO2647&lt;&gt;"OK", AP2647&lt;&gt;"OK", AQ2647&lt;&gt;"OK"), "⚠️ REVISAR", "OK"))</f>
        <v/>
      </c>
    </row>
    <row r="2648">
      <c r="A2648" s="79">
        <f>IF('Ordenes_Odoo'!A2648="","",'Ordenes_Odoo'!A2648)</f>
        <v/>
      </c>
      <c r="B2648" s="80">
        <f>IF('Ordenes_Odoo'!B2648="","",'Ordenes_Odoo'!B2648)</f>
        <v/>
      </c>
      <c r="C2648" s="79">
        <f>IF('Ordenes_Odoo'!C2648="","",'Ordenes_Odoo'!C2648)</f>
        <v/>
      </c>
      <c r="D2648" s="79">
        <f>IF('Ordenes_Odoo'!D2648="","",'Ordenes_Odoo'!D2648)</f>
        <v/>
      </c>
      <c r="E2648" s="79">
        <f>IF('Ordenes_Odoo'!E2648="","",'Ordenes_Odoo'!E2648)</f>
        <v/>
      </c>
      <c r="F2648" s="79">
        <f>IF('Ordenes_Odoo'!F2648="","",'Ordenes_Odoo'!F2648)</f>
        <v/>
      </c>
      <c r="G2648" s="79">
        <f>IF('Ordenes_Odoo'!G2648="","",'Ordenes_Odoo'!G2648)</f>
        <v/>
      </c>
      <c r="H2648" s="79">
        <f>IF('Ordenes_Odoo'!H2648="","",'Ordenes_Odoo'!H2648)</f>
        <v/>
      </c>
      <c r="I2648" s="79">
        <f>IF('Ordenes_Odoo'!I2648="","",'Ordenes_Odoo'!I2648)</f>
        <v/>
      </c>
      <c r="J2648" s="79">
        <f>IF('Ordenes_Odoo'!J2648="","",'Ordenes_Odoo'!J2648)</f>
        <v/>
      </c>
      <c r="K2648" s="81">
        <f>IF('Ordenes_Odoo'!K2648="","",'Ordenes_Odoo'!K2648)</f>
        <v/>
      </c>
      <c r="L2648" s="81">
        <f>IF('Ordenes_Odoo'!L2648="","",'Ordenes_Odoo'!L2648)</f>
        <v/>
      </c>
      <c r="M2648" s="79">
        <f>IF('Ordenes_Odoo'!M2648="","",'Ordenes_Odoo'!M2648)</f>
        <v/>
      </c>
      <c r="N2648" s="79">
        <f>IF('Ordenes_Odoo'!N2648="","",'Ordenes_Odoo'!N2648)</f>
        <v/>
      </c>
      <c r="O2648" s="81">
        <f>IF('Ordenes_Odoo'!O2648="","",'Ordenes_Odoo'!O2648)</f>
        <v/>
      </c>
      <c r="P2648" s="81">
        <f>IF('Ordenes_Odoo'!P2648="","",'Ordenes_Odoo'!P2648)</f>
        <v/>
      </c>
      <c r="Q2648" s="79">
        <f>IF(A2648="","",IFERROR(INDEX(Facturas_Odoo!$B:$B, MATCH(A2648, Facturas_Odoo!$D:$D, 0)), "Sin Factura"))</f>
        <v/>
      </c>
      <c r="R2648" s="80">
        <f>IF(Q2648="Sin Factura","",IFERROR(INDEX(Facturas_Odoo!$A:$A, MATCH(Q2648, Facturas_Odoo!$B:$B, 0)), ""))</f>
        <v/>
      </c>
      <c r="S2648" s="79">
        <f>IF(Q2648="Sin Factura","",IFERROR(_xlfn.XLOOKUP(1, (Facturas_Odoo!$D:$D=A2648) * (Facturas_Odoo!$K:$K=I2648), Facturas_Odoo!$L:$L, ""), ""))</f>
        <v/>
      </c>
      <c r="T2648" s="81">
        <f>IF(Q2648="Sin Factura",0,IFERROR(_xlfn.XLOOKUP(1, (Facturas_Odoo!$D:$D=A2648) * (Facturas_Odoo!$K:$K=I2648), Facturas_Odoo!$M:$M, 0), 0))</f>
        <v/>
      </c>
      <c r="U2648" s="79">
        <f>IF(Q2648="Sin Factura",0,IFERROR(_xlfn.XLOOKUP(1, (Facturas_Odoo!$D:$D=A2648) * (Facturas_Odoo!$K:$K=I2648), Facturas_Odoo!$N:$N, 0), 0))</f>
        <v/>
      </c>
      <c r="V2648" s="79">
        <f>IF(Q2648="Sin Factura",0,IFERROR(_xlfn.XLOOKUP(1, (Facturas_Odoo!$D:$D=A2648) * (Facturas_Odoo!$K:$K=I2648), Facturas_Odoo!$O:$O, 0), 0))</f>
        <v/>
      </c>
      <c r="W2648" s="81">
        <f>IF(Q2648="Sin Factura",0,IFERROR(_xlfn.XLOOKUP(1, (Facturas_Odoo!$D:$D=A2648) * (Facturas_Odoo!$K:$K=I2648), Facturas_Odoo!$Q:$Q, 0), 0))</f>
        <v/>
      </c>
      <c r="X2648" s="79">
        <f>IF(OR(Q2648="Sin Factura",Q2648=""),"",IFERROR(INDEX(Pagos_Odoo!$B:$B, MATCH(Q2648, Pagos_Odoo!$I:$I, 0)), "Sin Pago"))</f>
        <v/>
      </c>
      <c r="Y2648" s="79">
        <f>IF(X2648="Sin Pago","",IFERROR(INDEX(Pagos_Odoo!$C:$C, MATCH(X2648, Pagos_Odoo!$B:$B, 0)), ""))</f>
        <v/>
      </c>
      <c r="Z2648" s="80">
        <f>IF(X2648="Sin Pago","",IFERROR(INDEX(Pagos_Odoo!$A:$A, MATCH(X2648, Pagos_Odoo!$B:$B, 0)), ""))</f>
        <v/>
      </c>
      <c r="AA2648" s="79">
        <f>IF(X2648="Sin Pago","",IFERROR(INDEX(Pagos_Odoo!$F:$F, MATCH(X2648, Pagos_Odoo!$B:$B, 0)), ""))</f>
        <v/>
      </c>
      <c r="AB2648" s="81">
        <f>IF(X2648="Sin Pago",0,IFERROR(INDEX(Pagos_Odoo!$E:$E, MATCH(X2648, Pagos_Odoo!$B:$B, 0)), 0))</f>
        <v/>
      </c>
      <c r="AC2648" s="79">
        <f>IF(X2648="Sin Pago","",IFERROR(INDEX(Pagos_Odoo!$G:$G, MATCH(X2648, Pagos_Odoo!$B:$B, 0)), ""))</f>
        <v/>
      </c>
      <c r="AD2648" s="82" t="n">
        <v>0</v>
      </c>
      <c r="AE2648" s="82" t="n"/>
      <c r="AF2648" s="82" t="n"/>
      <c r="AG2648" s="82">
        <f>IF(AN2648="","",AD2648+AE2648+AF2648)</f>
        <v/>
      </c>
      <c r="AH2648" s="81">
        <f>IF(AN2648="","",P2648*(1-AG2648))</f>
        <v/>
      </c>
      <c r="AI2648" s="81">
        <f>IF(AN2648="","",IF(Q2648="Sin Factura",0,IFERROR(INDEX(Facturas_Odoo!$H:$H, MATCH(Q2648, Facturas_Odoo!$B:$B, 0)), 0)*(1-AG2648)))</f>
        <v/>
      </c>
      <c r="AJ2648" s="81">
        <f>IF(AN2648="","",_xlfn.LET(idVenta, AN2648&amp;"",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48" s="81">
        <f>IF(AN2648="","",AH2648-AJ2648)</f>
        <v/>
      </c>
      <c r="AL2648" s="81">
        <f>IF(AN2648="","",IF(Q2648="Sin Factura","",AI2648-AJ2648))</f>
        <v/>
      </c>
      <c r="AM2648" s="81">
        <f>IF(AN2648="","",IF(Q2648="Sin Factura",0,P2648-IFERROR(INDEX(Facturas_Odoo!$H:$H, MATCH(Q2648, Facturas_Odoo!$B:$B, 0)), 0)))</f>
        <v/>
      </c>
      <c r="AN2648" s="79">
        <f>IF(AND(A2648="", J2648=""), "", IF(A2648&lt;&gt;"", VALUE(MID(A2648,2,LEN(A2648))), AN2647))</f>
        <v/>
      </c>
      <c r="AO2648" s="79">
        <f>IF(AN2648="","",IF(AD2648=0,"OK",_xlfn.LET(monedaPago, IF(AA2648="","USD",AA2648), limitePermitido, IFERROR(VLOOKUP(monedaPago, Configuración!$A$2:$B$3, 2, FALSE), 0.15), IF(AD2648&gt;limitePermitido, "ALERTA: EXCESO (" &amp; TEXT(limitePermitido, "0%") &amp; " máx)", "OK"))))</f>
        <v/>
      </c>
      <c r="AP2648" s="79">
        <f>IF(AN2648="","",IF(AE2648=0,"OK",_xlfn.LET(fechaPago, Z2648, fechaFactura, R2648, diasCredito, IF(E2648="Pago inmediato", 0, IFERROR(VALUE(MID(E2648, 1, SEARCH(" ", E2648)-1)),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48" s="79">
        <f>IF(AN2648="","",IF(AND(N2648&gt;0, AG2648&gt;0), IF(Configuración!$K$2="NO", "ALERTA: DESCUENTO DOBLE NO PERMITIDO", "OK"), "OK"))</f>
        <v/>
      </c>
      <c r="AR2648" s="79">
        <f>IF(AN2648="","",IF(OR(AO2648&lt;&gt;"OK", AP2648&lt;&gt;"OK", AQ2648&lt;&gt;"OK"), "⚠️ REVISAR", "OK"))</f>
        <v/>
      </c>
    </row>
    <row r="2649">
      <c r="A2649" s="79">
        <f>IF('Ordenes_Odoo'!A2649="","",'Ordenes_Odoo'!A2649)</f>
        <v/>
      </c>
      <c r="B2649" s="80">
        <f>IF('Ordenes_Odoo'!B2649="","",'Ordenes_Odoo'!B2649)</f>
        <v/>
      </c>
      <c r="C2649" s="79">
        <f>IF('Ordenes_Odoo'!C2649="","",'Ordenes_Odoo'!C2649)</f>
        <v/>
      </c>
      <c r="D2649" s="79">
        <f>IF('Ordenes_Odoo'!D2649="","",'Ordenes_Odoo'!D2649)</f>
        <v/>
      </c>
      <c r="E2649" s="79">
        <f>IF('Ordenes_Odoo'!E2649="","",'Ordenes_Odoo'!E2649)</f>
        <v/>
      </c>
      <c r="F2649" s="79">
        <f>IF('Ordenes_Odoo'!F2649="","",'Ordenes_Odoo'!F2649)</f>
        <v/>
      </c>
      <c r="G2649" s="79">
        <f>IF('Ordenes_Odoo'!G2649="","",'Ordenes_Odoo'!G2649)</f>
        <v/>
      </c>
      <c r="H2649" s="79">
        <f>IF('Ordenes_Odoo'!H2649="","",'Ordenes_Odoo'!H2649)</f>
        <v/>
      </c>
      <c r="I2649" s="79">
        <f>IF('Ordenes_Odoo'!I2649="","",'Ordenes_Odoo'!I2649)</f>
        <v/>
      </c>
      <c r="J2649" s="79">
        <f>IF('Ordenes_Odoo'!J2649="","",'Ordenes_Odoo'!J2649)</f>
        <v/>
      </c>
      <c r="K2649" s="81">
        <f>IF('Ordenes_Odoo'!K2649="","",'Ordenes_Odoo'!K2649)</f>
        <v/>
      </c>
      <c r="L2649" s="81">
        <f>IF('Ordenes_Odoo'!L2649="","",'Ordenes_Odoo'!L2649)</f>
        <v/>
      </c>
      <c r="M2649" s="79">
        <f>IF('Ordenes_Odoo'!M2649="","",'Ordenes_Odoo'!M2649)</f>
        <v/>
      </c>
      <c r="N2649" s="79">
        <f>IF('Ordenes_Odoo'!N2649="","",'Ordenes_Odoo'!N2649)</f>
        <v/>
      </c>
      <c r="O2649" s="81">
        <f>IF('Ordenes_Odoo'!O2649="","",'Ordenes_Odoo'!O2649)</f>
        <v/>
      </c>
      <c r="P2649" s="81">
        <f>IF('Ordenes_Odoo'!P2649="","",'Ordenes_Odoo'!P2649)</f>
        <v/>
      </c>
      <c r="Q2649" s="79">
        <f>IF(A2649="","",IFERROR(INDEX(Facturas_Odoo!$B:$B, MATCH(A2649, Facturas_Odoo!$D:$D, 0)), "Sin Factura"))</f>
        <v/>
      </c>
      <c r="R2649" s="80">
        <f>IF(Q2649="Sin Factura","",IFERROR(INDEX(Facturas_Odoo!$A:$A, MATCH(Q2649, Facturas_Odoo!$B:$B, 0)), ""))</f>
        <v/>
      </c>
      <c r="S2649" s="79">
        <f>IF(Q2649="Sin Factura","",IFERROR(_xlfn.XLOOKUP(1, (Facturas_Odoo!$D:$D=A2649) * (Facturas_Odoo!$K:$K=I2649), Facturas_Odoo!$L:$L, ""), ""))</f>
        <v/>
      </c>
      <c r="T2649" s="81">
        <f>IF(Q2649="Sin Factura",0,IFERROR(_xlfn.XLOOKUP(1, (Facturas_Odoo!$D:$D=A2649) * (Facturas_Odoo!$K:$K=I2649), Facturas_Odoo!$M:$M, 0), 0))</f>
        <v/>
      </c>
      <c r="U2649" s="79">
        <f>IF(Q2649="Sin Factura",0,IFERROR(_xlfn.XLOOKUP(1, (Facturas_Odoo!$D:$D=A2649) * (Facturas_Odoo!$K:$K=I2649), Facturas_Odoo!$N:$N, 0), 0))</f>
        <v/>
      </c>
      <c r="V2649" s="79">
        <f>IF(Q2649="Sin Factura",0,IFERROR(_xlfn.XLOOKUP(1, (Facturas_Odoo!$D:$D=A2649) * (Facturas_Odoo!$K:$K=I2649), Facturas_Odoo!$O:$O, 0), 0))</f>
        <v/>
      </c>
      <c r="W2649" s="81">
        <f>IF(Q2649="Sin Factura",0,IFERROR(_xlfn.XLOOKUP(1, (Facturas_Odoo!$D:$D=A2649) * (Facturas_Odoo!$K:$K=I2649), Facturas_Odoo!$Q:$Q, 0), 0))</f>
        <v/>
      </c>
      <c r="X2649" s="79">
        <f>IF(OR(Q2649="Sin Factura",Q2649=""),"",IFERROR(INDEX(Pagos_Odoo!$B:$B, MATCH(Q2649, Pagos_Odoo!$I:$I, 0)), "Sin Pago"))</f>
        <v/>
      </c>
      <c r="Y2649" s="79">
        <f>IF(X2649="Sin Pago","",IFERROR(INDEX(Pagos_Odoo!$C:$C, MATCH(X2649, Pagos_Odoo!$B:$B, 0)), ""))</f>
        <v/>
      </c>
      <c r="Z2649" s="80">
        <f>IF(X2649="Sin Pago","",IFERROR(INDEX(Pagos_Odoo!$A:$A, MATCH(X2649, Pagos_Odoo!$B:$B, 0)), ""))</f>
        <v/>
      </c>
      <c r="AA2649" s="79">
        <f>IF(X2649="Sin Pago","",IFERROR(INDEX(Pagos_Odoo!$F:$F, MATCH(X2649, Pagos_Odoo!$B:$B, 0)), ""))</f>
        <v/>
      </c>
      <c r="AB2649" s="81">
        <f>IF(X2649="Sin Pago",0,IFERROR(INDEX(Pagos_Odoo!$E:$E, MATCH(X2649, Pagos_Odoo!$B:$B, 0)), 0))</f>
        <v/>
      </c>
      <c r="AC2649" s="79">
        <f>IF(X2649="Sin Pago","",IFERROR(INDEX(Pagos_Odoo!$G:$G, MATCH(X2649, Pagos_Odoo!$B:$B, 0)), ""))</f>
        <v/>
      </c>
      <c r="AD2649" s="82" t="n">
        <v>0</v>
      </c>
      <c r="AE2649" s="82" t="n"/>
      <c r="AF2649" s="82" t="n"/>
      <c r="AG2649" s="82">
        <f>IF(AN2649="","",AD2649+AE2649+AF2649)</f>
        <v/>
      </c>
      <c r="AH2649" s="81">
        <f>IF(AN2649="","",P2649*(1-AG2649))</f>
        <v/>
      </c>
      <c r="AI2649" s="81">
        <f>IF(AN2649="","",IF(Q2649="Sin Factura",0,IFERROR(INDEX(Facturas_Odoo!$H:$H, MATCH(Q2649, Facturas_Odoo!$B:$B, 0)), 0)*(1-AG2649)))</f>
        <v/>
      </c>
      <c r="AJ2649" s="81">
        <f>IF(AN2649="","",_xlfn.LET(idVenta, AN2649&amp;"",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49" s="81">
        <f>IF(AN2649="","",AH2649-AJ2649)</f>
        <v/>
      </c>
      <c r="AL2649" s="81">
        <f>IF(AN2649="","",IF(Q2649="Sin Factura","",AI2649-AJ2649))</f>
        <v/>
      </c>
      <c r="AM2649" s="81">
        <f>IF(AN2649="","",IF(Q2649="Sin Factura",0,P2649-IFERROR(INDEX(Facturas_Odoo!$H:$H, MATCH(Q2649, Facturas_Odoo!$B:$B, 0)), 0)))</f>
        <v/>
      </c>
      <c r="AN2649" s="79">
        <f>IF(AND(A2649="", J2649=""), "", IF(A2649&lt;&gt;"", VALUE(MID(A2649,2,LEN(A2649))), AN2648))</f>
        <v/>
      </c>
      <c r="AO2649" s="79">
        <f>IF(AN2649="","",IF(AD2649=0,"OK",_xlfn.LET(monedaPago, IF(AA2649="","USD",AA2649), limitePermitido, IFERROR(VLOOKUP(monedaPago, Configuración!$A$2:$B$3, 2, FALSE), 0.15), IF(AD2649&gt;limitePermitido, "ALERTA: EXCESO (" &amp; TEXT(limitePermitido, "0%") &amp; " máx)", "OK"))))</f>
        <v/>
      </c>
      <c r="AP2649" s="79">
        <f>IF(AN2649="","",IF(AE2649=0,"OK",_xlfn.LET(fechaPago, Z2649, fechaFactura, R2649, diasCredito, IF(E2649="Pago inmediato", 0, IFERROR(VALUE(MID(E2649, 1, SEARCH(" ", E2649)-1)),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49" s="79">
        <f>IF(AN2649="","",IF(AND(N2649&gt;0, AG2649&gt;0), IF(Configuración!$K$2="NO", "ALERTA: DESCUENTO DOBLE NO PERMITIDO", "OK"), "OK"))</f>
        <v/>
      </c>
      <c r="AR2649" s="79">
        <f>IF(AN2649="","",IF(OR(AO2649&lt;&gt;"OK", AP2649&lt;&gt;"OK", AQ2649&lt;&gt;"OK"), "⚠️ REVISAR", "OK"))</f>
        <v/>
      </c>
    </row>
    <row r="2650">
      <c r="A2650" s="79">
        <f>IF('Ordenes_Odoo'!A2650="","",'Ordenes_Odoo'!A2650)</f>
        <v/>
      </c>
      <c r="B2650" s="80">
        <f>IF('Ordenes_Odoo'!B2650="","",'Ordenes_Odoo'!B2650)</f>
        <v/>
      </c>
      <c r="C2650" s="79">
        <f>IF('Ordenes_Odoo'!C2650="","",'Ordenes_Odoo'!C2650)</f>
        <v/>
      </c>
      <c r="D2650" s="79">
        <f>IF('Ordenes_Odoo'!D2650="","",'Ordenes_Odoo'!D2650)</f>
        <v/>
      </c>
      <c r="E2650" s="79">
        <f>IF('Ordenes_Odoo'!E2650="","",'Ordenes_Odoo'!E2650)</f>
        <v/>
      </c>
      <c r="F2650" s="79">
        <f>IF('Ordenes_Odoo'!F2650="","",'Ordenes_Odoo'!F2650)</f>
        <v/>
      </c>
      <c r="G2650" s="79">
        <f>IF('Ordenes_Odoo'!G2650="","",'Ordenes_Odoo'!G2650)</f>
        <v/>
      </c>
      <c r="H2650" s="79">
        <f>IF('Ordenes_Odoo'!H2650="","",'Ordenes_Odoo'!H2650)</f>
        <v/>
      </c>
      <c r="I2650" s="79">
        <f>IF('Ordenes_Odoo'!I2650="","",'Ordenes_Odoo'!I2650)</f>
        <v/>
      </c>
      <c r="J2650" s="79">
        <f>IF('Ordenes_Odoo'!J2650="","",'Ordenes_Odoo'!J2650)</f>
        <v/>
      </c>
      <c r="K2650" s="81">
        <f>IF('Ordenes_Odoo'!K2650="","",'Ordenes_Odoo'!K2650)</f>
        <v/>
      </c>
      <c r="L2650" s="81">
        <f>IF('Ordenes_Odoo'!L2650="","",'Ordenes_Odoo'!L2650)</f>
        <v/>
      </c>
      <c r="M2650" s="79">
        <f>IF('Ordenes_Odoo'!M2650="","",'Ordenes_Odoo'!M2650)</f>
        <v/>
      </c>
      <c r="N2650" s="79">
        <f>IF('Ordenes_Odoo'!N2650="","",'Ordenes_Odoo'!N2650)</f>
        <v/>
      </c>
      <c r="O2650" s="81">
        <f>IF('Ordenes_Odoo'!O2650="","",'Ordenes_Odoo'!O2650)</f>
        <v/>
      </c>
      <c r="P2650" s="81">
        <f>IF('Ordenes_Odoo'!P2650="","",'Ordenes_Odoo'!P2650)</f>
        <v/>
      </c>
      <c r="Q2650" s="79">
        <f>IF(A2650="","",IFERROR(INDEX(Facturas_Odoo!$B:$B, MATCH(A2650, Facturas_Odoo!$D:$D, 0)), "Sin Factura"))</f>
        <v/>
      </c>
      <c r="R2650" s="80">
        <f>IF(Q2650="Sin Factura","",IFERROR(INDEX(Facturas_Odoo!$A:$A, MATCH(Q2650, Facturas_Odoo!$B:$B, 0)), ""))</f>
        <v/>
      </c>
      <c r="S2650" s="79">
        <f>IF(Q2650="Sin Factura","",IFERROR(_xlfn.XLOOKUP(1, (Facturas_Odoo!$D:$D=A2650) * (Facturas_Odoo!$K:$K=I2650), Facturas_Odoo!$L:$L, ""), ""))</f>
        <v/>
      </c>
      <c r="T2650" s="81">
        <f>IF(Q2650="Sin Factura",0,IFERROR(_xlfn.XLOOKUP(1, (Facturas_Odoo!$D:$D=A2650) * (Facturas_Odoo!$K:$K=I2650), Facturas_Odoo!$M:$M, 0), 0))</f>
        <v/>
      </c>
      <c r="U2650" s="79">
        <f>IF(Q2650="Sin Factura",0,IFERROR(_xlfn.XLOOKUP(1, (Facturas_Odoo!$D:$D=A2650) * (Facturas_Odoo!$K:$K=I2650), Facturas_Odoo!$N:$N, 0), 0))</f>
        <v/>
      </c>
      <c r="V2650" s="79">
        <f>IF(Q2650="Sin Factura",0,IFERROR(_xlfn.XLOOKUP(1, (Facturas_Odoo!$D:$D=A2650) * (Facturas_Odoo!$K:$K=I2650), Facturas_Odoo!$O:$O, 0), 0))</f>
        <v/>
      </c>
      <c r="W2650" s="81">
        <f>IF(Q2650="Sin Factura",0,IFERROR(_xlfn.XLOOKUP(1, (Facturas_Odoo!$D:$D=A2650) * (Facturas_Odoo!$K:$K=I2650), Facturas_Odoo!$Q:$Q, 0), 0))</f>
        <v/>
      </c>
      <c r="X2650" s="79">
        <f>IF(OR(Q2650="Sin Factura",Q2650=""),"",IFERROR(INDEX(Pagos_Odoo!$B:$B, MATCH(Q2650, Pagos_Odoo!$I:$I, 0)), "Sin Pago"))</f>
        <v/>
      </c>
      <c r="Y2650" s="79">
        <f>IF(X2650="Sin Pago","",IFERROR(INDEX(Pagos_Odoo!$C:$C, MATCH(X2650, Pagos_Odoo!$B:$B, 0)), ""))</f>
        <v/>
      </c>
      <c r="Z2650" s="80">
        <f>IF(X2650="Sin Pago","",IFERROR(INDEX(Pagos_Odoo!$A:$A, MATCH(X2650, Pagos_Odoo!$B:$B, 0)), ""))</f>
        <v/>
      </c>
      <c r="AA2650" s="79">
        <f>IF(X2650="Sin Pago","",IFERROR(INDEX(Pagos_Odoo!$F:$F, MATCH(X2650, Pagos_Odoo!$B:$B, 0)), ""))</f>
        <v/>
      </c>
      <c r="AB2650" s="81">
        <f>IF(X2650="Sin Pago",0,IFERROR(INDEX(Pagos_Odoo!$E:$E, MATCH(X2650, Pagos_Odoo!$B:$B, 0)), 0))</f>
        <v/>
      </c>
      <c r="AC2650" s="79">
        <f>IF(X2650="Sin Pago","",IFERROR(INDEX(Pagos_Odoo!$G:$G, MATCH(X2650, Pagos_Odoo!$B:$B, 0)), ""))</f>
        <v/>
      </c>
      <c r="AD2650" s="82" t="n">
        <v>0</v>
      </c>
      <c r="AE2650" s="82" t="n"/>
      <c r="AF2650" s="82" t="n"/>
      <c r="AG2650" s="82">
        <f>IF(AN2650="","",AD2650+AE2650+AF2650)</f>
        <v/>
      </c>
      <c r="AH2650" s="81">
        <f>IF(AN2650="","",P2650*(1-AG2650))</f>
        <v/>
      </c>
      <c r="AI2650" s="81">
        <f>IF(AN2650="","",IF(Q2650="Sin Factura",0,IFERROR(INDEX(Facturas_Odoo!$H:$H, MATCH(Q2650, Facturas_Odoo!$B:$B, 0)), 0)*(1-AG2650)))</f>
        <v/>
      </c>
      <c r="AJ2650" s="81">
        <f>IF(AN2650="","",_xlfn.LET(idVenta, AN2650&amp;"",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50" s="81">
        <f>IF(AN2650="","",AH2650-AJ2650)</f>
        <v/>
      </c>
      <c r="AL2650" s="81">
        <f>IF(AN2650="","",IF(Q2650="Sin Factura","",AI2650-AJ2650))</f>
        <v/>
      </c>
      <c r="AM2650" s="81">
        <f>IF(AN2650="","",IF(Q2650="Sin Factura",0,P2650-IFERROR(INDEX(Facturas_Odoo!$H:$H, MATCH(Q2650, Facturas_Odoo!$B:$B, 0)), 0)))</f>
        <v/>
      </c>
      <c r="AN2650" s="79">
        <f>IF(AND(A2650="", J2650=""), "", IF(A2650&lt;&gt;"", VALUE(MID(A2650,2,LEN(A2650))), AN2649))</f>
        <v/>
      </c>
      <c r="AO2650" s="79">
        <f>IF(AN2650="","",IF(AD2650=0,"OK",_xlfn.LET(monedaPago, IF(AA2650="","USD",AA2650), limitePermitido, IFERROR(VLOOKUP(monedaPago, Configuración!$A$2:$B$3, 2, FALSE), 0.15), IF(AD2650&gt;limitePermitido, "ALERTA: EXCESO (" &amp; TEXT(limitePermitido, "0%") &amp; " máx)", "OK"))))</f>
        <v/>
      </c>
      <c r="AP2650" s="79">
        <f>IF(AN2650="","",IF(AE2650=0,"OK",_xlfn.LET(fechaPago, Z2650, fechaFactura, R2650, diasCredito, IF(E2650="Pago inmediato", 0, IFERROR(VALUE(MID(E2650, 1, SEARCH(" ", E2650)-1)),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50" s="79">
        <f>IF(AN2650="","",IF(AND(N2650&gt;0, AG2650&gt;0), IF(Configuración!$K$2="NO", "ALERTA: DESCUENTO DOBLE NO PERMITIDO", "OK"), "OK"))</f>
        <v/>
      </c>
      <c r="AR2650" s="79">
        <f>IF(AN2650="","",IF(OR(AO2650&lt;&gt;"OK", AP2650&lt;&gt;"OK", AQ2650&lt;&gt;"OK"), "⚠️ REVISAR", "OK"))</f>
        <v/>
      </c>
    </row>
    <row r="2651">
      <c r="A2651" s="79">
        <f>IF('Ordenes_Odoo'!A2651="","",'Ordenes_Odoo'!A2651)</f>
        <v/>
      </c>
      <c r="B2651" s="80">
        <f>IF('Ordenes_Odoo'!B2651="","",'Ordenes_Odoo'!B2651)</f>
        <v/>
      </c>
      <c r="C2651" s="79">
        <f>IF('Ordenes_Odoo'!C2651="","",'Ordenes_Odoo'!C2651)</f>
        <v/>
      </c>
      <c r="D2651" s="79">
        <f>IF('Ordenes_Odoo'!D2651="","",'Ordenes_Odoo'!D2651)</f>
        <v/>
      </c>
      <c r="E2651" s="79">
        <f>IF('Ordenes_Odoo'!E2651="","",'Ordenes_Odoo'!E2651)</f>
        <v/>
      </c>
      <c r="F2651" s="79">
        <f>IF('Ordenes_Odoo'!F2651="","",'Ordenes_Odoo'!F2651)</f>
        <v/>
      </c>
      <c r="G2651" s="79">
        <f>IF('Ordenes_Odoo'!G2651="","",'Ordenes_Odoo'!G2651)</f>
        <v/>
      </c>
      <c r="H2651" s="79">
        <f>IF('Ordenes_Odoo'!H2651="","",'Ordenes_Odoo'!H2651)</f>
        <v/>
      </c>
      <c r="I2651" s="79">
        <f>IF('Ordenes_Odoo'!I2651="","",'Ordenes_Odoo'!I2651)</f>
        <v/>
      </c>
      <c r="J2651" s="79">
        <f>IF('Ordenes_Odoo'!J2651="","",'Ordenes_Odoo'!J2651)</f>
        <v/>
      </c>
      <c r="K2651" s="81">
        <f>IF('Ordenes_Odoo'!K2651="","",'Ordenes_Odoo'!K2651)</f>
        <v/>
      </c>
      <c r="L2651" s="81">
        <f>IF('Ordenes_Odoo'!L2651="","",'Ordenes_Odoo'!L2651)</f>
        <v/>
      </c>
      <c r="M2651" s="79">
        <f>IF('Ordenes_Odoo'!M2651="","",'Ordenes_Odoo'!M2651)</f>
        <v/>
      </c>
      <c r="N2651" s="79">
        <f>IF('Ordenes_Odoo'!N2651="","",'Ordenes_Odoo'!N2651)</f>
        <v/>
      </c>
      <c r="O2651" s="81">
        <f>IF('Ordenes_Odoo'!O2651="","",'Ordenes_Odoo'!O2651)</f>
        <v/>
      </c>
      <c r="P2651" s="81">
        <f>IF('Ordenes_Odoo'!P2651="","",'Ordenes_Odoo'!P2651)</f>
        <v/>
      </c>
      <c r="Q2651" s="79">
        <f>IF(A2651="","",IFERROR(INDEX(Facturas_Odoo!$B:$B, MATCH(A2651, Facturas_Odoo!$D:$D, 0)), "Sin Factura"))</f>
        <v/>
      </c>
      <c r="R2651" s="80">
        <f>IF(Q2651="Sin Factura","",IFERROR(INDEX(Facturas_Odoo!$A:$A, MATCH(Q2651, Facturas_Odoo!$B:$B, 0)), ""))</f>
        <v/>
      </c>
      <c r="S2651" s="79">
        <f>IF(Q2651="Sin Factura","",IFERROR(_xlfn.XLOOKUP(1, (Facturas_Odoo!$D:$D=A2651) * (Facturas_Odoo!$K:$K=I2651), Facturas_Odoo!$L:$L, ""), ""))</f>
        <v/>
      </c>
      <c r="T2651" s="81">
        <f>IF(Q2651="Sin Factura",0,IFERROR(_xlfn.XLOOKUP(1, (Facturas_Odoo!$D:$D=A2651) * (Facturas_Odoo!$K:$K=I2651), Facturas_Odoo!$M:$M, 0), 0))</f>
        <v/>
      </c>
      <c r="U2651" s="79">
        <f>IF(Q2651="Sin Factura",0,IFERROR(_xlfn.XLOOKUP(1, (Facturas_Odoo!$D:$D=A2651) * (Facturas_Odoo!$K:$K=I2651), Facturas_Odoo!$N:$N, 0), 0))</f>
        <v/>
      </c>
      <c r="V2651" s="79">
        <f>IF(Q2651="Sin Factura",0,IFERROR(_xlfn.XLOOKUP(1, (Facturas_Odoo!$D:$D=A2651) * (Facturas_Odoo!$K:$K=I2651), Facturas_Odoo!$O:$O, 0), 0))</f>
        <v/>
      </c>
      <c r="W2651" s="81">
        <f>IF(Q2651="Sin Factura",0,IFERROR(_xlfn.XLOOKUP(1, (Facturas_Odoo!$D:$D=A2651) * (Facturas_Odoo!$K:$K=I2651), Facturas_Odoo!$Q:$Q, 0), 0))</f>
        <v/>
      </c>
      <c r="X2651" s="79">
        <f>IF(OR(Q2651="Sin Factura",Q2651=""),"",IFERROR(INDEX(Pagos_Odoo!$B:$B, MATCH(Q2651, Pagos_Odoo!$I:$I, 0)), "Sin Pago"))</f>
        <v/>
      </c>
      <c r="Y2651" s="79">
        <f>IF(X2651="Sin Pago","",IFERROR(INDEX(Pagos_Odoo!$C:$C, MATCH(X2651, Pagos_Odoo!$B:$B, 0)), ""))</f>
        <v/>
      </c>
      <c r="Z2651" s="80">
        <f>IF(X2651="Sin Pago","",IFERROR(INDEX(Pagos_Odoo!$A:$A, MATCH(X2651, Pagos_Odoo!$B:$B, 0)), ""))</f>
        <v/>
      </c>
      <c r="AA2651" s="79">
        <f>IF(X2651="Sin Pago","",IFERROR(INDEX(Pagos_Odoo!$F:$F, MATCH(X2651, Pagos_Odoo!$B:$B, 0)), ""))</f>
        <v/>
      </c>
      <c r="AB2651" s="81">
        <f>IF(X2651="Sin Pago",0,IFERROR(INDEX(Pagos_Odoo!$E:$E, MATCH(X2651, Pagos_Odoo!$B:$B, 0)), 0))</f>
        <v/>
      </c>
      <c r="AC2651" s="79">
        <f>IF(X2651="Sin Pago","",IFERROR(INDEX(Pagos_Odoo!$G:$G, MATCH(X2651, Pagos_Odoo!$B:$B, 0)), ""))</f>
        <v/>
      </c>
      <c r="AD2651" s="82" t="n">
        <v>0</v>
      </c>
      <c r="AE2651" s="82" t="n"/>
      <c r="AF2651" s="82" t="n"/>
      <c r="AG2651" s="82">
        <f>IF(AN2651="","",AD2651+AE2651+AF2651)</f>
        <v/>
      </c>
      <c r="AH2651" s="81">
        <f>IF(AN2651="","",P2651*(1-AG2651))</f>
        <v/>
      </c>
      <c r="AI2651" s="81">
        <f>IF(AN2651="","",IF(Q2651="Sin Factura",0,IFERROR(INDEX(Facturas_Odoo!$H:$H, MATCH(Q2651, Facturas_Odoo!$B:$B, 0)), 0)*(1-AG2651)))</f>
        <v/>
      </c>
      <c r="AJ2651" s="81">
        <f>IF(AN2651="","",_xlfn.LET(idVenta, AN2651&amp;"",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51" s="81">
        <f>IF(AN2651="","",AH2651-AJ2651)</f>
        <v/>
      </c>
      <c r="AL2651" s="81">
        <f>IF(AN2651="","",IF(Q2651="Sin Factura","",AI2651-AJ2651))</f>
        <v/>
      </c>
      <c r="AM2651" s="81">
        <f>IF(AN2651="","",IF(Q2651="Sin Factura",0,P2651-IFERROR(INDEX(Facturas_Odoo!$H:$H, MATCH(Q2651, Facturas_Odoo!$B:$B, 0)), 0)))</f>
        <v/>
      </c>
      <c r="AN2651" s="79">
        <f>IF(AND(A2651="", J2651=""), "", IF(A2651&lt;&gt;"", VALUE(MID(A2651,2,LEN(A2651))), AN2650))</f>
        <v/>
      </c>
      <c r="AO2651" s="79">
        <f>IF(AN2651="","",IF(AD2651=0,"OK",_xlfn.LET(monedaPago, IF(AA2651="","USD",AA2651), limitePermitido, IFERROR(VLOOKUP(monedaPago, Configuración!$A$2:$B$3, 2, FALSE), 0.15), IF(AD2651&gt;limitePermitido, "ALERTA: EXCESO (" &amp; TEXT(limitePermitido, "0%") &amp; " máx)", "OK"))))</f>
        <v/>
      </c>
      <c r="AP2651" s="79">
        <f>IF(AN2651="","",IF(AE2651=0,"OK",_xlfn.LET(fechaPago, Z2651, fechaFactura, R2651, diasCredito, IF(E2651="Pago inmediato", 0, IFERROR(VALUE(MID(E2651, 1, SEARCH(" ", E2651)-1)),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51" s="79">
        <f>IF(AN2651="","",IF(AND(N2651&gt;0, AG2651&gt;0), IF(Configuración!$K$2="NO", "ALERTA: DESCUENTO DOBLE NO PERMITIDO", "OK"), "OK"))</f>
        <v/>
      </c>
      <c r="AR2651" s="79">
        <f>IF(AN2651="","",IF(OR(AO2651&lt;&gt;"OK", AP2651&lt;&gt;"OK", AQ2651&lt;&gt;"OK"), "⚠️ REVISAR", "OK"))</f>
        <v/>
      </c>
    </row>
    <row r="2652">
      <c r="A2652" s="79">
        <f>IF('Ordenes_Odoo'!A2652="","",'Ordenes_Odoo'!A2652)</f>
        <v/>
      </c>
      <c r="B2652" s="80">
        <f>IF('Ordenes_Odoo'!B2652="","",'Ordenes_Odoo'!B2652)</f>
        <v/>
      </c>
      <c r="C2652" s="79">
        <f>IF('Ordenes_Odoo'!C2652="","",'Ordenes_Odoo'!C2652)</f>
        <v/>
      </c>
      <c r="D2652" s="79">
        <f>IF('Ordenes_Odoo'!D2652="","",'Ordenes_Odoo'!D2652)</f>
        <v/>
      </c>
      <c r="E2652" s="79">
        <f>IF('Ordenes_Odoo'!E2652="","",'Ordenes_Odoo'!E2652)</f>
        <v/>
      </c>
      <c r="F2652" s="79">
        <f>IF('Ordenes_Odoo'!F2652="","",'Ordenes_Odoo'!F2652)</f>
        <v/>
      </c>
      <c r="G2652" s="79">
        <f>IF('Ordenes_Odoo'!G2652="","",'Ordenes_Odoo'!G2652)</f>
        <v/>
      </c>
      <c r="H2652" s="79">
        <f>IF('Ordenes_Odoo'!H2652="","",'Ordenes_Odoo'!H2652)</f>
        <v/>
      </c>
      <c r="I2652" s="79">
        <f>IF('Ordenes_Odoo'!I2652="","",'Ordenes_Odoo'!I2652)</f>
        <v/>
      </c>
      <c r="J2652" s="79">
        <f>IF('Ordenes_Odoo'!J2652="","",'Ordenes_Odoo'!J2652)</f>
        <v/>
      </c>
      <c r="K2652" s="81">
        <f>IF('Ordenes_Odoo'!K2652="","",'Ordenes_Odoo'!K2652)</f>
        <v/>
      </c>
      <c r="L2652" s="81">
        <f>IF('Ordenes_Odoo'!L2652="","",'Ordenes_Odoo'!L2652)</f>
        <v/>
      </c>
      <c r="M2652" s="79">
        <f>IF('Ordenes_Odoo'!M2652="","",'Ordenes_Odoo'!M2652)</f>
        <v/>
      </c>
      <c r="N2652" s="79">
        <f>IF('Ordenes_Odoo'!N2652="","",'Ordenes_Odoo'!N2652)</f>
        <v/>
      </c>
      <c r="O2652" s="81">
        <f>IF('Ordenes_Odoo'!O2652="","",'Ordenes_Odoo'!O2652)</f>
        <v/>
      </c>
      <c r="P2652" s="81">
        <f>IF('Ordenes_Odoo'!P2652="","",'Ordenes_Odoo'!P2652)</f>
        <v/>
      </c>
      <c r="Q2652" s="79">
        <f>IF(A2652="","",IFERROR(INDEX(Facturas_Odoo!$B:$B, MATCH(A2652, Facturas_Odoo!$D:$D, 0)), "Sin Factura"))</f>
        <v/>
      </c>
      <c r="R2652" s="80">
        <f>IF(Q2652="Sin Factura","",IFERROR(INDEX(Facturas_Odoo!$A:$A, MATCH(Q2652, Facturas_Odoo!$B:$B, 0)), ""))</f>
        <v/>
      </c>
      <c r="S2652" s="79">
        <f>IF(Q2652="Sin Factura","",IFERROR(_xlfn.XLOOKUP(1, (Facturas_Odoo!$D:$D=A2652) * (Facturas_Odoo!$K:$K=I2652), Facturas_Odoo!$L:$L, ""), ""))</f>
        <v/>
      </c>
      <c r="T2652" s="81">
        <f>IF(Q2652="Sin Factura",0,IFERROR(_xlfn.XLOOKUP(1, (Facturas_Odoo!$D:$D=A2652) * (Facturas_Odoo!$K:$K=I2652), Facturas_Odoo!$M:$M, 0), 0))</f>
        <v/>
      </c>
      <c r="U2652" s="79">
        <f>IF(Q2652="Sin Factura",0,IFERROR(_xlfn.XLOOKUP(1, (Facturas_Odoo!$D:$D=A2652) * (Facturas_Odoo!$K:$K=I2652), Facturas_Odoo!$N:$N, 0), 0))</f>
        <v/>
      </c>
      <c r="V2652" s="79">
        <f>IF(Q2652="Sin Factura",0,IFERROR(_xlfn.XLOOKUP(1, (Facturas_Odoo!$D:$D=A2652) * (Facturas_Odoo!$K:$K=I2652), Facturas_Odoo!$O:$O, 0), 0))</f>
        <v/>
      </c>
      <c r="W2652" s="81">
        <f>IF(Q2652="Sin Factura",0,IFERROR(_xlfn.XLOOKUP(1, (Facturas_Odoo!$D:$D=A2652) * (Facturas_Odoo!$K:$K=I2652), Facturas_Odoo!$Q:$Q, 0), 0))</f>
        <v/>
      </c>
      <c r="X2652" s="79">
        <f>IF(OR(Q2652="Sin Factura",Q2652=""),"",IFERROR(INDEX(Pagos_Odoo!$B:$B, MATCH(Q2652, Pagos_Odoo!$I:$I, 0)), "Sin Pago"))</f>
        <v/>
      </c>
      <c r="Y2652" s="79">
        <f>IF(X2652="Sin Pago","",IFERROR(INDEX(Pagos_Odoo!$C:$C, MATCH(X2652, Pagos_Odoo!$B:$B, 0)), ""))</f>
        <v/>
      </c>
      <c r="Z2652" s="80">
        <f>IF(X2652="Sin Pago","",IFERROR(INDEX(Pagos_Odoo!$A:$A, MATCH(X2652, Pagos_Odoo!$B:$B, 0)), ""))</f>
        <v/>
      </c>
      <c r="AA2652" s="79">
        <f>IF(X2652="Sin Pago","",IFERROR(INDEX(Pagos_Odoo!$F:$F, MATCH(X2652, Pagos_Odoo!$B:$B, 0)), ""))</f>
        <v/>
      </c>
      <c r="AB2652" s="81">
        <f>IF(X2652="Sin Pago",0,IFERROR(INDEX(Pagos_Odoo!$E:$E, MATCH(X2652, Pagos_Odoo!$B:$B, 0)), 0))</f>
        <v/>
      </c>
      <c r="AC2652" s="79">
        <f>IF(X2652="Sin Pago","",IFERROR(INDEX(Pagos_Odoo!$G:$G, MATCH(X2652, Pagos_Odoo!$B:$B, 0)), ""))</f>
        <v/>
      </c>
      <c r="AD2652" s="82" t="n">
        <v>0</v>
      </c>
      <c r="AE2652" s="82" t="n"/>
      <c r="AF2652" s="82" t="n"/>
      <c r="AG2652" s="82">
        <f>IF(AN2652="","",AD2652+AE2652+AF2652)</f>
        <v/>
      </c>
      <c r="AH2652" s="81">
        <f>IF(AN2652="","",P2652*(1-AG2652))</f>
        <v/>
      </c>
      <c r="AI2652" s="81">
        <f>IF(AN2652="","",IF(Q2652="Sin Factura",0,IFERROR(INDEX(Facturas_Odoo!$H:$H, MATCH(Q2652, Facturas_Odoo!$B:$B, 0)), 0)*(1-AG2652)))</f>
        <v/>
      </c>
      <c r="AJ2652" s="81">
        <f>IF(AN2652="","",_xlfn.LET(idVenta, AN2652&amp;"",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52" s="81">
        <f>IF(AN2652="","",AH2652-AJ2652)</f>
        <v/>
      </c>
      <c r="AL2652" s="81">
        <f>IF(AN2652="","",IF(Q2652="Sin Factura","",AI2652-AJ2652))</f>
        <v/>
      </c>
      <c r="AM2652" s="81">
        <f>IF(AN2652="","",IF(Q2652="Sin Factura",0,P2652-IFERROR(INDEX(Facturas_Odoo!$H:$H, MATCH(Q2652, Facturas_Odoo!$B:$B, 0)), 0)))</f>
        <v/>
      </c>
      <c r="AN2652" s="79">
        <f>IF(AND(A2652="", J2652=""), "", IF(A2652&lt;&gt;"", VALUE(MID(A2652,2,LEN(A2652))), AN2651))</f>
        <v/>
      </c>
      <c r="AO2652" s="79">
        <f>IF(AN2652="","",IF(AD2652=0,"OK",_xlfn.LET(monedaPago, IF(AA2652="","USD",AA2652), limitePermitido, IFERROR(VLOOKUP(monedaPago, Configuración!$A$2:$B$3, 2, FALSE), 0.15), IF(AD2652&gt;limitePermitido, "ALERTA: EXCESO (" &amp; TEXT(limitePermitido, "0%") &amp; " máx)", "OK"))))</f>
        <v/>
      </c>
      <c r="AP2652" s="79">
        <f>IF(AN2652="","",IF(AE2652=0,"OK",_xlfn.LET(fechaPago, Z2652, fechaFactura, R2652, diasCredito, IF(E2652="Pago inmediato", 0, IFERROR(VALUE(MID(E2652, 1, SEARCH(" ", E2652)-1)),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52" s="79">
        <f>IF(AN2652="","",IF(AND(N2652&gt;0, AG2652&gt;0), IF(Configuración!$K$2="NO", "ALERTA: DESCUENTO DOBLE NO PERMITIDO", "OK"), "OK"))</f>
        <v/>
      </c>
      <c r="AR2652" s="79">
        <f>IF(AN2652="","",IF(OR(AO2652&lt;&gt;"OK", AP2652&lt;&gt;"OK", AQ2652&lt;&gt;"OK"), "⚠️ REVISAR", "OK"))</f>
        <v/>
      </c>
    </row>
    <row r="2653">
      <c r="A2653" s="79">
        <f>IF('Ordenes_Odoo'!A2653="","",'Ordenes_Odoo'!A2653)</f>
        <v/>
      </c>
      <c r="B2653" s="80">
        <f>IF('Ordenes_Odoo'!B2653="","",'Ordenes_Odoo'!B2653)</f>
        <v/>
      </c>
      <c r="C2653" s="79">
        <f>IF('Ordenes_Odoo'!C2653="","",'Ordenes_Odoo'!C2653)</f>
        <v/>
      </c>
      <c r="D2653" s="79">
        <f>IF('Ordenes_Odoo'!D2653="","",'Ordenes_Odoo'!D2653)</f>
        <v/>
      </c>
      <c r="E2653" s="79">
        <f>IF('Ordenes_Odoo'!E2653="","",'Ordenes_Odoo'!E2653)</f>
        <v/>
      </c>
      <c r="F2653" s="79">
        <f>IF('Ordenes_Odoo'!F2653="","",'Ordenes_Odoo'!F2653)</f>
        <v/>
      </c>
      <c r="G2653" s="79">
        <f>IF('Ordenes_Odoo'!G2653="","",'Ordenes_Odoo'!G2653)</f>
        <v/>
      </c>
      <c r="H2653" s="79">
        <f>IF('Ordenes_Odoo'!H2653="","",'Ordenes_Odoo'!H2653)</f>
        <v/>
      </c>
      <c r="I2653" s="79">
        <f>IF('Ordenes_Odoo'!I2653="","",'Ordenes_Odoo'!I2653)</f>
        <v/>
      </c>
      <c r="J2653" s="79">
        <f>IF('Ordenes_Odoo'!J2653="","",'Ordenes_Odoo'!J2653)</f>
        <v/>
      </c>
      <c r="K2653" s="81">
        <f>IF('Ordenes_Odoo'!K2653="","",'Ordenes_Odoo'!K2653)</f>
        <v/>
      </c>
      <c r="L2653" s="81">
        <f>IF('Ordenes_Odoo'!L2653="","",'Ordenes_Odoo'!L2653)</f>
        <v/>
      </c>
      <c r="M2653" s="79">
        <f>IF('Ordenes_Odoo'!M2653="","",'Ordenes_Odoo'!M2653)</f>
        <v/>
      </c>
      <c r="N2653" s="79">
        <f>IF('Ordenes_Odoo'!N2653="","",'Ordenes_Odoo'!N2653)</f>
        <v/>
      </c>
      <c r="O2653" s="81">
        <f>IF('Ordenes_Odoo'!O2653="","",'Ordenes_Odoo'!O2653)</f>
        <v/>
      </c>
      <c r="P2653" s="81">
        <f>IF('Ordenes_Odoo'!P2653="","",'Ordenes_Odoo'!P2653)</f>
        <v/>
      </c>
      <c r="Q2653" s="79">
        <f>IF(A2653="","",IFERROR(INDEX(Facturas_Odoo!$B:$B, MATCH(A2653, Facturas_Odoo!$D:$D, 0)), "Sin Factura"))</f>
        <v/>
      </c>
      <c r="R2653" s="80">
        <f>IF(Q2653="Sin Factura","",IFERROR(INDEX(Facturas_Odoo!$A:$A, MATCH(Q2653, Facturas_Odoo!$B:$B, 0)), ""))</f>
        <v/>
      </c>
      <c r="S2653" s="79">
        <f>IF(Q2653="Sin Factura","",IFERROR(_xlfn.XLOOKUP(1, (Facturas_Odoo!$D:$D=A2653) * (Facturas_Odoo!$K:$K=I2653), Facturas_Odoo!$L:$L, ""), ""))</f>
        <v/>
      </c>
      <c r="T2653" s="81">
        <f>IF(Q2653="Sin Factura",0,IFERROR(_xlfn.XLOOKUP(1, (Facturas_Odoo!$D:$D=A2653) * (Facturas_Odoo!$K:$K=I2653), Facturas_Odoo!$M:$M, 0), 0))</f>
        <v/>
      </c>
      <c r="U2653" s="79">
        <f>IF(Q2653="Sin Factura",0,IFERROR(_xlfn.XLOOKUP(1, (Facturas_Odoo!$D:$D=A2653) * (Facturas_Odoo!$K:$K=I2653), Facturas_Odoo!$N:$N, 0), 0))</f>
        <v/>
      </c>
      <c r="V2653" s="79">
        <f>IF(Q2653="Sin Factura",0,IFERROR(_xlfn.XLOOKUP(1, (Facturas_Odoo!$D:$D=A2653) * (Facturas_Odoo!$K:$K=I2653), Facturas_Odoo!$O:$O, 0), 0))</f>
        <v/>
      </c>
      <c r="W2653" s="81">
        <f>IF(Q2653="Sin Factura",0,IFERROR(_xlfn.XLOOKUP(1, (Facturas_Odoo!$D:$D=A2653) * (Facturas_Odoo!$K:$K=I2653), Facturas_Odoo!$Q:$Q, 0), 0))</f>
        <v/>
      </c>
      <c r="X2653" s="79">
        <f>IF(OR(Q2653="Sin Factura",Q2653=""),"",IFERROR(INDEX(Pagos_Odoo!$B:$B, MATCH(Q2653, Pagos_Odoo!$I:$I, 0)), "Sin Pago"))</f>
        <v/>
      </c>
      <c r="Y2653" s="79">
        <f>IF(X2653="Sin Pago","",IFERROR(INDEX(Pagos_Odoo!$C:$C, MATCH(X2653, Pagos_Odoo!$B:$B, 0)), ""))</f>
        <v/>
      </c>
      <c r="Z2653" s="80">
        <f>IF(X2653="Sin Pago","",IFERROR(INDEX(Pagos_Odoo!$A:$A, MATCH(X2653, Pagos_Odoo!$B:$B, 0)), ""))</f>
        <v/>
      </c>
      <c r="AA2653" s="79">
        <f>IF(X2653="Sin Pago","",IFERROR(INDEX(Pagos_Odoo!$F:$F, MATCH(X2653, Pagos_Odoo!$B:$B, 0)), ""))</f>
        <v/>
      </c>
      <c r="AB2653" s="81">
        <f>IF(X2653="Sin Pago",0,IFERROR(INDEX(Pagos_Odoo!$E:$E, MATCH(X2653, Pagos_Odoo!$B:$B, 0)), 0))</f>
        <v/>
      </c>
      <c r="AC2653" s="79">
        <f>IF(X2653="Sin Pago","",IFERROR(INDEX(Pagos_Odoo!$G:$G, MATCH(X2653, Pagos_Odoo!$B:$B, 0)), ""))</f>
        <v/>
      </c>
      <c r="AD2653" s="82" t="n">
        <v>0</v>
      </c>
      <c r="AE2653" s="82" t="n"/>
      <c r="AF2653" s="82" t="n"/>
      <c r="AG2653" s="82">
        <f>IF(AN2653="","",AD2653+AE2653+AF2653)</f>
        <v/>
      </c>
      <c r="AH2653" s="81">
        <f>IF(AN2653="","",P2653*(1-AG2653))</f>
        <v/>
      </c>
      <c r="AI2653" s="81">
        <f>IF(AN2653="","",IF(Q2653="Sin Factura",0,IFERROR(INDEX(Facturas_Odoo!$H:$H, MATCH(Q2653, Facturas_Odoo!$B:$B, 0)), 0)*(1-AG2653)))</f>
        <v/>
      </c>
      <c r="AJ2653" s="81">
        <f>IF(AN2653="","",_xlfn.LET(idVenta, AN2653&amp;"",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53" s="81">
        <f>IF(AN2653="","",AH2653-AJ2653)</f>
        <v/>
      </c>
      <c r="AL2653" s="81">
        <f>IF(AN2653="","",IF(Q2653="Sin Factura","",AI2653-AJ2653))</f>
        <v/>
      </c>
      <c r="AM2653" s="81">
        <f>IF(AN2653="","",IF(Q2653="Sin Factura",0,P2653-IFERROR(INDEX(Facturas_Odoo!$H:$H, MATCH(Q2653, Facturas_Odoo!$B:$B, 0)), 0)))</f>
        <v/>
      </c>
      <c r="AN2653" s="79">
        <f>IF(AND(A2653="", J2653=""), "", IF(A2653&lt;&gt;"", VALUE(MID(A2653,2,LEN(A2653))), AN2652))</f>
        <v/>
      </c>
      <c r="AO2653" s="79">
        <f>IF(AN2653="","",IF(AD2653=0,"OK",_xlfn.LET(monedaPago, IF(AA2653="","USD",AA2653), limitePermitido, IFERROR(VLOOKUP(monedaPago, Configuración!$A$2:$B$3, 2, FALSE), 0.15), IF(AD2653&gt;limitePermitido, "ALERTA: EXCESO (" &amp; TEXT(limitePermitido, "0%") &amp; " máx)", "OK"))))</f>
        <v/>
      </c>
      <c r="AP2653" s="79">
        <f>IF(AN2653="","",IF(AE2653=0,"OK",_xlfn.LET(fechaPago, Z2653, fechaFactura, R2653, diasCredito, IF(E2653="Pago inmediato", 0, IFERROR(VALUE(MID(E2653, 1, SEARCH(" ", E2653)-1)),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53" s="79">
        <f>IF(AN2653="","",IF(AND(N2653&gt;0, AG2653&gt;0), IF(Configuración!$K$2="NO", "ALERTA: DESCUENTO DOBLE NO PERMITIDO", "OK"), "OK"))</f>
        <v/>
      </c>
      <c r="AR2653" s="79">
        <f>IF(AN2653="","",IF(OR(AO2653&lt;&gt;"OK", AP2653&lt;&gt;"OK", AQ2653&lt;&gt;"OK"), "⚠️ REVISAR", "OK"))</f>
        <v/>
      </c>
    </row>
    <row r="2654">
      <c r="A2654" s="79">
        <f>IF('Ordenes_Odoo'!A2654="","",'Ordenes_Odoo'!A2654)</f>
        <v/>
      </c>
      <c r="B2654" s="80">
        <f>IF('Ordenes_Odoo'!B2654="","",'Ordenes_Odoo'!B2654)</f>
        <v/>
      </c>
      <c r="C2654" s="79">
        <f>IF('Ordenes_Odoo'!C2654="","",'Ordenes_Odoo'!C2654)</f>
        <v/>
      </c>
      <c r="D2654" s="79">
        <f>IF('Ordenes_Odoo'!D2654="","",'Ordenes_Odoo'!D2654)</f>
        <v/>
      </c>
      <c r="E2654" s="79">
        <f>IF('Ordenes_Odoo'!E2654="","",'Ordenes_Odoo'!E2654)</f>
        <v/>
      </c>
      <c r="F2654" s="79">
        <f>IF('Ordenes_Odoo'!F2654="","",'Ordenes_Odoo'!F2654)</f>
        <v/>
      </c>
      <c r="G2654" s="79">
        <f>IF('Ordenes_Odoo'!G2654="","",'Ordenes_Odoo'!G2654)</f>
        <v/>
      </c>
      <c r="H2654" s="79">
        <f>IF('Ordenes_Odoo'!H2654="","",'Ordenes_Odoo'!H2654)</f>
        <v/>
      </c>
      <c r="I2654" s="79">
        <f>IF('Ordenes_Odoo'!I2654="","",'Ordenes_Odoo'!I2654)</f>
        <v/>
      </c>
      <c r="J2654" s="79">
        <f>IF('Ordenes_Odoo'!J2654="","",'Ordenes_Odoo'!J2654)</f>
        <v/>
      </c>
      <c r="K2654" s="81">
        <f>IF('Ordenes_Odoo'!K2654="","",'Ordenes_Odoo'!K2654)</f>
        <v/>
      </c>
      <c r="L2654" s="81">
        <f>IF('Ordenes_Odoo'!L2654="","",'Ordenes_Odoo'!L2654)</f>
        <v/>
      </c>
      <c r="M2654" s="79">
        <f>IF('Ordenes_Odoo'!M2654="","",'Ordenes_Odoo'!M2654)</f>
        <v/>
      </c>
      <c r="N2654" s="79">
        <f>IF('Ordenes_Odoo'!N2654="","",'Ordenes_Odoo'!N2654)</f>
        <v/>
      </c>
      <c r="O2654" s="81">
        <f>IF('Ordenes_Odoo'!O2654="","",'Ordenes_Odoo'!O2654)</f>
        <v/>
      </c>
      <c r="P2654" s="81">
        <f>IF('Ordenes_Odoo'!P2654="","",'Ordenes_Odoo'!P2654)</f>
        <v/>
      </c>
      <c r="Q2654" s="79">
        <f>IF(A2654="","",IFERROR(INDEX(Facturas_Odoo!$B:$B, MATCH(A2654, Facturas_Odoo!$D:$D, 0)), "Sin Factura"))</f>
        <v/>
      </c>
      <c r="R2654" s="80">
        <f>IF(Q2654="Sin Factura","",IFERROR(INDEX(Facturas_Odoo!$A:$A, MATCH(Q2654, Facturas_Odoo!$B:$B, 0)), ""))</f>
        <v/>
      </c>
      <c r="S2654" s="79">
        <f>IF(Q2654="Sin Factura","",IFERROR(_xlfn.XLOOKUP(1, (Facturas_Odoo!$D:$D=A2654) * (Facturas_Odoo!$K:$K=I2654), Facturas_Odoo!$L:$L, ""), ""))</f>
        <v/>
      </c>
      <c r="T2654" s="81">
        <f>IF(Q2654="Sin Factura",0,IFERROR(_xlfn.XLOOKUP(1, (Facturas_Odoo!$D:$D=A2654) * (Facturas_Odoo!$K:$K=I2654), Facturas_Odoo!$M:$M, 0), 0))</f>
        <v/>
      </c>
      <c r="U2654" s="79">
        <f>IF(Q2654="Sin Factura",0,IFERROR(_xlfn.XLOOKUP(1, (Facturas_Odoo!$D:$D=A2654) * (Facturas_Odoo!$K:$K=I2654), Facturas_Odoo!$N:$N, 0), 0))</f>
        <v/>
      </c>
      <c r="V2654" s="79">
        <f>IF(Q2654="Sin Factura",0,IFERROR(_xlfn.XLOOKUP(1, (Facturas_Odoo!$D:$D=A2654) * (Facturas_Odoo!$K:$K=I2654), Facturas_Odoo!$O:$O, 0), 0))</f>
        <v/>
      </c>
      <c r="W2654" s="81">
        <f>IF(Q2654="Sin Factura",0,IFERROR(_xlfn.XLOOKUP(1, (Facturas_Odoo!$D:$D=A2654) * (Facturas_Odoo!$K:$K=I2654), Facturas_Odoo!$Q:$Q, 0), 0))</f>
        <v/>
      </c>
      <c r="X2654" s="79">
        <f>IF(OR(Q2654="Sin Factura",Q2654=""),"",IFERROR(INDEX(Pagos_Odoo!$B:$B, MATCH(Q2654, Pagos_Odoo!$I:$I, 0)), "Sin Pago"))</f>
        <v/>
      </c>
      <c r="Y2654" s="79">
        <f>IF(X2654="Sin Pago","",IFERROR(INDEX(Pagos_Odoo!$C:$C, MATCH(X2654, Pagos_Odoo!$B:$B, 0)), ""))</f>
        <v/>
      </c>
      <c r="Z2654" s="80">
        <f>IF(X2654="Sin Pago","",IFERROR(INDEX(Pagos_Odoo!$A:$A, MATCH(X2654, Pagos_Odoo!$B:$B, 0)), ""))</f>
        <v/>
      </c>
      <c r="AA2654" s="79">
        <f>IF(X2654="Sin Pago","",IFERROR(INDEX(Pagos_Odoo!$F:$F, MATCH(X2654, Pagos_Odoo!$B:$B, 0)), ""))</f>
        <v/>
      </c>
      <c r="AB2654" s="81">
        <f>IF(X2654="Sin Pago",0,IFERROR(INDEX(Pagos_Odoo!$E:$E, MATCH(X2654, Pagos_Odoo!$B:$B, 0)), 0))</f>
        <v/>
      </c>
      <c r="AC2654" s="79">
        <f>IF(X2654="Sin Pago","",IFERROR(INDEX(Pagos_Odoo!$G:$G, MATCH(X2654, Pagos_Odoo!$B:$B, 0)), ""))</f>
        <v/>
      </c>
      <c r="AD2654" s="82" t="n">
        <v>0</v>
      </c>
      <c r="AE2654" s="82" t="n"/>
      <c r="AF2654" s="82" t="n"/>
      <c r="AG2654" s="82">
        <f>IF(AN2654="","",AD2654+AE2654+AF2654)</f>
        <v/>
      </c>
      <c r="AH2654" s="81">
        <f>IF(AN2654="","",P2654*(1-AG2654))</f>
        <v/>
      </c>
      <c r="AI2654" s="81">
        <f>IF(AN2654="","",IF(Q2654="Sin Factura",0,IFERROR(INDEX(Facturas_Odoo!$H:$H, MATCH(Q2654, Facturas_Odoo!$B:$B, 0)), 0)*(1-AG2654)))</f>
        <v/>
      </c>
      <c r="AJ2654" s="81">
        <f>IF(AN2654="","",_xlfn.LET(idVenta, AN2654&amp;"",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54" s="81">
        <f>IF(AN2654="","",AH2654-AJ2654)</f>
        <v/>
      </c>
      <c r="AL2654" s="81">
        <f>IF(AN2654="","",IF(Q2654="Sin Factura","",AI2654-AJ2654))</f>
        <v/>
      </c>
      <c r="AM2654" s="81">
        <f>IF(AN2654="","",IF(Q2654="Sin Factura",0,P2654-IFERROR(INDEX(Facturas_Odoo!$H:$H, MATCH(Q2654, Facturas_Odoo!$B:$B, 0)), 0)))</f>
        <v/>
      </c>
      <c r="AN2654" s="79">
        <f>IF(AND(A2654="", J2654=""), "", IF(A2654&lt;&gt;"", VALUE(MID(A2654,2,LEN(A2654))), AN2653))</f>
        <v/>
      </c>
      <c r="AO2654" s="79">
        <f>IF(AN2654="","",IF(AD2654=0,"OK",_xlfn.LET(monedaPago, IF(AA2654="","USD",AA2654), limitePermitido, IFERROR(VLOOKUP(monedaPago, Configuración!$A$2:$B$3, 2, FALSE), 0.15), IF(AD2654&gt;limitePermitido, "ALERTA: EXCESO (" &amp; TEXT(limitePermitido, "0%") &amp; " máx)", "OK"))))</f>
        <v/>
      </c>
      <c r="AP2654" s="79">
        <f>IF(AN2654="","",IF(AE2654=0,"OK",_xlfn.LET(fechaPago, Z2654, fechaFactura, R2654, diasCredito, IF(E2654="Pago inmediato", 0, IFERROR(VALUE(MID(E2654, 1, SEARCH(" ", E2654)-1)),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54" s="79">
        <f>IF(AN2654="","",IF(AND(N2654&gt;0, AG2654&gt;0), IF(Configuración!$K$2="NO", "ALERTA: DESCUENTO DOBLE NO PERMITIDO", "OK"), "OK"))</f>
        <v/>
      </c>
      <c r="AR2654" s="79">
        <f>IF(AN2654="","",IF(OR(AO2654&lt;&gt;"OK", AP2654&lt;&gt;"OK", AQ2654&lt;&gt;"OK"), "⚠️ REVISAR", "OK"))</f>
        <v/>
      </c>
    </row>
    <row r="2655">
      <c r="A2655" s="79">
        <f>IF('Ordenes_Odoo'!A2655="","",'Ordenes_Odoo'!A2655)</f>
        <v/>
      </c>
      <c r="B2655" s="80">
        <f>IF('Ordenes_Odoo'!B2655="","",'Ordenes_Odoo'!B2655)</f>
        <v/>
      </c>
      <c r="C2655" s="79">
        <f>IF('Ordenes_Odoo'!C2655="","",'Ordenes_Odoo'!C2655)</f>
        <v/>
      </c>
      <c r="D2655" s="79">
        <f>IF('Ordenes_Odoo'!D2655="","",'Ordenes_Odoo'!D2655)</f>
        <v/>
      </c>
      <c r="E2655" s="79">
        <f>IF('Ordenes_Odoo'!E2655="","",'Ordenes_Odoo'!E2655)</f>
        <v/>
      </c>
      <c r="F2655" s="79">
        <f>IF('Ordenes_Odoo'!F2655="","",'Ordenes_Odoo'!F2655)</f>
        <v/>
      </c>
      <c r="G2655" s="79">
        <f>IF('Ordenes_Odoo'!G2655="","",'Ordenes_Odoo'!G2655)</f>
        <v/>
      </c>
      <c r="H2655" s="79">
        <f>IF('Ordenes_Odoo'!H2655="","",'Ordenes_Odoo'!H2655)</f>
        <v/>
      </c>
      <c r="I2655" s="79">
        <f>IF('Ordenes_Odoo'!I2655="","",'Ordenes_Odoo'!I2655)</f>
        <v/>
      </c>
      <c r="J2655" s="79">
        <f>IF('Ordenes_Odoo'!J2655="","",'Ordenes_Odoo'!J2655)</f>
        <v/>
      </c>
      <c r="K2655" s="81">
        <f>IF('Ordenes_Odoo'!K2655="","",'Ordenes_Odoo'!K2655)</f>
        <v/>
      </c>
      <c r="L2655" s="81">
        <f>IF('Ordenes_Odoo'!L2655="","",'Ordenes_Odoo'!L2655)</f>
        <v/>
      </c>
      <c r="M2655" s="79">
        <f>IF('Ordenes_Odoo'!M2655="","",'Ordenes_Odoo'!M2655)</f>
        <v/>
      </c>
      <c r="N2655" s="79">
        <f>IF('Ordenes_Odoo'!N2655="","",'Ordenes_Odoo'!N2655)</f>
        <v/>
      </c>
      <c r="O2655" s="81">
        <f>IF('Ordenes_Odoo'!O2655="","",'Ordenes_Odoo'!O2655)</f>
        <v/>
      </c>
      <c r="P2655" s="81">
        <f>IF('Ordenes_Odoo'!P2655="","",'Ordenes_Odoo'!P2655)</f>
        <v/>
      </c>
      <c r="Q2655" s="79">
        <f>IF(A2655="","",IFERROR(INDEX(Facturas_Odoo!$B:$B, MATCH(A2655, Facturas_Odoo!$D:$D, 0)), "Sin Factura"))</f>
        <v/>
      </c>
      <c r="R2655" s="80">
        <f>IF(Q2655="Sin Factura","",IFERROR(INDEX(Facturas_Odoo!$A:$A, MATCH(Q2655, Facturas_Odoo!$B:$B, 0)), ""))</f>
        <v/>
      </c>
      <c r="S2655" s="79">
        <f>IF(Q2655="Sin Factura","",IFERROR(_xlfn.XLOOKUP(1, (Facturas_Odoo!$D:$D=A2655) * (Facturas_Odoo!$K:$K=I2655), Facturas_Odoo!$L:$L, ""), ""))</f>
        <v/>
      </c>
      <c r="T2655" s="81">
        <f>IF(Q2655="Sin Factura",0,IFERROR(_xlfn.XLOOKUP(1, (Facturas_Odoo!$D:$D=A2655) * (Facturas_Odoo!$K:$K=I2655), Facturas_Odoo!$M:$M, 0), 0))</f>
        <v/>
      </c>
      <c r="U2655" s="79">
        <f>IF(Q2655="Sin Factura",0,IFERROR(_xlfn.XLOOKUP(1, (Facturas_Odoo!$D:$D=A2655) * (Facturas_Odoo!$K:$K=I2655), Facturas_Odoo!$N:$N, 0), 0))</f>
        <v/>
      </c>
      <c r="V2655" s="79">
        <f>IF(Q2655="Sin Factura",0,IFERROR(_xlfn.XLOOKUP(1, (Facturas_Odoo!$D:$D=A2655) * (Facturas_Odoo!$K:$K=I2655), Facturas_Odoo!$O:$O, 0), 0))</f>
        <v/>
      </c>
      <c r="W2655" s="81">
        <f>IF(Q2655="Sin Factura",0,IFERROR(_xlfn.XLOOKUP(1, (Facturas_Odoo!$D:$D=A2655) * (Facturas_Odoo!$K:$K=I2655), Facturas_Odoo!$Q:$Q, 0), 0))</f>
        <v/>
      </c>
      <c r="X2655" s="79">
        <f>IF(OR(Q2655="Sin Factura",Q2655=""),"",IFERROR(INDEX(Pagos_Odoo!$B:$B, MATCH(Q2655, Pagos_Odoo!$I:$I, 0)), "Sin Pago"))</f>
        <v/>
      </c>
      <c r="Y2655" s="79">
        <f>IF(X2655="Sin Pago","",IFERROR(INDEX(Pagos_Odoo!$C:$C, MATCH(X2655, Pagos_Odoo!$B:$B, 0)), ""))</f>
        <v/>
      </c>
      <c r="Z2655" s="80">
        <f>IF(X2655="Sin Pago","",IFERROR(INDEX(Pagos_Odoo!$A:$A, MATCH(X2655, Pagos_Odoo!$B:$B, 0)), ""))</f>
        <v/>
      </c>
      <c r="AA2655" s="79">
        <f>IF(X2655="Sin Pago","",IFERROR(INDEX(Pagos_Odoo!$F:$F, MATCH(X2655, Pagos_Odoo!$B:$B, 0)), ""))</f>
        <v/>
      </c>
      <c r="AB2655" s="81">
        <f>IF(X2655="Sin Pago",0,IFERROR(INDEX(Pagos_Odoo!$E:$E, MATCH(X2655, Pagos_Odoo!$B:$B, 0)), 0))</f>
        <v/>
      </c>
      <c r="AC2655" s="79">
        <f>IF(X2655="Sin Pago","",IFERROR(INDEX(Pagos_Odoo!$G:$G, MATCH(X2655, Pagos_Odoo!$B:$B, 0)), ""))</f>
        <v/>
      </c>
      <c r="AD2655" s="82" t="n">
        <v>0</v>
      </c>
      <c r="AE2655" s="82" t="n"/>
      <c r="AF2655" s="82" t="n"/>
      <c r="AG2655" s="82">
        <f>IF(AN2655="","",AD2655+AE2655+AF2655)</f>
        <v/>
      </c>
      <c r="AH2655" s="81">
        <f>IF(AN2655="","",P2655*(1-AG2655))</f>
        <v/>
      </c>
      <c r="AI2655" s="81">
        <f>IF(AN2655="","",IF(Q2655="Sin Factura",0,IFERROR(INDEX(Facturas_Odoo!$H:$H, MATCH(Q2655, Facturas_Odoo!$B:$B, 0)), 0)*(1-AG2655)))</f>
        <v/>
      </c>
      <c r="AJ2655" s="81">
        <f>IF(AN2655="","",_xlfn.LET(idVenta, AN2655&amp;"",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55" s="81">
        <f>IF(AN2655="","",AH2655-AJ2655)</f>
        <v/>
      </c>
      <c r="AL2655" s="81">
        <f>IF(AN2655="","",IF(Q2655="Sin Factura","",AI2655-AJ2655))</f>
        <v/>
      </c>
      <c r="AM2655" s="81">
        <f>IF(AN2655="","",IF(Q2655="Sin Factura",0,P2655-IFERROR(INDEX(Facturas_Odoo!$H:$H, MATCH(Q2655, Facturas_Odoo!$B:$B, 0)), 0)))</f>
        <v/>
      </c>
      <c r="AN2655" s="79">
        <f>IF(AND(A2655="", J2655=""), "", IF(A2655&lt;&gt;"", VALUE(MID(A2655,2,LEN(A2655))), AN2654))</f>
        <v/>
      </c>
      <c r="AO2655" s="79">
        <f>IF(AN2655="","",IF(AD2655=0,"OK",_xlfn.LET(monedaPago, IF(AA2655="","USD",AA2655), limitePermitido, IFERROR(VLOOKUP(monedaPago, Configuración!$A$2:$B$3, 2, FALSE), 0.15), IF(AD2655&gt;limitePermitido, "ALERTA: EXCESO (" &amp; TEXT(limitePermitido, "0%") &amp; " máx)", "OK"))))</f>
        <v/>
      </c>
      <c r="AP2655" s="79">
        <f>IF(AN2655="","",IF(AE2655=0,"OK",_xlfn.LET(fechaPago, Z2655, fechaFactura, R2655, diasCredito, IF(E2655="Pago inmediato", 0, IFERROR(VALUE(MID(E2655, 1, SEARCH(" ", E2655)-1)),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55" s="79">
        <f>IF(AN2655="","",IF(AND(N2655&gt;0, AG2655&gt;0), IF(Configuración!$K$2="NO", "ALERTA: DESCUENTO DOBLE NO PERMITIDO", "OK"), "OK"))</f>
        <v/>
      </c>
      <c r="AR2655" s="79">
        <f>IF(AN2655="","",IF(OR(AO2655&lt;&gt;"OK", AP2655&lt;&gt;"OK", AQ2655&lt;&gt;"OK"), "⚠️ REVISAR", "OK"))</f>
        <v/>
      </c>
    </row>
    <row r="2656">
      <c r="A2656" s="79">
        <f>IF('Ordenes_Odoo'!A2656="","",'Ordenes_Odoo'!A2656)</f>
        <v/>
      </c>
      <c r="B2656" s="80">
        <f>IF('Ordenes_Odoo'!B2656="","",'Ordenes_Odoo'!B2656)</f>
        <v/>
      </c>
      <c r="C2656" s="79">
        <f>IF('Ordenes_Odoo'!C2656="","",'Ordenes_Odoo'!C2656)</f>
        <v/>
      </c>
      <c r="D2656" s="79">
        <f>IF('Ordenes_Odoo'!D2656="","",'Ordenes_Odoo'!D2656)</f>
        <v/>
      </c>
      <c r="E2656" s="79">
        <f>IF('Ordenes_Odoo'!E2656="","",'Ordenes_Odoo'!E2656)</f>
        <v/>
      </c>
      <c r="F2656" s="79">
        <f>IF('Ordenes_Odoo'!F2656="","",'Ordenes_Odoo'!F2656)</f>
        <v/>
      </c>
      <c r="G2656" s="79">
        <f>IF('Ordenes_Odoo'!G2656="","",'Ordenes_Odoo'!G2656)</f>
        <v/>
      </c>
      <c r="H2656" s="79">
        <f>IF('Ordenes_Odoo'!H2656="","",'Ordenes_Odoo'!H2656)</f>
        <v/>
      </c>
      <c r="I2656" s="79">
        <f>IF('Ordenes_Odoo'!I2656="","",'Ordenes_Odoo'!I2656)</f>
        <v/>
      </c>
      <c r="J2656" s="79">
        <f>IF('Ordenes_Odoo'!J2656="","",'Ordenes_Odoo'!J2656)</f>
        <v/>
      </c>
      <c r="K2656" s="81">
        <f>IF('Ordenes_Odoo'!K2656="","",'Ordenes_Odoo'!K2656)</f>
        <v/>
      </c>
      <c r="L2656" s="81">
        <f>IF('Ordenes_Odoo'!L2656="","",'Ordenes_Odoo'!L2656)</f>
        <v/>
      </c>
      <c r="M2656" s="79">
        <f>IF('Ordenes_Odoo'!M2656="","",'Ordenes_Odoo'!M2656)</f>
        <v/>
      </c>
      <c r="N2656" s="79">
        <f>IF('Ordenes_Odoo'!N2656="","",'Ordenes_Odoo'!N2656)</f>
        <v/>
      </c>
      <c r="O2656" s="81">
        <f>IF('Ordenes_Odoo'!O2656="","",'Ordenes_Odoo'!O2656)</f>
        <v/>
      </c>
      <c r="P2656" s="81">
        <f>IF('Ordenes_Odoo'!P2656="","",'Ordenes_Odoo'!P2656)</f>
        <v/>
      </c>
      <c r="Q2656" s="79">
        <f>IF(A2656="","",IFERROR(INDEX(Facturas_Odoo!$B:$B, MATCH(A2656, Facturas_Odoo!$D:$D, 0)), "Sin Factura"))</f>
        <v/>
      </c>
      <c r="R2656" s="80">
        <f>IF(Q2656="Sin Factura","",IFERROR(INDEX(Facturas_Odoo!$A:$A, MATCH(Q2656, Facturas_Odoo!$B:$B, 0)), ""))</f>
        <v/>
      </c>
      <c r="S2656" s="79">
        <f>IF(Q2656="Sin Factura","",IFERROR(_xlfn.XLOOKUP(1, (Facturas_Odoo!$D:$D=A2656) * (Facturas_Odoo!$K:$K=I2656), Facturas_Odoo!$L:$L, ""), ""))</f>
        <v/>
      </c>
      <c r="T2656" s="81">
        <f>IF(Q2656="Sin Factura",0,IFERROR(_xlfn.XLOOKUP(1, (Facturas_Odoo!$D:$D=A2656) * (Facturas_Odoo!$K:$K=I2656), Facturas_Odoo!$M:$M, 0), 0))</f>
        <v/>
      </c>
      <c r="U2656" s="79">
        <f>IF(Q2656="Sin Factura",0,IFERROR(_xlfn.XLOOKUP(1, (Facturas_Odoo!$D:$D=A2656) * (Facturas_Odoo!$K:$K=I2656), Facturas_Odoo!$N:$N, 0), 0))</f>
        <v/>
      </c>
      <c r="V2656" s="79">
        <f>IF(Q2656="Sin Factura",0,IFERROR(_xlfn.XLOOKUP(1, (Facturas_Odoo!$D:$D=A2656) * (Facturas_Odoo!$K:$K=I2656), Facturas_Odoo!$O:$O, 0), 0))</f>
        <v/>
      </c>
      <c r="W2656" s="81">
        <f>IF(Q2656="Sin Factura",0,IFERROR(_xlfn.XLOOKUP(1, (Facturas_Odoo!$D:$D=A2656) * (Facturas_Odoo!$K:$K=I2656), Facturas_Odoo!$Q:$Q, 0), 0))</f>
        <v/>
      </c>
      <c r="X2656" s="79">
        <f>IF(OR(Q2656="Sin Factura",Q2656=""),"",IFERROR(INDEX(Pagos_Odoo!$B:$B, MATCH(Q2656, Pagos_Odoo!$I:$I, 0)), "Sin Pago"))</f>
        <v/>
      </c>
      <c r="Y2656" s="79">
        <f>IF(X2656="Sin Pago","",IFERROR(INDEX(Pagos_Odoo!$C:$C, MATCH(X2656, Pagos_Odoo!$B:$B, 0)), ""))</f>
        <v/>
      </c>
      <c r="Z2656" s="80">
        <f>IF(X2656="Sin Pago","",IFERROR(INDEX(Pagos_Odoo!$A:$A, MATCH(X2656, Pagos_Odoo!$B:$B, 0)), ""))</f>
        <v/>
      </c>
      <c r="AA2656" s="79">
        <f>IF(X2656="Sin Pago","",IFERROR(INDEX(Pagos_Odoo!$F:$F, MATCH(X2656, Pagos_Odoo!$B:$B, 0)), ""))</f>
        <v/>
      </c>
      <c r="AB2656" s="81">
        <f>IF(X2656="Sin Pago",0,IFERROR(INDEX(Pagos_Odoo!$E:$E, MATCH(X2656, Pagos_Odoo!$B:$B, 0)), 0))</f>
        <v/>
      </c>
      <c r="AC2656" s="79">
        <f>IF(X2656="Sin Pago","",IFERROR(INDEX(Pagos_Odoo!$G:$G, MATCH(X2656, Pagos_Odoo!$B:$B, 0)), ""))</f>
        <v/>
      </c>
      <c r="AD2656" s="82" t="n">
        <v>0</v>
      </c>
      <c r="AE2656" s="82" t="n"/>
      <c r="AF2656" s="82" t="n"/>
      <c r="AG2656" s="82">
        <f>IF(AN2656="","",AD2656+AE2656+AF2656)</f>
        <v/>
      </c>
      <c r="AH2656" s="81">
        <f>IF(AN2656="","",P2656*(1-AG2656))</f>
        <v/>
      </c>
      <c r="AI2656" s="81">
        <f>IF(AN2656="","",IF(Q2656="Sin Factura",0,IFERROR(INDEX(Facturas_Odoo!$H:$H, MATCH(Q2656, Facturas_Odoo!$B:$B, 0)), 0)*(1-AG2656)))</f>
        <v/>
      </c>
      <c r="AJ2656" s="81">
        <f>IF(AN2656="","",_xlfn.LET(idVenta, AN2656&amp;"",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56" s="81">
        <f>IF(AN2656="","",AH2656-AJ2656)</f>
        <v/>
      </c>
      <c r="AL2656" s="81">
        <f>IF(AN2656="","",IF(Q2656="Sin Factura","",AI2656-AJ2656))</f>
        <v/>
      </c>
      <c r="AM2656" s="81">
        <f>IF(AN2656="","",IF(Q2656="Sin Factura",0,P2656-IFERROR(INDEX(Facturas_Odoo!$H:$H, MATCH(Q2656, Facturas_Odoo!$B:$B, 0)), 0)))</f>
        <v/>
      </c>
      <c r="AN2656" s="79">
        <f>IF(AND(A2656="", J2656=""), "", IF(A2656&lt;&gt;"", VALUE(MID(A2656,2,LEN(A2656))), AN2655))</f>
        <v/>
      </c>
      <c r="AO2656" s="79">
        <f>IF(AN2656="","",IF(AD2656=0,"OK",_xlfn.LET(monedaPago, IF(AA2656="","USD",AA2656), limitePermitido, IFERROR(VLOOKUP(monedaPago, Configuración!$A$2:$B$3, 2, FALSE), 0.15), IF(AD2656&gt;limitePermitido, "ALERTA: EXCESO (" &amp; TEXT(limitePermitido, "0%") &amp; " máx)", "OK"))))</f>
        <v/>
      </c>
      <c r="AP2656" s="79">
        <f>IF(AN2656="","",IF(AE2656=0,"OK",_xlfn.LET(fechaPago, Z2656, fechaFactura, R2656, diasCredito, IF(E2656="Pago inmediato", 0, IFERROR(VALUE(MID(E2656, 1, SEARCH(" ", E2656)-1)),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56" s="79">
        <f>IF(AN2656="","",IF(AND(N2656&gt;0, AG2656&gt;0), IF(Configuración!$K$2="NO", "ALERTA: DESCUENTO DOBLE NO PERMITIDO", "OK"), "OK"))</f>
        <v/>
      </c>
      <c r="AR2656" s="79">
        <f>IF(AN2656="","",IF(OR(AO2656&lt;&gt;"OK", AP2656&lt;&gt;"OK", AQ2656&lt;&gt;"OK"), "⚠️ REVISAR", "OK"))</f>
        <v/>
      </c>
    </row>
    <row r="2657">
      <c r="A2657" s="79">
        <f>IF('Ordenes_Odoo'!A2657="","",'Ordenes_Odoo'!A2657)</f>
        <v/>
      </c>
      <c r="B2657" s="80">
        <f>IF('Ordenes_Odoo'!B2657="","",'Ordenes_Odoo'!B2657)</f>
        <v/>
      </c>
      <c r="C2657" s="79">
        <f>IF('Ordenes_Odoo'!C2657="","",'Ordenes_Odoo'!C2657)</f>
        <v/>
      </c>
      <c r="D2657" s="79">
        <f>IF('Ordenes_Odoo'!D2657="","",'Ordenes_Odoo'!D2657)</f>
        <v/>
      </c>
      <c r="E2657" s="79">
        <f>IF('Ordenes_Odoo'!E2657="","",'Ordenes_Odoo'!E2657)</f>
        <v/>
      </c>
      <c r="F2657" s="79">
        <f>IF('Ordenes_Odoo'!F2657="","",'Ordenes_Odoo'!F2657)</f>
        <v/>
      </c>
      <c r="G2657" s="79">
        <f>IF('Ordenes_Odoo'!G2657="","",'Ordenes_Odoo'!G2657)</f>
        <v/>
      </c>
      <c r="H2657" s="79">
        <f>IF('Ordenes_Odoo'!H2657="","",'Ordenes_Odoo'!H2657)</f>
        <v/>
      </c>
      <c r="I2657" s="79">
        <f>IF('Ordenes_Odoo'!I2657="","",'Ordenes_Odoo'!I2657)</f>
        <v/>
      </c>
      <c r="J2657" s="79">
        <f>IF('Ordenes_Odoo'!J2657="","",'Ordenes_Odoo'!J2657)</f>
        <v/>
      </c>
      <c r="K2657" s="81">
        <f>IF('Ordenes_Odoo'!K2657="","",'Ordenes_Odoo'!K2657)</f>
        <v/>
      </c>
      <c r="L2657" s="81">
        <f>IF('Ordenes_Odoo'!L2657="","",'Ordenes_Odoo'!L2657)</f>
        <v/>
      </c>
      <c r="M2657" s="79">
        <f>IF('Ordenes_Odoo'!M2657="","",'Ordenes_Odoo'!M2657)</f>
        <v/>
      </c>
      <c r="N2657" s="79">
        <f>IF('Ordenes_Odoo'!N2657="","",'Ordenes_Odoo'!N2657)</f>
        <v/>
      </c>
      <c r="O2657" s="81">
        <f>IF('Ordenes_Odoo'!O2657="","",'Ordenes_Odoo'!O2657)</f>
        <v/>
      </c>
      <c r="P2657" s="81">
        <f>IF('Ordenes_Odoo'!P2657="","",'Ordenes_Odoo'!P2657)</f>
        <v/>
      </c>
      <c r="Q2657" s="79">
        <f>IF(A2657="","",IFERROR(INDEX(Facturas_Odoo!$B:$B, MATCH(A2657, Facturas_Odoo!$D:$D, 0)), "Sin Factura"))</f>
        <v/>
      </c>
      <c r="R2657" s="80">
        <f>IF(Q2657="Sin Factura","",IFERROR(INDEX(Facturas_Odoo!$A:$A, MATCH(Q2657, Facturas_Odoo!$B:$B, 0)), ""))</f>
        <v/>
      </c>
      <c r="S2657" s="79">
        <f>IF(Q2657="Sin Factura","",IFERROR(_xlfn.XLOOKUP(1, (Facturas_Odoo!$D:$D=A2657) * (Facturas_Odoo!$K:$K=I2657), Facturas_Odoo!$L:$L, ""), ""))</f>
        <v/>
      </c>
      <c r="T2657" s="81">
        <f>IF(Q2657="Sin Factura",0,IFERROR(_xlfn.XLOOKUP(1, (Facturas_Odoo!$D:$D=A2657) * (Facturas_Odoo!$K:$K=I2657), Facturas_Odoo!$M:$M, 0), 0))</f>
        <v/>
      </c>
      <c r="U2657" s="79">
        <f>IF(Q2657="Sin Factura",0,IFERROR(_xlfn.XLOOKUP(1, (Facturas_Odoo!$D:$D=A2657) * (Facturas_Odoo!$K:$K=I2657), Facturas_Odoo!$N:$N, 0), 0))</f>
        <v/>
      </c>
      <c r="V2657" s="79">
        <f>IF(Q2657="Sin Factura",0,IFERROR(_xlfn.XLOOKUP(1, (Facturas_Odoo!$D:$D=A2657) * (Facturas_Odoo!$K:$K=I2657), Facturas_Odoo!$O:$O, 0), 0))</f>
        <v/>
      </c>
      <c r="W2657" s="81">
        <f>IF(Q2657="Sin Factura",0,IFERROR(_xlfn.XLOOKUP(1, (Facturas_Odoo!$D:$D=A2657) * (Facturas_Odoo!$K:$K=I2657), Facturas_Odoo!$Q:$Q, 0), 0))</f>
        <v/>
      </c>
      <c r="X2657" s="79">
        <f>IF(OR(Q2657="Sin Factura",Q2657=""),"",IFERROR(INDEX(Pagos_Odoo!$B:$B, MATCH(Q2657, Pagos_Odoo!$I:$I, 0)), "Sin Pago"))</f>
        <v/>
      </c>
      <c r="Y2657" s="79">
        <f>IF(X2657="Sin Pago","",IFERROR(INDEX(Pagos_Odoo!$C:$C, MATCH(X2657, Pagos_Odoo!$B:$B, 0)), ""))</f>
        <v/>
      </c>
      <c r="Z2657" s="80">
        <f>IF(X2657="Sin Pago","",IFERROR(INDEX(Pagos_Odoo!$A:$A, MATCH(X2657, Pagos_Odoo!$B:$B, 0)), ""))</f>
        <v/>
      </c>
      <c r="AA2657" s="79">
        <f>IF(X2657="Sin Pago","",IFERROR(INDEX(Pagos_Odoo!$F:$F, MATCH(X2657, Pagos_Odoo!$B:$B, 0)), ""))</f>
        <v/>
      </c>
      <c r="AB2657" s="81">
        <f>IF(X2657="Sin Pago",0,IFERROR(INDEX(Pagos_Odoo!$E:$E, MATCH(X2657, Pagos_Odoo!$B:$B, 0)), 0))</f>
        <v/>
      </c>
      <c r="AC2657" s="79">
        <f>IF(X2657="Sin Pago","",IFERROR(INDEX(Pagos_Odoo!$G:$G, MATCH(X2657, Pagos_Odoo!$B:$B, 0)), ""))</f>
        <v/>
      </c>
      <c r="AD2657" s="82" t="n">
        <v>0</v>
      </c>
      <c r="AE2657" s="82" t="n"/>
      <c r="AF2657" s="82" t="n"/>
      <c r="AG2657" s="82">
        <f>IF(AN2657="","",AD2657+AE2657+AF2657)</f>
        <v/>
      </c>
      <c r="AH2657" s="81">
        <f>IF(AN2657="","",P2657*(1-AG2657))</f>
        <v/>
      </c>
      <c r="AI2657" s="81">
        <f>IF(AN2657="","",IF(Q2657="Sin Factura",0,IFERROR(INDEX(Facturas_Odoo!$H:$H, MATCH(Q2657, Facturas_Odoo!$B:$B, 0)), 0)*(1-AG2657)))</f>
        <v/>
      </c>
      <c r="AJ2657" s="81">
        <f>IF(AN2657="","",_xlfn.LET(idVenta, AN2657&amp;"",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57" s="81">
        <f>IF(AN2657="","",AH2657-AJ2657)</f>
        <v/>
      </c>
      <c r="AL2657" s="81">
        <f>IF(AN2657="","",IF(Q2657="Sin Factura","",AI2657-AJ2657))</f>
        <v/>
      </c>
      <c r="AM2657" s="81">
        <f>IF(AN2657="","",IF(Q2657="Sin Factura",0,P2657-IFERROR(INDEX(Facturas_Odoo!$H:$H, MATCH(Q2657, Facturas_Odoo!$B:$B, 0)), 0)))</f>
        <v/>
      </c>
      <c r="AN2657" s="79">
        <f>IF(AND(A2657="", J2657=""), "", IF(A2657&lt;&gt;"", VALUE(MID(A2657,2,LEN(A2657))), AN2656))</f>
        <v/>
      </c>
      <c r="AO2657" s="79">
        <f>IF(AN2657="","",IF(AD2657=0,"OK",_xlfn.LET(monedaPago, IF(AA2657="","USD",AA2657), limitePermitido, IFERROR(VLOOKUP(monedaPago, Configuración!$A$2:$B$3, 2, FALSE), 0.15), IF(AD2657&gt;limitePermitido, "ALERTA: EXCESO (" &amp; TEXT(limitePermitido, "0%") &amp; " máx)", "OK"))))</f>
        <v/>
      </c>
      <c r="AP2657" s="79">
        <f>IF(AN2657="","",IF(AE2657=0,"OK",_xlfn.LET(fechaPago, Z2657, fechaFactura, R2657, diasCredito, IF(E2657="Pago inmediato", 0, IFERROR(VALUE(MID(E2657, 1, SEARCH(" ", E2657)-1)),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57" s="79">
        <f>IF(AN2657="","",IF(AND(N2657&gt;0, AG2657&gt;0), IF(Configuración!$K$2="NO", "ALERTA: DESCUENTO DOBLE NO PERMITIDO", "OK"), "OK"))</f>
        <v/>
      </c>
      <c r="AR2657" s="79">
        <f>IF(AN2657="","",IF(OR(AO2657&lt;&gt;"OK", AP2657&lt;&gt;"OK", AQ2657&lt;&gt;"OK"), "⚠️ REVISAR", "OK"))</f>
        <v/>
      </c>
    </row>
    <row r="2658">
      <c r="A2658" s="79">
        <f>IF('Ordenes_Odoo'!A2658="","",'Ordenes_Odoo'!A2658)</f>
        <v/>
      </c>
      <c r="B2658" s="80">
        <f>IF('Ordenes_Odoo'!B2658="","",'Ordenes_Odoo'!B2658)</f>
        <v/>
      </c>
      <c r="C2658" s="79">
        <f>IF('Ordenes_Odoo'!C2658="","",'Ordenes_Odoo'!C2658)</f>
        <v/>
      </c>
      <c r="D2658" s="79">
        <f>IF('Ordenes_Odoo'!D2658="","",'Ordenes_Odoo'!D2658)</f>
        <v/>
      </c>
      <c r="E2658" s="79">
        <f>IF('Ordenes_Odoo'!E2658="","",'Ordenes_Odoo'!E2658)</f>
        <v/>
      </c>
      <c r="F2658" s="79">
        <f>IF('Ordenes_Odoo'!F2658="","",'Ordenes_Odoo'!F2658)</f>
        <v/>
      </c>
      <c r="G2658" s="79">
        <f>IF('Ordenes_Odoo'!G2658="","",'Ordenes_Odoo'!G2658)</f>
        <v/>
      </c>
      <c r="H2658" s="79">
        <f>IF('Ordenes_Odoo'!H2658="","",'Ordenes_Odoo'!H2658)</f>
        <v/>
      </c>
      <c r="I2658" s="79">
        <f>IF('Ordenes_Odoo'!I2658="","",'Ordenes_Odoo'!I2658)</f>
        <v/>
      </c>
      <c r="J2658" s="79">
        <f>IF('Ordenes_Odoo'!J2658="","",'Ordenes_Odoo'!J2658)</f>
        <v/>
      </c>
      <c r="K2658" s="81">
        <f>IF('Ordenes_Odoo'!K2658="","",'Ordenes_Odoo'!K2658)</f>
        <v/>
      </c>
      <c r="L2658" s="81">
        <f>IF('Ordenes_Odoo'!L2658="","",'Ordenes_Odoo'!L2658)</f>
        <v/>
      </c>
      <c r="M2658" s="79">
        <f>IF('Ordenes_Odoo'!M2658="","",'Ordenes_Odoo'!M2658)</f>
        <v/>
      </c>
      <c r="N2658" s="79">
        <f>IF('Ordenes_Odoo'!N2658="","",'Ordenes_Odoo'!N2658)</f>
        <v/>
      </c>
      <c r="O2658" s="81">
        <f>IF('Ordenes_Odoo'!O2658="","",'Ordenes_Odoo'!O2658)</f>
        <v/>
      </c>
      <c r="P2658" s="81">
        <f>IF('Ordenes_Odoo'!P2658="","",'Ordenes_Odoo'!P2658)</f>
        <v/>
      </c>
      <c r="Q2658" s="79">
        <f>IF(A2658="","",IFERROR(INDEX(Facturas_Odoo!$B:$B, MATCH(A2658, Facturas_Odoo!$D:$D, 0)), "Sin Factura"))</f>
        <v/>
      </c>
      <c r="R2658" s="80">
        <f>IF(Q2658="Sin Factura","",IFERROR(INDEX(Facturas_Odoo!$A:$A, MATCH(Q2658, Facturas_Odoo!$B:$B, 0)), ""))</f>
        <v/>
      </c>
      <c r="S2658" s="79">
        <f>IF(Q2658="Sin Factura","",IFERROR(_xlfn.XLOOKUP(1, (Facturas_Odoo!$D:$D=A2658) * (Facturas_Odoo!$K:$K=I2658), Facturas_Odoo!$L:$L, ""), ""))</f>
        <v/>
      </c>
      <c r="T2658" s="81">
        <f>IF(Q2658="Sin Factura",0,IFERROR(_xlfn.XLOOKUP(1, (Facturas_Odoo!$D:$D=A2658) * (Facturas_Odoo!$K:$K=I2658), Facturas_Odoo!$M:$M, 0), 0))</f>
        <v/>
      </c>
      <c r="U2658" s="79">
        <f>IF(Q2658="Sin Factura",0,IFERROR(_xlfn.XLOOKUP(1, (Facturas_Odoo!$D:$D=A2658) * (Facturas_Odoo!$K:$K=I2658), Facturas_Odoo!$N:$N, 0), 0))</f>
        <v/>
      </c>
      <c r="V2658" s="79">
        <f>IF(Q2658="Sin Factura",0,IFERROR(_xlfn.XLOOKUP(1, (Facturas_Odoo!$D:$D=A2658) * (Facturas_Odoo!$K:$K=I2658), Facturas_Odoo!$O:$O, 0), 0))</f>
        <v/>
      </c>
      <c r="W2658" s="81">
        <f>IF(Q2658="Sin Factura",0,IFERROR(_xlfn.XLOOKUP(1, (Facturas_Odoo!$D:$D=A2658) * (Facturas_Odoo!$K:$K=I2658), Facturas_Odoo!$Q:$Q, 0), 0))</f>
        <v/>
      </c>
      <c r="X2658" s="79">
        <f>IF(OR(Q2658="Sin Factura",Q2658=""),"",IFERROR(INDEX(Pagos_Odoo!$B:$B, MATCH(Q2658, Pagos_Odoo!$I:$I, 0)), "Sin Pago"))</f>
        <v/>
      </c>
      <c r="Y2658" s="79">
        <f>IF(X2658="Sin Pago","",IFERROR(INDEX(Pagos_Odoo!$C:$C, MATCH(X2658, Pagos_Odoo!$B:$B, 0)), ""))</f>
        <v/>
      </c>
      <c r="Z2658" s="80">
        <f>IF(X2658="Sin Pago","",IFERROR(INDEX(Pagos_Odoo!$A:$A, MATCH(X2658, Pagos_Odoo!$B:$B, 0)), ""))</f>
        <v/>
      </c>
      <c r="AA2658" s="79">
        <f>IF(X2658="Sin Pago","",IFERROR(INDEX(Pagos_Odoo!$F:$F, MATCH(X2658, Pagos_Odoo!$B:$B, 0)), ""))</f>
        <v/>
      </c>
      <c r="AB2658" s="81">
        <f>IF(X2658="Sin Pago",0,IFERROR(INDEX(Pagos_Odoo!$E:$E, MATCH(X2658, Pagos_Odoo!$B:$B, 0)), 0))</f>
        <v/>
      </c>
      <c r="AC2658" s="79">
        <f>IF(X2658="Sin Pago","",IFERROR(INDEX(Pagos_Odoo!$G:$G, MATCH(X2658, Pagos_Odoo!$B:$B, 0)), ""))</f>
        <v/>
      </c>
      <c r="AD2658" s="82" t="n">
        <v>0</v>
      </c>
      <c r="AE2658" s="82" t="n"/>
      <c r="AF2658" s="82" t="n"/>
      <c r="AG2658" s="82">
        <f>IF(AN2658="","",AD2658+AE2658+AF2658)</f>
        <v/>
      </c>
      <c r="AH2658" s="81">
        <f>IF(AN2658="","",P2658*(1-AG2658))</f>
        <v/>
      </c>
      <c r="AI2658" s="81">
        <f>IF(AN2658="","",IF(Q2658="Sin Factura",0,IFERROR(INDEX(Facturas_Odoo!$H:$H, MATCH(Q2658, Facturas_Odoo!$B:$B, 0)), 0)*(1-AG2658)))</f>
        <v/>
      </c>
      <c r="AJ2658" s="81">
        <f>IF(AN2658="","",_xlfn.LET(idVenta, AN2658&amp;"",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58" s="81">
        <f>IF(AN2658="","",AH2658-AJ2658)</f>
        <v/>
      </c>
      <c r="AL2658" s="81">
        <f>IF(AN2658="","",IF(Q2658="Sin Factura","",AI2658-AJ2658))</f>
        <v/>
      </c>
      <c r="AM2658" s="81">
        <f>IF(AN2658="","",IF(Q2658="Sin Factura",0,P2658-IFERROR(INDEX(Facturas_Odoo!$H:$H, MATCH(Q2658, Facturas_Odoo!$B:$B, 0)), 0)))</f>
        <v/>
      </c>
      <c r="AN2658" s="79">
        <f>IF(AND(A2658="", J2658=""), "", IF(A2658&lt;&gt;"", VALUE(MID(A2658,2,LEN(A2658))), AN2657))</f>
        <v/>
      </c>
      <c r="AO2658" s="79">
        <f>IF(AN2658="","",IF(AD2658=0,"OK",_xlfn.LET(monedaPago, IF(AA2658="","USD",AA2658), limitePermitido, IFERROR(VLOOKUP(monedaPago, Configuración!$A$2:$B$3, 2, FALSE), 0.15), IF(AD2658&gt;limitePermitido, "ALERTA: EXCESO (" &amp; TEXT(limitePermitido, "0%") &amp; " máx)", "OK"))))</f>
        <v/>
      </c>
      <c r="AP2658" s="79">
        <f>IF(AN2658="","",IF(AE2658=0,"OK",_xlfn.LET(fechaPago, Z2658, fechaFactura, R2658, diasCredito, IF(E2658="Pago inmediato", 0, IFERROR(VALUE(MID(E2658, 1, SEARCH(" ", E2658)-1)),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58" s="79">
        <f>IF(AN2658="","",IF(AND(N2658&gt;0, AG2658&gt;0), IF(Configuración!$K$2="NO", "ALERTA: DESCUENTO DOBLE NO PERMITIDO", "OK"), "OK"))</f>
        <v/>
      </c>
      <c r="AR2658" s="79">
        <f>IF(AN2658="","",IF(OR(AO2658&lt;&gt;"OK", AP2658&lt;&gt;"OK", AQ2658&lt;&gt;"OK"), "⚠️ REVISAR", "OK"))</f>
        <v/>
      </c>
    </row>
    <row r="2659">
      <c r="A2659" s="79">
        <f>IF('Ordenes_Odoo'!A2659="","",'Ordenes_Odoo'!A2659)</f>
        <v/>
      </c>
      <c r="B2659" s="80">
        <f>IF('Ordenes_Odoo'!B2659="","",'Ordenes_Odoo'!B2659)</f>
        <v/>
      </c>
      <c r="C2659" s="79">
        <f>IF('Ordenes_Odoo'!C2659="","",'Ordenes_Odoo'!C2659)</f>
        <v/>
      </c>
      <c r="D2659" s="79">
        <f>IF('Ordenes_Odoo'!D2659="","",'Ordenes_Odoo'!D2659)</f>
        <v/>
      </c>
      <c r="E2659" s="79">
        <f>IF('Ordenes_Odoo'!E2659="","",'Ordenes_Odoo'!E2659)</f>
        <v/>
      </c>
      <c r="F2659" s="79">
        <f>IF('Ordenes_Odoo'!F2659="","",'Ordenes_Odoo'!F2659)</f>
        <v/>
      </c>
      <c r="G2659" s="79">
        <f>IF('Ordenes_Odoo'!G2659="","",'Ordenes_Odoo'!G2659)</f>
        <v/>
      </c>
      <c r="H2659" s="79">
        <f>IF('Ordenes_Odoo'!H2659="","",'Ordenes_Odoo'!H2659)</f>
        <v/>
      </c>
      <c r="I2659" s="79">
        <f>IF('Ordenes_Odoo'!I2659="","",'Ordenes_Odoo'!I2659)</f>
        <v/>
      </c>
      <c r="J2659" s="79">
        <f>IF('Ordenes_Odoo'!J2659="","",'Ordenes_Odoo'!J2659)</f>
        <v/>
      </c>
      <c r="K2659" s="81">
        <f>IF('Ordenes_Odoo'!K2659="","",'Ordenes_Odoo'!K2659)</f>
        <v/>
      </c>
      <c r="L2659" s="81">
        <f>IF('Ordenes_Odoo'!L2659="","",'Ordenes_Odoo'!L2659)</f>
        <v/>
      </c>
      <c r="M2659" s="79">
        <f>IF('Ordenes_Odoo'!M2659="","",'Ordenes_Odoo'!M2659)</f>
        <v/>
      </c>
      <c r="N2659" s="79">
        <f>IF('Ordenes_Odoo'!N2659="","",'Ordenes_Odoo'!N2659)</f>
        <v/>
      </c>
      <c r="O2659" s="81">
        <f>IF('Ordenes_Odoo'!O2659="","",'Ordenes_Odoo'!O2659)</f>
        <v/>
      </c>
      <c r="P2659" s="81">
        <f>IF('Ordenes_Odoo'!P2659="","",'Ordenes_Odoo'!P2659)</f>
        <v/>
      </c>
      <c r="Q2659" s="79">
        <f>IF(A2659="","",IFERROR(INDEX(Facturas_Odoo!$B:$B, MATCH(A2659, Facturas_Odoo!$D:$D, 0)), "Sin Factura"))</f>
        <v/>
      </c>
      <c r="R2659" s="80">
        <f>IF(Q2659="Sin Factura","",IFERROR(INDEX(Facturas_Odoo!$A:$A, MATCH(Q2659, Facturas_Odoo!$B:$B, 0)), ""))</f>
        <v/>
      </c>
      <c r="S2659" s="79">
        <f>IF(Q2659="Sin Factura","",IFERROR(_xlfn.XLOOKUP(1, (Facturas_Odoo!$D:$D=A2659) * (Facturas_Odoo!$K:$K=I2659), Facturas_Odoo!$L:$L, ""), ""))</f>
        <v/>
      </c>
      <c r="T2659" s="81">
        <f>IF(Q2659="Sin Factura",0,IFERROR(_xlfn.XLOOKUP(1, (Facturas_Odoo!$D:$D=A2659) * (Facturas_Odoo!$K:$K=I2659), Facturas_Odoo!$M:$M, 0), 0))</f>
        <v/>
      </c>
      <c r="U2659" s="79">
        <f>IF(Q2659="Sin Factura",0,IFERROR(_xlfn.XLOOKUP(1, (Facturas_Odoo!$D:$D=A2659) * (Facturas_Odoo!$K:$K=I2659), Facturas_Odoo!$N:$N, 0), 0))</f>
        <v/>
      </c>
      <c r="V2659" s="79">
        <f>IF(Q2659="Sin Factura",0,IFERROR(_xlfn.XLOOKUP(1, (Facturas_Odoo!$D:$D=A2659) * (Facturas_Odoo!$K:$K=I2659), Facturas_Odoo!$O:$O, 0), 0))</f>
        <v/>
      </c>
      <c r="W2659" s="81">
        <f>IF(Q2659="Sin Factura",0,IFERROR(_xlfn.XLOOKUP(1, (Facturas_Odoo!$D:$D=A2659) * (Facturas_Odoo!$K:$K=I2659), Facturas_Odoo!$Q:$Q, 0), 0))</f>
        <v/>
      </c>
      <c r="X2659" s="79">
        <f>IF(OR(Q2659="Sin Factura",Q2659=""),"",IFERROR(INDEX(Pagos_Odoo!$B:$B, MATCH(Q2659, Pagos_Odoo!$I:$I, 0)), "Sin Pago"))</f>
        <v/>
      </c>
      <c r="Y2659" s="79">
        <f>IF(X2659="Sin Pago","",IFERROR(INDEX(Pagos_Odoo!$C:$C, MATCH(X2659, Pagos_Odoo!$B:$B, 0)), ""))</f>
        <v/>
      </c>
      <c r="Z2659" s="80">
        <f>IF(X2659="Sin Pago","",IFERROR(INDEX(Pagos_Odoo!$A:$A, MATCH(X2659, Pagos_Odoo!$B:$B, 0)), ""))</f>
        <v/>
      </c>
      <c r="AA2659" s="79">
        <f>IF(X2659="Sin Pago","",IFERROR(INDEX(Pagos_Odoo!$F:$F, MATCH(X2659, Pagos_Odoo!$B:$B, 0)), ""))</f>
        <v/>
      </c>
      <c r="AB2659" s="81">
        <f>IF(X2659="Sin Pago",0,IFERROR(INDEX(Pagos_Odoo!$E:$E, MATCH(X2659, Pagos_Odoo!$B:$B, 0)), 0))</f>
        <v/>
      </c>
      <c r="AC2659" s="79">
        <f>IF(X2659="Sin Pago","",IFERROR(INDEX(Pagos_Odoo!$G:$G, MATCH(X2659, Pagos_Odoo!$B:$B, 0)), ""))</f>
        <v/>
      </c>
      <c r="AD2659" s="82" t="n">
        <v>0</v>
      </c>
      <c r="AE2659" s="82" t="n"/>
      <c r="AF2659" s="82" t="n"/>
      <c r="AG2659" s="82">
        <f>IF(AN2659="","",AD2659+AE2659+AF2659)</f>
        <v/>
      </c>
      <c r="AH2659" s="81">
        <f>IF(AN2659="","",P2659*(1-AG2659))</f>
        <v/>
      </c>
      <c r="AI2659" s="81">
        <f>IF(AN2659="","",IF(Q2659="Sin Factura",0,IFERROR(INDEX(Facturas_Odoo!$H:$H, MATCH(Q2659, Facturas_Odoo!$B:$B, 0)), 0)*(1-AG2659)))</f>
        <v/>
      </c>
      <c r="AJ2659" s="81">
        <f>IF(AN2659="","",_xlfn.LET(idVenta, AN2659&amp;"",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59" s="81">
        <f>IF(AN2659="","",AH2659-AJ2659)</f>
        <v/>
      </c>
      <c r="AL2659" s="81">
        <f>IF(AN2659="","",IF(Q2659="Sin Factura","",AI2659-AJ2659))</f>
        <v/>
      </c>
      <c r="AM2659" s="81">
        <f>IF(AN2659="","",IF(Q2659="Sin Factura",0,P2659-IFERROR(INDEX(Facturas_Odoo!$H:$H, MATCH(Q2659, Facturas_Odoo!$B:$B, 0)), 0)))</f>
        <v/>
      </c>
      <c r="AN2659" s="79">
        <f>IF(AND(A2659="", J2659=""), "", IF(A2659&lt;&gt;"", VALUE(MID(A2659,2,LEN(A2659))), AN2658))</f>
        <v/>
      </c>
      <c r="AO2659" s="79">
        <f>IF(AN2659="","",IF(AD2659=0,"OK",_xlfn.LET(monedaPago, IF(AA2659="","USD",AA2659), limitePermitido, IFERROR(VLOOKUP(monedaPago, Configuración!$A$2:$B$3, 2, FALSE), 0.15), IF(AD2659&gt;limitePermitido, "ALERTA: EXCESO (" &amp; TEXT(limitePermitido, "0%") &amp; " máx)", "OK"))))</f>
        <v/>
      </c>
      <c r="AP2659" s="79">
        <f>IF(AN2659="","",IF(AE2659=0,"OK",_xlfn.LET(fechaPago, Z2659, fechaFactura, R2659, diasCredito, IF(E2659="Pago inmediato", 0, IFERROR(VALUE(MID(E2659, 1, SEARCH(" ", E2659)-1)),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59" s="79">
        <f>IF(AN2659="","",IF(AND(N2659&gt;0, AG2659&gt;0), IF(Configuración!$K$2="NO", "ALERTA: DESCUENTO DOBLE NO PERMITIDO", "OK"), "OK"))</f>
        <v/>
      </c>
      <c r="AR2659" s="79">
        <f>IF(AN2659="","",IF(OR(AO2659&lt;&gt;"OK", AP2659&lt;&gt;"OK", AQ2659&lt;&gt;"OK"), "⚠️ REVISAR", "OK"))</f>
        <v/>
      </c>
    </row>
    <row r="2660">
      <c r="A2660" s="79">
        <f>IF('Ordenes_Odoo'!A2660="","",'Ordenes_Odoo'!A2660)</f>
        <v/>
      </c>
      <c r="B2660" s="80">
        <f>IF('Ordenes_Odoo'!B2660="","",'Ordenes_Odoo'!B2660)</f>
        <v/>
      </c>
      <c r="C2660" s="79">
        <f>IF('Ordenes_Odoo'!C2660="","",'Ordenes_Odoo'!C2660)</f>
        <v/>
      </c>
      <c r="D2660" s="79">
        <f>IF('Ordenes_Odoo'!D2660="","",'Ordenes_Odoo'!D2660)</f>
        <v/>
      </c>
      <c r="E2660" s="79">
        <f>IF('Ordenes_Odoo'!E2660="","",'Ordenes_Odoo'!E2660)</f>
        <v/>
      </c>
      <c r="F2660" s="79">
        <f>IF('Ordenes_Odoo'!F2660="","",'Ordenes_Odoo'!F2660)</f>
        <v/>
      </c>
      <c r="G2660" s="79">
        <f>IF('Ordenes_Odoo'!G2660="","",'Ordenes_Odoo'!G2660)</f>
        <v/>
      </c>
      <c r="H2660" s="79">
        <f>IF('Ordenes_Odoo'!H2660="","",'Ordenes_Odoo'!H2660)</f>
        <v/>
      </c>
      <c r="I2660" s="79">
        <f>IF('Ordenes_Odoo'!I2660="","",'Ordenes_Odoo'!I2660)</f>
        <v/>
      </c>
      <c r="J2660" s="79">
        <f>IF('Ordenes_Odoo'!J2660="","",'Ordenes_Odoo'!J2660)</f>
        <v/>
      </c>
      <c r="K2660" s="81">
        <f>IF('Ordenes_Odoo'!K2660="","",'Ordenes_Odoo'!K2660)</f>
        <v/>
      </c>
      <c r="L2660" s="81">
        <f>IF('Ordenes_Odoo'!L2660="","",'Ordenes_Odoo'!L2660)</f>
        <v/>
      </c>
      <c r="M2660" s="79">
        <f>IF('Ordenes_Odoo'!M2660="","",'Ordenes_Odoo'!M2660)</f>
        <v/>
      </c>
      <c r="N2660" s="79">
        <f>IF('Ordenes_Odoo'!N2660="","",'Ordenes_Odoo'!N2660)</f>
        <v/>
      </c>
      <c r="O2660" s="81">
        <f>IF('Ordenes_Odoo'!O2660="","",'Ordenes_Odoo'!O2660)</f>
        <v/>
      </c>
      <c r="P2660" s="81">
        <f>IF('Ordenes_Odoo'!P2660="","",'Ordenes_Odoo'!P2660)</f>
        <v/>
      </c>
      <c r="Q2660" s="79">
        <f>IF(A2660="","",IFERROR(INDEX(Facturas_Odoo!$B:$B, MATCH(A2660, Facturas_Odoo!$D:$D, 0)), "Sin Factura"))</f>
        <v/>
      </c>
      <c r="R2660" s="80">
        <f>IF(Q2660="Sin Factura","",IFERROR(INDEX(Facturas_Odoo!$A:$A, MATCH(Q2660, Facturas_Odoo!$B:$B, 0)), ""))</f>
        <v/>
      </c>
      <c r="S2660" s="79">
        <f>IF(Q2660="Sin Factura","",IFERROR(_xlfn.XLOOKUP(1, (Facturas_Odoo!$D:$D=A2660) * (Facturas_Odoo!$K:$K=I2660), Facturas_Odoo!$L:$L, ""), ""))</f>
        <v/>
      </c>
      <c r="T2660" s="81">
        <f>IF(Q2660="Sin Factura",0,IFERROR(_xlfn.XLOOKUP(1, (Facturas_Odoo!$D:$D=A2660) * (Facturas_Odoo!$K:$K=I2660), Facturas_Odoo!$M:$M, 0), 0))</f>
        <v/>
      </c>
      <c r="U2660" s="79">
        <f>IF(Q2660="Sin Factura",0,IFERROR(_xlfn.XLOOKUP(1, (Facturas_Odoo!$D:$D=A2660) * (Facturas_Odoo!$K:$K=I2660), Facturas_Odoo!$N:$N, 0), 0))</f>
        <v/>
      </c>
      <c r="V2660" s="79">
        <f>IF(Q2660="Sin Factura",0,IFERROR(_xlfn.XLOOKUP(1, (Facturas_Odoo!$D:$D=A2660) * (Facturas_Odoo!$K:$K=I2660), Facturas_Odoo!$O:$O, 0), 0))</f>
        <v/>
      </c>
      <c r="W2660" s="81">
        <f>IF(Q2660="Sin Factura",0,IFERROR(_xlfn.XLOOKUP(1, (Facturas_Odoo!$D:$D=A2660) * (Facturas_Odoo!$K:$K=I2660), Facturas_Odoo!$Q:$Q, 0), 0))</f>
        <v/>
      </c>
      <c r="X2660" s="79">
        <f>IF(OR(Q2660="Sin Factura",Q2660=""),"",IFERROR(INDEX(Pagos_Odoo!$B:$B, MATCH(Q2660, Pagos_Odoo!$I:$I, 0)), "Sin Pago"))</f>
        <v/>
      </c>
      <c r="Y2660" s="79">
        <f>IF(X2660="Sin Pago","",IFERROR(INDEX(Pagos_Odoo!$C:$C, MATCH(X2660, Pagos_Odoo!$B:$B, 0)), ""))</f>
        <v/>
      </c>
      <c r="Z2660" s="80">
        <f>IF(X2660="Sin Pago","",IFERROR(INDEX(Pagos_Odoo!$A:$A, MATCH(X2660, Pagos_Odoo!$B:$B, 0)), ""))</f>
        <v/>
      </c>
      <c r="AA2660" s="79">
        <f>IF(X2660="Sin Pago","",IFERROR(INDEX(Pagos_Odoo!$F:$F, MATCH(X2660, Pagos_Odoo!$B:$B, 0)), ""))</f>
        <v/>
      </c>
      <c r="AB2660" s="81">
        <f>IF(X2660="Sin Pago",0,IFERROR(INDEX(Pagos_Odoo!$E:$E, MATCH(X2660, Pagos_Odoo!$B:$B, 0)), 0))</f>
        <v/>
      </c>
      <c r="AC2660" s="79">
        <f>IF(X2660="Sin Pago","",IFERROR(INDEX(Pagos_Odoo!$G:$G, MATCH(X2660, Pagos_Odoo!$B:$B, 0)), ""))</f>
        <v/>
      </c>
      <c r="AD2660" s="82" t="n">
        <v>0</v>
      </c>
      <c r="AE2660" s="82" t="n"/>
      <c r="AF2660" s="82" t="n"/>
      <c r="AG2660" s="82">
        <f>IF(AN2660="","",AD2660+AE2660+AF2660)</f>
        <v/>
      </c>
      <c r="AH2660" s="81">
        <f>IF(AN2660="","",P2660*(1-AG2660))</f>
        <v/>
      </c>
      <c r="AI2660" s="81">
        <f>IF(AN2660="","",IF(Q2660="Sin Factura",0,IFERROR(INDEX(Facturas_Odoo!$H:$H, MATCH(Q2660, Facturas_Odoo!$B:$B, 0)), 0)*(1-AG2660)))</f>
        <v/>
      </c>
      <c r="AJ2660" s="81">
        <f>IF(AN2660="","",_xlfn.LET(idVenta, AN2660&amp;"",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60" s="81">
        <f>IF(AN2660="","",AH2660-AJ2660)</f>
        <v/>
      </c>
      <c r="AL2660" s="81">
        <f>IF(AN2660="","",IF(Q2660="Sin Factura","",AI2660-AJ2660))</f>
        <v/>
      </c>
      <c r="AM2660" s="81">
        <f>IF(AN2660="","",IF(Q2660="Sin Factura",0,P2660-IFERROR(INDEX(Facturas_Odoo!$H:$H, MATCH(Q2660, Facturas_Odoo!$B:$B, 0)), 0)))</f>
        <v/>
      </c>
      <c r="AN2660" s="79">
        <f>IF(AND(A2660="", J2660=""), "", IF(A2660&lt;&gt;"", VALUE(MID(A2660,2,LEN(A2660))), AN2659))</f>
        <v/>
      </c>
      <c r="AO2660" s="79">
        <f>IF(AN2660="","",IF(AD2660=0,"OK",_xlfn.LET(monedaPago, IF(AA2660="","USD",AA2660), limitePermitido, IFERROR(VLOOKUP(monedaPago, Configuración!$A$2:$B$3, 2, FALSE), 0.15), IF(AD2660&gt;limitePermitido, "ALERTA: EXCESO (" &amp; TEXT(limitePermitido, "0%") &amp; " máx)", "OK"))))</f>
        <v/>
      </c>
      <c r="AP2660" s="79">
        <f>IF(AN2660="","",IF(AE2660=0,"OK",_xlfn.LET(fechaPago, Z2660, fechaFactura, R2660, diasCredito, IF(E2660="Pago inmediato", 0, IFERROR(VALUE(MID(E2660, 1, SEARCH(" ", E2660)-1)),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60" s="79">
        <f>IF(AN2660="","",IF(AND(N2660&gt;0, AG2660&gt;0), IF(Configuración!$K$2="NO", "ALERTA: DESCUENTO DOBLE NO PERMITIDO", "OK"), "OK"))</f>
        <v/>
      </c>
      <c r="AR2660" s="79">
        <f>IF(AN2660="","",IF(OR(AO2660&lt;&gt;"OK", AP2660&lt;&gt;"OK", AQ2660&lt;&gt;"OK"), "⚠️ REVISAR", "OK"))</f>
        <v/>
      </c>
    </row>
    <row r="2661">
      <c r="A2661" s="79">
        <f>IF('Ordenes_Odoo'!A2661="","",'Ordenes_Odoo'!A2661)</f>
        <v/>
      </c>
      <c r="B2661" s="80">
        <f>IF('Ordenes_Odoo'!B2661="","",'Ordenes_Odoo'!B2661)</f>
        <v/>
      </c>
      <c r="C2661" s="79">
        <f>IF('Ordenes_Odoo'!C2661="","",'Ordenes_Odoo'!C2661)</f>
        <v/>
      </c>
      <c r="D2661" s="79">
        <f>IF('Ordenes_Odoo'!D2661="","",'Ordenes_Odoo'!D2661)</f>
        <v/>
      </c>
      <c r="E2661" s="79">
        <f>IF('Ordenes_Odoo'!E2661="","",'Ordenes_Odoo'!E2661)</f>
        <v/>
      </c>
      <c r="F2661" s="79">
        <f>IF('Ordenes_Odoo'!F2661="","",'Ordenes_Odoo'!F2661)</f>
        <v/>
      </c>
      <c r="G2661" s="79">
        <f>IF('Ordenes_Odoo'!G2661="","",'Ordenes_Odoo'!G2661)</f>
        <v/>
      </c>
      <c r="H2661" s="79">
        <f>IF('Ordenes_Odoo'!H2661="","",'Ordenes_Odoo'!H2661)</f>
        <v/>
      </c>
      <c r="I2661" s="79">
        <f>IF('Ordenes_Odoo'!I2661="","",'Ordenes_Odoo'!I2661)</f>
        <v/>
      </c>
      <c r="J2661" s="79">
        <f>IF('Ordenes_Odoo'!J2661="","",'Ordenes_Odoo'!J2661)</f>
        <v/>
      </c>
      <c r="K2661" s="81">
        <f>IF('Ordenes_Odoo'!K2661="","",'Ordenes_Odoo'!K2661)</f>
        <v/>
      </c>
      <c r="L2661" s="81">
        <f>IF('Ordenes_Odoo'!L2661="","",'Ordenes_Odoo'!L2661)</f>
        <v/>
      </c>
      <c r="M2661" s="79">
        <f>IF('Ordenes_Odoo'!M2661="","",'Ordenes_Odoo'!M2661)</f>
        <v/>
      </c>
      <c r="N2661" s="79">
        <f>IF('Ordenes_Odoo'!N2661="","",'Ordenes_Odoo'!N2661)</f>
        <v/>
      </c>
      <c r="O2661" s="81">
        <f>IF('Ordenes_Odoo'!O2661="","",'Ordenes_Odoo'!O2661)</f>
        <v/>
      </c>
      <c r="P2661" s="81">
        <f>IF('Ordenes_Odoo'!P2661="","",'Ordenes_Odoo'!P2661)</f>
        <v/>
      </c>
      <c r="Q2661" s="79">
        <f>IF(A2661="","",IFERROR(INDEX(Facturas_Odoo!$B:$B, MATCH(A2661, Facturas_Odoo!$D:$D, 0)), "Sin Factura"))</f>
        <v/>
      </c>
      <c r="R2661" s="80">
        <f>IF(Q2661="Sin Factura","",IFERROR(INDEX(Facturas_Odoo!$A:$A, MATCH(Q2661, Facturas_Odoo!$B:$B, 0)), ""))</f>
        <v/>
      </c>
      <c r="S2661" s="79">
        <f>IF(Q2661="Sin Factura","",IFERROR(_xlfn.XLOOKUP(1, (Facturas_Odoo!$D:$D=A2661) * (Facturas_Odoo!$K:$K=I2661), Facturas_Odoo!$L:$L, ""), ""))</f>
        <v/>
      </c>
      <c r="T2661" s="81">
        <f>IF(Q2661="Sin Factura",0,IFERROR(_xlfn.XLOOKUP(1, (Facturas_Odoo!$D:$D=A2661) * (Facturas_Odoo!$K:$K=I2661), Facturas_Odoo!$M:$M, 0), 0))</f>
        <v/>
      </c>
      <c r="U2661" s="79">
        <f>IF(Q2661="Sin Factura",0,IFERROR(_xlfn.XLOOKUP(1, (Facturas_Odoo!$D:$D=A2661) * (Facturas_Odoo!$K:$K=I2661), Facturas_Odoo!$N:$N, 0), 0))</f>
        <v/>
      </c>
      <c r="V2661" s="79">
        <f>IF(Q2661="Sin Factura",0,IFERROR(_xlfn.XLOOKUP(1, (Facturas_Odoo!$D:$D=A2661) * (Facturas_Odoo!$K:$K=I2661), Facturas_Odoo!$O:$O, 0), 0))</f>
        <v/>
      </c>
      <c r="W2661" s="81">
        <f>IF(Q2661="Sin Factura",0,IFERROR(_xlfn.XLOOKUP(1, (Facturas_Odoo!$D:$D=A2661) * (Facturas_Odoo!$K:$K=I2661), Facturas_Odoo!$Q:$Q, 0), 0))</f>
        <v/>
      </c>
      <c r="X2661" s="79">
        <f>IF(OR(Q2661="Sin Factura",Q2661=""),"",IFERROR(INDEX(Pagos_Odoo!$B:$B, MATCH(Q2661, Pagos_Odoo!$I:$I, 0)), "Sin Pago"))</f>
        <v/>
      </c>
      <c r="Y2661" s="79">
        <f>IF(X2661="Sin Pago","",IFERROR(INDEX(Pagos_Odoo!$C:$C, MATCH(X2661, Pagos_Odoo!$B:$B, 0)), ""))</f>
        <v/>
      </c>
      <c r="Z2661" s="80">
        <f>IF(X2661="Sin Pago","",IFERROR(INDEX(Pagos_Odoo!$A:$A, MATCH(X2661, Pagos_Odoo!$B:$B, 0)), ""))</f>
        <v/>
      </c>
      <c r="AA2661" s="79">
        <f>IF(X2661="Sin Pago","",IFERROR(INDEX(Pagos_Odoo!$F:$F, MATCH(X2661, Pagos_Odoo!$B:$B, 0)), ""))</f>
        <v/>
      </c>
      <c r="AB2661" s="81">
        <f>IF(X2661="Sin Pago",0,IFERROR(INDEX(Pagos_Odoo!$E:$E, MATCH(X2661, Pagos_Odoo!$B:$B, 0)), 0))</f>
        <v/>
      </c>
      <c r="AC2661" s="79">
        <f>IF(X2661="Sin Pago","",IFERROR(INDEX(Pagos_Odoo!$G:$G, MATCH(X2661, Pagos_Odoo!$B:$B, 0)), ""))</f>
        <v/>
      </c>
      <c r="AD2661" s="82" t="n">
        <v>0</v>
      </c>
      <c r="AE2661" s="82" t="n"/>
      <c r="AF2661" s="82" t="n"/>
      <c r="AG2661" s="82">
        <f>IF(AN2661="","",AD2661+AE2661+AF2661)</f>
        <v/>
      </c>
      <c r="AH2661" s="81">
        <f>IF(AN2661="","",P2661*(1-AG2661))</f>
        <v/>
      </c>
      <c r="AI2661" s="81">
        <f>IF(AN2661="","",IF(Q2661="Sin Factura",0,IFERROR(INDEX(Facturas_Odoo!$H:$H, MATCH(Q2661, Facturas_Odoo!$B:$B, 0)), 0)*(1-AG2661)))</f>
        <v/>
      </c>
      <c r="AJ2661" s="81">
        <f>IF(AN2661="","",_xlfn.LET(idVenta, AN2661&amp;"",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61" s="81">
        <f>IF(AN2661="","",AH2661-AJ2661)</f>
        <v/>
      </c>
      <c r="AL2661" s="81">
        <f>IF(AN2661="","",IF(Q2661="Sin Factura","",AI2661-AJ2661))</f>
        <v/>
      </c>
      <c r="AM2661" s="81">
        <f>IF(AN2661="","",IF(Q2661="Sin Factura",0,P2661-IFERROR(INDEX(Facturas_Odoo!$H:$H, MATCH(Q2661, Facturas_Odoo!$B:$B, 0)), 0)))</f>
        <v/>
      </c>
      <c r="AN2661" s="79">
        <f>IF(AND(A2661="", J2661=""), "", IF(A2661&lt;&gt;"", VALUE(MID(A2661,2,LEN(A2661))), AN2660))</f>
        <v/>
      </c>
      <c r="AO2661" s="79">
        <f>IF(AN2661="","",IF(AD2661=0,"OK",_xlfn.LET(monedaPago, IF(AA2661="","USD",AA2661), limitePermitido, IFERROR(VLOOKUP(monedaPago, Configuración!$A$2:$B$3, 2, FALSE), 0.15), IF(AD2661&gt;limitePermitido, "ALERTA: EXCESO (" &amp; TEXT(limitePermitido, "0%") &amp; " máx)", "OK"))))</f>
        <v/>
      </c>
      <c r="AP2661" s="79">
        <f>IF(AN2661="","",IF(AE2661=0,"OK",_xlfn.LET(fechaPago, Z2661, fechaFactura, R2661, diasCredito, IF(E2661="Pago inmediato", 0, IFERROR(VALUE(MID(E2661, 1, SEARCH(" ", E2661)-1)),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61" s="79">
        <f>IF(AN2661="","",IF(AND(N2661&gt;0, AG2661&gt;0), IF(Configuración!$K$2="NO", "ALERTA: DESCUENTO DOBLE NO PERMITIDO", "OK"), "OK"))</f>
        <v/>
      </c>
      <c r="AR2661" s="79">
        <f>IF(AN2661="","",IF(OR(AO2661&lt;&gt;"OK", AP2661&lt;&gt;"OK", AQ2661&lt;&gt;"OK"), "⚠️ REVISAR", "OK"))</f>
        <v/>
      </c>
    </row>
    <row r="2662">
      <c r="A2662" s="79">
        <f>IF('Ordenes_Odoo'!A2662="","",'Ordenes_Odoo'!A2662)</f>
        <v/>
      </c>
      <c r="B2662" s="80">
        <f>IF('Ordenes_Odoo'!B2662="","",'Ordenes_Odoo'!B2662)</f>
        <v/>
      </c>
      <c r="C2662" s="79">
        <f>IF('Ordenes_Odoo'!C2662="","",'Ordenes_Odoo'!C2662)</f>
        <v/>
      </c>
      <c r="D2662" s="79">
        <f>IF('Ordenes_Odoo'!D2662="","",'Ordenes_Odoo'!D2662)</f>
        <v/>
      </c>
      <c r="E2662" s="79">
        <f>IF('Ordenes_Odoo'!E2662="","",'Ordenes_Odoo'!E2662)</f>
        <v/>
      </c>
      <c r="F2662" s="79">
        <f>IF('Ordenes_Odoo'!F2662="","",'Ordenes_Odoo'!F2662)</f>
        <v/>
      </c>
      <c r="G2662" s="79">
        <f>IF('Ordenes_Odoo'!G2662="","",'Ordenes_Odoo'!G2662)</f>
        <v/>
      </c>
      <c r="H2662" s="79">
        <f>IF('Ordenes_Odoo'!H2662="","",'Ordenes_Odoo'!H2662)</f>
        <v/>
      </c>
      <c r="I2662" s="79">
        <f>IF('Ordenes_Odoo'!I2662="","",'Ordenes_Odoo'!I2662)</f>
        <v/>
      </c>
      <c r="J2662" s="79">
        <f>IF('Ordenes_Odoo'!J2662="","",'Ordenes_Odoo'!J2662)</f>
        <v/>
      </c>
      <c r="K2662" s="81">
        <f>IF('Ordenes_Odoo'!K2662="","",'Ordenes_Odoo'!K2662)</f>
        <v/>
      </c>
      <c r="L2662" s="81">
        <f>IF('Ordenes_Odoo'!L2662="","",'Ordenes_Odoo'!L2662)</f>
        <v/>
      </c>
      <c r="M2662" s="79">
        <f>IF('Ordenes_Odoo'!M2662="","",'Ordenes_Odoo'!M2662)</f>
        <v/>
      </c>
      <c r="N2662" s="79">
        <f>IF('Ordenes_Odoo'!N2662="","",'Ordenes_Odoo'!N2662)</f>
        <v/>
      </c>
      <c r="O2662" s="81">
        <f>IF('Ordenes_Odoo'!O2662="","",'Ordenes_Odoo'!O2662)</f>
        <v/>
      </c>
      <c r="P2662" s="81">
        <f>IF('Ordenes_Odoo'!P2662="","",'Ordenes_Odoo'!P2662)</f>
        <v/>
      </c>
      <c r="Q2662" s="79">
        <f>IF(A2662="","",IFERROR(INDEX(Facturas_Odoo!$B:$B, MATCH(A2662, Facturas_Odoo!$D:$D, 0)), "Sin Factura"))</f>
        <v/>
      </c>
      <c r="R2662" s="80">
        <f>IF(Q2662="Sin Factura","",IFERROR(INDEX(Facturas_Odoo!$A:$A, MATCH(Q2662, Facturas_Odoo!$B:$B, 0)), ""))</f>
        <v/>
      </c>
      <c r="S2662" s="79">
        <f>IF(Q2662="Sin Factura","",IFERROR(_xlfn.XLOOKUP(1, (Facturas_Odoo!$D:$D=A2662) * (Facturas_Odoo!$K:$K=I2662), Facturas_Odoo!$L:$L, ""), ""))</f>
        <v/>
      </c>
      <c r="T2662" s="81">
        <f>IF(Q2662="Sin Factura",0,IFERROR(_xlfn.XLOOKUP(1, (Facturas_Odoo!$D:$D=A2662) * (Facturas_Odoo!$K:$K=I2662), Facturas_Odoo!$M:$M, 0), 0))</f>
        <v/>
      </c>
      <c r="U2662" s="79">
        <f>IF(Q2662="Sin Factura",0,IFERROR(_xlfn.XLOOKUP(1, (Facturas_Odoo!$D:$D=A2662) * (Facturas_Odoo!$K:$K=I2662), Facturas_Odoo!$N:$N, 0), 0))</f>
        <v/>
      </c>
      <c r="V2662" s="79">
        <f>IF(Q2662="Sin Factura",0,IFERROR(_xlfn.XLOOKUP(1, (Facturas_Odoo!$D:$D=A2662) * (Facturas_Odoo!$K:$K=I2662), Facturas_Odoo!$O:$O, 0), 0))</f>
        <v/>
      </c>
      <c r="W2662" s="81">
        <f>IF(Q2662="Sin Factura",0,IFERROR(_xlfn.XLOOKUP(1, (Facturas_Odoo!$D:$D=A2662) * (Facturas_Odoo!$K:$K=I2662), Facturas_Odoo!$Q:$Q, 0), 0))</f>
        <v/>
      </c>
      <c r="X2662" s="79">
        <f>IF(OR(Q2662="Sin Factura",Q2662=""),"",IFERROR(INDEX(Pagos_Odoo!$B:$B, MATCH(Q2662, Pagos_Odoo!$I:$I, 0)), "Sin Pago"))</f>
        <v/>
      </c>
      <c r="Y2662" s="79">
        <f>IF(X2662="Sin Pago","",IFERROR(INDEX(Pagos_Odoo!$C:$C, MATCH(X2662, Pagos_Odoo!$B:$B, 0)), ""))</f>
        <v/>
      </c>
      <c r="Z2662" s="80">
        <f>IF(X2662="Sin Pago","",IFERROR(INDEX(Pagos_Odoo!$A:$A, MATCH(X2662, Pagos_Odoo!$B:$B, 0)), ""))</f>
        <v/>
      </c>
      <c r="AA2662" s="79">
        <f>IF(X2662="Sin Pago","",IFERROR(INDEX(Pagos_Odoo!$F:$F, MATCH(X2662, Pagos_Odoo!$B:$B, 0)), ""))</f>
        <v/>
      </c>
      <c r="AB2662" s="81">
        <f>IF(X2662="Sin Pago",0,IFERROR(INDEX(Pagos_Odoo!$E:$E, MATCH(X2662, Pagos_Odoo!$B:$B, 0)), 0))</f>
        <v/>
      </c>
      <c r="AC2662" s="79">
        <f>IF(X2662="Sin Pago","",IFERROR(INDEX(Pagos_Odoo!$G:$G, MATCH(X2662, Pagos_Odoo!$B:$B, 0)), ""))</f>
        <v/>
      </c>
      <c r="AD2662" s="82" t="n">
        <v>0</v>
      </c>
      <c r="AE2662" s="82" t="n"/>
      <c r="AF2662" s="82" t="n"/>
      <c r="AG2662" s="82">
        <f>IF(AN2662="","",AD2662+AE2662+AF2662)</f>
        <v/>
      </c>
      <c r="AH2662" s="81">
        <f>IF(AN2662="","",P2662*(1-AG2662))</f>
        <v/>
      </c>
      <c r="AI2662" s="81">
        <f>IF(AN2662="","",IF(Q2662="Sin Factura",0,IFERROR(INDEX(Facturas_Odoo!$H:$H, MATCH(Q2662, Facturas_Odoo!$B:$B, 0)), 0)*(1-AG2662)))</f>
        <v/>
      </c>
      <c r="AJ2662" s="81">
        <f>IF(AN2662="","",_xlfn.LET(idVenta, AN2662&amp;"",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62" s="81">
        <f>IF(AN2662="","",AH2662-AJ2662)</f>
        <v/>
      </c>
      <c r="AL2662" s="81">
        <f>IF(AN2662="","",IF(Q2662="Sin Factura","",AI2662-AJ2662))</f>
        <v/>
      </c>
      <c r="AM2662" s="81">
        <f>IF(AN2662="","",IF(Q2662="Sin Factura",0,P2662-IFERROR(INDEX(Facturas_Odoo!$H:$H, MATCH(Q2662, Facturas_Odoo!$B:$B, 0)), 0)))</f>
        <v/>
      </c>
      <c r="AN2662" s="79">
        <f>IF(AND(A2662="", J2662=""), "", IF(A2662&lt;&gt;"", VALUE(MID(A2662,2,LEN(A2662))), AN2661))</f>
        <v/>
      </c>
      <c r="AO2662" s="79">
        <f>IF(AN2662="","",IF(AD2662=0,"OK",_xlfn.LET(monedaPago, IF(AA2662="","USD",AA2662), limitePermitido, IFERROR(VLOOKUP(monedaPago, Configuración!$A$2:$B$3, 2, FALSE), 0.15), IF(AD2662&gt;limitePermitido, "ALERTA: EXCESO (" &amp; TEXT(limitePermitido, "0%") &amp; " máx)", "OK"))))</f>
        <v/>
      </c>
      <c r="AP2662" s="79">
        <f>IF(AN2662="","",IF(AE2662=0,"OK",_xlfn.LET(fechaPago, Z2662, fechaFactura, R2662, diasCredito, IF(E2662="Pago inmediato", 0, IFERROR(VALUE(MID(E2662, 1, SEARCH(" ", E2662)-1)),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62" s="79">
        <f>IF(AN2662="","",IF(AND(N2662&gt;0, AG2662&gt;0), IF(Configuración!$K$2="NO", "ALERTA: DESCUENTO DOBLE NO PERMITIDO", "OK"), "OK"))</f>
        <v/>
      </c>
      <c r="AR2662" s="79">
        <f>IF(AN2662="","",IF(OR(AO2662&lt;&gt;"OK", AP2662&lt;&gt;"OK", AQ2662&lt;&gt;"OK"), "⚠️ REVISAR", "OK"))</f>
        <v/>
      </c>
    </row>
    <row r="2663">
      <c r="A2663" s="79">
        <f>IF('Ordenes_Odoo'!A2663="","",'Ordenes_Odoo'!A2663)</f>
        <v/>
      </c>
      <c r="B2663" s="80">
        <f>IF('Ordenes_Odoo'!B2663="","",'Ordenes_Odoo'!B2663)</f>
        <v/>
      </c>
      <c r="C2663" s="79">
        <f>IF('Ordenes_Odoo'!C2663="","",'Ordenes_Odoo'!C2663)</f>
        <v/>
      </c>
      <c r="D2663" s="79">
        <f>IF('Ordenes_Odoo'!D2663="","",'Ordenes_Odoo'!D2663)</f>
        <v/>
      </c>
      <c r="E2663" s="79">
        <f>IF('Ordenes_Odoo'!E2663="","",'Ordenes_Odoo'!E2663)</f>
        <v/>
      </c>
      <c r="F2663" s="79">
        <f>IF('Ordenes_Odoo'!F2663="","",'Ordenes_Odoo'!F2663)</f>
        <v/>
      </c>
      <c r="G2663" s="79">
        <f>IF('Ordenes_Odoo'!G2663="","",'Ordenes_Odoo'!G2663)</f>
        <v/>
      </c>
      <c r="H2663" s="79">
        <f>IF('Ordenes_Odoo'!H2663="","",'Ordenes_Odoo'!H2663)</f>
        <v/>
      </c>
      <c r="I2663" s="79">
        <f>IF('Ordenes_Odoo'!I2663="","",'Ordenes_Odoo'!I2663)</f>
        <v/>
      </c>
      <c r="J2663" s="79">
        <f>IF('Ordenes_Odoo'!J2663="","",'Ordenes_Odoo'!J2663)</f>
        <v/>
      </c>
      <c r="K2663" s="81">
        <f>IF('Ordenes_Odoo'!K2663="","",'Ordenes_Odoo'!K2663)</f>
        <v/>
      </c>
      <c r="L2663" s="81">
        <f>IF('Ordenes_Odoo'!L2663="","",'Ordenes_Odoo'!L2663)</f>
        <v/>
      </c>
      <c r="M2663" s="79">
        <f>IF('Ordenes_Odoo'!M2663="","",'Ordenes_Odoo'!M2663)</f>
        <v/>
      </c>
      <c r="N2663" s="79">
        <f>IF('Ordenes_Odoo'!N2663="","",'Ordenes_Odoo'!N2663)</f>
        <v/>
      </c>
      <c r="O2663" s="81">
        <f>IF('Ordenes_Odoo'!O2663="","",'Ordenes_Odoo'!O2663)</f>
        <v/>
      </c>
      <c r="P2663" s="81">
        <f>IF('Ordenes_Odoo'!P2663="","",'Ordenes_Odoo'!P2663)</f>
        <v/>
      </c>
      <c r="Q2663" s="79">
        <f>IF(A2663="","",IFERROR(INDEX(Facturas_Odoo!$B:$B, MATCH(A2663, Facturas_Odoo!$D:$D, 0)), "Sin Factura"))</f>
        <v/>
      </c>
      <c r="R2663" s="80">
        <f>IF(Q2663="Sin Factura","",IFERROR(INDEX(Facturas_Odoo!$A:$A, MATCH(Q2663, Facturas_Odoo!$B:$B, 0)), ""))</f>
        <v/>
      </c>
      <c r="S2663" s="79">
        <f>IF(Q2663="Sin Factura","",IFERROR(_xlfn.XLOOKUP(1, (Facturas_Odoo!$D:$D=A2663) * (Facturas_Odoo!$K:$K=I2663), Facturas_Odoo!$L:$L, ""), ""))</f>
        <v/>
      </c>
      <c r="T2663" s="81">
        <f>IF(Q2663="Sin Factura",0,IFERROR(_xlfn.XLOOKUP(1, (Facturas_Odoo!$D:$D=A2663) * (Facturas_Odoo!$K:$K=I2663), Facturas_Odoo!$M:$M, 0), 0))</f>
        <v/>
      </c>
      <c r="U2663" s="79">
        <f>IF(Q2663="Sin Factura",0,IFERROR(_xlfn.XLOOKUP(1, (Facturas_Odoo!$D:$D=A2663) * (Facturas_Odoo!$K:$K=I2663), Facturas_Odoo!$N:$N, 0), 0))</f>
        <v/>
      </c>
      <c r="V2663" s="79">
        <f>IF(Q2663="Sin Factura",0,IFERROR(_xlfn.XLOOKUP(1, (Facturas_Odoo!$D:$D=A2663) * (Facturas_Odoo!$K:$K=I2663), Facturas_Odoo!$O:$O, 0), 0))</f>
        <v/>
      </c>
      <c r="W2663" s="81">
        <f>IF(Q2663="Sin Factura",0,IFERROR(_xlfn.XLOOKUP(1, (Facturas_Odoo!$D:$D=A2663) * (Facturas_Odoo!$K:$K=I2663), Facturas_Odoo!$Q:$Q, 0), 0))</f>
        <v/>
      </c>
      <c r="X2663" s="79">
        <f>IF(OR(Q2663="Sin Factura",Q2663=""),"",IFERROR(INDEX(Pagos_Odoo!$B:$B, MATCH(Q2663, Pagos_Odoo!$I:$I, 0)), "Sin Pago"))</f>
        <v/>
      </c>
      <c r="Y2663" s="79">
        <f>IF(X2663="Sin Pago","",IFERROR(INDEX(Pagos_Odoo!$C:$C, MATCH(X2663, Pagos_Odoo!$B:$B, 0)), ""))</f>
        <v/>
      </c>
      <c r="Z2663" s="80">
        <f>IF(X2663="Sin Pago","",IFERROR(INDEX(Pagos_Odoo!$A:$A, MATCH(X2663, Pagos_Odoo!$B:$B, 0)), ""))</f>
        <v/>
      </c>
      <c r="AA2663" s="79">
        <f>IF(X2663="Sin Pago","",IFERROR(INDEX(Pagos_Odoo!$F:$F, MATCH(X2663, Pagos_Odoo!$B:$B, 0)), ""))</f>
        <v/>
      </c>
      <c r="AB2663" s="81">
        <f>IF(X2663="Sin Pago",0,IFERROR(INDEX(Pagos_Odoo!$E:$E, MATCH(X2663, Pagos_Odoo!$B:$B, 0)), 0))</f>
        <v/>
      </c>
      <c r="AC2663" s="79">
        <f>IF(X2663="Sin Pago","",IFERROR(INDEX(Pagos_Odoo!$G:$G, MATCH(X2663, Pagos_Odoo!$B:$B, 0)), ""))</f>
        <v/>
      </c>
      <c r="AD2663" s="82" t="n">
        <v>0</v>
      </c>
      <c r="AE2663" s="82" t="n"/>
      <c r="AF2663" s="82" t="n"/>
      <c r="AG2663" s="82">
        <f>IF(AN2663="","",AD2663+AE2663+AF2663)</f>
        <v/>
      </c>
      <c r="AH2663" s="81">
        <f>IF(AN2663="","",P2663*(1-AG2663))</f>
        <v/>
      </c>
      <c r="AI2663" s="81">
        <f>IF(AN2663="","",IF(Q2663="Sin Factura",0,IFERROR(INDEX(Facturas_Odoo!$H:$H, MATCH(Q2663, Facturas_Odoo!$B:$B, 0)), 0)*(1-AG2663)))</f>
        <v/>
      </c>
      <c r="AJ2663" s="81">
        <f>IF(AN2663="","",_xlfn.LET(idVenta, AN2663&amp;"",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63" s="81">
        <f>IF(AN2663="","",AH2663-AJ2663)</f>
        <v/>
      </c>
      <c r="AL2663" s="81">
        <f>IF(AN2663="","",IF(Q2663="Sin Factura","",AI2663-AJ2663))</f>
        <v/>
      </c>
      <c r="AM2663" s="81">
        <f>IF(AN2663="","",IF(Q2663="Sin Factura",0,P2663-IFERROR(INDEX(Facturas_Odoo!$H:$H, MATCH(Q2663, Facturas_Odoo!$B:$B, 0)), 0)))</f>
        <v/>
      </c>
      <c r="AN2663" s="79">
        <f>IF(AND(A2663="", J2663=""), "", IF(A2663&lt;&gt;"", VALUE(MID(A2663,2,LEN(A2663))), AN2662))</f>
        <v/>
      </c>
      <c r="AO2663" s="79">
        <f>IF(AN2663="","",IF(AD2663=0,"OK",_xlfn.LET(monedaPago, IF(AA2663="","USD",AA2663), limitePermitido, IFERROR(VLOOKUP(monedaPago, Configuración!$A$2:$B$3, 2, FALSE), 0.15), IF(AD2663&gt;limitePermitido, "ALERTA: EXCESO (" &amp; TEXT(limitePermitido, "0%") &amp; " máx)", "OK"))))</f>
        <v/>
      </c>
      <c r="AP2663" s="79">
        <f>IF(AN2663="","",IF(AE2663=0,"OK",_xlfn.LET(fechaPago, Z2663, fechaFactura, R2663, diasCredito, IF(E2663="Pago inmediato", 0, IFERROR(VALUE(MID(E2663, 1, SEARCH(" ", E2663)-1)),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63" s="79">
        <f>IF(AN2663="","",IF(AND(N2663&gt;0, AG2663&gt;0), IF(Configuración!$K$2="NO", "ALERTA: DESCUENTO DOBLE NO PERMITIDO", "OK"), "OK"))</f>
        <v/>
      </c>
      <c r="AR2663" s="79">
        <f>IF(AN2663="","",IF(OR(AO2663&lt;&gt;"OK", AP2663&lt;&gt;"OK", AQ2663&lt;&gt;"OK"), "⚠️ REVISAR", "OK"))</f>
        <v/>
      </c>
    </row>
    <row r="2664">
      <c r="A2664" s="79">
        <f>IF('Ordenes_Odoo'!A2664="","",'Ordenes_Odoo'!A2664)</f>
        <v/>
      </c>
      <c r="B2664" s="80">
        <f>IF('Ordenes_Odoo'!B2664="","",'Ordenes_Odoo'!B2664)</f>
        <v/>
      </c>
      <c r="C2664" s="79">
        <f>IF('Ordenes_Odoo'!C2664="","",'Ordenes_Odoo'!C2664)</f>
        <v/>
      </c>
      <c r="D2664" s="79">
        <f>IF('Ordenes_Odoo'!D2664="","",'Ordenes_Odoo'!D2664)</f>
        <v/>
      </c>
      <c r="E2664" s="79">
        <f>IF('Ordenes_Odoo'!E2664="","",'Ordenes_Odoo'!E2664)</f>
        <v/>
      </c>
      <c r="F2664" s="79">
        <f>IF('Ordenes_Odoo'!F2664="","",'Ordenes_Odoo'!F2664)</f>
        <v/>
      </c>
      <c r="G2664" s="79">
        <f>IF('Ordenes_Odoo'!G2664="","",'Ordenes_Odoo'!G2664)</f>
        <v/>
      </c>
      <c r="H2664" s="79">
        <f>IF('Ordenes_Odoo'!H2664="","",'Ordenes_Odoo'!H2664)</f>
        <v/>
      </c>
      <c r="I2664" s="79">
        <f>IF('Ordenes_Odoo'!I2664="","",'Ordenes_Odoo'!I2664)</f>
        <v/>
      </c>
      <c r="J2664" s="79">
        <f>IF('Ordenes_Odoo'!J2664="","",'Ordenes_Odoo'!J2664)</f>
        <v/>
      </c>
      <c r="K2664" s="81">
        <f>IF('Ordenes_Odoo'!K2664="","",'Ordenes_Odoo'!K2664)</f>
        <v/>
      </c>
      <c r="L2664" s="81">
        <f>IF('Ordenes_Odoo'!L2664="","",'Ordenes_Odoo'!L2664)</f>
        <v/>
      </c>
      <c r="M2664" s="79">
        <f>IF('Ordenes_Odoo'!M2664="","",'Ordenes_Odoo'!M2664)</f>
        <v/>
      </c>
      <c r="N2664" s="79">
        <f>IF('Ordenes_Odoo'!N2664="","",'Ordenes_Odoo'!N2664)</f>
        <v/>
      </c>
      <c r="O2664" s="81">
        <f>IF('Ordenes_Odoo'!O2664="","",'Ordenes_Odoo'!O2664)</f>
        <v/>
      </c>
      <c r="P2664" s="81">
        <f>IF('Ordenes_Odoo'!P2664="","",'Ordenes_Odoo'!P2664)</f>
        <v/>
      </c>
      <c r="Q2664" s="79">
        <f>IF(A2664="","",IFERROR(INDEX(Facturas_Odoo!$B:$B, MATCH(A2664, Facturas_Odoo!$D:$D, 0)), "Sin Factura"))</f>
        <v/>
      </c>
      <c r="R2664" s="80">
        <f>IF(Q2664="Sin Factura","",IFERROR(INDEX(Facturas_Odoo!$A:$A, MATCH(Q2664, Facturas_Odoo!$B:$B, 0)), ""))</f>
        <v/>
      </c>
      <c r="S2664" s="79">
        <f>IF(Q2664="Sin Factura","",IFERROR(_xlfn.XLOOKUP(1, (Facturas_Odoo!$D:$D=A2664) * (Facturas_Odoo!$K:$K=I2664), Facturas_Odoo!$L:$L, ""), ""))</f>
        <v/>
      </c>
      <c r="T2664" s="81">
        <f>IF(Q2664="Sin Factura",0,IFERROR(_xlfn.XLOOKUP(1, (Facturas_Odoo!$D:$D=A2664) * (Facturas_Odoo!$K:$K=I2664), Facturas_Odoo!$M:$M, 0), 0))</f>
        <v/>
      </c>
      <c r="U2664" s="79">
        <f>IF(Q2664="Sin Factura",0,IFERROR(_xlfn.XLOOKUP(1, (Facturas_Odoo!$D:$D=A2664) * (Facturas_Odoo!$K:$K=I2664), Facturas_Odoo!$N:$N, 0), 0))</f>
        <v/>
      </c>
      <c r="V2664" s="79">
        <f>IF(Q2664="Sin Factura",0,IFERROR(_xlfn.XLOOKUP(1, (Facturas_Odoo!$D:$D=A2664) * (Facturas_Odoo!$K:$K=I2664), Facturas_Odoo!$O:$O, 0), 0))</f>
        <v/>
      </c>
      <c r="W2664" s="81">
        <f>IF(Q2664="Sin Factura",0,IFERROR(_xlfn.XLOOKUP(1, (Facturas_Odoo!$D:$D=A2664) * (Facturas_Odoo!$K:$K=I2664), Facturas_Odoo!$Q:$Q, 0), 0))</f>
        <v/>
      </c>
      <c r="X2664" s="79">
        <f>IF(OR(Q2664="Sin Factura",Q2664=""),"",IFERROR(INDEX(Pagos_Odoo!$B:$B, MATCH(Q2664, Pagos_Odoo!$I:$I, 0)), "Sin Pago"))</f>
        <v/>
      </c>
      <c r="Y2664" s="79">
        <f>IF(X2664="Sin Pago","",IFERROR(INDEX(Pagos_Odoo!$C:$C, MATCH(X2664, Pagos_Odoo!$B:$B, 0)), ""))</f>
        <v/>
      </c>
      <c r="Z2664" s="80">
        <f>IF(X2664="Sin Pago","",IFERROR(INDEX(Pagos_Odoo!$A:$A, MATCH(X2664, Pagos_Odoo!$B:$B, 0)), ""))</f>
        <v/>
      </c>
      <c r="AA2664" s="79">
        <f>IF(X2664="Sin Pago","",IFERROR(INDEX(Pagos_Odoo!$F:$F, MATCH(X2664, Pagos_Odoo!$B:$B, 0)), ""))</f>
        <v/>
      </c>
      <c r="AB2664" s="81">
        <f>IF(X2664="Sin Pago",0,IFERROR(INDEX(Pagos_Odoo!$E:$E, MATCH(X2664, Pagos_Odoo!$B:$B, 0)), 0))</f>
        <v/>
      </c>
      <c r="AC2664" s="79">
        <f>IF(X2664="Sin Pago","",IFERROR(INDEX(Pagos_Odoo!$G:$G, MATCH(X2664, Pagos_Odoo!$B:$B, 0)), ""))</f>
        <v/>
      </c>
      <c r="AD2664" s="82" t="n">
        <v>0</v>
      </c>
      <c r="AE2664" s="82" t="n"/>
      <c r="AF2664" s="82" t="n"/>
      <c r="AG2664" s="82">
        <f>IF(AN2664="","",AD2664+AE2664+AF2664)</f>
        <v/>
      </c>
      <c r="AH2664" s="81">
        <f>IF(AN2664="","",P2664*(1-AG2664))</f>
        <v/>
      </c>
      <c r="AI2664" s="81">
        <f>IF(AN2664="","",IF(Q2664="Sin Factura",0,IFERROR(INDEX(Facturas_Odoo!$H:$H, MATCH(Q2664, Facturas_Odoo!$B:$B, 0)), 0)*(1-AG2664)))</f>
        <v/>
      </c>
      <c r="AJ2664" s="81">
        <f>IF(AN2664="","",_xlfn.LET(idVenta, AN2664&amp;"",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64" s="81">
        <f>IF(AN2664="","",AH2664-AJ2664)</f>
        <v/>
      </c>
      <c r="AL2664" s="81">
        <f>IF(AN2664="","",IF(Q2664="Sin Factura","",AI2664-AJ2664))</f>
        <v/>
      </c>
      <c r="AM2664" s="81">
        <f>IF(AN2664="","",IF(Q2664="Sin Factura",0,P2664-IFERROR(INDEX(Facturas_Odoo!$H:$H, MATCH(Q2664, Facturas_Odoo!$B:$B, 0)), 0)))</f>
        <v/>
      </c>
      <c r="AN2664" s="79">
        <f>IF(AND(A2664="", J2664=""), "", IF(A2664&lt;&gt;"", VALUE(MID(A2664,2,LEN(A2664))), AN2663))</f>
        <v/>
      </c>
      <c r="AO2664" s="79">
        <f>IF(AN2664="","",IF(AD2664=0,"OK",_xlfn.LET(monedaPago, IF(AA2664="","USD",AA2664), limitePermitido, IFERROR(VLOOKUP(monedaPago, Configuración!$A$2:$B$3, 2, FALSE), 0.15), IF(AD2664&gt;limitePermitido, "ALERTA: EXCESO (" &amp; TEXT(limitePermitido, "0%") &amp; " máx)", "OK"))))</f>
        <v/>
      </c>
      <c r="AP2664" s="79">
        <f>IF(AN2664="","",IF(AE2664=0,"OK",_xlfn.LET(fechaPago, Z2664, fechaFactura, R2664, diasCredito, IF(E2664="Pago inmediato", 0, IFERROR(VALUE(MID(E2664, 1, SEARCH(" ", E2664)-1)),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64" s="79">
        <f>IF(AN2664="","",IF(AND(N2664&gt;0, AG2664&gt;0), IF(Configuración!$K$2="NO", "ALERTA: DESCUENTO DOBLE NO PERMITIDO", "OK"), "OK"))</f>
        <v/>
      </c>
      <c r="AR2664" s="79">
        <f>IF(AN2664="","",IF(OR(AO2664&lt;&gt;"OK", AP2664&lt;&gt;"OK", AQ2664&lt;&gt;"OK"), "⚠️ REVISAR", "OK"))</f>
        <v/>
      </c>
    </row>
    <row r="2665">
      <c r="A2665" s="79">
        <f>IF('Ordenes_Odoo'!A2665="","",'Ordenes_Odoo'!A2665)</f>
        <v/>
      </c>
      <c r="B2665" s="80">
        <f>IF('Ordenes_Odoo'!B2665="","",'Ordenes_Odoo'!B2665)</f>
        <v/>
      </c>
      <c r="C2665" s="79">
        <f>IF('Ordenes_Odoo'!C2665="","",'Ordenes_Odoo'!C2665)</f>
        <v/>
      </c>
      <c r="D2665" s="79">
        <f>IF('Ordenes_Odoo'!D2665="","",'Ordenes_Odoo'!D2665)</f>
        <v/>
      </c>
      <c r="E2665" s="79">
        <f>IF('Ordenes_Odoo'!E2665="","",'Ordenes_Odoo'!E2665)</f>
        <v/>
      </c>
      <c r="F2665" s="79">
        <f>IF('Ordenes_Odoo'!F2665="","",'Ordenes_Odoo'!F2665)</f>
        <v/>
      </c>
      <c r="G2665" s="79">
        <f>IF('Ordenes_Odoo'!G2665="","",'Ordenes_Odoo'!G2665)</f>
        <v/>
      </c>
      <c r="H2665" s="79">
        <f>IF('Ordenes_Odoo'!H2665="","",'Ordenes_Odoo'!H2665)</f>
        <v/>
      </c>
      <c r="I2665" s="79">
        <f>IF('Ordenes_Odoo'!I2665="","",'Ordenes_Odoo'!I2665)</f>
        <v/>
      </c>
      <c r="J2665" s="79">
        <f>IF('Ordenes_Odoo'!J2665="","",'Ordenes_Odoo'!J2665)</f>
        <v/>
      </c>
      <c r="K2665" s="81">
        <f>IF('Ordenes_Odoo'!K2665="","",'Ordenes_Odoo'!K2665)</f>
        <v/>
      </c>
      <c r="L2665" s="81">
        <f>IF('Ordenes_Odoo'!L2665="","",'Ordenes_Odoo'!L2665)</f>
        <v/>
      </c>
      <c r="M2665" s="79">
        <f>IF('Ordenes_Odoo'!M2665="","",'Ordenes_Odoo'!M2665)</f>
        <v/>
      </c>
      <c r="N2665" s="79">
        <f>IF('Ordenes_Odoo'!N2665="","",'Ordenes_Odoo'!N2665)</f>
        <v/>
      </c>
      <c r="O2665" s="81">
        <f>IF('Ordenes_Odoo'!O2665="","",'Ordenes_Odoo'!O2665)</f>
        <v/>
      </c>
      <c r="P2665" s="81">
        <f>IF('Ordenes_Odoo'!P2665="","",'Ordenes_Odoo'!P2665)</f>
        <v/>
      </c>
      <c r="Q2665" s="79">
        <f>IF(A2665="","",IFERROR(INDEX(Facturas_Odoo!$B:$B, MATCH(A2665, Facturas_Odoo!$D:$D, 0)), "Sin Factura"))</f>
        <v/>
      </c>
      <c r="R2665" s="80">
        <f>IF(Q2665="Sin Factura","",IFERROR(INDEX(Facturas_Odoo!$A:$A, MATCH(Q2665, Facturas_Odoo!$B:$B, 0)), ""))</f>
        <v/>
      </c>
      <c r="S2665" s="79">
        <f>IF(Q2665="Sin Factura","",IFERROR(_xlfn.XLOOKUP(1, (Facturas_Odoo!$D:$D=A2665) * (Facturas_Odoo!$K:$K=I2665), Facturas_Odoo!$L:$L, ""), ""))</f>
        <v/>
      </c>
      <c r="T2665" s="81">
        <f>IF(Q2665="Sin Factura",0,IFERROR(_xlfn.XLOOKUP(1, (Facturas_Odoo!$D:$D=A2665) * (Facturas_Odoo!$K:$K=I2665), Facturas_Odoo!$M:$M, 0), 0))</f>
        <v/>
      </c>
      <c r="U2665" s="79">
        <f>IF(Q2665="Sin Factura",0,IFERROR(_xlfn.XLOOKUP(1, (Facturas_Odoo!$D:$D=A2665) * (Facturas_Odoo!$K:$K=I2665), Facturas_Odoo!$N:$N, 0), 0))</f>
        <v/>
      </c>
      <c r="V2665" s="79">
        <f>IF(Q2665="Sin Factura",0,IFERROR(_xlfn.XLOOKUP(1, (Facturas_Odoo!$D:$D=A2665) * (Facturas_Odoo!$K:$K=I2665), Facturas_Odoo!$O:$O, 0), 0))</f>
        <v/>
      </c>
      <c r="W2665" s="81">
        <f>IF(Q2665="Sin Factura",0,IFERROR(_xlfn.XLOOKUP(1, (Facturas_Odoo!$D:$D=A2665) * (Facturas_Odoo!$K:$K=I2665), Facturas_Odoo!$Q:$Q, 0), 0))</f>
        <v/>
      </c>
      <c r="X2665" s="79">
        <f>IF(OR(Q2665="Sin Factura",Q2665=""),"",IFERROR(INDEX(Pagos_Odoo!$B:$B, MATCH(Q2665, Pagos_Odoo!$I:$I, 0)), "Sin Pago"))</f>
        <v/>
      </c>
      <c r="Y2665" s="79">
        <f>IF(X2665="Sin Pago","",IFERROR(INDEX(Pagos_Odoo!$C:$C, MATCH(X2665, Pagos_Odoo!$B:$B, 0)), ""))</f>
        <v/>
      </c>
      <c r="Z2665" s="80">
        <f>IF(X2665="Sin Pago","",IFERROR(INDEX(Pagos_Odoo!$A:$A, MATCH(X2665, Pagos_Odoo!$B:$B, 0)), ""))</f>
        <v/>
      </c>
      <c r="AA2665" s="79">
        <f>IF(X2665="Sin Pago","",IFERROR(INDEX(Pagos_Odoo!$F:$F, MATCH(X2665, Pagos_Odoo!$B:$B, 0)), ""))</f>
        <v/>
      </c>
      <c r="AB2665" s="81">
        <f>IF(X2665="Sin Pago",0,IFERROR(INDEX(Pagos_Odoo!$E:$E, MATCH(X2665, Pagos_Odoo!$B:$B, 0)), 0))</f>
        <v/>
      </c>
      <c r="AC2665" s="79">
        <f>IF(X2665="Sin Pago","",IFERROR(INDEX(Pagos_Odoo!$G:$G, MATCH(X2665, Pagos_Odoo!$B:$B, 0)), ""))</f>
        <v/>
      </c>
      <c r="AD2665" s="82" t="n">
        <v>0</v>
      </c>
      <c r="AE2665" s="82" t="n"/>
      <c r="AF2665" s="82" t="n"/>
      <c r="AG2665" s="82">
        <f>IF(AN2665="","",AD2665+AE2665+AF2665)</f>
        <v/>
      </c>
      <c r="AH2665" s="81">
        <f>IF(AN2665="","",P2665*(1-AG2665))</f>
        <v/>
      </c>
      <c r="AI2665" s="81">
        <f>IF(AN2665="","",IF(Q2665="Sin Factura",0,IFERROR(INDEX(Facturas_Odoo!$H:$H, MATCH(Q2665, Facturas_Odoo!$B:$B, 0)), 0)*(1-AG2665)))</f>
        <v/>
      </c>
      <c r="AJ2665" s="81">
        <f>IF(AN2665="","",_xlfn.LET(idVenta, AN2665&amp;"",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65" s="81">
        <f>IF(AN2665="","",AH2665-AJ2665)</f>
        <v/>
      </c>
      <c r="AL2665" s="81">
        <f>IF(AN2665="","",IF(Q2665="Sin Factura","",AI2665-AJ2665))</f>
        <v/>
      </c>
      <c r="AM2665" s="81">
        <f>IF(AN2665="","",IF(Q2665="Sin Factura",0,P2665-IFERROR(INDEX(Facturas_Odoo!$H:$H, MATCH(Q2665, Facturas_Odoo!$B:$B, 0)), 0)))</f>
        <v/>
      </c>
      <c r="AN2665" s="79">
        <f>IF(AND(A2665="", J2665=""), "", IF(A2665&lt;&gt;"", VALUE(MID(A2665,2,LEN(A2665))), AN2664))</f>
        <v/>
      </c>
      <c r="AO2665" s="79">
        <f>IF(AN2665="","",IF(AD2665=0,"OK",_xlfn.LET(monedaPago, IF(AA2665="","USD",AA2665), limitePermitido, IFERROR(VLOOKUP(monedaPago, Configuración!$A$2:$B$3, 2, FALSE), 0.15), IF(AD2665&gt;limitePermitido, "ALERTA: EXCESO (" &amp; TEXT(limitePermitido, "0%") &amp; " máx)", "OK"))))</f>
        <v/>
      </c>
      <c r="AP2665" s="79">
        <f>IF(AN2665="","",IF(AE2665=0,"OK",_xlfn.LET(fechaPago, Z2665, fechaFactura, R2665, diasCredito, IF(E2665="Pago inmediato", 0, IFERROR(VALUE(MID(E2665, 1, SEARCH(" ", E2665)-1)),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65" s="79">
        <f>IF(AN2665="","",IF(AND(N2665&gt;0, AG2665&gt;0), IF(Configuración!$K$2="NO", "ALERTA: DESCUENTO DOBLE NO PERMITIDO", "OK"), "OK"))</f>
        <v/>
      </c>
      <c r="AR2665" s="79">
        <f>IF(AN2665="","",IF(OR(AO2665&lt;&gt;"OK", AP2665&lt;&gt;"OK", AQ2665&lt;&gt;"OK"), "⚠️ REVISAR", "OK"))</f>
        <v/>
      </c>
    </row>
    <row r="2666">
      <c r="A2666" s="79">
        <f>IF('Ordenes_Odoo'!A2666="","",'Ordenes_Odoo'!A2666)</f>
        <v/>
      </c>
      <c r="B2666" s="80">
        <f>IF('Ordenes_Odoo'!B2666="","",'Ordenes_Odoo'!B2666)</f>
        <v/>
      </c>
      <c r="C2666" s="79">
        <f>IF('Ordenes_Odoo'!C2666="","",'Ordenes_Odoo'!C2666)</f>
        <v/>
      </c>
      <c r="D2666" s="79">
        <f>IF('Ordenes_Odoo'!D2666="","",'Ordenes_Odoo'!D2666)</f>
        <v/>
      </c>
      <c r="E2666" s="79">
        <f>IF('Ordenes_Odoo'!E2666="","",'Ordenes_Odoo'!E2666)</f>
        <v/>
      </c>
      <c r="F2666" s="79">
        <f>IF('Ordenes_Odoo'!F2666="","",'Ordenes_Odoo'!F2666)</f>
        <v/>
      </c>
      <c r="G2666" s="79">
        <f>IF('Ordenes_Odoo'!G2666="","",'Ordenes_Odoo'!G2666)</f>
        <v/>
      </c>
      <c r="H2666" s="79">
        <f>IF('Ordenes_Odoo'!H2666="","",'Ordenes_Odoo'!H2666)</f>
        <v/>
      </c>
      <c r="I2666" s="79">
        <f>IF('Ordenes_Odoo'!I2666="","",'Ordenes_Odoo'!I2666)</f>
        <v/>
      </c>
      <c r="J2666" s="79">
        <f>IF('Ordenes_Odoo'!J2666="","",'Ordenes_Odoo'!J2666)</f>
        <v/>
      </c>
      <c r="K2666" s="81">
        <f>IF('Ordenes_Odoo'!K2666="","",'Ordenes_Odoo'!K2666)</f>
        <v/>
      </c>
      <c r="L2666" s="81">
        <f>IF('Ordenes_Odoo'!L2666="","",'Ordenes_Odoo'!L2666)</f>
        <v/>
      </c>
      <c r="M2666" s="79">
        <f>IF('Ordenes_Odoo'!M2666="","",'Ordenes_Odoo'!M2666)</f>
        <v/>
      </c>
      <c r="N2666" s="79">
        <f>IF('Ordenes_Odoo'!N2666="","",'Ordenes_Odoo'!N2666)</f>
        <v/>
      </c>
      <c r="O2666" s="81">
        <f>IF('Ordenes_Odoo'!O2666="","",'Ordenes_Odoo'!O2666)</f>
        <v/>
      </c>
      <c r="P2666" s="81">
        <f>IF('Ordenes_Odoo'!P2666="","",'Ordenes_Odoo'!P2666)</f>
        <v/>
      </c>
      <c r="Q2666" s="79">
        <f>IF(A2666="","",IFERROR(INDEX(Facturas_Odoo!$B:$B, MATCH(A2666, Facturas_Odoo!$D:$D, 0)), "Sin Factura"))</f>
        <v/>
      </c>
      <c r="R2666" s="80">
        <f>IF(Q2666="Sin Factura","",IFERROR(INDEX(Facturas_Odoo!$A:$A, MATCH(Q2666, Facturas_Odoo!$B:$B, 0)), ""))</f>
        <v/>
      </c>
      <c r="S2666" s="79">
        <f>IF(Q2666="Sin Factura","",IFERROR(_xlfn.XLOOKUP(1, (Facturas_Odoo!$D:$D=A2666) * (Facturas_Odoo!$K:$K=I2666), Facturas_Odoo!$L:$L, ""), ""))</f>
        <v/>
      </c>
      <c r="T2666" s="81">
        <f>IF(Q2666="Sin Factura",0,IFERROR(_xlfn.XLOOKUP(1, (Facturas_Odoo!$D:$D=A2666) * (Facturas_Odoo!$K:$K=I2666), Facturas_Odoo!$M:$M, 0), 0))</f>
        <v/>
      </c>
      <c r="U2666" s="79">
        <f>IF(Q2666="Sin Factura",0,IFERROR(_xlfn.XLOOKUP(1, (Facturas_Odoo!$D:$D=A2666) * (Facturas_Odoo!$K:$K=I2666), Facturas_Odoo!$N:$N, 0), 0))</f>
        <v/>
      </c>
      <c r="V2666" s="79">
        <f>IF(Q2666="Sin Factura",0,IFERROR(_xlfn.XLOOKUP(1, (Facturas_Odoo!$D:$D=A2666) * (Facturas_Odoo!$K:$K=I2666), Facturas_Odoo!$O:$O, 0), 0))</f>
        <v/>
      </c>
      <c r="W2666" s="81">
        <f>IF(Q2666="Sin Factura",0,IFERROR(_xlfn.XLOOKUP(1, (Facturas_Odoo!$D:$D=A2666) * (Facturas_Odoo!$K:$K=I2666), Facturas_Odoo!$Q:$Q, 0), 0))</f>
        <v/>
      </c>
      <c r="X2666" s="79">
        <f>IF(OR(Q2666="Sin Factura",Q2666=""),"",IFERROR(INDEX(Pagos_Odoo!$B:$B, MATCH(Q2666, Pagos_Odoo!$I:$I, 0)), "Sin Pago"))</f>
        <v/>
      </c>
      <c r="Y2666" s="79">
        <f>IF(X2666="Sin Pago","",IFERROR(INDEX(Pagos_Odoo!$C:$C, MATCH(X2666, Pagos_Odoo!$B:$B, 0)), ""))</f>
        <v/>
      </c>
      <c r="Z2666" s="80">
        <f>IF(X2666="Sin Pago","",IFERROR(INDEX(Pagos_Odoo!$A:$A, MATCH(X2666, Pagos_Odoo!$B:$B, 0)), ""))</f>
        <v/>
      </c>
      <c r="AA2666" s="79">
        <f>IF(X2666="Sin Pago","",IFERROR(INDEX(Pagos_Odoo!$F:$F, MATCH(X2666, Pagos_Odoo!$B:$B, 0)), ""))</f>
        <v/>
      </c>
      <c r="AB2666" s="81">
        <f>IF(X2666="Sin Pago",0,IFERROR(INDEX(Pagos_Odoo!$E:$E, MATCH(X2666, Pagos_Odoo!$B:$B, 0)), 0))</f>
        <v/>
      </c>
      <c r="AC2666" s="79">
        <f>IF(X2666="Sin Pago","",IFERROR(INDEX(Pagos_Odoo!$G:$G, MATCH(X2666, Pagos_Odoo!$B:$B, 0)), ""))</f>
        <v/>
      </c>
      <c r="AD2666" s="82" t="n">
        <v>0</v>
      </c>
      <c r="AE2666" s="82" t="n"/>
      <c r="AF2666" s="82" t="n"/>
      <c r="AG2666" s="82">
        <f>IF(AN2666="","",AD2666+AE2666+AF2666)</f>
        <v/>
      </c>
      <c r="AH2666" s="81">
        <f>IF(AN2666="","",P2666*(1-AG2666))</f>
        <v/>
      </c>
      <c r="AI2666" s="81">
        <f>IF(AN2666="","",IF(Q2666="Sin Factura",0,IFERROR(INDEX(Facturas_Odoo!$H:$H, MATCH(Q2666, Facturas_Odoo!$B:$B, 0)), 0)*(1-AG2666)))</f>
        <v/>
      </c>
      <c r="AJ2666" s="81">
        <f>IF(AN2666="","",_xlfn.LET(idVenta, AN2666&amp;"",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66" s="81">
        <f>IF(AN2666="","",AH2666-AJ2666)</f>
        <v/>
      </c>
      <c r="AL2666" s="81">
        <f>IF(AN2666="","",IF(Q2666="Sin Factura","",AI2666-AJ2666))</f>
        <v/>
      </c>
      <c r="AM2666" s="81">
        <f>IF(AN2666="","",IF(Q2666="Sin Factura",0,P2666-IFERROR(INDEX(Facturas_Odoo!$H:$H, MATCH(Q2666, Facturas_Odoo!$B:$B, 0)), 0)))</f>
        <v/>
      </c>
      <c r="AN2666" s="79">
        <f>IF(AND(A2666="", J2666=""), "", IF(A2666&lt;&gt;"", VALUE(MID(A2666,2,LEN(A2666))), AN2665))</f>
        <v/>
      </c>
      <c r="AO2666" s="79">
        <f>IF(AN2666="","",IF(AD2666=0,"OK",_xlfn.LET(monedaPago, IF(AA2666="","USD",AA2666), limitePermitido, IFERROR(VLOOKUP(monedaPago, Configuración!$A$2:$B$3, 2, FALSE), 0.15), IF(AD2666&gt;limitePermitido, "ALERTA: EXCESO (" &amp; TEXT(limitePermitido, "0%") &amp; " máx)", "OK"))))</f>
        <v/>
      </c>
      <c r="AP2666" s="79">
        <f>IF(AN2666="","",IF(AE2666=0,"OK",_xlfn.LET(fechaPago, Z2666, fechaFactura, R2666, diasCredito, IF(E2666="Pago inmediato", 0, IFERROR(VALUE(MID(E2666, 1, SEARCH(" ", E2666)-1)),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66" s="79">
        <f>IF(AN2666="","",IF(AND(N2666&gt;0, AG2666&gt;0), IF(Configuración!$K$2="NO", "ALERTA: DESCUENTO DOBLE NO PERMITIDO", "OK"), "OK"))</f>
        <v/>
      </c>
      <c r="AR2666" s="79">
        <f>IF(AN2666="","",IF(OR(AO2666&lt;&gt;"OK", AP2666&lt;&gt;"OK", AQ2666&lt;&gt;"OK"), "⚠️ REVISAR", "OK"))</f>
        <v/>
      </c>
    </row>
    <row r="2667">
      <c r="A2667" s="79">
        <f>IF('Ordenes_Odoo'!A2667="","",'Ordenes_Odoo'!A2667)</f>
        <v/>
      </c>
      <c r="B2667" s="80">
        <f>IF('Ordenes_Odoo'!B2667="","",'Ordenes_Odoo'!B2667)</f>
        <v/>
      </c>
      <c r="C2667" s="79">
        <f>IF('Ordenes_Odoo'!C2667="","",'Ordenes_Odoo'!C2667)</f>
        <v/>
      </c>
      <c r="D2667" s="79">
        <f>IF('Ordenes_Odoo'!D2667="","",'Ordenes_Odoo'!D2667)</f>
        <v/>
      </c>
      <c r="E2667" s="79">
        <f>IF('Ordenes_Odoo'!E2667="","",'Ordenes_Odoo'!E2667)</f>
        <v/>
      </c>
      <c r="F2667" s="79">
        <f>IF('Ordenes_Odoo'!F2667="","",'Ordenes_Odoo'!F2667)</f>
        <v/>
      </c>
      <c r="G2667" s="79">
        <f>IF('Ordenes_Odoo'!G2667="","",'Ordenes_Odoo'!G2667)</f>
        <v/>
      </c>
      <c r="H2667" s="79">
        <f>IF('Ordenes_Odoo'!H2667="","",'Ordenes_Odoo'!H2667)</f>
        <v/>
      </c>
      <c r="I2667" s="79">
        <f>IF('Ordenes_Odoo'!I2667="","",'Ordenes_Odoo'!I2667)</f>
        <v/>
      </c>
      <c r="J2667" s="79">
        <f>IF('Ordenes_Odoo'!J2667="","",'Ordenes_Odoo'!J2667)</f>
        <v/>
      </c>
      <c r="K2667" s="81">
        <f>IF('Ordenes_Odoo'!K2667="","",'Ordenes_Odoo'!K2667)</f>
        <v/>
      </c>
      <c r="L2667" s="81">
        <f>IF('Ordenes_Odoo'!L2667="","",'Ordenes_Odoo'!L2667)</f>
        <v/>
      </c>
      <c r="M2667" s="79">
        <f>IF('Ordenes_Odoo'!M2667="","",'Ordenes_Odoo'!M2667)</f>
        <v/>
      </c>
      <c r="N2667" s="79">
        <f>IF('Ordenes_Odoo'!N2667="","",'Ordenes_Odoo'!N2667)</f>
        <v/>
      </c>
      <c r="O2667" s="81">
        <f>IF('Ordenes_Odoo'!O2667="","",'Ordenes_Odoo'!O2667)</f>
        <v/>
      </c>
      <c r="P2667" s="81">
        <f>IF('Ordenes_Odoo'!P2667="","",'Ordenes_Odoo'!P2667)</f>
        <v/>
      </c>
      <c r="Q2667" s="79">
        <f>IF(A2667="","",IFERROR(INDEX(Facturas_Odoo!$B:$B, MATCH(A2667, Facturas_Odoo!$D:$D, 0)), "Sin Factura"))</f>
        <v/>
      </c>
      <c r="R2667" s="80">
        <f>IF(Q2667="Sin Factura","",IFERROR(INDEX(Facturas_Odoo!$A:$A, MATCH(Q2667, Facturas_Odoo!$B:$B, 0)), ""))</f>
        <v/>
      </c>
      <c r="S2667" s="79">
        <f>IF(Q2667="Sin Factura","",IFERROR(_xlfn.XLOOKUP(1, (Facturas_Odoo!$D:$D=A2667) * (Facturas_Odoo!$K:$K=I2667), Facturas_Odoo!$L:$L, ""), ""))</f>
        <v/>
      </c>
      <c r="T2667" s="81">
        <f>IF(Q2667="Sin Factura",0,IFERROR(_xlfn.XLOOKUP(1, (Facturas_Odoo!$D:$D=A2667) * (Facturas_Odoo!$K:$K=I2667), Facturas_Odoo!$M:$M, 0), 0))</f>
        <v/>
      </c>
      <c r="U2667" s="79">
        <f>IF(Q2667="Sin Factura",0,IFERROR(_xlfn.XLOOKUP(1, (Facturas_Odoo!$D:$D=A2667) * (Facturas_Odoo!$K:$K=I2667), Facturas_Odoo!$N:$N, 0), 0))</f>
        <v/>
      </c>
      <c r="V2667" s="79">
        <f>IF(Q2667="Sin Factura",0,IFERROR(_xlfn.XLOOKUP(1, (Facturas_Odoo!$D:$D=A2667) * (Facturas_Odoo!$K:$K=I2667), Facturas_Odoo!$O:$O, 0), 0))</f>
        <v/>
      </c>
      <c r="W2667" s="81">
        <f>IF(Q2667="Sin Factura",0,IFERROR(_xlfn.XLOOKUP(1, (Facturas_Odoo!$D:$D=A2667) * (Facturas_Odoo!$K:$K=I2667), Facturas_Odoo!$Q:$Q, 0), 0))</f>
        <v/>
      </c>
      <c r="X2667" s="79">
        <f>IF(OR(Q2667="Sin Factura",Q2667=""),"",IFERROR(INDEX(Pagos_Odoo!$B:$B, MATCH(Q2667, Pagos_Odoo!$I:$I, 0)), "Sin Pago"))</f>
        <v/>
      </c>
      <c r="Y2667" s="79">
        <f>IF(X2667="Sin Pago","",IFERROR(INDEX(Pagos_Odoo!$C:$C, MATCH(X2667, Pagos_Odoo!$B:$B, 0)), ""))</f>
        <v/>
      </c>
      <c r="Z2667" s="80">
        <f>IF(X2667="Sin Pago","",IFERROR(INDEX(Pagos_Odoo!$A:$A, MATCH(X2667, Pagos_Odoo!$B:$B, 0)), ""))</f>
        <v/>
      </c>
      <c r="AA2667" s="79">
        <f>IF(X2667="Sin Pago","",IFERROR(INDEX(Pagos_Odoo!$F:$F, MATCH(X2667, Pagos_Odoo!$B:$B, 0)), ""))</f>
        <v/>
      </c>
      <c r="AB2667" s="81">
        <f>IF(X2667="Sin Pago",0,IFERROR(INDEX(Pagos_Odoo!$E:$E, MATCH(X2667, Pagos_Odoo!$B:$B, 0)), 0))</f>
        <v/>
      </c>
      <c r="AC2667" s="79">
        <f>IF(X2667="Sin Pago","",IFERROR(INDEX(Pagos_Odoo!$G:$G, MATCH(X2667, Pagos_Odoo!$B:$B, 0)), ""))</f>
        <v/>
      </c>
      <c r="AD2667" s="82" t="n">
        <v>0</v>
      </c>
      <c r="AE2667" s="82" t="n"/>
      <c r="AF2667" s="82" t="n"/>
      <c r="AG2667" s="82">
        <f>IF(AN2667="","",AD2667+AE2667+AF2667)</f>
        <v/>
      </c>
      <c r="AH2667" s="81">
        <f>IF(AN2667="","",P2667*(1-AG2667))</f>
        <v/>
      </c>
      <c r="AI2667" s="81">
        <f>IF(AN2667="","",IF(Q2667="Sin Factura",0,IFERROR(INDEX(Facturas_Odoo!$H:$H, MATCH(Q2667, Facturas_Odoo!$B:$B, 0)), 0)*(1-AG2667)))</f>
        <v/>
      </c>
      <c r="AJ2667" s="81">
        <f>IF(AN2667="","",_xlfn.LET(idVenta, AN2667&amp;"",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67" s="81">
        <f>IF(AN2667="","",AH2667-AJ2667)</f>
        <v/>
      </c>
      <c r="AL2667" s="81">
        <f>IF(AN2667="","",IF(Q2667="Sin Factura","",AI2667-AJ2667))</f>
        <v/>
      </c>
      <c r="AM2667" s="81">
        <f>IF(AN2667="","",IF(Q2667="Sin Factura",0,P2667-IFERROR(INDEX(Facturas_Odoo!$H:$H, MATCH(Q2667, Facturas_Odoo!$B:$B, 0)), 0)))</f>
        <v/>
      </c>
      <c r="AN2667" s="79">
        <f>IF(AND(A2667="", J2667=""), "", IF(A2667&lt;&gt;"", VALUE(MID(A2667,2,LEN(A2667))), AN2666))</f>
        <v/>
      </c>
      <c r="AO2667" s="79">
        <f>IF(AN2667="","",IF(AD2667=0,"OK",_xlfn.LET(monedaPago, IF(AA2667="","USD",AA2667), limitePermitido, IFERROR(VLOOKUP(monedaPago, Configuración!$A$2:$B$3, 2, FALSE), 0.15), IF(AD2667&gt;limitePermitido, "ALERTA: EXCESO (" &amp; TEXT(limitePermitido, "0%") &amp; " máx)", "OK"))))</f>
        <v/>
      </c>
      <c r="AP2667" s="79">
        <f>IF(AN2667="","",IF(AE2667=0,"OK",_xlfn.LET(fechaPago, Z2667, fechaFactura, R2667, diasCredito, IF(E2667="Pago inmediato", 0, IFERROR(VALUE(MID(E2667, 1, SEARCH(" ", E2667)-1)),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67" s="79">
        <f>IF(AN2667="","",IF(AND(N2667&gt;0, AG2667&gt;0), IF(Configuración!$K$2="NO", "ALERTA: DESCUENTO DOBLE NO PERMITIDO", "OK"), "OK"))</f>
        <v/>
      </c>
      <c r="AR2667" s="79">
        <f>IF(AN2667="","",IF(OR(AO2667&lt;&gt;"OK", AP2667&lt;&gt;"OK", AQ2667&lt;&gt;"OK"), "⚠️ REVISAR", "OK"))</f>
        <v/>
      </c>
    </row>
    <row r="2668">
      <c r="A2668" s="79">
        <f>IF('Ordenes_Odoo'!A2668="","",'Ordenes_Odoo'!A2668)</f>
        <v/>
      </c>
      <c r="B2668" s="80">
        <f>IF('Ordenes_Odoo'!B2668="","",'Ordenes_Odoo'!B2668)</f>
        <v/>
      </c>
      <c r="C2668" s="79">
        <f>IF('Ordenes_Odoo'!C2668="","",'Ordenes_Odoo'!C2668)</f>
        <v/>
      </c>
      <c r="D2668" s="79">
        <f>IF('Ordenes_Odoo'!D2668="","",'Ordenes_Odoo'!D2668)</f>
        <v/>
      </c>
      <c r="E2668" s="79">
        <f>IF('Ordenes_Odoo'!E2668="","",'Ordenes_Odoo'!E2668)</f>
        <v/>
      </c>
      <c r="F2668" s="79">
        <f>IF('Ordenes_Odoo'!F2668="","",'Ordenes_Odoo'!F2668)</f>
        <v/>
      </c>
      <c r="G2668" s="79">
        <f>IF('Ordenes_Odoo'!G2668="","",'Ordenes_Odoo'!G2668)</f>
        <v/>
      </c>
      <c r="H2668" s="79">
        <f>IF('Ordenes_Odoo'!H2668="","",'Ordenes_Odoo'!H2668)</f>
        <v/>
      </c>
      <c r="I2668" s="79">
        <f>IF('Ordenes_Odoo'!I2668="","",'Ordenes_Odoo'!I2668)</f>
        <v/>
      </c>
      <c r="J2668" s="79">
        <f>IF('Ordenes_Odoo'!J2668="","",'Ordenes_Odoo'!J2668)</f>
        <v/>
      </c>
      <c r="K2668" s="81">
        <f>IF('Ordenes_Odoo'!K2668="","",'Ordenes_Odoo'!K2668)</f>
        <v/>
      </c>
      <c r="L2668" s="81">
        <f>IF('Ordenes_Odoo'!L2668="","",'Ordenes_Odoo'!L2668)</f>
        <v/>
      </c>
      <c r="M2668" s="79">
        <f>IF('Ordenes_Odoo'!M2668="","",'Ordenes_Odoo'!M2668)</f>
        <v/>
      </c>
      <c r="N2668" s="79">
        <f>IF('Ordenes_Odoo'!N2668="","",'Ordenes_Odoo'!N2668)</f>
        <v/>
      </c>
      <c r="O2668" s="81">
        <f>IF('Ordenes_Odoo'!O2668="","",'Ordenes_Odoo'!O2668)</f>
        <v/>
      </c>
      <c r="P2668" s="81">
        <f>IF('Ordenes_Odoo'!P2668="","",'Ordenes_Odoo'!P2668)</f>
        <v/>
      </c>
      <c r="Q2668" s="79">
        <f>IF(A2668="","",IFERROR(INDEX(Facturas_Odoo!$B:$B, MATCH(A2668, Facturas_Odoo!$D:$D, 0)), "Sin Factura"))</f>
        <v/>
      </c>
      <c r="R2668" s="80">
        <f>IF(Q2668="Sin Factura","",IFERROR(INDEX(Facturas_Odoo!$A:$A, MATCH(Q2668, Facturas_Odoo!$B:$B, 0)), ""))</f>
        <v/>
      </c>
      <c r="S2668" s="79">
        <f>IF(Q2668="Sin Factura","",IFERROR(_xlfn.XLOOKUP(1, (Facturas_Odoo!$D:$D=A2668) * (Facturas_Odoo!$K:$K=I2668), Facturas_Odoo!$L:$L, ""), ""))</f>
        <v/>
      </c>
      <c r="T2668" s="81">
        <f>IF(Q2668="Sin Factura",0,IFERROR(_xlfn.XLOOKUP(1, (Facturas_Odoo!$D:$D=A2668) * (Facturas_Odoo!$K:$K=I2668), Facturas_Odoo!$M:$M, 0), 0))</f>
        <v/>
      </c>
      <c r="U2668" s="79">
        <f>IF(Q2668="Sin Factura",0,IFERROR(_xlfn.XLOOKUP(1, (Facturas_Odoo!$D:$D=A2668) * (Facturas_Odoo!$K:$K=I2668), Facturas_Odoo!$N:$N, 0), 0))</f>
        <v/>
      </c>
      <c r="V2668" s="79">
        <f>IF(Q2668="Sin Factura",0,IFERROR(_xlfn.XLOOKUP(1, (Facturas_Odoo!$D:$D=A2668) * (Facturas_Odoo!$K:$K=I2668), Facturas_Odoo!$O:$O, 0), 0))</f>
        <v/>
      </c>
      <c r="W2668" s="81">
        <f>IF(Q2668="Sin Factura",0,IFERROR(_xlfn.XLOOKUP(1, (Facturas_Odoo!$D:$D=A2668) * (Facturas_Odoo!$K:$K=I2668), Facturas_Odoo!$Q:$Q, 0), 0))</f>
        <v/>
      </c>
      <c r="X2668" s="79">
        <f>IF(OR(Q2668="Sin Factura",Q2668=""),"",IFERROR(INDEX(Pagos_Odoo!$B:$B, MATCH(Q2668, Pagos_Odoo!$I:$I, 0)), "Sin Pago"))</f>
        <v/>
      </c>
      <c r="Y2668" s="79">
        <f>IF(X2668="Sin Pago","",IFERROR(INDEX(Pagos_Odoo!$C:$C, MATCH(X2668, Pagos_Odoo!$B:$B, 0)), ""))</f>
        <v/>
      </c>
      <c r="Z2668" s="80">
        <f>IF(X2668="Sin Pago","",IFERROR(INDEX(Pagos_Odoo!$A:$A, MATCH(X2668, Pagos_Odoo!$B:$B, 0)), ""))</f>
        <v/>
      </c>
      <c r="AA2668" s="79">
        <f>IF(X2668="Sin Pago","",IFERROR(INDEX(Pagos_Odoo!$F:$F, MATCH(X2668, Pagos_Odoo!$B:$B, 0)), ""))</f>
        <v/>
      </c>
      <c r="AB2668" s="81">
        <f>IF(X2668="Sin Pago",0,IFERROR(INDEX(Pagos_Odoo!$E:$E, MATCH(X2668, Pagos_Odoo!$B:$B, 0)), 0))</f>
        <v/>
      </c>
      <c r="AC2668" s="79">
        <f>IF(X2668="Sin Pago","",IFERROR(INDEX(Pagos_Odoo!$G:$G, MATCH(X2668, Pagos_Odoo!$B:$B, 0)), ""))</f>
        <v/>
      </c>
      <c r="AD2668" s="82" t="n">
        <v>0</v>
      </c>
      <c r="AE2668" s="82" t="n"/>
      <c r="AF2668" s="82" t="n"/>
      <c r="AG2668" s="82">
        <f>IF(AN2668="","",AD2668+AE2668+AF2668)</f>
        <v/>
      </c>
      <c r="AH2668" s="81">
        <f>IF(AN2668="","",P2668*(1-AG2668))</f>
        <v/>
      </c>
      <c r="AI2668" s="81">
        <f>IF(AN2668="","",IF(Q2668="Sin Factura",0,IFERROR(INDEX(Facturas_Odoo!$H:$H, MATCH(Q2668, Facturas_Odoo!$B:$B, 0)), 0)*(1-AG2668)))</f>
        <v/>
      </c>
      <c r="AJ2668" s="81">
        <f>IF(AN2668="","",_xlfn.LET(idVenta, AN2668&amp;"",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68" s="81">
        <f>IF(AN2668="","",AH2668-AJ2668)</f>
        <v/>
      </c>
      <c r="AL2668" s="81">
        <f>IF(AN2668="","",IF(Q2668="Sin Factura","",AI2668-AJ2668))</f>
        <v/>
      </c>
      <c r="AM2668" s="81">
        <f>IF(AN2668="","",IF(Q2668="Sin Factura",0,P2668-IFERROR(INDEX(Facturas_Odoo!$H:$H, MATCH(Q2668, Facturas_Odoo!$B:$B, 0)), 0)))</f>
        <v/>
      </c>
      <c r="AN2668" s="79">
        <f>IF(AND(A2668="", J2668=""), "", IF(A2668&lt;&gt;"", VALUE(MID(A2668,2,LEN(A2668))), AN2667))</f>
        <v/>
      </c>
      <c r="AO2668" s="79">
        <f>IF(AN2668="","",IF(AD2668=0,"OK",_xlfn.LET(monedaPago, IF(AA2668="","USD",AA2668), limitePermitido, IFERROR(VLOOKUP(monedaPago, Configuración!$A$2:$B$3, 2, FALSE), 0.15), IF(AD2668&gt;limitePermitido, "ALERTA: EXCESO (" &amp; TEXT(limitePermitido, "0%") &amp; " máx)", "OK"))))</f>
        <v/>
      </c>
      <c r="AP2668" s="79">
        <f>IF(AN2668="","",IF(AE2668=0,"OK",_xlfn.LET(fechaPago, Z2668, fechaFactura, R2668, diasCredito, IF(E2668="Pago inmediato", 0, IFERROR(VALUE(MID(E2668, 1, SEARCH(" ", E2668)-1)),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68" s="79">
        <f>IF(AN2668="","",IF(AND(N2668&gt;0, AG2668&gt;0), IF(Configuración!$K$2="NO", "ALERTA: DESCUENTO DOBLE NO PERMITIDO", "OK"), "OK"))</f>
        <v/>
      </c>
      <c r="AR2668" s="79">
        <f>IF(AN2668="","",IF(OR(AO2668&lt;&gt;"OK", AP2668&lt;&gt;"OK", AQ2668&lt;&gt;"OK"), "⚠️ REVISAR", "OK"))</f>
        <v/>
      </c>
    </row>
    <row r="2669">
      <c r="A2669" s="79">
        <f>IF('Ordenes_Odoo'!A2669="","",'Ordenes_Odoo'!A2669)</f>
        <v/>
      </c>
      <c r="B2669" s="80">
        <f>IF('Ordenes_Odoo'!B2669="","",'Ordenes_Odoo'!B2669)</f>
        <v/>
      </c>
      <c r="C2669" s="79">
        <f>IF('Ordenes_Odoo'!C2669="","",'Ordenes_Odoo'!C2669)</f>
        <v/>
      </c>
      <c r="D2669" s="79">
        <f>IF('Ordenes_Odoo'!D2669="","",'Ordenes_Odoo'!D2669)</f>
        <v/>
      </c>
      <c r="E2669" s="79">
        <f>IF('Ordenes_Odoo'!E2669="","",'Ordenes_Odoo'!E2669)</f>
        <v/>
      </c>
      <c r="F2669" s="79">
        <f>IF('Ordenes_Odoo'!F2669="","",'Ordenes_Odoo'!F2669)</f>
        <v/>
      </c>
      <c r="G2669" s="79">
        <f>IF('Ordenes_Odoo'!G2669="","",'Ordenes_Odoo'!G2669)</f>
        <v/>
      </c>
      <c r="H2669" s="79">
        <f>IF('Ordenes_Odoo'!H2669="","",'Ordenes_Odoo'!H2669)</f>
        <v/>
      </c>
      <c r="I2669" s="79">
        <f>IF('Ordenes_Odoo'!I2669="","",'Ordenes_Odoo'!I2669)</f>
        <v/>
      </c>
      <c r="J2669" s="79">
        <f>IF('Ordenes_Odoo'!J2669="","",'Ordenes_Odoo'!J2669)</f>
        <v/>
      </c>
      <c r="K2669" s="81">
        <f>IF('Ordenes_Odoo'!K2669="","",'Ordenes_Odoo'!K2669)</f>
        <v/>
      </c>
      <c r="L2669" s="81">
        <f>IF('Ordenes_Odoo'!L2669="","",'Ordenes_Odoo'!L2669)</f>
        <v/>
      </c>
      <c r="M2669" s="79">
        <f>IF('Ordenes_Odoo'!M2669="","",'Ordenes_Odoo'!M2669)</f>
        <v/>
      </c>
      <c r="N2669" s="79">
        <f>IF('Ordenes_Odoo'!N2669="","",'Ordenes_Odoo'!N2669)</f>
        <v/>
      </c>
      <c r="O2669" s="81">
        <f>IF('Ordenes_Odoo'!O2669="","",'Ordenes_Odoo'!O2669)</f>
        <v/>
      </c>
      <c r="P2669" s="81">
        <f>IF('Ordenes_Odoo'!P2669="","",'Ordenes_Odoo'!P2669)</f>
        <v/>
      </c>
      <c r="Q2669" s="79">
        <f>IF(A2669="","",IFERROR(INDEX(Facturas_Odoo!$B:$B, MATCH(A2669, Facturas_Odoo!$D:$D, 0)), "Sin Factura"))</f>
        <v/>
      </c>
      <c r="R2669" s="80">
        <f>IF(Q2669="Sin Factura","",IFERROR(INDEX(Facturas_Odoo!$A:$A, MATCH(Q2669, Facturas_Odoo!$B:$B, 0)), ""))</f>
        <v/>
      </c>
      <c r="S2669" s="79">
        <f>IF(Q2669="Sin Factura","",IFERROR(_xlfn.XLOOKUP(1, (Facturas_Odoo!$D:$D=A2669) * (Facturas_Odoo!$K:$K=I2669), Facturas_Odoo!$L:$L, ""), ""))</f>
        <v/>
      </c>
      <c r="T2669" s="81">
        <f>IF(Q2669="Sin Factura",0,IFERROR(_xlfn.XLOOKUP(1, (Facturas_Odoo!$D:$D=A2669) * (Facturas_Odoo!$K:$K=I2669), Facturas_Odoo!$M:$M, 0), 0))</f>
        <v/>
      </c>
      <c r="U2669" s="79">
        <f>IF(Q2669="Sin Factura",0,IFERROR(_xlfn.XLOOKUP(1, (Facturas_Odoo!$D:$D=A2669) * (Facturas_Odoo!$K:$K=I2669), Facturas_Odoo!$N:$N, 0), 0))</f>
        <v/>
      </c>
      <c r="V2669" s="79">
        <f>IF(Q2669="Sin Factura",0,IFERROR(_xlfn.XLOOKUP(1, (Facturas_Odoo!$D:$D=A2669) * (Facturas_Odoo!$K:$K=I2669), Facturas_Odoo!$O:$O, 0), 0))</f>
        <v/>
      </c>
      <c r="W2669" s="81">
        <f>IF(Q2669="Sin Factura",0,IFERROR(_xlfn.XLOOKUP(1, (Facturas_Odoo!$D:$D=A2669) * (Facturas_Odoo!$K:$K=I2669), Facturas_Odoo!$Q:$Q, 0), 0))</f>
        <v/>
      </c>
      <c r="X2669" s="79">
        <f>IF(OR(Q2669="Sin Factura",Q2669=""),"",IFERROR(INDEX(Pagos_Odoo!$B:$B, MATCH(Q2669, Pagos_Odoo!$I:$I, 0)), "Sin Pago"))</f>
        <v/>
      </c>
      <c r="Y2669" s="79">
        <f>IF(X2669="Sin Pago","",IFERROR(INDEX(Pagos_Odoo!$C:$C, MATCH(X2669, Pagos_Odoo!$B:$B, 0)), ""))</f>
        <v/>
      </c>
      <c r="Z2669" s="80">
        <f>IF(X2669="Sin Pago","",IFERROR(INDEX(Pagos_Odoo!$A:$A, MATCH(X2669, Pagos_Odoo!$B:$B, 0)), ""))</f>
        <v/>
      </c>
      <c r="AA2669" s="79">
        <f>IF(X2669="Sin Pago","",IFERROR(INDEX(Pagos_Odoo!$F:$F, MATCH(X2669, Pagos_Odoo!$B:$B, 0)), ""))</f>
        <v/>
      </c>
      <c r="AB2669" s="81">
        <f>IF(X2669="Sin Pago",0,IFERROR(INDEX(Pagos_Odoo!$E:$E, MATCH(X2669, Pagos_Odoo!$B:$B, 0)), 0))</f>
        <v/>
      </c>
      <c r="AC2669" s="79">
        <f>IF(X2669="Sin Pago","",IFERROR(INDEX(Pagos_Odoo!$G:$G, MATCH(X2669, Pagos_Odoo!$B:$B, 0)), ""))</f>
        <v/>
      </c>
      <c r="AD2669" s="82" t="n">
        <v>0</v>
      </c>
      <c r="AE2669" s="82" t="n"/>
      <c r="AF2669" s="82" t="n"/>
      <c r="AG2669" s="82">
        <f>IF(AN2669="","",AD2669+AE2669+AF2669)</f>
        <v/>
      </c>
      <c r="AH2669" s="81">
        <f>IF(AN2669="","",P2669*(1-AG2669))</f>
        <v/>
      </c>
      <c r="AI2669" s="81">
        <f>IF(AN2669="","",IF(Q2669="Sin Factura",0,IFERROR(INDEX(Facturas_Odoo!$H:$H, MATCH(Q2669, Facturas_Odoo!$B:$B, 0)), 0)*(1-AG2669)))</f>
        <v/>
      </c>
      <c r="AJ2669" s="81">
        <f>IF(AN2669="","",_xlfn.LET(idVenta, AN2669&amp;"",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69" s="81">
        <f>IF(AN2669="","",AH2669-AJ2669)</f>
        <v/>
      </c>
      <c r="AL2669" s="81">
        <f>IF(AN2669="","",IF(Q2669="Sin Factura","",AI2669-AJ2669))</f>
        <v/>
      </c>
      <c r="AM2669" s="81">
        <f>IF(AN2669="","",IF(Q2669="Sin Factura",0,P2669-IFERROR(INDEX(Facturas_Odoo!$H:$H, MATCH(Q2669, Facturas_Odoo!$B:$B, 0)), 0)))</f>
        <v/>
      </c>
      <c r="AN2669" s="79">
        <f>IF(AND(A2669="", J2669=""), "", IF(A2669&lt;&gt;"", VALUE(MID(A2669,2,LEN(A2669))), AN2668))</f>
        <v/>
      </c>
      <c r="AO2669" s="79">
        <f>IF(AN2669="","",IF(AD2669=0,"OK",_xlfn.LET(monedaPago, IF(AA2669="","USD",AA2669), limitePermitido, IFERROR(VLOOKUP(monedaPago, Configuración!$A$2:$B$3, 2, FALSE), 0.15), IF(AD2669&gt;limitePermitido, "ALERTA: EXCESO (" &amp; TEXT(limitePermitido, "0%") &amp; " máx)", "OK"))))</f>
        <v/>
      </c>
      <c r="AP2669" s="79">
        <f>IF(AN2669="","",IF(AE2669=0,"OK",_xlfn.LET(fechaPago, Z2669, fechaFactura, R2669, diasCredito, IF(E2669="Pago inmediato", 0, IFERROR(VALUE(MID(E2669, 1, SEARCH(" ", E2669)-1)),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69" s="79">
        <f>IF(AN2669="","",IF(AND(N2669&gt;0, AG2669&gt;0), IF(Configuración!$K$2="NO", "ALERTA: DESCUENTO DOBLE NO PERMITIDO", "OK"), "OK"))</f>
        <v/>
      </c>
      <c r="AR2669" s="79">
        <f>IF(AN2669="","",IF(OR(AO2669&lt;&gt;"OK", AP2669&lt;&gt;"OK", AQ2669&lt;&gt;"OK"), "⚠️ REVISAR", "OK"))</f>
        <v/>
      </c>
    </row>
    <row r="2670">
      <c r="A2670" s="79">
        <f>IF('Ordenes_Odoo'!A2670="","",'Ordenes_Odoo'!A2670)</f>
        <v/>
      </c>
      <c r="B2670" s="80">
        <f>IF('Ordenes_Odoo'!B2670="","",'Ordenes_Odoo'!B2670)</f>
        <v/>
      </c>
      <c r="C2670" s="79">
        <f>IF('Ordenes_Odoo'!C2670="","",'Ordenes_Odoo'!C2670)</f>
        <v/>
      </c>
      <c r="D2670" s="79">
        <f>IF('Ordenes_Odoo'!D2670="","",'Ordenes_Odoo'!D2670)</f>
        <v/>
      </c>
      <c r="E2670" s="79">
        <f>IF('Ordenes_Odoo'!E2670="","",'Ordenes_Odoo'!E2670)</f>
        <v/>
      </c>
      <c r="F2670" s="79">
        <f>IF('Ordenes_Odoo'!F2670="","",'Ordenes_Odoo'!F2670)</f>
        <v/>
      </c>
      <c r="G2670" s="79">
        <f>IF('Ordenes_Odoo'!G2670="","",'Ordenes_Odoo'!G2670)</f>
        <v/>
      </c>
      <c r="H2670" s="79">
        <f>IF('Ordenes_Odoo'!H2670="","",'Ordenes_Odoo'!H2670)</f>
        <v/>
      </c>
      <c r="I2670" s="79">
        <f>IF('Ordenes_Odoo'!I2670="","",'Ordenes_Odoo'!I2670)</f>
        <v/>
      </c>
      <c r="J2670" s="79">
        <f>IF('Ordenes_Odoo'!J2670="","",'Ordenes_Odoo'!J2670)</f>
        <v/>
      </c>
      <c r="K2670" s="81">
        <f>IF('Ordenes_Odoo'!K2670="","",'Ordenes_Odoo'!K2670)</f>
        <v/>
      </c>
      <c r="L2670" s="81">
        <f>IF('Ordenes_Odoo'!L2670="","",'Ordenes_Odoo'!L2670)</f>
        <v/>
      </c>
      <c r="M2670" s="79">
        <f>IF('Ordenes_Odoo'!M2670="","",'Ordenes_Odoo'!M2670)</f>
        <v/>
      </c>
      <c r="N2670" s="79">
        <f>IF('Ordenes_Odoo'!N2670="","",'Ordenes_Odoo'!N2670)</f>
        <v/>
      </c>
      <c r="O2670" s="81">
        <f>IF('Ordenes_Odoo'!O2670="","",'Ordenes_Odoo'!O2670)</f>
        <v/>
      </c>
      <c r="P2670" s="81">
        <f>IF('Ordenes_Odoo'!P2670="","",'Ordenes_Odoo'!P2670)</f>
        <v/>
      </c>
      <c r="Q2670" s="79">
        <f>IF(A2670="","",IFERROR(INDEX(Facturas_Odoo!$B:$B, MATCH(A2670, Facturas_Odoo!$D:$D, 0)), "Sin Factura"))</f>
        <v/>
      </c>
      <c r="R2670" s="80">
        <f>IF(Q2670="Sin Factura","",IFERROR(INDEX(Facturas_Odoo!$A:$A, MATCH(Q2670, Facturas_Odoo!$B:$B, 0)), ""))</f>
        <v/>
      </c>
      <c r="S2670" s="79">
        <f>IF(Q2670="Sin Factura","",IFERROR(_xlfn.XLOOKUP(1, (Facturas_Odoo!$D:$D=A2670) * (Facturas_Odoo!$K:$K=I2670), Facturas_Odoo!$L:$L, ""), ""))</f>
        <v/>
      </c>
      <c r="T2670" s="81">
        <f>IF(Q2670="Sin Factura",0,IFERROR(_xlfn.XLOOKUP(1, (Facturas_Odoo!$D:$D=A2670) * (Facturas_Odoo!$K:$K=I2670), Facturas_Odoo!$M:$M, 0), 0))</f>
        <v/>
      </c>
      <c r="U2670" s="79">
        <f>IF(Q2670="Sin Factura",0,IFERROR(_xlfn.XLOOKUP(1, (Facturas_Odoo!$D:$D=A2670) * (Facturas_Odoo!$K:$K=I2670), Facturas_Odoo!$N:$N, 0), 0))</f>
        <v/>
      </c>
      <c r="V2670" s="79">
        <f>IF(Q2670="Sin Factura",0,IFERROR(_xlfn.XLOOKUP(1, (Facturas_Odoo!$D:$D=A2670) * (Facturas_Odoo!$K:$K=I2670), Facturas_Odoo!$O:$O, 0), 0))</f>
        <v/>
      </c>
      <c r="W2670" s="81">
        <f>IF(Q2670="Sin Factura",0,IFERROR(_xlfn.XLOOKUP(1, (Facturas_Odoo!$D:$D=A2670) * (Facturas_Odoo!$K:$K=I2670), Facturas_Odoo!$Q:$Q, 0), 0))</f>
        <v/>
      </c>
      <c r="X2670" s="79">
        <f>IF(OR(Q2670="Sin Factura",Q2670=""),"",IFERROR(INDEX(Pagos_Odoo!$B:$B, MATCH(Q2670, Pagos_Odoo!$I:$I, 0)), "Sin Pago"))</f>
        <v/>
      </c>
      <c r="Y2670" s="79">
        <f>IF(X2670="Sin Pago","",IFERROR(INDEX(Pagos_Odoo!$C:$C, MATCH(X2670, Pagos_Odoo!$B:$B, 0)), ""))</f>
        <v/>
      </c>
      <c r="Z2670" s="80">
        <f>IF(X2670="Sin Pago","",IFERROR(INDEX(Pagos_Odoo!$A:$A, MATCH(X2670, Pagos_Odoo!$B:$B, 0)), ""))</f>
        <v/>
      </c>
      <c r="AA2670" s="79">
        <f>IF(X2670="Sin Pago","",IFERROR(INDEX(Pagos_Odoo!$F:$F, MATCH(X2670, Pagos_Odoo!$B:$B, 0)), ""))</f>
        <v/>
      </c>
      <c r="AB2670" s="81">
        <f>IF(X2670="Sin Pago",0,IFERROR(INDEX(Pagos_Odoo!$E:$E, MATCH(X2670, Pagos_Odoo!$B:$B, 0)), 0))</f>
        <v/>
      </c>
      <c r="AC2670" s="79">
        <f>IF(X2670="Sin Pago","",IFERROR(INDEX(Pagos_Odoo!$G:$G, MATCH(X2670, Pagos_Odoo!$B:$B, 0)), ""))</f>
        <v/>
      </c>
      <c r="AD2670" s="82" t="n">
        <v>0</v>
      </c>
      <c r="AE2670" s="82" t="n"/>
      <c r="AF2670" s="82" t="n"/>
      <c r="AG2670" s="82">
        <f>IF(AN2670="","",AD2670+AE2670+AF2670)</f>
        <v/>
      </c>
      <c r="AH2670" s="81">
        <f>IF(AN2670="","",P2670*(1-AG2670))</f>
        <v/>
      </c>
      <c r="AI2670" s="81">
        <f>IF(AN2670="","",IF(Q2670="Sin Factura",0,IFERROR(INDEX(Facturas_Odoo!$H:$H, MATCH(Q2670, Facturas_Odoo!$B:$B, 0)), 0)*(1-AG2670)))</f>
        <v/>
      </c>
      <c r="AJ2670" s="81">
        <f>IF(AN2670="","",_xlfn.LET(idVenta, AN2670&amp;"",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70" s="81">
        <f>IF(AN2670="","",AH2670-AJ2670)</f>
        <v/>
      </c>
      <c r="AL2670" s="81">
        <f>IF(AN2670="","",IF(Q2670="Sin Factura","",AI2670-AJ2670))</f>
        <v/>
      </c>
      <c r="AM2670" s="81">
        <f>IF(AN2670="","",IF(Q2670="Sin Factura",0,P2670-IFERROR(INDEX(Facturas_Odoo!$H:$H, MATCH(Q2670, Facturas_Odoo!$B:$B, 0)), 0)))</f>
        <v/>
      </c>
      <c r="AN2670" s="79">
        <f>IF(AND(A2670="", J2670=""), "", IF(A2670&lt;&gt;"", VALUE(MID(A2670,2,LEN(A2670))), AN2669))</f>
        <v/>
      </c>
      <c r="AO2670" s="79">
        <f>IF(AN2670="","",IF(AD2670=0,"OK",_xlfn.LET(monedaPago, IF(AA2670="","USD",AA2670), limitePermitido, IFERROR(VLOOKUP(monedaPago, Configuración!$A$2:$B$3, 2, FALSE), 0.15), IF(AD2670&gt;limitePermitido, "ALERTA: EXCESO (" &amp; TEXT(limitePermitido, "0%") &amp; " máx)", "OK"))))</f>
        <v/>
      </c>
      <c r="AP2670" s="79">
        <f>IF(AN2670="","",IF(AE2670=0,"OK",_xlfn.LET(fechaPago, Z2670, fechaFactura, R2670, diasCredito, IF(E2670="Pago inmediato", 0, IFERROR(VALUE(MID(E2670, 1, SEARCH(" ", E2670)-1)),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70" s="79">
        <f>IF(AN2670="","",IF(AND(N2670&gt;0, AG2670&gt;0), IF(Configuración!$K$2="NO", "ALERTA: DESCUENTO DOBLE NO PERMITIDO", "OK"), "OK"))</f>
        <v/>
      </c>
      <c r="AR2670" s="79">
        <f>IF(AN2670="","",IF(OR(AO2670&lt;&gt;"OK", AP2670&lt;&gt;"OK", AQ2670&lt;&gt;"OK"), "⚠️ REVISAR", "OK"))</f>
        <v/>
      </c>
    </row>
    <row r="2671">
      <c r="A2671" s="79">
        <f>IF('Ordenes_Odoo'!A2671="","",'Ordenes_Odoo'!A2671)</f>
        <v/>
      </c>
      <c r="B2671" s="80">
        <f>IF('Ordenes_Odoo'!B2671="","",'Ordenes_Odoo'!B2671)</f>
        <v/>
      </c>
      <c r="C2671" s="79">
        <f>IF('Ordenes_Odoo'!C2671="","",'Ordenes_Odoo'!C2671)</f>
        <v/>
      </c>
      <c r="D2671" s="79">
        <f>IF('Ordenes_Odoo'!D2671="","",'Ordenes_Odoo'!D2671)</f>
        <v/>
      </c>
      <c r="E2671" s="79">
        <f>IF('Ordenes_Odoo'!E2671="","",'Ordenes_Odoo'!E2671)</f>
        <v/>
      </c>
      <c r="F2671" s="79">
        <f>IF('Ordenes_Odoo'!F2671="","",'Ordenes_Odoo'!F2671)</f>
        <v/>
      </c>
      <c r="G2671" s="79">
        <f>IF('Ordenes_Odoo'!G2671="","",'Ordenes_Odoo'!G2671)</f>
        <v/>
      </c>
      <c r="H2671" s="79">
        <f>IF('Ordenes_Odoo'!H2671="","",'Ordenes_Odoo'!H2671)</f>
        <v/>
      </c>
      <c r="I2671" s="79">
        <f>IF('Ordenes_Odoo'!I2671="","",'Ordenes_Odoo'!I2671)</f>
        <v/>
      </c>
      <c r="J2671" s="79">
        <f>IF('Ordenes_Odoo'!J2671="","",'Ordenes_Odoo'!J2671)</f>
        <v/>
      </c>
      <c r="K2671" s="81">
        <f>IF('Ordenes_Odoo'!K2671="","",'Ordenes_Odoo'!K2671)</f>
        <v/>
      </c>
      <c r="L2671" s="81">
        <f>IF('Ordenes_Odoo'!L2671="","",'Ordenes_Odoo'!L2671)</f>
        <v/>
      </c>
      <c r="M2671" s="79">
        <f>IF('Ordenes_Odoo'!M2671="","",'Ordenes_Odoo'!M2671)</f>
        <v/>
      </c>
      <c r="N2671" s="79">
        <f>IF('Ordenes_Odoo'!N2671="","",'Ordenes_Odoo'!N2671)</f>
        <v/>
      </c>
      <c r="O2671" s="81">
        <f>IF('Ordenes_Odoo'!O2671="","",'Ordenes_Odoo'!O2671)</f>
        <v/>
      </c>
      <c r="P2671" s="81">
        <f>IF('Ordenes_Odoo'!P2671="","",'Ordenes_Odoo'!P2671)</f>
        <v/>
      </c>
      <c r="Q2671" s="79">
        <f>IF(A2671="","",IFERROR(INDEX(Facturas_Odoo!$B:$B, MATCH(A2671, Facturas_Odoo!$D:$D, 0)), "Sin Factura"))</f>
        <v/>
      </c>
      <c r="R2671" s="80">
        <f>IF(Q2671="Sin Factura","",IFERROR(INDEX(Facturas_Odoo!$A:$A, MATCH(Q2671, Facturas_Odoo!$B:$B, 0)), ""))</f>
        <v/>
      </c>
      <c r="S2671" s="79">
        <f>IF(Q2671="Sin Factura","",IFERROR(_xlfn.XLOOKUP(1, (Facturas_Odoo!$D:$D=A2671) * (Facturas_Odoo!$K:$K=I2671), Facturas_Odoo!$L:$L, ""), ""))</f>
        <v/>
      </c>
      <c r="T2671" s="81">
        <f>IF(Q2671="Sin Factura",0,IFERROR(_xlfn.XLOOKUP(1, (Facturas_Odoo!$D:$D=A2671) * (Facturas_Odoo!$K:$K=I2671), Facturas_Odoo!$M:$M, 0), 0))</f>
        <v/>
      </c>
      <c r="U2671" s="79">
        <f>IF(Q2671="Sin Factura",0,IFERROR(_xlfn.XLOOKUP(1, (Facturas_Odoo!$D:$D=A2671) * (Facturas_Odoo!$K:$K=I2671), Facturas_Odoo!$N:$N, 0), 0))</f>
        <v/>
      </c>
      <c r="V2671" s="79">
        <f>IF(Q2671="Sin Factura",0,IFERROR(_xlfn.XLOOKUP(1, (Facturas_Odoo!$D:$D=A2671) * (Facturas_Odoo!$K:$K=I2671), Facturas_Odoo!$O:$O, 0), 0))</f>
        <v/>
      </c>
      <c r="W2671" s="81">
        <f>IF(Q2671="Sin Factura",0,IFERROR(_xlfn.XLOOKUP(1, (Facturas_Odoo!$D:$D=A2671) * (Facturas_Odoo!$K:$K=I2671), Facturas_Odoo!$Q:$Q, 0), 0))</f>
        <v/>
      </c>
      <c r="X2671" s="79">
        <f>IF(OR(Q2671="Sin Factura",Q2671=""),"",IFERROR(INDEX(Pagos_Odoo!$B:$B, MATCH(Q2671, Pagos_Odoo!$I:$I, 0)), "Sin Pago"))</f>
        <v/>
      </c>
      <c r="Y2671" s="79">
        <f>IF(X2671="Sin Pago","",IFERROR(INDEX(Pagos_Odoo!$C:$C, MATCH(X2671, Pagos_Odoo!$B:$B, 0)), ""))</f>
        <v/>
      </c>
      <c r="Z2671" s="80">
        <f>IF(X2671="Sin Pago","",IFERROR(INDEX(Pagos_Odoo!$A:$A, MATCH(X2671, Pagos_Odoo!$B:$B, 0)), ""))</f>
        <v/>
      </c>
      <c r="AA2671" s="79">
        <f>IF(X2671="Sin Pago","",IFERROR(INDEX(Pagos_Odoo!$F:$F, MATCH(X2671, Pagos_Odoo!$B:$B, 0)), ""))</f>
        <v/>
      </c>
      <c r="AB2671" s="81">
        <f>IF(X2671="Sin Pago",0,IFERROR(INDEX(Pagos_Odoo!$E:$E, MATCH(X2671, Pagos_Odoo!$B:$B, 0)), 0))</f>
        <v/>
      </c>
      <c r="AC2671" s="79">
        <f>IF(X2671="Sin Pago","",IFERROR(INDEX(Pagos_Odoo!$G:$G, MATCH(X2671, Pagos_Odoo!$B:$B, 0)), ""))</f>
        <v/>
      </c>
      <c r="AD2671" s="82" t="n">
        <v>0</v>
      </c>
      <c r="AE2671" s="82" t="n"/>
      <c r="AF2671" s="82" t="n"/>
      <c r="AG2671" s="82">
        <f>IF(AN2671="","",AD2671+AE2671+AF2671)</f>
        <v/>
      </c>
      <c r="AH2671" s="81">
        <f>IF(AN2671="","",P2671*(1-AG2671))</f>
        <v/>
      </c>
      <c r="AI2671" s="81">
        <f>IF(AN2671="","",IF(Q2671="Sin Factura",0,IFERROR(INDEX(Facturas_Odoo!$H:$H, MATCH(Q2671, Facturas_Odoo!$B:$B, 0)), 0)*(1-AG2671)))</f>
        <v/>
      </c>
      <c r="AJ2671" s="81">
        <f>IF(AN2671="","",_xlfn.LET(idVenta, AN2671&amp;"",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71" s="81">
        <f>IF(AN2671="","",AH2671-AJ2671)</f>
        <v/>
      </c>
      <c r="AL2671" s="81">
        <f>IF(AN2671="","",IF(Q2671="Sin Factura","",AI2671-AJ2671))</f>
        <v/>
      </c>
      <c r="AM2671" s="81">
        <f>IF(AN2671="","",IF(Q2671="Sin Factura",0,P2671-IFERROR(INDEX(Facturas_Odoo!$H:$H, MATCH(Q2671, Facturas_Odoo!$B:$B, 0)), 0)))</f>
        <v/>
      </c>
      <c r="AN2671" s="79">
        <f>IF(AND(A2671="", J2671=""), "", IF(A2671&lt;&gt;"", VALUE(MID(A2671,2,LEN(A2671))), AN2670))</f>
        <v/>
      </c>
      <c r="AO2671" s="79">
        <f>IF(AN2671="","",IF(AD2671=0,"OK",_xlfn.LET(monedaPago, IF(AA2671="","USD",AA2671), limitePermitido, IFERROR(VLOOKUP(monedaPago, Configuración!$A$2:$B$3, 2, FALSE), 0.15), IF(AD2671&gt;limitePermitido, "ALERTA: EXCESO (" &amp; TEXT(limitePermitido, "0%") &amp; " máx)", "OK"))))</f>
        <v/>
      </c>
      <c r="AP2671" s="79">
        <f>IF(AN2671="","",IF(AE2671=0,"OK",_xlfn.LET(fechaPago, Z2671, fechaFactura, R2671, diasCredito, IF(E2671="Pago inmediato", 0, IFERROR(VALUE(MID(E2671, 1, SEARCH(" ", E2671)-1)),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71" s="79">
        <f>IF(AN2671="","",IF(AND(N2671&gt;0, AG2671&gt;0), IF(Configuración!$K$2="NO", "ALERTA: DESCUENTO DOBLE NO PERMITIDO", "OK"), "OK"))</f>
        <v/>
      </c>
      <c r="AR2671" s="79">
        <f>IF(AN2671="","",IF(OR(AO2671&lt;&gt;"OK", AP2671&lt;&gt;"OK", AQ2671&lt;&gt;"OK"), "⚠️ REVISAR", "OK"))</f>
        <v/>
      </c>
    </row>
    <row r="2672">
      <c r="A2672" s="79">
        <f>IF('Ordenes_Odoo'!A2672="","",'Ordenes_Odoo'!A2672)</f>
        <v/>
      </c>
      <c r="B2672" s="80">
        <f>IF('Ordenes_Odoo'!B2672="","",'Ordenes_Odoo'!B2672)</f>
        <v/>
      </c>
      <c r="C2672" s="79">
        <f>IF('Ordenes_Odoo'!C2672="","",'Ordenes_Odoo'!C2672)</f>
        <v/>
      </c>
      <c r="D2672" s="79">
        <f>IF('Ordenes_Odoo'!D2672="","",'Ordenes_Odoo'!D2672)</f>
        <v/>
      </c>
      <c r="E2672" s="79">
        <f>IF('Ordenes_Odoo'!E2672="","",'Ordenes_Odoo'!E2672)</f>
        <v/>
      </c>
      <c r="F2672" s="79">
        <f>IF('Ordenes_Odoo'!F2672="","",'Ordenes_Odoo'!F2672)</f>
        <v/>
      </c>
      <c r="G2672" s="79">
        <f>IF('Ordenes_Odoo'!G2672="","",'Ordenes_Odoo'!G2672)</f>
        <v/>
      </c>
      <c r="H2672" s="79">
        <f>IF('Ordenes_Odoo'!H2672="","",'Ordenes_Odoo'!H2672)</f>
        <v/>
      </c>
      <c r="I2672" s="79">
        <f>IF('Ordenes_Odoo'!I2672="","",'Ordenes_Odoo'!I2672)</f>
        <v/>
      </c>
      <c r="J2672" s="79">
        <f>IF('Ordenes_Odoo'!J2672="","",'Ordenes_Odoo'!J2672)</f>
        <v/>
      </c>
      <c r="K2672" s="81">
        <f>IF('Ordenes_Odoo'!K2672="","",'Ordenes_Odoo'!K2672)</f>
        <v/>
      </c>
      <c r="L2672" s="81">
        <f>IF('Ordenes_Odoo'!L2672="","",'Ordenes_Odoo'!L2672)</f>
        <v/>
      </c>
      <c r="M2672" s="79">
        <f>IF('Ordenes_Odoo'!M2672="","",'Ordenes_Odoo'!M2672)</f>
        <v/>
      </c>
      <c r="N2672" s="79">
        <f>IF('Ordenes_Odoo'!N2672="","",'Ordenes_Odoo'!N2672)</f>
        <v/>
      </c>
      <c r="O2672" s="81">
        <f>IF('Ordenes_Odoo'!O2672="","",'Ordenes_Odoo'!O2672)</f>
        <v/>
      </c>
      <c r="P2672" s="81">
        <f>IF('Ordenes_Odoo'!P2672="","",'Ordenes_Odoo'!P2672)</f>
        <v/>
      </c>
      <c r="Q2672" s="79">
        <f>IF(A2672="","",IFERROR(INDEX(Facturas_Odoo!$B:$B, MATCH(A2672, Facturas_Odoo!$D:$D, 0)), "Sin Factura"))</f>
        <v/>
      </c>
      <c r="R2672" s="80">
        <f>IF(Q2672="Sin Factura","",IFERROR(INDEX(Facturas_Odoo!$A:$A, MATCH(Q2672, Facturas_Odoo!$B:$B, 0)), ""))</f>
        <v/>
      </c>
      <c r="S2672" s="79">
        <f>IF(Q2672="Sin Factura","",IFERROR(_xlfn.XLOOKUP(1, (Facturas_Odoo!$D:$D=A2672) * (Facturas_Odoo!$K:$K=I2672), Facturas_Odoo!$L:$L, ""), ""))</f>
        <v/>
      </c>
      <c r="T2672" s="81">
        <f>IF(Q2672="Sin Factura",0,IFERROR(_xlfn.XLOOKUP(1, (Facturas_Odoo!$D:$D=A2672) * (Facturas_Odoo!$K:$K=I2672), Facturas_Odoo!$M:$M, 0), 0))</f>
        <v/>
      </c>
      <c r="U2672" s="79">
        <f>IF(Q2672="Sin Factura",0,IFERROR(_xlfn.XLOOKUP(1, (Facturas_Odoo!$D:$D=A2672) * (Facturas_Odoo!$K:$K=I2672), Facturas_Odoo!$N:$N, 0), 0))</f>
        <v/>
      </c>
      <c r="V2672" s="79">
        <f>IF(Q2672="Sin Factura",0,IFERROR(_xlfn.XLOOKUP(1, (Facturas_Odoo!$D:$D=A2672) * (Facturas_Odoo!$K:$K=I2672), Facturas_Odoo!$O:$O, 0), 0))</f>
        <v/>
      </c>
      <c r="W2672" s="81">
        <f>IF(Q2672="Sin Factura",0,IFERROR(_xlfn.XLOOKUP(1, (Facturas_Odoo!$D:$D=A2672) * (Facturas_Odoo!$K:$K=I2672), Facturas_Odoo!$Q:$Q, 0), 0))</f>
        <v/>
      </c>
      <c r="X2672" s="79">
        <f>IF(OR(Q2672="Sin Factura",Q2672=""),"",IFERROR(INDEX(Pagos_Odoo!$B:$B, MATCH(Q2672, Pagos_Odoo!$I:$I, 0)), "Sin Pago"))</f>
        <v/>
      </c>
      <c r="Y2672" s="79">
        <f>IF(X2672="Sin Pago","",IFERROR(INDEX(Pagos_Odoo!$C:$C, MATCH(X2672, Pagos_Odoo!$B:$B, 0)), ""))</f>
        <v/>
      </c>
      <c r="Z2672" s="80">
        <f>IF(X2672="Sin Pago","",IFERROR(INDEX(Pagos_Odoo!$A:$A, MATCH(X2672, Pagos_Odoo!$B:$B, 0)), ""))</f>
        <v/>
      </c>
      <c r="AA2672" s="79">
        <f>IF(X2672="Sin Pago","",IFERROR(INDEX(Pagos_Odoo!$F:$F, MATCH(X2672, Pagos_Odoo!$B:$B, 0)), ""))</f>
        <v/>
      </c>
      <c r="AB2672" s="81">
        <f>IF(X2672="Sin Pago",0,IFERROR(INDEX(Pagos_Odoo!$E:$E, MATCH(X2672, Pagos_Odoo!$B:$B, 0)), 0))</f>
        <v/>
      </c>
      <c r="AC2672" s="79">
        <f>IF(X2672="Sin Pago","",IFERROR(INDEX(Pagos_Odoo!$G:$G, MATCH(X2672, Pagos_Odoo!$B:$B, 0)), ""))</f>
        <v/>
      </c>
      <c r="AD2672" s="82" t="n">
        <v>0</v>
      </c>
      <c r="AE2672" s="82" t="n"/>
      <c r="AF2672" s="82" t="n"/>
      <c r="AG2672" s="82">
        <f>IF(AN2672="","",AD2672+AE2672+AF2672)</f>
        <v/>
      </c>
      <c r="AH2672" s="81">
        <f>IF(AN2672="","",P2672*(1-AG2672))</f>
        <v/>
      </c>
      <c r="AI2672" s="81">
        <f>IF(AN2672="","",IF(Q2672="Sin Factura",0,IFERROR(INDEX(Facturas_Odoo!$H:$H, MATCH(Q2672, Facturas_Odoo!$B:$B, 0)), 0)*(1-AG2672)))</f>
        <v/>
      </c>
      <c r="AJ2672" s="81">
        <f>IF(AN2672="","",_xlfn.LET(idVenta, AN2672&amp;"",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72" s="81">
        <f>IF(AN2672="","",AH2672-AJ2672)</f>
        <v/>
      </c>
      <c r="AL2672" s="81">
        <f>IF(AN2672="","",IF(Q2672="Sin Factura","",AI2672-AJ2672))</f>
        <v/>
      </c>
      <c r="AM2672" s="81">
        <f>IF(AN2672="","",IF(Q2672="Sin Factura",0,P2672-IFERROR(INDEX(Facturas_Odoo!$H:$H, MATCH(Q2672, Facturas_Odoo!$B:$B, 0)), 0)))</f>
        <v/>
      </c>
      <c r="AN2672" s="79">
        <f>IF(AND(A2672="", J2672=""), "", IF(A2672&lt;&gt;"", VALUE(MID(A2672,2,LEN(A2672))), AN2671))</f>
        <v/>
      </c>
      <c r="AO2672" s="79">
        <f>IF(AN2672="","",IF(AD2672=0,"OK",_xlfn.LET(monedaPago, IF(AA2672="","USD",AA2672), limitePermitido, IFERROR(VLOOKUP(monedaPago, Configuración!$A$2:$B$3, 2, FALSE), 0.15), IF(AD2672&gt;limitePermitido, "ALERTA: EXCESO (" &amp; TEXT(limitePermitido, "0%") &amp; " máx)", "OK"))))</f>
        <v/>
      </c>
      <c r="AP2672" s="79">
        <f>IF(AN2672="","",IF(AE2672=0,"OK",_xlfn.LET(fechaPago, Z2672, fechaFactura, R2672, diasCredito, IF(E2672="Pago inmediato", 0, IFERROR(VALUE(MID(E2672, 1, SEARCH(" ", E2672)-1)),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72" s="79">
        <f>IF(AN2672="","",IF(AND(N2672&gt;0, AG2672&gt;0), IF(Configuración!$K$2="NO", "ALERTA: DESCUENTO DOBLE NO PERMITIDO", "OK"), "OK"))</f>
        <v/>
      </c>
      <c r="AR2672" s="79">
        <f>IF(AN2672="","",IF(OR(AO2672&lt;&gt;"OK", AP2672&lt;&gt;"OK", AQ2672&lt;&gt;"OK"), "⚠️ REVISAR", "OK"))</f>
        <v/>
      </c>
    </row>
    <row r="2673">
      <c r="A2673" s="79">
        <f>IF('Ordenes_Odoo'!A2673="","",'Ordenes_Odoo'!A2673)</f>
        <v/>
      </c>
      <c r="B2673" s="80">
        <f>IF('Ordenes_Odoo'!B2673="","",'Ordenes_Odoo'!B2673)</f>
        <v/>
      </c>
      <c r="C2673" s="79">
        <f>IF('Ordenes_Odoo'!C2673="","",'Ordenes_Odoo'!C2673)</f>
        <v/>
      </c>
      <c r="D2673" s="79">
        <f>IF('Ordenes_Odoo'!D2673="","",'Ordenes_Odoo'!D2673)</f>
        <v/>
      </c>
      <c r="E2673" s="79">
        <f>IF('Ordenes_Odoo'!E2673="","",'Ordenes_Odoo'!E2673)</f>
        <v/>
      </c>
      <c r="F2673" s="79">
        <f>IF('Ordenes_Odoo'!F2673="","",'Ordenes_Odoo'!F2673)</f>
        <v/>
      </c>
      <c r="G2673" s="79">
        <f>IF('Ordenes_Odoo'!G2673="","",'Ordenes_Odoo'!G2673)</f>
        <v/>
      </c>
      <c r="H2673" s="79">
        <f>IF('Ordenes_Odoo'!H2673="","",'Ordenes_Odoo'!H2673)</f>
        <v/>
      </c>
      <c r="I2673" s="79">
        <f>IF('Ordenes_Odoo'!I2673="","",'Ordenes_Odoo'!I2673)</f>
        <v/>
      </c>
      <c r="J2673" s="79">
        <f>IF('Ordenes_Odoo'!J2673="","",'Ordenes_Odoo'!J2673)</f>
        <v/>
      </c>
      <c r="K2673" s="81">
        <f>IF('Ordenes_Odoo'!K2673="","",'Ordenes_Odoo'!K2673)</f>
        <v/>
      </c>
      <c r="L2673" s="81">
        <f>IF('Ordenes_Odoo'!L2673="","",'Ordenes_Odoo'!L2673)</f>
        <v/>
      </c>
      <c r="M2673" s="79">
        <f>IF('Ordenes_Odoo'!M2673="","",'Ordenes_Odoo'!M2673)</f>
        <v/>
      </c>
      <c r="N2673" s="79">
        <f>IF('Ordenes_Odoo'!N2673="","",'Ordenes_Odoo'!N2673)</f>
        <v/>
      </c>
      <c r="O2673" s="81">
        <f>IF('Ordenes_Odoo'!O2673="","",'Ordenes_Odoo'!O2673)</f>
        <v/>
      </c>
      <c r="P2673" s="81">
        <f>IF('Ordenes_Odoo'!P2673="","",'Ordenes_Odoo'!P2673)</f>
        <v/>
      </c>
      <c r="Q2673" s="79">
        <f>IF(A2673="","",IFERROR(INDEX(Facturas_Odoo!$B:$B, MATCH(A2673, Facturas_Odoo!$D:$D, 0)), "Sin Factura"))</f>
        <v/>
      </c>
      <c r="R2673" s="80">
        <f>IF(Q2673="Sin Factura","",IFERROR(INDEX(Facturas_Odoo!$A:$A, MATCH(Q2673, Facturas_Odoo!$B:$B, 0)), ""))</f>
        <v/>
      </c>
      <c r="S2673" s="79">
        <f>IF(Q2673="Sin Factura","",IFERROR(_xlfn.XLOOKUP(1, (Facturas_Odoo!$D:$D=A2673) * (Facturas_Odoo!$K:$K=I2673), Facturas_Odoo!$L:$L, ""), ""))</f>
        <v/>
      </c>
      <c r="T2673" s="81">
        <f>IF(Q2673="Sin Factura",0,IFERROR(_xlfn.XLOOKUP(1, (Facturas_Odoo!$D:$D=A2673) * (Facturas_Odoo!$K:$K=I2673), Facturas_Odoo!$M:$M, 0), 0))</f>
        <v/>
      </c>
      <c r="U2673" s="79">
        <f>IF(Q2673="Sin Factura",0,IFERROR(_xlfn.XLOOKUP(1, (Facturas_Odoo!$D:$D=A2673) * (Facturas_Odoo!$K:$K=I2673), Facturas_Odoo!$N:$N, 0), 0))</f>
        <v/>
      </c>
      <c r="V2673" s="79">
        <f>IF(Q2673="Sin Factura",0,IFERROR(_xlfn.XLOOKUP(1, (Facturas_Odoo!$D:$D=A2673) * (Facturas_Odoo!$K:$K=I2673), Facturas_Odoo!$O:$O, 0), 0))</f>
        <v/>
      </c>
      <c r="W2673" s="81">
        <f>IF(Q2673="Sin Factura",0,IFERROR(_xlfn.XLOOKUP(1, (Facturas_Odoo!$D:$D=A2673) * (Facturas_Odoo!$K:$K=I2673), Facturas_Odoo!$Q:$Q, 0), 0))</f>
        <v/>
      </c>
      <c r="X2673" s="79">
        <f>IF(OR(Q2673="Sin Factura",Q2673=""),"",IFERROR(INDEX(Pagos_Odoo!$B:$B, MATCH(Q2673, Pagos_Odoo!$I:$I, 0)), "Sin Pago"))</f>
        <v/>
      </c>
      <c r="Y2673" s="79">
        <f>IF(X2673="Sin Pago","",IFERROR(INDEX(Pagos_Odoo!$C:$C, MATCH(X2673, Pagos_Odoo!$B:$B, 0)), ""))</f>
        <v/>
      </c>
      <c r="Z2673" s="80">
        <f>IF(X2673="Sin Pago","",IFERROR(INDEX(Pagos_Odoo!$A:$A, MATCH(X2673, Pagos_Odoo!$B:$B, 0)), ""))</f>
        <v/>
      </c>
      <c r="AA2673" s="79">
        <f>IF(X2673="Sin Pago","",IFERROR(INDEX(Pagos_Odoo!$F:$F, MATCH(X2673, Pagos_Odoo!$B:$B, 0)), ""))</f>
        <v/>
      </c>
      <c r="AB2673" s="81">
        <f>IF(X2673="Sin Pago",0,IFERROR(INDEX(Pagos_Odoo!$E:$E, MATCH(X2673, Pagos_Odoo!$B:$B, 0)), 0))</f>
        <v/>
      </c>
      <c r="AC2673" s="79">
        <f>IF(X2673="Sin Pago","",IFERROR(INDEX(Pagos_Odoo!$G:$G, MATCH(X2673, Pagos_Odoo!$B:$B, 0)), ""))</f>
        <v/>
      </c>
      <c r="AD2673" s="82" t="n">
        <v>0</v>
      </c>
      <c r="AE2673" s="82" t="n"/>
      <c r="AF2673" s="82" t="n"/>
      <c r="AG2673" s="82">
        <f>IF(AN2673="","",AD2673+AE2673+AF2673)</f>
        <v/>
      </c>
      <c r="AH2673" s="81">
        <f>IF(AN2673="","",P2673*(1-AG2673))</f>
        <v/>
      </c>
      <c r="AI2673" s="81">
        <f>IF(AN2673="","",IF(Q2673="Sin Factura",0,IFERROR(INDEX(Facturas_Odoo!$H:$H, MATCH(Q2673, Facturas_Odoo!$B:$B, 0)), 0)*(1-AG2673)))</f>
        <v/>
      </c>
      <c r="AJ2673" s="81">
        <f>IF(AN2673="","",_xlfn.LET(idVenta, AN2673&amp;"",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73" s="81">
        <f>IF(AN2673="","",AH2673-AJ2673)</f>
        <v/>
      </c>
      <c r="AL2673" s="81">
        <f>IF(AN2673="","",IF(Q2673="Sin Factura","",AI2673-AJ2673))</f>
        <v/>
      </c>
      <c r="AM2673" s="81">
        <f>IF(AN2673="","",IF(Q2673="Sin Factura",0,P2673-IFERROR(INDEX(Facturas_Odoo!$H:$H, MATCH(Q2673, Facturas_Odoo!$B:$B, 0)), 0)))</f>
        <v/>
      </c>
      <c r="AN2673" s="79">
        <f>IF(AND(A2673="", J2673=""), "", IF(A2673&lt;&gt;"", VALUE(MID(A2673,2,LEN(A2673))), AN2672))</f>
        <v/>
      </c>
      <c r="AO2673" s="79">
        <f>IF(AN2673="","",IF(AD2673=0,"OK",_xlfn.LET(monedaPago, IF(AA2673="","USD",AA2673), limitePermitido, IFERROR(VLOOKUP(monedaPago, Configuración!$A$2:$B$3, 2, FALSE), 0.15), IF(AD2673&gt;limitePermitido, "ALERTA: EXCESO (" &amp; TEXT(limitePermitido, "0%") &amp; " máx)", "OK"))))</f>
        <v/>
      </c>
      <c r="AP2673" s="79">
        <f>IF(AN2673="","",IF(AE2673=0,"OK",_xlfn.LET(fechaPago, Z2673, fechaFactura, R2673, diasCredito, IF(E2673="Pago inmediato", 0, IFERROR(VALUE(MID(E2673, 1, SEARCH(" ", E2673)-1)),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73" s="79">
        <f>IF(AN2673="","",IF(AND(N2673&gt;0, AG2673&gt;0), IF(Configuración!$K$2="NO", "ALERTA: DESCUENTO DOBLE NO PERMITIDO", "OK"), "OK"))</f>
        <v/>
      </c>
      <c r="AR2673" s="79">
        <f>IF(AN2673="","",IF(OR(AO2673&lt;&gt;"OK", AP2673&lt;&gt;"OK", AQ2673&lt;&gt;"OK"), "⚠️ REVISAR", "OK"))</f>
        <v/>
      </c>
    </row>
    <row r="2674">
      <c r="A2674" s="79">
        <f>IF('Ordenes_Odoo'!A2674="","",'Ordenes_Odoo'!A2674)</f>
        <v/>
      </c>
      <c r="B2674" s="80">
        <f>IF('Ordenes_Odoo'!B2674="","",'Ordenes_Odoo'!B2674)</f>
        <v/>
      </c>
      <c r="C2674" s="79">
        <f>IF('Ordenes_Odoo'!C2674="","",'Ordenes_Odoo'!C2674)</f>
        <v/>
      </c>
      <c r="D2674" s="79">
        <f>IF('Ordenes_Odoo'!D2674="","",'Ordenes_Odoo'!D2674)</f>
        <v/>
      </c>
      <c r="E2674" s="79">
        <f>IF('Ordenes_Odoo'!E2674="","",'Ordenes_Odoo'!E2674)</f>
        <v/>
      </c>
      <c r="F2674" s="79">
        <f>IF('Ordenes_Odoo'!F2674="","",'Ordenes_Odoo'!F2674)</f>
        <v/>
      </c>
      <c r="G2674" s="79">
        <f>IF('Ordenes_Odoo'!G2674="","",'Ordenes_Odoo'!G2674)</f>
        <v/>
      </c>
      <c r="H2674" s="79">
        <f>IF('Ordenes_Odoo'!H2674="","",'Ordenes_Odoo'!H2674)</f>
        <v/>
      </c>
      <c r="I2674" s="79">
        <f>IF('Ordenes_Odoo'!I2674="","",'Ordenes_Odoo'!I2674)</f>
        <v/>
      </c>
      <c r="J2674" s="79">
        <f>IF('Ordenes_Odoo'!J2674="","",'Ordenes_Odoo'!J2674)</f>
        <v/>
      </c>
      <c r="K2674" s="81">
        <f>IF('Ordenes_Odoo'!K2674="","",'Ordenes_Odoo'!K2674)</f>
        <v/>
      </c>
      <c r="L2674" s="81">
        <f>IF('Ordenes_Odoo'!L2674="","",'Ordenes_Odoo'!L2674)</f>
        <v/>
      </c>
      <c r="M2674" s="79">
        <f>IF('Ordenes_Odoo'!M2674="","",'Ordenes_Odoo'!M2674)</f>
        <v/>
      </c>
      <c r="N2674" s="79">
        <f>IF('Ordenes_Odoo'!N2674="","",'Ordenes_Odoo'!N2674)</f>
        <v/>
      </c>
      <c r="O2674" s="81">
        <f>IF('Ordenes_Odoo'!O2674="","",'Ordenes_Odoo'!O2674)</f>
        <v/>
      </c>
      <c r="P2674" s="81">
        <f>IF('Ordenes_Odoo'!P2674="","",'Ordenes_Odoo'!P2674)</f>
        <v/>
      </c>
      <c r="Q2674" s="79">
        <f>IF(A2674="","",IFERROR(INDEX(Facturas_Odoo!$B:$B, MATCH(A2674, Facturas_Odoo!$D:$D, 0)), "Sin Factura"))</f>
        <v/>
      </c>
      <c r="R2674" s="80">
        <f>IF(Q2674="Sin Factura","",IFERROR(INDEX(Facturas_Odoo!$A:$A, MATCH(Q2674, Facturas_Odoo!$B:$B, 0)), ""))</f>
        <v/>
      </c>
      <c r="S2674" s="79">
        <f>IF(Q2674="Sin Factura","",IFERROR(_xlfn.XLOOKUP(1, (Facturas_Odoo!$D:$D=A2674) * (Facturas_Odoo!$K:$K=I2674), Facturas_Odoo!$L:$L, ""), ""))</f>
        <v/>
      </c>
      <c r="T2674" s="81">
        <f>IF(Q2674="Sin Factura",0,IFERROR(_xlfn.XLOOKUP(1, (Facturas_Odoo!$D:$D=A2674) * (Facturas_Odoo!$K:$K=I2674), Facturas_Odoo!$M:$M, 0), 0))</f>
        <v/>
      </c>
      <c r="U2674" s="79">
        <f>IF(Q2674="Sin Factura",0,IFERROR(_xlfn.XLOOKUP(1, (Facturas_Odoo!$D:$D=A2674) * (Facturas_Odoo!$K:$K=I2674), Facturas_Odoo!$N:$N, 0), 0))</f>
        <v/>
      </c>
      <c r="V2674" s="79">
        <f>IF(Q2674="Sin Factura",0,IFERROR(_xlfn.XLOOKUP(1, (Facturas_Odoo!$D:$D=A2674) * (Facturas_Odoo!$K:$K=I2674), Facturas_Odoo!$O:$O, 0), 0))</f>
        <v/>
      </c>
      <c r="W2674" s="81">
        <f>IF(Q2674="Sin Factura",0,IFERROR(_xlfn.XLOOKUP(1, (Facturas_Odoo!$D:$D=A2674) * (Facturas_Odoo!$K:$K=I2674), Facturas_Odoo!$Q:$Q, 0), 0))</f>
        <v/>
      </c>
      <c r="X2674" s="79">
        <f>IF(OR(Q2674="Sin Factura",Q2674=""),"",IFERROR(INDEX(Pagos_Odoo!$B:$B, MATCH(Q2674, Pagos_Odoo!$I:$I, 0)), "Sin Pago"))</f>
        <v/>
      </c>
      <c r="Y2674" s="79">
        <f>IF(X2674="Sin Pago","",IFERROR(INDEX(Pagos_Odoo!$C:$C, MATCH(X2674, Pagos_Odoo!$B:$B, 0)), ""))</f>
        <v/>
      </c>
      <c r="Z2674" s="80">
        <f>IF(X2674="Sin Pago","",IFERROR(INDEX(Pagos_Odoo!$A:$A, MATCH(X2674, Pagos_Odoo!$B:$B, 0)), ""))</f>
        <v/>
      </c>
      <c r="AA2674" s="79">
        <f>IF(X2674="Sin Pago","",IFERROR(INDEX(Pagos_Odoo!$F:$F, MATCH(X2674, Pagos_Odoo!$B:$B, 0)), ""))</f>
        <v/>
      </c>
      <c r="AB2674" s="81">
        <f>IF(X2674="Sin Pago",0,IFERROR(INDEX(Pagos_Odoo!$E:$E, MATCH(X2674, Pagos_Odoo!$B:$B, 0)), 0))</f>
        <v/>
      </c>
      <c r="AC2674" s="79">
        <f>IF(X2674="Sin Pago","",IFERROR(INDEX(Pagos_Odoo!$G:$G, MATCH(X2674, Pagos_Odoo!$B:$B, 0)), ""))</f>
        <v/>
      </c>
      <c r="AD2674" s="82" t="n">
        <v>0</v>
      </c>
      <c r="AE2674" s="82" t="n"/>
      <c r="AF2674" s="82" t="n"/>
      <c r="AG2674" s="82">
        <f>IF(AN2674="","",AD2674+AE2674+AF2674)</f>
        <v/>
      </c>
      <c r="AH2674" s="81">
        <f>IF(AN2674="","",P2674*(1-AG2674))</f>
        <v/>
      </c>
      <c r="AI2674" s="81">
        <f>IF(AN2674="","",IF(Q2674="Sin Factura",0,IFERROR(INDEX(Facturas_Odoo!$H:$H, MATCH(Q2674, Facturas_Odoo!$B:$B, 0)), 0)*(1-AG2674)))</f>
        <v/>
      </c>
      <c r="AJ2674" s="81">
        <f>IF(AN2674="","",_xlfn.LET(idVenta, AN2674&amp;"",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74" s="81">
        <f>IF(AN2674="","",AH2674-AJ2674)</f>
        <v/>
      </c>
      <c r="AL2674" s="81">
        <f>IF(AN2674="","",IF(Q2674="Sin Factura","",AI2674-AJ2674))</f>
        <v/>
      </c>
      <c r="AM2674" s="81">
        <f>IF(AN2674="","",IF(Q2674="Sin Factura",0,P2674-IFERROR(INDEX(Facturas_Odoo!$H:$H, MATCH(Q2674, Facturas_Odoo!$B:$B, 0)), 0)))</f>
        <v/>
      </c>
      <c r="AN2674" s="79">
        <f>IF(AND(A2674="", J2674=""), "", IF(A2674&lt;&gt;"", VALUE(MID(A2674,2,LEN(A2674))), AN2673))</f>
        <v/>
      </c>
      <c r="AO2674" s="79">
        <f>IF(AN2674="","",IF(AD2674=0,"OK",_xlfn.LET(monedaPago, IF(AA2674="","USD",AA2674), limitePermitido, IFERROR(VLOOKUP(monedaPago, Configuración!$A$2:$B$3, 2, FALSE), 0.15), IF(AD2674&gt;limitePermitido, "ALERTA: EXCESO (" &amp; TEXT(limitePermitido, "0%") &amp; " máx)", "OK"))))</f>
        <v/>
      </c>
      <c r="AP2674" s="79">
        <f>IF(AN2674="","",IF(AE2674=0,"OK",_xlfn.LET(fechaPago, Z2674, fechaFactura, R2674, diasCredito, IF(E2674="Pago inmediato", 0, IFERROR(VALUE(MID(E2674, 1, SEARCH(" ", E2674)-1)),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74" s="79">
        <f>IF(AN2674="","",IF(AND(N2674&gt;0, AG2674&gt;0), IF(Configuración!$K$2="NO", "ALERTA: DESCUENTO DOBLE NO PERMITIDO", "OK"), "OK"))</f>
        <v/>
      </c>
      <c r="AR2674" s="79">
        <f>IF(AN2674="","",IF(OR(AO2674&lt;&gt;"OK", AP2674&lt;&gt;"OK", AQ2674&lt;&gt;"OK"), "⚠️ REVISAR", "OK"))</f>
        <v/>
      </c>
    </row>
    <row r="2675">
      <c r="A2675" s="79">
        <f>IF('Ordenes_Odoo'!A2675="","",'Ordenes_Odoo'!A2675)</f>
        <v/>
      </c>
      <c r="B2675" s="80">
        <f>IF('Ordenes_Odoo'!B2675="","",'Ordenes_Odoo'!B2675)</f>
        <v/>
      </c>
      <c r="C2675" s="79">
        <f>IF('Ordenes_Odoo'!C2675="","",'Ordenes_Odoo'!C2675)</f>
        <v/>
      </c>
      <c r="D2675" s="79">
        <f>IF('Ordenes_Odoo'!D2675="","",'Ordenes_Odoo'!D2675)</f>
        <v/>
      </c>
      <c r="E2675" s="79">
        <f>IF('Ordenes_Odoo'!E2675="","",'Ordenes_Odoo'!E2675)</f>
        <v/>
      </c>
      <c r="F2675" s="79">
        <f>IF('Ordenes_Odoo'!F2675="","",'Ordenes_Odoo'!F2675)</f>
        <v/>
      </c>
      <c r="G2675" s="79">
        <f>IF('Ordenes_Odoo'!G2675="","",'Ordenes_Odoo'!G2675)</f>
        <v/>
      </c>
      <c r="H2675" s="79">
        <f>IF('Ordenes_Odoo'!H2675="","",'Ordenes_Odoo'!H2675)</f>
        <v/>
      </c>
      <c r="I2675" s="79">
        <f>IF('Ordenes_Odoo'!I2675="","",'Ordenes_Odoo'!I2675)</f>
        <v/>
      </c>
      <c r="J2675" s="79">
        <f>IF('Ordenes_Odoo'!J2675="","",'Ordenes_Odoo'!J2675)</f>
        <v/>
      </c>
      <c r="K2675" s="81">
        <f>IF('Ordenes_Odoo'!K2675="","",'Ordenes_Odoo'!K2675)</f>
        <v/>
      </c>
      <c r="L2675" s="81">
        <f>IF('Ordenes_Odoo'!L2675="","",'Ordenes_Odoo'!L2675)</f>
        <v/>
      </c>
      <c r="M2675" s="79">
        <f>IF('Ordenes_Odoo'!M2675="","",'Ordenes_Odoo'!M2675)</f>
        <v/>
      </c>
      <c r="N2675" s="79">
        <f>IF('Ordenes_Odoo'!N2675="","",'Ordenes_Odoo'!N2675)</f>
        <v/>
      </c>
      <c r="O2675" s="81">
        <f>IF('Ordenes_Odoo'!O2675="","",'Ordenes_Odoo'!O2675)</f>
        <v/>
      </c>
      <c r="P2675" s="81">
        <f>IF('Ordenes_Odoo'!P2675="","",'Ordenes_Odoo'!P2675)</f>
        <v/>
      </c>
      <c r="Q2675" s="79">
        <f>IF(A2675="","",IFERROR(INDEX(Facturas_Odoo!$B:$B, MATCH(A2675, Facturas_Odoo!$D:$D, 0)), "Sin Factura"))</f>
        <v/>
      </c>
      <c r="R2675" s="80">
        <f>IF(Q2675="Sin Factura","",IFERROR(INDEX(Facturas_Odoo!$A:$A, MATCH(Q2675, Facturas_Odoo!$B:$B, 0)), ""))</f>
        <v/>
      </c>
      <c r="S2675" s="79">
        <f>IF(Q2675="Sin Factura","",IFERROR(_xlfn.XLOOKUP(1, (Facturas_Odoo!$D:$D=A2675) * (Facturas_Odoo!$K:$K=I2675), Facturas_Odoo!$L:$L, ""), ""))</f>
        <v/>
      </c>
      <c r="T2675" s="81">
        <f>IF(Q2675="Sin Factura",0,IFERROR(_xlfn.XLOOKUP(1, (Facturas_Odoo!$D:$D=A2675) * (Facturas_Odoo!$K:$K=I2675), Facturas_Odoo!$M:$M, 0), 0))</f>
        <v/>
      </c>
      <c r="U2675" s="79">
        <f>IF(Q2675="Sin Factura",0,IFERROR(_xlfn.XLOOKUP(1, (Facturas_Odoo!$D:$D=A2675) * (Facturas_Odoo!$K:$K=I2675), Facturas_Odoo!$N:$N, 0), 0))</f>
        <v/>
      </c>
      <c r="V2675" s="79">
        <f>IF(Q2675="Sin Factura",0,IFERROR(_xlfn.XLOOKUP(1, (Facturas_Odoo!$D:$D=A2675) * (Facturas_Odoo!$K:$K=I2675), Facturas_Odoo!$O:$O, 0), 0))</f>
        <v/>
      </c>
      <c r="W2675" s="81">
        <f>IF(Q2675="Sin Factura",0,IFERROR(_xlfn.XLOOKUP(1, (Facturas_Odoo!$D:$D=A2675) * (Facturas_Odoo!$K:$K=I2675), Facturas_Odoo!$Q:$Q, 0), 0))</f>
        <v/>
      </c>
      <c r="X2675" s="79">
        <f>IF(OR(Q2675="Sin Factura",Q2675=""),"",IFERROR(INDEX(Pagos_Odoo!$B:$B, MATCH(Q2675, Pagos_Odoo!$I:$I, 0)), "Sin Pago"))</f>
        <v/>
      </c>
      <c r="Y2675" s="79">
        <f>IF(X2675="Sin Pago","",IFERROR(INDEX(Pagos_Odoo!$C:$C, MATCH(X2675, Pagos_Odoo!$B:$B, 0)), ""))</f>
        <v/>
      </c>
      <c r="Z2675" s="80">
        <f>IF(X2675="Sin Pago","",IFERROR(INDEX(Pagos_Odoo!$A:$A, MATCH(X2675, Pagos_Odoo!$B:$B, 0)), ""))</f>
        <v/>
      </c>
      <c r="AA2675" s="79">
        <f>IF(X2675="Sin Pago","",IFERROR(INDEX(Pagos_Odoo!$F:$F, MATCH(X2675, Pagos_Odoo!$B:$B, 0)), ""))</f>
        <v/>
      </c>
      <c r="AB2675" s="81">
        <f>IF(X2675="Sin Pago",0,IFERROR(INDEX(Pagos_Odoo!$E:$E, MATCH(X2675, Pagos_Odoo!$B:$B, 0)), 0))</f>
        <v/>
      </c>
      <c r="AC2675" s="79">
        <f>IF(X2675="Sin Pago","",IFERROR(INDEX(Pagos_Odoo!$G:$G, MATCH(X2675, Pagos_Odoo!$B:$B, 0)), ""))</f>
        <v/>
      </c>
      <c r="AD2675" s="82" t="n">
        <v>0</v>
      </c>
      <c r="AE2675" s="82" t="n"/>
      <c r="AF2675" s="82" t="n"/>
      <c r="AG2675" s="82">
        <f>IF(AN2675="","",AD2675+AE2675+AF2675)</f>
        <v/>
      </c>
      <c r="AH2675" s="81">
        <f>IF(AN2675="","",P2675*(1-AG2675))</f>
        <v/>
      </c>
      <c r="AI2675" s="81">
        <f>IF(AN2675="","",IF(Q2675="Sin Factura",0,IFERROR(INDEX(Facturas_Odoo!$H:$H, MATCH(Q2675, Facturas_Odoo!$B:$B, 0)), 0)*(1-AG2675)))</f>
        <v/>
      </c>
      <c r="AJ2675" s="81">
        <f>IF(AN2675="","",_xlfn.LET(idVenta, AN2675&amp;"",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75" s="81">
        <f>IF(AN2675="","",AH2675-AJ2675)</f>
        <v/>
      </c>
      <c r="AL2675" s="81">
        <f>IF(AN2675="","",IF(Q2675="Sin Factura","",AI2675-AJ2675))</f>
        <v/>
      </c>
      <c r="AM2675" s="81">
        <f>IF(AN2675="","",IF(Q2675="Sin Factura",0,P2675-IFERROR(INDEX(Facturas_Odoo!$H:$H, MATCH(Q2675, Facturas_Odoo!$B:$B, 0)), 0)))</f>
        <v/>
      </c>
      <c r="AN2675" s="79">
        <f>IF(AND(A2675="", J2675=""), "", IF(A2675&lt;&gt;"", VALUE(MID(A2675,2,LEN(A2675))), AN2674))</f>
        <v/>
      </c>
      <c r="AO2675" s="79">
        <f>IF(AN2675="","",IF(AD2675=0,"OK",_xlfn.LET(monedaPago, IF(AA2675="","USD",AA2675), limitePermitido, IFERROR(VLOOKUP(monedaPago, Configuración!$A$2:$B$3, 2, FALSE), 0.15), IF(AD2675&gt;limitePermitido, "ALERTA: EXCESO (" &amp; TEXT(limitePermitido, "0%") &amp; " máx)", "OK"))))</f>
        <v/>
      </c>
      <c r="AP2675" s="79">
        <f>IF(AN2675="","",IF(AE2675=0,"OK",_xlfn.LET(fechaPago, Z2675, fechaFactura, R2675, diasCredito, IF(E2675="Pago inmediato", 0, IFERROR(VALUE(MID(E2675, 1, SEARCH(" ", E2675)-1)),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75" s="79">
        <f>IF(AN2675="","",IF(AND(N2675&gt;0, AG2675&gt;0), IF(Configuración!$K$2="NO", "ALERTA: DESCUENTO DOBLE NO PERMITIDO", "OK"), "OK"))</f>
        <v/>
      </c>
      <c r="AR2675" s="79">
        <f>IF(AN2675="","",IF(OR(AO2675&lt;&gt;"OK", AP2675&lt;&gt;"OK", AQ2675&lt;&gt;"OK"), "⚠️ REVISAR", "OK"))</f>
        <v/>
      </c>
    </row>
    <row r="2676">
      <c r="A2676" s="79">
        <f>IF('Ordenes_Odoo'!A2676="","",'Ordenes_Odoo'!A2676)</f>
        <v/>
      </c>
      <c r="B2676" s="80">
        <f>IF('Ordenes_Odoo'!B2676="","",'Ordenes_Odoo'!B2676)</f>
        <v/>
      </c>
      <c r="C2676" s="79">
        <f>IF('Ordenes_Odoo'!C2676="","",'Ordenes_Odoo'!C2676)</f>
        <v/>
      </c>
      <c r="D2676" s="79">
        <f>IF('Ordenes_Odoo'!D2676="","",'Ordenes_Odoo'!D2676)</f>
        <v/>
      </c>
      <c r="E2676" s="79">
        <f>IF('Ordenes_Odoo'!E2676="","",'Ordenes_Odoo'!E2676)</f>
        <v/>
      </c>
      <c r="F2676" s="79">
        <f>IF('Ordenes_Odoo'!F2676="","",'Ordenes_Odoo'!F2676)</f>
        <v/>
      </c>
      <c r="G2676" s="79">
        <f>IF('Ordenes_Odoo'!G2676="","",'Ordenes_Odoo'!G2676)</f>
        <v/>
      </c>
      <c r="H2676" s="79">
        <f>IF('Ordenes_Odoo'!H2676="","",'Ordenes_Odoo'!H2676)</f>
        <v/>
      </c>
      <c r="I2676" s="79">
        <f>IF('Ordenes_Odoo'!I2676="","",'Ordenes_Odoo'!I2676)</f>
        <v/>
      </c>
      <c r="J2676" s="79">
        <f>IF('Ordenes_Odoo'!J2676="","",'Ordenes_Odoo'!J2676)</f>
        <v/>
      </c>
      <c r="K2676" s="81">
        <f>IF('Ordenes_Odoo'!K2676="","",'Ordenes_Odoo'!K2676)</f>
        <v/>
      </c>
      <c r="L2676" s="81">
        <f>IF('Ordenes_Odoo'!L2676="","",'Ordenes_Odoo'!L2676)</f>
        <v/>
      </c>
      <c r="M2676" s="79">
        <f>IF('Ordenes_Odoo'!M2676="","",'Ordenes_Odoo'!M2676)</f>
        <v/>
      </c>
      <c r="N2676" s="79">
        <f>IF('Ordenes_Odoo'!N2676="","",'Ordenes_Odoo'!N2676)</f>
        <v/>
      </c>
      <c r="O2676" s="81">
        <f>IF('Ordenes_Odoo'!O2676="","",'Ordenes_Odoo'!O2676)</f>
        <v/>
      </c>
      <c r="P2676" s="81">
        <f>IF('Ordenes_Odoo'!P2676="","",'Ordenes_Odoo'!P2676)</f>
        <v/>
      </c>
      <c r="Q2676" s="79">
        <f>IF(A2676="","",IFERROR(INDEX(Facturas_Odoo!$B:$B, MATCH(A2676, Facturas_Odoo!$D:$D, 0)), "Sin Factura"))</f>
        <v/>
      </c>
      <c r="R2676" s="80">
        <f>IF(Q2676="Sin Factura","",IFERROR(INDEX(Facturas_Odoo!$A:$A, MATCH(Q2676, Facturas_Odoo!$B:$B, 0)), ""))</f>
        <v/>
      </c>
      <c r="S2676" s="79">
        <f>IF(Q2676="Sin Factura","",IFERROR(_xlfn.XLOOKUP(1, (Facturas_Odoo!$D:$D=A2676) * (Facturas_Odoo!$K:$K=I2676), Facturas_Odoo!$L:$L, ""), ""))</f>
        <v/>
      </c>
      <c r="T2676" s="81">
        <f>IF(Q2676="Sin Factura",0,IFERROR(_xlfn.XLOOKUP(1, (Facturas_Odoo!$D:$D=A2676) * (Facturas_Odoo!$K:$K=I2676), Facturas_Odoo!$M:$M, 0), 0))</f>
        <v/>
      </c>
      <c r="U2676" s="79">
        <f>IF(Q2676="Sin Factura",0,IFERROR(_xlfn.XLOOKUP(1, (Facturas_Odoo!$D:$D=A2676) * (Facturas_Odoo!$K:$K=I2676), Facturas_Odoo!$N:$N, 0), 0))</f>
        <v/>
      </c>
      <c r="V2676" s="79">
        <f>IF(Q2676="Sin Factura",0,IFERROR(_xlfn.XLOOKUP(1, (Facturas_Odoo!$D:$D=A2676) * (Facturas_Odoo!$K:$K=I2676), Facturas_Odoo!$O:$O, 0), 0))</f>
        <v/>
      </c>
      <c r="W2676" s="81">
        <f>IF(Q2676="Sin Factura",0,IFERROR(_xlfn.XLOOKUP(1, (Facturas_Odoo!$D:$D=A2676) * (Facturas_Odoo!$K:$K=I2676), Facturas_Odoo!$Q:$Q, 0), 0))</f>
        <v/>
      </c>
      <c r="X2676" s="79">
        <f>IF(OR(Q2676="Sin Factura",Q2676=""),"",IFERROR(INDEX(Pagos_Odoo!$B:$B, MATCH(Q2676, Pagos_Odoo!$I:$I, 0)), "Sin Pago"))</f>
        <v/>
      </c>
      <c r="Y2676" s="79">
        <f>IF(X2676="Sin Pago","",IFERROR(INDEX(Pagos_Odoo!$C:$C, MATCH(X2676, Pagos_Odoo!$B:$B, 0)), ""))</f>
        <v/>
      </c>
      <c r="Z2676" s="80">
        <f>IF(X2676="Sin Pago","",IFERROR(INDEX(Pagos_Odoo!$A:$A, MATCH(X2676, Pagos_Odoo!$B:$B, 0)), ""))</f>
        <v/>
      </c>
      <c r="AA2676" s="79">
        <f>IF(X2676="Sin Pago","",IFERROR(INDEX(Pagos_Odoo!$F:$F, MATCH(X2676, Pagos_Odoo!$B:$B, 0)), ""))</f>
        <v/>
      </c>
      <c r="AB2676" s="81">
        <f>IF(X2676="Sin Pago",0,IFERROR(INDEX(Pagos_Odoo!$E:$E, MATCH(X2676, Pagos_Odoo!$B:$B, 0)), 0))</f>
        <v/>
      </c>
      <c r="AC2676" s="79">
        <f>IF(X2676="Sin Pago","",IFERROR(INDEX(Pagos_Odoo!$G:$G, MATCH(X2676, Pagos_Odoo!$B:$B, 0)), ""))</f>
        <v/>
      </c>
      <c r="AD2676" s="82" t="n">
        <v>0</v>
      </c>
      <c r="AE2676" s="82" t="n"/>
      <c r="AF2676" s="82" t="n"/>
      <c r="AG2676" s="82">
        <f>IF(AN2676="","",AD2676+AE2676+AF2676)</f>
        <v/>
      </c>
      <c r="AH2676" s="81">
        <f>IF(AN2676="","",P2676*(1-AG2676))</f>
        <v/>
      </c>
      <c r="AI2676" s="81">
        <f>IF(AN2676="","",IF(Q2676="Sin Factura",0,IFERROR(INDEX(Facturas_Odoo!$H:$H, MATCH(Q2676, Facturas_Odoo!$B:$B, 0)), 0)*(1-AG2676)))</f>
        <v/>
      </c>
      <c r="AJ2676" s="81">
        <f>IF(AN2676="","",_xlfn.LET(idVenta, AN2676&amp;"",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76" s="81">
        <f>IF(AN2676="","",AH2676-AJ2676)</f>
        <v/>
      </c>
      <c r="AL2676" s="81">
        <f>IF(AN2676="","",IF(Q2676="Sin Factura","",AI2676-AJ2676))</f>
        <v/>
      </c>
      <c r="AM2676" s="81">
        <f>IF(AN2676="","",IF(Q2676="Sin Factura",0,P2676-IFERROR(INDEX(Facturas_Odoo!$H:$H, MATCH(Q2676, Facturas_Odoo!$B:$B, 0)), 0)))</f>
        <v/>
      </c>
      <c r="AN2676" s="79">
        <f>IF(AND(A2676="", J2676=""), "", IF(A2676&lt;&gt;"", VALUE(MID(A2676,2,LEN(A2676))), AN2675))</f>
        <v/>
      </c>
      <c r="AO2676" s="79">
        <f>IF(AN2676="","",IF(AD2676=0,"OK",_xlfn.LET(monedaPago, IF(AA2676="","USD",AA2676), limitePermitido, IFERROR(VLOOKUP(monedaPago, Configuración!$A$2:$B$3, 2, FALSE), 0.15), IF(AD2676&gt;limitePermitido, "ALERTA: EXCESO (" &amp; TEXT(limitePermitido, "0%") &amp; " máx)", "OK"))))</f>
        <v/>
      </c>
      <c r="AP2676" s="79">
        <f>IF(AN2676="","",IF(AE2676=0,"OK",_xlfn.LET(fechaPago, Z2676, fechaFactura, R2676, diasCredito, IF(E2676="Pago inmediato", 0, IFERROR(VALUE(MID(E2676, 1, SEARCH(" ", E2676)-1)),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76" s="79">
        <f>IF(AN2676="","",IF(AND(N2676&gt;0, AG2676&gt;0), IF(Configuración!$K$2="NO", "ALERTA: DESCUENTO DOBLE NO PERMITIDO", "OK"), "OK"))</f>
        <v/>
      </c>
      <c r="AR2676" s="79">
        <f>IF(AN2676="","",IF(OR(AO2676&lt;&gt;"OK", AP2676&lt;&gt;"OK", AQ2676&lt;&gt;"OK"), "⚠️ REVISAR", "OK"))</f>
        <v/>
      </c>
    </row>
    <row r="2677">
      <c r="A2677" s="79">
        <f>IF('Ordenes_Odoo'!A2677="","",'Ordenes_Odoo'!A2677)</f>
        <v/>
      </c>
      <c r="B2677" s="80">
        <f>IF('Ordenes_Odoo'!B2677="","",'Ordenes_Odoo'!B2677)</f>
        <v/>
      </c>
      <c r="C2677" s="79">
        <f>IF('Ordenes_Odoo'!C2677="","",'Ordenes_Odoo'!C2677)</f>
        <v/>
      </c>
      <c r="D2677" s="79">
        <f>IF('Ordenes_Odoo'!D2677="","",'Ordenes_Odoo'!D2677)</f>
        <v/>
      </c>
      <c r="E2677" s="79">
        <f>IF('Ordenes_Odoo'!E2677="","",'Ordenes_Odoo'!E2677)</f>
        <v/>
      </c>
      <c r="F2677" s="79">
        <f>IF('Ordenes_Odoo'!F2677="","",'Ordenes_Odoo'!F2677)</f>
        <v/>
      </c>
      <c r="G2677" s="79">
        <f>IF('Ordenes_Odoo'!G2677="","",'Ordenes_Odoo'!G2677)</f>
        <v/>
      </c>
      <c r="H2677" s="79">
        <f>IF('Ordenes_Odoo'!H2677="","",'Ordenes_Odoo'!H2677)</f>
        <v/>
      </c>
      <c r="I2677" s="79">
        <f>IF('Ordenes_Odoo'!I2677="","",'Ordenes_Odoo'!I2677)</f>
        <v/>
      </c>
      <c r="J2677" s="79">
        <f>IF('Ordenes_Odoo'!J2677="","",'Ordenes_Odoo'!J2677)</f>
        <v/>
      </c>
      <c r="K2677" s="81">
        <f>IF('Ordenes_Odoo'!K2677="","",'Ordenes_Odoo'!K2677)</f>
        <v/>
      </c>
      <c r="L2677" s="81">
        <f>IF('Ordenes_Odoo'!L2677="","",'Ordenes_Odoo'!L2677)</f>
        <v/>
      </c>
      <c r="M2677" s="79">
        <f>IF('Ordenes_Odoo'!M2677="","",'Ordenes_Odoo'!M2677)</f>
        <v/>
      </c>
      <c r="N2677" s="79">
        <f>IF('Ordenes_Odoo'!N2677="","",'Ordenes_Odoo'!N2677)</f>
        <v/>
      </c>
      <c r="O2677" s="81">
        <f>IF('Ordenes_Odoo'!O2677="","",'Ordenes_Odoo'!O2677)</f>
        <v/>
      </c>
      <c r="P2677" s="81">
        <f>IF('Ordenes_Odoo'!P2677="","",'Ordenes_Odoo'!P2677)</f>
        <v/>
      </c>
      <c r="Q2677" s="79">
        <f>IF(A2677="","",IFERROR(INDEX(Facturas_Odoo!$B:$B, MATCH(A2677, Facturas_Odoo!$D:$D, 0)), "Sin Factura"))</f>
        <v/>
      </c>
      <c r="R2677" s="80">
        <f>IF(Q2677="Sin Factura","",IFERROR(INDEX(Facturas_Odoo!$A:$A, MATCH(Q2677, Facturas_Odoo!$B:$B, 0)), ""))</f>
        <v/>
      </c>
      <c r="S2677" s="79">
        <f>IF(Q2677="Sin Factura","",IFERROR(_xlfn.XLOOKUP(1, (Facturas_Odoo!$D:$D=A2677) * (Facturas_Odoo!$K:$K=I2677), Facturas_Odoo!$L:$L, ""), ""))</f>
        <v/>
      </c>
      <c r="T2677" s="81">
        <f>IF(Q2677="Sin Factura",0,IFERROR(_xlfn.XLOOKUP(1, (Facturas_Odoo!$D:$D=A2677) * (Facturas_Odoo!$K:$K=I2677), Facturas_Odoo!$M:$M, 0), 0))</f>
        <v/>
      </c>
      <c r="U2677" s="79">
        <f>IF(Q2677="Sin Factura",0,IFERROR(_xlfn.XLOOKUP(1, (Facturas_Odoo!$D:$D=A2677) * (Facturas_Odoo!$K:$K=I2677), Facturas_Odoo!$N:$N, 0), 0))</f>
        <v/>
      </c>
      <c r="V2677" s="79">
        <f>IF(Q2677="Sin Factura",0,IFERROR(_xlfn.XLOOKUP(1, (Facturas_Odoo!$D:$D=A2677) * (Facturas_Odoo!$K:$K=I2677), Facturas_Odoo!$O:$O, 0), 0))</f>
        <v/>
      </c>
      <c r="W2677" s="81">
        <f>IF(Q2677="Sin Factura",0,IFERROR(_xlfn.XLOOKUP(1, (Facturas_Odoo!$D:$D=A2677) * (Facturas_Odoo!$K:$K=I2677), Facturas_Odoo!$Q:$Q, 0), 0))</f>
        <v/>
      </c>
      <c r="X2677" s="79">
        <f>IF(OR(Q2677="Sin Factura",Q2677=""),"",IFERROR(INDEX(Pagos_Odoo!$B:$B, MATCH(Q2677, Pagos_Odoo!$I:$I, 0)), "Sin Pago"))</f>
        <v/>
      </c>
      <c r="Y2677" s="79">
        <f>IF(X2677="Sin Pago","",IFERROR(INDEX(Pagos_Odoo!$C:$C, MATCH(X2677, Pagos_Odoo!$B:$B, 0)), ""))</f>
        <v/>
      </c>
      <c r="Z2677" s="80">
        <f>IF(X2677="Sin Pago","",IFERROR(INDEX(Pagos_Odoo!$A:$A, MATCH(X2677, Pagos_Odoo!$B:$B, 0)), ""))</f>
        <v/>
      </c>
      <c r="AA2677" s="79">
        <f>IF(X2677="Sin Pago","",IFERROR(INDEX(Pagos_Odoo!$F:$F, MATCH(X2677, Pagos_Odoo!$B:$B, 0)), ""))</f>
        <v/>
      </c>
      <c r="AB2677" s="81">
        <f>IF(X2677="Sin Pago",0,IFERROR(INDEX(Pagos_Odoo!$E:$E, MATCH(X2677, Pagos_Odoo!$B:$B, 0)), 0))</f>
        <v/>
      </c>
      <c r="AC2677" s="79">
        <f>IF(X2677="Sin Pago","",IFERROR(INDEX(Pagos_Odoo!$G:$G, MATCH(X2677, Pagos_Odoo!$B:$B, 0)), ""))</f>
        <v/>
      </c>
      <c r="AD2677" s="82" t="n">
        <v>0</v>
      </c>
      <c r="AE2677" s="82" t="n"/>
      <c r="AF2677" s="82" t="n"/>
      <c r="AG2677" s="82">
        <f>IF(AN2677="","",AD2677+AE2677+AF2677)</f>
        <v/>
      </c>
      <c r="AH2677" s="81">
        <f>IF(AN2677="","",P2677*(1-AG2677))</f>
        <v/>
      </c>
      <c r="AI2677" s="81">
        <f>IF(AN2677="","",IF(Q2677="Sin Factura",0,IFERROR(INDEX(Facturas_Odoo!$H:$H, MATCH(Q2677, Facturas_Odoo!$B:$B, 0)), 0)*(1-AG2677)))</f>
        <v/>
      </c>
      <c r="AJ2677" s="81">
        <f>IF(AN2677="","",_xlfn.LET(idVenta, AN2677&amp;"",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77" s="81">
        <f>IF(AN2677="","",AH2677-AJ2677)</f>
        <v/>
      </c>
      <c r="AL2677" s="81">
        <f>IF(AN2677="","",IF(Q2677="Sin Factura","",AI2677-AJ2677))</f>
        <v/>
      </c>
      <c r="AM2677" s="81">
        <f>IF(AN2677="","",IF(Q2677="Sin Factura",0,P2677-IFERROR(INDEX(Facturas_Odoo!$H:$H, MATCH(Q2677, Facturas_Odoo!$B:$B, 0)), 0)))</f>
        <v/>
      </c>
      <c r="AN2677" s="79">
        <f>IF(AND(A2677="", J2677=""), "", IF(A2677&lt;&gt;"", VALUE(MID(A2677,2,LEN(A2677))), AN2676))</f>
        <v/>
      </c>
      <c r="AO2677" s="79">
        <f>IF(AN2677="","",IF(AD2677=0,"OK",_xlfn.LET(monedaPago, IF(AA2677="","USD",AA2677), limitePermitido, IFERROR(VLOOKUP(monedaPago, Configuración!$A$2:$B$3, 2, FALSE), 0.15), IF(AD2677&gt;limitePermitido, "ALERTA: EXCESO (" &amp; TEXT(limitePermitido, "0%") &amp; " máx)", "OK"))))</f>
        <v/>
      </c>
      <c r="AP2677" s="79">
        <f>IF(AN2677="","",IF(AE2677=0,"OK",_xlfn.LET(fechaPago, Z2677, fechaFactura, R2677, diasCredito, IF(E2677="Pago inmediato", 0, IFERROR(VALUE(MID(E2677, 1, SEARCH(" ", E2677)-1)),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77" s="79">
        <f>IF(AN2677="","",IF(AND(N2677&gt;0, AG2677&gt;0), IF(Configuración!$K$2="NO", "ALERTA: DESCUENTO DOBLE NO PERMITIDO", "OK"), "OK"))</f>
        <v/>
      </c>
      <c r="AR2677" s="79">
        <f>IF(AN2677="","",IF(OR(AO2677&lt;&gt;"OK", AP2677&lt;&gt;"OK", AQ2677&lt;&gt;"OK"), "⚠️ REVISAR", "OK"))</f>
        <v/>
      </c>
    </row>
    <row r="2678">
      <c r="A2678" s="79">
        <f>IF('Ordenes_Odoo'!A2678="","",'Ordenes_Odoo'!A2678)</f>
        <v/>
      </c>
      <c r="B2678" s="80">
        <f>IF('Ordenes_Odoo'!B2678="","",'Ordenes_Odoo'!B2678)</f>
        <v/>
      </c>
      <c r="C2678" s="79">
        <f>IF('Ordenes_Odoo'!C2678="","",'Ordenes_Odoo'!C2678)</f>
        <v/>
      </c>
      <c r="D2678" s="79">
        <f>IF('Ordenes_Odoo'!D2678="","",'Ordenes_Odoo'!D2678)</f>
        <v/>
      </c>
      <c r="E2678" s="79">
        <f>IF('Ordenes_Odoo'!E2678="","",'Ordenes_Odoo'!E2678)</f>
        <v/>
      </c>
      <c r="F2678" s="79">
        <f>IF('Ordenes_Odoo'!F2678="","",'Ordenes_Odoo'!F2678)</f>
        <v/>
      </c>
      <c r="G2678" s="79">
        <f>IF('Ordenes_Odoo'!G2678="","",'Ordenes_Odoo'!G2678)</f>
        <v/>
      </c>
      <c r="H2678" s="79">
        <f>IF('Ordenes_Odoo'!H2678="","",'Ordenes_Odoo'!H2678)</f>
        <v/>
      </c>
      <c r="I2678" s="79">
        <f>IF('Ordenes_Odoo'!I2678="","",'Ordenes_Odoo'!I2678)</f>
        <v/>
      </c>
      <c r="J2678" s="79">
        <f>IF('Ordenes_Odoo'!J2678="","",'Ordenes_Odoo'!J2678)</f>
        <v/>
      </c>
      <c r="K2678" s="81">
        <f>IF('Ordenes_Odoo'!K2678="","",'Ordenes_Odoo'!K2678)</f>
        <v/>
      </c>
      <c r="L2678" s="81">
        <f>IF('Ordenes_Odoo'!L2678="","",'Ordenes_Odoo'!L2678)</f>
        <v/>
      </c>
      <c r="M2678" s="79">
        <f>IF('Ordenes_Odoo'!M2678="","",'Ordenes_Odoo'!M2678)</f>
        <v/>
      </c>
      <c r="N2678" s="79">
        <f>IF('Ordenes_Odoo'!N2678="","",'Ordenes_Odoo'!N2678)</f>
        <v/>
      </c>
      <c r="O2678" s="81">
        <f>IF('Ordenes_Odoo'!O2678="","",'Ordenes_Odoo'!O2678)</f>
        <v/>
      </c>
      <c r="P2678" s="81">
        <f>IF('Ordenes_Odoo'!P2678="","",'Ordenes_Odoo'!P2678)</f>
        <v/>
      </c>
      <c r="Q2678" s="79">
        <f>IF(A2678="","",IFERROR(INDEX(Facturas_Odoo!$B:$B, MATCH(A2678, Facturas_Odoo!$D:$D, 0)), "Sin Factura"))</f>
        <v/>
      </c>
      <c r="R2678" s="80">
        <f>IF(Q2678="Sin Factura","",IFERROR(INDEX(Facturas_Odoo!$A:$A, MATCH(Q2678, Facturas_Odoo!$B:$B, 0)), ""))</f>
        <v/>
      </c>
      <c r="S2678" s="79">
        <f>IF(Q2678="Sin Factura","",IFERROR(_xlfn.XLOOKUP(1, (Facturas_Odoo!$D:$D=A2678) * (Facturas_Odoo!$K:$K=I2678), Facturas_Odoo!$L:$L, ""), ""))</f>
        <v/>
      </c>
      <c r="T2678" s="81">
        <f>IF(Q2678="Sin Factura",0,IFERROR(_xlfn.XLOOKUP(1, (Facturas_Odoo!$D:$D=A2678) * (Facturas_Odoo!$K:$K=I2678), Facturas_Odoo!$M:$M, 0), 0))</f>
        <v/>
      </c>
      <c r="U2678" s="79">
        <f>IF(Q2678="Sin Factura",0,IFERROR(_xlfn.XLOOKUP(1, (Facturas_Odoo!$D:$D=A2678) * (Facturas_Odoo!$K:$K=I2678), Facturas_Odoo!$N:$N, 0), 0))</f>
        <v/>
      </c>
      <c r="V2678" s="79">
        <f>IF(Q2678="Sin Factura",0,IFERROR(_xlfn.XLOOKUP(1, (Facturas_Odoo!$D:$D=A2678) * (Facturas_Odoo!$K:$K=I2678), Facturas_Odoo!$O:$O, 0), 0))</f>
        <v/>
      </c>
      <c r="W2678" s="81">
        <f>IF(Q2678="Sin Factura",0,IFERROR(_xlfn.XLOOKUP(1, (Facturas_Odoo!$D:$D=A2678) * (Facturas_Odoo!$K:$K=I2678), Facturas_Odoo!$Q:$Q, 0), 0))</f>
        <v/>
      </c>
      <c r="X2678" s="79">
        <f>IF(OR(Q2678="Sin Factura",Q2678=""),"",IFERROR(INDEX(Pagos_Odoo!$B:$B, MATCH(Q2678, Pagos_Odoo!$I:$I, 0)), "Sin Pago"))</f>
        <v/>
      </c>
      <c r="Y2678" s="79">
        <f>IF(X2678="Sin Pago","",IFERROR(INDEX(Pagos_Odoo!$C:$C, MATCH(X2678, Pagos_Odoo!$B:$B, 0)), ""))</f>
        <v/>
      </c>
      <c r="Z2678" s="80">
        <f>IF(X2678="Sin Pago","",IFERROR(INDEX(Pagos_Odoo!$A:$A, MATCH(X2678, Pagos_Odoo!$B:$B, 0)), ""))</f>
        <v/>
      </c>
      <c r="AA2678" s="79">
        <f>IF(X2678="Sin Pago","",IFERROR(INDEX(Pagos_Odoo!$F:$F, MATCH(X2678, Pagos_Odoo!$B:$B, 0)), ""))</f>
        <v/>
      </c>
      <c r="AB2678" s="81">
        <f>IF(X2678="Sin Pago",0,IFERROR(INDEX(Pagos_Odoo!$E:$E, MATCH(X2678, Pagos_Odoo!$B:$B, 0)), 0))</f>
        <v/>
      </c>
      <c r="AC2678" s="79">
        <f>IF(X2678="Sin Pago","",IFERROR(INDEX(Pagos_Odoo!$G:$G, MATCH(X2678, Pagos_Odoo!$B:$B, 0)), ""))</f>
        <v/>
      </c>
      <c r="AD2678" s="82" t="n">
        <v>0</v>
      </c>
      <c r="AE2678" s="82" t="n"/>
      <c r="AF2678" s="82" t="n"/>
      <c r="AG2678" s="82">
        <f>IF(AN2678="","",AD2678+AE2678+AF2678)</f>
        <v/>
      </c>
      <c r="AH2678" s="81">
        <f>IF(AN2678="","",P2678*(1-AG2678))</f>
        <v/>
      </c>
      <c r="AI2678" s="81">
        <f>IF(AN2678="","",IF(Q2678="Sin Factura",0,IFERROR(INDEX(Facturas_Odoo!$H:$H, MATCH(Q2678, Facturas_Odoo!$B:$B, 0)), 0)*(1-AG2678)))</f>
        <v/>
      </c>
      <c r="AJ2678" s="81">
        <f>IF(AN2678="","",_xlfn.LET(idVenta, AN2678&amp;"",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78" s="81">
        <f>IF(AN2678="","",AH2678-AJ2678)</f>
        <v/>
      </c>
      <c r="AL2678" s="81">
        <f>IF(AN2678="","",IF(Q2678="Sin Factura","",AI2678-AJ2678))</f>
        <v/>
      </c>
      <c r="AM2678" s="81">
        <f>IF(AN2678="","",IF(Q2678="Sin Factura",0,P2678-IFERROR(INDEX(Facturas_Odoo!$H:$H, MATCH(Q2678, Facturas_Odoo!$B:$B, 0)), 0)))</f>
        <v/>
      </c>
      <c r="AN2678" s="79">
        <f>IF(AND(A2678="", J2678=""), "", IF(A2678&lt;&gt;"", VALUE(MID(A2678,2,LEN(A2678))), AN2677))</f>
        <v/>
      </c>
      <c r="AO2678" s="79">
        <f>IF(AN2678="","",IF(AD2678=0,"OK",_xlfn.LET(monedaPago, IF(AA2678="","USD",AA2678), limitePermitido, IFERROR(VLOOKUP(monedaPago, Configuración!$A$2:$B$3, 2, FALSE), 0.15), IF(AD2678&gt;limitePermitido, "ALERTA: EXCESO (" &amp; TEXT(limitePermitido, "0%") &amp; " máx)", "OK"))))</f>
        <v/>
      </c>
      <c r="AP2678" s="79">
        <f>IF(AN2678="","",IF(AE2678=0,"OK",_xlfn.LET(fechaPago, Z2678, fechaFactura, R2678, diasCredito, IF(E2678="Pago inmediato", 0, IFERROR(VALUE(MID(E2678, 1, SEARCH(" ", E2678)-1)),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78" s="79">
        <f>IF(AN2678="","",IF(AND(N2678&gt;0, AG2678&gt;0), IF(Configuración!$K$2="NO", "ALERTA: DESCUENTO DOBLE NO PERMITIDO", "OK"), "OK"))</f>
        <v/>
      </c>
      <c r="AR2678" s="79">
        <f>IF(AN2678="","",IF(OR(AO2678&lt;&gt;"OK", AP2678&lt;&gt;"OK", AQ2678&lt;&gt;"OK"), "⚠️ REVISAR", "OK"))</f>
        <v/>
      </c>
    </row>
    <row r="2679">
      <c r="A2679" s="79">
        <f>IF('Ordenes_Odoo'!A2679="","",'Ordenes_Odoo'!A2679)</f>
        <v/>
      </c>
      <c r="B2679" s="80">
        <f>IF('Ordenes_Odoo'!B2679="","",'Ordenes_Odoo'!B2679)</f>
        <v/>
      </c>
      <c r="C2679" s="79">
        <f>IF('Ordenes_Odoo'!C2679="","",'Ordenes_Odoo'!C2679)</f>
        <v/>
      </c>
      <c r="D2679" s="79">
        <f>IF('Ordenes_Odoo'!D2679="","",'Ordenes_Odoo'!D2679)</f>
        <v/>
      </c>
      <c r="E2679" s="79">
        <f>IF('Ordenes_Odoo'!E2679="","",'Ordenes_Odoo'!E2679)</f>
        <v/>
      </c>
      <c r="F2679" s="79">
        <f>IF('Ordenes_Odoo'!F2679="","",'Ordenes_Odoo'!F2679)</f>
        <v/>
      </c>
      <c r="G2679" s="79">
        <f>IF('Ordenes_Odoo'!G2679="","",'Ordenes_Odoo'!G2679)</f>
        <v/>
      </c>
      <c r="H2679" s="79">
        <f>IF('Ordenes_Odoo'!H2679="","",'Ordenes_Odoo'!H2679)</f>
        <v/>
      </c>
      <c r="I2679" s="79">
        <f>IF('Ordenes_Odoo'!I2679="","",'Ordenes_Odoo'!I2679)</f>
        <v/>
      </c>
      <c r="J2679" s="79">
        <f>IF('Ordenes_Odoo'!J2679="","",'Ordenes_Odoo'!J2679)</f>
        <v/>
      </c>
      <c r="K2679" s="81">
        <f>IF('Ordenes_Odoo'!K2679="","",'Ordenes_Odoo'!K2679)</f>
        <v/>
      </c>
      <c r="L2679" s="81">
        <f>IF('Ordenes_Odoo'!L2679="","",'Ordenes_Odoo'!L2679)</f>
        <v/>
      </c>
      <c r="M2679" s="79">
        <f>IF('Ordenes_Odoo'!M2679="","",'Ordenes_Odoo'!M2679)</f>
        <v/>
      </c>
      <c r="N2679" s="79">
        <f>IF('Ordenes_Odoo'!N2679="","",'Ordenes_Odoo'!N2679)</f>
        <v/>
      </c>
      <c r="O2679" s="81">
        <f>IF('Ordenes_Odoo'!O2679="","",'Ordenes_Odoo'!O2679)</f>
        <v/>
      </c>
      <c r="P2679" s="81">
        <f>IF('Ordenes_Odoo'!P2679="","",'Ordenes_Odoo'!P2679)</f>
        <v/>
      </c>
      <c r="Q2679" s="79">
        <f>IF(A2679="","",IFERROR(INDEX(Facturas_Odoo!$B:$B, MATCH(A2679, Facturas_Odoo!$D:$D, 0)), "Sin Factura"))</f>
        <v/>
      </c>
      <c r="R2679" s="80">
        <f>IF(Q2679="Sin Factura","",IFERROR(INDEX(Facturas_Odoo!$A:$A, MATCH(Q2679, Facturas_Odoo!$B:$B, 0)), ""))</f>
        <v/>
      </c>
      <c r="S2679" s="79">
        <f>IF(Q2679="Sin Factura","",IFERROR(_xlfn.XLOOKUP(1, (Facturas_Odoo!$D:$D=A2679) * (Facturas_Odoo!$K:$K=I2679), Facturas_Odoo!$L:$L, ""), ""))</f>
        <v/>
      </c>
      <c r="T2679" s="81">
        <f>IF(Q2679="Sin Factura",0,IFERROR(_xlfn.XLOOKUP(1, (Facturas_Odoo!$D:$D=A2679) * (Facturas_Odoo!$K:$K=I2679), Facturas_Odoo!$M:$M, 0), 0))</f>
        <v/>
      </c>
      <c r="U2679" s="79">
        <f>IF(Q2679="Sin Factura",0,IFERROR(_xlfn.XLOOKUP(1, (Facturas_Odoo!$D:$D=A2679) * (Facturas_Odoo!$K:$K=I2679), Facturas_Odoo!$N:$N, 0), 0))</f>
        <v/>
      </c>
      <c r="V2679" s="79">
        <f>IF(Q2679="Sin Factura",0,IFERROR(_xlfn.XLOOKUP(1, (Facturas_Odoo!$D:$D=A2679) * (Facturas_Odoo!$K:$K=I2679), Facturas_Odoo!$O:$O, 0), 0))</f>
        <v/>
      </c>
      <c r="W2679" s="81">
        <f>IF(Q2679="Sin Factura",0,IFERROR(_xlfn.XLOOKUP(1, (Facturas_Odoo!$D:$D=A2679) * (Facturas_Odoo!$K:$K=I2679), Facturas_Odoo!$Q:$Q, 0), 0))</f>
        <v/>
      </c>
      <c r="X2679" s="79">
        <f>IF(OR(Q2679="Sin Factura",Q2679=""),"",IFERROR(INDEX(Pagos_Odoo!$B:$B, MATCH(Q2679, Pagos_Odoo!$I:$I, 0)), "Sin Pago"))</f>
        <v/>
      </c>
      <c r="Y2679" s="79">
        <f>IF(X2679="Sin Pago","",IFERROR(INDEX(Pagos_Odoo!$C:$C, MATCH(X2679, Pagos_Odoo!$B:$B, 0)), ""))</f>
        <v/>
      </c>
      <c r="Z2679" s="80">
        <f>IF(X2679="Sin Pago","",IFERROR(INDEX(Pagos_Odoo!$A:$A, MATCH(X2679, Pagos_Odoo!$B:$B, 0)), ""))</f>
        <v/>
      </c>
      <c r="AA2679" s="79">
        <f>IF(X2679="Sin Pago","",IFERROR(INDEX(Pagos_Odoo!$F:$F, MATCH(X2679, Pagos_Odoo!$B:$B, 0)), ""))</f>
        <v/>
      </c>
      <c r="AB2679" s="81">
        <f>IF(X2679="Sin Pago",0,IFERROR(INDEX(Pagos_Odoo!$E:$E, MATCH(X2679, Pagos_Odoo!$B:$B, 0)), 0))</f>
        <v/>
      </c>
      <c r="AC2679" s="79">
        <f>IF(X2679="Sin Pago","",IFERROR(INDEX(Pagos_Odoo!$G:$G, MATCH(X2679, Pagos_Odoo!$B:$B, 0)), ""))</f>
        <v/>
      </c>
      <c r="AD2679" s="82" t="n">
        <v>0</v>
      </c>
      <c r="AE2679" s="82" t="n"/>
      <c r="AF2679" s="82" t="n"/>
      <c r="AG2679" s="82">
        <f>IF(AN2679="","",AD2679+AE2679+AF2679)</f>
        <v/>
      </c>
      <c r="AH2679" s="81">
        <f>IF(AN2679="","",P2679*(1-AG2679))</f>
        <v/>
      </c>
      <c r="AI2679" s="81">
        <f>IF(AN2679="","",IF(Q2679="Sin Factura",0,IFERROR(INDEX(Facturas_Odoo!$H:$H, MATCH(Q2679, Facturas_Odoo!$B:$B, 0)), 0)*(1-AG2679)))</f>
        <v/>
      </c>
      <c r="AJ2679" s="81">
        <f>IF(AN2679="","",_xlfn.LET(idVenta, AN2679&amp;"",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79" s="81">
        <f>IF(AN2679="","",AH2679-AJ2679)</f>
        <v/>
      </c>
      <c r="AL2679" s="81">
        <f>IF(AN2679="","",IF(Q2679="Sin Factura","",AI2679-AJ2679))</f>
        <v/>
      </c>
      <c r="AM2679" s="81">
        <f>IF(AN2679="","",IF(Q2679="Sin Factura",0,P2679-IFERROR(INDEX(Facturas_Odoo!$H:$H, MATCH(Q2679, Facturas_Odoo!$B:$B, 0)), 0)))</f>
        <v/>
      </c>
      <c r="AN2679" s="79">
        <f>IF(AND(A2679="", J2679=""), "", IF(A2679&lt;&gt;"", VALUE(MID(A2679,2,LEN(A2679))), AN2678))</f>
        <v/>
      </c>
      <c r="AO2679" s="79">
        <f>IF(AN2679="","",IF(AD2679=0,"OK",_xlfn.LET(monedaPago, IF(AA2679="","USD",AA2679), limitePermitido, IFERROR(VLOOKUP(monedaPago, Configuración!$A$2:$B$3, 2, FALSE), 0.15), IF(AD2679&gt;limitePermitido, "ALERTA: EXCESO (" &amp; TEXT(limitePermitido, "0%") &amp; " máx)", "OK"))))</f>
        <v/>
      </c>
      <c r="AP2679" s="79">
        <f>IF(AN2679="","",IF(AE2679=0,"OK",_xlfn.LET(fechaPago, Z2679, fechaFactura, R2679, diasCredito, IF(E2679="Pago inmediato", 0, IFERROR(VALUE(MID(E2679, 1, SEARCH(" ", E2679)-1)),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79" s="79">
        <f>IF(AN2679="","",IF(AND(N2679&gt;0, AG2679&gt;0), IF(Configuración!$K$2="NO", "ALERTA: DESCUENTO DOBLE NO PERMITIDO", "OK"), "OK"))</f>
        <v/>
      </c>
      <c r="AR2679" s="79">
        <f>IF(AN2679="","",IF(OR(AO2679&lt;&gt;"OK", AP2679&lt;&gt;"OK", AQ2679&lt;&gt;"OK"), "⚠️ REVISAR", "OK"))</f>
        <v/>
      </c>
    </row>
    <row r="2680">
      <c r="A2680" s="79">
        <f>IF('Ordenes_Odoo'!A2680="","",'Ordenes_Odoo'!A2680)</f>
        <v/>
      </c>
      <c r="B2680" s="80">
        <f>IF('Ordenes_Odoo'!B2680="","",'Ordenes_Odoo'!B2680)</f>
        <v/>
      </c>
      <c r="C2680" s="79">
        <f>IF('Ordenes_Odoo'!C2680="","",'Ordenes_Odoo'!C2680)</f>
        <v/>
      </c>
      <c r="D2680" s="79">
        <f>IF('Ordenes_Odoo'!D2680="","",'Ordenes_Odoo'!D2680)</f>
        <v/>
      </c>
      <c r="E2680" s="79">
        <f>IF('Ordenes_Odoo'!E2680="","",'Ordenes_Odoo'!E2680)</f>
        <v/>
      </c>
      <c r="F2680" s="79">
        <f>IF('Ordenes_Odoo'!F2680="","",'Ordenes_Odoo'!F2680)</f>
        <v/>
      </c>
      <c r="G2680" s="79">
        <f>IF('Ordenes_Odoo'!G2680="","",'Ordenes_Odoo'!G2680)</f>
        <v/>
      </c>
      <c r="H2680" s="79">
        <f>IF('Ordenes_Odoo'!H2680="","",'Ordenes_Odoo'!H2680)</f>
        <v/>
      </c>
      <c r="I2680" s="79">
        <f>IF('Ordenes_Odoo'!I2680="","",'Ordenes_Odoo'!I2680)</f>
        <v/>
      </c>
      <c r="J2680" s="79">
        <f>IF('Ordenes_Odoo'!J2680="","",'Ordenes_Odoo'!J2680)</f>
        <v/>
      </c>
      <c r="K2680" s="81">
        <f>IF('Ordenes_Odoo'!K2680="","",'Ordenes_Odoo'!K2680)</f>
        <v/>
      </c>
      <c r="L2680" s="81">
        <f>IF('Ordenes_Odoo'!L2680="","",'Ordenes_Odoo'!L2680)</f>
        <v/>
      </c>
      <c r="M2680" s="79">
        <f>IF('Ordenes_Odoo'!M2680="","",'Ordenes_Odoo'!M2680)</f>
        <v/>
      </c>
      <c r="N2680" s="79">
        <f>IF('Ordenes_Odoo'!N2680="","",'Ordenes_Odoo'!N2680)</f>
        <v/>
      </c>
      <c r="O2680" s="81">
        <f>IF('Ordenes_Odoo'!O2680="","",'Ordenes_Odoo'!O2680)</f>
        <v/>
      </c>
      <c r="P2680" s="81">
        <f>IF('Ordenes_Odoo'!P2680="","",'Ordenes_Odoo'!P2680)</f>
        <v/>
      </c>
      <c r="Q2680" s="79">
        <f>IF(A2680="","",IFERROR(INDEX(Facturas_Odoo!$B:$B, MATCH(A2680, Facturas_Odoo!$D:$D, 0)), "Sin Factura"))</f>
        <v/>
      </c>
      <c r="R2680" s="80">
        <f>IF(Q2680="Sin Factura","",IFERROR(INDEX(Facturas_Odoo!$A:$A, MATCH(Q2680, Facturas_Odoo!$B:$B, 0)), ""))</f>
        <v/>
      </c>
      <c r="S2680" s="79">
        <f>IF(Q2680="Sin Factura","",IFERROR(_xlfn.XLOOKUP(1, (Facturas_Odoo!$D:$D=A2680) * (Facturas_Odoo!$K:$K=I2680), Facturas_Odoo!$L:$L, ""), ""))</f>
        <v/>
      </c>
      <c r="T2680" s="81">
        <f>IF(Q2680="Sin Factura",0,IFERROR(_xlfn.XLOOKUP(1, (Facturas_Odoo!$D:$D=A2680) * (Facturas_Odoo!$K:$K=I2680), Facturas_Odoo!$M:$M, 0), 0))</f>
        <v/>
      </c>
      <c r="U2680" s="79">
        <f>IF(Q2680="Sin Factura",0,IFERROR(_xlfn.XLOOKUP(1, (Facturas_Odoo!$D:$D=A2680) * (Facturas_Odoo!$K:$K=I2680), Facturas_Odoo!$N:$N, 0), 0))</f>
        <v/>
      </c>
      <c r="V2680" s="79">
        <f>IF(Q2680="Sin Factura",0,IFERROR(_xlfn.XLOOKUP(1, (Facturas_Odoo!$D:$D=A2680) * (Facturas_Odoo!$K:$K=I2680), Facturas_Odoo!$O:$O, 0), 0))</f>
        <v/>
      </c>
      <c r="W2680" s="81">
        <f>IF(Q2680="Sin Factura",0,IFERROR(_xlfn.XLOOKUP(1, (Facturas_Odoo!$D:$D=A2680) * (Facturas_Odoo!$K:$K=I2680), Facturas_Odoo!$Q:$Q, 0), 0))</f>
        <v/>
      </c>
      <c r="X2680" s="79">
        <f>IF(OR(Q2680="Sin Factura",Q2680=""),"",IFERROR(INDEX(Pagos_Odoo!$B:$B, MATCH(Q2680, Pagos_Odoo!$I:$I, 0)), "Sin Pago"))</f>
        <v/>
      </c>
      <c r="Y2680" s="79">
        <f>IF(X2680="Sin Pago","",IFERROR(INDEX(Pagos_Odoo!$C:$C, MATCH(X2680, Pagos_Odoo!$B:$B, 0)), ""))</f>
        <v/>
      </c>
      <c r="Z2680" s="80">
        <f>IF(X2680="Sin Pago","",IFERROR(INDEX(Pagos_Odoo!$A:$A, MATCH(X2680, Pagos_Odoo!$B:$B, 0)), ""))</f>
        <v/>
      </c>
      <c r="AA2680" s="79">
        <f>IF(X2680="Sin Pago","",IFERROR(INDEX(Pagos_Odoo!$F:$F, MATCH(X2680, Pagos_Odoo!$B:$B, 0)), ""))</f>
        <v/>
      </c>
      <c r="AB2680" s="81">
        <f>IF(X2680="Sin Pago",0,IFERROR(INDEX(Pagos_Odoo!$E:$E, MATCH(X2680, Pagos_Odoo!$B:$B, 0)), 0))</f>
        <v/>
      </c>
      <c r="AC2680" s="79">
        <f>IF(X2680="Sin Pago","",IFERROR(INDEX(Pagos_Odoo!$G:$G, MATCH(X2680, Pagos_Odoo!$B:$B, 0)), ""))</f>
        <v/>
      </c>
      <c r="AD2680" s="82" t="n">
        <v>0</v>
      </c>
      <c r="AE2680" s="82" t="n"/>
      <c r="AF2680" s="82" t="n"/>
      <c r="AG2680" s="82">
        <f>IF(AN2680="","",AD2680+AE2680+AF2680)</f>
        <v/>
      </c>
      <c r="AH2680" s="81">
        <f>IF(AN2680="","",P2680*(1-AG2680))</f>
        <v/>
      </c>
      <c r="AI2680" s="81">
        <f>IF(AN2680="","",IF(Q2680="Sin Factura",0,IFERROR(INDEX(Facturas_Odoo!$H:$H, MATCH(Q2680, Facturas_Odoo!$B:$B, 0)), 0)*(1-AG2680)))</f>
        <v/>
      </c>
      <c r="AJ2680" s="81">
        <f>IF(AN2680="","",_xlfn.LET(idVenta, AN2680&amp;"",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80" s="81">
        <f>IF(AN2680="","",AH2680-AJ2680)</f>
        <v/>
      </c>
      <c r="AL2680" s="81">
        <f>IF(AN2680="","",IF(Q2680="Sin Factura","",AI2680-AJ2680))</f>
        <v/>
      </c>
      <c r="AM2680" s="81">
        <f>IF(AN2680="","",IF(Q2680="Sin Factura",0,P2680-IFERROR(INDEX(Facturas_Odoo!$H:$H, MATCH(Q2680, Facturas_Odoo!$B:$B, 0)), 0)))</f>
        <v/>
      </c>
      <c r="AN2680" s="79">
        <f>IF(AND(A2680="", J2680=""), "", IF(A2680&lt;&gt;"", VALUE(MID(A2680,2,LEN(A2680))), AN2679))</f>
        <v/>
      </c>
      <c r="AO2680" s="79">
        <f>IF(AN2680="","",IF(AD2680=0,"OK",_xlfn.LET(monedaPago, IF(AA2680="","USD",AA2680), limitePermitido, IFERROR(VLOOKUP(monedaPago, Configuración!$A$2:$B$3, 2, FALSE), 0.15), IF(AD2680&gt;limitePermitido, "ALERTA: EXCESO (" &amp; TEXT(limitePermitido, "0%") &amp; " máx)", "OK"))))</f>
        <v/>
      </c>
      <c r="AP2680" s="79">
        <f>IF(AN2680="","",IF(AE2680=0,"OK",_xlfn.LET(fechaPago, Z2680, fechaFactura, R2680, diasCredito, IF(E2680="Pago inmediato", 0, IFERROR(VALUE(MID(E2680, 1, SEARCH(" ", E2680)-1)),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80" s="79">
        <f>IF(AN2680="","",IF(AND(N2680&gt;0, AG2680&gt;0), IF(Configuración!$K$2="NO", "ALERTA: DESCUENTO DOBLE NO PERMITIDO", "OK"), "OK"))</f>
        <v/>
      </c>
      <c r="AR2680" s="79">
        <f>IF(AN2680="","",IF(OR(AO2680&lt;&gt;"OK", AP2680&lt;&gt;"OK", AQ2680&lt;&gt;"OK"), "⚠️ REVISAR", "OK"))</f>
        <v/>
      </c>
    </row>
    <row r="2681">
      <c r="A2681" s="79">
        <f>IF('Ordenes_Odoo'!A2681="","",'Ordenes_Odoo'!A2681)</f>
        <v/>
      </c>
      <c r="B2681" s="80">
        <f>IF('Ordenes_Odoo'!B2681="","",'Ordenes_Odoo'!B2681)</f>
        <v/>
      </c>
      <c r="C2681" s="79">
        <f>IF('Ordenes_Odoo'!C2681="","",'Ordenes_Odoo'!C2681)</f>
        <v/>
      </c>
      <c r="D2681" s="79">
        <f>IF('Ordenes_Odoo'!D2681="","",'Ordenes_Odoo'!D2681)</f>
        <v/>
      </c>
      <c r="E2681" s="79">
        <f>IF('Ordenes_Odoo'!E2681="","",'Ordenes_Odoo'!E2681)</f>
        <v/>
      </c>
      <c r="F2681" s="79">
        <f>IF('Ordenes_Odoo'!F2681="","",'Ordenes_Odoo'!F2681)</f>
        <v/>
      </c>
      <c r="G2681" s="79">
        <f>IF('Ordenes_Odoo'!G2681="","",'Ordenes_Odoo'!G2681)</f>
        <v/>
      </c>
      <c r="H2681" s="79">
        <f>IF('Ordenes_Odoo'!H2681="","",'Ordenes_Odoo'!H2681)</f>
        <v/>
      </c>
      <c r="I2681" s="79">
        <f>IF('Ordenes_Odoo'!I2681="","",'Ordenes_Odoo'!I2681)</f>
        <v/>
      </c>
      <c r="J2681" s="79">
        <f>IF('Ordenes_Odoo'!J2681="","",'Ordenes_Odoo'!J2681)</f>
        <v/>
      </c>
      <c r="K2681" s="81">
        <f>IF('Ordenes_Odoo'!K2681="","",'Ordenes_Odoo'!K2681)</f>
        <v/>
      </c>
      <c r="L2681" s="81">
        <f>IF('Ordenes_Odoo'!L2681="","",'Ordenes_Odoo'!L2681)</f>
        <v/>
      </c>
      <c r="M2681" s="79">
        <f>IF('Ordenes_Odoo'!M2681="","",'Ordenes_Odoo'!M2681)</f>
        <v/>
      </c>
      <c r="N2681" s="79">
        <f>IF('Ordenes_Odoo'!N2681="","",'Ordenes_Odoo'!N2681)</f>
        <v/>
      </c>
      <c r="O2681" s="81">
        <f>IF('Ordenes_Odoo'!O2681="","",'Ordenes_Odoo'!O2681)</f>
        <v/>
      </c>
      <c r="P2681" s="81">
        <f>IF('Ordenes_Odoo'!P2681="","",'Ordenes_Odoo'!P2681)</f>
        <v/>
      </c>
      <c r="Q2681" s="79">
        <f>IF(A2681="","",IFERROR(INDEX(Facturas_Odoo!$B:$B, MATCH(A2681, Facturas_Odoo!$D:$D, 0)), "Sin Factura"))</f>
        <v/>
      </c>
      <c r="R2681" s="80">
        <f>IF(Q2681="Sin Factura","",IFERROR(INDEX(Facturas_Odoo!$A:$A, MATCH(Q2681, Facturas_Odoo!$B:$B, 0)), ""))</f>
        <v/>
      </c>
      <c r="S2681" s="79">
        <f>IF(Q2681="Sin Factura","",IFERROR(_xlfn.XLOOKUP(1, (Facturas_Odoo!$D:$D=A2681) * (Facturas_Odoo!$K:$K=I2681), Facturas_Odoo!$L:$L, ""), ""))</f>
        <v/>
      </c>
      <c r="T2681" s="81">
        <f>IF(Q2681="Sin Factura",0,IFERROR(_xlfn.XLOOKUP(1, (Facturas_Odoo!$D:$D=A2681) * (Facturas_Odoo!$K:$K=I2681), Facturas_Odoo!$M:$M, 0), 0))</f>
        <v/>
      </c>
      <c r="U2681" s="79">
        <f>IF(Q2681="Sin Factura",0,IFERROR(_xlfn.XLOOKUP(1, (Facturas_Odoo!$D:$D=A2681) * (Facturas_Odoo!$K:$K=I2681), Facturas_Odoo!$N:$N, 0), 0))</f>
        <v/>
      </c>
      <c r="V2681" s="79">
        <f>IF(Q2681="Sin Factura",0,IFERROR(_xlfn.XLOOKUP(1, (Facturas_Odoo!$D:$D=A2681) * (Facturas_Odoo!$K:$K=I2681), Facturas_Odoo!$O:$O, 0), 0))</f>
        <v/>
      </c>
      <c r="W2681" s="81">
        <f>IF(Q2681="Sin Factura",0,IFERROR(_xlfn.XLOOKUP(1, (Facturas_Odoo!$D:$D=A2681) * (Facturas_Odoo!$K:$K=I2681), Facturas_Odoo!$Q:$Q, 0), 0))</f>
        <v/>
      </c>
      <c r="X2681" s="79">
        <f>IF(OR(Q2681="Sin Factura",Q2681=""),"",IFERROR(INDEX(Pagos_Odoo!$B:$B, MATCH(Q2681, Pagos_Odoo!$I:$I, 0)), "Sin Pago"))</f>
        <v/>
      </c>
      <c r="Y2681" s="79">
        <f>IF(X2681="Sin Pago","",IFERROR(INDEX(Pagos_Odoo!$C:$C, MATCH(X2681, Pagos_Odoo!$B:$B, 0)), ""))</f>
        <v/>
      </c>
      <c r="Z2681" s="80">
        <f>IF(X2681="Sin Pago","",IFERROR(INDEX(Pagos_Odoo!$A:$A, MATCH(X2681, Pagos_Odoo!$B:$B, 0)), ""))</f>
        <v/>
      </c>
      <c r="AA2681" s="79">
        <f>IF(X2681="Sin Pago","",IFERROR(INDEX(Pagos_Odoo!$F:$F, MATCH(X2681, Pagos_Odoo!$B:$B, 0)), ""))</f>
        <v/>
      </c>
      <c r="AB2681" s="81">
        <f>IF(X2681="Sin Pago",0,IFERROR(INDEX(Pagos_Odoo!$E:$E, MATCH(X2681, Pagos_Odoo!$B:$B, 0)), 0))</f>
        <v/>
      </c>
      <c r="AC2681" s="79">
        <f>IF(X2681="Sin Pago","",IFERROR(INDEX(Pagos_Odoo!$G:$G, MATCH(X2681, Pagos_Odoo!$B:$B, 0)), ""))</f>
        <v/>
      </c>
      <c r="AD2681" s="82" t="n">
        <v>0</v>
      </c>
      <c r="AE2681" s="82" t="n"/>
      <c r="AF2681" s="82" t="n"/>
      <c r="AG2681" s="82">
        <f>IF(AN2681="","",AD2681+AE2681+AF2681)</f>
        <v/>
      </c>
      <c r="AH2681" s="81">
        <f>IF(AN2681="","",P2681*(1-AG2681))</f>
        <v/>
      </c>
      <c r="AI2681" s="81">
        <f>IF(AN2681="","",IF(Q2681="Sin Factura",0,IFERROR(INDEX(Facturas_Odoo!$H:$H, MATCH(Q2681, Facturas_Odoo!$B:$B, 0)), 0)*(1-AG2681)))</f>
        <v/>
      </c>
      <c r="AJ2681" s="81">
        <f>IF(AN2681="","",_xlfn.LET(idVenta, AN2681&amp;"",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81" s="81">
        <f>IF(AN2681="","",AH2681-AJ2681)</f>
        <v/>
      </c>
      <c r="AL2681" s="81">
        <f>IF(AN2681="","",IF(Q2681="Sin Factura","",AI2681-AJ2681))</f>
        <v/>
      </c>
      <c r="AM2681" s="81">
        <f>IF(AN2681="","",IF(Q2681="Sin Factura",0,P2681-IFERROR(INDEX(Facturas_Odoo!$H:$H, MATCH(Q2681, Facturas_Odoo!$B:$B, 0)), 0)))</f>
        <v/>
      </c>
      <c r="AN2681" s="79">
        <f>IF(AND(A2681="", J2681=""), "", IF(A2681&lt;&gt;"", VALUE(MID(A2681,2,LEN(A2681))), AN2680))</f>
        <v/>
      </c>
      <c r="AO2681" s="79">
        <f>IF(AN2681="","",IF(AD2681=0,"OK",_xlfn.LET(monedaPago, IF(AA2681="","USD",AA2681), limitePermitido, IFERROR(VLOOKUP(monedaPago, Configuración!$A$2:$B$3, 2, FALSE), 0.15), IF(AD2681&gt;limitePermitido, "ALERTA: EXCESO (" &amp; TEXT(limitePermitido, "0%") &amp; " máx)", "OK"))))</f>
        <v/>
      </c>
      <c r="AP2681" s="79">
        <f>IF(AN2681="","",IF(AE2681=0,"OK",_xlfn.LET(fechaPago, Z2681, fechaFactura, R2681, diasCredito, IF(E2681="Pago inmediato", 0, IFERROR(VALUE(MID(E2681, 1, SEARCH(" ", E2681)-1)),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81" s="79">
        <f>IF(AN2681="","",IF(AND(N2681&gt;0, AG2681&gt;0), IF(Configuración!$K$2="NO", "ALERTA: DESCUENTO DOBLE NO PERMITIDO", "OK"), "OK"))</f>
        <v/>
      </c>
      <c r="AR2681" s="79">
        <f>IF(AN2681="","",IF(OR(AO2681&lt;&gt;"OK", AP2681&lt;&gt;"OK", AQ2681&lt;&gt;"OK"), "⚠️ REVISAR", "OK"))</f>
        <v/>
      </c>
    </row>
    <row r="2682">
      <c r="A2682" s="79">
        <f>IF('Ordenes_Odoo'!A2682="","",'Ordenes_Odoo'!A2682)</f>
        <v/>
      </c>
      <c r="B2682" s="80">
        <f>IF('Ordenes_Odoo'!B2682="","",'Ordenes_Odoo'!B2682)</f>
        <v/>
      </c>
      <c r="C2682" s="79">
        <f>IF('Ordenes_Odoo'!C2682="","",'Ordenes_Odoo'!C2682)</f>
        <v/>
      </c>
      <c r="D2682" s="79">
        <f>IF('Ordenes_Odoo'!D2682="","",'Ordenes_Odoo'!D2682)</f>
        <v/>
      </c>
      <c r="E2682" s="79">
        <f>IF('Ordenes_Odoo'!E2682="","",'Ordenes_Odoo'!E2682)</f>
        <v/>
      </c>
      <c r="F2682" s="79">
        <f>IF('Ordenes_Odoo'!F2682="","",'Ordenes_Odoo'!F2682)</f>
        <v/>
      </c>
      <c r="G2682" s="79">
        <f>IF('Ordenes_Odoo'!G2682="","",'Ordenes_Odoo'!G2682)</f>
        <v/>
      </c>
      <c r="H2682" s="79">
        <f>IF('Ordenes_Odoo'!H2682="","",'Ordenes_Odoo'!H2682)</f>
        <v/>
      </c>
      <c r="I2682" s="79">
        <f>IF('Ordenes_Odoo'!I2682="","",'Ordenes_Odoo'!I2682)</f>
        <v/>
      </c>
      <c r="J2682" s="79">
        <f>IF('Ordenes_Odoo'!J2682="","",'Ordenes_Odoo'!J2682)</f>
        <v/>
      </c>
      <c r="K2682" s="81">
        <f>IF('Ordenes_Odoo'!K2682="","",'Ordenes_Odoo'!K2682)</f>
        <v/>
      </c>
      <c r="L2682" s="81">
        <f>IF('Ordenes_Odoo'!L2682="","",'Ordenes_Odoo'!L2682)</f>
        <v/>
      </c>
      <c r="M2682" s="79">
        <f>IF('Ordenes_Odoo'!M2682="","",'Ordenes_Odoo'!M2682)</f>
        <v/>
      </c>
      <c r="N2682" s="79">
        <f>IF('Ordenes_Odoo'!N2682="","",'Ordenes_Odoo'!N2682)</f>
        <v/>
      </c>
      <c r="O2682" s="81">
        <f>IF('Ordenes_Odoo'!O2682="","",'Ordenes_Odoo'!O2682)</f>
        <v/>
      </c>
      <c r="P2682" s="81">
        <f>IF('Ordenes_Odoo'!P2682="","",'Ordenes_Odoo'!P2682)</f>
        <v/>
      </c>
      <c r="Q2682" s="79">
        <f>IF(A2682="","",IFERROR(INDEX(Facturas_Odoo!$B:$B, MATCH(A2682, Facturas_Odoo!$D:$D, 0)), "Sin Factura"))</f>
        <v/>
      </c>
      <c r="R2682" s="80">
        <f>IF(Q2682="Sin Factura","",IFERROR(INDEX(Facturas_Odoo!$A:$A, MATCH(Q2682, Facturas_Odoo!$B:$B, 0)), ""))</f>
        <v/>
      </c>
      <c r="S2682" s="79">
        <f>IF(Q2682="Sin Factura","",IFERROR(_xlfn.XLOOKUP(1, (Facturas_Odoo!$D:$D=A2682) * (Facturas_Odoo!$K:$K=I2682), Facturas_Odoo!$L:$L, ""), ""))</f>
        <v/>
      </c>
      <c r="T2682" s="81">
        <f>IF(Q2682="Sin Factura",0,IFERROR(_xlfn.XLOOKUP(1, (Facturas_Odoo!$D:$D=A2682) * (Facturas_Odoo!$K:$K=I2682), Facturas_Odoo!$M:$M, 0), 0))</f>
        <v/>
      </c>
      <c r="U2682" s="79">
        <f>IF(Q2682="Sin Factura",0,IFERROR(_xlfn.XLOOKUP(1, (Facturas_Odoo!$D:$D=A2682) * (Facturas_Odoo!$K:$K=I2682), Facturas_Odoo!$N:$N, 0), 0))</f>
        <v/>
      </c>
      <c r="V2682" s="79">
        <f>IF(Q2682="Sin Factura",0,IFERROR(_xlfn.XLOOKUP(1, (Facturas_Odoo!$D:$D=A2682) * (Facturas_Odoo!$K:$K=I2682), Facturas_Odoo!$O:$O, 0), 0))</f>
        <v/>
      </c>
      <c r="W2682" s="81">
        <f>IF(Q2682="Sin Factura",0,IFERROR(_xlfn.XLOOKUP(1, (Facturas_Odoo!$D:$D=A2682) * (Facturas_Odoo!$K:$K=I2682), Facturas_Odoo!$Q:$Q, 0), 0))</f>
        <v/>
      </c>
      <c r="X2682" s="79">
        <f>IF(OR(Q2682="Sin Factura",Q2682=""),"",IFERROR(INDEX(Pagos_Odoo!$B:$B, MATCH(Q2682, Pagos_Odoo!$I:$I, 0)), "Sin Pago"))</f>
        <v/>
      </c>
      <c r="Y2682" s="79">
        <f>IF(X2682="Sin Pago","",IFERROR(INDEX(Pagos_Odoo!$C:$C, MATCH(X2682, Pagos_Odoo!$B:$B, 0)), ""))</f>
        <v/>
      </c>
      <c r="Z2682" s="80">
        <f>IF(X2682="Sin Pago","",IFERROR(INDEX(Pagos_Odoo!$A:$A, MATCH(X2682, Pagos_Odoo!$B:$B, 0)), ""))</f>
        <v/>
      </c>
      <c r="AA2682" s="79">
        <f>IF(X2682="Sin Pago","",IFERROR(INDEX(Pagos_Odoo!$F:$F, MATCH(X2682, Pagos_Odoo!$B:$B, 0)), ""))</f>
        <v/>
      </c>
      <c r="AB2682" s="81">
        <f>IF(X2682="Sin Pago",0,IFERROR(INDEX(Pagos_Odoo!$E:$E, MATCH(X2682, Pagos_Odoo!$B:$B, 0)), 0))</f>
        <v/>
      </c>
      <c r="AC2682" s="79">
        <f>IF(X2682="Sin Pago","",IFERROR(INDEX(Pagos_Odoo!$G:$G, MATCH(X2682, Pagos_Odoo!$B:$B, 0)), ""))</f>
        <v/>
      </c>
      <c r="AD2682" s="82" t="n">
        <v>0</v>
      </c>
      <c r="AE2682" s="82" t="n"/>
      <c r="AF2682" s="82" t="n"/>
      <c r="AG2682" s="82">
        <f>IF(AN2682="","",AD2682+AE2682+AF2682)</f>
        <v/>
      </c>
      <c r="AH2682" s="81">
        <f>IF(AN2682="","",P2682*(1-AG2682))</f>
        <v/>
      </c>
      <c r="AI2682" s="81">
        <f>IF(AN2682="","",IF(Q2682="Sin Factura",0,IFERROR(INDEX(Facturas_Odoo!$H:$H, MATCH(Q2682, Facturas_Odoo!$B:$B, 0)), 0)*(1-AG2682)))</f>
        <v/>
      </c>
      <c r="AJ2682" s="81">
        <f>IF(AN2682="","",_xlfn.LET(idVenta, AN2682&amp;"",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82" s="81">
        <f>IF(AN2682="","",AH2682-AJ2682)</f>
        <v/>
      </c>
      <c r="AL2682" s="81">
        <f>IF(AN2682="","",IF(Q2682="Sin Factura","",AI2682-AJ2682))</f>
        <v/>
      </c>
      <c r="AM2682" s="81">
        <f>IF(AN2682="","",IF(Q2682="Sin Factura",0,P2682-IFERROR(INDEX(Facturas_Odoo!$H:$H, MATCH(Q2682, Facturas_Odoo!$B:$B, 0)), 0)))</f>
        <v/>
      </c>
      <c r="AN2682" s="79">
        <f>IF(AND(A2682="", J2682=""), "", IF(A2682&lt;&gt;"", VALUE(MID(A2682,2,LEN(A2682))), AN2681))</f>
        <v/>
      </c>
      <c r="AO2682" s="79">
        <f>IF(AN2682="","",IF(AD2682=0,"OK",_xlfn.LET(monedaPago, IF(AA2682="","USD",AA2682), limitePermitido, IFERROR(VLOOKUP(monedaPago, Configuración!$A$2:$B$3, 2, FALSE), 0.15), IF(AD2682&gt;limitePermitido, "ALERTA: EXCESO (" &amp; TEXT(limitePermitido, "0%") &amp; " máx)", "OK"))))</f>
        <v/>
      </c>
      <c r="AP2682" s="79">
        <f>IF(AN2682="","",IF(AE2682=0,"OK",_xlfn.LET(fechaPago, Z2682, fechaFactura, R2682, diasCredito, IF(E2682="Pago inmediato", 0, IFERROR(VALUE(MID(E2682, 1, SEARCH(" ", E2682)-1)),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82" s="79">
        <f>IF(AN2682="","",IF(AND(N2682&gt;0, AG2682&gt;0), IF(Configuración!$K$2="NO", "ALERTA: DESCUENTO DOBLE NO PERMITIDO", "OK"), "OK"))</f>
        <v/>
      </c>
      <c r="AR2682" s="79">
        <f>IF(AN2682="","",IF(OR(AO2682&lt;&gt;"OK", AP2682&lt;&gt;"OK", AQ2682&lt;&gt;"OK"), "⚠️ REVISAR", "OK"))</f>
        <v/>
      </c>
    </row>
    <row r="2683">
      <c r="A2683" s="79">
        <f>IF('Ordenes_Odoo'!A2683="","",'Ordenes_Odoo'!A2683)</f>
        <v/>
      </c>
      <c r="B2683" s="80">
        <f>IF('Ordenes_Odoo'!B2683="","",'Ordenes_Odoo'!B2683)</f>
        <v/>
      </c>
      <c r="C2683" s="79">
        <f>IF('Ordenes_Odoo'!C2683="","",'Ordenes_Odoo'!C2683)</f>
        <v/>
      </c>
      <c r="D2683" s="79">
        <f>IF('Ordenes_Odoo'!D2683="","",'Ordenes_Odoo'!D2683)</f>
        <v/>
      </c>
      <c r="E2683" s="79">
        <f>IF('Ordenes_Odoo'!E2683="","",'Ordenes_Odoo'!E2683)</f>
        <v/>
      </c>
      <c r="F2683" s="79">
        <f>IF('Ordenes_Odoo'!F2683="","",'Ordenes_Odoo'!F2683)</f>
        <v/>
      </c>
      <c r="G2683" s="79">
        <f>IF('Ordenes_Odoo'!G2683="","",'Ordenes_Odoo'!G2683)</f>
        <v/>
      </c>
      <c r="H2683" s="79">
        <f>IF('Ordenes_Odoo'!H2683="","",'Ordenes_Odoo'!H2683)</f>
        <v/>
      </c>
      <c r="I2683" s="79">
        <f>IF('Ordenes_Odoo'!I2683="","",'Ordenes_Odoo'!I2683)</f>
        <v/>
      </c>
      <c r="J2683" s="79">
        <f>IF('Ordenes_Odoo'!J2683="","",'Ordenes_Odoo'!J2683)</f>
        <v/>
      </c>
      <c r="K2683" s="81">
        <f>IF('Ordenes_Odoo'!K2683="","",'Ordenes_Odoo'!K2683)</f>
        <v/>
      </c>
      <c r="L2683" s="81">
        <f>IF('Ordenes_Odoo'!L2683="","",'Ordenes_Odoo'!L2683)</f>
        <v/>
      </c>
      <c r="M2683" s="79">
        <f>IF('Ordenes_Odoo'!M2683="","",'Ordenes_Odoo'!M2683)</f>
        <v/>
      </c>
      <c r="N2683" s="79">
        <f>IF('Ordenes_Odoo'!N2683="","",'Ordenes_Odoo'!N2683)</f>
        <v/>
      </c>
      <c r="O2683" s="81">
        <f>IF('Ordenes_Odoo'!O2683="","",'Ordenes_Odoo'!O2683)</f>
        <v/>
      </c>
      <c r="P2683" s="81">
        <f>IF('Ordenes_Odoo'!P2683="","",'Ordenes_Odoo'!P2683)</f>
        <v/>
      </c>
      <c r="Q2683" s="79">
        <f>IF(A2683="","",IFERROR(INDEX(Facturas_Odoo!$B:$B, MATCH(A2683, Facturas_Odoo!$D:$D, 0)), "Sin Factura"))</f>
        <v/>
      </c>
      <c r="R2683" s="80">
        <f>IF(Q2683="Sin Factura","",IFERROR(INDEX(Facturas_Odoo!$A:$A, MATCH(Q2683, Facturas_Odoo!$B:$B, 0)), ""))</f>
        <v/>
      </c>
      <c r="S2683" s="79">
        <f>IF(Q2683="Sin Factura","",IFERROR(_xlfn.XLOOKUP(1, (Facturas_Odoo!$D:$D=A2683) * (Facturas_Odoo!$K:$K=I2683), Facturas_Odoo!$L:$L, ""), ""))</f>
        <v/>
      </c>
      <c r="T2683" s="81">
        <f>IF(Q2683="Sin Factura",0,IFERROR(_xlfn.XLOOKUP(1, (Facturas_Odoo!$D:$D=A2683) * (Facturas_Odoo!$K:$K=I2683), Facturas_Odoo!$M:$M, 0), 0))</f>
        <v/>
      </c>
      <c r="U2683" s="79">
        <f>IF(Q2683="Sin Factura",0,IFERROR(_xlfn.XLOOKUP(1, (Facturas_Odoo!$D:$D=A2683) * (Facturas_Odoo!$K:$K=I2683), Facturas_Odoo!$N:$N, 0), 0))</f>
        <v/>
      </c>
      <c r="V2683" s="79">
        <f>IF(Q2683="Sin Factura",0,IFERROR(_xlfn.XLOOKUP(1, (Facturas_Odoo!$D:$D=A2683) * (Facturas_Odoo!$K:$K=I2683), Facturas_Odoo!$O:$O, 0), 0))</f>
        <v/>
      </c>
      <c r="W2683" s="81">
        <f>IF(Q2683="Sin Factura",0,IFERROR(_xlfn.XLOOKUP(1, (Facturas_Odoo!$D:$D=A2683) * (Facturas_Odoo!$K:$K=I2683), Facturas_Odoo!$Q:$Q, 0), 0))</f>
        <v/>
      </c>
      <c r="X2683" s="79">
        <f>IF(OR(Q2683="Sin Factura",Q2683=""),"",IFERROR(INDEX(Pagos_Odoo!$B:$B, MATCH(Q2683, Pagos_Odoo!$I:$I, 0)), "Sin Pago"))</f>
        <v/>
      </c>
      <c r="Y2683" s="79">
        <f>IF(X2683="Sin Pago","",IFERROR(INDEX(Pagos_Odoo!$C:$C, MATCH(X2683, Pagos_Odoo!$B:$B, 0)), ""))</f>
        <v/>
      </c>
      <c r="Z2683" s="80">
        <f>IF(X2683="Sin Pago","",IFERROR(INDEX(Pagos_Odoo!$A:$A, MATCH(X2683, Pagos_Odoo!$B:$B, 0)), ""))</f>
        <v/>
      </c>
      <c r="AA2683" s="79">
        <f>IF(X2683="Sin Pago","",IFERROR(INDEX(Pagos_Odoo!$F:$F, MATCH(X2683, Pagos_Odoo!$B:$B, 0)), ""))</f>
        <v/>
      </c>
      <c r="AB2683" s="81">
        <f>IF(X2683="Sin Pago",0,IFERROR(INDEX(Pagos_Odoo!$E:$E, MATCH(X2683, Pagos_Odoo!$B:$B, 0)), 0))</f>
        <v/>
      </c>
      <c r="AC2683" s="79">
        <f>IF(X2683="Sin Pago","",IFERROR(INDEX(Pagos_Odoo!$G:$G, MATCH(X2683, Pagos_Odoo!$B:$B, 0)), ""))</f>
        <v/>
      </c>
      <c r="AD2683" s="82" t="n">
        <v>0</v>
      </c>
      <c r="AE2683" s="82" t="n"/>
      <c r="AF2683" s="82" t="n"/>
      <c r="AG2683" s="82">
        <f>IF(AN2683="","",AD2683+AE2683+AF2683)</f>
        <v/>
      </c>
      <c r="AH2683" s="81">
        <f>IF(AN2683="","",P2683*(1-AG2683))</f>
        <v/>
      </c>
      <c r="AI2683" s="81">
        <f>IF(AN2683="","",IF(Q2683="Sin Factura",0,IFERROR(INDEX(Facturas_Odoo!$H:$H, MATCH(Q2683, Facturas_Odoo!$B:$B, 0)), 0)*(1-AG2683)))</f>
        <v/>
      </c>
      <c r="AJ2683" s="81">
        <f>IF(AN2683="","",_xlfn.LET(idVenta, AN2683&amp;"",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83" s="81">
        <f>IF(AN2683="","",AH2683-AJ2683)</f>
        <v/>
      </c>
      <c r="AL2683" s="81">
        <f>IF(AN2683="","",IF(Q2683="Sin Factura","",AI2683-AJ2683))</f>
        <v/>
      </c>
      <c r="AM2683" s="81">
        <f>IF(AN2683="","",IF(Q2683="Sin Factura",0,P2683-IFERROR(INDEX(Facturas_Odoo!$H:$H, MATCH(Q2683, Facturas_Odoo!$B:$B, 0)), 0)))</f>
        <v/>
      </c>
      <c r="AN2683" s="79">
        <f>IF(AND(A2683="", J2683=""), "", IF(A2683&lt;&gt;"", VALUE(MID(A2683,2,LEN(A2683))), AN2682))</f>
        <v/>
      </c>
      <c r="AO2683" s="79">
        <f>IF(AN2683="","",IF(AD2683=0,"OK",_xlfn.LET(monedaPago, IF(AA2683="","USD",AA2683), limitePermitido, IFERROR(VLOOKUP(monedaPago, Configuración!$A$2:$B$3, 2, FALSE), 0.15), IF(AD2683&gt;limitePermitido, "ALERTA: EXCESO (" &amp; TEXT(limitePermitido, "0%") &amp; " máx)", "OK"))))</f>
        <v/>
      </c>
      <c r="AP2683" s="79">
        <f>IF(AN2683="","",IF(AE2683=0,"OK",_xlfn.LET(fechaPago, Z2683, fechaFactura, R2683, diasCredito, IF(E2683="Pago inmediato", 0, IFERROR(VALUE(MID(E2683, 1, SEARCH(" ", E2683)-1)),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83" s="79">
        <f>IF(AN2683="","",IF(AND(N2683&gt;0, AG2683&gt;0), IF(Configuración!$K$2="NO", "ALERTA: DESCUENTO DOBLE NO PERMITIDO", "OK"), "OK"))</f>
        <v/>
      </c>
      <c r="AR2683" s="79">
        <f>IF(AN2683="","",IF(OR(AO2683&lt;&gt;"OK", AP2683&lt;&gt;"OK", AQ2683&lt;&gt;"OK"), "⚠️ REVISAR", "OK"))</f>
        <v/>
      </c>
    </row>
    <row r="2684">
      <c r="A2684" s="79">
        <f>IF('Ordenes_Odoo'!A2684="","",'Ordenes_Odoo'!A2684)</f>
        <v/>
      </c>
      <c r="B2684" s="80">
        <f>IF('Ordenes_Odoo'!B2684="","",'Ordenes_Odoo'!B2684)</f>
        <v/>
      </c>
      <c r="C2684" s="79">
        <f>IF('Ordenes_Odoo'!C2684="","",'Ordenes_Odoo'!C2684)</f>
        <v/>
      </c>
      <c r="D2684" s="79">
        <f>IF('Ordenes_Odoo'!D2684="","",'Ordenes_Odoo'!D2684)</f>
        <v/>
      </c>
      <c r="E2684" s="79">
        <f>IF('Ordenes_Odoo'!E2684="","",'Ordenes_Odoo'!E2684)</f>
        <v/>
      </c>
      <c r="F2684" s="79">
        <f>IF('Ordenes_Odoo'!F2684="","",'Ordenes_Odoo'!F2684)</f>
        <v/>
      </c>
      <c r="G2684" s="79">
        <f>IF('Ordenes_Odoo'!G2684="","",'Ordenes_Odoo'!G2684)</f>
        <v/>
      </c>
      <c r="H2684" s="79">
        <f>IF('Ordenes_Odoo'!H2684="","",'Ordenes_Odoo'!H2684)</f>
        <v/>
      </c>
      <c r="I2684" s="79">
        <f>IF('Ordenes_Odoo'!I2684="","",'Ordenes_Odoo'!I2684)</f>
        <v/>
      </c>
      <c r="J2684" s="79">
        <f>IF('Ordenes_Odoo'!J2684="","",'Ordenes_Odoo'!J2684)</f>
        <v/>
      </c>
      <c r="K2684" s="81">
        <f>IF('Ordenes_Odoo'!K2684="","",'Ordenes_Odoo'!K2684)</f>
        <v/>
      </c>
      <c r="L2684" s="81">
        <f>IF('Ordenes_Odoo'!L2684="","",'Ordenes_Odoo'!L2684)</f>
        <v/>
      </c>
      <c r="M2684" s="79">
        <f>IF('Ordenes_Odoo'!M2684="","",'Ordenes_Odoo'!M2684)</f>
        <v/>
      </c>
      <c r="N2684" s="79">
        <f>IF('Ordenes_Odoo'!N2684="","",'Ordenes_Odoo'!N2684)</f>
        <v/>
      </c>
      <c r="O2684" s="81">
        <f>IF('Ordenes_Odoo'!O2684="","",'Ordenes_Odoo'!O2684)</f>
        <v/>
      </c>
      <c r="P2684" s="81">
        <f>IF('Ordenes_Odoo'!P2684="","",'Ordenes_Odoo'!P2684)</f>
        <v/>
      </c>
      <c r="Q2684" s="79">
        <f>IF(A2684="","",IFERROR(INDEX(Facturas_Odoo!$B:$B, MATCH(A2684, Facturas_Odoo!$D:$D, 0)), "Sin Factura"))</f>
        <v/>
      </c>
      <c r="R2684" s="80">
        <f>IF(Q2684="Sin Factura","",IFERROR(INDEX(Facturas_Odoo!$A:$A, MATCH(Q2684, Facturas_Odoo!$B:$B, 0)), ""))</f>
        <v/>
      </c>
      <c r="S2684" s="79">
        <f>IF(Q2684="Sin Factura","",IFERROR(_xlfn.XLOOKUP(1, (Facturas_Odoo!$D:$D=A2684) * (Facturas_Odoo!$K:$K=I2684), Facturas_Odoo!$L:$L, ""), ""))</f>
        <v/>
      </c>
      <c r="T2684" s="81">
        <f>IF(Q2684="Sin Factura",0,IFERROR(_xlfn.XLOOKUP(1, (Facturas_Odoo!$D:$D=A2684) * (Facturas_Odoo!$K:$K=I2684), Facturas_Odoo!$M:$M, 0), 0))</f>
        <v/>
      </c>
      <c r="U2684" s="79">
        <f>IF(Q2684="Sin Factura",0,IFERROR(_xlfn.XLOOKUP(1, (Facturas_Odoo!$D:$D=A2684) * (Facturas_Odoo!$K:$K=I2684), Facturas_Odoo!$N:$N, 0), 0))</f>
        <v/>
      </c>
      <c r="V2684" s="79">
        <f>IF(Q2684="Sin Factura",0,IFERROR(_xlfn.XLOOKUP(1, (Facturas_Odoo!$D:$D=A2684) * (Facturas_Odoo!$K:$K=I2684), Facturas_Odoo!$O:$O, 0), 0))</f>
        <v/>
      </c>
      <c r="W2684" s="81">
        <f>IF(Q2684="Sin Factura",0,IFERROR(_xlfn.XLOOKUP(1, (Facturas_Odoo!$D:$D=A2684) * (Facturas_Odoo!$K:$K=I2684), Facturas_Odoo!$Q:$Q, 0), 0))</f>
        <v/>
      </c>
      <c r="X2684" s="79">
        <f>IF(OR(Q2684="Sin Factura",Q2684=""),"",IFERROR(INDEX(Pagos_Odoo!$B:$B, MATCH(Q2684, Pagos_Odoo!$I:$I, 0)), "Sin Pago"))</f>
        <v/>
      </c>
      <c r="Y2684" s="79">
        <f>IF(X2684="Sin Pago","",IFERROR(INDEX(Pagos_Odoo!$C:$C, MATCH(X2684, Pagos_Odoo!$B:$B, 0)), ""))</f>
        <v/>
      </c>
      <c r="Z2684" s="80">
        <f>IF(X2684="Sin Pago","",IFERROR(INDEX(Pagos_Odoo!$A:$A, MATCH(X2684, Pagos_Odoo!$B:$B, 0)), ""))</f>
        <v/>
      </c>
      <c r="AA2684" s="79">
        <f>IF(X2684="Sin Pago","",IFERROR(INDEX(Pagos_Odoo!$F:$F, MATCH(X2684, Pagos_Odoo!$B:$B, 0)), ""))</f>
        <v/>
      </c>
      <c r="AB2684" s="81">
        <f>IF(X2684="Sin Pago",0,IFERROR(INDEX(Pagos_Odoo!$E:$E, MATCH(X2684, Pagos_Odoo!$B:$B, 0)), 0))</f>
        <v/>
      </c>
      <c r="AC2684" s="79">
        <f>IF(X2684="Sin Pago","",IFERROR(INDEX(Pagos_Odoo!$G:$G, MATCH(X2684, Pagos_Odoo!$B:$B, 0)), ""))</f>
        <v/>
      </c>
      <c r="AD2684" s="82" t="n">
        <v>0</v>
      </c>
      <c r="AE2684" s="82" t="n"/>
      <c r="AF2684" s="82" t="n"/>
      <c r="AG2684" s="82">
        <f>IF(AN2684="","",AD2684+AE2684+AF2684)</f>
        <v/>
      </c>
      <c r="AH2684" s="81">
        <f>IF(AN2684="","",P2684*(1-AG2684))</f>
        <v/>
      </c>
      <c r="AI2684" s="81">
        <f>IF(AN2684="","",IF(Q2684="Sin Factura",0,IFERROR(INDEX(Facturas_Odoo!$H:$H, MATCH(Q2684, Facturas_Odoo!$B:$B, 0)), 0)*(1-AG2684)))</f>
        <v/>
      </c>
      <c r="AJ2684" s="81">
        <f>IF(AN2684="","",_xlfn.LET(idVenta, AN2684&amp;"",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84" s="81">
        <f>IF(AN2684="","",AH2684-AJ2684)</f>
        <v/>
      </c>
      <c r="AL2684" s="81">
        <f>IF(AN2684="","",IF(Q2684="Sin Factura","",AI2684-AJ2684))</f>
        <v/>
      </c>
      <c r="AM2684" s="81">
        <f>IF(AN2684="","",IF(Q2684="Sin Factura",0,P2684-IFERROR(INDEX(Facturas_Odoo!$H:$H, MATCH(Q2684, Facturas_Odoo!$B:$B, 0)), 0)))</f>
        <v/>
      </c>
      <c r="AN2684" s="79">
        <f>IF(AND(A2684="", J2684=""), "", IF(A2684&lt;&gt;"", VALUE(MID(A2684,2,LEN(A2684))), AN2683))</f>
        <v/>
      </c>
      <c r="AO2684" s="79">
        <f>IF(AN2684="","",IF(AD2684=0,"OK",_xlfn.LET(monedaPago, IF(AA2684="","USD",AA2684), limitePermitido, IFERROR(VLOOKUP(monedaPago, Configuración!$A$2:$B$3, 2, FALSE), 0.15), IF(AD2684&gt;limitePermitido, "ALERTA: EXCESO (" &amp; TEXT(limitePermitido, "0%") &amp; " máx)", "OK"))))</f>
        <v/>
      </c>
      <c r="AP2684" s="79">
        <f>IF(AN2684="","",IF(AE2684=0,"OK",_xlfn.LET(fechaPago, Z2684, fechaFactura, R2684, diasCredito, IF(E2684="Pago inmediato", 0, IFERROR(VALUE(MID(E2684, 1, SEARCH(" ", E2684)-1)),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84" s="79">
        <f>IF(AN2684="","",IF(AND(N2684&gt;0, AG2684&gt;0), IF(Configuración!$K$2="NO", "ALERTA: DESCUENTO DOBLE NO PERMITIDO", "OK"), "OK"))</f>
        <v/>
      </c>
      <c r="AR2684" s="79">
        <f>IF(AN2684="","",IF(OR(AO2684&lt;&gt;"OK", AP2684&lt;&gt;"OK", AQ2684&lt;&gt;"OK"), "⚠️ REVISAR", "OK"))</f>
        <v/>
      </c>
    </row>
    <row r="2685">
      <c r="A2685" s="79">
        <f>IF('Ordenes_Odoo'!A2685="","",'Ordenes_Odoo'!A2685)</f>
        <v/>
      </c>
      <c r="B2685" s="80">
        <f>IF('Ordenes_Odoo'!B2685="","",'Ordenes_Odoo'!B2685)</f>
        <v/>
      </c>
      <c r="C2685" s="79">
        <f>IF('Ordenes_Odoo'!C2685="","",'Ordenes_Odoo'!C2685)</f>
        <v/>
      </c>
      <c r="D2685" s="79">
        <f>IF('Ordenes_Odoo'!D2685="","",'Ordenes_Odoo'!D2685)</f>
        <v/>
      </c>
      <c r="E2685" s="79">
        <f>IF('Ordenes_Odoo'!E2685="","",'Ordenes_Odoo'!E2685)</f>
        <v/>
      </c>
      <c r="F2685" s="79">
        <f>IF('Ordenes_Odoo'!F2685="","",'Ordenes_Odoo'!F2685)</f>
        <v/>
      </c>
      <c r="G2685" s="79">
        <f>IF('Ordenes_Odoo'!G2685="","",'Ordenes_Odoo'!G2685)</f>
        <v/>
      </c>
      <c r="H2685" s="79">
        <f>IF('Ordenes_Odoo'!H2685="","",'Ordenes_Odoo'!H2685)</f>
        <v/>
      </c>
      <c r="I2685" s="79">
        <f>IF('Ordenes_Odoo'!I2685="","",'Ordenes_Odoo'!I2685)</f>
        <v/>
      </c>
      <c r="J2685" s="79">
        <f>IF('Ordenes_Odoo'!J2685="","",'Ordenes_Odoo'!J2685)</f>
        <v/>
      </c>
      <c r="K2685" s="81">
        <f>IF('Ordenes_Odoo'!K2685="","",'Ordenes_Odoo'!K2685)</f>
        <v/>
      </c>
      <c r="L2685" s="81">
        <f>IF('Ordenes_Odoo'!L2685="","",'Ordenes_Odoo'!L2685)</f>
        <v/>
      </c>
      <c r="M2685" s="79">
        <f>IF('Ordenes_Odoo'!M2685="","",'Ordenes_Odoo'!M2685)</f>
        <v/>
      </c>
      <c r="N2685" s="79">
        <f>IF('Ordenes_Odoo'!N2685="","",'Ordenes_Odoo'!N2685)</f>
        <v/>
      </c>
      <c r="O2685" s="81">
        <f>IF('Ordenes_Odoo'!O2685="","",'Ordenes_Odoo'!O2685)</f>
        <v/>
      </c>
      <c r="P2685" s="81">
        <f>IF('Ordenes_Odoo'!P2685="","",'Ordenes_Odoo'!P2685)</f>
        <v/>
      </c>
      <c r="Q2685" s="79">
        <f>IF(A2685="","",IFERROR(INDEX(Facturas_Odoo!$B:$B, MATCH(A2685, Facturas_Odoo!$D:$D, 0)), "Sin Factura"))</f>
        <v/>
      </c>
      <c r="R2685" s="80">
        <f>IF(Q2685="Sin Factura","",IFERROR(INDEX(Facturas_Odoo!$A:$A, MATCH(Q2685, Facturas_Odoo!$B:$B, 0)), ""))</f>
        <v/>
      </c>
      <c r="S2685" s="79">
        <f>IF(Q2685="Sin Factura","",IFERROR(_xlfn.XLOOKUP(1, (Facturas_Odoo!$D:$D=A2685) * (Facturas_Odoo!$K:$K=I2685), Facturas_Odoo!$L:$L, ""), ""))</f>
        <v/>
      </c>
      <c r="T2685" s="81">
        <f>IF(Q2685="Sin Factura",0,IFERROR(_xlfn.XLOOKUP(1, (Facturas_Odoo!$D:$D=A2685) * (Facturas_Odoo!$K:$K=I2685), Facturas_Odoo!$M:$M, 0), 0))</f>
        <v/>
      </c>
      <c r="U2685" s="79">
        <f>IF(Q2685="Sin Factura",0,IFERROR(_xlfn.XLOOKUP(1, (Facturas_Odoo!$D:$D=A2685) * (Facturas_Odoo!$K:$K=I2685), Facturas_Odoo!$N:$N, 0), 0))</f>
        <v/>
      </c>
      <c r="V2685" s="79">
        <f>IF(Q2685="Sin Factura",0,IFERROR(_xlfn.XLOOKUP(1, (Facturas_Odoo!$D:$D=A2685) * (Facturas_Odoo!$K:$K=I2685), Facturas_Odoo!$O:$O, 0), 0))</f>
        <v/>
      </c>
      <c r="W2685" s="81">
        <f>IF(Q2685="Sin Factura",0,IFERROR(_xlfn.XLOOKUP(1, (Facturas_Odoo!$D:$D=A2685) * (Facturas_Odoo!$K:$K=I2685), Facturas_Odoo!$Q:$Q, 0), 0))</f>
        <v/>
      </c>
      <c r="X2685" s="79">
        <f>IF(OR(Q2685="Sin Factura",Q2685=""),"",IFERROR(INDEX(Pagos_Odoo!$B:$B, MATCH(Q2685, Pagos_Odoo!$I:$I, 0)), "Sin Pago"))</f>
        <v/>
      </c>
      <c r="Y2685" s="79">
        <f>IF(X2685="Sin Pago","",IFERROR(INDEX(Pagos_Odoo!$C:$C, MATCH(X2685, Pagos_Odoo!$B:$B, 0)), ""))</f>
        <v/>
      </c>
      <c r="Z2685" s="80">
        <f>IF(X2685="Sin Pago","",IFERROR(INDEX(Pagos_Odoo!$A:$A, MATCH(X2685, Pagos_Odoo!$B:$B, 0)), ""))</f>
        <v/>
      </c>
      <c r="AA2685" s="79">
        <f>IF(X2685="Sin Pago","",IFERROR(INDEX(Pagos_Odoo!$F:$F, MATCH(X2685, Pagos_Odoo!$B:$B, 0)), ""))</f>
        <v/>
      </c>
      <c r="AB2685" s="81">
        <f>IF(X2685="Sin Pago",0,IFERROR(INDEX(Pagos_Odoo!$E:$E, MATCH(X2685, Pagos_Odoo!$B:$B, 0)), 0))</f>
        <v/>
      </c>
      <c r="AC2685" s="79">
        <f>IF(X2685="Sin Pago","",IFERROR(INDEX(Pagos_Odoo!$G:$G, MATCH(X2685, Pagos_Odoo!$B:$B, 0)), ""))</f>
        <v/>
      </c>
      <c r="AD2685" s="82" t="n">
        <v>0</v>
      </c>
      <c r="AE2685" s="82" t="n"/>
      <c r="AF2685" s="82" t="n"/>
      <c r="AG2685" s="82">
        <f>IF(AN2685="","",AD2685+AE2685+AF2685)</f>
        <v/>
      </c>
      <c r="AH2685" s="81">
        <f>IF(AN2685="","",P2685*(1-AG2685))</f>
        <v/>
      </c>
      <c r="AI2685" s="81">
        <f>IF(AN2685="","",IF(Q2685="Sin Factura",0,IFERROR(INDEX(Facturas_Odoo!$H:$H, MATCH(Q2685, Facturas_Odoo!$B:$B, 0)), 0)*(1-AG2685)))</f>
        <v/>
      </c>
      <c r="AJ2685" s="81">
        <f>IF(AN2685="","",_xlfn.LET(idVenta, AN2685&amp;"",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85" s="81">
        <f>IF(AN2685="","",AH2685-AJ2685)</f>
        <v/>
      </c>
      <c r="AL2685" s="81">
        <f>IF(AN2685="","",IF(Q2685="Sin Factura","",AI2685-AJ2685))</f>
        <v/>
      </c>
      <c r="AM2685" s="81">
        <f>IF(AN2685="","",IF(Q2685="Sin Factura",0,P2685-IFERROR(INDEX(Facturas_Odoo!$H:$H, MATCH(Q2685, Facturas_Odoo!$B:$B, 0)), 0)))</f>
        <v/>
      </c>
      <c r="AN2685" s="79">
        <f>IF(AND(A2685="", J2685=""), "", IF(A2685&lt;&gt;"", VALUE(MID(A2685,2,LEN(A2685))), AN2684))</f>
        <v/>
      </c>
      <c r="AO2685" s="79">
        <f>IF(AN2685="","",IF(AD2685=0,"OK",_xlfn.LET(monedaPago, IF(AA2685="","USD",AA2685), limitePermitido, IFERROR(VLOOKUP(monedaPago, Configuración!$A$2:$B$3, 2, FALSE), 0.15), IF(AD2685&gt;limitePermitido, "ALERTA: EXCESO (" &amp; TEXT(limitePermitido, "0%") &amp; " máx)", "OK"))))</f>
        <v/>
      </c>
      <c r="AP2685" s="79">
        <f>IF(AN2685="","",IF(AE2685=0,"OK",_xlfn.LET(fechaPago, Z2685, fechaFactura, R2685, diasCredito, IF(E2685="Pago inmediato", 0, IFERROR(VALUE(MID(E2685, 1, SEARCH(" ", E2685)-1)),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85" s="79">
        <f>IF(AN2685="","",IF(AND(N2685&gt;0, AG2685&gt;0), IF(Configuración!$K$2="NO", "ALERTA: DESCUENTO DOBLE NO PERMITIDO", "OK"), "OK"))</f>
        <v/>
      </c>
      <c r="AR2685" s="79">
        <f>IF(AN2685="","",IF(OR(AO2685&lt;&gt;"OK", AP2685&lt;&gt;"OK", AQ2685&lt;&gt;"OK"), "⚠️ REVISAR", "OK"))</f>
        <v/>
      </c>
    </row>
    <row r="2686">
      <c r="A2686" s="79">
        <f>IF('Ordenes_Odoo'!A2686="","",'Ordenes_Odoo'!A2686)</f>
        <v/>
      </c>
      <c r="B2686" s="80">
        <f>IF('Ordenes_Odoo'!B2686="","",'Ordenes_Odoo'!B2686)</f>
        <v/>
      </c>
      <c r="C2686" s="79">
        <f>IF('Ordenes_Odoo'!C2686="","",'Ordenes_Odoo'!C2686)</f>
        <v/>
      </c>
      <c r="D2686" s="79">
        <f>IF('Ordenes_Odoo'!D2686="","",'Ordenes_Odoo'!D2686)</f>
        <v/>
      </c>
      <c r="E2686" s="79">
        <f>IF('Ordenes_Odoo'!E2686="","",'Ordenes_Odoo'!E2686)</f>
        <v/>
      </c>
      <c r="F2686" s="79">
        <f>IF('Ordenes_Odoo'!F2686="","",'Ordenes_Odoo'!F2686)</f>
        <v/>
      </c>
      <c r="G2686" s="79">
        <f>IF('Ordenes_Odoo'!G2686="","",'Ordenes_Odoo'!G2686)</f>
        <v/>
      </c>
      <c r="H2686" s="79">
        <f>IF('Ordenes_Odoo'!H2686="","",'Ordenes_Odoo'!H2686)</f>
        <v/>
      </c>
      <c r="I2686" s="79">
        <f>IF('Ordenes_Odoo'!I2686="","",'Ordenes_Odoo'!I2686)</f>
        <v/>
      </c>
      <c r="J2686" s="79">
        <f>IF('Ordenes_Odoo'!J2686="","",'Ordenes_Odoo'!J2686)</f>
        <v/>
      </c>
      <c r="K2686" s="81">
        <f>IF('Ordenes_Odoo'!K2686="","",'Ordenes_Odoo'!K2686)</f>
        <v/>
      </c>
      <c r="L2686" s="81">
        <f>IF('Ordenes_Odoo'!L2686="","",'Ordenes_Odoo'!L2686)</f>
        <v/>
      </c>
      <c r="M2686" s="79">
        <f>IF('Ordenes_Odoo'!M2686="","",'Ordenes_Odoo'!M2686)</f>
        <v/>
      </c>
      <c r="N2686" s="79">
        <f>IF('Ordenes_Odoo'!N2686="","",'Ordenes_Odoo'!N2686)</f>
        <v/>
      </c>
      <c r="O2686" s="81">
        <f>IF('Ordenes_Odoo'!O2686="","",'Ordenes_Odoo'!O2686)</f>
        <v/>
      </c>
      <c r="P2686" s="81">
        <f>IF('Ordenes_Odoo'!P2686="","",'Ordenes_Odoo'!P2686)</f>
        <v/>
      </c>
      <c r="Q2686" s="79">
        <f>IF(A2686="","",IFERROR(INDEX(Facturas_Odoo!$B:$B, MATCH(A2686, Facturas_Odoo!$D:$D, 0)), "Sin Factura"))</f>
        <v/>
      </c>
      <c r="R2686" s="80">
        <f>IF(Q2686="Sin Factura","",IFERROR(INDEX(Facturas_Odoo!$A:$A, MATCH(Q2686, Facturas_Odoo!$B:$B, 0)), ""))</f>
        <v/>
      </c>
      <c r="S2686" s="79">
        <f>IF(Q2686="Sin Factura","",IFERROR(_xlfn.XLOOKUP(1, (Facturas_Odoo!$D:$D=A2686) * (Facturas_Odoo!$K:$K=I2686), Facturas_Odoo!$L:$L, ""), ""))</f>
        <v/>
      </c>
      <c r="T2686" s="81">
        <f>IF(Q2686="Sin Factura",0,IFERROR(_xlfn.XLOOKUP(1, (Facturas_Odoo!$D:$D=A2686) * (Facturas_Odoo!$K:$K=I2686), Facturas_Odoo!$M:$M, 0), 0))</f>
        <v/>
      </c>
      <c r="U2686" s="79">
        <f>IF(Q2686="Sin Factura",0,IFERROR(_xlfn.XLOOKUP(1, (Facturas_Odoo!$D:$D=A2686) * (Facturas_Odoo!$K:$K=I2686), Facturas_Odoo!$N:$N, 0), 0))</f>
        <v/>
      </c>
      <c r="V2686" s="79">
        <f>IF(Q2686="Sin Factura",0,IFERROR(_xlfn.XLOOKUP(1, (Facturas_Odoo!$D:$D=A2686) * (Facturas_Odoo!$K:$K=I2686), Facturas_Odoo!$O:$O, 0), 0))</f>
        <v/>
      </c>
      <c r="W2686" s="81">
        <f>IF(Q2686="Sin Factura",0,IFERROR(_xlfn.XLOOKUP(1, (Facturas_Odoo!$D:$D=A2686) * (Facturas_Odoo!$K:$K=I2686), Facturas_Odoo!$Q:$Q, 0), 0))</f>
        <v/>
      </c>
      <c r="X2686" s="79">
        <f>IF(OR(Q2686="Sin Factura",Q2686=""),"",IFERROR(INDEX(Pagos_Odoo!$B:$B, MATCH(Q2686, Pagos_Odoo!$I:$I, 0)), "Sin Pago"))</f>
        <v/>
      </c>
      <c r="Y2686" s="79">
        <f>IF(X2686="Sin Pago","",IFERROR(INDEX(Pagos_Odoo!$C:$C, MATCH(X2686, Pagos_Odoo!$B:$B, 0)), ""))</f>
        <v/>
      </c>
      <c r="Z2686" s="80">
        <f>IF(X2686="Sin Pago","",IFERROR(INDEX(Pagos_Odoo!$A:$A, MATCH(X2686, Pagos_Odoo!$B:$B, 0)), ""))</f>
        <v/>
      </c>
      <c r="AA2686" s="79">
        <f>IF(X2686="Sin Pago","",IFERROR(INDEX(Pagos_Odoo!$F:$F, MATCH(X2686, Pagos_Odoo!$B:$B, 0)), ""))</f>
        <v/>
      </c>
      <c r="AB2686" s="81">
        <f>IF(X2686="Sin Pago",0,IFERROR(INDEX(Pagos_Odoo!$E:$E, MATCH(X2686, Pagos_Odoo!$B:$B, 0)), 0))</f>
        <v/>
      </c>
      <c r="AC2686" s="79">
        <f>IF(X2686="Sin Pago","",IFERROR(INDEX(Pagos_Odoo!$G:$G, MATCH(X2686, Pagos_Odoo!$B:$B, 0)), ""))</f>
        <v/>
      </c>
      <c r="AD2686" s="82" t="n">
        <v>0</v>
      </c>
      <c r="AE2686" s="82" t="n"/>
      <c r="AF2686" s="82" t="n"/>
      <c r="AG2686" s="82">
        <f>IF(AN2686="","",AD2686+AE2686+AF2686)</f>
        <v/>
      </c>
      <c r="AH2686" s="81">
        <f>IF(AN2686="","",P2686*(1-AG2686))</f>
        <v/>
      </c>
      <c r="AI2686" s="81">
        <f>IF(AN2686="","",IF(Q2686="Sin Factura",0,IFERROR(INDEX(Facturas_Odoo!$H:$H, MATCH(Q2686, Facturas_Odoo!$B:$B, 0)), 0)*(1-AG2686)))</f>
        <v/>
      </c>
      <c r="AJ2686" s="81">
        <f>IF(AN2686="","",_xlfn.LET(idVenta, AN2686&amp;"",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86" s="81">
        <f>IF(AN2686="","",AH2686-AJ2686)</f>
        <v/>
      </c>
      <c r="AL2686" s="81">
        <f>IF(AN2686="","",IF(Q2686="Sin Factura","",AI2686-AJ2686))</f>
        <v/>
      </c>
      <c r="AM2686" s="81">
        <f>IF(AN2686="","",IF(Q2686="Sin Factura",0,P2686-IFERROR(INDEX(Facturas_Odoo!$H:$H, MATCH(Q2686, Facturas_Odoo!$B:$B, 0)), 0)))</f>
        <v/>
      </c>
      <c r="AN2686" s="79">
        <f>IF(AND(A2686="", J2686=""), "", IF(A2686&lt;&gt;"", VALUE(MID(A2686,2,LEN(A2686))), AN2685))</f>
        <v/>
      </c>
      <c r="AO2686" s="79">
        <f>IF(AN2686="","",IF(AD2686=0,"OK",_xlfn.LET(monedaPago, IF(AA2686="","USD",AA2686), limitePermitido, IFERROR(VLOOKUP(monedaPago, Configuración!$A$2:$B$3, 2, FALSE), 0.15), IF(AD2686&gt;limitePermitido, "ALERTA: EXCESO (" &amp; TEXT(limitePermitido, "0%") &amp; " máx)", "OK"))))</f>
        <v/>
      </c>
      <c r="AP2686" s="79">
        <f>IF(AN2686="","",IF(AE2686=0,"OK",_xlfn.LET(fechaPago, Z2686, fechaFactura, R2686, diasCredito, IF(E2686="Pago inmediato", 0, IFERROR(VALUE(MID(E2686, 1, SEARCH(" ", E2686)-1)),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86" s="79">
        <f>IF(AN2686="","",IF(AND(N2686&gt;0, AG2686&gt;0), IF(Configuración!$K$2="NO", "ALERTA: DESCUENTO DOBLE NO PERMITIDO", "OK"), "OK"))</f>
        <v/>
      </c>
      <c r="AR2686" s="79">
        <f>IF(AN2686="","",IF(OR(AO2686&lt;&gt;"OK", AP2686&lt;&gt;"OK", AQ2686&lt;&gt;"OK"), "⚠️ REVISAR", "OK"))</f>
        <v/>
      </c>
    </row>
    <row r="2687">
      <c r="A2687" s="79">
        <f>IF('Ordenes_Odoo'!A2687="","",'Ordenes_Odoo'!A2687)</f>
        <v/>
      </c>
      <c r="B2687" s="80">
        <f>IF('Ordenes_Odoo'!B2687="","",'Ordenes_Odoo'!B2687)</f>
        <v/>
      </c>
      <c r="C2687" s="79">
        <f>IF('Ordenes_Odoo'!C2687="","",'Ordenes_Odoo'!C2687)</f>
        <v/>
      </c>
      <c r="D2687" s="79">
        <f>IF('Ordenes_Odoo'!D2687="","",'Ordenes_Odoo'!D2687)</f>
        <v/>
      </c>
      <c r="E2687" s="79">
        <f>IF('Ordenes_Odoo'!E2687="","",'Ordenes_Odoo'!E2687)</f>
        <v/>
      </c>
      <c r="F2687" s="79">
        <f>IF('Ordenes_Odoo'!F2687="","",'Ordenes_Odoo'!F2687)</f>
        <v/>
      </c>
      <c r="G2687" s="79">
        <f>IF('Ordenes_Odoo'!G2687="","",'Ordenes_Odoo'!G2687)</f>
        <v/>
      </c>
      <c r="H2687" s="79">
        <f>IF('Ordenes_Odoo'!H2687="","",'Ordenes_Odoo'!H2687)</f>
        <v/>
      </c>
      <c r="I2687" s="79">
        <f>IF('Ordenes_Odoo'!I2687="","",'Ordenes_Odoo'!I2687)</f>
        <v/>
      </c>
      <c r="J2687" s="79">
        <f>IF('Ordenes_Odoo'!J2687="","",'Ordenes_Odoo'!J2687)</f>
        <v/>
      </c>
      <c r="K2687" s="81">
        <f>IF('Ordenes_Odoo'!K2687="","",'Ordenes_Odoo'!K2687)</f>
        <v/>
      </c>
      <c r="L2687" s="81">
        <f>IF('Ordenes_Odoo'!L2687="","",'Ordenes_Odoo'!L2687)</f>
        <v/>
      </c>
      <c r="M2687" s="79">
        <f>IF('Ordenes_Odoo'!M2687="","",'Ordenes_Odoo'!M2687)</f>
        <v/>
      </c>
      <c r="N2687" s="79">
        <f>IF('Ordenes_Odoo'!N2687="","",'Ordenes_Odoo'!N2687)</f>
        <v/>
      </c>
      <c r="O2687" s="81">
        <f>IF('Ordenes_Odoo'!O2687="","",'Ordenes_Odoo'!O2687)</f>
        <v/>
      </c>
      <c r="P2687" s="81">
        <f>IF('Ordenes_Odoo'!P2687="","",'Ordenes_Odoo'!P2687)</f>
        <v/>
      </c>
      <c r="Q2687" s="79">
        <f>IF(A2687="","",IFERROR(INDEX(Facturas_Odoo!$B:$B, MATCH(A2687, Facturas_Odoo!$D:$D, 0)), "Sin Factura"))</f>
        <v/>
      </c>
      <c r="R2687" s="80">
        <f>IF(Q2687="Sin Factura","",IFERROR(INDEX(Facturas_Odoo!$A:$A, MATCH(Q2687, Facturas_Odoo!$B:$B, 0)), ""))</f>
        <v/>
      </c>
      <c r="S2687" s="79">
        <f>IF(Q2687="Sin Factura","",IFERROR(_xlfn.XLOOKUP(1, (Facturas_Odoo!$D:$D=A2687) * (Facturas_Odoo!$K:$K=I2687), Facturas_Odoo!$L:$L, ""), ""))</f>
        <v/>
      </c>
      <c r="T2687" s="81">
        <f>IF(Q2687="Sin Factura",0,IFERROR(_xlfn.XLOOKUP(1, (Facturas_Odoo!$D:$D=A2687) * (Facturas_Odoo!$K:$K=I2687), Facturas_Odoo!$M:$M, 0), 0))</f>
        <v/>
      </c>
      <c r="U2687" s="79">
        <f>IF(Q2687="Sin Factura",0,IFERROR(_xlfn.XLOOKUP(1, (Facturas_Odoo!$D:$D=A2687) * (Facturas_Odoo!$K:$K=I2687), Facturas_Odoo!$N:$N, 0), 0))</f>
        <v/>
      </c>
      <c r="V2687" s="79">
        <f>IF(Q2687="Sin Factura",0,IFERROR(_xlfn.XLOOKUP(1, (Facturas_Odoo!$D:$D=A2687) * (Facturas_Odoo!$K:$K=I2687), Facturas_Odoo!$O:$O, 0), 0))</f>
        <v/>
      </c>
      <c r="W2687" s="81">
        <f>IF(Q2687="Sin Factura",0,IFERROR(_xlfn.XLOOKUP(1, (Facturas_Odoo!$D:$D=A2687) * (Facturas_Odoo!$K:$K=I2687), Facturas_Odoo!$Q:$Q, 0), 0))</f>
        <v/>
      </c>
      <c r="X2687" s="79">
        <f>IF(OR(Q2687="Sin Factura",Q2687=""),"",IFERROR(INDEX(Pagos_Odoo!$B:$B, MATCH(Q2687, Pagos_Odoo!$I:$I, 0)), "Sin Pago"))</f>
        <v/>
      </c>
      <c r="Y2687" s="79">
        <f>IF(X2687="Sin Pago","",IFERROR(INDEX(Pagos_Odoo!$C:$C, MATCH(X2687, Pagos_Odoo!$B:$B, 0)), ""))</f>
        <v/>
      </c>
      <c r="Z2687" s="80">
        <f>IF(X2687="Sin Pago","",IFERROR(INDEX(Pagos_Odoo!$A:$A, MATCH(X2687, Pagos_Odoo!$B:$B, 0)), ""))</f>
        <v/>
      </c>
      <c r="AA2687" s="79">
        <f>IF(X2687="Sin Pago","",IFERROR(INDEX(Pagos_Odoo!$F:$F, MATCH(X2687, Pagos_Odoo!$B:$B, 0)), ""))</f>
        <v/>
      </c>
      <c r="AB2687" s="81">
        <f>IF(X2687="Sin Pago",0,IFERROR(INDEX(Pagos_Odoo!$E:$E, MATCH(X2687, Pagos_Odoo!$B:$B, 0)), 0))</f>
        <v/>
      </c>
      <c r="AC2687" s="79">
        <f>IF(X2687="Sin Pago","",IFERROR(INDEX(Pagos_Odoo!$G:$G, MATCH(X2687, Pagos_Odoo!$B:$B, 0)), ""))</f>
        <v/>
      </c>
      <c r="AD2687" s="82" t="n">
        <v>0</v>
      </c>
      <c r="AE2687" s="82" t="n"/>
      <c r="AF2687" s="82" t="n"/>
      <c r="AG2687" s="82">
        <f>IF(AN2687="","",AD2687+AE2687+AF2687)</f>
        <v/>
      </c>
      <c r="AH2687" s="81">
        <f>IF(AN2687="","",P2687*(1-AG2687))</f>
        <v/>
      </c>
      <c r="AI2687" s="81">
        <f>IF(AN2687="","",IF(Q2687="Sin Factura",0,IFERROR(INDEX(Facturas_Odoo!$H:$H, MATCH(Q2687, Facturas_Odoo!$B:$B, 0)), 0)*(1-AG2687)))</f>
        <v/>
      </c>
      <c r="AJ2687" s="81">
        <f>IF(AN2687="","",_xlfn.LET(idVenta, AN2687&amp;"",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87" s="81">
        <f>IF(AN2687="","",AH2687-AJ2687)</f>
        <v/>
      </c>
      <c r="AL2687" s="81">
        <f>IF(AN2687="","",IF(Q2687="Sin Factura","",AI2687-AJ2687))</f>
        <v/>
      </c>
      <c r="AM2687" s="81">
        <f>IF(AN2687="","",IF(Q2687="Sin Factura",0,P2687-IFERROR(INDEX(Facturas_Odoo!$H:$H, MATCH(Q2687, Facturas_Odoo!$B:$B, 0)), 0)))</f>
        <v/>
      </c>
      <c r="AN2687" s="79">
        <f>IF(AND(A2687="", J2687=""), "", IF(A2687&lt;&gt;"", VALUE(MID(A2687,2,LEN(A2687))), AN2686))</f>
        <v/>
      </c>
      <c r="AO2687" s="79">
        <f>IF(AN2687="","",IF(AD2687=0,"OK",_xlfn.LET(monedaPago, IF(AA2687="","USD",AA2687), limitePermitido, IFERROR(VLOOKUP(monedaPago, Configuración!$A$2:$B$3, 2, FALSE), 0.15), IF(AD2687&gt;limitePermitido, "ALERTA: EXCESO (" &amp; TEXT(limitePermitido, "0%") &amp; " máx)", "OK"))))</f>
        <v/>
      </c>
      <c r="AP2687" s="79">
        <f>IF(AN2687="","",IF(AE2687=0,"OK",_xlfn.LET(fechaPago, Z2687, fechaFactura, R2687, diasCredito, IF(E2687="Pago inmediato", 0, IFERROR(VALUE(MID(E2687, 1, SEARCH(" ", E2687)-1)),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87" s="79">
        <f>IF(AN2687="","",IF(AND(N2687&gt;0, AG2687&gt;0), IF(Configuración!$K$2="NO", "ALERTA: DESCUENTO DOBLE NO PERMITIDO", "OK"), "OK"))</f>
        <v/>
      </c>
      <c r="AR2687" s="79">
        <f>IF(AN2687="","",IF(OR(AO2687&lt;&gt;"OK", AP2687&lt;&gt;"OK", AQ2687&lt;&gt;"OK"), "⚠️ REVISAR", "OK"))</f>
        <v/>
      </c>
    </row>
    <row r="2688">
      <c r="A2688" s="79">
        <f>IF('Ordenes_Odoo'!A2688="","",'Ordenes_Odoo'!A2688)</f>
        <v/>
      </c>
      <c r="B2688" s="80">
        <f>IF('Ordenes_Odoo'!B2688="","",'Ordenes_Odoo'!B2688)</f>
        <v/>
      </c>
      <c r="C2688" s="79">
        <f>IF('Ordenes_Odoo'!C2688="","",'Ordenes_Odoo'!C2688)</f>
        <v/>
      </c>
      <c r="D2688" s="79">
        <f>IF('Ordenes_Odoo'!D2688="","",'Ordenes_Odoo'!D2688)</f>
        <v/>
      </c>
      <c r="E2688" s="79">
        <f>IF('Ordenes_Odoo'!E2688="","",'Ordenes_Odoo'!E2688)</f>
        <v/>
      </c>
      <c r="F2688" s="79">
        <f>IF('Ordenes_Odoo'!F2688="","",'Ordenes_Odoo'!F2688)</f>
        <v/>
      </c>
      <c r="G2688" s="79">
        <f>IF('Ordenes_Odoo'!G2688="","",'Ordenes_Odoo'!G2688)</f>
        <v/>
      </c>
      <c r="H2688" s="79">
        <f>IF('Ordenes_Odoo'!H2688="","",'Ordenes_Odoo'!H2688)</f>
        <v/>
      </c>
      <c r="I2688" s="79">
        <f>IF('Ordenes_Odoo'!I2688="","",'Ordenes_Odoo'!I2688)</f>
        <v/>
      </c>
      <c r="J2688" s="79">
        <f>IF('Ordenes_Odoo'!J2688="","",'Ordenes_Odoo'!J2688)</f>
        <v/>
      </c>
      <c r="K2688" s="81">
        <f>IF('Ordenes_Odoo'!K2688="","",'Ordenes_Odoo'!K2688)</f>
        <v/>
      </c>
      <c r="L2688" s="81">
        <f>IF('Ordenes_Odoo'!L2688="","",'Ordenes_Odoo'!L2688)</f>
        <v/>
      </c>
      <c r="M2688" s="79">
        <f>IF('Ordenes_Odoo'!M2688="","",'Ordenes_Odoo'!M2688)</f>
        <v/>
      </c>
      <c r="N2688" s="79">
        <f>IF('Ordenes_Odoo'!N2688="","",'Ordenes_Odoo'!N2688)</f>
        <v/>
      </c>
      <c r="O2688" s="81">
        <f>IF('Ordenes_Odoo'!O2688="","",'Ordenes_Odoo'!O2688)</f>
        <v/>
      </c>
      <c r="P2688" s="81">
        <f>IF('Ordenes_Odoo'!P2688="","",'Ordenes_Odoo'!P2688)</f>
        <v/>
      </c>
      <c r="Q2688" s="79">
        <f>IF(A2688="","",IFERROR(INDEX(Facturas_Odoo!$B:$B, MATCH(A2688, Facturas_Odoo!$D:$D, 0)), "Sin Factura"))</f>
        <v/>
      </c>
      <c r="R2688" s="80">
        <f>IF(Q2688="Sin Factura","",IFERROR(INDEX(Facturas_Odoo!$A:$A, MATCH(Q2688, Facturas_Odoo!$B:$B, 0)), ""))</f>
        <v/>
      </c>
      <c r="S2688" s="79">
        <f>IF(Q2688="Sin Factura","",IFERROR(_xlfn.XLOOKUP(1, (Facturas_Odoo!$D:$D=A2688) * (Facturas_Odoo!$K:$K=I2688), Facturas_Odoo!$L:$L, ""), ""))</f>
        <v/>
      </c>
      <c r="T2688" s="81">
        <f>IF(Q2688="Sin Factura",0,IFERROR(_xlfn.XLOOKUP(1, (Facturas_Odoo!$D:$D=A2688) * (Facturas_Odoo!$K:$K=I2688), Facturas_Odoo!$M:$M, 0), 0))</f>
        <v/>
      </c>
      <c r="U2688" s="79">
        <f>IF(Q2688="Sin Factura",0,IFERROR(_xlfn.XLOOKUP(1, (Facturas_Odoo!$D:$D=A2688) * (Facturas_Odoo!$K:$K=I2688), Facturas_Odoo!$N:$N, 0), 0))</f>
        <v/>
      </c>
      <c r="V2688" s="79">
        <f>IF(Q2688="Sin Factura",0,IFERROR(_xlfn.XLOOKUP(1, (Facturas_Odoo!$D:$D=A2688) * (Facturas_Odoo!$K:$K=I2688), Facturas_Odoo!$O:$O, 0), 0))</f>
        <v/>
      </c>
      <c r="W2688" s="81">
        <f>IF(Q2688="Sin Factura",0,IFERROR(_xlfn.XLOOKUP(1, (Facturas_Odoo!$D:$D=A2688) * (Facturas_Odoo!$K:$K=I2688), Facturas_Odoo!$Q:$Q, 0), 0))</f>
        <v/>
      </c>
      <c r="X2688" s="79">
        <f>IF(OR(Q2688="Sin Factura",Q2688=""),"",IFERROR(INDEX(Pagos_Odoo!$B:$B, MATCH(Q2688, Pagos_Odoo!$I:$I, 0)), "Sin Pago"))</f>
        <v/>
      </c>
      <c r="Y2688" s="79">
        <f>IF(X2688="Sin Pago","",IFERROR(INDEX(Pagos_Odoo!$C:$C, MATCH(X2688, Pagos_Odoo!$B:$B, 0)), ""))</f>
        <v/>
      </c>
      <c r="Z2688" s="80">
        <f>IF(X2688="Sin Pago","",IFERROR(INDEX(Pagos_Odoo!$A:$A, MATCH(X2688, Pagos_Odoo!$B:$B, 0)), ""))</f>
        <v/>
      </c>
      <c r="AA2688" s="79">
        <f>IF(X2688="Sin Pago","",IFERROR(INDEX(Pagos_Odoo!$F:$F, MATCH(X2688, Pagos_Odoo!$B:$B, 0)), ""))</f>
        <v/>
      </c>
      <c r="AB2688" s="81">
        <f>IF(X2688="Sin Pago",0,IFERROR(INDEX(Pagos_Odoo!$E:$E, MATCH(X2688, Pagos_Odoo!$B:$B, 0)), 0))</f>
        <v/>
      </c>
      <c r="AC2688" s="79">
        <f>IF(X2688="Sin Pago","",IFERROR(INDEX(Pagos_Odoo!$G:$G, MATCH(X2688, Pagos_Odoo!$B:$B, 0)), ""))</f>
        <v/>
      </c>
      <c r="AD2688" s="82" t="n">
        <v>0</v>
      </c>
      <c r="AE2688" s="82" t="n"/>
      <c r="AF2688" s="82" t="n"/>
      <c r="AG2688" s="82">
        <f>IF(AN2688="","",AD2688+AE2688+AF2688)</f>
        <v/>
      </c>
      <c r="AH2688" s="81">
        <f>IF(AN2688="","",P2688*(1-AG2688))</f>
        <v/>
      </c>
      <c r="AI2688" s="81">
        <f>IF(AN2688="","",IF(Q2688="Sin Factura",0,IFERROR(INDEX(Facturas_Odoo!$H:$H, MATCH(Q2688, Facturas_Odoo!$B:$B, 0)), 0)*(1-AG2688)))</f>
        <v/>
      </c>
      <c r="AJ2688" s="81">
        <f>IF(AN2688="","",_xlfn.LET(idVenta, AN2688&amp;"",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88" s="81">
        <f>IF(AN2688="","",AH2688-AJ2688)</f>
        <v/>
      </c>
      <c r="AL2688" s="81">
        <f>IF(AN2688="","",IF(Q2688="Sin Factura","",AI2688-AJ2688))</f>
        <v/>
      </c>
      <c r="AM2688" s="81">
        <f>IF(AN2688="","",IF(Q2688="Sin Factura",0,P2688-IFERROR(INDEX(Facturas_Odoo!$H:$H, MATCH(Q2688, Facturas_Odoo!$B:$B, 0)), 0)))</f>
        <v/>
      </c>
      <c r="AN2688" s="79">
        <f>IF(AND(A2688="", J2688=""), "", IF(A2688&lt;&gt;"", VALUE(MID(A2688,2,LEN(A2688))), AN2687))</f>
        <v/>
      </c>
      <c r="AO2688" s="79">
        <f>IF(AN2688="","",IF(AD2688=0,"OK",_xlfn.LET(monedaPago, IF(AA2688="","USD",AA2688), limitePermitido, IFERROR(VLOOKUP(monedaPago, Configuración!$A$2:$B$3, 2, FALSE), 0.15), IF(AD2688&gt;limitePermitido, "ALERTA: EXCESO (" &amp; TEXT(limitePermitido, "0%") &amp; " máx)", "OK"))))</f>
        <v/>
      </c>
      <c r="AP2688" s="79">
        <f>IF(AN2688="","",IF(AE2688=0,"OK",_xlfn.LET(fechaPago, Z2688, fechaFactura, R2688, diasCredito, IF(E2688="Pago inmediato", 0, IFERROR(VALUE(MID(E2688, 1, SEARCH(" ", E2688)-1)),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88" s="79">
        <f>IF(AN2688="","",IF(AND(N2688&gt;0, AG2688&gt;0), IF(Configuración!$K$2="NO", "ALERTA: DESCUENTO DOBLE NO PERMITIDO", "OK"), "OK"))</f>
        <v/>
      </c>
      <c r="AR2688" s="79">
        <f>IF(AN2688="","",IF(OR(AO2688&lt;&gt;"OK", AP2688&lt;&gt;"OK", AQ2688&lt;&gt;"OK"), "⚠️ REVISAR", "OK"))</f>
        <v/>
      </c>
    </row>
    <row r="2689">
      <c r="A2689" s="79">
        <f>IF('Ordenes_Odoo'!A2689="","",'Ordenes_Odoo'!A2689)</f>
        <v/>
      </c>
      <c r="B2689" s="80">
        <f>IF('Ordenes_Odoo'!B2689="","",'Ordenes_Odoo'!B2689)</f>
        <v/>
      </c>
      <c r="C2689" s="79">
        <f>IF('Ordenes_Odoo'!C2689="","",'Ordenes_Odoo'!C2689)</f>
        <v/>
      </c>
      <c r="D2689" s="79">
        <f>IF('Ordenes_Odoo'!D2689="","",'Ordenes_Odoo'!D2689)</f>
        <v/>
      </c>
      <c r="E2689" s="79">
        <f>IF('Ordenes_Odoo'!E2689="","",'Ordenes_Odoo'!E2689)</f>
        <v/>
      </c>
      <c r="F2689" s="79">
        <f>IF('Ordenes_Odoo'!F2689="","",'Ordenes_Odoo'!F2689)</f>
        <v/>
      </c>
      <c r="G2689" s="79">
        <f>IF('Ordenes_Odoo'!G2689="","",'Ordenes_Odoo'!G2689)</f>
        <v/>
      </c>
      <c r="H2689" s="79">
        <f>IF('Ordenes_Odoo'!H2689="","",'Ordenes_Odoo'!H2689)</f>
        <v/>
      </c>
      <c r="I2689" s="79">
        <f>IF('Ordenes_Odoo'!I2689="","",'Ordenes_Odoo'!I2689)</f>
        <v/>
      </c>
      <c r="J2689" s="79">
        <f>IF('Ordenes_Odoo'!J2689="","",'Ordenes_Odoo'!J2689)</f>
        <v/>
      </c>
      <c r="K2689" s="81">
        <f>IF('Ordenes_Odoo'!K2689="","",'Ordenes_Odoo'!K2689)</f>
        <v/>
      </c>
      <c r="L2689" s="81">
        <f>IF('Ordenes_Odoo'!L2689="","",'Ordenes_Odoo'!L2689)</f>
        <v/>
      </c>
      <c r="M2689" s="79">
        <f>IF('Ordenes_Odoo'!M2689="","",'Ordenes_Odoo'!M2689)</f>
        <v/>
      </c>
      <c r="N2689" s="79">
        <f>IF('Ordenes_Odoo'!N2689="","",'Ordenes_Odoo'!N2689)</f>
        <v/>
      </c>
      <c r="O2689" s="81">
        <f>IF('Ordenes_Odoo'!O2689="","",'Ordenes_Odoo'!O2689)</f>
        <v/>
      </c>
      <c r="P2689" s="81">
        <f>IF('Ordenes_Odoo'!P2689="","",'Ordenes_Odoo'!P2689)</f>
        <v/>
      </c>
      <c r="Q2689" s="79">
        <f>IF(A2689="","",IFERROR(INDEX(Facturas_Odoo!$B:$B, MATCH(A2689, Facturas_Odoo!$D:$D, 0)), "Sin Factura"))</f>
        <v/>
      </c>
      <c r="R2689" s="80">
        <f>IF(Q2689="Sin Factura","",IFERROR(INDEX(Facturas_Odoo!$A:$A, MATCH(Q2689, Facturas_Odoo!$B:$B, 0)), ""))</f>
        <v/>
      </c>
      <c r="S2689" s="79">
        <f>IF(Q2689="Sin Factura","",IFERROR(_xlfn.XLOOKUP(1, (Facturas_Odoo!$D:$D=A2689) * (Facturas_Odoo!$K:$K=I2689), Facturas_Odoo!$L:$L, ""), ""))</f>
        <v/>
      </c>
      <c r="T2689" s="81">
        <f>IF(Q2689="Sin Factura",0,IFERROR(_xlfn.XLOOKUP(1, (Facturas_Odoo!$D:$D=A2689) * (Facturas_Odoo!$K:$K=I2689), Facturas_Odoo!$M:$M, 0), 0))</f>
        <v/>
      </c>
      <c r="U2689" s="79">
        <f>IF(Q2689="Sin Factura",0,IFERROR(_xlfn.XLOOKUP(1, (Facturas_Odoo!$D:$D=A2689) * (Facturas_Odoo!$K:$K=I2689), Facturas_Odoo!$N:$N, 0), 0))</f>
        <v/>
      </c>
      <c r="V2689" s="79">
        <f>IF(Q2689="Sin Factura",0,IFERROR(_xlfn.XLOOKUP(1, (Facturas_Odoo!$D:$D=A2689) * (Facturas_Odoo!$K:$K=I2689), Facturas_Odoo!$O:$O, 0), 0))</f>
        <v/>
      </c>
      <c r="W2689" s="81">
        <f>IF(Q2689="Sin Factura",0,IFERROR(_xlfn.XLOOKUP(1, (Facturas_Odoo!$D:$D=A2689) * (Facturas_Odoo!$K:$K=I2689), Facturas_Odoo!$Q:$Q, 0), 0))</f>
        <v/>
      </c>
      <c r="X2689" s="79">
        <f>IF(OR(Q2689="Sin Factura",Q2689=""),"",IFERROR(INDEX(Pagos_Odoo!$B:$B, MATCH(Q2689, Pagos_Odoo!$I:$I, 0)), "Sin Pago"))</f>
        <v/>
      </c>
      <c r="Y2689" s="79">
        <f>IF(X2689="Sin Pago","",IFERROR(INDEX(Pagos_Odoo!$C:$C, MATCH(X2689, Pagos_Odoo!$B:$B, 0)), ""))</f>
        <v/>
      </c>
      <c r="Z2689" s="80">
        <f>IF(X2689="Sin Pago","",IFERROR(INDEX(Pagos_Odoo!$A:$A, MATCH(X2689, Pagos_Odoo!$B:$B, 0)), ""))</f>
        <v/>
      </c>
      <c r="AA2689" s="79">
        <f>IF(X2689="Sin Pago","",IFERROR(INDEX(Pagos_Odoo!$F:$F, MATCH(X2689, Pagos_Odoo!$B:$B, 0)), ""))</f>
        <v/>
      </c>
      <c r="AB2689" s="81">
        <f>IF(X2689="Sin Pago",0,IFERROR(INDEX(Pagos_Odoo!$E:$E, MATCH(X2689, Pagos_Odoo!$B:$B, 0)), 0))</f>
        <v/>
      </c>
      <c r="AC2689" s="79">
        <f>IF(X2689="Sin Pago","",IFERROR(INDEX(Pagos_Odoo!$G:$G, MATCH(X2689, Pagos_Odoo!$B:$B, 0)), ""))</f>
        <v/>
      </c>
      <c r="AD2689" s="82" t="n">
        <v>0</v>
      </c>
      <c r="AE2689" s="82" t="n"/>
      <c r="AF2689" s="82" t="n"/>
      <c r="AG2689" s="82">
        <f>IF(AN2689="","",AD2689+AE2689+AF2689)</f>
        <v/>
      </c>
      <c r="AH2689" s="81">
        <f>IF(AN2689="","",P2689*(1-AG2689))</f>
        <v/>
      </c>
      <c r="AI2689" s="81">
        <f>IF(AN2689="","",IF(Q2689="Sin Factura",0,IFERROR(INDEX(Facturas_Odoo!$H:$H, MATCH(Q2689, Facturas_Odoo!$B:$B, 0)), 0)*(1-AG2689)))</f>
        <v/>
      </c>
      <c r="AJ2689" s="81">
        <f>IF(AN2689="","",_xlfn.LET(idVenta, AN2689&amp;"",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89" s="81">
        <f>IF(AN2689="","",AH2689-AJ2689)</f>
        <v/>
      </c>
      <c r="AL2689" s="81">
        <f>IF(AN2689="","",IF(Q2689="Sin Factura","",AI2689-AJ2689))</f>
        <v/>
      </c>
      <c r="AM2689" s="81">
        <f>IF(AN2689="","",IF(Q2689="Sin Factura",0,P2689-IFERROR(INDEX(Facturas_Odoo!$H:$H, MATCH(Q2689, Facturas_Odoo!$B:$B, 0)), 0)))</f>
        <v/>
      </c>
      <c r="AN2689" s="79">
        <f>IF(AND(A2689="", J2689=""), "", IF(A2689&lt;&gt;"", VALUE(MID(A2689,2,LEN(A2689))), AN2688))</f>
        <v/>
      </c>
      <c r="AO2689" s="79">
        <f>IF(AN2689="","",IF(AD2689=0,"OK",_xlfn.LET(monedaPago, IF(AA2689="","USD",AA2689), limitePermitido, IFERROR(VLOOKUP(monedaPago, Configuración!$A$2:$B$3, 2, FALSE), 0.15), IF(AD2689&gt;limitePermitido, "ALERTA: EXCESO (" &amp; TEXT(limitePermitido, "0%") &amp; " máx)", "OK"))))</f>
        <v/>
      </c>
      <c r="AP2689" s="79">
        <f>IF(AN2689="","",IF(AE2689=0,"OK",_xlfn.LET(fechaPago, Z2689, fechaFactura, R2689, diasCredito, IF(E2689="Pago inmediato", 0, IFERROR(VALUE(MID(E2689, 1, SEARCH(" ", E2689)-1)),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89" s="79">
        <f>IF(AN2689="","",IF(AND(N2689&gt;0, AG2689&gt;0), IF(Configuración!$K$2="NO", "ALERTA: DESCUENTO DOBLE NO PERMITIDO", "OK"), "OK"))</f>
        <v/>
      </c>
      <c r="AR2689" s="79">
        <f>IF(AN2689="","",IF(OR(AO2689&lt;&gt;"OK", AP2689&lt;&gt;"OK", AQ2689&lt;&gt;"OK"), "⚠️ REVISAR", "OK"))</f>
        <v/>
      </c>
    </row>
    <row r="2690">
      <c r="A2690" s="79">
        <f>IF('Ordenes_Odoo'!A2690="","",'Ordenes_Odoo'!A2690)</f>
        <v/>
      </c>
      <c r="B2690" s="80">
        <f>IF('Ordenes_Odoo'!B2690="","",'Ordenes_Odoo'!B2690)</f>
        <v/>
      </c>
      <c r="C2690" s="79">
        <f>IF('Ordenes_Odoo'!C2690="","",'Ordenes_Odoo'!C2690)</f>
        <v/>
      </c>
      <c r="D2690" s="79">
        <f>IF('Ordenes_Odoo'!D2690="","",'Ordenes_Odoo'!D2690)</f>
        <v/>
      </c>
      <c r="E2690" s="79">
        <f>IF('Ordenes_Odoo'!E2690="","",'Ordenes_Odoo'!E2690)</f>
        <v/>
      </c>
      <c r="F2690" s="79">
        <f>IF('Ordenes_Odoo'!F2690="","",'Ordenes_Odoo'!F2690)</f>
        <v/>
      </c>
      <c r="G2690" s="79">
        <f>IF('Ordenes_Odoo'!G2690="","",'Ordenes_Odoo'!G2690)</f>
        <v/>
      </c>
      <c r="H2690" s="79">
        <f>IF('Ordenes_Odoo'!H2690="","",'Ordenes_Odoo'!H2690)</f>
        <v/>
      </c>
      <c r="I2690" s="79">
        <f>IF('Ordenes_Odoo'!I2690="","",'Ordenes_Odoo'!I2690)</f>
        <v/>
      </c>
      <c r="J2690" s="79">
        <f>IF('Ordenes_Odoo'!J2690="","",'Ordenes_Odoo'!J2690)</f>
        <v/>
      </c>
      <c r="K2690" s="81">
        <f>IF('Ordenes_Odoo'!K2690="","",'Ordenes_Odoo'!K2690)</f>
        <v/>
      </c>
      <c r="L2690" s="81">
        <f>IF('Ordenes_Odoo'!L2690="","",'Ordenes_Odoo'!L2690)</f>
        <v/>
      </c>
      <c r="M2690" s="79">
        <f>IF('Ordenes_Odoo'!M2690="","",'Ordenes_Odoo'!M2690)</f>
        <v/>
      </c>
      <c r="N2690" s="79">
        <f>IF('Ordenes_Odoo'!N2690="","",'Ordenes_Odoo'!N2690)</f>
        <v/>
      </c>
      <c r="O2690" s="81">
        <f>IF('Ordenes_Odoo'!O2690="","",'Ordenes_Odoo'!O2690)</f>
        <v/>
      </c>
      <c r="P2690" s="81">
        <f>IF('Ordenes_Odoo'!P2690="","",'Ordenes_Odoo'!P2690)</f>
        <v/>
      </c>
      <c r="Q2690" s="79">
        <f>IF(A2690="","",IFERROR(INDEX(Facturas_Odoo!$B:$B, MATCH(A2690, Facturas_Odoo!$D:$D, 0)), "Sin Factura"))</f>
        <v/>
      </c>
      <c r="R2690" s="80">
        <f>IF(Q2690="Sin Factura","",IFERROR(INDEX(Facturas_Odoo!$A:$A, MATCH(Q2690, Facturas_Odoo!$B:$B, 0)), ""))</f>
        <v/>
      </c>
      <c r="S2690" s="79">
        <f>IF(Q2690="Sin Factura","",IFERROR(_xlfn.XLOOKUP(1, (Facturas_Odoo!$D:$D=A2690) * (Facturas_Odoo!$K:$K=I2690), Facturas_Odoo!$L:$L, ""), ""))</f>
        <v/>
      </c>
      <c r="T2690" s="81">
        <f>IF(Q2690="Sin Factura",0,IFERROR(_xlfn.XLOOKUP(1, (Facturas_Odoo!$D:$D=A2690) * (Facturas_Odoo!$K:$K=I2690), Facturas_Odoo!$M:$M, 0), 0))</f>
        <v/>
      </c>
      <c r="U2690" s="79">
        <f>IF(Q2690="Sin Factura",0,IFERROR(_xlfn.XLOOKUP(1, (Facturas_Odoo!$D:$D=A2690) * (Facturas_Odoo!$K:$K=I2690), Facturas_Odoo!$N:$N, 0), 0))</f>
        <v/>
      </c>
      <c r="V2690" s="79">
        <f>IF(Q2690="Sin Factura",0,IFERROR(_xlfn.XLOOKUP(1, (Facturas_Odoo!$D:$D=A2690) * (Facturas_Odoo!$K:$K=I2690), Facturas_Odoo!$O:$O, 0), 0))</f>
        <v/>
      </c>
      <c r="W2690" s="81">
        <f>IF(Q2690="Sin Factura",0,IFERROR(_xlfn.XLOOKUP(1, (Facturas_Odoo!$D:$D=A2690) * (Facturas_Odoo!$K:$K=I2690), Facturas_Odoo!$Q:$Q, 0), 0))</f>
        <v/>
      </c>
      <c r="X2690" s="79">
        <f>IF(OR(Q2690="Sin Factura",Q2690=""),"",IFERROR(INDEX(Pagos_Odoo!$B:$B, MATCH(Q2690, Pagos_Odoo!$I:$I, 0)), "Sin Pago"))</f>
        <v/>
      </c>
      <c r="Y2690" s="79">
        <f>IF(X2690="Sin Pago","",IFERROR(INDEX(Pagos_Odoo!$C:$C, MATCH(X2690, Pagos_Odoo!$B:$B, 0)), ""))</f>
        <v/>
      </c>
      <c r="Z2690" s="80">
        <f>IF(X2690="Sin Pago","",IFERROR(INDEX(Pagos_Odoo!$A:$A, MATCH(X2690, Pagos_Odoo!$B:$B, 0)), ""))</f>
        <v/>
      </c>
      <c r="AA2690" s="79">
        <f>IF(X2690="Sin Pago","",IFERROR(INDEX(Pagos_Odoo!$F:$F, MATCH(X2690, Pagos_Odoo!$B:$B, 0)), ""))</f>
        <v/>
      </c>
      <c r="AB2690" s="81">
        <f>IF(X2690="Sin Pago",0,IFERROR(INDEX(Pagos_Odoo!$E:$E, MATCH(X2690, Pagos_Odoo!$B:$B, 0)), 0))</f>
        <v/>
      </c>
      <c r="AC2690" s="79">
        <f>IF(X2690="Sin Pago","",IFERROR(INDEX(Pagos_Odoo!$G:$G, MATCH(X2690, Pagos_Odoo!$B:$B, 0)), ""))</f>
        <v/>
      </c>
      <c r="AD2690" s="82" t="n">
        <v>0</v>
      </c>
      <c r="AE2690" s="82" t="n"/>
      <c r="AF2690" s="82" t="n"/>
      <c r="AG2690" s="82">
        <f>IF(AN2690="","",AD2690+AE2690+AF2690)</f>
        <v/>
      </c>
      <c r="AH2690" s="81">
        <f>IF(AN2690="","",P2690*(1-AG2690))</f>
        <v/>
      </c>
      <c r="AI2690" s="81">
        <f>IF(AN2690="","",IF(Q2690="Sin Factura",0,IFERROR(INDEX(Facturas_Odoo!$H:$H, MATCH(Q2690, Facturas_Odoo!$B:$B, 0)), 0)*(1-AG2690)))</f>
        <v/>
      </c>
      <c r="AJ2690" s="81">
        <f>IF(AN2690="","",_xlfn.LET(idVenta, AN2690&amp;"",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90" s="81">
        <f>IF(AN2690="","",AH2690-AJ2690)</f>
        <v/>
      </c>
      <c r="AL2690" s="81">
        <f>IF(AN2690="","",IF(Q2690="Sin Factura","",AI2690-AJ2690))</f>
        <v/>
      </c>
      <c r="AM2690" s="81">
        <f>IF(AN2690="","",IF(Q2690="Sin Factura",0,P2690-IFERROR(INDEX(Facturas_Odoo!$H:$H, MATCH(Q2690, Facturas_Odoo!$B:$B, 0)), 0)))</f>
        <v/>
      </c>
      <c r="AN2690" s="79">
        <f>IF(AND(A2690="", J2690=""), "", IF(A2690&lt;&gt;"", VALUE(MID(A2690,2,LEN(A2690))), AN2689))</f>
        <v/>
      </c>
      <c r="AO2690" s="79">
        <f>IF(AN2690="","",IF(AD2690=0,"OK",_xlfn.LET(monedaPago, IF(AA2690="","USD",AA2690), limitePermitido, IFERROR(VLOOKUP(monedaPago, Configuración!$A$2:$B$3, 2, FALSE), 0.15), IF(AD2690&gt;limitePermitido, "ALERTA: EXCESO (" &amp; TEXT(limitePermitido, "0%") &amp; " máx)", "OK"))))</f>
        <v/>
      </c>
      <c r="AP2690" s="79">
        <f>IF(AN2690="","",IF(AE2690=0,"OK",_xlfn.LET(fechaPago, Z2690, fechaFactura, R2690, diasCredito, IF(E2690="Pago inmediato", 0, IFERROR(VALUE(MID(E2690, 1, SEARCH(" ", E2690)-1)),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90" s="79">
        <f>IF(AN2690="","",IF(AND(N2690&gt;0, AG2690&gt;0), IF(Configuración!$K$2="NO", "ALERTA: DESCUENTO DOBLE NO PERMITIDO", "OK"), "OK"))</f>
        <v/>
      </c>
      <c r="AR2690" s="79">
        <f>IF(AN2690="","",IF(OR(AO2690&lt;&gt;"OK", AP2690&lt;&gt;"OK", AQ2690&lt;&gt;"OK"), "⚠️ REVISAR", "OK"))</f>
        <v/>
      </c>
    </row>
    <row r="2691">
      <c r="A2691" s="79">
        <f>IF('Ordenes_Odoo'!A2691="","",'Ordenes_Odoo'!A2691)</f>
        <v/>
      </c>
      <c r="B2691" s="80">
        <f>IF('Ordenes_Odoo'!B2691="","",'Ordenes_Odoo'!B2691)</f>
        <v/>
      </c>
      <c r="C2691" s="79">
        <f>IF('Ordenes_Odoo'!C2691="","",'Ordenes_Odoo'!C2691)</f>
        <v/>
      </c>
      <c r="D2691" s="79">
        <f>IF('Ordenes_Odoo'!D2691="","",'Ordenes_Odoo'!D2691)</f>
        <v/>
      </c>
      <c r="E2691" s="79">
        <f>IF('Ordenes_Odoo'!E2691="","",'Ordenes_Odoo'!E2691)</f>
        <v/>
      </c>
      <c r="F2691" s="79">
        <f>IF('Ordenes_Odoo'!F2691="","",'Ordenes_Odoo'!F2691)</f>
        <v/>
      </c>
      <c r="G2691" s="79">
        <f>IF('Ordenes_Odoo'!G2691="","",'Ordenes_Odoo'!G2691)</f>
        <v/>
      </c>
      <c r="H2691" s="79">
        <f>IF('Ordenes_Odoo'!H2691="","",'Ordenes_Odoo'!H2691)</f>
        <v/>
      </c>
      <c r="I2691" s="79">
        <f>IF('Ordenes_Odoo'!I2691="","",'Ordenes_Odoo'!I2691)</f>
        <v/>
      </c>
      <c r="J2691" s="79">
        <f>IF('Ordenes_Odoo'!J2691="","",'Ordenes_Odoo'!J2691)</f>
        <v/>
      </c>
      <c r="K2691" s="81">
        <f>IF('Ordenes_Odoo'!K2691="","",'Ordenes_Odoo'!K2691)</f>
        <v/>
      </c>
      <c r="L2691" s="81">
        <f>IF('Ordenes_Odoo'!L2691="","",'Ordenes_Odoo'!L2691)</f>
        <v/>
      </c>
      <c r="M2691" s="79">
        <f>IF('Ordenes_Odoo'!M2691="","",'Ordenes_Odoo'!M2691)</f>
        <v/>
      </c>
      <c r="N2691" s="79">
        <f>IF('Ordenes_Odoo'!N2691="","",'Ordenes_Odoo'!N2691)</f>
        <v/>
      </c>
      <c r="O2691" s="81">
        <f>IF('Ordenes_Odoo'!O2691="","",'Ordenes_Odoo'!O2691)</f>
        <v/>
      </c>
      <c r="P2691" s="81">
        <f>IF('Ordenes_Odoo'!P2691="","",'Ordenes_Odoo'!P2691)</f>
        <v/>
      </c>
      <c r="Q2691" s="79">
        <f>IF(A2691="","",IFERROR(INDEX(Facturas_Odoo!$B:$B, MATCH(A2691, Facturas_Odoo!$D:$D, 0)), "Sin Factura"))</f>
        <v/>
      </c>
      <c r="R2691" s="80">
        <f>IF(Q2691="Sin Factura","",IFERROR(INDEX(Facturas_Odoo!$A:$A, MATCH(Q2691, Facturas_Odoo!$B:$B, 0)), ""))</f>
        <v/>
      </c>
      <c r="S2691" s="79">
        <f>IF(Q2691="Sin Factura","",IFERROR(_xlfn.XLOOKUP(1, (Facturas_Odoo!$D:$D=A2691) * (Facturas_Odoo!$K:$K=I2691), Facturas_Odoo!$L:$L, ""), ""))</f>
        <v/>
      </c>
      <c r="T2691" s="81">
        <f>IF(Q2691="Sin Factura",0,IFERROR(_xlfn.XLOOKUP(1, (Facturas_Odoo!$D:$D=A2691) * (Facturas_Odoo!$K:$K=I2691), Facturas_Odoo!$M:$M, 0), 0))</f>
        <v/>
      </c>
      <c r="U2691" s="79">
        <f>IF(Q2691="Sin Factura",0,IFERROR(_xlfn.XLOOKUP(1, (Facturas_Odoo!$D:$D=A2691) * (Facturas_Odoo!$K:$K=I2691), Facturas_Odoo!$N:$N, 0), 0))</f>
        <v/>
      </c>
      <c r="V2691" s="79">
        <f>IF(Q2691="Sin Factura",0,IFERROR(_xlfn.XLOOKUP(1, (Facturas_Odoo!$D:$D=A2691) * (Facturas_Odoo!$K:$K=I2691), Facturas_Odoo!$O:$O, 0), 0))</f>
        <v/>
      </c>
      <c r="W2691" s="81">
        <f>IF(Q2691="Sin Factura",0,IFERROR(_xlfn.XLOOKUP(1, (Facturas_Odoo!$D:$D=A2691) * (Facturas_Odoo!$K:$K=I2691), Facturas_Odoo!$Q:$Q, 0), 0))</f>
        <v/>
      </c>
      <c r="X2691" s="79">
        <f>IF(OR(Q2691="Sin Factura",Q2691=""),"",IFERROR(INDEX(Pagos_Odoo!$B:$B, MATCH(Q2691, Pagos_Odoo!$I:$I, 0)), "Sin Pago"))</f>
        <v/>
      </c>
      <c r="Y2691" s="79">
        <f>IF(X2691="Sin Pago","",IFERROR(INDEX(Pagos_Odoo!$C:$C, MATCH(X2691, Pagos_Odoo!$B:$B, 0)), ""))</f>
        <v/>
      </c>
      <c r="Z2691" s="80">
        <f>IF(X2691="Sin Pago","",IFERROR(INDEX(Pagos_Odoo!$A:$A, MATCH(X2691, Pagos_Odoo!$B:$B, 0)), ""))</f>
        <v/>
      </c>
      <c r="AA2691" s="79">
        <f>IF(X2691="Sin Pago","",IFERROR(INDEX(Pagos_Odoo!$F:$F, MATCH(X2691, Pagos_Odoo!$B:$B, 0)), ""))</f>
        <v/>
      </c>
      <c r="AB2691" s="81">
        <f>IF(X2691="Sin Pago",0,IFERROR(INDEX(Pagos_Odoo!$E:$E, MATCH(X2691, Pagos_Odoo!$B:$B, 0)), 0))</f>
        <v/>
      </c>
      <c r="AC2691" s="79">
        <f>IF(X2691="Sin Pago","",IFERROR(INDEX(Pagos_Odoo!$G:$G, MATCH(X2691, Pagos_Odoo!$B:$B, 0)), ""))</f>
        <v/>
      </c>
      <c r="AD2691" s="82" t="n">
        <v>0</v>
      </c>
      <c r="AE2691" s="82" t="n"/>
      <c r="AF2691" s="82" t="n"/>
      <c r="AG2691" s="82">
        <f>IF(AN2691="","",AD2691+AE2691+AF2691)</f>
        <v/>
      </c>
      <c r="AH2691" s="81">
        <f>IF(AN2691="","",P2691*(1-AG2691))</f>
        <v/>
      </c>
      <c r="AI2691" s="81">
        <f>IF(AN2691="","",IF(Q2691="Sin Factura",0,IFERROR(INDEX(Facturas_Odoo!$H:$H, MATCH(Q2691, Facturas_Odoo!$B:$B, 0)), 0)*(1-AG2691)))</f>
        <v/>
      </c>
      <c r="AJ2691" s="81">
        <f>IF(AN2691="","",_xlfn.LET(idVenta, AN2691&amp;"",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91" s="81">
        <f>IF(AN2691="","",AH2691-AJ2691)</f>
        <v/>
      </c>
      <c r="AL2691" s="81">
        <f>IF(AN2691="","",IF(Q2691="Sin Factura","",AI2691-AJ2691))</f>
        <v/>
      </c>
      <c r="AM2691" s="81">
        <f>IF(AN2691="","",IF(Q2691="Sin Factura",0,P2691-IFERROR(INDEX(Facturas_Odoo!$H:$H, MATCH(Q2691, Facturas_Odoo!$B:$B, 0)), 0)))</f>
        <v/>
      </c>
      <c r="AN2691" s="79">
        <f>IF(AND(A2691="", J2691=""), "", IF(A2691&lt;&gt;"", VALUE(MID(A2691,2,LEN(A2691))), AN2690))</f>
        <v/>
      </c>
      <c r="AO2691" s="79">
        <f>IF(AN2691="","",IF(AD2691=0,"OK",_xlfn.LET(monedaPago, IF(AA2691="","USD",AA2691), limitePermitido, IFERROR(VLOOKUP(monedaPago, Configuración!$A$2:$B$3, 2, FALSE), 0.15), IF(AD2691&gt;limitePermitido, "ALERTA: EXCESO (" &amp; TEXT(limitePermitido, "0%") &amp; " máx)", "OK"))))</f>
        <v/>
      </c>
      <c r="AP2691" s="79">
        <f>IF(AN2691="","",IF(AE2691=0,"OK",_xlfn.LET(fechaPago, Z2691, fechaFactura, R2691, diasCredito, IF(E2691="Pago inmediato", 0, IFERROR(VALUE(MID(E2691, 1, SEARCH(" ", E2691)-1)),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91" s="79">
        <f>IF(AN2691="","",IF(AND(N2691&gt;0, AG2691&gt;0), IF(Configuración!$K$2="NO", "ALERTA: DESCUENTO DOBLE NO PERMITIDO", "OK"), "OK"))</f>
        <v/>
      </c>
      <c r="AR2691" s="79">
        <f>IF(AN2691="","",IF(OR(AO2691&lt;&gt;"OK", AP2691&lt;&gt;"OK", AQ2691&lt;&gt;"OK"), "⚠️ REVISAR", "OK"))</f>
        <v/>
      </c>
    </row>
    <row r="2692">
      <c r="A2692" s="79">
        <f>IF('Ordenes_Odoo'!A2692="","",'Ordenes_Odoo'!A2692)</f>
        <v/>
      </c>
      <c r="B2692" s="80">
        <f>IF('Ordenes_Odoo'!B2692="","",'Ordenes_Odoo'!B2692)</f>
        <v/>
      </c>
      <c r="C2692" s="79">
        <f>IF('Ordenes_Odoo'!C2692="","",'Ordenes_Odoo'!C2692)</f>
        <v/>
      </c>
      <c r="D2692" s="79">
        <f>IF('Ordenes_Odoo'!D2692="","",'Ordenes_Odoo'!D2692)</f>
        <v/>
      </c>
      <c r="E2692" s="79">
        <f>IF('Ordenes_Odoo'!E2692="","",'Ordenes_Odoo'!E2692)</f>
        <v/>
      </c>
      <c r="F2692" s="79">
        <f>IF('Ordenes_Odoo'!F2692="","",'Ordenes_Odoo'!F2692)</f>
        <v/>
      </c>
      <c r="G2692" s="79">
        <f>IF('Ordenes_Odoo'!G2692="","",'Ordenes_Odoo'!G2692)</f>
        <v/>
      </c>
      <c r="H2692" s="79">
        <f>IF('Ordenes_Odoo'!H2692="","",'Ordenes_Odoo'!H2692)</f>
        <v/>
      </c>
      <c r="I2692" s="79">
        <f>IF('Ordenes_Odoo'!I2692="","",'Ordenes_Odoo'!I2692)</f>
        <v/>
      </c>
      <c r="J2692" s="79">
        <f>IF('Ordenes_Odoo'!J2692="","",'Ordenes_Odoo'!J2692)</f>
        <v/>
      </c>
      <c r="K2692" s="81">
        <f>IF('Ordenes_Odoo'!K2692="","",'Ordenes_Odoo'!K2692)</f>
        <v/>
      </c>
      <c r="L2692" s="81">
        <f>IF('Ordenes_Odoo'!L2692="","",'Ordenes_Odoo'!L2692)</f>
        <v/>
      </c>
      <c r="M2692" s="79">
        <f>IF('Ordenes_Odoo'!M2692="","",'Ordenes_Odoo'!M2692)</f>
        <v/>
      </c>
      <c r="N2692" s="79">
        <f>IF('Ordenes_Odoo'!N2692="","",'Ordenes_Odoo'!N2692)</f>
        <v/>
      </c>
      <c r="O2692" s="81">
        <f>IF('Ordenes_Odoo'!O2692="","",'Ordenes_Odoo'!O2692)</f>
        <v/>
      </c>
      <c r="P2692" s="81">
        <f>IF('Ordenes_Odoo'!P2692="","",'Ordenes_Odoo'!P2692)</f>
        <v/>
      </c>
      <c r="Q2692" s="79">
        <f>IF(A2692="","",IFERROR(INDEX(Facturas_Odoo!$B:$B, MATCH(A2692, Facturas_Odoo!$D:$D, 0)), "Sin Factura"))</f>
        <v/>
      </c>
      <c r="R2692" s="80">
        <f>IF(Q2692="Sin Factura","",IFERROR(INDEX(Facturas_Odoo!$A:$A, MATCH(Q2692, Facturas_Odoo!$B:$B, 0)), ""))</f>
        <v/>
      </c>
      <c r="S2692" s="79">
        <f>IF(Q2692="Sin Factura","",IFERROR(_xlfn.XLOOKUP(1, (Facturas_Odoo!$D:$D=A2692) * (Facturas_Odoo!$K:$K=I2692), Facturas_Odoo!$L:$L, ""), ""))</f>
        <v/>
      </c>
      <c r="T2692" s="81">
        <f>IF(Q2692="Sin Factura",0,IFERROR(_xlfn.XLOOKUP(1, (Facturas_Odoo!$D:$D=A2692) * (Facturas_Odoo!$K:$K=I2692), Facturas_Odoo!$M:$M, 0), 0))</f>
        <v/>
      </c>
      <c r="U2692" s="79">
        <f>IF(Q2692="Sin Factura",0,IFERROR(_xlfn.XLOOKUP(1, (Facturas_Odoo!$D:$D=A2692) * (Facturas_Odoo!$K:$K=I2692), Facturas_Odoo!$N:$N, 0), 0))</f>
        <v/>
      </c>
      <c r="V2692" s="79">
        <f>IF(Q2692="Sin Factura",0,IFERROR(_xlfn.XLOOKUP(1, (Facturas_Odoo!$D:$D=A2692) * (Facturas_Odoo!$K:$K=I2692), Facturas_Odoo!$O:$O, 0), 0))</f>
        <v/>
      </c>
      <c r="W2692" s="81">
        <f>IF(Q2692="Sin Factura",0,IFERROR(_xlfn.XLOOKUP(1, (Facturas_Odoo!$D:$D=A2692) * (Facturas_Odoo!$K:$K=I2692), Facturas_Odoo!$Q:$Q, 0), 0))</f>
        <v/>
      </c>
      <c r="X2692" s="79">
        <f>IF(OR(Q2692="Sin Factura",Q2692=""),"",IFERROR(INDEX(Pagos_Odoo!$B:$B, MATCH(Q2692, Pagos_Odoo!$I:$I, 0)), "Sin Pago"))</f>
        <v/>
      </c>
      <c r="Y2692" s="79">
        <f>IF(X2692="Sin Pago","",IFERROR(INDEX(Pagos_Odoo!$C:$C, MATCH(X2692, Pagos_Odoo!$B:$B, 0)), ""))</f>
        <v/>
      </c>
      <c r="Z2692" s="80">
        <f>IF(X2692="Sin Pago","",IFERROR(INDEX(Pagos_Odoo!$A:$A, MATCH(X2692, Pagos_Odoo!$B:$B, 0)), ""))</f>
        <v/>
      </c>
      <c r="AA2692" s="79">
        <f>IF(X2692="Sin Pago","",IFERROR(INDEX(Pagos_Odoo!$F:$F, MATCH(X2692, Pagos_Odoo!$B:$B, 0)), ""))</f>
        <v/>
      </c>
      <c r="AB2692" s="81">
        <f>IF(X2692="Sin Pago",0,IFERROR(INDEX(Pagos_Odoo!$E:$E, MATCH(X2692, Pagos_Odoo!$B:$B, 0)), 0))</f>
        <v/>
      </c>
      <c r="AC2692" s="79">
        <f>IF(X2692="Sin Pago","",IFERROR(INDEX(Pagos_Odoo!$G:$G, MATCH(X2692, Pagos_Odoo!$B:$B, 0)), ""))</f>
        <v/>
      </c>
      <c r="AD2692" s="82" t="n">
        <v>0</v>
      </c>
      <c r="AE2692" s="82" t="n"/>
      <c r="AF2692" s="82" t="n"/>
      <c r="AG2692" s="82">
        <f>IF(AN2692="","",AD2692+AE2692+AF2692)</f>
        <v/>
      </c>
      <c r="AH2692" s="81">
        <f>IF(AN2692="","",P2692*(1-AG2692))</f>
        <v/>
      </c>
      <c r="AI2692" s="81">
        <f>IF(AN2692="","",IF(Q2692="Sin Factura",0,IFERROR(INDEX(Facturas_Odoo!$H:$H, MATCH(Q2692, Facturas_Odoo!$B:$B, 0)), 0)*(1-AG2692)))</f>
        <v/>
      </c>
      <c r="AJ2692" s="81">
        <f>IF(AN2692="","",_xlfn.LET(idVenta, AN2692&amp;"",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92" s="81">
        <f>IF(AN2692="","",AH2692-AJ2692)</f>
        <v/>
      </c>
      <c r="AL2692" s="81">
        <f>IF(AN2692="","",IF(Q2692="Sin Factura","",AI2692-AJ2692))</f>
        <v/>
      </c>
      <c r="AM2692" s="81">
        <f>IF(AN2692="","",IF(Q2692="Sin Factura",0,P2692-IFERROR(INDEX(Facturas_Odoo!$H:$H, MATCH(Q2692, Facturas_Odoo!$B:$B, 0)), 0)))</f>
        <v/>
      </c>
      <c r="AN2692" s="79">
        <f>IF(AND(A2692="", J2692=""), "", IF(A2692&lt;&gt;"", VALUE(MID(A2692,2,LEN(A2692))), AN2691))</f>
        <v/>
      </c>
      <c r="AO2692" s="79">
        <f>IF(AN2692="","",IF(AD2692=0,"OK",_xlfn.LET(monedaPago, IF(AA2692="","USD",AA2692), limitePermitido, IFERROR(VLOOKUP(monedaPago, Configuración!$A$2:$B$3, 2, FALSE), 0.15), IF(AD2692&gt;limitePermitido, "ALERTA: EXCESO (" &amp; TEXT(limitePermitido, "0%") &amp; " máx)", "OK"))))</f>
        <v/>
      </c>
      <c r="AP2692" s="79">
        <f>IF(AN2692="","",IF(AE2692=0,"OK",_xlfn.LET(fechaPago, Z2692, fechaFactura, R2692, diasCredito, IF(E2692="Pago inmediato", 0, IFERROR(VALUE(MID(E2692, 1, SEARCH(" ", E2692)-1)),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92" s="79">
        <f>IF(AN2692="","",IF(AND(N2692&gt;0, AG2692&gt;0), IF(Configuración!$K$2="NO", "ALERTA: DESCUENTO DOBLE NO PERMITIDO", "OK"), "OK"))</f>
        <v/>
      </c>
      <c r="AR2692" s="79">
        <f>IF(AN2692="","",IF(OR(AO2692&lt;&gt;"OK", AP2692&lt;&gt;"OK", AQ2692&lt;&gt;"OK"), "⚠️ REVISAR", "OK"))</f>
        <v/>
      </c>
    </row>
    <row r="2693">
      <c r="A2693" s="79">
        <f>IF('Ordenes_Odoo'!A2693="","",'Ordenes_Odoo'!A2693)</f>
        <v/>
      </c>
      <c r="B2693" s="80">
        <f>IF('Ordenes_Odoo'!B2693="","",'Ordenes_Odoo'!B2693)</f>
        <v/>
      </c>
      <c r="C2693" s="79">
        <f>IF('Ordenes_Odoo'!C2693="","",'Ordenes_Odoo'!C2693)</f>
        <v/>
      </c>
      <c r="D2693" s="79">
        <f>IF('Ordenes_Odoo'!D2693="","",'Ordenes_Odoo'!D2693)</f>
        <v/>
      </c>
      <c r="E2693" s="79">
        <f>IF('Ordenes_Odoo'!E2693="","",'Ordenes_Odoo'!E2693)</f>
        <v/>
      </c>
      <c r="F2693" s="79">
        <f>IF('Ordenes_Odoo'!F2693="","",'Ordenes_Odoo'!F2693)</f>
        <v/>
      </c>
      <c r="G2693" s="79">
        <f>IF('Ordenes_Odoo'!G2693="","",'Ordenes_Odoo'!G2693)</f>
        <v/>
      </c>
      <c r="H2693" s="79">
        <f>IF('Ordenes_Odoo'!H2693="","",'Ordenes_Odoo'!H2693)</f>
        <v/>
      </c>
      <c r="I2693" s="79">
        <f>IF('Ordenes_Odoo'!I2693="","",'Ordenes_Odoo'!I2693)</f>
        <v/>
      </c>
      <c r="J2693" s="79">
        <f>IF('Ordenes_Odoo'!J2693="","",'Ordenes_Odoo'!J2693)</f>
        <v/>
      </c>
      <c r="K2693" s="81">
        <f>IF('Ordenes_Odoo'!K2693="","",'Ordenes_Odoo'!K2693)</f>
        <v/>
      </c>
      <c r="L2693" s="81">
        <f>IF('Ordenes_Odoo'!L2693="","",'Ordenes_Odoo'!L2693)</f>
        <v/>
      </c>
      <c r="M2693" s="79">
        <f>IF('Ordenes_Odoo'!M2693="","",'Ordenes_Odoo'!M2693)</f>
        <v/>
      </c>
      <c r="N2693" s="79">
        <f>IF('Ordenes_Odoo'!N2693="","",'Ordenes_Odoo'!N2693)</f>
        <v/>
      </c>
      <c r="O2693" s="81">
        <f>IF('Ordenes_Odoo'!O2693="","",'Ordenes_Odoo'!O2693)</f>
        <v/>
      </c>
      <c r="P2693" s="81">
        <f>IF('Ordenes_Odoo'!P2693="","",'Ordenes_Odoo'!P2693)</f>
        <v/>
      </c>
      <c r="Q2693" s="79">
        <f>IF(A2693="","",IFERROR(INDEX(Facturas_Odoo!$B:$B, MATCH(A2693, Facturas_Odoo!$D:$D, 0)), "Sin Factura"))</f>
        <v/>
      </c>
      <c r="R2693" s="80">
        <f>IF(Q2693="Sin Factura","",IFERROR(INDEX(Facturas_Odoo!$A:$A, MATCH(Q2693, Facturas_Odoo!$B:$B, 0)), ""))</f>
        <v/>
      </c>
      <c r="S2693" s="79">
        <f>IF(Q2693="Sin Factura","",IFERROR(_xlfn.XLOOKUP(1, (Facturas_Odoo!$D:$D=A2693) * (Facturas_Odoo!$K:$K=I2693), Facturas_Odoo!$L:$L, ""), ""))</f>
        <v/>
      </c>
      <c r="T2693" s="81">
        <f>IF(Q2693="Sin Factura",0,IFERROR(_xlfn.XLOOKUP(1, (Facturas_Odoo!$D:$D=A2693) * (Facturas_Odoo!$K:$K=I2693), Facturas_Odoo!$M:$M, 0), 0))</f>
        <v/>
      </c>
      <c r="U2693" s="79">
        <f>IF(Q2693="Sin Factura",0,IFERROR(_xlfn.XLOOKUP(1, (Facturas_Odoo!$D:$D=A2693) * (Facturas_Odoo!$K:$K=I2693), Facturas_Odoo!$N:$N, 0), 0))</f>
        <v/>
      </c>
      <c r="V2693" s="79">
        <f>IF(Q2693="Sin Factura",0,IFERROR(_xlfn.XLOOKUP(1, (Facturas_Odoo!$D:$D=A2693) * (Facturas_Odoo!$K:$K=I2693), Facturas_Odoo!$O:$O, 0), 0))</f>
        <v/>
      </c>
      <c r="W2693" s="81">
        <f>IF(Q2693="Sin Factura",0,IFERROR(_xlfn.XLOOKUP(1, (Facturas_Odoo!$D:$D=A2693) * (Facturas_Odoo!$K:$K=I2693), Facturas_Odoo!$Q:$Q, 0), 0))</f>
        <v/>
      </c>
      <c r="X2693" s="79">
        <f>IF(OR(Q2693="Sin Factura",Q2693=""),"",IFERROR(INDEX(Pagos_Odoo!$B:$B, MATCH(Q2693, Pagos_Odoo!$I:$I, 0)), "Sin Pago"))</f>
        <v/>
      </c>
      <c r="Y2693" s="79">
        <f>IF(X2693="Sin Pago","",IFERROR(INDEX(Pagos_Odoo!$C:$C, MATCH(X2693, Pagos_Odoo!$B:$B, 0)), ""))</f>
        <v/>
      </c>
      <c r="Z2693" s="80">
        <f>IF(X2693="Sin Pago","",IFERROR(INDEX(Pagos_Odoo!$A:$A, MATCH(X2693, Pagos_Odoo!$B:$B, 0)), ""))</f>
        <v/>
      </c>
      <c r="AA2693" s="79">
        <f>IF(X2693="Sin Pago","",IFERROR(INDEX(Pagos_Odoo!$F:$F, MATCH(X2693, Pagos_Odoo!$B:$B, 0)), ""))</f>
        <v/>
      </c>
      <c r="AB2693" s="81">
        <f>IF(X2693="Sin Pago",0,IFERROR(INDEX(Pagos_Odoo!$E:$E, MATCH(X2693, Pagos_Odoo!$B:$B, 0)), 0))</f>
        <v/>
      </c>
      <c r="AC2693" s="79">
        <f>IF(X2693="Sin Pago","",IFERROR(INDEX(Pagos_Odoo!$G:$G, MATCH(X2693, Pagos_Odoo!$B:$B, 0)), ""))</f>
        <v/>
      </c>
      <c r="AD2693" s="82" t="n">
        <v>0</v>
      </c>
      <c r="AE2693" s="82" t="n"/>
      <c r="AF2693" s="82" t="n"/>
      <c r="AG2693" s="82">
        <f>IF(AN2693="","",AD2693+AE2693+AF2693)</f>
        <v/>
      </c>
      <c r="AH2693" s="81">
        <f>IF(AN2693="","",P2693*(1-AG2693))</f>
        <v/>
      </c>
      <c r="AI2693" s="81">
        <f>IF(AN2693="","",IF(Q2693="Sin Factura",0,IFERROR(INDEX(Facturas_Odoo!$H:$H, MATCH(Q2693, Facturas_Odoo!$B:$B, 0)), 0)*(1-AG2693)))</f>
        <v/>
      </c>
      <c r="AJ2693" s="81">
        <f>IF(AN2693="","",_xlfn.LET(idVenta, AN2693&amp;"",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93" s="81">
        <f>IF(AN2693="","",AH2693-AJ2693)</f>
        <v/>
      </c>
      <c r="AL2693" s="81">
        <f>IF(AN2693="","",IF(Q2693="Sin Factura","",AI2693-AJ2693))</f>
        <v/>
      </c>
      <c r="AM2693" s="81">
        <f>IF(AN2693="","",IF(Q2693="Sin Factura",0,P2693-IFERROR(INDEX(Facturas_Odoo!$H:$H, MATCH(Q2693, Facturas_Odoo!$B:$B, 0)), 0)))</f>
        <v/>
      </c>
      <c r="AN2693" s="79">
        <f>IF(AND(A2693="", J2693=""), "", IF(A2693&lt;&gt;"", VALUE(MID(A2693,2,LEN(A2693))), AN2692))</f>
        <v/>
      </c>
      <c r="AO2693" s="79">
        <f>IF(AN2693="","",IF(AD2693=0,"OK",_xlfn.LET(monedaPago, IF(AA2693="","USD",AA2693), limitePermitido, IFERROR(VLOOKUP(monedaPago, Configuración!$A$2:$B$3, 2, FALSE), 0.15), IF(AD2693&gt;limitePermitido, "ALERTA: EXCESO (" &amp; TEXT(limitePermitido, "0%") &amp; " máx)", "OK"))))</f>
        <v/>
      </c>
      <c r="AP2693" s="79">
        <f>IF(AN2693="","",IF(AE2693=0,"OK",_xlfn.LET(fechaPago, Z2693, fechaFactura, R2693, diasCredito, IF(E2693="Pago inmediato", 0, IFERROR(VALUE(MID(E2693, 1, SEARCH(" ", E2693)-1)),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93" s="79">
        <f>IF(AN2693="","",IF(AND(N2693&gt;0, AG2693&gt;0), IF(Configuración!$K$2="NO", "ALERTA: DESCUENTO DOBLE NO PERMITIDO", "OK"), "OK"))</f>
        <v/>
      </c>
      <c r="AR2693" s="79">
        <f>IF(AN2693="","",IF(OR(AO2693&lt;&gt;"OK", AP2693&lt;&gt;"OK", AQ2693&lt;&gt;"OK"), "⚠️ REVISAR", "OK"))</f>
        <v/>
      </c>
    </row>
    <row r="2694">
      <c r="A2694" s="79">
        <f>IF('Ordenes_Odoo'!A2694="","",'Ordenes_Odoo'!A2694)</f>
        <v/>
      </c>
      <c r="B2694" s="80">
        <f>IF('Ordenes_Odoo'!B2694="","",'Ordenes_Odoo'!B2694)</f>
        <v/>
      </c>
      <c r="C2694" s="79">
        <f>IF('Ordenes_Odoo'!C2694="","",'Ordenes_Odoo'!C2694)</f>
        <v/>
      </c>
      <c r="D2694" s="79">
        <f>IF('Ordenes_Odoo'!D2694="","",'Ordenes_Odoo'!D2694)</f>
        <v/>
      </c>
      <c r="E2694" s="79">
        <f>IF('Ordenes_Odoo'!E2694="","",'Ordenes_Odoo'!E2694)</f>
        <v/>
      </c>
      <c r="F2694" s="79">
        <f>IF('Ordenes_Odoo'!F2694="","",'Ordenes_Odoo'!F2694)</f>
        <v/>
      </c>
      <c r="G2694" s="79">
        <f>IF('Ordenes_Odoo'!G2694="","",'Ordenes_Odoo'!G2694)</f>
        <v/>
      </c>
      <c r="H2694" s="79">
        <f>IF('Ordenes_Odoo'!H2694="","",'Ordenes_Odoo'!H2694)</f>
        <v/>
      </c>
      <c r="I2694" s="79">
        <f>IF('Ordenes_Odoo'!I2694="","",'Ordenes_Odoo'!I2694)</f>
        <v/>
      </c>
      <c r="J2694" s="79">
        <f>IF('Ordenes_Odoo'!J2694="","",'Ordenes_Odoo'!J2694)</f>
        <v/>
      </c>
      <c r="K2694" s="81">
        <f>IF('Ordenes_Odoo'!K2694="","",'Ordenes_Odoo'!K2694)</f>
        <v/>
      </c>
      <c r="L2694" s="81">
        <f>IF('Ordenes_Odoo'!L2694="","",'Ordenes_Odoo'!L2694)</f>
        <v/>
      </c>
      <c r="M2694" s="79">
        <f>IF('Ordenes_Odoo'!M2694="","",'Ordenes_Odoo'!M2694)</f>
        <v/>
      </c>
      <c r="N2694" s="79">
        <f>IF('Ordenes_Odoo'!N2694="","",'Ordenes_Odoo'!N2694)</f>
        <v/>
      </c>
      <c r="O2694" s="81">
        <f>IF('Ordenes_Odoo'!O2694="","",'Ordenes_Odoo'!O2694)</f>
        <v/>
      </c>
      <c r="P2694" s="81">
        <f>IF('Ordenes_Odoo'!P2694="","",'Ordenes_Odoo'!P2694)</f>
        <v/>
      </c>
      <c r="Q2694" s="79">
        <f>IF(A2694="","",IFERROR(INDEX(Facturas_Odoo!$B:$B, MATCH(A2694, Facturas_Odoo!$D:$D, 0)), "Sin Factura"))</f>
        <v/>
      </c>
      <c r="R2694" s="80">
        <f>IF(Q2694="Sin Factura","",IFERROR(INDEX(Facturas_Odoo!$A:$A, MATCH(Q2694, Facturas_Odoo!$B:$B, 0)), ""))</f>
        <v/>
      </c>
      <c r="S2694" s="79">
        <f>IF(Q2694="Sin Factura","",IFERROR(_xlfn.XLOOKUP(1, (Facturas_Odoo!$D:$D=A2694) * (Facturas_Odoo!$K:$K=I2694), Facturas_Odoo!$L:$L, ""), ""))</f>
        <v/>
      </c>
      <c r="T2694" s="81">
        <f>IF(Q2694="Sin Factura",0,IFERROR(_xlfn.XLOOKUP(1, (Facturas_Odoo!$D:$D=A2694) * (Facturas_Odoo!$K:$K=I2694), Facturas_Odoo!$M:$M, 0), 0))</f>
        <v/>
      </c>
      <c r="U2694" s="79">
        <f>IF(Q2694="Sin Factura",0,IFERROR(_xlfn.XLOOKUP(1, (Facturas_Odoo!$D:$D=A2694) * (Facturas_Odoo!$K:$K=I2694), Facturas_Odoo!$N:$N, 0), 0))</f>
        <v/>
      </c>
      <c r="V2694" s="79">
        <f>IF(Q2694="Sin Factura",0,IFERROR(_xlfn.XLOOKUP(1, (Facturas_Odoo!$D:$D=A2694) * (Facturas_Odoo!$K:$K=I2694), Facturas_Odoo!$O:$O, 0), 0))</f>
        <v/>
      </c>
      <c r="W2694" s="81">
        <f>IF(Q2694="Sin Factura",0,IFERROR(_xlfn.XLOOKUP(1, (Facturas_Odoo!$D:$D=A2694) * (Facturas_Odoo!$K:$K=I2694), Facturas_Odoo!$Q:$Q, 0), 0))</f>
        <v/>
      </c>
      <c r="X2694" s="79">
        <f>IF(OR(Q2694="Sin Factura",Q2694=""),"",IFERROR(INDEX(Pagos_Odoo!$B:$B, MATCH(Q2694, Pagos_Odoo!$I:$I, 0)), "Sin Pago"))</f>
        <v/>
      </c>
      <c r="Y2694" s="79">
        <f>IF(X2694="Sin Pago","",IFERROR(INDEX(Pagos_Odoo!$C:$C, MATCH(X2694, Pagos_Odoo!$B:$B, 0)), ""))</f>
        <v/>
      </c>
      <c r="Z2694" s="80">
        <f>IF(X2694="Sin Pago","",IFERROR(INDEX(Pagos_Odoo!$A:$A, MATCH(X2694, Pagos_Odoo!$B:$B, 0)), ""))</f>
        <v/>
      </c>
      <c r="AA2694" s="79">
        <f>IF(X2694="Sin Pago","",IFERROR(INDEX(Pagos_Odoo!$F:$F, MATCH(X2694, Pagos_Odoo!$B:$B, 0)), ""))</f>
        <v/>
      </c>
      <c r="AB2694" s="81">
        <f>IF(X2694="Sin Pago",0,IFERROR(INDEX(Pagos_Odoo!$E:$E, MATCH(X2694, Pagos_Odoo!$B:$B, 0)), 0))</f>
        <v/>
      </c>
      <c r="AC2694" s="79">
        <f>IF(X2694="Sin Pago","",IFERROR(INDEX(Pagos_Odoo!$G:$G, MATCH(X2694, Pagos_Odoo!$B:$B, 0)), ""))</f>
        <v/>
      </c>
      <c r="AD2694" s="82" t="n">
        <v>0</v>
      </c>
      <c r="AE2694" s="82" t="n"/>
      <c r="AF2694" s="82" t="n"/>
      <c r="AG2694" s="82">
        <f>IF(AN2694="","",AD2694+AE2694+AF2694)</f>
        <v/>
      </c>
      <c r="AH2694" s="81">
        <f>IF(AN2694="","",P2694*(1-AG2694))</f>
        <v/>
      </c>
      <c r="AI2694" s="81">
        <f>IF(AN2694="","",IF(Q2694="Sin Factura",0,IFERROR(INDEX(Facturas_Odoo!$H:$H, MATCH(Q2694, Facturas_Odoo!$B:$B, 0)), 0)*(1-AG2694)))</f>
        <v/>
      </c>
      <c r="AJ2694" s="81">
        <f>IF(AN2694="","",_xlfn.LET(idVenta, AN2694&amp;"",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94" s="81">
        <f>IF(AN2694="","",AH2694-AJ2694)</f>
        <v/>
      </c>
      <c r="AL2694" s="81">
        <f>IF(AN2694="","",IF(Q2694="Sin Factura","",AI2694-AJ2694))</f>
        <v/>
      </c>
      <c r="AM2694" s="81">
        <f>IF(AN2694="","",IF(Q2694="Sin Factura",0,P2694-IFERROR(INDEX(Facturas_Odoo!$H:$H, MATCH(Q2694, Facturas_Odoo!$B:$B, 0)), 0)))</f>
        <v/>
      </c>
      <c r="AN2694" s="79">
        <f>IF(AND(A2694="", J2694=""), "", IF(A2694&lt;&gt;"", VALUE(MID(A2694,2,LEN(A2694))), AN2693))</f>
        <v/>
      </c>
      <c r="AO2694" s="79">
        <f>IF(AN2694="","",IF(AD2694=0,"OK",_xlfn.LET(monedaPago, IF(AA2694="","USD",AA2694), limitePermitido, IFERROR(VLOOKUP(monedaPago, Configuración!$A$2:$B$3, 2, FALSE), 0.15), IF(AD2694&gt;limitePermitido, "ALERTA: EXCESO (" &amp; TEXT(limitePermitido, "0%") &amp; " máx)", "OK"))))</f>
        <v/>
      </c>
      <c r="AP2694" s="79">
        <f>IF(AN2694="","",IF(AE2694=0,"OK",_xlfn.LET(fechaPago, Z2694, fechaFactura, R2694, diasCredito, IF(E2694="Pago inmediato", 0, IFERROR(VALUE(MID(E2694, 1, SEARCH(" ", E2694)-1)),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94" s="79">
        <f>IF(AN2694="","",IF(AND(N2694&gt;0, AG2694&gt;0), IF(Configuración!$K$2="NO", "ALERTA: DESCUENTO DOBLE NO PERMITIDO", "OK"), "OK"))</f>
        <v/>
      </c>
      <c r="AR2694" s="79">
        <f>IF(AN2694="","",IF(OR(AO2694&lt;&gt;"OK", AP2694&lt;&gt;"OK", AQ2694&lt;&gt;"OK"), "⚠️ REVISAR", "OK"))</f>
        <v/>
      </c>
    </row>
    <row r="2695">
      <c r="A2695" s="79">
        <f>IF('Ordenes_Odoo'!A2695="","",'Ordenes_Odoo'!A2695)</f>
        <v/>
      </c>
      <c r="B2695" s="80">
        <f>IF('Ordenes_Odoo'!B2695="","",'Ordenes_Odoo'!B2695)</f>
        <v/>
      </c>
      <c r="C2695" s="79">
        <f>IF('Ordenes_Odoo'!C2695="","",'Ordenes_Odoo'!C2695)</f>
        <v/>
      </c>
      <c r="D2695" s="79">
        <f>IF('Ordenes_Odoo'!D2695="","",'Ordenes_Odoo'!D2695)</f>
        <v/>
      </c>
      <c r="E2695" s="79">
        <f>IF('Ordenes_Odoo'!E2695="","",'Ordenes_Odoo'!E2695)</f>
        <v/>
      </c>
      <c r="F2695" s="79">
        <f>IF('Ordenes_Odoo'!F2695="","",'Ordenes_Odoo'!F2695)</f>
        <v/>
      </c>
      <c r="G2695" s="79">
        <f>IF('Ordenes_Odoo'!G2695="","",'Ordenes_Odoo'!G2695)</f>
        <v/>
      </c>
      <c r="H2695" s="79">
        <f>IF('Ordenes_Odoo'!H2695="","",'Ordenes_Odoo'!H2695)</f>
        <v/>
      </c>
      <c r="I2695" s="79">
        <f>IF('Ordenes_Odoo'!I2695="","",'Ordenes_Odoo'!I2695)</f>
        <v/>
      </c>
      <c r="J2695" s="79">
        <f>IF('Ordenes_Odoo'!J2695="","",'Ordenes_Odoo'!J2695)</f>
        <v/>
      </c>
      <c r="K2695" s="81">
        <f>IF('Ordenes_Odoo'!K2695="","",'Ordenes_Odoo'!K2695)</f>
        <v/>
      </c>
      <c r="L2695" s="81">
        <f>IF('Ordenes_Odoo'!L2695="","",'Ordenes_Odoo'!L2695)</f>
        <v/>
      </c>
      <c r="M2695" s="79">
        <f>IF('Ordenes_Odoo'!M2695="","",'Ordenes_Odoo'!M2695)</f>
        <v/>
      </c>
      <c r="N2695" s="79">
        <f>IF('Ordenes_Odoo'!N2695="","",'Ordenes_Odoo'!N2695)</f>
        <v/>
      </c>
      <c r="O2695" s="81">
        <f>IF('Ordenes_Odoo'!O2695="","",'Ordenes_Odoo'!O2695)</f>
        <v/>
      </c>
      <c r="P2695" s="81">
        <f>IF('Ordenes_Odoo'!P2695="","",'Ordenes_Odoo'!P2695)</f>
        <v/>
      </c>
      <c r="Q2695" s="79">
        <f>IF(A2695="","",IFERROR(INDEX(Facturas_Odoo!$B:$B, MATCH(A2695, Facturas_Odoo!$D:$D, 0)), "Sin Factura"))</f>
        <v/>
      </c>
      <c r="R2695" s="80">
        <f>IF(Q2695="Sin Factura","",IFERROR(INDEX(Facturas_Odoo!$A:$A, MATCH(Q2695, Facturas_Odoo!$B:$B, 0)), ""))</f>
        <v/>
      </c>
      <c r="S2695" s="79">
        <f>IF(Q2695="Sin Factura","",IFERROR(_xlfn.XLOOKUP(1, (Facturas_Odoo!$D:$D=A2695) * (Facturas_Odoo!$K:$K=I2695), Facturas_Odoo!$L:$L, ""), ""))</f>
        <v/>
      </c>
      <c r="T2695" s="81">
        <f>IF(Q2695="Sin Factura",0,IFERROR(_xlfn.XLOOKUP(1, (Facturas_Odoo!$D:$D=A2695) * (Facturas_Odoo!$K:$K=I2695), Facturas_Odoo!$M:$M, 0), 0))</f>
        <v/>
      </c>
      <c r="U2695" s="79">
        <f>IF(Q2695="Sin Factura",0,IFERROR(_xlfn.XLOOKUP(1, (Facturas_Odoo!$D:$D=A2695) * (Facturas_Odoo!$K:$K=I2695), Facturas_Odoo!$N:$N, 0), 0))</f>
        <v/>
      </c>
      <c r="V2695" s="79">
        <f>IF(Q2695="Sin Factura",0,IFERROR(_xlfn.XLOOKUP(1, (Facturas_Odoo!$D:$D=A2695) * (Facturas_Odoo!$K:$K=I2695), Facturas_Odoo!$O:$O, 0), 0))</f>
        <v/>
      </c>
      <c r="W2695" s="81">
        <f>IF(Q2695="Sin Factura",0,IFERROR(_xlfn.XLOOKUP(1, (Facturas_Odoo!$D:$D=A2695) * (Facturas_Odoo!$K:$K=I2695), Facturas_Odoo!$Q:$Q, 0), 0))</f>
        <v/>
      </c>
      <c r="X2695" s="79">
        <f>IF(OR(Q2695="Sin Factura",Q2695=""),"",IFERROR(INDEX(Pagos_Odoo!$B:$B, MATCH(Q2695, Pagos_Odoo!$I:$I, 0)), "Sin Pago"))</f>
        <v/>
      </c>
      <c r="Y2695" s="79">
        <f>IF(X2695="Sin Pago","",IFERROR(INDEX(Pagos_Odoo!$C:$C, MATCH(X2695, Pagos_Odoo!$B:$B, 0)), ""))</f>
        <v/>
      </c>
      <c r="Z2695" s="80">
        <f>IF(X2695="Sin Pago","",IFERROR(INDEX(Pagos_Odoo!$A:$A, MATCH(X2695, Pagos_Odoo!$B:$B, 0)), ""))</f>
        <v/>
      </c>
      <c r="AA2695" s="79">
        <f>IF(X2695="Sin Pago","",IFERROR(INDEX(Pagos_Odoo!$F:$F, MATCH(X2695, Pagos_Odoo!$B:$B, 0)), ""))</f>
        <v/>
      </c>
      <c r="AB2695" s="81">
        <f>IF(X2695="Sin Pago",0,IFERROR(INDEX(Pagos_Odoo!$E:$E, MATCH(X2695, Pagos_Odoo!$B:$B, 0)), 0))</f>
        <v/>
      </c>
      <c r="AC2695" s="79">
        <f>IF(X2695="Sin Pago","",IFERROR(INDEX(Pagos_Odoo!$G:$G, MATCH(X2695, Pagos_Odoo!$B:$B, 0)), ""))</f>
        <v/>
      </c>
      <c r="AD2695" s="82" t="n">
        <v>0</v>
      </c>
      <c r="AE2695" s="82" t="n"/>
      <c r="AF2695" s="82" t="n"/>
      <c r="AG2695" s="82">
        <f>IF(AN2695="","",AD2695+AE2695+AF2695)</f>
        <v/>
      </c>
      <c r="AH2695" s="81">
        <f>IF(AN2695="","",P2695*(1-AG2695))</f>
        <v/>
      </c>
      <c r="AI2695" s="81">
        <f>IF(AN2695="","",IF(Q2695="Sin Factura",0,IFERROR(INDEX(Facturas_Odoo!$H:$H, MATCH(Q2695, Facturas_Odoo!$B:$B, 0)), 0)*(1-AG2695)))</f>
        <v/>
      </c>
      <c r="AJ2695" s="81">
        <f>IF(AN2695="","",_xlfn.LET(idVenta, AN2695&amp;"",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95" s="81">
        <f>IF(AN2695="","",AH2695-AJ2695)</f>
        <v/>
      </c>
      <c r="AL2695" s="81">
        <f>IF(AN2695="","",IF(Q2695="Sin Factura","",AI2695-AJ2695))</f>
        <v/>
      </c>
      <c r="AM2695" s="81">
        <f>IF(AN2695="","",IF(Q2695="Sin Factura",0,P2695-IFERROR(INDEX(Facturas_Odoo!$H:$H, MATCH(Q2695, Facturas_Odoo!$B:$B, 0)), 0)))</f>
        <v/>
      </c>
      <c r="AN2695" s="79">
        <f>IF(AND(A2695="", J2695=""), "", IF(A2695&lt;&gt;"", VALUE(MID(A2695,2,LEN(A2695))), AN2694))</f>
        <v/>
      </c>
      <c r="AO2695" s="79">
        <f>IF(AN2695="","",IF(AD2695=0,"OK",_xlfn.LET(monedaPago, IF(AA2695="","USD",AA2695), limitePermitido, IFERROR(VLOOKUP(monedaPago, Configuración!$A$2:$B$3, 2, FALSE), 0.15), IF(AD2695&gt;limitePermitido, "ALERTA: EXCESO (" &amp; TEXT(limitePermitido, "0%") &amp; " máx)", "OK"))))</f>
        <v/>
      </c>
      <c r="AP2695" s="79">
        <f>IF(AN2695="","",IF(AE2695=0,"OK",_xlfn.LET(fechaPago, Z2695, fechaFactura, R2695, diasCredito, IF(E2695="Pago inmediato", 0, IFERROR(VALUE(MID(E2695, 1, SEARCH(" ", E2695)-1)),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95" s="79">
        <f>IF(AN2695="","",IF(AND(N2695&gt;0, AG2695&gt;0), IF(Configuración!$K$2="NO", "ALERTA: DESCUENTO DOBLE NO PERMITIDO", "OK"), "OK"))</f>
        <v/>
      </c>
      <c r="AR2695" s="79">
        <f>IF(AN2695="","",IF(OR(AO2695&lt;&gt;"OK", AP2695&lt;&gt;"OK", AQ2695&lt;&gt;"OK"), "⚠️ REVISAR", "OK"))</f>
        <v/>
      </c>
    </row>
    <row r="2696">
      <c r="A2696" s="79">
        <f>IF('Ordenes_Odoo'!A2696="","",'Ordenes_Odoo'!A2696)</f>
        <v/>
      </c>
      <c r="B2696" s="80">
        <f>IF('Ordenes_Odoo'!B2696="","",'Ordenes_Odoo'!B2696)</f>
        <v/>
      </c>
      <c r="C2696" s="79">
        <f>IF('Ordenes_Odoo'!C2696="","",'Ordenes_Odoo'!C2696)</f>
        <v/>
      </c>
      <c r="D2696" s="79">
        <f>IF('Ordenes_Odoo'!D2696="","",'Ordenes_Odoo'!D2696)</f>
        <v/>
      </c>
      <c r="E2696" s="79">
        <f>IF('Ordenes_Odoo'!E2696="","",'Ordenes_Odoo'!E2696)</f>
        <v/>
      </c>
      <c r="F2696" s="79">
        <f>IF('Ordenes_Odoo'!F2696="","",'Ordenes_Odoo'!F2696)</f>
        <v/>
      </c>
      <c r="G2696" s="79">
        <f>IF('Ordenes_Odoo'!G2696="","",'Ordenes_Odoo'!G2696)</f>
        <v/>
      </c>
      <c r="H2696" s="79">
        <f>IF('Ordenes_Odoo'!H2696="","",'Ordenes_Odoo'!H2696)</f>
        <v/>
      </c>
      <c r="I2696" s="79">
        <f>IF('Ordenes_Odoo'!I2696="","",'Ordenes_Odoo'!I2696)</f>
        <v/>
      </c>
      <c r="J2696" s="79">
        <f>IF('Ordenes_Odoo'!J2696="","",'Ordenes_Odoo'!J2696)</f>
        <v/>
      </c>
      <c r="K2696" s="81">
        <f>IF('Ordenes_Odoo'!K2696="","",'Ordenes_Odoo'!K2696)</f>
        <v/>
      </c>
      <c r="L2696" s="81">
        <f>IF('Ordenes_Odoo'!L2696="","",'Ordenes_Odoo'!L2696)</f>
        <v/>
      </c>
      <c r="M2696" s="79">
        <f>IF('Ordenes_Odoo'!M2696="","",'Ordenes_Odoo'!M2696)</f>
        <v/>
      </c>
      <c r="N2696" s="79">
        <f>IF('Ordenes_Odoo'!N2696="","",'Ordenes_Odoo'!N2696)</f>
        <v/>
      </c>
      <c r="O2696" s="81">
        <f>IF('Ordenes_Odoo'!O2696="","",'Ordenes_Odoo'!O2696)</f>
        <v/>
      </c>
      <c r="P2696" s="81">
        <f>IF('Ordenes_Odoo'!P2696="","",'Ordenes_Odoo'!P2696)</f>
        <v/>
      </c>
      <c r="Q2696" s="79">
        <f>IF(A2696="","",IFERROR(INDEX(Facturas_Odoo!$B:$B, MATCH(A2696, Facturas_Odoo!$D:$D, 0)), "Sin Factura"))</f>
        <v/>
      </c>
      <c r="R2696" s="80">
        <f>IF(Q2696="Sin Factura","",IFERROR(INDEX(Facturas_Odoo!$A:$A, MATCH(Q2696, Facturas_Odoo!$B:$B, 0)), ""))</f>
        <v/>
      </c>
      <c r="S2696" s="79">
        <f>IF(Q2696="Sin Factura","",IFERROR(_xlfn.XLOOKUP(1, (Facturas_Odoo!$D:$D=A2696) * (Facturas_Odoo!$K:$K=I2696), Facturas_Odoo!$L:$L, ""), ""))</f>
        <v/>
      </c>
      <c r="T2696" s="81">
        <f>IF(Q2696="Sin Factura",0,IFERROR(_xlfn.XLOOKUP(1, (Facturas_Odoo!$D:$D=A2696) * (Facturas_Odoo!$K:$K=I2696), Facturas_Odoo!$M:$M, 0), 0))</f>
        <v/>
      </c>
      <c r="U2696" s="79">
        <f>IF(Q2696="Sin Factura",0,IFERROR(_xlfn.XLOOKUP(1, (Facturas_Odoo!$D:$D=A2696) * (Facturas_Odoo!$K:$K=I2696), Facturas_Odoo!$N:$N, 0), 0))</f>
        <v/>
      </c>
      <c r="V2696" s="79">
        <f>IF(Q2696="Sin Factura",0,IFERROR(_xlfn.XLOOKUP(1, (Facturas_Odoo!$D:$D=A2696) * (Facturas_Odoo!$K:$K=I2696), Facturas_Odoo!$O:$O, 0), 0))</f>
        <v/>
      </c>
      <c r="W2696" s="81">
        <f>IF(Q2696="Sin Factura",0,IFERROR(_xlfn.XLOOKUP(1, (Facturas_Odoo!$D:$D=A2696) * (Facturas_Odoo!$K:$K=I2696), Facturas_Odoo!$Q:$Q, 0), 0))</f>
        <v/>
      </c>
      <c r="X2696" s="79">
        <f>IF(OR(Q2696="Sin Factura",Q2696=""),"",IFERROR(INDEX(Pagos_Odoo!$B:$B, MATCH(Q2696, Pagos_Odoo!$I:$I, 0)), "Sin Pago"))</f>
        <v/>
      </c>
      <c r="Y2696" s="79">
        <f>IF(X2696="Sin Pago","",IFERROR(INDEX(Pagos_Odoo!$C:$C, MATCH(X2696, Pagos_Odoo!$B:$B, 0)), ""))</f>
        <v/>
      </c>
      <c r="Z2696" s="80">
        <f>IF(X2696="Sin Pago","",IFERROR(INDEX(Pagos_Odoo!$A:$A, MATCH(X2696, Pagos_Odoo!$B:$B, 0)), ""))</f>
        <v/>
      </c>
      <c r="AA2696" s="79">
        <f>IF(X2696="Sin Pago","",IFERROR(INDEX(Pagos_Odoo!$F:$F, MATCH(X2696, Pagos_Odoo!$B:$B, 0)), ""))</f>
        <v/>
      </c>
      <c r="AB2696" s="81">
        <f>IF(X2696="Sin Pago",0,IFERROR(INDEX(Pagos_Odoo!$E:$E, MATCH(X2696, Pagos_Odoo!$B:$B, 0)), 0))</f>
        <v/>
      </c>
      <c r="AC2696" s="79">
        <f>IF(X2696="Sin Pago","",IFERROR(INDEX(Pagos_Odoo!$G:$G, MATCH(X2696, Pagos_Odoo!$B:$B, 0)), ""))</f>
        <v/>
      </c>
      <c r="AD2696" s="82" t="n">
        <v>0</v>
      </c>
      <c r="AE2696" s="82" t="n"/>
      <c r="AF2696" s="82" t="n"/>
      <c r="AG2696" s="82">
        <f>IF(AN2696="","",AD2696+AE2696+AF2696)</f>
        <v/>
      </c>
      <c r="AH2696" s="81">
        <f>IF(AN2696="","",P2696*(1-AG2696))</f>
        <v/>
      </c>
      <c r="AI2696" s="81">
        <f>IF(AN2696="","",IF(Q2696="Sin Factura",0,IFERROR(INDEX(Facturas_Odoo!$H:$H, MATCH(Q2696, Facturas_Odoo!$B:$B, 0)), 0)*(1-AG2696)))</f>
        <v/>
      </c>
      <c r="AJ2696" s="81">
        <f>IF(AN2696="","",_xlfn.LET(idVenta, AN2696&amp;"",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96" s="81">
        <f>IF(AN2696="","",AH2696-AJ2696)</f>
        <v/>
      </c>
      <c r="AL2696" s="81">
        <f>IF(AN2696="","",IF(Q2696="Sin Factura","",AI2696-AJ2696))</f>
        <v/>
      </c>
      <c r="AM2696" s="81">
        <f>IF(AN2696="","",IF(Q2696="Sin Factura",0,P2696-IFERROR(INDEX(Facturas_Odoo!$H:$H, MATCH(Q2696, Facturas_Odoo!$B:$B, 0)), 0)))</f>
        <v/>
      </c>
      <c r="AN2696" s="79">
        <f>IF(AND(A2696="", J2696=""), "", IF(A2696&lt;&gt;"", VALUE(MID(A2696,2,LEN(A2696))), AN2695))</f>
        <v/>
      </c>
      <c r="AO2696" s="79">
        <f>IF(AN2696="","",IF(AD2696=0,"OK",_xlfn.LET(monedaPago, IF(AA2696="","USD",AA2696), limitePermitido, IFERROR(VLOOKUP(monedaPago, Configuración!$A$2:$B$3, 2, FALSE), 0.15), IF(AD2696&gt;limitePermitido, "ALERTA: EXCESO (" &amp; TEXT(limitePermitido, "0%") &amp; " máx)", "OK"))))</f>
        <v/>
      </c>
      <c r="AP2696" s="79">
        <f>IF(AN2696="","",IF(AE2696=0,"OK",_xlfn.LET(fechaPago, Z2696, fechaFactura, R2696, diasCredito, IF(E2696="Pago inmediato", 0, IFERROR(VALUE(MID(E2696, 1, SEARCH(" ", E2696)-1)),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96" s="79">
        <f>IF(AN2696="","",IF(AND(N2696&gt;0, AG2696&gt;0), IF(Configuración!$K$2="NO", "ALERTA: DESCUENTO DOBLE NO PERMITIDO", "OK"), "OK"))</f>
        <v/>
      </c>
      <c r="AR2696" s="79">
        <f>IF(AN2696="","",IF(OR(AO2696&lt;&gt;"OK", AP2696&lt;&gt;"OK", AQ2696&lt;&gt;"OK"), "⚠️ REVISAR", "OK"))</f>
        <v/>
      </c>
    </row>
    <row r="2697">
      <c r="A2697" s="79">
        <f>IF('Ordenes_Odoo'!A2697="","",'Ordenes_Odoo'!A2697)</f>
        <v/>
      </c>
      <c r="B2697" s="80">
        <f>IF('Ordenes_Odoo'!B2697="","",'Ordenes_Odoo'!B2697)</f>
        <v/>
      </c>
      <c r="C2697" s="79">
        <f>IF('Ordenes_Odoo'!C2697="","",'Ordenes_Odoo'!C2697)</f>
        <v/>
      </c>
      <c r="D2697" s="79">
        <f>IF('Ordenes_Odoo'!D2697="","",'Ordenes_Odoo'!D2697)</f>
        <v/>
      </c>
      <c r="E2697" s="79">
        <f>IF('Ordenes_Odoo'!E2697="","",'Ordenes_Odoo'!E2697)</f>
        <v/>
      </c>
      <c r="F2697" s="79">
        <f>IF('Ordenes_Odoo'!F2697="","",'Ordenes_Odoo'!F2697)</f>
        <v/>
      </c>
      <c r="G2697" s="79">
        <f>IF('Ordenes_Odoo'!G2697="","",'Ordenes_Odoo'!G2697)</f>
        <v/>
      </c>
      <c r="H2697" s="79">
        <f>IF('Ordenes_Odoo'!H2697="","",'Ordenes_Odoo'!H2697)</f>
        <v/>
      </c>
      <c r="I2697" s="79">
        <f>IF('Ordenes_Odoo'!I2697="","",'Ordenes_Odoo'!I2697)</f>
        <v/>
      </c>
      <c r="J2697" s="79">
        <f>IF('Ordenes_Odoo'!J2697="","",'Ordenes_Odoo'!J2697)</f>
        <v/>
      </c>
      <c r="K2697" s="81">
        <f>IF('Ordenes_Odoo'!K2697="","",'Ordenes_Odoo'!K2697)</f>
        <v/>
      </c>
      <c r="L2697" s="81">
        <f>IF('Ordenes_Odoo'!L2697="","",'Ordenes_Odoo'!L2697)</f>
        <v/>
      </c>
      <c r="M2697" s="79">
        <f>IF('Ordenes_Odoo'!M2697="","",'Ordenes_Odoo'!M2697)</f>
        <v/>
      </c>
      <c r="N2697" s="79">
        <f>IF('Ordenes_Odoo'!N2697="","",'Ordenes_Odoo'!N2697)</f>
        <v/>
      </c>
      <c r="O2697" s="81">
        <f>IF('Ordenes_Odoo'!O2697="","",'Ordenes_Odoo'!O2697)</f>
        <v/>
      </c>
      <c r="P2697" s="81">
        <f>IF('Ordenes_Odoo'!P2697="","",'Ordenes_Odoo'!P2697)</f>
        <v/>
      </c>
      <c r="Q2697" s="79">
        <f>IF(A2697="","",IFERROR(INDEX(Facturas_Odoo!$B:$B, MATCH(A2697, Facturas_Odoo!$D:$D, 0)), "Sin Factura"))</f>
        <v/>
      </c>
      <c r="R2697" s="80">
        <f>IF(Q2697="Sin Factura","",IFERROR(INDEX(Facturas_Odoo!$A:$A, MATCH(Q2697, Facturas_Odoo!$B:$B, 0)), ""))</f>
        <v/>
      </c>
      <c r="S2697" s="79">
        <f>IF(Q2697="Sin Factura","",IFERROR(_xlfn.XLOOKUP(1, (Facturas_Odoo!$D:$D=A2697) * (Facturas_Odoo!$K:$K=I2697), Facturas_Odoo!$L:$L, ""), ""))</f>
        <v/>
      </c>
      <c r="T2697" s="81">
        <f>IF(Q2697="Sin Factura",0,IFERROR(_xlfn.XLOOKUP(1, (Facturas_Odoo!$D:$D=A2697) * (Facturas_Odoo!$K:$K=I2697), Facturas_Odoo!$M:$M, 0), 0))</f>
        <v/>
      </c>
      <c r="U2697" s="79">
        <f>IF(Q2697="Sin Factura",0,IFERROR(_xlfn.XLOOKUP(1, (Facturas_Odoo!$D:$D=A2697) * (Facturas_Odoo!$K:$K=I2697), Facturas_Odoo!$N:$N, 0), 0))</f>
        <v/>
      </c>
      <c r="V2697" s="79">
        <f>IF(Q2697="Sin Factura",0,IFERROR(_xlfn.XLOOKUP(1, (Facturas_Odoo!$D:$D=A2697) * (Facturas_Odoo!$K:$K=I2697), Facturas_Odoo!$O:$O, 0), 0))</f>
        <v/>
      </c>
      <c r="W2697" s="81">
        <f>IF(Q2697="Sin Factura",0,IFERROR(_xlfn.XLOOKUP(1, (Facturas_Odoo!$D:$D=A2697) * (Facturas_Odoo!$K:$K=I2697), Facturas_Odoo!$Q:$Q, 0), 0))</f>
        <v/>
      </c>
      <c r="X2697" s="79">
        <f>IF(OR(Q2697="Sin Factura",Q2697=""),"",IFERROR(INDEX(Pagos_Odoo!$B:$B, MATCH(Q2697, Pagos_Odoo!$I:$I, 0)), "Sin Pago"))</f>
        <v/>
      </c>
      <c r="Y2697" s="79">
        <f>IF(X2697="Sin Pago","",IFERROR(INDEX(Pagos_Odoo!$C:$C, MATCH(X2697, Pagos_Odoo!$B:$B, 0)), ""))</f>
        <v/>
      </c>
      <c r="Z2697" s="80">
        <f>IF(X2697="Sin Pago","",IFERROR(INDEX(Pagos_Odoo!$A:$A, MATCH(X2697, Pagos_Odoo!$B:$B, 0)), ""))</f>
        <v/>
      </c>
      <c r="AA2697" s="79">
        <f>IF(X2697="Sin Pago","",IFERROR(INDEX(Pagos_Odoo!$F:$F, MATCH(X2697, Pagos_Odoo!$B:$B, 0)), ""))</f>
        <v/>
      </c>
      <c r="AB2697" s="81">
        <f>IF(X2697="Sin Pago",0,IFERROR(INDEX(Pagos_Odoo!$E:$E, MATCH(X2697, Pagos_Odoo!$B:$B, 0)), 0))</f>
        <v/>
      </c>
      <c r="AC2697" s="79">
        <f>IF(X2697="Sin Pago","",IFERROR(INDEX(Pagos_Odoo!$G:$G, MATCH(X2697, Pagos_Odoo!$B:$B, 0)), ""))</f>
        <v/>
      </c>
      <c r="AD2697" s="82" t="n">
        <v>0</v>
      </c>
      <c r="AE2697" s="82" t="n"/>
      <c r="AF2697" s="82" t="n"/>
      <c r="AG2697" s="82">
        <f>IF(AN2697="","",AD2697+AE2697+AF2697)</f>
        <v/>
      </c>
      <c r="AH2697" s="81">
        <f>IF(AN2697="","",P2697*(1-AG2697))</f>
        <v/>
      </c>
      <c r="AI2697" s="81">
        <f>IF(AN2697="","",IF(Q2697="Sin Factura",0,IFERROR(INDEX(Facturas_Odoo!$H:$H, MATCH(Q2697, Facturas_Odoo!$B:$B, 0)), 0)*(1-AG2697)))</f>
        <v/>
      </c>
      <c r="AJ2697" s="81">
        <f>IF(AN2697="","",_xlfn.LET(idVenta, AN2697&amp;"",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97" s="81">
        <f>IF(AN2697="","",AH2697-AJ2697)</f>
        <v/>
      </c>
      <c r="AL2697" s="81">
        <f>IF(AN2697="","",IF(Q2697="Sin Factura","",AI2697-AJ2697))</f>
        <v/>
      </c>
      <c r="AM2697" s="81">
        <f>IF(AN2697="","",IF(Q2697="Sin Factura",0,P2697-IFERROR(INDEX(Facturas_Odoo!$H:$H, MATCH(Q2697, Facturas_Odoo!$B:$B, 0)), 0)))</f>
        <v/>
      </c>
      <c r="AN2697" s="79">
        <f>IF(AND(A2697="", J2697=""), "", IF(A2697&lt;&gt;"", VALUE(MID(A2697,2,LEN(A2697))), AN2696))</f>
        <v/>
      </c>
      <c r="AO2697" s="79">
        <f>IF(AN2697="","",IF(AD2697=0,"OK",_xlfn.LET(monedaPago, IF(AA2697="","USD",AA2697), limitePermitido, IFERROR(VLOOKUP(monedaPago, Configuración!$A$2:$B$3, 2, FALSE), 0.15), IF(AD2697&gt;limitePermitido, "ALERTA: EXCESO (" &amp; TEXT(limitePermitido, "0%") &amp; " máx)", "OK"))))</f>
        <v/>
      </c>
      <c r="AP2697" s="79">
        <f>IF(AN2697="","",IF(AE2697=0,"OK",_xlfn.LET(fechaPago, Z2697, fechaFactura, R2697, diasCredito, IF(E2697="Pago inmediato", 0, IFERROR(VALUE(MID(E2697, 1, SEARCH(" ", E2697)-1)),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97" s="79">
        <f>IF(AN2697="","",IF(AND(N2697&gt;0, AG2697&gt;0), IF(Configuración!$K$2="NO", "ALERTA: DESCUENTO DOBLE NO PERMITIDO", "OK"), "OK"))</f>
        <v/>
      </c>
      <c r="AR2697" s="79">
        <f>IF(AN2697="","",IF(OR(AO2697&lt;&gt;"OK", AP2697&lt;&gt;"OK", AQ2697&lt;&gt;"OK"), "⚠️ REVISAR", "OK"))</f>
        <v/>
      </c>
    </row>
    <row r="2698">
      <c r="A2698" s="79">
        <f>IF('Ordenes_Odoo'!A2698="","",'Ordenes_Odoo'!A2698)</f>
        <v/>
      </c>
      <c r="B2698" s="80">
        <f>IF('Ordenes_Odoo'!B2698="","",'Ordenes_Odoo'!B2698)</f>
        <v/>
      </c>
      <c r="C2698" s="79">
        <f>IF('Ordenes_Odoo'!C2698="","",'Ordenes_Odoo'!C2698)</f>
        <v/>
      </c>
      <c r="D2698" s="79">
        <f>IF('Ordenes_Odoo'!D2698="","",'Ordenes_Odoo'!D2698)</f>
        <v/>
      </c>
      <c r="E2698" s="79">
        <f>IF('Ordenes_Odoo'!E2698="","",'Ordenes_Odoo'!E2698)</f>
        <v/>
      </c>
      <c r="F2698" s="79">
        <f>IF('Ordenes_Odoo'!F2698="","",'Ordenes_Odoo'!F2698)</f>
        <v/>
      </c>
      <c r="G2698" s="79">
        <f>IF('Ordenes_Odoo'!G2698="","",'Ordenes_Odoo'!G2698)</f>
        <v/>
      </c>
      <c r="H2698" s="79">
        <f>IF('Ordenes_Odoo'!H2698="","",'Ordenes_Odoo'!H2698)</f>
        <v/>
      </c>
      <c r="I2698" s="79">
        <f>IF('Ordenes_Odoo'!I2698="","",'Ordenes_Odoo'!I2698)</f>
        <v/>
      </c>
      <c r="J2698" s="79">
        <f>IF('Ordenes_Odoo'!J2698="","",'Ordenes_Odoo'!J2698)</f>
        <v/>
      </c>
      <c r="K2698" s="81">
        <f>IF('Ordenes_Odoo'!K2698="","",'Ordenes_Odoo'!K2698)</f>
        <v/>
      </c>
      <c r="L2698" s="81">
        <f>IF('Ordenes_Odoo'!L2698="","",'Ordenes_Odoo'!L2698)</f>
        <v/>
      </c>
      <c r="M2698" s="79">
        <f>IF('Ordenes_Odoo'!M2698="","",'Ordenes_Odoo'!M2698)</f>
        <v/>
      </c>
      <c r="N2698" s="79">
        <f>IF('Ordenes_Odoo'!N2698="","",'Ordenes_Odoo'!N2698)</f>
        <v/>
      </c>
      <c r="O2698" s="81">
        <f>IF('Ordenes_Odoo'!O2698="","",'Ordenes_Odoo'!O2698)</f>
        <v/>
      </c>
      <c r="P2698" s="81">
        <f>IF('Ordenes_Odoo'!P2698="","",'Ordenes_Odoo'!P2698)</f>
        <v/>
      </c>
      <c r="Q2698" s="79">
        <f>IF(A2698="","",IFERROR(INDEX(Facturas_Odoo!$B:$B, MATCH(A2698, Facturas_Odoo!$D:$D, 0)), "Sin Factura"))</f>
        <v/>
      </c>
      <c r="R2698" s="80">
        <f>IF(Q2698="Sin Factura","",IFERROR(INDEX(Facturas_Odoo!$A:$A, MATCH(Q2698, Facturas_Odoo!$B:$B, 0)), ""))</f>
        <v/>
      </c>
      <c r="S2698" s="79">
        <f>IF(Q2698="Sin Factura","",IFERROR(_xlfn.XLOOKUP(1, (Facturas_Odoo!$D:$D=A2698) * (Facturas_Odoo!$K:$K=I2698), Facturas_Odoo!$L:$L, ""), ""))</f>
        <v/>
      </c>
      <c r="T2698" s="81">
        <f>IF(Q2698="Sin Factura",0,IFERROR(_xlfn.XLOOKUP(1, (Facturas_Odoo!$D:$D=A2698) * (Facturas_Odoo!$K:$K=I2698), Facturas_Odoo!$M:$M, 0), 0))</f>
        <v/>
      </c>
      <c r="U2698" s="79">
        <f>IF(Q2698="Sin Factura",0,IFERROR(_xlfn.XLOOKUP(1, (Facturas_Odoo!$D:$D=A2698) * (Facturas_Odoo!$K:$K=I2698), Facturas_Odoo!$N:$N, 0), 0))</f>
        <v/>
      </c>
      <c r="V2698" s="79">
        <f>IF(Q2698="Sin Factura",0,IFERROR(_xlfn.XLOOKUP(1, (Facturas_Odoo!$D:$D=A2698) * (Facturas_Odoo!$K:$K=I2698), Facturas_Odoo!$O:$O, 0), 0))</f>
        <v/>
      </c>
      <c r="W2698" s="81">
        <f>IF(Q2698="Sin Factura",0,IFERROR(_xlfn.XLOOKUP(1, (Facturas_Odoo!$D:$D=A2698) * (Facturas_Odoo!$K:$K=I2698), Facturas_Odoo!$Q:$Q, 0), 0))</f>
        <v/>
      </c>
      <c r="X2698" s="79">
        <f>IF(OR(Q2698="Sin Factura",Q2698=""),"",IFERROR(INDEX(Pagos_Odoo!$B:$B, MATCH(Q2698, Pagos_Odoo!$I:$I, 0)), "Sin Pago"))</f>
        <v/>
      </c>
      <c r="Y2698" s="79">
        <f>IF(X2698="Sin Pago","",IFERROR(INDEX(Pagos_Odoo!$C:$C, MATCH(X2698, Pagos_Odoo!$B:$B, 0)), ""))</f>
        <v/>
      </c>
      <c r="Z2698" s="80">
        <f>IF(X2698="Sin Pago","",IFERROR(INDEX(Pagos_Odoo!$A:$A, MATCH(X2698, Pagos_Odoo!$B:$B, 0)), ""))</f>
        <v/>
      </c>
      <c r="AA2698" s="79">
        <f>IF(X2698="Sin Pago","",IFERROR(INDEX(Pagos_Odoo!$F:$F, MATCH(X2698, Pagos_Odoo!$B:$B, 0)), ""))</f>
        <v/>
      </c>
      <c r="AB2698" s="81">
        <f>IF(X2698="Sin Pago",0,IFERROR(INDEX(Pagos_Odoo!$E:$E, MATCH(X2698, Pagos_Odoo!$B:$B, 0)), 0))</f>
        <v/>
      </c>
      <c r="AC2698" s="79">
        <f>IF(X2698="Sin Pago","",IFERROR(INDEX(Pagos_Odoo!$G:$G, MATCH(X2698, Pagos_Odoo!$B:$B, 0)), ""))</f>
        <v/>
      </c>
      <c r="AD2698" s="82" t="n">
        <v>0</v>
      </c>
      <c r="AE2698" s="82" t="n"/>
      <c r="AF2698" s="82" t="n"/>
      <c r="AG2698" s="82">
        <f>IF(AN2698="","",AD2698+AE2698+AF2698)</f>
        <v/>
      </c>
      <c r="AH2698" s="81">
        <f>IF(AN2698="","",P2698*(1-AG2698))</f>
        <v/>
      </c>
      <c r="AI2698" s="81">
        <f>IF(AN2698="","",IF(Q2698="Sin Factura",0,IFERROR(INDEX(Facturas_Odoo!$H:$H, MATCH(Q2698, Facturas_Odoo!$B:$B, 0)), 0)*(1-AG2698)))</f>
        <v/>
      </c>
      <c r="AJ2698" s="81">
        <f>IF(AN2698="","",_xlfn.LET(idVenta, AN2698&amp;"",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98" s="81">
        <f>IF(AN2698="","",AH2698-AJ2698)</f>
        <v/>
      </c>
      <c r="AL2698" s="81">
        <f>IF(AN2698="","",IF(Q2698="Sin Factura","",AI2698-AJ2698))</f>
        <v/>
      </c>
      <c r="AM2698" s="81">
        <f>IF(AN2698="","",IF(Q2698="Sin Factura",0,P2698-IFERROR(INDEX(Facturas_Odoo!$H:$H, MATCH(Q2698, Facturas_Odoo!$B:$B, 0)), 0)))</f>
        <v/>
      </c>
      <c r="AN2698" s="79">
        <f>IF(AND(A2698="", J2698=""), "", IF(A2698&lt;&gt;"", VALUE(MID(A2698,2,LEN(A2698))), AN2697))</f>
        <v/>
      </c>
      <c r="AO2698" s="79">
        <f>IF(AN2698="","",IF(AD2698=0,"OK",_xlfn.LET(monedaPago, IF(AA2698="","USD",AA2698), limitePermitido, IFERROR(VLOOKUP(monedaPago, Configuración!$A$2:$B$3, 2, FALSE), 0.15), IF(AD2698&gt;limitePermitido, "ALERTA: EXCESO (" &amp; TEXT(limitePermitido, "0%") &amp; " máx)", "OK"))))</f>
        <v/>
      </c>
      <c r="AP2698" s="79">
        <f>IF(AN2698="","",IF(AE2698=0,"OK",_xlfn.LET(fechaPago, Z2698, fechaFactura, R2698, diasCredito, IF(E2698="Pago inmediato", 0, IFERROR(VALUE(MID(E2698, 1, SEARCH(" ", E2698)-1)),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98" s="79">
        <f>IF(AN2698="","",IF(AND(N2698&gt;0, AG2698&gt;0), IF(Configuración!$K$2="NO", "ALERTA: DESCUENTO DOBLE NO PERMITIDO", "OK"), "OK"))</f>
        <v/>
      </c>
      <c r="AR2698" s="79">
        <f>IF(AN2698="","",IF(OR(AO2698&lt;&gt;"OK", AP2698&lt;&gt;"OK", AQ2698&lt;&gt;"OK"), "⚠️ REVISAR", "OK"))</f>
        <v/>
      </c>
    </row>
    <row r="2699">
      <c r="A2699" s="79">
        <f>IF('Ordenes_Odoo'!A2699="","",'Ordenes_Odoo'!A2699)</f>
        <v/>
      </c>
      <c r="B2699" s="80">
        <f>IF('Ordenes_Odoo'!B2699="","",'Ordenes_Odoo'!B2699)</f>
        <v/>
      </c>
      <c r="C2699" s="79">
        <f>IF('Ordenes_Odoo'!C2699="","",'Ordenes_Odoo'!C2699)</f>
        <v/>
      </c>
      <c r="D2699" s="79">
        <f>IF('Ordenes_Odoo'!D2699="","",'Ordenes_Odoo'!D2699)</f>
        <v/>
      </c>
      <c r="E2699" s="79">
        <f>IF('Ordenes_Odoo'!E2699="","",'Ordenes_Odoo'!E2699)</f>
        <v/>
      </c>
      <c r="F2699" s="79">
        <f>IF('Ordenes_Odoo'!F2699="","",'Ordenes_Odoo'!F2699)</f>
        <v/>
      </c>
      <c r="G2699" s="79">
        <f>IF('Ordenes_Odoo'!G2699="","",'Ordenes_Odoo'!G2699)</f>
        <v/>
      </c>
      <c r="H2699" s="79">
        <f>IF('Ordenes_Odoo'!H2699="","",'Ordenes_Odoo'!H2699)</f>
        <v/>
      </c>
      <c r="I2699" s="79">
        <f>IF('Ordenes_Odoo'!I2699="","",'Ordenes_Odoo'!I2699)</f>
        <v/>
      </c>
      <c r="J2699" s="79">
        <f>IF('Ordenes_Odoo'!J2699="","",'Ordenes_Odoo'!J2699)</f>
        <v/>
      </c>
      <c r="K2699" s="81">
        <f>IF('Ordenes_Odoo'!K2699="","",'Ordenes_Odoo'!K2699)</f>
        <v/>
      </c>
      <c r="L2699" s="81">
        <f>IF('Ordenes_Odoo'!L2699="","",'Ordenes_Odoo'!L2699)</f>
        <v/>
      </c>
      <c r="M2699" s="79">
        <f>IF('Ordenes_Odoo'!M2699="","",'Ordenes_Odoo'!M2699)</f>
        <v/>
      </c>
      <c r="N2699" s="79">
        <f>IF('Ordenes_Odoo'!N2699="","",'Ordenes_Odoo'!N2699)</f>
        <v/>
      </c>
      <c r="O2699" s="81">
        <f>IF('Ordenes_Odoo'!O2699="","",'Ordenes_Odoo'!O2699)</f>
        <v/>
      </c>
      <c r="P2699" s="81">
        <f>IF('Ordenes_Odoo'!P2699="","",'Ordenes_Odoo'!P2699)</f>
        <v/>
      </c>
      <c r="Q2699" s="79">
        <f>IF(A2699="","",IFERROR(INDEX(Facturas_Odoo!$B:$B, MATCH(A2699, Facturas_Odoo!$D:$D, 0)), "Sin Factura"))</f>
        <v/>
      </c>
      <c r="R2699" s="80">
        <f>IF(Q2699="Sin Factura","",IFERROR(INDEX(Facturas_Odoo!$A:$A, MATCH(Q2699, Facturas_Odoo!$B:$B, 0)), ""))</f>
        <v/>
      </c>
      <c r="S2699" s="79">
        <f>IF(Q2699="Sin Factura","",IFERROR(_xlfn.XLOOKUP(1, (Facturas_Odoo!$D:$D=A2699) * (Facturas_Odoo!$K:$K=I2699), Facturas_Odoo!$L:$L, ""), ""))</f>
        <v/>
      </c>
      <c r="T2699" s="81">
        <f>IF(Q2699="Sin Factura",0,IFERROR(_xlfn.XLOOKUP(1, (Facturas_Odoo!$D:$D=A2699) * (Facturas_Odoo!$K:$K=I2699), Facturas_Odoo!$M:$M, 0), 0))</f>
        <v/>
      </c>
      <c r="U2699" s="79">
        <f>IF(Q2699="Sin Factura",0,IFERROR(_xlfn.XLOOKUP(1, (Facturas_Odoo!$D:$D=A2699) * (Facturas_Odoo!$K:$K=I2699), Facturas_Odoo!$N:$N, 0), 0))</f>
        <v/>
      </c>
      <c r="V2699" s="79">
        <f>IF(Q2699="Sin Factura",0,IFERROR(_xlfn.XLOOKUP(1, (Facturas_Odoo!$D:$D=A2699) * (Facturas_Odoo!$K:$K=I2699), Facturas_Odoo!$O:$O, 0), 0))</f>
        <v/>
      </c>
      <c r="W2699" s="81">
        <f>IF(Q2699="Sin Factura",0,IFERROR(_xlfn.XLOOKUP(1, (Facturas_Odoo!$D:$D=A2699) * (Facturas_Odoo!$K:$K=I2699), Facturas_Odoo!$Q:$Q, 0), 0))</f>
        <v/>
      </c>
      <c r="X2699" s="79">
        <f>IF(OR(Q2699="Sin Factura",Q2699=""),"",IFERROR(INDEX(Pagos_Odoo!$B:$B, MATCH(Q2699, Pagos_Odoo!$I:$I, 0)), "Sin Pago"))</f>
        <v/>
      </c>
      <c r="Y2699" s="79">
        <f>IF(X2699="Sin Pago","",IFERROR(INDEX(Pagos_Odoo!$C:$C, MATCH(X2699, Pagos_Odoo!$B:$B, 0)), ""))</f>
        <v/>
      </c>
      <c r="Z2699" s="80">
        <f>IF(X2699="Sin Pago","",IFERROR(INDEX(Pagos_Odoo!$A:$A, MATCH(X2699, Pagos_Odoo!$B:$B, 0)), ""))</f>
        <v/>
      </c>
      <c r="AA2699" s="79">
        <f>IF(X2699="Sin Pago","",IFERROR(INDEX(Pagos_Odoo!$F:$F, MATCH(X2699, Pagos_Odoo!$B:$B, 0)), ""))</f>
        <v/>
      </c>
      <c r="AB2699" s="81">
        <f>IF(X2699="Sin Pago",0,IFERROR(INDEX(Pagos_Odoo!$E:$E, MATCH(X2699, Pagos_Odoo!$B:$B, 0)), 0))</f>
        <v/>
      </c>
      <c r="AC2699" s="79">
        <f>IF(X2699="Sin Pago","",IFERROR(INDEX(Pagos_Odoo!$G:$G, MATCH(X2699, Pagos_Odoo!$B:$B, 0)), ""))</f>
        <v/>
      </c>
      <c r="AD2699" s="82" t="n">
        <v>0</v>
      </c>
      <c r="AE2699" s="82" t="n"/>
      <c r="AF2699" s="82" t="n"/>
      <c r="AG2699" s="82">
        <f>IF(AN2699="","",AD2699+AE2699+AF2699)</f>
        <v/>
      </c>
      <c r="AH2699" s="81">
        <f>IF(AN2699="","",P2699*(1-AG2699))</f>
        <v/>
      </c>
      <c r="AI2699" s="81">
        <f>IF(AN2699="","",IF(Q2699="Sin Factura",0,IFERROR(INDEX(Facturas_Odoo!$H:$H, MATCH(Q2699, Facturas_Odoo!$B:$B, 0)), 0)*(1-AG2699)))</f>
        <v/>
      </c>
      <c r="AJ2699" s="81">
        <f>IF(AN2699="","",_xlfn.LET(idVenta, AN2699&amp;"",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699" s="81">
        <f>IF(AN2699="","",AH2699-AJ2699)</f>
        <v/>
      </c>
      <c r="AL2699" s="81">
        <f>IF(AN2699="","",IF(Q2699="Sin Factura","",AI2699-AJ2699))</f>
        <v/>
      </c>
      <c r="AM2699" s="81">
        <f>IF(AN2699="","",IF(Q2699="Sin Factura",0,P2699-IFERROR(INDEX(Facturas_Odoo!$H:$H, MATCH(Q2699, Facturas_Odoo!$B:$B, 0)), 0)))</f>
        <v/>
      </c>
      <c r="AN2699" s="79">
        <f>IF(AND(A2699="", J2699=""), "", IF(A2699&lt;&gt;"", VALUE(MID(A2699,2,LEN(A2699))), AN2698))</f>
        <v/>
      </c>
      <c r="AO2699" s="79">
        <f>IF(AN2699="","",IF(AD2699=0,"OK",_xlfn.LET(monedaPago, IF(AA2699="","USD",AA2699), limitePermitido, IFERROR(VLOOKUP(monedaPago, Configuración!$A$2:$B$3, 2, FALSE), 0.15), IF(AD2699&gt;limitePermitido, "ALERTA: EXCESO (" &amp; TEXT(limitePermitido, "0%") &amp; " máx)", "OK"))))</f>
        <v/>
      </c>
      <c r="AP2699" s="79">
        <f>IF(AN2699="","",IF(AE2699=0,"OK",_xlfn.LET(fechaPago, Z2699, fechaFactura, R2699, diasCredito, IF(E2699="Pago inmediato", 0, IFERROR(VALUE(MID(E2699, 1, SEARCH(" ", E2699)-1)),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699" s="79">
        <f>IF(AN2699="","",IF(AND(N2699&gt;0, AG2699&gt;0), IF(Configuración!$K$2="NO", "ALERTA: DESCUENTO DOBLE NO PERMITIDO", "OK"), "OK"))</f>
        <v/>
      </c>
      <c r="AR2699" s="79">
        <f>IF(AN2699="","",IF(OR(AO2699&lt;&gt;"OK", AP2699&lt;&gt;"OK", AQ2699&lt;&gt;"OK"), "⚠️ REVISAR", "OK"))</f>
        <v/>
      </c>
    </row>
    <row r="2700">
      <c r="A2700" s="79">
        <f>IF('Ordenes_Odoo'!A2700="","",'Ordenes_Odoo'!A2700)</f>
        <v/>
      </c>
      <c r="B2700" s="80">
        <f>IF('Ordenes_Odoo'!B2700="","",'Ordenes_Odoo'!B2700)</f>
        <v/>
      </c>
      <c r="C2700" s="79">
        <f>IF('Ordenes_Odoo'!C2700="","",'Ordenes_Odoo'!C2700)</f>
        <v/>
      </c>
      <c r="D2700" s="79">
        <f>IF('Ordenes_Odoo'!D2700="","",'Ordenes_Odoo'!D2700)</f>
        <v/>
      </c>
      <c r="E2700" s="79">
        <f>IF('Ordenes_Odoo'!E2700="","",'Ordenes_Odoo'!E2700)</f>
        <v/>
      </c>
      <c r="F2700" s="79">
        <f>IF('Ordenes_Odoo'!F2700="","",'Ordenes_Odoo'!F2700)</f>
        <v/>
      </c>
      <c r="G2700" s="79">
        <f>IF('Ordenes_Odoo'!G2700="","",'Ordenes_Odoo'!G2700)</f>
        <v/>
      </c>
      <c r="H2700" s="79">
        <f>IF('Ordenes_Odoo'!H2700="","",'Ordenes_Odoo'!H2700)</f>
        <v/>
      </c>
      <c r="I2700" s="79">
        <f>IF('Ordenes_Odoo'!I2700="","",'Ordenes_Odoo'!I2700)</f>
        <v/>
      </c>
      <c r="J2700" s="79">
        <f>IF('Ordenes_Odoo'!J2700="","",'Ordenes_Odoo'!J2700)</f>
        <v/>
      </c>
      <c r="K2700" s="81">
        <f>IF('Ordenes_Odoo'!K2700="","",'Ordenes_Odoo'!K2700)</f>
        <v/>
      </c>
      <c r="L2700" s="81">
        <f>IF('Ordenes_Odoo'!L2700="","",'Ordenes_Odoo'!L2700)</f>
        <v/>
      </c>
      <c r="M2700" s="79">
        <f>IF('Ordenes_Odoo'!M2700="","",'Ordenes_Odoo'!M2700)</f>
        <v/>
      </c>
      <c r="N2700" s="79">
        <f>IF('Ordenes_Odoo'!N2700="","",'Ordenes_Odoo'!N2700)</f>
        <v/>
      </c>
      <c r="O2700" s="81">
        <f>IF('Ordenes_Odoo'!O2700="","",'Ordenes_Odoo'!O2700)</f>
        <v/>
      </c>
      <c r="P2700" s="81">
        <f>IF('Ordenes_Odoo'!P2700="","",'Ordenes_Odoo'!P2700)</f>
        <v/>
      </c>
      <c r="Q2700" s="79">
        <f>IF(A2700="","",IFERROR(INDEX(Facturas_Odoo!$B:$B, MATCH(A2700, Facturas_Odoo!$D:$D, 0)), "Sin Factura"))</f>
        <v/>
      </c>
      <c r="R2700" s="80">
        <f>IF(Q2700="Sin Factura","",IFERROR(INDEX(Facturas_Odoo!$A:$A, MATCH(Q2700, Facturas_Odoo!$B:$B, 0)), ""))</f>
        <v/>
      </c>
      <c r="S2700" s="79">
        <f>IF(Q2700="Sin Factura","",IFERROR(_xlfn.XLOOKUP(1, (Facturas_Odoo!$D:$D=A2700) * (Facturas_Odoo!$K:$K=I2700), Facturas_Odoo!$L:$L, ""), ""))</f>
        <v/>
      </c>
      <c r="T2700" s="81">
        <f>IF(Q2700="Sin Factura",0,IFERROR(_xlfn.XLOOKUP(1, (Facturas_Odoo!$D:$D=A2700) * (Facturas_Odoo!$K:$K=I2700), Facturas_Odoo!$M:$M, 0), 0))</f>
        <v/>
      </c>
      <c r="U2700" s="79">
        <f>IF(Q2700="Sin Factura",0,IFERROR(_xlfn.XLOOKUP(1, (Facturas_Odoo!$D:$D=A2700) * (Facturas_Odoo!$K:$K=I2700), Facturas_Odoo!$N:$N, 0), 0))</f>
        <v/>
      </c>
      <c r="V2700" s="79">
        <f>IF(Q2700="Sin Factura",0,IFERROR(_xlfn.XLOOKUP(1, (Facturas_Odoo!$D:$D=A2700) * (Facturas_Odoo!$K:$K=I2700), Facturas_Odoo!$O:$O, 0), 0))</f>
        <v/>
      </c>
      <c r="W2700" s="81">
        <f>IF(Q2700="Sin Factura",0,IFERROR(_xlfn.XLOOKUP(1, (Facturas_Odoo!$D:$D=A2700) * (Facturas_Odoo!$K:$K=I2700), Facturas_Odoo!$Q:$Q, 0), 0))</f>
        <v/>
      </c>
      <c r="X2700" s="79">
        <f>IF(OR(Q2700="Sin Factura",Q2700=""),"",IFERROR(INDEX(Pagos_Odoo!$B:$B, MATCH(Q2700, Pagos_Odoo!$I:$I, 0)), "Sin Pago"))</f>
        <v/>
      </c>
      <c r="Y2700" s="79">
        <f>IF(X2700="Sin Pago","",IFERROR(INDEX(Pagos_Odoo!$C:$C, MATCH(X2700, Pagos_Odoo!$B:$B, 0)), ""))</f>
        <v/>
      </c>
      <c r="Z2700" s="80">
        <f>IF(X2700="Sin Pago","",IFERROR(INDEX(Pagos_Odoo!$A:$A, MATCH(X2700, Pagos_Odoo!$B:$B, 0)), ""))</f>
        <v/>
      </c>
      <c r="AA2700" s="79">
        <f>IF(X2700="Sin Pago","",IFERROR(INDEX(Pagos_Odoo!$F:$F, MATCH(X2700, Pagos_Odoo!$B:$B, 0)), ""))</f>
        <v/>
      </c>
      <c r="AB2700" s="81">
        <f>IF(X2700="Sin Pago",0,IFERROR(INDEX(Pagos_Odoo!$E:$E, MATCH(X2700, Pagos_Odoo!$B:$B, 0)), 0))</f>
        <v/>
      </c>
      <c r="AC2700" s="79">
        <f>IF(X2700="Sin Pago","",IFERROR(INDEX(Pagos_Odoo!$G:$G, MATCH(X2700, Pagos_Odoo!$B:$B, 0)), ""))</f>
        <v/>
      </c>
      <c r="AD2700" s="82" t="n">
        <v>0</v>
      </c>
      <c r="AE2700" s="82" t="n"/>
      <c r="AF2700" s="82" t="n"/>
      <c r="AG2700" s="82">
        <f>IF(AN2700="","",AD2700+AE2700+AF2700)</f>
        <v/>
      </c>
      <c r="AH2700" s="81">
        <f>IF(AN2700="","",P2700*(1-AG2700))</f>
        <v/>
      </c>
      <c r="AI2700" s="81">
        <f>IF(AN2700="","",IF(Q2700="Sin Factura",0,IFERROR(INDEX(Facturas_Odoo!$H:$H, MATCH(Q2700, Facturas_Odoo!$B:$B, 0)), 0)*(1-AG2700)))</f>
        <v/>
      </c>
      <c r="AJ2700" s="81">
        <f>IF(AN2700="","",_xlfn.LET(idVenta, AN2700&amp;"",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00" s="81">
        <f>IF(AN2700="","",AH2700-AJ2700)</f>
        <v/>
      </c>
      <c r="AL2700" s="81">
        <f>IF(AN2700="","",IF(Q2700="Sin Factura","",AI2700-AJ2700))</f>
        <v/>
      </c>
      <c r="AM2700" s="81">
        <f>IF(AN2700="","",IF(Q2700="Sin Factura",0,P2700-IFERROR(INDEX(Facturas_Odoo!$H:$H, MATCH(Q2700, Facturas_Odoo!$B:$B, 0)), 0)))</f>
        <v/>
      </c>
      <c r="AN2700" s="79">
        <f>IF(AND(A2700="", J2700=""), "", IF(A2700&lt;&gt;"", VALUE(MID(A2700,2,LEN(A2700))), AN2699))</f>
        <v/>
      </c>
      <c r="AO2700" s="79">
        <f>IF(AN2700="","",IF(AD2700=0,"OK",_xlfn.LET(monedaPago, IF(AA2700="","USD",AA2700), limitePermitido, IFERROR(VLOOKUP(monedaPago, Configuración!$A$2:$B$3, 2, FALSE), 0.15), IF(AD2700&gt;limitePermitido, "ALERTA: EXCESO (" &amp; TEXT(limitePermitido, "0%") &amp; " máx)", "OK"))))</f>
        <v/>
      </c>
      <c r="AP2700" s="79">
        <f>IF(AN2700="","",IF(AE2700=0,"OK",_xlfn.LET(fechaPago, Z2700, fechaFactura, R2700, diasCredito, IF(E2700="Pago inmediato", 0, IFERROR(VALUE(MID(E2700, 1, SEARCH(" ", E2700)-1)),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00" s="79">
        <f>IF(AN2700="","",IF(AND(N2700&gt;0, AG2700&gt;0), IF(Configuración!$K$2="NO", "ALERTA: DESCUENTO DOBLE NO PERMITIDO", "OK"), "OK"))</f>
        <v/>
      </c>
      <c r="AR2700" s="79">
        <f>IF(AN2700="","",IF(OR(AO2700&lt;&gt;"OK", AP2700&lt;&gt;"OK", AQ2700&lt;&gt;"OK"), "⚠️ REVISAR", "OK"))</f>
        <v/>
      </c>
    </row>
    <row r="2701">
      <c r="A2701" s="79">
        <f>IF('Ordenes_Odoo'!A2701="","",'Ordenes_Odoo'!A2701)</f>
        <v/>
      </c>
      <c r="B2701" s="80">
        <f>IF('Ordenes_Odoo'!B2701="","",'Ordenes_Odoo'!B2701)</f>
        <v/>
      </c>
      <c r="C2701" s="79">
        <f>IF('Ordenes_Odoo'!C2701="","",'Ordenes_Odoo'!C2701)</f>
        <v/>
      </c>
      <c r="D2701" s="79">
        <f>IF('Ordenes_Odoo'!D2701="","",'Ordenes_Odoo'!D2701)</f>
        <v/>
      </c>
      <c r="E2701" s="79">
        <f>IF('Ordenes_Odoo'!E2701="","",'Ordenes_Odoo'!E2701)</f>
        <v/>
      </c>
      <c r="F2701" s="79">
        <f>IF('Ordenes_Odoo'!F2701="","",'Ordenes_Odoo'!F2701)</f>
        <v/>
      </c>
      <c r="G2701" s="79">
        <f>IF('Ordenes_Odoo'!G2701="","",'Ordenes_Odoo'!G2701)</f>
        <v/>
      </c>
      <c r="H2701" s="79">
        <f>IF('Ordenes_Odoo'!H2701="","",'Ordenes_Odoo'!H2701)</f>
        <v/>
      </c>
      <c r="I2701" s="79">
        <f>IF('Ordenes_Odoo'!I2701="","",'Ordenes_Odoo'!I2701)</f>
        <v/>
      </c>
      <c r="J2701" s="79">
        <f>IF('Ordenes_Odoo'!J2701="","",'Ordenes_Odoo'!J2701)</f>
        <v/>
      </c>
      <c r="K2701" s="81">
        <f>IF('Ordenes_Odoo'!K2701="","",'Ordenes_Odoo'!K2701)</f>
        <v/>
      </c>
      <c r="L2701" s="81">
        <f>IF('Ordenes_Odoo'!L2701="","",'Ordenes_Odoo'!L2701)</f>
        <v/>
      </c>
      <c r="M2701" s="79">
        <f>IF('Ordenes_Odoo'!M2701="","",'Ordenes_Odoo'!M2701)</f>
        <v/>
      </c>
      <c r="N2701" s="79">
        <f>IF('Ordenes_Odoo'!N2701="","",'Ordenes_Odoo'!N2701)</f>
        <v/>
      </c>
      <c r="O2701" s="81">
        <f>IF('Ordenes_Odoo'!O2701="","",'Ordenes_Odoo'!O2701)</f>
        <v/>
      </c>
      <c r="P2701" s="81">
        <f>IF('Ordenes_Odoo'!P2701="","",'Ordenes_Odoo'!P2701)</f>
        <v/>
      </c>
      <c r="Q2701" s="79">
        <f>IF(A2701="","",IFERROR(INDEX(Facturas_Odoo!$B:$B, MATCH(A2701, Facturas_Odoo!$D:$D, 0)), "Sin Factura"))</f>
        <v/>
      </c>
      <c r="R2701" s="80">
        <f>IF(Q2701="Sin Factura","",IFERROR(INDEX(Facturas_Odoo!$A:$A, MATCH(Q2701, Facturas_Odoo!$B:$B, 0)), ""))</f>
        <v/>
      </c>
      <c r="S2701" s="79">
        <f>IF(Q2701="Sin Factura","",IFERROR(_xlfn.XLOOKUP(1, (Facturas_Odoo!$D:$D=A2701) * (Facturas_Odoo!$K:$K=I2701), Facturas_Odoo!$L:$L, ""), ""))</f>
        <v/>
      </c>
      <c r="T2701" s="81">
        <f>IF(Q2701="Sin Factura",0,IFERROR(_xlfn.XLOOKUP(1, (Facturas_Odoo!$D:$D=A2701) * (Facturas_Odoo!$K:$K=I2701), Facturas_Odoo!$M:$M, 0), 0))</f>
        <v/>
      </c>
      <c r="U2701" s="79">
        <f>IF(Q2701="Sin Factura",0,IFERROR(_xlfn.XLOOKUP(1, (Facturas_Odoo!$D:$D=A2701) * (Facturas_Odoo!$K:$K=I2701), Facturas_Odoo!$N:$N, 0), 0))</f>
        <v/>
      </c>
      <c r="V2701" s="79">
        <f>IF(Q2701="Sin Factura",0,IFERROR(_xlfn.XLOOKUP(1, (Facturas_Odoo!$D:$D=A2701) * (Facturas_Odoo!$K:$K=I2701), Facturas_Odoo!$O:$O, 0), 0))</f>
        <v/>
      </c>
      <c r="W2701" s="81">
        <f>IF(Q2701="Sin Factura",0,IFERROR(_xlfn.XLOOKUP(1, (Facturas_Odoo!$D:$D=A2701) * (Facturas_Odoo!$K:$K=I2701), Facturas_Odoo!$Q:$Q, 0), 0))</f>
        <v/>
      </c>
      <c r="X2701" s="79">
        <f>IF(OR(Q2701="Sin Factura",Q2701=""),"",IFERROR(INDEX(Pagos_Odoo!$B:$B, MATCH(Q2701, Pagos_Odoo!$I:$I, 0)), "Sin Pago"))</f>
        <v/>
      </c>
      <c r="Y2701" s="79">
        <f>IF(X2701="Sin Pago","",IFERROR(INDEX(Pagos_Odoo!$C:$C, MATCH(X2701, Pagos_Odoo!$B:$B, 0)), ""))</f>
        <v/>
      </c>
      <c r="Z2701" s="80">
        <f>IF(X2701="Sin Pago","",IFERROR(INDEX(Pagos_Odoo!$A:$A, MATCH(X2701, Pagos_Odoo!$B:$B, 0)), ""))</f>
        <v/>
      </c>
      <c r="AA2701" s="79">
        <f>IF(X2701="Sin Pago","",IFERROR(INDEX(Pagos_Odoo!$F:$F, MATCH(X2701, Pagos_Odoo!$B:$B, 0)), ""))</f>
        <v/>
      </c>
      <c r="AB2701" s="81">
        <f>IF(X2701="Sin Pago",0,IFERROR(INDEX(Pagos_Odoo!$E:$E, MATCH(X2701, Pagos_Odoo!$B:$B, 0)), 0))</f>
        <v/>
      </c>
      <c r="AC2701" s="79">
        <f>IF(X2701="Sin Pago","",IFERROR(INDEX(Pagos_Odoo!$G:$G, MATCH(X2701, Pagos_Odoo!$B:$B, 0)), ""))</f>
        <v/>
      </c>
      <c r="AD2701" s="82" t="n">
        <v>0</v>
      </c>
      <c r="AE2701" s="82" t="n"/>
      <c r="AF2701" s="82" t="n"/>
      <c r="AG2701" s="82">
        <f>IF(AN2701="","",AD2701+AE2701+AF2701)</f>
        <v/>
      </c>
      <c r="AH2701" s="81">
        <f>IF(AN2701="","",P2701*(1-AG2701))</f>
        <v/>
      </c>
      <c r="AI2701" s="81">
        <f>IF(AN2701="","",IF(Q2701="Sin Factura",0,IFERROR(INDEX(Facturas_Odoo!$H:$H, MATCH(Q2701, Facturas_Odoo!$B:$B, 0)), 0)*(1-AG2701)))</f>
        <v/>
      </c>
      <c r="AJ2701" s="81">
        <f>IF(AN2701="","",_xlfn.LET(idVenta, AN2701&amp;"",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01" s="81">
        <f>IF(AN2701="","",AH2701-AJ2701)</f>
        <v/>
      </c>
      <c r="AL2701" s="81">
        <f>IF(AN2701="","",IF(Q2701="Sin Factura","",AI2701-AJ2701))</f>
        <v/>
      </c>
      <c r="AM2701" s="81">
        <f>IF(AN2701="","",IF(Q2701="Sin Factura",0,P2701-IFERROR(INDEX(Facturas_Odoo!$H:$H, MATCH(Q2701, Facturas_Odoo!$B:$B, 0)), 0)))</f>
        <v/>
      </c>
      <c r="AN2701" s="79">
        <f>IF(AND(A2701="", J2701=""), "", IF(A2701&lt;&gt;"", VALUE(MID(A2701,2,LEN(A2701))), AN2700))</f>
        <v/>
      </c>
      <c r="AO2701" s="79">
        <f>IF(AN2701="","",IF(AD2701=0,"OK",_xlfn.LET(monedaPago, IF(AA2701="","USD",AA2701), limitePermitido, IFERROR(VLOOKUP(monedaPago, Configuración!$A$2:$B$3, 2, FALSE), 0.15), IF(AD2701&gt;limitePermitido, "ALERTA: EXCESO (" &amp; TEXT(limitePermitido, "0%") &amp; " máx)", "OK"))))</f>
        <v/>
      </c>
      <c r="AP2701" s="79">
        <f>IF(AN2701="","",IF(AE2701=0,"OK",_xlfn.LET(fechaPago, Z2701, fechaFactura, R2701, diasCredito, IF(E2701="Pago inmediato", 0, IFERROR(VALUE(MID(E2701, 1, SEARCH(" ", E2701)-1)),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01" s="79">
        <f>IF(AN2701="","",IF(AND(N2701&gt;0, AG2701&gt;0), IF(Configuración!$K$2="NO", "ALERTA: DESCUENTO DOBLE NO PERMITIDO", "OK"), "OK"))</f>
        <v/>
      </c>
      <c r="AR2701" s="79">
        <f>IF(AN2701="","",IF(OR(AO2701&lt;&gt;"OK", AP2701&lt;&gt;"OK", AQ2701&lt;&gt;"OK"), "⚠️ REVISAR", "OK"))</f>
        <v/>
      </c>
    </row>
    <row r="2702">
      <c r="A2702" s="79">
        <f>IF('Ordenes_Odoo'!A2702="","",'Ordenes_Odoo'!A2702)</f>
        <v/>
      </c>
      <c r="B2702" s="80">
        <f>IF('Ordenes_Odoo'!B2702="","",'Ordenes_Odoo'!B2702)</f>
        <v/>
      </c>
      <c r="C2702" s="79">
        <f>IF('Ordenes_Odoo'!C2702="","",'Ordenes_Odoo'!C2702)</f>
        <v/>
      </c>
      <c r="D2702" s="79">
        <f>IF('Ordenes_Odoo'!D2702="","",'Ordenes_Odoo'!D2702)</f>
        <v/>
      </c>
      <c r="E2702" s="79">
        <f>IF('Ordenes_Odoo'!E2702="","",'Ordenes_Odoo'!E2702)</f>
        <v/>
      </c>
      <c r="F2702" s="79">
        <f>IF('Ordenes_Odoo'!F2702="","",'Ordenes_Odoo'!F2702)</f>
        <v/>
      </c>
      <c r="G2702" s="79">
        <f>IF('Ordenes_Odoo'!G2702="","",'Ordenes_Odoo'!G2702)</f>
        <v/>
      </c>
      <c r="H2702" s="79">
        <f>IF('Ordenes_Odoo'!H2702="","",'Ordenes_Odoo'!H2702)</f>
        <v/>
      </c>
      <c r="I2702" s="79">
        <f>IF('Ordenes_Odoo'!I2702="","",'Ordenes_Odoo'!I2702)</f>
        <v/>
      </c>
      <c r="J2702" s="79">
        <f>IF('Ordenes_Odoo'!J2702="","",'Ordenes_Odoo'!J2702)</f>
        <v/>
      </c>
      <c r="K2702" s="81">
        <f>IF('Ordenes_Odoo'!K2702="","",'Ordenes_Odoo'!K2702)</f>
        <v/>
      </c>
      <c r="L2702" s="81">
        <f>IF('Ordenes_Odoo'!L2702="","",'Ordenes_Odoo'!L2702)</f>
        <v/>
      </c>
      <c r="M2702" s="79">
        <f>IF('Ordenes_Odoo'!M2702="","",'Ordenes_Odoo'!M2702)</f>
        <v/>
      </c>
      <c r="N2702" s="79">
        <f>IF('Ordenes_Odoo'!N2702="","",'Ordenes_Odoo'!N2702)</f>
        <v/>
      </c>
      <c r="O2702" s="81">
        <f>IF('Ordenes_Odoo'!O2702="","",'Ordenes_Odoo'!O2702)</f>
        <v/>
      </c>
      <c r="P2702" s="81">
        <f>IF('Ordenes_Odoo'!P2702="","",'Ordenes_Odoo'!P2702)</f>
        <v/>
      </c>
      <c r="Q2702" s="79">
        <f>IF(A2702="","",IFERROR(INDEX(Facturas_Odoo!$B:$B, MATCH(A2702, Facturas_Odoo!$D:$D, 0)), "Sin Factura"))</f>
        <v/>
      </c>
      <c r="R2702" s="80">
        <f>IF(Q2702="Sin Factura","",IFERROR(INDEX(Facturas_Odoo!$A:$A, MATCH(Q2702, Facturas_Odoo!$B:$B, 0)), ""))</f>
        <v/>
      </c>
      <c r="S2702" s="79">
        <f>IF(Q2702="Sin Factura","",IFERROR(_xlfn.XLOOKUP(1, (Facturas_Odoo!$D:$D=A2702) * (Facturas_Odoo!$K:$K=I2702), Facturas_Odoo!$L:$L, ""), ""))</f>
        <v/>
      </c>
      <c r="T2702" s="81">
        <f>IF(Q2702="Sin Factura",0,IFERROR(_xlfn.XLOOKUP(1, (Facturas_Odoo!$D:$D=A2702) * (Facturas_Odoo!$K:$K=I2702), Facturas_Odoo!$M:$M, 0), 0))</f>
        <v/>
      </c>
      <c r="U2702" s="79">
        <f>IF(Q2702="Sin Factura",0,IFERROR(_xlfn.XLOOKUP(1, (Facturas_Odoo!$D:$D=A2702) * (Facturas_Odoo!$K:$K=I2702), Facturas_Odoo!$N:$N, 0), 0))</f>
        <v/>
      </c>
      <c r="V2702" s="79">
        <f>IF(Q2702="Sin Factura",0,IFERROR(_xlfn.XLOOKUP(1, (Facturas_Odoo!$D:$D=A2702) * (Facturas_Odoo!$K:$K=I2702), Facturas_Odoo!$O:$O, 0), 0))</f>
        <v/>
      </c>
      <c r="W2702" s="81">
        <f>IF(Q2702="Sin Factura",0,IFERROR(_xlfn.XLOOKUP(1, (Facturas_Odoo!$D:$D=A2702) * (Facturas_Odoo!$K:$K=I2702), Facturas_Odoo!$Q:$Q, 0), 0))</f>
        <v/>
      </c>
      <c r="X2702" s="79">
        <f>IF(OR(Q2702="Sin Factura",Q2702=""),"",IFERROR(INDEX(Pagos_Odoo!$B:$B, MATCH(Q2702, Pagos_Odoo!$I:$I, 0)), "Sin Pago"))</f>
        <v/>
      </c>
      <c r="Y2702" s="79">
        <f>IF(X2702="Sin Pago","",IFERROR(INDEX(Pagos_Odoo!$C:$C, MATCH(X2702, Pagos_Odoo!$B:$B, 0)), ""))</f>
        <v/>
      </c>
      <c r="Z2702" s="80">
        <f>IF(X2702="Sin Pago","",IFERROR(INDEX(Pagos_Odoo!$A:$A, MATCH(X2702, Pagos_Odoo!$B:$B, 0)), ""))</f>
        <v/>
      </c>
      <c r="AA2702" s="79">
        <f>IF(X2702="Sin Pago","",IFERROR(INDEX(Pagos_Odoo!$F:$F, MATCH(X2702, Pagos_Odoo!$B:$B, 0)), ""))</f>
        <v/>
      </c>
      <c r="AB2702" s="81">
        <f>IF(X2702="Sin Pago",0,IFERROR(INDEX(Pagos_Odoo!$E:$E, MATCH(X2702, Pagos_Odoo!$B:$B, 0)), 0))</f>
        <v/>
      </c>
      <c r="AC2702" s="79">
        <f>IF(X2702="Sin Pago","",IFERROR(INDEX(Pagos_Odoo!$G:$G, MATCH(X2702, Pagos_Odoo!$B:$B, 0)), ""))</f>
        <v/>
      </c>
      <c r="AD2702" s="82" t="n">
        <v>0</v>
      </c>
      <c r="AE2702" s="82" t="n"/>
      <c r="AF2702" s="82" t="n"/>
      <c r="AG2702" s="82">
        <f>IF(AN2702="","",AD2702+AE2702+AF2702)</f>
        <v/>
      </c>
      <c r="AH2702" s="81">
        <f>IF(AN2702="","",P2702*(1-AG2702))</f>
        <v/>
      </c>
      <c r="AI2702" s="81">
        <f>IF(AN2702="","",IF(Q2702="Sin Factura",0,IFERROR(INDEX(Facturas_Odoo!$H:$H, MATCH(Q2702, Facturas_Odoo!$B:$B, 0)), 0)*(1-AG2702)))</f>
        <v/>
      </c>
      <c r="AJ2702" s="81">
        <f>IF(AN2702="","",_xlfn.LET(idVenta, AN2702&amp;"",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02" s="81">
        <f>IF(AN2702="","",AH2702-AJ2702)</f>
        <v/>
      </c>
      <c r="AL2702" s="81">
        <f>IF(AN2702="","",IF(Q2702="Sin Factura","",AI2702-AJ2702))</f>
        <v/>
      </c>
      <c r="AM2702" s="81">
        <f>IF(AN2702="","",IF(Q2702="Sin Factura",0,P2702-IFERROR(INDEX(Facturas_Odoo!$H:$H, MATCH(Q2702, Facturas_Odoo!$B:$B, 0)), 0)))</f>
        <v/>
      </c>
      <c r="AN2702" s="79">
        <f>IF(AND(A2702="", J2702=""), "", IF(A2702&lt;&gt;"", VALUE(MID(A2702,2,LEN(A2702))), AN2701))</f>
        <v/>
      </c>
      <c r="AO2702" s="79">
        <f>IF(AN2702="","",IF(AD2702=0,"OK",_xlfn.LET(monedaPago, IF(AA2702="","USD",AA2702), limitePermitido, IFERROR(VLOOKUP(monedaPago, Configuración!$A$2:$B$3, 2, FALSE), 0.15), IF(AD2702&gt;limitePermitido, "ALERTA: EXCESO (" &amp; TEXT(limitePermitido, "0%") &amp; " máx)", "OK"))))</f>
        <v/>
      </c>
      <c r="AP2702" s="79">
        <f>IF(AN2702="","",IF(AE2702=0,"OK",_xlfn.LET(fechaPago, Z2702, fechaFactura, R2702, diasCredito, IF(E2702="Pago inmediato", 0, IFERROR(VALUE(MID(E2702, 1, SEARCH(" ", E2702)-1)),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02" s="79">
        <f>IF(AN2702="","",IF(AND(N2702&gt;0, AG2702&gt;0), IF(Configuración!$K$2="NO", "ALERTA: DESCUENTO DOBLE NO PERMITIDO", "OK"), "OK"))</f>
        <v/>
      </c>
      <c r="AR2702" s="79">
        <f>IF(AN2702="","",IF(OR(AO2702&lt;&gt;"OK", AP2702&lt;&gt;"OK", AQ2702&lt;&gt;"OK"), "⚠️ REVISAR", "OK"))</f>
        <v/>
      </c>
    </row>
    <row r="2703">
      <c r="A2703" s="79">
        <f>IF('Ordenes_Odoo'!A2703="","",'Ordenes_Odoo'!A2703)</f>
        <v/>
      </c>
      <c r="B2703" s="80">
        <f>IF('Ordenes_Odoo'!B2703="","",'Ordenes_Odoo'!B2703)</f>
        <v/>
      </c>
      <c r="C2703" s="79">
        <f>IF('Ordenes_Odoo'!C2703="","",'Ordenes_Odoo'!C2703)</f>
        <v/>
      </c>
      <c r="D2703" s="79">
        <f>IF('Ordenes_Odoo'!D2703="","",'Ordenes_Odoo'!D2703)</f>
        <v/>
      </c>
      <c r="E2703" s="79">
        <f>IF('Ordenes_Odoo'!E2703="","",'Ordenes_Odoo'!E2703)</f>
        <v/>
      </c>
      <c r="F2703" s="79">
        <f>IF('Ordenes_Odoo'!F2703="","",'Ordenes_Odoo'!F2703)</f>
        <v/>
      </c>
      <c r="G2703" s="79">
        <f>IF('Ordenes_Odoo'!G2703="","",'Ordenes_Odoo'!G2703)</f>
        <v/>
      </c>
      <c r="H2703" s="79">
        <f>IF('Ordenes_Odoo'!H2703="","",'Ordenes_Odoo'!H2703)</f>
        <v/>
      </c>
      <c r="I2703" s="79">
        <f>IF('Ordenes_Odoo'!I2703="","",'Ordenes_Odoo'!I2703)</f>
        <v/>
      </c>
      <c r="J2703" s="79">
        <f>IF('Ordenes_Odoo'!J2703="","",'Ordenes_Odoo'!J2703)</f>
        <v/>
      </c>
      <c r="K2703" s="81">
        <f>IF('Ordenes_Odoo'!K2703="","",'Ordenes_Odoo'!K2703)</f>
        <v/>
      </c>
      <c r="L2703" s="81">
        <f>IF('Ordenes_Odoo'!L2703="","",'Ordenes_Odoo'!L2703)</f>
        <v/>
      </c>
      <c r="M2703" s="79">
        <f>IF('Ordenes_Odoo'!M2703="","",'Ordenes_Odoo'!M2703)</f>
        <v/>
      </c>
      <c r="N2703" s="79">
        <f>IF('Ordenes_Odoo'!N2703="","",'Ordenes_Odoo'!N2703)</f>
        <v/>
      </c>
      <c r="O2703" s="81">
        <f>IF('Ordenes_Odoo'!O2703="","",'Ordenes_Odoo'!O2703)</f>
        <v/>
      </c>
      <c r="P2703" s="81">
        <f>IF('Ordenes_Odoo'!P2703="","",'Ordenes_Odoo'!P2703)</f>
        <v/>
      </c>
      <c r="Q2703" s="79">
        <f>IF(A2703="","",IFERROR(INDEX(Facturas_Odoo!$B:$B, MATCH(A2703, Facturas_Odoo!$D:$D, 0)), "Sin Factura"))</f>
        <v/>
      </c>
      <c r="R2703" s="80">
        <f>IF(Q2703="Sin Factura","",IFERROR(INDEX(Facturas_Odoo!$A:$A, MATCH(Q2703, Facturas_Odoo!$B:$B, 0)), ""))</f>
        <v/>
      </c>
      <c r="S2703" s="79">
        <f>IF(Q2703="Sin Factura","",IFERROR(_xlfn.XLOOKUP(1, (Facturas_Odoo!$D:$D=A2703) * (Facturas_Odoo!$K:$K=I2703), Facturas_Odoo!$L:$L, ""), ""))</f>
        <v/>
      </c>
      <c r="T2703" s="81">
        <f>IF(Q2703="Sin Factura",0,IFERROR(_xlfn.XLOOKUP(1, (Facturas_Odoo!$D:$D=A2703) * (Facturas_Odoo!$K:$K=I2703), Facturas_Odoo!$M:$M, 0), 0))</f>
        <v/>
      </c>
      <c r="U2703" s="79">
        <f>IF(Q2703="Sin Factura",0,IFERROR(_xlfn.XLOOKUP(1, (Facturas_Odoo!$D:$D=A2703) * (Facturas_Odoo!$K:$K=I2703), Facturas_Odoo!$N:$N, 0), 0))</f>
        <v/>
      </c>
      <c r="V2703" s="79">
        <f>IF(Q2703="Sin Factura",0,IFERROR(_xlfn.XLOOKUP(1, (Facturas_Odoo!$D:$D=A2703) * (Facturas_Odoo!$K:$K=I2703), Facturas_Odoo!$O:$O, 0), 0))</f>
        <v/>
      </c>
      <c r="W2703" s="81">
        <f>IF(Q2703="Sin Factura",0,IFERROR(_xlfn.XLOOKUP(1, (Facturas_Odoo!$D:$D=A2703) * (Facturas_Odoo!$K:$K=I2703), Facturas_Odoo!$Q:$Q, 0), 0))</f>
        <v/>
      </c>
      <c r="X2703" s="79">
        <f>IF(OR(Q2703="Sin Factura",Q2703=""),"",IFERROR(INDEX(Pagos_Odoo!$B:$B, MATCH(Q2703, Pagos_Odoo!$I:$I, 0)), "Sin Pago"))</f>
        <v/>
      </c>
      <c r="Y2703" s="79">
        <f>IF(X2703="Sin Pago","",IFERROR(INDEX(Pagos_Odoo!$C:$C, MATCH(X2703, Pagos_Odoo!$B:$B, 0)), ""))</f>
        <v/>
      </c>
      <c r="Z2703" s="80">
        <f>IF(X2703="Sin Pago","",IFERROR(INDEX(Pagos_Odoo!$A:$A, MATCH(X2703, Pagos_Odoo!$B:$B, 0)), ""))</f>
        <v/>
      </c>
      <c r="AA2703" s="79">
        <f>IF(X2703="Sin Pago","",IFERROR(INDEX(Pagos_Odoo!$F:$F, MATCH(X2703, Pagos_Odoo!$B:$B, 0)), ""))</f>
        <v/>
      </c>
      <c r="AB2703" s="81">
        <f>IF(X2703="Sin Pago",0,IFERROR(INDEX(Pagos_Odoo!$E:$E, MATCH(X2703, Pagos_Odoo!$B:$B, 0)), 0))</f>
        <v/>
      </c>
      <c r="AC2703" s="79">
        <f>IF(X2703="Sin Pago","",IFERROR(INDEX(Pagos_Odoo!$G:$G, MATCH(X2703, Pagos_Odoo!$B:$B, 0)), ""))</f>
        <v/>
      </c>
      <c r="AD2703" s="82" t="n">
        <v>0</v>
      </c>
      <c r="AE2703" s="82" t="n"/>
      <c r="AF2703" s="82" t="n"/>
      <c r="AG2703" s="82">
        <f>IF(AN2703="","",AD2703+AE2703+AF2703)</f>
        <v/>
      </c>
      <c r="AH2703" s="81">
        <f>IF(AN2703="","",P2703*(1-AG2703))</f>
        <v/>
      </c>
      <c r="AI2703" s="81">
        <f>IF(AN2703="","",IF(Q2703="Sin Factura",0,IFERROR(INDEX(Facturas_Odoo!$H:$H, MATCH(Q2703, Facturas_Odoo!$B:$B, 0)), 0)*(1-AG2703)))</f>
        <v/>
      </c>
      <c r="AJ2703" s="81">
        <f>IF(AN2703="","",_xlfn.LET(idVenta, AN2703&amp;"",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03" s="81">
        <f>IF(AN2703="","",AH2703-AJ2703)</f>
        <v/>
      </c>
      <c r="AL2703" s="81">
        <f>IF(AN2703="","",IF(Q2703="Sin Factura","",AI2703-AJ2703))</f>
        <v/>
      </c>
      <c r="AM2703" s="81">
        <f>IF(AN2703="","",IF(Q2703="Sin Factura",0,P2703-IFERROR(INDEX(Facturas_Odoo!$H:$H, MATCH(Q2703, Facturas_Odoo!$B:$B, 0)), 0)))</f>
        <v/>
      </c>
      <c r="AN2703" s="79">
        <f>IF(AND(A2703="", J2703=""), "", IF(A2703&lt;&gt;"", VALUE(MID(A2703,2,LEN(A2703))), AN2702))</f>
        <v/>
      </c>
      <c r="AO2703" s="79">
        <f>IF(AN2703="","",IF(AD2703=0,"OK",_xlfn.LET(monedaPago, IF(AA2703="","USD",AA2703), limitePermitido, IFERROR(VLOOKUP(monedaPago, Configuración!$A$2:$B$3, 2, FALSE), 0.15), IF(AD2703&gt;limitePermitido, "ALERTA: EXCESO (" &amp; TEXT(limitePermitido, "0%") &amp; " máx)", "OK"))))</f>
        <v/>
      </c>
      <c r="AP2703" s="79">
        <f>IF(AN2703="","",IF(AE2703=0,"OK",_xlfn.LET(fechaPago, Z2703, fechaFactura, R2703, diasCredito, IF(E2703="Pago inmediato", 0, IFERROR(VALUE(MID(E2703, 1, SEARCH(" ", E2703)-1)),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03" s="79">
        <f>IF(AN2703="","",IF(AND(N2703&gt;0, AG2703&gt;0), IF(Configuración!$K$2="NO", "ALERTA: DESCUENTO DOBLE NO PERMITIDO", "OK"), "OK"))</f>
        <v/>
      </c>
      <c r="AR2703" s="79">
        <f>IF(AN2703="","",IF(OR(AO2703&lt;&gt;"OK", AP2703&lt;&gt;"OK", AQ2703&lt;&gt;"OK"), "⚠️ REVISAR", "OK"))</f>
        <v/>
      </c>
    </row>
    <row r="2704">
      <c r="A2704" s="79">
        <f>IF('Ordenes_Odoo'!A2704="","",'Ordenes_Odoo'!A2704)</f>
        <v/>
      </c>
      <c r="B2704" s="80">
        <f>IF('Ordenes_Odoo'!B2704="","",'Ordenes_Odoo'!B2704)</f>
        <v/>
      </c>
      <c r="C2704" s="79">
        <f>IF('Ordenes_Odoo'!C2704="","",'Ordenes_Odoo'!C2704)</f>
        <v/>
      </c>
      <c r="D2704" s="79">
        <f>IF('Ordenes_Odoo'!D2704="","",'Ordenes_Odoo'!D2704)</f>
        <v/>
      </c>
      <c r="E2704" s="79">
        <f>IF('Ordenes_Odoo'!E2704="","",'Ordenes_Odoo'!E2704)</f>
        <v/>
      </c>
      <c r="F2704" s="79">
        <f>IF('Ordenes_Odoo'!F2704="","",'Ordenes_Odoo'!F2704)</f>
        <v/>
      </c>
      <c r="G2704" s="79">
        <f>IF('Ordenes_Odoo'!G2704="","",'Ordenes_Odoo'!G2704)</f>
        <v/>
      </c>
      <c r="H2704" s="79">
        <f>IF('Ordenes_Odoo'!H2704="","",'Ordenes_Odoo'!H2704)</f>
        <v/>
      </c>
      <c r="I2704" s="79">
        <f>IF('Ordenes_Odoo'!I2704="","",'Ordenes_Odoo'!I2704)</f>
        <v/>
      </c>
      <c r="J2704" s="79">
        <f>IF('Ordenes_Odoo'!J2704="","",'Ordenes_Odoo'!J2704)</f>
        <v/>
      </c>
      <c r="K2704" s="81">
        <f>IF('Ordenes_Odoo'!K2704="","",'Ordenes_Odoo'!K2704)</f>
        <v/>
      </c>
      <c r="L2704" s="81">
        <f>IF('Ordenes_Odoo'!L2704="","",'Ordenes_Odoo'!L2704)</f>
        <v/>
      </c>
      <c r="M2704" s="79">
        <f>IF('Ordenes_Odoo'!M2704="","",'Ordenes_Odoo'!M2704)</f>
        <v/>
      </c>
      <c r="N2704" s="79">
        <f>IF('Ordenes_Odoo'!N2704="","",'Ordenes_Odoo'!N2704)</f>
        <v/>
      </c>
      <c r="O2704" s="81">
        <f>IF('Ordenes_Odoo'!O2704="","",'Ordenes_Odoo'!O2704)</f>
        <v/>
      </c>
      <c r="P2704" s="81">
        <f>IF('Ordenes_Odoo'!P2704="","",'Ordenes_Odoo'!P2704)</f>
        <v/>
      </c>
      <c r="Q2704" s="79">
        <f>IF(A2704="","",IFERROR(INDEX(Facturas_Odoo!$B:$B, MATCH(A2704, Facturas_Odoo!$D:$D, 0)), "Sin Factura"))</f>
        <v/>
      </c>
      <c r="R2704" s="80">
        <f>IF(Q2704="Sin Factura","",IFERROR(INDEX(Facturas_Odoo!$A:$A, MATCH(Q2704, Facturas_Odoo!$B:$B, 0)), ""))</f>
        <v/>
      </c>
      <c r="S2704" s="79">
        <f>IF(Q2704="Sin Factura","",IFERROR(_xlfn.XLOOKUP(1, (Facturas_Odoo!$D:$D=A2704) * (Facturas_Odoo!$K:$K=I2704), Facturas_Odoo!$L:$L, ""), ""))</f>
        <v/>
      </c>
      <c r="T2704" s="81">
        <f>IF(Q2704="Sin Factura",0,IFERROR(_xlfn.XLOOKUP(1, (Facturas_Odoo!$D:$D=A2704) * (Facturas_Odoo!$K:$K=I2704), Facturas_Odoo!$M:$M, 0), 0))</f>
        <v/>
      </c>
      <c r="U2704" s="79">
        <f>IF(Q2704="Sin Factura",0,IFERROR(_xlfn.XLOOKUP(1, (Facturas_Odoo!$D:$D=A2704) * (Facturas_Odoo!$K:$K=I2704), Facturas_Odoo!$N:$N, 0), 0))</f>
        <v/>
      </c>
      <c r="V2704" s="79">
        <f>IF(Q2704="Sin Factura",0,IFERROR(_xlfn.XLOOKUP(1, (Facturas_Odoo!$D:$D=A2704) * (Facturas_Odoo!$K:$K=I2704), Facturas_Odoo!$O:$O, 0), 0))</f>
        <v/>
      </c>
      <c r="W2704" s="81">
        <f>IF(Q2704="Sin Factura",0,IFERROR(_xlfn.XLOOKUP(1, (Facturas_Odoo!$D:$D=A2704) * (Facturas_Odoo!$K:$K=I2704), Facturas_Odoo!$Q:$Q, 0), 0))</f>
        <v/>
      </c>
      <c r="X2704" s="79">
        <f>IF(OR(Q2704="Sin Factura",Q2704=""),"",IFERROR(INDEX(Pagos_Odoo!$B:$B, MATCH(Q2704, Pagos_Odoo!$I:$I, 0)), "Sin Pago"))</f>
        <v/>
      </c>
      <c r="Y2704" s="79">
        <f>IF(X2704="Sin Pago","",IFERROR(INDEX(Pagos_Odoo!$C:$C, MATCH(X2704, Pagos_Odoo!$B:$B, 0)), ""))</f>
        <v/>
      </c>
      <c r="Z2704" s="80">
        <f>IF(X2704="Sin Pago","",IFERROR(INDEX(Pagos_Odoo!$A:$A, MATCH(X2704, Pagos_Odoo!$B:$B, 0)), ""))</f>
        <v/>
      </c>
      <c r="AA2704" s="79">
        <f>IF(X2704="Sin Pago","",IFERROR(INDEX(Pagos_Odoo!$F:$F, MATCH(X2704, Pagos_Odoo!$B:$B, 0)), ""))</f>
        <v/>
      </c>
      <c r="AB2704" s="81">
        <f>IF(X2704="Sin Pago",0,IFERROR(INDEX(Pagos_Odoo!$E:$E, MATCH(X2704, Pagos_Odoo!$B:$B, 0)), 0))</f>
        <v/>
      </c>
      <c r="AC2704" s="79">
        <f>IF(X2704="Sin Pago","",IFERROR(INDEX(Pagos_Odoo!$G:$G, MATCH(X2704, Pagos_Odoo!$B:$B, 0)), ""))</f>
        <v/>
      </c>
      <c r="AD2704" s="82" t="n">
        <v>0</v>
      </c>
      <c r="AE2704" s="82" t="n"/>
      <c r="AF2704" s="82" t="n"/>
      <c r="AG2704" s="82">
        <f>IF(AN2704="","",AD2704+AE2704+AF2704)</f>
        <v/>
      </c>
      <c r="AH2704" s="81">
        <f>IF(AN2704="","",P2704*(1-AG2704))</f>
        <v/>
      </c>
      <c r="AI2704" s="81">
        <f>IF(AN2704="","",IF(Q2704="Sin Factura",0,IFERROR(INDEX(Facturas_Odoo!$H:$H, MATCH(Q2704, Facturas_Odoo!$B:$B, 0)), 0)*(1-AG2704)))</f>
        <v/>
      </c>
      <c r="AJ2704" s="81">
        <f>IF(AN2704="","",_xlfn.LET(idVenta, AN2704&amp;"",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04" s="81">
        <f>IF(AN2704="","",AH2704-AJ2704)</f>
        <v/>
      </c>
      <c r="AL2704" s="81">
        <f>IF(AN2704="","",IF(Q2704="Sin Factura","",AI2704-AJ2704))</f>
        <v/>
      </c>
      <c r="AM2704" s="81">
        <f>IF(AN2704="","",IF(Q2704="Sin Factura",0,P2704-IFERROR(INDEX(Facturas_Odoo!$H:$H, MATCH(Q2704, Facturas_Odoo!$B:$B, 0)), 0)))</f>
        <v/>
      </c>
      <c r="AN2704" s="79">
        <f>IF(AND(A2704="", J2704=""), "", IF(A2704&lt;&gt;"", VALUE(MID(A2704,2,LEN(A2704))), AN2703))</f>
        <v/>
      </c>
      <c r="AO2704" s="79">
        <f>IF(AN2704="","",IF(AD2704=0,"OK",_xlfn.LET(monedaPago, IF(AA2704="","USD",AA2704), limitePermitido, IFERROR(VLOOKUP(monedaPago, Configuración!$A$2:$B$3, 2, FALSE), 0.15), IF(AD2704&gt;limitePermitido, "ALERTA: EXCESO (" &amp; TEXT(limitePermitido, "0%") &amp; " máx)", "OK"))))</f>
        <v/>
      </c>
      <c r="AP2704" s="79">
        <f>IF(AN2704="","",IF(AE2704=0,"OK",_xlfn.LET(fechaPago, Z2704, fechaFactura, R2704, diasCredito, IF(E2704="Pago inmediato", 0, IFERROR(VALUE(MID(E2704, 1, SEARCH(" ", E2704)-1)),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04" s="79">
        <f>IF(AN2704="","",IF(AND(N2704&gt;0, AG2704&gt;0), IF(Configuración!$K$2="NO", "ALERTA: DESCUENTO DOBLE NO PERMITIDO", "OK"), "OK"))</f>
        <v/>
      </c>
      <c r="AR2704" s="79">
        <f>IF(AN2704="","",IF(OR(AO2704&lt;&gt;"OK", AP2704&lt;&gt;"OK", AQ2704&lt;&gt;"OK"), "⚠️ REVISAR", "OK"))</f>
        <v/>
      </c>
    </row>
    <row r="2705">
      <c r="A2705" s="79">
        <f>IF('Ordenes_Odoo'!A2705="","",'Ordenes_Odoo'!A2705)</f>
        <v/>
      </c>
      <c r="B2705" s="80">
        <f>IF('Ordenes_Odoo'!B2705="","",'Ordenes_Odoo'!B2705)</f>
        <v/>
      </c>
      <c r="C2705" s="79">
        <f>IF('Ordenes_Odoo'!C2705="","",'Ordenes_Odoo'!C2705)</f>
        <v/>
      </c>
      <c r="D2705" s="79">
        <f>IF('Ordenes_Odoo'!D2705="","",'Ordenes_Odoo'!D2705)</f>
        <v/>
      </c>
      <c r="E2705" s="79">
        <f>IF('Ordenes_Odoo'!E2705="","",'Ordenes_Odoo'!E2705)</f>
        <v/>
      </c>
      <c r="F2705" s="79">
        <f>IF('Ordenes_Odoo'!F2705="","",'Ordenes_Odoo'!F2705)</f>
        <v/>
      </c>
      <c r="G2705" s="79">
        <f>IF('Ordenes_Odoo'!G2705="","",'Ordenes_Odoo'!G2705)</f>
        <v/>
      </c>
      <c r="H2705" s="79">
        <f>IF('Ordenes_Odoo'!H2705="","",'Ordenes_Odoo'!H2705)</f>
        <v/>
      </c>
      <c r="I2705" s="79">
        <f>IF('Ordenes_Odoo'!I2705="","",'Ordenes_Odoo'!I2705)</f>
        <v/>
      </c>
      <c r="J2705" s="79">
        <f>IF('Ordenes_Odoo'!J2705="","",'Ordenes_Odoo'!J2705)</f>
        <v/>
      </c>
      <c r="K2705" s="81">
        <f>IF('Ordenes_Odoo'!K2705="","",'Ordenes_Odoo'!K2705)</f>
        <v/>
      </c>
      <c r="L2705" s="81">
        <f>IF('Ordenes_Odoo'!L2705="","",'Ordenes_Odoo'!L2705)</f>
        <v/>
      </c>
      <c r="M2705" s="79">
        <f>IF('Ordenes_Odoo'!M2705="","",'Ordenes_Odoo'!M2705)</f>
        <v/>
      </c>
      <c r="N2705" s="79">
        <f>IF('Ordenes_Odoo'!N2705="","",'Ordenes_Odoo'!N2705)</f>
        <v/>
      </c>
      <c r="O2705" s="81">
        <f>IF('Ordenes_Odoo'!O2705="","",'Ordenes_Odoo'!O2705)</f>
        <v/>
      </c>
      <c r="P2705" s="81">
        <f>IF('Ordenes_Odoo'!P2705="","",'Ordenes_Odoo'!P2705)</f>
        <v/>
      </c>
      <c r="Q2705" s="79">
        <f>IF(A2705="","",IFERROR(INDEX(Facturas_Odoo!$B:$B, MATCH(A2705, Facturas_Odoo!$D:$D, 0)), "Sin Factura"))</f>
        <v/>
      </c>
      <c r="R2705" s="80">
        <f>IF(Q2705="Sin Factura","",IFERROR(INDEX(Facturas_Odoo!$A:$A, MATCH(Q2705, Facturas_Odoo!$B:$B, 0)), ""))</f>
        <v/>
      </c>
      <c r="S2705" s="79">
        <f>IF(Q2705="Sin Factura","",IFERROR(_xlfn.XLOOKUP(1, (Facturas_Odoo!$D:$D=A2705) * (Facturas_Odoo!$K:$K=I2705), Facturas_Odoo!$L:$L, ""), ""))</f>
        <v/>
      </c>
      <c r="T2705" s="81">
        <f>IF(Q2705="Sin Factura",0,IFERROR(_xlfn.XLOOKUP(1, (Facturas_Odoo!$D:$D=A2705) * (Facturas_Odoo!$K:$K=I2705), Facturas_Odoo!$M:$M, 0), 0))</f>
        <v/>
      </c>
      <c r="U2705" s="79">
        <f>IF(Q2705="Sin Factura",0,IFERROR(_xlfn.XLOOKUP(1, (Facturas_Odoo!$D:$D=A2705) * (Facturas_Odoo!$K:$K=I2705), Facturas_Odoo!$N:$N, 0), 0))</f>
        <v/>
      </c>
      <c r="V2705" s="79">
        <f>IF(Q2705="Sin Factura",0,IFERROR(_xlfn.XLOOKUP(1, (Facturas_Odoo!$D:$D=A2705) * (Facturas_Odoo!$K:$K=I2705), Facturas_Odoo!$O:$O, 0), 0))</f>
        <v/>
      </c>
      <c r="W2705" s="81">
        <f>IF(Q2705="Sin Factura",0,IFERROR(_xlfn.XLOOKUP(1, (Facturas_Odoo!$D:$D=A2705) * (Facturas_Odoo!$K:$K=I2705), Facturas_Odoo!$Q:$Q, 0), 0))</f>
        <v/>
      </c>
      <c r="X2705" s="79">
        <f>IF(OR(Q2705="Sin Factura",Q2705=""),"",IFERROR(INDEX(Pagos_Odoo!$B:$B, MATCH(Q2705, Pagos_Odoo!$I:$I, 0)), "Sin Pago"))</f>
        <v/>
      </c>
      <c r="Y2705" s="79">
        <f>IF(X2705="Sin Pago","",IFERROR(INDEX(Pagos_Odoo!$C:$C, MATCH(X2705, Pagos_Odoo!$B:$B, 0)), ""))</f>
        <v/>
      </c>
      <c r="Z2705" s="80">
        <f>IF(X2705="Sin Pago","",IFERROR(INDEX(Pagos_Odoo!$A:$A, MATCH(X2705, Pagos_Odoo!$B:$B, 0)), ""))</f>
        <v/>
      </c>
      <c r="AA2705" s="79">
        <f>IF(X2705="Sin Pago","",IFERROR(INDEX(Pagos_Odoo!$F:$F, MATCH(X2705, Pagos_Odoo!$B:$B, 0)), ""))</f>
        <v/>
      </c>
      <c r="AB2705" s="81">
        <f>IF(X2705="Sin Pago",0,IFERROR(INDEX(Pagos_Odoo!$E:$E, MATCH(X2705, Pagos_Odoo!$B:$B, 0)), 0))</f>
        <v/>
      </c>
      <c r="AC2705" s="79">
        <f>IF(X2705="Sin Pago","",IFERROR(INDEX(Pagos_Odoo!$G:$G, MATCH(X2705, Pagos_Odoo!$B:$B, 0)), ""))</f>
        <v/>
      </c>
      <c r="AD2705" s="82" t="n">
        <v>0</v>
      </c>
      <c r="AE2705" s="82" t="n"/>
      <c r="AF2705" s="82" t="n"/>
      <c r="AG2705" s="82">
        <f>IF(AN2705="","",AD2705+AE2705+AF2705)</f>
        <v/>
      </c>
      <c r="AH2705" s="81">
        <f>IF(AN2705="","",P2705*(1-AG2705))</f>
        <v/>
      </c>
      <c r="AI2705" s="81">
        <f>IF(AN2705="","",IF(Q2705="Sin Factura",0,IFERROR(INDEX(Facturas_Odoo!$H:$H, MATCH(Q2705, Facturas_Odoo!$B:$B, 0)), 0)*(1-AG2705)))</f>
        <v/>
      </c>
      <c r="AJ2705" s="81">
        <f>IF(AN2705="","",_xlfn.LET(idVenta, AN2705&amp;"",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05" s="81">
        <f>IF(AN2705="","",AH2705-AJ2705)</f>
        <v/>
      </c>
      <c r="AL2705" s="81">
        <f>IF(AN2705="","",IF(Q2705="Sin Factura","",AI2705-AJ2705))</f>
        <v/>
      </c>
      <c r="AM2705" s="81">
        <f>IF(AN2705="","",IF(Q2705="Sin Factura",0,P2705-IFERROR(INDEX(Facturas_Odoo!$H:$H, MATCH(Q2705, Facturas_Odoo!$B:$B, 0)), 0)))</f>
        <v/>
      </c>
      <c r="AN2705" s="79">
        <f>IF(AND(A2705="", J2705=""), "", IF(A2705&lt;&gt;"", VALUE(MID(A2705,2,LEN(A2705))), AN2704))</f>
        <v/>
      </c>
      <c r="AO2705" s="79">
        <f>IF(AN2705="","",IF(AD2705=0,"OK",_xlfn.LET(monedaPago, IF(AA2705="","USD",AA2705), limitePermitido, IFERROR(VLOOKUP(monedaPago, Configuración!$A$2:$B$3, 2, FALSE), 0.15), IF(AD2705&gt;limitePermitido, "ALERTA: EXCESO (" &amp; TEXT(limitePermitido, "0%") &amp; " máx)", "OK"))))</f>
        <v/>
      </c>
      <c r="AP2705" s="79">
        <f>IF(AN2705="","",IF(AE2705=0,"OK",_xlfn.LET(fechaPago, Z2705, fechaFactura, R2705, diasCredito, IF(E2705="Pago inmediato", 0, IFERROR(VALUE(MID(E2705, 1, SEARCH(" ", E2705)-1)),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05" s="79">
        <f>IF(AN2705="","",IF(AND(N2705&gt;0, AG2705&gt;0), IF(Configuración!$K$2="NO", "ALERTA: DESCUENTO DOBLE NO PERMITIDO", "OK"), "OK"))</f>
        <v/>
      </c>
      <c r="AR2705" s="79">
        <f>IF(AN2705="","",IF(OR(AO2705&lt;&gt;"OK", AP2705&lt;&gt;"OK", AQ2705&lt;&gt;"OK"), "⚠️ REVISAR", "OK"))</f>
        <v/>
      </c>
    </row>
    <row r="2706">
      <c r="A2706" s="79">
        <f>IF('Ordenes_Odoo'!A2706="","",'Ordenes_Odoo'!A2706)</f>
        <v/>
      </c>
      <c r="B2706" s="80">
        <f>IF('Ordenes_Odoo'!B2706="","",'Ordenes_Odoo'!B2706)</f>
        <v/>
      </c>
      <c r="C2706" s="79">
        <f>IF('Ordenes_Odoo'!C2706="","",'Ordenes_Odoo'!C2706)</f>
        <v/>
      </c>
      <c r="D2706" s="79">
        <f>IF('Ordenes_Odoo'!D2706="","",'Ordenes_Odoo'!D2706)</f>
        <v/>
      </c>
      <c r="E2706" s="79">
        <f>IF('Ordenes_Odoo'!E2706="","",'Ordenes_Odoo'!E2706)</f>
        <v/>
      </c>
      <c r="F2706" s="79">
        <f>IF('Ordenes_Odoo'!F2706="","",'Ordenes_Odoo'!F2706)</f>
        <v/>
      </c>
      <c r="G2706" s="79">
        <f>IF('Ordenes_Odoo'!G2706="","",'Ordenes_Odoo'!G2706)</f>
        <v/>
      </c>
      <c r="H2706" s="79">
        <f>IF('Ordenes_Odoo'!H2706="","",'Ordenes_Odoo'!H2706)</f>
        <v/>
      </c>
      <c r="I2706" s="79">
        <f>IF('Ordenes_Odoo'!I2706="","",'Ordenes_Odoo'!I2706)</f>
        <v/>
      </c>
      <c r="J2706" s="79">
        <f>IF('Ordenes_Odoo'!J2706="","",'Ordenes_Odoo'!J2706)</f>
        <v/>
      </c>
      <c r="K2706" s="81">
        <f>IF('Ordenes_Odoo'!K2706="","",'Ordenes_Odoo'!K2706)</f>
        <v/>
      </c>
      <c r="L2706" s="81">
        <f>IF('Ordenes_Odoo'!L2706="","",'Ordenes_Odoo'!L2706)</f>
        <v/>
      </c>
      <c r="M2706" s="79">
        <f>IF('Ordenes_Odoo'!M2706="","",'Ordenes_Odoo'!M2706)</f>
        <v/>
      </c>
      <c r="N2706" s="79">
        <f>IF('Ordenes_Odoo'!N2706="","",'Ordenes_Odoo'!N2706)</f>
        <v/>
      </c>
      <c r="O2706" s="81">
        <f>IF('Ordenes_Odoo'!O2706="","",'Ordenes_Odoo'!O2706)</f>
        <v/>
      </c>
      <c r="P2706" s="81">
        <f>IF('Ordenes_Odoo'!P2706="","",'Ordenes_Odoo'!P2706)</f>
        <v/>
      </c>
      <c r="Q2706" s="79">
        <f>IF(A2706="","",IFERROR(INDEX(Facturas_Odoo!$B:$B, MATCH(A2706, Facturas_Odoo!$D:$D, 0)), "Sin Factura"))</f>
        <v/>
      </c>
      <c r="R2706" s="80">
        <f>IF(Q2706="Sin Factura","",IFERROR(INDEX(Facturas_Odoo!$A:$A, MATCH(Q2706, Facturas_Odoo!$B:$B, 0)), ""))</f>
        <v/>
      </c>
      <c r="S2706" s="79">
        <f>IF(Q2706="Sin Factura","",IFERROR(_xlfn.XLOOKUP(1, (Facturas_Odoo!$D:$D=A2706) * (Facturas_Odoo!$K:$K=I2706), Facturas_Odoo!$L:$L, ""), ""))</f>
        <v/>
      </c>
      <c r="T2706" s="81">
        <f>IF(Q2706="Sin Factura",0,IFERROR(_xlfn.XLOOKUP(1, (Facturas_Odoo!$D:$D=A2706) * (Facturas_Odoo!$K:$K=I2706), Facturas_Odoo!$M:$M, 0), 0))</f>
        <v/>
      </c>
      <c r="U2706" s="79">
        <f>IF(Q2706="Sin Factura",0,IFERROR(_xlfn.XLOOKUP(1, (Facturas_Odoo!$D:$D=A2706) * (Facturas_Odoo!$K:$K=I2706), Facturas_Odoo!$N:$N, 0), 0))</f>
        <v/>
      </c>
      <c r="V2706" s="79">
        <f>IF(Q2706="Sin Factura",0,IFERROR(_xlfn.XLOOKUP(1, (Facturas_Odoo!$D:$D=A2706) * (Facturas_Odoo!$K:$K=I2706), Facturas_Odoo!$O:$O, 0), 0))</f>
        <v/>
      </c>
      <c r="W2706" s="81">
        <f>IF(Q2706="Sin Factura",0,IFERROR(_xlfn.XLOOKUP(1, (Facturas_Odoo!$D:$D=A2706) * (Facturas_Odoo!$K:$K=I2706), Facturas_Odoo!$Q:$Q, 0), 0))</f>
        <v/>
      </c>
      <c r="X2706" s="79">
        <f>IF(OR(Q2706="Sin Factura",Q2706=""),"",IFERROR(INDEX(Pagos_Odoo!$B:$B, MATCH(Q2706, Pagos_Odoo!$I:$I, 0)), "Sin Pago"))</f>
        <v/>
      </c>
      <c r="Y2706" s="79">
        <f>IF(X2706="Sin Pago","",IFERROR(INDEX(Pagos_Odoo!$C:$C, MATCH(X2706, Pagos_Odoo!$B:$B, 0)), ""))</f>
        <v/>
      </c>
      <c r="Z2706" s="80">
        <f>IF(X2706="Sin Pago","",IFERROR(INDEX(Pagos_Odoo!$A:$A, MATCH(X2706, Pagos_Odoo!$B:$B, 0)), ""))</f>
        <v/>
      </c>
      <c r="AA2706" s="79">
        <f>IF(X2706="Sin Pago","",IFERROR(INDEX(Pagos_Odoo!$F:$F, MATCH(X2706, Pagos_Odoo!$B:$B, 0)), ""))</f>
        <v/>
      </c>
      <c r="AB2706" s="81">
        <f>IF(X2706="Sin Pago",0,IFERROR(INDEX(Pagos_Odoo!$E:$E, MATCH(X2706, Pagos_Odoo!$B:$B, 0)), 0))</f>
        <v/>
      </c>
      <c r="AC2706" s="79">
        <f>IF(X2706="Sin Pago","",IFERROR(INDEX(Pagos_Odoo!$G:$G, MATCH(X2706, Pagos_Odoo!$B:$B, 0)), ""))</f>
        <v/>
      </c>
      <c r="AD2706" s="82" t="n">
        <v>0</v>
      </c>
      <c r="AE2706" s="82" t="n"/>
      <c r="AF2706" s="82" t="n"/>
      <c r="AG2706" s="82">
        <f>IF(AN2706="","",AD2706+AE2706+AF2706)</f>
        <v/>
      </c>
      <c r="AH2706" s="81">
        <f>IF(AN2706="","",P2706*(1-AG2706))</f>
        <v/>
      </c>
      <c r="AI2706" s="81">
        <f>IF(AN2706="","",IF(Q2706="Sin Factura",0,IFERROR(INDEX(Facturas_Odoo!$H:$H, MATCH(Q2706, Facturas_Odoo!$B:$B, 0)), 0)*(1-AG2706)))</f>
        <v/>
      </c>
      <c r="AJ2706" s="81">
        <f>IF(AN2706="","",_xlfn.LET(idVenta, AN2706&amp;"",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06" s="81">
        <f>IF(AN2706="","",AH2706-AJ2706)</f>
        <v/>
      </c>
      <c r="AL2706" s="81">
        <f>IF(AN2706="","",IF(Q2706="Sin Factura","",AI2706-AJ2706))</f>
        <v/>
      </c>
      <c r="AM2706" s="81">
        <f>IF(AN2706="","",IF(Q2706="Sin Factura",0,P2706-IFERROR(INDEX(Facturas_Odoo!$H:$H, MATCH(Q2706, Facturas_Odoo!$B:$B, 0)), 0)))</f>
        <v/>
      </c>
      <c r="AN2706" s="79">
        <f>IF(AND(A2706="", J2706=""), "", IF(A2706&lt;&gt;"", VALUE(MID(A2706,2,LEN(A2706))), AN2705))</f>
        <v/>
      </c>
      <c r="AO2706" s="79">
        <f>IF(AN2706="","",IF(AD2706=0,"OK",_xlfn.LET(monedaPago, IF(AA2706="","USD",AA2706), limitePermitido, IFERROR(VLOOKUP(monedaPago, Configuración!$A$2:$B$3, 2, FALSE), 0.15), IF(AD2706&gt;limitePermitido, "ALERTA: EXCESO (" &amp; TEXT(limitePermitido, "0%") &amp; " máx)", "OK"))))</f>
        <v/>
      </c>
      <c r="AP2706" s="79">
        <f>IF(AN2706="","",IF(AE2706=0,"OK",_xlfn.LET(fechaPago, Z2706, fechaFactura, R2706, diasCredito, IF(E2706="Pago inmediato", 0, IFERROR(VALUE(MID(E2706, 1, SEARCH(" ", E2706)-1)),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06" s="79">
        <f>IF(AN2706="","",IF(AND(N2706&gt;0, AG2706&gt;0), IF(Configuración!$K$2="NO", "ALERTA: DESCUENTO DOBLE NO PERMITIDO", "OK"), "OK"))</f>
        <v/>
      </c>
      <c r="AR2706" s="79">
        <f>IF(AN2706="","",IF(OR(AO2706&lt;&gt;"OK", AP2706&lt;&gt;"OK", AQ2706&lt;&gt;"OK"), "⚠️ REVISAR", "OK"))</f>
        <v/>
      </c>
    </row>
    <row r="2707">
      <c r="A2707" s="79">
        <f>IF('Ordenes_Odoo'!A2707="","",'Ordenes_Odoo'!A2707)</f>
        <v/>
      </c>
      <c r="B2707" s="80">
        <f>IF('Ordenes_Odoo'!B2707="","",'Ordenes_Odoo'!B2707)</f>
        <v/>
      </c>
      <c r="C2707" s="79">
        <f>IF('Ordenes_Odoo'!C2707="","",'Ordenes_Odoo'!C2707)</f>
        <v/>
      </c>
      <c r="D2707" s="79">
        <f>IF('Ordenes_Odoo'!D2707="","",'Ordenes_Odoo'!D2707)</f>
        <v/>
      </c>
      <c r="E2707" s="79">
        <f>IF('Ordenes_Odoo'!E2707="","",'Ordenes_Odoo'!E2707)</f>
        <v/>
      </c>
      <c r="F2707" s="79">
        <f>IF('Ordenes_Odoo'!F2707="","",'Ordenes_Odoo'!F2707)</f>
        <v/>
      </c>
      <c r="G2707" s="79">
        <f>IF('Ordenes_Odoo'!G2707="","",'Ordenes_Odoo'!G2707)</f>
        <v/>
      </c>
      <c r="H2707" s="79">
        <f>IF('Ordenes_Odoo'!H2707="","",'Ordenes_Odoo'!H2707)</f>
        <v/>
      </c>
      <c r="I2707" s="79">
        <f>IF('Ordenes_Odoo'!I2707="","",'Ordenes_Odoo'!I2707)</f>
        <v/>
      </c>
      <c r="J2707" s="79">
        <f>IF('Ordenes_Odoo'!J2707="","",'Ordenes_Odoo'!J2707)</f>
        <v/>
      </c>
      <c r="K2707" s="81">
        <f>IF('Ordenes_Odoo'!K2707="","",'Ordenes_Odoo'!K2707)</f>
        <v/>
      </c>
      <c r="L2707" s="81">
        <f>IF('Ordenes_Odoo'!L2707="","",'Ordenes_Odoo'!L2707)</f>
        <v/>
      </c>
      <c r="M2707" s="79">
        <f>IF('Ordenes_Odoo'!M2707="","",'Ordenes_Odoo'!M2707)</f>
        <v/>
      </c>
      <c r="N2707" s="79">
        <f>IF('Ordenes_Odoo'!N2707="","",'Ordenes_Odoo'!N2707)</f>
        <v/>
      </c>
      <c r="O2707" s="81">
        <f>IF('Ordenes_Odoo'!O2707="","",'Ordenes_Odoo'!O2707)</f>
        <v/>
      </c>
      <c r="P2707" s="81">
        <f>IF('Ordenes_Odoo'!P2707="","",'Ordenes_Odoo'!P2707)</f>
        <v/>
      </c>
      <c r="Q2707" s="79">
        <f>IF(A2707="","",IFERROR(INDEX(Facturas_Odoo!$B:$B, MATCH(A2707, Facturas_Odoo!$D:$D, 0)), "Sin Factura"))</f>
        <v/>
      </c>
      <c r="R2707" s="80">
        <f>IF(Q2707="Sin Factura","",IFERROR(INDEX(Facturas_Odoo!$A:$A, MATCH(Q2707, Facturas_Odoo!$B:$B, 0)), ""))</f>
        <v/>
      </c>
      <c r="S2707" s="79">
        <f>IF(Q2707="Sin Factura","",IFERROR(_xlfn.XLOOKUP(1, (Facturas_Odoo!$D:$D=A2707) * (Facturas_Odoo!$K:$K=I2707), Facturas_Odoo!$L:$L, ""), ""))</f>
        <v/>
      </c>
      <c r="T2707" s="81">
        <f>IF(Q2707="Sin Factura",0,IFERROR(_xlfn.XLOOKUP(1, (Facturas_Odoo!$D:$D=A2707) * (Facturas_Odoo!$K:$K=I2707), Facturas_Odoo!$M:$M, 0), 0))</f>
        <v/>
      </c>
      <c r="U2707" s="79">
        <f>IF(Q2707="Sin Factura",0,IFERROR(_xlfn.XLOOKUP(1, (Facturas_Odoo!$D:$D=A2707) * (Facturas_Odoo!$K:$K=I2707), Facturas_Odoo!$N:$N, 0), 0))</f>
        <v/>
      </c>
      <c r="V2707" s="79">
        <f>IF(Q2707="Sin Factura",0,IFERROR(_xlfn.XLOOKUP(1, (Facturas_Odoo!$D:$D=A2707) * (Facturas_Odoo!$K:$K=I2707), Facturas_Odoo!$O:$O, 0), 0))</f>
        <v/>
      </c>
      <c r="W2707" s="81">
        <f>IF(Q2707="Sin Factura",0,IFERROR(_xlfn.XLOOKUP(1, (Facturas_Odoo!$D:$D=A2707) * (Facturas_Odoo!$K:$K=I2707), Facturas_Odoo!$Q:$Q, 0), 0))</f>
        <v/>
      </c>
      <c r="X2707" s="79">
        <f>IF(OR(Q2707="Sin Factura",Q2707=""),"",IFERROR(INDEX(Pagos_Odoo!$B:$B, MATCH(Q2707, Pagos_Odoo!$I:$I, 0)), "Sin Pago"))</f>
        <v/>
      </c>
      <c r="Y2707" s="79">
        <f>IF(X2707="Sin Pago","",IFERROR(INDEX(Pagos_Odoo!$C:$C, MATCH(X2707, Pagos_Odoo!$B:$B, 0)), ""))</f>
        <v/>
      </c>
      <c r="Z2707" s="80">
        <f>IF(X2707="Sin Pago","",IFERROR(INDEX(Pagos_Odoo!$A:$A, MATCH(X2707, Pagos_Odoo!$B:$B, 0)), ""))</f>
        <v/>
      </c>
      <c r="AA2707" s="79">
        <f>IF(X2707="Sin Pago","",IFERROR(INDEX(Pagos_Odoo!$F:$F, MATCH(X2707, Pagos_Odoo!$B:$B, 0)), ""))</f>
        <v/>
      </c>
      <c r="AB2707" s="81">
        <f>IF(X2707="Sin Pago",0,IFERROR(INDEX(Pagos_Odoo!$E:$E, MATCH(X2707, Pagos_Odoo!$B:$B, 0)), 0))</f>
        <v/>
      </c>
      <c r="AC2707" s="79">
        <f>IF(X2707="Sin Pago","",IFERROR(INDEX(Pagos_Odoo!$G:$G, MATCH(X2707, Pagos_Odoo!$B:$B, 0)), ""))</f>
        <v/>
      </c>
      <c r="AD2707" s="82" t="n">
        <v>0</v>
      </c>
      <c r="AE2707" s="82" t="n"/>
      <c r="AF2707" s="82" t="n"/>
      <c r="AG2707" s="82">
        <f>IF(AN2707="","",AD2707+AE2707+AF2707)</f>
        <v/>
      </c>
      <c r="AH2707" s="81">
        <f>IF(AN2707="","",P2707*(1-AG2707))</f>
        <v/>
      </c>
      <c r="AI2707" s="81">
        <f>IF(AN2707="","",IF(Q2707="Sin Factura",0,IFERROR(INDEX(Facturas_Odoo!$H:$H, MATCH(Q2707, Facturas_Odoo!$B:$B, 0)), 0)*(1-AG2707)))</f>
        <v/>
      </c>
      <c r="AJ2707" s="81">
        <f>IF(AN2707="","",_xlfn.LET(idVenta, AN2707&amp;"",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07" s="81">
        <f>IF(AN2707="","",AH2707-AJ2707)</f>
        <v/>
      </c>
      <c r="AL2707" s="81">
        <f>IF(AN2707="","",IF(Q2707="Sin Factura","",AI2707-AJ2707))</f>
        <v/>
      </c>
      <c r="AM2707" s="81">
        <f>IF(AN2707="","",IF(Q2707="Sin Factura",0,P2707-IFERROR(INDEX(Facturas_Odoo!$H:$H, MATCH(Q2707, Facturas_Odoo!$B:$B, 0)), 0)))</f>
        <v/>
      </c>
      <c r="AN2707" s="79">
        <f>IF(AND(A2707="", J2707=""), "", IF(A2707&lt;&gt;"", VALUE(MID(A2707,2,LEN(A2707))), AN2706))</f>
        <v/>
      </c>
      <c r="AO2707" s="79">
        <f>IF(AN2707="","",IF(AD2707=0,"OK",_xlfn.LET(monedaPago, IF(AA2707="","USD",AA2707), limitePermitido, IFERROR(VLOOKUP(monedaPago, Configuración!$A$2:$B$3, 2, FALSE), 0.15), IF(AD2707&gt;limitePermitido, "ALERTA: EXCESO (" &amp; TEXT(limitePermitido, "0%") &amp; " máx)", "OK"))))</f>
        <v/>
      </c>
      <c r="AP2707" s="79">
        <f>IF(AN2707="","",IF(AE2707=0,"OK",_xlfn.LET(fechaPago, Z2707, fechaFactura, R2707, diasCredito, IF(E2707="Pago inmediato", 0, IFERROR(VALUE(MID(E2707, 1, SEARCH(" ", E2707)-1)),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07" s="79">
        <f>IF(AN2707="","",IF(AND(N2707&gt;0, AG2707&gt;0), IF(Configuración!$K$2="NO", "ALERTA: DESCUENTO DOBLE NO PERMITIDO", "OK"), "OK"))</f>
        <v/>
      </c>
      <c r="AR2707" s="79">
        <f>IF(AN2707="","",IF(OR(AO2707&lt;&gt;"OK", AP2707&lt;&gt;"OK", AQ2707&lt;&gt;"OK"), "⚠️ REVISAR", "OK"))</f>
        <v/>
      </c>
    </row>
    <row r="2708">
      <c r="A2708" s="79">
        <f>IF('Ordenes_Odoo'!A2708="","",'Ordenes_Odoo'!A2708)</f>
        <v/>
      </c>
      <c r="B2708" s="80">
        <f>IF('Ordenes_Odoo'!B2708="","",'Ordenes_Odoo'!B2708)</f>
        <v/>
      </c>
      <c r="C2708" s="79">
        <f>IF('Ordenes_Odoo'!C2708="","",'Ordenes_Odoo'!C2708)</f>
        <v/>
      </c>
      <c r="D2708" s="79">
        <f>IF('Ordenes_Odoo'!D2708="","",'Ordenes_Odoo'!D2708)</f>
        <v/>
      </c>
      <c r="E2708" s="79">
        <f>IF('Ordenes_Odoo'!E2708="","",'Ordenes_Odoo'!E2708)</f>
        <v/>
      </c>
      <c r="F2708" s="79">
        <f>IF('Ordenes_Odoo'!F2708="","",'Ordenes_Odoo'!F2708)</f>
        <v/>
      </c>
      <c r="G2708" s="79">
        <f>IF('Ordenes_Odoo'!G2708="","",'Ordenes_Odoo'!G2708)</f>
        <v/>
      </c>
      <c r="H2708" s="79">
        <f>IF('Ordenes_Odoo'!H2708="","",'Ordenes_Odoo'!H2708)</f>
        <v/>
      </c>
      <c r="I2708" s="79">
        <f>IF('Ordenes_Odoo'!I2708="","",'Ordenes_Odoo'!I2708)</f>
        <v/>
      </c>
      <c r="J2708" s="79">
        <f>IF('Ordenes_Odoo'!J2708="","",'Ordenes_Odoo'!J2708)</f>
        <v/>
      </c>
      <c r="K2708" s="81">
        <f>IF('Ordenes_Odoo'!K2708="","",'Ordenes_Odoo'!K2708)</f>
        <v/>
      </c>
      <c r="L2708" s="81">
        <f>IF('Ordenes_Odoo'!L2708="","",'Ordenes_Odoo'!L2708)</f>
        <v/>
      </c>
      <c r="M2708" s="79">
        <f>IF('Ordenes_Odoo'!M2708="","",'Ordenes_Odoo'!M2708)</f>
        <v/>
      </c>
      <c r="N2708" s="79">
        <f>IF('Ordenes_Odoo'!N2708="","",'Ordenes_Odoo'!N2708)</f>
        <v/>
      </c>
      <c r="O2708" s="81">
        <f>IF('Ordenes_Odoo'!O2708="","",'Ordenes_Odoo'!O2708)</f>
        <v/>
      </c>
      <c r="P2708" s="81">
        <f>IF('Ordenes_Odoo'!P2708="","",'Ordenes_Odoo'!P2708)</f>
        <v/>
      </c>
      <c r="Q2708" s="79">
        <f>IF(A2708="","",IFERROR(INDEX(Facturas_Odoo!$B:$B, MATCH(A2708, Facturas_Odoo!$D:$D, 0)), "Sin Factura"))</f>
        <v/>
      </c>
      <c r="R2708" s="80">
        <f>IF(Q2708="Sin Factura","",IFERROR(INDEX(Facturas_Odoo!$A:$A, MATCH(Q2708, Facturas_Odoo!$B:$B, 0)), ""))</f>
        <v/>
      </c>
      <c r="S2708" s="79">
        <f>IF(Q2708="Sin Factura","",IFERROR(_xlfn.XLOOKUP(1, (Facturas_Odoo!$D:$D=A2708) * (Facturas_Odoo!$K:$K=I2708), Facturas_Odoo!$L:$L, ""), ""))</f>
        <v/>
      </c>
      <c r="T2708" s="81">
        <f>IF(Q2708="Sin Factura",0,IFERROR(_xlfn.XLOOKUP(1, (Facturas_Odoo!$D:$D=A2708) * (Facturas_Odoo!$K:$K=I2708), Facturas_Odoo!$M:$M, 0), 0))</f>
        <v/>
      </c>
      <c r="U2708" s="79">
        <f>IF(Q2708="Sin Factura",0,IFERROR(_xlfn.XLOOKUP(1, (Facturas_Odoo!$D:$D=A2708) * (Facturas_Odoo!$K:$K=I2708), Facturas_Odoo!$N:$N, 0), 0))</f>
        <v/>
      </c>
      <c r="V2708" s="79">
        <f>IF(Q2708="Sin Factura",0,IFERROR(_xlfn.XLOOKUP(1, (Facturas_Odoo!$D:$D=A2708) * (Facturas_Odoo!$K:$K=I2708), Facturas_Odoo!$O:$O, 0), 0))</f>
        <v/>
      </c>
      <c r="W2708" s="81">
        <f>IF(Q2708="Sin Factura",0,IFERROR(_xlfn.XLOOKUP(1, (Facturas_Odoo!$D:$D=A2708) * (Facturas_Odoo!$K:$K=I2708), Facturas_Odoo!$Q:$Q, 0), 0))</f>
        <v/>
      </c>
      <c r="X2708" s="79">
        <f>IF(OR(Q2708="Sin Factura",Q2708=""),"",IFERROR(INDEX(Pagos_Odoo!$B:$B, MATCH(Q2708, Pagos_Odoo!$I:$I, 0)), "Sin Pago"))</f>
        <v/>
      </c>
      <c r="Y2708" s="79">
        <f>IF(X2708="Sin Pago","",IFERROR(INDEX(Pagos_Odoo!$C:$C, MATCH(X2708, Pagos_Odoo!$B:$B, 0)), ""))</f>
        <v/>
      </c>
      <c r="Z2708" s="80">
        <f>IF(X2708="Sin Pago","",IFERROR(INDEX(Pagos_Odoo!$A:$A, MATCH(X2708, Pagos_Odoo!$B:$B, 0)), ""))</f>
        <v/>
      </c>
      <c r="AA2708" s="79">
        <f>IF(X2708="Sin Pago","",IFERROR(INDEX(Pagos_Odoo!$F:$F, MATCH(X2708, Pagos_Odoo!$B:$B, 0)), ""))</f>
        <v/>
      </c>
      <c r="AB2708" s="81">
        <f>IF(X2708="Sin Pago",0,IFERROR(INDEX(Pagos_Odoo!$E:$E, MATCH(X2708, Pagos_Odoo!$B:$B, 0)), 0))</f>
        <v/>
      </c>
      <c r="AC2708" s="79">
        <f>IF(X2708="Sin Pago","",IFERROR(INDEX(Pagos_Odoo!$G:$G, MATCH(X2708, Pagos_Odoo!$B:$B, 0)), ""))</f>
        <v/>
      </c>
      <c r="AD2708" s="82" t="n">
        <v>0</v>
      </c>
      <c r="AE2708" s="82" t="n"/>
      <c r="AF2708" s="82" t="n"/>
      <c r="AG2708" s="82">
        <f>IF(AN2708="","",AD2708+AE2708+AF2708)</f>
        <v/>
      </c>
      <c r="AH2708" s="81">
        <f>IF(AN2708="","",P2708*(1-AG2708))</f>
        <v/>
      </c>
      <c r="AI2708" s="81">
        <f>IF(AN2708="","",IF(Q2708="Sin Factura",0,IFERROR(INDEX(Facturas_Odoo!$H:$H, MATCH(Q2708, Facturas_Odoo!$B:$B, 0)), 0)*(1-AG2708)))</f>
        <v/>
      </c>
      <c r="AJ2708" s="81">
        <f>IF(AN2708="","",_xlfn.LET(idVenta, AN2708&amp;"",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08" s="81">
        <f>IF(AN2708="","",AH2708-AJ2708)</f>
        <v/>
      </c>
      <c r="AL2708" s="81">
        <f>IF(AN2708="","",IF(Q2708="Sin Factura","",AI2708-AJ2708))</f>
        <v/>
      </c>
      <c r="AM2708" s="81">
        <f>IF(AN2708="","",IF(Q2708="Sin Factura",0,P2708-IFERROR(INDEX(Facturas_Odoo!$H:$H, MATCH(Q2708, Facturas_Odoo!$B:$B, 0)), 0)))</f>
        <v/>
      </c>
      <c r="AN2708" s="79">
        <f>IF(AND(A2708="", J2708=""), "", IF(A2708&lt;&gt;"", VALUE(MID(A2708,2,LEN(A2708))), AN2707))</f>
        <v/>
      </c>
      <c r="AO2708" s="79">
        <f>IF(AN2708="","",IF(AD2708=0,"OK",_xlfn.LET(monedaPago, IF(AA2708="","USD",AA2708), limitePermitido, IFERROR(VLOOKUP(monedaPago, Configuración!$A$2:$B$3, 2, FALSE), 0.15), IF(AD2708&gt;limitePermitido, "ALERTA: EXCESO (" &amp; TEXT(limitePermitido, "0%") &amp; " máx)", "OK"))))</f>
        <v/>
      </c>
      <c r="AP2708" s="79">
        <f>IF(AN2708="","",IF(AE2708=0,"OK",_xlfn.LET(fechaPago, Z2708, fechaFactura, R2708, diasCredito, IF(E2708="Pago inmediato", 0, IFERROR(VALUE(MID(E2708, 1, SEARCH(" ", E2708)-1)),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08" s="79">
        <f>IF(AN2708="","",IF(AND(N2708&gt;0, AG2708&gt;0), IF(Configuración!$K$2="NO", "ALERTA: DESCUENTO DOBLE NO PERMITIDO", "OK"), "OK"))</f>
        <v/>
      </c>
      <c r="AR2708" s="79">
        <f>IF(AN2708="","",IF(OR(AO2708&lt;&gt;"OK", AP2708&lt;&gt;"OK", AQ2708&lt;&gt;"OK"), "⚠️ REVISAR", "OK"))</f>
        <v/>
      </c>
    </row>
    <row r="2709">
      <c r="A2709" s="79">
        <f>IF('Ordenes_Odoo'!A2709="","",'Ordenes_Odoo'!A2709)</f>
        <v/>
      </c>
      <c r="B2709" s="80">
        <f>IF('Ordenes_Odoo'!B2709="","",'Ordenes_Odoo'!B2709)</f>
        <v/>
      </c>
      <c r="C2709" s="79">
        <f>IF('Ordenes_Odoo'!C2709="","",'Ordenes_Odoo'!C2709)</f>
        <v/>
      </c>
      <c r="D2709" s="79">
        <f>IF('Ordenes_Odoo'!D2709="","",'Ordenes_Odoo'!D2709)</f>
        <v/>
      </c>
      <c r="E2709" s="79">
        <f>IF('Ordenes_Odoo'!E2709="","",'Ordenes_Odoo'!E2709)</f>
        <v/>
      </c>
      <c r="F2709" s="79">
        <f>IF('Ordenes_Odoo'!F2709="","",'Ordenes_Odoo'!F2709)</f>
        <v/>
      </c>
      <c r="G2709" s="79">
        <f>IF('Ordenes_Odoo'!G2709="","",'Ordenes_Odoo'!G2709)</f>
        <v/>
      </c>
      <c r="H2709" s="79">
        <f>IF('Ordenes_Odoo'!H2709="","",'Ordenes_Odoo'!H2709)</f>
        <v/>
      </c>
      <c r="I2709" s="79">
        <f>IF('Ordenes_Odoo'!I2709="","",'Ordenes_Odoo'!I2709)</f>
        <v/>
      </c>
      <c r="J2709" s="79">
        <f>IF('Ordenes_Odoo'!J2709="","",'Ordenes_Odoo'!J2709)</f>
        <v/>
      </c>
      <c r="K2709" s="81">
        <f>IF('Ordenes_Odoo'!K2709="","",'Ordenes_Odoo'!K2709)</f>
        <v/>
      </c>
      <c r="L2709" s="81">
        <f>IF('Ordenes_Odoo'!L2709="","",'Ordenes_Odoo'!L2709)</f>
        <v/>
      </c>
      <c r="M2709" s="79">
        <f>IF('Ordenes_Odoo'!M2709="","",'Ordenes_Odoo'!M2709)</f>
        <v/>
      </c>
      <c r="N2709" s="79">
        <f>IF('Ordenes_Odoo'!N2709="","",'Ordenes_Odoo'!N2709)</f>
        <v/>
      </c>
      <c r="O2709" s="81">
        <f>IF('Ordenes_Odoo'!O2709="","",'Ordenes_Odoo'!O2709)</f>
        <v/>
      </c>
      <c r="P2709" s="81">
        <f>IF('Ordenes_Odoo'!P2709="","",'Ordenes_Odoo'!P2709)</f>
        <v/>
      </c>
      <c r="Q2709" s="79">
        <f>IF(A2709="","",IFERROR(INDEX(Facturas_Odoo!$B:$B, MATCH(A2709, Facturas_Odoo!$D:$D, 0)), "Sin Factura"))</f>
        <v/>
      </c>
      <c r="R2709" s="80">
        <f>IF(Q2709="Sin Factura","",IFERROR(INDEX(Facturas_Odoo!$A:$A, MATCH(Q2709, Facturas_Odoo!$B:$B, 0)), ""))</f>
        <v/>
      </c>
      <c r="S2709" s="79">
        <f>IF(Q2709="Sin Factura","",IFERROR(_xlfn.XLOOKUP(1, (Facturas_Odoo!$D:$D=A2709) * (Facturas_Odoo!$K:$K=I2709), Facturas_Odoo!$L:$L, ""), ""))</f>
        <v/>
      </c>
      <c r="T2709" s="81">
        <f>IF(Q2709="Sin Factura",0,IFERROR(_xlfn.XLOOKUP(1, (Facturas_Odoo!$D:$D=A2709) * (Facturas_Odoo!$K:$K=I2709), Facturas_Odoo!$M:$M, 0), 0))</f>
        <v/>
      </c>
      <c r="U2709" s="79">
        <f>IF(Q2709="Sin Factura",0,IFERROR(_xlfn.XLOOKUP(1, (Facturas_Odoo!$D:$D=A2709) * (Facturas_Odoo!$K:$K=I2709), Facturas_Odoo!$N:$N, 0), 0))</f>
        <v/>
      </c>
      <c r="V2709" s="79">
        <f>IF(Q2709="Sin Factura",0,IFERROR(_xlfn.XLOOKUP(1, (Facturas_Odoo!$D:$D=A2709) * (Facturas_Odoo!$K:$K=I2709), Facturas_Odoo!$O:$O, 0), 0))</f>
        <v/>
      </c>
      <c r="W2709" s="81">
        <f>IF(Q2709="Sin Factura",0,IFERROR(_xlfn.XLOOKUP(1, (Facturas_Odoo!$D:$D=A2709) * (Facturas_Odoo!$K:$K=I2709), Facturas_Odoo!$Q:$Q, 0), 0))</f>
        <v/>
      </c>
      <c r="X2709" s="79">
        <f>IF(OR(Q2709="Sin Factura",Q2709=""),"",IFERROR(INDEX(Pagos_Odoo!$B:$B, MATCH(Q2709, Pagos_Odoo!$I:$I, 0)), "Sin Pago"))</f>
        <v/>
      </c>
      <c r="Y2709" s="79">
        <f>IF(X2709="Sin Pago","",IFERROR(INDEX(Pagos_Odoo!$C:$C, MATCH(X2709, Pagos_Odoo!$B:$B, 0)), ""))</f>
        <v/>
      </c>
      <c r="Z2709" s="80">
        <f>IF(X2709="Sin Pago","",IFERROR(INDEX(Pagos_Odoo!$A:$A, MATCH(X2709, Pagos_Odoo!$B:$B, 0)), ""))</f>
        <v/>
      </c>
      <c r="AA2709" s="79">
        <f>IF(X2709="Sin Pago","",IFERROR(INDEX(Pagos_Odoo!$F:$F, MATCH(X2709, Pagos_Odoo!$B:$B, 0)), ""))</f>
        <v/>
      </c>
      <c r="AB2709" s="81">
        <f>IF(X2709="Sin Pago",0,IFERROR(INDEX(Pagos_Odoo!$E:$E, MATCH(X2709, Pagos_Odoo!$B:$B, 0)), 0))</f>
        <v/>
      </c>
      <c r="AC2709" s="79">
        <f>IF(X2709="Sin Pago","",IFERROR(INDEX(Pagos_Odoo!$G:$G, MATCH(X2709, Pagos_Odoo!$B:$B, 0)), ""))</f>
        <v/>
      </c>
      <c r="AD2709" s="82" t="n">
        <v>0</v>
      </c>
      <c r="AE2709" s="82" t="n"/>
      <c r="AF2709" s="82" t="n"/>
      <c r="AG2709" s="82">
        <f>IF(AN2709="","",AD2709+AE2709+AF2709)</f>
        <v/>
      </c>
      <c r="AH2709" s="81">
        <f>IF(AN2709="","",P2709*(1-AG2709))</f>
        <v/>
      </c>
      <c r="AI2709" s="81">
        <f>IF(AN2709="","",IF(Q2709="Sin Factura",0,IFERROR(INDEX(Facturas_Odoo!$H:$H, MATCH(Q2709, Facturas_Odoo!$B:$B, 0)), 0)*(1-AG2709)))</f>
        <v/>
      </c>
      <c r="AJ2709" s="81">
        <f>IF(AN2709="","",_xlfn.LET(idVenta, AN2709&amp;"",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09" s="81">
        <f>IF(AN2709="","",AH2709-AJ2709)</f>
        <v/>
      </c>
      <c r="AL2709" s="81">
        <f>IF(AN2709="","",IF(Q2709="Sin Factura","",AI2709-AJ2709))</f>
        <v/>
      </c>
      <c r="AM2709" s="81">
        <f>IF(AN2709="","",IF(Q2709="Sin Factura",0,P2709-IFERROR(INDEX(Facturas_Odoo!$H:$H, MATCH(Q2709, Facturas_Odoo!$B:$B, 0)), 0)))</f>
        <v/>
      </c>
      <c r="AN2709" s="79">
        <f>IF(AND(A2709="", J2709=""), "", IF(A2709&lt;&gt;"", VALUE(MID(A2709,2,LEN(A2709))), AN2708))</f>
        <v/>
      </c>
      <c r="AO2709" s="79">
        <f>IF(AN2709="","",IF(AD2709=0,"OK",_xlfn.LET(monedaPago, IF(AA2709="","USD",AA2709), limitePermitido, IFERROR(VLOOKUP(monedaPago, Configuración!$A$2:$B$3, 2, FALSE), 0.15), IF(AD2709&gt;limitePermitido, "ALERTA: EXCESO (" &amp; TEXT(limitePermitido, "0%") &amp; " máx)", "OK"))))</f>
        <v/>
      </c>
      <c r="AP2709" s="79">
        <f>IF(AN2709="","",IF(AE2709=0,"OK",_xlfn.LET(fechaPago, Z2709, fechaFactura, R2709, diasCredito, IF(E2709="Pago inmediato", 0, IFERROR(VALUE(MID(E2709, 1, SEARCH(" ", E2709)-1)),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09" s="79">
        <f>IF(AN2709="","",IF(AND(N2709&gt;0, AG2709&gt;0), IF(Configuración!$K$2="NO", "ALERTA: DESCUENTO DOBLE NO PERMITIDO", "OK"), "OK"))</f>
        <v/>
      </c>
      <c r="AR2709" s="79">
        <f>IF(AN2709="","",IF(OR(AO2709&lt;&gt;"OK", AP2709&lt;&gt;"OK", AQ2709&lt;&gt;"OK"), "⚠️ REVISAR", "OK"))</f>
        <v/>
      </c>
    </row>
    <row r="2710">
      <c r="A2710" s="79">
        <f>IF('Ordenes_Odoo'!A2710="","",'Ordenes_Odoo'!A2710)</f>
        <v/>
      </c>
      <c r="B2710" s="80">
        <f>IF('Ordenes_Odoo'!B2710="","",'Ordenes_Odoo'!B2710)</f>
        <v/>
      </c>
      <c r="C2710" s="79">
        <f>IF('Ordenes_Odoo'!C2710="","",'Ordenes_Odoo'!C2710)</f>
        <v/>
      </c>
      <c r="D2710" s="79">
        <f>IF('Ordenes_Odoo'!D2710="","",'Ordenes_Odoo'!D2710)</f>
        <v/>
      </c>
      <c r="E2710" s="79">
        <f>IF('Ordenes_Odoo'!E2710="","",'Ordenes_Odoo'!E2710)</f>
        <v/>
      </c>
      <c r="F2710" s="79">
        <f>IF('Ordenes_Odoo'!F2710="","",'Ordenes_Odoo'!F2710)</f>
        <v/>
      </c>
      <c r="G2710" s="79">
        <f>IF('Ordenes_Odoo'!G2710="","",'Ordenes_Odoo'!G2710)</f>
        <v/>
      </c>
      <c r="H2710" s="79">
        <f>IF('Ordenes_Odoo'!H2710="","",'Ordenes_Odoo'!H2710)</f>
        <v/>
      </c>
      <c r="I2710" s="79">
        <f>IF('Ordenes_Odoo'!I2710="","",'Ordenes_Odoo'!I2710)</f>
        <v/>
      </c>
      <c r="J2710" s="79">
        <f>IF('Ordenes_Odoo'!J2710="","",'Ordenes_Odoo'!J2710)</f>
        <v/>
      </c>
      <c r="K2710" s="81">
        <f>IF('Ordenes_Odoo'!K2710="","",'Ordenes_Odoo'!K2710)</f>
        <v/>
      </c>
      <c r="L2710" s="81">
        <f>IF('Ordenes_Odoo'!L2710="","",'Ordenes_Odoo'!L2710)</f>
        <v/>
      </c>
      <c r="M2710" s="79">
        <f>IF('Ordenes_Odoo'!M2710="","",'Ordenes_Odoo'!M2710)</f>
        <v/>
      </c>
      <c r="N2710" s="79">
        <f>IF('Ordenes_Odoo'!N2710="","",'Ordenes_Odoo'!N2710)</f>
        <v/>
      </c>
      <c r="O2710" s="81">
        <f>IF('Ordenes_Odoo'!O2710="","",'Ordenes_Odoo'!O2710)</f>
        <v/>
      </c>
      <c r="P2710" s="81">
        <f>IF('Ordenes_Odoo'!P2710="","",'Ordenes_Odoo'!P2710)</f>
        <v/>
      </c>
      <c r="Q2710" s="79">
        <f>IF(A2710="","",IFERROR(INDEX(Facturas_Odoo!$B:$B, MATCH(A2710, Facturas_Odoo!$D:$D, 0)), "Sin Factura"))</f>
        <v/>
      </c>
      <c r="R2710" s="80">
        <f>IF(Q2710="Sin Factura","",IFERROR(INDEX(Facturas_Odoo!$A:$A, MATCH(Q2710, Facturas_Odoo!$B:$B, 0)), ""))</f>
        <v/>
      </c>
      <c r="S2710" s="79">
        <f>IF(Q2710="Sin Factura","",IFERROR(_xlfn.XLOOKUP(1, (Facturas_Odoo!$D:$D=A2710) * (Facturas_Odoo!$K:$K=I2710), Facturas_Odoo!$L:$L, ""), ""))</f>
        <v/>
      </c>
      <c r="T2710" s="81">
        <f>IF(Q2710="Sin Factura",0,IFERROR(_xlfn.XLOOKUP(1, (Facturas_Odoo!$D:$D=A2710) * (Facturas_Odoo!$K:$K=I2710), Facturas_Odoo!$M:$M, 0), 0))</f>
        <v/>
      </c>
      <c r="U2710" s="79">
        <f>IF(Q2710="Sin Factura",0,IFERROR(_xlfn.XLOOKUP(1, (Facturas_Odoo!$D:$D=A2710) * (Facturas_Odoo!$K:$K=I2710), Facturas_Odoo!$N:$N, 0), 0))</f>
        <v/>
      </c>
      <c r="V2710" s="79">
        <f>IF(Q2710="Sin Factura",0,IFERROR(_xlfn.XLOOKUP(1, (Facturas_Odoo!$D:$D=A2710) * (Facturas_Odoo!$K:$K=I2710), Facturas_Odoo!$O:$O, 0), 0))</f>
        <v/>
      </c>
      <c r="W2710" s="81">
        <f>IF(Q2710="Sin Factura",0,IFERROR(_xlfn.XLOOKUP(1, (Facturas_Odoo!$D:$D=A2710) * (Facturas_Odoo!$K:$K=I2710), Facturas_Odoo!$Q:$Q, 0), 0))</f>
        <v/>
      </c>
      <c r="X2710" s="79">
        <f>IF(OR(Q2710="Sin Factura",Q2710=""),"",IFERROR(INDEX(Pagos_Odoo!$B:$B, MATCH(Q2710, Pagos_Odoo!$I:$I, 0)), "Sin Pago"))</f>
        <v/>
      </c>
      <c r="Y2710" s="79">
        <f>IF(X2710="Sin Pago","",IFERROR(INDEX(Pagos_Odoo!$C:$C, MATCH(X2710, Pagos_Odoo!$B:$B, 0)), ""))</f>
        <v/>
      </c>
      <c r="Z2710" s="80">
        <f>IF(X2710="Sin Pago","",IFERROR(INDEX(Pagos_Odoo!$A:$A, MATCH(X2710, Pagos_Odoo!$B:$B, 0)), ""))</f>
        <v/>
      </c>
      <c r="AA2710" s="79">
        <f>IF(X2710="Sin Pago","",IFERROR(INDEX(Pagos_Odoo!$F:$F, MATCH(X2710, Pagos_Odoo!$B:$B, 0)), ""))</f>
        <v/>
      </c>
      <c r="AB2710" s="81">
        <f>IF(X2710="Sin Pago",0,IFERROR(INDEX(Pagos_Odoo!$E:$E, MATCH(X2710, Pagos_Odoo!$B:$B, 0)), 0))</f>
        <v/>
      </c>
      <c r="AC2710" s="79">
        <f>IF(X2710="Sin Pago","",IFERROR(INDEX(Pagos_Odoo!$G:$G, MATCH(X2710, Pagos_Odoo!$B:$B, 0)), ""))</f>
        <v/>
      </c>
      <c r="AD2710" s="82" t="n">
        <v>0</v>
      </c>
      <c r="AE2710" s="82" t="n"/>
      <c r="AF2710" s="82" t="n"/>
      <c r="AG2710" s="82">
        <f>IF(AN2710="","",AD2710+AE2710+AF2710)</f>
        <v/>
      </c>
      <c r="AH2710" s="81">
        <f>IF(AN2710="","",P2710*(1-AG2710))</f>
        <v/>
      </c>
      <c r="AI2710" s="81">
        <f>IF(AN2710="","",IF(Q2710="Sin Factura",0,IFERROR(INDEX(Facturas_Odoo!$H:$H, MATCH(Q2710, Facturas_Odoo!$B:$B, 0)), 0)*(1-AG2710)))</f>
        <v/>
      </c>
      <c r="AJ2710" s="81">
        <f>IF(AN2710="","",_xlfn.LET(idVenta, AN2710&amp;"",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10" s="81">
        <f>IF(AN2710="","",AH2710-AJ2710)</f>
        <v/>
      </c>
      <c r="AL2710" s="81">
        <f>IF(AN2710="","",IF(Q2710="Sin Factura","",AI2710-AJ2710))</f>
        <v/>
      </c>
      <c r="AM2710" s="81">
        <f>IF(AN2710="","",IF(Q2710="Sin Factura",0,P2710-IFERROR(INDEX(Facturas_Odoo!$H:$H, MATCH(Q2710, Facturas_Odoo!$B:$B, 0)), 0)))</f>
        <v/>
      </c>
      <c r="AN2710" s="79">
        <f>IF(AND(A2710="", J2710=""), "", IF(A2710&lt;&gt;"", VALUE(MID(A2710,2,LEN(A2710))), AN2709))</f>
        <v/>
      </c>
      <c r="AO2710" s="79">
        <f>IF(AN2710="","",IF(AD2710=0,"OK",_xlfn.LET(monedaPago, IF(AA2710="","USD",AA2710), limitePermitido, IFERROR(VLOOKUP(monedaPago, Configuración!$A$2:$B$3, 2, FALSE), 0.15), IF(AD2710&gt;limitePermitido, "ALERTA: EXCESO (" &amp; TEXT(limitePermitido, "0%") &amp; " máx)", "OK"))))</f>
        <v/>
      </c>
      <c r="AP2710" s="79">
        <f>IF(AN2710="","",IF(AE2710=0,"OK",_xlfn.LET(fechaPago, Z2710, fechaFactura, R2710, diasCredito, IF(E2710="Pago inmediato", 0, IFERROR(VALUE(MID(E2710, 1, SEARCH(" ", E2710)-1)),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10" s="79">
        <f>IF(AN2710="","",IF(AND(N2710&gt;0, AG2710&gt;0), IF(Configuración!$K$2="NO", "ALERTA: DESCUENTO DOBLE NO PERMITIDO", "OK"), "OK"))</f>
        <v/>
      </c>
      <c r="AR2710" s="79">
        <f>IF(AN2710="","",IF(OR(AO2710&lt;&gt;"OK", AP2710&lt;&gt;"OK", AQ2710&lt;&gt;"OK"), "⚠️ REVISAR", "OK"))</f>
        <v/>
      </c>
    </row>
    <row r="2711">
      <c r="A2711" s="79">
        <f>IF('Ordenes_Odoo'!A2711="","",'Ordenes_Odoo'!A2711)</f>
        <v/>
      </c>
      <c r="B2711" s="80">
        <f>IF('Ordenes_Odoo'!B2711="","",'Ordenes_Odoo'!B2711)</f>
        <v/>
      </c>
      <c r="C2711" s="79">
        <f>IF('Ordenes_Odoo'!C2711="","",'Ordenes_Odoo'!C2711)</f>
        <v/>
      </c>
      <c r="D2711" s="79">
        <f>IF('Ordenes_Odoo'!D2711="","",'Ordenes_Odoo'!D2711)</f>
        <v/>
      </c>
      <c r="E2711" s="79">
        <f>IF('Ordenes_Odoo'!E2711="","",'Ordenes_Odoo'!E2711)</f>
        <v/>
      </c>
      <c r="F2711" s="79">
        <f>IF('Ordenes_Odoo'!F2711="","",'Ordenes_Odoo'!F2711)</f>
        <v/>
      </c>
      <c r="G2711" s="79">
        <f>IF('Ordenes_Odoo'!G2711="","",'Ordenes_Odoo'!G2711)</f>
        <v/>
      </c>
      <c r="H2711" s="79">
        <f>IF('Ordenes_Odoo'!H2711="","",'Ordenes_Odoo'!H2711)</f>
        <v/>
      </c>
      <c r="I2711" s="79">
        <f>IF('Ordenes_Odoo'!I2711="","",'Ordenes_Odoo'!I2711)</f>
        <v/>
      </c>
      <c r="J2711" s="79">
        <f>IF('Ordenes_Odoo'!J2711="","",'Ordenes_Odoo'!J2711)</f>
        <v/>
      </c>
      <c r="K2711" s="81">
        <f>IF('Ordenes_Odoo'!K2711="","",'Ordenes_Odoo'!K2711)</f>
        <v/>
      </c>
      <c r="L2711" s="81">
        <f>IF('Ordenes_Odoo'!L2711="","",'Ordenes_Odoo'!L2711)</f>
        <v/>
      </c>
      <c r="M2711" s="79">
        <f>IF('Ordenes_Odoo'!M2711="","",'Ordenes_Odoo'!M2711)</f>
        <v/>
      </c>
      <c r="N2711" s="79">
        <f>IF('Ordenes_Odoo'!N2711="","",'Ordenes_Odoo'!N2711)</f>
        <v/>
      </c>
      <c r="O2711" s="81">
        <f>IF('Ordenes_Odoo'!O2711="","",'Ordenes_Odoo'!O2711)</f>
        <v/>
      </c>
      <c r="P2711" s="81">
        <f>IF('Ordenes_Odoo'!P2711="","",'Ordenes_Odoo'!P2711)</f>
        <v/>
      </c>
      <c r="Q2711" s="79">
        <f>IF(A2711="","",IFERROR(INDEX(Facturas_Odoo!$B:$B, MATCH(A2711, Facturas_Odoo!$D:$D, 0)), "Sin Factura"))</f>
        <v/>
      </c>
      <c r="R2711" s="80">
        <f>IF(Q2711="Sin Factura","",IFERROR(INDEX(Facturas_Odoo!$A:$A, MATCH(Q2711, Facturas_Odoo!$B:$B, 0)), ""))</f>
        <v/>
      </c>
      <c r="S2711" s="79">
        <f>IF(Q2711="Sin Factura","",IFERROR(_xlfn.XLOOKUP(1, (Facturas_Odoo!$D:$D=A2711) * (Facturas_Odoo!$K:$K=I2711), Facturas_Odoo!$L:$L, ""), ""))</f>
        <v/>
      </c>
      <c r="T2711" s="81">
        <f>IF(Q2711="Sin Factura",0,IFERROR(_xlfn.XLOOKUP(1, (Facturas_Odoo!$D:$D=A2711) * (Facturas_Odoo!$K:$K=I2711), Facturas_Odoo!$M:$M, 0), 0))</f>
        <v/>
      </c>
      <c r="U2711" s="79">
        <f>IF(Q2711="Sin Factura",0,IFERROR(_xlfn.XLOOKUP(1, (Facturas_Odoo!$D:$D=A2711) * (Facturas_Odoo!$K:$K=I2711), Facturas_Odoo!$N:$N, 0), 0))</f>
        <v/>
      </c>
      <c r="V2711" s="79">
        <f>IF(Q2711="Sin Factura",0,IFERROR(_xlfn.XLOOKUP(1, (Facturas_Odoo!$D:$D=A2711) * (Facturas_Odoo!$K:$K=I2711), Facturas_Odoo!$O:$O, 0), 0))</f>
        <v/>
      </c>
      <c r="W2711" s="81">
        <f>IF(Q2711="Sin Factura",0,IFERROR(_xlfn.XLOOKUP(1, (Facturas_Odoo!$D:$D=A2711) * (Facturas_Odoo!$K:$K=I2711), Facturas_Odoo!$Q:$Q, 0), 0))</f>
        <v/>
      </c>
      <c r="X2711" s="79">
        <f>IF(OR(Q2711="Sin Factura",Q2711=""),"",IFERROR(INDEX(Pagos_Odoo!$B:$B, MATCH(Q2711, Pagos_Odoo!$I:$I, 0)), "Sin Pago"))</f>
        <v/>
      </c>
      <c r="Y2711" s="79">
        <f>IF(X2711="Sin Pago","",IFERROR(INDEX(Pagos_Odoo!$C:$C, MATCH(X2711, Pagos_Odoo!$B:$B, 0)), ""))</f>
        <v/>
      </c>
      <c r="Z2711" s="80">
        <f>IF(X2711="Sin Pago","",IFERROR(INDEX(Pagos_Odoo!$A:$A, MATCH(X2711, Pagos_Odoo!$B:$B, 0)), ""))</f>
        <v/>
      </c>
      <c r="AA2711" s="79">
        <f>IF(X2711="Sin Pago","",IFERROR(INDEX(Pagos_Odoo!$F:$F, MATCH(X2711, Pagos_Odoo!$B:$B, 0)), ""))</f>
        <v/>
      </c>
      <c r="AB2711" s="81">
        <f>IF(X2711="Sin Pago",0,IFERROR(INDEX(Pagos_Odoo!$E:$E, MATCH(X2711, Pagos_Odoo!$B:$B, 0)), 0))</f>
        <v/>
      </c>
      <c r="AC2711" s="79">
        <f>IF(X2711="Sin Pago","",IFERROR(INDEX(Pagos_Odoo!$G:$G, MATCH(X2711, Pagos_Odoo!$B:$B, 0)), ""))</f>
        <v/>
      </c>
      <c r="AD2711" s="82" t="n">
        <v>0</v>
      </c>
      <c r="AE2711" s="82" t="n"/>
      <c r="AF2711" s="82" t="n"/>
      <c r="AG2711" s="82">
        <f>IF(AN2711="","",AD2711+AE2711+AF2711)</f>
        <v/>
      </c>
      <c r="AH2711" s="81">
        <f>IF(AN2711="","",P2711*(1-AG2711))</f>
        <v/>
      </c>
      <c r="AI2711" s="81">
        <f>IF(AN2711="","",IF(Q2711="Sin Factura",0,IFERROR(INDEX(Facturas_Odoo!$H:$H, MATCH(Q2711, Facturas_Odoo!$B:$B, 0)), 0)*(1-AG2711)))</f>
        <v/>
      </c>
      <c r="AJ2711" s="81">
        <f>IF(AN2711="","",_xlfn.LET(idVenta, AN2711&amp;"",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11" s="81">
        <f>IF(AN2711="","",AH2711-AJ2711)</f>
        <v/>
      </c>
      <c r="AL2711" s="81">
        <f>IF(AN2711="","",IF(Q2711="Sin Factura","",AI2711-AJ2711))</f>
        <v/>
      </c>
      <c r="AM2711" s="81">
        <f>IF(AN2711="","",IF(Q2711="Sin Factura",0,P2711-IFERROR(INDEX(Facturas_Odoo!$H:$H, MATCH(Q2711, Facturas_Odoo!$B:$B, 0)), 0)))</f>
        <v/>
      </c>
      <c r="AN2711" s="79">
        <f>IF(AND(A2711="", J2711=""), "", IF(A2711&lt;&gt;"", VALUE(MID(A2711,2,LEN(A2711))), AN2710))</f>
        <v/>
      </c>
      <c r="AO2711" s="79">
        <f>IF(AN2711="","",IF(AD2711=0,"OK",_xlfn.LET(monedaPago, IF(AA2711="","USD",AA2711), limitePermitido, IFERROR(VLOOKUP(monedaPago, Configuración!$A$2:$B$3, 2, FALSE), 0.15), IF(AD2711&gt;limitePermitido, "ALERTA: EXCESO (" &amp; TEXT(limitePermitido, "0%") &amp; " máx)", "OK"))))</f>
        <v/>
      </c>
      <c r="AP2711" s="79">
        <f>IF(AN2711="","",IF(AE2711=0,"OK",_xlfn.LET(fechaPago, Z2711, fechaFactura, R2711, diasCredito, IF(E2711="Pago inmediato", 0, IFERROR(VALUE(MID(E2711, 1, SEARCH(" ", E2711)-1)),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11" s="79">
        <f>IF(AN2711="","",IF(AND(N2711&gt;0, AG2711&gt;0), IF(Configuración!$K$2="NO", "ALERTA: DESCUENTO DOBLE NO PERMITIDO", "OK"), "OK"))</f>
        <v/>
      </c>
      <c r="AR2711" s="79">
        <f>IF(AN2711="","",IF(OR(AO2711&lt;&gt;"OK", AP2711&lt;&gt;"OK", AQ2711&lt;&gt;"OK"), "⚠️ REVISAR", "OK"))</f>
        <v/>
      </c>
    </row>
    <row r="2712">
      <c r="A2712" s="79">
        <f>IF('Ordenes_Odoo'!A2712="","",'Ordenes_Odoo'!A2712)</f>
        <v/>
      </c>
      <c r="B2712" s="80">
        <f>IF('Ordenes_Odoo'!B2712="","",'Ordenes_Odoo'!B2712)</f>
        <v/>
      </c>
      <c r="C2712" s="79">
        <f>IF('Ordenes_Odoo'!C2712="","",'Ordenes_Odoo'!C2712)</f>
        <v/>
      </c>
      <c r="D2712" s="79">
        <f>IF('Ordenes_Odoo'!D2712="","",'Ordenes_Odoo'!D2712)</f>
        <v/>
      </c>
      <c r="E2712" s="79">
        <f>IF('Ordenes_Odoo'!E2712="","",'Ordenes_Odoo'!E2712)</f>
        <v/>
      </c>
      <c r="F2712" s="79">
        <f>IF('Ordenes_Odoo'!F2712="","",'Ordenes_Odoo'!F2712)</f>
        <v/>
      </c>
      <c r="G2712" s="79">
        <f>IF('Ordenes_Odoo'!G2712="","",'Ordenes_Odoo'!G2712)</f>
        <v/>
      </c>
      <c r="H2712" s="79">
        <f>IF('Ordenes_Odoo'!H2712="","",'Ordenes_Odoo'!H2712)</f>
        <v/>
      </c>
      <c r="I2712" s="79">
        <f>IF('Ordenes_Odoo'!I2712="","",'Ordenes_Odoo'!I2712)</f>
        <v/>
      </c>
      <c r="J2712" s="79">
        <f>IF('Ordenes_Odoo'!J2712="","",'Ordenes_Odoo'!J2712)</f>
        <v/>
      </c>
      <c r="K2712" s="81">
        <f>IF('Ordenes_Odoo'!K2712="","",'Ordenes_Odoo'!K2712)</f>
        <v/>
      </c>
      <c r="L2712" s="81">
        <f>IF('Ordenes_Odoo'!L2712="","",'Ordenes_Odoo'!L2712)</f>
        <v/>
      </c>
      <c r="M2712" s="79">
        <f>IF('Ordenes_Odoo'!M2712="","",'Ordenes_Odoo'!M2712)</f>
        <v/>
      </c>
      <c r="N2712" s="79">
        <f>IF('Ordenes_Odoo'!N2712="","",'Ordenes_Odoo'!N2712)</f>
        <v/>
      </c>
      <c r="O2712" s="81">
        <f>IF('Ordenes_Odoo'!O2712="","",'Ordenes_Odoo'!O2712)</f>
        <v/>
      </c>
      <c r="P2712" s="81">
        <f>IF('Ordenes_Odoo'!P2712="","",'Ordenes_Odoo'!P2712)</f>
        <v/>
      </c>
      <c r="Q2712" s="79">
        <f>IF(A2712="","",IFERROR(INDEX(Facturas_Odoo!$B:$B, MATCH(A2712, Facturas_Odoo!$D:$D, 0)), "Sin Factura"))</f>
        <v/>
      </c>
      <c r="R2712" s="80">
        <f>IF(Q2712="Sin Factura","",IFERROR(INDEX(Facturas_Odoo!$A:$A, MATCH(Q2712, Facturas_Odoo!$B:$B, 0)), ""))</f>
        <v/>
      </c>
      <c r="S2712" s="79">
        <f>IF(Q2712="Sin Factura","",IFERROR(_xlfn.XLOOKUP(1, (Facturas_Odoo!$D:$D=A2712) * (Facturas_Odoo!$K:$K=I2712), Facturas_Odoo!$L:$L, ""), ""))</f>
        <v/>
      </c>
      <c r="T2712" s="81">
        <f>IF(Q2712="Sin Factura",0,IFERROR(_xlfn.XLOOKUP(1, (Facturas_Odoo!$D:$D=A2712) * (Facturas_Odoo!$K:$K=I2712), Facturas_Odoo!$M:$M, 0), 0))</f>
        <v/>
      </c>
      <c r="U2712" s="79">
        <f>IF(Q2712="Sin Factura",0,IFERROR(_xlfn.XLOOKUP(1, (Facturas_Odoo!$D:$D=A2712) * (Facturas_Odoo!$K:$K=I2712), Facturas_Odoo!$N:$N, 0), 0))</f>
        <v/>
      </c>
      <c r="V2712" s="79">
        <f>IF(Q2712="Sin Factura",0,IFERROR(_xlfn.XLOOKUP(1, (Facturas_Odoo!$D:$D=A2712) * (Facturas_Odoo!$K:$K=I2712), Facturas_Odoo!$O:$O, 0), 0))</f>
        <v/>
      </c>
      <c r="W2712" s="81">
        <f>IF(Q2712="Sin Factura",0,IFERROR(_xlfn.XLOOKUP(1, (Facturas_Odoo!$D:$D=A2712) * (Facturas_Odoo!$K:$K=I2712), Facturas_Odoo!$Q:$Q, 0), 0))</f>
        <v/>
      </c>
      <c r="X2712" s="79">
        <f>IF(OR(Q2712="Sin Factura",Q2712=""),"",IFERROR(INDEX(Pagos_Odoo!$B:$B, MATCH(Q2712, Pagos_Odoo!$I:$I, 0)), "Sin Pago"))</f>
        <v/>
      </c>
      <c r="Y2712" s="79">
        <f>IF(X2712="Sin Pago","",IFERROR(INDEX(Pagos_Odoo!$C:$C, MATCH(X2712, Pagos_Odoo!$B:$B, 0)), ""))</f>
        <v/>
      </c>
      <c r="Z2712" s="80">
        <f>IF(X2712="Sin Pago","",IFERROR(INDEX(Pagos_Odoo!$A:$A, MATCH(X2712, Pagos_Odoo!$B:$B, 0)), ""))</f>
        <v/>
      </c>
      <c r="AA2712" s="79">
        <f>IF(X2712="Sin Pago","",IFERROR(INDEX(Pagos_Odoo!$F:$F, MATCH(X2712, Pagos_Odoo!$B:$B, 0)), ""))</f>
        <v/>
      </c>
      <c r="AB2712" s="81">
        <f>IF(X2712="Sin Pago",0,IFERROR(INDEX(Pagos_Odoo!$E:$E, MATCH(X2712, Pagos_Odoo!$B:$B, 0)), 0))</f>
        <v/>
      </c>
      <c r="AC2712" s="79">
        <f>IF(X2712="Sin Pago","",IFERROR(INDEX(Pagos_Odoo!$G:$G, MATCH(X2712, Pagos_Odoo!$B:$B, 0)), ""))</f>
        <v/>
      </c>
      <c r="AD2712" s="82" t="n">
        <v>0</v>
      </c>
      <c r="AE2712" s="82" t="n"/>
      <c r="AF2712" s="82" t="n"/>
      <c r="AG2712" s="82">
        <f>IF(AN2712="","",AD2712+AE2712+AF2712)</f>
        <v/>
      </c>
      <c r="AH2712" s="81">
        <f>IF(AN2712="","",P2712*(1-AG2712))</f>
        <v/>
      </c>
      <c r="AI2712" s="81">
        <f>IF(AN2712="","",IF(Q2712="Sin Factura",0,IFERROR(INDEX(Facturas_Odoo!$H:$H, MATCH(Q2712, Facturas_Odoo!$B:$B, 0)), 0)*(1-AG2712)))</f>
        <v/>
      </c>
      <c r="AJ2712" s="81">
        <f>IF(AN2712="","",_xlfn.LET(idVenta, AN2712&amp;"",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12" s="81">
        <f>IF(AN2712="","",AH2712-AJ2712)</f>
        <v/>
      </c>
      <c r="AL2712" s="81">
        <f>IF(AN2712="","",IF(Q2712="Sin Factura","",AI2712-AJ2712))</f>
        <v/>
      </c>
      <c r="AM2712" s="81">
        <f>IF(AN2712="","",IF(Q2712="Sin Factura",0,P2712-IFERROR(INDEX(Facturas_Odoo!$H:$H, MATCH(Q2712, Facturas_Odoo!$B:$B, 0)), 0)))</f>
        <v/>
      </c>
      <c r="AN2712" s="79">
        <f>IF(AND(A2712="", J2712=""), "", IF(A2712&lt;&gt;"", VALUE(MID(A2712,2,LEN(A2712))), AN2711))</f>
        <v/>
      </c>
      <c r="AO2712" s="79">
        <f>IF(AN2712="","",IF(AD2712=0,"OK",_xlfn.LET(monedaPago, IF(AA2712="","USD",AA2712), limitePermitido, IFERROR(VLOOKUP(monedaPago, Configuración!$A$2:$B$3, 2, FALSE), 0.15), IF(AD2712&gt;limitePermitido, "ALERTA: EXCESO (" &amp; TEXT(limitePermitido, "0%") &amp; " máx)", "OK"))))</f>
        <v/>
      </c>
      <c r="AP2712" s="79">
        <f>IF(AN2712="","",IF(AE2712=0,"OK",_xlfn.LET(fechaPago, Z2712, fechaFactura, R2712, diasCredito, IF(E2712="Pago inmediato", 0, IFERROR(VALUE(MID(E2712, 1, SEARCH(" ", E2712)-1)),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12" s="79">
        <f>IF(AN2712="","",IF(AND(N2712&gt;0, AG2712&gt;0), IF(Configuración!$K$2="NO", "ALERTA: DESCUENTO DOBLE NO PERMITIDO", "OK"), "OK"))</f>
        <v/>
      </c>
      <c r="AR2712" s="79">
        <f>IF(AN2712="","",IF(OR(AO2712&lt;&gt;"OK", AP2712&lt;&gt;"OK", AQ2712&lt;&gt;"OK"), "⚠️ REVISAR", "OK"))</f>
        <v/>
      </c>
    </row>
    <row r="2713">
      <c r="A2713" s="79">
        <f>IF('Ordenes_Odoo'!A2713="","",'Ordenes_Odoo'!A2713)</f>
        <v/>
      </c>
      <c r="B2713" s="80">
        <f>IF('Ordenes_Odoo'!B2713="","",'Ordenes_Odoo'!B2713)</f>
        <v/>
      </c>
      <c r="C2713" s="79">
        <f>IF('Ordenes_Odoo'!C2713="","",'Ordenes_Odoo'!C2713)</f>
        <v/>
      </c>
      <c r="D2713" s="79">
        <f>IF('Ordenes_Odoo'!D2713="","",'Ordenes_Odoo'!D2713)</f>
        <v/>
      </c>
      <c r="E2713" s="79">
        <f>IF('Ordenes_Odoo'!E2713="","",'Ordenes_Odoo'!E2713)</f>
        <v/>
      </c>
      <c r="F2713" s="79">
        <f>IF('Ordenes_Odoo'!F2713="","",'Ordenes_Odoo'!F2713)</f>
        <v/>
      </c>
      <c r="G2713" s="79">
        <f>IF('Ordenes_Odoo'!G2713="","",'Ordenes_Odoo'!G2713)</f>
        <v/>
      </c>
      <c r="H2713" s="79">
        <f>IF('Ordenes_Odoo'!H2713="","",'Ordenes_Odoo'!H2713)</f>
        <v/>
      </c>
      <c r="I2713" s="79">
        <f>IF('Ordenes_Odoo'!I2713="","",'Ordenes_Odoo'!I2713)</f>
        <v/>
      </c>
      <c r="J2713" s="79">
        <f>IF('Ordenes_Odoo'!J2713="","",'Ordenes_Odoo'!J2713)</f>
        <v/>
      </c>
      <c r="K2713" s="81">
        <f>IF('Ordenes_Odoo'!K2713="","",'Ordenes_Odoo'!K2713)</f>
        <v/>
      </c>
      <c r="L2713" s="81">
        <f>IF('Ordenes_Odoo'!L2713="","",'Ordenes_Odoo'!L2713)</f>
        <v/>
      </c>
      <c r="M2713" s="79">
        <f>IF('Ordenes_Odoo'!M2713="","",'Ordenes_Odoo'!M2713)</f>
        <v/>
      </c>
      <c r="N2713" s="79">
        <f>IF('Ordenes_Odoo'!N2713="","",'Ordenes_Odoo'!N2713)</f>
        <v/>
      </c>
      <c r="O2713" s="81">
        <f>IF('Ordenes_Odoo'!O2713="","",'Ordenes_Odoo'!O2713)</f>
        <v/>
      </c>
      <c r="P2713" s="81">
        <f>IF('Ordenes_Odoo'!P2713="","",'Ordenes_Odoo'!P2713)</f>
        <v/>
      </c>
      <c r="Q2713" s="79">
        <f>IF(A2713="","",IFERROR(INDEX(Facturas_Odoo!$B:$B, MATCH(A2713, Facturas_Odoo!$D:$D, 0)), "Sin Factura"))</f>
        <v/>
      </c>
      <c r="R2713" s="80">
        <f>IF(Q2713="Sin Factura","",IFERROR(INDEX(Facturas_Odoo!$A:$A, MATCH(Q2713, Facturas_Odoo!$B:$B, 0)), ""))</f>
        <v/>
      </c>
      <c r="S2713" s="79">
        <f>IF(Q2713="Sin Factura","",IFERROR(_xlfn.XLOOKUP(1, (Facturas_Odoo!$D:$D=A2713) * (Facturas_Odoo!$K:$K=I2713), Facturas_Odoo!$L:$L, ""), ""))</f>
        <v/>
      </c>
      <c r="T2713" s="81">
        <f>IF(Q2713="Sin Factura",0,IFERROR(_xlfn.XLOOKUP(1, (Facturas_Odoo!$D:$D=A2713) * (Facturas_Odoo!$K:$K=I2713), Facturas_Odoo!$M:$M, 0), 0))</f>
        <v/>
      </c>
      <c r="U2713" s="79">
        <f>IF(Q2713="Sin Factura",0,IFERROR(_xlfn.XLOOKUP(1, (Facturas_Odoo!$D:$D=A2713) * (Facturas_Odoo!$K:$K=I2713), Facturas_Odoo!$N:$N, 0), 0))</f>
        <v/>
      </c>
      <c r="V2713" s="79">
        <f>IF(Q2713="Sin Factura",0,IFERROR(_xlfn.XLOOKUP(1, (Facturas_Odoo!$D:$D=A2713) * (Facturas_Odoo!$K:$K=I2713), Facturas_Odoo!$O:$O, 0), 0))</f>
        <v/>
      </c>
      <c r="W2713" s="81">
        <f>IF(Q2713="Sin Factura",0,IFERROR(_xlfn.XLOOKUP(1, (Facturas_Odoo!$D:$D=A2713) * (Facturas_Odoo!$K:$K=I2713), Facturas_Odoo!$Q:$Q, 0), 0))</f>
        <v/>
      </c>
      <c r="X2713" s="79">
        <f>IF(OR(Q2713="Sin Factura",Q2713=""),"",IFERROR(INDEX(Pagos_Odoo!$B:$B, MATCH(Q2713, Pagos_Odoo!$I:$I, 0)), "Sin Pago"))</f>
        <v/>
      </c>
      <c r="Y2713" s="79">
        <f>IF(X2713="Sin Pago","",IFERROR(INDEX(Pagos_Odoo!$C:$C, MATCH(X2713, Pagos_Odoo!$B:$B, 0)), ""))</f>
        <v/>
      </c>
      <c r="Z2713" s="80">
        <f>IF(X2713="Sin Pago","",IFERROR(INDEX(Pagos_Odoo!$A:$A, MATCH(X2713, Pagos_Odoo!$B:$B, 0)), ""))</f>
        <v/>
      </c>
      <c r="AA2713" s="79">
        <f>IF(X2713="Sin Pago","",IFERROR(INDEX(Pagos_Odoo!$F:$F, MATCH(X2713, Pagos_Odoo!$B:$B, 0)), ""))</f>
        <v/>
      </c>
      <c r="AB2713" s="81">
        <f>IF(X2713="Sin Pago",0,IFERROR(INDEX(Pagos_Odoo!$E:$E, MATCH(X2713, Pagos_Odoo!$B:$B, 0)), 0))</f>
        <v/>
      </c>
      <c r="AC2713" s="79">
        <f>IF(X2713="Sin Pago","",IFERROR(INDEX(Pagos_Odoo!$G:$G, MATCH(X2713, Pagos_Odoo!$B:$B, 0)), ""))</f>
        <v/>
      </c>
      <c r="AD2713" s="82" t="n">
        <v>0</v>
      </c>
      <c r="AE2713" s="82" t="n"/>
      <c r="AF2713" s="82" t="n"/>
      <c r="AG2713" s="82">
        <f>IF(AN2713="","",AD2713+AE2713+AF2713)</f>
        <v/>
      </c>
      <c r="AH2713" s="81">
        <f>IF(AN2713="","",P2713*(1-AG2713))</f>
        <v/>
      </c>
      <c r="AI2713" s="81">
        <f>IF(AN2713="","",IF(Q2713="Sin Factura",0,IFERROR(INDEX(Facturas_Odoo!$H:$H, MATCH(Q2713, Facturas_Odoo!$B:$B, 0)), 0)*(1-AG2713)))</f>
        <v/>
      </c>
      <c r="AJ2713" s="81">
        <f>IF(AN2713="","",_xlfn.LET(idVenta, AN2713&amp;"",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13" s="81">
        <f>IF(AN2713="","",AH2713-AJ2713)</f>
        <v/>
      </c>
      <c r="AL2713" s="81">
        <f>IF(AN2713="","",IF(Q2713="Sin Factura","",AI2713-AJ2713))</f>
        <v/>
      </c>
      <c r="AM2713" s="81">
        <f>IF(AN2713="","",IF(Q2713="Sin Factura",0,P2713-IFERROR(INDEX(Facturas_Odoo!$H:$H, MATCH(Q2713, Facturas_Odoo!$B:$B, 0)), 0)))</f>
        <v/>
      </c>
      <c r="AN2713" s="79">
        <f>IF(AND(A2713="", J2713=""), "", IF(A2713&lt;&gt;"", VALUE(MID(A2713,2,LEN(A2713))), AN2712))</f>
        <v/>
      </c>
      <c r="AO2713" s="79">
        <f>IF(AN2713="","",IF(AD2713=0,"OK",_xlfn.LET(monedaPago, IF(AA2713="","USD",AA2713), limitePermitido, IFERROR(VLOOKUP(monedaPago, Configuración!$A$2:$B$3, 2, FALSE), 0.15), IF(AD2713&gt;limitePermitido, "ALERTA: EXCESO (" &amp; TEXT(limitePermitido, "0%") &amp; " máx)", "OK"))))</f>
        <v/>
      </c>
      <c r="AP2713" s="79">
        <f>IF(AN2713="","",IF(AE2713=0,"OK",_xlfn.LET(fechaPago, Z2713, fechaFactura, R2713, diasCredito, IF(E2713="Pago inmediato", 0, IFERROR(VALUE(MID(E2713, 1, SEARCH(" ", E2713)-1)),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13" s="79">
        <f>IF(AN2713="","",IF(AND(N2713&gt;0, AG2713&gt;0), IF(Configuración!$K$2="NO", "ALERTA: DESCUENTO DOBLE NO PERMITIDO", "OK"), "OK"))</f>
        <v/>
      </c>
      <c r="AR2713" s="79">
        <f>IF(AN2713="","",IF(OR(AO2713&lt;&gt;"OK", AP2713&lt;&gt;"OK", AQ2713&lt;&gt;"OK"), "⚠️ REVISAR", "OK"))</f>
        <v/>
      </c>
    </row>
    <row r="2714">
      <c r="A2714" s="79">
        <f>IF('Ordenes_Odoo'!A2714="","",'Ordenes_Odoo'!A2714)</f>
        <v/>
      </c>
      <c r="B2714" s="80">
        <f>IF('Ordenes_Odoo'!B2714="","",'Ordenes_Odoo'!B2714)</f>
        <v/>
      </c>
      <c r="C2714" s="79">
        <f>IF('Ordenes_Odoo'!C2714="","",'Ordenes_Odoo'!C2714)</f>
        <v/>
      </c>
      <c r="D2714" s="79">
        <f>IF('Ordenes_Odoo'!D2714="","",'Ordenes_Odoo'!D2714)</f>
        <v/>
      </c>
      <c r="E2714" s="79">
        <f>IF('Ordenes_Odoo'!E2714="","",'Ordenes_Odoo'!E2714)</f>
        <v/>
      </c>
      <c r="F2714" s="79">
        <f>IF('Ordenes_Odoo'!F2714="","",'Ordenes_Odoo'!F2714)</f>
        <v/>
      </c>
      <c r="G2714" s="79">
        <f>IF('Ordenes_Odoo'!G2714="","",'Ordenes_Odoo'!G2714)</f>
        <v/>
      </c>
      <c r="H2714" s="79">
        <f>IF('Ordenes_Odoo'!H2714="","",'Ordenes_Odoo'!H2714)</f>
        <v/>
      </c>
      <c r="I2714" s="79">
        <f>IF('Ordenes_Odoo'!I2714="","",'Ordenes_Odoo'!I2714)</f>
        <v/>
      </c>
      <c r="J2714" s="79">
        <f>IF('Ordenes_Odoo'!J2714="","",'Ordenes_Odoo'!J2714)</f>
        <v/>
      </c>
      <c r="K2714" s="81">
        <f>IF('Ordenes_Odoo'!K2714="","",'Ordenes_Odoo'!K2714)</f>
        <v/>
      </c>
      <c r="L2714" s="81">
        <f>IF('Ordenes_Odoo'!L2714="","",'Ordenes_Odoo'!L2714)</f>
        <v/>
      </c>
      <c r="M2714" s="79">
        <f>IF('Ordenes_Odoo'!M2714="","",'Ordenes_Odoo'!M2714)</f>
        <v/>
      </c>
      <c r="N2714" s="79">
        <f>IF('Ordenes_Odoo'!N2714="","",'Ordenes_Odoo'!N2714)</f>
        <v/>
      </c>
      <c r="O2714" s="81">
        <f>IF('Ordenes_Odoo'!O2714="","",'Ordenes_Odoo'!O2714)</f>
        <v/>
      </c>
      <c r="P2714" s="81">
        <f>IF('Ordenes_Odoo'!P2714="","",'Ordenes_Odoo'!P2714)</f>
        <v/>
      </c>
      <c r="Q2714" s="79">
        <f>IF(A2714="","",IFERROR(INDEX(Facturas_Odoo!$B:$B, MATCH(A2714, Facturas_Odoo!$D:$D, 0)), "Sin Factura"))</f>
        <v/>
      </c>
      <c r="R2714" s="80">
        <f>IF(Q2714="Sin Factura","",IFERROR(INDEX(Facturas_Odoo!$A:$A, MATCH(Q2714, Facturas_Odoo!$B:$B, 0)), ""))</f>
        <v/>
      </c>
      <c r="S2714" s="79">
        <f>IF(Q2714="Sin Factura","",IFERROR(_xlfn.XLOOKUP(1, (Facturas_Odoo!$D:$D=A2714) * (Facturas_Odoo!$K:$K=I2714), Facturas_Odoo!$L:$L, ""), ""))</f>
        <v/>
      </c>
      <c r="T2714" s="81">
        <f>IF(Q2714="Sin Factura",0,IFERROR(_xlfn.XLOOKUP(1, (Facturas_Odoo!$D:$D=A2714) * (Facturas_Odoo!$K:$K=I2714), Facturas_Odoo!$M:$M, 0), 0))</f>
        <v/>
      </c>
      <c r="U2714" s="79">
        <f>IF(Q2714="Sin Factura",0,IFERROR(_xlfn.XLOOKUP(1, (Facturas_Odoo!$D:$D=A2714) * (Facturas_Odoo!$K:$K=I2714), Facturas_Odoo!$N:$N, 0), 0))</f>
        <v/>
      </c>
      <c r="V2714" s="79">
        <f>IF(Q2714="Sin Factura",0,IFERROR(_xlfn.XLOOKUP(1, (Facturas_Odoo!$D:$D=A2714) * (Facturas_Odoo!$K:$K=I2714), Facturas_Odoo!$O:$O, 0), 0))</f>
        <v/>
      </c>
      <c r="W2714" s="81">
        <f>IF(Q2714="Sin Factura",0,IFERROR(_xlfn.XLOOKUP(1, (Facturas_Odoo!$D:$D=A2714) * (Facturas_Odoo!$K:$K=I2714), Facturas_Odoo!$Q:$Q, 0), 0))</f>
        <v/>
      </c>
      <c r="X2714" s="79">
        <f>IF(OR(Q2714="Sin Factura",Q2714=""),"",IFERROR(INDEX(Pagos_Odoo!$B:$B, MATCH(Q2714, Pagos_Odoo!$I:$I, 0)), "Sin Pago"))</f>
        <v/>
      </c>
      <c r="Y2714" s="79">
        <f>IF(X2714="Sin Pago","",IFERROR(INDEX(Pagos_Odoo!$C:$C, MATCH(X2714, Pagos_Odoo!$B:$B, 0)), ""))</f>
        <v/>
      </c>
      <c r="Z2714" s="80">
        <f>IF(X2714="Sin Pago","",IFERROR(INDEX(Pagos_Odoo!$A:$A, MATCH(X2714, Pagos_Odoo!$B:$B, 0)), ""))</f>
        <v/>
      </c>
      <c r="AA2714" s="79">
        <f>IF(X2714="Sin Pago","",IFERROR(INDEX(Pagos_Odoo!$F:$F, MATCH(X2714, Pagos_Odoo!$B:$B, 0)), ""))</f>
        <v/>
      </c>
      <c r="AB2714" s="81">
        <f>IF(X2714="Sin Pago",0,IFERROR(INDEX(Pagos_Odoo!$E:$E, MATCH(X2714, Pagos_Odoo!$B:$B, 0)), 0))</f>
        <v/>
      </c>
      <c r="AC2714" s="79">
        <f>IF(X2714="Sin Pago","",IFERROR(INDEX(Pagos_Odoo!$G:$G, MATCH(X2714, Pagos_Odoo!$B:$B, 0)), ""))</f>
        <v/>
      </c>
      <c r="AD2714" s="82" t="n">
        <v>0</v>
      </c>
      <c r="AE2714" s="82" t="n"/>
      <c r="AF2714" s="82" t="n"/>
      <c r="AG2714" s="82">
        <f>IF(AN2714="","",AD2714+AE2714+AF2714)</f>
        <v/>
      </c>
      <c r="AH2714" s="81">
        <f>IF(AN2714="","",P2714*(1-AG2714))</f>
        <v/>
      </c>
      <c r="AI2714" s="81">
        <f>IF(AN2714="","",IF(Q2714="Sin Factura",0,IFERROR(INDEX(Facturas_Odoo!$H:$H, MATCH(Q2714, Facturas_Odoo!$B:$B, 0)), 0)*(1-AG2714)))</f>
        <v/>
      </c>
      <c r="AJ2714" s="81">
        <f>IF(AN2714="","",_xlfn.LET(idVenta, AN2714&amp;"",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14" s="81">
        <f>IF(AN2714="","",AH2714-AJ2714)</f>
        <v/>
      </c>
      <c r="AL2714" s="81">
        <f>IF(AN2714="","",IF(Q2714="Sin Factura","",AI2714-AJ2714))</f>
        <v/>
      </c>
      <c r="AM2714" s="81">
        <f>IF(AN2714="","",IF(Q2714="Sin Factura",0,P2714-IFERROR(INDEX(Facturas_Odoo!$H:$H, MATCH(Q2714, Facturas_Odoo!$B:$B, 0)), 0)))</f>
        <v/>
      </c>
      <c r="AN2714" s="79">
        <f>IF(AND(A2714="", J2714=""), "", IF(A2714&lt;&gt;"", VALUE(MID(A2714,2,LEN(A2714))), AN2713))</f>
        <v/>
      </c>
      <c r="AO2714" s="79">
        <f>IF(AN2714="","",IF(AD2714=0,"OK",_xlfn.LET(monedaPago, IF(AA2714="","USD",AA2714), limitePermitido, IFERROR(VLOOKUP(monedaPago, Configuración!$A$2:$B$3, 2, FALSE), 0.15), IF(AD2714&gt;limitePermitido, "ALERTA: EXCESO (" &amp; TEXT(limitePermitido, "0%") &amp; " máx)", "OK"))))</f>
        <v/>
      </c>
      <c r="AP2714" s="79">
        <f>IF(AN2714="","",IF(AE2714=0,"OK",_xlfn.LET(fechaPago, Z2714, fechaFactura, R2714, diasCredito, IF(E2714="Pago inmediato", 0, IFERROR(VALUE(MID(E2714, 1, SEARCH(" ", E2714)-1)),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14" s="79">
        <f>IF(AN2714="","",IF(AND(N2714&gt;0, AG2714&gt;0), IF(Configuración!$K$2="NO", "ALERTA: DESCUENTO DOBLE NO PERMITIDO", "OK"), "OK"))</f>
        <v/>
      </c>
      <c r="AR2714" s="79">
        <f>IF(AN2714="","",IF(OR(AO2714&lt;&gt;"OK", AP2714&lt;&gt;"OK", AQ2714&lt;&gt;"OK"), "⚠️ REVISAR", "OK"))</f>
        <v/>
      </c>
    </row>
    <row r="2715">
      <c r="A2715" s="79">
        <f>IF('Ordenes_Odoo'!A2715="","",'Ordenes_Odoo'!A2715)</f>
        <v/>
      </c>
      <c r="B2715" s="80">
        <f>IF('Ordenes_Odoo'!B2715="","",'Ordenes_Odoo'!B2715)</f>
        <v/>
      </c>
      <c r="C2715" s="79">
        <f>IF('Ordenes_Odoo'!C2715="","",'Ordenes_Odoo'!C2715)</f>
        <v/>
      </c>
      <c r="D2715" s="79">
        <f>IF('Ordenes_Odoo'!D2715="","",'Ordenes_Odoo'!D2715)</f>
        <v/>
      </c>
      <c r="E2715" s="79">
        <f>IF('Ordenes_Odoo'!E2715="","",'Ordenes_Odoo'!E2715)</f>
        <v/>
      </c>
      <c r="F2715" s="79">
        <f>IF('Ordenes_Odoo'!F2715="","",'Ordenes_Odoo'!F2715)</f>
        <v/>
      </c>
      <c r="G2715" s="79">
        <f>IF('Ordenes_Odoo'!G2715="","",'Ordenes_Odoo'!G2715)</f>
        <v/>
      </c>
      <c r="H2715" s="79">
        <f>IF('Ordenes_Odoo'!H2715="","",'Ordenes_Odoo'!H2715)</f>
        <v/>
      </c>
      <c r="I2715" s="79">
        <f>IF('Ordenes_Odoo'!I2715="","",'Ordenes_Odoo'!I2715)</f>
        <v/>
      </c>
      <c r="J2715" s="79">
        <f>IF('Ordenes_Odoo'!J2715="","",'Ordenes_Odoo'!J2715)</f>
        <v/>
      </c>
      <c r="K2715" s="81">
        <f>IF('Ordenes_Odoo'!K2715="","",'Ordenes_Odoo'!K2715)</f>
        <v/>
      </c>
      <c r="L2715" s="81">
        <f>IF('Ordenes_Odoo'!L2715="","",'Ordenes_Odoo'!L2715)</f>
        <v/>
      </c>
      <c r="M2715" s="79">
        <f>IF('Ordenes_Odoo'!M2715="","",'Ordenes_Odoo'!M2715)</f>
        <v/>
      </c>
      <c r="N2715" s="79">
        <f>IF('Ordenes_Odoo'!N2715="","",'Ordenes_Odoo'!N2715)</f>
        <v/>
      </c>
      <c r="O2715" s="81">
        <f>IF('Ordenes_Odoo'!O2715="","",'Ordenes_Odoo'!O2715)</f>
        <v/>
      </c>
      <c r="P2715" s="81">
        <f>IF('Ordenes_Odoo'!P2715="","",'Ordenes_Odoo'!P2715)</f>
        <v/>
      </c>
      <c r="Q2715" s="79">
        <f>IF(A2715="","",IFERROR(INDEX(Facturas_Odoo!$B:$B, MATCH(A2715, Facturas_Odoo!$D:$D, 0)), "Sin Factura"))</f>
        <v/>
      </c>
      <c r="R2715" s="80">
        <f>IF(Q2715="Sin Factura","",IFERROR(INDEX(Facturas_Odoo!$A:$A, MATCH(Q2715, Facturas_Odoo!$B:$B, 0)), ""))</f>
        <v/>
      </c>
      <c r="S2715" s="79">
        <f>IF(Q2715="Sin Factura","",IFERROR(_xlfn.XLOOKUP(1, (Facturas_Odoo!$D:$D=A2715) * (Facturas_Odoo!$K:$K=I2715), Facturas_Odoo!$L:$L, ""), ""))</f>
        <v/>
      </c>
      <c r="T2715" s="81">
        <f>IF(Q2715="Sin Factura",0,IFERROR(_xlfn.XLOOKUP(1, (Facturas_Odoo!$D:$D=A2715) * (Facturas_Odoo!$K:$K=I2715), Facturas_Odoo!$M:$M, 0), 0))</f>
        <v/>
      </c>
      <c r="U2715" s="79">
        <f>IF(Q2715="Sin Factura",0,IFERROR(_xlfn.XLOOKUP(1, (Facturas_Odoo!$D:$D=A2715) * (Facturas_Odoo!$K:$K=I2715), Facturas_Odoo!$N:$N, 0), 0))</f>
        <v/>
      </c>
      <c r="V2715" s="79">
        <f>IF(Q2715="Sin Factura",0,IFERROR(_xlfn.XLOOKUP(1, (Facturas_Odoo!$D:$D=A2715) * (Facturas_Odoo!$K:$K=I2715), Facturas_Odoo!$O:$O, 0), 0))</f>
        <v/>
      </c>
      <c r="W2715" s="81">
        <f>IF(Q2715="Sin Factura",0,IFERROR(_xlfn.XLOOKUP(1, (Facturas_Odoo!$D:$D=A2715) * (Facturas_Odoo!$K:$K=I2715), Facturas_Odoo!$Q:$Q, 0), 0))</f>
        <v/>
      </c>
      <c r="X2715" s="79">
        <f>IF(OR(Q2715="Sin Factura",Q2715=""),"",IFERROR(INDEX(Pagos_Odoo!$B:$B, MATCH(Q2715, Pagos_Odoo!$I:$I, 0)), "Sin Pago"))</f>
        <v/>
      </c>
      <c r="Y2715" s="79">
        <f>IF(X2715="Sin Pago","",IFERROR(INDEX(Pagos_Odoo!$C:$C, MATCH(X2715, Pagos_Odoo!$B:$B, 0)), ""))</f>
        <v/>
      </c>
      <c r="Z2715" s="80">
        <f>IF(X2715="Sin Pago","",IFERROR(INDEX(Pagos_Odoo!$A:$A, MATCH(X2715, Pagos_Odoo!$B:$B, 0)), ""))</f>
        <v/>
      </c>
      <c r="AA2715" s="79">
        <f>IF(X2715="Sin Pago","",IFERROR(INDEX(Pagos_Odoo!$F:$F, MATCH(X2715, Pagos_Odoo!$B:$B, 0)), ""))</f>
        <v/>
      </c>
      <c r="AB2715" s="81">
        <f>IF(X2715="Sin Pago",0,IFERROR(INDEX(Pagos_Odoo!$E:$E, MATCH(X2715, Pagos_Odoo!$B:$B, 0)), 0))</f>
        <v/>
      </c>
      <c r="AC2715" s="79">
        <f>IF(X2715="Sin Pago","",IFERROR(INDEX(Pagos_Odoo!$G:$G, MATCH(X2715, Pagos_Odoo!$B:$B, 0)), ""))</f>
        <v/>
      </c>
      <c r="AD2715" s="82" t="n">
        <v>0</v>
      </c>
      <c r="AE2715" s="82" t="n"/>
      <c r="AF2715" s="82" t="n"/>
      <c r="AG2715" s="82">
        <f>IF(AN2715="","",AD2715+AE2715+AF2715)</f>
        <v/>
      </c>
      <c r="AH2715" s="81">
        <f>IF(AN2715="","",P2715*(1-AG2715))</f>
        <v/>
      </c>
      <c r="AI2715" s="81">
        <f>IF(AN2715="","",IF(Q2715="Sin Factura",0,IFERROR(INDEX(Facturas_Odoo!$H:$H, MATCH(Q2715, Facturas_Odoo!$B:$B, 0)), 0)*(1-AG2715)))</f>
        <v/>
      </c>
      <c r="AJ2715" s="81">
        <f>IF(AN2715="","",_xlfn.LET(idVenta, AN2715&amp;"",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15" s="81">
        <f>IF(AN2715="","",AH2715-AJ2715)</f>
        <v/>
      </c>
      <c r="AL2715" s="81">
        <f>IF(AN2715="","",IF(Q2715="Sin Factura","",AI2715-AJ2715))</f>
        <v/>
      </c>
      <c r="AM2715" s="81">
        <f>IF(AN2715="","",IF(Q2715="Sin Factura",0,P2715-IFERROR(INDEX(Facturas_Odoo!$H:$H, MATCH(Q2715, Facturas_Odoo!$B:$B, 0)), 0)))</f>
        <v/>
      </c>
      <c r="AN2715" s="79">
        <f>IF(AND(A2715="", J2715=""), "", IF(A2715&lt;&gt;"", VALUE(MID(A2715,2,LEN(A2715))), AN2714))</f>
        <v/>
      </c>
      <c r="AO2715" s="79">
        <f>IF(AN2715="","",IF(AD2715=0,"OK",_xlfn.LET(monedaPago, IF(AA2715="","USD",AA2715), limitePermitido, IFERROR(VLOOKUP(monedaPago, Configuración!$A$2:$B$3, 2, FALSE), 0.15), IF(AD2715&gt;limitePermitido, "ALERTA: EXCESO (" &amp; TEXT(limitePermitido, "0%") &amp; " máx)", "OK"))))</f>
        <v/>
      </c>
      <c r="AP2715" s="79">
        <f>IF(AN2715="","",IF(AE2715=0,"OK",_xlfn.LET(fechaPago, Z2715, fechaFactura, R2715, diasCredito, IF(E2715="Pago inmediato", 0, IFERROR(VALUE(MID(E2715, 1, SEARCH(" ", E2715)-1)),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15" s="79">
        <f>IF(AN2715="","",IF(AND(N2715&gt;0, AG2715&gt;0), IF(Configuración!$K$2="NO", "ALERTA: DESCUENTO DOBLE NO PERMITIDO", "OK"), "OK"))</f>
        <v/>
      </c>
      <c r="AR2715" s="79">
        <f>IF(AN2715="","",IF(OR(AO2715&lt;&gt;"OK", AP2715&lt;&gt;"OK", AQ2715&lt;&gt;"OK"), "⚠️ REVISAR", "OK"))</f>
        <v/>
      </c>
    </row>
    <row r="2716">
      <c r="A2716" s="79">
        <f>IF('Ordenes_Odoo'!A2716="","",'Ordenes_Odoo'!A2716)</f>
        <v/>
      </c>
      <c r="B2716" s="80">
        <f>IF('Ordenes_Odoo'!B2716="","",'Ordenes_Odoo'!B2716)</f>
        <v/>
      </c>
      <c r="C2716" s="79">
        <f>IF('Ordenes_Odoo'!C2716="","",'Ordenes_Odoo'!C2716)</f>
        <v/>
      </c>
      <c r="D2716" s="79">
        <f>IF('Ordenes_Odoo'!D2716="","",'Ordenes_Odoo'!D2716)</f>
        <v/>
      </c>
      <c r="E2716" s="79">
        <f>IF('Ordenes_Odoo'!E2716="","",'Ordenes_Odoo'!E2716)</f>
        <v/>
      </c>
      <c r="F2716" s="79">
        <f>IF('Ordenes_Odoo'!F2716="","",'Ordenes_Odoo'!F2716)</f>
        <v/>
      </c>
      <c r="G2716" s="79">
        <f>IF('Ordenes_Odoo'!G2716="","",'Ordenes_Odoo'!G2716)</f>
        <v/>
      </c>
      <c r="H2716" s="79">
        <f>IF('Ordenes_Odoo'!H2716="","",'Ordenes_Odoo'!H2716)</f>
        <v/>
      </c>
      <c r="I2716" s="79">
        <f>IF('Ordenes_Odoo'!I2716="","",'Ordenes_Odoo'!I2716)</f>
        <v/>
      </c>
      <c r="J2716" s="79">
        <f>IF('Ordenes_Odoo'!J2716="","",'Ordenes_Odoo'!J2716)</f>
        <v/>
      </c>
      <c r="K2716" s="81">
        <f>IF('Ordenes_Odoo'!K2716="","",'Ordenes_Odoo'!K2716)</f>
        <v/>
      </c>
      <c r="L2716" s="81">
        <f>IF('Ordenes_Odoo'!L2716="","",'Ordenes_Odoo'!L2716)</f>
        <v/>
      </c>
      <c r="M2716" s="79">
        <f>IF('Ordenes_Odoo'!M2716="","",'Ordenes_Odoo'!M2716)</f>
        <v/>
      </c>
      <c r="N2716" s="79">
        <f>IF('Ordenes_Odoo'!N2716="","",'Ordenes_Odoo'!N2716)</f>
        <v/>
      </c>
      <c r="O2716" s="81">
        <f>IF('Ordenes_Odoo'!O2716="","",'Ordenes_Odoo'!O2716)</f>
        <v/>
      </c>
      <c r="P2716" s="81">
        <f>IF('Ordenes_Odoo'!P2716="","",'Ordenes_Odoo'!P2716)</f>
        <v/>
      </c>
      <c r="Q2716" s="79">
        <f>IF(A2716="","",IFERROR(INDEX(Facturas_Odoo!$B:$B, MATCH(A2716, Facturas_Odoo!$D:$D, 0)), "Sin Factura"))</f>
        <v/>
      </c>
      <c r="R2716" s="80">
        <f>IF(Q2716="Sin Factura","",IFERROR(INDEX(Facturas_Odoo!$A:$A, MATCH(Q2716, Facturas_Odoo!$B:$B, 0)), ""))</f>
        <v/>
      </c>
      <c r="S2716" s="79">
        <f>IF(Q2716="Sin Factura","",IFERROR(_xlfn.XLOOKUP(1, (Facturas_Odoo!$D:$D=A2716) * (Facturas_Odoo!$K:$K=I2716), Facturas_Odoo!$L:$L, ""), ""))</f>
        <v/>
      </c>
      <c r="T2716" s="81">
        <f>IF(Q2716="Sin Factura",0,IFERROR(_xlfn.XLOOKUP(1, (Facturas_Odoo!$D:$D=A2716) * (Facturas_Odoo!$K:$K=I2716), Facturas_Odoo!$M:$M, 0), 0))</f>
        <v/>
      </c>
      <c r="U2716" s="79">
        <f>IF(Q2716="Sin Factura",0,IFERROR(_xlfn.XLOOKUP(1, (Facturas_Odoo!$D:$D=A2716) * (Facturas_Odoo!$K:$K=I2716), Facturas_Odoo!$N:$N, 0), 0))</f>
        <v/>
      </c>
      <c r="V2716" s="79">
        <f>IF(Q2716="Sin Factura",0,IFERROR(_xlfn.XLOOKUP(1, (Facturas_Odoo!$D:$D=A2716) * (Facturas_Odoo!$K:$K=I2716), Facturas_Odoo!$O:$O, 0), 0))</f>
        <v/>
      </c>
      <c r="W2716" s="81">
        <f>IF(Q2716="Sin Factura",0,IFERROR(_xlfn.XLOOKUP(1, (Facturas_Odoo!$D:$D=A2716) * (Facturas_Odoo!$K:$K=I2716), Facturas_Odoo!$Q:$Q, 0), 0))</f>
        <v/>
      </c>
      <c r="X2716" s="79">
        <f>IF(OR(Q2716="Sin Factura",Q2716=""),"",IFERROR(INDEX(Pagos_Odoo!$B:$B, MATCH(Q2716, Pagos_Odoo!$I:$I, 0)), "Sin Pago"))</f>
        <v/>
      </c>
      <c r="Y2716" s="79">
        <f>IF(X2716="Sin Pago","",IFERROR(INDEX(Pagos_Odoo!$C:$C, MATCH(X2716, Pagos_Odoo!$B:$B, 0)), ""))</f>
        <v/>
      </c>
      <c r="Z2716" s="80">
        <f>IF(X2716="Sin Pago","",IFERROR(INDEX(Pagos_Odoo!$A:$A, MATCH(X2716, Pagos_Odoo!$B:$B, 0)), ""))</f>
        <v/>
      </c>
      <c r="AA2716" s="79">
        <f>IF(X2716="Sin Pago","",IFERROR(INDEX(Pagos_Odoo!$F:$F, MATCH(X2716, Pagos_Odoo!$B:$B, 0)), ""))</f>
        <v/>
      </c>
      <c r="AB2716" s="81">
        <f>IF(X2716="Sin Pago",0,IFERROR(INDEX(Pagos_Odoo!$E:$E, MATCH(X2716, Pagos_Odoo!$B:$B, 0)), 0))</f>
        <v/>
      </c>
      <c r="AC2716" s="79">
        <f>IF(X2716="Sin Pago","",IFERROR(INDEX(Pagos_Odoo!$G:$G, MATCH(X2716, Pagos_Odoo!$B:$B, 0)), ""))</f>
        <v/>
      </c>
      <c r="AD2716" s="82" t="n">
        <v>0</v>
      </c>
      <c r="AE2716" s="82" t="n"/>
      <c r="AF2716" s="82" t="n"/>
      <c r="AG2716" s="82">
        <f>IF(AN2716="","",AD2716+AE2716+AF2716)</f>
        <v/>
      </c>
      <c r="AH2716" s="81">
        <f>IF(AN2716="","",P2716*(1-AG2716))</f>
        <v/>
      </c>
      <c r="AI2716" s="81">
        <f>IF(AN2716="","",IF(Q2716="Sin Factura",0,IFERROR(INDEX(Facturas_Odoo!$H:$H, MATCH(Q2716, Facturas_Odoo!$B:$B, 0)), 0)*(1-AG2716)))</f>
        <v/>
      </c>
      <c r="AJ2716" s="81">
        <f>IF(AN2716="","",_xlfn.LET(idVenta, AN2716&amp;"",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16" s="81">
        <f>IF(AN2716="","",AH2716-AJ2716)</f>
        <v/>
      </c>
      <c r="AL2716" s="81">
        <f>IF(AN2716="","",IF(Q2716="Sin Factura","",AI2716-AJ2716))</f>
        <v/>
      </c>
      <c r="AM2716" s="81">
        <f>IF(AN2716="","",IF(Q2716="Sin Factura",0,P2716-IFERROR(INDEX(Facturas_Odoo!$H:$H, MATCH(Q2716, Facturas_Odoo!$B:$B, 0)), 0)))</f>
        <v/>
      </c>
      <c r="AN2716" s="79">
        <f>IF(AND(A2716="", J2716=""), "", IF(A2716&lt;&gt;"", VALUE(MID(A2716,2,LEN(A2716))), AN2715))</f>
        <v/>
      </c>
      <c r="AO2716" s="79">
        <f>IF(AN2716="","",IF(AD2716=0,"OK",_xlfn.LET(monedaPago, IF(AA2716="","USD",AA2716), limitePermitido, IFERROR(VLOOKUP(monedaPago, Configuración!$A$2:$B$3, 2, FALSE), 0.15), IF(AD2716&gt;limitePermitido, "ALERTA: EXCESO (" &amp; TEXT(limitePermitido, "0%") &amp; " máx)", "OK"))))</f>
        <v/>
      </c>
      <c r="AP2716" s="79">
        <f>IF(AN2716="","",IF(AE2716=0,"OK",_xlfn.LET(fechaPago, Z2716, fechaFactura, R2716, diasCredito, IF(E2716="Pago inmediato", 0, IFERROR(VALUE(MID(E2716, 1, SEARCH(" ", E2716)-1)),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16" s="79">
        <f>IF(AN2716="","",IF(AND(N2716&gt;0, AG2716&gt;0), IF(Configuración!$K$2="NO", "ALERTA: DESCUENTO DOBLE NO PERMITIDO", "OK"), "OK"))</f>
        <v/>
      </c>
      <c r="AR2716" s="79">
        <f>IF(AN2716="","",IF(OR(AO2716&lt;&gt;"OK", AP2716&lt;&gt;"OK", AQ2716&lt;&gt;"OK"), "⚠️ REVISAR", "OK"))</f>
        <v/>
      </c>
    </row>
    <row r="2717">
      <c r="A2717" s="79">
        <f>IF('Ordenes_Odoo'!A2717="","",'Ordenes_Odoo'!A2717)</f>
        <v/>
      </c>
      <c r="B2717" s="80">
        <f>IF('Ordenes_Odoo'!B2717="","",'Ordenes_Odoo'!B2717)</f>
        <v/>
      </c>
      <c r="C2717" s="79">
        <f>IF('Ordenes_Odoo'!C2717="","",'Ordenes_Odoo'!C2717)</f>
        <v/>
      </c>
      <c r="D2717" s="79">
        <f>IF('Ordenes_Odoo'!D2717="","",'Ordenes_Odoo'!D2717)</f>
        <v/>
      </c>
      <c r="E2717" s="79">
        <f>IF('Ordenes_Odoo'!E2717="","",'Ordenes_Odoo'!E2717)</f>
        <v/>
      </c>
      <c r="F2717" s="79">
        <f>IF('Ordenes_Odoo'!F2717="","",'Ordenes_Odoo'!F2717)</f>
        <v/>
      </c>
      <c r="G2717" s="79">
        <f>IF('Ordenes_Odoo'!G2717="","",'Ordenes_Odoo'!G2717)</f>
        <v/>
      </c>
      <c r="H2717" s="79">
        <f>IF('Ordenes_Odoo'!H2717="","",'Ordenes_Odoo'!H2717)</f>
        <v/>
      </c>
      <c r="I2717" s="79">
        <f>IF('Ordenes_Odoo'!I2717="","",'Ordenes_Odoo'!I2717)</f>
        <v/>
      </c>
      <c r="J2717" s="79">
        <f>IF('Ordenes_Odoo'!J2717="","",'Ordenes_Odoo'!J2717)</f>
        <v/>
      </c>
      <c r="K2717" s="81">
        <f>IF('Ordenes_Odoo'!K2717="","",'Ordenes_Odoo'!K2717)</f>
        <v/>
      </c>
      <c r="L2717" s="81">
        <f>IF('Ordenes_Odoo'!L2717="","",'Ordenes_Odoo'!L2717)</f>
        <v/>
      </c>
      <c r="M2717" s="79">
        <f>IF('Ordenes_Odoo'!M2717="","",'Ordenes_Odoo'!M2717)</f>
        <v/>
      </c>
      <c r="N2717" s="79">
        <f>IF('Ordenes_Odoo'!N2717="","",'Ordenes_Odoo'!N2717)</f>
        <v/>
      </c>
      <c r="O2717" s="81">
        <f>IF('Ordenes_Odoo'!O2717="","",'Ordenes_Odoo'!O2717)</f>
        <v/>
      </c>
      <c r="P2717" s="81">
        <f>IF('Ordenes_Odoo'!P2717="","",'Ordenes_Odoo'!P2717)</f>
        <v/>
      </c>
      <c r="Q2717" s="79">
        <f>IF(A2717="","",IFERROR(INDEX(Facturas_Odoo!$B:$B, MATCH(A2717, Facturas_Odoo!$D:$D, 0)), "Sin Factura"))</f>
        <v/>
      </c>
      <c r="R2717" s="80">
        <f>IF(Q2717="Sin Factura","",IFERROR(INDEX(Facturas_Odoo!$A:$A, MATCH(Q2717, Facturas_Odoo!$B:$B, 0)), ""))</f>
        <v/>
      </c>
      <c r="S2717" s="79">
        <f>IF(Q2717="Sin Factura","",IFERROR(_xlfn.XLOOKUP(1, (Facturas_Odoo!$D:$D=A2717) * (Facturas_Odoo!$K:$K=I2717), Facturas_Odoo!$L:$L, ""), ""))</f>
        <v/>
      </c>
      <c r="T2717" s="81">
        <f>IF(Q2717="Sin Factura",0,IFERROR(_xlfn.XLOOKUP(1, (Facturas_Odoo!$D:$D=A2717) * (Facturas_Odoo!$K:$K=I2717), Facturas_Odoo!$M:$M, 0), 0))</f>
        <v/>
      </c>
      <c r="U2717" s="79">
        <f>IF(Q2717="Sin Factura",0,IFERROR(_xlfn.XLOOKUP(1, (Facturas_Odoo!$D:$D=A2717) * (Facturas_Odoo!$K:$K=I2717), Facturas_Odoo!$N:$N, 0), 0))</f>
        <v/>
      </c>
      <c r="V2717" s="79">
        <f>IF(Q2717="Sin Factura",0,IFERROR(_xlfn.XLOOKUP(1, (Facturas_Odoo!$D:$D=A2717) * (Facturas_Odoo!$K:$K=I2717), Facturas_Odoo!$O:$O, 0), 0))</f>
        <v/>
      </c>
      <c r="W2717" s="81">
        <f>IF(Q2717="Sin Factura",0,IFERROR(_xlfn.XLOOKUP(1, (Facturas_Odoo!$D:$D=A2717) * (Facturas_Odoo!$K:$K=I2717), Facturas_Odoo!$Q:$Q, 0), 0))</f>
        <v/>
      </c>
      <c r="X2717" s="79">
        <f>IF(OR(Q2717="Sin Factura",Q2717=""),"",IFERROR(INDEX(Pagos_Odoo!$B:$B, MATCH(Q2717, Pagos_Odoo!$I:$I, 0)), "Sin Pago"))</f>
        <v/>
      </c>
      <c r="Y2717" s="79">
        <f>IF(X2717="Sin Pago","",IFERROR(INDEX(Pagos_Odoo!$C:$C, MATCH(X2717, Pagos_Odoo!$B:$B, 0)), ""))</f>
        <v/>
      </c>
      <c r="Z2717" s="80">
        <f>IF(X2717="Sin Pago","",IFERROR(INDEX(Pagos_Odoo!$A:$A, MATCH(X2717, Pagos_Odoo!$B:$B, 0)), ""))</f>
        <v/>
      </c>
      <c r="AA2717" s="79">
        <f>IF(X2717="Sin Pago","",IFERROR(INDEX(Pagos_Odoo!$F:$F, MATCH(X2717, Pagos_Odoo!$B:$B, 0)), ""))</f>
        <v/>
      </c>
      <c r="AB2717" s="81">
        <f>IF(X2717="Sin Pago",0,IFERROR(INDEX(Pagos_Odoo!$E:$E, MATCH(X2717, Pagos_Odoo!$B:$B, 0)), 0))</f>
        <v/>
      </c>
      <c r="AC2717" s="79">
        <f>IF(X2717="Sin Pago","",IFERROR(INDEX(Pagos_Odoo!$G:$G, MATCH(X2717, Pagos_Odoo!$B:$B, 0)), ""))</f>
        <v/>
      </c>
      <c r="AD2717" s="82" t="n">
        <v>0</v>
      </c>
      <c r="AE2717" s="82" t="n"/>
      <c r="AF2717" s="82" t="n"/>
      <c r="AG2717" s="82">
        <f>IF(AN2717="","",AD2717+AE2717+AF2717)</f>
        <v/>
      </c>
      <c r="AH2717" s="81">
        <f>IF(AN2717="","",P2717*(1-AG2717))</f>
        <v/>
      </c>
      <c r="AI2717" s="81">
        <f>IF(AN2717="","",IF(Q2717="Sin Factura",0,IFERROR(INDEX(Facturas_Odoo!$H:$H, MATCH(Q2717, Facturas_Odoo!$B:$B, 0)), 0)*(1-AG2717)))</f>
        <v/>
      </c>
      <c r="AJ2717" s="81">
        <f>IF(AN2717="","",_xlfn.LET(idVenta, AN2717&amp;"",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17" s="81">
        <f>IF(AN2717="","",AH2717-AJ2717)</f>
        <v/>
      </c>
      <c r="AL2717" s="81">
        <f>IF(AN2717="","",IF(Q2717="Sin Factura","",AI2717-AJ2717))</f>
        <v/>
      </c>
      <c r="AM2717" s="81">
        <f>IF(AN2717="","",IF(Q2717="Sin Factura",0,P2717-IFERROR(INDEX(Facturas_Odoo!$H:$H, MATCH(Q2717, Facturas_Odoo!$B:$B, 0)), 0)))</f>
        <v/>
      </c>
      <c r="AN2717" s="79">
        <f>IF(AND(A2717="", J2717=""), "", IF(A2717&lt;&gt;"", VALUE(MID(A2717,2,LEN(A2717))), AN2716))</f>
        <v/>
      </c>
      <c r="AO2717" s="79">
        <f>IF(AN2717="","",IF(AD2717=0,"OK",_xlfn.LET(monedaPago, IF(AA2717="","USD",AA2717), limitePermitido, IFERROR(VLOOKUP(monedaPago, Configuración!$A$2:$B$3, 2, FALSE), 0.15), IF(AD2717&gt;limitePermitido, "ALERTA: EXCESO (" &amp; TEXT(limitePermitido, "0%") &amp; " máx)", "OK"))))</f>
        <v/>
      </c>
      <c r="AP2717" s="79">
        <f>IF(AN2717="","",IF(AE2717=0,"OK",_xlfn.LET(fechaPago, Z2717, fechaFactura, R2717, diasCredito, IF(E2717="Pago inmediato", 0, IFERROR(VALUE(MID(E2717, 1, SEARCH(" ", E2717)-1)),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17" s="79">
        <f>IF(AN2717="","",IF(AND(N2717&gt;0, AG2717&gt;0), IF(Configuración!$K$2="NO", "ALERTA: DESCUENTO DOBLE NO PERMITIDO", "OK"), "OK"))</f>
        <v/>
      </c>
      <c r="AR2717" s="79">
        <f>IF(AN2717="","",IF(OR(AO2717&lt;&gt;"OK", AP2717&lt;&gt;"OK", AQ2717&lt;&gt;"OK"), "⚠️ REVISAR", "OK"))</f>
        <v/>
      </c>
    </row>
    <row r="2718">
      <c r="A2718" s="79">
        <f>IF('Ordenes_Odoo'!A2718="","",'Ordenes_Odoo'!A2718)</f>
        <v/>
      </c>
      <c r="B2718" s="80">
        <f>IF('Ordenes_Odoo'!B2718="","",'Ordenes_Odoo'!B2718)</f>
        <v/>
      </c>
      <c r="C2718" s="79">
        <f>IF('Ordenes_Odoo'!C2718="","",'Ordenes_Odoo'!C2718)</f>
        <v/>
      </c>
      <c r="D2718" s="79">
        <f>IF('Ordenes_Odoo'!D2718="","",'Ordenes_Odoo'!D2718)</f>
        <v/>
      </c>
      <c r="E2718" s="79">
        <f>IF('Ordenes_Odoo'!E2718="","",'Ordenes_Odoo'!E2718)</f>
        <v/>
      </c>
      <c r="F2718" s="79">
        <f>IF('Ordenes_Odoo'!F2718="","",'Ordenes_Odoo'!F2718)</f>
        <v/>
      </c>
      <c r="G2718" s="79">
        <f>IF('Ordenes_Odoo'!G2718="","",'Ordenes_Odoo'!G2718)</f>
        <v/>
      </c>
      <c r="H2718" s="79">
        <f>IF('Ordenes_Odoo'!H2718="","",'Ordenes_Odoo'!H2718)</f>
        <v/>
      </c>
      <c r="I2718" s="79">
        <f>IF('Ordenes_Odoo'!I2718="","",'Ordenes_Odoo'!I2718)</f>
        <v/>
      </c>
      <c r="J2718" s="79">
        <f>IF('Ordenes_Odoo'!J2718="","",'Ordenes_Odoo'!J2718)</f>
        <v/>
      </c>
      <c r="K2718" s="81">
        <f>IF('Ordenes_Odoo'!K2718="","",'Ordenes_Odoo'!K2718)</f>
        <v/>
      </c>
      <c r="L2718" s="81">
        <f>IF('Ordenes_Odoo'!L2718="","",'Ordenes_Odoo'!L2718)</f>
        <v/>
      </c>
      <c r="M2718" s="79">
        <f>IF('Ordenes_Odoo'!M2718="","",'Ordenes_Odoo'!M2718)</f>
        <v/>
      </c>
      <c r="N2718" s="79">
        <f>IF('Ordenes_Odoo'!N2718="","",'Ordenes_Odoo'!N2718)</f>
        <v/>
      </c>
      <c r="O2718" s="81">
        <f>IF('Ordenes_Odoo'!O2718="","",'Ordenes_Odoo'!O2718)</f>
        <v/>
      </c>
      <c r="P2718" s="81">
        <f>IF('Ordenes_Odoo'!P2718="","",'Ordenes_Odoo'!P2718)</f>
        <v/>
      </c>
      <c r="Q2718" s="79">
        <f>IF(A2718="","",IFERROR(INDEX(Facturas_Odoo!$B:$B, MATCH(A2718, Facturas_Odoo!$D:$D, 0)), "Sin Factura"))</f>
        <v/>
      </c>
      <c r="R2718" s="80">
        <f>IF(Q2718="Sin Factura","",IFERROR(INDEX(Facturas_Odoo!$A:$A, MATCH(Q2718, Facturas_Odoo!$B:$B, 0)), ""))</f>
        <v/>
      </c>
      <c r="S2718" s="79">
        <f>IF(Q2718="Sin Factura","",IFERROR(_xlfn.XLOOKUP(1, (Facturas_Odoo!$D:$D=A2718) * (Facturas_Odoo!$K:$K=I2718), Facturas_Odoo!$L:$L, ""), ""))</f>
        <v/>
      </c>
      <c r="T2718" s="81">
        <f>IF(Q2718="Sin Factura",0,IFERROR(_xlfn.XLOOKUP(1, (Facturas_Odoo!$D:$D=A2718) * (Facturas_Odoo!$K:$K=I2718), Facturas_Odoo!$M:$M, 0), 0))</f>
        <v/>
      </c>
      <c r="U2718" s="79">
        <f>IF(Q2718="Sin Factura",0,IFERROR(_xlfn.XLOOKUP(1, (Facturas_Odoo!$D:$D=A2718) * (Facturas_Odoo!$K:$K=I2718), Facturas_Odoo!$N:$N, 0), 0))</f>
        <v/>
      </c>
      <c r="V2718" s="79">
        <f>IF(Q2718="Sin Factura",0,IFERROR(_xlfn.XLOOKUP(1, (Facturas_Odoo!$D:$D=A2718) * (Facturas_Odoo!$K:$K=I2718), Facturas_Odoo!$O:$O, 0), 0))</f>
        <v/>
      </c>
      <c r="W2718" s="81">
        <f>IF(Q2718="Sin Factura",0,IFERROR(_xlfn.XLOOKUP(1, (Facturas_Odoo!$D:$D=A2718) * (Facturas_Odoo!$K:$K=I2718), Facturas_Odoo!$Q:$Q, 0), 0))</f>
        <v/>
      </c>
      <c r="X2718" s="79">
        <f>IF(OR(Q2718="Sin Factura",Q2718=""),"",IFERROR(INDEX(Pagos_Odoo!$B:$B, MATCH(Q2718, Pagos_Odoo!$I:$I, 0)), "Sin Pago"))</f>
        <v/>
      </c>
      <c r="Y2718" s="79">
        <f>IF(X2718="Sin Pago","",IFERROR(INDEX(Pagos_Odoo!$C:$C, MATCH(X2718, Pagos_Odoo!$B:$B, 0)), ""))</f>
        <v/>
      </c>
      <c r="Z2718" s="80">
        <f>IF(X2718="Sin Pago","",IFERROR(INDEX(Pagos_Odoo!$A:$A, MATCH(X2718, Pagos_Odoo!$B:$B, 0)), ""))</f>
        <v/>
      </c>
      <c r="AA2718" s="79">
        <f>IF(X2718="Sin Pago","",IFERROR(INDEX(Pagos_Odoo!$F:$F, MATCH(X2718, Pagos_Odoo!$B:$B, 0)), ""))</f>
        <v/>
      </c>
      <c r="AB2718" s="81">
        <f>IF(X2718="Sin Pago",0,IFERROR(INDEX(Pagos_Odoo!$E:$E, MATCH(X2718, Pagos_Odoo!$B:$B, 0)), 0))</f>
        <v/>
      </c>
      <c r="AC2718" s="79">
        <f>IF(X2718="Sin Pago","",IFERROR(INDEX(Pagos_Odoo!$G:$G, MATCH(X2718, Pagos_Odoo!$B:$B, 0)), ""))</f>
        <v/>
      </c>
      <c r="AD2718" s="82" t="n">
        <v>0</v>
      </c>
      <c r="AE2718" s="82" t="n"/>
      <c r="AF2718" s="82" t="n"/>
      <c r="AG2718" s="82">
        <f>IF(AN2718="","",AD2718+AE2718+AF2718)</f>
        <v/>
      </c>
      <c r="AH2718" s="81">
        <f>IF(AN2718="","",P2718*(1-AG2718))</f>
        <v/>
      </c>
      <c r="AI2718" s="81">
        <f>IF(AN2718="","",IF(Q2718="Sin Factura",0,IFERROR(INDEX(Facturas_Odoo!$H:$H, MATCH(Q2718, Facturas_Odoo!$B:$B, 0)), 0)*(1-AG2718)))</f>
        <v/>
      </c>
      <c r="AJ2718" s="81">
        <f>IF(AN2718="","",_xlfn.LET(idVenta, AN2718&amp;"",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18" s="81">
        <f>IF(AN2718="","",AH2718-AJ2718)</f>
        <v/>
      </c>
      <c r="AL2718" s="81">
        <f>IF(AN2718="","",IF(Q2718="Sin Factura","",AI2718-AJ2718))</f>
        <v/>
      </c>
      <c r="AM2718" s="81">
        <f>IF(AN2718="","",IF(Q2718="Sin Factura",0,P2718-IFERROR(INDEX(Facturas_Odoo!$H:$H, MATCH(Q2718, Facturas_Odoo!$B:$B, 0)), 0)))</f>
        <v/>
      </c>
      <c r="AN2718" s="79">
        <f>IF(AND(A2718="", J2718=""), "", IF(A2718&lt;&gt;"", VALUE(MID(A2718,2,LEN(A2718))), AN2717))</f>
        <v/>
      </c>
      <c r="AO2718" s="79">
        <f>IF(AN2718="","",IF(AD2718=0,"OK",_xlfn.LET(monedaPago, IF(AA2718="","USD",AA2718), limitePermitido, IFERROR(VLOOKUP(monedaPago, Configuración!$A$2:$B$3, 2, FALSE), 0.15), IF(AD2718&gt;limitePermitido, "ALERTA: EXCESO (" &amp; TEXT(limitePermitido, "0%") &amp; " máx)", "OK"))))</f>
        <v/>
      </c>
      <c r="AP2718" s="79">
        <f>IF(AN2718="","",IF(AE2718=0,"OK",_xlfn.LET(fechaPago, Z2718, fechaFactura, R2718, diasCredito, IF(E2718="Pago inmediato", 0, IFERROR(VALUE(MID(E2718, 1, SEARCH(" ", E2718)-1)),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18" s="79">
        <f>IF(AN2718="","",IF(AND(N2718&gt;0, AG2718&gt;0), IF(Configuración!$K$2="NO", "ALERTA: DESCUENTO DOBLE NO PERMITIDO", "OK"), "OK"))</f>
        <v/>
      </c>
      <c r="AR2718" s="79">
        <f>IF(AN2718="","",IF(OR(AO2718&lt;&gt;"OK", AP2718&lt;&gt;"OK", AQ2718&lt;&gt;"OK"), "⚠️ REVISAR", "OK"))</f>
        <v/>
      </c>
    </row>
    <row r="2719">
      <c r="A2719" s="79">
        <f>IF('Ordenes_Odoo'!A2719="","",'Ordenes_Odoo'!A2719)</f>
        <v/>
      </c>
      <c r="B2719" s="80">
        <f>IF('Ordenes_Odoo'!B2719="","",'Ordenes_Odoo'!B2719)</f>
        <v/>
      </c>
      <c r="C2719" s="79">
        <f>IF('Ordenes_Odoo'!C2719="","",'Ordenes_Odoo'!C2719)</f>
        <v/>
      </c>
      <c r="D2719" s="79">
        <f>IF('Ordenes_Odoo'!D2719="","",'Ordenes_Odoo'!D2719)</f>
        <v/>
      </c>
      <c r="E2719" s="79">
        <f>IF('Ordenes_Odoo'!E2719="","",'Ordenes_Odoo'!E2719)</f>
        <v/>
      </c>
      <c r="F2719" s="79">
        <f>IF('Ordenes_Odoo'!F2719="","",'Ordenes_Odoo'!F2719)</f>
        <v/>
      </c>
      <c r="G2719" s="79">
        <f>IF('Ordenes_Odoo'!G2719="","",'Ordenes_Odoo'!G2719)</f>
        <v/>
      </c>
      <c r="H2719" s="79">
        <f>IF('Ordenes_Odoo'!H2719="","",'Ordenes_Odoo'!H2719)</f>
        <v/>
      </c>
      <c r="I2719" s="79">
        <f>IF('Ordenes_Odoo'!I2719="","",'Ordenes_Odoo'!I2719)</f>
        <v/>
      </c>
      <c r="J2719" s="79">
        <f>IF('Ordenes_Odoo'!J2719="","",'Ordenes_Odoo'!J2719)</f>
        <v/>
      </c>
      <c r="K2719" s="81">
        <f>IF('Ordenes_Odoo'!K2719="","",'Ordenes_Odoo'!K2719)</f>
        <v/>
      </c>
      <c r="L2719" s="81">
        <f>IF('Ordenes_Odoo'!L2719="","",'Ordenes_Odoo'!L2719)</f>
        <v/>
      </c>
      <c r="M2719" s="79">
        <f>IF('Ordenes_Odoo'!M2719="","",'Ordenes_Odoo'!M2719)</f>
        <v/>
      </c>
      <c r="N2719" s="79">
        <f>IF('Ordenes_Odoo'!N2719="","",'Ordenes_Odoo'!N2719)</f>
        <v/>
      </c>
      <c r="O2719" s="81">
        <f>IF('Ordenes_Odoo'!O2719="","",'Ordenes_Odoo'!O2719)</f>
        <v/>
      </c>
      <c r="P2719" s="81">
        <f>IF('Ordenes_Odoo'!P2719="","",'Ordenes_Odoo'!P2719)</f>
        <v/>
      </c>
      <c r="Q2719" s="79">
        <f>IF(A2719="","",IFERROR(INDEX(Facturas_Odoo!$B:$B, MATCH(A2719, Facturas_Odoo!$D:$D, 0)), "Sin Factura"))</f>
        <v/>
      </c>
      <c r="R2719" s="80">
        <f>IF(Q2719="Sin Factura","",IFERROR(INDEX(Facturas_Odoo!$A:$A, MATCH(Q2719, Facturas_Odoo!$B:$B, 0)), ""))</f>
        <v/>
      </c>
      <c r="S2719" s="79">
        <f>IF(Q2719="Sin Factura","",IFERROR(_xlfn.XLOOKUP(1, (Facturas_Odoo!$D:$D=A2719) * (Facturas_Odoo!$K:$K=I2719), Facturas_Odoo!$L:$L, ""), ""))</f>
        <v/>
      </c>
      <c r="T2719" s="81">
        <f>IF(Q2719="Sin Factura",0,IFERROR(_xlfn.XLOOKUP(1, (Facturas_Odoo!$D:$D=A2719) * (Facturas_Odoo!$K:$K=I2719), Facturas_Odoo!$M:$M, 0), 0))</f>
        <v/>
      </c>
      <c r="U2719" s="79">
        <f>IF(Q2719="Sin Factura",0,IFERROR(_xlfn.XLOOKUP(1, (Facturas_Odoo!$D:$D=A2719) * (Facturas_Odoo!$K:$K=I2719), Facturas_Odoo!$N:$N, 0), 0))</f>
        <v/>
      </c>
      <c r="V2719" s="79">
        <f>IF(Q2719="Sin Factura",0,IFERROR(_xlfn.XLOOKUP(1, (Facturas_Odoo!$D:$D=A2719) * (Facturas_Odoo!$K:$K=I2719), Facturas_Odoo!$O:$O, 0), 0))</f>
        <v/>
      </c>
      <c r="W2719" s="81">
        <f>IF(Q2719="Sin Factura",0,IFERROR(_xlfn.XLOOKUP(1, (Facturas_Odoo!$D:$D=A2719) * (Facturas_Odoo!$K:$K=I2719), Facturas_Odoo!$Q:$Q, 0), 0))</f>
        <v/>
      </c>
      <c r="X2719" s="79">
        <f>IF(OR(Q2719="Sin Factura",Q2719=""),"",IFERROR(INDEX(Pagos_Odoo!$B:$B, MATCH(Q2719, Pagos_Odoo!$I:$I, 0)), "Sin Pago"))</f>
        <v/>
      </c>
      <c r="Y2719" s="79">
        <f>IF(X2719="Sin Pago","",IFERROR(INDEX(Pagos_Odoo!$C:$C, MATCH(X2719, Pagos_Odoo!$B:$B, 0)), ""))</f>
        <v/>
      </c>
      <c r="Z2719" s="80">
        <f>IF(X2719="Sin Pago","",IFERROR(INDEX(Pagos_Odoo!$A:$A, MATCH(X2719, Pagos_Odoo!$B:$B, 0)), ""))</f>
        <v/>
      </c>
      <c r="AA2719" s="79">
        <f>IF(X2719="Sin Pago","",IFERROR(INDEX(Pagos_Odoo!$F:$F, MATCH(X2719, Pagos_Odoo!$B:$B, 0)), ""))</f>
        <v/>
      </c>
      <c r="AB2719" s="81">
        <f>IF(X2719="Sin Pago",0,IFERROR(INDEX(Pagos_Odoo!$E:$E, MATCH(X2719, Pagos_Odoo!$B:$B, 0)), 0))</f>
        <v/>
      </c>
      <c r="AC2719" s="79">
        <f>IF(X2719="Sin Pago","",IFERROR(INDEX(Pagos_Odoo!$G:$G, MATCH(X2719, Pagos_Odoo!$B:$B, 0)), ""))</f>
        <v/>
      </c>
      <c r="AD2719" s="82" t="n">
        <v>0</v>
      </c>
      <c r="AE2719" s="82" t="n"/>
      <c r="AF2719" s="82" t="n"/>
      <c r="AG2719" s="82">
        <f>IF(AN2719="","",AD2719+AE2719+AF2719)</f>
        <v/>
      </c>
      <c r="AH2719" s="81">
        <f>IF(AN2719="","",P2719*(1-AG2719))</f>
        <v/>
      </c>
      <c r="AI2719" s="81">
        <f>IF(AN2719="","",IF(Q2719="Sin Factura",0,IFERROR(INDEX(Facturas_Odoo!$H:$H, MATCH(Q2719, Facturas_Odoo!$B:$B, 0)), 0)*(1-AG2719)))</f>
        <v/>
      </c>
      <c r="AJ2719" s="81">
        <f>IF(AN2719="","",_xlfn.LET(idVenta, AN2719&amp;"",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19" s="81">
        <f>IF(AN2719="","",AH2719-AJ2719)</f>
        <v/>
      </c>
      <c r="AL2719" s="81">
        <f>IF(AN2719="","",IF(Q2719="Sin Factura","",AI2719-AJ2719))</f>
        <v/>
      </c>
      <c r="AM2719" s="81">
        <f>IF(AN2719="","",IF(Q2719="Sin Factura",0,P2719-IFERROR(INDEX(Facturas_Odoo!$H:$H, MATCH(Q2719, Facturas_Odoo!$B:$B, 0)), 0)))</f>
        <v/>
      </c>
      <c r="AN2719" s="79">
        <f>IF(AND(A2719="", J2719=""), "", IF(A2719&lt;&gt;"", VALUE(MID(A2719,2,LEN(A2719))), AN2718))</f>
        <v/>
      </c>
      <c r="AO2719" s="79">
        <f>IF(AN2719="","",IF(AD2719=0,"OK",_xlfn.LET(monedaPago, IF(AA2719="","USD",AA2719), limitePermitido, IFERROR(VLOOKUP(monedaPago, Configuración!$A$2:$B$3, 2, FALSE), 0.15), IF(AD2719&gt;limitePermitido, "ALERTA: EXCESO (" &amp; TEXT(limitePermitido, "0%") &amp; " máx)", "OK"))))</f>
        <v/>
      </c>
      <c r="AP2719" s="79">
        <f>IF(AN2719="","",IF(AE2719=0,"OK",_xlfn.LET(fechaPago, Z2719, fechaFactura, R2719, diasCredito, IF(E2719="Pago inmediato", 0, IFERROR(VALUE(MID(E2719, 1, SEARCH(" ", E2719)-1)),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19" s="79">
        <f>IF(AN2719="","",IF(AND(N2719&gt;0, AG2719&gt;0), IF(Configuración!$K$2="NO", "ALERTA: DESCUENTO DOBLE NO PERMITIDO", "OK"), "OK"))</f>
        <v/>
      </c>
      <c r="AR2719" s="79">
        <f>IF(AN2719="","",IF(OR(AO2719&lt;&gt;"OK", AP2719&lt;&gt;"OK", AQ2719&lt;&gt;"OK"), "⚠️ REVISAR", "OK"))</f>
        <v/>
      </c>
    </row>
    <row r="2720">
      <c r="A2720" s="79">
        <f>IF('Ordenes_Odoo'!A2720="","",'Ordenes_Odoo'!A2720)</f>
        <v/>
      </c>
      <c r="B2720" s="80">
        <f>IF('Ordenes_Odoo'!B2720="","",'Ordenes_Odoo'!B2720)</f>
        <v/>
      </c>
      <c r="C2720" s="79">
        <f>IF('Ordenes_Odoo'!C2720="","",'Ordenes_Odoo'!C2720)</f>
        <v/>
      </c>
      <c r="D2720" s="79">
        <f>IF('Ordenes_Odoo'!D2720="","",'Ordenes_Odoo'!D2720)</f>
        <v/>
      </c>
      <c r="E2720" s="79">
        <f>IF('Ordenes_Odoo'!E2720="","",'Ordenes_Odoo'!E2720)</f>
        <v/>
      </c>
      <c r="F2720" s="79">
        <f>IF('Ordenes_Odoo'!F2720="","",'Ordenes_Odoo'!F2720)</f>
        <v/>
      </c>
      <c r="G2720" s="79">
        <f>IF('Ordenes_Odoo'!G2720="","",'Ordenes_Odoo'!G2720)</f>
        <v/>
      </c>
      <c r="H2720" s="79">
        <f>IF('Ordenes_Odoo'!H2720="","",'Ordenes_Odoo'!H2720)</f>
        <v/>
      </c>
      <c r="I2720" s="79">
        <f>IF('Ordenes_Odoo'!I2720="","",'Ordenes_Odoo'!I2720)</f>
        <v/>
      </c>
      <c r="J2720" s="79">
        <f>IF('Ordenes_Odoo'!J2720="","",'Ordenes_Odoo'!J2720)</f>
        <v/>
      </c>
      <c r="K2720" s="81">
        <f>IF('Ordenes_Odoo'!K2720="","",'Ordenes_Odoo'!K2720)</f>
        <v/>
      </c>
      <c r="L2720" s="81">
        <f>IF('Ordenes_Odoo'!L2720="","",'Ordenes_Odoo'!L2720)</f>
        <v/>
      </c>
      <c r="M2720" s="79">
        <f>IF('Ordenes_Odoo'!M2720="","",'Ordenes_Odoo'!M2720)</f>
        <v/>
      </c>
      <c r="N2720" s="79">
        <f>IF('Ordenes_Odoo'!N2720="","",'Ordenes_Odoo'!N2720)</f>
        <v/>
      </c>
      <c r="O2720" s="81">
        <f>IF('Ordenes_Odoo'!O2720="","",'Ordenes_Odoo'!O2720)</f>
        <v/>
      </c>
      <c r="P2720" s="81">
        <f>IF('Ordenes_Odoo'!P2720="","",'Ordenes_Odoo'!P2720)</f>
        <v/>
      </c>
      <c r="Q2720" s="79">
        <f>IF(A2720="","",IFERROR(INDEX(Facturas_Odoo!$B:$B, MATCH(A2720, Facturas_Odoo!$D:$D, 0)), "Sin Factura"))</f>
        <v/>
      </c>
      <c r="R2720" s="80">
        <f>IF(Q2720="Sin Factura","",IFERROR(INDEX(Facturas_Odoo!$A:$A, MATCH(Q2720, Facturas_Odoo!$B:$B, 0)), ""))</f>
        <v/>
      </c>
      <c r="S2720" s="79">
        <f>IF(Q2720="Sin Factura","",IFERROR(_xlfn.XLOOKUP(1, (Facturas_Odoo!$D:$D=A2720) * (Facturas_Odoo!$K:$K=I2720), Facturas_Odoo!$L:$L, ""), ""))</f>
        <v/>
      </c>
      <c r="T2720" s="81">
        <f>IF(Q2720="Sin Factura",0,IFERROR(_xlfn.XLOOKUP(1, (Facturas_Odoo!$D:$D=A2720) * (Facturas_Odoo!$K:$K=I2720), Facturas_Odoo!$M:$M, 0), 0))</f>
        <v/>
      </c>
      <c r="U2720" s="79">
        <f>IF(Q2720="Sin Factura",0,IFERROR(_xlfn.XLOOKUP(1, (Facturas_Odoo!$D:$D=A2720) * (Facturas_Odoo!$K:$K=I2720), Facturas_Odoo!$N:$N, 0), 0))</f>
        <v/>
      </c>
      <c r="V2720" s="79">
        <f>IF(Q2720="Sin Factura",0,IFERROR(_xlfn.XLOOKUP(1, (Facturas_Odoo!$D:$D=A2720) * (Facturas_Odoo!$K:$K=I2720), Facturas_Odoo!$O:$O, 0), 0))</f>
        <v/>
      </c>
      <c r="W2720" s="81">
        <f>IF(Q2720="Sin Factura",0,IFERROR(_xlfn.XLOOKUP(1, (Facturas_Odoo!$D:$D=A2720) * (Facturas_Odoo!$K:$K=I2720), Facturas_Odoo!$Q:$Q, 0), 0))</f>
        <v/>
      </c>
      <c r="X2720" s="79">
        <f>IF(OR(Q2720="Sin Factura",Q2720=""),"",IFERROR(INDEX(Pagos_Odoo!$B:$B, MATCH(Q2720, Pagos_Odoo!$I:$I, 0)), "Sin Pago"))</f>
        <v/>
      </c>
      <c r="Y2720" s="79">
        <f>IF(X2720="Sin Pago","",IFERROR(INDEX(Pagos_Odoo!$C:$C, MATCH(X2720, Pagos_Odoo!$B:$B, 0)), ""))</f>
        <v/>
      </c>
      <c r="Z2720" s="80">
        <f>IF(X2720="Sin Pago","",IFERROR(INDEX(Pagos_Odoo!$A:$A, MATCH(X2720, Pagos_Odoo!$B:$B, 0)), ""))</f>
        <v/>
      </c>
      <c r="AA2720" s="79">
        <f>IF(X2720="Sin Pago","",IFERROR(INDEX(Pagos_Odoo!$F:$F, MATCH(X2720, Pagos_Odoo!$B:$B, 0)), ""))</f>
        <v/>
      </c>
      <c r="AB2720" s="81">
        <f>IF(X2720="Sin Pago",0,IFERROR(INDEX(Pagos_Odoo!$E:$E, MATCH(X2720, Pagos_Odoo!$B:$B, 0)), 0))</f>
        <v/>
      </c>
      <c r="AC2720" s="79">
        <f>IF(X2720="Sin Pago","",IFERROR(INDEX(Pagos_Odoo!$G:$G, MATCH(X2720, Pagos_Odoo!$B:$B, 0)), ""))</f>
        <v/>
      </c>
      <c r="AD2720" s="82" t="n">
        <v>0</v>
      </c>
      <c r="AE2720" s="82" t="n"/>
      <c r="AF2720" s="82" t="n"/>
      <c r="AG2720" s="82">
        <f>IF(AN2720="","",AD2720+AE2720+AF2720)</f>
        <v/>
      </c>
      <c r="AH2720" s="81">
        <f>IF(AN2720="","",P2720*(1-AG2720))</f>
        <v/>
      </c>
      <c r="AI2720" s="81">
        <f>IF(AN2720="","",IF(Q2720="Sin Factura",0,IFERROR(INDEX(Facturas_Odoo!$H:$H, MATCH(Q2720, Facturas_Odoo!$B:$B, 0)), 0)*(1-AG2720)))</f>
        <v/>
      </c>
      <c r="AJ2720" s="81">
        <f>IF(AN2720="","",_xlfn.LET(idVenta, AN2720&amp;"",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20" s="81">
        <f>IF(AN2720="","",AH2720-AJ2720)</f>
        <v/>
      </c>
      <c r="AL2720" s="81">
        <f>IF(AN2720="","",IF(Q2720="Sin Factura","",AI2720-AJ2720))</f>
        <v/>
      </c>
      <c r="AM2720" s="81">
        <f>IF(AN2720="","",IF(Q2720="Sin Factura",0,P2720-IFERROR(INDEX(Facturas_Odoo!$H:$H, MATCH(Q2720, Facturas_Odoo!$B:$B, 0)), 0)))</f>
        <v/>
      </c>
      <c r="AN2720" s="79">
        <f>IF(AND(A2720="", J2720=""), "", IF(A2720&lt;&gt;"", VALUE(MID(A2720,2,LEN(A2720))), AN2719))</f>
        <v/>
      </c>
      <c r="AO2720" s="79">
        <f>IF(AN2720="","",IF(AD2720=0,"OK",_xlfn.LET(monedaPago, IF(AA2720="","USD",AA2720), limitePermitido, IFERROR(VLOOKUP(monedaPago, Configuración!$A$2:$B$3, 2, FALSE), 0.15), IF(AD2720&gt;limitePermitido, "ALERTA: EXCESO (" &amp; TEXT(limitePermitido, "0%") &amp; " máx)", "OK"))))</f>
        <v/>
      </c>
      <c r="AP2720" s="79">
        <f>IF(AN2720="","",IF(AE2720=0,"OK",_xlfn.LET(fechaPago, Z2720, fechaFactura, R2720, diasCredito, IF(E2720="Pago inmediato", 0, IFERROR(VALUE(MID(E2720, 1, SEARCH(" ", E2720)-1)),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20" s="79">
        <f>IF(AN2720="","",IF(AND(N2720&gt;0, AG2720&gt;0), IF(Configuración!$K$2="NO", "ALERTA: DESCUENTO DOBLE NO PERMITIDO", "OK"), "OK"))</f>
        <v/>
      </c>
      <c r="AR2720" s="79">
        <f>IF(AN2720="","",IF(OR(AO2720&lt;&gt;"OK", AP2720&lt;&gt;"OK", AQ2720&lt;&gt;"OK"), "⚠️ REVISAR", "OK"))</f>
        <v/>
      </c>
    </row>
    <row r="2721">
      <c r="A2721" s="79">
        <f>IF('Ordenes_Odoo'!A2721="","",'Ordenes_Odoo'!A2721)</f>
        <v/>
      </c>
      <c r="B2721" s="80">
        <f>IF('Ordenes_Odoo'!B2721="","",'Ordenes_Odoo'!B2721)</f>
        <v/>
      </c>
      <c r="C2721" s="79">
        <f>IF('Ordenes_Odoo'!C2721="","",'Ordenes_Odoo'!C2721)</f>
        <v/>
      </c>
      <c r="D2721" s="79">
        <f>IF('Ordenes_Odoo'!D2721="","",'Ordenes_Odoo'!D2721)</f>
        <v/>
      </c>
      <c r="E2721" s="79">
        <f>IF('Ordenes_Odoo'!E2721="","",'Ordenes_Odoo'!E2721)</f>
        <v/>
      </c>
      <c r="F2721" s="79">
        <f>IF('Ordenes_Odoo'!F2721="","",'Ordenes_Odoo'!F2721)</f>
        <v/>
      </c>
      <c r="G2721" s="79">
        <f>IF('Ordenes_Odoo'!G2721="","",'Ordenes_Odoo'!G2721)</f>
        <v/>
      </c>
      <c r="H2721" s="79">
        <f>IF('Ordenes_Odoo'!H2721="","",'Ordenes_Odoo'!H2721)</f>
        <v/>
      </c>
      <c r="I2721" s="79">
        <f>IF('Ordenes_Odoo'!I2721="","",'Ordenes_Odoo'!I2721)</f>
        <v/>
      </c>
      <c r="J2721" s="79">
        <f>IF('Ordenes_Odoo'!J2721="","",'Ordenes_Odoo'!J2721)</f>
        <v/>
      </c>
      <c r="K2721" s="81">
        <f>IF('Ordenes_Odoo'!K2721="","",'Ordenes_Odoo'!K2721)</f>
        <v/>
      </c>
      <c r="L2721" s="81">
        <f>IF('Ordenes_Odoo'!L2721="","",'Ordenes_Odoo'!L2721)</f>
        <v/>
      </c>
      <c r="M2721" s="79">
        <f>IF('Ordenes_Odoo'!M2721="","",'Ordenes_Odoo'!M2721)</f>
        <v/>
      </c>
      <c r="N2721" s="79">
        <f>IF('Ordenes_Odoo'!N2721="","",'Ordenes_Odoo'!N2721)</f>
        <v/>
      </c>
      <c r="O2721" s="81">
        <f>IF('Ordenes_Odoo'!O2721="","",'Ordenes_Odoo'!O2721)</f>
        <v/>
      </c>
      <c r="P2721" s="81">
        <f>IF('Ordenes_Odoo'!P2721="","",'Ordenes_Odoo'!P2721)</f>
        <v/>
      </c>
      <c r="Q2721" s="79">
        <f>IF(A2721="","",IFERROR(INDEX(Facturas_Odoo!$B:$B, MATCH(A2721, Facturas_Odoo!$D:$D, 0)), "Sin Factura"))</f>
        <v/>
      </c>
      <c r="R2721" s="80">
        <f>IF(Q2721="Sin Factura","",IFERROR(INDEX(Facturas_Odoo!$A:$A, MATCH(Q2721, Facturas_Odoo!$B:$B, 0)), ""))</f>
        <v/>
      </c>
      <c r="S2721" s="79">
        <f>IF(Q2721="Sin Factura","",IFERROR(_xlfn.XLOOKUP(1, (Facturas_Odoo!$D:$D=A2721) * (Facturas_Odoo!$K:$K=I2721), Facturas_Odoo!$L:$L, ""), ""))</f>
        <v/>
      </c>
      <c r="T2721" s="81">
        <f>IF(Q2721="Sin Factura",0,IFERROR(_xlfn.XLOOKUP(1, (Facturas_Odoo!$D:$D=A2721) * (Facturas_Odoo!$K:$K=I2721), Facturas_Odoo!$M:$M, 0), 0))</f>
        <v/>
      </c>
      <c r="U2721" s="79">
        <f>IF(Q2721="Sin Factura",0,IFERROR(_xlfn.XLOOKUP(1, (Facturas_Odoo!$D:$D=A2721) * (Facturas_Odoo!$K:$K=I2721), Facturas_Odoo!$N:$N, 0), 0))</f>
        <v/>
      </c>
      <c r="V2721" s="79">
        <f>IF(Q2721="Sin Factura",0,IFERROR(_xlfn.XLOOKUP(1, (Facturas_Odoo!$D:$D=A2721) * (Facturas_Odoo!$K:$K=I2721), Facturas_Odoo!$O:$O, 0), 0))</f>
        <v/>
      </c>
      <c r="W2721" s="81">
        <f>IF(Q2721="Sin Factura",0,IFERROR(_xlfn.XLOOKUP(1, (Facturas_Odoo!$D:$D=A2721) * (Facturas_Odoo!$K:$K=I2721), Facturas_Odoo!$Q:$Q, 0), 0))</f>
        <v/>
      </c>
      <c r="X2721" s="79">
        <f>IF(OR(Q2721="Sin Factura",Q2721=""),"",IFERROR(INDEX(Pagos_Odoo!$B:$B, MATCH(Q2721, Pagos_Odoo!$I:$I, 0)), "Sin Pago"))</f>
        <v/>
      </c>
      <c r="Y2721" s="79">
        <f>IF(X2721="Sin Pago","",IFERROR(INDEX(Pagos_Odoo!$C:$C, MATCH(X2721, Pagos_Odoo!$B:$B, 0)), ""))</f>
        <v/>
      </c>
      <c r="Z2721" s="80">
        <f>IF(X2721="Sin Pago","",IFERROR(INDEX(Pagos_Odoo!$A:$A, MATCH(X2721, Pagos_Odoo!$B:$B, 0)), ""))</f>
        <v/>
      </c>
      <c r="AA2721" s="79">
        <f>IF(X2721="Sin Pago","",IFERROR(INDEX(Pagos_Odoo!$F:$F, MATCH(X2721, Pagos_Odoo!$B:$B, 0)), ""))</f>
        <v/>
      </c>
      <c r="AB2721" s="81">
        <f>IF(X2721="Sin Pago",0,IFERROR(INDEX(Pagos_Odoo!$E:$E, MATCH(X2721, Pagos_Odoo!$B:$B, 0)), 0))</f>
        <v/>
      </c>
      <c r="AC2721" s="79">
        <f>IF(X2721="Sin Pago","",IFERROR(INDEX(Pagos_Odoo!$G:$G, MATCH(X2721, Pagos_Odoo!$B:$B, 0)), ""))</f>
        <v/>
      </c>
      <c r="AD2721" s="82" t="n">
        <v>0</v>
      </c>
      <c r="AE2721" s="82" t="n"/>
      <c r="AF2721" s="82" t="n"/>
      <c r="AG2721" s="82">
        <f>IF(AN2721="","",AD2721+AE2721+AF2721)</f>
        <v/>
      </c>
      <c r="AH2721" s="81">
        <f>IF(AN2721="","",P2721*(1-AG2721))</f>
        <v/>
      </c>
      <c r="AI2721" s="81">
        <f>IF(AN2721="","",IF(Q2721="Sin Factura",0,IFERROR(INDEX(Facturas_Odoo!$H:$H, MATCH(Q2721, Facturas_Odoo!$B:$B, 0)), 0)*(1-AG2721)))</f>
        <v/>
      </c>
      <c r="AJ2721" s="81">
        <f>IF(AN2721="","",_xlfn.LET(idVenta, AN2721&amp;"",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21" s="81">
        <f>IF(AN2721="","",AH2721-AJ2721)</f>
        <v/>
      </c>
      <c r="AL2721" s="81">
        <f>IF(AN2721="","",IF(Q2721="Sin Factura","",AI2721-AJ2721))</f>
        <v/>
      </c>
      <c r="AM2721" s="81">
        <f>IF(AN2721="","",IF(Q2721="Sin Factura",0,P2721-IFERROR(INDEX(Facturas_Odoo!$H:$H, MATCH(Q2721, Facturas_Odoo!$B:$B, 0)), 0)))</f>
        <v/>
      </c>
      <c r="AN2721" s="79">
        <f>IF(AND(A2721="", J2721=""), "", IF(A2721&lt;&gt;"", VALUE(MID(A2721,2,LEN(A2721))), AN2720))</f>
        <v/>
      </c>
      <c r="AO2721" s="79">
        <f>IF(AN2721="","",IF(AD2721=0,"OK",_xlfn.LET(monedaPago, IF(AA2721="","USD",AA2721), limitePermitido, IFERROR(VLOOKUP(monedaPago, Configuración!$A$2:$B$3, 2, FALSE), 0.15), IF(AD2721&gt;limitePermitido, "ALERTA: EXCESO (" &amp; TEXT(limitePermitido, "0%") &amp; " máx)", "OK"))))</f>
        <v/>
      </c>
      <c r="AP2721" s="79">
        <f>IF(AN2721="","",IF(AE2721=0,"OK",_xlfn.LET(fechaPago, Z2721, fechaFactura, R2721, diasCredito, IF(E2721="Pago inmediato", 0, IFERROR(VALUE(MID(E2721, 1, SEARCH(" ", E2721)-1)),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21" s="79">
        <f>IF(AN2721="","",IF(AND(N2721&gt;0, AG2721&gt;0), IF(Configuración!$K$2="NO", "ALERTA: DESCUENTO DOBLE NO PERMITIDO", "OK"), "OK"))</f>
        <v/>
      </c>
      <c r="AR2721" s="79">
        <f>IF(AN2721="","",IF(OR(AO2721&lt;&gt;"OK", AP2721&lt;&gt;"OK", AQ2721&lt;&gt;"OK"), "⚠️ REVISAR", "OK"))</f>
        <v/>
      </c>
    </row>
    <row r="2722">
      <c r="A2722" s="79">
        <f>IF('Ordenes_Odoo'!A2722="","",'Ordenes_Odoo'!A2722)</f>
        <v/>
      </c>
      <c r="B2722" s="80">
        <f>IF('Ordenes_Odoo'!B2722="","",'Ordenes_Odoo'!B2722)</f>
        <v/>
      </c>
      <c r="C2722" s="79">
        <f>IF('Ordenes_Odoo'!C2722="","",'Ordenes_Odoo'!C2722)</f>
        <v/>
      </c>
      <c r="D2722" s="79">
        <f>IF('Ordenes_Odoo'!D2722="","",'Ordenes_Odoo'!D2722)</f>
        <v/>
      </c>
      <c r="E2722" s="79">
        <f>IF('Ordenes_Odoo'!E2722="","",'Ordenes_Odoo'!E2722)</f>
        <v/>
      </c>
      <c r="F2722" s="79">
        <f>IF('Ordenes_Odoo'!F2722="","",'Ordenes_Odoo'!F2722)</f>
        <v/>
      </c>
      <c r="G2722" s="79">
        <f>IF('Ordenes_Odoo'!G2722="","",'Ordenes_Odoo'!G2722)</f>
        <v/>
      </c>
      <c r="H2722" s="79">
        <f>IF('Ordenes_Odoo'!H2722="","",'Ordenes_Odoo'!H2722)</f>
        <v/>
      </c>
      <c r="I2722" s="79">
        <f>IF('Ordenes_Odoo'!I2722="","",'Ordenes_Odoo'!I2722)</f>
        <v/>
      </c>
      <c r="J2722" s="79">
        <f>IF('Ordenes_Odoo'!J2722="","",'Ordenes_Odoo'!J2722)</f>
        <v/>
      </c>
      <c r="K2722" s="81">
        <f>IF('Ordenes_Odoo'!K2722="","",'Ordenes_Odoo'!K2722)</f>
        <v/>
      </c>
      <c r="L2722" s="81">
        <f>IF('Ordenes_Odoo'!L2722="","",'Ordenes_Odoo'!L2722)</f>
        <v/>
      </c>
      <c r="M2722" s="79">
        <f>IF('Ordenes_Odoo'!M2722="","",'Ordenes_Odoo'!M2722)</f>
        <v/>
      </c>
      <c r="N2722" s="79">
        <f>IF('Ordenes_Odoo'!N2722="","",'Ordenes_Odoo'!N2722)</f>
        <v/>
      </c>
      <c r="O2722" s="81">
        <f>IF('Ordenes_Odoo'!O2722="","",'Ordenes_Odoo'!O2722)</f>
        <v/>
      </c>
      <c r="P2722" s="81">
        <f>IF('Ordenes_Odoo'!P2722="","",'Ordenes_Odoo'!P2722)</f>
        <v/>
      </c>
      <c r="Q2722" s="79">
        <f>IF(A2722="","",IFERROR(INDEX(Facturas_Odoo!$B:$B, MATCH(A2722, Facturas_Odoo!$D:$D, 0)), "Sin Factura"))</f>
        <v/>
      </c>
      <c r="R2722" s="80">
        <f>IF(Q2722="Sin Factura","",IFERROR(INDEX(Facturas_Odoo!$A:$A, MATCH(Q2722, Facturas_Odoo!$B:$B, 0)), ""))</f>
        <v/>
      </c>
      <c r="S2722" s="79">
        <f>IF(Q2722="Sin Factura","",IFERROR(_xlfn.XLOOKUP(1, (Facturas_Odoo!$D:$D=A2722) * (Facturas_Odoo!$K:$K=I2722), Facturas_Odoo!$L:$L, ""), ""))</f>
        <v/>
      </c>
      <c r="T2722" s="81">
        <f>IF(Q2722="Sin Factura",0,IFERROR(_xlfn.XLOOKUP(1, (Facturas_Odoo!$D:$D=A2722) * (Facturas_Odoo!$K:$K=I2722), Facturas_Odoo!$M:$M, 0), 0))</f>
        <v/>
      </c>
      <c r="U2722" s="79">
        <f>IF(Q2722="Sin Factura",0,IFERROR(_xlfn.XLOOKUP(1, (Facturas_Odoo!$D:$D=A2722) * (Facturas_Odoo!$K:$K=I2722), Facturas_Odoo!$N:$N, 0), 0))</f>
        <v/>
      </c>
      <c r="V2722" s="79">
        <f>IF(Q2722="Sin Factura",0,IFERROR(_xlfn.XLOOKUP(1, (Facturas_Odoo!$D:$D=A2722) * (Facturas_Odoo!$K:$K=I2722), Facturas_Odoo!$O:$O, 0), 0))</f>
        <v/>
      </c>
      <c r="W2722" s="81">
        <f>IF(Q2722="Sin Factura",0,IFERROR(_xlfn.XLOOKUP(1, (Facturas_Odoo!$D:$D=A2722) * (Facturas_Odoo!$K:$K=I2722), Facturas_Odoo!$Q:$Q, 0), 0))</f>
        <v/>
      </c>
      <c r="X2722" s="79">
        <f>IF(OR(Q2722="Sin Factura",Q2722=""),"",IFERROR(INDEX(Pagos_Odoo!$B:$B, MATCH(Q2722, Pagos_Odoo!$I:$I, 0)), "Sin Pago"))</f>
        <v/>
      </c>
      <c r="Y2722" s="79">
        <f>IF(X2722="Sin Pago","",IFERROR(INDEX(Pagos_Odoo!$C:$C, MATCH(X2722, Pagos_Odoo!$B:$B, 0)), ""))</f>
        <v/>
      </c>
      <c r="Z2722" s="80">
        <f>IF(X2722="Sin Pago","",IFERROR(INDEX(Pagos_Odoo!$A:$A, MATCH(X2722, Pagos_Odoo!$B:$B, 0)), ""))</f>
        <v/>
      </c>
      <c r="AA2722" s="79">
        <f>IF(X2722="Sin Pago","",IFERROR(INDEX(Pagos_Odoo!$F:$F, MATCH(X2722, Pagos_Odoo!$B:$B, 0)), ""))</f>
        <v/>
      </c>
      <c r="AB2722" s="81">
        <f>IF(X2722="Sin Pago",0,IFERROR(INDEX(Pagos_Odoo!$E:$E, MATCH(X2722, Pagos_Odoo!$B:$B, 0)), 0))</f>
        <v/>
      </c>
      <c r="AC2722" s="79">
        <f>IF(X2722="Sin Pago","",IFERROR(INDEX(Pagos_Odoo!$G:$G, MATCH(X2722, Pagos_Odoo!$B:$B, 0)), ""))</f>
        <v/>
      </c>
      <c r="AD2722" s="82" t="n">
        <v>0</v>
      </c>
      <c r="AE2722" s="82" t="n"/>
      <c r="AF2722" s="82" t="n"/>
      <c r="AG2722" s="82">
        <f>IF(AN2722="","",AD2722+AE2722+AF2722)</f>
        <v/>
      </c>
      <c r="AH2722" s="81">
        <f>IF(AN2722="","",P2722*(1-AG2722))</f>
        <v/>
      </c>
      <c r="AI2722" s="81">
        <f>IF(AN2722="","",IF(Q2722="Sin Factura",0,IFERROR(INDEX(Facturas_Odoo!$H:$H, MATCH(Q2722, Facturas_Odoo!$B:$B, 0)), 0)*(1-AG2722)))</f>
        <v/>
      </c>
      <c r="AJ2722" s="81">
        <f>IF(AN2722="","",_xlfn.LET(idVenta, AN2722&amp;"",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22" s="81">
        <f>IF(AN2722="","",AH2722-AJ2722)</f>
        <v/>
      </c>
      <c r="AL2722" s="81">
        <f>IF(AN2722="","",IF(Q2722="Sin Factura","",AI2722-AJ2722))</f>
        <v/>
      </c>
      <c r="AM2722" s="81">
        <f>IF(AN2722="","",IF(Q2722="Sin Factura",0,P2722-IFERROR(INDEX(Facturas_Odoo!$H:$H, MATCH(Q2722, Facturas_Odoo!$B:$B, 0)), 0)))</f>
        <v/>
      </c>
      <c r="AN2722" s="79">
        <f>IF(AND(A2722="", J2722=""), "", IF(A2722&lt;&gt;"", VALUE(MID(A2722,2,LEN(A2722))), AN2721))</f>
        <v/>
      </c>
      <c r="AO2722" s="79">
        <f>IF(AN2722="","",IF(AD2722=0,"OK",_xlfn.LET(monedaPago, IF(AA2722="","USD",AA2722), limitePermitido, IFERROR(VLOOKUP(monedaPago, Configuración!$A$2:$B$3, 2, FALSE), 0.15), IF(AD2722&gt;limitePermitido, "ALERTA: EXCESO (" &amp; TEXT(limitePermitido, "0%") &amp; " máx)", "OK"))))</f>
        <v/>
      </c>
      <c r="AP2722" s="79">
        <f>IF(AN2722="","",IF(AE2722=0,"OK",_xlfn.LET(fechaPago, Z2722, fechaFactura, R2722, diasCredito, IF(E2722="Pago inmediato", 0, IFERROR(VALUE(MID(E2722, 1, SEARCH(" ", E2722)-1)),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22" s="79">
        <f>IF(AN2722="","",IF(AND(N2722&gt;0, AG2722&gt;0), IF(Configuración!$K$2="NO", "ALERTA: DESCUENTO DOBLE NO PERMITIDO", "OK"), "OK"))</f>
        <v/>
      </c>
      <c r="AR2722" s="79">
        <f>IF(AN2722="","",IF(OR(AO2722&lt;&gt;"OK", AP2722&lt;&gt;"OK", AQ2722&lt;&gt;"OK"), "⚠️ REVISAR", "OK"))</f>
        <v/>
      </c>
    </row>
    <row r="2723">
      <c r="A2723" s="79">
        <f>IF('Ordenes_Odoo'!A2723="","",'Ordenes_Odoo'!A2723)</f>
        <v/>
      </c>
      <c r="B2723" s="80">
        <f>IF('Ordenes_Odoo'!B2723="","",'Ordenes_Odoo'!B2723)</f>
        <v/>
      </c>
      <c r="C2723" s="79">
        <f>IF('Ordenes_Odoo'!C2723="","",'Ordenes_Odoo'!C2723)</f>
        <v/>
      </c>
      <c r="D2723" s="79">
        <f>IF('Ordenes_Odoo'!D2723="","",'Ordenes_Odoo'!D2723)</f>
        <v/>
      </c>
      <c r="E2723" s="79">
        <f>IF('Ordenes_Odoo'!E2723="","",'Ordenes_Odoo'!E2723)</f>
        <v/>
      </c>
      <c r="F2723" s="79">
        <f>IF('Ordenes_Odoo'!F2723="","",'Ordenes_Odoo'!F2723)</f>
        <v/>
      </c>
      <c r="G2723" s="79">
        <f>IF('Ordenes_Odoo'!G2723="","",'Ordenes_Odoo'!G2723)</f>
        <v/>
      </c>
      <c r="H2723" s="79">
        <f>IF('Ordenes_Odoo'!H2723="","",'Ordenes_Odoo'!H2723)</f>
        <v/>
      </c>
      <c r="I2723" s="79">
        <f>IF('Ordenes_Odoo'!I2723="","",'Ordenes_Odoo'!I2723)</f>
        <v/>
      </c>
      <c r="J2723" s="79">
        <f>IF('Ordenes_Odoo'!J2723="","",'Ordenes_Odoo'!J2723)</f>
        <v/>
      </c>
      <c r="K2723" s="81">
        <f>IF('Ordenes_Odoo'!K2723="","",'Ordenes_Odoo'!K2723)</f>
        <v/>
      </c>
      <c r="L2723" s="81">
        <f>IF('Ordenes_Odoo'!L2723="","",'Ordenes_Odoo'!L2723)</f>
        <v/>
      </c>
      <c r="M2723" s="79">
        <f>IF('Ordenes_Odoo'!M2723="","",'Ordenes_Odoo'!M2723)</f>
        <v/>
      </c>
      <c r="N2723" s="79">
        <f>IF('Ordenes_Odoo'!N2723="","",'Ordenes_Odoo'!N2723)</f>
        <v/>
      </c>
      <c r="O2723" s="81">
        <f>IF('Ordenes_Odoo'!O2723="","",'Ordenes_Odoo'!O2723)</f>
        <v/>
      </c>
      <c r="P2723" s="81">
        <f>IF('Ordenes_Odoo'!P2723="","",'Ordenes_Odoo'!P2723)</f>
        <v/>
      </c>
      <c r="Q2723" s="79">
        <f>IF(A2723="","",IFERROR(INDEX(Facturas_Odoo!$B:$B, MATCH(A2723, Facturas_Odoo!$D:$D, 0)), "Sin Factura"))</f>
        <v/>
      </c>
      <c r="R2723" s="80">
        <f>IF(Q2723="Sin Factura","",IFERROR(INDEX(Facturas_Odoo!$A:$A, MATCH(Q2723, Facturas_Odoo!$B:$B, 0)), ""))</f>
        <v/>
      </c>
      <c r="S2723" s="79">
        <f>IF(Q2723="Sin Factura","",IFERROR(_xlfn.XLOOKUP(1, (Facturas_Odoo!$D:$D=A2723) * (Facturas_Odoo!$K:$K=I2723), Facturas_Odoo!$L:$L, ""), ""))</f>
        <v/>
      </c>
      <c r="T2723" s="81">
        <f>IF(Q2723="Sin Factura",0,IFERROR(_xlfn.XLOOKUP(1, (Facturas_Odoo!$D:$D=A2723) * (Facturas_Odoo!$K:$K=I2723), Facturas_Odoo!$M:$M, 0), 0))</f>
        <v/>
      </c>
      <c r="U2723" s="79">
        <f>IF(Q2723="Sin Factura",0,IFERROR(_xlfn.XLOOKUP(1, (Facturas_Odoo!$D:$D=A2723) * (Facturas_Odoo!$K:$K=I2723), Facturas_Odoo!$N:$N, 0), 0))</f>
        <v/>
      </c>
      <c r="V2723" s="79">
        <f>IF(Q2723="Sin Factura",0,IFERROR(_xlfn.XLOOKUP(1, (Facturas_Odoo!$D:$D=A2723) * (Facturas_Odoo!$K:$K=I2723), Facturas_Odoo!$O:$O, 0), 0))</f>
        <v/>
      </c>
      <c r="W2723" s="81">
        <f>IF(Q2723="Sin Factura",0,IFERROR(_xlfn.XLOOKUP(1, (Facturas_Odoo!$D:$D=A2723) * (Facturas_Odoo!$K:$K=I2723), Facturas_Odoo!$Q:$Q, 0), 0))</f>
        <v/>
      </c>
      <c r="X2723" s="79">
        <f>IF(OR(Q2723="Sin Factura",Q2723=""),"",IFERROR(INDEX(Pagos_Odoo!$B:$B, MATCH(Q2723, Pagos_Odoo!$I:$I, 0)), "Sin Pago"))</f>
        <v/>
      </c>
      <c r="Y2723" s="79">
        <f>IF(X2723="Sin Pago","",IFERROR(INDEX(Pagos_Odoo!$C:$C, MATCH(X2723, Pagos_Odoo!$B:$B, 0)), ""))</f>
        <v/>
      </c>
      <c r="Z2723" s="80">
        <f>IF(X2723="Sin Pago","",IFERROR(INDEX(Pagos_Odoo!$A:$A, MATCH(X2723, Pagos_Odoo!$B:$B, 0)), ""))</f>
        <v/>
      </c>
      <c r="AA2723" s="79">
        <f>IF(X2723="Sin Pago","",IFERROR(INDEX(Pagos_Odoo!$F:$F, MATCH(X2723, Pagos_Odoo!$B:$B, 0)), ""))</f>
        <v/>
      </c>
      <c r="AB2723" s="81">
        <f>IF(X2723="Sin Pago",0,IFERROR(INDEX(Pagos_Odoo!$E:$E, MATCH(X2723, Pagos_Odoo!$B:$B, 0)), 0))</f>
        <v/>
      </c>
      <c r="AC2723" s="79">
        <f>IF(X2723="Sin Pago","",IFERROR(INDEX(Pagos_Odoo!$G:$G, MATCH(X2723, Pagos_Odoo!$B:$B, 0)), ""))</f>
        <v/>
      </c>
      <c r="AD2723" s="82" t="n">
        <v>0</v>
      </c>
      <c r="AE2723" s="82" t="n"/>
      <c r="AF2723" s="82" t="n"/>
      <c r="AG2723" s="82">
        <f>IF(AN2723="","",AD2723+AE2723+AF2723)</f>
        <v/>
      </c>
      <c r="AH2723" s="81">
        <f>IF(AN2723="","",P2723*(1-AG2723))</f>
        <v/>
      </c>
      <c r="AI2723" s="81">
        <f>IF(AN2723="","",IF(Q2723="Sin Factura",0,IFERROR(INDEX(Facturas_Odoo!$H:$H, MATCH(Q2723, Facturas_Odoo!$B:$B, 0)), 0)*(1-AG2723)))</f>
        <v/>
      </c>
      <c r="AJ2723" s="81">
        <f>IF(AN2723="","",_xlfn.LET(idVenta, AN2723&amp;"",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23" s="81">
        <f>IF(AN2723="","",AH2723-AJ2723)</f>
        <v/>
      </c>
      <c r="AL2723" s="81">
        <f>IF(AN2723="","",IF(Q2723="Sin Factura","",AI2723-AJ2723))</f>
        <v/>
      </c>
      <c r="AM2723" s="81">
        <f>IF(AN2723="","",IF(Q2723="Sin Factura",0,P2723-IFERROR(INDEX(Facturas_Odoo!$H:$H, MATCH(Q2723, Facturas_Odoo!$B:$B, 0)), 0)))</f>
        <v/>
      </c>
      <c r="AN2723" s="79">
        <f>IF(AND(A2723="", J2723=""), "", IF(A2723&lt;&gt;"", VALUE(MID(A2723,2,LEN(A2723))), AN2722))</f>
        <v/>
      </c>
      <c r="AO2723" s="79">
        <f>IF(AN2723="","",IF(AD2723=0,"OK",_xlfn.LET(monedaPago, IF(AA2723="","USD",AA2723), limitePermitido, IFERROR(VLOOKUP(monedaPago, Configuración!$A$2:$B$3, 2, FALSE), 0.15), IF(AD2723&gt;limitePermitido, "ALERTA: EXCESO (" &amp; TEXT(limitePermitido, "0%") &amp; " máx)", "OK"))))</f>
        <v/>
      </c>
      <c r="AP2723" s="79">
        <f>IF(AN2723="","",IF(AE2723=0,"OK",_xlfn.LET(fechaPago, Z2723, fechaFactura, R2723, diasCredito, IF(E2723="Pago inmediato", 0, IFERROR(VALUE(MID(E2723, 1, SEARCH(" ", E2723)-1)),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23" s="79">
        <f>IF(AN2723="","",IF(AND(N2723&gt;0, AG2723&gt;0), IF(Configuración!$K$2="NO", "ALERTA: DESCUENTO DOBLE NO PERMITIDO", "OK"), "OK"))</f>
        <v/>
      </c>
      <c r="AR2723" s="79">
        <f>IF(AN2723="","",IF(OR(AO2723&lt;&gt;"OK", AP2723&lt;&gt;"OK", AQ2723&lt;&gt;"OK"), "⚠️ REVISAR", "OK"))</f>
        <v/>
      </c>
    </row>
    <row r="2724">
      <c r="A2724" s="79">
        <f>IF('Ordenes_Odoo'!A2724="","",'Ordenes_Odoo'!A2724)</f>
        <v/>
      </c>
      <c r="B2724" s="80">
        <f>IF('Ordenes_Odoo'!B2724="","",'Ordenes_Odoo'!B2724)</f>
        <v/>
      </c>
      <c r="C2724" s="79">
        <f>IF('Ordenes_Odoo'!C2724="","",'Ordenes_Odoo'!C2724)</f>
        <v/>
      </c>
      <c r="D2724" s="79">
        <f>IF('Ordenes_Odoo'!D2724="","",'Ordenes_Odoo'!D2724)</f>
        <v/>
      </c>
      <c r="E2724" s="79">
        <f>IF('Ordenes_Odoo'!E2724="","",'Ordenes_Odoo'!E2724)</f>
        <v/>
      </c>
      <c r="F2724" s="79">
        <f>IF('Ordenes_Odoo'!F2724="","",'Ordenes_Odoo'!F2724)</f>
        <v/>
      </c>
      <c r="G2724" s="79">
        <f>IF('Ordenes_Odoo'!G2724="","",'Ordenes_Odoo'!G2724)</f>
        <v/>
      </c>
      <c r="H2724" s="79">
        <f>IF('Ordenes_Odoo'!H2724="","",'Ordenes_Odoo'!H2724)</f>
        <v/>
      </c>
      <c r="I2724" s="79">
        <f>IF('Ordenes_Odoo'!I2724="","",'Ordenes_Odoo'!I2724)</f>
        <v/>
      </c>
      <c r="J2724" s="79">
        <f>IF('Ordenes_Odoo'!J2724="","",'Ordenes_Odoo'!J2724)</f>
        <v/>
      </c>
      <c r="K2724" s="81">
        <f>IF('Ordenes_Odoo'!K2724="","",'Ordenes_Odoo'!K2724)</f>
        <v/>
      </c>
      <c r="L2724" s="81">
        <f>IF('Ordenes_Odoo'!L2724="","",'Ordenes_Odoo'!L2724)</f>
        <v/>
      </c>
      <c r="M2724" s="79">
        <f>IF('Ordenes_Odoo'!M2724="","",'Ordenes_Odoo'!M2724)</f>
        <v/>
      </c>
      <c r="N2724" s="79">
        <f>IF('Ordenes_Odoo'!N2724="","",'Ordenes_Odoo'!N2724)</f>
        <v/>
      </c>
      <c r="O2724" s="81">
        <f>IF('Ordenes_Odoo'!O2724="","",'Ordenes_Odoo'!O2724)</f>
        <v/>
      </c>
      <c r="P2724" s="81">
        <f>IF('Ordenes_Odoo'!P2724="","",'Ordenes_Odoo'!P2724)</f>
        <v/>
      </c>
      <c r="Q2724" s="79">
        <f>IF(A2724="","",IFERROR(INDEX(Facturas_Odoo!$B:$B, MATCH(A2724, Facturas_Odoo!$D:$D, 0)), "Sin Factura"))</f>
        <v/>
      </c>
      <c r="R2724" s="80">
        <f>IF(Q2724="Sin Factura","",IFERROR(INDEX(Facturas_Odoo!$A:$A, MATCH(Q2724, Facturas_Odoo!$B:$B, 0)), ""))</f>
        <v/>
      </c>
      <c r="S2724" s="79">
        <f>IF(Q2724="Sin Factura","",IFERROR(_xlfn.XLOOKUP(1, (Facturas_Odoo!$D:$D=A2724) * (Facturas_Odoo!$K:$K=I2724), Facturas_Odoo!$L:$L, ""), ""))</f>
        <v/>
      </c>
      <c r="T2724" s="81">
        <f>IF(Q2724="Sin Factura",0,IFERROR(_xlfn.XLOOKUP(1, (Facturas_Odoo!$D:$D=A2724) * (Facturas_Odoo!$K:$K=I2724), Facturas_Odoo!$M:$M, 0), 0))</f>
        <v/>
      </c>
      <c r="U2724" s="79">
        <f>IF(Q2724="Sin Factura",0,IFERROR(_xlfn.XLOOKUP(1, (Facturas_Odoo!$D:$D=A2724) * (Facturas_Odoo!$K:$K=I2724), Facturas_Odoo!$N:$N, 0), 0))</f>
        <v/>
      </c>
      <c r="V2724" s="79">
        <f>IF(Q2724="Sin Factura",0,IFERROR(_xlfn.XLOOKUP(1, (Facturas_Odoo!$D:$D=A2724) * (Facturas_Odoo!$K:$K=I2724), Facturas_Odoo!$O:$O, 0), 0))</f>
        <v/>
      </c>
      <c r="W2724" s="81">
        <f>IF(Q2724="Sin Factura",0,IFERROR(_xlfn.XLOOKUP(1, (Facturas_Odoo!$D:$D=A2724) * (Facturas_Odoo!$K:$K=I2724), Facturas_Odoo!$Q:$Q, 0), 0))</f>
        <v/>
      </c>
      <c r="X2724" s="79">
        <f>IF(OR(Q2724="Sin Factura",Q2724=""),"",IFERROR(INDEX(Pagos_Odoo!$B:$B, MATCH(Q2724, Pagos_Odoo!$I:$I, 0)), "Sin Pago"))</f>
        <v/>
      </c>
      <c r="Y2724" s="79">
        <f>IF(X2724="Sin Pago","",IFERROR(INDEX(Pagos_Odoo!$C:$C, MATCH(X2724, Pagos_Odoo!$B:$B, 0)), ""))</f>
        <v/>
      </c>
      <c r="Z2724" s="80">
        <f>IF(X2724="Sin Pago","",IFERROR(INDEX(Pagos_Odoo!$A:$A, MATCH(X2724, Pagos_Odoo!$B:$B, 0)), ""))</f>
        <v/>
      </c>
      <c r="AA2724" s="79">
        <f>IF(X2724="Sin Pago","",IFERROR(INDEX(Pagos_Odoo!$F:$F, MATCH(X2724, Pagos_Odoo!$B:$B, 0)), ""))</f>
        <v/>
      </c>
      <c r="AB2724" s="81">
        <f>IF(X2724="Sin Pago",0,IFERROR(INDEX(Pagos_Odoo!$E:$E, MATCH(X2724, Pagos_Odoo!$B:$B, 0)), 0))</f>
        <v/>
      </c>
      <c r="AC2724" s="79">
        <f>IF(X2724="Sin Pago","",IFERROR(INDEX(Pagos_Odoo!$G:$G, MATCH(X2724, Pagos_Odoo!$B:$B, 0)), ""))</f>
        <v/>
      </c>
      <c r="AD2724" s="82" t="n">
        <v>0</v>
      </c>
      <c r="AE2724" s="82" t="n"/>
      <c r="AF2724" s="82" t="n"/>
      <c r="AG2724" s="82">
        <f>IF(AN2724="","",AD2724+AE2724+AF2724)</f>
        <v/>
      </c>
      <c r="AH2724" s="81">
        <f>IF(AN2724="","",P2724*(1-AG2724))</f>
        <v/>
      </c>
      <c r="AI2724" s="81">
        <f>IF(AN2724="","",IF(Q2724="Sin Factura",0,IFERROR(INDEX(Facturas_Odoo!$H:$H, MATCH(Q2724, Facturas_Odoo!$B:$B, 0)), 0)*(1-AG2724)))</f>
        <v/>
      </c>
      <c r="AJ2724" s="81">
        <f>IF(AN2724="","",_xlfn.LET(idVenta, AN2724&amp;"",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24" s="81">
        <f>IF(AN2724="","",AH2724-AJ2724)</f>
        <v/>
      </c>
      <c r="AL2724" s="81">
        <f>IF(AN2724="","",IF(Q2724="Sin Factura","",AI2724-AJ2724))</f>
        <v/>
      </c>
      <c r="AM2724" s="81">
        <f>IF(AN2724="","",IF(Q2724="Sin Factura",0,P2724-IFERROR(INDEX(Facturas_Odoo!$H:$H, MATCH(Q2724, Facturas_Odoo!$B:$B, 0)), 0)))</f>
        <v/>
      </c>
      <c r="AN2724" s="79">
        <f>IF(AND(A2724="", J2724=""), "", IF(A2724&lt;&gt;"", VALUE(MID(A2724,2,LEN(A2724))), AN2723))</f>
        <v/>
      </c>
      <c r="AO2724" s="79">
        <f>IF(AN2724="","",IF(AD2724=0,"OK",_xlfn.LET(monedaPago, IF(AA2724="","USD",AA2724), limitePermitido, IFERROR(VLOOKUP(monedaPago, Configuración!$A$2:$B$3, 2, FALSE), 0.15), IF(AD2724&gt;limitePermitido, "ALERTA: EXCESO (" &amp; TEXT(limitePermitido, "0%") &amp; " máx)", "OK"))))</f>
        <v/>
      </c>
      <c r="AP2724" s="79">
        <f>IF(AN2724="","",IF(AE2724=0,"OK",_xlfn.LET(fechaPago, Z2724, fechaFactura, R2724, diasCredito, IF(E2724="Pago inmediato", 0, IFERROR(VALUE(MID(E2724, 1, SEARCH(" ", E2724)-1)),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24" s="79">
        <f>IF(AN2724="","",IF(AND(N2724&gt;0, AG2724&gt;0), IF(Configuración!$K$2="NO", "ALERTA: DESCUENTO DOBLE NO PERMITIDO", "OK"), "OK"))</f>
        <v/>
      </c>
      <c r="AR2724" s="79">
        <f>IF(AN2724="","",IF(OR(AO2724&lt;&gt;"OK", AP2724&lt;&gt;"OK", AQ2724&lt;&gt;"OK"), "⚠️ REVISAR", "OK"))</f>
        <v/>
      </c>
    </row>
    <row r="2725">
      <c r="A2725" s="79">
        <f>IF('Ordenes_Odoo'!A2725="","",'Ordenes_Odoo'!A2725)</f>
        <v/>
      </c>
      <c r="B2725" s="80">
        <f>IF('Ordenes_Odoo'!B2725="","",'Ordenes_Odoo'!B2725)</f>
        <v/>
      </c>
      <c r="C2725" s="79">
        <f>IF('Ordenes_Odoo'!C2725="","",'Ordenes_Odoo'!C2725)</f>
        <v/>
      </c>
      <c r="D2725" s="79">
        <f>IF('Ordenes_Odoo'!D2725="","",'Ordenes_Odoo'!D2725)</f>
        <v/>
      </c>
      <c r="E2725" s="79">
        <f>IF('Ordenes_Odoo'!E2725="","",'Ordenes_Odoo'!E2725)</f>
        <v/>
      </c>
      <c r="F2725" s="79">
        <f>IF('Ordenes_Odoo'!F2725="","",'Ordenes_Odoo'!F2725)</f>
        <v/>
      </c>
      <c r="G2725" s="79">
        <f>IF('Ordenes_Odoo'!G2725="","",'Ordenes_Odoo'!G2725)</f>
        <v/>
      </c>
      <c r="H2725" s="79">
        <f>IF('Ordenes_Odoo'!H2725="","",'Ordenes_Odoo'!H2725)</f>
        <v/>
      </c>
      <c r="I2725" s="79">
        <f>IF('Ordenes_Odoo'!I2725="","",'Ordenes_Odoo'!I2725)</f>
        <v/>
      </c>
      <c r="J2725" s="79">
        <f>IF('Ordenes_Odoo'!J2725="","",'Ordenes_Odoo'!J2725)</f>
        <v/>
      </c>
      <c r="K2725" s="81">
        <f>IF('Ordenes_Odoo'!K2725="","",'Ordenes_Odoo'!K2725)</f>
        <v/>
      </c>
      <c r="L2725" s="81">
        <f>IF('Ordenes_Odoo'!L2725="","",'Ordenes_Odoo'!L2725)</f>
        <v/>
      </c>
      <c r="M2725" s="79">
        <f>IF('Ordenes_Odoo'!M2725="","",'Ordenes_Odoo'!M2725)</f>
        <v/>
      </c>
      <c r="N2725" s="79">
        <f>IF('Ordenes_Odoo'!N2725="","",'Ordenes_Odoo'!N2725)</f>
        <v/>
      </c>
      <c r="O2725" s="81">
        <f>IF('Ordenes_Odoo'!O2725="","",'Ordenes_Odoo'!O2725)</f>
        <v/>
      </c>
      <c r="P2725" s="81">
        <f>IF('Ordenes_Odoo'!P2725="","",'Ordenes_Odoo'!P2725)</f>
        <v/>
      </c>
      <c r="Q2725" s="79">
        <f>IF(A2725="","",IFERROR(INDEX(Facturas_Odoo!$B:$B, MATCH(A2725, Facturas_Odoo!$D:$D, 0)), "Sin Factura"))</f>
        <v/>
      </c>
      <c r="R2725" s="80">
        <f>IF(Q2725="Sin Factura","",IFERROR(INDEX(Facturas_Odoo!$A:$A, MATCH(Q2725, Facturas_Odoo!$B:$B, 0)), ""))</f>
        <v/>
      </c>
      <c r="S2725" s="79">
        <f>IF(Q2725="Sin Factura","",IFERROR(_xlfn.XLOOKUP(1, (Facturas_Odoo!$D:$D=A2725) * (Facturas_Odoo!$K:$K=I2725), Facturas_Odoo!$L:$L, ""), ""))</f>
        <v/>
      </c>
      <c r="T2725" s="81">
        <f>IF(Q2725="Sin Factura",0,IFERROR(_xlfn.XLOOKUP(1, (Facturas_Odoo!$D:$D=A2725) * (Facturas_Odoo!$K:$K=I2725), Facturas_Odoo!$M:$M, 0), 0))</f>
        <v/>
      </c>
      <c r="U2725" s="79">
        <f>IF(Q2725="Sin Factura",0,IFERROR(_xlfn.XLOOKUP(1, (Facturas_Odoo!$D:$D=A2725) * (Facturas_Odoo!$K:$K=I2725), Facturas_Odoo!$N:$N, 0), 0))</f>
        <v/>
      </c>
      <c r="V2725" s="79">
        <f>IF(Q2725="Sin Factura",0,IFERROR(_xlfn.XLOOKUP(1, (Facturas_Odoo!$D:$D=A2725) * (Facturas_Odoo!$K:$K=I2725), Facturas_Odoo!$O:$O, 0), 0))</f>
        <v/>
      </c>
      <c r="W2725" s="81">
        <f>IF(Q2725="Sin Factura",0,IFERROR(_xlfn.XLOOKUP(1, (Facturas_Odoo!$D:$D=A2725) * (Facturas_Odoo!$K:$K=I2725), Facturas_Odoo!$Q:$Q, 0), 0))</f>
        <v/>
      </c>
      <c r="X2725" s="79">
        <f>IF(OR(Q2725="Sin Factura",Q2725=""),"",IFERROR(INDEX(Pagos_Odoo!$B:$B, MATCH(Q2725, Pagos_Odoo!$I:$I, 0)), "Sin Pago"))</f>
        <v/>
      </c>
      <c r="Y2725" s="79">
        <f>IF(X2725="Sin Pago","",IFERROR(INDEX(Pagos_Odoo!$C:$C, MATCH(X2725, Pagos_Odoo!$B:$B, 0)), ""))</f>
        <v/>
      </c>
      <c r="Z2725" s="80">
        <f>IF(X2725="Sin Pago","",IFERROR(INDEX(Pagos_Odoo!$A:$A, MATCH(X2725, Pagos_Odoo!$B:$B, 0)), ""))</f>
        <v/>
      </c>
      <c r="AA2725" s="79">
        <f>IF(X2725="Sin Pago","",IFERROR(INDEX(Pagos_Odoo!$F:$F, MATCH(X2725, Pagos_Odoo!$B:$B, 0)), ""))</f>
        <v/>
      </c>
      <c r="AB2725" s="81">
        <f>IF(X2725="Sin Pago",0,IFERROR(INDEX(Pagos_Odoo!$E:$E, MATCH(X2725, Pagos_Odoo!$B:$B, 0)), 0))</f>
        <v/>
      </c>
      <c r="AC2725" s="79">
        <f>IF(X2725="Sin Pago","",IFERROR(INDEX(Pagos_Odoo!$G:$G, MATCH(X2725, Pagos_Odoo!$B:$B, 0)), ""))</f>
        <v/>
      </c>
      <c r="AD2725" s="82" t="n">
        <v>0</v>
      </c>
      <c r="AE2725" s="82" t="n"/>
      <c r="AF2725" s="82" t="n"/>
      <c r="AG2725" s="82">
        <f>IF(AN2725="","",AD2725+AE2725+AF2725)</f>
        <v/>
      </c>
      <c r="AH2725" s="81">
        <f>IF(AN2725="","",P2725*(1-AG2725))</f>
        <v/>
      </c>
      <c r="AI2725" s="81">
        <f>IF(AN2725="","",IF(Q2725="Sin Factura",0,IFERROR(INDEX(Facturas_Odoo!$H:$H, MATCH(Q2725, Facturas_Odoo!$B:$B, 0)), 0)*(1-AG2725)))</f>
        <v/>
      </c>
      <c r="AJ2725" s="81">
        <f>IF(AN2725="","",_xlfn.LET(idVenta, AN2725&amp;"",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25" s="81">
        <f>IF(AN2725="","",AH2725-AJ2725)</f>
        <v/>
      </c>
      <c r="AL2725" s="81">
        <f>IF(AN2725="","",IF(Q2725="Sin Factura","",AI2725-AJ2725))</f>
        <v/>
      </c>
      <c r="AM2725" s="81">
        <f>IF(AN2725="","",IF(Q2725="Sin Factura",0,P2725-IFERROR(INDEX(Facturas_Odoo!$H:$H, MATCH(Q2725, Facturas_Odoo!$B:$B, 0)), 0)))</f>
        <v/>
      </c>
      <c r="AN2725" s="79">
        <f>IF(AND(A2725="", J2725=""), "", IF(A2725&lt;&gt;"", VALUE(MID(A2725,2,LEN(A2725))), AN2724))</f>
        <v/>
      </c>
      <c r="AO2725" s="79">
        <f>IF(AN2725="","",IF(AD2725=0,"OK",_xlfn.LET(monedaPago, IF(AA2725="","USD",AA2725), limitePermitido, IFERROR(VLOOKUP(monedaPago, Configuración!$A$2:$B$3, 2, FALSE), 0.15), IF(AD2725&gt;limitePermitido, "ALERTA: EXCESO (" &amp; TEXT(limitePermitido, "0%") &amp; " máx)", "OK"))))</f>
        <v/>
      </c>
      <c r="AP2725" s="79">
        <f>IF(AN2725="","",IF(AE2725=0,"OK",_xlfn.LET(fechaPago, Z2725, fechaFactura, R2725, diasCredito, IF(E2725="Pago inmediato", 0, IFERROR(VALUE(MID(E2725, 1, SEARCH(" ", E2725)-1)),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25" s="79">
        <f>IF(AN2725="","",IF(AND(N2725&gt;0, AG2725&gt;0), IF(Configuración!$K$2="NO", "ALERTA: DESCUENTO DOBLE NO PERMITIDO", "OK"), "OK"))</f>
        <v/>
      </c>
      <c r="AR2725" s="79">
        <f>IF(AN2725="","",IF(OR(AO2725&lt;&gt;"OK", AP2725&lt;&gt;"OK", AQ2725&lt;&gt;"OK"), "⚠️ REVISAR", "OK"))</f>
        <v/>
      </c>
    </row>
    <row r="2726">
      <c r="A2726" s="79">
        <f>IF('Ordenes_Odoo'!A2726="","",'Ordenes_Odoo'!A2726)</f>
        <v/>
      </c>
      <c r="B2726" s="80">
        <f>IF('Ordenes_Odoo'!B2726="","",'Ordenes_Odoo'!B2726)</f>
        <v/>
      </c>
      <c r="C2726" s="79">
        <f>IF('Ordenes_Odoo'!C2726="","",'Ordenes_Odoo'!C2726)</f>
        <v/>
      </c>
      <c r="D2726" s="79">
        <f>IF('Ordenes_Odoo'!D2726="","",'Ordenes_Odoo'!D2726)</f>
        <v/>
      </c>
      <c r="E2726" s="79">
        <f>IF('Ordenes_Odoo'!E2726="","",'Ordenes_Odoo'!E2726)</f>
        <v/>
      </c>
      <c r="F2726" s="79">
        <f>IF('Ordenes_Odoo'!F2726="","",'Ordenes_Odoo'!F2726)</f>
        <v/>
      </c>
      <c r="G2726" s="79">
        <f>IF('Ordenes_Odoo'!G2726="","",'Ordenes_Odoo'!G2726)</f>
        <v/>
      </c>
      <c r="H2726" s="79">
        <f>IF('Ordenes_Odoo'!H2726="","",'Ordenes_Odoo'!H2726)</f>
        <v/>
      </c>
      <c r="I2726" s="79">
        <f>IF('Ordenes_Odoo'!I2726="","",'Ordenes_Odoo'!I2726)</f>
        <v/>
      </c>
      <c r="J2726" s="79">
        <f>IF('Ordenes_Odoo'!J2726="","",'Ordenes_Odoo'!J2726)</f>
        <v/>
      </c>
      <c r="K2726" s="81">
        <f>IF('Ordenes_Odoo'!K2726="","",'Ordenes_Odoo'!K2726)</f>
        <v/>
      </c>
      <c r="L2726" s="81">
        <f>IF('Ordenes_Odoo'!L2726="","",'Ordenes_Odoo'!L2726)</f>
        <v/>
      </c>
      <c r="M2726" s="79">
        <f>IF('Ordenes_Odoo'!M2726="","",'Ordenes_Odoo'!M2726)</f>
        <v/>
      </c>
      <c r="N2726" s="79">
        <f>IF('Ordenes_Odoo'!N2726="","",'Ordenes_Odoo'!N2726)</f>
        <v/>
      </c>
      <c r="O2726" s="81">
        <f>IF('Ordenes_Odoo'!O2726="","",'Ordenes_Odoo'!O2726)</f>
        <v/>
      </c>
      <c r="P2726" s="81">
        <f>IF('Ordenes_Odoo'!P2726="","",'Ordenes_Odoo'!P2726)</f>
        <v/>
      </c>
      <c r="Q2726" s="79">
        <f>IF(A2726="","",IFERROR(INDEX(Facturas_Odoo!$B:$B, MATCH(A2726, Facturas_Odoo!$D:$D, 0)), "Sin Factura"))</f>
        <v/>
      </c>
      <c r="R2726" s="80">
        <f>IF(Q2726="Sin Factura","",IFERROR(INDEX(Facturas_Odoo!$A:$A, MATCH(Q2726, Facturas_Odoo!$B:$B, 0)), ""))</f>
        <v/>
      </c>
      <c r="S2726" s="79">
        <f>IF(Q2726="Sin Factura","",IFERROR(_xlfn.XLOOKUP(1, (Facturas_Odoo!$D:$D=A2726) * (Facturas_Odoo!$K:$K=I2726), Facturas_Odoo!$L:$L, ""), ""))</f>
        <v/>
      </c>
      <c r="T2726" s="81">
        <f>IF(Q2726="Sin Factura",0,IFERROR(_xlfn.XLOOKUP(1, (Facturas_Odoo!$D:$D=A2726) * (Facturas_Odoo!$K:$K=I2726), Facturas_Odoo!$M:$M, 0), 0))</f>
        <v/>
      </c>
      <c r="U2726" s="79">
        <f>IF(Q2726="Sin Factura",0,IFERROR(_xlfn.XLOOKUP(1, (Facturas_Odoo!$D:$D=A2726) * (Facturas_Odoo!$K:$K=I2726), Facturas_Odoo!$N:$N, 0), 0))</f>
        <v/>
      </c>
      <c r="V2726" s="79">
        <f>IF(Q2726="Sin Factura",0,IFERROR(_xlfn.XLOOKUP(1, (Facturas_Odoo!$D:$D=A2726) * (Facturas_Odoo!$K:$K=I2726), Facturas_Odoo!$O:$O, 0), 0))</f>
        <v/>
      </c>
      <c r="W2726" s="81">
        <f>IF(Q2726="Sin Factura",0,IFERROR(_xlfn.XLOOKUP(1, (Facturas_Odoo!$D:$D=A2726) * (Facturas_Odoo!$K:$K=I2726), Facturas_Odoo!$Q:$Q, 0), 0))</f>
        <v/>
      </c>
      <c r="X2726" s="79">
        <f>IF(OR(Q2726="Sin Factura",Q2726=""),"",IFERROR(INDEX(Pagos_Odoo!$B:$B, MATCH(Q2726, Pagos_Odoo!$I:$I, 0)), "Sin Pago"))</f>
        <v/>
      </c>
      <c r="Y2726" s="79">
        <f>IF(X2726="Sin Pago","",IFERROR(INDEX(Pagos_Odoo!$C:$C, MATCH(X2726, Pagos_Odoo!$B:$B, 0)), ""))</f>
        <v/>
      </c>
      <c r="Z2726" s="80">
        <f>IF(X2726="Sin Pago","",IFERROR(INDEX(Pagos_Odoo!$A:$A, MATCH(X2726, Pagos_Odoo!$B:$B, 0)), ""))</f>
        <v/>
      </c>
      <c r="AA2726" s="79">
        <f>IF(X2726="Sin Pago","",IFERROR(INDEX(Pagos_Odoo!$F:$F, MATCH(X2726, Pagos_Odoo!$B:$B, 0)), ""))</f>
        <v/>
      </c>
      <c r="AB2726" s="81">
        <f>IF(X2726="Sin Pago",0,IFERROR(INDEX(Pagos_Odoo!$E:$E, MATCH(X2726, Pagos_Odoo!$B:$B, 0)), 0))</f>
        <v/>
      </c>
      <c r="AC2726" s="79">
        <f>IF(X2726="Sin Pago","",IFERROR(INDEX(Pagos_Odoo!$G:$G, MATCH(X2726, Pagos_Odoo!$B:$B, 0)), ""))</f>
        <v/>
      </c>
      <c r="AD2726" s="82" t="n">
        <v>0</v>
      </c>
      <c r="AE2726" s="82" t="n"/>
      <c r="AF2726" s="82" t="n"/>
      <c r="AG2726" s="82">
        <f>IF(AN2726="","",AD2726+AE2726+AF2726)</f>
        <v/>
      </c>
      <c r="AH2726" s="81">
        <f>IF(AN2726="","",P2726*(1-AG2726))</f>
        <v/>
      </c>
      <c r="AI2726" s="81">
        <f>IF(AN2726="","",IF(Q2726="Sin Factura",0,IFERROR(INDEX(Facturas_Odoo!$H:$H, MATCH(Q2726, Facturas_Odoo!$B:$B, 0)), 0)*(1-AG2726)))</f>
        <v/>
      </c>
      <c r="AJ2726" s="81">
        <f>IF(AN2726="","",_xlfn.LET(idVenta, AN2726&amp;"",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26" s="81">
        <f>IF(AN2726="","",AH2726-AJ2726)</f>
        <v/>
      </c>
      <c r="AL2726" s="81">
        <f>IF(AN2726="","",IF(Q2726="Sin Factura","",AI2726-AJ2726))</f>
        <v/>
      </c>
      <c r="AM2726" s="81">
        <f>IF(AN2726="","",IF(Q2726="Sin Factura",0,P2726-IFERROR(INDEX(Facturas_Odoo!$H:$H, MATCH(Q2726, Facturas_Odoo!$B:$B, 0)), 0)))</f>
        <v/>
      </c>
      <c r="AN2726" s="79">
        <f>IF(AND(A2726="", J2726=""), "", IF(A2726&lt;&gt;"", VALUE(MID(A2726,2,LEN(A2726))), AN2725))</f>
        <v/>
      </c>
      <c r="AO2726" s="79">
        <f>IF(AN2726="","",IF(AD2726=0,"OK",_xlfn.LET(monedaPago, IF(AA2726="","USD",AA2726), limitePermitido, IFERROR(VLOOKUP(monedaPago, Configuración!$A$2:$B$3, 2, FALSE), 0.15), IF(AD2726&gt;limitePermitido, "ALERTA: EXCESO (" &amp; TEXT(limitePermitido, "0%") &amp; " máx)", "OK"))))</f>
        <v/>
      </c>
      <c r="AP2726" s="79">
        <f>IF(AN2726="","",IF(AE2726=0,"OK",_xlfn.LET(fechaPago, Z2726, fechaFactura, R2726, diasCredito, IF(E2726="Pago inmediato", 0, IFERROR(VALUE(MID(E2726, 1, SEARCH(" ", E2726)-1)),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26" s="79">
        <f>IF(AN2726="","",IF(AND(N2726&gt;0, AG2726&gt;0), IF(Configuración!$K$2="NO", "ALERTA: DESCUENTO DOBLE NO PERMITIDO", "OK"), "OK"))</f>
        <v/>
      </c>
      <c r="AR2726" s="79">
        <f>IF(AN2726="","",IF(OR(AO2726&lt;&gt;"OK", AP2726&lt;&gt;"OK", AQ2726&lt;&gt;"OK"), "⚠️ REVISAR", "OK"))</f>
        <v/>
      </c>
    </row>
    <row r="2727">
      <c r="A2727" s="79">
        <f>IF('Ordenes_Odoo'!A2727="","",'Ordenes_Odoo'!A2727)</f>
        <v/>
      </c>
      <c r="B2727" s="80">
        <f>IF('Ordenes_Odoo'!B2727="","",'Ordenes_Odoo'!B2727)</f>
        <v/>
      </c>
      <c r="C2727" s="79">
        <f>IF('Ordenes_Odoo'!C2727="","",'Ordenes_Odoo'!C2727)</f>
        <v/>
      </c>
      <c r="D2727" s="79">
        <f>IF('Ordenes_Odoo'!D2727="","",'Ordenes_Odoo'!D2727)</f>
        <v/>
      </c>
      <c r="E2727" s="79">
        <f>IF('Ordenes_Odoo'!E2727="","",'Ordenes_Odoo'!E2727)</f>
        <v/>
      </c>
      <c r="F2727" s="79">
        <f>IF('Ordenes_Odoo'!F2727="","",'Ordenes_Odoo'!F2727)</f>
        <v/>
      </c>
      <c r="G2727" s="79">
        <f>IF('Ordenes_Odoo'!G2727="","",'Ordenes_Odoo'!G2727)</f>
        <v/>
      </c>
      <c r="H2727" s="79">
        <f>IF('Ordenes_Odoo'!H2727="","",'Ordenes_Odoo'!H2727)</f>
        <v/>
      </c>
      <c r="I2727" s="79">
        <f>IF('Ordenes_Odoo'!I2727="","",'Ordenes_Odoo'!I2727)</f>
        <v/>
      </c>
      <c r="J2727" s="79">
        <f>IF('Ordenes_Odoo'!J2727="","",'Ordenes_Odoo'!J2727)</f>
        <v/>
      </c>
      <c r="K2727" s="81">
        <f>IF('Ordenes_Odoo'!K2727="","",'Ordenes_Odoo'!K2727)</f>
        <v/>
      </c>
      <c r="L2727" s="81">
        <f>IF('Ordenes_Odoo'!L2727="","",'Ordenes_Odoo'!L2727)</f>
        <v/>
      </c>
      <c r="M2727" s="79">
        <f>IF('Ordenes_Odoo'!M2727="","",'Ordenes_Odoo'!M2727)</f>
        <v/>
      </c>
      <c r="N2727" s="79">
        <f>IF('Ordenes_Odoo'!N2727="","",'Ordenes_Odoo'!N2727)</f>
        <v/>
      </c>
      <c r="O2727" s="81">
        <f>IF('Ordenes_Odoo'!O2727="","",'Ordenes_Odoo'!O2727)</f>
        <v/>
      </c>
      <c r="P2727" s="81">
        <f>IF('Ordenes_Odoo'!P2727="","",'Ordenes_Odoo'!P2727)</f>
        <v/>
      </c>
      <c r="Q2727" s="79">
        <f>IF(A2727="","",IFERROR(INDEX(Facturas_Odoo!$B:$B, MATCH(A2727, Facturas_Odoo!$D:$D, 0)), "Sin Factura"))</f>
        <v/>
      </c>
      <c r="R2727" s="80">
        <f>IF(Q2727="Sin Factura","",IFERROR(INDEX(Facturas_Odoo!$A:$A, MATCH(Q2727, Facturas_Odoo!$B:$B, 0)), ""))</f>
        <v/>
      </c>
      <c r="S2727" s="79">
        <f>IF(Q2727="Sin Factura","",IFERROR(_xlfn.XLOOKUP(1, (Facturas_Odoo!$D:$D=A2727) * (Facturas_Odoo!$K:$K=I2727), Facturas_Odoo!$L:$L, ""), ""))</f>
        <v/>
      </c>
      <c r="T2727" s="81">
        <f>IF(Q2727="Sin Factura",0,IFERROR(_xlfn.XLOOKUP(1, (Facturas_Odoo!$D:$D=A2727) * (Facturas_Odoo!$K:$K=I2727), Facturas_Odoo!$M:$M, 0), 0))</f>
        <v/>
      </c>
      <c r="U2727" s="79">
        <f>IF(Q2727="Sin Factura",0,IFERROR(_xlfn.XLOOKUP(1, (Facturas_Odoo!$D:$D=A2727) * (Facturas_Odoo!$K:$K=I2727), Facturas_Odoo!$N:$N, 0), 0))</f>
        <v/>
      </c>
      <c r="V2727" s="79">
        <f>IF(Q2727="Sin Factura",0,IFERROR(_xlfn.XLOOKUP(1, (Facturas_Odoo!$D:$D=A2727) * (Facturas_Odoo!$K:$K=I2727), Facturas_Odoo!$O:$O, 0), 0))</f>
        <v/>
      </c>
      <c r="W2727" s="81">
        <f>IF(Q2727="Sin Factura",0,IFERROR(_xlfn.XLOOKUP(1, (Facturas_Odoo!$D:$D=A2727) * (Facturas_Odoo!$K:$K=I2727), Facturas_Odoo!$Q:$Q, 0), 0))</f>
        <v/>
      </c>
      <c r="X2727" s="79">
        <f>IF(OR(Q2727="Sin Factura",Q2727=""),"",IFERROR(INDEX(Pagos_Odoo!$B:$B, MATCH(Q2727, Pagos_Odoo!$I:$I, 0)), "Sin Pago"))</f>
        <v/>
      </c>
      <c r="Y2727" s="79">
        <f>IF(X2727="Sin Pago","",IFERROR(INDEX(Pagos_Odoo!$C:$C, MATCH(X2727, Pagos_Odoo!$B:$B, 0)), ""))</f>
        <v/>
      </c>
      <c r="Z2727" s="80">
        <f>IF(X2727="Sin Pago","",IFERROR(INDEX(Pagos_Odoo!$A:$A, MATCH(X2727, Pagos_Odoo!$B:$B, 0)), ""))</f>
        <v/>
      </c>
      <c r="AA2727" s="79">
        <f>IF(X2727="Sin Pago","",IFERROR(INDEX(Pagos_Odoo!$F:$F, MATCH(X2727, Pagos_Odoo!$B:$B, 0)), ""))</f>
        <v/>
      </c>
      <c r="AB2727" s="81">
        <f>IF(X2727="Sin Pago",0,IFERROR(INDEX(Pagos_Odoo!$E:$E, MATCH(X2727, Pagos_Odoo!$B:$B, 0)), 0))</f>
        <v/>
      </c>
      <c r="AC2727" s="79">
        <f>IF(X2727="Sin Pago","",IFERROR(INDEX(Pagos_Odoo!$G:$G, MATCH(X2727, Pagos_Odoo!$B:$B, 0)), ""))</f>
        <v/>
      </c>
      <c r="AD2727" s="82" t="n">
        <v>0</v>
      </c>
      <c r="AE2727" s="82" t="n"/>
      <c r="AF2727" s="82" t="n"/>
      <c r="AG2727" s="82">
        <f>IF(AN2727="","",AD2727+AE2727+AF2727)</f>
        <v/>
      </c>
      <c r="AH2727" s="81">
        <f>IF(AN2727="","",P2727*(1-AG2727))</f>
        <v/>
      </c>
      <c r="AI2727" s="81">
        <f>IF(AN2727="","",IF(Q2727="Sin Factura",0,IFERROR(INDEX(Facturas_Odoo!$H:$H, MATCH(Q2727, Facturas_Odoo!$B:$B, 0)), 0)*(1-AG2727)))</f>
        <v/>
      </c>
      <c r="AJ2727" s="81">
        <f>IF(AN2727="","",_xlfn.LET(idVenta, AN2727&amp;"",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27" s="81">
        <f>IF(AN2727="","",AH2727-AJ2727)</f>
        <v/>
      </c>
      <c r="AL2727" s="81">
        <f>IF(AN2727="","",IF(Q2727="Sin Factura","",AI2727-AJ2727))</f>
        <v/>
      </c>
      <c r="AM2727" s="81">
        <f>IF(AN2727="","",IF(Q2727="Sin Factura",0,P2727-IFERROR(INDEX(Facturas_Odoo!$H:$H, MATCH(Q2727, Facturas_Odoo!$B:$B, 0)), 0)))</f>
        <v/>
      </c>
      <c r="AN2727" s="79">
        <f>IF(AND(A2727="", J2727=""), "", IF(A2727&lt;&gt;"", VALUE(MID(A2727,2,LEN(A2727))), AN2726))</f>
        <v/>
      </c>
      <c r="AO2727" s="79">
        <f>IF(AN2727="","",IF(AD2727=0,"OK",_xlfn.LET(monedaPago, IF(AA2727="","USD",AA2727), limitePermitido, IFERROR(VLOOKUP(monedaPago, Configuración!$A$2:$B$3, 2, FALSE), 0.15), IF(AD2727&gt;limitePermitido, "ALERTA: EXCESO (" &amp; TEXT(limitePermitido, "0%") &amp; " máx)", "OK"))))</f>
        <v/>
      </c>
      <c r="AP2727" s="79">
        <f>IF(AN2727="","",IF(AE2727=0,"OK",_xlfn.LET(fechaPago, Z2727, fechaFactura, R2727, diasCredito, IF(E2727="Pago inmediato", 0, IFERROR(VALUE(MID(E2727, 1, SEARCH(" ", E2727)-1)),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27" s="79">
        <f>IF(AN2727="","",IF(AND(N2727&gt;0, AG2727&gt;0), IF(Configuración!$K$2="NO", "ALERTA: DESCUENTO DOBLE NO PERMITIDO", "OK"), "OK"))</f>
        <v/>
      </c>
      <c r="AR2727" s="79">
        <f>IF(AN2727="","",IF(OR(AO2727&lt;&gt;"OK", AP2727&lt;&gt;"OK", AQ2727&lt;&gt;"OK"), "⚠️ REVISAR", "OK"))</f>
        <v/>
      </c>
    </row>
    <row r="2728">
      <c r="A2728" s="79">
        <f>IF('Ordenes_Odoo'!A2728="","",'Ordenes_Odoo'!A2728)</f>
        <v/>
      </c>
      <c r="B2728" s="80">
        <f>IF('Ordenes_Odoo'!B2728="","",'Ordenes_Odoo'!B2728)</f>
        <v/>
      </c>
      <c r="C2728" s="79">
        <f>IF('Ordenes_Odoo'!C2728="","",'Ordenes_Odoo'!C2728)</f>
        <v/>
      </c>
      <c r="D2728" s="79">
        <f>IF('Ordenes_Odoo'!D2728="","",'Ordenes_Odoo'!D2728)</f>
        <v/>
      </c>
      <c r="E2728" s="79">
        <f>IF('Ordenes_Odoo'!E2728="","",'Ordenes_Odoo'!E2728)</f>
        <v/>
      </c>
      <c r="F2728" s="79">
        <f>IF('Ordenes_Odoo'!F2728="","",'Ordenes_Odoo'!F2728)</f>
        <v/>
      </c>
      <c r="G2728" s="79">
        <f>IF('Ordenes_Odoo'!G2728="","",'Ordenes_Odoo'!G2728)</f>
        <v/>
      </c>
      <c r="H2728" s="79">
        <f>IF('Ordenes_Odoo'!H2728="","",'Ordenes_Odoo'!H2728)</f>
        <v/>
      </c>
      <c r="I2728" s="79">
        <f>IF('Ordenes_Odoo'!I2728="","",'Ordenes_Odoo'!I2728)</f>
        <v/>
      </c>
      <c r="J2728" s="79">
        <f>IF('Ordenes_Odoo'!J2728="","",'Ordenes_Odoo'!J2728)</f>
        <v/>
      </c>
      <c r="K2728" s="81">
        <f>IF('Ordenes_Odoo'!K2728="","",'Ordenes_Odoo'!K2728)</f>
        <v/>
      </c>
      <c r="L2728" s="81">
        <f>IF('Ordenes_Odoo'!L2728="","",'Ordenes_Odoo'!L2728)</f>
        <v/>
      </c>
      <c r="M2728" s="79">
        <f>IF('Ordenes_Odoo'!M2728="","",'Ordenes_Odoo'!M2728)</f>
        <v/>
      </c>
      <c r="N2728" s="79">
        <f>IF('Ordenes_Odoo'!N2728="","",'Ordenes_Odoo'!N2728)</f>
        <v/>
      </c>
      <c r="O2728" s="81">
        <f>IF('Ordenes_Odoo'!O2728="","",'Ordenes_Odoo'!O2728)</f>
        <v/>
      </c>
      <c r="P2728" s="81">
        <f>IF('Ordenes_Odoo'!P2728="","",'Ordenes_Odoo'!P2728)</f>
        <v/>
      </c>
      <c r="Q2728" s="79">
        <f>IF(A2728="","",IFERROR(INDEX(Facturas_Odoo!$B:$B, MATCH(A2728, Facturas_Odoo!$D:$D, 0)), "Sin Factura"))</f>
        <v/>
      </c>
      <c r="R2728" s="80">
        <f>IF(Q2728="Sin Factura","",IFERROR(INDEX(Facturas_Odoo!$A:$A, MATCH(Q2728, Facturas_Odoo!$B:$B, 0)), ""))</f>
        <v/>
      </c>
      <c r="S2728" s="79">
        <f>IF(Q2728="Sin Factura","",IFERROR(_xlfn.XLOOKUP(1, (Facturas_Odoo!$D:$D=A2728) * (Facturas_Odoo!$K:$K=I2728), Facturas_Odoo!$L:$L, ""), ""))</f>
        <v/>
      </c>
      <c r="T2728" s="81">
        <f>IF(Q2728="Sin Factura",0,IFERROR(_xlfn.XLOOKUP(1, (Facturas_Odoo!$D:$D=A2728) * (Facturas_Odoo!$K:$K=I2728), Facturas_Odoo!$M:$M, 0), 0))</f>
        <v/>
      </c>
      <c r="U2728" s="79">
        <f>IF(Q2728="Sin Factura",0,IFERROR(_xlfn.XLOOKUP(1, (Facturas_Odoo!$D:$D=A2728) * (Facturas_Odoo!$K:$K=I2728), Facturas_Odoo!$N:$N, 0), 0))</f>
        <v/>
      </c>
      <c r="V2728" s="79">
        <f>IF(Q2728="Sin Factura",0,IFERROR(_xlfn.XLOOKUP(1, (Facturas_Odoo!$D:$D=A2728) * (Facturas_Odoo!$K:$K=I2728), Facturas_Odoo!$O:$O, 0), 0))</f>
        <v/>
      </c>
      <c r="W2728" s="81">
        <f>IF(Q2728="Sin Factura",0,IFERROR(_xlfn.XLOOKUP(1, (Facturas_Odoo!$D:$D=A2728) * (Facturas_Odoo!$K:$K=I2728), Facturas_Odoo!$Q:$Q, 0), 0))</f>
        <v/>
      </c>
      <c r="X2728" s="79">
        <f>IF(OR(Q2728="Sin Factura",Q2728=""),"",IFERROR(INDEX(Pagos_Odoo!$B:$B, MATCH(Q2728, Pagos_Odoo!$I:$I, 0)), "Sin Pago"))</f>
        <v/>
      </c>
      <c r="Y2728" s="79">
        <f>IF(X2728="Sin Pago","",IFERROR(INDEX(Pagos_Odoo!$C:$C, MATCH(X2728, Pagos_Odoo!$B:$B, 0)), ""))</f>
        <v/>
      </c>
      <c r="Z2728" s="80">
        <f>IF(X2728="Sin Pago","",IFERROR(INDEX(Pagos_Odoo!$A:$A, MATCH(X2728, Pagos_Odoo!$B:$B, 0)), ""))</f>
        <v/>
      </c>
      <c r="AA2728" s="79">
        <f>IF(X2728="Sin Pago","",IFERROR(INDEX(Pagos_Odoo!$F:$F, MATCH(X2728, Pagos_Odoo!$B:$B, 0)), ""))</f>
        <v/>
      </c>
      <c r="AB2728" s="81">
        <f>IF(X2728="Sin Pago",0,IFERROR(INDEX(Pagos_Odoo!$E:$E, MATCH(X2728, Pagos_Odoo!$B:$B, 0)), 0))</f>
        <v/>
      </c>
      <c r="AC2728" s="79">
        <f>IF(X2728="Sin Pago","",IFERROR(INDEX(Pagos_Odoo!$G:$G, MATCH(X2728, Pagos_Odoo!$B:$B, 0)), ""))</f>
        <v/>
      </c>
      <c r="AD2728" s="82" t="n">
        <v>0</v>
      </c>
      <c r="AE2728" s="82" t="n"/>
      <c r="AF2728" s="82" t="n"/>
      <c r="AG2728" s="82">
        <f>IF(AN2728="","",AD2728+AE2728+AF2728)</f>
        <v/>
      </c>
      <c r="AH2728" s="81">
        <f>IF(AN2728="","",P2728*(1-AG2728))</f>
        <v/>
      </c>
      <c r="AI2728" s="81">
        <f>IF(AN2728="","",IF(Q2728="Sin Factura",0,IFERROR(INDEX(Facturas_Odoo!$H:$H, MATCH(Q2728, Facturas_Odoo!$B:$B, 0)), 0)*(1-AG2728)))</f>
        <v/>
      </c>
      <c r="AJ2728" s="81">
        <f>IF(AN2728="","",_xlfn.LET(idVenta, AN2728&amp;"",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28" s="81">
        <f>IF(AN2728="","",AH2728-AJ2728)</f>
        <v/>
      </c>
      <c r="AL2728" s="81">
        <f>IF(AN2728="","",IF(Q2728="Sin Factura","",AI2728-AJ2728))</f>
        <v/>
      </c>
      <c r="AM2728" s="81">
        <f>IF(AN2728="","",IF(Q2728="Sin Factura",0,P2728-IFERROR(INDEX(Facturas_Odoo!$H:$H, MATCH(Q2728, Facturas_Odoo!$B:$B, 0)), 0)))</f>
        <v/>
      </c>
      <c r="AN2728" s="79">
        <f>IF(AND(A2728="", J2728=""), "", IF(A2728&lt;&gt;"", VALUE(MID(A2728,2,LEN(A2728))), AN2727))</f>
        <v/>
      </c>
      <c r="AO2728" s="79">
        <f>IF(AN2728="","",IF(AD2728=0,"OK",_xlfn.LET(monedaPago, IF(AA2728="","USD",AA2728), limitePermitido, IFERROR(VLOOKUP(monedaPago, Configuración!$A$2:$B$3, 2, FALSE), 0.15), IF(AD2728&gt;limitePermitido, "ALERTA: EXCESO (" &amp; TEXT(limitePermitido, "0%") &amp; " máx)", "OK"))))</f>
        <v/>
      </c>
      <c r="AP2728" s="79">
        <f>IF(AN2728="","",IF(AE2728=0,"OK",_xlfn.LET(fechaPago, Z2728, fechaFactura, R2728, diasCredito, IF(E2728="Pago inmediato", 0, IFERROR(VALUE(MID(E2728, 1, SEARCH(" ", E2728)-1)),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28" s="79">
        <f>IF(AN2728="","",IF(AND(N2728&gt;0, AG2728&gt;0), IF(Configuración!$K$2="NO", "ALERTA: DESCUENTO DOBLE NO PERMITIDO", "OK"), "OK"))</f>
        <v/>
      </c>
      <c r="AR2728" s="79">
        <f>IF(AN2728="","",IF(OR(AO2728&lt;&gt;"OK", AP2728&lt;&gt;"OK", AQ2728&lt;&gt;"OK"), "⚠️ REVISAR", "OK"))</f>
        <v/>
      </c>
    </row>
    <row r="2729">
      <c r="A2729" s="79">
        <f>IF('Ordenes_Odoo'!A2729="","",'Ordenes_Odoo'!A2729)</f>
        <v/>
      </c>
      <c r="B2729" s="80">
        <f>IF('Ordenes_Odoo'!B2729="","",'Ordenes_Odoo'!B2729)</f>
        <v/>
      </c>
      <c r="C2729" s="79">
        <f>IF('Ordenes_Odoo'!C2729="","",'Ordenes_Odoo'!C2729)</f>
        <v/>
      </c>
      <c r="D2729" s="79">
        <f>IF('Ordenes_Odoo'!D2729="","",'Ordenes_Odoo'!D2729)</f>
        <v/>
      </c>
      <c r="E2729" s="79">
        <f>IF('Ordenes_Odoo'!E2729="","",'Ordenes_Odoo'!E2729)</f>
        <v/>
      </c>
      <c r="F2729" s="79">
        <f>IF('Ordenes_Odoo'!F2729="","",'Ordenes_Odoo'!F2729)</f>
        <v/>
      </c>
      <c r="G2729" s="79">
        <f>IF('Ordenes_Odoo'!G2729="","",'Ordenes_Odoo'!G2729)</f>
        <v/>
      </c>
      <c r="H2729" s="79">
        <f>IF('Ordenes_Odoo'!H2729="","",'Ordenes_Odoo'!H2729)</f>
        <v/>
      </c>
      <c r="I2729" s="79">
        <f>IF('Ordenes_Odoo'!I2729="","",'Ordenes_Odoo'!I2729)</f>
        <v/>
      </c>
      <c r="J2729" s="79">
        <f>IF('Ordenes_Odoo'!J2729="","",'Ordenes_Odoo'!J2729)</f>
        <v/>
      </c>
      <c r="K2729" s="81">
        <f>IF('Ordenes_Odoo'!K2729="","",'Ordenes_Odoo'!K2729)</f>
        <v/>
      </c>
      <c r="L2729" s="81">
        <f>IF('Ordenes_Odoo'!L2729="","",'Ordenes_Odoo'!L2729)</f>
        <v/>
      </c>
      <c r="M2729" s="79">
        <f>IF('Ordenes_Odoo'!M2729="","",'Ordenes_Odoo'!M2729)</f>
        <v/>
      </c>
      <c r="N2729" s="79">
        <f>IF('Ordenes_Odoo'!N2729="","",'Ordenes_Odoo'!N2729)</f>
        <v/>
      </c>
      <c r="O2729" s="81">
        <f>IF('Ordenes_Odoo'!O2729="","",'Ordenes_Odoo'!O2729)</f>
        <v/>
      </c>
      <c r="P2729" s="81">
        <f>IF('Ordenes_Odoo'!P2729="","",'Ordenes_Odoo'!P2729)</f>
        <v/>
      </c>
      <c r="Q2729" s="79">
        <f>IF(A2729="","",IFERROR(INDEX(Facturas_Odoo!$B:$B, MATCH(A2729, Facturas_Odoo!$D:$D, 0)), "Sin Factura"))</f>
        <v/>
      </c>
      <c r="R2729" s="80">
        <f>IF(Q2729="Sin Factura","",IFERROR(INDEX(Facturas_Odoo!$A:$A, MATCH(Q2729, Facturas_Odoo!$B:$B, 0)), ""))</f>
        <v/>
      </c>
      <c r="S2729" s="79">
        <f>IF(Q2729="Sin Factura","",IFERROR(_xlfn.XLOOKUP(1, (Facturas_Odoo!$D:$D=A2729) * (Facturas_Odoo!$K:$K=I2729), Facturas_Odoo!$L:$L, ""), ""))</f>
        <v/>
      </c>
      <c r="T2729" s="81">
        <f>IF(Q2729="Sin Factura",0,IFERROR(_xlfn.XLOOKUP(1, (Facturas_Odoo!$D:$D=A2729) * (Facturas_Odoo!$K:$K=I2729), Facturas_Odoo!$M:$M, 0), 0))</f>
        <v/>
      </c>
      <c r="U2729" s="79">
        <f>IF(Q2729="Sin Factura",0,IFERROR(_xlfn.XLOOKUP(1, (Facturas_Odoo!$D:$D=A2729) * (Facturas_Odoo!$K:$K=I2729), Facturas_Odoo!$N:$N, 0), 0))</f>
        <v/>
      </c>
      <c r="V2729" s="79">
        <f>IF(Q2729="Sin Factura",0,IFERROR(_xlfn.XLOOKUP(1, (Facturas_Odoo!$D:$D=A2729) * (Facturas_Odoo!$K:$K=I2729), Facturas_Odoo!$O:$O, 0), 0))</f>
        <v/>
      </c>
      <c r="W2729" s="81">
        <f>IF(Q2729="Sin Factura",0,IFERROR(_xlfn.XLOOKUP(1, (Facturas_Odoo!$D:$D=A2729) * (Facturas_Odoo!$K:$K=I2729), Facturas_Odoo!$Q:$Q, 0), 0))</f>
        <v/>
      </c>
      <c r="X2729" s="79">
        <f>IF(OR(Q2729="Sin Factura",Q2729=""),"",IFERROR(INDEX(Pagos_Odoo!$B:$B, MATCH(Q2729, Pagos_Odoo!$I:$I, 0)), "Sin Pago"))</f>
        <v/>
      </c>
      <c r="Y2729" s="79">
        <f>IF(X2729="Sin Pago","",IFERROR(INDEX(Pagos_Odoo!$C:$C, MATCH(X2729, Pagos_Odoo!$B:$B, 0)), ""))</f>
        <v/>
      </c>
      <c r="Z2729" s="80">
        <f>IF(X2729="Sin Pago","",IFERROR(INDEX(Pagos_Odoo!$A:$A, MATCH(X2729, Pagos_Odoo!$B:$B, 0)), ""))</f>
        <v/>
      </c>
      <c r="AA2729" s="79">
        <f>IF(X2729="Sin Pago","",IFERROR(INDEX(Pagos_Odoo!$F:$F, MATCH(X2729, Pagos_Odoo!$B:$B, 0)), ""))</f>
        <v/>
      </c>
      <c r="AB2729" s="81">
        <f>IF(X2729="Sin Pago",0,IFERROR(INDEX(Pagos_Odoo!$E:$E, MATCH(X2729, Pagos_Odoo!$B:$B, 0)), 0))</f>
        <v/>
      </c>
      <c r="AC2729" s="79">
        <f>IF(X2729="Sin Pago","",IFERROR(INDEX(Pagos_Odoo!$G:$G, MATCH(X2729, Pagos_Odoo!$B:$B, 0)), ""))</f>
        <v/>
      </c>
      <c r="AD2729" s="82" t="n">
        <v>0</v>
      </c>
      <c r="AE2729" s="82" t="n"/>
      <c r="AF2729" s="82" t="n"/>
      <c r="AG2729" s="82">
        <f>IF(AN2729="","",AD2729+AE2729+AF2729)</f>
        <v/>
      </c>
      <c r="AH2729" s="81">
        <f>IF(AN2729="","",P2729*(1-AG2729))</f>
        <v/>
      </c>
      <c r="AI2729" s="81">
        <f>IF(AN2729="","",IF(Q2729="Sin Factura",0,IFERROR(INDEX(Facturas_Odoo!$H:$H, MATCH(Q2729, Facturas_Odoo!$B:$B, 0)), 0)*(1-AG2729)))</f>
        <v/>
      </c>
      <c r="AJ2729" s="81">
        <f>IF(AN2729="","",_xlfn.LET(idVenta, AN2729&amp;"",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29" s="81">
        <f>IF(AN2729="","",AH2729-AJ2729)</f>
        <v/>
      </c>
      <c r="AL2729" s="81">
        <f>IF(AN2729="","",IF(Q2729="Sin Factura","",AI2729-AJ2729))</f>
        <v/>
      </c>
      <c r="AM2729" s="81">
        <f>IF(AN2729="","",IF(Q2729="Sin Factura",0,P2729-IFERROR(INDEX(Facturas_Odoo!$H:$H, MATCH(Q2729, Facturas_Odoo!$B:$B, 0)), 0)))</f>
        <v/>
      </c>
      <c r="AN2729" s="79">
        <f>IF(AND(A2729="", J2729=""), "", IF(A2729&lt;&gt;"", VALUE(MID(A2729,2,LEN(A2729))), AN2728))</f>
        <v/>
      </c>
      <c r="AO2729" s="79">
        <f>IF(AN2729="","",IF(AD2729=0,"OK",_xlfn.LET(monedaPago, IF(AA2729="","USD",AA2729), limitePermitido, IFERROR(VLOOKUP(monedaPago, Configuración!$A$2:$B$3, 2, FALSE), 0.15), IF(AD2729&gt;limitePermitido, "ALERTA: EXCESO (" &amp; TEXT(limitePermitido, "0%") &amp; " máx)", "OK"))))</f>
        <v/>
      </c>
      <c r="AP2729" s="79">
        <f>IF(AN2729="","",IF(AE2729=0,"OK",_xlfn.LET(fechaPago, Z2729, fechaFactura, R2729, diasCredito, IF(E2729="Pago inmediato", 0, IFERROR(VALUE(MID(E2729, 1, SEARCH(" ", E2729)-1)),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29" s="79">
        <f>IF(AN2729="","",IF(AND(N2729&gt;0, AG2729&gt;0), IF(Configuración!$K$2="NO", "ALERTA: DESCUENTO DOBLE NO PERMITIDO", "OK"), "OK"))</f>
        <v/>
      </c>
      <c r="AR2729" s="79">
        <f>IF(AN2729="","",IF(OR(AO2729&lt;&gt;"OK", AP2729&lt;&gt;"OK", AQ2729&lt;&gt;"OK"), "⚠️ REVISAR", "OK"))</f>
        <v/>
      </c>
    </row>
    <row r="2730">
      <c r="A2730" s="79">
        <f>IF('Ordenes_Odoo'!A2730="","",'Ordenes_Odoo'!A2730)</f>
        <v/>
      </c>
      <c r="B2730" s="80">
        <f>IF('Ordenes_Odoo'!B2730="","",'Ordenes_Odoo'!B2730)</f>
        <v/>
      </c>
      <c r="C2730" s="79">
        <f>IF('Ordenes_Odoo'!C2730="","",'Ordenes_Odoo'!C2730)</f>
        <v/>
      </c>
      <c r="D2730" s="79">
        <f>IF('Ordenes_Odoo'!D2730="","",'Ordenes_Odoo'!D2730)</f>
        <v/>
      </c>
      <c r="E2730" s="79">
        <f>IF('Ordenes_Odoo'!E2730="","",'Ordenes_Odoo'!E2730)</f>
        <v/>
      </c>
      <c r="F2730" s="79">
        <f>IF('Ordenes_Odoo'!F2730="","",'Ordenes_Odoo'!F2730)</f>
        <v/>
      </c>
      <c r="G2730" s="79">
        <f>IF('Ordenes_Odoo'!G2730="","",'Ordenes_Odoo'!G2730)</f>
        <v/>
      </c>
      <c r="H2730" s="79">
        <f>IF('Ordenes_Odoo'!H2730="","",'Ordenes_Odoo'!H2730)</f>
        <v/>
      </c>
      <c r="I2730" s="79">
        <f>IF('Ordenes_Odoo'!I2730="","",'Ordenes_Odoo'!I2730)</f>
        <v/>
      </c>
      <c r="J2730" s="79">
        <f>IF('Ordenes_Odoo'!J2730="","",'Ordenes_Odoo'!J2730)</f>
        <v/>
      </c>
      <c r="K2730" s="81">
        <f>IF('Ordenes_Odoo'!K2730="","",'Ordenes_Odoo'!K2730)</f>
        <v/>
      </c>
      <c r="L2730" s="81">
        <f>IF('Ordenes_Odoo'!L2730="","",'Ordenes_Odoo'!L2730)</f>
        <v/>
      </c>
      <c r="M2730" s="79">
        <f>IF('Ordenes_Odoo'!M2730="","",'Ordenes_Odoo'!M2730)</f>
        <v/>
      </c>
      <c r="N2730" s="79">
        <f>IF('Ordenes_Odoo'!N2730="","",'Ordenes_Odoo'!N2730)</f>
        <v/>
      </c>
      <c r="O2730" s="81">
        <f>IF('Ordenes_Odoo'!O2730="","",'Ordenes_Odoo'!O2730)</f>
        <v/>
      </c>
      <c r="P2730" s="81">
        <f>IF('Ordenes_Odoo'!P2730="","",'Ordenes_Odoo'!P2730)</f>
        <v/>
      </c>
      <c r="Q2730" s="79">
        <f>IF(A2730="","",IFERROR(INDEX(Facturas_Odoo!$B:$B, MATCH(A2730, Facturas_Odoo!$D:$D, 0)), "Sin Factura"))</f>
        <v/>
      </c>
      <c r="R2730" s="80">
        <f>IF(Q2730="Sin Factura","",IFERROR(INDEX(Facturas_Odoo!$A:$A, MATCH(Q2730, Facturas_Odoo!$B:$B, 0)), ""))</f>
        <v/>
      </c>
      <c r="S2730" s="79">
        <f>IF(Q2730="Sin Factura","",IFERROR(_xlfn.XLOOKUP(1, (Facturas_Odoo!$D:$D=A2730) * (Facturas_Odoo!$K:$K=I2730), Facturas_Odoo!$L:$L, ""), ""))</f>
        <v/>
      </c>
      <c r="T2730" s="81">
        <f>IF(Q2730="Sin Factura",0,IFERROR(_xlfn.XLOOKUP(1, (Facturas_Odoo!$D:$D=A2730) * (Facturas_Odoo!$K:$K=I2730), Facturas_Odoo!$M:$M, 0), 0))</f>
        <v/>
      </c>
      <c r="U2730" s="79">
        <f>IF(Q2730="Sin Factura",0,IFERROR(_xlfn.XLOOKUP(1, (Facturas_Odoo!$D:$D=A2730) * (Facturas_Odoo!$K:$K=I2730), Facturas_Odoo!$N:$N, 0), 0))</f>
        <v/>
      </c>
      <c r="V2730" s="79">
        <f>IF(Q2730="Sin Factura",0,IFERROR(_xlfn.XLOOKUP(1, (Facturas_Odoo!$D:$D=A2730) * (Facturas_Odoo!$K:$K=I2730), Facturas_Odoo!$O:$O, 0), 0))</f>
        <v/>
      </c>
      <c r="W2730" s="81">
        <f>IF(Q2730="Sin Factura",0,IFERROR(_xlfn.XLOOKUP(1, (Facturas_Odoo!$D:$D=A2730) * (Facturas_Odoo!$K:$K=I2730), Facturas_Odoo!$Q:$Q, 0), 0))</f>
        <v/>
      </c>
      <c r="X2730" s="79">
        <f>IF(OR(Q2730="Sin Factura",Q2730=""),"",IFERROR(INDEX(Pagos_Odoo!$B:$B, MATCH(Q2730, Pagos_Odoo!$I:$I, 0)), "Sin Pago"))</f>
        <v/>
      </c>
      <c r="Y2730" s="79">
        <f>IF(X2730="Sin Pago","",IFERROR(INDEX(Pagos_Odoo!$C:$C, MATCH(X2730, Pagos_Odoo!$B:$B, 0)), ""))</f>
        <v/>
      </c>
      <c r="Z2730" s="80">
        <f>IF(X2730="Sin Pago","",IFERROR(INDEX(Pagos_Odoo!$A:$A, MATCH(X2730, Pagos_Odoo!$B:$B, 0)), ""))</f>
        <v/>
      </c>
      <c r="AA2730" s="79">
        <f>IF(X2730="Sin Pago","",IFERROR(INDEX(Pagos_Odoo!$F:$F, MATCH(X2730, Pagos_Odoo!$B:$B, 0)), ""))</f>
        <v/>
      </c>
      <c r="AB2730" s="81">
        <f>IF(X2730="Sin Pago",0,IFERROR(INDEX(Pagos_Odoo!$E:$E, MATCH(X2730, Pagos_Odoo!$B:$B, 0)), 0))</f>
        <v/>
      </c>
      <c r="AC2730" s="79">
        <f>IF(X2730="Sin Pago","",IFERROR(INDEX(Pagos_Odoo!$G:$G, MATCH(X2730, Pagos_Odoo!$B:$B, 0)), ""))</f>
        <v/>
      </c>
      <c r="AD2730" s="82" t="n">
        <v>0</v>
      </c>
      <c r="AE2730" s="82" t="n"/>
      <c r="AF2730" s="82" t="n"/>
      <c r="AG2730" s="82">
        <f>IF(AN2730="","",AD2730+AE2730+AF2730)</f>
        <v/>
      </c>
      <c r="AH2730" s="81">
        <f>IF(AN2730="","",P2730*(1-AG2730))</f>
        <v/>
      </c>
      <c r="AI2730" s="81">
        <f>IF(AN2730="","",IF(Q2730="Sin Factura",0,IFERROR(INDEX(Facturas_Odoo!$H:$H, MATCH(Q2730, Facturas_Odoo!$B:$B, 0)), 0)*(1-AG2730)))</f>
        <v/>
      </c>
      <c r="AJ2730" s="81">
        <f>IF(AN2730="","",_xlfn.LET(idVenta, AN2730&amp;"",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30" s="81">
        <f>IF(AN2730="","",AH2730-AJ2730)</f>
        <v/>
      </c>
      <c r="AL2730" s="81">
        <f>IF(AN2730="","",IF(Q2730="Sin Factura","",AI2730-AJ2730))</f>
        <v/>
      </c>
      <c r="AM2730" s="81">
        <f>IF(AN2730="","",IF(Q2730="Sin Factura",0,P2730-IFERROR(INDEX(Facturas_Odoo!$H:$H, MATCH(Q2730, Facturas_Odoo!$B:$B, 0)), 0)))</f>
        <v/>
      </c>
      <c r="AN2730" s="79">
        <f>IF(AND(A2730="", J2730=""), "", IF(A2730&lt;&gt;"", VALUE(MID(A2730,2,LEN(A2730))), AN2729))</f>
        <v/>
      </c>
      <c r="AO2730" s="79">
        <f>IF(AN2730="","",IF(AD2730=0,"OK",_xlfn.LET(monedaPago, IF(AA2730="","USD",AA2730), limitePermitido, IFERROR(VLOOKUP(monedaPago, Configuración!$A$2:$B$3, 2, FALSE), 0.15), IF(AD2730&gt;limitePermitido, "ALERTA: EXCESO (" &amp; TEXT(limitePermitido, "0%") &amp; " máx)", "OK"))))</f>
        <v/>
      </c>
      <c r="AP2730" s="79">
        <f>IF(AN2730="","",IF(AE2730=0,"OK",_xlfn.LET(fechaPago, Z2730, fechaFactura, R2730, diasCredito, IF(E2730="Pago inmediato", 0, IFERROR(VALUE(MID(E2730, 1, SEARCH(" ", E2730)-1)),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30" s="79">
        <f>IF(AN2730="","",IF(AND(N2730&gt;0, AG2730&gt;0), IF(Configuración!$K$2="NO", "ALERTA: DESCUENTO DOBLE NO PERMITIDO", "OK"), "OK"))</f>
        <v/>
      </c>
      <c r="AR2730" s="79">
        <f>IF(AN2730="","",IF(OR(AO2730&lt;&gt;"OK", AP2730&lt;&gt;"OK", AQ2730&lt;&gt;"OK"), "⚠️ REVISAR", "OK"))</f>
        <v/>
      </c>
    </row>
    <row r="2731">
      <c r="A2731" s="79">
        <f>IF('Ordenes_Odoo'!A2731="","",'Ordenes_Odoo'!A2731)</f>
        <v/>
      </c>
      <c r="B2731" s="80">
        <f>IF('Ordenes_Odoo'!B2731="","",'Ordenes_Odoo'!B2731)</f>
        <v/>
      </c>
      <c r="C2731" s="79">
        <f>IF('Ordenes_Odoo'!C2731="","",'Ordenes_Odoo'!C2731)</f>
        <v/>
      </c>
      <c r="D2731" s="79">
        <f>IF('Ordenes_Odoo'!D2731="","",'Ordenes_Odoo'!D2731)</f>
        <v/>
      </c>
      <c r="E2731" s="79">
        <f>IF('Ordenes_Odoo'!E2731="","",'Ordenes_Odoo'!E2731)</f>
        <v/>
      </c>
      <c r="F2731" s="79">
        <f>IF('Ordenes_Odoo'!F2731="","",'Ordenes_Odoo'!F2731)</f>
        <v/>
      </c>
      <c r="G2731" s="79">
        <f>IF('Ordenes_Odoo'!G2731="","",'Ordenes_Odoo'!G2731)</f>
        <v/>
      </c>
      <c r="H2731" s="79">
        <f>IF('Ordenes_Odoo'!H2731="","",'Ordenes_Odoo'!H2731)</f>
        <v/>
      </c>
      <c r="I2731" s="79">
        <f>IF('Ordenes_Odoo'!I2731="","",'Ordenes_Odoo'!I2731)</f>
        <v/>
      </c>
      <c r="J2731" s="79">
        <f>IF('Ordenes_Odoo'!J2731="","",'Ordenes_Odoo'!J2731)</f>
        <v/>
      </c>
      <c r="K2731" s="81">
        <f>IF('Ordenes_Odoo'!K2731="","",'Ordenes_Odoo'!K2731)</f>
        <v/>
      </c>
      <c r="L2731" s="81">
        <f>IF('Ordenes_Odoo'!L2731="","",'Ordenes_Odoo'!L2731)</f>
        <v/>
      </c>
      <c r="M2731" s="79">
        <f>IF('Ordenes_Odoo'!M2731="","",'Ordenes_Odoo'!M2731)</f>
        <v/>
      </c>
      <c r="N2731" s="79">
        <f>IF('Ordenes_Odoo'!N2731="","",'Ordenes_Odoo'!N2731)</f>
        <v/>
      </c>
      <c r="O2731" s="81">
        <f>IF('Ordenes_Odoo'!O2731="","",'Ordenes_Odoo'!O2731)</f>
        <v/>
      </c>
      <c r="P2731" s="81">
        <f>IF('Ordenes_Odoo'!P2731="","",'Ordenes_Odoo'!P2731)</f>
        <v/>
      </c>
      <c r="Q2731" s="79">
        <f>IF(A2731="","",IFERROR(INDEX(Facturas_Odoo!$B:$B, MATCH(A2731, Facturas_Odoo!$D:$D, 0)), "Sin Factura"))</f>
        <v/>
      </c>
      <c r="R2731" s="80">
        <f>IF(Q2731="Sin Factura","",IFERROR(INDEX(Facturas_Odoo!$A:$A, MATCH(Q2731, Facturas_Odoo!$B:$B, 0)), ""))</f>
        <v/>
      </c>
      <c r="S2731" s="79">
        <f>IF(Q2731="Sin Factura","",IFERROR(_xlfn.XLOOKUP(1, (Facturas_Odoo!$D:$D=A2731) * (Facturas_Odoo!$K:$K=I2731), Facturas_Odoo!$L:$L, ""), ""))</f>
        <v/>
      </c>
      <c r="T2731" s="81">
        <f>IF(Q2731="Sin Factura",0,IFERROR(_xlfn.XLOOKUP(1, (Facturas_Odoo!$D:$D=A2731) * (Facturas_Odoo!$K:$K=I2731), Facturas_Odoo!$M:$M, 0), 0))</f>
        <v/>
      </c>
      <c r="U2731" s="79">
        <f>IF(Q2731="Sin Factura",0,IFERROR(_xlfn.XLOOKUP(1, (Facturas_Odoo!$D:$D=A2731) * (Facturas_Odoo!$K:$K=I2731), Facturas_Odoo!$N:$N, 0), 0))</f>
        <v/>
      </c>
      <c r="V2731" s="79">
        <f>IF(Q2731="Sin Factura",0,IFERROR(_xlfn.XLOOKUP(1, (Facturas_Odoo!$D:$D=A2731) * (Facturas_Odoo!$K:$K=I2731), Facturas_Odoo!$O:$O, 0), 0))</f>
        <v/>
      </c>
      <c r="W2731" s="81">
        <f>IF(Q2731="Sin Factura",0,IFERROR(_xlfn.XLOOKUP(1, (Facturas_Odoo!$D:$D=A2731) * (Facturas_Odoo!$K:$K=I2731), Facturas_Odoo!$Q:$Q, 0), 0))</f>
        <v/>
      </c>
      <c r="X2731" s="79">
        <f>IF(OR(Q2731="Sin Factura",Q2731=""),"",IFERROR(INDEX(Pagos_Odoo!$B:$B, MATCH(Q2731, Pagos_Odoo!$I:$I, 0)), "Sin Pago"))</f>
        <v/>
      </c>
      <c r="Y2731" s="79">
        <f>IF(X2731="Sin Pago","",IFERROR(INDEX(Pagos_Odoo!$C:$C, MATCH(X2731, Pagos_Odoo!$B:$B, 0)), ""))</f>
        <v/>
      </c>
      <c r="Z2731" s="80">
        <f>IF(X2731="Sin Pago","",IFERROR(INDEX(Pagos_Odoo!$A:$A, MATCH(X2731, Pagos_Odoo!$B:$B, 0)), ""))</f>
        <v/>
      </c>
      <c r="AA2731" s="79">
        <f>IF(X2731="Sin Pago","",IFERROR(INDEX(Pagos_Odoo!$F:$F, MATCH(X2731, Pagos_Odoo!$B:$B, 0)), ""))</f>
        <v/>
      </c>
      <c r="AB2731" s="81">
        <f>IF(X2731="Sin Pago",0,IFERROR(INDEX(Pagos_Odoo!$E:$E, MATCH(X2731, Pagos_Odoo!$B:$B, 0)), 0))</f>
        <v/>
      </c>
      <c r="AC2731" s="79">
        <f>IF(X2731="Sin Pago","",IFERROR(INDEX(Pagos_Odoo!$G:$G, MATCH(X2731, Pagos_Odoo!$B:$B, 0)), ""))</f>
        <v/>
      </c>
      <c r="AD2731" s="82" t="n">
        <v>0</v>
      </c>
      <c r="AE2731" s="82" t="n"/>
      <c r="AF2731" s="82" t="n"/>
      <c r="AG2731" s="82">
        <f>IF(AN2731="","",AD2731+AE2731+AF2731)</f>
        <v/>
      </c>
      <c r="AH2731" s="81">
        <f>IF(AN2731="","",P2731*(1-AG2731))</f>
        <v/>
      </c>
      <c r="AI2731" s="81">
        <f>IF(AN2731="","",IF(Q2731="Sin Factura",0,IFERROR(INDEX(Facturas_Odoo!$H:$H, MATCH(Q2731, Facturas_Odoo!$B:$B, 0)), 0)*(1-AG2731)))</f>
        <v/>
      </c>
      <c r="AJ2731" s="81">
        <f>IF(AN2731="","",_xlfn.LET(idVenta, AN2731&amp;"",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31" s="81">
        <f>IF(AN2731="","",AH2731-AJ2731)</f>
        <v/>
      </c>
      <c r="AL2731" s="81">
        <f>IF(AN2731="","",IF(Q2731="Sin Factura","",AI2731-AJ2731))</f>
        <v/>
      </c>
      <c r="AM2731" s="81">
        <f>IF(AN2731="","",IF(Q2731="Sin Factura",0,P2731-IFERROR(INDEX(Facturas_Odoo!$H:$H, MATCH(Q2731, Facturas_Odoo!$B:$B, 0)), 0)))</f>
        <v/>
      </c>
      <c r="AN2731" s="79">
        <f>IF(AND(A2731="", J2731=""), "", IF(A2731&lt;&gt;"", VALUE(MID(A2731,2,LEN(A2731))), AN2730))</f>
        <v/>
      </c>
      <c r="AO2731" s="79">
        <f>IF(AN2731="","",IF(AD2731=0,"OK",_xlfn.LET(monedaPago, IF(AA2731="","USD",AA2731), limitePermitido, IFERROR(VLOOKUP(monedaPago, Configuración!$A$2:$B$3, 2, FALSE), 0.15), IF(AD2731&gt;limitePermitido, "ALERTA: EXCESO (" &amp; TEXT(limitePermitido, "0%") &amp; " máx)", "OK"))))</f>
        <v/>
      </c>
      <c r="AP2731" s="79">
        <f>IF(AN2731="","",IF(AE2731=0,"OK",_xlfn.LET(fechaPago, Z2731, fechaFactura, R2731, diasCredito, IF(E2731="Pago inmediato", 0, IFERROR(VALUE(MID(E2731, 1, SEARCH(" ", E2731)-1)),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31" s="79">
        <f>IF(AN2731="","",IF(AND(N2731&gt;0, AG2731&gt;0), IF(Configuración!$K$2="NO", "ALERTA: DESCUENTO DOBLE NO PERMITIDO", "OK"), "OK"))</f>
        <v/>
      </c>
      <c r="AR2731" s="79">
        <f>IF(AN2731="","",IF(OR(AO2731&lt;&gt;"OK", AP2731&lt;&gt;"OK", AQ2731&lt;&gt;"OK"), "⚠️ REVISAR", "OK"))</f>
        <v/>
      </c>
    </row>
    <row r="2732">
      <c r="A2732" s="79">
        <f>IF('Ordenes_Odoo'!A2732="","",'Ordenes_Odoo'!A2732)</f>
        <v/>
      </c>
      <c r="B2732" s="80">
        <f>IF('Ordenes_Odoo'!B2732="","",'Ordenes_Odoo'!B2732)</f>
        <v/>
      </c>
      <c r="C2732" s="79">
        <f>IF('Ordenes_Odoo'!C2732="","",'Ordenes_Odoo'!C2732)</f>
        <v/>
      </c>
      <c r="D2732" s="79">
        <f>IF('Ordenes_Odoo'!D2732="","",'Ordenes_Odoo'!D2732)</f>
        <v/>
      </c>
      <c r="E2732" s="79">
        <f>IF('Ordenes_Odoo'!E2732="","",'Ordenes_Odoo'!E2732)</f>
        <v/>
      </c>
      <c r="F2732" s="79">
        <f>IF('Ordenes_Odoo'!F2732="","",'Ordenes_Odoo'!F2732)</f>
        <v/>
      </c>
      <c r="G2732" s="79">
        <f>IF('Ordenes_Odoo'!G2732="","",'Ordenes_Odoo'!G2732)</f>
        <v/>
      </c>
      <c r="H2732" s="79">
        <f>IF('Ordenes_Odoo'!H2732="","",'Ordenes_Odoo'!H2732)</f>
        <v/>
      </c>
      <c r="I2732" s="79">
        <f>IF('Ordenes_Odoo'!I2732="","",'Ordenes_Odoo'!I2732)</f>
        <v/>
      </c>
      <c r="J2732" s="79">
        <f>IF('Ordenes_Odoo'!J2732="","",'Ordenes_Odoo'!J2732)</f>
        <v/>
      </c>
      <c r="K2732" s="81">
        <f>IF('Ordenes_Odoo'!K2732="","",'Ordenes_Odoo'!K2732)</f>
        <v/>
      </c>
      <c r="L2732" s="81">
        <f>IF('Ordenes_Odoo'!L2732="","",'Ordenes_Odoo'!L2732)</f>
        <v/>
      </c>
      <c r="M2732" s="79">
        <f>IF('Ordenes_Odoo'!M2732="","",'Ordenes_Odoo'!M2732)</f>
        <v/>
      </c>
      <c r="N2732" s="79">
        <f>IF('Ordenes_Odoo'!N2732="","",'Ordenes_Odoo'!N2732)</f>
        <v/>
      </c>
      <c r="O2732" s="81">
        <f>IF('Ordenes_Odoo'!O2732="","",'Ordenes_Odoo'!O2732)</f>
        <v/>
      </c>
      <c r="P2732" s="81">
        <f>IF('Ordenes_Odoo'!P2732="","",'Ordenes_Odoo'!P2732)</f>
        <v/>
      </c>
      <c r="Q2732" s="79">
        <f>IF(A2732="","",IFERROR(INDEX(Facturas_Odoo!$B:$B, MATCH(A2732, Facturas_Odoo!$D:$D, 0)), "Sin Factura"))</f>
        <v/>
      </c>
      <c r="R2732" s="80">
        <f>IF(Q2732="Sin Factura","",IFERROR(INDEX(Facturas_Odoo!$A:$A, MATCH(Q2732, Facturas_Odoo!$B:$B, 0)), ""))</f>
        <v/>
      </c>
      <c r="S2732" s="79">
        <f>IF(Q2732="Sin Factura","",IFERROR(_xlfn.XLOOKUP(1, (Facturas_Odoo!$D:$D=A2732) * (Facturas_Odoo!$K:$K=I2732), Facturas_Odoo!$L:$L, ""), ""))</f>
        <v/>
      </c>
      <c r="T2732" s="81">
        <f>IF(Q2732="Sin Factura",0,IFERROR(_xlfn.XLOOKUP(1, (Facturas_Odoo!$D:$D=A2732) * (Facturas_Odoo!$K:$K=I2732), Facturas_Odoo!$M:$M, 0), 0))</f>
        <v/>
      </c>
      <c r="U2732" s="79">
        <f>IF(Q2732="Sin Factura",0,IFERROR(_xlfn.XLOOKUP(1, (Facturas_Odoo!$D:$D=A2732) * (Facturas_Odoo!$K:$K=I2732), Facturas_Odoo!$N:$N, 0), 0))</f>
        <v/>
      </c>
      <c r="V2732" s="79">
        <f>IF(Q2732="Sin Factura",0,IFERROR(_xlfn.XLOOKUP(1, (Facturas_Odoo!$D:$D=A2732) * (Facturas_Odoo!$K:$K=I2732), Facturas_Odoo!$O:$O, 0), 0))</f>
        <v/>
      </c>
      <c r="W2732" s="81">
        <f>IF(Q2732="Sin Factura",0,IFERROR(_xlfn.XLOOKUP(1, (Facturas_Odoo!$D:$D=A2732) * (Facturas_Odoo!$K:$K=I2732), Facturas_Odoo!$Q:$Q, 0), 0))</f>
        <v/>
      </c>
      <c r="X2732" s="79">
        <f>IF(OR(Q2732="Sin Factura",Q2732=""),"",IFERROR(INDEX(Pagos_Odoo!$B:$B, MATCH(Q2732, Pagos_Odoo!$I:$I, 0)), "Sin Pago"))</f>
        <v/>
      </c>
      <c r="Y2732" s="79">
        <f>IF(X2732="Sin Pago","",IFERROR(INDEX(Pagos_Odoo!$C:$C, MATCH(X2732, Pagos_Odoo!$B:$B, 0)), ""))</f>
        <v/>
      </c>
      <c r="Z2732" s="80">
        <f>IF(X2732="Sin Pago","",IFERROR(INDEX(Pagos_Odoo!$A:$A, MATCH(X2732, Pagos_Odoo!$B:$B, 0)), ""))</f>
        <v/>
      </c>
      <c r="AA2732" s="79">
        <f>IF(X2732="Sin Pago","",IFERROR(INDEX(Pagos_Odoo!$F:$F, MATCH(X2732, Pagos_Odoo!$B:$B, 0)), ""))</f>
        <v/>
      </c>
      <c r="AB2732" s="81">
        <f>IF(X2732="Sin Pago",0,IFERROR(INDEX(Pagos_Odoo!$E:$E, MATCH(X2732, Pagos_Odoo!$B:$B, 0)), 0))</f>
        <v/>
      </c>
      <c r="AC2732" s="79">
        <f>IF(X2732="Sin Pago","",IFERROR(INDEX(Pagos_Odoo!$G:$G, MATCH(X2732, Pagos_Odoo!$B:$B, 0)), ""))</f>
        <v/>
      </c>
      <c r="AD2732" s="82" t="n">
        <v>0</v>
      </c>
      <c r="AE2732" s="82" t="n"/>
      <c r="AF2732" s="82" t="n"/>
      <c r="AG2732" s="82">
        <f>IF(AN2732="","",AD2732+AE2732+AF2732)</f>
        <v/>
      </c>
      <c r="AH2732" s="81">
        <f>IF(AN2732="","",P2732*(1-AG2732))</f>
        <v/>
      </c>
      <c r="AI2732" s="81">
        <f>IF(AN2732="","",IF(Q2732="Sin Factura",0,IFERROR(INDEX(Facturas_Odoo!$H:$H, MATCH(Q2732, Facturas_Odoo!$B:$B, 0)), 0)*(1-AG2732)))</f>
        <v/>
      </c>
      <c r="AJ2732" s="81">
        <f>IF(AN2732="","",_xlfn.LET(idVenta, AN2732&amp;"",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32" s="81">
        <f>IF(AN2732="","",AH2732-AJ2732)</f>
        <v/>
      </c>
      <c r="AL2732" s="81">
        <f>IF(AN2732="","",IF(Q2732="Sin Factura","",AI2732-AJ2732))</f>
        <v/>
      </c>
      <c r="AM2732" s="81">
        <f>IF(AN2732="","",IF(Q2732="Sin Factura",0,P2732-IFERROR(INDEX(Facturas_Odoo!$H:$H, MATCH(Q2732, Facturas_Odoo!$B:$B, 0)), 0)))</f>
        <v/>
      </c>
      <c r="AN2732" s="79">
        <f>IF(AND(A2732="", J2732=""), "", IF(A2732&lt;&gt;"", VALUE(MID(A2732,2,LEN(A2732))), AN2731))</f>
        <v/>
      </c>
      <c r="AO2732" s="79">
        <f>IF(AN2732="","",IF(AD2732=0,"OK",_xlfn.LET(monedaPago, IF(AA2732="","USD",AA2732), limitePermitido, IFERROR(VLOOKUP(monedaPago, Configuración!$A$2:$B$3, 2, FALSE), 0.15), IF(AD2732&gt;limitePermitido, "ALERTA: EXCESO (" &amp; TEXT(limitePermitido, "0%") &amp; " máx)", "OK"))))</f>
        <v/>
      </c>
      <c r="AP2732" s="79">
        <f>IF(AN2732="","",IF(AE2732=0,"OK",_xlfn.LET(fechaPago, Z2732, fechaFactura, R2732, diasCredito, IF(E2732="Pago inmediato", 0, IFERROR(VALUE(MID(E2732, 1, SEARCH(" ", E2732)-1)),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32" s="79">
        <f>IF(AN2732="","",IF(AND(N2732&gt;0, AG2732&gt;0), IF(Configuración!$K$2="NO", "ALERTA: DESCUENTO DOBLE NO PERMITIDO", "OK"), "OK"))</f>
        <v/>
      </c>
      <c r="AR2732" s="79">
        <f>IF(AN2732="","",IF(OR(AO2732&lt;&gt;"OK", AP2732&lt;&gt;"OK", AQ2732&lt;&gt;"OK"), "⚠️ REVISAR", "OK"))</f>
        <v/>
      </c>
    </row>
    <row r="2733">
      <c r="A2733" s="79">
        <f>IF('Ordenes_Odoo'!A2733="","",'Ordenes_Odoo'!A2733)</f>
        <v/>
      </c>
      <c r="B2733" s="80">
        <f>IF('Ordenes_Odoo'!B2733="","",'Ordenes_Odoo'!B2733)</f>
        <v/>
      </c>
      <c r="C2733" s="79">
        <f>IF('Ordenes_Odoo'!C2733="","",'Ordenes_Odoo'!C2733)</f>
        <v/>
      </c>
      <c r="D2733" s="79">
        <f>IF('Ordenes_Odoo'!D2733="","",'Ordenes_Odoo'!D2733)</f>
        <v/>
      </c>
      <c r="E2733" s="79">
        <f>IF('Ordenes_Odoo'!E2733="","",'Ordenes_Odoo'!E2733)</f>
        <v/>
      </c>
      <c r="F2733" s="79">
        <f>IF('Ordenes_Odoo'!F2733="","",'Ordenes_Odoo'!F2733)</f>
        <v/>
      </c>
      <c r="G2733" s="79">
        <f>IF('Ordenes_Odoo'!G2733="","",'Ordenes_Odoo'!G2733)</f>
        <v/>
      </c>
      <c r="H2733" s="79">
        <f>IF('Ordenes_Odoo'!H2733="","",'Ordenes_Odoo'!H2733)</f>
        <v/>
      </c>
      <c r="I2733" s="79">
        <f>IF('Ordenes_Odoo'!I2733="","",'Ordenes_Odoo'!I2733)</f>
        <v/>
      </c>
      <c r="J2733" s="79">
        <f>IF('Ordenes_Odoo'!J2733="","",'Ordenes_Odoo'!J2733)</f>
        <v/>
      </c>
      <c r="K2733" s="81">
        <f>IF('Ordenes_Odoo'!K2733="","",'Ordenes_Odoo'!K2733)</f>
        <v/>
      </c>
      <c r="L2733" s="81">
        <f>IF('Ordenes_Odoo'!L2733="","",'Ordenes_Odoo'!L2733)</f>
        <v/>
      </c>
      <c r="M2733" s="79">
        <f>IF('Ordenes_Odoo'!M2733="","",'Ordenes_Odoo'!M2733)</f>
        <v/>
      </c>
      <c r="N2733" s="79">
        <f>IF('Ordenes_Odoo'!N2733="","",'Ordenes_Odoo'!N2733)</f>
        <v/>
      </c>
      <c r="O2733" s="81">
        <f>IF('Ordenes_Odoo'!O2733="","",'Ordenes_Odoo'!O2733)</f>
        <v/>
      </c>
      <c r="P2733" s="81">
        <f>IF('Ordenes_Odoo'!P2733="","",'Ordenes_Odoo'!P2733)</f>
        <v/>
      </c>
      <c r="Q2733" s="79">
        <f>IF(A2733="","",IFERROR(INDEX(Facturas_Odoo!$B:$B, MATCH(A2733, Facturas_Odoo!$D:$D, 0)), "Sin Factura"))</f>
        <v/>
      </c>
      <c r="R2733" s="80">
        <f>IF(Q2733="Sin Factura","",IFERROR(INDEX(Facturas_Odoo!$A:$A, MATCH(Q2733, Facturas_Odoo!$B:$B, 0)), ""))</f>
        <v/>
      </c>
      <c r="S2733" s="79">
        <f>IF(Q2733="Sin Factura","",IFERROR(_xlfn.XLOOKUP(1, (Facturas_Odoo!$D:$D=A2733) * (Facturas_Odoo!$K:$K=I2733), Facturas_Odoo!$L:$L, ""), ""))</f>
        <v/>
      </c>
      <c r="T2733" s="81">
        <f>IF(Q2733="Sin Factura",0,IFERROR(_xlfn.XLOOKUP(1, (Facturas_Odoo!$D:$D=A2733) * (Facturas_Odoo!$K:$K=I2733), Facturas_Odoo!$M:$M, 0), 0))</f>
        <v/>
      </c>
      <c r="U2733" s="79">
        <f>IF(Q2733="Sin Factura",0,IFERROR(_xlfn.XLOOKUP(1, (Facturas_Odoo!$D:$D=A2733) * (Facturas_Odoo!$K:$K=I2733), Facturas_Odoo!$N:$N, 0), 0))</f>
        <v/>
      </c>
      <c r="V2733" s="79">
        <f>IF(Q2733="Sin Factura",0,IFERROR(_xlfn.XLOOKUP(1, (Facturas_Odoo!$D:$D=A2733) * (Facturas_Odoo!$K:$K=I2733), Facturas_Odoo!$O:$O, 0), 0))</f>
        <v/>
      </c>
      <c r="W2733" s="81">
        <f>IF(Q2733="Sin Factura",0,IFERROR(_xlfn.XLOOKUP(1, (Facturas_Odoo!$D:$D=A2733) * (Facturas_Odoo!$K:$K=I2733), Facturas_Odoo!$Q:$Q, 0), 0))</f>
        <v/>
      </c>
      <c r="X2733" s="79">
        <f>IF(OR(Q2733="Sin Factura",Q2733=""),"",IFERROR(INDEX(Pagos_Odoo!$B:$B, MATCH(Q2733, Pagos_Odoo!$I:$I, 0)), "Sin Pago"))</f>
        <v/>
      </c>
      <c r="Y2733" s="79">
        <f>IF(X2733="Sin Pago","",IFERROR(INDEX(Pagos_Odoo!$C:$C, MATCH(X2733, Pagos_Odoo!$B:$B, 0)), ""))</f>
        <v/>
      </c>
      <c r="Z2733" s="80">
        <f>IF(X2733="Sin Pago","",IFERROR(INDEX(Pagos_Odoo!$A:$A, MATCH(X2733, Pagos_Odoo!$B:$B, 0)), ""))</f>
        <v/>
      </c>
      <c r="AA2733" s="79">
        <f>IF(X2733="Sin Pago","",IFERROR(INDEX(Pagos_Odoo!$F:$F, MATCH(X2733, Pagos_Odoo!$B:$B, 0)), ""))</f>
        <v/>
      </c>
      <c r="AB2733" s="81">
        <f>IF(X2733="Sin Pago",0,IFERROR(INDEX(Pagos_Odoo!$E:$E, MATCH(X2733, Pagos_Odoo!$B:$B, 0)), 0))</f>
        <v/>
      </c>
      <c r="AC2733" s="79">
        <f>IF(X2733="Sin Pago","",IFERROR(INDEX(Pagos_Odoo!$G:$G, MATCH(X2733, Pagos_Odoo!$B:$B, 0)), ""))</f>
        <v/>
      </c>
      <c r="AD2733" s="82" t="n">
        <v>0</v>
      </c>
      <c r="AE2733" s="82" t="n"/>
      <c r="AF2733" s="82" t="n"/>
      <c r="AG2733" s="82">
        <f>IF(AN2733="","",AD2733+AE2733+AF2733)</f>
        <v/>
      </c>
      <c r="AH2733" s="81">
        <f>IF(AN2733="","",P2733*(1-AG2733))</f>
        <v/>
      </c>
      <c r="AI2733" s="81">
        <f>IF(AN2733="","",IF(Q2733="Sin Factura",0,IFERROR(INDEX(Facturas_Odoo!$H:$H, MATCH(Q2733, Facturas_Odoo!$B:$B, 0)), 0)*(1-AG2733)))</f>
        <v/>
      </c>
      <c r="AJ2733" s="81">
        <f>IF(AN2733="","",_xlfn.LET(idVenta, AN2733&amp;"",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33" s="81">
        <f>IF(AN2733="","",AH2733-AJ2733)</f>
        <v/>
      </c>
      <c r="AL2733" s="81">
        <f>IF(AN2733="","",IF(Q2733="Sin Factura","",AI2733-AJ2733))</f>
        <v/>
      </c>
      <c r="AM2733" s="81">
        <f>IF(AN2733="","",IF(Q2733="Sin Factura",0,P2733-IFERROR(INDEX(Facturas_Odoo!$H:$H, MATCH(Q2733, Facturas_Odoo!$B:$B, 0)), 0)))</f>
        <v/>
      </c>
      <c r="AN2733" s="79">
        <f>IF(AND(A2733="", J2733=""), "", IF(A2733&lt;&gt;"", VALUE(MID(A2733,2,LEN(A2733))), AN2732))</f>
        <v/>
      </c>
      <c r="AO2733" s="79">
        <f>IF(AN2733="","",IF(AD2733=0,"OK",_xlfn.LET(monedaPago, IF(AA2733="","USD",AA2733), limitePermitido, IFERROR(VLOOKUP(monedaPago, Configuración!$A$2:$B$3, 2, FALSE), 0.15), IF(AD2733&gt;limitePermitido, "ALERTA: EXCESO (" &amp; TEXT(limitePermitido, "0%") &amp; " máx)", "OK"))))</f>
        <v/>
      </c>
      <c r="AP2733" s="79">
        <f>IF(AN2733="","",IF(AE2733=0,"OK",_xlfn.LET(fechaPago, Z2733, fechaFactura, R2733, diasCredito, IF(E2733="Pago inmediato", 0, IFERROR(VALUE(MID(E2733, 1, SEARCH(" ", E2733)-1)),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33" s="79">
        <f>IF(AN2733="","",IF(AND(N2733&gt;0, AG2733&gt;0), IF(Configuración!$K$2="NO", "ALERTA: DESCUENTO DOBLE NO PERMITIDO", "OK"), "OK"))</f>
        <v/>
      </c>
      <c r="AR2733" s="79">
        <f>IF(AN2733="","",IF(OR(AO2733&lt;&gt;"OK", AP2733&lt;&gt;"OK", AQ2733&lt;&gt;"OK"), "⚠️ REVISAR", "OK"))</f>
        <v/>
      </c>
    </row>
    <row r="2734">
      <c r="A2734" s="79">
        <f>IF('Ordenes_Odoo'!A2734="","",'Ordenes_Odoo'!A2734)</f>
        <v/>
      </c>
      <c r="B2734" s="80">
        <f>IF('Ordenes_Odoo'!B2734="","",'Ordenes_Odoo'!B2734)</f>
        <v/>
      </c>
      <c r="C2734" s="79">
        <f>IF('Ordenes_Odoo'!C2734="","",'Ordenes_Odoo'!C2734)</f>
        <v/>
      </c>
      <c r="D2734" s="79">
        <f>IF('Ordenes_Odoo'!D2734="","",'Ordenes_Odoo'!D2734)</f>
        <v/>
      </c>
      <c r="E2734" s="79">
        <f>IF('Ordenes_Odoo'!E2734="","",'Ordenes_Odoo'!E2734)</f>
        <v/>
      </c>
      <c r="F2734" s="79">
        <f>IF('Ordenes_Odoo'!F2734="","",'Ordenes_Odoo'!F2734)</f>
        <v/>
      </c>
      <c r="G2734" s="79">
        <f>IF('Ordenes_Odoo'!G2734="","",'Ordenes_Odoo'!G2734)</f>
        <v/>
      </c>
      <c r="H2734" s="79">
        <f>IF('Ordenes_Odoo'!H2734="","",'Ordenes_Odoo'!H2734)</f>
        <v/>
      </c>
      <c r="I2734" s="79">
        <f>IF('Ordenes_Odoo'!I2734="","",'Ordenes_Odoo'!I2734)</f>
        <v/>
      </c>
      <c r="J2734" s="79">
        <f>IF('Ordenes_Odoo'!J2734="","",'Ordenes_Odoo'!J2734)</f>
        <v/>
      </c>
      <c r="K2734" s="81">
        <f>IF('Ordenes_Odoo'!K2734="","",'Ordenes_Odoo'!K2734)</f>
        <v/>
      </c>
      <c r="L2734" s="81">
        <f>IF('Ordenes_Odoo'!L2734="","",'Ordenes_Odoo'!L2734)</f>
        <v/>
      </c>
      <c r="M2734" s="79">
        <f>IF('Ordenes_Odoo'!M2734="","",'Ordenes_Odoo'!M2734)</f>
        <v/>
      </c>
      <c r="N2734" s="79">
        <f>IF('Ordenes_Odoo'!N2734="","",'Ordenes_Odoo'!N2734)</f>
        <v/>
      </c>
      <c r="O2734" s="81">
        <f>IF('Ordenes_Odoo'!O2734="","",'Ordenes_Odoo'!O2734)</f>
        <v/>
      </c>
      <c r="P2734" s="81">
        <f>IF('Ordenes_Odoo'!P2734="","",'Ordenes_Odoo'!P2734)</f>
        <v/>
      </c>
      <c r="Q2734" s="79">
        <f>IF(A2734="","",IFERROR(INDEX(Facturas_Odoo!$B:$B, MATCH(A2734, Facturas_Odoo!$D:$D, 0)), "Sin Factura"))</f>
        <v/>
      </c>
      <c r="R2734" s="80">
        <f>IF(Q2734="Sin Factura","",IFERROR(INDEX(Facturas_Odoo!$A:$A, MATCH(Q2734, Facturas_Odoo!$B:$B, 0)), ""))</f>
        <v/>
      </c>
      <c r="S2734" s="79">
        <f>IF(Q2734="Sin Factura","",IFERROR(_xlfn.XLOOKUP(1, (Facturas_Odoo!$D:$D=A2734) * (Facturas_Odoo!$K:$K=I2734), Facturas_Odoo!$L:$L, ""), ""))</f>
        <v/>
      </c>
      <c r="T2734" s="81">
        <f>IF(Q2734="Sin Factura",0,IFERROR(_xlfn.XLOOKUP(1, (Facturas_Odoo!$D:$D=A2734) * (Facturas_Odoo!$K:$K=I2734), Facturas_Odoo!$M:$M, 0), 0))</f>
        <v/>
      </c>
      <c r="U2734" s="79">
        <f>IF(Q2734="Sin Factura",0,IFERROR(_xlfn.XLOOKUP(1, (Facturas_Odoo!$D:$D=A2734) * (Facturas_Odoo!$K:$K=I2734), Facturas_Odoo!$N:$N, 0), 0))</f>
        <v/>
      </c>
      <c r="V2734" s="79">
        <f>IF(Q2734="Sin Factura",0,IFERROR(_xlfn.XLOOKUP(1, (Facturas_Odoo!$D:$D=A2734) * (Facturas_Odoo!$K:$K=I2734), Facturas_Odoo!$O:$O, 0), 0))</f>
        <v/>
      </c>
      <c r="W2734" s="81">
        <f>IF(Q2734="Sin Factura",0,IFERROR(_xlfn.XLOOKUP(1, (Facturas_Odoo!$D:$D=A2734) * (Facturas_Odoo!$K:$K=I2734), Facturas_Odoo!$Q:$Q, 0), 0))</f>
        <v/>
      </c>
      <c r="X2734" s="79">
        <f>IF(OR(Q2734="Sin Factura",Q2734=""),"",IFERROR(INDEX(Pagos_Odoo!$B:$B, MATCH(Q2734, Pagos_Odoo!$I:$I, 0)), "Sin Pago"))</f>
        <v/>
      </c>
      <c r="Y2734" s="79">
        <f>IF(X2734="Sin Pago","",IFERROR(INDEX(Pagos_Odoo!$C:$C, MATCH(X2734, Pagos_Odoo!$B:$B, 0)), ""))</f>
        <v/>
      </c>
      <c r="Z2734" s="80">
        <f>IF(X2734="Sin Pago","",IFERROR(INDEX(Pagos_Odoo!$A:$A, MATCH(X2734, Pagos_Odoo!$B:$B, 0)), ""))</f>
        <v/>
      </c>
      <c r="AA2734" s="79">
        <f>IF(X2734="Sin Pago","",IFERROR(INDEX(Pagos_Odoo!$F:$F, MATCH(X2734, Pagos_Odoo!$B:$B, 0)), ""))</f>
        <v/>
      </c>
      <c r="AB2734" s="81">
        <f>IF(X2734="Sin Pago",0,IFERROR(INDEX(Pagos_Odoo!$E:$E, MATCH(X2734, Pagos_Odoo!$B:$B, 0)), 0))</f>
        <v/>
      </c>
      <c r="AC2734" s="79">
        <f>IF(X2734="Sin Pago","",IFERROR(INDEX(Pagos_Odoo!$G:$G, MATCH(X2734, Pagos_Odoo!$B:$B, 0)), ""))</f>
        <v/>
      </c>
      <c r="AD2734" s="82" t="n">
        <v>0</v>
      </c>
      <c r="AE2734" s="82" t="n"/>
      <c r="AF2734" s="82" t="n"/>
      <c r="AG2734" s="82">
        <f>IF(AN2734="","",AD2734+AE2734+AF2734)</f>
        <v/>
      </c>
      <c r="AH2734" s="81">
        <f>IF(AN2734="","",P2734*(1-AG2734))</f>
        <v/>
      </c>
      <c r="AI2734" s="81">
        <f>IF(AN2734="","",IF(Q2734="Sin Factura",0,IFERROR(INDEX(Facturas_Odoo!$H:$H, MATCH(Q2734, Facturas_Odoo!$B:$B, 0)), 0)*(1-AG2734)))</f>
        <v/>
      </c>
      <c r="AJ2734" s="81">
        <f>IF(AN2734="","",_xlfn.LET(idVenta, AN2734&amp;"",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34" s="81">
        <f>IF(AN2734="","",AH2734-AJ2734)</f>
        <v/>
      </c>
      <c r="AL2734" s="81">
        <f>IF(AN2734="","",IF(Q2734="Sin Factura","",AI2734-AJ2734))</f>
        <v/>
      </c>
      <c r="AM2734" s="81">
        <f>IF(AN2734="","",IF(Q2734="Sin Factura",0,P2734-IFERROR(INDEX(Facturas_Odoo!$H:$H, MATCH(Q2734, Facturas_Odoo!$B:$B, 0)), 0)))</f>
        <v/>
      </c>
      <c r="AN2734" s="79">
        <f>IF(AND(A2734="", J2734=""), "", IF(A2734&lt;&gt;"", VALUE(MID(A2734,2,LEN(A2734))), AN2733))</f>
        <v/>
      </c>
      <c r="AO2734" s="79">
        <f>IF(AN2734="","",IF(AD2734=0,"OK",_xlfn.LET(monedaPago, IF(AA2734="","USD",AA2734), limitePermitido, IFERROR(VLOOKUP(monedaPago, Configuración!$A$2:$B$3, 2, FALSE), 0.15), IF(AD2734&gt;limitePermitido, "ALERTA: EXCESO (" &amp; TEXT(limitePermitido, "0%") &amp; " máx)", "OK"))))</f>
        <v/>
      </c>
      <c r="AP2734" s="79">
        <f>IF(AN2734="","",IF(AE2734=0,"OK",_xlfn.LET(fechaPago, Z2734, fechaFactura, R2734, diasCredito, IF(E2734="Pago inmediato", 0, IFERROR(VALUE(MID(E2734, 1, SEARCH(" ", E2734)-1)),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34" s="79">
        <f>IF(AN2734="","",IF(AND(N2734&gt;0, AG2734&gt;0), IF(Configuración!$K$2="NO", "ALERTA: DESCUENTO DOBLE NO PERMITIDO", "OK"), "OK"))</f>
        <v/>
      </c>
      <c r="AR2734" s="79">
        <f>IF(AN2734="","",IF(OR(AO2734&lt;&gt;"OK", AP2734&lt;&gt;"OK", AQ2734&lt;&gt;"OK"), "⚠️ REVISAR", "OK"))</f>
        <v/>
      </c>
    </row>
    <row r="2735">
      <c r="A2735" s="79">
        <f>IF('Ordenes_Odoo'!A2735="","",'Ordenes_Odoo'!A2735)</f>
        <v/>
      </c>
      <c r="B2735" s="80">
        <f>IF('Ordenes_Odoo'!B2735="","",'Ordenes_Odoo'!B2735)</f>
        <v/>
      </c>
      <c r="C2735" s="79">
        <f>IF('Ordenes_Odoo'!C2735="","",'Ordenes_Odoo'!C2735)</f>
        <v/>
      </c>
      <c r="D2735" s="79">
        <f>IF('Ordenes_Odoo'!D2735="","",'Ordenes_Odoo'!D2735)</f>
        <v/>
      </c>
      <c r="E2735" s="79">
        <f>IF('Ordenes_Odoo'!E2735="","",'Ordenes_Odoo'!E2735)</f>
        <v/>
      </c>
      <c r="F2735" s="79">
        <f>IF('Ordenes_Odoo'!F2735="","",'Ordenes_Odoo'!F2735)</f>
        <v/>
      </c>
      <c r="G2735" s="79">
        <f>IF('Ordenes_Odoo'!G2735="","",'Ordenes_Odoo'!G2735)</f>
        <v/>
      </c>
      <c r="H2735" s="79">
        <f>IF('Ordenes_Odoo'!H2735="","",'Ordenes_Odoo'!H2735)</f>
        <v/>
      </c>
      <c r="I2735" s="79">
        <f>IF('Ordenes_Odoo'!I2735="","",'Ordenes_Odoo'!I2735)</f>
        <v/>
      </c>
      <c r="J2735" s="79">
        <f>IF('Ordenes_Odoo'!J2735="","",'Ordenes_Odoo'!J2735)</f>
        <v/>
      </c>
      <c r="K2735" s="81">
        <f>IF('Ordenes_Odoo'!K2735="","",'Ordenes_Odoo'!K2735)</f>
        <v/>
      </c>
      <c r="L2735" s="81">
        <f>IF('Ordenes_Odoo'!L2735="","",'Ordenes_Odoo'!L2735)</f>
        <v/>
      </c>
      <c r="M2735" s="79">
        <f>IF('Ordenes_Odoo'!M2735="","",'Ordenes_Odoo'!M2735)</f>
        <v/>
      </c>
      <c r="N2735" s="79">
        <f>IF('Ordenes_Odoo'!N2735="","",'Ordenes_Odoo'!N2735)</f>
        <v/>
      </c>
      <c r="O2735" s="81">
        <f>IF('Ordenes_Odoo'!O2735="","",'Ordenes_Odoo'!O2735)</f>
        <v/>
      </c>
      <c r="P2735" s="81">
        <f>IF('Ordenes_Odoo'!P2735="","",'Ordenes_Odoo'!P2735)</f>
        <v/>
      </c>
      <c r="Q2735" s="79">
        <f>IF(A2735="","",IFERROR(INDEX(Facturas_Odoo!$B:$B, MATCH(A2735, Facturas_Odoo!$D:$D, 0)), "Sin Factura"))</f>
        <v/>
      </c>
      <c r="R2735" s="80">
        <f>IF(Q2735="Sin Factura","",IFERROR(INDEX(Facturas_Odoo!$A:$A, MATCH(Q2735, Facturas_Odoo!$B:$B, 0)), ""))</f>
        <v/>
      </c>
      <c r="S2735" s="79">
        <f>IF(Q2735="Sin Factura","",IFERROR(_xlfn.XLOOKUP(1, (Facturas_Odoo!$D:$D=A2735) * (Facturas_Odoo!$K:$K=I2735), Facturas_Odoo!$L:$L, ""), ""))</f>
        <v/>
      </c>
      <c r="T2735" s="81">
        <f>IF(Q2735="Sin Factura",0,IFERROR(_xlfn.XLOOKUP(1, (Facturas_Odoo!$D:$D=A2735) * (Facturas_Odoo!$K:$K=I2735), Facturas_Odoo!$M:$M, 0), 0))</f>
        <v/>
      </c>
      <c r="U2735" s="79">
        <f>IF(Q2735="Sin Factura",0,IFERROR(_xlfn.XLOOKUP(1, (Facturas_Odoo!$D:$D=A2735) * (Facturas_Odoo!$K:$K=I2735), Facturas_Odoo!$N:$N, 0), 0))</f>
        <v/>
      </c>
      <c r="V2735" s="79">
        <f>IF(Q2735="Sin Factura",0,IFERROR(_xlfn.XLOOKUP(1, (Facturas_Odoo!$D:$D=A2735) * (Facturas_Odoo!$K:$K=I2735), Facturas_Odoo!$O:$O, 0), 0))</f>
        <v/>
      </c>
      <c r="W2735" s="81">
        <f>IF(Q2735="Sin Factura",0,IFERROR(_xlfn.XLOOKUP(1, (Facturas_Odoo!$D:$D=A2735) * (Facturas_Odoo!$K:$K=I2735), Facturas_Odoo!$Q:$Q, 0), 0))</f>
        <v/>
      </c>
      <c r="X2735" s="79">
        <f>IF(OR(Q2735="Sin Factura",Q2735=""),"",IFERROR(INDEX(Pagos_Odoo!$B:$B, MATCH(Q2735, Pagos_Odoo!$I:$I, 0)), "Sin Pago"))</f>
        <v/>
      </c>
      <c r="Y2735" s="79">
        <f>IF(X2735="Sin Pago","",IFERROR(INDEX(Pagos_Odoo!$C:$C, MATCH(X2735, Pagos_Odoo!$B:$B, 0)), ""))</f>
        <v/>
      </c>
      <c r="Z2735" s="80">
        <f>IF(X2735="Sin Pago","",IFERROR(INDEX(Pagos_Odoo!$A:$A, MATCH(X2735, Pagos_Odoo!$B:$B, 0)), ""))</f>
        <v/>
      </c>
      <c r="AA2735" s="79">
        <f>IF(X2735="Sin Pago","",IFERROR(INDEX(Pagos_Odoo!$F:$F, MATCH(X2735, Pagos_Odoo!$B:$B, 0)), ""))</f>
        <v/>
      </c>
      <c r="AB2735" s="81">
        <f>IF(X2735="Sin Pago",0,IFERROR(INDEX(Pagos_Odoo!$E:$E, MATCH(X2735, Pagos_Odoo!$B:$B, 0)), 0))</f>
        <v/>
      </c>
      <c r="AC2735" s="79">
        <f>IF(X2735="Sin Pago","",IFERROR(INDEX(Pagos_Odoo!$G:$G, MATCH(X2735, Pagos_Odoo!$B:$B, 0)), ""))</f>
        <v/>
      </c>
      <c r="AD2735" s="82" t="n">
        <v>0</v>
      </c>
      <c r="AE2735" s="82" t="n"/>
      <c r="AF2735" s="82" t="n"/>
      <c r="AG2735" s="82">
        <f>IF(AN2735="","",AD2735+AE2735+AF2735)</f>
        <v/>
      </c>
      <c r="AH2735" s="81">
        <f>IF(AN2735="","",P2735*(1-AG2735))</f>
        <v/>
      </c>
      <c r="AI2735" s="81">
        <f>IF(AN2735="","",IF(Q2735="Sin Factura",0,IFERROR(INDEX(Facturas_Odoo!$H:$H, MATCH(Q2735, Facturas_Odoo!$B:$B, 0)), 0)*(1-AG2735)))</f>
        <v/>
      </c>
      <c r="AJ2735" s="81">
        <f>IF(AN2735="","",_xlfn.LET(idVenta, AN2735&amp;"",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35" s="81">
        <f>IF(AN2735="","",AH2735-AJ2735)</f>
        <v/>
      </c>
      <c r="AL2735" s="81">
        <f>IF(AN2735="","",IF(Q2735="Sin Factura","",AI2735-AJ2735))</f>
        <v/>
      </c>
      <c r="AM2735" s="81">
        <f>IF(AN2735="","",IF(Q2735="Sin Factura",0,P2735-IFERROR(INDEX(Facturas_Odoo!$H:$H, MATCH(Q2735, Facturas_Odoo!$B:$B, 0)), 0)))</f>
        <v/>
      </c>
      <c r="AN2735" s="79">
        <f>IF(AND(A2735="", J2735=""), "", IF(A2735&lt;&gt;"", VALUE(MID(A2735,2,LEN(A2735))), AN2734))</f>
        <v/>
      </c>
      <c r="AO2735" s="79">
        <f>IF(AN2735="","",IF(AD2735=0,"OK",_xlfn.LET(monedaPago, IF(AA2735="","USD",AA2735), limitePermitido, IFERROR(VLOOKUP(monedaPago, Configuración!$A$2:$B$3, 2, FALSE), 0.15), IF(AD2735&gt;limitePermitido, "ALERTA: EXCESO (" &amp; TEXT(limitePermitido, "0%") &amp; " máx)", "OK"))))</f>
        <v/>
      </c>
      <c r="AP2735" s="79">
        <f>IF(AN2735="","",IF(AE2735=0,"OK",_xlfn.LET(fechaPago, Z2735, fechaFactura, R2735, diasCredito, IF(E2735="Pago inmediato", 0, IFERROR(VALUE(MID(E2735, 1, SEARCH(" ", E2735)-1)),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35" s="79">
        <f>IF(AN2735="","",IF(AND(N2735&gt;0, AG2735&gt;0), IF(Configuración!$K$2="NO", "ALERTA: DESCUENTO DOBLE NO PERMITIDO", "OK"), "OK"))</f>
        <v/>
      </c>
      <c r="AR2735" s="79">
        <f>IF(AN2735="","",IF(OR(AO2735&lt;&gt;"OK", AP2735&lt;&gt;"OK", AQ2735&lt;&gt;"OK"), "⚠️ REVISAR", "OK"))</f>
        <v/>
      </c>
    </row>
    <row r="2736">
      <c r="A2736" s="79">
        <f>IF('Ordenes_Odoo'!A2736="","",'Ordenes_Odoo'!A2736)</f>
        <v/>
      </c>
      <c r="B2736" s="80">
        <f>IF('Ordenes_Odoo'!B2736="","",'Ordenes_Odoo'!B2736)</f>
        <v/>
      </c>
      <c r="C2736" s="79">
        <f>IF('Ordenes_Odoo'!C2736="","",'Ordenes_Odoo'!C2736)</f>
        <v/>
      </c>
      <c r="D2736" s="79">
        <f>IF('Ordenes_Odoo'!D2736="","",'Ordenes_Odoo'!D2736)</f>
        <v/>
      </c>
      <c r="E2736" s="79">
        <f>IF('Ordenes_Odoo'!E2736="","",'Ordenes_Odoo'!E2736)</f>
        <v/>
      </c>
      <c r="F2736" s="79">
        <f>IF('Ordenes_Odoo'!F2736="","",'Ordenes_Odoo'!F2736)</f>
        <v/>
      </c>
      <c r="G2736" s="79">
        <f>IF('Ordenes_Odoo'!G2736="","",'Ordenes_Odoo'!G2736)</f>
        <v/>
      </c>
      <c r="H2736" s="79">
        <f>IF('Ordenes_Odoo'!H2736="","",'Ordenes_Odoo'!H2736)</f>
        <v/>
      </c>
      <c r="I2736" s="79">
        <f>IF('Ordenes_Odoo'!I2736="","",'Ordenes_Odoo'!I2736)</f>
        <v/>
      </c>
      <c r="J2736" s="79">
        <f>IF('Ordenes_Odoo'!J2736="","",'Ordenes_Odoo'!J2736)</f>
        <v/>
      </c>
      <c r="K2736" s="81">
        <f>IF('Ordenes_Odoo'!K2736="","",'Ordenes_Odoo'!K2736)</f>
        <v/>
      </c>
      <c r="L2736" s="81">
        <f>IF('Ordenes_Odoo'!L2736="","",'Ordenes_Odoo'!L2736)</f>
        <v/>
      </c>
      <c r="M2736" s="79">
        <f>IF('Ordenes_Odoo'!M2736="","",'Ordenes_Odoo'!M2736)</f>
        <v/>
      </c>
      <c r="N2736" s="79">
        <f>IF('Ordenes_Odoo'!N2736="","",'Ordenes_Odoo'!N2736)</f>
        <v/>
      </c>
      <c r="O2736" s="81">
        <f>IF('Ordenes_Odoo'!O2736="","",'Ordenes_Odoo'!O2736)</f>
        <v/>
      </c>
      <c r="P2736" s="81">
        <f>IF('Ordenes_Odoo'!P2736="","",'Ordenes_Odoo'!P2736)</f>
        <v/>
      </c>
      <c r="Q2736" s="79">
        <f>IF(A2736="","",IFERROR(INDEX(Facturas_Odoo!$B:$B, MATCH(A2736, Facturas_Odoo!$D:$D, 0)), "Sin Factura"))</f>
        <v/>
      </c>
      <c r="R2736" s="80">
        <f>IF(Q2736="Sin Factura","",IFERROR(INDEX(Facturas_Odoo!$A:$A, MATCH(Q2736, Facturas_Odoo!$B:$B, 0)), ""))</f>
        <v/>
      </c>
      <c r="S2736" s="79">
        <f>IF(Q2736="Sin Factura","",IFERROR(_xlfn.XLOOKUP(1, (Facturas_Odoo!$D:$D=A2736) * (Facturas_Odoo!$K:$K=I2736), Facturas_Odoo!$L:$L, ""), ""))</f>
        <v/>
      </c>
      <c r="T2736" s="81">
        <f>IF(Q2736="Sin Factura",0,IFERROR(_xlfn.XLOOKUP(1, (Facturas_Odoo!$D:$D=A2736) * (Facturas_Odoo!$K:$K=I2736), Facturas_Odoo!$M:$M, 0), 0))</f>
        <v/>
      </c>
      <c r="U2736" s="79">
        <f>IF(Q2736="Sin Factura",0,IFERROR(_xlfn.XLOOKUP(1, (Facturas_Odoo!$D:$D=A2736) * (Facturas_Odoo!$K:$K=I2736), Facturas_Odoo!$N:$N, 0), 0))</f>
        <v/>
      </c>
      <c r="V2736" s="79">
        <f>IF(Q2736="Sin Factura",0,IFERROR(_xlfn.XLOOKUP(1, (Facturas_Odoo!$D:$D=A2736) * (Facturas_Odoo!$K:$K=I2736), Facturas_Odoo!$O:$O, 0), 0))</f>
        <v/>
      </c>
      <c r="W2736" s="81">
        <f>IF(Q2736="Sin Factura",0,IFERROR(_xlfn.XLOOKUP(1, (Facturas_Odoo!$D:$D=A2736) * (Facturas_Odoo!$K:$K=I2736), Facturas_Odoo!$Q:$Q, 0), 0))</f>
        <v/>
      </c>
      <c r="X2736" s="79">
        <f>IF(OR(Q2736="Sin Factura",Q2736=""),"",IFERROR(INDEX(Pagos_Odoo!$B:$B, MATCH(Q2736, Pagos_Odoo!$I:$I, 0)), "Sin Pago"))</f>
        <v/>
      </c>
      <c r="Y2736" s="79">
        <f>IF(X2736="Sin Pago","",IFERROR(INDEX(Pagos_Odoo!$C:$C, MATCH(X2736, Pagos_Odoo!$B:$B, 0)), ""))</f>
        <v/>
      </c>
      <c r="Z2736" s="80">
        <f>IF(X2736="Sin Pago","",IFERROR(INDEX(Pagos_Odoo!$A:$A, MATCH(X2736, Pagos_Odoo!$B:$B, 0)), ""))</f>
        <v/>
      </c>
      <c r="AA2736" s="79">
        <f>IF(X2736="Sin Pago","",IFERROR(INDEX(Pagos_Odoo!$F:$F, MATCH(X2736, Pagos_Odoo!$B:$B, 0)), ""))</f>
        <v/>
      </c>
      <c r="AB2736" s="81">
        <f>IF(X2736="Sin Pago",0,IFERROR(INDEX(Pagos_Odoo!$E:$E, MATCH(X2736, Pagos_Odoo!$B:$B, 0)), 0))</f>
        <v/>
      </c>
      <c r="AC2736" s="79">
        <f>IF(X2736="Sin Pago","",IFERROR(INDEX(Pagos_Odoo!$G:$G, MATCH(X2736, Pagos_Odoo!$B:$B, 0)), ""))</f>
        <v/>
      </c>
      <c r="AD2736" s="82" t="n">
        <v>0</v>
      </c>
      <c r="AE2736" s="82" t="n"/>
      <c r="AF2736" s="82" t="n"/>
      <c r="AG2736" s="82">
        <f>IF(AN2736="","",AD2736+AE2736+AF2736)</f>
        <v/>
      </c>
      <c r="AH2736" s="81">
        <f>IF(AN2736="","",P2736*(1-AG2736))</f>
        <v/>
      </c>
      <c r="AI2736" s="81">
        <f>IF(AN2736="","",IF(Q2736="Sin Factura",0,IFERROR(INDEX(Facturas_Odoo!$H:$H, MATCH(Q2736, Facturas_Odoo!$B:$B, 0)), 0)*(1-AG2736)))</f>
        <v/>
      </c>
      <c r="AJ2736" s="81">
        <f>IF(AN2736="","",_xlfn.LET(idVenta, AN2736&amp;"",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36" s="81">
        <f>IF(AN2736="","",AH2736-AJ2736)</f>
        <v/>
      </c>
      <c r="AL2736" s="81">
        <f>IF(AN2736="","",IF(Q2736="Sin Factura","",AI2736-AJ2736))</f>
        <v/>
      </c>
      <c r="AM2736" s="81">
        <f>IF(AN2736="","",IF(Q2736="Sin Factura",0,P2736-IFERROR(INDEX(Facturas_Odoo!$H:$H, MATCH(Q2736, Facturas_Odoo!$B:$B, 0)), 0)))</f>
        <v/>
      </c>
      <c r="AN2736" s="79">
        <f>IF(AND(A2736="", J2736=""), "", IF(A2736&lt;&gt;"", VALUE(MID(A2736,2,LEN(A2736))), AN2735))</f>
        <v/>
      </c>
      <c r="AO2736" s="79">
        <f>IF(AN2736="","",IF(AD2736=0,"OK",_xlfn.LET(monedaPago, IF(AA2736="","USD",AA2736), limitePermitido, IFERROR(VLOOKUP(monedaPago, Configuración!$A$2:$B$3, 2, FALSE), 0.15), IF(AD2736&gt;limitePermitido, "ALERTA: EXCESO (" &amp; TEXT(limitePermitido, "0%") &amp; " máx)", "OK"))))</f>
        <v/>
      </c>
      <c r="AP2736" s="79">
        <f>IF(AN2736="","",IF(AE2736=0,"OK",_xlfn.LET(fechaPago, Z2736, fechaFactura, R2736, diasCredito, IF(E2736="Pago inmediato", 0, IFERROR(VALUE(MID(E2736, 1, SEARCH(" ", E2736)-1)),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36" s="79">
        <f>IF(AN2736="","",IF(AND(N2736&gt;0, AG2736&gt;0), IF(Configuración!$K$2="NO", "ALERTA: DESCUENTO DOBLE NO PERMITIDO", "OK"), "OK"))</f>
        <v/>
      </c>
      <c r="AR2736" s="79">
        <f>IF(AN2736="","",IF(OR(AO2736&lt;&gt;"OK", AP2736&lt;&gt;"OK", AQ2736&lt;&gt;"OK"), "⚠️ REVISAR", "OK"))</f>
        <v/>
      </c>
    </row>
    <row r="2737">
      <c r="A2737" s="79">
        <f>IF('Ordenes_Odoo'!A2737="","",'Ordenes_Odoo'!A2737)</f>
        <v/>
      </c>
      <c r="B2737" s="80">
        <f>IF('Ordenes_Odoo'!B2737="","",'Ordenes_Odoo'!B2737)</f>
        <v/>
      </c>
      <c r="C2737" s="79">
        <f>IF('Ordenes_Odoo'!C2737="","",'Ordenes_Odoo'!C2737)</f>
        <v/>
      </c>
      <c r="D2737" s="79">
        <f>IF('Ordenes_Odoo'!D2737="","",'Ordenes_Odoo'!D2737)</f>
        <v/>
      </c>
      <c r="E2737" s="79">
        <f>IF('Ordenes_Odoo'!E2737="","",'Ordenes_Odoo'!E2737)</f>
        <v/>
      </c>
      <c r="F2737" s="79">
        <f>IF('Ordenes_Odoo'!F2737="","",'Ordenes_Odoo'!F2737)</f>
        <v/>
      </c>
      <c r="G2737" s="79">
        <f>IF('Ordenes_Odoo'!G2737="","",'Ordenes_Odoo'!G2737)</f>
        <v/>
      </c>
      <c r="H2737" s="79">
        <f>IF('Ordenes_Odoo'!H2737="","",'Ordenes_Odoo'!H2737)</f>
        <v/>
      </c>
      <c r="I2737" s="79">
        <f>IF('Ordenes_Odoo'!I2737="","",'Ordenes_Odoo'!I2737)</f>
        <v/>
      </c>
      <c r="J2737" s="79">
        <f>IF('Ordenes_Odoo'!J2737="","",'Ordenes_Odoo'!J2737)</f>
        <v/>
      </c>
      <c r="K2737" s="81">
        <f>IF('Ordenes_Odoo'!K2737="","",'Ordenes_Odoo'!K2737)</f>
        <v/>
      </c>
      <c r="L2737" s="81">
        <f>IF('Ordenes_Odoo'!L2737="","",'Ordenes_Odoo'!L2737)</f>
        <v/>
      </c>
      <c r="M2737" s="79">
        <f>IF('Ordenes_Odoo'!M2737="","",'Ordenes_Odoo'!M2737)</f>
        <v/>
      </c>
      <c r="N2737" s="79">
        <f>IF('Ordenes_Odoo'!N2737="","",'Ordenes_Odoo'!N2737)</f>
        <v/>
      </c>
      <c r="O2737" s="81">
        <f>IF('Ordenes_Odoo'!O2737="","",'Ordenes_Odoo'!O2737)</f>
        <v/>
      </c>
      <c r="P2737" s="81">
        <f>IF('Ordenes_Odoo'!P2737="","",'Ordenes_Odoo'!P2737)</f>
        <v/>
      </c>
      <c r="Q2737" s="79">
        <f>IF(A2737="","",IFERROR(INDEX(Facturas_Odoo!$B:$B, MATCH(A2737, Facturas_Odoo!$D:$D, 0)), "Sin Factura"))</f>
        <v/>
      </c>
      <c r="R2737" s="80">
        <f>IF(Q2737="Sin Factura","",IFERROR(INDEX(Facturas_Odoo!$A:$A, MATCH(Q2737, Facturas_Odoo!$B:$B, 0)), ""))</f>
        <v/>
      </c>
      <c r="S2737" s="79">
        <f>IF(Q2737="Sin Factura","",IFERROR(_xlfn.XLOOKUP(1, (Facturas_Odoo!$D:$D=A2737) * (Facturas_Odoo!$K:$K=I2737), Facturas_Odoo!$L:$L, ""), ""))</f>
        <v/>
      </c>
      <c r="T2737" s="81">
        <f>IF(Q2737="Sin Factura",0,IFERROR(_xlfn.XLOOKUP(1, (Facturas_Odoo!$D:$D=A2737) * (Facturas_Odoo!$K:$K=I2737), Facturas_Odoo!$M:$M, 0), 0))</f>
        <v/>
      </c>
      <c r="U2737" s="79">
        <f>IF(Q2737="Sin Factura",0,IFERROR(_xlfn.XLOOKUP(1, (Facturas_Odoo!$D:$D=A2737) * (Facturas_Odoo!$K:$K=I2737), Facturas_Odoo!$N:$N, 0), 0))</f>
        <v/>
      </c>
      <c r="V2737" s="79">
        <f>IF(Q2737="Sin Factura",0,IFERROR(_xlfn.XLOOKUP(1, (Facturas_Odoo!$D:$D=A2737) * (Facturas_Odoo!$K:$K=I2737), Facturas_Odoo!$O:$O, 0), 0))</f>
        <v/>
      </c>
      <c r="W2737" s="81">
        <f>IF(Q2737="Sin Factura",0,IFERROR(_xlfn.XLOOKUP(1, (Facturas_Odoo!$D:$D=A2737) * (Facturas_Odoo!$K:$K=I2737), Facturas_Odoo!$Q:$Q, 0), 0))</f>
        <v/>
      </c>
      <c r="X2737" s="79">
        <f>IF(OR(Q2737="Sin Factura",Q2737=""),"",IFERROR(INDEX(Pagos_Odoo!$B:$B, MATCH(Q2737, Pagos_Odoo!$I:$I, 0)), "Sin Pago"))</f>
        <v/>
      </c>
      <c r="Y2737" s="79">
        <f>IF(X2737="Sin Pago","",IFERROR(INDEX(Pagos_Odoo!$C:$C, MATCH(X2737, Pagos_Odoo!$B:$B, 0)), ""))</f>
        <v/>
      </c>
      <c r="Z2737" s="80">
        <f>IF(X2737="Sin Pago","",IFERROR(INDEX(Pagos_Odoo!$A:$A, MATCH(X2737, Pagos_Odoo!$B:$B, 0)), ""))</f>
        <v/>
      </c>
      <c r="AA2737" s="79">
        <f>IF(X2737="Sin Pago","",IFERROR(INDEX(Pagos_Odoo!$F:$F, MATCH(X2737, Pagos_Odoo!$B:$B, 0)), ""))</f>
        <v/>
      </c>
      <c r="AB2737" s="81">
        <f>IF(X2737="Sin Pago",0,IFERROR(INDEX(Pagos_Odoo!$E:$E, MATCH(X2737, Pagos_Odoo!$B:$B, 0)), 0))</f>
        <v/>
      </c>
      <c r="AC2737" s="79">
        <f>IF(X2737="Sin Pago","",IFERROR(INDEX(Pagos_Odoo!$G:$G, MATCH(X2737, Pagos_Odoo!$B:$B, 0)), ""))</f>
        <v/>
      </c>
      <c r="AD2737" s="82" t="n">
        <v>0</v>
      </c>
      <c r="AE2737" s="82" t="n"/>
      <c r="AF2737" s="82" t="n"/>
      <c r="AG2737" s="82">
        <f>IF(AN2737="","",AD2737+AE2737+AF2737)</f>
        <v/>
      </c>
      <c r="AH2737" s="81">
        <f>IF(AN2737="","",P2737*(1-AG2737))</f>
        <v/>
      </c>
      <c r="AI2737" s="81">
        <f>IF(AN2737="","",IF(Q2737="Sin Factura",0,IFERROR(INDEX(Facturas_Odoo!$H:$H, MATCH(Q2737, Facturas_Odoo!$B:$B, 0)), 0)*(1-AG2737)))</f>
        <v/>
      </c>
      <c r="AJ2737" s="81">
        <f>IF(AN2737="","",_xlfn.LET(idVenta, AN2737&amp;"",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37" s="81">
        <f>IF(AN2737="","",AH2737-AJ2737)</f>
        <v/>
      </c>
      <c r="AL2737" s="81">
        <f>IF(AN2737="","",IF(Q2737="Sin Factura","",AI2737-AJ2737))</f>
        <v/>
      </c>
      <c r="AM2737" s="81">
        <f>IF(AN2737="","",IF(Q2737="Sin Factura",0,P2737-IFERROR(INDEX(Facturas_Odoo!$H:$H, MATCH(Q2737, Facturas_Odoo!$B:$B, 0)), 0)))</f>
        <v/>
      </c>
      <c r="AN2737" s="79">
        <f>IF(AND(A2737="", J2737=""), "", IF(A2737&lt;&gt;"", VALUE(MID(A2737,2,LEN(A2737))), AN2736))</f>
        <v/>
      </c>
      <c r="AO2737" s="79">
        <f>IF(AN2737="","",IF(AD2737=0,"OK",_xlfn.LET(monedaPago, IF(AA2737="","USD",AA2737), limitePermitido, IFERROR(VLOOKUP(monedaPago, Configuración!$A$2:$B$3, 2, FALSE), 0.15), IF(AD2737&gt;limitePermitido, "ALERTA: EXCESO (" &amp; TEXT(limitePermitido, "0%") &amp; " máx)", "OK"))))</f>
        <v/>
      </c>
      <c r="AP2737" s="79">
        <f>IF(AN2737="","",IF(AE2737=0,"OK",_xlfn.LET(fechaPago, Z2737, fechaFactura, R2737, diasCredito, IF(E2737="Pago inmediato", 0, IFERROR(VALUE(MID(E2737, 1, SEARCH(" ", E2737)-1)),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37" s="79">
        <f>IF(AN2737="","",IF(AND(N2737&gt;0, AG2737&gt;0), IF(Configuración!$K$2="NO", "ALERTA: DESCUENTO DOBLE NO PERMITIDO", "OK"), "OK"))</f>
        <v/>
      </c>
      <c r="AR2737" s="79">
        <f>IF(AN2737="","",IF(OR(AO2737&lt;&gt;"OK", AP2737&lt;&gt;"OK", AQ2737&lt;&gt;"OK"), "⚠️ REVISAR", "OK"))</f>
        <v/>
      </c>
    </row>
    <row r="2738">
      <c r="A2738" s="79">
        <f>IF('Ordenes_Odoo'!A2738="","",'Ordenes_Odoo'!A2738)</f>
        <v/>
      </c>
      <c r="B2738" s="80">
        <f>IF('Ordenes_Odoo'!B2738="","",'Ordenes_Odoo'!B2738)</f>
        <v/>
      </c>
      <c r="C2738" s="79">
        <f>IF('Ordenes_Odoo'!C2738="","",'Ordenes_Odoo'!C2738)</f>
        <v/>
      </c>
      <c r="D2738" s="79">
        <f>IF('Ordenes_Odoo'!D2738="","",'Ordenes_Odoo'!D2738)</f>
        <v/>
      </c>
      <c r="E2738" s="79">
        <f>IF('Ordenes_Odoo'!E2738="","",'Ordenes_Odoo'!E2738)</f>
        <v/>
      </c>
      <c r="F2738" s="79">
        <f>IF('Ordenes_Odoo'!F2738="","",'Ordenes_Odoo'!F2738)</f>
        <v/>
      </c>
      <c r="G2738" s="79">
        <f>IF('Ordenes_Odoo'!G2738="","",'Ordenes_Odoo'!G2738)</f>
        <v/>
      </c>
      <c r="H2738" s="79">
        <f>IF('Ordenes_Odoo'!H2738="","",'Ordenes_Odoo'!H2738)</f>
        <v/>
      </c>
      <c r="I2738" s="79">
        <f>IF('Ordenes_Odoo'!I2738="","",'Ordenes_Odoo'!I2738)</f>
        <v/>
      </c>
      <c r="J2738" s="79">
        <f>IF('Ordenes_Odoo'!J2738="","",'Ordenes_Odoo'!J2738)</f>
        <v/>
      </c>
      <c r="K2738" s="81">
        <f>IF('Ordenes_Odoo'!K2738="","",'Ordenes_Odoo'!K2738)</f>
        <v/>
      </c>
      <c r="L2738" s="81">
        <f>IF('Ordenes_Odoo'!L2738="","",'Ordenes_Odoo'!L2738)</f>
        <v/>
      </c>
      <c r="M2738" s="79">
        <f>IF('Ordenes_Odoo'!M2738="","",'Ordenes_Odoo'!M2738)</f>
        <v/>
      </c>
      <c r="N2738" s="79">
        <f>IF('Ordenes_Odoo'!N2738="","",'Ordenes_Odoo'!N2738)</f>
        <v/>
      </c>
      <c r="O2738" s="81">
        <f>IF('Ordenes_Odoo'!O2738="","",'Ordenes_Odoo'!O2738)</f>
        <v/>
      </c>
      <c r="P2738" s="81">
        <f>IF('Ordenes_Odoo'!P2738="","",'Ordenes_Odoo'!P2738)</f>
        <v/>
      </c>
      <c r="Q2738" s="79">
        <f>IF(A2738="","",IFERROR(INDEX(Facturas_Odoo!$B:$B, MATCH(A2738, Facturas_Odoo!$D:$D, 0)), "Sin Factura"))</f>
        <v/>
      </c>
      <c r="R2738" s="80">
        <f>IF(Q2738="Sin Factura","",IFERROR(INDEX(Facturas_Odoo!$A:$A, MATCH(Q2738, Facturas_Odoo!$B:$B, 0)), ""))</f>
        <v/>
      </c>
      <c r="S2738" s="79">
        <f>IF(Q2738="Sin Factura","",IFERROR(_xlfn.XLOOKUP(1, (Facturas_Odoo!$D:$D=A2738) * (Facturas_Odoo!$K:$K=I2738), Facturas_Odoo!$L:$L, ""), ""))</f>
        <v/>
      </c>
      <c r="T2738" s="81">
        <f>IF(Q2738="Sin Factura",0,IFERROR(_xlfn.XLOOKUP(1, (Facturas_Odoo!$D:$D=A2738) * (Facturas_Odoo!$K:$K=I2738), Facturas_Odoo!$M:$M, 0), 0))</f>
        <v/>
      </c>
      <c r="U2738" s="79">
        <f>IF(Q2738="Sin Factura",0,IFERROR(_xlfn.XLOOKUP(1, (Facturas_Odoo!$D:$D=A2738) * (Facturas_Odoo!$K:$K=I2738), Facturas_Odoo!$N:$N, 0), 0))</f>
        <v/>
      </c>
      <c r="V2738" s="79">
        <f>IF(Q2738="Sin Factura",0,IFERROR(_xlfn.XLOOKUP(1, (Facturas_Odoo!$D:$D=A2738) * (Facturas_Odoo!$K:$K=I2738), Facturas_Odoo!$O:$O, 0), 0))</f>
        <v/>
      </c>
      <c r="W2738" s="81">
        <f>IF(Q2738="Sin Factura",0,IFERROR(_xlfn.XLOOKUP(1, (Facturas_Odoo!$D:$D=A2738) * (Facturas_Odoo!$K:$K=I2738), Facturas_Odoo!$Q:$Q, 0), 0))</f>
        <v/>
      </c>
      <c r="X2738" s="79">
        <f>IF(OR(Q2738="Sin Factura",Q2738=""),"",IFERROR(INDEX(Pagos_Odoo!$B:$B, MATCH(Q2738, Pagos_Odoo!$I:$I, 0)), "Sin Pago"))</f>
        <v/>
      </c>
      <c r="Y2738" s="79">
        <f>IF(X2738="Sin Pago","",IFERROR(INDEX(Pagos_Odoo!$C:$C, MATCH(X2738, Pagos_Odoo!$B:$B, 0)), ""))</f>
        <v/>
      </c>
      <c r="Z2738" s="80">
        <f>IF(X2738="Sin Pago","",IFERROR(INDEX(Pagos_Odoo!$A:$A, MATCH(X2738, Pagos_Odoo!$B:$B, 0)), ""))</f>
        <v/>
      </c>
      <c r="AA2738" s="79">
        <f>IF(X2738="Sin Pago","",IFERROR(INDEX(Pagos_Odoo!$F:$F, MATCH(X2738, Pagos_Odoo!$B:$B, 0)), ""))</f>
        <v/>
      </c>
      <c r="AB2738" s="81">
        <f>IF(X2738="Sin Pago",0,IFERROR(INDEX(Pagos_Odoo!$E:$E, MATCH(X2738, Pagos_Odoo!$B:$B, 0)), 0))</f>
        <v/>
      </c>
      <c r="AC2738" s="79">
        <f>IF(X2738="Sin Pago","",IFERROR(INDEX(Pagos_Odoo!$G:$G, MATCH(X2738, Pagos_Odoo!$B:$B, 0)), ""))</f>
        <v/>
      </c>
      <c r="AD2738" s="82" t="n">
        <v>0</v>
      </c>
      <c r="AE2738" s="82" t="n"/>
      <c r="AF2738" s="82" t="n"/>
      <c r="AG2738" s="82">
        <f>IF(AN2738="","",AD2738+AE2738+AF2738)</f>
        <v/>
      </c>
      <c r="AH2738" s="81">
        <f>IF(AN2738="","",P2738*(1-AG2738))</f>
        <v/>
      </c>
      <c r="AI2738" s="81">
        <f>IF(AN2738="","",IF(Q2738="Sin Factura",0,IFERROR(INDEX(Facturas_Odoo!$H:$H, MATCH(Q2738, Facturas_Odoo!$B:$B, 0)), 0)*(1-AG2738)))</f>
        <v/>
      </c>
      <c r="AJ2738" s="81">
        <f>IF(AN2738="","",_xlfn.LET(idVenta, AN2738&amp;"",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38" s="81">
        <f>IF(AN2738="","",AH2738-AJ2738)</f>
        <v/>
      </c>
      <c r="AL2738" s="81">
        <f>IF(AN2738="","",IF(Q2738="Sin Factura","",AI2738-AJ2738))</f>
        <v/>
      </c>
      <c r="AM2738" s="81">
        <f>IF(AN2738="","",IF(Q2738="Sin Factura",0,P2738-IFERROR(INDEX(Facturas_Odoo!$H:$H, MATCH(Q2738, Facturas_Odoo!$B:$B, 0)), 0)))</f>
        <v/>
      </c>
      <c r="AN2738" s="79">
        <f>IF(AND(A2738="", J2738=""), "", IF(A2738&lt;&gt;"", VALUE(MID(A2738,2,LEN(A2738))), AN2737))</f>
        <v/>
      </c>
      <c r="AO2738" s="79">
        <f>IF(AN2738="","",IF(AD2738=0,"OK",_xlfn.LET(monedaPago, IF(AA2738="","USD",AA2738), limitePermitido, IFERROR(VLOOKUP(monedaPago, Configuración!$A$2:$B$3, 2, FALSE), 0.15), IF(AD2738&gt;limitePermitido, "ALERTA: EXCESO (" &amp; TEXT(limitePermitido, "0%") &amp; " máx)", "OK"))))</f>
        <v/>
      </c>
      <c r="AP2738" s="79">
        <f>IF(AN2738="","",IF(AE2738=0,"OK",_xlfn.LET(fechaPago, Z2738, fechaFactura, R2738, diasCredito, IF(E2738="Pago inmediato", 0, IFERROR(VALUE(MID(E2738, 1, SEARCH(" ", E2738)-1)),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38" s="79">
        <f>IF(AN2738="","",IF(AND(N2738&gt;0, AG2738&gt;0), IF(Configuración!$K$2="NO", "ALERTA: DESCUENTO DOBLE NO PERMITIDO", "OK"), "OK"))</f>
        <v/>
      </c>
      <c r="AR2738" s="79">
        <f>IF(AN2738="","",IF(OR(AO2738&lt;&gt;"OK", AP2738&lt;&gt;"OK", AQ2738&lt;&gt;"OK"), "⚠️ REVISAR", "OK"))</f>
        <v/>
      </c>
    </row>
    <row r="2739">
      <c r="A2739" s="79">
        <f>IF('Ordenes_Odoo'!A2739="","",'Ordenes_Odoo'!A2739)</f>
        <v/>
      </c>
      <c r="B2739" s="80">
        <f>IF('Ordenes_Odoo'!B2739="","",'Ordenes_Odoo'!B2739)</f>
        <v/>
      </c>
      <c r="C2739" s="79">
        <f>IF('Ordenes_Odoo'!C2739="","",'Ordenes_Odoo'!C2739)</f>
        <v/>
      </c>
      <c r="D2739" s="79">
        <f>IF('Ordenes_Odoo'!D2739="","",'Ordenes_Odoo'!D2739)</f>
        <v/>
      </c>
      <c r="E2739" s="79">
        <f>IF('Ordenes_Odoo'!E2739="","",'Ordenes_Odoo'!E2739)</f>
        <v/>
      </c>
      <c r="F2739" s="79">
        <f>IF('Ordenes_Odoo'!F2739="","",'Ordenes_Odoo'!F2739)</f>
        <v/>
      </c>
      <c r="G2739" s="79">
        <f>IF('Ordenes_Odoo'!G2739="","",'Ordenes_Odoo'!G2739)</f>
        <v/>
      </c>
      <c r="H2739" s="79">
        <f>IF('Ordenes_Odoo'!H2739="","",'Ordenes_Odoo'!H2739)</f>
        <v/>
      </c>
      <c r="I2739" s="79">
        <f>IF('Ordenes_Odoo'!I2739="","",'Ordenes_Odoo'!I2739)</f>
        <v/>
      </c>
      <c r="J2739" s="79">
        <f>IF('Ordenes_Odoo'!J2739="","",'Ordenes_Odoo'!J2739)</f>
        <v/>
      </c>
      <c r="K2739" s="81">
        <f>IF('Ordenes_Odoo'!K2739="","",'Ordenes_Odoo'!K2739)</f>
        <v/>
      </c>
      <c r="L2739" s="81">
        <f>IF('Ordenes_Odoo'!L2739="","",'Ordenes_Odoo'!L2739)</f>
        <v/>
      </c>
      <c r="M2739" s="79">
        <f>IF('Ordenes_Odoo'!M2739="","",'Ordenes_Odoo'!M2739)</f>
        <v/>
      </c>
      <c r="N2739" s="79">
        <f>IF('Ordenes_Odoo'!N2739="","",'Ordenes_Odoo'!N2739)</f>
        <v/>
      </c>
      <c r="O2739" s="81">
        <f>IF('Ordenes_Odoo'!O2739="","",'Ordenes_Odoo'!O2739)</f>
        <v/>
      </c>
      <c r="P2739" s="81">
        <f>IF('Ordenes_Odoo'!P2739="","",'Ordenes_Odoo'!P2739)</f>
        <v/>
      </c>
      <c r="Q2739" s="79">
        <f>IF(A2739="","",IFERROR(INDEX(Facturas_Odoo!$B:$B, MATCH(A2739, Facturas_Odoo!$D:$D, 0)), "Sin Factura"))</f>
        <v/>
      </c>
      <c r="R2739" s="80">
        <f>IF(Q2739="Sin Factura","",IFERROR(INDEX(Facturas_Odoo!$A:$A, MATCH(Q2739, Facturas_Odoo!$B:$B, 0)), ""))</f>
        <v/>
      </c>
      <c r="S2739" s="79">
        <f>IF(Q2739="Sin Factura","",IFERROR(_xlfn.XLOOKUP(1, (Facturas_Odoo!$D:$D=A2739) * (Facturas_Odoo!$K:$K=I2739), Facturas_Odoo!$L:$L, ""), ""))</f>
        <v/>
      </c>
      <c r="T2739" s="81">
        <f>IF(Q2739="Sin Factura",0,IFERROR(_xlfn.XLOOKUP(1, (Facturas_Odoo!$D:$D=A2739) * (Facturas_Odoo!$K:$K=I2739), Facturas_Odoo!$M:$M, 0), 0))</f>
        <v/>
      </c>
      <c r="U2739" s="79">
        <f>IF(Q2739="Sin Factura",0,IFERROR(_xlfn.XLOOKUP(1, (Facturas_Odoo!$D:$D=A2739) * (Facturas_Odoo!$K:$K=I2739), Facturas_Odoo!$N:$N, 0), 0))</f>
        <v/>
      </c>
      <c r="V2739" s="79">
        <f>IF(Q2739="Sin Factura",0,IFERROR(_xlfn.XLOOKUP(1, (Facturas_Odoo!$D:$D=A2739) * (Facturas_Odoo!$K:$K=I2739), Facturas_Odoo!$O:$O, 0), 0))</f>
        <v/>
      </c>
      <c r="W2739" s="81">
        <f>IF(Q2739="Sin Factura",0,IFERROR(_xlfn.XLOOKUP(1, (Facturas_Odoo!$D:$D=A2739) * (Facturas_Odoo!$K:$K=I2739), Facturas_Odoo!$Q:$Q, 0), 0))</f>
        <v/>
      </c>
      <c r="X2739" s="79">
        <f>IF(OR(Q2739="Sin Factura",Q2739=""),"",IFERROR(INDEX(Pagos_Odoo!$B:$B, MATCH(Q2739, Pagos_Odoo!$I:$I, 0)), "Sin Pago"))</f>
        <v/>
      </c>
      <c r="Y2739" s="79">
        <f>IF(X2739="Sin Pago","",IFERROR(INDEX(Pagos_Odoo!$C:$C, MATCH(X2739, Pagos_Odoo!$B:$B, 0)), ""))</f>
        <v/>
      </c>
      <c r="Z2739" s="80">
        <f>IF(X2739="Sin Pago","",IFERROR(INDEX(Pagos_Odoo!$A:$A, MATCH(X2739, Pagos_Odoo!$B:$B, 0)), ""))</f>
        <v/>
      </c>
      <c r="AA2739" s="79">
        <f>IF(X2739="Sin Pago","",IFERROR(INDEX(Pagos_Odoo!$F:$F, MATCH(X2739, Pagos_Odoo!$B:$B, 0)), ""))</f>
        <v/>
      </c>
      <c r="AB2739" s="81">
        <f>IF(X2739="Sin Pago",0,IFERROR(INDEX(Pagos_Odoo!$E:$E, MATCH(X2739, Pagos_Odoo!$B:$B, 0)), 0))</f>
        <v/>
      </c>
      <c r="AC2739" s="79">
        <f>IF(X2739="Sin Pago","",IFERROR(INDEX(Pagos_Odoo!$G:$G, MATCH(X2739, Pagos_Odoo!$B:$B, 0)), ""))</f>
        <v/>
      </c>
      <c r="AD2739" s="82" t="n">
        <v>0</v>
      </c>
      <c r="AE2739" s="82" t="n"/>
      <c r="AF2739" s="82" t="n"/>
      <c r="AG2739" s="82">
        <f>IF(AN2739="","",AD2739+AE2739+AF2739)</f>
        <v/>
      </c>
      <c r="AH2739" s="81">
        <f>IF(AN2739="","",P2739*(1-AG2739))</f>
        <v/>
      </c>
      <c r="AI2739" s="81">
        <f>IF(AN2739="","",IF(Q2739="Sin Factura",0,IFERROR(INDEX(Facturas_Odoo!$H:$H, MATCH(Q2739, Facturas_Odoo!$B:$B, 0)), 0)*(1-AG2739)))</f>
        <v/>
      </c>
      <c r="AJ2739" s="81">
        <f>IF(AN2739="","",_xlfn.LET(idVenta, AN2739&amp;"",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39" s="81">
        <f>IF(AN2739="","",AH2739-AJ2739)</f>
        <v/>
      </c>
      <c r="AL2739" s="81">
        <f>IF(AN2739="","",IF(Q2739="Sin Factura","",AI2739-AJ2739))</f>
        <v/>
      </c>
      <c r="AM2739" s="81">
        <f>IF(AN2739="","",IF(Q2739="Sin Factura",0,P2739-IFERROR(INDEX(Facturas_Odoo!$H:$H, MATCH(Q2739, Facturas_Odoo!$B:$B, 0)), 0)))</f>
        <v/>
      </c>
      <c r="AN2739" s="79">
        <f>IF(AND(A2739="", J2739=""), "", IF(A2739&lt;&gt;"", VALUE(MID(A2739,2,LEN(A2739))), AN2738))</f>
        <v/>
      </c>
      <c r="AO2739" s="79">
        <f>IF(AN2739="","",IF(AD2739=0,"OK",_xlfn.LET(monedaPago, IF(AA2739="","USD",AA2739), limitePermitido, IFERROR(VLOOKUP(monedaPago, Configuración!$A$2:$B$3, 2, FALSE), 0.15), IF(AD2739&gt;limitePermitido, "ALERTA: EXCESO (" &amp; TEXT(limitePermitido, "0%") &amp; " máx)", "OK"))))</f>
        <v/>
      </c>
      <c r="AP2739" s="79">
        <f>IF(AN2739="","",IF(AE2739=0,"OK",_xlfn.LET(fechaPago, Z2739, fechaFactura, R2739, diasCredito, IF(E2739="Pago inmediato", 0, IFERROR(VALUE(MID(E2739, 1, SEARCH(" ", E2739)-1)),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39" s="79">
        <f>IF(AN2739="","",IF(AND(N2739&gt;0, AG2739&gt;0), IF(Configuración!$K$2="NO", "ALERTA: DESCUENTO DOBLE NO PERMITIDO", "OK"), "OK"))</f>
        <v/>
      </c>
      <c r="AR2739" s="79">
        <f>IF(AN2739="","",IF(OR(AO2739&lt;&gt;"OK", AP2739&lt;&gt;"OK", AQ2739&lt;&gt;"OK"), "⚠️ REVISAR", "OK"))</f>
        <v/>
      </c>
    </row>
    <row r="2740">
      <c r="A2740" s="79">
        <f>IF('Ordenes_Odoo'!A2740="","",'Ordenes_Odoo'!A2740)</f>
        <v/>
      </c>
      <c r="B2740" s="80">
        <f>IF('Ordenes_Odoo'!B2740="","",'Ordenes_Odoo'!B2740)</f>
        <v/>
      </c>
      <c r="C2740" s="79">
        <f>IF('Ordenes_Odoo'!C2740="","",'Ordenes_Odoo'!C2740)</f>
        <v/>
      </c>
      <c r="D2740" s="79">
        <f>IF('Ordenes_Odoo'!D2740="","",'Ordenes_Odoo'!D2740)</f>
        <v/>
      </c>
      <c r="E2740" s="79">
        <f>IF('Ordenes_Odoo'!E2740="","",'Ordenes_Odoo'!E2740)</f>
        <v/>
      </c>
      <c r="F2740" s="79">
        <f>IF('Ordenes_Odoo'!F2740="","",'Ordenes_Odoo'!F2740)</f>
        <v/>
      </c>
      <c r="G2740" s="79">
        <f>IF('Ordenes_Odoo'!G2740="","",'Ordenes_Odoo'!G2740)</f>
        <v/>
      </c>
      <c r="H2740" s="79">
        <f>IF('Ordenes_Odoo'!H2740="","",'Ordenes_Odoo'!H2740)</f>
        <v/>
      </c>
      <c r="I2740" s="79">
        <f>IF('Ordenes_Odoo'!I2740="","",'Ordenes_Odoo'!I2740)</f>
        <v/>
      </c>
      <c r="J2740" s="79">
        <f>IF('Ordenes_Odoo'!J2740="","",'Ordenes_Odoo'!J2740)</f>
        <v/>
      </c>
      <c r="K2740" s="81">
        <f>IF('Ordenes_Odoo'!K2740="","",'Ordenes_Odoo'!K2740)</f>
        <v/>
      </c>
      <c r="L2740" s="81">
        <f>IF('Ordenes_Odoo'!L2740="","",'Ordenes_Odoo'!L2740)</f>
        <v/>
      </c>
      <c r="M2740" s="79">
        <f>IF('Ordenes_Odoo'!M2740="","",'Ordenes_Odoo'!M2740)</f>
        <v/>
      </c>
      <c r="N2740" s="79">
        <f>IF('Ordenes_Odoo'!N2740="","",'Ordenes_Odoo'!N2740)</f>
        <v/>
      </c>
      <c r="O2740" s="81">
        <f>IF('Ordenes_Odoo'!O2740="","",'Ordenes_Odoo'!O2740)</f>
        <v/>
      </c>
      <c r="P2740" s="81">
        <f>IF('Ordenes_Odoo'!P2740="","",'Ordenes_Odoo'!P2740)</f>
        <v/>
      </c>
      <c r="Q2740" s="79">
        <f>IF(A2740="","",IFERROR(INDEX(Facturas_Odoo!$B:$B, MATCH(A2740, Facturas_Odoo!$D:$D, 0)), "Sin Factura"))</f>
        <v/>
      </c>
      <c r="R2740" s="80">
        <f>IF(Q2740="Sin Factura","",IFERROR(INDEX(Facturas_Odoo!$A:$A, MATCH(Q2740, Facturas_Odoo!$B:$B, 0)), ""))</f>
        <v/>
      </c>
      <c r="S2740" s="79">
        <f>IF(Q2740="Sin Factura","",IFERROR(_xlfn.XLOOKUP(1, (Facturas_Odoo!$D:$D=A2740) * (Facturas_Odoo!$K:$K=I2740), Facturas_Odoo!$L:$L, ""), ""))</f>
        <v/>
      </c>
      <c r="T2740" s="81">
        <f>IF(Q2740="Sin Factura",0,IFERROR(_xlfn.XLOOKUP(1, (Facturas_Odoo!$D:$D=A2740) * (Facturas_Odoo!$K:$K=I2740), Facturas_Odoo!$M:$M, 0), 0))</f>
        <v/>
      </c>
      <c r="U2740" s="79">
        <f>IF(Q2740="Sin Factura",0,IFERROR(_xlfn.XLOOKUP(1, (Facturas_Odoo!$D:$D=A2740) * (Facturas_Odoo!$K:$K=I2740), Facturas_Odoo!$N:$N, 0), 0))</f>
        <v/>
      </c>
      <c r="V2740" s="79">
        <f>IF(Q2740="Sin Factura",0,IFERROR(_xlfn.XLOOKUP(1, (Facturas_Odoo!$D:$D=A2740) * (Facturas_Odoo!$K:$K=I2740), Facturas_Odoo!$O:$O, 0), 0))</f>
        <v/>
      </c>
      <c r="W2740" s="81">
        <f>IF(Q2740="Sin Factura",0,IFERROR(_xlfn.XLOOKUP(1, (Facturas_Odoo!$D:$D=A2740) * (Facturas_Odoo!$K:$K=I2740), Facturas_Odoo!$Q:$Q, 0), 0))</f>
        <v/>
      </c>
      <c r="X2740" s="79">
        <f>IF(OR(Q2740="Sin Factura",Q2740=""),"",IFERROR(INDEX(Pagos_Odoo!$B:$B, MATCH(Q2740, Pagos_Odoo!$I:$I, 0)), "Sin Pago"))</f>
        <v/>
      </c>
      <c r="Y2740" s="79">
        <f>IF(X2740="Sin Pago","",IFERROR(INDEX(Pagos_Odoo!$C:$C, MATCH(X2740, Pagos_Odoo!$B:$B, 0)), ""))</f>
        <v/>
      </c>
      <c r="Z2740" s="80">
        <f>IF(X2740="Sin Pago","",IFERROR(INDEX(Pagos_Odoo!$A:$A, MATCH(X2740, Pagos_Odoo!$B:$B, 0)), ""))</f>
        <v/>
      </c>
      <c r="AA2740" s="79">
        <f>IF(X2740="Sin Pago","",IFERROR(INDEX(Pagos_Odoo!$F:$F, MATCH(X2740, Pagos_Odoo!$B:$B, 0)), ""))</f>
        <v/>
      </c>
      <c r="AB2740" s="81">
        <f>IF(X2740="Sin Pago",0,IFERROR(INDEX(Pagos_Odoo!$E:$E, MATCH(X2740, Pagos_Odoo!$B:$B, 0)), 0))</f>
        <v/>
      </c>
      <c r="AC2740" s="79">
        <f>IF(X2740="Sin Pago","",IFERROR(INDEX(Pagos_Odoo!$G:$G, MATCH(X2740, Pagos_Odoo!$B:$B, 0)), ""))</f>
        <v/>
      </c>
      <c r="AD2740" s="82" t="n">
        <v>0</v>
      </c>
      <c r="AE2740" s="82" t="n"/>
      <c r="AF2740" s="82" t="n"/>
      <c r="AG2740" s="82">
        <f>IF(AN2740="","",AD2740+AE2740+AF2740)</f>
        <v/>
      </c>
      <c r="AH2740" s="81">
        <f>IF(AN2740="","",P2740*(1-AG2740))</f>
        <v/>
      </c>
      <c r="AI2740" s="81">
        <f>IF(AN2740="","",IF(Q2740="Sin Factura",0,IFERROR(INDEX(Facturas_Odoo!$H:$H, MATCH(Q2740, Facturas_Odoo!$B:$B, 0)), 0)*(1-AG2740)))</f>
        <v/>
      </c>
      <c r="AJ2740" s="81">
        <f>IF(AN2740="","",_xlfn.LET(idVenta, AN2740&amp;"",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40" s="81">
        <f>IF(AN2740="","",AH2740-AJ2740)</f>
        <v/>
      </c>
      <c r="AL2740" s="81">
        <f>IF(AN2740="","",IF(Q2740="Sin Factura","",AI2740-AJ2740))</f>
        <v/>
      </c>
      <c r="AM2740" s="81">
        <f>IF(AN2740="","",IF(Q2740="Sin Factura",0,P2740-IFERROR(INDEX(Facturas_Odoo!$H:$H, MATCH(Q2740, Facturas_Odoo!$B:$B, 0)), 0)))</f>
        <v/>
      </c>
      <c r="AN2740" s="79">
        <f>IF(AND(A2740="", J2740=""), "", IF(A2740&lt;&gt;"", VALUE(MID(A2740,2,LEN(A2740))), AN2739))</f>
        <v/>
      </c>
      <c r="AO2740" s="79">
        <f>IF(AN2740="","",IF(AD2740=0,"OK",_xlfn.LET(monedaPago, IF(AA2740="","USD",AA2740), limitePermitido, IFERROR(VLOOKUP(monedaPago, Configuración!$A$2:$B$3, 2, FALSE), 0.15), IF(AD2740&gt;limitePermitido, "ALERTA: EXCESO (" &amp; TEXT(limitePermitido, "0%") &amp; " máx)", "OK"))))</f>
        <v/>
      </c>
      <c r="AP2740" s="79">
        <f>IF(AN2740="","",IF(AE2740=0,"OK",_xlfn.LET(fechaPago, Z2740, fechaFactura, R2740, diasCredito, IF(E2740="Pago inmediato", 0, IFERROR(VALUE(MID(E2740, 1, SEARCH(" ", E2740)-1)),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40" s="79">
        <f>IF(AN2740="","",IF(AND(N2740&gt;0, AG2740&gt;0), IF(Configuración!$K$2="NO", "ALERTA: DESCUENTO DOBLE NO PERMITIDO", "OK"), "OK"))</f>
        <v/>
      </c>
      <c r="AR2740" s="79">
        <f>IF(AN2740="","",IF(OR(AO2740&lt;&gt;"OK", AP2740&lt;&gt;"OK", AQ2740&lt;&gt;"OK"), "⚠️ REVISAR", "OK"))</f>
        <v/>
      </c>
    </row>
    <row r="2741">
      <c r="A2741" s="79">
        <f>IF('Ordenes_Odoo'!A2741="","",'Ordenes_Odoo'!A2741)</f>
        <v/>
      </c>
      <c r="B2741" s="80">
        <f>IF('Ordenes_Odoo'!B2741="","",'Ordenes_Odoo'!B2741)</f>
        <v/>
      </c>
      <c r="C2741" s="79">
        <f>IF('Ordenes_Odoo'!C2741="","",'Ordenes_Odoo'!C2741)</f>
        <v/>
      </c>
      <c r="D2741" s="79">
        <f>IF('Ordenes_Odoo'!D2741="","",'Ordenes_Odoo'!D2741)</f>
        <v/>
      </c>
      <c r="E2741" s="79">
        <f>IF('Ordenes_Odoo'!E2741="","",'Ordenes_Odoo'!E2741)</f>
        <v/>
      </c>
      <c r="F2741" s="79">
        <f>IF('Ordenes_Odoo'!F2741="","",'Ordenes_Odoo'!F2741)</f>
        <v/>
      </c>
      <c r="G2741" s="79">
        <f>IF('Ordenes_Odoo'!G2741="","",'Ordenes_Odoo'!G2741)</f>
        <v/>
      </c>
      <c r="H2741" s="79">
        <f>IF('Ordenes_Odoo'!H2741="","",'Ordenes_Odoo'!H2741)</f>
        <v/>
      </c>
      <c r="I2741" s="79">
        <f>IF('Ordenes_Odoo'!I2741="","",'Ordenes_Odoo'!I2741)</f>
        <v/>
      </c>
      <c r="J2741" s="79">
        <f>IF('Ordenes_Odoo'!J2741="","",'Ordenes_Odoo'!J2741)</f>
        <v/>
      </c>
      <c r="K2741" s="81">
        <f>IF('Ordenes_Odoo'!K2741="","",'Ordenes_Odoo'!K2741)</f>
        <v/>
      </c>
      <c r="L2741" s="81">
        <f>IF('Ordenes_Odoo'!L2741="","",'Ordenes_Odoo'!L2741)</f>
        <v/>
      </c>
      <c r="M2741" s="79">
        <f>IF('Ordenes_Odoo'!M2741="","",'Ordenes_Odoo'!M2741)</f>
        <v/>
      </c>
      <c r="N2741" s="79">
        <f>IF('Ordenes_Odoo'!N2741="","",'Ordenes_Odoo'!N2741)</f>
        <v/>
      </c>
      <c r="O2741" s="81">
        <f>IF('Ordenes_Odoo'!O2741="","",'Ordenes_Odoo'!O2741)</f>
        <v/>
      </c>
      <c r="P2741" s="81">
        <f>IF('Ordenes_Odoo'!P2741="","",'Ordenes_Odoo'!P2741)</f>
        <v/>
      </c>
      <c r="Q2741" s="79">
        <f>IF(A2741="","",IFERROR(INDEX(Facturas_Odoo!$B:$B, MATCH(A2741, Facturas_Odoo!$D:$D, 0)), "Sin Factura"))</f>
        <v/>
      </c>
      <c r="R2741" s="80">
        <f>IF(Q2741="Sin Factura","",IFERROR(INDEX(Facturas_Odoo!$A:$A, MATCH(Q2741, Facturas_Odoo!$B:$B, 0)), ""))</f>
        <v/>
      </c>
      <c r="S2741" s="79">
        <f>IF(Q2741="Sin Factura","",IFERROR(_xlfn.XLOOKUP(1, (Facturas_Odoo!$D:$D=A2741) * (Facturas_Odoo!$K:$K=I2741), Facturas_Odoo!$L:$L, ""), ""))</f>
        <v/>
      </c>
      <c r="T2741" s="81">
        <f>IF(Q2741="Sin Factura",0,IFERROR(_xlfn.XLOOKUP(1, (Facturas_Odoo!$D:$D=A2741) * (Facturas_Odoo!$K:$K=I2741), Facturas_Odoo!$M:$M, 0), 0))</f>
        <v/>
      </c>
      <c r="U2741" s="79">
        <f>IF(Q2741="Sin Factura",0,IFERROR(_xlfn.XLOOKUP(1, (Facturas_Odoo!$D:$D=A2741) * (Facturas_Odoo!$K:$K=I2741), Facturas_Odoo!$N:$N, 0), 0))</f>
        <v/>
      </c>
      <c r="V2741" s="79">
        <f>IF(Q2741="Sin Factura",0,IFERROR(_xlfn.XLOOKUP(1, (Facturas_Odoo!$D:$D=A2741) * (Facturas_Odoo!$K:$K=I2741), Facturas_Odoo!$O:$O, 0), 0))</f>
        <v/>
      </c>
      <c r="W2741" s="81">
        <f>IF(Q2741="Sin Factura",0,IFERROR(_xlfn.XLOOKUP(1, (Facturas_Odoo!$D:$D=A2741) * (Facturas_Odoo!$K:$K=I2741), Facturas_Odoo!$Q:$Q, 0), 0))</f>
        <v/>
      </c>
      <c r="X2741" s="79">
        <f>IF(OR(Q2741="Sin Factura",Q2741=""),"",IFERROR(INDEX(Pagos_Odoo!$B:$B, MATCH(Q2741, Pagos_Odoo!$I:$I, 0)), "Sin Pago"))</f>
        <v/>
      </c>
      <c r="Y2741" s="79">
        <f>IF(X2741="Sin Pago","",IFERROR(INDEX(Pagos_Odoo!$C:$C, MATCH(X2741, Pagos_Odoo!$B:$B, 0)), ""))</f>
        <v/>
      </c>
      <c r="Z2741" s="80">
        <f>IF(X2741="Sin Pago","",IFERROR(INDEX(Pagos_Odoo!$A:$A, MATCH(X2741, Pagos_Odoo!$B:$B, 0)), ""))</f>
        <v/>
      </c>
      <c r="AA2741" s="79">
        <f>IF(X2741="Sin Pago","",IFERROR(INDEX(Pagos_Odoo!$F:$F, MATCH(X2741, Pagos_Odoo!$B:$B, 0)), ""))</f>
        <v/>
      </c>
      <c r="AB2741" s="81">
        <f>IF(X2741="Sin Pago",0,IFERROR(INDEX(Pagos_Odoo!$E:$E, MATCH(X2741, Pagos_Odoo!$B:$B, 0)), 0))</f>
        <v/>
      </c>
      <c r="AC2741" s="79">
        <f>IF(X2741="Sin Pago","",IFERROR(INDEX(Pagos_Odoo!$G:$G, MATCH(X2741, Pagos_Odoo!$B:$B, 0)), ""))</f>
        <v/>
      </c>
      <c r="AD2741" s="82" t="n">
        <v>0</v>
      </c>
      <c r="AE2741" s="82" t="n"/>
      <c r="AF2741" s="82" t="n"/>
      <c r="AG2741" s="82">
        <f>IF(AN2741="","",AD2741+AE2741+AF2741)</f>
        <v/>
      </c>
      <c r="AH2741" s="81">
        <f>IF(AN2741="","",P2741*(1-AG2741))</f>
        <v/>
      </c>
      <c r="AI2741" s="81">
        <f>IF(AN2741="","",IF(Q2741="Sin Factura",0,IFERROR(INDEX(Facturas_Odoo!$H:$H, MATCH(Q2741, Facturas_Odoo!$B:$B, 0)), 0)*(1-AG2741)))</f>
        <v/>
      </c>
      <c r="AJ2741" s="81">
        <f>IF(AN2741="","",_xlfn.LET(idVenta, AN2741&amp;"",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41" s="81">
        <f>IF(AN2741="","",AH2741-AJ2741)</f>
        <v/>
      </c>
      <c r="AL2741" s="81">
        <f>IF(AN2741="","",IF(Q2741="Sin Factura","",AI2741-AJ2741))</f>
        <v/>
      </c>
      <c r="AM2741" s="81">
        <f>IF(AN2741="","",IF(Q2741="Sin Factura",0,P2741-IFERROR(INDEX(Facturas_Odoo!$H:$H, MATCH(Q2741, Facturas_Odoo!$B:$B, 0)), 0)))</f>
        <v/>
      </c>
      <c r="AN2741" s="79">
        <f>IF(AND(A2741="", J2741=""), "", IF(A2741&lt;&gt;"", VALUE(MID(A2741,2,LEN(A2741))), AN2740))</f>
        <v/>
      </c>
      <c r="AO2741" s="79">
        <f>IF(AN2741="","",IF(AD2741=0,"OK",_xlfn.LET(monedaPago, IF(AA2741="","USD",AA2741), limitePermitido, IFERROR(VLOOKUP(monedaPago, Configuración!$A$2:$B$3, 2, FALSE), 0.15), IF(AD2741&gt;limitePermitido, "ALERTA: EXCESO (" &amp; TEXT(limitePermitido, "0%") &amp; " máx)", "OK"))))</f>
        <v/>
      </c>
      <c r="AP2741" s="79">
        <f>IF(AN2741="","",IF(AE2741=0,"OK",_xlfn.LET(fechaPago, Z2741, fechaFactura, R2741, diasCredito, IF(E2741="Pago inmediato", 0, IFERROR(VALUE(MID(E2741, 1, SEARCH(" ", E2741)-1)),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41" s="79">
        <f>IF(AN2741="","",IF(AND(N2741&gt;0, AG2741&gt;0), IF(Configuración!$K$2="NO", "ALERTA: DESCUENTO DOBLE NO PERMITIDO", "OK"), "OK"))</f>
        <v/>
      </c>
      <c r="AR2741" s="79">
        <f>IF(AN2741="","",IF(OR(AO2741&lt;&gt;"OK", AP2741&lt;&gt;"OK", AQ2741&lt;&gt;"OK"), "⚠️ REVISAR", "OK"))</f>
        <v/>
      </c>
    </row>
    <row r="2742">
      <c r="A2742" s="79">
        <f>IF('Ordenes_Odoo'!A2742="","",'Ordenes_Odoo'!A2742)</f>
        <v/>
      </c>
      <c r="B2742" s="80">
        <f>IF('Ordenes_Odoo'!B2742="","",'Ordenes_Odoo'!B2742)</f>
        <v/>
      </c>
      <c r="C2742" s="79">
        <f>IF('Ordenes_Odoo'!C2742="","",'Ordenes_Odoo'!C2742)</f>
        <v/>
      </c>
      <c r="D2742" s="79">
        <f>IF('Ordenes_Odoo'!D2742="","",'Ordenes_Odoo'!D2742)</f>
        <v/>
      </c>
      <c r="E2742" s="79">
        <f>IF('Ordenes_Odoo'!E2742="","",'Ordenes_Odoo'!E2742)</f>
        <v/>
      </c>
      <c r="F2742" s="79">
        <f>IF('Ordenes_Odoo'!F2742="","",'Ordenes_Odoo'!F2742)</f>
        <v/>
      </c>
      <c r="G2742" s="79">
        <f>IF('Ordenes_Odoo'!G2742="","",'Ordenes_Odoo'!G2742)</f>
        <v/>
      </c>
      <c r="H2742" s="79">
        <f>IF('Ordenes_Odoo'!H2742="","",'Ordenes_Odoo'!H2742)</f>
        <v/>
      </c>
      <c r="I2742" s="79">
        <f>IF('Ordenes_Odoo'!I2742="","",'Ordenes_Odoo'!I2742)</f>
        <v/>
      </c>
      <c r="J2742" s="79">
        <f>IF('Ordenes_Odoo'!J2742="","",'Ordenes_Odoo'!J2742)</f>
        <v/>
      </c>
      <c r="K2742" s="81">
        <f>IF('Ordenes_Odoo'!K2742="","",'Ordenes_Odoo'!K2742)</f>
        <v/>
      </c>
      <c r="L2742" s="81">
        <f>IF('Ordenes_Odoo'!L2742="","",'Ordenes_Odoo'!L2742)</f>
        <v/>
      </c>
      <c r="M2742" s="79">
        <f>IF('Ordenes_Odoo'!M2742="","",'Ordenes_Odoo'!M2742)</f>
        <v/>
      </c>
      <c r="N2742" s="79">
        <f>IF('Ordenes_Odoo'!N2742="","",'Ordenes_Odoo'!N2742)</f>
        <v/>
      </c>
      <c r="O2742" s="81">
        <f>IF('Ordenes_Odoo'!O2742="","",'Ordenes_Odoo'!O2742)</f>
        <v/>
      </c>
      <c r="P2742" s="81">
        <f>IF('Ordenes_Odoo'!P2742="","",'Ordenes_Odoo'!P2742)</f>
        <v/>
      </c>
      <c r="Q2742" s="79">
        <f>IF(A2742="","",IFERROR(INDEX(Facturas_Odoo!$B:$B, MATCH(A2742, Facturas_Odoo!$D:$D, 0)), "Sin Factura"))</f>
        <v/>
      </c>
      <c r="R2742" s="80">
        <f>IF(Q2742="Sin Factura","",IFERROR(INDEX(Facturas_Odoo!$A:$A, MATCH(Q2742, Facturas_Odoo!$B:$B, 0)), ""))</f>
        <v/>
      </c>
      <c r="S2742" s="79">
        <f>IF(Q2742="Sin Factura","",IFERROR(_xlfn.XLOOKUP(1, (Facturas_Odoo!$D:$D=A2742) * (Facturas_Odoo!$K:$K=I2742), Facturas_Odoo!$L:$L, ""), ""))</f>
        <v/>
      </c>
      <c r="T2742" s="81">
        <f>IF(Q2742="Sin Factura",0,IFERROR(_xlfn.XLOOKUP(1, (Facturas_Odoo!$D:$D=A2742) * (Facturas_Odoo!$K:$K=I2742), Facturas_Odoo!$M:$M, 0), 0))</f>
        <v/>
      </c>
      <c r="U2742" s="79">
        <f>IF(Q2742="Sin Factura",0,IFERROR(_xlfn.XLOOKUP(1, (Facturas_Odoo!$D:$D=A2742) * (Facturas_Odoo!$K:$K=I2742), Facturas_Odoo!$N:$N, 0), 0))</f>
        <v/>
      </c>
      <c r="V2742" s="79">
        <f>IF(Q2742="Sin Factura",0,IFERROR(_xlfn.XLOOKUP(1, (Facturas_Odoo!$D:$D=A2742) * (Facturas_Odoo!$K:$K=I2742), Facturas_Odoo!$O:$O, 0), 0))</f>
        <v/>
      </c>
      <c r="W2742" s="81">
        <f>IF(Q2742="Sin Factura",0,IFERROR(_xlfn.XLOOKUP(1, (Facturas_Odoo!$D:$D=A2742) * (Facturas_Odoo!$K:$K=I2742), Facturas_Odoo!$Q:$Q, 0), 0))</f>
        <v/>
      </c>
      <c r="X2742" s="79">
        <f>IF(OR(Q2742="Sin Factura",Q2742=""),"",IFERROR(INDEX(Pagos_Odoo!$B:$B, MATCH(Q2742, Pagos_Odoo!$I:$I, 0)), "Sin Pago"))</f>
        <v/>
      </c>
      <c r="Y2742" s="79">
        <f>IF(X2742="Sin Pago","",IFERROR(INDEX(Pagos_Odoo!$C:$C, MATCH(X2742, Pagos_Odoo!$B:$B, 0)), ""))</f>
        <v/>
      </c>
      <c r="Z2742" s="80">
        <f>IF(X2742="Sin Pago","",IFERROR(INDEX(Pagos_Odoo!$A:$A, MATCH(X2742, Pagos_Odoo!$B:$B, 0)), ""))</f>
        <v/>
      </c>
      <c r="AA2742" s="79">
        <f>IF(X2742="Sin Pago","",IFERROR(INDEX(Pagos_Odoo!$F:$F, MATCH(X2742, Pagos_Odoo!$B:$B, 0)), ""))</f>
        <v/>
      </c>
      <c r="AB2742" s="81">
        <f>IF(X2742="Sin Pago",0,IFERROR(INDEX(Pagos_Odoo!$E:$E, MATCH(X2742, Pagos_Odoo!$B:$B, 0)), 0))</f>
        <v/>
      </c>
      <c r="AC2742" s="79">
        <f>IF(X2742="Sin Pago","",IFERROR(INDEX(Pagos_Odoo!$G:$G, MATCH(X2742, Pagos_Odoo!$B:$B, 0)), ""))</f>
        <v/>
      </c>
      <c r="AD2742" s="82" t="n">
        <v>0</v>
      </c>
      <c r="AE2742" s="82" t="n"/>
      <c r="AF2742" s="82" t="n"/>
      <c r="AG2742" s="82">
        <f>IF(AN2742="","",AD2742+AE2742+AF2742)</f>
        <v/>
      </c>
      <c r="AH2742" s="81">
        <f>IF(AN2742="","",P2742*(1-AG2742))</f>
        <v/>
      </c>
      <c r="AI2742" s="81">
        <f>IF(AN2742="","",IF(Q2742="Sin Factura",0,IFERROR(INDEX(Facturas_Odoo!$H:$H, MATCH(Q2742, Facturas_Odoo!$B:$B, 0)), 0)*(1-AG2742)))</f>
        <v/>
      </c>
      <c r="AJ2742" s="81">
        <f>IF(AN2742="","",_xlfn.LET(idVenta, AN2742&amp;"",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42" s="81">
        <f>IF(AN2742="","",AH2742-AJ2742)</f>
        <v/>
      </c>
      <c r="AL2742" s="81">
        <f>IF(AN2742="","",IF(Q2742="Sin Factura","",AI2742-AJ2742))</f>
        <v/>
      </c>
      <c r="AM2742" s="81">
        <f>IF(AN2742="","",IF(Q2742="Sin Factura",0,P2742-IFERROR(INDEX(Facturas_Odoo!$H:$H, MATCH(Q2742, Facturas_Odoo!$B:$B, 0)), 0)))</f>
        <v/>
      </c>
      <c r="AN2742" s="79">
        <f>IF(AND(A2742="", J2742=""), "", IF(A2742&lt;&gt;"", VALUE(MID(A2742,2,LEN(A2742))), AN2741))</f>
        <v/>
      </c>
      <c r="AO2742" s="79">
        <f>IF(AN2742="","",IF(AD2742=0,"OK",_xlfn.LET(monedaPago, IF(AA2742="","USD",AA2742), limitePermitido, IFERROR(VLOOKUP(monedaPago, Configuración!$A$2:$B$3, 2, FALSE), 0.15), IF(AD2742&gt;limitePermitido, "ALERTA: EXCESO (" &amp; TEXT(limitePermitido, "0%") &amp; " máx)", "OK"))))</f>
        <v/>
      </c>
      <c r="AP2742" s="79">
        <f>IF(AN2742="","",IF(AE2742=0,"OK",_xlfn.LET(fechaPago, Z2742, fechaFactura, R2742, diasCredito, IF(E2742="Pago inmediato", 0, IFERROR(VALUE(MID(E2742, 1, SEARCH(" ", E2742)-1)),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42" s="79">
        <f>IF(AN2742="","",IF(AND(N2742&gt;0, AG2742&gt;0), IF(Configuración!$K$2="NO", "ALERTA: DESCUENTO DOBLE NO PERMITIDO", "OK"), "OK"))</f>
        <v/>
      </c>
      <c r="AR2742" s="79">
        <f>IF(AN2742="","",IF(OR(AO2742&lt;&gt;"OK", AP2742&lt;&gt;"OK", AQ2742&lt;&gt;"OK"), "⚠️ REVISAR", "OK"))</f>
        <v/>
      </c>
    </row>
    <row r="2743">
      <c r="A2743" s="79">
        <f>IF('Ordenes_Odoo'!A2743="","",'Ordenes_Odoo'!A2743)</f>
        <v/>
      </c>
      <c r="B2743" s="80">
        <f>IF('Ordenes_Odoo'!B2743="","",'Ordenes_Odoo'!B2743)</f>
        <v/>
      </c>
      <c r="C2743" s="79">
        <f>IF('Ordenes_Odoo'!C2743="","",'Ordenes_Odoo'!C2743)</f>
        <v/>
      </c>
      <c r="D2743" s="79">
        <f>IF('Ordenes_Odoo'!D2743="","",'Ordenes_Odoo'!D2743)</f>
        <v/>
      </c>
      <c r="E2743" s="79">
        <f>IF('Ordenes_Odoo'!E2743="","",'Ordenes_Odoo'!E2743)</f>
        <v/>
      </c>
      <c r="F2743" s="79">
        <f>IF('Ordenes_Odoo'!F2743="","",'Ordenes_Odoo'!F2743)</f>
        <v/>
      </c>
      <c r="G2743" s="79">
        <f>IF('Ordenes_Odoo'!G2743="","",'Ordenes_Odoo'!G2743)</f>
        <v/>
      </c>
      <c r="H2743" s="79">
        <f>IF('Ordenes_Odoo'!H2743="","",'Ordenes_Odoo'!H2743)</f>
        <v/>
      </c>
      <c r="I2743" s="79">
        <f>IF('Ordenes_Odoo'!I2743="","",'Ordenes_Odoo'!I2743)</f>
        <v/>
      </c>
      <c r="J2743" s="79">
        <f>IF('Ordenes_Odoo'!J2743="","",'Ordenes_Odoo'!J2743)</f>
        <v/>
      </c>
      <c r="K2743" s="81">
        <f>IF('Ordenes_Odoo'!K2743="","",'Ordenes_Odoo'!K2743)</f>
        <v/>
      </c>
      <c r="L2743" s="81">
        <f>IF('Ordenes_Odoo'!L2743="","",'Ordenes_Odoo'!L2743)</f>
        <v/>
      </c>
      <c r="M2743" s="79">
        <f>IF('Ordenes_Odoo'!M2743="","",'Ordenes_Odoo'!M2743)</f>
        <v/>
      </c>
      <c r="N2743" s="79">
        <f>IF('Ordenes_Odoo'!N2743="","",'Ordenes_Odoo'!N2743)</f>
        <v/>
      </c>
      <c r="O2743" s="81">
        <f>IF('Ordenes_Odoo'!O2743="","",'Ordenes_Odoo'!O2743)</f>
        <v/>
      </c>
      <c r="P2743" s="81">
        <f>IF('Ordenes_Odoo'!P2743="","",'Ordenes_Odoo'!P2743)</f>
        <v/>
      </c>
      <c r="Q2743" s="79">
        <f>IF(A2743="","",IFERROR(INDEX(Facturas_Odoo!$B:$B, MATCH(A2743, Facturas_Odoo!$D:$D, 0)), "Sin Factura"))</f>
        <v/>
      </c>
      <c r="R2743" s="80">
        <f>IF(Q2743="Sin Factura","",IFERROR(INDEX(Facturas_Odoo!$A:$A, MATCH(Q2743, Facturas_Odoo!$B:$B, 0)), ""))</f>
        <v/>
      </c>
      <c r="S2743" s="79">
        <f>IF(Q2743="Sin Factura","",IFERROR(_xlfn.XLOOKUP(1, (Facturas_Odoo!$D:$D=A2743) * (Facturas_Odoo!$K:$K=I2743), Facturas_Odoo!$L:$L, ""), ""))</f>
        <v/>
      </c>
      <c r="T2743" s="81">
        <f>IF(Q2743="Sin Factura",0,IFERROR(_xlfn.XLOOKUP(1, (Facturas_Odoo!$D:$D=A2743) * (Facturas_Odoo!$K:$K=I2743), Facturas_Odoo!$M:$M, 0), 0))</f>
        <v/>
      </c>
      <c r="U2743" s="79">
        <f>IF(Q2743="Sin Factura",0,IFERROR(_xlfn.XLOOKUP(1, (Facturas_Odoo!$D:$D=A2743) * (Facturas_Odoo!$K:$K=I2743), Facturas_Odoo!$N:$N, 0), 0))</f>
        <v/>
      </c>
      <c r="V2743" s="79">
        <f>IF(Q2743="Sin Factura",0,IFERROR(_xlfn.XLOOKUP(1, (Facturas_Odoo!$D:$D=A2743) * (Facturas_Odoo!$K:$K=I2743), Facturas_Odoo!$O:$O, 0), 0))</f>
        <v/>
      </c>
      <c r="W2743" s="81">
        <f>IF(Q2743="Sin Factura",0,IFERROR(_xlfn.XLOOKUP(1, (Facturas_Odoo!$D:$D=A2743) * (Facturas_Odoo!$K:$K=I2743), Facturas_Odoo!$Q:$Q, 0), 0))</f>
        <v/>
      </c>
      <c r="X2743" s="79">
        <f>IF(OR(Q2743="Sin Factura",Q2743=""),"",IFERROR(INDEX(Pagos_Odoo!$B:$B, MATCH(Q2743, Pagos_Odoo!$I:$I, 0)), "Sin Pago"))</f>
        <v/>
      </c>
      <c r="Y2743" s="79">
        <f>IF(X2743="Sin Pago","",IFERROR(INDEX(Pagos_Odoo!$C:$C, MATCH(X2743, Pagos_Odoo!$B:$B, 0)), ""))</f>
        <v/>
      </c>
      <c r="Z2743" s="80">
        <f>IF(X2743="Sin Pago","",IFERROR(INDEX(Pagos_Odoo!$A:$A, MATCH(X2743, Pagos_Odoo!$B:$B, 0)), ""))</f>
        <v/>
      </c>
      <c r="AA2743" s="79">
        <f>IF(X2743="Sin Pago","",IFERROR(INDEX(Pagos_Odoo!$F:$F, MATCH(X2743, Pagos_Odoo!$B:$B, 0)), ""))</f>
        <v/>
      </c>
      <c r="AB2743" s="81">
        <f>IF(X2743="Sin Pago",0,IFERROR(INDEX(Pagos_Odoo!$E:$E, MATCH(X2743, Pagos_Odoo!$B:$B, 0)), 0))</f>
        <v/>
      </c>
      <c r="AC2743" s="79">
        <f>IF(X2743="Sin Pago","",IFERROR(INDEX(Pagos_Odoo!$G:$G, MATCH(X2743, Pagos_Odoo!$B:$B, 0)), ""))</f>
        <v/>
      </c>
      <c r="AD2743" s="82" t="n">
        <v>0</v>
      </c>
      <c r="AE2743" s="82" t="n"/>
      <c r="AF2743" s="82" t="n"/>
      <c r="AG2743" s="82">
        <f>IF(AN2743="","",AD2743+AE2743+AF2743)</f>
        <v/>
      </c>
      <c r="AH2743" s="81">
        <f>IF(AN2743="","",P2743*(1-AG2743))</f>
        <v/>
      </c>
      <c r="AI2743" s="81">
        <f>IF(AN2743="","",IF(Q2743="Sin Factura",0,IFERROR(INDEX(Facturas_Odoo!$H:$H, MATCH(Q2743, Facturas_Odoo!$B:$B, 0)), 0)*(1-AG2743)))</f>
        <v/>
      </c>
      <c r="AJ2743" s="81">
        <f>IF(AN2743="","",_xlfn.LET(idVenta, AN2743&amp;"",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43" s="81">
        <f>IF(AN2743="","",AH2743-AJ2743)</f>
        <v/>
      </c>
      <c r="AL2743" s="81">
        <f>IF(AN2743="","",IF(Q2743="Sin Factura","",AI2743-AJ2743))</f>
        <v/>
      </c>
      <c r="AM2743" s="81">
        <f>IF(AN2743="","",IF(Q2743="Sin Factura",0,P2743-IFERROR(INDEX(Facturas_Odoo!$H:$H, MATCH(Q2743, Facturas_Odoo!$B:$B, 0)), 0)))</f>
        <v/>
      </c>
      <c r="AN2743" s="79">
        <f>IF(AND(A2743="", J2743=""), "", IF(A2743&lt;&gt;"", VALUE(MID(A2743,2,LEN(A2743))), AN2742))</f>
        <v/>
      </c>
      <c r="AO2743" s="79">
        <f>IF(AN2743="","",IF(AD2743=0,"OK",_xlfn.LET(monedaPago, IF(AA2743="","USD",AA2743), limitePermitido, IFERROR(VLOOKUP(monedaPago, Configuración!$A$2:$B$3, 2, FALSE), 0.15), IF(AD2743&gt;limitePermitido, "ALERTA: EXCESO (" &amp; TEXT(limitePermitido, "0%") &amp; " máx)", "OK"))))</f>
        <v/>
      </c>
      <c r="AP2743" s="79">
        <f>IF(AN2743="","",IF(AE2743=0,"OK",_xlfn.LET(fechaPago, Z2743, fechaFactura, R2743, diasCredito, IF(E2743="Pago inmediato", 0, IFERROR(VALUE(MID(E2743, 1, SEARCH(" ", E2743)-1)),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43" s="79">
        <f>IF(AN2743="","",IF(AND(N2743&gt;0, AG2743&gt;0), IF(Configuración!$K$2="NO", "ALERTA: DESCUENTO DOBLE NO PERMITIDO", "OK"), "OK"))</f>
        <v/>
      </c>
      <c r="AR2743" s="79">
        <f>IF(AN2743="","",IF(OR(AO2743&lt;&gt;"OK", AP2743&lt;&gt;"OK", AQ2743&lt;&gt;"OK"), "⚠️ REVISAR", "OK"))</f>
        <v/>
      </c>
    </row>
    <row r="2744">
      <c r="A2744" s="79">
        <f>IF('Ordenes_Odoo'!A2744="","",'Ordenes_Odoo'!A2744)</f>
        <v/>
      </c>
      <c r="B2744" s="80">
        <f>IF('Ordenes_Odoo'!B2744="","",'Ordenes_Odoo'!B2744)</f>
        <v/>
      </c>
      <c r="C2744" s="79">
        <f>IF('Ordenes_Odoo'!C2744="","",'Ordenes_Odoo'!C2744)</f>
        <v/>
      </c>
      <c r="D2744" s="79">
        <f>IF('Ordenes_Odoo'!D2744="","",'Ordenes_Odoo'!D2744)</f>
        <v/>
      </c>
      <c r="E2744" s="79">
        <f>IF('Ordenes_Odoo'!E2744="","",'Ordenes_Odoo'!E2744)</f>
        <v/>
      </c>
      <c r="F2744" s="79">
        <f>IF('Ordenes_Odoo'!F2744="","",'Ordenes_Odoo'!F2744)</f>
        <v/>
      </c>
      <c r="G2744" s="79">
        <f>IF('Ordenes_Odoo'!G2744="","",'Ordenes_Odoo'!G2744)</f>
        <v/>
      </c>
      <c r="H2744" s="79">
        <f>IF('Ordenes_Odoo'!H2744="","",'Ordenes_Odoo'!H2744)</f>
        <v/>
      </c>
      <c r="I2744" s="79">
        <f>IF('Ordenes_Odoo'!I2744="","",'Ordenes_Odoo'!I2744)</f>
        <v/>
      </c>
      <c r="J2744" s="79">
        <f>IF('Ordenes_Odoo'!J2744="","",'Ordenes_Odoo'!J2744)</f>
        <v/>
      </c>
      <c r="K2744" s="81">
        <f>IF('Ordenes_Odoo'!K2744="","",'Ordenes_Odoo'!K2744)</f>
        <v/>
      </c>
      <c r="L2744" s="81">
        <f>IF('Ordenes_Odoo'!L2744="","",'Ordenes_Odoo'!L2744)</f>
        <v/>
      </c>
      <c r="M2744" s="79">
        <f>IF('Ordenes_Odoo'!M2744="","",'Ordenes_Odoo'!M2744)</f>
        <v/>
      </c>
      <c r="N2744" s="79">
        <f>IF('Ordenes_Odoo'!N2744="","",'Ordenes_Odoo'!N2744)</f>
        <v/>
      </c>
      <c r="O2744" s="81">
        <f>IF('Ordenes_Odoo'!O2744="","",'Ordenes_Odoo'!O2744)</f>
        <v/>
      </c>
      <c r="P2744" s="81">
        <f>IF('Ordenes_Odoo'!P2744="","",'Ordenes_Odoo'!P2744)</f>
        <v/>
      </c>
      <c r="Q2744" s="79">
        <f>IF(A2744="","",IFERROR(INDEX(Facturas_Odoo!$B:$B, MATCH(A2744, Facturas_Odoo!$D:$D, 0)), "Sin Factura"))</f>
        <v/>
      </c>
      <c r="R2744" s="80">
        <f>IF(Q2744="Sin Factura","",IFERROR(INDEX(Facturas_Odoo!$A:$A, MATCH(Q2744, Facturas_Odoo!$B:$B, 0)), ""))</f>
        <v/>
      </c>
      <c r="S2744" s="79">
        <f>IF(Q2744="Sin Factura","",IFERROR(_xlfn.XLOOKUP(1, (Facturas_Odoo!$D:$D=A2744) * (Facturas_Odoo!$K:$K=I2744), Facturas_Odoo!$L:$L, ""), ""))</f>
        <v/>
      </c>
      <c r="T2744" s="81">
        <f>IF(Q2744="Sin Factura",0,IFERROR(_xlfn.XLOOKUP(1, (Facturas_Odoo!$D:$D=A2744) * (Facturas_Odoo!$K:$K=I2744), Facturas_Odoo!$M:$M, 0), 0))</f>
        <v/>
      </c>
      <c r="U2744" s="79">
        <f>IF(Q2744="Sin Factura",0,IFERROR(_xlfn.XLOOKUP(1, (Facturas_Odoo!$D:$D=A2744) * (Facturas_Odoo!$K:$K=I2744), Facturas_Odoo!$N:$N, 0), 0))</f>
        <v/>
      </c>
      <c r="V2744" s="79">
        <f>IF(Q2744="Sin Factura",0,IFERROR(_xlfn.XLOOKUP(1, (Facturas_Odoo!$D:$D=A2744) * (Facturas_Odoo!$K:$K=I2744), Facturas_Odoo!$O:$O, 0), 0))</f>
        <v/>
      </c>
      <c r="W2744" s="81">
        <f>IF(Q2744="Sin Factura",0,IFERROR(_xlfn.XLOOKUP(1, (Facturas_Odoo!$D:$D=A2744) * (Facturas_Odoo!$K:$K=I2744), Facturas_Odoo!$Q:$Q, 0), 0))</f>
        <v/>
      </c>
      <c r="X2744" s="79">
        <f>IF(OR(Q2744="Sin Factura",Q2744=""),"",IFERROR(INDEX(Pagos_Odoo!$B:$B, MATCH(Q2744, Pagos_Odoo!$I:$I, 0)), "Sin Pago"))</f>
        <v/>
      </c>
      <c r="Y2744" s="79">
        <f>IF(X2744="Sin Pago","",IFERROR(INDEX(Pagos_Odoo!$C:$C, MATCH(X2744, Pagos_Odoo!$B:$B, 0)), ""))</f>
        <v/>
      </c>
      <c r="Z2744" s="80">
        <f>IF(X2744="Sin Pago","",IFERROR(INDEX(Pagos_Odoo!$A:$A, MATCH(X2744, Pagos_Odoo!$B:$B, 0)), ""))</f>
        <v/>
      </c>
      <c r="AA2744" s="79">
        <f>IF(X2744="Sin Pago","",IFERROR(INDEX(Pagos_Odoo!$F:$F, MATCH(X2744, Pagos_Odoo!$B:$B, 0)), ""))</f>
        <v/>
      </c>
      <c r="AB2744" s="81">
        <f>IF(X2744="Sin Pago",0,IFERROR(INDEX(Pagos_Odoo!$E:$E, MATCH(X2744, Pagos_Odoo!$B:$B, 0)), 0))</f>
        <v/>
      </c>
      <c r="AC2744" s="79">
        <f>IF(X2744="Sin Pago","",IFERROR(INDEX(Pagos_Odoo!$G:$G, MATCH(X2744, Pagos_Odoo!$B:$B, 0)), ""))</f>
        <v/>
      </c>
      <c r="AD2744" s="82" t="n">
        <v>0</v>
      </c>
      <c r="AE2744" s="82" t="n"/>
      <c r="AF2744" s="82" t="n"/>
      <c r="AG2744" s="82">
        <f>IF(AN2744="","",AD2744+AE2744+AF2744)</f>
        <v/>
      </c>
      <c r="AH2744" s="81">
        <f>IF(AN2744="","",P2744*(1-AG2744))</f>
        <v/>
      </c>
      <c r="AI2744" s="81">
        <f>IF(AN2744="","",IF(Q2744="Sin Factura",0,IFERROR(INDEX(Facturas_Odoo!$H:$H, MATCH(Q2744, Facturas_Odoo!$B:$B, 0)), 0)*(1-AG2744)))</f>
        <v/>
      </c>
      <c r="AJ2744" s="81">
        <f>IF(AN2744="","",_xlfn.LET(idVenta, AN2744&amp;"",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44" s="81">
        <f>IF(AN2744="","",AH2744-AJ2744)</f>
        <v/>
      </c>
      <c r="AL2744" s="81">
        <f>IF(AN2744="","",IF(Q2744="Sin Factura","",AI2744-AJ2744))</f>
        <v/>
      </c>
      <c r="AM2744" s="81">
        <f>IF(AN2744="","",IF(Q2744="Sin Factura",0,P2744-IFERROR(INDEX(Facturas_Odoo!$H:$H, MATCH(Q2744, Facturas_Odoo!$B:$B, 0)), 0)))</f>
        <v/>
      </c>
      <c r="AN2744" s="79">
        <f>IF(AND(A2744="", J2744=""), "", IF(A2744&lt;&gt;"", VALUE(MID(A2744,2,LEN(A2744))), AN2743))</f>
        <v/>
      </c>
      <c r="AO2744" s="79">
        <f>IF(AN2744="","",IF(AD2744=0,"OK",_xlfn.LET(monedaPago, IF(AA2744="","USD",AA2744), limitePermitido, IFERROR(VLOOKUP(monedaPago, Configuración!$A$2:$B$3, 2, FALSE), 0.15), IF(AD2744&gt;limitePermitido, "ALERTA: EXCESO (" &amp; TEXT(limitePermitido, "0%") &amp; " máx)", "OK"))))</f>
        <v/>
      </c>
      <c r="AP2744" s="79">
        <f>IF(AN2744="","",IF(AE2744=0,"OK",_xlfn.LET(fechaPago, Z2744, fechaFactura, R2744, diasCredito, IF(E2744="Pago inmediato", 0, IFERROR(VALUE(MID(E2744, 1, SEARCH(" ", E2744)-1)),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44" s="79">
        <f>IF(AN2744="","",IF(AND(N2744&gt;0, AG2744&gt;0), IF(Configuración!$K$2="NO", "ALERTA: DESCUENTO DOBLE NO PERMITIDO", "OK"), "OK"))</f>
        <v/>
      </c>
      <c r="AR2744" s="79">
        <f>IF(AN2744="","",IF(OR(AO2744&lt;&gt;"OK", AP2744&lt;&gt;"OK", AQ2744&lt;&gt;"OK"), "⚠️ REVISAR", "OK"))</f>
        <v/>
      </c>
    </row>
    <row r="2745">
      <c r="A2745" s="79">
        <f>IF('Ordenes_Odoo'!A2745="","",'Ordenes_Odoo'!A2745)</f>
        <v/>
      </c>
      <c r="B2745" s="80">
        <f>IF('Ordenes_Odoo'!B2745="","",'Ordenes_Odoo'!B2745)</f>
        <v/>
      </c>
      <c r="C2745" s="79">
        <f>IF('Ordenes_Odoo'!C2745="","",'Ordenes_Odoo'!C2745)</f>
        <v/>
      </c>
      <c r="D2745" s="79">
        <f>IF('Ordenes_Odoo'!D2745="","",'Ordenes_Odoo'!D2745)</f>
        <v/>
      </c>
      <c r="E2745" s="79">
        <f>IF('Ordenes_Odoo'!E2745="","",'Ordenes_Odoo'!E2745)</f>
        <v/>
      </c>
      <c r="F2745" s="79">
        <f>IF('Ordenes_Odoo'!F2745="","",'Ordenes_Odoo'!F2745)</f>
        <v/>
      </c>
      <c r="G2745" s="79">
        <f>IF('Ordenes_Odoo'!G2745="","",'Ordenes_Odoo'!G2745)</f>
        <v/>
      </c>
      <c r="H2745" s="79">
        <f>IF('Ordenes_Odoo'!H2745="","",'Ordenes_Odoo'!H2745)</f>
        <v/>
      </c>
      <c r="I2745" s="79">
        <f>IF('Ordenes_Odoo'!I2745="","",'Ordenes_Odoo'!I2745)</f>
        <v/>
      </c>
      <c r="J2745" s="79">
        <f>IF('Ordenes_Odoo'!J2745="","",'Ordenes_Odoo'!J2745)</f>
        <v/>
      </c>
      <c r="K2745" s="81">
        <f>IF('Ordenes_Odoo'!K2745="","",'Ordenes_Odoo'!K2745)</f>
        <v/>
      </c>
      <c r="L2745" s="81">
        <f>IF('Ordenes_Odoo'!L2745="","",'Ordenes_Odoo'!L2745)</f>
        <v/>
      </c>
      <c r="M2745" s="79">
        <f>IF('Ordenes_Odoo'!M2745="","",'Ordenes_Odoo'!M2745)</f>
        <v/>
      </c>
      <c r="N2745" s="79">
        <f>IF('Ordenes_Odoo'!N2745="","",'Ordenes_Odoo'!N2745)</f>
        <v/>
      </c>
      <c r="O2745" s="81">
        <f>IF('Ordenes_Odoo'!O2745="","",'Ordenes_Odoo'!O2745)</f>
        <v/>
      </c>
      <c r="P2745" s="81">
        <f>IF('Ordenes_Odoo'!P2745="","",'Ordenes_Odoo'!P2745)</f>
        <v/>
      </c>
      <c r="Q2745" s="79">
        <f>IF(A2745="","",IFERROR(INDEX(Facturas_Odoo!$B:$B, MATCH(A2745, Facturas_Odoo!$D:$D, 0)), "Sin Factura"))</f>
        <v/>
      </c>
      <c r="R2745" s="80">
        <f>IF(Q2745="Sin Factura","",IFERROR(INDEX(Facturas_Odoo!$A:$A, MATCH(Q2745, Facturas_Odoo!$B:$B, 0)), ""))</f>
        <v/>
      </c>
      <c r="S2745" s="79">
        <f>IF(Q2745="Sin Factura","",IFERROR(_xlfn.XLOOKUP(1, (Facturas_Odoo!$D:$D=A2745) * (Facturas_Odoo!$K:$K=I2745), Facturas_Odoo!$L:$L, ""), ""))</f>
        <v/>
      </c>
      <c r="T2745" s="81">
        <f>IF(Q2745="Sin Factura",0,IFERROR(_xlfn.XLOOKUP(1, (Facturas_Odoo!$D:$D=A2745) * (Facturas_Odoo!$K:$K=I2745), Facturas_Odoo!$M:$M, 0), 0))</f>
        <v/>
      </c>
      <c r="U2745" s="79">
        <f>IF(Q2745="Sin Factura",0,IFERROR(_xlfn.XLOOKUP(1, (Facturas_Odoo!$D:$D=A2745) * (Facturas_Odoo!$K:$K=I2745), Facturas_Odoo!$N:$N, 0), 0))</f>
        <v/>
      </c>
      <c r="V2745" s="79">
        <f>IF(Q2745="Sin Factura",0,IFERROR(_xlfn.XLOOKUP(1, (Facturas_Odoo!$D:$D=A2745) * (Facturas_Odoo!$K:$K=I2745), Facturas_Odoo!$O:$O, 0), 0))</f>
        <v/>
      </c>
      <c r="W2745" s="81">
        <f>IF(Q2745="Sin Factura",0,IFERROR(_xlfn.XLOOKUP(1, (Facturas_Odoo!$D:$D=A2745) * (Facturas_Odoo!$K:$K=I2745), Facturas_Odoo!$Q:$Q, 0), 0))</f>
        <v/>
      </c>
      <c r="X2745" s="79">
        <f>IF(OR(Q2745="Sin Factura",Q2745=""),"",IFERROR(INDEX(Pagos_Odoo!$B:$B, MATCH(Q2745, Pagos_Odoo!$I:$I, 0)), "Sin Pago"))</f>
        <v/>
      </c>
      <c r="Y2745" s="79">
        <f>IF(X2745="Sin Pago","",IFERROR(INDEX(Pagos_Odoo!$C:$C, MATCH(X2745, Pagos_Odoo!$B:$B, 0)), ""))</f>
        <v/>
      </c>
      <c r="Z2745" s="80">
        <f>IF(X2745="Sin Pago","",IFERROR(INDEX(Pagos_Odoo!$A:$A, MATCH(X2745, Pagos_Odoo!$B:$B, 0)), ""))</f>
        <v/>
      </c>
      <c r="AA2745" s="79">
        <f>IF(X2745="Sin Pago","",IFERROR(INDEX(Pagos_Odoo!$F:$F, MATCH(X2745, Pagos_Odoo!$B:$B, 0)), ""))</f>
        <v/>
      </c>
      <c r="AB2745" s="81">
        <f>IF(X2745="Sin Pago",0,IFERROR(INDEX(Pagos_Odoo!$E:$E, MATCH(X2745, Pagos_Odoo!$B:$B, 0)), 0))</f>
        <v/>
      </c>
      <c r="AC2745" s="79">
        <f>IF(X2745="Sin Pago","",IFERROR(INDEX(Pagos_Odoo!$G:$G, MATCH(X2745, Pagos_Odoo!$B:$B, 0)), ""))</f>
        <v/>
      </c>
      <c r="AD2745" s="82" t="n">
        <v>0</v>
      </c>
      <c r="AE2745" s="82" t="n"/>
      <c r="AF2745" s="82" t="n"/>
      <c r="AG2745" s="82">
        <f>IF(AN2745="","",AD2745+AE2745+AF2745)</f>
        <v/>
      </c>
      <c r="AH2745" s="81">
        <f>IF(AN2745="","",P2745*(1-AG2745))</f>
        <v/>
      </c>
      <c r="AI2745" s="81">
        <f>IF(AN2745="","",IF(Q2745="Sin Factura",0,IFERROR(INDEX(Facturas_Odoo!$H:$H, MATCH(Q2745, Facturas_Odoo!$B:$B, 0)), 0)*(1-AG2745)))</f>
        <v/>
      </c>
      <c r="AJ2745" s="81">
        <f>IF(AN2745="","",_xlfn.LET(idVenta, AN2745&amp;"",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45" s="81">
        <f>IF(AN2745="","",AH2745-AJ2745)</f>
        <v/>
      </c>
      <c r="AL2745" s="81">
        <f>IF(AN2745="","",IF(Q2745="Sin Factura","",AI2745-AJ2745))</f>
        <v/>
      </c>
      <c r="AM2745" s="81">
        <f>IF(AN2745="","",IF(Q2745="Sin Factura",0,P2745-IFERROR(INDEX(Facturas_Odoo!$H:$H, MATCH(Q2745, Facturas_Odoo!$B:$B, 0)), 0)))</f>
        <v/>
      </c>
      <c r="AN2745" s="79">
        <f>IF(AND(A2745="", J2745=""), "", IF(A2745&lt;&gt;"", VALUE(MID(A2745,2,LEN(A2745))), AN2744))</f>
        <v/>
      </c>
      <c r="AO2745" s="79">
        <f>IF(AN2745="","",IF(AD2745=0,"OK",_xlfn.LET(monedaPago, IF(AA2745="","USD",AA2745), limitePermitido, IFERROR(VLOOKUP(monedaPago, Configuración!$A$2:$B$3, 2, FALSE), 0.15), IF(AD2745&gt;limitePermitido, "ALERTA: EXCESO (" &amp; TEXT(limitePermitido, "0%") &amp; " máx)", "OK"))))</f>
        <v/>
      </c>
      <c r="AP2745" s="79">
        <f>IF(AN2745="","",IF(AE2745=0,"OK",_xlfn.LET(fechaPago, Z2745, fechaFactura, R2745, diasCredito, IF(E2745="Pago inmediato", 0, IFERROR(VALUE(MID(E2745, 1, SEARCH(" ", E2745)-1)),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45" s="79">
        <f>IF(AN2745="","",IF(AND(N2745&gt;0, AG2745&gt;0), IF(Configuración!$K$2="NO", "ALERTA: DESCUENTO DOBLE NO PERMITIDO", "OK"), "OK"))</f>
        <v/>
      </c>
      <c r="AR2745" s="79">
        <f>IF(AN2745="","",IF(OR(AO2745&lt;&gt;"OK", AP2745&lt;&gt;"OK", AQ2745&lt;&gt;"OK"), "⚠️ REVISAR", "OK"))</f>
        <v/>
      </c>
    </row>
    <row r="2746">
      <c r="A2746" s="79">
        <f>IF('Ordenes_Odoo'!A2746="","",'Ordenes_Odoo'!A2746)</f>
        <v/>
      </c>
      <c r="B2746" s="80">
        <f>IF('Ordenes_Odoo'!B2746="","",'Ordenes_Odoo'!B2746)</f>
        <v/>
      </c>
      <c r="C2746" s="79">
        <f>IF('Ordenes_Odoo'!C2746="","",'Ordenes_Odoo'!C2746)</f>
        <v/>
      </c>
      <c r="D2746" s="79">
        <f>IF('Ordenes_Odoo'!D2746="","",'Ordenes_Odoo'!D2746)</f>
        <v/>
      </c>
      <c r="E2746" s="79">
        <f>IF('Ordenes_Odoo'!E2746="","",'Ordenes_Odoo'!E2746)</f>
        <v/>
      </c>
      <c r="F2746" s="79">
        <f>IF('Ordenes_Odoo'!F2746="","",'Ordenes_Odoo'!F2746)</f>
        <v/>
      </c>
      <c r="G2746" s="79">
        <f>IF('Ordenes_Odoo'!G2746="","",'Ordenes_Odoo'!G2746)</f>
        <v/>
      </c>
      <c r="H2746" s="79">
        <f>IF('Ordenes_Odoo'!H2746="","",'Ordenes_Odoo'!H2746)</f>
        <v/>
      </c>
      <c r="I2746" s="79">
        <f>IF('Ordenes_Odoo'!I2746="","",'Ordenes_Odoo'!I2746)</f>
        <v/>
      </c>
      <c r="J2746" s="79">
        <f>IF('Ordenes_Odoo'!J2746="","",'Ordenes_Odoo'!J2746)</f>
        <v/>
      </c>
      <c r="K2746" s="81">
        <f>IF('Ordenes_Odoo'!K2746="","",'Ordenes_Odoo'!K2746)</f>
        <v/>
      </c>
      <c r="L2746" s="81">
        <f>IF('Ordenes_Odoo'!L2746="","",'Ordenes_Odoo'!L2746)</f>
        <v/>
      </c>
      <c r="M2746" s="79">
        <f>IF('Ordenes_Odoo'!M2746="","",'Ordenes_Odoo'!M2746)</f>
        <v/>
      </c>
      <c r="N2746" s="79">
        <f>IF('Ordenes_Odoo'!N2746="","",'Ordenes_Odoo'!N2746)</f>
        <v/>
      </c>
      <c r="O2746" s="81">
        <f>IF('Ordenes_Odoo'!O2746="","",'Ordenes_Odoo'!O2746)</f>
        <v/>
      </c>
      <c r="P2746" s="81">
        <f>IF('Ordenes_Odoo'!P2746="","",'Ordenes_Odoo'!P2746)</f>
        <v/>
      </c>
      <c r="Q2746" s="79">
        <f>IF(A2746="","",IFERROR(INDEX(Facturas_Odoo!$B:$B, MATCH(A2746, Facturas_Odoo!$D:$D, 0)), "Sin Factura"))</f>
        <v/>
      </c>
      <c r="R2746" s="80">
        <f>IF(Q2746="Sin Factura","",IFERROR(INDEX(Facturas_Odoo!$A:$A, MATCH(Q2746, Facturas_Odoo!$B:$B, 0)), ""))</f>
        <v/>
      </c>
      <c r="S2746" s="79">
        <f>IF(Q2746="Sin Factura","",IFERROR(_xlfn.XLOOKUP(1, (Facturas_Odoo!$D:$D=A2746) * (Facturas_Odoo!$K:$K=I2746), Facturas_Odoo!$L:$L, ""), ""))</f>
        <v/>
      </c>
      <c r="T2746" s="81">
        <f>IF(Q2746="Sin Factura",0,IFERROR(_xlfn.XLOOKUP(1, (Facturas_Odoo!$D:$D=A2746) * (Facturas_Odoo!$K:$K=I2746), Facturas_Odoo!$M:$M, 0), 0))</f>
        <v/>
      </c>
      <c r="U2746" s="79">
        <f>IF(Q2746="Sin Factura",0,IFERROR(_xlfn.XLOOKUP(1, (Facturas_Odoo!$D:$D=A2746) * (Facturas_Odoo!$K:$K=I2746), Facturas_Odoo!$N:$N, 0), 0))</f>
        <v/>
      </c>
      <c r="V2746" s="79">
        <f>IF(Q2746="Sin Factura",0,IFERROR(_xlfn.XLOOKUP(1, (Facturas_Odoo!$D:$D=A2746) * (Facturas_Odoo!$K:$K=I2746), Facturas_Odoo!$O:$O, 0), 0))</f>
        <v/>
      </c>
      <c r="W2746" s="81">
        <f>IF(Q2746="Sin Factura",0,IFERROR(_xlfn.XLOOKUP(1, (Facturas_Odoo!$D:$D=A2746) * (Facturas_Odoo!$K:$K=I2746), Facturas_Odoo!$Q:$Q, 0), 0))</f>
        <v/>
      </c>
      <c r="X2746" s="79">
        <f>IF(OR(Q2746="Sin Factura",Q2746=""),"",IFERROR(INDEX(Pagos_Odoo!$B:$B, MATCH(Q2746, Pagos_Odoo!$I:$I, 0)), "Sin Pago"))</f>
        <v/>
      </c>
      <c r="Y2746" s="79">
        <f>IF(X2746="Sin Pago","",IFERROR(INDEX(Pagos_Odoo!$C:$C, MATCH(X2746, Pagos_Odoo!$B:$B, 0)), ""))</f>
        <v/>
      </c>
      <c r="Z2746" s="80">
        <f>IF(X2746="Sin Pago","",IFERROR(INDEX(Pagos_Odoo!$A:$A, MATCH(X2746, Pagos_Odoo!$B:$B, 0)), ""))</f>
        <v/>
      </c>
      <c r="AA2746" s="79">
        <f>IF(X2746="Sin Pago","",IFERROR(INDEX(Pagos_Odoo!$F:$F, MATCH(X2746, Pagos_Odoo!$B:$B, 0)), ""))</f>
        <v/>
      </c>
      <c r="AB2746" s="81">
        <f>IF(X2746="Sin Pago",0,IFERROR(INDEX(Pagos_Odoo!$E:$E, MATCH(X2746, Pagos_Odoo!$B:$B, 0)), 0))</f>
        <v/>
      </c>
      <c r="AC2746" s="79">
        <f>IF(X2746="Sin Pago","",IFERROR(INDEX(Pagos_Odoo!$G:$G, MATCH(X2746, Pagos_Odoo!$B:$B, 0)), ""))</f>
        <v/>
      </c>
      <c r="AD2746" s="82" t="n">
        <v>0</v>
      </c>
      <c r="AE2746" s="82" t="n"/>
      <c r="AF2746" s="82" t="n"/>
      <c r="AG2746" s="82">
        <f>IF(AN2746="","",AD2746+AE2746+AF2746)</f>
        <v/>
      </c>
      <c r="AH2746" s="81">
        <f>IF(AN2746="","",P2746*(1-AG2746))</f>
        <v/>
      </c>
      <c r="AI2746" s="81">
        <f>IF(AN2746="","",IF(Q2746="Sin Factura",0,IFERROR(INDEX(Facturas_Odoo!$H:$H, MATCH(Q2746, Facturas_Odoo!$B:$B, 0)), 0)*(1-AG2746)))</f>
        <v/>
      </c>
      <c r="AJ2746" s="81">
        <f>IF(AN2746="","",_xlfn.LET(idVenta, AN2746&amp;"",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46" s="81">
        <f>IF(AN2746="","",AH2746-AJ2746)</f>
        <v/>
      </c>
      <c r="AL2746" s="81">
        <f>IF(AN2746="","",IF(Q2746="Sin Factura","",AI2746-AJ2746))</f>
        <v/>
      </c>
      <c r="AM2746" s="81">
        <f>IF(AN2746="","",IF(Q2746="Sin Factura",0,P2746-IFERROR(INDEX(Facturas_Odoo!$H:$H, MATCH(Q2746, Facturas_Odoo!$B:$B, 0)), 0)))</f>
        <v/>
      </c>
      <c r="AN2746" s="79">
        <f>IF(AND(A2746="", J2746=""), "", IF(A2746&lt;&gt;"", VALUE(MID(A2746,2,LEN(A2746))), AN2745))</f>
        <v/>
      </c>
      <c r="AO2746" s="79">
        <f>IF(AN2746="","",IF(AD2746=0,"OK",_xlfn.LET(monedaPago, IF(AA2746="","USD",AA2746), limitePermitido, IFERROR(VLOOKUP(monedaPago, Configuración!$A$2:$B$3, 2, FALSE), 0.15), IF(AD2746&gt;limitePermitido, "ALERTA: EXCESO (" &amp; TEXT(limitePermitido, "0%") &amp; " máx)", "OK"))))</f>
        <v/>
      </c>
      <c r="AP2746" s="79">
        <f>IF(AN2746="","",IF(AE2746=0,"OK",_xlfn.LET(fechaPago, Z2746, fechaFactura, R2746, diasCredito, IF(E2746="Pago inmediato", 0, IFERROR(VALUE(MID(E2746, 1, SEARCH(" ", E2746)-1)),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46" s="79">
        <f>IF(AN2746="","",IF(AND(N2746&gt;0, AG2746&gt;0), IF(Configuración!$K$2="NO", "ALERTA: DESCUENTO DOBLE NO PERMITIDO", "OK"), "OK"))</f>
        <v/>
      </c>
      <c r="AR2746" s="79">
        <f>IF(AN2746="","",IF(OR(AO2746&lt;&gt;"OK", AP2746&lt;&gt;"OK", AQ2746&lt;&gt;"OK"), "⚠️ REVISAR", "OK"))</f>
        <v/>
      </c>
    </row>
    <row r="2747">
      <c r="A2747" s="79">
        <f>IF('Ordenes_Odoo'!A2747="","",'Ordenes_Odoo'!A2747)</f>
        <v/>
      </c>
      <c r="B2747" s="80">
        <f>IF('Ordenes_Odoo'!B2747="","",'Ordenes_Odoo'!B2747)</f>
        <v/>
      </c>
      <c r="C2747" s="79">
        <f>IF('Ordenes_Odoo'!C2747="","",'Ordenes_Odoo'!C2747)</f>
        <v/>
      </c>
      <c r="D2747" s="79">
        <f>IF('Ordenes_Odoo'!D2747="","",'Ordenes_Odoo'!D2747)</f>
        <v/>
      </c>
      <c r="E2747" s="79">
        <f>IF('Ordenes_Odoo'!E2747="","",'Ordenes_Odoo'!E2747)</f>
        <v/>
      </c>
      <c r="F2747" s="79">
        <f>IF('Ordenes_Odoo'!F2747="","",'Ordenes_Odoo'!F2747)</f>
        <v/>
      </c>
      <c r="G2747" s="79">
        <f>IF('Ordenes_Odoo'!G2747="","",'Ordenes_Odoo'!G2747)</f>
        <v/>
      </c>
      <c r="H2747" s="79">
        <f>IF('Ordenes_Odoo'!H2747="","",'Ordenes_Odoo'!H2747)</f>
        <v/>
      </c>
      <c r="I2747" s="79">
        <f>IF('Ordenes_Odoo'!I2747="","",'Ordenes_Odoo'!I2747)</f>
        <v/>
      </c>
      <c r="J2747" s="79">
        <f>IF('Ordenes_Odoo'!J2747="","",'Ordenes_Odoo'!J2747)</f>
        <v/>
      </c>
      <c r="K2747" s="81">
        <f>IF('Ordenes_Odoo'!K2747="","",'Ordenes_Odoo'!K2747)</f>
        <v/>
      </c>
      <c r="L2747" s="81">
        <f>IF('Ordenes_Odoo'!L2747="","",'Ordenes_Odoo'!L2747)</f>
        <v/>
      </c>
      <c r="M2747" s="79">
        <f>IF('Ordenes_Odoo'!M2747="","",'Ordenes_Odoo'!M2747)</f>
        <v/>
      </c>
      <c r="N2747" s="79">
        <f>IF('Ordenes_Odoo'!N2747="","",'Ordenes_Odoo'!N2747)</f>
        <v/>
      </c>
      <c r="O2747" s="81">
        <f>IF('Ordenes_Odoo'!O2747="","",'Ordenes_Odoo'!O2747)</f>
        <v/>
      </c>
      <c r="P2747" s="81">
        <f>IF('Ordenes_Odoo'!P2747="","",'Ordenes_Odoo'!P2747)</f>
        <v/>
      </c>
      <c r="Q2747" s="79">
        <f>IF(A2747="","",IFERROR(INDEX(Facturas_Odoo!$B:$B, MATCH(A2747, Facturas_Odoo!$D:$D, 0)), "Sin Factura"))</f>
        <v/>
      </c>
      <c r="R2747" s="80">
        <f>IF(Q2747="Sin Factura","",IFERROR(INDEX(Facturas_Odoo!$A:$A, MATCH(Q2747, Facturas_Odoo!$B:$B, 0)), ""))</f>
        <v/>
      </c>
      <c r="S2747" s="79">
        <f>IF(Q2747="Sin Factura","",IFERROR(_xlfn.XLOOKUP(1, (Facturas_Odoo!$D:$D=A2747) * (Facturas_Odoo!$K:$K=I2747), Facturas_Odoo!$L:$L, ""), ""))</f>
        <v/>
      </c>
      <c r="T2747" s="81">
        <f>IF(Q2747="Sin Factura",0,IFERROR(_xlfn.XLOOKUP(1, (Facturas_Odoo!$D:$D=A2747) * (Facturas_Odoo!$K:$K=I2747), Facturas_Odoo!$M:$M, 0), 0))</f>
        <v/>
      </c>
      <c r="U2747" s="79">
        <f>IF(Q2747="Sin Factura",0,IFERROR(_xlfn.XLOOKUP(1, (Facturas_Odoo!$D:$D=A2747) * (Facturas_Odoo!$K:$K=I2747), Facturas_Odoo!$N:$N, 0), 0))</f>
        <v/>
      </c>
      <c r="V2747" s="79">
        <f>IF(Q2747="Sin Factura",0,IFERROR(_xlfn.XLOOKUP(1, (Facturas_Odoo!$D:$D=A2747) * (Facturas_Odoo!$K:$K=I2747), Facturas_Odoo!$O:$O, 0), 0))</f>
        <v/>
      </c>
      <c r="W2747" s="81">
        <f>IF(Q2747="Sin Factura",0,IFERROR(_xlfn.XLOOKUP(1, (Facturas_Odoo!$D:$D=A2747) * (Facturas_Odoo!$K:$K=I2747), Facturas_Odoo!$Q:$Q, 0), 0))</f>
        <v/>
      </c>
      <c r="X2747" s="79">
        <f>IF(OR(Q2747="Sin Factura",Q2747=""),"",IFERROR(INDEX(Pagos_Odoo!$B:$B, MATCH(Q2747, Pagos_Odoo!$I:$I, 0)), "Sin Pago"))</f>
        <v/>
      </c>
      <c r="Y2747" s="79">
        <f>IF(X2747="Sin Pago","",IFERROR(INDEX(Pagos_Odoo!$C:$C, MATCH(X2747, Pagos_Odoo!$B:$B, 0)), ""))</f>
        <v/>
      </c>
      <c r="Z2747" s="80">
        <f>IF(X2747="Sin Pago","",IFERROR(INDEX(Pagos_Odoo!$A:$A, MATCH(X2747, Pagos_Odoo!$B:$B, 0)), ""))</f>
        <v/>
      </c>
      <c r="AA2747" s="79">
        <f>IF(X2747="Sin Pago","",IFERROR(INDEX(Pagos_Odoo!$F:$F, MATCH(X2747, Pagos_Odoo!$B:$B, 0)), ""))</f>
        <v/>
      </c>
      <c r="AB2747" s="81">
        <f>IF(X2747="Sin Pago",0,IFERROR(INDEX(Pagos_Odoo!$E:$E, MATCH(X2747, Pagos_Odoo!$B:$B, 0)), 0))</f>
        <v/>
      </c>
      <c r="AC2747" s="79">
        <f>IF(X2747="Sin Pago","",IFERROR(INDEX(Pagos_Odoo!$G:$G, MATCH(X2747, Pagos_Odoo!$B:$B, 0)), ""))</f>
        <v/>
      </c>
      <c r="AD2747" s="82" t="n">
        <v>0</v>
      </c>
      <c r="AE2747" s="82" t="n"/>
      <c r="AF2747" s="82" t="n"/>
      <c r="AG2747" s="82">
        <f>IF(AN2747="","",AD2747+AE2747+AF2747)</f>
        <v/>
      </c>
      <c r="AH2747" s="81">
        <f>IF(AN2747="","",P2747*(1-AG2747))</f>
        <v/>
      </c>
      <c r="AI2747" s="81">
        <f>IF(AN2747="","",IF(Q2747="Sin Factura",0,IFERROR(INDEX(Facturas_Odoo!$H:$H, MATCH(Q2747, Facturas_Odoo!$B:$B, 0)), 0)*(1-AG2747)))</f>
        <v/>
      </c>
      <c r="AJ2747" s="81">
        <f>IF(AN2747="","",_xlfn.LET(idVenta, AN2747&amp;"",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47" s="81">
        <f>IF(AN2747="","",AH2747-AJ2747)</f>
        <v/>
      </c>
      <c r="AL2747" s="81">
        <f>IF(AN2747="","",IF(Q2747="Sin Factura","",AI2747-AJ2747))</f>
        <v/>
      </c>
      <c r="AM2747" s="81">
        <f>IF(AN2747="","",IF(Q2747="Sin Factura",0,P2747-IFERROR(INDEX(Facturas_Odoo!$H:$H, MATCH(Q2747, Facturas_Odoo!$B:$B, 0)), 0)))</f>
        <v/>
      </c>
      <c r="AN2747" s="79">
        <f>IF(AND(A2747="", J2747=""), "", IF(A2747&lt;&gt;"", VALUE(MID(A2747,2,LEN(A2747))), AN2746))</f>
        <v/>
      </c>
      <c r="AO2747" s="79">
        <f>IF(AN2747="","",IF(AD2747=0,"OK",_xlfn.LET(monedaPago, IF(AA2747="","USD",AA2747), limitePermitido, IFERROR(VLOOKUP(monedaPago, Configuración!$A$2:$B$3, 2, FALSE), 0.15), IF(AD2747&gt;limitePermitido, "ALERTA: EXCESO (" &amp; TEXT(limitePermitido, "0%") &amp; " máx)", "OK"))))</f>
        <v/>
      </c>
      <c r="AP2747" s="79">
        <f>IF(AN2747="","",IF(AE2747=0,"OK",_xlfn.LET(fechaPago, Z2747, fechaFactura, R2747, diasCredito, IF(E2747="Pago inmediato", 0, IFERROR(VALUE(MID(E2747, 1, SEARCH(" ", E2747)-1)),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47" s="79">
        <f>IF(AN2747="","",IF(AND(N2747&gt;0, AG2747&gt;0), IF(Configuración!$K$2="NO", "ALERTA: DESCUENTO DOBLE NO PERMITIDO", "OK"), "OK"))</f>
        <v/>
      </c>
      <c r="AR2747" s="79">
        <f>IF(AN2747="","",IF(OR(AO2747&lt;&gt;"OK", AP2747&lt;&gt;"OK", AQ2747&lt;&gt;"OK"), "⚠️ REVISAR", "OK"))</f>
        <v/>
      </c>
    </row>
    <row r="2748">
      <c r="A2748" s="79">
        <f>IF('Ordenes_Odoo'!A2748="","",'Ordenes_Odoo'!A2748)</f>
        <v/>
      </c>
      <c r="B2748" s="80">
        <f>IF('Ordenes_Odoo'!B2748="","",'Ordenes_Odoo'!B2748)</f>
        <v/>
      </c>
      <c r="C2748" s="79">
        <f>IF('Ordenes_Odoo'!C2748="","",'Ordenes_Odoo'!C2748)</f>
        <v/>
      </c>
      <c r="D2748" s="79">
        <f>IF('Ordenes_Odoo'!D2748="","",'Ordenes_Odoo'!D2748)</f>
        <v/>
      </c>
      <c r="E2748" s="79">
        <f>IF('Ordenes_Odoo'!E2748="","",'Ordenes_Odoo'!E2748)</f>
        <v/>
      </c>
      <c r="F2748" s="79">
        <f>IF('Ordenes_Odoo'!F2748="","",'Ordenes_Odoo'!F2748)</f>
        <v/>
      </c>
      <c r="G2748" s="79">
        <f>IF('Ordenes_Odoo'!G2748="","",'Ordenes_Odoo'!G2748)</f>
        <v/>
      </c>
      <c r="H2748" s="79">
        <f>IF('Ordenes_Odoo'!H2748="","",'Ordenes_Odoo'!H2748)</f>
        <v/>
      </c>
      <c r="I2748" s="79">
        <f>IF('Ordenes_Odoo'!I2748="","",'Ordenes_Odoo'!I2748)</f>
        <v/>
      </c>
      <c r="J2748" s="79">
        <f>IF('Ordenes_Odoo'!J2748="","",'Ordenes_Odoo'!J2748)</f>
        <v/>
      </c>
      <c r="K2748" s="81">
        <f>IF('Ordenes_Odoo'!K2748="","",'Ordenes_Odoo'!K2748)</f>
        <v/>
      </c>
      <c r="L2748" s="81">
        <f>IF('Ordenes_Odoo'!L2748="","",'Ordenes_Odoo'!L2748)</f>
        <v/>
      </c>
      <c r="M2748" s="79">
        <f>IF('Ordenes_Odoo'!M2748="","",'Ordenes_Odoo'!M2748)</f>
        <v/>
      </c>
      <c r="N2748" s="79">
        <f>IF('Ordenes_Odoo'!N2748="","",'Ordenes_Odoo'!N2748)</f>
        <v/>
      </c>
      <c r="O2748" s="81">
        <f>IF('Ordenes_Odoo'!O2748="","",'Ordenes_Odoo'!O2748)</f>
        <v/>
      </c>
      <c r="P2748" s="81">
        <f>IF('Ordenes_Odoo'!P2748="","",'Ordenes_Odoo'!P2748)</f>
        <v/>
      </c>
      <c r="Q2748" s="79">
        <f>IF(A2748="","",IFERROR(INDEX(Facturas_Odoo!$B:$B, MATCH(A2748, Facturas_Odoo!$D:$D, 0)), "Sin Factura"))</f>
        <v/>
      </c>
      <c r="R2748" s="80">
        <f>IF(Q2748="Sin Factura","",IFERROR(INDEX(Facturas_Odoo!$A:$A, MATCH(Q2748, Facturas_Odoo!$B:$B, 0)), ""))</f>
        <v/>
      </c>
      <c r="S2748" s="79">
        <f>IF(Q2748="Sin Factura","",IFERROR(_xlfn.XLOOKUP(1, (Facturas_Odoo!$D:$D=A2748) * (Facturas_Odoo!$K:$K=I2748), Facturas_Odoo!$L:$L, ""), ""))</f>
        <v/>
      </c>
      <c r="T2748" s="81">
        <f>IF(Q2748="Sin Factura",0,IFERROR(_xlfn.XLOOKUP(1, (Facturas_Odoo!$D:$D=A2748) * (Facturas_Odoo!$K:$K=I2748), Facturas_Odoo!$M:$M, 0), 0))</f>
        <v/>
      </c>
      <c r="U2748" s="79">
        <f>IF(Q2748="Sin Factura",0,IFERROR(_xlfn.XLOOKUP(1, (Facturas_Odoo!$D:$D=A2748) * (Facturas_Odoo!$K:$K=I2748), Facturas_Odoo!$N:$N, 0), 0))</f>
        <v/>
      </c>
      <c r="V2748" s="79">
        <f>IF(Q2748="Sin Factura",0,IFERROR(_xlfn.XLOOKUP(1, (Facturas_Odoo!$D:$D=A2748) * (Facturas_Odoo!$K:$K=I2748), Facturas_Odoo!$O:$O, 0), 0))</f>
        <v/>
      </c>
      <c r="W2748" s="81">
        <f>IF(Q2748="Sin Factura",0,IFERROR(_xlfn.XLOOKUP(1, (Facturas_Odoo!$D:$D=A2748) * (Facturas_Odoo!$K:$K=I2748), Facturas_Odoo!$Q:$Q, 0), 0))</f>
        <v/>
      </c>
      <c r="X2748" s="79">
        <f>IF(OR(Q2748="Sin Factura",Q2748=""),"",IFERROR(INDEX(Pagos_Odoo!$B:$B, MATCH(Q2748, Pagos_Odoo!$I:$I, 0)), "Sin Pago"))</f>
        <v/>
      </c>
      <c r="Y2748" s="79">
        <f>IF(X2748="Sin Pago","",IFERROR(INDEX(Pagos_Odoo!$C:$C, MATCH(X2748, Pagos_Odoo!$B:$B, 0)), ""))</f>
        <v/>
      </c>
      <c r="Z2748" s="80">
        <f>IF(X2748="Sin Pago","",IFERROR(INDEX(Pagos_Odoo!$A:$A, MATCH(X2748, Pagos_Odoo!$B:$B, 0)), ""))</f>
        <v/>
      </c>
      <c r="AA2748" s="79">
        <f>IF(X2748="Sin Pago","",IFERROR(INDEX(Pagos_Odoo!$F:$F, MATCH(X2748, Pagos_Odoo!$B:$B, 0)), ""))</f>
        <v/>
      </c>
      <c r="AB2748" s="81">
        <f>IF(X2748="Sin Pago",0,IFERROR(INDEX(Pagos_Odoo!$E:$E, MATCH(X2748, Pagos_Odoo!$B:$B, 0)), 0))</f>
        <v/>
      </c>
      <c r="AC2748" s="79">
        <f>IF(X2748="Sin Pago","",IFERROR(INDEX(Pagos_Odoo!$G:$G, MATCH(X2748, Pagos_Odoo!$B:$B, 0)), ""))</f>
        <v/>
      </c>
      <c r="AD2748" s="82" t="n">
        <v>0</v>
      </c>
      <c r="AE2748" s="82" t="n"/>
      <c r="AF2748" s="82" t="n"/>
      <c r="AG2748" s="82">
        <f>IF(AN2748="","",AD2748+AE2748+AF2748)</f>
        <v/>
      </c>
      <c r="AH2748" s="81">
        <f>IF(AN2748="","",P2748*(1-AG2748))</f>
        <v/>
      </c>
      <c r="AI2748" s="81">
        <f>IF(AN2748="","",IF(Q2748="Sin Factura",0,IFERROR(INDEX(Facturas_Odoo!$H:$H, MATCH(Q2748, Facturas_Odoo!$B:$B, 0)), 0)*(1-AG2748)))</f>
        <v/>
      </c>
      <c r="AJ2748" s="81">
        <f>IF(AN2748="","",_xlfn.LET(idVenta, AN2748&amp;"",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48" s="81">
        <f>IF(AN2748="","",AH2748-AJ2748)</f>
        <v/>
      </c>
      <c r="AL2748" s="81">
        <f>IF(AN2748="","",IF(Q2748="Sin Factura","",AI2748-AJ2748))</f>
        <v/>
      </c>
      <c r="AM2748" s="81">
        <f>IF(AN2748="","",IF(Q2748="Sin Factura",0,P2748-IFERROR(INDEX(Facturas_Odoo!$H:$H, MATCH(Q2748, Facturas_Odoo!$B:$B, 0)), 0)))</f>
        <v/>
      </c>
      <c r="AN2748" s="79">
        <f>IF(AND(A2748="", J2748=""), "", IF(A2748&lt;&gt;"", VALUE(MID(A2748,2,LEN(A2748))), AN2747))</f>
        <v/>
      </c>
      <c r="AO2748" s="79">
        <f>IF(AN2748="","",IF(AD2748=0,"OK",_xlfn.LET(monedaPago, IF(AA2748="","USD",AA2748), limitePermitido, IFERROR(VLOOKUP(monedaPago, Configuración!$A$2:$B$3, 2, FALSE), 0.15), IF(AD2748&gt;limitePermitido, "ALERTA: EXCESO (" &amp; TEXT(limitePermitido, "0%") &amp; " máx)", "OK"))))</f>
        <v/>
      </c>
      <c r="AP2748" s="79">
        <f>IF(AN2748="","",IF(AE2748=0,"OK",_xlfn.LET(fechaPago, Z2748, fechaFactura, R2748, diasCredito, IF(E2748="Pago inmediato", 0, IFERROR(VALUE(MID(E2748, 1, SEARCH(" ", E2748)-1)),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48" s="79">
        <f>IF(AN2748="","",IF(AND(N2748&gt;0, AG2748&gt;0), IF(Configuración!$K$2="NO", "ALERTA: DESCUENTO DOBLE NO PERMITIDO", "OK"), "OK"))</f>
        <v/>
      </c>
      <c r="AR2748" s="79">
        <f>IF(AN2748="","",IF(OR(AO2748&lt;&gt;"OK", AP2748&lt;&gt;"OK", AQ2748&lt;&gt;"OK"), "⚠️ REVISAR", "OK"))</f>
        <v/>
      </c>
    </row>
    <row r="2749">
      <c r="A2749" s="79">
        <f>IF('Ordenes_Odoo'!A2749="","",'Ordenes_Odoo'!A2749)</f>
        <v/>
      </c>
      <c r="B2749" s="80">
        <f>IF('Ordenes_Odoo'!B2749="","",'Ordenes_Odoo'!B2749)</f>
        <v/>
      </c>
      <c r="C2749" s="79">
        <f>IF('Ordenes_Odoo'!C2749="","",'Ordenes_Odoo'!C2749)</f>
        <v/>
      </c>
      <c r="D2749" s="79">
        <f>IF('Ordenes_Odoo'!D2749="","",'Ordenes_Odoo'!D2749)</f>
        <v/>
      </c>
      <c r="E2749" s="79">
        <f>IF('Ordenes_Odoo'!E2749="","",'Ordenes_Odoo'!E2749)</f>
        <v/>
      </c>
      <c r="F2749" s="79">
        <f>IF('Ordenes_Odoo'!F2749="","",'Ordenes_Odoo'!F2749)</f>
        <v/>
      </c>
      <c r="G2749" s="79">
        <f>IF('Ordenes_Odoo'!G2749="","",'Ordenes_Odoo'!G2749)</f>
        <v/>
      </c>
      <c r="H2749" s="79">
        <f>IF('Ordenes_Odoo'!H2749="","",'Ordenes_Odoo'!H2749)</f>
        <v/>
      </c>
      <c r="I2749" s="79">
        <f>IF('Ordenes_Odoo'!I2749="","",'Ordenes_Odoo'!I2749)</f>
        <v/>
      </c>
      <c r="J2749" s="79">
        <f>IF('Ordenes_Odoo'!J2749="","",'Ordenes_Odoo'!J2749)</f>
        <v/>
      </c>
      <c r="K2749" s="81">
        <f>IF('Ordenes_Odoo'!K2749="","",'Ordenes_Odoo'!K2749)</f>
        <v/>
      </c>
      <c r="L2749" s="81">
        <f>IF('Ordenes_Odoo'!L2749="","",'Ordenes_Odoo'!L2749)</f>
        <v/>
      </c>
      <c r="M2749" s="79">
        <f>IF('Ordenes_Odoo'!M2749="","",'Ordenes_Odoo'!M2749)</f>
        <v/>
      </c>
      <c r="N2749" s="79">
        <f>IF('Ordenes_Odoo'!N2749="","",'Ordenes_Odoo'!N2749)</f>
        <v/>
      </c>
      <c r="O2749" s="81">
        <f>IF('Ordenes_Odoo'!O2749="","",'Ordenes_Odoo'!O2749)</f>
        <v/>
      </c>
      <c r="P2749" s="81">
        <f>IF('Ordenes_Odoo'!P2749="","",'Ordenes_Odoo'!P2749)</f>
        <v/>
      </c>
      <c r="Q2749" s="79">
        <f>IF(A2749="","",IFERROR(INDEX(Facturas_Odoo!$B:$B, MATCH(A2749, Facturas_Odoo!$D:$D, 0)), "Sin Factura"))</f>
        <v/>
      </c>
      <c r="R2749" s="80">
        <f>IF(Q2749="Sin Factura","",IFERROR(INDEX(Facturas_Odoo!$A:$A, MATCH(Q2749, Facturas_Odoo!$B:$B, 0)), ""))</f>
        <v/>
      </c>
      <c r="S2749" s="79">
        <f>IF(Q2749="Sin Factura","",IFERROR(_xlfn.XLOOKUP(1, (Facturas_Odoo!$D:$D=A2749) * (Facturas_Odoo!$K:$K=I2749), Facturas_Odoo!$L:$L, ""), ""))</f>
        <v/>
      </c>
      <c r="T2749" s="81">
        <f>IF(Q2749="Sin Factura",0,IFERROR(_xlfn.XLOOKUP(1, (Facturas_Odoo!$D:$D=A2749) * (Facturas_Odoo!$K:$K=I2749), Facturas_Odoo!$M:$M, 0), 0))</f>
        <v/>
      </c>
      <c r="U2749" s="79">
        <f>IF(Q2749="Sin Factura",0,IFERROR(_xlfn.XLOOKUP(1, (Facturas_Odoo!$D:$D=A2749) * (Facturas_Odoo!$K:$K=I2749), Facturas_Odoo!$N:$N, 0), 0))</f>
        <v/>
      </c>
      <c r="V2749" s="79">
        <f>IF(Q2749="Sin Factura",0,IFERROR(_xlfn.XLOOKUP(1, (Facturas_Odoo!$D:$D=A2749) * (Facturas_Odoo!$K:$K=I2749), Facturas_Odoo!$O:$O, 0), 0))</f>
        <v/>
      </c>
      <c r="W2749" s="81">
        <f>IF(Q2749="Sin Factura",0,IFERROR(_xlfn.XLOOKUP(1, (Facturas_Odoo!$D:$D=A2749) * (Facturas_Odoo!$K:$K=I2749), Facturas_Odoo!$Q:$Q, 0), 0))</f>
        <v/>
      </c>
      <c r="X2749" s="79">
        <f>IF(OR(Q2749="Sin Factura",Q2749=""),"",IFERROR(INDEX(Pagos_Odoo!$B:$B, MATCH(Q2749, Pagos_Odoo!$I:$I, 0)), "Sin Pago"))</f>
        <v/>
      </c>
      <c r="Y2749" s="79">
        <f>IF(X2749="Sin Pago","",IFERROR(INDEX(Pagos_Odoo!$C:$C, MATCH(X2749, Pagos_Odoo!$B:$B, 0)), ""))</f>
        <v/>
      </c>
      <c r="Z2749" s="80">
        <f>IF(X2749="Sin Pago","",IFERROR(INDEX(Pagos_Odoo!$A:$A, MATCH(X2749, Pagos_Odoo!$B:$B, 0)), ""))</f>
        <v/>
      </c>
      <c r="AA2749" s="79">
        <f>IF(X2749="Sin Pago","",IFERROR(INDEX(Pagos_Odoo!$F:$F, MATCH(X2749, Pagos_Odoo!$B:$B, 0)), ""))</f>
        <v/>
      </c>
      <c r="AB2749" s="81">
        <f>IF(X2749="Sin Pago",0,IFERROR(INDEX(Pagos_Odoo!$E:$E, MATCH(X2749, Pagos_Odoo!$B:$B, 0)), 0))</f>
        <v/>
      </c>
      <c r="AC2749" s="79">
        <f>IF(X2749="Sin Pago","",IFERROR(INDEX(Pagos_Odoo!$G:$G, MATCH(X2749, Pagos_Odoo!$B:$B, 0)), ""))</f>
        <v/>
      </c>
      <c r="AD2749" s="82" t="n">
        <v>0</v>
      </c>
      <c r="AE2749" s="82" t="n"/>
      <c r="AF2749" s="82" t="n"/>
      <c r="AG2749" s="82">
        <f>IF(AN2749="","",AD2749+AE2749+AF2749)</f>
        <v/>
      </c>
      <c r="AH2749" s="81">
        <f>IF(AN2749="","",P2749*(1-AG2749))</f>
        <v/>
      </c>
      <c r="AI2749" s="81">
        <f>IF(AN2749="","",IF(Q2749="Sin Factura",0,IFERROR(INDEX(Facturas_Odoo!$H:$H, MATCH(Q2749, Facturas_Odoo!$B:$B, 0)), 0)*(1-AG2749)))</f>
        <v/>
      </c>
      <c r="AJ2749" s="81">
        <f>IF(AN2749="","",_xlfn.LET(idVenta, AN2749&amp;"",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49" s="81">
        <f>IF(AN2749="","",AH2749-AJ2749)</f>
        <v/>
      </c>
      <c r="AL2749" s="81">
        <f>IF(AN2749="","",IF(Q2749="Sin Factura","",AI2749-AJ2749))</f>
        <v/>
      </c>
      <c r="AM2749" s="81">
        <f>IF(AN2749="","",IF(Q2749="Sin Factura",0,P2749-IFERROR(INDEX(Facturas_Odoo!$H:$H, MATCH(Q2749, Facturas_Odoo!$B:$B, 0)), 0)))</f>
        <v/>
      </c>
      <c r="AN2749" s="79">
        <f>IF(AND(A2749="", J2749=""), "", IF(A2749&lt;&gt;"", VALUE(MID(A2749,2,LEN(A2749))), AN2748))</f>
        <v/>
      </c>
      <c r="AO2749" s="79">
        <f>IF(AN2749="","",IF(AD2749=0,"OK",_xlfn.LET(monedaPago, IF(AA2749="","USD",AA2749), limitePermitido, IFERROR(VLOOKUP(monedaPago, Configuración!$A$2:$B$3, 2, FALSE), 0.15), IF(AD2749&gt;limitePermitido, "ALERTA: EXCESO (" &amp; TEXT(limitePermitido, "0%") &amp; " máx)", "OK"))))</f>
        <v/>
      </c>
      <c r="AP2749" s="79">
        <f>IF(AN2749="","",IF(AE2749=0,"OK",_xlfn.LET(fechaPago, Z2749, fechaFactura, R2749, diasCredito, IF(E2749="Pago inmediato", 0, IFERROR(VALUE(MID(E2749, 1, SEARCH(" ", E2749)-1)),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49" s="79">
        <f>IF(AN2749="","",IF(AND(N2749&gt;0, AG2749&gt;0), IF(Configuración!$K$2="NO", "ALERTA: DESCUENTO DOBLE NO PERMITIDO", "OK"), "OK"))</f>
        <v/>
      </c>
      <c r="AR2749" s="79">
        <f>IF(AN2749="","",IF(OR(AO2749&lt;&gt;"OK", AP2749&lt;&gt;"OK", AQ2749&lt;&gt;"OK"), "⚠️ REVISAR", "OK"))</f>
        <v/>
      </c>
    </row>
    <row r="2750">
      <c r="A2750" s="79">
        <f>IF('Ordenes_Odoo'!A2750="","",'Ordenes_Odoo'!A2750)</f>
        <v/>
      </c>
      <c r="B2750" s="80">
        <f>IF('Ordenes_Odoo'!B2750="","",'Ordenes_Odoo'!B2750)</f>
        <v/>
      </c>
      <c r="C2750" s="79">
        <f>IF('Ordenes_Odoo'!C2750="","",'Ordenes_Odoo'!C2750)</f>
        <v/>
      </c>
      <c r="D2750" s="79">
        <f>IF('Ordenes_Odoo'!D2750="","",'Ordenes_Odoo'!D2750)</f>
        <v/>
      </c>
      <c r="E2750" s="79">
        <f>IF('Ordenes_Odoo'!E2750="","",'Ordenes_Odoo'!E2750)</f>
        <v/>
      </c>
      <c r="F2750" s="79">
        <f>IF('Ordenes_Odoo'!F2750="","",'Ordenes_Odoo'!F2750)</f>
        <v/>
      </c>
      <c r="G2750" s="79">
        <f>IF('Ordenes_Odoo'!G2750="","",'Ordenes_Odoo'!G2750)</f>
        <v/>
      </c>
      <c r="H2750" s="79">
        <f>IF('Ordenes_Odoo'!H2750="","",'Ordenes_Odoo'!H2750)</f>
        <v/>
      </c>
      <c r="I2750" s="79">
        <f>IF('Ordenes_Odoo'!I2750="","",'Ordenes_Odoo'!I2750)</f>
        <v/>
      </c>
      <c r="J2750" s="79">
        <f>IF('Ordenes_Odoo'!J2750="","",'Ordenes_Odoo'!J2750)</f>
        <v/>
      </c>
      <c r="K2750" s="81">
        <f>IF('Ordenes_Odoo'!K2750="","",'Ordenes_Odoo'!K2750)</f>
        <v/>
      </c>
      <c r="L2750" s="81">
        <f>IF('Ordenes_Odoo'!L2750="","",'Ordenes_Odoo'!L2750)</f>
        <v/>
      </c>
      <c r="M2750" s="79">
        <f>IF('Ordenes_Odoo'!M2750="","",'Ordenes_Odoo'!M2750)</f>
        <v/>
      </c>
      <c r="N2750" s="79">
        <f>IF('Ordenes_Odoo'!N2750="","",'Ordenes_Odoo'!N2750)</f>
        <v/>
      </c>
      <c r="O2750" s="81">
        <f>IF('Ordenes_Odoo'!O2750="","",'Ordenes_Odoo'!O2750)</f>
        <v/>
      </c>
      <c r="P2750" s="81">
        <f>IF('Ordenes_Odoo'!P2750="","",'Ordenes_Odoo'!P2750)</f>
        <v/>
      </c>
      <c r="Q2750" s="79">
        <f>IF(A2750="","",IFERROR(INDEX(Facturas_Odoo!$B:$B, MATCH(A2750, Facturas_Odoo!$D:$D, 0)), "Sin Factura"))</f>
        <v/>
      </c>
      <c r="R2750" s="80">
        <f>IF(Q2750="Sin Factura","",IFERROR(INDEX(Facturas_Odoo!$A:$A, MATCH(Q2750, Facturas_Odoo!$B:$B, 0)), ""))</f>
        <v/>
      </c>
      <c r="S2750" s="79">
        <f>IF(Q2750="Sin Factura","",IFERROR(_xlfn.XLOOKUP(1, (Facturas_Odoo!$D:$D=A2750) * (Facturas_Odoo!$K:$K=I2750), Facturas_Odoo!$L:$L, ""), ""))</f>
        <v/>
      </c>
      <c r="T2750" s="81">
        <f>IF(Q2750="Sin Factura",0,IFERROR(_xlfn.XLOOKUP(1, (Facturas_Odoo!$D:$D=A2750) * (Facturas_Odoo!$K:$K=I2750), Facturas_Odoo!$M:$M, 0), 0))</f>
        <v/>
      </c>
      <c r="U2750" s="79">
        <f>IF(Q2750="Sin Factura",0,IFERROR(_xlfn.XLOOKUP(1, (Facturas_Odoo!$D:$D=A2750) * (Facturas_Odoo!$K:$K=I2750), Facturas_Odoo!$N:$N, 0), 0))</f>
        <v/>
      </c>
      <c r="V2750" s="79">
        <f>IF(Q2750="Sin Factura",0,IFERROR(_xlfn.XLOOKUP(1, (Facturas_Odoo!$D:$D=A2750) * (Facturas_Odoo!$K:$K=I2750), Facturas_Odoo!$O:$O, 0), 0))</f>
        <v/>
      </c>
      <c r="W2750" s="81">
        <f>IF(Q2750="Sin Factura",0,IFERROR(_xlfn.XLOOKUP(1, (Facturas_Odoo!$D:$D=A2750) * (Facturas_Odoo!$K:$K=I2750), Facturas_Odoo!$Q:$Q, 0), 0))</f>
        <v/>
      </c>
      <c r="X2750" s="79">
        <f>IF(OR(Q2750="Sin Factura",Q2750=""),"",IFERROR(INDEX(Pagos_Odoo!$B:$B, MATCH(Q2750, Pagos_Odoo!$I:$I, 0)), "Sin Pago"))</f>
        <v/>
      </c>
      <c r="Y2750" s="79">
        <f>IF(X2750="Sin Pago","",IFERROR(INDEX(Pagos_Odoo!$C:$C, MATCH(X2750, Pagos_Odoo!$B:$B, 0)), ""))</f>
        <v/>
      </c>
      <c r="Z2750" s="80">
        <f>IF(X2750="Sin Pago","",IFERROR(INDEX(Pagos_Odoo!$A:$A, MATCH(X2750, Pagos_Odoo!$B:$B, 0)), ""))</f>
        <v/>
      </c>
      <c r="AA2750" s="79">
        <f>IF(X2750="Sin Pago","",IFERROR(INDEX(Pagos_Odoo!$F:$F, MATCH(X2750, Pagos_Odoo!$B:$B, 0)), ""))</f>
        <v/>
      </c>
      <c r="AB2750" s="81">
        <f>IF(X2750="Sin Pago",0,IFERROR(INDEX(Pagos_Odoo!$E:$E, MATCH(X2750, Pagos_Odoo!$B:$B, 0)), 0))</f>
        <v/>
      </c>
      <c r="AC2750" s="79">
        <f>IF(X2750="Sin Pago","",IFERROR(INDEX(Pagos_Odoo!$G:$G, MATCH(X2750, Pagos_Odoo!$B:$B, 0)), ""))</f>
        <v/>
      </c>
      <c r="AD2750" s="82" t="n">
        <v>0</v>
      </c>
      <c r="AE2750" s="82" t="n"/>
      <c r="AF2750" s="82" t="n"/>
      <c r="AG2750" s="82">
        <f>IF(AN2750="","",AD2750+AE2750+AF2750)</f>
        <v/>
      </c>
      <c r="AH2750" s="81">
        <f>IF(AN2750="","",P2750*(1-AG2750))</f>
        <v/>
      </c>
      <c r="AI2750" s="81">
        <f>IF(AN2750="","",IF(Q2750="Sin Factura",0,IFERROR(INDEX(Facturas_Odoo!$H:$H, MATCH(Q2750, Facturas_Odoo!$B:$B, 0)), 0)*(1-AG2750)))</f>
        <v/>
      </c>
      <c r="AJ2750" s="81">
        <f>IF(AN2750="","",_xlfn.LET(idVenta, AN2750&amp;"",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50" s="81">
        <f>IF(AN2750="","",AH2750-AJ2750)</f>
        <v/>
      </c>
      <c r="AL2750" s="81">
        <f>IF(AN2750="","",IF(Q2750="Sin Factura","",AI2750-AJ2750))</f>
        <v/>
      </c>
      <c r="AM2750" s="81">
        <f>IF(AN2750="","",IF(Q2750="Sin Factura",0,P2750-IFERROR(INDEX(Facturas_Odoo!$H:$H, MATCH(Q2750, Facturas_Odoo!$B:$B, 0)), 0)))</f>
        <v/>
      </c>
      <c r="AN2750" s="79">
        <f>IF(AND(A2750="", J2750=""), "", IF(A2750&lt;&gt;"", VALUE(MID(A2750,2,LEN(A2750))), AN2749))</f>
        <v/>
      </c>
      <c r="AO2750" s="79">
        <f>IF(AN2750="","",IF(AD2750=0,"OK",_xlfn.LET(monedaPago, IF(AA2750="","USD",AA2750), limitePermitido, IFERROR(VLOOKUP(monedaPago, Configuración!$A$2:$B$3, 2, FALSE), 0.15), IF(AD2750&gt;limitePermitido, "ALERTA: EXCESO (" &amp; TEXT(limitePermitido, "0%") &amp; " máx)", "OK"))))</f>
        <v/>
      </c>
      <c r="AP2750" s="79">
        <f>IF(AN2750="","",IF(AE2750=0,"OK",_xlfn.LET(fechaPago, Z2750, fechaFactura, R2750, diasCredito, IF(E2750="Pago inmediato", 0, IFERROR(VALUE(MID(E2750, 1, SEARCH(" ", E2750)-1)),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50" s="79">
        <f>IF(AN2750="","",IF(AND(N2750&gt;0, AG2750&gt;0), IF(Configuración!$K$2="NO", "ALERTA: DESCUENTO DOBLE NO PERMITIDO", "OK"), "OK"))</f>
        <v/>
      </c>
      <c r="AR2750" s="79">
        <f>IF(AN2750="","",IF(OR(AO2750&lt;&gt;"OK", AP2750&lt;&gt;"OK", AQ2750&lt;&gt;"OK"), "⚠️ REVISAR", "OK"))</f>
        <v/>
      </c>
    </row>
    <row r="2751">
      <c r="A2751" s="79">
        <f>IF('Ordenes_Odoo'!A2751="","",'Ordenes_Odoo'!A2751)</f>
        <v/>
      </c>
      <c r="B2751" s="80">
        <f>IF('Ordenes_Odoo'!B2751="","",'Ordenes_Odoo'!B2751)</f>
        <v/>
      </c>
      <c r="C2751" s="79">
        <f>IF('Ordenes_Odoo'!C2751="","",'Ordenes_Odoo'!C2751)</f>
        <v/>
      </c>
      <c r="D2751" s="79">
        <f>IF('Ordenes_Odoo'!D2751="","",'Ordenes_Odoo'!D2751)</f>
        <v/>
      </c>
      <c r="E2751" s="79">
        <f>IF('Ordenes_Odoo'!E2751="","",'Ordenes_Odoo'!E2751)</f>
        <v/>
      </c>
      <c r="F2751" s="79">
        <f>IF('Ordenes_Odoo'!F2751="","",'Ordenes_Odoo'!F2751)</f>
        <v/>
      </c>
      <c r="G2751" s="79">
        <f>IF('Ordenes_Odoo'!G2751="","",'Ordenes_Odoo'!G2751)</f>
        <v/>
      </c>
      <c r="H2751" s="79">
        <f>IF('Ordenes_Odoo'!H2751="","",'Ordenes_Odoo'!H2751)</f>
        <v/>
      </c>
      <c r="I2751" s="79">
        <f>IF('Ordenes_Odoo'!I2751="","",'Ordenes_Odoo'!I2751)</f>
        <v/>
      </c>
      <c r="J2751" s="79">
        <f>IF('Ordenes_Odoo'!J2751="","",'Ordenes_Odoo'!J2751)</f>
        <v/>
      </c>
      <c r="K2751" s="81">
        <f>IF('Ordenes_Odoo'!K2751="","",'Ordenes_Odoo'!K2751)</f>
        <v/>
      </c>
      <c r="L2751" s="81">
        <f>IF('Ordenes_Odoo'!L2751="","",'Ordenes_Odoo'!L2751)</f>
        <v/>
      </c>
      <c r="M2751" s="79">
        <f>IF('Ordenes_Odoo'!M2751="","",'Ordenes_Odoo'!M2751)</f>
        <v/>
      </c>
      <c r="N2751" s="79">
        <f>IF('Ordenes_Odoo'!N2751="","",'Ordenes_Odoo'!N2751)</f>
        <v/>
      </c>
      <c r="O2751" s="81">
        <f>IF('Ordenes_Odoo'!O2751="","",'Ordenes_Odoo'!O2751)</f>
        <v/>
      </c>
      <c r="P2751" s="81">
        <f>IF('Ordenes_Odoo'!P2751="","",'Ordenes_Odoo'!P2751)</f>
        <v/>
      </c>
      <c r="Q2751" s="79">
        <f>IF(A2751="","",IFERROR(INDEX(Facturas_Odoo!$B:$B, MATCH(A2751, Facturas_Odoo!$D:$D, 0)), "Sin Factura"))</f>
        <v/>
      </c>
      <c r="R2751" s="80">
        <f>IF(Q2751="Sin Factura","",IFERROR(INDEX(Facturas_Odoo!$A:$A, MATCH(Q2751, Facturas_Odoo!$B:$B, 0)), ""))</f>
        <v/>
      </c>
      <c r="S2751" s="79">
        <f>IF(Q2751="Sin Factura","",IFERROR(_xlfn.XLOOKUP(1, (Facturas_Odoo!$D:$D=A2751) * (Facturas_Odoo!$K:$K=I2751), Facturas_Odoo!$L:$L, ""), ""))</f>
        <v/>
      </c>
      <c r="T2751" s="81">
        <f>IF(Q2751="Sin Factura",0,IFERROR(_xlfn.XLOOKUP(1, (Facturas_Odoo!$D:$D=A2751) * (Facturas_Odoo!$K:$K=I2751), Facturas_Odoo!$M:$M, 0), 0))</f>
        <v/>
      </c>
      <c r="U2751" s="79">
        <f>IF(Q2751="Sin Factura",0,IFERROR(_xlfn.XLOOKUP(1, (Facturas_Odoo!$D:$D=A2751) * (Facturas_Odoo!$K:$K=I2751), Facturas_Odoo!$N:$N, 0), 0))</f>
        <v/>
      </c>
      <c r="V2751" s="79">
        <f>IF(Q2751="Sin Factura",0,IFERROR(_xlfn.XLOOKUP(1, (Facturas_Odoo!$D:$D=A2751) * (Facturas_Odoo!$K:$K=I2751), Facturas_Odoo!$O:$O, 0), 0))</f>
        <v/>
      </c>
      <c r="W2751" s="81">
        <f>IF(Q2751="Sin Factura",0,IFERROR(_xlfn.XLOOKUP(1, (Facturas_Odoo!$D:$D=A2751) * (Facturas_Odoo!$K:$K=I2751), Facturas_Odoo!$Q:$Q, 0), 0))</f>
        <v/>
      </c>
      <c r="X2751" s="79">
        <f>IF(OR(Q2751="Sin Factura",Q2751=""),"",IFERROR(INDEX(Pagos_Odoo!$B:$B, MATCH(Q2751, Pagos_Odoo!$I:$I, 0)), "Sin Pago"))</f>
        <v/>
      </c>
      <c r="Y2751" s="79">
        <f>IF(X2751="Sin Pago","",IFERROR(INDEX(Pagos_Odoo!$C:$C, MATCH(X2751, Pagos_Odoo!$B:$B, 0)), ""))</f>
        <v/>
      </c>
      <c r="Z2751" s="80">
        <f>IF(X2751="Sin Pago","",IFERROR(INDEX(Pagos_Odoo!$A:$A, MATCH(X2751, Pagos_Odoo!$B:$B, 0)), ""))</f>
        <v/>
      </c>
      <c r="AA2751" s="79">
        <f>IF(X2751="Sin Pago","",IFERROR(INDEX(Pagos_Odoo!$F:$F, MATCH(X2751, Pagos_Odoo!$B:$B, 0)), ""))</f>
        <v/>
      </c>
      <c r="AB2751" s="81">
        <f>IF(X2751="Sin Pago",0,IFERROR(INDEX(Pagos_Odoo!$E:$E, MATCH(X2751, Pagos_Odoo!$B:$B, 0)), 0))</f>
        <v/>
      </c>
      <c r="AC2751" s="79">
        <f>IF(X2751="Sin Pago","",IFERROR(INDEX(Pagos_Odoo!$G:$G, MATCH(X2751, Pagos_Odoo!$B:$B, 0)), ""))</f>
        <v/>
      </c>
      <c r="AD2751" s="82" t="n">
        <v>0</v>
      </c>
      <c r="AE2751" s="82" t="n"/>
      <c r="AF2751" s="82" t="n"/>
      <c r="AG2751" s="82">
        <f>IF(AN2751="","",AD2751+AE2751+AF2751)</f>
        <v/>
      </c>
      <c r="AH2751" s="81">
        <f>IF(AN2751="","",P2751*(1-AG2751))</f>
        <v/>
      </c>
      <c r="AI2751" s="81">
        <f>IF(AN2751="","",IF(Q2751="Sin Factura",0,IFERROR(INDEX(Facturas_Odoo!$H:$H, MATCH(Q2751, Facturas_Odoo!$B:$B, 0)), 0)*(1-AG2751)))</f>
        <v/>
      </c>
      <c r="AJ2751" s="81">
        <f>IF(AN2751="","",_xlfn.LET(idVenta, AN2751&amp;"",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51" s="81">
        <f>IF(AN2751="","",AH2751-AJ2751)</f>
        <v/>
      </c>
      <c r="AL2751" s="81">
        <f>IF(AN2751="","",IF(Q2751="Sin Factura","",AI2751-AJ2751))</f>
        <v/>
      </c>
      <c r="AM2751" s="81">
        <f>IF(AN2751="","",IF(Q2751="Sin Factura",0,P2751-IFERROR(INDEX(Facturas_Odoo!$H:$H, MATCH(Q2751, Facturas_Odoo!$B:$B, 0)), 0)))</f>
        <v/>
      </c>
      <c r="AN2751" s="79">
        <f>IF(AND(A2751="", J2751=""), "", IF(A2751&lt;&gt;"", VALUE(MID(A2751,2,LEN(A2751))), AN2750))</f>
        <v/>
      </c>
      <c r="AO2751" s="79">
        <f>IF(AN2751="","",IF(AD2751=0,"OK",_xlfn.LET(monedaPago, IF(AA2751="","USD",AA2751), limitePermitido, IFERROR(VLOOKUP(monedaPago, Configuración!$A$2:$B$3, 2, FALSE), 0.15), IF(AD2751&gt;limitePermitido, "ALERTA: EXCESO (" &amp; TEXT(limitePermitido, "0%") &amp; " máx)", "OK"))))</f>
        <v/>
      </c>
      <c r="AP2751" s="79">
        <f>IF(AN2751="","",IF(AE2751=0,"OK",_xlfn.LET(fechaPago, Z2751, fechaFactura, R2751, diasCredito, IF(E2751="Pago inmediato", 0, IFERROR(VALUE(MID(E2751, 1, SEARCH(" ", E2751)-1)),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51" s="79">
        <f>IF(AN2751="","",IF(AND(N2751&gt;0, AG2751&gt;0), IF(Configuración!$K$2="NO", "ALERTA: DESCUENTO DOBLE NO PERMITIDO", "OK"), "OK"))</f>
        <v/>
      </c>
      <c r="AR2751" s="79">
        <f>IF(AN2751="","",IF(OR(AO2751&lt;&gt;"OK", AP2751&lt;&gt;"OK", AQ2751&lt;&gt;"OK"), "⚠️ REVISAR", "OK"))</f>
        <v/>
      </c>
    </row>
    <row r="2752">
      <c r="A2752" s="79">
        <f>IF('Ordenes_Odoo'!A2752="","",'Ordenes_Odoo'!A2752)</f>
        <v/>
      </c>
      <c r="B2752" s="80">
        <f>IF('Ordenes_Odoo'!B2752="","",'Ordenes_Odoo'!B2752)</f>
        <v/>
      </c>
      <c r="C2752" s="79">
        <f>IF('Ordenes_Odoo'!C2752="","",'Ordenes_Odoo'!C2752)</f>
        <v/>
      </c>
      <c r="D2752" s="79">
        <f>IF('Ordenes_Odoo'!D2752="","",'Ordenes_Odoo'!D2752)</f>
        <v/>
      </c>
      <c r="E2752" s="79">
        <f>IF('Ordenes_Odoo'!E2752="","",'Ordenes_Odoo'!E2752)</f>
        <v/>
      </c>
      <c r="F2752" s="79">
        <f>IF('Ordenes_Odoo'!F2752="","",'Ordenes_Odoo'!F2752)</f>
        <v/>
      </c>
      <c r="G2752" s="79">
        <f>IF('Ordenes_Odoo'!G2752="","",'Ordenes_Odoo'!G2752)</f>
        <v/>
      </c>
      <c r="H2752" s="79">
        <f>IF('Ordenes_Odoo'!H2752="","",'Ordenes_Odoo'!H2752)</f>
        <v/>
      </c>
      <c r="I2752" s="79">
        <f>IF('Ordenes_Odoo'!I2752="","",'Ordenes_Odoo'!I2752)</f>
        <v/>
      </c>
      <c r="J2752" s="79">
        <f>IF('Ordenes_Odoo'!J2752="","",'Ordenes_Odoo'!J2752)</f>
        <v/>
      </c>
      <c r="K2752" s="81">
        <f>IF('Ordenes_Odoo'!K2752="","",'Ordenes_Odoo'!K2752)</f>
        <v/>
      </c>
      <c r="L2752" s="81">
        <f>IF('Ordenes_Odoo'!L2752="","",'Ordenes_Odoo'!L2752)</f>
        <v/>
      </c>
      <c r="M2752" s="79">
        <f>IF('Ordenes_Odoo'!M2752="","",'Ordenes_Odoo'!M2752)</f>
        <v/>
      </c>
      <c r="N2752" s="79">
        <f>IF('Ordenes_Odoo'!N2752="","",'Ordenes_Odoo'!N2752)</f>
        <v/>
      </c>
      <c r="O2752" s="81">
        <f>IF('Ordenes_Odoo'!O2752="","",'Ordenes_Odoo'!O2752)</f>
        <v/>
      </c>
      <c r="P2752" s="81">
        <f>IF('Ordenes_Odoo'!P2752="","",'Ordenes_Odoo'!P2752)</f>
        <v/>
      </c>
      <c r="Q2752" s="79">
        <f>IF(A2752="","",IFERROR(INDEX(Facturas_Odoo!$B:$B, MATCH(A2752, Facturas_Odoo!$D:$D, 0)), "Sin Factura"))</f>
        <v/>
      </c>
      <c r="R2752" s="80">
        <f>IF(Q2752="Sin Factura","",IFERROR(INDEX(Facturas_Odoo!$A:$A, MATCH(Q2752, Facturas_Odoo!$B:$B, 0)), ""))</f>
        <v/>
      </c>
      <c r="S2752" s="79">
        <f>IF(Q2752="Sin Factura","",IFERROR(_xlfn.XLOOKUP(1, (Facturas_Odoo!$D:$D=A2752) * (Facturas_Odoo!$K:$K=I2752), Facturas_Odoo!$L:$L, ""), ""))</f>
        <v/>
      </c>
      <c r="T2752" s="81">
        <f>IF(Q2752="Sin Factura",0,IFERROR(_xlfn.XLOOKUP(1, (Facturas_Odoo!$D:$D=A2752) * (Facturas_Odoo!$K:$K=I2752), Facturas_Odoo!$M:$M, 0), 0))</f>
        <v/>
      </c>
      <c r="U2752" s="79">
        <f>IF(Q2752="Sin Factura",0,IFERROR(_xlfn.XLOOKUP(1, (Facturas_Odoo!$D:$D=A2752) * (Facturas_Odoo!$K:$K=I2752), Facturas_Odoo!$N:$N, 0), 0))</f>
        <v/>
      </c>
      <c r="V2752" s="79">
        <f>IF(Q2752="Sin Factura",0,IFERROR(_xlfn.XLOOKUP(1, (Facturas_Odoo!$D:$D=A2752) * (Facturas_Odoo!$K:$K=I2752), Facturas_Odoo!$O:$O, 0), 0))</f>
        <v/>
      </c>
      <c r="W2752" s="81">
        <f>IF(Q2752="Sin Factura",0,IFERROR(_xlfn.XLOOKUP(1, (Facturas_Odoo!$D:$D=A2752) * (Facturas_Odoo!$K:$K=I2752), Facturas_Odoo!$Q:$Q, 0), 0))</f>
        <v/>
      </c>
      <c r="X2752" s="79">
        <f>IF(OR(Q2752="Sin Factura",Q2752=""),"",IFERROR(INDEX(Pagos_Odoo!$B:$B, MATCH(Q2752, Pagos_Odoo!$I:$I, 0)), "Sin Pago"))</f>
        <v/>
      </c>
      <c r="Y2752" s="79">
        <f>IF(X2752="Sin Pago","",IFERROR(INDEX(Pagos_Odoo!$C:$C, MATCH(X2752, Pagos_Odoo!$B:$B, 0)), ""))</f>
        <v/>
      </c>
      <c r="Z2752" s="80">
        <f>IF(X2752="Sin Pago","",IFERROR(INDEX(Pagos_Odoo!$A:$A, MATCH(X2752, Pagos_Odoo!$B:$B, 0)), ""))</f>
        <v/>
      </c>
      <c r="AA2752" s="79">
        <f>IF(X2752="Sin Pago","",IFERROR(INDEX(Pagos_Odoo!$F:$F, MATCH(X2752, Pagos_Odoo!$B:$B, 0)), ""))</f>
        <v/>
      </c>
      <c r="AB2752" s="81">
        <f>IF(X2752="Sin Pago",0,IFERROR(INDEX(Pagos_Odoo!$E:$E, MATCH(X2752, Pagos_Odoo!$B:$B, 0)), 0))</f>
        <v/>
      </c>
      <c r="AC2752" s="79">
        <f>IF(X2752="Sin Pago","",IFERROR(INDEX(Pagos_Odoo!$G:$G, MATCH(X2752, Pagos_Odoo!$B:$B, 0)), ""))</f>
        <v/>
      </c>
      <c r="AD2752" s="82" t="n">
        <v>0</v>
      </c>
      <c r="AE2752" s="82" t="n"/>
      <c r="AF2752" s="82" t="n"/>
      <c r="AG2752" s="82">
        <f>IF(AN2752="","",AD2752+AE2752+AF2752)</f>
        <v/>
      </c>
      <c r="AH2752" s="81">
        <f>IF(AN2752="","",P2752*(1-AG2752))</f>
        <v/>
      </c>
      <c r="AI2752" s="81">
        <f>IF(AN2752="","",IF(Q2752="Sin Factura",0,IFERROR(INDEX(Facturas_Odoo!$H:$H, MATCH(Q2752, Facturas_Odoo!$B:$B, 0)), 0)*(1-AG2752)))</f>
        <v/>
      </c>
      <c r="AJ2752" s="81">
        <f>IF(AN2752="","",_xlfn.LET(idVenta, AN2752&amp;"",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52" s="81">
        <f>IF(AN2752="","",AH2752-AJ2752)</f>
        <v/>
      </c>
      <c r="AL2752" s="81">
        <f>IF(AN2752="","",IF(Q2752="Sin Factura","",AI2752-AJ2752))</f>
        <v/>
      </c>
      <c r="AM2752" s="81">
        <f>IF(AN2752="","",IF(Q2752="Sin Factura",0,P2752-IFERROR(INDEX(Facturas_Odoo!$H:$H, MATCH(Q2752, Facturas_Odoo!$B:$B, 0)), 0)))</f>
        <v/>
      </c>
      <c r="AN2752" s="79">
        <f>IF(AND(A2752="", J2752=""), "", IF(A2752&lt;&gt;"", VALUE(MID(A2752,2,LEN(A2752))), AN2751))</f>
        <v/>
      </c>
      <c r="AO2752" s="79">
        <f>IF(AN2752="","",IF(AD2752=0,"OK",_xlfn.LET(monedaPago, IF(AA2752="","USD",AA2752), limitePermitido, IFERROR(VLOOKUP(monedaPago, Configuración!$A$2:$B$3, 2, FALSE), 0.15), IF(AD2752&gt;limitePermitido, "ALERTA: EXCESO (" &amp; TEXT(limitePermitido, "0%") &amp; " máx)", "OK"))))</f>
        <v/>
      </c>
      <c r="AP2752" s="79">
        <f>IF(AN2752="","",IF(AE2752=0,"OK",_xlfn.LET(fechaPago, Z2752, fechaFactura, R2752, diasCredito, IF(E2752="Pago inmediato", 0, IFERROR(VALUE(MID(E2752, 1, SEARCH(" ", E2752)-1)),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52" s="79">
        <f>IF(AN2752="","",IF(AND(N2752&gt;0, AG2752&gt;0), IF(Configuración!$K$2="NO", "ALERTA: DESCUENTO DOBLE NO PERMITIDO", "OK"), "OK"))</f>
        <v/>
      </c>
      <c r="AR2752" s="79">
        <f>IF(AN2752="","",IF(OR(AO2752&lt;&gt;"OK", AP2752&lt;&gt;"OK", AQ2752&lt;&gt;"OK"), "⚠️ REVISAR", "OK"))</f>
        <v/>
      </c>
    </row>
    <row r="2753">
      <c r="A2753" s="79">
        <f>IF('Ordenes_Odoo'!A2753="","",'Ordenes_Odoo'!A2753)</f>
        <v/>
      </c>
      <c r="B2753" s="80">
        <f>IF('Ordenes_Odoo'!B2753="","",'Ordenes_Odoo'!B2753)</f>
        <v/>
      </c>
      <c r="C2753" s="79">
        <f>IF('Ordenes_Odoo'!C2753="","",'Ordenes_Odoo'!C2753)</f>
        <v/>
      </c>
      <c r="D2753" s="79">
        <f>IF('Ordenes_Odoo'!D2753="","",'Ordenes_Odoo'!D2753)</f>
        <v/>
      </c>
      <c r="E2753" s="79">
        <f>IF('Ordenes_Odoo'!E2753="","",'Ordenes_Odoo'!E2753)</f>
        <v/>
      </c>
      <c r="F2753" s="79">
        <f>IF('Ordenes_Odoo'!F2753="","",'Ordenes_Odoo'!F2753)</f>
        <v/>
      </c>
      <c r="G2753" s="79">
        <f>IF('Ordenes_Odoo'!G2753="","",'Ordenes_Odoo'!G2753)</f>
        <v/>
      </c>
      <c r="H2753" s="79">
        <f>IF('Ordenes_Odoo'!H2753="","",'Ordenes_Odoo'!H2753)</f>
        <v/>
      </c>
      <c r="I2753" s="79">
        <f>IF('Ordenes_Odoo'!I2753="","",'Ordenes_Odoo'!I2753)</f>
        <v/>
      </c>
      <c r="J2753" s="79">
        <f>IF('Ordenes_Odoo'!J2753="","",'Ordenes_Odoo'!J2753)</f>
        <v/>
      </c>
      <c r="K2753" s="81">
        <f>IF('Ordenes_Odoo'!K2753="","",'Ordenes_Odoo'!K2753)</f>
        <v/>
      </c>
      <c r="L2753" s="81">
        <f>IF('Ordenes_Odoo'!L2753="","",'Ordenes_Odoo'!L2753)</f>
        <v/>
      </c>
      <c r="M2753" s="79">
        <f>IF('Ordenes_Odoo'!M2753="","",'Ordenes_Odoo'!M2753)</f>
        <v/>
      </c>
      <c r="N2753" s="79">
        <f>IF('Ordenes_Odoo'!N2753="","",'Ordenes_Odoo'!N2753)</f>
        <v/>
      </c>
      <c r="O2753" s="81">
        <f>IF('Ordenes_Odoo'!O2753="","",'Ordenes_Odoo'!O2753)</f>
        <v/>
      </c>
      <c r="P2753" s="81">
        <f>IF('Ordenes_Odoo'!P2753="","",'Ordenes_Odoo'!P2753)</f>
        <v/>
      </c>
      <c r="Q2753" s="79">
        <f>IF(A2753="","",IFERROR(INDEX(Facturas_Odoo!$B:$B, MATCH(A2753, Facturas_Odoo!$D:$D, 0)), "Sin Factura"))</f>
        <v/>
      </c>
      <c r="R2753" s="80">
        <f>IF(Q2753="Sin Factura","",IFERROR(INDEX(Facturas_Odoo!$A:$A, MATCH(Q2753, Facturas_Odoo!$B:$B, 0)), ""))</f>
        <v/>
      </c>
      <c r="S2753" s="79">
        <f>IF(Q2753="Sin Factura","",IFERROR(_xlfn.XLOOKUP(1, (Facturas_Odoo!$D:$D=A2753) * (Facturas_Odoo!$K:$K=I2753), Facturas_Odoo!$L:$L, ""), ""))</f>
        <v/>
      </c>
      <c r="T2753" s="81">
        <f>IF(Q2753="Sin Factura",0,IFERROR(_xlfn.XLOOKUP(1, (Facturas_Odoo!$D:$D=A2753) * (Facturas_Odoo!$K:$K=I2753), Facturas_Odoo!$M:$M, 0), 0))</f>
        <v/>
      </c>
      <c r="U2753" s="79">
        <f>IF(Q2753="Sin Factura",0,IFERROR(_xlfn.XLOOKUP(1, (Facturas_Odoo!$D:$D=A2753) * (Facturas_Odoo!$K:$K=I2753), Facturas_Odoo!$N:$N, 0), 0))</f>
        <v/>
      </c>
      <c r="V2753" s="79">
        <f>IF(Q2753="Sin Factura",0,IFERROR(_xlfn.XLOOKUP(1, (Facturas_Odoo!$D:$D=A2753) * (Facturas_Odoo!$K:$K=I2753), Facturas_Odoo!$O:$O, 0), 0))</f>
        <v/>
      </c>
      <c r="W2753" s="81">
        <f>IF(Q2753="Sin Factura",0,IFERROR(_xlfn.XLOOKUP(1, (Facturas_Odoo!$D:$D=A2753) * (Facturas_Odoo!$K:$K=I2753), Facturas_Odoo!$Q:$Q, 0), 0))</f>
        <v/>
      </c>
      <c r="X2753" s="79">
        <f>IF(OR(Q2753="Sin Factura",Q2753=""),"",IFERROR(INDEX(Pagos_Odoo!$B:$B, MATCH(Q2753, Pagos_Odoo!$I:$I, 0)), "Sin Pago"))</f>
        <v/>
      </c>
      <c r="Y2753" s="79">
        <f>IF(X2753="Sin Pago","",IFERROR(INDEX(Pagos_Odoo!$C:$C, MATCH(X2753, Pagos_Odoo!$B:$B, 0)), ""))</f>
        <v/>
      </c>
      <c r="Z2753" s="80">
        <f>IF(X2753="Sin Pago","",IFERROR(INDEX(Pagos_Odoo!$A:$A, MATCH(X2753, Pagos_Odoo!$B:$B, 0)), ""))</f>
        <v/>
      </c>
      <c r="AA2753" s="79">
        <f>IF(X2753="Sin Pago","",IFERROR(INDEX(Pagos_Odoo!$F:$F, MATCH(X2753, Pagos_Odoo!$B:$B, 0)), ""))</f>
        <v/>
      </c>
      <c r="AB2753" s="81">
        <f>IF(X2753="Sin Pago",0,IFERROR(INDEX(Pagos_Odoo!$E:$E, MATCH(X2753, Pagos_Odoo!$B:$B, 0)), 0))</f>
        <v/>
      </c>
      <c r="AC2753" s="79">
        <f>IF(X2753="Sin Pago","",IFERROR(INDEX(Pagos_Odoo!$G:$G, MATCH(X2753, Pagos_Odoo!$B:$B, 0)), ""))</f>
        <v/>
      </c>
      <c r="AD2753" s="82" t="n">
        <v>0</v>
      </c>
      <c r="AE2753" s="82" t="n"/>
      <c r="AF2753" s="82" t="n"/>
      <c r="AG2753" s="82">
        <f>IF(AN2753="","",AD2753+AE2753+AF2753)</f>
        <v/>
      </c>
      <c r="AH2753" s="81">
        <f>IF(AN2753="","",P2753*(1-AG2753))</f>
        <v/>
      </c>
      <c r="AI2753" s="81">
        <f>IF(AN2753="","",IF(Q2753="Sin Factura",0,IFERROR(INDEX(Facturas_Odoo!$H:$H, MATCH(Q2753, Facturas_Odoo!$B:$B, 0)), 0)*(1-AG2753)))</f>
        <v/>
      </c>
      <c r="AJ2753" s="81">
        <f>IF(AN2753="","",_xlfn.LET(idVenta, AN2753&amp;"",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53" s="81">
        <f>IF(AN2753="","",AH2753-AJ2753)</f>
        <v/>
      </c>
      <c r="AL2753" s="81">
        <f>IF(AN2753="","",IF(Q2753="Sin Factura","",AI2753-AJ2753))</f>
        <v/>
      </c>
      <c r="AM2753" s="81">
        <f>IF(AN2753="","",IF(Q2753="Sin Factura",0,P2753-IFERROR(INDEX(Facturas_Odoo!$H:$H, MATCH(Q2753, Facturas_Odoo!$B:$B, 0)), 0)))</f>
        <v/>
      </c>
      <c r="AN2753" s="79">
        <f>IF(AND(A2753="", J2753=""), "", IF(A2753&lt;&gt;"", VALUE(MID(A2753,2,LEN(A2753))), AN2752))</f>
        <v/>
      </c>
      <c r="AO2753" s="79">
        <f>IF(AN2753="","",IF(AD2753=0,"OK",_xlfn.LET(monedaPago, IF(AA2753="","USD",AA2753), limitePermitido, IFERROR(VLOOKUP(monedaPago, Configuración!$A$2:$B$3, 2, FALSE), 0.15), IF(AD2753&gt;limitePermitido, "ALERTA: EXCESO (" &amp; TEXT(limitePermitido, "0%") &amp; " máx)", "OK"))))</f>
        <v/>
      </c>
      <c r="AP2753" s="79">
        <f>IF(AN2753="","",IF(AE2753=0,"OK",_xlfn.LET(fechaPago, Z2753, fechaFactura, R2753, diasCredito, IF(E2753="Pago inmediato", 0, IFERROR(VALUE(MID(E2753, 1, SEARCH(" ", E2753)-1)),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53" s="79">
        <f>IF(AN2753="","",IF(AND(N2753&gt;0, AG2753&gt;0), IF(Configuración!$K$2="NO", "ALERTA: DESCUENTO DOBLE NO PERMITIDO", "OK"), "OK"))</f>
        <v/>
      </c>
      <c r="AR2753" s="79">
        <f>IF(AN2753="","",IF(OR(AO2753&lt;&gt;"OK", AP2753&lt;&gt;"OK", AQ2753&lt;&gt;"OK"), "⚠️ REVISAR", "OK"))</f>
        <v/>
      </c>
    </row>
    <row r="2754">
      <c r="A2754" s="79">
        <f>IF('Ordenes_Odoo'!A2754="","",'Ordenes_Odoo'!A2754)</f>
        <v/>
      </c>
      <c r="B2754" s="80">
        <f>IF('Ordenes_Odoo'!B2754="","",'Ordenes_Odoo'!B2754)</f>
        <v/>
      </c>
      <c r="C2754" s="79">
        <f>IF('Ordenes_Odoo'!C2754="","",'Ordenes_Odoo'!C2754)</f>
        <v/>
      </c>
      <c r="D2754" s="79">
        <f>IF('Ordenes_Odoo'!D2754="","",'Ordenes_Odoo'!D2754)</f>
        <v/>
      </c>
      <c r="E2754" s="79">
        <f>IF('Ordenes_Odoo'!E2754="","",'Ordenes_Odoo'!E2754)</f>
        <v/>
      </c>
      <c r="F2754" s="79">
        <f>IF('Ordenes_Odoo'!F2754="","",'Ordenes_Odoo'!F2754)</f>
        <v/>
      </c>
      <c r="G2754" s="79">
        <f>IF('Ordenes_Odoo'!G2754="","",'Ordenes_Odoo'!G2754)</f>
        <v/>
      </c>
      <c r="H2754" s="79">
        <f>IF('Ordenes_Odoo'!H2754="","",'Ordenes_Odoo'!H2754)</f>
        <v/>
      </c>
      <c r="I2754" s="79">
        <f>IF('Ordenes_Odoo'!I2754="","",'Ordenes_Odoo'!I2754)</f>
        <v/>
      </c>
      <c r="J2754" s="79">
        <f>IF('Ordenes_Odoo'!J2754="","",'Ordenes_Odoo'!J2754)</f>
        <v/>
      </c>
      <c r="K2754" s="81">
        <f>IF('Ordenes_Odoo'!K2754="","",'Ordenes_Odoo'!K2754)</f>
        <v/>
      </c>
      <c r="L2754" s="81">
        <f>IF('Ordenes_Odoo'!L2754="","",'Ordenes_Odoo'!L2754)</f>
        <v/>
      </c>
      <c r="M2754" s="79">
        <f>IF('Ordenes_Odoo'!M2754="","",'Ordenes_Odoo'!M2754)</f>
        <v/>
      </c>
      <c r="N2754" s="79">
        <f>IF('Ordenes_Odoo'!N2754="","",'Ordenes_Odoo'!N2754)</f>
        <v/>
      </c>
      <c r="O2754" s="81">
        <f>IF('Ordenes_Odoo'!O2754="","",'Ordenes_Odoo'!O2754)</f>
        <v/>
      </c>
      <c r="P2754" s="81">
        <f>IF('Ordenes_Odoo'!P2754="","",'Ordenes_Odoo'!P2754)</f>
        <v/>
      </c>
      <c r="Q2754" s="79">
        <f>IF(A2754="","",IFERROR(INDEX(Facturas_Odoo!$B:$B, MATCH(A2754, Facturas_Odoo!$D:$D, 0)), "Sin Factura"))</f>
        <v/>
      </c>
      <c r="R2754" s="80">
        <f>IF(Q2754="Sin Factura","",IFERROR(INDEX(Facturas_Odoo!$A:$A, MATCH(Q2754, Facturas_Odoo!$B:$B, 0)), ""))</f>
        <v/>
      </c>
      <c r="S2754" s="79">
        <f>IF(Q2754="Sin Factura","",IFERROR(_xlfn.XLOOKUP(1, (Facturas_Odoo!$D:$D=A2754) * (Facturas_Odoo!$K:$K=I2754), Facturas_Odoo!$L:$L, ""), ""))</f>
        <v/>
      </c>
      <c r="T2754" s="81">
        <f>IF(Q2754="Sin Factura",0,IFERROR(_xlfn.XLOOKUP(1, (Facturas_Odoo!$D:$D=A2754) * (Facturas_Odoo!$K:$K=I2754), Facturas_Odoo!$M:$M, 0), 0))</f>
        <v/>
      </c>
      <c r="U2754" s="79">
        <f>IF(Q2754="Sin Factura",0,IFERROR(_xlfn.XLOOKUP(1, (Facturas_Odoo!$D:$D=A2754) * (Facturas_Odoo!$K:$K=I2754), Facturas_Odoo!$N:$N, 0), 0))</f>
        <v/>
      </c>
      <c r="V2754" s="79">
        <f>IF(Q2754="Sin Factura",0,IFERROR(_xlfn.XLOOKUP(1, (Facturas_Odoo!$D:$D=A2754) * (Facturas_Odoo!$K:$K=I2754), Facturas_Odoo!$O:$O, 0), 0))</f>
        <v/>
      </c>
      <c r="W2754" s="81">
        <f>IF(Q2754="Sin Factura",0,IFERROR(_xlfn.XLOOKUP(1, (Facturas_Odoo!$D:$D=A2754) * (Facturas_Odoo!$K:$K=I2754), Facturas_Odoo!$Q:$Q, 0), 0))</f>
        <v/>
      </c>
      <c r="X2754" s="79">
        <f>IF(OR(Q2754="Sin Factura",Q2754=""),"",IFERROR(INDEX(Pagos_Odoo!$B:$B, MATCH(Q2754, Pagos_Odoo!$I:$I, 0)), "Sin Pago"))</f>
        <v/>
      </c>
      <c r="Y2754" s="79">
        <f>IF(X2754="Sin Pago","",IFERROR(INDEX(Pagos_Odoo!$C:$C, MATCH(X2754, Pagos_Odoo!$B:$B, 0)), ""))</f>
        <v/>
      </c>
      <c r="Z2754" s="80">
        <f>IF(X2754="Sin Pago","",IFERROR(INDEX(Pagos_Odoo!$A:$A, MATCH(X2754, Pagos_Odoo!$B:$B, 0)), ""))</f>
        <v/>
      </c>
      <c r="AA2754" s="79">
        <f>IF(X2754="Sin Pago","",IFERROR(INDEX(Pagos_Odoo!$F:$F, MATCH(X2754, Pagos_Odoo!$B:$B, 0)), ""))</f>
        <v/>
      </c>
      <c r="AB2754" s="81">
        <f>IF(X2754="Sin Pago",0,IFERROR(INDEX(Pagos_Odoo!$E:$E, MATCH(X2754, Pagos_Odoo!$B:$B, 0)), 0))</f>
        <v/>
      </c>
      <c r="AC2754" s="79">
        <f>IF(X2754="Sin Pago","",IFERROR(INDEX(Pagos_Odoo!$G:$G, MATCH(X2754, Pagos_Odoo!$B:$B, 0)), ""))</f>
        <v/>
      </c>
      <c r="AD2754" s="82" t="n">
        <v>0</v>
      </c>
      <c r="AE2754" s="82" t="n"/>
      <c r="AF2754" s="82" t="n"/>
      <c r="AG2754" s="82">
        <f>IF(AN2754="","",AD2754+AE2754+AF2754)</f>
        <v/>
      </c>
      <c r="AH2754" s="81">
        <f>IF(AN2754="","",P2754*(1-AG2754))</f>
        <v/>
      </c>
      <c r="AI2754" s="81">
        <f>IF(AN2754="","",IF(Q2754="Sin Factura",0,IFERROR(INDEX(Facturas_Odoo!$H:$H, MATCH(Q2754, Facturas_Odoo!$B:$B, 0)), 0)*(1-AG2754)))</f>
        <v/>
      </c>
      <c r="AJ2754" s="81">
        <f>IF(AN2754="","",_xlfn.LET(idVenta, AN2754&amp;"",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54" s="81">
        <f>IF(AN2754="","",AH2754-AJ2754)</f>
        <v/>
      </c>
      <c r="AL2754" s="81">
        <f>IF(AN2754="","",IF(Q2754="Sin Factura","",AI2754-AJ2754))</f>
        <v/>
      </c>
      <c r="AM2754" s="81">
        <f>IF(AN2754="","",IF(Q2754="Sin Factura",0,P2754-IFERROR(INDEX(Facturas_Odoo!$H:$H, MATCH(Q2754, Facturas_Odoo!$B:$B, 0)), 0)))</f>
        <v/>
      </c>
      <c r="AN2754" s="79">
        <f>IF(AND(A2754="", J2754=""), "", IF(A2754&lt;&gt;"", VALUE(MID(A2754,2,LEN(A2754))), AN2753))</f>
        <v/>
      </c>
      <c r="AO2754" s="79">
        <f>IF(AN2754="","",IF(AD2754=0,"OK",_xlfn.LET(monedaPago, IF(AA2754="","USD",AA2754), limitePermitido, IFERROR(VLOOKUP(monedaPago, Configuración!$A$2:$B$3, 2, FALSE), 0.15), IF(AD2754&gt;limitePermitido, "ALERTA: EXCESO (" &amp; TEXT(limitePermitido, "0%") &amp; " máx)", "OK"))))</f>
        <v/>
      </c>
      <c r="AP2754" s="79">
        <f>IF(AN2754="","",IF(AE2754=0,"OK",_xlfn.LET(fechaPago, Z2754, fechaFactura, R2754, diasCredito, IF(E2754="Pago inmediato", 0, IFERROR(VALUE(MID(E2754, 1, SEARCH(" ", E2754)-1)),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54" s="79">
        <f>IF(AN2754="","",IF(AND(N2754&gt;0, AG2754&gt;0), IF(Configuración!$K$2="NO", "ALERTA: DESCUENTO DOBLE NO PERMITIDO", "OK"), "OK"))</f>
        <v/>
      </c>
      <c r="AR2754" s="79">
        <f>IF(AN2754="","",IF(OR(AO2754&lt;&gt;"OK", AP2754&lt;&gt;"OK", AQ2754&lt;&gt;"OK"), "⚠️ REVISAR", "OK"))</f>
        <v/>
      </c>
    </row>
    <row r="2755">
      <c r="A2755" s="79">
        <f>IF('Ordenes_Odoo'!A2755="","",'Ordenes_Odoo'!A2755)</f>
        <v/>
      </c>
      <c r="B2755" s="80">
        <f>IF('Ordenes_Odoo'!B2755="","",'Ordenes_Odoo'!B2755)</f>
        <v/>
      </c>
      <c r="C2755" s="79">
        <f>IF('Ordenes_Odoo'!C2755="","",'Ordenes_Odoo'!C2755)</f>
        <v/>
      </c>
      <c r="D2755" s="79">
        <f>IF('Ordenes_Odoo'!D2755="","",'Ordenes_Odoo'!D2755)</f>
        <v/>
      </c>
      <c r="E2755" s="79">
        <f>IF('Ordenes_Odoo'!E2755="","",'Ordenes_Odoo'!E2755)</f>
        <v/>
      </c>
      <c r="F2755" s="79">
        <f>IF('Ordenes_Odoo'!F2755="","",'Ordenes_Odoo'!F2755)</f>
        <v/>
      </c>
      <c r="G2755" s="79">
        <f>IF('Ordenes_Odoo'!G2755="","",'Ordenes_Odoo'!G2755)</f>
        <v/>
      </c>
      <c r="H2755" s="79">
        <f>IF('Ordenes_Odoo'!H2755="","",'Ordenes_Odoo'!H2755)</f>
        <v/>
      </c>
      <c r="I2755" s="79">
        <f>IF('Ordenes_Odoo'!I2755="","",'Ordenes_Odoo'!I2755)</f>
        <v/>
      </c>
      <c r="J2755" s="79">
        <f>IF('Ordenes_Odoo'!J2755="","",'Ordenes_Odoo'!J2755)</f>
        <v/>
      </c>
      <c r="K2755" s="81">
        <f>IF('Ordenes_Odoo'!K2755="","",'Ordenes_Odoo'!K2755)</f>
        <v/>
      </c>
      <c r="L2755" s="81">
        <f>IF('Ordenes_Odoo'!L2755="","",'Ordenes_Odoo'!L2755)</f>
        <v/>
      </c>
      <c r="M2755" s="79">
        <f>IF('Ordenes_Odoo'!M2755="","",'Ordenes_Odoo'!M2755)</f>
        <v/>
      </c>
      <c r="N2755" s="79">
        <f>IF('Ordenes_Odoo'!N2755="","",'Ordenes_Odoo'!N2755)</f>
        <v/>
      </c>
      <c r="O2755" s="81">
        <f>IF('Ordenes_Odoo'!O2755="","",'Ordenes_Odoo'!O2755)</f>
        <v/>
      </c>
      <c r="P2755" s="81">
        <f>IF('Ordenes_Odoo'!P2755="","",'Ordenes_Odoo'!P2755)</f>
        <v/>
      </c>
      <c r="Q2755" s="79">
        <f>IF(A2755="","",IFERROR(INDEX(Facturas_Odoo!$B:$B, MATCH(A2755, Facturas_Odoo!$D:$D, 0)), "Sin Factura"))</f>
        <v/>
      </c>
      <c r="R2755" s="80">
        <f>IF(Q2755="Sin Factura","",IFERROR(INDEX(Facturas_Odoo!$A:$A, MATCH(Q2755, Facturas_Odoo!$B:$B, 0)), ""))</f>
        <v/>
      </c>
      <c r="S2755" s="79">
        <f>IF(Q2755="Sin Factura","",IFERROR(_xlfn.XLOOKUP(1, (Facturas_Odoo!$D:$D=A2755) * (Facturas_Odoo!$K:$K=I2755), Facturas_Odoo!$L:$L, ""), ""))</f>
        <v/>
      </c>
      <c r="T2755" s="81">
        <f>IF(Q2755="Sin Factura",0,IFERROR(_xlfn.XLOOKUP(1, (Facturas_Odoo!$D:$D=A2755) * (Facturas_Odoo!$K:$K=I2755), Facturas_Odoo!$M:$M, 0), 0))</f>
        <v/>
      </c>
      <c r="U2755" s="79">
        <f>IF(Q2755="Sin Factura",0,IFERROR(_xlfn.XLOOKUP(1, (Facturas_Odoo!$D:$D=A2755) * (Facturas_Odoo!$K:$K=I2755), Facturas_Odoo!$N:$N, 0), 0))</f>
        <v/>
      </c>
      <c r="V2755" s="79">
        <f>IF(Q2755="Sin Factura",0,IFERROR(_xlfn.XLOOKUP(1, (Facturas_Odoo!$D:$D=A2755) * (Facturas_Odoo!$K:$K=I2755), Facturas_Odoo!$O:$O, 0), 0))</f>
        <v/>
      </c>
      <c r="W2755" s="81">
        <f>IF(Q2755="Sin Factura",0,IFERROR(_xlfn.XLOOKUP(1, (Facturas_Odoo!$D:$D=A2755) * (Facturas_Odoo!$K:$K=I2755), Facturas_Odoo!$Q:$Q, 0), 0))</f>
        <v/>
      </c>
      <c r="X2755" s="79">
        <f>IF(OR(Q2755="Sin Factura",Q2755=""),"",IFERROR(INDEX(Pagos_Odoo!$B:$B, MATCH(Q2755, Pagos_Odoo!$I:$I, 0)), "Sin Pago"))</f>
        <v/>
      </c>
      <c r="Y2755" s="79">
        <f>IF(X2755="Sin Pago","",IFERROR(INDEX(Pagos_Odoo!$C:$C, MATCH(X2755, Pagos_Odoo!$B:$B, 0)), ""))</f>
        <v/>
      </c>
      <c r="Z2755" s="80">
        <f>IF(X2755="Sin Pago","",IFERROR(INDEX(Pagos_Odoo!$A:$A, MATCH(X2755, Pagos_Odoo!$B:$B, 0)), ""))</f>
        <v/>
      </c>
      <c r="AA2755" s="79">
        <f>IF(X2755="Sin Pago","",IFERROR(INDEX(Pagos_Odoo!$F:$F, MATCH(X2755, Pagos_Odoo!$B:$B, 0)), ""))</f>
        <v/>
      </c>
      <c r="AB2755" s="81">
        <f>IF(X2755="Sin Pago",0,IFERROR(INDEX(Pagos_Odoo!$E:$E, MATCH(X2755, Pagos_Odoo!$B:$B, 0)), 0))</f>
        <v/>
      </c>
      <c r="AC2755" s="79">
        <f>IF(X2755="Sin Pago","",IFERROR(INDEX(Pagos_Odoo!$G:$G, MATCH(X2755, Pagos_Odoo!$B:$B, 0)), ""))</f>
        <v/>
      </c>
      <c r="AD2755" s="82" t="n">
        <v>0</v>
      </c>
      <c r="AE2755" s="82" t="n"/>
      <c r="AF2755" s="82" t="n"/>
      <c r="AG2755" s="82">
        <f>IF(AN2755="","",AD2755+AE2755+AF2755)</f>
        <v/>
      </c>
      <c r="AH2755" s="81">
        <f>IF(AN2755="","",P2755*(1-AG2755))</f>
        <v/>
      </c>
      <c r="AI2755" s="81">
        <f>IF(AN2755="","",IF(Q2755="Sin Factura",0,IFERROR(INDEX(Facturas_Odoo!$H:$H, MATCH(Q2755, Facturas_Odoo!$B:$B, 0)), 0)*(1-AG2755)))</f>
        <v/>
      </c>
      <c r="AJ2755" s="81">
        <f>IF(AN2755="","",_xlfn.LET(idVenta, AN2755&amp;"",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55" s="81">
        <f>IF(AN2755="","",AH2755-AJ2755)</f>
        <v/>
      </c>
      <c r="AL2755" s="81">
        <f>IF(AN2755="","",IF(Q2755="Sin Factura","",AI2755-AJ2755))</f>
        <v/>
      </c>
      <c r="AM2755" s="81">
        <f>IF(AN2755="","",IF(Q2755="Sin Factura",0,P2755-IFERROR(INDEX(Facturas_Odoo!$H:$H, MATCH(Q2755, Facturas_Odoo!$B:$B, 0)), 0)))</f>
        <v/>
      </c>
      <c r="AN2755" s="79">
        <f>IF(AND(A2755="", J2755=""), "", IF(A2755&lt;&gt;"", VALUE(MID(A2755,2,LEN(A2755))), AN2754))</f>
        <v/>
      </c>
      <c r="AO2755" s="79">
        <f>IF(AN2755="","",IF(AD2755=0,"OK",_xlfn.LET(monedaPago, IF(AA2755="","USD",AA2755), limitePermitido, IFERROR(VLOOKUP(monedaPago, Configuración!$A$2:$B$3, 2, FALSE), 0.15), IF(AD2755&gt;limitePermitido, "ALERTA: EXCESO (" &amp; TEXT(limitePermitido, "0%") &amp; " máx)", "OK"))))</f>
        <v/>
      </c>
      <c r="AP2755" s="79">
        <f>IF(AN2755="","",IF(AE2755=0,"OK",_xlfn.LET(fechaPago, Z2755, fechaFactura, R2755, diasCredito, IF(E2755="Pago inmediato", 0, IFERROR(VALUE(MID(E2755, 1, SEARCH(" ", E2755)-1)),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55" s="79">
        <f>IF(AN2755="","",IF(AND(N2755&gt;0, AG2755&gt;0), IF(Configuración!$K$2="NO", "ALERTA: DESCUENTO DOBLE NO PERMITIDO", "OK"), "OK"))</f>
        <v/>
      </c>
      <c r="AR2755" s="79">
        <f>IF(AN2755="","",IF(OR(AO2755&lt;&gt;"OK", AP2755&lt;&gt;"OK", AQ2755&lt;&gt;"OK"), "⚠️ REVISAR", "OK"))</f>
        <v/>
      </c>
    </row>
    <row r="2756">
      <c r="A2756" s="79">
        <f>IF('Ordenes_Odoo'!A2756="","",'Ordenes_Odoo'!A2756)</f>
        <v/>
      </c>
      <c r="B2756" s="80">
        <f>IF('Ordenes_Odoo'!B2756="","",'Ordenes_Odoo'!B2756)</f>
        <v/>
      </c>
      <c r="C2756" s="79">
        <f>IF('Ordenes_Odoo'!C2756="","",'Ordenes_Odoo'!C2756)</f>
        <v/>
      </c>
      <c r="D2756" s="79">
        <f>IF('Ordenes_Odoo'!D2756="","",'Ordenes_Odoo'!D2756)</f>
        <v/>
      </c>
      <c r="E2756" s="79">
        <f>IF('Ordenes_Odoo'!E2756="","",'Ordenes_Odoo'!E2756)</f>
        <v/>
      </c>
      <c r="F2756" s="79">
        <f>IF('Ordenes_Odoo'!F2756="","",'Ordenes_Odoo'!F2756)</f>
        <v/>
      </c>
      <c r="G2756" s="79">
        <f>IF('Ordenes_Odoo'!G2756="","",'Ordenes_Odoo'!G2756)</f>
        <v/>
      </c>
      <c r="H2756" s="79">
        <f>IF('Ordenes_Odoo'!H2756="","",'Ordenes_Odoo'!H2756)</f>
        <v/>
      </c>
      <c r="I2756" s="79">
        <f>IF('Ordenes_Odoo'!I2756="","",'Ordenes_Odoo'!I2756)</f>
        <v/>
      </c>
      <c r="J2756" s="79">
        <f>IF('Ordenes_Odoo'!J2756="","",'Ordenes_Odoo'!J2756)</f>
        <v/>
      </c>
      <c r="K2756" s="81">
        <f>IF('Ordenes_Odoo'!K2756="","",'Ordenes_Odoo'!K2756)</f>
        <v/>
      </c>
      <c r="L2756" s="81">
        <f>IF('Ordenes_Odoo'!L2756="","",'Ordenes_Odoo'!L2756)</f>
        <v/>
      </c>
      <c r="M2756" s="79">
        <f>IF('Ordenes_Odoo'!M2756="","",'Ordenes_Odoo'!M2756)</f>
        <v/>
      </c>
      <c r="N2756" s="79">
        <f>IF('Ordenes_Odoo'!N2756="","",'Ordenes_Odoo'!N2756)</f>
        <v/>
      </c>
      <c r="O2756" s="81">
        <f>IF('Ordenes_Odoo'!O2756="","",'Ordenes_Odoo'!O2756)</f>
        <v/>
      </c>
      <c r="P2756" s="81">
        <f>IF('Ordenes_Odoo'!P2756="","",'Ordenes_Odoo'!P2756)</f>
        <v/>
      </c>
      <c r="Q2756" s="79">
        <f>IF(A2756="","",IFERROR(INDEX(Facturas_Odoo!$B:$B, MATCH(A2756, Facturas_Odoo!$D:$D, 0)), "Sin Factura"))</f>
        <v/>
      </c>
      <c r="R2756" s="80">
        <f>IF(Q2756="Sin Factura","",IFERROR(INDEX(Facturas_Odoo!$A:$A, MATCH(Q2756, Facturas_Odoo!$B:$B, 0)), ""))</f>
        <v/>
      </c>
      <c r="S2756" s="79">
        <f>IF(Q2756="Sin Factura","",IFERROR(_xlfn.XLOOKUP(1, (Facturas_Odoo!$D:$D=A2756) * (Facturas_Odoo!$K:$K=I2756), Facturas_Odoo!$L:$L, ""), ""))</f>
        <v/>
      </c>
      <c r="T2756" s="81">
        <f>IF(Q2756="Sin Factura",0,IFERROR(_xlfn.XLOOKUP(1, (Facturas_Odoo!$D:$D=A2756) * (Facturas_Odoo!$K:$K=I2756), Facturas_Odoo!$M:$M, 0), 0))</f>
        <v/>
      </c>
      <c r="U2756" s="79">
        <f>IF(Q2756="Sin Factura",0,IFERROR(_xlfn.XLOOKUP(1, (Facturas_Odoo!$D:$D=A2756) * (Facturas_Odoo!$K:$K=I2756), Facturas_Odoo!$N:$N, 0), 0))</f>
        <v/>
      </c>
      <c r="V2756" s="79">
        <f>IF(Q2756="Sin Factura",0,IFERROR(_xlfn.XLOOKUP(1, (Facturas_Odoo!$D:$D=A2756) * (Facturas_Odoo!$K:$K=I2756), Facturas_Odoo!$O:$O, 0), 0))</f>
        <v/>
      </c>
      <c r="W2756" s="81">
        <f>IF(Q2756="Sin Factura",0,IFERROR(_xlfn.XLOOKUP(1, (Facturas_Odoo!$D:$D=A2756) * (Facturas_Odoo!$K:$K=I2756), Facturas_Odoo!$Q:$Q, 0), 0))</f>
        <v/>
      </c>
      <c r="X2756" s="79">
        <f>IF(OR(Q2756="Sin Factura",Q2756=""),"",IFERROR(INDEX(Pagos_Odoo!$B:$B, MATCH(Q2756, Pagos_Odoo!$I:$I, 0)), "Sin Pago"))</f>
        <v/>
      </c>
      <c r="Y2756" s="79">
        <f>IF(X2756="Sin Pago","",IFERROR(INDEX(Pagos_Odoo!$C:$C, MATCH(X2756, Pagos_Odoo!$B:$B, 0)), ""))</f>
        <v/>
      </c>
      <c r="Z2756" s="80">
        <f>IF(X2756="Sin Pago","",IFERROR(INDEX(Pagos_Odoo!$A:$A, MATCH(X2756, Pagos_Odoo!$B:$B, 0)), ""))</f>
        <v/>
      </c>
      <c r="AA2756" s="79">
        <f>IF(X2756="Sin Pago","",IFERROR(INDEX(Pagos_Odoo!$F:$F, MATCH(X2756, Pagos_Odoo!$B:$B, 0)), ""))</f>
        <v/>
      </c>
      <c r="AB2756" s="81">
        <f>IF(X2756="Sin Pago",0,IFERROR(INDEX(Pagos_Odoo!$E:$E, MATCH(X2756, Pagos_Odoo!$B:$B, 0)), 0))</f>
        <v/>
      </c>
      <c r="AC2756" s="79">
        <f>IF(X2756="Sin Pago","",IFERROR(INDEX(Pagos_Odoo!$G:$G, MATCH(X2756, Pagos_Odoo!$B:$B, 0)), ""))</f>
        <v/>
      </c>
      <c r="AD2756" s="82" t="n">
        <v>0</v>
      </c>
      <c r="AE2756" s="82" t="n"/>
      <c r="AF2756" s="82" t="n"/>
      <c r="AG2756" s="82">
        <f>IF(AN2756="","",AD2756+AE2756+AF2756)</f>
        <v/>
      </c>
      <c r="AH2756" s="81">
        <f>IF(AN2756="","",P2756*(1-AG2756))</f>
        <v/>
      </c>
      <c r="AI2756" s="81">
        <f>IF(AN2756="","",IF(Q2756="Sin Factura",0,IFERROR(INDEX(Facturas_Odoo!$H:$H, MATCH(Q2756, Facturas_Odoo!$B:$B, 0)), 0)*(1-AG2756)))</f>
        <v/>
      </c>
      <c r="AJ2756" s="81">
        <f>IF(AN2756="","",_xlfn.LET(idVenta, AN2756&amp;"",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56" s="81">
        <f>IF(AN2756="","",AH2756-AJ2756)</f>
        <v/>
      </c>
      <c r="AL2756" s="81">
        <f>IF(AN2756="","",IF(Q2756="Sin Factura","",AI2756-AJ2756))</f>
        <v/>
      </c>
      <c r="AM2756" s="81">
        <f>IF(AN2756="","",IF(Q2756="Sin Factura",0,P2756-IFERROR(INDEX(Facturas_Odoo!$H:$H, MATCH(Q2756, Facturas_Odoo!$B:$B, 0)), 0)))</f>
        <v/>
      </c>
      <c r="AN2756" s="79">
        <f>IF(AND(A2756="", J2756=""), "", IF(A2756&lt;&gt;"", VALUE(MID(A2756,2,LEN(A2756))), AN2755))</f>
        <v/>
      </c>
      <c r="AO2756" s="79">
        <f>IF(AN2756="","",IF(AD2756=0,"OK",_xlfn.LET(monedaPago, IF(AA2756="","USD",AA2756), limitePermitido, IFERROR(VLOOKUP(monedaPago, Configuración!$A$2:$B$3, 2, FALSE), 0.15), IF(AD2756&gt;limitePermitido, "ALERTA: EXCESO (" &amp; TEXT(limitePermitido, "0%") &amp; " máx)", "OK"))))</f>
        <v/>
      </c>
      <c r="AP2756" s="79">
        <f>IF(AN2756="","",IF(AE2756=0,"OK",_xlfn.LET(fechaPago, Z2756, fechaFactura, R2756, diasCredito, IF(E2756="Pago inmediato", 0, IFERROR(VALUE(MID(E2756, 1, SEARCH(" ", E2756)-1)),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56" s="79">
        <f>IF(AN2756="","",IF(AND(N2756&gt;0, AG2756&gt;0), IF(Configuración!$K$2="NO", "ALERTA: DESCUENTO DOBLE NO PERMITIDO", "OK"), "OK"))</f>
        <v/>
      </c>
      <c r="AR2756" s="79">
        <f>IF(AN2756="","",IF(OR(AO2756&lt;&gt;"OK", AP2756&lt;&gt;"OK", AQ2756&lt;&gt;"OK"), "⚠️ REVISAR", "OK"))</f>
        <v/>
      </c>
    </row>
    <row r="2757">
      <c r="A2757" s="79">
        <f>IF('Ordenes_Odoo'!A2757="","",'Ordenes_Odoo'!A2757)</f>
        <v/>
      </c>
      <c r="B2757" s="80">
        <f>IF('Ordenes_Odoo'!B2757="","",'Ordenes_Odoo'!B2757)</f>
        <v/>
      </c>
      <c r="C2757" s="79">
        <f>IF('Ordenes_Odoo'!C2757="","",'Ordenes_Odoo'!C2757)</f>
        <v/>
      </c>
      <c r="D2757" s="79">
        <f>IF('Ordenes_Odoo'!D2757="","",'Ordenes_Odoo'!D2757)</f>
        <v/>
      </c>
      <c r="E2757" s="79">
        <f>IF('Ordenes_Odoo'!E2757="","",'Ordenes_Odoo'!E2757)</f>
        <v/>
      </c>
      <c r="F2757" s="79">
        <f>IF('Ordenes_Odoo'!F2757="","",'Ordenes_Odoo'!F2757)</f>
        <v/>
      </c>
      <c r="G2757" s="79">
        <f>IF('Ordenes_Odoo'!G2757="","",'Ordenes_Odoo'!G2757)</f>
        <v/>
      </c>
      <c r="H2757" s="79">
        <f>IF('Ordenes_Odoo'!H2757="","",'Ordenes_Odoo'!H2757)</f>
        <v/>
      </c>
      <c r="I2757" s="79">
        <f>IF('Ordenes_Odoo'!I2757="","",'Ordenes_Odoo'!I2757)</f>
        <v/>
      </c>
      <c r="J2757" s="79">
        <f>IF('Ordenes_Odoo'!J2757="","",'Ordenes_Odoo'!J2757)</f>
        <v/>
      </c>
      <c r="K2757" s="81">
        <f>IF('Ordenes_Odoo'!K2757="","",'Ordenes_Odoo'!K2757)</f>
        <v/>
      </c>
      <c r="L2757" s="81">
        <f>IF('Ordenes_Odoo'!L2757="","",'Ordenes_Odoo'!L2757)</f>
        <v/>
      </c>
      <c r="M2757" s="79">
        <f>IF('Ordenes_Odoo'!M2757="","",'Ordenes_Odoo'!M2757)</f>
        <v/>
      </c>
      <c r="N2757" s="79">
        <f>IF('Ordenes_Odoo'!N2757="","",'Ordenes_Odoo'!N2757)</f>
        <v/>
      </c>
      <c r="O2757" s="81">
        <f>IF('Ordenes_Odoo'!O2757="","",'Ordenes_Odoo'!O2757)</f>
        <v/>
      </c>
      <c r="P2757" s="81">
        <f>IF('Ordenes_Odoo'!P2757="","",'Ordenes_Odoo'!P2757)</f>
        <v/>
      </c>
      <c r="Q2757" s="79">
        <f>IF(A2757="","",IFERROR(INDEX(Facturas_Odoo!$B:$B, MATCH(A2757, Facturas_Odoo!$D:$D, 0)), "Sin Factura"))</f>
        <v/>
      </c>
      <c r="R2757" s="80">
        <f>IF(Q2757="Sin Factura","",IFERROR(INDEX(Facturas_Odoo!$A:$A, MATCH(Q2757, Facturas_Odoo!$B:$B, 0)), ""))</f>
        <v/>
      </c>
      <c r="S2757" s="79">
        <f>IF(Q2757="Sin Factura","",IFERROR(_xlfn.XLOOKUP(1, (Facturas_Odoo!$D:$D=A2757) * (Facturas_Odoo!$K:$K=I2757), Facturas_Odoo!$L:$L, ""), ""))</f>
        <v/>
      </c>
      <c r="T2757" s="81">
        <f>IF(Q2757="Sin Factura",0,IFERROR(_xlfn.XLOOKUP(1, (Facturas_Odoo!$D:$D=A2757) * (Facturas_Odoo!$K:$K=I2757), Facturas_Odoo!$M:$M, 0), 0))</f>
        <v/>
      </c>
      <c r="U2757" s="79">
        <f>IF(Q2757="Sin Factura",0,IFERROR(_xlfn.XLOOKUP(1, (Facturas_Odoo!$D:$D=A2757) * (Facturas_Odoo!$K:$K=I2757), Facturas_Odoo!$N:$N, 0), 0))</f>
        <v/>
      </c>
      <c r="V2757" s="79">
        <f>IF(Q2757="Sin Factura",0,IFERROR(_xlfn.XLOOKUP(1, (Facturas_Odoo!$D:$D=A2757) * (Facturas_Odoo!$K:$K=I2757), Facturas_Odoo!$O:$O, 0), 0))</f>
        <v/>
      </c>
      <c r="W2757" s="81">
        <f>IF(Q2757="Sin Factura",0,IFERROR(_xlfn.XLOOKUP(1, (Facturas_Odoo!$D:$D=A2757) * (Facturas_Odoo!$K:$K=I2757), Facturas_Odoo!$Q:$Q, 0), 0))</f>
        <v/>
      </c>
      <c r="X2757" s="79">
        <f>IF(OR(Q2757="Sin Factura",Q2757=""),"",IFERROR(INDEX(Pagos_Odoo!$B:$B, MATCH(Q2757, Pagos_Odoo!$I:$I, 0)), "Sin Pago"))</f>
        <v/>
      </c>
      <c r="Y2757" s="79">
        <f>IF(X2757="Sin Pago","",IFERROR(INDEX(Pagos_Odoo!$C:$C, MATCH(X2757, Pagos_Odoo!$B:$B, 0)), ""))</f>
        <v/>
      </c>
      <c r="Z2757" s="80">
        <f>IF(X2757="Sin Pago","",IFERROR(INDEX(Pagos_Odoo!$A:$A, MATCH(X2757, Pagos_Odoo!$B:$B, 0)), ""))</f>
        <v/>
      </c>
      <c r="AA2757" s="79">
        <f>IF(X2757="Sin Pago","",IFERROR(INDEX(Pagos_Odoo!$F:$F, MATCH(X2757, Pagos_Odoo!$B:$B, 0)), ""))</f>
        <v/>
      </c>
      <c r="AB2757" s="81">
        <f>IF(X2757="Sin Pago",0,IFERROR(INDEX(Pagos_Odoo!$E:$E, MATCH(X2757, Pagos_Odoo!$B:$B, 0)), 0))</f>
        <v/>
      </c>
      <c r="AC2757" s="79">
        <f>IF(X2757="Sin Pago","",IFERROR(INDEX(Pagos_Odoo!$G:$G, MATCH(X2757, Pagos_Odoo!$B:$B, 0)), ""))</f>
        <v/>
      </c>
      <c r="AD2757" s="82" t="n">
        <v>0</v>
      </c>
      <c r="AE2757" s="82" t="n"/>
      <c r="AF2757" s="82" t="n"/>
      <c r="AG2757" s="82">
        <f>IF(AN2757="","",AD2757+AE2757+AF2757)</f>
        <v/>
      </c>
      <c r="AH2757" s="81">
        <f>IF(AN2757="","",P2757*(1-AG2757))</f>
        <v/>
      </c>
      <c r="AI2757" s="81">
        <f>IF(AN2757="","",IF(Q2757="Sin Factura",0,IFERROR(INDEX(Facturas_Odoo!$H:$H, MATCH(Q2757, Facturas_Odoo!$B:$B, 0)), 0)*(1-AG2757)))</f>
        <v/>
      </c>
      <c r="AJ2757" s="81">
        <f>IF(AN2757="","",_xlfn.LET(idVenta, AN2757&amp;"",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57" s="81">
        <f>IF(AN2757="","",AH2757-AJ2757)</f>
        <v/>
      </c>
      <c r="AL2757" s="81">
        <f>IF(AN2757="","",IF(Q2757="Sin Factura","",AI2757-AJ2757))</f>
        <v/>
      </c>
      <c r="AM2757" s="81">
        <f>IF(AN2757="","",IF(Q2757="Sin Factura",0,P2757-IFERROR(INDEX(Facturas_Odoo!$H:$H, MATCH(Q2757, Facturas_Odoo!$B:$B, 0)), 0)))</f>
        <v/>
      </c>
      <c r="AN2757" s="79">
        <f>IF(AND(A2757="", J2757=""), "", IF(A2757&lt;&gt;"", VALUE(MID(A2757,2,LEN(A2757))), AN2756))</f>
        <v/>
      </c>
      <c r="AO2757" s="79">
        <f>IF(AN2757="","",IF(AD2757=0,"OK",_xlfn.LET(monedaPago, IF(AA2757="","USD",AA2757), limitePermitido, IFERROR(VLOOKUP(monedaPago, Configuración!$A$2:$B$3, 2, FALSE), 0.15), IF(AD2757&gt;limitePermitido, "ALERTA: EXCESO (" &amp; TEXT(limitePermitido, "0%") &amp; " máx)", "OK"))))</f>
        <v/>
      </c>
      <c r="AP2757" s="79">
        <f>IF(AN2757="","",IF(AE2757=0,"OK",_xlfn.LET(fechaPago, Z2757, fechaFactura, R2757, diasCredito, IF(E2757="Pago inmediato", 0, IFERROR(VALUE(MID(E2757, 1, SEARCH(" ", E2757)-1)),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57" s="79">
        <f>IF(AN2757="","",IF(AND(N2757&gt;0, AG2757&gt;0), IF(Configuración!$K$2="NO", "ALERTA: DESCUENTO DOBLE NO PERMITIDO", "OK"), "OK"))</f>
        <v/>
      </c>
      <c r="AR2757" s="79">
        <f>IF(AN2757="","",IF(OR(AO2757&lt;&gt;"OK", AP2757&lt;&gt;"OK", AQ2757&lt;&gt;"OK"), "⚠️ REVISAR", "OK"))</f>
        <v/>
      </c>
    </row>
    <row r="2758">
      <c r="A2758" s="79">
        <f>IF('Ordenes_Odoo'!A2758="","",'Ordenes_Odoo'!A2758)</f>
        <v/>
      </c>
      <c r="B2758" s="80">
        <f>IF('Ordenes_Odoo'!B2758="","",'Ordenes_Odoo'!B2758)</f>
        <v/>
      </c>
      <c r="C2758" s="79">
        <f>IF('Ordenes_Odoo'!C2758="","",'Ordenes_Odoo'!C2758)</f>
        <v/>
      </c>
      <c r="D2758" s="79">
        <f>IF('Ordenes_Odoo'!D2758="","",'Ordenes_Odoo'!D2758)</f>
        <v/>
      </c>
      <c r="E2758" s="79">
        <f>IF('Ordenes_Odoo'!E2758="","",'Ordenes_Odoo'!E2758)</f>
        <v/>
      </c>
      <c r="F2758" s="79">
        <f>IF('Ordenes_Odoo'!F2758="","",'Ordenes_Odoo'!F2758)</f>
        <v/>
      </c>
      <c r="G2758" s="79">
        <f>IF('Ordenes_Odoo'!G2758="","",'Ordenes_Odoo'!G2758)</f>
        <v/>
      </c>
      <c r="H2758" s="79">
        <f>IF('Ordenes_Odoo'!H2758="","",'Ordenes_Odoo'!H2758)</f>
        <v/>
      </c>
      <c r="I2758" s="79">
        <f>IF('Ordenes_Odoo'!I2758="","",'Ordenes_Odoo'!I2758)</f>
        <v/>
      </c>
      <c r="J2758" s="79">
        <f>IF('Ordenes_Odoo'!J2758="","",'Ordenes_Odoo'!J2758)</f>
        <v/>
      </c>
      <c r="K2758" s="81">
        <f>IF('Ordenes_Odoo'!K2758="","",'Ordenes_Odoo'!K2758)</f>
        <v/>
      </c>
      <c r="L2758" s="81">
        <f>IF('Ordenes_Odoo'!L2758="","",'Ordenes_Odoo'!L2758)</f>
        <v/>
      </c>
      <c r="M2758" s="79">
        <f>IF('Ordenes_Odoo'!M2758="","",'Ordenes_Odoo'!M2758)</f>
        <v/>
      </c>
      <c r="N2758" s="79">
        <f>IF('Ordenes_Odoo'!N2758="","",'Ordenes_Odoo'!N2758)</f>
        <v/>
      </c>
      <c r="O2758" s="81">
        <f>IF('Ordenes_Odoo'!O2758="","",'Ordenes_Odoo'!O2758)</f>
        <v/>
      </c>
      <c r="P2758" s="81">
        <f>IF('Ordenes_Odoo'!P2758="","",'Ordenes_Odoo'!P2758)</f>
        <v/>
      </c>
      <c r="Q2758" s="79">
        <f>IF(A2758="","",IFERROR(INDEX(Facturas_Odoo!$B:$B, MATCH(A2758, Facturas_Odoo!$D:$D, 0)), "Sin Factura"))</f>
        <v/>
      </c>
      <c r="R2758" s="80">
        <f>IF(Q2758="Sin Factura","",IFERROR(INDEX(Facturas_Odoo!$A:$A, MATCH(Q2758, Facturas_Odoo!$B:$B, 0)), ""))</f>
        <v/>
      </c>
      <c r="S2758" s="79">
        <f>IF(Q2758="Sin Factura","",IFERROR(_xlfn.XLOOKUP(1, (Facturas_Odoo!$D:$D=A2758) * (Facturas_Odoo!$K:$K=I2758), Facturas_Odoo!$L:$L, ""), ""))</f>
        <v/>
      </c>
      <c r="T2758" s="81">
        <f>IF(Q2758="Sin Factura",0,IFERROR(_xlfn.XLOOKUP(1, (Facturas_Odoo!$D:$D=A2758) * (Facturas_Odoo!$K:$K=I2758), Facturas_Odoo!$M:$M, 0), 0))</f>
        <v/>
      </c>
      <c r="U2758" s="79">
        <f>IF(Q2758="Sin Factura",0,IFERROR(_xlfn.XLOOKUP(1, (Facturas_Odoo!$D:$D=A2758) * (Facturas_Odoo!$K:$K=I2758), Facturas_Odoo!$N:$N, 0), 0))</f>
        <v/>
      </c>
      <c r="V2758" s="79">
        <f>IF(Q2758="Sin Factura",0,IFERROR(_xlfn.XLOOKUP(1, (Facturas_Odoo!$D:$D=A2758) * (Facturas_Odoo!$K:$K=I2758), Facturas_Odoo!$O:$O, 0), 0))</f>
        <v/>
      </c>
      <c r="W2758" s="81">
        <f>IF(Q2758="Sin Factura",0,IFERROR(_xlfn.XLOOKUP(1, (Facturas_Odoo!$D:$D=A2758) * (Facturas_Odoo!$K:$K=I2758), Facturas_Odoo!$Q:$Q, 0), 0))</f>
        <v/>
      </c>
      <c r="X2758" s="79">
        <f>IF(OR(Q2758="Sin Factura",Q2758=""),"",IFERROR(INDEX(Pagos_Odoo!$B:$B, MATCH(Q2758, Pagos_Odoo!$I:$I, 0)), "Sin Pago"))</f>
        <v/>
      </c>
      <c r="Y2758" s="79">
        <f>IF(X2758="Sin Pago","",IFERROR(INDEX(Pagos_Odoo!$C:$C, MATCH(X2758, Pagos_Odoo!$B:$B, 0)), ""))</f>
        <v/>
      </c>
      <c r="Z2758" s="80">
        <f>IF(X2758="Sin Pago","",IFERROR(INDEX(Pagos_Odoo!$A:$A, MATCH(X2758, Pagos_Odoo!$B:$B, 0)), ""))</f>
        <v/>
      </c>
      <c r="AA2758" s="79">
        <f>IF(X2758="Sin Pago","",IFERROR(INDEX(Pagos_Odoo!$F:$F, MATCH(X2758, Pagos_Odoo!$B:$B, 0)), ""))</f>
        <v/>
      </c>
      <c r="AB2758" s="81">
        <f>IF(X2758="Sin Pago",0,IFERROR(INDEX(Pagos_Odoo!$E:$E, MATCH(X2758, Pagos_Odoo!$B:$B, 0)), 0))</f>
        <v/>
      </c>
      <c r="AC2758" s="79">
        <f>IF(X2758="Sin Pago","",IFERROR(INDEX(Pagos_Odoo!$G:$G, MATCH(X2758, Pagos_Odoo!$B:$B, 0)), ""))</f>
        <v/>
      </c>
      <c r="AD2758" s="82" t="n">
        <v>0</v>
      </c>
      <c r="AE2758" s="82" t="n"/>
      <c r="AF2758" s="82" t="n"/>
      <c r="AG2758" s="82">
        <f>IF(AN2758="","",AD2758+AE2758+AF2758)</f>
        <v/>
      </c>
      <c r="AH2758" s="81">
        <f>IF(AN2758="","",P2758*(1-AG2758))</f>
        <v/>
      </c>
      <c r="AI2758" s="81">
        <f>IF(AN2758="","",IF(Q2758="Sin Factura",0,IFERROR(INDEX(Facturas_Odoo!$H:$H, MATCH(Q2758, Facturas_Odoo!$B:$B, 0)), 0)*(1-AG2758)))</f>
        <v/>
      </c>
      <c r="AJ2758" s="81">
        <f>IF(AN2758="","",_xlfn.LET(idVenta, AN2758&amp;"",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58" s="81">
        <f>IF(AN2758="","",AH2758-AJ2758)</f>
        <v/>
      </c>
      <c r="AL2758" s="81">
        <f>IF(AN2758="","",IF(Q2758="Sin Factura","",AI2758-AJ2758))</f>
        <v/>
      </c>
      <c r="AM2758" s="81">
        <f>IF(AN2758="","",IF(Q2758="Sin Factura",0,P2758-IFERROR(INDEX(Facturas_Odoo!$H:$H, MATCH(Q2758, Facturas_Odoo!$B:$B, 0)), 0)))</f>
        <v/>
      </c>
      <c r="AN2758" s="79">
        <f>IF(AND(A2758="", J2758=""), "", IF(A2758&lt;&gt;"", VALUE(MID(A2758,2,LEN(A2758))), AN2757))</f>
        <v/>
      </c>
      <c r="AO2758" s="79">
        <f>IF(AN2758="","",IF(AD2758=0,"OK",_xlfn.LET(monedaPago, IF(AA2758="","USD",AA2758), limitePermitido, IFERROR(VLOOKUP(monedaPago, Configuración!$A$2:$B$3, 2, FALSE), 0.15), IF(AD2758&gt;limitePermitido, "ALERTA: EXCESO (" &amp; TEXT(limitePermitido, "0%") &amp; " máx)", "OK"))))</f>
        <v/>
      </c>
      <c r="AP2758" s="79">
        <f>IF(AN2758="","",IF(AE2758=0,"OK",_xlfn.LET(fechaPago, Z2758, fechaFactura, R2758, diasCredito, IF(E2758="Pago inmediato", 0, IFERROR(VALUE(MID(E2758, 1, SEARCH(" ", E2758)-1)),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58" s="79">
        <f>IF(AN2758="","",IF(AND(N2758&gt;0, AG2758&gt;0), IF(Configuración!$K$2="NO", "ALERTA: DESCUENTO DOBLE NO PERMITIDO", "OK"), "OK"))</f>
        <v/>
      </c>
      <c r="AR2758" s="79">
        <f>IF(AN2758="","",IF(OR(AO2758&lt;&gt;"OK", AP2758&lt;&gt;"OK", AQ2758&lt;&gt;"OK"), "⚠️ REVISAR", "OK"))</f>
        <v/>
      </c>
    </row>
    <row r="2759">
      <c r="A2759" s="79">
        <f>IF('Ordenes_Odoo'!A2759="","",'Ordenes_Odoo'!A2759)</f>
        <v/>
      </c>
      <c r="B2759" s="80">
        <f>IF('Ordenes_Odoo'!B2759="","",'Ordenes_Odoo'!B2759)</f>
        <v/>
      </c>
      <c r="C2759" s="79">
        <f>IF('Ordenes_Odoo'!C2759="","",'Ordenes_Odoo'!C2759)</f>
        <v/>
      </c>
      <c r="D2759" s="79">
        <f>IF('Ordenes_Odoo'!D2759="","",'Ordenes_Odoo'!D2759)</f>
        <v/>
      </c>
      <c r="E2759" s="79">
        <f>IF('Ordenes_Odoo'!E2759="","",'Ordenes_Odoo'!E2759)</f>
        <v/>
      </c>
      <c r="F2759" s="79">
        <f>IF('Ordenes_Odoo'!F2759="","",'Ordenes_Odoo'!F2759)</f>
        <v/>
      </c>
      <c r="G2759" s="79">
        <f>IF('Ordenes_Odoo'!G2759="","",'Ordenes_Odoo'!G2759)</f>
        <v/>
      </c>
      <c r="H2759" s="79">
        <f>IF('Ordenes_Odoo'!H2759="","",'Ordenes_Odoo'!H2759)</f>
        <v/>
      </c>
      <c r="I2759" s="79">
        <f>IF('Ordenes_Odoo'!I2759="","",'Ordenes_Odoo'!I2759)</f>
        <v/>
      </c>
      <c r="J2759" s="79">
        <f>IF('Ordenes_Odoo'!J2759="","",'Ordenes_Odoo'!J2759)</f>
        <v/>
      </c>
      <c r="K2759" s="81">
        <f>IF('Ordenes_Odoo'!K2759="","",'Ordenes_Odoo'!K2759)</f>
        <v/>
      </c>
      <c r="L2759" s="81">
        <f>IF('Ordenes_Odoo'!L2759="","",'Ordenes_Odoo'!L2759)</f>
        <v/>
      </c>
      <c r="M2759" s="79">
        <f>IF('Ordenes_Odoo'!M2759="","",'Ordenes_Odoo'!M2759)</f>
        <v/>
      </c>
      <c r="N2759" s="79">
        <f>IF('Ordenes_Odoo'!N2759="","",'Ordenes_Odoo'!N2759)</f>
        <v/>
      </c>
      <c r="O2759" s="81">
        <f>IF('Ordenes_Odoo'!O2759="","",'Ordenes_Odoo'!O2759)</f>
        <v/>
      </c>
      <c r="P2759" s="81">
        <f>IF('Ordenes_Odoo'!P2759="","",'Ordenes_Odoo'!P2759)</f>
        <v/>
      </c>
      <c r="Q2759" s="79">
        <f>IF(A2759="","",IFERROR(INDEX(Facturas_Odoo!$B:$B, MATCH(A2759, Facturas_Odoo!$D:$D, 0)), "Sin Factura"))</f>
        <v/>
      </c>
      <c r="R2759" s="80">
        <f>IF(Q2759="Sin Factura","",IFERROR(INDEX(Facturas_Odoo!$A:$A, MATCH(Q2759, Facturas_Odoo!$B:$B, 0)), ""))</f>
        <v/>
      </c>
      <c r="S2759" s="79">
        <f>IF(Q2759="Sin Factura","",IFERROR(_xlfn.XLOOKUP(1, (Facturas_Odoo!$D:$D=A2759) * (Facturas_Odoo!$K:$K=I2759), Facturas_Odoo!$L:$L, ""), ""))</f>
        <v/>
      </c>
      <c r="T2759" s="81">
        <f>IF(Q2759="Sin Factura",0,IFERROR(_xlfn.XLOOKUP(1, (Facturas_Odoo!$D:$D=A2759) * (Facturas_Odoo!$K:$K=I2759), Facturas_Odoo!$M:$M, 0), 0))</f>
        <v/>
      </c>
      <c r="U2759" s="79">
        <f>IF(Q2759="Sin Factura",0,IFERROR(_xlfn.XLOOKUP(1, (Facturas_Odoo!$D:$D=A2759) * (Facturas_Odoo!$K:$K=I2759), Facturas_Odoo!$N:$N, 0), 0))</f>
        <v/>
      </c>
      <c r="V2759" s="79">
        <f>IF(Q2759="Sin Factura",0,IFERROR(_xlfn.XLOOKUP(1, (Facturas_Odoo!$D:$D=A2759) * (Facturas_Odoo!$K:$K=I2759), Facturas_Odoo!$O:$O, 0), 0))</f>
        <v/>
      </c>
      <c r="W2759" s="81">
        <f>IF(Q2759="Sin Factura",0,IFERROR(_xlfn.XLOOKUP(1, (Facturas_Odoo!$D:$D=A2759) * (Facturas_Odoo!$K:$K=I2759), Facturas_Odoo!$Q:$Q, 0), 0))</f>
        <v/>
      </c>
      <c r="X2759" s="79">
        <f>IF(OR(Q2759="Sin Factura",Q2759=""),"",IFERROR(INDEX(Pagos_Odoo!$B:$B, MATCH(Q2759, Pagos_Odoo!$I:$I, 0)), "Sin Pago"))</f>
        <v/>
      </c>
      <c r="Y2759" s="79">
        <f>IF(X2759="Sin Pago","",IFERROR(INDEX(Pagos_Odoo!$C:$C, MATCH(X2759, Pagos_Odoo!$B:$B, 0)), ""))</f>
        <v/>
      </c>
      <c r="Z2759" s="80">
        <f>IF(X2759="Sin Pago","",IFERROR(INDEX(Pagos_Odoo!$A:$A, MATCH(X2759, Pagos_Odoo!$B:$B, 0)), ""))</f>
        <v/>
      </c>
      <c r="AA2759" s="79">
        <f>IF(X2759="Sin Pago","",IFERROR(INDEX(Pagos_Odoo!$F:$F, MATCH(X2759, Pagos_Odoo!$B:$B, 0)), ""))</f>
        <v/>
      </c>
      <c r="AB2759" s="81">
        <f>IF(X2759="Sin Pago",0,IFERROR(INDEX(Pagos_Odoo!$E:$E, MATCH(X2759, Pagos_Odoo!$B:$B, 0)), 0))</f>
        <v/>
      </c>
      <c r="AC2759" s="79">
        <f>IF(X2759="Sin Pago","",IFERROR(INDEX(Pagos_Odoo!$G:$G, MATCH(X2759, Pagos_Odoo!$B:$B, 0)), ""))</f>
        <v/>
      </c>
      <c r="AD2759" s="82" t="n">
        <v>0</v>
      </c>
      <c r="AE2759" s="82" t="n"/>
      <c r="AF2759" s="82" t="n"/>
      <c r="AG2759" s="82">
        <f>IF(AN2759="","",AD2759+AE2759+AF2759)</f>
        <v/>
      </c>
      <c r="AH2759" s="81">
        <f>IF(AN2759="","",P2759*(1-AG2759))</f>
        <v/>
      </c>
      <c r="AI2759" s="81">
        <f>IF(AN2759="","",IF(Q2759="Sin Factura",0,IFERROR(INDEX(Facturas_Odoo!$H:$H, MATCH(Q2759, Facturas_Odoo!$B:$B, 0)), 0)*(1-AG2759)))</f>
        <v/>
      </c>
      <c r="AJ2759" s="81">
        <f>IF(AN2759="","",_xlfn.LET(idVenta, AN2759&amp;"",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59" s="81">
        <f>IF(AN2759="","",AH2759-AJ2759)</f>
        <v/>
      </c>
      <c r="AL2759" s="81">
        <f>IF(AN2759="","",IF(Q2759="Sin Factura","",AI2759-AJ2759))</f>
        <v/>
      </c>
      <c r="AM2759" s="81">
        <f>IF(AN2759="","",IF(Q2759="Sin Factura",0,P2759-IFERROR(INDEX(Facturas_Odoo!$H:$H, MATCH(Q2759, Facturas_Odoo!$B:$B, 0)), 0)))</f>
        <v/>
      </c>
      <c r="AN2759" s="79">
        <f>IF(AND(A2759="", J2759=""), "", IF(A2759&lt;&gt;"", VALUE(MID(A2759,2,LEN(A2759))), AN2758))</f>
        <v/>
      </c>
      <c r="AO2759" s="79">
        <f>IF(AN2759="","",IF(AD2759=0,"OK",_xlfn.LET(monedaPago, IF(AA2759="","USD",AA2759), limitePermitido, IFERROR(VLOOKUP(monedaPago, Configuración!$A$2:$B$3, 2, FALSE), 0.15), IF(AD2759&gt;limitePermitido, "ALERTA: EXCESO (" &amp; TEXT(limitePermitido, "0%") &amp; " máx)", "OK"))))</f>
        <v/>
      </c>
      <c r="AP2759" s="79">
        <f>IF(AN2759="","",IF(AE2759=0,"OK",_xlfn.LET(fechaPago, Z2759, fechaFactura, R2759, diasCredito, IF(E2759="Pago inmediato", 0, IFERROR(VALUE(MID(E2759, 1, SEARCH(" ", E2759)-1)),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59" s="79">
        <f>IF(AN2759="","",IF(AND(N2759&gt;0, AG2759&gt;0), IF(Configuración!$K$2="NO", "ALERTA: DESCUENTO DOBLE NO PERMITIDO", "OK"), "OK"))</f>
        <v/>
      </c>
      <c r="AR2759" s="79">
        <f>IF(AN2759="","",IF(OR(AO2759&lt;&gt;"OK", AP2759&lt;&gt;"OK", AQ2759&lt;&gt;"OK"), "⚠️ REVISAR", "OK"))</f>
        <v/>
      </c>
    </row>
    <row r="2760">
      <c r="A2760" s="79">
        <f>IF('Ordenes_Odoo'!A2760="","",'Ordenes_Odoo'!A2760)</f>
        <v/>
      </c>
      <c r="B2760" s="80">
        <f>IF('Ordenes_Odoo'!B2760="","",'Ordenes_Odoo'!B2760)</f>
        <v/>
      </c>
      <c r="C2760" s="79">
        <f>IF('Ordenes_Odoo'!C2760="","",'Ordenes_Odoo'!C2760)</f>
        <v/>
      </c>
      <c r="D2760" s="79">
        <f>IF('Ordenes_Odoo'!D2760="","",'Ordenes_Odoo'!D2760)</f>
        <v/>
      </c>
      <c r="E2760" s="79">
        <f>IF('Ordenes_Odoo'!E2760="","",'Ordenes_Odoo'!E2760)</f>
        <v/>
      </c>
      <c r="F2760" s="79">
        <f>IF('Ordenes_Odoo'!F2760="","",'Ordenes_Odoo'!F2760)</f>
        <v/>
      </c>
      <c r="G2760" s="79">
        <f>IF('Ordenes_Odoo'!G2760="","",'Ordenes_Odoo'!G2760)</f>
        <v/>
      </c>
      <c r="H2760" s="79">
        <f>IF('Ordenes_Odoo'!H2760="","",'Ordenes_Odoo'!H2760)</f>
        <v/>
      </c>
      <c r="I2760" s="79">
        <f>IF('Ordenes_Odoo'!I2760="","",'Ordenes_Odoo'!I2760)</f>
        <v/>
      </c>
      <c r="J2760" s="79">
        <f>IF('Ordenes_Odoo'!J2760="","",'Ordenes_Odoo'!J2760)</f>
        <v/>
      </c>
      <c r="K2760" s="81">
        <f>IF('Ordenes_Odoo'!K2760="","",'Ordenes_Odoo'!K2760)</f>
        <v/>
      </c>
      <c r="L2760" s="81">
        <f>IF('Ordenes_Odoo'!L2760="","",'Ordenes_Odoo'!L2760)</f>
        <v/>
      </c>
      <c r="M2760" s="79">
        <f>IF('Ordenes_Odoo'!M2760="","",'Ordenes_Odoo'!M2760)</f>
        <v/>
      </c>
      <c r="N2760" s="79">
        <f>IF('Ordenes_Odoo'!N2760="","",'Ordenes_Odoo'!N2760)</f>
        <v/>
      </c>
      <c r="O2760" s="81">
        <f>IF('Ordenes_Odoo'!O2760="","",'Ordenes_Odoo'!O2760)</f>
        <v/>
      </c>
      <c r="P2760" s="81">
        <f>IF('Ordenes_Odoo'!P2760="","",'Ordenes_Odoo'!P2760)</f>
        <v/>
      </c>
      <c r="Q2760" s="79">
        <f>IF(A2760="","",IFERROR(INDEX(Facturas_Odoo!$B:$B, MATCH(A2760, Facturas_Odoo!$D:$D, 0)), "Sin Factura"))</f>
        <v/>
      </c>
      <c r="R2760" s="80">
        <f>IF(Q2760="Sin Factura","",IFERROR(INDEX(Facturas_Odoo!$A:$A, MATCH(Q2760, Facturas_Odoo!$B:$B, 0)), ""))</f>
        <v/>
      </c>
      <c r="S2760" s="79">
        <f>IF(Q2760="Sin Factura","",IFERROR(_xlfn.XLOOKUP(1, (Facturas_Odoo!$D:$D=A2760) * (Facturas_Odoo!$K:$K=I2760), Facturas_Odoo!$L:$L, ""), ""))</f>
        <v/>
      </c>
      <c r="T2760" s="81">
        <f>IF(Q2760="Sin Factura",0,IFERROR(_xlfn.XLOOKUP(1, (Facturas_Odoo!$D:$D=A2760) * (Facturas_Odoo!$K:$K=I2760), Facturas_Odoo!$M:$M, 0), 0))</f>
        <v/>
      </c>
      <c r="U2760" s="79">
        <f>IF(Q2760="Sin Factura",0,IFERROR(_xlfn.XLOOKUP(1, (Facturas_Odoo!$D:$D=A2760) * (Facturas_Odoo!$K:$K=I2760), Facturas_Odoo!$N:$N, 0), 0))</f>
        <v/>
      </c>
      <c r="V2760" s="79">
        <f>IF(Q2760="Sin Factura",0,IFERROR(_xlfn.XLOOKUP(1, (Facturas_Odoo!$D:$D=A2760) * (Facturas_Odoo!$K:$K=I2760), Facturas_Odoo!$O:$O, 0), 0))</f>
        <v/>
      </c>
      <c r="W2760" s="81">
        <f>IF(Q2760="Sin Factura",0,IFERROR(_xlfn.XLOOKUP(1, (Facturas_Odoo!$D:$D=A2760) * (Facturas_Odoo!$K:$K=I2760), Facturas_Odoo!$Q:$Q, 0), 0))</f>
        <v/>
      </c>
      <c r="X2760" s="79">
        <f>IF(OR(Q2760="Sin Factura",Q2760=""),"",IFERROR(INDEX(Pagos_Odoo!$B:$B, MATCH(Q2760, Pagos_Odoo!$I:$I, 0)), "Sin Pago"))</f>
        <v/>
      </c>
      <c r="Y2760" s="79">
        <f>IF(X2760="Sin Pago","",IFERROR(INDEX(Pagos_Odoo!$C:$C, MATCH(X2760, Pagos_Odoo!$B:$B, 0)), ""))</f>
        <v/>
      </c>
      <c r="Z2760" s="80">
        <f>IF(X2760="Sin Pago","",IFERROR(INDEX(Pagos_Odoo!$A:$A, MATCH(X2760, Pagos_Odoo!$B:$B, 0)), ""))</f>
        <v/>
      </c>
      <c r="AA2760" s="79">
        <f>IF(X2760="Sin Pago","",IFERROR(INDEX(Pagos_Odoo!$F:$F, MATCH(X2760, Pagos_Odoo!$B:$B, 0)), ""))</f>
        <v/>
      </c>
      <c r="AB2760" s="81">
        <f>IF(X2760="Sin Pago",0,IFERROR(INDEX(Pagos_Odoo!$E:$E, MATCH(X2760, Pagos_Odoo!$B:$B, 0)), 0))</f>
        <v/>
      </c>
      <c r="AC2760" s="79">
        <f>IF(X2760="Sin Pago","",IFERROR(INDEX(Pagos_Odoo!$G:$G, MATCH(X2760, Pagos_Odoo!$B:$B, 0)), ""))</f>
        <v/>
      </c>
      <c r="AD2760" s="82" t="n">
        <v>0</v>
      </c>
      <c r="AE2760" s="82" t="n"/>
      <c r="AF2760" s="82" t="n"/>
      <c r="AG2760" s="82">
        <f>IF(AN2760="","",AD2760+AE2760+AF2760)</f>
        <v/>
      </c>
      <c r="AH2760" s="81">
        <f>IF(AN2760="","",P2760*(1-AG2760))</f>
        <v/>
      </c>
      <c r="AI2760" s="81">
        <f>IF(AN2760="","",IF(Q2760="Sin Factura",0,IFERROR(INDEX(Facturas_Odoo!$H:$H, MATCH(Q2760, Facturas_Odoo!$B:$B, 0)), 0)*(1-AG2760)))</f>
        <v/>
      </c>
      <c r="AJ2760" s="81">
        <f>IF(AN2760="","",_xlfn.LET(idVenta, AN2760&amp;"",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60" s="81">
        <f>IF(AN2760="","",AH2760-AJ2760)</f>
        <v/>
      </c>
      <c r="AL2760" s="81">
        <f>IF(AN2760="","",IF(Q2760="Sin Factura","",AI2760-AJ2760))</f>
        <v/>
      </c>
      <c r="AM2760" s="81">
        <f>IF(AN2760="","",IF(Q2760="Sin Factura",0,P2760-IFERROR(INDEX(Facturas_Odoo!$H:$H, MATCH(Q2760, Facturas_Odoo!$B:$B, 0)), 0)))</f>
        <v/>
      </c>
      <c r="AN2760" s="79">
        <f>IF(AND(A2760="", J2760=""), "", IF(A2760&lt;&gt;"", VALUE(MID(A2760,2,LEN(A2760))), AN2759))</f>
        <v/>
      </c>
      <c r="AO2760" s="79">
        <f>IF(AN2760="","",IF(AD2760=0,"OK",_xlfn.LET(monedaPago, IF(AA2760="","USD",AA2760), limitePermitido, IFERROR(VLOOKUP(monedaPago, Configuración!$A$2:$B$3, 2, FALSE), 0.15), IF(AD2760&gt;limitePermitido, "ALERTA: EXCESO (" &amp; TEXT(limitePermitido, "0%") &amp; " máx)", "OK"))))</f>
        <v/>
      </c>
      <c r="AP2760" s="79">
        <f>IF(AN2760="","",IF(AE2760=0,"OK",_xlfn.LET(fechaPago, Z2760, fechaFactura, R2760, diasCredito, IF(E2760="Pago inmediato", 0, IFERROR(VALUE(MID(E2760, 1, SEARCH(" ", E2760)-1)),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60" s="79">
        <f>IF(AN2760="","",IF(AND(N2760&gt;0, AG2760&gt;0), IF(Configuración!$K$2="NO", "ALERTA: DESCUENTO DOBLE NO PERMITIDO", "OK"), "OK"))</f>
        <v/>
      </c>
      <c r="AR2760" s="79">
        <f>IF(AN2760="","",IF(OR(AO2760&lt;&gt;"OK", AP2760&lt;&gt;"OK", AQ2760&lt;&gt;"OK"), "⚠️ REVISAR", "OK"))</f>
        <v/>
      </c>
    </row>
    <row r="2761">
      <c r="A2761" s="79">
        <f>IF('Ordenes_Odoo'!A2761="","",'Ordenes_Odoo'!A2761)</f>
        <v/>
      </c>
      <c r="B2761" s="80">
        <f>IF('Ordenes_Odoo'!B2761="","",'Ordenes_Odoo'!B2761)</f>
        <v/>
      </c>
      <c r="C2761" s="79">
        <f>IF('Ordenes_Odoo'!C2761="","",'Ordenes_Odoo'!C2761)</f>
        <v/>
      </c>
      <c r="D2761" s="79">
        <f>IF('Ordenes_Odoo'!D2761="","",'Ordenes_Odoo'!D2761)</f>
        <v/>
      </c>
      <c r="E2761" s="79">
        <f>IF('Ordenes_Odoo'!E2761="","",'Ordenes_Odoo'!E2761)</f>
        <v/>
      </c>
      <c r="F2761" s="79">
        <f>IF('Ordenes_Odoo'!F2761="","",'Ordenes_Odoo'!F2761)</f>
        <v/>
      </c>
      <c r="G2761" s="79">
        <f>IF('Ordenes_Odoo'!G2761="","",'Ordenes_Odoo'!G2761)</f>
        <v/>
      </c>
      <c r="H2761" s="79">
        <f>IF('Ordenes_Odoo'!H2761="","",'Ordenes_Odoo'!H2761)</f>
        <v/>
      </c>
      <c r="I2761" s="79">
        <f>IF('Ordenes_Odoo'!I2761="","",'Ordenes_Odoo'!I2761)</f>
        <v/>
      </c>
      <c r="J2761" s="79">
        <f>IF('Ordenes_Odoo'!J2761="","",'Ordenes_Odoo'!J2761)</f>
        <v/>
      </c>
      <c r="K2761" s="81">
        <f>IF('Ordenes_Odoo'!K2761="","",'Ordenes_Odoo'!K2761)</f>
        <v/>
      </c>
      <c r="L2761" s="81">
        <f>IF('Ordenes_Odoo'!L2761="","",'Ordenes_Odoo'!L2761)</f>
        <v/>
      </c>
      <c r="M2761" s="79">
        <f>IF('Ordenes_Odoo'!M2761="","",'Ordenes_Odoo'!M2761)</f>
        <v/>
      </c>
      <c r="N2761" s="79">
        <f>IF('Ordenes_Odoo'!N2761="","",'Ordenes_Odoo'!N2761)</f>
        <v/>
      </c>
      <c r="O2761" s="81">
        <f>IF('Ordenes_Odoo'!O2761="","",'Ordenes_Odoo'!O2761)</f>
        <v/>
      </c>
      <c r="P2761" s="81">
        <f>IF('Ordenes_Odoo'!P2761="","",'Ordenes_Odoo'!P2761)</f>
        <v/>
      </c>
      <c r="Q2761" s="79">
        <f>IF(A2761="","",IFERROR(INDEX(Facturas_Odoo!$B:$B, MATCH(A2761, Facturas_Odoo!$D:$D, 0)), "Sin Factura"))</f>
        <v/>
      </c>
      <c r="R2761" s="80">
        <f>IF(Q2761="Sin Factura","",IFERROR(INDEX(Facturas_Odoo!$A:$A, MATCH(Q2761, Facturas_Odoo!$B:$B, 0)), ""))</f>
        <v/>
      </c>
      <c r="S2761" s="79">
        <f>IF(Q2761="Sin Factura","",IFERROR(_xlfn.XLOOKUP(1, (Facturas_Odoo!$D:$D=A2761) * (Facturas_Odoo!$K:$K=I2761), Facturas_Odoo!$L:$L, ""), ""))</f>
        <v/>
      </c>
      <c r="T2761" s="81">
        <f>IF(Q2761="Sin Factura",0,IFERROR(_xlfn.XLOOKUP(1, (Facturas_Odoo!$D:$D=A2761) * (Facturas_Odoo!$K:$K=I2761), Facturas_Odoo!$M:$M, 0), 0))</f>
        <v/>
      </c>
      <c r="U2761" s="79">
        <f>IF(Q2761="Sin Factura",0,IFERROR(_xlfn.XLOOKUP(1, (Facturas_Odoo!$D:$D=A2761) * (Facturas_Odoo!$K:$K=I2761), Facturas_Odoo!$N:$N, 0), 0))</f>
        <v/>
      </c>
      <c r="V2761" s="79">
        <f>IF(Q2761="Sin Factura",0,IFERROR(_xlfn.XLOOKUP(1, (Facturas_Odoo!$D:$D=A2761) * (Facturas_Odoo!$K:$K=I2761), Facturas_Odoo!$O:$O, 0), 0))</f>
        <v/>
      </c>
      <c r="W2761" s="81">
        <f>IF(Q2761="Sin Factura",0,IFERROR(_xlfn.XLOOKUP(1, (Facturas_Odoo!$D:$D=A2761) * (Facturas_Odoo!$K:$K=I2761), Facturas_Odoo!$Q:$Q, 0), 0))</f>
        <v/>
      </c>
      <c r="X2761" s="79">
        <f>IF(OR(Q2761="Sin Factura",Q2761=""),"",IFERROR(INDEX(Pagos_Odoo!$B:$B, MATCH(Q2761, Pagos_Odoo!$I:$I, 0)), "Sin Pago"))</f>
        <v/>
      </c>
      <c r="Y2761" s="79">
        <f>IF(X2761="Sin Pago","",IFERROR(INDEX(Pagos_Odoo!$C:$C, MATCH(X2761, Pagos_Odoo!$B:$B, 0)), ""))</f>
        <v/>
      </c>
      <c r="Z2761" s="80">
        <f>IF(X2761="Sin Pago","",IFERROR(INDEX(Pagos_Odoo!$A:$A, MATCH(X2761, Pagos_Odoo!$B:$B, 0)), ""))</f>
        <v/>
      </c>
      <c r="AA2761" s="79">
        <f>IF(X2761="Sin Pago","",IFERROR(INDEX(Pagos_Odoo!$F:$F, MATCH(X2761, Pagos_Odoo!$B:$B, 0)), ""))</f>
        <v/>
      </c>
      <c r="AB2761" s="81">
        <f>IF(X2761="Sin Pago",0,IFERROR(INDEX(Pagos_Odoo!$E:$E, MATCH(X2761, Pagos_Odoo!$B:$B, 0)), 0))</f>
        <v/>
      </c>
      <c r="AC2761" s="79">
        <f>IF(X2761="Sin Pago","",IFERROR(INDEX(Pagos_Odoo!$G:$G, MATCH(X2761, Pagos_Odoo!$B:$B, 0)), ""))</f>
        <v/>
      </c>
      <c r="AD2761" s="82" t="n">
        <v>0</v>
      </c>
      <c r="AE2761" s="82" t="n"/>
      <c r="AF2761" s="82" t="n"/>
      <c r="AG2761" s="82">
        <f>IF(AN2761="","",AD2761+AE2761+AF2761)</f>
        <v/>
      </c>
      <c r="AH2761" s="81">
        <f>IF(AN2761="","",P2761*(1-AG2761))</f>
        <v/>
      </c>
      <c r="AI2761" s="81">
        <f>IF(AN2761="","",IF(Q2761="Sin Factura",0,IFERROR(INDEX(Facturas_Odoo!$H:$H, MATCH(Q2761, Facturas_Odoo!$B:$B, 0)), 0)*(1-AG2761)))</f>
        <v/>
      </c>
      <c r="AJ2761" s="81">
        <f>IF(AN2761="","",_xlfn.LET(idVenta, AN2761&amp;"",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61" s="81">
        <f>IF(AN2761="","",AH2761-AJ2761)</f>
        <v/>
      </c>
      <c r="AL2761" s="81">
        <f>IF(AN2761="","",IF(Q2761="Sin Factura","",AI2761-AJ2761))</f>
        <v/>
      </c>
      <c r="AM2761" s="81">
        <f>IF(AN2761="","",IF(Q2761="Sin Factura",0,P2761-IFERROR(INDEX(Facturas_Odoo!$H:$H, MATCH(Q2761, Facturas_Odoo!$B:$B, 0)), 0)))</f>
        <v/>
      </c>
      <c r="AN2761" s="79">
        <f>IF(AND(A2761="", J2761=""), "", IF(A2761&lt;&gt;"", VALUE(MID(A2761,2,LEN(A2761))), AN2760))</f>
        <v/>
      </c>
      <c r="AO2761" s="79">
        <f>IF(AN2761="","",IF(AD2761=0,"OK",_xlfn.LET(monedaPago, IF(AA2761="","USD",AA2761), limitePermitido, IFERROR(VLOOKUP(monedaPago, Configuración!$A$2:$B$3, 2, FALSE), 0.15), IF(AD2761&gt;limitePermitido, "ALERTA: EXCESO (" &amp; TEXT(limitePermitido, "0%") &amp; " máx)", "OK"))))</f>
        <v/>
      </c>
      <c r="AP2761" s="79">
        <f>IF(AN2761="","",IF(AE2761=0,"OK",_xlfn.LET(fechaPago, Z2761, fechaFactura, R2761, diasCredito, IF(E2761="Pago inmediato", 0, IFERROR(VALUE(MID(E2761, 1, SEARCH(" ", E2761)-1)),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61" s="79">
        <f>IF(AN2761="","",IF(AND(N2761&gt;0, AG2761&gt;0), IF(Configuración!$K$2="NO", "ALERTA: DESCUENTO DOBLE NO PERMITIDO", "OK"), "OK"))</f>
        <v/>
      </c>
      <c r="AR2761" s="79">
        <f>IF(AN2761="","",IF(OR(AO2761&lt;&gt;"OK", AP2761&lt;&gt;"OK", AQ2761&lt;&gt;"OK"), "⚠️ REVISAR", "OK"))</f>
        <v/>
      </c>
    </row>
    <row r="2762">
      <c r="A2762" s="79">
        <f>IF('Ordenes_Odoo'!A2762="","",'Ordenes_Odoo'!A2762)</f>
        <v/>
      </c>
      <c r="B2762" s="80">
        <f>IF('Ordenes_Odoo'!B2762="","",'Ordenes_Odoo'!B2762)</f>
        <v/>
      </c>
      <c r="C2762" s="79">
        <f>IF('Ordenes_Odoo'!C2762="","",'Ordenes_Odoo'!C2762)</f>
        <v/>
      </c>
      <c r="D2762" s="79">
        <f>IF('Ordenes_Odoo'!D2762="","",'Ordenes_Odoo'!D2762)</f>
        <v/>
      </c>
      <c r="E2762" s="79">
        <f>IF('Ordenes_Odoo'!E2762="","",'Ordenes_Odoo'!E2762)</f>
        <v/>
      </c>
      <c r="F2762" s="79">
        <f>IF('Ordenes_Odoo'!F2762="","",'Ordenes_Odoo'!F2762)</f>
        <v/>
      </c>
      <c r="G2762" s="79">
        <f>IF('Ordenes_Odoo'!G2762="","",'Ordenes_Odoo'!G2762)</f>
        <v/>
      </c>
      <c r="H2762" s="79">
        <f>IF('Ordenes_Odoo'!H2762="","",'Ordenes_Odoo'!H2762)</f>
        <v/>
      </c>
      <c r="I2762" s="79">
        <f>IF('Ordenes_Odoo'!I2762="","",'Ordenes_Odoo'!I2762)</f>
        <v/>
      </c>
      <c r="J2762" s="79">
        <f>IF('Ordenes_Odoo'!J2762="","",'Ordenes_Odoo'!J2762)</f>
        <v/>
      </c>
      <c r="K2762" s="81">
        <f>IF('Ordenes_Odoo'!K2762="","",'Ordenes_Odoo'!K2762)</f>
        <v/>
      </c>
      <c r="L2762" s="81">
        <f>IF('Ordenes_Odoo'!L2762="","",'Ordenes_Odoo'!L2762)</f>
        <v/>
      </c>
      <c r="M2762" s="79">
        <f>IF('Ordenes_Odoo'!M2762="","",'Ordenes_Odoo'!M2762)</f>
        <v/>
      </c>
      <c r="N2762" s="79">
        <f>IF('Ordenes_Odoo'!N2762="","",'Ordenes_Odoo'!N2762)</f>
        <v/>
      </c>
      <c r="O2762" s="81">
        <f>IF('Ordenes_Odoo'!O2762="","",'Ordenes_Odoo'!O2762)</f>
        <v/>
      </c>
      <c r="P2762" s="81">
        <f>IF('Ordenes_Odoo'!P2762="","",'Ordenes_Odoo'!P2762)</f>
        <v/>
      </c>
      <c r="Q2762" s="79">
        <f>IF(A2762="","",IFERROR(INDEX(Facturas_Odoo!$B:$B, MATCH(A2762, Facturas_Odoo!$D:$D, 0)), "Sin Factura"))</f>
        <v/>
      </c>
      <c r="R2762" s="80">
        <f>IF(Q2762="Sin Factura","",IFERROR(INDEX(Facturas_Odoo!$A:$A, MATCH(Q2762, Facturas_Odoo!$B:$B, 0)), ""))</f>
        <v/>
      </c>
      <c r="S2762" s="79">
        <f>IF(Q2762="Sin Factura","",IFERROR(_xlfn.XLOOKUP(1, (Facturas_Odoo!$D:$D=A2762) * (Facturas_Odoo!$K:$K=I2762), Facturas_Odoo!$L:$L, ""), ""))</f>
        <v/>
      </c>
      <c r="T2762" s="81">
        <f>IF(Q2762="Sin Factura",0,IFERROR(_xlfn.XLOOKUP(1, (Facturas_Odoo!$D:$D=A2762) * (Facturas_Odoo!$K:$K=I2762), Facturas_Odoo!$M:$M, 0), 0))</f>
        <v/>
      </c>
      <c r="U2762" s="79">
        <f>IF(Q2762="Sin Factura",0,IFERROR(_xlfn.XLOOKUP(1, (Facturas_Odoo!$D:$D=A2762) * (Facturas_Odoo!$K:$K=I2762), Facturas_Odoo!$N:$N, 0), 0))</f>
        <v/>
      </c>
      <c r="V2762" s="79">
        <f>IF(Q2762="Sin Factura",0,IFERROR(_xlfn.XLOOKUP(1, (Facturas_Odoo!$D:$D=A2762) * (Facturas_Odoo!$K:$K=I2762), Facturas_Odoo!$O:$O, 0), 0))</f>
        <v/>
      </c>
      <c r="W2762" s="81">
        <f>IF(Q2762="Sin Factura",0,IFERROR(_xlfn.XLOOKUP(1, (Facturas_Odoo!$D:$D=A2762) * (Facturas_Odoo!$K:$K=I2762), Facturas_Odoo!$Q:$Q, 0), 0))</f>
        <v/>
      </c>
      <c r="X2762" s="79">
        <f>IF(OR(Q2762="Sin Factura",Q2762=""),"",IFERROR(INDEX(Pagos_Odoo!$B:$B, MATCH(Q2762, Pagos_Odoo!$I:$I, 0)), "Sin Pago"))</f>
        <v/>
      </c>
      <c r="Y2762" s="79">
        <f>IF(X2762="Sin Pago","",IFERROR(INDEX(Pagos_Odoo!$C:$C, MATCH(X2762, Pagos_Odoo!$B:$B, 0)), ""))</f>
        <v/>
      </c>
      <c r="Z2762" s="80">
        <f>IF(X2762="Sin Pago","",IFERROR(INDEX(Pagos_Odoo!$A:$A, MATCH(X2762, Pagos_Odoo!$B:$B, 0)), ""))</f>
        <v/>
      </c>
      <c r="AA2762" s="79">
        <f>IF(X2762="Sin Pago","",IFERROR(INDEX(Pagos_Odoo!$F:$F, MATCH(X2762, Pagos_Odoo!$B:$B, 0)), ""))</f>
        <v/>
      </c>
      <c r="AB2762" s="81">
        <f>IF(X2762="Sin Pago",0,IFERROR(INDEX(Pagos_Odoo!$E:$E, MATCH(X2762, Pagos_Odoo!$B:$B, 0)), 0))</f>
        <v/>
      </c>
      <c r="AC2762" s="79">
        <f>IF(X2762="Sin Pago","",IFERROR(INDEX(Pagos_Odoo!$G:$G, MATCH(X2762, Pagos_Odoo!$B:$B, 0)), ""))</f>
        <v/>
      </c>
      <c r="AD2762" s="82" t="n">
        <v>0</v>
      </c>
      <c r="AE2762" s="82" t="n"/>
      <c r="AF2762" s="82" t="n"/>
      <c r="AG2762" s="82">
        <f>IF(AN2762="","",AD2762+AE2762+AF2762)</f>
        <v/>
      </c>
      <c r="AH2762" s="81">
        <f>IF(AN2762="","",P2762*(1-AG2762))</f>
        <v/>
      </c>
      <c r="AI2762" s="81">
        <f>IF(AN2762="","",IF(Q2762="Sin Factura",0,IFERROR(INDEX(Facturas_Odoo!$H:$H, MATCH(Q2762, Facturas_Odoo!$B:$B, 0)), 0)*(1-AG2762)))</f>
        <v/>
      </c>
      <c r="AJ2762" s="81">
        <f>IF(AN2762="","",_xlfn.LET(idVenta, AN2762&amp;"",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62" s="81">
        <f>IF(AN2762="","",AH2762-AJ2762)</f>
        <v/>
      </c>
      <c r="AL2762" s="81">
        <f>IF(AN2762="","",IF(Q2762="Sin Factura","",AI2762-AJ2762))</f>
        <v/>
      </c>
      <c r="AM2762" s="81">
        <f>IF(AN2762="","",IF(Q2762="Sin Factura",0,P2762-IFERROR(INDEX(Facturas_Odoo!$H:$H, MATCH(Q2762, Facturas_Odoo!$B:$B, 0)), 0)))</f>
        <v/>
      </c>
      <c r="AN2762" s="79">
        <f>IF(AND(A2762="", J2762=""), "", IF(A2762&lt;&gt;"", VALUE(MID(A2762,2,LEN(A2762))), AN2761))</f>
        <v/>
      </c>
      <c r="AO2762" s="79">
        <f>IF(AN2762="","",IF(AD2762=0,"OK",_xlfn.LET(monedaPago, IF(AA2762="","USD",AA2762), limitePermitido, IFERROR(VLOOKUP(monedaPago, Configuración!$A$2:$B$3, 2, FALSE), 0.15), IF(AD2762&gt;limitePermitido, "ALERTA: EXCESO (" &amp; TEXT(limitePermitido, "0%") &amp; " máx)", "OK"))))</f>
        <v/>
      </c>
      <c r="AP2762" s="79">
        <f>IF(AN2762="","",IF(AE2762=0,"OK",_xlfn.LET(fechaPago, Z2762, fechaFactura, R2762, diasCredito, IF(E2762="Pago inmediato", 0, IFERROR(VALUE(MID(E2762, 1, SEARCH(" ", E2762)-1)),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62" s="79">
        <f>IF(AN2762="","",IF(AND(N2762&gt;0, AG2762&gt;0), IF(Configuración!$K$2="NO", "ALERTA: DESCUENTO DOBLE NO PERMITIDO", "OK"), "OK"))</f>
        <v/>
      </c>
      <c r="AR2762" s="79">
        <f>IF(AN2762="","",IF(OR(AO2762&lt;&gt;"OK", AP2762&lt;&gt;"OK", AQ2762&lt;&gt;"OK"), "⚠️ REVISAR", "OK"))</f>
        <v/>
      </c>
    </row>
    <row r="2763">
      <c r="A2763" s="79">
        <f>IF('Ordenes_Odoo'!A2763="","",'Ordenes_Odoo'!A2763)</f>
        <v/>
      </c>
      <c r="B2763" s="80">
        <f>IF('Ordenes_Odoo'!B2763="","",'Ordenes_Odoo'!B2763)</f>
        <v/>
      </c>
      <c r="C2763" s="79">
        <f>IF('Ordenes_Odoo'!C2763="","",'Ordenes_Odoo'!C2763)</f>
        <v/>
      </c>
      <c r="D2763" s="79">
        <f>IF('Ordenes_Odoo'!D2763="","",'Ordenes_Odoo'!D2763)</f>
        <v/>
      </c>
      <c r="E2763" s="79">
        <f>IF('Ordenes_Odoo'!E2763="","",'Ordenes_Odoo'!E2763)</f>
        <v/>
      </c>
      <c r="F2763" s="79">
        <f>IF('Ordenes_Odoo'!F2763="","",'Ordenes_Odoo'!F2763)</f>
        <v/>
      </c>
      <c r="G2763" s="79">
        <f>IF('Ordenes_Odoo'!G2763="","",'Ordenes_Odoo'!G2763)</f>
        <v/>
      </c>
      <c r="H2763" s="79">
        <f>IF('Ordenes_Odoo'!H2763="","",'Ordenes_Odoo'!H2763)</f>
        <v/>
      </c>
      <c r="I2763" s="79">
        <f>IF('Ordenes_Odoo'!I2763="","",'Ordenes_Odoo'!I2763)</f>
        <v/>
      </c>
      <c r="J2763" s="79">
        <f>IF('Ordenes_Odoo'!J2763="","",'Ordenes_Odoo'!J2763)</f>
        <v/>
      </c>
      <c r="K2763" s="81">
        <f>IF('Ordenes_Odoo'!K2763="","",'Ordenes_Odoo'!K2763)</f>
        <v/>
      </c>
      <c r="L2763" s="81">
        <f>IF('Ordenes_Odoo'!L2763="","",'Ordenes_Odoo'!L2763)</f>
        <v/>
      </c>
      <c r="M2763" s="79">
        <f>IF('Ordenes_Odoo'!M2763="","",'Ordenes_Odoo'!M2763)</f>
        <v/>
      </c>
      <c r="N2763" s="79">
        <f>IF('Ordenes_Odoo'!N2763="","",'Ordenes_Odoo'!N2763)</f>
        <v/>
      </c>
      <c r="O2763" s="81">
        <f>IF('Ordenes_Odoo'!O2763="","",'Ordenes_Odoo'!O2763)</f>
        <v/>
      </c>
      <c r="P2763" s="81">
        <f>IF('Ordenes_Odoo'!P2763="","",'Ordenes_Odoo'!P2763)</f>
        <v/>
      </c>
      <c r="Q2763" s="79">
        <f>IF(A2763="","",IFERROR(INDEX(Facturas_Odoo!$B:$B, MATCH(A2763, Facturas_Odoo!$D:$D, 0)), "Sin Factura"))</f>
        <v/>
      </c>
      <c r="R2763" s="80">
        <f>IF(Q2763="Sin Factura","",IFERROR(INDEX(Facturas_Odoo!$A:$A, MATCH(Q2763, Facturas_Odoo!$B:$B, 0)), ""))</f>
        <v/>
      </c>
      <c r="S2763" s="79">
        <f>IF(Q2763="Sin Factura","",IFERROR(_xlfn.XLOOKUP(1, (Facturas_Odoo!$D:$D=A2763) * (Facturas_Odoo!$K:$K=I2763), Facturas_Odoo!$L:$L, ""), ""))</f>
        <v/>
      </c>
      <c r="T2763" s="81">
        <f>IF(Q2763="Sin Factura",0,IFERROR(_xlfn.XLOOKUP(1, (Facturas_Odoo!$D:$D=A2763) * (Facturas_Odoo!$K:$K=I2763), Facturas_Odoo!$M:$M, 0), 0))</f>
        <v/>
      </c>
      <c r="U2763" s="79">
        <f>IF(Q2763="Sin Factura",0,IFERROR(_xlfn.XLOOKUP(1, (Facturas_Odoo!$D:$D=A2763) * (Facturas_Odoo!$K:$K=I2763), Facturas_Odoo!$N:$N, 0), 0))</f>
        <v/>
      </c>
      <c r="V2763" s="79">
        <f>IF(Q2763="Sin Factura",0,IFERROR(_xlfn.XLOOKUP(1, (Facturas_Odoo!$D:$D=A2763) * (Facturas_Odoo!$K:$K=I2763), Facturas_Odoo!$O:$O, 0), 0))</f>
        <v/>
      </c>
      <c r="W2763" s="81">
        <f>IF(Q2763="Sin Factura",0,IFERROR(_xlfn.XLOOKUP(1, (Facturas_Odoo!$D:$D=A2763) * (Facturas_Odoo!$K:$K=I2763), Facturas_Odoo!$Q:$Q, 0), 0))</f>
        <v/>
      </c>
      <c r="X2763" s="79">
        <f>IF(OR(Q2763="Sin Factura",Q2763=""),"",IFERROR(INDEX(Pagos_Odoo!$B:$B, MATCH(Q2763, Pagos_Odoo!$I:$I, 0)), "Sin Pago"))</f>
        <v/>
      </c>
      <c r="Y2763" s="79">
        <f>IF(X2763="Sin Pago","",IFERROR(INDEX(Pagos_Odoo!$C:$C, MATCH(X2763, Pagos_Odoo!$B:$B, 0)), ""))</f>
        <v/>
      </c>
      <c r="Z2763" s="80">
        <f>IF(X2763="Sin Pago","",IFERROR(INDEX(Pagos_Odoo!$A:$A, MATCH(X2763, Pagos_Odoo!$B:$B, 0)), ""))</f>
        <v/>
      </c>
      <c r="AA2763" s="79">
        <f>IF(X2763="Sin Pago","",IFERROR(INDEX(Pagos_Odoo!$F:$F, MATCH(X2763, Pagos_Odoo!$B:$B, 0)), ""))</f>
        <v/>
      </c>
      <c r="AB2763" s="81">
        <f>IF(X2763="Sin Pago",0,IFERROR(INDEX(Pagos_Odoo!$E:$E, MATCH(X2763, Pagos_Odoo!$B:$B, 0)), 0))</f>
        <v/>
      </c>
      <c r="AC2763" s="79">
        <f>IF(X2763="Sin Pago","",IFERROR(INDEX(Pagos_Odoo!$G:$G, MATCH(X2763, Pagos_Odoo!$B:$B, 0)), ""))</f>
        <v/>
      </c>
      <c r="AD2763" s="82" t="n">
        <v>0</v>
      </c>
      <c r="AE2763" s="82" t="n"/>
      <c r="AF2763" s="82" t="n"/>
      <c r="AG2763" s="82">
        <f>IF(AN2763="","",AD2763+AE2763+AF2763)</f>
        <v/>
      </c>
      <c r="AH2763" s="81">
        <f>IF(AN2763="","",P2763*(1-AG2763))</f>
        <v/>
      </c>
      <c r="AI2763" s="81">
        <f>IF(AN2763="","",IF(Q2763="Sin Factura",0,IFERROR(INDEX(Facturas_Odoo!$H:$H, MATCH(Q2763, Facturas_Odoo!$B:$B, 0)), 0)*(1-AG2763)))</f>
        <v/>
      </c>
      <c r="AJ2763" s="81">
        <f>IF(AN2763="","",_xlfn.LET(idVenta, AN2763&amp;"",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63" s="81">
        <f>IF(AN2763="","",AH2763-AJ2763)</f>
        <v/>
      </c>
      <c r="AL2763" s="81">
        <f>IF(AN2763="","",IF(Q2763="Sin Factura","",AI2763-AJ2763))</f>
        <v/>
      </c>
      <c r="AM2763" s="81">
        <f>IF(AN2763="","",IF(Q2763="Sin Factura",0,P2763-IFERROR(INDEX(Facturas_Odoo!$H:$H, MATCH(Q2763, Facturas_Odoo!$B:$B, 0)), 0)))</f>
        <v/>
      </c>
      <c r="AN2763" s="79">
        <f>IF(AND(A2763="", J2763=""), "", IF(A2763&lt;&gt;"", VALUE(MID(A2763,2,LEN(A2763))), AN2762))</f>
        <v/>
      </c>
      <c r="AO2763" s="79">
        <f>IF(AN2763="","",IF(AD2763=0,"OK",_xlfn.LET(monedaPago, IF(AA2763="","USD",AA2763), limitePermitido, IFERROR(VLOOKUP(monedaPago, Configuración!$A$2:$B$3, 2, FALSE), 0.15), IF(AD2763&gt;limitePermitido, "ALERTA: EXCESO (" &amp; TEXT(limitePermitido, "0%") &amp; " máx)", "OK"))))</f>
        <v/>
      </c>
      <c r="AP2763" s="79">
        <f>IF(AN2763="","",IF(AE2763=0,"OK",_xlfn.LET(fechaPago, Z2763, fechaFactura, R2763, diasCredito, IF(E2763="Pago inmediato", 0, IFERROR(VALUE(MID(E2763, 1, SEARCH(" ", E2763)-1)),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63" s="79">
        <f>IF(AN2763="","",IF(AND(N2763&gt;0, AG2763&gt;0), IF(Configuración!$K$2="NO", "ALERTA: DESCUENTO DOBLE NO PERMITIDO", "OK"), "OK"))</f>
        <v/>
      </c>
      <c r="AR2763" s="79">
        <f>IF(AN2763="","",IF(OR(AO2763&lt;&gt;"OK", AP2763&lt;&gt;"OK", AQ2763&lt;&gt;"OK"), "⚠️ REVISAR", "OK"))</f>
        <v/>
      </c>
    </row>
    <row r="2764">
      <c r="A2764" s="79">
        <f>IF('Ordenes_Odoo'!A2764="","",'Ordenes_Odoo'!A2764)</f>
        <v/>
      </c>
      <c r="B2764" s="80">
        <f>IF('Ordenes_Odoo'!B2764="","",'Ordenes_Odoo'!B2764)</f>
        <v/>
      </c>
      <c r="C2764" s="79">
        <f>IF('Ordenes_Odoo'!C2764="","",'Ordenes_Odoo'!C2764)</f>
        <v/>
      </c>
      <c r="D2764" s="79">
        <f>IF('Ordenes_Odoo'!D2764="","",'Ordenes_Odoo'!D2764)</f>
        <v/>
      </c>
      <c r="E2764" s="79">
        <f>IF('Ordenes_Odoo'!E2764="","",'Ordenes_Odoo'!E2764)</f>
        <v/>
      </c>
      <c r="F2764" s="79">
        <f>IF('Ordenes_Odoo'!F2764="","",'Ordenes_Odoo'!F2764)</f>
        <v/>
      </c>
      <c r="G2764" s="79">
        <f>IF('Ordenes_Odoo'!G2764="","",'Ordenes_Odoo'!G2764)</f>
        <v/>
      </c>
      <c r="H2764" s="79">
        <f>IF('Ordenes_Odoo'!H2764="","",'Ordenes_Odoo'!H2764)</f>
        <v/>
      </c>
      <c r="I2764" s="79">
        <f>IF('Ordenes_Odoo'!I2764="","",'Ordenes_Odoo'!I2764)</f>
        <v/>
      </c>
      <c r="J2764" s="79">
        <f>IF('Ordenes_Odoo'!J2764="","",'Ordenes_Odoo'!J2764)</f>
        <v/>
      </c>
      <c r="K2764" s="81">
        <f>IF('Ordenes_Odoo'!K2764="","",'Ordenes_Odoo'!K2764)</f>
        <v/>
      </c>
      <c r="L2764" s="81">
        <f>IF('Ordenes_Odoo'!L2764="","",'Ordenes_Odoo'!L2764)</f>
        <v/>
      </c>
      <c r="M2764" s="79">
        <f>IF('Ordenes_Odoo'!M2764="","",'Ordenes_Odoo'!M2764)</f>
        <v/>
      </c>
      <c r="N2764" s="79">
        <f>IF('Ordenes_Odoo'!N2764="","",'Ordenes_Odoo'!N2764)</f>
        <v/>
      </c>
      <c r="O2764" s="81">
        <f>IF('Ordenes_Odoo'!O2764="","",'Ordenes_Odoo'!O2764)</f>
        <v/>
      </c>
      <c r="P2764" s="81">
        <f>IF('Ordenes_Odoo'!P2764="","",'Ordenes_Odoo'!P2764)</f>
        <v/>
      </c>
      <c r="Q2764" s="79">
        <f>IF(A2764="","",IFERROR(INDEX(Facturas_Odoo!$B:$B, MATCH(A2764, Facturas_Odoo!$D:$D, 0)), "Sin Factura"))</f>
        <v/>
      </c>
      <c r="R2764" s="80">
        <f>IF(Q2764="Sin Factura","",IFERROR(INDEX(Facturas_Odoo!$A:$A, MATCH(Q2764, Facturas_Odoo!$B:$B, 0)), ""))</f>
        <v/>
      </c>
      <c r="S2764" s="79">
        <f>IF(Q2764="Sin Factura","",IFERROR(_xlfn.XLOOKUP(1, (Facturas_Odoo!$D:$D=A2764) * (Facturas_Odoo!$K:$K=I2764), Facturas_Odoo!$L:$L, ""), ""))</f>
        <v/>
      </c>
      <c r="T2764" s="81">
        <f>IF(Q2764="Sin Factura",0,IFERROR(_xlfn.XLOOKUP(1, (Facturas_Odoo!$D:$D=A2764) * (Facturas_Odoo!$K:$K=I2764), Facturas_Odoo!$M:$M, 0), 0))</f>
        <v/>
      </c>
      <c r="U2764" s="79">
        <f>IF(Q2764="Sin Factura",0,IFERROR(_xlfn.XLOOKUP(1, (Facturas_Odoo!$D:$D=A2764) * (Facturas_Odoo!$K:$K=I2764), Facturas_Odoo!$N:$N, 0), 0))</f>
        <v/>
      </c>
      <c r="V2764" s="79">
        <f>IF(Q2764="Sin Factura",0,IFERROR(_xlfn.XLOOKUP(1, (Facturas_Odoo!$D:$D=A2764) * (Facturas_Odoo!$K:$K=I2764), Facturas_Odoo!$O:$O, 0), 0))</f>
        <v/>
      </c>
      <c r="W2764" s="81">
        <f>IF(Q2764="Sin Factura",0,IFERROR(_xlfn.XLOOKUP(1, (Facturas_Odoo!$D:$D=A2764) * (Facturas_Odoo!$K:$K=I2764), Facturas_Odoo!$Q:$Q, 0), 0))</f>
        <v/>
      </c>
      <c r="X2764" s="79">
        <f>IF(OR(Q2764="Sin Factura",Q2764=""),"",IFERROR(INDEX(Pagos_Odoo!$B:$B, MATCH(Q2764, Pagos_Odoo!$I:$I, 0)), "Sin Pago"))</f>
        <v/>
      </c>
      <c r="Y2764" s="79">
        <f>IF(X2764="Sin Pago","",IFERROR(INDEX(Pagos_Odoo!$C:$C, MATCH(X2764, Pagos_Odoo!$B:$B, 0)), ""))</f>
        <v/>
      </c>
      <c r="Z2764" s="80">
        <f>IF(X2764="Sin Pago","",IFERROR(INDEX(Pagos_Odoo!$A:$A, MATCH(X2764, Pagos_Odoo!$B:$B, 0)), ""))</f>
        <v/>
      </c>
      <c r="AA2764" s="79">
        <f>IF(X2764="Sin Pago","",IFERROR(INDEX(Pagos_Odoo!$F:$F, MATCH(X2764, Pagos_Odoo!$B:$B, 0)), ""))</f>
        <v/>
      </c>
      <c r="AB2764" s="81">
        <f>IF(X2764="Sin Pago",0,IFERROR(INDEX(Pagos_Odoo!$E:$E, MATCH(X2764, Pagos_Odoo!$B:$B, 0)), 0))</f>
        <v/>
      </c>
      <c r="AC2764" s="79">
        <f>IF(X2764="Sin Pago","",IFERROR(INDEX(Pagos_Odoo!$G:$G, MATCH(X2764, Pagos_Odoo!$B:$B, 0)), ""))</f>
        <v/>
      </c>
      <c r="AD2764" s="82" t="n">
        <v>0</v>
      </c>
      <c r="AE2764" s="82" t="n"/>
      <c r="AF2764" s="82" t="n"/>
      <c r="AG2764" s="82">
        <f>IF(AN2764="","",AD2764+AE2764+AF2764)</f>
        <v/>
      </c>
      <c r="AH2764" s="81">
        <f>IF(AN2764="","",P2764*(1-AG2764))</f>
        <v/>
      </c>
      <c r="AI2764" s="81">
        <f>IF(AN2764="","",IF(Q2764="Sin Factura",0,IFERROR(INDEX(Facturas_Odoo!$H:$H, MATCH(Q2764, Facturas_Odoo!$B:$B, 0)), 0)*(1-AG2764)))</f>
        <v/>
      </c>
      <c r="AJ2764" s="81">
        <f>IF(AN2764="","",_xlfn.LET(idVenta, AN2764&amp;"",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64" s="81">
        <f>IF(AN2764="","",AH2764-AJ2764)</f>
        <v/>
      </c>
      <c r="AL2764" s="81">
        <f>IF(AN2764="","",IF(Q2764="Sin Factura","",AI2764-AJ2764))</f>
        <v/>
      </c>
      <c r="AM2764" s="81">
        <f>IF(AN2764="","",IF(Q2764="Sin Factura",0,P2764-IFERROR(INDEX(Facturas_Odoo!$H:$H, MATCH(Q2764, Facturas_Odoo!$B:$B, 0)), 0)))</f>
        <v/>
      </c>
      <c r="AN2764" s="79">
        <f>IF(AND(A2764="", J2764=""), "", IF(A2764&lt;&gt;"", VALUE(MID(A2764,2,LEN(A2764))), AN2763))</f>
        <v/>
      </c>
      <c r="AO2764" s="79">
        <f>IF(AN2764="","",IF(AD2764=0,"OK",_xlfn.LET(monedaPago, IF(AA2764="","USD",AA2764), limitePermitido, IFERROR(VLOOKUP(monedaPago, Configuración!$A$2:$B$3, 2, FALSE), 0.15), IF(AD2764&gt;limitePermitido, "ALERTA: EXCESO (" &amp; TEXT(limitePermitido, "0%") &amp; " máx)", "OK"))))</f>
        <v/>
      </c>
      <c r="AP2764" s="79">
        <f>IF(AN2764="","",IF(AE2764=0,"OK",_xlfn.LET(fechaPago, Z2764, fechaFactura, R2764, diasCredito, IF(E2764="Pago inmediato", 0, IFERROR(VALUE(MID(E2764, 1, SEARCH(" ", E2764)-1)),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64" s="79">
        <f>IF(AN2764="","",IF(AND(N2764&gt;0, AG2764&gt;0), IF(Configuración!$K$2="NO", "ALERTA: DESCUENTO DOBLE NO PERMITIDO", "OK"), "OK"))</f>
        <v/>
      </c>
      <c r="AR2764" s="79">
        <f>IF(AN2764="","",IF(OR(AO2764&lt;&gt;"OK", AP2764&lt;&gt;"OK", AQ2764&lt;&gt;"OK"), "⚠️ REVISAR", "OK"))</f>
        <v/>
      </c>
    </row>
    <row r="2765">
      <c r="A2765" s="79">
        <f>IF('Ordenes_Odoo'!A2765="","",'Ordenes_Odoo'!A2765)</f>
        <v/>
      </c>
      <c r="B2765" s="80">
        <f>IF('Ordenes_Odoo'!B2765="","",'Ordenes_Odoo'!B2765)</f>
        <v/>
      </c>
      <c r="C2765" s="79">
        <f>IF('Ordenes_Odoo'!C2765="","",'Ordenes_Odoo'!C2765)</f>
        <v/>
      </c>
      <c r="D2765" s="79">
        <f>IF('Ordenes_Odoo'!D2765="","",'Ordenes_Odoo'!D2765)</f>
        <v/>
      </c>
      <c r="E2765" s="79">
        <f>IF('Ordenes_Odoo'!E2765="","",'Ordenes_Odoo'!E2765)</f>
        <v/>
      </c>
      <c r="F2765" s="79">
        <f>IF('Ordenes_Odoo'!F2765="","",'Ordenes_Odoo'!F2765)</f>
        <v/>
      </c>
      <c r="G2765" s="79">
        <f>IF('Ordenes_Odoo'!G2765="","",'Ordenes_Odoo'!G2765)</f>
        <v/>
      </c>
      <c r="H2765" s="79">
        <f>IF('Ordenes_Odoo'!H2765="","",'Ordenes_Odoo'!H2765)</f>
        <v/>
      </c>
      <c r="I2765" s="79">
        <f>IF('Ordenes_Odoo'!I2765="","",'Ordenes_Odoo'!I2765)</f>
        <v/>
      </c>
      <c r="J2765" s="79">
        <f>IF('Ordenes_Odoo'!J2765="","",'Ordenes_Odoo'!J2765)</f>
        <v/>
      </c>
      <c r="K2765" s="81">
        <f>IF('Ordenes_Odoo'!K2765="","",'Ordenes_Odoo'!K2765)</f>
        <v/>
      </c>
      <c r="L2765" s="81">
        <f>IF('Ordenes_Odoo'!L2765="","",'Ordenes_Odoo'!L2765)</f>
        <v/>
      </c>
      <c r="M2765" s="79">
        <f>IF('Ordenes_Odoo'!M2765="","",'Ordenes_Odoo'!M2765)</f>
        <v/>
      </c>
      <c r="N2765" s="79">
        <f>IF('Ordenes_Odoo'!N2765="","",'Ordenes_Odoo'!N2765)</f>
        <v/>
      </c>
      <c r="O2765" s="81">
        <f>IF('Ordenes_Odoo'!O2765="","",'Ordenes_Odoo'!O2765)</f>
        <v/>
      </c>
      <c r="P2765" s="81">
        <f>IF('Ordenes_Odoo'!P2765="","",'Ordenes_Odoo'!P2765)</f>
        <v/>
      </c>
      <c r="Q2765" s="79">
        <f>IF(A2765="","",IFERROR(INDEX(Facturas_Odoo!$B:$B, MATCH(A2765, Facturas_Odoo!$D:$D, 0)), "Sin Factura"))</f>
        <v/>
      </c>
      <c r="R2765" s="80">
        <f>IF(Q2765="Sin Factura","",IFERROR(INDEX(Facturas_Odoo!$A:$A, MATCH(Q2765, Facturas_Odoo!$B:$B, 0)), ""))</f>
        <v/>
      </c>
      <c r="S2765" s="79">
        <f>IF(Q2765="Sin Factura","",IFERROR(_xlfn.XLOOKUP(1, (Facturas_Odoo!$D:$D=A2765) * (Facturas_Odoo!$K:$K=I2765), Facturas_Odoo!$L:$L, ""), ""))</f>
        <v/>
      </c>
      <c r="T2765" s="81">
        <f>IF(Q2765="Sin Factura",0,IFERROR(_xlfn.XLOOKUP(1, (Facturas_Odoo!$D:$D=A2765) * (Facturas_Odoo!$K:$K=I2765), Facturas_Odoo!$M:$M, 0), 0))</f>
        <v/>
      </c>
      <c r="U2765" s="79">
        <f>IF(Q2765="Sin Factura",0,IFERROR(_xlfn.XLOOKUP(1, (Facturas_Odoo!$D:$D=A2765) * (Facturas_Odoo!$K:$K=I2765), Facturas_Odoo!$N:$N, 0), 0))</f>
        <v/>
      </c>
      <c r="V2765" s="79">
        <f>IF(Q2765="Sin Factura",0,IFERROR(_xlfn.XLOOKUP(1, (Facturas_Odoo!$D:$D=A2765) * (Facturas_Odoo!$K:$K=I2765), Facturas_Odoo!$O:$O, 0), 0))</f>
        <v/>
      </c>
      <c r="W2765" s="81">
        <f>IF(Q2765="Sin Factura",0,IFERROR(_xlfn.XLOOKUP(1, (Facturas_Odoo!$D:$D=A2765) * (Facturas_Odoo!$K:$K=I2765), Facturas_Odoo!$Q:$Q, 0), 0))</f>
        <v/>
      </c>
      <c r="X2765" s="79">
        <f>IF(OR(Q2765="Sin Factura",Q2765=""),"",IFERROR(INDEX(Pagos_Odoo!$B:$B, MATCH(Q2765, Pagos_Odoo!$I:$I, 0)), "Sin Pago"))</f>
        <v/>
      </c>
      <c r="Y2765" s="79">
        <f>IF(X2765="Sin Pago","",IFERROR(INDEX(Pagos_Odoo!$C:$C, MATCH(X2765, Pagos_Odoo!$B:$B, 0)), ""))</f>
        <v/>
      </c>
      <c r="Z2765" s="80">
        <f>IF(X2765="Sin Pago","",IFERROR(INDEX(Pagos_Odoo!$A:$A, MATCH(X2765, Pagos_Odoo!$B:$B, 0)), ""))</f>
        <v/>
      </c>
      <c r="AA2765" s="79">
        <f>IF(X2765="Sin Pago","",IFERROR(INDEX(Pagos_Odoo!$F:$F, MATCH(X2765, Pagos_Odoo!$B:$B, 0)), ""))</f>
        <v/>
      </c>
      <c r="AB2765" s="81">
        <f>IF(X2765="Sin Pago",0,IFERROR(INDEX(Pagos_Odoo!$E:$E, MATCH(X2765, Pagos_Odoo!$B:$B, 0)), 0))</f>
        <v/>
      </c>
      <c r="AC2765" s="79">
        <f>IF(X2765="Sin Pago","",IFERROR(INDEX(Pagos_Odoo!$G:$G, MATCH(X2765, Pagos_Odoo!$B:$B, 0)), ""))</f>
        <v/>
      </c>
      <c r="AD2765" s="82" t="n">
        <v>0</v>
      </c>
      <c r="AE2765" s="82" t="n"/>
      <c r="AF2765" s="82" t="n"/>
      <c r="AG2765" s="82">
        <f>IF(AN2765="","",AD2765+AE2765+AF2765)</f>
        <v/>
      </c>
      <c r="AH2765" s="81">
        <f>IF(AN2765="","",P2765*(1-AG2765))</f>
        <v/>
      </c>
      <c r="AI2765" s="81">
        <f>IF(AN2765="","",IF(Q2765="Sin Factura",0,IFERROR(INDEX(Facturas_Odoo!$H:$H, MATCH(Q2765, Facturas_Odoo!$B:$B, 0)), 0)*(1-AG2765)))</f>
        <v/>
      </c>
      <c r="AJ2765" s="81">
        <f>IF(AN2765="","",_xlfn.LET(idVenta, AN2765&amp;"",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65" s="81">
        <f>IF(AN2765="","",AH2765-AJ2765)</f>
        <v/>
      </c>
      <c r="AL2765" s="81">
        <f>IF(AN2765="","",IF(Q2765="Sin Factura","",AI2765-AJ2765))</f>
        <v/>
      </c>
      <c r="AM2765" s="81">
        <f>IF(AN2765="","",IF(Q2765="Sin Factura",0,P2765-IFERROR(INDEX(Facturas_Odoo!$H:$H, MATCH(Q2765, Facturas_Odoo!$B:$B, 0)), 0)))</f>
        <v/>
      </c>
      <c r="AN2765" s="79">
        <f>IF(AND(A2765="", J2765=""), "", IF(A2765&lt;&gt;"", VALUE(MID(A2765,2,LEN(A2765))), AN2764))</f>
        <v/>
      </c>
      <c r="AO2765" s="79">
        <f>IF(AN2765="","",IF(AD2765=0,"OK",_xlfn.LET(monedaPago, IF(AA2765="","USD",AA2765), limitePermitido, IFERROR(VLOOKUP(monedaPago, Configuración!$A$2:$B$3, 2, FALSE), 0.15), IF(AD2765&gt;limitePermitido, "ALERTA: EXCESO (" &amp; TEXT(limitePermitido, "0%") &amp; " máx)", "OK"))))</f>
        <v/>
      </c>
      <c r="AP2765" s="79">
        <f>IF(AN2765="","",IF(AE2765=0,"OK",_xlfn.LET(fechaPago, Z2765, fechaFactura, R2765, diasCredito, IF(E2765="Pago inmediato", 0, IFERROR(VALUE(MID(E2765, 1, SEARCH(" ", E2765)-1)),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65" s="79">
        <f>IF(AN2765="","",IF(AND(N2765&gt;0, AG2765&gt;0), IF(Configuración!$K$2="NO", "ALERTA: DESCUENTO DOBLE NO PERMITIDO", "OK"), "OK"))</f>
        <v/>
      </c>
      <c r="AR2765" s="79">
        <f>IF(AN2765="","",IF(OR(AO2765&lt;&gt;"OK", AP2765&lt;&gt;"OK", AQ2765&lt;&gt;"OK"), "⚠️ REVISAR", "OK"))</f>
        <v/>
      </c>
    </row>
    <row r="2766">
      <c r="A2766" s="79">
        <f>IF('Ordenes_Odoo'!A2766="","",'Ordenes_Odoo'!A2766)</f>
        <v/>
      </c>
      <c r="B2766" s="80">
        <f>IF('Ordenes_Odoo'!B2766="","",'Ordenes_Odoo'!B2766)</f>
        <v/>
      </c>
      <c r="C2766" s="79">
        <f>IF('Ordenes_Odoo'!C2766="","",'Ordenes_Odoo'!C2766)</f>
        <v/>
      </c>
      <c r="D2766" s="79">
        <f>IF('Ordenes_Odoo'!D2766="","",'Ordenes_Odoo'!D2766)</f>
        <v/>
      </c>
      <c r="E2766" s="79">
        <f>IF('Ordenes_Odoo'!E2766="","",'Ordenes_Odoo'!E2766)</f>
        <v/>
      </c>
      <c r="F2766" s="79">
        <f>IF('Ordenes_Odoo'!F2766="","",'Ordenes_Odoo'!F2766)</f>
        <v/>
      </c>
      <c r="G2766" s="79">
        <f>IF('Ordenes_Odoo'!G2766="","",'Ordenes_Odoo'!G2766)</f>
        <v/>
      </c>
      <c r="H2766" s="79">
        <f>IF('Ordenes_Odoo'!H2766="","",'Ordenes_Odoo'!H2766)</f>
        <v/>
      </c>
      <c r="I2766" s="79">
        <f>IF('Ordenes_Odoo'!I2766="","",'Ordenes_Odoo'!I2766)</f>
        <v/>
      </c>
      <c r="J2766" s="79">
        <f>IF('Ordenes_Odoo'!J2766="","",'Ordenes_Odoo'!J2766)</f>
        <v/>
      </c>
      <c r="K2766" s="81">
        <f>IF('Ordenes_Odoo'!K2766="","",'Ordenes_Odoo'!K2766)</f>
        <v/>
      </c>
      <c r="L2766" s="81">
        <f>IF('Ordenes_Odoo'!L2766="","",'Ordenes_Odoo'!L2766)</f>
        <v/>
      </c>
      <c r="M2766" s="79">
        <f>IF('Ordenes_Odoo'!M2766="","",'Ordenes_Odoo'!M2766)</f>
        <v/>
      </c>
      <c r="N2766" s="79">
        <f>IF('Ordenes_Odoo'!N2766="","",'Ordenes_Odoo'!N2766)</f>
        <v/>
      </c>
      <c r="O2766" s="81">
        <f>IF('Ordenes_Odoo'!O2766="","",'Ordenes_Odoo'!O2766)</f>
        <v/>
      </c>
      <c r="P2766" s="81">
        <f>IF('Ordenes_Odoo'!P2766="","",'Ordenes_Odoo'!P2766)</f>
        <v/>
      </c>
      <c r="Q2766" s="79">
        <f>IF(A2766="","",IFERROR(INDEX(Facturas_Odoo!$B:$B, MATCH(A2766, Facturas_Odoo!$D:$D, 0)), "Sin Factura"))</f>
        <v/>
      </c>
      <c r="R2766" s="80">
        <f>IF(Q2766="Sin Factura","",IFERROR(INDEX(Facturas_Odoo!$A:$A, MATCH(Q2766, Facturas_Odoo!$B:$B, 0)), ""))</f>
        <v/>
      </c>
      <c r="S2766" s="79">
        <f>IF(Q2766="Sin Factura","",IFERROR(_xlfn.XLOOKUP(1, (Facturas_Odoo!$D:$D=A2766) * (Facturas_Odoo!$K:$K=I2766), Facturas_Odoo!$L:$L, ""), ""))</f>
        <v/>
      </c>
      <c r="T2766" s="81">
        <f>IF(Q2766="Sin Factura",0,IFERROR(_xlfn.XLOOKUP(1, (Facturas_Odoo!$D:$D=A2766) * (Facturas_Odoo!$K:$K=I2766), Facturas_Odoo!$M:$M, 0), 0))</f>
        <v/>
      </c>
      <c r="U2766" s="79">
        <f>IF(Q2766="Sin Factura",0,IFERROR(_xlfn.XLOOKUP(1, (Facturas_Odoo!$D:$D=A2766) * (Facturas_Odoo!$K:$K=I2766), Facturas_Odoo!$N:$N, 0), 0))</f>
        <v/>
      </c>
      <c r="V2766" s="79">
        <f>IF(Q2766="Sin Factura",0,IFERROR(_xlfn.XLOOKUP(1, (Facturas_Odoo!$D:$D=A2766) * (Facturas_Odoo!$K:$K=I2766), Facturas_Odoo!$O:$O, 0), 0))</f>
        <v/>
      </c>
      <c r="W2766" s="81">
        <f>IF(Q2766="Sin Factura",0,IFERROR(_xlfn.XLOOKUP(1, (Facturas_Odoo!$D:$D=A2766) * (Facturas_Odoo!$K:$K=I2766), Facturas_Odoo!$Q:$Q, 0), 0))</f>
        <v/>
      </c>
      <c r="X2766" s="79">
        <f>IF(OR(Q2766="Sin Factura",Q2766=""),"",IFERROR(INDEX(Pagos_Odoo!$B:$B, MATCH(Q2766, Pagos_Odoo!$I:$I, 0)), "Sin Pago"))</f>
        <v/>
      </c>
      <c r="Y2766" s="79">
        <f>IF(X2766="Sin Pago","",IFERROR(INDEX(Pagos_Odoo!$C:$C, MATCH(X2766, Pagos_Odoo!$B:$B, 0)), ""))</f>
        <v/>
      </c>
      <c r="Z2766" s="80">
        <f>IF(X2766="Sin Pago","",IFERROR(INDEX(Pagos_Odoo!$A:$A, MATCH(X2766, Pagos_Odoo!$B:$B, 0)), ""))</f>
        <v/>
      </c>
      <c r="AA2766" s="79">
        <f>IF(X2766="Sin Pago","",IFERROR(INDEX(Pagos_Odoo!$F:$F, MATCH(X2766, Pagos_Odoo!$B:$B, 0)), ""))</f>
        <v/>
      </c>
      <c r="AB2766" s="81">
        <f>IF(X2766="Sin Pago",0,IFERROR(INDEX(Pagos_Odoo!$E:$E, MATCH(X2766, Pagos_Odoo!$B:$B, 0)), 0))</f>
        <v/>
      </c>
      <c r="AC2766" s="79">
        <f>IF(X2766="Sin Pago","",IFERROR(INDEX(Pagos_Odoo!$G:$G, MATCH(X2766, Pagos_Odoo!$B:$B, 0)), ""))</f>
        <v/>
      </c>
      <c r="AD2766" s="82" t="n">
        <v>0</v>
      </c>
      <c r="AE2766" s="82" t="n"/>
      <c r="AF2766" s="82" t="n"/>
      <c r="AG2766" s="82">
        <f>IF(AN2766="","",AD2766+AE2766+AF2766)</f>
        <v/>
      </c>
      <c r="AH2766" s="81">
        <f>IF(AN2766="","",P2766*(1-AG2766))</f>
        <v/>
      </c>
      <c r="AI2766" s="81">
        <f>IF(AN2766="","",IF(Q2766="Sin Factura",0,IFERROR(INDEX(Facturas_Odoo!$H:$H, MATCH(Q2766, Facturas_Odoo!$B:$B, 0)), 0)*(1-AG2766)))</f>
        <v/>
      </c>
      <c r="AJ2766" s="81">
        <f>IF(AN2766="","",_xlfn.LET(idVenta, AN2766&amp;"",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66" s="81">
        <f>IF(AN2766="","",AH2766-AJ2766)</f>
        <v/>
      </c>
      <c r="AL2766" s="81">
        <f>IF(AN2766="","",IF(Q2766="Sin Factura","",AI2766-AJ2766))</f>
        <v/>
      </c>
      <c r="AM2766" s="81">
        <f>IF(AN2766="","",IF(Q2766="Sin Factura",0,P2766-IFERROR(INDEX(Facturas_Odoo!$H:$H, MATCH(Q2766, Facturas_Odoo!$B:$B, 0)), 0)))</f>
        <v/>
      </c>
      <c r="AN2766" s="79">
        <f>IF(AND(A2766="", J2766=""), "", IF(A2766&lt;&gt;"", VALUE(MID(A2766,2,LEN(A2766))), AN2765))</f>
        <v/>
      </c>
      <c r="AO2766" s="79">
        <f>IF(AN2766="","",IF(AD2766=0,"OK",_xlfn.LET(monedaPago, IF(AA2766="","USD",AA2766), limitePermitido, IFERROR(VLOOKUP(monedaPago, Configuración!$A$2:$B$3, 2, FALSE), 0.15), IF(AD2766&gt;limitePermitido, "ALERTA: EXCESO (" &amp; TEXT(limitePermitido, "0%") &amp; " máx)", "OK"))))</f>
        <v/>
      </c>
      <c r="AP2766" s="79">
        <f>IF(AN2766="","",IF(AE2766=0,"OK",_xlfn.LET(fechaPago, Z2766, fechaFactura, R2766, diasCredito, IF(E2766="Pago inmediato", 0, IFERROR(VALUE(MID(E2766, 1, SEARCH(" ", E2766)-1)),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66" s="79">
        <f>IF(AN2766="","",IF(AND(N2766&gt;0, AG2766&gt;0), IF(Configuración!$K$2="NO", "ALERTA: DESCUENTO DOBLE NO PERMITIDO", "OK"), "OK"))</f>
        <v/>
      </c>
      <c r="AR2766" s="79">
        <f>IF(AN2766="","",IF(OR(AO2766&lt;&gt;"OK", AP2766&lt;&gt;"OK", AQ2766&lt;&gt;"OK"), "⚠️ REVISAR", "OK"))</f>
        <v/>
      </c>
    </row>
    <row r="2767">
      <c r="A2767" s="79">
        <f>IF('Ordenes_Odoo'!A2767="","",'Ordenes_Odoo'!A2767)</f>
        <v/>
      </c>
      <c r="B2767" s="80">
        <f>IF('Ordenes_Odoo'!B2767="","",'Ordenes_Odoo'!B2767)</f>
        <v/>
      </c>
      <c r="C2767" s="79">
        <f>IF('Ordenes_Odoo'!C2767="","",'Ordenes_Odoo'!C2767)</f>
        <v/>
      </c>
      <c r="D2767" s="79">
        <f>IF('Ordenes_Odoo'!D2767="","",'Ordenes_Odoo'!D2767)</f>
        <v/>
      </c>
      <c r="E2767" s="79">
        <f>IF('Ordenes_Odoo'!E2767="","",'Ordenes_Odoo'!E2767)</f>
        <v/>
      </c>
      <c r="F2767" s="79">
        <f>IF('Ordenes_Odoo'!F2767="","",'Ordenes_Odoo'!F2767)</f>
        <v/>
      </c>
      <c r="G2767" s="79">
        <f>IF('Ordenes_Odoo'!G2767="","",'Ordenes_Odoo'!G2767)</f>
        <v/>
      </c>
      <c r="H2767" s="79">
        <f>IF('Ordenes_Odoo'!H2767="","",'Ordenes_Odoo'!H2767)</f>
        <v/>
      </c>
      <c r="I2767" s="79">
        <f>IF('Ordenes_Odoo'!I2767="","",'Ordenes_Odoo'!I2767)</f>
        <v/>
      </c>
      <c r="J2767" s="79">
        <f>IF('Ordenes_Odoo'!J2767="","",'Ordenes_Odoo'!J2767)</f>
        <v/>
      </c>
      <c r="K2767" s="81">
        <f>IF('Ordenes_Odoo'!K2767="","",'Ordenes_Odoo'!K2767)</f>
        <v/>
      </c>
      <c r="L2767" s="81">
        <f>IF('Ordenes_Odoo'!L2767="","",'Ordenes_Odoo'!L2767)</f>
        <v/>
      </c>
      <c r="M2767" s="79">
        <f>IF('Ordenes_Odoo'!M2767="","",'Ordenes_Odoo'!M2767)</f>
        <v/>
      </c>
      <c r="N2767" s="79">
        <f>IF('Ordenes_Odoo'!N2767="","",'Ordenes_Odoo'!N2767)</f>
        <v/>
      </c>
      <c r="O2767" s="81">
        <f>IF('Ordenes_Odoo'!O2767="","",'Ordenes_Odoo'!O2767)</f>
        <v/>
      </c>
      <c r="P2767" s="81">
        <f>IF('Ordenes_Odoo'!P2767="","",'Ordenes_Odoo'!P2767)</f>
        <v/>
      </c>
      <c r="Q2767" s="79">
        <f>IF(A2767="","",IFERROR(INDEX(Facturas_Odoo!$B:$B, MATCH(A2767, Facturas_Odoo!$D:$D, 0)), "Sin Factura"))</f>
        <v/>
      </c>
      <c r="R2767" s="80">
        <f>IF(Q2767="Sin Factura","",IFERROR(INDEX(Facturas_Odoo!$A:$A, MATCH(Q2767, Facturas_Odoo!$B:$B, 0)), ""))</f>
        <v/>
      </c>
      <c r="S2767" s="79">
        <f>IF(Q2767="Sin Factura","",IFERROR(_xlfn.XLOOKUP(1, (Facturas_Odoo!$D:$D=A2767) * (Facturas_Odoo!$K:$K=I2767), Facturas_Odoo!$L:$L, ""), ""))</f>
        <v/>
      </c>
      <c r="T2767" s="81">
        <f>IF(Q2767="Sin Factura",0,IFERROR(_xlfn.XLOOKUP(1, (Facturas_Odoo!$D:$D=A2767) * (Facturas_Odoo!$K:$K=I2767), Facturas_Odoo!$M:$M, 0), 0))</f>
        <v/>
      </c>
      <c r="U2767" s="79">
        <f>IF(Q2767="Sin Factura",0,IFERROR(_xlfn.XLOOKUP(1, (Facturas_Odoo!$D:$D=A2767) * (Facturas_Odoo!$K:$K=I2767), Facturas_Odoo!$N:$N, 0), 0))</f>
        <v/>
      </c>
      <c r="V2767" s="79">
        <f>IF(Q2767="Sin Factura",0,IFERROR(_xlfn.XLOOKUP(1, (Facturas_Odoo!$D:$D=A2767) * (Facturas_Odoo!$K:$K=I2767), Facturas_Odoo!$O:$O, 0), 0))</f>
        <v/>
      </c>
      <c r="W2767" s="81">
        <f>IF(Q2767="Sin Factura",0,IFERROR(_xlfn.XLOOKUP(1, (Facturas_Odoo!$D:$D=A2767) * (Facturas_Odoo!$K:$K=I2767), Facturas_Odoo!$Q:$Q, 0), 0))</f>
        <v/>
      </c>
      <c r="X2767" s="79">
        <f>IF(OR(Q2767="Sin Factura",Q2767=""),"",IFERROR(INDEX(Pagos_Odoo!$B:$B, MATCH(Q2767, Pagos_Odoo!$I:$I, 0)), "Sin Pago"))</f>
        <v/>
      </c>
      <c r="Y2767" s="79">
        <f>IF(X2767="Sin Pago","",IFERROR(INDEX(Pagos_Odoo!$C:$C, MATCH(X2767, Pagos_Odoo!$B:$B, 0)), ""))</f>
        <v/>
      </c>
      <c r="Z2767" s="80">
        <f>IF(X2767="Sin Pago","",IFERROR(INDEX(Pagos_Odoo!$A:$A, MATCH(X2767, Pagos_Odoo!$B:$B, 0)), ""))</f>
        <v/>
      </c>
      <c r="AA2767" s="79">
        <f>IF(X2767="Sin Pago","",IFERROR(INDEX(Pagos_Odoo!$F:$F, MATCH(X2767, Pagos_Odoo!$B:$B, 0)), ""))</f>
        <v/>
      </c>
      <c r="AB2767" s="81">
        <f>IF(X2767="Sin Pago",0,IFERROR(INDEX(Pagos_Odoo!$E:$E, MATCH(X2767, Pagos_Odoo!$B:$B, 0)), 0))</f>
        <v/>
      </c>
      <c r="AC2767" s="79">
        <f>IF(X2767="Sin Pago","",IFERROR(INDEX(Pagos_Odoo!$G:$G, MATCH(X2767, Pagos_Odoo!$B:$B, 0)), ""))</f>
        <v/>
      </c>
      <c r="AD2767" s="82" t="n">
        <v>0</v>
      </c>
      <c r="AE2767" s="82" t="n"/>
      <c r="AF2767" s="82" t="n"/>
      <c r="AG2767" s="82">
        <f>IF(AN2767="","",AD2767+AE2767+AF2767)</f>
        <v/>
      </c>
      <c r="AH2767" s="81">
        <f>IF(AN2767="","",P2767*(1-AG2767))</f>
        <v/>
      </c>
      <c r="AI2767" s="81">
        <f>IF(AN2767="","",IF(Q2767="Sin Factura",0,IFERROR(INDEX(Facturas_Odoo!$H:$H, MATCH(Q2767, Facturas_Odoo!$B:$B, 0)), 0)*(1-AG2767)))</f>
        <v/>
      </c>
      <c r="AJ2767" s="81">
        <f>IF(AN2767="","",_xlfn.LET(idVenta, AN2767&amp;"",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67" s="81">
        <f>IF(AN2767="","",AH2767-AJ2767)</f>
        <v/>
      </c>
      <c r="AL2767" s="81">
        <f>IF(AN2767="","",IF(Q2767="Sin Factura","",AI2767-AJ2767))</f>
        <v/>
      </c>
      <c r="AM2767" s="81">
        <f>IF(AN2767="","",IF(Q2767="Sin Factura",0,P2767-IFERROR(INDEX(Facturas_Odoo!$H:$H, MATCH(Q2767, Facturas_Odoo!$B:$B, 0)), 0)))</f>
        <v/>
      </c>
      <c r="AN2767" s="79">
        <f>IF(AND(A2767="", J2767=""), "", IF(A2767&lt;&gt;"", VALUE(MID(A2767,2,LEN(A2767))), AN2766))</f>
        <v/>
      </c>
      <c r="AO2767" s="79">
        <f>IF(AN2767="","",IF(AD2767=0,"OK",_xlfn.LET(monedaPago, IF(AA2767="","USD",AA2767), limitePermitido, IFERROR(VLOOKUP(monedaPago, Configuración!$A$2:$B$3, 2, FALSE), 0.15), IF(AD2767&gt;limitePermitido, "ALERTA: EXCESO (" &amp; TEXT(limitePermitido, "0%") &amp; " máx)", "OK"))))</f>
        <v/>
      </c>
      <c r="AP2767" s="79">
        <f>IF(AN2767="","",IF(AE2767=0,"OK",_xlfn.LET(fechaPago, Z2767, fechaFactura, R2767, diasCredito, IF(E2767="Pago inmediato", 0, IFERROR(VALUE(MID(E2767, 1, SEARCH(" ", E2767)-1)),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67" s="79">
        <f>IF(AN2767="","",IF(AND(N2767&gt;0, AG2767&gt;0), IF(Configuración!$K$2="NO", "ALERTA: DESCUENTO DOBLE NO PERMITIDO", "OK"), "OK"))</f>
        <v/>
      </c>
      <c r="AR2767" s="79">
        <f>IF(AN2767="","",IF(OR(AO2767&lt;&gt;"OK", AP2767&lt;&gt;"OK", AQ2767&lt;&gt;"OK"), "⚠️ REVISAR", "OK"))</f>
        <v/>
      </c>
    </row>
    <row r="2768">
      <c r="A2768" s="79">
        <f>IF('Ordenes_Odoo'!A2768="","",'Ordenes_Odoo'!A2768)</f>
        <v/>
      </c>
      <c r="B2768" s="80">
        <f>IF('Ordenes_Odoo'!B2768="","",'Ordenes_Odoo'!B2768)</f>
        <v/>
      </c>
      <c r="C2768" s="79">
        <f>IF('Ordenes_Odoo'!C2768="","",'Ordenes_Odoo'!C2768)</f>
        <v/>
      </c>
      <c r="D2768" s="79">
        <f>IF('Ordenes_Odoo'!D2768="","",'Ordenes_Odoo'!D2768)</f>
        <v/>
      </c>
      <c r="E2768" s="79">
        <f>IF('Ordenes_Odoo'!E2768="","",'Ordenes_Odoo'!E2768)</f>
        <v/>
      </c>
      <c r="F2768" s="79">
        <f>IF('Ordenes_Odoo'!F2768="","",'Ordenes_Odoo'!F2768)</f>
        <v/>
      </c>
      <c r="G2768" s="79">
        <f>IF('Ordenes_Odoo'!G2768="","",'Ordenes_Odoo'!G2768)</f>
        <v/>
      </c>
      <c r="H2768" s="79">
        <f>IF('Ordenes_Odoo'!H2768="","",'Ordenes_Odoo'!H2768)</f>
        <v/>
      </c>
      <c r="I2768" s="79">
        <f>IF('Ordenes_Odoo'!I2768="","",'Ordenes_Odoo'!I2768)</f>
        <v/>
      </c>
      <c r="J2768" s="79">
        <f>IF('Ordenes_Odoo'!J2768="","",'Ordenes_Odoo'!J2768)</f>
        <v/>
      </c>
      <c r="K2768" s="81">
        <f>IF('Ordenes_Odoo'!K2768="","",'Ordenes_Odoo'!K2768)</f>
        <v/>
      </c>
      <c r="L2768" s="81">
        <f>IF('Ordenes_Odoo'!L2768="","",'Ordenes_Odoo'!L2768)</f>
        <v/>
      </c>
      <c r="M2768" s="79">
        <f>IF('Ordenes_Odoo'!M2768="","",'Ordenes_Odoo'!M2768)</f>
        <v/>
      </c>
      <c r="N2768" s="79">
        <f>IF('Ordenes_Odoo'!N2768="","",'Ordenes_Odoo'!N2768)</f>
        <v/>
      </c>
      <c r="O2768" s="81">
        <f>IF('Ordenes_Odoo'!O2768="","",'Ordenes_Odoo'!O2768)</f>
        <v/>
      </c>
      <c r="P2768" s="81">
        <f>IF('Ordenes_Odoo'!P2768="","",'Ordenes_Odoo'!P2768)</f>
        <v/>
      </c>
      <c r="Q2768" s="79">
        <f>IF(A2768="","",IFERROR(INDEX(Facturas_Odoo!$B:$B, MATCH(A2768, Facturas_Odoo!$D:$D, 0)), "Sin Factura"))</f>
        <v/>
      </c>
      <c r="R2768" s="80">
        <f>IF(Q2768="Sin Factura","",IFERROR(INDEX(Facturas_Odoo!$A:$A, MATCH(Q2768, Facturas_Odoo!$B:$B, 0)), ""))</f>
        <v/>
      </c>
      <c r="S2768" s="79">
        <f>IF(Q2768="Sin Factura","",IFERROR(_xlfn.XLOOKUP(1, (Facturas_Odoo!$D:$D=A2768) * (Facturas_Odoo!$K:$K=I2768), Facturas_Odoo!$L:$L, ""), ""))</f>
        <v/>
      </c>
      <c r="T2768" s="81">
        <f>IF(Q2768="Sin Factura",0,IFERROR(_xlfn.XLOOKUP(1, (Facturas_Odoo!$D:$D=A2768) * (Facturas_Odoo!$K:$K=I2768), Facturas_Odoo!$M:$M, 0), 0))</f>
        <v/>
      </c>
      <c r="U2768" s="79">
        <f>IF(Q2768="Sin Factura",0,IFERROR(_xlfn.XLOOKUP(1, (Facturas_Odoo!$D:$D=A2768) * (Facturas_Odoo!$K:$K=I2768), Facturas_Odoo!$N:$N, 0), 0))</f>
        <v/>
      </c>
      <c r="V2768" s="79">
        <f>IF(Q2768="Sin Factura",0,IFERROR(_xlfn.XLOOKUP(1, (Facturas_Odoo!$D:$D=A2768) * (Facturas_Odoo!$K:$K=I2768), Facturas_Odoo!$O:$O, 0), 0))</f>
        <v/>
      </c>
      <c r="W2768" s="81">
        <f>IF(Q2768="Sin Factura",0,IFERROR(_xlfn.XLOOKUP(1, (Facturas_Odoo!$D:$D=A2768) * (Facturas_Odoo!$K:$K=I2768), Facturas_Odoo!$Q:$Q, 0), 0))</f>
        <v/>
      </c>
      <c r="X2768" s="79">
        <f>IF(OR(Q2768="Sin Factura",Q2768=""),"",IFERROR(INDEX(Pagos_Odoo!$B:$B, MATCH(Q2768, Pagos_Odoo!$I:$I, 0)), "Sin Pago"))</f>
        <v/>
      </c>
      <c r="Y2768" s="79">
        <f>IF(X2768="Sin Pago","",IFERROR(INDEX(Pagos_Odoo!$C:$C, MATCH(X2768, Pagos_Odoo!$B:$B, 0)), ""))</f>
        <v/>
      </c>
      <c r="Z2768" s="80">
        <f>IF(X2768="Sin Pago","",IFERROR(INDEX(Pagos_Odoo!$A:$A, MATCH(X2768, Pagos_Odoo!$B:$B, 0)), ""))</f>
        <v/>
      </c>
      <c r="AA2768" s="79">
        <f>IF(X2768="Sin Pago","",IFERROR(INDEX(Pagos_Odoo!$F:$F, MATCH(X2768, Pagos_Odoo!$B:$B, 0)), ""))</f>
        <v/>
      </c>
      <c r="AB2768" s="81">
        <f>IF(X2768="Sin Pago",0,IFERROR(INDEX(Pagos_Odoo!$E:$E, MATCH(X2768, Pagos_Odoo!$B:$B, 0)), 0))</f>
        <v/>
      </c>
      <c r="AC2768" s="79">
        <f>IF(X2768="Sin Pago","",IFERROR(INDEX(Pagos_Odoo!$G:$G, MATCH(X2768, Pagos_Odoo!$B:$B, 0)), ""))</f>
        <v/>
      </c>
      <c r="AD2768" s="82" t="n">
        <v>0</v>
      </c>
      <c r="AE2768" s="82" t="n"/>
      <c r="AF2768" s="82" t="n"/>
      <c r="AG2768" s="82">
        <f>IF(AN2768="","",AD2768+AE2768+AF2768)</f>
        <v/>
      </c>
      <c r="AH2768" s="81">
        <f>IF(AN2768="","",P2768*(1-AG2768))</f>
        <v/>
      </c>
      <c r="AI2768" s="81">
        <f>IF(AN2768="","",IF(Q2768="Sin Factura",0,IFERROR(INDEX(Facturas_Odoo!$H:$H, MATCH(Q2768, Facturas_Odoo!$B:$B, 0)), 0)*(1-AG2768)))</f>
        <v/>
      </c>
      <c r="AJ2768" s="81">
        <f>IF(AN2768="","",_xlfn.LET(idVenta, AN2768&amp;"",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68" s="81">
        <f>IF(AN2768="","",AH2768-AJ2768)</f>
        <v/>
      </c>
      <c r="AL2768" s="81">
        <f>IF(AN2768="","",IF(Q2768="Sin Factura","",AI2768-AJ2768))</f>
        <v/>
      </c>
      <c r="AM2768" s="81">
        <f>IF(AN2768="","",IF(Q2768="Sin Factura",0,P2768-IFERROR(INDEX(Facturas_Odoo!$H:$H, MATCH(Q2768, Facturas_Odoo!$B:$B, 0)), 0)))</f>
        <v/>
      </c>
      <c r="AN2768" s="79">
        <f>IF(AND(A2768="", J2768=""), "", IF(A2768&lt;&gt;"", VALUE(MID(A2768,2,LEN(A2768))), AN2767))</f>
        <v/>
      </c>
      <c r="AO2768" s="79">
        <f>IF(AN2768="","",IF(AD2768=0,"OK",_xlfn.LET(monedaPago, IF(AA2768="","USD",AA2768), limitePermitido, IFERROR(VLOOKUP(monedaPago, Configuración!$A$2:$B$3, 2, FALSE), 0.15), IF(AD2768&gt;limitePermitido, "ALERTA: EXCESO (" &amp; TEXT(limitePermitido, "0%") &amp; " máx)", "OK"))))</f>
        <v/>
      </c>
      <c r="AP2768" s="79">
        <f>IF(AN2768="","",IF(AE2768=0,"OK",_xlfn.LET(fechaPago, Z2768, fechaFactura, R2768, diasCredito, IF(E2768="Pago inmediato", 0, IFERROR(VALUE(MID(E2768, 1, SEARCH(" ", E2768)-1)),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68" s="79">
        <f>IF(AN2768="","",IF(AND(N2768&gt;0, AG2768&gt;0), IF(Configuración!$K$2="NO", "ALERTA: DESCUENTO DOBLE NO PERMITIDO", "OK"), "OK"))</f>
        <v/>
      </c>
      <c r="AR2768" s="79">
        <f>IF(AN2768="","",IF(OR(AO2768&lt;&gt;"OK", AP2768&lt;&gt;"OK", AQ2768&lt;&gt;"OK"), "⚠️ REVISAR", "OK"))</f>
        <v/>
      </c>
    </row>
    <row r="2769">
      <c r="A2769" s="79">
        <f>IF('Ordenes_Odoo'!A2769="","",'Ordenes_Odoo'!A2769)</f>
        <v/>
      </c>
      <c r="B2769" s="80">
        <f>IF('Ordenes_Odoo'!B2769="","",'Ordenes_Odoo'!B2769)</f>
        <v/>
      </c>
      <c r="C2769" s="79">
        <f>IF('Ordenes_Odoo'!C2769="","",'Ordenes_Odoo'!C2769)</f>
        <v/>
      </c>
      <c r="D2769" s="79">
        <f>IF('Ordenes_Odoo'!D2769="","",'Ordenes_Odoo'!D2769)</f>
        <v/>
      </c>
      <c r="E2769" s="79">
        <f>IF('Ordenes_Odoo'!E2769="","",'Ordenes_Odoo'!E2769)</f>
        <v/>
      </c>
      <c r="F2769" s="79">
        <f>IF('Ordenes_Odoo'!F2769="","",'Ordenes_Odoo'!F2769)</f>
        <v/>
      </c>
      <c r="G2769" s="79">
        <f>IF('Ordenes_Odoo'!G2769="","",'Ordenes_Odoo'!G2769)</f>
        <v/>
      </c>
      <c r="H2769" s="79">
        <f>IF('Ordenes_Odoo'!H2769="","",'Ordenes_Odoo'!H2769)</f>
        <v/>
      </c>
      <c r="I2769" s="79">
        <f>IF('Ordenes_Odoo'!I2769="","",'Ordenes_Odoo'!I2769)</f>
        <v/>
      </c>
      <c r="J2769" s="79">
        <f>IF('Ordenes_Odoo'!J2769="","",'Ordenes_Odoo'!J2769)</f>
        <v/>
      </c>
      <c r="K2769" s="81">
        <f>IF('Ordenes_Odoo'!K2769="","",'Ordenes_Odoo'!K2769)</f>
        <v/>
      </c>
      <c r="L2769" s="81">
        <f>IF('Ordenes_Odoo'!L2769="","",'Ordenes_Odoo'!L2769)</f>
        <v/>
      </c>
      <c r="M2769" s="79">
        <f>IF('Ordenes_Odoo'!M2769="","",'Ordenes_Odoo'!M2769)</f>
        <v/>
      </c>
      <c r="N2769" s="79">
        <f>IF('Ordenes_Odoo'!N2769="","",'Ordenes_Odoo'!N2769)</f>
        <v/>
      </c>
      <c r="O2769" s="81">
        <f>IF('Ordenes_Odoo'!O2769="","",'Ordenes_Odoo'!O2769)</f>
        <v/>
      </c>
      <c r="P2769" s="81">
        <f>IF('Ordenes_Odoo'!P2769="","",'Ordenes_Odoo'!P2769)</f>
        <v/>
      </c>
      <c r="Q2769" s="79">
        <f>IF(A2769="","",IFERROR(INDEX(Facturas_Odoo!$B:$B, MATCH(A2769, Facturas_Odoo!$D:$D, 0)), "Sin Factura"))</f>
        <v/>
      </c>
      <c r="R2769" s="80">
        <f>IF(Q2769="Sin Factura","",IFERROR(INDEX(Facturas_Odoo!$A:$A, MATCH(Q2769, Facturas_Odoo!$B:$B, 0)), ""))</f>
        <v/>
      </c>
      <c r="S2769" s="79">
        <f>IF(Q2769="Sin Factura","",IFERROR(_xlfn.XLOOKUP(1, (Facturas_Odoo!$D:$D=A2769) * (Facturas_Odoo!$K:$K=I2769), Facturas_Odoo!$L:$L, ""), ""))</f>
        <v/>
      </c>
      <c r="T2769" s="81">
        <f>IF(Q2769="Sin Factura",0,IFERROR(_xlfn.XLOOKUP(1, (Facturas_Odoo!$D:$D=A2769) * (Facturas_Odoo!$K:$K=I2769), Facturas_Odoo!$M:$M, 0), 0))</f>
        <v/>
      </c>
      <c r="U2769" s="79">
        <f>IF(Q2769="Sin Factura",0,IFERROR(_xlfn.XLOOKUP(1, (Facturas_Odoo!$D:$D=A2769) * (Facturas_Odoo!$K:$K=I2769), Facturas_Odoo!$N:$N, 0), 0))</f>
        <v/>
      </c>
      <c r="V2769" s="79">
        <f>IF(Q2769="Sin Factura",0,IFERROR(_xlfn.XLOOKUP(1, (Facturas_Odoo!$D:$D=A2769) * (Facturas_Odoo!$K:$K=I2769), Facturas_Odoo!$O:$O, 0), 0))</f>
        <v/>
      </c>
      <c r="W2769" s="81">
        <f>IF(Q2769="Sin Factura",0,IFERROR(_xlfn.XLOOKUP(1, (Facturas_Odoo!$D:$D=A2769) * (Facturas_Odoo!$K:$K=I2769), Facturas_Odoo!$Q:$Q, 0), 0))</f>
        <v/>
      </c>
      <c r="X2769" s="79">
        <f>IF(OR(Q2769="Sin Factura",Q2769=""),"",IFERROR(INDEX(Pagos_Odoo!$B:$B, MATCH(Q2769, Pagos_Odoo!$I:$I, 0)), "Sin Pago"))</f>
        <v/>
      </c>
      <c r="Y2769" s="79">
        <f>IF(X2769="Sin Pago","",IFERROR(INDEX(Pagos_Odoo!$C:$C, MATCH(X2769, Pagos_Odoo!$B:$B, 0)), ""))</f>
        <v/>
      </c>
      <c r="Z2769" s="80">
        <f>IF(X2769="Sin Pago","",IFERROR(INDEX(Pagos_Odoo!$A:$A, MATCH(X2769, Pagos_Odoo!$B:$B, 0)), ""))</f>
        <v/>
      </c>
      <c r="AA2769" s="79">
        <f>IF(X2769="Sin Pago","",IFERROR(INDEX(Pagos_Odoo!$F:$F, MATCH(X2769, Pagos_Odoo!$B:$B, 0)), ""))</f>
        <v/>
      </c>
      <c r="AB2769" s="81">
        <f>IF(X2769="Sin Pago",0,IFERROR(INDEX(Pagos_Odoo!$E:$E, MATCH(X2769, Pagos_Odoo!$B:$B, 0)), 0))</f>
        <v/>
      </c>
      <c r="AC2769" s="79">
        <f>IF(X2769="Sin Pago","",IFERROR(INDEX(Pagos_Odoo!$G:$G, MATCH(X2769, Pagos_Odoo!$B:$B, 0)), ""))</f>
        <v/>
      </c>
      <c r="AD2769" s="82" t="n">
        <v>0</v>
      </c>
      <c r="AE2769" s="82" t="n"/>
      <c r="AF2769" s="82" t="n"/>
      <c r="AG2769" s="82">
        <f>IF(AN2769="","",AD2769+AE2769+AF2769)</f>
        <v/>
      </c>
      <c r="AH2769" s="81">
        <f>IF(AN2769="","",P2769*(1-AG2769))</f>
        <v/>
      </c>
      <c r="AI2769" s="81">
        <f>IF(AN2769="","",IF(Q2769="Sin Factura",0,IFERROR(INDEX(Facturas_Odoo!$H:$H, MATCH(Q2769, Facturas_Odoo!$B:$B, 0)), 0)*(1-AG2769)))</f>
        <v/>
      </c>
      <c r="AJ2769" s="81">
        <f>IF(AN2769="","",_xlfn.LET(idVenta, AN2769&amp;"",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69" s="81">
        <f>IF(AN2769="","",AH2769-AJ2769)</f>
        <v/>
      </c>
      <c r="AL2769" s="81">
        <f>IF(AN2769="","",IF(Q2769="Sin Factura","",AI2769-AJ2769))</f>
        <v/>
      </c>
      <c r="AM2769" s="81">
        <f>IF(AN2769="","",IF(Q2769="Sin Factura",0,P2769-IFERROR(INDEX(Facturas_Odoo!$H:$H, MATCH(Q2769, Facturas_Odoo!$B:$B, 0)), 0)))</f>
        <v/>
      </c>
      <c r="AN2769" s="79">
        <f>IF(AND(A2769="", J2769=""), "", IF(A2769&lt;&gt;"", VALUE(MID(A2769,2,LEN(A2769))), AN2768))</f>
        <v/>
      </c>
      <c r="AO2769" s="79">
        <f>IF(AN2769="","",IF(AD2769=0,"OK",_xlfn.LET(monedaPago, IF(AA2769="","USD",AA2769), limitePermitido, IFERROR(VLOOKUP(monedaPago, Configuración!$A$2:$B$3, 2, FALSE), 0.15), IF(AD2769&gt;limitePermitido, "ALERTA: EXCESO (" &amp; TEXT(limitePermitido, "0%") &amp; " máx)", "OK"))))</f>
        <v/>
      </c>
      <c r="AP2769" s="79">
        <f>IF(AN2769="","",IF(AE2769=0,"OK",_xlfn.LET(fechaPago, Z2769, fechaFactura, R2769, diasCredito, IF(E2769="Pago inmediato", 0, IFERROR(VALUE(MID(E2769, 1, SEARCH(" ", E2769)-1)),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69" s="79">
        <f>IF(AN2769="","",IF(AND(N2769&gt;0, AG2769&gt;0), IF(Configuración!$K$2="NO", "ALERTA: DESCUENTO DOBLE NO PERMITIDO", "OK"), "OK"))</f>
        <v/>
      </c>
      <c r="AR2769" s="79">
        <f>IF(AN2769="","",IF(OR(AO2769&lt;&gt;"OK", AP2769&lt;&gt;"OK", AQ2769&lt;&gt;"OK"), "⚠️ REVISAR", "OK"))</f>
        <v/>
      </c>
    </row>
    <row r="2770">
      <c r="A2770" s="79">
        <f>IF('Ordenes_Odoo'!A2770="","",'Ordenes_Odoo'!A2770)</f>
        <v/>
      </c>
      <c r="B2770" s="80">
        <f>IF('Ordenes_Odoo'!B2770="","",'Ordenes_Odoo'!B2770)</f>
        <v/>
      </c>
      <c r="C2770" s="79">
        <f>IF('Ordenes_Odoo'!C2770="","",'Ordenes_Odoo'!C2770)</f>
        <v/>
      </c>
      <c r="D2770" s="79">
        <f>IF('Ordenes_Odoo'!D2770="","",'Ordenes_Odoo'!D2770)</f>
        <v/>
      </c>
      <c r="E2770" s="79">
        <f>IF('Ordenes_Odoo'!E2770="","",'Ordenes_Odoo'!E2770)</f>
        <v/>
      </c>
      <c r="F2770" s="79">
        <f>IF('Ordenes_Odoo'!F2770="","",'Ordenes_Odoo'!F2770)</f>
        <v/>
      </c>
      <c r="G2770" s="79">
        <f>IF('Ordenes_Odoo'!G2770="","",'Ordenes_Odoo'!G2770)</f>
        <v/>
      </c>
      <c r="H2770" s="79">
        <f>IF('Ordenes_Odoo'!H2770="","",'Ordenes_Odoo'!H2770)</f>
        <v/>
      </c>
      <c r="I2770" s="79">
        <f>IF('Ordenes_Odoo'!I2770="","",'Ordenes_Odoo'!I2770)</f>
        <v/>
      </c>
      <c r="J2770" s="79">
        <f>IF('Ordenes_Odoo'!J2770="","",'Ordenes_Odoo'!J2770)</f>
        <v/>
      </c>
      <c r="K2770" s="81">
        <f>IF('Ordenes_Odoo'!K2770="","",'Ordenes_Odoo'!K2770)</f>
        <v/>
      </c>
      <c r="L2770" s="81">
        <f>IF('Ordenes_Odoo'!L2770="","",'Ordenes_Odoo'!L2770)</f>
        <v/>
      </c>
      <c r="M2770" s="79">
        <f>IF('Ordenes_Odoo'!M2770="","",'Ordenes_Odoo'!M2770)</f>
        <v/>
      </c>
      <c r="N2770" s="79">
        <f>IF('Ordenes_Odoo'!N2770="","",'Ordenes_Odoo'!N2770)</f>
        <v/>
      </c>
      <c r="O2770" s="81">
        <f>IF('Ordenes_Odoo'!O2770="","",'Ordenes_Odoo'!O2770)</f>
        <v/>
      </c>
      <c r="P2770" s="81">
        <f>IF('Ordenes_Odoo'!P2770="","",'Ordenes_Odoo'!P2770)</f>
        <v/>
      </c>
      <c r="Q2770" s="79">
        <f>IF(A2770="","",IFERROR(INDEX(Facturas_Odoo!$B:$B, MATCH(A2770, Facturas_Odoo!$D:$D, 0)), "Sin Factura"))</f>
        <v/>
      </c>
      <c r="R2770" s="80">
        <f>IF(Q2770="Sin Factura","",IFERROR(INDEX(Facturas_Odoo!$A:$A, MATCH(Q2770, Facturas_Odoo!$B:$B, 0)), ""))</f>
        <v/>
      </c>
      <c r="S2770" s="79">
        <f>IF(Q2770="Sin Factura","",IFERROR(_xlfn.XLOOKUP(1, (Facturas_Odoo!$D:$D=A2770) * (Facturas_Odoo!$K:$K=I2770), Facturas_Odoo!$L:$L, ""), ""))</f>
        <v/>
      </c>
      <c r="T2770" s="81">
        <f>IF(Q2770="Sin Factura",0,IFERROR(_xlfn.XLOOKUP(1, (Facturas_Odoo!$D:$D=A2770) * (Facturas_Odoo!$K:$K=I2770), Facturas_Odoo!$M:$M, 0), 0))</f>
        <v/>
      </c>
      <c r="U2770" s="79">
        <f>IF(Q2770="Sin Factura",0,IFERROR(_xlfn.XLOOKUP(1, (Facturas_Odoo!$D:$D=A2770) * (Facturas_Odoo!$K:$K=I2770), Facturas_Odoo!$N:$N, 0), 0))</f>
        <v/>
      </c>
      <c r="V2770" s="79">
        <f>IF(Q2770="Sin Factura",0,IFERROR(_xlfn.XLOOKUP(1, (Facturas_Odoo!$D:$D=A2770) * (Facturas_Odoo!$K:$K=I2770), Facturas_Odoo!$O:$O, 0), 0))</f>
        <v/>
      </c>
      <c r="W2770" s="81">
        <f>IF(Q2770="Sin Factura",0,IFERROR(_xlfn.XLOOKUP(1, (Facturas_Odoo!$D:$D=A2770) * (Facturas_Odoo!$K:$K=I2770), Facturas_Odoo!$Q:$Q, 0), 0))</f>
        <v/>
      </c>
      <c r="X2770" s="79">
        <f>IF(OR(Q2770="Sin Factura",Q2770=""),"",IFERROR(INDEX(Pagos_Odoo!$B:$B, MATCH(Q2770, Pagos_Odoo!$I:$I, 0)), "Sin Pago"))</f>
        <v/>
      </c>
      <c r="Y2770" s="79">
        <f>IF(X2770="Sin Pago","",IFERROR(INDEX(Pagos_Odoo!$C:$C, MATCH(X2770, Pagos_Odoo!$B:$B, 0)), ""))</f>
        <v/>
      </c>
      <c r="Z2770" s="80">
        <f>IF(X2770="Sin Pago","",IFERROR(INDEX(Pagos_Odoo!$A:$A, MATCH(X2770, Pagos_Odoo!$B:$B, 0)), ""))</f>
        <v/>
      </c>
      <c r="AA2770" s="79">
        <f>IF(X2770="Sin Pago","",IFERROR(INDEX(Pagos_Odoo!$F:$F, MATCH(X2770, Pagos_Odoo!$B:$B, 0)), ""))</f>
        <v/>
      </c>
      <c r="AB2770" s="81">
        <f>IF(X2770="Sin Pago",0,IFERROR(INDEX(Pagos_Odoo!$E:$E, MATCH(X2770, Pagos_Odoo!$B:$B, 0)), 0))</f>
        <v/>
      </c>
      <c r="AC2770" s="79">
        <f>IF(X2770="Sin Pago","",IFERROR(INDEX(Pagos_Odoo!$G:$G, MATCH(X2770, Pagos_Odoo!$B:$B, 0)), ""))</f>
        <v/>
      </c>
      <c r="AD2770" s="82" t="n">
        <v>0</v>
      </c>
      <c r="AE2770" s="82" t="n"/>
      <c r="AF2770" s="82" t="n"/>
      <c r="AG2770" s="82">
        <f>IF(AN2770="","",AD2770+AE2770+AF2770)</f>
        <v/>
      </c>
      <c r="AH2770" s="81">
        <f>IF(AN2770="","",P2770*(1-AG2770))</f>
        <v/>
      </c>
      <c r="AI2770" s="81">
        <f>IF(AN2770="","",IF(Q2770="Sin Factura",0,IFERROR(INDEX(Facturas_Odoo!$H:$H, MATCH(Q2770, Facturas_Odoo!$B:$B, 0)), 0)*(1-AG2770)))</f>
        <v/>
      </c>
      <c r="AJ2770" s="81">
        <f>IF(AN2770="","",_xlfn.LET(idVenta, AN2770&amp;"",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70" s="81">
        <f>IF(AN2770="","",AH2770-AJ2770)</f>
        <v/>
      </c>
      <c r="AL2770" s="81">
        <f>IF(AN2770="","",IF(Q2770="Sin Factura","",AI2770-AJ2770))</f>
        <v/>
      </c>
      <c r="AM2770" s="81">
        <f>IF(AN2770="","",IF(Q2770="Sin Factura",0,P2770-IFERROR(INDEX(Facturas_Odoo!$H:$H, MATCH(Q2770, Facturas_Odoo!$B:$B, 0)), 0)))</f>
        <v/>
      </c>
      <c r="AN2770" s="79">
        <f>IF(AND(A2770="", J2770=""), "", IF(A2770&lt;&gt;"", VALUE(MID(A2770,2,LEN(A2770))), AN2769))</f>
        <v/>
      </c>
      <c r="AO2770" s="79">
        <f>IF(AN2770="","",IF(AD2770=0,"OK",_xlfn.LET(monedaPago, IF(AA2770="","USD",AA2770), limitePermitido, IFERROR(VLOOKUP(monedaPago, Configuración!$A$2:$B$3, 2, FALSE), 0.15), IF(AD2770&gt;limitePermitido, "ALERTA: EXCESO (" &amp; TEXT(limitePermitido, "0%") &amp; " máx)", "OK"))))</f>
        <v/>
      </c>
      <c r="AP2770" s="79">
        <f>IF(AN2770="","",IF(AE2770=0,"OK",_xlfn.LET(fechaPago, Z2770, fechaFactura, R2770, diasCredito, IF(E2770="Pago inmediato", 0, IFERROR(VALUE(MID(E2770, 1, SEARCH(" ", E2770)-1)),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70" s="79">
        <f>IF(AN2770="","",IF(AND(N2770&gt;0, AG2770&gt;0), IF(Configuración!$K$2="NO", "ALERTA: DESCUENTO DOBLE NO PERMITIDO", "OK"), "OK"))</f>
        <v/>
      </c>
      <c r="AR2770" s="79">
        <f>IF(AN2770="","",IF(OR(AO2770&lt;&gt;"OK", AP2770&lt;&gt;"OK", AQ2770&lt;&gt;"OK"), "⚠️ REVISAR", "OK"))</f>
        <v/>
      </c>
    </row>
    <row r="2771">
      <c r="A2771" s="79">
        <f>IF('Ordenes_Odoo'!A2771="","",'Ordenes_Odoo'!A2771)</f>
        <v/>
      </c>
      <c r="B2771" s="80">
        <f>IF('Ordenes_Odoo'!B2771="","",'Ordenes_Odoo'!B2771)</f>
        <v/>
      </c>
      <c r="C2771" s="79">
        <f>IF('Ordenes_Odoo'!C2771="","",'Ordenes_Odoo'!C2771)</f>
        <v/>
      </c>
      <c r="D2771" s="79">
        <f>IF('Ordenes_Odoo'!D2771="","",'Ordenes_Odoo'!D2771)</f>
        <v/>
      </c>
      <c r="E2771" s="79">
        <f>IF('Ordenes_Odoo'!E2771="","",'Ordenes_Odoo'!E2771)</f>
        <v/>
      </c>
      <c r="F2771" s="79">
        <f>IF('Ordenes_Odoo'!F2771="","",'Ordenes_Odoo'!F2771)</f>
        <v/>
      </c>
      <c r="G2771" s="79">
        <f>IF('Ordenes_Odoo'!G2771="","",'Ordenes_Odoo'!G2771)</f>
        <v/>
      </c>
      <c r="H2771" s="79">
        <f>IF('Ordenes_Odoo'!H2771="","",'Ordenes_Odoo'!H2771)</f>
        <v/>
      </c>
      <c r="I2771" s="79">
        <f>IF('Ordenes_Odoo'!I2771="","",'Ordenes_Odoo'!I2771)</f>
        <v/>
      </c>
      <c r="J2771" s="79">
        <f>IF('Ordenes_Odoo'!J2771="","",'Ordenes_Odoo'!J2771)</f>
        <v/>
      </c>
      <c r="K2771" s="81">
        <f>IF('Ordenes_Odoo'!K2771="","",'Ordenes_Odoo'!K2771)</f>
        <v/>
      </c>
      <c r="L2771" s="81">
        <f>IF('Ordenes_Odoo'!L2771="","",'Ordenes_Odoo'!L2771)</f>
        <v/>
      </c>
      <c r="M2771" s="79">
        <f>IF('Ordenes_Odoo'!M2771="","",'Ordenes_Odoo'!M2771)</f>
        <v/>
      </c>
      <c r="N2771" s="79">
        <f>IF('Ordenes_Odoo'!N2771="","",'Ordenes_Odoo'!N2771)</f>
        <v/>
      </c>
      <c r="O2771" s="81">
        <f>IF('Ordenes_Odoo'!O2771="","",'Ordenes_Odoo'!O2771)</f>
        <v/>
      </c>
      <c r="P2771" s="81">
        <f>IF('Ordenes_Odoo'!P2771="","",'Ordenes_Odoo'!P2771)</f>
        <v/>
      </c>
      <c r="Q2771" s="79">
        <f>IF(A2771="","",IFERROR(INDEX(Facturas_Odoo!$B:$B, MATCH(A2771, Facturas_Odoo!$D:$D, 0)), "Sin Factura"))</f>
        <v/>
      </c>
      <c r="R2771" s="80">
        <f>IF(Q2771="Sin Factura","",IFERROR(INDEX(Facturas_Odoo!$A:$A, MATCH(Q2771, Facturas_Odoo!$B:$B, 0)), ""))</f>
        <v/>
      </c>
      <c r="S2771" s="79">
        <f>IF(Q2771="Sin Factura","",IFERROR(_xlfn.XLOOKUP(1, (Facturas_Odoo!$D:$D=A2771) * (Facturas_Odoo!$K:$K=I2771), Facturas_Odoo!$L:$L, ""), ""))</f>
        <v/>
      </c>
      <c r="T2771" s="81">
        <f>IF(Q2771="Sin Factura",0,IFERROR(_xlfn.XLOOKUP(1, (Facturas_Odoo!$D:$D=A2771) * (Facturas_Odoo!$K:$K=I2771), Facturas_Odoo!$M:$M, 0), 0))</f>
        <v/>
      </c>
      <c r="U2771" s="79">
        <f>IF(Q2771="Sin Factura",0,IFERROR(_xlfn.XLOOKUP(1, (Facturas_Odoo!$D:$D=A2771) * (Facturas_Odoo!$K:$K=I2771), Facturas_Odoo!$N:$N, 0), 0))</f>
        <v/>
      </c>
      <c r="V2771" s="79">
        <f>IF(Q2771="Sin Factura",0,IFERROR(_xlfn.XLOOKUP(1, (Facturas_Odoo!$D:$D=A2771) * (Facturas_Odoo!$K:$K=I2771), Facturas_Odoo!$O:$O, 0), 0))</f>
        <v/>
      </c>
      <c r="W2771" s="81">
        <f>IF(Q2771="Sin Factura",0,IFERROR(_xlfn.XLOOKUP(1, (Facturas_Odoo!$D:$D=A2771) * (Facturas_Odoo!$K:$K=I2771), Facturas_Odoo!$Q:$Q, 0), 0))</f>
        <v/>
      </c>
      <c r="X2771" s="79">
        <f>IF(OR(Q2771="Sin Factura",Q2771=""),"",IFERROR(INDEX(Pagos_Odoo!$B:$B, MATCH(Q2771, Pagos_Odoo!$I:$I, 0)), "Sin Pago"))</f>
        <v/>
      </c>
      <c r="Y2771" s="79">
        <f>IF(X2771="Sin Pago","",IFERROR(INDEX(Pagos_Odoo!$C:$C, MATCH(X2771, Pagos_Odoo!$B:$B, 0)), ""))</f>
        <v/>
      </c>
      <c r="Z2771" s="80">
        <f>IF(X2771="Sin Pago","",IFERROR(INDEX(Pagos_Odoo!$A:$A, MATCH(X2771, Pagos_Odoo!$B:$B, 0)), ""))</f>
        <v/>
      </c>
      <c r="AA2771" s="79">
        <f>IF(X2771="Sin Pago","",IFERROR(INDEX(Pagos_Odoo!$F:$F, MATCH(X2771, Pagos_Odoo!$B:$B, 0)), ""))</f>
        <v/>
      </c>
      <c r="AB2771" s="81">
        <f>IF(X2771="Sin Pago",0,IFERROR(INDEX(Pagos_Odoo!$E:$E, MATCH(X2771, Pagos_Odoo!$B:$B, 0)), 0))</f>
        <v/>
      </c>
      <c r="AC2771" s="79">
        <f>IF(X2771="Sin Pago","",IFERROR(INDEX(Pagos_Odoo!$G:$G, MATCH(X2771, Pagos_Odoo!$B:$B, 0)), ""))</f>
        <v/>
      </c>
      <c r="AD2771" s="82" t="n">
        <v>0</v>
      </c>
      <c r="AE2771" s="82" t="n"/>
      <c r="AF2771" s="82" t="n"/>
      <c r="AG2771" s="82">
        <f>IF(AN2771="","",AD2771+AE2771+AF2771)</f>
        <v/>
      </c>
      <c r="AH2771" s="81">
        <f>IF(AN2771="","",P2771*(1-AG2771))</f>
        <v/>
      </c>
      <c r="AI2771" s="81">
        <f>IF(AN2771="","",IF(Q2771="Sin Factura",0,IFERROR(INDEX(Facturas_Odoo!$H:$H, MATCH(Q2771, Facturas_Odoo!$B:$B, 0)), 0)*(1-AG2771)))</f>
        <v/>
      </c>
      <c r="AJ2771" s="81">
        <f>IF(AN2771="","",_xlfn.LET(idVenta, AN2771&amp;"",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71" s="81">
        <f>IF(AN2771="","",AH2771-AJ2771)</f>
        <v/>
      </c>
      <c r="AL2771" s="81">
        <f>IF(AN2771="","",IF(Q2771="Sin Factura","",AI2771-AJ2771))</f>
        <v/>
      </c>
      <c r="AM2771" s="81">
        <f>IF(AN2771="","",IF(Q2771="Sin Factura",0,P2771-IFERROR(INDEX(Facturas_Odoo!$H:$H, MATCH(Q2771, Facturas_Odoo!$B:$B, 0)), 0)))</f>
        <v/>
      </c>
      <c r="AN2771" s="79">
        <f>IF(AND(A2771="", J2771=""), "", IF(A2771&lt;&gt;"", VALUE(MID(A2771,2,LEN(A2771))), AN2770))</f>
        <v/>
      </c>
      <c r="AO2771" s="79">
        <f>IF(AN2771="","",IF(AD2771=0,"OK",_xlfn.LET(monedaPago, IF(AA2771="","USD",AA2771), limitePermitido, IFERROR(VLOOKUP(monedaPago, Configuración!$A$2:$B$3, 2, FALSE), 0.15), IF(AD2771&gt;limitePermitido, "ALERTA: EXCESO (" &amp; TEXT(limitePermitido, "0%") &amp; " máx)", "OK"))))</f>
        <v/>
      </c>
      <c r="AP2771" s="79">
        <f>IF(AN2771="","",IF(AE2771=0,"OK",_xlfn.LET(fechaPago, Z2771, fechaFactura, R2771, diasCredito, IF(E2771="Pago inmediato", 0, IFERROR(VALUE(MID(E2771, 1, SEARCH(" ", E2771)-1)),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71" s="79">
        <f>IF(AN2771="","",IF(AND(N2771&gt;0, AG2771&gt;0), IF(Configuración!$K$2="NO", "ALERTA: DESCUENTO DOBLE NO PERMITIDO", "OK"), "OK"))</f>
        <v/>
      </c>
      <c r="AR2771" s="79">
        <f>IF(AN2771="","",IF(OR(AO2771&lt;&gt;"OK", AP2771&lt;&gt;"OK", AQ2771&lt;&gt;"OK"), "⚠️ REVISAR", "OK"))</f>
        <v/>
      </c>
    </row>
    <row r="2772">
      <c r="A2772" s="79">
        <f>IF('Ordenes_Odoo'!A2772="","",'Ordenes_Odoo'!A2772)</f>
        <v/>
      </c>
      <c r="B2772" s="80">
        <f>IF('Ordenes_Odoo'!B2772="","",'Ordenes_Odoo'!B2772)</f>
        <v/>
      </c>
      <c r="C2772" s="79">
        <f>IF('Ordenes_Odoo'!C2772="","",'Ordenes_Odoo'!C2772)</f>
        <v/>
      </c>
      <c r="D2772" s="79">
        <f>IF('Ordenes_Odoo'!D2772="","",'Ordenes_Odoo'!D2772)</f>
        <v/>
      </c>
      <c r="E2772" s="79">
        <f>IF('Ordenes_Odoo'!E2772="","",'Ordenes_Odoo'!E2772)</f>
        <v/>
      </c>
      <c r="F2772" s="79">
        <f>IF('Ordenes_Odoo'!F2772="","",'Ordenes_Odoo'!F2772)</f>
        <v/>
      </c>
      <c r="G2772" s="79">
        <f>IF('Ordenes_Odoo'!G2772="","",'Ordenes_Odoo'!G2772)</f>
        <v/>
      </c>
      <c r="H2772" s="79">
        <f>IF('Ordenes_Odoo'!H2772="","",'Ordenes_Odoo'!H2772)</f>
        <v/>
      </c>
      <c r="I2772" s="79">
        <f>IF('Ordenes_Odoo'!I2772="","",'Ordenes_Odoo'!I2772)</f>
        <v/>
      </c>
      <c r="J2772" s="79">
        <f>IF('Ordenes_Odoo'!J2772="","",'Ordenes_Odoo'!J2772)</f>
        <v/>
      </c>
      <c r="K2772" s="81">
        <f>IF('Ordenes_Odoo'!K2772="","",'Ordenes_Odoo'!K2772)</f>
        <v/>
      </c>
      <c r="L2772" s="81">
        <f>IF('Ordenes_Odoo'!L2772="","",'Ordenes_Odoo'!L2772)</f>
        <v/>
      </c>
      <c r="M2772" s="79">
        <f>IF('Ordenes_Odoo'!M2772="","",'Ordenes_Odoo'!M2772)</f>
        <v/>
      </c>
      <c r="N2772" s="79">
        <f>IF('Ordenes_Odoo'!N2772="","",'Ordenes_Odoo'!N2772)</f>
        <v/>
      </c>
      <c r="O2772" s="81">
        <f>IF('Ordenes_Odoo'!O2772="","",'Ordenes_Odoo'!O2772)</f>
        <v/>
      </c>
      <c r="P2772" s="81">
        <f>IF('Ordenes_Odoo'!P2772="","",'Ordenes_Odoo'!P2772)</f>
        <v/>
      </c>
      <c r="Q2772" s="79">
        <f>IF(A2772="","",IFERROR(INDEX(Facturas_Odoo!$B:$B, MATCH(A2772, Facturas_Odoo!$D:$D, 0)), "Sin Factura"))</f>
        <v/>
      </c>
      <c r="R2772" s="80">
        <f>IF(Q2772="Sin Factura","",IFERROR(INDEX(Facturas_Odoo!$A:$A, MATCH(Q2772, Facturas_Odoo!$B:$B, 0)), ""))</f>
        <v/>
      </c>
      <c r="S2772" s="79">
        <f>IF(Q2772="Sin Factura","",IFERROR(_xlfn.XLOOKUP(1, (Facturas_Odoo!$D:$D=A2772) * (Facturas_Odoo!$K:$K=I2772), Facturas_Odoo!$L:$L, ""), ""))</f>
        <v/>
      </c>
      <c r="T2772" s="81">
        <f>IF(Q2772="Sin Factura",0,IFERROR(_xlfn.XLOOKUP(1, (Facturas_Odoo!$D:$D=A2772) * (Facturas_Odoo!$K:$K=I2772), Facturas_Odoo!$M:$M, 0), 0))</f>
        <v/>
      </c>
      <c r="U2772" s="79">
        <f>IF(Q2772="Sin Factura",0,IFERROR(_xlfn.XLOOKUP(1, (Facturas_Odoo!$D:$D=A2772) * (Facturas_Odoo!$K:$K=I2772), Facturas_Odoo!$N:$N, 0), 0))</f>
        <v/>
      </c>
      <c r="V2772" s="79">
        <f>IF(Q2772="Sin Factura",0,IFERROR(_xlfn.XLOOKUP(1, (Facturas_Odoo!$D:$D=A2772) * (Facturas_Odoo!$K:$K=I2772), Facturas_Odoo!$O:$O, 0), 0))</f>
        <v/>
      </c>
      <c r="W2772" s="81">
        <f>IF(Q2772="Sin Factura",0,IFERROR(_xlfn.XLOOKUP(1, (Facturas_Odoo!$D:$D=A2772) * (Facturas_Odoo!$K:$K=I2772), Facturas_Odoo!$Q:$Q, 0), 0))</f>
        <v/>
      </c>
      <c r="X2772" s="79">
        <f>IF(OR(Q2772="Sin Factura",Q2772=""),"",IFERROR(INDEX(Pagos_Odoo!$B:$B, MATCH(Q2772, Pagos_Odoo!$I:$I, 0)), "Sin Pago"))</f>
        <v/>
      </c>
      <c r="Y2772" s="79">
        <f>IF(X2772="Sin Pago","",IFERROR(INDEX(Pagos_Odoo!$C:$C, MATCH(X2772, Pagos_Odoo!$B:$B, 0)), ""))</f>
        <v/>
      </c>
      <c r="Z2772" s="80">
        <f>IF(X2772="Sin Pago","",IFERROR(INDEX(Pagos_Odoo!$A:$A, MATCH(X2772, Pagos_Odoo!$B:$B, 0)), ""))</f>
        <v/>
      </c>
      <c r="AA2772" s="79">
        <f>IF(X2772="Sin Pago","",IFERROR(INDEX(Pagos_Odoo!$F:$F, MATCH(X2772, Pagos_Odoo!$B:$B, 0)), ""))</f>
        <v/>
      </c>
      <c r="AB2772" s="81">
        <f>IF(X2772="Sin Pago",0,IFERROR(INDEX(Pagos_Odoo!$E:$E, MATCH(X2772, Pagos_Odoo!$B:$B, 0)), 0))</f>
        <v/>
      </c>
      <c r="AC2772" s="79">
        <f>IF(X2772="Sin Pago","",IFERROR(INDEX(Pagos_Odoo!$G:$G, MATCH(X2772, Pagos_Odoo!$B:$B, 0)), ""))</f>
        <v/>
      </c>
      <c r="AD2772" s="82" t="n">
        <v>0</v>
      </c>
      <c r="AE2772" s="82" t="n"/>
      <c r="AF2772" s="82" t="n"/>
      <c r="AG2772" s="82">
        <f>IF(AN2772="","",AD2772+AE2772+AF2772)</f>
        <v/>
      </c>
      <c r="AH2772" s="81">
        <f>IF(AN2772="","",P2772*(1-AG2772))</f>
        <v/>
      </c>
      <c r="AI2772" s="81">
        <f>IF(AN2772="","",IF(Q2772="Sin Factura",0,IFERROR(INDEX(Facturas_Odoo!$H:$H, MATCH(Q2772, Facturas_Odoo!$B:$B, 0)), 0)*(1-AG2772)))</f>
        <v/>
      </c>
      <c r="AJ2772" s="81">
        <f>IF(AN2772="","",_xlfn.LET(idVenta, AN2772&amp;"",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72" s="81">
        <f>IF(AN2772="","",AH2772-AJ2772)</f>
        <v/>
      </c>
      <c r="AL2772" s="81">
        <f>IF(AN2772="","",IF(Q2772="Sin Factura","",AI2772-AJ2772))</f>
        <v/>
      </c>
      <c r="AM2772" s="81">
        <f>IF(AN2772="","",IF(Q2772="Sin Factura",0,P2772-IFERROR(INDEX(Facturas_Odoo!$H:$H, MATCH(Q2772, Facturas_Odoo!$B:$B, 0)), 0)))</f>
        <v/>
      </c>
      <c r="AN2772" s="79">
        <f>IF(AND(A2772="", J2772=""), "", IF(A2772&lt;&gt;"", VALUE(MID(A2772,2,LEN(A2772))), AN2771))</f>
        <v/>
      </c>
      <c r="AO2772" s="79">
        <f>IF(AN2772="","",IF(AD2772=0,"OK",_xlfn.LET(monedaPago, IF(AA2772="","USD",AA2772), limitePermitido, IFERROR(VLOOKUP(monedaPago, Configuración!$A$2:$B$3, 2, FALSE), 0.15), IF(AD2772&gt;limitePermitido, "ALERTA: EXCESO (" &amp; TEXT(limitePermitido, "0%") &amp; " máx)", "OK"))))</f>
        <v/>
      </c>
      <c r="AP2772" s="79">
        <f>IF(AN2772="","",IF(AE2772=0,"OK",_xlfn.LET(fechaPago, Z2772, fechaFactura, R2772, diasCredito, IF(E2772="Pago inmediato", 0, IFERROR(VALUE(MID(E2772, 1, SEARCH(" ", E2772)-1)),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72" s="79">
        <f>IF(AN2772="","",IF(AND(N2772&gt;0, AG2772&gt;0), IF(Configuración!$K$2="NO", "ALERTA: DESCUENTO DOBLE NO PERMITIDO", "OK"), "OK"))</f>
        <v/>
      </c>
      <c r="AR2772" s="79">
        <f>IF(AN2772="","",IF(OR(AO2772&lt;&gt;"OK", AP2772&lt;&gt;"OK", AQ2772&lt;&gt;"OK"), "⚠️ REVISAR", "OK"))</f>
        <v/>
      </c>
    </row>
    <row r="2773">
      <c r="A2773" s="79">
        <f>IF('Ordenes_Odoo'!A2773="","",'Ordenes_Odoo'!A2773)</f>
        <v/>
      </c>
      <c r="B2773" s="80">
        <f>IF('Ordenes_Odoo'!B2773="","",'Ordenes_Odoo'!B2773)</f>
        <v/>
      </c>
      <c r="C2773" s="79">
        <f>IF('Ordenes_Odoo'!C2773="","",'Ordenes_Odoo'!C2773)</f>
        <v/>
      </c>
      <c r="D2773" s="79">
        <f>IF('Ordenes_Odoo'!D2773="","",'Ordenes_Odoo'!D2773)</f>
        <v/>
      </c>
      <c r="E2773" s="79">
        <f>IF('Ordenes_Odoo'!E2773="","",'Ordenes_Odoo'!E2773)</f>
        <v/>
      </c>
      <c r="F2773" s="79">
        <f>IF('Ordenes_Odoo'!F2773="","",'Ordenes_Odoo'!F2773)</f>
        <v/>
      </c>
      <c r="G2773" s="79">
        <f>IF('Ordenes_Odoo'!G2773="","",'Ordenes_Odoo'!G2773)</f>
        <v/>
      </c>
      <c r="H2773" s="79">
        <f>IF('Ordenes_Odoo'!H2773="","",'Ordenes_Odoo'!H2773)</f>
        <v/>
      </c>
      <c r="I2773" s="79">
        <f>IF('Ordenes_Odoo'!I2773="","",'Ordenes_Odoo'!I2773)</f>
        <v/>
      </c>
      <c r="J2773" s="79">
        <f>IF('Ordenes_Odoo'!J2773="","",'Ordenes_Odoo'!J2773)</f>
        <v/>
      </c>
      <c r="K2773" s="81">
        <f>IF('Ordenes_Odoo'!K2773="","",'Ordenes_Odoo'!K2773)</f>
        <v/>
      </c>
      <c r="L2773" s="81">
        <f>IF('Ordenes_Odoo'!L2773="","",'Ordenes_Odoo'!L2773)</f>
        <v/>
      </c>
      <c r="M2773" s="79">
        <f>IF('Ordenes_Odoo'!M2773="","",'Ordenes_Odoo'!M2773)</f>
        <v/>
      </c>
      <c r="N2773" s="79">
        <f>IF('Ordenes_Odoo'!N2773="","",'Ordenes_Odoo'!N2773)</f>
        <v/>
      </c>
      <c r="O2773" s="81">
        <f>IF('Ordenes_Odoo'!O2773="","",'Ordenes_Odoo'!O2773)</f>
        <v/>
      </c>
      <c r="P2773" s="81">
        <f>IF('Ordenes_Odoo'!P2773="","",'Ordenes_Odoo'!P2773)</f>
        <v/>
      </c>
      <c r="Q2773" s="79">
        <f>IF(A2773="","",IFERROR(INDEX(Facturas_Odoo!$B:$B, MATCH(A2773, Facturas_Odoo!$D:$D, 0)), "Sin Factura"))</f>
        <v/>
      </c>
      <c r="R2773" s="80">
        <f>IF(Q2773="Sin Factura","",IFERROR(INDEX(Facturas_Odoo!$A:$A, MATCH(Q2773, Facturas_Odoo!$B:$B, 0)), ""))</f>
        <v/>
      </c>
      <c r="S2773" s="79">
        <f>IF(Q2773="Sin Factura","",IFERROR(_xlfn.XLOOKUP(1, (Facturas_Odoo!$D:$D=A2773) * (Facturas_Odoo!$K:$K=I2773), Facturas_Odoo!$L:$L, ""), ""))</f>
        <v/>
      </c>
      <c r="T2773" s="81">
        <f>IF(Q2773="Sin Factura",0,IFERROR(_xlfn.XLOOKUP(1, (Facturas_Odoo!$D:$D=A2773) * (Facturas_Odoo!$K:$K=I2773), Facturas_Odoo!$M:$M, 0), 0))</f>
        <v/>
      </c>
      <c r="U2773" s="79">
        <f>IF(Q2773="Sin Factura",0,IFERROR(_xlfn.XLOOKUP(1, (Facturas_Odoo!$D:$D=A2773) * (Facturas_Odoo!$K:$K=I2773), Facturas_Odoo!$N:$N, 0), 0))</f>
        <v/>
      </c>
      <c r="V2773" s="79">
        <f>IF(Q2773="Sin Factura",0,IFERROR(_xlfn.XLOOKUP(1, (Facturas_Odoo!$D:$D=A2773) * (Facturas_Odoo!$K:$K=I2773), Facturas_Odoo!$O:$O, 0), 0))</f>
        <v/>
      </c>
      <c r="W2773" s="81">
        <f>IF(Q2773="Sin Factura",0,IFERROR(_xlfn.XLOOKUP(1, (Facturas_Odoo!$D:$D=A2773) * (Facturas_Odoo!$K:$K=I2773), Facturas_Odoo!$Q:$Q, 0), 0))</f>
        <v/>
      </c>
      <c r="X2773" s="79">
        <f>IF(OR(Q2773="Sin Factura",Q2773=""),"",IFERROR(INDEX(Pagos_Odoo!$B:$B, MATCH(Q2773, Pagos_Odoo!$I:$I, 0)), "Sin Pago"))</f>
        <v/>
      </c>
      <c r="Y2773" s="79">
        <f>IF(X2773="Sin Pago","",IFERROR(INDEX(Pagos_Odoo!$C:$C, MATCH(X2773, Pagos_Odoo!$B:$B, 0)), ""))</f>
        <v/>
      </c>
      <c r="Z2773" s="80">
        <f>IF(X2773="Sin Pago","",IFERROR(INDEX(Pagos_Odoo!$A:$A, MATCH(X2773, Pagos_Odoo!$B:$B, 0)), ""))</f>
        <v/>
      </c>
      <c r="AA2773" s="79">
        <f>IF(X2773="Sin Pago","",IFERROR(INDEX(Pagos_Odoo!$F:$F, MATCH(X2773, Pagos_Odoo!$B:$B, 0)), ""))</f>
        <v/>
      </c>
      <c r="AB2773" s="81">
        <f>IF(X2773="Sin Pago",0,IFERROR(INDEX(Pagos_Odoo!$E:$E, MATCH(X2773, Pagos_Odoo!$B:$B, 0)), 0))</f>
        <v/>
      </c>
      <c r="AC2773" s="79">
        <f>IF(X2773="Sin Pago","",IFERROR(INDEX(Pagos_Odoo!$G:$G, MATCH(X2773, Pagos_Odoo!$B:$B, 0)), ""))</f>
        <v/>
      </c>
      <c r="AD2773" s="82" t="n">
        <v>0</v>
      </c>
      <c r="AE2773" s="82" t="n"/>
      <c r="AF2773" s="82" t="n"/>
      <c r="AG2773" s="82">
        <f>IF(AN2773="","",AD2773+AE2773+AF2773)</f>
        <v/>
      </c>
      <c r="AH2773" s="81">
        <f>IF(AN2773="","",P2773*(1-AG2773))</f>
        <v/>
      </c>
      <c r="AI2773" s="81">
        <f>IF(AN2773="","",IF(Q2773="Sin Factura",0,IFERROR(INDEX(Facturas_Odoo!$H:$H, MATCH(Q2773, Facturas_Odoo!$B:$B, 0)), 0)*(1-AG2773)))</f>
        <v/>
      </c>
      <c r="AJ2773" s="81">
        <f>IF(AN2773="","",_xlfn.LET(idVenta, AN2773&amp;"",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73" s="81">
        <f>IF(AN2773="","",AH2773-AJ2773)</f>
        <v/>
      </c>
      <c r="AL2773" s="81">
        <f>IF(AN2773="","",IF(Q2773="Sin Factura","",AI2773-AJ2773))</f>
        <v/>
      </c>
      <c r="AM2773" s="81">
        <f>IF(AN2773="","",IF(Q2773="Sin Factura",0,P2773-IFERROR(INDEX(Facturas_Odoo!$H:$H, MATCH(Q2773, Facturas_Odoo!$B:$B, 0)), 0)))</f>
        <v/>
      </c>
      <c r="AN2773" s="79">
        <f>IF(AND(A2773="", J2773=""), "", IF(A2773&lt;&gt;"", VALUE(MID(A2773,2,LEN(A2773))), AN2772))</f>
        <v/>
      </c>
      <c r="AO2773" s="79">
        <f>IF(AN2773="","",IF(AD2773=0,"OK",_xlfn.LET(monedaPago, IF(AA2773="","USD",AA2773), limitePermitido, IFERROR(VLOOKUP(monedaPago, Configuración!$A$2:$B$3, 2, FALSE), 0.15), IF(AD2773&gt;limitePermitido, "ALERTA: EXCESO (" &amp; TEXT(limitePermitido, "0%") &amp; " máx)", "OK"))))</f>
        <v/>
      </c>
      <c r="AP2773" s="79">
        <f>IF(AN2773="","",IF(AE2773=0,"OK",_xlfn.LET(fechaPago, Z2773, fechaFactura, R2773, diasCredito, IF(E2773="Pago inmediato", 0, IFERROR(VALUE(MID(E2773, 1, SEARCH(" ", E2773)-1)),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73" s="79">
        <f>IF(AN2773="","",IF(AND(N2773&gt;0, AG2773&gt;0), IF(Configuración!$K$2="NO", "ALERTA: DESCUENTO DOBLE NO PERMITIDO", "OK"), "OK"))</f>
        <v/>
      </c>
      <c r="AR2773" s="79">
        <f>IF(AN2773="","",IF(OR(AO2773&lt;&gt;"OK", AP2773&lt;&gt;"OK", AQ2773&lt;&gt;"OK"), "⚠️ REVISAR", "OK"))</f>
        <v/>
      </c>
    </row>
    <row r="2774">
      <c r="A2774" s="79">
        <f>IF('Ordenes_Odoo'!A2774="","",'Ordenes_Odoo'!A2774)</f>
        <v/>
      </c>
      <c r="B2774" s="80">
        <f>IF('Ordenes_Odoo'!B2774="","",'Ordenes_Odoo'!B2774)</f>
        <v/>
      </c>
      <c r="C2774" s="79">
        <f>IF('Ordenes_Odoo'!C2774="","",'Ordenes_Odoo'!C2774)</f>
        <v/>
      </c>
      <c r="D2774" s="79">
        <f>IF('Ordenes_Odoo'!D2774="","",'Ordenes_Odoo'!D2774)</f>
        <v/>
      </c>
      <c r="E2774" s="79">
        <f>IF('Ordenes_Odoo'!E2774="","",'Ordenes_Odoo'!E2774)</f>
        <v/>
      </c>
      <c r="F2774" s="79">
        <f>IF('Ordenes_Odoo'!F2774="","",'Ordenes_Odoo'!F2774)</f>
        <v/>
      </c>
      <c r="G2774" s="79">
        <f>IF('Ordenes_Odoo'!G2774="","",'Ordenes_Odoo'!G2774)</f>
        <v/>
      </c>
      <c r="H2774" s="79">
        <f>IF('Ordenes_Odoo'!H2774="","",'Ordenes_Odoo'!H2774)</f>
        <v/>
      </c>
      <c r="I2774" s="79">
        <f>IF('Ordenes_Odoo'!I2774="","",'Ordenes_Odoo'!I2774)</f>
        <v/>
      </c>
      <c r="J2774" s="79">
        <f>IF('Ordenes_Odoo'!J2774="","",'Ordenes_Odoo'!J2774)</f>
        <v/>
      </c>
      <c r="K2774" s="81">
        <f>IF('Ordenes_Odoo'!K2774="","",'Ordenes_Odoo'!K2774)</f>
        <v/>
      </c>
      <c r="L2774" s="81">
        <f>IF('Ordenes_Odoo'!L2774="","",'Ordenes_Odoo'!L2774)</f>
        <v/>
      </c>
      <c r="M2774" s="79">
        <f>IF('Ordenes_Odoo'!M2774="","",'Ordenes_Odoo'!M2774)</f>
        <v/>
      </c>
      <c r="N2774" s="79">
        <f>IF('Ordenes_Odoo'!N2774="","",'Ordenes_Odoo'!N2774)</f>
        <v/>
      </c>
      <c r="O2774" s="81">
        <f>IF('Ordenes_Odoo'!O2774="","",'Ordenes_Odoo'!O2774)</f>
        <v/>
      </c>
      <c r="P2774" s="81">
        <f>IF('Ordenes_Odoo'!P2774="","",'Ordenes_Odoo'!P2774)</f>
        <v/>
      </c>
      <c r="Q2774" s="79">
        <f>IF(A2774="","",IFERROR(INDEX(Facturas_Odoo!$B:$B, MATCH(A2774, Facturas_Odoo!$D:$D, 0)), "Sin Factura"))</f>
        <v/>
      </c>
      <c r="R2774" s="80">
        <f>IF(Q2774="Sin Factura","",IFERROR(INDEX(Facturas_Odoo!$A:$A, MATCH(Q2774, Facturas_Odoo!$B:$B, 0)), ""))</f>
        <v/>
      </c>
      <c r="S2774" s="79">
        <f>IF(Q2774="Sin Factura","",IFERROR(_xlfn.XLOOKUP(1, (Facturas_Odoo!$D:$D=A2774) * (Facturas_Odoo!$K:$K=I2774), Facturas_Odoo!$L:$L, ""), ""))</f>
        <v/>
      </c>
      <c r="T2774" s="81">
        <f>IF(Q2774="Sin Factura",0,IFERROR(_xlfn.XLOOKUP(1, (Facturas_Odoo!$D:$D=A2774) * (Facturas_Odoo!$K:$K=I2774), Facturas_Odoo!$M:$M, 0), 0))</f>
        <v/>
      </c>
      <c r="U2774" s="79">
        <f>IF(Q2774="Sin Factura",0,IFERROR(_xlfn.XLOOKUP(1, (Facturas_Odoo!$D:$D=A2774) * (Facturas_Odoo!$K:$K=I2774), Facturas_Odoo!$N:$N, 0), 0))</f>
        <v/>
      </c>
      <c r="V2774" s="79">
        <f>IF(Q2774="Sin Factura",0,IFERROR(_xlfn.XLOOKUP(1, (Facturas_Odoo!$D:$D=A2774) * (Facturas_Odoo!$K:$K=I2774), Facturas_Odoo!$O:$O, 0), 0))</f>
        <v/>
      </c>
      <c r="W2774" s="81">
        <f>IF(Q2774="Sin Factura",0,IFERROR(_xlfn.XLOOKUP(1, (Facturas_Odoo!$D:$D=A2774) * (Facturas_Odoo!$K:$K=I2774), Facturas_Odoo!$Q:$Q, 0), 0))</f>
        <v/>
      </c>
      <c r="X2774" s="79">
        <f>IF(OR(Q2774="Sin Factura",Q2774=""),"",IFERROR(INDEX(Pagos_Odoo!$B:$B, MATCH(Q2774, Pagos_Odoo!$I:$I, 0)), "Sin Pago"))</f>
        <v/>
      </c>
      <c r="Y2774" s="79">
        <f>IF(X2774="Sin Pago","",IFERROR(INDEX(Pagos_Odoo!$C:$C, MATCH(X2774, Pagos_Odoo!$B:$B, 0)), ""))</f>
        <v/>
      </c>
      <c r="Z2774" s="80">
        <f>IF(X2774="Sin Pago","",IFERROR(INDEX(Pagos_Odoo!$A:$A, MATCH(X2774, Pagos_Odoo!$B:$B, 0)), ""))</f>
        <v/>
      </c>
      <c r="AA2774" s="79">
        <f>IF(X2774="Sin Pago","",IFERROR(INDEX(Pagos_Odoo!$F:$F, MATCH(X2774, Pagos_Odoo!$B:$B, 0)), ""))</f>
        <v/>
      </c>
      <c r="AB2774" s="81">
        <f>IF(X2774="Sin Pago",0,IFERROR(INDEX(Pagos_Odoo!$E:$E, MATCH(X2774, Pagos_Odoo!$B:$B, 0)), 0))</f>
        <v/>
      </c>
      <c r="AC2774" s="79">
        <f>IF(X2774="Sin Pago","",IFERROR(INDEX(Pagos_Odoo!$G:$G, MATCH(X2774, Pagos_Odoo!$B:$B, 0)), ""))</f>
        <v/>
      </c>
      <c r="AD2774" s="82" t="n">
        <v>0</v>
      </c>
      <c r="AE2774" s="82" t="n"/>
      <c r="AF2774" s="82" t="n"/>
      <c r="AG2774" s="82">
        <f>IF(AN2774="","",AD2774+AE2774+AF2774)</f>
        <v/>
      </c>
      <c r="AH2774" s="81">
        <f>IF(AN2774="","",P2774*(1-AG2774))</f>
        <v/>
      </c>
      <c r="AI2774" s="81">
        <f>IF(AN2774="","",IF(Q2774="Sin Factura",0,IFERROR(INDEX(Facturas_Odoo!$H:$H, MATCH(Q2774, Facturas_Odoo!$B:$B, 0)), 0)*(1-AG2774)))</f>
        <v/>
      </c>
      <c r="AJ2774" s="81">
        <f>IF(AN2774="","",_xlfn.LET(idVenta, AN2774&amp;"",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74" s="81">
        <f>IF(AN2774="","",AH2774-AJ2774)</f>
        <v/>
      </c>
      <c r="AL2774" s="81">
        <f>IF(AN2774="","",IF(Q2774="Sin Factura","",AI2774-AJ2774))</f>
        <v/>
      </c>
      <c r="AM2774" s="81">
        <f>IF(AN2774="","",IF(Q2774="Sin Factura",0,P2774-IFERROR(INDEX(Facturas_Odoo!$H:$H, MATCH(Q2774, Facturas_Odoo!$B:$B, 0)), 0)))</f>
        <v/>
      </c>
      <c r="AN2774" s="79">
        <f>IF(AND(A2774="", J2774=""), "", IF(A2774&lt;&gt;"", VALUE(MID(A2774,2,LEN(A2774))), AN2773))</f>
        <v/>
      </c>
      <c r="AO2774" s="79">
        <f>IF(AN2774="","",IF(AD2774=0,"OK",_xlfn.LET(monedaPago, IF(AA2774="","USD",AA2774), limitePermitido, IFERROR(VLOOKUP(monedaPago, Configuración!$A$2:$B$3, 2, FALSE), 0.15), IF(AD2774&gt;limitePermitido, "ALERTA: EXCESO (" &amp; TEXT(limitePermitido, "0%") &amp; " máx)", "OK"))))</f>
        <v/>
      </c>
      <c r="AP2774" s="79">
        <f>IF(AN2774="","",IF(AE2774=0,"OK",_xlfn.LET(fechaPago, Z2774, fechaFactura, R2774, diasCredito, IF(E2774="Pago inmediato", 0, IFERROR(VALUE(MID(E2774, 1, SEARCH(" ", E2774)-1)),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74" s="79">
        <f>IF(AN2774="","",IF(AND(N2774&gt;0, AG2774&gt;0), IF(Configuración!$K$2="NO", "ALERTA: DESCUENTO DOBLE NO PERMITIDO", "OK"), "OK"))</f>
        <v/>
      </c>
      <c r="AR2774" s="79">
        <f>IF(AN2774="","",IF(OR(AO2774&lt;&gt;"OK", AP2774&lt;&gt;"OK", AQ2774&lt;&gt;"OK"), "⚠️ REVISAR", "OK"))</f>
        <v/>
      </c>
    </row>
    <row r="2775">
      <c r="A2775" s="79">
        <f>IF('Ordenes_Odoo'!A2775="","",'Ordenes_Odoo'!A2775)</f>
        <v/>
      </c>
      <c r="B2775" s="80">
        <f>IF('Ordenes_Odoo'!B2775="","",'Ordenes_Odoo'!B2775)</f>
        <v/>
      </c>
      <c r="C2775" s="79">
        <f>IF('Ordenes_Odoo'!C2775="","",'Ordenes_Odoo'!C2775)</f>
        <v/>
      </c>
      <c r="D2775" s="79">
        <f>IF('Ordenes_Odoo'!D2775="","",'Ordenes_Odoo'!D2775)</f>
        <v/>
      </c>
      <c r="E2775" s="79">
        <f>IF('Ordenes_Odoo'!E2775="","",'Ordenes_Odoo'!E2775)</f>
        <v/>
      </c>
      <c r="F2775" s="79">
        <f>IF('Ordenes_Odoo'!F2775="","",'Ordenes_Odoo'!F2775)</f>
        <v/>
      </c>
      <c r="G2775" s="79">
        <f>IF('Ordenes_Odoo'!G2775="","",'Ordenes_Odoo'!G2775)</f>
        <v/>
      </c>
      <c r="H2775" s="79">
        <f>IF('Ordenes_Odoo'!H2775="","",'Ordenes_Odoo'!H2775)</f>
        <v/>
      </c>
      <c r="I2775" s="79">
        <f>IF('Ordenes_Odoo'!I2775="","",'Ordenes_Odoo'!I2775)</f>
        <v/>
      </c>
      <c r="J2775" s="79">
        <f>IF('Ordenes_Odoo'!J2775="","",'Ordenes_Odoo'!J2775)</f>
        <v/>
      </c>
      <c r="K2775" s="81">
        <f>IF('Ordenes_Odoo'!K2775="","",'Ordenes_Odoo'!K2775)</f>
        <v/>
      </c>
      <c r="L2775" s="81">
        <f>IF('Ordenes_Odoo'!L2775="","",'Ordenes_Odoo'!L2775)</f>
        <v/>
      </c>
      <c r="M2775" s="79">
        <f>IF('Ordenes_Odoo'!M2775="","",'Ordenes_Odoo'!M2775)</f>
        <v/>
      </c>
      <c r="N2775" s="79">
        <f>IF('Ordenes_Odoo'!N2775="","",'Ordenes_Odoo'!N2775)</f>
        <v/>
      </c>
      <c r="O2775" s="81">
        <f>IF('Ordenes_Odoo'!O2775="","",'Ordenes_Odoo'!O2775)</f>
        <v/>
      </c>
      <c r="P2775" s="81">
        <f>IF('Ordenes_Odoo'!P2775="","",'Ordenes_Odoo'!P2775)</f>
        <v/>
      </c>
      <c r="Q2775" s="79">
        <f>IF(A2775="","",IFERROR(INDEX(Facturas_Odoo!$B:$B, MATCH(A2775, Facturas_Odoo!$D:$D, 0)), "Sin Factura"))</f>
        <v/>
      </c>
      <c r="R2775" s="80">
        <f>IF(Q2775="Sin Factura","",IFERROR(INDEX(Facturas_Odoo!$A:$A, MATCH(Q2775, Facturas_Odoo!$B:$B, 0)), ""))</f>
        <v/>
      </c>
      <c r="S2775" s="79">
        <f>IF(Q2775="Sin Factura","",IFERROR(_xlfn.XLOOKUP(1, (Facturas_Odoo!$D:$D=A2775) * (Facturas_Odoo!$K:$K=I2775), Facturas_Odoo!$L:$L, ""), ""))</f>
        <v/>
      </c>
      <c r="T2775" s="81">
        <f>IF(Q2775="Sin Factura",0,IFERROR(_xlfn.XLOOKUP(1, (Facturas_Odoo!$D:$D=A2775) * (Facturas_Odoo!$K:$K=I2775), Facturas_Odoo!$M:$M, 0), 0))</f>
        <v/>
      </c>
      <c r="U2775" s="79">
        <f>IF(Q2775="Sin Factura",0,IFERROR(_xlfn.XLOOKUP(1, (Facturas_Odoo!$D:$D=A2775) * (Facturas_Odoo!$K:$K=I2775), Facturas_Odoo!$N:$N, 0), 0))</f>
        <v/>
      </c>
      <c r="V2775" s="79">
        <f>IF(Q2775="Sin Factura",0,IFERROR(_xlfn.XLOOKUP(1, (Facturas_Odoo!$D:$D=A2775) * (Facturas_Odoo!$K:$K=I2775), Facturas_Odoo!$O:$O, 0), 0))</f>
        <v/>
      </c>
      <c r="W2775" s="81">
        <f>IF(Q2775="Sin Factura",0,IFERROR(_xlfn.XLOOKUP(1, (Facturas_Odoo!$D:$D=A2775) * (Facturas_Odoo!$K:$K=I2775), Facturas_Odoo!$Q:$Q, 0), 0))</f>
        <v/>
      </c>
      <c r="X2775" s="79">
        <f>IF(OR(Q2775="Sin Factura",Q2775=""),"",IFERROR(INDEX(Pagos_Odoo!$B:$B, MATCH(Q2775, Pagos_Odoo!$I:$I, 0)), "Sin Pago"))</f>
        <v/>
      </c>
      <c r="Y2775" s="79">
        <f>IF(X2775="Sin Pago","",IFERROR(INDEX(Pagos_Odoo!$C:$C, MATCH(X2775, Pagos_Odoo!$B:$B, 0)), ""))</f>
        <v/>
      </c>
      <c r="Z2775" s="80">
        <f>IF(X2775="Sin Pago","",IFERROR(INDEX(Pagos_Odoo!$A:$A, MATCH(X2775, Pagos_Odoo!$B:$B, 0)), ""))</f>
        <v/>
      </c>
      <c r="AA2775" s="79">
        <f>IF(X2775="Sin Pago","",IFERROR(INDEX(Pagos_Odoo!$F:$F, MATCH(X2775, Pagos_Odoo!$B:$B, 0)), ""))</f>
        <v/>
      </c>
      <c r="AB2775" s="81">
        <f>IF(X2775="Sin Pago",0,IFERROR(INDEX(Pagos_Odoo!$E:$E, MATCH(X2775, Pagos_Odoo!$B:$B, 0)), 0))</f>
        <v/>
      </c>
      <c r="AC2775" s="79">
        <f>IF(X2775="Sin Pago","",IFERROR(INDEX(Pagos_Odoo!$G:$G, MATCH(X2775, Pagos_Odoo!$B:$B, 0)), ""))</f>
        <v/>
      </c>
      <c r="AD2775" s="82" t="n">
        <v>0</v>
      </c>
      <c r="AE2775" s="82" t="n"/>
      <c r="AF2775" s="82" t="n"/>
      <c r="AG2775" s="82">
        <f>IF(AN2775="","",AD2775+AE2775+AF2775)</f>
        <v/>
      </c>
      <c r="AH2775" s="81">
        <f>IF(AN2775="","",P2775*(1-AG2775))</f>
        <v/>
      </c>
      <c r="AI2775" s="81">
        <f>IF(AN2775="","",IF(Q2775="Sin Factura",0,IFERROR(INDEX(Facturas_Odoo!$H:$H, MATCH(Q2775, Facturas_Odoo!$B:$B, 0)), 0)*(1-AG2775)))</f>
        <v/>
      </c>
      <c r="AJ2775" s="81">
        <f>IF(AN2775="","",_xlfn.LET(idVenta, AN2775&amp;"",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75" s="81">
        <f>IF(AN2775="","",AH2775-AJ2775)</f>
        <v/>
      </c>
      <c r="AL2775" s="81">
        <f>IF(AN2775="","",IF(Q2775="Sin Factura","",AI2775-AJ2775))</f>
        <v/>
      </c>
      <c r="AM2775" s="81">
        <f>IF(AN2775="","",IF(Q2775="Sin Factura",0,P2775-IFERROR(INDEX(Facturas_Odoo!$H:$H, MATCH(Q2775, Facturas_Odoo!$B:$B, 0)), 0)))</f>
        <v/>
      </c>
      <c r="AN2775" s="79">
        <f>IF(AND(A2775="", J2775=""), "", IF(A2775&lt;&gt;"", VALUE(MID(A2775,2,LEN(A2775))), AN2774))</f>
        <v/>
      </c>
      <c r="AO2775" s="79">
        <f>IF(AN2775="","",IF(AD2775=0,"OK",_xlfn.LET(monedaPago, IF(AA2775="","USD",AA2775), limitePermitido, IFERROR(VLOOKUP(monedaPago, Configuración!$A$2:$B$3, 2, FALSE), 0.15), IF(AD2775&gt;limitePermitido, "ALERTA: EXCESO (" &amp; TEXT(limitePermitido, "0%") &amp; " máx)", "OK"))))</f>
        <v/>
      </c>
      <c r="AP2775" s="79">
        <f>IF(AN2775="","",IF(AE2775=0,"OK",_xlfn.LET(fechaPago, Z2775, fechaFactura, R2775, diasCredito, IF(E2775="Pago inmediato", 0, IFERROR(VALUE(MID(E2775, 1, SEARCH(" ", E2775)-1)),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75" s="79">
        <f>IF(AN2775="","",IF(AND(N2775&gt;0, AG2775&gt;0), IF(Configuración!$K$2="NO", "ALERTA: DESCUENTO DOBLE NO PERMITIDO", "OK"), "OK"))</f>
        <v/>
      </c>
      <c r="AR2775" s="79">
        <f>IF(AN2775="","",IF(OR(AO2775&lt;&gt;"OK", AP2775&lt;&gt;"OK", AQ2775&lt;&gt;"OK"), "⚠️ REVISAR", "OK"))</f>
        <v/>
      </c>
    </row>
    <row r="2776">
      <c r="A2776" s="79">
        <f>IF('Ordenes_Odoo'!A2776="","",'Ordenes_Odoo'!A2776)</f>
        <v/>
      </c>
      <c r="B2776" s="80">
        <f>IF('Ordenes_Odoo'!B2776="","",'Ordenes_Odoo'!B2776)</f>
        <v/>
      </c>
      <c r="C2776" s="79">
        <f>IF('Ordenes_Odoo'!C2776="","",'Ordenes_Odoo'!C2776)</f>
        <v/>
      </c>
      <c r="D2776" s="79">
        <f>IF('Ordenes_Odoo'!D2776="","",'Ordenes_Odoo'!D2776)</f>
        <v/>
      </c>
      <c r="E2776" s="79">
        <f>IF('Ordenes_Odoo'!E2776="","",'Ordenes_Odoo'!E2776)</f>
        <v/>
      </c>
      <c r="F2776" s="79">
        <f>IF('Ordenes_Odoo'!F2776="","",'Ordenes_Odoo'!F2776)</f>
        <v/>
      </c>
      <c r="G2776" s="79">
        <f>IF('Ordenes_Odoo'!G2776="","",'Ordenes_Odoo'!G2776)</f>
        <v/>
      </c>
      <c r="H2776" s="79">
        <f>IF('Ordenes_Odoo'!H2776="","",'Ordenes_Odoo'!H2776)</f>
        <v/>
      </c>
      <c r="I2776" s="79">
        <f>IF('Ordenes_Odoo'!I2776="","",'Ordenes_Odoo'!I2776)</f>
        <v/>
      </c>
      <c r="J2776" s="79">
        <f>IF('Ordenes_Odoo'!J2776="","",'Ordenes_Odoo'!J2776)</f>
        <v/>
      </c>
      <c r="K2776" s="81">
        <f>IF('Ordenes_Odoo'!K2776="","",'Ordenes_Odoo'!K2776)</f>
        <v/>
      </c>
      <c r="L2776" s="81">
        <f>IF('Ordenes_Odoo'!L2776="","",'Ordenes_Odoo'!L2776)</f>
        <v/>
      </c>
      <c r="M2776" s="79">
        <f>IF('Ordenes_Odoo'!M2776="","",'Ordenes_Odoo'!M2776)</f>
        <v/>
      </c>
      <c r="N2776" s="79">
        <f>IF('Ordenes_Odoo'!N2776="","",'Ordenes_Odoo'!N2776)</f>
        <v/>
      </c>
      <c r="O2776" s="81">
        <f>IF('Ordenes_Odoo'!O2776="","",'Ordenes_Odoo'!O2776)</f>
        <v/>
      </c>
      <c r="P2776" s="81">
        <f>IF('Ordenes_Odoo'!P2776="","",'Ordenes_Odoo'!P2776)</f>
        <v/>
      </c>
      <c r="Q2776" s="79">
        <f>IF(A2776="","",IFERROR(INDEX(Facturas_Odoo!$B:$B, MATCH(A2776, Facturas_Odoo!$D:$D, 0)), "Sin Factura"))</f>
        <v/>
      </c>
      <c r="R2776" s="80">
        <f>IF(Q2776="Sin Factura","",IFERROR(INDEX(Facturas_Odoo!$A:$A, MATCH(Q2776, Facturas_Odoo!$B:$B, 0)), ""))</f>
        <v/>
      </c>
      <c r="S2776" s="79">
        <f>IF(Q2776="Sin Factura","",IFERROR(_xlfn.XLOOKUP(1, (Facturas_Odoo!$D:$D=A2776) * (Facturas_Odoo!$K:$K=I2776), Facturas_Odoo!$L:$L, ""), ""))</f>
        <v/>
      </c>
      <c r="T2776" s="81">
        <f>IF(Q2776="Sin Factura",0,IFERROR(_xlfn.XLOOKUP(1, (Facturas_Odoo!$D:$D=A2776) * (Facturas_Odoo!$K:$K=I2776), Facturas_Odoo!$M:$M, 0), 0))</f>
        <v/>
      </c>
      <c r="U2776" s="79">
        <f>IF(Q2776="Sin Factura",0,IFERROR(_xlfn.XLOOKUP(1, (Facturas_Odoo!$D:$D=A2776) * (Facturas_Odoo!$K:$K=I2776), Facturas_Odoo!$N:$N, 0), 0))</f>
        <v/>
      </c>
      <c r="V2776" s="79">
        <f>IF(Q2776="Sin Factura",0,IFERROR(_xlfn.XLOOKUP(1, (Facturas_Odoo!$D:$D=A2776) * (Facturas_Odoo!$K:$K=I2776), Facturas_Odoo!$O:$O, 0), 0))</f>
        <v/>
      </c>
      <c r="W2776" s="81">
        <f>IF(Q2776="Sin Factura",0,IFERROR(_xlfn.XLOOKUP(1, (Facturas_Odoo!$D:$D=A2776) * (Facturas_Odoo!$K:$K=I2776), Facturas_Odoo!$Q:$Q, 0), 0))</f>
        <v/>
      </c>
      <c r="X2776" s="79">
        <f>IF(OR(Q2776="Sin Factura",Q2776=""),"",IFERROR(INDEX(Pagos_Odoo!$B:$B, MATCH(Q2776, Pagos_Odoo!$I:$I, 0)), "Sin Pago"))</f>
        <v/>
      </c>
      <c r="Y2776" s="79">
        <f>IF(X2776="Sin Pago","",IFERROR(INDEX(Pagos_Odoo!$C:$C, MATCH(X2776, Pagos_Odoo!$B:$B, 0)), ""))</f>
        <v/>
      </c>
      <c r="Z2776" s="80">
        <f>IF(X2776="Sin Pago","",IFERROR(INDEX(Pagos_Odoo!$A:$A, MATCH(X2776, Pagos_Odoo!$B:$B, 0)), ""))</f>
        <v/>
      </c>
      <c r="AA2776" s="79">
        <f>IF(X2776="Sin Pago","",IFERROR(INDEX(Pagos_Odoo!$F:$F, MATCH(X2776, Pagos_Odoo!$B:$B, 0)), ""))</f>
        <v/>
      </c>
      <c r="AB2776" s="81">
        <f>IF(X2776="Sin Pago",0,IFERROR(INDEX(Pagos_Odoo!$E:$E, MATCH(X2776, Pagos_Odoo!$B:$B, 0)), 0))</f>
        <v/>
      </c>
      <c r="AC2776" s="79">
        <f>IF(X2776="Sin Pago","",IFERROR(INDEX(Pagos_Odoo!$G:$G, MATCH(X2776, Pagos_Odoo!$B:$B, 0)), ""))</f>
        <v/>
      </c>
      <c r="AD2776" s="82" t="n">
        <v>0</v>
      </c>
      <c r="AE2776" s="82" t="n"/>
      <c r="AF2776" s="82" t="n"/>
      <c r="AG2776" s="82">
        <f>IF(AN2776="","",AD2776+AE2776+AF2776)</f>
        <v/>
      </c>
      <c r="AH2776" s="81">
        <f>IF(AN2776="","",P2776*(1-AG2776))</f>
        <v/>
      </c>
      <c r="AI2776" s="81">
        <f>IF(AN2776="","",IF(Q2776="Sin Factura",0,IFERROR(INDEX(Facturas_Odoo!$H:$H, MATCH(Q2776, Facturas_Odoo!$B:$B, 0)), 0)*(1-AG2776)))</f>
        <v/>
      </c>
      <c r="AJ2776" s="81">
        <f>IF(AN2776="","",_xlfn.LET(idVenta, AN2776&amp;"",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76" s="81">
        <f>IF(AN2776="","",AH2776-AJ2776)</f>
        <v/>
      </c>
      <c r="AL2776" s="81">
        <f>IF(AN2776="","",IF(Q2776="Sin Factura","",AI2776-AJ2776))</f>
        <v/>
      </c>
      <c r="AM2776" s="81">
        <f>IF(AN2776="","",IF(Q2776="Sin Factura",0,P2776-IFERROR(INDEX(Facturas_Odoo!$H:$H, MATCH(Q2776, Facturas_Odoo!$B:$B, 0)), 0)))</f>
        <v/>
      </c>
      <c r="AN2776" s="79">
        <f>IF(AND(A2776="", J2776=""), "", IF(A2776&lt;&gt;"", VALUE(MID(A2776,2,LEN(A2776))), AN2775))</f>
        <v/>
      </c>
      <c r="AO2776" s="79">
        <f>IF(AN2776="","",IF(AD2776=0,"OK",_xlfn.LET(monedaPago, IF(AA2776="","USD",AA2776), limitePermitido, IFERROR(VLOOKUP(monedaPago, Configuración!$A$2:$B$3, 2, FALSE), 0.15), IF(AD2776&gt;limitePermitido, "ALERTA: EXCESO (" &amp; TEXT(limitePermitido, "0%") &amp; " máx)", "OK"))))</f>
        <v/>
      </c>
      <c r="AP2776" s="79">
        <f>IF(AN2776="","",IF(AE2776=0,"OK",_xlfn.LET(fechaPago, Z2776, fechaFactura, R2776, diasCredito, IF(E2776="Pago inmediato", 0, IFERROR(VALUE(MID(E2776, 1, SEARCH(" ", E2776)-1)),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76" s="79">
        <f>IF(AN2776="","",IF(AND(N2776&gt;0, AG2776&gt;0), IF(Configuración!$K$2="NO", "ALERTA: DESCUENTO DOBLE NO PERMITIDO", "OK"), "OK"))</f>
        <v/>
      </c>
      <c r="AR2776" s="79">
        <f>IF(AN2776="","",IF(OR(AO2776&lt;&gt;"OK", AP2776&lt;&gt;"OK", AQ2776&lt;&gt;"OK"), "⚠️ REVISAR", "OK"))</f>
        <v/>
      </c>
    </row>
    <row r="2777">
      <c r="A2777" s="79">
        <f>IF('Ordenes_Odoo'!A2777="","",'Ordenes_Odoo'!A2777)</f>
        <v/>
      </c>
      <c r="B2777" s="80">
        <f>IF('Ordenes_Odoo'!B2777="","",'Ordenes_Odoo'!B2777)</f>
        <v/>
      </c>
      <c r="C2777" s="79">
        <f>IF('Ordenes_Odoo'!C2777="","",'Ordenes_Odoo'!C2777)</f>
        <v/>
      </c>
      <c r="D2777" s="79">
        <f>IF('Ordenes_Odoo'!D2777="","",'Ordenes_Odoo'!D2777)</f>
        <v/>
      </c>
      <c r="E2777" s="79">
        <f>IF('Ordenes_Odoo'!E2777="","",'Ordenes_Odoo'!E2777)</f>
        <v/>
      </c>
      <c r="F2777" s="79">
        <f>IF('Ordenes_Odoo'!F2777="","",'Ordenes_Odoo'!F2777)</f>
        <v/>
      </c>
      <c r="G2777" s="79">
        <f>IF('Ordenes_Odoo'!G2777="","",'Ordenes_Odoo'!G2777)</f>
        <v/>
      </c>
      <c r="H2777" s="79">
        <f>IF('Ordenes_Odoo'!H2777="","",'Ordenes_Odoo'!H2777)</f>
        <v/>
      </c>
      <c r="I2777" s="79">
        <f>IF('Ordenes_Odoo'!I2777="","",'Ordenes_Odoo'!I2777)</f>
        <v/>
      </c>
      <c r="J2777" s="79">
        <f>IF('Ordenes_Odoo'!J2777="","",'Ordenes_Odoo'!J2777)</f>
        <v/>
      </c>
      <c r="K2777" s="81">
        <f>IF('Ordenes_Odoo'!K2777="","",'Ordenes_Odoo'!K2777)</f>
        <v/>
      </c>
      <c r="L2777" s="81">
        <f>IF('Ordenes_Odoo'!L2777="","",'Ordenes_Odoo'!L2777)</f>
        <v/>
      </c>
      <c r="M2777" s="79">
        <f>IF('Ordenes_Odoo'!M2777="","",'Ordenes_Odoo'!M2777)</f>
        <v/>
      </c>
      <c r="N2777" s="79">
        <f>IF('Ordenes_Odoo'!N2777="","",'Ordenes_Odoo'!N2777)</f>
        <v/>
      </c>
      <c r="O2777" s="81">
        <f>IF('Ordenes_Odoo'!O2777="","",'Ordenes_Odoo'!O2777)</f>
        <v/>
      </c>
      <c r="P2777" s="81">
        <f>IF('Ordenes_Odoo'!P2777="","",'Ordenes_Odoo'!P2777)</f>
        <v/>
      </c>
      <c r="Q2777" s="79">
        <f>IF(A2777="","",IFERROR(INDEX(Facturas_Odoo!$B:$B, MATCH(A2777, Facturas_Odoo!$D:$D, 0)), "Sin Factura"))</f>
        <v/>
      </c>
      <c r="R2777" s="80">
        <f>IF(Q2777="Sin Factura","",IFERROR(INDEX(Facturas_Odoo!$A:$A, MATCH(Q2777, Facturas_Odoo!$B:$B, 0)), ""))</f>
        <v/>
      </c>
      <c r="S2777" s="79">
        <f>IF(Q2777="Sin Factura","",IFERROR(_xlfn.XLOOKUP(1, (Facturas_Odoo!$D:$D=A2777) * (Facturas_Odoo!$K:$K=I2777), Facturas_Odoo!$L:$L, ""), ""))</f>
        <v/>
      </c>
      <c r="T2777" s="81">
        <f>IF(Q2777="Sin Factura",0,IFERROR(_xlfn.XLOOKUP(1, (Facturas_Odoo!$D:$D=A2777) * (Facturas_Odoo!$K:$K=I2777), Facturas_Odoo!$M:$M, 0), 0))</f>
        <v/>
      </c>
      <c r="U2777" s="79">
        <f>IF(Q2777="Sin Factura",0,IFERROR(_xlfn.XLOOKUP(1, (Facturas_Odoo!$D:$D=A2777) * (Facturas_Odoo!$K:$K=I2777), Facturas_Odoo!$N:$N, 0), 0))</f>
        <v/>
      </c>
      <c r="V2777" s="79">
        <f>IF(Q2777="Sin Factura",0,IFERROR(_xlfn.XLOOKUP(1, (Facturas_Odoo!$D:$D=A2777) * (Facturas_Odoo!$K:$K=I2777), Facturas_Odoo!$O:$O, 0), 0))</f>
        <v/>
      </c>
      <c r="W2777" s="81">
        <f>IF(Q2777="Sin Factura",0,IFERROR(_xlfn.XLOOKUP(1, (Facturas_Odoo!$D:$D=A2777) * (Facturas_Odoo!$K:$K=I2777), Facturas_Odoo!$Q:$Q, 0), 0))</f>
        <v/>
      </c>
      <c r="X2777" s="79">
        <f>IF(OR(Q2777="Sin Factura",Q2777=""),"",IFERROR(INDEX(Pagos_Odoo!$B:$B, MATCH(Q2777, Pagos_Odoo!$I:$I, 0)), "Sin Pago"))</f>
        <v/>
      </c>
      <c r="Y2777" s="79">
        <f>IF(X2777="Sin Pago","",IFERROR(INDEX(Pagos_Odoo!$C:$C, MATCH(X2777, Pagos_Odoo!$B:$B, 0)), ""))</f>
        <v/>
      </c>
      <c r="Z2777" s="80">
        <f>IF(X2777="Sin Pago","",IFERROR(INDEX(Pagos_Odoo!$A:$A, MATCH(X2777, Pagos_Odoo!$B:$B, 0)), ""))</f>
        <v/>
      </c>
      <c r="AA2777" s="79">
        <f>IF(X2777="Sin Pago","",IFERROR(INDEX(Pagos_Odoo!$F:$F, MATCH(X2777, Pagos_Odoo!$B:$B, 0)), ""))</f>
        <v/>
      </c>
      <c r="AB2777" s="81">
        <f>IF(X2777="Sin Pago",0,IFERROR(INDEX(Pagos_Odoo!$E:$E, MATCH(X2777, Pagos_Odoo!$B:$B, 0)), 0))</f>
        <v/>
      </c>
      <c r="AC2777" s="79">
        <f>IF(X2777="Sin Pago","",IFERROR(INDEX(Pagos_Odoo!$G:$G, MATCH(X2777, Pagos_Odoo!$B:$B, 0)), ""))</f>
        <v/>
      </c>
      <c r="AD2777" s="82" t="n">
        <v>0</v>
      </c>
      <c r="AE2777" s="82" t="n"/>
      <c r="AF2777" s="82" t="n"/>
      <c r="AG2777" s="82">
        <f>IF(AN2777="","",AD2777+AE2777+AF2777)</f>
        <v/>
      </c>
      <c r="AH2777" s="81">
        <f>IF(AN2777="","",P2777*(1-AG2777))</f>
        <v/>
      </c>
      <c r="AI2777" s="81">
        <f>IF(AN2777="","",IF(Q2777="Sin Factura",0,IFERROR(INDEX(Facturas_Odoo!$H:$H, MATCH(Q2777, Facturas_Odoo!$B:$B, 0)), 0)*(1-AG2777)))</f>
        <v/>
      </c>
      <c r="AJ2777" s="81">
        <f>IF(AN2777="","",_xlfn.LET(idVenta, AN2777&amp;"",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77" s="81">
        <f>IF(AN2777="","",AH2777-AJ2777)</f>
        <v/>
      </c>
      <c r="AL2777" s="81">
        <f>IF(AN2777="","",IF(Q2777="Sin Factura","",AI2777-AJ2777))</f>
        <v/>
      </c>
      <c r="AM2777" s="81">
        <f>IF(AN2777="","",IF(Q2777="Sin Factura",0,P2777-IFERROR(INDEX(Facturas_Odoo!$H:$H, MATCH(Q2777, Facturas_Odoo!$B:$B, 0)), 0)))</f>
        <v/>
      </c>
      <c r="AN2777" s="79">
        <f>IF(AND(A2777="", J2777=""), "", IF(A2777&lt;&gt;"", VALUE(MID(A2777,2,LEN(A2777))), AN2776))</f>
        <v/>
      </c>
      <c r="AO2777" s="79">
        <f>IF(AN2777="","",IF(AD2777=0,"OK",_xlfn.LET(monedaPago, IF(AA2777="","USD",AA2777), limitePermitido, IFERROR(VLOOKUP(monedaPago, Configuración!$A$2:$B$3, 2, FALSE), 0.15), IF(AD2777&gt;limitePermitido, "ALERTA: EXCESO (" &amp; TEXT(limitePermitido, "0%") &amp; " máx)", "OK"))))</f>
        <v/>
      </c>
      <c r="AP2777" s="79">
        <f>IF(AN2777="","",IF(AE2777=0,"OK",_xlfn.LET(fechaPago, Z2777, fechaFactura, R2777, diasCredito, IF(E2777="Pago inmediato", 0, IFERROR(VALUE(MID(E2777, 1, SEARCH(" ", E2777)-1)),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77" s="79">
        <f>IF(AN2777="","",IF(AND(N2777&gt;0, AG2777&gt;0), IF(Configuración!$K$2="NO", "ALERTA: DESCUENTO DOBLE NO PERMITIDO", "OK"), "OK"))</f>
        <v/>
      </c>
      <c r="AR2777" s="79">
        <f>IF(AN2777="","",IF(OR(AO2777&lt;&gt;"OK", AP2777&lt;&gt;"OK", AQ2777&lt;&gt;"OK"), "⚠️ REVISAR", "OK"))</f>
        <v/>
      </c>
    </row>
    <row r="2778">
      <c r="A2778" s="79">
        <f>IF('Ordenes_Odoo'!A2778="","",'Ordenes_Odoo'!A2778)</f>
        <v/>
      </c>
      <c r="B2778" s="80">
        <f>IF('Ordenes_Odoo'!B2778="","",'Ordenes_Odoo'!B2778)</f>
        <v/>
      </c>
      <c r="C2778" s="79">
        <f>IF('Ordenes_Odoo'!C2778="","",'Ordenes_Odoo'!C2778)</f>
        <v/>
      </c>
      <c r="D2778" s="79">
        <f>IF('Ordenes_Odoo'!D2778="","",'Ordenes_Odoo'!D2778)</f>
        <v/>
      </c>
      <c r="E2778" s="79">
        <f>IF('Ordenes_Odoo'!E2778="","",'Ordenes_Odoo'!E2778)</f>
        <v/>
      </c>
      <c r="F2778" s="79">
        <f>IF('Ordenes_Odoo'!F2778="","",'Ordenes_Odoo'!F2778)</f>
        <v/>
      </c>
      <c r="G2778" s="79">
        <f>IF('Ordenes_Odoo'!G2778="","",'Ordenes_Odoo'!G2778)</f>
        <v/>
      </c>
      <c r="H2778" s="79">
        <f>IF('Ordenes_Odoo'!H2778="","",'Ordenes_Odoo'!H2778)</f>
        <v/>
      </c>
      <c r="I2778" s="79">
        <f>IF('Ordenes_Odoo'!I2778="","",'Ordenes_Odoo'!I2778)</f>
        <v/>
      </c>
      <c r="J2778" s="79">
        <f>IF('Ordenes_Odoo'!J2778="","",'Ordenes_Odoo'!J2778)</f>
        <v/>
      </c>
      <c r="K2778" s="81">
        <f>IF('Ordenes_Odoo'!K2778="","",'Ordenes_Odoo'!K2778)</f>
        <v/>
      </c>
      <c r="L2778" s="81">
        <f>IF('Ordenes_Odoo'!L2778="","",'Ordenes_Odoo'!L2778)</f>
        <v/>
      </c>
      <c r="M2778" s="79">
        <f>IF('Ordenes_Odoo'!M2778="","",'Ordenes_Odoo'!M2778)</f>
        <v/>
      </c>
      <c r="N2778" s="79">
        <f>IF('Ordenes_Odoo'!N2778="","",'Ordenes_Odoo'!N2778)</f>
        <v/>
      </c>
      <c r="O2778" s="81">
        <f>IF('Ordenes_Odoo'!O2778="","",'Ordenes_Odoo'!O2778)</f>
        <v/>
      </c>
      <c r="P2778" s="81">
        <f>IF('Ordenes_Odoo'!P2778="","",'Ordenes_Odoo'!P2778)</f>
        <v/>
      </c>
      <c r="Q2778" s="79">
        <f>IF(A2778="","",IFERROR(INDEX(Facturas_Odoo!$B:$B, MATCH(A2778, Facturas_Odoo!$D:$D, 0)), "Sin Factura"))</f>
        <v/>
      </c>
      <c r="R2778" s="80">
        <f>IF(Q2778="Sin Factura","",IFERROR(INDEX(Facturas_Odoo!$A:$A, MATCH(Q2778, Facturas_Odoo!$B:$B, 0)), ""))</f>
        <v/>
      </c>
      <c r="S2778" s="79">
        <f>IF(Q2778="Sin Factura","",IFERROR(_xlfn.XLOOKUP(1, (Facturas_Odoo!$D:$D=A2778) * (Facturas_Odoo!$K:$K=I2778), Facturas_Odoo!$L:$L, ""), ""))</f>
        <v/>
      </c>
      <c r="T2778" s="81">
        <f>IF(Q2778="Sin Factura",0,IFERROR(_xlfn.XLOOKUP(1, (Facturas_Odoo!$D:$D=A2778) * (Facturas_Odoo!$K:$K=I2778), Facturas_Odoo!$M:$M, 0), 0))</f>
        <v/>
      </c>
      <c r="U2778" s="79">
        <f>IF(Q2778="Sin Factura",0,IFERROR(_xlfn.XLOOKUP(1, (Facturas_Odoo!$D:$D=A2778) * (Facturas_Odoo!$K:$K=I2778), Facturas_Odoo!$N:$N, 0), 0))</f>
        <v/>
      </c>
      <c r="V2778" s="79">
        <f>IF(Q2778="Sin Factura",0,IFERROR(_xlfn.XLOOKUP(1, (Facturas_Odoo!$D:$D=A2778) * (Facturas_Odoo!$K:$K=I2778), Facturas_Odoo!$O:$O, 0), 0))</f>
        <v/>
      </c>
      <c r="W2778" s="81">
        <f>IF(Q2778="Sin Factura",0,IFERROR(_xlfn.XLOOKUP(1, (Facturas_Odoo!$D:$D=A2778) * (Facturas_Odoo!$K:$K=I2778), Facturas_Odoo!$Q:$Q, 0), 0))</f>
        <v/>
      </c>
      <c r="X2778" s="79">
        <f>IF(OR(Q2778="Sin Factura",Q2778=""),"",IFERROR(INDEX(Pagos_Odoo!$B:$B, MATCH(Q2778, Pagos_Odoo!$I:$I, 0)), "Sin Pago"))</f>
        <v/>
      </c>
      <c r="Y2778" s="79">
        <f>IF(X2778="Sin Pago","",IFERROR(INDEX(Pagos_Odoo!$C:$C, MATCH(X2778, Pagos_Odoo!$B:$B, 0)), ""))</f>
        <v/>
      </c>
      <c r="Z2778" s="80">
        <f>IF(X2778="Sin Pago","",IFERROR(INDEX(Pagos_Odoo!$A:$A, MATCH(X2778, Pagos_Odoo!$B:$B, 0)), ""))</f>
        <v/>
      </c>
      <c r="AA2778" s="79">
        <f>IF(X2778="Sin Pago","",IFERROR(INDEX(Pagos_Odoo!$F:$F, MATCH(X2778, Pagos_Odoo!$B:$B, 0)), ""))</f>
        <v/>
      </c>
      <c r="AB2778" s="81">
        <f>IF(X2778="Sin Pago",0,IFERROR(INDEX(Pagos_Odoo!$E:$E, MATCH(X2778, Pagos_Odoo!$B:$B, 0)), 0))</f>
        <v/>
      </c>
      <c r="AC2778" s="79">
        <f>IF(X2778="Sin Pago","",IFERROR(INDEX(Pagos_Odoo!$G:$G, MATCH(X2778, Pagos_Odoo!$B:$B, 0)), ""))</f>
        <v/>
      </c>
      <c r="AD2778" s="82" t="n">
        <v>0</v>
      </c>
      <c r="AE2778" s="82" t="n"/>
      <c r="AF2778" s="82" t="n"/>
      <c r="AG2778" s="82">
        <f>IF(AN2778="","",AD2778+AE2778+AF2778)</f>
        <v/>
      </c>
      <c r="AH2778" s="81">
        <f>IF(AN2778="","",P2778*(1-AG2778))</f>
        <v/>
      </c>
      <c r="AI2778" s="81">
        <f>IF(AN2778="","",IF(Q2778="Sin Factura",0,IFERROR(INDEX(Facturas_Odoo!$H:$H, MATCH(Q2778, Facturas_Odoo!$B:$B, 0)), 0)*(1-AG2778)))</f>
        <v/>
      </c>
      <c r="AJ2778" s="81">
        <f>IF(AN2778="","",_xlfn.LET(idVenta, AN2778&amp;"",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78" s="81">
        <f>IF(AN2778="","",AH2778-AJ2778)</f>
        <v/>
      </c>
      <c r="AL2778" s="81">
        <f>IF(AN2778="","",IF(Q2778="Sin Factura","",AI2778-AJ2778))</f>
        <v/>
      </c>
      <c r="AM2778" s="81">
        <f>IF(AN2778="","",IF(Q2778="Sin Factura",0,P2778-IFERROR(INDEX(Facturas_Odoo!$H:$H, MATCH(Q2778, Facturas_Odoo!$B:$B, 0)), 0)))</f>
        <v/>
      </c>
      <c r="AN2778" s="79">
        <f>IF(AND(A2778="", J2778=""), "", IF(A2778&lt;&gt;"", VALUE(MID(A2778,2,LEN(A2778))), AN2777))</f>
        <v/>
      </c>
      <c r="AO2778" s="79">
        <f>IF(AN2778="","",IF(AD2778=0,"OK",_xlfn.LET(monedaPago, IF(AA2778="","USD",AA2778), limitePermitido, IFERROR(VLOOKUP(monedaPago, Configuración!$A$2:$B$3, 2, FALSE), 0.15), IF(AD2778&gt;limitePermitido, "ALERTA: EXCESO (" &amp; TEXT(limitePermitido, "0%") &amp; " máx)", "OK"))))</f>
        <v/>
      </c>
      <c r="AP2778" s="79">
        <f>IF(AN2778="","",IF(AE2778=0,"OK",_xlfn.LET(fechaPago, Z2778, fechaFactura, R2778, diasCredito, IF(E2778="Pago inmediato", 0, IFERROR(VALUE(MID(E2778, 1, SEARCH(" ", E2778)-1)),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78" s="79">
        <f>IF(AN2778="","",IF(AND(N2778&gt;0, AG2778&gt;0), IF(Configuración!$K$2="NO", "ALERTA: DESCUENTO DOBLE NO PERMITIDO", "OK"), "OK"))</f>
        <v/>
      </c>
      <c r="AR2778" s="79">
        <f>IF(AN2778="","",IF(OR(AO2778&lt;&gt;"OK", AP2778&lt;&gt;"OK", AQ2778&lt;&gt;"OK"), "⚠️ REVISAR", "OK"))</f>
        <v/>
      </c>
    </row>
    <row r="2779">
      <c r="A2779" s="79">
        <f>IF('Ordenes_Odoo'!A2779="","",'Ordenes_Odoo'!A2779)</f>
        <v/>
      </c>
      <c r="B2779" s="80">
        <f>IF('Ordenes_Odoo'!B2779="","",'Ordenes_Odoo'!B2779)</f>
        <v/>
      </c>
      <c r="C2779" s="79">
        <f>IF('Ordenes_Odoo'!C2779="","",'Ordenes_Odoo'!C2779)</f>
        <v/>
      </c>
      <c r="D2779" s="79">
        <f>IF('Ordenes_Odoo'!D2779="","",'Ordenes_Odoo'!D2779)</f>
        <v/>
      </c>
      <c r="E2779" s="79">
        <f>IF('Ordenes_Odoo'!E2779="","",'Ordenes_Odoo'!E2779)</f>
        <v/>
      </c>
      <c r="F2779" s="79">
        <f>IF('Ordenes_Odoo'!F2779="","",'Ordenes_Odoo'!F2779)</f>
        <v/>
      </c>
      <c r="G2779" s="79">
        <f>IF('Ordenes_Odoo'!G2779="","",'Ordenes_Odoo'!G2779)</f>
        <v/>
      </c>
      <c r="H2779" s="79">
        <f>IF('Ordenes_Odoo'!H2779="","",'Ordenes_Odoo'!H2779)</f>
        <v/>
      </c>
      <c r="I2779" s="79">
        <f>IF('Ordenes_Odoo'!I2779="","",'Ordenes_Odoo'!I2779)</f>
        <v/>
      </c>
      <c r="J2779" s="79">
        <f>IF('Ordenes_Odoo'!J2779="","",'Ordenes_Odoo'!J2779)</f>
        <v/>
      </c>
      <c r="K2779" s="81">
        <f>IF('Ordenes_Odoo'!K2779="","",'Ordenes_Odoo'!K2779)</f>
        <v/>
      </c>
      <c r="L2779" s="81">
        <f>IF('Ordenes_Odoo'!L2779="","",'Ordenes_Odoo'!L2779)</f>
        <v/>
      </c>
      <c r="M2779" s="79">
        <f>IF('Ordenes_Odoo'!M2779="","",'Ordenes_Odoo'!M2779)</f>
        <v/>
      </c>
      <c r="N2779" s="79">
        <f>IF('Ordenes_Odoo'!N2779="","",'Ordenes_Odoo'!N2779)</f>
        <v/>
      </c>
      <c r="O2779" s="81">
        <f>IF('Ordenes_Odoo'!O2779="","",'Ordenes_Odoo'!O2779)</f>
        <v/>
      </c>
      <c r="P2779" s="81">
        <f>IF('Ordenes_Odoo'!P2779="","",'Ordenes_Odoo'!P2779)</f>
        <v/>
      </c>
      <c r="Q2779" s="79">
        <f>IF(A2779="","",IFERROR(INDEX(Facturas_Odoo!$B:$B, MATCH(A2779, Facturas_Odoo!$D:$D, 0)), "Sin Factura"))</f>
        <v/>
      </c>
      <c r="R2779" s="80">
        <f>IF(Q2779="Sin Factura","",IFERROR(INDEX(Facturas_Odoo!$A:$A, MATCH(Q2779, Facturas_Odoo!$B:$B, 0)), ""))</f>
        <v/>
      </c>
      <c r="S2779" s="79">
        <f>IF(Q2779="Sin Factura","",IFERROR(_xlfn.XLOOKUP(1, (Facturas_Odoo!$D:$D=A2779) * (Facturas_Odoo!$K:$K=I2779), Facturas_Odoo!$L:$L, ""), ""))</f>
        <v/>
      </c>
      <c r="T2779" s="81">
        <f>IF(Q2779="Sin Factura",0,IFERROR(_xlfn.XLOOKUP(1, (Facturas_Odoo!$D:$D=A2779) * (Facturas_Odoo!$K:$K=I2779), Facturas_Odoo!$M:$M, 0), 0))</f>
        <v/>
      </c>
      <c r="U2779" s="79">
        <f>IF(Q2779="Sin Factura",0,IFERROR(_xlfn.XLOOKUP(1, (Facturas_Odoo!$D:$D=A2779) * (Facturas_Odoo!$K:$K=I2779), Facturas_Odoo!$N:$N, 0), 0))</f>
        <v/>
      </c>
      <c r="V2779" s="79">
        <f>IF(Q2779="Sin Factura",0,IFERROR(_xlfn.XLOOKUP(1, (Facturas_Odoo!$D:$D=A2779) * (Facturas_Odoo!$K:$K=I2779), Facturas_Odoo!$O:$O, 0), 0))</f>
        <v/>
      </c>
      <c r="W2779" s="81">
        <f>IF(Q2779="Sin Factura",0,IFERROR(_xlfn.XLOOKUP(1, (Facturas_Odoo!$D:$D=A2779) * (Facturas_Odoo!$K:$K=I2779), Facturas_Odoo!$Q:$Q, 0), 0))</f>
        <v/>
      </c>
      <c r="X2779" s="79">
        <f>IF(OR(Q2779="Sin Factura",Q2779=""),"",IFERROR(INDEX(Pagos_Odoo!$B:$B, MATCH(Q2779, Pagos_Odoo!$I:$I, 0)), "Sin Pago"))</f>
        <v/>
      </c>
      <c r="Y2779" s="79">
        <f>IF(X2779="Sin Pago","",IFERROR(INDEX(Pagos_Odoo!$C:$C, MATCH(X2779, Pagos_Odoo!$B:$B, 0)), ""))</f>
        <v/>
      </c>
      <c r="Z2779" s="80">
        <f>IF(X2779="Sin Pago","",IFERROR(INDEX(Pagos_Odoo!$A:$A, MATCH(X2779, Pagos_Odoo!$B:$B, 0)), ""))</f>
        <v/>
      </c>
      <c r="AA2779" s="79">
        <f>IF(X2779="Sin Pago","",IFERROR(INDEX(Pagos_Odoo!$F:$F, MATCH(X2779, Pagos_Odoo!$B:$B, 0)), ""))</f>
        <v/>
      </c>
      <c r="AB2779" s="81">
        <f>IF(X2779="Sin Pago",0,IFERROR(INDEX(Pagos_Odoo!$E:$E, MATCH(X2779, Pagos_Odoo!$B:$B, 0)), 0))</f>
        <v/>
      </c>
      <c r="AC2779" s="79">
        <f>IF(X2779="Sin Pago","",IFERROR(INDEX(Pagos_Odoo!$G:$G, MATCH(X2779, Pagos_Odoo!$B:$B, 0)), ""))</f>
        <v/>
      </c>
      <c r="AD2779" s="82" t="n">
        <v>0</v>
      </c>
      <c r="AE2779" s="82" t="n"/>
      <c r="AF2779" s="82" t="n"/>
      <c r="AG2779" s="82">
        <f>IF(AN2779="","",AD2779+AE2779+AF2779)</f>
        <v/>
      </c>
      <c r="AH2779" s="81">
        <f>IF(AN2779="","",P2779*(1-AG2779))</f>
        <v/>
      </c>
      <c r="AI2779" s="81">
        <f>IF(AN2779="","",IF(Q2779="Sin Factura",0,IFERROR(INDEX(Facturas_Odoo!$H:$H, MATCH(Q2779, Facturas_Odoo!$B:$B, 0)), 0)*(1-AG2779)))</f>
        <v/>
      </c>
      <c r="AJ2779" s="81">
        <f>IF(AN2779="","",_xlfn.LET(idVenta, AN2779&amp;"",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79" s="81">
        <f>IF(AN2779="","",AH2779-AJ2779)</f>
        <v/>
      </c>
      <c r="AL2779" s="81">
        <f>IF(AN2779="","",IF(Q2779="Sin Factura","",AI2779-AJ2779))</f>
        <v/>
      </c>
      <c r="AM2779" s="81">
        <f>IF(AN2779="","",IF(Q2779="Sin Factura",0,P2779-IFERROR(INDEX(Facturas_Odoo!$H:$H, MATCH(Q2779, Facturas_Odoo!$B:$B, 0)), 0)))</f>
        <v/>
      </c>
      <c r="AN2779" s="79">
        <f>IF(AND(A2779="", J2779=""), "", IF(A2779&lt;&gt;"", VALUE(MID(A2779,2,LEN(A2779))), AN2778))</f>
        <v/>
      </c>
      <c r="AO2779" s="79">
        <f>IF(AN2779="","",IF(AD2779=0,"OK",_xlfn.LET(monedaPago, IF(AA2779="","USD",AA2779), limitePermitido, IFERROR(VLOOKUP(monedaPago, Configuración!$A$2:$B$3, 2, FALSE), 0.15), IF(AD2779&gt;limitePermitido, "ALERTA: EXCESO (" &amp; TEXT(limitePermitido, "0%") &amp; " máx)", "OK"))))</f>
        <v/>
      </c>
      <c r="AP2779" s="79">
        <f>IF(AN2779="","",IF(AE2779=0,"OK",_xlfn.LET(fechaPago, Z2779, fechaFactura, R2779, diasCredito, IF(E2779="Pago inmediato", 0, IFERROR(VALUE(MID(E2779, 1, SEARCH(" ", E2779)-1)),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79" s="79">
        <f>IF(AN2779="","",IF(AND(N2779&gt;0, AG2779&gt;0), IF(Configuración!$K$2="NO", "ALERTA: DESCUENTO DOBLE NO PERMITIDO", "OK"), "OK"))</f>
        <v/>
      </c>
      <c r="AR2779" s="79">
        <f>IF(AN2779="","",IF(OR(AO2779&lt;&gt;"OK", AP2779&lt;&gt;"OK", AQ2779&lt;&gt;"OK"), "⚠️ REVISAR", "OK"))</f>
        <v/>
      </c>
    </row>
    <row r="2780">
      <c r="A2780" s="79">
        <f>IF('Ordenes_Odoo'!A2780="","",'Ordenes_Odoo'!A2780)</f>
        <v/>
      </c>
      <c r="B2780" s="80">
        <f>IF('Ordenes_Odoo'!B2780="","",'Ordenes_Odoo'!B2780)</f>
        <v/>
      </c>
      <c r="C2780" s="79">
        <f>IF('Ordenes_Odoo'!C2780="","",'Ordenes_Odoo'!C2780)</f>
        <v/>
      </c>
      <c r="D2780" s="79">
        <f>IF('Ordenes_Odoo'!D2780="","",'Ordenes_Odoo'!D2780)</f>
        <v/>
      </c>
      <c r="E2780" s="79">
        <f>IF('Ordenes_Odoo'!E2780="","",'Ordenes_Odoo'!E2780)</f>
        <v/>
      </c>
      <c r="F2780" s="79">
        <f>IF('Ordenes_Odoo'!F2780="","",'Ordenes_Odoo'!F2780)</f>
        <v/>
      </c>
      <c r="G2780" s="79">
        <f>IF('Ordenes_Odoo'!G2780="","",'Ordenes_Odoo'!G2780)</f>
        <v/>
      </c>
      <c r="H2780" s="79">
        <f>IF('Ordenes_Odoo'!H2780="","",'Ordenes_Odoo'!H2780)</f>
        <v/>
      </c>
      <c r="I2780" s="79">
        <f>IF('Ordenes_Odoo'!I2780="","",'Ordenes_Odoo'!I2780)</f>
        <v/>
      </c>
      <c r="J2780" s="79">
        <f>IF('Ordenes_Odoo'!J2780="","",'Ordenes_Odoo'!J2780)</f>
        <v/>
      </c>
      <c r="K2780" s="81">
        <f>IF('Ordenes_Odoo'!K2780="","",'Ordenes_Odoo'!K2780)</f>
        <v/>
      </c>
      <c r="L2780" s="81">
        <f>IF('Ordenes_Odoo'!L2780="","",'Ordenes_Odoo'!L2780)</f>
        <v/>
      </c>
      <c r="M2780" s="79">
        <f>IF('Ordenes_Odoo'!M2780="","",'Ordenes_Odoo'!M2780)</f>
        <v/>
      </c>
      <c r="N2780" s="79">
        <f>IF('Ordenes_Odoo'!N2780="","",'Ordenes_Odoo'!N2780)</f>
        <v/>
      </c>
      <c r="O2780" s="81">
        <f>IF('Ordenes_Odoo'!O2780="","",'Ordenes_Odoo'!O2780)</f>
        <v/>
      </c>
      <c r="P2780" s="81">
        <f>IF('Ordenes_Odoo'!P2780="","",'Ordenes_Odoo'!P2780)</f>
        <v/>
      </c>
      <c r="Q2780" s="79">
        <f>IF(A2780="","",IFERROR(INDEX(Facturas_Odoo!$B:$B, MATCH(A2780, Facturas_Odoo!$D:$D, 0)), "Sin Factura"))</f>
        <v/>
      </c>
      <c r="R2780" s="80">
        <f>IF(Q2780="Sin Factura","",IFERROR(INDEX(Facturas_Odoo!$A:$A, MATCH(Q2780, Facturas_Odoo!$B:$B, 0)), ""))</f>
        <v/>
      </c>
      <c r="S2780" s="79">
        <f>IF(Q2780="Sin Factura","",IFERROR(_xlfn.XLOOKUP(1, (Facturas_Odoo!$D:$D=A2780) * (Facturas_Odoo!$K:$K=I2780), Facturas_Odoo!$L:$L, ""), ""))</f>
        <v/>
      </c>
      <c r="T2780" s="81">
        <f>IF(Q2780="Sin Factura",0,IFERROR(_xlfn.XLOOKUP(1, (Facturas_Odoo!$D:$D=A2780) * (Facturas_Odoo!$K:$K=I2780), Facturas_Odoo!$M:$M, 0), 0))</f>
        <v/>
      </c>
      <c r="U2780" s="79">
        <f>IF(Q2780="Sin Factura",0,IFERROR(_xlfn.XLOOKUP(1, (Facturas_Odoo!$D:$D=A2780) * (Facturas_Odoo!$K:$K=I2780), Facturas_Odoo!$N:$N, 0), 0))</f>
        <v/>
      </c>
      <c r="V2780" s="79">
        <f>IF(Q2780="Sin Factura",0,IFERROR(_xlfn.XLOOKUP(1, (Facturas_Odoo!$D:$D=A2780) * (Facturas_Odoo!$K:$K=I2780), Facturas_Odoo!$O:$O, 0), 0))</f>
        <v/>
      </c>
      <c r="W2780" s="81">
        <f>IF(Q2780="Sin Factura",0,IFERROR(_xlfn.XLOOKUP(1, (Facturas_Odoo!$D:$D=A2780) * (Facturas_Odoo!$K:$K=I2780), Facturas_Odoo!$Q:$Q, 0), 0))</f>
        <v/>
      </c>
      <c r="X2780" s="79">
        <f>IF(OR(Q2780="Sin Factura",Q2780=""),"",IFERROR(INDEX(Pagos_Odoo!$B:$B, MATCH(Q2780, Pagos_Odoo!$I:$I, 0)), "Sin Pago"))</f>
        <v/>
      </c>
      <c r="Y2780" s="79">
        <f>IF(X2780="Sin Pago","",IFERROR(INDEX(Pagos_Odoo!$C:$C, MATCH(X2780, Pagos_Odoo!$B:$B, 0)), ""))</f>
        <v/>
      </c>
      <c r="Z2780" s="80">
        <f>IF(X2780="Sin Pago","",IFERROR(INDEX(Pagos_Odoo!$A:$A, MATCH(X2780, Pagos_Odoo!$B:$B, 0)), ""))</f>
        <v/>
      </c>
      <c r="AA2780" s="79">
        <f>IF(X2780="Sin Pago","",IFERROR(INDEX(Pagos_Odoo!$F:$F, MATCH(X2780, Pagos_Odoo!$B:$B, 0)), ""))</f>
        <v/>
      </c>
      <c r="AB2780" s="81">
        <f>IF(X2780="Sin Pago",0,IFERROR(INDEX(Pagos_Odoo!$E:$E, MATCH(X2780, Pagos_Odoo!$B:$B, 0)), 0))</f>
        <v/>
      </c>
      <c r="AC2780" s="79">
        <f>IF(X2780="Sin Pago","",IFERROR(INDEX(Pagos_Odoo!$G:$G, MATCH(X2780, Pagos_Odoo!$B:$B, 0)), ""))</f>
        <v/>
      </c>
      <c r="AD2780" s="82" t="n">
        <v>0</v>
      </c>
      <c r="AE2780" s="82" t="n"/>
      <c r="AF2780" s="82" t="n"/>
      <c r="AG2780" s="82">
        <f>IF(AN2780="","",AD2780+AE2780+AF2780)</f>
        <v/>
      </c>
      <c r="AH2780" s="81">
        <f>IF(AN2780="","",P2780*(1-AG2780))</f>
        <v/>
      </c>
      <c r="AI2780" s="81">
        <f>IF(AN2780="","",IF(Q2780="Sin Factura",0,IFERROR(INDEX(Facturas_Odoo!$H:$H, MATCH(Q2780, Facturas_Odoo!$B:$B, 0)), 0)*(1-AG2780)))</f>
        <v/>
      </c>
      <c r="AJ2780" s="81">
        <f>IF(AN2780="","",_xlfn.LET(idVenta, AN2780&amp;"",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80" s="81">
        <f>IF(AN2780="","",AH2780-AJ2780)</f>
        <v/>
      </c>
      <c r="AL2780" s="81">
        <f>IF(AN2780="","",IF(Q2780="Sin Factura","",AI2780-AJ2780))</f>
        <v/>
      </c>
      <c r="AM2780" s="81">
        <f>IF(AN2780="","",IF(Q2780="Sin Factura",0,P2780-IFERROR(INDEX(Facturas_Odoo!$H:$H, MATCH(Q2780, Facturas_Odoo!$B:$B, 0)), 0)))</f>
        <v/>
      </c>
      <c r="AN2780" s="79">
        <f>IF(AND(A2780="", J2780=""), "", IF(A2780&lt;&gt;"", VALUE(MID(A2780,2,LEN(A2780))), AN2779))</f>
        <v/>
      </c>
      <c r="AO2780" s="79">
        <f>IF(AN2780="","",IF(AD2780=0,"OK",_xlfn.LET(monedaPago, IF(AA2780="","USD",AA2780), limitePermitido, IFERROR(VLOOKUP(monedaPago, Configuración!$A$2:$B$3, 2, FALSE), 0.15), IF(AD2780&gt;limitePermitido, "ALERTA: EXCESO (" &amp; TEXT(limitePermitido, "0%") &amp; " máx)", "OK"))))</f>
        <v/>
      </c>
      <c r="AP2780" s="79">
        <f>IF(AN2780="","",IF(AE2780=0,"OK",_xlfn.LET(fechaPago, Z2780, fechaFactura, R2780, diasCredito, IF(E2780="Pago inmediato", 0, IFERROR(VALUE(MID(E2780, 1, SEARCH(" ", E2780)-1)),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80" s="79">
        <f>IF(AN2780="","",IF(AND(N2780&gt;0, AG2780&gt;0), IF(Configuración!$K$2="NO", "ALERTA: DESCUENTO DOBLE NO PERMITIDO", "OK"), "OK"))</f>
        <v/>
      </c>
      <c r="AR2780" s="79">
        <f>IF(AN2780="","",IF(OR(AO2780&lt;&gt;"OK", AP2780&lt;&gt;"OK", AQ2780&lt;&gt;"OK"), "⚠️ REVISAR", "OK"))</f>
        <v/>
      </c>
    </row>
    <row r="2781">
      <c r="A2781" s="79">
        <f>IF('Ordenes_Odoo'!A2781="","",'Ordenes_Odoo'!A2781)</f>
        <v/>
      </c>
      <c r="B2781" s="80">
        <f>IF('Ordenes_Odoo'!B2781="","",'Ordenes_Odoo'!B2781)</f>
        <v/>
      </c>
      <c r="C2781" s="79">
        <f>IF('Ordenes_Odoo'!C2781="","",'Ordenes_Odoo'!C2781)</f>
        <v/>
      </c>
      <c r="D2781" s="79">
        <f>IF('Ordenes_Odoo'!D2781="","",'Ordenes_Odoo'!D2781)</f>
        <v/>
      </c>
      <c r="E2781" s="79">
        <f>IF('Ordenes_Odoo'!E2781="","",'Ordenes_Odoo'!E2781)</f>
        <v/>
      </c>
      <c r="F2781" s="79">
        <f>IF('Ordenes_Odoo'!F2781="","",'Ordenes_Odoo'!F2781)</f>
        <v/>
      </c>
      <c r="G2781" s="79">
        <f>IF('Ordenes_Odoo'!G2781="","",'Ordenes_Odoo'!G2781)</f>
        <v/>
      </c>
      <c r="H2781" s="79">
        <f>IF('Ordenes_Odoo'!H2781="","",'Ordenes_Odoo'!H2781)</f>
        <v/>
      </c>
      <c r="I2781" s="79">
        <f>IF('Ordenes_Odoo'!I2781="","",'Ordenes_Odoo'!I2781)</f>
        <v/>
      </c>
      <c r="J2781" s="79">
        <f>IF('Ordenes_Odoo'!J2781="","",'Ordenes_Odoo'!J2781)</f>
        <v/>
      </c>
      <c r="K2781" s="81">
        <f>IF('Ordenes_Odoo'!K2781="","",'Ordenes_Odoo'!K2781)</f>
        <v/>
      </c>
      <c r="L2781" s="81">
        <f>IF('Ordenes_Odoo'!L2781="","",'Ordenes_Odoo'!L2781)</f>
        <v/>
      </c>
      <c r="M2781" s="79">
        <f>IF('Ordenes_Odoo'!M2781="","",'Ordenes_Odoo'!M2781)</f>
        <v/>
      </c>
      <c r="N2781" s="79">
        <f>IF('Ordenes_Odoo'!N2781="","",'Ordenes_Odoo'!N2781)</f>
        <v/>
      </c>
      <c r="O2781" s="81">
        <f>IF('Ordenes_Odoo'!O2781="","",'Ordenes_Odoo'!O2781)</f>
        <v/>
      </c>
      <c r="P2781" s="81">
        <f>IF('Ordenes_Odoo'!P2781="","",'Ordenes_Odoo'!P2781)</f>
        <v/>
      </c>
      <c r="Q2781" s="79">
        <f>IF(A2781="","",IFERROR(INDEX(Facturas_Odoo!$B:$B, MATCH(A2781, Facturas_Odoo!$D:$D, 0)), "Sin Factura"))</f>
        <v/>
      </c>
      <c r="R2781" s="80">
        <f>IF(Q2781="Sin Factura","",IFERROR(INDEX(Facturas_Odoo!$A:$A, MATCH(Q2781, Facturas_Odoo!$B:$B, 0)), ""))</f>
        <v/>
      </c>
      <c r="S2781" s="79">
        <f>IF(Q2781="Sin Factura","",IFERROR(_xlfn.XLOOKUP(1, (Facturas_Odoo!$D:$D=A2781) * (Facturas_Odoo!$K:$K=I2781), Facturas_Odoo!$L:$L, ""), ""))</f>
        <v/>
      </c>
      <c r="T2781" s="81">
        <f>IF(Q2781="Sin Factura",0,IFERROR(_xlfn.XLOOKUP(1, (Facturas_Odoo!$D:$D=A2781) * (Facturas_Odoo!$K:$K=I2781), Facturas_Odoo!$M:$M, 0), 0))</f>
        <v/>
      </c>
      <c r="U2781" s="79">
        <f>IF(Q2781="Sin Factura",0,IFERROR(_xlfn.XLOOKUP(1, (Facturas_Odoo!$D:$D=A2781) * (Facturas_Odoo!$K:$K=I2781), Facturas_Odoo!$N:$N, 0), 0))</f>
        <v/>
      </c>
      <c r="V2781" s="79">
        <f>IF(Q2781="Sin Factura",0,IFERROR(_xlfn.XLOOKUP(1, (Facturas_Odoo!$D:$D=A2781) * (Facturas_Odoo!$K:$K=I2781), Facturas_Odoo!$O:$O, 0), 0))</f>
        <v/>
      </c>
      <c r="W2781" s="81">
        <f>IF(Q2781="Sin Factura",0,IFERROR(_xlfn.XLOOKUP(1, (Facturas_Odoo!$D:$D=A2781) * (Facturas_Odoo!$K:$K=I2781), Facturas_Odoo!$Q:$Q, 0), 0))</f>
        <v/>
      </c>
      <c r="X2781" s="79">
        <f>IF(OR(Q2781="Sin Factura",Q2781=""),"",IFERROR(INDEX(Pagos_Odoo!$B:$B, MATCH(Q2781, Pagos_Odoo!$I:$I, 0)), "Sin Pago"))</f>
        <v/>
      </c>
      <c r="Y2781" s="79">
        <f>IF(X2781="Sin Pago","",IFERROR(INDEX(Pagos_Odoo!$C:$C, MATCH(X2781, Pagos_Odoo!$B:$B, 0)), ""))</f>
        <v/>
      </c>
      <c r="Z2781" s="80">
        <f>IF(X2781="Sin Pago","",IFERROR(INDEX(Pagos_Odoo!$A:$A, MATCH(X2781, Pagos_Odoo!$B:$B, 0)), ""))</f>
        <v/>
      </c>
      <c r="AA2781" s="79">
        <f>IF(X2781="Sin Pago","",IFERROR(INDEX(Pagos_Odoo!$F:$F, MATCH(X2781, Pagos_Odoo!$B:$B, 0)), ""))</f>
        <v/>
      </c>
      <c r="AB2781" s="81">
        <f>IF(X2781="Sin Pago",0,IFERROR(INDEX(Pagos_Odoo!$E:$E, MATCH(X2781, Pagos_Odoo!$B:$B, 0)), 0))</f>
        <v/>
      </c>
      <c r="AC2781" s="79">
        <f>IF(X2781="Sin Pago","",IFERROR(INDEX(Pagos_Odoo!$G:$G, MATCH(X2781, Pagos_Odoo!$B:$B, 0)), ""))</f>
        <v/>
      </c>
      <c r="AD2781" s="82" t="n">
        <v>0</v>
      </c>
      <c r="AE2781" s="82" t="n"/>
      <c r="AF2781" s="82" t="n"/>
      <c r="AG2781" s="82">
        <f>IF(AN2781="","",AD2781+AE2781+AF2781)</f>
        <v/>
      </c>
      <c r="AH2781" s="81">
        <f>IF(AN2781="","",P2781*(1-AG2781))</f>
        <v/>
      </c>
      <c r="AI2781" s="81">
        <f>IF(AN2781="","",IF(Q2781="Sin Factura",0,IFERROR(INDEX(Facturas_Odoo!$H:$H, MATCH(Q2781, Facturas_Odoo!$B:$B, 0)), 0)*(1-AG2781)))</f>
        <v/>
      </c>
      <c r="AJ2781" s="81">
        <f>IF(AN2781="","",_xlfn.LET(idVenta, AN2781&amp;"",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81" s="81">
        <f>IF(AN2781="","",AH2781-AJ2781)</f>
        <v/>
      </c>
      <c r="AL2781" s="81">
        <f>IF(AN2781="","",IF(Q2781="Sin Factura","",AI2781-AJ2781))</f>
        <v/>
      </c>
      <c r="AM2781" s="81">
        <f>IF(AN2781="","",IF(Q2781="Sin Factura",0,P2781-IFERROR(INDEX(Facturas_Odoo!$H:$H, MATCH(Q2781, Facturas_Odoo!$B:$B, 0)), 0)))</f>
        <v/>
      </c>
      <c r="AN2781" s="79">
        <f>IF(AND(A2781="", J2781=""), "", IF(A2781&lt;&gt;"", VALUE(MID(A2781,2,LEN(A2781))), AN2780))</f>
        <v/>
      </c>
      <c r="AO2781" s="79">
        <f>IF(AN2781="","",IF(AD2781=0,"OK",_xlfn.LET(monedaPago, IF(AA2781="","USD",AA2781), limitePermitido, IFERROR(VLOOKUP(monedaPago, Configuración!$A$2:$B$3, 2, FALSE), 0.15), IF(AD2781&gt;limitePermitido, "ALERTA: EXCESO (" &amp; TEXT(limitePermitido, "0%") &amp; " máx)", "OK"))))</f>
        <v/>
      </c>
      <c r="AP2781" s="79">
        <f>IF(AN2781="","",IF(AE2781=0,"OK",_xlfn.LET(fechaPago, Z2781, fechaFactura, R2781, diasCredito, IF(E2781="Pago inmediato", 0, IFERROR(VALUE(MID(E2781, 1, SEARCH(" ", E2781)-1)),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81" s="79">
        <f>IF(AN2781="","",IF(AND(N2781&gt;0, AG2781&gt;0), IF(Configuración!$K$2="NO", "ALERTA: DESCUENTO DOBLE NO PERMITIDO", "OK"), "OK"))</f>
        <v/>
      </c>
      <c r="AR2781" s="79">
        <f>IF(AN2781="","",IF(OR(AO2781&lt;&gt;"OK", AP2781&lt;&gt;"OK", AQ2781&lt;&gt;"OK"), "⚠️ REVISAR", "OK"))</f>
        <v/>
      </c>
    </row>
    <row r="2782">
      <c r="A2782" s="79">
        <f>IF('Ordenes_Odoo'!A2782="","",'Ordenes_Odoo'!A2782)</f>
        <v/>
      </c>
      <c r="B2782" s="80">
        <f>IF('Ordenes_Odoo'!B2782="","",'Ordenes_Odoo'!B2782)</f>
        <v/>
      </c>
      <c r="C2782" s="79">
        <f>IF('Ordenes_Odoo'!C2782="","",'Ordenes_Odoo'!C2782)</f>
        <v/>
      </c>
      <c r="D2782" s="79">
        <f>IF('Ordenes_Odoo'!D2782="","",'Ordenes_Odoo'!D2782)</f>
        <v/>
      </c>
      <c r="E2782" s="79">
        <f>IF('Ordenes_Odoo'!E2782="","",'Ordenes_Odoo'!E2782)</f>
        <v/>
      </c>
      <c r="F2782" s="79">
        <f>IF('Ordenes_Odoo'!F2782="","",'Ordenes_Odoo'!F2782)</f>
        <v/>
      </c>
      <c r="G2782" s="79">
        <f>IF('Ordenes_Odoo'!G2782="","",'Ordenes_Odoo'!G2782)</f>
        <v/>
      </c>
      <c r="H2782" s="79">
        <f>IF('Ordenes_Odoo'!H2782="","",'Ordenes_Odoo'!H2782)</f>
        <v/>
      </c>
      <c r="I2782" s="79">
        <f>IF('Ordenes_Odoo'!I2782="","",'Ordenes_Odoo'!I2782)</f>
        <v/>
      </c>
      <c r="J2782" s="79">
        <f>IF('Ordenes_Odoo'!J2782="","",'Ordenes_Odoo'!J2782)</f>
        <v/>
      </c>
      <c r="K2782" s="81">
        <f>IF('Ordenes_Odoo'!K2782="","",'Ordenes_Odoo'!K2782)</f>
        <v/>
      </c>
      <c r="L2782" s="81">
        <f>IF('Ordenes_Odoo'!L2782="","",'Ordenes_Odoo'!L2782)</f>
        <v/>
      </c>
      <c r="M2782" s="79">
        <f>IF('Ordenes_Odoo'!M2782="","",'Ordenes_Odoo'!M2782)</f>
        <v/>
      </c>
      <c r="N2782" s="79">
        <f>IF('Ordenes_Odoo'!N2782="","",'Ordenes_Odoo'!N2782)</f>
        <v/>
      </c>
      <c r="O2782" s="81">
        <f>IF('Ordenes_Odoo'!O2782="","",'Ordenes_Odoo'!O2782)</f>
        <v/>
      </c>
      <c r="P2782" s="81">
        <f>IF('Ordenes_Odoo'!P2782="","",'Ordenes_Odoo'!P2782)</f>
        <v/>
      </c>
      <c r="Q2782" s="79">
        <f>IF(A2782="","",IFERROR(INDEX(Facturas_Odoo!$B:$B, MATCH(A2782, Facturas_Odoo!$D:$D, 0)), "Sin Factura"))</f>
        <v/>
      </c>
      <c r="R2782" s="80">
        <f>IF(Q2782="Sin Factura","",IFERROR(INDEX(Facturas_Odoo!$A:$A, MATCH(Q2782, Facturas_Odoo!$B:$B, 0)), ""))</f>
        <v/>
      </c>
      <c r="S2782" s="79">
        <f>IF(Q2782="Sin Factura","",IFERROR(_xlfn.XLOOKUP(1, (Facturas_Odoo!$D:$D=A2782) * (Facturas_Odoo!$K:$K=I2782), Facturas_Odoo!$L:$L, ""), ""))</f>
        <v/>
      </c>
      <c r="T2782" s="81">
        <f>IF(Q2782="Sin Factura",0,IFERROR(_xlfn.XLOOKUP(1, (Facturas_Odoo!$D:$D=A2782) * (Facturas_Odoo!$K:$K=I2782), Facturas_Odoo!$M:$M, 0), 0))</f>
        <v/>
      </c>
      <c r="U2782" s="79">
        <f>IF(Q2782="Sin Factura",0,IFERROR(_xlfn.XLOOKUP(1, (Facturas_Odoo!$D:$D=A2782) * (Facturas_Odoo!$K:$K=I2782), Facturas_Odoo!$N:$N, 0), 0))</f>
        <v/>
      </c>
      <c r="V2782" s="79">
        <f>IF(Q2782="Sin Factura",0,IFERROR(_xlfn.XLOOKUP(1, (Facturas_Odoo!$D:$D=A2782) * (Facturas_Odoo!$K:$K=I2782), Facturas_Odoo!$O:$O, 0), 0))</f>
        <v/>
      </c>
      <c r="W2782" s="81">
        <f>IF(Q2782="Sin Factura",0,IFERROR(_xlfn.XLOOKUP(1, (Facturas_Odoo!$D:$D=A2782) * (Facturas_Odoo!$K:$K=I2782), Facturas_Odoo!$Q:$Q, 0), 0))</f>
        <v/>
      </c>
      <c r="X2782" s="79">
        <f>IF(OR(Q2782="Sin Factura",Q2782=""),"",IFERROR(INDEX(Pagos_Odoo!$B:$B, MATCH(Q2782, Pagos_Odoo!$I:$I, 0)), "Sin Pago"))</f>
        <v/>
      </c>
      <c r="Y2782" s="79">
        <f>IF(X2782="Sin Pago","",IFERROR(INDEX(Pagos_Odoo!$C:$C, MATCH(X2782, Pagos_Odoo!$B:$B, 0)), ""))</f>
        <v/>
      </c>
      <c r="Z2782" s="80">
        <f>IF(X2782="Sin Pago","",IFERROR(INDEX(Pagos_Odoo!$A:$A, MATCH(X2782, Pagos_Odoo!$B:$B, 0)), ""))</f>
        <v/>
      </c>
      <c r="AA2782" s="79">
        <f>IF(X2782="Sin Pago","",IFERROR(INDEX(Pagos_Odoo!$F:$F, MATCH(X2782, Pagos_Odoo!$B:$B, 0)), ""))</f>
        <v/>
      </c>
      <c r="AB2782" s="81">
        <f>IF(X2782="Sin Pago",0,IFERROR(INDEX(Pagos_Odoo!$E:$E, MATCH(X2782, Pagos_Odoo!$B:$B, 0)), 0))</f>
        <v/>
      </c>
      <c r="AC2782" s="79">
        <f>IF(X2782="Sin Pago","",IFERROR(INDEX(Pagos_Odoo!$G:$G, MATCH(X2782, Pagos_Odoo!$B:$B, 0)), ""))</f>
        <v/>
      </c>
      <c r="AD2782" s="82" t="n">
        <v>0</v>
      </c>
      <c r="AE2782" s="82" t="n"/>
      <c r="AF2782" s="82" t="n"/>
      <c r="AG2782" s="82">
        <f>IF(AN2782="","",AD2782+AE2782+AF2782)</f>
        <v/>
      </c>
      <c r="AH2782" s="81">
        <f>IF(AN2782="","",P2782*(1-AG2782))</f>
        <v/>
      </c>
      <c r="AI2782" s="81">
        <f>IF(AN2782="","",IF(Q2782="Sin Factura",0,IFERROR(INDEX(Facturas_Odoo!$H:$H, MATCH(Q2782, Facturas_Odoo!$B:$B, 0)), 0)*(1-AG2782)))</f>
        <v/>
      </c>
      <c r="AJ2782" s="81">
        <f>IF(AN2782="","",_xlfn.LET(idVenta, AN2782&amp;"",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82" s="81">
        <f>IF(AN2782="","",AH2782-AJ2782)</f>
        <v/>
      </c>
      <c r="AL2782" s="81">
        <f>IF(AN2782="","",IF(Q2782="Sin Factura","",AI2782-AJ2782))</f>
        <v/>
      </c>
      <c r="AM2782" s="81">
        <f>IF(AN2782="","",IF(Q2782="Sin Factura",0,P2782-IFERROR(INDEX(Facturas_Odoo!$H:$H, MATCH(Q2782, Facturas_Odoo!$B:$B, 0)), 0)))</f>
        <v/>
      </c>
      <c r="AN2782" s="79">
        <f>IF(AND(A2782="", J2782=""), "", IF(A2782&lt;&gt;"", VALUE(MID(A2782,2,LEN(A2782))), AN2781))</f>
        <v/>
      </c>
      <c r="AO2782" s="79">
        <f>IF(AN2782="","",IF(AD2782=0,"OK",_xlfn.LET(monedaPago, IF(AA2782="","USD",AA2782), limitePermitido, IFERROR(VLOOKUP(monedaPago, Configuración!$A$2:$B$3, 2, FALSE), 0.15), IF(AD2782&gt;limitePermitido, "ALERTA: EXCESO (" &amp; TEXT(limitePermitido, "0%") &amp; " máx)", "OK"))))</f>
        <v/>
      </c>
      <c r="AP2782" s="79">
        <f>IF(AN2782="","",IF(AE2782=0,"OK",_xlfn.LET(fechaPago, Z2782, fechaFactura, R2782, diasCredito, IF(E2782="Pago inmediato", 0, IFERROR(VALUE(MID(E2782, 1, SEARCH(" ", E2782)-1)),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82" s="79">
        <f>IF(AN2782="","",IF(AND(N2782&gt;0, AG2782&gt;0), IF(Configuración!$K$2="NO", "ALERTA: DESCUENTO DOBLE NO PERMITIDO", "OK"), "OK"))</f>
        <v/>
      </c>
      <c r="AR2782" s="79">
        <f>IF(AN2782="","",IF(OR(AO2782&lt;&gt;"OK", AP2782&lt;&gt;"OK", AQ2782&lt;&gt;"OK"), "⚠️ REVISAR", "OK"))</f>
        <v/>
      </c>
    </row>
    <row r="2783">
      <c r="A2783" s="79">
        <f>IF('Ordenes_Odoo'!A2783="","",'Ordenes_Odoo'!A2783)</f>
        <v/>
      </c>
      <c r="B2783" s="80">
        <f>IF('Ordenes_Odoo'!B2783="","",'Ordenes_Odoo'!B2783)</f>
        <v/>
      </c>
      <c r="C2783" s="79">
        <f>IF('Ordenes_Odoo'!C2783="","",'Ordenes_Odoo'!C2783)</f>
        <v/>
      </c>
      <c r="D2783" s="79">
        <f>IF('Ordenes_Odoo'!D2783="","",'Ordenes_Odoo'!D2783)</f>
        <v/>
      </c>
      <c r="E2783" s="79">
        <f>IF('Ordenes_Odoo'!E2783="","",'Ordenes_Odoo'!E2783)</f>
        <v/>
      </c>
      <c r="F2783" s="79">
        <f>IF('Ordenes_Odoo'!F2783="","",'Ordenes_Odoo'!F2783)</f>
        <v/>
      </c>
      <c r="G2783" s="79">
        <f>IF('Ordenes_Odoo'!G2783="","",'Ordenes_Odoo'!G2783)</f>
        <v/>
      </c>
      <c r="H2783" s="79">
        <f>IF('Ordenes_Odoo'!H2783="","",'Ordenes_Odoo'!H2783)</f>
        <v/>
      </c>
      <c r="I2783" s="79">
        <f>IF('Ordenes_Odoo'!I2783="","",'Ordenes_Odoo'!I2783)</f>
        <v/>
      </c>
      <c r="J2783" s="79">
        <f>IF('Ordenes_Odoo'!J2783="","",'Ordenes_Odoo'!J2783)</f>
        <v/>
      </c>
      <c r="K2783" s="81">
        <f>IF('Ordenes_Odoo'!K2783="","",'Ordenes_Odoo'!K2783)</f>
        <v/>
      </c>
      <c r="L2783" s="81">
        <f>IF('Ordenes_Odoo'!L2783="","",'Ordenes_Odoo'!L2783)</f>
        <v/>
      </c>
      <c r="M2783" s="79">
        <f>IF('Ordenes_Odoo'!M2783="","",'Ordenes_Odoo'!M2783)</f>
        <v/>
      </c>
      <c r="N2783" s="79">
        <f>IF('Ordenes_Odoo'!N2783="","",'Ordenes_Odoo'!N2783)</f>
        <v/>
      </c>
      <c r="O2783" s="81">
        <f>IF('Ordenes_Odoo'!O2783="","",'Ordenes_Odoo'!O2783)</f>
        <v/>
      </c>
      <c r="P2783" s="81">
        <f>IF('Ordenes_Odoo'!P2783="","",'Ordenes_Odoo'!P2783)</f>
        <v/>
      </c>
      <c r="Q2783" s="79">
        <f>IF(A2783="","",IFERROR(INDEX(Facturas_Odoo!$B:$B, MATCH(A2783, Facturas_Odoo!$D:$D, 0)), "Sin Factura"))</f>
        <v/>
      </c>
      <c r="R2783" s="80">
        <f>IF(Q2783="Sin Factura","",IFERROR(INDEX(Facturas_Odoo!$A:$A, MATCH(Q2783, Facturas_Odoo!$B:$B, 0)), ""))</f>
        <v/>
      </c>
      <c r="S2783" s="79">
        <f>IF(Q2783="Sin Factura","",IFERROR(_xlfn.XLOOKUP(1, (Facturas_Odoo!$D:$D=A2783) * (Facturas_Odoo!$K:$K=I2783), Facturas_Odoo!$L:$L, ""), ""))</f>
        <v/>
      </c>
      <c r="T2783" s="81">
        <f>IF(Q2783="Sin Factura",0,IFERROR(_xlfn.XLOOKUP(1, (Facturas_Odoo!$D:$D=A2783) * (Facturas_Odoo!$K:$K=I2783), Facturas_Odoo!$M:$M, 0), 0))</f>
        <v/>
      </c>
      <c r="U2783" s="79">
        <f>IF(Q2783="Sin Factura",0,IFERROR(_xlfn.XLOOKUP(1, (Facturas_Odoo!$D:$D=A2783) * (Facturas_Odoo!$K:$K=I2783), Facturas_Odoo!$N:$N, 0), 0))</f>
        <v/>
      </c>
      <c r="V2783" s="79">
        <f>IF(Q2783="Sin Factura",0,IFERROR(_xlfn.XLOOKUP(1, (Facturas_Odoo!$D:$D=A2783) * (Facturas_Odoo!$K:$K=I2783), Facturas_Odoo!$O:$O, 0), 0))</f>
        <v/>
      </c>
      <c r="W2783" s="81">
        <f>IF(Q2783="Sin Factura",0,IFERROR(_xlfn.XLOOKUP(1, (Facturas_Odoo!$D:$D=A2783) * (Facturas_Odoo!$K:$K=I2783), Facturas_Odoo!$Q:$Q, 0), 0))</f>
        <v/>
      </c>
      <c r="X2783" s="79">
        <f>IF(OR(Q2783="Sin Factura",Q2783=""),"",IFERROR(INDEX(Pagos_Odoo!$B:$B, MATCH(Q2783, Pagos_Odoo!$I:$I, 0)), "Sin Pago"))</f>
        <v/>
      </c>
      <c r="Y2783" s="79">
        <f>IF(X2783="Sin Pago","",IFERROR(INDEX(Pagos_Odoo!$C:$C, MATCH(X2783, Pagos_Odoo!$B:$B, 0)), ""))</f>
        <v/>
      </c>
      <c r="Z2783" s="80">
        <f>IF(X2783="Sin Pago","",IFERROR(INDEX(Pagos_Odoo!$A:$A, MATCH(X2783, Pagos_Odoo!$B:$B, 0)), ""))</f>
        <v/>
      </c>
      <c r="AA2783" s="79">
        <f>IF(X2783="Sin Pago","",IFERROR(INDEX(Pagos_Odoo!$F:$F, MATCH(X2783, Pagos_Odoo!$B:$B, 0)), ""))</f>
        <v/>
      </c>
      <c r="AB2783" s="81">
        <f>IF(X2783="Sin Pago",0,IFERROR(INDEX(Pagos_Odoo!$E:$E, MATCH(X2783, Pagos_Odoo!$B:$B, 0)), 0))</f>
        <v/>
      </c>
      <c r="AC2783" s="79">
        <f>IF(X2783="Sin Pago","",IFERROR(INDEX(Pagos_Odoo!$G:$G, MATCH(X2783, Pagos_Odoo!$B:$B, 0)), ""))</f>
        <v/>
      </c>
      <c r="AD2783" s="82" t="n">
        <v>0</v>
      </c>
      <c r="AE2783" s="82" t="n"/>
      <c r="AF2783" s="82" t="n"/>
      <c r="AG2783" s="82">
        <f>IF(AN2783="","",AD2783+AE2783+AF2783)</f>
        <v/>
      </c>
      <c r="AH2783" s="81">
        <f>IF(AN2783="","",P2783*(1-AG2783))</f>
        <v/>
      </c>
      <c r="AI2783" s="81">
        <f>IF(AN2783="","",IF(Q2783="Sin Factura",0,IFERROR(INDEX(Facturas_Odoo!$H:$H, MATCH(Q2783, Facturas_Odoo!$B:$B, 0)), 0)*(1-AG2783)))</f>
        <v/>
      </c>
      <c r="AJ2783" s="81">
        <f>IF(AN2783="","",_xlfn.LET(idVenta, AN2783&amp;"",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83" s="81">
        <f>IF(AN2783="","",AH2783-AJ2783)</f>
        <v/>
      </c>
      <c r="AL2783" s="81">
        <f>IF(AN2783="","",IF(Q2783="Sin Factura","",AI2783-AJ2783))</f>
        <v/>
      </c>
      <c r="AM2783" s="81">
        <f>IF(AN2783="","",IF(Q2783="Sin Factura",0,P2783-IFERROR(INDEX(Facturas_Odoo!$H:$H, MATCH(Q2783, Facturas_Odoo!$B:$B, 0)), 0)))</f>
        <v/>
      </c>
      <c r="AN2783" s="79">
        <f>IF(AND(A2783="", J2783=""), "", IF(A2783&lt;&gt;"", VALUE(MID(A2783,2,LEN(A2783))), AN2782))</f>
        <v/>
      </c>
      <c r="AO2783" s="79">
        <f>IF(AN2783="","",IF(AD2783=0,"OK",_xlfn.LET(monedaPago, IF(AA2783="","USD",AA2783), limitePermitido, IFERROR(VLOOKUP(monedaPago, Configuración!$A$2:$B$3, 2, FALSE), 0.15), IF(AD2783&gt;limitePermitido, "ALERTA: EXCESO (" &amp; TEXT(limitePermitido, "0%") &amp; " máx)", "OK"))))</f>
        <v/>
      </c>
      <c r="AP2783" s="79">
        <f>IF(AN2783="","",IF(AE2783=0,"OK",_xlfn.LET(fechaPago, Z2783, fechaFactura, R2783, diasCredito, IF(E2783="Pago inmediato", 0, IFERROR(VALUE(MID(E2783, 1, SEARCH(" ", E2783)-1)),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83" s="79">
        <f>IF(AN2783="","",IF(AND(N2783&gt;0, AG2783&gt;0), IF(Configuración!$K$2="NO", "ALERTA: DESCUENTO DOBLE NO PERMITIDO", "OK"), "OK"))</f>
        <v/>
      </c>
      <c r="AR2783" s="79">
        <f>IF(AN2783="","",IF(OR(AO2783&lt;&gt;"OK", AP2783&lt;&gt;"OK", AQ2783&lt;&gt;"OK"), "⚠️ REVISAR", "OK"))</f>
        <v/>
      </c>
    </row>
    <row r="2784">
      <c r="A2784" s="79">
        <f>IF('Ordenes_Odoo'!A2784="","",'Ordenes_Odoo'!A2784)</f>
        <v/>
      </c>
      <c r="B2784" s="80">
        <f>IF('Ordenes_Odoo'!B2784="","",'Ordenes_Odoo'!B2784)</f>
        <v/>
      </c>
      <c r="C2784" s="79">
        <f>IF('Ordenes_Odoo'!C2784="","",'Ordenes_Odoo'!C2784)</f>
        <v/>
      </c>
      <c r="D2784" s="79">
        <f>IF('Ordenes_Odoo'!D2784="","",'Ordenes_Odoo'!D2784)</f>
        <v/>
      </c>
      <c r="E2784" s="79">
        <f>IF('Ordenes_Odoo'!E2784="","",'Ordenes_Odoo'!E2784)</f>
        <v/>
      </c>
      <c r="F2784" s="79">
        <f>IF('Ordenes_Odoo'!F2784="","",'Ordenes_Odoo'!F2784)</f>
        <v/>
      </c>
      <c r="G2784" s="79">
        <f>IF('Ordenes_Odoo'!G2784="","",'Ordenes_Odoo'!G2784)</f>
        <v/>
      </c>
      <c r="H2784" s="79">
        <f>IF('Ordenes_Odoo'!H2784="","",'Ordenes_Odoo'!H2784)</f>
        <v/>
      </c>
      <c r="I2784" s="79">
        <f>IF('Ordenes_Odoo'!I2784="","",'Ordenes_Odoo'!I2784)</f>
        <v/>
      </c>
      <c r="J2784" s="79">
        <f>IF('Ordenes_Odoo'!J2784="","",'Ordenes_Odoo'!J2784)</f>
        <v/>
      </c>
      <c r="K2784" s="81">
        <f>IF('Ordenes_Odoo'!K2784="","",'Ordenes_Odoo'!K2784)</f>
        <v/>
      </c>
      <c r="L2784" s="81">
        <f>IF('Ordenes_Odoo'!L2784="","",'Ordenes_Odoo'!L2784)</f>
        <v/>
      </c>
      <c r="M2784" s="79">
        <f>IF('Ordenes_Odoo'!M2784="","",'Ordenes_Odoo'!M2784)</f>
        <v/>
      </c>
      <c r="N2784" s="79">
        <f>IF('Ordenes_Odoo'!N2784="","",'Ordenes_Odoo'!N2784)</f>
        <v/>
      </c>
      <c r="O2784" s="81">
        <f>IF('Ordenes_Odoo'!O2784="","",'Ordenes_Odoo'!O2784)</f>
        <v/>
      </c>
      <c r="P2784" s="81">
        <f>IF('Ordenes_Odoo'!P2784="","",'Ordenes_Odoo'!P2784)</f>
        <v/>
      </c>
      <c r="Q2784" s="79">
        <f>IF(A2784="","",IFERROR(INDEX(Facturas_Odoo!$B:$B, MATCH(A2784, Facturas_Odoo!$D:$D, 0)), "Sin Factura"))</f>
        <v/>
      </c>
      <c r="R2784" s="80">
        <f>IF(Q2784="Sin Factura","",IFERROR(INDEX(Facturas_Odoo!$A:$A, MATCH(Q2784, Facturas_Odoo!$B:$B, 0)), ""))</f>
        <v/>
      </c>
      <c r="S2784" s="79">
        <f>IF(Q2784="Sin Factura","",IFERROR(_xlfn.XLOOKUP(1, (Facturas_Odoo!$D:$D=A2784) * (Facturas_Odoo!$K:$K=I2784), Facturas_Odoo!$L:$L, ""), ""))</f>
        <v/>
      </c>
      <c r="T2784" s="81">
        <f>IF(Q2784="Sin Factura",0,IFERROR(_xlfn.XLOOKUP(1, (Facturas_Odoo!$D:$D=A2784) * (Facturas_Odoo!$K:$K=I2784), Facturas_Odoo!$M:$M, 0), 0))</f>
        <v/>
      </c>
      <c r="U2784" s="79">
        <f>IF(Q2784="Sin Factura",0,IFERROR(_xlfn.XLOOKUP(1, (Facturas_Odoo!$D:$D=A2784) * (Facturas_Odoo!$K:$K=I2784), Facturas_Odoo!$N:$N, 0), 0))</f>
        <v/>
      </c>
      <c r="V2784" s="79">
        <f>IF(Q2784="Sin Factura",0,IFERROR(_xlfn.XLOOKUP(1, (Facturas_Odoo!$D:$D=A2784) * (Facturas_Odoo!$K:$K=I2784), Facturas_Odoo!$O:$O, 0), 0))</f>
        <v/>
      </c>
      <c r="W2784" s="81">
        <f>IF(Q2784="Sin Factura",0,IFERROR(_xlfn.XLOOKUP(1, (Facturas_Odoo!$D:$D=A2784) * (Facturas_Odoo!$K:$K=I2784), Facturas_Odoo!$Q:$Q, 0), 0))</f>
        <v/>
      </c>
      <c r="X2784" s="79">
        <f>IF(OR(Q2784="Sin Factura",Q2784=""),"",IFERROR(INDEX(Pagos_Odoo!$B:$B, MATCH(Q2784, Pagos_Odoo!$I:$I, 0)), "Sin Pago"))</f>
        <v/>
      </c>
      <c r="Y2784" s="79">
        <f>IF(X2784="Sin Pago","",IFERROR(INDEX(Pagos_Odoo!$C:$C, MATCH(X2784, Pagos_Odoo!$B:$B, 0)), ""))</f>
        <v/>
      </c>
      <c r="Z2784" s="80">
        <f>IF(X2784="Sin Pago","",IFERROR(INDEX(Pagos_Odoo!$A:$A, MATCH(X2784, Pagos_Odoo!$B:$B, 0)), ""))</f>
        <v/>
      </c>
      <c r="AA2784" s="79">
        <f>IF(X2784="Sin Pago","",IFERROR(INDEX(Pagos_Odoo!$F:$F, MATCH(X2784, Pagos_Odoo!$B:$B, 0)), ""))</f>
        <v/>
      </c>
      <c r="AB2784" s="81">
        <f>IF(X2784="Sin Pago",0,IFERROR(INDEX(Pagos_Odoo!$E:$E, MATCH(X2784, Pagos_Odoo!$B:$B, 0)), 0))</f>
        <v/>
      </c>
      <c r="AC2784" s="79">
        <f>IF(X2784="Sin Pago","",IFERROR(INDEX(Pagos_Odoo!$G:$G, MATCH(X2784, Pagos_Odoo!$B:$B, 0)), ""))</f>
        <v/>
      </c>
      <c r="AD2784" s="82" t="n">
        <v>0</v>
      </c>
      <c r="AE2784" s="82" t="n"/>
      <c r="AF2784" s="82" t="n"/>
      <c r="AG2784" s="82">
        <f>IF(AN2784="","",AD2784+AE2784+AF2784)</f>
        <v/>
      </c>
      <c r="AH2784" s="81">
        <f>IF(AN2784="","",P2784*(1-AG2784))</f>
        <v/>
      </c>
      <c r="AI2784" s="81">
        <f>IF(AN2784="","",IF(Q2784="Sin Factura",0,IFERROR(INDEX(Facturas_Odoo!$H:$H, MATCH(Q2784, Facturas_Odoo!$B:$B, 0)), 0)*(1-AG2784)))</f>
        <v/>
      </c>
      <c r="AJ2784" s="81">
        <f>IF(AN2784="","",_xlfn.LET(idVenta, AN2784&amp;"",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84" s="81">
        <f>IF(AN2784="","",AH2784-AJ2784)</f>
        <v/>
      </c>
      <c r="AL2784" s="81">
        <f>IF(AN2784="","",IF(Q2784="Sin Factura","",AI2784-AJ2784))</f>
        <v/>
      </c>
      <c r="AM2784" s="81">
        <f>IF(AN2784="","",IF(Q2784="Sin Factura",0,P2784-IFERROR(INDEX(Facturas_Odoo!$H:$H, MATCH(Q2784, Facturas_Odoo!$B:$B, 0)), 0)))</f>
        <v/>
      </c>
      <c r="AN2784" s="79">
        <f>IF(AND(A2784="", J2784=""), "", IF(A2784&lt;&gt;"", VALUE(MID(A2784,2,LEN(A2784))), AN2783))</f>
        <v/>
      </c>
      <c r="AO2784" s="79">
        <f>IF(AN2784="","",IF(AD2784=0,"OK",_xlfn.LET(monedaPago, IF(AA2784="","USD",AA2784), limitePermitido, IFERROR(VLOOKUP(monedaPago, Configuración!$A$2:$B$3, 2, FALSE), 0.15), IF(AD2784&gt;limitePermitido, "ALERTA: EXCESO (" &amp; TEXT(limitePermitido, "0%") &amp; " máx)", "OK"))))</f>
        <v/>
      </c>
      <c r="AP2784" s="79">
        <f>IF(AN2784="","",IF(AE2784=0,"OK",_xlfn.LET(fechaPago, Z2784, fechaFactura, R2784, diasCredito, IF(E2784="Pago inmediato", 0, IFERROR(VALUE(MID(E2784, 1, SEARCH(" ", E2784)-1)),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84" s="79">
        <f>IF(AN2784="","",IF(AND(N2784&gt;0, AG2784&gt;0), IF(Configuración!$K$2="NO", "ALERTA: DESCUENTO DOBLE NO PERMITIDO", "OK"), "OK"))</f>
        <v/>
      </c>
      <c r="AR2784" s="79">
        <f>IF(AN2784="","",IF(OR(AO2784&lt;&gt;"OK", AP2784&lt;&gt;"OK", AQ2784&lt;&gt;"OK"), "⚠️ REVISAR", "OK"))</f>
        <v/>
      </c>
    </row>
    <row r="2785">
      <c r="A2785" s="79">
        <f>IF('Ordenes_Odoo'!A2785="","",'Ordenes_Odoo'!A2785)</f>
        <v/>
      </c>
      <c r="B2785" s="80">
        <f>IF('Ordenes_Odoo'!B2785="","",'Ordenes_Odoo'!B2785)</f>
        <v/>
      </c>
      <c r="C2785" s="79">
        <f>IF('Ordenes_Odoo'!C2785="","",'Ordenes_Odoo'!C2785)</f>
        <v/>
      </c>
      <c r="D2785" s="79">
        <f>IF('Ordenes_Odoo'!D2785="","",'Ordenes_Odoo'!D2785)</f>
        <v/>
      </c>
      <c r="E2785" s="79">
        <f>IF('Ordenes_Odoo'!E2785="","",'Ordenes_Odoo'!E2785)</f>
        <v/>
      </c>
      <c r="F2785" s="79">
        <f>IF('Ordenes_Odoo'!F2785="","",'Ordenes_Odoo'!F2785)</f>
        <v/>
      </c>
      <c r="G2785" s="79">
        <f>IF('Ordenes_Odoo'!G2785="","",'Ordenes_Odoo'!G2785)</f>
        <v/>
      </c>
      <c r="H2785" s="79">
        <f>IF('Ordenes_Odoo'!H2785="","",'Ordenes_Odoo'!H2785)</f>
        <v/>
      </c>
      <c r="I2785" s="79">
        <f>IF('Ordenes_Odoo'!I2785="","",'Ordenes_Odoo'!I2785)</f>
        <v/>
      </c>
      <c r="J2785" s="79">
        <f>IF('Ordenes_Odoo'!J2785="","",'Ordenes_Odoo'!J2785)</f>
        <v/>
      </c>
      <c r="K2785" s="81">
        <f>IF('Ordenes_Odoo'!K2785="","",'Ordenes_Odoo'!K2785)</f>
        <v/>
      </c>
      <c r="L2785" s="81">
        <f>IF('Ordenes_Odoo'!L2785="","",'Ordenes_Odoo'!L2785)</f>
        <v/>
      </c>
      <c r="M2785" s="79">
        <f>IF('Ordenes_Odoo'!M2785="","",'Ordenes_Odoo'!M2785)</f>
        <v/>
      </c>
      <c r="N2785" s="79">
        <f>IF('Ordenes_Odoo'!N2785="","",'Ordenes_Odoo'!N2785)</f>
        <v/>
      </c>
      <c r="O2785" s="81">
        <f>IF('Ordenes_Odoo'!O2785="","",'Ordenes_Odoo'!O2785)</f>
        <v/>
      </c>
      <c r="P2785" s="81">
        <f>IF('Ordenes_Odoo'!P2785="","",'Ordenes_Odoo'!P2785)</f>
        <v/>
      </c>
      <c r="Q2785" s="79">
        <f>IF(A2785="","",IFERROR(INDEX(Facturas_Odoo!$B:$B, MATCH(A2785, Facturas_Odoo!$D:$D, 0)), "Sin Factura"))</f>
        <v/>
      </c>
      <c r="R2785" s="80">
        <f>IF(Q2785="Sin Factura","",IFERROR(INDEX(Facturas_Odoo!$A:$A, MATCH(Q2785, Facturas_Odoo!$B:$B, 0)), ""))</f>
        <v/>
      </c>
      <c r="S2785" s="79">
        <f>IF(Q2785="Sin Factura","",IFERROR(_xlfn.XLOOKUP(1, (Facturas_Odoo!$D:$D=A2785) * (Facturas_Odoo!$K:$K=I2785), Facturas_Odoo!$L:$L, ""), ""))</f>
        <v/>
      </c>
      <c r="T2785" s="81">
        <f>IF(Q2785="Sin Factura",0,IFERROR(_xlfn.XLOOKUP(1, (Facturas_Odoo!$D:$D=A2785) * (Facturas_Odoo!$K:$K=I2785), Facturas_Odoo!$M:$M, 0), 0))</f>
        <v/>
      </c>
      <c r="U2785" s="79">
        <f>IF(Q2785="Sin Factura",0,IFERROR(_xlfn.XLOOKUP(1, (Facturas_Odoo!$D:$D=A2785) * (Facturas_Odoo!$K:$K=I2785), Facturas_Odoo!$N:$N, 0), 0))</f>
        <v/>
      </c>
      <c r="V2785" s="79">
        <f>IF(Q2785="Sin Factura",0,IFERROR(_xlfn.XLOOKUP(1, (Facturas_Odoo!$D:$D=A2785) * (Facturas_Odoo!$K:$K=I2785), Facturas_Odoo!$O:$O, 0), 0))</f>
        <v/>
      </c>
      <c r="W2785" s="81">
        <f>IF(Q2785="Sin Factura",0,IFERROR(_xlfn.XLOOKUP(1, (Facturas_Odoo!$D:$D=A2785) * (Facturas_Odoo!$K:$K=I2785), Facturas_Odoo!$Q:$Q, 0), 0))</f>
        <v/>
      </c>
      <c r="X2785" s="79">
        <f>IF(OR(Q2785="Sin Factura",Q2785=""),"",IFERROR(INDEX(Pagos_Odoo!$B:$B, MATCH(Q2785, Pagos_Odoo!$I:$I, 0)), "Sin Pago"))</f>
        <v/>
      </c>
      <c r="Y2785" s="79">
        <f>IF(X2785="Sin Pago","",IFERROR(INDEX(Pagos_Odoo!$C:$C, MATCH(X2785, Pagos_Odoo!$B:$B, 0)), ""))</f>
        <v/>
      </c>
      <c r="Z2785" s="80">
        <f>IF(X2785="Sin Pago","",IFERROR(INDEX(Pagos_Odoo!$A:$A, MATCH(X2785, Pagos_Odoo!$B:$B, 0)), ""))</f>
        <v/>
      </c>
      <c r="AA2785" s="79">
        <f>IF(X2785="Sin Pago","",IFERROR(INDEX(Pagos_Odoo!$F:$F, MATCH(X2785, Pagos_Odoo!$B:$B, 0)), ""))</f>
        <v/>
      </c>
      <c r="AB2785" s="81">
        <f>IF(X2785="Sin Pago",0,IFERROR(INDEX(Pagos_Odoo!$E:$E, MATCH(X2785, Pagos_Odoo!$B:$B, 0)), 0))</f>
        <v/>
      </c>
      <c r="AC2785" s="79">
        <f>IF(X2785="Sin Pago","",IFERROR(INDEX(Pagos_Odoo!$G:$G, MATCH(X2785, Pagos_Odoo!$B:$B, 0)), ""))</f>
        <v/>
      </c>
      <c r="AD2785" s="82" t="n">
        <v>0</v>
      </c>
      <c r="AE2785" s="82" t="n"/>
      <c r="AF2785" s="82" t="n"/>
      <c r="AG2785" s="82">
        <f>IF(AN2785="","",AD2785+AE2785+AF2785)</f>
        <v/>
      </c>
      <c r="AH2785" s="81">
        <f>IF(AN2785="","",P2785*(1-AG2785))</f>
        <v/>
      </c>
      <c r="AI2785" s="81">
        <f>IF(AN2785="","",IF(Q2785="Sin Factura",0,IFERROR(INDEX(Facturas_Odoo!$H:$H, MATCH(Q2785, Facturas_Odoo!$B:$B, 0)), 0)*(1-AG2785)))</f>
        <v/>
      </c>
      <c r="AJ2785" s="81">
        <f>IF(AN2785="","",_xlfn.LET(idVenta, AN2785&amp;"",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85" s="81">
        <f>IF(AN2785="","",AH2785-AJ2785)</f>
        <v/>
      </c>
      <c r="AL2785" s="81">
        <f>IF(AN2785="","",IF(Q2785="Sin Factura","",AI2785-AJ2785))</f>
        <v/>
      </c>
      <c r="AM2785" s="81">
        <f>IF(AN2785="","",IF(Q2785="Sin Factura",0,P2785-IFERROR(INDEX(Facturas_Odoo!$H:$H, MATCH(Q2785, Facturas_Odoo!$B:$B, 0)), 0)))</f>
        <v/>
      </c>
      <c r="AN2785" s="79">
        <f>IF(AND(A2785="", J2785=""), "", IF(A2785&lt;&gt;"", VALUE(MID(A2785,2,LEN(A2785))), AN2784))</f>
        <v/>
      </c>
      <c r="AO2785" s="79">
        <f>IF(AN2785="","",IF(AD2785=0,"OK",_xlfn.LET(monedaPago, IF(AA2785="","USD",AA2785), limitePermitido, IFERROR(VLOOKUP(monedaPago, Configuración!$A$2:$B$3, 2, FALSE), 0.15), IF(AD2785&gt;limitePermitido, "ALERTA: EXCESO (" &amp; TEXT(limitePermitido, "0%") &amp; " máx)", "OK"))))</f>
        <v/>
      </c>
      <c r="AP2785" s="79">
        <f>IF(AN2785="","",IF(AE2785=0,"OK",_xlfn.LET(fechaPago, Z2785, fechaFactura, R2785, diasCredito, IF(E2785="Pago inmediato", 0, IFERROR(VALUE(MID(E2785, 1, SEARCH(" ", E2785)-1)),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85" s="79">
        <f>IF(AN2785="","",IF(AND(N2785&gt;0, AG2785&gt;0), IF(Configuración!$K$2="NO", "ALERTA: DESCUENTO DOBLE NO PERMITIDO", "OK"), "OK"))</f>
        <v/>
      </c>
      <c r="AR2785" s="79">
        <f>IF(AN2785="","",IF(OR(AO2785&lt;&gt;"OK", AP2785&lt;&gt;"OK", AQ2785&lt;&gt;"OK"), "⚠️ REVISAR", "OK"))</f>
        <v/>
      </c>
    </row>
    <row r="2786">
      <c r="A2786" s="79">
        <f>IF('Ordenes_Odoo'!A2786="","",'Ordenes_Odoo'!A2786)</f>
        <v/>
      </c>
      <c r="B2786" s="80">
        <f>IF('Ordenes_Odoo'!B2786="","",'Ordenes_Odoo'!B2786)</f>
        <v/>
      </c>
      <c r="C2786" s="79">
        <f>IF('Ordenes_Odoo'!C2786="","",'Ordenes_Odoo'!C2786)</f>
        <v/>
      </c>
      <c r="D2786" s="79">
        <f>IF('Ordenes_Odoo'!D2786="","",'Ordenes_Odoo'!D2786)</f>
        <v/>
      </c>
      <c r="E2786" s="79">
        <f>IF('Ordenes_Odoo'!E2786="","",'Ordenes_Odoo'!E2786)</f>
        <v/>
      </c>
      <c r="F2786" s="79">
        <f>IF('Ordenes_Odoo'!F2786="","",'Ordenes_Odoo'!F2786)</f>
        <v/>
      </c>
      <c r="G2786" s="79">
        <f>IF('Ordenes_Odoo'!G2786="","",'Ordenes_Odoo'!G2786)</f>
        <v/>
      </c>
      <c r="H2786" s="79">
        <f>IF('Ordenes_Odoo'!H2786="","",'Ordenes_Odoo'!H2786)</f>
        <v/>
      </c>
      <c r="I2786" s="79">
        <f>IF('Ordenes_Odoo'!I2786="","",'Ordenes_Odoo'!I2786)</f>
        <v/>
      </c>
      <c r="J2786" s="79">
        <f>IF('Ordenes_Odoo'!J2786="","",'Ordenes_Odoo'!J2786)</f>
        <v/>
      </c>
      <c r="K2786" s="81">
        <f>IF('Ordenes_Odoo'!K2786="","",'Ordenes_Odoo'!K2786)</f>
        <v/>
      </c>
      <c r="L2786" s="81">
        <f>IF('Ordenes_Odoo'!L2786="","",'Ordenes_Odoo'!L2786)</f>
        <v/>
      </c>
      <c r="M2786" s="79">
        <f>IF('Ordenes_Odoo'!M2786="","",'Ordenes_Odoo'!M2786)</f>
        <v/>
      </c>
      <c r="N2786" s="79">
        <f>IF('Ordenes_Odoo'!N2786="","",'Ordenes_Odoo'!N2786)</f>
        <v/>
      </c>
      <c r="O2786" s="81">
        <f>IF('Ordenes_Odoo'!O2786="","",'Ordenes_Odoo'!O2786)</f>
        <v/>
      </c>
      <c r="P2786" s="81">
        <f>IF('Ordenes_Odoo'!P2786="","",'Ordenes_Odoo'!P2786)</f>
        <v/>
      </c>
      <c r="Q2786" s="79">
        <f>IF(A2786="","",IFERROR(INDEX(Facturas_Odoo!$B:$B, MATCH(A2786, Facturas_Odoo!$D:$D, 0)), "Sin Factura"))</f>
        <v/>
      </c>
      <c r="R2786" s="80">
        <f>IF(Q2786="Sin Factura","",IFERROR(INDEX(Facturas_Odoo!$A:$A, MATCH(Q2786, Facturas_Odoo!$B:$B, 0)), ""))</f>
        <v/>
      </c>
      <c r="S2786" s="79">
        <f>IF(Q2786="Sin Factura","",IFERROR(_xlfn.XLOOKUP(1, (Facturas_Odoo!$D:$D=A2786) * (Facturas_Odoo!$K:$K=I2786), Facturas_Odoo!$L:$L, ""), ""))</f>
        <v/>
      </c>
      <c r="T2786" s="81">
        <f>IF(Q2786="Sin Factura",0,IFERROR(_xlfn.XLOOKUP(1, (Facturas_Odoo!$D:$D=A2786) * (Facturas_Odoo!$K:$K=I2786), Facturas_Odoo!$M:$M, 0), 0))</f>
        <v/>
      </c>
      <c r="U2786" s="79">
        <f>IF(Q2786="Sin Factura",0,IFERROR(_xlfn.XLOOKUP(1, (Facturas_Odoo!$D:$D=A2786) * (Facturas_Odoo!$K:$K=I2786), Facturas_Odoo!$N:$N, 0), 0))</f>
        <v/>
      </c>
      <c r="V2786" s="79">
        <f>IF(Q2786="Sin Factura",0,IFERROR(_xlfn.XLOOKUP(1, (Facturas_Odoo!$D:$D=A2786) * (Facturas_Odoo!$K:$K=I2786), Facturas_Odoo!$O:$O, 0), 0))</f>
        <v/>
      </c>
      <c r="W2786" s="81">
        <f>IF(Q2786="Sin Factura",0,IFERROR(_xlfn.XLOOKUP(1, (Facturas_Odoo!$D:$D=A2786) * (Facturas_Odoo!$K:$K=I2786), Facturas_Odoo!$Q:$Q, 0), 0))</f>
        <v/>
      </c>
      <c r="X2786" s="79">
        <f>IF(OR(Q2786="Sin Factura",Q2786=""),"",IFERROR(INDEX(Pagos_Odoo!$B:$B, MATCH(Q2786, Pagos_Odoo!$I:$I, 0)), "Sin Pago"))</f>
        <v/>
      </c>
      <c r="Y2786" s="79">
        <f>IF(X2786="Sin Pago","",IFERROR(INDEX(Pagos_Odoo!$C:$C, MATCH(X2786, Pagos_Odoo!$B:$B, 0)), ""))</f>
        <v/>
      </c>
      <c r="Z2786" s="80">
        <f>IF(X2786="Sin Pago","",IFERROR(INDEX(Pagos_Odoo!$A:$A, MATCH(X2786, Pagos_Odoo!$B:$B, 0)), ""))</f>
        <v/>
      </c>
      <c r="AA2786" s="79">
        <f>IF(X2786="Sin Pago","",IFERROR(INDEX(Pagos_Odoo!$F:$F, MATCH(X2786, Pagos_Odoo!$B:$B, 0)), ""))</f>
        <v/>
      </c>
      <c r="AB2786" s="81">
        <f>IF(X2786="Sin Pago",0,IFERROR(INDEX(Pagos_Odoo!$E:$E, MATCH(X2786, Pagos_Odoo!$B:$B, 0)), 0))</f>
        <v/>
      </c>
      <c r="AC2786" s="79">
        <f>IF(X2786="Sin Pago","",IFERROR(INDEX(Pagos_Odoo!$G:$G, MATCH(X2786, Pagos_Odoo!$B:$B, 0)), ""))</f>
        <v/>
      </c>
      <c r="AD2786" s="82" t="n">
        <v>0</v>
      </c>
      <c r="AE2786" s="82" t="n"/>
      <c r="AF2786" s="82" t="n"/>
      <c r="AG2786" s="82">
        <f>IF(AN2786="","",AD2786+AE2786+AF2786)</f>
        <v/>
      </c>
      <c r="AH2786" s="81">
        <f>IF(AN2786="","",P2786*(1-AG2786))</f>
        <v/>
      </c>
      <c r="AI2786" s="81">
        <f>IF(AN2786="","",IF(Q2786="Sin Factura",0,IFERROR(INDEX(Facturas_Odoo!$H:$H, MATCH(Q2786, Facturas_Odoo!$B:$B, 0)), 0)*(1-AG2786)))</f>
        <v/>
      </c>
      <c r="AJ2786" s="81">
        <f>IF(AN2786="","",_xlfn.LET(idVenta, AN2786&amp;"",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86" s="81">
        <f>IF(AN2786="","",AH2786-AJ2786)</f>
        <v/>
      </c>
      <c r="AL2786" s="81">
        <f>IF(AN2786="","",IF(Q2786="Sin Factura","",AI2786-AJ2786))</f>
        <v/>
      </c>
      <c r="AM2786" s="81">
        <f>IF(AN2786="","",IF(Q2786="Sin Factura",0,P2786-IFERROR(INDEX(Facturas_Odoo!$H:$H, MATCH(Q2786, Facturas_Odoo!$B:$B, 0)), 0)))</f>
        <v/>
      </c>
      <c r="AN2786" s="79">
        <f>IF(AND(A2786="", J2786=""), "", IF(A2786&lt;&gt;"", VALUE(MID(A2786,2,LEN(A2786))), AN2785))</f>
        <v/>
      </c>
      <c r="AO2786" s="79">
        <f>IF(AN2786="","",IF(AD2786=0,"OK",_xlfn.LET(monedaPago, IF(AA2786="","USD",AA2786), limitePermitido, IFERROR(VLOOKUP(monedaPago, Configuración!$A$2:$B$3, 2, FALSE), 0.15), IF(AD2786&gt;limitePermitido, "ALERTA: EXCESO (" &amp; TEXT(limitePermitido, "0%") &amp; " máx)", "OK"))))</f>
        <v/>
      </c>
      <c r="AP2786" s="79">
        <f>IF(AN2786="","",IF(AE2786=0,"OK",_xlfn.LET(fechaPago, Z2786, fechaFactura, R2786, diasCredito, IF(E2786="Pago inmediato", 0, IFERROR(VALUE(MID(E2786, 1, SEARCH(" ", E2786)-1)),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86" s="79">
        <f>IF(AN2786="","",IF(AND(N2786&gt;0, AG2786&gt;0), IF(Configuración!$K$2="NO", "ALERTA: DESCUENTO DOBLE NO PERMITIDO", "OK"), "OK"))</f>
        <v/>
      </c>
      <c r="AR2786" s="79">
        <f>IF(AN2786="","",IF(OR(AO2786&lt;&gt;"OK", AP2786&lt;&gt;"OK", AQ2786&lt;&gt;"OK"), "⚠️ REVISAR", "OK"))</f>
        <v/>
      </c>
    </row>
    <row r="2787">
      <c r="A2787" s="79">
        <f>IF('Ordenes_Odoo'!A2787="","",'Ordenes_Odoo'!A2787)</f>
        <v/>
      </c>
      <c r="B2787" s="80">
        <f>IF('Ordenes_Odoo'!B2787="","",'Ordenes_Odoo'!B2787)</f>
        <v/>
      </c>
      <c r="C2787" s="79">
        <f>IF('Ordenes_Odoo'!C2787="","",'Ordenes_Odoo'!C2787)</f>
        <v/>
      </c>
      <c r="D2787" s="79">
        <f>IF('Ordenes_Odoo'!D2787="","",'Ordenes_Odoo'!D2787)</f>
        <v/>
      </c>
      <c r="E2787" s="79">
        <f>IF('Ordenes_Odoo'!E2787="","",'Ordenes_Odoo'!E2787)</f>
        <v/>
      </c>
      <c r="F2787" s="79">
        <f>IF('Ordenes_Odoo'!F2787="","",'Ordenes_Odoo'!F2787)</f>
        <v/>
      </c>
      <c r="G2787" s="79">
        <f>IF('Ordenes_Odoo'!G2787="","",'Ordenes_Odoo'!G2787)</f>
        <v/>
      </c>
      <c r="H2787" s="79">
        <f>IF('Ordenes_Odoo'!H2787="","",'Ordenes_Odoo'!H2787)</f>
        <v/>
      </c>
      <c r="I2787" s="79">
        <f>IF('Ordenes_Odoo'!I2787="","",'Ordenes_Odoo'!I2787)</f>
        <v/>
      </c>
      <c r="J2787" s="79">
        <f>IF('Ordenes_Odoo'!J2787="","",'Ordenes_Odoo'!J2787)</f>
        <v/>
      </c>
      <c r="K2787" s="81">
        <f>IF('Ordenes_Odoo'!K2787="","",'Ordenes_Odoo'!K2787)</f>
        <v/>
      </c>
      <c r="L2787" s="81">
        <f>IF('Ordenes_Odoo'!L2787="","",'Ordenes_Odoo'!L2787)</f>
        <v/>
      </c>
      <c r="M2787" s="79">
        <f>IF('Ordenes_Odoo'!M2787="","",'Ordenes_Odoo'!M2787)</f>
        <v/>
      </c>
      <c r="N2787" s="79">
        <f>IF('Ordenes_Odoo'!N2787="","",'Ordenes_Odoo'!N2787)</f>
        <v/>
      </c>
      <c r="O2787" s="81">
        <f>IF('Ordenes_Odoo'!O2787="","",'Ordenes_Odoo'!O2787)</f>
        <v/>
      </c>
      <c r="P2787" s="81">
        <f>IF('Ordenes_Odoo'!P2787="","",'Ordenes_Odoo'!P2787)</f>
        <v/>
      </c>
      <c r="Q2787" s="79">
        <f>IF(A2787="","",IFERROR(INDEX(Facturas_Odoo!$B:$B, MATCH(A2787, Facturas_Odoo!$D:$D, 0)), "Sin Factura"))</f>
        <v/>
      </c>
      <c r="R2787" s="80">
        <f>IF(Q2787="Sin Factura","",IFERROR(INDEX(Facturas_Odoo!$A:$A, MATCH(Q2787, Facturas_Odoo!$B:$B, 0)), ""))</f>
        <v/>
      </c>
      <c r="S2787" s="79">
        <f>IF(Q2787="Sin Factura","",IFERROR(_xlfn.XLOOKUP(1, (Facturas_Odoo!$D:$D=A2787) * (Facturas_Odoo!$K:$K=I2787), Facturas_Odoo!$L:$L, ""), ""))</f>
        <v/>
      </c>
      <c r="T2787" s="81">
        <f>IF(Q2787="Sin Factura",0,IFERROR(_xlfn.XLOOKUP(1, (Facturas_Odoo!$D:$D=A2787) * (Facturas_Odoo!$K:$K=I2787), Facturas_Odoo!$M:$M, 0), 0))</f>
        <v/>
      </c>
      <c r="U2787" s="79">
        <f>IF(Q2787="Sin Factura",0,IFERROR(_xlfn.XLOOKUP(1, (Facturas_Odoo!$D:$D=A2787) * (Facturas_Odoo!$K:$K=I2787), Facturas_Odoo!$N:$N, 0), 0))</f>
        <v/>
      </c>
      <c r="V2787" s="79">
        <f>IF(Q2787="Sin Factura",0,IFERROR(_xlfn.XLOOKUP(1, (Facturas_Odoo!$D:$D=A2787) * (Facturas_Odoo!$K:$K=I2787), Facturas_Odoo!$O:$O, 0), 0))</f>
        <v/>
      </c>
      <c r="W2787" s="81">
        <f>IF(Q2787="Sin Factura",0,IFERROR(_xlfn.XLOOKUP(1, (Facturas_Odoo!$D:$D=A2787) * (Facturas_Odoo!$K:$K=I2787), Facturas_Odoo!$Q:$Q, 0), 0))</f>
        <v/>
      </c>
      <c r="X2787" s="79">
        <f>IF(OR(Q2787="Sin Factura",Q2787=""),"",IFERROR(INDEX(Pagos_Odoo!$B:$B, MATCH(Q2787, Pagos_Odoo!$I:$I, 0)), "Sin Pago"))</f>
        <v/>
      </c>
      <c r="Y2787" s="79">
        <f>IF(X2787="Sin Pago","",IFERROR(INDEX(Pagos_Odoo!$C:$C, MATCH(X2787, Pagos_Odoo!$B:$B, 0)), ""))</f>
        <v/>
      </c>
      <c r="Z2787" s="80">
        <f>IF(X2787="Sin Pago","",IFERROR(INDEX(Pagos_Odoo!$A:$A, MATCH(X2787, Pagos_Odoo!$B:$B, 0)), ""))</f>
        <v/>
      </c>
      <c r="AA2787" s="79">
        <f>IF(X2787="Sin Pago","",IFERROR(INDEX(Pagos_Odoo!$F:$F, MATCH(X2787, Pagos_Odoo!$B:$B, 0)), ""))</f>
        <v/>
      </c>
      <c r="AB2787" s="81">
        <f>IF(X2787="Sin Pago",0,IFERROR(INDEX(Pagos_Odoo!$E:$E, MATCH(X2787, Pagos_Odoo!$B:$B, 0)), 0))</f>
        <v/>
      </c>
      <c r="AC2787" s="79">
        <f>IF(X2787="Sin Pago","",IFERROR(INDEX(Pagos_Odoo!$G:$G, MATCH(X2787, Pagos_Odoo!$B:$B, 0)), ""))</f>
        <v/>
      </c>
      <c r="AD2787" s="82" t="n">
        <v>0</v>
      </c>
      <c r="AE2787" s="82" t="n"/>
      <c r="AF2787" s="82" t="n"/>
      <c r="AG2787" s="82">
        <f>IF(AN2787="","",AD2787+AE2787+AF2787)</f>
        <v/>
      </c>
      <c r="AH2787" s="81">
        <f>IF(AN2787="","",P2787*(1-AG2787))</f>
        <v/>
      </c>
      <c r="AI2787" s="81">
        <f>IF(AN2787="","",IF(Q2787="Sin Factura",0,IFERROR(INDEX(Facturas_Odoo!$H:$H, MATCH(Q2787, Facturas_Odoo!$B:$B, 0)), 0)*(1-AG2787)))</f>
        <v/>
      </c>
      <c r="AJ2787" s="81">
        <f>IF(AN2787="","",_xlfn.LET(idVenta, AN2787&amp;"",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87" s="81">
        <f>IF(AN2787="","",AH2787-AJ2787)</f>
        <v/>
      </c>
      <c r="AL2787" s="81">
        <f>IF(AN2787="","",IF(Q2787="Sin Factura","",AI2787-AJ2787))</f>
        <v/>
      </c>
      <c r="AM2787" s="81">
        <f>IF(AN2787="","",IF(Q2787="Sin Factura",0,P2787-IFERROR(INDEX(Facturas_Odoo!$H:$H, MATCH(Q2787, Facturas_Odoo!$B:$B, 0)), 0)))</f>
        <v/>
      </c>
      <c r="AN2787" s="79">
        <f>IF(AND(A2787="", J2787=""), "", IF(A2787&lt;&gt;"", VALUE(MID(A2787,2,LEN(A2787))), AN2786))</f>
        <v/>
      </c>
      <c r="AO2787" s="79">
        <f>IF(AN2787="","",IF(AD2787=0,"OK",_xlfn.LET(monedaPago, IF(AA2787="","USD",AA2787), limitePermitido, IFERROR(VLOOKUP(monedaPago, Configuración!$A$2:$B$3, 2, FALSE), 0.15), IF(AD2787&gt;limitePermitido, "ALERTA: EXCESO (" &amp; TEXT(limitePermitido, "0%") &amp; " máx)", "OK"))))</f>
        <v/>
      </c>
      <c r="AP2787" s="79">
        <f>IF(AN2787="","",IF(AE2787=0,"OK",_xlfn.LET(fechaPago, Z2787, fechaFactura, R2787, diasCredito, IF(E2787="Pago inmediato", 0, IFERROR(VALUE(MID(E2787, 1, SEARCH(" ", E2787)-1)),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87" s="79">
        <f>IF(AN2787="","",IF(AND(N2787&gt;0, AG2787&gt;0), IF(Configuración!$K$2="NO", "ALERTA: DESCUENTO DOBLE NO PERMITIDO", "OK"), "OK"))</f>
        <v/>
      </c>
      <c r="AR2787" s="79">
        <f>IF(AN2787="","",IF(OR(AO2787&lt;&gt;"OK", AP2787&lt;&gt;"OK", AQ2787&lt;&gt;"OK"), "⚠️ REVISAR", "OK"))</f>
        <v/>
      </c>
    </row>
    <row r="2788">
      <c r="A2788" s="79">
        <f>IF('Ordenes_Odoo'!A2788="","",'Ordenes_Odoo'!A2788)</f>
        <v/>
      </c>
      <c r="B2788" s="80">
        <f>IF('Ordenes_Odoo'!B2788="","",'Ordenes_Odoo'!B2788)</f>
        <v/>
      </c>
      <c r="C2788" s="79">
        <f>IF('Ordenes_Odoo'!C2788="","",'Ordenes_Odoo'!C2788)</f>
        <v/>
      </c>
      <c r="D2788" s="79">
        <f>IF('Ordenes_Odoo'!D2788="","",'Ordenes_Odoo'!D2788)</f>
        <v/>
      </c>
      <c r="E2788" s="79">
        <f>IF('Ordenes_Odoo'!E2788="","",'Ordenes_Odoo'!E2788)</f>
        <v/>
      </c>
      <c r="F2788" s="79">
        <f>IF('Ordenes_Odoo'!F2788="","",'Ordenes_Odoo'!F2788)</f>
        <v/>
      </c>
      <c r="G2788" s="79">
        <f>IF('Ordenes_Odoo'!G2788="","",'Ordenes_Odoo'!G2788)</f>
        <v/>
      </c>
      <c r="H2788" s="79">
        <f>IF('Ordenes_Odoo'!H2788="","",'Ordenes_Odoo'!H2788)</f>
        <v/>
      </c>
      <c r="I2788" s="79">
        <f>IF('Ordenes_Odoo'!I2788="","",'Ordenes_Odoo'!I2788)</f>
        <v/>
      </c>
      <c r="J2788" s="79">
        <f>IF('Ordenes_Odoo'!J2788="","",'Ordenes_Odoo'!J2788)</f>
        <v/>
      </c>
      <c r="K2788" s="81">
        <f>IF('Ordenes_Odoo'!K2788="","",'Ordenes_Odoo'!K2788)</f>
        <v/>
      </c>
      <c r="L2788" s="81">
        <f>IF('Ordenes_Odoo'!L2788="","",'Ordenes_Odoo'!L2788)</f>
        <v/>
      </c>
      <c r="M2788" s="79">
        <f>IF('Ordenes_Odoo'!M2788="","",'Ordenes_Odoo'!M2788)</f>
        <v/>
      </c>
      <c r="N2788" s="79">
        <f>IF('Ordenes_Odoo'!N2788="","",'Ordenes_Odoo'!N2788)</f>
        <v/>
      </c>
      <c r="O2788" s="81">
        <f>IF('Ordenes_Odoo'!O2788="","",'Ordenes_Odoo'!O2788)</f>
        <v/>
      </c>
      <c r="P2788" s="81">
        <f>IF('Ordenes_Odoo'!P2788="","",'Ordenes_Odoo'!P2788)</f>
        <v/>
      </c>
      <c r="Q2788" s="79">
        <f>IF(A2788="","",IFERROR(INDEX(Facturas_Odoo!$B:$B, MATCH(A2788, Facturas_Odoo!$D:$D, 0)), "Sin Factura"))</f>
        <v/>
      </c>
      <c r="R2788" s="80">
        <f>IF(Q2788="Sin Factura","",IFERROR(INDEX(Facturas_Odoo!$A:$A, MATCH(Q2788, Facturas_Odoo!$B:$B, 0)), ""))</f>
        <v/>
      </c>
      <c r="S2788" s="79">
        <f>IF(Q2788="Sin Factura","",IFERROR(_xlfn.XLOOKUP(1, (Facturas_Odoo!$D:$D=A2788) * (Facturas_Odoo!$K:$K=I2788), Facturas_Odoo!$L:$L, ""), ""))</f>
        <v/>
      </c>
      <c r="T2788" s="81">
        <f>IF(Q2788="Sin Factura",0,IFERROR(_xlfn.XLOOKUP(1, (Facturas_Odoo!$D:$D=A2788) * (Facturas_Odoo!$K:$K=I2788), Facturas_Odoo!$M:$M, 0), 0))</f>
        <v/>
      </c>
      <c r="U2788" s="79">
        <f>IF(Q2788="Sin Factura",0,IFERROR(_xlfn.XLOOKUP(1, (Facturas_Odoo!$D:$D=A2788) * (Facturas_Odoo!$K:$K=I2788), Facturas_Odoo!$N:$N, 0), 0))</f>
        <v/>
      </c>
      <c r="V2788" s="79">
        <f>IF(Q2788="Sin Factura",0,IFERROR(_xlfn.XLOOKUP(1, (Facturas_Odoo!$D:$D=A2788) * (Facturas_Odoo!$K:$K=I2788), Facturas_Odoo!$O:$O, 0), 0))</f>
        <v/>
      </c>
      <c r="W2788" s="81">
        <f>IF(Q2788="Sin Factura",0,IFERROR(_xlfn.XLOOKUP(1, (Facturas_Odoo!$D:$D=A2788) * (Facturas_Odoo!$K:$K=I2788), Facturas_Odoo!$Q:$Q, 0), 0))</f>
        <v/>
      </c>
      <c r="X2788" s="79">
        <f>IF(OR(Q2788="Sin Factura",Q2788=""),"",IFERROR(INDEX(Pagos_Odoo!$B:$B, MATCH(Q2788, Pagos_Odoo!$I:$I, 0)), "Sin Pago"))</f>
        <v/>
      </c>
      <c r="Y2788" s="79">
        <f>IF(X2788="Sin Pago","",IFERROR(INDEX(Pagos_Odoo!$C:$C, MATCH(X2788, Pagos_Odoo!$B:$B, 0)), ""))</f>
        <v/>
      </c>
      <c r="Z2788" s="80">
        <f>IF(X2788="Sin Pago","",IFERROR(INDEX(Pagos_Odoo!$A:$A, MATCH(X2788, Pagos_Odoo!$B:$B, 0)), ""))</f>
        <v/>
      </c>
      <c r="AA2788" s="79">
        <f>IF(X2788="Sin Pago","",IFERROR(INDEX(Pagos_Odoo!$F:$F, MATCH(X2788, Pagos_Odoo!$B:$B, 0)), ""))</f>
        <v/>
      </c>
      <c r="AB2788" s="81">
        <f>IF(X2788="Sin Pago",0,IFERROR(INDEX(Pagos_Odoo!$E:$E, MATCH(X2788, Pagos_Odoo!$B:$B, 0)), 0))</f>
        <v/>
      </c>
      <c r="AC2788" s="79">
        <f>IF(X2788="Sin Pago","",IFERROR(INDEX(Pagos_Odoo!$G:$G, MATCH(X2788, Pagos_Odoo!$B:$B, 0)), ""))</f>
        <v/>
      </c>
      <c r="AD2788" s="82" t="n">
        <v>0</v>
      </c>
      <c r="AE2788" s="82" t="n"/>
      <c r="AF2788" s="82" t="n"/>
      <c r="AG2788" s="82">
        <f>IF(AN2788="","",AD2788+AE2788+AF2788)</f>
        <v/>
      </c>
      <c r="AH2788" s="81">
        <f>IF(AN2788="","",P2788*(1-AG2788))</f>
        <v/>
      </c>
      <c r="AI2788" s="81">
        <f>IF(AN2788="","",IF(Q2788="Sin Factura",0,IFERROR(INDEX(Facturas_Odoo!$H:$H, MATCH(Q2788, Facturas_Odoo!$B:$B, 0)), 0)*(1-AG2788)))</f>
        <v/>
      </c>
      <c r="AJ2788" s="81">
        <f>IF(AN2788="","",_xlfn.LET(idVenta, AN2788&amp;"",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88" s="81">
        <f>IF(AN2788="","",AH2788-AJ2788)</f>
        <v/>
      </c>
      <c r="AL2788" s="81">
        <f>IF(AN2788="","",IF(Q2788="Sin Factura","",AI2788-AJ2788))</f>
        <v/>
      </c>
      <c r="AM2788" s="81">
        <f>IF(AN2788="","",IF(Q2788="Sin Factura",0,P2788-IFERROR(INDEX(Facturas_Odoo!$H:$H, MATCH(Q2788, Facturas_Odoo!$B:$B, 0)), 0)))</f>
        <v/>
      </c>
      <c r="AN2788" s="79">
        <f>IF(AND(A2788="", J2788=""), "", IF(A2788&lt;&gt;"", VALUE(MID(A2788,2,LEN(A2788))), AN2787))</f>
        <v/>
      </c>
      <c r="AO2788" s="79">
        <f>IF(AN2788="","",IF(AD2788=0,"OK",_xlfn.LET(monedaPago, IF(AA2788="","USD",AA2788), limitePermitido, IFERROR(VLOOKUP(monedaPago, Configuración!$A$2:$B$3, 2, FALSE), 0.15), IF(AD2788&gt;limitePermitido, "ALERTA: EXCESO (" &amp; TEXT(limitePermitido, "0%") &amp; " máx)", "OK"))))</f>
        <v/>
      </c>
      <c r="AP2788" s="79">
        <f>IF(AN2788="","",IF(AE2788=0,"OK",_xlfn.LET(fechaPago, Z2788, fechaFactura, R2788, diasCredito, IF(E2788="Pago inmediato", 0, IFERROR(VALUE(MID(E2788, 1, SEARCH(" ", E2788)-1)),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88" s="79">
        <f>IF(AN2788="","",IF(AND(N2788&gt;0, AG2788&gt;0), IF(Configuración!$K$2="NO", "ALERTA: DESCUENTO DOBLE NO PERMITIDO", "OK"), "OK"))</f>
        <v/>
      </c>
      <c r="AR2788" s="79">
        <f>IF(AN2788="","",IF(OR(AO2788&lt;&gt;"OK", AP2788&lt;&gt;"OK", AQ2788&lt;&gt;"OK"), "⚠️ REVISAR", "OK"))</f>
        <v/>
      </c>
    </row>
    <row r="2789">
      <c r="A2789" s="79">
        <f>IF('Ordenes_Odoo'!A2789="","",'Ordenes_Odoo'!A2789)</f>
        <v/>
      </c>
      <c r="B2789" s="80">
        <f>IF('Ordenes_Odoo'!B2789="","",'Ordenes_Odoo'!B2789)</f>
        <v/>
      </c>
      <c r="C2789" s="79">
        <f>IF('Ordenes_Odoo'!C2789="","",'Ordenes_Odoo'!C2789)</f>
        <v/>
      </c>
      <c r="D2789" s="79">
        <f>IF('Ordenes_Odoo'!D2789="","",'Ordenes_Odoo'!D2789)</f>
        <v/>
      </c>
      <c r="E2789" s="79">
        <f>IF('Ordenes_Odoo'!E2789="","",'Ordenes_Odoo'!E2789)</f>
        <v/>
      </c>
      <c r="F2789" s="79">
        <f>IF('Ordenes_Odoo'!F2789="","",'Ordenes_Odoo'!F2789)</f>
        <v/>
      </c>
      <c r="G2789" s="79">
        <f>IF('Ordenes_Odoo'!G2789="","",'Ordenes_Odoo'!G2789)</f>
        <v/>
      </c>
      <c r="H2789" s="79">
        <f>IF('Ordenes_Odoo'!H2789="","",'Ordenes_Odoo'!H2789)</f>
        <v/>
      </c>
      <c r="I2789" s="79">
        <f>IF('Ordenes_Odoo'!I2789="","",'Ordenes_Odoo'!I2789)</f>
        <v/>
      </c>
      <c r="J2789" s="79">
        <f>IF('Ordenes_Odoo'!J2789="","",'Ordenes_Odoo'!J2789)</f>
        <v/>
      </c>
      <c r="K2789" s="81">
        <f>IF('Ordenes_Odoo'!K2789="","",'Ordenes_Odoo'!K2789)</f>
        <v/>
      </c>
      <c r="L2789" s="81">
        <f>IF('Ordenes_Odoo'!L2789="","",'Ordenes_Odoo'!L2789)</f>
        <v/>
      </c>
      <c r="M2789" s="79">
        <f>IF('Ordenes_Odoo'!M2789="","",'Ordenes_Odoo'!M2789)</f>
        <v/>
      </c>
      <c r="N2789" s="79">
        <f>IF('Ordenes_Odoo'!N2789="","",'Ordenes_Odoo'!N2789)</f>
        <v/>
      </c>
      <c r="O2789" s="81">
        <f>IF('Ordenes_Odoo'!O2789="","",'Ordenes_Odoo'!O2789)</f>
        <v/>
      </c>
      <c r="P2789" s="81">
        <f>IF('Ordenes_Odoo'!P2789="","",'Ordenes_Odoo'!P2789)</f>
        <v/>
      </c>
      <c r="Q2789" s="79">
        <f>IF(A2789="","",IFERROR(INDEX(Facturas_Odoo!$B:$B, MATCH(A2789, Facturas_Odoo!$D:$D, 0)), "Sin Factura"))</f>
        <v/>
      </c>
      <c r="R2789" s="80">
        <f>IF(Q2789="Sin Factura","",IFERROR(INDEX(Facturas_Odoo!$A:$A, MATCH(Q2789, Facturas_Odoo!$B:$B, 0)), ""))</f>
        <v/>
      </c>
      <c r="S2789" s="79">
        <f>IF(Q2789="Sin Factura","",IFERROR(_xlfn.XLOOKUP(1, (Facturas_Odoo!$D:$D=A2789) * (Facturas_Odoo!$K:$K=I2789), Facturas_Odoo!$L:$L, ""), ""))</f>
        <v/>
      </c>
      <c r="T2789" s="81">
        <f>IF(Q2789="Sin Factura",0,IFERROR(_xlfn.XLOOKUP(1, (Facturas_Odoo!$D:$D=A2789) * (Facturas_Odoo!$K:$K=I2789), Facturas_Odoo!$M:$M, 0), 0))</f>
        <v/>
      </c>
      <c r="U2789" s="79">
        <f>IF(Q2789="Sin Factura",0,IFERROR(_xlfn.XLOOKUP(1, (Facturas_Odoo!$D:$D=A2789) * (Facturas_Odoo!$K:$K=I2789), Facturas_Odoo!$N:$N, 0), 0))</f>
        <v/>
      </c>
      <c r="V2789" s="79">
        <f>IF(Q2789="Sin Factura",0,IFERROR(_xlfn.XLOOKUP(1, (Facturas_Odoo!$D:$D=A2789) * (Facturas_Odoo!$K:$K=I2789), Facturas_Odoo!$O:$O, 0), 0))</f>
        <v/>
      </c>
      <c r="W2789" s="81">
        <f>IF(Q2789="Sin Factura",0,IFERROR(_xlfn.XLOOKUP(1, (Facturas_Odoo!$D:$D=A2789) * (Facturas_Odoo!$K:$K=I2789), Facturas_Odoo!$Q:$Q, 0), 0))</f>
        <v/>
      </c>
      <c r="X2789" s="79">
        <f>IF(OR(Q2789="Sin Factura",Q2789=""),"",IFERROR(INDEX(Pagos_Odoo!$B:$B, MATCH(Q2789, Pagos_Odoo!$I:$I, 0)), "Sin Pago"))</f>
        <v/>
      </c>
      <c r="Y2789" s="79">
        <f>IF(X2789="Sin Pago","",IFERROR(INDEX(Pagos_Odoo!$C:$C, MATCH(X2789, Pagos_Odoo!$B:$B, 0)), ""))</f>
        <v/>
      </c>
      <c r="Z2789" s="80">
        <f>IF(X2789="Sin Pago","",IFERROR(INDEX(Pagos_Odoo!$A:$A, MATCH(X2789, Pagos_Odoo!$B:$B, 0)), ""))</f>
        <v/>
      </c>
      <c r="AA2789" s="79">
        <f>IF(X2789="Sin Pago","",IFERROR(INDEX(Pagos_Odoo!$F:$F, MATCH(X2789, Pagos_Odoo!$B:$B, 0)), ""))</f>
        <v/>
      </c>
      <c r="AB2789" s="81">
        <f>IF(X2789="Sin Pago",0,IFERROR(INDEX(Pagos_Odoo!$E:$E, MATCH(X2789, Pagos_Odoo!$B:$B, 0)), 0))</f>
        <v/>
      </c>
      <c r="AC2789" s="79">
        <f>IF(X2789="Sin Pago","",IFERROR(INDEX(Pagos_Odoo!$G:$G, MATCH(X2789, Pagos_Odoo!$B:$B, 0)), ""))</f>
        <v/>
      </c>
      <c r="AD2789" s="82" t="n">
        <v>0</v>
      </c>
      <c r="AE2789" s="82" t="n"/>
      <c r="AF2789" s="82" t="n"/>
      <c r="AG2789" s="82">
        <f>IF(AN2789="","",AD2789+AE2789+AF2789)</f>
        <v/>
      </c>
      <c r="AH2789" s="81">
        <f>IF(AN2789="","",P2789*(1-AG2789))</f>
        <v/>
      </c>
      <c r="AI2789" s="81">
        <f>IF(AN2789="","",IF(Q2789="Sin Factura",0,IFERROR(INDEX(Facturas_Odoo!$H:$H, MATCH(Q2789, Facturas_Odoo!$B:$B, 0)), 0)*(1-AG2789)))</f>
        <v/>
      </c>
      <c r="AJ2789" s="81">
        <f>IF(AN2789="","",_xlfn.LET(idVenta, AN2789&amp;"",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89" s="81">
        <f>IF(AN2789="","",AH2789-AJ2789)</f>
        <v/>
      </c>
      <c r="AL2789" s="81">
        <f>IF(AN2789="","",IF(Q2789="Sin Factura","",AI2789-AJ2789))</f>
        <v/>
      </c>
      <c r="AM2789" s="81">
        <f>IF(AN2789="","",IF(Q2789="Sin Factura",0,P2789-IFERROR(INDEX(Facturas_Odoo!$H:$H, MATCH(Q2789, Facturas_Odoo!$B:$B, 0)), 0)))</f>
        <v/>
      </c>
      <c r="AN2789" s="79">
        <f>IF(AND(A2789="", J2789=""), "", IF(A2789&lt;&gt;"", VALUE(MID(A2789,2,LEN(A2789))), AN2788))</f>
        <v/>
      </c>
      <c r="AO2789" s="79">
        <f>IF(AN2789="","",IF(AD2789=0,"OK",_xlfn.LET(monedaPago, IF(AA2789="","USD",AA2789), limitePermitido, IFERROR(VLOOKUP(monedaPago, Configuración!$A$2:$B$3, 2, FALSE), 0.15), IF(AD2789&gt;limitePermitido, "ALERTA: EXCESO (" &amp; TEXT(limitePermitido, "0%") &amp; " máx)", "OK"))))</f>
        <v/>
      </c>
      <c r="AP2789" s="79">
        <f>IF(AN2789="","",IF(AE2789=0,"OK",_xlfn.LET(fechaPago, Z2789, fechaFactura, R2789, diasCredito, IF(E2789="Pago inmediato", 0, IFERROR(VALUE(MID(E2789, 1, SEARCH(" ", E2789)-1)),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89" s="79">
        <f>IF(AN2789="","",IF(AND(N2789&gt;0, AG2789&gt;0), IF(Configuración!$K$2="NO", "ALERTA: DESCUENTO DOBLE NO PERMITIDO", "OK"), "OK"))</f>
        <v/>
      </c>
      <c r="AR2789" s="79">
        <f>IF(AN2789="","",IF(OR(AO2789&lt;&gt;"OK", AP2789&lt;&gt;"OK", AQ2789&lt;&gt;"OK"), "⚠️ REVISAR", "OK"))</f>
        <v/>
      </c>
    </row>
    <row r="2790">
      <c r="A2790" s="79">
        <f>IF('Ordenes_Odoo'!A2790="","",'Ordenes_Odoo'!A2790)</f>
        <v/>
      </c>
      <c r="B2790" s="80">
        <f>IF('Ordenes_Odoo'!B2790="","",'Ordenes_Odoo'!B2790)</f>
        <v/>
      </c>
      <c r="C2790" s="79">
        <f>IF('Ordenes_Odoo'!C2790="","",'Ordenes_Odoo'!C2790)</f>
        <v/>
      </c>
      <c r="D2790" s="79">
        <f>IF('Ordenes_Odoo'!D2790="","",'Ordenes_Odoo'!D2790)</f>
        <v/>
      </c>
      <c r="E2790" s="79">
        <f>IF('Ordenes_Odoo'!E2790="","",'Ordenes_Odoo'!E2790)</f>
        <v/>
      </c>
      <c r="F2790" s="79">
        <f>IF('Ordenes_Odoo'!F2790="","",'Ordenes_Odoo'!F2790)</f>
        <v/>
      </c>
      <c r="G2790" s="79">
        <f>IF('Ordenes_Odoo'!G2790="","",'Ordenes_Odoo'!G2790)</f>
        <v/>
      </c>
      <c r="H2790" s="79">
        <f>IF('Ordenes_Odoo'!H2790="","",'Ordenes_Odoo'!H2790)</f>
        <v/>
      </c>
      <c r="I2790" s="79">
        <f>IF('Ordenes_Odoo'!I2790="","",'Ordenes_Odoo'!I2790)</f>
        <v/>
      </c>
      <c r="J2790" s="79">
        <f>IF('Ordenes_Odoo'!J2790="","",'Ordenes_Odoo'!J2790)</f>
        <v/>
      </c>
      <c r="K2790" s="81">
        <f>IF('Ordenes_Odoo'!K2790="","",'Ordenes_Odoo'!K2790)</f>
        <v/>
      </c>
      <c r="L2790" s="81">
        <f>IF('Ordenes_Odoo'!L2790="","",'Ordenes_Odoo'!L2790)</f>
        <v/>
      </c>
      <c r="M2790" s="79">
        <f>IF('Ordenes_Odoo'!M2790="","",'Ordenes_Odoo'!M2790)</f>
        <v/>
      </c>
      <c r="N2790" s="79">
        <f>IF('Ordenes_Odoo'!N2790="","",'Ordenes_Odoo'!N2790)</f>
        <v/>
      </c>
      <c r="O2790" s="81">
        <f>IF('Ordenes_Odoo'!O2790="","",'Ordenes_Odoo'!O2790)</f>
        <v/>
      </c>
      <c r="P2790" s="81">
        <f>IF('Ordenes_Odoo'!P2790="","",'Ordenes_Odoo'!P2790)</f>
        <v/>
      </c>
      <c r="Q2790" s="79">
        <f>IF(A2790="","",IFERROR(INDEX(Facturas_Odoo!$B:$B, MATCH(A2790, Facturas_Odoo!$D:$D, 0)), "Sin Factura"))</f>
        <v/>
      </c>
      <c r="R2790" s="80">
        <f>IF(Q2790="Sin Factura","",IFERROR(INDEX(Facturas_Odoo!$A:$A, MATCH(Q2790, Facturas_Odoo!$B:$B, 0)), ""))</f>
        <v/>
      </c>
      <c r="S2790" s="79">
        <f>IF(Q2790="Sin Factura","",IFERROR(_xlfn.XLOOKUP(1, (Facturas_Odoo!$D:$D=A2790) * (Facturas_Odoo!$K:$K=I2790), Facturas_Odoo!$L:$L, ""), ""))</f>
        <v/>
      </c>
      <c r="T2790" s="81">
        <f>IF(Q2790="Sin Factura",0,IFERROR(_xlfn.XLOOKUP(1, (Facturas_Odoo!$D:$D=A2790) * (Facturas_Odoo!$K:$K=I2790), Facturas_Odoo!$M:$M, 0), 0))</f>
        <v/>
      </c>
      <c r="U2790" s="79">
        <f>IF(Q2790="Sin Factura",0,IFERROR(_xlfn.XLOOKUP(1, (Facturas_Odoo!$D:$D=A2790) * (Facturas_Odoo!$K:$K=I2790), Facturas_Odoo!$N:$N, 0), 0))</f>
        <v/>
      </c>
      <c r="V2790" s="79">
        <f>IF(Q2790="Sin Factura",0,IFERROR(_xlfn.XLOOKUP(1, (Facturas_Odoo!$D:$D=A2790) * (Facturas_Odoo!$K:$K=I2790), Facturas_Odoo!$O:$O, 0), 0))</f>
        <v/>
      </c>
      <c r="W2790" s="81">
        <f>IF(Q2790="Sin Factura",0,IFERROR(_xlfn.XLOOKUP(1, (Facturas_Odoo!$D:$D=A2790) * (Facturas_Odoo!$K:$K=I2790), Facturas_Odoo!$Q:$Q, 0), 0))</f>
        <v/>
      </c>
      <c r="X2790" s="79">
        <f>IF(OR(Q2790="Sin Factura",Q2790=""),"",IFERROR(INDEX(Pagos_Odoo!$B:$B, MATCH(Q2790, Pagos_Odoo!$I:$I, 0)), "Sin Pago"))</f>
        <v/>
      </c>
      <c r="Y2790" s="79">
        <f>IF(X2790="Sin Pago","",IFERROR(INDEX(Pagos_Odoo!$C:$C, MATCH(X2790, Pagos_Odoo!$B:$B, 0)), ""))</f>
        <v/>
      </c>
      <c r="Z2790" s="80">
        <f>IF(X2790="Sin Pago","",IFERROR(INDEX(Pagos_Odoo!$A:$A, MATCH(X2790, Pagos_Odoo!$B:$B, 0)), ""))</f>
        <v/>
      </c>
      <c r="AA2790" s="79">
        <f>IF(X2790="Sin Pago","",IFERROR(INDEX(Pagos_Odoo!$F:$F, MATCH(X2790, Pagos_Odoo!$B:$B, 0)), ""))</f>
        <v/>
      </c>
      <c r="AB2790" s="81">
        <f>IF(X2790="Sin Pago",0,IFERROR(INDEX(Pagos_Odoo!$E:$E, MATCH(X2790, Pagos_Odoo!$B:$B, 0)), 0))</f>
        <v/>
      </c>
      <c r="AC2790" s="79">
        <f>IF(X2790="Sin Pago","",IFERROR(INDEX(Pagos_Odoo!$G:$G, MATCH(X2790, Pagos_Odoo!$B:$B, 0)), ""))</f>
        <v/>
      </c>
      <c r="AD2790" s="82" t="n">
        <v>0</v>
      </c>
      <c r="AE2790" s="82" t="n"/>
      <c r="AF2790" s="82" t="n"/>
      <c r="AG2790" s="82">
        <f>IF(AN2790="","",AD2790+AE2790+AF2790)</f>
        <v/>
      </c>
      <c r="AH2790" s="81">
        <f>IF(AN2790="","",P2790*(1-AG2790))</f>
        <v/>
      </c>
      <c r="AI2790" s="81">
        <f>IF(AN2790="","",IF(Q2790="Sin Factura",0,IFERROR(INDEX(Facturas_Odoo!$H:$H, MATCH(Q2790, Facturas_Odoo!$B:$B, 0)), 0)*(1-AG2790)))</f>
        <v/>
      </c>
      <c r="AJ2790" s="81">
        <f>IF(AN2790="","",_xlfn.LET(idVenta, AN2790&amp;"",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90" s="81">
        <f>IF(AN2790="","",AH2790-AJ2790)</f>
        <v/>
      </c>
      <c r="AL2790" s="81">
        <f>IF(AN2790="","",IF(Q2790="Sin Factura","",AI2790-AJ2790))</f>
        <v/>
      </c>
      <c r="AM2790" s="81">
        <f>IF(AN2790="","",IF(Q2790="Sin Factura",0,P2790-IFERROR(INDEX(Facturas_Odoo!$H:$H, MATCH(Q2790, Facturas_Odoo!$B:$B, 0)), 0)))</f>
        <v/>
      </c>
      <c r="AN2790" s="79">
        <f>IF(AND(A2790="", J2790=""), "", IF(A2790&lt;&gt;"", VALUE(MID(A2790,2,LEN(A2790))), AN2789))</f>
        <v/>
      </c>
      <c r="AO2790" s="79">
        <f>IF(AN2790="","",IF(AD2790=0,"OK",_xlfn.LET(monedaPago, IF(AA2790="","USD",AA2790), limitePermitido, IFERROR(VLOOKUP(monedaPago, Configuración!$A$2:$B$3, 2, FALSE), 0.15), IF(AD2790&gt;limitePermitido, "ALERTA: EXCESO (" &amp; TEXT(limitePermitido, "0%") &amp; " máx)", "OK"))))</f>
        <v/>
      </c>
      <c r="AP2790" s="79">
        <f>IF(AN2790="","",IF(AE2790=0,"OK",_xlfn.LET(fechaPago, Z2790, fechaFactura, R2790, diasCredito, IF(E2790="Pago inmediato", 0, IFERROR(VALUE(MID(E2790, 1, SEARCH(" ", E2790)-1)),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90" s="79">
        <f>IF(AN2790="","",IF(AND(N2790&gt;0, AG2790&gt;0), IF(Configuración!$K$2="NO", "ALERTA: DESCUENTO DOBLE NO PERMITIDO", "OK"), "OK"))</f>
        <v/>
      </c>
      <c r="AR2790" s="79">
        <f>IF(AN2790="","",IF(OR(AO2790&lt;&gt;"OK", AP2790&lt;&gt;"OK", AQ2790&lt;&gt;"OK"), "⚠️ REVISAR", "OK"))</f>
        <v/>
      </c>
    </row>
    <row r="2791">
      <c r="A2791" s="79">
        <f>IF('Ordenes_Odoo'!A2791="","",'Ordenes_Odoo'!A2791)</f>
        <v/>
      </c>
      <c r="B2791" s="80">
        <f>IF('Ordenes_Odoo'!B2791="","",'Ordenes_Odoo'!B2791)</f>
        <v/>
      </c>
      <c r="C2791" s="79">
        <f>IF('Ordenes_Odoo'!C2791="","",'Ordenes_Odoo'!C2791)</f>
        <v/>
      </c>
      <c r="D2791" s="79">
        <f>IF('Ordenes_Odoo'!D2791="","",'Ordenes_Odoo'!D2791)</f>
        <v/>
      </c>
      <c r="E2791" s="79">
        <f>IF('Ordenes_Odoo'!E2791="","",'Ordenes_Odoo'!E2791)</f>
        <v/>
      </c>
      <c r="F2791" s="79">
        <f>IF('Ordenes_Odoo'!F2791="","",'Ordenes_Odoo'!F2791)</f>
        <v/>
      </c>
      <c r="G2791" s="79">
        <f>IF('Ordenes_Odoo'!G2791="","",'Ordenes_Odoo'!G2791)</f>
        <v/>
      </c>
      <c r="H2791" s="79">
        <f>IF('Ordenes_Odoo'!H2791="","",'Ordenes_Odoo'!H2791)</f>
        <v/>
      </c>
      <c r="I2791" s="79">
        <f>IF('Ordenes_Odoo'!I2791="","",'Ordenes_Odoo'!I2791)</f>
        <v/>
      </c>
      <c r="J2791" s="79">
        <f>IF('Ordenes_Odoo'!J2791="","",'Ordenes_Odoo'!J2791)</f>
        <v/>
      </c>
      <c r="K2791" s="81">
        <f>IF('Ordenes_Odoo'!K2791="","",'Ordenes_Odoo'!K2791)</f>
        <v/>
      </c>
      <c r="L2791" s="81">
        <f>IF('Ordenes_Odoo'!L2791="","",'Ordenes_Odoo'!L2791)</f>
        <v/>
      </c>
      <c r="M2791" s="79">
        <f>IF('Ordenes_Odoo'!M2791="","",'Ordenes_Odoo'!M2791)</f>
        <v/>
      </c>
      <c r="N2791" s="79">
        <f>IF('Ordenes_Odoo'!N2791="","",'Ordenes_Odoo'!N2791)</f>
        <v/>
      </c>
      <c r="O2791" s="81">
        <f>IF('Ordenes_Odoo'!O2791="","",'Ordenes_Odoo'!O2791)</f>
        <v/>
      </c>
      <c r="P2791" s="81">
        <f>IF('Ordenes_Odoo'!P2791="","",'Ordenes_Odoo'!P2791)</f>
        <v/>
      </c>
      <c r="Q2791" s="79">
        <f>IF(A2791="","",IFERROR(INDEX(Facturas_Odoo!$B:$B, MATCH(A2791, Facturas_Odoo!$D:$D, 0)), "Sin Factura"))</f>
        <v/>
      </c>
      <c r="R2791" s="80">
        <f>IF(Q2791="Sin Factura","",IFERROR(INDEX(Facturas_Odoo!$A:$A, MATCH(Q2791, Facturas_Odoo!$B:$B, 0)), ""))</f>
        <v/>
      </c>
      <c r="S2791" s="79">
        <f>IF(Q2791="Sin Factura","",IFERROR(_xlfn.XLOOKUP(1, (Facturas_Odoo!$D:$D=A2791) * (Facturas_Odoo!$K:$K=I2791), Facturas_Odoo!$L:$L, ""), ""))</f>
        <v/>
      </c>
      <c r="T2791" s="81">
        <f>IF(Q2791="Sin Factura",0,IFERROR(_xlfn.XLOOKUP(1, (Facturas_Odoo!$D:$D=A2791) * (Facturas_Odoo!$K:$K=I2791), Facturas_Odoo!$M:$M, 0), 0))</f>
        <v/>
      </c>
      <c r="U2791" s="79">
        <f>IF(Q2791="Sin Factura",0,IFERROR(_xlfn.XLOOKUP(1, (Facturas_Odoo!$D:$D=A2791) * (Facturas_Odoo!$K:$K=I2791), Facturas_Odoo!$N:$N, 0), 0))</f>
        <v/>
      </c>
      <c r="V2791" s="79">
        <f>IF(Q2791="Sin Factura",0,IFERROR(_xlfn.XLOOKUP(1, (Facturas_Odoo!$D:$D=A2791) * (Facturas_Odoo!$K:$K=I2791), Facturas_Odoo!$O:$O, 0), 0))</f>
        <v/>
      </c>
      <c r="W2791" s="81">
        <f>IF(Q2791="Sin Factura",0,IFERROR(_xlfn.XLOOKUP(1, (Facturas_Odoo!$D:$D=A2791) * (Facturas_Odoo!$K:$K=I2791), Facturas_Odoo!$Q:$Q, 0), 0))</f>
        <v/>
      </c>
      <c r="X2791" s="79">
        <f>IF(OR(Q2791="Sin Factura",Q2791=""),"",IFERROR(INDEX(Pagos_Odoo!$B:$B, MATCH(Q2791, Pagos_Odoo!$I:$I, 0)), "Sin Pago"))</f>
        <v/>
      </c>
      <c r="Y2791" s="79">
        <f>IF(X2791="Sin Pago","",IFERROR(INDEX(Pagos_Odoo!$C:$C, MATCH(X2791, Pagos_Odoo!$B:$B, 0)), ""))</f>
        <v/>
      </c>
      <c r="Z2791" s="80">
        <f>IF(X2791="Sin Pago","",IFERROR(INDEX(Pagos_Odoo!$A:$A, MATCH(X2791, Pagos_Odoo!$B:$B, 0)), ""))</f>
        <v/>
      </c>
      <c r="AA2791" s="79">
        <f>IF(X2791="Sin Pago","",IFERROR(INDEX(Pagos_Odoo!$F:$F, MATCH(X2791, Pagos_Odoo!$B:$B, 0)), ""))</f>
        <v/>
      </c>
      <c r="AB2791" s="81">
        <f>IF(X2791="Sin Pago",0,IFERROR(INDEX(Pagos_Odoo!$E:$E, MATCH(X2791, Pagos_Odoo!$B:$B, 0)), 0))</f>
        <v/>
      </c>
      <c r="AC2791" s="79">
        <f>IF(X2791="Sin Pago","",IFERROR(INDEX(Pagos_Odoo!$G:$G, MATCH(X2791, Pagos_Odoo!$B:$B, 0)), ""))</f>
        <v/>
      </c>
      <c r="AD2791" s="82" t="n">
        <v>0</v>
      </c>
      <c r="AE2791" s="82" t="n"/>
      <c r="AF2791" s="82" t="n"/>
      <c r="AG2791" s="82">
        <f>IF(AN2791="","",AD2791+AE2791+AF2791)</f>
        <v/>
      </c>
      <c r="AH2791" s="81">
        <f>IF(AN2791="","",P2791*(1-AG2791))</f>
        <v/>
      </c>
      <c r="AI2791" s="81">
        <f>IF(AN2791="","",IF(Q2791="Sin Factura",0,IFERROR(INDEX(Facturas_Odoo!$H:$H, MATCH(Q2791, Facturas_Odoo!$B:$B, 0)), 0)*(1-AG2791)))</f>
        <v/>
      </c>
      <c r="AJ2791" s="81">
        <f>IF(AN2791="","",_xlfn.LET(idVenta, AN2791&amp;"",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91" s="81">
        <f>IF(AN2791="","",AH2791-AJ2791)</f>
        <v/>
      </c>
      <c r="AL2791" s="81">
        <f>IF(AN2791="","",IF(Q2791="Sin Factura","",AI2791-AJ2791))</f>
        <v/>
      </c>
      <c r="AM2791" s="81">
        <f>IF(AN2791="","",IF(Q2791="Sin Factura",0,P2791-IFERROR(INDEX(Facturas_Odoo!$H:$H, MATCH(Q2791, Facturas_Odoo!$B:$B, 0)), 0)))</f>
        <v/>
      </c>
      <c r="AN2791" s="79">
        <f>IF(AND(A2791="", J2791=""), "", IF(A2791&lt;&gt;"", VALUE(MID(A2791,2,LEN(A2791))), AN2790))</f>
        <v/>
      </c>
      <c r="AO2791" s="79">
        <f>IF(AN2791="","",IF(AD2791=0,"OK",_xlfn.LET(monedaPago, IF(AA2791="","USD",AA2791), limitePermitido, IFERROR(VLOOKUP(monedaPago, Configuración!$A$2:$B$3, 2, FALSE), 0.15), IF(AD2791&gt;limitePermitido, "ALERTA: EXCESO (" &amp; TEXT(limitePermitido, "0%") &amp; " máx)", "OK"))))</f>
        <v/>
      </c>
      <c r="AP2791" s="79">
        <f>IF(AN2791="","",IF(AE2791=0,"OK",_xlfn.LET(fechaPago, Z2791, fechaFactura, R2791, diasCredito, IF(E2791="Pago inmediato", 0, IFERROR(VALUE(MID(E2791, 1, SEARCH(" ", E2791)-1)),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91" s="79">
        <f>IF(AN2791="","",IF(AND(N2791&gt;0, AG2791&gt;0), IF(Configuración!$K$2="NO", "ALERTA: DESCUENTO DOBLE NO PERMITIDO", "OK"), "OK"))</f>
        <v/>
      </c>
      <c r="AR2791" s="79">
        <f>IF(AN2791="","",IF(OR(AO2791&lt;&gt;"OK", AP2791&lt;&gt;"OK", AQ2791&lt;&gt;"OK"), "⚠️ REVISAR", "OK"))</f>
        <v/>
      </c>
    </row>
    <row r="2792">
      <c r="A2792" s="79">
        <f>IF('Ordenes_Odoo'!A2792="","",'Ordenes_Odoo'!A2792)</f>
        <v/>
      </c>
      <c r="B2792" s="80">
        <f>IF('Ordenes_Odoo'!B2792="","",'Ordenes_Odoo'!B2792)</f>
        <v/>
      </c>
      <c r="C2792" s="79">
        <f>IF('Ordenes_Odoo'!C2792="","",'Ordenes_Odoo'!C2792)</f>
        <v/>
      </c>
      <c r="D2792" s="79">
        <f>IF('Ordenes_Odoo'!D2792="","",'Ordenes_Odoo'!D2792)</f>
        <v/>
      </c>
      <c r="E2792" s="79">
        <f>IF('Ordenes_Odoo'!E2792="","",'Ordenes_Odoo'!E2792)</f>
        <v/>
      </c>
      <c r="F2792" s="79">
        <f>IF('Ordenes_Odoo'!F2792="","",'Ordenes_Odoo'!F2792)</f>
        <v/>
      </c>
      <c r="G2792" s="79">
        <f>IF('Ordenes_Odoo'!G2792="","",'Ordenes_Odoo'!G2792)</f>
        <v/>
      </c>
      <c r="H2792" s="79">
        <f>IF('Ordenes_Odoo'!H2792="","",'Ordenes_Odoo'!H2792)</f>
        <v/>
      </c>
      <c r="I2792" s="79">
        <f>IF('Ordenes_Odoo'!I2792="","",'Ordenes_Odoo'!I2792)</f>
        <v/>
      </c>
      <c r="J2792" s="79">
        <f>IF('Ordenes_Odoo'!J2792="","",'Ordenes_Odoo'!J2792)</f>
        <v/>
      </c>
      <c r="K2792" s="81">
        <f>IF('Ordenes_Odoo'!K2792="","",'Ordenes_Odoo'!K2792)</f>
        <v/>
      </c>
      <c r="L2792" s="81">
        <f>IF('Ordenes_Odoo'!L2792="","",'Ordenes_Odoo'!L2792)</f>
        <v/>
      </c>
      <c r="M2792" s="79">
        <f>IF('Ordenes_Odoo'!M2792="","",'Ordenes_Odoo'!M2792)</f>
        <v/>
      </c>
      <c r="N2792" s="79">
        <f>IF('Ordenes_Odoo'!N2792="","",'Ordenes_Odoo'!N2792)</f>
        <v/>
      </c>
      <c r="O2792" s="81">
        <f>IF('Ordenes_Odoo'!O2792="","",'Ordenes_Odoo'!O2792)</f>
        <v/>
      </c>
      <c r="P2792" s="81">
        <f>IF('Ordenes_Odoo'!P2792="","",'Ordenes_Odoo'!P2792)</f>
        <v/>
      </c>
      <c r="Q2792" s="79">
        <f>IF(A2792="","",IFERROR(INDEX(Facturas_Odoo!$B:$B, MATCH(A2792, Facturas_Odoo!$D:$D, 0)), "Sin Factura"))</f>
        <v/>
      </c>
      <c r="R2792" s="80">
        <f>IF(Q2792="Sin Factura","",IFERROR(INDEX(Facturas_Odoo!$A:$A, MATCH(Q2792, Facturas_Odoo!$B:$B, 0)), ""))</f>
        <v/>
      </c>
      <c r="S2792" s="79">
        <f>IF(Q2792="Sin Factura","",IFERROR(_xlfn.XLOOKUP(1, (Facturas_Odoo!$D:$D=A2792) * (Facturas_Odoo!$K:$K=I2792), Facturas_Odoo!$L:$L, ""), ""))</f>
        <v/>
      </c>
      <c r="T2792" s="81">
        <f>IF(Q2792="Sin Factura",0,IFERROR(_xlfn.XLOOKUP(1, (Facturas_Odoo!$D:$D=A2792) * (Facturas_Odoo!$K:$K=I2792), Facturas_Odoo!$M:$M, 0), 0))</f>
        <v/>
      </c>
      <c r="U2792" s="79">
        <f>IF(Q2792="Sin Factura",0,IFERROR(_xlfn.XLOOKUP(1, (Facturas_Odoo!$D:$D=A2792) * (Facturas_Odoo!$K:$K=I2792), Facturas_Odoo!$N:$N, 0), 0))</f>
        <v/>
      </c>
      <c r="V2792" s="79">
        <f>IF(Q2792="Sin Factura",0,IFERROR(_xlfn.XLOOKUP(1, (Facturas_Odoo!$D:$D=A2792) * (Facturas_Odoo!$K:$K=I2792), Facturas_Odoo!$O:$O, 0), 0))</f>
        <v/>
      </c>
      <c r="W2792" s="81">
        <f>IF(Q2792="Sin Factura",0,IFERROR(_xlfn.XLOOKUP(1, (Facturas_Odoo!$D:$D=A2792) * (Facturas_Odoo!$K:$K=I2792), Facturas_Odoo!$Q:$Q, 0), 0))</f>
        <v/>
      </c>
      <c r="X2792" s="79">
        <f>IF(OR(Q2792="Sin Factura",Q2792=""),"",IFERROR(INDEX(Pagos_Odoo!$B:$B, MATCH(Q2792, Pagos_Odoo!$I:$I, 0)), "Sin Pago"))</f>
        <v/>
      </c>
      <c r="Y2792" s="79">
        <f>IF(X2792="Sin Pago","",IFERROR(INDEX(Pagos_Odoo!$C:$C, MATCH(X2792, Pagos_Odoo!$B:$B, 0)), ""))</f>
        <v/>
      </c>
      <c r="Z2792" s="80">
        <f>IF(X2792="Sin Pago","",IFERROR(INDEX(Pagos_Odoo!$A:$A, MATCH(X2792, Pagos_Odoo!$B:$B, 0)), ""))</f>
        <v/>
      </c>
      <c r="AA2792" s="79">
        <f>IF(X2792="Sin Pago","",IFERROR(INDEX(Pagos_Odoo!$F:$F, MATCH(X2792, Pagos_Odoo!$B:$B, 0)), ""))</f>
        <v/>
      </c>
      <c r="AB2792" s="81">
        <f>IF(X2792="Sin Pago",0,IFERROR(INDEX(Pagos_Odoo!$E:$E, MATCH(X2792, Pagos_Odoo!$B:$B, 0)), 0))</f>
        <v/>
      </c>
      <c r="AC2792" s="79">
        <f>IF(X2792="Sin Pago","",IFERROR(INDEX(Pagos_Odoo!$G:$G, MATCH(X2792, Pagos_Odoo!$B:$B, 0)), ""))</f>
        <v/>
      </c>
      <c r="AD2792" s="82" t="n">
        <v>0</v>
      </c>
      <c r="AE2792" s="82" t="n"/>
      <c r="AF2792" s="82" t="n"/>
      <c r="AG2792" s="82">
        <f>IF(AN2792="","",AD2792+AE2792+AF2792)</f>
        <v/>
      </c>
      <c r="AH2792" s="81">
        <f>IF(AN2792="","",P2792*(1-AG2792))</f>
        <v/>
      </c>
      <c r="AI2792" s="81">
        <f>IF(AN2792="","",IF(Q2792="Sin Factura",0,IFERROR(INDEX(Facturas_Odoo!$H:$H, MATCH(Q2792, Facturas_Odoo!$B:$B, 0)), 0)*(1-AG2792)))</f>
        <v/>
      </c>
      <c r="AJ2792" s="81">
        <f>IF(AN2792="","",_xlfn.LET(idVenta, AN2792&amp;"",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92" s="81">
        <f>IF(AN2792="","",AH2792-AJ2792)</f>
        <v/>
      </c>
      <c r="AL2792" s="81">
        <f>IF(AN2792="","",IF(Q2792="Sin Factura","",AI2792-AJ2792))</f>
        <v/>
      </c>
      <c r="AM2792" s="81">
        <f>IF(AN2792="","",IF(Q2792="Sin Factura",0,P2792-IFERROR(INDEX(Facturas_Odoo!$H:$H, MATCH(Q2792, Facturas_Odoo!$B:$B, 0)), 0)))</f>
        <v/>
      </c>
      <c r="AN2792" s="79">
        <f>IF(AND(A2792="", J2792=""), "", IF(A2792&lt;&gt;"", VALUE(MID(A2792,2,LEN(A2792))), AN2791))</f>
        <v/>
      </c>
      <c r="AO2792" s="79">
        <f>IF(AN2792="","",IF(AD2792=0,"OK",_xlfn.LET(monedaPago, IF(AA2792="","USD",AA2792), limitePermitido, IFERROR(VLOOKUP(monedaPago, Configuración!$A$2:$B$3, 2, FALSE), 0.15), IF(AD2792&gt;limitePermitido, "ALERTA: EXCESO (" &amp; TEXT(limitePermitido, "0%") &amp; " máx)", "OK"))))</f>
        <v/>
      </c>
      <c r="AP2792" s="79">
        <f>IF(AN2792="","",IF(AE2792=0,"OK",_xlfn.LET(fechaPago, Z2792, fechaFactura, R2792, diasCredito, IF(E2792="Pago inmediato", 0, IFERROR(VALUE(MID(E2792, 1, SEARCH(" ", E2792)-1)),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92" s="79">
        <f>IF(AN2792="","",IF(AND(N2792&gt;0, AG2792&gt;0), IF(Configuración!$K$2="NO", "ALERTA: DESCUENTO DOBLE NO PERMITIDO", "OK"), "OK"))</f>
        <v/>
      </c>
      <c r="AR2792" s="79">
        <f>IF(AN2792="","",IF(OR(AO2792&lt;&gt;"OK", AP2792&lt;&gt;"OK", AQ2792&lt;&gt;"OK"), "⚠️ REVISAR", "OK"))</f>
        <v/>
      </c>
    </row>
    <row r="2793">
      <c r="A2793" s="79">
        <f>IF('Ordenes_Odoo'!A2793="","",'Ordenes_Odoo'!A2793)</f>
        <v/>
      </c>
      <c r="B2793" s="80">
        <f>IF('Ordenes_Odoo'!B2793="","",'Ordenes_Odoo'!B2793)</f>
        <v/>
      </c>
      <c r="C2793" s="79">
        <f>IF('Ordenes_Odoo'!C2793="","",'Ordenes_Odoo'!C2793)</f>
        <v/>
      </c>
      <c r="D2793" s="79">
        <f>IF('Ordenes_Odoo'!D2793="","",'Ordenes_Odoo'!D2793)</f>
        <v/>
      </c>
      <c r="E2793" s="79">
        <f>IF('Ordenes_Odoo'!E2793="","",'Ordenes_Odoo'!E2793)</f>
        <v/>
      </c>
      <c r="F2793" s="79">
        <f>IF('Ordenes_Odoo'!F2793="","",'Ordenes_Odoo'!F2793)</f>
        <v/>
      </c>
      <c r="G2793" s="79">
        <f>IF('Ordenes_Odoo'!G2793="","",'Ordenes_Odoo'!G2793)</f>
        <v/>
      </c>
      <c r="H2793" s="79">
        <f>IF('Ordenes_Odoo'!H2793="","",'Ordenes_Odoo'!H2793)</f>
        <v/>
      </c>
      <c r="I2793" s="79">
        <f>IF('Ordenes_Odoo'!I2793="","",'Ordenes_Odoo'!I2793)</f>
        <v/>
      </c>
      <c r="J2793" s="79">
        <f>IF('Ordenes_Odoo'!J2793="","",'Ordenes_Odoo'!J2793)</f>
        <v/>
      </c>
      <c r="K2793" s="81">
        <f>IF('Ordenes_Odoo'!K2793="","",'Ordenes_Odoo'!K2793)</f>
        <v/>
      </c>
      <c r="L2793" s="81">
        <f>IF('Ordenes_Odoo'!L2793="","",'Ordenes_Odoo'!L2793)</f>
        <v/>
      </c>
      <c r="M2793" s="79">
        <f>IF('Ordenes_Odoo'!M2793="","",'Ordenes_Odoo'!M2793)</f>
        <v/>
      </c>
      <c r="N2793" s="79">
        <f>IF('Ordenes_Odoo'!N2793="","",'Ordenes_Odoo'!N2793)</f>
        <v/>
      </c>
      <c r="O2793" s="81">
        <f>IF('Ordenes_Odoo'!O2793="","",'Ordenes_Odoo'!O2793)</f>
        <v/>
      </c>
      <c r="P2793" s="81">
        <f>IF('Ordenes_Odoo'!P2793="","",'Ordenes_Odoo'!P2793)</f>
        <v/>
      </c>
      <c r="Q2793" s="79">
        <f>IF(A2793="","",IFERROR(INDEX(Facturas_Odoo!$B:$B, MATCH(A2793, Facturas_Odoo!$D:$D, 0)), "Sin Factura"))</f>
        <v/>
      </c>
      <c r="R2793" s="80">
        <f>IF(Q2793="Sin Factura","",IFERROR(INDEX(Facturas_Odoo!$A:$A, MATCH(Q2793, Facturas_Odoo!$B:$B, 0)), ""))</f>
        <v/>
      </c>
      <c r="S2793" s="79">
        <f>IF(Q2793="Sin Factura","",IFERROR(_xlfn.XLOOKUP(1, (Facturas_Odoo!$D:$D=A2793) * (Facturas_Odoo!$K:$K=I2793), Facturas_Odoo!$L:$L, ""), ""))</f>
        <v/>
      </c>
      <c r="T2793" s="81">
        <f>IF(Q2793="Sin Factura",0,IFERROR(_xlfn.XLOOKUP(1, (Facturas_Odoo!$D:$D=A2793) * (Facturas_Odoo!$K:$K=I2793), Facturas_Odoo!$M:$M, 0), 0))</f>
        <v/>
      </c>
      <c r="U2793" s="79">
        <f>IF(Q2793="Sin Factura",0,IFERROR(_xlfn.XLOOKUP(1, (Facturas_Odoo!$D:$D=A2793) * (Facturas_Odoo!$K:$K=I2793), Facturas_Odoo!$N:$N, 0), 0))</f>
        <v/>
      </c>
      <c r="V2793" s="79">
        <f>IF(Q2793="Sin Factura",0,IFERROR(_xlfn.XLOOKUP(1, (Facturas_Odoo!$D:$D=A2793) * (Facturas_Odoo!$K:$K=I2793), Facturas_Odoo!$O:$O, 0), 0))</f>
        <v/>
      </c>
      <c r="W2793" s="81">
        <f>IF(Q2793="Sin Factura",0,IFERROR(_xlfn.XLOOKUP(1, (Facturas_Odoo!$D:$D=A2793) * (Facturas_Odoo!$K:$K=I2793), Facturas_Odoo!$Q:$Q, 0), 0))</f>
        <v/>
      </c>
      <c r="X2793" s="79">
        <f>IF(OR(Q2793="Sin Factura",Q2793=""),"",IFERROR(INDEX(Pagos_Odoo!$B:$B, MATCH(Q2793, Pagos_Odoo!$I:$I, 0)), "Sin Pago"))</f>
        <v/>
      </c>
      <c r="Y2793" s="79">
        <f>IF(X2793="Sin Pago","",IFERROR(INDEX(Pagos_Odoo!$C:$C, MATCH(X2793, Pagos_Odoo!$B:$B, 0)), ""))</f>
        <v/>
      </c>
      <c r="Z2793" s="80">
        <f>IF(X2793="Sin Pago","",IFERROR(INDEX(Pagos_Odoo!$A:$A, MATCH(X2793, Pagos_Odoo!$B:$B, 0)), ""))</f>
        <v/>
      </c>
      <c r="AA2793" s="79">
        <f>IF(X2793="Sin Pago","",IFERROR(INDEX(Pagos_Odoo!$F:$F, MATCH(X2793, Pagos_Odoo!$B:$B, 0)), ""))</f>
        <v/>
      </c>
      <c r="AB2793" s="81">
        <f>IF(X2793="Sin Pago",0,IFERROR(INDEX(Pagos_Odoo!$E:$E, MATCH(X2793, Pagos_Odoo!$B:$B, 0)), 0))</f>
        <v/>
      </c>
      <c r="AC2793" s="79">
        <f>IF(X2793="Sin Pago","",IFERROR(INDEX(Pagos_Odoo!$G:$G, MATCH(X2793, Pagos_Odoo!$B:$B, 0)), ""))</f>
        <v/>
      </c>
      <c r="AD2793" s="82" t="n">
        <v>0</v>
      </c>
      <c r="AE2793" s="82" t="n"/>
      <c r="AF2793" s="82" t="n"/>
      <c r="AG2793" s="82">
        <f>IF(AN2793="","",AD2793+AE2793+AF2793)</f>
        <v/>
      </c>
      <c r="AH2793" s="81">
        <f>IF(AN2793="","",P2793*(1-AG2793))</f>
        <v/>
      </c>
      <c r="AI2793" s="81">
        <f>IF(AN2793="","",IF(Q2793="Sin Factura",0,IFERROR(INDEX(Facturas_Odoo!$H:$H, MATCH(Q2793, Facturas_Odoo!$B:$B, 0)), 0)*(1-AG2793)))</f>
        <v/>
      </c>
      <c r="AJ2793" s="81">
        <f>IF(AN2793="","",_xlfn.LET(idVenta, AN2793&amp;"",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93" s="81">
        <f>IF(AN2793="","",AH2793-AJ2793)</f>
        <v/>
      </c>
      <c r="AL2793" s="81">
        <f>IF(AN2793="","",IF(Q2793="Sin Factura","",AI2793-AJ2793))</f>
        <v/>
      </c>
      <c r="AM2793" s="81">
        <f>IF(AN2793="","",IF(Q2793="Sin Factura",0,P2793-IFERROR(INDEX(Facturas_Odoo!$H:$H, MATCH(Q2793, Facturas_Odoo!$B:$B, 0)), 0)))</f>
        <v/>
      </c>
      <c r="AN2793" s="79">
        <f>IF(AND(A2793="", J2793=""), "", IF(A2793&lt;&gt;"", VALUE(MID(A2793,2,LEN(A2793))), AN2792))</f>
        <v/>
      </c>
      <c r="AO2793" s="79">
        <f>IF(AN2793="","",IF(AD2793=0,"OK",_xlfn.LET(monedaPago, IF(AA2793="","USD",AA2793), limitePermitido, IFERROR(VLOOKUP(monedaPago, Configuración!$A$2:$B$3, 2, FALSE), 0.15), IF(AD2793&gt;limitePermitido, "ALERTA: EXCESO (" &amp; TEXT(limitePermitido, "0%") &amp; " máx)", "OK"))))</f>
        <v/>
      </c>
      <c r="AP2793" s="79">
        <f>IF(AN2793="","",IF(AE2793=0,"OK",_xlfn.LET(fechaPago, Z2793, fechaFactura, R2793, diasCredito, IF(E2793="Pago inmediato", 0, IFERROR(VALUE(MID(E2793, 1, SEARCH(" ", E2793)-1)),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93" s="79">
        <f>IF(AN2793="","",IF(AND(N2793&gt;0, AG2793&gt;0), IF(Configuración!$K$2="NO", "ALERTA: DESCUENTO DOBLE NO PERMITIDO", "OK"), "OK"))</f>
        <v/>
      </c>
      <c r="AR2793" s="79">
        <f>IF(AN2793="","",IF(OR(AO2793&lt;&gt;"OK", AP2793&lt;&gt;"OK", AQ2793&lt;&gt;"OK"), "⚠️ REVISAR", "OK"))</f>
        <v/>
      </c>
    </row>
    <row r="2794">
      <c r="A2794" s="79">
        <f>IF('Ordenes_Odoo'!A2794="","",'Ordenes_Odoo'!A2794)</f>
        <v/>
      </c>
      <c r="B2794" s="80">
        <f>IF('Ordenes_Odoo'!B2794="","",'Ordenes_Odoo'!B2794)</f>
        <v/>
      </c>
      <c r="C2794" s="79">
        <f>IF('Ordenes_Odoo'!C2794="","",'Ordenes_Odoo'!C2794)</f>
        <v/>
      </c>
      <c r="D2794" s="79">
        <f>IF('Ordenes_Odoo'!D2794="","",'Ordenes_Odoo'!D2794)</f>
        <v/>
      </c>
      <c r="E2794" s="79">
        <f>IF('Ordenes_Odoo'!E2794="","",'Ordenes_Odoo'!E2794)</f>
        <v/>
      </c>
      <c r="F2794" s="79">
        <f>IF('Ordenes_Odoo'!F2794="","",'Ordenes_Odoo'!F2794)</f>
        <v/>
      </c>
      <c r="G2794" s="79">
        <f>IF('Ordenes_Odoo'!G2794="","",'Ordenes_Odoo'!G2794)</f>
        <v/>
      </c>
      <c r="H2794" s="79">
        <f>IF('Ordenes_Odoo'!H2794="","",'Ordenes_Odoo'!H2794)</f>
        <v/>
      </c>
      <c r="I2794" s="79">
        <f>IF('Ordenes_Odoo'!I2794="","",'Ordenes_Odoo'!I2794)</f>
        <v/>
      </c>
      <c r="J2794" s="79">
        <f>IF('Ordenes_Odoo'!J2794="","",'Ordenes_Odoo'!J2794)</f>
        <v/>
      </c>
      <c r="K2794" s="81">
        <f>IF('Ordenes_Odoo'!K2794="","",'Ordenes_Odoo'!K2794)</f>
        <v/>
      </c>
      <c r="L2794" s="81">
        <f>IF('Ordenes_Odoo'!L2794="","",'Ordenes_Odoo'!L2794)</f>
        <v/>
      </c>
      <c r="M2794" s="79">
        <f>IF('Ordenes_Odoo'!M2794="","",'Ordenes_Odoo'!M2794)</f>
        <v/>
      </c>
      <c r="N2794" s="79">
        <f>IF('Ordenes_Odoo'!N2794="","",'Ordenes_Odoo'!N2794)</f>
        <v/>
      </c>
      <c r="O2794" s="81">
        <f>IF('Ordenes_Odoo'!O2794="","",'Ordenes_Odoo'!O2794)</f>
        <v/>
      </c>
      <c r="P2794" s="81">
        <f>IF('Ordenes_Odoo'!P2794="","",'Ordenes_Odoo'!P2794)</f>
        <v/>
      </c>
      <c r="Q2794" s="79">
        <f>IF(A2794="","",IFERROR(INDEX(Facturas_Odoo!$B:$B, MATCH(A2794, Facturas_Odoo!$D:$D, 0)), "Sin Factura"))</f>
        <v/>
      </c>
      <c r="R2794" s="80">
        <f>IF(Q2794="Sin Factura","",IFERROR(INDEX(Facturas_Odoo!$A:$A, MATCH(Q2794, Facturas_Odoo!$B:$B, 0)), ""))</f>
        <v/>
      </c>
      <c r="S2794" s="79">
        <f>IF(Q2794="Sin Factura","",IFERROR(_xlfn.XLOOKUP(1, (Facturas_Odoo!$D:$D=A2794) * (Facturas_Odoo!$K:$K=I2794), Facturas_Odoo!$L:$L, ""), ""))</f>
        <v/>
      </c>
      <c r="T2794" s="81">
        <f>IF(Q2794="Sin Factura",0,IFERROR(_xlfn.XLOOKUP(1, (Facturas_Odoo!$D:$D=A2794) * (Facturas_Odoo!$K:$K=I2794), Facturas_Odoo!$M:$M, 0), 0))</f>
        <v/>
      </c>
      <c r="U2794" s="79">
        <f>IF(Q2794="Sin Factura",0,IFERROR(_xlfn.XLOOKUP(1, (Facturas_Odoo!$D:$D=A2794) * (Facturas_Odoo!$K:$K=I2794), Facturas_Odoo!$N:$N, 0), 0))</f>
        <v/>
      </c>
      <c r="V2794" s="79">
        <f>IF(Q2794="Sin Factura",0,IFERROR(_xlfn.XLOOKUP(1, (Facturas_Odoo!$D:$D=A2794) * (Facturas_Odoo!$K:$K=I2794), Facturas_Odoo!$O:$O, 0), 0))</f>
        <v/>
      </c>
      <c r="W2794" s="81">
        <f>IF(Q2794="Sin Factura",0,IFERROR(_xlfn.XLOOKUP(1, (Facturas_Odoo!$D:$D=A2794) * (Facturas_Odoo!$K:$K=I2794), Facturas_Odoo!$Q:$Q, 0), 0))</f>
        <v/>
      </c>
      <c r="X2794" s="79">
        <f>IF(OR(Q2794="Sin Factura",Q2794=""),"",IFERROR(INDEX(Pagos_Odoo!$B:$B, MATCH(Q2794, Pagos_Odoo!$I:$I, 0)), "Sin Pago"))</f>
        <v/>
      </c>
      <c r="Y2794" s="79">
        <f>IF(X2794="Sin Pago","",IFERROR(INDEX(Pagos_Odoo!$C:$C, MATCH(X2794, Pagos_Odoo!$B:$B, 0)), ""))</f>
        <v/>
      </c>
      <c r="Z2794" s="80">
        <f>IF(X2794="Sin Pago","",IFERROR(INDEX(Pagos_Odoo!$A:$A, MATCH(X2794, Pagos_Odoo!$B:$B, 0)), ""))</f>
        <v/>
      </c>
      <c r="AA2794" s="79">
        <f>IF(X2794="Sin Pago","",IFERROR(INDEX(Pagos_Odoo!$F:$F, MATCH(X2794, Pagos_Odoo!$B:$B, 0)), ""))</f>
        <v/>
      </c>
      <c r="AB2794" s="81">
        <f>IF(X2794="Sin Pago",0,IFERROR(INDEX(Pagos_Odoo!$E:$E, MATCH(X2794, Pagos_Odoo!$B:$B, 0)), 0))</f>
        <v/>
      </c>
      <c r="AC2794" s="79">
        <f>IF(X2794="Sin Pago","",IFERROR(INDEX(Pagos_Odoo!$G:$G, MATCH(X2794, Pagos_Odoo!$B:$B, 0)), ""))</f>
        <v/>
      </c>
      <c r="AD2794" s="82" t="n">
        <v>0</v>
      </c>
      <c r="AE2794" s="82" t="n"/>
      <c r="AF2794" s="82" t="n"/>
      <c r="AG2794" s="82">
        <f>IF(AN2794="","",AD2794+AE2794+AF2794)</f>
        <v/>
      </c>
      <c r="AH2794" s="81">
        <f>IF(AN2794="","",P2794*(1-AG2794))</f>
        <v/>
      </c>
      <c r="AI2794" s="81">
        <f>IF(AN2794="","",IF(Q2794="Sin Factura",0,IFERROR(INDEX(Facturas_Odoo!$H:$H, MATCH(Q2794, Facturas_Odoo!$B:$B, 0)), 0)*(1-AG2794)))</f>
        <v/>
      </c>
      <c r="AJ2794" s="81">
        <f>IF(AN2794="","",_xlfn.LET(idVenta, AN2794&amp;"",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94" s="81">
        <f>IF(AN2794="","",AH2794-AJ2794)</f>
        <v/>
      </c>
      <c r="AL2794" s="81">
        <f>IF(AN2794="","",IF(Q2794="Sin Factura","",AI2794-AJ2794))</f>
        <v/>
      </c>
      <c r="AM2794" s="81">
        <f>IF(AN2794="","",IF(Q2794="Sin Factura",0,P2794-IFERROR(INDEX(Facturas_Odoo!$H:$H, MATCH(Q2794, Facturas_Odoo!$B:$B, 0)), 0)))</f>
        <v/>
      </c>
      <c r="AN2794" s="79">
        <f>IF(AND(A2794="", J2794=""), "", IF(A2794&lt;&gt;"", VALUE(MID(A2794,2,LEN(A2794))), AN2793))</f>
        <v/>
      </c>
      <c r="AO2794" s="79">
        <f>IF(AN2794="","",IF(AD2794=0,"OK",_xlfn.LET(monedaPago, IF(AA2794="","USD",AA2794), limitePermitido, IFERROR(VLOOKUP(monedaPago, Configuración!$A$2:$B$3, 2, FALSE), 0.15), IF(AD2794&gt;limitePermitido, "ALERTA: EXCESO (" &amp; TEXT(limitePermitido, "0%") &amp; " máx)", "OK"))))</f>
        <v/>
      </c>
      <c r="AP2794" s="79">
        <f>IF(AN2794="","",IF(AE2794=0,"OK",_xlfn.LET(fechaPago, Z2794, fechaFactura, R2794, diasCredito, IF(E2794="Pago inmediato", 0, IFERROR(VALUE(MID(E2794, 1, SEARCH(" ", E2794)-1)),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94" s="79">
        <f>IF(AN2794="","",IF(AND(N2794&gt;0, AG2794&gt;0), IF(Configuración!$K$2="NO", "ALERTA: DESCUENTO DOBLE NO PERMITIDO", "OK"), "OK"))</f>
        <v/>
      </c>
      <c r="AR2794" s="79">
        <f>IF(AN2794="","",IF(OR(AO2794&lt;&gt;"OK", AP2794&lt;&gt;"OK", AQ2794&lt;&gt;"OK"), "⚠️ REVISAR", "OK"))</f>
        <v/>
      </c>
    </row>
    <row r="2795">
      <c r="A2795" s="79">
        <f>IF('Ordenes_Odoo'!A2795="","",'Ordenes_Odoo'!A2795)</f>
        <v/>
      </c>
      <c r="B2795" s="80">
        <f>IF('Ordenes_Odoo'!B2795="","",'Ordenes_Odoo'!B2795)</f>
        <v/>
      </c>
      <c r="C2795" s="79">
        <f>IF('Ordenes_Odoo'!C2795="","",'Ordenes_Odoo'!C2795)</f>
        <v/>
      </c>
      <c r="D2795" s="79">
        <f>IF('Ordenes_Odoo'!D2795="","",'Ordenes_Odoo'!D2795)</f>
        <v/>
      </c>
      <c r="E2795" s="79">
        <f>IF('Ordenes_Odoo'!E2795="","",'Ordenes_Odoo'!E2795)</f>
        <v/>
      </c>
      <c r="F2795" s="79">
        <f>IF('Ordenes_Odoo'!F2795="","",'Ordenes_Odoo'!F2795)</f>
        <v/>
      </c>
      <c r="G2795" s="79">
        <f>IF('Ordenes_Odoo'!G2795="","",'Ordenes_Odoo'!G2795)</f>
        <v/>
      </c>
      <c r="H2795" s="79">
        <f>IF('Ordenes_Odoo'!H2795="","",'Ordenes_Odoo'!H2795)</f>
        <v/>
      </c>
      <c r="I2795" s="79">
        <f>IF('Ordenes_Odoo'!I2795="","",'Ordenes_Odoo'!I2795)</f>
        <v/>
      </c>
      <c r="J2795" s="79">
        <f>IF('Ordenes_Odoo'!J2795="","",'Ordenes_Odoo'!J2795)</f>
        <v/>
      </c>
      <c r="K2795" s="81">
        <f>IF('Ordenes_Odoo'!K2795="","",'Ordenes_Odoo'!K2795)</f>
        <v/>
      </c>
      <c r="L2795" s="81">
        <f>IF('Ordenes_Odoo'!L2795="","",'Ordenes_Odoo'!L2795)</f>
        <v/>
      </c>
      <c r="M2795" s="79">
        <f>IF('Ordenes_Odoo'!M2795="","",'Ordenes_Odoo'!M2795)</f>
        <v/>
      </c>
      <c r="N2795" s="79">
        <f>IF('Ordenes_Odoo'!N2795="","",'Ordenes_Odoo'!N2795)</f>
        <v/>
      </c>
      <c r="O2795" s="81">
        <f>IF('Ordenes_Odoo'!O2795="","",'Ordenes_Odoo'!O2795)</f>
        <v/>
      </c>
      <c r="P2795" s="81">
        <f>IF('Ordenes_Odoo'!P2795="","",'Ordenes_Odoo'!P2795)</f>
        <v/>
      </c>
      <c r="Q2795" s="79">
        <f>IF(A2795="","",IFERROR(INDEX(Facturas_Odoo!$B:$B, MATCH(A2795, Facturas_Odoo!$D:$D, 0)), "Sin Factura"))</f>
        <v/>
      </c>
      <c r="R2795" s="80">
        <f>IF(Q2795="Sin Factura","",IFERROR(INDEX(Facturas_Odoo!$A:$A, MATCH(Q2795, Facturas_Odoo!$B:$B, 0)), ""))</f>
        <v/>
      </c>
      <c r="S2795" s="79">
        <f>IF(Q2795="Sin Factura","",IFERROR(_xlfn.XLOOKUP(1, (Facturas_Odoo!$D:$D=A2795) * (Facturas_Odoo!$K:$K=I2795), Facturas_Odoo!$L:$L, ""), ""))</f>
        <v/>
      </c>
      <c r="T2795" s="81">
        <f>IF(Q2795="Sin Factura",0,IFERROR(_xlfn.XLOOKUP(1, (Facturas_Odoo!$D:$D=A2795) * (Facturas_Odoo!$K:$K=I2795), Facturas_Odoo!$M:$M, 0), 0))</f>
        <v/>
      </c>
      <c r="U2795" s="79">
        <f>IF(Q2795="Sin Factura",0,IFERROR(_xlfn.XLOOKUP(1, (Facturas_Odoo!$D:$D=A2795) * (Facturas_Odoo!$K:$K=I2795), Facturas_Odoo!$N:$N, 0), 0))</f>
        <v/>
      </c>
      <c r="V2795" s="79">
        <f>IF(Q2795="Sin Factura",0,IFERROR(_xlfn.XLOOKUP(1, (Facturas_Odoo!$D:$D=A2795) * (Facturas_Odoo!$K:$K=I2795), Facturas_Odoo!$O:$O, 0), 0))</f>
        <v/>
      </c>
      <c r="W2795" s="81">
        <f>IF(Q2795="Sin Factura",0,IFERROR(_xlfn.XLOOKUP(1, (Facturas_Odoo!$D:$D=A2795) * (Facturas_Odoo!$K:$K=I2795), Facturas_Odoo!$Q:$Q, 0), 0))</f>
        <v/>
      </c>
      <c r="X2795" s="79">
        <f>IF(OR(Q2795="Sin Factura",Q2795=""),"",IFERROR(INDEX(Pagos_Odoo!$B:$B, MATCH(Q2795, Pagos_Odoo!$I:$I, 0)), "Sin Pago"))</f>
        <v/>
      </c>
      <c r="Y2795" s="79">
        <f>IF(X2795="Sin Pago","",IFERROR(INDEX(Pagos_Odoo!$C:$C, MATCH(X2795, Pagos_Odoo!$B:$B, 0)), ""))</f>
        <v/>
      </c>
      <c r="Z2795" s="80">
        <f>IF(X2795="Sin Pago","",IFERROR(INDEX(Pagos_Odoo!$A:$A, MATCH(X2795, Pagos_Odoo!$B:$B, 0)), ""))</f>
        <v/>
      </c>
      <c r="AA2795" s="79">
        <f>IF(X2795="Sin Pago","",IFERROR(INDEX(Pagos_Odoo!$F:$F, MATCH(X2795, Pagos_Odoo!$B:$B, 0)), ""))</f>
        <v/>
      </c>
      <c r="AB2795" s="81">
        <f>IF(X2795="Sin Pago",0,IFERROR(INDEX(Pagos_Odoo!$E:$E, MATCH(X2795, Pagos_Odoo!$B:$B, 0)), 0))</f>
        <v/>
      </c>
      <c r="AC2795" s="79">
        <f>IF(X2795="Sin Pago","",IFERROR(INDEX(Pagos_Odoo!$G:$G, MATCH(X2795, Pagos_Odoo!$B:$B, 0)), ""))</f>
        <v/>
      </c>
      <c r="AD2795" s="82" t="n">
        <v>0</v>
      </c>
      <c r="AE2795" s="82" t="n"/>
      <c r="AF2795" s="82" t="n"/>
      <c r="AG2795" s="82">
        <f>IF(AN2795="","",AD2795+AE2795+AF2795)</f>
        <v/>
      </c>
      <c r="AH2795" s="81">
        <f>IF(AN2795="","",P2795*(1-AG2795))</f>
        <v/>
      </c>
      <c r="AI2795" s="81">
        <f>IF(AN2795="","",IF(Q2795="Sin Factura",0,IFERROR(INDEX(Facturas_Odoo!$H:$H, MATCH(Q2795, Facturas_Odoo!$B:$B, 0)), 0)*(1-AG2795)))</f>
        <v/>
      </c>
      <c r="AJ2795" s="81">
        <f>IF(AN2795="","",_xlfn.LET(idVenta, AN2795&amp;"",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95" s="81">
        <f>IF(AN2795="","",AH2795-AJ2795)</f>
        <v/>
      </c>
      <c r="AL2795" s="81">
        <f>IF(AN2795="","",IF(Q2795="Sin Factura","",AI2795-AJ2795))</f>
        <v/>
      </c>
      <c r="AM2795" s="81">
        <f>IF(AN2795="","",IF(Q2795="Sin Factura",0,P2795-IFERROR(INDEX(Facturas_Odoo!$H:$H, MATCH(Q2795, Facturas_Odoo!$B:$B, 0)), 0)))</f>
        <v/>
      </c>
      <c r="AN2795" s="79">
        <f>IF(AND(A2795="", J2795=""), "", IF(A2795&lt;&gt;"", VALUE(MID(A2795,2,LEN(A2795))), AN2794))</f>
        <v/>
      </c>
      <c r="AO2795" s="79">
        <f>IF(AN2795="","",IF(AD2795=0,"OK",_xlfn.LET(monedaPago, IF(AA2795="","USD",AA2795), limitePermitido, IFERROR(VLOOKUP(monedaPago, Configuración!$A$2:$B$3, 2, FALSE), 0.15), IF(AD2795&gt;limitePermitido, "ALERTA: EXCESO (" &amp; TEXT(limitePermitido, "0%") &amp; " máx)", "OK"))))</f>
        <v/>
      </c>
      <c r="AP2795" s="79">
        <f>IF(AN2795="","",IF(AE2795=0,"OK",_xlfn.LET(fechaPago, Z2795, fechaFactura, R2795, diasCredito, IF(E2795="Pago inmediato", 0, IFERROR(VALUE(MID(E2795, 1, SEARCH(" ", E2795)-1)),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95" s="79">
        <f>IF(AN2795="","",IF(AND(N2795&gt;0, AG2795&gt;0), IF(Configuración!$K$2="NO", "ALERTA: DESCUENTO DOBLE NO PERMITIDO", "OK"), "OK"))</f>
        <v/>
      </c>
      <c r="AR2795" s="79">
        <f>IF(AN2795="","",IF(OR(AO2795&lt;&gt;"OK", AP2795&lt;&gt;"OK", AQ2795&lt;&gt;"OK"), "⚠️ REVISAR", "OK"))</f>
        <v/>
      </c>
    </row>
    <row r="2796">
      <c r="A2796" s="79">
        <f>IF('Ordenes_Odoo'!A2796="","",'Ordenes_Odoo'!A2796)</f>
        <v/>
      </c>
      <c r="B2796" s="80">
        <f>IF('Ordenes_Odoo'!B2796="","",'Ordenes_Odoo'!B2796)</f>
        <v/>
      </c>
      <c r="C2796" s="79">
        <f>IF('Ordenes_Odoo'!C2796="","",'Ordenes_Odoo'!C2796)</f>
        <v/>
      </c>
      <c r="D2796" s="79">
        <f>IF('Ordenes_Odoo'!D2796="","",'Ordenes_Odoo'!D2796)</f>
        <v/>
      </c>
      <c r="E2796" s="79">
        <f>IF('Ordenes_Odoo'!E2796="","",'Ordenes_Odoo'!E2796)</f>
        <v/>
      </c>
      <c r="F2796" s="79">
        <f>IF('Ordenes_Odoo'!F2796="","",'Ordenes_Odoo'!F2796)</f>
        <v/>
      </c>
      <c r="G2796" s="79">
        <f>IF('Ordenes_Odoo'!G2796="","",'Ordenes_Odoo'!G2796)</f>
        <v/>
      </c>
      <c r="H2796" s="79">
        <f>IF('Ordenes_Odoo'!H2796="","",'Ordenes_Odoo'!H2796)</f>
        <v/>
      </c>
      <c r="I2796" s="79">
        <f>IF('Ordenes_Odoo'!I2796="","",'Ordenes_Odoo'!I2796)</f>
        <v/>
      </c>
      <c r="J2796" s="79">
        <f>IF('Ordenes_Odoo'!J2796="","",'Ordenes_Odoo'!J2796)</f>
        <v/>
      </c>
      <c r="K2796" s="81">
        <f>IF('Ordenes_Odoo'!K2796="","",'Ordenes_Odoo'!K2796)</f>
        <v/>
      </c>
      <c r="L2796" s="81">
        <f>IF('Ordenes_Odoo'!L2796="","",'Ordenes_Odoo'!L2796)</f>
        <v/>
      </c>
      <c r="M2796" s="79">
        <f>IF('Ordenes_Odoo'!M2796="","",'Ordenes_Odoo'!M2796)</f>
        <v/>
      </c>
      <c r="N2796" s="79">
        <f>IF('Ordenes_Odoo'!N2796="","",'Ordenes_Odoo'!N2796)</f>
        <v/>
      </c>
      <c r="O2796" s="81">
        <f>IF('Ordenes_Odoo'!O2796="","",'Ordenes_Odoo'!O2796)</f>
        <v/>
      </c>
      <c r="P2796" s="81">
        <f>IF('Ordenes_Odoo'!P2796="","",'Ordenes_Odoo'!P2796)</f>
        <v/>
      </c>
      <c r="Q2796" s="79">
        <f>IF(A2796="","",IFERROR(INDEX(Facturas_Odoo!$B:$B, MATCH(A2796, Facturas_Odoo!$D:$D, 0)), "Sin Factura"))</f>
        <v/>
      </c>
      <c r="R2796" s="80">
        <f>IF(Q2796="Sin Factura","",IFERROR(INDEX(Facturas_Odoo!$A:$A, MATCH(Q2796, Facturas_Odoo!$B:$B, 0)), ""))</f>
        <v/>
      </c>
      <c r="S2796" s="79">
        <f>IF(Q2796="Sin Factura","",IFERROR(_xlfn.XLOOKUP(1, (Facturas_Odoo!$D:$D=A2796) * (Facturas_Odoo!$K:$K=I2796), Facturas_Odoo!$L:$L, ""), ""))</f>
        <v/>
      </c>
      <c r="T2796" s="81">
        <f>IF(Q2796="Sin Factura",0,IFERROR(_xlfn.XLOOKUP(1, (Facturas_Odoo!$D:$D=A2796) * (Facturas_Odoo!$K:$K=I2796), Facturas_Odoo!$M:$M, 0), 0))</f>
        <v/>
      </c>
      <c r="U2796" s="79">
        <f>IF(Q2796="Sin Factura",0,IFERROR(_xlfn.XLOOKUP(1, (Facturas_Odoo!$D:$D=A2796) * (Facturas_Odoo!$K:$K=I2796), Facturas_Odoo!$N:$N, 0), 0))</f>
        <v/>
      </c>
      <c r="V2796" s="79">
        <f>IF(Q2796="Sin Factura",0,IFERROR(_xlfn.XLOOKUP(1, (Facturas_Odoo!$D:$D=A2796) * (Facturas_Odoo!$K:$K=I2796), Facturas_Odoo!$O:$O, 0), 0))</f>
        <v/>
      </c>
      <c r="W2796" s="81">
        <f>IF(Q2796="Sin Factura",0,IFERROR(_xlfn.XLOOKUP(1, (Facturas_Odoo!$D:$D=A2796) * (Facturas_Odoo!$K:$K=I2796), Facturas_Odoo!$Q:$Q, 0), 0))</f>
        <v/>
      </c>
      <c r="X2796" s="79">
        <f>IF(OR(Q2796="Sin Factura",Q2796=""),"",IFERROR(INDEX(Pagos_Odoo!$B:$B, MATCH(Q2796, Pagos_Odoo!$I:$I, 0)), "Sin Pago"))</f>
        <v/>
      </c>
      <c r="Y2796" s="79">
        <f>IF(X2796="Sin Pago","",IFERROR(INDEX(Pagos_Odoo!$C:$C, MATCH(X2796, Pagos_Odoo!$B:$B, 0)), ""))</f>
        <v/>
      </c>
      <c r="Z2796" s="80">
        <f>IF(X2796="Sin Pago","",IFERROR(INDEX(Pagos_Odoo!$A:$A, MATCH(X2796, Pagos_Odoo!$B:$B, 0)), ""))</f>
        <v/>
      </c>
      <c r="AA2796" s="79">
        <f>IF(X2796="Sin Pago","",IFERROR(INDEX(Pagos_Odoo!$F:$F, MATCH(X2796, Pagos_Odoo!$B:$B, 0)), ""))</f>
        <v/>
      </c>
      <c r="AB2796" s="81">
        <f>IF(X2796="Sin Pago",0,IFERROR(INDEX(Pagos_Odoo!$E:$E, MATCH(X2796, Pagos_Odoo!$B:$B, 0)), 0))</f>
        <v/>
      </c>
      <c r="AC2796" s="79">
        <f>IF(X2796="Sin Pago","",IFERROR(INDEX(Pagos_Odoo!$G:$G, MATCH(X2796, Pagos_Odoo!$B:$B, 0)), ""))</f>
        <v/>
      </c>
      <c r="AD2796" s="82" t="n">
        <v>0</v>
      </c>
      <c r="AE2796" s="82" t="n"/>
      <c r="AF2796" s="82" t="n"/>
      <c r="AG2796" s="82">
        <f>IF(AN2796="","",AD2796+AE2796+AF2796)</f>
        <v/>
      </c>
      <c r="AH2796" s="81">
        <f>IF(AN2796="","",P2796*(1-AG2796))</f>
        <v/>
      </c>
      <c r="AI2796" s="81">
        <f>IF(AN2796="","",IF(Q2796="Sin Factura",0,IFERROR(INDEX(Facturas_Odoo!$H:$H, MATCH(Q2796, Facturas_Odoo!$B:$B, 0)), 0)*(1-AG2796)))</f>
        <v/>
      </c>
      <c r="AJ2796" s="81">
        <f>IF(AN2796="","",_xlfn.LET(idVenta, AN2796&amp;"",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96" s="81">
        <f>IF(AN2796="","",AH2796-AJ2796)</f>
        <v/>
      </c>
      <c r="AL2796" s="81">
        <f>IF(AN2796="","",IF(Q2796="Sin Factura","",AI2796-AJ2796))</f>
        <v/>
      </c>
      <c r="AM2796" s="81">
        <f>IF(AN2796="","",IF(Q2796="Sin Factura",0,P2796-IFERROR(INDEX(Facturas_Odoo!$H:$H, MATCH(Q2796, Facturas_Odoo!$B:$B, 0)), 0)))</f>
        <v/>
      </c>
      <c r="AN2796" s="79">
        <f>IF(AND(A2796="", J2796=""), "", IF(A2796&lt;&gt;"", VALUE(MID(A2796,2,LEN(A2796))), AN2795))</f>
        <v/>
      </c>
      <c r="AO2796" s="79">
        <f>IF(AN2796="","",IF(AD2796=0,"OK",_xlfn.LET(monedaPago, IF(AA2796="","USD",AA2796), limitePermitido, IFERROR(VLOOKUP(monedaPago, Configuración!$A$2:$B$3, 2, FALSE), 0.15), IF(AD2796&gt;limitePermitido, "ALERTA: EXCESO (" &amp; TEXT(limitePermitido, "0%") &amp; " máx)", "OK"))))</f>
        <v/>
      </c>
      <c r="AP2796" s="79">
        <f>IF(AN2796="","",IF(AE2796=0,"OK",_xlfn.LET(fechaPago, Z2796, fechaFactura, R2796, diasCredito, IF(E2796="Pago inmediato", 0, IFERROR(VALUE(MID(E2796, 1, SEARCH(" ", E2796)-1)),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96" s="79">
        <f>IF(AN2796="","",IF(AND(N2796&gt;0, AG2796&gt;0), IF(Configuración!$K$2="NO", "ALERTA: DESCUENTO DOBLE NO PERMITIDO", "OK"), "OK"))</f>
        <v/>
      </c>
      <c r="AR2796" s="79">
        <f>IF(AN2796="","",IF(OR(AO2796&lt;&gt;"OK", AP2796&lt;&gt;"OK", AQ2796&lt;&gt;"OK"), "⚠️ REVISAR", "OK"))</f>
        <v/>
      </c>
    </row>
    <row r="2797">
      <c r="A2797" s="79">
        <f>IF('Ordenes_Odoo'!A2797="","",'Ordenes_Odoo'!A2797)</f>
        <v/>
      </c>
      <c r="B2797" s="80">
        <f>IF('Ordenes_Odoo'!B2797="","",'Ordenes_Odoo'!B2797)</f>
        <v/>
      </c>
      <c r="C2797" s="79">
        <f>IF('Ordenes_Odoo'!C2797="","",'Ordenes_Odoo'!C2797)</f>
        <v/>
      </c>
      <c r="D2797" s="79">
        <f>IF('Ordenes_Odoo'!D2797="","",'Ordenes_Odoo'!D2797)</f>
        <v/>
      </c>
      <c r="E2797" s="79">
        <f>IF('Ordenes_Odoo'!E2797="","",'Ordenes_Odoo'!E2797)</f>
        <v/>
      </c>
      <c r="F2797" s="79">
        <f>IF('Ordenes_Odoo'!F2797="","",'Ordenes_Odoo'!F2797)</f>
        <v/>
      </c>
      <c r="G2797" s="79">
        <f>IF('Ordenes_Odoo'!G2797="","",'Ordenes_Odoo'!G2797)</f>
        <v/>
      </c>
      <c r="H2797" s="79">
        <f>IF('Ordenes_Odoo'!H2797="","",'Ordenes_Odoo'!H2797)</f>
        <v/>
      </c>
      <c r="I2797" s="79">
        <f>IF('Ordenes_Odoo'!I2797="","",'Ordenes_Odoo'!I2797)</f>
        <v/>
      </c>
      <c r="J2797" s="79">
        <f>IF('Ordenes_Odoo'!J2797="","",'Ordenes_Odoo'!J2797)</f>
        <v/>
      </c>
      <c r="K2797" s="81">
        <f>IF('Ordenes_Odoo'!K2797="","",'Ordenes_Odoo'!K2797)</f>
        <v/>
      </c>
      <c r="L2797" s="81">
        <f>IF('Ordenes_Odoo'!L2797="","",'Ordenes_Odoo'!L2797)</f>
        <v/>
      </c>
      <c r="M2797" s="79">
        <f>IF('Ordenes_Odoo'!M2797="","",'Ordenes_Odoo'!M2797)</f>
        <v/>
      </c>
      <c r="N2797" s="79">
        <f>IF('Ordenes_Odoo'!N2797="","",'Ordenes_Odoo'!N2797)</f>
        <v/>
      </c>
      <c r="O2797" s="81">
        <f>IF('Ordenes_Odoo'!O2797="","",'Ordenes_Odoo'!O2797)</f>
        <v/>
      </c>
      <c r="P2797" s="81">
        <f>IF('Ordenes_Odoo'!P2797="","",'Ordenes_Odoo'!P2797)</f>
        <v/>
      </c>
      <c r="Q2797" s="79">
        <f>IF(A2797="","",IFERROR(INDEX(Facturas_Odoo!$B:$B, MATCH(A2797, Facturas_Odoo!$D:$D, 0)), "Sin Factura"))</f>
        <v/>
      </c>
      <c r="R2797" s="80">
        <f>IF(Q2797="Sin Factura","",IFERROR(INDEX(Facturas_Odoo!$A:$A, MATCH(Q2797, Facturas_Odoo!$B:$B, 0)), ""))</f>
        <v/>
      </c>
      <c r="S2797" s="79">
        <f>IF(Q2797="Sin Factura","",IFERROR(_xlfn.XLOOKUP(1, (Facturas_Odoo!$D:$D=A2797) * (Facturas_Odoo!$K:$K=I2797), Facturas_Odoo!$L:$L, ""), ""))</f>
        <v/>
      </c>
      <c r="T2797" s="81">
        <f>IF(Q2797="Sin Factura",0,IFERROR(_xlfn.XLOOKUP(1, (Facturas_Odoo!$D:$D=A2797) * (Facturas_Odoo!$K:$K=I2797), Facturas_Odoo!$M:$M, 0), 0))</f>
        <v/>
      </c>
      <c r="U2797" s="79">
        <f>IF(Q2797="Sin Factura",0,IFERROR(_xlfn.XLOOKUP(1, (Facturas_Odoo!$D:$D=A2797) * (Facturas_Odoo!$K:$K=I2797), Facturas_Odoo!$N:$N, 0), 0))</f>
        <v/>
      </c>
      <c r="V2797" s="79">
        <f>IF(Q2797="Sin Factura",0,IFERROR(_xlfn.XLOOKUP(1, (Facturas_Odoo!$D:$D=A2797) * (Facturas_Odoo!$K:$K=I2797), Facturas_Odoo!$O:$O, 0), 0))</f>
        <v/>
      </c>
      <c r="W2797" s="81">
        <f>IF(Q2797="Sin Factura",0,IFERROR(_xlfn.XLOOKUP(1, (Facturas_Odoo!$D:$D=A2797) * (Facturas_Odoo!$K:$K=I2797), Facturas_Odoo!$Q:$Q, 0), 0))</f>
        <v/>
      </c>
      <c r="X2797" s="79">
        <f>IF(OR(Q2797="Sin Factura",Q2797=""),"",IFERROR(INDEX(Pagos_Odoo!$B:$B, MATCH(Q2797, Pagos_Odoo!$I:$I, 0)), "Sin Pago"))</f>
        <v/>
      </c>
      <c r="Y2797" s="79">
        <f>IF(X2797="Sin Pago","",IFERROR(INDEX(Pagos_Odoo!$C:$C, MATCH(X2797, Pagos_Odoo!$B:$B, 0)), ""))</f>
        <v/>
      </c>
      <c r="Z2797" s="80">
        <f>IF(X2797="Sin Pago","",IFERROR(INDEX(Pagos_Odoo!$A:$A, MATCH(X2797, Pagos_Odoo!$B:$B, 0)), ""))</f>
        <v/>
      </c>
      <c r="AA2797" s="79">
        <f>IF(X2797="Sin Pago","",IFERROR(INDEX(Pagos_Odoo!$F:$F, MATCH(X2797, Pagos_Odoo!$B:$B, 0)), ""))</f>
        <v/>
      </c>
      <c r="AB2797" s="81">
        <f>IF(X2797="Sin Pago",0,IFERROR(INDEX(Pagos_Odoo!$E:$E, MATCH(X2797, Pagos_Odoo!$B:$B, 0)), 0))</f>
        <v/>
      </c>
      <c r="AC2797" s="79">
        <f>IF(X2797="Sin Pago","",IFERROR(INDEX(Pagos_Odoo!$G:$G, MATCH(X2797, Pagos_Odoo!$B:$B, 0)), ""))</f>
        <v/>
      </c>
      <c r="AD2797" s="82" t="n">
        <v>0</v>
      </c>
      <c r="AE2797" s="82" t="n"/>
      <c r="AF2797" s="82" t="n"/>
      <c r="AG2797" s="82">
        <f>IF(AN2797="","",AD2797+AE2797+AF2797)</f>
        <v/>
      </c>
      <c r="AH2797" s="81">
        <f>IF(AN2797="","",P2797*(1-AG2797))</f>
        <v/>
      </c>
      <c r="AI2797" s="81">
        <f>IF(AN2797="","",IF(Q2797="Sin Factura",0,IFERROR(INDEX(Facturas_Odoo!$H:$H, MATCH(Q2797, Facturas_Odoo!$B:$B, 0)), 0)*(1-AG2797)))</f>
        <v/>
      </c>
      <c r="AJ2797" s="81">
        <f>IF(AN2797="","",_xlfn.LET(idVenta, AN2797&amp;"",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97" s="81">
        <f>IF(AN2797="","",AH2797-AJ2797)</f>
        <v/>
      </c>
      <c r="AL2797" s="81">
        <f>IF(AN2797="","",IF(Q2797="Sin Factura","",AI2797-AJ2797))</f>
        <v/>
      </c>
      <c r="AM2797" s="81">
        <f>IF(AN2797="","",IF(Q2797="Sin Factura",0,P2797-IFERROR(INDEX(Facturas_Odoo!$H:$H, MATCH(Q2797, Facturas_Odoo!$B:$B, 0)), 0)))</f>
        <v/>
      </c>
      <c r="AN2797" s="79">
        <f>IF(AND(A2797="", J2797=""), "", IF(A2797&lt;&gt;"", VALUE(MID(A2797,2,LEN(A2797))), AN2796))</f>
        <v/>
      </c>
      <c r="AO2797" s="79">
        <f>IF(AN2797="","",IF(AD2797=0,"OK",_xlfn.LET(monedaPago, IF(AA2797="","USD",AA2797), limitePermitido, IFERROR(VLOOKUP(monedaPago, Configuración!$A$2:$B$3, 2, FALSE), 0.15), IF(AD2797&gt;limitePermitido, "ALERTA: EXCESO (" &amp; TEXT(limitePermitido, "0%") &amp; " máx)", "OK"))))</f>
        <v/>
      </c>
      <c r="AP2797" s="79">
        <f>IF(AN2797="","",IF(AE2797=0,"OK",_xlfn.LET(fechaPago, Z2797, fechaFactura, R2797, diasCredito, IF(E2797="Pago inmediato", 0, IFERROR(VALUE(MID(E2797, 1, SEARCH(" ", E2797)-1)),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97" s="79">
        <f>IF(AN2797="","",IF(AND(N2797&gt;0, AG2797&gt;0), IF(Configuración!$K$2="NO", "ALERTA: DESCUENTO DOBLE NO PERMITIDO", "OK"), "OK"))</f>
        <v/>
      </c>
      <c r="AR2797" s="79">
        <f>IF(AN2797="","",IF(OR(AO2797&lt;&gt;"OK", AP2797&lt;&gt;"OK", AQ2797&lt;&gt;"OK"), "⚠️ REVISAR", "OK"))</f>
        <v/>
      </c>
    </row>
    <row r="2798">
      <c r="A2798" s="79">
        <f>IF('Ordenes_Odoo'!A2798="","",'Ordenes_Odoo'!A2798)</f>
        <v/>
      </c>
      <c r="B2798" s="80">
        <f>IF('Ordenes_Odoo'!B2798="","",'Ordenes_Odoo'!B2798)</f>
        <v/>
      </c>
      <c r="C2798" s="79">
        <f>IF('Ordenes_Odoo'!C2798="","",'Ordenes_Odoo'!C2798)</f>
        <v/>
      </c>
      <c r="D2798" s="79">
        <f>IF('Ordenes_Odoo'!D2798="","",'Ordenes_Odoo'!D2798)</f>
        <v/>
      </c>
      <c r="E2798" s="79">
        <f>IF('Ordenes_Odoo'!E2798="","",'Ordenes_Odoo'!E2798)</f>
        <v/>
      </c>
      <c r="F2798" s="79">
        <f>IF('Ordenes_Odoo'!F2798="","",'Ordenes_Odoo'!F2798)</f>
        <v/>
      </c>
      <c r="G2798" s="79">
        <f>IF('Ordenes_Odoo'!G2798="","",'Ordenes_Odoo'!G2798)</f>
        <v/>
      </c>
      <c r="H2798" s="79">
        <f>IF('Ordenes_Odoo'!H2798="","",'Ordenes_Odoo'!H2798)</f>
        <v/>
      </c>
      <c r="I2798" s="79">
        <f>IF('Ordenes_Odoo'!I2798="","",'Ordenes_Odoo'!I2798)</f>
        <v/>
      </c>
      <c r="J2798" s="79">
        <f>IF('Ordenes_Odoo'!J2798="","",'Ordenes_Odoo'!J2798)</f>
        <v/>
      </c>
      <c r="K2798" s="81">
        <f>IF('Ordenes_Odoo'!K2798="","",'Ordenes_Odoo'!K2798)</f>
        <v/>
      </c>
      <c r="L2798" s="81">
        <f>IF('Ordenes_Odoo'!L2798="","",'Ordenes_Odoo'!L2798)</f>
        <v/>
      </c>
      <c r="M2798" s="79">
        <f>IF('Ordenes_Odoo'!M2798="","",'Ordenes_Odoo'!M2798)</f>
        <v/>
      </c>
      <c r="N2798" s="79">
        <f>IF('Ordenes_Odoo'!N2798="","",'Ordenes_Odoo'!N2798)</f>
        <v/>
      </c>
      <c r="O2798" s="81">
        <f>IF('Ordenes_Odoo'!O2798="","",'Ordenes_Odoo'!O2798)</f>
        <v/>
      </c>
      <c r="P2798" s="81">
        <f>IF('Ordenes_Odoo'!P2798="","",'Ordenes_Odoo'!P2798)</f>
        <v/>
      </c>
      <c r="Q2798" s="79">
        <f>IF(A2798="","",IFERROR(INDEX(Facturas_Odoo!$B:$B, MATCH(A2798, Facturas_Odoo!$D:$D, 0)), "Sin Factura"))</f>
        <v/>
      </c>
      <c r="R2798" s="80">
        <f>IF(Q2798="Sin Factura","",IFERROR(INDEX(Facturas_Odoo!$A:$A, MATCH(Q2798, Facturas_Odoo!$B:$B, 0)), ""))</f>
        <v/>
      </c>
      <c r="S2798" s="79">
        <f>IF(Q2798="Sin Factura","",IFERROR(_xlfn.XLOOKUP(1, (Facturas_Odoo!$D:$D=A2798) * (Facturas_Odoo!$K:$K=I2798), Facturas_Odoo!$L:$L, ""), ""))</f>
        <v/>
      </c>
      <c r="T2798" s="81">
        <f>IF(Q2798="Sin Factura",0,IFERROR(_xlfn.XLOOKUP(1, (Facturas_Odoo!$D:$D=A2798) * (Facturas_Odoo!$K:$K=I2798), Facturas_Odoo!$M:$M, 0), 0))</f>
        <v/>
      </c>
      <c r="U2798" s="79">
        <f>IF(Q2798="Sin Factura",0,IFERROR(_xlfn.XLOOKUP(1, (Facturas_Odoo!$D:$D=A2798) * (Facturas_Odoo!$K:$K=I2798), Facturas_Odoo!$N:$N, 0), 0))</f>
        <v/>
      </c>
      <c r="V2798" s="79">
        <f>IF(Q2798="Sin Factura",0,IFERROR(_xlfn.XLOOKUP(1, (Facturas_Odoo!$D:$D=A2798) * (Facturas_Odoo!$K:$K=I2798), Facturas_Odoo!$O:$O, 0), 0))</f>
        <v/>
      </c>
      <c r="W2798" s="81">
        <f>IF(Q2798="Sin Factura",0,IFERROR(_xlfn.XLOOKUP(1, (Facturas_Odoo!$D:$D=A2798) * (Facturas_Odoo!$K:$K=I2798), Facturas_Odoo!$Q:$Q, 0), 0))</f>
        <v/>
      </c>
      <c r="X2798" s="79">
        <f>IF(OR(Q2798="Sin Factura",Q2798=""),"",IFERROR(INDEX(Pagos_Odoo!$B:$B, MATCH(Q2798, Pagos_Odoo!$I:$I, 0)), "Sin Pago"))</f>
        <v/>
      </c>
      <c r="Y2798" s="79">
        <f>IF(X2798="Sin Pago","",IFERROR(INDEX(Pagos_Odoo!$C:$C, MATCH(X2798, Pagos_Odoo!$B:$B, 0)), ""))</f>
        <v/>
      </c>
      <c r="Z2798" s="80">
        <f>IF(X2798="Sin Pago","",IFERROR(INDEX(Pagos_Odoo!$A:$A, MATCH(X2798, Pagos_Odoo!$B:$B, 0)), ""))</f>
        <v/>
      </c>
      <c r="AA2798" s="79">
        <f>IF(X2798="Sin Pago","",IFERROR(INDEX(Pagos_Odoo!$F:$F, MATCH(X2798, Pagos_Odoo!$B:$B, 0)), ""))</f>
        <v/>
      </c>
      <c r="AB2798" s="81">
        <f>IF(X2798="Sin Pago",0,IFERROR(INDEX(Pagos_Odoo!$E:$E, MATCH(X2798, Pagos_Odoo!$B:$B, 0)), 0))</f>
        <v/>
      </c>
      <c r="AC2798" s="79">
        <f>IF(X2798="Sin Pago","",IFERROR(INDEX(Pagos_Odoo!$G:$G, MATCH(X2798, Pagos_Odoo!$B:$B, 0)), ""))</f>
        <v/>
      </c>
      <c r="AD2798" s="82" t="n">
        <v>0</v>
      </c>
      <c r="AE2798" s="82" t="n"/>
      <c r="AF2798" s="82" t="n"/>
      <c r="AG2798" s="82">
        <f>IF(AN2798="","",AD2798+AE2798+AF2798)</f>
        <v/>
      </c>
      <c r="AH2798" s="81">
        <f>IF(AN2798="","",P2798*(1-AG2798))</f>
        <v/>
      </c>
      <c r="AI2798" s="81">
        <f>IF(AN2798="","",IF(Q2798="Sin Factura",0,IFERROR(INDEX(Facturas_Odoo!$H:$H, MATCH(Q2798, Facturas_Odoo!$B:$B, 0)), 0)*(1-AG2798)))</f>
        <v/>
      </c>
      <c r="AJ2798" s="81">
        <f>IF(AN2798="","",_xlfn.LET(idVenta, AN2798&amp;"",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98" s="81">
        <f>IF(AN2798="","",AH2798-AJ2798)</f>
        <v/>
      </c>
      <c r="AL2798" s="81">
        <f>IF(AN2798="","",IF(Q2798="Sin Factura","",AI2798-AJ2798))</f>
        <v/>
      </c>
      <c r="AM2798" s="81">
        <f>IF(AN2798="","",IF(Q2798="Sin Factura",0,P2798-IFERROR(INDEX(Facturas_Odoo!$H:$H, MATCH(Q2798, Facturas_Odoo!$B:$B, 0)), 0)))</f>
        <v/>
      </c>
      <c r="AN2798" s="79">
        <f>IF(AND(A2798="", J2798=""), "", IF(A2798&lt;&gt;"", VALUE(MID(A2798,2,LEN(A2798))), AN2797))</f>
        <v/>
      </c>
      <c r="AO2798" s="79">
        <f>IF(AN2798="","",IF(AD2798=0,"OK",_xlfn.LET(monedaPago, IF(AA2798="","USD",AA2798), limitePermitido, IFERROR(VLOOKUP(monedaPago, Configuración!$A$2:$B$3, 2, FALSE), 0.15), IF(AD2798&gt;limitePermitido, "ALERTA: EXCESO (" &amp; TEXT(limitePermitido, "0%") &amp; " máx)", "OK"))))</f>
        <v/>
      </c>
      <c r="AP2798" s="79">
        <f>IF(AN2798="","",IF(AE2798=0,"OK",_xlfn.LET(fechaPago, Z2798, fechaFactura, R2798, diasCredito, IF(E2798="Pago inmediato", 0, IFERROR(VALUE(MID(E2798, 1, SEARCH(" ", E2798)-1)),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98" s="79">
        <f>IF(AN2798="","",IF(AND(N2798&gt;0, AG2798&gt;0), IF(Configuración!$K$2="NO", "ALERTA: DESCUENTO DOBLE NO PERMITIDO", "OK"), "OK"))</f>
        <v/>
      </c>
      <c r="AR2798" s="79">
        <f>IF(AN2798="","",IF(OR(AO2798&lt;&gt;"OK", AP2798&lt;&gt;"OK", AQ2798&lt;&gt;"OK"), "⚠️ REVISAR", "OK"))</f>
        <v/>
      </c>
    </row>
    <row r="2799">
      <c r="A2799" s="79">
        <f>IF('Ordenes_Odoo'!A2799="","",'Ordenes_Odoo'!A2799)</f>
        <v/>
      </c>
      <c r="B2799" s="80">
        <f>IF('Ordenes_Odoo'!B2799="","",'Ordenes_Odoo'!B2799)</f>
        <v/>
      </c>
      <c r="C2799" s="79">
        <f>IF('Ordenes_Odoo'!C2799="","",'Ordenes_Odoo'!C2799)</f>
        <v/>
      </c>
      <c r="D2799" s="79">
        <f>IF('Ordenes_Odoo'!D2799="","",'Ordenes_Odoo'!D2799)</f>
        <v/>
      </c>
      <c r="E2799" s="79">
        <f>IF('Ordenes_Odoo'!E2799="","",'Ordenes_Odoo'!E2799)</f>
        <v/>
      </c>
      <c r="F2799" s="79">
        <f>IF('Ordenes_Odoo'!F2799="","",'Ordenes_Odoo'!F2799)</f>
        <v/>
      </c>
      <c r="G2799" s="79">
        <f>IF('Ordenes_Odoo'!G2799="","",'Ordenes_Odoo'!G2799)</f>
        <v/>
      </c>
      <c r="H2799" s="79">
        <f>IF('Ordenes_Odoo'!H2799="","",'Ordenes_Odoo'!H2799)</f>
        <v/>
      </c>
      <c r="I2799" s="79">
        <f>IF('Ordenes_Odoo'!I2799="","",'Ordenes_Odoo'!I2799)</f>
        <v/>
      </c>
      <c r="J2799" s="79">
        <f>IF('Ordenes_Odoo'!J2799="","",'Ordenes_Odoo'!J2799)</f>
        <v/>
      </c>
      <c r="K2799" s="81">
        <f>IF('Ordenes_Odoo'!K2799="","",'Ordenes_Odoo'!K2799)</f>
        <v/>
      </c>
      <c r="L2799" s="81">
        <f>IF('Ordenes_Odoo'!L2799="","",'Ordenes_Odoo'!L2799)</f>
        <v/>
      </c>
      <c r="M2799" s="79">
        <f>IF('Ordenes_Odoo'!M2799="","",'Ordenes_Odoo'!M2799)</f>
        <v/>
      </c>
      <c r="N2799" s="79">
        <f>IF('Ordenes_Odoo'!N2799="","",'Ordenes_Odoo'!N2799)</f>
        <v/>
      </c>
      <c r="O2799" s="81">
        <f>IF('Ordenes_Odoo'!O2799="","",'Ordenes_Odoo'!O2799)</f>
        <v/>
      </c>
      <c r="P2799" s="81">
        <f>IF('Ordenes_Odoo'!P2799="","",'Ordenes_Odoo'!P2799)</f>
        <v/>
      </c>
      <c r="Q2799" s="79">
        <f>IF(A2799="","",IFERROR(INDEX(Facturas_Odoo!$B:$B, MATCH(A2799, Facturas_Odoo!$D:$D, 0)), "Sin Factura"))</f>
        <v/>
      </c>
      <c r="R2799" s="80">
        <f>IF(Q2799="Sin Factura","",IFERROR(INDEX(Facturas_Odoo!$A:$A, MATCH(Q2799, Facturas_Odoo!$B:$B, 0)), ""))</f>
        <v/>
      </c>
      <c r="S2799" s="79">
        <f>IF(Q2799="Sin Factura","",IFERROR(_xlfn.XLOOKUP(1, (Facturas_Odoo!$D:$D=A2799) * (Facturas_Odoo!$K:$K=I2799), Facturas_Odoo!$L:$L, ""), ""))</f>
        <v/>
      </c>
      <c r="T2799" s="81">
        <f>IF(Q2799="Sin Factura",0,IFERROR(_xlfn.XLOOKUP(1, (Facturas_Odoo!$D:$D=A2799) * (Facturas_Odoo!$K:$K=I2799), Facturas_Odoo!$M:$M, 0), 0))</f>
        <v/>
      </c>
      <c r="U2799" s="79">
        <f>IF(Q2799="Sin Factura",0,IFERROR(_xlfn.XLOOKUP(1, (Facturas_Odoo!$D:$D=A2799) * (Facturas_Odoo!$K:$K=I2799), Facturas_Odoo!$N:$N, 0), 0))</f>
        <v/>
      </c>
      <c r="V2799" s="79">
        <f>IF(Q2799="Sin Factura",0,IFERROR(_xlfn.XLOOKUP(1, (Facturas_Odoo!$D:$D=A2799) * (Facturas_Odoo!$K:$K=I2799), Facturas_Odoo!$O:$O, 0), 0))</f>
        <v/>
      </c>
      <c r="W2799" s="81">
        <f>IF(Q2799="Sin Factura",0,IFERROR(_xlfn.XLOOKUP(1, (Facturas_Odoo!$D:$D=A2799) * (Facturas_Odoo!$K:$K=I2799), Facturas_Odoo!$Q:$Q, 0), 0))</f>
        <v/>
      </c>
      <c r="X2799" s="79">
        <f>IF(OR(Q2799="Sin Factura",Q2799=""),"",IFERROR(INDEX(Pagos_Odoo!$B:$B, MATCH(Q2799, Pagos_Odoo!$I:$I, 0)), "Sin Pago"))</f>
        <v/>
      </c>
      <c r="Y2799" s="79">
        <f>IF(X2799="Sin Pago","",IFERROR(INDEX(Pagos_Odoo!$C:$C, MATCH(X2799, Pagos_Odoo!$B:$B, 0)), ""))</f>
        <v/>
      </c>
      <c r="Z2799" s="80">
        <f>IF(X2799="Sin Pago","",IFERROR(INDEX(Pagos_Odoo!$A:$A, MATCH(X2799, Pagos_Odoo!$B:$B, 0)), ""))</f>
        <v/>
      </c>
      <c r="AA2799" s="79">
        <f>IF(X2799="Sin Pago","",IFERROR(INDEX(Pagos_Odoo!$F:$F, MATCH(X2799, Pagos_Odoo!$B:$B, 0)), ""))</f>
        <v/>
      </c>
      <c r="AB2799" s="81">
        <f>IF(X2799="Sin Pago",0,IFERROR(INDEX(Pagos_Odoo!$E:$E, MATCH(X2799, Pagos_Odoo!$B:$B, 0)), 0))</f>
        <v/>
      </c>
      <c r="AC2799" s="79">
        <f>IF(X2799="Sin Pago","",IFERROR(INDEX(Pagos_Odoo!$G:$G, MATCH(X2799, Pagos_Odoo!$B:$B, 0)), ""))</f>
        <v/>
      </c>
      <c r="AD2799" s="82" t="n">
        <v>0</v>
      </c>
      <c r="AE2799" s="82" t="n"/>
      <c r="AF2799" s="82" t="n"/>
      <c r="AG2799" s="82">
        <f>IF(AN2799="","",AD2799+AE2799+AF2799)</f>
        <v/>
      </c>
      <c r="AH2799" s="81">
        <f>IF(AN2799="","",P2799*(1-AG2799))</f>
        <v/>
      </c>
      <c r="AI2799" s="81">
        <f>IF(AN2799="","",IF(Q2799="Sin Factura",0,IFERROR(INDEX(Facturas_Odoo!$H:$H, MATCH(Q2799, Facturas_Odoo!$B:$B, 0)), 0)*(1-AG2799)))</f>
        <v/>
      </c>
      <c r="AJ2799" s="81">
        <f>IF(AN2799="","",_xlfn.LET(idVenta, AN2799&amp;"",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799" s="81">
        <f>IF(AN2799="","",AH2799-AJ2799)</f>
        <v/>
      </c>
      <c r="AL2799" s="81">
        <f>IF(AN2799="","",IF(Q2799="Sin Factura","",AI2799-AJ2799))</f>
        <v/>
      </c>
      <c r="AM2799" s="81">
        <f>IF(AN2799="","",IF(Q2799="Sin Factura",0,P2799-IFERROR(INDEX(Facturas_Odoo!$H:$H, MATCH(Q2799, Facturas_Odoo!$B:$B, 0)), 0)))</f>
        <v/>
      </c>
      <c r="AN2799" s="79">
        <f>IF(AND(A2799="", J2799=""), "", IF(A2799&lt;&gt;"", VALUE(MID(A2799,2,LEN(A2799))), AN2798))</f>
        <v/>
      </c>
      <c r="AO2799" s="79">
        <f>IF(AN2799="","",IF(AD2799=0,"OK",_xlfn.LET(monedaPago, IF(AA2799="","USD",AA2799), limitePermitido, IFERROR(VLOOKUP(monedaPago, Configuración!$A$2:$B$3, 2, FALSE), 0.15), IF(AD2799&gt;limitePermitido, "ALERTA: EXCESO (" &amp; TEXT(limitePermitido, "0%") &amp; " máx)", "OK"))))</f>
        <v/>
      </c>
      <c r="AP2799" s="79">
        <f>IF(AN2799="","",IF(AE2799=0,"OK",_xlfn.LET(fechaPago, Z2799, fechaFactura, R2799, diasCredito, IF(E2799="Pago inmediato", 0, IFERROR(VALUE(MID(E2799, 1, SEARCH(" ", E2799)-1)),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799" s="79">
        <f>IF(AN2799="","",IF(AND(N2799&gt;0, AG2799&gt;0), IF(Configuración!$K$2="NO", "ALERTA: DESCUENTO DOBLE NO PERMITIDO", "OK"), "OK"))</f>
        <v/>
      </c>
      <c r="AR2799" s="79">
        <f>IF(AN2799="","",IF(OR(AO2799&lt;&gt;"OK", AP2799&lt;&gt;"OK", AQ2799&lt;&gt;"OK"), "⚠️ REVISAR", "OK"))</f>
        <v/>
      </c>
    </row>
    <row r="2800">
      <c r="A2800" s="79">
        <f>IF('Ordenes_Odoo'!A2800="","",'Ordenes_Odoo'!A2800)</f>
        <v/>
      </c>
      <c r="B2800" s="80">
        <f>IF('Ordenes_Odoo'!B2800="","",'Ordenes_Odoo'!B2800)</f>
        <v/>
      </c>
      <c r="C2800" s="79">
        <f>IF('Ordenes_Odoo'!C2800="","",'Ordenes_Odoo'!C2800)</f>
        <v/>
      </c>
      <c r="D2800" s="79">
        <f>IF('Ordenes_Odoo'!D2800="","",'Ordenes_Odoo'!D2800)</f>
        <v/>
      </c>
      <c r="E2800" s="79">
        <f>IF('Ordenes_Odoo'!E2800="","",'Ordenes_Odoo'!E2800)</f>
        <v/>
      </c>
      <c r="F2800" s="79">
        <f>IF('Ordenes_Odoo'!F2800="","",'Ordenes_Odoo'!F2800)</f>
        <v/>
      </c>
      <c r="G2800" s="79">
        <f>IF('Ordenes_Odoo'!G2800="","",'Ordenes_Odoo'!G2800)</f>
        <v/>
      </c>
      <c r="H2800" s="79">
        <f>IF('Ordenes_Odoo'!H2800="","",'Ordenes_Odoo'!H2800)</f>
        <v/>
      </c>
      <c r="I2800" s="79">
        <f>IF('Ordenes_Odoo'!I2800="","",'Ordenes_Odoo'!I2800)</f>
        <v/>
      </c>
      <c r="J2800" s="79">
        <f>IF('Ordenes_Odoo'!J2800="","",'Ordenes_Odoo'!J2800)</f>
        <v/>
      </c>
      <c r="K2800" s="81">
        <f>IF('Ordenes_Odoo'!K2800="","",'Ordenes_Odoo'!K2800)</f>
        <v/>
      </c>
      <c r="L2800" s="81">
        <f>IF('Ordenes_Odoo'!L2800="","",'Ordenes_Odoo'!L2800)</f>
        <v/>
      </c>
      <c r="M2800" s="79">
        <f>IF('Ordenes_Odoo'!M2800="","",'Ordenes_Odoo'!M2800)</f>
        <v/>
      </c>
      <c r="N2800" s="79">
        <f>IF('Ordenes_Odoo'!N2800="","",'Ordenes_Odoo'!N2800)</f>
        <v/>
      </c>
      <c r="O2800" s="81">
        <f>IF('Ordenes_Odoo'!O2800="","",'Ordenes_Odoo'!O2800)</f>
        <v/>
      </c>
      <c r="P2800" s="81">
        <f>IF('Ordenes_Odoo'!P2800="","",'Ordenes_Odoo'!P2800)</f>
        <v/>
      </c>
      <c r="Q2800" s="79">
        <f>IF(A2800="","",IFERROR(INDEX(Facturas_Odoo!$B:$B, MATCH(A2800, Facturas_Odoo!$D:$D, 0)), "Sin Factura"))</f>
        <v/>
      </c>
      <c r="R2800" s="80">
        <f>IF(Q2800="Sin Factura","",IFERROR(INDEX(Facturas_Odoo!$A:$A, MATCH(Q2800, Facturas_Odoo!$B:$B, 0)), ""))</f>
        <v/>
      </c>
      <c r="S2800" s="79">
        <f>IF(Q2800="Sin Factura","",IFERROR(_xlfn.XLOOKUP(1, (Facturas_Odoo!$D:$D=A2800) * (Facturas_Odoo!$K:$K=I2800), Facturas_Odoo!$L:$L, ""), ""))</f>
        <v/>
      </c>
      <c r="T2800" s="81">
        <f>IF(Q2800="Sin Factura",0,IFERROR(_xlfn.XLOOKUP(1, (Facturas_Odoo!$D:$D=A2800) * (Facturas_Odoo!$K:$K=I2800), Facturas_Odoo!$M:$M, 0), 0))</f>
        <v/>
      </c>
      <c r="U2800" s="79">
        <f>IF(Q2800="Sin Factura",0,IFERROR(_xlfn.XLOOKUP(1, (Facturas_Odoo!$D:$D=A2800) * (Facturas_Odoo!$K:$K=I2800), Facturas_Odoo!$N:$N, 0), 0))</f>
        <v/>
      </c>
      <c r="V2800" s="79">
        <f>IF(Q2800="Sin Factura",0,IFERROR(_xlfn.XLOOKUP(1, (Facturas_Odoo!$D:$D=A2800) * (Facturas_Odoo!$K:$K=I2800), Facturas_Odoo!$O:$O, 0), 0))</f>
        <v/>
      </c>
      <c r="W2800" s="81">
        <f>IF(Q2800="Sin Factura",0,IFERROR(_xlfn.XLOOKUP(1, (Facturas_Odoo!$D:$D=A2800) * (Facturas_Odoo!$K:$K=I2800), Facturas_Odoo!$Q:$Q, 0), 0))</f>
        <v/>
      </c>
      <c r="X2800" s="79">
        <f>IF(OR(Q2800="Sin Factura",Q2800=""),"",IFERROR(INDEX(Pagos_Odoo!$B:$B, MATCH(Q2800, Pagos_Odoo!$I:$I, 0)), "Sin Pago"))</f>
        <v/>
      </c>
      <c r="Y2800" s="79">
        <f>IF(X2800="Sin Pago","",IFERROR(INDEX(Pagos_Odoo!$C:$C, MATCH(X2800, Pagos_Odoo!$B:$B, 0)), ""))</f>
        <v/>
      </c>
      <c r="Z2800" s="80">
        <f>IF(X2800="Sin Pago","",IFERROR(INDEX(Pagos_Odoo!$A:$A, MATCH(X2800, Pagos_Odoo!$B:$B, 0)), ""))</f>
        <v/>
      </c>
      <c r="AA2800" s="79">
        <f>IF(X2800="Sin Pago","",IFERROR(INDEX(Pagos_Odoo!$F:$F, MATCH(X2800, Pagos_Odoo!$B:$B, 0)), ""))</f>
        <v/>
      </c>
      <c r="AB2800" s="81">
        <f>IF(X2800="Sin Pago",0,IFERROR(INDEX(Pagos_Odoo!$E:$E, MATCH(X2800, Pagos_Odoo!$B:$B, 0)), 0))</f>
        <v/>
      </c>
      <c r="AC2800" s="79">
        <f>IF(X2800="Sin Pago","",IFERROR(INDEX(Pagos_Odoo!$G:$G, MATCH(X2800, Pagos_Odoo!$B:$B, 0)), ""))</f>
        <v/>
      </c>
      <c r="AD2800" s="82" t="n">
        <v>0</v>
      </c>
      <c r="AE2800" s="82" t="n"/>
      <c r="AF2800" s="82" t="n"/>
      <c r="AG2800" s="82">
        <f>IF(AN2800="","",AD2800+AE2800+AF2800)</f>
        <v/>
      </c>
      <c r="AH2800" s="81">
        <f>IF(AN2800="","",P2800*(1-AG2800))</f>
        <v/>
      </c>
      <c r="AI2800" s="81">
        <f>IF(AN2800="","",IF(Q2800="Sin Factura",0,IFERROR(INDEX(Facturas_Odoo!$H:$H, MATCH(Q2800, Facturas_Odoo!$B:$B, 0)), 0)*(1-AG2800)))</f>
        <v/>
      </c>
      <c r="AJ2800" s="81">
        <f>IF(AN2800="","",_xlfn.LET(idVenta, AN2800&amp;"",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00" s="81">
        <f>IF(AN2800="","",AH2800-AJ2800)</f>
        <v/>
      </c>
      <c r="AL2800" s="81">
        <f>IF(AN2800="","",IF(Q2800="Sin Factura","",AI2800-AJ2800))</f>
        <v/>
      </c>
      <c r="AM2800" s="81">
        <f>IF(AN2800="","",IF(Q2800="Sin Factura",0,P2800-IFERROR(INDEX(Facturas_Odoo!$H:$H, MATCH(Q2800, Facturas_Odoo!$B:$B, 0)), 0)))</f>
        <v/>
      </c>
      <c r="AN2800" s="79">
        <f>IF(AND(A2800="", J2800=""), "", IF(A2800&lt;&gt;"", VALUE(MID(A2800,2,LEN(A2800))), AN2799))</f>
        <v/>
      </c>
      <c r="AO2800" s="79">
        <f>IF(AN2800="","",IF(AD2800=0,"OK",_xlfn.LET(monedaPago, IF(AA2800="","USD",AA2800), limitePermitido, IFERROR(VLOOKUP(monedaPago, Configuración!$A$2:$B$3, 2, FALSE), 0.15), IF(AD2800&gt;limitePermitido, "ALERTA: EXCESO (" &amp; TEXT(limitePermitido, "0%") &amp; " máx)", "OK"))))</f>
        <v/>
      </c>
      <c r="AP2800" s="79">
        <f>IF(AN2800="","",IF(AE2800=0,"OK",_xlfn.LET(fechaPago, Z2800, fechaFactura, R2800, diasCredito, IF(E2800="Pago inmediato", 0, IFERROR(VALUE(MID(E2800, 1, SEARCH(" ", E2800)-1)),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00" s="79">
        <f>IF(AN2800="","",IF(AND(N2800&gt;0, AG2800&gt;0), IF(Configuración!$K$2="NO", "ALERTA: DESCUENTO DOBLE NO PERMITIDO", "OK"), "OK"))</f>
        <v/>
      </c>
      <c r="AR2800" s="79">
        <f>IF(AN2800="","",IF(OR(AO2800&lt;&gt;"OK", AP2800&lt;&gt;"OK", AQ2800&lt;&gt;"OK"), "⚠️ REVISAR", "OK"))</f>
        <v/>
      </c>
    </row>
    <row r="2801">
      <c r="A2801" s="79">
        <f>IF('Ordenes_Odoo'!A2801="","",'Ordenes_Odoo'!A2801)</f>
        <v/>
      </c>
      <c r="B2801" s="80">
        <f>IF('Ordenes_Odoo'!B2801="","",'Ordenes_Odoo'!B2801)</f>
        <v/>
      </c>
      <c r="C2801" s="79">
        <f>IF('Ordenes_Odoo'!C2801="","",'Ordenes_Odoo'!C2801)</f>
        <v/>
      </c>
      <c r="D2801" s="79">
        <f>IF('Ordenes_Odoo'!D2801="","",'Ordenes_Odoo'!D2801)</f>
        <v/>
      </c>
      <c r="E2801" s="79">
        <f>IF('Ordenes_Odoo'!E2801="","",'Ordenes_Odoo'!E2801)</f>
        <v/>
      </c>
      <c r="F2801" s="79">
        <f>IF('Ordenes_Odoo'!F2801="","",'Ordenes_Odoo'!F2801)</f>
        <v/>
      </c>
      <c r="G2801" s="79">
        <f>IF('Ordenes_Odoo'!G2801="","",'Ordenes_Odoo'!G2801)</f>
        <v/>
      </c>
      <c r="H2801" s="79">
        <f>IF('Ordenes_Odoo'!H2801="","",'Ordenes_Odoo'!H2801)</f>
        <v/>
      </c>
      <c r="I2801" s="79">
        <f>IF('Ordenes_Odoo'!I2801="","",'Ordenes_Odoo'!I2801)</f>
        <v/>
      </c>
      <c r="J2801" s="79">
        <f>IF('Ordenes_Odoo'!J2801="","",'Ordenes_Odoo'!J2801)</f>
        <v/>
      </c>
      <c r="K2801" s="81">
        <f>IF('Ordenes_Odoo'!K2801="","",'Ordenes_Odoo'!K2801)</f>
        <v/>
      </c>
      <c r="L2801" s="81">
        <f>IF('Ordenes_Odoo'!L2801="","",'Ordenes_Odoo'!L2801)</f>
        <v/>
      </c>
      <c r="M2801" s="79">
        <f>IF('Ordenes_Odoo'!M2801="","",'Ordenes_Odoo'!M2801)</f>
        <v/>
      </c>
      <c r="N2801" s="79">
        <f>IF('Ordenes_Odoo'!N2801="","",'Ordenes_Odoo'!N2801)</f>
        <v/>
      </c>
      <c r="O2801" s="81">
        <f>IF('Ordenes_Odoo'!O2801="","",'Ordenes_Odoo'!O2801)</f>
        <v/>
      </c>
      <c r="P2801" s="81">
        <f>IF('Ordenes_Odoo'!P2801="","",'Ordenes_Odoo'!P2801)</f>
        <v/>
      </c>
      <c r="Q2801" s="79">
        <f>IF(A2801="","",IFERROR(INDEX(Facturas_Odoo!$B:$B, MATCH(A2801, Facturas_Odoo!$D:$D, 0)), "Sin Factura"))</f>
        <v/>
      </c>
      <c r="R2801" s="80">
        <f>IF(Q2801="Sin Factura","",IFERROR(INDEX(Facturas_Odoo!$A:$A, MATCH(Q2801, Facturas_Odoo!$B:$B, 0)), ""))</f>
        <v/>
      </c>
      <c r="S2801" s="79">
        <f>IF(Q2801="Sin Factura","",IFERROR(_xlfn.XLOOKUP(1, (Facturas_Odoo!$D:$D=A2801) * (Facturas_Odoo!$K:$K=I2801), Facturas_Odoo!$L:$L, ""), ""))</f>
        <v/>
      </c>
      <c r="T2801" s="81">
        <f>IF(Q2801="Sin Factura",0,IFERROR(_xlfn.XLOOKUP(1, (Facturas_Odoo!$D:$D=A2801) * (Facturas_Odoo!$K:$K=I2801), Facturas_Odoo!$M:$M, 0), 0))</f>
        <v/>
      </c>
      <c r="U2801" s="79">
        <f>IF(Q2801="Sin Factura",0,IFERROR(_xlfn.XLOOKUP(1, (Facturas_Odoo!$D:$D=A2801) * (Facturas_Odoo!$K:$K=I2801), Facturas_Odoo!$N:$N, 0), 0))</f>
        <v/>
      </c>
      <c r="V2801" s="79">
        <f>IF(Q2801="Sin Factura",0,IFERROR(_xlfn.XLOOKUP(1, (Facturas_Odoo!$D:$D=A2801) * (Facturas_Odoo!$K:$K=I2801), Facturas_Odoo!$O:$O, 0), 0))</f>
        <v/>
      </c>
      <c r="W2801" s="81">
        <f>IF(Q2801="Sin Factura",0,IFERROR(_xlfn.XLOOKUP(1, (Facturas_Odoo!$D:$D=A2801) * (Facturas_Odoo!$K:$K=I2801), Facturas_Odoo!$Q:$Q, 0), 0))</f>
        <v/>
      </c>
      <c r="X2801" s="79">
        <f>IF(OR(Q2801="Sin Factura",Q2801=""),"",IFERROR(INDEX(Pagos_Odoo!$B:$B, MATCH(Q2801, Pagos_Odoo!$I:$I, 0)), "Sin Pago"))</f>
        <v/>
      </c>
      <c r="Y2801" s="79">
        <f>IF(X2801="Sin Pago","",IFERROR(INDEX(Pagos_Odoo!$C:$C, MATCH(X2801, Pagos_Odoo!$B:$B, 0)), ""))</f>
        <v/>
      </c>
      <c r="Z2801" s="80">
        <f>IF(X2801="Sin Pago","",IFERROR(INDEX(Pagos_Odoo!$A:$A, MATCH(X2801, Pagos_Odoo!$B:$B, 0)), ""))</f>
        <v/>
      </c>
      <c r="AA2801" s="79">
        <f>IF(X2801="Sin Pago","",IFERROR(INDEX(Pagos_Odoo!$F:$F, MATCH(X2801, Pagos_Odoo!$B:$B, 0)), ""))</f>
        <v/>
      </c>
      <c r="AB2801" s="81">
        <f>IF(X2801="Sin Pago",0,IFERROR(INDEX(Pagos_Odoo!$E:$E, MATCH(X2801, Pagos_Odoo!$B:$B, 0)), 0))</f>
        <v/>
      </c>
      <c r="AC2801" s="79">
        <f>IF(X2801="Sin Pago","",IFERROR(INDEX(Pagos_Odoo!$G:$G, MATCH(X2801, Pagos_Odoo!$B:$B, 0)), ""))</f>
        <v/>
      </c>
      <c r="AD2801" s="82" t="n">
        <v>0</v>
      </c>
      <c r="AE2801" s="82" t="n"/>
      <c r="AF2801" s="82" t="n"/>
      <c r="AG2801" s="82">
        <f>IF(AN2801="","",AD2801+AE2801+AF2801)</f>
        <v/>
      </c>
      <c r="AH2801" s="81">
        <f>IF(AN2801="","",P2801*(1-AG2801))</f>
        <v/>
      </c>
      <c r="AI2801" s="81">
        <f>IF(AN2801="","",IF(Q2801="Sin Factura",0,IFERROR(INDEX(Facturas_Odoo!$H:$H, MATCH(Q2801, Facturas_Odoo!$B:$B, 0)), 0)*(1-AG2801)))</f>
        <v/>
      </c>
      <c r="AJ2801" s="81">
        <f>IF(AN2801="","",_xlfn.LET(idVenta, AN2801&amp;"",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01" s="81">
        <f>IF(AN2801="","",AH2801-AJ2801)</f>
        <v/>
      </c>
      <c r="AL2801" s="81">
        <f>IF(AN2801="","",IF(Q2801="Sin Factura","",AI2801-AJ2801))</f>
        <v/>
      </c>
      <c r="AM2801" s="81">
        <f>IF(AN2801="","",IF(Q2801="Sin Factura",0,P2801-IFERROR(INDEX(Facturas_Odoo!$H:$H, MATCH(Q2801, Facturas_Odoo!$B:$B, 0)), 0)))</f>
        <v/>
      </c>
      <c r="AN2801" s="79">
        <f>IF(AND(A2801="", J2801=""), "", IF(A2801&lt;&gt;"", VALUE(MID(A2801,2,LEN(A2801))), AN2800))</f>
        <v/>
      </c>
      <c r="AO2801" s="79">
        <f>IF(AN2801="","",IF(AD2801=0,"OK",_xlfn.LET(monedaPago, IF(AA2801="","USD",AA2801), limitePermitido, IFERROR(VLOOKUP(monedaPago, Configuración!$A$2:$B$3, 2, FALSE), 0.15), IF(AD2801&gt;limitePermitido, "ALERTA: EXCESO (" &amp; TEXT(limitePermitido, "0%") &amp; " máx)", "OK"))))</f>
        <v/>
      </c>
      <c r="AP2801" s="79">
        <f>IF(AN2801="","",IF(AE2801=0,"OK",_xlfn.LET(fechaPago, Z2801, fechaFactura, R2801, diasCredito, IF(E2801="Pago inmediato", 0, IFERROR(VALUE(MID(E2801, 1, SEARCH(" ", E2801)-1)),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01" s="79">
        <f>IF(AN2801="","",IF(AND(N2801&gt;0, AG2801&gt;0), IF(Configuración!$K$2="NO", "ALERTA: DESCUENTO DOBLE NO PERMITIDO", "OK"), "OK"))</f>
        <v/>
      </c>
      <c r="AR2801" s="79">
        <f>IF(AN2801="","",IF(OR(AO2801&lt;&gt;"OK", AP2801&lt;&gt;"OK", AQ2801&lt;&gt;"OK"), "⚠️ REVISAR", "OK"))</f>
        <v/>
      </c>
    </row>
    <row r="2802">
      <c r="A2802" s="79">
        <f>IF('Ordenes_Odoo'!A2802="","",'Ordenes_Odoo'!A2802)</f>
        <v/>
      </c>
      <c r="B2802" s="80">
        <f>IF('Ordenes_Odoo'!B2802="","",'Ordenes_Odoo'!B2802)</f>
        <v/>
      </c>
      <c r="C2802" s="79">
        <f>IF('Ordenes_Odoo'!C2802="","",'Ordenes_Odoo'!C2802)</f>
        <v/>
      </c>
      <c r="D2802" s="79">
        <f>IF('Ordenes_Odoo'!D2802="","",'Ordenes_Odoo'!D2802)</f>
        <v/>
      </c>
      <c r="E2802" s="79">
        <f>IF('Ordenes_Odoo'!E2802="","",'Ordenes_Odoo'!E2802)</f>
        <v/>
      </c>
      <c r="F2802" s="79">
        <f>IF('Ordenes_Odoo'!F2802="","",'Ordenes_Odoo'!F2802)</f>
        <v/>
      </c>
      <c r="G2802" s="79">
        <f>IF('Ordenes_Odoo'!G2802="","",'Ordenes_Odoo'!G2802)</f>
        <v/>
      </c>
      <c r="H2802" s="79">
        <f>IF('Ordenes_Odoo'!H2802="","",'Ordenes_Odoo'!H2802)</f>
        <v/>
      </c>
      <c r="I2802" s="79">
        <f>IF('Ordenes_Odoo'!I2802="","",'Ordenes_Odoo'!I2802)</f>
        <v/>
      </c>
      <c r="J2802" s="79">
        <f>IF('Ordenes_Odoo'!J2802="","",'Ordenes_Odoo'!J2802)</f>
        <v/>
      </c>
      <c r="K2802" s="81">
        <f>IF('Ordenes_Odoo'!K2802="","",'Ordenes_Odoo'!K2802)</f>
        <v/>
      </c>
      <c r="L2802" s="81">
        <f>IF('Ordenes_Odoo'!L2802="","",'Ordenes_Odoo'!L2802)</f>
        <v/>
      </c>
      <c r="M2802" s="79">
        <f>IF('Ordenes_Odoo'!M2802="","",'Ordenes_Odoo'!M2802)</f>
        <v/>
      </c>
      <c r="N2802" s="79">
        <f>IF('Ordenes_Odoo'!N2802="","",'Ordenes_Odoo'!N2802)</f>
        <v/>
      </c>
      <c r="O2802" s="81">
        <f>IF('Ordenes_Odoo'!O2802="","",'Ordenes_Odoo'!O2802)</f>
        <v/>
      </c>
      <c r="P2802" s="81">
        <f>IF('Ordenes_Odoo'!P2802="","",'Ordenes_Odoo'!P2802)</f>
        <v/>
      </c>
      <c r="Q2802" s="79">
        <f>IF(A2802="","",IFERROR(INDEX(Facturas_Odoo!$B:$B, MATCH(A2802, Facturas_Odoo!$D:$D, 0)), "Sin Factura"))</f>
        <v/>
      </c>
      <c r="R2802" s="80">
        <f>IF(Q2802="Sin Factura","",IFERROR(INDEX(Facturas_Odoo!$A:$A, MATCH(Q2802, Facturas_Odoo!$B:$B, 0)), ""))</f>
        <v/>
      </c>
      <c r="S2802" s="79">
        <f>IF(Q2802="Sin Factura","",IFERROR(_xlfn.XLOOKUP(1, (Facturas_Odoo!$D:$D=A2802) * (Facturas_Odoo!$K:$K=I2802), Facturas_Odoo!$L:$L, ""), ""))</f>
        <v/>
      </c>
      <c r="T2802" s="81">
        <f>IF(Q2802="Sin Factura",0,IFERROR(_xlfn.XLOOKUP(1, (Facturas_Odoo!$D:$D=A2802) * (Facturas_Odoo!$K:$K=I2802), Facturas_Odoo!$M:$M, 0), 0))</f>
        <v/>
      </c>
      <c r="U2802" s="79">
        <f>IF(Q2802="Sin Factura",0,IFERROR(_xlfn.XLOOKUP(1, (Facturas_Odoo!$D:$D=A2802) * (Facturas_Odoo!$K:$K=I2802), Facturas_Odoo!$N:$N, 0), 0))</f>
        <v/>
      </c>
      <c r="V2802" s="79">
        <f>IF(Q2802="Sin Factura",0,IFERROR(_xlfn.XLOOKUP(1, (Facturas_Odoo!$D:$D=A2802) * (Facturas_Odoo!$K:$K=I2802), Facturas_Odoo!$O:$O, 0), 0))</f>
        <v/>
      </c>
      <c r="W2802" s="81">
        <f>IF(Q2802="Sin Factura",0,IFERROR(_xlfn.XLOOKUP(1, (Facturas_Odoo!$D:$D=A2802) * (Facturas_Odoo!$K:$K=I2802), Facturas_Odoo!$Q:$Q, 0), 0))</f>
        <v/>
      </c>
      <c r="X2802" s="79">
        <f>IF(OR(Q2802="Sin Factura",Q2802=""),"",IFERROR(INDEX(Pagos_Odoo!$B:$B, MATCH(Q2802, Pagos_Odoo!$I:$I, 0)), "Sin Pago"))</f>
        <v/>
      </c>
      <c r="Y2802" s="79">
        <f>IF(X2802="Sin Pago","",IFERROR(INDEX(Pagos_Odoo!$C:$C, MATCH(X2802, Pagos_Odoo!$B:$B, 0)), ""))</f>
        <v/>
      </c>
      <c r="Z2802" s="80">
        <f>IF(X2802="Sin Pago","",IFERROR(INDEX(Pagos_Odoo!$A:$A, MATCH(X2802, Pagos_Odoo!$B:$B, 0)), ""))</f>
        <v/>
      </c>
      <c r="AA2802" s="79">
        <f>IF(X2802="Sin Pago","",IFERROR(INDEX(Pagos_Odoo!$F:$F, MATCH(X2802, Pagos_Odoo!$B:$B, 0)), ""))</f>
        <v/>
      </c>
      <c r="AB2802" s="81">
        <f>IF(X2802="Sin Pago",0,IFERROR(INDEX(Pagos_Odoo!$E:$E, MATCH(X2802, Pagos_Odoo!$B:$B, 0)), 0))</f>
        <v/>
      </c>
      <c r="AC2802" s="79">
        <f>IF(X2802="Sin Pago","",IFERROR(INDEX(Pagos_Odoo!$G:$G, MATCH(X2802, Pagos_Odoo!$B:$B, 0)), ""))</f>
        <v/>
      </c>
      <c r="AD2802" s="82" t="n">
        <v>0</v>
      </c>
      <c r="AE2802" s="82" t="n"/>
      <c r="AF2802" s="82" t="n"/>
      <c r="AG2802" s="82">
        <f>IF(AN2802="","",AD2802+AE2802+AF2802)</f>
        <v/>
      </c>
      <c r="AH2802" s="81">
        <f>IF(AN2802="","",P2802*(1-AG2802))</f>
        <v/>
      </c>
      <c r="AI2802" s="81">
        <f>IF(AN2802="","",IF(Q2802="Sin Factura",0,IFERROR(INDEX(Facturas_Odoo!$H:$H, MATCH(Q2802, Facturas_Odoo!$B:$B, 0)), 0)*(1-AG2802)))</f>
        <v/>
      </c>
      <c r="AJ2802" s="81">
        <f>IF(AN2802="","",_xlfn.LET(idVenta, AN2802&amp;"",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02" s="81">
        <f>IF(AN2802="","",AH2802-AJ2802)</f>
        <v/>
      </c>
      <c r="AL2802" s="81">
        <f>IF(AN2802="","",IF(Q2802="Sin Factura","",AI2802-AJ2802))</f>
        <v/>
      </c>
      <c r="AM2802" s="81">
        <f>IF(AN2802="","",IF(Q2802="Sin Factura",0,P2802-IFERROR(INDEX(Facturas_Odoo!$H:$H, MATCH(Q2802, Facturas_Odoo!$B:$B, 0)), 0)))</f>
        <v/>
      </c>
      <c r="AN2802" s="79">
        <f>IF(AND(A2802="", J2802=""), "", IF(A2802&lt;&gt;"", VALUE(MID(A2802,2,LEN(A2802))), AN2801))</f>
        <v/>
      </c>
      <c r="AO2802" s="79">
        <f>IF(AN2802="","",IF(AD2802=0,"OK",_xlfn.LET(monedaPago, IF(AA2802="","USD",AA2802), limitePermitido, IFERROR(VLOOKUP(monedaPago, Configuración!$A$2:$B$3, 2, FALSE), 0.15), IF(AD2802&gt;limitePermitido, "ALERTA: EXCESO (" &amp; TEXT(limitePermitido, "0%") &amp; " máx)", "OK"))))</f>
        <v/>
      </c>
      <c r="AP2802" s="79">
        <f>IF(AN2802="","",IF(AE2802=0,"OK",_xlfn.LET(fechaPago, Z2802, fechaFactura, R2802, diasCredito, IF(E2802="Pago inmediato", 0, IFERROR(VALUE(MID(E2802, 1, SEARCH(" ", E2802)-1)),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02" s="79">
        <f>IF(AN2802="","",IF(AND(N2802&gt;0, AG2802&gt;0), IF(Configuración!$K$2="NO", "ALERTA: DESCUENTO DOBLE NO PERMITIDO", "OK"), "OK"))</f>
        <v/>
      </c>
      <c r="AR2802" s="79">
        <f>IF(AN2802="","",IF(OR(AO2802&lt;&gt;"OK", AP2802&lt;&gt;"OK", AQ2802&lt;&gt;"OK"), "⚠️ REVISAR", "OK"))</f>
        <v/>
      </c>
    </row>
    <row r="2803">
      <c r="A2803" s="79">
        <f>IF('Ordenes_Odoo'!A2803="","",'Ordenes_Odoo'!A2803)</f>
        <v/>
      </c>
      <c r="B2803" s="80">
        <f>IF('Ordenes_Odoo'!B2803="","",'Ordenes_Odoo'!B2803)</f>
        <v/>
      </c>
      <c r="C2803" s="79">
        <f>IF('Ordenes_Odoo'!C2803="","",'Ordenes_Odoo'!C2803)</f>
        <v/>
      </c>
      <c r="D2803" s="79">
        <f>IF('Ordenes_Odoo'!D2803="","",'Ordenes_Odoo'!D2803)</f>
        <v/>
      </c>
      <c r="E2803" s="79">
        <f>IF('Ordenes_Odoo'!E2803="","",'Ordenes_Odoo'!E2803)</f>
        <v/>
      </c>
      <c r="F2803" s="79">
        <f>IF('Ordenes_Odoo'!F2803="","",'Ordenes_Odoo'!F2803)</f>
        <v/>
      </c>
      <c r="G2803" s="79">
        <f>IF('Ordenes_Odoo'!G2803="","",'Ordenes_Odoo'!G2803)</f>
        <v/>
      </c>
      <c r="H2803" s="79">
        <f>IF('Ordenes_Odoo'!H2803="","",'Ordenes_Odoo'!H2803)</f>
        <v/>
      </c>
      <c r="I2803" s="79">
        <f>IF('Ordenes_Odoo'!I2803="","",'Ordenes_Odoo'!I2803)</f>
        <v/>
      </c>
      <c r="J2803" s="79">
        <f>IF('Ordenes_Odoo'!J2803="","",'Ordenes_Odoo'!J2803)</f>
        <v/>
      </c>
      <c r="K2803" s="81">
        <f>IF('Ordenes_Odoo'!K2803="","",'Ordenes_Odoo'!K2803)</f>
        <v/>
      </c>
      <c r="L2803" s="81">
        <f>IF('Ordenes_Odoo'!L2803="","",'Ordenes_Odoo'!L2803)</f>
        <v/>
      </c>
      <c r="M2803" s="79">
        <f>IF('Ordenes_Odoo'!M2803="","",'Ordenes_Odoo'!M2803)</f>
        <v/>
      </c>
      <c r="N2803" s="79">
        <f>IF('Ordenes_Odoo'!N2803="","",'Ordenes_Odoo'!N2803)</f>
        <v/>
      </c>
      <c r="O2803" s="81">
        <f>IF('Ordenes_Odoo'!O2803="","",'Ordenes_Odoo'!O2803)</f>
        <v/>
      </c>
      <c r="P2803" s="81">
        <f>IF('Ordenes_Odoo'!P2803="","",'Ordenes_Odoo'!P2803)</f>
        <v/>
      </c>
      <c r="Q2803" s="79">
        <f>IF(A2803="","",IFERROR(INDEX(Facturas_Odoo!$B:$B, MATCH(A2803, Facturas_Odoo!$D:$D, 0)), "Sin Factura"))</f>
        <v/>
      </c>
      <c r="R2803" s="80">
        <f>IF(Q2803="Sin Factura","",IFERROR(INDEX(Facturas_Odoo!$A:$A, MATCH(Q2803, Facturas_Odoo!$B:$B, 0)), ""))</f>
        <v/>
      </c>
      <c r="S2803" s="79">
        <f>IF(Q2803="Sin Factura","",IFERROR(_xlfn.XLOOKUP(1, (Facturas_Odoo!$D:$D=A2803) * (Facturas_Odoo!$K:$K=I2803), Facturas_Odoo!$L:$L, ""), ""))</f>
        <v/>
      </c>
      <c r="T2803" s="81">
        <f>IF(Q2803="Sin Factura",0,IFERROR(_xlfn.XLOOKUP(1, (Facturas_Odoo!$D:$D=A2803) * (Facturas_Odoo!$K:$K=I2803), Facturas_Odoo!$M:$M, 0), 0))</f>
        <v/>
      </c>
      <c r="U2803" s="79">
        <f>IF(Q2803="Sin Factura",0,IFERROR(_xlfn.XLOOKUP(1, (Facturas_Odoo!$D:$D=A2803) * (Facturas_Odoo!$K:$K=I2803), Facturas_Odoo!$N:$N, 0), 0))</f>
        <v/>
      </c>
      <c r="V2803" s="79">
        <f>IF(Q2803="Sin Factura",0,IFERROR(_xlfn.XLOOKUP(1, (Facturas_Odoo!$D:$D=A2803) * (Facturas_Odoo!$K:$K=I2803), Facturas_Odoo!$O:$O, 0), 0))</f>
        <v/>
      </c>
      <c r="W2803" s="81">
        <f>IF(Q2803="Sin Factura",0,IFERROR(_xlfn.XLOOKUP(1, (Facturas_Odoo!$D:$D=A2803) * (Facturas_Odoo!$K:$K=I2803), Facturas_Odoo!$Q:$Q, 0), 0))</f>
        <v/>
      </c>
      <c r="X2803" s="79">
        <f>IF(OR(Q2803="Sin Factura",Q2803=""),"",IFERROR(INDEX(Pagos_Odoo!$B:$B, MATCH(Q2803, Pagos_Odoo!$I:$I, 0)), "Sin Pago"))</f>
        <v/>
      </c>
      <c r="Y2803" s="79">
        <f>IF(X2803="Sin Pago","",IFERROR(INDEX(Pagos_Odoo!$C:$C, MATCH(X2803, Pagos_Odoo!$B:$B, 0)), ""))</f>
        <v/>
      </c>
      <c r="Z2803" s="80">
        <f>IF(X2803="Sin Pago","",IFERROR(INDEX(Pagos_Odoo!$A:$A, MATCH(X2803, Pagos_Odoo!$B:$B, 0)), ""))</f>
        <v/>
      </c>
      <c r="AA2803" s="79">
        <f>IF(X2803="Sin Pago","",IFERROR(INDEX(Pagos_Odoo!$F:$F, MATCH(X2803, Pagos_Odoo!$B:$B, 0)), ""))</f>
        <v/>
      </c>
      <c r="AB2803" s="81">
        <f>IF(X2803="Sin Pago",0,IFERROR(INDEX(Pagos_Odoo!$E:$E, MATCH(X2803, Pagos_Odoo!$B:$B, 0)), 0))</f>
        <v/>
      </c>
      <c r="AC2803" s="79">
        <f>IF(X2803="Sin Pago","",IFERROR(INDEX(Pagos_Odoo!$G:$G, MATCH(X2803, Pagos_Odoo!$B:$B, 0)), ""))</f>
        <v/>
      </c>
      <c r="AD2803" s="82" t="n">
        <v>0</v>
      </c>
      <c r="AE2803" s="82" t="n"/>
      <c r="AF2803" s="82" t="n"/>
      <c r="AG2803" s="82">
        <f>IF(AN2803="","",AD2803+AE2803+AF2803)</f>
        <v/>
      </c>
      <c r="AH2803" s="81">
        <f>IF(AN2803="","",P2803*(1-AG2803))</f>
        <v/>
      </c>
      <c r="AI2803" s="81">
        <f>IF(AN2803="","",IF(Q2803="Sin Factura",0,IFERROR(INDEX(Facturas_Odoo!$H:$H, MATCH(Q2803, Facturas_Odoo!$B:$B, 0)), 0)*(1-AG2803)))</f>
        <v/>
      </c>
      <c r="AJ2803" s="81">
        <f>IF(AN2803="","",_xlfn.LET(idVenta, AN2803&amp;"",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03" s="81">
        <f>IF(AN2803="","",AH2803-AJ2803)</f>
        <v/>
      </c>
      <c r="AL2803" s="81">
        <f>IF(AN2803="","",IF(Q2803="Sin Factura","",AI2803-AJ2803))</f>
        <v/>
      </c>
      <c r="AM2803" s="81">
        <f>IF(AN2803="","",IF(Q2803="Sin Factura",0,P2803-IFERROR(INDEX(Facturas_Odoo!$H:$H, MATCH(Q2803, Facturas_Odoo!$B:$B, 0)), 0)))</f>
        <v/>
      </c>
      <c r="AN2803" s="79">
        <f>IF(AND(A2803="", J2803=""), "", IF(A2803&lt;&gt;"", VALUE(MID(A2803,2,LEN(A2803))), AN2802))</f>
        <v/>
      </c>
      <c r="AO2803" s="79">
        <f>IF(AN2803="","",IF(AD2803=0,"OK",_xlfn.LET(monedaPago, IF(AA2803="","USD",AA2803), limitePermitido, IFERROR(VLOOKUP(monedaPago, Configuración!$A$2:$B$3, 2, FALSE), 0.15), IF(AD2803&gt;limitePermitido, "ALERTA: EXCESO (" &amp; TEXT(limitePermitido, "0%") &amp; " máx)", "OK"))))</f>
        <v/>
      </c>
      <c r="AP2803" s="79">
        <f>IF(AN2803="","",IF(AE2803=0,"OK",_xlfn.LET(fechaPago, Z2803, fechaFactura, R2803, diasCredito, IF(E2803="Pago inmediato", 0, IFERROR(VALUE(MID(E2803, 1, SEARCH(" ", E2803)-1)),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03" s="79">
        <f>IF(AN2803="","",IF(AND(N2803&gt;0, AG2803&gt;0), IF(Configuración!$K$2="NO", "ALERTA: DESCUENTO DOBLE NO PERMITIDO", "OK"), "OK"))</f>
        <v/>
      </c>
      <c r="AR2803" s="79">
        <f>IF(AN2803="","",IF(OR(AO2803&lt;&gt;"OK", AP2803&lt;&gt;"OK", AQ2803&lt;&gt;"OK"), "⚠️ REVISAR", "OK"))</f>
        <v/>
      </c>
    </row>
    <row r="2804">
      <c r="A2804" s="79">
        <f>IF('Ordenes_Odoo'!A2804="","",'Ordenes_Odoo'!A2804)</f>
        <v/>
      </c>
      <c r="B2804" s="80">
        <f>IF('Ordenes_Odoo'!B2804="","",'Ordenes_Odoo'!B2804)</f>
        <v/>
      </c>
      <c r="C2804" s="79">
        <f>IF('Ordenes_Odoo'!C2804="","",'Ordenes_Odoo'!C2804)</f>
        <v/>
      </c>
      <c r="D2804" s="79">
        <f>IF('Ordenes_Odoo'!D2804="","",'Ordenes_Odoo'!D2804)</f>
        <v/>
      </c>
      <c r="E2804" s="79">
        <f>IF('Ordenes_Odoo'!E2804="","",'Ordenes_Odoo'!E2804)</f>
        <v/>
      </c>
      <c r="F2804" s="79">
        <f>IF('Ordenes_Odoo'!F2804="","",'Ordenes_Odoo'!F2804)</f>
        <v/>
      </c>
      <c r="G2804" s="79">
        <f>IF('Ordenes_Odoo'!G2804="","",'Ordenes_Odoo'!G2804)</f>
        <v/>
      </c>
      <c r="H2804" s="79">
        <f>IF('Ordenes_Odoo'!H2804="","",'Ordenes_Odoo'!H2804)</f>
        <v/>
      </c>
      <c r="I2804" s="79">
        <f>IF('Ordenes_Odoo'!I2804="","",'Ordenes_Odoo'!I2804)</f>
        <v/>
      </c>
      <c r="J2804" s="79">
        <f>IF('Ordenes_Odoo'!J2804="","",'Ordenes_Odoo'!J2804)</f>
        <v/>
      </c>
      <c r="K2804" s="81">
        <f>IF('Ordenes_Odoo'!K2804="","",'Ordenes_Odoo'!K2804)</f>
        <v/>
      </c>
      <c r="L2804" s="81">
        <f>IF('Ordenes_Odoo'!L2804="","",'Ordenes_Odoo'!L2804)</f>
        <v/>
      </c>
      <c r="M2804" s="79">
        <f>IF('Ordenes_Odoo'!M2804="","",'Ordenes_Odoo'!M2804)</f>
        <v/>
      </c>
      <c r="N2804" s="79">
        <f>IF('Ordenes_Odoo'!N2804="","",'Ordenes_Odoo'!N2804)</f>
        <v/>
      </c>
      <c r="O2804" s="81">
        <f>IF('Ordenes_Odoo'!O2804="","",'Ordenes_Odoo'!O2804)</f>
        <v/>
      </c>
      <c r="P2804" s="81">
        <f>IF('Ordenes_Odoo'!P2804="","",'Ordenes_Odoo'!P2804)</f>
        <v/>
      </c>
      <c r="Q2804" s="79">
        <f>IF(A2804="","",IFERROR(INDEX(Facturas_Odoo!$B:$B, MATCH(A2804, Facturas_Odoo!$D:$D, 0)), "Sin Factura"))</f>
        <v/>
      </c>
      <c r="R2804" s="80">
        <f>IF(Q2804="Sin Factura","",IFERROR(INDEX(Facturas_Odoo!$A:$A, MATCH(Q2804, Facturas_Odoo!$B:$B, 0)), ""))</f>
        <v/>
      </c>
      <c r="S2804" s="79">
        <f>IF(Q2804="Sin Factura","",IFERROR(_xlfn.XLOOKUP(1, (Facturas_Odoo!$D:$D=A2804) * (Facturas_Odoo!$K:$K=I2804), Facturas_Odoo!$L:$L, ""), ""))</f>
        <v/>
      </c>
      <c r="T2804" s="81">
        <f>IF(Q2804="Sin Factura",0,IFERROR(_xlfn.XLOOKUP(1, (Facturas_Odoo!$D:$D=A2804) * (Facturas_Odoo!$K:$K=I2804), Facturas_Odoo!$M:$M, 0), 0))</f>
        <v/>
      </c>
      <c r="U2804" s="79">
        <f>IF(Q2804="Sin Factura",0,IFERROR(_xlfn.XLOOKUP(1, (Facturas_Odoo!$D:$D=A2804) * (Facturas_Odoo!$K:$K=I2804), Facturas_Odoo!$N:$N, 0), 0))</f>
        <v/>
      </c>
      <c r="V2804" s="79">
        <f>IF(Q2804="Sin Factura",0,IFERROR(_xlfn.XLOOKUP(1, (Facturas_Odoo!$D:$D=A2804) * (Facturas_Odoo!$K:$K=I2804), Facturas_Odoo!$O:$O, 0), 0))</f>
        <v/>
      </c>
      <c r="W2804" s="81">
        <f>IF(Q2804="Sin Factura",0,IFERROR(_xlfn.XLOOKUP(1, (Facturas_Odoo!$D:$D=A2804) * (Facturas_Odoo!$K:$K=I2804), Facturas_Odoo!$Q:$Q, 0), 0))</f>
        <v/>
      </c>
      <c r="X2804" s="79">
        <f>IF(OR(Q2804="Sin Factura",Q2804=""),"",IFERROR(INDEX(Pagos_Odoo!$B:$B, MATCH(Q2804, Pagos_Odoo!$I:$I, 0)), "Sin Pago"))</f>
        <v/>
      </c>
      <c r="Y2804" s="79">
        <f>IF(X2804="Sin Pago","",IFERROR(INDEX(Pagos_Odoo!$C:$C, MATCH(X2804, Pagos_Odoo!$B:$B, 0)), ""))</f>
        <v/>
      </c>
      <c r="Z2804" s="80">
        <f>IF(X2804="Sin Pago","",IFERROR(INDEX(Pagos_Odoo!$A:$A, MATCH(X2804, Pagos_Odoo!$B:$B, 0)), ""))</f>
        <v/>
      </c>
      <c r="AA2804" s="79">
        <f>IF(X2804="Sin Pago","",IFERROR(INDEX(Pagos_Odoo!$F:$F, MATCH(X2804, Pagos_Odoo!$B:$B, 0)), ""))</f>
        <v/>
      </c>
      <c r="AB2804" s="81">
        <f>IF(X2804="Sin Pago",0,IFERROR(INDEX(Pagos_Odoo!$E:$E, MATCH(X2804, Pagos_Odoo!$B:$B, 0)), 0))</f>
        <v/>
      </c>
      <c r="AC2804" s="79">
        <f>IF(X2804="Sin Pago","",IFERROR(INDEX(Pagos_Odoo!$G:$G, MATCH(X2804, Pagos_Odoo!$B:$B, 0)), ""))</f>
        <v/>
      </c>
      <c r="AD2804" s="82" t="n">
        <v>0</v>
      </c>
      <c r="AE2804" s="82" t="n"/>
      <c r="AF2804" s="82" t="n"/>
      <c r="AG2804" s="82">
        <f>IF(AN2804="","",AD2804+AE2804+AF2804)</f>
        <v/>
      </c>
      <c r="AH2804" s="81">
        <f>IF(AN2804="","",P2804*(1-AG2804))</f>
        <v/>
      </c>
      <c r="AI2804" s="81">
        <f>IF(AN2804="","",IF(Q2804="Sin Factura",0,IFERROR(INDEX(Facturas_Odoo!$H:$H, MATCH(Q2804, Facturas_Odoo!$B:$B, 0)), 0)*(1-AG2804)))</f>
        <v/>
      </c>
      <c r="AJ2804" s="81">
        <f>IF(AN2804="","",_xlfn.LET(idVenta, AN2804&amp;"",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04" s="81">
        <f>IF(AN2804="","",AH2804-AJ2804)</f>
        <v/>
      </c>
      <c r="AL2804" s="81">
        <f>IF(AN2804="","",IF(Q2804="Sin Factura","",AI2804-AJ2804))</f>
        <v/>
      </c>
      <c r="AM2804" s="81">
        <f>IF(AN2804="","",IF(Q2804="Sin Factura",0,P2804-IFERROR(INDEX(Facturas_Odoo!$H:$H, MATCH(Q2804, Facturas_Odoo!$B:$B, 0)), 0)))</f>
        <v/>
      </c>
      <c r="AN2804" s="79">
        <f>IF(AND(A2804="", J2804=""), "", IF(A2804&lt;&gt;"", VALUE(MID(A2804,2,LEN(A2804))), AN2803))</f>
        <v/>
      </c>
      <c r="AO2804" s="79">
        <f>IF(AN2804="","",IF(AD2804=0,"OK",_xlfn.LET(monedaPago, IF(AA2804="","USD",AA2804), limitePermitido, IFERROR(VLOOKUP(monedaPago, Configuración!$A$2:$B$3, 2, FALSE), 0.15), IF(AD2804&gt;limitePermitido, "ALERTA: EXCESO (" &amp; TEXT(limitePermitido, "0%") &amp; " máx)", "OK"))))</f>
        <v/>
      </c>
      <c r="AP2804" s="79">
        <f>IF(AN2804="","",IF(AE2804=0,"OK",_xlfn.LET(fechaPago, Z2804, fechaFactura, R2804, diasCredito, IF(E2804="Pago inmediato", 0, IFERROR(VALUE(MID(E2804, 1, SEARCH(" ", E2804)-1)),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04" s="79">
        <f>IF(AN2804="","",IF(AND(N2804&gt;0, AG2804&gt;0), IF(Configuración!$K$2="NO", "ALERTA: DESCUENTO DOBLE NO PERMITIDO", "OK"), "OK"))</f>
        <v/>
      </c>
      <c r="AR2804" s="79">
        <f>IF(AN2804="","",IF(OR(AO2804&lt;&gt;"OK", AP2804&lt;&gt;"OK", AQ2804&lt;&gt;"OK"), "⚠️ REVISAR", "OK"))</f>
        <v/>
      </c>
    </row>
    <row r="2805">
      <c r="A2805" s="79">
        <f>IF('Ordenes_Odoo'!A2805="","",'Ordenes_Odoo'!A2805)</f>
        <v/>
      </c>
      <c r="B2805" s="80">
        <f>IF('Ordenes_Odoo'!B2805="","",'Ordenes_Odoo'!B2805)</f>
        <v/>
      </c>
      <c r="C2805" s="79">
        <f>IF('Ordenes_Odoo'!C2805="","",'Ordenes_Odoo'!C2805)</f>
        <v/>
      </c>
      <c r="D2805" s="79">
        <f>IF('Ordenes_Odoo'!D2805="","",'Ordenes_Odoo'!D2805)</f>
        <v/>
      </c>
      <c r="E2805" s="79">
        <f>IF('Ordenes_Odoo'!E2805="","",'Ordenes_Odoo'!E2805)</f>
        <v/>
      </c>
      <c r="F2805" s="79">
        <f>IF('Ordenes_Odoo'!F2805="","",'Ordenes_Odoo'!F2805)</f>
        <v/>
      </c>
      <c r="G2805" s="79">
        <f>IF('Ordenes_Odoo'!G2805="","",'Ordenes_Odoo'!G2805)</f>
        <v/>
      </c>
      <c r="H2805" s="79">
        <f>IF('Ordenes_Odoo'!H2805="","",'Ordenes_Odoo'!H2805)</f>
        <v/>
      </c>
      <c r="I2805" s="79">
        <f>IF('Ordenes_Odoo'!I2805="","",'Ordenes_Odoo'!I2805)</f>
        <v/>
      </c>
      <c r="J2805" s="79">
        <f>IF('Ordenes_Odoo'!J2805="","",'Ordenes_Odoo'!J2805)</f>
        <v/>
      </c>
      <c r="K2805" s="81">
        <f>IF('Ordenes_Odoo'!K2805="","",'Ordenes_Odoo'!K2805)</f>
        <v/>
      </c>
      <c r="L2805" s="81">
        <f>IF('Ordenes_Odoo'!L2805="","",'Ordenes_Odoo'!L2805)</f>
        <v/>
      </c>
      <c r="M2805" s="79">
        <f>IF('Ordenes_Odoo'!M2805="","",'Ordenes_Odoo'!M2805)</f>
        <v/>
      </c>
      <c r="N2805" s="79">
        <f>IF('Ordenes_Odoo'!N2805="","",'Ordenes_Odoo'!N2805)</f>
        <v/>
      </c>
      <c r="O2805" s="81">
        <f>IF('Ordenes_Odoo'!O2805="","",'Ordenes_Odoo'!O2805)</f>
        <v/>
      </c>
      <c r="P2805" s="81">
        <f>IF('Ordenes_Odoo'!P2805="","",'Ordenes_Odoo'!P2805)</f>
        <v/>
      </c>
      <c r="Q2805" s="79">
        <f>IF(A2805="","",IFERROR(INDEX(Facturas_Odoo!$B:$B, MATCH(A2805, Facturas_Odoo!$D:$D, 0)), "Sin Factura"))</f>
        <v/>
      </c>
      <c r="R2805" s="80">
        <f>IF(Q2805="Sin Factura","",IFERROR(INDEX(Facturas_Odoo!$A:$A, MATCH(Q2805, Facturas_Odoo!$B:$B, 0)), ""))</f>
        <v/>
      </c>
      <c r="S2805" s="79">
        <f>IF(Q2805="Sin Factura","",IFERROR(_xlfn.XLOOKUP(1, (Facturas_Odoo!$D:$D=A2805) * (Facturas_Odoo!$K:$K=I2805), Facturas_Odoo!$L:$L, ""), ""))</f>
        <v/>
      </c>
      <c r="T2805" s="81">
        <f>IF(Q2805="Sin Factura",0,IFERROR(_xlfn.XLOOKUP(1, (Facturas_Odoo!$D:$D=A2805) * (Facturas_Odoo!$K:$K=I2805), Facturas_Odoo!$M:$M, 0), 0))</f>
        <v/>
      </c>
      <c r="U2805" s="79">
        <f>IF(Q2805="Sin Factura",0,IFERROR(_xlfn.XLOOKUP(1, (Facturas_Odoo!$D:$D=A2805) * (Facturas_Odoo!$K:$K=I2805), Facturas_Odoo!$N:$N, 0), 0))</f>
        <v/>
      </c>
      <c r="V2805" s="79">
        <f>IF(Q2805="Sin Factura",0,IFERROR(_xlfn.XLOOKUP(1, (Facturas_Odoo!$D:$D=A2805) * (Facturas_Odoo!$K:$K=I2805), Facturas_Odoo!$O:$O, 0), 0))</f>
        <v/>
      </c>
      <c r="W2805" s="81">
        <f>IF(Q2805="Sin Factura",0,IFERROR(_xlfn.XLOOKUP(1, (Facturas_Odoo!$D:$D=A2805) * (Facturas_Odoo!$K:$K=I2805), Facturas_Odoo!$Q:$Q, 0), 0))</f>
        <v/>
      </c>
      <c r="X2805" s="79">
        <f>IF(OR(Q2805="Sin Factura",Q2805=""),"",IFERROR(INDEX(Pagos_Odoo!$B:$B, MATCH(Q2805, Pagos_Odoo!$I:$I, 0)), "Sin Pago"))</f>
        <v/>
      </c>
      <c r="Y2805" s="79">
        <f>IF(X2805="Sin Pago","",IFERROR(INDEX(Pagos_Odoo!$C:$C, MATCH(X2805, Pagos_Odoo!$B:$B, 0)), ""))</f>
        <v/>
      </c>
      <c r="Z2805" s="80">
        <f>IF(X2805="Sin Pago","",IFERROR(INDEX(Pagos_Odoo!$A:$A, MATCH(X2805, Pagos_Odoo!$B:$B, 0)), ""))</f>
        <v/>
      </c>
      <c r="AA2805" s="79">
        <f>IF(X2805="Sin Pago","",IFERROR(INDEX(Pagos_Odoo!$F:$F, MATCH(X2805, Pagos_Odoo!$B:$B, 0)), ""))</f>
        <v/>
      </c>
      <c r="AB2805" s="81">
        <f>IF(X2805="Sin Pago",0,IFERROR(INDEX(Pagos_Odoo!$E:$E, MATCH(X2805, Pagos_Odoo!$B:$B, 0)), 0))</f>
        <v/>
      </c>
      <c r="AC2805" s="79">
        <f>IF(X2805="Sin Pago","",IFERROR(INDEX(Pagos_Odoo!$G:$G, MATCH(X2805, Pagos_Odoo!$B:$B, 0)), ""))</f>
        <v/>
      </c>
      <c r="AD2805" s="82" t="n">
        <v>0</v>
      </c>
      <c r="AE2805" s="82" t="n"/>
      <c r="AF2805" s="82" t="n"/>
      <c r="AG2805" s="82">
        <f>IF(AN2805="","",AD2805+AE2805+AF2805)</f>
        <v/>
      </c>
      <c r="AH2805" s="81">
        <f>IF(AN2805="","",P2805*(1-AG2805))</f>
        <v/>
      </c>
      <c r="AI2805" s="81">
        <f>IF(AN2805="","",IF(Q2805="Sin Factura",0,IFERROR(INDEX(Facturas_Odoo!$H:$H, MATCH(Q2805, Facturas_Odoo!$B:$B, 0)), 0)*(1-AG2805)))</f>
        <v/>
      </c>
      <c r="AJ2805" s="81">
        <f>IF(AN2805="","",_xlfn.LET(idVenta, AN2805&amp;"",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05" s="81">
        <f>IF(AN2805="","",AH2805-AJ2805)</f>
        <v/>
      </c>
      <c r="AL2805" s="81">
        <f>IF(AN2805="","",IF(Q2805="Sin Factura","",AI2805-AJ2805))</f>
        <v/>
      </c>
      <c r="AM2805" s="81">
        <f>IF(AN2805="","",IF(Q2805="Sin Factura",0,P2805-IFERROR(INDEX(Facturas_Odoo!$H:$H, MATCH(Q2805, Facturas_Odoo!$B:$B, 0)), 0)))</f>
        <v/>
      </c>
      <c r="AN2805" s="79">
        <f>IF(AND(A2805="", J2805=""), "", IF(A2805&lt;&gt;"", VALUE(MID(A2805,2,LEN(A2805))), AN2804))</f>
        <v/>
      </c>
      <c r="AO2805" s="79">
        <f>IF(AN2805="","",IF(AD2805=0,"OK",_xlfn.LET(monedaPago, IF(AA2805="","USD",AA2805), limitePermitido, IFERROR(VLOOKUP(monedaPago, Configuración!$A$2:$B$3, 2, FALSE), 0.15), IF(AD2805&gt;limitePermitido, "ALERTA: EXCESO (" &amp; TEXT(limitePermitido, "0%") &amp; " máx)", "OK"))))</f>
        <v/>
      </c>
      <c r="AP2805" s="79">
        <f>IF(AN2805="","",IF(AE2805=0,"OK",_xlfn.LET(fechaPago, Z2805, fechaFactura, R2805, diasCredito, IF(E2805="Pago inmediato", 0, IFERROR(VALUE(MID(E2805, 1, SEARCH(" ", E2805)-1)),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05" s="79">
        <f>IF(AN2805="","",IF(AND(N2805&gt;0, AG2805&gt;0), IF(Configuración!$K$2="NO", "ALERTA: DESCUENTO DOBLE NO PERMITIDO", "OK"), "OK"))</f>
        <v/>
      </c>
      <c r="AR2805" s="79">
        <f>IF(AN2805="","",IF(OR(AO2805&lt;&gt;"OK", AP2805&lt;&gt;"OK", AQ2805&lt;&gt;"OK"), "⚠️ REVISAR", "OK"))</f>
        <v/>
      </c>
    </row>
    <row r="2806">
      <c r="A2806" s="79">
        <f>IF('Ordenes_Odoo'!A2806="","",'Ordenes_Odoo'!A2806)</f>
        <v/>
      </c>
      <c r="B2806" s="80">
        <f>IF('Ordenes_Odoo'!B2806="","",'Ordenes_Odoo'!B2806)</f>
        <v/>
      </c>
      <c r="C2806" s="79">
        <f>IF('Ordenes_Odoo'!C2806="","",'Ordenes_Odoo'!C2806)</f>
        <v/>
      </c>
      <c r="D2806" s="79">
        <f>IF('Ordenes_Odoo'!D2806="","",'Ordenes_Odoo'!D2806)</f>
        <v/>
      </c>
      <c r="E2806" s="79">
        <f>IF('Ordenes_Odoo'!E2806="","",'Ordenes_Odoo'!E2806)</f>
        <v/>
      </c>
      <c r="F2806" s="79">
        <f>IF('Ordenes_Odoo'!F2806="","",'Ordenes_Odoo'!F2806)</f>
        <v/>
      </c>
      <c r="G2806" s="79">
        <f>IF('Ordenes_Odoo'!G2806="","",'Ordenes_Odoo'!G2806)</f>
        <v/>
      </c>
      <c r="H2806" s="79">
        <f>IF('Ordenes_Odoo'!H2806="","",'Ordenes_Odoo'!H2806)</f>
        <v/>
      </c>
      <c r="I2806" s="79">
        <f>IF('Ordenes_Odoo'!I2806="","",'Ordenes_Odoo'!I2806)</f>
        <v/>
      </c>
      <c r="J2806" s="79">
        <f>IF('Ordenes_Odoo'!J2806="","",'Ordenes_Odoo'!J2806)</f>
        <v/>
      </c>
      <c r="K2806" s="81">
        <f>IF('Ordenes_Odoo'!K2806="","",'Ordenes_Odoo'!K2806)</f>
        <v/>
      </c>
      <c r="L2806" s="81">
        <f>IF('Ordenes_Odoo'!L2806="","",'Ordenes_Odoo'!L2806)</f>
        <v/>
      </c>
      <c r="M2806" s="79">
        <f>IF('Ordenes_Odoo'!M2806="","",'Ordenes_Odoo'!M2806)</f>
        <v/>
      </c>
      <c r="N2806" s="79">
        <f>IF('Ordenes_Odoo'!N2806="","",'Ordenes_Odoo'!N2806)</f>
        <v/>
      </c>
      <c r="O2806" s="81">
        <f>IF('Ordenes_Odoo'!O2806="","",'Ordenes_Odoo'!O2806)</f>
        <v/>
      </c>
      <c r="P2806" s="81">
        <f>IF('Ordenes_Odoo'!P2806="","",'Ordenes_Odoo'!P2806)</f>
        <v/>
      </c>
      <c r="Q2806" s="79">
        <f>IF(A2806="","",IFERROR(INDEX(Facturas_Odoo!$B:$B, MATCH(A2806, Facturas_Odoo!$D:$D, 0)), "Sin Factura"))</f>
        <v/>
      </c>
      <c r="R2806" s="80">
        <f>IF(Q2806="Sin Factura","",IFERROR(INDEX(Facturas_Odoo!$A:$A, MATCH(Q2806, Facturas_Odoo!$B:$B, 0)), ""))</f>
        <v/>
      </c>
      <c r="S2806" s="79">
        <f>IF(Q2806="Sin Factura","",IFERROR(_xlfn.XLOOKUP(1, (Facturas_Odoo!$D:$D=A2806) * (Facturas_Odoo!$K:$K=I2806), Facturas_Odoo!$L:$L, ""), ""))</f>
        <v/>
      </c>
      <c r="T2806" s="81">
        <f>IF(Q2806="Sin Factura",0,IFERROR(_xlfn.XLOOKUP(1, (Facturas_Odoo!$D:$D=A2806) * (Facturas_Odoo!$K:$K=I2806), Facturas_Odoo!$M:$M, 0), 0))</f>
        <v/>
      </c>
      <c r="U2806" s="79">
        <f>IF(Q2806="Sin Factura",0,IFERROR(_xlfn.XLOOKUP(1, (Facturas_Odoo!$D:$D=A2806) * (Facturas_Odoo!$K:$K=I2806), Facturas_Odoo!$N:$N, 0), 0))</f>
        <v/>
      </c>
      <c r="V2806" s="79">
        <f>IF(Q2806="Sin Factura",0,IFERROR(_xlfn.XLOOKUP(1, (Facturas_Odoo!$D:$D=A2806) * (Facturas_Odoo!$K:$K=I2806), Facturas_Odoo!$O:$O, 0), 0))</f>
        <v/>
      </c>
      <c r="W2806" s="81">
        <f>IF(Q2806="Sin Factura",0,IFERROR(_xlfn.XLOOKUP(1, (Facturas_Odoo!$D:$D=A2806) * (Facturas_Odoo!$K:$K=I2806), Facturas_Odoo!$Q:$Q, 0), 0))</f>
        <v/>
      </c>
      <c r="X2806" s="79">
        <f>IF(OR(Q2806="Sin Factura",Q2806=""),"",IFERROR(INDEX(Pagos_Odoo!$B:$B, MATCH(Q2806, Pagos_Odoo!$I:$I, 0)), "Sin Pago"))</f>
        <v/>
      </c>
      <c r="Y2806" s="79">
        <f>IF(X2806="Sin Pago","",IFERROR(INDEX(Pagos_Odoo!$C:$C, MATCH(X2806, Pagos_Odoo!$B:$B, 0)), ""))</f>
        <v/>
      </c>
      <c r="Z2806" s="80">
        <f>IF(X2806="Sin Pago","",IFERROR(INDEX(Pagos_Odoo!$A:$A, MATCH(X2806, Pagos_Odoo!$B:$B, 0)), ""))</f>
        <v/>
      </c>
      <c r="AA2806" s="79">
        <f>IF(X2806="Sin Pago","",IFERROR(INDEX(Pagos_Odoo!$F:$F, MATCH(X2806, Pagos_Odoo!$B:$B, 0)), ""))</f>
        <v/>
      </c>
      <c r="AB2806" s="81">
        <f>IF(X2806="Sin Pago",0,IFERROR(INDEX(Pagos_Odoo!$E:$E, MATCH(X2806, Pagos_Odoo!$B:$B, 0)), 0))</f>
        <v/>
      </c>
      <c r="AC2806" s="79">
        <f>IF(X2806="Sin Pago","",IFERROR(INDEX(Pagos_Odoo!$G:$G, MATCH(X2806, Pagos_Odoo!$B:$B, 0)), ""))</f>
        <v/>
      </c>
      <c r="AD2806" s="82" t="n">
        <v>0</v>
      </c>
      <c r="AE2806" s="82" t="n"/>
      <c r="AF2806" s="82" t="n"/>
      <c r="AG2806" s="82">
        <f>IF(AN2806="","",AD2806+AE2806+AF2806)</f>
        <v/>
      </c>
      <c r="AH2806" s="81">
        <f>IF(AN2806="","",P2806*(1-AG2806))</f>
        <v/>
      </c>
      <c r="AI2806" s="81">
        <f>IF(AN2806="","",IF(Q2806="Sin Factura",0,IFERROR(INDEX(Facturas_Odoo!$H:$H, MATCH(Q2806, Facturas_Odoo!$B:$B, 0)), 0)*(1-AG2806)))</f>
        <v/>
      </c>
      <c r="AJ2806" s="81">
        <f>IF(AN2806="","",_xlfn.LET(idVenta, AN2806&amp;"",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06" s="81">
        <f>IF(AN2806="","",AH2806-AJ2806)</f>
        <v/>
      </c>
      <c r="AL2806" s="81">
        <f>IF(AN2806="","",IF(Q2806="Sin Factura","",AI2806-AJ2806))</f>
        <v/>
      </c>
      <c r="AM2806" s="81">
        <f>IF(AN2806="","",IF(Q2806="Sin Factura",0,P2806-IFERROR(INDEX(Facturas_Odoo!$H:$H, MATCH(Q2806, Facturas_Odoo!$B:$B, 0)), 0)))</f>
        <v/>
      </c>
      <c r="AN2806" s="79">
        <f>IF(AND(A2806="", J2806=""), "", IF(A2806&lt;&gt;"", VALUE(MID(A2806,2,LEN(A2806))), AN2805))</f>
        <v/>
      </c>
      <c r="AO2806" s="79">
        <f>IF(AN2806="","",IF(AD2806=0,"OK",_xlfn.LET(monedaPago, IF(AA2806="","USD",AA2806), limitePermitido, IFERROR(VLOOKUP(monedaPago, Configuración!$A$2:$B$3, 2, FALSE), 0.15), IF(AD2806&gt;limitePermitido, "ALERTA: EXCESO (" &amp; TEXT(limitePermitido, "0%") &amp; " máx)", "OK"))))</f>
        <v/>
      </c>
      <c r="AP2806" s="79">
        <f>IF(AN2806="","",IF(AE2806=0,"OK",_xlfn.LET(fechaPago, Z2806, fechaFactura, R2806, diasCredito, IF(E2806="Pago inmediato", 0, IFERROR(VALUE(MID(E2806, 1, SEARCH(" ", E2806)-1)),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06" s="79">
        <f>IF(AN2806="","",IF(AND(N2806&gt;0, AG2806&gt;0), IF(Configuración!$K$2="NO", "ALERTA: DESCUENTO DOBLE NO PERMITIDO", "OK"), "OK"))</f>
        <v/>
      </c>
      <c r="AR2806" s="79">
        <f>IF(AN2806="","",IF(OR(AO2806&lt;&gt;"OK", AP2806&lt;&gt;"OK", AQ2806&lt;&gt;"OK"), "⚠️ REVISAR", "OK"))</f>
        <v/>
      </c>
    </row>
    <row r="2807">
      <c r="A2807" s="79">
        <f>IF('Ordenes_Odoo'!A2807="","",'Ordenes_Odoo'!A2807)</f>
        <v/>
      </c>
      <c r="B2807" s="80">
        <f>IF('Ordenes_Odoo'!B2807="","",'Ordenes_Odoo'!B2807)</f>
        <v/>
      </c>
      <c r="C2807" s="79">
        <f>IF('Ordenes_Odoo'!C2807="","",'Ordenes_Odoo'!C2807)</f>
        <v/>
      </c>
      <c r="D2807" s="79">
        <f>IF('Ordenes_Odoo'!D2807="","",'Ordenes_Odoo'!D2807)</f>
        <v/>
      </c>
      <c r="E2807" s="79">
        <f>IF('Ordenes_Odoo'!E2807="","",'Ordenes_Odoo'!E2807)</f>
        <v/>
      </c>
      <c r="F2807" s="79">
        <f>IF('Ordenes_Odoo'!F2807="","",'Ordenes_Odoo'!F2807)</f>
        <v/>
      </c>
      <c r="G2807" s="79">
        <f>IF('Ordenes_Odoo'!G2807="","",'Ordenes_Odoo'!G2807)</f>
        <v/>
      </c>
      <c r="H2807" s="79">
        <f>IF('Ordenes_Odoo'!H2807="","",'Ordenes_Odoo'!H2807)</f>
        <v/>
      </c>
      <c r="I2807" s="79">
        <f>IF('Ordenes_Odoo'!I2807="","",'Ordenes_Odoo'!I2807)</f>
        <v/>
      </c>
      <c r="J2807" s="79">
        <f>IF('Ordenes_Odoo'!J2807="","",'Ordenes_Odoo'!J2807)</f>
        <v/>
      </c>
      <c r="K2807" s="81">
        <f>IF('Ordenes_Odoo'!K2807="","",'Ordenes_Odoo'!K2807)</f>
        <v/>
      </c>
      <c r="L2807" s="81">
        <f>IF('Ordenes_Odoo'!L2807="","",'Ordenes_Odoo'!L2807)</f>
        <v/>
      </c>
      <c r="M2807" s="79">
        <f>IF('Ordenes_Odoo'!M2807="","",'Ordenes_Odoo'!M2807)</f>
        <v/>
      </c>
      <c r="N2807" s="79">
        <f>IF('Ordenes_Odoo'!N2807="","",'Ordenes_Odoo'!N2807)</f>
        <v/>
      </c>
      <c r="O2807" s="81">
        <f>IF('Ordenes_Odoo'!O2807="","",'Ordenes_Odoo'!O2807)</f>
        <v/>
      </c>
      <c r="P2807" s="81">
        <f>IF('Ordenes_Odoo'!P2807="","",'Ordenes_Odoo'!P2807)</f>
        <v/>
      </c>
      <c r="Q2807" s="79">
        <f>IF(A2807="","",IFERROR(INDEX(Facturas_Odoo!$B:$B, MATCH(A2807, Facturas_Odoo!$D:$D, 0)), "Sin Factura"))</f>
        <v/>
      </c>
      <c r="R2807" s="80">
        <f>IF(Q2807="Sin Factura","",IFERROR(INDEX(Facturas_Odoo!$A:$A, MATCH(Q2807, Facturas_Odoo!$B:$B, 0)), ""))</f>
        <v/>
      </c>
      <c r="S2807" s="79">
        <f>IF(Q2807="Sin Factura","",IFERROR(_xlfn.XLOOKUP(1, (Facturas_Odoo!$D:$D=A2807) * (Facturas_Odoo!$K:$K=I2807), Facturas_Odoo!$L:$L, ""), ""))</f>
        <v/>
      </c>
      <c r="T2807" s="81">
        <f>IF(Q2807="Sin Factura",0,IFERROR(_xlfn.XLOOKUP(1, (Facturas_Odoo!$D:$D=A2807) * (Facturas_Odoo!$K:$K=I2807), Facturas_Odoo!$M:$M, 0), 0))</f>
        <v/>
      </c>
      <c r="U2807" s="79">
        <f>IF(Q2807="Sin Factura",0,IFERROR(_xlfn.XLOOKUP(1, (Facturas_Odoo!$D:$D=A2807) * (Facturas_Odoo!$K:$K=I2807), Facturas_Odoo!$N:$N, 0), 0))</f>
        <v/>
      </c>
      <c r="V2807" s="79">
        <f>IF(Q2807="Sin Factura",0,IFERROR(_xlfn.XLOOKUP(1, (Facturas_Odoo!$D:$D=A2807) * (Facturas_Odoo!$K:$K=I2807), Facturas_Odoo!$O:$O, 0), 0))</f>
        <v/>
      </c>
      <c r="W2807" s="81">
        <f>IF(Q2807="Sin Factura",0,IFERROR(_xlfn.XLOOKUP(1, (Facturas_Odoo!$D:$D=A2807) * (Facturas_Odoo!$K:$K=I2807), Facturas_Odoo!$Q:$Q, 0), 0))</f>
        <v/>
      </c>
      <c r="X2807" s="79">
        <f>IF(OR(Q2807="Sin Factura",Q2807=""),"",IFERROR(INDEX(Pagos_Odoo!$B:$B, MATCH(Q2807, Pagos_Odoo!$I:$I, 0)), "Sin Pago"))</f>
        <v/>
      </c>
      <c r="Y2807" s="79">
        <f>IF(X2807="Sin Pago","",IFERROR(INDEX(Pagos_Odoo!$C:$C, MATCH(X2807, Pagos_Odoo!$B:$B, 0)), ""))</f>
        <v/>
      </c>
      <c r="Z2807" s="80">
        <f>IF(X2807="Sin Pago","",IFERROR(INDEX(Pagos_Odoo!$A:$A, MATCH(X2807, Pagos_Odoo!$B:$B, 0)), ""))</f>
        <v/>
      </c>
      <c r="AA2807" s="79">
        <f>IF(X2807="Sin Pago","",IFERROR(INDEX(Pagos_Odoo!$F:$F, MATCH(X2807, Pagos_Odoo!$B:$B, 0)), ""))</f>
        <v/>
      </c>
      <c r="AB2807" s="81">
        <f>IF(X2807="Sin Pago",0,IFERROR(INDEX(Pagos_Odoo!$E:$E, MATCH(X2807, Pagos_Odoo!$B:$B, 0)), 0))</f>
        <v/>
      </c>
      <c r="AC2807" s="79">
        <f>IF(X2807="Sin Pago","",IFERROR(INDEX(Pagos_Odoo!$G:$G, MATCH(X2807, Pagos_Odoo!$B:$B, 0)), ""))</f>
        <v/>
      </c>
      <c r="AD2807" s="82" t="n">
        <v>0</v>
      </c>
      <c r="AE2807" s="82" t="n"/>
      <c r="AF2807" s="82" t="n"/>
      <c r="AG2807" s="82">
        <f>IF(AN2807="","",AD2807+AE2807+AF2807)</f>
        <v/>
      </c>
      <c r="AH2807" s="81">
        <f>IF(AN2807="","",P2807*(1-AG2807))</f>
        <v/>
      </c>
      <c r="AI2807" s="81">
        <f>IF(AN2807="","",IF(Q2807="Sin Factura",0,IFERROR(INDEX(Facturas_Odoo!$H:$H, MATCH(Q2807, Facturas_Odoo!$B:$B, 0)), 0)*(1-AG2807)))</f>
        <v/>
      </c>
      <c r="AJ2807" s="81">
        <f>IF(AN2807="","",_xlfn.LET(idVenta, AN2807&amp;"",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07" s="81">
        <f>IF(AN2807="","",AH2807-AJ2807)</f>
        <v/>
      </c>
      <c r="AL2807" s="81">
        <f>IF(AN2807="","",IF(Q2807="Sin Factura","",AI2807-AJ2807))</f>
        <v/>
      </c>
      <c r="AM2807" s="81">
        <f>IF(AN2807="","",IF(Q2807="Sin Factura",0,P2807-IFERROR(INDEX(Facturas_Odoo!$H:$H, MATCH(Q2807, Facturas_Odoo!$B:$B, 0)), 0)))</f>
        <v/>
      </c>
      <c r="AN2807" s="79">
        <f>IF(AND(A2807="", J2807=""), "", IF(A2807&lt;&gt;"", VALUE(MID(A2807,2,LEN(A2807))), AN2806))</f>
        <v/>
      </c>
      <c r="AO2807" s="79">
        <f>IF(AN2807="","",IF(AD2807=0,"OK",_xlfn.LET(monedaPago, IF(AA2807="","USD",AA2807), limitePermitido, IFERROR(VLOOKUP(monedaPago, Configuración!$A$2:$B$3, 2, FALSE), 0.15), IF(AD2807&gt;limitePermitido, "ALERTA: EXCESO (" &amp; TEXT(limitePermitido, "0%") &amp; " máx)", "OK"))))</f>
        <v/>
      </c>
      <c r="AP2807" s="79">
        <f>IF(AN2807="","",IF(AE2807=0,"OK",_xlfn.LET(fechaPago, Z2807, fechaFactura, R2807, diasCredito, IF(E2807="Pago inmediato", 0, IFERROR(VALUE(MID(E2807, 1, SEARCH(" ", E2807)-1)),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07" s="79">
        <f>IF(AN2807="","",IF(AND(N2807&gt;0, AG2807&gt;0), IF(Configuración!$K$2="NO", "ALERTA: DESCUENTO DOBLE NO PERMITIDO", "OK"), "OK"))</f>
        <v/>
      </c>
      <c r="AR2807" s="79">
        <f>IF(AN2807="","",IF(OR(AO2807&lt;&gt;"OK", AP2807&lt;&gt;"OK", AQ2807&lt;&gt;"OK"), "⚠️ REVISAR", "OK"))</f>
        <v/>
      </c>
    </row>
    <row r="2808">
      <c r="A2808" s="79">
        <f>IF('Ordenes_Odoo'!A2808="","",'Ordenes_Odoo'!A2808)</f>
        <v/>
      </c>
      <c r="B2808" s="80">
        <f>IF('Ordenes_Odoo'!B2808="","",'Ordenes_Odoo'!B2808)</f>
        <v/>
      </c>
      <c r="C2808" s="79">
        <f>IF('Ordenes_Odoo'!C2808="","",'Ordenes_Odoo'!C2808)</f>
        <v/>
      </c>
      <c r="D2808" s="79">
        <f>IF('Ordenes_Odoo'!D2808="","",'Ordenes_Odoo'!D2808)</f>
        <v/>
      </c>
      <c r="E2808" s="79">
        <f>IF('Ordenes_Odoo'!E2808="","",'Ordenes_Odoo'!E2808)</f>
        <v/>
      </c>
      <c r="F2808" s="79">
        <f>IF('Ordenes_Odoo'!F2808="","",'Ordenes_Odoo'!F2808)</f>
        <v/>
      </c>
      <c r="G2808" s="79">
        <f>IF('Ordenes_Odoo'!G2808="","",'Ordenes_Odoo'!G2808)</f>
        <v/>
      </c>
      <c r="H2808" s="79">
        <f>IF('Ordenes_Odoo'!H2808="","",'Ordenes_Odoo'!H2808)</f>
        <v/>
      </c>
      <c r="I2808" s="79">
        <f>IF('Ordenes_Odoo'!I2808="","",'Ordenes_Odoo'!I2808)</f>
        <v/>
      </c>
      <c r="J2808" s="79">
        <f>IF('Ordenes_Odoo'!J2808="","",'Ordenes_Odoo'!J2808)</f>
        <v/>
      </c>
      <c r="K2808" s="81">
        <f>IF('Ordenes_Odoo'!K2808="","",'Ordenes_Odoo'!K2808)</f>
        <v/>
      </c>
      <c r="L2808" s="81">
        <f>IF('Ordenes_Odoo'!L2808="","",'Ordenes_Odoo'!L2808)</f>
        <v/>
      </c>
      <c r="M2808" s="79">
        <f>IF('Ordenes_Odoo'!M2808="","",'Ordenes_Odoo'!M2808)</f>
        <v/>
      </c>
      <c r="N2808" s="79">
        <f>IF('Ordenes_Odoo'!N2808="","",'Ordenes_Odoo'!N2808)</f>
        <v/>
      </c>
      <c r="O2808" s="81">
        <f>IF('Ordenes_Odoo'!O2808="","",'Ordenes_Odoo'!O2808)</f>
        <v/>
      </c>
      <c r="P2808" s="81">
        <f>IF('Ordenes_Odoo'!P2808="","",'Ordenes_Odoo'!P2808)</f>
        <v/>
      </c>
      <c r="Q2808" s="79">
        <f>IF(A2808="","",IFERROR(INDEX(Facturas_Odoo!$B:$B, MATCH(A2808, Facturas_Odoo!$D:$D, 0)), "Sin Factura"))</f>
        <v/>
      </c>
      <c r="R2808" s="80">
        <f>IF(Q2808="Sin Factura","",IFERROR(INDEX(Facturas_Odoo!$A:$A, MATCH(Q2808, Facturas_Odoo!$B:$B, 0)), ""))</f>
        <v/>
      </c>
      <c r="S2808" s="79">
        <f>IF(Q2808="Sin Factura","",IFERROR(_xlfn.XLOOKUP(1, (Facturas_Odoo!$D:$D=A2808) * (Facturas_Odoo!$K:$K=I2808), Facturas_Odoo!$L:$L, ""), ""))</f>
        <v/>
      </c>
      <c r="T2808" s="81">
        <f>IF(Q2808="Sin Factura",0,IFERROR(_xlfn.XLOOKUP(1, (Facturas_Odoo!$D:$D=A2808) * (Facturas_Odoo!$K:$K=I2808), Facturas_Odoo!$M:$M, 0), 0))</f>
        <v/>
      </c>
      <c r="U2808" s="79">
        <f>IF(Q2808="Sin Factura",0,IFERROR(_xlfn.XLOOKUP(1, (Facturas_Odoo!$D:$D=A2808) * (Facturas_Odoo!$K:$K=I2808), Facturas_Odoo!$N:$N, 0), 0))</f>
        <v/>
      </c>
      <c r="V2808" s="79">
        <f>IF(Q2808="Sin Factura",0,IFERROR(_xlfn.XLOOKUP(1, (Facturas_Odoo!$D:$D=A2808) * (Facturas_Odoo!$K:$K=I2808), Facturas_Odoo!$O:$O, 0), 0))</f>
        <v/>
      </c>
      <c r="W2808" s="81">
        <f>IF(Q2808="Sin Factura",0,IFERROR(_xlfn.XLOOKUP(1, (Facturas_Odoo!$D:$D=A2808) * (Facturas_Odoo!$K:$K=I2808), Facturas_Odoo!$Q:$Q, 0), 0))</f>
        <v/>
      </c>
      <c r="X2808" s="79">
        <f>IF(OR(Q2808="Sin Factura",Q2808=""),"",IFERROR(INDEX(Pagos_Odoo!$B:$B, MATCH(Q2808, Pagos_Odoo!$I:$I, 0)), "Sin Pago"))</f>
        <v/>
      </c>
      <c r="Y2808" s="79">
        <f>IF(X2808="Sin Pago","",IFERROR(INDEX(Pagos_Odoo!$C:$C, MATCH(X2808, Pagos_Odoo!$B:$B, 0)), ""))</f>
        <v/>
      </c>
      <c r="Z2808" s="80">
        <f>IF(X2808="Sin Pago","",IFERROR(INDEX(Pagos_Odoo!$A:$A, MATCH(X2808, Pagos_Odoo!$B:$B, 0)), ""))</f>
        <v/>
      </c>
      <c r="AA2808" s="79">
        <f>IF(X2808="Sin Pago","",IFERROR(INDEX(Pagos_Odoo!$F:$F, MATCH(X2808, Pagos_Odoo!$B:$B, 0)), ""))</f>
        <v/>
      </c>
      <c r="AB2808" s="81">
        <f>IF(X2808="Sin Pago",0,IFERROR(INDEX(Pagos_Odoo!$E:$E, MATCH(X2808, Pagos_Odoo!$B:$B, 0)), 0))</f>
        <v/>
      </c>
      <c r="AC2808" s="79">
        <f>IF(X2808="Sin Pago","",IFERROR(INDEX(Pagos_Odoo!$G:$G, MATCH(X2808, Pagos_Odoo!$B:$B, 0)), ""))</f>
        <v/>
      </c>
      <c r="AD2808" s="82" t="n">
        <v>0</v>
      </c>
      <c r="AE2808" s="82" t="n"/>
      <c r="AF2808" s="82" t="n"/>
      <c r="AG2808" s="82">
        <f>IF(AN2808="","",AD2808+AE2808+AF2808)</f>
        <v/>
      </c>
      <c r="AH2808" s="81">
        <f>IF(AN2808="","",P2808*(1-AG2808))</f>
        <v/>
      </c>
      <c r="AI2808" s="81">
        <f>IF(AN2808="","",IF(Q2808="Sin Factura",0,IFERROR(INDEX(Facturas_Odoo!$H:$H, MATCH(Q2808, Facturas_Odoo!$B:$B, 0)), 0)*(1-AG2808)))</f>
        <v/>
      </c>
      <c r="AJ2808" s="81">
        <f>IF(AN2808="","",_xlfn.LET(idVenta, AN2808&amp;"",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08" s="81">
        <f>IF(AN2808="","",AH2808-AJ2808)</f>
        <v/>
      </c>
      <c r="AL2808" s="81">
        <f>IF(AN2808="","",IF(Q2808="Sin Factura","",AI2808-AJ2808))</f>
        <v/>
      </c>
      <c r="AM2808" s="81">
        <f>IF(AN2808="","",IF(Q2808="Sin Factura",0,P2808-IFERROR(INDEX(Facturas_Odoo!$H:$H, MATCH(Q2808, Facturas_Odoo!$B:$B, 0)), 0)))</f>
        <v/>
      </c>
      <c r="AN2808" s="79">
        <f>IF(AND(A2808="", J2808=""), "", IF(A2808&lt;&gt;"", VALUE(MID(A2808,2,LEN(A2808))), AN2807))</f>
        <v/>
      </c>
      <c r="AO2808" s="79">
        <f>IF(AN2808="","",IF(AD2808=0,"OK",_xlfn.LET(monedaPago, IF(AA2808="","USD",AA2808), limitePermitido, IFERROR(VLOOKUP(monedaPago, Configuración!$A$2:$B$3, 2, FALSE), 0.15), IF(AD2808&gt;limitePermitido, "ALERTA: EXCESO (" &amp; TEXT(limitePermitido, "0%") &amp; " máx)", "OK"))))</f>
        <v/>
      </c>
      <c r="AP2808" s="79">
        <f>IF(AN2808="","",IF(AE2808=0,"OK",_xlfn.LET(fechaPago, Z2808, fechaFactura, R2808, diasCredito, IF(E2808="Pago inmediato", 0, IFERROR(VALUE(MID(E2808, 1, SEARCH(" ", E2808)-1)),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08" s="79">
        <f>IF(AN2808="","",IF(AND(N2808&gt;0, AG2808&gt;0), IF(Configuración!$K$2="NO", "ALERTA: DESCUENTO DOBLE NO PERMITIDO", "OK"), "OK"))</f>
        <v/>
      </c>
      <c r="AR2808" s="79">
        <f>IF(AN2808="","",IF(OR(AO2808&lt;&gt;"OK", AP2808&lt;&gt;"OK", AQ2808&lt;&gt;"OK"), "⚠️ REVISAR", "OK"))</f>
        <v/>
      </c>
    </row>
    <row r="2809">
      <c r="A2809" s="79">
        <f>IF('Ordenes_Odoo'!A2809="","",'Ordenes_Odoo'!A2809)</f>
        <v/>
      </c>
      <c r="B2809" s="80">
        <f>IF('Ordenes_Odoo'!B2809="","",'Ordenes_Odoo'!B2809)</f>
        <v/>
      </c>
      <c r="C2809" s="79">
        <f>IF('Ordenes_Odoo'!C2809="","",'Ordenes_Odoo'!C2809)</f>
        <v/>
      </c>
      <c r="D2809" s="79">
        <f>IF('Ordenes_Odoo'!D2809="","",'Ordenes_Odoo'!D2809)</f>
        <v/>
      </c>
      <c r="E2809" s="79">
        <f>IF('Ordenes_Odoo'!E2809="","",'Ordenes_Odoo'!E2809)</f>
        <v/>
      </c>
      <c r="F2809" s="79">
        <f>IF('Ordenes_Odoo'!F2809="","",'Ordenes_Odoo'!F2809)</f>
        <v/>
      </c>
      <c r="G2809" s="79">
        <f>IF('Ordenes_Odoo'!G2809="","",'Ordenes_Odoo'!G2809)</f>
        <v/>
      </c>
      <c r="H2809" s="79">
        <f>IF('Ordenes_Odoo'!H2809="","",'Ordenes_Odoo'!H2809)</f>
        <v/>
      </c>
      <c r="I2809" s="79">
        <f>IF('Ordenes_Odoo'!I2809="","",'Ordenes_Odoo'!I2809)</f>
        <v/>
      </c>
      <c r="J2809" s="79">
        <f>IF('Ordenes_Odoo'!J2809="","",'Ordenes_Odoo'!J2809)</f>
        <v/>
      </c>
      <c r="K2809" s="81">
        <f>IF('Ordenes_Odoo'!K2809="","",'Ordenes_Odoo'!K2809)</f>
        <v/>
      </c>
      <c r="L2809" s="81">
        <f>IF('Ordenes_Odoo'!L2809="","",'Ordenes_Odoo'!L2809)</f>
        <v/>
      </c>
      <c r="M2809" s="79">
        <f>IF('Ordenes_Odoo'!M2809="","",'Ordenes_Odoo'!M2809)</f>
        <v/>
      </c>
      <c r="N2809" s="79">
        <f>IF('Ordenes_Odoo'!N2809="","",'Ordenes_Odoo'!N2809)</f>
        <v/>
      </c>
      <c r="O2809" s="81">
        <f>IF('Ordenes_Odoo'!O2809="","",'Ordenes_Odoo'!O2809)</f>
        <v/>
      </c>
      <c r="P2809" s="81">
        <f>IF('Ordenes_Odoo'!P2809="","",'Ordenes_Odoo'!P2809)</f>
        <v/>
      </c>
      <c r="Q2809" s="79">
        <f>IF(A2809="","",IFERROR(INDEX(Facturas_Odoo!$B:$B, MATCH(A2809, Facturas_Odoo!$D:$D, 0)), "Sin Factura"))</f>
        <v/>
      </c>
      <c r="R2809" s="80">
        <f>IF(Q2809="Sin Factura","",IFERROR(INDEX(Facturas_Odoo!$A:$A, MATCH(Q2809, Facturas_Odoo!$B:$B, 0)), ""))</f>
        <v/>
      </c>
      <c r="S2809" s="79">
        <f>IF(Q2809="Sin Factura","",IFERROR(_xlfn.XLOOKUP(1, (Facturas_Odoo!$D:$D=A2809) * (Facturas_Odoo!$K:$K=I2809), Facturas_Odoo!$L:$L, ""), ""))</f>
        <v/>
      </c>
      <c r="T2809" s="81">
        <f>IF(Q2809="Sin Factura",0,IFERROR(_xlfn.XLOOKUP(1, (Facturas_Odoo!$D:$D=A2809) * (Facturas_Odoo!$K:$K=I2809), Facturas_Odoo!$M:$M, 0), 0))</f>
        <v/>
      </c>
      <c r="U2809" s="79">
        <f>IF(Q2809="Sin Factura",0,IFERROR(_xlfn.XLOOKUP(1, (Facturas_Odoo!$D:$D=A2809) * (Facturas_Odoo!$K:$K=I2809), Facturas_Odoo!$N:$N, 0), 0))</f>
        <v/>
      </c>
      <c r="V2809" s="79">
        <f>IF(Q2809="Sin Factura",0,IFERROR(_xlfn.XLOOKUP(1, (Facturas_Odoo!$D:$D=A2809) * (Facturas_Odoo!$K:$K=I2809), Facturas_Odoo!$O:$O, 0), 0))</f>
        <v/>
      </c>
      <c r="W2809" s="81">
        <f>IF(Q2809="Sin Factura",0,IFERROR(_xlfn.XLOOKUP(1, (Facturas_Odoo!$D:$D=A2809) * (Facturas_Odoo!$K:$K=I2809), Facturas_Odoo!$Q:$Q, 0), 0))</f>
        <v/>
      </c>
      <c r="X2809" s="79">
        <f>IF(OR(Q2809="Sin Factura",Q2809=""),"",IFERROR(INDEX(Pagos_Odoo!$B:$B, MATCH(Q2809, Pagos_Odoo!$I:$I, 0)), "Sin Pago"))</f>
        <v/>
      </c>
      <c r="Y2809" s="79">
        <f>IF(X2809="Sin Pago","",IFERROR(INDEX(Pagos_Odoo!$C:$C, MATCH(X2809, Pagos_Odoo!$B:$B, 0)), ""))</f>
        <v/>
      </c>
      <c r="Z2809" s="80">
        <f>IF(X2809="Sin Pago","",IFERROR(INDEX(Pagos_Odoo!$A:$A, MATCH(X2809, Pagos_Odoo!$B:$B, 0)), ""))</f>
        <v/>
      </c>
      <c r="AA2809" s="79">
        <f>IF(X2809="Sin Pago","",IFERROR(INDEX(Pagos_Odoo!$F:$F, MATCH(X2809, Pagos_Odoo!$B:$B, 0)), ""))</f>
        <v/>
      </c>
      <c r="AB2809" s="81">
        <f>IF(X2809="Sin Pago",0,IFERROR(INDEX(Pagos_Odoo!$E:$E, MATCH(X2809, Pagos_Odoo!$B:$B, 0)), 0))</f>
        <v/>
      </c>
      <c r="AC2809" s="79">
        <f>IF(X2809="Sin Pago","",IFERROR(INDEX(Pagos_Odoo!$G:$G, MATCH(X2809, Pagos_Odoo!$B:$B, 0)), ""))</f>
        <v/>
      </c>
      <c r="AD2809" s="82" t="n">
        <v>0</v>
      </c>
      <c r="AE2809" s="82" t="n"/>
      <c r="AF2809" s="82" t="n"/>
      <c r="AG2809" s="82">
        <f>IF(AN2809="","",AD2809+AE2809+AF2809)</f>
        <v/>
      </c>
      <c r="AH2809" s="81">
        <f>IF(AN2809="","",P2809*(1-AG2809))</f>
        <v/>
      </c>
      <c r="AI2809" s="81">
        <f>IF(AN2809="","",IF(Q2809="Sin Factura",0,IFERROR(INDEX(Facturas_Odoo!$H:$H, MATCH(Q2809, Facturas_Odoo!$B:$B, 0)), 0)*(1-AG2809)))</f>
        <v/>
      </c>
      <c r="AJ2809" s="81">
        <f>IF(AN2809="","",_xlfn.LET(idVenta, AN2809&amp;"",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09" s="81">
        <f>IF(AN2809="","",AH2809-AJ2809)</f>
        <v/>
      </c>
      <c r="AL2809" s="81">
        <f>IF(AN2809="","",IF(Q2809="Sin Factura","",AI2809-AJ2809))</f>
        <v/>
      </c>
      <c r="AM2809" s="81">
        <f>IF(AN2809="","",IF(Q2809="Sin Factura",0,P2809-IFERROR(INDEX(Facturas_Odoo!$H:$H, MATCH(Q2809, Facturas_Odoo!$B:$B, 0)), 0)))</f>
        <v/>
      </c>
      <c r="AN2809" s="79">
        <f>IF(AND(A2809="", J2809=""), "", IF(A2809&lt;&gt;"", VALUE(MID(A2809,2,LEN(A2809))), AN2808))</f>
        <v/>
      </c>
      <c r="AO2809" s="79">
        <f>IF(AN2809="","",IF(AD2809=0,"OK",_xlfn.LET(monedaPago, IF(AA2809="","USD",AA2809), limitePermitido, IFERROR(VLOOKUP(monedaPago, Configuración!$A$2:$B$3, 2, FALSE), 0.15), IF(AD2809&gt;limitePermitido, "ALERTA: EXCESO (" &amp; TEXT(limitePermitido, "0%") &amp; " máx)", "OK"))))</f>
        <v/>
      </c>
      <c r="AP2809" s="79">
        <f>IF(AN2809="","",IF(AE2809=0,"OK",_xlfn.LET(fechaPago, Z2809, fechaFactura, R2809, diasCredito, IF(E2809="Pago inmediato", 0, IFERROR(VALUE(MID(E2809, 1, SEARCH(" ", E2809)-1)),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09" s="79">
        <f>IF(AN2809="","",IF(AND(N2809&gt;0, AG2809&gt;0), IF(Configuración!$K$2="NO", "ALERTA: DESCUENTO DOBLE NO PERMITIDO", "OK"), "OK"))</f>
        <v/>
      </c>
      <c r="AR2809" s="79">
        <f>IF(AN2809="","",IF(OR(AO2809&lt;&gt;"OK", AP2809&lt;&gt;"OK", AQ2809&lt;&gt;"OK"), "⚠️ REVISAR", "OK"))</f>
        <v/>
      </c>
    </row>
    <row r="2810">
      <c r="A2810" s="79">
        <f>IF('Ordenes_Odoo'!A2810="","",'Ordenes_Odoo'!A2810)</f>
        <v/>
      </c>
      <c r="B2810" s="80">
        <f>IF('Ordenes_Odoo'!B2810="","",'Ordenes_Odoo'!B2810)</f>
        <v/>
      </c>
      <c r="C2810" s="79">
        <f>IF('Ordenes_Odoo'!C2810="","",'Ordenes_Odoo'!C2810)</f>
        <v/>
      </c>
      <c r="D2810" s="79">
        <f>IF('Ordenes_Odoo'!D2810="","",'Ordenes_Odoo'!D2810)</f>
        <v/>
      </c>
      <c r="E2810" s="79">
        <f>IF('Ordenes_Odoo'!E2810="","",'Ordenes_Odoo'!E2810)</f>
        <v/>
      </c>
      <c r="F2810" s="79">
        <f>IF('Ordenes_Odoo'!F2810="","",'Ordenes_Odoo'!F2810)</f>
        <v/>
      </c>
      <c r="G2810" s="79">
        <f>IF('Ordenes_Odoo'!G2810="","",'Ordenes_Odoo'!G2810)</f>
        <v/>
      </c>
      <c r="H2810" s="79">
        <f>IF('Ordenes_Odoo'!H2810="","",'Ordenes_Odoo'!H2810)</f>
        <v/>
      </c>
      <c r="I2810" s="79">
        <f>IF('Ordenes_Odoo'!I2810="","",'Ordenes_Odoo'!I2810)</f>
        <v/>
      </c>
      <c r="J2810" s="79">
        <f>IF('Ordenes_Odoo'!J2810="","",'Ordenes_Odoo'!J2810)</f>
        <v/>
      </c>
      <c r="K2810" s="81">
        <f>IF('Ordenes_Odoo'!K2810="","",'Ordenes_Odoo'!K2810)</f>
        <v/>
      </c>
      <c r="L2810" s="81">
        <f>IF('Ordenes_Odoo'!L2810="","",'Ordenes_Odoo'!L2810)</f>
        <v/>
      </c>
      <c r="M2810" s="79">
        <f>IF('Ordenes_Odoo'!M2810="","",'Ordenes_Odoo'!M2810)</f>
        <v/>
      </c>
      <c r="N2810" s="79">
        <f>IF('Ordenes_Odoo'!N2810="","",'Ordenes_Odoo'!N2810)</f>
        <v/>
      </c>
      <c r="O2810" s="81">
        <f>IF('Ordenes_Odoo'!O2810="","",'Ordenes_Odoo'!O2810)</f>
        <v/>
      </c>
      <c r="P2810" s="81">
        <f>IF('Ordenes_Odoo'!P2810="","",'Ordenes_Odoo'!P2810)</f>
        <v/>
      </c>
      <c r="Q2810" s="79">
        <f>IF(A2810="","",IFERROR(INDEX(Facturas_Odoo!$B:$B, MATCH(A2810, Facturas_Odoo!$D:$D, 0)), "Sin Factura"))</f>
        <v/>
      </c>
      <c r="R2810" s="80">
        <f>IF(Q2810="Sin Factura","",IFERROR(INDEX(Facturas_Odoo!$A:$A, MATCH(Q2810, Facturas_Odoo!$B:$B, 0)), ""))</f>
        <v/>
      </c>
      <c r="S2810" s="79">
        <f>IF(Q2810="Sin Factura","",IFERROR(_xlfn.XLOOKUP(1, (Facturas_Odoo!$D:$D=A2810) * (Facturas_Odoo!$K:$K=I2810), Facturas_Odoo!$L:$L, ""), ""))</f>
        <v/>
      </c>
      <c r="T2810" s="81">
        <f>IF(Q2810="Sin Factura",0,IFERROR(_xlfn.XLOOKUP(1, (Facturas_Odoo!$D:$D=A2810) * (Facturas_Odoo!$K:$K=I2810), Facturas_Odoo!$M:$M, 0), 0))</f>
        <v/>
      </c>
      <c r="U2810" s="79">
        <f>IF(Q2810="Sin Factura",0,IFERROR(_xlfn.XLOOKUP(1, (Facturas_Odoo!$D:$D=A2810) * (Facturas_Odoo!$K:$K=I2810), Facturas_Odoo!$N:$N, 0), 0))</f>
        <v/>
      </c>
      <c r="V2810" s="79">
        <f>IF(Q2810="Sin Factura",0,IFERROR(_xlfn.XLOOKUP(1, (Facturas_Odoo!$D:$D=A2810) * (Facturas_Odoo!$K:$K=I2810), Facturas_Odoo!$O:$O, 0), 0))</f>
        <v/>
      </c>
      <c r="W2810" s="81">
        <f>IF(Q2810="Sin Factura",0,IFERROR(_xlfn.XLOOKUP(1, (Facturas_Odoo!$D:$D=A2810) * (Facturas_Odoo!$K:$K=I2810), Facturas_Odoo!$Q:$Q, 0), 0))</f>
        <v/>
      </c>
      <c r="X2810" s="79">
        <f>IF(OR(Q2810="Sin Factura",Q2810=""),"",IFERROR(INDEX(Pagos_Odoo!$B:$B, MATCH(Q2810, Pagos_Odoo!$I:$I, 0)), "Sin Pago"))</f>
        <v/>
      </c>
      <c r="Y2810" s="79">
        <f>IF(X2810="Sin Pago","",IFERROR(INDEX(Pagos_Odoo!$C:$C, MATCH(X2810, Pagos_Odoo!$B:$B, 0)), ""))</f>
        <v/>
      </c>
      <c r="Z2810" s="80">
        <f>IF(X2810="Sin Pago","",IFERROR(INDEX(Pagos_Odoo!$A:$A, MATCH(X2810, Pagos_Odoo!$B:$B, 0)), ""))</f>
        <v/>
      </c>
      <c r="AA2810" s="79">
        <f>IF(X2810="Sin Pago","",IFERROR(INDEX(Pagos_Odoo!$F:$F, MATCH(X2810, Pagos_Odoo!$B:$B, 0)), ""))</f>
        <v/>
      </c>
      <c r="AB2810" s="81">
        <f>IF(X2810="Sin Pago",0,IFERROR(INDEX(Pagos_Odoo!$E:$E, MATCH(X2810, Pagos_Odoo!$B:$B, 0)), 0))</f>
        <v/>
      </c>
      <c r="AC2810" s="79">
        <f>IF(X2810="Sin Pago","",IFERROR(INDEX(Pagos_Odoo!$G:$G, MATCH(X2810, Pagos_Odoo!$B:$B, 0)), ""))</f>
        <v/>
      </c>
      <c r="AD2810" s="82" t="n">
        <v>0</v>
      </c>
      <c r="AE2810" s="82" t="n"/>
      <c r="AF2810" s="82" t="n"/>
      <c r="AG2810" s="82">
        <f>IF(AN2810="","",AD2810+AE2810+AF2810)</f>
        <v/>
      </c>
      <c r="AH2810" s="81">
        <f>IF(AN2810="","",P2810*(1-AG2810))</f>
        <v/>
      </c>
      <c r="AI2810" s="81">
        <f>IF(AN2810="","",IF(Q2810="Sin Factura",0,IFERROR(INDEX(Facturas_Odoo!$H:$H, MATCH(Q2810, Facturas_Odoo!$B:$B, 0)), 0)*(1-AG2810)))</f>
        <v/>
      </c>
      <c r="AJ2810" s="81">
        <f>IF(AN2810="","",_xlfn.LET(idVenta, AN2810&amp;"",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10" s="81">
        <f>IF(AN2810="","",AH2810-AJ2810)</f>
        <v/>
      </c>
      <c r="AL2810" s="81">
        <f>IF(AN2810="","",IF(Q2810="Sin Factura","",AI2810-AJ2810))</f>
        <v/>
      </c>
      <c r="AM2810" s="81">
        <f>IF(AN2810="","",IF(Q2810="Sin Factura",0,P2810-IFERROR(INDEX(Facturas_Odoo!$H:$H, MATCH(Q2810, Facturas_Odoo!$B:$B, 0)), 0)))</f>
        <v/>
      </c>
      <c r="AN2810" s="79">
        <f>IF(AND(A2810="", J2810=""), "", IF(A2810&lt;&gt;"", VALUE(MID(A2810,2,LEN(A2810))), AN2809))</f>
        <v/>
      </c>
      <c r="AO2810" s="79">
        <f>IF(AN2810="","",IF(AD2810=0,"OK",_xlfn.LET(monedaPago, IF(AA2810="","USD",AA2810), limitePermitido, IFERROR(VLOOKUP(monedaPago, Configuración!$A$2:$B$3, 2, FALSE), 0.15), IF(AD2810&gt;limitePermitido, "ALERTA: EXCESO (" &amp; TEXT(limitePermitido, "0%") &amp; " máx)", "OK"))))</f>
        <v/>
      </c>
      <c r="AP2810" s="79">
        <f>IF(AN2810="","",IF(AE2810=0,"OK",_xlfn.LET(fechaPago, Z2810, fechaFactura, R2810, diasCredito, IF(E2810="Pago inmediato", 0, IFERROR(VALUE(MID(E2810, 1, SEARCH(" ", E2810)-1)),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10" s="79">
        <f>IF(AN2810="","",IF(AND(N2810&gt;0, AG2810&gt;0), IF(Configuración!$K$2="NO", "ALERTA: DESCUENTO DOBLE NO PERMITIDO", "OK"), "OK"))</f>
        <v/>
      </c>
      <c r="AR2810" s="79">
        <f>IF(AN2810="","",IF(OR(AO2810&lt;&gt;"OK", AP2810&lt;&gt;"OK", AQ2810&lt;&gt;"OK"), "⚠️ REVISAR", "OK"))</f>
        <v/>
      </c>
    </row>
    <row r="2811">
      <c r="A2811" s="79">
        <f>IF('Ordenes_Odoo'!A2811="","",'Ordenes_Odoo'!A2811)</f>
        <v/>
      </c>
      <c r="B2811" s="80">
        <f>IF('Ordenes_Odoo'!B2811="","",'Ordenes_Odoo'!B2811)</f>
        <v/>
      </c>
      <c r="C2811" s="79">
        <f>IF('Ordenes_Odoo'!C2811="","",'Ordenes_Odoo'!C2811)</f>
        <v/>
      </c>
      <c r="D2811" s="79">
        <f>IF('Ordenes_Odoo'!D2811="","",'Ordenes_Odoo'!D2811)</f>
        <v/>
      </c>
      <c r="E2811" s="79">
        <f>IF('Ordenes_Odoo'!E2811="","",'Ordenes_Odoo'!E2811)</f>
        <v/>
      </c>
      <c r="F2811" s="79">
        <f>IF('Ordenes_Odoo'!F2811="","",'Ordenes_Odoo'!F2811)</f>
        <v/>
      </c>
      <c r="G2811" s="79">
        <f>IF('Ordenes_Odoo'!G2811="","",'Ordenes_Odoo'!G2811)</f>
        <v/>
      </c>
      <c r="H2811" s="79">
        <f>IF('Ordenes_Odoo'!H2811="","",'Ordenes_Odoo'!H2811)</f>
        <v/>
      </c>
      <c r="I2811" s="79">
        <f>IF('Ordenes_Odoo'!I2811="","",'Ordenes_Odoo'!I2811)</f>
        <v/>
      </c>
      <c r="J2811" s="79">
        <f>IF('Ordenes_Odoo'!J2811="","",'Ordenes_Odoo'!J2811)</f>
        <v/>
      </c>
      <c r="K2811" s="81">
        <f>IF('Ordenes_Odoo'!K2811="","",'Ordenes_Odoo'!K2811)</f>
        <v/>
      </c>
      <c r="L2811" s="81">
        <f>IF('Ordenes_Odoo'!L2811="","",'Ordenes_Odoo'!L2811)</f>
        <v/>
      </c>
      <c r="M2811" s="79">
        <f>IF('Ordenes_Odoo'!M2811="","",'Ordenes_Odoo'!M2811)</f>
        <v/>
      </c>
      <c r="N2811" s="79">
        <f>IF('Ordenes_Odoo'!N2811="","",'Ordenes_Odoo'!N2811)</f>
        <v/>
      </c>
      <c r="O2811" s="81">
        <f>IF('Ordenes_Odoo'!O2811="","",'Ordenes_Odoo'!O2811)</f>
        <v/>
      </c>
      <c r="P2811" s="81">
        <f>IF('Ordenes_Odoo'!P2811="","",'Ordenes_Odoo'!P2811)</f>
        <v/>
      </c>
      <c r="Q2811" s="79">
        <f>IF(A2811="","",IFERROR(INDEX(Facturas_Odoo!$B:$B, MATCH(A2811, Facturas_Odoo!$D:$D, 0)), "Sin Factura"))</f>
        <v/>
      </c>
      <c r="R2811" s="80">
        <f>IF(Q2811="Sin Factura","",IFERROR(INDEX(Facturas_Odoo!$A:$A, MATCH(Q2811, Facturas_Odoo!$B:$B, 0)), ""))</f>
        <v/>
      </c>
      <c r="S2811" s="79">
        <f>IF(Q2811="Sin Factura","",IFERROR(_xlfn.XLOOKUP(1, (Facturas_Odoo!$D:$D=A2811) * (Facturas_Odoo!$K:$K=I2811), Facturas_Odoo!$L:$L, ""), ""))</f>
        <v/>
      </c>
      <c r="T2811" s="81">
        <f>IF(Q2811="Sin Factura",0,IFERROR(_xlfn.XLOOKUP(1, (Facturas_Odoo!$D:$D=A2811) * (Facturas_Odoo!$K:$K=I2811), Facturas_Odoo!$M:$M, 0), 0))</f>
        <v/>
      </c>
      <c r="U2811" s="79">
        <f>IF(Q2811="Sin Factura",0,IFERROR(_xlfn.XLOOKUP(1, (Facturas_Odoo!$D:$D=A2811) * (Facturas_Odoo!$K:$K=I2811), Facturas_Odoo!$N:$N, 0), 0))</f>
        <v/>
      </c>
      <c r="V2811" s="79">
        <f>IF(Q2811="Sin Factura",0,IFERROR(_xlfn.XLOOKUP(1, (Facturas_Odoo!$D:$D=A2811) * (Facturas_Odoo!$K:$K=I2811), Facturas_Odoo!$O:$O, 0), 0))</f>
        <v/>
      </c>
      <c r="W2811" s="81">
        <f>IF(Q2811="Sin Factura",0,IFERROR(_xlfn.XLOOKUP(1, (Facturas_Odoo!$D:$D=A2811) * (Facturas_Odoo!$K:$K=I2811), Facturas_Odoo!$Q:$Q, 0), 0))</f>
        <v/>
      </c>
      <c r="X2811" s="79">
        <f>IF(OR(Q2811="Sin Factura",Q2811=""),"",IFERROR(INDEX(Pagos_Odoo!$B:$B, MATCH(Q2811, Pagos_Odoo!$I:$I, 0)), "Sin Pago"))</f>
        <v/>
      </c>
      <c r="Y2811" s="79">
        <f>IF(X2811="Sin Pago","",IFERROR(INDEX(Pagos_Odoo!$C:$C, MATCH(X2811, Pagos_Odoo!$B:$B, 0)), ""))</f>
        <v/>
      </c>
      <c r="Z2811" s="80">
        <f>IF(X2811="Sin Pago","",IFERROR(INDEX(Pagos_Odoo!$A:$A, MATCH(X2811, Pagos_Odoo!$B:$B, 0)), ""))</f>
        <v/>
      </c>
      <c r="AA2811" s="79">
        <f>IF(X2811="Sin Pago","",IFERROR(INDEX(Pagos_Odoo!$F:$F, MATCH(X2811, Pagos_Odoo!$B:$B, 0)), ""))</f>
        <v/>
      </c>
      <c r="AB2811" s="81">
        <f>IF(X2811="Sin Pago",0,IFERROR(INDEX(Pagos_Odoo!$E:$E, MATCH(X2811, Pagos_Odoo!$B:$B, 0)), 0))</f>
        <v/>
      </c>
      <c r="AC2811" s="79">
        <f>IF(X2811="Sin Pago","",IFERROR(INDEX(Pagos_Odoo!$G:$G, MATCH(X2811, Pagos_Odoo!$B:$B, 0)), ""))</f>
        <v/>
      </c>
      <c r="AD2811" s="82" t="n">
        <v>0</v>
      </c>
      <c r="AE2811" s="82" t="n"/>
      <c r="AF2811" s="82" t="n"/>
      <c r="AG2811" s="82">
        <f>IF(AN2811="","",AD2811+AE2811+AF2811)</f>
        <v/>
      </c>
      <c r="AH2811" s="81">
        <f>IF(AN2811="","",P2811*(1-AG2811))</f>
        <v/>
      </c>
      <c r="AI2811" s="81">
        <f>IF(AN2811="","",IF(Q2811="Sin Factura",0,IFERROR(INDEX(Facturas_Odoo!$H:$H, MATCH(Q2811, Facturas_Odoo!$B:$B, 0)), 0)*(1-AG2811)))</f>
        <v/>
      </c>
      <c r="AJ2811" s="81">
        <f>IF(AN2811="","",_xlfn.LET(idVenta, AN2811&amp;"",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11" s="81">
        <f>IF(AN2811="","",AH2811-AJ2811)</f>
        <v/>
      </c>
      <c r="AL2811" s="81">
        <f>IF(AN2811="","",IF(Q2811="Sin Factura","",AI2811-AJ2811))</f>
        <v/>
      </c>
      <c r="AM2811" s="81">
        <f>IF(AN2811="","",IF(Q2811="Sin Factura",0,P2811-IFERROR(INDEX(Facturas_Odoo!$H:$H, MATCH(Q2811, Facturas_Odoo!$B:$B, 0)), 0)))</f>
        <v/>
      </c>
      <c r="AN2811" s="79">
        <f>IF(AND(A2811="", J2811=""), "", IF(A2811&lt;&gt;"", VALUE(MID(A2811,2,LEN(A2811))), AN2810))</f>
        <v/>
      </c>
      <c r="AO2811" s="79">
        <f>IF(AN2811="","",IF(AD2811=0,"OK",_xlfn.LET(monedaPago, IF(AA2811="","USD",AA2811), limitePermitido, IFERROR(VLOOKUP(monedaPago, Configuración!$A$2:$B$3, 2, FALSE), 0.15), IF(AD2811&gt;limitePermitido, "ALERTA: EXCESO (" &amp; TEXT(limitePermitido, "0%") &amp; " máx)", "OK"))))</f>
        <v/>
      </c>
      <c r="AP2811" s="79">
        <f>IF(AN2811="","",IF(AE2811=0,"OK",_xlfn.LET(fechaPago, Z2811, fechaFactura, R2811, diasCredito, IF(E2811="Pago inmediato", 0, IFERROR(VALUE(MID(E2811, 1, SEARCH(" ", E2811)-1)),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11" s="79">
        <f>IF(AN2811="","",IF(AND(N2811&gt;0, AG2811&gt;0), IF(Configuración!$K$2="NO", "ALERTA: DESCUENTO DOBLE NO PERMITIDO", "OK"), "OK"))</f>
        <v/>
      </c>
      <c r="AR2811" s="79">
        <f>IF(AN2811="","",IF(OR(AO2811&lt;&gt;"OK", AP2811&lt;&gt;"OK", AQ2811&lt;&gt;"OK"), "⚠️ REVISAR", "OK"))</f>
        <v/>
      </c>
    </row>
    <row r="2812">
      <c r="A2812" s="79">
        <f>IF('Ordenes_Odoo'!A2812="","",'Ordenes_Odoo'!A2812)</f>
        <v/>
      </c>
      <c r="B2812" s="80">
        <f>IF('Ordenes_Odoo'!B2812="","",'Ordenes_Odoo'!B2812)</f>
        <v/>
      </c>
      <c r="C2812" s="79">
        <f>IF('Ordenes_Odoo'!C2812="","",'Ordenes_Odoo'!C2812)</f>
        <v/>
      </c>
      <c r="D2812" s="79">
        <f>IF('Ordenes_Odoo'!D2812="","",'Ordenes_Odoo'!D2812)</f>
        <v/>
      </c>
      <c r="E2812" s="79">
        <f>IF('Ordenes_Odoo'!E2812="","",'Ordenes_Odoo'!E2812)</f>
        <v/>
      </c>
      <c r="F2812" s="79">
        <f>IF('Ordenes_Odoo'!F2812="","",'Ordenes_Odoo'!F2812)</f>
        <v/>
      </c>
      <c r="G2812" s="79">
        <f>IF('Ordenes_Odoo'!G2812="","",'Ordenes_Odoo'!G2812)</f>
        <v/>
      </c>
      <c r="H2812" s="79">
        <f>IF('Ordenes_Odoo'!H2812="","",'Ordenes_Odoo'!H2812)</f>
        <v/>
      </c>
      <c r="I2812" s="79">
        <f>IF('Ordenes_Odoo'!I2812="","",'Ordenes_Odoo'!I2812)</f>
        <v/>
      </c>
      <c r="J2812" s="79">
        <f>IF('Ordenes_Odoo'!J2812="","",'Ordenes_Odoo'!J2812)</f>
        <v/>
      </c>
      <c r="K2812" s="81">
        <f>IF('Ordenes_Odoo'!K2812="","",'Ordenes_Odoo'!K2812)</f>
        <v/>
      </c>
      <c r="L2812" s="81">
        <f>IF('Ordenes_Odoo'!L2812="","",'Ordenes_Odoo'!L2812)</f>
        <v/>
      </c>
      <c r="M2812" s="79">
        <f>IF('Ordenes_Odoo'!M2812="","",'Ordenes_Odoo'!M2812)</f>
        <v/>
      </c>
      <c r="N2812" s="79">
        <f>IF('Ordenes_Odoo'!N2812="","",'Ordenes_Odoo'!N2812)</f>
        <v/>
      </c>
      <c r="O2812" s="81">
        <f>IF('Ordenes_Odoo'!O2812="","",'Ordenes_Odoo'!O2812)</f>
        <v/>
      </c>
      <c r="P2812" s="81">
        <f>IF('Ordenes_Odoo'!P2812="","",'Ordenes_Odoo'!P2812)</f>
        <v/>
      </c>
      <c r="Q2812" s="79">
        <f>IF(A2812="","",IFERROR(INDEX(Facturas_Odoo!$B:$B, MATCH(A2812, Facturas_Odoo!$D:$D, 0)), "Sin Factura"))</f>
        <v/>
      </c>
      <c r="R2812" s="80">
        <f>IF(Q2812="Sin Factura","",IFERROR(INDEX(Facturas_Odoo!$A:$A, MATCH(Q2812, Facturas_Odoo!$B:$B, 0)), ""))</f>
        <v/>
      </c>
      <c r="S2812" s="79">
        <f>IF(Q2812="Sin Factura","",IFERROR(_xlfn.XLOOKUP(1, (Facturas_Odoo!$D:$D=A2812) * (Facturas_Odoo!$K:$K=I2812), Facturas_Odoo!$L:$L, ""), ""))</f>
        <v/>
      </c>
      <c r="T2812" s="81">
        <f>IF(Q2812="Sin Factura",0,IFERROR(_xlfn.XLOOKUP(1, (Facturas_Odoo!$D:$D=A2812) * (Facturas_Odoo!$K:$K=I2812), Facturas_Odoo!$M:$M, 0), 0))</f>
        <v/>
      </c>
      <c r="U2812" s="79">
        <f>IF(Q2812="Sin Factura",0,IFERROR(_xlfn.XLOOKUP(1, (Facturas_Odoo!$D:$D=A2812) * (Facturas_Odoo!$K:$K=I2812), Facturas_Odoo!$N:$N, 0), 0))</f>
        <v/>
      </c>
      <c r="V2812" s="79">
        <f>IF(Q2812="Sin Factura",0,IFERROR(_xlfn.XLOOKUP(1, (Facturas_Odoo!$D:$D=A2812) * (Facturas_Odoo!$K:$K=I2812), Facturas_Odoo!$O:$O, 0), 0))</f>
        <v/>
      </c>
      <c r="W2812" s="81">
        <f>IF(Q2812="Sin Factura",0,IFERROR(_xlfn.XLOOKUP(1, (Facturas_Odoo!$D:$D=A2812) * (Facturas_Odoo!$K:$K=I2812), Facturas_Odoo!$Q:$Q, 0), 0))</f>
        <v/>
      </c>
      <c r="X2812" s="79">
        <f>IF(OR(Q2812="Sin Factura",Q2812=""),"",IFERROR(INDEX(Pagos_Odoo!$B:$B, MATCH(Q2812, Pagos_Odoo!$I:$I, 0)), "Sin Pago"))</f>
        <v/>
      </c>
      <c r="Y2812" s="79">
        <f>IF(X2812="Sin Pago","",IFERROR(INDEX(Pagos_Odoo!$C:$C, MATCH(X2812, Pagos_Odoo!$B:$B, 0)), ""))</f>
        <v/>
      </c>
      <c r="Z2812" s="80">
        <f>IF(X2812="Sin Pago","",IFERROR(INDEX(Pagos_Odoo!$A:$A, MATCH(X2812, Pagos_Odoo!$B:$B, 0)), ""))</f>
        <v/>
      </c>
      <c r="AA2812" s="79">
        <f>IF(X2812="Sin Pago","",IFERROR(INDEX(Pagos_Odoo!$F:$F, MATCH(X2812, Pagos_Odoo!$B:$B, 0)), ""))</f>
        <v/>
      </c>
      <c r="AB2812" s="81">
        <f>IF(X2812="Sin Pago",0,IFERROR(INDEX(Pagos_Odoo!$E:$E, MATCH(X2812, Pagos_Odoo!$B:$B, 0)), 0))</f>
        <v/>
      </c>
      <c r="AC2812" s="79">
        <f>IF(X2812="Sin Pago","",IFERROR(INDEX(Pagos_Odoo!$G:$G, MATCH(X2812, Pagos_Odoo!$B:$B, 0)), ""))</f>
        <v/>
      </c>
      <c r="AD2812" s="82" t="n">
        <v>0</v>
      </c>
      <c r="AE2812" s="82" t="n"/>
      <c r="AF2812" s="82" t="n"/>
      <c r="AG2812" s="82">
        <f>IF(AN2812="","",AD2812+AE2812+AF2812)</f>
        <v/>
      </c>
      <c r="AH2812" s="81">
        <f>IF(AN2812="","",P2812*(1-AG2812))</f>
        <v/>
      </c>
      <c r="AI2812" s="81">
        <f>IF(AN2812="","",IF(Q2812="Sin Factura",0,IFERROR(INDEX(Facturas_Odoo!$H:$H, MATCH(Q2812, Facturas_Odoo!$B:$B, 0)), 0)*(1-AG2812)))</f>
        <v/>
      </c>
      <c r="AJ2812" s="81">
        <f>IF(AN2812="","",_xlfn.LET(idVenta, AN2812&amp;"",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12" s="81">
        <f>IF(AN2812="","",AH2812-AJ2812)</f>
        <v/>
      </c>
      <c r="AL2812" s="81">
        <f>IF(AN2812="","",IF(Q2812="Sin Factura","",AI2812-AJ2812))</f>
        <v/>
      </c>
      <c r="AM2812" s="81">
        <f>IF(AN2812="","",IF(Q2812="Sin Factura",0,P2812-IFERROR(INDEX(Facturas_Odoo!$H:$H, MATCH(Q2812, Facturas_Odoo!$B:$B, 0)), 0)))</f>
        <v/>
      </c>
      <c r="AN2812" s="79">
        <f>IF(AND(A2812="", J2812=""), "", IF(A2812&lt;&gt;"", VALUE(MID(A2812,2,LEN(A2812))), AN2811))</f>
        <v/>
      </c>
      <c r="AO2812" s="79">
        <f>IF(AN2812="","",IF(AD2812=0,"OK",_xlfn.LET(monedaPago, IF(AA2812="","USD",AA2812), limitePermitido, IFERROR(VLOOKUP(monedaPago, Configuración!$A$2:$B$3, 2, FALSE), 0.15), IF(AD2812&gt;limitePermitido, "ALERTA: EXCESO (" &amp; TEXT(limitePermitido, "0%") &amp; " máx)", "OK"))))</f>
        <v/>
      </c>
      <c r="AP2812" s="79">
        <f>IF(AN2812="","",IF(AE2812=0,"OK",_xlfn.LET(fechaPago, Z2812, fechaFactura, R2812, diasCredito, IF(E2812="Pago inmediato", 0, IFERROR(VALUE(MID(E2812, 1, SEARCH(" ", E2812)-1)),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12" s="79">
        <f>IF(AN2812="","",IF(AND(N2812&gt;0, AG2812&gt;0), IF(Configuración!$K$2="NO", "ALERTA: DESCUENTO DOBLE NO PERMITIDO", "OK"), "OK"))</f>
        <v/>
      </c>
      <c r="AR2812" s="79">
        <f>IF(AN2812="","",IF(OR(AO2812&lt;&gt;"OK", AP2812&lt;&gt;"OK", AQ2812&lt;&gt;"OK"), "⚠️ REVISAR", "OK"))</f>
        <v/>
      </c>
    </row>
    <row r="2813">
      <c r="A2813" s="79">
        <f>IF('Ordenes_Odoo'!A2813="","",'Ordenes_Odoo'!A2813)</f>
        <v/>
      </c>
      <c r="B2813" s="80">
        <f>IF('Ordenes_Odoo'!B2813="","",'Ordenes_Odoo'!B2813)</f>
        <v/>
      </c>
      <c r="C2813" s="79">
        <f>IF('Ordenes_Odoo'!C2813="","",'Ordenes_Odoo'!C2813)</f>
        <v/>
      </c>
      <c r="D2813" s="79">
        <f>IF('Ordenes_Odoo'!D2813="","",'Ordenes_Odoo'!D2813)</f>
        <v/>
      </c>
      <c r="E2813" s="79">
        <f>IF('Ordenes_Odoo'!E2813="","",'Ordenes_Odoo'!E2813)</f>
        <v/>
      </c>
      <c r="F2813" s="79">
        <f>IF('Ordenes_Odoo'!F2813="","",'Ordenes_Odoo'!F2813)</f>
        <v/>
      </c>
      <c r="G2813" s="79">
        <f>IF('Ordenes_Odoo'!G2813="","",'Ordenes_Odoo'!G2813)</f>
        <v/>
      </c>
      <c r="H2813" s="79">
        <f>IF('Ordenes_Odoo'!H2813="","",'Ordenes_Odoo'!H2813)</f>
        <v/>
      </c>
      <c r="I2813" s="79">
        <f>IF('Ordenes_Odoo'!I2813="","",'Ordenes_Odoo'!I2813)</f>
        <v/>
      </c>
      <c r="J2813" s="79">
        <f>IF('Ordenes_Odoo'!J2813="","",'Ordenes_Odoo'!J2813)</f>
        <v/>
      </c>
      <c r="K2813" s="81">
        <f>IF('Ordenes_Odoo'!K2813="","",'Ordenes_Odoo'!K2813)</f>
        <v/>
      </c>
      <c r="L2813" s="81">
        <f>IF('Ordenes_Odoo'!L2813="","",'Ordenes_Odoo'!L2813)</f>
        <v/>
      </c>
      <c r="M2813" s="79">
        <f>IF('Ordenes_Odoo'!M2813="","",'Ordenes_Odoo'!M2813)</f>
        <v/>
      </c>
      <c r="N2813" s="79">
        <f>IF('Ordenes_Odoo'!N2813="","",'Ordenes_Odoo'!N2813)</f>
        <v/>
      </c>
      <c r="O2813" s="81">
        <f>IF('Ordenes_Odoo'!O2813="","",'Ordenes_Odoo'!O2813)</f>
        <v/>
      </c>
      <c r="P2813" s="81">
        <f>IF('Ordenes_Odoo'!P2813="","",'Ordenes_Odoo'!P2813)</f>
        <v/>
      </c>
      <c r="Q2813" s="79">
        <f>IF(A2813="","",IFERROR(INDEX(Facturas_Odoo!$B:$B, MATCH(A2813, Facturas_Odoo!$D:$D, 0)), "Sin Factura"))</f>
        <v/>
      </c>
      <c r="R2813" s="80">
        <f>IF(Q2813="Sin Factura","",IFERROR(INDEX(Facturas_Odoo!$A:$A, MATCH(Q2813, Facturas_Odoo!$B:$B, 0)), ""))</f>
        <v/>
      </c>
      <c r="S2813" s="79">
        <f>IF(Q2813="Sin Factura","",IFERROR(_xlfn.XLOOKUP(1, (Facturas_Odoo!$D:$D=A2813) * (Facturas_Odoo!$K:$K=I2813), Facturas_Odoo!$L:$L, ""), ""))</f>
        <v/>
      </c>
      <c r="T2813" s="81">
        <f>IF(Q2813="Sin Factura",0,IFERROR(_xlfn.XLOOKUP(1, (Facturas_Odoo!$D:$D=A2813) * (Facturas_Odoo!$K:$K=I2813), Facturas_Odoo!$M:$M, 0), 0))</f>
        <v/>
      </c>
      <c r="U2813" s="79">
        <f>IF(Q2813="Sin Factura",0,IFERROR(_xlfn.XLOOKUP(1, (Facturas_Odoo!$D:$D=A2813) * (Facturas_Odoo!$K:$K=I2813), Facturas_Odoo!$N:$N, 0), 0))</f>
        <v/>
      </c>
      <c r="V2813" s="79">
        <f>IF(Q2813="Sin Factura",0,IFERROR(_xlfn.XLOOKUP(1, (Facturas_Odoo!$D:$D=A2813) * (Facturas_Odoo!$K:$K=I2813), Facturas_Odoo!$O:$O, 0), 0))</f>
        <v/>
      </c>
      <c r="W2813" s="81">
        <f>IF(Q2813="Sin Factura",0,IFERROR(_xlfn.XLOOKUP(1, (Facturas_Odoo!$D:$D=A2813) * (Facturas_Odoo!$K:$K=I2813), Facturas_Odoo!$Q:$Q, 0), 0))</f>
        <v/>
      </c>
      <c r="X2813" s="79">
        <f>IF(OR(Q2813="Sin Factura",Q2813=""),"",IFERROR(INDEX(Pagos_Odoo!$B:$B, MATCH(Q2813, Pagos_Odoo!$I:$I, 0)), "Sin Pago"))</f>
        <v/>
      </c>
      <c r="Y2813" s="79">
        <f>IF(X2813="Sin Pago","",IFERROR(INDEX(Pagos_Odoo!$C:$C, MATCH(X2813, Pagos_Odoo!$B:$B, 0)), ""))</f>
        <v/>
      </c>
      <c r="Z2813" s="80">
        <f>IF(X2813="Sin Pago","",IFERROR(INDEX(Pagos_Odoo!$A:$A, MATCH(X2813, Pagos_Odoo!$B:$B, 0)), ""))</f>
        <v/>
      </c>
      <c r="AA2813" s="79">
        <f>IF(X2813="Sin Pago","",IFERROR(INDEX(Pagos_Odoo!$F:$F, MATCH(X2813, Pagos_Odoo!$B:$B, 0)), ""))</f>
        <v/>
      </c>
      <c r="AB2813" s="81">
        <f>IF(X2813="Sin Pago",0,IFERROR(INDEX(Pagos_Odoo!$E:$E, MATCH(X2813, Pagos_Odoo!$B:$B, 0)), 0))</f>
        <v/>
      </c>
      <c r="AC2813" s="79">
        <f>IF(X2813="Sin Pago","",IFERROR(INDEX(Pagos_Odoo!$G:$G, MATCH(X2813, Pagos_Odoo!$B:$B, 0)), ""))</f>
        <v/>
      </c>
      <c r="AD2813" s="82" t="n">
        <v>0</v>
      </c>
      <c r="AE2813" s="82" t="n"/>
      <c r="AF2813" s="82" t="n"/>
      <c r="AG2813" s="82">
        <f>IF(AN2813="","",AD2813+AE2813+AF2813)</f>
        <v/>
      </c>
      <c r="AH2813" s="81">
        <f>IF(AN2813="","",P2813*(1-AG2813))</f>
        <v/>
      </c>
      <c r="AI2813" s="81">
        <f>IF(AN2813="","",IF(Q2813="Sin Factura",0,IFERROR(INDEX(Facturas_Odoo!$H:$H, MATCH(Q2813, Facturas_Odoo!$B:$B, 0)), 0)*(1-AG2813)))</f>
        <v/>
      </c>
      <c r="AJ2813" s="81">
        <f>IF(AN2813="","",_xlfn.LET(idVenta, AN2813&amp;"",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13" s="81">
        <f>IF(AN2813="","",AH2813-AJ2813)</f>
        <v/>
      </c>
      <c r="AL2813" s="81">
        <f>IF(AN2813="","",IF(Q2813="Sin Factura","",AI2813-AJ2813))</f>
        <v/>
      </c>
      <c r="AM2813" s="81">
        <f>IF(AN2813="","",IF(Q2813="Sin Factura",0,P2813-IFERROR(INDEX(Facturas_Odoo!$H:$H, MATCH(Q2813, Facturas_Odoo!$B:$B, 0)), 0)))</f>
        <v/>
      </c>
      <c r="AN2813" s="79">
        <f>IF(AND(A2813="", J2813=""), "", IF(A2813&lt;&gt;"", VALUE(MID(A2813,2,LEN(A2813))), AN2812))</f>
        <v/>
      </c>
      <c r="AO2813" s="79">
        <f>IF(AN2813="","",IF(AD2813=0,"OK",_xlfn.LET(monedaPago, IF(AA2813="","USD",AA2813), limitePermitido, IFERROR(VLOOKUP(monedaPago, Configuración!$A$2:$B$3, 2, FALSE), 0.15), IF(AD2813&gt;limitePermitido, "ALERTA: EXCESO (" &amp; TEXT(limitePermitido, "0%") &amp; " máx)", "OK"))))</f>
        <v/>
      </c>
      <c r="AP2813" s="79">
        <f>IF(AN2813="","",IF(AE2813=0,"OK",_xlfn.LET(fechaPago, Z2813, fechaFactura, R2813, diasCredito, IF(E2813="Pago inmediato", 0, IFERROR(VALUE(MID(E2813, 1, SEARCH(" ", E2813)-1)),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13" s="79">
        <f>IF(AN2813="","",IF(AND(N2813&gt;0, AG2813&gt;0), IF(Configuración!$K$2="NO", "ALERTA: DESCUENTO DOBLE NO PERMITIDO", "OK"), "OK"))</f>
        <v/>
      </c>
      <c r="AR2813" s="79">
        <f>IF(AN2813="","",IF(OR(AO2813&lt;&gt;"OK", AP2813&lt;&gt;"OK", AQ2813&lt;&gt;"OK"), "⚠️ REVISAR", "OK"))</f>
        <v/>
      </c>
    </row>
    <row r="2814">
      <c r="A2814" s="79">
        <f>IF('Ordenes_Odoo'!A2814="","",'Ordenes_Odoo'!A2814)</f>
        <v/>
      </c>
      <c r="B2814" s="80">
        <f>IF('Ordenes_Odoo'!B2814="","",'Ordenes_Odoo'!B2814)</f>
        <v/>
      </c>
      <c r="C2814" s="79">
        <f>IF('Ordenes_Odoo'!C2814="","",'Ordenes_Odoo'!C2814)</f>
        <v/>
      </c>
      <c r="D2814" s="79">
        <f>IF('Ordenes_Odoo'!D2814="","",'Ordenes_Odoo'!D2814)</f>
        <v/>
      </c>
      <c r="E2814" s="79">
        <f>IF('Ordenes_Odoo'!E2814="","",'Ordenes_Odoo'!E2814)</f>
        <v/>
      </c>
      <c r="F2814" s="79">
        <f>IF('Ordenes_Odoo'!F2814="","",'Ordenes_Odoo'!F2814)</f>
        <v/>
      </c>
      <c r="G2814" s="79">
        <f>IF('Ordenes_Odoo'!G2814="","",'Ordenes_Odoo'!G2814)</f>
        <v/>
      </c>
      <c r="H2814" s="79">
        <f>IF('Ordenes_Odoo'!H2814="","",'Ordenes_Odoo'!H2814)</f>
        <v/>
      </c>
      <c r="I2814" s="79">
        <f>IF('Ordenes_Odoo'!I2814="","",'Ordenes_Odoo'!I2814)</f>
        <v/>
      </c>
      <c r="J2814" s="79">
        <f>IF('Ordenes_Odoo'!J2814="","",'Ordenes_Odoo'!J2814)</f>
        <v/>
      </c>
      <c r="K2814" s="81">
        <f>IF('Ordenes_Odoo'!K2814="","",'Ordenes_Odoo'!K2814)</f>
        <v/>
      </c>
      <c r="L2814" s="81">
        <f>IF('Ordenes_Odoo'!L2814="","",'Ordenes_Odoo'!L2814)</f>
        <v/>
      </c>
      <c r="M2814" s="79">
        <f>IF('Ordenes_Odoo'!M2814="","",'Ordenes_Odoo'!M2814)</f>
        <v/>
      </c>
      <c r="N2814" s="79">
        <f>IF('Ordenes_Odoo'!N2814="","",'Ordenes_Odoo'!N2814)</f>
        <v/>
      </c>
      <c r="O2814" s="81">
        <f>IF('Ordenes_Odoo'!O2814="","",'Ordenes_Odoo'!O2814)</f>
        <v/>
      </c>
      <c r="P2814" s="81">
        <f>IF('Ordenes_Odoo'!P2814="","",'Ordenes_Odoo'!P2814)</f>
        <v/>
      </c>
      <c r="Q2814" s="79">
        <f>IF(A2814="","",IFERROR(INDEX(Facturas_Odoo!$B:$B, MATCH(A2814, Facturas_Odoo!$D:$D, 0)), "Sin Factura"))</f>
        <v/>
      </c>
      <c r="R2814" s="80">
        <f>IF(Q2814="Sin Factura","",IFERROR(INDEX(Facturas_Odoo!$A:$A, MATCH(Q2814, Facturas_Odoo!$B:$B, 0)), ""))</f>
        <v/>
      </c>
      <c r="S2814" s="79">
        <f>IF(Q2814="Sin Factura","",IFERROR(_xlfn.XLOOKUP(1, (Facturas_Odoo!$D:$D=A2814) * (Facturas_Odoo!$K:$K=I2814), Facturas_Odoo!$L:$L, ""), ""))</f>
        <v/>
      </c>
      <c r="T2814" s="81">
        <f>IF(Q2814="Sin Factura",0,IFERROR(_xlfn.XLOOKUP(1, (Facturas_Odoo!$D:$D=A2814) * (Facturas_Odoo!$K:$K=I2814), Facturas_Odoo!$M:$M, 0), 0))</f>
        <v/>
      </c>
      <c r="U2814" s="79">
        <f>IF(Q2814="Sin Factura",0,IFERROR(_xlfn.XLOOKUP(1, (Facturas_Odoo!$D:$D=A2814) * (Facturas_Odoo!$K:$K=I2814), Facturas_Odoo!$N:$N, 0), 0))</f>
        <v/>
      </c>
      <c r="V2814" s="79">
        <f>IF(Q2814="Sin Factura",0,IFERROR(_xlfn.XLOOKUP(1, (Facturas_Odoo!$D:$D=A2814) * (Facturas_Odoo!$K:$K=I2814), Facturas_Odoo!$O:$O, 0), 0))</f>
        <v/>
      </c>
      <c r="W2814" s="81">
        <f>IF(Q2814="Sin Factura",0,IFERROR(_xlfn.XLOOKUP(1, (Facturas_Odoo!$D:$D=A2814) * (Facturas_Odoo!$K:$K=I2814), Facturas_Odoo!$Q:$Q, 0), 0))</f>
        <v/>
      </c>
      <c r="X2814" s="79">
        <f>IF(OR(Q2814="Sin Factura",Q2814=""),"",IFERROR(INDEX(Pagos_Odoo!$B:$B, MATCH(Q2814, Pagos_Odoo!$I:$I, 0)), "Sin Pago"))</f>
        <v/>
      </c>
      <c r="Y2814" s="79">
        <f>IF(X2814="Sin Pago","",IFERROR(INDEX(Pagos_Odoo!$C:$C, MATCH(X2814, Pagos_Odoo!$B:$B, 0)), ""))</f>
        <v/>
      </c>
      <c r="Z2814" s="80">
        <f>IF(X2814="Sin Pago","",IFERROR(INDEX(Pagos_Odoo!$A:$A, MATCH(X2814, Pagos_Odoo!$B:$B, 0)), ""))</f>
        <v/>
      </c>
      <c r="AA2814" s="79">
        <f>IF(X2814="Sin Pago","",IFERROR(INDEX(Pagos_Odoo!$F:$F, MATCH(X2814, Pagos_Odoo!$B:$B, 0)), ""))</f>
        <v/>
      </c>
      <c r="AB2814" s="81">
        <f>IF(X2814="Sin Pago",0,IFERROR(INDEX(Pagos_Odoo!$E:$E, MATCH(X2814, Pagos_Odoo!$B:$B, 0)), 0))</f>
        <v/>
      </c>
      <c r="AC2814" s="79">
        <f>IF(X2814="Sin Pago","",IFERROR(INDEX(Pagos_Odoo!$G:$G, MATCH(X2814, Pagos_Odoo!$B:$B, 0)), ""))</f>
        <v/>
      </c>
      <c r="AD2814" s="82" t="n">
        <v>0</v>
      </c>
      <c r="AE2814" s="82" t="n"/>
      <c r="AF2814" s="82" t="n"/>
      <c r="AG2814" s="82">
        <f>IF(AN2814="","",AD2814+AE2814+AF2814)</f>
        <v/>
      </c>
      <c r="AH2814" s="81">
        <f>IF(AN2814="","",P2814*(1-AG2814))</f>
        <v/>
      </c>
      <c r="AI2814" s="81">
        <f>IF(AN2814="","",IF(Q2814="Sin Factura",0,IFERROR(INDEX(Facturas_Odoo!$H:$H, MATCH(Q2814, Facturas_Odoo!$B:$B, 0)), 0)*(1-AG2814)))</f>
        <v/>
      </c>
      <c r="AJ2814" s="81">
        <f>IF(AN2814="","",_xlfn.LET(idVenta, AN2814&amp;"",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14" s="81">
        <f>IF(AN2814="","",AH2814-AJ2814)</f>
        <v/>
      </c>
      <c r="AL2814" s="81">
        <f>IF(AN2814="","",IF(Q2814="Sin Factura","",AI2814-AJ2814))</f>
        <v/>
      </c>
      <c r="AM2814" s="81">
        <f>IF(AN2814="","",IF(Q2814="Sin Factura",0,P2814-IFERROR(INDEX(Facturas_Odoo!$H:$H, MATCH(Q2814, Facturas_Odoo!$B:$B, 0)), 0)))</f>
        <v/>
      </c>
      <c r="AN2814" s="79">
        <f>IF(AND(A2814="", J2814=""), "", IF(A2814&lt;&gt;"", VALUE(MID(A2814,2,LEN(A2814))), AN2813))</f>
        <v/>
      </c>
      <c r="AO2814" s="79">
        <f>IF(AN2814="","",IF(AD2814=0,"OK",_xlfn.LET(monedaPago, IF(AA2814="","USD",AA2814), limitePermitido, IFERROR(VLOOKUP(monedaPago, Configuración!$A$2:$B$3, 2, FALSE), 0.15), IF(AD2814&gt;limitePermitido, "ALERTA: EXCESO (" &amp; TEXT(limitePermitido, "0%") &amp; " máx)", "OK"))))</f>
        <v/>
      </c>
      <c r="AP2814" s="79">
        <f>IF(AN2814="","",IF(AE2814=0,"OK",_xlfn.LET(fechaPago, Z2814, fechaFactura, R2814, diasCredito, IF(E2814="Pago inmediato", 0, IFERROR(VALUE(MID(E2814, 1, SEARCH(" ", E2814)-1)),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14" s="79">
        <f>IF(AN2814="","",IF(AND(N2814&gt;0, AG2814&gt;0), IF(Configuración!$K$2="NO", "ALERTA: DESCUENTO DOBLE NO PERMITIDO", "OK"), "OK"))</f>
        <v/>
      </c>
      <c r="AR2814" s="79">
        <f>IF(AN2814="","",IF(OR(AO2814&lt;&gt;"OK", AP2814&lt;&gt;"OK", AQ2814&lt;&gt;"OK"), "⚠️ REVISAR", "OK"))</f>
        <v/>
      </c>
    </row>
    <row r="2815">
      <c r="A2815" s="79">
        <f>IF('Ordenes_Odoo'!A2815="","",'Ordenes_Odoo'!A2815)</f>
        <v/>
      </c>
      <c r="B2815" s="80">
        <f>IF('Ordenes_Odoo'!B2815="","",'Ordenes_Odoo'!B2815)</f>
        <v/>
      </c>
      <c r="C2815" s="79">
        <f>IF('Ordenes_Odoo'!C2815="","",'Ordenes_Odoo'!C2815)</f>
        <v/>
      </c>
      <c r="D2815" s="79">
        <f>IF('Ordenes_Odoo'!D2815="","",'Ordenes_Odoo'!D2815)</f>
        <v/>
      </c>
      <c r="E2815" s="79">
        <f>IF('Ordenes_Odoo'!E2815="","",'Ordenes_Odoo'!E2815)</f>
        <v/>
      </c>
      <c r="F2815" s="79">
        <f>IF('Ordenes_Odoo'!F2815="","",'Ordenes_Odoo'!F2815)</f>
        <v/>
      </c>
      <c r="G2815" s="79">
        <f>IF('Ordenes_Odoo'!G2815="","",'Ordenes_Odoo'!G2815)</f>
        <v/>
      </c>
      <c r="H2815" s="79">
        <f>IF('Ordenes_Odoo'!H2815="","",'Ordenes_Odoo'!H2815)</f>
        <v/>
      </c>
      <c r="I2815" s="79">
        <f>IF('Ordenes_Odoo'!I2815="","",'Ordenes_Odoo'!I2815)</f>
        <v/>
      </c>
      <c r="J2815" s="79">
        <f>IF('Ordenes_Odoo'!J2815="","",'Ordenes_Odoo'!J2815)</f>
        <v/>
      </c>
      <c r="K2815" s="81">
        <f>IF('Ordenes_Odoo'!K2815="","",'Ordenes_Odoo'!K2815)</f>
        <v/>
      </c>
      <c r="L2815" s="81">
        <f>IF('Ordenes_Odoo'!L2815="","",'Ordenes_Odoo'!L2815)</f>
        <v/>
      </c>
      <c r="M2815" s="79">
        <f>IF('Ordenes_Odoo'!M2815="","",'Ordenes_Odoo'!M2815)</f>
        <v/>
      </c>
      <c r="N2815" s="79">
        <f>IF('Ordenes_Odoo'!N2815="","",'Ordenes_Odoo'!N2815)</f>
        <v/>
      </c>
      <c r="O2815" s="81">
        <f>IF('Ordenes_Odoo'!O2815="","",'Ordenes_Odoo'!O2815)</f>
        <v/>
      </c>
      <c r="P2815" s="81">
        <f>IF('Ordenes_Odoo'!P2815="","",'Ordenes_Odoo'!P2815)</f>
        <v/>
      </c>
      <c r="Q2815" s="79">
        <f>IF(A2815="","",IFERROR(INDEX(Facturas_Odoo!$B:$B, MATCH(A2815, Facturas_Odoo!$D:$D, 0)), "Sin Factura"))</f>
        <v/>
      </c>
      <c r="R2815" s="80">
        <f>IF(Q2815="Sin Factura","",IFERROR(INDEX(Facturas_Odoo!$A:$A, MATCH(Q2815, Facturas_Odoo!$B:$B, 0)), ""))</f>
        <v/>
      </c>
      <c r="S2815" s="79">
        <f>IF(Q2815="Sin Factura","",IFERROR(_xlfn.XLOOKUP(1, (Facturas_Odoo!$D:$D=A2815) * (Facturas_Odoo!$K:$K=I2815), Facturas_Odoo!$L:$L, ""), ""))</f>
        <v/>
      </c>
      <c r="T2815" s="81">
        <f>IF(Q2815="Sin Factura",0,IFERROR(_xlfn.XLOOKUP(1, (Facturas_Odoo!$D:$D=A2815) * (Facturas_Odoo!$K:$K=I2815), Facturas_Odoo!$M:$M, 0), 0))</f>
        <v/>
      </c>
      <c r="U2815" s="79">
        <f>IF(Q2815="Sin Factura",0,IFERROR(_xlfn.XLOOKUP(1, (Facturas_Odoo!$D:$D=A2815) * (Facturas_Odoo!$K:$K=I2815), Facturas_Odoo!$N:$N, 0), 0))</f>
        <v/>
      </c>
      <c r="V2815" s="79">
        <f>IF(Q2815="Sin Factura",0,IFERROR(_xlfn.XLOOKUP(1, (Facturas_Odoo!$D:$D=A2815) * (Facturas_Odoo!$K:$K=I2815), Facturas_Odoo!$O:$O, 0), 0))</f>
        <v/>
      </c>
      <c r="W2815" s="81">
        <f>IF(Q2815="Sin Factura",0,IFERROR(_xlfn.XLOOKUP(1, (Facturas_Odoo!$D:$D=A2815) * (Facturas_Odoo!$K:$K=I2815), Facturas_Odoo!$Q:$Q, 0), 0))</f>
        <v/>
      </c>
      <c r="X2815" s="79">
        <f>IF(OR(Q2815="Sin Factura",Q2815=""),"",IFERROR(INDEX(Pagos_Odoo!$B:$B, MATCH(Q2815, Pagos_Odoo!$I:$I, 0)), "Sin Pago"))</f>
        <v/>
      </c>
      <c r="Y2815" s="79">
        <f>IF(X2815="Sin Pago","",IFERROR(INDEX(Pagos_Odoo!$C:$C, MATCH(X2815, Pagos_Odoo!$B:$B, 0)), ""))</f>
        <v/>
      </c>
      <c r="Z2815" s="80">
        <f>IF(X2815="Sin Pago","",IFERROR(INDEX(Pagos_Odoo!$A:$A, MATCH(X2815, Pagos_Odoo!$B:$B, 0)), ""))</f>
        <v/>
      </c>
      <c r="AA2815" s="79">
        <f>IF(X2815="Sin Pago","",IFERROR(INDEX(Pagos_Odoo!$F:$F, MATCH(X2815, Pagos_Odoo!$B:$B, 0)), ""))</f>
        <v/>
      </c>
      <c r="AB2815" s="81">
        <f>IF(X2815="Sin Pago",0,IFERROR(INDEX(Pagos_Odoo!$E:$E, MATCH(X2815, Pagos_Odoo!$B:$B, 0)), 0))</f>
        <v/>
      </c>
      <c r="AC2815" s="79">
        <f>IF(X2815="Sin Pago","",IFERROR(INDEX(Pagos_Odoo!$G:$G, MATCH(X2815, Pagos_Odoo!$B:$B, 0)), ""))</f>
        <v/>
      </c>
      <c r="AD2815" s="82" t="n">
        <v>0</v>
      </c>
      <c r="AE2815" s="82" t="n"/>
      <c r="AF2815" s="82" t="n"/>
      <c r="AG2815" s="82">
        <f>IF(AN2815="","",AD2815+AE2815+AF2815)</f>
        <v/>
      </c>
      <c r="AH2815" s="81">
        <f>IF(AN2815="","",P2815*(1-AG2815))</f>
        <v/>
      </c>
      <c r="AI2815" s="81">
        <f>IF(AN2815="","",IF(Q2815="Sin Factura",0,IFERROR(INDEX(Facturas_Odoo!$H:$H, MATCH(Q2815, Facturas_Odoo!$B:$B, 0)), 0)*(1-AG2815)))</f>
        <v/>
      </c>
      <c r="AJ2815" s="81">
        <f>IF(AN2815="","",_xlfn.LET(idVenta, AN2815&amp;"",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15" s="81">
        <f>IF(AN2815="","",AH2815-AJ2815)</f>
        <v/>
      </c>
      <c r="AL2815" s="81">
        <f>IF(AN2815="","",IF(Q2815="Sin Factura","",AI2815-AJ2815))</f>
        <v/>
      </c>
      <c r="AM2815" s="81">
        <f>IF(AN2815="","",IF(Q2815="Sin Factura",0,P2815-IFERROR(INDEX(Facturas_Odoo!$H:$H, MATCH(Q2815, Facturas_Odoo!$B:$B, 0)), 0)))</f>
        <v/>
      </c>
      <c r="AN2815" s="79">
        <f>IF(AND(A2815="", J2815=""), "", IF(A2815&lt;&gt;"", VALUE(MID(A2815,2,LEN(A2815))), AN2814))</f>
        <v/>
      </c>
      <c r="AO2815" s="79">
        <f>IF(AN2815="","",IF(AD2815=0,"OK",_xlfn.LET(monedaPago, IF(AA2815="","USD",AA2815), limitePermitido, IFERROR(VLOOKUP(monedaPago, Configuración!$A$2:$B$3, 2, FALSE), 0.15), IF(AD2815&gt;limitePermitido, "ALERTA: EXCESO (" &amp; TEXT(limitePermitido, "0%") &amp; " máx)", "OK"))))</f>
        <v/>
      </c>
      <c r="AP2815" s="79">
        <f>IF(AN2815="","",IF(AE2815=0,"OK",_xlfn.LET(fechaPago, Z2815, fechaFactura, R2815, diasCredito, IF(E2815="Pago inmediato", 0, IFERROR(VALUE(MID(E2815, 1, SEARCH(" ", E2815)-1)),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15" s="79">
        <f>IF(AN2815="","",IF(AND(N2815&gt;0, AG2815&gt;0), IF(Configuración!$K$2="NO", "ALERTA: DESCUENTO DOBLE NO PERMITIDO", "OK"), "OK"))</f>
        <v/>
      </c>
      <c r="AR2815" s="79">
        <f>IF(AN2815="","",IF(OR(AO2815&lt;&gt;"OK", AP2815&lt;&gt;"OK", AQ2815&lt;&gt;"OK"), "⚠️ REVISAR", "OK"))</f>
        <v/>
      </c>
    </row>
    <row r="2816">
      <c r="A2816" s="79">
        <f>IF('Ordenes_Odoo'!A2816="","",'Ordenes_Odoo'!A2816)</f>
        <v/>
      </c>
      <c r="B2816" s="80">
        <f>IF('Ordenes_Odoo'!B2816="","",'Ordenes_Odoo'!B2816)</f>
        <v/>
      </c>
      <c r="C2816" s="79">
        <f>IF('Ordenes_Odoo'!C2816="","",'Ordenes_Odoo'!C2816)</f>
        <v/>
      </c>
      <c r="D2816" s="79">
        <f>IF('Ordenes_Odoo'!D2816="","",'Ordenes_Odoo'!D2816)</f>
        <v/>
      </c>
      <c r="E2816" s="79">
        <f>IF('Ordenes_Odoo'!E2816="","",'Ordenes_Odoo'!E2816)</f>
        <v/>
      </c>
      <c r="F2816" s="79">
        <f>IF('Ordenes_Odoo'!F2816="","",'Ordenes_Odoo'!F2816)</f>
        <v/>
      </c>
      <c r="G2816" s="79">
        <f>IF('Ordenes_Odoo'!G2816="","",'Ordenes_Odoo'!G2816)</f>
        <v/>
      </c>
      <c r="H2816" s="79">
        <f>IF('Ordenes_Odoo'!H2816="","",'Ordenes_Odoo'!H2816)</f>
        <v/>
      </c>
      <c r="I2816" s="79">
        <f>IF('Ordenes_Odoo'!I2816="","",'Ordenes_Odoo'!I2816)</f>
        <v/>
      </c>
      <c r="J2816" s="79">
        <f>IF('Ordenes_Odoo'!J2816="","",'Ordenes_Odoo'!J2816)</f>
        <v/>
      </c>
      <c r="K2816" s="81">
        <f>IF('Ordenes_Odoo'!K2816="","",'Ordenes_Odoo'!K2816)</f>
        <v/>
      </c>
      <c r="L2816" s="81">
        <f>IF('Ordenes_Odoo'!L2816="","",'Ordenes_Odoo'!L2816)</f>
        <v/>
      </c>
      <c r="M2816" s="79">
        <f>IF('Ordenes_Odoo'!M2816="","",'Ordenes_Odoo'!M2816)</f>
        <v/>
      </c>
      <c r="N2816" s="79">
        <f>IF('Ordenes_Odoo'!N2816="","",'Ordenes_Odoo'!N2816)</f>
        <v/>
      </c>
      <c r="O2816" s="81">
        <f>IF('Ordenes_Odoo'!O2816="","",'Ordenes_Odoo'!O2816)</f>
        <v/>
      </c>
      <c r="P2816" s="81">
        <f>IF('Ordenes_Odoo'!P2816="","",'Ordenes_Odoo'!P2816)</f>
        <v/>
      </c>
      <c r="Q2816" s="79">
        <f>IF(A2816="","",IFERROR(INDEX(Facturas_Odoo!$B:$B, MATCH(A2816, Facturas_Odoo!$D:$D, 0)), "Sin Factura"))</f>
        <v/>
      </c>
      <c r="R2816" s="80">
        <f>IF(Q2816="Sin Factura","",IFERROR(INDEX(Facturas_Odoo!$A:$A, MATCH(Q2816, Facturas_Odoo!$B:$B, 0)), ""))</f>
        <v/>
      </c>
      <c r="S2816" s="79">
        <f>IF(Q2816="Sin Factura","",IFERROR(_xlfn.XLOOKUP(1, (Facturas_Odoo!$D:$D=A2816) * (Facturas_Odoo!$K:$K=I2816), Facturas_Odoo!$L:$L, ""), ""))</f>
        <v/>
      </c>
      <c r="T2816" s="81">
        <f>IF(Q2816="Sin Factura",0,IFERROR(_xlfn.XLOOKUP(1, (Facturas_Odoo!$D:$D=A2816) * (Facturas_Odoo!$K:$K=I2816), Facturas_Odoo!$M:$M, 0), 0))</f>
        <v/>
      </c>
      <c r="U2816" s="79">
        <f>IF(Q2816="Sin Factura",0,IFERROR(_xlfn.XLOOKUP(1, (Facturas_Odoo!$D:$D=A2816) * (Facturas_Odoo!$K:$K=I2816), Facturas_Odoo!$N:$N, 0), 0))</f>
        <v/>
      </c>
      <c r="V2816" s="79">
        <f>IF(Q2816="Sin Factura",0,IFERROR(_xlfn.XLOOKUP(1, (Facturas_Odoo!$D:$D=A2816) * (Facturas_Odoo!$K:$K=I2816), Facturas_Odoo!$O:$O, 0), 0))</f>
        <v/>
      </c>
      <c r="W2816" s="81">
        <f>IF(Q2816="Sin Factura",0,IFERROR(_xlfn.XLOOKUP(1, (Facturas_Odoo!$D:$D=A2816) * (Facturas_Odoo!$K:$K=I2816), Facturas_Odoo!$Q:$Q, 0), 0))</f>
        <v/>
      </c>
      <c r="X2816" s="79">
        <f>IF(OR(Q2816="Sin Factura",Q2816=""),"",IFERROR(INDEX(Pagos_Odoo!$B:$B, MATCH(Q2816, Pagos_Odoo!$I:$I, 0)), "Sin Pago"))</f>
        <v/>
      </c>
      <c r="Y2816" s="79">
        <f>IF(X2816="Sin Pago","",IFERROR(INDEX(Pagos_Odoo!$C:$C, MATCH(X2816, Pagos_Odoo!$B:$B, 0)), ""))</f>
        <v/>
      </c>
      <c r="Z2816" s="80">
        <f>IF(X2816="Sin Pago","",IFERROR(INDEX(Pagos_Odoo!$A:$A, MATCH(X2816, Pagos_Odoo!$B:$B, 0)), ""))</f>
        <v/>
      </c>
      <c r="AA2816" s="79">
        <f>IF(X2816="Sin Pago","",IFERROR(INDEX(Pagos_Odoo!$F:$F, MATCH(X2816, Pagos_Odoo!$B:$B, 0)), ""))</f>
        <v/>
      </c>
      <c r="AB2816" s="81">
        <f>IF(X2816="Sin Pago",0,IFERROR(INDEX(Pagos_Odoo!$E:$E, MATCH(X2816, Pagos_Odoo!$B:$B, 0)), 0))</f>
        <v/>
      </c>
      <c r="AC2816" s="79">
        <f>IF(X2816="Sin Pago","",IFERROR(INDEX(Pagos_Odoo!$G:$G, MATCH(X2816, Pagos_Odoo!$B:$B, 0)), ""))</f>
        <v/>
      </c>
      <c r="AD2816" s="82" t="n">
        <v>0</v>
      </c>
      <c r="AE2816" s="82" t="n"/>
      <c r="AF2816" s="82" t="n"/>
      <c r="AG2816" s="82">
        <f>IF(AN2816="","",AD2816+AE2816+AF2816)</f>
        <v/>
      </c>
      <c r="AH2816" s="81">
        <f>IF(AN2816="","",P2816*(1-AG2816))</f>
        <v/>
      </c>
      <c r="AI2816" s="81">
        <f>IF(AN2816="","",IF(Q2816="Sin Factura",0,IFERROR(INDEX(Facturas_Odoo!$H:$H, MATCH(Q2816, Facturas_Odoo!$B:$B, 0)), 0)*(1-AG2816)))</f>
        <v/>
      </c>
      <c r="AJ2816" s="81">
        <f>IF(AN2816="","",_xlfn.LET(idVenta, AN2816&amp;"",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16" s="81">
        <f>IF(AN2816="","",AH2816-AJ2816)</f>
        <v/>
      </c>
      <c r="AL2816" s="81">
        <f>IF(AN2816="","",IF(Q2816="Sin Factura","",AI2816-AJ2816))</f>
        <v/>
      </c>
      <c r="AM2816" s="81">
        <f>IF(AN2816="","",IF(Q2816="Sin Factura",0,P2816-IFERROR(INDEX(Facturas_Odoo!$H:$H, MATCH(Q2816, Facturas_Odoo!$B:$B, 0)), 0)))</f>
        <v/>
      </c>
      <c r="AN2816" s="79">
        <f>IF(AND(A2816="", J2816=""), "", IF(A2816&lt;&gt;"", VALUE(MID(A2816,2,LEN(A2816))), AN2815))</f>
        <v/>
      </c>
      <c r="AO2816" s="79">
        <f>IF(AN2816="","",IF(AD2816=0,"OK",_xlfn.LET(monedaPago, IF(AA2816="","USD",AA2816), limitePermitido, IFERROR(VLOOKUP(monedaPago, Configuración!$A$2:$B$3, 2, FALSE), 0.15), IF(AD2816&gt;limitePermitido, "ALERTA: EXCESO (" &amp; TEXT(limitePermitido, "0%") &amp; " máx)", "OK"))))</f>
        <v/>
      </c>
      <c r="AP2816" s="79">
        <f>IF(AN2816="","",IF(AE2816=0,"OK",_xlfn.LET(fechaPago, Z2816, fechaFactura, R2816, diasCredito, IF(E2816="Pago inmediato", 0, IFERROR(VALUE(MID(E2816, 1, SEARCH(" ", E2816)-1)),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16" s="79">
        <f>IF(AN2816="","",IF(AND(N2816&gt;0, AG2816&gt;0), IF(Configuración!$K$2="NO", "ALERTA: DESCUENTO DOBLE NO PERMITIDO", "OK"), "OK"))</f>
        <v/>
      </c>
      <c r="AR2816" s="79">
        <f>IF(AN2816="","",IF(OR(AO2816&lt;&gt;"OK", AP2816&lt;&gt;"OK", AQ2816&lt;&gt;"OK"), "⚠️ REVISAR", "OK"))</f>
        <v/>
      </c>
    </row>
    <row r="2817">
      <c r="A2817" s="79">
        <f>IF('Ordenes_Odoo'!A2817="","",'Ordenes_Odoo'!A2817)</f>
        <v/>
      </c>
      <c r="B2817" s="80">
        <f>IF('Ordenes_Odoo'!B2817="","",'Ordenes_Odoo'!B2817)</f>
        <v/>
      </c>
      <c r="C2817" s="79">
        <f>IF('Ordenes_Odoo'!C2817="","",'Ordenes_Odoo'!C2817)</f>
        <v/>
      </c>
      <c r="D2817" s="79">
        <f>IF('Ordenes_Odoo'!D2817="","",'Ordenes_Odoo'!D2817)</f>
        <v/>
      </c>
      <c r="E2817" s="79">
        <f>IF('Ordenes_Odoo'!E2817="","",'Ordenes_Odoo'!E2817)</f>
        <v/>
      </c>
      <c r="F2817" s="79">
        <f>IF('Ordenes_Odoo'!F2817="","",'Ordenes_Odoo'!F2817)</f>
        <v/>
      </c>
      <c r="G2817" s="79">
        <f>IF('Ordenes_Odoo'!G2817="","",'Ordenes_Odoo'!G2817)</f>
        <v/>
      </c>
      <c r="H2817" s="79">
        <f>IF('Ordenes_Odoo'!H2817="","",'Ordenes_Odoo'!H2817)</f>
        <v/>
      </c>
      <c r="I2817" s="79">
        <f>IF('Ordenes_Odoo'!I2817="","",'Ordenes_Odoo'!I2817)</f>
        <v/>
      </c>
      <c r="J2817" s="79">
        <f>IF('Ordenes_Odoo'!J2817="","",'Ordenes_Odoo'!J2817)</f>
        <v/>
      </c>
      <c r="K2817" s="81">
        <f>IF('Ordenes_Odoo'!K2817="","",'Ordenes_Odoo'!K2817)</f>
        <v/>
      </c>
      <c r="L2817" s="81">
        <f>IF('Ordenes_Odoo'!L2817="","",'Ordenes_Odoo'!L2817)</f>
        <v/>
      </c>
      <c r="M2817" s="79">
        <f>IF('Ordenes_Odoo'!M2817="","",'Ordenes_Odoo'!M2817)</f>
        <v/>
      </c>
      <c r="N2817" s="79">
        <f>IF('Ordenes_Odoo'!N2817="","",'Ordenes_Odoo'!N2817)</f>
        <v/>
      </c>
      <c r="O2817" s="81">
        <f>IF('Ordenes_Odoo'!O2817="","",'Ordenes_Odoo'!O2817)</f>
        <v/>
      </c>
      <c r="P2817" s="81">
        <f>IF('Ordenes_Odoo'!P2817="","",'Ordenes_Odoo'!P2817)</f>
        <v/>
      </c>
      <c r="Q2817" s="79">
        <f>IF(A2817="","",IFERROR(INDEX(Facturas_Odoo!$B:$B, MATCH(A2817, Facturas_Odoo!$D:$D, 0)), "Sin Factura"))</f>
        <v/>
      </c>
      <c r="R2817" s="80">
        <f>IF(Q2817="Sin Factura","",IFERROR(INDEX(Facturas_Odoo!$A:$A, MATCH(Q2817, Facturas_Odoo!$B:$B, 0)), ""))</f>
        <v/>
      </c>
      <c r="S2817" s="79">
        <f>IF(Q2817="Sin Factura","",IFERROR(_xlfn.XLOOKUP(1, (Facturas_Odoo!$D:$D=A2817) * (Facturas_Odoo!$K:$K=I2817), Facturas_Odoo!$L:$L, ""), ""))</f>
        <v/>
      </c>
      <c r="T2817" s="81">
        <f>IF(Q2817="Sin Factura",0,IFERROR(_xlfn.XLOOKUP(1, (Facturas_Odoo!$D:$D=A2817) * (Facturas_Odoo!$K:$K=I2817), Facturas_Odoo!$M:$M, 0), 0))</f>
        <v/>
      </c>
      <c r="U2817" s="79">
        <f>IF(Q2817="Sin Factura",0,IFERROR(_xlfn.XLOOKUP(1, (Facturas_Odoo!$D:$D=A2817) * (Facturas_Odoo!$K:$K=I2817), Facturas_Odoo!$N:$N, 0), 0))</f>
        <v/>
      </c>
      <c r="V2817" s="79">
        <f>IF(Q2817="Sin Factura",0,IFERROR(_xlfn.XLOOKUP(1, (Facturas_Odoo!$D:$D=A2817) * (Facturas_Odoo!$K:$K=I2817), Facturas_Odoo!$O:$O, 0), 0))</f>
        <v/>
      </c>
      <c r="W2817" s="81">
        <f>IF(Q2817="Sin Factura",0,IFERROR(_xlfn.XLOOKUP(1, (Facturas_Odoo!$D:$D=A2817) * (Facturas_Odoo!$K:$K=I2817), Facturas_Odoo!$Q:$Q, 0), 0))</f>
        <v/>
      </c>
      <c r="X2817" s="79">
        <f>IF(OR(Q2817="Sin Factura",Q2817=""),"",IFERROR(INDEX(Pagos_Odoo!$B:$B, MATCH(Q2817, Pagos_Odoo!$I:$I, 0)), "Sin Pago"))</f>
        <v/>
      </c>
      <c r="Y2817" s="79">
        <f>IF(X2817="Sin Pago","",IFERROR(INDEX(Pagos_Odoo!$C:$C, MATCH(X2817, Pagos_Odoo!$B:$B, 0)), ""))</f>
        <v/>
      </c>
      <c r="Z2817" s="80">
        <f>IF(X2817="Sin Pago","",IFERROR(INDEX(Pagos_Odoo!$A:$A, MATCH(X2817, Pagos_Odoo!$B:$B, 0)), ""))</f>
        <v/>
      </c>
      <c r="AA2817" s="79">
        <f>IF(X2817="Sin Pago","",IFERROR(INDEX(Pagos_Odoo!$F:$F, MATCH(X2817, Pagos_Odoo!$B:$B, 0)), ""))</f>
        <v/>
      </c>
      <c r="AB2817" s="81">
        <f>IF(X2817="Sin Pago",0,IFERROR(INDEX(Pagos_Odoo!$E:$E, MATCH(X2817, Pagos_Odoo!$B:$B, 0)), 0))</f>
        <v/>
      </c>
      <c r="AC2817" s="79">
        <f>IF(X2817="Sin Pago","",IFERROR(INDEX(Pagos_Odoo!$G:$G, MATCH(X2817, Pagos_Odoo!$B:$B, 0)), ""))</f>
        <v/>
      </c>
      <c r="AD2817" s="82" t="n">
        <v>0</v>
      </c>
      <c r="AE2817" s="82" t="n"/>
      <c r="AF2817" s="82" t="n"/>
      <c r="AG2817" s="82">
        <f>IF(AN2817="","",AD2817+AE2817+AF2817)</f>
        <v/>
      </c>
      <c r="AH2817" s="81">
        <f>IF(AN2817="","",P2817*(1-AG2817))</f>
        <v/>
      </c>
      <c r="AI2817" s="81">
        <f>IF(AN2817="","",IF(Q2817="Sin Factura",0,IFERROR(INDEX(Facturas_Odoo!$H:$H, MATCH(Q2817, Facturas_Odoo!$B:$B, 0)), 0)*(1-AG2817)))</f>
        <v/>
      </c>
      <c r="AJ2817" s="81">
        <f>IF(AN2817="","",_xlfn.LET(idVenta, AN2817&amp;"",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17" s="81">
        <f>IF(AN2817="","",AH2817-AJ2817)</f>
        <v/>
      </c>
      <c r="AL2817" s="81">
        <f>IF(AN2817="","",IF(Q2817="Sin Factura","",AI2817-AJ2817))</f>
        <v/>
      </c>
      <c r="AM2817" s="81">
        <f>IF(AN2817="","",IF(Q2817="Sin Factura",0,P2817-IFERROR(INDEX(Facturas_Odoo!$H:$H, MATCH(Q2817, Facturas_Odoo!$B:$B, 0)), 0)))</f>
        <v/>
      </c>
      <c r="AN2817" s="79">
        <f>IF(AND(A2817="", J2817=""), "", IF(A2817&lt;&gt;"", VALUE(MID(A2817,2,LEN(A2817))), AN2816))</f>
        <v/>
      </c>
      <c r="AO2817" s="79">
        <f>IF(AN2817="","",IF(AD2817=0,"OK",_xlfn.LET(monedaPago, IF(AA2817="","USD",AA2817), limitePermitido, IFERROR(VLOOKUP(monedaPago, Configuración!$A$2:$B$3, 2, FALSE), 0.15), IF(AD2817&gt;limitePermitido, "ALERTA: EXCESO (" &amp; TEXT(limitePermitido, "0%") &amp; " máx)", "OK"))))</f>
        <v/>
      </c>
      <c r="AP2817" s="79">
        <f>IF(AN2817="","",IF(AE2817=0,"OK",_xlfn.LET(fechaPago, Z2817, fechaFactura, R2817, diasCredito, IF(E2817="Pago inmediato", 0, IFERROR(VALUE(MID(E2817, 1, SEARCH(" ", E2817)-1)),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17" s="79">
        <f>IF(AN2817="","",IF(AND(N2817&gt;0, AG2817&gt;0), IF(Configuración!$K$2="NO", "ALERTA: DESCUENTO DOBLE NO PERMITIDO", "OK"), "OK"))</f>
        <v/>
      </c>
      <c r="AR2817" s="79">
        <f>IF(AN2817="","",IF(OR(AO2817&lt;&gt;"OK", AP2817&lt;&gt;"OK", AQ2817&lt;&gt;"OK"), "⚠️ REVISAR", "OK"))</f>
        <v/>
      </c>
    </row>
    <row r="2818">
      <c r="A2818" s="79">
        <f>IF('Ordenes_Odoo'!A2818="","",'Ordenes_Odoo'!A2818)</f>
        <v/>
      </c>
      <c r="B2818" s="80">
        <f>IF('Ordenes_Odoo'!B2818="","",'Ordenes_Odoo'!B2818)</f>
        <v/>
      </c>
      <c r="C2818" s="79">
        <f>IF('Ordenes_Odoo'!C2818="","",'Ordenes_Odoo'!C2818)</f>
        <v/>
      </c>
      <c r="D2818" s="79">
        <f>IF('Ordenes_Odoo'!D2818="","",'Ordenes_Odoo'!D2818)</f>
        <v/>
      </c>
      <c r="E2818" s="79">
        <f>IF('Ordenes_Odoo'!E2818="","",'Ordenes_Odoo'!E2818)</f>
        <v/>
      </c>
      <c r="F2818" s="79">
        <f>IF('Ordenes_Odoo'!F2818="","",'Ordenes_Odoo'!F2818)</f>
        <v/>
      </c>
      <c r="G2818" s="79">
        <f>IF('Ordenes_Odoo'!G2818="","",'Ordenes_Odoo'!G2818)</f>
        <v/>
      </c>
      <c r="H2818" s="79">
        <f>IF('Ordenes_Odoo'!H2818="","",'Ordenes_Odoo'!H2818)</f>
        <v/>
      </c>
      <c r="I2818" s="79">
        <f>IF('Ordenes_Odoo'!I2818="","",'Ordenes_Odoo'!I2818)</f>
        <v/>
      </c>
      <c r="J2818" s="79">
        <f>IF('Ordenes_Odoo'!J2818="","",'Ordenes_Odoo'!J2818)</f>
        <v/>
      </c>
      <c r="K2818" s="81">
        <f>IF('Ordenes_Odoo'!K2818="","",'Ordenes_Odoo'!K2818)</f>
        <v/>
      </c>
      <c r="L2818" s="81">
        <f>IF('Ordenes_Odoo'!L2818="","",'Ordenes_Odoo'!L2818)</f>
        <v/>
      </c>
      <c r="M2818" s="79">
        <f>IF('Ordenes_Odoo'!M2818="","",'Ordenes_Odoo'!M2818)</f>
        <v/>
      </c>
      <c r="N2818" s="79">
        <f>IF('Ordenes_Odoo'!N2818="","",'Ordenes_Odoo'!N2818)</f>
        <v/>
      </c>
      <c r="O2818" s="81">
        <f>IF('Ordenes_Odoo'!O2818="","",'Ordenes_Odoo'!O2818)</f>
        <v/>
      </c>
      <c r="P2818" s="81">
        <f>IF('Ordenes_Odoo'!P2818="","",'Ordenes_Odoo'!P2818)</f>
        <v/>
      </c>
      <c r="Q2818" s="79">
        <f>IF(A2818="","",IFERROR(INDEX(Facturas_Odoo!$B:$B, MATCH(A2818, Facturas_Odoo!$D:$D, 0)), "Sin Factura"))</f>
        <v/>
      </c>
      <c r="R2818" s="80">
        <f>IF(Q2818="Sin Factura","",IFERROR(INDEX(Facturas_Odoo!$A:$A, MATCH(Q2818, Facturas_Odoo!$B:$B, 0)), ""))</f>
        <v/>
      </c>
      <c r="S2818" s="79">
        <f>IF(Q2818="Sin Factura","",IFERROR(_xlfn.XLOOKUP(1, (Facturas_Odoo!$D:$D=A2818) * (Facturas_Odoo!$K:$K=I2818), Facturas_Odoo!$L:$L, ""), ""))</f>
        <v/>
      </c>
      <c r="T2818" s="81">
        <f>IF(Q2818="Sin Factura",0,IFERROR(_xlfn.XLOOKUP(1, (Facturas_Odoo!$D:$D=A2818) * (Facturas_Odoo!$K:$K=I2818), Facturas_Odoo!$M:$M, 0), 0))</f>
        <v/>
      </c>
      <c r="U2818" s="79">
        <f>IF(Q2818="Sin Factura",0,IFERROR(_xlfn.XLOOKUP(1, (Facturas_Odoo!$D:$D=A2818) * (Facturas_Odoo!$K:$K=I2818), Facturas_Odoo!$N:$N, 0), 0))</f>
        <v/>
      </c>
      <c r="V2818" s="79">
        <f>IF(Q2818="Sin Factura",0,IFERROR(_xlfn.XLOOKUP(1, (Facturas_Odoo!$D:$D=A2818) * (Facturas_Odoo!$K:$K=I2818), Facturas_Odoo!$O:$O, 0), 0))</f>
        <v/>
      </c>
      <c r="W2818" s="81">
        <f>IF(Q2818="Sin Factura",0,IFERROR(_xlfn.XLOOKUP(1, (Facturas_Odoo!$D:$D=A2818) * (Facturas_Odoo!$K:$K=I2818), Facturas_Odoo!$Q:$Q, 0), 0))</f>
        <v/>
      </c>
      <c r="X2818" s="79">
        <f>IF(OR(Q2818="Sin Factura",Q2818=""),"",IFERROR(INDEX(Pagos_Odoo!$B:$B, MATCH(Q2818, Pagos_Odoo!$I:$I, 0)), "Sin Pago"))</f>
        <v/>
      </c>
      <c r="Y2818" s="79">
        <f>IF(X2818="Sin Pago","",IFERROR(INDEX(Pagos_Odoo!$C:$C, MATCH(X2818, Pagos_Odoo!$B:$B, 0)), ""))</f>
        <v/>
      </c>
      <c r="Z2818" s="80">
        <f>IF(X2818="Sin Pago","",IFERROR(INDEX(Pagos_Odoo!$A:$A, MATCH(X2818, Pagos_Odoo!$B:$B, 0)), ""))</f>
        <v/>
      </c>
      <c r="AA2818" s="79">
        <f>IF(X2818="Sin Pago","",IFERROR(INDEX(Pagos_Odoo!$F:$F, MATCH(X2818, Pagos_Odoo!$B:$B, 0)), ""))</f>
        <v/>
      </c>
      <c r="AB2818" s="81">
        <f>IF(X2818="Sin Pago",0,IFERROR(INDEX(Pagos_Odoo!$E:$E, MATCH(X2818, Pagos_Odoo!$B:$B, 0)), 0))</f>
        <v/>
      </c>
      <c r="AC2818" s="79">
        <f>IF(X2818="Sin Pago","",IFERROR(INDEX(Pagos_Odoo!$G:$G, MATCH(X2818, Pagos_Odoo!$B:$B, 0)), ""))</f>
        <v/>
      </c>
      <c r="AD2818" s="82" t="n">
        <v>0</v>
      </c>
      <c r="AE2818" s="82" t="n"/>
      <c r="AF2818" s="82" t="n"/>
      <c r="AG2818" s="82">
        <f>IF(AN2818="","",AD2818+AE2818+AF2818)</f>
        <v/>
      </c>
      <c r="AH2818" s="81">
        <f>IF(AN2818="","",P2818*(1-AG2818))</f>
        <v/>
      </c>
      <c r="AI2818" s="81">
        <f>IF(AN2818="","",IF(Q2818="Sin Factura",0,IFERROR(INDEX(Facturas_Odoo!$H:$H, MATCH(Q2818, Facturas_Odoo!$B:$B, 0)), 0)*(1-AG2818)))</f>
        <v/>
      </c>
      <c r="AJ2818" s="81">
        <f>IF(AN2818="","",_xlfn.LET(idVenta, AN2818&amp;"",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18" s="81">
        <f>IF(AN2818="","",AH2818-AJ2818)</f>
        <v/>
      </c>
      <c r="AL2818" s="81">
        <f>IF(AN2818="","",IF(Q2818="Sin Factura","",AI2818-AJ2818))</f>
        <v/>
      </c>
      <c r="AM2818" s="81">
        <f>IF(AN2818="","",IF(Q2818="Sin Factura",0,P2818-IFERROR(INDEX(Facturas_Odoo!$H:$H, MATCH(Q2818, Facturas_Odoo!$B:$B, 0)), 0)))</f>
        <v/>
      </c>
      <c r="AN2818" s="79">
        <f>IF(AND(A2818="", J2818=""), "", IF(A2818&lt;&gt;"", VALUE(MID(A2818,2,LEN(A2818))), AN2817))</f>
        <v/>
      </c>
      <c r="AO2818" s="79">
        <f>IF(AN2818="","",IF(AD2818=0,"OK",_xlfn.LET(monedaPago, IF(AA2818="","USD",AA2818), limitePermitido, IFERROR(VLOOKUP(monedaPago, Configuración!$A$2:$B$3, 2, FALSE), 0.15), IF(AD2818&gt;limitePermitido, "ALERTA: EXCESO (" &amp; TEXT(limitePermitido, "0%") &amp; " máx)", "OK"))))</f>
        <v/>
      </c>
      <c r="AP2818" s="79">
        <f>IF(AN2818="","",IF(AE2818=0,"OK",_xlfn.LET(fechaPago, Z2818, fechaFactura, R2818, diasCredito, IF(E2818="Pago inmediato", 0, IFERROR(VALUE(MID(E2818, 1, SEARCH(" ", E2818)-1)),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18" s="79">
        <f>IF(AN2818="","",IF(AND(N2818&gt;0, AG2818&gt;0), IF(Configuración!$K$2="NO", "ALERTA: DESCUENTO DOBLE NO PERMITIDO", "OK"), "OK"))</f>
        <v/>
      </c>
      <c r="AR2818" s="79">
        <f>IF(AN2818="","",IF(OR(AO2818&lt;&gt;"OK", AP2818&lt;&gt;"OK", AQ2818&lt;&gt;"OK"), "⚠️ REVISAR", "OK"))</f>
        <v/>
      </c>
    </row>
    <row r="2819">
      <c r="A2819" s="79">
        <f>IF('Ordenes_Odoo'!A2819="","",'Ordenes_Odoo'!A2819)</f>
        <v/>
      </c>
      <c r="B2819" s="80">
        <f>IF('Ordenes_Odoo'!B2819="","",'Ordenes_Odoo'!B2819)</f>
        <v/>
      </c>
      <c r="C2819" s="79">
        <f>IF('Ordenes_Odoo'!C2819="","",'Ordenes_Odoo'!C2819)</f>
        <v/>
      </c>
      <c r="D2819" s="79">
        <f>IF('Ordenes_Odoo'!D2819="","",'Ordenes_Odoo'!D2819)</f>
        <v/>
      </c>
      <c r="E2819" s="79">
        <f>IF('Ordenes_Odoo'!E2819="","",'Ordenes_Odoo'!E2819)</f>
        <v/>
      </c>
      <c r="F2819" s="79">
        <f>IF('Ordenes_Odoo'!F2819="","",'Ordenes_Odoo'!F2819)</f>
        <v/>
      </c>
      <c r="G2819" s="79">
        <f>IF('Ordenes_Odoo'!G2819="","",'Ordenes_Odoo'!G2819)</f>
        <v/>
      </c>
      <c r="H2819" s="79">
        <f>IF('Ordenes_Odoo'!H2819="","",'Ordenes_Odoo'!H2819)</f>
        <v/>
      </c>
      <c r="I2819" s="79">
        <f>IF('Ordenes_Odoo'!I2819="","",'Ordenes_Odoo'!I2819)</f>
        <v/>
      </c>
      <c r="J2819" s="79">
        <f>IF('Ordenes_Odoo'!J2819="","",'Ordenes_Odoo'!J2819)</f>
        <v/>
      </c>
      <c r="K2819" s="81">
        <f>IF('Ordenes_Odoo'!K2819="","",'Ordenes_Odoo'!K2819)</f>
        <v/>
      </c>
      <c r="L2819" s="81">
        <f>IF('Ordenes_Odoo'!L2819="","",'Ordenes_Odoo'!L2819)</f>
        <v/>
      </c>
      <c r="M2819" s="79">
        <f>IF('Ordenes_Odoo'!M2819="","",'Ordenes_Odoo'!M2819)</f>
        <v/>
      </c>
      <c r="N2819" s="79">
        <f>IF('Ordenes_Odoo'!N2819="","",'Ordenes_Odoo'!N2819)</f>
        <v/>
      </c>
      <c r="O2819" s="81">
        <f>IF('Ordenes_Odoo'!O2819="","",'Ordenes_Odoo'!O2819)</f>
        <v/>
      </c>
      <c r="P2819" s="81">
        <f>IF('Ordenes_Odoo'!P2819="","",'Ordenes_Odoo'!P2819)</f>
        <v/>
      </c>
      <c r="Q2819" s="79">
        <f>IF(A2819="","",IFERROR(INDEX(Facturas_Odoo!$B:$B, MATCH(A2819, Facturas_Odoo!$D:$D, 0)), "Sin Factura"))</f>
        <v/>
      </c>
      <c r="R2819" s="80">
        <f>IF(Q2819="Sin Factura","",IFERROR(INDEX(Facturas_Odoo!$A:$A, MATCH(Q2819, Facturas_Odoo!$B:$B, 0)), ""))</f>
        <v/>
      </c>
      <c r="S2819" s="79">
        <f>IF(Q2819="Sin Factura","",IFERROR(_xlfn.XLOOKUP(1, (Facturas_Odoo!$D:$D=A2819) * (Facturas_Odoo!$K:$K=I2819), Facturas_Odoo!$L:$L, ""), ""))</f>
        <v/>
      </c>
      <c r="T2819" s="81">
        <f>IF(Q2819="Sin Factura",0,IFERROR(_xlfn.XLOOKUP(1, (Facturas_Odoo!$D:$D=A2819) * (Facturas_Odoo!$K:$K=I2819), Facturas_Odoo!$M:$M, 0), 0))</f>
        <v/>
      </c>
      <c r="U2819" s="79">
        <f>IF(Q2819="Sin Factura",0,IFERROR(_xlfn.XLOOKUP(1, (Facturas_Odoo!$D:$D=A2819) * (Facturas_Odoo!$K:$K=I2819), Facturas_Odoo!$N:$N, 0), 0))</f>
        <v/>
      </c>
      <c r="V2819" s="79">
        <f>IF(Q2819="Sin Factura",0,IFERROR(_xlfn.XLOOKUP(1, (Facturas_Odoo!$D:$D=A2819) * (Facturas_Odoo!$K:$K=I2819), Facturas_Odoo!$O:$O, 0), 0))</f>
        <v/>
      </c>
      <c r="W2819" s="81">
        <f>IF(Q2819="Sin Factura",0,IFERROR(_xlfn.XLOOKUP(1, (Facturas_Odoo!$D:$D=A2819) * (Facturas_Odoo!$K:$K=I2819), Facturas_Odoo!$Q:$Q, 0), 0))</f>
        <v/>
      </c>
      <c r="X2819" s="79">
        <f>IF(OR(Q2819="Sin Factura",Q2819=""),"",IFERROR(INDEX(Pagos_Odoo!$B:$B, MATCH(Q2819, Pagos_Odoo!$I:$I, 0)), "Sin Pago"))</f>
        <v/>
      </c>
      <c r="Y2819" s="79">
        <f>IF(X2819="Sin Pago","",IFERROR(INDEX(Pagos_Odoo!$C:$C, MATCH(X2819, Pagos_Odoo!$B:$B, 0)), ""))</f>
        <v/>
      </c>
      <c r="Z2819" s="80">
        <f>IF(X2819="Sin Pago","",IFERROR(INDEX(Pagos_Odoo!$A:$A, MATCH(X2819, Pagos_Odoo!$B:$B, 0)), ""))</f>
        <v/>
      </c>
      <c r="AA2819" s="79">
        <f>IF(X2819="Sin Pago","",IFERROR(INDEX(Pagos_Odoo!$F:$F, MATCH(X2819, Pagos_Odoo!$B:$B, 0)), ""))</f>
        <v/>
      </c>
      <c r="AB2819" s="81">
        <f>IF(X2819="Sin Pago",0,IFERROR(INDEX(Pagos_Odoo!$E:$E, MATCH(X2819, Pagos_Odoo!$B:$B, 0)), 0))</f>
        <v/>
      </c>
      <c r="AC2819" s="79">
        <f>IF(X2819="Sin Pago","",IFERROR(INDEX(Pagos_Odoo!$G:$G, MATCH(X2819, Pagos_Odoo!$B:$B, 0)), ""))</f>
        <v/>
      </c>
      <c r="AD2819" s="82" t="n">
        <v>0</v>
      </c>
      <c r="AE2819" s="82" t="n"/>
      <c r="AF2819" s="82" t="n"/>
      <c r="AG2819" s="82">
        <f>IF(AN2819="","",AD2819+AE2819+AF2819)</f>
        <v/>
      </c>
      <c r="AH2819" s="81">
        <f>IF(AN2819="","",P2819*(1-AG2819))</f>
        <v/>
      </c>
      <c r="AI2819" s="81">
        <f>IF(AN2819="","",IF(Q2819="Sin Factura",0,IFERROR(INDEX(Facturas_Odoo!$H:$H, MATCH(Q2819, Facturas_Odoo!$B:$B, 0)), 0)*(1-AG2819)))</f>
        <v/>
      </c>
      <c r="AJ2819" s="81">
        <f>IF(AN2819="","",_xlfn.LET(idVenta, AN2819&amp;"",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19" s="81">
        <f>IF(AN2819="","",AH2819-AJ2819)</f>
        <v/>
      </c>
      <c r="AL2819" s="81">
        <f>IF(AN2819="","",IF(Q2819="Sin Factura","",AI2819-AJ2819))</f>
        <v/>
      </c>
      <c r="AM2819" s="81">
        <f>IF(AN2819="","",IF(Q2819="Sin Factura",0,P2819-IFERROR(INDEX(Facturas_Odoo!$H:$H, MATCH(Q2819, Facturas_Odoo!$B:$B, 0)), 0)))</f>
        <v/>
      </c>
      <c r="AN2819" s="79">
        <f>IF(AND(A2819="", J2819=""), "", IF(A2819&lt;&gt;"", VALUE(MID(A2819,2,LEN(A2819))), AN2818))</f>
        <v/>
      </c>
      <c r="AO2819" s="79">
        <f>IF(AN2819="","",IF(AD2819=0,"OK",_xlfn.LET(monedaPago, IF(AA2819="","USD",AA2819), limitePermitido, IFERROR(VLOOKUP(monedaPago, Configuración!$A$2:$B$3, 2, FALSE), 0.15), IF(AD2819&gt;limitePermitido, "ALERTA: EXCESO (" &amp; TEXT(limitePermitido, "0%") &amp; " máx)", "OK"))))</f>
        <v/>
      </c>
      <c r="AP2819" s="79">
        <f>IF(AN2819="","",IF(AE2819=0,"OK",_xlfn.LET(fechaPago, Z2819, fechaFactura, R2819, diasCredito, IF(E2819="Pago inmediato", 0, IFERROR(VALUE(MID(E2819, 1, SEARCH(" ", E2819)-1)),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19" s="79">
        <f>IF(AN2819="","",IF(AND(N2819&gt;0, AG2819&gt;0), IF(Configuración!$K$2="NO", "ALERTA: DESCUENTO DOBLE NO PERMITIDO", "OK"), "OK"))</f>
        <v/>
      </c>
      <c r="AR2819" s="79">
        <f>IF(AN2819="","",IF(OR(AO2819&lt;&gt;"OK", AP2819&lt;&gt;"OK", AQ2819&lt;&gt;"OK"), "⚠️ REVISAR", "OK"))</f>
        <v/>
      </c>
    </row>
    <row r="2820">
      <c r="A2820" s="79">
        <f>IF('Ordenes_Odoo'!A2820="","",'Ordenes_Odoo'!A2820)</f>
        <v/>
      </c>
      <c r="B2820" s="80">
        <f>IF('Ordenes_Odoo'!B2820="","",'Ordenes_Odoo'!B2820)</f>
        <v/>
      </c>
      <c r="C2820" s="79">
        <f>IF('Ordenes_Odoo'!C2820="","",'Ordenes_Odoo'!C2820)</f>
        <v/>
      </c>
      <c r="D2820" s="79">
        <f>IF('Ordenes_Odoo'!D2820="","",'Ordenes_Odoo'!D2820)</f>
        <v/>
      </c>
      <c r="E2820" s="79">
        <f>IF('Ordenes_Odoo'!E2820="","",'Ordenes_Odoo'!E2820)</f>
        <v/>
      </c>
      <c r="F2820" s="79">
        <f>IF('Ordenes_Odoo'!F2820="","",'Ordenes_Odoo'!F2820)</f>
        <v/>
      </c>
      <c r="G2820" s="79">
        <f>IF('Ordenes_Odoo'!G2820="","",'Ordenes_Odoo'!G2820)</f>
        <v/>
      </c>
      <c r="H2820" s="79">
        <f>IF('Ordenes_Odoo'!H2820="","",'Ordenes_Odoo'!H2820)</f>
        <v/>
      </c>
      <c r="I2820" s="79">
        <f>IF('Ordenes_Odoo'!I2820="","",'Ordenes_Odoo'!I2820)</f>
        <v/>
      </c>
      <c r="J2820" s="79">
        <f>IF('Ordenes_Odoo'!J2820="","",'Ordenes_Odoo'!J2820)</f>
        <v/>
      </c>
      <c r="K2820" s="81">
        <f>IF('Ordenes_Odoo'!K2820="","",'Ordenes_Odoo'!K2820)</f>
        <v/>
      </c>
      <c r="L2820" s="81">
        <f>IF('Ordenes_Odoo'!L2820="","",'Ordenes_Odoo'!L2820)</f>
        <v/>
      </c>
      <c r="M2820" s="79">
        <f>IF('Ordenes_Odoo'!M2820="","",'Ordenes_Odoo'!M2820)</f>
        <v/>
      </c>
      <c r="N2820" s="79">
        <f>IF('Ordenes_Odoo'!N2820="","",'Ordenes_Odoo'!N2820)</f>
        <v/>
      </c>
      <c r="O2820" s="81">
        <f>IF('Ordenes_Odoo'!O2820="","",'Ordenes_Odoo'!O2820)</f>
        <v/>
      </c>
      <c r="P2820" s="81">
        <f>IF('Ordenes_Odoo'!P2820="","",'Ordenes_Odoo'!P2820)</f>
        <v/>
      </c>
      <c r="Q2820" s="79">
        <f>IF(A2820="","",IFERROR(INDEX(Facturas_Odoo!$B:$B, MATCH(A2820, Facturas_Odoo!$D:$D, 0)), "Sin Factura"))</f>
        <v/>
      </c>
      <c r="R2820" s="80">
        <f>IF(Q2820="Sin Factura","",IFERROR(INDEX(Facturas_Odoo!$A:$A, MATCH(Q2820, Facturas_Odoo!$B:$B, 0)), ""))</f>
        <v/>
      </c>
      <c r="S2820" s="79">
        <f>IF(Q2820="Sin Factura","",IFERROR(_xlfn.XLOOKUP(1, (Facturas_Odoo!$D:$D=A2820) * (Facturas_Odoo!$K:$K=I2820), Facturas_Odoo!$L:$L, ""), ""))</f>
        <v/>
      </c>
      <c r="T2820" s="81">
        <f>IF(Q2820="Sin Factura",0,IFERROR(_xlfn.XLOOKUP(1, (Facturas_Odoo!$D:$D=A2820) * (Facturas_Odoo!$K:$K=I2820), Facturas_Odoo!$M:$M, 0), 0))</f>
        <v/>
      </c>
      <c r="U2820" s="79">
        <f>IF(Q2820="Sin Factura",0,IFERROR(_xlfn.XLOOKUP(1, (Facturas_Odoo!$D:$D=A2820) * (Facturas_Odoo!$K:$K=I2820), Facturas_Odoo!$N:$N, 0), 0))</f>
        <v/>
      </c>
      <c r="V2820" s="79">
        <f>IF(Q2820="Sin Factura",0,IFERROR(_xlfn.XLOOKUP(1, (Facturas_Odoo!$D:$D=A2820) * (Facturas_Odoo!$K:$K=I2820), Facturas_Odoo!$O:$O, 0), 0))</f>
        <v/>
      </c>
      <c r="W2820" s="81">
        <f>IF(Q2820="Sin Factura",0,IFERROR(_xlfn.XLOOKUP(1, (Facturas_Odoo!$D:$D=A2820) * (Facturas_Odoo!$K:$K=I2820), Facturas_Odoo!$Q:$Q, 0), 0))</f>
        <v/>
      </c>
      <c r="X2820" s="79">
        <f>IF(OR(Q2820="Sin Factura",Q2820=""),"",IFERROR(INDEX(Pagos_Odoo!$B:$B, MATCH(Q2820, Pagos_Odoo!$I:$I, 0)), "Sin Pago"))</f>
        <v/>
      </c>
      <c r="Y2820" s="79">
        <f>IF(X2820="Sin Pago","",IFERROR(INDEX(Pagos_Odoo!$C:$C, MATCH(X2820, Pagos_Odoo!$B:$B, 0)), ""))</f>
        <v/>
      </c>
      <c r="Z2820" s="80">
        <f>IF(X2820="Sin Pago","",IFERROR(INDEX(Pagos_Odoo!$A:$A, MATCH(X2820, Pagos_Odoo!$B:$B, 0)), ""))</f>
        <v/>
      </c>
      <c r="AA2820" s="79">
        <f>IF(X2820="Sin Pago","",IFERROR(INDEX(Pagos_Odoo!$F:$F, MATCH(X2820, Pagos_Odoo!$B:$B, 0)), ""))</f>
        <v/>
      </c>
      <c r="AB2820" s="81">
        <f>IF(X2820="Sin Pago",0,IFERROR(INDEX(Pagos_Odoo!$E:$E, MATCH(X2820, Pagos_Odoo!$B:$B, 0)), 0))</f>
        <v/>
      </c>
      <c r="AC2820" s="79">
        <f>IF(X2820="Sin Pago","",IFERROR(INDEX(Pagos_Odoo!$G:$G, MATCH(X2820, Pagos_Odoo!$B:$B, 0)), ""))</f>
        <v/>
      </c>
      <c r="AD2820" s="82" t="n">
        <v>0</v>
      </c>
      <c r="AE2820" s="82" t="n"/>
      <c r="AF2820" s="82" t="n"/>
      <c r="AG2820" s="82">
        <f>IF(AN2820="","",AD2820+AE2820+AF2820)</f>
        <v/>
      </c>
      <c r="AH2820" s="81">
        <f>IF(AN2820="","",P2820*(1-AG2820))</f>
        <v/>
      </c>
      <c r="AI2820" s="81">
        <f>IF(AN2820="","",IF(Q2820="Sin Factura",0,IFERROR(INDEX(Facturas_Odoo!$H:$H, MATCH(Q2820, Facturas_Odoo!$B:$B, 0)), 0)*(1-AG2820)))</f>
        <v/>
      </c>
      <c r="AJ2820" s="81">
        <f>IF(AN2820="","",_xlfn.LET(idVenta, AN2820&amp;"",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20" s="81">
        <f>IF(AN2820="","",AH2820-AJ2820)</f>
        <v/>
      </c>
      <c r="AL2820" s="81">
        <f>IF(AN2820="","",IF(Q2820="Sin Factura","",AI2820-AJ2820))</f>
        <v/>
      </c>
      <c r="AM2820" s="81">
        <f>IF(AN2820="","",IF(Q2820="Sin Factura",0,P2820-IFERROR(INDEX(Facturas_Odoo!$H:$H, MATCH(Q2820, Facturas_Odoo!$B:$B, 0)), 0)))</f>
        <v/>
      </c>
      <c r="AN2820" s="79">
        <f>IF(AND(A2820="", J2820=""), "", IF(A2820&lt;&gt;"", VALUE(MID(A2820,2,LEN(A2820))), AN2819))</f>
        <v/>
      </c>
      <c r="AO2820" s="79">
        <f>IF(AN2820="","",IF(AD2820=0,"OK",_xlfn.LET(monedaPago, IF(AA2820="","USD",AA2820), limitePermitido, IFERROR(VLOOKUP(monedaPago, Configuración!$A$2:$B$3, 2, FALSE), 0.15), IF(AD2820&gt;limitePermitido, "ALERTA: EXCESO (" &amp; TEXT(limitePermitido, "0%") &amp; " máx)", "OK"))))</f>
        <v/>
      </c>
      <c r="AP2820" s="79">
        <f>IF(AN2820="","",IF(AE2820=0,"OK",_xlfn.LET(fechaPago, Z2820, fechaFactura, R2820, diasCredito, IF(E2820="Pago inmediato", 0, IFERROR(VALUE(MID(E2820, 1, SEARCH(" ", E2820)-1)),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20" s="79">
        <f>IF(AN2820="","",IF(AND(N2820&gt;0, AG2820&gt;0), IF(Configuración!$K$2="NO", "ALERTA: DESCUENTO DOBLE NO PERMITIDO", "OK"), "OK"))</f>
        <v/>
      </c>
      <c r="AR2820" s="79">
        <f>IF(AN2820="","",IF(OR(AO2820&lt;&gt;"OK", AP2820&lt;&gt;"OK", AQ2820&lt;&gt;"OK"), "⚠️ REVISAR", "OK"))</f>
        <v/>
      </c>
    </row>
    <row r="2821">
      <c r="A2821" s="79">
        <f>IF('Ordenes_Odoo'!A2821="","",'Ordenes_Odoo'!A2821)</f>
        <v/>
      </c>
      <c r="B2821" s="80">
        <f>IF('Ordenes_Odoo'!B2821="","",'Ordenes_Odoo'!B2821)</f>
        <v/>
      </c>
      <c r="C2821" s="79">
        <f>IF('Ordenes_Odoo'!C2821="","",'Ordenes_Odoo'!C2821)</f>
        <v/>
      </c>
      <c r="D2821" s="79">
        <f>IF('Ordenes_Odoo'!D2821="","",'Ordenes_Odoo'!D2821)</f>
        <v/>
      </c>
      <c r="E2821" s="79">
        <f>IF('Ordenes_Odoo'!E2821="","",'Ordenes_Odoo'!E2821)</f>
        <v/>
      </c>
      <c r="F2821" s="79">
        <f>IF('Ordenes_Odoo'!F2821="","",'Ordenes_Odoo'!F2821)</f>
        <v/>
      </c>
      <c r="G2821" s="79">
        <f>IF('Ordenes_Odoo'!G2821="","",'Ordenes_Odoo'!G2821)</f>
        <v/>
      </c>
      <c r="H2821" s="79">
        <f>IF('Ordenes_Odoo'!H2821="","",'Ordenes_Odoo'!H2821)</f>
        <v/>
      </c>
      <c r="I2821" s="79">
        <f>IF('Ordenes_Odoo'!I2821="","",'Ordenes_Odoo'!I2821)</f>
        <v/>
      </c>
      <c r="J2821" s="79">
        <f>IF('Ordenes_Odoo'!J2821="","",'Ordenes_Odoo'!J2821)</f>
        <v/>
      </c>
      <c r="K2821" s="81">
        <f>IF('Ordenes_Odoo'!K2821="","",'Ordenes_Odoo'!K2821)</f>
        <v/>
      </c>
      <c r="L2821" s="81">
        <f>IF('Ordenes_Odoo'!L2821="","",'Ordenes_Odoo'!L2821)</f>
        <v/>
      </c>
      <c r="M2821" s="79">
        <f>IF('Ordenes_Odoo'!M2821="","",'Ordenes_Odoo'!M2821)</f>
        <v/>
      </c>
      <c r="N2821" s="79">
        <f>IF('Ordenes_Odoo'!N2821="","",'Ordenes_Odoo'!N2821)</f>
        <v/>
      </c>
      <c r="O2821" s="81">
        <f>IF('Ordenes_Odoo'!O2821="","",'Ordenes_Odoo'!O2821)</f>
        <v/>
      </c>
      <c r="P2821" s="81">
        <f>IF('Ordenes_Odoo'!P2821="","",'Ordenes_Odoo'!P2821)</f>
        <v/>
      </c>
      <c r="Q2821" s="79">
        <f>IF(A2821="","",IFERROR(INDEX(Facturas_Odoo!$B:$B, MATCH(A2821, Facturas_Odoo!$D:$D, 0)), "Sin Factura"))</f>
        <v/>
      </c>
      <c r="R2821" s="80">
        <f>IF(Q2821="Sin Factura","",IFERROR(INDEX(Facturas_Odoo!$A:$A, MATCH(Q2821, Facturas_Odoo!$B:$B, 0)), ""))</f>
        <v/>
      </c>
      <c r="S2821" s="79">
        <f>IF(Q2821="Sin Factura","",IFERROR(_xlfn.XLOOKUP(1, (Facturas_Odoo!$D:$D=A2821) * (Facturas_Odoo!$K:$K=I2821), Facturas_Odoo!$L:$L, ""), ""))</f>
        <v/>
      </c>
      <c r="T2821" s="81">
        <f>IF(Q2821="Sin Factura",0,IFERROR(_xlfn.XLOOKUP(1, (Facturas_Odoo!$D:$D=A2821) * (Facturas_Odoo!$K:$K=I2821), Facturas_Odoo!$M:$M, 0), 0))</f>
        <v/>
      </c>
      <c r="U2821" s="79">
        <f>IF(Q2821="Sin Factura",0,IFERROR(_xlfn.XLOOKUP(1, (Facturas_Odoo!$D:$D=A2821) * (Facturas_Odoo!$K:$K=I2821), Facturas_Odoo!$N:$N, 0), 0))</f>
        <v/>
      </c>
      <c r="V2821" s="79">
        <f>IF(Q2821="Sin Factura",0,IFERROR(_xlfn.XLOOKUP(1, (Facturas_Odoo!$D:$D=A2821) * (Facturas_Odoo!$K:$K=I2821), Facturas_Odoo!$O:$O, 0), 0))</f>
        <v/>
      </c>
      <c r="W2821" s="81">
        <f>IF(Q2821="Sin Factura",0,IFERROR(_xlfn.XLOOKUP(1, (Facturas_Odoo!$D:$D=A2821) * (Facturas_Odoo!$K:$K=I2821), Facturas_Odoo!$Q:$Q, 0), 0))</f>
        <v/>
      </c>
      <c r="X2821" s="79">
        <f>IF(OR(Q2821="Sin Factura",Q2821=""),"",IFERROR(INDEX(Pagos_Odoo!$B:$B, MATCH(Q2821, Pagos_Odoo!$I:$I, 0)), "Sin Pago"))</f>
        <v/>
      </c>
      <c r="Y2821" s="79">
        <f>IF(X2821="Sin Pago","",IFERROR(INDEX(Pagos_Odoo!$C:$C, MATCH(X2821, Pagos_Odoo!$B:$B, 0)), ""))</f>
        <v/>
      </c>
      <c r="Z2821" s="80">
        <f>IF(X2821="Sin Pago","",IFERROR(INDEX(Pagos_Odoo!$A:$A, MATCH(X2821, Pagos_Odoo!$B:$B, 0)), ""))</f>
        <v/>
      </c>
      <c r="AA2821" s="79">
        <f>IF(X2821="Sin Pago","",IFERROR(INDEX(Pagos_Odoo!$F:$F, MATCH(X2821, Pagos_Odoo!$B:$B, 0)), ""))</f>
        <v/>
      </c>
      <c r="AB2821" s="81">
        <f>IF(X2821="Sin Pago",0,IFERROR(INDEX(Pagos_Odoo!$E:$E, MATCH(X2821, Pagos_Odoo!$B:$B, 0)), 0))</f>
        <v/>
      </c>
      <c r="AC2821" s="79">
        <f>IF(X2821="Sin Pago","",IFERROR(INDEX(Pagos_Odoo!$G:$G, MATCH(X2821, Pagos_Odoo!$B:$B, 0)), ""))</f>
        <v/>
      </c>
      <c r="AD2821" s="82" t="n">
        <v>0</v>
      </c>
      <c r="AE2821" s="82" t="n"/>
      <c r="AF2821" s="82" t="n"/>
      <c r="AG2821" s="82">
        <f>IF(AN2821="","",AD2821+AE2821+AF2821)</f>
        <v/>
      </c>
      <c r="AH2821" s="81">
        <f>IF(AN2821="","",P2821*(1-AG2821))</f>
        <v/>
      </c>
      <c r="AI2821" s="81">
        <f>IF(AN2821="","",IF(Q2821="Sin Factura",0,IFERROR(INDEX(Facturas_Odoo!$H:$H, MATCH(Q2821, Facturas_Odoo!$B:$B, 0)), 0)*(1-AG2821)))</f>
        <v/>
      </c>
      <c r="AJ2821" s="81">
        <f>IF(AN2821="","",_xlfn.LET(idVenta, AN2821&amp;"",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21" s="81">
        <f>IF(AN2821="","",AH2821-AJ2821)</f>
        <v/>
      </c>
      <c r="AL2821" s="81">
        <f>IF(AN2821="","",IF(Q2821="Sin Factura","",AI2821-AJ2821))</f>
        <v/>
      </c>
      <c r="AM2821" s="81">
        <f>IF(AN2821="","",IF(Q2821="Sin Factura",0,P2821-IFERROR(INDEX(Facturas_Odoo!$H:$H, MATCH(Q2821, Facturas_Odoo!$B:$B, 0)), 0)))</f>
        <v/>
      </c>
      <c r="AN2821" s="79">
        <f>IF(AND(A2821="", J2821=""), "", IF(A2821&lt;&gt;"", VALUE(MID(A2821,2,LEN(A2821))), AN2820))</f>
        <v/>
      </c>
      <c r="AO2821" s="79">
        <f>IF(AN2821="","",IF(AD2821=0,"OK",_xlfn.LET(monedaPago, IF(AA2821="","USD",AA2821), limitePermitido, IFERROR(VLOOKUP(monedaPago, Configuración!$A$2:$B$3, 2, FALSE), 0.15), IF(AD2821&gt;limitePermitido, "ALERTA: EXCESO (" &amp; TEXT(limitePermitido, "0%") &amp; " máx)", "OK"))))</f>
        <v/>
      </c>
      <c r="AP2821" s="79">
        <f>IF(AN2821="","",IF(AE2821=0,"OK",_xlfn.LET(fechaPago, Z2821, fechaFactura, R2821, diasCredito, IF(E2821="Pago inmediato", 0, IFERROR(VALUE(MID(E2821, 1, SEARCH(" ", E2821)-1)),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21" s="79">
        <f>IF(AN2821="","",IF(AND(N2821&gt;0, AG2821&gt;0), IF(Configuración!$K$2="NO", "ALERTA: DESCUENTO DOBLE NO PERMITIDO", "OK"), "OK"))</f>
        <v/>
      </c>
      <c r="AR2821" s="79">
        <f>IF(AN2821="","",IF(OR(AO2821&lt;&gt;"OK", AP2821&lt;&gt;"OK", AQ2821&lt;&gt;"OK"), "⚠️ REVISAR", "OK"))</f>
        <v/>
      </c>
    </row>
    <row r="2822">
      <c r="A2822" s="79">
        <f>IF('Ordenes_Odoo'!A2822="","",'Ordenes_Odoo'!A2822)</f>
        <v/>
      </c>
      <c r="B2822" s="80">
        <f>IF('Ordenes_Odoo'!B2822="","",'Ordenes_Odoo'!B2822)</f>
        <v/>
      </c>
      <c r="C2822" s="79">
        <f>IF('Ordenes_Odoo'!C2822="","",'Ordenes_Odoo'!C2822)</f>
        <v/>
      </c>
      <c r="D2822" s="79">
        <f>IF('Ordenes_Odoo'!D2822="","",'Ordenes_Odoo'!D2822)</f>
        <v/>
      </c>
      <c r="E2822" s="79">
        <f>IF('Ordenes_Odoo'!E2822="","",'Ordenes_Odoo'!E2822)</f>
        <v/>
      </c>
      <c r="F2822" s="79">
        <f>IF('Ordenes_Odoo'!F2822="","",'Ordenes_Odoo'!F2822)</f>
        <v/>
      </c>
      <c r="G2822" s="79">
        <f>IF('Ordenes_Odoo'!G2822="","",'Ordenes_Odoo'!G2822)</f>
        <v/>
      </c>
      <c r="H2822" s="79">
        <f>IF('Ordenes_Odoo'!H2822="","",'Ordenes_Odoo'!H2822)</f>
        <v/>
      </c>
      <c r="I2822" s="79">
        <f>IF('Ordenes_Odoo'!I2822="","",'Ordenes_Odoo'!I2822)</f>
        <v/>
      </c>
      <c r="J2822" s="79">
        <f>IF('Ordenes_Odoo'!J2822="","",'Ordenes_Odoo'!J2822)</f>
        <v/>
      </c>
      <c r="K2822" s="81">
        <f>IF('Ordenes_Odoo'!K2822="","",'Ordenes_Odoo'!K2822)</f>
        <v/>
      </c>
      <c r="L2822" s="81">
        <f>IF('Ordenes_Odoo'!L2822="","",'Ordenes_Odoo'!L2822)</f>
        <v/>
      </c>
      <c r="M2822" s="79">
        <f>IF('Ordenes_Odoo'!M2822="","",'Ordenes_Odoo'!M2822)</f>
        <v/>
      </c>
      <c r="N2822" s="79">
        <f>IF('Ordenes_Odoo'!N2822="","",'Ordenes_Odoo'!N2822)</f>
        <v/>
      </c>
      <c r="O2822" s="81">
        <f>IF('Ordenes_Odoo'!O2822="","",'Ordenes_Odoo'!O2822)</f>
        <v/>
      </c>
      <c r="P2822" s="81">
        <f>IF('Ordenes_Odoo'!P2822="","",'Ordenes_Odoo'!P2822)</f>
        <v/>
      </c>
      <c r="Q2822" s="79">
        <f>IF(A2822="","",IFERROR(INDEX(Facturas_Odoo!$B:$B, MATCH(A2822, Facturas_Odoo!$D:$D, 0)), "Sin Factura"))</f>
        <v/>
      </c>
      <c r="R2822" s="80">
        <f>IF(Q2822="Sin Factura","",IFERROR(INDEX(Facturas_Odoo!$A:$A, MATCH(Q2822, Facturas_Odoo!$B:$B, 0)), ""))</f>
        <v/>
      </c>
      <c r="S2822" s="79">
        <f>IF(Q2822="Sin Factura","",IFERROR(_xlfn.XLOOKUP(1, (Facturas_Odoo!$D:$D=A2822) * (Facturas_Odoo!$K:$K=I2822), Facturas_Odoo!$L:$L, ""), ""))</f>
        <v/>
      </c>
      <c r="T2822" s="81">
        <f>IF(Q2822="Sin Factura",0,IFERROR(_xlfn.XLOOKUP(1, (Facturas_Odoo!$D:$D=A2822) * (Facturas_Odoo!$K:$K=I2822), Facturas_Odoo!$M:$M, 0), 0))</f>
        <v/>
      </c>
      <c r="U2822" s="79">
        <f>IF(Q2822="Sin Factura",0,IFERROR(_xlfn.XLOOKUP(1, (Facturas_Odoo!$D:$D=A2822) * (Facturas_Odoo!$K:$K=I2822), Facturas_Odoo!$N:$N, 0), 0))</f>
        <v/>
      </c>
      <c r="V2822" s="79">
        <f>IF(Q2822="Sin Factura",0,IFERROR(_xlfn.XLOOKUP(1, (Facturas_Odoo!$D:$D=A2822) * (Facturas_Odoo!$K:$K=I2822), Facturas_Odoo!$O:$O, 0), 0))</f>
        <v/>
      </c>
      <c r="W2822" s="81">
        <f>IF(Q2822="Sin Factura",0,IFERROR(_xlfn.XLOOKUP(1, (Facturas_Odoo!$D:$D=A2822) * (Facturas_Odoo!$K:$K=I2822), Facturas_Odoo!$Q:$Q, 0), 0))</f>
        <v/>
      </c>
      <c r="X2822" s="79">
        <f>IF(OR(Q2822="Sin Factura",Q2822=""),"",IFERROR(INDEX(Pagos_Odoo!$B:$B, MATCH(Q2822, Pagos_Odoo!$I:$I, 0)), "Sin Pago"))</f>
        <v/>
      </c>
      <c r="Y2822" s="79">
        <f>IF(X2822="Sin Pago","",IFERROR(INDEX(Pagos_Odoo!$C:$C, MATCH(X2822, Pagos_Odoo!$B:$B, 0)), ""))</f>
        <v/>
      </c>
      <c r="Z2822" s="80">
        <f>IF(X2822="Sin Pago","",IFERROR(INDEX(Pagos_Odoo!$A:$A, MATCH(X2822, Pagos_Odoo!$B:$B, 0)), ""))</f>
        <v/>
      </c>
      <c r="AA2822" s="79">
        <f>IF(X2822="Sin Pago","",IFERROR(INDEX(Pagos_Odoo!$F:$F, MATCH(X2822, Pagos_Odoo!$B:$B, 0)), ""))</f>
        <v/>
      </c>
      <c r="AB2822" s="81">
        <f>IF(X2822="Sin Pago",0,IFERROR(INDEX(Pagos_Odoo!$E:$E, MATCH(X2822, Pagos_Odoo!$B:$B, 0)), 0))</f>
        <v/>
      </c>
      <c r="AC2822" s="79">
        <f>IF(X2822="Sin Pago","",IFERROR(INDEX(Pagos_Odoo!$G:$G, MATCH(X2822, Pagos_Odoo!$B:$B, 0)), ""))</f>
        <v/>
      </c>
      <c r="AD2822" s="82" t="n">
        <v>0</v>
      </c>
      <c r="AE2822" s="82" t="n"/>
      <c r="AF2822" s="82" t="n"/>
      <c r="AG2822" s="82">
        <f>IF(AN2822="","",AD2822+AE2822+AF2822)</f>
        <v/>
      </c>
      <c r="AH2822" s="81">
        <f>IF(AN2822="","",P2822*(1-AG2822))</f>
        <v/>
      </c>
      <c r="AI2822" s="81">
        <f>IF(AN2822="","",IF(Q2822="Sin Factura",0,IFERROR(INDEX(Facturas_Odoo!$H:$H, MATCH(Q2822, Facturas_Odoo!$B:$B, 0)), 0)*(1-AG2822)))</f>
        <v/>
      </c>
      <c r="AJ2822" s="81">
        <f>IF(AN2822="","",_xlfn.LET(idVenta, AN2822&amp;"",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22" s="81">
        <f>IF(AN2822="","",AH2822-AJ2822)</f>
        <v/>
      </c>
      <c r="AL2822" s="81">
        <f>IF(AN2822="","",IF(Q2822="Sin Factura","",AI2822-AJ2822))</f>
        <v/>
      </c>
      <c r="AM2822" s="81">
        <f>IF(AN2822="","",IF(Q2822="Sin Factura",0,P2822-IFERROR(INDEX(Facturas_Odoo!$H:$H, MATCH(Q2822, Facturas_Odoo!$B:$B, 0)), 0)))</f>
        <v/>
      </c>
      <c r="AN2822" s="79">
        <f>IF(AND(A2822="", J2822=""), "", IF(A2822&lt;&gt;"", VALUE(MID(A2822,2,LEN(A2822))), AN2821))</f>
        <v/>
      </c>
      <c r="AO2822" s="79">
        <f>IF(AN2822="","",IF(AD2822=0,"OK",_xlfn.LET(monedaPago, IF(AA2822="","USD",AA2822), limitePermitido, IFERROR(VLOOKUP(monedaPago, Configuración!$A$2:$B$3, 2, FALSE), 0.15), IF(AD2822&gt;limitePermitido, "ALERTA: EXCESO (" &amp; TEXT(limitePermitido, "0%") &amp; " máx)", "OK"))))</f>
        <v/>
      </c>
      <c r="AP2822" s="79">
        <f>IF(AN2822="","",IF(AE2822=0,"OK",_xlfn.LET(fechaPago, Z2822, fechaFactura, R2822, diasCredito, IF(E2822="Pago inmediato", 0, IFERROR(VALUE(MID(E2822, 1, SEARCH(" ", E2822)-1)),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22" s="79">
        <f>IF(AN2822="","",IF(AND(N2822&gt;0, AG2822&gt;0), IF(Configuración!$K$2="NO", "ALERTA: DESCUENTO DOBLE NO PERMITIDO", "OK"), "OK"))</f>
        <v/>
      </c>
      <c r="AR2822" s="79">
        <f>IF(AN2822="","",IF(OR(AO2822&lt;&gt;"OK", AP2822&lt;&gt;"OK", AQ2822&lt;&gt;"OK"), "⚠️ REVISAR", "OK"))</f>
        <v/>
      </c>
    </row>
    <row r="2823">
      <c r="A2823" s="79">
        <f>IF('Ordenes_Odoo'!A2823="","",'Ordenes_Odoo'!A2823)</f>
        <v/>
      </c>
      <c r="B2823" s="80">
        <f>IF('Ordenes_Odoo'!B2823="","",'Ordenes_Odoo'!B2823)</f>
        <v/>
      </c>
      <c r="C2823" s="79">
        <f>IF('Ordenes_Odoo'!C2823="","",'Ordenes_Odoo'!C2823)</f>
        <v/>
      </c>
      <c r="D2823" s="79">
        <f>IF('Ordenes_Odoo'!D2823="","",'Ordenes_Odoo'!D2823)</f>
        <v/>
      </c>
      <c r="E2823" s="79">
        <f>IF('Ordenes_Odoo'!E2823="","",'Ordenes_Odoo'!E2823)</f>
        <v/>
      </c>
      <c r="F2823" s="79">
        <f>IF('Ordenes_Odoo'!F2823="","",'Ordenes_Odoo'!F2823)</f>
        <v/>
      </c>
      <c r="G2823" s="79">
        <f>IF('Ordenes_Odoo'!G2823="","",'Ordenes_Odoo'!G2823)</f>
        <v/>
      </c>
      <c r="H2823" s="79">
        <f>IF('Ordenes_Odoo'!H2823="","",'Ordenes_Odoo'!H2823)</f>
        <v/>
      </c>
      <c r="I2823" s="79">
        <f>IF('Ordenes_Odoo'!I2823="","",'Ordenes_Odoo'!I2823)</f>
        <v/>
      </c>
      <c r="J2823" s="79">
        <f>IF('Ordenes_Odoo'!J2823="","",'Ordenes_Odoo'!J2823)</f>
        <v/>
      </c>
      <c r="K2823" s="81">
        <f>IF('Ordenes_Odoo'!K2823="","",'Ordenes_Odoo'!K2823)</f>
        <v/>
      </c>
      <c r="L2823" s="81">
        <f>IF('Ordenes_Odoo'!L2823="","",'Ordenes_Odoo'!L2823)</f>
        <v/>
      </c>
      <c r="M2823" s="79">
        <f>IF('Ordenes_Odoo'!M2823="","",'Ordenes_Odoo'!M2823)</f>
        <v/>
      </c>
      <c r="N2823" s="79">
        <f>IF('Ordenes_Odoo'!N2823="","",'Ordenes_Odoo'!N2823)</f>
        <v/>
      </c>
      <c r="O2823" s="81">
        <f>IF('Ordenes_Odoo'!O2823="","",'Ordenes_Odoo'!O2823)</f>
        <v/>
      </c>
      <c r="P2823" s="81">
        <f>IF('Ordenes_Odoo'!P2823="","",'Ordenes_Odoo'!P2823)</f>
        <v/>
      </c>
      <c r="Q2823" s="79">
        <f>IF(A2823="","",IFERROR(INDEX(Facturas_Odoo!$B:$B, MATCH(A2823, Facturas_Odoo!$D:$D, 0)), "Sin Factura"))</f>
        <v/>
      </c>
      <c r="R2823" s="80">
        <f>IF(Q2823="Sin Factura","",IFERROR(INDEX(Facturas_Odoo!$A:$A, MATCH(Q2823, Facturas_Odoo!$B:$B, 0)), ""))</f>
        <v/>
      </c>
      <c r="S2823" s="79">
        <f>IF(Q2823="Sin Factura","",IFERROR(_xlfn.XLOOKUP(1, (Facturas_Odoo!$D:$D=A2823) * (Facturas_Odoo!$K:$K=I2823), Facturas_Odoo!$L:$L, ""), ""))</f>
        <v/>
      </c>
      <c r="T2823" s="81">
        <f>IF(Q2823="Sin Factura",0,IFERROR(_xlfn.XLOOKUP(1, (Facturas_Odoo!$D:$D=A2823) * (Facturas_Odoo!$K:$K=I2823), Facturas_Odoo!$M:$M, 0), 0))</f>
        <v/>
      </c>
      <c r="U2823" s="79">
        <f>IF(Q2823="Sin Factura",0,IFERROR(_xlfn.XLOOKUP(1, (Facturas_Odoo!$D:$D=A2823) * (Facturas_Odoo!$K:$K=I2823), Facturas_Odoo!$N:$N, 0), 0))</f>
        <v/>
      </c>
      <c r="V2823" s="79">
        <f>IF(Q2823="Sin Factura",0,IFERROR(_xlfn.XLOOKUP(1, (Facturas_Odoo!$D:$D=A2823) * (Facturas_Odoo!$K:$K=I2823), Facturas_Odoo!$O:$O, 0), 0))</f>
        <v/>
      </c>
      <c r="W2823" s="81">
        <f>IF(Q2823="Sin Factura",0,IFERROR(_xlfn.XLOOKUP(1, (Facturas_Odoo!$D:$D=A2823) * (Facturas_Odoo!$K:$K=I2823), Facturas_Odoo!$Q:$Q, 0), 0))</f>
        <v/>
      </c>
      <c r="X2823" s="79">
        <f>IF(OR(Q2823="Sin Factura",Q2823=""),"",IFERROR(INDEX(Pagos_Odoo!$B:$B, MATCH(Q2823, Pagos_Odoo!$I:$I, 0)), "Sin Pago"))</f>
        <v/>
      </c>
      <c r="Y2823" s="79">
        <f>IF(X2823="Sin Pago","",IFERROR(INDEX(Pagos_Odoo!$C:$C, MATCH(X2823, Pagos_Odoo!$B:$B, 0)), ""))</f>
        <v/>
      </c>
      <c r="Z2823" s="80">
        <f>IF(X2823="Sin Pago","",IFERROR(INDEX(Pagos_Odoo!$A:$A, MATCH(X2823, Pagos_Odoo!$B:$B, 0)), ""))</f>
        <v/>
      </c>
      <c r="AA2823" s="79">
        <f>IF(X2823="Sin Pago","",IFERROR(INDEX(Pagos_Odoo!$F:$F, MATCH(X2823, Pagos_Odoo!$B:$B, 0)), ""))</f>
        <v/>
      </c>
      <c r="AB2823" s="81">
        <f>IF(X2823="Sin Pago",0,IFERROR(INDEX(Pagos_Odoo!$E:$E, MATCH(X2823, Pagos_Odoo!$B:$B, 0)), 0))</f>
        <v/>
      </c>
      <c r="AC2823" s="79">
        <f>IF(X2823="Sin Pago","",IFERROR(INDEX(Pagos_Odoo!$G:$G, MATCH(X2823, Pagos_Odoo!$B:$B, 0)), ""))</f>
        <v/>
      </c>
      <c r="AD2823" s="82" t="n">
        <v>0</v>
      </c>
      <c r="AE2823" s="82" t="n"/>
      <c r="AF2823" s="82" t="n"/>
      <c r="AG2823" s="82">
        <f>IF(AN2823="","",AD2823+AE2823+AF2823)</f>
        <v/>
      </c>
      <c r="AH2823" s="81">
        <f>IF(AN2823="","",P2823*(1-AG2823))</f>
        <v/>
      </c>
      <c r="AI2823" s="81">
        <f>IF(AN2823="","",IF(Q2823="Sin Factura",0,IFERROR(INDEX(Facturas_Odoo!$H:$H, MATCH(Q2823, Facturas_Odoo!$B:$B, 0)), 0)*(1-AG2823)))</f>
        <v/>
      </c>
      <c r="AJ2823" s="81">
        <f>IF(AN2823="","",_xlfn.LET(idVenta, AN2823&amp;"",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23" s="81">
        <f>IF(AN2823="","",AH2823-AJ2823)</f>
        <v/>
      </c>
      <c r="AL2823" s="81">
        <f>IF(AN2823="","",IF(Q2823="Sin Factura","",AI2823-AJ2823))</f>
        <v/>
      </c>
      <c r="AM2823" s="81">
        <f>IF(AN2823="","",IF(Q2823="Sin Factura",0,P2823-IFERROR(INDEX(Facturas_Odoo!$H:$H, MATCH(Q2823, Facturas_Odoo!$B:$B, 0)), 0)))</f>
        <v/>
      </c>
      <c r="AN2823" s="79">
        <f>IF(AND(A2823="", J2823=""), "", IF(A2823&lt;&gt;"", VALUE(MID(A2823,2,LEN(A2823))), AN2822))</f>
        <v/>
      </c>
      <c r="AO2823" s="79">
        <f>IF(AN2823="","",IF(AD2823=0,"OK",_xlfn.LET(monedaPago, IF(AA2823="","USD",AA2823), limitePermitido, IFERROR(VLOOKUP(monedaPago, Configuración!$A$2:$B$3, 2, FALSE), 0.15), IF(AD2823&gt;limitePermitido, "ALERTA: EXCESO (" &amp; TEXT(limitePermitido, "0%") &amp; " máx)", "OK"))))</f>
        <v/>
      </c>
      <c r="AP2823" s="79">
        <f>IF(AN2823="","",IF(AE2823=0,"OK",_xlfn.LET(fechaPago, Z2823, fechaFactura, R2823, diasCredito, IF(E2823="Pago inmediato", 0, IFERROR(VALUE(MID(E2823, 1, SEARCH(" ", E2823)-1)),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23" s="79">
        <f>IF(AN2823="","",IF(AND(N2823&gt;0, AG2823&gt;0), IF(Configuración!$K$2="NO", "ALERTA: DESCUENTO DOBLE NO PERMITIDO", "OK"), "OK"))</f>
        <v/>
      </c>
      <c r="AR2823" s="79">
        <f>IF(AN2823="","",IF(OR(AO2823&lt;&gt;"OK", AP2823&lt;&gt;"OK", AQ2823&lt;&gt;"OK"), "⚠️ REVISAR", "OK"))</f>
        <v/>
      </c>
    </row>
    <row r="2824">
      <c r="A2824" s="79">
        <f>IF('Ordenes_Odoo'!A2824="","",'Ordenes_Odoo'!A2824)</f>
        <v/>
      </c>
      <c r="B2824" s="80">
        <f>IF('Ordenes_Odoo'!B2824="","",'Ordenes_Odoo'!B2824)</f>
        <v/>
      </c>
      <c r="C2824" s="79">
        <f>IF('Ordenes_Odoo'!C2824="","",'Ordenes_Odoo'!C2824)</f>
        <v/>
      </c>
      <c r="D2824" s="79">
        <f>IF('Ordenes_Odoo'!D2824="","",'Ordenes_Odoo'!D2824)</f>
        <v/>
      </c>
      <c r="E2824" s="79">
        <f>IF('Ordenes_Odoo'!E2824="","",'Ordenes_Odoo'!E2824)</f>
        <v/>
      </c>
      <c r="F2824" s="79">
        <f>IF('Ordenes_Odoo'!F2824="","",'Ordenes_Odoo'!F2824)</f>
        <v/>
      </c>
      <c r="G2824" s="79">
        <f>IF('Ordenes_Odoo'!G2824="","",'Ordenes_Odoo'!G2824)</f>
        <v/>
      </c>
      <c r="H2824" s="79">
        <f>IF('Ordenes_Odoo'!H2824="","",'Ordenes_Odoo'!H2824)</f>
        <v/>
      </c>
      <c r="I2824" s="79">
        <f>IF('Ordenes_Odoo'!I2824="","",'Ordenes_Odoo'!I2824)</f>
        <v/>
      </c>
      <c r="J2824" s="79">
        <f>IF('Ordenes_Odoo'!J2824="","",'Ordenes_Odoo'!J2824)</f>
        <v/>
      </c>
      <c r="K2824" s="81">
        <f>IF('Ordenes_Odoo'!K2824="","",'Ordenes_Odoo'!K2824)</f>
        <v/>
      </c>
      <c r="L2824" s="81">
        <f>IF('Ordenes_Odoo'!L2824="","",'Ordenes_Odoo'!L2824)</f>
        <v/>
      </c>
      <c r="M2824" s="79">
        <f>IF('Ordenes_Odoo'!M2824="","",'Ordenes_Odoo'!M2824)</f>
        <v/>
      </c>
      <c r="N2824" s="79">
        <f>IF('Ordenes_Odoo'!N2824="","",'Ordenes_Odoo'!N2824)</f>
        <v/>
      </c>
      <c r="O2824" s="81">
        <f>IF('Ordenes_Odoo'!O2824="","",'Ordenes_Odoo'!O2824)</f>
        <v/>
      </c>
      <c r="P2824" s="81">
        <f>IF('Ordenes_Odoo'!P2824="","",'Ordenes_Odoo'!P2824)</f>
        <v/>
      </c>
      <c r="Q2824" s="79">
        <f>IF(A2824="","",IFERROR(INDEX(Facturas_Odoo!$B:$B, MATCH(A2824, Facturas_Odoo!$D:$D, 0)), "Sin Factura"))</f>
        <v/>
      </c>
      <c r="R2824" s="80">
        <f>IF(Q2824="Sin Factura","",IFERROR(INDEX(Facturas_Odoo!$A:$A, MATCH(Q2824, Facturas_Odoo!$B:$B, 0)), ""))</f>
        <v/>
      </c>
      <c r="S2824" s="79">
        <f>IF(Q2824="Sin Factura","",IFERROR(_xlfn.XLOOKUP(1, (Facturas_Odoo!$D:$D=A2824) * (Facturas_Odoo!$K:$K=I2824), Facturas_Odoo!$L:$L, ""), ""))</f>
        <v/>
      </c>
      <c r="T2824" s="81">
        <f>IF(Q2824="Sin Factura",0,IFERROR(_xlfn.XLOOKUP(1, (Facturas_Odoo!$D:$D=A2824) * (Facturas_Odoo!$K:$K=I2824), Facturas_Odoo!$M:$M, 0), 0))</f>
        <v/>
      </c>
      <c r="U2824" s="79">
        <f>IF(Q2824="Sin Factura",0,IFERROR(_xlfn.XLOOKUP(1, (Facturas_Odoo!$D:$D=A2824) * (Facturas_Odoo!$K:$K=I2824), Facturas_Odoo!$N:$N, 0), 0))</f>
        <v/>
      </c>
      <c r="V2824" s="79">
        <f>IF(Q2824="Sin Factura",0,IFERROR(_xlfn.XLOOKUP(1, (Facturas_Odoo!$D:$D=A2824) * (Facturas_Odoo!$K:$K=I2824), Facturas_Odoo!$O:$O, 0), 0))</f>
        <v/>
      </c>
      <c r="W2824" s="81">
        <f>IF(Q2824="Sin Factura",0,IFERROR(_xlfn.XLOOKUP(1, (Facturas_Odoo!$D:$D=A2824) * (Facturas_Odoo!$K:$K=I2824), Facturas_Odoo!$Q:$Q, 0), 0))</f>
        <v/>
      </c>
      <c r="X2824" s="79">
        <f>IF(OR(Q2824="Sin Factura",Q2824=""),"",IFERROR(INDEX(Pagos_Odoo!$B:$B, MATCH(Q2824, Pagos_Odoo!$I:$I, 0)), "Sin Pago"))</f>
        <v/>
      </c>
      <c r="Y2824" s="79">
        <f>IF(X2824="Sin Pago","",IFERROR(INDEX(Pagos_Odoo!$C:$C, MATCH(X2824, Pagos_Odoo!$B:$B, 0)), ""))</f>
        <v/>
      </c>
      <c r="Z2824" s="80">
        <f>IF(X2824="Sin Pago","",IFERROR(INDEX(Pagos_Odoo!$A:$A, MATCH(X2824, Pagos_Odoo!$B:$B, 0)), ""))</f>
        <v/>
      </c>
      <c r="AA2824" s="79">
        <f>IF(X2824="Sin Pago","",IFERROR(INDEX(Pagos_Odoo!$F:$F, MATCH(X2824, Pagos_Odoo!$B:$B, 0)), ""))</f>
        <v/>
      </c>
      <c r="AB2824" s="81">
        <f>IF(X2824="Sin Pago",0,IFERROR(INDEX(Pagos_Odoo!$E:$E, MATCH(X2824, Pagos_Odoo!$B:$B, 0)), 0))</f>
        <v/>
      </c>
      <c r="AC2824" s="79">
        <f>IF(X2824="Sin Pago","",IFERROR(INDEX(Pagos_Odoo!$G:$G, MATCH(X2824, Pagos_Odoo!$B:$B, 0)), ""))</f>
        <v/>
      </c>
      <c r="AD2824" s="82" t="n">
        <v>0</v>
      </c>
      <c r="AE2824" s="82" t="n"/>
      <c r="AF2824" s="82" t="n"/>
      <c r="AG2824" s="82">
        <f>IF(AN2824="","",AD2824+AE2824+AF2824)</f>
        <v/>
      </c>
      <c r="AH2824" s="81">
        <f>IF(AN2824="","",P2824*(1-AG2824))</f>
        <v/>
      </c>
      <c r="AI2824" s="81">
        <f>IF(AN2824="","",IF(Q2824="Sin Factura",0,IFERROR(INDEX(Facturas_Odoo!$H:$H, MATCH(Q2824, Facturas_Odoo!$B:$B, 0)), 0)*(1-AG2824)))</f>
        <v/>
      </c>
      <c r="AJ2824" s="81">
        <f>IF(AN2824="","",_xlfn.LET(idVenta, AN2824&amp;"",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24" s="81">
        <f>IF(AN2824="","",AH2824-AJ2824)</f>
        <v/>
      </c>
      <c r="AL2824" s="81">
        <f>IF(AN2824="","",IF(Q2824="Sin Factura","",AI2824-AJ2824))</f>
        <v/>
      </c>
      <c r="AM2824" s="81">
        <f>IF(AN2824="","",IF(Q2824="Sin Factura",0,P2824-IFERROR(INDEX(Facturas_Odoo!$H:$H, MATCH(Q2824, Facturas_Odoo!$B:$B, 0)), 0)))</f>
        <v/>
      </c>
      <c r="AN2824" s="79">
        <f>IF(AND(A2824="", J2824=""), "", IF(A2824&lt;&gt;"", VALUE(MID(A2824,2,LEN(A2824))), AN2823))</f>
        <v/>
      </c>
      <c r="AO2824" s="79">
        <f>IF(AN2824="","",IF(AD2824=0,"OK",_xlfn.LET(monedaPago, IF(AA2824="","USD",AA2824), limitePermitido, IFERROR(VLOOKUP(monedaPago, Configuración!$A$2:$B$3, 2, FALSE), 0.15), IF(AD2824&gt;limitePermitido, "ALERTA: EXCESO (" &amp; TEXT(limitePermitido, "0%") &amp; " máx)", "OK"))))</f>
        <v/>
      </c>
      <c r="AP2824" s="79">
        <f>IF(AN2824="","",IF(AE2824=0,"OK",_xlfn.LET(fechaPago, Z2824, fechaFactura, R2824, diasCredito, IF(E2824="Pago inmediato", 0, IFERROR(VALUE(MID(E2824, 1, SEARCH(" ", E2824)-1)),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24" s="79">
        <f>IF(AN2824="","",IF(AND(N2824&gt;0, AG2824&gt;0), IF(Configuración!$K$2="NO", "ALERTA: DESCUENTO DOBLE NO PERMITIDO", "OK"), "OK"))</f>
        <v/>
      </c>
      <c r="AR2824" s="79">
        <f>IF(AN2824="","",IF(OR(AO2824&lt;&gt;"OK", AP2824&lt;&gt;"OK", AQ2824&lt;&gt;"OK"), "⚠️ REVISAR", "OK"))</f>
        <v/>
      </c>
    </row>
    <row r="2825">
      <c r="A2825" s="79">
        <f>IF('Ordenes_Odoo'!A2825="","",'Ordenes_Odoo'!A2825)</f>
        <v/>
      </c>
      <c r="B2825" s="80">
        <f>IF('Ordenes_Odoo'!B2825="","",'Ordenes_Odoo'!B2825)</f>
        <v/>
      </c>
      <c r="C2825" s="79">
        <f>IF('Ordenes_Odoo'!C2825="","",'Ordenes_Odoo'!C2825)</f>
        <v/>
      </c>
      <c r="D2825" s="79">
        <f>IF('Ordenes_Odoo'!D2825="","",'Ordenes_Odoo'!D2825)</f>
        <v/>
      </c>
      <c r="E2825" s="79">
        <f>IF('Ordenes_Odoo'!E2825="","",'Ordenes_Odoo'!E2825)</f>
        <v/>
      </c>
      <c r="F2825" s="79">
        <f>IF('Ordenes_Odoo'!F2825="","",'Ordenes_Odoo'!F2825)</f>
        <v/>
      </c>
      <c r="G2825" s="79">
        <f>IF('Ordenes_Odoo'!G2825="","",'Ordenes_Odoo'!G2825)</f>
        <v/>
      </c>
      <c r="H2825" s="79">
        <f>IF('Ordenes_Odoo'!H2825="","",'Ordenes_Odoo'!H2825)</f>
        <v/>
      </c>
      <c r="I2825" s="79">
        <f>IF('Ordenes_Odoo'!I2825="","",'Ordenes_Odoo'!I2825)</f>
        <v/>
      </c>
      <c r="J2825" s="79">
        <f>IF('Ordenes_Odoo'!J2825="","",'Ordenes_Odoo'!J2825)</f>
        <v/>
      </c>
      <c r="K2825" s="81">
        <f>IF('Ordenes_Odoo'!K2825="","",'Ordenes_Odoo'!K2825)</f>
        <v/>
      </c>
      <c r="L2825" s="81">
        <f>IF('Ordenes_Odoo'!L2825="","",'Ordenes_Odoo'!L2825)</f>
        <v/>
      </c>
      <c r="M2825" s="79">
        <f>IF('Ordenes_Odoo'!M2825="","",'Ordenes_Odoo'!M2825)</f>
        <v/>
      </c>
      <c r="N2825" s="79">
        <f>IF('Ordenes_Odoo'!N2825="","",'Ordenes_Odoo'!N2825)</f>
        <v/>
      </c>
      <c r="O2825" s="81">
        <f>IF('Ordenes_Odoo'!O2825="","",'Ordenes_Odoo'!O2825)</f>
        <v/>
      </c>
      <c r="P2825" s="81">
        <f>IF('Ordenes_Odoo'!P2825="","",'Ordenes_Odoo'!P2825)</f>
        <v/>
      </c>
      <c r="Q2825" s="79">
        <f>IF(A2825="","",IFERROR(INDEX(Facturas_Odoo!$B:$B, MATCH(A2825, Facturas_Odoo!$D:$D, 0)), "Sin Factura"))</f>
        <v/>
      </c>
      <c r="R2825" s="80">
        <f>IF(Q2825="Sin Factura","",IFERROR(INDEX(Facturas_Odoo!$A:$A, MATCH(Q2825, Facturas_Odoo!$B:$B, 0)), ""))</f>
        <v/>
      </c>
      <c r="S2825" s="79">
        <f>IF(Q2825="Sin Factura","",IFERROR(_xlfn.XLOOKUP(1, (Facturas_Odoo!$D:$D=A2825) * (Facturas_Odoo!$K:$K=I2825), Facturas_Odoo!$L:$L, ""), ""))</f>
        <v/>
      </c>
      <c r="T2825" s="81">
        <f>IF(Q2825="Sin Factura",0,IFERROR(_xlfn.XLOOKUP(1, (Facturas_Odoo!$D:$D=A2825) * (Facturas_Odoo!$K:$K=I2825), Facturas_Odoo!$M:$M, 0), 0))</f>
        <v/>
      </c>
      <c r="U2825" s="79">
        <f>IF(Q2825="Sin Factura",0,IFERROR(_xlfn.XLOOKUP(1, (Facturas_Odoo!$D:$D=A2825) * (Facturas_Odoo!$K:$K=I2825), Facturas_Odoo!$N:$N, 0), 0))</f>
        <v/>
      </c>
      <c r="V2825" s="79">
        <f>IF(Q2825="Sin Factura",0,IFERROR(_xlfn.XLOOKUP(1, (Facturas_Odoo!$D:$D=A2825) * (Facturas_Odoo!$K:$K=I2825), Facturas_Odoo!$O:$O, 0), 0))</f>
        <v/>
      </c>
      <c r="W2825" s="81">
        <f>IF(Q2825="Sin Factura",0,IFERROR(_xlfn.XLOOKUP(1, (Facturas_Odoo!$D:$D=A2825) * (Facturas_Odoo!$K:$K=I2825), Facturas_Odoo!$Q:$Q, 0), 0))</f>
        <v/>
      </c>
      <c r="X2825" s="79">
        <f>IF(OR(Q2825="Sin Factura",Q2825=""),"",IFERROR(INDEX(Pagos_Odoo!$B:$B, MATCH(Q2825, Pagos_Odoo!$I:$I, 0)), "Sin Pago"))</f>
        <v/>
      </c>
      <c r="Y2825" s="79">
        <f>IF(X2825="Sin Pago","",IFERROR(INDEX(Pagos_Odoo!$C:$C, MATCH(X2825, Pagos_Odoo!$B:$B, 0)), ""))</f>
        <v/>
      </c>
      <c r="Z2825" s="80">
        <f>IF(X2825="Sin Pago","",IFERROR(INDEX(Pagos_Odoo!$A:$A, MATCH(X2825, Pagos_Odoo!$B:$B, 0)), ""))</f>
        <v/>
      </c>
      <c r="AA2825" s="79">
        <f>IF(X2825="Sin Pago","",IFERROR(INDEX(Pagos_Odoo!$F:$F, MATCH(X2825, Pagos_Odoo!$B:$B, 0)), ""))</f>
        <v/>
      </c>
      <c r="AB2825" s="81">
        <f>IF(X2825="Sin Pago",0,IFERROR(INDEX(Pagos_Odoo!$E:$E, MATCH(X2825, Pagos_Odoo!$B:$B, 0)), 0))</f>
        <v/>
      </c>
      <c r="AC2825" s="79">
        <f>IF(X2825="Sin Pago","",IFERROR(INDEX(Pagos_Odoo!$G:$G, MATCH(X2825, Pagos_Odoo!$B:$B, 0)), ""))</f>
        <v/>
      </c>
      <c r="AD2825" s="82" t="n">
        <v>0</v>
      </c>
      <c r="AE2825" s="82" t="n"/>
      <c r="AF2825" s="82" t="n"/>
      <c r="AG2825" s="82">
        <f>IF(AN2825="","",AD2825+AE2825+AF2825)</f>
        <v/>
      </c>
      <c r="AH2825" s="81">
        <f>IF(AN2825="","",P2825*(1-AG2825))</f>
        <v/>
      </c>
      <c r="AI2825" s="81">
        <f>IF(AN2825="","",IF(Q2825="Sin Factura",0,IFERROR(INDEX(Facturas_Odoo!$H:$H, MATCH(Q2825, Facturas_Odoo!$B:$B, 0)), 0)*(1-AG2825)))</f>
        <v/>
      </c>
      <c r="AJ2825" s="81">
        <f>IF(AN2825="","",_xlfn.LET(idVenta, AN2825&amp;"",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25" s="81">
        <f>IF(AN2825="","",AH2825-AJ2825)</f>
        <v/>
      </c>
      <c r="AL2825" s="81">
        <f>IF(AN2825="","",IF(Q2825="Sin Factura","",AI2825-AJ2825))</f>
        <v/>
      </c>
      <c r="AM2825" s="81">
        <f>IF(AN2825="","",IF(Q2825="Sin Factura",0,P2825-IFERROR(INDEX(Facturas_Odoo!$H:$H, MATCH(Q2825, Facturas_Odoo!$B:$B, 0)), 0)))</f>
        <v/>
      </c>
      <c r="AN2825" s="79">
        <f>IF(AND(A2825="", J2825=""), "", IF(A2825&lt;&gt;"", VALUE(MID(A2825,2,LEN(A2825))), AN2824))</f>
        <v/>
      </c>
      <c r="AO2825" s="79">
        <f>IF(AN2825="","",IF(AD2825=0,"OK",_xlfn.LET(monedaPago, IF(AA2825="","USD",AA2825), limitePermitido, IFERROR(VLOOKUP(monedaPago, Configuración!$A$2:$B$3, 2, FALSE), 0.15), IF(AD2825&gt;limitePermitido, "ALERTA: EXCESO (" &amp; TEXT(limitePermitido, "0%") &amp; " máx)", "OK"))))</f>
        <v/>
      </c>
      <c r="AP2825" s="79">
        <f>IF(AN2825="","",IF(AE2825=0,"OK",_xlfn.LET(fechaPago, Z2825, fechaFactura, R2825, diasCredito, IF(E2825="Pago inmediato", 0, IFERROR(VALUE(MID(E2825, 1, SEARCH(" ", E2825)-1)),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25" s="79">
        <f>IF(AN2825="","",IF(AND(N2825&gt;0, AG2825&gt;0), IF(Configuración!$K$2="NO", "ALERTA: DESCUENTO DOBLE NO PERMITIDO", "OK"), "OK"))</f>
        <v/>
      </c>
      <c r="AR2825" s="79">
        <f>IF(AN2825="","",IF(OR(AO2825&lt;&gt;"OK", AP2825&lt;&gt;"OK", AQ2825&lt;&gt;"OK"), "⚠️ REVISAR", "OK"))</f>
        <v/>
      </c>
    </row>
    <row r="2826">
      <c r="A2826" s="79">
        <f>IF('Ordenes_Odoo'!A2826="","",'Ordenes_Odoo'!A2826)</f>
        <v/>
      </c>
      <c r="B2826" s="80">
        <f>IF('Ordenes_Odoo'!B2826="","",'Ordenes_Odoo'!B2826)</f>
        <v/>
      </c>
      <c r="C2826" s="79">
        <f>IF('Ordenes_Odoo'!C2826="","",'Ordenes_Odoo'!C2826)</f>
        <v/>
      </c>
      <c r="D2826" s="79">
        <f>IF('Ordenes_Odoo'!D2826="","",'Ordenes_Odoo'!D2826)</f>
        <v/>
      </c>
      <c r="E2826" s="79">
        <f>IF('Ordenes_Odoo'!E2826="","",'Ordenes_Odoo'!E2826)</f>
        <v/>
      </c>
      <c r="F2826" s="79">
        <f>IF('Ordenes_Odoo'!F2826="","",'Ordenes_Odoo'!F2826)</f>
        <v/>
      </c>
      <c r="G2826" s="79">
        <f>IF('Ordenes_Odoo'!G2826="","",'Ordenes_Odoo'!G2826)</f>
        <v/>
      </c>
      <c r="H2826" s="79">
        <f>IF('Ordenes_Odoo'!H2826="","",'Ordenes_Odoo'!H2826)</f>
        <v/>
      </c>
      <c r="I2826" s="79">
        <f>IF('Ordenes_Odoo'!I2826="","",'Ordenes_Odoo'!I2826)</f>
        <v/>
      </c>
      <c r="J2826" s="79">
        <f>IF('Ordenes_Odoo'!J2826="","",'Ordenes_Odoo'!J2826)</f>
        <v/>
      </c>
      <c r="K2826" s="81">
        <f>IF('Ordenes_Odoo'!K2826="","",'Ordenes_Odoo'!K2826)</f>
        <v/>
      </c>
      <c r="L2826" s="81">
        <f>IF('Ordenes_Odoo'!L2826="","",'Ordenes_Odoo'!L2826)</f>
        <v/>
      </c>
      <c r="M2826" s="79">
        <f>IF('Ordenes_Odoo'!M2826="","",'Ordenes_Odoo'!M2826)</f>
        <v/>
      </c>
      <c r="N2826" s="79">
        <f>IF('Ordenes_Odoo'!N2826="","",'Ordenes_Odoo'!N2826)</f>
        <v/>
      </c>
      <c r="O2826" s="81">
        <f>IF('Ordenes_Odoo'!O2826="","",'Ordenes_Odoo'!O2826)</f>
        <v/>
      </c>
      <c r="P2826" s="81">
        <f>IF('Ordenes_Odoo'!P2826="","",'Ordenes_Odoo'!P2826)</f>
        <v/>
      </c>
      <c r="Q2826" s="79">
        <f>IF(A2826="","",IFERROR(INDEX(Facturas_Odoo!$B:$B, MATCH(A2826, Facturas_Odoo!$D:$D, 0)), "Sin Factura"))</f>
        <v/>
      </c>
      <c r="R2826" s="80">
        <f>IF(Q2826="Sin Factura","",IFERROR(INDEX(Facturas_Odoo!$A:$A, MATCH(Q2826, Facturas_Odoo!$B:$B, 0)), ""))</f>
        <v/>
      </c>
      <c r="S2826" s="79">
        <f>IF(Q2826="Sin Factura","",IFERROR(_xlfn.XLOOKUP(1, (Facturas_Odoo!$D:$D=A2826) * (Facturas_Odoo!$K:$K=I2826), Facturas_Odoo!$L:$L, ""), ""))</f>
        <v/>
      </c>
      <c r="T2826" s="81">
        <f>IF(Q2826="Sin Factura",0,IFERROR(_xlfn.XLOOKUP(1, (Facturas_Odoo!$D:$D=A2826) * (Facturas_Odoo!$K:$K=I2826), Facturas_Odoo!$M:$M, 0), 0))</f>
        <v/>
      </c>
      <c r="U2826" s="79">
        <f>IF(Q2826="Sin Factura",0,IFERROR(_xlfn.XLOOKUP(1, (Facturas_Odoo!$D:$D=A2826) * (Facturas_Odoo!$K:$K=I2826), Facturas_Odoo!$N:$N, 0), 0))</f>
        <v/>
      </c>
      <c r="V2826" s="79">
        <f>IF(Q2826="Sin Factura",0,IFERROR(_xlfn.XLOOKUP(1, (Facturas_Odoo!$D:$D=A2826) * (Facturas_Odoo!$K:$K=I2826), Facturas_Odoo!$O:$O, 0), 0))</f>
        <v/>
      </c>
      <c r="W2826" s="81">
        <f>IF(Q2826="Sin Factura",0,IFERROR(_xlfn.XLOOKUP(1, (Facturas_Odoo!$D:$D=A2826) * (Facturas_Odoo!$K:$K=I2826), Facturas_Odoo!$Q:$Q, 0), 0))</f>
        <v/>
      </c>
      <c r="X2826" s="79">
        <f>IF(OR(Q2826="Sin Factura",Q2826=""),"",IFERROR(INDEX(Pagos_Odoo!$B:$B, MATCH(Q2826, Pagos_Odoo!$I:$I, 0)), "Sin Pago"))</f>
        <v/>
      </c>
      <c r="Y2826" s="79">
        <f>IF(X2826="Sin Pago","",IFERROR(INDEX(Pagos_Odoo!$C:$C, MATCH(X2826, Pagos_Odoo!$B:$B, 0)), ""))</f>
        <v/>
      </c>
      <c r="Z2826" s="80">
        <f>IF(X2826="Sin Pago","",IFERROR(INDEX(Pagos_Odoo!$A:$A, MATCH(X2826, Pagos_Odoo!$B:$B, 0)), ""))</f>
        <v/>
      </c>
      <c r="AA2826" s="79">
        <f>IF(X2826="Sin Pago","",IFERROR(INDEX(Pagos_Odoo!$F:$F, MATCH(X2826, Pagos_Odoo!$B:$B, 0)), ""))</f>
        <v/>
      </c>
      <c r="AB2826" s="81">
        <f>IF(X2826="Sin Pago",0,IFERROR(INDEX(Pagos_Odoo!$E:$E, MATCH(X2826, Pagos_Odoo!$B:$B, 0)), 0))</f>
        <v/>
      </c>
      <c r="AC2826" s="79">
        <f>IF(X2826="Sin Pago","",IFERROR(INDEX(Pagos_Odoo!$G:$G, MATCH(X2826, Pagos_Odoo!$B:$B, 0)), ""))</f>
        <v/>
      </c>
      <c r="AD2826" s="82" t="n">
        <v>0</v>
      </c>
      <c r="AE2826" s="82" t="n"/>
      <c r="AF2826" s="82" t="n"/>
      <c r="AG2826" s="82">
        <f>IF(AN2826="","",AD2826+AE2826+AF2826)</f>
        <v/>
      </c>
      <c r="AH2826" s="81">
        <f>IF(AN2826="","",P2826*(1-AG2826))</f>
        <v/>
      </c>
      <c r="AI2826" s="81">
        <f>IF(AN2826="","",IF(Q2826="Sin Factura",0,IFERROR(INDEX(Facturas_Odoo!$H:$H, MATCH(Q2826, Facturas_Odoo!$B:$B, 0)), 0)*(1-AG2826)))</f>
        <v/>
      </c>
      <c r="AJ2826" s="81">
        <f>IF(AN2826="","",_xlfn.LET(idVenta, AN2826&amp;"",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26" s="81">
        <f>IF(AN2826="","",AH2826-AJ2826)</f>
        <v/>
      </c>
      <c r="AL2826" s="81">
        <f>IF(AN2826="","",IF(Q2826="Sin Factura","",AI2826-AJ2826))</f>
        <v/>
      </c>
      <c r="AM2826" s="81">
        <f>IF(AN2826="","",IF(Q2826="Sin Factura",0,P2826-IFERROR(INDEX(Facturas_Odoo!$H:$H, MATCH(Q2826, Facturas_Odoo!$B:$B, 0)), 0)))</f>
        <v/>
      </c>
      <c r="AN2826" s="79">
        <f>IF(AND(A2826="", J2826=""), "", IF(A2826&lt;&gt;"", VALUE(MID(A2826,2,LEN(A2826))), AN2825))</f>
        <v/>
      </c>
      <c r="AO2826" s="79">
        <f>IF(AN2826="","",IF(AD2826=0,"OK",_xlfn.LET(monedaPago, IF(AA2826="","USD",AA2826), limitePermitido, IFERROR(VLOOKUP(monedaPago, Configuración!$A$2:$B$3, 2, FALSE), 0.15), IF(AD2826&gt;limitePermitido, "ALERTA: EXCESO (" &amp; TEXT(limitePermitido, "0%") &amp; " máx)", "OK"))))</f>
        <v/>
      </c>
      <c r="AP2826" s="79">
        <f>IF(AN2826="","",IF(AE2826=0,"OK",_xlfn.LET(fechaPago, Z2826, fechaFactura, R2826, diasCredito, IF(E2826="Pago inmediato", 0, IFERROR(VALUE(MID(E2826, 1, SEARCH(" ", E2826)-1)),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26" s="79">
        <f>IF(AN2826="","",IF(AND(N2826&gt;0, AG2826&gt;0), IF(Configuración!$K$2="NO", "ALERTA: DESCUENTO DOBLE NO PERMITIDO", "OK"), "OK"))</f>
        <v/>
      </c>
      <c r="AR2826" s="79">
        <f>IF(AN2826="","",IF(OR(AO2826&lt;&gt;"OK", AP2826&lt;&gt;"OK", AQ2826&lt;&gt;"OK"), "⚠️ REVISAR", "OK"))</f>
        <v/>
      </c>
    </row>
    <row r="2827">
      <c r="A2827" s="79">
        <f>IF('Ordenes_Odoo'!A2827="","",'Ordenes_Odoo'!A2827)</f>
        <v/>
      </c>
      <c r="B2827" s="80">
        <f>IF('Ordenes_Odoo'!B2827="","",'Ordenes_Odoo'!B2827)</f>
        <v/>
      </c>
      <c r="C2827" s="79">
        <f>IF('Ordenes_Odoo'!C2827="","",'Ordenes_Odoo'!C2827)</f>
        <v/>
      </c>
      <c r="D2827" s="79">
        <f>IF('Ordenes_Odoo'!D2827="","",'Ordenes_Odoo'!D2827)</f>
        <v/>
      </c>
      <c r="E2827" s="79">
        <f>IF('Ordenes_Odoo'!E2827="","",'Ordenes_Odoo'!E2827)</f>
        <v/>
      </c>
      <c r="F2827" s="79">
        <f>IF('Ordenes_Odoo'!F2827="","",'Ordenes_Odoo'!F2827)</f>
        <v/>
      </c>
      <c r="G2827" s="79">
        <f>IF('Ordenes_Odoo'!G2827="","",'Ordenes_Odoo'!G2827)</f>
        <v/>
      </c>
      <c r="H2827" s="79">
        <f>IF('Ordenes_Odoo'!H2827="","",'Ordenes_Odoo'!H2827)</f>
        <v/>
      </c>
      <c r="I2827" s="79">
        <f>IF('Ordenes_Odoo'!I2827="","",'Ordenes_Odoo'!I2827)</f>
        <v/>
      </c>
      <c r="J2827" s="79">
        <f>IF('Ordenes_Odoo'!J2827="","",'Ordenes_Odoo'!J2827)</f>
        <v/>
      </c>
      <c r="K2827" s="81">
        <f>IF('Ordenes_Odoo'!K2827="","",'Ordenes_Odoo'!K2827)</f>
        <v/>
      </c>
      <c r="L2827" s="81">
        <f>IF('Ordenes_Odoo'!L2827="","",'Ordenes_Odoo'!L2827)</f>
        <v/>
      </c>
      <c r="M2827" s="79">
        <f>IF('Ordenes_Odoo'!M2827="","",'Ordenes_Odoo'!M2827)</f>
        <v/>
      </c>
      <c r="N2827" s="79">
        <f>IF('Ordenes_Odoo'!N2827="","",'Ordenes_Odoo'!N2827)</f>
        <v/>
      </c>
      <c r="O2827" s="81">
        <f>IF('Ordenes_Odoo'!O2827="","",'Ordenes_Odoo'!O2827)</f>
        <v/>
      </c>
      <c r="P2827" s="81">
        <f>IF('Ordenes_Odoo'!P2827="","",'Ordenes_Odoo'!P2827)</f>
        <v/>
      </c>
      <c r="Q2827" s="79">
        <f>IF(A2827="","",IFERROR(INDEX(Facturas_Odoo!$B:$B, MATCH(A2827, Facturas_Odoo!$D:$D, 0)), "Sin Factura"))</f>
        <v/>
      </c>
      <c r="R2827" s="80">
        <f>IF(Q2827="Sin Factura","",IFERROR(INDEX(Facturas_Odoo!$A:$A, MATCH(Q2827, Facturas_Odoo!$B:$B, 0)), ""))</f>
        <v/>
      </c>
      <c r="S2827" s="79">
        <f>IF(Q2827="Sin Factura","",IFERROR(_xlfn.XLOOKUP(1, (Facturas_Odoo!$D:$D=A2827) * (Facturas_Odoo!$K:$K=I2827), Facturas_Odoo!$L:$L, ""), ""))</f>
        <v/>
      </c>
      <c r="T2827" s="81">
        <f>IF(Q2827="Sin Factura",0,IFERROR(_xlfn.XLOOKUP(1, (Facturas_Odoo!$D:$D=A2827) * (Facturas_Odoo!$K:$K=I2827), Facturas_Odoo!$M:$M, 0), 0))</f>
        <v/>
      </c>
      <c r="U2827" s="79">
        <f>IF(Q2827="Sin Factura",0,IFERROR(_xlfn.XLOOKUP(1, (Facturas_Odoo!$D:$D=A2827) * (Facturas_Odoo!$K:$K=I2827), Facturas_Odoo!$N:$N, 0), 0))</f>
        <v/>
      </c>
      <c r="V2827" s="79">
        <f>IF(Q2827="Sin Factura",0,IFERROR(_xlfn.XLOOKUP(1, (Facturas_Odoo!$D:$D=A2827) * (Facturas_Odoo!$K:$K=I2827), Facturas_Odoo!$O:$O, 0), 0))</f>
        <v/>
      </c>
      <c r="W2827" s="81">
        <f>IF(Q2827="Sin Factura",0,IFERROR(_xlfn.XLOOKUP(1, (Facturas_Odoo!$D:$D=A2827) * (Facturas_Odoo!$K:$K=I2827), Facturas_Odoo!$Q:$Q, 0), 0))</f>
        <v/>
      </c>
      <c r="X2827" s="79">
        <f>IF(OR(Q2827="Sin Factura",Q2827=""),"",IFERROR(INDEX(Pagos_Odoo!$B:$B, MATCH(Q2827, Pagos_Odoo!$I:$I, 0)), "Sin Pago"))</f>
        <v/>
      </c>
      <c r="Y2827" s="79">
        <f>IF(X2827="Sin Pago","",IFERROR(INDEX(Pagos_Odoo!$C:$C, MATCH(X2827, Pagos_Odoo!$B:$B, 0)), ""))</f>
        <v/>
      </c>
      <c r="Z2827" s="80">
        <f>IF(X2827="Sin Pago","",IFERROR(INDEX(Pagos_Odoo!$A:$A, MATCH(X2827, Pagos_Odoo!$B:$B, 0)), ""))</f>
        <v/>
      </c>
      <c r="AA2827" s="79">
        <f>IF(X2827="Sin Pago","",IFERROR(INDEX(Pagos_Odoo!$F:$F, MATCH(X2827, Pagos_Odoo!$B:$B, 0)), ""))</f>
        <v/>
      </c>
      <c r="AB2827" s="81">
        <f>IF(X2827="Sin Pago",0,IFERROR(INDEX(Pagos_Odoo!$E:$E, MATCH(X2827, Pagos_Odoo!$B:$B, 0)), 0))</f>
        <v/>
      </c>
      <c r="AC2827" s="79">
        <f>IF(X2827="Sin Pago","",IFERROR(INDEX(Pagos_Odoo!$G:$G, MATCH(X2827, Pagos_Odoo!$B:$B, 0)), ""))</f>
        <v/>
      </c>
      <c r="AD2827" s="82" t="n">
        <v>0</v>
      </c>
      <c r="AE2827" s="82" t="n"/>
      <c r="AF2827" s="82" t="n"/>
      <c r="AG2827" s="82">
        <f>IF(AN2827="","",AD2827+AE2827+AF2827)</f>
        <v/>
      </c>
      <c r="AH2827" s="81">
        <f>IF(AN2827="","",P2827*(1-AG2827))</f>
        <v/>
      </c>
      <c r="AI2827" s="81">
        <f>IF(AN2827="","",IF(Q2827="Sin Factura",0,IFERROR(INDEX(Facturas_Odoo!$H:$H, MATCH(Q2827, Facturas_Odoo!$B:$B, 0)), 0)*(1-AG2827)))</f>
        <v/>
      </c>
      <c r="AJ2827" s="81">
        <f>IF(AN2827="","",_xlfn.LET(idVenta, AN2827&amp;"",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27" s="81">
        <f>IF(AN2827="","",AH2827-AJ2827)</f>
        <v/>
      </c>
      <c r="AL2827" s="81">
        <f>IF(AN2827="","",IF(Q2827="Sin Factura","",AI2827-AJ2827))</f>
        <v/>
      </c>
      <c r="AM2827" s="81">
        <f>IF(AN2827="","",IF(Q2827="Sin Factura",0,P2827-IFERROR(INDEX(Facturas_Odoo!$H:$H, MATCH(Q2827, Facturas_Odoo!$B:$B, 0)), 0)))</f>
        <v/>
      </c>
      <c r="AN2827" s="79">
        <f>IF(AND(A2827="", J2827=""), "", IF(A2827&lt;&gt;"", VALUE(MID(A2827,2,LEN(A2827))), AN2826))</f>
        <v/>
      </c>
      <c r="AO2827" s="79">
        <f>IF(AN2827="","",IF(AD2827=0,"OK",_xlfn.LET(monedaPago, IF(AA2827="","USD",AA2827), limitePermitido, IFERROR(VLOOKUP(monedaPago, Configuración!$A$2:$B$3, 2, FALSE), 0.15), IF(AD2827&gt;limitePermitido, "ALERTA: EXCESO (" &amp; TEXT(limitePermitido, "0%") &amp; " máx)", "OK"))))</f>
        <v/>
      </c>
      <c r="AP2827" s="79">
        <f>IF(AN2827="","",IF(AE2827=0,"OK",_xlfn.LET(fechaPago, Z2827, fechaFactura, R2827, diasCredito, IF(E2827="Pago inmediato", 0, IFERROR(VALUE(MID(E2827, 1, SEARCH(" ", E2827)-1)),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27" s="79">
        <f>IF(AN2827="","",IF(AND(N2827&gt;0, AG2827&gt;0), IF(Configuración!$K$2="NO", "ALERTA: DESCUENTO DOBLE NO PERMITIDO", "OK"), "OK"))</f>
        <v/>
      </c>
      <c r="AR2827" s="79">
        <f>IF(AN2827="","",IF(OR(AO2827&lt;&gt;"OK", AP2827&lt;&gt;"OK", AQ2827&lt;&gt;"OK"), "⚠️ REVISAR", "OK"))</f>
        <v/>
      </c>
    </row>
    <row r="2828">
      <c r="A2828" s="79">
        <f>IF('Ordenes_Odoo'!A2828="","",'Ordenes_Odoo'!A2828)</f>
        <v/>
      </c>
      <c r="B2828" s="80">
        <f>IF('Ordenes_Odoo'!B2828="","",'Ordenes_Odoo'!B2828)</f>
        <v/>
      </c>
      <c r="C2828" s="79">
        <f>IF('Ordenes_Odoo'!C2828="","",'Ordenes_Odoo'!C2828)</f>
        <v/>
      </c>
      <c r="D2828" s="79">
        <f>IF('Ordenes_Odoo'!D2828="","",'Ordenes_Odoo'!D2828)</f>
        <v/>
      </c>
      <c r="E2828" s="79">
        <f>IF('Ordenes_Odoo'!E2828="","",'Ordenes_Odoo'!E2828)</f>
        <v/>
      </c>
      <c r="F2828" s="79">
        <f>IF('Ordenes_Odoo'!F2828="","",'Ordenes_Odoo'!F2828)</f>
        <v/>
      </c>
      <c r="G2828" s="79">
        <f>IF('Ordenes_Odoo'!G2828="","",'Ordenes_Odoo'!G2828)</f>
        <v/>
      </c>
      <c r="H2828" s="79">
        <f>IF('Ordenes_Odoo'!H2828="","",'Ordenes_Odoo'!H2828)</f>
        <v/>
      </c>
      <c r="I2828" s="79">
        <f>IF('Ordenes_Odoo'!I2828="","",'Ordenes_Odoo'!I2828)</f>
        <v/>
      </c>
      <c r="J2828" s="79">
        <f>IF('Ordenes_Odoo'!J2828="","",'Ordenes_Odoo'!J2828)</f>
        <v/>
      </c>
      <c r="K2828" s="81">
        <f>IF('Ordenes_Odoo'!K2828="","",'Ordenes_Odoo'!K2828)</f>
        <v/>
      </c>
      <c r="L2828" s="81">
        <f>IF('Ordenes_Odoo'!L2828="","",'Ordenes_Odoo'!L2828)</f>
        <v/>
      </c>
      <c r="M2828" s="79">
        <f>IF('Ordenes_Odoo'!M2828="","",'Ordenes_Odoo'!M2828)</f>
        <v/>
      </c>
      <c r="N2828" s="79">
        <f>IF('Ordenes_Odoo'!N2828="","",'Ordenes_Odoo'!N2828)</f>
        <v/>
      </c>
      <c r="O2828" s="81">
        <f>IF('Ordenes_Odoo'!O2828="","",'Ordenes_Odoo'!O2828)</f>
        <v/>
      </c>
      <c r="P2828" s="81">
        <f>IF('Ordenes_Odoo'!P2828="","",'Ordenes_Odoo'!P2828)</f>
        <v/>
      </c>
      <c r="Q2828" s="79">
        <f>IF(A2828="","",IFERROR(INDEX(Facturas_Odoo!$B:$B, MATCH(A2828, Facturas_Odoo!$D:$D, 0)), "Sin Factura"))</f>
        <v/>
      </c>
      <c r="R2828" s="80">
        <f>IF(Q2828="Sin Factura","",IFERROR(INDEX(Facturas_Odoo!$A:$A, MATCH(Q2828, Facturas_Odoo!$B:$B, 0)), ""))</f>
        <v/>
      </c>
      <c r="S2828" s="79">
        <f>IF(Q2828="Sin Factura","",IFERROR(_xlfn.XLOOKUP(1, (Facturas_Odoo!$D:$D=A2828) * (Facturas_Odoo!$K:$K=I2828), Facturas_Odoo!$L:$L, ""), ""))</f>
        <v/>
      </c>
      <c r="T2828" s="81">
        <f>IF(Q2828="Sin Factura",0,IFERROR(_xlfn.XLOOKUP(1, (Facturas_Odoo!$D:$D=A2828) * (Facturas_Odoo!$K:$K=I2828), Facturas_Odoo!$M:$M, 0), 0))</f>
        <v/>
      </c>
      <c r="U2828" s="79">
        <f>IF(Q2828="Sin Factura",0,IFERROR(_xlfn.XLOOKUP(1, (Facturas_Odoo!$D:$D=A2828) * (Facturas_Odoo!$K:$K=I2828), Facturas_Odoo!$N:$N, 0), 0))</f>
        <v/>
      </c>
      <c r="V2828" s="79">
        <f>IF(Q2828="Sin Factura",0,IFERROR(_xlfn.XLOOKUP(1, (Facturas_Odoo!$D:$D=A2828) * (Facturas_Odoo!$K:$K=I2828), Facturas_Odoo!$O:$O, 0), 0))</f>
        <v/>
      </c>
      <c r="W2828" s="81">
        <f>IF(Q2828="Sin Factura",0,IFERROR(_xlfn.XLOOKUP(1, (Facturas_Odoo!$D:$D=A2828) * (Facturas_Odoo!$K:$K=I2828), Facturas_Odoo!$Q:$Q, 0), 0))</f>
        <v/>
      </c>
      <c r="X2828" s="79">
        <f>IF(OR(Q2828="Sin Factura",Q2828=""),"",IFERROR(INDEX(Pagos_Odoo!$B:$B, MATCH(Q2828, Pagos_Odoo!$I:$I, 0)), "Sin Pago"))</f>
        <v/>
      </c>
      <c r="Y2828" s="79">
        <f>IF(X2828="Sin Pago","",IFERROR(INDEX(Pagos_Odoo!$C:$C, MATCH(X2828, Pagos_Odoo!$B:$B, 0)), ""))</f>
        <v/>
      </c>
      <c r="Z2828" s="80">
        <f>IF(X2828="Sin Pago","",IFERROR(INDEX(Pagos_Odoo!$A:$A, MATCH(X2828, Pagos_Odoo!$B:$B, 0)), ""))</f>
        <v/>
      </c>
      <c r="AA2828" s="79">
        <f>IF(X2828="Sin Pago","",IFERROR(INDEX(Pagos_Odoo!$F:$F, MATCH(X2828, Pagos_Odoo!$B:$B, 0)), ""))</f>
        <v/>
      </c>
      <c r="AB2828" s="81">
        <f>IF(X2828="Sin Pago",0,IFERROR(INDEX(Pagos_Odoo!$E:$E, MATCH(X2828, Pagos_Odoo!$B:$B, 0)), 0))</f>
        <v/>
      </c>
      <c r="AC2828" s="79">
        <f>IF(X2828="Sin Pago","",IFERROR(INDEX(Pagos_Odoo!$G:$G, MATCH(X2828, Pagos_Odoo!$B:$B, 0)), ""))</f>
        <v/>
      </c>
      <c r="AD2828" s="82" t="n">
        <v>0</v>
      </c>
      <c r="AE2828" s="82" t="n"/>
      <c r="AF2828" s="82" t="n"/>
      <c r="AG2828" s="82">
        <f>IF(AN2828="","",AD2828+AE2828+AF2828)</f>
        <v/>
      </c>
      <c r="AH2828" s="81">
        <f>IF(AN2828="","",P2828*(1-AG2828))</f>
        <v/>
      </c>
      <c r="AI2828" s="81">
        <f>IF(AN2828="","",IF(Q2828="Sin Factura",0,IFERROR(INDEX(Facturas_Odoo!$H:$H, MATCH(Q2828, Facturas_Odoo!$B:$B, 0)), 0)*(1-AG2828)))</f>
        <v/>
      </c>
      <c r="AJ2828" s="81">
        <f>IF(AN2828="","",_xlfn.LET(idVenta, AN2828&amp;"",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28" s="81">
        <f>IF(AN2828="","",AH2828-AJ2828)</f>
        <v/>
      </c>
      <c r="AL2828" s="81">
        <f>IF(AN2828="","",IF(Q2828="Sin Factura","",AI2828-AJ2828))</f>
        <v/>
      </c>
      <c r="AM2828" s="81">
        <f>IF(AN2828="","",IF(Q2828="Sin Factura",0,P2828-IFERROR(INDEX(Facturas_Odoo!$H:$H, MATCH(Q2828, Facturas_Odoo!$B:$B, 0)), 0)))</f>
        <v/>
      </c>
      <c r="AN2828" s="79">
        <f>IF(AND(A2828="", J2828=""), "", IF(A2828&lt;&gt;"", VALUE(MID(A2828,2,LEN(A2828))), AN2827))</f>
        <v/>
      </c>
      <c r="AO2828" s="79">
        <f>IF(AN2828="","",IF(AD2828=0,"OK",_xlfn.LET(monedaPago, IF(AA2828="","USD",AA2828), limitePermitido, IFERROR(VLOOKUP(monedaPago, Configuración!$A$2:$B$3, 2, FALSE), 0.15), IF(AD2828&gt;limitePermitido, "ALERTA: EXCESO (" &amp; TEXT(limitePermitido, "0%") &amp; " máx)", "OK"))))</f>
        <v/>
      </c>
      <c r="AP2828" s="79">
        <f>IF(AN2828="","",IF(AE2828=0,"OK",_xlfn.LET(fechaPago, Z2828, fechaFactura, R2828, diasCredito, IF(E2828="Pago inmediato", 0, IFERROR(VALUE(MID(E2828, 1, SEARCH(" ", E2828)-1)),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28" s="79">
        <f>IF(AN2828="","",IF(AND(N2828&gt;0, AG2828&gt;0), IF(Configuración!$K$2="NO", "ALERTA: DESCUENTO DOBLE NO PERMITIDO", "OK"), "OK"))</f>
        <v/>
      </c>
      <c r="AR2828" s="79">
        <f>IF(AN2828="","",IF(OR(AO2828&lt;&gt;"OK", AP2828&lt;&gt;"OK", AQ2828&lt;&gt;"OK"), "⚠️ REVISAR", "OK"))</f>
        <v/>
      </c>
    </row>
    <row r="2829">
      <c r="A2829" s="79">
        <f>IF('Ordenes_Odoo'!A2829="","",'Ordenes_Odoo'!A2829)</f>
        <v/>
      </c>
      <c r="B2829" s="80">
        <f>IF('Ordenes_Odoo'!B2829="","",'Ordenes_Odoo'!B2829)</f>
        <v/>
      </c>
      <c r="C2829" s="79">
        <f>IF('Ordenes_Odoo'!C2829="","",'Ordenes_Odoo'!C2829)</f>
        <v/>
      </c>
      <c r="D2829" s="79">
        <f>IF('Ordenes_Odoo'!D2829="","",'Ordenes_Odoo'!D2829)</f>
        <v/>
      </c>
      <c r="E2829" s="79">
        <f>IF('Ordenes_Odoo'!E2829="","",'Ordenes_Odoo'!E2829)</f>
        <v/>
      </c>
      <c r="F2829" s="79">
        <f>IF('Ordenes_Odoo'!F2829="","",'Ordenes_Odoo'!F2829)</f>
        <v/>
      </c>
      <c r="G2829" s="79">
        <f>IF('Ordenes_Odoo'!G2829="","",'Ordenes_Odoo'!G2829)</f>
        <v/>
      </c>
      <c r="H2829" s="79">
        <f>IF('Ordenes_Odoo'!H2829="","",'Ordenes_Odoo'!H2829)</f>
        <v/>
      </c>
      <c r="I2829" s="79">
        <f>IF('Ordenes_Odoo'!I2829="","",'Ordenes_Odoo'!I2829)</f>
        <v/>
      </c>
      <c r="J2829" s="79">
        <f>IF('Ordenes_Odoo'!J2829="","",'Ordenes_Odoo'!J2829)</f>
        <v/>
      </c>
      <c r="K2829" s="81">
        <f>IF('Ordenes_Odoo'!K2829="","",'Ordenes_Odoo'!K2829)</f>
        <v/>
      </c>
      <c r="L2829" s="81">
        <f>IF('Ordenes_Odoo'!L2829="","",'Ordenes_Odoo'!L2829)</f>
        <v/>
      </c>
      <c r="M2829" s="79">
        <f>IF('Ordenes_Odoo'!M2829="","",'Ordenes_Odoo'!M2829)</f>
        <v/>
      </c>
      <c r="N2829" s="79">
        <f>IF('Ordenes_Odoo'!N2829="","",'Ordenes_Odoo'!N2829)</f>
        <v/>
      </c>
      <c r="O2829" s="81">
        <f>IF('Ordenes_Odoo'!O2829="","",'Ordenes_Odoo'!O2829)</f>
        <v/>
      </c>
      <c r="P2829" s="81">
        <f>IF('Ordenes_Odoo'!P2829="","",'Ordenes_Odoo'!P2829)</f>
        <v/>
      </c>
      <c r="Q2829" s="79">
        <f>IF(A2829="","",IFERROR(INDEX(Facturas_Odoo!$B:$B, MATCH(A2829, Facturas_Odoo!$D:$D, 0)), "Sin Factura"))</f>
        <v/>
      </c>
      <c r="R2829" s="80">
        <f>IF(Q2829="Sin Factura","",IFERROR(INDEX(Facturas_Odoo!$A:$A, MATCH(Q2829, Facturas_Odoo!$B:$B, 0)), ""))</f>
        <v/>
      </c>
      <c r="S2829" s="79">
        <f>IF(Q2829="Sin Factura","",IFERROR(_xlfn.XLOOKUP(1, (Facturas_Odoo!$D:$D=A2829) * (Facturas_Odoo!$K:$K=I2829), Facturas_Odoo!$L:$L, ""), ""))</f>
        <v/>
      </c>
      <c r="T2829" s="81">
        <f>IF(Q2829="Sin Factura",0,IFERROR(_xlfn.XLOOKUP(1, (Facturas_Odoo!$D:$D=A2829) * (Facturas_Odoo!$K:$K=I2829), Facturas_Odoo!$M:$M, 0), 0))</f>
        <v/>
      </c>
      <c r="U2829" s="79">
        <f>IF(Q2829="Sin Factura",0,IFERROR(_xlfn.XLOOKUP(1, (Facturas_Odoo!$D:$D=A2829) * (Facturas_Odoo!$K:$K=I2829), Facturas_Odoo!$N:$N, 0), 0))</f>
        <v/>
      </c>
      <c r="V2829" s="79">
        <f>IF(Q2829="Sin Factura",0,IFERROR(_xlfn.XLOOKUP(1, (Facturas_Odoo!$D:$D=A2829) * (Facturas_Odoo!$K:$K=I2829), Facturas_Odoo!$O:$O, 0), 0))</f>
        <v/>
      </c>
      <c r="W2829" s="81">
        <f>IF(Q2829="Sin Factura",0,IFERROR(_xlfn.XLOOKUP(1, (Facturas_Odoo!$D:$D=A2829) * (Facturas_Odoo!$K:$K=I2829), Facturas_Odoo!$Q:$Q, 0), 0))</f>
        <v/>
      </c>
      <c r="X2829" s="79">
        <f>IF(OR(Q2829="Sin Factura",Q2829=""),"",IFERROR(INDEX(Pagos_Odoo!$B:$B, MATCH(Q2829, Pagos_Odoo!$I:$I, 0)), "Sin Pago"))</f>
        <v/>
      </c>
      <c r="Y2829" s="79">
        <f>IF(X2829="Sin Pago","",IFERROR(INDEX(Pagos_Odoo!$C:$C, MATCH(X2829, Pagos_Odoo!$B:$B, 0)), ""))</f>
        <v/>
      </c>
      <c r="Z2829" s="80">
        <f>IF(X2829="Sin Pago","",IFERROR(INDEX(Pagos_Odoo!$A:$A, MATCH(X2829, Pagos_Odoo!$B:$B, 0)), ""))</f>
        <v/>
      </c>
      <c r="AA2829" s="79">
        <f>IF(X2829="Sin Pago","",IFERROR(INDEX(Pagos_Odoo!$F:$F, MATCH(X2829, Pagos_Odoo!$B:$B, 0)), ""))</f>
        <v/>
      </c>
      <c r="AB2829" s="81">
        <f>IF(X2829="Sin Pago",0,IFERROR(INDEX(Pagos_Odoo!$E:$E, MATCH(X2829, Pagos_Odoo!$B:$B, 0)), 0))</f>
        <v/>
      </c>
      <c r="AC2829" s="79">
        <f>IF(X2829="Sin Pago","",IFERROR(INDEX(Pagos_Odoo!$G:$G, MATCH(X2829, Pagos_Odoo!$B:$B, 0)), ""))</f>
        <v/>
      </c>
      <c r="AD2829" s="82" t="n">
        <v>0</v>
      </c>
      <c r="AE2829" s="82" t="n"/>
      <c r="AF2829" s="82" t="n"/>
      <c r="AG2829" s="82">
        <f>IF(AN2829="","",AD2829+AE2829+AF2829)</f>
        <v/>
      </c>
      <c r="AH2829" s="81">
        <f>IF(AN2829="","",P2829*(1-AG2829))</f>
        <v/>
      </c>
      <c r="AI2829" s="81">
        <f>IF(AN2829="","",IF(Q2829="Sin Factura",0,IFERROR(INDEX(Facturas_Odoo!$H:$H, MATCH(Q2829, Facturas_Odoo!$B:$B, 0)), 0)*(1-AG2829)))</f>
        <v/>
      </c>
      <c r="AJ2829" s="81">
        <f>IF(AN2829="","",_xlfn.LET(idVenta, AN2829&amp;"",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29" s="81">
        <f>IF(AN2829="","",AH2829-AJ2829)</f>
        <v/>
      </c>
      <c r="AL2829" s="81">
        <f>IF(AN2829="","",IF(Q2829="Sin Factura","",AI2829-AJ2829))</f>
        <v/>
      </c>
      <c r="AM2829" s="81">
        <f>IF(AN2829="","",IF(Q2829="Sin Factura",0,P2829-IFERROR(INDEX(Facturas_Odoo!$H:$H, MATCH(Q2829, Facturas_Odoo!$B:$B, 0)), 0)))</f>
        <v/>
      </c>
      <c r="AN2829" s="79">
        <f>IF(AND(A2829="", J2829=""), "", IF(A2829&lt;&gt;"", VALUE(MID(A2829,2,LEN(A2829))), AN2828))</f>
        <v/>
      </c>
      <c r="AO2829" s="79">
        <f>IF(AN2829="","",IF(AD2829=0,"OK",_xlfn.LET(monedaPago, IF(AA2829="","USD",AA2829), limitePermitido, IFERROR(VLOOKUP(monedaPago, Configuración!$A$2:$B$3, 2, FALSE), 0.15), IF(AD2829&gt;limitePermitido, "ALERTA: EXCESO (" &amp; TEXT(limitePermitido, "0%") &amp; " máx)", "OK"))))</f>
        <v/>
      </c>
      <c r="AP2829" s="79">
        <f>IF(AN2829="","",IF(AE2829=0,"OK",_xlfn.LET(fechaPago, Z2829, fechaFactura, R2829, diasCredito, IF(E2829="Pago inmediato", 0, IFERROR(VALUE(MID(E2829, 1, SEARCH(" ", E2829)-1)),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29" s="79">
        <f>IF(AN2829="","",IF(AND(N2829&gt;0, AG2829&gt;0), IF(Configuración!$K$2="NO", "ALERTA: DESCUENTO DOBLE NO PERMITIDO", "OK"), "OK"))</f>
        <v/>
      </c>
      <c r="AR2829" s="79">
        <f>IF(AN2829="","",IF(OR(AO2829&lt;&gt;"OK", AP2829&lt;&gt;"OK", AQ2829&lt;&gt;"OK"), "⚠️ REVISAR", "OK"))</f>
        <v/>
      </c>
    </row>
    <row r="2830">
      <c r="A2830" s="79">
        <f>IF('Ordenes_Odoo'!A2830="","",'Ordenes_Odoo'!A2830)</f>
        <v/>
      </c>
      <c r="B2830" s="80">
        <f>IF('Ordenes_Odoo'!B2830="","",'Ordenes_Odoo'!B2830)</f>
        <v/>
      </c>
      <c r="C2830" s="79">
        <f>IF('Ordenes_Odoo'!C2830="","",'Ordenes_Odoo'!C2830)</f>
        <v/>
      </c>
      <c r="D2830" s="79">
        <f>IF('Ordenes_Odoo'!D2830="","",'Ordenes_Odoo'!D2830)</f>
        <v/>
      </c>
      <c r="E2830" s="79">
        <f>IF('Ordenes_Odoo'!E2830="","",'Ordenes_Odoo'!E2830)</f>
        <v/>
      </c>
      <c r="F2830" s="79">
        <f>IF('Ordenes_Odoo'!F2830="","",'Ordenes_Odoo'!F2830)</f>
        <v/>
      </c>
      <c r="G2830" s="79">
        <f>IF('Ordenes_Odoo'!G2830="","",'Ordenes_Odoo'!G2830)</f>
        <v/>
      </c>
      <c r="H2830" s="79">
        <f>IF('Ordenes_Odoo'!H2830="","",'Ordenes_Odoo'!H2830)</f>
        <v/>
      </c>
      <c r="I2830" s="79">
        <f>IF('Ordenes_Odoo'!I2830="","",'Ordenes_Odoo'!I2830)</f>
        <v/>
      </c>
      <c r="J2830" s="79">
        <f>IF('Ordenes_Odoo'!J2830="","",'Ordenes_Odoo'!J2830)</f>
        <v/>
      </c>
      <c r="K2830" s="81">
        <f>IF('Ordenes_Odoo'!K2830="","",'Ordenes_Odoo'!K2830)</f>
        <v/>
      </c>
      <c r="L2830" s="81">
        <f>IF('Ordenes_Odoo'!L2830="","",'Ordenes_Odoo'!L2830)</f>
        <v/>
      </c>
      <c r="M2830" s="79">
        <f>IF('Ordenes_Odoo'!M2830="","",'Ordenes_Odoo'!M2830)</f>
        <v/>
      </c>
      <c r="N2830" s="79">
        <f>IF('Ordenes_Odoo'!N2830="","",'Ordenes_Odoo'!N2830)</f>
        <v/>
      </c>
      <c r="O2830" s="81">
        <f>IF('Ordenes_Odoo'!O2830="","",'Ordenes_Odoo'!O2830)</f>
        <v/>
      </c>
      <c r="P2830" s="81">
        <f>IF('Ordenes_Odoo'!P2830="","",'Ordenes_Odoo'!P2830)</f>
        <v/>
      </c>
      <c r="Q2830" s="79">
        <f>IF(A2830="","",IFERROR(INDEX(Facturas_Odoo!$B:$B, MATCH(A2830, Facturas_Odoo!$D:$D, 0)), "Sin Factura"))</f>
        <v/>
      </c>
      <c r="R2830" s="80">
        <f>IF(Q2830="Sin Factura","",IFERROR(INDEX(Facturas_Odoo!$A:$A, MATCH(Q2830, Facturas_Odoo!$B:$B, 0)), ""))</f>
        <v/>
      </c>
      <c r="S2830" s="79">
        <f>IF(Q2830="Sin Factura","",IFERROR(_xlfn.XLOOKUP(1, (Facturas_Odoo!$D:$D=A2830) * (Facturas_Odoo!$K:$K=I2830), Facturas_Odoo!$L:$L, ""), ""))</f>
        <v/>
      </c>
      <c r="T2830" s="81">
        <f>IF(Q2830="Sin Factura",0,IFERROR(_xlfn.XLOOKUP(1, (Facturas_Odoo!$D:$D=A2830) * (Facturas_Odoo!$K:$K=I2830), Facturas_Odoo!$M:$M, 0), 0))</f>
        <v/>
      </c>
      <c r="U2830" s="79">
        <f>IF(Q2830="Sin Factura",0,IFERROR(_xlfn.XLOOKUP(1, (Facturas_Odoo!$D:$D=A2830) * (Facturas_Odoo!$K:$K=I2830), Facturas_Odoo!$N:$N, 0), 0))</f>
        <v/>
      </c>
      <c r="V2830" s="79">
        <f>IF(Q2830="Sin Factura",0,IFERROR(_xlfn.XLOOKUP(1, (Facturas_Odoo!$D:$D=A2830) * (Facturas_Odoo!$K:$K=I2830), Facturas_Odoo!$O:$O, 0), 0))</f>
        <v/>
      </c>
      <c r="W2830" s="81">
        <f>IF(Q2830="Sin Factura",0,IFERROR(_xlfn.XLOOKUP(1, (Facturas_Odoo!$D:$D=A2830) * (Facturas_Odoo!$K:$K=I2830), Facturas_Odoo!$Q:$Q, 0), 0))</f>
        <v/>
      </c>
      <c r="X2830" s="79">
        <f>IF(OR(Q2830="Sin Factura",Q2830=""),"",IFERROR(INDEX(Pagos_Odoo!$B:$B, MATCH(Q2830, Pagos_Odoo!$I:$I, 0)), "Sin Pago"))</f>
        <v/>
      </c>
      <c r="Y2830" s="79">
        <f>IF(X2830="Sin Pago","",IFERROR(INDEX(Pagos_Odoo!$C:$C, MATCH(X2830, Pagos_Odoo!$B:$B, 0)), ""))</f>
        <v/>
      </c>
      <c r="Z2830" s="80">
        <f>IF(X2830="Sin Pago","",IFERROR(INDEX(Pagos_Odoo!$A:$A, MATCH(X2830, Pagos_Odoo!$B:$B, 0)), ""))</f>
        <v/>
      </c>
      <c r="AA2830" s="79">
        <f>IF(X2830="Sin Pago","",IFERROR(INDEX(Pagos_Odoo!$F:$F, MATCH(X2830, Pagos_Odoo!$B:$B, 0)), ""))</f>
        <v/>
      </c>
      <c r="AB2830" s="81">
        <f>IF(X2830="Sin Pago",0,IFERROR(INDEX(Pagos_Odoo!$E:$E, MATCH(X2830, Pagos_Odoo!$B:$B, 0)), 0))</f>
        <v/>
      </c>
      <c r="AC2830" s="79">
        <f>IF(X2830="Sin Pago","",IFERROR(INDEX(Pagos_Odoo!$G:$G, MATCH(X2830, Pagos_Odoo!$B:$B, 0)), ""))</f>
        <v/>
      </c>
      <c r="AD2830" s="82" t="n">
        <v>0</v>
      </c>
      <c r="AE2830" s="82" t="n"/>
      <c r="AF2830" s="82" t="n"/>
      <c r="AG2830" s="82">
        <f>IF(AN2830="","",AD2830+AE2830+AF2830)</f>
        <v/>
      </c>
      <c r="AH2830" s="81">
        <f>IF(AN2830="","",P2830*(1-AG2830))</f>
        <v/>
      </c>
      <c r="AI2830" s="81">
        <f>IF(AN2830="","",IF(Q2830="Sin Factura",0,IFERROR(INDEX(Facturas_Odoo!$H:$H, MATCH(Q2830, Facturas_Odoo!$B:$B, 0)), 0)*(1-AG2830)))</f>
        <v/>
      </c>
      <c r="AJ2830" s="81">
        <f>IF(AN2830="","",_xlfn.LET(idVenta, AN2830&amp;"",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30" s="81">
        <f>IF(AN2830="","",AH2830-AJ2830)</f>
        <v/>
      </c>
      <c r="AL2830" s="81">
        <f>IF(AN2830="","",IF(Q2830="Sin Factura","",AI2830-AJ2830))</f>
        <v/>
      </c>
      <c r="AM2830" s="81">
        <f>IF(AN2830="","",IF(Q2830="Sin Factura",0,P2830-IFERROR(INDEX(Facturas_Odoo!$H:$H, MATCH(Q2830, Facturas_Odoo!$B:$B, 0)), 0)))</f>
        <v/>
      </c>
      <c r="AN2830" s="79">
        <f>IF(AND(A2830="", J2830=""), "", IF(A2830&lt;&gt;"", VALUE(MID(A2830,2,LEN(A2830))), AN2829))</f>
        <v/>
      </c>
      <c r="AO2830" s="79">
        <f>IF(AN2830="","",IF(AD2830=0,"OK",_xlfn.LET(monedaPago, IF(AA2830="","USD",AA2830), limitePermitido, IFERROR(VLOOKUP(monedaPago, Configuración!$A$2:$B$3, 2, FALSE), 0.15), IF(AD2830&gt;limitePermitido, "ALERTA: EXCESO (" &amp; TEXT(limitePermitido, "0%") &amp; " máx)", "OK"))))</f>
        <v/>
      </c>
      <c r="AP2830" s="79">
        <f>IF(AN2830="","",IF(AE2830=0,"OK",_xlfn.LET(fechaPago, Z2830, fechaFactura, R2830, diasCredito, IF(E2830="Pago inmediato", 0, IFERROR(VALUE(MID(E2830, 1, SEARCH(" ", E2830)-1)),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30" s="79">
        <f>IF(AN2830="","",IF(AND(N2830&gt;0, AG2830&gt;0), IF(Configuración!$K$2="NO", "ALERTA: DESCUENTO DOBLE NO PERMITIDO", "OK"), "OK"))</f>
        <v/>
      </c>
      <c r="AR2830" s="79">
        <f>IF(AN2830="","",IF(OR(AO2830&lt;&gt;"OK", AP2830&lt;&gt;"OK", AQ2830&lt;&gt;"OK"), "⚠️ REVISAR", "OK"))</f>
        <v/>
      </c>
    </row>
    <row r="2831">
      <c r="A2831" s="79">
        <f>IF('Ordenes_Odoo'!A2831="","",'Ordenes_Odoo'!A2831)</f>
        <v/>
      </c>
      <c r="B2831" s="80">
        <f>IF('Ordenes_Odoo'!B2831="","",'Ordenes_Odoo'!B2831)</f>
        <v/>
      </c>
      <c r="C2831" s="79">
        <f>IF('Ordenes_Odoo'!C2831="","",'Ordenes_Odoo'!C2831)</f>
        <v/>
      </c>
      <c r="D2831" s="79">
        <f>IF('Ordenes_Odoo'!D2831="","",'Ordenes_Odoo'!D2831)</f>
        <v/>
      </c>
      <c r="E2831" s="79">
        <f>IF('Ordenes_Odoo'!E2831="","",'Ordenes_Odoo'!E2831)</f>
        <v/>
      </c>
      <c r="F2831" s="79">
        <f>IF('Ordenes_Odoo'!F2831="","",'Ordenes_Odoo'!F2831)</f>
        <v/>
      </c>
      <c r="G2831" s="79">
        <f>IF('Ordenes_Odoo'!G2831="","",'Ordenes_Odoo'!G2831)</f>
        <v/>
      </c>
      <c r="H2831" s="79">
        <f>IF('Ordenes_Odoo'!H2831="","",'Ordenes_Odoo'!H2831)</f>
        <v/>
      </c>
      <c r="I2831" s="79">
        <f>IF('Ordenes_Odoo'!I2831="","",'Ordenes_Odoo'!I2831)</f>
        <v/>
      </c>
      <c r="J2831" s="79">
        <f>IF('Ordenes_Odoo'!J2831="","",'Ordenes_Odoo'!J2831)</f>
        <v/>
      </c>
      <c r="K2831" s="81">
        <f>IF('Ordenes_Odoo'!K2831="","",'Ordenes_Odoo'!K2831)</f>
        <v/>
      </c>
      <c r="L2831" s="81">
        <f>IF('Ordenes_Odoo'!L2831="","",'Ordenes_Odoo'!L2831)</f>
        <v/>
      </c>
      <c r="M2831" s="79">
        <f>IF('Ordenes_Odoo'!M2831="","",'Ordenes_Odoo'!M2831)</f>
        <v/>
      </c>
      <c r="N2831" s="79">
        <f>IF('Ordenes_Odoo'!N2831="","",'Ordenes_Odoo'!N2831)</f>
        <v/>
      </c>
      <c r="O2831" s="81">
        <f>IF('Ordenes_Odoo'!O2831="","",'Ordenes_Odoo'!O2831)</f>
        <v/>
      </c>
      <c r="P2831" s="81">
        <f>IF('Ordenes_Odoo'!P2831="","",'Ordenes_Odoo'!P2831)</f>
        <v/>
      </c>
      <c r="Q2831" s="79">
        <f>IF(A2831="","",IFERROR(INDEX(Facturas_Odoo!$B:$B, MATCH(A2831, Facturas_Odoo!$D:$D, 0)), "Sin Factura"))</f>
        <v/>
      </c>
      <c r="R2831" s="80">
        <f>IF(Q2831="Sin Factura","",IFERROR(INDEX(Facturas_Odoo!$A:$A, MATCH(Q2831, Facturas_Odoo!$B:$B, 0)), ""))</f>
        <v/>
      </c>
      <c r="S2831" s="79">
        <f>IF(Q2831="Sin Factura","",IFERROR(_xlfn.XLOOKUP(1, (Facturas_Odoo!$D:$D=A2831) * (Facturas_Odoo!$K:$K=I2831), Facturas_Odoo!$L:$L, ""), ""))</f>
        <v/>
      </c>
      <c r="T2831" s="81">
        <f>IF(Q2831="Sin Factura",0,IFERROR(_xlfn.XLOOKUP(1, (Facturas_Odoo!$D:$D=A2831) * (Facturas_Odoo!$K:$K=I2831), Facturas_Odoo!$M:$M, 0), 0))</f>
        <v/>
      </c>
      <c r="U2831" s="79">
        <f>IF(Q2831="Sin Factura",0,IFERROR(_xlfn.XLOOKUP(1, (Facturas_Odoo!$D:$D=A2831) * (Facturas_Odoo!$K:$K=I2831), Facturas_Odoo!$N:$N, 0), 0))</f>
        <v/>
      </c>
      <c r="V2831" s="79">
        <f>IF(Q2831="Sin Factura",0,IFERROR(_xlfn.XLOOKUP(1, (Facturas_Odoo!$D:$D=A2831) * (Facturas_Odoo!$K:$K=I2831), Facturas_Odoo!$O:$O, 0), 0))</f>
        <v/>
      </c>
      <c r="W2831" s="81">
        <f>IF(Q2831="Sin Factura",0,IFERROR(_xlfn.XLOOKUP(1, (Facturas_Odoo!$D:$D=A2831) * (Facturas_Odoo!$K:$K=I2831), Facturas_Odoo!$Q:$Q, 0), 0))</f>
        <v/>
      </c>
      <c r="X2831" s="79">
        <f>IF(OR(Q2831="Sin Factura",Q2831=""),"",IFERROR(INDEX(Pagos_Odoo!$B:$B, MATCH(Q2831, Pagos_Odoo!$I:$I, 0)), "Sin Pago"))</f>
        <v/>
      </c>
      <c r="Y2831" s="79">
        <f>IF(X2831="Sin Pago","",IFERROR(INDEX(Pagos_Odoo!$C:$C, MATCH(X2831, Pagos_Odoo!$B:$B, 0)), ""))</f>
        <v/>
      </c>
      <c r="Z2831" s="80">
        <f>IF(X2831="Sin Pago","",IFERROR(INDEX(Pagos_Odoo!$A:$A, MATCH(X2831, Pagos_Odoo!$B:$B, 0)), ""))</f>
        <v/>
      </c>
      <c r="AA2831" s="79">
        <f>IF(X2831="Sin Pago","",IFERROR(INDEX(Pagos_Odoo!$F:$F, MATCH(X2831, Pagos_Odoo!$B:$B, 0)), ""))</f>
        <v/>
      </c>
      <c r="AB2831" s="81">
        <f>IF(X2831="Sin Pago",0,IFERROR(INDEX(Pagos_Odoo!$E:$E, MATCH(X2831, Pagos_Odoo!$B:$B, 0)), 0))</f>
        <v/>
      </c>
      <c r="AC2831" s="79">
        <f>IF(X2831="Sin Pago","",IFERROR(INDEX(Pagos_Odoo!$G:$G, MATCH(X2831, Pagos_Odoo!$B:$B, 0)), ""))</f>
        <v/>
      </c>
      <c r="AD2831" s="82" t="n">
        <v>0</v>
      </c>
      <c r="AE2831" s="82" t="n"/>
      <c r="AF2831" s="82" t="n"/>
      <c r="AG2831" s="82">
        <f>IF(AN2831="","",AD2831+AE2831+AF2831)</f>
        <v/>
      </c>
      <c r="AH2831" s="81">
        <f>IF(AN2831="","",P2831*(1-AG2831))</f>
        <v/>
      </c>
      <c r="AI2831" s="81">
        <f>IF(AN2831="","",IF(Q2831="Sin Factura",0,IFERROR(INDEX(Facturas_Odoo!$H:$H, MATCH(Q2831, Facturas_Odoo!$B:$B, 0)), 0)*(1-AG2831)))</f>
        <v/>
      </c>
      <c r="AJ2831" s="81">
        <f>IF(AN2831="","",_xlfn.LET(idVenta, AN2831&amp;"",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31" s="81">
        <f>IF(AN2831="","",AH2831-AJ2831)</f>
        <v/>
      </c>
      <c r="AL2831" s="81">
        <f>IF(AN2831="","",IF(Q2831="Sin Factura","",AI2831-AJ2831))</f>
        <v/>
      </c>
      <c r="AM2831" s="81">
        <f>IF(AN2831="","",IF(Q2831="Sin Factura",0,P2831-IFERROR(INDEX(Facturas_Odoo!$H:$H, MATCH(Q2831, Facturas_Odoo!$B:$B, 0)), 0)))</f>
        <v/>
      </c>
      <c r="AN2831" s="79">
        <f>IF(AND(A2831="", J2831=""), "", IF(A2831&lt;&gt;"", VALUE(MID(A2831,2,LEN(A2831))), AN2830))</f>
        <v/>
      </c>
      <c r="AO2831" s="79">
        <f>IF(AN2831="","",IF(AD2831=0,"OK",_xlfn.LET(monedaPago, IF(AA2831="","USD",AA2831), limitePermitido, IFERROR(VLOOKUP(monedaPago, Configuración!$A$2:$B$3, 2, FALSE), 0.15), IF(AD2831&gt;limitePermitido, "ALERTA: EXCESO (" &amp; TEXT(limitePermitido, "0%") &amp; " máx)", "OK"))))</f>
        <v/>
      </c>
      <c r="AP2831" s="79">
        <f>IF(AN2831="","",IF(AE2831=0,"OK",_xlfn.LET(fechaPago, Z2831, fechaFactura, R2831, diasCredito, IF(E2831="Pago inmediato", 0, IFERROR(VALUE(MID(E2831, 1, SEARCH(" ", E2831)-1)),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31" s="79">
        <f>IF(AN2831="","",IF(AND(N2831&gt;0, AG2831&gt;0), IF(Configuración!$K$2="NO", "ALERTA: DESCUENTO DOBLE NO PERMITIDO", "OK"), "OK"))</f>
        <v/>
      </c>
      <c r="AR2831" s="79">
        <f>IF(AN2831="","",IF(OR(AO2831&lt;&gt;"OK", AP2831&lt;&gt;"OK", AQ2831&lt;&gt;"OK"), "⚠️ REVISAR", "OK"))</f>
        <v/>
      </c>
    </row>
    <row r="2832">
      <c r="A2832" s="79">
        <f>IF('Ordenes_Odoo'!A2832="","",'Ordenes_Odoo'!A2832)</f>
        <v/>
      </c>
      <c r="B2832" s="80">
        <f>IF('Ordenes_Odoo'!B2832="","",'Ordenes_Odoo'!B2832)</f>
        <v/>
      </c>
      <c r="C2832" s="79">
        <f>IF('Ordenes_Odoo'!C2832="","",'Ordenes_Odoo'!C2832)</f>
        <v/>
      </c>
      <c r="D2832" s="79">
        <f>IF('Ordenes_Odoo'!D2832="","",'Ordenes_Odoo'!D2832)</f>
        <v/>
      </c>
      <c r="E2832" s="79">
        <f>IF('Ordenes_Odoo'!E2832="","",'Ordenes_Odoo'!E2832)</f>
        <v/>
      </c>
      <c r="F2832" s="79">
        <f>IF('Ordenes_Odoo'!F2832="","",'Ordenes_Odoo'!F2832)</f>
        <v/>
      </c>
      <c r="G2832" s="79">
        <f>IF('Ordenes_Odoo'!G2832="","",'Ordenes_Odoo'!G2832)</f>
        <v/>
      </c>
      <c r="H2832" s="79">
        <f>IF('Ordenes_Odoo'!H2832="","",'Ordenes_Odoo'!H2832)</f>
        <v/>
      </c>
      <c r="I2832" s="79">
        <f>IF('Ordenes_Odoo'!I2832="","",'Ordenes_Odoo'!I2832)</f>
        <v/>
      </c>
      <c r="J2832" s="79">
        <f>IF('Ordenes_Odoo'!J2832="","",'Ordenes_Odoo'!J2832)</f>
        <v/>
      </c>
      <c r="K2832" s="81">
        <f>IF('Ordenes_Odoo'!K2832="","",'Ordenes_Odoo'!K2832)</f>
        <v/>
      </c>
      <c r="L2832" s="81">
        <f>IF('Ordenes_Odoo'!L2832="","",'Ordenes_Odoo'!L2832)</f>
        <v/>
      </c>
      <c r="M2832" s="79">
        <f>IF('Ordenes_Odoo'!M2832="","",'Ordenes_Odoo'!M2832)</f>
        <v/>
      </c>
      <c r="N2832" s="79">
        <f>IF('Ordenes_Odoo'!N2832="","",'Ordenes_Odoo'!N2832)</f>
        <v/>
      </c>
      <c r="O2832" s="81">
        <f>IF('Ordenes_Odoo'!O2832="","",'Ordenes_Odoo'!O2832)</f>
        <v/>
      </c>
      <c r="P2832" s="81">
        <f>IF('Ordenes_Odoo'!P2832="","",'Ordenes_Odoo'!P2832)</f>
        <v/>
      </c>
      <c r="Q2832" s="79">
        <f>IF(A2832="","",IFERROR(INDEX(Facturas_Odoo!$B:$B, MATCH(A2832, Facturas_Odoo!$D:$D, 0)), "Sin Factura"))</f>
        <v/>
      </c>
      <c r="R2832" s="80">
        <f>IF(Q2832="Sin Factura","",IFERROR(INDEX(Facturas_Odoo!$A:$A, MATCH(Q2832, Facturas_Odoo!$B:$B, 0)), ""))</f>
        <v/>
      </c>
      <c r="S2832" s="79">
        <f>IF(Q2832="Sin Factura","",IFERROR(_xlfn.XLOOKUP(1, (Facturas_Odoo!$D:$D=A2832) * (Facturas_Odoo!$K:$K=I2832), Facturas_Odoo!$L:$L, ""), ""))</f>
        <v/>
      </c>
      <c r="T2832" s="81">
        <f>IF(Q2832="Sin Factura",0,IFERROR(_xlfn.XLOOKUP(1, (Facturas_Odoo!$D:$D=A2832) * (Facturas_Odoo!$K:$K=I2832), Facturas_Odoo!$M:$M, 0), 0))</f>
        <v/>
      </c>
      <c r="U2832" s="79">
        <f>IF(Q2832="Sin Factura",0,IFERROR(_xlfn.XLOOKUP(1, (Facturas_Odoo!$D:$D=A2832) * (Facturas_Odoo!$K:$K=I2832), Facturas_Odoo!$N:$N, 0), 0))</f>
        <v/>
      </c>
      <c r="V2832" s="79">
        <f>IF(Q2832="Sin Factura",0,IFERROR(_xlfn.XLOOKUP(1, (Facturas_Odoo!$D:$D=A2832) * (Facturas_Odoo!$K:$K=I2832), Facturas_Odoo!$O:$O, 0), 0))</f>
        <v/>
      </c>
      <c r="W2832" s="81">
        <f>IF(Q2832="Sin Factura",0,IFERROR(_xlfn.XLOOKUP(1, (Facturas_Odoo!$D:$D=A2832) * (Facturas_Odoo!$K:$K=I2832), Facturas_Odoo!$Q:$Q, 0), 0))</f>
        <v/>
      </c>
      <c r="X2832" s="79">
        <f>IF(OR(Q2832="Sin Factura",Q2832=""),"",IFERROR(INDEX(Pagos_Odoo!$B:$B, MATCH(Q2832, Pagos_Odoo!$I:$I, 0)), "Sin Pago"))</f>
        <v/>
      </c>
      <c r="Y2832" s="79">
        <f>IF(X2832="Sin Pago","",IFERROR(INDEX(Pagos_Odoo!$C:$C, MATCH(X2832, Pagos_Odoo!$B:$B, 0)), ""))</f>
        <v/>
      </c>
      <c r="Z2832" s="80">
        <f>IF(X2832="Sin Pago","",IFERROR(INDEX(Pagos_Odoo!$A:$A, MATCH(X2832, Pagos_Odoo!$B:$B, 0)), ""))</f>
        <v/>
      </c>
      <c r="AA2832" s="79">
        <f>IF(X2832="Sin Pago","",IFERROR(INDEX(Pagos_Odoo!$F:$F, MATCH(X2832, Pagos_Odoo!$B:$B, 0)), ""))</f>
        <v/>
      </c>
      <c r="AB2832" s="81">
        <f>IF(X2832="Sin Pago",0,IFERROR(INDEX(Pagos_Odoo!$E:$E, MATCH(X2832, Pagos_Odoo!$B:$B, 0)), 0))</f>
        <v/>
      </c>
      <c r="AC2832" s="79">
        <f>IF(X2832="Sin Pago","",IFERROR(INDEX(Pagos_Odoo!$G:$G, MATCH(X2832, Pagos_Odoo!$B:$B, 0)), ""))</f>
        <v/>
      </c>
      <c r="AD2832" s="82" t="n">
        <v>0</v>
      </c>
      <c r="AE2832" s="82" t="n"/>
      <c r="AF2832" s="82" t="n"/>
      <c r="AG2832" s="82">
        <f>IF(AN2832="","",AD2832+AE2832+AF2832)</f>
        <v/>
      </c>
      <c r="AH2832" s="81">
        <f>IF(AN2832="","",P2832*(1-AG2832))</f>
        <v/>
      </c>
      <c r="AI2832" s="81">
        <f>IF(AN2832="","",IF(Q2832="Sin Factura",0,IFERROR(INDEX(Facturas_Odoo!$H:$H, MATCH(Q2832, Facturas_Odoo!$B:$B, 0)), 0)*(1-AG2832)))</f>
        <v/>
      </c>
      <c r="AJ2832" s="81">
        <f>IF(AN2832="","",_xlfn.LET(idVenta, AN2832&amp;"",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32" s="81">
        <f>IF(AN2832="","",AH2832-AJ2832)</f>
        <v/>
      </c>
      <c r="AL2832" s="81">
        <f>IF(AN2832="","",IF(Q2832="Sin Factura","",AI2832-AJ2832))</f>
        <v/>
      </c>
      <c r="AM2832" s="81">
        <f>IF(AN2832="","",IF(Q2832="Sin Factura",0,P2832-IFERROR(INDEX(Facturas_Odoo!$H:$H, MATCH(Q2832, Facturas_Odoo!$B:$B, 0)), 0)))</f>
        <v/>
      </c>
      <c r="AN2832" s="79">
        <f>IF(AND(A2832="", J2832=""), "", IF(A2832&lt;&gt;"", VALUE(MID(A2832,2,LEN(A2832))), AN2831))</f>
        <v/>
      </c>
      <c r="AO2832" s="79">
        <f>IF(AN2832="","",IF(AD2832=0,"OK",_xlfn.LET(monedaPago, IF(AA2832="","USD",AA2832), limitePermitido, IFERROR(VLOOKUP(monedaPago, Configuración!$A$2:$B$3, 2, FALSE), 0.15), IF(AD2832&gt;limitePermitido, "ALERTA: EXCESO (" &amp; TEXT(limitePermitido, "0%") &amp; " máx)", "OK"))))</f>
        <v/>
      </c>
      <c r="AP2832" s="79">
        <f>IF(AN2832="","",IF(AE2832=0,"OK",_xlfn.LET(fechaPago, Z2832, fechaFactura, R2832, diasCredito, IF(E2832="Pago inmediato", 0, IFERROR(VALUE(MID(E2832, 1, SEARCH(" ", E2832)-1)),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32" s="79">
        <f>IF(AN2832="","",IF(AND(N2832&gt;0, AG2832&gt;0), IF(Configuración!$K$2="NO", "ALERTA: DESCUENTO DOBLE NO PERMITIDO", "OK"), "OK"))</f>
        <v/>
      </c>
      <c r="AR2832" s="79">
        <f>IF(AN2832="","",IF(OR(AO2832&lt;&gt;"OK", AP2832&lt;&gt;"OK", AQ2832&lt;&gt;"OK"), "⚠️ REVISAR", "OK"))</f>
        <v/>
      </c>
    </row>
    <row r="2833">
      <c r="A2833" s="79">
        <f>IF('Ordenes_Odoo'!A2833="","",'Ordenes_Odoo'!A2833)</f>
        <v/>
      </c>
      <c r="B2833" s="80">
        <f>IF('Ordenes_Odoo'!B2833="","",'Ordenes_Odoo'!B2833)</f>
        <v/>
      </c>
      <c r="C2833" s="79">
        <f>IF('Ordenes_Odoo'!C2833="","",'Ordenes_Odoo'!C2833)</f>
        <v/>
      </c>
      <c r="D2833" s="79">
        <f>IF('Ordenes_Odoo'!D2833="","",'Ordenes_Odoo'!D2833)</f>
        <v/>
      </c>
      <c r="E2833" s="79">
        <f>IF('Ordenes_Odoo'!E2833="","",'Ordenes_Odoo'!E2833)</f>
        <v/>
      </c>
      <c r="F2833" s="79">
        <f>IF('Ordenes_Odoo'!F2833="","",'Ordenes_Odoo'!F2833)</f>
        <v/>
      </c>
      <c r="G2833" s="79">
        <f>IF('Ordenes_Odoo'!G2833="","",'Ordenes_Odoo'!G2833)</f>
        <v/>
      </c>
      <c r="H2833" s="79">
        <f>IF('Ordenes_Odoo'!H2833="","",'Ordenes_Odoo'!H2833)</f>
        <v/>
      </c>
      <c r="I2833" s="79">
        <f>IF('Ordenes_Odoo'!I2833="","",'Ordenes_Odoo'!I2833)</f>
        <v/>
      </c>
      <c r="J2833" s="79">
        <f>IF('Ordenes_Odoo'!J2833="","",'Ordenes_Odoo'!J2833)</f>
        <v/>
      </c>
      <c r="K2833" s="81">
        <f>IF('Ordenes_Odoo'!K2833="","",'Ordenes_Odoo'!K2833)</f>
        <v/>
      </c>
      <c r="L2833" s="81">
        <f>IF('Ordenes_Odoo'!L2833="","",'Ordenes_Odoo'!L2833)</f>
        <v/>
      </c>
      <c r="M2833" s="79">
        <f>IF('Ordenes_Odoo'!M2833="","",'Ordenes_Odoo'!M2833)</f>
        <v/>
      </c>
      <c r="N2833" s="79">
        <f>IF('Ordenes_Odoo'!N2833="","",'Ordenes_Odoo'!N2833)</f>
        <v/>
      </c>
      <c r="O2833" s="81">
        <f>IF('Ordenes_Odoo'!O2833="","",'Ordenes_Odoo'!O2833)</f>
        <v/>
      </c>
      <c r="P2833" s="81">
        <f>IF('Ordenes_Odoo'!P2833="","",'Ordenes_Odoo'!P2833)</f>
        <v/>
      </c>
      <c r="Q2833" s="79">
        <f>IF(A2833="","",IFERROR(INDEX(Facturas_Odoo!$B:$B, MATCH(A2833, Facturas_Odoo!$D:$D, 0)), "Sin Factura"))</f>
        <v/>
      </c>
      <c r="R2833" s="80">
        <f>IF(Q2833="Sin Factura","",IFERROR(INDEX(Facturas_Odoo!$A:$A, MATCH(Q2833, Facturas_Odoo!$B:$B, 0)), ""))</f>
        <v/>
      </c>
      <c r="S2833" s="79">
        <f>IF(Q2833="Sin Factura","",IFERROR(_xlfn.XLOOKUP(1, (Facturas_Odoo!$D:$D=A2833) * (Facturas_Odoo!$K:$K=I2833), Facturas_Odoo!$L:$L, ""), ""))</f>
        <v/>
      </c>
      <c r="T2833" s="81">
        <f>IF(Q2833="Sin Factura",0,IFERROR(_xlfn.XLOOKUP(1, (Facturas_Odoo!$D:$D=A2833) * (Facturas_Odoo!$K:$K=I2833), Facturas_Odoo!$M:$M, 0), 0))</f>
        <v/>
      </c>
      <c r="U2833" s="79">
        <f>IF(Q2833="Sin Factura",0,IFERROR(_xlfn.XLOOKUP(1, (Facturas_Odoo!$D:$D=A2833) * (Facturas_Odoo!$K:$K=I2833), Facturas_Odoo!$N:$N, 0), 0))</f>
        <v/>
      </c>
      <c r="V2833" s="79">
        <f>IF(Q2833="Sin Factura",0,IFERROR(_xlfn.XLOOKUP(1, (Facturas_Odoo!$D:$D=A2833) * (Facturas_Odoo!$K:$K=I2833), Facturas_Odoo!$O:$O, 0), 0))</f>
        <v/>
      </c>
      <c r="W2833" s="81">
        <f>IF(Q2833="Sin Factura",0,IFERROR(_xlfn.XLOOKUP(1, (Facturas_Odoo!$D:$D=A2833) * (Facturas_Odoo!$K:$K=I2833), Facturas_Odoo!$Q:$Q, 0), 0))</f>
        <v/>
      </c>
      <c r="X2833" s="79">
        <f>IF(OR(Q2833="Sin Factura",Q2833=""),"",IFERROR(INDEX(Pagos_Odoo!$B:$B, MATCH(Q2833, Pagos_Odoo!$I:$I, 0)), "Sin Pago"))</f>
        <v/>
      </c>
      <c r="Y2833" s="79">
        <f>IF(X2833="Sin Pago","",IFERROR(INDEX(Pagos_Odoo!$C:$C, MATCH(X2833, Pagos_Odoo!$B:$B, 0)), ""))</f>
        <v/>
      </c>
      <c r="Z2833" s="80">
        <f>IF(X2833="Sin Pago","",IFERROR(INDEX(Pagos_Odoo!$A:$A, MATCH(X2833, Pagos_Odoo!$B:$B, 0)), ""))</f>
        <v/>
      </c>
      <c r="AA2833" s="79">
        <f>IF(X2833="Sin Pago","",IFERROR(INDEX(Pagos_Odoo!$F:$F, MATCH(X2833, Pagos_Odoo!$B:$B, 0)), ""))</f>
        <v/>
      </c>
      <c r="AB2833" s="81">
        <f>IF(X2833="Sin Pago",0,IFERROR(INDEX(Pagos_Odoo!$E:$E, MATCH(X2833, Pagos_Odoo!$B:$B, 0)), 0))</f>
        <v/>
      </c>
      <c r="AC2833" s="79">
        <f>IF(X2833="Sin Pago","",IFERROR(INDEX(Pagos_Odoo!$G:$G, MATCH(X2833, Pagos_Odoo!$B:$B, 0)), ""))</f>
        <v/>
      </c>
      <c r="AD2833" s="82" t="n">
        <v>0</v>
      </c>
      <c r="AE2833" s="82" t="n"/>
      <c r="AF2833" s="82" t="n"/>
      <c r="AG2833" s="82">
        <f>IF(AN2833="","",AD2833+AE2833+AF2833)</f>
        <v/>
      </c>
      <c r="AH2833" s="81">
        <f>IF(AN2833="","",P2833*(1-AG2833))</f>
        <v/>
      </c>
      <c r="AI2833" s="81">
        <f>IF(AN2833="","",IF(Q2833="Sin Factura",0,IFERROR(INDEX(Facturas_Odoo!$H:$H, MATCH(Q2833, Facturas_Odoo!$B:$B, 0)), 0)*(1-AG2833)))</f>
        <v/>
      </c>
      <c r="AJ2833" s="81">
        <f>IF(AN2833="","",_xlfn.LET(idVenta, AN2833&amp;"",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33" s="81">
        <f>IF(AN2833="","",AH2833-AJ2833)</f>
        <v/>
      </c>
      <c r="AL2833" s="81">
        <f>IF(AN2833="","",IF(Q2833="Sin Factura","",AI2833-AJ2833))</f>
        <v/>
      </c>
      <c r="AM2833" s="81">
        <f>IF(AN2833="","",IF(Q2833="Sin Factura",0,P2833-IFERROR(INDEX(Facturas_Odoo!$H:$H, MATCH(Q2833, Facturas_Odoo!$B:$B, 0)), 0)))</f>
        <v/>
      </c>
      <c r="AN2833" s="79">
        <f>IF(AND(A2833="", J2833=""), "", IF(A2833&lt;&gt;"", VALUE(MID(A2833,2,LEN(A2833))), AN2832))</f>
        <v/>
      </c>
      <c r="AO2833" s="79">
        <f>IF(AN2833="","",IF(AD2833=0,"OK",_xlfn.LET(monedaPago, IF(AA2833="","USD",AA2833), limitePermitido, IFERROR(VLOOKUP(monedaPago, Configuración!$A$2:$B$3, 2, FALSE), 0.15), IF(AD2833&gt;limitePermitido, "ALERTA: EXCESO (" &amp; TEXT(limitePermitido, "0%") &amp; " máx)", "OK"))))</f>
        <v/>
      </c>
      <c r="AP2833" s="79">
        <f>IF(AN2833="","",IF(AE2833=0,"OK",_xlfn.LET(fechaPago, Z2833, fechaFactura, R2833, diasCredito, IF(E2833="Pago inmediato", 0, IFERROR(VALUE(MID(E2833, 1, SEARCH(" ", E2833)-1)),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33" s="79">
        <f>IF(AN2833="","",IF(AND(N2833&gt;0, AG2833&gt;0), IF(Configuración!$K$2="NO", "ALERTA: DESCUENTO DOBLE NO PERMITIDO", "OK"), "OK"))</f>
        <v/>
      </c>
      <c r="AR2833" s="79">
        <f>IF(AN2833="","",IF(OR(AO2833&lt;&gt;"OK", AP2833&lt;&gt;"OK", AQ2833&lt;&gt;"OK"), "⚠️ REVISAR", "OK"))</f>
        <v/>
      </c>
    </row>
    <row r="2834">
      <c r="A2834" s="79">
        <f>IF('Ordenes_Odoo'!A2834="","",'Ordenes_Odoo'!A2834)</f>
        <v/>
      </c>
      <c r="B2834" s="80">
        <f>IF('Ordenes_Odoo'!B2834="","",'Ordenes_Odoo'!B2834)</f>
        <v/>
      </c>
      <c r="C2834" s="79">
        <f>IF('Ordenes_Odoo'!C2834="","",'Ordenes_Odoo'!C2834)</f>
        <v/>
      </c>
      <c r="D2834" s="79">
        <f>IF('Ordenes_Odoo'!D2834="","",'Ordenes_Odoo'!D2834)</f>
        <v/>
      </c>
      <c r="E2834" s="79">
        <f>IF('Ordenes_Odoo'!E2834="","",'Ordenes_Odoo'!E2834)</f>
        <v/>
      </c>
      <c r="F2834" s="79">
        <f>IF('Ordenes_Odoo'!F2834="","",'Ordenes_Odoo'!F2834)</f>
        <v/>
      </c>
      <c r="G2834" s="79">
        <f>IF('Ordenes_Odoo'!G2834="","",'Ordenes_Odoo'!G2834)</f>
        <v/>
      </c>
      <c r="H2834" s="79">
        <f>IF('Ordenes_Odoo'!H2834="","",'Ordenes_Odoo'!H2834)</f>
        <v/>
      </c>
      <c r="I2834" s="79">
        <f>IF('Ordenes_Odoo'!I2834="","",'Ordenes_Odoo'!I2834)</f>
        <v/>
      </c>
      <c r="J2834" s="79">
        <f>IF('Ordenes_Odoo'!J2834="","",'Ordenes_Odoo'!J2834)</f>
        <v/>
      </c>
      <c r="K2834" s="81">
        <f>IF('Ordenes_Odoo'!K2834="","",'Ordenes_Odoo'!K2834)</f>
        <v/>
      </c>
      <c r="L2834" s="81">
        <f>IF('Ordenes_Odoo'!L2834="","",'Ordenes_Odoo'!L2834)</f>
        <v/>
      </c>
      <c r="M2834" s="79">
        <f>IF('Ordenes_Odoo'!M2834="","",'Ordenes_Odoo'!M2834)</f>
        <v/>
      </c>
      <c r="N2834" s="79">
        <f>IF('Ordenes_Odoo'!N2834="","",'Ordenes_Odoo'!N2834)</f>
        <v/>
      </c>
      <c r="O2834" s="81">
        <f>IF('Ordenes_Odoo'!O2834="","",'Ordenes_Odoo'!O2834)</f>
        <v/>
      </c>
      <c r="P2834" s="81">
        <f>IF('Ordenes_Odoo'!P2834="","",'Ordenes_Odoo'!P2834)</f>
        <v/>
      </c>
      <c r="Q2834" s="79">
        <f>IF(A2834="","",IFERROR(INDEX(Facturas_Odoo!$B:$B, MATCH(A2834, Facturas_Odoo!$D:$D, 0)), "Sin Factura"))</f>
        <v/>
      </c>
      <c r="R2834" s="80">
        <f>IF(Q2834="Sin Factura","",IFERROR(INDEX(Facturas_Odoo!$A:$A, MATCH(Q2834, Facturas_Odoo!$B:$B, 0)), ""))</f>
        <v/>
      </c>
      <c r="S2834" s="79">
        <f>IF(Q2834="Sin Factura","",IFERROR(_xlfn.XLOOKUP(1, (Facturas_Odoo!$D:$D=A2834) * (Facturas_Odoo!$K:$K=I2834), Facturas_Odoo!$L:$L, ""), ""))</f>
        <v/>
      </c>
      <c r="T2834" s="81">
        <f>IF(Q2834="Sin Factura",0,IFERROR(_xlfn.XLOOKUP(1, (Facturas_Odoo!$D:$D=A2834) * (Facturas_Odoo!$K:$K=I2834), Facturas_Odoo!$M:$M, 0), 0))</f>
        <v/>
      </c>
      <c r="U2834" s="79">
        <f>IF(Q2834="Sin Factura",0,IFERROR(_xlfn.XLOOKUP(1, (Facturas_Odoo!$D:$D=A2834) * (Facturas_Odoo!$K:$K=I2834), Facturas_Odoo!$N:$N, 0), 0))</f>
        <v/>
      </c>
      <c r="V2834" s="79">
        <f>IF(Q2834="Sin Factura",0,IFERROR(_xlfn.XLOOKUP(1, (Facturas_Odoo!$D:$D=A2834) * (Facturas_Odoo!$K:$K=I2834), Facturas_Odoo!$O:$O, 0), 0))</f>
        <v/>
      </c>
      <c r="W2834" s="81">
        <f>IF(Q2834="Sin Factura",0,IFERROR(_xlfn.XLOOKUP(1, (Facturas_Odoo!$D:$D=A2834) * (Facturas_Odoo!$K:$K=I2834), Facturas_Odoo!$Q:$Q, 0), 0))</f>
        <v/>
      </c>
      <c r="X2834" s="79">
        <f>IF(OR(Q2834="Sin Factura",Q2834=""),"",IFERROR(INDEX(Pagos_Odoo!$B:$B, MATCH(Q2834, Pagos_Odoo!$I:$I, 0)), "Sin Pago"))</f>
        <v/>
      </c>
      <c r="Y2834" s="79">
        <f>IF(X2834="Sin Pago","",IFERROR(INDEX(Pagos_Odoo!$C:$C, MATCH(X2834, Pagos_Odoo!$B:$B, 0)), ""))</f>
        <v/>
      </c>
      <c r="Z2834" s="80">
        <f>IF(X2834="Sin Pago","",IFERROR(INDEX(Pagos_Odoo!$A:$A, MATCH(X2834, Pagos_Odoo!$B:$B, 0)), ""))</f>
        <v/>
      </c>
      <c r="AA2834" s="79">
        <f>IF(X2834="Sin Pago","",IFERROR(INDEX(Pagos_Odoo!$F:$F, MATCH(X2834, Pagos_Odoo!$B:$B, 0)), ""))</f>
        <v/>
      </c>
      <c r="AB2834" s="81">
        <f>IF(X2834="Sin Pago",0,IFERROR(INDEX(Pagos_Odoo!$E:$E, MATCH(X2834, Pagos_Odoo!$B:$B, 0)), 0))</f>
        <v/>
      </c>
      <c r="AC2834" s="79">
        <f>IF(X2834="Sin Pago","",IFERROR(INDEX(Pagos_Odoo!$G:$G, MATCH(X2834, Pagos_Odoo!$B:$B, 0)), ""))</f>
        <v/>
      </c>
      <c r="AD2834" s="82" t="n">
        <v>0</v>
      </c>
      <c r="AE2834" s="82" t="n"/>
      <c r="AF2834" s="82" t="n"/>
      <c r="AG2834" s="82">
        <f>IF(AN2834="","",AD2834+AE2834+AF2834)</f>
        <v/>
      </c>
      <c r="AH2834" s="81">
        <f>IF(AN2834="","",P2834*(1-AG2834))</f>
        <v/>
      </c>
      <c r="AI2834" s="81">
        <f>IF(AN2834="","",IF(Q2834="Sin Factura",0,IFERROR(INDEX(Facturas_Odoo!$H:$H, MATCH(Q2834, Facturas_Odoo!$B:$B, 0)), 0)*(1-AG2834)))</f>
        <v/>
      </c>
      <c r="AJ2834" s="81">
        <f>IF(AN2834="","",_xlfn.LET(idVenta, AN2834&amp;"",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34" s="81">
        <f>IF(AN2834="","",AH2834-AJ2834)</f>
        <v/>
      </c>
      <c r="AL2834" s="81">
        <f>IF(AN2834="","",IF(Q2834="Sin Factura","",AI2834-AJ2834))</f>
        <v/>
      </c>
      <c r="AM2834" s="81">
        <f>IF(AN2834="","",IF(Q2834="Sin Factura",0,P2834-IFERROR(INDEX(Facturas_Odoo!$H:$H, MATCH(Q2834, Facturas_Odoo!$B:$B, 0)), 0)))</f>
        <v/>
      </c>
      <c r="AN2834" s="79">
        <f>IF(AND(A2834="", J2834=""), "", IF(A2834&lt;&gt;"", VALUE(MID(A2834,2,LEN(A2834))), AN2833))</f>
        <v/>
      </c>
      <c r="AO2834" s="79">
        <f>IF(AN2834="","",IF(AD2834=0,"OK",_xlfn.LET(monedaPago, IF(AA2834="","USD",AA2834), limitePermitido, IFERROR(VLOOKUP(monedaPago, Configuración!$A$2:$B$3, 2, FALSE), 0.15), IF(AD2834&gt;limitePermitido, "ALERTA: EXCESO (" &amp; TEXT(limitePermitido, "0%") &amp; " máx)", "OK"))))</f>
        <v/>
      </c>
      <c r="AP2834" s="79">
        <f>IF(AN2834="","",IF(AE2834=0,"OK",_xlfn.LET(fechaPago, Z2834, fechaFactura, R2834, diasCredito, IF(E2834="Pago inmediato", 0, IFERROR(VALUE(MID(E2834, 1, SEARCH(" ", E2834)-1)),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34" s="79">
        <f>IF(AN2834="","",IF(AND(N2834&gt;0, AG2834&gt;0), IF(Configuración!$K$2="NO", "ALERTA: DESCUENTO DOBLE NO PERMITIDO", "OK"), "OK"))</f>
        <v/>
      </c>
      <c r="AR2834" s="79">
        <f>IF(AN2834="","",IF(OR(AO2834&lt;&gt;"OK", AP2834&lt;&gt;"OK", AQ2834&lt;&gt;"OK"), "⚠️ REVISAR", "OK"))</f>
        <v/>
      </c>
    </row>
    <row r="2835">
      <c r="A2835" s="79">
        <f>IF('Ordenes_Odoo'!A2835="","",'Ordenes_Odoo'!A2835)</f>
        <v/>
      </c>
      <c r="B2835" s="80">
        <f>IF('Ordenes_Odoo'!B2835="","",'Ordenes_Odoo'!B2835)</f>
        <v/>
      </c>
      <c r="C2835" s="79">
        <f>IF('Ordenes_Odoo'!C2835="","",'Ordenes_Odoo'!C2835)</f>
        <v/>
      </c>
      <c r="D2835" s="79">
        <f>IF('Ordenes_Odoo'!D2835="","",'Ordenes_Odoo'!D2835)</f>
        <v/>
      </c>
      <c r="E2835" s="79">
        <f>IF('Ordenes_Odoo'!E2835="","",'Ordenes_Odoo'!E2835)</f>
        <v/>
      </c>
      <c r="F2835" s="79">
        <f>IF('Ordenes_Odoo'!F2835="","",'Ordenes_Odoo'!F2835)</f>
        <v/>
      </c>
      <c r="G2835" s="79">
        <f>IF('Ordenes_Odoo'!G2835="","",'Ordenes_Odoo'!G2835)</f>
        <v/>
      </c>
      <c r="H2835" s="79">
        <f>IF('Ordenes_Odoo'!H2835="","",'Ordenes_Odoo'!H2835)</f>
        <v/>
      </c>
      <c r="I2835" s="79">
        <f>IF('Ordenes_Odoo'!I2835="","",'Ordenes_Odoo'!I2835)</f>
        <v/>
      </c>
      <c r="J2835" s="79">
        <f>IF('Ordenes_Odoo'!J2835="","",'Ordenes_Odoo'!J2835)</f>
        <v/>
      </c>
      <c r="K2835" s="81">
        <f>IF('Ordenes_Odoo'!K2835="","",'Ordenes_Odoo'!K2835)</f>
        <v/>
      </c>
      <c r="L2835" s="81">
        <f>IF('Ordenes_Odoo'!L2835="","",'Ordenes_Odoo'!L2835)</f>
        <v/>
      </c>
      <c r="M2835" s="79">
        <f>IF('Ordenes_Odoo'!M2835="","",'Ordenes_Odoo'!M2835)</f>
        <v/>
      </c>
      <c r="N2835" s="79">
        <f>IF('Ordenes_Odoo'!N2835="","",'Ordenes_Odoo'!N2835)</f>
        <v/>
      </c>
      <c r="O2835" s="81">
        <f>IF('Ordenes_Odoo'!O2835="","",'Ordenes_Odoo'!O2835)</f>
        <v/>
      </c>
      <c r="P2835" s="81">
        <f>IF('Ordenes_Odoo'!P2835="","",'Ordenes_Odoo'!P2835)</f>
        <v/>
      </c>
      <c r="Q2835" s="79">
        <f>IF(A2835="","",IFERROR(INDEX(Facturas_Odoo!$B:$B, MATCH(A2835, Facturas_Odoo!$D:$D, 0)), "Sin Factura"))</f>
        <v/>
      </c>
      <c r="R2835" s="80">
        <f>IF(Q2835="Sin Factura","",IFERROR(INDEX(Facturas_Odoo!$A:$A, MATCH(Q2835, Facturas_Odoo!$B:$B, 0)), ""))</f>
        <v/>
      </c>
      <c r="S2835" s="79">
        <f>IF(Q2835="Sin Factura","",IFERROR(_xlfn.XLOOKUP(1, (Facturas_Odoo!$D:$D=A2835) * (Facturas_Odoo!$K:$K=I2835), Facturas_Odoo!$L:$L, ""), ""))</f>
        <v/>
      </c>
      <c r="T2835" s="81">
        <f>IF(Q2835="Sin Factura",0,IFERROR(_xlfn.XLOOKUP(1, (Facturas_Odoo!$D:$D=A2835) * (Facturas_Odoo!$K:$K=I2835), Facturas_Odoo!$M:$M, 0), 0))</f>
        <v/>
      </c>
      <c r="U2835" s="79">
        <f>IF(Q2835="Sin Factura",0,IFERROR(_xlfn.XLOOKUP(1, (Facturas_Odoo!$D:$D=A2835) * (Facturas_Odoo!$K:$K=I2835), Facturas_Odoo!$N:$N, 0), 0))</f>
        <v/>
      </c>
      <c r="V2835" s="79">
        <f>IF(Q2835="Sin Factura",0,IFERROR(_xlfn.XLOOKUP(1, (Facturas_Odoo!$D:$D=A2835) * (Facturas_Odoo!$K:$K=I2835), Facturas_Odoo!$O:$O, 0), 0))</f>
        <v/>
      </c>
      <c r="W2835" s="81">
        <f>IF(Q2835="Sin Factura",0,IFERROR(_xlfn.XLOOKUP(1, (Facturas_Odoo!$D:$D=A2835) * (Facturas_Odoo!$K:$K=I2835), Facturas_Odoo!$Q:$Q, 0), 0))</f>
        <v/>
      </c>
      <c r="X2835" s="79">
        <f>IF(OR(Q2835="Sin Factura",Q2835=""),"",IFERROR(INDEX(Pagos_Odoo!$B:$B, MATCH(Q2835, Pagos_Odoo!$I:$I, 0)), "Sin Pago"))</f>
        <v/>
      </c>
      <c r="Y2835" s="79">
        <f>IF(X2835="Sin Pago","",IFERROR(INDEX(Pagos_Odoo!$C:$C, MATCH(X2835, Pagos_Odoo!$B:$B, 0)), ""))</f>
        <v/>
      </c>
      <c r="Z2835" s="80">
        <f>IF(X2835="Sin Pago","",IFERROR(INDEX(Pagos_Odoo!$A:$A, MATCH(X2835, Pagos_Odoo!$B:$B, 0)), ""))</f>
        <v/>
      </c>
      <c r="AA2835" s="79">
        <f>IF(X2835="Sin Pago","",IFERROR(INDEX(Pagos_Odoo!$F:$F, MATCH(X2835, Pagos_Odoo!$B:$B, 0)), ""))</f>
        <v/>
      </c>
      <c r="AB2835" s="81">
        <f>IF(X2835="Sin Pago",0,IFERROR(INDEX(Pagos_Odoo!$E:$E, MATCH(X2835, Pagos_Odoo!$B:$B, 0)), 0))</f>
        <v/>
      </c>
      <c r="AC2835" s="79">
        <f>IF(X2835="Sin Pago","",IFERROR(INDEX(Pagos_Odoo!$G:$G, MATCH(X2835, Pagos_Odoo!$B:$B, 0)), ""))</f>
        <v/>
      </c>
      <c r="AD2835" s="82" t="n">
        <v>0</v>
      </c>
      <c r="AE2835" s="82" t="n"/>
      <c r="AF2835" s="82" t="n"/>
      <c r="AG2835" s="82">
        <f>IF(AN2835="","",AD2835+AE2835+AF2835)</f>
        <v/>
      </c>
      <c r="AH2835" s="81">
        <f>IF(AN2835="","",P2835*(1-AG2835))</f>
        <v/>
      </c>
      <c r="AI2835" s="81">
        <f>IF(AN2835="","",IF(Q2835="Sin Factura",0,IFERROR(INDEX(Facturas_Odoo!$H:$H, MATCH(Q2835, Facturas_Odoo!$B:$B, 0)), 0)*(1-AG2835)))</f>
        <v/>
      </c>
      <c r="AJ2835" s="81">
        <f>IF(AN2835="","",_xlfn.LET(idVenta, AN2835&amp;"",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35" s="81">
        <f>IF(AN2835="","",AH2835-AJ2835)</f>
        <v/>
      </c>
      <c r="AL2835" s="81">
        <f>IF(AN2835="","",IF(Q2835="Sin Factura","",AI2835-AJ2835))</f>
        <v/>
      </c>
      <c r="AM2835" s="81">
        <f>IF(AN2835="","",IF(Q2835="Sin Factura",0,P2835-IFERROR(INDEX(Facturas_Odoo!$H:$H, MATCH(Q2835, Facturas_Odoo!$B:$B, 0)), 0)))</f>
        <v/>
      </c>
      <c r="AN2835" s="79">
        <f>IF(AND(A2835="", J2835=""), "", IF(A2835&lt;&gt;"", VALUE(MID(A2835,2,LEN(A2835))), AN2834))</f>
        <v/>
      </c>
      <c r="AO2835" s="79">
        <f>IF(AN2835="","",IF(AD2835=0,"OK",_xlfn.LET(monedaPago, IF(AA2835="","USD",AA2835), limitePermitido, IFERROR(VLOOKUP(monedaPago, Configuración!$A$2:$B$3, 2, FALSE), 0.15), IF(AD2835&gt;limitePermitido, "ALERTA: EXCESO (" &amp; TEXT(limitePermitido, "0%") &amp; " máx)", "OK"))))</f>
        <v/>
      </c>
      <c r="AP2835" s="79">
        <f>IF(AN2835="","",IF(AE2835=0,"OK",_xlfn.LET(fechaPago, Z2835, fechaFactura, R2835, diasCredito, IF(E2835="Pago inmediato", 0, IFERROR(VALUE(MID(E2835, 1, SEARCH(" ", E2835)-1)),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35" s="79">
        <f>IF(AN2835="","",IF(AND(N2835&gt;0, AG2835&gt;0), IF(Configuración!$K$2="NO", "ALERTA: DESCUENTO DOBLE NO PERMITIDO", "OK"), "OK"))</f>
        <v/>
      </c>
      <c r="AR2835" s="79">
        <f>IF(AN2835="","",IF(OR(AO2835&lt;&gt;"OK", AP2835&lt;&gt;"OK", AQ2835&lt;&gt;"OK"), "⚠️ REVISAR", "OK"))</f>
        <v/>
      </c>
    </row>
    <row r="2836">
      <c r="A2836" s="79">
        <f>IF('Ordenes_Odoo'!A2836="","",'Ordenes_Odoo'!A2836)</f>
        <v/>
      </c>
      <c r="B2836" s="80">
        <f>IF('Ordenes_Odoo'!B2836="","",'Ordenes_Odoo'!B2836)</f>
        <v/>
      </c>
      <c r="C2836" s="79">
        <f>IF('Ordenes_Odoo'!C2836="","",'Ordenes_Odoo'!C2836)</f>
        <v/>
      </c>
      <c r="D2836" s="79">
        <f>IF('Ordenes_Odoo'!D2836="","",'Ordenes_Odoo'!D2836)</f>
        <v/>
      </c>
      <c r="E2836" s="79">
        <f>IF('Ordenes_Odoo'!E2836="","",'Ordenes_Odoo'!E2836)</f>
        <v/>
      </c>
      <c r="F2836" s="79">
        <f>IF('Ordenes_Odoo'!F2836="","",'Ordenes_Odoo'!F2836)</f>
        <v/>
      </c>
      <c r="G2836" s="79">
        <f>IF('Ordenes_Odoo'!G2836="","",'Ordenes_Odoo'!G2836)</f>
        <v/>
      </c>
      <c r="H2836" s="79">
        <f>IF('Ordenes_Odoo'!H2836="","",'Ordenes_Odoo'!H2836)</f>
        <v/>
      </c>
      <c r="I2836" s="79">
        <f>IF('Ordenes_Odoo'!I2836="","",'Ordenes_Odoo'!I2836)</f>
        <v/>
      </c>
      <c r="J2836" s="79">
        <f>IF('Ordenes_Odoo'!J2836="","",'Ordenes_Odoo'!J2836)</f>
        <v/>
      </c>
      <c r="K2836" s="81">
        <f>IF('Ordenes_Odoo'!K2836="","",'Ordenes_Odoo'!K2836)</f>
        <v/>
      </c>
      <c r="L2836" s="81">
        <f>IF('Ordenes_Odoo'!L2836="","",'Ordenes_Odoo'!L2836)</f>
        <v/>
      </c>
      <c r="M2836" s="79">
        <f>IF('Ordenes_Odoo'!M2836="","",'Ordenes_Odoo'!M2836)</f>
        <v/>
      </c>
      <c r="N2836" s="79">
        <f>IF('Ordenes_Odoo'!N2836="","",'Ordenes_Odoo'!N2836)</f>
        <v/>
      </c>
      <c r="O2836" s="81">
        <f>IF('Ordenes_Odoo'!O2836="","",'Ordenes_Odoo'!O2836)</f>
        <v/>
      </c>
      <c r="P2836" s="81">
        <f>IF('Ordenes_Odoo'!P2836="","",'Ordenes_Odoo'!P2836)</f>
        <v/>
      </c>
      <c r="Q2836" s="79">
        <f>IF(A2836="","",IFERROR(INDEX(Facturas_Odoo!$B:$B, MATCH(A2836, Facturas_Odoo!$D:$D, 0)), "Sin Factura"))</f>
        <v/>
      </c>
      <c r="R2836" s="80">
        <f>IF(Q2836="Sin Factura","",IFERROR(INDEX(Facturas_Odoo!$A:$A, MATCH(Q2836, Facturas_Odoo!$B:$B, 0)), ""))</f>
        <v/>
      </c>
      <c r="S2836" s="79">
        <f>IF(Q2836="Sin Factura","",IFERROR(_xlfn.XLOOKUP(1, (Facturas_Odoo!$D:$D=A2836) * (Facturas_Odoo!$K:$K=I2836), Facturas_Odoo!$L:$L, ""), ""))</f>
        <v/>
      </c>
      <c r="T2836" s="81">
        <f>IF(Q2836="Sin Factura",0,IFERROR(_xlfn.XLOOKUP(1, (Facturas_Odoo!$D:$D=A2836) * (Facturas_Odoo!$K:$K=I2836), Facturas_Odoo!$M:$M, 0), 0))</f>
        <v/>
      </c>
      <c r="U2836" s="79">
        <f>IF(Q2836="Sin Factura",0,IFERROR(_xlfn.XLOOKUP(1, (Facturas_Odoo!$D:$D=A2836) * (Facturas_Odoo!$K:$K=I2836), Facturas_Odoo!$N:$N, 0), 0))</f>
        <v/>
      </c>
      <c r="V2836" s="79">
        <f>IF(Q2836="Sin Factura",0,IFERROR(_xlfn.XLOOKUP(1, (Facturas_Odoo!$D:$D=A2836) * (Facturas_Odoo!$K:$K=I2836), Facturas_Odoo!$O:$O, 0), 0))</f>
        <v/>
      </c>
      <c r="W2836" s="81">
        <f>IF(Q2836="Sin Factura",0,IFERROR(_xlfn.XLOOKUP(1, (Facturas_Odoo!$D:$D=A2836) * (Facturas_Odoo!$K:$K=I2836), Facturas_Odoo!$Q:$Q, 0), 0))</f>
        <v/>
      </c>
      <c r="X2836" s="79">
        <f>IF(OR(Q2836="Sin Factura",Q2836=""),"",IFERROR(INDEX(Pagos_Odoo!$B:$B, MATCH(Q2836, Pagos_Odoo!$I:$I, 0)), "Sin Pago"))</f>
        <v/>
      </c>
      <c r="Y2836" s="79">
        <f>IF(X2836="Sin Pago","",IFERROR(INDEX(Pagos_Odoo!$C:$C, MATCH(X2836, Pagos_Odoo!$B:$B, 0)), ""))</f>
        <v/>
      </c>
      <c r="Z2836" s="80">
        <f>IF(X2836="Sin Pago","",IFERROR(INDEX(Pagos_Odoo!$A:$A, MATCH(X2836, Pagos_Odoo!$B:$B, 0)), ""))</f>
        <v/>
      </c>
      <c r="AA2836" s="79">
        <f>IF(X2836="Sin Pago","",IFERROR(INDEX(Pagos_Odoo!$F:$F, MATCH(X2836, Pagos_Odoo!$B:$B, 0)), ""))</f>
        <v/>
      </c>
      <c r="AB2836" s="81">
        <f>IF(X2836="Sin Pago",0,IFERROR(INDEX(Pagos_Odoo!$E:$E, MATCH(X2836, Pagos_Odoo!$B:$B, 0)), 0))</f>
        <v/>
      </c>
      <c r="AC2836" s="79">
        <f>IF(X2836="Sin Pago","",IFERROR(INDEX(Pagos_Odoo!$G:$G, MATCH(X2836, Pagos_Odoo!$B:$B, 0)), ""))</f>
        <v/>
      </c>
      <c r="AD2836" s="82" t="n">
        <v>0</v>
      </c>
      <c r="AE2836" s="82" t="n"/>
      <c r="AF2836" s="82" t="n"/>
      <c r="AG2836" s="82">
        <f>IF(AN2836="","",AD2836+AE2836+AF2836)</f>
        <v/>
      </c>
      <c r="AH2836" s="81">
        <f>IF(AN2836="","",P2836*(1-AG2836))</f>
        <v/>
      </c>
      <c r="AI2836" s="81">
        <f>IF(AN2836="","",IF(Q2836="Sin Factura",0,IFERROR(INDEX(Facturas_Odoo!$H:$H, MATCH(Q2836, Facturas_Odoo!$B:$B, 0)), 0)*(1-AG2836)))</f>
        <v/>
      </c>
      <c r="AJ2836" s="81">
        <f>IF(AN2836="","",_xlfn.LET(idVenta, AN2836&amp;"",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36" s="81">
        <f>IF(AN2836="","",AH2836-AJ2836)</f>
        <v/>
      </c>
      <c r="AL2836" s="81">
        <f>IF(AN2836="","",IF(Q2836="Sin Factura","",AI2836-AJ2836))</f>
        <v/>
      </c>
      <c r="AM2836" s="81">
        <f>IF(AN2836="","",IF(Q2836="Sin Factura",0,P2836-IFERROR(INDEX(Facturas_Odoo!$H:$H, MATCH(Q2836, Facturas_Odoo!$B:$B, 0)), 0)))</f>
        <v/>
      </c>
      <c r="AN2836" s="79">
        <f>IF(AND(A2836="", J2836=""), "", IF(A2836&lt;&gt;"", VALUE(MID(A2836,2,LEN(A2836))), AN2835))</f>
        <v/>
      </c>
      <c r="AO2836" s="79">
        <f>IF(AN2836="","",IF(AD2836=0,"OK",_xlfn.LET(monedaPago, IF(AA2836="","USD",AA2836), limitePermitido, IFERROR(VLOOKUP(monedaPago, Configuración!$A$2:$B$3, 2, FALSE), 0.15), IF(AD2836&gt;limitePermitido, "ALERTA: EXCESO (" &amp; TEXT(limitePermitido, "0%") &amp; " máx)", "OK"))))</f>
        <v/>
      </c>
      <c r="AP2836" s="79">
        <f>IF(AN2836="","",IF(AE2836=0,"OK",_xlfn.LET(fechaPago, Z2836, fechaFactura, R2836, diasCredito, IF(E2836="Pago inmediato", 0, IFERROR(VALUE(MID(E2836, 1, SEARCH(" ", E2836)-1)),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36" s="79">
        <f>IF(AN2836="","",IF(AND(N2836&gt;0, AG2836&gt;0), IF(Configuración!$K$2="NO", "ALERTA: DESCUENTO DOBLE NO PERMITIDO", "OK"), "OK"))</f>
        <v/>
      </c>
      <c r="AR2836" s="79">
        <f>IF(AN2836="","",IF(OR(AO2836&lt;&gt;"OK", AP2836&lt;&gt;"OK", AQ2836&lt;&gt;"OK"), "⚠️ REVISAR", "OK"))</f>
        <v/>
      </c>
    </row>
    <row r="2837">
      <c r="A2837" s="79">
        <f>IF('Ordenes_Odoo'!A2837="","",'Ordenes_Odoo'!A2837)</f>
        <v/>
      </c>
      <c r="B2837" s="80">
        <f>IF('Ordenes_Odoo'!B2837="","",'Ordenes_Odoo'!B2837)</f>
        <v/>
      </c>
      <c r="C2837" s="79">
        <f>IF('Ordenes_Odoo'!C2837="","",'Ordenes_Odoo'!C2837)</f>
        <v/>
      </c>
      <c r="D2837" s="79">
        <f>IF('Ordenes_Odoo'!D2837="","",'Ordenes_Odoo'!D2837)</f>
        <v/>
      </c>
      <c r="E2837" s="79">
        <f>IF('Ordenes_Odoo'!E2837="","",'Ordenes_Odoo'!E2837)</f>
        <v/>
      </c>
      <c r="F2837" s="79">
        <f>IF('Ordenes_Odoo'!F2837="","",'Ordenes_Odoo'!F2837)</f>
        <v/>
      </c>
      <c r="G2837" s="79">
        <f>IF('Ordenes_Odoo'!G2837="","",'Ordenes_Odoo'!G2837)</f>
        <v/>
      </c>
      <c r="H2837" s="79">
        <f>IF('Ordenes_Odoo'!H2837="","",'Ordenes_Odoo'!H2837)</f>
        <v/>
      </c>
      <c r="I2837" s="79">
        <f>IF('Ordenes_Odoo'!I2837="","",'Ordenes_Odoo'!I2837)</f>
        <v/>
      </c>
      <c r="J2837" s="79">
        <f>IF('Ordenes_Odoo'!J2837="","",'Ordenes_Odoo'!J2837)</f>
        <v/>
      </c>
      <c r="K2837" s="81">
        <f>IF('Ordenes_Odoo'!K2837="","",'Ordenes_Odoo'!K2837)</f>
        <v/>
      </c>
      <c r="L2837" s="81">
        <f>IF('Ordenes_Odoo'!L2837="","",'Ordenes_Odoo'!L2837)</f>
        <v/>
      </c>
      <c r="M2837" s="79">
        <f>IF('Ordenes_Odoo'!M2837="","",'Ordenes_Odoo'!M2837)</f>
        <v/>
      </c>
      <c r="N2837" s="79">
        <f>IF('Ordenes_Odoo'!N2837="","",'Ordenes_Odoo'!N2837)</f>
        <v/>
      </c>
      <c r="O2837" s="81">
        <f>IF('Ordenes_Odoo'!O2837="","",'Ordenes_Odoo'!O2837)</f>
        <v/>
      </c>
      <c r="P2837" s="81">
        <f>IF('Ordenes_Odoo'!P2837="","",'Ordenes_Odoo'!P2837)</f>
        <v/>
      </c>
      <c r="Q2837" s="79">
        <f>IF(A2837="","",IFERROR(INDEX(Facturas_Odoo!$B:$B, MATCH(A2837, Facturas_Odoo!$D:$D, 0)), "Sin Factura"))</f>
        <v/>
      </c>
      <c r="R2837" s="80">
        <f>IF(Q2837="Sin Factura","",IFERROR(INDEX(Facturas_Odoo!$A:$A, MATCH(Q2837, Facturas_Odoo!$B:$B, 0)), ""))</f>
        <v/>
      </c>
      <c r="S2837" s="79">
        <f>IF(Q2837="Sin Factura","",IFERROR(_xlfn.XLOOKUP(1, (Facturas_Odoo!$D:$D=A2837) * (Facturas_Odoo!$K:$K=I2837), Facturas_Odoo!$L:$L, ""), ""))</f>
        <v/>
      </c>
      <c r="T2837" s="81">
        <f>IF(Q2837="Sin Factura",0,IFERROR(_xlfn.XLOOKUP(1, (Facturas_Odoo!$D:$D=A2837) * (Facturas_Odoo!$K:$K=I2837), Facturas_Odoo!$M:$M, 0), 0))</f>
        <v/>
      </c>
      <c r="U2837" s="79">
        <f>IF(Q2837="Sin Factura",0,IFERROR(_xlfn.XLOOKUP(1, (Facturas_Odoo!$D:$D=A2837) * (Facturas_Odoo!$K:$K=I2837), Facturas_Odoo!$N:$N, 0), 0))</f>
        <v/>
      </c>
      <c r="V2837" s="79">
        <f>IF(Q2837="Sin Factura",0,IFERROR(_xlfn.XLOOKUP(1, (Facturas_Odoo!$D:$D=A2837) * (Facturas_Odoo!$K:$K=I2837), Facturas_Odoo!$O:$O, 0), 0))</f>
        <v/>
      </c>
      <c r="W2837" s="81">
        <f>IF(Q2837="Sin Factura",0,IFERROR(_xlfn.XLOOKUP(1, (Facturas_Odoo!$D:$D=A2837) * (Facturas_Odoo!$K:$K=I2837), Facturas_Odoo!$Q:$Q, 0), 0))</f>
        <v/>
      </c>
      <c r="X2837" s="79">
        <f>IF(OR(Q2837="Sin Factura",Q2837=""),"",IFERROR(INDEX(Pagos_Odoo!$B:$B, MATCH(Q2837, Pagos_Odoo!$I:$I, 0)), "Sin Pago"))</f>
        <v/>
      </c>
      <c r="Y2837" s="79">
        <f>IF(X2837="Sin Pago","",IFERROR(INDEX(Pagos_Odoo!$C:$C, MATCH(X2837, Pagos_Odoo!$B:$B, 0)), ""))</f>
        <v/>
      </c>
      <c r="Z2837" s="80">
        <f>IF(X2837="Sin Pago","",IFERROR(INDEX(Pagos_Odoo!$A:$A, MATCH(X2837, Pagos_Odoo!$B:$B, 0)), ""))</f>
        <v/>
      </c>
      <c r="AA2837" s="79">
        <f>IF(X2837="Sin Pago","",IFERROR(INDEX(Pagos_Odoo!$F:$F, MATCH(X2837, Pagos_Odoo!$B:$B, 0)), ""))</f>
        <v/>
      </c>
      <c r="AB2837" s="81">
        <f>IF(X2837="Sin Pago",0,IFERROR(INDEX(Pagos_Odoo!$E:$E, MATCH(X2837, Pagos_Odoo!$B:$B, 0)), 0))</f>
        <v/>
      </c>
      <c r="AC2837" s="79">
        <f>IF(X2837="Sin Pago","",IFERROR(INDEX(Pagos_Odoo!$G:$G, MATCH(X2837, Pagos_Odoo!$B:$B, 0)), ""))</f>
        <v/>
      </c>
      <c r="AD2837" s="82" t="n">
        <v>0</v>
      </c>
      <c r="AE2837" s="82" t="n"/>
      <c r="AF2837" s="82" t="n"/>
      <c r="AG2837" s="82">
        <f>IF(AN2837="","",AD2837+AE2837+AF2837)</f>
        <v/>
      </c>
      <c r="AH2837" s="81">
        <f>IF(AN2837="","",P2837*(1-AG2837))</f>
        <v/>
      </c>
      <c r="AI2837" s="81">
        <f>IF(AN2837="","",IF(Q2837="Sin Factura",0,IFERROR(INDEX(Facturas_Odoo!$H:$H, MATCH(Q2837, Facturas_Odoo!$B:$B, 0)), 0)*(1-AG2837)))</f>
        <v/>
      </c>
      <c r="AJ2837" s="81">
        <f>IF(AN2837="","",_xlfn.LET(idVenta, AN2837&amp;"",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37" s="81">
        <f>IF(AN2837="","",AH2837-AJ2837)</f>
        <v/>
      </c>
      <c r="AL2837" s="81">
        <f>IF(AN2837="","",IF(Q2837="Sin Factura","",AI2837-AJ2837))</f>
        <v/>
      </c>
      <c r="AM2837" s="81">
        <f>IF(AN2837="","",IF(Q2837="Sin Factura",0,P2837-IFERROR(INDEX(Facturas_Odoo!$H:$H, MATCH(Q2837, Facturas_Odoo!$B:$B, 0)), 0)))</f>
        <v/>
      </c>
      <c r="AN2837" s="79">
        <f>IF(AND(A2837="", J2837=""), "", IF(A2837&lt;&gt;"", VALUE(MID(A2837,2,LEN(A2837))), AN2836))</f>
        <v/>
      </c>
      <c r="AO2837" s="79">
        <f>IF(AN2837="","",IF(AD2837=0,"OK",_xlfn.LET(monedaPago, IF(AA2837="","USD",AA2837), limitePermitido, IFERROR(VLOOKUP(monedaPago, Configuración!$A$2:$B$3, 2, FALSE), 0.15), IF(AD2837&gt;limitePermitido, "ALERTA: EXCESO (" &amp; TEXT(limitePermitido, "0%") &amp; " máx)", "OK"))))</f>
        <v/>
      </c>
      <c r="AP2837" s="79">
        <f>IF(AN2837="","",IF(AE2837=0,"OK",_xlfn.LET(fechaPago, Z2837, fechaFactura, R2837, diasCredito, IF(E2837="Pago inmediato", 0, IFERROR(VALUE(MID(E2837, 1, SEARCH(" ", E2837)-1)),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37" s="79">
        <f>IF(AN2837="","",IF(AND(N2837&gt;0, AG2837&gt;0), IF(Configuración!$K$2="NO", "ALERTA: DESCUENTO DOBLE NO PERMITIDO", "OK"), "OK"))</f>
        <v/>
      </c>
      <c r="AR2837" s="79">
        <f>IF(AN2837="","",IF(OR(AO2837&lt;&gt;"OK", AP2837&lt;&gt;"OK", AQ2837&lt;&gt;"OK"), "⚠️ REVISAR", "OK"))</f>
        <v/>
      </c>
    </row>
    <row r="2838">
      <c r="A2838" s="79">
        <f>IF('Ordenes_Odoo'!A2838="","",'Ordenes_Odoo'!A2838)</f>
        <v/>
      </c>
      <c r="B2838" s="80">
        <f>IF('Ordenes_Odoo'!B2838="","",'Ordenes_Odoo'!B2838)</f>
        <v/>
      </c>
      <c r="C2838" s="79">
        <f>IF('Ordenes_Odoo'!C2838="","",'Ordenes_Odoo'!C2838)</f>
        <v/>
      </c>
      <c r="D2838" s="79">
        <f>IF('Ordenes_Odoo'!D2838="","",'Ordenes_Odoo'!D2838)</f>
        <v/>
      </c>
      <c r="E2838" s="79">
        <f>IF('Ordenes_Odoo'!E2838="","",'Ordenes_Odoo'!E2838)</f>
        <v/>
      </c>
      <c r="F2838" s="79">
        <f>IF('Ordenes_Odoo'!F2838="","",'Ordenes_Odoo'!F2838)</f>
        <v/>
      </c>
      <c r="G2838" s="79">
        <f>IF('Ordenes_Odoo'!G2838="","",'Ordenes_Odoo'!G2838)</f>
        <v/>
      </c>
      <c r="H2838" s="79">
        <f>IF('Ordenes_Odoo'!H2838="","",'Ordenes_Odoo'!H2838)</f>
        <v/>
      </c>
      <c r="I2838" s="79">
        <f>IF('Ordenes_Odoo'!I2838="","",'Ordenes_Odoo'!I2838)</f>
        <v/>
      </c>
      <c r="J2838" s="79">
        <f>IF('Ordenes_Odoo'!J2838="","",'Ordenes_Odoo'!J2838)</f>
        <v/>
      </c>
      <c r="K2838" s="81">
        <f>IF('Ordenes_Odoo'!K2838="","",'Ordenes_Odoo'!K2838)</f>
        <v/>
      </c>
      <c r="L2838" s="81">
        <f>IF('Ordenes_Odoo'!L2838="","",'Ordenes_Odoo'!L2838)</f>
        <v/>
      </c>
      <c r="M2838" s="79">
        <f>IF('Ordenes_Odoo'!M2838="","",'Ordenes_Odoo'!M2838)</f>
        <v/>
      </c>
      <c r="N2838" s="79">
        <f>IF('Ordenes_Odoo'!N2838="","",'Ordenes_Odoo'!N2838)</f>
        <v/>
      </c>
      <c r="O2838" s="81">
        <f>IF('Ordenes_Odoo'!O2838="","",'Ordenes_Odoo'!O2838)</f>
        <v/>
      </c>
      <c r="P2838" s="81">
        <f>IF('Ordenes_Odoo'!P2838="","",'Ordenes_Odoo'!P2838)</f>
        <v/>
      </c>
      <c r="Q2838" s="79">
        <f>IF(A2838="","",IFERROR(INDEX(Facturas_Odoo!$B:$B, MATCH(A2838, Facturas_Odoo!$D:$D, 0)), "Sin Factura"))</f>
        <v/>
      </c>
      <c r="R2838" s="80">
        <f>IF(Q2838="Sin Factura","",IFERROR(INDEX(Facturas_Odoo!$A:$A, MATCH(Q2838, Facturas_Odoo!$B:$B, 0)), ""))</f>
        <v/>
      </c>
      <c r="S2838" s="79">
        <f>IF(Q2838="Sin Factura","",IFERROR(_xlfn.XLOOKUP(1, (Facturas_Odoo!$D:$D=A2838) * (Facturas_Odoo!$K:$K=I2838), Facturas_Odoo!$L:$L, ""), ""))</f>
        <v/>
      </c>
      <c r="T2838" s="81">
        <f>IF(Q2838="Sin Factura",0,IFERROR(_xlfn.XLOOKUP(1, (Facturas_Odoo!$D:$D=A2838) * (Facturas_Odoo!$K:$K=I2838), Facturas_Odoo!$M:$M, 0), 0))</f>
        <v/>
      </c>
      <c r="U2838" s="79">
        <f>IF(Q2838="Sin Factura",0,IFERROR(_xlfn.XLOOKUP(1, (Facturas_Odoo!$D:$D=A2838) * (Facturas_Odoo!$K:$K=I2838), Facturas_Odoo!$N:$N, 0), 0))</f>
        <v/>
      </c>
      <c r="V2838" s="79">
        <f>IF(Q2838="Sin Factura",0,IFERROR(_xlfn.XLOOKUP(1, (Facturas_Odoo!$D:$D=A2838) * (Facturas_Odoo!$K:$K=I2838), Facturas_Odoo!$O:$O, 0), 0))</f>
        <v/>
      </c>
      <c r="W2838" s="81">
        <f>IF(Q2838="Sin Factura",0,IFERROR(_xlfn.XLOOKUP(1, (Facturas_Odoo!$D:$D=A2838) * (Facturas_Odoo!$K:$K=I2838), Facturas_Odoo!$Q:$Q, 0), 0))</f>
        <v/>
      </c>
      <c r="X2838" s="79">
        <f>IF(OR(Q2838="Sin Factura",Q2838=""),"",IFERROR(INDEX(Pagos_Odoo!$B:$B, MATCH(Q2838, Pagos_Odoo!$I:$I, 0)), "Sin Pago"))</f>
        <v/>
      </c>
      <c r="Y2838" s="79">
        <f>IF(X2838="Sin Pago","",IFERROR(INDEX(Pagos_Odoo!$C:$C, MATCH(X2838, Pagos_Odoo!$B:$B, 0)), ""))</f>
        <v/>
      </c>
      <c r="Z2838" s="80">
        <f>IF(X2838="Sin Pago","",IFERROR(INDEX(Pagos_Odoo!$A:$A, MATCH(X2838, Pagos_Odoo!$B:$B, 0)), ""))</f>
        <v/>
      </c>
      <c r="AA2838" s="79">
        <f>IF(X2838="Sin Pago","",IFERROR(INDEX(Pagos_Odoo!$F:$F, MATCH(X2838, Pagos_Odoo!$B:$B, 0)), ""))</f>
        <v/>
      </c>
      <c r="AB2838" s="81">
        <f>IF(X2838="Sin Pago",0,IFERROR(INDEX(Pagos_Odoo!$E:$E, MATCH(X2838, Pagos_Odoo!$B:$B, 0)), 0))</f>
        <v/>
      </c>
      <c r="AC2838" s="79">
        <f>IF(X2838="Sin Pago","",IFERROR(INDEX(Pagos_Odoo!$G:$G, MATCH(X2838, Pagos_Odoo!$B:$B, 0)), ""))</f>
        <v/>
      </c>
      <c r="AD2838" s="82" t="n">
        <v>0</v>
      </c>
      <c r="AE2838" s="82" t="n"/>
      <c r="AF2838" s="82" t="n"/>
      <c r="AG2838" s="82">
        <f>IF(AN2838="","",AD2838+AE2838+AF2838)</f>
        <v/>
      </c>
      <c r="AH2838" s="81">
        <f>IF(AN2838="","",P2838*(1-AG2838))</f>
        <v/>
      </c>
      <c r="AI2838" s="81">
        <f>IF(AN2838="","",IF(Q2838="Sin Factura",0,IFERROR(INDEX(Facturas_Odoo!$H:$H, MATCH(Q2838, Facturas_Odoo!$B:$B, 0)), 0)*(1-AG2838)))</f>
        <v/>
      </c>
      <c r="AJ2838" s="81">
        <f>IF(AN2838="","",_xlfn.LET(idVenta, AN2838&amp;"",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38" s="81">
        <f>IF(AN2838="","",AH2838-AJ2838)</f>
        <v/>
      </c>
      <c r="AL2838" s="81">
        <f>IF(AN2838="","",IF(Q2838="Sin Factura","",AI2838-AJ2838))</f>
        <v/>
      </c>
      <c r="AM2838" s="81">
        <f>IF(AN2838="","",IF(Q2838="Sin Factura",0,P2838-IFERROR(INDEX(Facturas_Odoo!$H:$H, MATCH(Q2838, Facturas_Odoo!$B:$B, 0)), 0)))</f>
        <v/>
      </c>
      <c r="AN2838" s="79">
        <f>IF(AND(A2838="", J2838=""), "", IF(A2838&lt;&gt;"", VALUE(MID(A2838,2,LEN(A2838))), AN2837))</f>
        <v/>
      </c>
      <c r="AO2838" s="79">
        <f>IF(AN2838="","",IF(AD2838=0,"OK",_xlfn.LET(monedaPago, IF(AA2838="","USD",AA2838), limitePermitido, IFERROR(VLOOKUP(monedaPago, Configuración!$A$2:$B$3, 2, FALSE), 0.15), IF(AD2838&gt;limitePermitido, "ALERTA: EXCESO (" &amp; TEXT(limitePermitido, "0%") &amp; " máx)", "OK"))))</f>
        <v/>
      </c>
      <c r="AP2838" s="79">
        <f>IF(AN2838="","",IF(AE2838=0,"OK",_xlfn.LET(fechaPago, Z2838, fechaFactura, R2838, diasCredito, IF(E2838="Pago inmediato", 0, IFERROR(VALUE(MID(E2838, 1, SEARCH(" ", E2838)-1)),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38" s="79">
        <f>IF(AN2838="","",IF(AND(N2838&gt;0, AG2838&gt;0), IF(Configuración!$K$2="NO", "ALERTA: DESCUENTO DOBLE NO PERMITIDO", "OK"), "OK"))</f>
        <v/>
      </c>
      <c r="AR2838" s="79">
        <f>IF(AN2838="","",IF(OR(AO2838&lt;&gt;"OK", AP2838&lt;&gt;"OK", AQ2838&lt;&gt;"OK"), "⚠️ REVISAR", "OK"))</f>
        <v/>
      </c>
    </row>
    <row r="2839">
      <c r="A2839" s="79">
        <f>IF('Ordenes_Odoo'!A2839="","",'Ordenes_Odoo'!A2839)</f>
        <v/>
      </c>
      <c r="B2839" s="80">
        <f>IF('Ordenes_Odoo'!B2839="","",'Ordenes_Odoo'!B2839)</f>
        <v/>
      </c>
      <c r="C2839" s="79">
        <f>IF('Ordenes_Odoo'!C2839="","",'Ordenes_Odoo'!C2839)</f>
        <v/>
      </c>
      <c r="D2839" s="79">
        <f>IF('Ordenes_Odoo'!D2839="","",'Ordenes_Odoo'!D2839)</f>
        <v/>
      </c>
      <c r="E2839" s="79">
        <f>IF('Ordenes_Odoo'!E2839="","",'Ordenes_Odoo'!E2839)</f>
        <v/>
      </c>
      <c r="F2839" s="79">
        <f>IF('Ordenes_Odoo'!F2839="","",'Ordenes_Odoo'!F2839)</f>
        <v/>
      </c>
      <c r="G2839" s="79">
        <f>IF('Ordenes_Odoo'!G2839="","",'Ordenes_Odoo'!G2839)</f>
        <v/>
      </c>
      <c r="H2839" s="79">
        <f>IF('Ordenes_Odoo'!H2839="","",'Ordenes_Odoo'!H2839)</f>
        <v/>
      </c>
      <c r="I2839" s="79">
        <f>IF('Ordenes_Odoo'!I2839="","",'Ordenes_Odoo'!I2839)</f>
        <v/>
      </c>
      <c r="J2839" s="79">
        <f>IF('Ordenes_Odoo'!J2839="","",'Ordenes_Odoo'!J2839)</f>
        <v/>
      </c>
      <c r="K2839" s="81">
        <f>IF('Ordenes_Odoo'!K2839="","",'Ordenes_Odoo'!K2839)</f>
        <v/>
      </c>
      <c r="L2839" s="81">
        <f>IF('Ordenes_Odoo'!L2839="","",'Ordenes_Odoo'!L2839)</f>
        <v/>
      </c>
      <c r="M2839" s="79">
        <f>IF('Ordenes_Odoo'!M2839="","",'Ordenes_Odoo'!M2839)</f>
        <v/>
      </c>
      <c r="N2839" s="79">
        <f>IF('Ordenes_Odoo'!N2839="","",'Ordenes_Odoo'!N2839)</f>
        <v/>
      </c>
      <c r="O2839" s="81">
        <f>IF('Ordenes_Odoo'!O2839="","",'Ordenes_Odoo'!O2839)</f>
        <v/>
      </c>
      <c r="P2839" s="81">
        <f>IF('Ordenes_Odoo'!P2839="","",'Ordenes_Odoo'!P2839)</f>
        <v/>
      </c>
      <c r="Q2839" s="79">
        <f>IF(A2839="","",IFERROR(INDEX(Facturas_Odoo!$B:$B, MATCH(A2839, Facturas_Odoo!$D:$D, 0)), "Sin Factura"))</f>
        <v/>
      </c>
      <c r="R2839" s="80">
        <f>IF(Q2839="Sin Factura","",IFERROR(INDEX(Facturas_Odoo!$A:$A, MATCH(Q2839, Facturas_Odoo!$B:$B, 0)), ""))</f>
        <v/>
      </c>
      <c r="S2839" s="79">
        <f>IF(Q2839="Sin Factura","",IFERROR(_xlfn.XLOOKUP(1, (Facturas_Odoo!$D:$D=A2839) * (Facturas_Odoo!$K:$K=I2839), Facturas_Odoo!$L:$L, ""), ""))</f>
        <v/>
      </c>
      <c r="T2839" s="81">
        <f>IF(Q2839="Sin Factura",0,IFERROR(_xlfn.XLOOKUP(1, (Facturas_Odoo!$D:$D=A2839) * (Facturas_Odoo!$K:$K=I2839), Facturas_Odoo!$M:$M, 0), 0))</f>
        <v/>
      </c>
      <c r="U2839" s="79">
        <f>IF(Q2839="Sin Factura",0,IFERROR(_xlfn.XLOOKUP(1, (Facturas_Odoo!$D:$D=A2839) * (Facturas_Odoo!$K:$K=I2839), Facturas_Odoo!$N:$N, 0), 0))</f>
        <v/>
      </c>
      <c r="V2839" s="79">
        <f>IF(Q2839="Sin Factura",0,IFERROR(_xlfn.XLOOKUP(1, (Facturas_Odoo!$D:$D=A2839) * (Facturas_Odoo!$K:$K=I2839), Facturas_Odoo!$O:$O, 0), 0))</f>
        <v/>
      </c>
      <c r="W2839" s="81">
        <f>IF(Q2839="Sin Factura",0,IFERROR(_xlfn.XLOOKUP(1, (Facturas_Odoo!$D:$D=A2839) * (Facturas_Odoo!$K:$K=I2839), Facturas_Odoo!$Q:$Q, 0), 0))</f>
        <v/>
      </c>
      <c r="X2839" s="79">
        <f>IF(OR(Q2839="Sin Factura",Q2839=""),"",IFERROR(INDEX(Pagos_Odoo!$B:$B, MATCH(Q2839, Pagos_Odoo!$I:$I, 0)), "Sin Pago"))</f>
        <v/>
      </c>
      <c r="Y2839" s="79">
        <f>IF(X2839="Sin Pago","",IFERROR(INDEX(Pagos_Odoo!$C:$C, MATCH(X2839, Pagos_Odoo!$B:$B, 0)), ""))</f>
        <v/>
      </c>
      <c r="Z2839" s="80">
        <f>IF(X2839="Sin Pago","",IFERROR(INDEX(Pagos_Odoo!$A:$A, MATCH(X2839, Pagos_Odoo!$B:$B, 0)), ""))</f>
        <v/>
      </c>
      <c r="AA2839" s="79">
        <f>IF(X2839="Sin Pago","",IFERROR(INDEX(Pagos_Odoo!$F:$F, MATCH(X2839, Pagos_Odoo!$B:$B, 0)), ""))</f>
        <v/>
      </c>
      <c r="AB2839" s="81">
        <f>IF(X2839="Sin Pago",0,IFERROR(INDEX(Pagos_Odoo!$E:$E, MATCH(X2839, Pagos_Odoo!$B:$B, 0)), 0))</f>
        <v/>
      </c>
      <c r="AC2839" s="79">
        <f>IF(X2839="Sin Pago","",IFERROR(INDEX(Pagos_Odoo!$G:$G, MATCH(X2839, Pagos_Odoo!$B:$B, 0)), ""))</f>
        <v/>
      </c>
      <c r="AD2839" s="82" t="n">
        <v>0</v>
      </c>
      <c r="AE2839" s="82" t="n"/>
      <c r="AF2839" s="82" t="n"/>
      <c r="AG2839" s="82">
        <f>IF(AN2839="","",AD2839+AE2839+AF2839)</f>
        <v/>
      </c>
      <c r="AH2839" s="81">
        <f>IF(AN2839="","",P2839*(1-AG2839))</f>
        <v/>
      </c>
      <c r="AI2839" s="81">
        <f>IF(AN2839="","",IF(Q2839="Sin Factura",0,IFERROR(INDEX(Facturas_Odoo!$H:$H, MATCH(Q2839, Facturas_Odoo!$B:$B, 0)), 0)*(1-AG2839)))</f>
        <v/>
      </c>
      <c r="AJ2839" s="81">
        <f>IF(AN2839="","",_xlfn.LET(idVenta, AN2839&amp;"",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39" s="81">
        <f>IF(AN2839="","",AH2839-AJ2839)</f>
        <v/>
      </c>
      <c r="AL2839" s="81">
        <f>IF(AN2839="","",IF(Q2839="Sin Factura","",AI2839-AJ2839))</f>
        <v/>
      </c>
      <c r="AM2839" s="81">
        <f>IF(AN2839="","",IF(Q2839="Sin Factura",0,P2839-IFERROR(INDEX(Facturas_Odoo!$H:$H, MATCH(Q2839, Facturas_Odoo!$B:$B, 0)), 0)))</f>
        <v/>
      </c>
      <c r="AN2839" s="79">
        <f>IF(AND(A2839="", J2839=""), "", IF(A2839&lt;&gt;"", VALUE(MID(A2839,2,LEN(A2839))), AN2838))</f>
        <v/>
      </c>
      <c r="AO2839" s="79">
        <f>IF(AN2839="","",IF(AD2839=0,"OK",_xlfn.LET(monedaPago, IF(AA2839="","USD",AA2839), limitePermitido, IFERROR(VLOOKUP(monedaPago, Configuración!$A$2:$B$3, 2, FALSE), 0.15), IF(AD2839&gt;limitePermitido, "ALERTA: EXCESO (" &amp; TEXT(limitePermitido, "0%") &amp; " máx)", "OK"))))</f>
        <v/>
      </c>
      <c r="AP2839" s="79">
        <f>IF(AN2839="","",IF(AE2839=0,"OK",_xlfn.LET(fechaPago, Z2839, fechaFactura, R2839, diasCredito, IF(E2839="Pago inmediato", 0, IFERROR(VALUE(MID(E2839, 1, SEARCH(" ", E2839)-1)),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39" s="79">
        <f>IF(AN2839="","",IF(AND(N2839&gt;0, AG2839&gt;0), IF(Configuración!$K$2="NO", "ALERTA: DESCUENTO DOBLE NO PERMITIDO", "OK"), "OK"))</f>
        <v/>
      </c>
      <c r="AR2839" s="79">
        <f>IF(AN2839="","",IF(OR(AO2839&lt;&gt;"OK", AP2839&lt;&gt;"OK", AQ2839&lt;&gt;"OK"), "⚠️ REVISAR", "OK"))</f>
        <v/>
      </c>
    </row>
    <row r="2840">
      <c r="A2840" s="79">
        <f>IF('Ordenes_Odoo'!A2840="","",'Ordenes_Odoo'!A2840)</f>
        <v/>
      </c>
      <c r="B2840" s="80">
        <f>IF('Ordenes_Odoo'!B2840="","",'Ordenes_Odoo'!B2840)</f>
        <v/>
      </c>
      <c r="C2840" s="79">
        <f>IF('Ordenes_Odoo'!C2840="","",'Ordenes_Odoo'!C2840)</f>
        <v/>
      </c>
      <c r="D2840" s="79">
        <f>IF('Ordenes_Odoo'!D2840="","",'Ordenes_Odoo'!D2840)</f>
        <v/>
      </c>
      <c r="E2840" s="79">
        <f>IF('Ordenes_Odoo'!E2840="","",'Ordenes_Odoo'!E2840)</f>
        <v/>
      </c>
      <c r="F2840" s="79">
        <f>IF('Ordenes_Odoo'!F2840="","",'Ordenes_Odoo'!F2840)</f>
        <v/>
      </c>
      <c r="G2840" s="79">
        <f>IF('Ordenes_Odoo'!G2840="","",'Ordenes_Odoo'!G2840)</f>
        <v/>
      </c>
      <c r="H2840" s="79">
        <f>IF('Ordenes_Odoo'!H2840="","",'Ordenes_Odoo'!H2840)</f>
        <v/>
      </c>
      <c r="I2840" s="79">
        <f>IF('Ordenes_Odoo'!I2840="","",'Ordenes_Odoo'!I2840)</f>
        <v/>
      </c>
      <c r="J2840" s="79">
        <f>IF('Ordenes_Odoo'!J2840="","",'Ordenes_Odoo'!J2840)</f>
        <v/>
      </c>
      <c r="K2840" s="81">
        <f>IF('Ordenes_Odoo'!K2840="","",'Ordenes_Odoo'!K2840)</f>
        <v/>
      </c>
      <c r="L2840" s="81">
        <f>IF('Ordenes_Odoo'!L2840="","",'Ordenes_Odoo'!L2840)</f>
        <v/>
      </c>
      <c r="M2840" s="79">
        <f>IF('Ordenes_Odoo'!M2840="","",'Ordenes_Odoo'!M2840)</f>
        <v/>
      </c>
      <c r="N2840" s="79">
        <f>IF('Ordenes_Odoo'!N2840="","",'Ordenes_Odoo'!N2840)</f>
        <v/>
      </c>
      <c r="O2840" s="81">
        <f>IF('Ordenes_Odoo'!O2840="","",'Ordenes_Odoo'!O2840)</f>
        <v/>
      </c>
      <c r="P2840" s="81">
        <f>IF('Ordenes_Odoo'!P2840="","",'Ordenes_Odoo'!P2840)</f>
        <v/>
      </c>
      <c r="Q2840" s="79">
        <f>IF(A2840="","",IFERROR(INDEX(Facturas_Odoo!$B:$B, MATCH(A2840, Facturas_Odoo!$D:$D, 0)), "Sin Factura"))</f>
        <v/>
      </c>
      <c r="R2840" s="80">
        <f>IF(Q2840="Sin Factura","",IFERROR(INDEX(Facturas_Odoo!$A:$A, MATCH(Q2840, Facturas_Odoo!$B:$B, 0)), ""))</f>
        <v/>
      </c>
      <c r="S2840" s="79">
        <f>IF(Q2840="Sin Factura","",IFERROR(_xlfn.XLOOKUP(1, (Facturas_Odoo!$D:$D=A2840) * (Facturas_Odoo!$K:$K=I2840), Facturas_Odoo!$L:$L, ""), ""))</f>
        <v/>
      </c>
      <c r="T2840" s="81">
        <f>IF(Q2840="Sin Factura",0,IFERROR(_xlfn.XLOOKUP(1, (Facturas_Odoo!$D:$D=A2840) * (Facturas_Odoo!$K:$K=I2840), Facturas_Odoo!$M:$M, 0), 0))</f>
        <v/>
      </c>
      <c r="U2840" s="79">
        <f>IF(Q2840="Sin Factura",0,IFERROR(_xlfn.XLOOKUP(1, (Facturas_Odoo!$D:$D=A2840) * (Facturas_Odoo!$K:$K=I2840), Facturas_Odoo!$N:$N, 0), 0))</f>
        <v/>
      </c>
      <c r="V2840" s="79">
        <f>IF(Q2840="Sin Factura",0,IFERROR(_xlfn.XLOOKUP(1, (Facturas_Odoo!$D:$D=A2840) * (Facturas_Odoo!$K:$K=I2840), Facturas_Odoo!$O:$O, 0), 0))</f>
        <v/>
      </c>
      <c r="W2840" s="81">
        <f>IF(Q2840="Sin Factura",0,IFERROR(_xlfn.XLOOKUP(1, (Facturas_Odoo!$D:$D=A2840) * (Facturas_Odoo!$K:$K=I2840), Facturas_Odoo!$Q:$Q, 0), 0))</f>
        <v/>
      </c>
      <c r="X2840" s="79">
        <f>IF(OR(Q2840="Sin Factura",Q2840=""),"",IFERROR(INDEX(Pagos_Odoo!$B:$B, MATCH(Q2840, Pagos_Odoo!$I:$I, 0)), "Sin Pago"))</f>
        <v/>
      </c>
      <c r="Y2840" s="79">
        <f>IF(X2840="Sin Pago","",IFERROR(INDEX(Pagos_Odoo!$C:$C, MATCH(X2840, Pagos_Odoo!$B:$B, 0)), ""))</f>
        <v/>
      </c>
      <c r="Z2840" s="80">
        <f>IF(X2840="Sin Pago","",IFERROR(INDEX(Pagos_Odoo!$A:$A, MATCH(X2840, Pagos_Odoo!$B:$B, 0)), ""))</f>
        <v/>
      </c>
      <c r="AA2840" s="79">
        <f>IF(X2840="Sin Pago","",IFERROR(INDEX(Pagos_Odoo!$F:$F, MATCH(X2840, Pagos_Odoo!$B:$B, 0)), ""))</f>
        <v/>
      </c>
      <c r="AB2840" s="81">
        <f>IF(X2840="Sin Pago",0,IFERROR(INDEX(Pagos_Odoo!$E:$E, MATCH(X2840, Pagos_Odoo!$B:$B, 0)), 0))</f>
        <v/>
      </c>
      <c r="AC2840" s="79">
        <f>IF(X2840="Sin Pago","",IFERROR(INDEX(Pagos_Odoo!$G:$G, MATCH(X2840, Pagos_Odoo!$B:$B, 0)), ""))</f>
        <v/>
      </c>
      <c r="AD2840" s="82" t="n">
        <v>0</v>
      </c>
      <c r="AE2840" s="82" t="n"/>
      <c r="AF2840" s="82" t="n"/>
      <c r="AG2840" s="82">
        <f>IF(AN2840="","",AD2840+AE2840+AF2840)</f>
        <v/>
      </c>
      <c r="AH2840" s="81">
        <f>IF(AN2840="","",P2840*(1-AG2840))</f>
        <v/>
      </c>
      <c r="AI2840" s="81">
        <f>IF(AN2840="","",IF(Q2840="Sin Factura",0,IFERROR(INDEX(Facturas_Odoo!$H:$H, MATCH(Q2840, Facturas_Odoo!$B:$B, 0)), 0)*(1-AG2840)))</f>
        <v/>
      </c>
      <c r="AJ2840" s="81">
        <f>IF(AN2840="","",_xlfn.LET(idVenta, AN2840&amp;"",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40" s="81">
        <f>IF(AN2840="","",AH2840-AJ2840)</f>
        <v/>
      </c>
      <c r="AL2840" s="81">
        <f>IF(AN2840="","",IF(Q2840="Sin Factura","",AI2840-AJ2840))</f>
        <v/>
      </c>
      <c r="AM2840" s="81">
        <f>IF(AN2840="","",IF(Q2840="Sin Factura",0,P2840-IFERROR(INDEX(Facturas_Odoo!$H:$H, MATCH(Q2840, Facturas_Odoo!$B:$B, 0)), 0)))</f>
        <v/>
      </c>
      <c r="AN2840" s="79">
        <f>IF(AND(A2840="", J2840=""), "", IF(A2840&lt;&gt;"", VALUE(MID(A2840,2,LEN(A2840))), AN2839))</f>
        <v/>
      </c>
      <c r="AO2840" s="79">
        <f>IF(AN2840="","",IF(AD2840=0,"OK",_xlfn.LET(monedaPago, IF(AA2840="","USD",AA2840), limitePermitido, IFERROR(VLOOKUP(monedaPago, Configuración!$A$2:$B$3, 2, FALSE), 0.15), IF(AD2840&gt;limitePermitido, "ALERTA: EXCESO (" &amp; TEXT(limitePermitido, "0%") &amp; " máx)", "OK"))))</f>
        <v/>
      </c>
      <c r="AP2840" s="79">
        <f>IF(AN2840="","",IF(AE2840=0,"OK",_xlfn.LET(fechaPago, Z2840, fechaFactura, R2840, diasCredito, IF(E2840="Pago inmediato", 0, IFERROR(VALUE(MID(E2840, 1, SEARCH(" ", E2840)-1)),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40" s="79">
        <f>IF(AN2840="","",IF(AND(N2840&gt;0, AG2840&gt;0), IF(Configuración!$K$2="NO", "ALERTA: DESCUENTO DOBLE NO PERMITIDO", "OK"), "OK"))</f>
        <v/>
      </c>
      <c r="AR2840" s="79">
        <f>IF(AN2840="","",IF(OR(AO2840&lt;&gt;"OK", AP2840&lt;&gt;"OK", AQ2840&lt;&gt;"OK"), "⚠️ REVISAR", "OK"))</f>
        <v/>
      </c>
    </row>
    <row r="2841">
      <c r="A2841" s="79">
        <f>IF('Ordenes_Odoo'!A2841="","",'Ordenes_Odoo'!A2841)</f>
        <v/>
      </c>
      <c r="B2841" s="80">
        <f>IF('Ordenes_Odoo'!B2841="","",'Ordenes_Odoo'!B2841)</f>
        <v/>
      </c>
      <c r="C2841" s="79">
        <f>IF('Ordenes_Odoo'!C2841="","",'Ordenes_Odoo'!C2841)</f>
        <v/>
      </c>
      <c r="D2841" s="79">
        <f>IF('Ordenes_Odoo'!D2841="","",'Ordenes_Odoo'!D2841)</f>
        <v/>
      </c>
      <c r="E2841" s="79">
        <f>IF('Ordenes_Odoo'!E2841="","",'Ordenes_Odoo'!E2841)</f>
        <v/>
      </c>
      <c r="F2841" s="79">
        <f>IF('Ordenes_Odoo'!F2841="","",'Ordenes_Odoo'!F2841)</f>
        <v/>
      </c>
      <c r="G2841" s="79">
        <f>IF('Ordenes_Odoo'!G2841="","",'Ordenes_Odoo'!G2841)</f>
        <v/>
      </c>
      <c r="H2841" s="79">
        <f>IF('Ordenes_Odoo'!H2841="","",'Ordenes_Odoo'!H2841)</f>
        <v/>
      </c>
      <c r="I2841" s="79">
        <f>IF('Ordenes_Odoo'!I2841="","",'Ordenes_Odoo'!I2841)</f>
        <v/>
      </c>
      <c r="J2841" s="79">
        <f>IF('Ordenes_Odoo'!J2841="","",'Ordenes_Odoo'!J2841)</f>
        <v/>
      </c>
      <c r="K2841" s="81">
        <f>IF('Ordenes_Odoo'!K2841="","",'Ordenes_Odoo'!K2841)</f>
        <v/>
      </c>
      <c r="L2841" s="81">
        <f>IF('Ordenes_Odoo'!L2841="","",'Ordenes_Odoo'!L2841)</f>
        <v/>
      </c>
      <c r="M2841" s="79">
        <f>IF('Ordenes_Odoo'!M2841="","",'Ordenes_Odoo'!M2841)</f>
        <v/>
      </c>
      <c r="N2841" s="79">
        <f>IF('Ordenes_Odoo'!N2841="","",'Ordenes_Odoo'!N2841)</f>
        <v/>
      </c>
      <c r="O2841" s="81">
        <f>IF('Ordenes_Odoo'!O2841="","",'Ordenes_Odoo'!O2841)</f>
        <v/>
      </c>
      <c r="P2841" s="81">
        <f>IF('Ordenes_Odoo'!P2841="","",'Ordenes_Odoo'!P2841)</f>
        <v/>
      </c>
      <c r="Q2841" s="79">
        <f>IF(A2841="","",IFERROR(INDEX(Facturas_Odoo!$B:$B, MATCH(A2841, Facturas_Odoo!$D:$D, 0)), "Sin Factura"))</f>
        <v/>
      </c>
      <c r="R2841" s="80">
        <f>IF(Q2841="Sin Factura","",IFERROR(INDEX(Facturas_Odoo!$A:$A, MATCH(Q2841, Facturas_Odoo!$B:$B, 0)), ""))</f>
        <v/>
      </c>
      <c r="S2841" s="79">
        <f>IF(Q2841="Sin Factura","",IFERROR(_xlfn.XLOOKUP(1, (Facturas_Odoo!$D:$D=A2841) * (Facturas_Odoo!$K:$K=I2841), Facturas_Odoo!$L:$L, ""), ""))</f>
        <v/>
      </c>
      <c r="T2841" s="81">
        <f>IF(Q2841="Sin Factura",0,IFERROR(_xlfn.XLOOKUP(1, (Facturas_Odoo!$D:$D=A2841) * (Facturas_Odoo!$K:$K=I2841), Facturas_Odoo!$M:$M, 0), 0))</f>
        <v/>
      </c>
      <c r="U2841" s="79">
        <f>IF(Q2841="Sin Factura",0,IFERROR(_xlfn.XLOOKUP(1, (Facturas_Odoo!$D:$D=A2841) * (Facturas_Odoo!$K:$K=I2841), Facturas_Odoo!$N:$N, 0), 0))</f>
        <v/>
      </c>
      <c r="V2841" s="79">
        <f>IF(Q2841="Sin Factura",0,IFERROR(_xlfn.XLOOKUP(1, (Facturas_Odoo!$D:$D=A2841) * (Facturas_Odoo!$K:$K=I2841), Facturas_Odoo!$O:$O, 0), 0))</f>
        <v/>
      </c>
      <c r="W2841" s="81">
        <f>IF(Q2841="Sin Factura",0,IFERROR(_xlfn.XLOOKUP(1, (Facturas_Odoo!$D:$D=A2841) * (Facturas_Odoo!$K:$K=I2841), Facturas_Odoo!$Q:$Q, 0), 0))</f>
        <v/>
      </c>
      <c r="X2841" s="79">
        <f>IF(OR(Q2841="Sin Factura",Q2841=""),"",IFERROR(INDEX(Pagos_Odoo!$B:$B, MATCH(Q2841, Pagos_Odoo!$I:$I, 0)), "Sin Pago"))</f>
        <v/>
      </c>
      <c r="Y2841" s="79">
        <f>IF(X2841="Sin Pago","",IFERROR(INDEX(Pagos_Odoo!$C:$C, MATCH(X2841, Pagos_Odoo!$B:$B, 0)), ""))</f>
        <v/>
      </c>
      <c r="Z2841" s="80">
        <f>IF(X2841="Sin Pago","",IFERROR(INDEX(Pagos_Odoo!$A:$A, MATCH(X2841, Pagos_Odoo!$B:$B, 0)), ""))</f>
        <v/>
      </c>
      <c r="AA2841" s="79">
        <f>IF(X2841="Sin Pago","",IFERROR(INDEX(Pagos_Odoo!$F:$F, MATCH(X2841, Pagos_Odoo!$B:$B, 0)), ""))</f>
        <v/>
      </c>
      <c r="AB2841" s="81">
        <f>IF(X2841="Sin Pago",0,IFERROR(INDEX(Pagos_Odoo!$E:$E, MATCH(X2841, Pagos_Odoo!$B:$B, 0)), 0))</f>
        <v/>
      </c>
      <c r="AC2841" s="79">
        <f>IF(X2841="Sin Pago","",IFERROR(INDEX(Pagos_Odoo!$G:$G, MATCH(X2841, Pagos_Odoo!$B:$B, 0)), ""))</f>
        <v/>
      </c>
      <c r="AD2841" s="82" t="n">
        <v>0</v>
      </c>
      <c r="AE2841" s="82" t="n"/>
      <c r="AF2841" s="82" t="n"/>
      <c r="AG2841" s="82">
        <f>IF(AN2841="","",AD2841+AE2841+AF2841)</f>
        <v/>
      </c>
      <c r="AH2841" s="81">
        <f>IF(AN2841="","",P2841*(1-AG2841))</f>
        <v/>
      </c>
      <c r="AI2841" s="81">
        <f>IF(AN2841="","",IF(Q2841="Sin Factura",0,IFERROR(INDEX(Facturas_Odoo!$H:$H, MATCH(Q2841, Facturas_Odoo!$B:$B, 0)), 0)*(1-AG2841)))</f>
        <v/>
      </c>
      <c r="AJ2841" s="81">
        <f>IF(AN2841="","",_xlfn.LET(idVenta, AN2841&amp;"",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41" s="81">
        <f>IF(AN2841="","",AH2841-AJ2841)</f>
        <v/>
      </c>
      <c r="AL2841" s="81">
        <f>IF(AN2841="","",IF(Q2841="Sin Factura","",AI2841-AJ2841))</f>
        <v/>
      </c>
      <c r="AM2841" s="81">
        <f>IF(AN2841="","",IF(Q2841="Sin Factura",0,P2841-IFERROR(INDEX(Facturas_Odoo!$H:$H, MATCH(Q2841, Facturas_Odoo!$B:$B, 0)), 0)))</f>
        <v/>
      </c>
      <c r="AN2841" s="79">
        <f>IF(AND(A2841="", J2841=""), "", IF(A2841&lt;&gt;"", VALUE(MID(A2841,2,LEN(A2841))), AN2840))</f>
        <v/>
      </c>
      <c r="AO2841" s="79">
        <f>IF(AN2841="","",IF(AD2841=0,"OK",_xlfn.LET(monedaPago, IF(AA2841="","USD",AA2841), limitePermitido, IFERROR(VLOOKUP(monedaPago, Configuración!$A$2:$B$3, 2, FALSE), 0.15), IF(AD2841&gt;limitePermitido, "ALERTA: EXCESO (" &amp; TEXT(limitePermitido, "0%") &amp; " máx)", "OK"))))</f>
        <v/>
      </c>
      <c r="AP2841" s="79">
        <f>IF(AN2841="","",IF(AE2841=0,"OK",_xlfn.LET(fechaPago, Z2841, fechaFactura, R2841, diasCredito, IF(E2841="Pago inmediato", 0, IFERROR(VALUE(MID(E2841, 1, SEARCH(" ", E2841)-1)),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41" s="79">
        <f>IF(AN2841="","",IF(AND(N2841&gt;0, AG2841&gt;0), IF(Configuración!$K$2="NO", "ALERTA: DESCUENTO DOBLE NO PERMITIDO", "OK"), "OK"))</f>
        <v/>
      </c>
      <c r="AR2841" s="79">
        <f>IF(AN2841="","",IF(OR(AO2841&lt;&gt;"OK", AP2841&lt;&gt;"OK", AQ2841&lt;&gt;"OK"), "⚠️ REVISAR", "OK"))</f>
        <v/>
      </c>
    </row>
    <row r="2842">
      <c r="A2842" s="79">
        <f>IF('Ordenes_Odoo'!A2842="","",'Ordenes_Odoo'!A2842)</f>
        <v/>
      </c>
      <c r="B2842" s="80">
        <f>IF('Ordenes_Odoo'!B2842="","",'Ordenes_Odoo'!B2842)</f>
        <v/>
      </c>
      <c r="C2842" s="79">
        <f>IF('Ordenes_Odoo'!C2842="","",'Ordenes_Odoo'!C2842)</f>
        <v/>
      </c>
      <c r="D2842" s="79">
        <f>IF('Ordenes_Odoo'!D2842="","",'Ordenes_Odoo'!D2842)</f>
        <v/>
      </c>
      <c r="E2842" s="79">
        <f>IF('Ordenes_Odoo'!E2842="","",'Ordenes_Odoo'!E2842)</f>
        <v/>
      </c>
      <c r="F2842" s="79">
        <f>IF('Ordenes_Odoo'!F2842="","",'Ordenes_Odoo'!F2842)</f>
        <v/>
      </c>
      <c r="G2842" s="79">
        <f>IF('Ordenes_Odoo'!G2842="","",'Ordenes_Odoo'!G2842)</f>
        <v/>
      </c>
      <c r="H2842" s="79">
        <f>IF('Ordenes_Odoo'!H2842="","",'Ordenes_Odoo'!H2842)</f>
        <v/>
      </c>
      <c r="I2842" s="79">
        <f>IF('Ordenes_Odoo'!I2842="","",'Ordenes_Odoo'!I2842)</f>
        <v/>
      </c>
      <c r="J2842" s="79">
        <f>IF('Ordenes_Odoo'!J2842="","",'Ordenes_Odoo'!J2842)</f>
        <v/>
      </c>
      <c r="K2842" s="81">
        <f>IF('Ordenes_Odoo'!K2842="","",'Ordenes_Odoo'!K2842)</f>
        <v/>
      </c>
      <c r="L2842" s="81">
        <f>IF('Ordenes_Odoo'!L2842="","",'Ordenes_Odoo'!L2842)</f>
        <v/>
      </c>
      <c r="M2842" s="79">
        <f>IF('Ordenes_Odoo'!M2842="","",'Ordenes_Odoo'!M2842)</f>
        <v/>
      </c>
      <c r="N2842" s="79">
        <f>IF('Ordenes_Odoo'!N2842="","",'Ordenes_Odoo'!N2842)</f>
        <v/>
      </c>
      <c r="O2842" s="81">
        <f>IF('Ordenes_Odoo'!O2842="","",'Ordenes_Odoo'!O2842)</f>
        <v/>
      </c>
      <c r="P2842" s="81">
        <f>IF('Ordenes_Odoo'!P2842="","",'Ordenes_Odoo'!P2842)</f>
        <v/>
      </c>
      <c r="Q2842" s="79">
        <f>IF(A2842="","",IFERROR(INDEX(Facturas_Odoo!$B:$B, MATCH(A2842, Facturas_Odoo!$D:$D, 0)), "Sin Factura"))</f>
        <v/>
      </c>
      <c r="R2842" s="80">
        <f>IF(Q2842="Sin Factura","",IFERROR(INDEX(Facturas_Odoo!$A:$A, MATCH(Q2842, Facturas_Odoo!$B:$B, 0)), ""))</f>
        <v/>
      </c>
      <c r="S2842" s="79">
        <f>IF(Q2842="Sin Factura","",IFERROR(_xlfn.XLOOKUP(1, (Facturas_Odoo!$D:$D=A2842) * (Facturas_Odoo!$K:$K=I2842), Facturas_Odoo!$L:$L, ""), ""))</f>
        <v/>
      </c>
      <c r="T2842" s="81">
        <f>IF(Q2842="Sin Factura",0,IFERROR(_xlfn.XLOOKUP(1, (Facturas_Odoo!$D:$D=A2842) * (Facturas_Odoo!$K:$K=I2842), Facturas_Odoo!$M:$M, 0), 0))</f>
        <v/>
      </c>
      <c r="U2842" s="79">
        <f>IF(Q2842="Sin Factura",0,IFERROR(_xlfn.XLOOKUP(1, (Facturas_Odoo!$D:$D=A2842) * (Facturas_Odoo!$K:$K=I2842), Facturas_Odoo!$N:$N, 0), 0))</f>
        <v/>
      </c>
      <c r="V2842" s="79">
        <f>IF(Q2842="Sin Factura",0,IFERROR(_xlfn.XLOOKUP(1, (Facturas_Odoo!$D:$D=A2842) * (Facturas_Odoo!$K:$K=I2842), Facturas_Odoo!$O:$O, 0), 0))</f>
        <v/>
      </c>
      <c r="W2842" s="81">
        <f>IF(Q2842="Sin Factura",0,IFERROR(_xlfn.XLOOKUP(1, (Facturas_Odoo!$D:$D=A2842) * (Facturas_Odoo!$K:$K=I2842), Facturas_Odoo!$Q:$Q, 0), 0))</f>
        <v/>
      </c>
      <c r="X2842" s="79">
        <f>IF(OR(Q2842="Sin Factura",Q2842=""),"",IFERROR(INDEX(Pagos_Odoo!$B:$B, MATCH(Q2842, Pagos_Odoo!$I:$I, 0)), "Sin Pago"))</f>
        <v/>
      </c>
      <c r="Y2842" s="79">
        <f>IF(X2842="Sin Pago","",IFERROR(INDEX(Pagos_Odoo!$C:$C, MATCH(X2842, Pagos_Odoo!$B:$B, 0)), ""))</f>
        <v/>
      </c>
      <c r="Z2842" s="80">
        <f>IF(X2842="Sin Pago","",IFERROR(INDEX(Pagos_Odoo!$A:$A, MATCH(X2842, Pagos_Odoo!$B:$B, 0)), ""))</f>
        <v/>
      </c>
      <c r="AA2842" s="79">
        <f>IF(X2842="Sin Pago","",IFERROR(INDEX(Pagos_Odoo!$F:$F, MATCH(X2842, Pagos_Odoo!$B:$B, 0)), ""))</f>
        <v/>
      </c>
      <c r="AB2842" s="81">
        <f>IF(X2842="Sin Pago",0,IFERROR(INDEX(Pagos_Odoo!$E:$E, MATCH(X2842, Pagos_Odoo!$B:$B, 0)), 0))</f>
        <v/>
      </c>
      <c r="AC2842" s="79">
        <f>IF(X2842="Sin Pago","",IFERROR(INDEX(Pagos_Odoo!$G:$G, MATCH(X2842, Pagos_Odoo!$B:$B, 0)), ""))</f>
        <v/>
      </c>
      <c r="AD2842" s="82" t="n">
        <v>0</v>
      </c>
      <c r="AE2842" s="82" t="n"/>
      <c r="AF2842" s="82" t="n"/>
      <c r="AG2842" s="82">
        <f>IF(AN2842="","",AD2842+AE2842+AF2842)</f>
        <v/>
      </c>
      <c r="AH2842" s="81">
        <f>IF(AN2842="","",P2842*(1-AG2842))</f>
        <v/>
      </c>
      <c r="AI2842" s="81">
        <f>IF(AN2842="","",IF(Q2842="Sin Factura",0,IFERROR(INDEX(Facturas_Odoo!$H:$H, MATCH(Q2842, Facturas_Odoo!$B:$B, 0)), 0)*(1-AG2842)))</f>
        <v/>
      </c>
      <c r="AJ2842" s="81">
        <f>IF(AN2842="","",_xlfn.LET(idVenta, AN2842&amp;"",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42" s="81">
        <f>IF(AN2842="","",AH2842-AJ2842)</f>
        <v/>
      </c>
      <c r="AL2842" s="81">
        <f>IF(AN2842="","",IF(Q2842="Sin Factura","",AI2842-AJ2842))</f>
        <v/>
      </c>
      <c r="AM2842" s="81">
        <f>IF(AN2842="","",IF(Q2842="Sin Factura",0,P2842-IFERROR(INDEX(Facturas_Odoo!$H:$H, MATCH(Q2842, Facturas_Odoo!$B:$B, 0)), 0)))</f>
        <v/>
      </c>
      <c r="AN2842" s="79">
        <f>IF(AND(A2842="", J2842=""), "", IF(A2842&lt;&gt;"", VALUE(MID(A2842,2,LEN(A2842))), AN2841))</f>
        <v/>
      </c>
      <c r="AO2842" s="79">
        <f>IF(AN2842="","",IF(AD2842=0,"OK",_xlfn.LET(monedaPago, IF(AA2842="","USD",AA2842), limitePermitido, IFERROR(VLOOKUP(monedaPago, Configuración!$A$2:$B$3, 2, FALSE), 0.15), IF(AD2842&gt;limitePermitido, "ALERTA: EXCESO (" &amp; TEXT(limitePermitido, "0%") &amp; " máx)", "OK"))))</f>
        <v/>
      </c>
      <c r="AP2842" s="79">
        <f>IF(AN2842="","",IF(AE2842=0,"OK",_xlfn.LET(fechaPago, Z2842, fechaFactura, R2842, diasCredito, IF(E2842="Pago inmediato", 0, IFERROR(VALUE(MID(E2842, 1, SEARCH(" ", E2842)-1)),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42" s="79">
        <f>IF(AN2842="","",IF(AND(N2842&gt;0, AG2842&gt;0), IF(Configuración!$K$2="NO", "ALERTA: DESCUENTO DOBLE NO PERMITIDO", "OK"), "OK"))</f>
        <v/>
      </c>
      <c r="AR2842" s="79">
        <f>IF(AN2842="","",IF(OR(AO2842&lt;&gt;"OK", AP2842&lt;&gt;"OK", AQ2842&lt;&gt;"OK"), "⚠️ REVISAR", "OK"))</f>
        <v/>
      </c>
    </row>
    <row r="2843">
      <c r="A2843" s="79">
        <f>IF('Ordenes_Odoo'!A2843="","",'Ordenes_Odoo'!A2843)</f>
        <v/>
      </c>
      <c r="B2843" s="80">
        <f>IF('Ordenes_Odoo'!B2843="","",'Ordenes_Odoo'!B2843)</f>
        <v/>
      </c>
      <c r="C2843" s="79">
        <f>IF('Ordenes_Odoo'!C2843="","",'Ordenes_Odoo'!C2843)</f>
        <v/>
      </c>
      <c r="D2843" s="79">
        <f>IF('Ordenes_Odoo'!D2843="","",'Ordenes_Odoo'!D2843)</f>
        <v/>
      </c>
      <c r="E2843" s="79">
        <f>IF('Ordenes_Odoo'!E2843="","",'Ordenes_Odoo'!E2843)</f>
        <v/>
      </c>
      <c r="F2843" s="79">
        <f>IF('Ordenes_Odoo'!F2843="","",'Ordenes_Odoo'!F2843)</f>
        <v/>
      </c>
      <c r="G2843" s="79">
        <f>IF('Ordenes_Odoo'!G2843="","",'Ordenes_Odoo'!G2843)</f>
        <v/>
      </c>
      <c r="H2843" s="79">
        <f>IF('Ordenes_Odoo'!H2843="","",'Ordenes_Odoo'!H2843)</f>
        <v/>
      </c>
      <c r="I2843" s="79">
        <f>IF('Ordenes_Odoo'!I2843="","",'Ordenes_Odoo'!I2843)</f>
        <v/>
      </c>
      <c r="J2843" s="79">
        <f>IF('Ordenes_Odoo'!J2843="","",'Ordenes_Odoo'!J2843)</f>
        <v/>
      </c>
      <c r="K2843" s="81">
        <f>IF('Ordenes_Odoo'!K2843="","",'Ordenes_Odoo'!K2843)</f>
        <v/>
      </c>
      <c r="L2843" s="81">
        <f>IF('Ordenes_Odoo'!L2843="","",'Ordenes_Odoo'!L2843)</f>
        <v/>
      </c>
      <c r="M2843" s="79">
        <f>IF('Ordenes_Odoo'!M2843="","",'Ordenes_Odoo'!M2843)</f>
        <v/>
      </c>
      <c r="N2843" s="79">
        <f>IF('Ordenes_Odoo'!N2843="","",'Ordenes_Odoo'!N2843)</f>
        <v/>
      </c>
      <c r="O2843" s="81">
        <f>IF('Ordenes_Odoo'!O2843="","",'Ordenes_Odoo'!O2843)</f>
        <v/>
      </c>
      <c r="P2843" s="81">
        <f>IF('Ordenes_Odoo'!P2843="","",'Ordenes_Odoo'!P2843)</f>
        <v/>
      </c>
      <c r="Q2843" s="79">
        <f>IF(A2843="","",IFERROR(INDEX(Facturas_Odoo!$B:$B, MATCH(A2843, Facturas_Odoo!$D:$D, 0)), "Sin Factura"))</f>
        <v/>
      </c>
      <c r="R2843" s="80">
        <f>IF(Q2843="Sin Factura","",IFERROR(INDEX(Facturas_Odoo!$A:$A, MATCH(Q2843, Facturas_Odoo!$B:$B, 0)), ""))</f>
        <v/>
      </c>
      <c r="S2843" s="79">
        <f>IF(Q2843="Sin Factura","",IFERROR(_xlfn.XLOOKUP(1, (Facturas_Odoo!$D:$D=A2843) * (Facturas_Odoo!$K:$K=I2843), Facturas_Odoo!$L:$L, ""), ""))</f>
        <v/>
      </c>
      <c r="T2843" s="81">
        <f>IF(Q2843="Sin Factura",0,IFERROR(_xlfn.XLOOKUP(1, (Facturas_Odoo!$D:$D=A2843) * (Facturas_Odoo!$K:$K=I2843), Facturas_Odoo!$M:$M, 0), 0))</f>
        <v/>
      </c>
      <c r="U2843" s="79">
        <f>IF(Q2843="Sin Factura",0,IFERROR(_xlfn.XLOOKUP(1, (Facturas_Odoo!$D:$D=A2843) * (Facturas_Odoo!$K:$K=I2843), Facturas_Odoo!$N:$N, 0), 0))</f>
        <v/>
      </c>
      <c r="V2843" s="79">
        <f>IF(Q2843="Sin Factura",0,IFERROR(_xlfn.XLOOKUP(1, (Facturas_Odoo!$D:$D=A2843) * (Facturas_Odoo!$K:$K=I2843), Facturas_Odoo!$O:$O, 0), 0))</f>
        <v/>
      </c>
      <c r="W2843" s="81">
        <f>IF(Q2843="Sin Factura",0,IFERROR(_xlfn.XLOOKUP(1, (Facturas_Odoo!$D:$D=A2843) * (Facturas_Odoo!$K:$K=I2843), Facturas_Odoo!$Q:$Q, 0), 0))</f>
        <v/>
      </c>
      <c r="X2843" s="79">
        <f>IF(OR(Q2843="Sin Factura",Q2843=""),"",IFERROR(INDEX(Pagos_Odoo!$B:$B, MATCH(Q2843, Pagos_Odoo!$I:$I, 0)), "Sin Pago"))</f>
        <v/>
      </c>
      <c r="Y2843" s="79">
        <f>IF(X2843="Sin Pago","",IFERROR(INDEX(Pagos_Odoo!$C:$C, MATCH(X2843, Pagos_Odoo!$B:$B, 0)), ""))</f>
        <v/>
      </c>
      <c r="Z2843" s="80">
        <f>IF(X2843="Sin Pago","",IFERROR(INDEX(Pagos_Odoo!$A:$A, MATCH(X2843, Pagos_Odoo!$B:$B, 0)), ""))</f>
        <v/>
      </c>
      <c r="AA2843" s="79">
        <f>IF(X2843="Sin Pago","",IFERROR(INDEX(Pagos_Odoo!$F:$F, MATCH(X2843, Pagos_Odoo!$B:$B, 0)), ""))</f>
        <v/>
      </c>
      <c r="AB2843" s="81">
        <f>IF(X2843="Sin Pago",0,IFERROR(INDEX(Pagos_Odoo!$E:$E, MATCH(X2843, Pagos_Odoo!$B:$B, 0)), 0))</f>
        <v/>
      </c>
      <c r="AC2843" s="79">
        <f>IF(X2843="Sin Pago","",IFERROR(INDEX(Pagos_Odoo!$G:$G, MATCH(X2843, Pagos_Odoo!$B:$B, 0)), ""))</f>
        <v/>
      </c>
      <c r="AD2843" s="82" t="n">
        <v>0</v>
      </c>
      <c r="AE2843" s="82" t="n"/>
      <c r="AF2843" s="82" t="n"/>
      <c r="AG2843" s="82">
        <f>IF(AN2843="","",AD2843+AE2843+AF2843)</f>
        <v/>
      </c>
      <c r="AH2843" s="81">
        <f>IF(AN2843="","",P2843*(1-AG2843))</f>
        <v/>
      </c>
      <c r="AI2843" s="81">
        <f>IF(AN2843="","",IF(Q2843="Sin Factura",0,IFERROR(INDEX(Facturas_Odoo!$H:$H, MATCH(Q2843, Facturas_Odoo!$B:$B, 0)), 0)*(1-AG2843)))</f>
        <v/>
      </c>
      <c r="AJ2843" s="81">
        <f>IF(AN2843="","",_xlfn.LET(idVenta, AN2843&amp;"",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43" s="81">
        <f>IF(AN2843="","",AH2843-AJ2843)</f>
        <v/>
      </c>
      <c r="AL2843" s="81">
        <f>IF(AN2843="","",IF(Q2843="Sin Factura","",AI2843-AJ2843))</f>
        <v/>
      </c>
      <c r="AM2843" s="81">
        <f>IF(AN2843="","",IF(Q2843="Sin Factura",0,P2843-IFERROR(INDEX(Facturas_Odoo!$H:$H, MATCH(Q2843, Facturas_Odoo!$B:$B, 0)), 0)))</f>
        <v/>
      </c>
      <c r="AN2843" s="79">
        <f>IF(AND(A2843="", J2843=""), "", IF(A2843&lt;&gt;"", VALUE(MID(A2843,2,LEN(A2843))), AN2842))</f>
        <v/>
      </c>
      <c r="AO2843" s="79">
        <f>IF(AN2843="","",IF(AD2843=0,"OK",_xlfn.LET(monedaPago, IF(AA2843="","USD",AA2843), limitePermitido, IFERROR(VLOOKUP(monedaPago, Configuración!$A$2:$B$3, 2, FALSE), 0.15), IF(AD2843&gt;limitePermitido, "ALERTA: EXCESO (" &amp; TEXT(limitePermitido, "0%") &amp; " máx)", "OK"))))</f>
        <v/>
      </c>
      <c r="AP2843" s="79">
        <f>IF(AN2843="","",IF(AE2843=0,"OK",_xlfn.LET(fechaPago, Z2843, fechaFactura, R2843, diasCredito, IF(E2843="Pago inmediato", 0, IFERROR(VALUE(MID(E2843, 1, SEARCH(" ", E2843)-1)),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43" s="79">
        <f>IF(AN2843="","",IF(AND(N2843&gt;0, AG2843&gt;0), IF(Configuración!$K$2="NO", "ALERTA: DESCUENTO DOBLE NO PERMITIDO", "OK"), "OK"))</f>
        <v/>
      </c>
      <c r="AR2843" s="79">
        <f>IF(AN2843="","",IF(OR(AO2843&lt;&gt;"OK", AP2843&lt;&gt;"OK", AQ2843&lt;&gt;"OK"), "⚠️ REVISAR", "OK"))</f>
        <v/>
      </c>
    </row>
    <row r="2844">
      <c r="A2844" s="79">
        <f>IF('Ordenes_Odoo'!A2844="","",'Ordenes_Odoo'!A2844)</f>
        <v/>
      </c>
      <c r="B2844" s="80">
        <f>IF('Ordenes_Odoo'!B2844="","",'Ordenes_Odoo'!B2844)</f>
        <v/>
      </c>
      <c r="C2844" s="79">
        <f>IF('Ordenes_Odoo'!C2844="","",'Ordenes_Odoo'!C2844)</f>
        <v/>
      </c>
      <c r="D2844" s="79">
        <f>IF('Ordenes_Odoo'!D2844="","",'Ordenes_Odoo'!D2844)</f>
        <v/>
      </c>
      <c r="E2844" s="79">
        <f>IF('Ordenes_Odoo'!E2844="","",'Ordenes_Odoo'!E2844)</f>
        <v/>
      </c>
      <c r="F2844" s="79">
        <f>IF('Ordenes_Odoo'!F2844="","",'Ordenes_Odoo'!F2844)</f>
        <v/>
      </c>
      <c r="G2844" s="79">
        <f>IF('Ordenes_Odoo'!G2844="","",'Ordenes_Odoo'!G2844)</f>
        <v/>
      </c>
      <c r="H2844" s="79">
        <f>IF('Ordenes_Odoo'!H2844="","",'Ordenes_Odoo'!H2844)</f>
        <v/>
      </c>
      <c r="I2844" s="79">
        <f>IF('Ordenes_Odoo'!I2844="","",'Ordenes_Odoo'!I2844)</f>
        <v/>
      </c>
      <c r="J2844" s="79">
        <f>IF('Ordenes_Odoo'!J2844="","",'Ordenes_Odoo'!J2844)</f>
        <v/>
      </c>
      <c r="K2844" s="81">
        <f>IF('Ordenes_Odoo'!K2844="","",'Ordenes_Odoo'!K2844)</f>
        <v/>
      </c>
      <c r="L2844" s="81">
        <f>IF('Ordenes_Odoo'!L2844="","",'Ordenes_Odoo'!L2844)</f>
        <v/>
      </c>
      <c r="M2844" s="79">
        <f>IF('Ordenes_Odoo'!M2844="","",'Ordenes_Odoo'!M2844)</f>
        <v/>
      </c>
      <c r="N2844" s="79">
        <f>IF('Ordenes_Odoo'!N2844="","",'Ordenes_Odoo'!N2844)</f>
        <v/>
      </c>
      <c r="O2844" s="81">
        <f>IF('Ordenes_Odoo'!O2844="","",'Ordenes_Odoo'!O2844)</f>
        <v/>
      </c>
      <c r="P2844" s="81">
        <f>IF('Ordenes_Odoo'!P2844="","",'Ordenes_Odoo'!P2844)</f>
        <v/>
      </c>
      <c r="Q2844" s="79">
        <f>IF(A2844="","",IFERROR(INDEX(Facturas_Odoo!$B:$B, MATCH(A2844, Facturas_Odoo!$D:$D, 0)), "Sin Factura"))</f>
        <v/>
      </c>
      <c r="R2844" s="80">
        <f>IF(Q2844="Sin Factura","",IFERROR(INDEX(Facturas_Odoo!$A:$A, MATCH(Q2844, Facturas_Odoo!$B:$B, 0)), ""))</f>
        <v/>
      </c>
      <c r="S2844" s="79">
        <f>IF(Q2844="Sin Factura","",IFERROR(_xlfn.XLOOKUP(1, (Facturas_Odoo!$D:$D=A2844) * (Facturas_Odoo!$K:$K=I2844), Facturas_Odoo!$L:$L, ""), ""))</f>
        <v/>
      </c>
      <c r="T2844" s="81">
        <f>IF(Q2844="Sin Factura",0,IFERROR(_xlfn.XLOOKUP(1, (Facturas_Odoo!$D:$D=A2844) * (Facturas_Odoo!$K:$K=I2844), Facturas_Odoo!$M:$M, 0), 0))</f>
        <v/>
      </c>
      <c r="U2844" s="79">
        <f>IF(Q2844="Sin Factura",0,IFERROR(_xlfn.XLOOKUP(1, (Facturas_Odoo!$D:$D=A2844) * (Facturas_Odoo!$K:$K=I2844), Facturas_Odoo!$N:$N, 0), 0))</f>
        <v/>
      </c>
      <c r="V2844" s="79">
        <f>IF(Q2844="Sin Factura",0,IFERROR(_xlfn.XLOOKUP(1, (Facturas_Odoo!$D:$D=A2844) * (Facturas_Odoo!$K:$K=I2844), Facturas_Odoo!$O:$O, 0), 0))</f>
        <v/>
      </c>
      <c r="W2844" s="81">
        <f>IF(Q2844="Sin Factura",0,IFERROR(_xlfn.XLOOKUP(1, (Facturas_Odoo!$D:$D=A2844) * (Facturas_Odoo!$K:$K=I2844), Facturas_Odoo!$Q:$Q, 0), 0))</f>
        <v/>
      </c>
      <c r="X2844" s="79">
        <f>IF(OR(Q2844="Sin Factura",Q2844=""),"",IFERROR(INDEX(Pagos_Odoo!$B:$B, MATCH(Q2844, Pagos_Odoo!$I:$I, 0)), "Sin Pago"))</f>
        <v/>
      </c>
      <c r="Y2844" s="79">
        <f>IF(X2844="Sin Pago","",IFERROR(INDEX(Pagos_Odoo!$C:$C, MATCH(X2844, Pagos_Odoo!$B:$B, 0)), ""))</f>
        <v/>
      </c>
      <c r="Z2844" s="80">
        <f>IF(X2844="Sin Pago","",IFERROR(INDEX(Pagos_Odoo!$A:$A, MATCH(X2844, Pagos_Odoo!$B:$B, 0)), ""))</f>
        <v/>
      </c>
      <c r="AA2844" s="79">
        <f>IF(X2844="Sin Pago","",IFERROR(INDEX(Pagos_Odoo!$F:$F, MATCH(X2844, Pagos_Odoo!$B:$B, 0)), ""))</f>
        <v/>
      </c>
      <c r="AB2844" s="81">
        <f>IF(X2844="Sin Pago",0,IFERROR(INDEX(Pagos_Odoo!$E:$E, MATCH(X2844, Pagos_Odoo!$B:$B, 0)), 0))</f>
        <v/>
      </c>
      <c r="AC2844" s="79">
        <f>IF(X2844="Sin Pago","",IFERROR(INDEX(Pagos_Odoo!$G:$G, MATCH(X2844, Pagos_Odoo!$B:$B, 0)), ""))</f>
        <v/>
      </c>
      <c r="AD2844" s="82" t="n">
        <v>0</v>
      </c>
      <c r="AE2844" s="82" t="n"/>
      <c r="AF2844" s="82" t="n"/>
      <c r="AG2844" s="82">
        <f>IF(AN2844="","",AD2844+AE2844+AF2844)</f>
        <v/>
      </c>
      <c r="AH2844" s="81">
        <f>IF(AN2844="","",P2844*(1-AG2844))</f>
        <v/>
      </c>
      <c r="AI2844" s="81">
        <f>IF(AN2844="","",IF(Q2844="Sin Factura",0,IFERROR(INDEX(Facturas_Odoo!$H:$H, MATCH(Q2844, Facturas_Odoo!$B:$B, 0)), 0)*(1-AG2844)))</f>
        <v/>
      </c>
      <c r="AJ2844" s="81">
        <f>IF(AN2844="","",_xlfn.LET(idVenta, AN2844&amp;"",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44" s="81">
        <f>IF(AN2844="","",AH2844-AJ2844)</f>
        <v/>
      </c>
      <c r="AL2844" s="81">
        <f>IF(AN2844="","",IF(Q2844="Sin Factura","",AI2844-AJ2844))</f>
        <v/>
      </c>
      <c r="AM2844" s="81">
        <f>IF(AN2844="","",IF(Q2844="Sin Factura",0,P2844-IFERROR(INDEX(Facturas_Odoo!$H:$H, MATCH(Q2844, Facturas_Odoo!$B:$B, 0)), 0)))</f>
        <v/>
      </c>
      <c r="AN2844" s="79">
        <f>IF(AND(A2844="", J2844=""), "", IF(A2844&lt;&gt;"", VALUE(MID(A2844,2,LEN(A2844))), AN2843))</f>
        <v/>
      </c>
      <c r="AO2844" s="79">
        <f>IF(AN2844="","",IF(AD2844=0,"OK",_xlfn.LET(monedaPago, IF(AA2844="","USD",AA2844), limitePermitido, IFERROR(VLOOKUP(monedaPago, Configuración!$A$2:$B$3, 2, FALSE), 0.15), IF(AD2844&gt;limitePermitido, "ALERTA: EXCESO (" &amp; TEXT(limitePermitido, "0%") &amp; " máx)", "OK"))))</f>
        <v/>
      </c>
      <c r="AP2844" s="79">
        <f>IF(AN2844="","",IF(AE2844=0,"OK",_xlfn.LET(fechaPago, Z2844, fechaFactura, R2844, diasCredito, IF(E2844="Pago inmediato", 0, IFERROR(VALUE(MID(E2844, 1, SEARCH(" ", E2844)-1)),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44" s="79">
        <f>IF(AN2844="","",IF(AND(N2844&gt;0, AG2844&gt;0), IF(Configuración!$K$2="NO", "ALERTA: DESCUENTO DOBLE NO PERMITIDO", "OK"), "OK"))</f>
        <v/>
      </c>
      <c r="AR2844" s="79">
        <f>IF(AN2844="","",IF(OR(AO2844&lt;&gt;"OK", AP2844&lt;&gt;"OK", AQ2844&lt;&gt;"OK"), "⚠️ REVISAR", "OK"))</f>
        <v/>
      </c>
    </row>
    <row r="2845">
      <c r="A2845" s="79">
        <f>IF('Ordenes_Odoo'!A2845="","",'Ordenes_Odoo'!A2845)</f>
        <v/>
      </c>
      <c r="B2845" s="80">
        <f>IF('Ordenes_Odoo'!B2845="","",'Ordenes_Odoo'!B2845)</f>
        <v/>
      </c>
      <c r="C2845" s="79">
        <f>IF('Ordenes_Odoo'!C2845="","",'Ordenes_Odoo'!C2845)</f>
        <v/>
      </c>
      <c r="D2845" s="79">
        <f>IF('Ordenes_Odoo'!D2845="","",'Ordenes_Odoo'!D2845)</f>
        <v/>
      </c>
      <c r="E2845" s="79">
        <f>IF('Ordenes_Odoo'!E2845="","",'Ordenes_Odoo'!E2845)</f>
        <v/>
      </c>
      <c r="F2845" s="79">
        <f>IF('Ordenes_Odoo'!F2845="","",'Ordenes_Odoo'!F2845)</f>
        <v/>
      </c>
      <c r="G2845" s="79">
        <f>IF('Ordenes_Odoo'!G2845="","",'Ordenes_Odoo'!G2845)</f>
        <v/>
      </c>
      <c r="H2845" s="79">
        <f>IF('Ordenes_Odoo'!H2845="","",'Ordenes_Odoo'!H2845)</f>
        <v/>
      </c>
      <c r="I2845" s="79">
        <f>IF('Ordenes_Odoo'!I2845="","",'Ordenes_Odoo'!I2845)</f>
        <v/>
      </c>
      <c r="J2845" s="79">
        <f>IF('Ordenes_Odoo'!J2845="","",'Ordenes_Odoo'!J2845)</f>
        <v/>
      </c>
      <c r="K2845" s="81">
        <f>IF('Ordenes_Odoo'!K2845="","",'Ordenes_Odoo'!K2845)</f>
        <v/>
      </c>
      <c r="L2845" s="81">
        <f>IF('Ordenes_Odoo'!L2845="","",'Ordenes_Odoo'!L2845)</f>
        <v/>
      </c>
      <c r="M2845" s="79">
        <f>IF('Ordenes_Odoo'!M2845="","",'Ordenes_Odoo'!M2845)</f>
        <v/>
      </c>
      <c r="N2845" s="79">
        <f>IF('Ordenes_Odoo'!N2845="","",'Ordenes_Odoo'!N2845)</f>
        <v/>
      </c>
      <c r="O2845" s="81">
        <f>IF('Ordenes_Odoo'!O2845="","",'Ordenes_Odoo'!O2845)</f>
        <v/>
      </c>
      <c r="P2845" s="81">
        <f>IF('Ordenes_Odoo'!P2845="","",'Ordenes_Odoo'!P2845)</f>
        <v/>
      </c>
      <c r="Q2845" s="79">
        <f>IF(A2845="","",IFERROR(INDEX(Facturas_Odoo!$B:$B, MATCH(A2845, Facturas_Odoo!$D:$D, 0)), "Sin Factura"))</f>
        <v/>
      </c>
      <c r="R2845" s="80">
        <f>IF(Q2845="Sin Factura","",IFERROR(INDEX(Facturas_Odoo!$A:$A, MATCH(Q2845, Facturas_Odoo!$B:$B, 0)), ""))</f>
        <v/>
      </c>
      <c r="S2845" s="79">
        <f>IF(Q2845="Sin Factura","",IFERROR(_xlfn.XLOOKUP(1, (Facturas_Odoo!$D:$D=A2845) * (Facturas_Odoo!$K:$K=I2845), Facturas_Odoo!$L:$L, ""), ""))</f>
        <v/>
      </c>
      <c r="T2845" s="81">
        <f>IF(Q2845="Sin Factura",0,IFERROR(_xlfn.XLOOKUP(1, (Facturas_Odoo!$D:$D=A2845) * (Facturas_Odoo!$K:$K=I2845), Facturas_Odoo!$M:$M, 0), 0))</f>
        <v/>
      </c>
      <c r="U2845" s="79">
        <f>IF(Q2845="Sin Factura",0,IFERROR(_xlfn.XLOOKUP(1, (Facturas_Odoo!$D:$D=A2845) * (Facturas_Odoo!$K:$K=I2845), Facturas_Odoo!$N:$N, 0), 0))</f>
        <v/>
      </c>
      <c r="V2845" s="79">
        <f>IF(Q2845="Sin Factura",0,IFERROR(_xlfn.XLOOKUP(1, (Facturas_Odoo!$D:$D=A2845) * (Facturas_Odoo!$K:$K=I2845), Facturas_Odoo!$O:$O, 0), 0))</f>
        <v/>
      </c>
      <c r="W2845" s="81">
        <f>IF(Q2845="Sin Factura",0,IFERROR(_xlfn.XLOOKUP(1, (Facturas_Odoo!$D:$D=A2845) * (Facturas_Odoo!$K:$K=I2845), Facturas_Odoo!$Q:$Q, 0), 0))</f>
        <v/>
      </c>
      <c r="X2845" s="79">
        <f>IF(OR(Q2845="Sin Factura",Q2845=""),"",IFERROR(INDEX(Pagos_Odoo!$B:$B, MATCH(Q2845, Pagos_Odoo!$I:$I, 0)), "Sin Pago"))</f>
        <v/>
      </c>
      <c r="Y2845" s="79">
        <f>IF(X2845="Sin Pago","",IFERROR(INDEX(Pagos_Odoo!$C:$C, MATCH(X2845, Pagos_Odoo!$B:$B, 0)), ""))</f>
        <v/>
      </c>
      <c r="Z2845" s="80">
        <f>IF(X2845="Sin Pago","",IFERROR(INDEX(Pagos_Odoo!$A:$A, MATCH(X2845, Pagos_Odoo!$B:$B, 0)), ""))</f>
        <v/>
      </c>
      <c r="AA2845" s="79">
        <f>IF(X2845="Sin Pago","",IFERROR(INDEX(Pagos_Odoo!$F:$F, MATCH(X2845, Pagos_Odoo!$B:$B, 0)), ""))</f>
        <v/>
      </c>
      <c r="AB2845" s="81">
        <f>IF(X2845="Sin Pago",0,IFERROR(INDEX(Pagos_Odoo!$E:$E, MATCH(X2845, Pagos_Odoo!$B:$B, 0)), 0))</f>
        <v/>
      </c>
      <c r="AC2845" s="79">
        <f>IF(X2845="Sin Pago","",IFERROR(INDEX(Pagos_Odoo!$G:$G, MATCH(X2845, Pagos_Odoo!$B:$B, 0)), ""))</f>
        <v/>
      </c>
      <c r="AD2845" s="82" t="n">
        <v>0</v>
      </c>
      <c r="AE2845" s="82" t="n"/>
      <c r="AF2845" s="82" t="n"/>
      <c r="AG2845" s="82">
        <f>IF(AN2845="","",AD2845+AE2845+AF2845)</f>
        <v/>
      </c>
      <c r="AH2845" s="81">
        <f>IF(AN2845="","",P2845*(1-AG2845))</f>
        <v/>
      </c>
      <c r="AI2845" s="81">
        <f>IF(AN2845="","",IF(Q2845="Sin Factura",0,IFERROR(INDEX(Facturas_Odoo!$H:$H, MATCH(Q2845, Facturas_Odoo!$B:$B, 0)), 0)*(1-AG2845)))</f>
        <v/>
      </c>
      <c r="AJ2845" s="81">
        <f>IF(AN2845="","",_xlfn.LET(idVenta, AN2845&amp;"",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45" s="81">
        <f>IF(AN2845="","",AH2845-AJ2845)</f>
        <v/>
      </c>
      <c r="AL2845" s="81">
        <f>IF(AN2845="","",IF(Q2845="Sin Factura","",AI2845-AJ2845))</f>
        <v/>
      </c>
      <c r="AM2845" s="81">
        <f>IF(AN2845="","",IF(Q2845="Sin Factura",0,P2845-IFERROR(INDEX(Facturas_Odoo!$H:$H, MATCH(Q2845, Facturas_Odoo!$B:$B, 0)), 0)))</f>
        <v/>
      </c>
      <c r="AN2845" s="79">
        <f>IF(AND(A2845="", J2845=""), "", IF(A2845&lt;&gt;"", VALUE(MID(A2845,2,LEN(A2845))), AN2844))</f>
        <v/>
      </c>
      <c r="AO2845" s="79">
        <f>IF(AN2845="","",IF(AD2845=0,"OK",_xlfn.LET(monedaPago, IF(AA2845="","USD",AA2845), limitePermitido, IFERROR(VLOOKUP(monedaPago, Configuración!$A$2:$B$3, 2, FALSE), 0.15), IF(AD2845&gt;limitePermitido, "ALERTA: EXCESO (" &amp; TEXT(limitePermitido, "0%") &amp; " máx)", "OK"))))</f>
        <v/>
      </c>
      <c r="AP2845" s="79">
        <f>IF(AN2845="","",IF(AE2845=0,"OK",_xlfn.LET(fechaPago, Z2845, fechaFactura, R2845, diasCredito, IF(E2845="Pago inmediato", 0, IFERROR(VALUE(MID(E2845, 1, SEARCH(" ", E2845)-1)),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45" s="79">
        <f>IF(AN2845="","",IF(AND(N2845&gt;0, AG2845&gt;0), IF(Configuración!$K$2="NO", "ALERTA: DESCUENTO DOBLE NO PERMITIDO", "OK"), "OK"))</f>
        <v/>
      </c>
      <c r="AR2845" s="79">
        <f>IF(AN2845="","",IF(OR(AO2845&lt;&gt;"OK", AP2845&lt;&gt;"OK", AQ2845&lt;&gt;"OK"), "⚠️ REVISAR", "OK"))</f>
        <v/>
      </c>
    </row>
    <row r="2846">
      <c r="A2846" s="79">
        <f>IF('Ordenes_Odoo'!A2846="","",'Ordenes_Odoo'!A2846)</f>
        <v/>
      </c>
      <c r="B2846" s="80">
        <f>IF('Ordenes_Odoo'!B2846="","",'Ordenes_Odoo'!B2846)</f>
        <v/>
      </c>
      <c r="C2846" s="79">
        <f>IF('Ordenes_Odoo'!C2846="","",'Ordenes_Odoo'!C2846)</f>
        <v/>
      </c>
      <c r="D2846" s="79">
        <f>IF('Ordenes_Odoo'!D2846="","",'Ordenes_Odoo'!D2846)</f>
        <v/>
      </c>
      <c r="E2846" s="79">
        <f>IF('Ordenes_Odoo'!E2846="","",'Ordenes_Odoo'!E2846)</f>
        <v/>
      </c>
      <c r="F2846" s="79">
        <f>IF('Ordenes_Odoo'!F2846="","",'Ordenes_Odoo'!F2846)</f>
        <v/>
      </c>
      <c r="G2846" s="79">
        <f>IF('Ordenes_Odoo'!G2846="","",'Ordenes_Odoo'!G2846)</f>
        <v/>
      </c>
      <c r="H2846" s="79">
        <f>IF('Ordenes_Odoo'!H2846="","",'Ordenes_Odoo'!H2846)</f>
        <v/>
      </c>
      <c r="I2846" s="79">
        <f>IF('Ordenes_Odoo'!I2846="","",'Ordenes_Odoo'!I2846)</f>
        <v/>
      </c>
      <c r="J2846" s="79">
        <f>IF('Ordenes_Odoo'!J2846="","",'Ordenes_Odoo'!J2846)</f>
        <v/>
      </c>
      <c r="K2846" s="81">
        <f>IF('Ordenes_Odoo'!K2846="","",'Ordenes_Odoo'!K2846)</f>
        <v/>
      </c>
      <c r="L2846" s="81">
        <f>IF('Ordenes_Odoo'!L2846="","",'Ordenes_Odoo'!L2846)</f>
        <v/>
      </c>
      <c r="M2846" s="79">
        <f>IF('Ordenes_Odoo'!M2846="","",'Ordenes_Odoo'!M2846)</f>
        <v/>
      </c>
      <c r="N2846" s="79">
        <f>IF('Ordenes_Odoo'!N2846="","",'Ordenes_Odoo'!N2846)</f>
        <v/>
      </c>
      <c r="O2846" s="81">
        <f>IF('Ordenes_Odoo'!O2846="","",'Ordenes_Odoo'!O2846)</f>
        <v/>
      </c>
      <c r="P2846" s="81">
        <f>IF('Ordenes_Odoo'!P2846="","",'Ordenes_Odoo'!P2846)</f>
        <v/>
      </c>
      <c r="Q2846" s="79">
        <f>IF(A2846="","",IFERROR(INDEX(Facturas_Odoo!$B:$B, MATCH(A2846, Facturas_Odoo!$D:$D, 0)), "Sin Factura"))</f>
        <v/>
      </c>
      <c r="R2846" s="80">
        <f>IF(Q2846="Sin Factura","",IFERROR(INDEX(Facturas_Odoo!$A:$A, MATCH(Q2846, Facturas_Odoo!$B:$B, 0)), ""))</f>
        <v/>
      </c>
      <c r="S2846" s="79">
        <f>IF(Q2846="Sin Factura","",IFERROR(_xlfn.XLOOKUP(1, (Facturas_Odoo!$D:$D=A2846) * (Facturas_Odoo!$K:$K=I2846), Facturas_Odoo!$L:$L, ""), ""))</f>
        <v/>
      </c>
      <c r="T2846" s="81">
        <f>IF(Q2846="Sin Factura",0,IFERROR(_xlfn.XLOOKUP(1, (Facturas_Odoo!$D:$D=A2846) * (Facturas_Odoo!$K:$K=I2846), Facturas_Odoo!$M:$M, 0), 0))</f>
        <v/>
      </c>
      <c r="U2846" s="79">
        <f>IF(Q2846="Sin Factura",0,IFERROR(_xlfn.XLOOKUP(1, (Facturas_Odoo!$D:$D=A2846) * (Facturas_Odoo!$K:$K=I2846), Facturas_Odoo!$N:$N, 0), 0))</f>
        <v/>
      </c>
      <c r="V2846" s="79">
        <f>IF(Q2846="Sin Factura",0,IFERROR(_xlfn.XLOOKUP(1, (Facturas_Odoo!$D:$D=A2846) * (Facturas_Odoo!$K:$K=I2846), Facturas_Odoo!$O:$O, 0), 0))</f>
        <v/>
      </c>
      <c r="W2846" s="81">
        <f>IF(Q2846="Sin Factura",0,IFERROR(_xlfn.XLOOKUP(1, (Facturas_Odoo!$D:$D=A2846) * (Facturas_Odoo!$K:$K=I2846), Facturas_Odoo!$Q:$Q, 0), 0))</f>
        <v/>
      </c>
      <c r="X2846" s="79">
        <f>IF(OR(Q2846="Sin Factura",Q2846=""),"",IFERROR(INDEX(Pagos_Odoo!$B:$B, MATCH(Q2846, Pagos_Odoo!$I:$I, 0)), "Sin Pago"))</f>
        <v/>
      </c>
      <c r="Y2846" s="79">
        <f>IF(X2846="Sin Pago","",IFERROR(INDEX(Pagos_Odoo!$C:$C, MATCH(X2846, Pagos_Odoo!$B:$B, 0)), ""))</f>
        <v/>
      </c>
      <c r="Z2846" s="80">
        <f>IF(X2846="Sin Pago","",IFERROR(INDEX(Pagos_Odoo!$A:$A, MATCH(X2846, Pagos_Odoo!$B:$B, 0)), ""))</f>
        <v/>
      </c>
      <c r="AA2846" s="79">
        <f>IF(X2846="Sin Pago","",IFERROR(INDEX(Pagos_Odoo!$F:$F, MATCH(X2846, Pagos_Odoo!$B:$B, 0)), ""))</f>
        <v/>
      </c>
      <c r="AB2846" s="81">
        <f>IF(X2846="Sin Pago",0,IFERROR(INDEX(Pagos_Odoo!$E:$E, MATCH(X2846, Pagos_Odoo!$B:$B, 0)), 0))</f>
        <v/>
      </c>
      <c r="AC2846" s="79">
        <f>IF(X2846="Sin Pago","",IFERROR(INDEX(Pagos_Odoo!$G:$G, MATCH(X2846, Pagos_Odoo!$B:$B, 0)), ""))</f>
        <v/>
      </c>
      <c r="AD2846" s="82" t="n">
        <v>0</v>
      </c>
      <c r="AE2846" s="82" t="n"/>
      <c r="AF2846" s="82" t="n"/>
      <c r="AG2846" s="82">
        <f>IF(AN2846="","",AD2846+AE2846+AF2846)</f>
        <v/>
      </c>
      <c r="AH2846" s="81">
        <f>IF(AN2846="","",P2846*(1-AG2846))</f>
        <v/>
      </c>
      <c r="AI2846" s="81">
        <f>IF(AN2846="","",IF(Q2846="Sin Factura",0,IFERROR(INDEX(Facturas_Odoo!$H:$H, MATCH(Q2846, Facturas_Odoo!$B:$B, 0)), 0)*(1-AG2846)))</f>
        <v/>
      </c>
      <c r="AJ2846" s="81">
        <f>IF(AN2846="","",_xlfn.LET(idVenta, AN2846&amp;"",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46" s="81">
        <f>IF(AN2846="","",AH2846-AJ2846)</f>
        <v/>
      </c>
      <c r="AL2846" s="81">
        <f>IF(AN2846="","",IF(Q2846="Sin Factura","",AI2846-AJ2846))</f>
        <v/>
      </c>
      <c r="AM2846" s="81">
        <f>IF(AN2846="","",IF(Q2846="Sin Factura",0,P2846-IFERROR(INDEX(Facturas_Odoo!$H:$H, MATCH(Q2846, Facturas_Odoo!$B:$B, 0)), 0)))</f>
        <v/>
      </c>
      <c r="AN2846" s="79">
        <f>IF(AND(A2846="", J2846=""), "", IF(A2846&lt;&gt;"", VALUE(MID(A2846,2,LEN(A2846))), AN2845))</f>
        <v/>
      </c>
      <c r="AO2846" s="79">
        <f>IF(AN2846="","",IF(AD2846=0,"OK",_xlfn.LET(monedaPago, IF(AA2846="","USD",AA2846), limitePermitido, IFERROR(VLOOKUP(monedaPago, Configuración!$A$2:$B$3, 2, FALSE), 0.15), IF(AD2846&gt;limitePermitido, "ALERTA: EXCESO (" &amp; TEXT(limitePermitido, "0%") &amp; " máx)", "OK"))))</f>
        <v/>
      </c>
      <c r="AP2846" s="79">
        <f>IF(AN2846="","",IF(AE2846=0,"OK",_xlfn.LET(fechaPago, Z2846, fechaFactura, R2846, diasCredito, IF(E2846="Pago inmediato", 0, IFERROR(VALUE(MID(E2846, 1, SEARCH(" ", E2846)-1)),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46" s="79">
        <f>IF(AN2846="","",IF(AND(N2846&gt;0, AG2846&gt;0), IF(Configuración!$K$2="NO", "ALERTA: DESCUENTO DOBLE NO PERMITIDO", "OK"), "OK"))</f>
        <v/>
      </c>
      <c r="AR2846" s="79">
        <f>IF(AN2846="","",IF(OR(AO2846&lt;&gt;"OK", AP2846&lt;&gt;"OK", AQ2846&lt;&gt;"OK"), "⚠️ REVISAR", "OK"))</f>
        <v/>
      </c>
    </row>
    <row r="2847">
      <c r="A2847" s="79">
        <f>IF('Ordenes_Odoo'!A2847="","",'Ordenes_Odoo'!A2847)</f>
        <v/>
      </c>
      <c r="B2847" s="80">
        <f>IF('Ordenes_Odoo'!B2847="","",'Ordenes_Odoo'!B2847)</f>
        <v/>
      </c>
      <c r="C2847" s="79">
        <f>IF('Ordenes_Odoo'!C2847="","",'Ordenes_Odoo'!C2847)</f>
        <v/>
      </c>
      <c r="D2847" s="79">
        <f>IF('Ordenes_Odoo'!D2847="","",'Ordenes_Odoo'!D2847)</f>
        <v/>
      </c>
      <c r="E2847" s="79">
        <f>IF('Ordenes_Odoo'!E2847="","",'Ordenes_Odoo'!E2847)</f>
        <v/>
      </c>
      <c r="F2847" s="79">
        <f>IF('Ordenes_Odoo'!F2847="","",'Ordenes_Odoo'!F2847)</f>
        <v/>
      </c>
      <c r="G2847" s="79">
        <f>IF('Ordenes_Odoo'!G2847="","",'Ordenes_Odoo'!G2847)</f>
        <v/>
      </c>
      <c r="H2847" s="79">
        <f>IF('Ordenes_Odoo'!H2847="","",'Ordenes_Odoo'!H2847)</f>
        <v/>
      </c>
      <c r="I2847" s="79">
        <f>IF('Ordenes_Odoo'!I2847="","",'Ordenes_Odoo'!I2847)</f>
        <v/>
      </c>
      <c r="J2847" s="79">
        <f>IF('Ordenes_Odoo'!J2847="","",'Ordenes_Odoo'!J2847)</f>
        <v/>
      </c>
      <c r="K2847" s="81">
        <f>IF('Ordenes_Odoo'!K2847="","",'Ordenes_Odoo'!K2847)</f>
        <v/>
      </c>
      <c r="L2847" s="81">
        <f>IF('Ordenes_Odoo'!L2847="","",'Ordenes_Odoo'!L2847)</f>
        <v/>
      </c>
      <c r="M2847" s="79">
        <f>IF('Ordenes_Odoo'!M2847="","",'Ordenes_Odoo'!M2847)</f>
        <v/>
      </c>
      <c r="N2847" s="79">
        <f>IF('Ordenes_Odoo'!N2847="","",'Ordenes_Odoo'!N2847)</f>
        <v/>
      </c>
      <c r="O2847" s="81">
        <f>IF('Ordenes_Odoo'!O2847="","",'Ordenes_Odoo'!O2847)</f>
        <v/>
      </c>
      <c r="P2847" s="81">
        <f>IF('Ordenes_Odoo'!P2847="","",'Ordenes_Odoo'!P2847)</f>
        <v/>
      </c>
      <c r="Q2847" s="79">
        <f>IF(A2847="","",IFERROR(INDEX(Facturas_Odoo!$B:$B, MATCH(A2847, Facturas_Odoo!$D:$D, 0)), "Sin Factura"))</f>
        <v/>
      </c>
      <c r="R2847" s="80">
        <f>IF(Q2847="Sin Factura","",IFERROR(INDEX(Facturas_Odoo!$A:$A, MATCH(Q2847, Facturas_Odoo!$B:$B, 0)), ""))</f>
        <v/>
      </c>
      <c r="S2847" s="79">
        <f>IF(Q2847="Sin Factura","",IFERROR(_xlfn.XLOOKUP(1, (Facturas_Odoo!$D:$D=A2847) * (Facturas_Odoo!$K:$K=I2847), Facturas_Odoo!$L:$L, ""), ""))</f>
        <v/>
      </c>
      <c r="T2847" s="81">
        <f>IF(Q2847="Sin Factura",0,IFERROR(_xlfn.XLOOKUP(1, (Facturas_Odoo!$D:$D=A2847) * (Facturas_Odoo!$K:$K=I2847), Facturas_Odoo!$M:$M, 0), 0))</f>
        <v/>
      </c>
      <c r="U2847" s="79">
        <f>IF(Q2847="Sin Factura",0,IFERROR(_xlfn.XLOOKUP(1, (Facturas_Odoo!$D:$D=A2847) * (Facturas_Odoo!$K:$K=I2847), Facturas_Odoo!$N:$N, 0), 0))</f>
        <v/>
      </c>
      <c r="V2847" s="79">
        <f>IF(Q2847="Sin Factura",0,IFERROR(_xlfn.XLOOKUP(1, (Facturas_Odoo!$D:$D=A2847) * (Facturas_Odoo!$K:$K=I2847), Facturas_Odoo!$O:$O, 0), 0))</f>
        <v/>
      </c>
      <c r="W2847" s="81">
        <f>IF(Q2847="Sin Factura",0,IFERROR(_xlfn.XLOOKUP(1, (Facturas_Odoo!$D:$D=A2847) * (Facturas_Odoo!$K:$K=I2847), Facturas_Odoo!$Q:$Q, 0), 0))</f>
        <v/>
      </c>
      <c r="X2847" s="79">
        <f>IF(OR(Q2847="Sin Factura",Q2847=""),"",IFERROR(INDEX(Pagos_Odoo!$B:$B, MATCH(Q2847, Pagos_Odoo!$I:$I, 0)), "Sin Pago"))</f>
        <v/>
      </c>
      <c r="Y2847" s="79">
        <f>IF(X2847="Sin Pago","",IFERROR(INDEX(Pagos_Odoo!$C:$C, MATCH(X2847, Pagos_Odoo!$B:$B, 0)), ""))</f>
        <v/>
      </c>
      <c r="Z2847" s="80">
        <f>IF(X2847="Sin Pago","",IFERROR(INDEX(Pagos_Odoo!$A:$A, MATCH(X2847, Pagos_Odoo!$B:$B, 0)), ""))</f>
        <v/>
      </c>
      <c r="AA2847" s="79">
        <f>IF(X2847="Sin Pago","",IFERROR(INDEX(Pagos_Odoo!$F:$F, MATCH(X2847, Pagos_Odoo!$B:$B, 0)), ""))</f>
        <v/>
      </c>
      <c r="AB2847" s="81">
        <f>IF(X2847="Sin Pago",0,IFERROR(INDEX(Pagos_Odoo!$E:$E, MATCH(X2847, Pagos_Odoo!$B:$B, 0)), 0))</f>
        <v/>
      </c>
      <c r="AC2847" s="79">
        <f>IF(X2847="Sin Pago","",IFERROR(INDEX(Pagos_Odoo!$G:$G, MATCH(X2847, Pagos_Odoo!$B:$B, 0)), ""))</f>
        <v/>
      </c>
      <c r="AD2847" s="82" t="n">
        <v>0</v>
      </c>
      <c r="AE2847" s="82" t="n"/>
      <c r="AF2847" s="82" t="n"/>
      <c r="AG2847" s="82">
        <f>IF(AN2847="","",AD2847+AE2847+AF2847)</f>
        <v/>
      </c>
      <c r="AH2847" s="81">
        <f>IF(AN2847="","",P2847*(1-AG2847))</f>
        <v/>
      </c>
      <c r="AI2847" s="81">
        <f>IF(AN2847="","",IF(Q2847="Sin Factura",0,IFERROR(INDEX(Facturas_Odoo!$H:$H, MATCH(Q2847, Facturas_Odoo!$B:$B, 0)), 0)*(1-AG2847)))</f>
        <v/>
      </c>
      <c r="AJ2847" s="81">
        <f>IF(AN2847="","",_xlfn.LET(idVenta, AN2847&amp;"",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47" s="81">
        <f>IF(AN2847="","",AH2847-AJ2847)</f>
        <v/>
      </c>
      <c r="AL2847" s="81">
        <f>IF(AN2847="","",IF(Q2847="Sin Factura","",AI2847-AJ2847))</f>
        <v/>
      </c>
      <c r="AM2847" s="81">
        <f>IF(AN2847="","",IF(Q2847="Sin Factura",0,P2847-IFERROR(INDEX(Facturas_Odoo!$H:$H, MATCH(Q2847, Facturas_Odoo!$B:$B, 0)), 0)))</f>
        <v/>
      </c>
      <c r="AN2847" s="79">
        <f>IF(AND(A2847="", J2847=""), "", IF(A2847&lt;&gt;"", VALUE(MID(A2847,2,LEN(A2847))), AN2846))</f>
        <v/>
      </c>
      <c r="AO2847" s="79">
        <f>IF(AN2847="","",IF(AD2847=0,"OK",_xlfn.LET(monedaPago, IF(AA2847="","USD",AA2847), limitePermitido, IFERROR(VLOOKUP(monedaPago, Configuración!$A$2:$B$3, 2, FALSE), 0.15), IF(AD2847&gt;limitePermitido, "ALERTA: EXCESO (" &amp; TEXT(limitePermitido, "0%") &amp; " máx)", "OK"))))</f>
        <v/>
      </c>
      <c r="AP2847" s="79">
        <f>IF(AN2847="","",IF(AE2847=0,"OK",_xlfn.LET(fechaPago, Z2847, fechaFactura, R2847, diasCredito, IF(E2847="Pago inmediato", 0, IFERROR(VALUE(MID(E2847, 1, SEARCH(" ", E2847)-1)),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47" s="79">
        <f>IF(AN2847="","",IF(AND(N2847&gt;0, AG2847&gt;0), IF(Configuración!$K$2="NO", "ALERTA: DESCUENTO DOBLE NO PERMITIDO", "OK"), "OK"))</f>
        <v/>
      </c>
      <c r="AR2847" s="79">
        <f>IF(AN2847="","",IF(OR(AO2847&lt;&gt;"OK", AP2847&lt;&gt;"OK", AQ2847&lt;&gt;"OK"), "⚠️ REVISAR", "OK"))</f>
        <v/>
      </c>
    </row>
    <row r="2848">
      <c r="A2848" s="79">
        <f>IF('Ordenes_Odoo'!A2848="","",'Ordenes_Odoo'!A2848)</f>
        <v/>
      </c>
      <c r="B2848" s="80">
        <f>IF('Ordenes_Odoo'!B2848="","",'Ordenes_Odoo'!B2848)</f>
        <v/>
      </c>
      <c r="C2848" s="79">
        <f>IF('Ordenes_Odoo'!C2848="","",'Ordenes_Odoo'!C2848)</f>
        <v/>
      </c>
      <c r="D2848" s="79">
        <f>IF('Ordenes_Odoo'!D2848="","",'Ordenes_Odoo'!D2848)</f>
        <v/>
      </c>
      <c r="E2848" s="79">
        <f>IF('Ordenes_Odoo'!E2848="","",'Ordenes_Odoo'!E2848)</f>
        <v/>
      </c>
      <c r="F2848" s="79">
        <f>IF('Ordenes_Odoo'!F2848="","",'Ordenes_Odoo'!F2848)</f>
        <v/>
      </c>
      <c r="G2848" s="79">
        <f>IF('Ordenes_Odoo'!G2848="","",'Ordenes_Odoo'!G2848)</f>
        <v/>
      </c>
      <c r="H2848" s="79">
        <f>IF('Ordenes_Odoo'!H2848="","",'Ordenes_Odoo'!H2848)</f>
        <v/>
      </c>
      <c r="I2848" s="79">
        <f>IF('Ordenes_Odoo'!I2848="","",'Ordenes_Odoo'!I2848)</f>
        <v/>
      </c>
      <c r="J2848" s="79">
        <f>IF('Ordenes_Odoo'!J2848="","",'Ordenes_Odoo'!J2848)</f>
        <v/>
      </c>
      <c r="K2848" s="81">
        <f>IF('Ordenes_Odoo'!K2848="","",'Ordenes_Odoo'!K2848)</f>
        <v/>
      </c>
      <c r="L2848" s="81">
        <f>IF('Ordenes_Odoo'!L2848="","",'Ordenes_Odoo'!L2848)</f>
        <v/>
      </c>
      <c r="M2848" s="79">
        <f>IF('Ordenes_Odoo'!M2848="","",'Ordenes_Odoo'!M2848)</f>
        <v/>
      </c>
      <c r="N2848" s="79">
        <f>IF('Ordenes_Odoo'!N2848="","",'Ordenes_Odoo'!N2848)</f>
        <v/>
      </c>
      <c r="O2848" s="81">
        <f>IF('Ordenes_Odoo'!O2848="","",'Ordenes_Odoo'!O2848)</f>
        <v/>
      </c>
      <c r="P2848" s="81">
        <f>IF('Ordenes_Odoo'!P2848="","",'Ordenes_Odoo'!P2848)</f>
        <v/>
      </c>
      <c r="Q2848" s="79">
        <f>IF(A2848="","",IFERROR(INDEX(Facturas_Odoo!$B:$B, MATCH(A2848, Facturas_Odoo!$D:$D, 0)), "Sin Factura"))</f>
        <v/>
      </c>
      <c r="R2848" s="80">
        <f>IF(Q2848="Sin Factura","",IFERROR(INDEX(Facturas_Odoo!$A:$A, MATCH(Q2848, Facturas_Odoo!$B:$B, 0)), ""))</f>
        <v/>
      </c>
      <c r="S2848" s="79">
        <f>IF(Q2848="Sin Factura","",IFERROR(_xlfn.XLOOKUP(1, (Facturas_Odoo!$D:$D=A2848) * (Facturas_Odoo!$K:$K=I2848), Facturas_Odoo!$L:$L, ""), ""))</f>
        <v/>
      </c>
      <c r="T2848" s="81">
        <f>IF(Q2848="Sin Factura",0,IFERROR(_xlfn.XLOOKUP(1, (Facturas_Odoo!$D:$D=A2848) * (Facturas_Odoo!$K:$K=I2848), Facturas_Odoo!$M:$M, 0), 0))</f>
        <v/>
      </c>
      <c r="U2848" s="79">
        <f>IF(Q2848="Sin Factura",0,IFERROR(_xlfn.XLOOKUP(1, (Facturas_Odoo!$D:$D=A2848) * (Facturas_Odoo!$K:$K=I2848), Facturas_Odoo!$N:$N, 0), 0))</f>
        <v/>
      </c>
      <c r="V2848" s="79">
        <f>IF(Q2848="Sin Factura",0,IFERROR(_xlfn.XLOOKUP(1, (Facturas_Odoo!$D:$D=A2848) * (Facturas_Odoo!$K:$K=I2848), Facturas_Odoo!$O:$O, 0), 0))</f>
        <v/>
      </c>
      <c r="W2848" s="81">
        <f>IF(Q2848="Sin Factura",0,IFERROR(_xlfn.XLOOKUP(1, (Facturas_Odoo!$D:$D=A2848) * (Facturas_Odoo!$K:$K=I2848), Facturas_Odoo!$Q:$Q, 0), 0))</f>
        <v/>
      </c>
      <c r="X2848" s="79">
        <f>IF(OR(Q2848="Sin Factura",Q2848=""),"",IFERROR(INDEX(Pagos_Odoo!$B:$B, MATCH(Q2848, Pagos_Odoo!$I:$I, 0)), "Sin Pago"))</f>
        <v/>
      </c>
      <c r="Y2848" s="79">
        <f>IF(X2848="Sin Pago","",IFERROR(INDEX(Pagos_Odoo!$C:$C, MATCH(X2848, Pagos_Odoo!$B:$B, 0)), ""))</f>
        <v/>
      </c>
      <c r="Z2848" s="80">
        <f>IF(X2848="Sin Pago","",IFERROR(INDEX(Pagos_Odoo!$A:$A, MATCH(X2848, Pagos_Odoo!$B:$B, 0)), ""))</f>
        <v/>
      </c>
      <c r="AA2848" s="79">
        <f>IF(X2848="Sin Pago","",IFERROR(INDEX(Pagos_Odoo!$F:$F, MATCH(X2848, Pagos_Odoo!$B:$B, 0)), ""))</f>
        <v/>
      </c>
      <c r="AB2848" s="81">
        <f>IF(X2848="Sin Pago",0,IFERROR(INDEX(Pagos_Odoo!$E:$E, MATCH(X2848, Pagos_Odoo!$B:$B, 0)), 0))</f>
        <v/>
      </c>
      <c r="AC2848" s="79">
        <f>IF(X2848="Sin Pago","",IFERROR(INDEX(Pagos_Odoo!$G:$G, MATCH(X2848, Pagos_Odoo!$B:$B, 0)), ""))</f>
        <v/>
      </c>
      <c r="AD2848" s="82" t="n">
        <v>0</v>
      </c>
      <c r="AE2848" s="82" t="n"/>
      <c r="AF2848" s="82" t="n"/>
      <c r="AG2848" s="82">
        <f>IF(AN2848="","",AD2848+AE2848+AF2848)</f>
        <v/>
      </c>
      <c r="AH2848" s="81">
        <f>IF(AN2848="","",P2848*(1-AG2848))</f>
        <v/>
      </c>
      <c r="AI2848" s="81">
        <f>IF(AN2848="","",IF(Q2848="Sin Factura",0,IFERROR(INDEX(Facturas_Odoo!$H:$H, MATCH(Q2848, Facturas_Odoo!$B:$B, 0)), 0)*(1-AG2848)))</f>
        <v/>
      </c>
      <c r="AJ2848" s="81">
        <f>IF(AN2848="","",_xlfn.LET(idVenta, AN2848&amp;"",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48" s="81">
        <f>IF(AN2848="","",AH2848-AJ2848)</f>
        <v/>
      </c>
      <c r="AL2848" s="81">
        <f>IF(AN2848="","",IF(Q2848="Sin Factura","",AI2848-AJ2848))</f>
        <v/>
      </c>
      <c r="AM2848" s="81">
        <f>IF(AN2848="","",IF(Q2848="Sin Factura",0,P2848-IFERROR(INDEX(Facturas_Odoo!$H:$H, MATCH(Q2848, Facturas_Odoo!$B:$B, 0)), 0)))</f>
        <v/>
      </c>
      <c r="AN2848" s="79">
        <f>IF(AND(A2848="", J2848=""), "", IF(A2848&lt;&gt;"", VALUE(MID(A2848,2,LEN(A2848))), AN2847))</f>
        <v/>
      </c>
      <c r="AO2848" s="79">
        <f>IF(AN2848="","",IF(AD2848=0,"OK",_xlfn.LET(monedaPago, IF(AA2848="","USD",AA2848), limitePermitido, IFERROR(VLOOKUP(monedaPago, Configuración!$A$2:$B$3, 2, FALSE), 0.15), IF(AD2848&gt;limitePermitido, "ALERTA: EXCESO (" &amp; TEXT(limitePermitido, "0%") &amp; " máx)", "OK"))))</f>
        <v/>
      </c>
      <c r="AP2848" s="79">
        <f>IF(AN2848="","",IF(AE2848=0,"OK",_xlfn.LET(fechaPago, Z2848, fechaFactura, R2848, diasCredito, IF(E2848="Pago inmediato", 0, IFERROR(VALUE(MID(E2848, 1, SEARCH(" ", E2848)-1)),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48" s="79">
        <f>IF(AN2848="","",IF(AND(N2848&gt;0, AG2848&gt;0), IF(Configuración!$K$2="NO", "ALERTA: DESCUENTO DOBLE NO PERMITIDO", "OK"), "OK"))</f>
        <v/>
      </c>
      <c r="AR2848" s="79">
        <f>IF(AN2848="","",IF(OR(AO2848&lt;&gt;"OK", AP2848&lt;&gt;"OK", AQ2848&lt;&gt;"OK"), "⚠️ REVISAR", "OK"))</f>
        <v/>
      </c>
    </row>
    <row r="2849">
      <c r="A2849" s="79">
        <f>IF('Ordenes_Odoo'!A2849="","",'Ordenes_Odoo'!A2849)</f>
        <v/>
      </c>
      <c r="B2849" s="80">
        <f>IF('Ordenes_Odoo'!B2849="","",'Ordenes_Odoo'!B2849)</f>
        <v/>
      </c>
      <c r="C2849" s="79">
        <f>IF('Ordenes_Odoo'!C2849="","",'Ordenes_Odoo'!C2849)</f>
        <v/>
      </c>
      <c r="D2849" s="79">
        <f>IF('Ordenes_Odoo'!D2849="","",'Ordenes_Odoo'!D2849)</f>
        <v/>
      </c>
      <c r="E2849" s="79">
        <f>IF('Ordenes_Odoo'!E2849="","",'Ordenes_Odoo'!E2849)</f>
        <v/>
      </c>
      <c r="F2849" s="79">
        <f>IF('Ordenes_Odoo'!F2849="","",'Ordenes_Odoo'!F2849)</f>
        <v/>
      </c>
      <c r="G2849" s="79">
        <f>IF('Ordenes_Odoo'!G2849="","",'Ordenes_Odoo'!G2849)</f>
        <v/>
      </c>
      <c r="H2849" s="79">
        <f>IF('Ordenes_Odoo'!H2849="","",'Ordenes_Odoo'!H2849)</f>
        <v/>
      </c>
      <c r="I2849" s="79">
        <f>IF('Ordenes_Odoo'!I2849="","",'Ordenes_Odoo'!I2849)</f>
        <v/>
      </c>
      <c r="J2849" s="79">
        <f>IF('Ordenes_Odoo'!J2849="","",'Ordenes_Odoo'!J2849)</f>
        <v/>
      </c>
      <c r="K2849" s="81">
        <f>IF('Ordenes_Odoo'!K2849="","",'Ordenes_Odoo'!K2849)</f>
        <v/>
      </c>
      <c r="L2849" s="81">
        <f>IF('Ordenes_Odoo'!L2849="","",'Ordenes_Odoo'!L2849)</f>
        <v/>
      </c>
      <c r="M2849" s="79">
        <f>IF('Ordenes_Odoo'!M2849="","",'Ordenes_Odoo'!M2849)</f>
        <v/>
      </c>
      <c r="N2849" s="79">
        <f>IF('Ordenes_Odoo'!N2849="","",'Ordenes_Odoo'!N2849)</f>
        <v/>
      </c>
      <c r="O2849" s="81">
        <f>IF('Ordenes_Odoo'!O2849="","",'Ordenes_Odoo'!O2849)</f>
        <v/>
      </c>
      <c r="P2849" s="81">
        <f>IF('Ordenes_Odoo'!P2849="","",'Ordenes_Odoo'!P2849)</f>
        <v/>
      </c>
      <c r="Q2849" s="79">
        <f>IF(A2849="","",IFERROR(INDEX(Facturas_Odoo!$B:$B, MATCH(A2849, Facturas_Odoo!$D:$D, 0)), "Sin Factura"))</f>
        <v/>
      </c>
      <c r="R2849" s="80">
        <f>IF(Q2849="Sin Factura","",IFERROR(INDEX(Facturas_Odoo!$A:$A, MATCH(Q2849, Facturas_Odoo!$B:$B, 0)), ""))</f>
        <v/>
      </c>
      <c r="S2849" s="79">
        <f>IF(Q2849="Sin Factura","",IFERROR(_xlfn.XLOOKUP(1, (Facturas_Odoo!$D:$D=A2849) * (Facturas_Odoo!$K:$K=I2849), Facturas_Odoo!$L:$L, ""), ""))</f>
        <v/>
      </c>
      <c r="T2849" s="81">
        <f>IF(Q2849="Sin Factura",0,IFERROR(_xlfn.XLOOKUP(1, (Facturas_Odoo!$D:$D=A2849) * (Facturas_Odoo!$K:$K=I2849), Facturas_Odoo!$M:$M, 0), 0))</f>
        <v/>
      </c>
      <c r="U2849" s="79">
        <f>IF(Q2849="Sin Factura",0,IFERROR(_xlfn.XLOOKUP(1, (Facturas_Odoo!$D:$D=A2849) * (Facturas_Odoo!$K:$K=I2849), Facturas_Odoo!$N:$N, 0), 0))</f>
        <v/>
      </c>
      <c r="V2849" s="79">
        <f>IF(Q2849="Sin Factura",0,IFERROR(_xlfn.XLOOKUP(1, (Facturas_Odoo!$D:$D=A2849) * (Facturas_Odoo!$K:$K=I2849), Facturas_Odoo!$O:$O, 0), 0))</f>
        <v/>
      </c>
      <c r="W2849" s="81">
        <f>IF(Q2849="Sin Factura",0,IFERROR(_xlfn.XLOOKUP(1, (Facturas_Odoo!$D:$D=A2849) * (Facturas_Odoo!$K:$K=I2849), Facturas_Odoo!$Q:$Q, 0), 0))</f>
        <v/>
      </c>
      <c r="X2849" s="79">
        <f>IF(OR(Q2849="Sin Factura",Q2849=""),"",IFERROR(INDEX(Pagos_Odoo!$B:$B, MATCH(Q2849, Pagos_Odoo!$I:$I, 0)), "Sin Pago"))</f>
        <v/>
      </c>
      <c r="Y2849" s="79">
        <f>IF(X2849="Sin Pago","",IFERROR(INDEX(Pagos_Odoo!$C:$C, MATCH(X2849, Pagos_Odoo!$B:$B, 0)), ""))</f>
        <v/>
      </c>
      <c r="Z2849" s="80">
        <f>IF(X2849="Sin Pago","",IFERROR(INDEX(Pagos_Odoo!$A:$A, MATCH(X2849, Pagos_Odoo!$B:$B, 0)), ""))</f>
        <v/>
      </c>
      <c r="AA2849" s="79">
        <f>IF(X2849="Sin Pago","",IFERROR(INDEX(Pagos_Odoo!$F:$F, MATCH(X2849, Pagos_Odoo!$B:$B, 0)), ""))</f>
        <v/>
      </c>
      <c r="AB2849" s="81">
        <f>IF(X2849="Sin Pago",0,IFERROR(INDEX(Pagos_Odoo!$E:$E, MATCH(X2849, Pagos_Odoo!$B:$B, 0)), 0))</f>
        <v/>
      </c>
      <c r="AC2849" s="79">
        <f>IF(X2849="Sin Pago","",IFERROR(INDEX(Pagos_Odoo!$G:$G, MATCH(X2849, Pagos_Odoo!$B:$B, 0)), ""))</f>
        <v/>
      </c>
      <c r="AD2849" s="82" t="n">
        <v>0</v>
      </c>
      <c r="AE2849" s="82" t="n"/>
      <c r="AF2849" s="82" t="n"/>
      <c r="AG2849" s="82">
        <f>IF(AN2849="","",AD2849+AE2849+AF2849)</f>
        <v/>
      </c>
      <c r="AH2849" s="81">
        <f>IF(AN2849="","",P2849*(1-AG2849))</f>
        <v/>
      </c>
      <c r="AI2849" s="81">
        <f>IF(AN2849="","",IF(Q2849="Sin Factura",0,IFERROR(INDEX(Facturas_Odoo!$H:$H, MATCH(Q2849, Facturas_Odoo!$B:$B, 0)), 0)*(1-AG2849)))</f>
        <v/>
      </c>
      <c r="AJ2849" s="81">
        <f>IF(AN2849="","",_xlfn.LET(idVenta, AN2849&amp;"",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49" s="81">
        <f>IF(AN2849="","",AH2849-AJ2849)</f>
        <v/>
      </c>
      <c r="AL2849" s="81">
        <f>IF(AN2849="","",IF(Q2849="Sin Factura","",AI2849-AJ2849))</f>
        <v/>
      </c>
      <c r="AM2849" s="81">
        <f>IF(AN2849="","",IF(Q2849="Sin Factura",0,P2849-IFERROR(INDEX(Facturas_Odoo!$H:$H, MATCH(Q2849, Facturas_Odoo!$B:$B, 0)), 0)))</f>
        <v/>
      </c>
      <c r="AN2849" s="79">
        <f>IF(AND(A2849="", J2849=""), "", IF(A2849&lt;&gt;"", VALUE(MID(A2849,2,LEN(A2849))), AN2848))</f>
        <v/>
      </c>
      <c r="AO2849" s="79">
        <f>IF(AN2849="","",IF(AD2849=0,"OK",_xlfn.LET(monedaPago, IF(AA2849="","USD",AA2849), limitePermitido, IFERROR(VLOOKUP(monedaPago, Configuración!$A$2:$B$3, 2, FALSE), 0.15), IF(AD2849&gt;limitePermitido, "ALERTA: EXCESO (" &amp; TEXT(limitePermitido, "0%") &amp; " máx)", "OK"))))</f>
        <v/>
      </c>
      <c r="AP2849" s="79">
        <f>IF(AN2849="","",IF(AE2849=0,"OK",_xlfn.LET(fechaPago, Z2849, fechaFactura, R2849, diasCredito, IF(E2849="Pago inmediato", 0, IFERROR(VALUE(MID(E2849, 1, SEARCH(" ", E2849)-1)),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49" s="79">
        <f>IF(AN2849="","",IF(AND(N2849&gt;0, AG2849&gt;0), IF(Configuración!$K$2="NO", "ALERTA: DESCUENTO DOBLE NO PERMITIDO", "OK"), "OK"))</f>
        <v/>
      </c>
      <c r="AR2849" s="79">
        <f>IF(AN2849="","",IF(OR(AO2849&lt;&gt;"OK", AP2849&lt;&gt;"OK", AQ2849&lt;&gt;"OK"), "⚠️ REVISAR", "OK"))</f>
        <v/>
      </c>
    </row>
    <row r="2850">
      <c r="A2850" s="79">
        <f>IF('Ordenes_Odoo'!A2850="","",'Ordenes_Odoo'!A2850)</f>
        <v/>
      </c>
      <c r="B2850" s="80">
        <f>IF('Ordenes_Odoo'!B2850="","",'Ordenes_Odoo'!B2850)</f>
        <v/>
      </c>
      <c r="C2850" s="79">
        <f>IF('Ordenes_Odoo'!C2850="","",'Ordenes_Odoo'!C2850)</f>
        <v/>
      </c>
      <c r="D2850" s="79">
        <f>IF('Ordenes_Odoo'!D2850="","",'Ordenes_Odoo'!D2850)</f>
        <v/>
      </c>
      <c r="E2850" s="79">
        <f>IF('Ordenes_Odoo'!E2850="","",'Ordenes_Odoo'!E2850)</f>
        <v/>
      </c>
      <c r="F2850" s="79">
        <f>IF('Ordenes_Odoo'!F2850="","",'Ordenes_Odoo'!F2850)</f>
        <v/>
      </c>
      <c r="G2850" s="79">
        <f>IF('Ordenes_Odoo'!G2850="","",'Ordenes_Odoo'!G2850)</f>
        <v/>
      </c>
      <c r="H2850" s="79">
        <f>IF('Ordenes_Odoo'!H2850="","",'Ordenes_Odoo'!H2850)</f>
        <v/>
      </c>
      <c r="I2850" s="79">
        <f>IF('Ordenes_Odoo'!I2850="","",'Ordenes_Odoo'!I2850)</f>
        <v/>
      </c>
      <c r="J2850" s="79">
        <f>IF('Ordenes_Odoo'!J2850="","",'Ordenes_Odoo'!J2850)</f>
        <v/>
      </c>
      <c r="K2850" s="81">
        <f>IF('Ordenes_Odoo'!K2850="","",'Ordenes_Odoo'!K2850)</f>
        <v/>
      </c>
      <c r="L2850" s="81">
        <f>IF('Ordenes_Odoo'!L2850="","",'Ordenes_Odoo'!L2850)</f>
        <v/>
      </c>
      <c r="M2850" s="79">
        <f>IF('Ordenes_Odoo'!M2850="","",'Ordenes_Odoo'!M2850)</f>
        <v/>
      </c>
      <c r="N2850" s="79">
        <f>IF('Ordenes_Odoo'!N2850="","",'Ordenes_Odoo'!N2850)</f>
        <v/>
      </c>
      <c r="O2850" s="81">
        <f>IF('Ordenes_Odoo'!O2850="","",'Ordenes_Odoo'!O2850)</f>
        <v/>
      </c>
      <c r="P2850" s="81">
        <f>IF('Ordenes_Odoo'!P2850="","",'Ordenes_Odoo'!P2850)</f>
        <v/>
      </c>
      <c r="Q2850" s="79">
        <f>IF(A2850="","",IFERROR(INDEX(Facturas_Odoo!$B:$B, MATCH(A2850, Facturas_Odoo!$D:$D, 0)), "Sin Factura"))</f>
        <v/>
      </c>
      <c r="R2850" s="80">
        <f>IF(Q2850="Sin Factura","",IFERROR(INDEX(Facturas_Odoo!$A:$A, MATCH(Q2850, Facturas_Odoo!$B:$B, 0)), ""))</f>
        <v/>
      </c>
      <c r="S2850" s="79">
        <f>IF(Q2850="Sin Factura","",IFERROR(_xlfn.XLOOKUP(1, (Facturas_Odoo!$D:$D=A2850) * (Facturas_Odoo!$K:$K=I2850), Facturas_Odoo!$L:$L, ""), ""))</f>
        <v/>
      </c>
      <c r="T2850" s="81">
        <f>IF(Q2850="Sin Factura",0,IFERROR(_xlfn.XLOOKUP(1, (Facturas_Odoo!$D:$D=A2850) * (Facturas_Odoo!$K:$K=I2850), Facturas_Odoo!$M:$M, 0), 0))</f>
        <v/>
      </c>
      <c r="U2850" s="79">
        <f>IF(Q2850="Sin Factura",0,IFERROR(_xlfn.XLOOKUP(1, (Facturas_Odoo!$D:$D=A2850) * (Facturas_Odoo!$K:$K=I2850), Facturas_Odoo!$N:$N, 0), 0))</f>
        <v/>
      </c>
      <c r="V2850" s="79">
        <f>IF(Q2850="Sin Factura",0,IFERROR(_xlfn.XLOOKUP(1, (Facturas_Odoo!$D:$D=A2850) * (Facturas_Odoo!$K:$K=I2850), Facturas_Odoo!$O:$O, 0), 0))</f>
        <v/>
      </c>
      <c r="W2850" s="81">
        <f>IF(Q2850="Sin Factura",0,IFERROR(_xlfn.XLOOKUP(1, (Facturas_Odoo!$D:$D=A2850) * (Facturas_Odoo!$K:$K=I2850), Facturas_Odoo!$Q:$Q, 0), 0))</f>
        <v/>
      </c>
      <c r="X2850" s="79">
        <f>IF(OR(Q2850="Sin Factura",Q2850=""),"",IFERROR(INDEX(Pagos_Odoo!$B:$B, MATCH(Q2850, Pagos_Odoo!$I:$I, 0)), "Sin Pago"))</f>
        <v/>
      </c>
      <c r="Y2850" s="79">
        <f>IF(X2850="Sin Pago","",IFERROR(INDEX(Pagos_Odoo!$C:$C, MATCH(X2850, Pagos_Odoo!$B:$B, 0)), ""))</f>
        <v/>
      </c>
      <c r="Z2850" s="80">
        <f>IF(X2850="Sin Pago","",IFERROR(INDEX(Pagos_Odoo!$A:$A, MATCH(X2850, Pagos_Odoo!$B:$B, 0)), ""))</f>
        <v/>
      </c>
      <c r="AA2850" s="79">
        <f>IF(X2850="Sin Pago","",IFERROR(INDEX(Pagos_Odoo!$F:$F, MATCH(X2850, Pagos_Odoo!$B:$B, 0)), ""))</f>
        <v/>
      </c>
      <c r="AB2850" s="81">
        <f>IF(X2850="Sin Pago",0,IFERROR(INDEX(Pagos_Odoo!$E:$E, MATCH(X2850, Pagos_Odoo!$B:$B, 0)), 0))</f>
        <v/>
      </c>
      <c r="AC2850" s="79">
        <f>IF(X2850="Sin Pago","",IFERROR(INDEX(Pagos_Odoo!$G:$G, MATCH(X2850, Pagos_Odoo!$B:$B, 0)), ""))</f>
        <v/>
      </c>
      <c r="AD2850" s="82" t="n">
        <v>0</v>
      </c>
      <c r="AE2850" s="82" t="n"/>
      <c r="AF2850" s="82" t="n"/>
      <c r="AG2850" s="82">
        <f>IF(AN2850="","",AD2850+AE2850+AF2850)</f>
        <v/>
      </c>
      <c r="AH2850" s="81">
        <f>IF(AN2850="","",P2850*(1-AG2850))</f>
        <v/>
      </c>
      <c r="AI2850" s="81">
        <f>IF(AN2850="","",IF(Q2850="Sin Factura",0,IFERROR(INDEX(Facturas_Odoo!$H:$H, MATCH(Q2850, Facturas_Odoo!$B:$B, 0)), 0)*(1-AG2850)))</f>
        <v/>
      </c>
      <c r="AJ2850" s="81">
        <f>IF(AN2850="","",_xlfn.LET(idVenta, AN2850&amp;"",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50" s="81">
        <f>IF(AN2850="","",AH2850-AJ2850)</f>
        <v/>
      </c>
      <c r="AL2850" s="81">
        <f>IF(AN2850="","",IF(Q2850="Sin Factura","",AI2850-AJ2850))</f>
        <v/>
      </c>
      <c r="AM2850" s="81">
        <f>IF(AN2850="","",IF(Q2850="Sin Factura",0,P2850-IFERROR(INDEX(Facturas_Odoo!$H:$H, MATCH(Q2850, Facturas_Odoo!$B:$B, 0)), 0)))</f>
        <v/>
      </c>
      <c r="AN2850" s="79">
        <f>IF(AND(A2850="", J2850=""), "", IF(A2850&lt;&gt;"", VALUE(MID(A2850,2,LEN(A2850))), AN2849))</f>
        <v/>
      </c>
      <c r="AO2850" s="79">
        <f>IF(AN2850="","",IF(AD2850=0,"OK",_xlfn.LET(monedaPago, IF(AA2850="","USD",AA2850), limitePermitido, IFERROR(VLOOKUP(monedaPago, Configuración!$A$2:$B$3, 2, FALSE), 0.15), IF(AD2850&gt;limitePermitido, "ALERTA: EXCESO (" &amp; TEXT(limitePermitido, "0%") &amp; " máx)", "OK"))))</f>
        <v/>
      </c>
      <c r="AP2850" s="79">
        <f>IF(AN2850="","",IF(AE2850=0,"OK",_xlfn.LET(fechaPago, Z2850, fechaFactura, R2850, diasCredito, IF(E2850="Pago inmediato", 0, IFERROR(VALUE(MID(E2850, 1, SEARCH(" ", E2850)-1)),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50" s="79">
        <f>IF(AN2850="","",IF(AND(N2850&gt;0, AG2850&gt;0), IF(Configuración!$K$2="NO", "ALERTA: DESCUENTO DOBLE NO PERMITIDO", "OK"), "OK"))</f>
        <v/>
      </c>
      <c r="AR2850" s="79">
        <f>IF(AN2850="","",IF(OR(AO2850&lt;&gt;"OK", AP2850&lt;&gt;"OK", AQ2850&lt;&gt;"OK"), "⚠️ REVISAR", "OK"))</f>
        <v/>
      </c>
    </row>
    <row r="2851">
      <c r="A2851" s="79">
        <f>IF('Ordenes_Odoo'!A2851="","",'Ordenes_Odoo'!A2851)</f>
        <v/>
      </c>
      <c r="B2851" s="80">
        <f>IF('Ordenes_Odoo'!B2851="","",'Ordenes_Odoo'!B2851)</f>
        <v/>
      </c>
      <c r="C2851" s="79">
        <f>IF('Ordenes_Odoo'!C2851="","",'Ordenes_Odoo'!C2851)</f>
        <v/>
      </c>
      <c r="D2851" s="79">
        <f>IF('Ordenes_Odoo'!D2851="","",'Ordenes_Odoo'!D2851)</f>
        <v/>
      </c>
      <c r="E2851" s="79">
        <f>IF('Ordenes_Odoo'!E2851="","",'Ordenes_Odoo'!E2851)</f>
        <v/>
      </c>
      <c r="F2851" s="79">
        <f>IF('Ordenes_Odoo'!F2851="","",'Ordenes_Odoo'!F2851)</f>
        <v/>
      </c>
      <c r="G2851" s="79">
        <f>IF('Ordenes_Odoo'!G2851="","",'Ordenes_Odoo'!G2851)</f>
        <v/>
      </c>
      <c r="H2851" s="79">
        <f>IF('Ordenes_Odoo'!H2851="","",'Ordenes_Odoo'!H2851)</f>
        <v/>
      </c>
      <c r="I2851" s="79">
        <f>IF('Ordenes_Odoo'!I2851="","",'Ordenes_Odoo'!I2851)</f>
        <v/>
      </c>
      <c r="J2851" s="79">
        <f>IF('Ordenes_Odoo'!J2851="","",'Ordenes_Odoo'!J2851)</f>
        <v/>
      </c>
      <c r="K2851" s="81">
        <f>IF('Ordenes_Odoo'!K2851="","",'Ordenes_Odoo'!K2851)</f>
        <v/>
      </c>
      <c r="L2851" s="81">
        <f>IF('Ordenes_Odoo'!L2851="","",'Ordenes_Odoo'!L2851)</f>
        <v/>
      </c>
      <c r="M2851" s="79">
        <f>IF('Ordenes_Odoo'!M2851="","",'Ordenes_Odoo'!M2851)</f>
        <v/>
      </c>
      <c r="N2851" s="79">
        <f>IF('Ordenes_Odoo'!N2851="","",'Ordenes_Odoo'!N2851)</f>
        <v/>
      </c>
      <c r="O2851" s="81">
        <f>IF('Ordenes_Odoo'!O2851="","",'Ordenes_Odoo'!O2851)</f>
        <v/>
      </c>
      <c r="P2851" s="81">
        <f>IF('Ordenes_Odoo'!P2851="","",'Ordenes_Odoo'!P2851)</f>
        <v/>
      </c>
      <c r="Q2851" s="79">
        <f>IF(A2851="","",IFERROR(INDEX(Facturas_Odoo!$B:$B, MATCH(A2851, Facturas_Odoo!$D:$D, 0)), "Sin Factura"))</f>
        <v/>
      </c>
      <c r="R2851" s="80">
        <f>IF(Q2851="Sin Factura","",IFERROR(INDEX(Facturas_Odoo!$A:$A, MATCH(Q2851, Facturas_Odoo!$B:$B, 0)), ""))</f>
        <v/>
      </c>
      <c r="S2851" s="79">
        <f>IF(Q2851="Sin Factura","",IFERROR(_xlfn.XLOOKUP(1, (Facturas_Odoo!$D:$D=A2851) * (Facturas_Odoo!$K:$K=I2851), Facturas_Odoo!$L:$L, ""), ""))</f>
        <v/>
      </c>
      <c r="T2851" s="81">
        <f>IF(Q2851="Sin Factura",0,IFERROR(_xlfn.XLOOKUP(1, (Facturas_Odoo!$D:$D=A2851) * (Facturas_Odoo!$K:$K=I2851), Facturas_Odoo!$M:$M, 0), 0))</f>
        <v/>
      </c>
      <c r="U2851" s="79">
        <f>IF(Q2851="Sin Factura",0,IFERROR(_xlfn.XLOOKUP(1, (Facturas_Odoo!$D:$D=A2851) * (Facturas_Odoo!$K:$K=I2851), Facturas_Odoo!$N:$N, 0), 0))</f>
        <v/>
      </c>
      <c r="V2851" s="79">
        <f>IF(Q2851="Sin Factura",0,IFERROR(_xlfn.XLOOKUP(1, (Facturas_Odoo!$D:$D=A2851) * (Facturas_Odoo!$K:$K=I2851), Facturas_Odoo!$O:$O, 0), 0))</f>
        <v/>
      </c>
      <c r="W2851" s="81">
        <f>IF(Q2851="Sin Factura",0,IFERROR(_xlfn.XLOOKUP(1, (Facturas_Odoo!$D:$D=A2851) * (Facturas_Odoo!$K:$K=I2851), Facturas_Odoo!$Q:$Q, 0), 0))</f>
        <v/>
      </c>
      <c r="X2851" s="79">
        <f>IF(OR(Q2851="Sin Factura",Q2851=""),"",IFERROR(INDEX(Pagos_Odoo!$B:$B, MATCH(Q2851, Pagos_Odoo!$I:$I, 0)), "Sin Pago"))</f>
        <v/>
      </c>
      <c r="Y2851" s="79">
        <f>IF(X2851="Sin Pago","",IFERROR(INDEX(Pagos_Odoo!$C:$C, MATCH(X2851, Pagos_Odoo!$B:$B, 0)), ""))</f>
        <v/>
      </c>
      <c r="Z2851" s="80">
        <f>IF(X2851="Sin Pago","",IFERROR(INDEX(Pagos_Odoo!$A:$A, MATCH(X2851, Pagos_Odoo!$B:$B, 0)), ""))</f>
        <v/>
      </c>
      <c r="AA2851" s="79">
        <f>IF(X2851="Sin Pago","",IFERROR(INDEX(Pagos_Odoo!$F:$F, MATCH(X2851, Pagos_Odoo!$B:$B, 0)), ""))</f>
        <v/>
      </c>
      <c r="AB2851" s="81">
        <f>IF(X2851="Sin Pago",0,IFERROR(INDEX(Pagos_Odoo!$E:$E, MATCH(X2851, Pagos_Odoo!$B:$B, 0)), 0))</f>
        <v/>
      </c>
      <c r="AC2851" s="79">
        <f>IF(X2851="Sin Pago","",IFERROR(INDEX(Pagos_Odoo!$G:$G, MATCH(X2851, Pagos_Odoo!$B:$B, 0)), ""))</f>
        <v/>
      </c>
      <c r="AD2851" s="82" t="n">
        <v>0</v>
      </c>
      <c r="AE2851" s="82" t="n"/>
      <c r="AF2851" s="82" t="n"/>
      <c r="AG2851" s="82">
        <f>IF(AN2851="","",AD2851+AE2851+AF2851)</f>
        <v/>
      </c>
      <c r="AH2851" s="81">
        <f>IF(AN2851="","",P2851*(1-AG2851))</f>
        <v/>
      </c>
      <c r="AI2851" s="81">
        <f>IF(AN2851="","",IF(Q2851="Sin Factura",0,IFERROR(INDEX(Facturas_Odoo!$H:$H, MATCH(Q2851, Facturas_Odoo!$B:$B, 0)), 0)*(1-AG2851)))</f>
        <v/>
      </c>
      <c r="AJ2851" s="81">
        <f>IF(AN2851="","",_xlfn.LET(idVenta, AN2851&amp;"",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51" s="81">
        <f>IF(AN2851="","",AH2851-AJ2851)</f>
        <v/>
      </c>
      <c r="AL2851" s="81">
        <f>IF(AN2851="","",IF(Q2851="Sin Factura","",AI2851-AJ2851))</f>
        <v/>
      </c>
      <c r="AM2851" s="81">
        <f>IF(AN2851="","",IF(Q2851="Sin Factura",0,P2851-IFERROR(INDEX(Facturas_Odoo!$H:$H, MATCH(Q2851, Facturas_Odoo!$B:$B, 0)), 0)))</f>
        <v/>
      </c>
      <c r="AN2851" s="79">
        <f>IF(AND(A2851="", J2851=""), "", IF(A2851&lt;&gt;"", VALUE(MID(A2851,2,LEN(A2851))), AN2850))</f>
        <v/>
      </c>
      <c r="AO2851" s="79">
        <f>IF(AN2851="","",IF(AD2851=0,"OK",_xlfn.LET(monedaPago, IF(AA2851="","USD",AA2851), limitePermitido, IFERROR(VLOOKUP(monedaPago, Configuración!$A$2:$B$3, 2, FALSE), 0.15), IF(AD2851&gt;limitePermitido, "ALERTA: EXCESO (" &amp; TEXT(limitePermitido, "0%") &amp; " máx)", "OK"))))</f>
        <v/>
      </c>
      <c r="AP2851" s="79">
        <f>IF(AN2851="","",IF(AE2851=0,"OK",_xlfn.LET(fechaPago, Z2851, fechaFactura, R2851, diasCredito, IF(E2851="Pago inmediato", 0, IFERROR(VALUE(MID(E2851, 1, SEARCH(" ", E2851)-1)),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51" s="79">
        <f>IF(AN2851="","",IF(AND(N2851&gt;0, AG2851&gt;0), IF(Configuración!$K$2="NO", "ALERTA: DESCUENTO DOBLE NO PERMITIDO", "OK"), "OK"))</f>
        <v/>
      </c>
      <c r="AR2851" s="79">
        <f>IF(AN2851="","",IF(OR(AO2851&lt;&gt;"OK", AP2851&lt;&gt;"OK", AQ2851&lt;&gt;"OK"), "⚠️ REVISAR", "OK"))</f>
        <v/>
      </c>
    </row>
    <row r="2852">
      <c r="A2852" s="79">
        <f>IF('Ordenes_Odoo'!A2852="","",'Ordenes_Odoo'!A2852)</f>
        <v/>
      </c>
      <c r="B2852" s="80">
        <f>IF('Ordenes_Odoo'!B2852="","",'Ordenes_Odoo'!B2852)</f>
        <v/>
      </c>
      <c r="C2852" s="79">
        <f>IF('Ordenes_Odoo'!C2852="","",'Ordenes_Odoo'!C2852)</f>
        <v/>
      </c>
      <c r="D2852" s="79">
        <f>IF('Ordenes_Odoo'!D2852="","",'Ordenes_Odoo'!D2852)</f>
        <v/>
      </c>
      <c r="E2852" s="79">
        <f>IF('Ordenes_Odoo'!E2852="","",'Ordenes_Odoo'!E2852)</f>
        <v/>
      </c>
      <c r="F2852" s="79">
        <f>IF('Ordenes_Odoo'!F2852="","",'Ordenes_Odoo'!F2852)</f>
        <v/>
      </c>
      <c r="G2852" s="79">
        <f>IF('Ordenes_Odoo'!G2852="","",'Ordenes_Odoo'!G2852)</f>
        <v/>
      </c>
      <c r="H2852" s="79">
        <f>IF('Ordenes_Odoo'!H2852="","",'Ordenes_Odoo'!H2852)</f>
        <v/>
      </c>
      <c r="I2852" s="79">
        <f>IF('Ordenes_Odoo'!I2852="","",'Ordenes_Odoo'!I2852)</f>
        <v/>
      </c>
      <c r="J2852" s="79">
        <f>IF('Ordenes_Odoo'!J2852="","",'Ordenes_Odoo'!J2852)</f>
        <v/>
      </c>
      <c r="K2852" s="81">
        <f>IF('Ordenes_Odoo'!K2852="","",'Ordenes_Odoo'!K2852)</f>
        <v/>
      </c>
      <c r="L2852" s="81">
        <f>IF('Ordenes_Odoo'!L2852="","",'Ordenes_Odoo'!L2852)</f>
        <v/>
      </c>
      <c r="M2852" s="79">
        <f>IF('Ordenes_Odoo'!M2852="","",'Ordenes_Odoo'!M2852)</f>
        <v/>
      </c>
      <c r="N2852" s="79">
        <f>IF('Ordenes_Odoo'!N2852="","",'Ordenes_Odoo'!N2852)</f>
        <v/>
      </c>
      <c r="O2852" s="81">
        <f>IF('Ordenes_Odoo'!O2852="","",'Ordenes_Odoo'!O2852)</f>
        <v/>
      </c>
      <c r="P2852" s="81">
        <f>IF('Ordenes_Odoo'!P2852="","",'Ordenes_Odoo'!P2852)</f>
        <v/>
      </c>
      <c r="Q2852" s="79">
        <f>IF(A2852="","",IFERROR(INDEX(Facturas_Odoo!$B:$B, MATCH(A2852, Facturas_Odoo!$D:$D, 0)), "Sin Factura"))</f>
        <v/>
      </c>
      <c r="R2852" s="80">
        <f>IF(Q2852="Sin Factura","",IFERROR(INDEX(Facturas_Odoo!$A:$A, MATCH(Q2852, Facturas_Odoo!$B:$B, 0)), ""))</f>
        <v/>
      </c>
      <c r="S2852" s="79">
        <f>IF(Q2852="Sin Factura","",IFERROR(_xlfn.XLOOKUP(1, (Facturas_Odoo!$D:$D=A2852) * (Facturas_Odoo!$K:$K=I2852), Facturas_Odoo!$L:$L, ""), ""))</f>
        <v/>
      </c>
      <c r="T2852" s="81">
        <f>IF(Q2852="Sin Factura",0,IFERROR(_xlfn.XLOOKUP(1, (Facturas_Odoo!$D:$D=A2852) * (Facturas_Odoo!$K:$K=I2852), Facturas_Odoo!$M:$M, 0), 0))</f>
        <v/>
      </c>
      <c r="U2852" s="79">
        <f>IF(Q2852="Sin Factura",0,IFERROR(_xlfn.XLOOKUP(1, (Facturas_Odoo!$D:$D=A2852) * (Facturas_Odoo!$K:$K=I2852), Facturas_Odoo!$N:$N, 0), 0))</f>
        <v/>
      </c>
      <c r="V2852" s="79">
        <f>IF(Q2852="Sin Factura",0,IFERROR(_xlfn.XLOOKUP(1, (Facturas_Odoo!$D:$D=A2852) * (Facturas_Odoo!$K:$K=I2852), Facturas_Odoo!$O:$O, 0), 0))</f>
        <v/>
      </c>
      <c r="W2852" s="81">
        <f>IF(Q2852="Sin Factura",0,IFERROR(_xlfn.XLOOKUP(1, (Facturas_Odoo!$D:$D=A2852) * (Facturas_Odoo!$K:$K=I2852), Facturas_Odoo!$Q:$Q, 0), 0))</f>
        <v/>
      </c>
      <c r="X2852" s="79">
        <f>IF(OR(Q2852="Sin Factura",Q2852=""),"",IFERROR(INDEX(Pagos_Odoo!$B:$B, MATCH(Q2852, Pagos_Odoo!$I:$I, 0)), "Sin Pago"))</f>
        <v/>
      </c>
      <c r="Y2852" s="79">
        <f>IF(X2852="Sin Pago","",IFERROR(INDEX(Pagos_Odoo!$C:$C, MATCH(X2852, Pagos_Odoo!$B:$B, 0)), ""))</f>
        <v/>
      </c>
      <c r="Z2852" s="80">
        <f>IF(X2852="Sin Pago","",IFERROR(INDEX(Pagos_Odoo!$A:$A, MATCH(X2852, Pagos_Odoo!$B:$B, 0)), ""))</f>
        <v/>
      </c>
      <c r="AA2852" s="79">
        <f>IF(X2852="Sin Pago","",IFERROR(INDEX(Pagos_Odoo!$F:$F, MATCH(X2852, Pagos_Odoo!$B:$B, 0)), ""))</f>
        <v/>
      </c>
      <c r="AB2852" s="81">
        <f>IF(X2852="Sin Pago",0,IFERROR(INDEX(Pagos_Odoo!$E:$E, MATCH(X2852, Pagos_Odoo!$B:$B, 0)), 0))</f>
        <v/>
      </c>
      <c r="AC2852" s="79">
        <f>IF(X2852="Sin Pago","",IFERROR(INDEX(Pagos_Odoo!$G:$G, MATCH(X2852, Pagos_Odoo!$B:$B, 0)), ""))</f>
        <v/>
      </c>
      <c r="AD2852" s="82" t="n">
        <v>0</v>
      </c>
      <c r="AE2852" s="82" t="n"/>
      <c r="AF2852" s="82" t="n"/>
      <c r="AG2852" s="82">
        <f>IF(AN2852="","",AD2852+AE2852+AF2852)</f>
        <v/>
      </c>
      <c r="AH2852" s="81">
        <f>IF(AN2852="","",P2852*(1-AG2852))</f>
        <v/>
      </c>
      <c r="AI2852" s="81">
        <f>IF(AN2852="","",IF(Q2852="Sin Factura",0,IFERROR(INDEX(Facturas_Odoo!$H:$H, MATCH(Q2852, Facturas_Odoo!$B:$B, 0)), 0)*(1-AG2852)))</f>
        <v/>
      </c>
      <c r="AJ2852" s="81">
        <f>IF(AN2852="","",_xlfn.LET(idVenta, AN2852&amp;"",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52" s="81">
        <f>IF(AN2852="","",AH2852-AJ2852)</f>
        <v/>
      </c>
      <c r="AL2852" s="81">
        <f>IF(AN2852="","",IF(Q2852="Sin Factura","",AI2852-AJ2852))</f>
        <v/>
      </c>
      <c r="AM2852" s="81">
        <f>IF(AN2852="","",IF(Q2852="Sin Factura",0,P2852-IFERROR(INDEX(Facturas_Odoo!$H:$H, MATCH(Q2852, Facturas_Odoo!$B:$B, 0)), 0)))</f>
        <v/>
      </c>
      <c r="AN2852" s="79">
        <f>IF(AND(A2852="", J2852=""), "", IF(A2852&lt;&gt;"", VALUE(MID(A2852,2,LEN(A2852))), AN2851))</f>
        <v/>
      </c>
      <c r="AO2852" s="79">
        <f>IF(AN2852="","",IF(AD2852=0,"OK",_xlfn.LET(monedaPago, IF(AA2852="","USD",AA2852), limitePermitido, IFERROR(VLOOKUP(monedaPago, Configuración!$A$2:$B$3, 2, FALSE), 0.15), IF(AD2852&gt;limitePermitido, "ALERTA: EXCESO (" &amp; TEXT(limitePermitido, "0%") &amp; " máx)", "OK"))))</f>
        <v/>
      </c>
      <c r="AP2852" s="79">
        <f>IF(AN2852="","",IF(AE2852=0,"OK",_xlfn.LET(fechaPago, Z2852, fechaFactura, R2852, diasCredito, IF(E2852="Pago inmediato", 0, IFERROR(VALUE(MID(E2852, 1, SEARCH(" ", E2852)-1)),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52" s="79">
        <f>IF(AN2852="","",IF(AND(N2852&gt;0, AG2852&gt;0), IF(Configuración!$K$2="NO", "ALERTA: DESCUENTO DOBLE NO PERMITIDO", "OK"), "OK"))</f>
        <v/>
      </c>
      <c r="AR2852" s="79">
        <f>IF(AN2852="","",IF(OR(AO2852&lt;&gt;"OK", AP2852&lt;&gt;"OK", AQ2852&lt;&gt;"OK"), "⚠️ REVISAR", "OK"))</f>
        <v/>
      </c>
    </row>
    <row r="2853">
      <c r="A2853" s="79">
        <f>IF('Ordenes_Odoo'!A2853="","",'Ordenes_Odoo'!A2853)</f>
        <v/>
      </c>
      <c r="B2853" s="80">
        <f>IF('Ordenes_Odoo'!B2853="","",'Ordenes_Odoo'!B2853)</f>
        <v/>
      </c>
      <c r="C2853" s="79">
        <f>IF('Ordenes_Odoo'!C2853="","",'Ordenes_Odoo'!C2853)</f>
        <v/>
      </c>
      <c r="D2853" s="79">
        <f>IF('Ordenes_Odoo'!D2853="","",'Ordenes_Odoo'!D2853)</f>
        <v/>
      </c>
      <c r="E2853" s="79">
        <f>IF('Ordenes_Odoo'!E2853="","",'Ordenes_Odoo'!E2853)</f>
        <v/>
      </c>
      <c r="F2853" s="79">
        <f>IF('Ordenes_Odoo'!F2853="","",'Ordenes_Odoo'!F2853)</f>
        <v/>
      </c>
      <c r="G2853" s="79">
        <f>IF('Ordenes_Odoo'!G2853="","",'Ordenes_Odoo'!G2853)</f>
        <v/>
      </c>
      <c r="H2853" s="79">
        <f>IF('Ordenes_Odoo'!H2853="","",'Ordenes_Odoo'!H2853)</f>
        <v/>
      </c>
      <c r="I2853" s="79">
        <f>IF('Ordenes_Odoo'!I2853="","",'Ordenes_Odoo'!I2853)</f>
        <v/>
      </c>
      <c r="J2853" s="79">
        <f>IF('Ordenes_Odoo'!J2853="","",'Ordenes_Odoo'!J2853)</f>
        <v/>
      </c>
      <c r="K2853" s="81">
        <f>IF('Ordenes_Odoo'!K2853="","",'Ordenes_Odoo'!K2853)</f>
        <v/>
      </c>
      <c r="L2853" s="81">
        <f>IF('Ordenes_Odoo'!L2853="","",'Ordenes_Odoo'!L2853)</f>
        <v/>
      </c>
      <c r="M2853" s="79">
        <f>IF('Ordenes_Odoo'!M2853="","",'Ordenes_Odoo'!M2853)</f>
        <v/>
      </c>
      <c r="N2853" s="79">
        <f>IF('Ordenes_Odoo'!N2853="","",'Ordenes_Odoo'!N2853)</f>
        <v/>
      </c>
      <c r="O2853" s="81">
        <f>IF('Ordenes_Odoo'!O2853="","",'Ordenes_Odoo'!O2853)</f>
        <v/>
      </c>
      <c r="P2853" s="81">
        <f>IF('Ordenes_Odoo'!P2853="","",'Ordenes_Odoo'!P2853)</f>
        <v/>
      </c>
      <c r="Q2853" s="79">
        <f>IF(A2853="","",IFERROR(INDEX(Facturas_Odoo!$B:$B, MATCH(A2853, Facturas_Odoo!$D:$D, 0)), "Sin Factura"))</f>
        <v/>
      </c>
      <c r="R2853" s="80">
        <f>IF(Q2853="Sin Factura","",IFERROR(INDEX(Facturas_Odoo!$A:$A, MATCH(Q2853, Facturas_Odoo!$B:$B, 0)), ""))</f>
        <v/>
      </c>
      <c r="S2853" s="79">
        <f>IF(Q2853="Sin Factura","",IFERROR(_xlfn.XLOOKUP(1, (Facturas_Odoo!$D:$D=A2853) * (Facturas_Odoo!$K:$K=I2853), Facturas_Odoo!$L:$L, ""), ""))</f>
        <v/>
      </c>
      <c r="T2853" s="81">
        <f>IF(Q2853="Sin Factura",0,IFERROR(_xlfn.XLOOKUP(1, (Facturas_Odoo!$D:$D=A2853) * (Facturas_Odoo!$K:$K=I2853), Facturas_Odoo!$M:$M, 0), 0))</f>
        <v/>
      </c>
      <c r="U2853" s="79">
        <f>IF(Q2853="Sin Factura",0,IFERROR(_xlfn.XLOOKUP(1, (Facturas_Odoo!$D:$D=A2853) * (Facturas_Odoo!$K:$K=I2853), Facturas_Odoo!$N:$N, 0), 0))</f>
        <v/>
      </c>
      <c r="V2853" s="79">
        <f>IF(Q2853="Sin Factura",0,IFERROR(_xlfn.XLOOKUP(1, (Facturas_Odoo!$D:$D=A2853) * (Facturas_Odoo!$K:$K=I2853), Facturas_Odoo!$O:$O, 0), 0))</f>
        <v/>
      </c>
      <c r="W2853" s="81">
        <f>IF(Q2853="Sin Factura",0,IFERROR(_xlfn.XLOOKUP(1, (Facturas_Odoo!$D:$D=A2853) * (Facturas_Odoo!$K:$K=I2853), Facturas_Odoo!$Q:$Q, 0), 0))</f>
        <v/>
      </c>
      <c r="X2853" s="79">
        <f>IF(OR(Q2853="Sin Factura",Q2853=""),"",IFERROR(INDEX(Pagos_Odoo!$B:$B, MATCH(Q2853, Pagos_Odoo!$I:$I, 0)), "Sin Pago"))</f>
        <v/>
      </c>
      <c r="Y2853" s="79">
        <f>IF(X2853="Sin Pago","",IFERROR(INDEX(Pagos_Odoo!$C:$C, MATCH(X2853, Pagos_Odoo!$B:$B, 0)), ""))</f>
        <v/>
      </c>
      <c r="Z2853" s="80">
        <f>IF(X2853="Sin Pago","",IFERROR(INDEX(Pagos_Odoo!$A:$A, MATCH(X2853, Pagos_Odoo!$B:$B, 0)), ""))</f>
        <v/>
      </c>
      <c r="AA2853" s="79">
        <f>IF(X2853="Sin Pago","",IFERROR(INDEX(Pagos_Odoo!$F:$F, MATCH(X2853, Pagos_Odoo!$B:$B, 0)), ""))</f>
        <v/>
      </c>
      <c r="AB2853" s="81">
        <f>IF(X2853="Sin Pago",0,IFERROR(INDEX(Pagos_Odoo!$E:$E, MATCH(X2853, Pagos_Odoo!$B:$B, 0)), 0))</f>
        <v/>
      </c>
      <c r="AC2853" s="79">
        <f>IF(X2853="Sin Pago","",IFERROR(INDEX(Pagos_Odoo!$G:$G, MATCH(X2853, Pagos_Odoo!$B:$B, 0)), ""))</f>
        <v/>
      </c>
      <c r="AD2853" s="82" t="n">
        <v>0</v>
      </c>
      <c r="AE2853" s="82" t="n"/>
      <c r="AF2853" s="82" t="n"/>
      <c r="AG2853" s="82">
        <f>IF(AN2853="","",AD2853+AE2853+AF2853)</f>
        <v/>
      </c>
      <c r="AH2853" s="81">
        <f>IF(AN2853="","",P2853*(1-AG2853))</f>
        <v/>
      </c>
      <c r="AI2853" s="81">
        <f>IF(AN2853="","",IF(Q2853="Sin Factura",0,IFERROR(INDEX(Facturas_Odoo!$H:$H, MATCH(Q2853, Facturas_Odoo!$B:$B, 0)), 0)*(1-AG2853)))</f>
        <v/>
      </c>
      <c r="AJ2853" s="81">
        <f>IF(AN2853="","",_xlfn.LET(idVenta, AN2853&amp;"",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53" s="81">
        <f>IF(AN2853="","",AH2853-AJ2853)</f>
        <v/>
      </c>
      <c r="AL2853" s="81">
        <f>IF(AN2853="","",IF(Q2853="Sin Factura","",AI2853-AJ2853))</f>
        <v/>
      </c>
      <c r="AM2853" s="81">
        <f>IF(AN2853="","",IF(Q2853="Sin Factura",0,P2853-IFERROR(INDEX(Facturas_Odoo!$H:$H, MATCH(Q2853, Facturas_Odoo!$B:$B, 0)), 0)))</f>
        <v/>
      </c>
      <c r="AN2853" s="79">
        <f>IF(AND(A2853="", J2853=""), "", IF(A2853&lt;&gt;"", VALUE(MID(A2853,2,LEN(A2853))), AN2852))</f>
        <v/>
      </c>
      <c r="AO2853" s="79">
        <f>IF(AN2853="","",IF(AD2853=0,"OK",_xlfn.LET(monedaPago, IF(AA2853="","USD",AA2853), limitePermitido, IFERROR(VLOOKUP(monedaPago, Configuración!$A$2:$B$3, 2, FALSE), 0.15), IF(AD2853&gt;limitePermitido, "ALERTA: EXCESO (" &amp; TEXT(limitePermitido, "0%") &amp; " máx)", "OK"))))</f>
        <v/>
      </c>
      <c r="AP2853" s="79">
        <f>IF(AN2853="","",IF(AE2853=0,"OK",_xlfn.LET(fechaPago, Z2853, fechaFactura, R2853, diasCredito, IF(E2853="Pago inmediato", 0, IFERROR(VALUE(MID(E2853, 1, SEARCH(" ", E2853)-1)),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53" s="79">
        <f>IF(AN2853="","",IF(AND(N2853&gt;0, AG2853&gt;0), IF(Configuración!$K$2="NO", "ALERTA: DESCUENTO DOBLE NO PERMITIDO", "OK"), "OK"))</f>
        <v/>
      </c>
      <c r="AR2853" s="79">
        <f>IF(AN2853="","",IF(OR(AO2853&lt;&gt;"OK", AP2853&lt;&gt;"OK", AQ2853&lt;&gt;"OK"), "⚠️ REVISAR", "OK"))</f>
        <v/>
      </c>
    </row>
    <row r="2854">
      <c r="A2854" s="79">
        <f>IF('Ordenes_Odoo'!A2854="","",'Ordenes_Odoo'!A2854)</f>
        <v/>
      </c>
      <c r="B2854" s="80">
        <f>IF('Ordenes_Odoo'!B2854="","",'Ordenes_Odoo'!B2854)</f>
        <v/>
      </c>
      <c r="C2854" s="79">
        <f>IF('Ordenes_Odoo'!C2854="","",'Ordenes_Odoo'!C2854)</f>
        <v/>
      </c>
      <c r="D2854" s="79">
        <f>IF('Ordenes_Odoo'!D2854="","",'Ordenes_Odoo'!D2854)</f>
        <v/>
      </c>
      <c r="E2854" s="79">
        <f>IF('Ordenes_Odoo'!E2854="","",'Ordenes_Odoo'!E2854)</f>
        <v/>
      </c>
      <c r="F2854" s="79">
        <f>IF('Ordenes_Odoo'!F2854="","",'Ordenes_Odoo'!F2854)</f>
        <v/>
      </c>
      <c r="G2854" s="79">
        <f>IF('Ordenes_Odoo'!G2854="","",'Ordenes_Odoo'!G2854)</f>
        <v/>
      </c>
      <c r="H2854" s="79">
        <f>IF('Ordenes_Odoo'!H2854="","",'Ordenes_Odoo'!H2854)</f>
        <v/>
      </c>
      <c r="I2854" s="79">
        <f>IF('Ordenes_Odoo'!I2854="","",'Ordenes_Odoo'!I2854)</f>
        <v/>
      </c>
      <c r="J2854" s="79">
        <f>IF('Ordenes_Odoo'!J2854="","",'Ordenes_Odoo'!J2854)</f>
        <v/>
      </c>
      <c r="K2854" s="81">
        <f>IF('Ordenes_Odoo'!K2854="","",'Ordenes_Odoo'!K2854)</f>
        <v/>
      </c>
      <c r="L2854" s="81">
        <f>IF('Ordenes_Odoo'!L2854="","",'Ordenes_Odoo'!L2854)</f>
        <v/>
      </c>
      <c r="M2854" s="79">
        <f>IF('Ordenes_Odoo'!M2854="","",'Ordenes_Odoo'!M2854)</f>
        <v/>
      </c>
      <c r="N2854" s="79">
        <f>IF('Ordenes_Odoo'!N2854="","",'Ordenes_Odoo'!N2854)</f>
        <v/>
      </c>
      <c r="O2854" s="81">
        <f>IF('Ordenes_Odoo'!O2854="","",'Ordenes_Odoo'!O2854)</f>
        <v/>
      </c>
      <c r="P2854" s="81">
        <f>IF('Ordenes_Odoo'!P2854="","",'Ordenes_Odoo'!P2854)</f>
        <v/>
      </c>
      <c r="Q2854" s="79">
        <f>IF(A2854="","",IFERROR(INDEX(Facturas_Odoo!$B:$B, MATCH(A2854, Facturas_Odoo!$D:$D, 0)), "Sin Factura"))</f>
        <v/>
      </c>
      <c r="R2854" s="80">
        <f>IF(Q2854="Sin Factura","",IFERROR(INDEX(Facturas_Odoo!$A:$A, MATCH(Q2854, Facturas_Odoo!$B:$B, 0)), ""))</f>
        <v/>
      </c>
      <c r="S2854" s="79">
        <f>IF(Q2854="Sin Factura","",IFERROR(_xlfn.XLOOKUP(1, (Facturas_Odoo!$D:$D=A2854) * (Facturas_Odoo!$K:$K=I2854), Facturas_Odoo!$L:$L, ""), ""))</f>
        <v/>
      </c>
      <c r="T2854" s="81">
        <f>IF(Q2854="Sin Factura",0,IFERROR(_xlfn.XLOOKUP(1, (Facturas_Odoo!$D:$D=A2854) * (Facturas_Odoo!$K:$K=I2854), Facturas_Odoo!$M:$M, 0), 0))</f>
        <v/>
      </c>
      <c r="U2854" s="79">
        <f>IF(Q2854="Sin Factura",0,IFERROR(_xlfn.XLOOKUP(1, (Facturas_Odoo!$D:$D=A2854) * (Facturas_Odoo!$K:$K=I2854), Facturas_Odoo!$N:$N, 0), 0))</f>
        <v/>
      </c>
      <c r="V2854" s="79">
        <f>IF(Q2854="Sin Factura",0,IFERROR(_xlfn.XLOOKUP(1, (Facturas_Odoo!$D:$D=A2854) * (Facturas_Odoo!$K:$K=I2854), Facturas_Odoo!$O:$O, 0), 0))</f>
        <v/>
      </c>
      <c r="W2854" s="81">
        <f>IF(Q2854="Sin Factura",0,IFERROR(_xlfn.XLOOKUP(1, (Facturas_Odoo!$D:$D=A2854) * (Facturas_Odoo!$K:$K=I2854), Facturas_Odoo!$Q:$Q, 0), 0))</f>
        <v/>
      </c>
      <c r="X2854" s="79">
        <f>IF(OR(Q2854="Sin Factura",Q2854=""),"",IFERROR(INDEX(Pagos_Odoo!$B:$B, MATCH(Q2854, Pagos_Odoo!$I:$I, 0)), "Sin Pago"))</f>
        <v/>
      </c>
      <c r="Y2854" s="79">
        <f>IF(X2854="Sin Pago","",IFERROR(INDEX(Pagos_Odoo!$C:$C, MATCH(X2854, Pagos_Odoo!$B:$B, 0)), ""))</f>
        <v/>
      </c>
      <c r="Z2854" s="80">
        <f>IF(X2854="Sin Pago","",IFERROR(INDEX(Pagos_Odoo!$A:$A, MATCH(X2854, Pagos_Odoo!$B:$B, 0)), ""))</f>
        <v/>
      </c>
      <c r="AA2854" s="79">
        <f>IF(X2854="Sin Pago","",IFERROR(INDEX(Pagos_Odoo!$F:$F, MATCH(X2854, Pagos_Odoo!$B:$B, 0)), ""))</f>
        <v/>
      </c>
      <c r="AB2854" s="81">
        <f>IF(X2854="Sin Pago",0,IFERROR(INDEX(Pagos_Odoo!$E:$E, MATCH(X2854, Pagos_Odoo!$B:$B, 0)), 0))</f>
        <v/>
      </c>
      <c r="AC2854" s="79">
        <f>IF(X2854="Sin Pago","",IFERROR(INDEX(Pagos_Odoo!$G:$G, MATCH(X2854, Pagos_Odoo!$B:$B, 0)), ""))</f>
        <v/>
      </c>
      <c r="AD2854" s="82" t="n">
        <v>0</v>
      </c>
      <c r="AE2854" s="82" t="n"/>
      <c r="AF2854" s="82" t="n"/>
      <c r="AG2854" s="82">
        <f>IF(AN2854="","",AD2854+AE2854+AF2854)</f>
        <v/>
      </c>
      <c r="AH2854" s="81">
        <f>IF(AN2854="","",P2854*(1-AG2854))</f>
        <v/>
      </c>
      <c r="AI2854" s="81">
        <f>IF(AN2854="","",IF(Q2854="Sin Factura",0,IFERROR(INDEX(Facturas_Odoo!$H:$H, MATCH(Q2854, Facturas_Odoo!$B:$B, 0)), 0)*(1-AG2854)))</f>
        <v/>
      </c>
      <c r="AJ2854" s="81">
        <f>IF(AN2854="","",_xlfn.LET(idVenta, AN2854&amp;"",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54" s="81">
        <f>IF(AN2854="","",AH2854-AJ2854)</f>
        <v/>
      </c>
      <c r="AL2854" s="81">
        <f>IF(AN2854="","",IF(Q2854="Sin Factura","",AI2854-AJ2854))</f>
        <v/>
      </c>
      <c r="AM2854" s="81">
        <f>IF(AN2854="","",IF(Q2854="Sin Factura",0,P2854-IFERROR(INDEX(Facturas_Odoo!$H:$H, MATCH(Q2854, Facturas_Odoo!$B:$B, 0)), 0)))</f>
        <v/>
      </c>
      <c r="AN2854" s="79">
        <f>IF(AND(A2854="", J2854=""), "", IF(A2854&lt;&gt;"", VALUE(MID(A2854,2,LEN(A2854))), AN2853))</f>
        <v/>
      </c>
      <c r="AO2854" s="79">
        <f>IF(AN2854="","",IF(AD2854=0,"OK",_xlfn.LET(monedaPago, IF(AA2854="","USD",AA2854), limitePermitido, IFERROR(VLOOKUP(monedaPago, Configuración!$A$2:$B$3, 2, FALSE), 0.15), IF(AD2854&gt;limitePermitido, "ALERTA: EXCESO (" &amp; TEXT(limitePermitido, "0%") &amp; " máx)", "OK"))))</f>
        <v/>
      </c>
      <c r="AP2854" s="79">
        <f>IF(AN2854="","",IF(AE2854=0,"OK",_xlfn.LET(fechaPago, Z2854, fechaFactura, R2854, diasCredito, IF(E2854="Pago inmediato", 0, IFERROR(VALUE(MID(E2854, 1, SEARCH(" ", E2854)-1)),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54" s="79">
        <f>IF(AN2854="","",IF(AND(N2854&gt;0, AG2854&gt;0), IF(Configuración!$K$2="NO", "ALERTA: DESCUENTO DOBLE NO PERMITIDO", "OK"), "OK"))</f>
        <v/>
      </c>
      <c r="AR2854" s="79">
        <f>IF(AN2854="","",IF(OR(AO2854&lt;&gt;"OK", AP2854&lt;&gt;"OK", AQ2854&lt;&gt;"OK"), "⚠️ REVISAR", "OK"))</f>
        <v/>
      </c>
    </row>
    <row r="2855">
      <c r="A2855" s="79">
        <f>IF('Ordenes_Odoo'!A2855="","",'Ordenes_Odoo'!A2855)</f>
        <v/>
      </c>
      <c r="B2855" s="80">
        <f>IF('Ordenes_Odoo'!B2855="","",'Ordenes_Odoo'!B2855)</f>
        <v/>
      </c>
      <c r="C2855" s="79">
        <f>IF('Ordenes_Odoo'!C2855="","",'Ordenes_Odoo'!C2855)</f>
        <v/>
      </c>
      <c r="D2855" s="79">
        <f>IF('Ordenes_Odoo'!D2855="","",'Ordenes_Odoo'!D2855)</f>
        <v/>
      </c>
      <c r="E2855" s="79">
        <f>IF('Ordenes_Odoo'!E2855="","",'Ordenes_Odoo'!E2855)</f>
        <v/>
      </c>
      <c r="F2855" s="79">
        <f>IF('Ordenes_Odoo'!F2855="","",'Ordenes_Odoo'!F2855)</f>
        <v/>
      </c>
      <c r="G2855" s="79">
        <f>IF('Ordenes_Odoo'!G2855="","",'Ordenes_Odoo'!G2855)</f>
        <v/>
      </c>
      <c r="H2855" s="79">
        <f>IF('Ordenes_Odoo'!H2855="","",'Ordenes_Odoo'!H2855)</f>
        <v/>
      </c>
      <c r="I2855" s="79">
        <f>IF('Ordenes_Odoo'!I2855="","",'Ordenes_Odoo'!I2855)</f>
        <v/>
      </c>
      <c r="J2855" s="79">
        <f>IF('Ordenes_Odoo'!J2855="","",'Ordenes_Odoo'!J2855)</f>
        <v/>
      </c>
      <c r="K2855" s="81">
        <f>IF('Ordenes_Odoo'!K2855="","",'Ordenes_Odoo'!K2855)</f>
        <v/>
      </c>
      <c r="L2855" s="81">
        <f>IF('Ordenes_Odoo'!L2855="","",'Ordenes_Odoo'!L2855)</f>
        <v/>
      </c>
      <c r="M2855" s="79">
        <f>IF('Ordenes_Odoo'!M2855="","",'Ordenes_Odoo'!M2855)</f>
        <v/>
      </c>
      <c r="N2855" s="79">
        <f>IF('Ordenes_Odoo'!N2855="","",'Ordenes_Odoo'!N2855)</f>
        <v/>
      </c>
      <c r="O2855" s="81">
        <f>IF('Ordenes_Odoo'!O2855="","",'Ordenes_Odoo'!O2855)</f>
        <v/>
      </c>
      <c r="P2855" s="81">
        <f>IF('Ordenes_Odoo'!P2855="","",'Ordenes_Odoo'!P2855)</f>
        <v/>
      </c>
      <c r="Q2855" s="79">
        <f>IF(A2855="","",IFERROR(INDEX(Facturas_Odoo!$B:$B, MATCH(A2855, Facturas_Odoo!$D:$D, 0)), "Sin Factura"))</f>
        <v/>
      </c>
      <c r="R2855" s="80">
        <f>IF(Q2855="Sin Factura","",IFERROR(INDEX(Facturas_Odoo!$A:$A, MATCH(Q2855, Facturas_Odoo!$B:$B, 0)), ""))</f>
        <v/>
      </c>
      <c r="S2855" s="79">
        <f>IF(Q2855="Sin Factura","",IFERROR(_xlfn.XLOOKUP(1, (Facturas_Odoo!$D:$D=A2855) * (Facturas_Odoo!$K:$K=I2855), Facturas_Odoo!$L:$L, ""), ""))</f>
        <v/>
      </c>
      <c r="T2855" s="81">
        <f>IF(Q2855="Sin Factura",0,IFERROR(_xlfn.XLOOKUP(1, (Facturas_Odoo!$D:$D=A2855) * (Facturas_Odoo!$K:$K=I2855), Facturas_Odoo!$M:$M, 0), 0))</f>
        <v/>
      </c>
      <c r="U2855" s="79">
        <f>IF(Q2855="Sin Factura",0,IFERROR(_xlfn.XLOOKUP(1, (Facturas_Odoo!$D:$D=A2855) * (Facturas_Odoo!$K:$K=I2855), Facturas_Odoo!$N:$N, 0), 0))</f>
        <v/>
      </c>
      <c r="V2855" s="79">
        <f>IF(Q2855="Sin Factura",0,IFERROR(_xlfn.XLOOKUP(1, (Facturas_Odoo!$D:$D=A2855) * (Facturas_Odoo!$K:$K=I2855), Facturas_Odoo!$O:$O, 0), 0))</f>
        <v/>
      </c>
      <c r="W2855" s="81">
        <f>IF(Q2855="Sin Factura",0,IFERROR(_xlfn.XLOOKUP(1, (Facturas_Odoo!$D:$D=A2855) * (Facturas_Odoo!$K:$K=I2855), Facturas_Odoo!$Q:$Q, 0), 0))</f>
        <v/>
      </c>
      <c r="X2855" s="79">
        <f>IF(OR(Q2855="Sin Factura",Q2855=""),"",IFERROR(INDEX(Pagos_Odoo!$B:$B, MATCH(Q2855, Pagos_Odoo!$I:$I, 0)), "Sin Pago"))</f>
        <v/>
      </c>
      <c r="Y2855" s="79">
        <f>IF(X2855="Sin Pago","",IFERROR(INDEX(Pagos_Odoo!$C:$C, MATCH(X2855, Pagos_Odoo!$B:$B, 0)), ""))</f>
        <v/>
      </c>
      <c r="Z2855" s="80">
        <f>IF(X2855="Sin Pago","",IFERROR(INDEX(Pagos_Odoo!$A:$A, MATCH(X2855, Pagos_Odoo!$B:$B, 0)), ""))</f>
        <v/>
      </c>
      <c r="AA2855" s="79">
        <f>IF(X2855="Sin Pago","",IFERROR(INDEX(Pagos_Odoo!$F:$F, MATCH(X2855, Pagos_Odoo!$B:$B, 0)), ""))</f>
        <v/>
      </c>
      <c r="AB2855" s="81">
        <f>IF(X2855="Sin Pago",0,IFERROR(INDEX(Pagos_Odoo!$E:$E, MATCH(X2855, Pagos_Odoo!$B:$B, 0)), 0))</f>
        <v/>
      </c>
      <c r="AC2855" s="79">
        <f>IF(X2855="Sin Pago","",IFERROR(INDEX(Pagos_Odoo!$G:$G, MATCH(X2855, Pagos_Odoo!$B:$B, 0)), ""))</f>
        <v/>
      </c>
      <c r="AD2855" s="82" t="n">
        <v>0</v>
      </c>
      <c r="AE2855" s="82" t="n"/>
      <c r="AF2855" s="82" t="n"/>
      <c r="AG2855" s="82">
        <f>IF(AN2855="","",AD2855+AE2855+AF2855)</f>
        <v/>
      </c>
      <c r="AH2855" s="81">
        <f>IF(AN2855="","",P2855*(1-AG2855))</f>
        <v/>
      </c>
      <c r="AI2855" s="81">
        <f>IF(AN2855="","",IF(Q2855="Sin Factura",0,IFERROR(INDEX(Facturas_Odoo!$H:$H, MATCH(Q2855, Facturas_Odoo!$B:$B, 0)), 0)*(1-AG2855)))</f>
        <v/>
      </c>
      <c r="AJ2855" s="81">
        <f>IF(AN2855="","",_xlfn.LET(idVenta, AN2855&amp;"",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55" s="81">
        <f>IF(AN2855="","",AH2855-AJ2855)</f>
        <v/>
      </c>
      <c r="AL2855" s="81">
        <f>IF(AN2855="","",IF(Q2855="Sin Factura","",AI2855-AJ2855))</f>
        <v/>
      </c>
      <c r="AM2855" s="81">
        <f>IF(AN2855="","",IF(Q2855="Sin Factura",0,P2855-IFERROR(INDEX(Facturas_Odoo!$H:$H, MATCH(Q2855, Facturas_Odoo!$B:$B, 0)), 0)))</f>
        <v/>
      </c>
      <c r="AN2855" s="79">
        <f>IF(AND(A2855="", J2855=""), "", IF(A2855&lt;&gt;"", VALUE(MID(A2855,2,LEN(A2855))), AN2854))</f>
        <v/>
      </c>
      <c r="AO2855" s="79">
        <f>IF(AN2855="","",IF(AD2855=0,"OK",_xlfn.LET(monedaPago, IF(AA2855="","USD",AA2855), limitePermitido, IFERROR(VLOOKUP(monedaPago, Configuración!$A$2:$B$3, 2, FALSE), 0.15), IF(AD2855&gt;limitePermitido, "ALERTA: EXCESO (" &amp; TEXT(limitePermitido, "0%") &amp; " máx)", "OK"))))</f>
        <v/>
      </c>
      <c r="AP2855" s="79">
        <f>IF(AN2855="","",IF(AE2855=0,"OK",_xlfn.LET(fechaPago, Z2855, fechaFactura, R2855, diasCredito, IF(E2855="Pago inmediato", 0, IFERROR(VALUE(MID(E2855, 1, SEARCH(" ", E2855)-1)),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55" s="79">
        <f>IF(AN2855="","",IF(AND(N2855&gt;0, AG2855&gt;0), IF(Configuración!$K$2="NO", "ALERTA: DESCUENTO DOBLE NO PERMITIDO", "OK"), "OK"))</f>
        <v/>
      </c>
      <c r="AR2855" s="79">
        <f>IF(AN2855="","",IF(OR(AO2855&lt;&gt;"OK", AP2855&lt;&gt;"OK", AQ2855&lt;&gt;"OK"), "⚠️ REVISAR", "OK"))</f>
        <v/>
      </c>
    </row>
    <row r="2856">
      <c r="A2856" s="79">
        <f>IF('Ordenes_Odoo'!A2856="","",'Ordenes_Odoo'!A2856)</f>
        <v/>
      </c>
      <c r="B2856" s="80">
        <f>IF('Ordenes_Odoo'!B2856="","",'Ordenes_Odoo'!B2856)</f>
        <v/>
      </c>
      <c r="C2856" s="79">
        <f>IF('Ordenes_Odoo'!C2856="","",'Ordenes_Odoo'!C2856)</f>
        <v/>
      </c>
      <c r="D2856" s="79">
        <f>IF('Ordenes_Odoo'!D2856="","",'Ordenes_Odoo'!D2856)</f>
        <v/>
      </c>
      <c r="E2856" s="79">
        <f>IF('Ordenes_Odoo'!E2856="","",'Ordenes_Odoo'!E2856)</f>
        <v/>
      </c>
      <c r="F2856" s="79">
        <f>IF('Ordenes_Odoo'!F2856="","",'Ordenes_Odoo'!F2856)</f>
        <v/>
      </c>
      <c r="G2856" s="79">
        <f>IF('Ordenes_Odoo'!G2856="","",'Ordenes_Odoo'!G2856)</f>
        <v/>
      </c>
      <c r="H2856" s="79">
        <f>IF('Ordenes_Odoo'!H2856="","",'Ordenes_Odoo'!H2856)</f>
        <v/>
      </c>
      <c r="I2856" s="79">
        <f>IF('Ordenes_Odoo'!I2856="","",'Ordenes_Odoo'!I2856)</f>
        <v/>
      </c>
      <c r="J2856" s="79">
        <f>IF('Ordenes_Odoo'!J2856="","",'Ordenes_Odoo'!J2856)</f>
        <v/>
      </c>
      <c r="K2856" s="81">
        <f>IF('Ordenes_Odoo'!K2856="","",'Ordenes_Odoo'!K2856)</f>
        <v/>
      </c>
      <c r="L2856" s="81">
        <f>IF('Ordenes_Odoo'!L2856="","",'Ordenes_Odoo'!L2856)</f>
        <v/>
      </c>
      <c r="M2856" s="79">
        <f>IF('Ordenes_Odoo'!M2856="","",'Ordenes_Odoo'!M2856)</f>
        <v/>
      </c>
      <c r="N2856" s="79">
        <f>IF('Ordenes_Odoo'!N2856="","",'Ordenes_Odoo'!N2856)</f>
        <v/>
      </c>
      <c r="O2856" s="81">
        <f>IF('Ordenes_Odoo'!O2856="","",'Ordenes_Odoo'!O2856)</f>
        <v/>
      </c>
      <c r="P2856" s="81">
        <f>IF('Ordenes_Odoo'!P2856="","",'Ordenes_Odoo'!P2856)</f>
        <v/>
      </c>
      <c r="Q2856" s="79">
        <f>IF(A2856="","",IFERROR(INDEX(Facturas_Odoo!$B:$B, MATCH(A2856, Facturas_Odoo!$D:$D, 0)), "Sin Factura"))</f>
        <v/>
      </c>
      <c r="R2856" s="80">
        <f>IF(Q2856="Sin Factura","",IFERROR(INDEX(Facturas_Odoo!$A:$A, MATCH(Q2856, Facturas_Odoo!$B:$B, 0)), ""))</f>
        <v/>
      </c>
      <c r="S2856" s="79">
        <f>IF(Q2856="Sin Factura","",IFERROR(_xlfn.XLOOKUP(1, (Facturas_Odoo!$D:$D=A2856) * (Facturas_Odoo!$K:$K=I2856), Facturas_Odoo!$L:$L, ""), ""))</f>
        <v/>
      </c>
      <c r="T2856" s="81">
        <f>IF(Q2856="Sin Factura",0,IFERROR(_xlfn.XLOOKUP(1, (Facturas_Odoo!$D:$D=A2856) * (Facturas_Odoo!$K:$K=I2856), Facturas_Odoo!$M:$M, 0), 0))</f>
        <v/>
      </c>
      <c r="U2856" s="79">
        <f>IF(Q2856="Sin Factura",0,IFERROR(_xlfn.XLOOKUP(1, (Facturas_Odoo!$D:$D=A2856) * (Facturas_Odoo!$K:$K=I2856), Facturas_Odoo!$N:$N, 0), 0))</f>
        <v/>
      </c>
      <c r="V2856" s="79">
        <f>IF(Q2856="Sin Factura",0,IFERROR(_xlfn.XLOOKUP(1, (Facturas_Odoo!$D:$D=A2856) * (Facturas_Odoo!$K:$K=I2856), Facturas_Odoo!$O:$O, 0), 0))</f>
        <v/>
      </c>
      <c r="W2856" s="81">
        <f>IF(Q2856="Sin Factura",0,IFERROR(_xlfn.XLOOKUP(1, (Facturas_Odoo!$D:$D=A2856) * (Facturas_Odoo!$K:$K=I2856), Facturas_Odoo!$Q:$Q, 0), 0))</f>
        <v/>
      </c>
      <c r="X2856" s="79">
        <f>IF(OR(Q2856="Sin Factura",Q2856=""),"",IFERROR(INDEX(Pagos_Odoo!$B:$B, MATCH(Q2856, Pagos_Odoo!$I:$I, 0)), "Sin Pago"))</f>
        <v/>
      </c>
      <c r="Y2856" s="79">
        <f>IF(X2856="Sin Pago","",IFERROR(INDEX(Pagos_Odoo!$C:$C, MATCH(X2856, Pagos_Odoo!$B:$B, 0)), ""))</f>
        <v/>
      </c>
      <c r="Z2856" s="80">
        <f>IF(X2856="Sin Pago","",IFERROR(INDEX(Pagos_Odoo!$A:$A, MATCH(X2856, Pagos_Odoo!$B:$B, 0)), ""))</f>
        <v/>
      </c>
      <c r="AA2856" s="79">
        <f>IF(X2856="Sin Pago","",IFERROR(INDEX(Pagos_Odoo!$F:$F, MATCH(X2856, Pagos_Odoo!$B:$B, 0)), ""))</f>
        <v/>
      </c>
      <c r="AB2856" s="81">
        <f>IF(X2856="Sin Pago",0,IFERROR(INDEX(Pagos_Odoo!$E:$E, MATCH(X2856, Pagos_Odoo!$B:$B, 0)), 0))</f>
        <v/>
      </c>
      <c r="AC2856" s="79">
        <f>IF(X2856="Sin Pago","",IFERROR(INDEX(Pagos_Odoo!$G:$G, MATCH(X2856, Pagos_Odoo!$B:$B, 0)), ""))</f>
        <v/>
      </c>
      <c r="AD2856" s="82" t="n">
        <v>0</v>
      </c>
      <c r="AE2856" s="82" t="n"/>
      <c r="AF2856" s="82" t="n"/>
      <c r="AG2856" s="82">
        <f>IF(AN2856="","",AD2856+AE2856+AF2856)</f>
        <v/>
      </c>
      <c r="AH2856" s="81">
        <f>IF(AN2856="","",P2856*(1-AG2856))</f>
        <v/>
      </c>
      <c r="AI2856" s="81">
        <f>IF(AN2856="","",IF(Q2856="Sin Factura",0,IFERROR(INDEX(Facturas_Odoo!$H:$H, MATCH(Q2856, Facturas_Odoo!$B:$B, 0)), 0)*(1-AG2856)))</f>
        <v/>
      </c>
      <c r="AJ2856" s="81">
        <f>IF(AN2856="","",_xlfn.LET(idVenta, AN2856&amp;"",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56" s="81">
        <f>IF(AN2856="","",AH2856-AJ2856)</f>
        <v/>
      </c>
      <c r="AL2856" s="81">
        <f>IF(AN2856="","",IF(Q2856="Sin Factura","",AI2856-AJ2856))</f>
        <v/>
      </c>
      <c r="AM2856" s="81">
        <f>IF(AN2856="","",IF(Q2856="Sin Factura",0,P2856-IFERROR(INDEX(Facturas_Odoo!$H:$H, MATCH(Q2856, Facturas_Odoo!$B:$B, 0)), 0)))</f>
        <v/>
      </c>
      <c r="AN2856" s="79">
        <f>IF(AND(A2856="", J2856=""), "", IF(A2856&lt;&gt;"", VALUE(MID(A2856,2,LEN(A2856))), AN2855))</f>
        <v/>
      </c>
      <c r="AO2856" s="79">
        <f>IF(AN2856="","",IF(AD2856=0,"OK",_xlfn.LET(monedaPago, IF(AA2856="","USD",AA2856), limitePermitido, IFERROR(VLOOKUP(monedaPago, Configuración!$A$2:$B$3, 2, FALSE), 0.15), IF(AD2856&gt;limitePermitido, "ALERTA: EXCESO (" &amp; TEXT(limitePermitido, "0%") &amp; " máx)", "OK"))))</f>
        <v/>
      </c>
      <c r="AP2856" s="79">
        <f>IF(AN2856="","",IF(AE2856=0,"OK",_xlfn.LET(fechaPago, Z2856, fechaFactura, R2856, diasCredito, IF(E2856="Pago inmediato", 0, IFERROR(VALUE(MID(E2856, 1, SEARCH(" ", E2856)-1)),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56" s="79">
        <f>IF(AN2856="","",IF(AND(N2856&gt;0, AG2856&gt;0), IF(Configuración!$K$2="NO", "ALERTA: DESCUENTO DOBLE NO PERMITIDO", "OK"), "OK"))</f>
        <v/>
      </c>
      <c r="AR2856" s="79">
        <f>IF(AN2856="","",IF(OR(AO2856&lt;&gt;"OK", AP2856&lt;&gt;"OK", AQ2856&lt;&gt;"OK"), "⚠️ REVISAR", "OK"))</f>
        <v/>
      </c>
    </row>
    <row r="2857">
      <c r="A2857" s="79">
        <f>IF('Ordenes_Odoo'!A2857="","",'Ordenes_Odoo'!A2857)</f>
        <v/>
      </c>
      <c r="B2857" s="80">
        <f>IF('Ordenes_Odoo'!B2857="","",'Ordenes_Odoo'!B2857)</f>
        <v/>
      </c>
      <c r="C2857" s="79">
        <f>IF('Ordenes_Odoo'!C2857="","",'Ordenes_Odoo'!C2857)</f>
        <v/>
      </c>
      <c r="D2857" s="79">
        <f>IF('Ordenes_Odoo'!D2857="","",'Ordenes_Odoo'!D2857)</f>
        <v/>
      </c>
      <c r="E2857" s="79">
        <f>IF('Ordenes_Odoo'!E2857="","",'Ordenes_Odoo'!E2857)</f>
        <v/>
      </c>
      <c r="F2857" s="79">
        <f>IF('Ordenes_Odoo'!F2857="","",'Ordenes_Odoo'!F2857)</f>
        <v/>
      </c>
      <c r="G2857" s="79">
        <f>IF('Ordenes_Odoo'!G2857="","",'Ordenes_Odoo'!G2857)</f>
        <v/>
      </c>
      <c r="H2857" s="79">
        <f>IF('Ordenes_Odoo'!H2857="","",'Ordenes_Odoo'!H2857)</f>
        <v/>
      </c>
      <c r="I2857" s="79">
        <f>IF('Ordenes_Odoo'!I2857="","",'Ordenes_Odoo'!I2857)</f>
        <v/>
      </c>
      <c r="J2857" s="79">
        <f>IF('Ordenes_Odoo'!J2857="","",'Ordenes_Odoo'!J2857)</f>
        <v/>
      </c>
      <c r="K2857" s="81">
        <f>IF('Ordenes_Odoo'!K2857="","",'Ordenes_Odoo'!K2857)</f>
        <v/>
      </c>
      <c r="L2857" s="81">
        <f>IF('Ordenes_Odoo'!L2857="","",'Ordenes_Odoo'!L2857)</f>
        <v/>
      </c>
      <c r="M2857" s="79">
        <f>IF('Ordenes_Odoo'!M2857="","",'Ordenes_Odoo'!M2857)</f>
        <v/>
      </c>
      <c r="N2857" s="79">
        <f>IF('Ordenes_Odoo'!N2857="","",'Ordenes_Odoo'!N2857)</f>
        <v/>
      </c>
      <c r="O2857" s="81">
        <f>IF('Ordenes_Odoo'!O2857="","",'Ordenes_Odoo'!O2857)</f>
        <v/>
      </c>
      <c r="P2857" s="81">
        <f>IF('Ordenes_Odoo'!P2857="","",'Ordenes_Odoo'!P2857)</f>
        <v/>
      </c>
      <c r="Q2857" s="79">
        <f>IF(A2857="","",IFERROR(INDEX(Facturas_Odoo!$B:$B, MATCH(A2857, Facturas_Odoo!$D:$D, 0)), "Sin Factura"))</f>
        <v/>
      </c>
      <c r="R2857" s="80">
        <f>IF(Q2857="Sin Factura","",IFERROR(INDEX(Facturas_Odoo!$A:$A, MATCH(Q2857, Facturas_Odoo!$B:$B, 0)), ""))</f>
        <v/>
      </c>
      <c r="S2857" s="79">
        <f>IF(Q2857="Sin Factura","",IFERROR(_xlfn.XLOOKUP(1, (Facturas_Odoo!$D:$D=A2857) * (Facturas_Odoo!$K:$K=I2857), Facturas_Odoo!$L:$L, ""), ""))</f>
        <v/>
      </c>
      <c r="T2857" s="81">
        <f>IF(Q2857="Sin Factura",0,IFERROR(_xlfn.XLOOKUP(1, (Facturas_Odoo!$D:$D=A2857) * (Facturas_Odoo!$K:$K=I2857), Facturas_Odoo!$M:$M, 0), 0))</f>
        <v/>
      </c>
      <c r="U2857" s="79">
        <f>IF(Q2857="Sin Factura",0,IFERROR(_xlfn.XLOOKUP(1, (Facturas_Odoo!$D:$D=A2857) * (Facturas_Odoo!$K:$K=I2857), Facturas_Odoo!$N:$N, 0), 0))</f>
        <v/>
      </c>
      <c r="V2857" s="79">
        <f>IF(Q2857="Sin Factura",0,IFERROR(_xlfn.XLOOKUP(1, (Facturas_Odoo!$D:$D=A2857) * (Facturas_Odoo!$K:$K=I2857), Facturas_Odoo!$O:$O, 0), 0))</f>
        <v/>
      </c>
      <c r="W2857" s="81">
        <f>IF(Q2857="Sin Factura",0,IFERROR(_xlfn.XLOOKUP(1, (Facturas_Odoo!$D:$D=A2857) * (Facturas_Odoo!$K:$K=I2857), Facturas_Odoo!$Q:$Q, 0), 0))</f>
        <v/>
      </c>
      <c r="X2857" s="79">
        <f>IF(OR(Q2857="Sin Factura",Q2857=""),"",IFERROR(INDEX(Pagos_Odoo!$B:$B, MATCH(Q2857, Pagos_Odoo!$I:$I, 0)), "Sin Pago"))</f>
        <v/>
      </c>
      <c r="Y2857" s="79">
        <f>IF(X2857="Sin Pago","",IFERROR(INDEX(Pagos_Odoo!$C:$C, MATCH(X2857, Pagos_Odoo!$B:$B, 0)), ""))</f>
        <v/>
      </c>
      <c r="Z2857" s="80">
        <f>IF(X2857="Sin Pago","",IFERROR(INDEX(Pagos_Odoo!$A:$A, MATCH(X2857, Pagos_Odoo!$B:$B, 0)), ""))</f>
        <v/>
      </c>
      <c r="AA2857" s="79">
        <f>IF(X2857="Sin Pago","",IFERROR(INDEX(Pagos_Odoo!$F:$F, MATCH(X2857, Pagos_Odoo!$B:$B, 0)), ""))</f>
        <v/>
      </c>
      <c r="AB2857" s="81">
        <f>IF(X2857="Sin Pago",0,IFERROR(INDEX(Pagos_Odoo!$E:$E, MATCH(X2857, Pagos_Odoo!$B:$B, 0)), 0))</f>
        <v/>
      </c>
      <c r="AC2857" s="79">
        <f>IF(X2857="Sin Pago","",IFERROR(INDEX(Pagos_Odoo!$G:$G, MATCH(X2857, Pagos_Odoo!$B:$B, 0)), ""))</f>
        <v/>
      </c>
      <c r="AD2857" s="82" t="n">
        <v>0</v>
      </c>
      <c r="AE2857" s="82" t="n"/>
      <c r="AF2857" s="82" t="n"/>
      <c r="AG2857" s="82">
        <f>IF(AN2857="","",AD2857+AE2857+AF2857)</f>
        <v/>
      </c>
      <c r="AH2857" s="81">
        <f>IF(AN2857="","",P2857*(1-AG2857))</f>
        <v/>
      </c>
      <c r="AI2857" s="81">
        <f>IF(AN2857="","",IF(Q2857="Sin Factura",0,IFERROR(INDEX(Facturas_Odoo!$H:$H, MATCH(Q2857, Facturas_Odoo!$B:$B, 0)), 0)*(1-AG2857)))</f>
        <v/>
      </c>
      <c r="AJ2857" s="81">
        <f>IF(AN2857="","",_xlfn.LET(idVenta, AN2857&amp;"",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57" s="81">
        <f>IF(AN2857="","",AH2857-AJ2857)</f>
        <v/>
      </c>
      <c r="AL2857" s="81">
        <f>IF(AN2857="","",IF(Q2857="Sin Factura","",AI2857-AJ2857))</f>
        <v/>
      </c>
      <c r="AM2857" s="81">
        <f>IF(AN2857="","",IF(Q2857="Sin Factura",0,P2857-IFERROR(INDEX(Facturas_Odoo!$H:$H, MATCH(Q2857, Facturas_Odoo!$B:$B, 0)), 0)))</f>
        <v/>
      </c>
      <c r="AN2857" s="79">
        <f>IF(AND(A2857="", J2857=""), "", IF(A2857&lt;&gt;"", VALUE(MID(A2857,2,LEN(A2857))), AN2856))</f>
        <v/>
      </c>
      <c r="AO2857" s="79">
        <f>IF(AN2857="","",IF(AD2857=0,"OK",_xlfn.LET(monedaPago, IF(AA2857="","USD",AA2857), limitePermitido, IFERROR(VLOOKUP(monedaPago, Configuración!$A$2:$B$3, 2, FALSE), 0.15), IF(AD2857&gt;limitePermitido, "ALERTA: EXCESO (" &amp; TEXT(limitePermitido, "0%") &amp; " máx)", "OK"))))</f>
        <v/>
      </c>
      <c r="AP2857" s="79">
        <f>IF(AN2857="","",IF(AE2857=0,"OK",_xlfn.LET(fechaPago, Z2857, fechaFactura, R2857, diasCredito, IF(E2857="Pago inmediato", 0, IFERROR(VALUE(MID(E2857, 1, SEARCH(" ", E2857)-1)),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57" s="79">
        <f>IF(AN2857="","",IF(AND(N2857&gt;0, AG2857&gt;0), IF(Configuración!$K$2="NO", "ALERTA: DESCUENTO DOBLE NO PERMITIDO", "OK"), "OK"))</f>
        <v/>
      </c>
      <c r="AR2857" s="79">
        <f>IF(AN2857="","",IF(OR(AO2857&lt;&gt;"OK", AP2857&lt;&gt;"OK", AQ2857&lt;&gt;"OK"), "⚠️ REVISAR", "OK"))</f>
        <v/>
      </c>
    </row>
    <row r="2858">
      <c r="A2858" s="79">
        <f>IF('Ordenes_Odoo'!A2858="","",'Ordenes_Odoo'!A2858)</f>
        <v/>
      </c>
      <c r="B2858" s="80">
        <f>IF('Ordenes_Odoo'!B2858="","",'Ordenes_Odoo'!B2858)</f>
        <v/>
      </c>
      <c r="C2858" s="79">
        <f>IF('Ordenes_Odoo'!C2858="","",'Ordenes_Odoo'!C2858)</f>
        <v/>
      </c>
      <c r="D2858" s="79">
        <f>IF('Ordenes_Odoo'!D2858="","",'Ordenes_Odoo'!D2858)</f>
        <v/>
      </c>
      <c r="E2858" s="79">
        <f>IF('Ordenes_Odoo'!E2858="","",'Ordenes_Odoo'!E2858)</f>
        <v/>
      </c>
      <c r="F2858" s="79">
        <f>IF('Ordenes_Odoo'!F2858="","",'Ordenes_Odoo'!F2858)</f>
        <v/>
      </c>
      <c r="G2858" s="79">
        <f>IF('Ordenes_Odoo'!G2858="","",'Ordenes_Odoo'!G2858)</f>
        <v/>
      </c>
      <c r="H2858" s="79">
        <f>IF('Ordenes_Odoo'!H2858="","",'Ordenes_Odoo'!H2858)</f>
        <v/>
      </c>
      <c r="I2858" s="79">
        <f>IF('Ordenes_Odoo'!I2858="","",'Ordenes_Odoo'!I2858)</f>
        <v/>
      </c>
      <c r="J2858" s="79">
        <f>IF('Ordenes_Odoo'!J2858="","",'Ordenes_Odoo'!J2858)</f>
        <v/>
      </c>
      <c r="K2858" s="81">
        <f>IF('Ordenes_Odoo'!K2858="","",'Ordenes_Odoo'!K2858)</f>
        <v/>
      </c>
      <c r="L2858" s="81">
        <f>IF('Ordenes_Odoo'!L2858="","",'Ordenes_Odoo'!L2858)</f>
        <v/>
      </c>
      <c r="M2858" s="79">
        <f>IF('Ordenes_Odoo'!M2858="","",'Ordenes_Odoo'!M2858)</f>
        <v/>
      </c>
      <c r="N2858" s="79">
        <f>IF('Ordenes_Odoo'!N2858="","",'Ordenes_Odoo'!N2858)</f>
        <v/>
      </c>
      <c r="O2858" s="81">
        <f>IF('Ordenes_Odoo'!O2858="","",'Ordenes_Odoo'!O2858)</f>
        <v/>
      </c>
      <c r="P2858" s="81">
        <f>IF('Ordenes_Odoo'!P2858="","",'Ordenes_Odoo'!P2858)</f>
        <v/>
      </c>
      <c r="Q2858" s="79">
        <f>IF(A2858="","",IFERROR(INDEX(Facturas_Odoo!$B:$B, MATCH(A2858, Facturas_Odoo!$D:$D, 0)), "Sin Factura"))</f>
        <v/>
      </c>
      <c r="R2858" s="80">
        <f>IF(Q2858="Sin Factura","",IFERROR(INDEX(Facturas_Odoo!$A:$A, MATCH(Q2858, Facturas_Odoo!$B:$B, 0)), ""))</f>
        <v/>
      </c>
      <c r="S2858" s="79">
        <f>IF(Q2858="Sin Factura","",IFERROR(_xlfn.XLOOKUP(1, (Facturas_Odoo!$D:$D=A2858) * (Facturas_Odoo!$K:$K=I2858), Facturas_Odoo!$L:$L, ""), ""))</f>
        <v/>
      </c>
      <c r="T2858" s="81">
        <f>IF(Q2858="Sin Factura",0,IFERROR(_xlfn.XLOOKUP(1, (Facturas_Odoo!$D:$D=A2858) * (Facturas_Odoo!$K:$K=I2858), Facturas_Odoo!$M:$M, 0), 0))</f>
        <v/>
      </c>
      <c r="U2858" s="79">
        <f>IF(Q2858="Sin Factura",0,IFERROR(_xlfn.XLOOKUP(1, (Facturas_Odoo!$D:$D=A2858) * (Facturas_Odoo!$K:$K=I2858), Facturas_Odoo!$N:$N, 0), 0))</f>
        <v/>
      </c>
      <c r="V2858" s="79">
        <f>IF(Q2858="Sin Factura",0,IFERROR(_xlfn.XLOOKUP(1, (Facturas_Odoo!$D:$D=A2858) * (Facturas_Odoo!$K:$K=I2858), Facturas_Odoo!$O:$O, 0), 0))</f>
        <v/>
      </c>
      <c r="W2858" s="81">
        <f>IF(Q2858="Sin Factura",0,IFERROR(_xlfn.XLOOKUP(1, (Facturas_Odoo!$D:$D=A2858) * (Facturas_Odoo!$K:$K=I2858), Facturas_Odoo!$Q:$Q, 0), 0))</f>
        <v/>
      </c>
      <c r="X2858" s="79">
        <f>IF(OR(Q2858="Sin Factura",Q2858=""),"",IFERROR(INDEX(Pagos_Odoo!$B:$B, MATCH(Q2858, Pagos_Odoo!$I:$I, 0)), "Sin Pago"))</f>
        <v/>
      </c>
      <c r="Y2858" s="79">
        <f>IF(X2858="Sin Pago","",IFERROR(INDEX(Pagos_Odoo!$C:$C, MATCH(X2858, Pagos_Odoo!$B:$B, 0)), ""))</f>
        <v/>
      </c>
      <c r="Z2858" s="80">
        <f>IF(X2858="Sin Pago","",IFERROR(INDEX(Pagos_Odoo!$A:$A, MATCH(X2858, Pagos_Odoo!$B:$B, 0)), ""))</f>
        <v/>
      </c>
      <c r="AA2858" s="79">
        <f>IF(X2858="Sin Pago","",IFERROR(INDEX(Pagos_Odoo!$F:$F, MATCH(X2858, Pagos_Odoo!$B:$B, 0)), ""))</f>
        <v/>
      </c>
      <c r="AB2858" s="81">
        <f>IF(X2858="Sin Pago",0,IFERROR(INDEX(Pagos_Odoo!$E:$E, MATCH(X2858, Pagos_Odoo!$B:$B, 0)), 0))</f>
        <v/>
      </c>
      <c r="AC2858" s="79">
        <f>IF(X2858="Sin Pago","",IFERROR(INDEX(Pagos_Odoo!$G:$G, MATCH(X2858, Pagos_Odoo!$B:$B, 0)), ""))</f>
        <v/>
      </c>
      <c r="AD2858" s="82" t="n">
        <v>0</v>
      </c>
      <c r="AE2858" s="82" t="n"/>
      <c r="AF2858" s="82" t="n"/>
      <c r="AG2858" s="82">
        <f>IF(AN2858="","",AD2858+AE2858+AF2858)</f>
        <v/>
      </c>
      <c r="AH2858" s="81">
        <f>IF(AN2858="","",P2858*(1-AG2858))</f>
        <v/>
      </c>
      <c r="AI2858" s="81">
        <f>IF(AN2858="","",IF(Q2858="Sin Factura",0,IFERROR(INDEX(Facturas_Odoo!$H:$H, MATCH(Q2858, Facturas_Odoo!$B:$B, 0)), 0)*(1-AG2858)))</f>
        <v/>
      </c>
      <c r="AJ2858" s="81">
        <f>IF(AN2858="","",_xlfn.LET(idVenta, AN2858&amp;"",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58" s="81">
        <f>IF(AN2858="","",AH2858-AJ2858)</f>
        <v/>
      </c>
      <c r="AL2858" s="81">
        <f>IF(AN2858="","",IF(Q2858="Sin Factura","",AI2858-AJ2858))</f>
        <v/>
      </c>
      <c r="AM2858" s="81">
        <f>IF(AN2858="","",IF(Q2858="Sin Factura",0,P2858-IFERROR(INDEX(Facturas_Odoo!$H:$H, MATCH(Q2858, Facturas_Odoo!$B:$B, 0)), 0)))</f>
        <v/>
      </c>
      <c r="AN2858" s="79">
        <f>IF(AND(A2858="", J2858=""), "", IF(A2858&lt;&gt;"", VALUE(MID(A2858,2,LEN(A2858))), AN2857))</f>
        <v/>
      </c>
      <c r="AO2858" s="79">
        <f>IF(AN2858="","",IF(AD2858=0,"OK",_xlfn.LET(monedaPago, IF(AA2858="","USD",AA2858), limitePermitido, IFERROR(VLOOKUP(monedaPago, Configuración!$A$2:$B$3, 2, FALSE), 0.15), IF(AD2858&gt;limitePermitido, "ALERTA: EXCESO (" &amp; TEXT(limitePermitido, "0%") &amp; " máx)", "OK"))))</f>
        <v/>
      </c>
      <c r="AP2858" s="79">
        <f>IF(AN2858="","",IF(AE2858=0,"OK",_xlfn.LET(fechaPago, Z2858, fechaFactura, R2858, diasCredito, IF(E2858="Pago inmediato", 0, IFERROR(VALUE(MID(E2858, 1, SEARCH(" ", E2858)-1)),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58" s="79">
        <f>IF(AN2858="","",IF(AND(N2858&gt;0, AG2858&gt;0), IF(Configuración!$K$2="NO", "ALERTA: DESCUENTO DOBLE NO PERMITIDO", "OK"), "OK"))</f>
        <v/>
      </c>
      <c r="AR2858" s="79">
        <f>IF(AN2858="","",IF(OR(AO2858&lt;&gt;"OK", AP2858&lt;&gt;"OK", AQ2858&lt;&gt;"OK"), "⚠️ REVISAR", "OK"))</f>
        <v/>
      </c>
    </row>
    <row r="2859">
      <c r="A2859" s="79">
        <f>IF('Ordenes_Odoo'!A2859="","",'Ordenes_Odoo'!A2859)</f>
        <v/>
      </c>
      <c r="B2859" s="80">
        <f>IF('Ordenes_Odoo'!B2859="","",'Ordenes_Odoo'!B2859)</f>
        <v/>
      </c>
      <c r="C2859" s="79">
        <f>IF('Ordenes_Odoo'!C2859="","",'Ordenes_Odoo'!C2859)</f>
        <v/>
      </c>
      <c r="D2859" s="79">
        <f>IF('Ordenes_Odoo'!D2859="","",'Ordenes_Odoo'!D2859)</f>
        <v/>
      </c>
      <c r="E2859" s="79">
        <f>IF('Ordenes_Odoo'!E2859="","",'Ordenes_Odoo'!E2859)</f>
        <v/>
      </c>
      <c r="F2859" s="79">
        <f>IF('Ordenes_Odoo'!F2859="","",'Ordenes_Odoo'!F2859)</f>
        <v/>
      </c>
      <c r="G2859" s="79">
        <f>IF('Ordenes_Odoo'!G2859="","",'Ordenes_Odoo'!G2859)</f>
        <v/>
      </c>
      <c r="H2859" s="79">
        <f>IF('Ordenes_Odoo'!H2859="","",'Ordenes_Odoo'!H2859)</f>
        <v/>
      </c>
      <c r="I2859" s="79">
        <f>IF('Ordenes_Odoo'!I2859="","",'Ordenes_Odoo'!I2859)</f>
        <v/>
      </c>
      <c r="J2859" s="79">
        <f>IF('Ordenes_Odoo'!J2859="","",'Ordenes_Odoo'!J2859)</f>
        <v/>
      </c>
      <c r="K2859" s="81">
        <f>IF('Ordenes_Odoo'!K2859="","",'Ordenes_Odoo'!K2859)</f>
        <v/>
      </c>
      <c r="L2859" s="81">
        <f>IF('Ordenes_Odoo'!L2859="","",'Ordenes_Odoo'!L2859)</f>
        <v/>
      </c>
      <c r="M2859" s="79">
        <f>IF('Ordenes_Odoo'!M2859="","",'Ordenes_Odoo'!M2859)</f>
        <v/>
      </c>
      <c r="N2859" s="79">
        <f>IF('Ordenes_Odoo'!N2859="","",'Ordenes_Odoo'!N2859)</f>
        <v/>
      </c>
      <c r="O2859" s="81">
        <f>IF('Ordenes_Odoo'!O2859="","",'Ordenes_Odoo'!O2859)</f>
        <v/>
      </c>
      <c r="P2859" s="81">
        <f>IF('Ordenes_Odoo'!P2859="","",'Ordenes_Odoo'!P2859)</f>
        <v/>
      </c>
      <c r="Q2859" s="79">
        <f>IF(A2859="","",IFERROR(INDEX(Facturas_Odoo!$B:$B, MATCH(A2859, Facturas_Odoo!$D:$D, 0)), "Sin Factura"))</f>
        <v/>
      </c>
      <c r="R2859" s="80">
        <f>IF(Q2859="Sin Factura","",IFERROR(INDEX(Facturas_Odoo!$A:$A, MATCH(Q2859, Facturas_Odoo!$B:$B, 0)), ""))</f>
        <v/>
      </c>
      <c r="S2859" s="79">
        <f>IF(Q2859="Sin Factura","",IFERROR(_xlfn.XLOOKUP(1, (Facturas_Odoo!$D:$D=A2859) * (Facturas_Odoo!$K:$K=I2859), Facturas_Odoo!$L:$L, ""), ""))</f>
        <v/>
      </c>
      <c r="T2859" s="81">
        <f>IF(Q2859="Sin Factura",0,IFERROR(_xlfn.XLOOKUP(1, (Facturas_Odoo!$D:$D=A2859) * (Facturas_Odoo!$K:$K=I2859), Facturas_Odoo!$M:$M, 0), 0))</f>
        <v/>
      </c>
      <c r="U2859" s="79">
        <f>IF(Q2859="Sin Factura",0,IFERROR(_xlfn.XLOOKUP(1, (Facturas_Odoo!$D:$D=A2859) * (Facturas_Odoo!$K:$K=I2859), Facturas_Odoo!$N:$N, 0), 0))</f>
        <v/>
      </c>
      <c r="V2859" s="79">
        <f>IF(Q2859="Sin Factura",0,IFERROR(_xlfn.XLOOKUP(1, (Facturas_Odoo!$D:$D=A2859) * (Facturas_Odoo!$K:$K=I2859), Facturas_Odoo!$O:$O, 0), 0))</f>
        <v/>
      </c>
      <c r="W2859" s="81">
        <f>IF(Q2859="Sin Factura",0,IFERROR(_xlfn.XLOOKUP(1, (Facturas_Odoo!$D:$D=A2859) * (Facturas_Odoo!$K:$K=I2859), Facturas_Odoo!$Q:$Q, 0), 0))</f>
        <v/>
      </c>
      <c r="X2859" s="79">
        <f>IF(OR(Q2859="Sin Factura",Q2859=""),"",IFERROR(INDEX(Pagos_Odoo!$B:$B, MATCH(Q2859, Pagos_Odoo!$I:$I, 0)), "Sin Pago"))</f>
        <v/>
      </c>
      <c r="Y2859" s="79">
        <f>IF(X2859="Sin Pago","",IFERROR(INDEX(Pagos_Odoo!$C:$C, MATCH(X2859, Pagos_Odoo!$B:$B, 0)), ""))</f>
        <v/>
      </c>
      <c r="Z2859" s="80">
        <f>IF(X2859="Sin Pago","",IFERROR(INDEX(Pagos_Odoo!$A:$A, MATCH(X2859, Pagos_Odoo!$B:$B, 0)), ""))</f>
        <v/>
      </c>
      <c r="AA2859" s="79">
        <f>IF(X2859="Sin Pago","",IFERROR(INDEX(Pagos_Odoo!$F:$F, MATCH(X2859, Pagos_Odoo!$B:$B, 0)), ""))</f>
        <v/>
      </c>
      <c r="AB2859" s="81">
        <f>IF(X2859="Sin Pago",0,IFERROR(INDEX(Pagos_Odoo!$E:$E, MATCH(X2859, Pagos_Odoo!$B:$B, 0)), 0))</f>
        <v/>
      </c>
      <c r="AC2859" s="79">
        <f>IF(X2859="Sin Pago","",IFERROR(INDEX(Pagos_Odoo!$G:$G, MATCH(X2859, Pagos_Odoo!$B:$B, 0)), ""))</f>
        <v/>
      </c>
      <c r="AD2859" s="82" t="n">
        <v>0</v>
      </c>
      <c r="AE2859" s="82" t="n"/>
      <c r="AF2859" s="82" t="n"/>
      <c r="AG2859" s="82">
        <f>IF(AN2859="","",AD2859+AE2859+AF2859)</f>
        <v/>
      </c>
      <c r="AH2859" s="81">
        <f>IF(AN2859="","",P2859*(1-AG2859))</f>
        <v/>
      </c>
      <c r="AI2859" s="81">
        <f>IF(AN2859="","",IF(Q2859="Sin Factura",0,IFERROR(INDEX(Facturas_Odoo!$H:$H, MATCH(Q2859, Facturas_Odoo!$B:$B, 0)), 0)*(1-AG2859)))</f>
        <v/>
      </c>
      <c r="AJ2859" s="81">
        <f>IF(AN2859="","",_xlfn.LET(idVenta, AN2859&amp;"",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59" s="81">
        <f>IF(AN2859="","",AH2859-AJ2859)</f>
        <v/>
      </c>
      <c r="AL2859" s="81">
        <f>IF(AN2859="","",IF(Q2859="Sin Factura","",AI2859-AJ2859))</f>
        <v/>
      </c>
      <c r="AM2859" s="81">
        <f>IF(AN2859="","",IF(Q2859="Sin Factura",0,P2859-IFERROR(INDEX(Facturas_Odoo!$H:$H, MATCH(Q2859, Facturas_Odoo!$B:$B, 0)), 0)))</f>
        <v/>
      </c>
      <c r="AN2859" s="79">
        <f>IF(AND(A2859="", J2859=""), "", IF(A2859&lt;&gt;"", VALUE(MID(A2859,2,LEN(A2859))), AN2858))</f>
        <v/>
      </c>
      <c r="AO2859" s="79">
        <f>IF(AN2859="","",IF(AD2859=0,"OK",_xlfn.LET(monedaPago, IF(AA2859="","USD",AA2859), limitePermitido, IFERROR(VLOOKUP(monedaPago, Configuración!$A$2:$B$3, 2, FALSE), 0.15), IF(AD2859&gt;limitePermitido, "ALERTA: EXCESO (" &amp; TEXT(limitePermitido, "0%") &amp; " máx)", "OK"))))</f>
        <v/>
      </c>
      <c r="AP2859" s="79">
        <f>IF(AN2859="","",IF(AE2859=0,"OK",_xlfn.LET(fechaPago, Z2859, fechaFactura, R2859, diasCredito, IF(E2859="Pago inmediato", 0, IFERROR(VALUE(MID(E2859, 1, SEARCH(" ", E2859)-1)),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59" s="79">
        <f>IF(AN2859="","",IF(AND(N2859&gt;0, AG2859&gt;0), IF(Configuración!$K$2="NO", "ALERTA: DESCUENTO DOBLE NO PERMITIDO", "OK"), "OK"))</f>
        <v/>
      </c>
      <c r="AR2859" s="79">
        <f>IF(AN2859="","",IF(OR(AO2859&lt;&gt;"OK", AP2859&lt;&gt;"OK", AQ2859&lt;&gt;"OK"), "⚠️ REVISAR", "OK"))</f>
        <v/>
      </c>
    </row>
    <row r="2860">
      <c r="A2860" s="79">
        <f>IF('Ordenes_Odoo'!A2860="","",'Ordenes_Odoo'!A2860)</f>
        <v/>
      </c>
      <c r="B2860" s="80">
        <f>IF('Ordenes_Odoo'!B2860="","",'Ordenes_Odoo'!B2860)</f>
        <v/>
      </c>
      <c r="C2860" s="79">
        <f>IF('Ordenes_Odoo'!C2860="","",'Ordenes_Odoo'!C2860)</f>
        <v/>
      </c>
      <c r="D2860" s="79">
        <f>IF('Ordenes_Odoo'!D2860="","",'Ordenes_Odoo'!D2860)</f>
        <v/>
      </c>
      <c r="E2860" s="79">
        <f>IF('Ordenes_Odoo'!E2860="","",'Ordenes_Odoo'!E2860)</f>
        <v/>
      </c>
      <c r="F2860" s="79">
        <f>IF('Ordenes_Odoo'!F2860="","",'Ordenes_Odoo'!F2860)</f>
        <v/>
      </c>
      <c r="G2860" s="79">
        <f>IF('Ordenes_Odoo'!G2860="","",'Ordenes_Odoo'!G2860)</f>
        <v/>
      </c>
      <c r="H2860" s="79">
        <f>IF('Ordenes_Odoo'!H2860="","",'Ordenes_Odoo'!H2860)</f>
        <v/>
      </c>
      <c r="I2860" s="79">
        <f>IF('Ordenes_Odoo'!I2860="","",'Ordenes_Odoo'!I2860)</f>
        <v/>
      </c>
      <c r="J2860" s="79">
        <f>IF('Ordenes_Odoo'!J2860="","",'Ordenes_Odoo'!J2860)</f>
        <v/>
      </c>
      <c r="K2860" s="81">
        <f>IF('Ordenes_Odoo'!K2860="","",'Ordenes_Odoo'!K2860)</f>
        <v/>
      </c>
      <c r="L2860" s="81">
        <f>IF('Ordenes_Odoo'!L2860="","",'Ordenes_Odoo'!L2860)</f>
        <v/>
      </c>
      <c r="M2860" s="79">
        <f>IF('Ordenes_Odoo'!M2860="","",'Ordenes_Odoo'!M2860)</f>
        <v/>
      </c>
      <c r="N2860" s="79">
        <f>IF('Ordenes_Odoo'!N2860="","",'Ordenes_Odoo'!N2860)</f>
        <v/>
      </c>
      <c r="O2860" s="81">
        <f>IF('Ordenes_Odoo'!O2860="","",'Ordenes_Odoo'!O2860)</f>
        <v/>
      </c>
      <c r="P2860" s="81">
        <f>IF('Ordenes_Odoo'!P2860="","",'Ordenes_Odoo'!P2860)</f>
        <v/>
      </c>
      <c r="Q2860" s="79">
        <f>IF(A2860="","",IFERROR(INDEX(Facturas_Odoo!$B:$B, MATCH(A2860, Facturas_Odoo!$D:$D, 0)), "Sin Factura"))</f>
        <v/>
      </c>
      <c r="R2860" s="80">
        <f>IF(Q2860="Sin Factura","",IFERROR(INDEX(Facturas_Odoo!$A:$A, MATCH(Q2860, Facturas_Odoo!$B:$B, 0)), ""))</f>
        <v/>
      </c>
      <c r="S2860" s="79">
        <f>IF(Q2860="Sin Factura","",IFERROR(_xlfn.XLOOKUP(1, (Facturas_Odoo!$D:$D=A2860) * (Facturas_Odoo!$K:$K=I2860), Facturas_Odoo!$L:$L, ""), ""))</f>
        <v/>
      </c>
      <c r="T2860" s="81">
        <f>IF(Q2860="Sin Factura",0,IFERROR(_xlfn.XLOOKUP(1, (Facturas_Odoo!$D:$D=A2860) * (Facturas_Odoo!$K:$K=I2860), Facturas_Odoo!$M:$M, 0), 0))</f>
        <v/>
      </c>
      <c r="U2860" s="79">
        <f>IF(Q2860="Sin Factura",0,IFERROR(_xlfn.XLOOKUP(1, (Facturas_Odoo!$D:$D=A2860) * (Facturas_Odoo!$K:$K=I2860), Facturas_Odoo!$N:$N, 0), 0))</f>
        <v/>
      </c>
      <c r="V2860" s="79">
        <f>IF(Q2860="Sin Factura",0,IFERROR(_xlfn.XLOOKUP(1, (Facturas_Odoo!$D:$D=A2860) * (Facturas_Odoo!$K:$K=I2860), Facturas_Odoo!$O:$O, 0), 0))</f>
        <v/>
      </c>
      <c r="W2860" s="81">
        <f>IF(Q2860="Sin Factura",0,IFERROR(_xlfn.XLOOKUP(1, (Facturas_Odoo!$D:$D=A2860) * (Facturas_Odoo!$K:$K=I2860), Facturas_Odoo!$Q:$Q, 0), 0))</f>
        <v/>
      </c>
      <c r="X2860" s="79">
        <f>IF(OR(Q2860="Sin Factura",Q2860=""),"",IFERROR(INDEX(Pagos_Odoo!$B:$B, MATCH(Q2860, Pagos_Odoo!$I:$I, 0)), "Sin Pago"))</f>
        <v/>
      </c>
      <c r="Y2860" s="79">
        <f>IF(X2860="Sin Pago","",IFERROR(INDEX(Pagos_Odoo!$C:$C, MATCH(X2860, Pagos_Odoo!$B:$B, 0)), ""))</f>
        <v/>
      </c>
      <c r="Z2860" s="80">
        <f>IF(X2860="Sin Pago","",IFERROR(INDEX(Pagos_Odoo!$A:$A, MATCH(X2860, Pagos_Odoo!$B:$B, 0)), ""))</f>
        <v/>
      </c>
      <c r="AA2860" s="79">
        <f>IF(X2860="Sin Pago","",IFERROR(INDEX(Pagos_Odoo!$F:$F, MATCH(X2860, Pagos_Odoo!$B:$B, 0)), ""))</f>
        <v/>
      </c>
      <c r="AB2860" s="81">
        <f>IF(X2860="Sin Pago",0,IFERROR(INDEX(Pagos_Odoo!$E:$E, MATCH(X2860, Pagos_Odoo!$B:$B, 0)), 0))</f>
        <v/>
      </c>
      <c r="AC2860" s="79">
        <f>IF(X2860="Sin Pago","",IFERROR(INDEX(Pagos_Odoo!$G:$G, MATCH(X2860, Pagos_Odoo!$B:$B, 0)), ""))</f>
        <v/>
      </c>
      <c r="AD2860" s="82" t="n">
        <v>0</v>
      </c>
      <c r="AE2860" s="82" t="n"/>
      <c r="AF2860" s="82" t="n"/>
      <c r="AG2860" s="82">
        <f>IF(AN2860="","",AD2860+AE2860+AF2860)</f>
        <v/>
      </c>
      <c r="AH2860" s="81">
        <f>IF(AN2860="","",P2860*(1-AG2860))</f>
        <v/>
      </c>
      <c r="AI2860" s="81">
        <f>IF(AN2860="","",IF(Q2860="Sin Factura",0,IFERROR(INDEX(Facturas_Odoo!$H:$H, MATCH(Q2860, Facturas_Odoo!$B:$B, 0)), 0)*(1-AG2860)))</f>
        <v/>
      </c>
      <c r="AJ2860" s="81">
        <f>IF(AN2860="","",_xlfn.LET(idVenta, AN2860&amp;"",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60" s="81">
        <f>IF(AN2860="","",AH2860-AJ2860)</f>
        <v/>
      </c>
      <c r="AL2860" s="81">
        <f>IF(AN2860="","",IF(Q2860="Sin Factura","",AI2860-AJ2860))</f>
        <v/>
      </c>
      <c r="AM2860" s="81">
        <f>IF(AN2860="","",IF(Q2860="Sin Factura",0,P2860-IFERROR(INDEX(Facturas_Odoo!$H:$H, MATCH(Q2860, Facturas_Odoo!$B:$B, 0)), 0)))</f>
        <v/>
      </c>
      <c r="AN2860" s="79">
        <f>IF(AND(A2860="", J2860=""), "", IF(A2860&lt;&gt;"", VALUE(MID(A2860,2,LEN(A2860))), AN2859))</f>
        <v/>
      </c>
      <c r="AO2860" s="79">
        <f>IF(AN2860="","",IF(AD2860=0,"OK",_xlfn.LET(monedaPago, IF(AA2860="","USD",AA2860), limitePermitido, IFERROR(VLOOKUP(monedaPago, Configuración!$A$2:$B$3, 2, FALSE), 0.15), IF(AD2860&gt;limitePermitido, "ALERTA: EXCESO (" &amp; TEXT(limitePermitido, "0%") &amp; " máx)", "OK"))))</f>
        <v/>
      </c>
      <c r="AP2860" s="79">
        <f>IF(AN2860="","",IF(AE2860=0,"OK",_xlfn.LET(fechaPago, Z2860, fechaFactura, R2860, diasCredito, IF(E2860="Pago inmediato", 0, IFERROR(VALUE(MID(E2860, 1, SEARCH(" ", E2860)-1)),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60" s="79">
        <f>IF(AN2860="","",IF(AND(N2860&gt;0, AG2860&gt;0), IF(Configuración!$K$2="NO", "ALERTA: DESCUENTO DOBLE NO PERMITIDO", "OK"), "OK"))</f>
        <v/>
      </c>
      <c r="AR2860" s="79">
        <f>IF(AN2860="","",IF(OR(AO2860&lt;&gt;"OK", AP2860&lt;&gt;"OK", AQ2860&lt;&gt;"OK"), "⚠️ REVISAR", "OK"))</f>
        <v/>
      </c>
    </row>
    <row r="2861">
      <c r="A2861" s="79">
        <f>IF('Ordenes_Odoo'!A2861="","",'Ordenes_Odoo'!A2861)</f>
        <v/>
      </c>
      <c r="B2861" s="80">
        <f>IF('Ordenes_Odoo'!B2861="","",'Ordenes_Odoo'!B2861)</f>
        <v/>
      </c>
      <c r="C2861" s="79">
        <f>IF('Ordenes_Odoo'!C2861="","",'Ordenes_Odoo'!C2861)</f>
        <v/>
      </c>
      <c r="D2861" s="79">
        <f>IF('Ordenes_Odoo'!D2861="","",'Ordenes_Odoo'!D2861)</f>
        <v/>
      </c>
      <c r="E2861" s="79">
        <f>IF('Ordenes_Odoo'!E2861="","",'Ordenes_Odoo'!E2861)</f>
        <v/>
      </c>
      <c r="F2861" s="79">
        <f>IF('Ordenes_Odoo'!F2861="","",'Ordenes_Odoo'!F2861)</f>
        <v/>
      </c>
      <c r="G2861" s="79">
        <f>IF('Ordenes_Odoo'!G2861="","",'Ordenes_Odoo'!G2861)</f>
        <v/>
      </c>
      <c r="H2861" s="79">
        <f>IF('Ordenes_Odoo'!H2861="","",'Ordenes_Odoo'!H2861)</f>
        <v/>
      </c>
      <c r="I2861" s="79">
        <f>IF('Ordenes_Odoo'!I2861="","",'Ordenes_Odoo'!I2861)</f>
        <v/>
      </c>
      <c r="J2861" s="79">
        <f>IF('Ordenes_Odoo'!J2861="","",'Ordenes_Odoo'!J2861)</f>
        <v/>
      </c>
      <c r="K2861" s="81">
        <f>IF('Ordenes_Odoo'!K2861="","",'Ordenes_Odoo'!K2861)</f>
        <v/>
      </c>
      <c r="L2861" s="81">
        <f>IF('Ordenes_Odoo'!L2861="","",'Ordenes_Odoo'!L2861)</f>
        <v/>
      </c>
      <c r="M2861" s="79">
        <f>IF('Ordenes_Odoo'!M2861="","",'Ordenes_Odoo'!M2861)</f>
        <v/>
      </c>
      <c r="N2861" s="79">
        <f>IF('Ordenes_Odoo'!N2861="","",'Ordenes_Odoo'!N2861)</f>
        <v/>
      </c>
      <c r="O2861" s="81">
        <f>IF('Ordenes_Odoo'!O2861="","",'Ordenes_Odoo'!O2861)</f>
        <v/>
      </c>
      <c r="P2861" s="81">
        <f>IF('Ordenes_Odoo'!P2861="","",'Ordenes_Odoo'!P2861)</f>
        <v/>
      </c>
      <c r="Q2861" s="79">
        <f>IF(A2861="","",IFERROR(INDEX(Facturas_Odoo!$B:$B, MATCH(A2861, Facturas_Odoo!$D:$D, 0)), "Sin Factura"))</f>
        <v/>
      </c>
      <c r="R2861" s="80">
        <f>IF(Q2861="Sin Factura","",IFERROR(INDEX(Facturas_Odoo!$A:$A, MATCH(Q2861, Facturas_Odoo!$B:$B, 0)), ""))</f>
        <v/>
      </c>
      <c r="S2861" s="79">
        <f>IF(Q2861="Sin Factura","",IFERROR(_xlfn.XLOOKUP(1, (Facturas_Odoo!$D:$D=A2861) * (Facturas_Odoo!$K:$K=I2861), Facturas_Odoo!$L:$L, ""), ""))</f>
        <v/>
      </c>
      <c r="T2861" s="81">
        <f>IF(Q2861="Sin Factura",0,IFERROR(_xlfn.XLOOKUP(1, (Facturas_Odoo!$D:$D=A2861) * (Facturas_Odoo!$K:$K=I2861), Facturas_Odoo!$M:$M, 0), 0))</f>
        <v/>
      </c>
      <c r="U2861" s="79">
        <f>IF(Q2861="Sin Factura",0,IFERROR(_xlfn.XLOOKUP(1, (Facturas_Odoo!$D:$D=A2861) * (Facturas_Odoo!$K:$K=I2861), Facturas_Odoo!$N:$N, 0), 0))</f>
        <v/>
      </c>
      <c r="V2861" s="79">
        <f>IF(Q2861="Sin Factura",0,IFERROR(_xlfn.XLOOKUP(1, (Facturas_Odoo!$D:$D=A2861) * (Facturas_Odoo!$K:$K=I2861), Facturas_Odoo!$O:$O, 0), 0))</f>
        <v/>
      </c>
      <c r="W2861" s="81">
        <f>IF(Q2861="Sin Factura",0,IFERROR(_xlfn.XLOOKUP(1, (Facturas_Odoo!$D:$D=A2861) * (Facturas_Odoo!$K:$K=I2861), Facturas_Odoo!$Q:$Q, 0), 0))</f>
        <v/>
      </c>
      <c r="X2861" s="79">
        <f>IF(OR(Q2861="Sin Factura",Q2861=""),"",IFERROR(INDEX(Pagos_Odoo!$B:$B, MATCH(Q2861, Pagos_Odoo!$I:$I, 0)), "Sin Pago"))</f>
        <v/>
      </c>
      <c r="Y2861" s="79">
        <f>IF(X2861="Sin Pago","",IFERROR(INDEX(Pagos_Odoo!$C:$C, MATCH(X2861, Pagos_Odoo!$B:$B, 0)), ""))</f>
        <v/>
      </c>
      <c r="Z2861" s="80">
        <f>IF(X2861="Sin Pago","",IFERROR(INDEX(Pagos_Odoo!$A:$A, MATCH(X2861, Pagos_Odoo!$B:$B, 0)), ""))</f>
        <v/>
      </c>
      <c r="AA2861" s="79">
        <f>IF(X2861="Sin Pago","",IFERROR(INDEX(Pagos_Odoo!$F:$F, MATCH(X2861, Pagos_Odoo!$B:$B, 0)), ""))</f>
        <v/>
      </c>
      <c r="AB2861" s="81">
        <f>IF(X2861="Sin Pago",0,IFERROR(INDEX(Pagos_Odoo!$E:$E, MATCH(X2861, Pagos_Odoo!$B:$B, 0)), 0))</f>
        <v/>
      </c>
      <c r="AC2861" s="79">
        <f>IF(X2861="Sin Pago","",IFERROR(INDEX(Pagos_Odoo!$G:$G, MATCH(X2861, Pagos_Odoo!$B:$B, 0)), ""))</f>
        <v/>
      </c>
      <c r="AD2861" s="82" t="n">
        <v>0</v>
      </c>
      <c r="AE2861" s="82" t="n"/>
      <c r="AF2861" s="82" t="n"/>
      <c r="AG2861" s="82">
        <f>IF(AN2861="","",AD2861+AE2861+AF2861)</f>
        <v/>
      </c>
      <c r="AH2861" s="81">
        <f>IF(AN2861="","",P2861*(1-AG2861))</f>
        <v/>
      </c>
      <c r="AI2861" s="81">
        <f>IF(AN2861="","",IF(Q2861="Sin Factura",0,IFERROR(INDEX(Facturas_Odoo!$H:$H, MATCH(Q2861, Facturas_Odoo!$B:$B, 0)), 0)*(1-AG2861)))</f>
        <v/>
      </c>
      <c r="AJ2861" s="81">
        <f>IF(AN2861="","",_xlfn.LET(idVenta, AN2861&amp;"",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61" s="81">
        <f>IF(AN2861="","",AH2861-AJ2861)</f>
        <v/>
      </c>
      <c r="AL2861" s="81">
        <f>IF(AN2861="","",IF(Q2861="Sin Factura","",AI2861-AJ2861))</f>
        <v/>
      </c>
      <c r="AM2861" s="81">
        <f>IF(AN2861="","",IF(Q2861="Sin Factura",0,P2861-IFERROR(INDEX(Facturas_Odoo!$H:$H, MATCH(Q2861, Facturas_Odoo!$B:$B, 0)), 0)))</f>
        <v/>
      </c>
      <c r="AN2861" s="79">
        <f>IF(AND(A2861="", J2861=""), "", IF(A2861&lt;&gt;"", VALUE(MID(A2861,2,LEN(A2861))), AN2860))</f>
        <v/>
      </c>
      <c r="AO2861" s="79">
        <f>IF(AN2861="","",IF(AD2861=0,"OK",_xlfn.LET(monedaPago, IF(AA2861="","USD",AA2861), limitePermitido, IFERROR(VLOOKUP(monedaPago, Configuración!$A$2:$B$3, 2, FALSE), 0.15), IF(AD2861&gt;limitePermitido, "ALERTA: EXCESO (" &amp; TEXT(limitePermitido, "0%") &amp; " máx)", "OK"))))</f>
        <v/>
      </c>
      <c r="AP2861" s="79">
        <f>IF(AN2861="","",IF(AE2861=0,"OK",_xlfn.LET(fechaPago, Z2861, fechaFactura, R2861, diasCredito, IF(E2861="Pago inmediato", 0, IFERROR(VALUE(MID(E2861, 1, SEARCH(" ", E2861)-1)),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61" s="79">
        <f>IF(AN2861="","",IF(AND(N2861&gt;0, AG2861&gt;0), IF(Configuración!$K$2="NO", "ALERTA: DESCUENTO DOBLE NO PERMITIDO", "OK"), "OK"))</f>
        <v/>
      </c>
      <c r="AR2861" s="79">
        <f>IF(AN2861="","",IF(OR(AO2861&lt;&gt;"OK", AP2861&lt;&gt;"OK", AQ2861&lt;&gt;"OK"), "⚠️ REVISAR", "OK"))</f>
        <v/>
      </c>
    </row>
    <row r="2862">
      <c r="A2862" s="79">
        <f>IF('Ordenes_Odoo'!A2862="","",'Ordenes_Odoo'!A2862)</f>
        <v/>
      </c>
      <c r="B2862" s="80">
        <f>IF('Ordenes_Odoo'!B2862="","",'Ordenes_Odoo'!B2862)</f>
        <v/>
      </c>
      <c r="C2862" s="79">
        <f>IF('Ordenes_Odoo'!C2862="","",'Ordenes_Odoo'!C2862)</f>
        <v/>
      </c>
      <c r="D2862" s="79">
        <f>IF('Ordenes_Odoo'!D2862="","",'Ordenes_Odoo'!D2862)</f>
        <v/>
      </c>
      <c r="E2862" s="79">
        <f>IF('Ordenes_Odoo'!E2862="","",'Ordenes_Odoo'!E2862)</f>
        <v/>
      </c>
      <c r="F2862" s="79">
        <f>IF('Ordenes_Odoo'!F2862="","",'Ordenes_Odoo'!F2862)</f>
        <v/>
      </c>
      <c r="G2862" s="79">
        <f>IF('Ordenes_Odoo'!G2862="","",'Ordenes_Odoo'!G2862)</f>
        <v/>
      </c>
      <c r="H2862" s="79">
        <f>IF('Ordenes_Odoo'!H2862="","",'Ordenes_Odoo'!H2862)</f>
        <v/>
      </c>
      <c r="I2862" s="79">
        <f>IF('Ordenes_Odoo'!I2862="","",'Ordenes_Odoo'!I2862)</f>
        <v/>
      </c>
      <c r="J2862" s="79">
        <f>IF('Ordenes_Odoo'!J2862="","",'Ordenes_Odoo'!J2862)</f>
        <v/>
      </c>
      <c r="K2862" s="81">
        <f>IF('Ordenes_Odoo'!K2862="","",'Ordenes_Odoo'!K2862)</f>
        <v/>
      </c>
      <c r="L2862" s="81">
        <f>IF('Ordenes_Odoo'!L2862="","",'Ordenes_Odoo'!L2862)</f>
        <v/>
      </c>
      <c r="M2862" s="79">
        <f>IF('Ordenes_Odoo'!M2862="","",'Ordenes_Odoo'!M2862)</f>
        <v/>
      </c>
      <c r="N2862" s="79">
        <f>IF('Ordenes_Odoo'!N2862="","",'Ordenes_Odoo'!N2862)</f>
        <v/>
      </c>
      <c r="O2862" s="81">
        <f>IF('Ordenes_Odoo'!O2862="","",'Ordenes_Odoo'!O2862)</f>
        <v/>
      </c>
      <c r="P2862" s="81">
        <f>IF('Ordenes_Odoo'!P2862="","",'Ordenes_Odoo'!P2862)</f>
        <v/>
      </c>
      <c r="Q2862" s="79">
        <f>IF(A2862="","",IFERROR(INDEX(Facturas_Odoo!$B:$B, MATCH(A2862, Facturas_Odoo!$D:$D, 0)), "Sin Factura"))</f>
        <v/>
      </c>
      <c r="R2862" s="80">
        <f>IF(Q2862="Sin Factura","",IFERROR(INDEX(Facturas_Odoo!$A:$A, MATCH(Q2862, Facturas_Odoo!$B:$B, 0)), ""))</f>
        <v/>
      </c>
      <c r="S2862" s="79">
        <f>IF(Q2862="Sin Factura","",IFERROR(_xlfn.XLOOKUP(1, (Facturas_Odoo!$D:$D=A2862) * (Facturas_Odoo!$K:$K=I2862), Facturas_Odoo!$L:$L, ""), ""))</f>
        <v/>
      </c>
      <c r="T2862" s="81">
        <f>IF(Q2862="Sin Factura",0,IFERROR(_xlfn.XLOOKUP(1, (Facturas_Odoo!$D:$D=A2862) * (Facturas_Odoo!$K:$K=I2862), Facturas_Odoo!$M:$M, 0), 0))</f>
        <v/>
      </c>
      <c r="U2862" s="79">
        <f>IF(Q2862="Sin Factura",0,IFERROR(_xlfn.XLOOKUP(1, (Facturas_Odoo!$D:$D=A2862) * (Facturas_Odoo!$K:$K=I2862), Facturas_Odoo!$N:$N, 0), 0))</f>
        <v/>
      </c>
      <c r="V2862" s="79">
        <f>IF(Q2862="Sin Factura",0,IFERROR(_xlfn.XLOOKUP(1, (Facturas_Odoo!$D:$D=A2862) * (Facturas_Odoo!$K:$K=I2862), Facturas_Odoo!$O:$O, 0), 0))</f>
        <v/>
      </c>
      <c r="W2862" s="81">
        <f>IF(Q2862="Sin Factura",0,IFERROR(_xlfn.XLOOKUP(1, (Facturas_Odoo!$D:$D=A2862) * (Facturas_Odoo!$K:$K=I2862), Facturas_Odoo!$Q:$Q, 0), 0))</f>
        <v/>
      </c>
      <c r="X2862" s="79">
        <f>IF(OR(Q2862="Sin Factura",Q2862=""),"",IFERROR(INDEX(Pagos_Odoo!$B:$B, MATCH(Q2862, Pagos_Odoo!$I:$I, 0)), "Sin Pago"))</f>
        <v/>
      </c>
      <c r="Y2862" s="79">
        <f>IF(X2862="Sin Pago","",IFERROR(INDEX(Pagos_Odoo!$C:$C, MATCH(X2862, Pagos_Odoo!$B:$B, 0)), ""))</f>
        <v/>
      </c>
      <c r="Z2862" s="80">
        <f>IF(X2862="Sin Pago","",IFERROR(INDEX(Pagos_Odoo!$A:$A, MATCH(X2862, Pagos_Odoo!$B:$B, 0)), ""))</f>
        <v/>
      </c>
      <c r="AA2862" s="79">
        <f>IF(X2862="Sin Pago","",IFERROR(INDEX(Pagos_Odoo!$F:$F, MATCH(X2862, Pagos_Odoo!$B:$B, 0)), ""))</f>
        <v/>
      </c>
      <c r="AB2862" s="81">
        <f>IF(X2862="Sin Pago",0,IFERROR(INDEX(Pagos_Odoo!$E:$E, MATCH(X2862, Pagos_Odoo!$B:$B, 0)), 0))</f>
        <v/>
      </c>
      <c r="AC2862" s="79">
        <f>IF(X2862="Sin Pago","",IFERROR(INDEX(Pagos_Odoo!$G:$G, MATCH(X2862, Pagos_Odoo!$B:$B, 0)), ""))</f>
        <v/>
      </c>
      <c r="AD2862" s="82" t="n">
        <v>0</v>
      </c>
      <c r="AE2862" s="82" t="n"/>
      <c r="AF2862" s="82" t="n"/>
      <c r="AG2862" s="82">
        <f>IF(AN2862="","",AD2862+AE2862+AF2862)</f>
        <v/>
      </c>
      <c r="AH2862" s="81">
        <f>IF(AN2862="","",P2862*(1-AG2862))</f>
        <v/>
      </c>
      <c r="AI2862" s="81">
        <f>IF(AN2862="","",IF(Q2862="Sin Factura",0,IFERROR(INDEX(Facturas_Odoo!$H:$H, MATCH(Q2862, Facturas_Odoo!$B:$B, 0)), 0)*(1-AG2862)))</f>
        <v/>
      </c>
      <c r="AJ2862" s="81">
        <f>IF(AN2862="","",_xlfn.LET(idVenta, AN2862&amp;"",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62" s="81">
        <f>IF(AN2862="","",AH2862-AJ2862)</f>
        <v/>
      </c>
      <c r="AL2862" s="81">
        <f>IF(AN2862="","",IF(Q2862="Sin Factura","",AI2862-AJ2862))</f>
        <v/>
      </c>
      <c r="AM2862" s="81">
        <f>IF(AN2862="","",IF(Q2862="Sin Factura",0,P2862-IFERROR(INDEX(Facturas_Odoo!$H:$H, MATCH(Q2862, Facturas_Odoo!$B:$B, 0)), 0)))</f>
        <v/>
      </c>
      <c r="AN2862" s="79">
        <f>IF(AND(A2862="", J2862=""), "", IF(A2862&lt;&gt;"", VALUE(MID(A2862,2,LEN(A2862))), AN2861))</f>
        <v/>
      </c>
      <c r="AO2862" s="79">
        <f>IF(AN2862="","",IF(AD2862=0,"OK",_xlfn.LET(monedaPago, IF(AA2862="","USD",AA2862), limitePermitido, IFERROR(VLOOKUP(monedaPago, Configuración!$A$2:$B$3, 2, FALSE), 0.15), IF(AD2862&gt;limitePermitido, "ALERTA: EXCESO (" &amp; TEXT(limitePermitido, "0%") &amp; " máx)", "OK"))))</f>
        <v/>
      </c>
      <c r="AP2862" s="79">
        <f>IF(AN2862="","",IF(AE2862=0,"OK",_xlfn.LET(fechaPago, Z2862, fechaFactura, R2862, diasCredito, IF(E2862="Pago inmediato", 0, IFERROR(VALUE(MID(E2862, 1, SEARCH(" ", E2862)-1)),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62" s="79">
        <f>IF(AN2862="","",IF(AND(N2862&gt;0, AG2862&gt;0), IF(Configuración!$K$2="NO", "ALERTA: DESCUENTO DOBLE NO PERMITIDO", "OK"), "OK"))</f>
        <v/>
      </c>
      <c r="AR2862" s="79">
        <f>IF(AN2862="","",IF(OR(AO2862&lt;&gt;"OK", AP2862&lt;&gt;"OK", AQ2862&lt;&gt;"OK"), "⚠️ REVISAR", "OK"))</f>
        <v/>
      </c>
    </row>
    <row r="2863">
      <c r="A2863" s="79">
        <f>IF('Ordenes_Odoo'!A2863="","",'Ordenes_Odoo'!A2863)</f>
        <v/>
      </c>
      <c r="B2863" s="80">
        <f>IF('Ordenes_Odoo'!B2863="","",'Ordenes_Odoo'!B2863)</f>
        <v/>
      </c>
      <c r="C2863" s="79">
        <f>IF('Ordenes_Odoo'!C2863="","",'Ordenes_Odoo'!C2863)</f>
        <v/>
      </c>
      <c r="D2863" s="79">
        <f>IF('Ordenes_Odoo'!D2863="","",'Ordenes_Odoo'!D2863)</f>
        <v/>
      </c>
      <c r="E2863" s="79">
        <f>IF('Ordenes_Odoo'!E2863="","",'Ordenes_Odoo'!E2863)</f>
        <v/>
      </c>
      <c r="F2863" s="79">
        <f>IF('Ordenes_Odoo'!F2863="","",'Ordenes_Odoo'!F2863)</f>
        <v/>
      </c>
      <c r="G2863" s="79">
        <f>IF('Ordenes_Odoo'!G2863="","",'Ordenes_Odoo'!G2863)</f>
        <v/>
      </c>
      <c r="H2863" s="79">
        <f>IF('Ordenes_Odoo'!H2863="","",'Ordenes_Odoo'!H2863)</f>
        <v/>
      </c>
      <c r="I2863" s="79">
        <f>IF('Ordenes_Odoo'!I2863="","",'Ordenes_Odoo'!I2863)</f>
        <v/>
      </c>
      <c r="J2863" s="79">
        <f>IF('Ordenes_Odoo'!J2863="","",'Ordenes_Odoo'!J2863)</f>
        <v/>
      </c>
      <c r="K2863" s="81">
        <f>IF('Ordenes_Odoo'!K2863="","",'Ordenes_Odoo'!K2863)</f>
        <v/>
      </c>
      <c r="L2863" s="81">
        <f>IF('Ordenes_Odoo'!L2863="","",'Ordenes_Odoo'!L2863)</f>
        <v/>
      </c>
      <c r="M2863" s="79">
        <f>IF('Ordenes_Odoo'!M2863="","",'Ordenes_Odoo'!M2863)</f>
        <v/>
      </c>
      <c r="N2863" s="79">
        <f>IF('Ordenes_Odoo'!N2863="","",'Ordenes_Odoo'!N2863)</f>
        <v/>
      </c>
      <c r="O2863" s="81">
        <f>IF('Ordenes_Odoo'!O2863="","",'Ordenes_Odoo'!O2863)</f>
        <v/>
      </c>
      <c r="P2863" s="81">
        <f>IF('Ordenes_Odoo'!P2863="","",'Ordenes_Odoo'!P2863)</f>
        <v/>
      </c>
      <c r="Q2863" s="79">
        <f>IF(A2863="","",IFERROR(INDEX(Facturas_Odoo!$B:$B, MATCH(A2863, Facturas_Odoo!$D:$D, 0)), "Sin Factura"))</f>
        <v/>
      </c>
      <c r="R2863" s="80">
        <f>IF(Q2863="Sin Factura","",IFERROR(INDEX(Facturas_Odoo!$A:$A, MATCH(Q2863, Facturas_Odoo!$B:$B, 0)), ""))</f>
        <v/>
      </c>
      <c r="S2863" s="79">
        <f>IF(Q2863="Sin Factura","",IFERROR(_xlfn.XLOOKUP(1, (Facturas_Odoo!$D:$D=A2863) * (Facturas_Odoo!$K:$K=I2863), Facturas_Odoo!$L:$L, ""), ""))</f>
        <v/>
      </c>
      <c r="T2863" s="81">
        <f>IF(Q2863="Sin Factura",0,IFERROR(_xlfn.XLOOKUP(1, (Facturas_Odoo!$D:$D=A2863) * (Facturas_Odoo!$K:$K=I2863), Facturas_Odoo!$M:$M, 0), 0))</f>
        <v/>
      </c>
      <c r="U2863" s="79">
        <f>IF(Q2863="Sin Factura",0,IFERROR(_xlfn.XLOOKUP(1, (Facturas_Odoo!$D:$D=A2863) * (Facturas_Odoo!$K:$K=I2863), Facturas_Odoo!$N:$N, 0), 0))</f>
        <v/>
      </c>
      <c r="V2863" s="79">
        <f>IF(Q2863="Sin Factura",0,IFERROR(_xlfn.XLOOKUP(1, (Facturas_Odoo!$D:$D=A2863) * (Facturas_Odoo!$K:$K=I2863), Facturas_Odoo!$O:$O, 0), 0))</f>
        <v/>
      </c>
      <c r="W2863" s="81">
        <f>IF(Q2863="Sin Factura",0,IFERROR(_xlfn.XLOOKUP(1, (Facturas_Odoo!$D:$D=A2863) * (Facturas_Odoo!$K:$K=I2863), Facturas_Odoo!$Q:$Q, 0), 0))</f>
        <v/>
      </c>
      <c r="X2863" s="79">
        <f>IF(OR(Q2863="Sin Factura",Q2863=""),"",IFERROR(INDEX(Pagos_Odoo!$B:$B, MATCH(Q2863, Pagos_Odoo!$I:$I, 0)), "Sin Pago"))</f>
        <v/>
      </c>
      <c r="Y2863" s="79">
        <f>IF(X2863="Sin Pago","",IFERROR(INDEX(Pagos_Odoo!$C:$C, MATCH(X2863, Pagos_Odoo!$B:$B, 0)), ""))</f>
        <v/>
      </c>
      <c r="Z2863" s="80">
        <f>IF(X2863="Sin Pago","",IFERROR(INDEX(Pagos_Odoo!$A:$A, MATCH(X2863, Pagos_Odoo!$B:$B, 0)), ""))</f>
        <v/>
      </c>
      <c r="AA2863" s="79">
        <f>IF(X2863="Sin Pago","",IFERROR(INDEX(Pagos_Odoo!$F:$F, MATCH(X2863, Pagos_Odoo!$B:$B, 0)), ""))</f>
        <v/>
      </c>
      <c r="AB2863" s="81">
        <f>IF(X2863="Sin Pago",0,IFERROR(INDEX(Pagos_Odoo!$E:$E, MATCH(X2863, Pagos_Odoo!$B:$B, 0)), 0))</f>
        <v/>
      </c>
      <c r="AC2863" s="79">
        <f>IF(X2863="Sin Pago","",IFERROR(INDEX(Pagos_Odoo!$G:$G, MATCH(X2863, Pagos_Odoo!$B:$B, 0)), ""))</f>
        <v/>
      </c>
      <c r="AD2863" s="82" t="n">
        <v>0</v>
      </c>
      <c r="AE2863" s="82" t="n"/>
      <c r="AF2863" s="82" t="n"/>
      <c r="AG2863" s="82">
        <f>IF(AN2863="","",AD2863+AE2863+AF2863)</f>
        <v/>
      </c>
      <c r="AH2863" s="81">
        <f>IF(AN2863="","",P2863*(1-AG2863))</f>
        <v/>
      </c>
      <c r="AI2863" s="81">
        <f>IF(AN2863="","",IF(Q2863="Sin Factura",0,IFERROR(INDEX(Facturas_Odoo!$H:$H, MATCH(Q2863, Facturas_Odoo!$B:$B, 0)), 0)*(1-AG2863)))</f>
        <v/>
      </c>
      <c r="AJ2863" s="81">
        <f>IF(AN2863="","",_xlfn.LET(idVenta, AN2863&amp;"",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63" s="81">
        <f>IF(AN2863="","",AH2863-AJ2863)</f>
        <v/>
      </c>
      <c r="AL2863" s="81">
        <f>IF(AN2863="","",IF(Q2863="Sin Factura","",AI2863-AJ2863))</f>
        <v/>
      </c>
      <c r="AM2863" s="81">
        <f>IF(AN2863="","",IF(Q2863="Sin Factura",0,P2863-IFERROR(INDEX(Facturas_Odoo!$H:$H, MATCH(Q2863, Facturas_Odoo!$B:$B, 0)), 0)))</f>
        <v/>
      </c>
      <c r="AN2863" s="79">
        <f>IF(AND(A2863="", J2863=""), "", IF(A2863&lt;&gt;"", VALUE(MID(A2863,2,LEN(A2863))), AN2862))</f>
        <v/>
      </c>
      <c r="AO2863" s="79">
        <f>IF(AN2863="","",IF(AD2863=0,"OK",_xlfn.LET(monedaPago, IF(AA2863="","USD",AA2863), limitePermitido, IFERROR(VLOOKUP(monedaPago, Configuración!$A$2:$B$3, 2, FALSE), 0.15), IF(AD2863&gt;limitePermitido, "ALERTA: EXCESO (" &amp; TEXT(limitePermitido, "0%") &amp; " máx)", "OK"))))</f>
        <v/>
      </c>
      <c r="AP2863" s="79">
        <f>IF(AN2863="","",IF(AE2863=0,"OK",_xlfn.LET(fechaPago, Z2863, fechaFactura, R2863, diasCredito, IF(E2863="Pago inmediato", 0, IFERROR(VALUE(MID(E2863, 1, SEARCH(" ", E2863)-1)),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63" s="79">
        <f>IF(AN2863="","",IF(AND(N2863&gt;0, AG2863&gt;0), IF(Configuración!$K$2="NO", "ALERTA: DESCUENTO DOBLE NO PERMITIDO", "OK"), "OK"))</f>
        <v/>
      </c>
      <c r="AR2863" s="79">
        <f>IF(AN2863="","",IF(OR(AO2863&lt;&gt;"OK", AP2863&lt;&gt;"OK", AQ2863&lt;&gt;"OK"), "⚠️ REVISAR", "OK"))</f>
        <v/>
      </c>
    </row>
    <row r="2864">
      <c r="A2864" s="79">
        <f>IF('Ordenes_Odoo'!A2864="","",'Ordenes_Odoo'!A2864)</f>
        <v/>
      </c>
      <c r="B2864" s="80">
        <f>IF('Ordenes_Odoo'!B2864="","",'Ordenes_Odoo'!B2864)</f>
        <v/>
      </c>
      <c r="C2864" s="79">
        <f>IF('Ordenes_Odoo'!C2864="","",'Ordenes_Odoo'!C2864)</f>
        <v/>
      </c>
      <c r="D2864" s="79">
        <f>IF('Ordenes_Odoo'!D2864="","",'Ordenes_Odoo'!D2864)</f>
        <v/>
      </c>
      <c r="E2864" s="79">
        <f>IF('Ordenes_Odoo'!E2864="","",'Ordenes_Odoo'!E2864)</f>
        <v/>
      </c>
      <c r="F2864" s="79">
        <f>IF('Ordenes_Odoo'!F2864="","",'Ordenes_Odoo'!F2864)</f>
        <v/>
      </c>
      <c r="G2864" s="79">
        <f>IF('Ordenes_Odoo'!G2864="","",'Ordenes_Odoo'!G2864)</f>
        <v/>
      </c>
      <c r="H2864" s="79">
        <f>IF('Ordenes_Odoo'!H2864="","",'Ordenes_Odoo'!H2864)</f>
        <v/>
      </c>
      <c r="I2864" s="79">
        <f>IF('Ordenes_Odoo'!I2864="","",'Ordenes_Odoo'!I2864)</f>
        <v/>
      </c>
      <c r="J2864" s="79">
        <f>IF('Ordenes_Odoo'!J2864="","",'Ordenes_Odoo'!J2864)</f>
        <v/>
      </c>
      <c r="K2864" s="81">
        <f>IF('Ordenes_Odoo'!K2864="","",'Ordenes_Odoo'!K2864)</f>
        <v/>
      </c>
      <c r="L2864" s="81">
        <f>IF('Ordenes_Odoo'!L2864="","",'Ordenes_Odoo'!L2864)</f>
        <v/>
      </c>
      <c r="M2864" s="79">
        <f>IF('Ordenes_Odoo'!M2864="","",'Ordenes_Odoo'!M2864)</f>
        <v/>
      </c>
      <c r="N2864" s="79">
        <f>IF('Ordenes_Odoo'!N2864="","",'Ordenes_Odoo'!N2864)</f>
        <v/>
      </c>
      <c r="O2864" s="81">
        <f>IF('Ordenes_Odoo'!O2864="","",'Ordenes_Odoo'!O2864)</f>
        <v/>
      </c>
      <c r="P2864" s="81">
        <f>IF('Ordenes_Odoo'!P2864="","",'Ordenes_Odoo'!P2864)</f>
        <v/>
      </c>
      <c r="Q2864" s="79">
        <f>IF(A2864="","",IFERROR(INDEX(Facturas_Odoo!$B:$B, MATCH(A2864, Facturas_Odoo!$D:$D, 0)), "Sin Factura"))</f>
        <v/>
      </c>
      <c r="R2864" s="80">
        <f>IF(Q2864="Sin Factura","",IFERROR(INDEX(Facturas_Odoo!$A:$A, MATCH(Q2864, Facturas_Odoo!$B:$B, 0)), ""))</f>
        <v/>
      </c>
      <c r="S2864" s="79">
        <f>IF(Q2864="Sin Factura","",IFERROR(_xlfn.XLOOKUP(1, (Facturas_Odoo!$D:$D=A2864) * (Facturas_Odoo!$K:$K=I2864), Facturas_Odoo!$L:$L, ""), ""))</f>
        <v/>
      </c>
      <c r="T2864" s="81">
        <f>IF(Q2864="Sin Factura",0,IFERROR(_xlfn.XLOOKUP(1, (Facturas_Odoo!$D:$D=A2864) * (Facturas_Odoo!$K:$K=I2864), Facturas_Odoo!$M:$M, 0), 0))</f>
        <v/>
      </c>
      <c r="U2864" s="79">
        <f>IF(Q2864="Sin Factura",0,IFERROR(_xlfn.XLOOKUP(1, (Facturas_Odoo!$D:$D=A2864) * (Facturas_Odoo!$K:$K=I2864), Facturas_Odoo!$N:$N, 0), 0))</f>
        <v/>
      </c>
      <c r="V2864" s="79">
        <f>IF(Q2864="Sin Factura",0,IFERROR(_xlfn.XLOOKUP(1, (Facturas_Odoo!$D:$D=A2864) * (Facturas_Odoo!$K:$K=I2864), Facturas_Odoo!$O:$O, 0), 0))</f>
        <v/>
      </c>
      <c r="W2864" s="81">
        <f>IF(Q2864="Sin Factura",0,IFERROR(_xlfn.XLOOKUP(1, (Facturas_Odoo!$D:$D=A2864) * (Facturas_Odoo!$K:$K=I2864), Facturas_Odoo!$Q:$Q, 0), 0))</f>
        <v/>
      </c>
      <c r="X2864" s="79">
        <f>IF(OR(Q2864="Sin Factura",Q2864=""),"",IFERROR(INDEX(Pagos_Odoo!$B:$B, MATCH(Q2864, Pagos_Odoo!$I:$I, 0)), "Sin Pago"))</f>
        <v/>
      </c>
      <c r="Y2864" s="79">
        <f>IF(X2864="Sin Pago","",IFERROR(INDEX(Pagos_Odoo!$C:$C, MATCH(X2864, Pagos_Odoo!$B:$B, 0)), ""))</f>
        <v/>
      </c>
      <c r="Z2864" s="80">
        <f>IF(X2864="Sin Pago","",IFERROR(INDEX(Pagos_Odoo!$A:$A, MATCH(X2864, Pagos_Odoo!$B:$B, 0)), ""))</f>
        <v/>
      </c>
      <c r="AA2864" s="79">
        <f>IF(X2864="Sin Pago","",IFERROR(INDEX(Pagos_Odoo!$F:$F, MATCH(X2864, Pagos_Odoo!$B:$B, 0)), ""))</f>
        <v/>
      </c>
      <c r="AB2864" s="81">
        <f>IF(X2864="Sin Pago",0,IFERROR(INDEX(Pagos_Odoo!$E:$E, MATCH(X2864, Pagos_Odoo!$B:$B, 0)), 0))</f>
        <v/>
      </c>
      <c r="AC2864" s="79">
        <f>IF(X2864="Sin Pago","",IFERROR(INDEX(Pagos_Odoo!$G:$G, MATCH(X2864, Pagos_Odoo!$B:$B, 0)), ""))</f>
        <v/>
      </c>
      <c r="AD2864" s="82" t="n">
        <v>0</v>
      </c>
      <c r="AE2864" s="82" t="n"/>
      <c r="AF2864" s="82" t="n"/>
      <c r="AG2864" s="82">
        <f>IF(AN2864="","",AD2864+AE2864+AF2864)</f>
        <v/>
      </c>
      <c r="AH2864" s="81">
        <f>IF(AN2864="","",P2864*(1-AG2864))</f>
        <v/>
      </c>
      <c r="AI2864" s="81">
        <f>IF(AN2864="","",IF(Q2864="Sin Factura",0,IFERROR(INDEX(Facturas_Odoo!$H:$H, MATCH(Q2864, Facturas_Odoo!$B:$B, 0)), 0)*(1-AG2864)))</f>
        <v/>
      </c>
      <c r="AJ2864" s="81">
        <f>IF(AN2864="","",_xlfn.LET(idVenta, AN2864&amp;"",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64" s="81">
        <f>IF(AN2864="","",AH2864-AJ2864)</f>
        <v/>
      </c>
      <c r="AL2864" s="81">
        <f>IF(AN2864="","",IF(Q2864="Sin Factura","",AI2864-AJ2864))</f>
        <v/>
      </c>
      <c r="AM2864" s="81">
        <f>IF(AN2864="","",IF(Q2864="Sin Factura",0,P2864-IFERROR(INDEX(Facturas_Odoo!$H:$H, MATCH(Q2864, Facturas_Odoo!$B:$B, 0)), 0)))</f>
        <v/>
      </c>
      <c r="AN2864" s="79">
        <f>IF(AND(A2864="", J2864=""), "", IF(A2864&lt;&gt;"", VALUE(MID(A2864,2,LEN(A2864))), AN2863))</f>
        <v/>
      </c>
      <c r="AO2864" s="79">
        <f>IF(AN2864="","",IF(AD2864=0,"OK",_xlfn.LET(monedaPago, IF(AA2864="","USD",AA2864), limitePermitido, IFERROR(VLOOKUP(monedaPago, Configuración!$A$2:$B$3, 2, FALSE), 0.15), IF(AD2864&gt;limitePermitido, "ALERTA: EXCESO (" &amp; TEXT(limitePermitido, "0%") &amp; " máx)", "OK"))))</f>
        <v/>
      </c>
      <c r="AP2864" s="79">
        <f>IF(AN2864="","",IF(AE2864=0,"OK",_xlfn.LET(fechaPago, Z2864, fechaFactura, R2864, diasCredito, IF(E2864="Pago inmediato", 0, IFERROR(VALUE(MID(E2864, 1, SEARCH(" ", E2864)-1)),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64" s="79">
        <f>IF(AN2864="","",IF(AND(N2864&gt;0, AG2864&gt;0), IF(Configuración!$K$2="NO", "ALERTA: DESCUENTO DOBLE NO PERMITIDO", "OK"), "OK"))</f>
        <v/>
      </c>
      <c r="AR2864" s="79">
        <f>IF(AN2864="","",IF(OR(AO2864&lt;&gt;"OK", AP2864&lt;&gt;"OK", AQ2864&lt;&gt;"OK"), "⚠️ REVISAR", "OK"))</f>
        <v/>
      </c>
    </row>
    <row r="2865">
      <c r="A2865" s="79">
        <f>IF('Ordenes_Odoo'!A2865="","",'Ordenes_Odoo'!A2865)</f>
        <v/>
      </c>
      <c r="B2865" s="80">
        <f>IF('Ordenes_Odoo'!B2865="","",'Ordenes_Odoo'!B2865)</f>
        <v/>
      </c>
      <c r="C2865" s="79">
        <f>IF('Ordenes_Odoo'!C2865="","",'Ordenes_Odoo'!C2865)</f>
        <v/>
      </c>
      <c r="D2865" s="79">
        <f>IF('Ordenes_Odoo'!D2865="","",'Ordenes_Odoo'!D2865)</f>
        <v/>
      </c>
      <c r="E2865" s="79">
        <f>IF('Ordenes_Odoo'!E2865="","",'Ordenes_Odoo'!E2865)</f>
        <v/>
      </c>
      <c r="F2865" s="79">
        <f>IF('Ordenes_Odoo'!F2865="","",'Ordenes_Odoo'!F2865)</f>
        <v/>
      </c>
      <c r="G2865" s="79">
        <f>IF('Ordenes_Odoo'!G2865="","",'Ordenes_Odoo'!G2865)</f>
        <v/>
      </c>
      <c r="H2865" s="79">
        <f>IF('Ordenes_Odoo'!H2865="","",'Ordenes_Odoo'!H2865)</f>
        <v/>
      </c>
      <c r="I2865" s="79">
        <f>IF('Ordenes_Odoo'!I2865="","",'Ordenes_Odoo'!I2865)</f>
        <v/>
      </c>
      <c r="J2865" s="79">
        <f>IF('Ordenes_Odoo'!J2865="","",'Ordenes_Odoo'!J2865)</f>
        <v/>
      </c>
      <c r="K2865" s="81">
        <f>IF('Ordenes_Odoo'!K2865="","",'Ordenes_Odoo'!K2865)</f>
        <v/>
      </c>
      <c r="L2865" s="81">
        <f>IF('Ordenes_Odoo'!L2865="","",'Ordenes_Odoo'!L2865)</f>
        <v/>
      </c>
      <c r="M2865" s="79">
        <f>IF('Ordenes_Odoo'!M2865="","",'Ordenes_Odoo'!M2865)</f>
        <v/>
      </c>
      <c r="N2865" s="79">
        <f>IF('Ordenes_Odoo'!N2865="","",'Ordenes_Odoo'!N2865)</f>
        <v/>
      </c>
      <c r="O2865" s="81">
        <f>IF('Ordenes_Odoo'!O2865="","",'Ordenes_Odoo'!O2865)</f>
        <v/>
      </c>
      <c r="P2865" s="81">
        <f>IF('Ordenes_Odoo'!P2865="","",'Ordenes_Odoo'!P2865)</f>
        <v/>
      </c>
      <c r="Q2865" s="79">
        <f>IF(A2865="","",IFERROR(INDEX(Facturas_Odoo!$B:$B, MATCH(A2865, Facturas_Odoo!$D:$D, 0)), "Sin Factura"))</f>
        <v/>
      </c>
      <c r="R2865" s="80">
        <f>IF(Q2865="Sin Factura","",IFERROR(INDEX(Facturas_Odoo!$A:$A, MATCH(Q2865, Facturas_Odoo!$B:$B, 0)), ""))</f>
        <v/>
      </c>
      <c r="S2865" s="79">
        <f>IF(Q2865="Sin Factura","",IFERROR(_xlfn.XLOOKUP(1, (Facturas_Odoo!$D:$D=A2865) * (Facturas_Odoo!$K:$K=I2865), Facturas_Odoo!$L:$L, ""), ""))</f>
        <v/>
      </c>
      <c r="T2865" s="81">
        <f>IF(Q2865="Sin Factura",0,IFERROR(_xlfn.XLOOKUP(1, (Facturas_Odoo!$D:$D=A2865) * (Facturas_Odoo!$K:$K=I2865), Facturas_Odoo!$M:$M, 0), 0))</f>
        <v/>
      </c>
      <c r="U2865" s="79">
        <f>IF(Q2865="Sin Factura",0,IFERROR(_xlfn.XLOOKUP(1, (Facturas_Odoo!$D:$D=A2865) * (Facturas_Odoo!$K:$K=I2865), Facturas_Odoo!$N:$N, 0), 0))</f>
        <v/>
      </c>
      <c r="V2865" s="79">
        <f>IF(Q2865="Sin Factura",0,IFERROR(_xlfn.XLOOKUP(1, (Facturas_Odoo!$D:$D=A2865) * (Facturas_Odoo!$K:$K=I2865), Facturas_Odoo!$O:$O, 0), 0))</f>
        <v/>
      </c>
      <c r="W2865" s="81">
        <f>IF(Q2865="Sin Factura",0,IFERROR(_xlfn.XLOOKUP(1, (Facturas_Odoo!$D:$D=A2865) * (Facturas_Odoo!$K:$K=I2865), Facturas_Odoo!$Q:$Q, 0), 0))</f>
        <v/>
      </c>
      <c r="X2865" s="79">
        <f>IF(OR(Q2865="Sin Factura",Q2865=""),"",IFERROR(INDEX(Pagos_Odoo!$B:$B, MATCH(Q2865, Pagos_Odoo!$I:$I, 0)), "Sin Pago"))</f>
        <v/>
      </c>
      <c r="Y2865" s="79">
        <f>IF(X2865="Sin Pago","",IFERROR(INDEX(Pagos_Odoo!$C:$C, MATCH(X2865, Pagos_Odoo!$B:$B, 0)), ""))</f>
        <v/>
      </c>
      <c r="Z2865" s="80">
        <f>IF(X2865="Sin Pago","",IFERROR(INDEX(Pagos_Odoo!$A:$A, MATCH(X2865, Pagos_Odoo!$B:$B, 0)), ""))</f>
        <v/>
      </c>
      <c r="AA2865" s="79">
        <f>IF(X2865="Sin Pago","",IFERROR(INDEX(Pagos_Odoo!$F:$F, MATCH(X2865, Pagos_Odoo!$B:$B, 0)), ""))</f>
        <v/>
      </c>
      <c r="AB2865" s="81">
        <f>IF(X2865="Sin Pago",0,IFERROR(INDEX(Pagos_Odoo!$E:$E, MATCH(X2865, Pagos_Odoo!$B:$B, 0)), 0))</f>
        <v/>
      </c>
      <c r="AC2865" s="79">
        <f>IF(X2865="Sin Pago","",IFERROR(INDEX(Pagos_Odoo!$G:$G, MATCH(X2865, Pagos_Odoo!$B:$B, 0)), ""))</f>
        <v/>
      </c>
      <c r="AD2865" s="82" t="n">
        <v>0</v>
      </c>
      <c r="AE2865" s="82" t="n"/>
      <c r="AF2865" s="82" t="n"/>
      <c r="AG2865" s="82">
        <f>IF(AN2865="","",AD2865+AE2865+AF2865)</f>
        <v/>
      </c>
      <c r="AH2865" s="81">
        <f>IF(AN2865="","",P2865*(1-AG2865))</f>
        <v/>
      </c>
      <c r="AI2865" s="81">
        <f>IF(AN2865="","",IF(Q2865="Sin Factura",0,IFERROR(INDEX(Facturas_Odoo!$H:$H, MATCH(Q2865, Facturas_Odoo!$B:$B, 0)), 0)*(1-AG2865)))</f>
        <v/>
      </c>
      <c r="AJ2865" s="81">
        <f>IF(AN2865="","",_xlfn.LET(idVenta, AN2865&amp;"",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65" s="81">
        <f>IF(AN2865="","",AH2865-AJ2865)</f>
        <v/>
      </c>
      <c r="AL2865" s="81">
        <f>IF(AN2865="","",IF(Q2865="Sin Factura","",AI2865-AJ2865))</f>
        <v/>
      </c>
      <c r="AM2865" s="81">
        <f>IF(AN2865="","",IF(Q2865="Sin Factura",0,P2865-IFERROR(INDEX(Facturas_Odoo!$H:$H, MATCH(Q2865, Facturas_Odoo!$B:$B, 0)), 0)))</f>
        <v/>
      </c>
      <c r="AN2865" s="79">
        <f>IF(AND(A2865="", J2865=""), "", IF(A2865&lt;&gt;"", VALUE(MID(A2865,2,LEN(A2865))), AN2864))</f>
        <v/>
      </c>
      <c r="AO2865" s="79">
        <f>IF(AN2865="","",IF(AD2865=0,"OK",_xlfn.LET(monedaPago, IF(AA2865="","USD",AA2865), limitePermitido, IFERROR(VLOOKUP(monedaPago, Configuración!$A$2:$B$3, 2, FALSE), 0.15), IF(AD2865&gt;limitePermitido, "ALERTA: EXCESO (" &amp; TEXT(limitePermitido, "0%") &amp; " máx)", "OK"))))</f>
        <v/>
      </c>
      <c r="AP2865" s="79">
        <f>IF(AN2865="","",IF(AE2865=0,"OK",_xlfn.LET(fechaPago, Z2865, fechaFactura, R2865, diasCredito, IF(E2865="Pago inmediato", 0, IFERROR(VALUE(MID(E2865, 1, SEARCH(" ", E2865)-1)),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65" s="79">
        <f>IF(AN2865="","",IF(AND(N2865&gt;0, AG2865&gt;0), IF(Configuración!$K$2="NO", "ALERTA: DESCUENTO DOBLE NO PERMITIDO", "OK"), "OK"))</f>
        <v/>
      </c>
      <c r="AR2865" s="79">
        <f>IF(AN2865="","",IF(OR(AO2865&lt;&gt;"OK", AP2865&lt;&gt;"OK", AQ2865&lt;&gt;"OK"), "⚠️ REVISAR", "OK"))</f>
        <v/>
      </c>
    </row>
    <row r="2866">
      <c r="A2866" s="79">
        <f>IF('Ordenes_Odoo'!A2866="","",'Ordenes_Odoo'!A2866)</f>
        <v/>
      </c>
      <c r="B2866" s="80">
        <f>IF('Ordenes_Odoo'!B2866="","",'Ordenes_Odoo'!B2866)</f>
        <v/>
      </c>
      <c r="C2866" s="79">
        <f>IF('Ordenes_Odoo'!C2866="","",'Ordenes_Odoo'!C2866)</f>
        <v/>
      </c>
      <c r="D2866" s="79">
        <f>IF('Ordenes_Odoo'!D2866="","",'Ordenes_Odoo'!D2866)</f>
        <v/>
      </c>
      <c r="E2866" s="79">
        <f>IF('Ordenes_Odoo'!E2866="","",'Ordenes_Odoo'!E2866)</f>
        <v/>
      </c>
      <c r="F2866" s="79">
        <f>IF('Ordenes_Odoo'!F2866="","",'Ordenes_Odoo'!F2866)</f>
        <v/>
      </c>
      <c r="G2866" s="79">
        <f>IF('Ordenes_Odoo'!G2866="","",'Ordenes_Odoo'!G2866)</f>
        <v/>
      </c>
      <c r="H2866" s="79">
        <f>IF('Ordenes_Odoo'!H2866="","",'Ordenes_Odoo'!H2866)</f>
        <v/>
      </c>
      <c r="I2866" s="79">
        <f>IF('Ordenes_Odoo'!I2866="","",'Ordenes_Odoo'!I2866)</f>
        <v/>
      </c>
      <c r="J2866" s="79">
        <f>IF('Ordenes_Odoo'!J2866="","",'Ordenes_Odoo'!J2866)</f>
        <v/>
      </c>
      <c r="K2866" s="81">
        <f>IF('Ordenes_Odoo'!K2866="","",'Ordenes_Odoo'!K2866)</f>
        <v/>
      </c>
      <c r="L2866" s="81">
        <f>IF('Ordenes_Odoo'!L2866="","",'Ordenes_Odoo'!L2866)</f>
        <v/>
      </c>
      <c r="M2866" s="79">
        <f>IF('Ordenes_Odoo'!M2866="","",'Ordenes_Odoo'!M2866)</f>
        <v/>
      </c>
      <c r="N2866" s="79">
        <f>IF('Ordenes_Odoo'!N2866="","",'Ordenes_Odoo'!N2866)</f>
        <v/>
      </c>
      <c r="O2866" s="81">
        <f>IF('Ordenes_Odoo'!O2866="","",'Ordenes_Odoo'!O2866)</f>
        <v/>
      </c>
      <c r="P2866" s="81">
        <f>IF('Ordenes_Odoo'!P2866="","",'Ordenes_Odoo'!P2866)</f>
        <v/>
      </c>
      <c r="Q2866" s="79">
        <f>IF(A2866="","",IFERROR(INDEX(Facturas_Odoo!$B:$B, MATCH(A2866, Facturas_Odoo!$D:$D, 0)), "Sin Factura"))</f>
        <v/>
      </c>
      <c r="R2866" s="80">
        <f>IF(Q2866="Sin Factura","",IFERROR(INDEX(Facturas_Odoo!$A:$A, MATCH(Q2866, Facturas_Odoo!$B:$B, 0)), ""))</f>
        <v/>
      </c>
      <c r="S2866" s="79">
        <f>IF(Q2866="Sin Factura","",IFERROR(_xlfn.XLOOKUP(1, (Facturas_Odoo!$D:$D=A2866) * (Facturas_Odoo!$K:$K=I2866), Facturas_Odoo!$L:$L, ""), ""))</f>
        <v/>
      </c>
      <c r="T2866" s="81">
        <f>IF(Q2866="Sin Factura",0,IFERROR(_xlfn.XLOOKUP(1, (Facturas_Odoo!$D:$D=A2866) * (Facturas_Odoo!$K:$K=I2866), Facturas_Odoo!$M:$M, 0), 0))</f>
        <v/>
      </c>
      <c r="U2866" s="79">
        <f>IF(Q2866="Sin Factura",0,IFERROR(_xlfn.XLOOKUP(1, (Facturas_Odoo!$D:$D=A2866) * (Facturas_Odoo!$K:$K=I2866), Facturas_Odoo!$N:$N, 0), 0))</f>
        <v/>
      </c>
      <c r="V2866" s="79">
        <f>IF(Q2866="Sin Factura",0,IFERROR(_xlfn.XLOOKUP(1, (Facturas_Odoo!$D:$D=A2866) * (Facturas_Odoo!$K:$K=I2866), Facturas_Odoo!$O:$O, 0), 0))</f>
        <v/>
      </c>
      <c r="W2866" s="81">
        <f>IF(Q2866="Sin Factura",0,IFERROR(_xlfn.XLOOKUP(1, (Facturas_Odoo!$D:$D=A2866) * (Facturas_Odoo!$K:$K=I2866), Facturas_Odoo!$Q:$Q, 0), 0))</f>
        <v/>
      </c>
      <c r="X2866" s="79">
        <f>IF(OR(Q2866="Sin Factura",Q2866=""),"",IFERROR(INDEX(Pagos_Odoo!$B:$B, MATCH(Q2866, Pagos_Odoo!$I:$I, 0)), "Sin Pago"))</f>
        <v/>
      </c>
      <c r="Y2866" s="79">
        <f>IF(X2866="Sin Pago","",IFERROR(INDEX(Pagos_Odoo!$C:$C, MATCH(X2866, Pagos_Odoo!$B:$B, 0)), ""))</f>
        <v/>
      </c>
      <c r="Z2866" s="80">
        <f>IF(X2866="Sin Pago","",IFERROR(INDEX(Pagos_Odoo!$A:$A, MATCH(X2866, Pagos_Odoo!$B:$B, 0)), ""))</f>
        <v/>
      </c>
      <c r="AA2866" s="79">
        <f>IF(X2866="Sin Pago","",IFERROR(INDEX(Pagos_Odoo!$F:$F, MATCH(X2866, Pagos_Odoo!$B:$B, 0)), ""))</f>
        <v/>
      </c>
      <c r="AB2866" s="81">
        <f>IF(X2866="Sin Pago",0,IFERROR(INDEX(Pagos_Odoo!$E:$E, MATCH(X2866, Pagos_Odoo!$B:$B, 0)), 0))</f>
        <v/>
      </c>
      <c r="AC2866" s="79">
        <f>IF(X2866="Sin Pago","",IFERROR(INDEX(Pagos_Odoo!$G:$G, MATCH(X2866, Pagos_Odoo!$B:$B, 0)), ""))</f>
        <v/>
      </c>
      <c r="AD2866" s="82" t="n">
        <v>0</v>
      </c>
      <c r="AE2866" s="82" t="n"/>
      <c r="AF2866" s="82" t="n"/>
      <c r="AG2866" s="82">
        <f>IF(AN2866="","",AD2866+AE2866+AF2866)</f>
        <v/>
      </c>
      <c r="AH2866" s="81">
        <f>IF(AN2866="","",P2866*(1-AG2866))</f>
        <v/>
      </c>
      <c r="AI2866" s="81">
        <f>IF(AN2866="","",IF(Q2866="Sin Factura",0,IFERROR(INDEX(Facturas_Odoo!$H:$H, MATCH(Q2866, Facturas_Odoo!$B:$B, 0)), 0)*(1-AG2866)))</f>
        <v/>
      </c>
      <c r="AJ2866" s="81">
        <f>IF(AN2866="","",_xlfn.LET(idVenta, AN2866&amp;"",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66" s="81">
        <f>IF(AN2866="","",AH2866-AJ2866)</f>
        <v/>
      </c>
      <c r="AL2866" s="81">
        <f>IF(AN2866="","",IF(Q2866="Sin Factura","",AI2866-AJ2866))</f>
        <v/>
      </c>
      <c r="AM2866" s="81">
        <f>IF(AN2866="","",IF(Q2866="Sin Factura",0,P2866-IFERROR(INDEX(Facturas_Odoo!$H:$H, MATCH(Q2866, Facturas_Odoo!$B:$B, 0)), 0)))</f>
        <v/>
      </c>
      <c r="AN2866" s="79">
        <f>IF(AND(A2866="", J2866=""), "", IF(A2866&lt;&gt;"", VALUE(MID(A2866,2,LEN(A2866))), AN2865))</f>
        <v/>
      </c>
      <c r="AO2866" s="79">
        <f>IF(AN2866="","",IF(AD2866=0,"OK",_xlfn.LET(monedaPago, IF(AA2866="","USD",AA2866), limitePermitido, IFERROR(VLOOKUP(monedaPago, Configuración!$A$2:$B$3, 2, FALSE), 0.15), IF(AD2866&gt;limitePermitido, "ALERTA: EXCESO (" &amp; TEXT(limitePermitido, "0%") &amp; " máx)", "OK"))))</f>
        <v/>
      </c>
      <c r="AP2866" s="79">
        <f>IF(AN2866="","",IF(AE2866=0,"OK",_xlfn.LET(fechaPago, Z2866, fechaFactura, R2866, diasCredito, IF(E2866="Pago inmediato", 0, IFERROR(VALUE(MID(E2866, 1, SEARCH(" ", E2866)-1)),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66" s="79">
        <f>IF(AN2866="","",IF(AND(N2866&gt;0, AG2866&gt;0), IF(Configuración!$K$2="NO", "ALERTA: DESCUENTO DOBLE NO PERMITIDO", "OK"), "OK"))</f>
        <v/>
      </c>
      <c r="AR2866" s="79">
        <f>IF(AN2866="","",IF(OR(AO2866&lt;&gt;"OK", AP2866&lt;&gt;"OK", AQ2866&lt;&gt;"OK"), "⚠️ REVISAR", "OK"))</f>
        <v/>
      </c>
    </row>
    <row r="2867">
      <c r="A2867" s="79">
        <f>IF('Ordenes_Odoo'!A2867="","",'Ordenes_Odoo'!A2867)</f>
        <v/>
      </c>
      <c r="B2867" s="80">
        <f>IF('Ordenes_Odoo'!B2867="","",'Ordenes_Odoo'!B2867)</f>
        <v/>
      </c>
      <c r="C2867" s="79">
        <f>IF('Ordenes_Odoo'!C2867="","",'Ordenes_Odoo'!C2867)</f>
        <v/>
      </c>
      <c r="D2867" s="79">
        <f>IF('Ordenes_Odoo'!D2867="","",'Ordenes_Odoo'!D2867)</f>
        <v/>
      </c>
      <c r="E2867" s="79">
        <f>IF('Ordenes_Odoo'!E2867="","",'Ordenes_Odoo'!E2867)</f>
        <v/>
      </c>
      <c r="F2867" s="79">
        <f>IF('Ordenes_Odoo'!F2867="","",'Ordenes_Odoo'!F2867)</f>
        <v/>
      </c>
      <c r="G2867" s="79">
        <f>IF('Ordenes_Odoo'!G2867="","",'Ordenes_Odoo'!G2867)</f>
        <v/>
      </c>
      <c r="H2867" s="79">
        <f>IF('Ordenes_Odoo'!H2867="","",'Ordenes_Odoo'!H2867)</f>
        <v/>
      </c>
      <c r="I2867" s="79">
        <f>IF('Ordenes_Odoo'!I2867="","",'Ordenes_Odoo'!I2867)</f>
        <v/>
      </c>
      <c r="J2867" s="79">
        <f>IF('Ordenes_Odoo'!J2867="","",'Ordenes_Odoo'!J2867)</f>
        <v/>
      </c>
      <c r="K2867" s="81">
        <f>IF('Ordenes_Odoo'!K2867="","",'Ordenes_Odoo'!K2867)</f>
        <v/>
      </c>
      <c r="L2867" s="81">
        <f>IF('Ordenes_Odoo'!L2867="","",'Ordenes_Odoo'!L2867)</f>
        <v/>
      </c>
      <c r="M2867" s="79">
        <f>IF('Ordenes_Odoo'!M2867="","",'Ordenes_Odoo'!M2867)</f>
        <v/>
      </c>
      <c r="N2867" s="79">
        <f>IF('Ordenes_Odoo'!N2867="","",'Ordenes_Odoo'!N2867)</f>
        <v/>
      </c>
      <c r="O2867" s="81">
        <f>IF('Ordenes_Odoo'!O2867="","",'Ordenes_Odoo'!O2867)</f>
        <v/>
      </c>
      <c r="P2867" s="81">
        <f>IF('Ordenes_Odoo'!P2867="","",'Ordenes_Odoo'!P2867)</f>
        <v/>
      </c>
      <c r="Q2867" s="79">
        <f>IF(A2867="","",IFERROR(INDEX(Facturas_Odoo!$B:$B, MATCH(A2867, Facturas_Odoo!$D:$D, 0)), "Sin Factura"))</f>
        <v/>
      </c>
      <c r="R2867" s="80">
        <f>IF(Q2867="Sin Factura","",IFERROR(INDEX(Facturas_Odoo!$A:$A, MATCH(Q2867, Facturas_Odoo!$B:$B, 0)), ""))</f>
        <v/>
      </c>
      <c r="S2867" s="79">
        <f>IF(Q2867="Sin Factura","",IFERROR(_xlfn.XLOOKUP(1, (Facturas_Odoo!$D:$D=A2867) * (Facturas_Odoo!$K:$K=I2867), Facturas_Odoo!$L:$L, ""), ""))</f>
        <v/>
      </c>
      <c r="T2867" s="81">
        <f>IF(Q2867="Sin Factura",0,IFERROR(_xlfn.XLOOKUP(1, (Facturas_Odoo!$D:$D=A2867) * (Facturas_Odoo!$K:$K=I2867), Facturas_Odoo!$M:$M, 0), 0))</f>
        <v/>
      </c>
      <c r="U2867" s="79">
        <f>IF(Q2867="Sin Factura",0,IFERROR(_xlfn.XLOOKUP(1, (Facturas_Odoo!$D:$D=A2867) * (Facturas_Odoo!$K:$K=I2867), Facturas_Odoo!$N:$N, 0), 0))</f>
        <v/>
      </c>
      <c r="V2867" s="79">
        <f>IF(Q2867="Sin Factura",0,IFERROR(_xlfn.XLOOKUP(1, (Facturas_Odoo!$D:$D=A2867) * (Facturas_Odoo!$K:$K=I2867), Facturas_Odoo!$O:$O, 0), 0))</f>
        <v/>
      </c>
      <c r="W2867" s="81">
        <f>IF(Q2867="Sin Factura",0,IFERROR(_xlfn.XLOOKUP(1, (Facturas_Odoo!$D:$D=A2867) * (Facturas_Odoo!$K:$K=I2867), Facturas_Odoo!$Q:$Q, 0), 0))</f>
        <v/>
      </c>
      <c r="X2867" s="79">
        <f>IF(OR(Q2867="Sin Factura",Q2867=""),"",IFERROR(INDEX(Pagos_Odoo!$B:$B, MATCH(Q2867, Pagos_Odoo!$I:$I, 0)), "Sin Pago"))</f>
        <v/>
      </c>
      <c r="Y2867" s="79">
        <f>IF(X2867="Sin Pago","",IFERROR(INDEX(Pagos_Odoo!$C:$C, MATCH(X2867, Pagos_Odoo!$B:$B, 0)), ""))</f>
        <v/>
      </c>
      <c r="Z2867" s="80">
        <f>IF(X2867="Sin Pago","",IFERROR(INDEX(Pagos_Odoo!$A:$A, MATCH(X2867, Pagos_Odoo!$B:$B, 0)), ""))</f>
        <v/>
      </c>
      <c r="AA2867" s="79">
        <f>IF(X2867="Sin Pago","",IFERROR(INDEX(Pagos_Odoo!$F:$F, MATCH(X2867, Pagos_Odoo!$B:$B, 0)), ""))</f>
        <v/>
      </c>
      <c r="AB2867" s="81">
        <f>IF(X2867="Sin Pago",0,IFERROR(INDEX(Pagos_Odoo!$E:$E, MATCH(X2867, Pagos_Odoo!$B:$B, 0)), 0))</f>
        <v/>
      </c>
      <c r="AC2867" s="79">
        <f>IF(X2867="Sin Pago","",IFERROR(INDEX(Pagos_Odoo!$G:$G, MATCH(X2867, Pagos_Odoo!$B:$B, 0)), ""))</f>
        <v/>
      </c>
      <c r="AD2867" s="82" t="n">
        <v>0</v>
      </c>
      <c r="AE2867" s="82" t="n"/>
      <c r="AF2867" s="82" t="n"/>
      <c r="AG2867" s="82">
        <f>IF(AN2867="","",AD2867+AE2867+AF2867)</f>
        <v/>
      </c>
      <c r="AH2867" s="81">
        <f>IF(AN2867="","",P2867*(1-AG2867))</f>
        <v/>
      </c>
      <c r="AI2867" s="81">
        <f>IF(AN2867="","",IF(Q2867="Sin Factura",0,IFERROR(INDEX(Facturas_Odoo!$H:$H, MATCH(Q2867, Facturas_Odoo!$B:$B, 0)), 0)*(1-AG2867)))</f>
        <v/>
      </c>
      <c r="AJ2867" s="81">
        <f>IF(AN2867="","",_xlfn.LET(idVenta, AN2867&amp;"",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67" s="81">
        <f>IF(AN2867="","",AH2867-AJ2867)</f>
        <v/>
      </c>
      <c r="AL2867" s="81">
        <f>IF(AN2867="","",IF(Q2867="Sin Factura","",AI2867-AJ2867))</f>
        <v/>
      </c>
      <c r="AM2867" s="81">
        <f>IF(AN2867="","",IF(Q2867="Sin Factura",0,P2867-IFERROR(INDEX(Facturas_Odoo!$H:$H, MATCH(Q2867, Facturas_Odoo!$B:$B, 0)), 0)))</f>
        <v/>
      </c>
      <c r="AN2867" s="79">
        <f>IF(AND(A2867="", J2867=""), "", IF(A2867&lt;&gt;"", VALUE(MID(A2867,2,LEN(A2867))), AN2866))</f>
        <v/>
      </c>
      <c r="AO2867" s="79">
        <f>IF(AN2867="","",IF(AD2867=0,"OK",_xlfn.LET(monedaPago, IF(AA2867="","USD",AA2867), limitePermitido, IFERROR(VLOOKUP(monedaPago, Configuración!$A$2:$B$3, 2, FALSE), 0.15), IF(AD2867&gt;limitePermitido, "ALERTA: EXCESO (" &amp; TEXT(limitePermitido, "0%") &amp; " máx)", "OK"))))</f>
        <v/>
      </c>
      <c r="AP2867" s="79">
        <f>IF(AN2867="","",IF(AE2867=0,"OK",_xlfn.LET(fechaPago, Z2867, fechaFactura, R2867, diasCredito, IF(E2867="Pago inmediato", 0, IFERROR(VALUE(MID(E2867, 1, SEARCH(" ", E2867)-1)),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67" s="79">
        <f>IF(AN2867="","",IF(AND(N2867&gt;0, AG2867&gt;0), IF(Configuración!$K$2="NO", "ALERTA: DESCUENTO DOBLE NO PERMITIDO", "OK"), "OK"))</f>
        <v/>
      </c>
      <c r="AR2867" s="79">
        <f>IF(AN2867="","",IF(OR(AO2867&lt;&gt;"OK", AP2867&lt;&gt;"OK", AQ2867&lt;&gt;"OK"), "⚠️ REVISAR", "OK"))</f>
        <v/>
      </c>
    </row>
    <row r="2868">
      <c r="A2868" s="79">
        <f>IF('Ordenes_Odoo'!A2868="","",'Ordenes_Odoo'!A2868)</f>
        <v/>
      </c>
      <c r="B2868" s="80">
        <f>IF('Ordenes_Odoo'!B2868="","",'Ordenes_Odoo'!B2868)</f>
        <v/>
      </c>
      <c r="C2868" s="79">
        <f>IF('Ordenes_Odoo'!C2868="","",'Ordenes_Odoo'!C2868)</f>
        <v/>
      </c>
      <c r="D2868" s="79">
        <f>IF('Ordenes_Odoo'!D2868="","",'Ordenes_Odoo'!D2868)</f>
        <v/>
      </c>
      <c r="E2868" s="79">
        <f>IF('Ordenes_Odoo'!E2868="","",'Ordenes_Odoo'!E2868)</f>
        <v/>
      </c>
      <c r="F2868" s="79">
        <f>IF('Ordenes_Odoo'!F2868="","",'Ordenes_Odoo'!F2868)</f>
        <v/>
      </c>
      <c r="G2868" s="79">
        <f>IF('Ordenes_Odoo'!G2868="","",'Ordenes_Odoo'!G2868)</f>
        <v/>
      </c>
      <c r="H2868" s="79">
        <f>IF('Ordenes_Odoo'!H2868="","",'Ordenes_Odoo'!H2868)</f>
        <v/>
      </c>
      <c r="I2868" s="79">
        <f>IF('Ordenes_Odoo'!I2868="","",'Ordenes_Odoo'!I2868)</f>
        <v/>
      </c>
      <c r="J2868" s="79">
        <f>IF('Ordenes_Odoo'!J2868="","",'Ordenes_Odoo'!J2868)</f>
        <v/>
      </c>
      <c r="K2868" s="81">
        <f>IF('Ordenes_Odoo'!K2868="","",'Ordenes_Odoo'!K2868)</f>
        <v/>
      </c>
      <c r="L2868" s="81">
        <f>IF('Ordenes_Odoo'!L2868="","",'Ordenes_Odoo'!L2868)</f>
        <v/>
      </c>
      <c r="M2868" s="79">
        <f>IF('Ordenes_Odoo'!M2868="","",'Ordenes_Odoo'!M2868)</f>
        <v/>
      </c>
      <c r="N2868" s="79">
        <f>IF('Ordenes_Odoo'!N2868="","",'Ordenes_Odoo'!N2868)</f>
        <v/>
      </c>
      <c r="O2868" s="81">
        <f>IF('Ordenes_Odoo'!O2868="","",'Ordenes_Odoo'!O2868)</f>
        <v/>
      </c>
      <c r="P2868" s="81">
        <f>IF('Ordenes_Odoo'!P2868="","",'Ordenes_Odoo'!P2868)</f>
        <v/>
      </c>
      <c r="Q2868" s="79">
        <f>IF(A2868="","",IFERROR(INDEX(Facturas_Odoo!$B:$B, MATCH(A2868, Facturas_Odoo!$D:$D, 0)), "Sin Factura"))</f>
        <v/>
      </c>
      <c r="R2868" s="80">
        <f>IF(Q2868="Sin Factura","",IFERROR(INDEX(Facturas_Odoo!$A:$A, MATCH(Q2868, Facturas_Odoo!$B:$B, 0)), ""))</f>
        <v/>
      </c>
      <c r="S2868" s="79">
        <f>IF(Q2868="Sin Factura","",IFERROR(_xlfn.XLOOKUP(1, (Facturas_Odoo!$D:$D=A2868) * (Facturas_Odoo!$K:$K=I2868), Facturas_Odoo!$L:$L, ""), ""))</f>
        <v/>
      </c>
      <c r="T2868" s="81">
        <f>IF(Q2868="Sin Factura",0,IFERROR(_xlfn.XLOOKUP(1, (Facturas_Odoo!$D:$D=A2868) * (Facturas_Odoo!$K:$K=I2868), Facturas_Odoo!$M:$M, 0), 0))</f>
        <v/>
      </c>
      <c r="U2868" s="79">
        <f>IF(Q2868="Sin Factura",0,IFERROR(_xlfn.XLOOKUP(1, (Facturas_Odoo!$D:$D=A2868) * (Facturas_Odoo!$K:$K=I2868), Facturas_Odoo!$N:$N, 0), 0))</f>
        <v/>
      </c>
      <c r="V2868" s="79">
        <f>IF(Q2868="Sin Factura",0,IFERROR(_xlfn.XLOOKUP(1, (Facturas_Odoo!$D:$D=A2868) * (Facturas_Odoo!$K:$K=I2868), Facturas_Odoo!$O:$O, 0), 0))</f>
        <v/>
      </c>
      <c r="W2868" s="81">
        <f>IF(Q2868="Sin Factura",0,IFERROR(_xlfn.XLOOKUP(1, (Facturas_Odoo!$D:$D=A2868) * (Facturas_Odoo!$K:$K=I2868), Facturas_Odoo!$Q:$Q, 0), 0))</f>
        <v/>
      </c>
      <c r="X2868" s="79">
        <f>IF(OR(Q2868="Sin Factura",Q2868=""),"",IFERROR(INDEX(Pagos_Odoo!$B:$B, MATCH(Q2868, Pagos_Odoo!$I:$I, 0)), "Sin Pago"))</f>
        <v/>
      </c>
      <c r="Y2868" s="79">
        <f>IF(X2868="Sin Pago","",IFERROR(INDEX(Pagos_Odoo!$C:$C, MATCH(X2868, Pagos_Odoo!$B:$B, 0)), ""))</f>
        <v/>
      </c>
      <c r="Z2868" s="80">
        <f>IF(X2868="Sin Pago","",IFERROR(INDEX(Pagos_Odoo!$A:$A, MATCH(X2868, Pagos_Odoo!$B:$B, 0)), ""))</f>
        <v/>
      </c>
      <c r="AA2868" s="79">
        <f>IF(X2868="Sin Pago","",IFERROR(INDEX(Pagos_Odoo!$F:$F, MATCH(X2868, Pagos_Odoo!$B:$B, 0)), ""))</f>
        <v/>
      </c>
      <c r="AB2868" s="81">
        <f>IF(X2868="Sin Pago",0,IFERROR(INDEX(Pagos_Odoo!$E:$E, MATCH(X2868, Pagos_Odoo!$B:$B, 0)), 0))</f>
        <v/>
      </c>
      <c r="AC2868" s="79">
        <f>IF(X2868="Sin Pago","",IFERROR(INDEX(Pagos_Odoo!$G:$G, MATCH(X2868, Pagos_Odoo!$B:$B, 0)), ""))</f>
        <v/>
      </c>
      <c r="AD2868" s="82" t="n">
        <v>0</v>
      </c>
      <c r="AE2868" s="82" t="n"/>
      <c r="AF2868" s="82" t="n"/>
      <c r="AG2868" s="82">
        <f>IF(AN2868="","",AD2868+AE2868+AF2868)</f>
        <v/>
      </c>
      <c r="AH2868" s="81">
        <f>IF(AN2868="","",P2868*(1-AG2868))</f>
        <v/>
      </c>
      <c r="AI2868" s="81">
        <f>IF(AN2868="","",IF(Q2868="Sin Factura",0,IFERROR(INDEX(Facturas_Odoo!$H:$H, MATCH(Q2868, Facturas_Odoo!$B:$B, 0)), 0)*(1-AG2868)))</f>
        <v/>
      </c>
      <c r="AJ2868" s="81">
        <f>IF(AN2868="","",_xlfn.LET(idVenta, AN2868&amp;"",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68" s="81">
        <f>IF(AN2868="","",AH2868-AJ2868)</f>
        <v/>
      </c>
      <c r="AL2868" s="81">
        <f>IF(AN2868="","",IF(Q2868="Sin Factura","",AI2868-AJ2868))</f>
        <v/>
      </c>
      <c r="AM2868" s="81">
        <f>IF(AN2868="","",IF(Q2868="Sin Factura",0,P2868-IFERROR(INDEX(Facturas_Odoo!$H:$H, MATCH(Q2868, Facturas_Odoo!$B:$B, 0)), 0)))</f>
        <v/>
      </c>
      <c r="AN2868" s="79">
        <f>IF(AND(A2868="", J2868=""), "", IF(A2868&lt;&gt;"", VALUE(MID(A2868,2,LEN(A2868))), AN2867))</f>
        <v/>
      </c>
      <c r="AO2868" s="79">
        <f>IF(AN2868="","",IF(AD2868=0,"OK",_xlfn.LET(monedaPago, IF(AA2868="","USD",AA2868), limitePermitido, IFERROR(VLOOKUP(monedaPago, Configuración!$A$2:$B$3, 2, FALSE), 0.15), IF(AD2868&gt;limitePermitido, "ALERTA: EXCESO (" &amp; TEXT(limitePermitido, "0%") &amp; " máx)", "OK"))))</f>
        <v/>
      </c>
      <c r="AP2868" s="79">
        <f>IF(AN2868="","",IF(AE2868=0,"OK",_xlfn.LET(fechaPago, Z2868, fechaFactura, R2868, diasCredito, IF(E2868="Pago inmediato", 0, IFERROR(VALUE(MID(E2868, 1, SEARCH(" ", E2868)-1)),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68" s="79">
        <f>IF(AN2868="","",IF(AND(N2868&gt;0, AG2868&gt;0), IF(Configuración!$K$2="NO", "ALERTA: DESCUENTO DOBLE NO PERMITIDO", "OK"), "OK"))</f>
        <v/>
      </c>
      <c r="AR2868" s="79">
        <f>IF(AN2868="","",IF(OR(AO2868&lt;&gt;"OK", AP2868&lt;&gt;"OK", AQ2868&lt;&gt;"OK"), "⚠️ REVISAR", "OK"))</f>
        <v/>
      </c>
    </row>
    <row r="2869">
      <c r="A2869" s="79">
        <f>IF('Ordenes_Odoo'!A2869="","",'Ordenes_Odoo'!A2869)</f>
        <v/>
      </c>
      <c r="B2869" s="80">
        <f>IF('Ordenes_Odoo'!B2869="","",'Ordenes_Odoo'!B2869)</f>
        <v/>
      </c>
      <c r="C2869" s="79">
        <f>IF('Ordenes_Odoo'!C2869="","",'Ordenes_Odoo'!C2869)</f>
        <v/>
      </c>
      <c r="D2869" s="79">
        <f>IF('Ordenes_Odoo'!D2869="","",'Ordenes_Odoo'!D2869)</f>
        <v/>
      </c>
      <c r="E2869" s="79">
        <f>IF('Ordenes_Odoo'!E2869="","",'Ordenes_Odoo'!E2869)</f>
        <v/>
      </c>
      <c r="F2869" s="79">
        <f>IF('Ordenes_Odoo'!F2869="","",'Ordenes_Odoo'!F2869)</f>
        <v/>
      </c>
      <c r="G2869" s="79">
        <f>IF('Ordenes_Odoo'!G2869="","",'Ordenes_Odoo'!G2869)</f>
        <v/>
      </c>
      <c r="H2869" s="79">
        <f>IF('Ordenes_Odoo'!H2869="","",'Ordenes_Odoo'!H2869)</f>
        <v/>
      </c>
      <c r="I2869" s="79">
        <f>IF('Ordenes_Odoo'!I2869="","",'Ordenes_Odoo'!I2869)</f>
        <v/>
      </c>
      <c r="J2869" s="79">
        <f>IF('Ordenes_Odoo'!J2869="","",'Ordenes_Odoo'!J2869)</f>
        <v/>
      </c>
      <c r="K2869" s="81">
        <f>IF('Ordenes_Odoo'!K2869="","",'Ordenes_Odoo'!K2869)</f>
        <v/>
      </c>
      <c r="L2869" s="81">
        <f>IF('Ordenes_Odoo'!L2869="","",'Ordenes_Odoo'!L2869)</f>
        <v/>
      </c>
      <c r="M2869" s="79">
        <f>IF('Ordenes_Odoo'!M2869="","",'Ordenes_Odoo'!M2869)</f>
        <v/>
      </c>
      <c r="N2869" s="79">
        <f>IF('Ordenes_Odoo'!N2869="","",'Ordenes_Odoo'!N2869)</f>
        <v/>
      </c>
      <c r="O2869" s="81">
        <f>IF('Ordenes_Odoo'!O2869="","",'Ordenes_Odoo'!O2869)</f>
        <v/>
      </c>
      <c r="P2869" s="81">
        <f>IF('Ordenes_Odoo'!P2869="","",'Ordenes_Odoo'!P2869)</f>
        <v/>
      </c>
      <c r="Q2869" s="79">
        <f>IF(A2869="","",IFERROR(INDEX(Facturas_Odoo!$B:$B, MATCH(A2869, Facturas_Odoo!$D:$D, 0)), "Sin Factura"))</f>
        <v/>
      </c>
      <c r="R2869" s="80">
        <f>IF(Q2869="Sin Factura","",IFERROR(INDEX(Facturas_Odoo!$A:$A, MATCH(Q2869, Facturas_Odoo!$B:$B, 0)), ""))</f>
        <v/>
      </c>
      <c r="S2869" s="79">
        <f>IF(Q2869="Sin Factura","",IFERROR(_xlfn.XLOOKUP(1, (Facturas_Odoo!$D:$D=A2869) * (Facturas_Odoo!$K:$K=I2869), Facturas_Odoo!$L:$L, ""), ""))</f>
        <v/>
      </c>
      <c r="T2869" s="81">
        <f>IF(Q2869="Sin Factura",0,IFERROR(_xlfn.XLOOKUP(1, (Facturas_Odoo!$D:$D=A2869) * (Facturas_Odoo!$K:$K=I2869), Facturas_Odoo!$M:$M, 0), 0))</f>
        <v/>
      </c>
      <c r="U2869" s="79">
        <f>IF(Q2869="Sin Factura",0,IFERROR(_xlfn.XLOOKUP(1, (Facturas_Odoo!$D:$D=A2869) * (Facturas_Odoo!$K:$K=I2869), Facturas_Odoo!$N:$N, 0), 0))</f>
        <v/>
      </c>
      <c r="V2869" s="79">
        <f>IF(Q2869="Sin Factura",0,IFERROR(_xlfn.XLOOKUP(1, (Facturas_Odoo!$D:$D=A2869) * (Facturas_Odoo!$K:$K=I2869), Facturas_Odoo!$O:$O, 0), 0))</f>
        <v/>
      </c>
      <c r="W2869" s="81">
        <f>IF(Q2869="Sin Factura",0,IFERROR(_xlfn.XLOOKUP(1, (Facturas_Odoo!$D:$D=A2869) * (Facturas_Odoo!$K:$K=I2869), Facturas_Odoo!$Q:$Q, 0), 0))</f>
        <v/>
      </c>
      <c r="X2869" s="79">
        <f>IF(OR(Q2869="Sin Factura",Q2869=""),"",IFERROR(INDEX(Pagos_Odoo!$B:$B, MATCH(Q2869, Pagos_Odoo!$I:$I, 0)), "Sin Pago"))</f>
        <v/>
      </c>
      <c r="Y2869" s="79">
        <f>IF(X2869="Sin Pago","",IFERROR(INDEX(Pagos_Odoo!$C:$C, MATCH(X2869, Pagos_Odoo!$B:$B, 0)), ""))</f>
        <v/>
      </c>
      <c r="Z2869" s="80">
        <f>IF(X2869="Sin Pago","",IFERROR(INDEX(Pagos_Odoo!$A:$A, MATCH(X2869, Pagos_Odoo!$B:$B, 0)), ""))</f>
        <v/>
      </c>
      <c r="AA2869" s="79">
        <f>IF(X2869="Sin Pago","",IFERROR(INDEX(Pagos_Odoo!$F:$F, MATCH(X2869, Pagos_Odoo!$B:$B, 0)), ""))</f>
        <v/>
      </c>
      <c r="AB2869" s="81">
        <f>IF(X2869="Sin Pago",0,IFERROR(INDEX(Pagos_Odoo!$E:$E, MATCH(X2869, Pagos_Odoo!$B:$B, 0)), 0))</f>
        <v/>
      </c>
      <c r="AC2869" s="79">
        <f>IF(X2869="Sin Pago","",IFERROR(INDEX(Pagos_Odoo!$G:$G, MATCH(X2869, Pagos_Odoo!$B:$B, 0)), ""))</f>
        <v/>
      </c>
      <c r="AD2869" s="82" t="n">
        <v>0</v>
      </c>
      <c r="AE2869" s="82" t="n"/>
      <c r="AF2869" s="82" t="n"/>
      <c r="AG2869" s="82">
        <f>IF(AN2869="","",AD2869+AE2869+AF2869)</f>
        <v/>
      </c>
      <c r="AH2869" s="81">
        <f>IF(AN2869="","",P2869*(1-AG2869))</f>
        <v/>
      </c>
      <c r="AI2869" s="81">
        <f>IF(AN2869="","",IF(Q2869="Sin Factura",0,IFERROR(INDEX(Facturas_Odoo!$H:$H, MATCH(Q2869, Facturas_Odoo!$B:$B, 0)), 0)*(1-AG2869)))</f>
        <v/>
      </c>
      <c r="AJ2869" s="81">
        <f>IF(AN2869="","",_xlfn.LET(idVenta, AN2869&amp;"",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69" s="81">
        <f>IF(AN2869="","",AH2869-AJ2869)</f>
        <v/>
      </c>
      <c r="AL2869" s="81">
        <f>IF(AN2869="","",IF(Q2869="Sin Factura","",AI2869-AJ2869))</f>
        <v/>
      </c>
      <c r="AM2869" s="81">
        <f>IF(AN2869="","",IF(Q2869="Sin Factura",0,P2869-IFERROR(INDEX(Facturas_Odoo!$H:$H, MATCH(Q2869, Facturas_Odoo!$B:$B, 0)), 0)))</f>
        <v/>
      </c>
      <c r="AN2869" s="79">
        <f>IF(AND(A2869="", J2869=""), "", IF(A2869&lt;&gt;"", VALUE(MID(A2869,2,LEN(A2869))), AN2868))</f>
        <v/>
      </c>
      <c r="AO2869" s="79">
        <f>IF(AN2869="","",IF(AD2869=0,"OK",_xlfn.LET(monedaPago, IF(AA2869="","USD",AA2869), limitePermitido, IFERROR(VLOOKUP(monedaPago, Configuración!$A$2:$B$3, 2, FALSE), 0.15), IF(AD2869&gt;limitePermitido, "ALERTA: EXCESO (" &amp; TEXT(limitePermitido, "0%") &amp; " máx)", "OK"))))</f>
        <v/>
      </c>
      <c r="AP2869" s="79">
        <f>IF(AN2869="","",IF(AE2869=0,"OK",_xlfn.LET(fechaPago, Z2869, fechaFactura, R2869, diasCredito, IF(E2869="Pago inmediato", 0, IFERROR(VALUE(MID(E2869, 1, SEARCH(" ", E2869)-1)),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69" s="79">
        <f>IF(AN2869="","",IF(AND(N2869&gt;0, AG2869&gt;0), IF(Configuración!$K$2="NO", "ALERTA: DESCUENTO DOBLE NO PERMITIDO", "OK"), "OK"))</f>
        <v/>
      </c>
      <c r="AR2869" s="79">
        <f>IF(AN2869="","",IF(OR(AO2869&lt;&gt;"OK", AP2869&lt;&gt;"OK", AQ2869&lt;&gt;"OK"), "⚠️ REVISAR", "OK"))</f>
        <v/>
      </c>
    </row>
    <row r="2870">
      <c r="A2870" s="79">
        <f>IF('Ordenes_Odoo'!A2870="","",'Ordenes_Odoo'!A2870)</f>
        <v/>
      </c>
      <c r="B2870" s="80">
        <f>IF('Ordenes_Odoo'!B2870="","",'Ordenes_Odoo'!B2870)</f>
        <v/>
      </c>
      <c r="C2870" s="79">
        <f>IF('Ordenes_Odoo'!C2870="","",'Ordenes_Odoo'!C2870)</f>
        <v/>
      </c>
      <c r="D2870" s="79">
        <f>IF('Ordenes_Odoo'!D2870="","",'Ordenes_Odoo'!D2870)</f>
        <v/>
      </c>
      <c r="E2870" s="79">
        <f>IF('Ordenes_Odoo'!E2870="","",'Ordenes_Odoo'!E2870)</f>
        <v/>
      </c>
      <c r="F2870" s="79">
        <f>IF('Ordenes_Odoo'!F2870="","",'Ordenes_Odoo'!F2870)</f>
        <v/>
      </c>
      <c r="G2870" s="79">
        <f>IF('Ordenes_Odoo'!G2870="","",'Ordenes_Odoo'!G2870)</f>
        <v/>
      </c>
      <c r="H2870" s="79">
        <f>IF('Ordenes_Odoo'!H2870="","",'Ordenes_Odoo'!H2870)</f>
        <v/>
      </c>
      <c r="I2870" s="79">
        <f>IF('Ordenes_Odoo'!I2870="","",'Ordenes_Odoo'!I2870)</f>
        <v/>
      </c>
      <c r="J2870" s="79">
        <f>IF('Ordenes_Odoo'!J2870="","",'Ordenes_Odoo'!J2870)</f>
        <v/>
      </c>
      <c r="K2870" s="81">
        <f>IF('Ordenes_Odoo'!K2870="","",'Ordenes_Odoo'!K2870)</f>
        <v/>
      </c>
      <c r="L2870" s="81">
        <f>IF('Ordenes_Odoo'!L2870="","",'Ordenes_Odoo'!L2870)</f>
        <v/>
      </c>
      <c r="M2870" s="79">
        <f>IF('Ordenes_Odoo'!M2870="","",'Ordenes_Odoo'!M2870)</f>
        <v/>
      </c>
      <c r="N2870" s="79">
        <f>IF('Ordenes_Odoo'!N2870="","",'Ordenes_Odoo'!N2870)</f>
        <v/>
      </c>
      <c r="O2870" s="81">
        <f>IF('Ordenes_Odoo'!O2870="","",'Ordenes_Odoo'!O2870)</f>
        <v/>
      </c>
      <c r="P2870" s="81">
        <f>IF('Ordenes_Odoo'!P2870="","",'Ordenes_Odoo'!P2870)</f>
        <v/>
      </c>
      <c r="Q2870" s="79">
        <f>IF(A2870="","",IFERROR(INDEX(Facturas_Odoo!$B:$B, MATCH(A2870, Facturas_Odoo!$D:$D, 0)), "Sin Factura"))</f>
        <v/>
      </c>
      <c r="R2870" s="80">
        <f>IF(Q2870="Sin Factura","",IFERROR(INDEX(Facturas_Odoo!$A:$A, MATCH(Q2870, Facturas_Odoo!$B:$B, 0)), ""))</f>
        <v/>
      </c>
      <c r="S2870" s="79">
        <f>IF(Q2870="Sin Factura","",IFERROR(_xlfn.XLOOKUP(1, (Facturas_Odoo!$D:$D=A2870) * (Facturas_Odoo!$K:$K=I2870), Facturas_Odoo!$L:$L, ""), ""))</f>
        <v/>
      </c>
      <c r="T2870" s="81">
        <f>IF(Q2870="Sin Factura",0,IFERROR(_xlfn.XLOOKUP(1, (Facturas_Odoo!$D:$D=A2870) * (Facturas_Odoo!$K:$K=I2870), Facturas_Odoo!$M:$M, 0), 0))</f>
        <v/>
      </c>
      <c r="U2870" s="79">
        <f>IF(Q2870="Sin Factura",0,IFERROR(_xlfn.XLOOKUP(1, (Facturas_Odoo!$D:$D=A2870) * (Facturas_Odoo!$K:$K=I2870), Facturas_Odoo!$N:$N, 0), 0))</f>
        <v/>
      </c>
      <c r="V2870" s="79">
        <f>IF(Q2870="Sin Factura",0,IFERROR(_xlfn.XLOOKUP(1, (Facturas_Odoo!$D:$D=A2870) * (Facturas_Odoo!$K:$K=I2870), Facturas_Odoo!$O:$O, 0), 0))</f>
        <v/>
      </c>
      <c r="W2870" s="81">
        <f>IF(Q2870="Sin Factura",0,IFERROR(_xlfn.XLOOKUP(1, (Facturas_Odoo!$D:$D=A2870) * (Facturas_Odoo!$K:$K=I2870), Facturas_Odoo!$Q:$Q, 0), 0))</f>
        <v/>
      </c>
      <c r="X2870" s="79">
        <f>IF(OR(Q2870="Sin Factura",Q2870=""),"",IFERROR(INDEX(Pagos_Odoo!$B:$B, MATCH(Q2870, Pagos_Odoo!$I:$I, 0)), "Sin Pago"))</f>
        <v/>
      </c>
      <c r="Y2870" s="79">
        <f>IF(X2870="Sin Pago","",IFERROR(INDEX(Pagos_Odoo!$C:$C, MATCH(X2870, Pagos_Odoo!$B:$B, 0)), ""))</f>
        <v/>
      </c>
      <c r="Z2870" s="80">
        <f>IF(X2870="Sin Pago","",IFERROR(INDEX(Pagos_Odoo!$A:$A, MATCH(X2870, Pagos_Odoo!$B:$B, 0)), ""))</f>
        <v/>
      </c>
      <c r="AA2870" s="79">
        <f>IF(X2870="Sin Pago","",IFERROR(INDEX(Pagos_Odoo!$F:$F, MATCH(X2870, Pagos_Odoo!$B:$B, 0)), ""))</f>
        <v/>
      </c>
      <c r="AB2870" s="81">
        <f>IF(X2870="Sin Pago",0,IFERROR(INDEX(Pagos_Odoo!$E:$E, MATCH(X2870, Pagos_Odoo!$B:$B, 0)), 0))</f>
        <v/>
      </c>
      <c r="AC2870" s="79">
        <f>IF(X2870="Sin Pago","",IFERROR(INDEX(Pagos_Odoo!$G:$G, MATCH(X2870, Pagos_Odoo!$B:$B, 0)), ""))</f>
        <v/>
      </c>
      <c r="AD2870" s="82" t="n">
        <v>0</v>
      </c>
      <c r="AE2870" s="82" t="n"/>
      <c r="AF2870" s="82" t="n"/>
      <c r="AG2870" s="82">
        <f>IF(AN2870="","",AD2870+AE2870+AF2870)</f>
        <v/>
      </c>
      <c r="AH2870" s="81">
        <f>IF(AN2870="","",P2870*(1-AG2870))</f>
        <v/>
      </c>
      <c r="AI2870" s="81">
        <f>IF(AN2870="","",IF(Q2870="Sin Factura",0,IFERROR(INDEX(Facturas_Odoo!$H:$H, MATCH(Q2870, Facturas_Odoo!$B:$B, 0)), 0)*(1-AG2870)))</f>
        <v/>
      </c>
      <c r="AJ2870" s="81">
        <f>IF(AN2870="","",_xlfn.LET(idVenta, AN2870&amp;"",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70" s="81">
        <f>IF(AN2870="","",AH2870-AJ2870)</f>
        <v/>
      </c>
      <c r="AL2870" s="81">
        <f>IF(AN2870="","",IF(Q2870="Sin Factura","",AI2870-AJ2870))</f>
        <v/>
      </c>
      <c r="AM2870" s="81">
        <f>IF(AN2870="","",IF(Q2870="Sin Factura",0,P2870-IFERROR(INDEX(Facturas_Odoo!$H:$H, MATCH(Q2870, Facturas_Odoo!$B:$B, 0)), 0)))</f>
        <v/>
      </c>
      <c r="AN2870" s="79">
        <f>IF(AND(A2870="", J2870=""), "", IF(A2870&lt;&gt;"", VALUE(MID(A2870,2,LEN(A2870))), AN2869))</f>
        <v/>
      </c>
      <c r="AO2870" s="79">
        <f>IF(AN2870="","",IF(AD2870=0,"OK",_xlfn.LET(monedaPago, IF(AA2870="","USD",AA2870), limitePermitido, IFERROR(VLOOKUP(monedaPago, Configuración!$A$2:$B$3, 2, FALSE), 0.15), IF(AD2870&gt;limitePermitido, "ALERTA: EXCESO (" &amp; TEXT(limitePermitido, "0%") &amp; " máx)", "OK"))))</f>
        <v/>
      </c>
      <c r="AP2870" s="79">
        <f>IF(AN2870="","",IF(AE2870=0,"OK",_xlfn.LET(fechaPago, Z2870, fechaFactura, R2870, diasCredito, IF(E2870="Pago inmediato", 0, IFERROR(VALUE(MID(E2870, 1, SEARCH(" ", E2870)-1)),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70" s="79">
        <f>IF(AN2870="","",IF(AND(N2870&gt;0, AG2870&gt;0), IF(Configuración!$K$2="NO", "ALERTA: DESCUENTO DOBLE NO PERMITIDO", "OK"), "OK"))</f>
        <v/>
      </c>
      <c r="AR2870" s="79">
        <f>IF(AN2870="","",IF(OR(AO2870&lt;&gt;"OK", AP2870&lt;&gt;"OK", AQ2870&lt;&gt;"OK"), "⚠️ REVISAR", "OK"))</f>
        <v/>
      </c>
    </row>
    <row r="2871">
      <c r="A2871" s="79">
        <f>IF('Ordenes_Odoo'!A2871="","",'Ordenes_Odoo'!A2871)</f>
        <v/>
      </c>
      <c r="B2871" s="80">
        <f>IF('Ordenes_Odoo'!B2871="","",'Ordenes_Odoo'!B2871)</f>
        <v/>
      </c>
      <c r="C2871" s="79">
        <f>IF('Ordenes_Odoo'!C2871="","",'Ordenes_Odoo'!C2871)</f>
        <v/>
      </c>
      <c r="D2871" s="79">
        <f>IF('Ordenes_Odoo'!D2871="","",'Ordenes_Odoo'!D2871)</f>
        <v/>
      </c>
      <c r="E2871" s="79">
        <f>IF('Ordenes_Odoo'!E2871="","",'Ordenes_Odoo'!E2871)</f>
        <v/>
      </c>
      <c r="F2871" s="79">
        <f>IF('Ordenes_Odoo'!F2871="","",'Ordenes_Odoo'!F2871)</f>
        <v/>
      </c>
      <c r="G2871" s="79">
        <f>IF('Ordenes_Odoo'!G2871="","",'Ordenes_Odoo'!G2871)</f>
        <v/>
      </c>
      <c r="H2871" s="79">
        <f>IF('Ordenes_Odoo'!H2871="","",'Ordenes_Odoo'!H2871)</f>
        <v/>
      </c>
      <c r="I2871" s="79">
        <f>IF('Ordenes_Odoo'!I2871="","",'Ordenes_Odoo'!I2871)</f>
        <v/>
      </c>
      <c r="J2871" s="79">
        <f>IF('Ordenes_Odoo'!J2871="","",'Ordenes_Odoo'!J2871)</f>
        <v/>
      </c>
      <c r="K2871" s="81">
        <f>IF('Ordenes_Odoo'!K2871="","",'Ordenes_Odoo'!K2871)</f>
        <v/>
      </c>
      <c r="L2871" s="81">
        <f>IF('Ordenes_Odoo'!L2871="","",'Ordenes_Odoo'!L2871)</f>
        <v/>
      </c>
      <c r="M2871" s="79">
        <f>IF('Ordenes_Odoo'!M2871="","",'Ordenes_Odoo'!M2871)</f>
        <v/>
      </c>
      <c r="N2871" s="79">
        <f>IF('Ordenes_Odoo'!N2871="","",'Ordenes_Odoo'!N2871)</f>
        <v/>
      </c>
      <c r="O2871" s="81">
        <f>IF('Ordenes_Odoo'!O2871="","",'Ordenes_Odoo'!O2871)</f>
        <v/>
      </c>
      <c r="P2871" s="81">
        <f>IF('Ordenes_Odoo'!P2871="","",'Ordenes_Odoo'!P2871)</f>
        <v/>
      </c>
      <c r="Q2871" s="79">
        <f>IF(A2871="","",IFERROR(INDEX(Facturas_Odoo!$B:$B, MATCH(A2871, Facturas_Odoo!$D:$D, 0)), "Sin Factura"))</f>
        <v/>
      </c>
      <c r="R2871" s="80">
        <f>IF(Q2871="Sin Factura","",IFERROR(INDEX(Facturas_Odoo!$A:$A, MATCH(Q2871, Facturas_Odoo!$B:$B, 0)), ""))</f>
        <v/>
      </c>
      <c r="S2871" s="79">
        <f>IF(Q2871="Sin Factura","",IFERROR(_xlfn.XLOOKUP(1, (Facturas_Odoo!$D:$D=A2871) * (Facturas_Odoo!$K:$K=I2871), Facturas_Odoo!$L:$L, ""), ""))</f>
        <v/>
      </c>
      <c r="T2871" s="81">
        <f>IF(Q2871="Sin Factura",0,IFERROR(_xlfn.XLOOKUP(1, (Facturas_Odoo!$D:$D=A2871) * (Facturas_Odoo!$K:$K=I2871), Facturas_Odoo!$M:$M, 0), 0))</f>
        <v/>
      </c>
      <c r="U2871" s="79">
        <f>IF(Q2871="Sin Factura",0,IFERROR(_xlfn.XLOOKUP(1, (Facturas_Odoo!$D:$D=A2871) * (Facturas_Odoo!$K:$K=I2871), Facturas_Odoo!$N:$N, 0), 0))</f>
        <v/>
      </c>
      <c r="V2871" s="79">
        <f>IF(Q2871="Sin Factura",0,IFERROR(_xlfn.XLOOKUP(1, (Facturas_Odoo!$D:$D=A2871) * (Facturas_Odoo!$K:$K=I2871), Facturas_Odoo!$O:$O, 0), 0))</f>
        <v/>
      </c>
      <c r="W2871" s="81">
        <f>IF(Q2871="Sin Factura",0,IFERROR(_xlfn.XLOOKUP(1, (Facturas_Odoo!$D:$D=A2871) * (Facturas_Odoo!$K:$K=I2871), Facturas_Odoo!$Q:$Q, 0), 0))</f>
        <v/>
      </c>
      <c r="X2871" s="79">
        <f>IF(OR(Q2871="Sin Factura",Q2871=""),"",IFERROR(INDEX(Pagos_Odoo!$B:$B, MATCH(Q2871, Pagos_Odoo!$I:$I, 0)), "Sin Pago"))</f>
        <v/>
      </c>
      <c r="Y2871" s="79">
        <f>IF(X2871="Sin Pago","",IFERROR(INDEX(Pagos_Odoo!$C:$C, MATCH(X2871, Pagos_Odoo!$B:$B, 0)), ""))</f>
        <v/>
      </c>
      <c r="Z2871" s="80">
        <f>IF(X2871="Sin Pago","",IFERROR(INDEX(Pagos_Odoo!$A:$A, MATCH(X2871, Pagos_Odoo!$B:$B, 0)), ""))</f>
        <v/>
      </c>
      <c r="AA2871" s="79">
        <f>IF(X2871="Sin Pago","",IFERROR(INDEX(Pagos_Odoo!$F:$F, MATCH(X2871, Pagos_Odoo!$B:$B, 0)), ""))</f>
        <v/>
      </c>
      <c r="AB2871" s="81">
        <f>IF(X2871="Sin Pago",0,IFERROR(INDEX(Pagos_Odoo!$E:$E, MATCH(X2871, Pagos_Odoo!$B:$B, 0)), 0))</f>
        <v/>
      </c>
      <c r="AC2871" s="79">
        <f>IF(X2871="Sin Pago","",IFERROR(INDEX(Pagos_Odoo!$G:$G, MATCH(X2871, Pagos_Odoo!$B:$B, 0)), ""))</f>
        <v/>
      </c>
      <c r="AD2871" s="82" t="n">
        <v>0</v>
      </c>
      <c r="AE2871" s="82" t="n"/>
      <c r="AF2871" s="82" t="n"/>
      <c r="AG2871" s="82">
        <f>IF(AN2871="","",AD2871+AE2871+AF2871)</f>
        <v/>
      </c>
      <c r="AH2871" s="81">
        <f>IF(AN2871="","",P2871*(1-AG2871))</f>
        <v/>
      </c>
      <c r="AI2871" s="81">
        <f>IF(AN2871="","",IF(Q2871="Sin Factura",0,IFERROR(INDEX(Facturas_Odoo!$H:$H, MATCH(Q2871, Facturas_Odoo!$B:$B, 0)), 0)*(1-AG2871)))</f>
        <v/>
      </c>
      <c r="AJ2871" s="81">
        <f>IF(AN2871="","",_xlfn.LET(idVenta, AN2871&amp;"",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71" s="81">
        <f>IF(AN2871="","",AH2871-AJ2871)</f>
        <v/>
      </c>
      <c r="AL2871" s="81">
        <f>IF(AN2871="","",IF(Q2871="Sin Factura","",AI2871-AJ2871))</f>
        <v/>
      </c>
      <c r="AM2871" s="81">
        <f>IF(AN2871="","",IF(Q2871="Sin Factura",0,P2871-IFERROR(INDEX(Facturas_Odoo!$H:$H, MATCH(Q2871, Facturas_Odoo!$B:$B, 0)), 0)))</f>
        <v/>
      </c>
      <c r="AN2871" s="79">
        <f>IF(AND(A2871="", J2871=""), "", IF(A2871&lt;&gt;"", VALUE(MID(A2871,2,LEN(A2871))), AN2870))</f>
        <v/>
      </c>
      <c r="AO2871" s="79">
        <f>IF(AN2871="","",IF(AD2871=0,"OK",_xlfn.LET(monedaPago, IF(AA2871="","USD",AA2871), limitePermitido, IFERROR(VLOOKUP(monedaPago, Configuración!$A$2:$B$3, 2, FALSE), 0.15), IF(AD2871&gt;limitePermitido, "ALERTA: EXCESO (" &amp; TEXT(limitePermitido, "0%") &amp; " máx)", "OK"))))</f>
        <v/>
      </c>
      <c r="AP2871" s="79">
        <f>IF(AN2871="","",IF(AE2871=0,"OK",_xlfn.LET(fechaPago, Z2871, fechaFactura, R2871, diasCredito, IF(E2871="Pago inmediato", 0, IFERROR(VALUE(MID(E2871, 1, SEARCH(" ", E2871)-1)),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71" s="79">
        <f>IF(AN2871="","",IF(AND(N2871&gt;0, AG2871&gt;0), IF(Configuración!$K$2="NO", "ALERTA: DESCUENTO DOBLE NO PERMITIDO", "OK"), "OK"))</f>
        <v/>
      </c>
      <c r="AR2871" s="79">
        <f>IF(AN2871="","",IF(OR(AO2871&lt;&gt;"OK", AP2871&lt;&gt;"OK", AQ2871&lt;&gt;"OK"), "⚠️ REVISAR", "OK"))</f>
        <v/>
      </c>
    </row>
    <row r="2872">
      <c r="A2872" s="79">
        <f>IF('Ordenes_Odoo'!A2872="","",'Ordenes_Odoo'!A2872)</f>
        <v/>
      </c>
      <c r="B2872" s="80">
        <f>IF('Ordenes_Odoo'!B2872="","",'Ordenes_Odoo'!B2872)</f>
        <v/>
      </c>
      <c r="C2872" s="79">
        <f>IF('Ordenes_Odoo'!C2872="","",'Ordenes_Odoo'!C2872)</f>
        <v/>
      </c>
      <c r="D2872" s="79">
        <f>IF('Ordenes_Odoo'!D2872="","",'Ordenes_Odoo'!D2872)</f>
        <v/>
      </c>
      <c r="E2872" s="79">
        <f>IF('Ordenes_Odoo'!E2872="","",'Ordenes_Odoo'!E2872)</f>
        <v/>
      </c>
      <c r="F2872" s="79">
        <f>IF('Ordenes_Odoo'!F2872="","",'Ordenes_Odoo'!F2872)</f>
        <v/>
      </c>
      <c r="G2872" s="79">
        <f>IF('Ordenes_Odoo'!G2872="","",'Ordenes_Odoo'!G2872)</f>
        <v/>
      </c>
      <c r="H2872" s="79">
        <f>IF('Ordenes_Odoo'!H2872="","",'Ordenes_Odoo'!H2872)</f>
        <v/>
      </c>
      <c r="I2872" s="79">
        <f>IF('Ordenes_Odoo'!I2872="","",'Ordenes_Odoo'!I2872)</f>
        <v/>
      </c>
      <c r="J2872" s="79">
        <f>IF('Ordenes_Odoo'!J2872="","",'Ordenes_Odoo'!J2872)</f>
        <v/>
      </c>
      <c r="K2872" s="81">
        <f>IF('Ordenes_Odoo'!K2872="","",'Ordenes_Odoo'!K2872)</f>
        <v/>
      </c>
      <c r="L2872" s="81">
        <f>IF('Ordenes_Odoo'!L2872="","",'Ordenes_Odoo'!L2872)</f>
        <v/>
      </c>
      <c r="M2872" s="79">
        <f>IF('Ordenes_Odoo'!M2872="","",'Ordenes_Odoo'!M2872)</f>
        <v/>
      </c>
      <c r="N2872" s="79">
        <f>IF('Ordenes_Odoo'!N2872="","",'Ordenes_Odoo'!N2872)</f>
        <v/>
      </c>
      <c r="O2872" s="81">
        <f>IF('Ordenes_Odoo'!O2872="","",'Ordenes_Odoo'!O2872)</f>
        <v/>
      </c>
      <c r="P2872" s="81">
        <f>IF('Ordenes_Odoo'!P2872="","",'Ordenes_Odoo'!P2872)</f>
        <v/>
      </c>
      <c r="Q2872" s="79">
        <f>IF(A2872="","",IFERROR(INDEX(Facturas_Odoo!$B:$B, MATCH(A2872, Facturas_Odoo!$D:$D, 0)), "Sin Factura"))</f>
        <v/>
      </c>
      <c r="R2872" s="80">
        <f>IF(Q2872="Sin Factura","",IFERROR(INDEX(Facturas_Odoo!$A:$A, MATCH(Q2872, Facturas_Odoo!$B:$B, 0)), ""))</f>
        <v/>
      </c>
      <c r="S2872" s="79">
        <f>IF(Q2872="Sin Factura","",IFERROR(_xlfn.XLOOKUP(1, (Facturas_Odoo!$D:$D=A2872) * (Facturas_Odoo!$K:$K=I2872), Facturas_Odoo!$L:$L, ""), ""))</f>
        <v/>
      </c>
      <c r="T2872" s="81">
        <f>IF(Q2872="Sin Factura",0,IFERROR(_xlfn.XLOOKUP(1, (Facturas_Odoo!$D:$D=A2872) * (Facturas_Odoo!$K:$K=I2872), Facturas_Odoo!$M:$M, 0), 0))</f>
        <v/>
      </c>
      <c r="U2872" s="79">
        <f>IF(Q2872="Sin Factura",0,IFERROR(_xlfn.XLOOKUP(1, (Facturas_Odoo!$D:$D=A2872) * (Facturas_Odoo!$K:$K=I2872), Facturas_Odoo!$N:$N, 0), 0))</f>
        <v/>
      </c>
      <c r="V2872" s="79">
        <f>IF(Q2872="Sin Factura",0,IFERROR(_xlfn.XLOOKUP(1, (Facturas_Odoo!$D:$D=A2872) * (Facturas_Odoo!$K:$K=I2872), Facturas_Odoo!$O:$O, 0), 0))</f>
        <v/>
      </c>
      <c r="W2872" s="81">
        <f>IF(Q2872="Sin Factura",0,IFERROR(_xlfn.XLOOKUP(1, (Facturas_Odoo!$D:$D=A2872) * (Facturas_Odoo!$K:$K=I2872), Facturas_Odoo!$Q:$Q, 0), 0))</f>
        <v/>
      </c>
      <c r="X2872" s="79">
        <f>IF(OR(Q2872="Sin Factura",Q2872=""),"",IFERROR(INDEX(Pagos_Odoo!$B:$B, MATCH(Q2872, Pagos_Odoo!$I:$I, 0)), "Sin Pago"))</f>
        <v/>
      </c>
      <c r="Y2872" s="79">
        <f>IF(X2872="Sin Pago","",IFERROR(INDEX(Pagos_Odoo!$C:$C, MATCH(X2872, Pagos_Odoo!$B:$B, 0)), ""))</f>
        <v/>
      </c>
      <c r="Z2872" s="80">
        <f>IF(X2872="Sin Pago","",IFERROR(INDEX(Pagos_Odoo!$A:$A, MATCH(X2872, Pagos_Odoo!$B:$B, 0)), ""))</f>
        <v/>
      </c>
      <c r="AA2872" s="79">
        <f>IF(X2872="Sin Pago","",IFERROR(INDEX(Pagos_Odoo!$F:$F, MATCH(X2872, Pagos_Odoo!$B:$B, 0)), ""))</f>
        <v/>
      </c>
      <c r="AB2872" s="81">
        <f>IF(X2872="Sin Pago",0,IFERROR(INDEX(Pagos_Odoo!$E:$E, MATCH(X2872, Pagos_Odoo!$B:$B, 0)), 0))</f>
        <v/>
      </c>
      <c r="AC2872" s="79">
        <f>IF(X2872="Sin Pago","",IFERROR(INDEX(Pagos_Odoo!$G:$G, MATCH(X2872, Pagos_Odoo!$B:$B, 0)), ""))</f>
        <v/>
      </c>
      <c r="AD2872" s="82" t="n">
        <v>0</v>
      </c>
      <c r="AE2872" s="82" t="n"/>
      <c r="AF2872" s="82" t="n"/>
      <c r="AG2872" s="82">
        <f>IF(AN2872="","",AD2872+AE2872+AF2872)</f>
        <v/>
      </c>
      <c r="AH2872" s="81">
        <f>IF(AN2872="","",P2872*(1-AG2872))</f>
        <v/>
      </c>
      <c r="AI2872" s="81">
        <f>IF(AN2872="","",IF(Q2872="Sin Factura",0,IFERROR(INDEX(Facturas_Odoo!$H:$H, MATCH(Q2872, Facturas_Odoo!$B:$B, 0)), 0)*(1-AG2872)))</f>
        <v/>
      </c>
      <c r="AJ2872" s="81">
        <f>IF(AN2872="","",_xlfn.LET(idVenta, AN2872&amp;"",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72" s="81">
        <f>IF(AN2872="","",AH2872-AJ2872)</f>
        <v/>
      </c>
      <c r="AL2872" s="81">
        <f>IF(AN2872="","",IF(Q2872="Sin Factura","",AI2872-AJ2872))</f>
        <v/>
      </c>
      <c r="AM2872" s="81">
        <f>IF(AN2872="","",IF(Q2872="Sin Factura",0,P2872-IFERROR(INDEX(Facturas_Odoo!$H:$H, MATCH(Q2872, Facturas_Odoo!$B:$B, 0)), 0)))</f>
        <v/>
      </c>
      <c r="AN2872" s="79">
        <f>IF(AND(A2872="", J2872=""), "", IF(A2872&lt;&gt;"", VALUE(MID(A2872,2,LEN(A2872))), AN2871))</f>
        <v/>
      </c>
      <c r="AO2872" s="79">
        <f>IF(AN2872="","",IF(AD2872=0,"OK",_xlfn.LET(monedaPago, IF(AA2872="","USD",AA2872), limitePermitido, IFERROR(VLOOKUP(monedaPago, Configuración!$A$2:$B$3, 2, FALSE), 0.15), IF(AD2872&gt;limitePermitido, "ALERTA: EXCESO (" &amp; TEXT(limitePermitido, "0%") &amp; " máx)", "OK"))))</f>
        <v/>
      </c>
      <c r="AP2872" s="79">
        <f>IF(AN2872="","",IF(AE2872=0,"OK",_xlfn.LET(fechaPago, Z2872, fechaFactura, R2872, diasCredito, IF(E2872="Pago inmediato", 0, IFERROR(VALUE(MID(E2872, 1, SEARCH(" ", E2872)-1)),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72" s="79">
        <f>IF(AN2872="","",IF(AND(N2872&gt;0, AG2872&gt;0), IF(Configuración!$K$2="NO", "ALERTA: DESCUENTO DOBLE NO PERMITIDO", "OK"), "OK"))</f>
        <v/>
      </c>
      <c r="AR2872" s="79">
        <f>IF(AN2872="","",IF(OR(AO2872&lt;&gt;"OK", AP2872&lt;&gt;"OK", AQ2872&lt;&gt;"OK"), "⚠️ REVISAR", "OK"))</f>
        <v/>
      </c>
    </row>
    <row r="2873">
      <c r="A2873" s="79">
        <f>IF('Ordenes_Odoo'!A2873="","",'Ordenes_Odoo'!A2873)</f>
        <v/>
      </c>
      <c r="B2873" s="80">
        <f>IF('Ordenes_Odoo'!B2873="","",'Ordenes_Odoo'!B2873)</f>
        <v/>
      </c>
      <c r="C2873" s="79">
        <f>IF('Ordenes_Odoo'!C2873="","",'Ordenes_Odoo'!C2873)</f>
        <v/>
      </c>
      <c r="D2873" s="79">
        <f>IF('Ordenes_Odoo'!D2873="","",'Ordenes_Odoo'!D2873)</f>
        <v/>
      </c>
      <c r="E2873" s="79">
        <f>IF('Ordenes_Odoo'!E2873="","",'Ordenes_Odoo'!E2873)</f>
        <v/>
      </c>
      <c r="F2873" s="79">
        <f>IF('Ordenes_Odoo'!F2873="","",'Ordenes_Odoo'!F2873)</f>
        <v/>
      </c>
      <c r="G2873" s="79">
        <f>IF('Ordenes_Odoo'!G2873="","",'Ordenes_Odoo'!G2873)</f>
        <v/>
      </c>
      <c r="H2873" s="79">
        <f>IF('Ordenes_Odoo'!H2873="","",'Ordenes_Odoo'!H2873)</f>
        <v/>
      </c>
      <c r="I2873" s="79">
        <f>IF('Ordenes_Odoo'!I2873="","",'Ordenes_Odoo'!I2873)</f>
        <v/>
      </c>
      <c r="J2873" s="79">
        <f>IF('Ordenes_Odoo'!J2873="","",'Ordenes_Odoo'!J2873)</f>
        <v/>
      </c>
      <c r="K2873" s="81">
        <f>IF('Ordenes_Odoo'!K2873="","",'Ordenes_Odoo'!K2873)</f>
        <v/>
      </c>
      <c r="L2873" s="81">
        <f>IF('Ordenes_Odoo'!L2873="","",'Ordenes_Odoo'!L2873)</f>
        <v/>
      </c>
      <c r="M2873" s="79">
        <f>IF('Ordenes_Odoo'!M2873="","",'Ordenes_Odoo'!M2873)</f>
        <v/>
      </c>
      <c r="N2873" s="79">
        <f>IF('Ordenes_Odoo'!N2873="","",'Ordenes_Odoo'!N2873)</f>
        <v/>
      </c>
      <c r="O2873" s="81">
        <f>IF('Ordenes_Odoo'!O2873="","",'Ordenes_Odoo'!O2873)</f>
        <v/>
      </c>
      <c r="P2873" s="81">
        <f>IF('Ordenes_Odoo'!P2873="","",'Ordenes_Odoo'!P2873)</f>
        <v/>
      </c>
      <c r="Q2873" s="79">
        <f>IF(A2873="","",IFERROR(INDEX(Facturas_Odoo!$B:$B, MATCH(A2873, Facturas_Odoo!$D:$D, 0)), "Sin Factura"))</f>
        <v/>
      </c>
      <c r="R2873" s="80">
        <f>IF(Q2873="Sin Factura","",IFERROR(INDEX(Facturas_Odoo!$A:$A, MATCH(Q2873, Facturas_Odoo!$B:$B, 0)), ""))</f>
        <v/>
      </c>
      <c r="S2873" s="79">
        <f>IF(Q2873="Sin Factura","",IFERROR(_xlfn.XLOOKUP(1, (Facturas_Odoo!$D:$D=A2873) * (Facturas_Odoo!$K:$K=I2873), Facturas_Odoo!$L:$L, ""), ""))</f>
        <v/>
      </c>
      <c r="T2873" s="81">
        <f>IF(Q2873="Sin Factura",0,IFERROR(_xlfn.XLOOKUP(1, (Facturas_Odoo!$D:$D=A2873) * (Facturas_Odoo!$K:$K=I2873), Facturas_Odoo!$M:$M, 0), 0))</f>
        <v/>
      </c>
      <c r="U2873" s="79">
        <f>IF(Q2873="Sin Factura",0,IFERROR(_xlfn.XLOOKUP(1, (Facturas_Odoo!$D:$D=A2873) * (Facturas_Odoo!$K:$K=I2873), Facturas_Odoo!$N:$N, 0), 0))</f>
        <v/>
      </c>
      <c r="V2873" s="79">
        <f>IF(Q2873="Sin Factura",0,IFERROR(_xlfn.XLOOKUP(1, (Facturas_Odoo!$D:$D=A2873) * (Facturas_Odoo!$K:$K=I2873), Facturas_Odoo!$O:$O, 0), 0))</f>
        <v/>
      </c>
      <c r="W2873" s="81">
        <f>IF(Q2873="Sin Factura",0,IFERROR(_xlfn.XLOOKUP(1, (Facturas_Odoo!$D:$D=A2873) * (Facturas_Odoo!$K:$K=I2873), Facturas_Odoo!$Q:$Q, 0), 0))</f>
        <v/>
      </c>
      <c r="X2873" s="79">
        <f>IF(OR(Q2873="Sin Factura",Q2873=""),"",IFERROR(INDEX(Pagos_Odoo!$B:$B, MATCH(Q2873, Pagos_Odoo!$I:$I, 0)), "Sin Pago"))</f>
        <v/>
      </c>
      <c r="Y2873" s="79">
        <f>IF(X2873="Sin Pago","",IFERROR(INDEX(Pagos_Odoo!$C:$C, MATCH(X2873, Pagos_Odoo!$B:$B, 0)), ""))</f>
        <v/>
      </c>
      <c r="Z2873" s="80">
        <f>IF(X2873="Sin Pago","",IFERROR(INDEX(Pagos_Odoo!$A:$A, MATCH(X2873, Pagos_Odoo!$B:$B, 0)), ""))</f>
        <v/>
      </c>
      <c r="AA2873" s="79">
        <f>IF(X2873="Sin Pago","",IFERROR(INDEX(Pagos_Odoo!$F:$F, MATCH(X2873, Pagos_Odoo!$B:$B, 0)), ""))</f>
        <v/>
      </c>
      <c r="AB2873" s="81">
        <f>IF(X2873="Sin Pago",0,IFERROR(INDEX(Pagos_Odoo!$E:$E, MATCH(X2873, Pagos_Odoo!$B:$B, 0)), 0))</f>
        <v/>
      </c>
      <c r="AC2873" s="79">
        <f>IF(X2873="Sin Pago","",IFERROR(INDEX(Pagos_Odoo!$G:$G, MATCH(X2873, Pagos_Odoo!$B:$B, 0)), ""))</f>
        <v/>
      </c>
      <c r="AD2873" s="82" t="n">
        <v>0</v>
      </c>
      <c r="AE2873" s="82" t="n"/>
      <c r="AF2873" s="82" t="n"/>
      <c r="AG2873" s="82">
        <f>IF(AN2873="","",AD2873+AE2873+AF2873)</f>
        <v/>
      </c>
      <c r="AH2873" s="81">
        <f>IF(AN2873="","",P2873*(1-AG2873))</f>
        <v/>
      </c>
      <c r="AI2873" s="81">
        <f>IF(AN2873="","",IF(Q2873="Sin Factura",0,IFERROR(INDEX(Facturas_Odoo!$H:$H, MATCH(Q2873, Facturas_Odoo!$B:$B, 0)), 0)*(1-AG2873)))</f>
        <v/>
      </c>
      <c r="AJ2873" s="81">
        <f>IF(AN2873="","",_xlfn.LET(idVenta, AN2873&amp;"",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73" s="81">
        <f>IF(AN2873="","",AH2873-AJ2873)</f>
        <v/>
      </c>
      <c r="AL2873" s="81">
        <f>IF(AN2873="","",IF(Q2873="Sin Factura","",AI2873-AJ2873))</f>
        <v/>
      </c>
      <c r="AM2873" s="81">
        <f>IF(AN2873="","",IF(Q2873="Sin Factura",0,P2873-IFERROR(INDEX(Facturas_Odoo!$H:$H, MATCH(Q2873, Facturas_Odoo!$B:$B, 0)), 0)))</f>
        <v/>
      </c>
      <c r="AN2873" s="79">
        <f>IF(AND(A2873="", J2873=""), "", IF(A2873&lt;&gt;"", VALUE(MID(A2873,2,LEN(A2873))), AN2872))</f>
        <v/>
      </c>
      <c r="AO2873" s="79">
        <f>IF(AN2873="","",IF(AD2873=0,"OK",_xlfn.LET(monedaPago, IF(AA2873="","USD",AA2873), limitePermitido, IFERROR(VLOOKUP(monedaPago, Configuración!$A$2:$B$3, 2, FALSE), 0.15), IF(AD2873&gt;limitePermitido, "ALERTA: EXCESO (" &amp; TEXT(limitePermitido, "0%") &amp; " máx)", "OK"))))</f>
        <v/>
      </c>
      <c r="AP2873" s="79">
        <f>IF(AN2873="","",IF(AE2873=0,"OK",_xlfn.LET(fechaPago, Z2873, fechaFactura, R2873, diasCredito, IF(E2873="Pago inmediato", 0, IFERROR(VALUE(MID(E2873, 1, SEARCH(" ", E2873)-1)),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73" s="79">
        <f>IF(AN2873="","",IF(AND(N2873&gt;0, AG2873&gt;0), IF(Configuración!$K$2="NO", "ALERTA: DESCUENTO DOBLE NO PERMITIDO", "OK"), "OK"))</f>
        <v/>
      </c>
      <c r="AR2873" s="79">
        <f>IF(AN2873="","",IF(OR(AO2873&lt;&gt;"OK", AP2873&lt;&gt;"OK", AQ2873&lt;&gt;"OK"), "⚠️ REVISAR", "OK"))</f>
        <v/>
      </c>
    </row>
    <row r="2874">
      <c r="A2874" s="79">
        <f>IF('Ordenes_Odoo'!A2874="","",'Ordenes_Odoo'!A2874)</f>
        <v/>
      </c>
      <c r="B2874" s="80">
        <f>IF('Ordenes_Odoo'!B2874="","",'Ordenes_Odoo'!B2874)</f>
        <v/>
      </c>
      <c r="C2874" s="79">
        <f>IF('Ordenes_Odoo'!C2874="","",'Ordenes_Odoo'!C2874)</f>
        <v/>
      </c>
      <c r="D2874" s="79">
        <f>IF('Ordenes_Odoo'!D2874="","",'Ordenes_Odoo'!D2874)</f>
        <v/>
      </c>
      <c r="E2874" s="79">
        <f>IF('Ordenes_Odoo'!E2874="","",'Ordenes_Odoo'!E2874)</f>
        <v/>
      </c>
      <c r="F2874" s="79">
        <f>IF('Ordenes_Odoo'!F2874="","",'Ordenes_Odoo'!F2874)</f>
        <v/>
      </c>
      <c r="G2874" s="79">
        <f>IF('Ordenes_Odoo'!G2874="","",'Ordenes_Odoo'!G2874)</f>
        <v/>
      </c>
      <c r="H2874" s="79">
        <f>IF('Ordenes_Odoo'!H2874="","",'Ordenes_Odoo'!H2874)</f>
        <v/>
      </c>
      <c r="I2874" s="79">
        <f>IF('Ordenes_Odoo'!I2874="","",'Ordenes_Odoo'!I2874)</f>
        <v/>
      </c>
      <c r="J2874" s="79">
        <f>IF('Ordenes_Odoo'!J2874="","",'Ordenes_Odoo'!J2874)</f>
        <v/>
      </c>
      <c r="K2874" s="81">
        <f>IF('Ordenes_Odoo'!K2874="","",'Ordenes_Odoo'!K2874)</f>
        <v/>
      </c>
      <c r="L2874" s="81">
        <f>IF('Ordenes_Odoo'!L2874="","",'Ordenes_Odoo'!L2874)</f>
        <v/>
      </c>
      <c r="M2874" s="79">
        <f>IF('Ordenes_Odoo'!M2874="","",'Ordenes_Odoo'!M2874)</f>
        <v/>
      </c>
      <c r="N2874" s="79">
        <f>IF('Ordenes_Odoo'!N2874="","",'Ordenes_Odoo'!N2874)</f>
        <v/>
      </c>
      <c r="O2874" s="81">
        <f>IF('Ordenes_Odoo'!O2874="","",'Ordenes_Odoo'!O2874)</f>
        <v/>
      </c>
      <c r="P2874" s="81">
        <f>IF('Ordenes_Odoo'!P2874="","",'Ordenes_Odoo'!P2874)</f>
        <v/>
      </c>
      <c r="Q2874" s="79">
        <f>IF(A2874="","",IFERROR(INDEX(Facturas_Odoo!$B:$B, MATCH(A2874, Facturas_Odoo!$D:$D, 0)), "Sin Factura"))</f>
        <v/>
      </c>
      <c r="R2874" s="80">
        <f>IF(Q2874="Sin Factura","",IFERROR(INDEX(Facturas_Odoo!$A:$A, MATCH(Q2874, Facturas_Odoo!$B:$B, 0)), ""))</f>
        <v/>
      </c>
      <c r="S2874" s="79">
        <f>IF(Q2874="Sin Factura","",IFERROR(_xlfn.XLOOKUP(1, (Facturas_Odoo!$D:$D=A2874) * (Facturas_Odoo!$K:$K=I2874), Facturas_Odoo!$L:$L, ""), ""))</f>
        <v/>
      </c>
      <c r="T2874" s="81">
        <f>IF(Q2874="Sin Factura",0,IFERROR(_xlfn.XLOOKUP(1, (Facturas_Odoo!$D:$D=A2874) * (Facturas_Odoo!$K:$K=I2874), Facturas_Odoo!$M:$M, 0), 0))</f>
        <v/>
      </c>
      <c r="U2874" s="79">
        <f>IF(Q2874="Sin Factura",0,IFERROR(_xlfn.XLOOKUP(1, (Facturas_Odoo!$D:$D=A2874) * (Facturas_Odoo!$K:$K=I2874), Facturas_Odoo!$N:$N, 0), 0))</f>
        <v/>
      </c>
      <c r="V2874" s="79">
        <f>IF(Q2874="Sin Factura",0,IFERROR(_xlfn.XLOOKUP(1, (Facturas_Odoo!$D:$D=A2874) * (Facturas_Odoo!$K:$K=I2874), Facturas_Odoo!$O:$O, 0), 0))</f>
        <v/>
      </c>
      <c r="W2874" s="81">
        <f>IF(Q2874="Sin Factura",0,IFERROR(_xlfn.XLOOKUP(1, (Facturas_Odoo!$D:$D=A2874) * (Facturas_Odoo!$K:$K=I2874), Facturas_Odoo!$Q:$Q, 0), 0))</f>
        <v/>
      </c>
      <c r="X2874" s="79">
        <f>IF(OR(Q2874="Sin Factura",Q2874=""),"",IFERROR(INDEX(Pagos_Odoo!$B:$B, MATCH(Q2874, Pagos_Odoo!$I:$I, 0)), "Sin Pago"))</f>
        <v/>
      </c>
      <c r="Y2874" s="79">
        <f>IF(X2874="Sin Pago","",IFERROR(INDEX(Pagos_Odoo!$C:$C, MATCH(X2874, Pagos_Odoo!$B:$B, 0)), ""))</f>
        <v/>
      </c>
      <c r="Z2874" s="80">
        <f>IF(X2874="Sin Pago","",IFERROR(INDEX(Pagos_Odoo!$A:$A, MATCH(X2874, Pagos_Odoo!$B:$B, 0)), ""))</f>
        <v/>
      </c>
      <c r="AA2874" s="79">
        <f>IF(X2874="Sin Pago","",IFERROR(INDEX(Pagos_Odoo!$F:$F, MATCH(X2874, Pagos_Odoo!$B:$B, 0)), ""))</f>
        <v/>
      </c>
      <c r="AB2874" s="81">
        <f>IF(X2874="Sin Pago",0,IFERROR(INDEX(Pagos_Odoo!$E:$E, MATCH(X2874, Pagos_Odoo!$B:$B, 0)), 0))</f>
        <v/>
      </c>
      <c r="AC2874" s="79">
        <f>IF(X2874="Sin Pago","",IFERROR(INDEX(Pagos_Odoo!$G:$G, MATCH(X2874, Pagos_Odoo!$B:$B, 0)), ""))</f>
        <v/>
      </c>
      <c r="AD2874" s="82" t="n">
        <v>0</v>
      </c>
      <c r="AE2874" s="82" t="n"/>
      <c r="AF2874" s="82" t="n"/>
      <c r="AG2874" s="82">
        <f>IF(AN2874="","",AD2874+AE2874+AF2874)</f>
        <v/>
      </c>
      <c r="AH2874" s="81">
        <f>IF(AN2874="","",P2874*(1-AG2874))</f>
        <v/>
      </c>
      <c r="AI2874" s="81">
        <f>IF(AN2874="","",IF(Q2874="Sin Factura",0,IFERROR(INDEX(Facturas_Odoo!$H:$H, MATCH(Q2874, Facturas_Odoo!$B:$B, 0)), 0)*(1-AG2874)))</f>
        <v/>
      </c>
      <c r="AJ2874" s="81">
        <f>IF(AN2874="","",_xlfn.LET(idVenta, AN2874&amp;"",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74" s="81">
        <f>IF(AN2874="","",AH2874-AJ2874)</f>
        <v/>
      </c>
      <c r="AL2874" s="81">
        <f>IF(AN2874="","",IF(Q2874="Sin Factura","",AI2874-AJ2874))</f>
        <v/>
      </c>
      <c r="AM2874" s="81">
        <f>IF(AN2874="","",IF(Q2874="Sin Factura",0,P2874-IFERROR(INDEX(Facturas_Odoo!$H:$H, MATCH(Q2874, Facturas_Odoo!$B:$B, 0)), 0)))</f>
        <v/>
      </c>
      <c r="AN2874" s="79">
        <f>IF(AND(A2874="", J2874=""), "", IF(A2874&lt;&gt;"", VALUE(MID(A2874,2,LEN(A2874))), AN2873))</f>
        <v/>
      </c>
      <c r="AO2874" s="79">
        <f>IF(AN2874="","",IF(AD2874=0,"OK",_xlfn.LET(monedaPago, IF(AA2874="","USD",AA2874), limitePermitido, IFERROR(VLOOKUP(monedaPago, Configuración!$A$2:$B$3, 2, FALSE), 0.15), IF(AD2874&gt;limitePermitido, "ALERTA: EXCESO (" &amp; TEXT(limitePermitido, "0%") &amp; " máx)", "OK"))))</f>
        <v/>
      </c>
      <c r="AP2874" s="79">
        <f>IF(AN2874="","",IF(AE2874=0,"OK",_xlfn.LET(fechaPago, Z2874, fechaFactura, R2874, diasCredito, IF(E2874="Pago inmediato", 0, IFERROR(VALUE(MID(E2874, 1, SEARCH(" ", E2874)-1)),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74" s="79">
        <f>IF(AN2874="","",IF(AND(N2874&gt;0, AG2874&gt;0), IF(Configuración!$K$2="NO", "ALERTA: DESCUENTO DOBLE NO PERMITIDO", "OK"), "OK"))</f>
        <v/>
      </c>
      <c r="AR2874" s="79">
        <f>IF(AN2874="","",IF(OR(AO2874&lt;&gt;"OK", AP2874&lt;&gt;"OK", AQ2874&lt;&gt;"OK"), "⚠️ REVISAR", "OK"))</f>
        <v/>
      </c>
    </row>
    <row r="2875">
      <c r="A2875" s="79">
        <f>IF('Ordenes_Odoo'!A2875="","",'Ordenes_Odoo'!A2875)</f>
        <v/>
      </c>
      <c r="B2875" s="80">
        <f>IF('Ordenes_Odoo'!B2875="","",'Ordenes_Odoo'!B2875)</f>
        <v/>
      </c>
      <c r="C2875" s="79">
        <f>IF('Ordenes_Odoo'!C2875="","",'Ordenes_Odoo'!C2875)</f>
        <v/>
      </c>
      <c r="D2875" s="79">
        <f>IF('Ordenes_Odoo'!D2875="","",'Ordenes_Odoo'!D2875)</f>
        <v/>
      </c>
      <c r="E2875" s="79">
        <f>IF('Ordenes_Odoo'!E2875="","",'Ordenes_Odoo'!E2875)</f>
        <v/>
      </c>
      <c r="F2875" s="79">
        <f>IF('Ordenes_Odoo'!F2875="","",'Ordenes_Odoo'!F2875)</f>
        <v/>
      </c>
      <c r="G2875" s="79">
        <f>IF('Ordenes_Odoo'!G2875="","",'Ordenes_Odoo'!G2875)</f>
        <v/>
      </c>
      <c r="H2875" s="79">
        <f>IF('Ordenes_Odoo'!H2875="","",'Ordenes_Odoo'!H2875)</f>
        <v/>
      </c>
      <c r="I2875" s="79">
        <f>IF('Ordenes_Odoo'!I2875="","",'Ordenes_Odoo'!I2875)</f>
        <v/>
      </c>
      <c r="J2875" s="79">
        <f>IF('Ordenes_Odoo'!J2875="","",'Ordenes_Odoo'!J2875)</f>
        <v/>
      </c>
      <c r="K2875" s="81">
        <f>IF('Ordenes_Odoo'!K2875="","",'Ordenes_Odoo'!K2875)</f>
        <v/>
      </c>
      <c r="L2875" s="81">
        <f>IF('Ordenes_Odoo'!L2875="","",'Ordenes_Odoo'!L2875)</f>
        <v/>
      </c>
      <c r="M2875" s="79">
        <f>IF('Ordenes_Odoo'!M2875="","",'Ordenes_Odoo'!M2875)</f>
        <v/>
      </c>
      <c r="N2875" s="79">
        <f>IF('Ordenes_Odoo'!N2875="","",'Ordenes_Odoo'!N2875)</f>
        <v/>
      </c>
      <c r="O2875" s="81">
        <f>IF('Ordenes_Odoo'!O2875="","",'Ordenes_Odoo'!O2875)</f>
        <v/>
      </c>
      <c r="P2875" s="81">
        <f>IF('Ordenes_Odoo'!P2875="","",'Ordenes_Odoo'!P2875)</f>
        <v/>
      </c>
      <c r="Q2875" s="79">
        <f>IF(A2875="","",IFERROR(INDEX(Facturas_Odoo!$B:$B, MATCH(A2875, Facturas_Odoo!$D:$D, 0)), "Sin Factura"))</f>
        <v/>
      </c>
      <c r="R2875" s="80">
        <f>IF(Q2875="Sin Factura","",IFERROR(INDEX(Facturas_Odoo!$A:$A, MATCH(Q2875, Facturas_Odoo!$B:$B, 0)), ""))</f>
        <v/>
      </c>
      <c r="S2875" s="79">
        <f>IF(Q2875="Sin Factura","",IFERROR(_xlfn.XLOOKUP(1, (Facturas_Odoo!$D:$D=A2875) * (Facturas_Odoo!$K:$K=I2875), Facturas_Odoo!$L:$L, ""), ""))</f>
        <v/>
      </c>
      <c r="T2875" s="81">
        <f>IF(Q2875="Sin Factura",0,IFERROR(_xlfn.XLOOKUP(1, (Facturas_Odoo!$D:$D=A2875) * (Facturas_Odoo!$K:$K=I2875), Facturas_Odoo!$M:$M, 0), 0))</f>
        <v/>
      </c>
      <c r="U2875" s="79">
        <f>IF(Q2875="Sin Factura",0,IFERROR(_xlfn.XLOOKUP(1, (Facturas_Odoo!$D:$D=A2875) * (Facturas_Odoo!$K:$K=I2875), Facturas_Odoo!$N:$N, 0), 0))</f>
        <v/>
      </c>
      <c r="V2875" s="79">
        <f>IF(Q2875="Sin Factura",0,IFERROR(_xlfn.XLOOKUP(1, (Facturas_Odoo!$D:$D=A2875) * (Facturas_Odoo!$K:$K=I2875), Facturas_Odoo!$O:$O, 0), 0))</f>
        <v/>
      </c>
      <c r="W2875" s="81">
        <f>IF(Q2875="Sin Factura",0,IFERROR(_xlfn.XLOOKUP(1, (Facturas_Odoo!$D:$D=A2875) * (Facturas_Odoo!$K:$K=I2875), Facturas_Odoo!$Q:$Q, 0), 0))</f>
        <v/>
      </c>
      <c r="X2875" s="79">
        <f>IF(OR(Q2875="Sin Factura",Q2875=""),"",IFERROR(INDEX(Pagos_Odoo!$B:$B, MATCH(Q2875, Pagos_Odoo!$I:$I, 0)), "Sin Pago"))</f>
        <v/>
      </c>
      <c r="Y2875" s="79">
        <f>IF(X2875="Sin Pago","",IFERROR(INDEX(Pagos_Odoo!$C:$C, MATCH(X2875, Pagos_Odoo!$B:$B, 0)), ""))</f>
        <v/>
      </c>
      <c r="Z2875" s="80">
        <f>IF(X2875="Sin Pago","",IFERROR(INDEX(Pagos_Odoo!$A:$A, MATCH(X2875, Pagos_Odoo!$B:$B, 0)), ""))</f>
        <v/>
      </c>
      <c r="AA2875" s="79">
        <f>IF(X2875="Sin Pago","",IFERROR(INDEX(Pagos_Odoo!$F:$F, MATCH(X2875, Pagos_Odoo!$B:$B, 0)), ""))</f>
        <v/>
      </c>
      <c r="AB2875" s="81">
        <f>IF(X2875="Sin Pago",0,IFERROR(INDEX(Pagos_Odoo!$E:$E, MATCH(X2875, Pagos_Odoo!$B:$B, 0)), 0))</f>
        <v/>
      </c>
      <c r="AC2875" s="79">
        <f>IF(X2875="Sin Pago","",IFERROR(INDEX(Pagos_Odoo!$G:$G, MATCH(X2875, Pagos_Odoo!$B:$B, 0)), ""))</f>
        <v/>
      </c>
      <c r="AD2875" s="82" t="n">
        <v>0</v>
      </c>
      <c r="AE2875" s="82" t="n"/>
      <c r="AF2875" s="82" t="n"/>
      <c r="AG2875" s="82">
        <f>IF(AN2875="","",AD2875+AE2875+AF2875)</f>
        <v/>
      </c>
      <c r="AH2875" s="81">
        <f>IF(AN2875="","",P2875*(1-AG2875))</f>
        <v/>
      </c>
      <c r="AI2875" s="81">
        <f>IF(AN2875="","",IF(Q2875="Sin Factura",0,IFERROR(INDEX(Facturas_Odoo!$H:$H, MATCH(Q2875, Facturas_Odoo!$B:$B, 0)), 0)*(1-AG2875)))</f>
        <v/>
      </c>
      <c r="AJ2875" s="81">
        <f>IF(AN2875="","",_xlfn.LET(idVenta, AN2875&amp;"",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75" s="81">
        <f>IF(AN2875="","",AH2875-AJ2875)</f>
        <v/>
      </c>
      <c r="AL2875" s="81">
        <f>IF(AN2875="","",IF(Q2875="Sin Factura","",AI2875-AJ2875))</f>
        <v/>
      </c>
      <c r="AM2875" s="81">
        <f>IF(AN2875="","",IF(Q2875="Sin Factura",0,P2875-IFERROR(INDEX(Facturas_Odoo!$H:$H, MATCH(Q2875, Facturas_Odoo!$B:$B, 0)), 0)))</f>
        <v/>
      </c>
      <c r="AN2875" s="79">
        <f>IF(AND(A2875="", J2875=""), "", IF(A2875&lt;&gt;"", VALUE(MID(A2875,2,LEN(A2875))), AN2874))</f>
        <v/>
      </c>
      <c r="AO2875" s="79">
        <f>IF(AN2875="","",IF(AD2875=0,"OK",_xlfn.LET(monedaPago, IF(AA2875="","USD",AA2875), limitePermitido, IFERROR(VLOOKUP(monedaPago, Configuración!$A$2:$B$3, 2, FALSE), 0.15), IF(AD2875&gt;limitePermitido, "ALERTA: EXCESO (" &amp; TEXT(limitePermitido, "0%") &amp; " máx)", "OK"))))</f>
        <v/>
      </c>
      <c r="AP2875" s="79">
        <f>IF(AN2875="","",IF(AE2875=0,"OK",_xlfn.LET(fechaPago, Z2875, fechaFactura, R2875, diasCredito, IF(E2875="Pago inmediato", 0, IFERROR(VALUE(MID(E2875, 1, SEARCH(" ", E2875)-1)),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75" s="79">
        <f>IF(AN2875="","",IF(AND(N2875&gt;0, AG2875&gt;0), IF(Configuración!$K$2="NO", "ALERTA: DESCUENTO DOBLE NO PERMITIDO", "OK"), "OK"))</f>
        <v/>
      </c>
      <c r="AR2875" s="79">
        <f>IF(AN2875="","",IF(OR(AO2875&lt;&gt;"OK", AP2875&lt;&gt;"OK", AQ2875&lt;&gt;"OK"), "⚠️ REVISAR", "OK"))</f>
        <v/>
      </c>
    </row>
    <row r="2876">
      <c r="A2876" s="79">
        <f>IF('Ordenes_Odoo'!A2876="","",'Ordenes_Odoo'!A2876)</f>
        <v/>
      </c>
      <c r="B2876" s="80">
        <f>IF('Ordenes_Odoo'!B2876="","",'Ordenes_Odoo'!B2876)</f>
        <v/>
      </c>
      <c r="C2876" s="79">
        <f>IF('Ordenes_Odoo'!C2876="","",'Ordenes_Odoo'!C2876)</f>
        <v/>
      </c>
      <c r="D2876" s="79">
        <f>IF('Ordenes_Odoo'!D2876="","",'Ordenes_Odoo'!D2876)</f>
        <v/>
      </c>
      <c r="E2876" s="79">
        <f>IF('Ordenes_Odoo'!E2876="","",'Ordenes_Odoo'!E2876)</f>
        <v/>
      </c>
      <c r="F2876" s="79">
        <f>IF('Ordenes_Odoo'!F2876="","",'Ordenes_Odoo'!F2876)</f>
        <v/>
      </c>
      <c r="G2876" s="79">
        <f>IF('Ordenes_Odoo'!G2876="","",'Ordenes_Odoo'!G2876)</f>
        <v/>
      </c>
      <c r="H2876" s="79">
        <f>IF('Ordenes_Odoo'!H2876="","",'Ordenes_Odoo'!H2876)</f>
        <v/>
      </c>
      <c r="I2876" s="79">
        <f>IF('Ordenes_Odoo'!I2876="","",'Ordenes_Odoo'!I2876)</f>
        <v/>
      </c>
      <c r="J2876" s="79">
        <f>IF('Ordenes_Odoo'!J2876="","",'Ordenes_Odoo'!J2876)</f>
        <v/>
      </c>
      <c r="K2876" s="81">
        <f>IF('Ordenes_Odoo'!K2876="","",'Ordenes_Odoo'!K2876)</f>
        <v/>
      </c>
      <c r="L2876" s="81">
        <f>IF('Ordenes_Odoo'!L2876="","",'Ordenes_Odoo'!L2876)</f>
        <v/>
      </c>
      <c r="M2876" s="79">
        <f>IF('Ordenes_Odoo'!M2876="","",'Ordenes_Odoo'!M2876)</f>
        <v/>
      </c>
      <c r="N2876" s="79">
        <f>IF('Ordenes_Odoo'!N2876="","",'Ordenes_Odoo'!N2876)</f>
        <v/>
      </c>
      <c r="O2876" s="81">
        <f>IF('Ordenes_Odoo'!O2876="","",'Ordenes_Odoo'!O2876)</f>
        <v/>
      </c>
      <c r="P2876" s="81">
        <f>IF('Ordenes_Odoo'!P2876="","",'Ordenes_Odoo'!P2876)</f>
        <v/>
      </c>
      <c r="Q2876" s="79">
        <f>IF(A2876="","",IFERROR(INDEX(Facturas_Odoo!$B:$B, MATCH(A2876, Facturas_Odoo!$D:$D, 0)), "Sin Factura"))</f>
        <v/>
      </c>
      <c r="R2876" s="80">
        <f>IF(Q2876="Sin Factura","",IFERROR(INDEX(Facturas_Odoo!$A:$A, MATCH(Q2876, Facturas_Odoo!$B:$B, 0)), ""))</f>
        <v/>
      </c>
      <c r="S2876" s="79">
        <f>IF(Q2876="Sin Factura","",IFERROR(_xlfn.XLOOKUP(1, (Facturas_Odoo!$D:$D=A2876) * (Facturas_Odoo!$K:$K=I2876), Facturas_Odoo!$L:$L, ""), ""))</f>
        <v/>
      </c>
      <c r="T2876" s="81">
        <f>IF(Q2876="Sin Factura",0,IFERROR(_xlfn.XLOOKUP(1, (Facturas_Odoo!$D:$D=A2876) * (Facturas_Odoo!$K:$K=I2876), Facturas_Odoo!$M:$M, 0), 0))</f>
        <v/>
      </c>
      <c r="U2876" s="79">
        <f>IF(Q2876="Sin Factura",0,IFERROR(_xlfn.XLOOKUP(1, (Facturas_Odoo!$D:$D=A2876) * (Facturas_Odoo!$K:$K=I2876), Facturas_Odoo!$N:$N, 0), 0))</f>
        <v/>
      </c>
      <c r="V2876" s="79">
        <f>IF(Q2876="Sin Factura",0,IFERROR(_xlfn.XLOOKUP(1, (Facturas_Odoo!$D:$D=A2876) * (Facturas_Odoo!$K:$K=I2876), Facturas_Odoo!$O:$O, 0), 0))</f>
        <v/>
      </c>
      <c r="W2876" s="81">
        <f>IF(Q2876="Sin Factura",0,IFERROR(_xlfn.XLOOKUP(1, (Facturas_Odoo!$D:$D=A2876) * (Facturas_Odoo!$K:$K=I2876), Facturas_Odoo!$Q:$Q, 0), 0))</f>
        <v/>
      </c>
      <c r="X2876" s="79">
        <f>IF(OR(Q2876="Sin Factura",Q2876=""),"",IFERROR(INDEX(Pagos_Odoo!$B:$B, MATCH(Q2876, Pagos_Odoo!$I:$I, 0)), "Sin Pago"))</f>
        <v/>
      </c>
      <c r="Y2876" s="79">
        <f>IF(X2876="Sin Pago","",IFERROR(INDEX(Pagos_Odoo!$C:$C, MATCH(X2876, Pagos_Odoo!$B:$B, 0)), ""))</f>
        <v/>
      </c>
      <c r="Z2876" s="80">
        <f>IF(X2876="Sin Pago","",IFERROR(INDEX(Pagos_Odoo!$A:$A, MATCH(X2876, Pagos_Odoo!$B:$B, 0)), ""))</f>
        <v/>
      </c>
      <c r="AA2876" s="79">
        <f>IF(X2876="Sin Pago","",IFERROR(INDEX(Pagos_Odoo!$F:$F, MATCH(X2876, Pagos_Odoo!$B:$B, 0)), ""))</f>
        <v/>
      </c>
      <c r="AB2876" s="81">
        <f>IF(X2876="Sin Pago",0,IFERROR(INDEX(Pagos_Odoo!$E:$E, MATCH(X2876, Pagos_Odoo!$B:$B, 0)), 0))</f>
        <v/>
      </c>
      <c r="AC2876" s="79">
        <f>IF(X2876="Sin Pago","",IFERROR(INDEX(Pagos_Odoo!$G:$G, MATCH(X2876, Pagos_Odoo!$B:$B, 0)), ""))</f>
        <v/>
      </c>
      <c r="AD2876" s="82" t="n">
        <v>0</v>
      </c>
      <c r="AE2876" s="82" t="n"/>
      <c r="AF2876" s="82" t="n"/>
      <c r="AG2876" s="82">
        <f>IF(AN2876="","",AD2876+AE2876+AF2876)</f>
        <v/>
      </c>
      <c r="AH2876" s="81">
        <f>IF(AN2876="","",P2876*(1-AG2876))</f>
        <v/>
      </c>
      <c r="AI2876" s="81">
        <f>IF(AN2876="","",IF(Q2876="Sin Factura",0,IFERROR(INDEX(Facturas_Odoo!$H:$H, MATCH(Q2876, Facturas_Odoo!$B:$B, 0)), 0)*(1-AG2876)))</f>
        <v/>
      </c>
      <c r="AJ2876" s="81">
        <f>IF(AN2876="","",_xlfn.LET(idVenta, AN2876&amp;"",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76" s="81">
        <f>IF(AN2876="","",AH2876-AJ2876)</f>
        <v/>
      </c>
      <c r="AL2876" s="81">
        <f>IF(AN2876="","",IF(Q2876="Sin Factura","",AI2876-AJ2876))</f>
        <v/>
      </c>
      <c r="AM2876" s="81">
        <f>IF(AN2876="","",IF(Q2876="Sin Factura",0,P2876-IFERROR(INDEX(Facturas_Odoo!$H:$H, MATCH(Q2876, Facturas_Odoo!$B:$B, 0)), 0)))</f>
        <v/>
      </c>
      <c r="AN2876" s="79">
        <f>IF(AND(A2876="", J2876=""), "", IF(A2876&lt;&gt;"", VALUE(MID(A2876,2,LEN(A2876))), AN2875))</f>
        <v/>
      </c>
      <c r="AO2876" s="79">
        <f>IF(AN2876="","",IF(AD2876=0,"OK",_xlfn.LET(monedaPago, IF(AA2876="","USD",AA2876), limitePermitido, IFERROR(VLOOKUP(monedaPago, Configuración!$A$2:$B$3, 2, FALSE), 0.15), IF(AD2876&gt;limitePermitido, "ALERTA: EXCESO (" &amp; TEXT(limitePermitido, "0%") &amp; " máx)", "OK"))))</f>
        <v/>
      </c>
      <c r="AP2876" s="79">
        <f>IF(AN2876="","",IF(AE2876=0,"OK",_xlfn.LET(fechaPago, Z2876, fechaFactura, R2876, diasCredito, IF(E2876="Pago inmediato", 0, IFERROR(VALUE(MID(E2876, 1, SEARCH(" ", E2876)-1)),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76" s="79">
        <f>IF(AN2876="","",IF(AND(N2876&gt;0, AG2876&gt;0), IF(Configuración!$K$2="NO", "ALERTA: DESCUENTO DOBLE NO PERMITIDO", "OK"), "OK"))</f>
        <v/>
      </c>
      <c r="AR2876" s="79">
        <f>IF(AN2876="","",IF(OR(AO2876&lt;&gt;"OK", AP2876&lt;&gt;"OK", AQ2876&lt;&gt;"OK"), "⚠️ REVISAR", "OK"))</f>
        <v/>
      </c>
    </row>
    <row r="2877">
      <c r="A2877" s="79">
        <f>IF('Ordenes_Odoo'!A2877="","",'Ordenes_Odoo'!A2877)</f>
        <v/>
      </c>
      <c r="B2877" s="80">
        <f>IF('Ordenes_Odoo'!B2877="","",'Ordenes_Odoo'!B2877)</f>
        <v/>
      </c>
      <c r="C2877" s="79">
        <f>IF('Ordenes_Odoo'!C2877="","",'Ordenes_Odoo'!C2877)</f>
        <v/>
      </c>
      <c r="D2877" s="79">
        <f>IF('Ordenes_Odoo'!D2877="","",'Ordenes_Odoo'!D2877)</f>
        <v/>
      </c>
      <c r="E2877" s="79">
        <f>IF('Ordenes_Odoo'!E2877="","",'Ordenes_Odoo'!E2877)</f>
        <v/>
      </c>
      <c r="F2877" s="79">
        <f>IF('Ordenes_Odoo'!F2877="","",'Ordenes_Odoo'!F2877)</f>
        <v/>
      </c>
      <c r="G2877" s="79">
        <f>IF('Ordenes_Odoo'!G2877="","",'Ordenes_Odoo'!G2877)</f>
        <v/>
      </c>
      <c r="H2877" s="79">
        <f>IF('Ordenes_Odoo'!H2877="","",'Ordenes_Odoo'!H2877)</f>
        <v/>
      </c>
      <c r="I2877" s="79">
        <f>IF('Ordenes_Odoo'!I2877="","",'Ordenes_Odoo'!I2877)</f>
        <v/>
      </c>
      <c r="J2877" s="79">
        <f>IF('Ordenes_Odoo'!J2877="","",'Ordenes_Odoo'!J2877)</f>
        <v/>
      </c>
      <c r="K2877" s="81">
        <f>IF('Ordenes_Odoo'!K2877="","",'Ordenes_Odoo'!K2877)</f>
        <v/>
      </c>
      <c r="L2877" s="81">
        <f>IF('Ordenes_Odoo'!L2877="","",'Ordenes_Odoo'!L2877)</f>
        <v/>
      </c>
      <c r="M2877" s="79">
        <f>IF('Ordenes_Odoo'!M2877="","",'Ordenes_Odoo'!M2877)</f>
        <v/>
      </c>
      <c r="N2877" s="79">
        <f>IF('Ordenes_Odoo'!N2877="","",'Ordenes_Odoo'!N2877)</f>
        <v/>
      </c>
      <c r="O2877" s="81">
        <f>IF('Ordenes_Odoo'!O2877="","",'Ordenes_Odoo'!O2877)</f>
        <v/>
      </c>
      <c r="P2877" s="81">
        <f>IF('Ordenes_Odoo'!P2877="","",'Ordenes_Odoo'!P2877)</f>
        <v/>
      </c>
      <c r="Q2877" s="79">
        <f>IF(A2877="","",IFERROR(INDEX(Facturas_Odoo!$B:$B, MATCH(A2877, Facturas_Odoo!$D:$D, 0)), "Sin Factura"))</f>
        <v/>
      </c>
      <c r="R2877" s="80">
        <f>IF(Q2877="Sin Factura","",IFERROR(INDEX(Facturas_Odoo!$A:$A, MATCH(Q2877, Facturas_Odoo!$B:$B, 0)), ""))</f>
        <v/>
      </c>
      <c r="S2877" s="79">
        <f>IF(Q2877="Sin Factura","",IFERROR(_xlfn.XLOOKUP(1, (Facturas_Odoo!$D:$D=A2877) * (Facturas_Odoo!$K:$K=I2877), Facturas_Odoo!$L:$L, ""), ""))</f>
        <v/>
      </c>
      <c r="T2877" s="81">
        <f>IF(Q2877="Sin Factura",0,IFERROR(_xlfn.XLOOKUP(1, (Facturas_Odoo!$D:$D=A2877) * (Facturas_Odoo!$K:$K=I2877), Facturas_Odoo!$M:$M, 0), 0))</f>
        <v/>
      </c>
      <c r="U2877" s="79">
        <f>IF(Q2877="Sin Factura",0,IFERROR(_xlfn.XLOOKUP(1, (Facturas_Odoo!$D:$D=A2877) * (Facturas_Odoo!$K:$K=I2877), Facturas_Odoo!$N:$N, 0), 0))</f>
        <v/>
      </c>
      <c r="V2877" s="79">
        <f>IF(Q2877="Sin Factura",0,IFERROR(_xlfn.XLOOKUP(1, (Facturas_Odoo!$D:$D=A2877) * (Facturas_Odoo!$K:$K=I2877), Facturas_Odoo!$O:$O, 0), 0))</f>
        <v/>
      </c>
      <c r="W2877" s="81">
        <f>IF(Q2877="Sin Factura",0,IFERROR(_xlfn.XLOOKUP(1, (Facturas_Odoo!$D:$D=A2877) * (Facturas_Odoo!$K:$K=I2877), Facturas_Odoo!$Q:$Q, 0), 0))</f>
        <v/>
      </c>
      <c r="X2877" s="79">
        <f>IF(OR(Q2877="Sin Factura",Q2877=""),"",IFERROR(INDEX(Pagos_Odoo!$B:$B, MATCH(Q2877, Pagos_Odoo!$I:$I, 0)), "Sin Pago"))</f>
        <v/>
      </c>
      <c r="Y2877" s="79">
        <f>IF(X2877="Sin Pago","",IFERROR(INDEX(Pagos_Odoo!$C:$C, MATCH(X2877, Pagos_Odoo!$B:$B, 0)), ""))</f>
        <v/>
      </c>
      <c r="Z2877" s="80">
        <f>IF(X2877="Sin Pago","",IFERROR(INDEX(Pagos_Odoo!$A:$A, MATCH(X2877, Pagos_Odoo!$B:$B, 0)), ""))</f>
        <v/>
      </c>
      <c r="AA2877" s="79">
        <f>IF(X2877="Sin Pago","",IFERROR(INDEX(Pagos_Odoo!$F:$F, MATCH(X2877, Pagos_Odoo!$B:$B, 0)), ""))</f>
        <v/>
      </c>
      <c r="AB2877" s="81">
        <f>IF(X2877="Sin Pago",0,IFERROR(INDEX(Pagos_Odoo!$E:$E, MATCH(X2877, Pagos_Odoo!$B:$B, 0)), 0))</f>
        <v/>
      </c>
      <c r="AC2877" s="79">
        <f>IF(X2877="Sin Pago","",IFERROR(INDEX(Pagos_Odoo!$G:$G, MATCH(X2877, Pagos_Odoo!$B:$B, 0)), ""))</f>
        <v/>
      </c>
      <c r="AD2877" s="82" t="n">
        <v>0</v>
      </c>
      <c r="AE2877" s="82" t="n"/>
      <c r="AF2877" s="82" t="n"/>
      <c r="AG2877" s="82">
        <f>IF(AN2877="","",AD2877+AE2877+AF2877)</f>
        <v/>
      </c>
      <c r="AH2877" s="81">
        <f>IF(AN2877="","",P2877*(1-AG2877))</f>
        <v/>
      </c>
      <c r="AI2877" s="81">
        <f>IF(AN2877="","",IF(Q2877="Sin Factura",0,IFERROR(INDEX(Facturas_Odoo!$H:$H, MATCH(Q2877, Facturas_Odoo!$B:$B, 0)), 0)*(1-AG2877)))</f>
        <v/>
      </c>
      <c r="AJ2877" s="81">
        <f>IF(AN2877="","",_xlfn.LET(idVenta, AN2877&amp;"",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77" s="81">
        <f>IF(AN2877="","",AH2877-AJ2877)</f>
        <v/>
      </c>
      <c r="AL2877" s="81">
        <f>IF(AN2877="","",IF(Q2877="Sin Factura","",AI2877-AJ2877))</f>
        <v/>
      </c>
      <c r="AM2877" s="81">
        <f>IF(AN2877="","",IF(Q2877="Sin Factura",0,P2877-IFERROR(INDEX(Facturas_Odoo!$H:$H, MATCH(Q2877, Facturas_Odoo!$B:$B, 0)), 0)))</f>
        <v/>
      </c>
      <c r="AN2877" s="79">
        <f>IF(AND(A2877="", J2877=""), "", IF(A2877&lt;&gt;"", VALUE(MID(A2877,2,LEN(A2877))), AN2876))</f>
        <v/>
      </c>
      <c r="AO2877" s="79">
        <f>IF(AN2877="","",IF(AD2877=0,"OK",_xlfn.LET(monedaPago, IF(AA2877="","USD",AA2877), limitePermitido, IFERROR(VLOOKUP(monedaPago, Configuración!$A$2:$B$3, 2, FALSE), 0.15), IF(AD2877&gt;limitePermitido, "ALERTA: EXCESO (" &amp; TEXT(limitePermitido, "0%") &amp; " máx)", "OK"))))</f>
        <v/>
      </c>
      <c r="AP2877" s="79">
        <f>IF(AN2877="","",IF(AE2877=0,"OK",_xlfn.LET(fechaPago, Z2877, fechaFactura, R2877, diasCredito, IF(E2877="Pago inmediato", 0, IFERROR(VALUE(MID(E2877, 1, SEARCH(" ", E2877)-1)),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77" s="79">
        <f>IF(AN2877="","",IF(AND(N2877&gt;0, AG2877&gt;0), IF(Configuración!$K$2="NO", "ALERTA: DESCUENTO DOBLE NO PERMITIDO", "OK"), "OK"))</f>
        <v/>
      </c>
      <c r="AR2877" s="79">
        <f>IF(AN2877="","",IF(OR(AO2877&lt;&gt;"OK", AP2877&lt;&gt;"OK", AQ2877&lt;&gt;"OK"), "⚠️ REVISAR", "OK"))</f>
        <v/>
      </c>
    </row>
    <row r="2878">
      <c r="A2878" s="79">
        <f>IF('Ordenes_Odoo'!A2878="","",'Ordenes_Odoo'!A2878)</f>
        <v/>
      </c>
      <c r="B2878" s="80">
        <f>IF('Ordenes_Odoo'!B2878="","",'Ordenes_Odoo'!B2878)</f>
        <v/>
      </c>
      <c r="C2878" s="79">
        <f>IF('Ordenes_Odoo'!C2878="","",'Ordenes_Odoo'!C2878)</f>
        <v/>
      </c>
      <c r="D2878" s="79">
        <f>IF('Ordenes_Odoo'!D2878="","",'Ordenes_Odoo'!D2878)</f>
        <v/>
      </c>
      <c r="E2878" s="79">
        <f>IF('Ordenes_Odoo'!E2878="","",'Ordenes_Odoo'!E2878)</f>
        <v/>
      </c>
      <c r="F2878" s="79">
        <f>IF('Ordenes_Odoo'!F2878="","",'Ordenes_Odoo'!F2878)</f>
        <v/>
      </c>
      <c r="G2878" s="79">
        <f>IF('Ordenes_Odoo'!G2878="","",'Ordenes_Odoo'!G2878)</f>
        <v/>
      </c>
      <c r="H2878" s="79">
        <f>IF('Ordenes_Odoo'!H2878="","",'Ordenes_Odoo'!H2878)</f>
        <v/>
      </c>
      <c r="I2878" s="79">
        <f>IF('Ordenes_Odoo'!I2878="","",'Ordenes_Odoo'!I2878)</f>
        <v/>
      </c>
      <c r="J2878" s="79">
        <f>IF('Ordenes_Odoo'!J2878="","",'Ordenes_Odoo'!J2878)</f>
        <v/>
      </c>
      <c r="K2878" s="81">
        <f>IF('Ordenes_Odoo'!K2878="","",'Ordenes_Odoo'!K2878)</f>
        <v/>
      </c>
      <c r="L2878" s="81">
        <f>IF('Ordenes_Odoo'!L2878="","",'Ordenes_Odoo'!L2878)</f>
        <v/>
      </c>
      <c r="M2878" s="79">
        <f>IF('Ordenes_Odoo'!M2878="","",'Ordenes_Odoo'!M2878)</f>
        <v/>
      </c>
      <c r="N2878" s="79">
        <f>IF('Ordenes_Odoo'!N2878="","",'Ordenes_Odoo'!N2878)</f>
        <v/>
      </c>
      <c r="O2878" s="81">
        <f>IF('Ordenes_Odoo'!O2878="","",'Ordenes_Odoo'!O2878)</f>
        <v/>
      </c>
      <c r="P2878" s="81">
        <f>IF('Ordenes_Odoo'!P2878="","",'Ordenes_Odoo'!P2878)</f>
        <v/>
      </c>
      <c r="Q2878" s="79">
        <f>IF(A2878="","",IFERROR(INDEX(Facturas_Odoo!$B:$B, MATCH(A2878, Facturas_Odoo!$D:$D, 0)), "Sin Factura"))</f>
        <v/>
      </c>
      <c r="R2878" s="80">
        <f>IF(Q2878="Sin Factura","",IFERROR(INDEX(Facturas_Odoo!$A:$A, MATCH(Q2878, Facturas_Odoo!$B:$B, 0)), ""))</f>
        <v/>
      </c>
      <c r="S2878" s="79">
        <f>IF(Q2878="Sin Factura","",IFERROR(_xlfn.XLOOKUP(1, (Facturas_Odoo!$D:$D=A2878) * (Facturas_Odoo!$K:$K=I2878), Facturas_Odoo!$L:$L, ""), ""))</f>
        <v/>
      </c>
      <c r="T2878" s="81">
        <f>IF(Q2878="Sin Factura",0,IFERROR(_xlfn.XLOOKUP(1, (Facturas_Odoo!$D:$D=A2878) * (Facturas_Odoo!$K:$K=I2878), Facturas_Odoo!$M:$M, 0), 0))</f>
        <v/>
      </c>
      <c r="U2878" s="79">
        <f>IF(Q2878="Sin Factura",0,IFERROR(_xlfn.XLOOKUP(1, (Facturas_Odoo!$D:$D=A2878) * (Facturas_Odoo!$K:$K=I2878), Facturas_Odoo!$N:$N, 0), 0))</f>
        <v/>
      </c>
      <c r="V2878" s="79">
        <f>IF(Q2878="Sin Factura",0,IFERROR(_xlfn.XLOOKUP(1, (Facturas_Odoo!$D:$D=A2878) * (Facturas_Odoo!$K:$K=I2878), Facturas_Odoo!$O:$O, 0), 0))</f>
        <v/>
      </c>
      <c r="W2878" s="81">
        <f>IF(Q2878="Sin Factura",0,IFERROR(_xlfn.XLOOKUP(1, (Facturas_Odoo!$D:$D=A2878) * (Facturas_Odoo!$K:$K=I2878), Facturas_Odoo!$Q:$Q, 0), 0))</f>
        <v/>
      </c>
      <c r="X2878" s="79">
        <f>IF(OR(Q2878="Sin Factura",Q2878=""),"",IFERROR(INDEX(Pagos_Odoo!$B:$B, MATCH(Q2878, Pagos_Odoo!$I:$I, 0)), "Sin Pago"))</f>
        <v/>
      </c>
      <c r="Y2878" s="79">
        <f>IF(X2878="Sin Pago","",IFERROR(INDEX(Pagos_Odoo!$C:$C, MATCH(X2878, Pagos_Odoo!$B:$B, 0)), ""))</f>
        <v/>
      </c>
      <c r="Z2878" s="80">
        <f>IF(X2878="Sin Pago","",IFERROR(INDEX(Pagos_Odoo!$A:$A, MATCH(X2878, Pagos_Odoo!$B:$B, 0)), ""))</f>
        <v/>
      </c>
      <c r="AA2878" s="79">
        <f>IF(X2878="Sin Pago","",IFERROR(INDEX(Pagos_Odoo!$F:$F, MATCH(X2878, Pagos_Odoo!$B:$B, 0)), ""))</f>
        <v/>
      </c>
      <c r="AB2878" s="81">
        <f>IF(X2878="Sin Pago",0,IFERROR(INDEX(Pagos_Odoo!$E:$E, MATCH(X2878, Pagos_Odoo!$B:$B, 0)), 0))</f>
        <v/>
      </c>
      <c r="AC2878" s="79">
        <f>IF(X2878="Sin Pago","",IFERROR(INDEX(Pagos_Odoo!$G:$G, MATCH(X2878, Pagos_Odoo!$B:$B, 0)), ""))</f>
        <v/>
      </c>
      <c r="AD2878" s="82" t="n">
        <v>0</v>
      </c>
      <c r="AE2878" s="82" t="n"/>
      <c r="AF2878" s="82" t="n"/>
      <c r="AG2878" s="82">
        <f>IF(AN2878="","",AD2878+AE2878+AF2878)</f>
        <v/>
      </c>
      <c r="AH2878" s="81">
        <f>IF(AN2878="","",P2878*(1-AG2878))</f>
        <v/>
      </c>
      <c r="AI2878" s="81">
        <f>IF(AN2878="","",IF(Q2878="Sin Factura",0,IFERROR(INDEX(Facturas_Odoo!$H:$H, MATCH(Q2878, Facturas_Odoo!$B:$B, 0)), 0)*(1-AG2878)))</f>
        <v/>
      </c>
      <c r="AJ2878" s="81">
        <f>IF(AN2878="","",_xlfn.LET(idVenta, AN2878&amp;"",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78" s="81">
        <f>IF(AN2878="","",AH2878-AJ2878)</f>
        <v/>
      </c>
      <c r="AL2878" s="81">
        <f>IF(AN2878="","",IF(Q2878="Sin Factura","",AI2878-AJ2878))</f>
        <v/>
      </c>
      <c r="AM2878" s="81">
        <f>IF(AN2878="","",IF(Q2878="Sin Factura",0,P2878-IFERROR(INDEX(Facturas_Odoo!$H:$H, MATCH(Q2878, Facturas_Odoo!$B:$B, 0)), 0)))</f>
        <v/>
      </c>
      <c r="AN2878" s="79">
        <f>IF(AND(A2878="", J2878=""), "", IF(A2878&lt;&gt;"", VALUE(MID(A2878,2,LEN(A2878))), AN2877))</f>
        <v/>
      </c>
      <c r="AO2878" s="79">
        <f>IF(AN2878="","",IF(AD2878=0,"OK",_xlfn.LET(monedaPago, IF(AA2878="","USD",AA2878), limitePermitido, IFERROR(VLOOKUP(monedaPago, Configuración!$A$2:$B$3, 2, FALSE), 0.15), IF(AD2878&gt;limitePermitido, "ALERTA: EXCESO (" &amp; TEXT(limitePermitido, "0%") &amp; " máx)", "OK"))))</f>
        <v/>
      </c>
      <c r="AP2878" s="79">
        <f>IF(AN2878="","",IF(AE2878=0,"OK",_xlfn.LET(fechaPago, Z2878, fechaFactura, R2878, diasCredito, IF(E2878="Pago inmediato", 0, IFERROR(VALUE(MID(E2878, 1, SEARCH(" ", E2878)-1)),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78" s="79">
        <f>IF(AN2878="","",IF(AND(N2878&gt;0, AG2878&gt;0), IF(Configuración!$K$2="NO", "ALERTA: DESCUENTO DOBLE NO PERMITIDO", "OK"), "OK"))</f>
        <v/>
      </c>
      <c r="AR2878" s="79">
        <f>IF(AN2878="","",IF(OR(AO2878&lt;&gt;"OK", AP2878&lt;&gt;"OK", AQ2878&lt;&gt;"OK"), "⚠️ REVISAR", "OK"))</f>
        <v/>
      </c>
    </row>
    <row r="2879">
      <c r="A2879" s="79">
        <f>IF('Ordenes_Odoo'!A2879="","",'Ordenes_Odoo'!A2879)</f>
        <v/>
      </c>
      <c r="B2879" s="80">
        <f>IF('Ordenes_Odoo'!B2879="","",'Ordenes_Odoo'!B2879)</f>
        <v/>
      </c>
      <c r="C2879" s="79">
        <f>IF('Ordenes_Odoo'!C2879="","",'Ordenes_Odoo'!C2879)</f>
        <v/>
      </c>
      <c r="D2879" s="79">
        <f>IF('Ordenes_Odoo'!D2879="","",'Ordenes_Odoo'!D2879)</f>
        <v/>
      </c>
      <c r="E2879" s="79">
        <f>IF('Ordenes_Odoo'!E2879="","",'Ordenes_Odoo'!E2879)</f>
        <v/>
      </c>
      <c r="F2879" s="79">
        <f>IF('Ordenes_Odoo'!F2879="","",'Ordenes_Odoo'!F2879)</f>
        <v/>
      </c>
      <c r="G2879" s="79">
        <f>IF('Ordenes_Odoo'!G2879="","",'Ordenes_Odoo'!G2879)</f>
        <v/>
      </c>
      <c r="H2879" s="79">
        <f>IF('Ordenes_Odoo'!H2879="","",'Ordenes_Odoo'!H2879)</f>
        <v/>
      </c>
      <c r="I2879" s="79">
        <f>IF('Ordenes_Odoo'!I2879="","",'Ordenes_Odoo'!I2879)</f>
        <v/>
      </c>
      <c r="J2879" s="79">
        <f>IF('Ordenes_Odoo'!J2879="","",'Ordenes_Odoo'!J2879)</f>
        <v/>
      </c>
      <c r="K2879" s="81">
        <f>IF('Ordenes_Odoo'!K2879="","",'Ordenes_Odoo'!K2879)</f>
        <v/>
      </c>
      <c r="L2879" s="81">
        <f>IF('Ordenes_Odoo'!L2879="","",'Ordenes_Odoo'!L2879)</f>
        <v/>
      </c>
      <c r="M2879" s="79">
        <f>IF('Ordenes_Odoo'!M2879="","",'Ordenes_Odoo'!M2879)</f>
        <v/>
      </c>
      <c r="N2879" s="79">
        <f>IF('Ordenes_Odoo'!N2879="","",'Ordenes_Odoo'!N2879)</f>
        <v/>
      </c>
      <c r="O2879" s="81">
        <f>IF('Ordenes_Odoo'!O2879="","",'Ordenes_Odoo'!O2879)</f>
        <v/>
      </c>
      <c r="P2879" s="81">
        <f>IF('Ordenes_Odoo'!P2879="","",'Ordenes_Odoo'!P2879)</f>
        <v/>
      </c>
      <c r="Q2879" s="79">
        <f>IF(A2879="","",IFERROR(INDEX(Facturas_Odoo!$B:$B, MATCH(A2879, Facturas_Odoo!$D:$D, 0)), "Sin Factura"))</f>
        <v/>
      </c>
      <c r="R2879" s="80">
        <f>IF(Q2879="Sin Factura","",IFERROR(INDEX(Facturas_Odoo!$A:$A, MATCH(Q2879, Facturas_Odoo!$B:$B, 0)), ""))</f>
        <v/>
      </c>
      <c r="S2879" s="79">
        <f>IF(Q2879="Sin Factura","",IFERROR(_xlfn.XLOOKUP(1, (Facturas_Odoo!$D:$D=A2879) * (Facturas_Odoo!$K:$K=I2879), Facturas_Odoo!$L:$L, ""), ""))</f>
        <v/>
      </c>
      <c r="T2879" s="81">
        <f>IF(Q2879="Sin Factura",0,IFERROR(_xlfn.XLOOKUP(1, (Facturas_Odoo!$D:$D=A2879) * (Facturas_Odoo!$K:$K=I2879), Facturas_Odoo!$M:$M, 0), 0))</f>
        <v/>
      </c>
      <c r="U2879" s="79">
        <f>IF(Q2879="Sin Factura",0,IFERROR(_xlfn.XLOOKUP(1, (Facturas_Odoo!$D:$D=A2879) * (Facturas_Odoo!$K:$K=I2879), Facturas_Odoo!$N:$N, 0), 0))</f>
        <v/>
      </c>
      <c r="V2879" s="79">
        <f>IF(Q2879="Sin Factura",0,IFERROR(_xlfn.XLOOKUP(1, (Facturas_Odoo!$D:$D=A2879) * (Facturas_Odoo!$K:$K=I2879), Facturas_Odoo!$O:$O, 0), 0))</f>
        <v/>
      </c>
      <c r="W2879" s="81">
        <f>IF(Q2879="Sin Factura",0,IFERROR(_xlfn.XLOOKUP(1, (Facturas_Odoo!$D:$D=A2879) * (Facturas_Odoo!$K:$K=I2879), Facturas_Odoo!$Q:$Q, 0), 0))</f>
        <v/>
      </c>
      <c r="X2879" s="79">
        <f>IF(OR(Q2879="Sin Factura",Q2879=""),"",IFERROR(INDEX(Pagos_Odoo!$B:$B, MATCH(Q2879, Pagos_Odoo!$I:$I, 0)), "Sin Pago"))</f>
        <v/>
      </c>
      <c r="Y2879" s="79">
        <f>IF(X2879="Sin Pago","",IFERROR(INDEX(Pagos_Odoo!$C:$C, MATCH(X2879, Pagos_Odoo!$B:$B, 0)), ""))</f>
        <v/>
      </c>
      <c r="Z2879" s="80">
        <f>IF(X2879="Sin Pago","",IFERROR(INDEX(Pagos_Odoo!$A:$A, MATCH(X2879, Pagos_Odoo!$B:$B, 0)), ""))</f>
        <v/>
      </c>
      <c r="AA2879" s="79">
        <f>IF(X2879="Sin Pago","",IFERROR(INDEX(Pagos_Odoo!$F:$F, MATCH(X2879, Pagos_Odoo!$B:$B, 0)), ""))</f>
        <v/>
      </c>
      <c r="AB2879" s="81">
        <f>IF(X2879="Sin Pago",0,IFERROR(INDEX(Pagos_Odoo!$E:$E, MATCH(X2879, Pagos_Odoo!$B:$B, 0)), 0))</f>
        <v/>
      </c>
      <c r="AC2879" s="79">
        <f>IF(X2879="Sin Pago","",IFERROR(INDEX(Pagos_Odoo!$G:$G, MATCH(X2879, Pagos_Odoo!$B:$B, 0)), ""))</f>
        <v/>
      </c>
      <c r="AD2879" s="82" t="n">
        <v>0</v>
      </c>
      <c r="AE2879" s="82" t="n"/>
      <c r="AF2879" s="82" t="n"/>
      <c r="AG2879" s="82">
        <f>IF(AN2879="","",AD2879+AE2879+AF2879)</f>
        <v/>
      </c>
      <c r="AH2879" s="81">
        <f>IF(AN2879="","",P2879*(1-AG2879))</f>
        <v/>
      </c>
      <c r="AI2879" s="81">
        <f>IF(AN2879="","",IF(Q2879="Sin Factura",0,IFERROR(INDEX(Facturas_Odoo!$H:$H, MATCH(Q2879, Facturas_Odoo!$B:$B, 0)), 0)*(1-AG2879)))</f>
        <v/>
      </c>
      <c r="AJ2879" s="81">
        <f>IF(AN2879="","",_xlfn.LET(idVenta, AN2879&amp;"",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79" s="81">
        <f>IF(AN2879="","",AH2879-AJ2879)</f>
        <v/>
      </c>
      <c r="AL2879" s="81">
        <f>IF(AN2879="","",IF(Q2879="Sin Factura","",AI2879-AJ2879))</f>
        <v/>
      </c>
      <c r="AM2879" s="81">
        <f>IF(AN2879="","",IF(Q2879="Sin Factura",0,P2879-IFERROR(INDEX(Facturas_Odoo!$H:$H, MATCH(Q2879, Facturas_Odoo!$B:$B, 0)), 0)))</f>
        <v/>
      </c>
      <c r="AN2879" s="79">
        <f>IF(AND(A2879="", J2879=""), "", IF(A2879&lt;&gt;"", VALUE(MID(A2879,2,LEN(A2879))), AN2878))</f>
        <v/>
      </c>
      <c r="AO2879" s="79">
        <f>IF(AN2879="","",IF(AD2879=0,"OK",_xlfn.LET(monedaPago, IF(AA2879="","USD",AA2879), limitePermitido, IFERROR(VLOOKUP(monedaPago, Configuración!$A$2:$B$3, 2, FALSE), 0.15), IF(AD2879&gt;limitePermitido, "ALERTA: EXCESO (" &amp; TEXT(limitePermitido, "0%") &amp; " máx)", "OK"))))</f>
        <v/>
      </c>
      <c r="AP2879" s="79">
        <f>IF(AN2879="","",IF(AE2879=0,"OK",_xlfn.LET(fechaPago, Z2879, fechaFactura, R2879, diasCredito, IF(E2879="Pago inmediato", 0, IFERROR(VALUE(MID(E2879, 1, SEARCH(" ", E2879)-1)),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79" s="79">
        <f>IF(AN2879="","",IF(AND(N2879&gt;0, AG2879&gt;0), IF(Configuración!$K$2="NO", "ALERTA: DESCUENTO DOBLE NO PERMITIDO", "OK"), "OK"))</f>
        <v/>
      </c>
      <c r="AR2879" s="79">
        <f>IF(AN2879="","",IF(OR(AO2879&lt;&gt;"OK", AP2879&lt;&gt;"OK", AQ2879&lt;&gt;"OK"), "⚠️ REVISAR", "OK"))</f>
        <v/>
      </c>
    </row>
    <row r="2880">
      <c r="A2880" s="79">
        <f>IF('Ordenes_Odoo'!A2880="","",'Ordenes_Odoo'!A2880)</f>
        <v/>
      </c>
      <c r="B2880" s="80">
        <f>IF('Ordenes_Odoo'!B2880="","",'Ordenes_Odoo'!B2880)</f>
        <v/>
      </c>
      <c r="C2880" s="79">
        <f>IF('Ordenes_Odoo'!C2880="","",'Ordenes_Odoo'!C2880)</f>
        <v/>
      </c>
      <c r="D2880" s="79">
        <f>IF('Ordenes_Odoo'!D2880="","",'Ordenes_Odoo'!D2880)</f>
        <v/>
      </c>
      <c r="E2880" s="79">
        <f>IF('Ordenes_Odoo'!E2880="","",'Ordenes_Odoo'!E2880)</f>
        <v/>
      </c>
      <c r="F2880" s="79">
        <f>IF('Ordenes_Odoo'!F2880="","",'Ordenes_Odoo'!F2880)</f>
        <v/>
      </c>
      <c r="G2880" s="79">
        <f>IF('Ordenes_Odoo'!G2880="","",'Ordenes_Odoo'!G2880)</f>
        <v/>
      </c>
      <c r="H2880" s="79">
        <f>IF('Ordenes_Odoo'!H2880="","",'Ordenes_Odoo'!H2880)</f>
        <v/>
      </c>
      <c r="I2880" s="79">
        <f>IF('Ordenes_Odoo'!I2880="","",'Ordenes_Odoo'!I2880)</f>
        <v/>
      </c>
      <c r="J2880" s="79">
        <f>IF('Ordenes_Odoo'!J2880="","",'Ordenes_Odoo'!J2880)</f>
        <v/>
      </c>
      <c r="K2880" s="81">
        <f>IF('Ordenes_Odoo'!K2880="","",'Ordenes_Odoo'!K2880)</f>
        <v/>
      </c>
      <c r="L2880" s="81">
        <f>IF('Ordenes_Odoo'!L2880="","",'Ordenes_Odoo'!L2880)</f>
        <v/>
      </c>
      <c r="M2880" s="79">
        <f>IF('Ordenes_Odoo'!M2880="","",'Ordenes_Odoo'!M2880)</f>
        <v/>
      </c>
      <c r="N2880" s="79">
        <f>IF('Ordenes_Odoo'!N2880="","",'Ordenes_Odoo'!N2880)</f>
        <v/>
      </c>
      <c r="O2880" s="81">
        <f>IF('Ordenes_Odoo'!O2880="","",'Ordenes_Odoo'!O2880)</f>
        <v/>
      </c>
      <c r="P2880" s="81">
        <f>IF('Ordenes_Odoo'!P2880="","",'Ordenes_Odoo'!P2880)</f>
        <v/>
      </c>
      <c r="Q2880" s="79">
        <f>IF(A2880="","",IFERROR(INDEX(Facturas_Odoo!$B:$B, MATCH(A2880, Facturas_Odoo!$D:$D, 0)), "Sin Factura"))</f>
        <v/>
      </c>
      <c r="R2880" s="80">
        <f>IF(Q2880="Sin Factura","",IFERROR(INDEX(Facturas_Odoo!$A:$A, MATCH(Q2880, Facturas_Odoo!$B:$B, 0)), ""))</f>
        <v/>
      </c>
      <c r="S2880" s="79">
        <f>IF(Q2880="Sin Factura","",IFERROR(_xlfn.XLOOKUP(1, (Facturas_Odoo!$D:$D=A2880) * (Facturas_Odoo!$K:$K=I2880), Facturas_Odoo!$L:$L, ""), ""))</f>
        <v/>
      </c>
      <c r="T2880" s="81">
        <f>IF(Q2880="Sin Factura",0,IFERROR(_xlfn.XLOOKUP(1, (Facturas_Odoo!$D:$D=A2880) * (Facturas_Odoo!$K:$K=I2880), Facturas_Odoo!$M:$M, 0), 0))</f>
        <v/>
      </c>
      <c r="U2880" s="79">
        <f>IF(Q2880="Sin Factura",0,IFERROR(_xlfn.XLOOKUP(1, (Facturas_Odoo!$D:$D=A2880) * (Facturas_Odoo!$K:$K=I2880), Facturas_Odoo!$N:$N, 0), 0))</f>
        <v/>
      </c>
      <c r="V2880" s="79">
        <f>IF(Q2880="Sin Factura",0,IFERROR(_xlfn.XLOOKUP(1, (Facturas_Odoo!$D:$D=A2880) * (Facturas_Odoo!$K:$K=I2880), Facturas_Odoo!$O:$O, 0), 0))</f>
        <v/>
      </c>
      <c r="W2880" s="81">
        <f>IF(Q2880="Sin Factura",0,IFERROR(_xlfn.XLOOKUP(1, (Facturas_Odoo!$D:$D=A2880) * (Facturas_Odoo!$K:$K=I2880), Facturas_Odoo!$Q:$Q, 0), 0))</f>
        <v/>
      </c>
      <c r="X2880" s="79">
        <f>IF(OR(Q2880="Sin Factura",Q2880=""),"",IFERROR(INDEX(Pagos_Odoo!$B:$B, MATCH(Q2880, Pagos_Odoo!$I:$I, 0)), "Sin Pago"))</f>
        <v/>
      </c>
      <c r="Y2880" s="79">
        <f>IF(X2880="Sin Pago","",IFERROR(INDEX(Pagos_Odoo!$C:$C, MATCH(X2880, Pagos_Odoo!$B:$B, 0)), ""))</f>
        <v/>
      </c>
      <c r="Z2880" s="80">
        <f>IF(X2880="Sin Pago","",IFERROR(INDEX(Pagos_Odoo!$A:$A, MATCH(X2880, Pagos_Odoo!$B:$B, 0)), ""))</f>
        <v/>
      </c>
      <c r="AA2880" s="79">
        <f>IF(X2880="Sin Pago","",IFERROR(INDEX(Pagos_Odoo!$F:$F, MATCH(X2880, Pagos_Odoo!$B:$B, 0)), ""))</f>
        <v/>
      </c>
      <c r="AB2880" s="81">
        <f>IF(X2880="Sin Pago",0,IFERROR(INDEX(Pagos_Odoo!$E:$E, MATCH(X2880, Pagos_Odoo!$B:$B, 0)), 0))</f>
        <v/>
      </c>
      <c r="AC2880" s="79">
        <f>IF(X2880="Sin Pago","",IFERROR(INDEX(Pagos_Odoo!$G:$G, MATCH(X2880, Pagos_Odoo!$B:$B, 0)), ""))</f>
        <v/>
      </c>
      <c r="AD2880" s="82" t="n">
        <v>0</v>
      </c>
      <c r="AE2880" s="82" t="n"/>
      <c r="AF2880" s="82" t="n"/>
      <c r="AG2880" s="82">
        <f>IF(AN2880="","",AD2880+AE2880+AF2880)</f>
        <v/>
      </c>
      <c r="AH2880" s="81">
        <f>IF(AN2880="","",P2880*(1-AG2880))</f>
        <v/>
      </c>
      <c r="AI2880" s="81">
        <f>IF(AN2880="","",IF(Q2880="Sin Factura",0,IFERROR(INDEX(Facturas_Odoo!$H:$H, MATCH(Q2880, Facturas_Odoo!$B:$B, 0)), 0)*(1-AG2880)))</f>
        <v/>
      </c>
      <c r="AJ2880" s="81">
        <f>IF(AN2880="","",_xlfn.LET(idVenta, AN2880&amp;"",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80" s="81">
        <f>IF(AN2880="","",AH2880-AJ2880)</f>
        <v/>
      </c>
      <c r="AL2880" s="81">
        <f>IF(AN2880="","",IF(Q2880="Sin Factura","",AI2880-AJ2880))</f>
        <v/>
      </c>
      <c r="AM2880" s="81">
        <f>IF(AN2880="","",IF(Q2880="Sin Factura",0,P2880-IFERROR(INDEX(Facturas_Odoo!$H:$H, MATCH(Q2880, Facturas_Odoo!$B:$B, 0)), 0)))</f>
        <v/>
      </c>
      <c r="AN2880" s="79">
        <f>IF(AND(A2880="", J2880=""), "", IF(A2880&lt;&gt;"", VALUE(MID(A2880,2,LEN(A2880))), AN2879))</f>
        <v/>
      </c>
      <c r="AO2880" s="79">
        <f>IF(AN2880="","",IF(AD2880=0,"OK",_xlfn.LET(monedaPago, IF(AA2880="","USD",AA2880), limitePermitido, IFERROR(VLOOKUP(monedaPago, Configuración!$A$2:$B$3, 2, FALSE), 0.15), IF(AD2880&gt;limitePermitido, "ALERTA: EXCESO (" &amp; TEXT(limitePermitido, "0%") &amp; " máx)", "OK"))))</f>
        <v/>
      </c>
      <c r="AP2880" s="79">
        <f>IF(AN2880="","",IF(AE2880=0,"OK",_xlfn.LET(fechaPago, Z2880, fechaFactura, R2880, diasCredito, IF(E2880="Pago inmediato", 0, IFERROR(VALUE(MID(E2880, 1, SEARCH(" ", E2880)-1)),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80" s="79">
        <f>IF(AN2880="","",IF(AND(N2880&gt;0, AG2880&gt;0), IF(Configuración!$K$2="NO", "ALERTA: DESCUENTO DOBLE NO PERMITIDO", "OK"), "OK"))</f>
        <v/>
      </c>
      <c r="AR2880" s="79">
        <f>IF(AN2880="","",IF(OR(AO2880&lt;&gt;"OK", AP2880&lt;&gt;"OK", AQ2880&lt;&gt;"OK"), "⚠️ REVISAR", "OK"))</f>
        <v/>
      </c>
    </row>
    <row r="2881">
      <c r="A2881" s="79">
        <f>IF('Ordenes_Odoo'!A2881="","",'Ordenes_Odoo'!A2881)</f>
        <v/>
      </c>
      <c r="B2881" s="80">
        <f>IF('Ordenes_Odoo'!B2881="","",'Ordenes_Odoo'!B2881)</f>
        <v/>
      </c>
      <c r="C2881" s="79">
        <f>IF('Ordenes_Odoo'!C2881="","",'Ordenes_Odoo'!C2881)</f>
        <v/>
      </c>
      <c r="D2881" s="79">
        <f>IF('Ordenes_Odoo'!D2881="","",'Ordenes_Odoo'!D2881)</f>
        <v/>
      </c>
      <c r="E2881" s="79">
        <f>IF('Ordenes_Odoo'!E2881="","",'Ordenes_Odoo'!E2881)</f>
        <v/>
      </c>
      <c r="F2881" s="79">
        <f>IF('Ordenes_Odoo'!F2881="","",'Ordenes_Odoo'!F2881)</f>
        <v/>
      </c>
      <c r="G2881" s="79">
        <f>IF('Ordenes_Odoo'!G2881="","",'Ordenes_Odoo'!G2881)</f>
        <v/>
      </c>
      <c r="H2881" s="79">
        <f>IF('Ordenes_Odoo'!H2881="","",'Ordenes_Odoo'!H2881)</f>
        <v/>
      </c>
      <c r="I2881" s="79">
        <f>IF('Ordenes_Odoo'!I2881="","",'Ordenes_Odoo'!I2881)</f>
        <v/>
      </c>
      <c r="J2881" s="79">
        <f>IF('Ordenes_Odoo'!J2881="","",'Ordenes_Odoo'!J2881)</f>
        <v/>
      </c>
      <c r="K2881" s="81">
        <f>IF('Ordenes_Odoo'!K2881="","",'Ordenes_Odoo'!K2881)</f>
        <v/>
      </c>
      <c r="L2881" s="81">
        <f>IF('Ordenes_Odoo'!L2881="","",'Ordenes_Odoo'!L2881)</f>
        <v/>
      </c>
      <c r="M2881" s="79">
        <f>IF('Ordenes_Odoo'!M2881="","",'Ordenes_Odoo'!M2881)</f>
        <v/>
      </c>
      <c r="N2881" s="79">
        <f>IF('Ordenes_Odoo'!N2881="","",'Ordenes_Odoo'!N2881)</f>
        <v/>
      </c>
      <c r="O2881" s="81">
        <f>IF('Ordenes_Odoo'!O2881="","",'Ordenes_Odoo'!O2881)</f>
        <v/>
      </c>
      <c r="P2881" s="81">
        <f>IF('Ordenes_Odoo'!P2881="","",'Ordenes_Odoo'!P2881)</f>
        <v/>
      </c>
      <c r="Q2881" s="79">
        <f>IF(A2881="","",IFERROR(INDEX(Facturas_Odoo!$B:$B, MATCH(A2881, Facturas_Odoo!$D:$D, 0)), "Sin Factura"))</f>
        <v/>
      </c>
      <c r="R2881" s="80">
        <f>IF(Q2881="Sin Factura","",IFERROR(INDEX(Facturas_Odoo!$A:$A, MATCH(Q2881, Facturas_Odoo!$B:$B, 0)), ""))</f>
        <v/>
      </c>
      <c r="S2881" s="79">
        <f>IF(Q2881="Sin Factura","",IFERROR(_xlfn.XLOOKUP(1, (Facturas_Odoo!$D:$D=A2881) * (Facturas_Odoo!$K:$K=I2881), Facturas_Odoo!$L:$L, ""), ""))</f>
        <v/>
      </c>
      <c r="T2881" s="81">
        <f>IF(Q2881="Sin Factura",0,IFERROR(_xlfn.XLOOKUP(1, (Facturas_Odoo!$D:$D=A2881) * (Facturas_Odoo!$K:$K=I2881), Facturas_Odoo!$M:$M, 0), 0))</f>
        <v/>
      </c>
      <c r="U2881" s="79">
        <f>IF(Q2881="Sin Factura",0,IFERROR(_xlfn.XLOOKUP(1, (Facturas_Odoo!$D:$D=A2881) * (Facturas_Odoo!$K:$K=I2881), Facturas_Odoo!$N:$N, 0), 0))</f>
        <v/>
      </c>
      <c r="V2881" s="79">
        <f>IF(Q2881="Sin Factura",0,IFERROR(_xlfn.XLOOKUP(1, (Facturas_Odoo!$D:$D=A2881) * (Facturas_Odoo!$K:$K=I2881), Facturas_Odoo!$O:$O, 0), 0))</f>
        <v/>
      </c>
      <c r="W2881" s="81">
        <f>IF(Q2881="Sin Factura",0,IFERROR(_xlfn.XLOOKUP(1, (Facturas_Odoo!$D:$D=A2881) * (Facturas_Odoo!$K:$K=I2881), Facturas_Odoo!$Q:$Q, 0), 0))</f>
        <v/>
      </c>
      <c r="X2881" s="79">
        <f>IF(OR(Q2881="Sin Factura",Q2881=""),"",IFERROR(INDEX(Pagos_Odoo!$B:$B, MATCH(Q2881, Pagos_Odoo!$I:$I, 0)), "Sin Pago"))</f>
        <v/>
      </c>
      <c r="Y2881" s="79">
        <f>IF(X2881="Sin Pago","",IFERROR(INDEX(Pagos_Odoo!$C:$C, MATCH(X2881, Pagos_Odoo!$B:$B, 0)), ""))</f>
        <v/>
      </c>
      <c r="Z2881" s="80">
        <f>IF(X2881="Sin Pago","",IFERROR(INDEX(Pagos_Odoo!$A:$A, MATCH(X2881, Pagos_Odoo!$B:$B, 0)), ""))</f>
        <v/>
      </c>
      <c r="AA2881" s="79">
        <f>IF(X2881="Sin Pago","",IFERROR(INDEX(Pagos_Odoo!$F:$F, MATCH(X2881, Pagos_Odoo!$B:$B, 0)), ""))</f>
        <v/>
      </c>
      <c r="AB2881" s="81">
        <f>IF(X2881="Sin Pago",0,IFERROR(INDEX(Pagos_Odoo!$E:$E, MATCH(X2881, Pagos_Odoo!$B:$B, 0)), 0))</f>
        <v/>
      </c>
      <c r="AC2881" s="79">
        <f>IF(X2881="Sin Pago","",IFERROR(INDEX(Pagos_Odoo!$G:$G, MATCH(X2881, Pagos_Odoo!$B:$B, 0)), ""))</f>
        <v/>
      </c>
      <c r="AD2881" s="82" t="n">
        <v>0</v>
      </c>
      <c r="AE2881" s="82" t="n"/>
      <c r="AF2881" s="82" t="n"/>
      <c r="AG2881" s="82">
        <f>IF(AN2881="","",AD2881+AE2881+AF2881)</f>
        <v/>
      </c>
      <c r="AH2881" s="81">
        <f>IF(AN2881="","",P2881*(1-AG2881))</f>
        <v/>
      </c>
      <c r="AI2881" s="81">
        <f>IF(AN2881="","",IF(Q2881="Sin Factura",0,IFERROR(INDEX(Facturas_Odoo!$H:$H, MATCH(Q2881, Facturas_Odoo!$B:$B, 0)), 0)*(1-AG2881)))</f>
        <v/>
      </c>
      <c r="AJ2881" s="81">
        <f>IF(AN2881="","",_xlfn.LET(idVenta, AN2881&amp;"",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81" s="81">
        <f>IF(AN2881="","",AH2881-AJ2881)</f>
        <v/>
      </c>
      <c r="AL2881" s="81">
        <f>IF(AN2881="","",IF(Q2881="Sin Factura","",AI2881-AJ2881))</f>
        <v/>
      </c>
      <c r="AM2881" s="81">
        <f>IF(AN2881="","",IF(Q2881="Sin Factura",0,P2881-IFERROR(INDEX(Facturas_Odoo!$H:$H, MATCH(Q2881, Facturas_Odoo!$B:$B, 0)), 0)))</f>
        <v/>
      </c>
      <c r="AN2881" s="79">
        <f>IF(AND(A2881="", J2881=""), "", IF(A2881&lt;&gt;"", VALUE(MID(A2881,2,LEN(A2881))), AN2880))</f>
        <v/>
      </c>
      <c r="AO2881" s="79">
        <f>IF(AN2881="","",IF(AD2881=0,"OK",_xlfn.LET(monedaPago, IF(AA2881="","USD",AA2881), limitePermitido, IFERROR(VLOOKUP(monedaPago, Configuración!$A$2:$B$3, 2, FALSE), 0.15), IF(AD2881&gt;limitePermitido, "ALERTA: EXCESO (" &amp; TEXT(limitePermitido, "0%") &amp; " máx)", "OK"))))</f>
        <v/>
      </c>
      <c r="AP2881" s="79">
        <f>IF(AN2881="","",IF(AE2881=0,"OK",_xlfn.LET(fechaPago, Z2881, fechaFactura, R2881, diasCredito, IF(E2881="Pago inmediato", 0, IFERROR(VALUE(MID(E2881, 1, SEARCH(" ", E2881)-1)),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81" s="79">
        <f>IF(AN2881="","",IF(AND(N2881&gt;0, AG2881&gt;0), IF(Configuración!$K$2="NO", "ALERTA: DESCUENTO DOBLE NO PERMITIDO", "OK"), "OK"))</f>
        <v/>
      </c>
      <c r="AR2881" s="79">
        <f>IF(AN2881="","",IF(OR(AO2881&lt;&gt;"OK", AP2881&lt;&gt;"OK", AQ2881&lt;&gt;"OK"), "⚠️ REVISAR", "OK"))</f>
        <v/>
      </c>
    </row>
    <row r="2882">
      <c r="A2882" s="79">
        <f>IF('Ordenes_Odoo'!A2882="","",'Ordenes_Odoo'!A2882)</f>
        <v/>
      </c>
      <c r="B2882" s="80">
        <f>IF('Ordenes_Odoo'!B2882="","",'Ordenes_Odoo'!B2882)</f>
        <v/>
      </c>
      <c r="C2882" s="79">
        <f>IF('Ordenes_Odoo'!C2882="","",'Ordenes_Odoo'!C2882)</f>
        <v/>
      </c>
      <c r="D2882" s="79">
        <f>IF('Ordenes_Odoo'!D2882="","",'Ordenes_Odoo'!D2882)</f>
        <v/>
      </c>
      <c r="E2882" s="79">
        <f>IF('Ordenes_Odoo'!E2882="","",'Ordenes_Odoo'!E2882)</f>
        <v/>
      </c>
      <c r="F2882" s="79">
        <f>IF('Ordenes_Odoo'!F2882="","",'Ordenes_Odoo'!F2882)</f>
        <v/>
      </c>
      <c r="G2882" s="79">
        <f>IF('Ordenes_Odoo'!G2882="","",'Ordenes_Odoo'!G2882)</f>
        <v/>
      </c>
      <c r="H2882" s="79">
        <f>IF('Ordenes_Odoo'!H2882="","",'Ordenes_Odoo'!H2882)</f>
        <v/>
      </c>
      <c r="I2882" s="79">
        <f>IF('Ordenes_Odoo'!I2882="","",'Ordenes_Odoo'!I2882)</f>
        <v/>
      </c>
      <c r="J2882" s="79">
        <f>IF('Ordenes_Odoo'!J2882="","",'Ordenes_Odoo'!J2882)</f>
        <v/>
      </c>
      <c r="K2882" s="81">
        <f>IF('Ordenes_Odoo'!K2882="","",'Ordenes_Odoo'!K2882)</f>
        <v/>
      </c>
      <c r="L2882" s="81">
        <f>IF('Ordenes_Odoo'!L2882="","",'Ordenes_Odoo'!L2882)</f>
        <v/>
      </c>
      <c r="M2882" s="79">
        <f>IF('Ordenes_Odoo'!M2882="","",'Ordenes_Odoo'!M2882)</f>
        <v/>
      </c>
      <c r="N2882" s="79">
        <f>IF('Ordenes_Odoo'!N2882="","",'Ordenes_Odoo'!N2882)</f>
        <v/>
      </c>
      <c r="O2882" s="81">
        <f>IF('Ordenes_Odoo'!O2882="","",'Ordenes_Odoo'!O2882)</f>
        <v/>
      </c>
      <c r="P2882" s="81">
        <f>IF('Ordenes_Odoo'!P2882="","",'Ordenes_Odoo'!P2882)</f>
        <v/>
      </c>
      <c r="Q2882" s="79">
        <f>IF(A2882="","",IFERROR(INDEX(Facturas_Odoo!$B:$B, MATCH(A2882, Facturas_Odoo!$D:$D, 0)), "Sin Factura"))</f>
        <v/>
      </c>
      <c r="R2882" s="80">
        <f>IF(Q2882="Sin Factura","",IFERROR(INDEX(Facturas_Odoo!$A:$A, MATCH(Q2882, Facturas_Odoo!$B:$B, 0)), ""))</f>
        <v/>
      </c>
      <c r="S2882" s="79">
        <f>IF(Q2882="Sin Factura","",IFERROR(_xlfn.XLOOKUP(1, (Facturas_Odoo!$D:$D=A2882) * (Facturas_Odoo!$K:$K=I2882), Facturas_Odoo!$L:$L, ""), ""))</f>
        <v/>
      </c>
      <c r="T2882" s="81">
        <f>IF(Q2882="Sin Factura",0,IFERROR(_xlfn.XLOOKUP(1, (Facturas_Odoo!$D:$D=A2882) * (Facturas_Odoo!$K:$K=I2882), Facturas_Odoo!$M:$M, 0), 0))</f>
        <v/>
      </c>
      <c r="U2882" s="79">
        <f>IF(Q2882="Sin Factura",0,IFERROR(_xlfn.XLOOKUP(1, (Facturas_Odoo!$D:$D=A2882) * (Facturas_Odoo!$K:$K=I2882), Facturas_Odoo!$N:$N, 0), 0))</f>
        <v/>
      </c>
      <c r="V2882" s="79">
        <f>IF(Q2882="Sin Factura",0,IFERROR(_xlfn.XLOOKUP(1, (Facturas_Odoo!$D:$D=A2882) * (Facturas_Odoo!$K:$K=I2882), Facturas_Odoo!$O:$O, 0), 0))</f>
        <v/>
      </c>
      <c r="W2882" s="81">
        <f>IF(Q2882="Sin Factura",0,IFERROR(_xlfn.XLOOKUP(1, (Facturas_Odoo!$D:$D=A2882) * (Facturas_Odoo!$K:$K=I2882), Facturas_Odoo!$Q:$Q, 0), 0))</f>
        <v/>
      </c>
      <c r="X2882" s="79">
        <f>IF(OR(Q2882="Sin Factura",Q2882=""),"",IFERROR(INDEX(Pagos_Odoo!$B:$B, MATCH(Q2882, Pagos_Odoo!$I:$I, 0)), "Sin Pago"))</f>
        <v/>
      </c>
      <c r="Y2882" s="79">
        <f>IF(X2882="Sin Pago","",IFERROR(INDEX(Pagos_Odoo!$C:$C, MATCH(X2882, Pagos_Odoo!$B:$B, 0)), ""))</f>
        <v/>
      </c>
      <c r="Z2882" s="80">
        <f>IF(X2882="Sin Pago","",IFERROR(INDEX(Pagos_Odoo!$A:$A, MATCH(X2882, Pagos_Odoo!$B:$B, 0)), ""))</f>
        <v/>
      </c>
      <c r="AA2882" s="79">
        <f>IF(X2882="Sin Pago","",IFERROR(INDEX(Pagos_Odoo!$F:$F, MATCH(X2882, Pagos_Odoo!$B:$B, 0)), ""))</f>
        <v/>
      </c>
      <c r="AB2882" s="81">
        <f>IF(X2882="Sin Pago",0,IFERROR(INDEX(Pagos_Odoo!$E:$E, MATCH(X2882, Pagos_Odoo!$B:$B, 0)), 0))</f>
        <v/>
      </c>
      <c r="AC2882" s="79">
        <f>IF(X2882="Sin Pago","",IFERROR(INDEX(Pagos_Odoo!$G:$G, MATCH(X2882, Pagos_Odoo!$B:$B, 0)), ""))</f>
        <v/>
      </c>
      <c r="AD2882" s="82" t="n">
        <v>0</v>
      </c>
      <c r="AE2882" s="82" t="n"/>
      <c r="AF2882" s="82" t="n"/>
      <c r="AG2882" s="82">
        <f>IF(AN2882="","",AD2882+AE2882+AF2882)</f>
        <v/>
      </c>
      <c r="AH2882" s="81">
        <f>IF(AN2882="","",P2882*(1-AG2882))</f>
        <v/>
      </c>
      <c r="AI2882" s="81">
        <f>IF(AN2882="","",IF(Q2882="Sin Factura",0,IFERROR(INDEX(Facturas_Odoo!$H:$H, MATCH(Q2882, Facturas_Odoo!$B:$B, 0)), 0)*(1-AG2882)))</f>
        <v/>
      </c>
      <c r="AJ2882" s="81">
        <f>IF(AN2882="","",_xlfn.LET(idVenta, AN2882&amp;"",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82" s="81">
        <f>IF(AN2882="","",AH2882-AJ2882)</f>
        <v/>
      </c>
      <c r="AL2882" s="81">
        <f>IF(AN2882="","",IF(Q2882="Sin Factura","",AI2882-AJ2882))</f>
        <v/>
      </c>
      <c r="AM2882" s="81">
        <f>IF(AN2882="","",IF(Q2882="Sin Factura",0,P2882-IFERROR(INDEX(Facturas_Odoo!$H:$H, MATCH(Q2882, Facturas_Odoo!$B:$B, 0)), 0)))</f>
        <v/>
      </c>
      <c r="AN2882" s="79">
        <f>IF(AND(A2882="", J2882=""), "", IF(A2882&lt;&gt;"", VALUE(MID(A2882,2,LEN(A2882))), AN2881))</f>
        <v/>
      </c>
      <c r="AO2882" s="79">
        <f>IF(AN2882="","",IF(AD2882=0,"OK",_xlfn.LET(monedaPago, IF(AA2882="","USD",AA2882), limitePermitido, IFERROR(VLOOKUP(monedaPago, Configuración!$A$2:$B$3, 2, FALSE), 0.15), IF(AD2882&gt;limitePermitido, "ALERTA: EXCESO (" &amp; TEXT(limitePermitido, "0%") &amp; " máx)", "OK"))))</f>
        <v/>
      </c>
      <c r="AP2882" s="79">
        <f>IF(AN2882="","",IF(AE2882=0,"OK",_xlfn.LET(fechaPago, Z2882, fechaFactura, R2882, diasCredito, IF(E2882="Pago inmediato", 0, IFERROR(VALUE(MID(E2882, 1, SEARCH(" ", E2882)-1)),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82" s="79">
        <f>IF(AN2882="","",IF(AND(N2882&gt;0, AG2882&gt;0), IF(Configuración!$K$2="NO", "ALERTA: DESCUENTO DOBLE NO PERMITIDO", "OK"), "OK"))</f>
        <v/>
      </c>
      <c r="AR2882" s="79">
        <f>IF(AN2882="","",IF(OR(AO2882&lt;&gt;"OK", AP2882&lt;&gt;"OK", AQ2882&lt;&gt;"OK"), "⚠️ REVISAR", "OK"))</f>
        <v/>
      </c>
    </row>
    <row r="2883">
      <c r="A2883" s="79">
        <f>IF('Ordenes_Odoo'!A2883="","",'Ordenes_Odoo'!A2883)</f>
        <v/>
      </c>
      <c r="B2883" s="80">
        <f>IF('Ordenes_Odoo'!B2883="","",'Ordenes_Odoo'!B2883)</f>
        <v/>
      </c>
      <c r="C2883" s="79">
        <f>IF('Ordenes_Odoo'!C2883="","",'Ordenes_Odoo'!C2883)</f>
        <v/>
      </c>
      <c r="D2883" s="79">
        <f>IF('Ordenes_Odoo'!D2883="","",'Ordenes_Odoo'!D2883)</f>
        <v/>
      </c>
      <c r="E2883" s="79">
        <f>IF('Ordenes_Odoo'!E2883="","",'Ordenes_Odoo'!E2883)</f>
        <v/>
      </c>
      <c r="F2883" s="79">
        <f>IF('Ordenes_Odoo'!F2883="","",'Ordenes_Odoo'!F2883)</f>
        <v/>
      </c>
      <c r="G2883" s="79">
        <f>IF('Ordenes_Odoo'!G2883="","",'Ordenes_Odoo'!G2883)</f>
        <v/>
      </c>
      <c r="H2883" s="79">
        <f>IF('Ordenes_Odoo'!H2883="","",'Ordenes_Odoo'!H2883)</f>
        <v/>
      </c>
      <c r="I2883" s="79">
        <f>IF('Ordenes_Odoo'!I2883="","",'Ordenes_Odoo'!I2883)</f>
        <v/>
      </c>
      <c r="J2883" s="79">
        <f>IF('Ordenes_Odoo'!J2883="","",'Ordenes_Odoo'!J2883)</f>
        <v/>
      </c>
      <c r="K2883" s="81">
        <f>IF('Ordenes_Odoo'!K2883="","",'Ordenes_Odoo'!K2883)</f>
        <v/>
      </c>
      <c r="L2883" s="81">
        <f>IF('Ordenes_Odoo'!L2883="","",'Ordenes_Odoo'!L2883)</f>
        <v/>
      </c>
      <c r="M2883" s="79">
        <f>IF('Ordenes_Odoo'!M2883="","",'Ordenes_Odoo'!M2883)</f>
        <v/>
      </c>
      <c r="N2883" s="79">
        <f>IF('Ordenes_Odoo'!N2883="","",'Ordenes_Odoo'!N2883)</f>
        <v/>
      </c>
      <c r="O2883" s="81">
        <f>IF('Ordenes_Odoo'!O2883="","",'Ordenes_Odoo'!O2883)</f>
        <v/>
      </c>
      <c r="P2883" s="81">
        <f>IF('Ordenes_Odoo'!P2883="","",'Ordenes_Odoo'!P2883)</f>
        <v/>
      </c>
      <c r="Q2883" s="79">
        <f>IF(A2883="","",IFERROR(INDEX(Facturas_Odoo!$B:$B, MATCH(A2883, Facturas_Odoo!$D:$D, 0)), "Sin Factura"))</f>
        <v/>
      </c>
      <c r="R2883" s="80">
        <f>IF(Q2883="Sin Factura","",IFERROR(INDEX(Facturas_Odoo!$A:$A, MATCH(Q2883, Facturas_Odoo!$B:$B, 0)), ""))</f>
        <v/>
      </c>
      <c r="S2883" s="79">
        <f>IF(Q2883="Sin Factura","",IFERROR(_xlfn.XLOOKUP(1, (Facturas_Odoo!$D:$D=A2883) * (Facturas_Odoo!$K:$K=I2883), Facturas_Odoo!$L:$L, ""), ""))</f>
        <v/>
      </c>
      <c r="T2883" s="81">
        <f>IF(Q2883="Sin Factura",0,IFERROR(_xlfn.XLOOKUP(1, (Facturas_Odoo!$D:$D=A2883) * (Facturas_Odoo!$K:$K=I2883), Facturas_Odoo!$M:$M, 0), 0))</f>
        <v/>
      </c>
      <c r="U2883" s="79">
        <f>IF(Q2883="Sin Factura",0,IFERROR(_xlfn.XLOOKUP(1, (Facturas_Odoo!$D:$D=A2883) * (Facturas_Odoo!$K:$K=I2883), Facturas_Odoo!$N:$N, 0), 0))</f>
        <v/>
      </c>
      <c r="V2883" s="79">
        <f>IF(Q2883="Sin Factura",0,IFERROR(_xlfn.XLOOKUP(1, (Facturas_Odoo!$D:$D=A2883) * (Facturas_Odoo!$K:$K=I2883), Facturas_Odoo!$O:$O, 0), 0))</f>
        <v/>
      </c>
      <c r="W2883" s="81">
        <f>IF(Q2883="Sin Factura",0,IFERROR(_xlfn.XLOOKUP(1, (Facturas_Odoo!$D:$D=A2883) * (Facturas_Odoo!$K:$K=I2883), Facturas_Odoo!$Q:$Q, 0), 0))</f>
        <v/>
      </c>
      <c r="X2883" s="79">
        <f>IF(OR(Q2883="Sin Factura",Q2883=""),"",IFERROR(INDEX(Pagos_Odoo!$B:$B, MATCH(Q2883, Pagos_Odoo!$I:$I, 0)), "Sin Pago"))</f>
        <v/>
      </c>
      <c r="Y2883" s="79">
        <f>IF(X2883="Sin Pago","",IFERROR(INDEX(Pagos_Odoo!$C:$C, MATCH(X2883, Pagos_Odoo!$B:$B, 0)), ""))</f>
        <v/>
      </c>
      <c r="Z2883" s="80">
        <f>IF(X2883="Sin Pago","",IFERROR(INDEX(Pagos_Odoo!$A:$A, MATCH(X2883, Pagos_Odoo!$B:$B, 0)), ""))</f>
        <v/>
      </c>
      <c r="AA2883" s="79">
        <f>IF(X2883="Sin Pago","",IFERROR(INDEX(Pagos_Odoo!$F:$F, MATCH(X2883, Pagos_Odoo!$B:$B, 0)), ""))</f>
        <v/>
      </c>
      <c r="AB2883" s="81">
        <f>IF(X2883="Sin Pago",0,IFERROR(INDEX(Pagos_Odoo!$E:$E, MATCH(X2883, Pagos_Odoo!$B:$B, 0)), 0))</f>
        <v/>
      </c>
      <c r="AC2883" s="79">
        <f>IF(X2883="Sin Pago","",IFERROR(INDEX(Pagos_Odoo!$G:$G, MATCH(X2883, Pagos_Odoo!$B:$B, 0)), ""))</f>
        <v/>
      </c>
      <c r="AD2883" s="82" t="n">
        <v>0</v>
      </c>
      <c r="AE2883" s="82" t="n"/>
      <c r="AF2883" s="82" t="n"/>
      <c r="AG2883" s="82">
        <f>IF(AN2883="","",AD2883+AE2883+AF2883)</f>
        <v/>
      </c>
      <c r="AH2883" s="81">
        <f>IF(AN2883="","",P2883*(1-AG2883))</f>
        <v/>
      </c>
      <c r="AI2883" s="81">
        <f>IF(AN2883="","",IF(Q2883="Sin Factura",0,IFERROR(INDEX(Facturas_Odoo!$H:$H, MATCH(Q2883, Facturas_Odoo!$B:$B, 0)), 0)*(1-AG2883)))</f>
        <v/>
      </c>
      <c r="AJ2883" s="81">
        <f>IF(AN2883="","",_xlfn.LET(idVenta, AN2883&amp;"",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83" s="81">
        <f>IF(AN2883="","",AH2883-AJ2883)</f>
        <v/>
      </c>
      <c r="AL2883" s="81">
        <f>IF(AN2883="","",IF(Q2883="Sin Factura","",AI2883-AJ2883))</f>
        <v/>
      </c>
      <c r="AM2883" s="81">
        <f>IF(AN2883="","",IF(Q2883="Sin Factura",0,P2883-IFERROR(INDEX(Facturas_Odoo!$H:$H, MATCH(Q2883, Facturas_Odoo!$B:$B, 0)), 0)))</f>
        <v/>
      </c>
      <c r="AN2883" s="79">
        <f>IF(AND(A2883="", J2883=""), "", IF(A2883&lt;&gt;"", VALUE(MID(A2883,2,LEN(A2883))), AN2882))</f>
        <v/>
      </c>
      <c r="AO2883" s="79">
        <f>IF(AN2883="","",IF(AD2883=0,"OK",_xlfn.LET(monedaPago, IF(AA2883="","USD",AA2883), limitePermitido, IFERROR(VLOOKUP(monedaPago, Configuración!$A$2:$B$3, 2, FALSE), 0.15), IF(AD2883&gt;limitePermitido, "ALERTA: EXCESO (" &amp; TEXT(limitePermitido, "0%") &amp; " máx)", "OK"))))</f>
        <v/>
      </c>
      <c r="AP2883" s="79">
        <f>IF(AN2883="","",IF(AE2883=0,"OK",_xlfn.LET(fechaPago, Z2883, fechaFactura, R2883, diasCredito, IF(E2883="Pago inmediato", 0, IFERROR(VALUE(MID(E2883, 1, SEARCH(" ", E2883)-1)),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83" s="79">
        <f>IF(AN2883="","",IF(AND(N2883&gt;0, AG2883&gt;0), IF(Configuración!$K$2="NO", "ALERTA: DESCUENTO DOBLE NO PERMITIDO", "OK"), "OK"))</f>
        <v/>
      </c>
      <c r="AR2883" s="79">
        <f>IF(AN2883="","",IF(OR(AO2883&lt;&gt;"OK", AP2883&lt;&gt;"OK", AQ2883&lt;&gt;"OK"), "⚠️ REVISAR", "OK"))</f>
        <v/>
      </c>
    </row>
    <row r="2884">
      <c r="A2884" s="79">
        <f>IF('Ordenes_Odoo'!A2884="","",'Ordenes_Odoo'!A2884)</f>
        <v/>
      </c>
      <c r="B2884" s="80">
        <f>IF('Ordenes_Odoo'!B2884="","",'Ordenes_Odoo'!B2884)</f>
        <v/>
      </c>
      <c r="C2884" s="79">
        <f>IF('Ordenes_Odoo'!C2884="","",'Ordenes_Odoo'!C2884)</f>
        <v/>
      </c>
      <c r="D2884" s="79">
        <f>IF('Ordenes_Odoo'!D2884="","",'Ordenes_Odoo'!D2884)</f>
        <v/>
      </c>
      <c r="E2884" s="79">
        <f>IF('Ordenes_Odoo'!E2884="","",'Ordenes_Odoo'!E2884)</f>
        <v/>
      </c>
      <c r="F2884" s="79">
        <f>IF('Ordenes_Odoo'!F2884="","",'Ordenes_Odoo'!F2884)</f>
        <v/>
      </c>
      <c r="G2884" s="79">
        <f>IF('Ordenes_Odoo'!G2884="","",'Ordenes_Odoo'!G2884)</f>
        <v/>
      </c>
      <c r="H2884" s="79">
        <f>IF('Ordenes_Odoo'!H2884="","",'Ordenes_Odoo'!H2884)</f>
        <v/>
      </c>
      <c r="I2884" s="79">
        <f>IF('Ordenes_Odoo'!I2884="","",'Ordenes_Odoo'!I2884)</f>
        <v/>
      </c>
      <c r="J2884" s="79">
        <f>IF('Ordenes_Odoo'!J2884="","",'Ordenes_Odoo'!J2884)</f>
        <v/>
      </c>
      <c r="K2884" s="81">
        <f>IF('Ordenes_Odoo'!K2884="","",'Ordenes_Odoo'!K2884)</f>
        <v/>
      </c>
      <c r="L2884" s="81">
        <f>IF('Ordenes_Odoo'!L2884="","",'Ordenes_Odoo'!L2884)</f>
        <v/>
      </c>
      <c r="M2884" s="79">
        <f>IF('Ordenes_Odoo'!M2884="","",'Ordenes_Odoo'!M2884)</f>
        <v/>
      </c>
      <c r="N2884" s="79">
        <f>IF('Ordenes_Odoo'!N2884="","",'Ordenes_Odoo'!N2884)</f>
        <v/>
      </c>
      <c r="O2884" s="81">
        <f>IF('Ordenes_Odoo'!O2884="","",'Ordenes_Odoo'!O2884)</f>
        <v/>
      </c>
      <c r="P2884" s="81">
        <f>IF('Ordenes_Odoo'!P2884="","",'Ordenes_Odoo'!P2884)</f>
        <v/>
      </c>
      <c r="Q2884" s="79">
        <f>IF(A2884="","",IFERROR(INDEX(Facturas_Odoo!$B:$B, MATCH(A2884, Facturas_Odoo!$D:$D, 0)), "Sin Factura"))</f>
        <v/>
      </c>
      <c r="R2884" s="80">
        <f>IF(Q2884="Sin Factura","",IFERROR(INDEX(Facturas_Odoo!$A:$A, MATCH(Q2884, Facturas_Odoo!$B:$B, 0)), ""))</f>
        <v/>
      </c>
      <c r="S2884" s="79">
        <f>IF(Q2884="Sin Factura","",IFERROR(_xlfn.XLOOKUP(1, (Facturas_Odoo!$D:$D=A2884) * (Facturas_Odoo!$K:$K=I2884), Facturas_Odoo!$L:$L, ""), ""))</f>
        <v/>
      </c>
      <c r="T2884" s="81">
        <f>IF(Q2884="Sin Factura",0,IFERROR(_xlfn.XLOOKUP(1, (Facturas_Odoo!$D:$D=A2884) * (Facturas_Odoo!$K:$K=I2884), Facturas_Odoo!$M:$M, 0), 0))</f>
        <v/>
      </c>
      <c r="U2884" s="79">
        <f>IF(Q2884="Sin Factura",0,IFERROR(_xlfn.XLOOKUP(1, (Facturas_Odoo!$D:$D=A2884) * (Facturas_Odoo!$K:$K=I2884), Facturas_Odoo!$N:$N, 0), 0))</f>
        <v/>
      </c>
      <c r="V2884" s="79">
        <f>IF(Q2884="Sin Factura",0,IFERROR(_xlfn.XLOOKUP(1, (Facturas_Odoo!$D:$D=A2884) * (Facturas_Odoo!$K:$K=I2884), Facturas_Odoo!$O:$O, 0), 0))</f>
        <v/>
      </c>
      <c r="W2884" s="81">
        <f>IF(Q2884="Sin Factura",0,IFERROR(_xlfn.XLOOKUP(1, (Facturas_Odoo!$D:$D=A2884) * (Facturas_Odoo!$K:$K=I2884), Facturas_Odoo!$Q:$Q, 0), 0))</f>
        <v/>
      </c>
      <c r="X2884" s="79">
        <f>IF(OR(Q2884="Sin Factura",Q2884=""),"",IFERROR(INDEX(Pagos_Odoo!$B:$B, MATCH(Q2884, Pagos_Odoo!$I:$I, 0)), "Sin Pago"))</f>
        <v/>
      </c>
      <c r="Y2884" s="79">
        <f>IF(X2884="Sin Pago","",IFERROR(INDEX(Pagos_Odoo!$C:$C, MATCH(X2884, Pagos_Odoo!$B:$B, 0)), ""))</f>
        <v/>
      </c>
      <c r="Z2884" s="80">
        <f>IF(X2884="Sin Pago","",IFERROR(INDEX(Pagos_Odoo!$A:$A, MATCH(X2884, Pagos_Odoo!$B:$B, 0)), ""))</f>
        <v/>
      </c>
      <c r="AA2884" s="79">
        <f>IF(X2884="Sin Pago","",IFERROR(INDEX(Pagos_Odoo!$F:$F, MATCH(X2884, Pagos_Odoo!$B:$B, 0)), ""))</f>
        <v/>
      </c>
      <c r="AB2884" s="81">
        <f>IF(X2884="Sin Pago",0,IFERROR(INDEX(Pagos_Odoo!$E:$E, MATCH(X2884, Pagos_Odoo!$B:$B, 0)), 0))</f>
        <v/>
      </c>
      <c r="AC2884" s="79">
        <f>IF(X2884="Sin Pago","",IFERROR(INDEX(Pagos_Odoo!$G:$G, MATCH(X2884, Pagos_Odoo!$B:$B, 0)), ""))</f>
        <v/>
      </c>
      <c r="AD2884" s="82" t="n">
        <v>0</v>
      </c>
      <c r="AE2884" s="82" t="n"/>
      <c r="AF2884" s="82" t="n"/>
      <c r="AG2884" s="82">
        <f>IF(AN2884="","",AD2884+AE2884+AF2884)</f>
        <v/>
      </c>
      <c r="AH2884" s="81">
        <f>IF(AN2884="","",P2884*(1-AG2884))</f>
        <v/>
      </c>
      <c r="AI2884" s="81">
        <f>IF(AN2884="","",IF(Q2884="Sin Factura",0,IFERROR(INDEX(Facturas_Odoo!$H:$H, MATCH(Q2884, Facturas_Odoo!$B:$B, 0)), 0)*(1-AG2884)))</f>
        <v/>
      </c>
      <c r="AJ2884" s="81">
        <f>IF(AN2884="","",_xlfn.LET(idVenta, AN2884&amp;"",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84" s="81">
        <f>IF(AN2884="","",AH2884-AJ2884)</f>
        <v/>
      </c>
      <c r="AL2884" s="81">
        <f>IF(AN2884="","",IF(Q2884="Sin Factura","",AI2884-AJ2884))</f>
        <v/>
      </c>
      <c r="AM2884" s="81">
        <f>IF(AN2884="","",IF(Q2884="Sin Factura",0,P2884-IFERROR(INDEX(Facturas_Odoo!$H:$H, MATCH(Q2884, Facturas_Odoo!$B:$B, 0)), 0)))</f>
        <v/>
      </c>
      <c r="AN2884" s="79">
        <f>IF(AND(A2884="", J2884=""), "", IF(A2884&lt;&gt;"", VALUE(MID(A2884,2,LEN(A2884))), AN2883))</f>
        <v/>
      </c>
      <c r="AO2884" s="79">
        <f>IF(AN2884="","",IF(AD2884=0,"OK",_xlfn.LET(monedaPago, IF(AA2884="","USD",AA2884), limitePermitido, IFERROR(VLOOKUP(monedaPago, Configuración!$A$2:$B$3, 2, FALSE), 0.15), IF(AD2884&gt;limitePermitido, "ALERTA: EXCESO (" &amp; TEXT(limitePermitido, "0%") &amp; " máx)", "OK"))))</f>
        <v/>
      </c>
      <c r="AP2884" s="79">
        <f>IF(AN2884="","",IF(AE2884=0,"OK",_xlfn.LET(fechaPago, Z2884, fechaFactura, R2884, diasCredito, IF(E2884="Pago inmediato", 0, IFERROR(VALUE(MID(E2884, 1, SEARCH(" ", E2884)-1)),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84" s="79">
        <f>IF(AN2884="","",IF(AND(N2884&gt;0, AG2884&gt;0), IF(Configuración!$K$2="NO", "ALERTA: DESCUENTO DOBLE NO PERMITIDO", "OK"), "OK"))</f>
        <v/>
      </c>
      <c r="AR2884" s="79">
        <f>IF(AN2884="","",IF(OR(AO2884&lt;&gt;"OK", AP2884&lt;&gt;"OK", AQ2884&lt;&gt;"OK"), "⚠️ REVISAR", "OK"))</f>
        <v/>
      </c>
    </row>
    <row r="2885">
      <c r="A2885" s="79">
        <f>IF('Ordenes_Odoo'!A2885="","",'Ordenes_Odoo'!A2885)</f>
        <v/>
      </c>
      <c r="B2885" s="80">
        <f>IF('Ordenes_Odoo'!B2885="","",'Ordenes_Odoo'!B2885)</f>
        <v/>
      </c>
      <c r="C2885" s="79">
        <f>IF('Ordenes_Odoo'!C2885="","",'Ordenes_Odoo'!C2885)</f>
        <v/>
      </c>
      <c r="D2885" s="79">
        <f>IF('Ordenes_Odoo'!D2885="","",'Ordenes_Odoo'!D2885)</f>
        <v/>
      </c>
      <c r="E2885" s="79">
        <f>IF('Ordenes_Odoo'!E2885="","",'Ordenes_Odoo'!E2885)</f>
        <v/>
      </c>
      <c r="F2885" s="79">
        <f>IF('Ordenes_Odoo'!F2885="","",'Ordenes_Odoo'!F2885)</f>
        <v/>
      </c>
      <c r="G2885" s="79">
        <f>IF('Ordenes_Odoo'!G2885="","",'Ordenes_Odoo'!G2885)</f>
        <v/>
      </c>
      <c r="H2885" s="79">
        <f>IF('Ordenes_Odoo'!H2885="","",'Ordenes_Odoo'!H2885)</f>
        <v/>
      </c>
      <c r="I2885" s="79">
        <f>IF('Ordenes_Odoo'!I2885="","",'Ordenes_Odoo'!I2885)</f>
        <v/>
      </c>
      <c r="J2885" s="79">
        <f>IF('Ordenes_Odoo'!J2885="","",'Ordenes_Odoo'!J2885)</f>
        <v/>
      </c>
      <c r="K2885" s="81">
        <f>IF('Ordenes_Odoo'!K2885="","",'Ordenes_Odoo'!K2885)</f>
        <v/>
      </c>
      <c r="L2885" s="81">
        <f>IF('Ordenes_Odoo'!L2885="","",'Ordenes_Odoo'!L2885)</f>
        <v/>
      </c>
      <c r="M2885" s="79">
        <f>IF('Ordenes_Odoo'!M2885="","",'Ordenes_Odoo'!M2885)</f>
        <v/>
      </c>
      <c r="N2885" s="79">
        <f>IF('Ordenes_Odoo'!N2885="","",'Ordenes_Odoo'!N2885)</f>
        <v/>
      </c>
      <c r="O2885" s="81">
        <f>IF('Ordenes_Odoo'!O2885="","",'Ordenes_Odoo'!O2885)</f>
        <v/>
      </c>
      <c r="P2885" s="81">
        <f>IF('Ordenes_Odoo'!P2885="","",'Ordenes_Odoo'!P2885)</f>
        <v/>
      </c>
      <c r="Q2885" s="79">
        <f>IF(A2885="","",IFERROR(INDEX(Facturas_Odoo!$B:$B, MATCH(A2885, Facturas_Odoo!$D:$D, 0)), "Sin Factura"))</f>
        <v/>
      </c>
      <c r="R2885" s="80">
        <f>IF(Q2885="Sin Factura","",IFERROR(INDEX(Facturas_Odoo!$A:$A, MATCH(Q2885, Facturas_Odoo!$B:$B, 0)), ""))</f>
        <v/>
      </c>
      <c r="S2885" s="79">
        <f>IF(Q2885="Sin Factura","",IFERROR(_xlfn.XLOOKUP(1, (Facturas_Odoo!$D:$D=A2885) * (Facturas_Odoo!$K:$K=I2885), Facturas_Odoo!$L:$L, ""), ""))</f>
        <v/>
      </c>
      <c r="T2885" s="81">
        <f>IF(Q2885="Sin Factura",0,IFERROR(_xlfn.XLOOKUP(1, (Facturas_Odoo!$D:$D=A2885) * (Facturas_Odoo!$K:$K=I2885), Facturas_Odoo!$M:$M, 0), 0))</f>
        <v/>
      </c>
      <c r="U2885" s="79">
        <f>IF(Q2885="Sin Factura",0,IFERROR(_xlfn.XLOOKUP(1, (Facturas_Odoo!$D:$D=A2885) * (Facturas_Odoo!$K:$K=I2885), Facturas_Odoo!$N:$N, 0), 0))</f>
        <v/>
      </c>
      <c r="V2885" s="79">
        <f>IF(Q2885="Sin Factura",0,IFERROR(_xlfn.XLOOKUP(1, (Facturas_Odoo!$D:$D=A2885) * (Facturas_Odoo!$K:$K=I2885), Facturas_Odoo!$O:$O, 0), 0))</f>
        <v/>
      </c>
      <c r="W2885" s="81">
        <f>IF(Q2885="Sin Factura",0,IFERROR(_xlfn.XLOOKUP(1, (Facturas_Odoo!$D:$D=A2885) * (Facturas_Odoo!$K:$K=I2885), Facturas_Odoo!$Q:$Q, 0), 0))</f>
        <v/>
      </c>
      <c r="X2885" s="79">
        <f>IF(OR(Q2885="Sin Factura",Q2885=""),"",IFERROR(INDEX(Pagos_Odoo!$B:$B, MATCH(Q2885, Pagos_Odoo!$I:$I, 0)), "Sin Pago"))</f>
        <v/>
      </c>
      <c r="Y2885" s="79">
        <f>IF(X2885="Sin Pago","",IFERROR(INDEX(Pagos_Odoo!$C:$C, MATCH(X2885, Pagos_Odoo!$B:$B, 0)), ""))</f>
        <v/>
      </c>
      <c r="Z2885" s="80">
        <f>IF(X2885="Sin Pago","",IFERROR(INDEX(Pagos_Odoo!$A:$A, MATCH(X2885, Pagos_Odoo!$B:$B, 0)), ""))</f>
        <v/>
      </c>
      <c r="AA2885" s="79">
        <f>IF(X2885="Sin Pago","",IFERROR(INDEX(Pagos_Odoo!$F:$F, MATCH(X2885, Pagos_Odoo!$B:$B, 0)), ""))</f>
        <v/>
      </c>
      <c r="AB2885" s="81">
        <f>IF(X2885="Sin Pago",0,IFERROR(INDEX(Pagos_Odoo!$E:$E, MATCH(X2885, Pagos_Odoo!$B:$B, 0)), 0))</f>
        <v/>
      </c>
      <c r="AC2885" s="79">
        <f>IF(X2885="Sin Pago","",IFERROR(INDEX(Pagos_Odoo!$G:$G, MATCH(X2885, Pagos_Odoo!$B:$B, 0)), ""))</f>
        <v/>
      </c>
      <c r="AD2885" s="82" t="n">
        <v>0</v>
      </c>
      <c r="AE2885" s="82" t="n"/>
      <c r="AF2885" s="82" t="n"/>
      <c r="AG2885" s="82">
        <f>IF(AN2885="","",AD2885+AE2885+AF2885)</f>
        <v/>
      </c>
      <c r="AH2885" s="81">
        <f>IF(AN2885="","",P2885*(1-AG2885))</f>
        <v/>
      </c>
      <c r="AI2885" s="81">
        <f>IF(AN2885="","",IF(Q2885="Sin Factura",0,IFERROR(INDEX(Facturas_Odoo!$H:$H, MATCH(Q2885, Facturas_Odoo!$B:$B, 0)), 0)*(1-AG2885)))</f>
        <v/>
      </c>
      <c r="AJ2885" s="81">
        <f>IF(AN2885="","",_xlfn.LET(idVenta, AN2885&amp;"",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85" s="81">
        <f>IF(AN2885="","",AH2885-AJ2885)</f>
        <v/>
      </c>
      <c r="AL2885" s="81">
        <f>IF(AN2885="","",IF(Q2885="Sin Factura","",AI2885-AJ2885))</f>
        <v/>
      </c>
      <c r="AM2885" s="81">
        <f>IF(AN2885="","",IF(Q2885="Sin Factura",0,P2885-IFERROR(INDEX(Facturas_Odoo!$H:$H, MATCH(Q2885, Facturas_Odoo!$B:$B, 0)), 0)))</f>
        <v/>
      </c>
      <c r="AN2885" s="79">
        <f>IF(AND(A2885="", J2885=""), "", IF(A2885&lt;&gt;"", VALUE(MID(A2885,2,LEN(A2885))), AN2884))</f>
        <v/>
      </c>
      <c r="AO2885" s="79">
        <f>IF(AN2885="","",IF(AD2885=0,"OK",_xlfn.LET(monedaPago, IF(AA2885="","USD",AA2885), limitePermitido, IFERROR(VLOOKUP(monedaPago, Configuración!$A$2:$B$3, 2, FALSE), 0.15), IF(AD2885&gt;limitePermitido, "ALERTA: EXCESO (" &amp; TEXT(limitePermitido, "0%") &amp; " máx)", "OK"))))</f>
        <v/>
      </c>
      <c r="AP2885" s="79">
        <f>IF(AN2885="","",IF(AE2885=0,"OK",_xlfn.LET(fechaPago, Z2885, fechaFactura, R2885, diasCredito, IF(E2885="Pago inmediato", 0, IFERROR(VALUE(MID(E2885, 1, SEARCH(" ", E2885)-1)),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85" s="79">
        <f>IF(AN2885="","",IF(AND(N2885&gt;0, AG2885&gt;0), IF(Configuración!$K$2="NO", "ALERTA: DESCUENTO DOBLE NO PERMITIDO", "OK"), "OK"))</f>
        <v/>
      </c>
      <c r="AR2885" s="79">
        <f>IF(AN2885="","",IF(OR(AO2885&lt;&gt;"OK", AP2885&lt;&gt;"OK", AQ2885&lt;&gt;"OK"), "⚠️ REVISAR", "OK"))</f>
        <v/>
      </c>
    </row>
    <row r="2886">
      <c r="A2886" s="79">
        <f>IF('Ordenes_Odoo'!A2886="","",'Ordenes_Odoo'!A2886)</f>
        <v/>
      </c>
      <c r="B2886" s="80">
        <f>IF('Ordenes_Odoo'!B2886="","",'Ordenes_Odoo'!B2886)</f>
        <v/>
      </c>
      <c r="C2886" s="79">
        <f>IF('Ordenes_Odoo'!C2886="","",'Ordenes_Odoo'!C2886)</f>
        <v/>
      </c>
      <c r="D2886" s="79">
        <f>IF('Ordenes_Odoo'!D2886="","",'Ordenes_Odoo'!D2886)</f>
        <v/>
      </c>
      <c r="E2886" s="79">
        <f>IF('Ordenes_Odoo'!E2886="","",'Ordenes_Odoo'!E2886)</f>
        <v/>
      </c>
      <c r="F2886" s="79">
        <f>IF('Ordenes_Odoo'!F2886="","",'Ordenes_Odoo'!F2886)</f>
        <v/>
      </c>
      <c r="G2886" s="79">
        <f>IF('Ordenes_Odoo'!G2886="","",'Ordenes_Odoo'!G2886)</f>
        <v/>
      </c>
      <c r="H2886" s="79">
        <f>IF('Ordenes_Odoo'!H2886="","",'Ordenes_Odoo'!H2886)</f>
        <v/>
      </c>
      <c r="I2886" s="79">
        <f>IF('Ordenes_Odoo'!I2886="","",'Ordenes_Odoo'!I2886)</f>
        <v/>
      </c>
      <c r="J2886" s="79">
        <f>IF('Ordenes_Odoo'!J2886="","",'Ordenes_Odoo'!J2886)</f>
        <v/>
      </c>
      <c r="K2886" s="81">
        <f>IF('Ordenes_Odoo'!K2886="","",'Ordenes_Odoo'!K2886)</f>
        <v/>
      </c>
      <c r="L2886" s="81">
        <f>IF('Ordenes_Odoo'!L2886="","",'Ordenes_Odoo'!L2886)</f>
        <v/>
      </c>
      <c r="M2886" s="79">
        <f>IF('Ordenes_Odoo'!M2886="","",'Ordenes_Odoo'!M2886)</f>
        <v/>
      </c>
      <c r="N2886" s="79">
        <f>IF('Ordenes_Odoo'!N2886="","",'Ordenes_Odoo'!N2886)</f>
        <v/>
      </c>
      <c r="O2886" s="81">
        <f>IF('Ordenes_Odoo'!O2886="","",'Ordenes_Odoo'!O2886)</f>
        <v/>
      </c>
      <c r="P2886" s="81">
        <f>IF('Ordenes_Odoo'!P2886="","",'Ordenes_Odoo'!P2886)</f>
        <v/>
      </c>
      <c r="Q2886" s="79">
        <f>IF(A2886="","",IFERROR(INDEX(Facturas_Odoo!$B:$B, MATCH(A2886, Facturas_Odoo!$D:$D, 0)), "Sin Factura"))</f>
        <v/>
      </c>
      <c r="R2886" s="80">
        <f>IF(Q2886="Sin Factura","",IFERROR(INDEX(Facturas_Odoo!$A:$A, MATCH(Q2886, Facturas_Odoo!$B:$B, 0)), ""))</f>
        <v/>
      </c>
      <c r="S2886" s="79">
        <f>IF(Q2886="Sin Factura","",IFERROR(_xlfn.XLOOKUP(1, (Facturas_Odoo!$D:$D=A2886) * (Facturas_Odoo!$K:$K=I2886), Facturas_Odoo!$L:$L, ""), ""))</f>
        <v/>
      </c>
      <c r="T2886" s="81">
        <f>IF(Q2886="Sin Factura",0,IFERROR(_xlfn.XLOOKUP(1, (Facturas_Odoo!$D:$D=A2886) * (Facturas_Odoo!$K:$K=I2886), Facturas_Odoo!$M:$M, 0), 0))</f>
        <v/>
      </c>
      <c r="U2886" s="79">
        <f>IF(Q2886="Sin Factura",0,IFERROR(_xlfn.XLOOKUP(1, (Facturas_Odoo!$D:$D=A2886) * (Facturas_Odoo!$K:$K=I2886), Facturas_Odoo!$N:$N, 0), 0))</f>
        <v/>
      </c>
      <c r="V2886" s="79">
        <f>IF(Q2886="Sin Factura",0,IFERROR(_xlfn.XLOOKUP(1, (Facturas_Odoo!$D:$D=A2886) * (Facturas_Odoo!$K:$K=I2886), Facturas_Odoo!$O:$O, 0), 0))</f>
        <v/>
      </c>
      <c r="W2886" s="81">
        <f>IF(Q2886="Sin Factura",0,IFERROR(_xlfn.XLOOKUP(1, (Facturas_Odoo!$D:$D=A2886) * (Facturas_Odoo!$K:$K=I2886), Facturas_Odoo!$Q:$Q, 0), 0))</f>
        <v/>
      </c>
      <c r="X2886" s="79">
        <f>IF(OR(Q2886="Sin Factura",Q2886=""),"",IFERROR(INDEX(Pagos_Odoo!$B:$B, MATCH(Q2886, Pagos_Odoo!$I:$I, 0)), "Sin Pago"))</f>
        <v/>
      </c>
      <c r="Y2886" s="79">
        <f>IF(X2886="Sin Pago","",IFERROR(INDEX(Pagos_Odoo!$C:$C, MATCH(X2886, Pagos_Odoo!$B:$B, 0)), ""))</f>
        <v/>
      </c>
      <c r="Z2886" s="80">
        <f>IF(X2886="Sin Pago","",IFERROR(INDEX(Pagos_Odoo!$A:$A, MATCH(X2886, Pagos_Odoo!$B:$B, 0)), ""))</f>
        <v/>
      </c>
      <c r="AA2886" s="79">
        <f>IF(X2886="Sin Pago","",IFERROR(INDEX(Pagos_Odoo!$F:$F, MATCH(X2886, Pagos_Odoo!$B:$B, 0)), ""))</f>
        <v/>
      </c>
      <c r="AB2886" s="81">
        <f>IF(X2886="Sin Pago",0,IFERROR(INDEX(Pagos_Odoo!$E:$E, MATCH(X2886, Pagos_Odoo!$B:$B, 0)), 0))</f>
        <v/>
      </c>
      <c r="AC2886" s="79">
        <f>IF(X2886="Sin Pago","",IFERROR(INDEX(Pagos_Odoo!$G:$G, MATCH(X2886, Pagos_Odoo!$B:$B, 0)), ""))</f>
        <v/>
      </c>
      <c r="AD2886" s="82" t="n">
        <v>0</v>
      </c>
      <c r="AE2886" s="82" t="n"/>
      <c r="AF2886" s="82" t="n"/>
      <c r="AG2886" s="82">
        <f>IF(AN2886="","",AD2886+AE2886+AF2886)</f>
        <v/>
      </c>
      <c r="AH2886" s="81">
        <f>IF(AN2886="","",P2886*(1-AG2886))</f>
        <v/>
      </c>
      <c r="AI2886" s="81">
        <f>IF(AN2886="","",IF(Q2886="Sin Factura",0,IFERROR(INDEX(Facturas_Odoo!$H:$H, MATCH(Q2886, Facturas_Odoo!$B:$B, 0)), 0)*(1-AG2886)))</f>
        <v/>
      </c>
      <c r="AJ2886" s="81">
        <f>IF(AN2886="","",_xlfn.LET(idVenta, AN2886&amp;"",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86" s="81">
        <f>IF(AN2886="","",AH2886-AJ2886)</f>
        <v/>
      </c>
      <c r="AL2886" s="81">
        <f>IF(AN2886="","",IF(Q2886="Sin Factura","",AI2886-AJ2886))</f>
        <v/>
      </c>
      <c r="AM2886" s="81">
        <f>IF(AN2886="","",IF(Q2886="Sin Factura",0,P2886-IFERROR(INDEX(Facturas_Odoo!$H:$H, MATCH(Q2886, Facturas_Odoo!$B:$B, 0)), 0)))</f>
        <v/>
      </c>
      <c r="AN2886" s="79">
        <f>IF(AND(A2886="", J2886=""), "", IF(A2886&lt;&gt;"", VALUE(MID(A2886,2,LEN(A2886))), AN2885))</f>
        <v/>
      </c>
      <c r="AO2886" s="79">
        <f>IF(AN2886="","",IF(AD2886=0,"OK",_xlfn.LET(monedaPago, IF(AA2886="","USD",AA2886), limitePermitido, IFERROR(VLOOKUP(monedaPago, Configuración!$A$2:$B$3, 2, FALSE), 0.15), IF(AD2886&gt;limitePermitido, "ALERTA: EXCESO (" &amp; TEXT(limitePermitido, "0%") &amp; " máx)", "OK"))))</f>
        <v/>
      </c>
      <c r="AP2886" s="79">
        <f>IF(AN2886="","",IF(AE2886=0,"OK",_xlfn.LET(fechaPago, Z2886, fechaFactura, R2886, diasCredito, IF(E2886="Pago inmediato", 0, IFERROR(VALUE(MID(E2886, 1, SEARCH(" ", E2886)-1)),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86" s="79">
        <f>IF(AN2886="","",IF(AND(N2886&gt;0, AG2886&gt;0), IF(Configuración!$K$2="NO", "ALERTA: DESCUENTO DOBLE NO PERMITIDO", "OK"), "OK"))</f>
        <v/>
      </c>
      <c r="AR2886" s="79">
        <f>IF(AN2886="","",IF(OR(AO2886&lt;&gt;"OK", AP2886&lt;&gt;"OK", AQ2886&lt;&gt;"OK"), "⚠️ REVISAR", "OK"))</f>
        <v/>
      </c>
    </row>
    <row r="2887">
      <c r="A2887" s="79">
        <f>IF('Ordenes_Odoo'!A2887="","",'Ordenes_Odoo'!A2887)</f>
        <v/>
      </c>
      <c r="B2887" s="80">
        <f>IF('Ordenes_Odoo'!B2887="","",'Ordenes_Odoo'!B2887)</f>
        <v/>
      </c>
      <c r="C2887" s="79">
        <f>IF('Ordenes_Odoo'!C2887="","",'Ordenes_Odoo'!C2887)</f>
        <v/>
      </c>
      <c r="D2887" s="79">
        <f>IF('Ordenes_Odoo'!D2887="","",'Ordenes_Odoo'!D2887)</f>
        <v/>
      </c>
      <c r="E2887" s="79">
        <f>IF('Ordenes_Odoo'!E2887="","",'Ordenes_Odoo'!E2887)</f>
        <v/>
      </c>
      <c r="F2887" s="79">
        <f>IF('Ordenes_Odoo'!F2887="","",'Ordenes_Odoo'!F2887)</f>
        <v/>
      </c>
      <c r="G2887" s="79">
        <f>IF('Ordenes_Odoo'!G2887="","",'Ordenes_Odoo'!G2887)</f>
        <v/>
      </c>
      <c r="H2887" s="79">
        <f>IF('Ordenes_Odoo'!H2887="","",'Ordenes_Odoo'!H2887)</f>
        <v/>
      </c>
      <c r="I2887" s="79">
        <f>IF('Ordenes_Odoo'!I2887="","",'Ordenes_Odoo'!I2887)</f>
        <v/>
      </c>
      <c r="J2887" s="79">
        <f>IF('Ordenes_Odoo'!J2887="","",'Ordenes_Odoo'!J2887)</f>
        <v/>
      </c>
      <c r="K2887" s="81">
        <f>IF('Ordenes_Odoo'!K2887="","",'Ordenes_Odoo'!K2887)</f>
        <v/>
      </c>
      <c r="L2887" s="81">
        <f>IF('Ordenes_Odoo'!L2887="","",'Ordenes_Odoo'!L2887)</f>
        <v/>
      </c>
      <c r="M2887" s="79">
        <f>IF('Ordenes_Odoo'!M2887="","",'Ordenes_Odoo'!M2887)</f>
        <v/>
      </c>
      <c r="N2887" s="79">
        <f>IF('Ordenes_Odoo'!N2887="","",'Ordenes_Odoo'!N2887)</f>
        <v/>
      </c>
      <c r="O2887" s="81">
        <f>IF('Ordenes_Odoo'!O2887="","",'Ordenes_Odoo'!O2887)</f>
        <v/>
      </c>
      <c r="P2887" s="81">
        <f>IF('Ordenes_Odoo'!P2887="","",'Ordenes_Odoo'!P2887)</f>
        <v/>
      </c>
      <c r="Q2887" s="79">
        <f>IF(A2887="","",IFERROR(INDEX(Facturas_Odoo!$B:$B, MATCH(A2887, Facturas_Odoo!$D:$D, 0)), "Sin Factura"))</f>
        <v/>
      </c>
      <c r="R2887" s="80">
        <f>IF(Q2887="Sin Factura","",IFERROR(INDEX(Facturas_Odoo!$A:$A, MATCH(Q2887, Facturas_Odoo!$B:$B, 0)), ""))</f>
        <v/>
      </c>
      <c r="S2887" s="79">
        <f>IF(Q2887="Sin Factura","",IFERROR(_xlfn.XLOOKUP(1, (Facturas_Odoo!$D:$D=A2887) * (Facturas_Odoo!$K:$K=I2887), Facturas_Odoo!$L:$L, ""), ""))</f>
        <v/>
      </c>
      <c r="T2887" s="81">
        <f>IF(Q2887="Sin Factura",0,IFERROR(_xlfn.XLOOKUP(1, (Facturas_Odoo!$D:$D=A2887) * (Facturas_Odoo!$K:$K=I2887), Facturas_Odoo!$M:$M, 0), 0))</f>
        <v/>
      </c>
      <c r="U2887" s="79">
        <f>IF(Q2887="Sin Factura",0,IFERROR(_xlfn.XLOOKUP(1, (Facturas_Odoo!$D:$D=A2887) * (Facturas_Odoo!$K:$K=I2887), Facturas_Odoo!$N:$N, 0), 0))</f>
        <v/>
      </c>
      <c r="V2887" s="79">
        <f>IF(Q2887="Sin Factura",0,IFERROR(_xlfn.XLOOKUP(1, (Facturas_Odoo!$D:$D=A2887) * (Facturas_Odoo!$K:$K=I2887), Facturas_Odoo!$O:$O, 0), 0))</f>
        <v/>
      </c>
      <c r="W2887" s="81">
        <f>IF(Q2887="Sin Factura",0,IFERROR(_xlfn.XLOOKUP(1, (Facturas_Odoo!$D:$D=A2887) * (Facturas_Odoo!$K:$K=I2887), Facturas_Odoo!$Q:$Q, 0), 0))</f>
        <v/>
      </c>
      <c r="X2887" s="79">
        <f>IF(OR(Q2887="Sin Factura",Q2887=""),"",IFERROR(INDEX(Pagos_Odoo!$B:$B, MATCH(Q2887, Pagos_Odoo!$I:$I, 0)), "Sin Pago"))</f>
        <v/>
      </c>
      <c r="Y2887" s="79">
        <f>IF(X2887="Sin Pago","",IFERROR(INDEX(Pagos_Odoo!$C:$C, MATCH(X2887, Pagos_Odoo!$B:$B, 0)), ""))</f>
        <v/>
      </c>
      <c r="Z2887" s="80">
        <f>IF(X2887="Sin Pago","",IFERROR(INDEX(Pagos_Odoo!$A:$A, MATCH(X2887, Pagos_Odoo!$B:$B, 0)), ""))</f>
        <v/>
      </c>
      <c r="AA2887" s="79">
        <f>IF(X2887="Sin Pago","",IFERROR(INDEX(Pagos_Odoo!$F:$F, MATCH(X2887, Pagos_Odoo!$B:$B, 0)), ""))</f>
        <v/>
      </c>
      <c r="AB2887" s="81">
        <f>IF(X2887="Sin Pago",0,IFERROR(INDEX(Pagos_Odoo!$E:$E, MATCH(X2887, Pagos_Odoo!$B:$B, 0)), 0))</f>
        <v/>
      </c>
      <c r="AC2887" s="79">
        <f>IF(X2887="Sin Pago","",IFERROR(INDEX(Pagos_Odoo!$G:$G, MATCH(X2887, Pagos_Odoo!$B:$B, 0)), ""))</f>
        <v/>
      </c>
      <c r="AD2887" s="82" t="n">
        <v>0</v>
      </c>
      <c r="AE2887" s="82" t="n"/>
      <c r="AF2887" s="82" t="n"/>
      <c r="AG2887" s="82">
        <f>IF(AN2887="","",AD2887+AE2887+AF2887)</f>
        <v/>
      </c>
      <c r="AH2887" s="81">
        <f>IF(AN2887="","",P2887*(1-AG2887))</f>
        <v/>
      </c>
      <c r="AI2887" s="81">
        <f>IF(AN2887="","",IF(Q2887="Sin Factura",0,IFERROR(INDEX(Facturas_Odoo!$H:$H, MATCH(Q2887, Facturas_Odoo!$B:$B, 0)), 0)*(1-AG2887)))</f>
        <v/>
      </c>
      <c r="AJ2887" s="81">
        <f>IF(AN2887="","",_xlfn.LET(idVenta, AN2887&amp;"",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87" s="81">
        <f>IF(AN2887="","",AH2887-AJ2887)</f>
        <v/>
      </c>
      <c r="AL2887" s="81">
        <f>IF(AN2887="","",IF(Q2887="Sin Factura","",AI2887-AJ2887))</f>
        <v/>
      </c>
      <c r="AM2887" s="81">
        <f>IF(AN2887="","",IF(Q2887="Sin Factura",0,P2887-IFERROR(INDEX(Facturas_Odoo!$H:$H, MATCH(Q2887, Facturas_Odoo!$B:$B, 0)), 0)))</f>
        <v/>
      </c>
      <c r="AN2887" s="79">
        <f>IF(AND(A2887="", J2887=""), "", IF(A2887&lt;&gt;"", VALUE(MID(A2887,2,LEN(A2887))), AN2886))</f>
        <v/>
      </c>
      <c r="AO2887" s="79">
        <f>IF(AN2887="","",IF(AD2887=0,"OK",_xlfn.LET(monedaPago, IF(AA2887="","USD",AA2887), limitePermitido, IFERROR(VLOOKUP(monedaPago, Configuración!$A$2:$B$3, 2, FALSE), 0.15), IF(AD2887&gt;limitePermitido, "ALERTA: EXCESO (" &amp; TEXT(limitePermitido, "0%") &amp; " máx)", "OK"))))</f>
        <v/>
      </c>
      <c r="AP2887" s="79">
        <f>IF(AN2887="","",IF(AE2887=0,"OK",_xlfn.LET(fechaPago, Z2887, fechaFactura, R2887, diasCredito, IF(E2887="Pago inmediato", 0, IFERROR(VALUE(MID(E2887, 1, SEARCH(" ", E2887)-1)),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87" s="79">
        <f>IF(AN2887="","",IF(AND(N2887&gt;0, AG2887&gt;0), IF(Configuración!$K$2="NO", "ALERTA: DESCUENTO DOBLE NO PERMITIDO", "OK"), "OK"))</f>
        <v/>
      </c>
      <c r="AR2887" s="79">
        <f>IF(AN2887="","",IF(OR(AO2887&lt;&gt;"OK", AP2887&lt;&gt;"OK", AQ2887&lt;&gt;"OK"), "⚠️ REVISAR", "OK"))</f>
        <v/>
      </c>
    </row>
    <row r="2888">
      <c r="A2888" s="79">
        <f>IF('Ordenes_Odoo'!A2888="","",'Ordenes_Odoo'!A2888)</f>
        <v/>
      </c>
      <c r="B2888" s="80">
        <f>IF('Ordenes_Odoo'!B2888="","",'Ordenes_Odoo'!B2888)</f>
        <v/>
      </c>
      <c r="C2888" s="79">
        <f>IF('Ordenes_Odoo'!C2888="","",'Ordenes_Odoo'!C2888)</f>
        <v/>
      </c>
      <c r="D2888" s="79">
        <f>IF('Ordenes_Odoo'!D2888="","",'Ordenes_Odoo'!D2888)</f>
        <v/>
      </c>
      <c r="E2888" s="79">
        <f>IF('Ordenes_Odoo'!E2888="","",'Ordenes_Odoo'!E2888)</f>
        <v/>
      </c>
      <c r="F2888" s="79">
        <f>IF('Ordenes_Odoo'!F2888="","",'Ordenes_Odoo'!F2888)</f>
        <v/>
      </c>
      <c r="G2888" s="79">
        <f>IF('Ordenes_Odoo'!G2888="","",'Ordenes_Odoo'!G2888)</f>
        <v/>
      </c>
      <c r="H2888" s="79">
        <f>IF('Ordenes_Odoo'!H2888="","",'Ordenes_Odoo'!H2888)</f>
        <v/>
      </c>
      <c r="I2888" s="79">
        <f>IF('Ordenes_Odoo'!I2888="","",'Ordenes_Odoo'!I2888)</f>
        <v/>
      </c>
      <c r="J2888" s="79">
        <f>IF('Ordenes_Odoo'!J2888="","",'Ordenes_Odoo'!J2888)</f>
        <v/>
      </c>
      <c r="K2888" s="81">
        <f>IF('Ordenes_Odoo'!K2888="","",'Ordenes_Odoo'!K2888)</f>
        <v/>
      </c>
      <c r="L2888" s="81">
        <f>IF('Ordenes_Odoo'!L2888="","",'Ordenes_Odoo'!L2888)</f>
        <v/>
      </c>
      <c r="M2888" s="79">
        <f>IF('Ordenes_Odoo'!M2888="","",'Ordenes_Odoo'!M2888)</f>
        <v/>
      </c>
      <c r="N2888" s="79">
        <f>IF('Ordenes_Odoo'!N2888="","",'Ordenes_Odoo'!N2888)</f>
        <v/>
      </c>
      <c r="O2888" s="81">
        <f>IF('Ordenes_Odoo'!O2888="","",'Ordenes_Odoo'!O2888)</f>
        <v/>
      </c>
      <c r="P2888" s="81">
        <f>IF('Ordenes_Odoo'!P2888="","",'Ordenes_Odoo'!P2888)</f>
        <v/>
      </c>
      <c r="Q2888" s="79">
        <f>IF(A2888="","",IFERROR(INDEX(Facturas_Odoo!$B:$B, MATCH(A2888, Facturas_Odoo!$D:$D, 0)), "Sin Factura"))</f>
        <v/>
      </c>
      <c r="R2888" s="80">
        <f>IF(Q2888="Sin Factura","",IFERROR(INDEX(Facturas_Odoo!$A:$A, MATCH(Q2888, Facturas_Odoo!$B:$B, 0)), ""))</f>
        <v/>
      </c>
      <c r="S2888" s="79">
        <f>IF(Q2888="Sin Factura","",IFERROR(_xlfn.XLOOKUP(1, (Facturas_Odoo!$D:$D=A2888) * (Facturas_Odoo!$K:$K=I2888), Facturas_Odoo!$L:$L, ""), ""))</f>
        <v/>
      </c>
      <c r="T2888" s="81">
        <f>IF(Q2888="Sin Factura",0,IFERROR(_xlfn.XLOOKUP(1, (Facturas_Odoo!$D:$D=A2888) * (Facturas_Odoo!$K:$K=I2888), Facturas_Odoo!$M:$M, 0), 0))</f>
        <v/>
      </c>
      <c r="U2888" s="79">
        <f>IF(Q2888="Sin Factura",0,IFERROR(_xlfn.XLOOKUP(1, (Facturas_Odoo!$D:$D=A2888) * (Facturas_Odoo!$K:$K=I2888), Facturas_Odoo!$N:$N, 0), 0))</f>
        <v/>
      </c>
      <c r="V2888" s="79">
        <f>IF(Q2888="Sin Factura",0,IFERROR(_xlfn.XLOOKUP(1, (Facturas_Odoo!$D:$D=A2888) * (Facturas_Odoo!$K:$K=I2888), Facturas_Odoo!$O:$O, 0), 0))</f>
        <v/>
      </c>
      <c r="W2888" s="81">
        <f>IF(Q2888="Sin Factura",0,IFERROR(_xlfn.XLOOKUP(1, (Facturas_Odoo!$D:$D=A2888) * (Facturas_Odoo!$K:$K=I2888), Facturas_Odoo!$Q:$Q, 0), 0))</f>
        <v/>
      </c>
      <c r="X2888" s="79">
        <f>IF(OR(Q2888="Sin Factura",Q2888=""),"",IFERROR(INDEX(Pagos_Odoo!$B:$B, MATCH(Q2888, Pagos_Odoo!$I:$I, 0)), "Sin Pago"))</f>
        <v/>
      </c>
      <c r="Y2888" s="79">
        <f>IF(X2888="Sin Pago","",IFERROR(INDEX(Pagos_Odoo!$C:$C, MATCH(X2888, Pagos_Odoo!$B:$B, 0)), ""))</f>
        <v/>
      </c>
      <c r="Z2888" s="80">
        <f>IF(X2888="Sin Pago","",IFERROR(INDEX(Pagos_Odoo!$A:$A, MATCH(X2888, Pagos_Odoo!$B:$B, 0)), ""))</f>
        <v/>
      </c>
      <c r="AA2888" s="79">
        <f>IF(X2888="Sin Pago","",IFERROR(INDEX(Pagos_Odoo!$F:$F, MATCH(X2888, Pagos_Odoo!$B:$B, 0)), ""))</f>
        <v/>
      </c>
      <c r="AB2888" s="81">
        <f>IF(X2888="Sin Pago",0,IFERROR(INDEX(Pagos_Odoo!$E:$E, MATCH(X2888, Pagos_Odoo!$B:$B, 0)), 0))</f>
        <v/>
      </c>
      <c r="AC2888" s="79">
        <f>IF(X2888="Sin Pago","",IFERROR(INDEX(Pagos_Odoo!$G:$G, MATCH(X2888, Pagos_Odoo!$B:$B, 0)), ""))</f>
        <v/>
      </c>
      <c r="AD2888" s="82" t="n">
        <v>0</v>
      </c>
      <c r="AE2888" s="82" t="n"/>
      <c r="AF2888" s="82" t="n"/>
      <c r="AG2888" s="82">
        <f>IF(AN2888="","",AD2888+AE2888+AF2888)</f>
        <v/>
      </c>
      <c r="AH2888" s="81">
        <f>IF(AN2888="","",P2888*(1-AG2888))</f>
        <v/>
      </c>
      <c r="AI2888" s="81">
        <f>IF(AN2888="","",IF(Q2888="Sin Factura",0,IFERROR(INDEX(Facturas_Odoo!$H:$H, MATCH(Q2888, Facturas_Odoo!$B:$B, 0)), 0)*(1-AG2888)))</f>
        <v/>
      </c>
      <c r="AJ2888" s="81">
        <f>IF(AN2888="","",_xlfn.LET(idVenta, AN2888&amp;"",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88" s="81">
        <f>IF(AN2888="","",AH2888-AJ2888)</f>
        <v/>
      </c>
      <c r="AL2888" s="81">
        <f>IF(AN2888="","",IF(Q2888="Sin Factura","",AI2888-AJ2888))</f>
        <v/>
      </c>
      <c r="AM2888" s="81">
        <f>IF(AN2888="","",IF(Q2888="Sin Factura",0,P2888-IFERROR(INDEX(Facturas_Odoo!$H:$H, MATCH(Q2888, Facturas_Odoo!$B:$B, 0)), 0)))</f>
        <v/>
      </c>
      <c r="AN2888" s="79">
        <f>IF(AND(A2888="", J2888=""), "", IF(A2888&lt;&gt;"", VALUE(MID(A2888,2,LEN(A2888))), AN2887))</f>
        <v/>
      </c>
      <c r="AO2888" s="79">
        <f>IF(AN2888="","",IF(AD2888=0,"OK",_xlfn.LET(monedaPago, IF(AA2888="","USD",AA2888), limitePermitido, IFERROR(VLOOKUP(monedaPago, Configuración!$A$2:$B$3, 2, FALSE), 0.15), IF(AD2888&gt;limitePermitido, "ALERTA: EXCESO (" &amp; TEXT(limitePermitido, "0%") &amp; " máx)", "OK"))))</f>
        <v/>
      </c>
      <c r="AP2888" s="79">
        <f>IF(AN2888="","",IF(AE2888=0,"OK",_xlfn.LET(fechaPago, Z2888, fechaFactura, R2888, diasCredito, IF(E2888="Pago inmediato", 0, IFERROR(VALUE(MID(E2888, 1, SEARCH(" ", E2888)-1)),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88" s="79">
        <f>IF(AN2888="","",IF(AND(N2888&gt;0, AG2888&gt;0), IF(Configuración!$K$2="NO", "ALERTA: DESCUENTO DOBLE NO PERMITIDO", "OK"), "OK"))</f>
        <v/>
      </c>
      <c r="AR2888" s="79">
        <f>IF(AN2888="","",IF(OR(AO2888&lt;&gt;"OK", AP2888&lt;&gt;"OK", AQ2888&lt;&gt;"OK"), "⚠️ REVISAR", "OK"))</f>
        <v/>
      </c>
    </row>
    <row r="2889">
      <c r="A2889" s="79">
        <f>IF('Ordenes_Odoo'!A2889="","",'Ordenes_Odoo'!A2889)</f>
        <v/>
      </c>
      <c r="B2889" s="80">
        <f>IF('Ordenes_Odoo'!B2889="","",'Ordenes_Odoo'!B2889)</f>
        <v/>
      </c>
      <c r="C2889" s="79">
        <f>IF('Ordenes_Odoo'!C2889="","",'Ordenes_Odoo'!C2889)</f>
        <v/>
      </c>
      <c r="D2889" s="79">
        <f>IF('Ordenes_Odoo'!D2889="","",'Ordenes_Odoo'!D2889)</f>
        <v/>
      </c>
      <c r="E2889" s="79">
        <f>IF('Ordenes_Odoo'!E2889="","",'Ordenes_Odoo'!E2889)</f>
        <v/>
      </c>
      <c r="F2889" s="79">
        <f>IF('Ordenes_Odoo'!F2889="","",'Ordenes_Odoo'!F2889)</f>
        <v/>
      </c>
      <c r="G2889" s="79">
        <f>IF('Ordenes_Odoo'!G2889="","",'Ordenes_Odoo'!G2889)</f>
        <v/>
      </c>
      <c r="H2889" s="79">
        <f>IF('Ordenes_Odoo'!H2889="","",'Ordenes_Odoo'!H2889)</f>
        <v/>
      </c>
      <c r="I2889" s="79">
        <f>IF('Ordenes_Odoo'!I2889="","",'Ordenes_Odoo'!I2889)</f>
        <v/>
      </c>
      <c r="J2889" s="79">
        <f>IF('Ordenes_Odoo'!J2889="","",'Ordenes_Odoo'!J2889)</f>
        <v/>
      </c>
      <c r="K2889" s="81">
        <f>IF('Ordenes_Odoo'!K2889="","",'Ordenes_Odoo'!K2889)</f>
        <v/>
      </c>
      <c r="L2889" s="81">
        <f>IF('Ordenes_Odoo'!L2889="","",'Ordenes_Odoo'!L2889)</f>
        <v/>
      </c>
      <c r="M2889" s="79">
        <f>IF('Ordenes_Odoo'!M2889="","",'Ordenes_Odoo'!M2889)</f>
        <v/>
      </c>
      <c r="N2889" s="79">
        <f>IF('Ordenes_Odoo'!N2889="","",'Ordenes_Odoo'!N2889)</f>
        <v/>
      </c>
      <c r="O2889" s="81">
        <f>IF('Ordenes_Odoo'!O2889="","",'Ordenes_Odoo'!O2889)</f>
        <v/>
      </c>
      <c r="P2889" s="81">
        <f>IF('Ordenes_Odoo'!P2889="","",'Ordenes_Odoo'!P2889)</f>
        <v/>
      </c>
      <c r="Q2889" s="79">
        <f>IF(A2889="","",IFERROR(INDEX(Facturas_Odoo!$B:$B, MATCH(A2889, Facturas_Odoo!$D:$D, 0)), "Sin Factura"))</f>
        <v/>
      </c>
      <c r="R2889" s="80">
        <f>IF(Q2889="Sin Factura","",IFERROR(INDEX(Facturas_Odoo!$A:$A, MATCH(Q2889, Facturas_Odoo!$B:$B, 0)), ""))</f>
        <v/>
      </c>
      <c r="S2889" s="79">
        <f>IF(Q2889="Sin Factura","",IFERROR(_xlfn.XLOOKUP(1, (Facturas_Odoo!$D:$D=A2889) * (Facturas_Odoo!$K:$K=I2889), Facturas_Odoo!$L:$L, ""), ""))</f>
        <v/>
      </c>
      <c r="T2889" s="81">
        <f>IF(Q2889="Sin Factura",0,IFERROR(_xlfn.XLOOKUP(1, (Facturas_Odoo!$D:$D=A2889) * (Facturas_Odoo!$K:$K=I2889), Facturas_Odoo!$M:$M, 0), 0))</f>
        <v/>
      </c>
      <c r="U2889" s="79">
        <f>IF(Q2889="Sin Factura",0,IFERROR(_xlfn.XLOOKUP(1, (Facturas_Odoo!$D:$D=A2889) * (Facturas_Odoo!$K:$K=I2889), Facturas_Odoo!$N:$N, 0), 0))</f>
        <v/>
      </c>
      <c r="V2889" s="79">
        <f>IF(Q2889="Sin Factura",0,IFERROR(_xlfn.XLOOKUP(1, (Facturas_Odoo!$D:$D=A2889) * (Facturas_Odoo!$K:$K=I2889), Facturas_Odoo!$O:$O, 0), 0))</f>
        <v/>
      </c>
      <c r="W2889" s="81">
        <f>IF(Q2889="Sin Factura",0,IFERROR(_xlfn.XLOOKUP(1, (Facturas_Odoo!$D:$D=A2889) * (Facturas_Odoo!$K:$K=I2889), Facturas_Odoo!$Q:$Q, 0), 0))</f>
        <v/>
      </c>
      <c r="X2889" s="79">
        <f>IF(OR(Q2889="Sin Factura",Q2889=""),"",IFERROR(INDEX(Pagos_Odoo!$B:$B, MATCH(Q2889, Pagos_Odoo!$I:$I, 0)), "Sin Pago"))</f>
        <v/>
      </c>
      <c r="Y2889" s="79">
        <f>IF(X2889="Sin Pago","",IFERROR(INDEX(Pagos_Odoo!$C:$C, MATCH(X2889, Pagos_Odoo!$B:$B, 0)), ""))</f>
        <v/>
      </c>
      <c r="Z2889" s="80">
        <f>IF(X2889="Sin Pago","",IFERROR(INDEX(Pagos_Odoo!$A:$A, MATCH(X2889, Pagos_Odoo!$B:$B, 0)), ""))</f>
        <v/>
      </c>
      <c r="AA2889" s="79">
        <f>IF(X2889="Sin Pago","",IFERROR(INDEX(Pagos_Odoo!$F:$F, MATCH(X2889, Pagos_Odoo!$B:$B, 0)), ""))</f>
        <v/>
      </c>
      <c r="AB2889" s="81">
        <f>IF(X2889="Sin Pago",0,IFERROR(INDEX(Pagos_Odoo!$E:$E, MATCH(X2889, Pagos_Odoo!$B:$B, 0)), 0))</f>
        <v/>
      </c>
      <c r="AC2889" s="79">
        <f>IF(X2889="Sin Pago","",IFERROR(INDEX(Pagos_Odoo!$G:$G, MATCH(X2889, Pagos_Odoo!$B:$B, 0)), ""))</f>
        <v/>
      </c>
      <c r="AD2889" s="82" t="n">
        <v>0</v>
      </c>
      <c r="AE2889" s="82" t="n"/>
      <c r="AF2889" s="82" t="n"/>
      <c r="AG2889" s="82">
        <f>IF(AN2889="","",AD2889+AE2889+AF2889)</f>
        <v/>
      </c>
      <c r="AH2889" s="81">
        <f>IF(AN2889="","",P2889*(1-AG2889))</f>
        <v/>
      </c>
      <c r="AI2889" s="81">
        <f>IF(AN2889="","",IF(Q2889="Sin Factura",0,IFERROR(INDEX(Facturas_Odoo!$H:$H, MATCH(Q2889, Facturas_Odoo!$B:$B, 0)), 0)*(1-AG2889)))</f>
        <v/>
      </c>
      <c r="AJ2889" s="81">
        <f>IF(AN2889="","",_xlfn.LET(idVenta, AN2889&amp;"",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89" s="81">
        <f>IF(AN2889="","",AH2889-AJ2889)</f>
        <v/>
      </c>
      <c r="AL2889" s="81">
        <f>IF(AN2889="","",IF(Q2889="Sin Factura","",AI2889-AJ2889))</f>
        <v/>
      </c>
      <c r="AM2889" s="81">
        <f>IF(AN2889="","",IF(Q2889="Sin Factura",0,P2889-IFERROR(INDEX(Facturas_Odoo!$H:$H, MATCH(Q2889, Facturas_Odoo!$B:$B, 0)), 0)))</f>
        <v/>
      </c>
      <c r="AN2889" s="79">
        <f>IF(AND(A2889="", J2889=""), "", IF(A2889&lt;&gt;"", VALUE(MID(A2889,2,LEN(A2889))), AN2888))</f>
        <v/>
      </c>
      <c r="AO2889" s="79">
        <f>IF(AN2889="","",IF(AD2889=0,"OK",_xlfn.LET(monedaPago, IF(AA2889="","USD",AA2889), limitePermitido, IFERROR(VLOOKUP(monedaPago, Configuración!$A$2:$B$3, 2, FALSE), 0.15), IF(AD2889&gt;limitePermitido, "ALERTA: EXCESO (" &amp; TEXT(limitePermitido, "0%") &amp; " máx)", "OK"))))</f>
        <v/>
      </c>
      <c r="AP2889" s="79">
        <f>IF(AN2889="","",IF(AE2889=0,"OK",_xlfn.LET(fechaPago, Z2889, fechaFactura, R2889, diasCredito, IF(E2889="Pago inmediato", 0, IFERROR(VALUE(MID(E2889, 1, SEARCH(" ", E2889)-1)),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89" s="79">
        <f>IF(AN2889="","",IF(AND(N2889&gt;0, AG2889&gt;0), IF(Configuración!$K$2="NO", "ALERTA: DESCUENTO DOBLE NO PERMITIDO", "OK"), "OK"))</f>
        <v/>
      </c>
      <c r="AR2889" s="79">
        <f>IF(AN2889="","",IF(OR(AO2889&lt;&gt;"OK", AP2889&lt;&gt;"OK", AQ2889&lt;&gt;"OK"), "⚠️ REVISAR", "OK"))</f>
        <v/>
      </c>
    </row>
    <row r="2890">
      <c r="A2890" s="79">
        <f>IF('Ordenes_Odoo'!A2890="","",'Ordenes_Odoo'!A2890)</f>
        <v/>
      </c>
      <c r="B2890" s="80">
        <f>IF('Ordenes_Odoo'!B2890="","",'Ordenes_Odoo'!B2890)</f>
        <v/>
      </c>
      <c r="C2890" s="79">
        <f>IF('Ordenes_Odoo'!C2890="","",'Ordenes_Odoo'!C2890)</f>
        <v/>
      </c>
      <c r="D2890" s="79">
        <f>IF('Ordenes_Odoo'!D2890="","",'Ordenes_Odoo'!D2890)</f>
        <v/>
      </c>
      <c r="E2890" s="79">
        <f>IF('Ordenes_Odoo'!E2890="","",'Ordenes_Odoo'!E2890)</f>
        <v/>
      </c>
      <c r="F2890" s="79">
        <f>IF('Ordenes_Odoo'!F2890="","",'Ordenes_Odoo'!F2890)</f>
        <v/>
      </c>
      <c r="G2890" s="79">
        <f>IF('Ordenes_Odoo'!G2890="","",'Ordenes_Odoo'!G2890)</f>
        <v/>
      </c>
      <c r="H2890" s="79">
        <f>IF('Ordenes_Odoo'!H2890="","",'Ordenes_Odoo'!H2890)</f>
        <v/>
      </c>
      <c r="I2890" s="79">
        <f>IF('Ordenes_Odoo'!I2890="","",'Ordenes_Odoo'!I2890)</f>
        <v/>
      </c>
      <c r="J2890" s="79">
        <f>IF('Ordenes_Odoo'!J2890="","",'Ordenes_Odoo'!J2890)</f>
        <v/>
      </c>
      <c r="K2890" s="81">
        <f>IF('Ordenes_Odoo'!K2890="","",'Ordenes_Odoo'!K2890)</f>
        <v/>
      </c>
      <c r="L2890" s="81">
        <f>IF('Ordenes_Odoo'!L2890="","",'Ordenes_Odoo'!L2890)</f>
        <v/>
      </c>
      <c r="M2890" s="79">
        <f>IF('Ordenes_Odoo'!M2890="","",'Ordenes_Odoo'!M2890)</f>
        <v/>
      </c>
      <c r="N2890" s="79">
        <f>IF('Ordenes_Odoo'!N2890="","",'Ordenes_Odoo'!N2890)</f>
        <v/>
      </c>
      <c r="O2890" s="81">
        <f>IF('Ordenes_Odoo'!O2890="","",'Ordenes_Odoo'!O2890)</f>
        <v/>
      </c>
      <c r="P2890" s="81">
        <f>IF('Ordenes_Odoo'!P2890="","",'Ordenes_Odoo'!P2890)</f>
        <v/>
      </c>
      <c r="Q2890" s="79">
        <f>IF(A2890="","",IFERROR(INDEX(Facturas_Odoo!$B:$B, MATCH(A2890, Facturas_Odoo!$D:$D, 0)), "Sin Factura"))</f>
        <v/>
      </c>
      <c r="R2890" s="80">
        <f>IF(Q2890="Sin Factura","",IFERROR(INDEX(Facturas_Odoo!$A:$A, MATCH(Q2890, Facturas_Odoo!$B:$B, 0)), ""))</f>
        <v/>
      </c>
      <c r="S2890" s="79">
        <f>IF(Q2890="Sin Factura","",IFERROR(_xlfn.XLOOKUP(1, (Facturas_Odoo!$D:$D=A2890) * (Facturas_Odoo!$K:$K=I2890), Facturas_Odoo!$L:$L, ""), ""))</f>
        <v/>
      </c>
      <c r="T2890" s="81">
        <f>IF(Q2890="Sin Factura",0,IFERROR(_xlfn.XLOOKUP(1, (Facturas_Odoo!$D:$D=A2890) * (Facturas_Odoo!$K:$K=I2890), Facturas_Odoo!$M:$M, 0), 0))</f>
        <v/>
      </c>
      <c r="U2890" s="79">
        <f>IF(Q2890="Sin Factura",0,IFERROR(_xlfn.XLOOKUP(1, (Facturas_Odoo!$D:$D=A2890) * (Facturas_Odoo!$K:$K=I2890), Facturas_Odoo!$N:$N, 0), 0))</f>
        <v/>
      </c>
      <c r="V2890" s="79">
        <f>IF(Q2890="Sin Factura",0,IFERROR(_xlfn.XLOOKUP(1, (Facturas_Odoo!$D:$D=A2890) * (Facturas_Odoo!$K:$K=I2890), Facturas_Odoo!$O:$O, 0), 0))</f>
        <v/>
      </c>
      <c r="W2890" s="81">
        <f>IF(Q2890="Sin Factura",0,IFERROR(_xlfn.XLOOKUP(1, (Facturas_Odoo!$D:$D=A2890) * (Facturas_Odoo!$K:$K=I2890), Facturas_Odoo!$Q:$Q, 0), 0))</f>
        <v/>
      </c>
      <c r="X2890" s="79">
        <f>IF(OR(Q2890="Sin Factura",Q2890=""),"",IFERROR(INDEX(Pagos_Odoo!$B:$B, MATCH(Q2890, Pagos_Odoo!$I:$I, 0)), "Sin Pago"))</f>
        <v/>
      </c>
      <c r="Y2890" s="79">
        <f>IF(X2890="Sin Pago","",IFERROR(INDEX(Pagos_Odoo!$C:$C, MATCH(X2890, Pagos_Odoo!$B:$B, 0)), ""))</f>
        <v/>
      </c>
      <c r="Z2890" s="80">
        <f>IF(X2890="Sin Pago","",IFERROR(INDEX(Pagos_Odoo!$A:$A, MATCH(X2890, Pagos_Odoo!$B:$B, 0)), ""))</f>
        <v/>
      </c>
      <c r="AA2890" s="79">
        <f>IF(X2890="Sin Pago","",IFERROR(INDEX(Pagos_Odoo!$F:$F, MATCH(X2890, Pagos_Odoo!$B:$B, 0)), ""))</f>
        <v/>
      </c>
      <c r="AB2890" s="81">
        <f>IF(X2890="Sin Pago",0,IFERROR(INDEX(Pagos_Odoo!$E:$E, MATCH(X2890, Pagos_Odoo!$B:$B, 0)), 0))</f>
        <v/>
      </c>
      <c r="AC2890" s="79">
        <f>IF(X2890="Sin Pago","",IFERROR(INDEX(Pagos_Odoo!$G:$G, MATCH(X2890, Pagos_Odoo!$B:$B, 0)), ""))</f>
        <v/>
      </c>
      <c r="AD2890" s="82" t="n">
        <v>0</v>
      </c>
      <c r="AE2890" s="82" t="n"/>
      <c r="AF2890" s="82" t="n"/>
      <c r="AG2890" s="82">
        <f>IF(AN2890="","",AD2890+AE2890+AF2890)</f>
        <v/>
      </c>
      <c r="AH2890" s="81">
        <f>IF(AN2890="","",P2890*(1-AG2890))</f>
        <v/>
      </c>
      <c r="AI2890" s="81">
        <f>IF(AN2890="","",IF(Q2890="Sin Factura",0,IFERROR(INDEX(Facturas_Odoo!$H:$H, MATCH(Q2890, Facturas_Odoo!$B:$B, 0)), 0)*(1-AG2890)))</f>
        <v/>
      </c>
      <c r="AJ2890" s="81">
        <f>IF(AN2890="","",_xlfn.LET(idVenta, AN2890&amp;"",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90" s="81">
        <f>IF(AN2890="","",AH2890-AJ2890)</f>
        <v/>
      </c>
      <c r="AL2890" s="81">
        <f>IF(AN2890="","",IF(Q2890="Sin Factura","",AI2890-AJ2890))</f>
        <v/>
      </c>
      <c r="AM2890" s="81">
        <f>IF(AN2890="","",IF(Q2890="Sin Factura",0,P2890-IFERROR(INDEX(Facturas_Odoo!$H:$H, MATCH(Q2890, Facturas_Odoo!$B:$B, 0)), 0)))</f>
        <v/>
      </c>
      <c r="AN2890" s="79">
        <f>IF(AND(A2890="", J2890=""), "", IF(A2890&lt;&gt;"", VALUE(MID(A2890,2,LEN(A2890))), AN2889))</f>
        <v/>
      </c>
      <c r="AO2890" s="79">
        <f>IF(AN2890="","",IF(AD2890=0,"OK",_xlfn.LET(monedaPago, IF(AA2890="","USD",AA2890), limitePermitido, IFERROR(VLOOKUP(monedaPago, Configuración!$A$2:$B$3, 2, FALSE), 0.15), IF(AD2890&gt;limitePermitido, "ALERTA: EXCESO (" &amp; TEXT(limitePermitido, "0%") &amp; " máx)", "OK"))))</f>
        <v/>
      </c>
      <c r="AP2890" s="79">
        <f>IF(AN2890="","",IF(AE2890=0,"OK",_xlfn.LET(fechaPago, Z2890, fechaFactura, R2890, diasCredito, IF(E2890="Pago inmediato", 0, IFERROR(VALUE(MID(E2890, 1, SEARCH(" ", E2890)-1)),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90" s="79">
        <f>IF(AN2890="","",IF(AND(N2890&gt;0, AG2890&gt;0), IF(Configuración!$K$2="NO", "ALERTA: DESCUENTO DOBLE NO PERMITIDO", "OK"), "OK"))</f>
        <v/>
      </c>
      <c r="AR2890" s="79">
        <f>IF(AN2890="","",IF(OR(AO2890&lt;&gt;"OK", AP2890&lt;&gt;"OK", AQ2890&lt;&gt;"OK"), "⚠️ REVISAR", "OK"))</f>
        <v/>
      </c>
    </row>
    <row r="2891">
      <c r="A2891" s="79">
        <f>IF('Ordenes_Odoo'!A2891="","",'Ordenes_Odoo'!A2891)</f>
        <v/>
      </c>
      <c r="B2891" s="80">
        <f>IF('Ordenes_Odoo'!B2891="","",'Ordenes_Odoo'!B2891)</f>
        <v/>
      </c>
      <c r="C2891" s="79">
        <f>IF('Ordenes_Odoo'!C2891="","",'Ordenes_Odoo'!C2891)</f>
        <v/>
      </c>
      <c r="D2891" s="79">
        <f>IF('Ordenes_Odoo'!D2891="","",'Ordenes_Odoo'!D2891)</f>
        <v/>
      </c>
      <c r="E2891" s="79">
        <f>IF('Ordenes_Odoo'!E2891="","",'Ordenes_Odoo'!E2891)</f>
        <v/>
      </c>
      <c r="F2891" s="79">
        <f>IF('Ordenes_Odoo'!F2891="","",'Ordenes_Odoo'!F2891)</f>
        <v/>
      </c>
      <c r="G2891" s="79">
        <f>IF('Ordenes_Odoo'!G2891="","",'Ordenes_Odoo'!G2891)</f>
        <v/>
      </c>
      <c r="H2891" s="79">
        <f>IF('Ordenes_Odoo'!H2891="","",'Ordenes_Odoo'!H2891)</f>
        <v/>
      </c>
      <c r="I2891" s="79">
        <f>IF('Ordenes_Odoo'!I2891="","",'Ordenes_Odoo'!I2891)</f>
        <v/>
      </c>
      <c r="J2891" s="79">
        <f>IF('Ordenes_Odoo'!J2891="","",'Ordenes_Odoo'!J2891)</f>
        <v/>
      </c>
      <c r="K2891" s="81">
        <f>IF('Ordenes_Odoo'!K2891="","",'Ordenes_Odoo'!K2891)</f>
        <v/>
      </c>
      <c r="L2891" s="81">
        <f>IF('Ordenes_Odoo'!L2891="","",'Ordenes_Odoo'!L2891)</f>
        <v/>
      </c>
      <c r="M2891" s="79">
        <f>IF('Ordenes_Odoo'!M2891="","",'Ordenes_Odoo'!M2891)</f>
        <v/>
      </c>
      <c r="N2891" s="79">
        <f>IF('Ordenes_Odoo'!N2891="","",'Ordenes_Odoo'!N2891)</f>
        <v/>
      </c>
      <c r="O2891" s="81">
        <f>IF('Ordenes_Odoo'!O2891="","",'Ordenes_Odoo'!O2891)</f>
        <v/>
      </c>
      <c r="P2891" s="81">
        <f>IF('Ordenes_Odoo'!P2891="","",'Ordenes_Odoo'!P2891)</f>
        <v/>
      </c>
      <c r="Q2891" s="79">
        <f>IF(A2891="","",IFERROR(INDEX(Facturas_Odoo!$B:$B, MATCH(A2891, Facturas_Odoo!$D:$D, 0)), "Sin Factura"))</f>
        <v/>
      </c>
      <c r="R2891" s="80">
        <f>IF(Q2891="Sin Factura","",IFERROR(INDEX(Facturas_Odoo!$A:$A, MATCH(Q2891, Facturas_Odoo!$B:$B, 0)), ""))</f>
        <v/>
      </c>
      <c r="S2891" s="79">
        <f>IF(Q2891="Sin Factura","",IFERROR(_xlfn.XLOOKUP(1, (Facturas_Odoo!$D:$D=A2891) * (Facturas_Odoo!$K:$K=I2891), Facturas_Odoo!$L:$L, ""), ""))</f>
        <v/>
      </c>
      <c r="T2891" s="81">
        <f>IF(Q2891="Sin Factura",0,IFERROR(_xlfn.XLOOKUP(1, (Facturas_Odoo!$D:$D=A2891) * (Facturas_Odoo!$K:$K=I2891), Facturas_Odoo!$M:$M, 0), 0))</f>
        <v/>
      </c>
      <c r="U2891" s="79">
        <f>IF(Q2891="Sin Factura",0,IFERROR(_xlfn.XLOOKUP(1, (Facturas_Odoo!$D:$D=A2891) * (Facturas_Odoo!$K:$K=I2891), Facturas_Odoo!$N:$N, 0), 0))</f>
        <v/>
      </c>
      <c r="V2891" s="79">
        <f>IF(Q2891="Sin Factura",0,IFERROR(_xlfn.XLOOKUP(1, (Facturas_Odoo!$D:$D=A2891) * (Facturas_Odoo!$K:$K=I2891), Facturas_Odoo!$O:$O, 0), 0))</f>
        <v/>
      </c>
      <c r="W2891" s="81">
        <f>IF(Q2891="Sin Factura",0,IFERROR(_xlfn.XLOOKUP(1, (Facturas_Odoo!$D:$D=A2891) * (Facturas_Odoo!$K:$K=I2891), Facturas_Odoo!$Q:$Q, 0), 0))</f>
        <v/>
      </c>
      <c r="X2891" s="79">
        <f>IF(OR(Q2891="Sin Factura",Q2891=""),"",IFERROR(INDEX(Pagos_Odoo!$B:$B, MATCH(Q2891, Pagos_Odoo!$I:$I, 0)), "Sin Pago"))</f>
        <v/>
      </c>
      <c r="Y2891" s="79">
        <f>IF(X2891="Sin Pago","",IFERROR(INDEX(Pagos_Odoo!$C:$C, MATCH(X2891, Pagos_Odoo!$B:$B, 0)), ""))</f>
        <v/>
      </c>
      <c r="Z2891" s="80">
        <f>IF(X2891="Sin Pago","",IFERROR(INDEX(Pagos_Odoo!$A:$A, MATCH(X2891, Pagos_Odoo!$B:$B, 0)), ""))</f>
        <v/>
      </c>
      <c r="AA2891" s="79">
        <f>IF(X2891="Sin Pago","",IFERROR(INDEX(Pagos_Odoo!$F:$F, MATCH(X2891, Pagos_Odoo!$B:$B, 0)), ""))</f>
        <v/>
      </c>
      <c r="AB2891" s="81">
        <f>IF(X2891="Sin Pago",0,IFERROR(INDEX(Pagos_Odoo!$E:$E, MATCH(X2891, Pagos_Odoo!$B:$B, 0)), 0))</f>
        <v/>
      </c>
      <c r="AC2891" s="79">
        <f>IF(X2891="Sin Pago","",IFERROR(INDEX(Pagos_Odoo!$G:$G, MATCH(X2891, Pagos_Odoo!$B:$B, 0)), ""))</f>
        <v/>
      </c>
      <c r="AD2891" s="82" t="n">
        <v>0</v>
      </c>
      <c r="AE2891" s="82" t="n"/>
      <c r="AF2891" s="82" t="n"/>
      <c r="AG2891" s="82">
        <f>IF(AN2891="","",AD2891+AE2891+AF2891)</f>
        <v/>
      </c>
      <c r="AH2891" s="81">
        <f>IF(AN2891="","",P2891*(1-AG2891))</f>
        <v/>
      </c>
      <c r="AI2891" s="81">
        <f>IF(AN2891="","",IF(Q2891="Sin Factura",0,IFERROR(INDEX(Facturas_Odoo!$H:$H, MATCH(Q2891, Facturas_Odoo!$B:$B, 0)), 0)*(1-AG2891)))</f>
        <v/>
      </c>
      <c r="AJ2891" s="81">
        <f>IF(AN2891="","",_xlfn.LET(idVenta, AN2891&amp;"",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91" s="81">
        <f>IF(AN2891="","",AH2891-AJ2891)</f>
        <v/>
      </c>
      <c r="AL2891" s="81">
        <f>IF(AN2891="","",IF(Q2891="Sin Factura","",AI2891-AJ2891))</f>
        <v/>
      </c>
      <c r="AM2891" s="81">
        <f>IF(AN2891="","",IF(Q2891="Sin Factura",0,P2891-IFERROR(INDEX(Facturas_Odoo!$H:$H, MATCH(Q2891, Facturas_Odoo!$B:$B, 0)), 0)))</f>
        <v/>
      </c>
      <c r="AN2891" s="79">
        <f>IF(AND(A2891="", J2891=""), "", IF(A2891&lt;&gt;"", VALUE(MID(A2891,2,LEN(A2891))), AN2890))</f>
        <v/>
      </c>
      <c r="AO2891" s="79">
        <f>IF(AN2891="","",IF(AD2891=0,"OK",_xlfn.LET(monedaPago, IF(AA2891="","USD",AA2891), limitePermitido, IFERROR(VLOOKUP(monedaPago, Configuración!$A$2:$B$3, 2, FALSE), 0.15), IF(AD2891&gt;limitePermitido, "ALERTA: EXCESO (" &amp; TEXT(limitePermitido, "0%") &amp; " máx)", "OK"))))</f>
        <v/>
      </c>
      <c r="AP2891" s="79">
        <f>IF(AN2891="","",IF(AE2891=0,"OK",_xlfn.LET(fechaPago, Z2891, fechaFactura, R2891, diasCredito, IF(E2891="Pago inmediato", 0, IFERROR(VALUE(MID(E2891, 1, SEARCH(" ", E2891)-1)),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91" s="79">
        <f>IF(AN2891="","",IF(AND(N2891&gt;0, AG2891&gt;0), IF(Configuración!$K$2="NO", "ALERTA: DESCUENTO DOBLE NO PERMITIDO", "OK"), "OK"))</f>
        <v/>
      </c>
      <c r="AR2891" s="79">
        <f>IF(AN2891="","",IF(OR(AO2891&lt;&gt;"OK", AP2891&lt;&gt;"OK", AQ2891&lt;&gt;"OK"), "⚠️ REVISAR", "OK"))</f>
        <v/>
      </c>
    </row>
    <row r="2892">
      <c r="A2892" s="79">
        <f>IF('Ordenes_Odoo'!A2892="","",'Ordenes_Odoo'!A2892)</f>
        <v/>
      </c>
      <c r="B2892" s="80">
        <f>IF('Ordenes_Odoo'!B2892="","",'Ordenes_Odoo'!B2892)</f>
        <v/>
      </c>
      <c r="C2892" s="79">
        <f>IF('Ordenes_Odoo'!C2892="","",'Ordenes_Odoo'!C2892)</f>
        <v/>
      </c>
      <c r="D2892" s="79">
        <f>IF('Ordenes_Odoo'!D2892="","",'Ordenes_Odoo'!D2892)</f>
        <v/>
      </c>
      <c r="E2892" s="79">
        <f>IF('Ordenes_Odoo'!E2892="","",'Ordenes_Odoo'!E2892)</f>
        <v/>
      </c>
      <c r="F2892" s="79">
        <f>IF('Ordenes_Odoo'!F2892="","",'Ordenes_Odoo'!F2892)</f>
        <v/>
      </c>
      <c r="G2892" s="79">
        <f>IF('Ordenes_Odoo'!G2892="","",'Ordenes_Odoo'!G2892)</f>
        <v/>
      </c>
      <c r="H2892" s="79">
        <f>IF('Ordenes_Odoo'!H2892="","",'Ordenes_Odoo'!H2892)</f>
        <v/>
      </c>
      <c r="I2892" s="79">
        <f>IF('Ordenes_Odoo'!I2892="","",'Ordenes_Odoo'!I2892)</f>
        <v/>
      </c>
      <c r="J2892" s="79">
        <f>IF('Ordenes_Odoo'!J2892="","",'Ordenes_Odoo'!J2892)</f>
        <v/>
      </c>
      <c r="K2892" s="81">
        <f>IF('Ordenes_Odoo'!K2892="","",'Ordenes_Odoo'!K2892)</f>
        <v/>
      </c>
      <c r="L2892" s="81">
        <f>IF('Ordenes_Odoo'!L2892="","",'Ordenes_Odoo'!L2892)</f>
        <v/>
      </c>
      <c r="M2892" s="79">
        <f>IF('Ordenes_Odoo'!M2892="","",'Ordenes_Odoo'!M2892)</f>
        <v/>
      </c>
      <c r="N2892" s="79">
        <f>IF('Ordenes_Odoo'!N2892="","",'Ordenes_Odoo'!N2892)</f>
        <v/>
      </c>
      <c r="O2892" s="81">
        <f>IF('Ordenes_Odoo'!O2892="","",'Ordenes_Odoo'!O2892)</f>
        <v/>
      </c>
      <c r="P2892" s="81">
        <f>IF('Ordenes_Odoo'!P2892="","",'Ordenes_Odoo'!P2892)</f>
        <v/>
      </c>
      <c r="Q2892" s="79">
        <f>IF(A2892="","",IFERROR(INDEX(Facturas_Odoo!$B:$B, MATCH(A2892, Facturas_Odoo!$D:$D, 0)), "Sin Factura"))</f>
        <v/>
      </c>
      <c r="R2892" s="80">
        <f>IF(Q2892="Sin Factura","",IFERROR(INDEX(Facturas_Odoo!$A:$A, MATCH(Q2892, Facturas_Odoo!$B:$B, 0)), ""))</f>
        <v/>
      </c>
      <c r="S2892" s="79">
        <f>IF(Q2892="Sin Factura","",IFERROR(_xlfn.XLOOKUP(1, (Facturas_Odoo!$D:$D=A2892) * (Facturas_Odoo!$K:$K=I2892), Facturas_Odoo!$L:$L, ""), ""))</f>
        <v/>
      </c>
      <c r="T2892" s="81">
        <f>IF(Q2892="Sin Factura",0,IFERROR(_xlfn.XLOOKUP(1, (Facturas_Odoo!$D:$D=A2892) * (Facturas_Odoo!$K:$K=I2892), Facturas_Odoo!$M:$M, 0), 0))</f>
        <v/>
      </c>
      <c r="U2892" s="79">
        <f>IF(Q2892="Sin Factura",0,IFERROR(_xlfn.XLOOKUP(1, (Facturas_Odoo!$D:$D=A2892) * (Facturas_Odoo!$K:$K=I2892), Facturas_Odoo!$N:$N, 0), 0))</f>
        <v/>
      </c>
      <c r="V2892" s="79">
        <f>IF(Q2892="Sin Factura",0,IFERROR(_xlfn.XLOOKUP(1, (Facturas_Odoo!$D:$D=A2892) * (Facturas_Odoo!$K:$K=I2892), Facturas_Odoo!$O:$O, 0), 0))</f>
        <v/>
      </c>
      <c r="W2892" s="81">
        <f>IF(Q2892="Sin Factura",0,IFERROR(_xlfn.XLOOKUP(1, (Facturas_Odoo!$D:$D=A2892) * (Facturas_Odoo!$K:$K=I2892), Facturas_Odoo!$Q:$Q, 0), 0))</f>
        <v/>
      </c>
      <c r="X2892" s="79">
        <f>IF(OR(Q2892="Sin Factura",Q2892=""),"",IFERROR(INDEX(Pagos_Odoo!$B:$B, MATCH(Q2892, Pagos_Odoo!$I:$I, 0)), "Sin Pago"))</f>
        <v/>
      </c>
      <c r="Y2892" s="79">
        <f>IF(X2892="Sin Pago","",IFERROR(INDEX(Pagos_Odoo!$C:$C, MATCH(X2892, Pagos_Odoo!$B:$B, 0)), ""))</f>
        <v/>
      </c>
      <c r="Z2892" s="80">
        <f>IF(X2892="Sin Pago","",IFERROR(INDEX(Pagos_Odoo!$A:$A, MATCH(X2892, Pagos_Odoo!$B:$B, 0)), ""))</f>
        <v/>
      </c>
      <c r="AA2892" s="79">
        <f>IF(X2892="Sin Pago","",IFERROR(INDEX(Pagos_Odoo!$F:$F, MATCH(X2892, Pagos_Odoo!$B:$B, 0)), ""))</f>
        <v/>
      </c>
      <c r="AB2892" s="81">
        <f>IF(X2892="Sin Pago",0,IFERROR(INDEX(Pagos_Odoo!$E:$E, MATCH(X2892, Pagos_Odoo!$B:$B, 0)), 0))</f>
        <v/>
      </c>
      <c r="AC2892" s="79">
        <f>IF(X2892="Sin Pago","",IFERROR(INDEX(Pagos_Odoo!$G:$G, MATCH(X2892, Pagos_Odoo!$B:$B, 0)), ""))</f>
        <v/>
      </c>
      <c r="AD2892" s="82" t="n">
        <v>0</v>
      </c>
      <c r="AE2892" s="82" t="n"/>
      <c r="AF2892" s="82" t="n"/>
      <c r="AG2892" s="82">
        <f>IF(AN2892="","",AD2892+AE2892+AF2892)</f>
        <v/>
      </c>
      <c r="AH2892" s="81">
        <f>IF(AN2892="","",P2892*(1-AG2892))</f>
        <v/>
      </c>
      <c r="AI2892" s="81">
        <f>IF(AN2892="","",IF(Q2892="Sin Factura",0,IFERROR(INDEX(Facturas_Odoo!$H:$H, MATCH(Q2892, Facturas_Odoo!$B:$B, 0)), 0)*(1-AG2892)))</f>
        <v/>
      </c>
      <c r="AJ2892" s="81">
        <f>IF(AN2892="","",_xlfn.LET(idVenta, AN2892&amp;"",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92" s="81">
        <f>IF(AN2892="","",AH2892-AJ2892)</f>
        <v/>
      </c>
      <c r="AL2892" s="81">
        <f>IF(AN2892="","",IF(Q2892="Sin Factura","",AI2892-AJ2892))</f>
        <v/>
      </c>
      <c r="AM2892" s="81">
        <f>IF(AN2892="","",IF(Q2892="Sin Factura",0,P2892-IFERROR(INDEX(Facturas_Odoo!$H:$H, MATCH(Q2892, Facturas_Odoo!$B:$B, 0)), 0)))</f>
        <v/>
      </c>
      <c r="AN2892" s="79">
        <f>IF(AND(A2892="", J2892=""), "", IF(A2892&lt;&gt;"", VALUE(MID(A2892,2,LEN(A2892))), AN2891))</f>
        <v/>
      </c>
      <c r="AO2892" s="79">
        <f>IF(AN2892="","",IF(AD2892=0,"OK",_xlfn.LET(monedaPago, IF(AA2892="","USD",AA2892), limitePermitido, IFERROR(VLOOKUP(monedaPago, Configuración!$A$2:$B$3, 2, FALSE), 0.15), IF(AD2892&gt;limitePermitido, "ALERTA: EXCESO (" &amp; TEXT(limitePermitido, "0%") &amp; " máx)", "OK"))))</f>
        <v/>
      </c>
      <c r="AP2892" s="79">
        <f>IF(AN2892="","",IF(AE2892=0,"OK",_xlfn.LET(fechaPago, Z2892, fechaFactura, R2892, diasCredito, IF(E2892="Pago inmediato", 0, IFERROR(VALUE(MID(E2892, 1, SEARCH(" ", E2892)-1)),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92" s="79">
        <f>IF(AN2892="","",IF(AND(N2892&gt;0, AG2892&gt;0), IF(Configuración!$K$2="NO", "ALERTA: DESCUENTO DOBLE NO PERMITIDO", "OK"), "OK"))</f>
        <v/>
      </c>
      <c r="AR2892" s="79">
        <f>IF(AN2892="","",IF(OR(AO2892&lt;&gt;"OK", AP2892&lt;&gt;"OK", AQ2892&lt;&gt;"OK"), "⚠️ REVISAR", "OK"))</f>
        <v/>
      </c>
    </row>
    <row r="2893">
      <c r="A2893" s="79">
        <f>IF('Ordenes_Odoo'!A2893="","",'Ordenes_Odoo'!A2893)</f>
        <v/>
      </c>
      <c r="B2893" s="80">
        <f>IF('Ordenes_Odoo'!B2893="","",'Ordenes_Odoo'!B2893)</f>
        <v/>
      </c>
      <c r="C2893" s="79">
        <f>IF('Ordenes_Odoo'!C2893="","",'Ordenes_Odoo'!C2893)</f>
        <v/>
      </c>
      <c r="D2893" s="79">
        <f>IF('Ordenes_Odoo'!D2893="","",'Ordenes_Odoo'!D2893)</f>
        <v/>
      </c>
      <c r="E2893" s="79">
        <f>IF('Ordenes_Odoo'!E2893="","",'Ordenes_Odoo'!E2893)</f>
        <v/>
      </c>
      <c r="F2893" s="79">
        <f>IF('Ordenes_Odoo'!F2893="","",'Ordenes_Odoo'!F2893)</f>
        <v/>
      </c>
      <c r="G2893" s="79">
        <f>IF('Ordenes_Odoo'!G2893="","",'Ordenes_Odoo'!G2893)</f>
        <v/>
      </c>
      <c r="H2893" s="79">
        <f>IF('Ordenes_Odoo'!H2893="","",'Ordenes_Odoo'!H2893)</f>
        <v/>
      </c>
      <c r="I2893" s="79">
        <f>IF('Ordenes_Odoo'!I2893="","",'Ordenes_Odoo'!I2893)</f>
        <v/>
      </c>
      <c r="J2893" s="79">
        <f>IF('Ordenes_Odoo'!J2893="","",'Ordenes_Odoo'!J2893)</f>
        <v/>
      </c>
      <c r="K2893" s="81">
        <f>IF('Ordenes_Odoo'!K2893="","",'Ordenes_Odoo'!K2893)</f>
        <v/>
      </c>
      <c r="L2893" s="81">
        <f>IF('Ordenes_Odoo'!L2893="","",'Ordenes_Odoo'!L2893)</f>
        <v/>
      </c>
      <c r="M2893" s="79">
        <f>IF('Ordenes_Odoo'!M2893="","",'Ordenes_Odoo'!M2893)</f>
        <v/>
      </c>
      <c r="N2893" s="79">
        <f>IF('Ordenes_Odoo'!N2893="","",'Ordenes_Odoo'!N2893)</f>
        <v/>
      </c>
      <c r="O2893" s="81">
        <f>IF('Ordenes_Odoo'!O2893="","",'Ordenes_Odoo'!O2893)</f>
        <v/>
      </c>
      <c r="P2893" s="81">
        <f>IF('Ordenes_Odoo'!P2893="","",'Ordenes_Odoo'!P2893)</f>
        <v/>
      </c>
      <c r="Q2893" s="79">
        <f>IF(A2893="","",IFERROR(INDEX(Facturas_Odoo!$B:$B, MATCH(A2893, Facturas_Odoo!$D:$D, 0)), "Sin Factura"))</f>
        <v/>
      </c>
      <c r="R2893" s="80">
        <f>IF(Q2893="Sin Factura","",IFERROR(INDEX(Facturas_Odoo!$A:$A, MATCH(Q2893, Facturas_Odoo!$B:$B, 0)), ""))</f>
        <v/>
      </c>
      <c r="S2893" s="79">
        <f>IF(Q2893="Sin Factura","",IFERROR(_xlfn.XLOOKUP(1, (Facturas_Odoo!$D:$D=A2893) * (Facturas_Odoo!$K:$K=I2893), Facturas_Odoo!$L:$L, ""), ""))</f>
        <v/>
      </c>
      <c r="T2893" s="81">
        <f>IF(Q2893="Sin Factura",0,IFERROR(_xlfn.XLOOKUP(1, (Facturas_Odoo!$D:$D=A2893) * (Facturas_Odoo!$K:$K=I2893), Facturas_Odoo!$M:$M, 0), 0))</f>
        <v/>
      </c>
      <c r="U2893" s="79">
        <f>IF(Q2893="Sin Factura",0,IFERROR(_xlfn.XLOOKUP(1, (Facturas_Odoo!$D:$D=A2893) * (Facturas_Odoo!$K:$K=I2893), Facturas_Odoo!$N:$N, 0), 0))</f>
        <v/>
      </c>
      <c r="V2893" s="79">
        <f>IF(Q2893="Sin Factura",0,IFERROR(_xlfn.XLOOKUP(1, (Facturas_Odoo!$D:$D=A2893) * (Facturas_Odoo!$K:$K=I2893), Facturas_Odoo!$O:$O, 0), 0))</f>
        <v/>
      </c>
      <c r="W2893" s="81">
        <f>IF(Q2893="Sin Factura",0,IFERROR(_xlfn.XLOOKUP(1, (Facturas_Odoo!$D:$D=A2893) * (Facturas_Odoo!$K:$K=I2893), Facturas_Odoo!$Q:$Q, 0), 0))</f>
        <v/>
      </c>
      <c r="X2893" s="79">
        <f>IF(OR(Q2893="Sin Factura",Q2893=""),"",IFERROR(INDEX(Pagos_Odoo!$B:$B, MATCH(Q2893, Pagos_Odoo!$I:$I, 0)), "Sin Pago"))</f>
        <v/>
      </c>
      <c r="Y2893" s="79">
        <f>IF(X2893="Sin Pago","",IFERROR(INDEX(Pagos_Odoo!$C:$C, MATCH(X2893, Pagos_Odoo!$B:$B, 0)), ""))</f>
        <v/>
      </c>
      <c r="Z2893" s="80">
        <f>IF(X2893="Sin Pago","",IFERROR(INDEX(Pagos_Odoo!$A:$A, MATCH(X2893, Pagos_Odoo!$B:$B, 0)), ""))</f>
        <v/>
      </c>
      <c r="AA2893" s="79">
        <f>IF(X2893="Sin Pago","",IFERROR(INDEX(Pagos_Odoo!$F:$F, MATCH(X2893, Pagos_Odoo!$B:$B, 0)), ""))</f>
        <v/>
      </c>
      <c r="AB2893" s="81">
        <f>IF(X2893="Sin Pago",0,IFERROR(INDEX(Pagos_Odoo!$E:$E, MATCH(X2893, Pagos_Odoo!$B:$B, 0)), 0))</f>
        <v/>
      </c>
      <c r="AC2893" s="79">
        <f>IF(X2893="Sin Pago","",IFERROR(INDEX(Pagos_Odoo!$G:$G, MATCH(X2893, Pagos_Odoo!$B:$B, 0)), ""))</f>
        <v/>
      </c>
      <c r="AD2893" s="82" t="n">
        <v>0</v>
      </c>
      <c r="AE2893" s="82" t="n"/>
      <c r="AF2893" s="82" t="n"/>
      <c r="AG2893" s="82">
        <f>IF(AN2893="","",AD2893+AE2893+AF2893)</f>
        <v/>
      </c>
      <c r="AH2893" s="81">
        <f>IF(AN2893="","",P2893*(1-AG2893))</f>
        <v/>
      </c>
      <c r="AI2893" s="81">
        <f>IF(AN2893="","",IF(Q2893="Sin Factura",0,IFERROR(INDEX(Facturas_Odoo!$H:$H, MATCH(Q2893, Facturas_Odoo!$B:$B, 0)), 0)*(1-AG2893)))</f>
        <v/>
      </c>
      <c r="AJ2893" s="81">
        <f>IF(AN2893="","",_xlfn.LET(idVenta, AN2893&amp;"",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93" s="81">
        <f>IF(AN2893="","",AH2893-AJ2893)</f>
        <v/>
      </c>
      <c r="AL2893" s="81">
        <f>IF(AN2893="","",IF(Q2893="Sin Factura","",AI2893-AJ2893))</f>
        <v/>
      </c>
      <c r="AM2893" s="81">
        <f>IF(AN2893="","",IF(Q2893="Sin Factura",0,P2893-IFERROR(INDEX(Facturas_Odoo!$H:$H, MATCH(Q2893, Facturas_Odoo!$B:$B, 0)), 0)))</f>
        <v/>
      </c>
      <c r="AN2893" s="79">
        <f>IF(AND(A2893="", J2893=""), "", IF(A2893&lt;&gt;"", VALUE(MID(A2893,2,LEN(A2893))), AN2892))</f>
        <v/>
      </c>
      <c r="AO2893" s="79">
        <f>IF(AN2893="","",IF(AD2893=0,"OK",_xlfn.LET(monedaPago, IF(AA2893="","USD",AA2893), limitePermitido, IFERROR(VLOOKUP(monedaPago, Configuración!$A$2:$B$3, 2, FALSE), 0.15), IF(AD2893&gt;limitePermitido, "ALERTA: EXCESO (" &amp; TEXT(limitePermitido, "0%") &amp; " máx)", "OK"))))</f>
        <v/>
      </c>
      <c r="AP2893" s="79">
        <f>IF(AN2893="","",IF(AE2893=0,"OK",_xlfn.LET(fechaPago, Z2893, fechaFactura, R2893, diasCredito, IF(E2893="Pago inmediato", 0, IFERROR(VALUE(MID(E2893, 1, SEARCH(" ", E2893)-1)),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93" s="79">
        <f>IF(AN2893="","",IF(AND(N2893&gt;0, AG2893&gt;0), IF(Configuración!$K$2="NO", "ALERTA: DESCUENTO DOBLE NO PERMITIDO", "OK"), "OK"))</f>
        <v/>
      </c>
      <c r="AR2893" s="79">
        <f>IF(AN2893="","",IF(OR(AO2893&lt;&gt;"OK", AP2893&lt;&gt;"OK", AQ2893&lt;&gt;"OK"), "⚠️ REVISAR", "OK"))</f>
        <v/>
      </c>
    </row>
    <row r="2894">
      <c r="A2894" s="79">
        <f>IF('Ordenes_Odoo'!A2894="","",'Ordenes_Odoo'!A2894)</f>
        <v/>
      </c>
      <c r="B2894" s="80">
        <f>IF('Ordenes_Odoo'!B2894="","",'Ordenes_Odoo'!B2894)</f>
        <v/>
      </c>
      <c r="C2894" s="79">
        <f>IF('Ordenes_Odoo'!C2894="","",'Ordenes_Odoo'!C2894)</f>
        <v/>
      </c>
      <c r="D2894" s="79">
        <f>IF('Ordenes_Odoo'!D2894="","",'Ordenes_Odoo'!D2894)</f>
        <v/>
      </c>
      <c r="E2894" s="79">
        <f>IF('Ordenes_Odoo'!E2894="","",'Ordenes_Odoo'!E2894)</f>
        <v/>
      </c>
      <c r="F2894" s="79">
        <f>IF('Ordenes_Odoo'!F2894="","",'Ordenes_Odoo'!F2894)</f>
        <v/>
      </c>
      <c r="G2894" s="79">
        <f>IF('Ordenes_Odoo'!G2894="","",'Ordenes_Odoo'!G2894)</f>
        <v/>
      </c>
      <c r="H2894" s="79">
        <f>IF('Ordenes_Odoo'!H2894="","",'Ordenes_Odoo'!H2894)</f>
        <v/>
      </c>
      <c r="I2894" s="79">
        <f>IF('Ordenes_Odoo'!I2894="","",'Ordenes_Odoo'!I2894)</f>
        <v/>
      </c>
      <c r="J2894" s="79">
        <f>IF('Ordenes_Odoo'!J2894="","",'Ordenes_Odoo'!J2894)</f>
        <v/>
      </c>
      <c r="K2894" s="81">
        <f>IF('Ordenes_Odoo'!K2894="","",'Ordenes_Odoo'!K2894)</f>
        <v/>
      </c>
      <c r="L2894" s="81">
        <f>IF('Ordenes_Odoo'!L2894="","",'Ordenes_Odoo'!L2894)</f>
        <v/>
      </c>
      <c r="M2894" s="79">
        <f>IF('Ordenes_Odoo'!M2894="","",'Ordenes_Odoo'!M2894)</f>
        <v/>
      </c>
      <c r="N2894" s="79">
        <f>IF('Ordenes_Odoo'!N2894="","",'Ordenes_Odoo'!N2894)</f>
        <v/>
      </c>
      <c r="O2894" s="81">
        <f>IF('Ordenes_Odoo'!O2894="","",'Ordenes_Odoo'!O2894)</f>
        <v/>
      </c>
      <c r="P2894" s="81">
        <f>IF('Ordenes_Odoo'!P2894="","",'Ordenes_Odoo'!P2894)</f>
        <v/>
      </c>
      <c r="Q2894" s="79">
        <f>IF(A2894="","",IFERROR(INDEX(Facturas_Odoo!$B:$B, MATCH(A2894, Facturas_Odoo!$D:$D, 0)), "Sin Factura"))</f>
        <v/>
      </c>
      <c r="R2894" s="80">
        <f>IF(Q2894="Sin Factura","",IFERROR(INDEX(Facturas_Odoo!$A:$A, MATCH(Q2894, Facturas_Odoo!$B:$B, 0)), ""))</f>
        <v/>
      </c>
      <c r="S2894" s="79">
        <f>IF(Q2894="Sin Factura","",IFERROR(_xlfn.XLOOKUP(1, (Facturas_Odoo!$D:$D=A2894) * (Facturas_Odoo!$K:$K=I2894), Facturas_Odoo!$L:$L, ""), ""))</f>
        <v/>
      </c>
      <c r="T2894" s="81">
        <f>IF(Q2894="Sin Factura",0,IFERROR(_xlfn.XLOOKUP(1, (Facturas_Odoo!$D:$D=A2894) * (Facturas_Odoo!$K:$K=I2894), Facturas_Odoo!$M:$M, 0), 0))</f>
        <v/>
      </c>
      <c r="U2894" s="79">
        <f>IF(Q2894="Sin Factura",0,IFERROR(_xlfn.XLOOKUP(1, (Facturas_Odoo!$D:$D=A2894) * (Facturas_Odoo!$K:$K=I2894), Facturas_Odoo!$N:$N, 0), 0))</f>
        <v/>
      </c>
      <c r="V2894" s="79">
        <f>IF(Q2894="Sin Factura",0,IFERROR(_xlfn.XLOOKUP(1, (Facturas_Odoo!$D:$D=A2894) * (Facturas_Odoo!$K:$K=I2894), Facturas_Odoo!$O:$O, 0), 0))</f>
        <v/>
      </c>
      <c r="W2894" s="81">
        <f>IF(Q2894="Sin Factura",0,IFERROR(_xlfn.XLOOKUP(1, (Facturas_Odoo!$D:$D=A2894) * (Facturas_Odoo!$K:$K=I2894), Facturas_Odoo!$Q:$Q, 0), 0))</f>
        <v/>
      </c>
      <c r="X2894" s="79">
        <f>IF(OR(Q2894="Sin Factura",Q2894=""),"",IFERROR(INDEX(Pagos_Odoo!$B:$B, MATCH(Q2894, Pagos_Odoo!$I:$I, 0)), "Sin Pago"))</f>
        <v/>
      </c>
      <c r="Y2894" s="79">
        <f>IF(X2894="Sin Pago","",IFERROR(INDEX(Pagos_Odoo!$C:$C, MATCH(X2894, Pagos_Odoo!$B:$B, 0)), ""))</f>
        <v/>
      </c>
      <c r="Z2894" s="80">
        <f>IF(X2894="Sin Pago","",IFERROR(INDEX(Pagos_Odoo!$A:$A, MATCH(X2894, Pagos_Odoo!$B:$B, 0)), ""))</f>
        <v/>
      </c>
      <c r="AA2894" s="79">
        <f>IF(X2894="Sin Pago","",IFERROR(INDEX(Pagos_Odoo!$F:$F, MATCH(X2894, Pagos_Odoo!$B:$B, 0)), ""))</f>
        <v/>
      </c>
      <c r="AB2894" s="81">
        <f>IF(X2894="Sin Pago",0,IFERROR(INDEX(Pagos_Odoo!$E:$E, MATCH(X2894, Pagos_Odoo!$B:$B, 0)), 0))</f>
        <v/>
      </c>
      <c r="AC2894" s="79">
        <f>IF(X2894="Sin Pago","",IFERROR(INDEX(Pagos_Odoo!$G:$G, MATCH(X2894, Pagos_Odoo!$B:$B, 0)), ""))</f>
        <v/>
      </c>
      <c r="AD2894" s="82" t="n">
        <v>0</v>
      </c>
      <c r="AE2894" s="82" t="n"/>
      <c r="AF2894" s="82" t="n"/>
      <c r="AG2894" s="82">
        <f>IF(AN2894="","",AD2894+AE2894+AF2894)</f>
        <v/>
      </c>
      <c r="AH2894" s="81">
        <f>IF(AN2894="","",P2894*(1-AG2894))</f>
        <v/>
      </c>
      <c r="AI2894" s="81">
        <f>IF(AN2894="","",IF(Q2894="Sin Factura",0,IFERROR(INDEX(Facturas_Odoo!$H:$H, MATCH(Q2894, Facturas_Odoo!$B:$B, 0)), 0)*(1-AG2894)))</f>
        <v/>
      </c>
      <c r="AJ2894" s="81">
        <f>IF(AN2894="","",_xlfn.LET(idVenta, AN2894&amp;"",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94" s="81">
        <f>IF(AN2894="","",AH2894-AJ2894)</f>
        <v/>
      </c>
      <c r="AL2894" s="81">
        <f>IF(AN2894="","",IF(Q2894="Sin Factura","",AI2894-AJ2894))</f>
        <v/>
      </c>
      <c r="AM2894" s="81">
        <f>IF(AN2894="","",IF(Q2894="Sin Factura",0,P2894-IFERROR(INDEX(Facturas_Odoo!$H:$H, MATCH(Q2894, Facturas_Odoo!$B:$B, 0)), 0)))</f>
        <v/>
      </c>
      <c r="AN2894" s="79">
        <f>IF(AND(A2894="", J2894=""), "", IF(A2894&lt;&gt;"", VALUE(MID(A2894,2,LEN(A2894))), AN2893))</f>
        <v/>
      </c>
      <c r="AO2894" s="79">
        <f>IF(AN2894="","",IF(AD2894=0,"OK",_xlfn.LET(monedaPago, IF(AA2894="","USD",AA2894), limitePermitido, IFERROR(VLOOKUP(monedaPago, Configuración!$A$2:$B$3, 2, FALSE), 0.15), IF(AD2894&gt;limitePermitido, "ALERTA: EXCESO (" &amp; TEXT(limitePermitido, "0%") &amp; " máx)", "OK"))))</f>
        <v/>
      </c>
      <c r="AP2894" s="79">
        <f>IF(AN2894="","",IF(AE2894=0,"OK",_xlfn.LET(fechaPago, Z2894, fechaFactura, R2894, diasCredito, IF(E2894="Pago inmediato", 0, IFERROR(VALUE(MID(E2894, 1, SEARCH(" ", E2894)-1)),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94" s="79">
        <f>IF(AN2894="","",IF(AND(N2894&gt;0, AG2894&gt;0), IF(Configuración!$K$2="NO", "ALERTA: DESCUENTO DOBLE NO PERMITIDO", "OK"), "OK"))</f>
        <v/>
      </c>
      <c r="AR2894" s="79">
        <f>IF(AN2894="","",IF(OR(AO2894&lt;&gt;"OK", AP2894&lt;&gt;"OK", AQ2894&lt;&gt;"OK"), "⚠️ REVISAR", "OK"))</f>
        <v/>
      </c>
    </row>
    <row r="2895">
      <c r="A2895" s="79">
        <f>IF('Ordenes_Odoo'!A2895="","",'Ordenes_Odoo'!A2895)</f>
        <v/>
      </c>
      <c r="B2895" s="80">
        <f>IF('Ordenes_Odoo'!B2895="","",'Ordenes_Odoo'!B2895)</f>
        <v/>
      </c>
      <c r="C2895" s="79">
        <f>IF('Ordenes_Odoo'!C2895="","",'Ordenes_Odoo'!C2895)</f>
        <v/>
      </c>
      <c r="D2895" s="79">
        <f>IF('Ordenes_Odoo'!D2895="","",'Ordenes_Odoo'!D2895)</f>
        <v/>
      </c>
      <c r="E2895" s="79">
        <f>IF('Ordenes_Odoo'!E2895="","",'Ordenes_Odoo'!E2895)</f>
        <v/>
      </c>
      <c r="F2895" s="79">
        <f>IF('Ordenes_Odoo'!F2895="","",'Ordenes_Odoo'!F2895)</f>
        <v/>
      </c>
      <c r="G2895" s="79">
        <f>IF('Ordenes_Odoo'!G2895="","",'Ordenes_Odoo'!G2895)</f>
        <v/>
      </c>
      <c r="H2895" s="79">
        <f>IF('Ordenes_Odoo'!H2895="","",'Ordenes_Odoo'!H2895)</f>
        <v/>
      </c>
      <c r="I2895" s="79">
        <f>IF('Ordenes_Odoo'!I2895="","",'Ordenes_Odoo'!I2895)</f>
        <v/>
      </c>
      <c r="J2895" s="79">
        <f>IF('Ordenes_Odoo'!J2895="","",'Ordenes_Odoo'!J2895)</f>
        <v/>
      </c>
      <c r="K2895" s="81">
        <f>IF('Ordenes_Odoo'!K2895="","",'Ordenes_Odoo'!K2895)</f>
        <v/>
      </c>
      <c r="L2895" s="81">
        <f>IF('Ordenes_Odoo'!L2895="","",'Ordenes_Odoo'!L2895)</f>
        <v/>
      </c>
      <c r="M2895" s="79">
        <f>IF('Ordenes_Odoo'!M2895="","",'Ordenes_Odoo'!M2895)</f>
        <v/>
      </c>
      <c r="N2895" s="79">
        <f>IF('Ordenes_Odoo'!N2895="","",'Ordenes_Odoo'!N2895)</f>
        <v/>
      </c>
      <c r="O2895" s="81">
        <f>IF('Ordenes_Odoo'!O2895="","",'Ordenes_Odoo'!O2895)</f>
        <v/>
      </c>
      <c r="P2895" s="81">
        <f>IF('Ordenes_Odoo'!P2895="","",'Ordenes_Odoo'!P2895)</f>
        <v/>
      </c>
      <c r="Q2895" s="79">
        <f>IF(A2895="","",IFERROR(INDEX(Facturas_Odoo!$B:$B, MATCH(A2895, Facturas_Odoo!$D:$D, 0)), "Sin Factura"))</f>
        <v/>
      </c>
      <c r="R2895" s="80">
        <f>IF(Q2895="Sin Factura","",IFERROR(INDEX(Facturas_Odoo!$A:$A, MATCH(Q2895, Facturas_Odoo!$B:$B, 0)), ""))</f>
        <v/>
      </c>
      <c r="S2895" s="79">
        <f>IF(Q2895="Sin Factura","",IFERROR(_xlfn.XLOOKUP(1, (Facturas_Odoo!$D:$D=A2895) * (Facturas_Odoo!$K:$K=I2895), Facturas_Odoo!$L:$L, ""), ""))</f>
        <v/>
      </c>
      <c r="T2895" s="81">
        <f>IF(Q2895="Sin Factura",0,IFERROR(_xlfn.XLOOKUP(1, (Facturas_Odoo!$D:$D=A2895) * (Facturas_Odoo!$K:$K=I2895), Facturas_Odoo!$M:$M, 0), 0))</f>
        <v/>
      </c>
      <c r="U2895" s="79">
        <f>IF(Q2895="Sin Factura",0,IFERROR(_xlfn.XLOOKUP(1, (Facturas_Odoo!$D:$D=A2895) * (Facturas_Odoo!$K:$K=I2895), Facturas_Odoo!$N:$N, 0), 0))</f>
        <v/>
      </c>
      <c r="V2895" s="79">
        <f>IF(Q2895="Sin Factura",0,IFERROR(_xlfn.XLOOKUP(1, (Facturas_Odoo!$D:$D=A2895) * (Facturas_Odoo!$K:$K=I2895), Facturas_Odoo!$O:$O, 0), 0))</f>
        <v/>
      </c>
      <c r="W2895" s="81">
        <f>IF(Q2895="Sin Factura",0,IFERROR(_xlfn.XLOOKUP(1, (Facturas_Odoo!$D:$D=A2895) * (Facturas_Odoo!$K:$K=I2895), Facturas_Odoo!$Q:$Q, 0), 0))</f>
        <v/>
      </c>
      <c r="X2895" s="79">
        <f>IF(OR(Q2895="Sin Factura",Q2895=""),"",IFERROR(INDEX(Pagos_Odoo!$B:$B, MATCH(Q2895, Pagos_Odoo!$I:$I, 0)), "Sin Pago"))</f>
        <v/>
      </c>
      <c r="Y2895" s="79">
        <f>IF(X2895="Sin Pago","",IFERROR(INDEX(Pagos_Odoo!$C:$C, MATCH(X2895, Pagos_Odoo!$B:$B, 0)), ""))</f>
        <v/>
      </c>
      <c r="Z2895" s="80">
        <f>IF(X2895="Sin Pago","",IFERROR(INDEX(Pagos_Odoo!$A:$A, MATCH(X2895, Pagos_Odoo!$B:$B, 0)), ""))</f>
        <v/>
      </c>
      <c r="AA2895" s="79">
        <f>IF(X2895="Sin Pago","",IFERROR(INDEX(Pagos_Odoo!$F:$F, MATCH(X2895, Pagos_Odoo!$B:$B, 0)), ""))</f>
        <v/>
      </c>
      <c r="AB2895" s="81">
        <f>IF(X2895="Sin Pago",0,IFERROR(INDEX(Pagos_Odoo!$E:$E, MATCH(X2895, Pagos_Odoo!$B:$B, 0)), 0))</f>
        <v/>
      </c>
      <c r="AC2895" s="79">
        <f>IF(X2895="Sin Pago","",IFERROR(INDEX(Pagos_Odoo!$G:$G, MATCH(X2895, Pagos_Odoo!$B:$B, 0)), ""))</f>
        <v/>
      </c>
      <c r="AD2895" s="82" t="n">
        <v>0</v>
      </c>
      <c r="AE2895" s="82" t="n"/>
      <c r="AF2895" s="82" t="n"/>
      <c r="AG2895" s="82">
        <f>IF(AN2895="","",AD2895+AE2895+AF2895)</f>
        <v/>
      </c>
      <c r="AH2895" s="81">
        <f>IF(AN2895="","",P2895*(1-AG2895))</f>
        <v/>
      </c>
      <c r="AI2895" s="81">
        <f>IF(AN2895="","",IF(Q2895="Sin Factura",0,IFERROR(INDEX(Facturas_Odoo!$H:$H, MATCH(Q2895, Facturas_Odoo!$B:$B, 0)), 0)*(1-AG2895)))</f>
        <v/>
      </c>
      <c r="AJ2895" s="81">
        <f>IF(AN2895="","",_xlfn.LET(idVenta, AN2895&amp;"",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95" s="81">
        <f>IF(AN2895="","",AH2895-AJ2895)</f>
        <v/>
      </c>
      <c r="AL2895" s="81">
        <f>IF(AN2895="","",IF(Q2895="Sin Factura","",AI2895-AJ2895))</f>
        <v/>
      </c>
      <c r="AM2895" s="81">
        <f>IF(AN2895="","",IF(Q2895="Sin Factura",0,P2895-IFERROR(INDEX(Facturas_Odoo!$H:$H, MATCH(Q2895, Facturas_Odoo!$B:$B, 0)), 0)))</f>
        <v/>
      </c>
      <c r="AN2895" s="79">
        <f>IF(AND(A2895="", J2895=""), "", IF(A2895&lt;&gt;"", VALUE(MID(A2895,2,LEN(A2895))), AN2894))</f>
        <v/>
      </c>
      <c r="AO2895" s="79">
        <f>IF(AN2895="","",IF(AD2895=0,"OK",_xlfn.LET(monedaPago, IF(AA2895="","USD",AA2895), limitePermitido, IFERROR(VLOOKUP(monedaPago, Configuración!$A$2:$B$3, 2, FALSE), 0.15), IF(AD2895&gt;limitePermitido, "ALERTA: EXCESO (" &amp; TEXT(limitePermitido, "0%") &amp; " máx)", "OK"))))</f>
        <v/>
      </c>
      <c r="AP2895" s="79">
        <f>IF(AN2895="","",IF(AE2895=0,"OK",_xlfn.LET(fechaPago, Z2895, fechaFactura, R2895, diasCredito, IF(E2895="Pago inmediato", 0, IFERROR(VALUE(MID(E2895, 1, SEARCH(" ", E2895)-1)),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95" s="79">
        <f>IF(AN2895="","",IF(AND(N2895&gt;0, AG2895&gt;0), IF(Configuración!$K$2="NO", "ALERTA: DESCUENTO DOBLE NO PERMITIDO", "OK"), "OK"))</f>
        <v/>
      </c>
      <c r="AR2895" s="79">
        <f>IF(AN2895="","",IF(OR(AO2895&lt;&gt;"OK", AP2895&lt;&gt;"OK", AQ2895&lt;&gt;"OK"), "⚠️ REVISAR", "OK"))</f>
        <v/>
      </c>
    </row>
    <row r="2896">
      <c r="A2896" s="79">
        <f>IF('Ordenes_Odoo'!A2896="","",'Ordenes_Odoo'!A2896)</f>
        <v/>
      </c>
      <c r="B2896" s="80">
        <f>IF('Ordenes_Odoo'!B2896="","",'Ordenes_Odoo'!B2896)</f>
        <v/>
      </c>
      <c r="C2896" s="79">
        <f>IF('Ordenes_Odoo'!C2896="","",'Ordenes_Odoo'!C2896)</f>
        <v/>
      </c>
      <c r="D2896" s="79">
        <f>IF('Ordenes_Odoo'!D2896="","",'Ordenes_Odoo'!D2896)</f>
        <v/>
      </c>
      <c r="E2896" s="79">
        <f>IF('Ordenes_Odoo'!E2896="","",'Ordenes_Odoo'!E2896)</f>
        <v/>
      </c>
      <c r="F2896" s="79">
        <f>IF('Ordenes_Odoo'!F2896="","",'Ordenes_Odoo'!F2896)</f>
        <v/>
      </c>
      <c r="G2896" s="79">
        <f>IF('Ordenes_Odoo'!G2896="","",'Ordenes_Odoo'!G2896)</f>
        <v/>
      </c>
      <c r="H2896" s="79">
        <f>IF('Ordenes_Odoo'!H2896="","",'Ordenes_Odoo'!H2896)</f>
        <v/>
      </c>
      <c r="I2896" s="79">
        <f>IF('Ordenes_Odoo'!I2896="","",'Ordenes_Odoo'!I2896)</f>
        <v/>
      </c>
      <c r="J2896" s="79">
        <f>IF('Ordenes_Odoo'!J2896="","",'Ordenes_Odoo'!J2896)</f>
        <v/>
      </c>
      <c r="K2896" s="81">
        <f>IF('Ordenes_Odoo'!K2896="","",'Ordenes_Odoo'!K2896)</f>
        <v/>
      </c>
      <c r="L2896" s="81">
        <f>IF('Ordenes_Odoo'!L2896="","",'Ordenes_Odoo'!L2896)</f>
        <v/>
      </c>
      <c r="M2896" s="79">
        <f>IF('Ordenes_Odoo'!M2896="","",'Ordenes_Odoo'!M2896)</f>
        <v/>
      </c>
      <c r="N2896" s="79">
        <f>IF('Ordenes_Odoo'!N2896="","",'Ordenes_Odoo'!N2896)</f>
        <v/>
      </c>
      <c r="O2896" s="81">
        <f>IF('Ordenes_Odoo'!O2896="","",'Ordenes_Odoo'!O2896)</f>
        <v/>
      </c>
      <c r="P2896" s="81">
        <f>IF('Ordenes_Odoo'!P2896="","",'Ordenes_Odoo'!P2896)</f>
        <v/>
      </c>
      <c r="Q2896" s="79">
        <f>IF(A2896="","",IFERROR(INDEX(Facturas_Odoo!$B:$B, MATCH(A2896, Facturas_Odoo!$D:$D, 0)), "Sin Factura"))</f>
        <v/>
      </c>
      <c r="R2896" s="80">
        <f>IF(Q2896="Sin Factura","",IFERROR(INDEX(Facturas_Odoo!$A:$A, MATCH(Q2896, Facturas_Odoo!$B:$B, 0)), ""))</f>
        <v/>
      </c>
      <c r="S2896" s="79">
        <f>IF(Q2896="Sin Factura","",IFERROR(_xlfn.XLOOKUP(1, (Facturas_Odoo!$D:$D=A2896) * (Facturas_Odoo!$K:$K=I2896), Facturas_Odoo!$L:$L, ""), ""))</f>
        <v/>
      </c>
      <c r="T2896" s="81">
        <f>IF(Q2896="Sin Factura",0,IFERROR(_xlfn.XLOOKUP(1, (Facturas_Odoo!$D:$D=A2896) * (Facturas_Odoo!$K:$K=I2896), Facturas_Odoo!$M:$M, 0), 0))</f>
        <v/>
      </c>
      <c r="U2896" s="79">
        <f>IF(Q2896="Sin Factura",0,IFERROR(_xlfn.XLOOKUP(1, (Facturas_Odoo!$D:$D=A2896) * (Facturas_Odoo!$K:$K=I2896), Facturas_Odoo!$N:$N, 0), 0))</f>
        <v/>
      </c>
      <c r="V2896" s="79">
        <f>IF(Q2896="Sin Factura",0,IFERROR(_xlfn.XLOOKUP(1, (Facturas_Odoo!$D:$D=A2896) * (Facturas_Odoo!$K:$K=I2896), Facturas_Odoo!$O:$O, 0), 0))</f>
        <v/>
      </c>
      <c r="W2896" s="81">
        <f>IF(Q2896="Sin Factura",0,IFERROR(_xlfn.XLOOKUP(1, (Facturas_Odoo!$D:$D=A2896) * (Facturas_Odoo!$K:$K=I2896), Facturas_Odoo!$Q:$Q, 0), 0))</f>
        <v/>
      </c>
      <c r="X2896" s="79">
        <f>IF(OR(Q2896="Sin Factura",Q2896=""),"",IFERROR(INDEX(Pagos_Odoo!$B:$B, MATCH(Q2896, Pagos_Odoo!$I:$I, 0)), "Sin Pago"))</f>
        <v/>
      </c>
      <c r="Y2896" s="79">
        <f>IF(X2896="Sin Pago","",IFERROR(INDEX(Pagos_Odoo!$C:$C, MATCH(X2896, Pagos_Odoo!$B:$B, 0)), ""))</f>
        <v/>
      </c>
      <c r="Z2896" s="80">
        <f>IF(X2896="Sin Pago","",IFERROR(INDEX(Pagos_Odoo!$A:$A, MATCH(X2896, Pagos_Odoo!$B:$B, 0)), ""))</f>
        <v/>
      </c>
      <c r="AA2896" s="79">
        <f>IF(X2896="Sin Pago","",IFERROR(INDEX(Pagos_Odoo!$F:$F, MATCH(X2896, Pagos_Odoo!$B:$B, 0)), ""))</f>
        <v/>
      </c>
      <c r="AB2896" s="81">
        <f>IF(X2896="Sin Pago",0,IFERROR(INDEX(Pagos_Odoo!$E:$E, MATCH(X2896, Pagos_Odoo!$B:$B, 0)), 0))</f>
        <v/>
      </c>
      <c r="AC2896" s="79">
        <f>IF(X2896="Sin Pago","",IFERROR(INDEX(Pagos_Odoo!$G:$G, MATCH(X2896, Pagos_Odoo!$B:$B, 0)), ""))</f>
        <v/>
      </c>
      <c r="AD2896" s="82" t="n">
        <v>0</v>
      </c>
      <c r="AE2896" s="82" t="n"/>
      <c r="AF2896" s="82" t="n"/>
      <c r="AG2896" s="82">
        <f>IF(AN2896="","",AD2896+AE2896+AF2896)</f>
        <v/>
      </c>
      <c r="AH2896" s="81">
        <f>IF(AN2896="","",P2896*(1-AG2896))</f>
        <v/>
      </c>
      <c r="AI2896" s="81">
        <f>IF(AN2896="","",IF(Q2896="Sin Factura",0,IFERROR(INDEX(Facturas_Odoo!$H:$H, MATCH(Q2896, Facturas_Odoo!$B:$B, 0)), 0)*(1-AG2896)))</f>
        <v/>
      </c>
      <c r="AJ2896" s="81">
        <f>IF(AN2896="","",_xlfn.LET(idVenta, AN2896&amp;"",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96" s="81">
        <f>IF(AN2896="","",AH2896-AJ2896)</f>
        <v/>
      </c>
      <c r="AL2896" s="81">
        <f>IF(AN2896="","",IF(Q2896="Sin Factura","",AI2896-AJ2896))</f>
        <v/>
      </c>
      <c r="AM2896" s="81">
        <f>IF(AN2896="","",IF(Q2896="Sin Factura",0,P2896-IFERROR(INDEX(Facturas_Odoo!$H:$H, MATCH(Q2896, Facturas_Odoo!$B:$B, 0)), 0)))</f>
        <v/>
      </c>
      <c r="AN2896" s="79">
        <f>IF(AND(A2896="", J2896=""), "", IF(A2896&lt;&gt;"", VALUE(MID(A2896,2,LEN(A2896))), AN2895))</f>
        <v/>
      </c>
      <c r="AO2896" s="79">
        <f>IF(AN2896="","",IF(AD2896=0,"OK",_xlfn.LET(monedaPago, IF(AA2896="","USD",AA2896), limitePermitido, IFERROR(VLOOKUP(monedaPago, Configuración!$A$2:$B$3, 2, FALSE), 0.15), IF(AD2896&gt;limitePermitido, "ALERTA: EXCESO (" &amp; TEXT(limitePermitido, "0%") &amp; " máx)", "OK"))))</f>
        <v/>
      </c>
      <c r="AP2896" s="79">
        <f>IF(AN2896="","",IF(AE2896=0,"OK",_xlfn.LET(fechaPago, Z2896, fechaFactura, R2896, diasCredito, IF(E2896="Pago inmediato", 0, IFERROR(VALUE(MID(E2896, 1, SEARCH(" ", E2896)-1)),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96" s="79">
        <f>IF(AN2896="","",IF(AND(N2896&gt;0, AG2896&gt;0), IF(Configuración!$K$2="NO", "ALERTA: DESCUENTO DOBLE NO PERMITIDO", "OK"), "OK"))</f>
        <v/>
      </c>
      <c r="AR2896" s="79">
        <f>IF(AN2896="","",IF(OR(AO2896&lt;&gt;"OK", AP2896&lt;&gt;"OK", AQ2896&lt;&gt;"OK"), "⚠️ REVISAR", "OK"))</f>
        <v/>
      </c>
    </row>
    <row r="2897">
      <c r="A2897" s="79">
        <f>IF('Ordenes_Odoo'!A2897="","",'Ordenes_Odoo'!A2897)</f>
        <v/>
      </c>
      <c r="B2897" s="80">
        <f>IF('Ordenes_Odoo'!B2897="","",'Ordenes_Odoo'!B2897)</f>
        <v/>
      </c>
      <c r="C2897" s="79">
        <f>IF('Ordenes_Odoo'!C2897="","",'Ordenes_Odoo'!C2897)</f>
        <v/>
      </c>
      <c r="D2897" s="79">
        <f>IF('Ordenes_Odoo'!D2897="","",'Ordenes_Odoo'!D2897)</f>
        <v/>
      </c>
      <c r="E2897" s="79">
        <f>IF('Ordenes_Odoo'!E2897="","",'Ordenes_Odoo'!E2897)</f>
        <v/>
      </c>
      <c r="F2897" s="79">
        <f>IF('Ordenes_Odoo'!F2897="","",'Ordenes_Odoo'!F2897)</f>
        <v/>
      </c>
      <c r="G2897" s="79">
        <f>IF('Ordenes_Odoo'!G2897="","",'Ordenes_Odoo'!G2897)</f>
        <v/>
      </c>
      <c r="H2897" s="79">
        <f>IF('Ordenes_Odoo'!H2897="","",'Ordenes_Odoo'!H2897)</f>
        <v/>
      </c>
      <c r="I2897" s="79">
        <f>IF('Ordenes_Odoo'!I2897="","",'Ordenes_Odoo'!I2897)</f>
        <v/>
      </c>
      <c r="J2897" s="79">
        <f>IF('Ordenes_Odoo'!J2897="","",'Ordenes_Odoo'!J2897)</f>
        <v/>
      </c>
      <c r="K2897" s="81">
        <f>IF('Ordenes_Odoo'!K2897="","",'Ordenes_Odoo'!K2897)</f>
        <v/>
      </c>
      <c r="L2897" s="81">
        <f>IF('Ordenes_Odoo'!L2897="","",'Ordenes_Odoo'!L2897)</f>
        <v/>
      </c>
      <c r="M2897" s="79">
        <f>IF('Ordenes_Odoo'!M2897="","",'Ordenes_Odoo'!M2897)</f>
        <v/>
      </c>
      <c r="N2897" s="79">
        <f>IF('Ordenes_Odoo'!N2897="","",'Ordenes_Odoo'!N2897)</f>
        <v/>
      </c>
      <c r="O2897" s="81">
        <f>IF('Ordenes_Odoo'!O2897="","",'Ordenes_Odoo'!O2897)</f>
        <v/>
      </c>
      <c r="P2897" s="81">
        <f>IF('Ordenes_Odoo'!P2897="","",'Ordenes_Odoo'!P2897)</f>
        <v/>
      </c>
      <c r="Q2897" s="79">
        <f>IF(A2897="","",IFERROR(INDEX(Facturas_Odoo!$B:$B, MATCH(A2897, Facturas_Odoo!$D:$D, 0)), "Sin Factura"))</f>
        <v/>
      </c>
      <c r="R2897" s="80">
        <f>IF(Q2897="Sin Factura","",IFERROR(INDEX(Facturas_Odoo!$A:$A, MATCH(Q2897, Facturas_Odoo!$B:$B, 0)), ""))</f>
        <v/>
      </c>
      <c r="S2897" s="79">
        <f>IF(Q2897="Sin Factura","",IFERROR(_xlfn.XLOOKUP(1, (Facturas_Odoo!$D:$D=A2897) * (Facturas_Odoo!$K:$K=I2897), Facturas_Odoo!$L:$L, ""), ""))</f>
        <v/>
      </c>
      <c r="T2897" s="81">
        <f>IF(Q2897="Sin Factura",0,IFERROR(_xlfn.XLOOKUP(1, (Facturas_Odoo!$D:$D=A2897) * (Facturas_Odoo!$K:$K=I2897), Facturas_Odoo!$M:$M, 0), 0))</f>
        <v/>
      </c>
      <c r="U2897" s="79">
        <f>IF(Q2897="Sin Factura",0,IFERROR(_xlfn.XLOOKUP(1, (Facturas_Odoo!$D:$D=A2897) * (Facturas_Odoo!$K:$K=I2897), Facturas_Odoo!$N:$N, 0), 0))</f>
        <v/>
      </c>
      <c r="V2897" s="79">
        <f>IF(Q2897="Sin Factura",0,IFERROR(_xlfn.XLOOKUP(1, (Facturas_Odoo!$D:$D=A2897) * (Facturas_Odoo!$K:$K=I2897), Facturas_Odoo!$O:$O, 0), 0))</f>
        <v/>
      </c>
      <c r="W2897" s="81">
        <f>IF(Q2897="Sin Factura",0,IFERROR(_xlfn.XLOOKUP(1, (Facturas_Odoo!$D:$D=A2897) * (Facturas_Odoo!$K:$K=I2897), Facturas_Odoo!$Q:$Q, 0), 0))</f>
        <v/>
      </c>
      <c r="X2897" s="79">
        <f>IF(OR(Q2897="Sin Factura",Q2897=""),"",IFERROR(INDEX(Pagos_Odoo!$B:$B, MATCH(Q2897, Pagos_Odoo!$I:$I, 0)), "Sin Pago"))</f>
        <v/>
      </c>
      <c r="Y2897" s="79">
        <f>IF(X2897="Sin Pago","",IFERROR(INDEX(Pagos_Odoo!$C:$C, MATCH(X2897, Pagos_Odoo!$B:$B, 0)), ""))</f>
        <v/>
      </c>
      <c r="Z2897" s="80">
        <f>IF(X2897="Sin Pago","",IFERROR(INDEX(Pagos_Odoo!$A:$A, MATCH(X2897, Pagos_Odoo!$B:$B, 0)), ""))</f>
        <v/>
      </c>
      <c r="AA2897" s="79">
        <f>IF(X2897="Sin Pago","",IFERROR(INDEX(Pagos_Odoo!$F:$F, MATCH(X2897, Pagos_Odoo!$B:$B, 0)), ""))</f>
        <v/>
      </c>
      <c r="AB2897" s="81">
        <f>IF(X2897="Sin Pago",0,IFERROR(INDEX(Pagos_Odoo!$E:$E, MATCH(X2897, Pagos_Odoo!$B:$B, 0)), 0))</f>
        <v/>
      </c>
      <c r="AC2897" s="79">
        <f>IF(X2897="Sin Pago","",IFERROR(INDEX(Pagos_Odoo!$G:$G, MATCH(X2897, Pagos_Odoo!$B:$B, 0)), ""))</f>
        <v/>
      </c>
      <c r="AD2897" s="82" t="n">
        <v>0</v>
      </c>
      <c r="AE2897" s="82" t="n"/>
      <c r="AF2897" s="82" t="n"/>
      <c r="AG2897" s="82">
        <f>IF(AN2897="","",AD2897+AE2897+AF2897)</f>
        <v/>
      </c>
      <c r="AH2897" s="81">
        <f>IF(AN2897="","",P2897*(1-AG2897))</f>
        <v/>
      </c>
      <c r="AI2897" s="81">
        <f>IF(AN2897="","",IF(Q2897="Sin Factura",0,IFERROR(INDEX(Facturas_Odoo!$H:$H, MATCH(Q2897, Facturas_Odoo!$B:$B, 0)), 0)*(1-AG2897)))</f>
        <v/>
      </c>
      <c r="AJ2897" s="81">
        <f>IF(AN2897="","",_xlfn.LET(idVenta, AN2897&amp;"",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97" s="81">
        <f>IF(AN2897="","",AH2897-AJ2897)</f>
        <v/>
      </c>
      <c r="AL2897" s="81">
        <f>IF(AN2897="","",IF(Q2897="Sin Factura","",AI2897-AJ2897))</f>
        <v/>
      </c>
      <c r="AM2897" s="81">
        <f>IF(AN2897="","",IF(Q2897="Sin Factura",0,P2897-IFERROR(INDEX(Facturas_Odoo!$H:$H, MATCH(Q2897, Facturas_Odoo!$B:$B, 0)), 0)))</f>
        <v/>
      </c>
      <c r="AN2897" s="79">
        <f>IF(AND(A2897="", J2897=""), "", IF(A2897&lt;&gt;"", VALUE(MID(A2897,2,LEN(A2897))), AN2896))</f>
        <v/>
      </c>
      <c r="AO2897" s="79">
        <f>IF(AN2897="","",IF(AD2897=0,"OK",_xlfn.LET(monedaPago, IF(AA2897="","USD",AA2897), limitePermitido, IFERROR(VLOOKUP(monedaPago, Configuración!$A$2:$B$3, 2, FALSE), 0.15), IF(AD2897&gt;limitePermitido, "ALERTA: EXCESO (" &amp; TEXT(limitePermitido, "0%") &amp; " máx)", "OK"))))</f>
        <v/>
      </c>
      <c r="AP2897" s="79">
        <f>IF(AN2897="","",IF(AE2897=0,"OK",_xlfn.LET(fechaPago, Z2897, fechaFactura, R2897, diasCredito, IF(E2897="Pago inmediato", 0, IFERROR(VALUE(MID(E2897, 1, SEARCH(" ", E2897)-1)),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97" s="79">
        <f>IF(AN2897="","",IF(AND(N2897&gt;0, AG2897&gt;0), IF(Configuración!$K$2="NO", "ALERTA: DESCUENTO DOBLE NO PERMITIDO", "OK"), "OK"))</f>
        <v/>
      </c>
      <c r="AR2897" s="79">
        <f>IF(AN2897="","",IF(OR(AO2897&lt;&gt;"OK", AP2897&lt;&gt;"OK", AQ2897&lt;&gt;"OK"), "⚠️ REVISAR", "OK"))</f>
        <v/>
      </c>
    </row>
    <row r="2898">
      <c r="A2898" s="79">
        <f>IF('Ordenes_Odoo'!A2898="","",'Ordenes_Odoo'!A2898)</f>
        <v/>
      </c>
      <c r="B2898" s="80">
        <f>IF('Ordenes_Odoo'!B2898="","",'Ordenes_Odoo'!B2898)</f>
        <v/>
      </c>
      <c r="C2898" s="79">
        <f>IF('Ordenes_Odoo'!C2898="","",'Ordenes_Odoo'!C2898)</f>
        <v/>
      </c>
      <c r="D2898" s="79">
        <f>IF('Ordenes_Odoo'!D2898="","",'Ordenes_Odoo'!D2898)</f>
        <v/>
      </c>
      <c r="E2898" s="79">
        <f>IF('Ordenes_Odoo'!E2898="","",'Ordenes_Odoo'!E2898)</f>
        <v/>
      </c>
      <c r="F2898" s="79">
        <f>IF('Ordenes_Odoo'!F2898="","",'Ordenes_Odoo'!F2898)</f>
        <v/>
      </c>
      <c r="G2898" s="79">
        <f>IF('Ordenes_Odoo'!G2898="","",'Ordenes_Odoo'!G2898)</f>
        <v/>
      </c>
      <c r="H2898" s="79">
        <f>IF('Ordenes_Odoo'!H2898="","",'Ordenes_Odoo'!H2898)</f>
        <v/>
      </c>
      <c r="I2898" s="79">
        <f>IF('Ordenes_Odoo'!I2898="","",'Ordenes_Odoo'!I2898)</f>
        <v/>
      </c>
      <c r="J2898" s="79">
        <f>IF('Ordenes_Odoo'!J2898="","",'Ordenes_Odoo'!J2898)</f>
        <v/>
      </c>
      <c r="K2898" s="81">
        <f>IF('Ordenes_Odoo'!K2898="","",'Ordenes_Odoo'!K2898)</f>
        <v/>
      </c>
      <c r="L2898" s="81">
        <f>IF('Ordenes_Odoo'!L2898="","",'Ordenes_Odoo'!L2898)</f>
        <v/>
      </c>
      <c r="M2898" s="79">
        <f>IF('Ordenes_Odoo'!M2898="","",'Ordenes_Odoo'!M2898)</f>
        <v/>
      </c>
      <c r="N2898" s="79">
        <f>IF('Ordenes_Odoo'!N2898="","",'Ordenes_Odoo'!N2898)</f>
        <v/>
      </c>
      <c r="O2898" s="81">
        <f>IF('Ordenes_Odoo'!O2898="","",'Ordenes_Odoo'!O2898)</f>
        <v/>
      </c>
      <c r="P2898" s="81">
        <f>IF('Ordenes_Odoo'!P2898="","",'Ordenes_Odoo'!P2898)</f>
        <v/>
      </c>
      <c r="Q2898" s="79">
        <f>IF(A2898="","",IFERROR(INDEX(Facturas_Odoo!$B:$B, MATCH(A2898, Facturas_Odoo!$D:$D, 0)), "Sin Factura"))</f>
        <v/>
      </c>
      <c r="R2898" s="80">
        <f>IF(Q2898="Sin Factura","",IFERROR(INDEX(Facturas_Odoo!$A:$A, MATCH(Q2898, Facturas_Odoo!$B:$B, 0)), ""))</f>
        <v/>
      </c>
      <c r="S2898" s="79">
        <f>IF(Q2898="Sin Factura","",IFERROR(_xlfn.XLOOKUP(1, (Facturas_Odoo!$D:$D=A2898) * (Facturas_Odoo!$K:$K=I2898), Facturas_Odoo!$L:$L, ""), ""))</f>
        <v/>
      </c>
      <c r="T2898" s="81">
        <f>IF(Q2898="Sin Factura",0,IFERROR(_xlfn.XLOOKUP(1, (Facturas_Odoo!$D:$D=A2898) * (Facturas_Odoo!$K:$K=I2898), Facturas_Odoo!$M:$M, 0), 0))</f>
        <v/>
      </c>
      <c r="U2898" s="79">
        <f>IF(Q2898="Sin Factura",0,IFERROR(_xlfn.XLOOKUP(1, (Facturas_Odoo!$D:$D=A2898) * (Facturas_Odoo!$K:$K=I2898), Facturas_Odoo!$N:$N, 0), 0))</f>
        <v/>
      </c>
      <c r="V2898" s="79">
        <f>IF(Q2898="Sin Factura",0,IFERROR(_xlfn.XLOOKUP(1, (Facturas_Odoo!$D:$D=A2898) * (Facturas_Odoo!$K:$K=I2898), Facturas_Odoo!$O:$O, 0), 0))</f>
        <v/>
      </c>
      <c r="W2898" s="81">
        <f>IF(Q2898="Sin Factura",0,IFERROR(_xlfn.XLOOKUP(1, (Facturas_Odoo!$D:$D=A2898) * (Facturas_Odoo!$K:$K=I2898), Facturas_Odoo!$Q:$Q, 0), 0))</f>
        <v/>
      </c>
      <c r="X2898" s="79">
        <f>IF(OR(Q2898="Sin Factura",Q2898=""),"",IFERROR(INDEX(Pagos_Odoo!$B:$B, MATCH(Q2898, Pagos_Odoo!$I:$I, 0)), "Sin Pago"))</f>
        <v/>
      </c>
      <c r="Y2898" s="79">
        <f>IF(X2898="Sin Pago","",IFERROR(INDEX(Pagos_Odoo!$C:$C, MATCH(X2898, Pagos_Odoo!$B:$B, 0)), ""))</f>
        <v/>
      </c>
      <c r="Z2898" s="80">
        <f>IF(X2898="Sin Pago","",IFERROR(INDEX(Pagos_Odoo!$A:$A, MATCH(X2898, Pagos_Odoo!$B:$B, 0)), ""))</f>
        <v/>
      </c>
      <c r="AA2898" s="79">
        <f>IF(X2898="Sin Pago","",IFERROR(INDEX(Pagos_Odoo!$F:$F, MATCH(X2898, Pagos_Odoo!$B:$B, 0)), ""))</f>
        <v/>
      </c>
      <c r="AB2898" s="81">
        <f>IF(X2898="Sin Pago",0,IFERROR(INDEX(Pagos_Odoo!$E:$E, MATCH(X2898, Pagos_Odoo!$B:$B, 0)), 0))</f>
        <v/>
      </c>
      <c r="AC2898" s="79">
        <f>IF(X2898="Sin Pago","",IFERROR(INDEX(Pagos_Odoo!$G:$G, MATCH(X2898, Pagos_Odoo!$B:$B, 0)), ""))</f>
        <v/>
      </c>
      <c r="AD2898" s="82" t="n">
        <v>0</v>
      </c>
      <c r="AE2898" s="82" t="n"/>
      <c r="AF2898" s="82" t="n"/>
      <c r="AG2898" s="82">
        <f>IF(AN2898="","",AD2898+AE2898+AF2898)</f>
        <v/>
      </c>
      <c r="AH2898" s="81">
        <f>IF(AN2898="","",P2898*(1-AG2898))</f>
        <v/>
      </c>
      <c r="AI2898" s="81">
        <f>IF(AN2898="","",IF(Q2898="Sin Factura",0,IFERROR(INDEX(Facturas_Odoo!$H:$H, MATCH(Q2898, Facturas_Odoo!$B:$B, 0)), 0)*(1-AG2898)))</f>
        <v/>
      </c>
      <c r="AJ2898" s="81">
        <f>IF(AN2898="","",_xlfn.LET(idVenta, AN2898&amp;"",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98" s="81">
        <f>IF(AN2898="","",AH2898-AJ2898)</f>
        <v/>
      </c>
      <c r="AL2898" s="81">
        <f>IF(AN2898="","",IF(Q2898="Sin Factura","",AI2898-AJ2898))</f>
        <v/>
      </c>
      <c r="AM2898" s="81">
        <f>IF(AN2898="","",IF(Q2898="Sin Factura",0,P2898-IFERROR(INDEX(Facturas_Odoo!$H:$H, MATCH(Q2898, Facturas_Odoo!$B:$B, 0)), 0)))</f>
        <v/>
      </c>
      <c r="AN2898" s="79">
        <f>IF(AND(A2898="", J2898=""), "", IF(A2898&lt;&gt;"", VALUE(MID(A2898,2,LEN(A2898))), AN2897))</f>
        <v/>
      </c>
      <c r="AO2898" s="79">
        <f>IF(AN2898="","",IF(AD2898=0,"OK",_xlfn.LET(monedaPago, IF(AA2898="","USD",AA2898), limitePermitido, IFERROR(VLOOKUP(monedaPago, Configuración!$A$2:$B$3, 2, FALSE), 0.15), IF(AD2898&gt;limitePermitido, "ALERTA: EXCESO (" &amp; TEXT(limitePermitido, "0%") &amp; " máx)", "OK"))))</f>
        <v/>
      </c>
      <c r="AP2898" s="79">
        <f>IF(AN2898="","",IF(AE2898=0,"OK",_xlfn.LET(fechaPago, Z2898, fechaFactura, R2898, diasCredito, IF(E2898="Pago inmediato", 0, IFERROR(VALUE(MID(E2898, 1, SEARCH(" ", E2898)-1)),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98" s="79">
        <f>IF(AN2898="","",IF(AND(N2898&gt;0, AG2898&gt;0), IF(Configuración!$K$2="NO", "ALERTA: DESCUENTO DOBLE NO PERMITIDO", "OK"), "OK"))</f>
        <v/>
      </c>
      <c r="AR2898" s="79">
        <f>IF(AN2898="","",IF(OR(AO2898&lt;&gt;"OK", AP2898&lt;&gt;"OK", AQ2898&lt;&gt;"OK"), "⚠️ REVISAR", "OK"))</f>
        <v/>
      </c>
    </row>
    <row r="2899">
      <c r="A2899" s="79">
        <f>IF('Ordenes_Odoo'!A2899="","",'Ordenes_Odoo'!A2899)</f>
        <v/>
      </c>
      <c r="B2899" s="80">
        <f>IF('Ordenes_Odoo'!B2899="","",'Ordenes_Odoo'!B2899)</f>
        <v/>
      </c>
      <c r="C2899" s="79">
        <f>IF('Ordenes_Odoo'!C2899="","",'Ordenes_Odoo'!C2899)</f>
        <v/>
      </c>
      <c r="D2899" s="79">
        <f>IF('Ordenes_Odoo'!D2899="","",'Ordenes_Odoo'!D2899)</f>
        <v/>
      </c>
      <c r="E2899" s="79">
        <f>IF('Ordenes_Odoo'!E2899="","",'Ordenes_Odoo'!E2899)</f>
        <v/>
      </c>
      <c r="F2899" s="79">
        <f>IF('Ordenes_Odoo'!F2899="","",'Ordenes_Odoo'!F2899)</f>
        <v/>
      </c>
      <c r="G2899" s="79">
        <f>IF('Ordenes_Odoo'!G2899="","",'Ordenes_Odoo'!G2899)</f>
        <v/>
      </c>
      <c r="H2899" s="79">
        <f>IF('Ordenes_Odoo'!H2899="","",'Ordenes_Odoo'!H2899)</f>
        <v/>
      </c>
      <c r="I2899" s="79">
        <f>IF('Ordenes_Odoo'!I2899="","",'Ordenes_Odoo'!I2899)</f>
        <v/>
      </c>
      <c r="J2899" s="79">
        <f>IF('Ordenes_Odoo'!J2899="","",'Ordenes_Odoo'!J2899)</f>
        <v/>
      </c>
      <c r="K2899" s="81">
        <f>IF('Ordenes_Odoo'!K2899="","",'Ordenes_Odoo'!K2899)</f>
        <v/>
      </c>
      <c r="L2899" s="81">
        <f>IF('Ordenes_Odoo'!L2899="","",'Ordenes_Odoo'!L2899)</f>
        <v/>
      </c>
      <c r="M2899" s="79">
        <f>IF('Ordenes_Odoo'!M2899="","",'Ordenes_Odoo'!M2899)</f>
        <v/>
      </c>
      <c r="N2899" s="79">
        <f>IF('Ordenes_Odoo'!N2899="","",'Ordenes_Odoo'!N2899)</f>
        <v/>
      </c>
      <c r="O2899" s="81">
        <f>IF('Ordenes_Odoo'!O2899="","",'Ordenes_Odoo'!O2899)</f>
        <v/>
      </c>
      <c r="P2899" s="81">
        <f>IF('Ordenes_Odoo'!P2899="","",'Ordenes_Odoo'!P2899)</f>
        <v/>
      </c>
      <c r="Q2899" s="79">
        <f>IF(A2899="","",IFERROR(INDEX(Facturas_Odoo!$B:$B, MATCH(A2899, Facturas_Odoo!$D:$D, 0)), "Sin Factura"))</f>
        <v/>
      </c>
      <c r="R2899" s="80">
        <f>IF(Q2899="Sin Factura","",IFERROR(INDEX(Facturas_Odoo!$A:$A, MATCH(Q2899, Facturas_Odoo!$B:$B, 0)), ""))</f>
        <v/>
      </c>
      <c r="S2899" s="79">
        <f>IF(Q2899="Sin Factura","",IFERROR(_xlfn.XLOOKUP(1, (Facturas_Odoo!$D:$D=A2899) * (Facturas_Odoo!$K:$K=I2899), Facturas_Odoo!$L:$L, ""), ""))</f>
        <v/>
      </c>
      <c r="T2899" s="81">
        <f>IF(Q2899="Sin Factura",0,IFERROR(_xlfn.XLOOKUP(1, (Facturas_Odoo!$D:$D=A2899) * (Facturas_Odoo!$K:$K=I2899), Facturas_Odoo!$M:$M, 0), 0))</f>
        <v/>
      </c>
      <c r="U2899" s="79">
        <f>IF(Q2899="Sin Factura",0,IFERROR(_xlfn.XLOOKUP(1, (Facturas_Odoo!$D:$D=A2899) * (Facturas_Odoo!$K:$K=I2899), Facturas_Odoo!$N:$N, 0), 0))</f>
        <v/>
      </c>
      <c r="V2899" s="79">
        <f>IF(Q2899="Sin Factura",0,IFERROR(_xlfn.XLOOKUP(1, (Facturas_Odoo!$D:$D=A2899) * (Facturas_Odoo!$K:$K=I2899), Facturas_Odoo!$O:$O, 0), 0))</f>
        <v/>
      </c>
      <c r="W2899" s="81">
        <f>IF(Q2899="Sin Factura",0,IFERROR(_xlfn.XLOOKUP(1, (Facturas_Odoo!$D:$D=A2899) * (Facturas_Odoo!$K:$K=I2899), Facturas_Odoo!$Q:$Q, 0), 0))</f>
        <v/>
      </c>
      <c r="X2899" s="79">
        <f>IF(OR(Q2899="Sin Factura",Q2899=""),"",IFERROR(INDEX(Pagos_Odoo!$B:$B, MATCH(Q2899, Pagos_Odoo!$I:$I, 0)), "Sin Pago"))</f>
        <v/>
      </c>
      <c r="Y2899" s="79">
        <f>IF(X2899="Sin Pago","",IFERROR(INDEX(Pagos_Odoo!$C:$C, MATCH(X2899, Pagos_Odoo!$B:$B, 0)), ""))</f>
        <v/>
      </c>
      <c r="Z2899" s="80">
        <f>IF(X2899="Sin Pago","",IFERROR(INDEX(Pagos_Odoo!$A:$A, MATCH(X2899, Pagos_Odoo!$B:$B, 0)), ""))</f>
        <v/>
      </c>
      <c r="AA2899" s="79">
        <f>IF(X2899="Sin Pago","",IFERROR(INDEX(Pagos_Odoo!$F:$F, MATCH(X2899, Pagos_Odoo!$B:$B, 0)), ""))</f>
        <v/>
      </c>
      <c r="AB2899" s="81">
        <f>IF(X2899="Sin Pago",0,IFERROR(INDEX(Pagos_Odoo!$E:$E, MATCH(X2899, Pagos_Odoo!$B:$B, 0)), 0))</f>
        <v/>
      </c>
      <c r="AC2899" s="79">
        <f>IF(X2899="Sin Pago","",IFERROR(INDEX(Pagos_Odoo!$G:$G, MATCH(X2899, Pagos_Odoo!$B:$B, 0)), ""))</f>
        <v/>
      </c>
      <c r="AD2899" s="82" t="n">
        <v>0</v>
      </c>
      <c r="AE2899" s="82" t="n"/>
      <c r="AF2899" s="82" t="n"/>
      <c r="AG2899" s="82">
        <f>IF(AN2899="","",AD2899+AE2899+AF2899)</f>
        <v/>
      </c>
      <c r="AH2899" s="81">
        <f>IF(AN2899="","",P2899*(1-AG2899))</f>
        <v/>
      </c>
      <c r="AI2899" s="81">
        <f>IF(AN2899="","",IF(Q2899="Sin Factura",0,IFERROR(INDEX(Facturas_Odoo!$H:$H, MATCH(Q2899, Facturas_Odoo!$B:$B, 0)), 0)*(1-AG2899)))</f>
        <v/>
      </c>
      <c r="AJ2899" s="81">
        <f>IF(AN2899="","",_xlfn.LET(idVenta, AN2899&amp;"",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899" s="81">
        <f>IF(AN2899="","",AH2899-AJ2899)</f>
        <v/>
      </c>
      <c r="AL2899" s="81">
        <f>IF(AN2899="","",IF(Q2899="Sin Factura","",AI2899-AJ2899))</f>
        <v/>
      </c>
      <c r="AM2899" s="81">
        <f>IF(AN2899="","",IF(Q2899="Sin Factura",0,P2899-IFERROR(INDEX(Facturas_Odoo!$H:$H, MATCH(Q2899, Facturas_Odoo!$B:$B, 0)), 0)))</f>
        <v/>
      </c>
      <c r="AN2899" s="79">
        <f>IF(AND(A2899="", J2899=""), "", IF(A2899&lt;&gt;"", VALUE(MID(A2899,2,LEN(A2899))), AN2898))</f>
        <v/>
      </c>
      <c r="AO2899" s="79">
        <f>IF(AN2899="","",IF(AD2899=0,"OK",_xlfn.LET(monedaPago, IF(AA2899="","USD",AA2899), limitePermitido, IFERROR(VLOOKUP(monedaPago, Configuración!$A$2:$B$3, 2, FALSE), 0.15), IF(AD2899&gt;limitePermitido, "ALERTA: EXCESO (" &amp; TEXT(limitePermitido, "0%") &amp; " máx)", "OK"))))</f>
        <v/>
      </c>
      <c r="AP2899" s="79">
        <f>IF(AN2899="","",IF(AE2899=0,"OK",_xlfn.LET(fechaPago, Z2899, fechaFactura, R2899, diasCredito, IF(E2899="Pago inmediato", 0, IFERROR(VALUE(MID(E2899, 1, SEARCH(" ", E2899)-1)),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899" s="79">
        <f>IF(AN2899="","",IF(AND(N2899&gt;0, AG2899&gt;0), IF(Configuración!$K$2="NO", "ALERTA: DESCUENTO DOBLE NO PERMITIDO", "OK"), "OK"))</f>
        <v/>
      </c>
      <c r="AR2899" s="79">
        <f>IF(AN2899="","",IF(OR(AO2899&lt;&gt;"OK", AP2899&lt;&gt;"OK", AQ2899&lt;&gt;"OK"), "⚠️ REVISAR", "OK"))</f>
        <v/>
      </c>
    </row>
    <row r="2900">
      <c r="A2900" s="79">
        <f>IF('Ordenes_Odoo'!A2900="","",'Ordenes_Odoo'!A2900)</f>
        <v/>
      </c>
      <c r="B2900" s="80">
        <f>IF('Ordenes_Odoo'!B2900="","",'Ordenes_Odoo'!B2900)</f>
        <v/>
      </c>
      <c r="C2900" s="79">
        <f>IF('Ordenes_Odoo'!C2900="","",'Ordenes_Odoo'!C2900)</f>
        <v/>
      </c>
      <c r="D2900" s="79">
        <f>IF('Ordenes_Odoo'!D2900="","",'Ordenes_Odoo'!D2900)</f>
        <v/>
      </c>
      <c r="E2900" s="79">
        <f>IF('Ordenes_Odoo'!E2900="","",'Ordenes_Odoo'!E2900)</f>
        <v/>
      </c>
      <c r="F2900" s="79">
        <f>IF('Ordenes_Odoo'!F2900="","",'Ordenes_Odoo'!F2900)</f>
        <v/>
      </c>
      <c r="G2900" s="79">
        <f>IF('Ordenes_Odoo'!G2900="","",'Ordenes_Odoo'!G2900)</f>
        <v/>
      </c>
      <c r="H2900" s="79">
        <f>IF('Ordenes_Odoo'!H2900="","",'Ordenes_Odoo'!H2900)</f>
        <v/>
      </c>
      <c r="I2900" s="79">
        <f>IF('Ordenes_Odoo'!I2900="","",'Ordenes_Odoo'!I2900)</f>
        <v/>
      </c>
      <c r="J2900" s="79">
        <f>IF('Ordenes_Odoo'!J2900="","",'Ordenes_Odoo'!J2900)</f>
        <v/>
      </c>
      <c r="K2900" s="81">
        <f>IF('Ordenes_Odoo'!K2900="","",'Ordenes_Odoo'!K2900)</f>
        <v/>
      </c>
      <c r="L2900" s="81">
        <f>IF('Ordenes_Odoo'!L2900="","",'Ordenes_Odoo'!L2900)</f>
        <v/>
      </c>
      <c r="M2900" s="79">
        <f>IF('Ordenes_Odoo'!M2900="","",'Ordenes_Odoo'!M2900)</f>
        <v/>
      </c>
      <c r="N2900" s="79">
        <f>IF('Ordenes_Odoo'!N2900="","",'Ordenes_Odoo'!N2900)</f>
        <v/>
      </c>
      <c r="O2900" s="81">
        <f>IF('Ordenes_Odoo'!O2900="","",'Ordenes_Odoo'!O2900)</f>
        <v/>
      </c>
      <c r="P2900" s="81">
        <f>IF('Ordenes_Odoo'!P2900="","",'Ordenes_Odoo'!P2900)</f>
        <v/>
      </c>
      <c r="Q2900" s="79">
        <f>IF(A2900="","",IFERROR(INDEX(Facturas_Odoo!$B:$B, MATCH(A2900, Facturas_Odoo!$D:$D, 0)), "Sin Factura"))</f>
        <v/>
      </c>
      <c r="R2900" s="80">
        <f>IF(Q2900="Sin Factura","",IFERROR(INDEX(Facturas_Odoo!$A:$A, MATCH(Q2900, Facturas_Odoo!$B:$B, 0)), ""))</f>
        <v/>
      </c>
      <c r="S2900" s="79">
        <f>IF(Q2900="Sin Factura","",IFERROR(_xlfn.XLOOKUP(1, (Facturas_Odoo!$D:$D=A2900) * (Facturas_Odoo!$K:$K=I2900), Facturas_Odoo!$L:$L, ""), ""))</f>
        <v/>
      </c>
      <c r="T2900" s="81">
        <f>IF(Q2900="Sin Factura",0,IFERROR(_xlfn.XLOOKUP(1, (Facturas_Odoo!$D:$D=A2900) * (Facturas_Odoo!$K:$K=I2900), Facturas_Odoo!$M:$M, 0), 0))</f>
        <v/>
      </c>
      <c r="U2900" s="79">
        <f>IF(Q2900="Sin Factura",0,IFERROR(_xlfn.XLOOKUP(1, (Facturas_Odoo!$D:$D=A2900) * (Facturas_Odoo!$K:$K=I2900), Facturas_Odoo!$N:$N, 0), 0))</f>
        <v/>
      </c>
      <c r="V2900" s="79">
        <f>IF(Q2900="Sin Factura",0,IFERROR(_xlfn.XLOOKUP(1, (Facturas_Odoo!$D:$D=A2900) * (Facturas_Odoo!$K:$K=I2900), Facturas_Odoo!$O:$O, 0), 0))</f>
        <v/>
      </c>
      <c r="W2900" s="81">
        <f>IF(Q2900="Sin Factura",0,IFERROR(_xlfn.XLOOKUP(1, (Facturas_Odoo!$D:$D=A2900) * (Facturas_Odoo!$K:$K=I2900), Facturas_Odoo!$Q:$Q, 0), 0))</f>
        <v/>
      </c>
      <c r="X2900" s="79">
        <f>IF(OR(Q2900="Sin Factura",Q2900=""),"",IFERROR(INDEX(Pagos_Odoo!$B:$B, MATCH(Q2900, Pagos_Odoo!$I:$I, 0)), "Sin Pago"))</f>
        <v/>
      </c>
      <c r="Y2900" s="79">
        <f>IF(X2900="Sin Pago","",IFERROR(INDEX(Pagos_Odoo!$C:$C, MATCH(X2900, Pagos_Odoo!$B:$B, 0)), ""))</f>
        <v/>
      </c>
      <c r="Z2900" s="80">
        <f>IF(X2900="Sin Pago","",IFERROR(INDEX(Pagos_Odoo!$A:$A, MATCH(X2900, Pagos_Odoo!$B:$B, 0)), ""))</f>
        <v/>
      </c>
      <c r="AA2900" s="79">
        <f>IF(X2900="Sin Pago","",IFERROR(INDEX(Pagos_Odoo!$F:$F, MATCH(X2900, Pagos_Odoo!$B:$B, 0)), ""))</f>
        <v/>
      </c>
      <c r="AB2900" s="81">
        <f>IF(X2900="Sin Pago",0,IFERROR(INDEX(Pagos_Odoo!$E:$E, MATCH(X2900, Pagos_Odoo!$B:$B, 0)), 0))</f>
        <v/>
      </c>
      <c r="AC2900" s="79">
        <f>IF(X2900="Sin Pago","",IFERROR(INDEX(Pagos_Odoo!$G:$G, MATCH(X2900, Pagos_Odoo!$B:$B, 0)), ""))</f>
        <v/>
      </c>
      <c r="AD2900" s="82" t="n">
        <v>0</v>
      </c>
      <c r="AE2900" s="82" t="n"/>
      <c r="AF2900" s="82" t="n"/>
      <c r="AG2900" s="82">
        <f>IF(AN2900="","",AD2900+AE2900+AF2900)</f>
        <v/>
      </c>
      <c r="AH2900" s="81">
        <f>IF(AN2900="","",P2900*(1-AG2900))</f>
        <v/>
      </c>
      <c r="AI2900" s="81">
        <f>IF(AN2900="","",IF(Q2900="Sin Factura",0,IFERROR(INDEX(Facturas_Odoo!$H:$H, MATCH(Q2900, Facturas_Odoo!$B:$B, 0)), 0)*(1-AG2900)))</f>
        <v/>
      </c>
      <c r="AJ2900" s="81">
        <f>IF(AN2900="","",_xlfn.LET(idVenta, AN2900&amp;"",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00" s="81">
        <f>IF(AN2900="","",AH2900-AJ2900)</f>
        <v/>
      </c>
      <c r="AL2900" s="81">
        <f>IF(AN2900="","",IF(Q2900="Sin Factura","",AI2900-AJ2900))</f>
        <v/>
      </c>
      <c r="AM2900" s="81">
        <f>IF(AN2900="","",IF(Q2900="Sin Factura",0,P2900-IFERROR(INDEX(Facturas_Odoo!$H:$H, MATCH(Q2900, Facturas_Odoo!$B:$B, 0)), 0)))</f>
        <v/>
      </c>
      <c r="AN2900" s="79">
        <f>IF(AND(A2900="", J2900=""), "", IF(A2900&lt;&gt;"", VALUE(MID(A2900,2,LEN(A2900))), AN2899))</f>
        <v/>
      </c>
      <c r="AO2900" s="79">
        <f>IF(AN2900="","",IF(AD2900=0,"OK",_xlfn.LET(monedaPago, IF(AA2900="","USD",AA2900), limitePermitido, IFERROR(VLOOKUP(monedaPago, Configuración!$A$2:$B$3, 2, FALSE), 0.15), IF(AD2900&gt;limitePermitido, "ALERTA: EXCESO (" &amp; TEXT(limitePermitido, "0%") &amp; " máx)", "OK"))))</f>
        <v/>
      </c>
      <c r="AP2900" s="79">
        <f>IF(AN2900="","",IF(AE2900=0,"OK",_xlfn.LET(fechaPago, Z2900, fechaFactura, R2900, diasCredito, IF(E2900="Pago inmediato", 0, IFERROR(VALUE(MID(E2900, 1, SEARCH(" ", E2900)-1)),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00" s="79">
        <f>IF(AN2900="","",IF(AND(N2900&gt;0, AG2900&gt;0), IF(Configuración!$K$2="NO", "ALERTA: DESCUENTO DOBLE NO PERMITIDO", "OK"), "OK"))</f>
        <v/>
      </c>
      <c r="AR2900" s="79">
        <f>IF(AN2900="","",IF(OR(AO2900&lt;&gt;"OK", AP2900&lt;&gt;"OK", AQ2900&lt;&gt;"OK"), "⚠️ REVISAR", "OK"))</f>
        <v/>
      </c>
    </row>
    <row r="2901">
      <c r="A2901" s="79">
        <f>IF('Ordenes_Odoo'!A2901="","",'Ordenes_Odoo'!A2901)</f>
        <v/>
      </c>
      <c r="B2901" s="80">
        <f>IF('Ordenes_Odoo'!B2901="","",'Ordenes_Odoo'!B2901)</f>
        <v/>
      </c>
      <c r="C2901" s="79">
        <f>IF('Ordenes_Odoo'!C2901="","",'Ordenes_Odoo'!C2901)</f>
        <v/>
      </c>
      <c r="D2901" s="79">
        <f>IF('Ordenes_Odoo'!D2901="","",'Ordenes_Odoo'!D2901)</f>
        <v/>
      </c>
      <c r="E2901" s="79">
        <f>IF('Ordenes_Odoo'!E2901="","",'Ordenes_Odoo'!E2901)</f>
        <v/>
      </c>
      <c r="F2901" s="79">
        <f>IF('Ordenes_Odoo'!F2901="","",'Ordenes_Odoo'!F2901)</f>
        <v/>
      </c>
      <c r="G2901" s="79">
        <f>IF('Ordenes_Odoo'!G2901="","",'Ordenes_Odoo'!G2901)</f>
        <v/>
      </c>
      <c r="H2901" s="79">
        <f>IF('Ordenes_Odoo'!H2901="","",'Ordenes_Odoo'!H2901)</f>
        <v/>
      </c>
      <c r="I2901" s="79">
        <f>IF('Ordenes_Odoo'!I2901="","",'Ordenes_Odoo'!I2901)</f>
        <v/>
      </c>
      <c r="J2901" s="79">
        <f>IF('Ordenes_Odoo'!J2901="","",'Ordenes_Odoo'!J2901)</f>
        <v/>
      </c>
      <c r="K2901" s="81">
        <f>IF('Ordenes_Odoo'!K2901="","",'Ordenes_Odoo'!K2901)</f>
        <v/>
      </c>
      <c r="L2901" s="81">
        <f>IF('Ordenes_Odoo'!L2901="","",'Ordenes_Odoo'!L2901)</f>
        <v/>
      </c>
      <c r="M2901" s="79">
        <f>IF('Ordenes_Odoo'!M2901="","",'Ordenes_Odoo'!M2901)</f>
        <v/>
      </c>
      <c r="N2901" s="79">
        <f>IF('Ordenes_Odoo'!N2901="","",'Ordenes_Odoo'!N2901)</f>
        <v/>
      </c>
      <c r="O2901" s="81">
        <f>IF('Ordenes_Odoo'!O2901="","",'Ordenes_Odoo'!O2901)</f>
        <v/>
      </c>
      <c r="P2901" s="81">
        <f>IF('Ordenes_Odoo'!P2901="","",'Ordenes_Odoo'!P2901)</f>
        <v/>
      </c>
      <c r="Q2901" s="79">
        <f>IF(A2901="","",IFERROR(INDEX(Facturas_Odoo!$B:$B, MATCH(A2901, Facturas_Odoo!$D:$D, 0)), "Sin Factura"))</f>
        <v/>
      </c>
      <c r="R2901" s="80">
        <f>IF(Q2901="Sin Factura","",IFERROR(INDEX(Facturas_Odoo!$A:$A, MATCH(Q2901, Facturas_Odoo!$B:$B, 0)), ""))</f>
        <v/>
      </c>
      <c r="S2901" s="79">
        <f>IF(Q2901="Sin Factura","",IFERROR(_xlfn.XLOOKUP(1, (Facturas_Odoo!$D:$D=A2901) * (Facturas_Odoo!$K:$K=I2901), Facturas_Odoo!$L:$L, ""), ""))</f>
        <v/>
      </c>
      <c r="T2901" s="81">
        <f>IF(Q2901="Sin Factura",0,IFERROR(_xlfn.XLOOKUP(1, (Facturas_Odoo!$D:$D=A2901) * (Facturas_Odoo!$K:$K=I2901), Facturas_Odoo!$M:$M, 0), 0))</f>
        <v/>
      </c>
      <c r="U2901" s="79">
        <f>IF(Q2901="Sin Factura",0,IFERROR(_xlfn.XLOOKUP(1, (Facturas_Odoo!$D:$D=A2901) * (Facturas_Odoo!$K:$K=I2901), Facturas_Odoo!$N:$N, 0), 0))</f>
        <v/>
      </c>
      <c r="V2901" s="79">
        <f>IF(Q2901="Sin Factura",0,IFERROR(_xlfn.XLOOKUP(1, (Facturas_Odoo!$D:$D=A2901) * (Facturas_Odoo!$K:$K=I2901), Facturas_Odoo!$O:$O, 0), 0))</f>
        <v/>
      </c>
      <c r="W2901" s="81">
        <f>IF(Q2901="Sin Factura",0,IFERROR(_xlfn.XLOOKUP(1, (Facturas_Odoo!$D:$D=A2901) * (Facturas_Odoo!$K:$K=I2901), Facturas_Odoo!$Q:$Q, 0), 0))</f>
        <v/>
      </c>
      <c r="X2901" s="79">
        <f>IF(OR(Q2901="Sin Factura",Q2901=""),"",IFERROR(INDEX(Pagos_Odoo!$B:$B, MATCH(Q2901, Pagos_Odoo!$I:$I, 0)), "Sin Pago"))</f>
        <v/>
      </c>
      <c r="Y2901" s="79">
        <f>IF(X2901="Sin Pago","",IFERROR(INDEX(Pagos_Odoo!$C:$C, MATCH(X2901, Pagos_Odoo!$B:$B, 0)), ""))</f>
        <v/>
      </c>
      <c r="Z2901" s="80">
        <f>IF(X2901="Sin Pago","",IFERROR(INDEX(Pagos_Odoo!$A:$A, MATCH(X2901, Pagos_Odoo!$B:$B, 0)), ""))</f>
        <v/>
      </c>
      <c r="AA2901" s="79">
        <f>IF(X2901="Sin Pago","",IFERROR(INDEX(Pagos_Odoo!$F:$F, MATCH(X2901, Pagos_Odoo!$B:$B, 0)), ""))</f>
        <v/>
      </c>
      <c r="AB2901" s="81">
        <f>IF(X2901="Sin Pago",0,IFERROR(INDEX(Pagos_Odoo!$E:$E, MATCH(X2901, Pagos_Odoo!$B:$B, 0)), 0))</f>
        <v/>
      </c>
      <c r="AC2901" s="79">
        <f>IF(X2901="Sin Pago","",IFERROR(INDEX(Pagos_Odoo!$G:$G, MATCH(X2901, Pagos_Odoo!$B:$B, 0)), ""))</f>
        <v/>
      </c>
      <c r="AD2901" s="82" t="n">
        <v>0</v>
      </c>
      <c r="AE2901" s="82" t="n"/>
      <c r="AF2901" s="82" t="n"/>
      <c r="AG2901" s="82">
        <f>IF(AN2901="","",AD2901+AE2901+AF2901)</f>
        <v/>
      </c>
      <c r="AH2901" s="81">
        <f>IF(AN2901="","",P2901*(1-AG2901))</f>
        <v/>
      </c>
      <c r="AI2901" s="81">
        <f>IF(AN2901="","",IF(Q2901="Sin Factura",0,IFERROR(INDEX(Facturas_Odoo!$H:$H, MATCH(Q2901, Facturas_Odoo!$B:$B, 0)), 0)*(1-AG2901)))</f>
        <v/>
      </c>
      <c r="AJ2901" s="81">
        <f>IF(AN2901="","",_xlfn.LET(idVenta, AN2901&amp;"",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01" s="81">
        <f>IF(AN2901="","",AH2901-AJ2901)</f>
        <v/>
      </c>
      <c r="AL2901" s="81">
        <f>IF(AN2901="","",IF(Q2901="Sin Factura","",AI2901-AJ2901))</f>
        <v/>
      </c>
      <c r="AM2901" s="81">
        <f>IF(AN2901="","",IF(Q2901="Sin Factura",0,P2901-IFERROR(INDEX(Facturas_Odoo!$H:$H, MATCH(Q2901, Facturas_Odoo!$B:$B, 0)), 0)))</f>
        <v/>
      </c>
      <c r="AN2901" s="79">
        <f>IF(AND(A2901="", J2901=""), "", IF(A2901&lt;&gt;"", VALUE(MID(A2901,2,LEN(A2901))), AN2900))</f>
        <v/>
      </c>
      <c r="AO2901" s="79">
        <f>IF(AN2901="","",IF(AD2901=0,"OK",_xlfn.LET(monedaPago, IF(AA2901="","USD",AA2901), limitePermitido, IFERROR(VLOOKUP(monedaPago, Configuración!$A$2:$B$3, 2, FALSE), 0.15), IF(AD2901&gt;limitePermitido, "ALERTA: EXCESO (" &amp; TEXT(limitePermitido, "0%") &amp; " máx)", "OK"))))</f>
        <v/>
      </c>
      <c r="AP2901" s="79">
        <f>IF(AN2901="","",IF(AE2901=0,"OK",_xlfn.LET(fechaPago, Z2901, fechaFactura, R2901, diasCredito, IF(E2901="Pago inmediato", 0, IFERROR(VALUE(MID(E2901, 1, SEARCH(" ", E2901)-1)),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01" s="79">
        <f>IF(AN2901="","",IF(AND(N2901&gt;0, AG2901&gt;0), IF(Configuración!$K$2="NO", "ALERTA: DESCUENTO DOBLE NO PERMITIDO", "OK"), "OK"))</f>
        <v/>
      </c>
      <c r="AR2901" s="79">
        <f>IF(AN2901="","",IF(OR(AO2901&lt;&gt;"OK", AP2901&lt;&gt;"OK", AQ2901&lt;&gt;"OK"), "⚠️ REVISAR", "OK"))</f>
        <v/>
      </c>
    </row>
    <row r="2902">
      <c r="A2902" s="79">
        <f>IF('Ordenes_Odoo'!A2902="","",'Ordenes_Odoo'!A2902)</f>
        <v/>
      </c>
      <c r="B2902" s="80">
        <f>IF('Ordenes_Odoo'!B2902="","",'Ordenes_Odoo'!B2902)</f>
        <v/>
      </c>
      <c r="C2902" s="79">
        <f>IF('Ordenes_Odoo'!C2902="","",'Ordenes_Odoo'!C2902)</f>
        <v/>
      </c>
      <c r="D2902" s="79">
        <f>IF('Ordenes_Odoo'!D2902="","",'Ordenes_Odoo'!D2902)</f>
        <v/>
      </c>
      <c r="E2902" s="79">
        <f>IF('Ordenes_Odoo'!E2902="","",'Ordenes_Odoo'!E2902)</f>
        <v/>
      </c>
      <c r="F2902" s="79">
        <f>IF('Ordenes_Odoo'!F2902="","",'Ordenes_Odoo'!F2902)</f>
        <v/>
      </c>
      <c r="G2902" s="79">
        <f>IF('Ordenes_Odoo'!G2902="","",'Ordenes_Odoo'!G2902)</f>
        <v/>
      </c>
      <c r="H2902" s="79">
        <f>IF('Ordenes_Odoo'!H2902="","",'Ordenes_Odoo'!H2902)</f>
        <v/>
      </c>
      <c r="I2902" s="79">
        <f>IF('Ordenes_Odoo'!I2902="","",'Ordenes_Odoo'!I2902)</f>
        <v/>
      </c>
      <c r="J2902" s="79">
        <f>IF('Ordenes_Odoo'!J2902="","",'Ordenes_Odoo'!J2902)</f>
        <v/>
      </c>
      <c r="K2902" s="81">
        <f>IF('Ordenes_Odoo'!K2902="","",'Ordenes_Odoo'!K2902)</f>
        <v/>
      </c>
      <c r="L2902" s="81">
        <f>IF('Ordenes_Odoo'!L2902="","",'Ordenes_Odoo'!L2902)</f>
        <v/>
      </c>
      <c r="M2902" s="79">
        <f>IF('Ordenes_Odoo'!M2902="","",'Ordenes_Odoo'!M2902)</f>
        <v/>
      </c>
      <c r="N2902" s="79">
        <f>IF('Ordenes_Odoo'!N2902="","",'Ordenes_Odoo'!N2902)</f>
        <v/>
      </c>
      <c r="O2902" s="81">
        <f>IF('Ordenes_Odoo'!O2902="","",'Ordenes_Odoo'!O2902)</f>
        <v/>
      </c>
      <c r="P2902" s="81">
        <f>IF('Ordenes_Odoo'!P2902="","",'Ordenes_Odoo'!P2902)</f>
        <v/>
      </c>
      <c r="Q2902" s="79">
        <f>IF(A2902="","",IFERROR(INDEX(Facturas_Odoo!$B:$B, MATCH(A2902, Facturas_Odoo!$D:$D, 0)), "Sin Factura"))</f>
        <v/>
      </c>
      <c r="R2902" s="80">
        <f>IF(Q2902="Sin Factura","",IFERROR(INDEX(Facturas_Odoo!$A:$A, MATCH(Q2902, Facturas_Odoo!$B:$B, 0)), ""))</f>
        <v/>
      </c>
      <c r="S2902" s="79">
        <f>IF(Q2902="Sin Factura","",IFERROR(_xlfn.XLOOKUP(1, (Facturas_Odoo!$D:$D=A2902) * (Facturas_Odoo!$K:$K=I2902), Facturas_Odoo!$L:$L, ""), ""))</f>
        <v/>
      </c>
      <c r="T2902" s="81">
        <f>IF(Q2902="Sin Factura",0,IFERROR(_xlfn.XLOOKUP(1, (Facturas_Odoo!$D:$D=A2902) * (Facturas_Odoo!$K:$K=I2902), Facturas_Odoo!$M:$M, 0), 0))</f>
        <v/>
      </c>
      <c r="U2902" s="79">
        <f>IF(Q2902="Sin Factura",0,IFERROR(_xlfn.XLOOKUP(1, (Facturas_Odoo!$D:$D=A2902) * (Facturas_Odoo!$K:$K=I2902), Facturas_Odoo!$N:$N, 0), 0))</f>
        <v/>
      </c>
      <c r="V2902" s="79">
        <f>IF(Q2902="Sin Factura",0,IFERROR(_xlfn.XLOOKUP(1, (Facturas_Odoo!$D:$D=A2902) * (Facturas_Odoo!$K:$K=I2902), Facturas_Odoo!$O:$O, 0), 0))</f>
        <v/>
      </c>
      <c r="W2902" s="81">
        <f>IF(Q2902="Sin Factura",0,IFERROR(_xlfn.XLOOKUP(1, (Facturas_Odoo!$D:$D=A2902) * (Facturas_Odoo!$K:$K=I2902), Facturas_Odoo!$Q:$Q, 0), 0))</f>
        <v/>
      </c>
      <c r="X2902" s="79">
        <f>IF(OR(Q2902="Sin Factura",Q2902=""),"",IFERROR(INDEX(Pagos_Odoo!$B:$B, MATCH(Q2902, Pagos_Odoo!$I:$I, 0)), "Sin Pago"))</f>
        <v/>
      </c>
      <c r="Y2902" s="79">
        <f>IF(X2902="Sin Pago","",IFERROR(INDEX(Pagos_Odoo!$C:$C, MATCH(X2902, Pagos_Odoo!$B:$B, 0)), ""))</f>
        <v/>
      </c>
      <c r="Z2902" s="80">
        <f>IF(X2902="Sin Pago","",IFERROR(INDEX(Pagos_Odoo!$A:$A, MATCH(X2902, Pagos_Odoo!$B:$B, 0)), ""))</f>
        <v/>
      </c>
      <c r="AA2902" s="79">
        <f>IF(X2902="Sin Pago","",IFERROR(INDEX(Pagos_Odoo!$F:$F, MATCH(X2902, Pagos_Odoo!$B:$B, 0)), ""))</f>
        <v/>
      </c>
      <c r="AB2902" s="81">
        <f>IF(X2902="Sin Pago",0,IFERROR(INDEX(Pagos_Odoo!$E:$E, MATCH(X2902, Pagos_Odoo!$B:$B, 0)), 0))</f>
        <v/>
      </c>
      <c r="AC2902" s="79">
        <f>IF(X2902="Sin Pago","",IFERROR(INDEX(Pagos_Odoo!$G:$G, MATCH(X2902, Pagos_Odoo!$B:$B, 0)), ""))</f>
        <v/>
      </c>
      <c r="AD2902" s="82" t="n">
        <v>0</v>
      </c>
      <c r="AE2902" s="82" t="n"/>
      <c r="AF2902" s="82" t="n"/>
      <c r="AG2902" s="82">
        <f>IF(AN2902="","",AD2902+AE2902+AF2902)</f>
        <v/>
      </c>
      <c r="AH2902" s="81">
        <f>IF(AN2902="","",P2902*(1-AG2902))</f>
        <v/>
      </c>
      <c r="AI2902" s="81">
        <f>IF(AN2902="","",IF(Q2902="Sin Factura",0,IFERROR(INDEX(Facturas_Odoo!$H:$H, MATCH(Q2902, Facturas_Odoo!$B:$B, 0)), 0)*(1-AG2902)))</f>
        <v/>
      </c>
      <c r="AJ2902" s="81">
        <f>IF(AN2902="","",_xlfn.LET(idVenta, AN2902&amp;"",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02" s="81">
        <f>IF(AN2902="","",AH2902-AJ2902)</f>
        <v/>
      </c>
      <c r="AL2902" s="81">
        <f>IF(AN2902="","",IF(Q2902="Sin Factura","",AI2902-AJ2902))</f>
        <v/>
      </c>
      <c r="AM2902" s="81">
        <f>IF(AN2902="","",IF(Q2902="Sin Factura",0,P2902-IFERROR(INDEX(Facturas_Odoo!$H:$H, MATCH(Q2902, Facturas_Odoo!$B:$B, 0)), 0)))</f>
        <v/>
      </c>
      <c r="AN2902" s="79">
        <f>IF(AND(A2902="", J2902=""), "", IF(A2902&lt;&gt;"", VALUE(MID(A2902,2,LEN(A2902))), AN2901))</f>
        <v/>
      </c>
      <c r="AO2902" s="79">
        <f>IF(AN2902="","",IF(AD2902=0,"OK",_xlfn.LET(monedaPago, IF(AA2902="","USD",AA2902), limitePermitido, IFERROR(VLOOKUP(monedaPago, Configuración!$A$2:$B$3, 2, FALSE), 0.15), IF(AD2902&gt;limitePermitido, "ALERTA: EXCESO (" &amp; TEXT(limitePermitido, "0%") &amp; " máx)", "OK"))))</f>
        <v/>
      </c>
      <c r="AP2902" s="79">
        <f>IF(AN2902="","",IF(AE2902=0,"OK",_xlfn.LET(fechaPago, Z2902, fechaFactura, R2902, diasCredito, IF(E2902="Pago inmediato", 0, IFERROR(VALUE(MID(E2902, 1, SEARCH(" ", E2902)-1)),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02" s="79">
        <f>IF(AN2902="","",IF(AND(N2902&gt;0, AG2902&gt;0), IF(Configuración!$K$2="NO", "ALERTA: DESCUENTO DOBLE NO PERMITIDO", "OK"), "OK"))</f>
        <v/>
      </c>
      <c r="AR2902" s="79">
        <f>IF(AN2902="","",IF(OR(AO2902&lt;&gt;"OK", AP2902&lt;&gt;"OK", AQ2902&lt;&gt;"OK"), "⚠️ REVISAR", "OK"))</f>
        <v/>
      </c>
    </row>
    <row r="2903">
      <c r="A2903" s="79">
        <f>IF('Ordenes_Odoo'!A2903="","",'Ordenes_Odoo'!A2903)</f>
        <v/>
      </c>
      <c r="B2903" s="80">
        <f>IF('Ordenes_Odoo'!B2903="","",'Ordenes_Odoo'!B2903)</f>
        <v/>
      </c>
      <c r="C2903" s="79">
        <f>IF('Ordenes_Odoo'!C2903="","",'Ordenes_Odoo'!C2903)</f>
        <v/>
      </c>
      <c r="D2903" s="79">
        <f>IF('Ordenes_Odoo'!D2903="","",'Ordenes_Odoo'!D2903)</f>
        <v/>
      </c>
      <c r="E2903" s="79">
        <f>IF('Ordenes_Odoo'!E2903="","",'Ordenes_Odoo'!E2903)</f>
        <v/>
      </c>
      <c r="F2903" s="79">
        <f>IF('Ordenes_Odoo'!F2903="","",'Ordenes_Odoo'!F2903)</f>
        <v/>
      </c>
      <c r="G2903" s="79">
        <f>IF('Ordenes_Odoo'!G2903="","",'Ordenes_Odoo'!G2903)</f>
        <v/>
      </c>
      <c r="H2903" s="79">
        <f>IF('Ordenes_Odoo'!H2903="","",'Ordenes_Odoo'!H2903)</f>
        <v/>
      </c>
      <c r="I2903" s="79">
        <f>IF('Ordenes_Odoo'!I2903="","",'Ordenes_Odoo'!I2903)</f>
        <v/>
      </c>
      <c r="J2903" s="79">
        <f>IF('Ordenes_Odoo'!J2903="","",'Ordenes_Odoo'!J2903)</f>
        <v/>
      </c>
      <c r="K2903" s="81">
        <f>IF('Ordenes_Odoo'!K2903="","",'Ordenes_Odoo'!K2903)</f>
        <v/>
      </c>
      <c r="L2903" s="81">
        <f>IF('Ordenes_Odoo'!L2903="","",'Ordenes_Odoo'!L2903)</f>
        <v/>
      </c>
      <c r="M2903" s="79">
        <f>IF('Ordenes_Odoo'!M2903="","",'Ordenes_Odoo'!M2903)</f>
        <v/>
      </c>
      <c r="N2903" s="79">
        <f>IF('Ordenes_Odoo'!N2903="","",'Ordenes_Odoo'!N2903)</f>
        <v/>
      </c>
      <c r="O2903" s="81">
        <f>IF('Ordenes_Odoo'!O2903="","",'Ordenes_Odoo'!O2903)</f>
        <v/>
      </c>
      <c r="P2903" s="81">
        <f>IF('Ordenes_Odoo'!P2903="","",'Ordenes_Odoo'!P2903)</f>
        <v/>
      </c>
      <c r="Q2903" s="79">
        <f>IF(A2903="","",IFERROR(INDEX(Facturas_Odoo!$B:$B, MATCH(A2903, Facturas_Odoo!$D:$D, 0)), "Sin Factura"))</f>
        <v/>
      </c>
      <c r="R2903" s="80">
        <f>IF(Q2903="Sin Factura","",IFERROR(INDEX(Facturas_Odoo!$A:$A, MATCH(Q2903, Facturas_Odoo!$B:$B, 0)), ""))</f>
        <v/>
      </c>
      <c r="S2903" s="79">
        <f>IF(Q2903="Sin Factura","",IFERROR(_xlfn.XLOOKUP(1, (Facturas_Odoo!$D:$D=A2903) * (Facturas_Odoo!$K:$K=I2903), Facturas_Odoo!$L:$L, ""), ""))</f>
        <v/>
      </c>
      <c r="T2903" s="81">
        <f>IF(Q2903="Sin Factura",0,IFERROR(_xlfn.XLOOKUP(1, (Facturas_Odoo!$D:$D=A2903) * (Facturas_Odoo!$K:$K=I2903), Facturas_Odoo!$M:$M, 0), 0))</f>
        <v/>
      </c>
      <c r="U2903" s="79">
        <f>IF(Q2903="Sin Factura",0,IFERROR(_xlfn.XLOOKUP(1, (Facturas_Odoo!$D:$D=A2903) * (Facturas_Odoo!$K:$K=I2903), Facturas_Odoo!$N:$N, 0), 0))</f>
        <v/>
      </c>
      <c r="V2903" s="79">
        <f>IF(Q2903="Sin Factura",0,IFERROR(_xlfn.XLOOKUP(1, (Facturas_Odoo!$D:$D=A2903) * (Facturas_Odoo!$K:$K=I2903), Facturas_Odoo!$O:$O, 0), 0))</f>
        <v/>
      </c>
      <c r="W2903" s="81">
        <f>IF(Q2903="Sin Factura",0,IFERROR(_xlfn.XLOOKUP(1, (Facturas_Odoo!$D:$D=A2903) * (Facturas_Odoo!$K:$K=I2903), Facturas_Odoo!$Q:$Q, 0), 0))</f>
        <v/>
      </c>
      <c r="X2903" s="79">
        <f>IF(OR(Q2903="Sin Factura",Q2903=""),"",IFERROR(INDEX(Pagos_Odoo!$B:$B, MATCH(Q2903, Pagos_Odoo!$I:$I, 0)), "Sin Pago"))</f>
        <v/>
      </c>
      <c r="Y2903" s="79">
        <f>IF(X2903="Sin Pago","",IFERROR(INDEX(Pagos_Odoo!$C:$C, MATCH(X2903, Pagos_Odoo!$B:$B, 0)), ""))</f>
        <v/>
      </c>
      <c r="Z2903" s="80">
        <f>IF(X2903="Sin Pago","",IFERROR(INDEX(Pagos_Odoo!$A:$A, MATCH(X2903, Pagos_Odoo!$B:$B, 0)), ""))</f>
        <v/>
      </c>
      <c r="AA2903" s="79">
        <f>IF(X2903="Sin Pago","",IFERROR(INDEX(Pagos_Odoo!$F:$F, MATCH(X2903, Pagos_Odoo!$B:$B, 0)), ""))</f>
        <v/>
      </c>
      <c r="AB2903" s="81">
        <f>IF(X2903="Sin Pago",0,IFERROR(INDEX(Pagos_Odoo!$E:$E, MATCH(X2903, Pagos_Odoo!$B:$B, 0)), 0))</f>
        <v/>
      </c>
      <c r="AC2903" s="79">
        <f>IF(X2903="Sin Pago","",IFERROR(INDEX(Pagos_Odoo!$G:$G, MATCH(X2903, Pagos_Odoo!$B:$B, 0)), ""))</f>
        <v/>
      </c>
      <c r="AD2903" s="82" t="n">
        <v>0</v>
      </c>
      <c r="AE2903" s="82" t="n"/>
      <c r="AF2903" s="82" t="n"/>
      <c r="AG2903" s="82">
        <f>IF(AN2903="","",AD2903+AE2903+AF2903)</f>
        <v/>
      </c>
      <c r="AH2903" s="81">
        <f>IF(AN2903="","",P2903*(1-AG2903))</f>
        <v/>
      </c>
      <c r="AI2903" s="81">
        <f>IF(AN2903="","",IF(Q2903="Sin Factura",0,IFERROR(INDEX(Facturas_Odoo!$H:$H, MATCH(Q2903, Facturas_Odoo!$B:$B, 0)), 0)*(1-AG2903)))</f>
        <v/>
      </c>
      <c r="AJ2903" s="81">
        <f>IF(AN2903="","",_xlfn.LET(idVenta, AN2903&amp;"",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03" s="81">
        <f>IF(AN2903="","",AH2903-AJ2903)</f>
        <v/>
      </c>
      <c r="AL2903" s="81">
        <f>IF(AN2903="","",IF(Q2903="Sin Factura","",AI2903-AJ2903))</f>
        <v/>
      </c>
      <c r="AM2903" s="81">
        <f>IF(AN2903="","",IF(Q2903="Sin Factura",0,P2903-IFERROR(INDEX(Facturas_Odoo!$H:$H, MATCH(Q2903, Facturas_Odoo!$B:$B, 0)), 0)))</f>
        <v/>
      </c>
      <c r="AN2903" s="79">
        <f>IF(AND(A2903="", J2903=""), "", IF(A2903&lt;&gt;"", VALUE(MID(A2903,2,LEN(A2903))), AN2902))</f>
        <v/>
      </c>
      <c r="AO2903" s="79">
        <f>IF(AN2903="","",IF(AD2903=0,"OK",_xlfn.LET(monedaPago, IF(AA2903="","USD",AA2903), limitePermitido, IFERROR(VLOOKUP(monedaPago, Configuración!$A$2:$B$3, 2, FALSE), 0.15), IF(AD2903&gt;limitePermitido, "ALERTA: EXCESO (" &amp; TEXT(limitePermitido, "0%") &amp; " máx)", "OK"))))</f>
        <v/>
      </c>
      <c r="AP2903" s="79">
        <f>IF(AN2903="","",IF(AE2903=0,"OK",_xlfn.LET(fechaPago, Z2903, fechaFactura, R2903, diasCredito, IF(E2903="Pago inmediato", 0, IFERROR(VALUE(MID(E2903, 1, SEARCH(" ", E2903)-1)),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03" s="79">
        <f>IF(AN2903="","",IF(AND(N2903&gt;0, AG2903&gt;0), IF(Configuración!$K$2="NO", "ALERTA: DESCUENTO DOBLE NO PERMITIDO", "OK"), "OK"))</f>
        <v/>
      </c>
      <c r="AR2903" s="79">
        <f>IF(AN2903="","",IF(OR(AO2903&lt;&gt;"OK", AP2903&lt;&gt;"OK", AQ2903&lt;&gt;"OK"), "⚠️ REVISAR", "OK"))</f>
        <v/>
      </c>
    </row>
    <row r="2904">
      <c r="A2904" s="79">
        <f>IF('Ordenes_Odoo'!A2904="","",'Ordenes_Odoo'!A2904)</f>
        <v/>
      </c>
      <c r="B2904" s="80">
        <f>IF('Ordenes_Odoo'!B2904="","",'Ordenes_Odoo'!B2904)</f>
        <v/>
      </c>
      <c r="C2904" s="79">
        <f>IF('Ordenes_Odoo'!C2904="","",'Ordenes_Odoo'!C2904)</f>
        <v/>
      </c>
      <c r="D2904" s="79">
        <f>IF('Ordenes_Odoo'!D2904="","",'Ordenes_Odoo'!D2904)</f>
        <v/>
      </c>
      <c r="E2904" s="79">
        <f>IF('Ordenes_Odoo'!E2904="","",'Ordenes_Odoo'!E2904)</f>
        <v/>
      </c>
      <c r="F2904" s="79">
        <f>IF('Ordenes_Odoo'!F2904="","",'Ordenes_Odoo'!F2904)</f>
        <v/>
      </c>
      <c r="G2904" s="79">
        <f>IF('Ordenes_Odoo'!G2904="","",'Ordenes_Odoo'!G2904)</f>
        <v/>
      </c>
      <c r="H2904" s="79">
        <f>IF('Ordenes_Odoo'!H2904="","",'Ordenes_Odoo'!H2904)</f>
        <v/>
      </c>
      <c r="I2904" s="79">
        <f>IF('Ordenes_Odoo'!I2904="","",'Ordenes_Odoo'!I2904)</f>
        <v/>
      </c>
      <c r="J2904" s="79">
        <f>IF('Ordenes_Odoo'!J2904="","",'Ordenes_Odoo'!J2904)</f>
        <v/>
      </c>
      <c r="K2904" s="81">
        <f>IF('Ordenes_Odoo'!K2904="","",'Ordenes_Odoo'!K2904)</f>
        <v/>
      </c>
      <c r="L2904" s="81">
        <f>IF('Ordenes_Odoo'!L2904="","",'Ordenes_Odoo'!L2904)</f>
        <v/>
      </c>
      <c r="M2904" s="79">
        <f>IF('Ordenes_Odoo'!M2904="","",'Ordenes_Odoo'!M2904)</f>
        <v/>
      </c>
      <c r="N2904" s="79">
        <f>IF('Ordenes_Odoo'!N2904="","",'Ordenes_Odoo'!N2904)</f>
        <v/>
      </c>
      <c r="O2904" s="81">
        <f>IF('Ordenes_Odoo'!O2904="","",'Ordenes_Odoo'!O2904)</f>
        <v/>
      </c>
      <c r="P2904" s="81">
        <f>IF('Ordenes_Odoo'!P2904="","",'Ordenes_Odoo'!P2904)</f>
        <v/>
      </c>
      <c r="Q2904" s="79">
        <f>IF(A2904="","",IFERROR(INDEX(Facturas_Odoo!$B:$B, MATCH(A2904, Facturas_Odoo!$D:$D, 0)), "Sin Factura"))</f>
        <v/>
      </c>
      <c r="R2904" s="80">
        <f>IF(Q2904="Sin Factura","",IFERROR(INDEX(Facturas_Odoo!$A:$A, MATCH(Q2904, Facturas_Odoo!$B:$B, 0)), ""))</f>
        <v/>
      </c>
      <c r="S2904" s="79">
        <f>IF(Q2904="Sin Factura","",IFERROR(_xlfn.XLOOKUP(1, (Facturas_Odoo!$D:$D=A2904) * (Facturas_Odoo!$K:$K=I2904), Facturas_Odoo!$L:$L, ""), ""))</f>
        <v/>
      </c>
      <c r="T2904" s="81">
        <f>IF(Q2904="Sin Factura",0,IFERROR(_xlfn.XLOOKUP(1, (Facturas_Odoo!$D:$D=A2904) * (Facturas_Odoo!$K:$K=I2904), Facturas_Odoo!$M:$M, 0), 0))</f>
        <v/>
      </c>
      <c r="U2904" s="79">
        <f>IF(Q2904="Sin Factura",0,IFERROR(_xlfn.XLOOKUP(1, (Facturas_Odoo!$D:$D=A2904) * (Facturas_Odoo!$K:$K=I2904), Facturas_Odoo!$N:$N, 0), 0))</f>
        <v/>
      </c>
      <c r="V2904" s="79">
        <f>IF(Q2904="Sin Factura",0,IFERROR(_xlfn.XLOOKUP(1, (Facturas_Odoo!$D:$D=A2904) * (Facturas_Odoo!$K:$K=I2904), Facturas_Odoo!$O:$O, 0), 0))</f>
        <v/>
      </c>
      <c r="W2904" s="81">
        <f>IF(Q2904="Sin Factura",0,IFERROR(_xlfn.XLOOKUP(1, (Facturas_Odoo!$D:$D=A2904) * (Facturas_Odoo!$K:$K=I2904), Facturas_Odoo!$Q:$Q, 0), 0))</f>
        <v/>
      </c>
      <c r="X2904" s="79">
        <f>IF(OR(Q2904="Sin Factura",Q2904=""),"",IFERROR(INDEX(Pagos_Odoo!$B:$B, MATCH(Q2904, Pagos_Odoo!$I:$I, 0)), "Sin Pago"))</f>
        <v/>
      </c>
      <c r="Y2904" s="79">
        <f>IF(X2904="Sin Pago","",IFERROR(INDEX(Pagos_Odoo!$C:$C, MATCH(X2904, Pagos_Odoo!$B:$B, 0)), ""))</f>
        <v/>
      </c>
      <c r="Z2904" s="80">
        <f>IF(X2904="Sin Pago","",IFERROR(INDEX(Pagos_Odoo!$A:$A, MATCH(X2904, Pagos_Odoo!$B:$B, 0)), ""))</f>
        <v/>
      </c>
      <c r="AA2904" s="79">
        <f>IF(X2904="Sin Pago","",IFERROR(INDEX(Pagos_Odoo!$F:$F, MATCH(X2904, Pagos_Odoo!$B:$B, 0)), ""))</f>
        <v/>
      </c>
      <c r="AB2904" s="81">
        <f>IF(X2904="Sin Pago",0,IFERROR(INDEX(Pagos_Odoo!$E:$E, MATCH(X2904, Pagos_Odoo!$B:$B, 0)), 0))</f>
        <v/>
      </c>
      <c r="AC2904" s="79">
        <f>IF(X2904="Sin Pago","",IFERROR(INDEX(Pagos_Odoo!$G:$G, MATCH(X2904, Pagos_Odoo!$B:$B, 0)), ""))</f>
        <v/>
      </c>
      <c r="AD2904" s="82" t="n">
        <v>0</v>
      </c>
      <c r="AE2904" s="82" t="n"/>
      <c r="AF2904" s="82" t="n"/>
      <c r="AG2904" s="82">
        <f>IF(AN2904="","",AD2904+AE2904+AF2904)</f>
        <v/>
      </c>
      <c r="AH2904" s="81">
        <f>IF(AN2904="","",P2904*(1-AG2904))</f>
        <v/>
      </c>
      <c r="AI2904" s="81">
        <f>IF(AN2904="","",IF(Q2904="Sin Factura",0,IFERROR(INDEX(Facturas_Odoo!$H:$H, MATCH(Q2904, Facturas_Odoo!$B:$B, 0)), 0)*(1-AG2904)))</f>
        <v/>
      </c>
      <c r="AJ2904" s="81">
        <f>IF(AN2904="","",_xlfn.LET(idVenta, AN2904&amp;"",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04" s="81">
        <f>IF(AN2904="","",AH2904-AJ2904)</f>
        <v/>
      </c>
      <c r="AL2904" s="81">
        <f>IF(AN2904="","",IF(Q2904="Sin Factura","",AI2904-AJ2904))</f>
        <v/>
      </c>
      <c r="AM2904" s="81">
        <f>IF(AN2904="","",IF(Q2904="Sin Factura",0,P2904-IFERROR(INDEX(Facturas_Odoo!$H:$H, MATCH(Q2904, Facturas_Odoo!$B:$B, 0)), 0)))</f>
        <v/>
      </c>
      <c r="AN2904" s="79">
        <f>IF(AND(A2904="", J2904=""), "", IF(A2904&lt;&gt;"", VALUE(MID(A2904,2,LEN(A2904))), AN2903))</f>
        <v/>
      </c>
      <c r="AO2904" s="79">
        <f>IF(AN2904="","",IF(AD2904=0,"OK",_xlfn.LET(monedaPago, IF(AA2904="","USD",AA2904), limitePermitido, IFERROR(VLOOKUP(monedaPago, Configuración!$A$2:$B$3, 2, FALSE), 0.15), IF(AD2904&gt;limitePermitido, "ALERTA: EXCESO (" &amp; TEXT(limitePermitido, "0%") &amp; " máx)", "OK"))))</f>
        <v/>
      </c>
      <c r="AP2904" s="79">
        <f>IF(AN2904="","",IF(AE2904=0,"OK",_xlfn.LET(fechaPago, Z2904, fechaFactura, R2904, diasCredito, IF(E2904="Pago inmediato", 0, IFERROR(VALUE(MID(E2904, 1, SEARCH(" ", E2904)-1)),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04" s="79">
        <f>IF(AN2904="","",IF(AND(N2904&gt;0, AG2904&gt;0), IF(Configuración!$K$2="NO", "ALERTA: DESCUENTO DOBLE NO PERMITIDO", "OK"), "OK"))</f>
        <v/>
      </c>
      <c r="AR2904" s="79">
        <f>IF(AN2904="","",IF(OR(AO2904&lt;&gt;"OK", AP2904&lt;&gt;"OK", AQ2904&lt;&gt;"OK"), "⚠️ REVISAR", "OK"))</f>
        <v/>
      </c>
    </row>
    <row r="2905">
      <c r="A2905" s="79">
        <f>IF('Ordenes_Odoo'!A2905="","",'Ordenes_Odoo'!A2905)</f>
        <v/>
      </c>
      <c r="B2905" s="80">
        <f>IF('Ordenes_Odoo'!B2905="","",'Ordenes_Odoo'!B2905)</f>
        <v/>
      </c>
      <c r="C2905" s="79">
        <f>IF('Ordenes_Odoo'!C2905="","",'Ordenes_Odoo'!C2905)</f>
        <v/>
      </c>
      <c r="D2905" s="79">
        <f>IF('Ordenes_Odoo'!D2905="","",'Ordenes_Odoo'!D2905)</f>
        <v/>
      </c>
      <c r="E2905" s="79">
        <f>IF('Ordenes_Odoo'!E2905="","",'Ordenes_Odoo'!E2905)</f>
        <v/>
      </c>
      <c r="F2905" s="79">
        <f>IF('Ordenes_Odoo'!F2905="","",'Ordenes_Odoo'!F2905)</f>
        <v/>
      </c>
      <c r="G2905" s="79">
        <f>IF('Ordenes_Odoo'!G2905="","",'Ordenes_Odoo'!G2905)</f>
        <v/>
      </c>
      <c r="H2905" s="79">
        <f>IF('Ordenes_Odoo'!H2905="","",'Ordenes_Odoo'!H2905)</f>
        <v/>
      </c>
      <c r="I2905" s="79">
        <f>IF('Ordenes_Odoo'!I2905="","",'Ordenes_Odoo'!I2905)</f>
        <v/>
      </c>
      <c r="J2905" s="79">
        <f>IF('Ordenes_Odoo'!J2905="","",'Ordenes_Odoo'!J2905)</f>
        <v/>
      </c>
      <c r="K2905" s="81">
        <f>IF('Ordenes_Odoo'!K2905="","",'Ordenes_Odoo'!K2905)</f>
        <v/>
      </c>
      <c r="L2905" s="81">
        <f>IF('Ordenes_Odoo'!L2905="","",'Ordenes_Odoo'!L2905)</f>
        <v/>
      </c>
      <c r="M2905" s="79">
        <f>IF('Ordenes_Odoo'!M2905="","",'Ordenes_Odoo'!M2905)</f>
        <v/>
      </c>
      <c r="N2905" s="79">
        <f>IF('Ordenes_Odoo'!N2905="","",'Ordenes_Odoo'!N2905)</f>
        <v/>
      </c>
      <c r="O2905" s="81">
        <f>IF('Ordenes_Odoo'!O2905="","",'Ordenes_Odoo'!O2905)</f>
        <v/>
      </c>
      <c r="P2905" s="81">
        <f>IF('Ordenes_Odoo'!P2905="","",'Ordenes_Odoo'!P2905)</f>
        <v/>
      </c>
      <c r="Q2905" s="79">
        <f>IF(A2905="","",IFERROR(INDEX(Facturas_Odoo!$B:$B, MATCH(A2905, Facturas_Odoo!$D:$D, 0)), "Sin Factura"))</f>
        <v/>
      </c>
      <c r="R2905" s="80">
        <f>IF(Q2905="Sin Factura","",IFERROR(INDEX(Facturas_Odoo!$A:$A, MATCH(Q2905, Facturas_Odoo!$B:$B, 0)), ""))</f>
        <v/>
      </c>
      <c r="S2905" s="79">
        <f>IF(Q2905="Sin Factura","",IFERROR(_xlfn.XLOOKUP(1, (Facturas_Odoo!$D:$D=A2905) * (Facturas_Odoo!$K:$K=I2905), Facturas_Odoo!$L:$L, ""), ""))</f>
        <v/>
      </c>
      <c r="T2905" s="81">
        <f>IF(Q2905="Sin Factura",0,IFERROR(_xlfn.XLOOKUP(1, (Facturas_Odoo!$D:$D=A2905) * (Facturas_Odoo!$K:$K=I2905), Facturas_Odoo!$M:$M, 0), 0))</f>
        <v/>
      </c>
      <c r="U2905" s="79">
        <f>IF(Q2905="Sin Factura",0,IFERROR(_xlfn.XLOOKUP(1, (Facturas_Odoo!$D:$D=A2905) * (Facturas_Odoo!$K:$K=I2905), Facturas_Odoo!$N:$N, 0), 0))</f>
        <v/>
      </c>
      <c r="V2905" s="79">
        <f>IF(Q2905="Sin Factura",0,IFERROR(_xlfn.XLOOKUP(1, (Facturas_Odoo!$D:$D=A2905) * (Facturas_Odoo!$K:$K=I2905), Facturas_Odoo!$O:$O, 0), 0))</f>
        <v/>
      </c>
      <c r="W2905" s="81">
        <f>IF(Q2905="Sin Factura",0,IFERROR(_xlfn.XLOOKUP(1, (Facturas_Odoo!$D:$D=A2905) * (Facturas_Odoo!$K:$K=I2905), Facturas_Odoo!$Q:$Q, 0), 0))</f>
        <v/>
      </c>
      <c r="X2905" s="79">
        <f>IF(OR(Q2905="Sin Factura",Q2905=""),"",IFERROR(INDEX(Pagos_Odoo!$B:$B, MATCH(Q2905, Pagos_Odoo!$I:$I, 0)), "Sin Pago"))</f>
        <v/>
      </c>
      <c r="Y2905" s="79">
        <f>IF(X2905="Sin Pago","",IFERROR(INDEX(Pagos_Odoo!$C:$C, MATCH(X2905, Pagos_Odoo!$B:$B, 0)), ""))</f>
        <v/>
      </c>
      <c r="Z2905" s="80">
        <f>IF(X2905="Sin Pago","",IFERROR(INDEX(Pagos_Odoo!$A:$A, MATCH(X2905, Pagos_Odoo!$B:$B, 0)), ""))</f>
        <v/>
      </c>
      <c r="AA2905" s="79">
        <f>IF(X2905="Sin Pago","",IFERROR(INDEX(Pagos_Odoo!$F:$F, MATCH(X2905, Pagos_Odoo!$B:$B, 0)), ""))</f>
        <v/>
      </c>
      <c r="AB2905" s="81">
        <f>IF(X2905="Sin Pago",0,IFERROR(INDEX(Pagos_Odoo!$E:$E, MATCH(X2905, Pagos_Odoo!$B:$B, 0)), 0))</f>
        <v/>
      </c>
      <c r="AC2905" s="79">
        <f>IF(X2905="Sin Pago","",IFERROR(INDEX(Pagos_Odoo!$G:$G, MATCH(X2905, Pagos_Odoo!$B:$B, 0)), ""))</f>
        <v/>
      </c>
      <c r="AD2905" s="82" t="n">
        <v>0</v>
      </c>
      <c r="AE2905" s="82" t="n"/>
      <c r="AF2905" s="82" t="n"/>
      <c r="AG2905" s="82">
        <f>IF(AN2905="","",AD2905+AE2905+AF2905)</f>
        <v/>
      </c>
      <c r="AH2905" s="81">
        <f>IF(AN2905="","",P2905*(1-AG2905))</f>
        <v/>
      </c>
      <c r="AI2905" s="81">
        <f>IF(AN2905="","",IF(Q2905="Sin Factura",0,IFERROR(INDEX(Facturas_Odoo!$H:$H, MATCH(Q2905, Facturas_Odoo!$B:$B, 0)), 0)*(1-AG2905)))</f>
        <v/>
      </c>
      <c r="AJ2905" s="81">
        <f>IF(AN2905="","",_xlfn.LET(idVenta, AN2905&amp;"",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05" s="81">
        <f>IF(AN2905="","",AH2905-AJ2905)</f>
        <v/>
      </c>
      <c r="AL2905" s="81">
        <f>IF(AN2905="","",IF(Q2905="Sin Factura","",AI2905-AJ2905))</f>
        <v/>
      </c>
      <c r="AM2905" s="81">
        <f>IF(AN2905="","",IF(Q2905="Sin Factura",0,P2905-IFERROR(INDEX(Facturas_Odoo!$H:$H, MATCH(Q2905, Facturas_Odoo!$B:$B, 0)), 0)))</f>
        <v/>
      </c>
      <c r="AN2905" s="79">
        <f>IF(AND(A2905="", J2905=""), "", IF(A2905&lt;&gt;"", VALUE(MID(A2905,2,LEN(A2905))), AN2904))</f>
        <v/>
      </c>
      <c r="AO2905" s="79">
        <f>IF(AN2905="","",IF(AD2905=0,"OK",_xlfn.LET(monedaPago, IF(AA2905="","USD",AA2905), limitePermitido, IFERROR(VLOOKUP(monedaPago, Configuración!$A$2:$B$3, 2, FALSE), 0.15), IF(AD2905&gt;limitePermitido, "ALERTA: EXCESO (" &amp; TEXT(limitePermitido, "0%") &amp; " máx)", "OK"))))</f>
        <v/>
      </c>
      <c r="AP2905" s="79">
        <f>IF(AN2905="","",IF(AE2905=0,"OK",_xlfn.LET(fechaPago, Z2905, fechaFactura, R2905, diasCredito, IF(E2905="Pago inmediato", 0, IFERROR(VALUE(MID(E2905, 1, SEARCH(" ", E2905)-1)),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05" s="79">
        <f>IF(AN2905="","",IF(AND(N2905&gt;0, AG2905&gt;0), IF(Configuración!$K$2="NO", "ALERTA: DESCUENTO DOBLE NO PERMITIDO", "OK"), "OK"))</f>
        <v/>
      </c>
      <c r="AR2905" s="79">
        <f>IF(AN2905="","",IF(OR(AO2905&lt;&gt;"OK", AP2905&lt;&gt;"OK", AQ2905&lt;&gt;"OK"), "⚠️ REVISAR", "OK"))</f>
        <v/>
      </c>
    </row>
    <row r="2906">
      <c r="A2906" s="79">
        <f>IF('Ordenes_Odoo'!A2906="","",'Ordenes_Odoo'!A2906)</f>
        <v/>
      </c>
      <c r="B2906" s="80">
        <f>IF('Ordenes_Odoo'!B2906="","",'Ordenes_Odoo'!B2906)</f>
        <v/>
      </c>
      <c r="C2906" s="79">
        <f>IF('Ordenes_Odoo'!C2906="","",'Ordenes_Odoo'!C2906)</f>
        <v/>
      </c>
      <c r="D2906" s="79">
        <f>IF('Ordenes_Odoo'!D2906="","",'Ordenes_Odoo'!D2906)</f>
        <v/>
      </c>
      <c r="E2906" s="79">
        <f>IF('Ordenes_Odoo'!E2906="","",'Ordenes_Odoo'!E2906)</f>
        <v/>
      </c>
      <c r="F2906" s="79">
        <f>IF('Ordenes_Odoo'!F2906="","",'Ordenes_Odoo'!F2906)</f>
        <v/>
      </c>
      <c r="G2906" s="79">
        <f>IF('Ordenes_Odoo'!G2906="","",'Ordenes_Odoo'!G2906)</f>
        <v/>
      </c>
      <c r="H2906" s="79">
        <f>IF('Ordenes_Odoo'!H2906="","",'Ordenes_Odoo'!H2906)</f>
        <v/>
      </c>
      <c r="I2906" s="79">
        <f>IF('Ordenes_Odoo'!I2906="","",'Ordenes_Odoo'!I2906)</f>
        <v/>
      </c>
      <c r="J2906" s="79">
        <f>IF('Ordenes_Odoo'!J2906="","",'Ordenes_Odoo'!J2906)</f>
        <v/>
      </c>
      <c r="K2906" s="81">
        <f>IF('Ordenes_Odoo'!K2906="","",'Ordenes_Odoo'!K2906)</f>
        <v/>
      </c>
      <c r="L2906" s="81">
        <f>IF('Ordenes_Odoo'!L2906="","",'Ordenes_Odoo'!L2906)</f>
        <v/>
      </c>
      <c r="M2906" s="79">
        <f>IF('Ordenes_Odoo'!M2906="","",'Ordenes_Odoo'!M2906)</f>
        <v/>
      </c>
      <c r="N2906" s="79">
        <f>IF('Ordenes_Odoo'!N2906="","",'Ordenes_Odoo'!N2906)</f>
        <v/>
      </c>
      <c r="O2906" s="81">
        <f>IF('Ordenes_Odoo'!O2906="","",'Ordenes_Odoo'!O2906)</f>
        <v/>
      </c>
      <c r="P2906" s="81">
        <f>IF('Ordenes_Odoo'!P2906="","",'Ordenes_Odoo'!P2906)</f>
        <v/>
      </c>
      <c r="Q2906" s="79">
        <f>IF(A2906="","",IFERROR(INDEX(Facturas_Odoo!$B:$B, MATCH(A2906, Facturas_Odoo!$D:$D, 0)), "Sin Factura"))</f>
        <v/>
      </c>
      <c r="R2906" s="80">
        <f>IF(Q2906="Sin Factura","",IFERROR(INDEX(Facturas_Odoo!$A:$A, MATCH(Q2906, Facturas_Odoo!$B:$B, 0)), ""))</f>
        <v/>
      </c>
      <c r="S2906" s="79">
        <f>IF(Q2906="Sin Factura","",IFERROR(_xlfn.XLOOKUP(1, (Facturas_Odoo!$D:$D=A2906) * (Facturas_Odoo!$K:$K=I2906), Facturas_Odoo!$L:$L, ""), ""))</f>
        <v/>
      </c>
      <c r="T2906" s="81">
        <f>IF(Q2906="Sin Factura",0,IFERROR(_xlfn.XLOOKUP(1, (Facturas_Odoo!$D:$D=A2906) * (Facturas_Odoo!$K:$K=I2906), Facturas_Odoo!$M:$M, 0), 0))</f>
        <v/>
      </c>
      <c r="U2906" s="79">
        <f>IF(Q2906="Sin Factura",0,IFERROR(_xlfn.XLOOKUP(1, (Facturas_Odoo!$D:$D=A2906) * (Facturas_Odoo!$K:$K=I2906), Facturas_Odoo!$N:$N, 0), 0))</f>
        <v/>
      </c>
      <c r="V2906" s="79">
        <f>IF(Q2906="Sin Factura",0,IFERROR(_xlfn.XLOOKUP(1, (Facturas_Odoo!$D:$D=A2906) * (Facturas_Odoo!$K:$K=I2906), Facturas_Odoo!$O:$O, 0), 0))</f>
        <v/>
      </c>
      <c r="W2906" s="81">
        <f>IF(Q2906="Sin Factura",0,IFERROR(_xlfn.XLOOKUP(1, (Facturas_Odoo!$D:$D=A2906) * (Facturas_Odoo!$K:$K=I2906), Facturas_Odoo!$Q:$Q, 0), 0))</f>
        <v/>
      </c>
      <c r="X2906" s="79">
        <f>IF(OR(Q2906="Sin Factura",Q2906=""),"",IFERROR(INDEX(Pagos_Odoo!$B:$B, MATCH(Q2906, Pagos_Odoo!$I:$I, 0)), "Sin Pago"))</f>
        <v/>
      </c>
      <c r="Y2906" s="79">
        <f>IF(X2906="Sin Pago","",IFERROR(INDEX(Pagos_Odoo!$C:$C, MATCH(X2906, Pagos_Odoo!$B:$B, 0)), ""))</f>
        <v/>
      </c>
      <c r="Z2906" s="80">
        <f>IF(X2906="Sin Pago","",IFERROR(INDEX(Pagos_Odoo!$A:$A, MATCH(X2906, Pagos_Odoo!$B:$B, 0)), ""))</f>
        <v/>
      </c>
      <c r="AA2906" s="79">
        <f>IF(X2906="Sin Pago","",IFERROR(INDEX(Pagos_Odoo!$F:$F, MATCH(X2906, Pagos_Odoo!$B:$B, 0)), ""))</f>
        <v/>
      </c>
      <c r="AB2906" s="81">
        <f>IF(X2906="Sin Pago",0,IFERROR(INDEX(Pagos_Odoo!$E:$E, MATCH(X2906, Pagos_Odoo!$B:$B, 0)), 0))</f>
        <v/>
      </c>
      <c r="AC2906" s="79">
        <f>IF(X2906="Sin Pago","",IFERROR(INDEX(Pagos_Odoo!$G:$G, MATCH(X2906, Pagos_Odoo!$B:$B, 0)), ""))</f>
        <v/>
      </c>
      <c r="AD2906" s="82" t="n">
        <v>0</v>
      </c>
      <c r="AE2906" s="82" t="n"/>
      <c r="AF2906" s="82" t="n"/>
      <c r="AG2906" s="82">
        <f>IF(AN2906="","",AD2906+AE2906+AF2906)</f>
        <v/>
      </c>
      <c r="AH2906" s="81">
        <f>IF(AN2906="","",P2906*(1-AG2906))</f>
        <v/>
      </c>
      <c r="AI2906" s="81">
        <f>IF(AN2906="","",IF(Q2906="Sin Factura",0,IFERROR(INDEX(Facturas_Odoo!$H:$H, MATCH(Q2906, Facturas_Odoo!$B:$B, 0)), 0)*(1-AG2906)))</f>
        <v/>
      </c>
      <c r="AJ2906" s="81">
        <f>IF(AN2906="","",_xlfn.LET(idVenta, AN2906&amp;"",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06" s="81">
        <f>IF(AN2906="","",AH2906-AJ2906)</f>
        <v/>
      </c>
      <c r="AL2906" s="81">
        <f>IF(AN2906="","",IF(Q2906="Sin Factura","",AI2906-AJ2906))</f>
        <v/>
      </c>
      <c r="AM2906" s="81">
        <f>IF(AN2906="","",IF(Q2906="Sin Factura",0,P2906-IFERROR(INDEX(Facturas_Odoo!$H:$H, MATCH(Q2906, Facturas_Odoo!$B:$B, 0)), 0)))</f>
        <v/>
      </c>
      <c r="AN2906" s="79">
        <f>IF(AND(A2906="", J2906=""), "", IF(A2906&lt;&gt;"", VALUE(MID(A2906,2,LEN(A2906))), AN2905))</f>
        <v/>
      </c>
      <c r="AO2906" s="79">
        <f>IF(AN2906="","",IF(AD2906=0,"OK",_xlfn.LET(monedaPago, IF(AA2906="","USD",AA2906), limitePermitido, IFERROR(VLOOKUP(monedaPago, Configuración!$A$2:$B$3, 2, FALSE), 0.15), IF(AD2906&gt;limitePermitido, "ALERTA: EXCESO (" &amp; TEXT(limitePermitido, "0%") &amp; " máx)", "OK"))))</f>
        <v/>
      </c>
      <c r="AP2906" s="79">
        <f>IF(AN2906="","",IF(AE2906=0,"OK",_xlfn.LET(fechaPago, Z2906, fechaFactura, R2906, diasCredito, IF(E2906="Pago inmediato", 0, IFERROR(VALUE(MID(E2906, 1, SEARCH(" ", E2906)-1)),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06" s="79">
        <f>IF(AN2906="","",IF(AND(N2906&gt;0, AG2906&gt;0), IF(Configuración!$K$2="NO", "ALERTA: DESCUENTO DOBLE NO PERMITIDO", "OK"), "OK"))</f>
        <v/>
      </c>
      <c r="AR2906" s="79">
        <f>IF(AN2906="","",IF(OR(AO2906&lt;&gt;"OK", AP2906&lt;&gt;"OK", AQ2906&lt;&gt;"OK"), "⚠️ REVISAR", "OK"))</f>
        <v/>
      </c>
    </row>
    <row r="2907">
      <c r="A2907" s="79">
        <f>IF('Ordenes_Odoo'!A2907="","",'Ordenes_Odoo'!A2907)</f>
        <v/>
      </c>
      <c r="B2907" s="80">
        <f>IF('Ordenes_Odoo'!B2907="","",'Ordenes_Odoo'!B2907)</f>
        <v/>
      </c>
      <c r="C2907" s="79">
        <f>IF('Ordenes_Odoo'!C2907="","",'Ordenes_Odoo'!C2907)</f>
        <v/>
      </c>
      <c r="D2907" s="79">
        <f>IF('Ordenes_Odoo'!D2907="","",'Ordenes_Odoo'!D2907)</f>
        <v/>
      </c>
      <c r="E2907" s="79">
        <f>IF('Ordenes_Odoo'!E2907="","",'Ordenes_Odoo'!E2907)</f>
        <v/>
      </c>
      <c r="F2907" s="79">
        <f>IF('Ordenes_Odoo'!F2907="","",'Ordenes_Odoo'!F2907)</f>
        <v/>
      </c>
      <c r="G2907" s="79">
        <f>IF('Ordenes_Odoo'!G2907="","",'Ordenes_Odoo'!G2907)</f>
        <v/>
      </c>
      <c r="H2907" s="79">
        <f>IF('Ordenes_Odoo'!H2907="","",'Ordenes_Odoo'!H2907)</f>
        <v/>
      </c>
      <c r="I2907" s="79">
        <f>IF('Ordenes_Odoo'!I2907="","",'Ordenes_Odoo'!I2907)</f>
        <v/>
      </c>
      <c r="J2907" s="79">
        <f>IF('Ordenes_Odoo'!J2907="","",'Ordenes_Odoo'!J2907)</f>
        <v/>
      </c>
      <c r="K2907" s="81">
        <f>IF('Ordenes_Odoo'!K2907="","",'Ordenes_Odoo'!K2907)</f>
        <v/>
      </c>
      <c r="L2907" s="81">
        <f>IF('Ordenes_Odoo'!L2907="","",'Ordenes_Odoo'!L2907)</f>
        <v/>
      </c>
      <c r="M2907" s="79">
        <f>IF('Ordenes_Odoo'!M2907="","",'Ordenes_Odoo'!M2907)</f>
        <v/>
      </c>
      <c r="N2907" s="79">
        <f>IF('Ordenes_Odoo'!N2907="","",'Ordenes_Odoo'!N2907)</f>
        <v/>
      </c>
      <c r="O2907" s="81">
        <f>IF('Ordenes_Odoo'!O2907="","",'Ordenes_Odoo'!O2907)</f>
        <v/>
      </c>
      <c r="P2907" s="81">
        <f>IF('Ordenes_Odoo'!P2907="","",'Ordenes_Odoo'!P2907)</f>
        <v/>
      </c>
      <c r="Q2907" s="79">
        <f>IF(A2907="","",IFERROR(INDEX(Facturas_Odoo!$B:$B, MATCH(A2907, Facturas_Odoo!$D:$D, 0)), "Sin Factura"))</f>
        <v/>
      </c>
      <c r="R2907" s="80">
        <f>IF(Q2907="Sin Factura","",IFERROR(INDEX(Facturas_Odoo!$A:$A, MATCH(Q2907, Facturas_Odoo!$B:$B, 0)), ""))</f>
        <v/>
      </c>
      <c r="S2907" s="79">
        <f>IF(Q2907="Sin Factura","",IFERROR(_xlfn.XLOOKUP(1, (Facturas_Odoo!$D:$D=A2907) * (Facturas_Odoo!$K:$K=I2907), Facturas_Odoo!$L:$L, ""), ""))</f>
        <v/>
      </c>
      <c r="T2907" s="81">
        <f>IF(Q2907="Sin Factura",0,IFERROR(_xlfn.XLOOKUP(1, (Facturas_Odoo!$D:$D=A2907) * (Facturas_Odoo!$K:$K=I2907), Facturas_Odoo!$M:$M, 0), 0))</f>
        <v/>
      </c>
      <c r="U2907" s="79">
        <f>IF(Q2907="Sin Factura",0,IFERROR(_xlfn.XLOOKUP(1, (Facturas_Odoo!$D:$D=A2907) * (Facturas_Odoo!$K:$K=I2907), Facturas_Odoo!$N:$N, 0), 0))</f>
        <v/>
      </c>
      <c r="V2907" s="79">
        <f>IF(Q2907="Sin Factura",0,IFERROR(_xlfn.XLOOKUP(1, (Facturas_Odoo!$D:$D=A2907) * (Facturas_Odoo!$K:$K=I2907), Facturas_Odoo!$O:$O, 0), 0))</f>
        <v/>
      </c>
      <c r="W2907" s="81">
        <f>IF(Q2907="Sin Factura",0,IFERROR(_xlfn.XLOOKUP(1, (Facturas_Odoo!$D:$D=A2907) * (Facturas_Odoo!$K:$K=I2907), Facturas_Odoo!$Q:$Q, 0), 0))</f>
        <v/>
      </c>
      <c r="X2907" s="79">
        <f>IF(OR(Q2907="Sin Factura",Q2907=""),"",IFERROR(INDEX(Pagos_Odoo!$B:$B, MATCH(Q2907, Pagos_Odoo!$I:$I, 0)), "Sin Pago"))</f>
        <v/>
      </c>
      <c r="Y2907" s="79">
        <f>IF(X2907="Sin Pago","",IFERROR(INDEX(Pagos_Odoo!$C:$C, MATCH(X2907, Pagos_Odoo!$B:$B, 0)), ""))</f>
        <v/>
      </c>
      <c r="Z2907" s="80">
        <f>IF(X2907="Sin Pago","",IFERROR(INDEX(Pagos_Odoo!$A:$A, MATCH(X2907, Pagos_Odoo!$B:$B, 0)), ""))</f>
        <v/>
      </c>
      <c r="AA2907" s="79">
        <f>IF(X2907="Sin Pago","",IFERROR(INDEX(Pagos_Odoo!$F:$F, MATCH(X2907, Pagos_Odoo!$B:$B, 0)), ""))</f>
        <v/>
      </c>
      <c r="AB2907" s="81">
        <f>IF(X2907="Sin Pago",0,IFERROR(INDEX(Pagos_Odoo!$E:$E, MATCH(X2907, Pagos_Odoo!$B:$B, 0)), 0))</f>
        <v/>
      </c>
      <c r="AC2907" s="79">
        <f>IF(X2907="Sin Pago","",IFERROR(INDEX(Pagos_Odoo!$G:$G, MATCH(X2907, Pagos_Odoo!$B:$B, 0)), ""))</f>
        <v/>
      </c>
      <c r="AD2907" s="82" t="n">
        <v>0</v>
      </c>
      <c r="AE2907" s="82" t="n"/>
      <c r="AF2907" s="82" t="n"/>
      <c r="AG2907" s="82">
        <f>IF(AN2907="","",AD2907+AE2907+AF2907)</f>
        <v/>
      </c>
      <c r="AH2907" s="81">
        <f>IF(AN2907="","",P2907*(1-AG2907))</f>
        <v/>
      </c>
      <c r="AI2907" s="81">
        <f>IF(AN2907="","",IF(Q2907="Sin Factura",0,IFERROR(INDEX(Facturas_Odoo!$H:$H, MATCH(Q2907, Facturas_Odoo!$B:$B, 0)), 0)*(1-AG2907)))</f>
        <v/>
      </c>
      <c r="AJ2907" s="81">
        <f>IF(AN2907="","",_xlfn.LET(idVenta, AN2907&amp;"",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07" s="81">
        <f>IF(AN2907="","",AH2907-AJ2907)</f>
        <v/>
      </c>
      <c r="AL2907" s="81">
        <f>IF(AN2907="","",IF(Q2907="Sin Factura","",AI2907-AJ2907))</f>
        <v/>
      </c>
      <c r="AM2907" s="81">
        <f>IF(AN2907="","",IF(Q2907="Sin Factura",0,P2907-IFERROR(INDEX(Facturas_Odoo!$H:$H, MATCH(Q2907, Facturas_Odoo!$B:$B, 0)), 0)))</f>
        <v/>
      </c>
      <c r="AN2907" s="79">
        <f>IF(AND(A2907="", J2907=""), "", IF(A2907&lt;&gt;"", VALUE(MID(A2907,2,LEN(A2907))), AN2906))</f>
        <v/>
      </c>
      <c r="AO2907" s="79">
        <f>IF(AN2907="","",IF(AD2907=0,"OK",_xlfn.LET(monedaPago, IF(AA2907="","USD",AA2907), limitePermitido, IFERROR(VLOOKUP(monedaPago, Configuración!$A$2:$B$3, 2, FALSE), 0.15), IF(AD2907&gt;limitePermitido, "ALERTA: EXCESO (" &amp; TEXT(limitePermitido, "0%") &amp; " máx)", "OK"))))</f>
        <v/>
      </c>
      <c r="AP2907" s="79">
        <f>IF(AN2907="","",IF(AE2907=0,"OK",_xlfn.LET(fechaPago, Z2907, fechaFactura, R2907, diasCredito, IF(E2907="Pago inmediato", 0, IFERROR(VALUE(MID(E2907, 1, SEARCH(" ", E2907)-1)),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07" s="79">
        <f>IF(AN2907="","",IF(AND(N2907&gt;0, AG2907&gt;0), IF(Configuración!$K$2="NO", "ALERTA: DESCUENTO DOBLE NO PERMITIDO", "OK"), "OK"))</f>
        <v/>
      </c>
      <c r="AR2907" s="79">
        <f>IF(AN2907="","",IF(OR(AO2907&lt;&gt;"OK", AP2907&lt;&gt;"OK", AQ2907&lt;&gt;"OK"), "⚠️ REVISAR", "OK"))</f>
        <v/>
      </c>
    </row>
    <row r="2908">
      <c r="A2908" s="79">
        <f>IF('Ordenes_Odoo'!A2908="","",'Ordenes_Odoo'!A2908)</f>
        <v/>
      </c>
      <c r="B2908" s="80">
        <f>IF('Ordenes_Odoo'!B2908="","",'Ordenes_Odoo'!B2908)</f>
        <v/>
      </c>
      <c r="C2908" s="79">
        <f>IF('Ordenes_Odoo'!C2908="","",'Ordenes_Odoo'!C2908)</f>
        <v/>
      </c>
      <c r="D2908" s="79">
        <f>IF('Ordenes_Odoo'!D2908="","",'Ordenes_Odoo'!D2908)</f>
        <v/>
      </c>
      <c r="E2908" s="79">
        <f>IF('Ordenes_Odoo'!E2908="","",'Ordenes_Odoo'!E2908)</f>
        <v/>
      </c>
      <c r="F2908" s="79">
        <f>IF('Ordenes_Odoo'!F2908="","",'Ordenes_Odoo'!F2908)</f>
        <v/>
      </c>
      <c r="G2908" s="79">
        <f>IF('Ordenes_Odoo'!G2908="","",'Ordenes_Odoo'!G2908)</f>
        <v/>
      </c>
      <c r="H2908" s="79">
        <f>IF('Ordenes_Odoo'!H2908="","",'Ordenes_Odoo'!H2908)</f>
        <v/>
      </c>
      <c r="I2908" s="79">
        <f>IF('Ordenes_Odoo'!I2908="","",'Ordenes_Odoo'!I2908)</f>
        <v/>
      </c>
      <c r="J2908" s="79">
        <f>IF('Ordenes_Odoo'!J2908="","",'Ordenes_Odoo'!J2908)</f>
        <v/>
      </c>
      <c r="K2908" s="81">
        <f>IF('Ordenes_Odoo'!K2908="","",'Ordenes_Odoo'!K2908)</f>
        <v/>
      </c>
      <c r="L2908" s="81">
        <f>IF('Ordenes_Odoo'!L2908="","",'Ordenes_Odoo'!L2908)</f>
        <v/>
      </c>
      <c r="M2908" s="79">
        <f>IF('Ordenes_Odoo'!M2908="","",'Ordenes_Odoo'!M2908)</f>
        <v/>
      </c>
      <c r="N2908" s="79">
        <f>IF('Ordenes_Odoo'!N2908="","",'Ordenes_Odoo'!N2908)</f>
        <v/>
      </c>
      <c r="O2908" s="81">
        <f>IF('Ordenes_Odoo'!O2908="","",'Ordenes_Odoo'!O2908)</f>
        <v/>
      </c>
      <c r="P2908" s="81">
        <f>IF('Ordenes_Odoo'!P2908="","",'Ordenes_Odoo'!P2908)</f>
        <v/>
      </c>
      <c r="Q2908" s="79">
        <f>IF(A2908="","",IFERROR(INDEX(Facturas_Odoo!$B:$B, MATCH(A2908, Facturas_Odoo!$D:$D, 0)), "Sin Factura"))</f>
        <v/>
      </c>
      <c r="R2908" s="80">
        <f>IF(Q2908="Sin Factura","",IFERROR(INDEX(Facturas_Odoo!$A:$A, MATCH(Q2908, Facturas_Odoo!$B:$B, 0)), ""))</f>
        <v/>
      </c>
      <c r="S2908" s="79">
        <f>IF(Q2908="Sin Factura","",IFERROR(_xlfn.XLOOKUP(1, (Facturas_Odoo!$D:$D=A2908) * (Facturas_Odoo!$K:$K=I2908), Facturas_Odoo!$L:$L, ""), ""))</f>
        <v/>
      </c>
      <c r="T2908" s="81">
        <f>IF(Q2908="Sin Factura",0,IFERROR(_xlfn.XLOOKUP(1, (Facturas_Odoo!$D:$D=A2908) * (Facturas_Odoo!$K:$K=I2908), Facturas_Odoo!$M:$M, 0), 0))</f>
        <v/>
      </c>
      <c r="U2908" s="79">
        <f>IF(Q2908="Sin Factura",0,IFERROR(_xlfn.XLOOKUP(1, (Facturas_Odoo!$D:$D=A2908) * (Facturas_Odoo!$K:$K=I2908), Facturas_Odoo!$N:$N, 0), 0))</f>
        <v/>
      </c>
      <c r="V2908" s="79">
        <f>IF(Q2908="Sin Factura",0,IFERROR(_xlfn.XLOOKUP(1, (Facturas_Odoo!$D:$D=A2908) * (Facturas_Odoo!$K:$K=I2908), Facturas_Odoo!$O:$O, 0), 0))</f>
        <v/>
      </c>
      <c r="W2908" s="81">
        <f>IF(Q2908="Sin Factura",0,IFERROR(_xlfn.XLOOKUP(1, (Facturas_Odoo!$D:$D=A2908) * (Facturas_Odoo!$K:$K=I2908), Facturas_Odoo!$Q:$Q, 0), 0))</f>
        <v/>
      </c>
      <c r="X2908" s="79">
        <f>IF(OR(Q2908="Sin Factura",Q2908=""),"",IFERROR(INDEX(Pagos_Odoo!$B:$B, MATCH(Q2908, Pagos_Odoo!$I:$I, 0)), "Sin Pago"))</f>
        <v/>
      </c>
      <c r="Y2908" s="79">
        <f>IF(X2908="Sin Pago","",IFERROR(INDEX(Pagos_Odoo!$C:$C, MATCH(X2908, Pagos_Odoo!$B:$B, 0)), ""))</f>
        <v/>
      </c>
      <c r="Z2908" s="80">
        <f>IF(X2908="Sin Pago","",IFERROR(INDEX(Pagos_Odoo!$A:$A, MATCH(X2908, Pagos_Odoo!$B:$B, 0)), ""))</f>
        <v/>
      </c>
      <c r="AA2908" s="79">
        <f>IF(X2908="Sin Pago","",IFERROR(INDEX(Pagos_Odoo!$F:$F, MATCH(X2908, Pagos_Odoo!$B:$B, 0)), ""))</f>
        <v/>
      </c>
      <c r="AB2908" s="81">
        <f>IF(X2908="Sin Pago",0,IFERROR(INDEX(Pagos_Odoo!$E:$E, MATCH(X2908, Pagos_Odoo!$B:$B, 0)), 0))</f>
        <v/>
      </c>
      <c r="AC2908" s="79">
        <f>IF(X2908="Sin Pago","",IFERROR(INDEX(Pagos_Odoo!$G:$G, MATCH(X2908, Pagos_Odoo!$B:$B, 0)), ""))</f>
        <v/>
      </c>
      <c r="AD2908" s="82" t="n">
        <v>0</v>
      </c>
      <c r="AE2908" s="82" t="n"/>
      <c r="AF2908" s="82" t="n"/>
      <c r="AG2908" s="82">
        <f>IF(AN2908="","",AD2908+AE2908+AF2908)</f>
        <v/>
      </c>
      <c r="AH2908" s="81">
        <f>IF(AN2908="","",P2908*(1-AG2908))</f>
        <v/>
      </c>
      <c r="AI2908" s="81">
        <f>IF(AN2908="","",IF(Q2908="Sin Factura",0,IFERROR(INDEX(Facturas_Odoo!$H:$H, MATCH(Q2908, Facturas_Odoo!$B:$B, 0)), 0)*(1-AG2908)))</f>
        <v/>
      </c>
      <c r="AJ2908" s="81">
        <f>IF(AN2908="","",_xlfn.LET(idVenta, AN2908&amp;"",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08" s="81">
        <f>IF(AN2908="","",AH2908-AJ2908)</f>
        <v/>
      </c>
      <c r="AL2908" s="81">
        <f>IF(AN2908="","",IF(Q2908="Sin Factura","",AI2908-AJ2908))</f>
        <v/>
      </c>
      <c r="AM2908" s="81">
        <f>IF(AN2908="","",IF(Q2908="Sin Factura",0,P2908-IFERROR(INDEX(Facturas_Odoo!$H:$H, MATCH(Q2908, Facturas_Odoo!$B:$B, 0)), 0)))</f>
        <v/>
      </c>
      <c r="AN2908" s="79">
        <f>IF(AND(A2908="", J2908=""), "", IF(A2908&lt;&gt;"", VALUE(MID(A2908,2,LEN(A2908))), AN2907))</f>
        <v/>
      </c>
      <c r="AO2908" s="79">
        <f>IF(AN2908="","",IF(AD2908=0,"OK",_xlfn.LET(monedaPago, IF(AA2908="","USD",AA2908), limitePermitido, IFERROR(VLOOKUP(monedaPago, Configuración!$A$2:$B$3, 2, FALSE), 0.15), IF(AD2908&gt;limitePermitido, "ALERTA: EXCESO (" &amp; TEXT(limitePermitido, "0%") &amp; " máx)", "OK"))))</f>
        <v/>
      </c>
      <c r="AP2908" s="79">
        <f>IF(AN2908="","",IF(AE2908=0,"OK",_xlfn.LET(fechaPago, Z2908, fechaFactura, R2908, diasCredito, IF(E2908="Pago inmediato", 0, IFERROR(VALUE(MID(E2908, 1, SEARCH(" ", E2908)-1)),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08" s="79">
        <f>IF(AN2908="","",IF(AND(N2908&gt;0, AG2908&gt;0), IF(Configuración!$K$2="NO", "ALERTA: DESCUENTO DOBLE NO PERMITIDO", "OK"), "OK"))</f>
        <v/>
      </c>
      <c r="AR2908" s="79">
        <f>IF(AN2908="","",IF(OR(AO2908&lt;&gt;"OK", AP2908&lt;&gt;"OK", AQ2908&lt;&gt;"OK"), "⚠️ REVISAR", "OK"))</f>
        <v/>
      </c>
    </row>
    <row r="2909">
      <c r="A2909" s="79">
        <f>IF('Ordenes_Odoo'!A2909="","",'Ordenes_Odoo'!A2909)</f>
        <v/>
      </c>
      <c r="B2909" s="80">
        <f>IF('Ordenes_Odoo'!B2909="","",'Ordenes_Odoo'!B2909)</f>
        <v/>
      </c>
      <c r="C2909" s="79">
        <f>IF('Ordenes_Odoo'!C2909="","",'Ordenes_Odoo'!C2909)</f>
        <v/>
      </c>
      <c r="D2909" s="79">
        <f>IF('Ordenes_Odoo'!D2909="","",'Ordenes_Odoo'!D2909)</f>
        <v/>
      </c>
      <c r="E2909" s="79">
        <f>IF('Ordenes_Odoo'!E2909="","",'Ordenes_Odoo'!E2909)</f>
        <v/>
      </c>
      <c r="F2909" s="79">
        <f>IF('Ordenes_Odoo'!F2909="","",'Ordenes_Odoo'!F2909)</f>
        <v/>
      </c>
      <c r="G2909" s="79">
        <f>IF('Ordenes_Odoo'!G2909="","",'Ordenes_Odoo'!G2909)</f>
        <v/>
      </c>
      <c r="H2909" s="79">
        <f>IF('Ordenes_Odoo'!H2909="","",'Ordenes_Odoo'!H2909)</f>
        <v/>
      </c>
      <c r="I2909" s="79">
        <f>IF('Ordenes_Odoo'!I2909="","",'Ordenes_Odoo'!I2909)</f>
        <v/>
      </c>
      <c r="J2909" s="79">
        <f>IF('Ordenes_Odoo'!J2909="","",'Ordenes_Odoo'!J2909)</f>
        <v/>
      </c>
      <c r="K2909" s="81">
        <f>IF('Ordenes_Odoo'!K2909="","",'Ordenes_Odoo'!K2909)</f>
        <v/>
      </c>
      <c r="L2909" s="81">
        <f>IF('Ordenes_Odoo'!L2909="","",'Ordenes_Odoo'!L2909)</f>
        <v/>
      </c>
      <c r="M2909" s="79">
        <f>IF('Ordenes_Odoo'!M2909="","",'Ordenes_Odoo'!M2909)</f>
        <v/>
      </c>
      <c r="N2909" s="79">
        <f>IF('Ordenes_Odoo'!N2909="","",'Ordenes_Odoo'!N2909)</f>
        <v/>
      </c>
      <c r="O2909" s="81">
        <f>IF('Ordenes_Odoo'!O2909="","",'Ordenes_Odoo'!O2909)</f>
        <v/>
      </c>
      <c r="P2909" s="81">
        <f>IF('Ordenes_Odoo'!P2909="","",'Ordenes_Odoo'!P2909)</f>
        <v/>
      </c>
      <c r="Q2909" s="79">
        <f>IF(A2909="","",IFERROR(INDEX(Facturas_Odoo!$B:$B, MATCH(A2909, Facturas_Odoo!$D:$D, 0)), "Sin Factura"))</f>
        <v/>
      </c>
      <c r="R2909" s="80">
        <f>IF(Q2909="Sin Factura","",IFERROR(INDEX(Facturas_Odoo!$A:$A, MATCH(Q2909, Facturas_Odoo!$B:$B, 0)), ""))</f>
        <v/>
      </c>
      <c r="S2909" s="79">
        <f>IF(Q2909="Sin Factura","",IFERROR(_xlfn.XLOOKUP(1, (Facturas_Odoo!$D:$D=A2909) * (Facturas_Odoo!$K:$K=I2909), Facturas_Odoo!$L:$L, ""), ""))</f>
        <v/>
      </c>
      <c r="T2909" s="81">
        <f>IF(Q2909="Sin Factura",0,IFERROR(_xlfn.XLOOKUP(1, (Facturas_Odoo!$D:$D=A2909) * (Facturas_Odoo!$K:$K=I2909), Facturas_Odoo!$M:$M, 0), 0))</f>
        <v/>
      </c>
      <c r="U2909" s="79">
        <f>IF(Q2909="Sin Factura",0,IFERROR(_xlfn.XLOOKUP(1, (Facturas_Odoo!$D:$D=A2909) * (Facturas_Odoo!$K:$K=I2909), Facturas_Odoo!$N:$N, 0), 0))</f>
        <v/>
      </c>
      <c r="V2909" s="79">
        <f>IF(Q2909="Sin Factura",0,IFERROR(_xlfn.XLOOKUP(1, (Facturas_Odoo!$D:$D=A2909) * (Facturas_Odoo!$K:$K=I2909), Facturas_Odoo!$O:$O, 0), 0))</f>
        <v/>
      </c>
      <c r="W2909" s="81">
        <f>IF(Q2909="Sin Factura",0,IFERROR(_xlfn.XLOOKUP(1, (Facturas_Odoo!$D:$D=A2909) * (Facturas_Odoo!$K:$K=I2909), Facturas_Odoo!$Q:$Q, 0), 0))</f>
        <v/>
      </c>
      <c r="X2909" s="79">
        <f>IF(OR(Q2909="Sin Factura",Q2909=""),"",IFERROR(INDEX(Pagos_Odoo!$B:$B, MATCH(Q2909, Pagos_Odoo!$I:$I, 0)), "Sin Pago"))</f>
        <v/>
      </c>
      <c r="Y2909" s="79">
        <f>IF(X2909="Sin Pago","",IFERROR(INDEX(Pagos_Odoo!$C:$C, MATCH(X2909, Pagos_Odoo!$B:$B, 0)), ""))</f>
        <v/>
      </c>
      <c r="Z2909" s="80">
        <f>IF(X2909="Sin Pago","",IFERROR(INDEX(Pagos_Odoo!$A:$A, MATCH(X2909, Pagos_Odoo!$B:$B, 0)), ""))</f>
        <v/>
      </c>
      <c r="AA2909" s="79">
        <f>IF(X2909="Sin Pago","",IFERROR(INDEX(Pagos_Odoo!$F:$F, MATCH(X2909, Pagos_Odoo!$B:$B, 0)), ""))</f>
        <v/>
      </c>
      <c r="AB2909" s="81">
        <f>IF(X2909="Sin Pago",0,IFERROR(INDEX(Pagos_Odoo!$E:$E, MATCH(X2909, Pagos_Odoo!$B:$B, 0)), 0))</f>
        <v/>
      </c>
      <c r="AC2909" s="79">
        <f>IF(X2909="Sin Pago","",IFERROR(INDEX(Pagos_Odoo!$G:$G, MATCH(X2909, Pagos_Odoo!$B:$B, 0)), ""))</f>
        <v/>
      </c>
      <c r="AD2909" s="82" t="n">
        <v>0</v>
      </c>
      <c r="AE2909" s="82" t="n"/>
      <c r="AF2909" s="82" t="n"/>
      <c r="AG2909" s="82">
        <f>IF(AN2909="","",AD2909+AE2909+AF2909)</f>
        <v/>
      </c>
      <c r="AH2909" s="81">
        <f>IF(AN2909="","",P2909*(1-AG2909))</f>
        <v/>
      </c>
      <c r="AI2909" s="81">
        <f>IF(AN2909="","",IF(Q2909="Sin Factura",0,IFERROR(INDEX(Facturas_Odoo!$H:$H, MATCH(Q2909, Facturas_Odoo!$B:$B, 0)), 0)*(1-AG2909)))</f>
        <v/>
      </c>
      <c r="AJ2909" s="81">
        <f>IF(AN2909="","",_xlfn.LET(idVenta, AN2909&amp;"",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09" s="81">
        <f>IF(AN2909="","",AH2909-AJ2909)</f>
        <v/>
      </c>
      <c r="AL2909" s="81">
        <f>IF(AN2909="","",IF(Q2909="Sin Factura","",AI2909-AJ2909))</f>
        <v/>
      </c>
      <c r="AM2909" s="81">
        <f>IF(AN2909="","",IF(Q2909="Sin Factura",0,P2909-IFERROR(INDEX(Facturas_Odoo!$H:$H, MATCH(Q2909, Facturas_Odoo!$B:$B, 0)), 0)))</f>
        <v/>
      </c>
      <c r="AN2909" s="79">
        <f>IF(AND(A2909="", J2909=""), "", IF(A2909&lt;&gt;"", VALUE(MID(A2909,2,LEN(A2909))), AN2908))</f>
        <v/>
      </c>
      <c r="AO2909" s="79">
        <f>IF(AN2909="","",IF(AD2909=0,"OK",_xlfn.LET(monedaPago, IF(AA2909="","USD",AA2909), limitePermitido, IFERROR(VLOOKUP(monedaPago, Configuración!$A$2:$B$3, 2, FALSE), 0.15), IF(AD2909&gt;limitePermitido, "ALERTA: EXCESO (" &amp; TEXT(limitePermitido, "0%") &amp; " máx)", "OK"))))</f>
        <v/>
      </c>
      <c r="AP2909" s="79">
        <f>IF(AN2909="","",IF(AE2909=0,"OK",_xlfn.LET(fechaPago, Z2909, fechaFactura, R2909, diasCredito, IF(E2909="Pago inmediato", 0, IFERROR(VALUE(MID(E2909, 1, SEARCH(" ", E2909)-1)),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09" s="79">
        <f>IF(AN2909="","",IF(AND(N2909&gt;0, AG2909&gt;0), IF(Configuración!$K$2="NO", "ALERTA: DESCUENTO DOBLE NO PERMITIDO", "OK"), "OK"))</f>
        <v/>
      </c>
      <c r="AR2909" s="79">
        <f>IF(AN2909="","",IF(OR(AO2909&lt;&gt;"OK", AP2909&lt;&gt;"OK", AQ2909&lt;&gt;"OK"), "⚠️ REVISAR", "OK"))</f>
        <v/>
      </c>
    </row>
    <row r="2910">
      <c r="A2910" s="79">
        <f>IF('Ordenes_Odoo'!A2910="","",'Ordenes_Odoo'!A2910)</f>
        <v/>
      </c>
      <c r="B2910" s="80">
        <f>IF('Ordenes_Odoo'!B2910="","",'Ordenes_Odoo'!B2910)</f>
        <v/>
      </c>
      <c r="C2910" s="79">
        <f>IF('Ordenes_Odoo'!C2910="","",'Ordenes_Odoo'!C2910)</f>
        <v/>
      </c>
      <c r="D2910" s="79">
        <f>IF('Ordenes_Odoo'!D2910="","",'Ordenes_Odoo'!D2910)</f>
        <v/>
      </c>
      <c r="E2910" s="79">
        <f>IF('Ordenes_Odoo'!E2910="","",'Ordenes_Odoo'!E2910)</f>
        <v/>
      </c>
      <c r="F2910" s="79">
        <f>IF('Ordenes_Odoo'!F2910="","",'Ordenes_Odoo'!F2910)</f>
        <v/>
      </c>
      <c r="G2910" s="79">
        <f>IF('Ordenes_Odoo'!G2910="","",'Ordenes_Odoo'!G2910)</f>
        <v/>
      </c>
      <c r="H2910" s="79">
        <f>IF('Ordenes_Odoo'!H2910="","",'Ordenes_Odoo'!H2910)</f>
        <v/>
      </c>
      <c r="I2910" s="79">
        <f>IF('Ordenes_Odoo'!I2910="","",'Ordenes_Odoo'!I2910)</f>
        <v/>
      </c>
      <c r="J2910" s="79">
        <f>IF('Ordenes_Odoo'!J2910="","",'Ordenes_Odoo'!J2910)</f>
        <v/>
      </c>
      <c r="K2910" s="81">
        <f>IF('Ordenes_Odoo'!K2910="","",'Ordenes_Odoo'!K2910)</f>
        <v/>
      </c>
      <c r="L2910" s="81">
        <f>IF('Ordenes_Odoo'!L2910="","",'Ordenes_Odoo'!L2910)</f>
        <v/>
      </c>
      <c r="M2910" s="79">
        <f>IF('Ordenes_Odoo'!M2910="","",'Ordenes_Odoo'!M2910)</f>
        <v/>
      </c>
      <c r="N2910" s="79">
        <f>IF('Ordenes_Odoo'!N2910="","",'Ordenes_Odoo'!N2910)</f>
        <v/>
      </c>
      <c r="O2910" s="81">
        <f>IF('Ordenes_Odoo'!O2910="","",'Ordenes_Odoo'!O2910)</f>
        <v/>
      </c>
      <c r="P2910" s="81">
        <f>IF('Ordenes_Odoo'!P2910="","",'Ordenes_Odoo'!P2910)</f>
        <v/>
      </c>
      <c r="Q2910" s="79">
        <f>IF(A2910="","",IFERROR(INDEX(Facturas_Odoo!$B:$B, MATCH(A2910, Facturas_Odoo!$D:$D, 0)), "Sin Factura"))</f>
        <v/>
      </c>
      <c r="R2910" s="80">
        <f>IF(Q2910="Sin Factura","",IFERROR(INDEX(Facturas_Odoo!$A:$A, MATCH(Q2910, Facturas_Odoo!$B:$B, 0)), ""))</f>
        <v/>
      </c>
      <c r="S2910" s="79">
        <f>IF(Q2910="Sin Factura","",IFERROR(_xlfn.XLOOKUP(1, (Facturas_Odoo!$D:$D=A2910) * (Facturas_Odoo!$K:$K=I2910), Facturas_Odoo!$L:$L, ""), ""))</f>
        <v/>
      </c>
      <c r="T2910" s="81">
        <f>IF(Q2910="Sin Factura",0,IFERROR(_xlfn.XLOOKUP(1, (Facturas_Odoo!$D:$D=A2910) * (Facturas_Odoo!$K:$K=I2910), Facturas_Odoo!$M:$M, 0), 0))</f>
        <v/>
      </c>
      <c r="U2910" s="79">
        <f>IF(Q2910="Sin Factura",0,IFERROR(_xlfn.XLOOKUP(1, (Facturas_Odoo!$D:$D=A2910) * (Facturas_Odoo!$K:$K=I2910), Facturas_Odoo!$N:$N, 0), 0))</f>
        <v/>
      </c>
      <c r="V2910" s="79">
        <f>IF(Q2910="Sin Factura",0,IFERROR(_xlfn.XLOOKUP(1, (Facturas_Odoo!$D:$D=A2910) * (Facturas_Odoo!$K:$K=I2910), Facturas_Odoo!$O:$O, 0), 0))</f>
        <v/>
      </c>
      <c r="W2910" s="81">
        <f>IF(Q2910="Sin Factura",0,IFERROR(_xlfn.XLOOKUP(1, (Facturas_Odoo!$D:$D=A2910) * (Facturas_Odoo!$K:$K=I2910), Facturas_Odoo!$Q:$Q, 0), 0))</f>
        <v/>
      </c>
      <c r="X2910" s="79">
        <f>IF(OR(Q2910="Sin Factura",Q2910=""),"",IFERROR(INDEX(Pagos_Odoo!$B:$B, MATCH(Q2910, Pagos_Odoo!$I:$I, 0)), "Sin Pago"))</f>
        <v/>
      </c>
      <c r="Y2910" s="79">
        <f>IF(X2910="Sin Pago","",IFERROR(INDEX(Pagos_Odoo!$C:$C, MATCH(X2910, Pagos_Odoo!$B:$B, 0)), ""))</f>
        <v/>
      </c>
      <c r="Z2910" s="80">
        <f>IF(X2910="Sin Pago","",IFERROR(INDEX(Pagos_Odoo!$A:$A, MATCH(X2910, Pagos_Odoo!$B:$B, 0)), ""))</f>
        <v/>
      </c>
      <c r="AA2910" s="79">
        <f>IF(X2910="Sin Pago","",IFERROR(INDEX(Pagos_Odoo!$F:$F, MATCH(X2910, Pagos_Odoo!$B:$B, 0)), ""))</f>
        <v/>
      </c>
      <c r="AB2910" s="81">
        <f>IF(X2910="Sin Pago",0,IFERROR(INDEX(Pagos_Odoo!$E:$E, MATCH(X2910, Pagos_Odoo!$B:$B, 0)), 0))</f>
        <v/>
      </c>
      <c r="AC2910" s="79">
        <f>IF(X2910="Sin Pago","",IFERROR(INDEX(Pagos_Odoo!$G:$G, MATCH(X2910, Pagos_Odoo!$B:$B, 0)), ""))</f>
        <v/>
      </c>
      <c r="AD2910" s="82" t="n">
        <v>0</v>
      </c>
      <c r="AE2910" s="82" t="n"/>
      <c r="AF2910" s="82" t="n"/>
      <c r="AG2910" s="82">
        <f>IF(AN2910="","",AD2910+AE2910+AF2910)</f>
        <v/>
      </c>
      <c r="AH2910" s="81">
        <f>IF(AN2910="","",P2910*(1-AG2910))</f>
        <v/>
      </c>
      <c r="AI2910" s="81">
        <f>IF(AN2910="","",IF(Q2910="Sin Factura",0,IFERROR(INDEX(Facturas_Odoo!$H:$H, MATCH(Q2910, Facturas_Odoo!$B:$B, 0)), 0)*(1-AG2910)))</f>
        <v/>
      </c>
      <c r="AJ2910" s="81">
        <f>IF(AN2910="","",_xlfn.LET(idVenta, AN2910&amp;"",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10" s="81">
        <f>IF(AN2910="","",AH2910-AJ2910)</f>
        <v/>
      </c>
      <c r="AL2910" s="81">
        <f>IF(AN2910="","",IF(Q2910="Sin Factura","",AI2910-AJ2910))</f>
        <v/>
      </c>
      <c r="AM2910" s="81">
        <f>IF(AN2910="","",IF(Q2910="Sin Factura",0,P2910-IFERROR(INDEX(Facturas_Odoo!$H:$H, MATCH(Q2910, Facturas_Odoo!$B:$B, 0)), 0)))</f>
        <v/>
      </c>
      <c r="AN2910" s="79">
        <f>IF(AND(A2910="", J2910=""), "", IF(A2910&lt;&gt;"", VALUE(MID(A2910,2,LEN(A2910))), AN2909))</f>
        <v/>
      </c>
      <c r="AO2910" s="79">
        <f>IF(AN2910="","",IF(AD2910=0,"OK",_xlfn.LET(monedaPago, IF(AA2910="","USD",AA2910), limitePermitido, IFERROR(VLOOKUP(monedaPago, Configuración!$A$2:$B$3, 2, FALSE), 0.15), IF(AD2910&gt;limitePermitido, "ALERTA: EXCESO (" &amp; TEXT(limitePermitido, "0%") &amp; " máx)", "OK"))))</f>
        <v/>
      </c>
      <c r="AP2910" s="79">
        <f>IF(AN2910="","",IF(AE2910=0,"OK",_xlfn.LET(fechaPago, Z2910, fechaFactura, R2910, diasCredito, IF(E2910="Pago inmediato", 0, IFERROR(VALUE(MID(E2910, 1, SEARCH(" ", E2910)-1)),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10" s="79">
        <f>IF(AN2910="","",IF(AND(N2910&gt;0, AG2910&gt;0), IF(Configuración!$K$2="NO", "ALERTA: DESCUENTO DOBLE NO PERMITIDO", "OK"), "OK"))</f>
        <v/>
      </c>
      <c r="AR2910" s="79">
        <f>IF(AN2910="","",IF(OR(AO2910&lt;&gt;"OK", AP2910&lt;&gt;"OK", AQ2910&lt;&gt;"OK"), "⚠️ REVISAR", "OK"))</f>
        <v/>
      </c>
    </row>
    <row r="2911">
      <c r="A2911" s="79">
        <f>IF('Ordenes_Odoo'!A2911="","",'Ordenes_Odoo'!A2911)</f>
        <v/>
      </c>
      <c r="B2911" s="80">
        <f>IF('Ordenes_Odoo'!B2911="","",'Ordenes_Odoo'!B2911)</f>
        <v/>
      </c>
      <c r="C2911" s="79">
        <f>IF('Ordenes_Odoo'!C2911="","",'Ordenes_Odoo'!C2911)</f>
        <v/>
      </c>
      <c r="D2911" s="79">
        <f>IF('Ordenes_Odoo'!D2911="","",'Ordenes_Odoo'!D2911)</f>
        <v/>
      </c>
      <c r="E2911" s="79">
        <f>IF('Ordenes_Odoo'!E2911="","",'Ordenes_Odoo'!E2911)</f>
        <v/>
      </c>
      <c r="F2911" s="79">
        <f>IF('Ordenes_Odoo'!F2911="","",'Ordenes_Odoo'!F2911)</f>
        <v/>
      </c>
      <c r="G2911" s="79">
        <f>IF('Ordenes_Odoo'!G2911="","",'Ordenes_Odoo'!G2911)</f>
        <v/>
      </c>
      <c r="H2911" s="79">
        <f>IF('Ordenes_Odoo'!H2911="","",'Ordenes_Odoo'!H2911)</f>
        <v/>
      </c>
      <c r="I2911" s="79">
        <f>IF('Ordenes_Odoo'!I2911="","",'Ordenes_Odoo'!I2911)</f>
        <v/>
      </c>
      <c r="J2911" s="79">
        <f>IF('Ordenes_Odoo'!J2911="","",'Ordenes_Odoo'!J2911)</f>
        <v/>
      </c>
      <c r="K2911" s="81">
        <f>IF('Ordenes_Odoo'!K2911="","",'Ordenes_Odoo'!K2911)</f>
        <v/>
      </c>
      <c r="L2911" s="81">
        <f>IF('Ordenes_Odoo'!L2911="","",'Ordenes_Odoo'!L2911)</f>
        <v/>
      </c>
      <c r="M2911" s="79">
        <f>IF('Ordenes_Odoo'!M2911="","",'Ordenes_Odoo'!M2911)</f>
        <v/>
      </c>
      <c r="N2911" s="79">
        <f>IF('Ordenes_Odoo'!N2911="","",'Ordenes_Odoo'!N2911)</f>
        <v/>
      </c>
      <c r="O2911" s="81">
        <f>IF('Ordenes_Odoo'!O2911="","",'Ordenes_Odoo'!O2911)</f>
        <v/>
      </c>
      <c r="P2911" s="81">
        <f>IF('Ordenes_Odoo'!P2911="","",'Ordenes_Odoo'!P2911)</f>
        <v/>
      </c>
      <c r="Q2911" s="79">
        <f>IF(A2911="","",IFERROR(INDEX(Facturas_Odoo!$B:$B, MATCH(A2911, Facturas_Odoo!$D:$D, 0)), "Sin Factura"))</f>
        <v/>
      </c>
      <c r="R2911" s="80">
        <f>IF(Q2911="Sin Factura","",IFERROR(INDEX(Facturas_Odoo!$A:$A, MATCH(Q2911, Facturas_Odoo!$B:$B, 0)), ""))</f>
        <v/>
      </c>
      <c r="S2911" s="79">
        <f>IF(Q2911="Sin Factura","",IFERROR(_xlfn.XLOOKUP(1, (Facturas_Odoo!$D:$D=A2911) * (Facturas_Odoo!$K:$K=I2911), Facturas_Odoo!$L:$L, ""), ""))</f>
        <v/>
      </c>
      <c r="T2911" s="81">
        <f>IF(Q2911="Sin Factura",0,IFERROR(_xlfn.XLOOKUP(1, (Facturas_Odoo!$D:$D=A2911) * (Facturas_Odoo!$K:$K=I2911), Facturas_Odoo!$M:$M, 0), 0))</f>
        <v/>
      </c>
      <c r="U2911" s="79">
        <f>IF(Q2911="Sin Factura",0,IFERROR(_xlfn.XLOOKUP(1, (Facturas_Odoo!$D:$D=A2911) * (Facturas_Odoo!$K:$K=I2911), Facturas_Odoo!$N:$N, 0), 0))</f>
        <v/>
      </c>
      <c r="V2911" s="79">
        <f>IF(Q2911="Sin Factura",0,IFERROR(_xlfn.XLOOKUP(1, (Facturas_Odoo!$D:$D=A2911) * (Facturas_Odoo!$K:$K=I2911), Facturas_Odoo!$O:$O, 0), 0))</f>
        <v/>
      </c>
      <c r="W2911" s="81">
        <f>IF(Q2911="Sin Factura",0,IFERROR(_xlfn.XLOOKUP(1, (Facturas_Odoo!$D:$D=A2911) * (Facturas_Odoo!$K:$K=I2911), Facturas_Odoo!$Q:$Q, 0), 0))</f>
        <v/>
      </c>
      <c r="X2911" s="79">
        <f>IF(OR(Q2911="Sin Factura",Q2911=""),"",IFERROR(INDEX(Pagos_Odoo!$B:$B, MATCH(Q2911, Pagos_Odoo!$I:$I, 0)), "Sin Pago"))</f>
        <v/>
      </c>
      <c r="Y2911" s="79">
        <f>IF(X2911="Sin Pago","",IFERROR(INDEX(Pagos_Odoo!$C:$C, MATCH(X2911, Pagos_Odoo!$B:$B, 0)), ""))</f>
        <v/>
      </c>
      <c r="Z2911" s="80">
        <f>IF(X2911="Sin Pago","",IFERROR(INDEX(Pagos_Odoo!$A:$A, MATCH(X2911, Pagos_Odoo!$B:$B, 0)), ""))</f>
        <v/>
      </c>
      <c r="AA2911" s="79">
        <f>IF(X2911="Sin Pago","",IFERROR(INDEX(Pagos_Odoo!$F:$F, MATCH(X2911, Pagos_Odoo!$B:$B, 0)), ""))</f>
        <v/>
      </c>
      <c r="AB2911" s="81">
        <f>IF(X2911="Sin Pago",0,IFERROR(INDEX(Pagos_Odoo!$E:$E, MATCH(X2911, Pagos_Odoo!$B:$B, 0)), 0))</f>
        <v/>
      </c>
      <c r="AC2911" s="79">
        <f>IF(X2911="Sin Pago","",IFERROR(INDEX(Pagos_Odoo!$G:$G, MATCH(X2911, Pagos_Odoo!$B:$B, 0)), ""))</f>
        <v/>
      </c>
      <c r="AD2911" s="82" t="n">
        <v>0</v>
      </c>
      <c r="AE2911" s="82" t="n"/>
      <c r="AF2911" s="82" t="n"/>
      <c r="AG2911" s="82">
        <f>IF(AN2911="","",AD2911+AE2911+AF2911)</f>
        <v/>
      </c>
      <c r="AH2911" s="81">
        <f>IF(AN2911="","",P2911*(1-AG2911))</f>
        <v/>
      </c>
      <c r="AI2911" s="81">
        <f>IF(AN2911="","",IF(Q2911="Sin Factura",0,IFERROR(INDEX(Facturas_Odoo!$H:$H, MATCH(Q2911, Facturas_Odoo!$B:$B, 0)), 0)*(1-AG2911)))</f>
        <v/>
      </c>
      <c r="AJ2911" s="81">
        <f>IF(AN2911="","",_xlfn.LET(idVenta, AN2911&amp;"",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11" s="81">
        <f>IF(AN2911="","",AH2911-AJ2911)</f>
        <v/>
      </c>
      <c r="AL2911" s="81">
        <f>IF(AN2911="","",IF(Q2911="Sin Factura","",AI2911-AJ2911))</f>
        <v/>
      </c>
      <c r="AM2911" s="81">
        <f>IF(AN2911="","",IF(Q2911="Sin Factura",0,P2911-IFERROR(INDEX(Facturas_Odoo!$H:$H, MATCH(Q2911, Facturas_Odoo!$B:$B, 0)), 0)))</f>
        <v/>
      </c>
      <c r="AN2911" s="79">
        <f>IF(AND(A2911="", J2911=""), "", IF(A2911&lt;&gt;"", VALUE(MID(A2911,2,LEN(A2911))), AN2910))</f>
        <v/>
      </c>
      <c r="AO2911" s="79">
        <f>IF(AN2911="","",IF(AD2911=0,"OK",_xlfn.LET(monedaPago, IF(AA2911="","USD",AA2911), limitePermitido, IFERROR(VLOOKUP(monedaPago, Configuración!$A$2:$B$3, 2, FALSE), 0.15), IF(AD2911&gt;limitePermitido, "ALERTA: EXCESO (" &amp; TEXT(limitePermitido, "0%") &amp; " máx)", "OK"))))</f>
        <v/>
      </c>
      <c r="AP2911" s="79">
        <f>IF(AN2911="","",IF(AE2911=0,"OK",_xlfn.LET(fechaPago, Z2911, fechaFactura, R2911, diasCredito, IF(E2911="Pago inmediato", 0, IFERROR(VALUE(MID(E2911, 1, SEARCH(" ", E2911)-1)),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11" s="79">
        <f>IF(AN2911="","",IF(AND(N2911&gt;0, AG2911&gt;0), IF(Configuración!$K$2="NO", "ALERTA: DESCUENTO DOBLE NO PERMITIDO", "OK"), "OK"))</f>
        <v/>
      </c>
      <c r="AR2911" s="79">
        <f>IF(AN2911="","",IF(OR(AO2911&lt;&gt;"OK", AP2911&lt;&gt;"OK", AQ2911&lt;&gt;"OK"), "⚠️ REVISAR", "OK"))</f>
        <v/>
      </c>
    </row>
    <row r="2912">
      <c r="A2912" s="79">
        <f>IF('Ordenes_Odoo'!A2912="","",'Ordenes_Odoo'!A2912)</f>
        <v/>
      </c>
      <c r="B2912" s="80">
        <f>IF('Ordenes_Odoo'!B2912="","",'Ordenes_Odoo'!B2912)</f>
        <v/>
      </c>
      <c r="C2912" s="79">
        <f>IF('Ordenes_Odoo'!C2912="","",'Ordenes_Odoo'!C2912)</f>
        <v/>
      </c>
      <c r="D2912" s="79">
        <f>IF('Ordenes_Odoo'!D2912="","",'Ordenes_Odoo'!D2912)</f>
        <v/>
      </c>
      <c r="E2912" s="79">
        <f>IF('Ordenes_Odoo'!E2912="","",'Ordenes_Odoo'!E2912)</f>
        <v/>
      </c>
      <c r="F2912" s="79">
        <f>IF('Ordenes_Odoo'!F2912="","",'Ordenes_Odoo'!F2912)</f>
        <v/>
      </c>
      <c r="G2912" s="79">
        <f>IF('Ordenes_Odoo'!G2912="","",'Ordenes_Odoo'!G2912)</f>
        <v/>
      </c>
      <c r="H2912" s="79">
        <f>IF('Ordenes_Odoo'!H2912="","",'Ordenes_Odoo'!H2912)</f>
        <v/>
      </c>
      <c r="I2912" s="79">
        <f>IF('Ordenes_Odoo'!I2912="","",'Ordenes_Odoo'!I2912)</f>
        <v/>
      </c>
      <c r="J2912" s="79">
        <f>IF('Ordenes_Odoo'!J2912="","",'Ordenes_Odoo'!J2912)</f>
        <v/>
      </c>
      <c r="K2912" s="81">
        <f>IF('Ordenes_Odoo'!K2912="","",'Ordenes_Odoo'!K2912)</f>
        <v/>
      </c>
      <c r="L2912" s="81">
        <f>IF('Ordenes_Odoo'!L2912="","",'Ordenes_Odoo'!L2912)</f>
        <v/>
      </c>
      <c r="M2912" s="79">
        <f>IF('Ordenes_Odoo'!M2912="","",'Ordenes_Odoo'!M2912)</f>
        <v/>
      </c>
      <c r="N2912" s="79">
        <f>IF('Ordenes_Odoo'!N2912="","",'Ordenes_Odoo'!N2912)</f>
        <v/>
      </c>
      <c r="O2912" s="81">
        <f>IF('Ordenes_Odoo'!O2912="","",'Ordenes_Odoo'!O2912)</f>
        <v/>
      </c>
      <c r="P2912" s="81">
        <f>IF('Ordenes_Odoo'!P2912="","",'Ordenes_Odoo'!P2912)</f>
        <v/>
      </c>
      <c r="Q2912" s="79">
        <f>IF(A2912="","",IFERROR(INDEX(Facturas_Odoo!$B:$B, MATCH(A2912, Facturas_Odoo!$D:$D, 0)), "Sin Factura"))</f>
        <v/>
      </c>
      <c r="R2912" s="80">
        <f>IF(Q2912="Sin Factura","",IFERROR(INDEX(Facturas_Odoo!$A:$A, MATCH(Q2912, Facturas_Odoo!$B:$B, 0)), ""))</f>
        <v/>
      </c>
      <c r="S2912" s="79">
        <f>IF(Q2912="Sin Factura","",IFERROR(_xlfn.XLOOKUP(1, (Facturas_Odoo!$D:$D=A2912) * (Facturas_Odoo!$K:$K=I2912), Facturas_Odoo!$L:$L, ""), ""))</f>
        <v/>
      </c>
      <c r="T2912" s="81">
        <f>IF(Q2912="Sin Factura",0,IFERROR(_xlfn.XLOOKUP(1, (Facturas_Odoo!$D:$D=A2912) * (Facturas_Odoo!$K:$K=I2912), Facturas_Odoo!$M:$M, 0), 0))</f>
        <v/>
      </c>
      <c r="U2912" s="79">
        <f>IF(Q2912="Sin Factura",0,IFERROR(_xlfn.XLOOKUP(1, (Facturas_Odoo!$D:$D=A2912) * (Facturas_Odoo!$K:$K=I2912), Facturas_Odoo!$N:$N, 0), 0))</f>
        <v/>
      </c>
      <c r="V2912" s="79">
        <f>IF(Q2912="Sin Factura",0,IFERROR(_xlfn.XLOOKUP(1, (Facturas_Odoo!$D:$D=A2912) * (Facturas_Odoo!$K:$K=I2912), Facturas_Odoo!$O:$O, 0), 0))</f>
        <v/>
      </c>
      <c r="W2912" s="81">
        <f>IF(Q2912="Sin Factura",0,IFERROR(_xlfn.XLOOKUP(1, (Facturas_Odoo!$D:$D=A2912) * (Facturas_Odoo!$K:$K=I2912), Facturas_Odoo!$Q:$Q, 0), 0))</f>
        <v/>
      </c>
      <c r="X2912" s="79">
        <f>IF(OR(Q2912="Sin Factura",Q2912=""),"",IFERROR(INDEX(Pagos_Odoo!$B:$B, MATCH(Q2912, Pagos_Odoo!$I:$I, 0)), "Sin Pago"))</f>
        <v/>
      </c>
      <c r="Y2912" s="79">
        <f>IF(X2912="Sin Pago","",IFERROR(INDEX(Pagos_Odoo!$C:$C, MATCH(X2912, Pagos_Odoo!$B:$B, 0)), ""))</f>
        <v/>
      </c>
      <c r="Z2912" s="80">
        <f>IF(X2912="Sin Pago","",IFERROR(INDEX(Pagos_Odoo!$A:$A, MATCH(X2912, Pagos_Odoo!$B:$B, 0)), ""))</f>
        <v/>
      </c>
      <c r="AA2912" s="79">
        <f>IF(X2912="Sin Pago","",IFERROR(INDEX(Pagos_Odoo!$F:$F, MATCH(X2912, Pagos_Odoo!$B:$B, 0)), ""))</f>
        <v/>
      </c>
      <c r="AB2912" s="81">
        <f>IF(X2912="Sin Pago",0,IFERROR(INDEX(Pagos_Odoo!$E:$E, MATCH(X2912, Pagos_Odoo!$B:$B, 0)), 0))</f>
        <v/>
      </c>
      <c r="AC2912" s="79">
        <f>IF(X2912="Sin Pago","",IFERROR(INDEX(Pagos_Odoo!$G:$G, MATCH(X2912, Pagos_Odoo!$B:$B, 0)), ""))</f>
        <v/>
      </c>
      <c r="AD2912" s="82" t="n">
        <v>0</v>
      </c>
      <c r="AE2912" s="82" t="n"/>
      <c r="AF2912" s="82" t="n"/>
      <c r="AG2912" s="82">
        <f>IF(AN2912="","",AD2912+AE2912+AF2912)</f>
        <v/>
      </c>
      <c r="AH2912" s="81">
        <f>IF(AN2912="","",P2912*(1-AG2912))</f>
        <v/>
      </c>
      <c r="AI2912" s="81">
        <f>IF(AN2912="","",IF(Q2912="Sin Factura",0,IFERROR(INDEX(Facturas_Odoo!$H:$H, MATCH(Q2912, Facturas_Odoo!$B:$B, 0)), 0)*(1-AG2912)))</f>
        <v/>
      </c>
      <c r="AJ2912" s="81">
        <f>IF(AN2912="","",_xlfn.LET(idVenta, AN2912&amp;"",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12" s="81">
        <f>IF(AN2912="","",AH2912-AJ2912)</f>
        <v/>
      </c>
      <c r="AL2912" s="81">
        <f>IF(AN2912="","",IF(Q2912="Sin Factura","",AI2912-AJ2912))</f>
        <v/>
      </c>
      <c r="AM2912" s="81">
        <f>IF(AN2912="","",IF(Q2912="Sin Factura",0,P2912-IFERROR(INDEX(Facturas_Odoo!$H:$H, MATCH(Q2912, Facturas_Odoo!$B:$B, 0)), 0)))</f>
        <v/>
      </c>
      <c r="AN2912" s="79">
        <f>IF(AND(A2912="", J2912=""), "", IF(A2912&lt;&gt;"", VALUE(MID(A2912,2,LEN(A2912))), AN2911))</f>
        <v/>
      </c>
      <c r="AO2912" s="79">
        <f>IF(AN2912="","",IF(AD2912=0,"OK",_xlfn.LET(monedaPago, IF(AA2912="","USD",AA2912), limitePermitido, IFERROR(VLOOKUP(monedaPago, Configuración!$A$2:$B$3, 2, FALSE), 0.15), IF(AD2912&gt;limitePermitido, "ALERTA: EXCESO (" &amp; TEXT(limitePermitido, "0%") &amp; " máx)", "OK"))))</f>
        <v/>
      </c>
      <c r="AP2912" s="79">
        <f>IF(AN2912="","",IF(AE2912=0,"OK",_xlfn.LET(fechaPago, Z2912, fechaFactura, R2912, diasCredito, IF(E2912="Pago inmediato", 0, IFERROR(VALUE(MID(E2912, 1, SEARCH(" ", E2912)-1)),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12" s="79">
        <f>IF(AN2912="","",IF(AND(N2912&gt;0, AG2912&gt;0), IF(Configuración!$K$2="NO", "ALERTA: DESCUENTO DOBLE NO PERMITIDO", "OK"), "OK"))</f>
        <v/>
      </c>
      <c r="AR2912" s="79">
        <f>IF(AN2912="","",IF(OR(AO2912&lt;&gt;"OK", AP2912&lt;&gt;"OK", AQ2912&lt;&gt;"OK"), "⚠️ REVISAR", "OK"))</f>
        <v/>
      </c>
    </row>
    <row r="2913">
      <c r="A2913" s="79">
        <f>IF('Ordenes_Odoo'!A2913="","",'Ordenes_Odoo'!A2913)</f>
        <v/>
      </c>
      <c r="B2913" s="80">
        <f>IF('Ordenes_Odoo'!B2913="","",'Ordenes_Odoo'!B2913)</f>
        <v/>
      </c>
      <c r="C2913" s="79">
        <f>IF('Ordenes_Odoo'!C2913="","",'Ordenes_Odoo'!C2913)</f>
        <v/>
      </c>
      <c r="D2913" s="79">
        <f>IF('Ordenes_Odoo'!D2913="","",'Ordenes_Odoo'!D2913)</f>
        <v/>
      </c>
      <c r="E2913" s="79">
        <f>IF('Ordenes_Odoo'!E2913="","",'Ordenes_Odoo'!E2913)</f>
        <v/>
      </c>
      <c r="F2913" s="79">
        <f>IF('Ordenes_Odoo'!F2913="","",'Ordenes_Odoo'!F2913)</f>
        <v/>
      </c>
      <c r="G2913" s="79">
        <f>IF('Ordenes_Odoo'!G2913="","",'Ordenes_Odoo'!G2913)</f>
        <v/>
      </c>
      <c r="H2913" s="79">
        <f>IF('Ordenes_Odoo'!H2913="","",'Ordenes_Odoo'!H2913)</f>
        <v/>
      </c>
      <c r="I2913" s="79">
        <f>IF('Ordenes_Odoo'!I2913="","",'Ordenes_Odoo'!I2913)</f>
        <v/>
      </c>
      <c r="J2913" s="79">
        <f>IF('Ordenes_Odoo'!J2913="","",'Ordenes_Odoo'!J2913)</f>
        <v/>
      </c>
      <c r="K2913" s="81">
        <f>IF('Ordenes_Odoo'!K2913="","",'Ordenes_Odoo'!K2913)</f>
        <v/>
      </c>
      <c r="L2913" s="81">
        <f>IF('Ordenes_Odoo'!L2913="","",'Ordenes_Odoo'!L2913)</f>
        <v/>
      </c>
      <c r="M2913" s="79">
        <f>IF('Ordenes_Odoo'!M2913="","",'Ordenes_Odoo'!M2913)</f>
        <v/>
      </c>
      <c r="N2913" s="79">
        <f>IF('Ordenes_Odoo'!N2913="","",'Ordenes_Odoo'!N2913)</f>
        <v/>
      </c>
      <c r="O2913" s="81">
        <f>IF('Ordenes_Odoo'!O2913="","",'Ordenes_Odoo'!O2913)</f>
        <v/>
      </c>
      <c r="P2913" s="81">
        <f>IF('Ordenes_Odoo'!P2913="","",'Ordenes_Odoo'!P2913)</f>
        <v/>
      </c>
      <c r="Q2913" s="79">
        <f>IF(A2913="","",IFERROR(INDEX(Facturas_Odoo!$B:$B, MATCH(A2913, Facturas_Odoo!$D:$D, 0)), "Sin Factura"))</f>
        <v/>
      </c>
      <c r="R2913" s="80">
        <f>IF(Q2913="Sin Factura","",IFERROR(INDEX(Facturas_Odoo!$A:$A, MATCH(Q2913, Facturas_Odoo!$B:$B, 0)), ""))</f>
        <v/>
      </c>
      <c r="S2913" s="79">
        <f>IF(Q2913="Sin Factura","",IFERROR(_xlfn.XLOOKUP(1, (Facturas_Odoo!$D:$D=A2913) * (Facturas_Odoo!$K:$K=I2913), Facturas_Odoo!$L:$L, ""), ""))</f>
        <v/>
      </c>
      <c r="T2913" s="81">
        <f>IF(Q2913="Sin Factura",0,IFERROR(_xlfn.XLOOKUP(1, (Facturas_Odoo!$D:$D=A2913) * (Facturas_Odoo!$K:$K=I2913), Facturas_Odoo!$M:$M, 0), 0))</f>
        <v/>
      </c>
      <c r="U2913" s="79">
        <f>IF(Q2913="Sin Factura",0,IFERROR(_xlfn.XLOOKUP(1, (Facturas_Odoo!$D:$D=A2913) * (Facturas_Odoo!$K:$K=I2913), Facturas_Odoo!$N:$N, 0), 0))</f>
        <v/>
      </c>
      <c r="V2913" s="79">
        <f>IF(Q2913="Sin Factura",0,IFERROR(_xlfn.XLOOKUP(1, (Facturas_Odoo!$D:$D=A2913) * (Facturas_Odoo!$K:$K=I2913), Facturas_Odoo!$O:$O, 0), 0))</f>
        <v/>
      </c>
      <c r="W2913" s="81">
        <f>IF(Q2913="Sin Factura",0,IFERROR(_xlfn.XLOOKUP(1, (Facturas_Odoo!$D:$D=A2913) * (Facturas_Odoo!$K:$K=I2913), Facturas_Odoo!$Q:$Q, 0), 0))</f>
        <v/>
      </c>
      <c r="X2913" s="79">
        <f>IF(OR(Q2913="Sin Factura",Q2913=""),"",IFERROR(INDEX(Pagos_Odoo!$B:$B, MATCH(Q2913, Pagos_Odoo!$I:$I, 0)), "Sin Pago"))</f>
        <v/>
      </c>
      <c r="Y2913" s="79">
        <f>IF(X2913="Sin Pago","",IFERROR(INDEX(Pagos_Odoo!$C:$C, MATCH(X2913, Pagos_Odoo!$B:$B, 0)), ""))</f>
        <v/>
      </c>
      <c r="Z2913" s="80">
        <f>IF(X2913="Sin Pago","",IFERROR(INDEX(Pagos_Odoo!$A:$A, MATCH(X2913, Pagos_Odoo!$B:$B, 0)), ""))</f>
        <v/>
      </c>
      <c r="AA2913" s="79">
        <f>IF(X2913="Sin Pago","",IFERROR(INDEX(Pagos_Odoo!$F:$F, MATCH(X2913, Pagos_Odoo!$B:$B, 0)), ""))</f>
        <v/>
      </c>
      <c r="AB2913" s="81">
        <f>IF(X2913="Sin Pago",0,IFERROR(INDEX(Pagos_Odoo!$E:$E, MATCH(X2913, Pagos_Odoo!$B:$B, 0)), 0))</f>
        <v/>
      </c>
      <c r="AC2913" s="79">
        <f>IF(X2913="Sin Pago","",IFERROR(INDEX(Pagos_Odoo!$G:$G, MATCH(X2913, Pagos_Odoo!$B:$B, 0)), ""))</f>
        <v/>
      </c>
      <c r="AD2913" s="82" t="n">
        <v>0</v>
      </c>
      <c r="AE2913" s="82" t="n"/>
      <c r="AF2913" s="82" t="n"/>
      <c r="AG2913" s="82">
        <f>IF(AN2913="","",AD2913+AE2913+AF2913)</f>
        <v/>
      </c>
      <c r="AH2913" s="81">
        <f>IF(AN2913="","",P2913*(1-AG2913))</f>
        <v/>
      </c>
      <c r="AI2913" s="81">
        <f>IF(AN2913="","",IF(Q2913="Sin Factura",0,IFERROR(INDEX(Facturas_Odoo!$H:$H, MATCH(Q2913, Facturas_Odoo!$B:$B, 0)), 0)*(1-AG2913)))</f>
        <v/>
      </c>
      <c r="AJ2913" s="81">
        <f>IF(AN2913="","",_xlfn.LET(idVenta, AN2913&amp;"",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13" s="81">
        <f>IF(AN2913="","",AH2913-AJ2913)</f>
        <v/>
      </c>
      <c r="AL2913" s="81">
        <f>IF(AN2913="","",IF(Q2913="Sin Factura","",AI2913-AJ2913))</f>
        <v/>
      </c>
      <c r="AM2913" s="81">
        <f>IF(AN2913="","",IF(Q2913="Sin Factura",0,P2913-IFERROR(INDEX(Facturas_Odoo!$H:$H, MATCH(Q2913, Facturas_Odoo!$B:$B, 0)), 0)))</f>
        <v/>
      </c>
      <c r="AN2913" s="79">
        <f>IF(AND(A2913="", J2913=""), "", IF(A2913&lt;&gt;"", VALUE(MID(A2913,2,LEN(A2913))), AN2912))</f>
        <v/>
      </c>
      <c r="AO2913" s="79">
        <f>IF(AN2913="","",IF(AD2913=0,"OK",_xlfn.LET(monedaPago, IF(AA2913="","USD",AA2913), limitePermitido, IFERROR(VLOOKUP(monedaPago, Configuración!$A$2:$B$3, 2, FALSE), 0.15), IF(AD2913&gt;limitePermitido, "ALERTA: EXCESO (" &amp; TEXT(limitePermitido, "0%") &amp; " máx)", "OK"))))</f>
        <v/>
      </c>
      <c r="AP2913" s="79">
        <f>IF(AN2913="","",IF(AE2913=0,"OK",_xlfn.LET(fechaPago, Z2913, fechaFactura, R2913, diasCredito, IF(E2913="Pago inmediato", 0, IFERROR(VALUE(MID(E2913, 1, SEARCH(" ", E2913)-1)),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13" s="79">
        <f>IF(AN2913="","",IF(AND(N2913&gt;0, AG2913&gt;0), IF(Configuración!$K$2="NO", "ALERTA: DESCUENTO DOBLE NO PERMITIDO", "OK"), "OK"))</f>
        <v/>
      </c>
      <c r="AR2913" s="79">
        <f>IF(AN2913="","",IF(OR(AO2913&lt;&gt;"OK", AP2913&lt;&gt;"OK", AQ2913&lt;&gt;"OK"), "⚠️ REVISAR", "OK"))</f>
        <v/>
      </c>
    </row>
    <row r="2914">
      <c r="A2914" s="79">
        <f>IF('Ordenes_Odoo'!A2914="","",'Ordenes_Odoo'!A2914)</f>
        <v/>
      </c>
      <c r="B2914" s="80">
        <f>IF('Ordenes_Odoo'!B2914="","",'Ordenes_Odoo'!B2914)</f>
        <v/>
      </c>
      <c r="C2914" s="79">
        <f>IF('Ordenes_Odoo'!C2914="","",'Ordenes_Odoo'!C2914)</f>
        <v/>
      </c>
      <c r="D2914" s="79">
        <f>IF('Ordenes_Odoo'!D2914="","",'Ordenes_Odoo'!D2914)</f>
        <v/>
      </c>
      <c r="E2914" s="79">
        <f>IF('Ordenes_Odoo'!E2914="","",'Ordenes_Odoo'!E2914)</f>
        <v/>
      </c>
      <c r="F2914" s="79">
        <f>IF('Ordenes_Odoo'!F2914="","",'Ordenes_Odoo'!F2914)</f>
        <v/>
      </c>
      <c r="G2914" s="79">
        <f>IF('Ordenes_Odoo'!G2914="","",'Ordenes_Odoo'!G2914)</f>
        <v/>
      </c>
      <c r="H2914" s="79">
        <f>IF('Ordenes_Odoo'!H2914="","",'Ordenes_Odoo'!H2914)</f>
        <v/>
      </c>
      <c r="I2914" s="79">
        <f>IF('Ordenes_Odoo'!I2914="","",'Ordenes_Odoo'!I2914)</f>
        <v/>
      </c>
      <c r="J2914" s="79">
        <f>IF('Ordenes_Odoo'!J2914="","",'Ordenes_Odoo'!J2914)</f>
        <v/>
      </c>
      <c r="K2914" s="81">
        <f>IF('Ordenes_Odoo'!K2914="","",'Ordenes_Odoo'!K2914)</f>
        <v/>
      </c>
      <c r="L2914" s="81">
        <f>IF('Ordenes_Odoo'!L2914="","",'Ordenes_Odoo'!L2914)</f>
        <v/>
      </c>
      <c r="M2914" s="79">
        <f>IF('Ordenes_Odoo'!M2914="","",'Ordenes_Odoo'!M2914)</f>
        <v/>
      </c>
      <c r="N2914" s="79">
        <f>IF('Ordenes_Odoo'!N2914="","",'Ordenes_Odoo'!N2914)</f>
        <v/>
      </c>
      <c r="O2914" s="81">
        <f>IF('Ordenes_Odoo'!O2914="","",'Ordenes_Odoo'!O2914)</f>
        <v/>
      </c>
      <c r="P2914" s="81">
        <f>IF('Ordenes_Odoo'!P2914="","",'Ordenes_Odoo'!P2914)</f>
        <v/>
      </c>
      <c r="Q2914" s="79">
        <f>IF(A2914="","",IFERROR(INDEX(Facturas_Odoo!$B:$B, MATCH(A2914, Facturas_Odoo!$D:$D, 0)), "Sin Factura"))</f>
        <v/>
      </c>
      <c r="R2914" s="80">
        <f>IF(Q2914="Sin Factura","",IFERROR(INDEX(Facturas_Odoo!$A:$A, MATCH(Q2914, Facturas_Odoo!$B:$B, 0)), ""))</f>
        <v/>
      </c>
      <c r="S2914" s="79">
        <f>IF(Q2914="Sin Factura","",IFERROR(_xlfn.XLOOKUP(1, (Facturas_Odoo!$D:$D=A2914) * (Facturas_Odoo!$K:$K=I2914), Facturas_Odoo!$L:$L, ""), ""))</f>
        <v/>
      </c>
      <c r="T2914" s="81">
        <f>IF(Q2914="Sin Factura",0,IFERROR(_xlfn.XLOOKUP(1, (Facturas_Odoo!$D:$D=A2914) * (Facturas_Odoo!$K:$K=I2914), Facturas_Odoo!$M:$M, 0), 0))</f>
        <v/>
      </c>
      <c r="U2914" s="79">
        <f>IF(Q2914="Sin Factura",0,IFERROR(_xlfn.XLOOKUP(1, (Facturas_Odoo!$D:$D=A2914) * (Facturas_Odoo!$K:$K=I2914), Facturas_Odoo!$N:$N, 0), 0))</f>
        <v/>
      </c>
      <c r="V2914" s="79">
        <f>IF(Q2914="Sin Factura",0,IFERROR(_xlfn.XLOOKUP(1, (Facturas_Odoo!$D:$D=A2914) * (Facturas_Odoo!$K:$K=I2914), Facturas_Odoo!$O:$O, 0), 0))</f>
        <v/>
      </c>
      <c r="W2914" s="81">
        <f>IF(Q2914="Sin Factura",0,IFERROR(_xlfn.XLOOKUP(1, (Facturas_Odoo!$D:$D=A2914) * (Facturas_Odoo!$K:$K=I2914), Facturas_Odoo!$Q:$Q, 0), 0))</f>
        <v/>
      </c>
      <c r="X2914" s="79">
        <f>IF(OR(Q2914="Sin Factura",Q2914=""),"",IFERROR(INDEX(Pagos_Odoo!$B:$B, MATCH(Q2914, Pagos_Odoo!$I:$I, 0)), "Sin Pago"))</f>
        <v/>
      </c>
      <c r="Y2914" s="79">
        <f>IF(X2914="Sin Pago","",IFERROR(INDEX(Pagos_Odoo!$C:$C, MATCH(X2914, Pagos_Odoo!$B:$B, 0)), ""))</f>
        <v/>
      </c>
      <c r="Z2914" s="80">
        <f>IF(X2914="Sin Pago","",IFERROR(INDEX(Pagos_Odoo!$A:$A, MATCH(X2914, Pagos_Odoo!$B:$B, 0)), ""))</f>
        <v/>
      </c>
      <c r="AA2914" s="79">
        <f>IF(X2914="Sin Pago","",IFERROR(INDEX(Pagos_Odoo!$F:$F, MATCH(X2914, Pagos_Odoo!$B:$B, 0)), ""))</f>
        <v/>
      </c>
      <c r="AB2914" s="81">
        <f>IF(X2914="Sin Pago",0,IFERROR(INDEX(Pagos_Odoo!$E:$E, MATCH(X2914, Pagos_Odoo!$B:$B, 0)), 0))</f>
        <v/>
      </c>
      <c r="AC2914" s="79">
        <f>IF(X2914="Sin Pago","",IFERROR(INDEX(Pagos_Odoo!$G:$G, MATCH(X2914, Pagos_Odoo!$B:$B, 0)), ""))</f>
        <v/>
      </c>
      <c r="AD2914" s="82" t="n">
        <v>0</v>
      </c>
      <c r="AE2914" s="82" t="n"/>
      <c r="AF2914" s="82" t="n"/>
      <c r="AG2914" s="82">
        <f>IF(AN2914="","",AD2914+AE2914+AF2914)</f>
        <v/>
      </c>
      <c r="AH2914" s="81">
        <f>IF(AN2914="","",P2914*(1-AG2914))</f>
        <v/>
      </c>
      <c r="AI2914" s="81">
        <f>IF(AN2914="","",IF(Q2914="Sin Factura",0,IFERROR(INDEX(Facturas_Odoo!$H:$H, MATCH(Q2914, Facturas_Odoo!$B:$B, 0)), 0)*(1-AG2914)))</f>
        <v/>
      </c>
      <c r="AJ2914" s="81">
        <f>IF(AN2914="","",_xlfn.LET(idVenta, AN2914&amp;"",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14" s="81">
        <f>IF(AN2914="","",AH2914-AJ2914)</f>
        <v/>
      </c>
      <c r="AL2914" s="81">
        <f>IF(AN2914="","",IF(Q2914="Sin Factura","",AI2914-AJ2914))</f>
        <v/>
      </c>
      <c r="AM2914" s="81">
        <f>IF(AN2914="","",IF(Q2914="Sin Factura",0,P2914-IFERROR(INDEX(Facturas_Odoo!$H:$H, MATCH(Q2914, Facturas_Odoo!$B:$B, 0)), 0)))</f>
        <v/>
      </c>
      <c r="AN2914" s="79">
        <f>IF(AND(A2914="", J2914=""), "", IF(A2914&lt;&gt;"", VALUE(MID(A2914,2,LEN(A2914))), AN2913))</f>
        <v/>
      </c>
      <c r="AO2914" s="79">
        <f>IF(AN2914="","",IF(AD2914=0,"OK",_xlfn.LET(monedaPago, IF(AA2914="","USD",AA2914), limitePermitido, IFERROR(VLOOKUP(monedaPago, Configuración!$A$2:$B$3, 2, FALSE), 0.15), IF(AD2914&gt;limitePermitido, "ALERTA: EXCESO (" &amp; TEXT(limitePermitido, "0%") &amp; " máx)", "OK"))))</f>
        <v/>
      </c>
      <c r="AP2914" s="79">
        <f>IF(AN2914="","",IF(AE2914=0,"OK",_xlfn.LET(fechaPago, Z2914, fechaFactura, R2914, diasCredito, IF(E2914="Pago inmediato", 0, IFERROR(VALUE(MID(E2914, 1, SEARCH(" ", E2914)-1)),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14" s="79">
        <f>IF(AN2914="","",IF(AND(N2914&gt;0, AG2914&gt;0), IF(Configuración!$K$2="NO", "ALERTA: DESCUENTO DOBLE NO PERMITIDO", "OK"), "OK"))</f>
        <v/>
      </c>
      <c r="AR2914" s="79">
        <f>IF(AN2914="","",IF(OR(AO2914&lt;&gt;"OK", AP2914&lt;&gt;"OK", AQ2914&lt;&gt;"OK"), "⚠️ REVISAR", "OK"))</f>
        <v/>
      </c>
    </row>
    <row r="2915">
      <c r="A2915" s="79">
        <f>IF('Ordenes_Odoo'!A2915="","",'Ordenes_Odoo'!A2915)</f>
        <v/>
      </c>
      <c r="B2915" s="80">
        <f>IF('Ordenes_Odoo'!B2915="","",'Ordenes_Odoo'!B2915)</f>
        <v/>
      </c>
      <c r="C2915" s="79">
        <f>IF('Ordenes_Odoo'!C2915="","",'Ordenes_Odoo'!C2915)</f>
        <v/>
      </c>
      <c r="D2915" s="79">
        <f>IF('Ordenes_Odoo'!D2915="","",'Ordenes_Odoo'!D2915)</f>
        <v/>
      </c>
      <c r="E2915" s="79">
        <f>IF('Ordenes_Odoo'!E2915="","",'Ordenes_Odoo'!E2915)</f>
        <v/>
      </c>
      <c r="F2915" s="79">
        <f>IF('Ordenes_Odoo'!F2915="","",'Ordenes_Odoo'!F2915)</f>
        <v/>
      </c>
      <c r="G2915" s="79">
        <f>IF('Ordenes_Odoo'!G2915="","",'Ordenes_Odoo'!G2915)</f>
        <v/>
      </c>
      <c r="H2915" s="79">
        <f>IF('Ordenes_Odoo'!H2915="","",'Ordenes_Odoo'!H2915)</f>
        <v/>
      </c>
      <c r="I2915" s="79">
        <f>IF('Ordenes_Odoo'!I2915="","",'Ordenes_Odoo'!I2915)</f>
        <v/>
      </c>
      <c r="J2915" s="79">
        <f>IF('Ordenes_Odoo'!J2915="","",'Ordenes_Odoo'!J2915)</f>
        <v/>
      </c>
      <c r="K2915" s="81">
        <f>IF('Ordenes_Odoo'!K2915="","",'Ordenes_Odoo'!K2915)</f>
        <v/>
      </c>
      <c r="L2915" s="81">
        <f>IF('Ordenes_Odoo'!L2915="","",'Ordenes_Odoo'!L2915)</f>
        <v/>
      </c>
      <c r="M2915" s="79">
        <f>IF('Ordenes_Odoo'!M2915="","",'Ordenes_Odoo'!M2915)</f>
        <v/>
      </c>
      <c r="N2915" s="79">
        <f>IF('Ordenes_Odoo'!N2915="","",'Ordenes_Odoo'!N2915)</f>
        <v/>
      </c>
      <c r="O2915" s="81">
        <f>IF('Ordenes_Odoo'!O2915="","",'Ordenes_Odoo'!O2915)</f>
        <v/>
      </c>
      <c r="P2915" s="81">
        <f>IF('Ordenes_Odoo'!P2915="","",'Ordenes_Odoo'!P2915)</f>
        <v/>
      </c>
      <c r="Q2915" s="79">
        <f>IF(A2915="","",IFERROR(INDEX(Facturas_Odoo!$B:$B, MATCH(A2915, Facturas_Odoo!$D:$D, 0)), "Sin Factura"))</f>
        <v/>
      </c>
      <c r="R2915" s="80">
        <f>IF(Q2915="Sin Factura","",IFERROR(INDEX(Facturas_Odoo!$A:$A, MATCH(Q2915, Facturas_Odoo!$B:$B, 0)), ""))</f>
        <v/>
      </c>
      <c r="S2915" s="79">
        <f>IF(Q2915="Sin Factura","",IFERROR(_xlfn.XLOOKUP(1, (Facturas_Odoo!$D:$D=A2915) * (Facturas_Odoo!$K:$K=I2915), Facturas_Odoo!$L:$L, ""), ""))</f>
        <v/>
      </c>
      <c r="T2915" s="81">
        <f>IF(Q2915="Sin Factura",0,IFERROR(_xlfn.XLOOKUP(1, (Facturas_Odoo!$D:$D=A2915) * (Facturas_Odoo!$K:$K=I2915), Facturas_Odoo!$M:$M, 0), 0))</f>
        <v/>
      </c>
      <c r="U2915" s="79">
        <f>IF(Q2915="Sin Factura",0,IFERROR(_xlfn.XLOOKUP(1, (Facturas_Odoo!$D:$D=A2915) * (Facturas_Odoo!$K:$K=I2915), Facturas_Odoo!$N:$N, 0), 0))</f>
        <v/>
      </c>
      <c r="V2915" s="79">
        <f>IF(Q2915="Sin Factura",0,IFERROR(_xlfn.XLOOKUP(1, (Facturas_Odoo!$D:$D=A2915) * (Facturas_Odoo!$K:$K=I2915), Facturas_Odoo!$O:$O, 0), 0))</f>
        <v/>
      </c>
      <c r="W2915" s="81">
        <f>IF(Q2915="Sin Factura",0,IFERROR(_xlfn.XLOOKUP(1, (Facturas_Odoo!$D:$D=A2915) * (Facturas_Odoo!$K:$K=I2915), Facturas_Odoo!$Q:$Q, 0), 0))</f>
        <v/>
      </c>
      <c r="X2915" s="79">
        <f>IF(OR(Q2915="Sin Factura",Q2915=""),"",IFERROR(INDEX(Pagos_Odoo!$B:$B, MATCH(Q2915, Pagos_Odoo!$I:$I, 0)), "Sin Pago"))</f>
        <v/>
      </c>
      <c r="Y2915" s="79">
        <f>IF(X2915="Sin Pago","",IFERROR(INDEX(Pagos_Odoo!$C:$C, MATCH(X2915, Pagos_Odoo!$B:$B, 0)), ""))</f>
        <v/>
      </c>
      <c r="Z2915" s="80">
        <f>IF(X2915="Sin Pago","",IFERROR(INDEX(Pagos_Odoo!$A:$A, MATCH(X2915, Pagos_Odoo!$B:$B, 0)), ""))</f>
        <v/>
      </c>
      <c r="AA2915" s="79">
        <f>IF(X2915="Sin Pago","",IFERROR(INDEX(Pagos_Odoo!$F:$F, MATCH(X2915, Pagos_Odoo!$B:$B, 0)), ""))</f>
        <v/>
      </c>
      <c r="AB2915" s="81">
        <f>IF(X2915="Sin Pago",0,IFERROR(INDEX(Pagos_Odoo!$E:$E, MATCH(X2915, Pagos_Odoo!$B:$B, 0)), 0))</f>
        <v/>
      </c>
      <c r="AC2915" s="79">
        <f>IF(X2915="Sin Pago","",IFERROR(INDEX(Pagos_Odoo!$G:$G, MATCH(X2915, Pagos_Odoo!$B:$B, 0)), ""))</f>
        <v/>
      </c>
      <c r="AD2915" s="82" t="n">
        <v>0</v>
      </c>
      <c r="AE2915" s="82" t="n"/>
      <c r="AF2915" s="82" t="n"/>
      <c r="AG2915" s="82">
        <f>IF(AN2915="","",AD2915+AE2915+AF2915)</f>
        <v/>
      </c>
      <c r="AH2915" s="81">
        <f>IF(AN2915="","",P2915*(1-AG2915))</f>
        <v/>
      </c>
      <c r="AI2915" s="81">
        <f>IF(AN2915="","",IF(Q2915="Sin Factura",0,IFERROR(INDEX(Facturas_Odoo!$H:$H, MATCH(Q2915, Facturas_Odoo!$B:$B, 0)), 0)*(1-AG2915)))</f>
        <v/>
      </c>
      <c r="AJ2915" s="81">
        <f>IF(AN2915="","",_xlfn.LET(idVenta, AN2915&amp;"",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15" s="81">
        <f>IF(AN2915="","",AH2915-AJ2915)</f>
        <v/>
      </c>
      <c r="AL2915" s="81">
        <f>IF(AN2915="","",IF(Q2915="Sin Factura","",AI2915-AJ2915))</f>
        <v/>
      </c>
      <c r="AM2915" s="81">
        <f>IF(AN2915="","",IF(Q2915="Sin Factura",0,P2915-IFERROR(INDEX(Facturas_Odoo!$H:$H, MATCH(Q2915, Facturas_Odoo!$B:$B, 0)), 0)))</f>
        <v/>
      </c>
      <c r="AN2915" s="79">
        <f>IF(AND(A2915="", J2915=""), "", IF(A2915&lt;&gt;"", VALUE(MID(A2915,2,LEN(A2915))), AN2914))</f>
        <v/>
      </c>
      <c r="AO2915" s="79">
        <f>IF(AN2915="","",IF(AD2915=0,"OK",_xlfn.LET(monedaPago, IF(AA2915="","USD",AA2915), limitePermitido, IFERROR(VLOOKUP(monedaPago, Configuración!$A$2:$B$3, 2, FALSE), 0.15), IF(AD2915&gt;limitePermitido, "ALERTA: EXCESO (" &amp; TEXT(limitePermitido, "0%") &amp; " máx)", "OK"))))</f>
        <v/>
      </c>
      <c r="AP2915" s="79">
        <f>IF(AN2915="","",IF(AE2915=0,"OK",_xlfn.LET(fechaPago, Z2915, fechaFactura, R2915, diasCredito, IF(E2915="Pago inmediato", 0, IFERROR(VALUE(MID(E2915, 1, SEARCH(" ", E2915)-1)),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15" s="79">
        <f>IF(AN2915="","",IF(AND(N2915&gt;0, AG2915&gt;0), IF(Configuración!$K$2="NO", "ALERTA: DESCUENTO DOBLE NO PERMITIDO", "OK"), "OK"))</f>
        <v/>
      </c>
      <c r="AR2915" s="79">
        <f>IF(AN2915="","",IF(OR(AO2915&lt;&gt;"OK", AP2915&lt;&gt;"OK", AQ2915&lt;&gt;"OK"), "⚠️ REVISAR", "OK"))</f>
        <v/>
      </c>
    </row>
    <row r="2916">
      <c r="A2916" s="79">
        <f>IF('Ordenes_Odoo'!A2916="","",'Ordenes_Odoo'!A2916)</f>
        <v/>
      </c>
      <c r="B2916" s="80">
        <f>IF('Ordenes_Odoo'!B2916="","",'Ordenes_Odoo'!B2916)</f>
        <v/>
      </c>
      <c r="C2916" s="79">
        <f>IF('Ordenes_Odoo'!C2916="","",'Ordenes_Odoo'!C2916)</f>
        <v/>
      </c>
      <c r="D2916" s="79">
        <f>IF('Ordenes_Odoo'!D2916="","",'Ordenes_Odoo'!D2916)</f>
        <v/>
      </c>
      <c r="E2916" s="79">
        <f>IF('Ordenes_Odoo'!E2916="","",'Ordenes_Odoo'!E2916)</f>
        <v/>
      </c>
      <c r="F2916" s="79">
        <f>IF('Ordenes_Odoo'!F2916="","",'Ordenes_Odoo'!F2916)</f>
        <v/>
      </c>
      <c r="G2916" s="79">
        <f>IF('Ordenes_Odoo'!G2916="","",'Ordenes_Odoo'!G2916)</f>
        <v/>
      </c>
      <c r="H2916" s="79">
        <f>IF('Ordenes_Odoo'!H2916="","",'Ordenes_Odoo'!H2916)</f>
        <v/>
      </c>
      <c r="I2916" s="79">
        <f>IF('Ordenes_Odoo'!I2916="","",'Ordenes_Odoo'!I2916)</f>
        <v/>
      </c>
      <c r="J2916" s="79">
        <f>IF('Ordenes_Odoo'!J2916="","",'Ordenes_Odoo'!J2916)</f>
        <v/>
      </c>
      <c r="K2916" s="81">
        <f>IF('Ordenes_Odoo'!K2916="","",'Ordenes_Odoo'!K2916)</f>
        <v/>
      </c>
      <c r="L2916" s="81">
        <f>IF('Ordenes_Odoo'!L2916="","",'Ordenes_Odoo'!L2916)</f>
        <v/>
      </c>
      <c r="M2916" s="79">
        <f>IF('Ordenes_Odoo'!M2916="","",'Ordenes_Odoo'!M2916)</f>
        <v/>
      </c>
      <c r="N2916" s="79">
        <f>IF('Ordenes_Odoo'!N2916="","",'Ordenes_Odoo'!N2916)</f>
        <v/>
      </c>
      <c r="O2916" s="81">
        <f>IF('Ordenes_Odoo'!O2916="","",'Ordenes_Odoo'!O2916)</f>
        <v/>
      </c>
      <c r="P2916" s="81">
        <f>IF('Ordenes_Odoo'!P2916="","",'Ordenes_Odoo'!P2916)</f>
        <v/>
      </c>
      <c r="Q2916" s="79">
        <f>IF(A2916="","",IFERROR(INDEX(Facturas_Odoo!$B:$B, MATCH(A2916, Facturas_Odoo!$D:$D, 0)), "Sin Factura"))</f>
        <v/>
      </c>
      <c r="R2916" s="80">
        <f>IF(Q2916="Sin Factura","",IFERROR(INDEX(Facturas_Odoo!$A:$A, MATCH(Q2916, Facturas_Odoo!$B:$B, 0)), ""))</f>
        <v/>
      </c>
      <c r="S2916" s="79">
        <f>IF(Q2916="Sin Factura","",IFERROR(_xlfn.XLOOKUP(1, (Facturas_Odoo!$D:$D=A2916) * (Facturas_Odoo!$K:$K=I2916), Facturas_Odoo!$L:$L, ""), ""))</f>
        <v/>
      </c>
      <c r="T2916" s="81">
        <f>IF(Q2916="Sin Factura",0,IFERROR(_xlfn.XLOOKUP(1, (Facturas_Odoo!$D:$D=A2916) * (Facturas_Odoo!$K:$K=I2916), Facturas_Odoo!$M:$M, 0), 0))</f>
        <v/>
      </c>
      <c r="U2916" s="79">
        <f>IF(Q2916="Sin Factura",0,IFERROR(_xlfn.XLOOKUP(1, (Facturas_Odoo!$D:$D=A2916) * (Facturas_Odoo!$K:$K=I2916), Facturas_Odoo!$N:$N, 0), 0))</f>
        <v/>
      </c>
      <c r="V2916" s="79">
        <f>IF(Q2916="Sin Factura",0,IFERROR(_xlfn.XLOOKUP(1, (Facturas_Odoo!$D:$D=A2916) * (Facturas_Odoo!$K:$K=I2916), Facturas_Odoo!$O:$O, 0), 0))</f>
        <v/>
      </c>
      <c r="W2916" s="81">
        <f>IF(Q2916="Sin Factura",0,IFERROR(_xlfn.XLOOKUP(1, (Facturas_Odoo!$D:$D=A2916) * (Facturas_Odoo!$K:$K=I2916), Facturas_Odoo!$Q:$Q, 0), 0))</f>
        <v/>
      </c>
      <c r="X2916" s="79">
        <f>IF(OR(Q2916="Sin Factura",Q2916=""),"",IFERROR(INDEX(Pagos_Odoo!$B:$B, MATCH(Q2916, Pagos_Odoo!$I:$I, 0)), "Sin Pago"))</f>
        <v/>
      </c>
      <c r="Y2916" s="79">
        <f>IF(X2916="Sin Pago","",IFERROR(INDEX(Pagos_Odoo!$C:$C, MATCH(X2916, Pagos_Odoo!$B:$B, 0)), ""))</f>
        <v/>
      </c>
      <c r="Z2916" s="80">
        <f>IF(X2916="Sin Pago","",IFERROR(INDEX(Pagos_Odoo!$A:$A, MATCH(X2916, Pagos_Odoo!$B:$B, 0)), ""))</f>
        <v/>
      </c>
      <c r="AA2916" s="79">
        <f>IF(X2916="Sin Pago","",IFERROR(INDEX(Pagos_Odoo!$F:$F, MATCH(X2916, Pagos_Odoo!$B:$B, 0)), ""))</f>
        <v/>
      </c>
      <c r="AB2916" s="81">
        <f>IF(X2916="Sin Pago",0,IFERROR(INDEX(Pagos_Odoo!$E:$E, MATCH(X2916, Pagos_Odoo!$B:$B, 0)), 0))</f>
        <v/>
      </c>
      <c r="AC2916" s="79">
        <f>IF(X2916="Sin Pago","",IFERROR(INDEX(Pagos_Odoo!$G:$G, MATCH(X2916, Pagos_Odoo!$B:$B, 0)), ""))</f>
        <v/>
      </c>
      <c r="AD2916" s="82" t="n">
        <v>0</v>
      </c>
      <c r="AE2916" s="82" t="n"/>
      <c r="AF2916" s="82" t="n"/>
      <c r="AG2916" s="82">
        <f>IF(AN2916="","",AD2916+AE2916+AF2916)</f>
        <v/>
      </c>
      <c r="AH2916" s="81">
        <f>IF(AN2916="","",P2916*(1-AG2916))</f>
        <v/>
      </c>
      <c r="AI2916" s="81">
        <f>IF(AN2916="","",IF(Q2916="Sin Factura",0,IFERROR(INDEX(Facturas_Odoo!$H:$H, MATCH(Q2916, Facturas_Odoo!$B:$B, 0)), 0)*(1-AG2916)))</f>
        <v/>
      </c>
      <c r="AJ2916" s="81">
        <f>IF(AN2916="","",_xlfn.LET(idVenta, AN2916&amp;"",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16" s="81">
        <f>IF(AN2916="","",AH2916-AJ2916)</f>
        <v/>
      </c>
      <c r="AL2916" s="81">
        <f>IF(AN2916="","",IF(Q2916="Sin Factura","",AI2916-AJ2916))</f>
        <v/>
      </c>
      <c r="AM2916" s="81">
        <f>IF(AN2916="","",IF(Q2916="Sin Factura",0,P2916-IFERROR(INDEX(Facturas_Odoo!$H:$H, MATCH(Q2916, Facturas_Odoo!$B:$B, 0)), 0)))</f>
        <v/>
      </c>
      <c r="AN2916" s="79">
        <f>IF(AND(A2916="", J2916=""), "", IF(A2916&lt;&gt;"", VALUE(MID(A2916,2,LEN(A2916))), AN2915))</f>
        <v/>
      </c>
      <c r="AO2916" s="79">
        <f>IF(AN2916="","",IF(AD2916=0,"OK",_xlfn.LET(monedaPago, IF(AA2916="","USD",AA2916), limitePermitido, IFERROR(VLOOKUP(monedaPago, Configuración!$A$2:$B$3, 2, FALSE), 0.15), IF(AD2916&gt;limitePermitido, "ALERTA: EXCESO (" &amp; TEXT(limitePermitido, "0%") &amp; " máx)", "OK"))))</f>
        <v/>
      </c>
      <c r="AP2916" s="79">
        <f>IF(AN2916="","",IF(AE2916=0,"OK",_xlfn.LET(fechaPago, Z2916, fechaFactura, R2916, diasCredito, IF(E2916="Pago inmediato", 0, IFERROR(VALUE(MID(E2916, 1, SEARCH(" ", E2916)-1)),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16" s="79">
        <f>IF(AN2916="","",IF(AND(N2916&gt;0, AG2916&gt;0), IF(Configuración!$K$2="NO", "ALERTA: DESCUENTO DOBLE NO PERMITIDO", "OK"), "OK"))</f>
        <v/>
      </c>
      <c r="AR2916" s="79">
        <f>IF(AN2916="","",IF(OR(AO2916&lt;&gt;"OK", AP2916&lt;&gt;"OK", AQ2916&lt;&gt;"OK"), "⚠️ REVISAR", "OK"))</f>
        <v/>
      </c>
    </row>
    <row r="2917">
      <c r="A2917" s="79">
        <f>IF('Ordenes_Odoo'!A2917="","",'Ordenes_Odoo'!A2917)</f>
        <v/>
      </c>
      <c r="B2917" s="80">
        <f>IF('Ordenes_Odoo'!B2917="","",'Ordenes_Odoo'!B2917)</f>
        <v/>
      </c>
      <c r="C2917" s="79">
        <f>IF('Ordenes_Odoo'!C2917="","",'Ordenes_Odoo'!C2917)</f>
        <v/>
      </c>
      <c r="D2917" s="79">
        <f>IF('Ordenes_Odoo'!D2917="","",'Ordenes_Odoo'!D2917)</f>
        <v/>
      </c>
      <c r="E2917" s="79">
        <f>IF('Ordenes_Odoo'!E2917="","",'Ordenes_Odoo'!E2917)</f>
        <v/>
      </c>
      <c r="F2917" s="79">
        <f>IF('Ordenes_Odoo'!F2917="","",'Ordenes_Odoo'!F2917)</f>
        <v/>
      </c>
      <c r="G2917" s="79">
        <f>IF('Ordenes_Odoo'!G2917="","",'Ordenes_Odoo'!G2917)</f>
        <v/>
      </c>
      <c r="H2917" s="79">
        <f>IF('Ordenes_Odoo'!H2917="","",'Ordenes_Odoo'!H2917)</f>
        <v/>
      </c>
      <c r="I2917" s="79">
        <f>IF('Ordenes_Odoo'!I2917="","",'Ordenes_Odoo'!I2917)</f>
        <v/>
      </c>
      <c r="J2917" s="79">
        <f>IF('Ordenes_Odoo'!J2917="","",'Ordenes_Odoo'!J2917)</f>
        <v/>
      </c>
      <c r="K2917" s="81">
        <f>IF('Ordenes_Odoo'!K2917="","",'Ordenes_Odoo'!K2917)</f>
        <v/>
      </c>
      <c r="L2917" s="81">
        <f>IF('Ordenes_Odoo'!L2917="","",'Ordenes_Odoo'!L2917)</f>
        <v/>
      </c>
      <c r="M2917" s="79">
        <f>IF('Ordenes_Odoo'!M2917="","",'Ordenes_Odoo'!M2917)</f>
        <v/>
      </c>
      <c r="N2917" s="79">
        <f>IF('Ordenes_Odoo'!N2917="","",'Ordenes_Odoo'!N2917)</f>
        <v/>
      </c>
      <c r="O2917" s="81">
        <f>IF('Ordenes_Odoo'!O2917="","",'Ordenes_Odoo'!O2917)</f>
        <v/>
      </c>
      <c r="P2917" s="81">
        <f>IF('Ordenes_Odoo'!P2917="","",'Ordenes_Odoo'!P2917)</f>
        <v/>
      </c>
      <c r="Q2917" s="79">
        <f>IF(A2917="","",IFERROR(INDEX(Facturas_Odoo!$B:$B, MATCH(A2917, Facturas_Odoo!$D:$D, 0)), "Sin Factura"))</f>
        <v/>
      </c>
      <c r="R2917" s="80">
        <f>IF(Q2917="Sin Factura","",IFERROR(INDEX(Facturas_Odoo!$A:$A, MATCH(Q2917, Facturas_Odoo!$B:$B, 0)), ""))</f>
        <v/>
      </c>
      <c r="S2917" s="79">
        <f>IF(Q2917="Sin Factura","",IFERROR(_xlfn.XLOOKUP(1, (Facturas_Odoo!$D:$D=A2917) * (Facturas_Odoo!$K:$K=I2917), Facturas_Odoo!$L:$L, ""), ""))</f>
        <v/>
      </c>
      <c r="T2917" s="81">
        <f>IF(Q2917="Sin Factura",0,IFERROR(_xlfn.XLOOKUP(1, (Facturas_Odoo!$D:$D=A2917) * (Facturas_Odoo!$K:$K=I2917), Facturas_Odoo!$M:$M, 0), 0))</f>
        <v/>
      </c>
      <c r="U2917" s="79">
        <f>IF(Q2917="Sin Factura",0,IFERROR(_xlfn.XLOOKUP(1, (Facturas_Odoo!$D:$D=A2917) * (Facturas_Odoo!$K:$K=I2917), Facturas_Odoo!$N:$N, 0), 0))</f>
        <v/>
      </c>
      <c r="V2917" s="79">
        <f>IF(Q2917="Sin Factura",0,IFERROR(_xlfn.XLOOKUP(1, (Facturas_Odoo!$D:$D=A2917) * (Facturas_Odoo!$K:$K=I2917), Facturas_Odoo!$O:$O, 0), 0))</f>
        <v/>
      </c>
      <c r="W2917" s="81">
        <f>IF(Q2917="Sin Factura",0,IFERROR(_xlfn.XLOOKUP(1, (Facturas_Odoo!$D:$D=A2917) * (Facturas_Odoo!$K:$K=I2917), Facturas_Odoo!$Q:$Q, 0), 0))</f>
        <v/>
      </c>
      <c r="X2917" s="79">
        <f>IF(OR(Q2917="Sin Factura",Q2917=""),"",IFERROR(INDEX(Pagos_Odoo!$B:$B, MATCH(Q2917, Pagos_Odoo!$I:$I, 0)), "Sin Pago"))</f>
        <v/>
      </c>
      <c r="Y2917" s="79">
        <f>IF(X2917="Sin Pago","",IFERROR(INDEX(Pagos_Odoo!$C:$C, MATCH(X2917, Pagos_Odoo!$B:$B, 0)), ""))</f>
        <v/>
      </c>
      <c r="Z2917" s="80">
        <f>IF(X2917="Sin Pago","",IFERROR(INDEX(Pagos_Odoo!$A:$A, MATCH(X2917, Pagos_Odoo!$B:$B, 0)), ""))</f>
        <v/>
      </c>
      <c r="AA2917" s="79">
        <f>IF(X2917="Sin Pago","",IFERROR(INDEX(Pagos_Odoo!$F:$F, MATCH(X2917, Pagos_Odoo!$B:$B, 0)), ""))</f>
        <v/>
      </c>
      <c r="AB2917" s="81">
        <f>IF(X2917="Sin Pago",0,IFERROR(INDEX(Pagos_Odoo!$E:$E, MATCH(X2917, Pagos_Odoo!$B:$B, 0)), 0))</f>
        <v/>
      </c>
      <c r="AC2917" s="79">
        <f>IF(X2917="Sin Pago","",IFERROR(INDEX(Pagos_Odoo!$G:$G, MATCH(X2917, Pagos_Odoo!$B:$B, 0)), ""))</f>
        <v/>
      </c>
      <c r="AD2917" s="82" t="n">
        <v>0</v>
      </c>
      <c r="AE2917" s="82" t="n"/>
      <c r="AF2917" s="82" t="n"/>
      <c r="AG2917" s="82">
        <f>IF(AN2917="","",AD2917+AE2917+AF2917)</f>
        <v/>
      </c>
      <c r="AH2917" s="81">
        <f>IF(AN2917="","",P2917*(1-AG2917))</f>
        <v/>
      </c>
      <c r="AI2917" s="81">
        <f>IF(AN2917="","",IF(Q2917="Sin Factura",0,IFERROR(INDEX(Facturas_Odoo!$H:$H, MATCH(Q2917, Facturas_Odoo!$B:$B, 0)), 0)*(1-AG2917)))</f>
        <v/>
      </c>
      <c r="AJ2917" s="81">
        <f>IF(AN2917="","",_xlfn.LET(idVenta, AN2917&amp;"",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17" s="81">
        <f>IF(AN2917="","",AH2917-AJ2917)</f>
        <v/>
      </c>
      <c r="AL2917" s="81">
        <f>IF(AN2917="","",IF(Q2917="Sin Factura","",AI2917-AJ2917))</f>
        <v/>
      </c>
      <c r="AM2917" s="81">
        <f>IF(AN2917="","",IF(Q2917="Sin Factura",0,P2917-IFERROR(INDEX(Facturas_Odoo!$H:$H, MATCH(Q2917, Facturas_Odoo!$B:$B, 0)), 0)))</f>
        <v/>
      </c>
      <c r="AN2917" s="79">
        <f>IF(AND(A2917="", J2917=""), "", IF(A2917&lt;&gt;"", VALUE(MID(A2917,2,LEN(A2917))), AN2916))</f>
        <v/>
      </c>
      <c r="AO2917" s="79">
        <f>IF(AN2917="","",IF(AD2917=0,"OK",_xlfn.LET(monedaPago, IF(AA2917="","USD",AA2917), limitePermitido, IFERROR(VLOOKUP(monedaPago, Configuración!$A$2:$B$3, 2, FALSE), 0.15), IF(AD2917&gt;limitePermitido, "ALERTA: EXCESO (" &amp; TEXT(limitePermitido, "0%") &amp; " máx)", "OK"))))</f>
        <v/>
      </c>
      <c r="AP2917" s="79">
        <f>IF(AN2917="","",IF(AE2917=0,"OK",_xlfn.LET(fechaPago, Z2917, fechaFactura, R2917, diasCredito, IF(E2917="Pago inmediato", 0, IFERROR(VALUE(MID(E2917, 1, SEARCH(" ", E2917)-1)),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17" s="79">
        <f>IF(AN2917="","",IF(AND(N2917&gt;0, AG2917&gt;0), IF(Configuración!$K$2="NO", "ALERTA: DESCUENTO DOBLE NO PERMITIDO", "OK"), "OK"))</f>
        <v/>
      </c>
      <c r="AR2917" s="79">
        <f>IF(AN2917="","",IF(OR(AO2917&lt;&gt;"OK", AP2917&lt;&gt;"OK", AQ2917&lt;&gt;"OK"), "⚠️ REVISAR", "OK"))</f>
        <v/>
      </c>
    </row>
    <row r="2918">
      <c r="A2918" s="79">
        <f>IF('Ordenes_Odoo'!A2918="","",'Ordenes_Odoo'!A2918)</f>
        <v/>
      </c>
      <c r="B2918" s="80">
        <f>IF('Ordenes_Odoo'!B2918="","",'Ordenes_Odoo'!B2918)</f>
        <v/>
      </c>
      <c r="C2918" s="79">
        <f>IF('Ordenes_Odoo'!C2918="","",'Ordenes_Odoo'!C2918)</f>
        <v/>
      </c>
      <c r="D2918" s="79">
        <f>IF('Ordenes_Odoo'!D2918="","",'Ordenes_Odoo'!D2918)</f>
        <v/>
      </c>
      <c r="E2918" s="79">
        <f>IF('Ordenes_Odoo'!E2918="","",'Ordenes_Odoo'!E2918)</f>
        <v/>
      </c>
      <c r="F2918" s="79">
        <f>IF('Ordenes_Odoo'!F2918="","",'Ordenes_Odoo'!F2918)</f>
        <v/>
      </c>
      <c r="G2918" s="79">
        <f>IF('Ordenes_Odoo'!G2918="","",'Ordenes_Odoo'!G2918)</f>
        <v/>
      </c>
      <c r="H2918" s="79">
        <f>IF('Ordenes_Odoo'!H2918="","",'Ordenes_Odoo'!H2918)</f>
        <v/>
      </c>
      <c r="I2918" s="79">
        <f>IF('Ordenes_Odoo'!I2918="","",'Ordenes_Odoo'!I2918)</f>
        <v/>
      </c>
      <c r="J2918" s="79">
        <f>IF('Ordenes_Odoo'!J2918="","",'Ordenes_Odoo'!J2918)</f>
        <v/>
      </c>
      <c r="K2918" s="81">
        <f>IF('Ordenes_Odoo'!K2918="","",'Ordenes_Odoo'!K2918)</f>
        <v/>
      </c>
      <c r="L2918" s="81">
        <f>IF('Ordenes_Odoo'!L2918="","",'Ordenes_Odoo'!L2918)</f>
        <v/>
      </c>
      <c r="M2918" s="79">
        <f>IF('Ordenes_Odoo'!M2918="","",'Ordenes_Odoo'!M2918)</f>
        <v/>
      </c>
      <c r="N2918" s="79">
        <f>IF('Ordenes_Odoo'!N2918="","",'Ordenes_Odoo'!N2918)</f>
        <v/>
      </c>
      <c r="O2918" s="81">
        <f>IF('Ordenes_Odoo'!O2918="","",'Ordenes_Odoo'!O2918)</f>
        <v/>
      </c>
      <c r="P2918" s="81">
        <f>IF('Ordenes_Odoo'!P2918="","",'Ordenes_Odoo'!P2918)</f>
        <v/>
      </c>
      <c r="Q2918" s="79">
        <f>IF(A2918="","",IFERROR(INDEX(Facturas_Odoo!$B:$B, MATCH(A2918, Facturas_Odoo!$D:$D, 0)), "Sin Factura"))</f>
        <v/>
      </c>
      <c r="R2918" s="80">
        <f>IF(Q2918="Sin Factura","",IFERROR(INDEX(Facturas_Odoo!$A:$A, MATCH(Q2918, Facturas_Odoo!$B:$B, 0)), ""))</f>
        <v/>
      </c>
      <c r="S2918" s="79">
        <f>IF(Q2918="Sin Factura","",IFERROR(_xlfn.XLOOKUP(1, (Facturas_Odoo!$D:$D=A2918) * (Facturas_Odoo!$K:$K=I2918), Facturas_Odoo!$L:$L, ""), ""))</f>
        <v/>
      </c>
      <c r="T2918" s="81">
        <f>IF(Q2918="Sin Factura",0,IFERROR(_xlfn.XLOOKUP(1, (Facturas_Odoo!$D:$D=A2918) * (Facturas_Odoo!$K:$K=I2918), Facturas_Odoo!$M:$M, 0), 0))</f>
        <v/>
      </c>
      <c r="U2918" s="79">
        <f>IF(Q2918="Sin Factura",0,IFERROR(_xlfn.XLOOKUP(1, (Facturas_Odoo!$D:$D=A2918) * (Facturas_Odoo!$K:$K=I2918), Facturas_Odoo!$N:$N, 0), 0))</f>
        <v/>
      </c>
      <c r="V2918" s="79">
        <f>IF(Q2918="Sin Factura",0,IFERROR(_xlfn.XLOOKUP(1, (Facturas_Odoo!$D:$D=A2918) * (Facturas_Odoo!$K:$K=I2918), Facturas_Odoo!$O:$O, 0), 0))</f>
        <v/>
      </c>
      <c r="W2918" s="81">
        <f>IF(Q2918="Sin Factura",0,IFERROR(_xlfn.XLOOKUP(1, (Facturas_Odoo!$D:$D=A2918) * (Facturas_Odoo!$K:$K=I2918), Facturas_Odoo!$Q:$Q, 0), 0))</f>
        <v/>
      </c>
      <c r="X2918" s="79">
        <f>IF(OR(Q2918="Sin Factura",Q2918=""),"",IFERROR(INDEX(Pagos_Odoo!$B:$B, MATCH(Q2918, Pagos_Odoo!$I:$I, 0)), "Sin Pago"))</f>
        <v/>
      </c>
      <c r="Y2918" s="79">
        <f>IF(X2918="Sin Pago","",IFERROR(INDEX(Pagos_Odoo!$C:$C, MATCH(X2918, Pagos_Odoo!$B:$B, 0)), ""))</f>
        <v/>
      </c>
      <c r="Z2918" s="80">
        <f>IF(X2918="Sin Pago","",IFERROR(INDEX(Pagos_Odoo!$A:$A, MATCH(X2918, Pagos_Odoo!$B:$B, 0)), ""))</f>
        <v/>
      </c>
      <c r="AA2918" s="79">
        <f>IF(X2918="Sin Pago","",IFERROR(INDEX(Pagos_Odoo!$F:$F, MATCH(X2918, Pagos_Odoo!$B:$B, 0)), ""))</f>
        <v/>
      </c>
      <c r="AB2918" s="81">
        <f>IF(X2918="Sin Pago",0,IFERROR(INDEX(Pagos_Odoo!$E:$E, MATCH(X2918, Pagos_Odoo!$B:$B, 0)), 0))</f>
        <v/>
      </c>
      <c r="AC2918" s="79">
        <f>IF(X2918="Sin Pago","",IFERROR(INDEX(Pagos_Odoo!$G:$G, MATCH(X2918, Pagos_Odoo!$B:$B, 0)), ""))</f>
        <v/>
      </c>
      <c r="AD2918" s="82" t="n">
        <v>0</v>
      </c>
      <c r="AE2918" s="82" t="n"/>
      <c r="AF2918" s="82" t="n"/>
      <c r="AG2918" s="82">
        <f>IF(AN2918="","",AD2918+AE2918+AF2918)</f>
        <v/>
      </c>
      <c r="AH2918" s="81">
        <f>IF(AN2918="","",P2918*(1-AG2918))</f>
        <v/>
      </c>
      <c r="AI2918" s="81">
        <f>IF(AN2918="","",IF(Q2918="Sin Factura",0,IFERROR(INDEX(Facturas_Odoo!$H:$H, MATCH(Q2918, Facturas_Odoo!$B:$B, 0)), 0)*(1-AG2918)))</f>
        <v/>
      </c>
      <c r="AJ2918" s="81">
        <f>IF(AN2918="","",_xlfn.LET(idVenta, AN2918&amp;"",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18" s="81">
        <f>IF(AN2918="","",AH2918-AJ2918)</f>
        <v/>
      </c>
      <c r="AL2918" s="81">
        <f>IF(AN2918="","",IF(Q2918="Sin Factura","",AI2918-AJ2918))</f>
        <v/>
      </c>
      <c r="AM2918" s="81">
        <f>IF(AN2918="","",IF(Q2918="Sin Factura",0,P2918-IFERROR(INDEX(Facturas_Odoo!$H:$H, MATCH(Q2918, Facturas_Odoo!$B:$B, 0)), 0)))</f>
        <v/>
      </c>
      <c r="AN2918" s="79">
        <f>IF(AND(A2918="", J2918=""), "", IF(A2918&lt;&gt;"", VALUE(MID(A2918,2,LEN(A2918))), AN2917))</f>
        <v/>
      </c>
      <c r="AO2918" s="79">
        <f>IF(AN2918="","",IF(AD2918=0,"OK",_xlfn.LET(monedaPago, IF(AA2918="","USD",AA2918), limitePermitido, IFERROR(VLOOKUP(monedaPago, Configuración!$A$2:$B$3, 2, FALSE), 0.15), IF(AD2918&gt;limitePermitido, "ALERTA: EXCESO (" &amp; TEXT(limitePermitido, "0%") &amp; " máx)", "OK"))))</f>
        <v/>
      </c>
      <c r="AP2918" s="79">
        <f>IF(AN2918="","",IF(AE2918=0,"OK",_xlfn.LET(fechaPago, Z2918, fechaFactura, R2918, diasCredito, IF(E2918="Pago inmediato", 0, IFERROR(VALUE(MID(E2918, 1, SEARCH(" ", E2918)-1)),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18" s="79">
        <f>IF(AN2918="","",IF(AND(N2918&gt;0, AG2918&gt;0), IF(Configuración!$K$2="NO", "ALERTA: DESCUENTO DOBLE NO PERMITIDO", "OK"), "OK"))</f>
        <v/>
      </c>
      <c r="AR2918" s="79">
        <f>IF(AN2918="","",IF(OR(AO2918&lt;&gt;"OK", AP2918&lt;&gt;"OK", AQ2918&lt;&gt;"OK"), "⚠️ REVISAR", "OK"))</f>
        <v/>
      </c>
    </row>
    <row r="2919">
      <c r="A2919" s="79">
        <f>IF('Ordenes_Odoo'!A2919="","",'Ordenes_Odoo'!A2919)</f>
        <v/>
      </c>
      <c r="B2919" s="80">
        <f>IF('Ordenes_Odoo'!B2919="","",'Ordenes_Odoo'!B2919)</f>
        <v/>
      </c>
      <c r="C2919" s="79">
        <f>IF('Ordenes_Odoo'!C2919="","",'Ordenes_Odoo'!C2919)</f>
        <v/>
      </c>
      <c r="D2919" s="79">
        <f>IF('Ordenes_Odoo'!D2919="","",'Ordenes_Odoo'!D2919)</f>
        <v/>
      </c>
      <c r="E2919" s="79">
        <f>IF('Ordenes_Odoo'!E2919="","",'Ordenes_Odoo'!E2919)</f>
        <v/>
      </c>
      <c r="F2919" s="79">
        <f>IF('Ordenes_Odoo'!F2919="","",'Ordenes_Odoo'!F2919)</f>
        <v/>
      </c>
      <c r="G2919" s="79">
        <f>IF('Ordenes_Odoo'!G2919="","",'Ordenes_Odoo'!G2919)</f>
        <v/>
      </c>
      <c r="H2919" s="79">
        <f>IF('Ordenes_Odoo'!H2919="","",'Ordenes_Odoo'!H2919)</f>
        <v/>
      </c>
      <c r="I2919" s="79">
        <f>IF('Ordenes_Odoo'!I2919="","",'Ordenes_Odoo'!I2919)</f>
        <v/>
      </c>
      <c r="J2919" s="79">
        <f>IF('Ordenes_Odoo'!J2919="","",'Ordenes_Odoo'!J2919)</f>
        <v/>
      </c>
      <c r="K2919" s="81">
        <f>IF('Ordenes_Odoo'!K2919="","",'Ordenes_Odoo'!K2919)</f>
        <v/>
      </c>
      <c r="L2919" s="81">
        <f>IF('Ordenes_Odoo'!L2919="","",'Ordenes_Odoo'!L2919)</f>
        <v/>
      </c>
      <c r="M2919" s="79">
        <f>IF('Ordenes_Odoo'!M2919="","",'Ordenes_Odoo'!M2919)</f>
        <v/>
      </c>
      <c r="N2919" s="79">
        <f>IF('Ordenes_Odoo'!N2919="","",'Ordenes_Odoo'!N2919)</f>
        <v/>
      </c>
      <c r="O2919" s="81">
        <f>IF('Ordenes_Odoo'!O2919="","",'Ordenes_Odoo'!O2919)</f>
        <v/>
      </c>
      <c r="P2919" s="81">
        <f>IF('Ordenes_Odoo'!P2919="","",'Ordenes_Odoo'!P2919)</f>
        <v/>
      </c>
      <c r="Q2919" s="79">
        <f>IF(A2919="","",IFERROR(INDEX(Facturas_Odoo!$B:$B, MATCH(A2919, Facturas_Odoo!$D:$D, 0)), "Sin Factura"))</f>
        <v/>
      </c>
      <c r="R2919" s="80">
        <f>IF(Q2919="Sin Factura","",IFERROR(INDEX(Facturas_Odoo!$A:$A, MATCH(Q2919, Facturas_Odoo!$B:$B, 0)), ""))</f>
        <v/>
      </c>
      <c r="S2919" s="79">
        <f>IF(Q2919="Sin Factura","",IFERROR(_xlfn.XLOOKUP(1, (Facturas_Odoo!$D:$D=A2919) * (Facturas_Odoo!$K:$K=I2919), Facturas_Odoo!$L:$L, ""), ""))</f>
        <v/>
      </c>
      <c r="T2919" s="81">
        <f>IF(Q2919="Sin Factura",0,IFERROR(_xlfn.XLOOKUP(1, (Facturas_Odoo!$D:$D=A2919) * (Facturas_Odoo!$K:$K=I2919), Facturas_Odoo!$M:$M, 0), 0))</f>
        <v/>
      </c>
      <c r="U2919" s="79">
        <f>IF(Q2919="Sin Factura",0,IFERROR(_xlfn.XLOOKUP(1, (Facturas_Odoo!$D:$D=A2919) * (Facturas_Odoo!$K:$K=I2919), Facturas_Odoo!$N:$N, 0), 0))</f>
        <v/>
      </c>
      <c r="V2919" s="79">
        <f>IF(Q2919="Sin Factura",0,IFERROR(_xlfn.XLOOKUP(1, (Facturas_Odoo!$D:$D=A2919) * (Facturas_Odoo!$K:$K=I2919), Facturas_Odoo!$O:$O, 0), 0))</f>
        <v/>
      </c>
      <c r="W2919" s="81">
        <f>IF(Q2919="Sin Factura",0,IFERROR(_xlfn.XLOOKUP(1, (Facturas_Odoo!$D:$D=A2919) * (Facturas_Odoo!$K:$K=I2919), Facturas_Odoo!$Q:$Q, 0), 0))</f>
        <v/>
      </c>
      <c r="X2919" s="79">
        <f>IF(OR(Q2919="Sin Factura",Q2919=""),"",IFERROR(INDEX(Pagos_Odoo!$B:$B, MATCH(Q2919, Pagos_Odoo!$I:$I, 0)), "Sin Pago"))</f>
        <v/>
      </c>
      <c r="Y2919" s="79">
        <f>IF(X2919="Sin Pago","",IFERROR(INDEX(Pagos_Odoo!$C:$C, MATCH(X2919, Pagos_Odoo!$B:$B, 0)), ""))</f>
        <v/>
      </c>
      <c r="Z2919" s="80">
        <f>IF(X2919="Sin Pago","",IFERROR(INDEX(Pagos_Odoo!$A:$A, MATCH(X2919, Pagos_Odoo!$B:$B, 0)), ""))</f>
        <v/>
      </c>
      <c r="AA2919" s="79">
        <f>IF(X2919="Sin Pago","",IFERROR(INDEX(Pagos_Odoo!$F:$F, MATCH(X2919, Pagos_Odoo!$B:$B, 0)), ""))</f>
        <v/>
      </c>
      <c r="AB2919" s="81">
        <f>IF(X2919="Sin Pago",0,IFERROR(INDEX(Pagos_Odoo!$E:$E, MATCH(X2919, Pagos_Odoo!$B:$B, 0)), 0))</f>
        <v/>
      </c>
      <c r="AC2919" s="79">
        <f>IF(X2919="Sin Pago","",IFERROR(INDEX(Pagos_Odoo!$G:$G, MATCH(X2919, Pagos_Odoo!$B:$B, 0)), ""))</f>
        <v/>
      </c>
      <c r="AD2919" s="82" t="n">
        <v>0</v>
      </c>
      <c r="AE2919" s="82" t="n"/>
      <c r="AF2919" s="82" t="n"/>
      <c r="AG2919" s="82">
        <f>IF(AN2919="","",AD2919+AE2919+AF2919)</f>
        <v/>
      </c>
      <c r="AH2919" s="81">
        <f>IF(AN2919="","",P2919*(1-AG2919))</f>
        <v/>
      </c>
      <c r="AI2919" s="81">
        <f>IF(AN2919="","",IF(Q2919="Sin Factura",0,IFERROR(INDEX(Facturas_Odoo!$H:$H, MATCH(Q2919, Facturas_Odoo!$B:$B, 0)), 0)*(1-AG2919)))</f>
        <v/>
      </c>
      <c r="AJ2919" s="81">
        <f>IF(AN2919="","",_xlfn.LET(idVenta, AN2919&amp;"",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19" s="81">
        <f>IF(AN2919="","",AH2919-AJ2919)</f>
        <v/>
      </c>
      <c r="AL2919" s="81">
        <f>IF(AN2919="","",IF(Q2919="Sin Factura","",AI2919-AJ2919))</f>
        <v/>
      </c>
      <c r="AM2919" s="81">
        <f>IF(AN2919="","",IF(Q2919="Sin Factura",0,P2919-IFERROR(INDEX(Facturas_Odoo!$H:$H, MATCH(Q2919, Facturas_Odoo!$B:$B, 0)), 0)))</f>
        <v/>
      </c>
      <c r="AN2919" s="79">
        <f>IF(AND(A2919="", J2919=""), "", IF(A2919&lt;&gt;"", VALUE(MID(A2919,2,LEN(A2919))), AN2918))</f>
        <v/>
      </c>
      <c r="AO2919" s="79">
        <f>IF(AN2919="","",IF(AD2919=0,"OK",_xlfn.LET(monedaPago, IF(AA2919="","USD",AA2919), limitePermitido, IFERROR(VLOOKUP(monedaPago, Configuración!$A$2:$B$3, 2, FALSE), 0.15), IF(AD2919&gt;limitePermitido, "ALERTA: EXCESO (" &amp; TEXT(limitePermitido, "0%") &amp; " máx)", "OK"))))</f>
        <v/>
      </c>
      <c r="AP2919" s="79">
        <f>IF(AN2919="","",IF(AE2919=0,"OK",_xlfn.LET(fechaPago, Z2919, fechaFactura, R2919, diasCredito, IF(E2919="Pago inmediato", 0, IFERROR(VALUE(MID(E2919, 1, SEARCH(" ", E2919)-1)),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19" s="79">
        <f>IF(AN2919="","",IF(AND(N2919&gt;0, AG2919&gt;0), IF(Configuración!$K$2="NO", "ALERTA: DESCUENTO DOBLE NO PERMITIDO", "OK"), "OK"))</f>
        <v/>
      </c>
      <c r="AR2919" s="79">
        <f>IF(AN2919="","",IF(OR(AO2919&lt;&gt;"OK", AP2919&lt;&gt;"OK", AQ2919&lt;&gt;"OK"), "⚠️ REVISAR", "OK"))</f>
        <v/>
      </c>
    </row>
    <row r="2920">
      <c r="A2920" s="79">
        <f>IF('Ordenes_Odoo'!A2920="","",'Ordenes_Odoo'!A2920)</f>
        <v/>
      </c>
      <c r="B2920" s="80">
        <f>IF('Ordenes_Odoo'!B2920="","",'Ordenes_Odoo'!B2920)</f>
        <v/>
      </c>
      <c r="C2920" s="79">
        <f>IF('Ordenes_Odoo'!C2920="","",'Ordenes_Odoo'!C2920)</f>
        <v/>
      </c>
      <c r="D2920" s="79">
        <f>IF('Ordenes_Odoo'!D2920="","",'Ordenes_Odoo'!D2920)</f>
        <v/>
      </c>
      <c r="E2920" s="79">
        <f>IF('Ordenes_Odoo'!E2920="","",'Ordenes_Odoo'!E2920)</f>
        <v/>
      </c>
      <c r="F2920" s="79">
        <f>IF('Ordenes_Odoo'!F2920="","",'Ordenes_Odoo'!F2920)</f>
        <v/>
      </c>
      <c r="G2920" s="79">
        <f>IF('Ordenes_Odoo'!G2920="","",'Ordenes_Odoo'!G2920)</f>
        <v/>
      </c>
      <c r="H2920" s="79">
        <f>IF('Ordenes_Odoo'!H2920="","",'Ordenes_Odoo'!H2920)</f>
        <v/>
      </c>
      <c r="I2920" s="79">
        <f>IF('Ordenes_Odoo'!I2920="","",'Ordenes_Odoo'!I2920)</f>
        <v/>
      </c>
      <c r="J2920" s="79">
        <f>IF('Ordenes_Odoo'!J2920="","",'Ordenes_Odoo'!J2920)</f>
        <v/>
      </c>
      <c r="K2920" s="81">
        <f>IF('Ordenes_Odoo'!K2920="","",'Ordenes_Odoo'!K2920)</f>
        <v/>
      </c>
      <c r="L2920" s="81">
        <f>IF('Ordenes_Odoo'!L2920="","",'Ordenes_Odoo'!L2920)</f>
        <v/>
      </c>
      <c r="M2920" s="79">
        <f>IF('Ordenes_Odoo'!M2920="","",'Ordenes_Odoo'!M2920)</f>
        <v/>
      </c>
      <c r="N2920" s="79">
        <f>IF('Ordenes_Odoo'!N2920="","",'Ordenes_Odoo'!N2920)</f>
        <v/>
      </c>
      <c r="O2920" s="81">
        <f>IF('Ordenes_Odoo'!O2920="","",'Ordenes_Odoo'!O2920)</f>
        <v/>
      </c>
      <c r="P2920" s="81">
        <f>IF('Ordenes_Odoo'!P2920="","",'Ordenes_Odoo'!P2920)</f>
        <v/>
      </c>
      <c r="Q2920" s="79">
        <f>IF(A2920="","",IFERROR(INDEX(Facturas_Odoo!$B:$B, MATCH(A2920, Facturas_Odoo!$D:$D, 0)), "Sin Factura"))</f>
        <v/>
      </c>
      <c r="R2920" s="80">
        <f>IF(Q2920="Sin Factura","",IFERROR(INDEX(Facturas_Odoo!$A:$A, MATCH(Q2920, Facturas_Odoo!$B:$B, 0)), ""))</f>
        <v/>
      </c>
      <c r="S2920" s="79">
        <f>IF(Q2920="Sin Factura","",IFERROR(_xlfn.XLOOKUP(1, (Facturas_Odoo!$D:$D=A2920) * (Facturas_Odoo!$K:$K=I2920), Facturas_Odoo!$L:$L, ""), ""))</f>
        <v/>
      </c>
      <c r="T2920" s="81">
        <f>IF(Q2920="Sin Factura",0,IFERROR(_xlfn.XLOOKUP(1, (Facturas_Odoo!$D:$D=A2920) * (Facturas_Odoo!$K:$K=I2920), Facturas_Odoo!$M:$M, 0), 0))</f>
        <v/>
      </c>
      <c r="U2920" s="79">
        <f>IF(Q2920="Sin Factura",0,IFERROR(_xlfn.XLOOKUP(1, (Facturas_Odoo!$D:$D=A2920) * (Facturas_Odoo!$K:$K=I2920), Facturas_Odoo!$N:$N, 0), 0))</f>
        <v/>
      </c>
      <c r="V2920" s="79">
        <f>IF(Q2920="Sin Factura",0,IFERROR(_xlfn.XLOOKUP(1, (Facturas_Odoo!$D:$D=A2920) * (Facturas_Odoo!$K:$K=I2920), Facturas_Odoo!$O:$O, 0), 0))</f>
        <v/>
      </c>
      <c r="W2920" s="81">
        <f>IF(Q2920="Sin Factura",0,IFERROR(_xlfn.XLOOKUP(1, (Facturas_Odoo!$D:$D=A2920) * (Facturas_Odoo!$K:$K=I2920), Facturas_Odoo!$Q:$Q, 0), 0))</f>
        <v/>
      </c>
      <c r="X2920" s="79">
        <f>IF(OR(Q2920="Sin Factura",Q2920=""),"",IFERROR(INDEX(Pagos_Odoo!$B:$B, MATCH(Q2920, Pagos_Odoo!$I:$I, 0)), "Sin Pago"))</f>
        <v/>
      </c>
      <c r="Y2920" s="79">
        <f>IF(X2920="Sin Pago","",IFERROR(INDEX(Pagos_Odoo!$C:$C, MATCH(X2920, Pagos_Odoo!$B:$B, 0)), ""))</f>
        <v/>
      </c>
      <c r="Z2920" s="80">
        <f>IF(X2920="Sin Pago","",IFERROR(INDEX(Pagos_Odoo!$A:$A, MATCH(X2920, Pagos_Odoo!$B:$B, 0)), ""))</f>
        <v/>
      </c>
      <c r="AA2920" s="79">
        <f>IF(X2920="Sin Pago","",IFERROR(INDEX(Pagos_Odoo!$F:$F, MATCH(X2920, Pagos_Odoo!$B:$B, 0)), ""))</f>
        <v/>
      </c>
      <c r="AB2920" s="81">
        <f>IF(X2920="Sin Pago",0,IFERROR(INDEX(Pagos_Odoo!$E:$E, MATCH(X2920, Pagos_Odoo!$B:$B, 0)), 0))</f>
        <v/>
      </c>
      <c r="AC2920" s="79">
        <f>IF(X2920="Sin Pago","",IFERROR(INDEX(Pagos_Odoo!$G:$G, MATCH(X2920, Pagos_Odoo!$B:$B, 0)), ""))</f>
        <v/>
      </c>
      <c r="AD2920" s="82" t="n">
        <v>0</v>
      </c>
      <c r="AE2920" s="82" t="n"/>
      <c r="AF2920" s="82" t="n"/>
      <c r="AG2920" s="82">
        <f>IF(AN2920="","",AD2920+AE2920+AF2920)</f>
        <v/>
      </c>
      <c r="AH2920" s="81">
        <f>IF(AN2920="","",P2920*(1-AG2920))</f>
        <v/>
      </c>
      <c r="AI2920" s="81">
        <f>IF(AN2920="","",IF(Q2920="Sin Factura",0,IFERROR(INDEX(Facturas_Odoo!$H:$H, MATCH(Q2920, Facturas_Odoo!$B:$B, 0)), 0)*(1-AG2920)))</f>
        <v/>
      </c>
      <c r="AJ2920" s="81">
        <f>IF(AN2920="","",_xlfn.LET(idVenta, AN2920&amp;"",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20" s="81">
        <f>IF(AN2920="","",AH2920-AJ2920)</f>
        <v/>
      </c>
      <c r="AL2920" s="81">
        <f>IF(AN2920="","",IF(Q2920="Sin Factura","",AI2920-AJ2920))</f>
        <v/>
      </c>
      <c r="AM2920" s="81">
        <f>IF(AN2920="","",IF(Q2920="Sin Factura",0,P2920-IFERROR(INDEX(Facturas_Odoo!$H:$H, MATCH(Q2920, Facturas_Odoo!$B:$B, 0)), 0)))</f>
        <v/>
      </c>
      <c r="AN2920" s="79">
        <f>IF(AND(A2920="", J2920=""), "", IF(A2920&lt;&gt;"", VALUE(MID(A2920,2,LEN(A2920))), AN2919))</f>
        <v/>
      </c>
      <c r="AO2920" s="79">
        <f>IF(AN2920="","",IF(AD2920=0,"OK",_xlfn.LET(monedaPago, IF(AA2920="","USD",AA2920), limitePermitido, IFERROR(VLOOKUP(monedaPago, Configuración!$A$2:$B$3, 2, FALSE), 0.15), IF(AD2920&gt;limitePermitido, "ALERTA: EXCESO (" &amp; TEXT(limitePermitido, "0%") &amp; " máx)", "OK"))))</f>
        <v/>
      </c>
      <c r="AP2920" s="79">
        <f>IF(AN2920="","",IF(AE2920=0,"OK",_xlfn.LET(fechaPago, Z2920, fechaFactura, R2920, diasCredito, IF(E2920="Pago inmediato", 0, IFERROR(VALUE(MID(E2920, 1, SEARCH(" ", E2920)-1)),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20" s="79">
        <f>IF(AN2920="","",IF(AND(N2920&gt;0, AG2920&gt;0), IF(Configuración!$K$2="NO", "ALERTA: DESCUENTO DOBLE NO PERMITIDO", "OK"), "OK"))</f>
        <v/>
      </c>
      <c r="AR2920" s="79">
        <f>IF(AN2920="","",IF(OR(AO2920&lt;&gt;"OK", AP2920&lt;&gt;"OK", AQ2920&lt;&gt;"OK"), "⚠️ REVISAR", "OK"))</f>
        <v/>
      </c>
    </row>
    <row r="2921">
      <c r="A2921" s="79">
        <f>IF('Ordenes_Odoo'!A2921="","",'Ordenes_Odoo'!A2921)</f>
        <v/>
      </c>
      <c r="B2921" s="80">
        <f>IF('Ordenes_Odoo'!B2921="","",'Ordenes_Odoo'!B2921)</f>
        <v/>
      </c>
      <c r="C2921" s="79">
        <f>IF('Ordenes_Odoo'!C2921="","",'Ordenes_Odoo'!C2921)</f>
        <v/>
      </c>
      <c r="D2921" s="79">
        <f>IF('Ordenes_Odoo'!D2921="","",'Ordenes_Odoo'!D2921)</f>
        <v/>
      </c>
      <c r="E2921" s="79">
        <f>IF('Ordenes_Odoo'!E2921="","",'Ordenes_Odoo'!E2921)</f>
        <v/>
      </c>
      <c r="F2921" s="79">
        <f>IF('Ordenes_Odoo'!F2921="","",'Ordenes_Odoo'!F2921)</f>
        <v/>
      </c>
      <c r="G2921" s="79">
        <f>IF('Ordenes_Odoo'!G2921="","",'Ordenes_Odoo'!G2921)</f>
        <v/>
      </c>
      <c r="H2921" s="79">
        <f>IF('Ordenes_Odoo'!H2921="","",'Ordenes_Odoo'!H2921)</f>
        <v/>
      </c>
      <c r="I2921" s="79">
        <f>IF('Ordenes_Odoo'!I2921="","",'Ordenes_Odoo'!I2921)</f>
        <v/>
      </c>
      <c r="J2921" s="79">
        <f>IF('Ordenes_Odoo'!J2921="","",'Ordenes_Odoo'!J2921)</f>
        <v/>
      </c>
      <c r="K2921" s="81">
        <f>IF('Ordenes_Odoo'!K2921="","",'Ordenes_Odoo'!K2921)</f>
        <v/>
      </c>
      <c r="L2921" s="81">
        <f>IF('Ordenes_Odoo'!L2921="","",'Ordenes_Odoo'!L2921)</f>
        <v/>
      </c>
      <c r="M2921" s="79">
        <f>IF('Ordenes_Odoo'!M2921="","",'Ordenes_Odoo'!M2921)</f>
        <v/>
      </c>
      <c r="N2921" s="79">
        <f>IF('Ordenes_Odoo'!N2921="","",'Ordenes_Odoo'!N2921)</f>
        <v/>
      </c>
      <c r="O2921" s="81">
        <f>IF('Ordenes_Odoo'!O2921="","",'Ordenes_Odoo'!O2921)</f>
        <v/>
      </c>
      <c r="P2921" s="81">
        <f>IF('Ordenes_Odoo'!P2921="","",'Ordenes_Odoo'!P2921)</f>
        <v/>
      </c>
      <c r="Q2921" s="79">
        <f>IF(A2921="","",IFERROR(INDEX(Facturas_Odoo!$B:$B, MATCH(A2921, Facturas_Odoo!$D:$D, 0)), "Sin Factura"))</f>
        <v/>
      </c>
      <c r="R2921" s="80">
        <f>IF(Q2921="Sin Factura","",IFERROR(INDEX(Facturas_Odoo!$A:$A, MATCH(Q2921, Facturas_Odoo!$B:$B, 0)), ""))</f>
        <v/>
      </c>
      <c r="S2921" s="79">
        <f>IF(Q2921="Sin Factura","",IFERROR(_xlfn.XLOOKUP(1, (Facturas_Odoo!$D:$D=A2921) * (Facturas_Odoo!$K:$K=I2921), Facturas_Odoo!$L:$L, ""), ""))</f>
        <v/>
      </c>
      <c r="T2921" s="81">
        <f>IF(Q2921="Sin Factura",0,IFERROR(_xlfn.XLOOKUP(1, (Facturas_Odoo!$D:$D=A2921) * (Facturas_Odoo!$K:$K=I2921), Facturas_Odoo!$M:$M, 0), 0))</f>
        <v/>
      </c>
      <c r="U2921" s="79">
        <f>IF(Q2921="Sin Factura",0,IFERROR(_xlfn.XLOOKUP(1, (Facturas_Odoo!$D:$D=A2921) * (Facturas_Odoo!$K:$K=I2921), Facturas_Odoo!$N:$N, 0), 0))</f>
        <v/>
      </c>
      <c r="V2921" s="79">
        <f>IF(Q2921="Sin Factura",0,IFERROR(_xlfn.XLOOKUP(1, (Facturas_Odoo!$D:$D=A2921) * (Facturas_Odoo!$K:$K=I2921), Facturas_Odoo!$O:$O, 0), 0))</f>
        <v/>
      </c>
      <c r="W2921" s="81">
        <f>IF(Q2921="Sin Factura",0,IFERROR(_xlfn.XLOOKUP(1, (Facturas_Odoo!$D:$D=A2921) * (Facturas_Odoo!$K:$K=I2921), Facturas_Odoo!$Q:$Q, 0), 0))</f>
        <v/>
      </c>
      <c r="X2921" s="79">
        <f>IF(OR(Q2921="Sin Factura",Q2921=""),"",IFERROR(INDEX(Pagos_Odoo!$B:$B, MATCH(Q2921, Pagos_Odoo!$I:$I, 0)), "Sin Pago"))</f>
        <v/>
      </c>
      <c r="Y2921" s="79">
        <f>IF(X2921="Sin Pago","",IFERROR(INDEX(Pagos_Odoo!$C:$C, MATCH(X2921, Pagos_Odoo!$B:$B, 0)), ""))</f>
        <v/>
      </c>
      <c r="Z2921" s="80">
        <f>IF(X2921="Sin Pago","",IFERROR(INDEX(Pagos_Odoo!$A:$A, MATCH(X2921, Pagos_Odoo!$B:$B, 0)), ""))</f>
        <v/>
      </c>
      <c r="AA2921" s="79">
        <f>IF(X2921="Sin Pago","",IFERROR(INDEX(Pagos_Odoo!$F:$F, MATCH(X2921, Pagos_Odoo!$B:$B, 0)), ""))</f>
        <v/>
      </c>
      <c r="AB2921" s="81">
        <f>IF(X2921="Sin Pago",0,IFERROR(INDEX(Pagos_Odoo!$E:$E, MATCH(X2921, Pagos_Odoo!$B:$B, 0)), 0))</f>
        <v/>
      </c>
      <c r="AC2921" s="79">
        <f>IF(X2921="Sin Pago","",IFERROR(INDEX(Pagos_Odoo!$G:$G, MATCH(X2921, Pagos_Odoo!$B:$B, 0)), ""))</f>
        <v/>
      </c>
      <c r="AD2921" s="82" t="n">
        <v>0</v>
      </c>
      <c r="AE2921" s="82" t="n"/>
      <c r="AF2921" s="82" t="n"/>
      <c r="AG2921" s="82">
        <f>IF(AN2921="","",AD2921+AE2921+AF2921)</f>
        <v/>
      </c>
      <c r="AH2921" s="81">
        <f>IF(AN2921="","",P2921*(1-AG2921))</f>
        <v/>
      </c>
      <c r="AI2921" s="81">
        <f>IF(AN2921="","",IF(Q2921="Sin Factura",0,IFERROR(INDEX(Facturas_Odoo!$H:$H, MATCH(Q2921, Facturas_Odoo!$B:$B, 0)), 0)*(1-AG2921)))</f>
        <v/>
      </c>
      <c r="AJ2921" s="81">
        <f>IF(AN2921="","",_xlfn.LET(idVenta, AN2921&amp;"",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21" s="81">
        <f>IF(AN2921="","",AH2921-AJ2921)</f>
        <v/>
      </c>
      <c r="AL2921" s="81">
        <f>IF(AN2921="","",IF(Q2921="Sin Factura","",AI2921-AJ2921))</f>
        <v/>
      </c>
      <c r="AM2921" s="81">
        <f>IF(AN2921="","",IF(Q2921="Sin Factura",0,P2921-IFERROR(INDEX(Facturas_Odoo!$H:$H, MATCH(Q2921, Facturas_Odoo!$B:$B, 0)), 0)))</f>
        <v/>
      </c>
      <c r="AN2921" s="79">
        <f>IF(AND(A2921="", J2921=""), "", IF(A2921&lt;&gt;"", VALUE(MID(A2921,2,LEN(A2921))), AN2920))</f>
        <v/>
      </c>
      <c r="AO2921" s="79">
        <f>IF(AN2921="","",IF(AD2921=0,"OK",_xlfn.LET(monedaPago, IF(AA2921="","USD",AA2921), limitePermitido, IFERROR(VLOOKUP(monedaPago, Configuración!$A$2:$B$3, 2, FALSE), 0.15), IF(AD2921&gt;limitePermitido, "ALERTA: EXCESO (" &amp; TEXT(limitePermitido, "0%") &amp; " máx)", "OK"))))</f>
        <v/>
      </c>
      <c r="AP2921" s="79">
        <f>IF(AN2921="","",IF(AE2921=0,"OK",_xlfn.LET(fechaPago, Z2921, fechaFactura, R2921, diasCredito, IF(E2921="Pago inmediato", 0, IFERROR(VALUE(MID(E2921, 1, SEARCH(" ", E2921)-1)),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21" s="79">
        <f>IF(AN2921="","",IF(AND(N2921&gt;0, AG2921&gt;0), IF(Configuración!$K$2="NO", "ALERTA: DESCUENTO DOBLE NO PERMITIDO", "OK"), "OK"))</f>
        <v/>
      </c>
      <c r="AR2921" s="79">
        <f>IF(AN2921="","",IF(OR(AO2921&lt;&gt;"OK", AP2921&lt;&gt;"OK", AQ2921&lt;&gt;"OK"), "⚠️ REVISAR", "OK"))</f>
        <v/>
      </c>
    </row>
    <row r="2922">
      <c r="A2922" s="79">
        <f>IF('Ordenes_Odoo'!A2922="","",'Ordenes_Odoo'!A2922)</f>
        <v/>
      </c>
      <c r="B2922" s="80">
        <f>IF('Ordenes_Odoo'!B2922="","",'Ordenes_Odoo'!B2922)</f>
        <v/>
      </c>
      <c r="C2922" s="79">
        <f>IF('Ordenes_Odoo'!C2922="","",'Ordenes_Odoo'!C2922)</f>
        <v/>
      </c>
      <c r="D2922" s="79">
        <f>IF('Ordenes_Odoo'!D2922="","",'Ordenes_Odoo'!D2922)</f>
        <v/>
      </c>
      <c r="E2922" s="79">
        <f>IF('Ordenes_Odoo'!E2922="","",'Ordenes_Odoo'!E2922)</f>
        <v/>
      </c>
      <c r="F2922" s="79">
        <f>IF('Ordenes_Odoo'!F2922="","",'Ordenes_Odoo'!F2922)</f>
        <v/>
      </c>
      <c r="G2922" s="79">
        <f>IF('Ordenes_Odoo'!G2922="","",'Ordenes_Odoo'!G2922)</f>
        <v/>
      </c>
      <c r="H2922" s="79">
        <f>IF('Ordenes_Odoo'!H2922="","",'Ordenes_Odoo'!H2922)</f>
        <v/>
      </c>
      <c r="I2922" s="79">
        <f>IF('Ordenes_Odoo'!I2922="","",'Ordenes_Odoo'!I2922)</f>
        <v/>
      </c>
      <c r="J2922" s="79">
        <f>IF('Ordenes_Odoo'!J2922="","",'Ordenes_Odoo'!J2922)</f>
        <v/>
      </c>
      <c r="K2922" s="81">
        <f>IF('Ordenes_Odoo'!K2922="","",'Ordenes_Odoo'!K2922)</f>
        <v/>
      </c>
      <c r="L2922" s="81">
        <f>IF('Ordenes_Odoo'!L2922="","",'Ordenes_Odoo'!L2922)</f>
        <v/>
      </c>
      <c r="M2922" s="79">
        <f>IF('Ordenes_Odoo'!M2922="","",'Ordenes_Odoo'!M2922)</f>
        <v/>
      </c>
      <c r="N2922" s="79">
        <f>IF('Ordenes_Odoo'!N2922="","",'Ordenes_Odoo'!N2922)</f>
        <v/>
      </c>
      <c r="O2922" s="81">
        <f>IF('Ordenes_Odoo'!O2922="","",'Ordenes_Odoo'!O2922)</f>
        <v/>
      </c>
      <c r="P2922" s="81">
        <f>IF('Ordenes_Odoo'!P2922="","",'Ordenes_Odoo'!P2922)</f>
        <v/>
      </c>
      <c r="Q2922" s="79">
        <f>IF(A2922="","",IFERROR(INDEX(Facturas_Odoo!$B:$B, MATCH(A2922, Facturas_Odoo!$D:$D, 0)), "Sin Factura"))</f>
        <v/>
      </c>
      <c r="R2922" s="80">
        <f>IF(Q2922="Sin Factura","",IFERROR(INDEX(Facturas_Odoo!$A:$A, MATCH(Q2922, Facturas_Odoo!$B:$B, 0)), ""))</f>
        <v/>
      </c>
      <c r="S2922" s="79">
        <f>IF(Q2922="Sin Factura","",IFERROR(_xlfn.XLOOKUP(1, (Facturas_Odoo!$D:$D=A2922) * (Facturas_Odoo!$K:$K=I2922), Facturas_Odoo!$L:$L, ""), ""))</f>
        <v/>
      </c>
      <c r="T2922" s="81">
        <f>IF(Q2922="Sin Factura",0,IFERROR(_xlfn.XLOOKUP(1, (Facturas_Odoo!$D:$D=A2922) * (Facturas_Odoo!$K:$K=I2922), Facturas_Odoo!$M:$M, 0), 0))</f>
        <v/>
      </c>
      <c r="U2922" s="79">
        <f>IF(Q2922="Sin Factura",0,IFERROR(_xlfn.XLOOKUP(1, (Facturas_Odoo!$D:$D=A2922) * (Facturas_Odoo!$K:$K=I2922), Facturas_Odoo!$N:$N, 0), 0))</f>
        <v/>
      </c>
      <c r="V2922" s="79">
        <f>IF(Q2922="Sin Factura",0,IFERROR(_xlfn.XLOOKUP(1, (Facturas_Odoo!$D:$D=A2922) * (Facturas_Odoo!$K:$K=I2922), Facturas_Odoo!$O:$O, 0), 0))</f>
        <v/>
      </c>
      <c r="W2922" s="81">
        <f>IF(Q2922="Sin Factura",0,IFERROR(_xlfn.XLOOKUP(1, (Facturas_Odoo!$D:$D=A2922) * (Facturas_Odoo!$K:$K=I2922), Facturas_Odoo!$Q:$Q, 0), 0))</f>
        <v/>
      </c>
      <c r="X2922" s="79">
        <f>IF(OR(Q2922="Sin Factura",Q2922=""),"",IFERROR(INDEX(Pagos_Odoo!$B:$B, MATCH(Q2922, Pagos_Odoo!$I:$I, 0)), "Sin Pago"))</f>
        <v/>
      </c>
      <c r="Y2922" s="79">
        <f>IF(X2922="Sin Pago","",IFERROR(INDEX(Pagos_Odoo!$C:$C, MATCH(X2922, Pagos_Odoo!$B:$B, 0)), ""))</f>
        <v/>
      </c>
      <c r="Z2922" s="80">
        <f>IF(X2922="Sin Pago","",IFERROR(INDEX(Pagos_Odoo!$A:$A, MATCH(X2922, Pagos_Odoo!$B:$B, 0)), ""))</f>
        <v/>
      </c>
      <c r="AA2922" s="79">
        <f>IF(X2922="Sin Pago","",IFERROR(INDEX(Pagos_Odoo!$F:$F, MATCH(X2922, Pagos_Odoo!$B:$B, 0)), ""))</f>
        <v/>
      </c>
      <c r="AB2922" s="81">
        <f>IF(X2922="Sin Pago",0,IFERROR(INDEX(Pagos_Odoo!$E:$E, MATCH(X2922, Pagos_Odoo!$B:$B, 0)), 0))</f>
        <v/>
      </c>
      <c r="AC2922" s="79">
        <f>IF(X2922="Sin Pago","",IFERROR(INDEX(Pagos_Odoo!$G:$G, MATCH(X2922, Pagos_Odoo!$B:$B, 0)), ""))</f>
        <v/>
      </c>
      <c r="AD2922" s="82" t="n">
        <v>0</v>
      </c>
      <c r="AE2922" s="82" t="n"/>
      <c r="AF2922" s="82" t="n"/>
      <c r="AG2922" s="82">
        <f>IF(AN2922="","",AD2922+AE2922+AF2922)</f>
        <v/>
      </c>
      <c r="AH2922" s="81">
        <f>IF(AN2922="","",P2922*(1-AG2922))</f>
        <v/>
      </c>
      <c r="AI2922" s="81">
        <f>IF(AN2922="","",IF(Q2922="Sin Factura",0,IFERROR(INDEX(Facturas_Odoo!$H:$H, MATCH(Q2922, Facturas_Odoo!$B:$B, 0)), 0)*(1-AG2922)))</f>
        <v/>
      </c>
      <c r="AJ2922" s="81">
        <f>IF(AN2922="","",_xlfn.LET(idVenta, AN2922&amp;"",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22" s="81">
        <f>IF(AN2922="","",AH2922-AJ2922)</f>
        <v/>
      </c>
      <c r="AL2922" s="81">
        <f>IF(AN2922="","",IF(Q2922="Sin Factura","",AI2922-AJ2922))</f>
        <v/>
      </c>
      <c r="AM2922" s="81">
        <f>IF(AN2922="","",IF(Q2922="Sin Factura",0,P2922-IFERROR(INDEX(Facturas_Odoo!$H:$H, MATCH(Q2922, Facturas_Odoo!$B:$B, 0)), 0)))</f>
        <v/>
      </c>
      <c r="AN2922" s="79">
        <f>IF(AND(A2922="", J2922=""), "", IF(A2922&lt;&gt;"", VALUE(MID(A2922,2,LEN(A2922))), AN2921))</f>
        <v/>
      </c>
      <c r="AO2922" s="79">
        <f>IF(AN2922="","",IF(AD2922=0,"OK",_xlfn.LET(monedaPago, IF(AA2922="","USD",AA2922), limitePermitido, IFERROR(VLOOKUP(monedaPago, Configuración!$A$2:$B$3, 2, FALSE), 0.15), IF(AD2922&gt;limitePermitido, "ALERTA: EXCESO (" &amp; TEXT(limitePermitido, "0%") &amp; " máx)", "OK"))))</f>
        <v/>
      </c>
      <c r="AP2922" s="79">
        <f>IF(AN2922="","",IF(AE2922=0,"OK",_xlfn.LET(fechaPago, Z2922, fechaFactura, R2922, diasCredito, IF(E2922="Pago inmediato", 0, IFERROR(VALUE(MID(E2922, 1, SEARCH(" ", E2922)-1)),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22" s="79">
        <f>IF(AN2922="","",IF(AND(N2922&gt;0, AG2922&gt;0), IF(Configuración!$K$2="NO", "ALERTA: DESCUENTO DOBLE NO PERMITIDO", "OK"), "OK"))</f>
        <v/>
      </c>
      <c r="AR2922" s="79">
        <f>IF(AN2922="","",IF(OR(AO2922&lt;&gt;"OK", AP2922&lt;&gt;"OK", AQ2922&lt;&gt;"OK"), "⚠️ REVISAR", "OK"))</f>
        <v/>
      </c>
    </row>
    <row r="2923">
      <c r="A2923" s="79">
        <f>IF('Ordenes_Odoo'!A2923="","",'Ordenes_Odoo'!A2923)</f>
        <v/>
      </c>
      <c r="B2923" s="80">
        <f>IF('Ordenes_Odoo'!B2923="","",'Ordenes_Odoo'!B2923)</f>
        <v/>
      </c>
      <c r="C2923" s="79">
        <f>IF('Ordenes_Odoo'!C2923="","",'Ordenes_Odoo'!C2923)</f>
        <v/>
      </c>
      <c r="D2923" s="79">
        <f>IF('Ordenes_Odoo'!D2923="","",'Ordenes_Odoo'!D2923)</f>
        <v/>
      </c>
      <c r="E2923" s="79">
        <f>IF('Ordenes_Odoo'!E2923="","",'Ordenes_Odoo'!E2923)</f>
        <v/>
      </c>
      <c r="F2923" s="79">
        <f>IF('Ordenes_Odoo'!F2923="","",'Ordenes_Odoo'!F2923)</f>
        <v/>
      </c>
      <c r="G2923" s="79">
        <f>IF('Ordenes_Odoo'!G2923="","",'Ordenes_Odoo'!G2923)</f>
        <v/>
      </c>
      <c r="H2923" s="79">
        <f>IF('Ordenes_Odoo'!H2923="","",'Ordenes_Odoo'!H2923)</f>
        <v/>
      </c>
      <c r="I2923" s="79">
        <f>IF('Ordenes_Odoo'!I2923="","",'Ordenes_Odoo'!I2923)</f>
        <v/>
      </c>
      <c r="J2923" s="79">
        <f>IF('Ordenes_Odoo'!J2923="","",'Ordenes_Odoo'!J2923)</f>
        <v/>
      </c>
      <c r="K2923" s="81">
        <f>IF('Ordenes_Odoo'!K2923="","",'Ordenes_Odoo'!K2923)</f>
        <v/>
      </c>
      <c r="L2923" s="81">
        <f>IF('Ordenes_Odoo'!L2923="","",'Ordenes_Odoo'!L2923)</f>
        <v/>
      </c>
      <c r="M2923" s="79">
        <f>IF('Ordenes_Odoo'!M2923="","",'Ordenes_Odoo'!M2923)</f>
        <v/>
      </c>
      <c r="N2923" s="79">
        <f>IF('Ordenes_Odoo'!N2923="","",'Ordenes_Odoo'!N2923)</f>
        <v/>
      </c>
      <c r="O2923" s="81">
        <f>IF('Ordenes_Odoo'!O2923="","",'Ordenes_Odoo'!O2923)</f>
        <v/>
      </c>
      <c r="P2923" s="81">
        <f>IF('Ordenes_Odoo'!P2923="","",'Ordenes_Odoo'!P2923)</f>
        <v/>
      </c>
      <c r="Q2923" s="79">
        <f>IF(A2923="","",IFERROR(INDEX(Facturas_Odoo!$B:$B, MATCH(A2923, Facturas_Odoo!$D:$D, 0)), "Sin Factura"))</f>
        <v/>
      </c>
      <c r="R2923" s="80">
        <f>IF(Q2923="Sin Factura","",IFERROR(INDEX(Facturas_Odoo!$A:$A, MATCH(Q2923, Facturas_Odoo!$B:$B, 0)), ""))</f>
        <v/>
      </c>
      <c r="S2923" s="79">
        <f>IF(Q2923="Sin Factura","",IFERROR(_xlfn.XLOOKUP(1, (Facturas_Odoo!$D:$D=A2923) * (Facturas_Odoo!$K:$K=I2923), Facturas_Odoo!$L:$L, ""), ""))</f>
        <v/>
      </c>
      <c r="T2923" s="81">
        <f>IF(Q2923="Sin Factura",0,IFERROR(_xlfn.XLOOKUP(1, (Facturas_Odoo!$D:$D=A2923) * (Facturas_Odoo!$K:$K=I2923), Facturas_Odoo!$M:$M, 0), 0))</f>
        <v/>
      </c>
      <c r="U2923" s="79">
        <f>IF(Q2923="Sin Factura",0,IFERROR(_xlfn.XLOOKUP(1, (Facturas_Odoo!$D:$D=A2923) * (Facturas_Odoo!$K:$K=I2923), Facturas_Odoo!$N:$N, 0), 0))</f>
        <v/>
      </c>
      <c r="V2923" s="79">
        <f>IF(Q2923="Sin Factura",0,IFERROR(_xlfn.XLOOKUP(1, (Facturas_Odoo!$D:$D=A2923) * (Facturas_Odoo!$K:$K=I2923), Facturas_Odoo!$O:$O, 0), 0))</f>
        <v/>
      </c>
      <c r="W2923" s="81">
        <f>IF(Q2923="Sin Factura",0,IFERROR(_xlfn.XLOOKUP(1, (Facturas_Odoo!$D:$D=A2923) * (Facturas_Odoo!$K:$K=I2923), Facturas_Odoo!$Q:$Q, 0), 0))</f>
        <v/>
      </c>
      <c r="X2923" s="79">
        <f>IF(OR(Q2923="Sin Factura",Q2923=""),"",IFERROR(INDEX(Pagos_Odoo!$B:$B, MATCH(Q2923, Pagos_Odoo!$I:$I, 0)), "Sin Pago"))</f>
        <v/>
      </c>
      <c r="Y2923" s="79">
        <f>IF(X2923="Sin Pago","",IFERROR(INDEX(Pagos_Odoo!$C:$C, MATCH(X2923, Pagos_Odoo!$B:$B, 0)), ""))</f>
        <v/>
      </c>
      <c r="Z2923" s="80">
        <f>IF(X2923="Sin Pago","",IFERROR(INDEX(Pagos_Odoo!$A:$A, MATCH(X2923, Pagos_Odoo!$B:$B, 0)), ""))</f>
        <v/>
      </c>
      <c r="AA2923" s="79">
        <f>IF(X2923="Sin Pago","",IFERROR(INDEX(Pagos_Odoo!$F:$F, MATCH(X2923, Pagos_Odoo!$B:$B, 0)), ""))</f>
        <v/>
      </c>
      <c r="AB2923" s="81">
        <f>IF(X2923="Sin Pago",0,IFERROR(INDEX(Pagos_Odoo!$E:$E, MATCH(X2923, Pagos_Odoo!$B:$B, 0)), 0))</f>
        <v/>
      </c>
      <c r="AC2923" s="79">
        <f>IF(X2923="Sin Pago","",IFERROR(INDEX(Pagos_Odoo!$G:$G, MATCH(X2923, Pagos_Odoo!$B:$B, 0)), ""))</f>
        <v/>
      </c>
      <c r="AD2923" s="82" t="n">
        <v>0</v>
      </c>
      <c r="AE2923" s="82" t="n"/>
      <c r="AF2923" s="82" t="n"/>
      <c r="AG2923" s="82">
        <f>IF(AN2923="","",AD2923+AE2923+AF2923)</f>
        <v/>
      </c>
      <c r="AH2923" s="81">
        <f>IF(AN2923="","",P2923*(1-AG2923))</f>
        <v/>
      </c>
      <c r="AI2923" s="81">
        <f>IF(AN2923="","",IF(Q2923="Sin Factura",0,IFERROR(INDEX(Facturas_Odoo!$H:$H, MATCH(Q2923, Facturas_Odoo!$B:$B, 0)), 0)*(1-AG2923)))</f>
        <v/>
      </c>
      <c r="AJ2923" s="81">
        <f>IF(AN2923="","",_xlfn.LET(idVenta, AN2923&amp;"",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23" s="81">
        <f>IF(AN2923="","",AH2923-AJ2923)</f>
        <v/>
      </c>
      <c r="AL2923" s="81">
        <f>IF(AN2923="","",IF(Q2923="Sin Factura","",AI2923-AJ2923))</f>
        <v/>
      </c>
      <c r="AM2923" s="81">
        <f>IF(AN2923="","",IF(Q2923="Sin Factura",0,P2923-IFERROR(INDEX(Facturas_Odoo!$H:$H, MATCH(Q2923, Facturas_Odoo!$B:$B, 0)), 0)))</f>
        <v/>
      </c>
      <c r="AN2923" s="79">
        <f>IF(AND(A2923="", J2923=""), "", IF(A2923&lt;&gt;"", VALUE(MID(A2923,2,LEN(A2923))), AN2922))</f>
        <v/>
      </c>
      <c r="AO2923" s="79">
        <f>IF(AN2923="","",IF(AD2923=0,"OK",_xlfn.LET(monedaPago, IF(AA2923="","USD",AA2923), limitePermitido, IFERROR(VLOOKUP(monedaPago, Configuración!$A$2:$B$3, 2, FALSE), 0.15), IF(AD2923&gt;limitePermitido, "ALERTA: EXCESO (" &amp; TEXT(limitePermitido, "0%") &amp; " máx)", "OK"))))</f>
        <v/>
      </c>
      <c r="AP2923" s="79">
        <f>IF(AN2923="","",IF(AE2923=0,"OK",_xlfn.LET(fechaPago, Z2923, fechaFactura, R2923, diasCredito, IF(E2923="Pago inmediato", 0, IFERROR(VALUE(MID(E2923, 1, SEARCH(" ", E2923)-1)),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23" s="79">
        <f>IF(AN2923="","",IF(AND(N2923&gt;0, AG2923&gt;0), IF(Configuración!$K$2="NO", "ALERTA: DESCUENTO DOBLE NO PERMITIDO", "OK"), "OK"))</f>
        <v/>
      </c>
      <c r="AR2923" s="79">
        <f>IF(AN2923="","",IF(OR(AO2923&lt;&gt;"OK", AP2923&lt;&gt;"OK", AQ2923&lt;&gt;"OK"), "⚠️ REVISAR", "OK"))</f>
        <v/>
      </c>
    </row>
    <row r="2924">
      <c r="A2924" s="79">
        <f>IF('Ordenes_Odoo'!A2924="","",'Ordenes_Odoo'!A2924)</f>
        <v/>
      </c>
      <c r="B2924" s="80">
        <f>IF('Ordenes_Odoo'!B2924="","",'Ordenes_Odoo'!B2924)</f>
        <v/>
      </c>
      <c r="C2924" s="79">
        <f>IF('Ordenes_Odoo'!C2924="","",'Ordenes_Odoo'!C2924)</f>
        <v/>
      </c>
      <c r="D2924" s="79">
        <f>IF('Ordenes_Odoo'!D2924="","",'Ordenes_Odoo'!D2924)</f>
        <v/>
      </c>
      <c r="E2924" s="79">
        <f>IF('Ordenes_Odoo'!E2924="","",'Ordenes_Odoo'!E2924)</f>
        <v/>
      </c>
      <c r="F2924" s="79">
        <f>IF('Ordenes_Odoo'!F2924="","",'Ordenes_Odoo'!F2924)</f>
        <v/>
      </c>
      <c r="G2924" s="79">
        <f>IF('Ordenes_Odoo'!G2924="","",'Ordenes_Odoo'!G2924)</f>
        <v/>
      </c>
      <c r="H2924" s="79">
        <f>IF('Ordenes_Odoo'!H2924="","",'Ordenes_Odoo'!H2924)</f>
        <v/>
      </c>
      <c r="I2924" s="79">
        <f>IF('Ordenes_Odoo'!I2924="","",'Ordenes_Odoo'!I2924)</f>
        <v/>
      </c>
      <c r="J2924" s="79">
        <f>IF('Ordenes_Odoo'!J2924="","",'Ordenes_Odoo'!J2924)</f>
        <v/>
      </c>
      <c r="K2924" s="81">
        <f>IF('Ordenes_Odoo'!K2924="","",'Ordenes_Odoo'!K2924)</f>
        <v/>
      </c>
      <c r="L2924" s="81">
        <f>IF('Ordenes_Odoo'!L2924="","",'Ordenes_Odoo'!L2924)</f>
        <v/>
      </c>
      <c r="M2924" s="79">
        <f>IF('Ordenes_Odoo'!M2924="","",'Ordenes_Odoo'!M2924)</f>
        <v/>
      </c>
      <c r="N2924" s="79">
        <f>IF('Ordenes_Odoo'!N2924="","",'Ordenes_Odoo'!N2924)</f>
        <v/>
      </c>
      <c r="O2924" s="81">
        <f>IF('Ordenes_Odoo'!O2924="","",'Ordenes_Odoo'!O2924)</f>
        <v/>
      </c>
      <c r="P2924" s="81">
        <f>IF('Ordenes_Odoo'!P2924="","",'Ordenes_Odoo'!P2924)</f>
        <v/>
      </c>
      <c r="Q2924" s="79">
        <f>IF(A2924="","",IFERROR(INDEX(Facturas_Odoo!$B:$B, MATCH(A2924, Facturas_Odoo!$D:$D, 0)), "Sin Factura"))</f>
        <v/>
      </c>
      <c r="R2924" s="80">
        <f>IF(Q2924="Sin Factura","",IFERROR(INDEX(Facturas_Odoo!$A:$A, MATCH(Q2924, Facturas_Odoo!$B:$B, 0)), ""))</f>
        <v/>
      </c>
      <c r="S2924" s="79">
        <f>IF(Q2924="Sin Factura","",IFERROR(_xlfn.XLOOKUP(1, (Facturas_Odoo!$D:$D=A2924) * (Facturas_Odoo!$K:$K=I2924), Facturas_Odoo!$L:$L, ""), ""))</f>
        <v/>
      </c>
      <c r="T2924" s="81">
        <f>IF(Q2924="Sin Factura",0,IFERROR(_xlfn.XLOOKUP(1, (Facturas_Odoo!$D:$D=A2924) * (Facturas_Odoo!$K:$K=I2924), Facturas_Odoo!$M:$M, 0), 0))</f>
        <v/>
      </c>
      <c r="U2924" s="79">
        <f>IF(Q2924="Sin Factura",0,IFERROR(_xlfn.XLOOKUP(1, (Facturas_Odoo!$D:$D=A2924) * (Facturas_Odoo!$K:$K=I2924), Facturas_Odoo!$N:$N, 0), 0))</f>
        <v/>
      </c>
      <c r="V2924" s="79">
        <f>IF(Q2924="Sin Factura",0,IFERROR(_xlfn.XLOOKUP(1, (Facturas_Odoo!$D:$D=A2924) * (Facturas_Odoo!$K:$K=I2924), Facturas_Odoo!$O:$O, 0), 0))</f>
        <v/>
      </c>
      <c r="W2924" s="81">
        <f>IF(Q2924="Sin Factura",0,IFERROR(_xlfn.XLOOKUP(1, (Facturas_Odoo!$D:$D=A2924) * (Facturas_Odoo!$K:$K=I2924), Facturas_Odoo!$Q:$Q, 0), 0))</f>
        <v/>
      </c>
      <c r="X2924" s="79">
        <f>IF(OR(Q2924="Sin Factura",Q2924=""),"",IFERROR(INDEX(Pagos_Odoo!$B:$B, MATCH(Q2924, Pagos_Odoo!$I:$I, 0)), "Sin Pago"))</f>
        <v/>
      </c>
      <c r="Y2924" s="79">
        <f>IF(X2924="Sin Pago","",IFERROR(INDEX(Pagos_Odoo!$C:$C, MATCH(X2924, Pagos_Odoo!$B:$B, 0)), ""))</f>
        <v/>
      </c>
      <c r="Z2924" s="80">
        <f>IF(X2924="Sin Pago","",IFERROR(INDEX(Pagos_Odoo!$A:$A, MATCH(X2924, Pagos_Odoo!$B:$B, 0)), ""))</f>
        <v/>
      </c>
      <c r="AA2924" s="79">
        <f>IF(X2924="Sin Pago","",IFERROR(INDEX(Pagos_Odoo!$F:$F, MATCH(X2924, Pagos_Odoo!$B:$B, 0)), ""))</f>
        <v/>
      </c>
      <c r="AB2924" s="81">
        <f>IF(X2924="Sin Pago",0,IFERROR(INDEX(Pagos_Odoo!$E:$E, MATCH(X2924, Pagos_Odoo!$B:$B, 0)), 0))</f>
        <v/>
      </c>
      <c r="AC2924" s="79">
        <f>IF(X2924="Sin Pago","",IFERROR(INDEX(Pagos_Odoo!$G:$G, MATCH(X2924, Pagos_Odoo!$B:$B, 0)), ""))</f>
        <v/>
      </c>
      <c r="AD2924" s="82" t="n">
        <v>0</v>
      </c>
      <c r="AE2924" s="82" t="n"/>
      <c r="AF2924" s="82" t="n"/>
      <c r="AG2924" s="82">
        <f>IF(AN2924="","",AD2924+AE2924+AF2924)</f>
        <v/>
      </c>
      <c r="AH2924" s="81">
        <f>IF(AN2924="","",P2924*(1-AG2924))</f>
        <v/>
      </c>
      <c r="AI2924" s="81">
        <f>IF(AN2924="","",IF(Q2924="Sin Factura",0,IFERROR(INDEX(Facturas_Odoo!$H:$H, MATCH(Q2924, Facturas_Odoo!$B:$B, 0)), 0)*(1-AG2924)))</f>
        <v/>
      </c>
      <c r="AJ2924" s="81">
        <f>IF(AN2924="","",_xlfn.LET(idVenta, AN2924&amp;"",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24" s="81">
        <f>IF(AN2924="","",AH2924-AJ2924)</f>
        <v/>
      </c>
      <c r="AL2924" s="81">
        <f>IF(AN2924="","",IF(Q2924="Sin Factura","",AI2924-AJ2924))</f>
        <v/>
      </c>
      <c r="AM2924" s="81">
        <f>IF(AN2924="","",IF(Q2924="Sin Factura",0,P2924-IFERROR(INDEX(Facturas_Odoo!$H:$H, MATCH(Q2924, Facturas_Odoo!$B:$B, 0)), 0)))</f>
        <v/>
      </c>
      <c r="AN2924" s="79">
        <f>IF(AND(A2924="", J2924=""), "", IF(A2924&lt;&gt;"", VALUE(MID(A2924,2,LEN(A2924))), AN2923))</f>
        <v/>
      </c>
      <c r="AO2924" s="79">
        <f>IF(AN2924="","",IF(AD2924=0,"OK",_xlfn.LET(monedaPago, IF(AA2924="","USD",AA2924), limitePermitido, IFERROR(VLOOKUP(monedaPago, Configuración!$A$2:$B$3, 2, FALSE), 0.15), IF(AD2924&gt;limitePermitido, "ALERTA: EXCESO (" &amp; TEXT(limitePermitido, "0%") &amp; " máx)", "OK"))))</f>
        <v/>
      </c>
      <c r="AP2924" s="79">
        <f>IF(AN2924="","",IF(AE2924=0,"OK",_xlfn.LET(fechaPago, Z2924, fechaFactura, R2924, diasCredito, IF(E2924="Pago inmediato", 0, IFERROR(VALUE(MID(E2924, 1, SEARCH(" ", E2924)-1)),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24" s="79">
        <f>IF(AN2924="","",IF(AND(N2924&gt;0, AG2924&gt;0), IF(Configuración!$K$2="NO", "ALERTA: DESCUENTO DOBLE NO PERMITIDO", "OK"), "OK"))</f>
        <v/>
      </c>
      <c r="AR2924" s="79">
        <f>IF(AN2924="","",IF(OR(AO2924&lt;&gt;"OK", AP2924&lt;&gt;"OK", AQ2924&lt;&gt;"OK"), "⚠️ REVISAR", "OK"))</f>
        <v/>
      </c>
    </row>
    <row r="2925">
      <c r="A2925" s="79">
        <f>IF('Ordenes_Odoo'!A2925="","",'Ordenes_Odoo'!A2925)</f>
        <v/>
      </c>
      <c r="B2925" s="80">
        <f>IF('Ordenes_Odoo'!B2925="","",'Ordenes_Odoo'!B2925)</f>
        <v/>
      </c>
      <c r="C2925" s="79">
        <f>IF('Ordenes_Odoo'!C2925="","",'Ordenes_Odoo'!C2925)</f>
        <v/>
      </c>
      <c r="D2925" s="79">
        <f>IF('Ordenes_Odoo'!D2925="","",'Ordenes_Odoo'!D2925)</f>
        <v/>
      </c>
      <c r="E2925" s="79">
        <f>IF('Ordenes_Odoo'!E2925="","",'Ordenes_Odoo'!E2925)</f>
        <v/>
      </c>
      <c r="F2925" s="79">
        <f>IF('Ordenes_Odoo'!F2925="","",'Ordenes_Odoo'!F2925)</f>
        <v/>
      </c>
      <c r="G2925" s="79">
        <f>IF('Ordenes_Odoo'!G2925="","",'Ordenes_Odoo'!G2925)</f>
        <v/>
      </c>
      <c r="H2925" s="79">
        <f>IF('Ordenes_Odoo'!H2925="","",'Ordenes_Odoo'!H2925)</f>
        <v/>
      </c>
      <c r="I2925" s="79">
        <f>IF('Ordenes_Odoo'!I2925="","",'Ordenes_Odoo'!I2925)</f>
        <v/>
      </c>
      <c r="J2925" s="79">
        <f>IF('Ordenes_Odoo'!J2925="","",'Ordenes_Odoo'!J2925)</f>
        <v/>
      </c>
      <c r="K2925" s="81">
        <f>IF('Ordenes_Odoo'!K2925="","",'Ordenes_Odoo'!K2925)</f>
        <v/>
      </c>
      <c r="L2925" s="81">
        <f>IF('Ordenes_Odoo'!L2925="","",'Ordenes_Odoo'!L2925)</f>
        <v/>
      </c>
      <c r="M2925" s="79">
        <f>IF('Ordenes_Odoo'!M2925="","",'Ordenes_Odoo'!M2925)</f>
        <v/>
      </c>
      <c r="N2925" s="79">
        <f>IF('Ordenes_Odoo'!N2925="","",'Ordenes_Odoo'!N2925)</f>
        <v/>
      </c>
      <c r="O2925" s="81">
        <f>IF('Ordenes_Odoo'!O2925="","",'Ordenes_Odoo'!O2925)</f>
        <v/>
      </c>
      <c r="P2925" s="81">
        <f>IF('Ordenes_Odoo'!P2925="","",'Ordenes_Odoo'!P2925)</f>
        <v/>
      </c>
      <c r="Q2925" s="79">
        <f>IF(A2925="","",IFERROR(INDEX(Facturas_Odoo!$B:$B, MATCH(A2925, Facturas_Odoo!$D:$D, 0)), "Sin Factura"))</f>
        <v/>
      </c>
      <c r="R2925" s="80">
        <f>IF(Q2925="Sin Factura","",IFERROR(INDEX(Facturas_Odoo!$A:$A, MATCH(Q2925, Facturas_Odoo!$B:$B, 0)), ""))</f>
        <v/>
      </c>
      <c r="S2925" s="79">
        <f>IF(Q2925="Sin Factura","",IFERROR(_xlfn.XLOOKUP(1, (Facturas_Odoo!$D:$D=A2925) * (Facturas_Odoo!$K:$K=I2925), Facturas_Odoo!$L:$L, ""), ""))</f>
        <v/>
      </c>
      <c r="T2925" s="81">
        <f>IF(Q2925="Sin Factura",0,IFERROR(_xlfn.XLOOKUP(1, (Facturas_Odoo!$D:$D=A2925) * (Facturas_Odoo!$K:$K=I2925), Facturas_Odoo!$M:$M, 0), 0))</f>
        <v/>
      </c>
      <c r="U2925" s="79">
        <f>IF(Q2925="Sin Factura",0,IFERROR(_xlfn.XLOOKUP(1, (Facturas_Odoo!$D:$D=A2925) * (Facturas_Odoo!$K:$K=I2925), Facturas_Odoo!$N:$N, 0), 0))</f>
        <v/>
      </c>
      <c r="V2925" s="79">
        <f>IF(Q2925="Sin Factura",0,IFERROR(_xlfn.XLOOKUP(1, (Facturas_Odoo!$D:$D=A2925) * (Facturas_Odoo!$K:$K=I2925), Facturas_Odoo!$O:$O, 0), 0))</f>
        <v/>
      </c>
      <c r="W2925" s="81">
        <f>IF(Q2925="Sin Factura",0,IFERROR(_xlfn.XLOOKUP(1, (Facturas_Odoo!$D:$D=A2925) * (Facturas_Odoo!$K:$K=I2925), Facturas_Odoo!$Q:$Q, 0), 0))</f>
        <v/>
      </c>
      <c r="X2925" s="79">
        <f>IF(OR(Q2925="Sin Factura",Q2925=""),"",IFERROR(INDEX(Pagos_Odoo!$B:$B, MATCH(Q2925, Pagos_Odoo!$I:$I, 0)), "Sin Pago"))</f>
        <v/>
      </c>
      <c r="Y2925" s="79">
        <f>IF(X2925="Sin Pago","",IFERROR(INDEX(Pagos_Odoo!$C:$C, MATCH(X2925, Pagos_Odoo!$B:$B, 0)), ""))</f>
        <v/>
      </c>
      <c r="Z2925" s="80">
        <f>IF(X2925="Sin Pago","",IFERROR(INDEX(Pagos_Odoo!$A:$A, MATCH(X2925, Pagos_Odoo!$B:$B, 0)), ""))</f>
        <v/>
      </c>
      <c r="AA2925" s="79">
        <f>IF(X2925="Sin Pago","",IFERROR(INDEX(Pagos_Odoo!$F:$F, MATCH(X2925, Pagos_Odoo!$B:$B, 0)), ""))</f>
        <v/>
      </c>
      <c r="AB2925" s="81">
        <f>IF(X2925="Sin Pago",0,IFERROR(INDEX(Pagos_Odoo!$E:$E, MATCH(X2925, Pagos_Odoo!$B:$B, 0)), 0))</f>
        <v/>
      </c>
      <c r="AC2925" s="79">
        <f>IF(X2925="Sin Pago","",IFERROR(INDEX(Pagos_Odoo!$G:$G, MATCH(X2925, Pagos_Odoo!$B:$B, 0)), ""))</f>
        <v/>
      </c>
      <c r="AD2925" s="82" t="n">
        <v>0</v>
      </c>
      <c r="AE2925" s="82" t="n"/>
      <c r="AF2925" s="82" t="n"/>
      <c r="AG2925" s="82">
        <f>IF(AN2925="","",AD2925+AE2925+AF2925)</f>
        <v/>
      </c>
      <c r="AH2925" s="81">
        <f>IF(AN2925="","",P2925*(1-AG2925))</f>
        <v/>
      </c>
      <c r="AI2925" s="81">
        <f>IF(AN2925="","",IF(Q2925="Sin Factura",0,IFERROR(INDEX(Facturas_Odoo!$H:$H, MATCH(Q2925, Facturas_Odoo!$B:$B, 0)), 0)*(1-AG2925)))</f>
        <v/>
      </c>
      <c r="AJ2925" s="81">
        <f>IF(AN2925="","",_xlfn.LET(idVenta, AN2925&amp;"",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25" s="81">
        <f>IF(AN2925="","",AH2925-AJ2925)</f>
        <v/>
      </c>
      <c r="AL2925" s="81">
        <f>IF(AN2925="","",IF(Q2925="Sin Factura","",AI2925-AJ2925))</f>
        <v/>
      </c>
      <c r="AM2925" s="81">
        <f>IF(AN2925="","",IF(Q2925="Sin Factura",0,P2925-IFERROR(INDEX(Facturas_Odoo!$H:$H, MATCH(Q2925, Facturas_Odoo!$B:$B, 0)), 0)))</f>
        <v/>
      </c>
      <c r="AN2925" s="79">
        <f>IF(AND(A2925="", J2925=""), "", IF(A2925&lt;&gt;"", VALUE(MID(A2925,2,LEN(A2925))), AN2924))</f>
        <v/>
      </c>
      <c r="AO2925" s="79">
        <f>IF(AN2925="","",IF(AD2925=0,"OK",_xlfn.LET(monedaPago, IF(AA2925="","USD",AA2925), limitePermitido, IFERROR(VLOOKUP(monedaPago, Configuración!$A$2:$B$3, 2, FALSE), 0.15), IF(AD2925&gt;limitePermitido, "ALERTA: EXCESO (" &amp; TEXT(limitePermitido, "0%") &amp; " máx)", "OK"))))</f>
        <v/>
      </c>
      <c r="AP2925" s="79">
        <f>IF(AN2925="","",IF(AE2925=0,"OK",_xlfn.LET(fechaPago, Z2925, fechaFactura, R2925, diasCredito, IF(E2925="Pago inmediato", 0, IFERROR(VALUE(MID(E2925, 1, SEARCH(" ", E2925)-1)),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25" s="79">
        <f>IF(AN2925="","",IF(AND(N2925&gt;0, AG2925&gt;0), IF(Configuración!$K$2="NO", "ALERTA: DESCUENTO DOBLE NO PERMITIDO", "OK"), "OK"))</f>
        <v/>
      </c>
      <c r="AR2925" s="79">
        <f>IF(AN2925="","",IF(OR(AO2925&lt;&gt;"OK", AP2925&lt;&gt;"OK", AQ2925&lt;&gt;"OK"), "⚠️ REVISAR", "OK"))</f>
        <v/>
      </c>
    </row>
    <row r="2926">
      <c r="A2926" s="79">
        <f>IF('Ordenes_Odoo'!A2926="","",'Ordenes_Odoo'!A2926)</f>
        <v/>
      </c>
      <c r="B2926" s="80">
        <f>IF('Ordenes_Odoo'!B2926="","",'Ordenes_Odoo'!B2926)</f>
        <v/>
      </c>
      <c r="C2926" s="79">
        <f>IF('Ordenes_Odoo'!C2926="","",'Ordenes_Odoo'!C2926)</f>
        <v/>
      </c>
      <c r="D2926" s="79">
        <f>IF('Ordenes_Odoo'!D2926="","",'Ordenes_Odoo'!D2926)</f>
        <v/>
      </c>
      <c r="E2926" s="79">
        <f>IF('Ordenes_Odoo'!E2926="","",'Ordenes_Odoo'!E2926)</f>
        <v/>
      </c>
      <c r="F2926" s="79">
        <f>IF('Ordenes_Odoo'!F2926="","",'Ordenes_Odoo'!F2926)</f>
        <v/>
      </c>
      <c r="G2926" s="79">
        <f>IF('Ordenes_Odoo'!G2926="","",'Ordenes_Odoo'!G2926)</f>
        <v/>
      </c>
      <c r="H2926" s="79">
        <f>IF('Ordenes_Odoo'!H2926="","",'Ordenes_Odoo'!H2926)</f>
        <v/>
      </c>
      <c r="I2926" s="79">
        <f>IF('Ordenes_Odoo'!I2926="","",'Ordenes_Odoo'!I2926)</f>
        <v/>
      </c>
      <c r="J2926" s="79">
        <f>IF('Ordenes_Odoo'!J2926="","",'Ordenes_Odoo'!J2926)</f>
        <v/>
      </c>
      <c r="K2926" s="81">
        <f>IF('Ordenes_Odoo'!K2926="","",'Ordenes_Odoo'!K2926)</f>
        <v/>
      </c>
      <c r="L2926" s="81">
        <f>IF('Ordenes_Odoo'!L2926="","",'Ordenes_Odoo'!L2926)</f>
        <v/>
      </c>
      <c r="M2926" s="79">
        <f>IF('Ordenes_Odoo'!M2926="","",'Ordenes_Odoo'!M2926)</f>
        <v/>
      </c>
      <c r="N2926" s="79">
        <f>IF('Ordenes_Odoo'!N2926="","",'Ordenes_Odoo'!N2926)</f>
        <v/>
      </c>
      <c r="O2926" s="81">
        <f>IF('Ordenes_Odoo'!O2926="","",'Ordenes_Odoo'!O2926)</f>
        <v/>
      </c>
      <c r="P2926" s="81">
        <f>IF('Ordenes_Odoo'!P2926="","",'Ordenes_Odoo'!P2926)</f>
        <v/>
      </c>
      <c r="Q2926" s="79">
        <f>IF(A2926="","",IFERROR(INDEX(Facturas_Odoo!$B:$B, MATCH(A2926, Facturas_Odoo!$D:$D, 0)), "Sin Factura"))</f>
        <v/>
      </c>
      <c r="R2926" s="80">
        <f>IF(Q2926="Sin Factura","",IFERROR(INDEX(Facturas_Odoo!$A:$A, MATCH(Q2926, Facturas_Odoo!$B:$B, 0)), ""))</f>
        <v/>
      </c>
      <c r="S2926" s="79">
        <f>IF(Q2926="Sin Factura","",IFERROR(_xlfn.XLOOKUP(1, (Facturas_Odoo!$D:$D=A2926) * (Facturas_Odoo!$K:$K=I2926), Facturas_Odoo!$L:$L, ""), ""))</f>
        <v/>
      </c>
      <c r="T2926" s="81">
        <f>IF(Q2926="Sin Factura",0,IFERROR(_xlfn.XLOOKUP(1, (Facturas_Odoo!$D:$D=A2926) * (Facturas_Odoo!$K:$K=I2926), Facturas_Odoo!$M:$M, 0), 0))</f>
        <v/>
      </c>
      <c r="U2926" s="79">
        <f>IF(Q2926="Sin Factura",0,IFERROR(_xlfn.XLOOKUP(1, (Facturas_Odoo!$D:$D=A2926) * (Facturas_Odoo!$K:$K=I2926), Facturas_Odoo!$N:$N, 0), 0))</f>
        <v/>
      </c>
      <c r="V2926" s="79">
        <f>IF(Q2926="Sin Factura",0,IFERROR(_xlfn.XLOOKUP(1, (Facturas_Odoo!$D:$D=A2926) * (Facturas_Odoo!$K:$K=I2926), Facturas_Odoo!$O:$O, 0), 0))</f>
        <v/>
      </c>
      <c r="W2926" s="81">
        <f>IF(Q2926="Sin Factura",0,IFERROR(_xlfn.XLOOKUP(1, (Facturas_Odoo!$D:$D=A2926) * (Facturas_Odoo!$K:$K=I2926), Facturas_Odoo!$Q:$Q, 0), 0))</f>
        <v/>
      </c>
      <c r="X2926" s="79">
        <f>IF(OR(Q2926="Sin Factura",Q2926=""),"",IFERROR(INDEX(Pagos_Odoo!$B:$B, MATCH(Q2926, Pagos_Odoo!$I:$I, 0)), "Sin Pago"))</f>
        <v/>
      </c>
      <c r="Y2926" s="79">
        <f>IF(X2926="Sin Pago","",IFERROR(INDEX(Pagos_Odoo!$C:$C, MATCH(X2926, Pagos_Odoo!$B:$B, 0)), ""))</f>
        <v/>
      </c>
      <c r="Z2926" s="80">
        <f>IF(X2926="Sin Pago","",IFERROR(INDEX(Pagos_Odoo!$A:$A, MATCH(X2926, Pagos_Odoo!$B:$B, 0)), ""))</f>
        <v/>
      </c>
      <c r="AA2926" s="79">
        <f>IF(X2926="Sin Pago","",IFERROR(INDEX(Pagos_Odoo!$F:$F, MATCH(X2926, Pagos_Odoo!$B:$B, 0)), ""))</f>
        <v/>
      </c>
      <c r="AB2926" s="81">
        <f>IF(X2926="Sin Pago",0,IFERROR(INDEX(Pagos_Odoo!$E:$E, MATCH(X2926, Pagos_Odoo!$B:$B, 0)), 0))</f>
        <v/>
      </c>
      <c r="AC2926" s="79">
        <f>IF(X2926="Sin Pago","",IFERROR(INDEX(Pagos_Odoo!$G:$G, MATCH(X2926, Pagos_Odoo!$B:$B, 0)), ""))</f>
        <v/>
      </c>
      <c r="AD2926" s="82" t="n">
        <v>0</v>
      </c>
      <c r="AE2926" s="82" t="n"/>
      <c r="AF2926" s="82" t="n"/>
      <c r="AG2926" s="82">
        <f>IF(AN2926="","",AD2926+AE2926+AF2926)</f>
        <v/>
      </c>
      <c r="AH2926" s="81">
        <f>IF(AN2926="","",P2926*(1-AG2926))</f>
        <v/>
      </c>
      <c r="AI2926" s="81">
        <f>IF(AN2926="","",IF(Q2926="Sin Factura",0,IFERROR(INDEX(Facturas_Odoo!$H:$H, MATCH(Q2926, Facturas_Odoo!$B:$B, 0)), 0)*(1-AG2926)))</f>
        <v/>
      </c>
      <c r="AJ2926" s="81">
        <f>IF(AN2926="","",_xlfn.LET(idVenta, AN2926&amp;"",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26" s="81">
        <f>IF(AN2926="","",AH2926-AJ2926)</f>
        <v/>
      </c>
      <c r="AL2926" s="81">
        <f>IF(AN2926="","",IF(Q2926="Sin Factura","",AI2926-AJ2926))</f>
        <v/>
      </c>
      <c r="AM2926" s="81">
        <f>IF(AN2926="","",IF(Q2926="Sin Factura",0,P2926-IFERROR(INDEX(Facturas_Odoo!$H:$H, MATCH(Q2926, Facturas_Odoo!$B:$B, 0)), 0)))</f>
        <v/>
      </c>
      <c r="AN2926" s="79">
        <f>IF(AND(A2926="", J2926=""), "", IF(A2926&lt;&gt;"", VALUE(MID(A2926,2,LEN(A2926))), AN2925))</f>
        <v/>
      </c>
      <c r="AO2926" s="79">
        <f>IF(AN2926="","",IF(AD2926=0,"OK",_xlfn.LET(monedaPago, IF(AA2926="","USD",AA2926), limitePermitido, IFERROR(VLOOKUP(monedaPago, Configuración!$A$2:$B$3, 2, FALSE), 0.15), IF(AD2926&gt;limitePermitido, "ALERTA: EXCESO (" &amp; TEXT(limitePermitido, "0%") &amp; " máx)", "OK"))))</f>
        <v/>
      </c>
      <c r="AP2926" s="79">
        <f>IF(AN2926="","",IF(AE2926=0,"OK",_xlfn.LET(fechaPago, Z2926, fechaFactura, R2926, diasCredito, IF(E2926="Pago inmediato", 0, IFERROR(VALUE(MID(E2926, 1, SEARCH(" ", E2926)-1)),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26" s="79">
        <f>IF(AN2926="","",IF(AND(N2926&gt;0, AG2926&gt;0), IF(Configuración!$K$2="NO", "ALERTA: DESCUENTO DOBLE NO PERMITIDO", "OK"), "OK"))</f>
        <v/>
      </c>
      <c r="AR2926" s="79">
        <f>IF(AN2926="","",IF(OR(AO2926&lt;&gt;"OK", AP2926&lt;&gt;"OK", AQ2926&lt;&gt;"OK"), "⚠️ REVISAR", "OK"))</f>
        <v/>
      </c>
    </row>
    <row r="2927">
      <c r="A2927" s="79">
        <f>IF('Ordenes_Odoo'!A2927="","",'Ordenes_Odoo'!A2927)</f>
        <v/>
      </c>
      <c r="B2927" s="80">
        <f>IF('Ordenes_Odoo'!B2927="","",'Ordenes_Odoo'!B2927)</f>
        <v/>
      </c>
      <c r="C2927" s="79">
        <f>IF('Ordenes_Odoo'!C2927="","",'Ordenes_Odoo'!C2927)</f>
        <v/>
      </c>
      <c r="D2927" s="79">
        <f>IF('Ordenes_Odoo'!D2927="","",'Ordenes_Odoo'!D2927)</f>
        <v/>
      </c>
      <c r="E2927" s="79">
        <f>IF('Ordenes_Odoo'!E2927="","",'Ordenes_Odoo'!E2927)</f>
        <v/>
      </c>
      <c r="F2927" s="79">
        <f>IF('Ordenes_Odoo'!F2927="","",'Ordenes_Odoo'!F2927)</f>
        <v/>
      </c>
      <c r="G2927" s="79">
        <f>IF('Ordenes_Odoo'!G2927="","",'Ordenes_Odoo'!G2927)</f>
        <v/>
      </c>
      <c r="H2927" s="79">
        <f>IF('Ordenes_Odoo'!H2927="","",'Ordenes_Odoo'!H2927)</f>
        <v/>
      </c>
      <c r="I2927" s="79">
        <f>IF('Ordenes_Odoo'!I2927="","",'Ordenes_Odoo'!I2927)</f>
        <v/>
      </c>
      <c r="J2927" s="79">
        <f>IF('Ordenes_Odoo'!J2927="","",'Ordenes_Odoo'!J2927)</f>
        <v/>
      </c>
      <c r="K2927" s="81">
        <f>IF('Ordenes_Odoo'!K2927="","",'Ordenes_Odoo'!K2927)</f>
        <v/>
      </c>
      <c r="L2927" s="81">
        <f>IF('Ordenes_Odoo'!L2927="","",'Ordenes_Odoo'!L2927)</f>
        <v/>
      </c>
      <c r="M2927" s="79">
        <f>IF('Ordenes_Odoo'!M2927="","",'Ordenes_Odoo'!M2927)</f>
        <v/>
      </c>
      <c r="N2927" s="79">
        <f>IF('Ordenes_Odoo'!N2927="","",'Ordenes_Odoo'!N2927)</f>
        <v/>
      </c>
      <c r="O2927" s="81">
        <f>IF('Ordenes_Odoo'!O2927="","",'Ordenes_Odoo'!O2927)</f>
        <v/>
      </c>
      <c r="P2927" s="81">
        <f>IF('Ordenes_Odoo'!P2927="","",'Ordenes_Odoo'!P2927)</f>
        <v/>
      </c>
      <c r="Q2927" s="79">
        <f>IF(A2927="","",IFERROR(INDEX(Facturas_Odoo!$B:$B, MATCH(A2927, Facturas_Odoo!$D:$D, 0)), "Sin Factura"))</f>
        <v/>
      </c>
      <c r="R2927" s="80">
        <f>IF(Q2927="Sin Factura","",IFERROR(INDEX(Facturas_Odoo!$A:$A, MATCH(Q2927, Facturas_Odoo!$B:$B, 0)), ""))</f>
        <v/>
      </c>
      <c r="S2927" s="79">
        <f>IF(Q2927="Sin Factura","",IFERROR(_xlfn.XLOOKUP(1, (Facturas_Odoo!$D:$D=A2927) * (Facturas_Odoo!$K:$K=I2927), Facturas_Odoo!$L:$L, ""), ""))</f>
        <v/>
      </c>
      <c r="T2927" s="81">
        <f>IF(Q2927="Sin Factura",0,IFERROR(_xlfn.XLOOKUP(1, (Facturas_Odoo!$D:$D=A2927) * (Facturas_Odoo!$K:$K=I2927), Facturas_Odoo!$M:$M, 0), 0))</f>
        <v/>
      </c>
      <c r="U2927" s="79">
        <f>IF(Q2927="Sin Factura",0,IFERROR(_xlfn.XLOOKUP(1, (Facturas_Odoo!$D:$D=A2927) * (Facturas_Odoo!$K:$K=I2927), Facturas_Odoo!$N:$N, 0), 0))</f>
        <v/>
      </c>
      <c r="V2927" s="79">
        <f>IF(Q2927="Sin Factura",0,IFERROR(_xlfn.XLOOKUP(1, (Facturas_Odoo!$D:$D=A2927) * (Facturas_Odoo!$K:$K=I2927), Facturas_Odoo!$O:$O, 0), 0))</f>
        <v/>
      </c>
      <c r="W2927" s="81">
        <f>IF(Q2927="Sin Factura",0,IFERROR(_xlfn.XLOOKUP(1, (Facturas_Odoo!$D:$D=A2927) * (Facturas_Odoo!$K:$K=I2927), Facturas_Odoo!$Q:$Q, 0), 0))</f>
        <v/>
      </c>
      <c r="X2927" s="79">
        <f>IF(OR(Q2927="Sin Factura",Q2927=""),"",IFERROR(INDEX(Pagos_Odoo!$B:$B, MATCH(Q2927, Pagos_Odoo!$I:$I, 0)), "Sin Pago"))</f>
        <v/>
      </c>
      <c r="Y2927" s="79">
        <f>IF(X2927="Sin Pago","",IFERROR(INDEX(Pagos_Odoo!$C:$C, MATCH(X2927, Pagos_Odoo!$B:$B, 0)), ""))</f>
        <v/>
      </c>
      <c r="Z2927" s="80">
        <f>IF(X2927="Sin Pago","",IFERROR(INDEX(Pagos_Odoo!$A:$A, MATCH(X2927, Pagos_Odoo!$B:$B, 0)), ""))</f>
        <v/>
      </c>
      <c r="AA2927" s="79">
        <f>IF(X2927="Sin Pago","",IFERROR(INDEX(Pagos_Odoo!$F:$F, MATCH(X2927, Pagos_Odoo!$B:$B, 0)), ""))</f>
        <v/>
      </c>
      <c r="AB2927" s="81">
        <f>IF(X2927="Sin Pago",0,IFERROR(INDEX(Pagos_Odoo!$E:$E, MATCH(X2927, Pagos_Odoo!$B:$B, 0)), 0))</f>
        <v/>
      </c>
      <c r="AC2927" s="79">
        <f>IF(X2927="Sin Pago","",IFERROR(INDEX(Pagos_Odoo!$G:$G, MATCH(X2927, Pagos_Odoo!$B:$B, 0)), ""))</f>
        <v/>
      </c>
      <c r="AD2927" s="82" t="n">
        <v>0</v>
      </c>
      <c r="AE2927" s="82" t="n"/>
      <c r="AF2927" s="82" t="n"/>
      <c r="AG2927" s="82">
        <f>IF(AN2927="","",AD2927+AE2927+AF2927)</f>
        <v/>
      </c>
      <c r="AH2927" s="81">
        <f>IF(AN2927="","",P2927*(1-AG2927))</f>
        <v/>
      </c>
      <c r="AI2927" s="81">
        <f>IF(AN2927="","",IF(Q2927="Sin Factura",0,IFERROR(INDEX(Facturas_Odoo!$H:$H, MATCH(Q2927, Facturas_Odoo!$B:$B, 0)), 0)*(1-AG2927)))</f>
        <v/>
      </c>
      <c r="AJ2927" s="81">
        <f>IF(AN2927="","",_xlfn.LET(idVenta, AN2927&amp;"",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27" s="81">
        <f>IF(AN2927="","",AH2927-AJ2927)</f>
        <v/>
      </c>
      <c r="AL2927" s="81">
        <f>IF(AN2927="","",IF(Q2927="Sin Factura","",AI2927-AJ2927))</f>
        <v/>
      </c>
      <c r="AM2927" s="81">
        <f>IF(AN2927="","",IF(Q2927="Sin Factura",0,P2927-IFERROR(INDEX(Facturas_Odoo!$H:$H, MATCH(Q2927, Facturas_Odoo!$B:$B, 0)), 0)))</f>
        <v/>
      </c>
      <c r="AN2927" s="79">
        <f>IF(AND(A2927="", J2927=""), "", IF(A2927&lt;&gt;"", VALUE(MID(A2927,2,LEN(A2927))), AN2926))</f>
        <v/>
      </c>
      <c r="AO2927" s="79">
        <f>IF(AN2927="","",IF(AD2927=0,"OK",_xlfn.LET(monedaPago, IF(AA2927="","USD",AA2927), limitePermitido, IFERROR(VLOOKUP(monedaPago, Configuración!$A$2:$B$3, 2, FALSE), 0.15), IF(AD2927&gt;limitePermitido, "ALERTA: EXCESO (" &amp; TEXT(limitePermitido, "0%") &amp; " máx)", "OK"))))</f>
        <v/>
      </c>
      <c r="AP2927" s="79">
        <f>IF(AN2927="","",IF(AE2927=0,"OK",_xlfn.LET(fechaPago, Z2927, fechaFactura, R2927, diasCredito, IF(E2927="Pago inmediato", 0, IFERROR(VALUE(MID(E2927, 1, SEARCH(" ", E2927)-1)),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27" s="79">
        <f>IF(AN2927="","",IF(AND(N2927&gt;0, AG2927&gt;0), IF(Configuración!$K$2="NO", "ALERTA: DESCUENTO DOBLE NO PERMITIDO", "OK"), "OK"))</f>
        <v/>
      </c>
      <c r="AR2927" s="79">
        <f>IF(AN2927="","",IF(OR(AO2927&lt;&gt;"OK", AP2927&lt;&gt;"OK", AQ2927&lt;&gt;"OK"), "⚠️ REVISAR", "OK"))</f>
        <v/>
      </c>
    </row>
    <row r="2928">
      <c r="A2928" s="79">
        <f>IF('Ordenes_Odoo'!A2928="","",'Ordenes_Odoo'!A2928)</f>
        <v/>
      </c>
      <c r="B2928" s="80">
        <f>IF('Ordenes_Odoo'!B2928="","",'Ordenes_Odoo'!B2928)</f>
        <v/>
      </c>
      <c r="C2928" s="79">
        <f>IF('Ordenes_Odoo'!C2928="","",'Ordenes_Odoo'!C2928)</f>
        <v/>
      </c>
      <c r="D2928" s="79">
        <f>IF('Ordenes_Odoo'!D2928="","",'Ordenes_Odoo'!D2928)</f>
        <v/>
      </c>
      <c r="E2928" s="79">
        <f>IF('Ordenes_Odoo'!E2928="","",'Ordenes_Odoo'!E2928)</f>
        <v/>
      </c>
      <c r="F2928" s="79">
        <f>IF('Ordenes_Odoo'!F2928="","",'Ordenes_Odoo'!F2928)</f>
        <v/>
      </c>
      <c r="G2928" s="79">
        <f>IF('Ordenes_Odoo'!G2928="","",'Ordenes_Odoo'!G2928)</f>
        <v/>
      </c>
      <c r="H2928" s="79">
        <f>IF('Ordenes_Odoo'!H2928="","",'Ordenes_Odoo'!H2928)</f>
        <v/>
      </c>
      <c r="I2928" s="79">
        <f>IF('Ordenes_Odoo'!I2928="","",'Ordenes_Odoo'!I2928)</f>
        <v/>
      </c>
      <c r="J2928" s="79">
        <f>IF('Ordenes_Odoo'!J2928="","",'Ordenes_Odoo'!J2928)</f>
        <v/>
      </c>
      <c r="K2928" s="81">
        <f>IF('Ordenes_Odoo'!K2928="","",'Ordenes_Odoo'!K2928)</f>
        <v/>
      </c>
      <c r="L2928" s="81">
        <f>IF('Ordenes_Odoo'!L2928="","",'Ordenes_Odoo'!L2928)</f>
        <v/>
      </c>
      <c r="M2928" s="79">
        <f>IF('Ordenes_Odoo'!M2928="","",'Ordenes_Odoo'!M2928)</f>
        <v/>
      </c>
      <c r="N2928" s="79">
        <f>IF('Ordenes_Odoo'!N2928="","",'Ordenes_Odoo'!N2928)</f>
        <v/>
      </c>
      <c r="O2928" s="81">
        <f>IF('Ordenes_Odoo'!O2928="","",'Ordenes_Odoo'!O2928)</f>
        <v/>
      </c>
      <c r="P2928" s="81">
        <f>IF('Ordenes_Odoo'!P2928="","",'Ordenes_Odoo'!P2928)</f>
        <v/>
      </c>
      <c r="Q2928" s="79">
        <f>IF(A2928="","",IFERROR(INDEX(Facturas_Odoo!$B:$B, MATCH(A2928, Facturas_Odoo!$D:$D, 0)), "Sin Factura"))</f>
        <v/>
      </c>
      <c r="R2928" s="80">
        <f>IF(Q2928="Sin Factura","",IFERROR(INDEX(Facturas_Odoo!$A:$A, MATCH(Q2928, Facturas_Odoo!$B:$B, 0)), ""))</f>
        <v/>
      </c>
      <c r="S2928" s="79">
        <f>IF(Q2928="Sin Factura","",IFERROR(_xlfn.XLOOKUP(1, (Facturas_Odoo!$D:$D=A2928) * (Facturas_Odoo!$K:$K=I2928), Facturas_Odoo!$L:$L, ""), ""))</f>
        <v/>
      </c>
      <c r="T2928" s="81">
        <f>IF(Q2928="Sin Factura",0,IFERROR(_xlfn.XLOOKUP(1, (Facturas_Odoo!$D:$D=A2928) * (Facturas_Odoo!$K:$K=I2928), Facturas_Odoo!$M:$M, 0), 0))</f>
        <v/>
      </c>
      <c r="U2928" s="79">
        <f>IF(Q2928="Sin Factura",0,IFERROR(_xlfn.XLOOKUP(1, (Facturas_Odoo!$D:$D=A2928) * (Facturas_Odoo!$K:$K=I2928), Facturas_Odoo!$N:$N, 0), 0))</f>
        <v/>
      </c>
      <c r="V2928" s="79">
        <f>IF(Q2928="Sin Factura",0,IFERROR(_xlfn.XLOOKUP(1, (Facturas_Odoo!$D:$D=A2928) * (Facturas_Odoo!$K:$K=I2928), Facturas_Odoo!$O:$O, 0), 0))</f>
        <v/>
      </c>
      <c r="W2928" s="81">
        <f>IF(Q2928="Sin Factura",0,IFERROR(_xlfn.XLOOKUP(1, (Facturas_Odoo!$D:$D=A2928) * (Facturas_Odoo!$K:$K=I2928), Facturas_Odoo!$Q:$Q, 0), 0))</f>
        <v/>
      </c>
      <c r="X2928" s="79">
        <f>IF(OR(Q2928="Sin Factura",Q2928=""),"",IFERROR(INDEX(Pagos_Odoo!$B:$B, MATCH(Q2928, Pagos_Odoo!$I:$I, 0)), "Sin Pago"))</f>
        <v/>
      </c>
      <c r="Y2928" s="79">
        <f>IF(X2928="Sin Pago","",IFERROR(INDEX(Pagos_Odoo!$C:$C, MATCH(X2928, Pagos_Odoo!$B:$B, 0)), ""))</f>
        <v/>
      </c>
      <c r="Z2928" s="80">
        <f>IF(X2928="Sin Pago","",IFERROR(INDEX(Pagos_Odoo!$A:$A, MATCH(X2928, Pagos_Odoo!$B:$B, 0)), ""))</f>
        <v/>
      </c>
      <c r="AA2928" s="79">
        <f>IF(X2928="Sin Pago","",IFERROR(INDEX(Pagos_Odoo!$F:$F, MATCH(X2928, Pagos_Odoo!$B:$B, 0)), ""))</f>
        <v/>
      </c>
      <c r="AB2928" s="81">
        <f>IF(X2928="Sin Pago",0,IFERROR(INDEX(Pagos_Odoo!$E:$E, MATCH(X2928, Pagos_Odoo!$B:$B, 0)), 0))</f>
        <v/>
      </c>
      <c r="AC2928" s="79">
        <f>IF(X2928="Sin Pago","",IFERROR(INDEX(Pagos_Odoo!$G:$G, MATCH(X2928, Pagos_Odoo!$B:$B, 0)), ""))</f>
        <v/>
      </c>
      <c r="AD2928" s="82" t="n">
        <v>0</v>
      </c>
      <c r="AE2928" s="82" t="n"/>
      <c r="AF2928" s="82" t="n"/>
      <c r="AG2928" s="82">
        <f>IF(AN2928="","",AD2928+AE2928+AF2928)</f>
        <v/>
      </c>
      <c r="AH2928" s="81">
        <f>IF(AN2928="","",P2928*(1-AG2928))</f>
        <v/>
      </c>
      <c r="AI2928" s="81">
        <f>IF(AN2928="","",IF(Q2928="Sin Factura",0,IFERROR(INDEX(Facturas_Odoo!$H:$H, MATCH(Q2928, Facturas_Odoo!$B:$B, 0)), 0)*(1-AG2928)))</f>
        <v/>
      </c>
      <c r="AJ2928" s="81">
        <f>IF(AN2928="","",_xlfn.LET(idVenta, AN2928&amp;"",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28" s="81">
        <f>IF(AN2928="","",AH2928-AJ2928)</f>
        <v/>
      </c>
      <c r="AL2928" s="81">
        <f>IF(AN2928="","",IF(Q2928="Sin Factura","",AI2928-AJ2928))</f>
        <v/>
      </c>
      <c r="AM2928" s="81">
        <f>IF(AN2928="","",IF(Q2928="Sin Factura",0,P2928-IFERROR(INDEX(Facturas_Odoo!$H:$H, MATCH(Q2928, Facturas_Odoo!$B:$B, 0)), 0)))</f>
        <v/>
      </c>
      <c r="AN2928" s="79">
        <f>IF(AND(A2928="", J2928=""), "", IF(A2928&lt;&gt;"", VALUE(MID(A2928,2,LEN(A2928))), AN2927))</f>
        <v/>
      </c>
      <c r="AO2928" s="79">
        <f>IF(AN2928="","",IF(AD2928=0,"OK",_xlfn.LET(monedaPago, IF(AA2928="","USD",AA2928), limitePermitido, IFERROR(VLOOKUP(monedaPago, Configuración!$A$2:$B$3, 2, FALSE), 0.15), IF(AD2928&gt;limitePermitido, "ALERTA: EXCESO (" &amp; TEXT(limitePermitido, "0%") &amp; " máx)", "OK"))))</f>
        <v/>
      </c>
      <c r="AP2928" s="79">
        <f>IF(AN2928="","",IF(AE2928=0,"OK",_xlfn.LET(fechaPago, Z2928, fechaFactura, R2928, diasCredito, IF(E2928="Pago inmediato", 0, IFERROR(VALUE(MID(E2928, 1, SEARCH(" ", E2928)-1)),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28" s="79">
        <f>IF(AN2928="","",IF(AND(N2928&gt;0, AG2928&gt;0), IF(Configuración!$K$2="NO", "ALERTA: DESCUENTO DOBLE NO PERMITIDO", "OK"), "OK"))</f>
        <v/>
      </c>
      <c r="AR2928" s="79">
        <f>IF(AN2928="","",IF(OR(AO2928&lt;&gt;"OK", AP2928&lt;&gt;"OK", AQ2928&lt;&gt;"OK"), "⚠️ REVISAR", "OK"))</f>
        <v/>
      </c>
    </row>
    <row r="2929">
      <c r="A2929" s="79">
        <f>IF('Ordenes_Odoo'!A2929="","",'Ordenes_Odoo'!A2929)</f>
        <v/>
      </c>
      <c r="B2929" s="80">
        <f>IF('Ordenes_Odoo'!B2929="","",'Ordenes_Odoo'!B2929)</f>
        <v/>
      </c>
      <c r="C2929" s="79">
        <f>IF('Ordenes_Odoo'!C2929="","",'Ordenes_Odoo'!C2929)</f>
        <v/>
      </c>
      <c r="D2929" s="79">
        <f>IF('Ordenes_Odoo'!D2929="","",'Ordenes_Odoo'!D2929)</f>
        <v/>
      </c>
      <c r="E2929" s="79">
        <f>IF('Ordenes_Odoo'!E2929="","",'Ordenes_Odoo'!E2929)</f>
        <v/>
      </c>
      <c r="F2929" s="79">
        <f>IF('Ordenes_Odoo'!F2929="","",'Ordenes_Odoo'!F2929)</f>
        <v/>
      </c>
      <c r="G2929" s="79">
        <f>IF('Ordenes_Odoo'!G2929="","",'Ordenes_Odoo'!G2929)</f>
        <v/>
      </c>
      <c r="H2929" s="79">
        <f>IF('Ordenes_Odoo'!H2929="","",'Ordenes_Odoo'!H2929)</f>
        <v/>
      </c>
      <c r="I2929" s="79">
        <f>IF('Ordenes_Odoo'!I2929="","",'Ordenes_Odoo'!I2929)</f>
        <v/>
      </c>
      <c r="J2929" s="79">
        <f>IF('Ordenes_Odoo'!J2929="","",'Ordenes_Odoo'!J2929)</f>
        <v/>
      </c>
      <c r="K2929" s="81">
        <f>IF('Ordenes_Odoo'!K2929="","",'Ordenes_Odoo'!K2929)</f>
        <v/>
      </c>
      <c r="L2929" s="81">
        <f>IF('Ordenes_Odoo'!L2929="","",'Ordenes_Odoo'!L2929)</f>
        <v/>
      </c>
      <c r="M2929" s="79">
        <f>IF('Ordenes_Odoo'!M2929="","",'Ordenes_Odoo'!M2929)</f>
        <v/>
      </c>
      <c r="N2929" s="79">
        <f>IF('Ordenes_Odoo'!N2929="","",'Ordenes_Odoo'!N2929)</f>
        <v/>
      </c>
      <c r="O2929" s="81">
        <f>IF('Ordenes_Odoo'!O2929="","",'Ordenes_Odoo'!O2929)</f>
        <v/>
      </c>
      <c r="P2929" s="81">
        <f>IF('Ordenes_Odoo'!P2929="","",'Ordenes_Odoo'!P2929)</f>
        <v/>
      </c>
      <c r="Q2929" s="79">
        <f>IF(A2929="","",IFERROR(INDEX(Facturas_Odoo!$B:$B, MATCH(A2929, Facturas_Odoo!$D:$D, 0)), "Sin Factura"))</f>
        <v/>
      </c>
      <c r="R2929" s="80">
        <f>IF(Q2929="Sin Factura","",IFERROR(INDEX(Facturas_Odoo!$A:$A, MATCH(Q2929, Facturas_Odoo!$B:$B, 0)), ""))</f>
        <v/>
      </c>
      <c r="S2929" s="79">
        <f>IF(Q2929="Sin Factura","",IFERROR(_xlfn.XLOOKUP(1, (Facturas_Odoo!$D:$D=A2929) * (Facturas_Odoo!$K:$K=I2929), Facturas_Odoo!$L:$L, ""), ""))</f>
        <v/>
      </c>
      <c r="T2929" s="81">
        <f>IF(Q2929="Sin Factura",0,IFERROR(_xlfn.XLOOKUP(1, (Facturas_Odoo!$D:$D=A2929) * (Facturas_Odoo!$K:$K=I2929), Facturas_Odoo!$M:$M, 0), 0))</f>
        <v/>
      </c>
      <c r="U2929" s="79">
        <f>IF(Q2929="Sin Factura",0,IFERROR(_xlfn.XLOOKUP(1, (Facturas_Odoo!$D:$D=A2929) * (Facturas_Odoo!$K:$K=I2929), Facturas_Odoo!$N:$N, 0), 0))</f>
        <v/>
      </c>
      <c r="V2929" s="79">
        <f>IF(Q2929="Sin Factura",0,IFERROR(_xlfn.XLOOKUP(1, (Facturas_Odoo!$D:$D=A2929) * (Facturas_Odoo!$K:$K=I2929), Facturas_Odoo!$O:$O, 0), 0))</f>
        <v/>
      </c>
      <c r="W2929" s="81">
        <f>IF(Q2929="Sin Factura",0,IFERROR(_xlfn.XLOOKUP(1, (Facturas_Odoo!$D:$D=A2929) * (Facturas_Odoo!$K:$K=I2929), Facturas_Odoo!$Q:$Q, 0), 0))</f>
        <v/>
      </c>
      <c r="X2929" s="79">
        <f>IF(OR(Q2929="Sin Factura",Q2929=""),"",IFERROR(INDEX(Pagos_Odoo!$B:$B, MATCH(Q2929, Pagos_Odoo!$I:$I, 0)), "Sin Pago"))</f>
        <v/>
      </c>
      <c r="Y2929" s="79">
        <f>IF(X2929="Sin Pago","",IFERROR(INDEX(Pagos_Odoo!$C:$C, MATCH(X2929, Pagos_Odoo!$B:$B, 0)), ""))</f>
        <v/>
      </c>
      <c r="Z2929" s="80">
        <f>IF(X2929="Sin Pago","",IFERROR(INDEX(Pagos_Odoo!$A:$A, MATCH(X2929, Pagos_Odoo!$B:$B, 0)), ""))</f>
        <v/>
      </c>
      <c r="AA2929" s="79">
        <f>IF(X2929="Sin Pago","",IFERROR(INDEX(Pagos_Odoo!$F:$F, MATCH(X2929, Pagos_Odoo!$B:$B, 0)), ""))</f>
        <v/>
      </c>
      <c r="AB2929" s="81">
        <f>IF(X2929="Sin Pago",0,IFERROR(INDEX(Pagos_Odoo!$E:$E, MATCH(X2929, Pagos_Odoo!$B:$B, 0)), 0))</f>
        <v/>
      </c>
      <c r="AC2929" s="79">
        <f>IF(X2929="Sin Pago","",IFERROR(INDEX(Pagos_Odoo!$G:$G, MATCH(X2929, Pagos_Odoo!$B:$B, 0)), ""))</f>
        <v/>
      </c>
      <c r="AD2929" s="82" t="n">
        <v>0</v>
      </c>
      <c r="AE2929" s="82" t="n"/>
      <c r="AF2929" s="82" t="n"/>
      <c r="AG2929" s="82">
        <f>IF(AN2929="","",AD2929+AE2929+AF2929)</f>
        <v/>
      </c>
      <c r="AH2929" s="81">
        <f>IF(AN2929="","",P2929*(1-AG2929))</f>
        <v/>
      </c>
      <c r="AI2929" s="81">
        <f>IF(AN2929="","",IF(Q2929="Sin Factura",0,IFERROR(INDEX(Facturas_Odoo!$H:$H, MATCH(Q2929, Facturas_Odoo!$B:$B, 0)), 0)*(1-AG2929)))</f>
        <v/>
      </c>
      <c r="AJ2929" s="81">
        <f>IF(AN2929="","",_xlfn.LET(idVenta, AN2929&amp;"",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29" s="81">
        <f>IF(AN2929="","",AH2929-AJ2929)</f>
        <v/>
      </c>
      <c r="AL2929" s="81">
        <f>IF(AN2929="","",IF(Q2929="Sin Factura","",AI2929-AJ2929))</f>
        <v/>
      </c>
      <c r="AM2929" s="81">
        <f>IF(AN2929="","",IF(Q2929="Sin Factura",0,P2929-IFERROR(INDEX(Facturas_Odoo!$H:$H, MATCH(Q2929, Facturas_Odoo!$B:$B, 0)), 0)))</f>
        <v/>
      </c>
      <c r="AN2929" s="79">
        <f>IF(AND(A2929="", J2929=""), "", IF(A2929&lt;&gt;"", VALUE(MID(A2929,2,LEN(A2929))), AN2928))</f>
        <v/>
      </c>
      <c r="AO2929" s="79">
        <f>IF(AN2929="","",IF(AD2929=0,"OK",_xlfn.LET(monedaPago, IF(AA2929="","USD",AA2929), limitePermitido, IFERROR(VLOOKUP(monedaPago, Configuración!$A$2:$B$3, 2, FALSE), 0.15), IF(AD2929&gt;limitePermitido, "ALERTA: EXCESO (" &amp; TEXT(limitePermitido, "0%") &amp; " máx)", "OK"))))</f>
        <v/>
      </c>
      <c r="AP2929" s="79">
        <f>IF(AN2929="","",IF(AE2929=0,"OK",_xlfn.LET(fechaPago, Z2929, fechaFactura, R2929, diasCredito, IF(E2929="Pago inmediato", 0, IFERROR(VALUE(MID(E2929, 1, SEARCH(" ", E2929)-1)),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29" s="79">
        <f>IF(AN2929="","",IF(AND(N2929&gt;0, AG2929&gt;0), IF(Configuración!$K$2="NO", "ALERTA: DESCUENTO DOBLE NO PERMITIDO", "OK"), "OK"))</f>
        <v/>
      </c>
      <c r="AR2929" s="79">
        <f>IF(AN2929="","",IF(OR(AO2929&lt;&gt;"OK", AP2929&lt;&gt;"OK", AQ2929&lt;&gt;"OK"), "⚠️ REVISAR", "OK"))</f>
        <v/>
      </c>
    </row>
    <row r="2930">
      <c r="A2930" s="79">
        <f>IF('Ordenes_Odoo'!A2930="","",'Ordenes_Odoo'!A2930)</f>
        <v/>
      </c>
      <c r="B2930" s="80">
        <f>IF('Ordenes_Odoo'!B2930="","",'Ordenes_Odoo'!B2930)</f>
        <v/>
      </c>
      <c r="C2930" s="79">
        <f>IF('Ordenes_Odoo'!C2930="","",'Ordenes_Odoo'!C2930)</f>
        <v/>
      </c>
      <c r="D2930" s="79">
        <f>IF('Ordenes_Odoo'!D2930="","",'Ordenes_Odoo'!D2930)</f>
        <v/>
      </c>
      <c r="E2930" s="79">
        <f>IF('Ordenes_Odoo'!E2930="","",'Ordenes_Odoo'!E2930)</f>
        <v/>
      </c>
      <c r="F2930" s="79">
        <f>IF('Ordenes_Odoo'!F2930="","",'Ordenes_Odoo'!F2930)</f>
        <v/>
      </c>
      <c r="G2930" s="79">
        <f>IF('Ordenes_Odoo'!G2930="","",'Ordenes_Odoo'!G2930)</f>
        <v/>
      </c>
      <c r="H2930" s="79">
        <f>IF('Ordenes_Odoo'!H2930="","",'Ordenes_Odoo'!H2930)</f>
        <v/>
      </c>
      <c r="I2930" s="79">
        <f>IF('Ordenes_Odoo'!I2930="","",'Ordenes_Odoo'!I2930)</f>
        <v/>
      </c>
      <c r="J2930" s="79">
        <f>IF('Ordenes_Odoo'!J2930="","",'Ordenes_Odoo'!J2930)</f>
        <v/>
      </c>
      <c r="K2930" s="81">
        <f>IF('Ordenes_Odoo'!K2930="","",'Ordenes_Odoo'!K2930)</f>
        <v/>
      </c>
      <c r="L2930" s="81">
        <f>IF('Ordenes_Odoo'!L2930="","",'Ordenes_Odoo'!L2930)</f>
        <v/>
      </c>
      <c r="M2930" s="79">
        <f>IF('Ordenes_Odoo'!M2930="","",'Ordenes_Odoo'!M2930)</f>
        <v/>
      </c>
      <c r="N2930" s="79">
        <f>IF('Ordenes_Odoo'!N2930="","",'Ordenes_Odoo'!N2930)</f>
        <v/>
      </c>
      <c r="O2930" s="81">
        <f>IF('Ordenes_Odoo'!O2930="","",'Ordenes_Odoo'!O2930)</f>
        <v/>
      </c>
      <c r="P2930" s="81">
        <f>IF('Ordenes_Odoo'!P2930="","",'Ordenes_Odoo'!P2930)</f>
        <v/>
      </c>
      <c r="Q2930" s="79">
        <f>IF(A2930="","",IFERROR(INDEX(Facturas_Odoo!$B:$B, MATCH(A2930, Facturas_Odoo!$D:$D, 0)), "Sin Factura"))</f>
        <v/>
      </c>
      <c r="R2930" s="80">
        <f>IF(Q2930="Sin Factura","",IFERROR(INDEX(Facturas_Odoo!$A:$A, MATCH(Q2930, Facturas_Odoo!$B:$B, 0)), ""))</f>
        <v/>
      </c>
      <c r="S2930" s="79">
        <f>IF(Q2930="Sin Factura","",IFERROR(_xlfn.XLOOKUP(1, (Facturas_Odoo!$D:$D=A2930) * (Facturas_Odoo!$K:$K=I2930), Facturas_Odoo!$L:$L, ""), ""))</f>
        <v/>
      </c>
      <c r="T2930" s="81">
        <f>IF(Q2930="Sin Factura",0,IFERROR(_xlfn.XLOOKUP(1, (Facturas_Odoo!$D:$D=A2930) * (Facturas_Odoo!$K:$K=I2930), Facturas_Odoo!$M:$M, 0), 0))</f>
        <v/>
      </c>
      <c r="U2930" s="79">
        <f>IF(Q2930="Sin Factura",0,IFERROR(_xlfn.XLOOKUP(1, (Facturas_Odoo!$D:$D=A2930) * (Facturas_Odoo!$K:$K=I2930), Facturas_Odoo!$N:$N, 0), 0))</f>
        <v/>
      </c>
      <c r="V2930" s="79">
        <f>IF(Q2930="Sin Factura",0,IFERROR(_xlfn.XLOOKUP(1, (Facturas_Odoo!$D:$D=A2930) * (Facturas_Odoo!$K:$K=I2930), Facturas_Odoo!$O:$O, 0), 0))</f>
        <v/>
      </c>
      <c r="W2930" s="81">
        <f>IF(Q2930="Sin Factura",0,IFERROR(_xlfn.XLOOKUP(1, (Facturas_Odoo!$D:$D=A2930) * (Facturas_Odoo!$K:$K=I2930), Facturas_Odoo!$Q:$Q, 0), 0))</f>
        <v/>
      </c>
      <c r="X2930" s="79">
        <f>IF(OR(Q2930="Sin Factura",Q2930=""),"",IFERROR(INDEX(Pagos_Odoo!$B:$B, MATCH(Q2930, Pagos_Odoo!$I:$I, 0)), "Sin Pago"))</f>
        <v/>
      </c>
      <c r="Y2930" s="79">
        <f>IF(X2930="Sin Pago","",IFERROR(INDEX(Pagos_Odoo!$C:$C, MATCH(X2930, Pagos_Odoo!$B:$B, 0)), ""))</f>
        <v/>
      </c>
      <c r="Z2930" s="80">
        <f>IF(X2930="Sin Pago","",IFERROR(INDEX(Pagos_Odoo!$A:$A, MATCH(X2930, Pagos_Odoo!$B:$B, 0)), ""))</f>
        <v/>
      </c>
      <c r="AA2930" s="79">
        <f>IF(X2930="Sin Pago","",IFERROR(INDEX(Pagos_Odoo!$F:$F, MATCH(X2930, Pagos_Odoo!$B:$B, 0)), ""))</f>
        <v/>
      </c>
      <c r="AB2930" s="81">
        <f>IF(X2930="Sin Pago",0,IFERROR(INDEX(Pagos_Odoo!$E:$E, MATCH(X2930, Pagos_Odoo!$B:$B, 0)), 0))</f>
        <v/>
      </c>
      <c r="AC2930" s="79">
        <f>IF(X2930="Sin Pago","",IFERROR(INDEX(Pagos_Odoo!$G:$G, MATCH(X2930, Pagos_Odoo!$B:$B, 0)), ""))</f>
        <v/>
      </c>
      <c r="AD2930" s="82" t="n">
        <v>0</v>
      </c>
      <c r="AE2930" s="82" t="n"/>
      <c r="AF2930" s="82" t="n"/>
      <c r="AG2930" s="82">
        <f>IF(AN2930="","",AD2930+AE2930+AF2930)</f>
        <v/>
      </c>
      <c r="AH2930" s="81">
        <f>IF(AN2930="","",P2930*(1-AG2930))</f>
        <v/>
      </c>
      <c r="AI2930" s="81">
        <f>IF(AN2930="","",IF(Q2930="Sin Factura",0,IFERROR(INDEX(Facturas_Odoo!$H:$H, MATCH(Q2930, Facturas_Odoo!$B:$B, 0)), 0)*(1-AG2930)))</f>
        <v/>
      </c>
      <c r="AJ2930" s="81">
        <f>IF(AN2930="","",_xlfn.LET(idVenta, AN2930&amp;"",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30" s="81">
        <f>IF(AN2930="","",AH2930-AJ2930)</f>
        <v/>
      </c>
      <c r="AL2930" s="81">
        <f>IF(AN2930="","",IF(Q2930="Sin Factura","",AI2930-AJ2930))</f>
        <v/>
      </c>
      <c r="AM2930" s="81">
        <f>IF(AN2930="","",IF(Q2930="Sin Factura",0,P2930-IFERROR(INDEX(Facturas_Odoo!$H:$H, MATCH(Q2930, Facturas_Odoo!$B:$B, 0)), 0)))</f>
        <v/>
      </c>
      <c r="AN2930" s="79">
        <f>IF(AND(A2930="", J2930=""), "", IF(A2930&lt;&gt;"", VALUE(MID(A2930,2,LEN(A2930))), AN2929))</f>
        <v/>
      </c>
      <c r="AO2930" s="79">
        <f>IF(AN2930="","",IF(AD2930=0,"OK",_xlfn.LET(monedaPago, IF(AA2930="","USD",AA2930), limitePermitido, IFERROR(VLOOKUP(monedaPago, Configuración!$A$2:$B$3, 2, FALSE), 0.15), IF(AD2930&gt;limitePermitido, "ALERTA: EXCESO (" &amp; TEXT(limitePermitido, "0%") &amp; " máx)", "OK"))))</f>
        <v/>
      </c>
      <c r="AP2930" s="79">
        <f>IF(AN2930="","",IF(AE2930=0,"OK",_xlfn.LET(fechaPago, Z2930, fechaFactura, R2930, diasCredito, IF(E2930="Pago inmediato", 0, IFERROR(VALUE(MID(E2930, 1, SEARCH(" ", E2930)-1)),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30" s="79">
        <f>IF(AN2930="","",IF(AND(N2930&gt;0, AG2930&gt;0), IF(Configuración!$K$2="NO", "ALERTA: DESCUENTO DOBLE NO PERMITIDO", "OK"), "OK"))</f>
        <v/>
      </c>
      <c r="AR2930" s="79">
        <f>IF(AN2930="","",IF(OR(AO2930&lt;&gt;"OK", AP2930&lt;&gt;"OK", AQ2930&lt;&gt;"OK"), "⚠️ REVISAR", "OK"))</f>
        <v/>
      </c>
    </row>
    <row r="2931">
      <c r="A2931" s="79">
        <f>IF('Ordenes_Odoo'!A2931="","",'Ordenes_Odoo'!A2931)</f>
        <v/>
      </c>
      <c r="B2931" s="80">
        <f>IF('Ordenes_Odoo'!B2931="","",'Ordenes_Odoo'!B2931)</f>
        <v/>
      </c>
      <c r="C2931" s="79">
        <f>IF('Ordenes_Odoo'!C2931="","",'Ordenes_Odoo'!C2931)</f>
        <v/>
      </c>
      <c r="D2931" s="79">
        <f>IF('Ordenes_Odoo'!D2931="","",'Ordenes_Odoo'!D2931)</f>
        <v/>
      </c>
      <c r="E2931" s="79">
        <f>IF('Ordenes_Odoo'!E2931="","",'Ordenes_Odoo'!E2931)</f>
        <v/>
      </c>
      <c r="F2931" s="79">
        <f>IF('Ordenes_Odoo'!F2931="","",'Ordenes_Odoo'!F2931)</f>
        <v/>
      </c>
      <c r="G2931" s="79">
        <f>IF('Ordenes_Odoo'!G2931="","",'Ordenes_Odoo'!G2931)</f>
        <v/>
      </c>
      <c r="H2931" s="79">
        <f>IF('Ordenes_Odoo'!H2931="","",'Ordenes_Odoo'!H2931)</f>
        <v/>
      </c>
      <c r="I2931" s="79">
        <f>IF('Ordenes_Odoo'!I2931="","",'Ordenes_Odoo'!I2931)</f>
        <v/>
      </c>
      <c r="J2931" s="79">
        <f>IF('Ordenes_Odoo'!J2931="","",'Ordenes_Odoo'!J2931)</f>
        <v/>
      </c>
      <c r="K2931" s="81">
        <f>IF('Ordenes_Odoo'!K2931="","",'Ordenes_Odoo'!K2931)</f>
        <v/>
      </c>
      <c r="L2931" s="81">
        <f>IF('Ordenes_Odoo'!L2931="","",'Ordenes_Odoo'!L2931)</f>
        <v/>
      </c>
      <c r="M2931" s="79">
        <f>IF('Ordenes_Odoo'!M2931="","",'Ordenes_Odoo'!M2931)</f>
        <v/>
      </c>
      <c r="N2931" s="79">
        <f>IF('Ordenes_Odoo'!N2931="","",'Ordenes_Odoo'!N2931)</f>
        <v/>
      </c>
      <c r="O2931" s="81">
        <f>IF('Ordenes_Odoo'!O2931="","",'Ordenes_Odoo'!O2931)</f>
        <v/>
      </c>
      <c r="P2931" s="81">
        <f>IF('Ordenes_Odoo'!P2931="","",'Ordenes_Odoo'!P2931)</f>
        <v/>
      </c>
      <c r="Q2931" s="79">
        <f>IF(A2931="","",IFERROR(INDEX(Facturas_Odoo!$B:$B, MATCH(A2931, Facturas_Odoo!$D:$D, 0)), "Sin Factura"))</f>
        <v/>
      </c>
      <c r="R2931" s="80">
        <f>IF(Q2931="Sin Factura","",IFERROR(INDEX(Facturas_Odoo!$A:$A, MATCH(Q2931, Facturas_Odoo!$B:$B, 0)), ""))</f>
        <v/>
      </c>
      <c r="S2931" s="79">
        <f>IF(Q2931="Sin Factura","",IFERROR(_xlfn.XLOOKUP(1, (Facturas_Odoo!$D:$D=A2931) * (Facturas_Odoo!$K:$K=I2931), Facturas_Odoo!$L:$L, ""), ""))</f>
        <v/>
      </c>
      <c r="T2931" s="81">
        <f>IF(Q2931="Sin Factura",0,IFERROR(_xlfn.XLOOKUP(1, (Facturas_Odoo!$D:$D=A2931) * (Facturas_Odoo!$K:$K=I2931), Facturas_Odoo!$M:$M, 0), 0))</f>
        <v/>
      </c>
      <c r="U2931" s="79">
        <f>IF(Q2931="Sin Factura",0,IFERROR(_xlfn.XLOOKUP(1, (Facturas_Odoo!$D:$D=A2931) * (Facturas_Odoo!$K:$K=I2931), Facturas_Odoo!$N:$N, 0), 0))</f>
        <v/>
      </c>
      <c r="V2931" s="79">
        <f>IF(Q2931="Sin Factura",0,IFERROR(_xlfn.XLOOKUP(1, (Facturas_Odoo!$D:$D=A2931) * (Facturas_Odoo!$K:$K=I2931), Facturas_Odoo!$O:$O, 0), 0))</f>
        <v/>
      </c>
      <c r="W2931" s="81">
        <f>IF(Q2931="Sin Factura",0,IFERROR(_xlfn.XLOOKUP(1, (Facturas_Odoo!$D:$D=A2931) * (Facturas_Odoo!$K:$K=I2931), Facturas_Odoo!$Q:$Q, 0), 0))</f>
        <v/>
      </c>
      <c r="X2931" s="79">
        <f>IF(OR(Q2931="Sin Factura",Q2931=""),"",IFERROR(INDEX(Pagos_Odoo!$B:$B, MATCH(Q2931, Pagos_Odoo!$I:$I, 0)), "Sin Pago"))</f>
        <v/>
      </c>
      <c r="Y2931" s="79">
        <f>IF(X2931="Sin Pago","",IFERROR(INDEX(Pagos_Odoo!$C:$C, MATCH(X2931, Pagos_Odoo!$B:$B, 0)), ""))</f>
        <v/>
      </c>
      <c r="Z2931" s="80">
        <f>IF(X2931="Sin Pago","",IFERROR(INDEX(Pagos_Odoo!$A:$A, MATCH(X2931, Pagos_Odoo!$B:$B, 0)), ""))</f>
        <v/>
      </c>
      <c r="AA2931" s="79">
        <f>IF(X2931="Sin Pago","",IFERROR(INDEX(Pagos_Odoo!$F:$F, MATCH(X2931, Pagos_Odoo!$B:$B, 0)), ""))</f>
        <v/>
      </c>
      <c r="AB2931" s="81">
        <f>IF(X2931="Sin Pago",0,IFERROR(INDEX(Pagos_Odoo!$E:$E, MATCH(X2931, Pagos_Odoo!$B:$B, 0)), 0))</f>
        <v/>
      </c>
      <c r="AC2931" s="79">
        <f>IF(X2931="Sin Pago","",IFERROR(INDEX(Pagos_Odoo!$G:$G, MATCH(X2931, Pagos_Odoo!$B:$B, 0)), ""))</f>
        <v/>
      </c>
      <c r="AD2931" s="82" t="n">
        <v>0</v>
      </c>
      <c r="AE2931" s="82" t="n"/>
      <c r="AF2931" s="82" t="n"/>
      <c r="AG2931" s="82">
        <f>IF(AN2931="","",AD2931+AE2931+AF2931)</f>
        <v/>
      </c>
      <c r="AH2931" s="81">
        <f>IF(AN2931="","",P2931*(1-AG2931))</f>
        <v/>
      </c>
      <c r="AI2931" s="81">
        <f>IF(AN2931="","",IF(Q2931="Sin Factura",0,IFERROR(INDEX(Facturas_Odoo!$H:$H, MATCH(Q2931, Facturas_Odoo!$B:$B, 0)), 0)*(1-AG2931)))</f>
        <v/>
      </c>
      <c r="AJ2931" s="81">
        <f>IF(AN2931="","",_xlfn.LET(idVenta, AN2931&amp;"",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31" s="81">
        <f>IF(AN2931="","",AH2931-AJ2931)</f>
        <v/>
      </c>
      <c r="AL2931" s="81">
        <f>IF(AN2931="","",IF(Q2931="Sin Factura","",AI2931-AJ2931))</f>
        <v/>
      </c>
      <c r="AM2931" s="81">
        <f>IF(AN2931="","",IF(Q2931="Sin Factura",0,P2931-IFERROR(INDEX(Facturas_Odoo!$H:$H, MATCH(Q2931, Facturas_Odoo!$B:$B, 0)), 0)))</f>
        <v/>
      </c>
      <c r="AN2931" s="79">
        <f>IF(AND(A2931="", J2931=""), "", IF(A2931&lt;&gt;"", VALUE(MID(A2931,2,LEN(A2931))), AN2930))</f>
        <v/>
      </c>
      <c r="AO2931" s="79">
        <f>IF(AN2931="","",IF(AD2931=0,"OK",_xlfn.LET(monedaPago, IF(AA2931="","USD",AA2931), limitePermitido, IFERROR(VLOOKUP(monedaPago, Configuración!$A$2:$B$3, 2, FALSE), 0.15), IF(AD2931&gt;limitePermitido, "ALERTA: EXCESO (" &amp; TEXT(limitePermitido, "0%") &amp; " máx)", "OK"))))</f>
        <v/>
      </c>
      <c r="AP2931" s="79">
        <f>IF(AN2931="","",IF(AE2931=0,"OK",_xlfn.LET(fechaPago, Z2931, fechaFactura, R2931, diasCredito, IF(E2931="Pago inmediato", 0, IFERROR(VALUE(MID(E2931, 1, SEARCH(" ", E2931)-1)),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31" s="79">
        <f>IF(AN2931="","",IF(AND(N2931&gt;0, AG2931&gt;0), IF(Configuración!$K$2="NO", "ALERTA: DESCUENTO DOBLE NO PERMITIDO", "OK"), "OK"))</f>
        <v/>
      </c>
      <c r="AR2931" s="79">
        <f>IF(AN2931="","",IF(OR(AO2931&lt;&gt;"OK", AP2931&lt;&gt;"OK", AQ2931&lt;&gt;"OK"), "⚠️ REVISAR", "OK"))</f>
        <v/>
      </c>
    </row>
    <row r="2932">
      <c r="A2932" s="79">
        <f>IF('Ordenes_Odoo'!A2932="","",'Ordenes_Odoo'!A2932)</f>
        <v/>
      </c>
      <c r="B2932" s="80">
        <f>IF('Ordenes_Odoo'!B2932="","",'Ordenes_Odoo'!B2932)</f>
        <v/>
      </c>
      <c r="C2932" s="79">
        <f>IF('Ordenes_Odoo'!C2932="","",'Ordenes_Odoo'!C2932)</f>
        <v/>
      </c>
      <c r="D2932" s="79">
        <f>IF('Ordenes_Odoo'!D2932="","",'Ordenes_Odoo'!D2932)</f>
        <v/>
      </c>
      <c r="E2932" s="79">
        <f>IF('Ordenes_Odoo'!E2932="","",'Ordenes_Odoo'!E2932)</f>
        <v/>
      </c>
      <c r="F2932" s="79">
        <f>IF('Ordenes_Odoo'!F2932="","",'Ordenes_Odoo'!F2932)</f>
        <v/>
      </c>
      <c r="G2932" s="79">
        <f>IF('Ordenes_Odoo'!G2932="","",'Ordenes_Odoo'!G2932)</f>
        <v/>
      </c>
      <c r="H2932" s="79">
        <f>IF('Ordenes_Odoo'!H2932="","",'Ordenes_Odoo'!H2932)</f>
        <v/>
      </c>
      <c r="I2932" s="79">
        <f>IF('Ordenes_Odoo'!I2932="","",'Ordenes_Odoo'!I2932)</f>
        <v/>
      </c>
      <c r="J2932" s="79">
        <f>IF('Ordenes_Odoo'!J2932="","",'Ordenes_Odoo'!J2932)</f>
        <v/>
      </c>
      <c r="K2932" s="81">
        <f>IF('Ordenes_Odoo'!K2932="","",'Ordenes_Odoo'!K2932)</f>
        <v/>
      </c>
      <c r="L2932" s="81">
        <f>IF('Ordenes_Odoo'!L2932="","",'Ordenes_Odoo'!L2932)</f>
        <v/>
      </c>
      <c r="M2932" s="79">
        <f>IF('Ordenes_Odoo'!M2932="","",'Ordenes_Odoo'!M2932)</f>
        <v/>
      </c>
      <c r="N2932" s="79">
        <f>IF('Ordenes_Odoo'!N2932="","",'Ordenes_Odoo'!N2932)</f>
        <v/>
      </c>
      <c r="O2932" s="81">
        <f>IF('Ordenes_Odoo'!O2932="","",'Ordenes_Odoo'!O2932)</f>
        <v/>
      </c>
      <c r="P2932" s="81">
        <f>IF('Ordenes_Odoo'!P2932="","",'Ordenes_Odoo'!P2932)</f>
        <v/>
      </c>
      <c r="Q2932" s="79">
        <f>IF(A2932="","",IFERROR(INDEX(Facturas_Odoo!$B:$B, MATCH(A2932, Facturas_Odoo!$D:$D, 0)), "Sin Factura"))</f>
        <v/>
      </c>
      <c r="R2932" s="80">
        <f>IF(Q2932="Sin Factura","",IFERROR(INDEX(Facturas_Odoo!$A:$A, MATCH(Q2932, Facturas_Odoo!$B:$B, 0)), ""))</f>
        <v/>
      </c>
      <c r="S2932" s="79">
        <f>IF(Q2932="Sin Factura","",IFERROR(_xlfn.XLOOKUP(1, (Facturas_Odoo!$D:$D=A2932) * (Facturas_Odoo!$K:$K=I2932), Facturas_Odoo!$L:$L, ""), ""))</f>
        <v/>
      </c>
      <c r="T2932" s="81">
        <f>IF(Q2932="Sin Factura",0,IFERROR(_xlfn.XLOOKUP(1, (Facturas_Odoo!$D:$D=A2932) * (Facturas_Odoo!$K:$K=I2932), Facturas_Odoo!$M:$M, 0), 0))</f>
        <v/>
      </c>
      <c r="U2932" s="79">
        <f>IF(Q2932="Sin Factura",0,IFERROR(_xlfn.XLOOKUP(1, (Facturas_Odoo!$D:$D=A2932) * (Facturas_Odoo!$K:$K=I2932), Facturas_Odoo!$N:$N, 0), 0))</f>
        <v/>
      </c>
      <c r="V2932" s="79">
        <f>IF(Q2932="Sin Factura",0,IFERROR(_xlfn.XLOOKUP(1, (Facturas_Odoo!$D:$D=A2932) * (Facturas_Odoo!$K:$K=I2932), Facturas_Odoo!$O:$O, 0), 0))</f>
        <v/>
      </c>
      <c r="W2932" s="81">
        <f>IF(Q2932="Sin Factura",0,IFERROR(_xlfn.XLOOKUP(1, (Facturas_Odoo!$D:$D=A2932) * (Facturas_Odoo!$K:$K=I2932), Facturas_Odoo!$Q:$Q, 0), 0))</f>
        <v/>
      </c>
      <c r="X2932" s="79">
        <f>IF(OR(Q2932="Sin Factura",Q2932=""),"",IFERROR(INDEX(Pagos_Odoo!$B:$B, MATCH(Q2932, Pagos_Odoo!$I:$I, 0)), "Sin Pago"))</f>
        <v/>
      </c>
      <c r="Y2932" s="79">
        <f>IF(X2932="Sin Pago","",IFERROR(INDEX(Pagos_Odoo!$C:$C, MATCH(X2932, Pagos_Odoo!$B:$B, 0)), ""))</f>
        <v/>
      </c>
      <c r="Z2932" s="80">
        <f>IF(X2932="Sin Pago","",IFERROR(INDEX(Pagos_Odoo!$A:$A, MATCH(X2932, Pagos_Odoo!$B:$B, 0)), ""))</f>
        <v/>
      </c>
      <c r="AA2932" s="79">
        <f>IF(X2932="Sin Pago","",IFERROR(INDEX(Pagos_Odoo!$F:$F, MATCH(X2932, Pagos_Odoo!$B:$B, 0)), ""))</f>
        <v/>
      </c>
      <c r="AB2932" s="81">
        <f>IF(X2932="Sin Pago",0,IFERROR(INDEX(Pagos_Odoo!$E:$E, MATCH(X2932, Pagos_Odoo!$B:$B, 0)), 0))</f>
        <v/>
      </c>
      <c r="AC2932" s="79">
        <f>IF(X2932="Sin Pago","",IFERROR(INDEX(Pagos_Odoo!$G:$G, MATCH(X2932, Pagos_Odoo!$B:$B, 0)), ""))</f>
        <v/>
      </c>
      <c r="AD2932" s="82" t="n">
        <v>0</v>
      </c>
      <c r="AE2932" s="82" t="n"/>
      <c r="AF2932" s="82" t="n"/>
      <c r="AG2932" s="82">
        <f>IF(AN2932="","",AD2932+AE2932+AF2932)</f>
        <v/>
      </c>
      <c r="AH2932" s="81">
        <f>IF(AN2932="","",P2932*(1-AG2932))</f>
        <v/>
      </c>
      <c r="AI2932" s="81">
        <f>IF(AN2932="","",IF(Q2932="Sin Factura",0,IFERROR(INDEX(Facturas_Odoo!$H:$H, MATCH(Q2932, Facturas_Odoo!$B:$B, 0)), 0)*(1-AG2932)))</f>
        <v/>
      </c>
      <c r="AJ2932" s="81">
        <f>IF(AN2932="","",_xlfn.LET(idVenta, AN2932&amp;"",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32" s="81">
        <f>IF(AN2932="","",AH2932-AJ2932)</f>
        <v/>
      </c>
      <c r="AL2932" s="81">
        <f>IF(AN2932="","",IF(Q2932="Sin Factura","",AI2932-AJ2932))</f>
        <v/>
      </c>
      <c r="AM2932" s="81">
        <f>IF(AN2932="","",IF(Q2932="Sin Factura",0,P2932-IFERROR(INDEX(Facturas_Odoo!$H:$H, MATCH(Q2932, Facturas_Odoo!$B:$B, 0)), 0)))</f>
        <v/>
      </c>
      <c r="AN2932" s="79">
        <f>IF(AND(A2932="", J2932=""), "", IF(A2932&lt;&gt;"", VALUE(MID(A2932,2,LEN(A2932))), AN2931))</f>
        <v/>
      </c>
      <c r="AO2932" s="79">
        <f>IF(AN2932="","",IF(AD2932=0,"OK",_xlfn.LET(monedaPago, IF(AA2932="","USD",AA2932), limitePermitido, IFERROR(VLOOKUP(monedaPago, Configuración!$A$2:$B$3, 2, FALSE), 0.15), IF(AD2932&gt;limitePermitido, "ALERTA: EXCESO (" &amp; TEXT(limitePermitido, "0%") &amp; " máx)", "OK"))))</f>
        <v/>
      </c>
      <c r="AP2932" s="79">
        <f>IF(AN2932="","",IF(AE2932=0,"OK",_xlfn.LET(fechaPago, Z2932, fechaFactura, R2932, diasCredito, IF(E2932="Pago inmediato", 0, IFERROR(VALUE(MID(E2932, 1, SEARCH(" ", E2932)-1)),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32" s="79">
        <f>IF(AN2932="","",IF(AND(N2932&gt;0, AG2932&gt;0), IF(Configuración!$K$2="NO", "ALERTA: DESCUENTO DOBLE NO PERMITIDO", "OK"), "OK"))</f>
        <v/>
      </c>
      <c r="AR2932" s="79">
        <f>IF(AN2932="","",IF(OR(AO2932&lt;&gt;"OK", AP2932&lt;&gt;"OK", AQ2932&lt;&gt;"OK"), "⚠️ REVISAR", "OK"))</f>
        <v/>
      </c>
    </row>
    <row r="2933">
      <c r="A2933" s="79">
        <f>IF('Ordenes_Odoo'!A2933="","",'Ordenes_Odoo'!A2933)</f>
        <v/>
      </c>
      <c r="B2933" s="80">
        <f>IF('Ordenes_Odoo'!B2933="","",'Ordenes_Odoo'!B2933)</f>
        <v/>
      </c>
      <c r="C2933" s="79">
        <f>IF('Ordenes_Odoo'!C2933="","",'Ordenes_Odoo'!C2933)</f>
        <v/>
      </c>
      <c r="D2933" s="79">
        <f>IF('Ordenes_Odoo'!D2933="","",'Ordenes_Odoo'!D2933)</f>
        <v/>
      </c>
      <c r="E2933" s="79">
        <f>IF('Ordenes_Odoo'!E2933="","",'Ordenes_Odoo'!E2933)</f>
        <v/>
      </c>
      <c r="F2933" s="79">
        <f>IF('Ordenes_Odoo'!F2933="","",'Ordenes_Odoo'!F2933)</f>
        <v/>
      </c>
      <c r="G2933" s="79">
        <f>IF('Ordenes_Odoo'!G2933="","",'Ordenes_Odoo'!G2933)</f>
        <v/>
      </c>
      <c r="H2933" s="79">
        <f>IF('Ordenes_Odoo'!H2933="","",'Ordenes_Odoo'!H2933)</f>
        <v/>
      </c>
      <c r="I2933" s="79">
        <f>IF('Ordenes_Odoo'!I2933="","",'Ordenes_Odoo'!I2933)</f>
        <v/>
      </c>
      <c r="J2933" s="79">
        <f>IF('Ordenes_Odoo'!J2933="","",'Ordenes_Odoo'!J2933)</f>
        <v/>
      </c>
      <c r="K2933" s="81">
        <f>IF('Ordenes_Odoo'!K2933="","",'Ordenes_Odoo'!K2933)</f>
        <v/>
      </c>
      <c r="L2933" s="81">
        <f>IF('Ordenes_Odoo'!L2933="","",'Ordenes_Odoo'!L2933)</f>
        <v/>
      </c>
      <c r="M2933" s="79">
        <f>IF('Ordenes_Odoo'!M2933="","",'Ordenes_Odoo'!M2933)</f>
        <v/>
      </c>
      <c r="N2933" s="79">
        <f>IF('Ordenes_Odoo'!N2933="","",'Ordenes_Odoo'!N2933)</f>
        <v/>
      </c>
      <c r="O2933" s="81">
        <f>IF('Ordenes_Odoo'!O2933="","",'Ordenes_Odoo'!O2933)</f>
        <v/>
      </c>
      <c r="P2933" s="81">
        <f>IF('Ordenes_Odoo'!P2933="","",'Ordenes_Odoo'!P2933)</f>
        <v/>
      </c>
      <c r="Q2933" s="79">
        <f>IF(A2933="","",IFERROR(INDEX(Facturas_Odoo!$B:$B, MATCH(A2933, Facturas_Odoo!$D:$D, 0)), "Sin Factura"))</f>
        <v/>
      </c>
      <c r="R2933" s="80">
        <f>IF(Q2933="Sin Factura","",IFERROR(INDEX(Facturas_Odoo!$A:$A, MATCH(Q2933, Facturas_Odoo!$B:$B, 0)), ""))</f>
        <v/>
      </c>
      <c r="S2933" s="79">
        <f>IF(Q2933="Sin Factura","",IFERROR(_xlfn.XLOOKUP(1, (Facturas_Odoo!$D:$D=A2933) * (Facturas_Odoo!$K:$K=I2933), Facturas_Odoo!$L:$L, ""), ""))</f>
        <v/>
      </c>
      <c r="T2933" s="81">
        <f>IF(Q2933="Sin Factura",0,IFERROR(_xlfn.XLOOKUP(1, (Facturas_Odoo!$D:$D=A2933) * (Facturas_Odoo!$K:$K=I2933), Facturas_Odoo!$M:$M, 0), 0))</f>
        <v/>
      </c>
      <c r="U2933" s="79">
        <f>IF(Q2933="Sin Factura",0,IFERROR(_xlfn.XLOOKUP(1, (Facturas_Odoo!$D:$D=A2933) * (Facturas_Odoo!$K:$K=I2933), Facturas_Odoo!$N:$N, 0), 0))</f>
        <v/>
      </c>
      <c r="V2933" s="79">
        <f>IF(Q2933="Sin Factura",0,IFERROR(_xlfn.XLOOKUP(1, (Facturas_Odoo!$D:$D=A2933) * (Facturas_Odoo!$K:$K=I2933), Facturas_Odoo!$O:$O, 0), 0))</f>
        <v/>
      </c>
      <c r="W2933" s="81">
        <f>IF(Q2933="Sin Factura",0,IFERROR(_xlfn.XLOOKUP(1, (Facturas_Odoo!$D:$D=A2933) * (Facturas_Odoo!$K:$K=I2933), Facturas_Odoo!$Q:$Q, 0), 0))</f>
        <v/>
      </c>
      <c r="X2933" s="79">
        <f>IF(OR(Q2933="Sin Factura",Q2933=""),"",IFERROR(INDEX(Pagos_Odoo!$B:$B, MATCH(Q2933, Pagos_Odoo!$I:$I, 0)), "Sin Pago"))</f>
        <v/>
      </c>
      <c r="Y2933" s="79">
        <f>IF(X2933="Sin Pago","",IFERROR(INDEX(Pagos_Odoo!$C:$C, MATCH(X2933, Pagos_Odoo!$B:$B, 0)), ""))</f>
        <v/>
      </c>
      <c r="Z2933" s="80">
        <f>IF(X2933="Sin Pago","",IFERROR(INDEX(Pagos_Odoo!$A:$A, MATCH(X2933, Pagos_Odoo!$B:$B, 0)), ""))</f>
        <v/>
      </c>
      <c r="AA2933" s="79">
        <f>IF(X2933="Sin Pago","",IFERROR(INDEX(Pagos_Odoo!$F:$F, MATCH(X2933, Pagos_Odoo!$B:$B, 0)), ""))</f>
        <v/>
      </c>
      <c r="AB2933" s="81">
        <f>IF(X2933="Sin Pago",0,IFERROR(INDEX(Pagos_Odoo!$E:$E, MATCH(X2933, Pagos_Odoo!$B:$B, 0)), 0))</f>
        <v/>
      </c>
      <c r="AC2933" s="79">
        <f>IF(X2933="Sin Pago","",IFERROR(INDEX(Pagos_Odoo!$G:$G, MATCH(X2933, Pagos_Odoo!$B:$B, 0)), ""))</f>
        <v/>
      </c>
      <c r="AD2933" s="82" t="n">
        <v>0</v>
      </c>
      <c r="AE2933" s="82" t="n"/>
      <c r="AF2933" s="82" t="n"/>
      <c r="AG2933" s="82">
        <f>IF(AN2933="","",AD2933+AE2933+AF2933)</f>
        <v/>
      </c>
      <c r="AH2933" s="81">
        <f>IF(AN2933="","",P2933*(1-AG2933))</f>
        <v/>
      </c>
      <c r="AI2933" s="81">
        <f>IF(AN2933="","",IF(Q2933="Sin Factura",0,IFERROR(INDEX(Facturas_Odoo!$H:$H, MATCH(Q2933, Facturas_Odoo!$B:$B, 0)), 0)*(1-AG2933)))</f>
        <v/>
      </c>
      <c r="AJ2933" s="81">
        <f>IF(AN2933="","",_xlfn.LET(idVenta, AN2933&amp;"",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33" s="81">
        <f>IF(AN2933="","",AH2933-AJ2933)</f>
        <v/>
      </c>
      <c r="AL2933" s="81">
        <f>IF(AN2933="","",IF(Q2933="Sin Factura","",AI2933-AJ2933))</f>
        <v/>
      </c>
      <c r="AM2933" s="81">
        <f>IF(AN2933="","",IF(Q2933="Sin Factura",0,P2933-IFERROR(INDEX(Facturas_Odoo!$H:$H, MATCH(Q2933, Facturas_Odoo!$B:$B, 0)), 0)))</f>
        <v/>
      </c>
      <c r="AN2933" s="79">
        <f>IF(AND(A2933="", J2933=""), "", IF(A2933&lt;&gt;"", VALUE(MID(A2933,2,LEN(A2933))), AN2932))</f>
        <v/>
      </c>
      <c r="AO2933" s="79">
        <f>IF(AN2933="","",IF(AD2933=0,"OK",_xlfn.LET(monedaPago, IF(AA2933="","USD",AA2933), limitePermitido, IFERROR(VLOOKUP(monedaPago, Configuración!$A$2:$B$3, 2, FALSE), 0.15), IF(AD2933&gt;limitePermitido, "ALERTA: EXCESO (" &amp; TEXT(limitePermitido, "0%") &amp; " máx)", "OK"))))</f>
        <v/>
      </c>
      <c r="AP2933" s="79">
        <f>IF(AN2933="","",IF(AE2933=0,"OK",_xlfn.LET(fechaPago, Z2933, fechaFactura, R2933, diasCredito, IF(E2933="Pago inmediato", 0, IFERROR(VALUE(MID(E2933, 1, SEARCH(" ", E2933)-1)),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33" s="79">
        <f>IF(AN2933="","",IF(AND(N2933&gt;0, AG2933&gt;0), IF(Configuración!$K$2="NO", "ALERTA: DESCUENTO DOBLE NO PERMITIDO", "OK"), "OK"))</f>
        <v/>
      </c>
      <c r="AR2933" s="79">
        <f>IF(AN2933="","",IF(OR(AO2933&lt;&gt;"OK", AP2933&lt;&gt;"OK", AQ2933&lt;&gt;"OK"), "⚠️ REVISAR", "OK"))</f>
        <v/>
      </c>
    </row>
    <row r="2934">
      <c r="A2934" s="79">
        <f>IF('Ordenes_Odoo'!A2934="","",'Ordenes_Odoo'!A2934)</f>
        <v/>
      </c>
      <c r="B2934" s="80">
        <f>IF('Ordenes_Odoo'!B2934="","",'Ordenes_Odoo'!B2934)</f>
        <v/>
      </c>
      <c r="C2934" s="79">
        <f>IF('Ordenes_Odoo'!C2934="","",'Ordenes_Odoo'!C2934)</f>
        <v/>
      </c>
      <c r="D2934" s="79">
        <f>IF('Ordenes_Odoo'!D2934="","",'Ordenes_Odoo'!D2934)</f>
        <v/>
      </c>
      <c r="E2934" s="79">
        <f>IF('Ordenes_Odoo'!E2934="","",'Ordenes_Odoo'!E2934)</f>
        <v/>
      </c>
      <c r="F2934" s="79">
        <f>IF('Ordenes_Odoo'!F2934="","",'Ordenes_Odoo'!F2934)</f>
        <v/>
      </c>
      <c r="G2934" s="79">
        <f>IF('Ordenes_Odoo'!G2934="","",'Ordenes_Odoo'!G2934)</f>
        <v/>
      </c>
      <c r="H2934" s="79">
        <f>IF('Ordenes_Odoo'!H2934="","",'Ordenes_Odoo'!H2934)</f>
        <v/>
      </c>
      <c r="I2934" s="79">
        <f>IF('Ordenes_Odoo'!I2934="","",'Ordenes_Odoo'!I2934)</f>
        <v/>
      </c>
      <c r="J2934" s="79">
        <f>IF('Ordenes_Odoo'!J2934="","",'Ordenes_Odoo'!J2934)</f>
        <v/>
      </c>
      <c r="K2934" s="81">
        <f>IF('Ordenes_Odoo'!K2934="","",'Ordenes_Odoo'!K2934)</f>
        <v/>
      </c>
      <c r="L2934" s="81">
        <f>IF('Ordenes_Odoo'!L2934="","",'Ordenes_Odoo'!L2934)</f>
        <v/>
      </c>
      <c r="M2934" s="79">
        <f>IF('Ordenes_Odoo'!M2934="","",'Ordenes_Odoo'!M2934)</f>
        <v/>
      </c>
      <c r="N2934" s="79">
        <f>IF('Ordenes_Odoo'!N2934="","",'Ordenes_Odoo'!N2934)</f>
        <v/>
      </c>
      <c r="O2934" s="81">
        <f>IF('Ordenes_Odoo'!O2934="","",'Ordenes_Odoo'!O2934)</f>
        <v/>
      </c>
      <c r="P2934" s="81">
        <f>IF('Ordenes_Odoo'!P2934="","",'Ordenes_Odoo'!P2934)</f>
        <v/>
      </c>
      <c r="Q2934" s="79">
        <f>IF(A2934="","",IFERROR(INDEX(Facturas_Odoo!$B:$B, MATCH(A2934, Facturas_Odoo!$D:$D, 0)), "Sin Factura"))</f>
        <v/>
      </c>
      <c r="R2934" s="80">
        <f>IF(Q2934="Sin Factura","",IFERROR(INDEX(Facturas_Odoo!$A:$A, MATCH(Q2934, Facturas_Odoo!$B:$B, 0)), ""))</f>
        <v/>
      </c>
      <c r="S2934" s="79">
        <f>IF(Q2934="Sin Factura","",IFERROR(_xlfn.XLOOKUP(1, (Facturas_Odoo!$D:$D=A2934) * (Facturas_Odoo!$K:$K=I2934), Facturas_Odoo!$L:$L, ""), ""))</f>
        <v/>
      </c>
      <c r="T2934" s="81">
        <f>IF(Q2934="Sin Factura",0,IFERROR(_xlfn.XLOOKUP(1, (Facturas_Odoo!$D:$D=A2934) * (Facturas_Odoo!$K:$K=I2934), Facturas_Odoo!$M:$M, 0), 0))</f>
        <v/>
      </c>
      <c r="U2934" s="79">
        <f>IF(Q2934="Sin Factura",0,IFERROR(_xlfn.XLOOKUP(1, (Facturas_Odoo!$D:$D=A2934) * (Facturas_Odoo!$K:$K=I2934), Facturas_Odoo!$N:$N, 0), 0))</f>
        <v/>
      </c>
      <c r="V2934" s="79">
        <f>IF(Q2934="Sin Factura",0,IFERROR(_xlfn.XLOOKUP(1, (Facturas_Odoo!$D:$D=A2934) * (Facturas_Odoo!$K:$K=I2934), Facturas_Odoo!$O:$O, 0), 0))</f>
        <v/>
      </c>
      <c r="W2934" s="81">
        <f>IF(Q2934="Sin Factura",0,IFERROR(_xlfn.XLOOKUP(1, (Facturas_Odoo!$D:$D=A2934) * (Facturas_Odoo!$K:$K=I2934), Facturas_Odoo!$Q:$Q, 0), 0))</f>
        <v/>
      </c>
      <c r="X2934" s="79">
        <f>IF(OR(Q2934="Sin Factura",Q2934=""),"",IFERROR(INDEX(Pagos_Odoo!$B:$B, MATCH(Q2934, Pagos_Odoo!$I:$I, 0)), "Sin Pago"))</f>
        <v/>
      </c>
      <c r="Y2934" s="79">
        <f>IF(X2934="Sin Pago","",IFERROR(INDEX(Pagos_Odoo!$C:$C, MATCH(X2934, Pagos_Odoo!$B:$B, 0)), ""))</f>
        <v/>
      </c>
      <c r="Z2934" s="80">
        <f>IF(X2934="Sin Pago","",IFERROR(INDEX(Pagos_Odoo!$A:$A, MATCH(X2934, Pagos_Odoo!$B:$B, 0)), ""))</f>
        <v/>
      </c>
      <c r="AA2934" s="79">
        <f>IF(X2934="Sin Pago","",IFERROR(INDEX(Pagos_Odoo!$F:$F, MATCH(X2934, Pagos_Odoo!$B:$B, 0)), ""))</f>
        <v/>
      </c>
      <c r="AB2934" s="81">
        <f>IF(X2934="Sin Pago",0,IFERROR(INDEX(Pagos_Odoo!$E:$E, MATCH(X2934, Pagos_Odoo!$B:$B, 0)), 0))</f>
        <v/>
      </c>
      <c r="AC2934" s="79">
        <f>IF(X2934="Sin Pago","",IFERROR(INDEX(Pagos_Odoo!$G:$G, MATCH(X2934, Pagos_Odoo!$B:$B, 0)), ""))</f>
        <v/>
      </c>
      <c r="AD2934" s="82" t="n">
        <v>0</v>
      </c>
      <c r="AE2934" s="82" t="n"/>
      <c r="AF2934" s="82" t="n"/>
      <c r="AG2934" s="82">
        <f>IF(AN2934="","",AD2934+AE2934+AF2934)</f>
        <v/>
      </c>
      <c r="AH2934" s="81">
        <f>IF(AN2934="","",P2934*(1-AG2934))</f>
        <v/>
      </c>
      <c r="AI2934" s="81">
        <f>IF(AN2934="","",IF(Q2934="Sin Factura",0,IFERROR(INDEX(Facturas_Odoo!$H:$H, MATCH(Q2934, Facturas_Odoo!$B:$B, 0)), 0)*(1-AG2934)))</f>
        <v/>
      </c>
      <c r="AJ2934" s="81">
        <f>IF(AN2934="","",_xlfn.LET(idVenta, AN2934&amp;"",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34" s="81">
        <f>IF(AN2934="","",AH2934-AJ2934)</f>
        <v/>
      </c>
      <c r="AL2934" s="81">
        <f>IF(AN2934="","",IF(Q2934="Sin Factura","",AI2934-AJ2934))</f>
        <v/>
      </c>
      <c r="AM2934" s="81">
        <f>IF(AN2934="","",IF(Q2934="Sin Factura",0,P2934-IFERROR(INDEX(Facturas_Odoo!$H:$H, MATCH(Q2934, Facturas_Odoo!$B:$B, 0)), 0)))</f>
        <v/>
      </c>
      <c r="AN2934" s="79">
        <f>IF(AND(A2934="", J2934=""), "", IF(A2934&lt;&gt;"", VALUE(MID(A2934,2,LEN(A2934))), AN2933))</f>
        <v/>
      </c>
      <c r="AO2934" s="79">
        <f>IF(AN2934="","",IF(AD2934=0,"OK",_xlfn.LET(monedaPago, IF(AA2934="","USD",AA2934), limitePermitido, IFERROR(VLOOKUP(monedaPago, Configuración!$A$2:$B$3, 2, FALSE), 0.15), IF(AD2934&gt;limitePermitido, "ALERTA: EXCESO (" &amp; TEXT(limitePermitido, "0%") &amp; " máx)", "OK"))))</f>
        <v/>
      </c>
      <c r="AP2934" s="79">
        <f>IF(AN2934="","",IF(AE2934=0,"OK",_xlfn.LET(fechaPago, Z2934, fechaFactura, R2934, diasCredito, IF(E2934="Pago inmediato", 0, IFERROR(VALUE(MID(E2934, 1, SEARCH(" ", E2934)-1)),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34" s="79">
        <f>IF(AN2934="","",IF(AND(N2934&gt;0, AG2934&gt;0), IF(Configuración!$K$2="NO", "ALERTA: DESCUENTO DOBLE NO PERMITIDO", "OK"), "OK"))</f>
        <v/>
      </c>
      <c r="AR2934" s="79">
        <f>IF(AN2934="","",IF(OR(AO2934&lt;&gt;"OK", AP2934&lt;&gt;"OK", AQ2934&lt;&gt;"OK"), "⚠️ REVISAR", "OK"))</f>
        <v/>
      </c>
    </row>
    <row r="2935">
      <c r="A2935" s="79">
        <f>IF('Ordenes_Odoo'!A2935="","",'Ordenes_Odoo'!A2935)</f>
        <v/>
      </c>
      <c r="B2935" s="80">
        <f>IF('Ordenes_Odoo'!B2935="","",'Ordenes_Odoo'!B2935)</f>
        <v/>
      </c>
      <c r="C2935" s="79">
        <f>IF('Ordenes_Odoo'!C2935="","",'Ordenes_Odoo'!C2935)</f>
        <v/>
      </c>
      <c r="D2935" s="79">
        <f>IF('Ordenes_Odoo'!D2935="","",'Ordenes_Odoo'!D2935)</f>
        <v/>
      </c>
      <c r="E2935" s="79">
        <f>IF('Ordenes_Odoo'!E2935="","",'Ordenes_Odoo'!E2935)</f>
        <v/>
      </c>
      <c r="F2935" s="79">
        <f>IF('Ordenes_Odoo'!F2935="","",'Ordenes_Odoo'!F2935)</f>
        <v/>
      </c>
      <c r="G2935" s="79">
        <f>IF('Ordenes_Odoo'!G2935="","",'Ordenes_Odoo'!G2935)</f>
        <v/>
      </c>
      <c r="H2935" s="79">
        <f>IF('Ordenes_Odoo'!H2935="","",'Ordenes_Odoo'!H2935)</f>
        <v/>
      </c>
      <c r="I2935" s="79">
        <f>IF('Ordenes_Odoo'!I2935="","",'Ordenes_Odoo'!I2935)</f>
        <v/>
      </c>
      <c r="J2935" s="79">
        <f>IF('Ordenes_Odoo'!J2935="","",'Ordenes_Odoo'!J2935)</f>
        <v/>
      </c>
      <c r="K2935" s="81">
        <f>IF('Ordenes_Odoo'!K2935="","",'Ordenes_Odoo'!K2935)</f>
        <v/>
      </c>
      <c r="L2935" s="81">
        <f>IF('Ordenes_Odoo'!L2935="","",'Ordenes_Odoo'!L2935)</f>
        <v/>
      </c>
      <c r="M2935" s="79">
        <f>IF('Ordenes_Odoo'!M2935="","",'Ordenes_Odoo'!M2935)</f>
        <v/>
      </c>
      <c r="N2935" s="79">
        <f>IF('Ordenes_Odoo'!N2935="","",'Ordenes_Odoo'!N2935)</f>
        <v/>
      </c>
      <c r="O2935" s="81">
        <f>IF('Ordenes_Odoo'!O2935="","",'Ordenes_Odoo'!O2935)</f>
        <v/>
      </c>
      <c r="P2935" s="81">
        <f>IF('Ordenes_Odoo'!P2935="","",'Ordenes_Odoo'!P2935)</f>
        <v/>
      </c>
      <c r="Q2935" s="79">
        <f>IF(A2935="","",IFERROR(INDEX(Facturas_Odoo!$B:$B, MATCH(A2935, Facturas_Odoo!$D:$D, 0)), "Sin Factura"))</f>
        <v/>
      </c>
      <c r="R2935" s="80">
        <f>IF(Q2935="Sin Factura","",IFERROR(INDEX(Facturas_Odoo!$A:$A, MATCH(Q2935, Facturas_Odoo!$B:$B, 0)), ""))</f>
        <v/>
      </c>
      <c r="S2935" s="79">
        <f>IF(Q2935="Sin Factura","",IFERROR(_xlfn.XLOOKUP(1, (Facturas_Odoo!$D:$D=A2935) * (Facturas_Odoo!$K:$K=I2935), Facturas_Odoo!$L:$L, ""), ""))</f>
        <v/>
      </c>
      <c r="T2935" s="81">
        <f>IF(Q2935="Sin Factura",0,IFERROR(_xlfn.XLOOKUP(1, (Facturas_Odoo!$D:$D=A2935) * (Facturas_Odoo!$K:$K=I2935), Facturas_Odoo!$M:$M, 0), 0))</f>
        <v/>
      </c>
      <c r="U2935" s="79">
        <f>IF(Q2935="Sin Factura",0,IFERROR(_xlfn.XLOOKUP(1, (Facturas_Odoo!$D:$D=A2935) * (Facturas_Odoo!$K:$K=I2935), Facturas_Odoo!$N:$N, 0), 0))</f>
        <v/>
      </c>
      <c r="V2935" s="79">
        <f>IF(Q2935="Sin Factura",0,IFERROR(_xlfn.XLOOKUP(1, (Facturas_Odoo!$D:$D=A2935) * (Facturas_Odoo!$K:$K=I2935), Facturas_Odoo!$O:$O, 0), 0))</f>
        <v/>
      </c>
      <c r="W2935" s="81">
        <f>IF(Q2935="Sin Factura",0,IFERROR(_xlfn.XLOOKUP(1, (Facturas_Odoo!$D:$D=A2935) * (Facturas_Odoo!$K:$K=I2935), Facturas_Odoo!$Q:$Q, 0), 0))</f>
        <v/>
      </c>
      <c r="X2935" s="79">
        <f>IF(OR(Q2935="Sin Factura",Q2935=""),"",IFERROR(INDEX(Pagos_Odoo!$B:$B, MATCH(Q2935, Pagos_Odoo!$I:$I, 0)), "Sin Pago"))</f>
        <v/>
      </c>
      <c r="Y2935" s="79">
        <f>IF(X2935="Sin Pago","",IFERROR(INDEX(Pagos_Odoo!$C:$C, MATCH(X2935, Pagos_Odoo!$B:$B, 0)), ""))</f>
        <v/>
      </c>
      <c r="Z2935" s="80">
        <f>IF(X2935="Sin Pago","",IFERROR(INDEX(Pagos_Odoo!$A:$A, MATCH(X2935, Pagos_Odoo!$B:$B, 0)), ""))</f>
        <v/>
      </c>
      <c r="AA2935" s="79">
        <f>IF(X2935="Sin Pago","",IFERROR(INDEX(Pagos_Odoo!$F:$F, MATCH(X2935, Pagos_Odoo!$B:$B, 0)), ""))</f>
        <v/>
      </c>
      <c r="AB2935" s="81">
        <f>IF(X2935="Sin Pago",0,IFERROR(INDEX(Pagos_Odoo!$E:$E, MATCH(X2935, Pagos_Odoo!$B:$B, 0)), 0))</f>
        <v/>
      </c>
      <c r="AC2935" s="79">
        <f>IF(X2935="Sin Pago","",IFERROR(INDEX(Pagos_Odoo!$G:$G, MATCH(X2935, Pagos_Odoo!$B:$B, 0)), ""))</f>
        <v/>
      </c>
      <c r="AD2935" s="82" t="n">
        <v>0</v>
      </c>
      <c r="AE2935" s="82" t="n"/>
      <c r="AF2935" s="82" t="n"/>
      <c r="AG2935" s="82">
        <f>IF(AN2935="","",AD2935+AE2935+AF2935)</f>
        <v/>
      </c>
      <c r="AH2935" s="81">
        <f>IF(AN2935="","",P2935*(1-AG2935))</f>
        <v/>
      </c>
      <c r="AI2935" s="81">
        <f>IF(AN2935="","",IF(Q2935="Sin Factura",0,IFERROR(INDEX(Facturas_Odoo!$H:$H, MATCH(Q2935, Facturas_Odoo!$B:$B, 0)), 0)*(1-AG2935)))</f>
        <v/>
      </c>
      <c r="AJ2935" s="81">
        <f>IF(AN2935="","",_xlfn.LET(idVenta, AN2935&amp;"",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35" s="81">
        <f>IF(AN2935="","",AH2935-AJ2935)</f>
        <v/>
      </c>
      <c r="AL2935" s="81">
        <f>IF(AN2935="","",IF(Q2935="Sin Factura","",AI2935-AJ2935))</f>
        <v/>
      </c>
      <c r="AM2935" s="81">
        <f>IF(AN2935="","",IF(Q2935="Sin Factura",0,P2935-IFERROR(INDEX(Facturas_Odoo!$H:$H, MATCH(Q2935, Facturas_Odoo!$B:$B, 0)), 0)))</f>
        <v/>
      </c>
      <c r="AN2935" s="79">
        <f>IF(AND(A2935="", J2935=""), "", IF(A2935&lt;&gt;"", VALUE(MID(A2935,2,LEN(A2935))), AN2934))</f>
        <v/>
      </c>
      <c r="AO2935" s="79">
        <f>IF(AN2935="","",IF(AD2935=0,"OK",_xlfn.LET(monedaPago, IF(AA2935="","USD",AA2935), limitePermitido, IFERROR(VLOOKUP(monedaPago, Configuración!$A$2:$B$3, 2, FALSE), 0.15), IF(AD2935&gt;limitePermitido, "ALERTA: EXCESO (" &amp; TEXT(limitePermitido, "0%") &amp; " máx)", "OK"))))</f>
        <v/>
      </c>
      <c r="AP2935" s="79">
        <f>IF(AN2935="","",IF(AE2935=0,"OK",_xlfn.LET(fechaPago, Z2935, fechaFactura, R2935, diasCredito, IF(E2935="Pago inmediato", 0, IFERROR(VALUE(MID(E2935, 1, SEARCH(" ", E2935)-1)),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35" s="79">
        <f>IF(AN2935="","",IF(AND(N2935&gt;0, AG2935&gt;0), IF(Configuración!$K$2="NO", "ALERTA: DESCUENTO DOBLE NO PERMITIDO", "OK"), "OK"))</f>
        <v/>
      </c>
      <c r="AR2935" s="79">
        <f>IF(AN2935="","",IF(OR(AO2935&lt;&gt;"OK", AP2935&lt;&gt;"OK", AQ2935&lt;&gt;"OK"), "⚠️ REVISAR", "OK"))</f>
        <v/>
      </c>
    </row>
    <row r="2936">
      <c r="A2936" s="79">
        <f>IF('Ordenes_Odoo'!A2936="","",'Ordenes_Odoo'!A2936)</f>
        <v/>
      </c>
      <c r="B2936" s="80">
        <f>IF('Ordenes_Odoo'!B2936="","",'Ordenes_Odoo'!B2936)</f>
        <v/>
      </c>
      <c r="C2936" s="79">
        <f>IF('Ordenes_Odoo'!C2936="","",'Ordenes_Odoo'!C2936)</f>
        <v/>
      </c>
      <c r="D2936" s="79">
        <f>IF('Ordenes_Odoo'!D2936="","",'Ordenes_Odoo'!D2936)</f>
        <v/>
      </c>
      <c r="E2936" s="79">
        <f>IF('Ordenes_Odoo'!E2936="","",'Ordenes_Odoo'!E2936)</f>
        <v/>
      </c>
      <c r="F2936" s="79">
        <f>IF('Ordenes_Odoo'!F2936="","",'Ordenes_Odoo'!F2936)</f>
        <v/>
      </c>
      <c r="G2936" s="79">
        <f>IF('Ordenes_Odoo'!G2936="","",'Ordenes_Odoo'!G2936)</f>
        <v/>
      </c>
      <c r="H2936" s="79">
        <f>IF('Ordenes_Odoo'!H2936="","",'Ordenes_Odoo'!H2936)</f>
        <v/>
      </c>
      <c r="I2936" s="79">
        <f>IF('Ordenes_Odoo'!I2936="","",'Ordenes_Odoo'!I2936)</f>
        <v/>
      </c>
      <c r="J2936" s="79">
        <f>IF('Ordenes_Odoo'!J2936="","",'Ordenes_Odoo'!J2936)</f>
        <v/>
      </c>
      <c r="K2936" s="81">
        <f>IF('Ordenes_Odoo'!K2936="","",'Ordenes_Odoo'!K2936)</f>
        <v/>
      </c>
      <c r="L2936" s="81">
        <f>IF('Ordenes_Odoo'!L2936="","",'Ordenes_Odoo'!L2936)</f>
        <v/>
      </c>
      <c r="M2936" s="79">
        <f>IF('Ordenes_Odoo'!M2936="","",'Ordenes_Odoo'!M2936)</f>
        <v/>
      </c>
      <c r="N2936" s="79">
        <f>IF('Ordenes_Odoo'!N2936="","",'Ordenes_Odoo'!N2936)</f>
        <v/>
      </c>
      <c r="O2936" s="81">
        <f>IF('Ordenes_Odoo'!O2936="","",'Ordenes_Odoo'!O2936)</f>
        <v/>
      </c>
      <c r="P2936" s="81">
        <f>IF('Ordenes_Odoo'!P2936="","",'Ordenes_Odoo'!P2936)</f>
        <v/>
      </c>
      <c r="Q2936" s="79">
        <f>IF(A2936="","",IFERROR(INDEX(Facturas_Odoo!$B:$B, MATCH(A2936, Facturas_Odoo!$D:$D, 0)), "Sin Factura"))</f>
        <v/>
      </c>
      <c r="R2936" s="80">
        <f>IF(Q2936="Sin Factura","",IFERROR(INDEX(Facturas_Odoo!$A:$A, MATCH(Q2936, Facturas_Odoo!$B:$B, 0)), ""))</f>
        <v/>
      </c>
      <c r="S2936" s="79">
        <f>IF(Q2936="Sin Factura","",IFERROR(_xlfn.XLOOKUP(1, (Facturas_Odoo!$D:$D=A2936) * (Facturas_Odoo!$K:$K=I2936), Facturas_Odoo!$L:$L, ""), ""))</f>
        <v/>
      </c>
      <c r="T2936" s="81">
        <f>IF(Q2936="Sin Factura",0,IFERROR(_xlfn.XLOOKUP(1, (Facturas_Odoo!$D:$D=A2936) * (Facturas_Odoo!$K:$K=I2936), Facturas_Odoo!$M:$M, 0), 0))</f>
        <v/>
      </c>
      <c r="U2936" s="79">
        <f>IF(Q2936="Sin Factura",0,IFERROR(_xlfn.XLOOKUP(1, (Facturas_Odoo!$D:$D=A2936) * (Facturas_Odoo!$K:$K=I2936), Facturas_Odoo!$N:$N, 0), 0))</f>
        <v/>
      </c>
      <c r="V2936" s="79">
        <f>IF(Q2936="Sin Factura",0,IFERROR(_xlfn.XLOOKUP(1, (Facturas_Odoo!$D:$D=A2936) * (Facturas_Odoo!$K:$K=I2936), Facturas_Odoo!$O:$O, 0), 0))</f>
        <v/>
      </c>
      <c r="W2936" s="81">
        <f>IF(Q2936="Sin Factura",0,IFERROR(_xlfn.XLOOKUP(1, (Facturas_Odoo!$D:$D=A2936) * (Facturas_Odoo!$K:$K=I2936), Facturas_Odoo!$Q:$Q, 0), 0))</f>
        <v/>
      </c>
      <c r="X2936" s="79">
        <f>IF(OR(Q2936="Sin Factura",Q2936=""),"",IFERROR(INDEX(Pagos_Odoo!$B:$B, MATCH(Q2936, Pagos_Odoo!$I:$I, 0)), "Sin Pago"))</f>
        <v/>
      </c>
      <c r="Y2936" s="79">
        <f>IF(X2936="Sin Pago","",IFERROR(INDEX(Pagos_Odoo!$C:$C, MATCH(X2936, Pagos_Odoo!$B:$B, 0)), ""))</f>
        <v/>
      </c>
      <c r="Z2936" s="80">
        <f>IF(X2936="Sin Pago","",IFERROR(INDEX(Pagos_Odoo!$A:$A, MATCH(X2936, Pagos_Odoo!$B:$B, 0)), ""))</f>
        <v/>
      </c>
      <c r="AA2936" s="79">
        <f>IF(X2936="Sin Pago","",IFERROR(INDEX(Pagos_Odoo!$F:$F, MATCH(X2936, Pagos_Odoo!$B:$B, 0)), ""))</f>
        <v/>
      </c>
      <c r="AB2936" s="81">
        <f>IF(X2936="Sin Pago",0,IFERROR(INDEX(Pagos_Odoo!$E:$E, MATCH(X2936, Pagos_Odoo!$B:$B, 0)), 0))</f>
        <v/>
      </c>
      <c r="AC2936" s="79">
        <f>IF(X2936="Sin Pago","",IFERROR(INDEX(Pagos_Odoo!$G:$G, MATCH(X2936, Pagos_Odoo!$B:$B, 0)), ""))</f>
        <v/>
      </c>
      <c r="AD2936" s="82" t="n">
        <v>0</v>
      </c>
      <c r="AE2936" s="82" t="n"/>
      <c r="AF2936" s="82" t="n"/>
      <c r="AG2936" s="82">
        <f>IF(AN2936="","",AD2936+AE2936+AF2936)</f>
        <v/>
      </c>
      <c r="AH2936" s="81">
        <f>IF(AN2936="","",P2936*(1-AG2936))</f>
        <v/>
      </c>
      <c r="AI2936" s="81">
        <f>IF(AN2936="","",IF(Q2936="Sin Factura",0,IFERROR(INDEX(Facturas_Odoo!$H:$H, MATCH(Q2936, Facturas_Odoo!$B:$B, 0)), 0)*(1-AG2936)))</f>
        <v/>
      </c>
      <c r="AJ2936" s="81">
        <f>IF(AN2936="","",_xlfn.LET(idVenta, AN2936&amp;"",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36" s="81">
        <f>IF(AN2936="","",AH2936-AJ2936)</f>
        <v/>
      </c>
      <c r="AL2936" s="81">
        <f>IF(AN2936="","",IF(Q2936="Sin Factura","",AI2936-AJ2936))</f>
        <v/>
      </c>
      <c r="AM2936" s="81">
        <f>IF(AN2936="","",IF(Q2936="Sin Factura",0,P2936-IFERROR(INDEX(Facturas_Odoo!$H:$H, MATCH(Q2936, Facturas_Odoo!$B:$B, 0)), 0)))</f>
        <v/>
      </c>
      <c r="AN2936" s="79">
        <f>IF(AND(A2936="", J2936=""), "", IF(A2936&lt;&gt;"", VALUE(MID(A2936,2,LEN(A2936))), AN2935))</f>
        <v/>
      </c>
      <c r="AO2936" s="79">
        <f>IF(AN2936="","",IF(AD2936=0,"OK",_xlfn.LET(monedaPago, IF(AA2936="","USD",AA2936), limitePermitido, IFERROR(VLOOKUP(monedaPago, Configuración!$A$2:$B$3, 2, FALSE), 0.15), IF(AD2936&gt;limitePermitido, "ALERTA: EXCESO (" &amp; TEXT(limitePermitido, "0%") &amp; " máx)", "OK"))))</f>
        <v/>
      </c>
      <c r="AP2936" s="79">
        <f>IF(AN2936="","",IF(AE2936=0,"OK",_xlfn.LET(fechaPago, Z2936, fechaFactura, R2936, diasCredito, IF(E2936="Pago inmediato", 0, IFERROR(VALUE(MID(E2936, 1, SEARCH(" ", E2936)-1)),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36" s="79">
        <f>IF(AN2936="","",IF(AND(N2936&gt;0, AG2936&gt;0), IF(Configuración!$K$2="NO", "ALERTA: DESCUENTO DOBLE NO PERMITIDO", "OK"), "OK"))</f>
        <v/>
      </c>
      <c r="AR2936" s="79">
        <f>IF(AN2936="","",IF(OR(AO2936&lt;&gt;"OK", AP2936&lt;&gt;"OK", AQ2936&lt;&gt;"OK"), "⚠️ REVISAR", "OK"))</f>
        <v/>
      </c>
    </row>
    <row r="2937">
      <c r="A2937" s="79">
        <f>IF('Ordenes_Odoo'!A2937="","",'Ordenes_Odoo'!A2937)</f>
        <v/>
      </c>
      <c r="B2937" s="80">
        <f>IF('Ordenes_Odoo'!B2937="","",'Ordenes_Odoo'!B2937)</f>
        <v/>
      </c>
      <c r="C2937" s="79">
        <f>IF('Ordenes_Odoo'!C2937="","",'Ordenes_Odoo'!C2937)</f>
        <v/>
      </c>
      <c r="D2937" s="79">
        <f>IF('Ordenes_Odoo'!D2937="","",'Ordenes_Odoo'!D2937)</f>
        <v/>
      </c>
      <c r="E2937" s="79">
        <f>IF('Ordenes_Odoo'!E2937="","",'Ordenes_Odoo'!E2937)</f>
        <v/>
      </c>
      <c r="F2937" s="79">
        <f>IF('Ordenes_Odoo'!F2937="","",'Ordenes_Odoo'!F2937)</f>
        <v/>
      </c>
      <c r="G2937" s="79">
        <f>IF('Ordenes_Odoo'!G2937="","",'Ordenes_Odoo'!G2937)</f>
        <v/>
      </c>
      <c r="H2937" s="79">
        <f>IF('Ordenes_Odoo'!H2937="","",'Ordenes_Odoo'!H2937)</f>
        <v/>
      </c>
      <c r="I2937" s="79">
        <f>IF('Ordenes_Odoo'!I2937="","",'Ordenes_Odoo'!I2937)</f>
        <v/>
      </c>
      <c r="J2937" s="79">
        <f>IF('Ordenes_Odoo'!J2937="","",'Ordenes_Odoo'!J2937)</f>
        <v/>
      </c>
      <c r="K2937" s="81">
        <f>IF('Ordenes_Odoo'!K2937="","",'Ordenes_Odoo'!K2937)</f>
        <v/>
      </c>
      <c r="L2937" s="81">
        <f>IF('Ordenes_Odoo'!L2937="","",'Ordenes_Odoo'!L2937)</f>
        <v/>
      </c>
      <c r="M2937" s="79">
        <f>IF('Ordenes_Odoo'!M2937="","",'Ordenes_Odoo'!M2937)</f>
        <v/>
      </c>
      <c r="N2937" s="79">
        <f>IF('Ordenes_Odoo'!N2937="","",'Ordenes_Odoo'!N2937)</f>
        <v/>
      </c>
      <c r="O2937" s="81">
        <f>IF('Ordenes_Odoo'!O2937="","",'Ordenes_Odoo'!O2937)</f>
        <v/>
      </c>
      <c r="P2937" s="81">
        <f>IF('Ordenes_Odoo'!P2937="","",'Ordenes_Odoo'!P2937)</f>
        <v/>
      </c>
      <c r="Q2937" s="79">
        <f>IF(A2937="","",IFERROR(INDEX(Facturas_Odoo!$B:$B, MATCH(A2937, Facturas_Odoo!$D:$D, 0)), "Sin Factura"))</f>
        <v/>
      </c>
      <c r="R2937" s="80">
        <f>IF(Q2937="Sin Factura","",IFERROR(INDEX(Facturas_Odoo!$A:$A, MATCH(Q2937, Facturas_Odoo!$B:$B, 0)), ""))</f>
        <v/>
      </c>
      <c r="S2937" s="79">
        <f>IF(Q2937="Sin Factura","",IFERROR(_xlfn.XLOOKUP(1, (Facturas_Odoo!$D:$D=A2937) * (Facturas_Odoo!$K:$K=I2937), Facturas_Odoo!$L:$L, ""), ""))</f>
        <v/>
      </c>
      <c r="T2937" s="81">
        <f>IF(Q2937="Sin Factura",0,IFERROR(_xlfn.XLOOKUP(1, (Facturas_Odoo!$D:$D=A2937) * (Facturas_Odoo!$K:$K=I2937), Facturas_Odoo!$M:$M, 0), 0))</f>
        <v/>
      </c>
      <c r="U2937" s="79">
        <f>IF(Q2937="Sin Factura",0,IFERROR(_xlfn.XLOOKUP(1, (Facturas_Odoo!$D:$D=A2937) * (Facturas_Odoo!$K:$K=I2937), Facturas_Odoo!$N:$N, 0), 0))</f>
        <v/>
      </c>
      <c r="V2937" s="79">
        <f>IF(Q2937="Sin Factura",0,IFERROR(_xlfn.XLOOKUP(1, (Facturas_Odoo!$D:$D=A2937) * (Facturas_Odoo!$K:$K=I2937), Facturas_Odoo!$O:$O, 0), 0))</f>
        <v/>
      </c>
      <c r="W2937" s="81">
        <f>IF(Q2937="Sin Factura",0,IFERROR(_xlfn.XLOOKUP(1, (Facturas_Odoo!$D:$D=A2937) * (Facturas_Odoo!$K:$K=I2937), Facturas_Odoo!$Q:$Q, 0), 0))</f>
        <v/>
      </c>
      <c r="X2937" s="79">
        <f>IF(OR(Q2937="Sin Factura",Q2937=""),"",IFERROR(INDEX(Pagos_Odoo!$B:$B, MATCH(Q2937, Pagos_Odoo!$I:$I, 0)), "Sin Pago"))</f>
        <v/>
      </c>
      <c r="Y2937" s="79">
        <f>IF(X2937="Sin Pago","",IFERROR(INDEX(Pagos_Odoo!$C:$C, MATCH(X2937, Pagos_Odoo!$B:$B, 0)), ""))</f>
        <v/>
      </c>
      <c r="Z2937" s="80">
        <f>IF(X2937="Sin Pago","",IFERROR(INDEX(Pagos_Odoo!$A:$A, MATCH(X2937, Pagos_Odoo!$B:$B, 0)), ""))</f>
        <v/>
      </c>
      <c r="AA2937" s="79">
        <f>IF(X2937="Sin Pago","",IFERROR(INDEX(Pagos_Odoo!$F:$F, MATCH(X2937, Pagos_Odoo!$B:$B, 0)), ""))</f>
        <v/>
      </c>
      <c r="AB2937" s="81">
        <f>IF(X2937="Sin Pago",0,IFERROR(INDEX(Pagos_Odoo!$E:$E, MATCH(X2937, Pagos_Odoo!$B:$B, 0)), 0))</f>
        <v/>
      </c>
      <c r="AC2937" s="79">
        <f>IF(X2937="Sin Pago","",IFERROR(INDEX(Pagos_Odoo!$G:$G, MATCH(X2937, Pagos_Odoo!$B:$B, 0)), ""))</f>
        <v/>
      </c>
      <c r="AD2937" s="82" t="n">
        <v>0</v>
      </c>
      <c r="AE2937" s="82" t="n"/>
      <c r="AF2937" s="82" t="n"/>
      <c r="AG2937" s="82">
        <f>IF(AN2937="","",AD2937+AE2937+AF2937)</f>
        <v/>
      </c>
      <c r="AH2937" s="81">
        <f>IF(AN2937="","",P2937*(1-AG2937))</f>
        <v/>
      </c>
      <c r="AI2937" s="81">
        <f>IF(AN2937="","",IF(Q2937="Sin Factura",0,IFERROR(INDEX(Facturas_Odoo!$H:$H, MATCH(Q2937, Facturas_Odoo!$B:$B, 0)), 0)*(1-AG2937)))</f>
        <v/>
      </c>
      <c r="AJ2937" s="81">
        <f>IF(AN2937="","",_xlfn.LET(idVenta, AN2937&amp;"",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37" s="81">
        <f>IF(AN2937="","",AH2937-AJ2937)</f>
        <v/>
      </c>
      <c r="AL2937" s="81">
        <f>IF(AN2937="","",IF(Q2937="Sin Factura","",AI2937-AJ2937))</f>
        <v/>
      </c>
      <c r="AM2937" s="81">
        <f>IF(AN2937="","",IF(Q2937="Sin Factura",0,P2937-IFERROR(INDEX(Facturas_Odoo!$H:$H, MATCH(Q2937, Facturas_Odoo!$B:$B, 0)), 0)))</f>
        <v/>
      </c>
      <c r="AN2937" s="79">
        <f>IF(AND(A2937="", J2937=""), "", IF(A2937&lt;&gt;"", VALUE(MID(A2937,2,LEN(A2937))), AN2936))</f>
        <v/>
      </c>
      <c r="AO2937" s="79">
        <f>IF(AN2937="","",IF(AD2937=0,"OK",_xlfn.LET(monedaPago, IF(AA2937="","USD",AA2937), limitePermitido, IFERROR(VLOOKUP(monedaPago, Configuración!$A$2:$B$3, 2, FALSE), 0.15), IF(AD2937&gt;limitePermitido, "ALERTA: EXCESO (" &amp; TEXT(limitePermitido, "0%") &amp; " máx)", "OK"))))</f>
        <v/>
      </c>
      <c r="AP2937" s="79">
        <f>IF(AN2937="","",IF(AE2937=0,"OK",_xlfn.LET(fechaPago, Z2937, fechaFactura, R2937, diasCredito, IF(E2937="Pago inmediato", 0, IFERROR(VALUE(MID(E2937, 1, SEARCH(" ", E2937)-1)),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37" s="79">
        <f>IF(AN2937="","",IF(AND(N2937&gt;0, AG2937&gt;0), IF(Configuración!$K$2="NO", "ALERTA: DESCUENTO DOBLE NO PERMITIDO", "OK"), "OK"))</f>
        <v/>
      </c>
      <c r="AR2937" s="79">
        <f>IF(AN2937="","",IF(OR(AO2937&lt;&gt;"OK", AP2937&lt;&gt;"OK", AQ2937&lt;&gt;"OK"), "⚠️ REVISAR", "OK"))</f>
        <v/>
      </c>
    </row>
    <row r="2938">
      <c r="A2938" s="79">
        <f>IF('Ordenes_Odoo'!A2938="","",'Ordenes_Odoo'!A2938)</f>
        <v/>
      </c>
      <c r="B2938" s="80">
        <f>IF('Ordenes_Odoo'!B2938="","",'Ordenes_Odoo'!B2938)</f>
        <v/>
      </c>
      <c r="C2938" s="79">
        <f>IF('Ordenes_Odoo'!C2938="","",'Ordenes_Odoo'!C2938)</f>
        <v/>
      </c>
      <c r="D2938" s="79">
        <f>IF('Ordenes_Odoo'!D2938="","",'Ordenes_Odoo'!D2938)</f>
        <v/>
      </c>
      <c r="E2938" s="79">
        <f>IF('Ordenes_Odoo'!E2938="","",'Ordenes_Odoo'!E2938)</f>
        <v/>
      </c>
      <c r="F2938" s="79">
        <f>IF('Ordenes_Odoo'!F2938="","",'Ordenes_Odoo'!F2938)</f>
        <v/>
      </c>
      <c r="G2938" s="79">
        <f>IF('Ordenes_Odoo'!G2938="","",'Ordenes_Odoo'!G2938)</f>
        <v/>
      </c>
      <c r="H2938" s="79">
        <f>IF('Ordenes_Odoo'!H2938="","",'Ordenes_Odoo'!H2938)</f>
        <v/>
      </c>
      <c r="I2938" s="79">
        <f>IF('Ordenes_Odoo'!I2938="","",'Ordenes_Odoo'!I2938)</f>
        <v/>
      </c>
      <c r="J2938" s="79">
        <f>IF('Ordenes_Odoo'!J2938="","",'Ordenes_Odoo'!J2938)</f>
        <v/>
      </c>
      <c r="K2938" s="81">
        <f>IF('Ordenes_Odoo'!K2938="","",'Ordenes_Odoo'!K2938)</f>
        <v/>
      </c>
      <c r="L2938" s="81">
        <f>IF('Ordenes_Odoo'!L2938="","",'Ordenes_Odoo'!L2938)</f>
        <v/>
      </c>
      <c r="M2938" s="79">
        <f>IF('Ordenes_Odoo'!M2938="","",'Ordenes_Odoo'!M2938)</f>
        <v/>
      </c>
      <c r="N2938" s="79">
        <f>IF('Ordenes_Odoo'!N2938="","",'Ordenes_Odoo'!N2938)</f>
        <v/>
      </c>
      <c r="O2938" s="81">
        <f>IF('Ordenes_Odoo'!O2938="","",'Ordenes_Odoo'!O2938)</f>
        <v/>
      </c>
      <c r="P2938" s="81">
        <f>IF('Ordenes_Odoo'!P2938="","",'Ordenes_Odoo'!P2938)</f>
        <v/>
      </c>
      <c r="Q2938" s="79">
        <f>IF(A2938="","",IFERROR(INDEX(Facturas_Odoo!$B:$B, MATCH(A2938, Facturas_Odoo!$D:$D, 0)), "Sin Factura"))</f>
        <v/>
      </c>
      <c r="R2938" s="80">
        <f>IF(Q2938="Sin Factura","",IFERROR(INDEX(Facturas_Odoo!$A:$A, MATCH(Q2938, Facturas_Odoo!$B:$B, 0)), ""))</f>
        <v/>
      </c>
      <c r="S2938" s="79">
        <f>IF(Q2938="Sin Factura","",IFERROR(_xlfn.XLOOKUP(1, (Facturas_Odoo!$D:$D=A2938) * (Facturas_Odoo!$K:$K=I2938), Facturas_Odoo!$L:$L, ""), ""))</f>
        <v/>
      </c>
      <c r="T2938" s="81">
        <f>IF(Q2938="Sin Factura",0,IFERROR(_xlfn.XLOOKUP(1, (Facturas_Odoo!$D:$D=A2938) * (Facturas_Odoo!$K:$K=I2938), Facturas_Odoo!$M:$M, 0), 0))</f>
        <v/>
      </c>
      <c r="U2938" s="79">
        <f>IF(Q2938="Sin Factura",0,IFERROR(_xlfn.XLOOKUP(1, (Facturas_Odoo!$D:$D=A2938) * (Facturas_Odoo!$K:$K=I2938), Facturas_Odoo!$N:$N, 0), 0))</f>
        <v/>
      </c>
      <c r="V2938" s="79">
        <f>IF(Q2938="Sin Factura",0,IFERROR(_xlfn.XLOOKUP(1, (Facturas_Odoo!$D:$D=A2938) * (Facturas_Odoo!$K:$K=I2938), Facturas_Odoo!$O:$O, 0), 0))</f>
        <v/>
      </c>
      <c r="W2938" s="81">
        <f>IF(Q2938="Sin Factura",0,IFERROR(_xlfn.XLOOKUP(1, (Facturas_Odoo!$D:$D=A2938) * (Facturas_Odoo!$K:$K=I2938), Facturas_Odoo!$Q:$Q, 0), 0))</f>
        <v/>
      </c>
      <c r="X2938" s="79">
        <f>IF(OR(Q2938="Sin Factura",Q2938=""),"",IFERROR(INDEX(Pagos_Odoo!$B:$B, MATCH(Q2938, Pagos_Odoo!$I:$I, 0)), "Sin Pago"))</f>
        <v/>
      </c>
      <c r="Y2938" s="79">
        <f>IF(X2938="Sin Pago","",IFERROR(INDEX(Pagos_Odoo!$C:$C, MATCH(X2938, Pagos_Odoo!$B:$B, 0)), ""))</f>
        <v/>
      </c>
      <c r="Z2938" s="80">
        <f>IF(X2938="Sin Pago","",IFERROR(INDEX(Pagos_Odoo!$A:$A, MATCH(X2938, Pagos_Odoo!$B:$B, 0)), ""))</f>
        <v/>
      </c>
      <c r="AA2938" s="79">
        <f>IF(X2938="Sin Pago","",IFERROR(INDEX(Pagos_Odoo!$F:$F, MATCH(X2938, Pagos_Odoo!$B:$B, 0)), ""))</f>
        <v/>
      </c>
      <c r="AB2938" s="81">
        <f>IF(X2938="Sin Pago",0,IFERROR(INDEX(Pagos_Odoo!$E:$E, MATCH(X2938, Pagos_Odoo!$B:$B, 0)), 0))</f>
        <v/>
      </c>
      <c r="AC2938" s="79">
        <f>IF(X2938="Sin Pago","",IFERROR(INDEX(Pagos_Odoo!$G:$G, MATCH(X2938, Pagos_Odoo!$B:$B, 0)), ""))</f>
        <v/>
      </c>
      <c r="AD2938" s="82" t="n">
        <v>0</v>
      </c>
      <c r="AE2938" s="82" t="n"/>
      <c r="AF2938" s="82" t="n"/>
      <c r="AG2938" s="82">
        <f>IF(AN2938="","",AD2938+AE2938+AF2938)</f>
        <v/>
      </c>
      <c r="AH2938" s="81">
        <f>IF(AN2938="","",P2938*(1-AG2938))</f>
        <v/>
      </c>
      <c r="AI2938" s="81">
        <f>IF(AN2938="","",IF(Q2938="Sin Factura",0,IFERROR(INDEX(Facturas_Odoo!$H:$H, MATCH(Q2938, Facturas_Odoo!$B:$B, 0)), 0)*(1-AG2938)))</f>
        <v/>
      </c>
      <c r="AJ2938" s="81">
        <f>IF(AN2938="","",_xlfn.LET(idVenta, AN2938&amp;"",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38" s="81">
        <f>IF(AN2938="","",AH2938-AJ2938)</f>
        <v/>
      </c>
      <c r="AL2938" s="81">
        <f>IF(AN2938="","",IF(Q2938="Sin Factura","",AI2938-AJ2938))</f>
        <v/>
      </c>
      <c r="AM2938" s="81">
        <f>IF(AN2938="","",IF(Q2938="Sin Factura",0,P2938-IFERROR(INDEX(Facturas_Odoo!$H:$H, MATCH(Q2938, Facturas_Odoo!$B:$B, 0)), 0)))</f>
        <v/>
      </c>
      <c r="AN2938" s="79">
        <f>IF(AND(A2938="", J2938=""), "", IF(A2938&lt;&gt;"", VALUE(MID(A2938,2,LEN(A2938))), AN2937))</f>
        <v/>
      </c>
      <c r="AO2938" s="79">
        <f>IF(AN2938="","",IF(AD2938=0,"OK",_xlfn.LET(monedaPago, IF(AA2938="","USD",AA2938), limitePermitido, IFERROR(VLOOKUP(monedaPago, Configuración!$A$2:$B$3, 2, FALSE), 0.15), IF(AD2938&gt;limitePermitido, "ALERTA: EXCESO (" &amp; TEXT(limitePermitido, "0%") &amp; " máx)", "OK"))))</f>
        <v/>
      </c>
      <c r="AP2938" s="79">
        <f>IF(AN2938="","",IF(AE2938=0,"OK",_xlfn.LET(fechaPago, Z2938, fechaFactura, R2938, diasCredito, IF(E2938="Pago inmediato", 0, IFERROR(VALUE(MID(E2938, 1, SEARCH(" ", E2938)-1)),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38" s="79">
        <f>IF(AN2938="","",IF(AND(N2938&gt;0, AG2938&gt;0), IF(Configuración!$K$2="NO", "ALERTA: DESCUENTO DOBLE NO PERMITIDO", "OK"), "OK"))</f>
        <v/>
      </c>
      <c r="AR2938" s="79">
        <f>IF(AN2938="","",IF(OR(AO2938&lt;&gt;"OK", AP2938&lt;&gt;"OK", AQ2938&lt;&gt;"OK"), "⚠️ REVISAR", "OK"))</f>
        <v/>
      </c>
    </row>
    <row r="2939">
      <c r="A2939" s="79">
        <f>IF('Ordenes_Odoo'!A2939="","",'Ordenes_Odoo'!A2939)</f>
        <v/>
      </c>
      <c r="B2939" s="80">
        <f>IF('Ordenes_Odoo'!B2939="","",'Ordenes_Odoo'!B2939)</f>
        <v/>
      </c>
      <c r="C2939" s="79">
        <f>IF('Ordenes_Odoo'!C2939="","",'Ordenes_Odoo'!C2939)</f>
        <v/>
      </c>
      <c r="D2939" s="79">
        <f>IF('Ordenes_Odoo'!D2939="","",'Ordenes_Odoo'!D2939)</f>
        <v/>
      </c>
      <c r="E2939" s="79">
        <f>IF('Ordenes_Odoo'!E2939="","",'Ordenes_Odoo'!E2939)</f>
        <v/>
      </c>
      <c r="F2939" s="79">
        <f>IF('Ordenes_Odoo'!F2939="","",'Ordenes_Odoo'!F2939)</f>
        <v/>
      </c>
      <c r="G2939" s="79">
        <f>IF('Ordenes_Odoo'!G2939="","",'Ordenes_Odoo'!G2939)</f>
        <v/>
      </c>
      <c r="H2939" s="79">
        <f>IF('Ordenes_Odoo'!H2939="","",'Ordenes_Odoo'!H2939)</f>
        <v/>
      </c>
      <c r="I2939" s="79">
        <f>IF('Ordenes_Odoo'!I2939="","",'Ordenes_Odoo'!I2939)</f>
        <v/>
      </c>
      <c r="J2939" s="79">
        <f>IF('Ordenes_Odoo'!J2939="","",'Ordenes_Odoo'!J2939)</f>
        <v/>
      </c>
      <c r="K2939" s="81">
        <f>IF('Ordenes_Odoo'!K2939="","",'Ordenes_Odoo'!K2939)</f>
        <v/>
      </c>
      <c r="L2939" s="81">
        <f>IF('Ordenes_Odoo'!L2939="","",'Ordenes_Odoo'!L2939)</f>
        <v/>
      </c>
      <c r="M2939" s="79">
        <f>IF('Ordenes_Odoo'!M2939="","",'Ordenes_Odoo'!M2939)</f>
        <v/>
      </c>
      <c r="N2939" s="79">
        <f>IF('Ordenes_Odoo'!N2939="","",'Ordenes_Odoo'!N2939)</f>
        <v/>
      </c>
      <c r="O2939" s="81">
        <f>IF('Ordenes_Odoo'!O2939="","",'Ordenes_Odoo'!O2939)</f>
        <v/>
      </c>
      <c r="P2939" s="81">
        <f>IF('Ordenes_Odoo'!P2939="","",'Ordenes_Odoo'!P2939)</f>
        <v/>
      </c>
      <c r="Q2939" s="79">
        <f>IF(A2939="","",IFERROR(INDEX(Facturas_Odoo!$B:$B, MATCH(A2939, Facturas_Odoo!$D:$D, 0)), "Sin Factura"))</f>
        <v/>
      </c>
      <c r="R2939" s="80">
        <f>IF(Q2939="Sin Factura","",IFERROR(INDEX(Facturas_Odoo!$A:$A, MATCH(Q2939, Facturas_Odoo!$B:$B, 0)), ""))</f>
        <v/>
      </c>
      <c r="S2939" s="79">
        <f>IF(Q2939="Sin Factura","",IFERROR(_xlfn.XLOOKUP(1, (Facturas_Odoo!$D:$D=A2939) * (Facturas_Odoo!$K:$K=I2939), Facturas_Odoo!$L:$L, ""), ""))</f>
        <v/>
      </c>
      <c r="T2939" s="81">
        <f>IF(Q2939="Sin Factura",0,IFERROR(_xlfn.XLOOKUP(1, (Facturas_Odoo!$D:$D=A2939) * (Facturas_Odoo!$K:$K=I2939), Facturas_Odoo!$M:$M, 0), 0))</f>
        <v/>
      </c>
      <c r="U2939" s="79">
        <f>IF(Q2939="Sin Factura",0,IFERROR(_xlfn.XLOOKUP(1, (Facturas_Odoo!$D:$D=A2939) * (Facturas_Odoo!$K:$K=I2939), Facturas_Odoo!$N:$N, 0), 0))</f>
        <v/>
      </c>
      <c r="V2939" s="79">
        <f>IF(Q2939="Sin Factura",0,IFERROR(_xlfn.XLOOKUP(1, (Facturas_Odoo!$D:$D=A2939) * (Facturas_Odoo!$K:$K=I2939), Facturas_Odoo!$O:$O, 0), 0))</f>
        <v/>
      </c>
      <c r="W2939" s="81">
        <f>IF(Q2939="Sin Factura",0,IFERROR(_xlfn.XLOOKUP(1, (Facturas_Odoo!$D:$D=A2939) * (Facturas_Odoo!$K:$K=I2939), Facturas_Odoo!$Q:$Q, 0), 0))</f>
        <v/>
      </c>
      <c r="X2939" s="79">
        <f>IF(OR(Q2939="Sin Factura",Q2939=""),"",IFERROR(INDEX(Pagos_Odoo!$B:$B, MATCH(Q2939, Pagos_Odoo!$I:$I, 0)), "Sin Pago"))</f>
        <v/>
      </c>
      <c r="Y2939" s="79">
        <f>IF(X2939="Sin Pago","",IFERROR(INDEX(Pagos_Odoo!$C:$C, MATCH(X2939, Pagos_Odoo!$B:$B, 0)), ""))</f>
        <v/>
      </c>
      <c r="Z2939" s="80">
        <f>IF(X2939="Sin Pago","",IFERROR(INDEX(Pagos_Odoo!$A:$A, MATCH(X2939, Pagos_Odoo!$B:$B, 0)), ""))</f>
        <v/>
      </c>
      <c r="AA2939" s="79">
        <f>IF(X2939="Sin Pago","",IFERROR(INDEX(Pagos_Odoo!$F:$F, MATCH(X2939, Pagos_Odoo!$B:$B, 0)), ""))</f>
        <v/>
      </c>
      <c r="AB2939" s="81">
        <f>IF(X2939="Sin Pago",0,IFERROR(INDEX(Pagos_Odoo!$E:$E, MATCH(X2939, Pagos_Odoo!$B:$B, 0)), 0))</f>
        <v/>
      </c>
      <c r="AC2939" s="79">
        <f>IF(X2939="Sin Pago","",IFERROR(INDEX(Pagos_Odoo!$G:$G, MATCH(X2939, Pagos_Odoo!$B:$B, 0)), ""))</f>
        <v/>
      </c>
      <c r="AD2939" s="82" t="n">
        <v>0</v>
      </c>
      <c r="AE2939" s="82" t="n"/>
      <c r="AF2939" s="82" t="n"/>
      <c r="AG2939" s="82">
        <f>IF(AN2939="","",AD2939+AE2939+AF2939)</f>
        <v/>
      </c>
      <c r="AH2939" s="81">
        <f>IF(AN2939="","",P2939*(1-AG2939))</f>
        <v/>
      </c>
      <c r="AI2939" s="81">
        <f>IF(AN2939="","",IF(Q2939="Sin Factura",0,IFERROR(INDEX(Facturas_Odoo!$H:$H, MATCH(Q2939, Facturas_Odoo!$B:$B, 0)), 0)*(1-AG2939)))</f>
        <v/>
      </c>
      <c r="AJ2939" s="81">
        <f>IF(AN2939="","",_xlfn.LET(idVenta, AN2939&amp;"",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39" s="81">
        <f>IF(AN2939="","",AH2939-AJ2939)</f>
        <v/>
      </c>
      <c r="AL2939" s="81">
        <f>IF(AN2939="","",IF(Q2939="Sin Factura","",AI2939-AJ2939))</f>
        <v/>
      </c>
      <c r="AM2939" s="81">
        <f>IF(AN2939="","",IF(Q2939="Sin Factura",0,P2939-IFERROR(INDEX(Facturas_Odoo!$H:$H, MATCH(Q2939, Facturas_Odoo!$B:$B, 0)), 0)))</f>
        <v/>
      </c>
      <c r="AN2939" s="79">
        <f>IF(AND(A2939="", J2939=""), "", IF(A2939&lt;&gt;"", VALUE(MID(A2939,2,LEN(A2939))), AN2938))</f>
        <v/>
      </c>
      <c r="AO2939" s="79">
        <f>IF(AN2939="","",IF(AD2939=0,"OK",_xlfn.LET(monedaPago, IF(AA2939="","USD",AA2939), limitePermitido, IFERROR(VLOOKUP(monedaPago, Configuración!$A$2:$B$3, 2, FALSE), 0.15), IF(AD2939&gt;limitePermitido, "ALERTA: EXCESO (" &amp; TEXT(limitePermitido, "0%") &amp; " máx)", "OK"))))</f>
        <v/>
      </c>
      <c r="AP2939" s="79">
        <f>IF(AN2939="","",IF(AE2939=0,"OK",_xlfn.LET(fechaPago, Z2939, fechaFactura, R2939, diasCredito, IF(E2939="Pago inmediato", 0, IFERROR(VALUE(MID(E2939, 1, SEARCH(" ", E2939)-1)),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39" s="79">
        <f>IF(AN2939="","",IF(AND(N2939&gt;0, AG2939&gt;0), IF(Configuración!$K$2="NO", "ALERTA: DESCUENTO DOBLE NO PERMITIDO", "OK"), "OK"))</f>
        <v/>
      </c>
      <c r="AR2939" s="79">
        <f>IF(AN2939="","",IF(OR(AO2939&lt;&gt;"OK", AP2939&lt;&gt;"OK", AQ2939&lt;&gt;"OK"), "⚠️ REVISAR", "OK"))</f>
        <v/>
      </c>
    </row>
    <row r="2940">
      <c r="A2940" s="79">
        <f>IF('Ordenes_Odoo'!A2940="","",'Ordenes_Odoo'!A2940)</f>
        <v/>
      </c>
      <c r="B2940" s="80">
        <f>IF('Ordenes_Odoo'!B2940="","",'Ordenes_Odoo'!B2940)</f>
        <v/>
      </c>
      <c r="C2940" s="79">
        <f>IF('Ordenes_Odoo'!C2940="","",'Ordenes_Odoo'!C2940)</f>
        <v/>
      </c>
      <c r="D2940" s="79">
        <f>IF('Ordenes_Odoo'!D2940="","",'Ordenes_Odoo'!D2940)</f>
        <v/>
      </c>
      <c r="E2940" s="79">
        <f>IF('Ordenes_Odoo'!E2940="","",'Ordenes_Odoo'!E2940)</f>
        <v/>
      </c>
      <c r="F2940" s="79">
        <f>IF('Ordenes_Odoo'!F2940="","",'Ordenes_Odoo'!F2940)</f>
        <v/>
      </c>
      <c r="G2940" s="79">
        <f>IF('Ordenes_Odoo'!G2940="","",'Ordenes_Odoo'!G2940)</f>
        <v/>
      </c>
      <c r="H2940" s="79">
        <f>IF('Ordenes_Odoo'!H2940="","",'Ordenes_Odoo'!H2940)</f>
        <v/>
      </c>
      <c r="I2940" s="79">
        <f>IF('Ordenes_Odoo'!I2940="","",'Ordenes_Odoo'!I2940)</f>
        <v/>
      </c>
      <c r="J2940" s="79">
        <f>IF('Ordenes_Odoo'!J2940="","",'Ordenes_Odoo'!J2940)</f>
        <v/>
      </c>
      <c r="K2940" s="81">
        <f>IF('Ordenes_Odoo'!K2940="","",'Ordenes_Odoo'!K2940)</f>
        <v/>
      </c>
      <c r="L2940" s="81">
        <f>IF('Ordenes_Odoo'!L2940="","",'Ordenes_Odoo'!L2940)</f>
        <v/>
      </c>
      <c r="M2940" s="79">
        <f>IF('Ordenes_Odoo'!M2940="","",'Ordenes_Odoo'!M2940)</f>
        <v/>
      </c>
      <c r="N2940" s="79">
        <f>IF('Ordenes_Odoo'!N2940="","",'Ordenes_Odoo'!N2940)</f>
        <v/>
      </c>
      <c r="O2940" s="81">
        <f>IF('Ordenes_Odoo'!O2940="","",'Ordenes_Odoo'!O2940)</f>
        <v/>
      </c>
      <c r="P2940" s="81">
        <f>IF('Ordenes_Odoo'!P2940="","",'Ordenes_Odoo'!P2940)</f>
        <v/>
      </c>
      <c r="Q2940" s="79">
        <f>IF(A2940="","",IFERROR(INDEX(Facturas_Odoo!$B:$B, MATCH(A2940, Facturas_Odoo!$D:$D, 0)), "Sin Factura"))</f>
        <v/>
      </c>
      <c r="R2940" s="80">
        <f>IF(Q2940="Sin Factura","",IFERROR(INDEX(Facturas_Odoo!$A:$A, MATCH(Q2940, Facturas_Odoo!$B:$B, 0)), ""))</f>
        <v/>
      </c>
      <c r="S2940" s="79">
        <f>IF(Q2940="Sin Factura","",IFERROR(_xlfn.XLOOKUP(1, (Facturas_Odoo!$D:$D=A2940) * (Facturas_Odoo!$K:$K=I2940), Facturas_Odoo!$L:$L, ""), ""))</f>
        <v/>
      </c>
      <c r="T2940" s="81">
        <f>IF(Q2940="Sin Factura",0,IFERROR(_xlfn.XLOOKUP(1, (Facturas_Odoo!$D:$D=A2940) * (Facturas_Odoo!$K:$K=I2940), Facturas_Odoo!$M:$M, 0), 0))</f>
        <v/>
      </c>
      <c r="U2940" s="79">
        <f>IF(Q2940="Sin Factura",0,IFERROR(_xlfn.XLOOKUP(1, (Facturas_Odoo!$D:$D=A2940) * (Facturas_Odoo!$K:$K=I2940), Facturas_Odoo!$N:$N, 0), 0))</f>
        <v/>
      </c>
      <c r="V2940" s="79">
        <f>IF(Q2940="Sin Factura",0,IFERROR(_xlfn.XLOOKUP(1, (Facturas_Odoo!$D:$D=A2940) * (Facturas_Odoo!$K:$K=I2940), Facturas_Odoo!$O:$O, 0), 0))</f>
        <v/>
      </c>
      <c r="W2940" s="81">
        <f>IF(Q2940="Sin Factura",0,IFERROR(_xlfn.XLOOKUP(1, (Facturas_Odoo!$D:$D=A2940) * (Facturas_Odoo!$K:$K=I2940), Facturas_Odoo!$Q:$Q, 0), 0))</f>
        <v/>
      </c>
      <c r="X2940" s="79">
        <f>IF(OR(Q2940="Sin Factura",Q2940=""),"",IFERROR(INDEX(Pagos_Odoo!$B:$B, MATCH(Q2940, Pagos_Odoo!$I:$I, 0)), "Sin Pago"))</f>
        <v/>
      </c>
      <c r="Y2940" s="79">
        <f>IF(X2940="Sin Pago","",IFERROR(INDEX(Pagos_Odoo!$C:$C, MATCH(X2940, Pagos_Odoo!$B:$B, 0)), ""))</f>
        <v/>
      </c>
      <c r="Z2940" s="80">
        <f>IF(X2940="Sin Pago","",IFERROR(INDEX(Pagos_Odoo!$A:$A, MATCH(X2940, Pagos_Odoo!$B:$B, 0)), ""))</f>
        <v/>
      </c>
      <c r="AA2940" s="79">
        <f>IF(X2940="Sin Pago","",IFERROR(INDEX(Pagos_Odoo!$F:$F, MATCH(X2940, Pagos_Odoo!$B:$B, 0)), ""))</f>
        <v/>
      </c>
      <c r="AB2940" s="81">
        <f>IF(X2940="Sin Pago",0,IFERROR(INDEX(Pagos_Odoo!$E:$E, MATCH(X2940, Pagos_Odoo!$B:$B, 0)), 0))</f>
        <v/>
      </c>
      <c r="AC2940" s="79">
        <f>IF(X2940="Sin Pago","",IFERROR(INDEX(Pagos_Odoo!$G:$G, MATCH(X2940, Pagos_Odoo!$B:$B, 0)), ""))</f>
        <v/>
      </c>
      <c r="AD2940" s="82" t="n">
        <v>0</v>
      </c>
      <c r="AE2940" s="82" t="n"/>
      <c r="AF2940" s="82" t="n"/>
      <c r="AG2940" s="82">
        <f>IF(AN2940="","",AD2940+AE2940+AF2940)</f>
        <v/>
      </c>
      <c r="AH2940" s="81">
        <f>IF(AN2940="","",P2940*(1-AG2940))</f>
        <v/>
      </c>
      <c r="AI2940" s="81">
        <f>IF(AN2940="","",IF(Q2940="Sin Factura",0,IFERROR(INDEX(Facturas_Odoo!$H:$H, MATCH(Q2940, Facturas_Odoo!$B:$B, 0)), 0)*(1-AG2940)))</f>
        <v/>
      </c>
      <c r="AJ2940" s="81">
        <f>IF(AN2940="","",_xlfn.LET(idVenta, AN2940&amp;"",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40" s="81">
        <f>IF(AN2940="","",AH2940-AJ2940)</f>
        <v/>
      </c>
      <c r="AL2940" s="81">
        <f>IF(AN2940="","",IF(Q2940="Sin Factura","",AI2940-AJ2940))</f>
        <v/>
      </c>
      <c r="AM2940" s="81">
        <f>IF(AN2940="","",IF(Q2940="Sin Factura",0,P2940-IFERROR(INDEX(Facturas_Odoo!$H:$H, MATCH(Q2940, Facturas_Odoo!$B:$B, 0)), 0)))</f>
        <v/>
      </c>
      <c r="AN2940" s="79">
        <f>IF(AND(A2940="", J2940=""), "", IF(A2940&lt;&gt;"", VALUE(MID(A2940,2,LEN(A2940))), AN2939))</f>
        <v/>
      </c>
      <c r="AO2940" s="79">
        <f>IF(AN2940="","",IF(AD2940=0,"OK",_xlfn.LET(monedaPago, IF(AA2940="","USD",AA2940), limitePermitido, IFERROR(VLOOKUP(monedaPago, Configuración!$A$2:$B$3, 2, FALSE), 0.15), IF(AD2940&gt;limitePermitido, "ALERTA: EXCESO (" &amp; TEXT(limitePermitido, "0%") &amp; " máx)", "OK"))))</f>
        <v/>
      </c>
      <c r="AP2940" s="79">
        <f>IF(AN2940="","",IF(AE2940=0,"OK",_xlfn.LET(fechaPago, Z2940, fechaFactura, R2940, diasCredito, IF(E2940="Pago inmediato", 0, IFERROR(VALUE(MID(E2940, 1, SEARCH(" ", E2940)-1)),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40" s="79">
        <f>IF(AN2940="","",IF(AND(N2940&gt;0, AG2940&gt;0), IF(Configuración!$K$2="NO", "ALERTA: DESCUENTO DOBLE NO PERMITIDO", "OK"), "OK"))</f>
        <v/>
      </c>
      <c r="AR2940" s="79">
        <f>IF(AN2940="","",IF(OR(AO2940&lt;&gt;"OK", AP2940&lt;&gt;"OK", AQ2940&lt;&gt;"OK"), "⚠️ REVISAR", "OK"))</f>
        <v/>
      </c>
    </row>
    <row r="2941">
      <c r="A2941" s="79">
        <f>IF('Ordenes_Odoo'!A2941="","",'Ordenes_Odoo'!A2941)</f>
        <v/>
      </c>
      <c r="B2941" s="80">
        <f>IF('Ordenes_Odoo'!B2941="","",'Ordenes_Odoo'!B2941)</f>
        <v/>
      </c>
      <c r="C2941" s="79">
        <f>IF('Ordenes_Odoo'!C2941="","",'Ordenes_Odoo'!C2941)</f>
        <v/>
      </c>
      <c r="D2941" s="79">
        <f>IF('Ordenes_Odoo'!D2941="","",'Ordenes_Odoo'!D2941)</f>
        <v/>
      </c>
      <c r="E2941" s="79">
        <f>IF('Ordenes_Odoo'!E2941="","",'Ordenes_Odoo'!E2941)</f>
        <v/>
      </c>
      <c r="F2941" s="79">
        <f>IF('Ordenes_Odoo'!F2941="","",'Ordenes_Odoo'!F2941)</f>
        <v/>
      </c>
      <c r="G2941" s="79">
        <f>IF('Ordenes_Odoo'!G2941="","",'Ordenes_Odoo'!G2941)</f>
        <v/>
      </c>
      <c r="H2941" s="79">
        <f>IF('Ordenes_Odoo'!H2941="","",'Ordenes_Odoo'!H2941)</f>
        <v/>
      </c>
      <c r="I2941" s="79">
        <f>IF('Ordenes_Odoo'!I2941="","",'Ordenes_Odoo'!I2941)</f>
        <v/>
      </c>
      <c r="J2941" s="79">
        <f>IF('Ordenes_Odoo'!J2941="","",'Ordenes_Odoo'!J2941)</f>
        <v/>
      </c>
      <c r="K2941" s="81">
        <f>IF('Ordenes_Odoo'!K2941="","",'Ordenes_Odoo'!K2941)</f>
        <v/>
      </c>
      <c r="L2941" s="81">
        <f>IF('Ordenes_Odoo'!L2941="","",'Ordenes_Odoo'!L2941)</f>
        <v/>
      </c>
      <c r="M2941" s="79">
        <f>IF('Ordenes_Odoo'!M2941="","",'Ordenes_Odoo'!M2941)</f>
        <v/>
      </c>
      <c r="N2941" s="79">
        <f>IF('Ordenes_Odoo'!N2941="","",'Ordenes_Odoo'!N2941)</f>
        <v/>
      </c>
      <c r="O2941" s="81">
        <f>IF('Ordenes_Odoo'!O2941="","",'Ordenes_Odoo'!O2941)</f>
        <v/>
      </c>
      <c r="P2941" s="81">
        <f>IF('Ordenes_Odoo'!P2941="","",'Ordenes_Odoo'!P2941)</f>
        <v/>
      </c>
      <c r="Q2941" s="79">
        <f>IF(A2941="","",IFERROR(INDEX(Facturas_Odoo!$B:$B, MATCH(A2941, Facturas_Odoo!$D:$D, 0)), "Sin Factura"))</f>
        <v/>
      </c>
      <c r="R2941" s="80">
        <f>IF(Q2941="Sin Factura","",IFERROR(INDEX(Facturas_Odoo!$A:$A, MATCH(Q2941, Facturas_Odoo!$B:$B, 0)), ""))</f>
        <v/>
      </c>
      <c r="S2941" s="79">
        <f>IF(Q2941="Sin Factura","",IFERROR(_xlfn.XLOOKUP(1, (Facturas_Odoo!$D:$D=A2941) * (Facturas_Odoo!$K:$K=I2941), Facturas_Odoo!$L:$L, ""), ""))</f>
        <v/>
      </c>
      <c r="T2941" s="81">
        <f>IF(Q2941="Sin Factura",0,IFERROR(_xlfn.XLOOKUP(1, (Facturas_Odoo!$D:$D=A2941) * (Facturas_Odoo!$K:$K=I2941), Facturas_Odoo!$M:$M, 0), 0))</f>
        <v/>
      </c>
      <c r="U2941" s="79">
        <f>IF(Q2941="Sin Factura",0,IFERROR(_xlfn.XLOOKUP(1, (Facturas_Odoo!$D:$D=A2941) * (Facturas_Odoo!$K:$K=I2941), Facturas_Odoo!$N:$N, 0), 0))</f>
        <v/>
      </c>
      <c r="V2941" s="79">
        <f>IF(Q2941="Sin Factura",0,IFERROR(_xlfn.XLOOKUP(1, (Facturas_Odoo!$D:$D=A2941) * (Facturas_Odoo!$K:$K=I2941), Facturas_Odoo!$O:$O, 0), 0))</f>
        <v/>
      </c>
      <c r="W2941" s="81">
        <f>IF(Q2941="Sin Factura",0,IFERROR(_xlfn.XLOOKUP(1, (Facturas_Odoo!$D:$D=A2941) * (Facturas_Odoo!$K:$K=I2941), Facturas_Odoo!$Q:$Q, 0), 0))</f>
        <v/>
      </c>
      <c r="X2941" s="79">
        <f>IF(OR(Q2941="Sin Factura",Q2941=""),"",IFERROR(INDEX(Pagos_Odoo!$B:$B, MATCH(Q2941, Pagos_Odoo!$I:$I, 0)), "Sin Pago"))</f>
        <v/>
      </c>
      <c r="Y2941" s="79">
        <f>IF(X2941="Sin Pago","",IFERROR(INDEX(Pagos_Odoo!$C:$C, MATCH(X2941, Pagos_Odoo!$B:$B, 0)), ""))</f>
        <v/>
      </c>
      <c r="Z2941" s="80">
        <f>IF(X2941="Sin Pago","",IFERROR(INDEX(Pagos_Odoo!$A:$A, MATCH(X2941, Pagos_Odoo!$B:$B, 0)), ""))</f>
        <v/>
      </c>
      <c r="AA2941" s="79">
        <f>IF(X2941="Sin Pago","",IFERROR(INDEX(Pagos_Odoo!$F:$F, MATCH(X2941, Pagos_Odoo!$B:$B, 0)), ""))</f>
        <v/>
      </c>
      <c r="AB2941" s="81">
        <f>IF(X2941="Sin Pago",0,IFERROR(INDEX(Pagos_Odoo!$E:$E, MATCH(X2941, Pagos_Odoo!$B:$B, 0)), 0))</f>
        <v/>
      </c>
      <c r="AC2941" s="79">
        <f>IF(X2941="Sin Pago","",IFERROR(INDEX(Pagos_Odoo!$G:$G, MATCH(X2941, Pagos_Odoo!$B:$B, 0)), ""))</f>
        <v/>
      </c>
      <c r="AD2941" s="82" t="n">
        <v>0</v>
      </c>
      <c r="AE2941" s="82" t="n"/>
      <c r="AF2941" s="82" t="n"/>
      <c r="AG2941" s="82">
        <f>IF(AN2941="","",AD2941+AE2941+AF2941)</f>
        <v/>
      </c>
      <c r="AH2941" s="81">
        <f>IF(AN2941="","",P2941*(1-AG2941))</f>
        <v/>
      </c>
      <c r="AI2941" s="81">
        <f>IF(AN2941="","",IF(Q2941="Sin Factura",0,IFERROR(INDEX(Facturas_Odoo!$H:$H, MATCH(Q2941, Facturas_Odoo!$B:$B, 0)), 0)*(1-AG2941)))</f>
        <v/>
      </c>
      <c r="AJ2941" s="81">
        <f>IF(AN2941="","",_xlfn.LET(idVenta, AN2941&amp;"",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41" s="81">
        <f>IF(AN2941="","",AH2941-AJ2941)</f>
        <v/>
      </c>
      <c r="AL2941" s="81">
        <f>IF(AN2941="","",IF(Q2941="Sin Factura","",AI2941-AJ2941))</f>
        <v/>
      </c>
      <c r="AM2941" s="81">
        <f>IF(AN2941="","",IF(Q2941="Sin Factura",0,P2941-IFERROR(INDEX(Facturas_Odoo!$H:$H, MATCH(Q2941, Facturas_Odoo!$B:$B, 0)), 0)))</f>
        <v/>
      </c>
      <c r="AN2941" s="79">
        <f>IF(AND(A2941="", J2941=""), "", IF(A2941&lt;&gt;"", VALUE(MID(A2941,2,LEN(A2941))), AN2940))</f>
        <v/>
      </c>
      <c r="AO2941" s="79">
        <f>IF(AN2941="","",IF(AD2941=0,"OK",_xlfn.LET(monedaPago, IF(AA2941="","USD",AA2941), limitePermitido, IFERROR(VLOOKUP(monedaPago, Configuración!$A$2:$B$3, 2, FALSE), 0.15), IF(AD2941&gt;limitePermitido, "ALERTA: EXCESO (" &amp; TEXT(limitePermitido, "0%") &amp; " máx)", "OK"))))</f>
        <v/>
      </c>
      <c r="AP2941" s="79">
        <f>IF(AN2941="","",IF(AE2941=0,"OK",_xlfn.LET(fechaPago, Z2941, fechaFactura, R2941, diasCredito, IF(E2941="Pago inmediato", 0, IFERROR(VALUE(MID(E2941, 1, SEARCH(" ", E2941)-1)),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41" s="79">
        <f>IF(AN2941="","",IF(AND(N2941&gt;0, AG2941&gt;0), IF(Configuración!$K$2="NO", "ALERTA: DESCUENTO DOBLE NO PERMITIDO", "OK"), "OK"))</f>
        <v/>
      </c>
      <c r="AR2941" s="79">
        <f>IF(AN2941="","",IF(OR(AO2941&lt;&gt;"OK", AP2941&lt;&gt;"OK", AQ2941&lt;&gt;"OK"), "⚠️ REVISAR", "OK"))</f>
        <v/>
      </c>
    </row>
    <row r="2942">
      <c r="A2942" s="79">
        <f>IF('Ordenes_Odoo'!A2942="","",'Ordenes_Odoo'!A2942)</f>
        <v/>
      </c>
      <c r="B2942" s="80">
        <f>IF('Ordenes_Odoo'!B2942="","",'Ordenes_Odoo'!B2942)</f>
        <v/>
      </c>
      <c r="C2942" s="79">
        <f>IF('Ordenes_Odoo'!C2942="","",'Ordenes_Odoo'!C2942)</f>
        <v/>
      </c>
      <c r="D2942" s="79">
        <f>IF('Ordenes_Odoo'!D2942="","",'Ordenes_Odoo'!D2942)</f>
        <v/>
      </c>
      <c r="E2942" s="79">
        <f>IF('Ordenes_Odoo'!E2942="","",'Ordenes_Odoo'!E2942)</f>
        <v/>
      </c>
      <c r="F2942" s="79">
        <f>IF('Ordenes_Odoo'!F2942="","",'Ordenes_Odoo'!F2942)</f>
        <v/>
      </c>
      <c r="G2942" s="79">
        <f>IF('Ordenes_Odoo'!G2942="","",'Ordenes_Odoo'!G2942)</f>
        <v/>
      </c>
      <c r="H2942" s="79">
        <f>IF('Ordenes_Odoo'!H2942="","",'Ordenes_Odoo'!H2942)</f>
        <v/>
      </c>
      <c r="I2942" s="79">
        <f>IF('Ordenes_Odoo'!I2942="","",'Ordenes_Odoo'!I2942)</f>
        <v/>
      </c>
      <c r="J2942" s="79">
        <f>IF('Ordenes_Odoo'!J2942="","",'Ordenes_Odoo'!J2942)</f>
        <v/>
      </c>
      <c r="K2942" s="81">
        <f>IF('Ordenes_Odoo'!K2942="","",'Ordenes_Odoo'!K2942)</f>
        <v/>
      </c>
      <c r="L2942" s="81">
        <f>IF('Ordenes_Odoo'!L2942="","",'Ordenes_Odoo'!L2942)</f>
        <v/>
      </c>
      <c r="M2942" s="79">
        <f>IF('Ordenes_Odoo'!M2942="","",'Ordenes_Odoo'!M2942)</f>
        <v/>
      </c>
      <c r="N2942" s="79">
        <f>IF('Ordenes_Odoo'!N2942="","",'Ordenes_Odoo'!N2942)</f>
        <v/>
      </c>
      <c r="O2942" s="81">
        <f>IF('Ordenes_Odoo'!O2942="","",'Ordenes_Odoo'!O2942)</f>
        <v/>
      </c>
      <c r="P2942" s="81">
        <f>IF('Ordenes_Odoo'!P2942="","",'Ordenes_Odoo'!P2942)</f>
        <v/>
      </c>
      <c r="Q2942" s="79">
        <f>IF(A2942="","",IFERROR(INDEX(Facturas_Odoo!$B:$B, MATCH(A2942, Facturas_Odoo!$D:$D, 0)), "Sin Factura"))</f>
        <v/>
      </c>
      <c r="R2942" s="80">
        <f>IF(Q2942="Sin Factura","",IFERROR(INDEX(Facturas_Odoo!$A:$A, MATCH(Q2942, Facturas_Odoo!$B:$B, 0)), ""))</f>
        <v/>
      </c>
      <c r="S2942" s="79">
        <f>IF(Q2942="Sin Factura","",IFERROR(_xlfn.XLOOKUP(1, (Facturas_Odoo!$D:$D=A2942) * (Facturas_Odoo!$K:$K=I2942), Facturas_Odoo!$L:$L, ""), ""))</f>
        <v/>
      </c>
      <c r="T2942" s="81">
        <f>IF(Q2942="Sin Factura",0,IFERROR(_xlfn.XLOOKUP(1, (Facturas_Odoo!$D:$D=A2942) * (Facturas_Odoo!$K:$K=I2942), Facturas_Odoo!$M:$M, 0), 0))</f>
        <v/>
      </c>
      <c r="U2942" s="79">
        <f>IF(Q2942="Sin Factura",0,IFERROR(_xlfn.XLOOKUP(1, (Facturas_Odoo!$D:$D=A2942) * (Facturas_Odoo!$K:$K=I2942), Facturas_Odoo!$N:$N, 0), 0))</f>
        <v/>
      </c>
      <c r="V2942" s="79">
        <f>IF(Q2942="Sin Factura",0,IFERROR(_xlfn.XLOOKUP(1, (Facturas_Odoo!$D:$D=A2942) * (Facturas_Odoo!$K:$K=I2942), Facturas_Odoo!$O:$O, 0), 0))</f>
        <v/>
      </c>
      <c r="W2942" s="81">
        <f>IF(Q2942="Sin Factura",0,IFERROR(_xlfn.XLOOKUP(1, (Facturas_Odoo!$D:$D=A2942) * (Facturas_Odoo!$K:$K=I2942), Facturas_Odoo!$Q:$Q, 0), 0))</f>
        <v/>
      </c>
      <c r="X2942" s="79">
        <f>IF(OR(Q2942="Sin Factura",Q2942=""),"",IFERROR(INDEX(Pagos_Odoo!$B:$B, MATCH(Q2942, Pagos_Odoo!$I:$I, 0)), "Sin Pago"))</f>
        <v/>
      </c>
      <c r="Y2942" s="79">
        <f>IF(X2942="Sin Pago","",IFERROR(INDEX(Pagos_Odoo!$C:$C, MATCH(X2942, Pagos_Odoo!$B:$B, 0)), ""))</f>
        <v/>
      </c>
      <c r="Z2942" s="80">
        <f>IF(X2942="Sin Pago","",IFERROR(INDEX(Pagos_Odoo!$A:$A, MATCH(X2942, Pagos_Odoo!$B:$B, 0)), ""))</f>
        <v/>
      </c>
      <c r="AA2942" s="79">
        <f>IF(X2942="Sin Pago","",IFERROR(INDEX(Pagos_Odoo!$F:$F, MATCH(X2942, Pagos_Odoo!$B:$B, 0)), ""))</f>
        <v/>
      </c>
      <c r="AB2942" s="81">
        <f>IF(X2942="Sin Pago",0,IFERROR(INDEX(Pagos_Odoo!$E:$E, MATCH(X2942, Pagos_Odoo!$B:$B, 0)), 0))</f>
        <v/>
      </c>
      <c r="AC2942" s="79">
        <f>IF(X2942="Sin Pago","",IFERROR(INDEX(Pagos_Odoo!$G:$G, MATCH(X2942, Pagos_Odoo!$B:$B, 0)), ""))</f>
        <v/>
      </c>
      <c r="AD2942" s="82" t="n">
        <v>0</v>
      </c>
      <c r="AE2942" s="82" t="n"/>
      <c r="AF2942" s="82" t="n"/>
      <c r="AG2942" s="82">
        <f>IF(AN2942="","",AD2942+AE2942+AF2942)</f>
        <v/>
      </c>
      <c r="AH2942" s="81">
        <f>IF(AN2942="","",P2942*(1-AG2942))</f>
        <v/>
      </c>
      <c r="AI2942" s="81">
        <f>IF(AN2942="","",IF(Q2942="Sin Factura",0,IFERROR(INDEX(Facturas_Odoo!$H:$H, MATCH(Q2942, Facturas_Odoo!$B:$B, 0)), 0)*(1-AG2942)))</f>
        <v/>
      </c>
      <c r="AJ2942" s="81">
        <f>IF(AN2942="","",_xlfn.LET(idVenta, AN2942&amp;"",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42" s="81">
        <f>IF(AN2942="","",AH2942-AJ2942)</f>
        <v/>
      </c>
      <c r="AL2942" s="81">
        <f>IF(AN2942="","",IF(Q2942="Sin Factura","",AI2942-AJ2942))</f>
        <v/>
      </c>
      <c r="AM2942" s="81">
        <f>IF(AN2942="","",IF(Q2942="Sin Factura",0,P2942-IFERROR(INDEX(Facturas_Odoo!$H:$H, MATCH(Q2942, Facturas_Odoo!$B:$B, 0)), 0)))</f>
        <v/>
      </c>
      <c r="AN2942" s="79">
        <f>IF(AND(A2942="", J2942=""), "", IF(A2942&lt;&gt;"", VALUE(MID(A2942,2,LEN(A2942))), AN2941))</f>
        <v/>
      </c>
      <c r="AO2942" s="79">
        <f>IF(AN2942="","",IF(AD2942=0,"OK",_xlfn.LET(monedaPago, IF(AA2942="","USD",AA2942), limitePermitido, IFERROR(VLOOKUP(monedaPago, Configuración!$A$2:$B$3, 2, FALSE), 0.15), IF(AD2942&gt;limitePermitido, "ALERTA: EXCESO (" &amp; TEXT(limitePermitido, "0%") &amp; " máx)", "OK"))))</f>
        <v/>
      </c>
      <c r="AP2942" s="79">
        <f>IF(AN2942="","",IF(AE2942=0,"OK",_xlfn.LET(fechaPago, Z2942, fechaFactura, R2942, diasCredito, IF(E2942="Pago inmediato", 0, IFERROR(VALUE(MID(E2942, 1, SEARCH(" ", E2942)-1)),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42" s="79">
        <f>IF(AN2942="","",IF(AND(N2942&gt;0, AG2942&gt;0), IF(Configuración!$K$2="NO", "ALERTA: DESCUENTO DOBLE NO PERMITIDO", "OK"), "OK"))</f>
        <v/>
      </c>
      <c r="AR2942" s="79">
        <f>IF(AN2942="","",IF(OR(AO2942&lt;&gt;"OK", AP2942&lt;&gt;"OK", AQ2942&lt;&gt;"OK"), "⚠️ REVISAR", "OK"))</f>
        <v/>
      </c>
    </row>
    <row r="2943">
      <c r="A2943" s="79">
        <f>IF('Ordenes_Odoo'!A2943="","",'Ordenes_Odoo'!A2943)</f>
        <v/>
      </c>
      <c r="B2943" s="80">
        <f>IF('Ordenes_Odoo'!B2943="","",'Ordenes_Odoo'!B2943)</f>
        <v/>
      </c>
      <c r="C2943" s="79">
        <f>IF('Ordenes_Odoo'!C2943="","",'Ordenes_Odoo'!C2943)</f>
        <v/>
      </c>
      <c r="D2943" s="79">
        <f>IF('Ordenes_Odoo'!D2943="","",'Ordenes_Odoo'!D2943)</f>
        <v/>
      </c>
      <c r="E2943" s="79">
        <f>IF('Ordenes_Odoo'!E2943="","",'Ordenes_Odoo'!E2943)</f>
        <v/>
      </c>
      <c r="F2943" s="79">
        <f>IF('Ordenes_Odoo'!F2943="","",'Ordenes_Odoo'!F2943)</f>
        <v/>
      </c>
      <c r="G2943" s="79">
        <f>IF('Ordenes_Odoo'!G2943="","",'Ordenes_Odoo'!G2943)</f>
        <v/>
      </c>
      <c r="H2943" s="79">
        <f>IF('Ordenes_Odoo'!H2943="","",'Ordenes_Odoo'!H2943)</f>
        <v/>
      </c>
      <c r="I2943" s="79">
        <f>IF('Ordenes_Odoo'!I2943="","",'Ordenes_Odoo'!I2943)</f>
        <v/>
      </c>
      <c r="J2943" s="79">
        <f>IF('Ordenes_Odoo'!J2943="","",'Ordenes_Odoo'!J2943)</f>
        <v/>
      </c>
      <c r="K2943" s="81">
        <f>IF('Ordenes_Odoo'!K2943="","",'Ordenes_Odoo'!K2943)</f>
        <v/>
      </c>
      <c r="L2943" s="81">
        <f>IF('Ordenes_Odoo'!L2943="","",'Ordenes_Odoo'!L2943)</f>
        <v/>
      </c>
      <c r="M2943" s="79">
        <f>IF('Ordenes_Odoo'!M2943="","",'Ordenes_Odoo'!M2943)</f>
        <v/>
      </c>
      <c r="N2943" s="79">
        <f>IF('Ordenes_Odoo'!N2943="","",'Ordenes_Odoo'!N2943)</f>
        <v/>
      </c>
      <c r="O2943" s="81">
        <f>IF('Ordenes_Odoo'!O2943="","",'Ordenes_Odoo'!O2943)</f>
        <v/>
      </c>
      <c r="P2943" s="81">
        <f>IF('Ordenes_Odoo'!P2943="","",'Ordenes_Odoo'!P2943)</f>
        <v/>
      </c>
      <c r="Q2943" s="79">
        <f>IF(A2943="","",IFERROR(INDEX(Facturas_Odoo!$B:$B, MATCH(A2943, Facturas_Odoo!$D:$D, 0)), "Sin Factura"))</f>
        <v/>
      </c>
      <c r="R2943" s="80">
        <f>IF(Q2943="Sin Factura","",IFERROR(INDEX(Facturas_Odoo!$A:$A, MATCH(Q2943, Facturas_Odoo!$B:$B, 0)), ""))</f>
        <v/>
      </c>
      <c r="S2943" s="79">
        <f>IF(Q2943="Sin Factura","",IFERROR(_xlfn.XLOOKUP(1, (Facturas_Odoo!$D:$D=A2943) * (Facturas_Odoo!$K:$K=I2943), Facturas_Odoo!$L:$L, ""), ""))</f>
        <v/>
      </c>
      <c r="T2943" s="81">
        <f>IF(Q2943="Sin Factura",0,IFERROR(_xlfn.XLOOKUP(1, (Facturas_Odoo!$D:$D=A2943) * (Facturas_Odoo!$K:$K=I2943), Facturas_Odoo!$M:$M, 0), 0))</f>
        <v/>
      </c>
      <c r="U2943" s="79">
        <f>IF(Q2943="Sin Factura",0,IFERROR(_xlfn.XLOOKUP(1, (Facturas_Odoo!$D:$D=A2943) * (Facturas_Odoo!$K:$K=I2943), Facturas_Odoo!$N:$N, 0), 0))</f>
        <v/>
      </c>
      <c r="V2943" s="79">
        <f>IF(Q2943="Sin Factura",0,IFERROR(_xlfn.XLOOKUP(1, (Facturas_Odoo!$D:$D=A2943) * (Facturas_Odoo!$K:$K=I2943), Facturas_Odoo!$O:$O, 0), 0))</f>
        <v/>
      </c>
      <c r="W2943" s="81">
        <f>IF(Q2943="Sin Factura",0,IFERROR(_xlfn.XLOOKUP(1, (Facturas_Odoo!$D:$D=A2943) * (Facturas_Odoo!$K:$K=I2943), Facturas_Odoo!$Q:$Q, 0), 0))</f>
        <v/>
      </c>
      <c r="X2943" s="79">
        <f>IF(OR(Q2943="Sin Factura",Q2943=""),"",IFERROR(INDEX(Pagos_Odoo!$B:$B, MATCH(Q2943, Pagos_Odoo!$I:$I, 0)), "Sin Pago"))</f>
        <v/>
      </c>
      <c r="Y2943" s="79">
        <f>IF(X2943="Sin Pago","",IFERROR(INDEX(Pagos_Odoo!$C:$C, MATCH(X2943, Pagos_Odoo!$B:$B, 0)), ""))</f>
        <v/>
      </c>
      <c r="Z2943" s="80">
        <f>IF(X2943="Sin Pago","",IFERROR(INDEX(Pagos_Odoo!$A:$A, MATCH(X2943, Pagos_Odoo!$B:$B, 0)), ""))</f>
        <v/>
      </c>
      <c r="AA2943" s="79">
        <f>IF(X2943="Sin Pago","",IFERROR(INDEX(Pagos_Odoo!$F:$F, MATCH(X2943, Pagos_Odoo!$B:$B, 0)), ""))</f>
        <v/>
      </c>
      <c r="AB2943" s="81">
        <f>IF(X2943="Sin Pago",0,IFERROR(INDEX(Pagos_Odoo!$E:$E, MATCH(X2943, Pagos_Odoo!$B:$B, 0)), 0))</f>
        <v/>
      </c>
      <c r="AC2943" s="79">
        <f>IF(X2943="Sin Pago","",IFERROR(INDEX(Pagos_Odoo!$G:$G, MATCH(X2943, Pagos_Odoo!$B:$B, 0)), ""))</f>
        <v/>
      </c>
      <c r="AD2943" s="82" t="n">
        <v>0</v>
      </c>
      <c r="AE2943" s="82" t="n"/>
      <c r="AF2943" s="82" t="n"/>
      <c r="AG2943" s="82">
        <f>IF(AN2943="","",AD2943+AE2943+AF2943)</f>
        <v/>
      </c>
      <c r="AH2943" s="81">
        <f>IF(AN2943="","",P2943*(1-AG2943))</f>
        <v/>
      </c>
      <c r="AI2943" s="81">
        <f>IF(AN2943="","",IF(Q2943="Sin Factura",0,IFERROR(INDEX(Facturas_Odoo!$H:$H, MATCH(Q2943, Facturas_Odoo!$B:$B, 0)), 0)*(1-AG2943)))</f>
        <v/>
      </c>
      <c r="AJ2943" s="81">
        <f>IF(AN2943="","",_xlfn.LET(idVenta, AN2943&amp;"",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43" s="81">
        <f>IF(AN2943="","",AH2943-AJ2943)</f>
        <v/>
      </c>
      <c r="AL2943" s="81">
        <f>IF(AN2943="","",IF(Q2943="Sin Factura","",AI2943-AJ2943))</f>
        <v/>
      </c>
      <c r="AM2943" s="81">
        <f>IF(AN2943="","",IF(Q2943="Sin Factura",0,P2943-IFERROR(INDEX(Facturas_Odoo!$H:$H, MATCH(Q2943, Facturas_Odoo!$B:$B, 0)), 0)))</f>
        <v/>
      </c>
      <c r="AN2943" s="79">
        <f>IF(AND(A2943="", J2943=""), "", IF(A2943&lt;&gt;"", VALUE(MID(A2943,2,LEN(A2943))), AN2942))</f>
        <v/>
      </c>
      <c r="AO2943" s="79">
        <f>IF(AN2943="","",IF(AD2943=0,"OK",_xlfn.LET(monedaPago, IF(AA2943="","USD",AA2943), limitePermitido, IFERROR(VLOOKUP(monedaPago, Configuración!$A$2:$B$3, 2, FALSE), 0.15), IF(AD2943&gt;limitePermitido, "ALERTA: EXCESO (" &amp; TEXT(limitePermitido, "0%") &amp; " máx)", "OK"))))</f>
        <v/>
      </c>
      <c r="AP2943" s="79">
        <f>IF(AN2943="","",IF(AE2943=0,"OK",_xlfn.LET(fechaPago, Z2943, fechaFactura, R2943, diasCredito, IF(E2943="Pago inmediato", 0, IFERROR(VALUE(MID(E2943, 1, SEARCH(" ", E2943)-1)),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43" s="79">
        <f>IF(AN2943="","",IF(AND(N2943&gt;0, AG2943&gt;0), IF(Configuración!$K$2="NO", "ALERTA: DESCUENTO DOBLE NO PERMITIDO", "OK"), "OK"))</f>
        <v/>
      </c>
      <c r="AR2943" s="79">
        <f>IF(AN2943="","",IF(OR(AO2943&lt;&gt;"OK", AP2943&lt;&gt;"OK", AQ2943&lt;&gt;"OK"), "⚠️ REVISAR", "OK"))</f>
        <v/>
      </c>
    </row>
    <row r="2944">
      <c r="A2944" s="79">
        <f>IF('Ordenes_Odoo'!A2944="","",'Ordenes_Odoo'!A2944)</f>
        <v/>
      </c>
      <c r="B2944" s="80">
        <f>IF('Ordenes_Odoo'!B2944="","",'Ordenes_Odoo'!B2944)</f>
        <v/>
      </c>
      <c r="C2944" s="79">
        <f>IF('Ordenes_Odoo'!C2944="","",'Ordenes_Odoo'!C2944)</f>
        <v/>
      </c>
      <c r="D2944" s="79">
        <f>IF('Ordenes_Odoo'!D2944="","",'Ordenes_Odoo'!D2944)</f>
        <v/>
      </c>
      <c r="E2944" s="79">
        <f>IF('Ordenes_Odoo'!E2944="","",'Ordenes_Odoo'!E2944)</f>
        <v/>
      </c>
      <c r="F2944" s="79">
        <f>IF('Ordenes_Odoo'!F2944="","",'Ordenes_Odoo'!F2944)</f>
        <v/>
      </c>
      <c r="G2944" s="79">
        <f>IF('Ordenes_Odoo'!G2944="","",'Ordenes_Odoo'!G2944)</f>
        <v/>
      </c>
      <c r="H2944" s="79">
        <f>IF('Ordenes_Odoo'!H2944="","",'Ordenes_Odoo'!H2944)</f>
        <v/>
      </c>
      <c r="I2944" s="79">
        <f>IF('Ordenes_Odoo'!I2944="","",'Ordenes_Odoo'!I2944)</f>
        <v/>
      </c>
      <c r="J2944" s="79">
        <f>IF('Ordenes_Odoo'!J2944="","",'Ordenes_Odoo'!J2944)</f>
        <v/>
      </c>
      <c r="K2944" s="81">
        <f>IF('Ordenes_Odoo'!K2944="","",'Ordenes_Odoo'!K2944)</f>
        <v/>
      </c>
      <c r="L2944" s="81">
        <f>IF('Ordenes_Odoo'!L2944="","",'Ordenes_Odoo'!L2944)</f>
        <v/>
      </c>
      <c r="M2944" s="79">
        <f>IF('Ordenes_Odoo'!M2944="","",'Ordenes_Odoo'!M2944)</f>
        <v/>
      </c>
      <c r="N2944" s="79">
        <f>IF('Ordenes_Odoo'!N2944="","",'Ordenes_Odoo'!N2944)</f>
        <v/>
      </c>
      <c r="O2944" s="81">
        <f>IF('Ordenes_Odoo'!O2944="","",'Ordenes_Odoo'!O2944)</f>
        <v/>
      </c>
      <c r="P2944" s="81">
        <f>IF('Ordenes_Odoo'!P2944="","",'Ordenes_Odoo'!P2944)</f>
        <v/>
      </c>
      <c r="Q2944" s="79">
        <f>IF(A2944="","",IFERROR(INDEX(Facturas_Odoo!$B:$B, MATCH(A2944, Facturas_Odoo!$D:$D, 0)), "Sin Factura"))</f>
        <v/>
      </c>
      <c r="R2944" s="80">
        <f>IF(Q2944="Sin Factura","",IFERROR(INDEX(Facturas_Odoo!$A:$A, MATCH(Q2944, Facturas_Odoo!$B:$B, 0)), ""))</f>
        <v/>
      </c>
      <c r="S2944" s="79">
        <f>IF(Q2944="Sin Factura","",IFERROR(_xlfn.XLOOKUP(1, (Facturas_Odoo!$D:$D=A2944) * (Facturas_Odoo!$K:$K=I2944), Facturas_Odoo!$L:$L, ""), ""))</f>
        <v/>
      </c>
      <c r="T2944" s="81">
        <f>IF(Q2944="Sin Factura",0,IFERROR(_xlfn.XLOOKUP(1, (Facturas_Odoo!$D:$D=A2944) * (Facturas_Odoo!$K:$K=I2944), Facturas_Odoo!$M:$M, 0), 0))</f>
        <v/>
      </c>
      <c r="U2944" s="79">
        <f>IF(Q2944="Sin Factura",0,IFERROR(_xlfn.XLOOKUP(1, (Facturas_Odoo!$D:$D=A2944) * (Facturas_Odoo!$K:$K=I2944), Facturas_Odoo!$N:$N, 0), 0))</f>
        <v/>
      </c>
      <c r="V2944" s="79">
        <f>IF(Q2944="Sin Factura",0,IFERROR(_xlfn.XLOOKUP(1, (Facturas_Odoo!$D:$D=A2944) * (Facturas_Odoo!$K:$K=I2944), Facturas_Odoo!$O:$O, 0), 0))</f>
        <v/>
      </c>
      <c r="W2944" s="81">
        <f>IF(Q2944="Sin Factura",0,IFERROR(_xlfn.XLOOKUP(1, (Facturas_Odoo!$D:$D=A2944) * (Facturas_Odoo!$K:$K=I2944), Facturas_Odoo!$Q:$Q, 0), 0))</f>
        <v/>
      </c>
      <c r="X2944" s="79">
        <f>IF(OR(Q2944="Sin Factura",Q2944=""),"",IFERROR(INDEX(Pagos_Odoo!$B:$B, MATCH(Q2944, Pagos_Odoo!$I:$I, 0)), "Sin Pago"))</f>
        <v/>
      </c>
      <c r="Y2944" s="79">
        <f>IF(X2944="Sin Pago","",IFERROR(INDEX(Pagos_Odoo!$C:$C, MATCH(X2944, Pagos_Odoo!$B:$B, 0)), ""))</f>
        <v/>
      </c>
      <c r="Z2944" s="80">
        <f>IF(X2944="Sin Pago","",IFERROR(INDEX(Pagos_Odoo!$A:$A, MATCH(X2944, Pagos_Odoo!$B:$B, 0)), ""))</f>
        <v/>
      </c>
      <c r="AA2944" s="79">
        <f>IF(X2944="Sin Pago","",IFERROR(INDEX(Pagos_Odoo!$F:$F, MATCH(X2944, Pagos_Odoo!$B:$B, 0)), ""))</f>
        <v/>
      </c>
      <c r="AB2944" s="81">
        <f>IF(X2944="Sin Pago",0,IFERROR(INDEX(Pagos_Odoo!$E:$E, MATCH(X2944, Pagos_Odoo!$B:$B, 0)), 0))</f>
        <v/>
      </c>
      <c r="AC2944" s="79">
        <f>IF(X2944="Sin Pago","",IFERROR(INDEX(Pagos_Odoo!$G:$G, MATCH(X2944, Pagos_Odoo!$B:$B, 0)), ""))</f>
        <v/>
      </c>
      <c r="AD2944" s="82" t="n">
        <v>0</v>
      </c>
      <c r="AE2944" s="82" t="n"/>
      <c r="AF2944" s="82" t="n"/>
      <c r="AG2944" s="82">
        <f>IF(AN2944="","",AD2944+AE2944+AF2944)</f>
        <v/>
      </c>
      <c r="AH2944" s="81">
        <f>IF(AN2944="","",P2944*(1-AG2944))</f>
        <v/>
      </c>
      <c r="AI2944" s="81">
        <f>IF(AN2944="","",IF(Q2944="Sin Factura",0,IFERROR(INDEX(Facturas_Odoo!$H:$H, MATCH(Q2944, Facturas_Odoo!$B:$B, 0)), 0)*(1-AG2944)))</f>
        <v/>
      </c>
      <c r="AJ2944" s="81">
        <f>IF(AN2944="","",_xlfn.LET(idVenta, AN2944&amp;"",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44" s="81">
        <f>IF(AN2944="","",AH2944-AJ2944)</f>
        <v/>
      </c>
      <c r="AL2944" s="81">
        <f>IF(AN2944="","",IF(Q2944="Sin Factura","",AI2944-AJ2944))</f>
        <v/>
      </c>
      <c r="AM2944" s="81">
        <f>IF(AN2944="","",IF(Q2944="Sin Factura",0,P2944-IFERROR(INDEX(Facturas_Odoo!$H:$H, MATCH(Q2944, Facturas_Odoo!$B:$B, 0)), 0)))</f>
        <v/>
      </c>
      <c r="AN2944" s="79">
        <f>IF(AND(A2944="", J2944=""), "", IF(A2944&lt;&gt;"", VALUE(MID(A2944,2,LEN(A2944))), AN2943))</f>
        <v/>
      </c>
      <c r="AO2944" s="79">
        <f>IF(AN2944="","",IF(AD2944=0,"OK",_xlfn.LET(monedaPago, IF(AA2944="","USD",AA2944), limitePermitido, IFERROR(VLOOKUP(monedaPago, Configuración!$A$2:$B$3, 2, FALSE), 0.15), IF(AD2944&gt;limitePermitido, "ALERTA: EXCESO (" &amp; TEXT(limitePermitido, "0%") &amp; " máx)", "OK"))))</f>
        <v/>
      </c>
      <c r="AP2944" s="79">
        <f>IF(AN2944="","",IF(AE2944=0,"OK",_xlfn.LET(fechaPago, Z2944, fechaFactura, R2944, diasCredito, IF(E2944="Pago inmediato", 0, IFERROR(VALUE(MID(E2944, 1, SEARCH(" ", E2944)-1)),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44" s="79">
        <f>IF(AN2944="","",IF(AND(N2944&gt;0, AG2944&gt;0), IF(Configuración!$K$2="NO", "ALERTA: DESCUENTO DOBLE NO PERMITIDO", "OK"), "OK"))</f>
        <v/>
      </c>
      <c r="AR2944" s="79">
        <f>IF(AN2944="","",IF(OR(AO2944&lt;&gt;"OK", AP2944&lt;&gt;"OK", AQ2944&lt;&gt;"OK"), "⚠️ REVISAR", "OK"))</f>
        <v/>
      </c>
    </row>
    <row r="2945">
      <c r="A2945" s="79">
        <f>IF('Ordenes_Odoo'!A2945="","",'Ordenes_Odoo'!A2945)</f>
        <v/>
      </c>
      <c r="B2945" s="80">
        <f>IF('Ordenes_Odoo'!B2945="","",'Ordenes_Odoo'!B2945)</f>
        <v/>
      </c>
      <c r="C2945" s="79">
        <f>IF('Ordenes_Odoo'!C2945="","",'Ordenes_Odoo'!C2945)</f>
        <v/>
      </c>
      <c r="D2945" s="79">
        <f>IF('Ordenes_Odoo'!D2945="","",'Ordenes_Odoo'!D2945)</f>
        <v/>
      </c>
      <c r="E2945" s="79">
        <f>IF('Ordenes_Odoo'!E2945="","",'Ordenes_Odoo'!E2945)</f>
        <v/>
      </c>
      <c r="F2945" s="79">
        <f>IF('Ordenes_Odoo'!F2945="","",'Ordenes_Odoo'!F2945)</f>
        <v/>
      </c>
      <c r="G2945" s="79">
        <f>IF('Ordenes_Odoo'!G2945="","",'Ordenes_Odoo'!G2945)</f>
        <v/>
      </c>
      <c r="H2945" s="79">
        <f>IF('Ordenes_Odoo'!H2945="","",'Ordenes_Odoo'!H2945)</f>
        <v/>
      </c>
      <c r="I2945" s="79">
        <f>IF('Ordenes_Odoo'!I2945="","",'Ordenes_Odoo'!I2945)</f>
        <v/>
      </c>
      <c r="J2945" s="79">
        <f>IF('Ordenes_Odoo'!J2945="","",'Ordenes_Odoo'!J2945)</f>
        <v/>
      </c>
      <c r="K2945" s="81">
        <f>IF('Ordenes_Odoo'!K2945="","",'Ordenes_Odoo'!K2945)</f>
        <v/>
      </c>
      <c r="L2945" s="81">
        <f>IF('Ordenes_Odoo'!L2945="","",'Ordenes_Odoo'!L2945)</f>
        <v/>
      </c>
      <c r="M2945" s="79">
        <f>IF('Ordenes_Odoo'!M2945="","",'Ordenes_Odoo'!M2945)</f>
        <v/>
      </c>
      <c r="N2945" s="79">
        <f>IF('Ordenes_Odoo'!N2945="","",'Ordenes_Odoo'!N2945)</f>
        <v/>
      </c>
      <c r="O2945" s="81">
        <f>IF('Ordenes_Odoo'!O2945="","",'Ordenes_Odoo'!O2945)</f>
        <v/>
      </c>
      <c r="P2945" s="81">
        <f>IF('Ordenes_Odoo'!P2945="","",'Ordenes_Odoo'!P2945)</f>
        <v/>
      </c>
      <c r="Q2945" s="79">
        <f>IF(A2945="","",IFERROR(INDEX(Facturas_Odoo!$B:$B, MATCH(A2945, Facturas_Odoo!$D:$D, 0)), "Sin Factura"))</f>
        <v/>
      </c>
      <c r="R2945" s="80">
        <f>IF(Q2945="Sin Factura","",IFERROR(INDEX(Facturas_Odoo!$A:$A, MATCH(Q2945, Facturas_Odoo!$B:$B, 0)), ""))</f>
        <v/>
      </c>
      <c r="S2945" s="79">
        <f>IF(Q2945="Sin Factura","",IFERROR(_xlfn.XLOOKUP(1, (Facturas_Odoo!$D:$D=A2945) * (Facturas_Odoo!$K:$K=I2945), Facturas_Odoo!$L:$L, ""), ""))</f>
        <v/>
      </c>
      <c r="T2945" s="81">
        <f>IF(Q2945="Sin Factura",0,IFERROR(_xlfn.XLOOKUP(1, (Facturas_Odoo!$D:$D=A2945) * (Facturas_Odoo!$K:$K=I2945), Facturas_Odoo!$M:$M, 0), 0))</f>
        <v/>
      </c>
      <c r="U2945" s="79">
        <f>IF(Q2945="Sin Factura",0,IFERROR(_xlfn.XLOOKUP(1, (Facturas_Odoo!$D:$D=A2945) * (Facturas_Odoo!$K:$K=I2945), Facturas_Odoo!$N:$N, 0), 0))</f>
        <v/>
      </c>
      <c r="V2945" s="79">
        <f>IF(Q2945="Sin Factura",0,IFERROR(_xlfn.XLOOKUP(1, (Facturas_Odoo!$D:$D=A2945) * (Facturas_Odoo!$K:$K=I2945), Facturas_Odoo!$O:$O, 0), 0))</f>
        <v/>
      </c>
      <c r="W2945" s="81">
        <f>IF(Q2945="Sin Factura",0,IFERROR(_xlfn.XLOOKUP(1, (Facturas_Odoo!$D:$D=A2945) * (Facturas_Odoo!$K:$K=I2945), Facturas_Odoo!$Q:$Q, 0), 0))</f>
        <v/>
      </c>
      <c r="X2945" s="79">
        <f>IF(OR(Q2945="Sin Factura",Q2945=""),"",IFERROR(INDEX(Pagos_Odoo!$B:$B, MATCH(Q2945, Pagos_Odoo!$I:$I, 0)), "Sin Pago"))</f>
        <v/>
      </c>
      <c r="Y2945" s="79">
        <f>IF(X2945="Sin Pago","",IFERROR(INDEX(Pagos_Odoo!$C:$C, MATCH(X2945, Pagos_Odoo!$B:$B, 0)), ""))</f>
        <v/>
      </c>
      <c r="Z2945" s="80">
        <f>IF(X2945="Sin Pago","",IFERROR(INDEX(Pagos_Odoo!$A:$A, MATCH(X2945, Pagos_Odoo!$B:$B, 0)), ""))</f>
        <v/>
      </c>
      <c r="AA2945" s="79">
        <f>IF(X2945="Sin Pago","",IFERROR(INDEX(Pagos_Odoo!$F:$F, MATCH(X2945, Pagos_Odoo!$B:$B, 0)), ""))</f>
        <v/>
      </c>
      <c r="AB2945" s="81">
        <f>IF(X2945="Sin Pago",0,IFERROR(INDEX(Pagos_Odoo!$E:$E, MATCH(X2945, Pagos_Odoo!$B:$B, 0)), 0))</f>
        <v/>
      </c>
      <c r="AC2945" s="79">
        <f>IF(X2945="Sin Pago","",IFERROR(INDEX(Pagos_Odoo!$G:$G, MATCH(X2945, Pagos_Odoo!$B:$B, 0)), ""))</f>
        <v/>
      </c>
      <c r="AD2945" s="82" t="n">
        <v>0</v>
      </c>
      <c r="AE2945" s="82" t="n"/>
      <c r="AF2945" s="82" t="n"/>
      <c r="AG2945" s="82">
        <f>IF(AN2945="","",AD2945+AE2945+AF2945)</f>
        <v/>
      </c>
      <c r="AH2945" s="81">
        <f>IF(AN2945="","",P2945*(1-AG2945))</f>
        <v/>
      </c>
      <c r="AI2945" s="81">
        <f>IF(AN2945="","",IF(Q2945="Sin Factura",0,IFERROR(INDEX(Facturas_Odoo!$H:$H, MATCH(Q2945, Facturas_Odoo!$B:$B, 0)), 0)*(1-AG2945)))</f>
        <v/>
      </c>
      <c r="AJ2945" s="81">
        <f>IF(AN2945="","",_xlfn.LET(idVenta, AN2945&amp;"",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45" s="81">
        <f>IF(AN2945="","",AH2945-AJ2945)</f>
        <v/>
      </c>
      <c r="AL2945" s="81">
        <f>IF(AN2945="","",IF(Q2945="Sin Factura","",AI2945-AJ2945))</f>
        <v/>
      </c>
      <c r="AM2945" s="81">
        <f>IF(AN2945="","",IF(Q2945="Sin Factura",0,P2945-IFERROR(INDEX(Facturas_Odoo!$H:$H, MATCH(Q2945, Facturas_Odoo!$B:$B, 0)), 0)))</f>
        <v/>
      </c>
      <c r="AN2945" s="79">
        <f>IF(AND(A2945="", J2945=""), "", IF(A2945&lt;&gt;"", VALUE(MID(A2945,2,LEN(A2945))), AN2944))</f>
        <v/>
      </c>
      <c r="AO2945" s="79">
        <f>IF(AN2945="","",IF(AD2945=0,"OK",_xlfn.LET(monedaPago, IF(AA2945="","USD",AA2945), limitePermitido, IFERROR(VLOOKUP(monedaPago, Configuración!$A$2:$B$3, 2, FALSE), 0.15), IF(AD2945&gt;limitePermitido, "ALERTA: EXCESO (" &amp; TEXT(limitePermitido, "0%") &amp; " máx)", "OK"))))</f>
        <v/>
      </c>
      <c r="AP2945" s="79">
        <f>IF(AN2945="","",IF(AE2945=0,"OK",_xlfn.LET(fechaPago, Z2945, fechaFactura, R2945, diasCredito, IF(E2945="Pago inmediato", 0, IFERROR(VALUE(MID(E2945, 1, SEARCH(" ", E2945)-1)),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45" s="79">
        <f>IF(AN2945="","",IF(AND(N2945&gt;0, AG2945&gt;0), IF(Configuración!$K$2="NO", "ALERTA: DESCUENTO DOBLE NO PERMITIDO", "OK"), "OK"))</f>
        <v/>
      </c>
      <c r="AR2945" s="79">
        <f>IF(AN2945="","",IF(OR(AO2945&lt;&gt;"OK", AP2945&lt;&gt;"OK", AQ2945&lt;&gt;"OK"), "⚠️ REVISAR", "OK"))</f>
        <v/>
      </c>
    </row>
    <row r="2946">
      <c r="A2946" s="79">
        <f>IF('Ordenes_Odoo'!A2946="","",'Ordenes_Odoo'!A2946)</f>
        <v/>
      </c>
      <c r="B2946" s="80">
        <f>IF('Ordenes_Odoo'!B2946="","",'Ordenes_Odoo'!B2946)</f>
        <v/>
      </c>
      <c r="C2946" s="79">
        <f>IF('Ordenes_Odoo'!C2946="","",'Ordenes_Odoo'!C2946)</f>
        <v/>
      </c>
      <c r="D2946" s="79">
        <f>IF('Ordenes_Odoo'!D2946="","",'Ordenes_Odoo'!D2946)</f>
        <v/>
      </c>
      <c r="E2946" s="79">
        <f>IF('Ordenes_Odoo'!E2946="","",'Ordenes_Odoo'!E2946)</f>
        <v/>
      </c>
      <c r="F2946" s="79">
        <f>IF('Ordenes_Odoo'!F2946="","",'Ordenes_Odoo'!F2946)</f>
        <v/>
      </c>
      <c r="G2946" s="79">
        <f>IF('Ordenes_Odoo'!G2946="","",'Ordenes_Odoo'!G2946)</f>
        <v/>
      </c>
      <c r="H2946" s="79">
        <f>IF('Ordenes_Odoo'!H2946="","",'Ordenes_Odoo'!H2946)</f>
        <v/>
      </c>
      <c r="I2946" s="79">
        <f>IF('Ordenes_Odoo'!I2946="","",'Ordenes_Odoo'!I2946)</f>
        <v/>
      </c>
      <c r="J2946" s="79">
        <f>IF('Ordenes_Odoo'!J2946="","",'Ordenes_Odoo'!J2946)</f>
        <v/>
      </c>
      <c r="K2946" s="81">
        <f>IF('Ordenes_Odoo'!K2946="","",'Ordenes_Odoo'!K2946)</f>
        <v/>
      </c>
      <c r="L2946" s="81">
        <f>IF('Ordenes_Odoo'!L2946="","",'Ordenes_Odoo'!L2946)</f>
        <v/>
      </c>
      <c r="M2946" s="79">
        <f>IF('Ordenes_Odoo'!M2946="","",'Ordenes_Odoo'!M2946)</f>
        <v/>
      </c>
      <c r="N2946" s="79">
        <f>IF('Ordenes_Odoo'!N2946="","",'Ordenes_Odoo'!N2946)</f>
        <v/>
      </c>
      <c r="O2946" s="81">
        <f>IF('Ordenes_Odoo'!O2946="","",'Ordenes_Odoo'!O2946)</f>
        <v/>
      </c>
      <c r="P2946" s="81">
        <f>IF('Ordenes_Odoo'!P2946="","",'Ordenes_Odoo'!P2946)</f>
        <v/>
      </c>
      <c r="Q2946" s="79">
        <f>IF(A2946="","",IFERROR(INDEX(Facturas_Odoo!$B:$B, MATCH(A2946, Facturas_Odoo!$D:$D, 0)), "Sin Factura"))</f>
        <v/>
      </c>
      <c r="R2946" s="80">
        <f>IF(Q2946="Sin Factura","",IFERROR(INDEX(Facturas_Odoo!$A:$A, MATCH(Q2946, Facturas_Odoo!$B:$B, 0)), ""))</f>
        <v/>
      </c>
      <c r="S2946" s="79">
        <f>IF(Q2946="Sin Factura","",IFERROR(_xlfn.XLOOKUP(1, (Facturas_Odoo!$D:$D=A2946) * (Facturas_Odoo!$K:$K=I2946), Facturas_Odoo!$L:$L, ""), ""))</f>
        <v/>
      </c>
      <c r="T2946" s="81">
        <f>IF(Q2946="Sin Factura",0,IFERROR(_xlfn.XLOOKUP(1, (Facturas_Odoo!$D:$D=A2946) * (Facturas_Odoo!$K:$K=I2946), Facturas_Odoo!$M:$M, 0), 0))</f>
        <v/>
      </c>
      <c r="U2946" s="79">
        <f>IF(Q2946="Sin Factura",0,IFERROR(_xlfn.XLOOKUP(1, (Facturas_Odoo!$D:$D=A2946) * (Facturas_Odoo!$K:$K=I2946), Facturas_Odoo!$N:$N, 0), 0))</f>
        <v/>
      </c>
      <c r="V2946" s="79">
        <f>IF(Q2946="Sin Factura",0,IFERROR(_xlfn.XLOOKUP(1, (Facturas_Odoo!$D:$D=A2946) * (Facturas_Odoo!$K:$K=I2946), Facturas_Odoo!$O:$O, 0), 0))</f>
        <v/>
      </c>
      <c r="W2946" s="81">
        <f>IF(Q2946="Sin Factura",0,IFERROR(_xlfn.XLOOKUP(1, (Facturas_Odoo!$D:$D=A2946) * (Facturas_Odoo!$K:$K=I2946), Facturas_Odoo!$Q:$Q, 0), 0))</f>
        <v/>
      </c>
      <c r="X2946" s="79">
        <f>IF(OR(Q2946="Sin Factura",Q2946=""),"",IFERROR(INDEX(Pagos_Odoo!$B:$B, MATCH(Q2946, Pagos_Odoo!$I:$I, 0)), "Sin Pago"))</f>
        <v/>
      </c>
      <c r="Y2946" s="79">
        <f>IF(X2946="Sin Pago","",IFERROR(INDEX(Pagos_Odoo!$C:$C, MATCH(X2946, Pagos_Odoo!$B:$B, 0)), ""))</f>
        <v/>
      </c>
      <c r="Z2946" s="80">
        <f>IF(X2946="Sin Pago","",IFERROR(INDEX(Pagos_Odoo!$A:$A, MATCH(X2946, Pagos_Odoo!$B:$B, 0)), ""))</f>
        <v/>
      </c>
      <c r="AA2946" s="79">
        <f>IF(X2946="Sin Pago","",IFERROR(INDEX(Pagos_Odoo!$F:$F, MATCH(X2946, Pagos_Odoo!$B:$B, 0)), ""))</f>
        <v/>
      </c>
      <c r="AB2946" s="81">
        <f>IF(X2946="Sin Pago",0,IFERROR(INDEX(Pagos_Odoo!$E:$E, MATCH(X2946, Pagos_Odoo!$B:$B, 0)), 0))</f>
        <v/>
      </c>
      <c r="AC2946" s="79">
        <f>IF(X2946="Sin Pago","",IFERROR(INDEX(Pagos_Odoo!$G:$G, MATCH(X2946, Pagos_Odoo!$B:$B, 0)), ""))</f>
        <v/>
      </c>
      <c r="AD2946" s="82" t="n">
        <v>0</v>
      </c>
      <c r="AE2946" s="82" t="n"/>
      <c r="AF2946" s="82" t="n"/>
      <c r="AG2946" s="82">
        <f>IF(AN2946="","",AD2946+AE2946+AF2946)</f>
        <v/>
      </c>
      <c r="AH2946" s="81">
        <f>IF(AN2946="","",P2946*(1-AG2946))</f>
        <v/>
      </c>
      <c r="AI2946" s="81">
        <f>IF(AN2946="","",IF(Q2946="Sin Factura",0,IFERROR(INDEX(Facturas_Odoo!$H:$H, MATCH(Q2946, Facturas_Odoo!$B:$B, 0)), 0)*(1-AG2946)))</f>
        <v/>
      </c>
      <c r="AJ2946" s="81">
        <f>IF(AN2946="","",_xlfn.LET(idVenta, AN2946&amp;"",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46" s="81">
        <f>IF(AN2946="","",AH2946-AJ2946)</f>
        <v/>
      </c>
      <c r="AL2946" s="81">
        <f>IF(AN2946="","",IF(Q2946="Sin Factura","",AI2946-AJ2946))</f>
        <v/>
      </c>
      <c r="AM2946" s="81">
        <f>IF(AN2946="","",IF(Q2946="Sin Factura",0,P2946-IFERROR(INDEX(Facturas_Odoo!$H:$H, MATCH(Q2946, Facturas_Odoo!$B:$B, 0)), 0)))</f>
        <v/>
      </c>
      <c r="AN2946" s="79">
        <f>IF(AND(A2946="", J2946=""), "", IF(A2946&lt;&gt;"", VALUE(MID(A2946,2,LEN(A2946))), AN2945))</f>
        <v/>
      </c>
      <c r="AO2946" s="79">
        <f>IF(AN2946="","",IF(AD2946=0,"OK",_xlfn.LET(monedaPago, IF(AA2946="","USD",AA2946), limitePermitido, IFERROR(VLOOKUP(monedaPago, Configuración!$A$2:$B$3, 2, FALSE), 0.15), IF(AD2946&gt;limitePermitido, "ALERTA: EXCESO (" &amp; TEXT(limitePermitido, "0%") &amp; " máx)", "OK"))))</f>
        <v/>
      </c>
      <c r="AP2946" s="79">
        <f>IF(AN2946="","",IF(AE2946=0,"OK",_xlfn.LET(fechaPago, Z2946, fechaFactura, R2946, diasCredito, IF(E2946="Pago inmediato", 0, IFERROR(VALUE(MID(E2946, 1, SEARCH(" ", E2946)-1)),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46" s="79">
        <f>IF(AN2946="","",IF(AND(N2946&gt;0, AG2946&gt;0), IF(Configuración!$K$2="NO", "ALERTA: DESCUENTO DOBLE NO PERMITIDO", "OK"), "OK"))</f>
        <v/>
      </c>
      <c r="AR2946" s="79">
        <f>IF(AN2946="","",IF(OR(AO2946&lt;&gt;"OK", AP2946&lt;&gt;"OK", AQ2946&lt;&gt;"OK"), "⚠️ REVISAR", "OK"))</f>
        <v/>
      </c>
    </row>
    <row r="2947">
      <c r="A2947" s="79">
        <f>IF('Ordenes_Odoo'!A2947="","",'Ordenes_Odoo'!A2947)</f>
        <v/>
      </c>
      <c r="B2947" s="80">
        <f>IF('Ordenes_Odoo'!B2947="","",'Ordenes_Odoo'!B2947)</f>
        <v/>
      </c>
      <c r="C2947" s="79">
        <f>IF('Ordenes_Odoo'!C2947="","",'Ordenes_Odoo'!C2947)</f>
        <v/>
      </c>
      <c r="D2947" s="79">
        <f>IF('Ordenes_Odoo'!D2947="","",'Ordenes_Odoo'!D2947)</f>
        <v/>
      </c>
      <c r="E2947" s="79">
        <f>IF('Ordenes_Odoo'!E2947="","",'Ordenes_Odoo'!E2947)</f>
        <v/>
      </c>
      <c r="F2947" s="79">
        <f>IF('Ordenes_Odoo'!F2947="","",'Ordenes_Odoo'!F2947)</f>
        <v/>
      </c>
      <c r="G2947" s="79">
        <f>IF('Ordenes_Odoo'!G2947="","",'Ordenes_Odoo'!G2947)</f>
        <v/>
      </c>
      <c r="H2947" s="79">
        <f>IF('Ordenes_Odoo'!H2947="","",'Ordenes_Odoo'!H2947)</f>
        <v/>
      </c>
      <c r="I2947" s="79">
        <f>IF('Ordenes_Odoo'!I2947="","",'Ordenes_Odoo'!I2947)</f>
        <v/>
      </c>
      <c r="J2947" s="79">
        <f>IF('Ordenes_Odoo'!J2947="","",'Ordenes_Odoo'!J2947)</f>
        <v/>
      </c>
      <c r="K2947" s="81">
        <f>IF('Ordenes_Odoo'!K2947="","",'Ordenes_Odoo'!K2947)</f>
        <v/>
      </c>
      <c r="L2947" s="81">
        <f>IF('Ordenes_Odoo'!L2947="","",'Ordenes_Odoo'!L2947)</f>
        <v/>
      </c>
      <c r="M2947" s="79">
        <f>IF('Ordenes_Odoo'!M2947="","",'Ordenes_Odoo'!M2947)</f>
        <v/>
      </c>
      <c r="N2947" s="79">
        <f>IF('Ordenes_Odoo'!N2947="","",'Ordenes_Odoo'!N2947)</f>
        <v/>
      </c>
      <c r="O2947" s="81">
        <f>IF('Ordenes_Odoo'!O2947="","",'Ordenes_Odoo'!O2947)</f>
        <v/>
      </c>
      <c r="P2947" s="81">
        <f>IF('Ordenes_Odoo'!P2947="","",'Ordenes_Odoo'!P2947)</f>
        <v/>
      </c>
      <c r="Q2947" s="79">
        <f>IF(A2947="","",IFERROR(INDEX(Facturas_Odoo!$B:$B, MATCH(A2947, Facturas_Odoo!$D:$D, 0)), "Sin Factura"))</f>
        <v/>
      </c>
      <c r="R2947" s="80">
        <f>IF(Q2947="Sin Factura","",IFERROR(INDEX(Facturas_Odoo!$A:$A, MATCH(Q2947, Facturas_Odoo!$B:$B, 0)), ""))</f>
        <v/>
      </c>
      <c r="S2947" s="79">
        <f>IF(Q2947="Sin Factura","",IFERROR(_xlfn.XLOOKUP(1, (Facturas_Odoo!$D:$D=A2947) * (Facturas_Odoo!$K:$K=I2947), Facturas_Odoo!$L:$L, ""), ""))</f>
        <v/>
      </c>
      <c r="T2947" s="81">
        <f>IF(Q2947="Sin Factura",0,IFERROR(_xlfn.XLOOKUP(1, (Facturas_Odoo!$D:$D=A2947) * (Facturas_Odoo!$K:$K=I2947), Facturas_Odoo!$M:$M, 0), 0))</f>
        <v/>
      </c>
      <c r="U2947" s="79">
        <f>IF(Q2947="Sin Factura",0,IFERROR(_xlfn.XLOOKUP(1, (Facturas_Odoo!$D:$D=A2947) * (Facturas_Odoo!$K:$K=I2947), Facturas_Odoo!$N:$N, 0), 0))</f>
        <v/>
      </c>
      <c r="V2947" s="79">
        <f>IF(Q2947="Sin Factura",0,IFERROR(_xlfn.XLOOKUP(1, (Facturas_Odoo!$D:$D=A2947) * (Facturas_Odoo!$K:$K=I2947), Facturas_Odoo!$O:$O, 0), 0))</f>
        <v/>
      </c>
      <c r="W2947" s="81">
        <f>IF(Q2947="Sin Factura",0,IFERROR(_xlfn.XLOOKUP(1, (Facturas_Odoo!$D:$D=A2947) * (Facturas_Odoo!$K:$K=I2947), Facturas_Odoo!$Q:$Q, 0), 0))</f>
        <v/>
      </c>
      <c r="X2947" s="79">
        <f>IF(OR(Q2947="Sin Factura",Q2947=""),"",IFERROR(INDEX(Pagos_Odoo!$B:$B, MATCH(Q2947, Pagos_Odoo!$I:$I, 0)), "Sin Pago"))</f>
        <v/>
      </c>
      <c r="Y2947" s="79">
        <f>IF(X2947="Sin Pago","",IFERROR(INDEX(Pagos_Odoo!$C:$C, MATCH(X2947, Pagos_Odoo!$B:$B, 0)), ""))</f>
        <v/>
      </c>
      <c r="Z2947" s="80">
        <f>IF(X2947="Sin Pago","",IFERROR(INDEX(Pagos_Odoo!$A:$A, MATCH(X2947, Pagos_Odoo!$B:$B, 0)), ""))</f>
        <v/>
      </c>
      <c r="AA2947" s="79">
        <f>IF(X2947="Sin Pago","",IFERROR(INDEX(Pagos_Odoo!$F:$F, MATCH(X2947, Pagos_Odoo!$B:$B, 0)), ""))</f>
        <v/>
      </c>
      <c r="AB2947" s="81">
        <f>IF(X2947="Sin Pago",0,IFERROR(INDEX(Pagos_Odoo!$E:$E, MATCH(X2947, Pagos_Odoo!$B:$B, 0)), 0))</f>
        <v/>
      </c>
      <c r="AC2947" s="79">
        <f>IF(X2947="Sin Pago","",IFERROR(INDEX(Pagos_Odoo!$G:$G, MATCH(X2947, Pagos_Odoo!$B:$B, 0)), ""))</f>
        <v/>
      </c>
      <c r="AD2947" s="82" t="n">
        <v>0</v>
      </c>
      <c r="AE2947" s="82" t="n"/>
      <c r="AF2947" s="82" t="n"/>
      <c r="AG2947" s="82">
        <f>IF(AN2947="","",AD2947+AE2947+AF2947)</f>
        <v/>
      </c>
      <c r="AH2947" s="81">
        <f>IF(AN2947="","",P2947*(1-AG2947))</f>
        <v/>
      </c>
      <c r="AI2947" s="81">
        <f>IF(AN2947="","",IF(Q2947="Sin Factura",0,IFERROR(INDEX(Facturas_Odoo!$H:$H, MATCH(Q2947, Facturas_Odoo!$B:$B, 0)), 0)*(1-AG2947)))</f>
        <v/>
      </c>
      <c r="AJ2947" s="81">
        <f>IF(AN2947="","",_xlfn.LET(idVenta, AN2947&amp;"",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47" s="81">
        <f>IF(AN2947="","",AH2947-AJ2947)</f>
        <v/>
      </c>
      <c r="AL2947" s="81">
        <f>IF(AN2947="","",IF(Q2947="Sin Factura","",AI2947-AJ2947))</f>
        <v/>
      </c>
      <c r="AM2947" s="81">
        <f>IF(AN2947="","",IF(Q2947="Sin Factura",0,P2947-IFERROR(INDEX(Facturas_Odoo!$H:$H, MATCH(Q2947, Facturas_Odoo!$B:$B, 0)), 0)))</f>
        <v/>
      </c>
      <c r="AN2947" s="79">
        <f>IF(AND(A2947="", J2947=""), "", IF(A2947&lt;&gt;"", VALUE(MID(A2947,2,LEN(A2947))), AN2946))</f>
        <v/>
      </c>
      <c r="AO2947" s="79">
        <f>IF(AN2947="","",IF(AD2947=0,"OK",_xlfn.LET(monedaPago, IF(AA2947="","USD",AA2947), limitePermitido, IFERROR(VLOOKUP(monedaPago, Configuración!$A$2:$B$3, 2, FALSE), 0.15), IF(AD2947&gt;limitePermitido, "ALERTA: EXCESO (" &amp; TEXT(limitePermitido, "0%") &amp; " máx)", "OK"))))</f>
        <v/>
      </c>
      <c r="AP2947" s="79">
        <f>IF(AN2947="","",IF(AE2947=0,"OK",_xlfn.LET(fechaPago, Z2947, fechaFactura, R2947, diasCredito, IF(E2947="Pago inmediato", 0, IFERROR(VALUE(MID(E2947, 1, SEARCH(" ", E2947)-1)),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47" s="79">
        <f>IF(AN2947="","",IF(AND(N2947&gt;0, AG2947&gt;0), IF(Configuración!$K$2="NO", "ALERTA: DESCUENTO DOBLE NO PERMITIDO", "OK"), "OK"))</f>
        <v/>
      </c>
      <c r="AR2947" s="79">
        <f>IF(AN2947="","",IF(OR(AO2947&lt;&gt;"OK", AP2947&lt;&gt;"OK", AQ2947&lt;&gt;"OK"), "⚠️ REVISAR", "OK"))</f>
        <v/>
      </c>
    </row>
    <row r="2948">
      <c r="A2948" s="79">
        <f>IF('Ordenes_Odoo'!A2948="","",'Ordenes_Odoo'!A2948)</f>
        <v/>
      </c>
      <c r="B2948" s="80">
        <f>IF('Ordenes_Odoo'!B2948="","",'Ordenes_Odoo'!B2948)</f>
        <v/>
      </c>
      <c r="C2948" s="79">
        <f>IF('Ordenes_Odoo'!C2948="","",'Ordenes_Odoo'!C2948)</f>
        <v/>
      </c>
      <c r="D2948" s="79">
        <f>IF('Ordenes_Odoo'!D2948="","",'Ordenes_Odoo'!D2948)</f>
        <v/>
      </c>
      <c r="E2948" s="79">
        <f>IF('Ordenes_Odoo'!E2948="","",'Ordenes_Odoo'!E2948)</f>
        <v/>
      </c>
      <c r="F2948" s="79">
        <f>IF('Ordenes_Odoo'!F2948="","",'Ordenes_Odoo'!F2948)</f>
        <v/>
      </c>
      <c r="G2948" s="79">
        <f>IF('Ordenes_Odoo'!G2948="","",'Ordenes_Odoo'!G2948)</f>
        <v/>
      </c>
      <c r="H2948" s="79">
        <f>IF('Ordenes_Odoo'!H2948="","",'Ordenes_Odoo'!H2948)</f>
        <v/>
      </c>
      <c r="I2948" s="79">
        <f>IF('Ordenes_Odoo'!I2948="","",'Ordenes_Odoo'!I2948)</f>
        <v/>
      </c>
      <c r="J2948" s="79">
        <f>IF('Ordenes_Odoo'!J2948="","",'Ordenes_Odoo'!J2948)</f>
        <v/>
      </c>
      <c r="K2948" s="81">
        <f>IF('Ordenes_Odoo'!K2948="","",'Ordenes_Odoo'!K2948)</f>
        <v/>
      </c>
      <c r="L2948" s="81">
        <f>IF('Ordenes_Odoo'!L2948="","",'Ordenes_Odoo'!L2948)</f>
        <v/>
      </c>
      <c r="M2948" s="79">
        <f>IF('Ordenes_Odoo'!M2948="","",'Ordenes_Odoo'!M2948)</f>
        <v/>
      </c>
      <c r="N2948" s="79">
        <f>IF('Ordenes_Odoo'!N2948="","",'Ordenes_Odoo'!N2948)</f>
        <v/>
      </c>
      <c r="O2948" s="81">
        <f>IF('Ordenes_Odoo'!O2948="","",'Ordenes_Odoo'!O2948)</f>
        <v/>
      </c>
      <c r="P2948" s="81">
        <f>IF('Ordenes_Odoo'!P2948="","",'Ordenes_Odoo'!P2948)</f>
        <v/>
      </c>
      <c r="Q2948" s="79">
        <f>IF(A2948="","",IFERROR(INDEX(Facturas_Odoo!$B:$B, MATCH(A2948, Facturas_Odoo!$D:$D, 0)), "Sin Factura"))</f>
        <v/>
      </c>
      <c r="R2948" s="80">
        <f>IF(Q2948="Sin Factura","",IFERROR(INDEX(Facturas_Odoo!$A:$A, MATCH(Q2948, Facturas_Odoo!$B:$B, 0)), ""))</f>
        <v/>
      </c>
      <c r="S2948" s="79">
        <f>IF(Q2948="Sin Factura","",IFERROR(_xlfn.XLOOKUP(1, (Facturas_Odoo!$D:$D=A2948) * (Facturas_Odoo!$K:$K=I2948), Facturas_Odoo!$L:$L, ""), ""))</f>
        <v/>
      </c>
      <c r="T2948" s="81">
        <f>IF(Q2948="Sin Factura",0,IFERROR(_xlfn.XLOOKUP(1, (Facturas_Odoo!$D:$D=A2948) * (Facturas_Odoo!$K:$K=I2948), Facturas_Odoo!$M:$M, 0), 0))</f>
        <v/>
      </c>
      <c r="U2948" s="79">
        <f>IF(Q2948="Sin Factura",0,IFERROR(_xlfn.XLOOKUP(1, (Facturas_Odoo!$D:$D=A2948) * (Facturas_Odoo!$K:$K=I2948), Facturas_Odoo!$N:$N, 0), 0))</f>
        <v/>
      </c>
      <c r="V2948" s="79">
        <f>IF(Q2948="Sin Factura",0,IFERROR(_xlfn.XLOOKUP(1, (Facturas_Odoo!$D:$D=A2948) * (Facturas_Odoo!$K:$K=I2948), Facturas_Odoo!$O:$O, 0), 0))</f>
        <v/>
      </c>
      <c r="W2948" s="81">
        <f>IF(Q2948="Sin Factura",0,IFERROR(_xlfn.XLOOKUP(1, (Facturas_Odoo!$D:$D=A2948) * (Facturas_Odoo!$K:$K=I2948), Facturas_Odoo!$Q:$Q, 0), 0))</f>
        <v/>
      </c>
      <c r="X2948" s="79">
        <f>IF(OR(Q2948="Sin Factura",Q2948=""),"",IFERROR(INDEX(Pagos_Odoo!$B:$B, MATCH(Q2948, Pagos_Odoo!$I:$I, 0)), "Sin Pago"))</f>
        <v/>
      </c>
      <c r="Y2948" s="79">
        <f>IF(X2948="Sin Pago","",IFERROR(INDEX(Pagos_Odoo!$C:$C, MATCH(X2948, Pagos_Odoo!$B:$B, 0)), ""))</f>
        <v/>
      </c>
      <c r="Z2948" s="80">
        <f>IF(X2948="Sin Pago","",IFERROR(INDEX(Pagos_Odoo!$A:$A, MATCH(X2948, Pagos_Odoo!$B:$B, 0)), ""))</f>
        <v/>
      </c>
      <c r="AA2948" s="79">
        <f>IF(X2948="Sin Pago","",IFERROR(INDEX(Pagos_Odoo!$F:$F, MATCH(X2948, Pagos_Odoo!$B:$B, 0)), ""))</f>
        <v/>
      </c>
      <c r="AB2948" s="81">
        <f>IF(X2948="Sin Pago",0,IFERROR(INDEX(Pagos_Odoo!$E:$E, MATCH(X2948, Pagos_Odoo!$B:$B, 0)), 0))</f>
        <v/>
      </c>
      <c r="AC2948" s="79">
        <f>IF(X2948="Sin Pago","",IFERROR(INDEX(Pagos_Odoo!$G:$G, MATCH(X2948, Pagos_Odoo!$B:$B, 0)), ""))</f>
        <v/>
      </c>
      <c r="AD2948" s="82" t="n">
        <v>0</v>
      </c>
      <c r="AE2948" s="82" t="n"/>
      <c r="AF2948" s="82" t="n"/>
      <c r="AG2948" s="82">
        <f>IF(AN2948="","",AD2948+AE2948+AF2948)</f>
        <v/>
      </c>
      <c r="AH2948" s="81">
        <f>IF(AN2948="","",P2948*(1-AG2948))</f>
        <v/>
      </c>
      <c r="AI2948" s="81">
        <f>IF(AN2948="","",IF(Q2948="Sin Factura",0,IFERROR(INDEX(Facturas_Odoo!$H:$H, MATCH(Q2948, Facturas_Odoo!$B:$B, 0)), 0)*(1-AG2948)))</f>
        <v/>
      </c>
      <c r="AJ2948" s="81">
        <f>IF(AN2948="","",_xlfn.LET(idVenta, AN2948&amp;"",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48" s="81">
        <f>IF(AN2948="","",AH2948-AJ2948)</f>
        <v/>
      </c>
      <c r="AL2948" s="81">
        <f>IF(AN2948="","",IF(Q2948="Sin Factura","",AI2948-AJ2948))</f>
        <v/>
      </c>
      <c r="AM2948" s="81">
        <f>IF(AN2948="","",IF(Q2948="Sin Factura",0,P2948-IFERROR(INDEX(Facturas_Odoo!$H:$H, MATCH(Q2948, Facturas_Odoo!$B:$B, 0)), 0)))</f>
        <v/>
      </c>
      <c r="AN2948" s="79">
        <f>IF(AND(A2948="", J2948=""), "", IF(A2948&lt;&gt;"", VALUE(MID(A2948,2,LEN(A2948))), AN2947))</f>
        <v/>
      </c>
      <c r="AO2948" s="79">
        <f>IF(AN2948="","",IF(AD2948=0,"OK",_xlfn.LET(monedaPago, IF(AA2948="","USD",AA2948), limitePermitido, IFERROR(VLOOKUP(monedaPago, Configuración!$A$2:$B$3, 2, FALSE), 0.15), IF(AD2948&gt;limitePermitido, "ALERTA: EXCESO (" &amp; TEXT(limitePermitido, "0%") &amp; " máx)", "OK"))))</f>
        <v/>
      </c>
      <c r="AP2948" s="79">
        <f>IF(AN2948="","",IF(AE2948=0,"OK",_xlfn.LET(fechaPago, Z2948, fechaFactura, R2948, diasCredito, IF(E2948="Pago inmediato", 0, IFERROR(VALUE(MID(E2948, 1, SEARCH(" ", E2948)-1)),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48" s="79">
        <f>IF(AN2948="","",IF(AND(N2948&gt;0, AG2948&gt;0), IF(Configuración!$K$2="NO", "ALERTA: DESCUENTO DOBLE NO PERMITIDO", "OK"), "OK"))</f>
        <v/>
      </c>
      <c r="AR2948" s="79">
        <f>IF(AN2948="","",IF(OR(AO2948&lt;&gt;"OK", AP2948&lt;&gt;"OK", AQ2948&lt;&gt;"OK"), "⚠️ REVISAR", "OK"))</f>
        <v/>
      </c>
    </row>
    <row r="2949">
      <c r="A2949" s="79">
        <f>IF('Ordenes_Odoo'!A2949="","",'Ordenes_Odoo'!A2949)</f>
        <v/>
      </c>
      <c r="B2949" s="80">
        <f>IF('Ordenes_Odoo'!B2949="","",'Ordenes_Odoo'!B2949)</f>
        <v/>
      </c>
      <c r="C2949" s="79">
        <f>IF('Ordenes_Odoo'!C2949="","",'Ordenes_Odoo'!C2949)</f>
        <v/>
      </c>
      <c r="D2949" s="79">
        <f>IF('Ordenes_Odoo'!D2949="","",'Ordenes_Odoo'!D2949)</f>
        <v/>
      </c>
      <c r="E2949" s="79">
        <f>IF('Ordenes_Odoo'!E2949="","",'Ordenes_Odoo'!E2949)</f>
        <v/>
      </c>
      <c r="F2949" s="79">
        <f>IF('Ordenes_Odoo'!F2949="","",'Ordenes_Odoo'!F2949)</f>
        <v/>
      </c>
      <c r="G2949" s="79">
        <f>IF('Ordenes_Odoo'!G2949="","",'Ordenes_Odoo'!G2949)</f>
        <v/>
      </c>
      <c r="H2949" s="79">
        <f>IF('Ordenes_Odoo'!H2949="","",'Ordenes_Odoo'!H2949)</f>
        <v/>
      </c>
      <c r="I2949" s="79">
        <f>IF('Ordenes_Odoo'!I2949="","",'Ordenes_Odoo'!I2949)</f>
        <v/>
      </c>
      <c r="J2949" s="79">
        <f>IF('Ordenes_Odoo'!J2949="","",'Ordenes_Odoo'!J2949)</f>
        <v/>
      </c>
      <c r="K2949" s="81">
        <f>IF('Ordenes_Odoo'!K2949="","",'Ordenes_Odoo'!K2949)</f>
        <v/>
      </c>
      <c r="L2949" s="81">
        <f>IF('Ordenes_Odoo'!L2949="","",'Ordenes_Odoo'!L2949)</f>
        <v/>
      </c>
      <c r="M2949" s="79">
        <f>IF('Ordenes_Odoo'!M2949="","",'Ordenes_Odoo'!M2949)</f>
        <v/>
      </c>
      <c r="N2949" s="79">
        <f>IF('Ordenes_Odoo'!N2949="","",'Ordenes_Odoo'!N2949)</f>
        <v/>
      </c>
      <c r="O2949" s="81">
        <f>IF('Ordenes_Odoo'!O2949="","",'Ordenes_Odoo'!O2949)</f>
        <v/>
      </c>
      <c r="P2949" s="81">
        <f>IF('Ordenes_Odoo'!P2949="","",'Ordenes_Odoo'!P2949)</f>
        <v/>
      </c>
      <c r="Q2949" s="79">
        <f>IF(A2949="","",IFERROR(INDEX(Facturas_Odoo!$B:$B, MATCH(A2949, Facturas_Odoo!$D:$D, 0)), "Sin Factura"))</f>
        <v/>
      </c>
      <c r="R2949" s="80">
        <f>IF(Q2949="Sin Factura","",IFERROR(INDEX(Facturas_Odoo!$A:$A, MATCH(Q2949, Facturas_Odoo!$B:$B, 0)), ""))</f>
        <v/>
      </c>
      <c r="S2949" s="79">
        <f>IF(Q2949="Sin Factura","",IFERROR(_xlfn.XLOOKUP(1, (Facturas_Odoo!$D:$D=A2949) * (Facturas_Odoo!$K:$K=I2949), Facturas_Odoo!$L:$L, ""), ""))</f>
        <v/>
      </c>
      <c r="T2949" s="81">
        <f>IF(Q2949="Sin Factura",0,IFERROR(_xlfn.XLOOKUP(1, (Facturas_Odoo!$D:$D=A2949) * (Facturas_Odoo!$K:$K=I2949), Facturas_Odoo!$M:$M, 0), 0))</f>
        <v/>
      </c>
      <c r="U2949" s="79">
        <f>IF(Q2949="Sin Factura",0,IFERROR(_xlfn.XLOOKUP(1, (Facturas_Odoo!$D:$D=A2949) * (Facturas_Odoo!$K:$K=I2949), Facturas_Odoo!$N:$N, 0), 0))</f>
        <v/>
      </c>
      <c r="V2949" s="79">
        <f>IF(Q2949="Sin Factura",0,IFERROR(_xlfn.XLOOKUP(1, (Facturas_Odoo!$D:$D=A2949) * (Facturas_Odoo!$K:$K=I2949), Facturas_Odoo!$O:$O, 0), 0))</f>
        <v/>
      </c>
      <c r="W2949" s="81">
        <f>IF(Q2949="Sin Factura",0,IFERROR(_xlfn.XLOOKUP(1, (Facturas_Odoo!$D:$D=A2949) * (Facturas_Odoo!$K:$K=I2949), Facturas_Odoo!$Q:$Q, 0), 0))</f>
        <v/>
      </c>
      <c r="X2949" s="79">
        <f>IF(OR(Q2949="Sin Factura",Q2949=""),"",IFERROR(INDEX(Pagos_Odoo!$B:$B, MATCH(Q2949, Pagos_Odoo!$I:$I, 0)), "Sin Pago"))</f>
        <v/>
      </c>
      <c r="Y2949" s="79">
        <f>IF(X2949="Sin Pago","",IFERROR(INDEX(Pagos_Odoo!$C:$C, MATCH(X2949, Pagos_Odoo!$B:$B, 0)), ""))</f>
        <v/>
      </c>
      <c r="Z2949" s="80">
        <f>IF(X2949="Sin Pago","",IFERROR(INDEX(Pagos_Odoo!$A:$A, MATCH(X2949, Pagos_Odoo!$B:$B, 0)), ""))</f>
        <v/>
      </c>
      <c r="AA2949" s="79">
        <f>IF(X2949="Sin Pago","",IFERROR(INDEX(Pagos_Odoo!$F:$F, MATCH(X2949, Pagos_Odoo!$B:$B, 0)), ""))</f>
        <v/>
      </c>
      <c r="AB2949" s="81">
        <f>IF(X2949="Sin Pago",0,IFERROR(INDEX(Pagos_Odoo!$E:$E, MATCH(X2949, Pagos_Odoo!$B:$B, 0)), 0))</f>
        <v/>
      </c>
      <c r="AC2949" s="79">
        <f>IF(X2949="Sin Pago","",IFERROR(INDEX(Pagos_Odoo!$G:$G, MATCH(X2949, Pagos_Odoo!$B:$B, 0)), ""))</f>
        <v/>
      </c>
      <c r="AD2949" s="82" t="n">
        <v>0</v>
      </c>
      <c r="AE2949" s="82" t="n"/>
      <c r="AF2949" s="82" t="n"/>
      <c r="AG2949" s="82">
        <f>IF(AN2949="","",AD2949+AE2949+AF2949)</f>
        <v/>
      </c>
      <c r="AH2949" s="81">
        <f>IF(AN2949="","",P2949*(1-AG2949))</f>
        <v/>
      </c>
      <c r="AI2949" s="81">
        <f>IF(AN2949="","",IF(Q2949="Sin Factura",0,IFERROR(INDEX(Facturas_Odoo!$H:$H, MATCH(Q2949, Facturas_Odoo!$B:$B, 0)), 0)*(1-AG2949)))</f>
        <v/>
      </c>
      <c r="AJ2949" s="81">
        <f>IF(AN2949="","",_xlfn.LET(idVenta, AN2949&amp;"",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49" s="81">
        <f>IF(AN2949="","",AH2949-AJ2949)</f>
        <v/>
      </c>
      <c r="AL2949" s="81">
        <f>IF(AN2949="","",IF(Q2949="Sin Factura","",AI2949-AJ2949))</f>
        <v/>
      </c>
      <c r="AM2949" s="81">
        <f>IF(AN2949="","",IF(Q2949="Sin Factura",0,P2949-IFERROR(INDEX(Facturas_Odoo!$H:$H, MATCH(Q2949, Facturas_Odoo!$B:$B, 0)), 0)))</f>
        <v/>
      </c>
      <c r="AN2949" s="79">
        <f>IF(AND(A2949="", J2949=""), "", IF(A2949&lt;&gt;"", VALUE(MID(A2949,2,LEN(A2949))), AN2948))</f>
        <v/>
      </c>
      <c r="AO2949" s="79">
        <f>IF(AN2949="","",IF(AD2949=0,"OK",_xlfn.LET(monedaPago, IF(AA2949="","USD",AA2949), limitePermitido, IFERROR(VLOOKUP(monedaPago, Configuración!$A$2:$B$3, 2, FALSE), 0.15), IF(AD2949&gt;limitePermitido, "ALERTA: EXCESO (" &amp; TEXT(limitePermitido, "0%") &amp; " máx)", "OK"))))</f>
        <v/>
      </c>
      <c r="AP2949" s="79">
        <f>IF(AN2949="","",IF(AE2949=0,"OK",_xlfn.LET(fechaPago, Z2949, fechaFactura, R2949, diasCredito, IF(E2949="Pago inmediato", 0, IFERROR(VALUE(MID(E2949, 1, SEARCH(" ", E2949)-1)),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49" s="79">
        <f>IF(AN2949="","",IF(AND(N2949&gt;0, AG2949&gt;0), IF(Configuración!$K$2="NO", "ALERTA: DESCUENTO DOBLE NO PERMITIDO", "OK"), "OK"))</f>
        <v/>
      </c>
      <c r="AR2949" s="79">
        <f>IF(AN2949="","",IF(OR(AO2949&lt;&gt;"OK", AP2949&lt;&gt;"OK", AQ2949&lt;&gt;"OK"), "⚠️ REVISAR", "OK"))</f>
        <v/>
      </c>
    </row>
    <row r="2950">
      <c r="A2950" s="79">
        <f>IF('Ordenes_Odoo'!A2950="","",'Ordenes_Odoo'!A2950)</f>
        <v/>
      </c>
      <c r="B2950" s="80">
        <f>IF('Ordenes_Odoo'!B2950="","",'Ordenes_Odoo'!B2950)</f>
        <v/>
      </c>
      <c r="C2950" s="79">
        <f>IF('Ordenes_Odoo'!C2950="","",'Ordenes_Odoo'!C2950)</f>
        <v/>
      </c>
      <c r="D2950" s="79">
        <f>IF('Ordenes_Odoo'!D2950="","",'Ordenes_Odoo'!D2950)</f>
        <v/>
      </c>
      <c r="E2950" s="79">
        <f>IF('Ordenes_Odoo'!E2950="","",'Ordenes_Odoo'!E2950)</f>
        <v/>
      </c>
      <c r="F2950" s="79">
        <f>IF('Ordenes_Odoo'!F2950="","",'Ordenes_Odoo'!F2950)</f>
        <v/>
      </c>
      <c r="G2950" s="79">
        <f>IF('Ordenes_Odoo'!G2950="","",'Ordenes_Odoo'!G2950)</f>
        <v/>
      </c>
      <c r="H2950" s="79">
        <f>IF('Ordenes_Odoo'!H2950="","",'Ordenes_Odoo'!H2950)</f>
        <v/>
      </c>
      <c r="I2950" s="79">
        <f>IF('Ordenes_Odoo'!I2950="","",'Ordenes_Odoo'!I2950)</f>
        <v/>
      </c>
      <c r="J2950" s="79">
        <f>IF('Ordenes_Odoo'!J2950="","",'Ordenes_Odoo'!J2950)</f>
        <v/>
      </c>
      <c r="K2950" s="81">
        <f>IF('Ordenes_Odoo'!K2950="","",'Ordenes_Odoo'!K2950)</f>
        <v/>
      </c>
      <c r="L2950" s="81">
        <f>IF('Ordenes_Odoo'!L2950="","",'Ordenes_Odoo'!L2950)</f>
        <v/>
      </c>
      <c r="M2950" s="79">
        <f>IF('Ordenes_Odoo'!M2950="","",'Ordenes_Odoo'!M2950)</f>
        <v/>
      </c>
      <c r="N2950" s="79">
        <f>IF('Ordenes_Odoo'!N2950="","",'Ordenes_Odoo'!N2950)</f>
        <v/>
      </c>
      <c r="O2950" s="81">
        <f>IF('Ordenes_Odoo'!O2950="","",'Ordenes_Odoo'!O2950)</f>
        <v/>
      </c>
      <c r="P2950" s="81">
        <f>IF('Ordenes_Odoo'!P2950="","",'Ordenes_Odoo'!P2950)</f>
        <v/>
      </c>
      <c r="Q2950" s="79">
        <f>IF(A2950="","",IFERROR(INDEX(Facturas_Odoo!$B:$B, MATCH(A2950, Facturas_Odoo!$D:$D, 0)), "Sin Factura"))</f>
        <v/>
      </c>
      <c r="R2950" s="80">
        <f>IF(Q2950="Sin Factura","",IFERROR(INDEX(Facturas_Odoo!$A:$A, MATCH(Q2950, Facturas_Odoo!$B:$B, 0)), ""))</f>
        <v/>
      </c>
      <c r="S2950" s="79">
        <f>IF(Q2950="Sin Factura","",IFERROR(_xlfn.XLOOKUP(1, (Facturas_Odoo!$D:$D=A2950) * (Facturas_Odoo!$K:$K=I2950), Facturas_Odoo!$L:$L, ""), ""))</f>
        <v/>
      </c>
      <c r="T2950" s="81">
        <f>IF(Q2950="Sin Factura",0,IFERROR(_xlfn.XLOOKUP(1, (Facturas_Odoo!$D:$D=A2950) * (Facturas_Odoo!$K:$K=I2950), Facturas_Odoo!$M:$M, 0), 0))</f>
        <v/>
      </c>
      <c r="U2950" s="79">
        <f>IF(Q2950="Sin Factura",0,IFERROR(_xlfn.XLOOKUP(1, (Facturas_Odoo!$D:$D=A2950) * (Facturas_Odoo!$K:$K=I2950), Facturas_Odoo!$N:$N, 0), 0))</f>
        <v/>
      </c>
      <c r="V2950" s="79">
        <f>IF(Q2950="Sin Factura",0,IFERROR(_xlfn.XLOOKUP(1, (Facturas_Odoo!$D:$D=A2950) * (Facturas_Odoo!$K:$K=I2950), Facturas_Odoo!$O:$O, 0), 0))</f>
        <v/>
      </c>
      <c r="W2950" s="81">
        <f>IF(Q2950="Sin Factura",0,IFERROR(_xlfn.XLOOKUP(1, (Facturas_Odoo!$D:$D=A2950) * (Facturas_Odoo!$K:$K=I2950), Facturas_Odoo!$Q:$Q, 0), 0))</f>
        <v/>
      </c>
      <c r="X2950" s="79">
        <f>IF(OR(Q2950="Sin Factura",Q2950=""),"",IFERROR(INDEX(Pagos_Odoo!$B:$B, MATCH(Q2950, Pagos_Odoo!$I:$I, 0)), "Sin Pago"))</f>
        <v/>
      </c>
      <c r="Y2950" s="79">
        <f>IF(X2950="Sin Pago","",IFERROR(INDEX(Pagos_Odoo!$C:$C, MATCH(X2950, Pagos_Odoo!$B:$B, 0)), ""))</f>
        <v/>
      </c>
      <c r="Z2950" s="80">
        <f>IF(X2950="Sin Pago","",IFERROR(INDEX(Pagos_Odoo!$A:$A, MATCH(X2950, Pagos_Odoo!$B:$B, 0)), ""))</f>
        <v/>
      </c>
      <c r="AA2950" s="79">
        <f>IF(X2950="Sin Pago","",IFERROR(INDEX(Pagos_Odoo!$F:$F, MATCH(X2950, Pagos_Odoo!$B:$B, 0)), ""))</f>
        <v/>
      </c>
      <c r="AB2950" s="81">
        <f>IF(X2950="Sin Pago",0,IFERROR(INDEX(Pagos_Odoo!$E:$E, MATCH(X2950, Pagos_Odoo!$B:$B, 0)), 0))</f>
        <v/>
      </c>
      <c r="AC2950" s="79">
        <f>IF(X2950="Sin Pago","",IFERROR(INDEX(Pagos_Odoo!$G:$G, MATCH(X2950, Pagos_Odoo!$B:$B, 0)), ""))</f>
        <v/>
      </c>
      <c r="AD2950" s="82" t="n">
        <v>0</v>
      </c>
      <c r="AE2950" s="82" t="n"/>
      <c r="AF2950" s="82" t="n"/>
      <c r="AG2950" s="82">
        <f>IF(AN2950="","",AD2950+AE2950+AF2950)</f>
        <v/>
      </c>
      <c r="AH2950" s="81">
        <f>IF(AN2950="","",P2950*(1-AG2950))</f>
        <v/>
      </c>
      <c r="AI2950" s="81">
        <f>IF(AN2950="","",IF(Q2950="Sin Factura",0,IFERROR(INDEX(Facturas_Odoo!$H:$H, MATCH(Q2950, Facturas_Odoo!$B:$B, 0)), 0)*(1-AG2950)))</f>
        <v/>
      </c>
      <c r="AJ2950" s="81">
        <f>IF(AN2950="","",_xlfn.LET(idVenta, AN2950&amp;"",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50" s="81">
        <f>IF(AN2950="","",AH2950-AJ2950)</f>
        <v/>
      </c>
      <c r="AL2950" s="81">
        <f>IF(AN2950="","",IF(Q2950="Sin Factura","",AI2950-AJ2950))</f>
        <v/>
      </c>
      <c r="AM2950" s="81">
        <f>IF(AN2950="","",IF(Q2950="Sin Factura",0,P2950-IFERROR(INDEX(Facturas_Odoo!$H:$H, MATCH(Q2950, Facturas_Odoo!$B:$B, 0)), 0)))</f>
        <v/>
      </c>
      <c r="AN2950" s="79">
        <f>IF(AND(A2950="", J2950=""), "", IF(A2950&lt;&gt;"", VALUE(MID(A2950,2,LEN(A2950))), AN2949))</f>
        <v/>
      </c>
      <c r="AO2950" s="79">
        <f>IF(AN2950="","",IF(AD2950=0,"OK",_xlfn.LET(monedaPago, IF(AA2950="","USD",AA2950), limitePermitido, IFERROR(VLOOKUP(monedaPago, Configuración!$A$2:$B$3, 2, FALSE), 0.15), IF(AD2950&gt;limitePermitido, "ALERTA: EXCESO (" &amp; TEXT(limitePermitido, "0%") &amp; " máx)", "OK"))))</f>
        <v/>
      </c>
      <c r="AP2950" s="79">
        <f>IF(AN2950="","",IF(AE2950=0,"OK",_xlfn.LET(fechaPago, Z2950, fechaFactura, R2950, diasCredito, IF(E2950="Pago inmediato", 0, IFERROR(VALUE(MID(E2950, 1, SEARCH(" ", E2950)-1)),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50" s="79">
        <f>IF(AN2950="","",IF(AND(N2950&gt;0, AG2950&gt;0), IF(Configuración!$K$2="NO", "ALERTA: DESCUENTO DOBLE NO PERMITIDO", "OK"), "OK"))</f>
        <v/>
      </c>
      <c r="AR2950" s="79">
        <f>IF(AN2950="","",IF(OR(AO2950&lt;&gt;"OK", AP2950&lt;&gt;"OK", AQ2950&lt;&gt;"OK"), "⚠️ REVISAR", "OK"))</f>
        <v/>
      </c>
    </row>
    <row r="2951">
      <c r="A2951" s="79">
        <f>IF('Ordenes_Odoo'!A2951="","",'Ordenes_Odoo'!A2951)</f>
        <v/>
      </c>
      <c r="B2951" s="80">
        <f>IF('Ordenes_Odoo'!B2951="","",'Ordenes_Odoo'!B2951)</f>
        <v/>
      </c>
      <c r="C2951" s="79">
        <f>IF('Ordenes_Odoo'!C2951="","",'Ordenes_Odoo'!C2951)</f>
        <v/>
      </c>
      <c r="D2951" s="79">
        <f>IF('Ordenes_Odoo'!D2951="","",'Ordenes_Odoo'!D2951)</f>
        <v/>
      </c>
      <c r="E2951" s="79">
        <f>IF('Ordenes_Odoo'!E2951="","",'Ordenes_Odoo'!E2951)</f>
        <v/>
      </c>
      <c r="F2951" s="79">
        <f>IF('Ordenes_Odoo'!F2951="","",'Ordenes_Odoo'!F2951)</f>
        <v/>
      </c>
      <c r="G2951" s="79">
        <f>IF('Ordenes_Odoo'!G2951="","",'Ordenes_Odoo'!G2951)</f>
        <v/>
      </c>
      <c r="H2951" s="79">
        <f>IF('Ordenes_Odoo'!H2951="","",'Ordenes_Odoo'!H2951)</f>
        <v/>
      </c>
      <c r="I2951" s="79">
        <f>IF('Ordenes_Odoo'!I2951="","",'Ordenes_Odoo'!I2951)</f>
        <v/>
      </c>
      <c r="J2951" s="79">
        <f>IF('Ordenes_Odoo'!J2951="","",'Ordenes_Odoo'!J2951)</f>
        <v/>
      </c>
      <c r="K2951" s="81">
        <f>IF('Ordenes_Odoo'!K2951="","",'Ordenes_Odoo'!K2951)</f>
        <v/>
      </c>
      <c r="L2951" s="81">
        <f>IF('Ordenes_Odoo'!L2951="","",'Ordenes_Odoo'!L2951)</f>
        <v/>
      </c>
      <c r="M2951" s="79">
        <f>IF('Ordenes_Odoo'!M2951="","",'Ordenes_Odoo'!M2951)</f>
        <v/>
      </c>
      <c r="N2951" s="79">
        <f>IF('Ordenes_Odoo'!N2951="","",'Ordenes_Odoo'!N2951)</f>
        <v/>
      </c>
      <c r="O2951" s="81">
        <f>IF('Ordenes_Odoo'!O2951="","",'Ordenes_Odoo'!O2951)</f>
        <v/>
      </c>
      <c r="P2951" s="81">
        <f>IF('Ordenes_Odoo'!P2951="","",'Ordenes_Odoo'!P2951)</f>
        <v/>
      </c>
      <c r="Q2951" s="79">
        <f>IF(A2951="","",IFERROR(INDEX(Facturas_Odoo!$B:$B, MATCH(A2951, Facturas_Odoo!$D:$D, 0)), "Sin Factura"))</f>
        <v/>
      </c>
      <c r="R2951" s="80">
        <f>IF(Q2951="Sin Factura","",IFERROR(INDEX(Facturas_Odoo!$A:$A, MATCH(Q2951, Facturas_Odoo!$B:$B, 0)), ""))</f>
        <v/>
      </c>
      <c r="S2951" s="79">
        <f>IF(Q2951="Sin Factura","",IFERROR(_xlfn.XLOOKUP(1, (Facturas_Odoo!$D:$D=A2951) * (Facturas_Odoo!$K:$K=I2951), Facturas_Odoo!$L:$L, ""), ""))</f>
        <v/>
      </c>
      <c r="T2951" s="81">
        <f>IF(Q2951="Sin Factura",0,IFERROR(_xlfn.XLOOKUP(1, (Facturas_Odoo!$D:$D=A2951) * (Facturas_Odoo!$K:$K=I2951), Facturas_Odoo!$M:$M, 0), 0))</f>
        <v/>
      </c>
      <c r="U2951" s="79">
        <f>IF(Q2951="Sin Factura",0,IFERROR(_xlfn.XLOOKUP(1, (Facturas_Odoo!$D:$D=A2951) * (Facturas_Odoo!$K:$K=I2951), Facturas_Odoo!$N:$N, 0), 0))</f>
        <v/>
      </c>
      <c r="V2951" s="79">
        <f>IF(Q2951="Sin Factura",0,IFERROR(_xlfn.XLOOKUP(1, (Facturas_Odoo!$D:$D=A2951) * (Facturas_Odoo!$K:$K=I2951), Facturas_Odoo!$O:$O, 0), 0))</f>
        <v/>
      </c>
      <c r="W2951" s="81">
        <f>IF(Q2951="Sin Factura",0,IFERROR(_xlfn.XLOOKUP(1, (Facturas_Odoo!$D:$D=A2951) * (Facturas_Odoo!$K:$K=I2951), Facturas_Odoo!$Q:$Q, 0), 0))</f>
        <v/>
      </c>
      <c r="X2951" s="79">
        <f>IF(OR(Q2951="Sin Factura",Q2951=""),"",IFERROR(INDEX(Pagos_Odoo!$B:$B, MATCH(Q2951, Pagos_Odoo!$I:$I, 0)), "Sin Pago"))</f>
        <v/>
      </c>
      <c r="Y2951" s="79">
        <f>IF(X2951="Sin Pago","",IFERROR(INDEX(Pagos_Odoo!$C:$C, MATCH(X2951, Pagos_Odoo!$B:$B, 0)), ""))</f>
        <v/>
      </c>
      <c r="Z2951" s="80">
        <f>IF(X2951="Sin Pago","",IFERROR(INDEX(Pagos_Odoo!$A:$A, MATCH(X2951, Pagos_Odoo!$B:$B, 0)), ""))</f>
        <v/>
      </c>
      <c r="AA2951" s="79">
        <f>IF(X2951="Sin Pago","",IFERROR(INDEX(Pagos_Odoo!$F:$F, MATCH(X2951, Pagos_Odoo!$B:$B, 0)), ""))</f>
        <v/>
      </c>
      <c r="AB2951" s="81">
        <f>IF(X2951="Sin Pago",0,IFERROR(INDEX(Pagos_Odoo!$E:$E, MATCH(X2951, Pagos_Odoo!$B:$B, 0)), 0))</f>
        <v/>
      </c>
      <c r="AC2951" s="79">
        <f>IF(X2951="Sin Pago","",IFERROR(INDEX(Pagos_Odoo!$G:$G, MATCH(X2951, Pagos_Odoo!$B:$B, 0)), ""))</f>
        <v/>
      </c>
      <c r="AD2951" s="82" t="n">
        <v>0</v>
      </c>
      <c r="AE2951" s="82" t="n"/>
      <c r="AF2951" s="82" t="n"/>
      <c r="AG2951" s="82">
        <f>IF(AN2951="","",AD2951+AE2951+AF2951)</f>
        <v/>
      </c>
      <c r="AH2951" s="81">
        <f>IF(AN2951="","",P2951*(1-AG2951))</f>
        <v/>
      </c>
      <c r="AI2951" s="81">
        <f>IF(AN2951="","",IF(Q2951="Sin Factura",0,IFERROR(INDEX(Facturas_Odoo!$H:$H, MATCH(Q2951, Facturas_Odoo!$B:$B, 0)), 0)*(1-AG2951)))</f>
        <v/>
      </c>
      <c r="AJ2951" s="81">
        <f>IF(AN2951="","",_xlfn.LET(idVenta, AN2951&amp;"",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51" s="81">
        <f>IF(AN2951="","",AH2951-AJ2951)</f>
        <v/>
      </c>
      <c r="AL2951" s="81">
        <f>IF(AN2951="","",IF(Q2951="Sin Factura","",AI2951-AJ2951))</f>
        <v/>
      </c>
      <c r="AM2951" s="81">
        <f>IF(AN2951="","",IF(Q2951="Sin Factura",0,P2951-IFERROR(INDEX(Facturas_Odoo!$H:$H, MATCH(Q2951, Facturas_Odoo!$B:$B, 0)), 0)))</f>
        <v/>
      </c>
      <c r="AN2951" s="79">
        <f>IF(AND(A2951="", J2951=""), "", IF(A2951&lt;&gt;"", VALUE(MID(A2951,2,LEN(A2951))), AN2950))</f>
        <v/>
      </c>
      <c r="AO2951" s="79">
        <f>IF(AN2951="","",IF(AD2951=0,"OK",_xlfn.LET(monedaPago, IF(AA2951="","USD",AA2951), limitePermitido, IFERROR(VLOOKUP(monedaPago, Configuración!$A$2:$B$3, 2, FALSE), 0.15), IF(AD2951&gt;limitePermitido, "ALERTA: EXCESO (" &amp; TEXT(limitePermitido, "0%") &amp; " máx)", "OK"))))</f>
        <v/>
      </c>
      <c r="AP2951" s="79">
        <f>IF(AN2951="","",IF(AE2951=0,"OK",_xlfn.LET(fechaPago, Z2951, fechaFactura, R2951, diasCredito, IF(E2951="Pago inmediato", 0, IFERROR(VALUE(MID(E2951, 1, SEARCH(" ", E2951)-1)),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51" s="79">
        <f>IF(AN2951="","",IF(AND(N2951&gt;0, AG2951&gt;0), IF(Configuración!$K$2="NO", "ALERTA: DESCUENTO DOBLE NO PERMITIDO", "OK"), "OK"))</f>
        <v/>
      </c>
      <c r="AR2951" s="79">
        <f>IF(AN2951="","",IF(OR(AO2951&lt;&gt;"OK", AP2951&lt;&gt;"OK", AQ2951&lt;&gt;"OK"), "⚠️ REVISAR", "OK"))</f>
        <v/>
      </c>
    </row>
    <row r="2952">
      <c r="A2952" s="79">
        <f>IF('Ordenes_Odoo'!A2952="","",'Ordenes_Odoo'!A2952)</f>
        <v/>
      </c>
      <c r="B2952" s="80">
        <f>IF('Ordenes_Odoo'!B2952="","",'Ordenes_Odoo'!B2952)</f>
        <v/>
      </c>
      <c r="C2952" s="79">
        <f>IF('Ordenes_Odoo'!C2952="","",'Ordenes_Odoo'!C2952)</f>
        <v/>
      </c>
      <c r="D2952" s="79">
        <f>IF('Ordenes_Odoo'!D2952="","",'Ordenes_Odoo'!D2952)</f>
        <v/>
      </c>
      <c r="E2952" s="79">
        <f>IF('Ordenes_Odoo'!E2952="","",'Ordenes_Odoo'!E2952)</f>
        <v/>
      </c>
      <c r="F2952" s="79">
        <f>IF('Ordenes_Odoo'!F2952="","",'Ordenes_Odoo'!F2952)</f>
        <v/>
      </c>
      <c r="G2952" s="79">
        <f>IF('Ordenes_Odoo'!G2952="","",'Ordenes_Odoo'!G2952)</f>
        <v/>
      </c>
      <c r="H2952" s="79">
        <f>IF('Ordenes_Odoo'!H2952="","",'Ordenes_Odoo'!H2952)</f>
        <v/>
      </c>
      <c r="I2952" s="79">
        <f>IF('Ordenes_Odoo'!I2952="","",'Ordenes_Odoo'!I2952)</f>
        <v/>
      </c>
      <c r="J2952" s="79">
        <f>IF('Ordenes_Odoo'!J2952="","",'Ordenes_Odoo'!J2952)</f>
        <v/>
      </c>
      <c r="K2952" s="81">
        <f>IF('Ordenes_Odoo'!K2952="","",'Ordenes_Odoo'!K2952)</f>
        <v/>
      </c>
      <c r="L2952" s="81">
        <f>IF('Ordenes_Odoo'!L2952="","",'Ordenes_Odoo'!L2952)</f>
        <v/>
      </c>
      <c r="M2952" s="79">
        <f>IF('Ordenes_Odoo'!M2952="","",'Ordenes_Odoo'!M2952)</f>
        <v/>
      </c>
      <c r="N2952" s="79">
        <f>IF('Ordenes_Odoo'!N2952="","",'Ordenes_Odoo'!N2952)</f>
        <v/>
      </c>
      <c r="O2952" s="81">
        <f>IF('Ordenes_Odoo'!O2952="","",'Ordenes_Odoo'!O2952)</f>
        <v/>
      </c>
      <c r="P2952" s="81">
        <f>IF('Ordenes_Odoo'!P2952="","",'Ordenes_Odoo'!P2952)</f>
        <v/>
      </c>
      <c r="Q2952" s="79">
        <f>IF(A2952="","",IFERROR(INDEX(Facturas_Odoo!$B:$B, MATCH(A2952, Facturas_Odoo!$D:$D, 0)), "Sin Factura"))</f>
        <v/>
      </c>
      <c r="R2952" s="80">
        <f>IF(Q2952="Sin Factura","",IFERROR(INDEX(Facturas_Odoo!$A:$A, MATCH(Q2952, Facturas_Odoo!$B:$B, 0)), ""))</f>
        <v/>
      </c>
      <c r="S2952" s="79">
        <f>IF(Q2952="Sin Factura","",IFERROR(_xlfn.XLOOKUP(1, (Facturas_Odoo!$D:$D=A2952) * (Facturas_Odoo!$K:$K=I2952), Facturas_Odoo!$L:$L, ""), ""))</f>
        <v/>
      </c>
      <c r="T2952" s="81">
        <f>IF(Q2952="Sin Factura",0,IFERROR(_xlfn.XLOOKUP(1, (Facturas_Odoo!$D:$D=A2952) * (Facturas_Odoo!$K:$K=I2952), Facturas_Odoo!$M:$M, 0), 0))</f>
        <v/>
      </c>
      <c r="U2952" s="79">
        <f>IF(Q2952="Sin Factura",0,IFERROR(_xlfn.XLOOKUP(1, (Facturas_Odoo!$D:$D=A2952) * (Facturas_Odoo!$K:$K=I2952), Facturas_Odoo!$N:$N, 0), 0))</f>
        <v/>
      </c>
      <c r="V2952" s="79">
        <f>IF(Q2952="Sin Factura",0,IFERROR(_xlfn.XLOOKUP(1, (Facturas_Odoo!$D:$D=A2952) * (Facturas_Odoo!$K:$K=I2952), Facturas_Odoo!$O:$O, 0), 0))</f>
        <v/>
      </c>
      <c r="W2952" s="81">
        <f>IF(Q2952="Sin Factura",0,IFERROR(_xlfn.XLOOKUP(1, (Facturas_Odoo!$D:$D=A2952) * (Facturas_Odoo!$K:$K=I2952), Facturas_Odoo!$Q:$Q, 0), 0))</f>
        <v/>
      </c>
      <c r="X2952" s="79">
        <f>IF(OR(Q2952="Sin Factura",Q2952=""),"",IFERROR(INDEX(Pagos_Odoo!$B:$B, MATCH(Q2952, Pagos_Odoo!$I:$I, 0)), "Sin Pago"))</f>
        <v/>
      </c>
      <c r="Y2952" s="79">
        <f>IF(X2952="Sin Pago","",IFERROR(INDEX(Pagos_Odoo!$C:$C, MATCH(X2952, Pagos_Odoo!$B:$B, 0)), ""))</f>
        <v/>
      </c>
      <c r="Z2952" s="80">
        <f>IF(X2952="Sin Pago","",IFERROR(INDEX(Pagos_Odoo!$A:$A, MATCH(X2952, Pagos_Odoo!$B:$B, 0)), ""))</f>
        <v/>
      </c>
      <c r="AA2952" s="79">
        <f>IF(X2952="Sin Pago","",IFERROR(INDEX(Pagos_Odoo!$F:$F, MATCH(X2952, Pagos_Odoo!$B:$B, 0)), ""))</f>
        <v/>
      </c>
      <c r="AB2952" s="81">
        <f>IF(X2952="Sin Pago",0,IFERROR(INDEX(Pagos_Odoo!$E:$E, MATCH(X2952, Pagos_Odoo!$B:$B, 0)), 0))</f>
        <v/>
      </c>
      <c r="AC2952" s="79">
        <f>IF(X2952="Sin Pago","",IFERROR(INDEX(Pagos_Odoo!$G:$G, MATCH(X2952, Pagos_Odoo!$B:$B, 0)), ""))</f>
        <v/>
      </c>
      <c r="AD2952" s="82" t="n">
        <v>0</v>
      </c>
      <c r="AE2952" s="82" t="n"/>
      <c r="AF2952" s="82" t="n"/>
      <c r="AG2952" s="82">
        <f>IF(AN2952="","",AD2952+AE2952+AF2952)</f>
        <v/>
      </c>
      <c r="AH2952" s="81">
        <f>IF(AN2952="","",P2952*(1-AG2952))</f>
        <v/>
      </c>
      <c r="AI2952" s="81">
        <f>IF(AN2952="","",IF(Q2952="Sin Factura",0,IFERROR(INDEX(Facturas_Odoo!$H:$H, MATCH(Q2952, Facturas_Odoo!$B:$B, 0)), 0)*(1-AG2952)))</f>
        <v/>
      </c>
      <c r="AJ2952" s="81">
        <f>IF(AN2952="","",_xlfn.LET(idVenta, AN2952&amp;"",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52" s="81">
        <f>IF(AN2952="","",AH2952-AJ2952)</f>
        <v/>
      </c>
      <c r="AL2952" s="81">
        <f>IF(AN2952="","",IF(Q2952="Sin Factura","",AI2952-AJ2952))</f>
        <v/>
      </c>
      <c r="AM2952" s="81">
        <f>IF(AN2952="","",IF(Q2952="Sin Factura",0,P2952-IFERROR(INDEX(Facturas_Odoo!$H:$H, MATCH(Q2952, Facturas_Odoo!$B:$B, 0)), 0)))</f>
        <v/>
      </c>
      <c r="AN2952" s="79">
        <f>IF(AND(A2952="", J2952=""), "", IF(A2952&lt;&gt;"", VALUE(MID(A2952,2,LEN(A2952))), AN2951))</f>
        <v/>
      </c>
      <c r="AO2952" s="79">
        <f>IF(AN2952="","",IF(AD2952=0,"OK",_xlfn.LET(monedaPago, IF(AA2952="","USD",AA2952), limitePermitido, IFERROR(VLOOKUP(monedaPago, Configuración!$A$2:$B$3, 2, FALSE), 0.15), IF(AD2952&gt;limitePermitido, "ALERTA: EXCESO (" &amp; TEXT(limitePermitido, "0%") &amp; " máx)", "OK"))))</f>
        <v/>
      </c>
      <c r="AP2952" s="79">
        <f>IF(AN2952="","",IF(AE2952=0,"OK",_xlfn.LET(fechaPago, Z2952, fechaFactura, R2952, diasCredito, IF(E2952="Pago inmediato", 0, IFERROR(VALUE(MID(E2952, 1, SEARCH(" ", E2952)-1)),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52" s="79">
        <f>IF(AN2952="","",IF(AND(N2952&gt;0, AG2952&gt;0), IF(Configuración!$K$2="NO", "ALERTA: DESCUENTO DOBLE NO PERMITIDO", "OK"), "OK"))</f>
        <v/>
      </c>
      <c r="AR2952" s="79">
        <f>IF(AN2952="","",IF(OR(AO2952&lt;&gt;"OK", AP2952&lt;&gt;"OK", AQ2952&lt;&gt;"OK"), "⚠️ REVISAR", "OK"))</f>
        <v/>
      </c>
    </row>
    <row r="2953">
      <c r="A2953" s="79">
        <f>IF('Ordenes_Odoo'!A2953="","",'Ordenes_Odoo'!A2953)</f>
        <v/>
      </c>
      <c r="B2953" s="80">
        <f>IF('Ordenes_Odoo'!B2953="","",'Ordenes_Odoo'!B2953)</f>
        <v/>
      </c>
      <c r="C2953" s="79">
        <f>IF('Ordenes_Odoo'!C2953="","",'Ordenes_Odoo'!C2953)</f>
        <v/>
      </c>
      <c r="D2953" s="79">
        <f>IF('Ordenes_Odoo'!D2953="","",'Ordenes_Odoo'!D2953)</f>
        <v/>
      </c>
      <c r="E2953" s="79">
        <f>IF('Ordenes_Odoo'!E2953="","",'Ordenes_Odoo'!E2953)</f>
        <v/>
      </c>
      <c r="F2953" s="79">
        <f>IF('Ordenes_Odoo'!F2953="","",'Ordenes_Odoo'!F2953)</f>
        <v/>
      </c>
      <c r="G2953" s="79">
        <f>IF('Ordenes_Odoo'!G2953="","",'Ordenes_Odoo'!G2953)</f>
        <v/>
      </c>
      <c r="H2953" s="79">
        <f>IF('Ordenes_Odoo'!H2953="","",'Ordenes_Odoo'!H2953)</f>
        <v/>
      </c>
      <c r="I2953" s="79">
        <f>IF('Ordenes_Odoo'!I2953="","",'Ordenes_Odoo'!I2953)</f>
        <v/>
      </c>
      <c r="J2953" s="79">
        <f>IF('Ordenes_Odoo'!J2953="","",'Ordenes_Odoo'!J2953)</f>
        <v/>
      </c>
      <c r="K2953" s="81">
        <f>IF('Ordenes_Odoo'!K2953="","",'Ordenes_Odoo'!K2953)</f>
        <v/>
      </c>
      <c r="L2953" s="81">
        <f>IF('Ordenes_Odoo'!L2953="","",'Ordenes_Odoo'!L2953)</f>
        <v/>
      </c>
      <c r="M2953" s="79">
        <f>IF('Ordenes_Odoo'!M2953="","",'Ordenes_Odoo'!M2953)</f>
        <v/>
      </c>
      <c r="N2953" s="79">
        <f>IF('Ordenes_Odoo'!N2953="","",'Ordenes_Odoo'!N2953)</f>
        <v/>
      </c>
      <c r="O2953" s="81">
        <f>IF('Ordenes_Odoo'!O2953="","",'Ordenes_Odoo'!O2953)</f>
        <v/>
      </c>
      <c r="P2953" s="81">
        <f>IF('Ordenes_Odoo'!P2953="","",'Ordenes_Odoo'!P2953)</f>
        <v/>
      </c>
      <c r="Q2953" s="79">
        <f>IF(A2953="","",IFERROR(INDEX(Facturas_Odoo!$B:$B, MATCH(A2953, Facturas_Odoo!$D:$D, 0)), "Sin Factura"))</f>
        <v/>
      </c>
      <c r="R2953" s="80">
        <f>IF(Q2953="Sin Factura","",IFERROR(INDEX(Facturas_Odoo!$A:$A, MATCH(Q2953, Facturas_Odoo!$B:$B, 0)), ""))</f>
        <v/>
      </c>
      <c r="S2953" s="79">
        <f>IF(Q2953="Sin Factura","",IFERROR(_xlfn.XLOOKUP(1, (Facturas_Odoo!$D:$D=A2953) * (Facturas_Odoo!$K:$K=I2953), Facturas_Odoo!$L:$L, ""), ""))</f>
        <v/>
      </c>
      <c r="T2953" s="81">
        <f>IF(Q2953="Sin Factura",0,IFERROR(_xlfn.XLOOKUP(1, (Facturas_Odoo!$D:$D=A2953) * (Facturas_Odoo!$K:$K=I2953), Facturas_Odoo!$M:$M, 0), 0))</f>
        <v/>
      </c>
      <c r="U2953" s="79">
        <f>IF(Q2953="Sin Factura",0,IFERROR(_xlfn.XLOOKUP(1, (Facturas_Odoo!$D:$D=A2953) * (Facturas_Odoo!$K:$K=I2953), Facturas_Odoo!$N:$N, 0), 0))</f>
        <v/>
      </c>
      <c r="V2953" s="79">
        <f>IF(Q2953="Sin Factura",0,IFERROR(_xlfn.XLOOKUP(1, (Facturas_Odoo!$D:$D=A2953) * (Facturas_Odoo!$K:$K=I2953), Facturas_Odoo!$O:$O, 0), 0))</f>
        <v/>
      </c>
      <c r="W2953" s="81">
        <f>IF(Q2953="Sin Factura",0,IFERROR(_xlfn.XLOOKUP(1, (Facturas_Odoo!$D:$D=A2953) * (Facturas_Odoo!$K:$K=I2953), Facturas_Odoo!$Q:$Q, 0), 0))</f>
        <v/>
      </c>
      <c r="X2953" s="79">
        <f>IF(OR(Q2953="Sin Factura",Q2953=""),"",IFERROR(INDEX(Pagos_Odoo!$B:$B, MATCH(Q2953, Pagos_Odoo!$I:$I, 0)), "Sin Pago"))</f>
        <v/>
      </c>
      <c r="Y2953" s="79">
        <f>IF(X2953="Sin Pago","",IFERROR(INDEX(Pagos_Odoo!$C:$C, MATCH(X2953, Pagos_Odoo!$B:$B, 0)), ""))</f>
        <v/>
      </c>
      <c r="Z2953" s="80">
        <f>IF(X2953="Sin Pago","",IFERROR(INDEX(Pagos_Odoo!$A:$A, MATCH(X2953, Pagos_Odoo!$B:$B, 0)), ""))</f>
        <v/>
      </c>
      <c r="AA2953" s="79">
        <f>IF(X2953="Sin Pago","",IFERROR(INDEX(Pagos_Odoo!$F:$F, MATCH(X2953, Pagos_Odoo!$B:$B, 0)), ""))</f>
        <v/>
      </c>
      <c r="AB2953" s="81">
        <f>IF(X2953="Sin Pago",0,IFERROR(INDEX(Pagos_Odoo!$E:$E, MATCH(X2953, Pagos_Odoo!$B:$B, 0)), 0))</f>
        <v/>
      </c>
      <c r="AC2953" s="79">
        <f>IF(X2953="Sin Pago","",IFERROR(INDEX(Pagos_Odoo!$G:$G, MATCH(X2953, Pagos_Odoo!$B:$B, 0)), ""))</f>
        <v/>
      </c>
      <c r="AD2953" s="82" t="n">
        <v>0</v>
      </c>
      <c r="AE2953" s="82" t="n"/>
      <c r="AF2953" s="82" t="n"/>
      <c r="AG2953" s="82">
        <f>IF(AN2953="","",AD2953+AE2953+AF2953)</f>
        <v/>
      </c>
      <c r="AH2953" s="81">
        <f>IF(AN2953="","",P2953*(1-AG2953))</f>
        <v/>
      </c>
      <c r="AI2953" s="81">
        <f>IF(AN2953="","",IF(Q2953="Sin Factura",0,IFERROR(INDEX(Facturas_Odoo!$H:$H, MATCH(Q2953, Facturas_Odoo!$B:$B, 0)), 0)*(1-AG2953)))</f>
        <v/>
      </c>
      <c r="AJ2953" s="81">
        <f>IF(AN2953="","",_xlfn.LET(idVenta, AN2953&amp;"",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53" s="81">
        <f>IF(AN2953="","",AH2953-AJ2953)</f>
        <v/>
      </c>
      <c r="AL2953" s="81">
        <f>IF(AN2953="","",IF(Q2953="Sin Factura","",AI2953-AJ2953))</f>
        <v/>
      </c>
      <c r="AM2953" s="81">
        <f>IF(AN2953="","",IF(Q2953="Sin Factura",0,P2953-IFERROR(INDEX(Facturas_Odoo!$H:$H, MATCH(Q2953, Facturas_Odoo!$B:$B, 0)), 0)))</f>
        <v/>
      </c>
      <c r="AN2953" s="79">
        <f>IF(AND(A2953="", J2953=""), "", IF(A2953&lt;&gt;"", VALUE(MID(A2953,2,LEN(A2953))), AN2952))</f>
        <v/>
      </c>
      <c r="AO2953" s="79">
        <f>IF(AN2953="","",IF(AD2953=0,"OK",_xlfn.LET(monedaPago, IF(AA2953="","USD",AA2953), limitePermitido, IFERROR(VLOOKUP(monedaPago, Configuración!$A$2:$B$3, 2, FALSE), 0.15), IF(AD2953&gt;limitePermitido, "ALERTA: EXCESO (" &amp; TEXT(limitePermitido, "0%") &amp; " máx)", "OK"))))</f>
        <v/>
      </c>
      <c r="AP2953" s="79">
        <f>IF(AN2953="","",IF(AE2953=0,"OK",_xlfn.LET(fechaPago, Z2953, fechaFactura, R2953, diasCredito, IF(E2953="Pago inmediato", 0, IFERROR(VALUE(MID(E2953, 1, SEARCH(" ", E2953)-1)),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53" s="79">
        <f>IF(AN2953="","",IF(AND(N2953&gt;0, AG2953&gt;0), IF(Configuración!$K$2="NO", "ALERTA: DESCUENTO DOBLE NO PERMITIDO", "OK"), "OK"))</f>
        <v/>
      </c>
      <c r="AR2953" s="79">
        <f>IF(AN2953="","",IF(OR(AO2953&lt;&gt;"OK", AP2953&lt;&gt;"OK", AQ2953&lt;&gt;"OK"), "⚠️ REVISAR", "OK"))</f>
        <v/>
      </c>
    </row>
    <row r="2954">
      <c r="A2954" s="79">
        <f>IF('Ordenes_Odoo'!A2954="","",'Ordenes_Odoo'!A2954)</f>
        <v/>
      </c>
      <c r="B2954" s="80">
        <f>IF('Ordenes_Odoo'!B2954="","",'Ordenes_Odoo'!B2954)</f>
        <v/>
      </c>
      <c r="C2954" s="79">
        <f>IF('Ordenes_Odoo'!C2954="","",'Ordenes_Odoo'!C2954)</f>
        <v/>
      </c>
      <c r="D2954" s="79">
        <f>IF('Ordenes_Odoo'!D2954="","",'Ordenes_Odoo'!D2954)</f>
        <v/>
      </c>
      <c r="E2954" s="79">
        <f>IF('Ordenes_Odoo'!E2954="","",'Ordenes_Odoo'!E2954)</f>
        <v/>
      </c>
      <c r="F2954" s="79">
        <f>IF('Ordenes_Odoo'!F2954="","",'Ordenes_Odoo'!F2954)</f>
        <v/>
      </c>
      <c r="G2954" s="79">
        <f>IF('Ordenes_Odoo'!G2954="","",'Ordenes_Odoo'!G2954)</f>
        <v/>
      </c>
      <c r="H2954" s="79">
        <f>IF('Ordenes_Odoo'!H2954="","",'Ordenes_Odoo'!H2954)</f>
        <v/>
      </c>
      <c r="I2954" s="79">
        <f>IF('Ordenes_Odoo'!I2954="","",'Ordenes_Odoo'!I2954)</f>
        <v/>
      </c>
      <c r="J2954" s="79">
        <f>IF('Ordenes_Odoo'!J2954="","",'Ordenes_Odoo'!J2954)</f>
        <v/>
      </c>
      <c r="K2954" s="81">
        <f>IF('Ordenes_Odoo'!K2954="","",'Ordenes_Odoo'!K2954)</f>
        <v/>
      </c>
      <c r="L2954" s="81">
        <f>IF('Ordenes_Odoo'!L2954="","",'Ordenes_Odoo'!L2954)</f>
        <v/>
      </c>
      <c r="M2954" s="79">
        <f>IF('Ordenes_Odoo'!M2954="","",'Ordenes_Odoo'!M2954)</f>
        <v/>
      </c>
      <c r="N2954" s="79">
        <f>IF('Ordenes_Odoo'!N2954="","",'Ordenes_Odoo'!N2954)</f>
        <v/>
      </c>
      <c r="O2954" s="81">
        <f>IF('Ordenes_Odoo'!O2954="","",'Ordenes_Odoo'!O2954)</f>
        <v/>
      </c>
      <c r="P2954" s="81">
        <f>IF('Ordenes_Odoo'!P2954="","",'Ordenes_Odoo'!P2954)</f>
        <v/>
      </c>
      <c r="Q2954" s="79">
        <f>IF(A2954="","",IFERROR(INDEX(Facturas_Odoo!$B:$B, MATCH(A2954, Facturas_Odoo!$D:$D, 0)), "Sin Factura"))</f>
        <v/>
      </c>
      <c r="R2954" s="80">
        <f>IF(Q2954="Sin Factura","",IFERROR(INDEX(Facturas_Odoo!$A:$A, MATCH(Q2954, Facturas_Odoo!$B:$B, 0)), ""))</f>
        <v/>
      </c>
      <c r="S2954" s="79">
        <f>IF(Q2954="Sin Factura","",IFERROR(_xlfn.XLOOKUP(1, (Facturas_Odoo!$D:$D=A2954) * (Facturas_Odoo!$K:$K=I2954), Facturas_Odoo!$L:$L, ""), ""))</f>
        <v/>
      </c>
      <c r="T2954" s="81">
        <f>IF(Q2954="Sin Factura",0,IFERROR(_xlfn.XLOOKUP(1, (Facturas_Odoo!$D:$D=A2954) * (Facturas_Odoo!$K:$K=I2954), Facturas_Odoo!$M:$M, 0), 0))</f>
        <v/>
      </c>
      <c r="U2954" s="79">
        <f>IF(Q2954="Sin Factura",0,IFERROR(_xlfn.XLOOKUP(1, (Facturas_Odoo!$D:$D=A2954) * (Facturas_Odoo!$K:$K=I2954), Facturas_Odoo!$N:$N, 0), 0))</f>
        <v/>
      </c>
      <c r="V2954" s="79">
        <f>IF(Q2954="Sin Factura",0,IFERROR(_xlfn.XLOOKUP(1, (Facturas_Odoo!$D:$D=A2954) * (Facturas_Odoo!$K:$K=I2954), Facturas_Odoo!$O:$O, 0), 0))</f>
        <v/>
      </c>
      <c r="W2954" s="81">
        <f>IF(Q2954="Sin Factura",0,IFERROR(_xlfn.XLOOKUP(1, (Facturas_Odoo!$D:$D=A2954) * (Facturas_Odoo!$K:$K=I2954), Facturas_Odoo!$Q:$Q, 0), 0))</f>
        <v/>
      </c>
      <c r="X2954" s="79">
        <f>IF(OR(Q2954="Sin Factura",Q2954=""),"",IFERROR(INDEX(Pagos_Odoo!$B:$B, MATCH(Q2954, Pagos_Odoo!$I:$I, 0)), "Sin Pago"))</f>
        <v/>
      </c>
      <c r="Y2954" s="79">
        <f>IF(X2954="Sin Pago","",IFERROR(INDEX(Pagos_Odoo!$C:$C, MATCH(X2954, Pagos_Odoo!$B:$B, 0)), ""))</f>
        <v/>
      </c>
      <c r="Z2954" s="80">
        <f>IF(X2954="Sin Pago","",IFERROR(INDEX(Pagos_Odoo!$A:$A, MATCH(X2954, Pagos_Odoo!$B:$B, 0)), ""))</f>
        <v/>
      </c>
      <c r="AA2954" s="79">
        <f>IF(X2954="Sin Pago","",IFERROR(INDEX(Pagos_Odoo!$F:$F, MATCH(X2954, Pagos_Odoo!$B:$B, 0)), ""))</f>
        <v/>
      </c>
      <c r="AB2954" s="81">
        <f>IF(X2954="Sin Pago",0,IFERROR(INDEX(Pagos_Odoo!$E:$E, MATCH(X2954, Pagos_Odoo!$B:$B, 0)), 0))</f>
        <v/>
      </c>
      <c r="AC2954" s="79">
        <f>IF(X2954="Sin Pago","",IFERROR(INDEX(Pagos_Odoo!$G:$G, MATCH(X2954, Pagos_Odoo!$B:$B, 0)), ""))</f>
        <v/>
      </c>
      <c r="AD2954" s="82" t="n">
        <v>0</v>
      </c>
      <c r="AE2954" s="82" t="n"/>
      <c r="AF2954" s="82" t="n"/>
      <c r="AG2954" s="82">
        <f>IF(AN2954="","",AD2954+AE2954+AF2954)</f>
        <v/>
      </c>
      <c r="AH2954" s="81">
        <f>IF(AN2954="","",P2954*(1-AG2954))</f>
        <v/>
      </c>
      <c r="AI2954" s="81">
        <f>IF(AN2954="","",IF(Q2954="Sin Factura",0,IFERROR(INDEX(Facturas_Odoo!$H:$H, MATCH(Q2954, Facturas_Odoo!$B:$B, 0)), 0)*(1-AG2954)))</f>
        <v/>
      </c>
      <c r="AJ2954" s="81">
        <f>IF(AN2954="","",_xlfn.LET(idVenta, AN2954&amp;"",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54" s="81">
        <f>IF(AN2954="","",AH2954-AJ2954)</f>
        <v/>
      </c>
      <c r="AL2954" s="81">
        <f>IF(AN2954="","",IF(Q2954="Sin Factura","",AI2954-AJ2954))</f>
        <v/>
      </c>
      <c r="AM2954" s="81">
        <f>IF(AN2954="","",IF(Q2954="Sin Factura",0,P2954-IFERROR(INDEX(Facturas_Odoo!$H:$H, MATCH(Q2954, Facturas_Odoo!$B:$B, 0)), 0)))</f>
        <v/>
      </c>
      <c r="AN2954" s="79">
        <f>IF(AND(A2954="", J2954=""), "", IF(A2954&lt;&gt;"", VALUE(MID(A2954,2,LEN(A2954))), AN2953))</f>
        <v/>
      </c>
      <c r="AO2954" s="79">
        <f>IF(AN2954="","",IF(AD2954=0,"OK",_xlfn.LET(monedaPago, IF(AA2954="","USD",AA2954), limitePermitido, IFERROR(VLOOKUP(monedaPago, Configuración!$A$2:$B$3, 2, FALSE), 0.15), IF(AD2954&gt;limitePermitido, "ALERTA: EXCESO (" &amp; TEXT(limitePermitido, "0%") &amp; " máx)", "OK"))))</f>
        <v/>
      </c>
      <c r="AP2954" s="79">
        <f>IF(AN2954="","",IF(AE2954=0,"OK",_xlfn.LET(fechaPago, Z2954, fechaFactura, R2954, diasCredito, IF(E2954="Pago inmediato", 0, IFERROR(VALUE(MID(E2954, 1, SEARCH(" ", E2954)-1)),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54" s="79">
        <f>IF(AN2954="","",IF(AND(N2954&gt;0, AG2954&gt;0), IF(Configuración!$K$2="NO", "ALERTA: DESCUENTO DOBLE NO PERMITIDO", "OK"), "OK"))</f>
        <v/>
      </c>
      <c r="AR2954" s="79">
        <f>IF(AN2954="","",IF(OR(AO2954&lt;&gt;"OK", AP2954&lt;&gt;"OK", AQ2954&lt;&gt;"OK"), "⚠️ REVISAR", "OK"))</f>
        <v/>
      </c>
    </row>
    <row r="2955">
      <c r="A2955" s="79">
        <f>IF('Ordenes_Odoo'!A2955="","",'Ordenes_Odoo'!A2955)</f>
        <v/>
      </c>
      <c r="B2955" s="80">
        <f>IF('Ordenes_Odoo'!B2955="","",'Ordenes_Odoo'!B2955)</f>
        <v/>
      </c>
      <c r="C2955" s="79">
        <f>IF('Ordenes_Odoo'!C2955="","",'Ordenes_Odoo'!C2955)</f>
        <v/>
      </c>
      <c r="D2955" s="79">
        <f>IF('Ordenes_Odoo'!D2955="","",'Ordenes_Odoo'!D2955)</f>
        <v/>
      </c>
      <c r="E2955" s="79">
        <f>IF('Ordenes_Odoo'!E2955="","",'Ordenes_Odoo'!E2955)</f>
        <v/>
      </c>
      <c r="F2955" s="79">
        <f>IF('Ordenes_Odoo'!F2955="","",'Ordenes_Odoo'!F2955)</f>
        <v/>
      </c>
      <c r="G2955" s="79">
        <f>IF('Ordenes_Odoo'!G2955="","",'Ordenes_Odoo'!G2955)</f>
        <v/>
      </c>
      <c r="H2955" s="79">
        <f>IF('Ordenes_Odoo'!H2955="","",'Ordenes_Odoo'!H2955)</f>
        <v/>
      </c>
      <c r="I2955" s="79">
        <f>IF('Ordenes_Odoo'!I2955="","",'Ordenes_Odoo'!I2955)</f>
        <v/>
      </c>
      <c r="J2955" s="79">
        <f>IF('Ordenes_Odoo'!J2955="","",'Ordenes_Odoo'!J2955)</f>
        <v/>
      </c>
      <c r="K2955" s="81">
        <f>IF('Ordenes_Odoo'!K2955="","",'Ordenes_Odoo'!K2955)</f>
        <v/>
      </c>
      <c r="L2955" s="81">
        <f>IF('Ordenes_Odoo'!L2955="","",'Ordenes_Odoo'!L2955)</f>
        <v/>
      </c>
      <c r="M2955" s="79">
        <f>IF('Ordenes_Odoo'!M2955="","",'Ordenes_Odoo'!M2955)</f>
        <v/>
      </c>
      <c r="N2955" s="79">
        <f>IF('Ordenes_Odoo'!N2955="","",'Ordenes_Odoo'!N2955)</f>
        <v/>
      </c>
      <c r="O2955" s="81">
        <f>IF('Ordenes_Odoo'!O2955="","",'Ordenes_Odoo'!O2955)</f>
        <v/>
      </c>
      <c r="P2955" s="81">
        <f>IF('Ordenes_Odoo'!P2955="","",'Ordenes_Odoo'!P2955)</f>
        <v/>
      </c>
      <c r="Q2955" s="79">
        <f>IF(A2955="","",IFERROR(INDEX(Facturas_Odoo!$B:$B, MATCH(A2955, Facturas_Odoo!$D:$D, 0)), "Sin Factura"))</f>
        <v/>
      </c>
      <c r="R2955" s="80">
        <f>IF(Q2955="Sin Factura","",IFERROR(INDEX(Facturas_Odoo!$A:$A, MATCH(Q2955, Facturas_Odoo!$B:$B, 0)), ""))</f>
        <v/>
      </c>
      <c r="S2955" s="79">
        <f>IF(Q2955="Sin Factura","",IFERROR(_xlfn.XLOOKUP(1, (Facturas_Odoo!$D:$D=A2955) * (Facturas_Odoo!$K:$K=I2955), Facturas_Odoo!$L:$L, ""), ""))</f>
        <v/>
      </c>
      <c r="T2955" s="81">
        <f>IF(Q2955="Sin Factura",0,IFERROR(_xlfn.XLOOKUP(1, (Facturas_Odoo!$D:$D=A2955) * (Facturas_Odoo!$K:$K=I2955), Facturas_Odoo!$M:$M, 0), 0))</f>
        <v/>
      </c>
      <c r="U2955" s="79">
        <f>IF(Q2955="Sin Factura",0,IFERROR(_xlfn.XLOOKUP(1, (Facturas_Odoo!$D:$D=A2955) * (Facturas_Odoo!$K:$K=I2955), Facturas_Odoo!$N:$N, 0), 0))</f>
        <v/>
      </c>
      <c r="V2955" s="79">
        <f>IF(Q2955="Sin Factura",0,IFERROR(_xlfn.XLOOKUP(1, (Facturas_Odoo!$D:$D=A2955) * (Facturas_Odoo!$K:$K=I2955), Facturas_Odoo!$O:$O, 0), 0))</f>
        <v/>
      </c>
      <c r="W2955" s="81">
        <f>IF(Q2955="Sin Factura",0,IFERROR(_xlfn.XLOOKUP(1, (Facturas_Odoo!$D:$D=A2955) * (Facturas_Odoo!$K:$K=I2955), Facturas_Odoo!$Q:$Q, 0), 0))</f>
        <v/>
      </c>
      <c r="X2955" s="79">
        <f>IF(OR(Q2955="Sin Factura",Q2955=""),"",IFERROR(INDEX(Pagos_Odoo!$B:$B, MATCH(Q2955, Pagos_Odoo!$I:$I, 0)), "Sin Pago"))</f>
        <v/>
      </c>
      <c r="Y2955" s="79">
        <f>IF(X2955="Sin Pago","",IFERROR(INDEX(Pagos_Odoo!$C:$C, MATCH(X2955, Pagos_Odoo!$B:$B, 0)), ""))</f>
        <v/>
      </c>
      <c r="Z2955" s="80">
        <f>IF(X2955="Sin Pago","",IFERROR(INDEX(Pagos_Odoo!$A:$A, MATCH(X2955, Pagos_Odoo!$B:$B, 0)), ""))</f>
        <v/>
      </c>
      <c r="AA2955" s="79">
        <f>IF(X2955="Sin Pago","",IFERROR(INDEX(Pagos_Odoo!$F:$F, MATCH(X2955, Pagos_Odoo!$B:$B, 0)), ""))</f>
        <v/>
      </c>
      <c r="AB2955" s="81">
        <f>IF(X2955="Sin Pago",0,IFERROR(INDEX(Pagos_Odoo!$E:$E, MATCH(X2955, Pagos_Odoo!$B:$B, 0)), 0))</f>
        <v/>
      </c>
      <c r="AC2955" s="79">
        <f>IF(X2955="Sin Pago","",IFERROR(INDEX(Pagos_Odoo!$G:$G, MATCH(X2955, Pagos_Odoo!$B:$B, 0)), ""))</f>
        <v/>
      </c>
      <c r="AD2955" s="82" t="n">
        <v>0</v>
      </c>
      <c r="AE2955" s="82" t="n"/>
      <c r="AF2955" s="82" t="n"/>
      <c r="AG2955" s="82">
        <f>IF(AN2955="","",AD2955+AE2955+AF2955)</f>
        <v/>
      </c>
      <c r="AH2955" s="81">
        <f>IF(AN2955="","",P2955*(1-AG2955))</f>
        <v/>
      </c>
      <c r="AI2955" s="81">
        <f>IF(AN2955="","",IF(Q2955="Sin Factura",0,IFERROR(INDEX(Facturas_Odoo!$H:$H, MATCH(Q2955, Facturas_Odoo!$B:$B, 0)), 0)*(1-AG2955)))</f>
        <v/>
      </c>
      <c r="AJ2955" s="81">
        <f>IF(AN2955="","",_xlfn.LET(idVenta, AN2955&amp;"",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55" s="81">
        <f>IF(AN2955="","",AH2955-AJ2955)</f>
        <v/>
      </c>
      <c r="AL2955" s="81">
        <f>IF(AN2955="","",IF(Q2955="Sin Factura","",AI2955-AJ2955))</f>
        <v/>
      </c>
      <c r="AM2955" s="81">
        <f>IF(AN2955="","",IF(Q2955="Sin Factura",0,P2955-IFERROR(INDEX(Facturas_Odoo!$H:$H, MATCH(Q2955, Facturas_Odoo!$B:$B, 0)), 0)))</f>
        <v/>
      </c>
      <c r="AN2955" s="79">
        <f>IF(AND(A2955="", J2955=""), "", IF(A2955&lt;&gt;"", VALUE(MID(A2955,2,LEN(A2955))), AN2954))</f>
        <v/>
      </c>
      <c r="AO2955" s="79">
        <f>IF(AN2955="","",IF(AD2955=0,"OK",_xlfn.LET(monedaPago, IF(AA2955="","USD",AA2955), limitePermitido, IFERROR(VLOOKUP(monedaPago, Configuración!$A$2:$B$3, 2, FALSE), 0.15), IF(AD2955&gt;limitePermitido, "ALERTA: EXCESO (" &amp; TEXT(limitePermitido, "0%") &amp; " máx)", "OK"))))</f>
        <v/>
      </c>
      <c r="AP2955" s="79">
        <f>IF(AN2955="","",IF(AE2955=0,"OK",_xlfn.LET(fechaPago, Z2955, fechaFactura, R2955, diasCredito, IF(E2955="Pago inmediato", 0, IFERROR(VALUE(MID(E2955, 1, SEARCH(" ", E2955)-1)),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55" s="79">
        <f>IF(AN2955="","",IF(AND(N2955&gt;0, AG2955&gt;0), IF(Configuración!$K$2="NO", "ALERTA: DESCUENTO DOBLE NO PERMITIDO", "OK"), "OK"))</f>
        <v/>
      </c>
      <c r="AR2955" s="79">
        <f>IF(AN2955="","",IF(OR(AO2955&lt;&gt;"OK", AP2955&lt;&gt;"OK", AQ2955&lt;&gt;"OK"), "⚠️ REVISAR", "OK"))</f>
        <v/>
      </c>
    </row>
    <row r="2956">
      <c r="A2956" s="79">
        <f>IF('Ordenes_Odoo'!A2956="","",'Ordenes_Odoo'!A2956)</f>
        <v/>
      </c>
      <c r="B2956" s="80">
        <f>IF('Ordenes_Odoo'!B2956="","",'Ordenes_Odoo'!B2956)</f>
        <v/>
      </c>
      <c r="C2956" s="79">
        <f>IF('Ordenes_Odoo'!C2956="","",'Ordenes_Odoo'!C2956)</f>
        <v/>
      </c>
      <c r="D2956" s="79">
        <f>IF('Ordenes_Odoo'!D2956="","",'Ordenes_Odoo'!D2956)</f>
        <v/>
      </c>
      <c r="E2956" s="79">
        <f>IF('Ordenes_Odoo'!E2956="","",'Ordenes_Odoo'!E2956)</f>
        <v/>
      </c>
      <c r="F2956" s="79">
        <f>IF('Ordenes_Odoo'!F2956="","",'Ordenes_Odoo'!F2956)</f>
        <v/>
      </c>
      <c r="G2956" s="79">
        <f>IF('Ordenes_Odoo'!G2956="","",'Ordenes_Odoo'!G2956)</f>
        <v/>
      </c>
      <c r="H2956" s="79">
        <f>IF('Ordenes_Odoo'!H2956="","",'Ordenes_Odoo'!H2956)</f>
        <v/>
      </c>
      <c r="I2956" s="79">
        <f>IF('Ordenes_Odoo'!I2956="","",'Ordenes_Odoo'!I2956)</f>
        <v/>
      </c>
      <c r="J2956" s="79">
        <f>IF('Ordenes_Odoo'!J2956="","",'Ordenes_Odoo'!J2956)</f>
        <v/>
      </c>
      <c r="K2956" s="81">
        <f>IF('Ordenes_Odoo'!K2956="","",'Ordenes_Odoo'!K2956)</f>
        <v/>
      </c>
      <c r="L2956" s="81">
        <f>IF('Ordenes_Odoo'!L2956="","",'Ordenes_Odoo'!L2956)</f>
        <v/>
      </c>
      <c r="M2956" s="79">
        <f>IF('Ordenes_Odoo'!M2956="","",'Ordenes_Odoo'!M2956)</f>
        <v/>
      </c>
      <c r="N2956" s="79">
        <f>IF('Ordenes_Odoo'!N2956="","",'Ordenes_Odoo'!N2956)</f>
        <v/>
      </c>
      <c r="O2956" s="81">
        <f>IF('Ordenes_Odoo'!O2956="","",'Ordenes_Odoo'!O2956)</f>
        <v/>
      </c>
      <c r="P2956" s="81">
        <f>IF('Ordenes_Odoo'!P2956="","",'Ordenes_Odoo'!P2956)</f>
        <v/>
      </c>
      <c r="Q2956" s="79">
        <f>IF(A2956="","",IFERROR(INDEX(Facturas_Odoo!$B:$B, MATCH(A2956, Facturas_Odoo!$D:$D, 0)), "Sin Factura"))</f>
        <v/>
      </c>
      <c r="R2956" s="80">
        <f>IF(Q2956="Sin Factura","",IFERROR(INDEX(Facturas_Odoo!$A:$A, MATCH(Q2956, Facturas_Odoo!$B:$B, 0)), ""))</f>
        <v/>
      </c>
      <c r="S2956" s="79">
        <f>IF(Q2956="Sin Factura","",IFERROR(_xlfn.XLOOKUP(1, (Facturas_Odoo!$D:$D=A2956) * (Facturas_Odoo!$K:$K=I2956), Facturas_Odoo!$L:$L, ""), ""))</f>
        <v/>
      </c>
      <c r="T2956" s="81">
        <f>IF(Q2956="Sin Factura",0,IFERROR(_xlfn.XLOOKUP(1, (Facturas_Odoo!$D:$D=A2956) * (Facturas_Odoo!$K:$K=I2956), Facturas_Odoo!$M:$M, 0), 0))</f>
        <v/>
      </c>
      <c r="U2956" s="79">
        <f>IF(Q2956="Sin Factura",0,IFERROR(_xlfn.XLOOKUP(1, (Facturas_Odoo!$D:$D=A2956) * (Facturas_Odoo!$K:$K=I2956), Facturas_Odoo!$N:$N, 0), 0))</f>
        <v/>
      </c>
      <c r="V2956" s="79">
        <f>IF(Q2956="Sin Factura",0,IFERROR(_xlfn.XLOOKUP(1, (Facturas_Odoo!$D:$D=A2956) * (Facturas_Odoo!$K:$K=I2956), Facturas_Odoo!$O:$O, 0), 0))</f>
        <v/>
      </c>
      <c r="W2956" s="81">
        <f>IF(Q2956="Sin Factura",0,IFERROR(_xlfn.XLOOKUP(1, (Facturas_Odoo!$D:$D=A2956) * (Facturas_Odoo!$K:$K=I2956), Facturas_Odoo!$Q:$Q, 0), 0))</f>
        <v/>
      </c>
      <c r="X2956" s="79">
        <f>IF(OR(Q2956="Sin Factura",Q2956=""),"",IFERROR(INDEX(Pagos_Odoo!$B:$B, MATCH(Q2956, Pagos_Odoo!$I:$I, 0)), "Sin Pago"))</f>
        <v/>
      </c>
      <c r="Y2956" s="79">
        <f>IF(X2956="Sin Pago","",IFERROR(INDEX(Pagos_Odoo!$C:$C, MATCH(X2956, Pagos_Odoo!$B:$B, 0)), ""))</f>
        <v/>
      </c>
      <c r="Z2956" s="80">
        <f>IF(X2956="Sin Pago","",IFERROR(INDEX(Pagos_Odoo!$A:$A, MATCH(X2956, Pagos_Odoo!$B:$B, 0)), ""))</f>
        <v/>
      </c>
      <c r="AA2956" s="79">
        <f>IF(X2956="Sin Pago","",IFERROR(INDEX(Pagos_Odoo!$F:$F, MATCH(X2956, Pagos_Odoo!$B:$B, 0)), ""))</f>
        <v/>
      </c>
      <c r="AB2956" s="81">
        <f>IF(X2956="Sin Pago",0,IFERROR(INDEX(Pagos_Odoo!$E:$E, MATCH(X2956, Pagos_Odoo!$B:$B, 0)), 0))</f>
        <v/>
      </c>
      <c r="AC2956" s="79">
        <f>IF(X2956="Sin Pago","",IFERROR(INDEX(Pagos_Odoo!$G:$G, MATCH(X2956, Pagos_Odoo!$B:$B, 0)), ""))</f>
        <v/>
      </c>
      <c r="AD2956" s="82" t="n">
        <v>0</v>
      </c>
      <c r="AE2956" s="82" t="n"/>
      <c r="AF2956" s="82" t="n"/>
      <c r="AG2956" s="82">
        <f>IF(AN2956="","",AD2956+AE2956+AF2956)</f>
        <v/>
      </c>
      <c r="AH2956" s="81">
        <f>IF(AN2956="","",P2956*(1-AG2956))</f>
        <v/>
      </c>
      <c r="AI2956" s="81">
        <f>IF(AN2956="","",IF(Q2956="Sin Factura",0,IFERROR(INDEX(Facturas_Odoo!$H:$H, MATCH(Q2956, Facturas_Odoo!$B:$B, 0)), 0)*(1-AG2956)))</f>
        <v/>
      </c>
      <c r="AJ2956" s="81">
        <f>IF(AN2956="","",_xlfn.LET(idVenta, AN2956&amp;"",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56" s="81">
        <f>IF(AN2956="","",AH2956-AJ2956)</f>
        <v/>
      </c>
      <c r="AL2956" s="81">
        <f>IF(AN2956="","",IF(Q2956="Sin Factura","",AI2956-AJ2956))</f>
        <v/>
      </c>
      <c r="AM2956" s="81">
        <f>IF(AN2956="","",IF(Q2956="Sin Factura",0,P2956-IFERROR(INDEX(Facturas_Odoo!$H:$H, MATCH(Q2956, Facturas_Odoo!$B:$B, 0)), 0)))</f>
        <v/>
      </c>
      <c r="AN2956" s="79">
        <f>IF(AND(A2956="", J2956=""), "", IF(A2956&lt;&gt;"", VALUE(MID(A2956,2,LEN(A2956))), AN2955))</f>
        <v/>
      </c>
      <c r="AO2956" s="79">
        <f>IF(AN2956="","",IF(AD2956=0,"OK",_xlfn.LET(monedaPago, IF(AA2956="","USD",AA2956), limitePermitido, IFERROR(VLOOKUP(monedaPago, Configuración!$A$2:$B$3, 2, FALSE), 0.15), IF(AD2956&gt;limitePermitido, "ALERTA: EXCESO (" &amp; TEXT(limitePermitido, "0%") &amp; " máx)", "OK"))))</f>
        <v/>
      </c>
      <c r="AP2956" s="79">
        <f>IF(AN2956="","",IF(AE2956=0,"OK",_xlfn.LET(fechaPago, Z2956, fechaFactura, R2956, diasCredito, IF(E2956="Pago inmediato", 0, IFERROR(VALUE(MID(E2956, 1, SEARCH(" ", E2956)-1)),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56" s="79">
        <f>IF(AN2956="","",IF(AND(N2956&gt;0, AG2956&gt;0), IF(Configuración!$K$2="NO", "ALERTA: DESCUENTO DOBLE NO PERMITIDO", "OK"), "OK"))</f>
        <v/>
      </c>
      <c r="AR2956" s="79">
        <f>IF(AN2956="","",IF(OR(AO2956&lt;&gt;"OK", AP2956&lt;&gt;"OK", AQ2956&lt;&gt;"OK"), "⚠️ REVISAR", "OK"))</f>
        <v/>
      </c>
    </row>
    <row r="2957">
      <c r="A2957" s="79">
        <f>IF('Ordenes_Odoo'!A2957="","",'Ordenes_Odoo'!A2957)</f>
        <v/>
      </c>
      <c r="B2957" s="80">
        <f>IF('Ordenes_Odoo'!B2957="","",'Ordenes_Odoo'!B2957)</f>
        <v/>
      </c>
      <c r="C2957" s="79">
        <f>IF('Ordenes_Odoo'!C2957="","",'Ordenes_Odoo'!C2957)</f>
        <v/>
      </c>
      <c r="D2957" s="79">
        <f>IF('Ordenes_Odoo'!D2957="","",'Ordenes_Odoo'!D2957)</f>
        <v/>
      </c>
      <c r="E2957" s="79">
        <f>IF('Ordenes_Odoo'!E2957="","",'Ordenes_Odoo'!E2957)</f>
        <v/>
      </c>
      <c r="F2957" s="79">
        <f>IF('Ordenes_Odoo'!F2957="","",'Ordenes_Odoo'!F2957)</f>
        <v/>
      </c>
      <c r="G2957" s="79">
        <f>IF('Ordenes_Odoo'!G2957="","",'Ordenes_Odoo'!G2957)</f>
        <v/>
      </c>
      <c r="H2957" s="79">
        <f>IF('Ordenes_Odoo'!H2957="","",'Ordenes_Odoo'!H2957)</f>
        <v/>
      </c>
      <c r="I2957" s="79">
        <f>IF('Ordenes_Odoo'!I2957="","",'Ordenes_Odoo'!I2957)</f>
        <v/>
      </c>
      <c r="J2957" s="79">
        <f>IF('Ordenes_Odoo'!J2957="","",'Ordenes_Odoo'!J2957)</f>
        <v/>
      </c>
      <c r="K2957" s="81">
        <f>IF('Ordenes_Odoo'!K2957="","",'Ordenes_Odoo'!K2957)</f>
        <v/>
      </c>
      <c r="L2957" s="81">
        <f>IF('Ordenes_Odoo'!L2957="","",'Ordenes_Odoo'!L2957)</f>
        <v/>
      </c>
      <c r="M2957" s="79">
        <f>IF('Ordenes_Odoo'!M2957="","",'Ordenes_Odoo'!M2957)</f>
        <v/>
      </c>
      <c r="N2957" s="79">
        <f>IF('Ordenes_Odoo'!N2957="","",'Ordenes_Odoo'!N2957)</f>
        <v/>
      </c>
      <c r="O2957" s="81">
        <f>IF('Ordenes_Odoo'!O2957="","",'Ordenes_Odoo'!O2957)</f>
        <v/>
      </c>
      <c r="P2957" s="81">
        <f>IF('Ordenes_Odoo'!P2957="","",'Ordenes_Odoo'!P2957)</f>
        <v/>
      </c>
      <c r="Q2957" s="79">
        <f>IF(A2957="","",IFERROR(INDEX(Facturas_Odoo!$B:$B, MATCH(A2957, Facturas_Odoo!$D:$D, 0)), "Sin Factura"))</f>
        <v/>
      </c>
      <c r="R2957" s="80">
        <f>IF(Q2957="Sin Factura","",IFERROR(INDEX(Facturas_Odoo!$A:$A, MATCH(Q2957, Facturas_Odoo!$B:$B, 0)), ""))</f>
        <v/>
      </c>
      <c r="S2957" s="79">
        <f>IF(Q2957="Sin Factura","",IFERROR(_xlfn.XLOOKUP(1, (Facturas_Odoo!$D:$D=A2957) * (Facturas_Odoo!$K:$K=I2957), Facturas_Odoo!$L:$L, ""), ""))</f>
        <v/>
      </c>
      <c r="T2957" s="81">
        <f>IF(Q2957="Sin Factura",0,IFERROR(_xlfn.XLOOKUP(1, (Facturas_Odoo!$D:$D=A2957) * (Facturas_Odoo!$K:$K=I2957), Facturas_Odoo!$M:$M, 0), 0))</f>
        <v/>
      </c>
      <c r="U2957" s="79">
        <f>IF(Q2957="Sin Factura",0,IFERROR(_xlfn.XLOOKUP(1, (Facturas_Odoo!$D:$D=A2957) * (Facturas_Odoo!$K:$K=I2957), Facturas_Odoo!$N:$N, 0), 0))</f>
        <v/>
      </c>
      <c r="V2957" s="79">
        <f>IF(Q2957="Sin Factura",0,IFERROR(_xlfn.XLOOKUP(1, (Facturas_Odoo!$D:$D=A2957) * (Facturas_Odoo!$K:$K=I2957), Facturas_Odoo!$O:$O, 0), 0))</f>
        <v/>
      </c>
      <c r="W2957" s="81">
        <f>IF(Q2957="Sin Factura",0,IFERROR(_xlfn.XLOOKUP(1, (Facturas_Odoo!$D:$D=A2957) * (Facturas_Odoo!$K:$K=I2957), Facturas_Odoo!$Q:$Q, 0), 0))</f>
        <v/>
      </c>
      <c r="X2957" s="79">
        <f>IF(OR(Q2957="Sin Factura",Q2957=""),"",IFERROR(INDEX(Pagos_Odoo!$B:$B, MATCH(Q2957, Pagos_Odoo!$I:$I, 0)), "Sin Pago"))</f>
        <v/>
      </c>
      <c r="Y2957" s="79">
        <f>IF(X2957="Sin Pago","",IFERROR(INDEX(Pagos_Odoo!$C:$C, MATCH(X2957, Pagos_Odoo!$B:$B, 0)), ""))</f>
        <v/>
      </c>
      <c r="Z2957" s="80">
        <f>IF(X2957="Sin Pago","",IFERROR(INDEX(Pagos_Odoo!$A:$A, MATCH(X2957, Pagos_Odoo!$B:$B, 0)), ""))</f>
        <v/>
      </c>
      <c r="AA2957" s="79">
        <f>IF(X2957="Sin Pago","",IFERROR(INDEX(Pagos_Odoo!$F:$F, MATCH(X2957, Pagos_Odoo!$B:$B, 0)), ""))</f>
        <v/>
      </c>
      <c r="AB2957" s="81">
        <f>IF(X2957="Sin Pago",0,IFERROR(INDEX(Pagos_Odoo!$E:$E, MATCH(X2957, Pagos_Odoo!$B:$B, 0)), 0))</f>
        <v/>
      </c>
      <c r="AC2957" s="79">
        <f>IF(X2957="Sin Pago","",IFERROR(INDEX(Pagos_Odoo!$G:$G, MATCH(X2957, Pagos_Odoo!$B:$B, 0)), ""))</f>
        <v/>
      </c>
      <c r="AD2957" s="82" t="n">
        <v>0</v>
      </c>
      <c r="AE2957" s="82" t="n"/>
      <c r="AF2957" s="82" t="n"/>
      <c r="AG2957" s="82">
        <f>IF(AN2957="","",AD2957+AE2957+AF2957)</f>
        <v/>
      </c>
      <c r="AH2957" s="81">
        <f>IF(AN2957="","",P2957*(1-AG2957))</f>
        <v/>
      </c>
      <c r="AI2957" s="81">
        <f>IF(AN2957="","",IF(Q2957="Sin Factura",0,IFERROR(INDEX(Facturas_Odoo!$H:$H, MATCH(Q2957, Facturas_Odoo!$B:$B, 0)), 0)*(1-AG2957)))</f>
        <v/>
      </c>
      <c r="AJ2957" s="81">
        <f>IF(AN2957="","",_xlfn.LET(idVenta, AN2957&amp;"",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57" s="81">
        <f>IF(AN2957="","",AH2957-AJ2957)</f>
        <v/>
      </c>
      <c r="AL2957" s="81">
        <f>IF(AN2957="","",IF(Q2957="Sin Factura","",AI2957-AJ2957))</f>
        <v/>
      </c>
      <c r="AM2957" s="81">
        <f>IF(AN2957="","",IF(Q2957="Sin Factura",0,P2957-IFERROR(INDEX(Facturas_Odoo!$H:$H, MATCH(Q2957, Facturas_Odoo!$B:$B, 0)), 0)))</f>
        <v/>
      </c>
      <c r="AN2957" s="79">
        <f>IF(AND(A2957="", J2957=""), "", IF(A2957&lt;&gt;"", VALUE(MID(A2957,2,LEN(A2957))), AN2956))</f>
        <v/>
      </c>
      <c r="AO2957" s="79">
        <f>IF(AN2957="","",IF(AD2957=0,"OK",_xlfn.LET(monedaPago, IF(AA2957="","USD",AA2957), limitePermitido, IFERROR(VLOOKUP(monedaPago, Configuración!$A$2:$B$3, 2, FALSE), 0.15), IF(AD2957&gt;limitePermitido, "ALERTA: EXCESO (" &amp; TEXT(limitePermitido, "0%") &amp; " máx)", "OK"))))</f>
        <v/>
      </c>
      <c r="AP2957" s="79">
        <f>IF(AN2957="","",IF(AE2957=0,"OK",_xlfn.LET(fechaPago, Z2957, fechaFactura, R2957, diasCredito, IF(E2957="Pago inmediato", 0, IFERROR(VALUE(MID(E2957, 1, SEARCH(" ", E2957)-1)),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57" s="79">
        <f>IF(AN2957="","",IF(AND(N2957&gt;0, AG2957&gt;0), IF(Configuración!$K$2="NO", "ALERTA: DESCUENTO DOBLE NO PERMITIDO", "OK"), "OK"))</f>
        <v/>
      </c>
      <c r="AR2957" s="79">
        <f>IF(AN2957="","",IF(OR(AO2957&lt;&gt;"OK", AP2957&lt;&gt;"OK", AQ2957&lt;&gt;"OK"), "⚠️ REVISAR", "OK"))</f>
        <v/>
      </c>
    </row>
    <row r="2958">
      <c r="A2958" s="79">
        <f>IF('Ordenes_Odoo'!A2958="","",'Ordenes_Odoo'!A2958)</f>
        <v/>
      </c>
      <c r="B2958" s="80">
        <f>IF('Ordenes_Odoo'!B2958="","",'Ordenes_Odoo'!B2958)</f>
        <v/>
      </c>
      <c r="C2958" s="79">
        <f>IF('Ordenes_Odoo'!C2958="","",'Ordenes_Odoo'!C2958)</f>
        <v/>
      </c>
      <c r="D2958" s="79">
        <f>IF('Ordenes_Odoo'!D2958="","",'Ordenes_Odoo'!D2958)</f>
        <v/>
      </c>
      <c r="E2958" s="79">
        <f>IF('Ordenes_Odoo'!E2958="","",'Ordenes_Odoo'!E2958)</f>
        <v/>
      </c>
      <c r="F2958" s="79">
        <f>IF('Ordenes_Odoo'!F2958="","",'Ordenes_Odoo'!F2958)</f>
        <v/>
      </c>
      <c r="G2958" s="79">
        <f>IF('Ordenes_Odoo'!G2958="","",'Ordenes_Odoo'!G2958)</f>
        <v/>
      </c>
      <c r="H2958" s="79">
        <f>IF('Ordenes_Odoo'!H2958="","",'Ordenes_Odoo'!H2958)</f>
        <v/>
      </c>
      <c r="I2958" s="79">
        <f>IF('Ordenes_Odoo'!I2958="","",'Ordenes_Odoo'!I2958)</f>
        <v/>
      </c>
      <c r="J2958" s="79">
        <f>IF('Ordenes_Odoo'!J2958="","",'Ordenes_Odoo'!J2958)</f>
        <v/>
      </c>
      <c r="K2958" s="81">
        <f>IF('Ordenes_Odoo'!K2958="","",'Ordenes_Odoo'!K2958)</f>
        <v/>
      </c>
      <c r="L2958" s="81">
        <f>IF('Ordenes_Odoo'!L2958="","",'Ordenes_Odoo'!L2958)</f>
        <v/>
      </c>
      <c r="M2958" s="79">
        <f>IF('Ordenes_Odoo'!M2958="","",'Ordenes_Odoo'!M2958)</f>
        <v/>
      </c>
      <c r="N2958" s="79">
        <f>IF('Ordenes_Odoo'!N2958="","",'Ordenes_Odoo'!N2958)</f>
        <v/>
      </c>
      <c r="O2958" s="81">
        <f>IF('Ordenes_Odoo'!O2958="","",'Ordenes_Odoo'!O2958)</f>
        <v/>
      </c>
      <c r="P2958" s="81">
        <f>IF('Ordenes_Odoo'!P2958="","",'Ordenes_Odoo'!P2958)</f>
        <v/>
      </c>
      <c r="Q2958" s="79">
        <f>IF(A2958="","",IFERROR(INDEX(Facturas_Odoo!$B:$B, MATCH(A2958, Facturas_Odoo!$D:$D, 0)), "Sin Factura"))</f>
        <v/>
      </c>
      <c r="R2958" s="80">
        <f>IF(Q2958="Sin Factura","",IFERROR(INDEX(Facturas_Odoo!$A:$A, MATCH(Q2958, Facturas_Odoo!$B:$B, 0)), ""))</f>
        <v/>
      </c>
      <c r="S2958" s="79">
        <f>IF(Q2958="Sin Factura","",IFERROR(_xlfn.XLOOKUP(1, (Facturas_Odoo!$D:$D=A2958) * (Facturas_Odoo!$K:$K=I2958), Facturas_Odoo!$L:$L, ""), ""))</f>
        <v/>
      </c>
      <c r="T2958" s="81">
        <f>IF(Q2958="Sin Factura",0,IFERROR(_xlfn.XLOOKUP(1, (Facturas_Odoo!$D:$D=A2958) * (Facturas_Odoo!$K:$K=I2958), Facturas_Odoo!$M:$M, 0), 0))</f>
        <v/>
      </c>
      <c r="U2958" s="79">
        <f>IF(Q2958="Sin Factura",0,IFERROR(_xlfn.XLOOKUP(1, (Facturas_Odoo!$D:$D=A2958) * (Facturas_Odoo!$K:$K=I2958), Facturas_Odoo!$N:$N, 0), 0))</f>
        <v/>
      </c>
      <c r="V2958" s="79">
        <f>IF(Q2958="Sin Factura",0,IFERROR(_xlfn.XLOOKUP(1, (Facturas_Odoo!$D:$D=A2958) * (Facturas_Odoo!$K:$K=I2958), Facturas_Odoo!$O:$O, 0), 0))</f>
        <v/>
      </c>
      <c r="W2958" s="81">
        <f>IF(Q2958="Sin Factura",0,IFERROR(_xlfn.XLOOKUP(1, (Facturas_Odoo!$D:$D=A2958) * (Facturas_Odoo!$K:$K=I2958), Facturas_Odoo!$Q:$Q, 0), 0))</f>
        <v/>
      </c>
      <c r="X2958" s="79">
        <f>IF(OR(Q2958="Sin Factura",Q2958=""),"",IFERROR(INDEX(Pagos_Odoo!$B:$B, MATCH(Q2958, Pagos_Odoo!$I:$I, 0)), "Sin Pago"))</f>
        <v/>
      </c>
      <c r="Y2958" s="79">
        <f>IF(X2958="Sin Pago","",IFERROR(INDEX(Pagos_Odoo!$C:$C, MATCH(X2958, Pagos_Odoo!$B:$B, 0)), ""))</f>
        <v/>
      </c>
      <c r="Z2958" s="80">
        <f>IF(X2958="Sin Pago","",IFERROR(INDEX(Pagos_Odoo!$A:$A, MATCH(X2958, Pagos_Odoo!$B:$B, 0)), ""))</f>
        <v/>
      </c>
      <c r="AA2958" s="79">
        <f>IF(X2958="Sin Pago","",IFERROR(INDEX(Pagos_Odoo!$F:$F, MATCH(X2958, Pagos_Odoo!$B:$B, 0)), ""))</f>
        <v/>
      </c>
      <c r="AB2958" s="81">
        <f>IF(X2958="Sin Pago",0,IFERROR(INDEX(Pagos_Odoo!$E:$E, MATCH(X2958, Pagos_Odoo!$B:$B, 0)), 0))</f>
        <v/>
      </c>
      <c r="AC2958" s="79">
        <f>IF(X2958="Sin Pago","",IFERROR(INDEX(Pagos_Odoo!$G:$G, MATCH(X2958, Pagos_Odoo!$B:$B, 0)), ""))</f>
        <v/>
      </c>
      <c r="AD2958" s="82" t="n">
        <v>0</v>
      </c>
      <c r="AE2958" s="82" t="n"/>
      <c r="AF2958" s="82" t="n"/>
      <c r="AG2958" s="82">
        <f>IF(AN2958="","",AD2958+AE2958+AF2958)</f>
        <v/>
      </c>
      <c r="AH2958" s="81">
        <f>IF(AN2958="","",P2958*(1-AG2958))</f>
        <v/>
      </c>
      <c r="AI2958" s="81">
        <f>IF(AN2958="","",IF(Q2958="Sin Factura",0,IFERROR(INDEX(Facturas_Odoo!$H:$H, MATCH(Q2958, Facturas_Odoo!$B:$B, 0)), 0)*(1-AG2958)))</f>
        <v/>
      </c>
      <c r="AJ2958" s="81">
        <f>IF(AN2958="","",_xlfn.LET(idVenta, AN2958&amp;"",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58" s="81">
        <f>IF(AN2958="","",AH2958-AJ2958)</f>
        <v/>
      </c>
      <c r="AL2958" s="81">
        <f>IF(AN2958="","",IF(Q2958="Sin Factura","",AI2958-AJ2958))</f>
        <v/>
      </c>
      <c r="AM2958" s="81">
        <f>IF(AN2958="","",IF(Q2958="Sin Factura",0,P2958-IFERROR(INDEX(Facturas_Odoo!$H:$H, MATCH(Q2958, Facturas_Odoo!$B:$B, 0)), 0)))</f>
        <v/>
      </c>
      <c r="AN2958" s="79">
        <f>IF(AND(A2958="", J2958=""), "", IF(A2958&lt;&gt;"", VALUE(MID(A2958,2,LEN(A2958))), AN2957))</f>
        <v/>
      </c>
      <c r="AO2958" s="79">
        <f>IF(AN2958="","",IF(AD2958=0,"OK",_xlfn.LET(monedaPago, IF(AA2958="","USD",AA2958), limitePermitido, IFERROR(VLOOKUP(monedaPago, Configuración!$A$2:$B$3, 2, FALSE), 0.15), IF(AD2958&gt;limitePermitido, "ALERTA: EXCESO (" &amp; TEXT(limitePermitido, "0%") &amp; " máx)", "OK"))))</f>
        <v/>
      </c>
      <c r="AP2958" s="79">
        <f>IF(AN2958="","",IF(AE2958=0,"OK",_xlfn.LET(fechaPago, Z2958, fechaFactura, R2958, diasCredito, IF(E2958="Pago inmediato", 0, IFERROR(VALUE(MID(E2958, 1, SEARCH(" ", E2958)-1)),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58" s="79">
        <f>IF(AN2958="","",IF(AND(N2958&gt;0, AG2958&gt;0), IF(Configuración!$K$2="NO", "ALERTA: DESCUENTO DOBLE NO PERMITIDO", "OK"), "OK"))</f>
        <v/>
      </c>
      <c r="AR2958" s="79">
        <f>IF(AN2958="","",IF(OR(AO2958&lt;&gt;"OK", AP2958&lt;&gt;"OK", AQ2958&lt;&gt;"OK"), "⚠️ REVISAR", "OK"))</f>
        <v/>
      </c>
    </row>
    <row r="2959">
      <c r="A2959" s="79">
        <f>IF('Ordenes_Odoo'!A2959="","",'Ordenes_Odoo'!A2959)</f>
        <v/>
      </c>
      <c r="B2959" s="80">
        <f>IF('Ordenes_Odoo'!B2959="","",'Ordenes_Odoo'!B2959)</f>
        <v/>
      </c>
      <c r="C2959" s="79">
        <f>IF('Ordenes_Odoo'!C2959="","",'Ordenes_Odoo'!C2959)</f>
        <v/>
      </c>
      <c r="D2959" s="79">
        <f>IF('Ordenes_Odoo'!D2959="","",'Ordenes_Odoo'!D2959)</f>
        <v/>
      </c>
      <c r="E2959" s="79">
        <f>IF('Ordenes_Odoo'!E2959="","",'Ordenes_Odoo'!E2959)</f>
        <v/>
      </c>
      <c r="F2959" s="79">
        <f>IF('Ordenes_Odoo'!F2959="","",'Ordenes_Odoo'!F2959)</f>
        <v/>
      </c>
      <c r="G2959" s="79">
        <f>IF('Ordenes_Odoo'!G2959="","",'Ordenes_Odoo'!G2959)</f>
        <v/>
      </c>
      <c r="H2959" s="79">
        <f>IF('Ordenes_Odoo'!H2959="","",'Ordenes_Odoo'!H2959)</f>
        <v/>
      </c>
      <c r="I2959" s="79">
        <f>IF('Ordenes_Odoo'!I2959="","",'Ordenes_Odoo'!I2959)</f>
        <v/>
      </c>
      <c r="J2959" s="79">
        <f>IF('Ordenes_Odoo'!J2959="","",'Ordenes_Odoo'!J2959)</f>
        <v/>
      </c>
      <c r="K2959" s="81">
        <f>IF('Ordenes_Odoo'!K2959="","",'Ordenes_Odoo'!K2959)</f>
        <v/>
      </c>
      <c r="L2959" s="81">
        <f>IF('Ordenes_Odoo'!L2959="","",'Ordenes_Odoo'!L2959)</f>
        <v/>
      </c>
      <c r="M2959" s="79">
        <f>IF('Ordenes_Odoo'!M2959="","",'Ordenes_Odoo'!M2959)</f>
        <v/>
      </c>
      <c r="N2959" s="79">
        <f>IF('Ordenes_Odoo'!N2959="","",'Ordenes_Odoo'!N2959)</f>
        <v/>
      </c>
      <c r="O2959" s="81">
        <f>IF('Ordenes_Odoo'!O2959="","",'Ordenes_Odoo'!O2959)</f>
        <v/>
      </c>
      <c r="P2959" s="81">
        <f>IF('Ordenes_Odoo'!P2959="","",'Ordenes_Odoo'!P2959)</f>
        <v/>
      </c>
      <c r="Q2959" s="79">
        <f>IF(A2959="","",IFERROR(INDEX(Facturas_Odoo!$B:$B, MATCH(A2959, Facturas_Odoo!$D:$D, 0)), "Sin Factura"))</f>
        <v/>
      </c>
      <c r="R2959" s="80">
        <f>IF(Q2959="Sin Factura","",IFERROR(INDEX(Facturas_Odoo!$A:$A, MATCH(Q2959, Facturas_Odoo!$B:$B, 0)), ""))</f>
        <v/>
      </c>
      <c r="S2959" s="79">
        <f>IF(Q2959="Sin Factura","",IFERROR(_xlfn.XLOOKUP(1, (Facturas_Odoo!$D:$D=A2959) * (Facturas_Odoo!$K:$K=I2959), Facturas_Odoo!$L:$L, ""), ""))</f>
        <v/>
      </c>
      <c r="T2959" s="81">
        <f>IF(Q2959="Sin Factura",0,IFERROR(_xlfn.XLOOKUP(1, (Facturas_Odoo!$D:$D=A2959) * (Facturas_Odoo!$K:$K=I2959), Facturas_Odoo!$M:$M, 0), 0))</f>
        <v/>
      </c>
      <c r="U2959" s="79">
        <f>IF(Q2959="Sin Factura",0,IFERROR(_xlfn.XLOOKUP(1, (Facturas_Odoo!$D:$D=A2959) * (Facturas_Odoo!$K:$K=I2959), Facturas_Odoo!$N:$N, 0), 0))</f>
        <v/>
      </c>
      <c r="V2959" s="79">
        <f>IF(Q2959="Sin Factura",0,IFERROR(_xlfn.XLOOKUP(1, (Facturas_Odoo!$D:$D=A2959) * (Facturas_Odoo!$K:$K=I2959), Facturas_Odoo!$O:$O, 0), 0))</f>
        <v/>
      </c>
      <c r="W2959" s="81">
        <f>IF(Q2959="Sin Factura",0,IFERROR(_xlfn.XLOOKUP(1, (Facturas_Odoo!$D:$D=A2959) * (Facturas_Odoo!$K:$K=I2959), Facturas_Odoo!$Q:$Q, 0), 0))</f>
        <v/>
      </c>
      <c r="X2959" s="79">
        <f>IF(OR(Q2959="Sin Factura",Q2959=""),"",IFERROR(INDEX(Pagos_Odoo!$B:$B, MATCH(Q2959, Pagos_Odoo!$I:$I, 0)), "Sin Pago"))</f>
        <v/>
      </c>
      <c r="Y2959" s="79">
        <f>IF(X2959="Sin Pago","",IFERROR(INDEX(Pagos_Odoo!$C:$C, MATCH(X2959, Pagos_Odoo!$B:$B, 0)), ""))</f>
        <v/>
      </c>
      <c r="Z2959" s="80">
        <f>IF(X2959="Sin Pago","",IFERROR(INDEX(Pagos_Odoo!$A:$A, MATCH(X2959, Pagos_Odoo!$B:$B, 0)), ""))</f>
        <v/>
      </c>
      <c r="AA2959" s="79">
        <f>IF(X2959="Sin Pago","",IFERROR(INDEX(Pagos_Odoo!$F:$F, MATCH(X2959, Pagos_Odoo!$B:$B, 0)), ""))</f>
        <v/>
      </c>
      <c r="AB2959" s="81">
        <f>IF(X2959="Sin Pago",0,IFERROR(INDEX(Pagos_Odoo!$E:$E, MATCH(X2959, Pagos_Odoo!$B:$B, 0)), 0))</f>
        <v/>
      </c>
      <c r="AC2959" s="79">
        <f>IF(X2959="Sin Pago","",IFERROR(INDEX(Pagos_Odoo!$G:$G, MATCH(X2959, Pagos_Odoo!$B:$B, 0)), ""))</f>
        <v/>
      </c>
      <c r="AD2959" s="82" t="n">
        <v>0</v>
      </c>
      <c r="AE2959" s="82" t="n"/>
      <c r="AF2959" s="82" t="n"/>
      <c r="AG2959" s="82">
        <f>IF(AN2959="","",AD2959+AE2959+AF2959)</f>
        <v/>
      </c>
      <c r="AH2959" s="81">
        <f>IF(AN2959="","",P2959*(1-AG2959))</f>
        <v/>
      </c>
      <c r="AI2959" s="81">
        <f>IF(AN2959="","",IF(Q2959="Sin Factura",0,IFERROR(INDEX(Facturas_Odoo!$H:$H, MATCH(Q2959, Facturas_Odoo!$B:$B, 0)), 0)*(1-AG2959)))</f>
        <v/>
      </c>
      <c r="AJ2959" s="81">
        <f>IF(AN2959="","",_xlfn.LET(idVenta, AN2959&amp;"",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59" s="81">
        <f>IF(AN2959="","",AH2959-AJ2959)</f>
        <v/>
      </c>
      <c r="AL2959" s="81">
        <f>IF(AN2959="","",IF(Q2959="Sin Factura","",AI2959-AJ2959))</f>
        <v/>
      </c>
      <c r="AM2959" s="81">
        <f>IF(AN2959="","",IF(Q2959="Sin Factura",0,P2959-IFERROR(INDEX(Facturas_Odoo!$H:$H, MATCH(Q2959, Facturas_Odoo!$B:$B, 0)), 0)))</f>
        <v/>
      </c>
      <c r="AN2959" s="79">
        <f>IF(AND(A2959="", J2959=""), "", IF(A2959&lt;&gt;"", VALUE(MID(A2959,2,LEN(A2959))), AN2958))</f>
        <v/>
      </c>
      <c r="AO2959" s="79">
        <f>IF(AN2959="","",IF(AD2959=0,"OK",_xlfn.LET(monedaPago, IF(AA2959="","USD",AA2959), limitePermitido, IFERROR(VLOOKUP(monedaPago, Configuración!$A$2:$B$3, 2, FALSE), 0.15), IF(AD2959&gt;limitePermitido, "ALERTA: EXCESO (" &amp; TEXT(limitePermitido, "0%") &amp; " máx)", "OK"))))</f>
        <v/>
      </c>
      <c r="AP2959" s="79">
        <f>IF(AN2959="","",IF(AE2959=0,"OK",_xlfn.LET(fechaPago, Z2959, fechaFactura, R2959, diasCredito, IF(E2959="Pago inmediato", 0, IFERROR(VALUE(MID(E2959, 1, SEARCH(" ", E2959)-1)),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59" s="79">
        <f>IF(AN2959="","",IF(AND(N2959&gt;0, AG2959&gt;0), IF(Configuración!$K$2="NO", "ALERTA: DESCUENTO DOBLE NO PERMITIDO", "OK"), "OK"))</f>
        <v/>
      </c>
      <c r="AR2959" s="79">
        <f>IF(AN2959="","",IF(OR(AO2959&lt;&gt;"OK", AP2959&lt;&gt;"OK", AQ2959&lt;&gt;"OK"), "⚠️ REVISAR", "OK"))</f>
        <v/>
      </c>
    </row>
    <row r="2960">
      <c r="A2960" s="79">
        <f>IF('Ordenes_Odoo'!A2960="","",'Ordenes_Odoo'!A2960)</f>
        <v/>
      </c>
      <c r="B2960" s="80">
        <f>IF('Ordenes_Odoo'!B2960="","",'Ordenes_Odoo'!B2960)</f>
        <v/>
      </c>
      <c r="C2960" s="79">
        <f>IF('Ordenes_Odoo'!C2960="","",'Ordenes_Odoo'!C2960)</f>
        <v/>
      </c>
      <c r="D2960" s="79">
        <f>IF('Ordenes_Odoo'!D2960="","",'Ordenes_Odoo'!D2960)</f>
        <v/>
      </c>
      <c r="E2960" s="79">
        <f>IF('Ordenes_Odoo'!E2960="","",'Ordenes_Odoo'!E2960)</f>
        <v/>
      </c>
      <c r="F2960" s="79">
        <f>IF('Ordenes_Odoo'!F2960="","",'Ordenes_Odoo'!F2960)</f>
        <v/>
      </c>
      <c r="G2960" s="79">
        <f>IF('Ordenes_Odoo'!G2960="","",'Ordenes_Odoo'!G2960)</f>
        <v/>
      </c>
      <c r="H2960" s="79">
        <f>IF('Ordenes_Odoo'!H2960="","",'Ordenes_Odoo'!H2960)</f>
        <v/>
      </c>
      <c r="I2960" s="79">
        <f>IF('Ordenes_Odoo'!I2960="","",'Ordenes_Odoo'!I2960)</f>
        <v/>
      </c>
      <c r="J2960" s="79">
        <f>IF('Ordenes_Odoo'!J2960="","",'Ordenes_Odoo'!J2960)</f>
        <v/>
      </c>
      <c r="K2960" s="81">
        <f>IF('Ordenes_Odoo'!K2960="","",'Ordenes_Odoo'!K2960)</f>
        <v/>
      </c>
      <c r="L2960" s="81">
        <f>IF('Ordenes_Odoo'!L2960="","",'Ordenes_Odoo'!L2960)</f>
        <v/>
      </c>
      <c r="M2960" s="79">
        <f>IF('Ordenes_Odoo'!M2960="","",'Ordenes_Odoo'!M2960)</f>
        <v/>
      </c>
      <c r="N2960" s="79">
        <f>IF('Ordenes_Odoo'!N2960="","",'Ordenes_Odoo'!N2960)</f>
        <v/>
      </c>
      <c r="O2960" s="81">
        <f>IF('Ordenes_Odoo'!O2960="","",'Ordenes_Odoo'!O2960)</f>
        <v/>
      </c>
      <c r="P2960" s="81">
        <f>IF('Ordenes_Odoo'!P2960="","",'Ordenes_Odoo'!P2960)</f>
        <v/>
      </c>
      <c r="Q2960" s="79">
        <f>IF(A2960="","",IFERROR(INDEX(Facturas_Odoo!$B:$B, MATCH(A2960, Facturas_Odoo!$D:$D, 0)), "Sin Factura"))</f>
        <v/>
      </c>
      <c r="R2960" s="80">
        <f>IF(Q2960="Sin Factura","",IFERROR(INDEX(Facturas_Odoo!$A:$A, MATCH(Q2960, Facturas_Odoo!$B:$B, 0)), ""))</f>
        <v/>
      </c>
      <c r="S2960" s="79">
        <f>IF(Q2960="Sin Factura","",IFERROR(_xlfn.XLOOKUP(1, (Facturas_Odoo!$D:$D=A2960) * (Facturas_Odoo!$K:$K=I2960), Facturas_Odoo!$L:$L, ""), ""))</f>
        <v/>
      </c>
      <c r="T2960" s="81">
        <f>IF(Q2960="Sin Factura",0,IFERROR(_xlfn.XLOOKUP(1, (Facturas_Odoo!$D:$D=A2960) * (Facturas_Odoo!$K:$K=I2960), Facturas_Odoo!$M:$M, 0), 0))</f>
        <v/>
      </c>
      <c r="U2960" s="79">
        <f>IF(Q2960="Sin Factura",0,IFERROR(_xlfn.XLOOKUP(1, (Facturas_Odoo!$D:$D=A2960) * (Facturas_Odoo!$K:$K=I2960), Facturas_Odoo!$N:$N, 0), 0))</f>
        <v/>
      </c>
      <c r="V2960" s="79">
        <f>IF(Q2960="Sin Factura",0,IFERROR(_xlfn.XLOOKUP(1, (Facturas_Odoo!$D:$D=A2960) * (Facturas_Odoo!$K:$K=I2960), Facturas_Odoo!$O:$O, 0), 0))</f>
        <v/>
      </c>
      <c r="W2960" s="81">
        <f>IF(Q2960="Sin Factura",0,IFERROR(_xlfn.XLOOKUP(1, (Facturas_Odoo!$D:$D=A2960) * (Facturas_Odoo!$K:$K=I2960), Facturas_Odoo!$Q:$Q, 0), 0))</f>
        <v/>
      </c>
      <c r="X2960" s="79">
        <f>IF(OR(Q2960="Sin Factura",Q2960=""),"",IFERROR(INDEX(Pagos_Odoo!$B:$B, MATCH(Q2960, Pagos_Odoo!$I:$I, 0)), "Sin Pago"))</f>
        <v/>
      </c>
      <c r="Y2960" s="79">
        <f>IF(X2960="Sin Pago","",IFERROR(INDEX(Pagos_Odoo!$C:$C, MATCH(X2960, Pagos_Odoo!$B:$B, 0)), ""))</f>
        <v/>
      </c>
      <c r="Z2960" s="80">
        <f>IF(X2960="Sin Pago","",IFERROR(INDEX(Pagos_Odoo!$A:$A, MATCH(X2960, Pagos_Odoo!$B:$B, 0)), ""))</f>
        <v/>
      </c>
      <c r="AA2960" s="79">
        <f>IF(X2960="Sin Pago","",IFERROR(INDEX(Pagos_Odoo!$F:$F, MATCH(X2960, Pagos_Odoo!$B:$B, 0)), ""))</f>
        <v/>
      </c>
      <c r="AB2960" s="81">
        <f>IF(X2960="Sin Pago",0,IFERROR(INDEX(Pagos_Odoo!$E:$E, MATCH(X2960, Pagos_Odoo!$B:$B, 0)), 0))</f>
        <v/>
      </c>
      <c r="AC2960" s="79">
        <f>IF(X2960="Sin Pago","",IFERROR(INDEX(Pagos_Odoo!$G:$G, MATCH(X2960, Pagos_Odoo!$B:$B, 0)), ""))</f>
        <v/>
      </c>
      <c r="AD2960" s="82" t="n">
        <v>0</v>
      </c>
      <c r="AE2960" s="82" t="n"/>
      <c r="AF2960" s="82" t="n"/>
      <c r="AG2960" s="82">
        <f>IF(AN2960="","",AD2960+AE2960+AF2960)</f>
        <v/>
      </c>
      <c r="AH2960" s="81">
        <f>IF(AN2960="","",P2960*(1-AG2960))</f>
        <v/>
      </c>
      <c r="AI2960" s="81">
        <f>IF(AN2960="","",IF(Q2960="Sin Factura",0,IFERROR(INDEX(Facturas_Odoo!$H:$H, MATCH(Q2960, Facturas_Odoo!$B:$B, 0)), 0)*(1-AG2960)))</f>
        <v/>
      </c>
      <c r="AJ2960" s="81">
        <f>IF(AN2960="","",_xlfn.LET(idVenta, AN2960&amp;"",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60" s="81">
        <f>IF(AN2960="","",AH2960-AJ2960)</f>
        <v/>
      </c>
      <c r="AL2960" s="81">
        <f>IF(AN2960="","",IF(Q2960="Sin Factura","",AI2960-AJ2960))</f>
        <v/>
      </c>
      <c r="AM2960" s="81">
        <f>IF(AN2960="","",IF(Q2960="Sin Factura",0,P2960-IFERROR(INDEX(Facturas_Odoo!$H:$H, MATCH(Q2960, Facturas_Odoo!$B:$B, 0)), 0)))</f>
        <v/>
      </c>
      <c r="AN2960" s="79">
        <f>IF(AND(A2960="", J2960=""), "", IF(A2960&lt;&gt;"", VALUE(MID(A2960,2,LEN(A2960))), AN2959))</f>
        <v/>
      </c>
      <c r="AO2960" s="79">
        <f>IF(AN2960="","",IF(AD2960=0,"OK",_xlfn.LET(monedaPago, IF(AA2960="","USD",AA2960), limitePermitido, IFERROR(VLOOKUP(monedaPago, Configuración!$A$2:$B$3, 2, FALSE), 0.15), IF(AD2960&gt;limitePermitido, "ALERTA: EXCESO (" &amp; TEXT(limitePermitido, "0%") &amp; " máx)", "OK"))))</f>
        <v/>
      </c>
      <c r="AP2960" s="79">
        <f>IF(AN2960="","",IF(AE2960=0,"OK",_xlfn.LET(fechaPago, Z2960, fechaFactura, R2960, diasCredito, IF(E2960="Pago inmediato", 0, IFERROR(VALUE(MID(E2960, 1, SEARCH(" ", E2960)-1)),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60" s="79">
        <f>IF(AN2960="","",IF(AND(N2960&gt;0, AG2960&gt;0), IF(Configuración!$K$2="NO", "ALERTA: DESCUENTO DOBLE NO PERMITIDO", "OK"), "OK"))</f>
        <v/>
      </c>
      <c r="AR2960" s="79">
        <f>IF(AN2960="","",IF(OR(AO2960&lt;&gt;"OK", AP2960&lt;&gt;"OK", AQ2960&lt;&gt;"OK"), "⚠️ REVISAR", "OK"))</f>
        <v/>
      </c>
    </row>
    <row r="2961">
      <c r="A2961" s="79">
        <f>IF('Ordenes_Odoo'!A2961="","",'Ordenes_Odoo'!A2961)</f>
        <v/>
      </c>
      <c r="B2961" s="80">
        <f>IF('Ordenes_Odoo'!B2961="","",'Ordenes_Odoo'!B2961)</f>
        <v/>
      </c>
      <c r="C2961" s="79">
        <f>IF('Ordenes_Odoo'!C2961="","",'Ordenes_Odoo'!C2961)</f>
        <v/>
      </c>
      <c r="D2961" s="79">
        <f>IF('Ordenes_Odoo'!D2961="","",'Ordenes_Odoo'!D2961)</f>
        <v/>
      </c>
      <c r="E2961" s="79">
        <f>IF('Ordenes_Odoo'!E2961="","",'Ordenes_Odoo'!E2961)</f>
        <v/>
      </c>
      <c r="F2961" s="79">
        <f>IF('Ordenes_Odoo'!F2961="","",'Ordenes_Odoo'!F2961)</f>
        <v/>
      </c>
      <c r="G2961" s="79">
        <f>IF('Ordenes_Odoo'!G2961="","",'Ordenes_Odoo'!G2961)</f>
        <v/>
      </c>
      <c r="H2961" s="79">
        <f>IF('Ordenes_Odoo'!H2961="","",'Ordenes_Odoo'!H2961)</f>
        <v/>
      </c>
      <c r="I2961" s="79">
        <f>IF('Ordenes_Odoo'!I2961="","",'Ordenes_Odoo'!I2961)</f>
        <v/>
      </c>
      <c r="J2961" s="79">
        <f>IF('Ordenes_Odoo'!J2961="","",'Ordenes_Odoo'!J2961)</f>
        <v/>
      </c>
      <c r="K2961" s="81">
        <f>IF('Ordenes_Odoo'!K2961="","",'Ordenes_Odoo'!K2961)</f>
        <v/>
      </c>
      <c r="L2961" s="81">
        <f>IF('Ordenes_Odoo'!L2961="","",'Ordenes_Odoo'!L2961)</f>
        <v/>
      </c>
      <c r="M2961" s="79">
        <f>IF('Ordenes_Odoo'!M2961="","",'Ordenes_Odoo'!M2961)</f>
        <v/>
      </c>
      <c r="N2961" s="79">
        <f>IF('Ordenes_Odoo'!N2961="","",'Ordenes_Odoo'!N2961)</f>
        <v/>
      </c>
      <c r="O2961" s="81">
        <f>IF('Ordenes_Odoo'!O2961="","",'Ordenes_Odoo'!O2961)</f>
        <v/>
      </c>
      <c r="P2961" s="81">
        <f>IF('Ordenes_Odoo'!P2961="","",'Ordenes_Odoo'!P2961)</f>
        <v/>
      </c>
      <c r="Q2961" s="79">
        <f>IF(A2961="","",IFERROR(INDEX(Facturas_Odoo!$B:$B, MATCH(A2961, Facturas_Odoo!$D:$D, 0)), "Sin Factura"))</f>
        <v/>
      </c>
      <c r="R2961" s="80">
        <f>IF(Q2961="Sin Factura","",IFERROR(INDEX(Facturas_Odoo!$A:$A, MATCH(Q2961, Facturas_Odoo!$B:$B, 0)), ""))</f>
        <v/>
      </c>
      <c r="S2961" s="79">
        <f>IF(Q2961="Sin Factura","",IFERROR(_xlfn.XLOOKUP(1, (Facturas_Odoo!$D:$D=A2961) * (Facturas_Odoo!$K:$K=I2961), Facturas_Odoo!$L:$L, ""), ""))</f>
        <v/>
      </c>
      <c r="T2961" s="81">
        <f>IF(Q2961="Sin Factura",0,IFERROR(_xlfn.XLOOKUP(1, (Facturas_Odoo!$D:$D=A2961) * (Facturas_Odoo!$K:$K=I2961), Facturas_Odoo!$M:$M, 0), 0))</f>
        <v/>
      </c>
      <c r="U2961" s="79">
        <f>IF(Q2961="Sin Factura",0,IFERROR(_xlfn.XLOOKUP(1, (Facturas_Odoo!$D:$D=A2961) * (Facturas_Odoo!$K:$K=I2961), Facturas_Odoo!$N:$N, 0), 0))</f>
        <v/>
      </c>
      <c r="V2961" s="79">
        <f>IF(Q2961="Sin Factura",0,IFERROR(_xlfn.XLOOKUP(1, (Facturas_Odoo!$D:$D=A2961) * (Facturas_Odoo!$K:$K=I2961), Facturas_Odoo!$O:$O, 0), 0))</f>
        <v/>
      </c>
      <c r="W2961" s="81">
        <f>IF(Q2961="Sin Factura",0,IFERROR(_xlfn.XLOOKUP(1, (Facturas_Odoo!$D:$D=A2961) * (Facturas_Odoo!$K:$K=I2961), Facturas_Odoo!$Q:$Q, 0), 0))</f>
        <v/>
      </c>
      <c r="X2961" s="79">
        <f>IF(OR(Q2961="Sin Factura",Q2961=""),"",IFERROR(INDEX(Pagos_Odoo!$B:$B, MATCH(Q2961, Pagos_Odoo!$I:$I, 0)), "Sin Pago"))</f>
        <v/>
      </c>
      <c r="Y2961" s="79">
        <f>IF(X2961="Sin Pago","",IFERROR(INDEX(Pagos_Odoo!$C:$C, MATCH(X2961, Pagos_Odoo!$B:$B, 0)), ""))</f>
        <v/>
      </c>
      <c r="Z2961" s="80">
        <f>IF(X2961="Sin Pago","",IFERROR(INDEX(Pagos_Odoo!$A:$A, MATCH(X2961, Pagos_Odoo!$B:$B, 0)), ""))</f>
        <v/>
      </c>
      <c r="AA2961" s="79">
        <f>IF(X2961="Sin Pago","",IFERROR(INDEX(Pagos_Odoo!$F:$F, MATCH(X2961, Pagos_Odoo!$B:$B, 0)), ""))</f>
        <v/>
      </c>
      <c r="AB2961" s="81">
        <f>IF(X2961="Sin Pago",0,IFERROR(INDEX(Pagos_Odoo!$E:$E, MATCH(X2961, Pagos_Odoo!$B:$B, 0)), 0))</f>
        <v/>
      </c>
      <c r="AC2961" s="79">
        <f>IF(X2961="Sin Pago","",IFERROR(INDEX(Pagos_Odoo!$G:$G, MATCH(X2961, Pagos_Odoo!$B:$B, 0)), ""))</f>
        <v/>
      </c>
      <c r="AD2961" s="82" t="n">
        <v>0</v>
      </c>
      <c r="AE2961" s="82" t="n"/>
      <c r="AF2961" s="82" t="n"/>
      <c r="AG2961" s="82">
        <f>IF(AN2961="","",AD2961+AE2961+AF2961)</f>
        <v/>
      </c>
      <c r="AH2961" s="81">
        <f>IF(AN2961="","",P2961*(1-AG2961))</f>
        <v/>
      </c>
      <c r="AI2961" s="81">
        <f>IF(AN2961="","",IF(Q2961="Sin Factura",0,IFERROR(INDEX(Facturas_Odoo!$H:$H, MATCH(Q2961, Facturas_Odoo!$B:$B, 0)), 0)*(1-AG2961)))</f>
        <v/>
      </c>
      <c r="AJ2961" s="81">
        <f>IF(AN2961="","",_xlfn.LET(idVenta, AN2961&amp;"",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61" s="81">
        <f>IF(AN2961="","",AH2961-AJ2961)</f>
        <v/>
      </c>
      <c r="AL2961" s="81">
        <f>IF(AN2961="","",IF(Q2961="Sin Factura","",AI2961-AJ2961))</f>
        <v/>
      </c>
      <c r="AM2961" s="81">
        <f>IF(AN2961="","",IF(Q2961="Sin Factura",0,P2961-IFERROR(INDEX(Facturas_Odoo!$H:$H, MATCH(Q2961, Facturas_Odoo!$B:$B, 0)), 0)))</f>
        <v/>
      </c>
      <c r="AN2961" s="79">
        <f>IF(AND(A2961="", J2961=""), "", IF(A2961&lt;&gt;"", VALUE(MID(A2961,2,LEN(A2961))), AN2960))</f>
        <v/>
      </c>
      <c r="AO2961" s="79">
        <f>IF(AN2961="","",IF(AD2961=0,"OK",_xlfn.LET(monedaPago, IF(AA2961="","USD",AA2961), limitePermitido, IFERROR(VLOOKUP(monedaPago, Configuración!$A$2:$B$3, 2, FALSE), 0.15), IF(AD2961&gt;limitePermitido, "ALERTA: EXCESO (" &amp; TEXT(limitePermitido, "0%") &amp; " máx)", "OK"))))</f>
        <v/>
      </c>
      <c r="AP2961" s="79">
        <f>IF(AN2961="","",IF(AE2961=0,"OK",_xlfn.LET(fechaPago, Z2961, fechaFactura, R2961, diasCredito, IF(E2961="Pago inmediato", 0, IFERROR(VALUE(MID(E2961, 1, SEARCH(" ", E2961)-1)),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61" s="79">
        <f>IF(AN2961="","",IF(AND(N2961&gt;0, AG2961&gt;0), IF(Configuración!$K$2="NO", "ALERTA: DESCUENTO DOBLE NO PERMITIDO", "OK"), "OK"))</f>
        <v/>
      </c>
      <c r="AR2961" s="79">
        <f>IF(AN2961="","",IF(OR(AO2961&lt;&gt;"OK", AP2961&lt;&gt;"OK", AQ2961&lt;&gt;"OK"), "⚠️ REVISAR", "OK"))</f>
        <v/>
      </c>
    </row>
    <row r="2962">
      <c r="A2962" s="79">
        <f>IF('Ordenes_Odoo'!A2962="","",'Ordenes_Odoo'!A2962)</f>
        <v/>
      </c>
      <c r="B2962" s="80">
        <f>IF('Ordenes_Odoo'!B2962="","",'Ordenes_Odoo'!B2962)</f>
        <v/>
      </c>
      <c r="C2962" s="79">
        <f>IF('Ordenes_Odoo'!C2962="","",'Ordenes_Odoo'!C2962)</f>
        <v/>
      </c>
      <c r="D2962" s="79">
        <f>IF('Ordenes_Odoo'!D2962="","",'Ordenes_Odoo'!D2962)</f>
        <v/>
      </c>
      <c r="E2962" s="79">
        <f>IF('Ordenes_Odoo'!E2962="","",'Ordenes_Odoo'!E2962)</f>
        <v/>
      </c>
      <c r="F2962" s="79">
        <f>IF('Ordenes_Odoo'!F2962="","",'Ordenes_Odoo'!F2962)</f>
        <v/>
      </c>
      <c r="G2962" s="79">
        <f>IF('Ordenes_Odoo'!G2962="","",'Ordenes_Odoo'!G2962)</f>
        <v/>
      </c>
      <c r="H2962" s="79">
        <f>IF('Ordenes_Odoo'!H2962="","",'Ordenes_Odoo'!H2962)</f>
        <v/>
      </c>
      <c r="I2962" s="79">
        <f>IF('Ordenes_Odoo'!I2962="","",'Ordenes_Odoo'!I2962)</f>
        <v/>
      </c>
      <c r="J2962" s="79">
        <f>IF('Ordenes_Odoo'!J2962="","",'Ordenes_Odoo'!J2962)</f>
        <v/>
      </c>
      <c r="K2962" s="81">
        <f>IF('Ordenes_Odoo'!K2962="","",'Ordenes_Odoo'!K2962)</f>
        <v/>
      </c>
      <c r="L2962" s="81">
        <f>IF('Ordenes_Odoo'!L2962="","",'Ordenes_Odoo'!L2962)</f>
        <v/>
      </c>
      <c r="M2962" s="79">
        <f>IF('Ordenes_Odoo'!M2962="","",'Ordenes_Odoo'!M2962)</f>
        <v/>
      </c>
      <c r="N2962" s="79">
        <f>IF('Ordenes_Odoo'!N2962="","",'Ordenes_Odoo'!N2962)</f>
        <v/>
      </c>
      <c r="O2962" s="81">
        <f>IF('Ordenes_Odoo'!O2962="","",'Ordenes_Odoo'!O2962)</f>
        <v/>
      </c>
      <c r="P2962" s="81">
        <f>IF('Ordenes_Odoo'!P2962="","",'Ordenes_Odoo'!P2962)</f>
        <v/>
      </c>
      <c r="Q2962" s="79">
        <f>IF(A2962="","",IFERROR(INDEX(Facturas_Odoo!$B:$B, MATCH(A2962, Facturas_Odoo!$D:$D, 0)), "Sin Factura"))</f>
        <v/>
      </c>
      <c r="R2962" s="80">
        <f>IF(Q2962="Sin Factura","",IFERROR(INDEX(Facturas_Odoo!$A:$A, MATCH(Q2962, Facturas_Odoo!$B:$B, 0)), ""))</f>
        <v/>
      </c>
      <c r="S2962" s="79">
        <f>IF(Q2962="Sin Factura","",IFERROR(_xlfn.XLOOKUP(1, (Facturas_Odoo!$D:$D=A2962) * (Facturas_Odoo!$K:$K=I2962), Facturas_Odoo!$L:$L, ""), ""))</f>
        <v/>
      </c>
      <c r="T2962" s="81">
        <f>IF(Q2962="Sin Factura",0,IFERROR(_xlfn.XLOOKUP(1, (Facturas_Odoo!$D:$D=A2962) * (Facturas_Odoo!$K:$K=I2962), Facturas_Odoo!$M:$M, 0), 0))</f>
        <v/>
      </c>
      <c r="U2962" s="79">
        <f>IF(Q2962="Sin Factura",0,IFERROR(_xlfn.XLOOKUP(1, (Facturas_Odoo!$D:$D=A2962) * (Facturas_Odoo!$K:$K=I2962), Facturas_Odoo!$N:$N, 0), 0))</f>
        <v/>
      </c>
      <c r="V2962" s="79">
        <f>IF(Q2962="Sin Factura",0,IFERROR(_xlfn.XLOOKUP(1, (Facturas_Odoo!$D:$D=A2962) * (Facturas_Odoo!$K:$K=I2962), Facturas_Odoo!$O:$O, 0), 0))</f>
        <v/>
      </c>
      <c r="W2962" s="81">
        <f>IF(Q2962="Sin Factura",0,IFERROR(_xlfn.XLOOKUP(1, (Facturas_Odoo!$D:$D=A2962) * (Facturas_Odoo!$K:$K=I2962), Facturas_Odoo!$Q:$Q, 0), 0))</f>
        <v/>
      </c>
      <c r="X2962" s="79">
        <f>IF(OR(Q2962="Sin Factura",Q2962=""),"",IFERROR(INDEX(Pagos_Odoo!$B:$B, MATCH(Q2962, Pagos_Odoo!$I:$I, 0)), "Sin Pago"))</f>
        <v/>
      </c>
      <c r="Y2962" s="79">
        <f>IF(X2962="Sin Pago","",IFERROR(INDEX(Pagos_Odoo!$C:$C, MATCH(X2962, Pagos_Odoo!$B:$B, 0)), ""))</f>
        <v/>
      </c>
      <c r="Z2962" s="80">
        <f>IF(X2962="Sin Pago","",IFERROR(INDEX(Pagos_Odoo!$A:$A, MATCH(X2962, Pagos_Odoo!$B:$B, 0)), ""))</f>
        <v/>
      </c>
      <c r="AA2962" s="79">
        <f>IF(X2962="Sin Pago","",IFERROR(INDEX(Pagos_Odoo!$F:$F, MATCH(X2962, Pagos_Odoo!$B:$B, 0)), ""))</f>
        <v/>
      </c>
      <c r="AB2962" s="81">
        <f>IF(X2962="Sin Pago",0,IFERROR(INDEX(Pagos_Odoo!$E:$E, MATCH(X2962, Pagos_Odoo!$B:$B, 0)), 0))</f>
        <v/>
      </c>
      <c r="AC2962" s="79">
        <f>IF(X2962="Sin Pago","",IFERROR(INDEX(Pagos_Odoo!$G:$G, MATCH(X2962, Pagos_Odoo!$B:$B, 0)), ""))</f>
        <v/>
      </c>
      <c r="AD2962" s="82" t="n">
        <v>0</v>
      </c>
      <c r="AE2962" s="82" t="n"/>
      <c r="AF2962" s="82" t="n"/>
      <c r="AG2962" s="82">
        <f>IF(AN2962="","",AD2962+AE2962+AF2962)</f>
        <v/>
      </c>
      <c r="AH2962" s="81">
        <f>IF(AN2962="","",P2962*(1-AG2962))</f>
        <v/>
      </c>
      <c r="AI2962" s="81">
        <f>IF(AN2962="","",IF(Q2962="Sin Factura",0,IFERROR(INDEX(Facturas_Odoo!$H:$H, MATCH(Q2962, Facturas_Odoo!$B:$B, 0)), 0)*(1-AG2962)))</f>
        <v/>
      </c>
      <c r="AJ2962" s="81">
        <f>IF(AN2962="","",_xlfn.LET(idVenta, AN2962&amp;"",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62" s="81">
        <f>IF(AN2962="","",AH2962-AJ2962)</f>
        <v/>
      </c>
      <c r="AL2962" s="81">
        <f>IF(AN2962="","",IF(Q2962="Sin Factura","",AI2962-AJ2962))</f>
        <v/>
      </c>
      <c r="AM2962" s="81">
        <f>IF(AN2962="","",IF(Q2962="Sin Factura",0,P2962-IFERROR(INDEX(Facturas_Odoo!$H:$H, MATCH(Q2962, Facturas_Odoo!$B:$B, 0)), 0)))</f>
        <v/>
      </c>
      <c r="AN2962" s="79">
        <f>IF(AND(A2962="", J2962=""), "", IF(A2962&lt;&gt;"", VALUE(MID(A2962,2,LEN(A2962))), AN2961))</f>
        <v/>
      </c>
      <c r="AO2962" s="79">
        <f>IF(AN2962="","",IF(AD2962=0,"OK",_xlfn.LET(monedaPago, IF(AA2962="","USD",AA2962), limitePermitido, IFERROR(VLOOKUP(monedaPago, Configuración!$A$2:$B$3, 2, FALSE), 0.15), IF(AD2962&gt;limitePermitido, "ALERTA: EXCESO (" &amp; TEXT(limitePermitido, "0%") &amp; " máx)", "OK"))))</f>
        <v/>
      </c>
      <c r="AP2962" s="79">
        <f>IF(AN2962="","",IF(AE2962=0,"OK",_xlfn.LET(fechaPago, Z2962, fechaFactura, R2962, diasCredito, IF(E2962="Pago inmediato", 0, IFERROR(VALUE(MID(E2962, 1, SEARCH(" ", E2962)-1)),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62" s="79">
        <f>IF(AN2962="","",IF(AND(N2962&gt;0, AG2962&gt;0), IF(Configuración!$K$2="NO", "ALERTA: DESCUENTO DOBLE NO PERMITIDO", "OK"), "OK"))</f>
        <v/>
      </c>
      <c r="AR2962" s="79">
        <f>IF(AN2962="","",IF(OR(AO2962&lt;&gt;"OK", AP2962&lt;&gt;"OK", AQ2962&lt;&gt;"OK"), "⚠️ REVISAR", "OK"))</f>
        <v/>
      </c>
    </row>
    <row r="2963">
      <c r="A2963" s="79">
        <f>IF('Ordenes_Odoo'!A2963="","",'Ordenes_Odoo'!A2963)</f>
        <v/>
      </c>
      <c r="B2963" s="80">
        <f>IF('Ordenes_Odoo'!B2963="","",'Ordenes_Odoo'!B2963)</f>
        <v/>
      </c>
      <c r="C2963" s="79">
        <f>IF('Ordenes_Odoo'!C2963="","",'Ordenes_Odoo'!C2963)</f>
        <v/>
      </c>
      <c r="D2963" s="79">
        <f>IF('Ordenes_Odoo'!D2963="","",'Ordenes_Odoo'!D2963)</f>
        <v/>
      </c>
      <c r="E2963" s="79">
        <f>IF('Ordenes_Odoo'!E2963="","",'Ordenes_Odoo'!E2963)</f>
        <v/>
      </c>
      <c r="F2963" s="79">
        <f>IF('Ordenes_Odoo'!F2963="","",'Ordenes_Odoo'!F2963)</f>
        <v/>
      </c>
      <c r="G2963" s="79">
        <f>IF('Ordenes_Odoo'!G2963="","",'Ordenes_Odoo'!G2963)</f>
        <v/>
      </c>
      <c r="H2963" s="79">
        <f>IF('Ordenes_Odoo'!H2963="","",'Ordenes_Odoo'!H2963)</f>
        <v/>
      </c>
      <c r="I2963" s="79">
        <f>IF('Ordenes_Odoo'!I2963="","",'Ordenes_Odoo'!I2963)</f>
        <v/>
      </c>
      <c r="J2963" s="79">
        <f>IF('Ordenes_Odoo'!J2963="","",'Ordenes_Odoo'!J2963)</f>
        <v/>
      </c>
      <c r="K2963" s="81">
        <f>IF('Ordenes_Odoo'!K2963="","",'Ordenes_Odoo'!K2963)</f>
        <v/>
      </c>
      <c r="L2963" s="81">
        <f>IF('Ordenes_Odoo'!L2963="","",'Ordenes_Odoo'!L2963)</f>
        <v/>
      </c>
      <c r="M2963" s="79">
        <f>IF('Ordenes_Odoo'!M2963="","",'Ordenes_Odoo'!M2963)</f>
        <v/>
      </c>
      <c r="N2963" s="79">
        <f>IF('Ordenes_Odoo'!N2963="","",'Ordenes_Odoo'!N2963)</f>
        <v/>
      </c>
      <c r="O2963" s="81">
        <f>IF('Ordenes_Odoo'!O2963="","",'Ordenes_Odoo'!O2963)</f>
        <v/>
      </c>
      <c r="P2963" s="81">
        <f>IF('Ordenes_Odoo'!P2963="","",'Ordenes_Odoo'!P2963)</f>
        <v/>
      </c>
      <c r="Q2963" s="79">
        <f>IF(A2963="","",IFERROR(INDEX(Facturas_Odoo!$B:$B, MATCH(A2963, Facturas_Odoo!$D:$D, 0)), "Sin Factura"))</f>
        <v/>
      </c>
      <c r="R2963" s="80">
        <f>IF(Q2963="Sin Factura","",IFERROR(INDEX(Facturas_Odoo!$A:$A, MATCH(Q2963, Facturas_Odoo!$B:$B, 0)), ""))</f>
        <v/>
      </c>
      <c r="S2963" s="79">
        <f>IF(Q2963="Sin Factura","",IFERROR(_xlfn.XLOOKUP(1, (Facturas_Odoo!$D:$D=A2963) * (Facturas_Odoo!$K:$K=I2963), Facturas_Odoo!$L:$L, ""), ""))</f>
        <v/>
      </c>
      <c r="T2963" s="81">
        <f>IF(Q2963="Sin Factura",0,IFERROR(_xlfn.XLOOKUP(1, (Facturas_Odoo!$D:$D=A2963) * (Facturas_Odoo!$K:$K=I2963), Facturas_Odoo!$M:$M, 0), 0))</f>
        <v/>
      </c>
      <c r="U2963" s="79">
        <f>IF(Q2963="Sin Factura",0,IFERROR(_xlfn.XLOOKUP(1, (Facturas_Odoo!$D:$D=A2963) * (Facturas_Odoo!$K:$K=I2963), Facturas_Odoo!$N:$N, 0), 0))</f>
        <v/>
      </c>
      <c r="V2963" s="79">
        <f>IF(Q2963="Sin Factura",0,IFERROR(_xlfn.XLOOKUP(1, (Facturas_Odoo!$D:$D=A2963) * (Facturas_Odoo!$K:$K=I2963), Facturas_Odoo!$O:$O, 0), 0))</f>
        <v/>
      </c>
      <c r="W2963" s="81">
        <f>IF(Q2963="Sin Factura",0,IFERROR(_xlfn.XLOOKUP(1, (Facturas_Odoo!$D:$D=A2963) * (Facturas_Odoo!$K:$K=I2963), Facturas_Odoo!$Q:$Q, 0), 0))</f>
        <v/>
      </c>
      <c r="X2963" s="79">
        <f>IF(OR(Q2963="Sin Factura",Q2963=""),"",IFERROR(INDEX(Pagos_Odoo!$B:$B, MATCH(Q2963, Pagos_Odoo!$I:$I, 0)), "Sin Pago"))</f>
        <v/>
      </c>
      <c r="Y2963" s="79">
        <f>IF(X2963="Sin Pago","",IFERROR(INDEX(Pagos_Odoo!$C:$C, MATCH(X2963, Pagos_Odoo!$B:$B, 0)), ""))</f>
        <v/>
      </c>
      <c r="Z2963" s="80">
        <f>IF(X2963="Sin Pago","",IFERROR(INDEX(Pagos_Odoo!$A:$A, MATCH(X2963, Pagos_Odoo!$B:$B, 0)), ""))</f>
        <v/>
      </c>
      <c r="AA2963" s="79">
        <f>IF(X2963="Sin Pago","",IFERROR(INDEX(Pagos_Odoo!$F:$F, MATCH(X2963, Pagos_Odoo!$B:$B, 0)), ""))</f>
        <v/>
      </c>
      <c r="AB2963" s="81">
        <f>IF(X2963="Sin Pago",0,IFERROR(INDEX(Pagos_Odoo!$E:$E, MATCH(X2963, Pagos_Odoo!$B:$B, 0)), 0))</f>
        <v/>
      </c>
      <c r="AC2963" s="79">
        <f>IF(X2963="Sin Pago","",IFERROR(INDEX(Pagos_Odoo!$G:$G, MATCH(X2963, Pagos_Odoo!$B:$B, 0)), ""))</f>
        <v/>
      </c>
      <c r="AD2963" s="82" t="n">
        <v>0</v>
      </c>
      <c r="AE2963" s="82" t="n"/>
      <c r="AF2963" s="82" t="n"/>
      <c r="AG2963" s="82">
        <f>IF(AN2963="","",AD2963+AE2963+AF2963)</f>
        <v/>
      </c>
      <c r="AH2963" s="81">
        <f>IF(AN2963="","",P2963*(1-AG2963))</f>
        <v/>
      </c>
      <c r="AI2963" s="81">
        <f>IF(AN2963="","",IF(Q2963="Sin Factura",0,IFERROR(INDEX(Facturas_Odoo!$H:$H, MATCH(Q2963, Facturas_Odoo!$B:$B, 0)), 0)*(1-AG2963)))</f>
        <v/>
      </c>
      <c r="AJ2963" s="81">
        <f>IF(AN2963="","",_xlfn.LET(idVenta, AN2963&amp;"",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63" s="81">
        <f>IF(AN2963="","",AH2963-AJ2963)</f>
        <v/>
      </c>
      <c r="AL2963" s="81">
        <f>IF(AN2963="","",IF(Q2963="Sin Factura","",AI2963-AJ2963))</f>
        <v/>
      </c>
      <c r="AM2963" s="81">
        <f>IF(AN2963="","",IF(Q2963="Sin Factura",0,P2963-IFERROR(INDEX(Facturas_Odoo!$H:$H, MATCH(Q2963, Facturas_Odoo!$B:$B, 0)), 0)))</f>
        <v/>
      </c>
      <c r="AN2963" s="79">
        <f>IF(AND(A2963="", J2963=""), "", IF(A2963&lt;&gt;"", VALUE(MID(A2963,2,LEN(A2963))), AN2962))</f>
        <v/>
      </c>
      <c r="AO2963" s="79">
        <f>IF(AN2963="","",IF(AD2963=0,"OK",_xlfn.LET(monedaPago, IF(AA2963="","USD",AA2963), limitePermitido, IFERROR(VLOOKUP(monedaPago, Configuración!$A$2:$B$3, 2, FALSE), 0.15), IF(AD2963&gt;limitePermitido, "ALERTA: EXCESO (" &amp; TEXT(limitePermitido, "0%") &amp; " máx)", "OK"))))</f>
        <v/>
      </c>
      <c r="AP2963" s="79">
        <f>IF(AN2963="","",IF(AE2963=0,"OK",_xlfn.LET(fechaPago, Z2963, fechaFactura, R2963, diasCredito, IF(E2963="Pago inmediato", 0, IFERROR(VALUE(MID(E2963, 1, SEARCH(" ", E2963)-1)),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63" s="79">
        <f>IF(AN2963="","",IF(AND(N2963&gt;0, AG2963&gt;0), IF(Configuración!$K$2="NO", "ALERTA: DESCUENTO DOBLE NO PERMITIDO", "OK"), "OK"))</f>
        <v/>
      </c>
      <c r="AR2963" s="79">
        <f>IF(AN2963="","",IF(OR(AO2963&lt;&gt;"OK", AP2963&lt;&gt;"OK", AQ2963&lt;&gt;"OK"), "⚠️ REVISAR", "OK"))</f>
        <v/>
      </c>
    </row>
    <row r="2964">
      <c r="A2964" s="79">
        <f>IF('Ordenes_Odoo'!A2964="","",'Ordenes_Odoo'!A2964)</f>
        <v/>
      </c>
      <c r="B2964" s="80">
        <f>IF('Ordenes_Odoo'!B2964="","",'Ordenes_Odoo'!B2964)</f>
        <v/>
      </c>
      <c r="C2964" s="79">
        <f>IF('Ordenes_Odoo'!C2964="","",'Ordenes_Odoo'!C2964)</f>
        <v/>
      </c>
      <c r="D2964" s="79">
        <f>IF('Ordenes_Odoo'!D2964="","",'Ordenes_Odoo'!D2964)</f>
        <v/>
      </c>
      <c r="E2964" s="79">
        <f>IF('Ordenes_Odoo'!E2964="","",'Ordenes_Odoo'!E2964)</f>
        <v/>
      </c>
      <c r="F2964" s="79">
        <f>IF('Ordenes_Odoo'!F2964="","",'Ordenes_Odoo'!F2964)</f>
        <v/>
      </c>
      <c r="G2964" s="79">
        <f>IF('Ordenes_Odoo'!G2964="","",'Ordenes_Odoo'!G2964)</f>
        <v/>
      </c>
      <c r="H2964" s="79">
        <f>IF('Ordenes_Odoo'!H2964="","",'Ordenes_Odoo'!H2964)</f>
        <v/>
      </c>
      <c r="I2964" s="79">
        <f>IF('Ordenes_Odoo'!I2964="","",'Ordenes_Odoo'!I2964)</f>
        <v/>
      </c>
      <c r="J2964" s="79">
        <f>IF('Ordenes_Odoo'!J2964="","",'Ordenes_Odoo'!J2964)</f>
        <v/>
      </c>
      <c r="K2964" s="81">
        <f>IF('Ordenes_Odoo'!K2964="","",'Ordenes_Odoo'!K2964)</f>
        <v/>
      </c>
      <c r="L2964" s="81">
        <f>IF('Ordenes_Odoo'!L2964="","",'Ordenes_Odoo'!L2964)</f>
        <v/>
      </c>
      <c r="M2964" s="79">
        <f>IF('Ordenes_Odoo'!M2964="","",'Ordenes_Odoo'!M2964)</f>
        <v/>
      </c>
      <c r="N2964" s="79">
        <f>IF('Ordenes_Odoo'!N2964="","",'Ordenes_Odoo'!N2964)</f>
        <v/>
      </c>
      <c r="O2964" s="81">
        <f>IF('Ordenes_Odoo'!O2964="","",'Ordenes_Odoo'!O2964)</f>
        <v/>
      </c>
      <c r="P2964" s="81">
        <f>IF('Ordenes_Odoo'!P2964="","",'Ordenes_Odoo'!P2964)</f>
        <v/>
      </c>
      <c r="Q2964" s="79">
        <f>IF(A2964="","",IFERROR(INDEX(Facturas_Odoo!$B:$B, MATCH(A2964, Facturas_Odoo!$D:$D, 0)), "Sin Factura"))</f>
        <v/>
      </c>
      <c r="R2964" s="80">
        <f>IF(Q2964="Sin Factura","",IFERROR(INDEX(Facturas_Odoo!$A:$A, MATCH(Q2964, Facturas_Odoo!$B:$B, 0)), ""))</f>
        <v/>
      </c>
      <c r="S2964" s="79">
        <f>IF(Q2964="Sin Factura","",IFERROR(_xlfn.XLOOKUP(1, (Facturas_Odoo!$D:$D=A2964) * (Facturas_Odoo!$K:$K=I2964), Facturas_Odoo!$L:$L, ""), ""))</f>
        <v/>
      </c>
      <c r="T2964" s="81">
        <f>IF(Q2964="Sin Factura",0,IFERROR(_xlfn.XLOOKUP(1, (Facturas_Odoo!$D:$D=A2964) * (Facturas_Odoo!$K:$K=I2964), Facturas_Odoo!$M:$M, 0), 0))</f>
        <v/>
      </c>
      <c r="U2964" s="79">
        <f>IF(Q2964="Sin Factura",0,IFERROR(_xlfn.XLOOKUP(1, (Facturas_Odoo!$D:$D=A2964) * (Facturas_Odoo!$K:$K=I2964), Facturas_Odoo!$N:$N, 0), 0))</f>
        <v/>
      </c>
      <c r="V2964" s="79">
        <f>IF(Q2964="Sin Factura",0,IFERROR(_xlfn.XLOOKUP(1, (Facturas_Odoo!$D:$D=A2964) * (Facturas_Odoo!$K:$K=I2964), Facturas_Odoo!$O:$O, 0), 0))</f>
        <v/>
      </c>
      <c r="W2964" s="81">
        <f>IF(Q2964="Sin Factura",0,IFERROR(_xlfn.XLOOKUP(1, (Facturas_Odoo!$D:$D=A2964) * (Facturas_Odoo!$K:$K=I2964), Facturas_Odoo!$Q:$Q, 0), 0))</f>
        <v/>
      </c>
      <c r="X2964" s="79">
        <f>IF(OR(Q2964="Sin Factura",Q2964=""),"",IFERROR(INDEX(Pagos_Odoo!$B:$B, MATCH(Q2964, Pagos_Odoo!$I:$I, 0)), "Sin Pago"))</f>
        <v/>
      </c>
      <c r="Y2964" s="79">
        <f>IF(X2964="Sin Pago","",IFERROR(INDEX(Pagos_Odoo!$C:$C, MATCH(X2964, Pagos_Odoo!$B:$B, 0)), ""))</f>
        <v/>
      </c>
      <c r="Z2964" s="80">
        <f>IF(X2964="Sin Pago","",IFERROR(INDEX(Pagos_Odoo!$A:$A, MATCH(X2964, Pagos_Odoo!$B:$B, 0)), ""))</f>
        <v/>
      </c>
      <c r="AA2964" s="79">
        <f>IF(X2964="Sin Pago","",IFERROR(INDEX(Pagos_Odoo!$F:$F, MATCH(X2964, Pagos_Odoo!$B:$B, 0)), ""))</f>
        <v/>
      </c>
      <c r="AB2964" s="81">
        <f>IF(X2964="Sin Pago",0,IFERROR(INDEX(Pagos_Odoo!$E:$E, MATCH(X2964, Pagos_Odoo!$B:$B, 0)), 0))</f>
        <v/>
      </c>
      <c r="AC2964" s="79">
        <f>IF(X2964="Sin Pago","",IFERROR(INDEX(Pagos_Odoo!$G:$G, MATCH(X2964, Pagos_Odoo!$B:$B, 0)), ""))</f>
        <v/>
      </c>
      <c r="AD2964" s="82" t="n">
        <v>0</v>
      </c>
      <c r="AE2964" s="82" t="n"/>
      <c r="AF2964" s="82" t="n"/>
      <c r="AG2964" s="82">
        <f>IF(AN2964="","",AD2964+AE2964+AF2964)</f>
        <v/>
      </c>
      <c r="AH2964" s="81">
        <f>IF(AN2964="","",P2964*(1-AG2964))</f>
        <v/>
      </c>
      <c r="AI2964" s="81">
        <f>IF(AN2964="","",IF(Q2964="Sin Factura",0,IFERROR(INDEX(Facturas_Odoo!$H:$H, MATCH(Q2964, Facturas_Odoo!$B:$B, 0)), 0)*(1-AG2964)))</f>
        <v/>
      </c>
      <c r="AJ2964" s="81">
        <f>IF(AN2964="","",_xlfn.LET(idVenta, AN2964&amp;"",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64" s="81">
        <f>IF(AN2964="","",AH2964-AJ2964)</f>
        <v/>
      </c>
      <c r="AL2964" s="81">
        <f>IF(AN2964="","",IF(Q2964="Sin Factura","",AI2964-AJ2964))</f>
        <v/>
      </c>
      <c r="AM2964" s="81">
        <f>IF(AN2964="","",IF(Q2964="Sin Factura",0,P2964-IFERROR(INDEX(Facturas_Odoo!$H:$H, MATCH(Q2964, Facturas_Odoo!$B:$B, 0)), 0)))</f>
        <v/>
      </c>
      <c r="AN2964" s="79">
        <f>IF(AND(A2964="", J2964=""), "", IF(A2964&lt;&gt;"", VALUE(MID(A2964,2,LEN(A2964))), AN2963))</f>
        <v/>
      </c>
      <c r="AO2964" s="79">
        <f>IF(AN2964="","",IF(AD2964=0,"OK",_xlfn.LET(monedaPago, IF(AA2964="","USD",AA2964), limitePermitido, IFERROR(VLOOKUP(monedaPago, Configuración!$A$2:$B$3, 2, FALSE), 0.15), IF(AD2964&gt;limitePermitido, "ALERTA: EXCESO (" &amp; TEXT(limitePermitido, "0%") &amp; " máx)", "OK"))))</f>
        <v/>
      </c>
      <c r="AP2964" s="79">
        <f>IF(AN2964="","",IF(AE2964=0,"OK",_xlfn.LET(fechaPago, Z2964, fechaFactura, R2964, diasCredito, IF(E2964="Pago inmediato", 0, IFERROR(VALUE(MID(E2964, 1, SEARCH(" ", E2964)-1)),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64" s="79">
        <f>IF(AN2964="","",IF(AND(N2964&gt;0, AG2964&gt;0), IF(Configuración!$K$2="NO", "ALERTA: DESCUENTO DOBLE NO PERMITIDO", "OK"), "OK"))</f>
        <v/>
      </c>
      <c r="AR2964" s="79">
        <f>IF(AN2964="","",IF(OR(AO2964&lt;&gt;"OK", AP2964&lt;&gt;"OK", AQ2964&lt;&gt;"OK"), "⚠️ REVISAR", "OK"))</f>
        <v/>
      </c>
    </row>
    <row r="2965">
      <c r="A2965" s="79">
        <f>IF('Ordenes_Odoo'!A2965="","",'Ordenes_Odoo'!A2965)</f>
        <v/>
      </c>
      <c r="B2965" s="80">
        <f>IF('Ordenes_Odoo'!B2965="","",'Ordenes_Odoo'!B2965)</f>
        <v/>
      </c>
      <c r="C2965" s="79">
        <f>IF('Ordenes_Odoo'!C2965="","",'Ordenes_Odoo'!C2965)</f>
        <v/>
      </c>
      <c r="D2965" s="79">
        <f>IF('Ordenes_Odoo'!D2965="","",'Ordenes_Odoo'!D2965)</f>
        <v/>
      </c>
      <c r="E2965" s="79">
        <f>IF('Ordenes_Odoo'!E2965="","",'Ordenes_Odoo'!E2965)</f>
        <v/>
      </c>
      <c r="F2965" s="79">
        <f>IF('Ordenes_Odoo'!F2965="","",'Ordenes_Odoo'!F2965)</f>
        <v/>
      </c>
      <c r="G2965" s="79">
        <f>IF('Ordenes_Odoo'!G2965="","",'Ordenes_Odoo'!G2965)</f>
        <v/>
      </c>
      <c r="H2965" s="79">
        <f>IF('Ordenes_Odoo'!H2965="","",'Ordenes_Odoo'!H2965)</f>
        <v/>
      </c>
      <c r="I2965" s="79">
        <f>IF('Ordenes_Odoo'!I2965="","",'Ordenes_Odoo'!I2965)</f>
        <v/>
      </c>
      <c r="J2965" s="79">
        <f>IF('Ordenes_Odoo'!J2965="","",'Ordenes_Odoo'!J2965)</f>
        <v/>
      </c>
      <c r="K2965" s="81">
        <f>IF('Ordenes_Odoo'!K2965="","",'Ordenes_Odoo'!K2965)</f>
        <v/>
      </c>
      <c r="L2965" s="81">
        <f>IF('Ordenes_Odoo'!L2965="","",'Ordenes_Odoo'!L2965)</f>
        <v/>
      </c>
      <c r="M2965" s="79">
        <f>IF('Ordenes_Odoo'!M2965="","",'Ordenes_Odoo'!M2965)</f>
        <v/>
      </c>
      <c r="N2965" s="79">
        <f>IF('Ordenes_Odoo'!N2965="","",'Ordenes_Odoo'!N2965)</f>
        <v/>
      </c>
      <c r="O2965" s="81">
        <f>IF('Ordenes_Odoo'!O2965="","",'Ordenes_Odoo'!O2965)</f>
        <v/>
      </c>
      <c r="P2965" s="81">
        <f>IF('Ordenes_Odoo'!P2965="","",'Ordenes_Odoo'!P2965)</f>
        <v/>
      </c>
      <c r="Q2965" s="79">
        <f>IF(A2965="","",IFERROR(INDEX(Facturas_Odoo!$B:$B, MATCH(A2965, Facturas_Odoo!$D:$D, 0)), "Sin Factura"))</f>
        <v/>
      </c>
      <c r="R2965" s="80">
        <f>IF(Q2965="Sin Factura","",IFERROR(INDEX(Facturas_Odoo!$A:$A, MATCH(Q2965, Facturas_Odoo!$B:$B, 0)), ""))</f>
        <v/>
      </c>
      <c r="S2965" s="79">
        <f>IF(Q2965="Sin Factura","",IFERROR(_xlfn.XLOOKUP(1, (Facturas_Odoo!$D:$D=A2965) * (Facturas_Odoo!$K:$K=I2965), Facturas_Odoo!$L:$L, ""), ""))</f>
        <v/>
      </c>
      <c r="T2965" s="81">
        <f>IF(Q2965="Sin Factura",0,IFERROR(_xlfn.XLOOKUP(1, (Facturas_Odoo!$D:$D=A2965) * (Facturas_Odoo!$K:$K=I2965), Facturas_Odoo!$M:$M, 0), 0))</f>
        <v/>
      </c>
      <c r="U2965" s="79">
        <f>IF(Q2965="Sin Factura",0,IFERROR(_xlfn.XLOOKUP(1, (Facturas_Odoo!$D:$D=A2965) * (Facturas_Odoo!$K:$K=I2965), Facturas_Odoo!$N:$N, 0), 0))</f>
        <v/>
      </c>
      <c r="V2965" s="79">
        <f>IF(Q2965="Sin Factura",0,IFERROR(_xlfn.XLOOKUP(1, (Facturas_Odoo!$D:$D=A2965) * (Facturas_Odoo!$K:$K=I2965), Facturas_Odoo!$O:$O, 0), 0))</f>
        <v/>
      </c>
      <c r="W2965" s="81">
        <f>IF(Q2965="Sin Factura",0,IFERROR(_xlfn.XLOOKUP(1, (Facturas_Odoo!$D:$D=A2965) * (Facturas_Odoo!$K:$K=I2965), Facturas_Odoo!$Q:$Q, 0), 0))</f>
        <v/>
      </c>
      <c r="X2965" s="79">
        <f>IF(OR(Q2965="Sin Factura",Q2965=""),"",IFERROR(INDEX(Pagos_Odoo!$B:$B, MATCH(Q2965, Pagos_Odoo!$I:$I, 0)), "Sin Pago"))</f>
        <v/>
      </c>
      <c r="Y2965" s="79">
        <f>IF(X2965="Sin Pago","",IFERROR(INDEX(Pagos_Odoo!$C:$C, MATCH(X2965, Pagos_Odoo!$B:$B, 0)), ""))</f>
        <v/>
      </c>
      <c r="Z2965" s="80">
        <f>IF(X2965="Sin Pago","",IFERROR(INDEX(Pagos_Odoo!$A:$A, MATCH(X2965, Pagos_Odoo!$B:$B, 0)), ""))</f>
        <v/>
      </c>
      <c r="AA2965" s="79">
        <f>IF(X2965="Sin Pago","",IFERROR(INDEX(Pagos_Odoo!$F:$F, MATCH(X2965, Pagos_Odoo!$B:$B, 0)), ""))</f>
        <v/>
      </c>
      <c r="AB2965" s="81">
        <f>IF(X2965="Sin Pago",0,IFERROR(INDEX(Pagos_Odoo!$E:$E, MATCH(X2965, Pagos_Odoo!$B:$B, 0)), 0))</f>
        <v/>
      </c>
      <c r="AC2965" s="79">
        <f>IF(X2965="Sin Pago","",IFERROR(INDEX(Pagos_Odoo!$G:$G, MATCH(X2965, Pagos_Odoo!$B:$B, 0)), ""))</f>
        <v/>
      </c>
      <c r="AD2965" s="82" t="n">
        <v>0</v>
      </c>
      <c r="AE2965" s="82" t="n"/>
      <c r="AF2965" s="82" t="n"/>
      <c r="AG2965" s="82">
        <f>IF(AN2965="","",AD2965+AE2965+AF2965)</f>
        <v/>
      </c>
      <c r="AH2965" s="81">
        <f>IF(AN2965="","",P2965*(1-AG2965))</f>
        <v/>
      </c>
      <c r="AI2965" s="81">
        <f>IF(AN2965="","",IF(Q2965="Sin Factura",0,IFERROR(INDEX(Facturas_Odoo!$H:$H, MATCH(Q2965, Facturas_Odoo!$B:$B, 0)), 0)*(1-AG2965)))</f>
        <v/>
      </c>
      <c r="AJ2965" s="81">
        <f>IF(AN2965="","",_xlfn.LET(idVenta, AN2965&amp;"",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65" s="81">
        <f>IF(AN2965="","",AH2965-AJ2965)</f>
        <v/>
      </c>
      <c r="AL2965" s="81">
        <f>IF(AN2965="","",IF(Q2965="Sin Factura","",AI2965-AJ2965))</f>
        <v/>
      </c>
      <c r="AM2965" s="81">
        <f>IF(AN2965="","",IF(Q2965="Sin Factura",0,P2965-IFERROR(INDEX(Facturas_Odoo!$H:$H, MATCH(Q2965, Facturas_Odoo!$B:$B, 0)), 0)))</f>
        <v/>
      </c>
      <c r="AN2965" s="79">
        <f>IF(AND(A2965="", J2965=""), "", IF(A2965&lt;&gt;"", VALUE(MID(A2965,2,LEN(A2965))), AN2964))</f>
        <v/>
      </c>
      <c r="AO2965" s="79">
        <f>IF(AN2965="","",IF(AD2965=0,"OK",_xlfn.LET(monedaPago, IF(AA2965="","USD",AA2965), limitePermitido, IFERROR(VLOOKUP(monedaPago, Configuración!$A$2:$B$3, 2, FALSE), 0.15), IF(AD2965&gt;limitePermitido, "ALERTA: EXCESO (" &amp; TEXT(limitePermitido, "0%") &amp; " máx)", "OK"))))</f>
        <v/>
      </c>
      <c r="AP2965" s="79">
        <f>IF(AN2965="","",IF(AE2965=0,"OK",_xlfn.LET(fechaPago, Z2965, fechaFactura, R2965, diasCredito, IF(E2965="Pago inmediato", 0, IFERROR(VALUE(MID(E2965, 1, SEARCH(" ", E2965)-1)),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65" s="79">
        <f>IF(AN2965="","",IF(AND(N2965&gt;0, AG2965&gt;0), IF(Configuración!$K$2="NO", "ALERTA: DESCUENTO DOBLE NO PERMITIDO", "OK"), "OK"))</f>
        <v/>
      </c>
      <c r="AR2965" s="79">
        <f>IF(AN2965="","",IF(OR(AO2965&lt;&gt;"OK", AP2965&lt;&gt;"OK", AQ2965&lt;&gt;"OK"), "⚠️ REVISAR", "OK"))</f>
        <v/>
      </c>
    </row>
    <row r="2966">
      <c r="A2966" s="79">
        <f>IF('Ordenes_Odoo'!A2966="","",'Ordenes_Odoo'!A2966)</f>
        <v/>
      </c>
      <c r="B2966" s="80">
        <f>IF('Ordenes_Odoo'!B2966="","",'Ordenes_Odoo'!B2966)</f>
        <v/>
      </c>
      <c r="C2966" s="79">
        <f>IF('Ordenes_Odoo'!C2966="","",'Ordenes_Odoo'!C2966)</f>
        <v/>
      </c>
      <c r="D2966" s="79">
        <f>IF('Ordenes_Odoo'!D2966="","",'Ordenes_Odoo'!D2966)</f>
        <v/>
      </c>
      <c r="E2966" s="79">
        <f>IF('Ordenes_Odoo'!E2966="","",'Ordenes_Odoo'!E2966)</f>
        <v/>
      </c>
      <c r="F2966" s="79">
        <f>IF('Ordenes_Odoo'!F2966="","",'Ordenes_Odoo'!F2966)</f>
        <v/>
      </c>
      <c r="G2966" s="79">
        <f>IF('Ordenes_Odoo'!G2966="","",'Ordenes_Odoo'!G2966)</f>
        <v/>
      </c>
      <c r="H2966" s="79">
        <f>IF('Ordenes_Odoo'!H2966="","",'Ordenes_Odoo'!H2966)</f>
        <v/>
      </c>
      <c r="I2966" s="79">
        <f>IF('Ordenes_Odoo'!I2966="","",'Ordenes_Odoo'!I2966)</f>
        <v/>
      </c>
      <c r="J2966" s="79">
        <f>IF('Ordenes_Odoo'!J2966="","",'Ordenes_Odoo'!J2966)</f>
        <v/>
      </c>
      <c r="K2966" s="81">
        <f>IF('Ordenes_Odoo'!K2966="","",'Ordenes_Odoo'!K2966)</f>
        <v/>
      </c>
      <c r="L2966" s="81">
        <f>IF('Ordenes_Odoo'!L2966="","",'Ordenes_Odoo'!L2966)</f>
        <v/>
      </c>
      <c r="M2966" s="79">
        <f>IF('Ordenes_Odoo'!M2966="","",'Ordenes_Odoo'!M2966)</f>
        <v/>
      </c>
      <c r="N2966" s="79">
        <f>IF('Ordenes_Odoo'!N2966="","",'Ordenes_Odoo'!N2966)</f>
        <v/>
      </c>
      <c r="O2966" s="81">
        <f>IF('Ordenes_Odoo'!O2966="","",'Ordenes_Odoo'!O2966)</f>
        <v/>
      </c>
      <c r="P2966" s="81">
        <f>IF('Ordenes_Odoo'!P2966="","",'Ordenes_Odoo'!P2966)</f>
        <v/>
      </c>
      <c r="Q2966" s="79">
        <f>IF(A2966="","",IFERROR(INDEX(Facturas_Odoo!$B:$B, MATCH(A2966, Facturas_Odoo!$D:$D, 0)), "Sin Factura"))</f>
        <v/>
      </c>
      <c r="R2966" s="80">
        <f>IF(Q2966="Sin Factura","",IFERROR(INDEX(Facturas_Odoo!$A:$A, MATCH(Q2966, Facturas_Odoo!$B:$B, 0)), ""))</f>
        <v/>
      </c>
      <c r="S2966" s="79">
        <f>IF(Q2966="Sin Factura","",IFERROR(_xlfn.XLOOKUP(1, (Facturas_Odoo!$D:$D=A2966) * (Facturas_Odoo!$K:$K=I2966), Facturas_Odoo!$L:$L, ""), ""))</f>
        <v/>
      </c>
      <c r="T2966" s="81">
        <f>IF(Q2966="Sin Factura",0,IFERROR(_xlfn.XLOOKUP(1, (Facturas_Odoo!$D:$D=A2966) * (Facturas_Odoo!$K:$K=I2966), Facturas_Odoo!$M:$M, 0), 0))</f>
        <v/>
      </c>
      <c r="U2966" s="79">
        <f>IF(Q2966="Sin Factura",0,IFERROR(_xlfn.XLOOKUP(1, (Facturas_Odoo!$D:$D=A2966) * (Facturas_Odoo!$K:$K=I2966), Facturas_Odoo!$N:$N, 0), 0))</f>
        <v/>
      </c>
      <c r="V2966" s="79">
        <f>IF(Q2966="Sin Factura",0,IFERROR(_xlfn.XLOOKUP(1, (Facturas_Odoo!$D:$D=A2966) * (Facturas_Odoo!$K:$K=I2966), Facturas_Odoo!$O:$O, 0), 0))</f>
        <v/>
      </c>
      <c r="W2966" s="81">
        <f>IF(Q2966="Sin Factura",0,IFERROR(_xlfn.XLOOKUP(1, (Facturas_Odoo!$D:$D=A2966) * (Facturas_Odoo!$K:$K=I2966), Facturas_Odoo!$Q:$Q, 0), 0))</f>
        <v/>
      </c>
      <c r="X2966" s="79">
        <f>IF(OR(Q2966="Sin Factura",Q2966=""),"",IFERROR(INDEX(Pagos_Odoo!$B:$B, MATCH(Q2966, Pagos_Odoo!$I:$I, 0)), "Sin Pago"))</f>
        <v/>
      </c>
      <c r="Y2966" s="79">
        <f>IF(X2966="Sin Pago","",IFERROR(INDEX(Pagos_Odoo!$C:$C, MATCH(X2966, Pagos_Odoo!$B:$B, 0)), ""))</f>
        <v/>
      </c>
      <c r="Z2966" s="80">
        <f>IF(X2966="Sin Pago","",IFERROR(INDEX(Pagos_Odoo!$A:$A, MATCH(X2966, Pagos_Odoo!$B:$B, 0)), ""))</f>
        <v/>
      </c>
      <c r="AA2966" s="79">
        <f>IF(X2966="Sin Pago","",IFERROR(INDEX(Pagos_Odoo!$F:$F, MATCH(X2966, Pagos_Odoo!$B:$B, 0)), ""))</f>
        <v/>
      </c>
      <c r="AB2966" s="81">
        <f>IF(X2966="Sin Pago",0,IFERROR(INDEX(Pagos_Odoo!$E:$E, MATCH(X2966, Pagos_Odoo!$B:$B, 0)), 0))</f>
        <v/>
      </c>
      <c r="AC2966" s="79">
        <f>IF(X2966="Sin Pago","",IFERROR(INDEX(Pagos_Odoo!$G:$G, MATCH(X2966, Pagos_Odoo!$B:$B, 0)), ""))</f>
        <v/>
      </c>
      <c r="AD2966" s="82" t="n">
        <v>0</v>
      </c>
      <c r="AE2966" s="82" t="n"/>
      <c r="AF2966" s="82" t="n"/>
      <c r="AG2966" s="82">
        <f>IF(AN2966="","",AD2966+AE2966+AF2966)</f>
        <v/>
      </c>
      <c r="AH2966" s="81">
        <f>IF(AN2966="","",P2966*(1-AG2966))</f>
        <v/>
      </c>
      <c r="AI2966" s="81">
        <f>IF(AN2966="","",IF(Q2966="Sin Factura",0,IFERROR(INDEX(Facturas_Odoo!$H:$H, MATCH(Q2966, Facturas_Odoo!$B:$B, 0)), 0)*(1-AG2966)))</f>
        <v/>
      </c>
      <c r="AJ2966" s="81">
        <f>IF(AN2966="","",_xlfn.LET(idVenta, AN2966&amp;"",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66" s="81">
        <f>IF(AN2966="","",AH2966-AJ2966)</f>
        <v/>
      </c>
      <c r="AL2966" s="81">
        <f>IF(AN2966="","",IF(Q2966="Sin Factura","",AI2966-AJ2966))</f>
        <v/>
      </c>
      <c r="AM2966" s="81">
        <f>IF(AN2966="","",IF(Q2966="Sin Factura",0,P2966-IFERROR(INDEX(Facturas_Odoo!$H:$H, MATCH(Q2966, Facturas_Odoo!$B:$B, 0)), 0)))</f>
        <v/>
      </c>
      <c r="AN2966" s="79">
        <f>IF(AND(A2966="", J2966=""), "", IF(A2966&lt;&gt;"", VALUE(MID(A2966,2,LEN(A2966))), AN2965))</f>
        <v/>
      </c>
      <c r="AO2966" s="79">
        <f>IF(AN2966="","",IF(AD2966=0,"OK",_xlfn.LET(monedaPago, IF(AA2966="","USD",AA2966), limitePermitido, IFERROR(VLOOKUP(monedaPago, Configuración!$A$2:$B$3, 2, FALSE), 0.15), IF(AD2966&gt;limitePermitido, "ALERTA: EXCESO (" &amp; TEXT(limitePermitido, "0%") &amp; " máx)", "OK"))))</f>
        <v/>
      </c>
      <c r="AP2966" s="79">
        <f>IF(AN2966="","",IF(AE2966=0,"OK",_xlfn.LET(fechaPago, Z2966, fechaFactura, R2966, diasCredito, IF(E2966="Pago inmediato", 0, IFERROR(VALUE(MID(E2966, 1, SEARCH(" ", E2966)-1)),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66" s="79">
        <f>IF(AN2966="","",IF(AND(N2966&gt;0, AG2966&gt;0), IF(Configuración!$K$2="NO", "ALERTA: DESCUENTO DOBLE NO PERMITIDO", "OK"), "OK"))</f>
        <v/>
      </c>
      <c r="AR2966" s="79">
        <f>IF(AN2966="","",IF(OR(AO2966&lt;&gt;"OK", AP2966&lt;&gt;"OK", AQ2966&lt;&gt;"OK"), "⚠️ REVISAR", "OK"))</f>
        <v/>
      </c>
    </row>
    <row r="2967">
      <c r="A2967" s="79">
        <f>IF('Ordenes_Odoo'!A2967="","",'Ordenes_Odoo'!A2967)</f>
        <v/>
      </c>
      <c r="B2967" s="80">
        <f>IF('Ordenes_Odoo'!B2967="","",'Ordenes_Odoo'!B2967)</f>
        <v/>
      </c>
      <c r="C2967" s="79">
        <f>IF('Ordenes_Odoo'!C2967="","",'Ordenes_Odoo'!C2967)</f>
        <v/>
      </c>
      <c r="D2967" s="79">
        <f>IF('Ordenes_Odoo'!D2967="","",'Ordenes_Odoo'!D2967)</f>
        <v/>
      </c>
      <c r="E2967" s="79">
        <f>IF('Ordenes_Odoo'!E2967="","",'Ordenes_Odoo'!E2967)</f>
        <v/>
      </c>
      <c r="F2967" s="79">
        <f>IF('Ordenes_Odoo'!F2967="","",'Ordenes_Odoo'!F2967)</f>
        <v/>
      </c>
      <c r="G2967" s="79">
        <f>IF('Ordenes_Odoo'!G2967="","",'Ordenes_Odoo'!G2967)</f>
        <v/>
      </c>
      <c r="H2967" s="79">
        <f>IF('Ordenes_Odoo'!H2967="","",'Ordenes_Odoo'!H2967)</f>
        <v/>
      </c>
      <c r="I2967" s="79">
        <f>IF('Ordenes_Odoo'!I2967="","",'Ordenes_Odoo'!I2967)</f>
        <v/>
      </c>
      <c r="J2967" s="79">
        <f>IF('Ordenes_Odoo'!J2967="","",'Ordenes_Odoo'!J2967)</f>
        <v/>
      </c>
      <c r="K2967" s="81">
        <f>IF('Ordenes_Odoo'!K2967="","",'Ordenes_Odoo'!K2967)</f>
        <v/>
      </c>
      <c r="L2967" s="81">
        <f>IF('Ordenes_Odoo'!L2967="","",'Ordenes_Odoo'!L2967)</f>
        <v/>
      </c>
      <c r="M2967" s="79">
        <f>IF('Ordenes_Odoo'!M2967="","",'Ordenes_Odoo'!M2967)</f>
        <v/>
      </c>
      <c r="N2967" s="79">
        <f>IF('Ordenes_Odoo'!N2967="","",'Ordenes_Odoo'!N2967)</f>
        <v/>
      </c>
      <c r="O2967" s="81">
        <f>IF('Ordenes_Odoo'!O2967="","",'Ordenes_Odoo'!O2967)</f>
        <v/>
      </c>
      <c r="P2967" s="81">
        <f>IF('Ordenes_Odoo'!P2967="","",'Ordenes_Odoo'!P2967)</f>
        <v/>
      </c>
      <c r="Q2967" s="79">
        <f>IF(A2967="","",IFERROR(INDEX(Facturas_Odoo!$B:$B, MATCH(A2967, Facturas_Odoo!$D:$D, 0)), "Sin Factura"))</f>
        <v/>
      </c>
      <c r="R2967" s="80">
        <f>IF(Q2967="Sin Factura","",IFERROR(INDEX(Facturas_Odoo!$A:$A, MATCH(Q2967, Facturas_Odoo!$B:$B, 0)), ""))</f>
        <v/>
      </c>
      <c r="S2967" s="79">
        <f>IF(Q2967="Sin Factura","",IFERROR(_xlfn.XLOOKUP(1, (Facturas_Odoo!$D:$D=A2967) * (Facturas_Odoo!$K:$K=I2967), Facturas_Odoo!$L:$L, ""), ""))</f>
        <v/>
      </c>
      <c r="T2967" s="81">
        <f>IF(Q2967="Sin Factura",0,IFERROR(_xlfn.XLOOKUP(1, (Facturas_Odoo!$D:$D=A2967) * (Facturas_Odoo!$K:$K=I2967), Facturas_Odoo!$M:$M, 0), 0))</f>
        <v/>
      </c>
      <c r="U2967" s="79">
        <f>IF(Q2967="Sin Factura",0,IFERROR(_xlfn.XLOOKUP(1, (Facturas_Odoo!$D:$D=A2967) * (Facturas_Odoo!$K:$K=I2967), Facturas_Odoo!$N:$N, 0), 0))</f>
        <v/>
      </c>
      <c r="V2967" s="79">
        <f>IF(Q2967="Sin Factura",0,IFERROR(_xlfn.XLOOKUP(1, (Facturas_Odoo!$D:$D=A2967) * (Facturas_Odoo!$K:$K=I2967), Facturas_Odoo!$O:$O, 0), 0))</f>
        <v/>
      </c>
      <c r="W2967" s="81">
        <f>IF(Q2967="Sin Factura",0,IFERROR(_xlfn.XLOOKUP(1, (Facturas_Odoo!$D:$D=A2967) * (Facturas_Odoo!$K:$K=I2967), Facturas_Odoo!$Q:$Q, 0), 0))</f>
        <v/>
      </c>
      <c r="X2967" s="79">
        <f>IF(OR(Q2967="Sin Factura",Q2967=""),"",IFERROR(INDEX(Pagos_Odoo!$B:$B, MATCH(Q2967, Pagos_Odoo!$I:$I, 0)), "Sin Pago"))</f>
        <v/>
      </c>
      <c r="Y2967" s="79">
        <f>IF(X2967="Sin Pago","",IFERROR(INDEX(Pagos_Odoo!$C:$C, MATCH(X2967, Pagos_Odoo!$B:$B, 0)), ""))</f>
        <v/>
      </c>
      <c r="Z2967" s="80">
        <f>IF(X2967="Sin Pago","",IFERROR(INDEX(Pagos_Odoo!$A:$A, MATCH(X2967, Pagos_Odoo!$B:$B, 0)), ""))</f>
        <v/>
      </c>
      <c r="AA2967" s="79">
        <f>IF(X2967="Sin Pago","",IFERROR(INDEX(Pagos_Odoo!$F:$F, MATCH(X2967, Pagos_Odoo!$B:$B, 0)), ""))</f>
        <v/>
      </c>
      <c r="AB2967" s="81">
        <f>IF(X2967="Sin Pago",0,IFERROR(INDEX(Pagos_Odoo!$E:$E, MATCH(X2967, Pagos_Odoo!$B:$B, 0)), 0))</f>
        <v/>
      </c>
      <c r="AC2967" s="79">
        <f>IF(X2967="Sin Pago","",IFERROR(INDEX(Pagos_Odoo!$G:$G, MATCH(X2967, Pagos_Odoo!$B:$B, 0)), ""))</f>
        <v/>
      </c>
      <c r="AD2967" s="82" t="n">
        <v>0</v>
      </c>
      <c r="AE2967" s="82" t="n"/>
      <c r="AF2967" s="82" t="n"/>
      <c r="AG2967" s="82">
        <f>IF(AN2967="","",AD2967+AE2967+AF2967)</f>
        <v/>
      </c>
      <c r="AH2967" s="81">
        <f>IF(AN2967="","",P2967*(1-AG2967))</f>
        <v/>
      </c>
      <c r="AI2967" s="81">
        <f>IF(AN2967="","",IF(Q2967="Sin Factura",0,IFERROR(INDEX(Facturas_Odoo!$H:$H, MATCH(Q2967, Facturas_Odoo!$B:$B, 0)), 0)*(1-AG2967)))</f>
        <v/>
      </c>
      <c r="AJ2967" s="81">
        <f>IF(AN2967="","",_xlfn.LET(idVenta, AN2967&amp;"",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67" s="81">
        <f>IF(AN2967="","",AH2967-AJ2967)</f>
        <v/>
      </c>
      <c r="AL2967" s="81">
        <f>IF(AN2967="","",IF(Q2967="Sin Factura","",AI2967-AJ2967))</f>
        <v/>
      </c>
      <c r="AM2967" s="81">
        <f>IF(AN2967="","",IF(Q2967="Sin Factura",0,P2967-IFERROR(INDEX(Facturas_Odoo!$H:$H, MATCH(Q2967, Facturas_Odoo!$B:$B, 0)), 0)))</f>
        <v/>
      </c>
      <c r="AN2967" s="79">
        <f>IF(AND(A2967="", J2967=""), "", IF(A2967&lt;&gt;"", VALUE(MID(A2967,2,LEN(A2967))), AN2966))</f>
        <v/>
      </c>
      <c r="AO2967" s="79">
        <f>IF(AN2967="","",IF(AD2967=0,"OK",_xlfn.LET(monedaPago, IF(AA2967="","USD",AA2967), limitePermitido, IFERROR(VLOOKUP(monedaPago, Configuración!$A$2:$B$3, 2, FALSE), 0.15), IF(AD2967&gt;limitePermitido, "ALERTA: EXCESO (" &amp; TEXT(limitePermitido, "0%") &amp; " máx)", "OK"))))</f>
        <v/>
      </c>
      <c r="AP2967" s="79">
        <f>IF(AN2967="","",IF(AE2967=0,"OK",_xlfn.LET(fechaPago, Z2967, fechaFactura, R2967, diasCredito, IF(E2967="Pago inmediato", 0, IFERROR(VALUE(MID(E2967, 1, SEARCH(" ", E2967)-1)),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67" s="79">
        <f>IF(AN2967="","",IF(AND(N2967&gt;0, AG2967&gt;0), IF(Configuración!$K$2="NO", "ALERTA: DESCUENTO DOBLE NO PERMITIDO", "OK"), "OK"))</f>
        <v/>
      </c>
      <c r="AR2967" s="79">
        <f>IF(AN2967="","",IF(OR(AO2967&lt;&gt;"OK", AP2967&lt;&gt;"OK", AQ2967&lt;&gt;"OK"), "⚠️ REVISAR", "OK"))</f>
        <v/>
      </c>
    </row>
    <row r="2968">
      <c r="A2968" s="79">
        <f>IF('Ordenes_Odoo'!A2968="","",'Ordenes_Odoo'!A2968)</f>
        <v/>
      </c>
      <c r="B2968" s="80">
        <f>IF('Ordenes_Odoo'!B2968="","",'Ordenes_Odoo'!B2968)</f>
        <v/>
      </c>
      <c r="C2968" s="79">
        <f>IF('Ordenes_Odoo'!C2968="","",'Ordenes_Odoo'!C2968)</f>
        <v/>
      </c>
      <c r="D2968" s="79">
        <f>IF('Ordenes_Odoo'!D2968="","",'Ordenes_Odoo'!D2968)</f>
        <v/>
      </c>
      <c r="E2968" s="79">
        <f>IF('Ordenes_Odoo'!E2968="","",'Ordenes_Odoo'!E2968)</f>
        <v/>
      </c>
      <c r="F2968" s="79">
        <f>IF('Ordenes_Odoo'!F2968="","",'Ordenes_Odoo'!F2968)</f>
        <v/>
      </c>
      <c r="G2968" s="79">
        <f>IF('Ordenes_Odoo'!G2968="","",'Ordenes_Odoo'!G2968)</f>
        <v/>
      </c>
      <c r="H2968" s="79">
        <f>IF('Ordenes_Odoo'!H2968="","",'Ordenes_Odoo'!H2968)</f>
        <v/>
      </c>
      <c r="I2968" s="79">
        <f>IF('Ordenes_Odoo'!I2968="","",'Ordenes_Odoo'!I2968)</f>
        <v/>
      </c>
      <c r="J2968" s="79">
        <f>IF('Ordenes_Odoo'!J2968="","",'Ordenes_Odoo'!J2968)</f>
        <v/>
      </c>
      <c r="K2968" s="81">
        <f>IF('Ordenes_Odoo'!K2968="","",'Ordenes_Odoo'!K2968)</f>
        <v/>
      </c>
      <c r="L2968" s="81">
        <f>IF('Ordenes_Odoo'!L2968="","",'Ordenes_Odoo'!L2968)</f>
        <v/>
      </c>
      <c r="M2968" s="79">
        <f>IF('Ordenes_Odoo'!M2968="","",'Ordenes_Odoo'!M2968)</f>
        <v/>
      </c>
      <c r="N2968" s="79">
        <f>IF('Ordenes_Odoo'!N2968="","",'Ordenes_Odoo'!N2968)</f>
        <v/>
      </c>
      <c r="O2968" s="81">
        <f>IF('Ordenes_Odoo'!O2968="","",'Ordenes_Odoo'!O2968)</f>
        <v/>
      </c>
      <c r="P2968" s="81">
        <f>IF('Ordenes_Odoo'!P2968="","",'Ordenes_Odoo'!P2968)</f>
        <v/>
      </c>
      <c r="Q2968" s="79">
        <f>IF(A2968="","",IFERROR(INDEX(Facturas_Odoo!$B:$B, MATCH(A2968, Facturas_Odoo!$D:$D, 0)), "Sin Factura"))</f>
        <v/>
      </c>
      <c r="R2968" s="80">
        <f>IF(Q2968="Sin Factura","",IFERROR(INDEX(Facturas_Odoo!$A:$A, MATCH(Q2968, Facturas_Odoo!$B:$B, 0)), ""))</f>
        <v/>
      </c>
      <c r="S2968" s="79">
        <f>IF(Q2968="Sin Factura","",IFERROR(_xlfn.XLOOKUP(1, (Facturas_Odoo!$D:$D=A2968) * (Facturas_Odoo!$K:$K=I2968), Facturas_Odoo!$L:$L, ""), ""))</f>
        <v/>
      </c>
      <c r="T2968" s="81">
        <f>IF(Q2968="Sin Factura",0,IFERROR(_xlfn.XLOOKUP(1, (Facturas_Odoo!$D:$D=A2968) * (Facturas_Odoo!$K:$K=I2968), Facturas_Odoo!$M:$M, 0), 0))</f>
        <v/>
      </c>
      <c r="U2968" s="79">
        <f>IF(Q2968="Sin Factura",0,IFERROR(_xlfn.XLOOKUP(1, (Facturas_Odoo!$D:$D=A2968) * (Facturas_Odoo!$K:$K=I2968), Facturas_Odoo!$N:$N, 0), 0))</f>
        <v/>
      </c>
      <c r="V2968" s="79">
        <f>IF(Q2968="Sin Factura",0,IFERROR(_xlfn.XLOOKUP(1, (Facturas_Odoo!$D:$D=A2968) * (Facturas_Odoo!$K:$K=I2968), Facturas_Odoo!$O:$O, 0), 0))</f>
        <v/>
      </c>
      <c r="W2968" s="81">
        <f>IF(Q2968="Sin Factura",0,IFERROR(_xlfn.XLOOKUP(1, (Facturas_Odoo!$D:$D=A2968) * (Facturas_Odoo!$K:$K=I2968), Facturas_Odoo!$Q:$Q, 0), 0))</f>
        <v/>
      </c>
      <c r="X2968" s="79">
        <f>IF(OR(Q2968="Sin Factura",Q2968=""),"",IFERROR(INDEX(Pagos_Odoo!$B:$B, MATCH(Q2968, Pagos_Odoo!$I:$I, 0)), "Sin Pago"))</f>
        <v/>
      </c>
      <c r="Y2968" s="79">
        <f>IF(X2968="Sin Pago","",IFERROR(INDEX(Pagos_Odoo!$C:$C, MATCH(X2968, Pagos_Odoo!$B:$B, 0)), ""))</f>
        <v/>
      </c>
      <c r="Z2968" s="80">
        <f>IF(X2968="Sin Pago","",IFERROR(INDEX(Pagos_Odoo!$A:$A, MATCH(X2968, Pagos_Odoo!$B:$B, 0)), ""))</f>
        <v/>
      </c>
      <c r="AA2968" s="79">
        <f>IF(X2968="Sin Pago","",IFERROR(INDEX(Pagos_Odoo!$F:$F, MATCH(X2968, Pagos_Odoo!$B:$B, 0)), ""))</f>
        <v/>
      </c>
      <c r="AB2968" s="81">
        <f>IF(X2968="Sin Pago",0,IFERROR(INDEX(Pagos_Odoo!$E:$E, MATCH(X2968, Pagos_Odoo!$B:$B, 0)), 0))</f>
        <v/>
      </c>
      <c r="AC2968" s="79">
        <f>IF(X2968="Sin Pago","",IFERROR(INDEX(Pagos_Odoo!$G:$G, MATCH(X2968, Pagos_Odoo!$B:$B, 0)), ""))</f>
        <v/>
      </c>
      <c r="AD2968" s="82" t="n">
        <v>0</v>
      </c>
      <c r="AE2968" s="82" t="n"/>
      <c r="AF2968" s="82" t="n"/>
      <c r="AG2968" s="82">
        <f>IF(AN2968="","",AD2968+AE2968+AF2968)</f>
        <v/>
      </c>
      <c r="AH2968" s="81">
        <f>IF(AN2968="","",P2968*(1-AG2968))</f>
        <v/>
      </c>
      <c r="AI2968" s="81">
        <f>IF(AN2968="","",IF(Q2968="Sin Factura",0,IFERROR(INDEX(Facturas_Odoo!$H:$H, MATCH(Q2968, Facturas_Odoo!$B:$B, 0)), 0)*(1-AG2968)))</f>
        <v/>
      </c>
      <c r="AJ2968" s="81">
        <f>IF(AN2968="","",_xlfn.LET(idVenta, AN2968&amp;"",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68" s="81">
        <f>IF(AN2968="","",AH2968-AJ2968)</f>
        <v/>
      </c>
      <c r="AL2968" s="81">
        <f>IF(AN2968="","",IF(Q2968="Sin Factura","",AI2968-AJ2968))</f>
        <v/>
      </c>
      <c r="AM2968" s="81">
        <f>IF(AN2968="","",IF(Q2968="Sin Factura",0,P2968-IFERROR(INDEX(Facturas_Odoo!$H:$H, MATCH(Q2968, Facturas_Odoo!$B:$B, 0)), 0)))</f>
        <v/>
      </c>
      <c r="AN2968" s="79">
        <f>IF(AND(A2968="", J2968=""), "", IF(A2968&lt;&gt;"", VALUE(MID(A2968,2,LEN(A2968))), AN2967))</f>
        <v/>
      </c>
      <c r="AO2968" s="79">
        <f>IF(AN2968="","",IF(AD2968=0,"OK",_xlfn.LET(monedaPago, IF(AA2968="","USD",AA2968), limitePermitido, IFERROR(VLOOKUP(monedaPago, Configuración!$A$2:$B$3, 2, FALSE), 0.15), IF(AD2968&gt;limitePermitido, "ALERTA: EXCESO (" &amp; TEXT(limitePermitido, "0%") &amp; " máx)", "OK"))))</f>
        <v/>
      </c>
      <c r="AP2968" s="79">
        <f>IF(AN2968="","",IF(AE2968=0,"OK",_xlfn.LET(fechaPago, Z2968, fechaFactura, R2968, diasCredito, IF(E2968="Pago inmediato", 0, IFERROR(VALUE(MID(E2968, 1, SEARCH(" ", E2968)-1)),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68" s="79">
        <f>IF(AN2968="","",IF(AND(N2968&gt;0, AG2968&gt;0), IF(Configuración!$K$2="NO", "ALERTA: DESCUENTO DOBLE NO PERMITIDO", "OK"), "OK"))</f>
        <v/>
      </c>
      <c r="AR2968" s="79">
        <f>IF(AN2968="","",IF(OR(AO2968&lt;&gt;"OK", AP2968&lt;&gt;"OK", AQ2968&lt;&gt;"OK"), "⚠️ REVISAR", "OK"))</f>
        <v/>
      </c>
    </row>
    <row r="2969">
      <c r="A2969" s="79">
        <f>IF('Ordenes_Odoo'!A2969="","",'Ordenes_Odoo'!A2969)</f>
        <v/>
      </c>
      <c r="B2969" s="80">
        <f>IF('Ordenes_Odoo'!B2969="","",'Ordenes_Odoo'!B2969)</f>
        <v/>
      </c>
      <c r="C2969" s="79">
        <f>IF('Ordenes_Odoo'!C2969="","",'Ordenes_Odoo'!C2969)</f>
        <v/>
      </c>
      <c r="D2969" s="79">
        <f>IF('Ordenes_Odoo'!D2969="","",'Ordenes_Odoo'!D2969)</f>
        <v/>
      </c>
      <c r="E2969" s="79">
        <f>IF('Ordenes_Odoo'!E2969="","",'Ordenes_Odoo'!E2969)</f>
        <v/>
      </c>
      <c r="F2969" s="79">
        <f>IF('Ordenes_Odoo'!F2969="","",'Ordenes_Odoo'!F2969)</f>
        <v/>
      </c>
      <c r="G2969" s="79">
        <f>IF('Ordenes_Odoo'!G2969="","",'Ordenes_Odoo'!G2969)</f>
        <v/>
      </c>
      <c r="H2969" s="79">
        <f>IF('Ordenes_Odoo'!H2969="","",'Ordenes_Odoo'!H2969)</f>
        <v/>
      </c>
      <c r="I2969" s="79">
        <f>IF('Ordenes_Odoo'!I2969="","",'Ordenes_Odoo'!I2969)</f>
        <v/>
      </c>
      <c r="J2969" s="79">
        <f>IF('Ordenes_Odoo'!J2969="","",'Ordenes_Odoo'!J2969)</f>
        <v/>
      </c>
      <c r="K2969" s="81">
        <f>IF('Ordenes_Odoo'!K2969="","",'Ordenes_Odoo'!K2969)</f>
        <v/>
      </c>
      <c r="L2969" s="81">
        <f>IF('Ordenes_Odoo'!L2969="","",'Ordenes_Odoo'!L2969)</f>
        <v/>
      </c>
      <c r="M2969" s="79">
        <f>IF('Ordenes_Odoo'!M2969="","",'Ordenes_Odoo'!M2969)</f>
        <v/>
      </c>
      <c r="N2969" s="79">
        <f>IF('Ordenes_Odoo'!N2969="","",'Ordenes_Odoo'!N2969)</f>
        <v/>
      </c>
      <c r="O2969" s="81">
        <f>IF('Ordenes_Odoo'!O2969="","",'Ordenes_Odoo'!O2969)</f>
        <v/>
      </c>
      <c r="P2969" s="81">
        <f>IF('Ordenes_Odoo'!P2969="","",'Ordenes_Odoo'!P2969)</f>
        <v/>
      </c>
      <c r="Q2969" s="79">
        <f>IF(A2969="","",IFERROR(INDEX(Facturas_Odoo!$B:$B, MATCH(A2969, Facturas_Odoo!$D:$D, 0)), "Sin Factura"))</f>
        <v/>
      </c>
      <c r="R2969" s="80">
        <f>IF(Q2969="Sin Factura","",IFERROR(INDEX(Facturas_Odoo!$A:$A, MATCH(Q2969, Facturas_Odoo!$B:$B, 0)), ""))</f>
        <v/>
      </c>
      <c r="S2969" s="79">
        <f>IF(Q2969="Sin Factura","",IFERROR(_xlfn.XLOOKUP(1, (Facturas_Odoo!$D:$D=A2969) * (Facturas_Odoo!$K:$K=I2969), Facturas_Odoo!$L:$L, ""), ""))</f>
        <v/>
      </c>
      <c r="T2969" s="81">
        <f>IF(Q2969="Sin Factura",0,IFERROR(_xlfn.XLOOKUP(1, (Facturas_Odoo!$D:$D=A2969) * (Facturas_Odoo!$K:$K=I2969), Facturas_Odoo!$M:$M, 0), 0))</f>
        <v/>
      </c>
      <c r="U2969" s="79">
        <f>IF(Q2969="Sin Factura",0,IFERROR(_xlfn.XLOOKUP(1, (Facturas_Odoo!$D:$D=A2969) * (Facturas_Odoo!$K:$K=I2969), Facturas_Odoo!$N:$N, 0), 0))</f>
        <v/>
      </c>
      <c r="V2969" s="79">
        <f>IF(Q2969="Sin Factura",0,IFERROR(_xlfn.XLOOKUP(1, (Facturas_Odoo!$D:$D=A2969) * (Facturas_Odoo!$K:$K=I2969), Facturas_Odoo!$O:$O, 0), 0))</f>
        <v/>
      </c>
      <c r="W2969" s="81">
        <f>IF(Q2969="Sin Factura",0,IFERROR(_xlfn.XLOOKUP(1, (Facturas_Odoo!$D:$D=A2969) * (Facturas_Odoo!$K:$K=I2969), Facturas_Odoo!$Q:$Q, 0), 0))</f>
        <v/>
      </c>
      <c r="X2969" s="79">
        <f>IF(OR(Q2969="Sin Factura",Q2969=""),"",IFERROR(INDEX(Pagos_Odoo!$B:$B, MATCH(Q2969, Pagos_Odoo!$I:$I, 0)), "Sin Pago"))</f>
        <v/>
      </c>
      <c r="Y2969" s="79">
        <f>IF(X2969="Sin Pago","",IFERROR(INDEX(Pagos_Odoo!$C:$C, MATCH(X2969, Pagos_Odoo!$B:$B, 0)), ""))</f>
        <v/>
      </c>
      <c r="Z2969" s="80">
        <f>IF(X2969="Sin Pago","",IFERROR(INDEX(Pagos_Odoo!$A:$A, MATCH(X2969, Pagos_Odoo!$B:$B, 0)), ""))</f>
        <v/>
      </c>
      <c r="AA2969" s="79">
        <f>IF(X2969="Sin Pago","",IFERROR(INDEX(Pagos_Odoo!$F:$F, MATCH(X2969, Pagos_Odoo!$B:$B, 0)), ""))</f>
        <v/>
      </c>
      <c r="AB2969" s="81">
        <f>IF(X2969="Sin Pago",0,IFERROR(INDEX(Pagos_Odoo!$E:$E, MATCH(X2969, Pagos_Odoo!$B:$B, 0)), 0))</f>
        <v/>
      </c>
      <c r="AC2969" s="79">
        <f>IF(X2969="Sin Pago","",IFERROR(INDEX(Pagos_Odoo!$G:$G, MATCH(X2969, Pagos_Odoo!$B:$B, 0)), ""))</f>
        <v/>
      </c>
      <c r="AD2969" s="82" t="n">
        <v>0</v>
      </c>
      <c r="AE2969" s="82" t="n"/>
      <c r="AF2969" s="82" t="n"/>
      <c r="AG2969" s="82">
        <f>IF(AN2969="","",AD2969+AE2969+AF2969)</f>
        <v/>
      </c>
      <c r="AH2969" s="81">
        <f>IF(AN2969="","",P2969*(1-AG2969))</f>
        <v/>
      </c>
      <c r="AI2969" s="81">
        <f>IF(AN2969="","",IF(Q2969="Sin Factura",0,IFERROR(INDEX(Facturas_Odoo!$H:$H, MATCH(Q2969, Facturas_Odoo!$B:$B, 0)), 0)*(1-AG2969)))</f>
        <v/>
      </c>
      <c r="AJ2969" s="81">
        <f>IF(AN2969="","",_xlfn.LET(idVenta, AN2969&amp;"",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69" s="81">
        <f>IF(AN2969="","",AH2969-AJ2969)</f>
        <v/>
      </c>
      <c r="AL2969" s="81">
        <f>IF(AN2969="","",IF(Q2969="Sin Factura","",AI2969-AJ2969))</f>
        <v/>
      </c>
      <c r="AM2969" s="81">
        <f>IF(AN2969="","",IF(Q2969="Sin Factura",0,P2969-IFERROR(INDEX(Facturas_Odoo!$H:$H, MATCH(Q2969, Facturas_Odoo!$B:$B, 0)), 0)))</f>
        <v/>
      </c>
      <c r="AN2969" s="79">
        <f>IF(AND(A2969="", J2969=""), "", IF(A2969&lt;&gt;"", VALUE(MID(A2969,2,LEN(A2969))), AN2968))</f>
        <v/>
      </c>
      <c r="AO2969" s="79">
        <f>IF(AN2969="","",IF(AD2969=0,"OK",_xlfn.LET(monedaPago, IF(AA2969="","USD",AA2969), limitePermitido, IFERROR(VLOOKUP(monedaPago, Configuración!$A$2:$B$3, 2, FALSE), 0.15), IF(AD2969&gt;limitePermitido, "ALERTA: EXCESO (" &amp; TEXT(limitePermitido, "0%") &amp; " máx)", "OK"))))</f>
        <v/>
      </c>
      <c r="AP2969" s="79">
        <f>IF(AN2969="","",IF(AE2969=0,"OK",_xlfn.LET(fechaPago, Z2969, fechaFactura, R2969, diasCredito, IF(E2969="Pago inmediato", 0, IFERROR(VALUE(MID(E2969, 1, SEARCH(" ", E2969)-1)),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69" s="79">
        <f>IF(AN2969="","",IF(AND(N2969&gt;0, AG2969&gt;0), IF(Configuración!$K$2="NO", "ALERTA: DESCUENTO DOBLE NO PERMITIDO", "OK"), "OK"))</f>
        <v/>
      </c>
      <c r="AR2969" s="79">
        <f>IF(AN2969="","",IF(OR(AO2969&lt;&gt;"OK", AP2969&lt;&gt;"OK", AQ2969&lt;&gt;"OK"), "⚠️ REVISAR", "OK"))</f>
        <v/>
      </c>
    </row>
    <row r="2970">
      <c r="A2970" s="79">
        <f>IF('Ordenes_Odoo'!A2970="","",'Ordenes_Odoo'!A2970)</f>
        <v/>
      </c>
      <c r="B2970" s="80">
        <f>IF('Ordenes_Odoo'!B2970="","",'Ordenes_Odoo'!B2970)</f>
        <v/>
      </c>
      <c r="C2970" s="79">
        <f>IF('Ordenes_Odoo'!C2970="","",'Ordenes_Odoo'!C2970)</f>
        <v/>
      </c>
      <c r="D2970" s="79">
        <f>IF('Ordenes_Odoo'!D2970="","",'Ordenes_Odoo'!D2970)</f>
        <v/>
      </c>
      <c r="E2970" s="79">
        <f>IF('Ordenes_Odoo'!E2970="","",'Ordenes_Odoo'!E2970)</f>
        <v/>
      </c>
      <c r="F2970" s="79">
        <f>IF('Ordenes_Odoo'!F2970="","",'Ordenes_Odoo'!F2970)</f>
        <v/>
      </c>
      <c r="G2970" s="79">
        <f>IF('Ordenes_Odoo'!G2970="","",'Ordenes_Odoo'!G2970)</f>
        <v/>
      </c>
      <c r="H2970" s="79">
        <f>IF('Ordenes_Odoo'!H2970="","",'Ordenes_Odoo'!H2970)</f>
        <v/>
      </c>
      <c r="I2970" s="79">
        <f>IF('Ordenes_Odoo'!I2970="","",'Ordenes_Odoo'!I2970)</f>
        <v/>
      </c>
      <c r="J2970" s="79">
        <f>IF('Ordenes_Odoo'!J2970="","",'Ordenes_Odoo'!J2970)</f>
        <v/>
      </c>
      <c r="K2970" s="81">
        <f>IF('Ordenes_Odoo'!K2970="","",'Ordenes_Odoo'!K2970)</f>
        <v/>
      </c>
      <c r="L2970" s="81">
        <f>IF('Ordenes_Odoo'!L2970="","",'Ordenes_Odoo'!L2970)</f>
        <v/>
      </c>
      <c r="M2970" s="79">
        <f>IF('Ordenes_Odoo'!M2970="","",'Ordenes_Odoo'!M2970)</f>
        <v/>
      </c>
      <c r="N2970" s="79">
        <f>IF('Ordenes_Odoo'!N2970="","",'Ordenes_Odoo'!N2970)</f>
        <v/>
      </c>
      <c r="O2970" s="81">
        <f>IF('Ordenes_Odoo'!O2970="","",'Ordenes_Odoo'!O2970)</f>
        <v/>
      </c>
      <c r="P2970" s="81">
        <f>IF('Ordenes_Odoo'!P2970="","",'Ordenes_Odoo'!P2970)</f>
        <v/>
      </c>
      <c r="Q2970" s="79">
        <f>IF(A2970="","",IFERROR(INDEX(Facturas_Odoo!$B:$B, MATCH(A2970, Facturas_Odoo!$D:$D, 0)), "Sin Factura"))</f>
        <v/>
      </c>
      <c r="R2970" s="80">
        <f>IF(Q2970="Sin Factura","",IFERROR(INDEX(Facturas_Odoo!$A:$A, MATCH(Q2970, Facturas_Odoo!$B:$B, 0)), ""))</f>
        <v/>
      </c>
      <c r="S2970" s="79">
        <f>IF(Q2970="Sin Factura","",IFERROR(_xlfn.XLOOKUP(1, (Facturas_Odoo!$D:$D=A2970) * (Facturas_Odoo!$K:$K=I2970), Facturas_Odoo!$L:$L, ""), ""))</f>
        <v/>
      </c>
      <c r="T2970" s="81">
        <f>IF(Q2970="Sin Factura",0,IFERROR(_xlfn.XLOOKUP(1, (Facturas_Odoo!$D:$D=A2970) * (Facturas_Odoo!$K:$K=I2970), Facturas_Odoo!$M:$M, 0), 0))</f>
        <v/>
      </c>
      <c r="U2970" s="79">
        <f>IF(Q2970="Sin Factura",0,IFERROR(_xlfn.XLOOKUP(1, (Facturas_Odoo!$D:$D=A2970) * (Facturas_Odoo!$K:$K=I2970), Facturas_Odoo!$N:$N, 0), 0))</f>
        <v/>
      </c>
      <c r="V2970" s="79">
        <f>IF(Q2970="Sin Factura",0,IFERROR(_xlfn.XLOOKUP(1, (Facturas_Odoo!$D:$D=A2970) * (Facturas_Odoo!$K:$K=I2970), Facturas_Odoo!$O:$O, 0), 0))</f>
        <v/>
      </c>
      <c r="W2970" s="81">
        <f>IF(Q2970="Sin Factura",0,IFERROR(_xlfn.XLOOKUP(1, (Facturas_Odoo!$D:$D=A2970) * (Facturas_Odoo!$K:$K=I2970), Facturas_Odoo!$Q:$Q, 0), 0))</f>
        <v/>
      </c>
      <c r="X2970" s="79">
        <f>IF(OR(Q2970="Sin Factura",Q2970=""),"",IFERROR(INDEX(Pagos_Odoo!$B:$B, MATCH(Q2970, Pagos_Odoo!$I:$I, 0)), "Sin Pago"))</f>
        <v/>
      </c>
      <c r="Y2970" s="79">
        <f>IF(X2970="Sin Pago","",IFERROR(INDEX(Pagos_Odoo!$C:$C, MATCH(X2970, Pagos_Odoo!$B:$B, 0)), ""))</f>
        <v/>
      </c>
      <c r="Z2970" s="80">
        <f>IF(X2970="Sin Pago","",IFERROR(INDEX(Pagos_Odoo!$A:$A, MATCH(X2970, Pagos_Odoo!$B:$B, 0)), ""))</f>
        <v/>
      </c>
      <c r="AA2970" s="79">
        <f>IF(X2970="Sin Pago","",IFERROR(INDEX(Pagos_Odoo!$F:$F, MATCH(X2970, Pagos_Odoo!$B:$B, 0)), ""))</f>
        <v/>
      </c>
      <c r="AB2970" s="81">
        <f>IF(X2970="Sin Pago",0,IFERROR(INDEX(Pagos_Odoo!$E:$E, MATCH(X2970, Pagos_Odoo!$B:$B, 0)), 0))</f>
        <v/>
      </c>
      <c r="AC2970" s="79">
        <f>IF(X2970="Sin Pago","",IFERROR(INDEX(Pagos_Odoo!$G:$G, MATCH(X2970, Pagos_Odoo!$B:$B, 0)), ""))</f>
        <v/>
      </c>
      <c r="AD2970" s="82" t="n">
        <v>0</v>
      </c>
      <c r="AE2970" s="82" t="n"/>
      <c r="AF2970" s="82" t="n"/>
      <c r="AG2970" s="82">
        <f>IF(AN2970="","",AD2970+AE2970+AF2970)</f>
        <v/>
      </c>
      <c r="AH2970" s="81">
        <f>IF(AN2970="","",P2970*(1-AG2970))</f>
        <v/>
      </c>
      <c r="AI2970" s="81">
        <f>IF(AN2970="","",IF(Q2970="Sin Factura",0,IFERROR(INDEX(Facturas_Odoo!$H:$H, MATCH(Q2970, Facturas_Odoo!$B:$B, 0)), 0)*(1-AG2970)))</f>
        <v/>
      </c>
      <c r="AJ2970" s="81">
        <f>IF(AN2970="","",_xlfn.LET(idVenta, AN2970&amp;"",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70" s="81">
        <f>IF(AN2970="","",AH2970-AJ2970)</f>
        <v/>
      </c>
      <c r="AL2970" s="81">
        <f>IF(AN2970="","",IF(Q2970="Sin Factura","",AI2970-AJ2970))</f>
        <v/>
      </c>
      <c r="AM2970" s="81">
        <f>IF(AN2970="","",IF(Q2970="Sin Factura",0,P2970-IFERROR(INDEX(Facturas_Odoo!$H:$H, MATCH(Q2970, Facturas_Odoo!$B:$B, 0)), 0)))</f>
        <v/>
      </c>
      <c r="AN2970" s="79">
        <f>IF(AND(A2970="", J2970=""), "", IF(A2970&lt;&gt;"", VALUE(MID(A2970,2,LEN(A2970))), AN2969))</f>
        <v/>
      </c>
      <c r="AO2970" s="79">
        <f>IF(AN2970="","",IF(AD2970=0,"OK",_xlfn.LET(monedaPago, IF(AA2970="","USD",AA2970), limitePermitido, IFERROR(VLOOKUP(monedaPago, Configuración!$A$2:$B$3, 2, FALSE), 0.15), IF(AD2970&gt;limitePermitido, "ALERTA: EXCESO (" &amp; TEXT(limitePermitido, "0%") &amp; " máx)", "OK"))))</f>
        <v/>
      </c>
      <c r="AP2970" s="79">
        <f>IF(AN2970="","",IF(AE2970=0,"OK",_xlfn.LET(fechaPago, Z2970, fechaFactura, R2970, diasCredito, IF(E2970="Pago inmediato", 0, IFERROR(VALUE(MID(E2970, 1, SEARCH(" ", E2970)-1)),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70" s="79">
        <f>IF(AN2970="","",IF(AND(N2970&gt;0, AG2970&gt;0), IF(Configuración!$K$2="NO", "ALERTA: DESCUENTO DOBLE NO PERMITIDO", "OK"), "OK"))</f>
        <v/>
      </c>
      <c r="AR2970" s="79">
        <f>IF(AN2970="","",IF(OR(AO2970&lt;&gt;"OK", AP2970&lt;&gt;"OK", AQ2970&lt;&gt;"OK"), "⚠️ REVISAR", "OK"))</f>
        <v/>
      </c>
    </row>
    <row r="2971">
      <c r="A2971" s="79">
        <f>IF('Ordenes_Odoo'!A2971="","",'Ordenes_Odoo'!A2971)</f>
        <v/>
      </c>
      <c r="B2971" s="80">
        <f>IF('Ordenes_Odoo'!B2971="","",'Ordenes_Odoo'!B2971)</f>
        <v/>
      </c>
      <c r="C2971" s="79">
        <f>IF('Ordenes_Odoo'!C2971="","",'Ordenes_Odoo'!C2971)</f>
        <v/>
      </c>
      <c r="D2971" s="79">
        <f>IF('Ordenes_Odoo'!D2971="","",'Ordenes_Odoo'!D2971)</f>
        <v/>
      </c>
      <c r="E2971" s="79">
        <f>IF('Ordenes_Odoo'!E2971="","",'Ordenes_Odoo'!E2971)</f>
        <v/>
      </c>
      <c r="F2971" s="79">
        <f>IF('Ordenes_Odoo'!F2971="","",'Ordenes_Odoo'!F2971)</f>
        <v/>
      </c>
      <c r="G2971" s="79">
        <f>IF('Ordenes_Odoo'!G2971="","",'Ordenes_Odoo'!G2971)</f>
        <v/>
      </c>
      <c r="H2971" s="79">
        <f>IF('Ordenes_Odoo'!H2971="","",'Ordenes_Odoo'!H2971)</f>
        <v/>
      </c>
      <c r="I2971" s="79">
        <f>IF('Ordenes_Odoo'!I2971="","",'Ordenes_Odoo'!I2971)</f>
        <v/>
      </c>
      <c r="J2971" s="79">
        <f>IF('Ordenes_Odoo'!J2971="","",'Ordenes_Odoo'!J2971)</f>
        <v/>
      </c>
      <c r="K2971" s="81">
        <f>IF('Ordenes_Odoo'!K2971="","",'Ordenes_Odoo'!K2971)</f>
        <v/>
      </c>
      <c r="L2971" s="81">
        <f>IF('Ordenes_Odoo'!L2971="","",'Ordenes_Odoo'!L2971)</f>
        <v/>
      </c>
      <c r="M2971" s="79">
        <f>IF('Ordenes_Odoo'!M2971="","",'Ordenes_Odoo'!M2971)</f>
        <v/>
      </c>
      <c r="N2971" s="79">
        <f>IF('Ordenes_Odoo'!N2971="","",'Ordenes_Odoo'!N2971)</f>
        <v/>
      </c>
      <c r="O2971" s="81">
        <f>IF('Ordenes_Odoo'!O2971="","",'Ordenes_Odoo'!O2971)</f>
        <v/>
      </c>
      <c r="P2971" s="81">
        <f>IF('Ordenes_Odoo'!P2971="","",'Ordenes_Odoo'!P2971)</f>
        <v/>
      </c>
      <c r="Q2971" s="79">
        <f>IF(A2971="","",IFERROR(INDEX(Facturas_Odoo!$B:$B, MATCH(A2971, Facturas_Odoo!$D:$D, 0)), "Sin Factura"))</f>
        <v/>
      </c>
      <c r="R2971" s="80">
        <f>IF(Q2971="Sin Factura","",IFERROR(INDEX(Facturas_Odoo!$A:$A, MATCH(Q2971, Facturas_Odoo!$B:$B, 0)), ""))</f>
        <v/>
      </c>
      <c r="S2971" s="79">
        <f>IF(Q2971="Sin Factura","",IFERROR(_xlfn.XLOOKUP(1, (Facturas_Odoo!$D:$D=A2971) * (Facturas_Odoo!$K:$K=I2971), Facturas_Odoo!$L:$L, ""), ""))</f>
        <v/>
      </c>
      <c r="T2971" s="81">
        <f>IF(Q2971="Sin Factura",0,IFERROR(_xlfn.XLOOKUP(1, (Facturas_Odoo!$D:$D=A2971) * (Facturas_Odoo!$K:$K=I2971), Facturas_Odoo!$M:$M, 0), 0))</f>
        <v/>
      </c>
      <c r="U2971" s="79">
        <f>IF(Q2971="Sin Factura",0,IFERROR(_xlfn.XLOOKUP(1, (Facturas_Odoo!$D:$D=A2971) * (Facturas_Odoo!$K:$K=I2971), Facturas_Odoo!$N:$N, 0), 0))</f>
        <v/>
      </c>
      <c r="V2971" s="79">
        <f>IF(Q2971="Sin Factura",0,IFERROR(_xlfn.XLOOKUP(1, (Facturas_Odoo!$D:$D=A2971) * (Facturas_Odoo!$K:$K=I2971), Facturas_Odoo!$O:$O, 0), 0))</f>
        <v/>
      </c>
      <c r="W2971" s="81">
        <f>IF(Q2971="Sin Factura",0,IFERROR(_xlfn.XLOOKUP(1, (Facturas_Odoo!$D:$D=A2971) * (Facturas_Odoo!$K:$K=I2971), Facturas_Odoo!$Q:$Q, 0), 0))</f>
        <v/>
      </c>
      <c r="X2971" s="79">
        <f>IF(OR(Q2971="Sin Factura",Q2971=""),"",IFERROR(INDEX(Pagos_Odoo!$B:$B, MATCH(Q2971, Pagos_Odoo!$I:$I, 0)), "Sin Pago"))</f>
        <v/>
      </c>
      <c r="Y2971" s="79">
        <f>IF(X2971="Sin Pago","",IFERROR(INDEX(Pagos_Odoo!$C:$C, MATCH(X2971, Pagos_Odoo!$B:$B, 0)), ""))</f>
        <v/>
      </c>
      <c r="Z2971" s="80">
        <f>IF(X2971="Sin Pago","",IFERROR(INDEX(Pagos_Odoo!$A:$A, MATCH(X2971, Pagos_Odoo!$B:$B, 0)), ""))</f>
        <v/>
      </c>
      <c r="AA2971" s="79">
        <f>IF(X2971="Sin Pago","",IFERROR(INDEX(Pagos_Odoo!$F:$F, MATCH(X2971, Pagos_Odoo!$B:$B, 0)), ""))</f>
        <v/>
      </c>
      <c r="AB2971" s="81">
        <f>IF(X2971="Sin Pago",0,IFERROR(INDEX(Pagos_Odoo!$E:$E, MATCH(X2971, Pagos_Odoo!$B:$B, 0)), 0))</f>
        <v/>
      </c>
      <c r="AC2971" s="79">
        <f>IF(X2971="Sin Pago","",IFERROR(INDEX(Pagos_Odoo!$G:$G, MATCH(X2971, Pagos_Odoo!$B:$B, 0)), ""))</f>
        <v/>
      </c>
      <c r="AD2971" s="82" t="n">
        <v>0</v>
      </c>
      <c r="AE2971" s="82" t="n"/>
      <c r="AF2971" s="82" t="n"/>
      <c r="AG2971" s="82">
        <f>IF(AN2971="","",AD2971+AE2971+AF2971)</f>
        <v/>
      </c>
      <c r="AH2971" s="81">
        <f>IF(AN2971="","",P2971*(1-AG2971))</f>
        <v/>
      </c>
      <c r="AI2971" s="81">
        <f>IF(AN2971="","",IF(Q2971="Sin Factura",0,IFERROR(INDEX(Facturas_Odoo!$H:$H, MATCH(Q2971, Facturas_Odoo!$B:$B, 0)), 0)*(1-AG2971)))</f>
        <v/>
      </c>
      <c r="AJ2971" s="81">
        <f>IF(AN2971="","",_xlfn.LET(idVenta, AN2971&amp;"",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71" s="81">
        <f>IF(AN2971="","",AH2971-AJ2971)</f>
        <v/>
      </c>
      <c r="AL2971" s="81">
        <f>IF(AN2971="","",IF(Q2971="Sin Factura","",AI2971-AJ2971))</f>
        <v/>
      </c>
      <c r="AM2971" s="81">
        <f>IF(AN2971="","",IF(Q2971="Sin Factura",0,P2971-IFERROR(INDEX(Facturas_Odoo!$H:$H, MATCH(Q2971, Facturas_Odoo!$B:$B, 0)), 0)))</f>
        <v/>
      </c>
      <c r="AN2971" s="79">
        <f>IF(AND(A2971="", J2971=""), "", IF(A2971&lt;&gt;"", VALUE(MID(A2971,2,LEN(A2971))), AN2970))</f>
        <v/>
      </c>
      <c r="AO2971" s="79">
        <f>IF(AN2971="","",IF(AD2971=0,"OK",_xlfn.LET(monedaPago, IF(AA2971="","USD",AA2971), limitePermitido, IFERROR(VLOOKUP(monedaPago, Configuración!$A$2:$B$3, 2, FALSE), 0.15), IF(AD2971&gt;limitePermitido, "ALERTA: EXCESO (" &amp; TEXT(limitePermitido, "0%") &amp; " máx)", "OK"))))</f>
        <v/>
      </c>
      <c r="AP2971" s="79">
        <f>IF(AN2971="","",IF(AE2971=0,"OK",_xlfn.LET(fechaPago, Z2971, fechaFactura, R2971, diasCredito, IF(E2971="Pago inmediato", 0, IFERROR(VALUE(MID(E2971, 1, SEARCH(" ", E2971)-1)),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71" s="79">
        <f>IF(AN2971="","",IF(AND(N2971&gt;0, AG2971&gt;0), IF(Configuración!$K$2="NO", "ALERTA: DESCUENTO DOBLE NO PERMITIDO", "OK"), "OK"))</f>
        <v/>
      </c>
      <c r="AR2971" s="79">
        <f>IF(AN2971="","",IF(OR(AO2971&lt;&gt;"OK", AP2971&lt;&gt;"OK", AQ2971&lt;&gt;"OK"), "⚠️ REVISAR", "OK"))</f>
        <v/>
      </c>
    </row>
    <row r="2972">
      <c r="A2972" s="79">
        <f>IF('Ordenes_Odoo'!A2972="","",'Ordenes_Odoo'!A2972)</f>
        <v/>
      </c>
      <c r="B2972" s="80">
        <f>IF('Ordenes_Odoo'!B2972="","",'Ordenes_Odoo'!B2972)</f>
        <v/>
      </c>
      <c r="C2972" s="79">
        <f>IF('Ordenes_Odoo'!C2972="","",'Ordenes_Odoo'!C2972)</f>
        <v/>
      </c>
      <c r="D2972" s="79">
        <f>IF('Ordenes_Odoo'!D2972="","",'Ordenes_Odoo'!D2972)</f>
        <v/>
      </c>
      <c r="E2972" s="79">
        <f>IF('Ordenes_Odoo'!E2972="","",'Ordenes_Odoo'!E2972)</f>
        <v/>
      </c>
      <c r="F2972" s="79">
        <f>IF('Ordenes_Odoo'!F2972="","",'Ordenes_Odoo'!F2972)</f>
        <v/>
      </c>
      <c r="G2972" s="79">
        <f>IF('Ordenes_Odoo'!G2972="","",'Ordenes_Odoo'!G2972)</f>
        <v/>
      </c>
      <c r="H2972" s="79">
        <f>IF('Ordenes_Odoo'!H2972="","",'Ordenes_Odoo'!H2972)</f>
        <v/>
      </c>
      <c r="I2972" s="79">
        <f>IF('Ordenes_Odoo'!I2972="","",'Ordenes_Odoo'!I2972)</f>
        <v/>
      </c>
      <c r="J2972" s="79">
        <f>IF('Ordenes_Odoo'!J2972="","",'Ordenes_Odoo'!J2972)</f>
        <v/>
      </c>
      <c r="K2972" s="81">
        <f>IF('Ordenes_Odoo'!K2972="","",'Ordenes_Odoo'!K2972)</f>
        <v/>
      </c>
      <c r="L2972" s="81">
        <f>IF('Ordenes_Odoo'!L2972="","",'Ordenes_Odoo'!L2972)</f>
        <v/>
      </c>
      <c r="M2972" s="79">
        <f>IF('Ordenes_Odoo'!M2972="","",'Ordenes_Odoo'!M2972)</f>
        <v/>
      </c>
      <c r="N2972" s="79">
        <f>IF('Ordenes_Odoo'!N2972="","",'Ordenes_Odoo'!N2972)</f>
        <v/>
      </c>
      <c r="O2972" s="81">
        <f>IF('Ordenes_Odoo'!O2972="","",'Ordenes_Odoo'!O2972)</f>
        <v/>
      </c>
      <c r="P2972" s="81">
        <f>IF('Ordenes_Odoo'!P2972="","",'Ordenes_Odoo'!P2972)</f>
        <v/>
      </c>
      <c r="Q2972" s="79">
        <f>IF(A2972="","",IFERROR(INDEX(Facturas_Odoo!$B:$B, MATCH(A2972, Facturas_Odoo!$D:$D, 0)), "Sin Factura"))</f>
        <v/>
      </c>
      <c r="R2972" s="80">
        <f>IF(Q2972="Sin Factura","",IFERROR(INDEX(Facturas_Odoo!$A:$A, MATCH(Q2972, Facturas_Odoo!$B:$B, 0)), ""))</f>
        <v/>
      </c>
      <c r="S2972" s="79">
        <f>IF(Q2972="Sin Factura","",IFERROR(_xlfn.XLOOKUP(1, (Facturas_Odoo!$D:$D=A2972) * (Facturas_Odoo!$K:$K=I2972), Facturas_Odoo!$L:$L, ""), ""))</f>
        <v/>
      </c>
      <c r="T2972" s="81">
        <f>IF(Q2972="Sin Factura",0,IFERROR(_xlfn.XLOOKUP(1, (Facturas_Odoo!$D:$D=A2972) * (Facturas_Odoo!$K:$K=I2972), Facturas_Odoo!$M:$M, 0), 0))</f>
        <v/>
      </c>
      <c r="U2972" s="79">
        <f>IF(Q2972="Sin Factura",0,IFERROR(_xlfn.XLOOKUP(1, (Facturas_Odoo!$D:$D=A2972) * (Facturas_Odoo!$K:$K=I2972), Facturas_Odoo!$N:$N, 0), 0))</f>
        <v/>
      </c>
      <c r="V2972" s="79">
        <f>IF(Q2972="Sin Factura",0,IFERROR(_xlfn.XLOOKUP(1, (Facturas_Odoo!$D:$D=A2972) * (Facturas_Odoo!$K:$K=I2972), Facturas_Odoo!$O:$O, 0), 0))</f>
        <v/>
      </c>
      <c r="W2972" s="81">
        <f>IF(Q2972="Sin Factura",0,IFERROR(_xlfn.XLOOKUP(1, (Facturas_Odoo!$D:$D=A2972) * (Facturas_Odoo!$K:$K=I2972), Facturas_Odoo!$Q:$Q, 0), 0))</f>
        <v/>
      </c>
      <c r="X2972" s="79">
        <f>IF(OR(Q2972="Sin Factura",Q2972=""),"",IFERROR(INDEX(Pagos_Odoo!$B:$B, MATCH(Q2972, Pagos_Odoo!$I:$I, 0)), "Sin Pago"))</f>
        <v/>
      </c>
      <c r="Y2972" s="79">
        <f>IF(X2972="Sin Pago","",IFERROR(INDEX(Pagos_Odoo!$C:$C, MATCH(X2972, Pagos_Odoo!$B:$B, 0)), ""))</f>
        <v/>
      </c>
      <c r="Z2972" s="80">
        <f>IF(X2972="Sin Pago","",IFERROR(INDEX(Pagos_Odoo!$A:$A, MATCH(X2972, Pagos_Odoo!$B:$B, 0)), ""))</f>
        <v/>
      </c>
      <c r="AA2972" s="79">
        <f>IF(X2972="Sin Pago","",IFERROR(INDEX(Pagos_Odoo!$F:$F, MATCH(X2972, Pagos_Odoo!$B:$B, 0)), ""))</f>
        <v/>
      </c>
      <c r="AB2972" s="81">
        <f>IF(X2972="Sin Pago",0,IFERROR(INDEX(Pagos_Odoo!$E:$E, MATCH(X2972, Pagos_Odoo!$B:$B, 0)), 0))</f>
        <v/>
      </c>
      <c r="AC2972" s="79">
        <f>IF(X2972="Sin Pago","",IFERROR(INDEX(Pagos_Odoo!$G:$G, MATCH(X2972, Pagos_Odoo!$B:$B, 0)), ""))</f>
        <v/>
      </c>
      <c r="AD2972" s="82" t="n">
        <v>0</v>
      </c>
      <c r="AE2972" s="82" t="n"/>
      <c r="AF2972" s="82" t="n"/>
      <c r="AG2972" s="82">
        <f>IF(AN2972="","",AD2972+AE2972+AF2972)</f>
        <v/>
      </c>
      <c r="AH2972" s="81">
        <f>IF(AN2972="","",P2972*(1-AG2972))</f>
        <v/>
      </c>
      <c r="AI2972" s="81">
        <f>IF(AN2972="","",IF(Q2972="Sin Factura",0,IFERROR(INDEX(Facturas_Odoo!$H:$H, MATCH(Q2972, Facturas_Odoo!$B:$B, 0)), 0)*(1-AG2972)))</f>
        <v/>
      </c>
      <c r="AJ2972" s="81">
        <f>IF(AN2972="","",_xlfn.LET(idVenta, AN2972&amp;"",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72" s="81">
        <f>IF(AN2972="","",AH2972-AJ2972)</f>
        <v/>
      </c>
      <c r="AL2972" s="81">
        <f>IF(AN2972="","",IF(Q2972="Sin Factura","",AI2972-AJ2972))</f>
        <v/>
      </c>
      <c r="AM2972" s="81">
        <f>IF(AN2972="","",IF(Q2972="Sin Factura",0,P2972-IFERROR(INDEX(Facturas_Odoo!$H:$H, MATCH(Q2972, Facturas_Odoo!$B:$B, 0)), 0)))</f>
        <v/>
      </c>
      <c r="AN2972" s="79">
        <f>IF(AND(A2972="", J2972=""), "", IF(A2972&lt;&gt;"", VALUE(MID(A2972,2,LEN(A2972))), AN2971))</f>
        <v/>
      </c>
      <c r="AO2972" s="79">
        <f>IF(AN2972="","",IF(AD2972=0,"OK",_xlfn.LET(monedaPago, IF(AA2972="","USD",AA2972), limitePermitido, IFERROR(VLOOKUP(monedaPago, Configuración!$A$2:$B$3, 2, FALSE), 0.15), IF(AD2972&gt;limitePermitido, "ALERTA: EXCESO (" &amp; TEXT(limitePermitido, "0%") &amp; " máx)", "OK"))))</f>
        <v/>
      </c>
      <c r="AP2972" s="79">
        <f>IF(AN2972="","",IF(AE2972=0,"OK",_xlfn.LET(fechaPago, Z2972, fechaFactura, R2972, diasCredito, IF(E2972="Pago inmediato", 0, IFERROR(VALUE(MID(E2972, 1, SEARCH(" ", E2972)-1)),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72" s="79">
        <f>IF(AN2972="","",IF(AND(N2972&gt;0, AG2972&gt;0), IF(Configuración!$K$2="NO", "ALERTA: DESCUENTO DOBLE NO PERMITIDO", "OK"), "OK"))</f>
        <v/>
      </c>
      <c r="AR2972" s="79">
        <f>IF(AN2972="","",IF(OR(AO2972&lt;&gt;"OK", AP2972&lt;&gt;"OK", AQ2972&lt;&gt;"OK"), "⚠️ REVISAR", "OK"))</f>
        <v/>
      </c>
    </row>
    <row r="2973">
      <c r="A2973" s="79">
        <f>IF('Ordenes_Odoo'!A2973="","",'Ordenes_Odoo'!A2973)</f>
        <v/>
      </c>
      <c r="B2973" s="80">
        <f>IF('Ordenes_Odoo'!B2973="","",'Ordenes_Odoo'!B2973)</f>
        <v/>
      </c>
      <c r="C2973" s="79">
        <f>IF('Ordenes_Odoo'!C2973="","",'Ordenes_Odoo'!C2973)</f>
        <v/>
      </c>
      <c r="D2973" s="79">
        <f>IF('Ordenes_Odoo'!D2973="","",'Ordenes_Odoo'!D2973)</f>
        <v/>
      </c>
      <c r="E2973" s="79">
        <f>IF('Ordenes_Odoo'!E2973="","",'Ordenes_Odoo'!E2973)</f>
        <v/>
      </c>
      <c r="F2973" s="79">
        <f>IF('Ordenes_Odoo'!F2973="","",'Ordenes_Odoo'!F2973)</f>
        <v/>
      </c>
      <c r="G2973" s="79">
        <f>IF('Ordenes_Odoo'!G2973="","",'Ordenes_Odoo'!G2973)</f>
        <v/>
      </c>
      <c r="H2973" s="79">
        <f>IF('Ordenes_Odoo'!H2973="","",'Ordenes_Odoo'!H2973)</f>
        <v/>
      </c>
      <c r="I2973" s="79">
        <f>IF('Ordenes_Odoo'!I2973="","",'Ordenes_Odoo'!I2973)</f>
        <v/>
      </c>
      <c r="J2973" s="79">
        <f>IF('Ordenes_Odoo'!J2973="","",'Ordenes_Odoo'!J2973)</f>
        <v/>
      </c>
      <c r="K2973" s="81">
        <f>IF('Ordenes_Odoo'!K2973="","",'Ordenes_Odoo'!K2973)</f>
        <v/>
      </c>
      <c r="L2973" s="81">
        <f>IF('Ordenes_Odoo'!L2973="","",'Ordenes_Odoo'!L2973)</f>
        <v/>
      </c>
      <c r="M2973" s="79">
        <f>IF('Ordenes_Odoo'!M2973="","",'Ordenes_Odoo'!M2973)</f>
        <v/>
      </c>
      <c r="N2973" s="79">
        <f>IF('Ordenes_Odoo'!N2973="","",'Ordenes_Odoo'!N2973)</f>
        <v/>
      </c>
      <c r="O2973" s="81">
        <f>IF('Ordenes_Odoo'!O2973="","",'Ordenes_Odoo'!O2973)</f>
        <v/>
      </c>
      <c r="P2973" s="81">
        <f>IF('Ordenes_Odoo'!P2973="","",'Ordenes_Odoo'!P2973)</f>
        <v/>
      </c>
      <c r="Q2973" s="79">
        <f>IF(A2973="","",IFERROR(INDEX(Facturas_Odoo!$B:$B, MATCH(A2973, Facturas_Odoo!$D:$D, 0)), "Sin Factura"))</f>
        <v/>
      </c>
      <c r="R2973" s="80">
        <f>IF(Q2973="Sin Factura","",IFERROR(INDEX(Facturas_Odoo!$A:$A, MATCH(Q2973, Facturas_Odoo!$B:$B, 0)), ""))</f>
        <v/>
      </c>
      <c r="S2973" s="79">
        <f>IF(Q2973="Sin Factura","",IFERROR(_xlfn.XLOOKUP(1, (Facturas_Odoo!$D:$D=A2973) * (Facturas_Odoo!$K:$K=I2973), Facturas_Odoo!$L:$L, ""), ""))</f>
        <v/>
      </c>
      <c r="T2973" s="81">
        <f>IF(Q2973="Sin Factura",0,IFERROR(_xlfn.XLOOKUP(1, (Facturas_Odoo!$D:$D=A2973) * (Facturas_Odoo!$K:$K=I2973), Facturas_Odoo!$M:$M, 0), 0))</f>
        <v/>
      </c>
      <c r="U2973" s="79">
        <f>IF(Q2973="Sin Factura",0,IFERROR(_xlfn.XLOOKUP(1, (Facturas_Odoo!$D:$D=A2973) * (Facturas_Odoo!$K:$K=I2973), Facturas_Odoo!$N:$N, 0), 0))</f>
        <v/>
      </c>
      <c r="V2973" s="79">
        <f>IF(Q2973="Sin Factura",0,IFERROR(_xlfn.XLOOKUP(1, (Facturas_Odoo!$D:$D=A2973) * (Facturas_Odoo!$K:$K=I2973), Facturas_Odoo!$O:$O, 0), 0))</f>
        <v/>
      </c>
      <c r="W2973" s="81">
        <f>IF(Q2973="Sin Factura",0,IFERROR(_xlfn.XLOOKUP(1, (Facturas_Odoo!$D:$D=A2973) * (Facturas_Odoo!$K:$K=I2973), Facturas_Odoo!$Q:$Q, 0), 0))</f>
        <v/>
      </c>
      <c r="X2973" s="79">
        <f>IF(OR(Q2973="Sin Factura",Q2973=""),"",IFERROR(INDEX(Pagos_Odoo!$B:$B, MATCH(Q2973, Pagos_Odoo!$I:$I, 0)), "Sin Pago"))</f>
        <v/>
      </c>
      <c r="Y2973" s="79">
        <f>IF(X2973="Sin Pago","",IFERROR(INDEX(Pagos_Odoo!$C:$C, MATCH(X2973, Pagos_Odoo!$B:$B, 0)), ""))</f>
        <v/>
      </c>
      <c r="Z2973" s="80">
        <f>IF(X2973="Sin Pago","",IFERROR(INDEX(Pagos_Odoo!$A:$A, MATCH(X2973, Pagos_Odoo!$B:$B, 0)), ""))</f>
        <v/>
      </c>
      <c r="AA2973" s="79">
        <f>IF(X2973="Sin Pago","",IFERROR(INDEX(Pagos_Odoo!$F:$F, MATCH(X2973, Pagos_Odoo!$B:$B, 0)), ""))</f>
        <v/>
      </c>
      <c r="AB2973" s="81">
        <f>IF(X2973="Sin Pago",0,IFERROR(INDEX(Pagos_Odoo!$E:$E, MATCH(X2973, Pagos_Odoo!$B:$B, 0)), 0))</f>
        <v/>
      </c>
      <c r="AC2973" s="79">
        <f>IF(X2973="Sin Pago","",IFERROR(INDEX(Pagos_Odoo!$G:$G, MATCH(X2973, Pagos_Odoo!$B:$B, 0)), ""))</f>
        <v/>
      </c>
      <c r="AD2973" s="82" t="n">
        <v>0</v>
      </c>
      <c r="AE2973" s="82" t="n"/>
      <c r="AF2973" s="82" t="n"/>
      <c r="AG2973" s="82">
        <f>IF(AN2973="","",AD2973+AE2973+AF2973)</f>
        <v/>
      </c>
      <c r="AH2973" s="81">
        <f>IF(AN2973="","",P2973*(1-AG2973))</f>
        <v/>
      </c>
      <c r="AI2973" s="81">
        <f>IF(AN2973="","",IF(Q2973="Sin Factura",0,IFERROR(INDEX(Facturas_Odoo!$H:$H, MATCH(Q2973, Facturas_Odoo!$B:$B, 0)), 0)*(1-AG2973)))</f>
        <v/>
      </c>
      <c r="AJ2973" s="81">
        <f>IF(AN2973="","",_xlfn.LET(idVenta, AN2973&amp;"",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73" s="81">
        <f>IF(AN2973="","",AH2973-AJ2973)</f>
        <v/>
      </c>
      <c r="AL2973" s="81">
        <f>IF(AN2973="","",IF(Q2973="Sin Factura","",AI2973-AJ2973))</f>
        <v/>
      </c>
      <c r="AM2973" s="81">
        <f>IF(AN2973="","",IF(Q2973="Sin Factura",0,P2973-IFERROR(INDEX(Facturas_Odoo!$H:$H, MATCH(Q2973, Facturas_Odoo!$B:$B, 0)), 0)))</f>
        <v/>
      </c>
      <c r="AN2973" s="79">
        <f>IF(AND(A2973="", J2973=""), "", IF(A2973&lt;&gt;"", VALUE(MID(A2973,2,LEN(A2973))), AN2972))</f>
        <v/>
      </c>
      <c r="AO2973" s="79">
        <f>IF(AN2973="","",IF(AD2973=0,"OK",_xlfn.LET(monedaPago, IF(AA2973="","USD",AA2973), limitePermitido, IFERROR(VLOOKUP(monedaPago, Configuración!$A$2:$B$3, 2, FALSE), 0.15), IF(AD2973&gt;limitePermitido, "ALERTA: EXCESO (" &amp; TEXT(limitePermitido, "0%") &amp; " máx)", "OK"))))</f>
        <v/>
      </c>
      <c r="AP2973" s="79">
        <f>IF(AN2973="","",IF(AE2973=0,"OK",_xlfn.LET(fechaPago, Z2973, fechaFactura, R2973, diasCredito, IF(E2973="Pago inmediato", 0, IFERROR(VALUE(MID(E2973, 1, SEARCH(" ", E2973)-1)),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73" s="79">
        <f>IF(AN2973="","",IF(AND(N2973&gt;0, AG2973&gt;0), IF(Configuración!$K$2="NO", "ALERTA: DESCUENTO DOBLE NO PERMITIDO", "OK"), "OK"))</f>
        <v/>
      </c>
      <c r="AR2973" s="79">
        <f>IF(AN2973="","",IF(OR(AO2973&lt;&gt;"OK", AP2973&lt;&gt;"OK", AQ2973&lt;&gt;"OK"), "⚠️ REVISAR", "OK"))</f>
        <v/>
      </c>
    </row>
    <row r="2974">
      <c r="A2974" s="79">
        <f>IF('Ordenes_Odoo'!A2974="","",'Ordenes_Odoo'!A2974)</f>
        <v/>
      </c>
      <c r="B2974" s="80">
        <f>IF('Ordenes_Odoo'!B2974="","",'Ordenes_Odoo'!B2974)</f>
        <v/>
      </c>
      <c r="C2974" s="79">
        <f>IF('Ordenes_Odoo'!C2974="","",'Ordenes_Odoo'!C2974)</f>
        <v/>
      </c>
      <c r="D2974" s="79">
        <f>IF('Ordenes_Odoo'!D2974="","",'Ordenes_Odoo'!D2974)</f>
        <v/>
      </c>
      <c r="E2974" s="79">
        <f>IF('Ordenes_Odoo'!E2974="","",'Ordenes_Odoo'!E2974)</f>
        <v/>
      </c>
      <c r="F2974" s="79">
        <f>IF('Ordenes_Odoo'!F2974="","",'Ordenes_Odoo'!F2974)</f>
        <v/>
      </c>
      <c r="G2974" s="79">
        <f>IF('Ordenes_Odoo'!G2974="","",'Ordenes_Odoo'!G2974)</f>
        <v/>
      </c>
      <c r="H2974" s="79">
        <f>IF('Ordenes_Odoo'!H2974="","",'Ordenes_Odoo'!H2974)</f>
        <v/>
      </c>
      <c r="I2974" s="79">
        <f>IF('Ordenes_Odoo'!I2974="","",'Ordenes_Odoo'!I2974)</f>
        <v/>
      </c>
      <c r="J2974" s="79">
        <f>IF('Ordenes_Odoo'!J2974="","",'Ordenes_Odoo'!J2974)</f>
        <v/>
      </c>
      <c r="K2974" s="81">
        <f>IF('Ordenes_Odoo'!K2974="","",'Ordenes_Odoo'!K2974)</f>
        <v/>
      </c>
      <c r="L2974" s="81">
        <f>IF('Ordenes_Odoo'!L2974="","",'Ordenes_Odoo'!L2974)</f>
        <v/>
      </c>
      <c r="M2974" s="79">
        <f>IF('Ordenes_Odoo'!M2974="","",'Ordenes_Odoo'!M2974)</f>
        <v/>
      </c>
      <c r="N2974" s="79">
        <f>IF('Ordenes_Odoo'!N2974="","",'Ordenes_Odoo'!N2974)</f>
        <v/>
      </c>
      <c r="O2974" s="81">
        <f>IF('Ordenes_Odoo'!O2974="","",'Ordenes_Odoo'!O2974)</f>
        <v/>
      </c>
      <c r="P2974" s="81">
        <f>IF('Ordenes_Odoo'!P2974="","",'Ordenes_Odoo'!P2974)</f>
        <v/>
      </c>
      <c r="Q2974" s="79">
        <f>IF(A2974="","",IFERROR(INDEX(Facturas_Odoo!$B:$B, MATCH(A2974, Facturas_Odoo!$D:$D, 0)), "Sin Factura"))</f>
        <v/>
      </c>
      <c r="R2974" s="80">
        <f>IF(Q2974="Sin Factura","",IFERROR(INDEX(Facturas_Odoo!$A:$A, MATCH(Q2974, Facturas_Odoo!$B:$B, 0)), ""))</f>
        <v/>
      </c>
      <c r="S2974" s="79">
        <f>IF(Q2974="Sin Factura","",IFERROR(_xlfn.XLOOKUP(1, (Facturas_Odoo!$D:$D=A2974) * (Facturas_Odoo!$K:$K=I2974), Facturas_Odoo!$L:$L, ""), ""))</f>
        <v/>
      </c>
      <c r="T2974" s="81">
        <f>IF(Q2974="Sin Factura",0,IFERROR(_xlfn.XLOOKUP(1, (Facturas_Odoo!$D:$D=A2974) * (Facturas_Odoo!$K:$K=I2974), Facturas_Odoo!$M:$M, 0), 0))</f>
        <v/>
      </c>
      <c r="U2974" s="79">
        <f>IF(Q2974="Sin Factura",0,IFERROR(_xlfn.XLOOKUP(1, (Facturas_Odoo!$D:$D=A2974) * (Facturas_Odoo!$K:$K=I2974), Facturas_Odoo!$N:$N, 0), 0))</f>
        <v/>
      </c>
      <c r="V2974" s="79">
        <f>IF(Q2974="Sin Factura",0,IFERROR(_xlfn.XLOOKUP(1, (Facturas_Odoo!$D:$D=A2974) * (Facturas_Odoo!$K:$K=I2974), Facturas_Odoo!$O:$O, 0), 0))</f>
        <v/>
      </c>
      <c r="W2974" s="81">
        <f>IF(Q2974="Sin Factura",0,IFERROR(_xlfn.XLOOKUP(1, (Facturas_Odoo!$D:$D=A2974) * (Facturas_Odoo!$K:$K=I2974), Facturas_Odoo!$Q:$Q, 0), 0))</f>
        <v/>
      </c>
      <c r="X2974" s="79">
        <f>IF(OR(Q2974="Sin Factura",Q2974=""),"",IFERROR(INDEX(Pagos_Odoo!$B:$B, MATCH(Q2974, Pagos_Odoo!$I:$I, 0)), "Sin Pago"))</f>
        <v/>
      </c>
      <c r="Y2974" s="79">
        <f>IF(X2974="Sin Pago","",IFERROR(INDEX(Pagos_Odoo!$C:$C, MATCH(X2974, Pagos_Odoo!$B:$B, 0)), ""))</f>
        <v/>
      </c>
      <c r="Z2974" s="80">
        <f>IF(X2974="Sin Pago","",IFERROR(INDEX(Pagos_Odoo!$A:$A, MATCH(X2974, Pagos_Odoo!$B:$B, 0)), ""))</f>
        <v/>
      </c>
      <c r="AA2974" s="79">
        <f>IF(X2974="Sin Pago","",IFERROR(INDEX(Pagos_Odoo!$F:$F, MATCH(X2974, Pagos_Odoo!$B:$B, 0)), ""))</f>
        <v/>
      </c>
      <c r="AB2974" s="81">
        <f>IF(X2974="Sin Pago",0,IFERROR(INDEX(Pagos_Odoo!$E:$E, MATCH(X2974, Pagos_Odoo!$B:$B, 0)), 0))</f>
        <v/>
      </c>
      <c r="AC2974" s="79">
        <f>IF(X2974="Sin Pago","",IFERROR(INDEX(Pagos_Odoo!$G:$G, MATCH(X2974, Pagos_Odoo!$B:$B, 0)), ""))</f>
        <v/>
      </c>
      <c r="AD2974" s="82" t="n">
        <v>0</v>
      </c>
      <c r="AE2974" s="82" t="n"/>
      <c r="AF2974" s="82" t="n"/>
      <c r="AG2974" s="82">
        <f>IF(AN2974="","",AD2974+AE2974+AF2974)</f>
        <v/>
      </c>
      <c r="AH2974" s="81">
        <f>IF(AN2974="","",P2974*(1-AG2974))</f>
        <v/>
      </c>
      <c r="AI2974" s="81">
        <f>IF(AN2974="","",IF(Q2974="Sin Factura",0,IFERROR(INDEX(Facturas_Odoo!$H:$H, MATCH(Q2974, Facturas_Odoo!$B:$B, 0)), 0)*(1-AG2974)))</f>
        <v/>
      </c>
      <c r="AJ2974" s="81">
        <f>IF(AN2974="","",_xlfn.LET(idVenta, AN2974&amp;"",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74" s="81">
        <f>IF(AN2974="","",AH2974-AJ2974)</f>
        <v/>
      </c>
      <c r="AL2974" s="81">
        <f>IF(AN2974="","",IF(Q2974="Sin Factura","",AI2974-AJ2974))</f>
        <v/>
      </c>
      <c r="AM2974" s="81">
        <f>IF(AN2974="","",IF(Q2974="Sin Factura",0,P2974-IFERROR(INDEX(Facturas_Odoo!$H:$H, MATCH(Q2974, Facturas_Odoo!$B:$B, 0)), 0)))</f>
        <v/>
      </c>
      <c r="AN2974" s="79">
        <f>IF(AND(A2974="", J2974=""), "", IF(A2974&lt;&gt;"", VALUE(MID(A2974,2,LEN(A2974))), AN2973))</f>
        <v/>
      </c>
      <c r="AO2974" s="79">
        <f>IF(AN2974="","",IF(AD2974=0,"OK",_xlfn.LET(monedaPago, IF(AA2974="","USD",AA2974), limitePermitido, IFERROR(VLOOKUP(monedaPago, Configuración!$A$2:$B$3, 2, FALSE), 0.15), IF(AD2974&gt;limitePermitido, "ALERTA: EXCESO (" &amp; TEXT(limitePermitido, "0%") &amp; " máx)", "OK"))))</f>
        <v/>
      </c>
      <c r="AP2974" s="79">
        <f>IF(AN2974="","",IF(AE2974=0,"OK",_xlfn.LET(fechaPago, Z2974, fechaFactura, R2974, diasCredito, IF(E2974="Pago inmediato", 0, IFERROR(VALUE(MID(E2974, 1, SEARCH(" ", E2974)-1)),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74" s="79">
        <f>IF(AN2974="","",IF(AND(N2974&gt;0, AG2974&gt;0), IF(Configuración!$K$2="NO", "ALERTA: DESCUENTO DOBLE NO PERMITIDO", "OK"), "OK"))</f>
        <v/>
      </c>
      <c r="AR2974" s="79">
        <f>IF(AN2974="","",IF(OR(AO2974&lt;&gt;"OK", AP2974&lt;&gt;"OK", AQ2974&lt;&gt;"OK"), "⚠️ REVISAR", "OK"))</f>
        <v/>
      </c>
    </row>
    <row r="2975">
      <c r="A2975" s="79">
        <f>IF('Ordenes_Odoo'!A2975="","",'Ordenes_Odoo'!A2975)</f>
        <v/>
      </c>
      <c r="B2975" s="80">
        <f>IF('Ordenes_Odoo'!B2975="","",'Ordenes_Odoo'!B2975)</f>
        <v/>
      </c>
      <c r="C2975" s="79">
        <f>IF('Ordenes_Odoo'!C2975="","",'Ordenes_Odoo'!C2975)</f>
        <v/>
      </c>
      <c r="D2975" s="79">
        <f>IF('Ordenes_Odoo'!D2975="","",'Ordenes_Odoo'!D2975)</f>
        <v/>
      </c>
      <c r="E2975" s="79">
        <f>IF('Ordenes_Odoo'!E2975="","",'Ordenes_Odoo'!E2975)</f>
        <v/>
      </c>
      <c r="F2975" s="79">
        <f>IF('Ordenes_Odoo'!F2975="","",'Ordenes_Odoo'!F2975)</f>
        <v/>
      </c>
      <c r="G2975" s="79">
        <f>IF('Ordenes_Odoo'!G2975="","",'Ordenes_Odoo'!G2975)</f>
        <v/>
      </c>
      <c r="H2975" s="79">
        <f>IF('Ordenes_Odoo'!H2975="","",'Ordenes_Odoo'!H2975)</f>
        <v/>
      </c>
      <c r="I2975" s="79">
        <f>IF('Ordenes_Odoo'!I2975="","",'Ordenes_Odoo'!I2975)</f>
        <v/>
      </c>
      <c r="J2975" s="79">
        <f>IF('Ordenes_Odoo'!J2975="","",'Ordenes_Odoo'!J2975)</f>
        <v/>
      </c>
      <c r="K2975" s="81">
        <f>IF('Ordenes_Odoo'!K2975="","",'Ordenes_Odoo'!K2975)</f>
        <v/>
      </c>
      <c r="L2975" s="81">
        <f>IF('Ordenes_Odoo'!L2975="","",'Ordenes_Odoo'!L2975)</f>
        <v/>
      </c>
      <c r="M2975" s="79">
        <f>IF('Ordenes_Odoo'!M2975="","",'Ordenes_Odoo'!M2975)</f>
        <v/>
      </c>
      <c r="N2975" s="79">
        <f>IF('Ordenes_Odoo'!N2975="","",'Ordenes_Odoo'!N2975)</f>
        <v/>
      </c>
      <c r="O2975" s="81">
        <f>IF('Ordenes_Odoo'!O2975="","",'Ordenes_Odoo'!O2975)</f>
        <v/>
      </c>
      <c r="P2975" s="81">
        <f>IF('Ordenes_Odoo'!P2975="","",'Ordenes_Odoo'!P2975)</f>
        <v/>
      </c>
      <c r="Q2975" s="79">
        <f>IF(A2975="","",IFERROR(INDEX(Facturas_Odoo!$B:$B, MATCH(A2975, Facturas_Odoo!$D:$D, 0)), "Sin Factura"))</f>
        <v/>
      </c>
      <c r="R2975" s="80">
        <f>IF(Q2975="Sin Factura","",IFERROR(INDEX(Facturas_Odoo!$A:$A, MATCH(Q2975, Facturas_Odoo!$B:$B, 0)), ""))</f>
        <v/>
      </c>
      <c r="S2975" s="79">
        <f>IF(Q2975="Sin Factura","",IFERROR(_xlfn.XLOOKUP(1, (Facturas_Odoo!$D:$D=A2975) * (Facturas_Odoo!$K:$K=I2975), Facturas_Odoo!$L:$L, ""), ""))</f>
        <v/>
      </c>
      <c r="T2975" s="81">
        <f>IF(Q2975="Sin Factura",0,IFERROR(_xlfn.XLOOKUP(1, (Facturas_Odoo!$D:$D=A2975) * (Facturas_Odoo!$K:$K=I2975), Facturas_Odoo!$M:$M, 0), 0))</f>
        <v/>
      </c>
      <c r="U2975" s="79">
        <f>IF(Q2975="Sin Factura",0,IFERROR(_xlfn.XLOOKUP(1, (Facturas_Odoo!$D:$D=A2975) * (Facturas_Odoo!$K:$K=I2975), Facturas_Odoo!$N:$N, 0), 0))</f>
        <v/>
      </c>
      <c r="V2975" s="79">
        <f>IF(Q2975="Sin Factura",0,IFERROR(_xlfn.XLOOKUP(1, (Facturas_Odoo!$D:$D=A2975) * (Facturas_Odoo!$K:$K=I2975), Facturas_Odoo!$O:$O, 0), 0))</f>
        <v/>
      </c>
      <c r="W2975" s="81">
        <f>IF(Q2975="Sin Factura",0,IFERROR(_xlfn.XLOOKUP(1, (Facturas_Odoo!$D:$D=A2975) * (Facturas_Odoo!$K:$K=I2975), Facturas_Odoo!$Q:$Q, 0), 0))</f>
        <v/>
      </c>
      <c r="X2975" s="79">
        <f>IF(OR(Q2975="Sin Factura",Q2975=""),"",IFERROR(INDEX(Pagos_Odoo!$B:$B, MATCH(Q2975, Pagos_Odoo!$I:$I, 0)), "Sin Pago"))</f>
        <v/>
      </c>
      <c r="Y2975" s="79">
        <f>IF(X2975="Sin Pago","",IFERROR(INDEX(Pagos_Odoo!$C:$C, MATCH(X2975, Pagos_Odoo!$B:$B, 0)), ""))</f>
        <v/>
      </c>
      <c r="Z2975" s="80">
        <f>IF(X2975="Sin Pago","",IFERROR(INDEX(Pagos_Odoo!$A:$A, MATCH(X2975, Pagos_Odoo!$B:$B, 0)), ""))</f>
        <v/>
      </c>
      <c r="AA2975" s="79">
        <f>IF(X2975="Sin Pago","",IFERROR(INDEX(Pagos_Odoo!$F:$F, MATCH(X2975, Pagos_Odoo!$B:$B, 0)), ""))</f>
        <v/>
      </c>
      <c r="AB2975" s="81">
        <f>IF(X2975="Sin Pago",0,IFERROR(INDEX(Pagos_Odoo!$E:$E, MATCH(X2975, Pagos_Odoo!$B:$B, 0)), 0))</f>
        <v/>
      </c>
      <c r="AC2975" s="79">
        <f>IF(X2975="Sin Pago","",IFERROR(INDEX(Pagos_Odoo!$G:$G, MATCH(X2975, Pagos_Odoo!$B:$B, 0)), ""))</f>
        <v/>
      </c>
      <c r="AD2975" s="82" t="n">
        <v>0</v>
      </c>
      <c r="AE2975" s="82" t="n"/>
      <c r="AF2975" s="82" t="n"/>
      <c r="AG2975" s="82">
        <f>IF(AN2975="","",AD2975+AE2975+AF2975)</f>
        <v/>
      </c>
      <c r="AH2975" s="81">
        <f>IF(AN2975="","",P2975*(1-AG2975))</f>
        <v/>
      </c>
      <c r="AI2975" s="81">
        <f>IF(AN2975="","",IF(Q2975="Sin Factura",0,IFERROR(INDEX(Facturas_Odoo!$H:$H, MATCH(Q2975, Facturas_Odoo!$B:$B, 0)), 0)*(1-AG2975)))</f>
        <v/>
      </c>
      <c r="AJ2975" s="81">
        <f>IF(AN2975="","",_xlfn.LET(idVenta, AN2975&amp;"",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75" s="81">
        <f>IF(AN2975="","",AH2975-AJ2975)</f>
        <v/>
      </c>
      <c r="AL2975" s="81">
        <f>IF(AN2975="","",IF(Q2975="Sin Factura","",AI2975-AJ2975))</f>
        <v/>
      </c>
      <c r="AM2975" s="81">
        <f>IF(AN2975="","",IF(Q2975="Sin Factura",0,P2975-IFERROR(INDEX(Facturas_Odoo!$H:$H, MATCH(Q2975, Facturas_Odoo!$B:$B, 0)), 0)))</f>
        <v/>
      </c>
      <c r="AN2975" s="79">
        <f>IF(AND(A2975="", J2975=""), "", IF(A2975&lt;&gt;"", VALUE(MID(A2975,2,LEN(A2975))), AN2974))</f>
        <v/>
      </c>
      <c r="AO2975" s="79">
        <f>IF(AN2975="","",IF(AD2975=0,"OK",_xlfn.LET(monedaPago, IF(AA2975="","USD",AA2975), limitePermitido, IFERROR(VLOOKUP(monedaPago, Configuración!$A$2:$B$3, 2, FALSE), 0.15), IF(AD2975&gt;limitePermitido, "ALERTA: EXCESO (" &amp; TEXT(limitePermitido, "0%") &amp; " máx)", "OK"))))</f>
        <v/>
      </c>
      <c r="AP2975" s="79">
        <f>IF(AN2975="","",IF(AE2975=0,"OK",_xlfn.LET(fechaPago, Z2975, fechaFactura, R2975, diasCredito, IF(E2975="Pago inmediato", 0, IFERROR(VALUE(MID(E2975, 1, SEARCH(" ", E2975)-1)),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75" s="79">
        <f>IF(AN2975="","",IF(AND(N2975&gt;0, AG2975&gt;0), IF(Configuración!$K$2="NO", "ALERTA: DESCUENTO DOBLE NO PERMITIDO", "OK"), "OK"))</f>
        <v/>
      </c>
      <c r="AR2975" s="79">
        <f>IF(AN2975="","",IF(OR(AO2975&lt;&gt;"OK", AP2975&lt;&gt;"OK", AQ2975&lt;&gt;"OK"), "⚠️ REVISAR", "OK"))</f>
        <v/>
      </c>
    </row>
    <row r="2976">
      <c r="A2976" s="79">
        <f>IF('Ordenes_Odoo'!A2976="","",'Ordenes_Odoo'!A2976)</f>
        <v/>
      </c>
      <c r="B2976" s="80">
        <f>IF('Ordenes_Odoo'!B2976="","",'Ordenes_Odoo'!B2976)</f>
        <v/>
      </c>
      <c r="C2976" s="79">
        <f>IF('Ordenes_Odoo'!C2976="","",'Ordenes_Odoo'!C2976)</f>
        <v/>
      </c>
      <c r="D2976" s="79">
        <f>IF('Ordenes_Odoo'!D2976="","",'Ordenes_Odoo'!D2976)</f>
        <v/>
      </c>
      <c r="E2976" s="79">
        <f>IF('Ordenes_Odoo'!E2976="","",'Ordenes_Odoo'!E2976)</f>
        <v/>
      </c>
      <c r="F2976" s="79">
        <f>IF('Ordenes_Odoo'!F2976="","",'Ordenes_Odoo'!F2976)</f>
        <v/>
      </c>
      <c r="G2976" s="79">
        <f>IF('Ordenes_Odoo'!G2976="","",'Ordenes_Odoo'!G2976)</f>
        <v/>
      </c>
      <c r="H2976" s="79">
        <f>IF('Ordenes_Odoo'!H2976="","",'Ordenes_Odoo'!H2976)</f>
        <v/>
      </c>
      <c r="I2976" s="79">
        <f>IF('Ordenes_Odoo'!I2976="","",'Ordenes_Odoo'!I2976)</f>
        <v/>
      </c>
      <c r="J2976" s="79">
        <f>IF('Ordenes_Odoo'!J2976="","",'Ordenes_Odoo'!J2976)</f>
        <v/>
      </c>
      <c r="K2976" s="81">
        <f>IF('Ordenes_Odoo'!K2976="","",'Ordenes_Odoo'!K2976)</f>
        <v/>
      </c>
      <c r="L2976" s="81">
        <f>IF('Ordenes_Odoo'!L2976="","",'Ordenes_Odoo'!L2976)</f>
        <v/>
      </c>
      <c r="M2976" s="79">
        <f>IF('Ordenes_Odoo'!M2976="","",'Ordenes_Odoo'!M2976)</f>
        <v/>
      </c>
      <c r="N2976" s="79">
        <f>IF('Ordenes_Odoo'!N2976="","",'Ordenes_Odoo'!N2976)</f>
        <v/>
      </c>
      <c r="O2976" s="81">
        <f>IF('Ordenes_Odoo'!O2976="","",'Ordenes_Odoo'!O2976)</f>
        <v/>
      </c>
      <c r="P2976" s="81">
        <f>IF('Ordenes_Odoo'!P2976="","",'Ordenes_Odoo'!P2976)</f>
        <v/>
      </c>
      <c r="Q2976" s="79">
        <f>IF(A2976="","",IFERROR(INDEX(Facturas_Odoo!$B:$B, MATCH(A2976, Facturas_Odoo!$D:$D, 0)), "Sin Factura"))</f>
        <v/>
      </c>
      <c r="R2976" s="80">
        <f>IF(Q2976="Sin Factura","",IFERROR(INDEX(Facturas_Odoo!$A:$A, MATCH(Q2976, Facturas_Odoo!$B:$B, 0)), ""))</f>
        <v/>
      </c>
      <c r="S2976" s="79">
        <f>IF(Q2976="Sin Factura","",IFERROR(_xlfn.XLOOKUP(1, (Facturas_Odoo!$D:$D=A2976) * (Facturas_Odoo!$K:$K=I2976), Facturas_Odoo!$L:$L, ""), ""))</f>
        <v/>
      </c>
      <c r="T2976" s="81">
        <f>IF(Q2976="Sin Factura",0,IFERROR(_xlfn.XLOOKUP(1, (Facturas_Odoo!$D:$D=A2976) * (Facturas_Odoo!$K:$K=I2976), Facturas_Odoo!$M:$M, 0), 0))</f>
        <v/>
      </c>
      <c r="U2976" s="79">
        <f>IF(Q2976="Sin Factura",0,IFERROR(_xlfn.XLOOKUP(1, (Facturas_Odoo!$D:$D=A2976) * (Facturas_Odoo!$K:$K=I2976), Facturas_Odoo!$N:$N, 0), 0))</f>
        <v/>
      </c>
      <c r="V2976" s="79">
        <f>IF(Q2976="Sin Factura",0,IFERROR(_xlfn.XLOOKUP(1, (Facturas_Odoo!$D:$D=A2976) * (Facturas_Odoo!$K:$K=I2976), Facturas_Odoo!$O:$O, 0), 0))</f>
        <v/>
      </c>
      <c r="W2976" s="81">
        <f>IF(Q2976="Sin Factura",0,IFERROR(_xlfn.XLOOKUP(1, (Facturas_Odoo!$D:$D=A2976) * (Facturas_Odoo!$K:$K=I2976), Facturas_Odoo!$Q:$Q, 0), 0))</f>
        <v/>
      </c>
      <c r="X2976" s="79">
        <f>IF(OR(Q2976="Sin Factura",Q2976=""),"",IFERROR(INDEX(Pagos_Odoo!$B:$B, MATCH(Q2976, Pagos_Odoo!$I:$I, 0)), "Sin Pago"))</f>
        <v/>
      </c>
      <c r="Y2976" s="79">
        <f>IF(X2976="Sin Pago","",IFERROR(INDEX(Pagos_Odoo!$C:$C, MATCH(X2976, Pagos_Odoo!$B:$B, 0)), ""))</f>
        <v/>
      </c>
      <c r="Z2976" s="80">
        <f>IF(X2976="Sin Pago","",IFERROR(INDEX(Pagos_Odoo!$A:$A, MATCH(X2976, Pagos_Odoo!$B:$B, 0)), ""))</f>
        <v/>
      </c>
      <c r="AA2976" s="79">
        <f>IF(X2976="Sin Pago","",IFERROR(INDEX(Pagos_Odoo!$F:$F, MATCH(X2976, Pagos_Odoo!$B:$B, 0)), ""))</f>
        <v/>
      </c>
      <c r="AB2976" s="81">
        <f>IF(X2976="Sin Pago",0,IFERROR(INDEX(Pagos_Odoo!$E:$E, MATCH(X2976, Pagos_Odoo!$B:$B, 0)), 0))</f>
        <v/>
      </c>
      <c r="AC2976" s="79">
        <f>IF(X2976="Sin Pago","",IFERROR(INDEX(Pagos_Odoo!$G:$G, MATCH(X2976, Pagos_Odoo!$B:$B, 0)), ""))</f>
        <v/>
      </c>
      <c r="AD2976" s="82" t="n">
        <v>0</v>
      </c>
      <c r="AE2976" s="82" t="n"/>
      <c r="AF2976" s="82" t="n"/>
      <c r="AG2976" s="82">
        <f>IF(AN2976="","",AD2976+AE2976+AF2976)</f>
        <v/>
      </c>
      <c r="AH2976" s="81">
        <f>IF(AN2976="","",P2976*(1-AG2976))</f>
        <v/>
      </c>
      <c r="AI2976" s="81">
        <f>IF(AN2976="","",IF(Q2976="Sin Factura",0,IFERROR(INDEX(Facturas_Odoo!$H:$H, MATCH(Q2976, Facturas_Odoo!$B:$B, 0)), 0)*(1-AG2976)))</f>
        <v/>
      </c>
      <c r="AJ2976" s="81">
        <f>IF(AN2976="","",_xlfn.LET(idVenta, AN2976&amp;"",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76" s="81">
        <f>IF(AN2976="","",AH2976-AJ2976)</f>
        <v/>
      </c>
      <c r="AL2976" s="81">
        <f>IF(AN2976="","",IF(Q2976="Sin Factura","",AI2976-AJ2976))</f>
        <v/>
      </c>
      <c r="AM2976" s="81">
        <f>IF(AN2976="","",IF(Q2976="Sin Factura",0,P2976-IFERROR(INDEX(Facturas_Odoo!$H:$H, MATCH(Q2976, Facturas_Odoo!$B:$B, 0)), 0)))</f>
        <v/>
      </c>
      <c r="AN2976" s="79">
        <f>IF(AND(A2976="", J2976=""), "", IF(A2976&lt;&gt;"", VALUE(MID(A2976,2,LEN(A2976))), AN2975))</f>
        <v/>
      </c>
      <c r="AO2976" s="79">
        <f>IF(AN2976="","",IF(AD2976=0,"OK",_xlfn.LET(monedaPago, IF(AA2976="","USD",AA2976), limitePermitido, IFERROR(VLOOKUP(monedaPago, Configuración!$A$2:$B$3, 2, FALSE), 0.15), IF(AD2976&gt;limitePermitido, "ALERTA: EXCESO (" &amp; TEXT(limitePermitido, "0%") &amp; " máx)", "OK"))))</f>
        <v/>
      </c>
      <c r="AP2976" s="79">
        <f>IF(AN2976="","",IF(AE2976=0,"OK",_xlfn.LET(fechaPago, Z2976, fechaFactura, R2976, diasCredito, IF(E2976="Pago inmediato", 0, IFERROR(VALUE(MID(E2976, 1, SEARCH(" ", E2976)-1)),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76" s="79">
        <f>IF(AN2976="","",IF(AND(N2976&gt;0, AG2976&gt;0), IF(Configuración!$K$2="NO", "ALERTA: DESCUENTO DOBLE NO PERMITIDO", "OK"), "OK"))</f>
        <v/>
      </c>
      <c r="AR2976" s="79">
        <f>IF(AN2976="","",IF(OR(AO2976&lt;&gt;"OK", AP2976&lt;&gt;"OK", AQ2976&lt;&gt;"OK"), "⚠️ REVISAR", "OK"))</f>
        <v/>
      </c>
    </row>
    <row r="2977">
      <c r="A2977" s="79">
        <f>IF('Ordenes_Odoo'!A2977="","",'Ordenes_Odoo'!A2977)</f>
        <v/>
      </c>
      <c r="B2977" s="80">
        <f>IF('Ordenes_Odoo'!B2977="","",'Ordenes_Odoo'!B2977)</f>
        <v/>
      </c>
      <c r="C2977" s="79">
        <f>IF('Ordenes_Odoo'!C2977="","",'Ordenes_Odoo'!C2977)</f>
        <v/>
      </c>
      <c r="D2977" s="79">
        <f>IF('Ordenes_Odoo'!D2977="","",'Ordenes_Odoo'!D2977)</f>
        <v/>
      </c>
      <c r="E2977" s="79">
        <f>IF('Ordenes_Odoo'!E2977="","",'Ordenes_Odoo'!E2977)</f>
        <v/>
      </c>
      <c r="F2977" s="79">
        <f>IF('Ordenes_Odoo'!F2977="","",'Ordenes_Odoo'!F2977)</f>
        <v/>
      </c>
      <c r="G2977" s="79">
        <f>IF('Ordenes_Odoo'!G2977="","",'Ordenes_Odoo'!G2977)</f>
        <v/>
      </c>
      <c r="H2977" s="79">
        <f>IF('Ordenes_Odoo'!H2977="","",'Ordenes_Odoo'!H2977)</f>
        <v/>
      </c>
      <c r="I2977" s="79">
        <f>IF('Ordenes_Odoo'!I2977="","",'Ordenes_Odoo'!I2977)</f>
        <v/>
      </c>
      <c r="J2977" s="79">
        <f>IF('Ordenes_Odoo'!J2977="","",'Ordenes_Odoo'!J2977)</f>
        <v/>
      </c>
      <c r="K2977" s="81">
        <f>IF('Ordenes_Odoo'!K2977="","",'Ordenes_Odoo'!K2977)</f>
        <v/>
      </c>
      <c r="L2977" s="81">
        <f>IF('Ordenes_Odoo'!L2977="","",'Ordenes_Odoo'!L2977)</f>
        <v/>
      </c>
      <c r="M2977" s="79">
        <f>IF('Ordenes_Odoo'!M2977="","",'Ordenes_Odoo'!M2977)</f>
        <v/>
      </c>
      <c r="N2977" s="79">
        <f>IF('Ordenes_Odoo'!N2977="","",'Ordenes_Odoo'!N2977)</f>
        <v/>
      </c>
      <c r="O2977" s="81">
        <f>IF('Ordenes_Odoo'!O2977="","",'Ordenes_Odoo'!O2977)</f>
        <v/>
      </c>
      <c r="P2977" s="81">
        <f>IF('Ordenes_Odoo'!P2977="","",'Ordenes_Odoo'!P2977)</f>
        <v/>
      </c>
      <c r="Q2977" s="79">
        <f>IF(A2977="","",IFERROR(INDEX(Facturas_Odoo!$B:$B, MATCH(A2977, Facturas_Odoo!$D:$D, 0)), "Sin Factura"))</f>
        <v/>
      </c>
      <c r="R2977" s="80">
        <f>IF(Q2977="Sin Factura","",IFERROR(INDEX(Facturas_Odoo!$A:$A, MATCH(Q2977, Facturas_Odoo!$B:$B, 0)), ""))</f>
        <v/>
      </c>
      <c r="S2977" s="79">
        <f>IF(Q2977="Sin Factura","",IFERROR(_xlfn.XLOOKUP(1, (Facturas_Odoo!$D:$D=A2977) * (Facturas_Odoo!$K:$K=I2977), Facturas_Odoo!$L:$L, ""), ""))</f>
        <v/>
      </c>
      <c r="T2977" s="81">
        <f>IF(Q2977="Sin Factura",0,IFERROR(_xlfn.XLOOKUP(1, (Facturas_Odoo!$D:$D=A2977) * (Facturas_Odoo!$K:$K=I2977), Facturas_Odoo!$M:$M, 0), 0))</f>
        <v/>
      </c>
      <c r="U2977" s="79">
        <f>IF(Q2977="Sin Factura",0,IFERROR(_xlfn.XLOOKUP(1, (Facturas_Odoo!$D:$D=A2977) * (Facturas_Odoo!$K:$K=I2977), Facturas_Odoo!$N:$N, 0), 0))</f>
        <v/>
      </c>
      <c r="V2977" s="79">
        <f>IF(Q2977="Sin Factura",0,IFERROR(_xlfn.XLOOKUP(1, (Facturas_Odoo!$D:$D=A2977) * (Facturas_Odoo!$K:$K=I2977), Facturas_Odoo!$O:$O, 0), 0))</f>
        <v/>
      </c>
      <c r="W2977" s="81">
        <f>IF(Q2977="Sin Factura",0,IFERROR(_xlfn.XLOOKUP(1, (Facturas_Odoo!$D:$D=A2977) * (Facturas_Odoo!$K:$K=I2977), Facturas_Odoo!$Q:$Q, 0), 0))</f>
        <v/>
      </c>
      <c r="X2977" s="79">
        <f>IF(OR(Q2977="Sin Factura",Q2977=""),"",IFERROR(INDEX(Pagos_Odoo!$B:$B, MATCH(Q2977, Pagos_Odoo!$I:$I, 0)), "Sin Pago"))</f>
        <v/>
      </c>
      <c r="Y2977" s="79">
        <f>IF(X2977="Sin Pago","",IFERROR(INDEX(Pagos_Odoo!$C:$C, MATCH(X2977, Pagos_Odoo!$B:$B, 0)), ""))</f>
        <v/>
      </c>
      <c r="Z2977" s="80">
        <f>IF(X2977="Sin Pago","",IFERROR(INDEX(Pagos_Odoo!$A:$A, MATCH(X2977, Pagos_Odoo!$B:$B, 0)), ""))</f>
        <v/>
      </c>
      <c r="AA2977" s="79">
        <f>IF(X2977="Sin Pago","",IFERROR(INDEX(Pagos_Odoo!$F:$F, MATCH(X2977, Pagos_Odoo!$B:$B, 0)), ""))</f>
        <v/>
      </c>
      <c r="AB2977" s="81">
        <f>IF(X2977="Sin Pago",0,IFERROR(INDEX(Pagos_Odoo!$E:$E, MATCH(X2977, Pagos_Odoo!$B:$B, 0)), 0))</f>
        <v/>
      </c>
      <c r="AC2977" s="79">
        <f>IF(X2977="Sin Pago","",IFERROR(INDEX(Pagos_Odoo!$G:$G, MATCH(X2977, Pagos_Odoo!$B:$B, 0)), ""))</f>
        <v/>
      </c>
      <c r="AD2977" s="82" t="n">
        <v>0</v>
      </c>
      <c r="AE2977" s="82" t="n"/>
      <c r="AF2977" s="82" t="n"/>
      <c r="AG2977" s="82">
        <f>IF(AN2977="","",AD2977+AE2977+AF2977)</f>
        <v/>
      </c>
      <c r="AH2977" s="81">
        <f>IF(AN2977="","",P2977*(1-AG2977))</f>
        <v/>
      </c>
      <c r="AI2977" s="81">
        <f>IF(AN2977="","",IF(Q2977="Sin Factura",0,IFERROR(INDEX(Facturas_Odoo!$H:$H, MATCH(Q2977, Facturas_Odoo!$B:$B, 0)), 0)*(1-AG2977)))</f>
        <v/>
      </c>
      <c r="AJ2977" s="81">
        <f>IF(AN2977="","",_xlfn.LET(idVenta, AN2977&amp;"",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77" s="81">
        <f>IF(AN2977="","",AH2977-AJ2977)</f>
        <v/>
      </c>
      <c r="AL2977" s="81">
        <f>IF(AN2977="","",IF(Q2977="Sin Factura","",AI2977-AJ2977))</f>
        <v/>
      </c>
      <c r="AM2977" s="81">
        <f>IF(AN2977="","",IF(Q2977="Sin Factura",0,P2977-IFERROR(INDEX(Facturas_Odoo!$H:$H, MATCH(Q2977, Facturas_Odoo!$B:$B, 0)), 0)))</f>
        <v/>
      </c>
      <c r="AN2977" s="79">
        <f>IF(AND(A2977="", J2977=""), "", IF(A2977&lt;&gt;"", VALUE(MID(A2977,2,LEN(A2977))), AN2976))</f>
        <v/>
      </c>
      <c r="AO2977" s="79">
        <f>IF(AN2977="","",IF(AD2977=0,"OK",_xlfn.LET(monedaPago, IF(AA2977="","USD",AA2977), limitePermitido, IFERROR(VLOOKUP(monedaPago, Configuración!$A$2:$B$3, 2, FALSE), 0.15), IF(AD2977&gt;limitePermitido, "ALERTA: EXCESO (" &amp; TEXT(limitePermitido, "0%") &amp; " máx)", "OK"))))</f>
        <v/>
      </c>
      <c r="AP2977" s="79">
        <f>IF(AN2977="","",IF(AE2977=0,"OK",_xlfn.LET(fechaPago, Z2977, fechaFactura, R2977, diasCredito, IF(E2977="Pago inmediato", 0, IFERROR(VALUE(MID(E2977, 1, SEARCH(" ", E2977)-1)),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77" s="79">
        <f>IF(AN2977="","",IF(AND(N2977&gt;0, AG2977&gt;0), IF(Configuración!$K$2="NO", "ALERTA: DESCUENTO DOBLE NO PERMITIDO", "OK"), "OK"))</f>
        <v/>
      </c>
      <c r="AR2977" s="79">
        <f>IF(AN2977="","",IF(OR(AO2977&lt;&gt;"OK", AP2977&lt;&gt;"OK", AQ2977&lt;&gt;"OK"), "⚠️ REVISAR", "OK"))</f>
        <v/>
      </c>
    </row>
    <row r="2978">
      <c r="A2978" s="79">
        <f>IF('Ordenes_Odoo'!A2978="","",'Ordenes_Odoo'!A2978)</f>
        <v/>
      </c>
      <c r="B2978" s="80">
        <f>IF('Ordenes_Odoo'!B2978="","",'Ordenes_Odoo'!B2978)</f>
        <v/>
      </c>
      <c r="C2978" s="79">
        <f>IF('Ordenes_Odoo'!C2978="","",'Ordenes_Odoo'!C2978)</f>
        <v/>
      </c>
      <c r="D2978" s="79">
        <f>IF('Ordenes_Odoo'!D2978="","",'Ordenes_Odoo'!D2978)</f>
        <v/>
      </c>
      <c r="E2978" s="79">
        <f>IF('Ordenes_Odoo'!E2978="","",'Ordenes_Odoo'!E2978)</f>
        <v/>
      </c>
      <c r="F2978" s="79">
        <f>IF('Ordenes_Odoo'!F2978="","",'Ordenes_Odoo'!F2978)</f>
        <v/>
      </c>
      <c r="G2978" s="79">
        <f>IF('Ordenes_Odoo'!G2978="","",'Ordenes_Odoo'!G2978)</f>
        <v/>
      </c>
      <c r="H2978" s="79">
        <f>IF('Ordenes_Odoo'!H2978="","",'Ordenes_Odoo'!H2978)</f>
        <v/>
      </c>
      <c r="I2978" s="79">
        <f>IF('Ordenes_Odoo'!I2978="","",'Ordenes_Odoo'!I2978)</f>
        <v/>
      </c>
      <c r="J2978" s="79">
        <f>IF('Ordenes_Odoo'!J2978="","",'Ordenes_Odoo'!J2978)</f>
        <v/>
      </c>
      <c r="K2978" s="81">
        <f>IF('Ordenes_Odoo'!K2978="","",'Ordenes_Odoo'!K2978)</f>
        <v/>
      </c>
      <c r="L2978" s="81">
        <f>IF('Ordenes_Odoo'!L2978="","",'Ordenes_Odoo'!L2978)</f>
        <v/>
      </c>
      <c r="M2978" s="79">
        <f>IF('Ordenes_Odoo'!M2978="","",'Ordenes_Odoo'!M2978)</f>
        <v/>
      </c>
      <c r="N2978" s="79">
        <f>IF('Ordenes_Odoo'!N2978="","",'Ordenes_Odoo'!N2978)</f>
        <v/>
      </c>
      <c r="O2978" s="81">
        <f>IF('Ordenes_Odoo'!O2978="","",'Ordenes_Odoo'!O2978)</f>
        <v/>
      </c>
      <c r="P2978" s="81">
        <f>IF('Ordenes_Odoo'!P2978="","",'Ordenes_Odoo'!P2978)</f>
        <v/>
      </c>
      <c r="Q2978" s="79">
        <f>IF(A2978="","",IFERROR(INDEX(Facturas_Odoo!$B:$B, MATCH(A2978, Facturas_Odoo!$D:$D, 0)), "Sin Factura"))</f>
        <v/>
      </c>
      <c r="R2978" s="80">
        <f>IF(Q2978="Sin Factura","",IFERROR(INDEX(Facturas_Odoo!$A:$A, MATCH(Q2978, Facturas_Odoo!$B:$B, 0)), ""))</f>
        <v/>
      </c>
      <c r="S2978" s="79">
        <f>IF(Q2978="Sin Factura","",IFERROR(_xlfn.XLOOKUP(1, (Facturas_Odoo!$D:$D=A2978) * (Facturas_Odoo!$K:$K=I2978), Facturas_Odoo!$L:$L, ""), ""))</f>
        <v/>
      </c>
      <c r="T2978" s="81">
        <f>IF(Q2978="Sin Factura",0,IFERROR(_xlfn.XLOOKUP(1, (Facturas_Odoo!$D:$D=A2978) * (Facturas_Odoo!$K:$K=I2978), Facturas_Odoo!$M:$M, 0), 0))</f>
        <v/>
      </c>
      <c r="U2978" s="79">
        <f>IF(Q2978="Sin Factura",0,IFERROR(_xlfn.XLOOKUP(1, (Facturas_Odoo!$D:$D=A2978) * (Facturas_Odoo!$K:$K=I2978), Facturas_Odoo!$N:$N, 0), 0))</f>
        <v/>
      </c>
      <c r="V2978" s="79">
        <f>IF(Q2978="Sin Factura",0,IFERROR(_xlfn.XLOOKUP(1, (Facturas_Odoo!$D:$D=A2978) * (Facturas_Odoo!$K:$K=I2978), Facturas_Odoo!$O:$O, 0), 0))</f>
        <v/>
      </c>
      <c r="W2978" s="81">
        <f>IF(Q2978="Sin Factura",0,IFERROR(_xlfn.XLOOKUP(1, (Facturas_Odoo!$D:$D=A2978) * (Facturas_Odoo!$K:$K=I2978), Facturas_Odoo!$Q:$Q, 0), 0))</f>
        <v/>
      </c>
      <c r="X2978" s="79">
        <f>IF(OR(Q2978="Sin Factura",Q2978=""),"",IFERROR(INDEX(Pagos_Odoo!$B:$B, MATCH(Q2978, Pagos_Odoo!$I:$I, 0)), "Sin Pago"))</f>
        <v/>
      </c>
      <c r="Y2978" s="79">
        <f>IF(X2978="Sin Pago","",IFERROR(INDEX(Pagos_Odoo!$C:$C, MATCH(X2978, Pagos_Odoo!$B:$B, 0)), ""))</f>
        <v/>
      </c>
      <c r="Z2978" s="80">
        <f>IF(X2978="Sin Pago","",IFERROR(INDEX(Pagos_Odoo!$A:$A, MATCH(X2978, Pagos_Odoo!$B:$B, 0)), ""))</f>
        <v/>
      </c>
      <c r="AA2978" s="79">
        <f>IF(X2978="Sin Pago","",IFERROR(INDEX(Pagos_Odoo!$F:$F, MATCH(X2978, Pagos_Odoo!$B:$B, 0)), ""))</f>
        <v/>
      </c>
      <c r="AB2978" s="81">
        <f>IF(X2978="Sin Pago",0,IFERROR(INDEX(Pagos_Odoo!$E:$E, MATCH(X2978, Pagos_Odoo!$B:$B, 0)), 0))</f>
        <v/>
      </c>
      <c r="AC2978" s="79">
        <f>IF(X2978="Sin Pago","",IFERROR(INDEX(Pagos_Odoo!$G:$G, MATCH(X2978, Pagos_Odoo!$B:$B, 0)), ""))</f>
        <v/>
      </c>
      <c r="AD2978" s="82" t="n">
        <v>0</v>
      </c>
      <c r="AE2978" s="82" t="n"/>
      <c r="AF2978" s="82" t="n"/>
      <c r="AG2978" s="82">
        <f>IF(AN2978="","",AD2978+AE2978+AF2978)</f>
        <v/>
      </c>
      <c r="AH2978" s="81">
        <f>IF(AN2978="","",P2978*(1-AG2978))</f>
        <v/>
      </c>
      <c r="AI2978" s="81">
        <f>IF(AN2978="","",IF(Q2978="Sin Factura",0,IFERROR(INDEX(Facturas_Odoo!$H:$H, MATCH(Q2978, Facturas_Odoo!$B:$B, 0)), 0)*(1-AG2978)))</f>
        <v/>
      </c>
      <c r="AJ2978" s="81">
        <f>IF(AN2978="","",_xlfn.LET(idVenta, AN2978&amp;"",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78" s="81">
        <f>IF(AN2978="","",AH2978-AJ2978)</f>
        <v/>
      </c>
      <c r="AL2978" s="81">
        <f>IF(AN2978="","",IF(Q2978="Sin Factura","",AI2978-AJ2978))</f>
        <v/>
      </c>
      <c r="AM2978" s="81">
        <f>IF(AN2978="","",IF(Q2978="Sin Factura",0,P2978-IFERROR(INDEX(Facturas_Odoo!$H:$H, MATCH(Q2978, Facturas_Odoo!$B:$B, 0)), 0)))</f>
        <v/>
      </c>
      <c r="AN2978" s="79">
        <f>IF(AND(A2978="", J2978=""), "", IF(A2978&lt;&gt;"", VALUE(MID(A2978,2,LEN(A2978))), AN2977))</f>
        <v/>
      </c>
      <c r="AO2978" s="79">
        <f>IF(AN2978="","",IF(AD2978=0,"OK",_xlfn.LET(monedaPago, IF(AA2978="","USD",AA2978), limitePermitido, IFERROR(VLOOKUP(monedaPago, Configuración!$A$2:$B$3, 2, FALSE), 0.15), IF(AD2978&gt;limitePermitido, "ALERTA: EXCESO (" &amp; TEXT(limitePermitido, "0%") &amp; " máx)", "OK"))))</f>
        <v/>
      </c>
      <c r="AP2978" s="79">
        <f>IF(AN2978="","",IF(AE2978=0,"OK",_xlfn.LET(fechaPago, Z2978, fechaFactura, R2978, diasCredito, IF(E2978="Pago inmediato", 0, IFERROR(VALUE(MID(E2978, 1, SEARCH(" ", E2978)-1)),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78" s="79">
        <f>IF(AN2978="","",IF(AND(N2978&gt;0, AG2978&gt;0), IF(Configuración!$K$2="NO", "ALERTA: DESCUENTO DOBLE NO PERMITIDO", "OK"), "OK"))</f>
        <v/>
      </c>
      <c r="AR2978" s="79">
        <f>IF(AN2978="","",IF(OR(AO2978&lt;&gt;"OK", AP2978&lt;&gt;"OK", AQ2978&lt;&gt;"OK"), "⚠️ REVISAR", "OK"))</f>
        <v/>
      </c>
    </row>
    <row r="2979">
      <c r="A2979" s="79">
        <f>IF('Ordenes_Odoo'!A2979="","",'Ordenes_Odoo'!A2979)</f>
        <v/>
      </c>
      <c r="B2979" s="80">
        <f>IF('Ordenes_Odoo'!B2979="","",'Ordenes_Odoo'!B2979)</f>
        <v/>
      </c>
      <c r="C2979" s="79">
        <f>IF('Ordenes_Odoo'!C2979="","",'Ordenes_Odoo'!C2979)</f>
        <v/>
      </c>
      <c r="D2979" s="79">
        <f>IF('Ordenes_Odoo'!D2979="","",'Ordenes_Odoo'!D2979)</f>
        <v/>
      </c>
      <c r="E2979" s="79">
        <f>IF('Ordenes_Odoo'!E2979="","",'Ordenes_Odoo'!E2979)</f>
        <v/>
      </c>
      <c r="F2979" s="79">
        <f>IF('Ordenes_Odoo'!F2979="","",'Ordenes_Odoo'!F2979)</f>
        <v/>
      </c>
      <c r="G2979" s="79">
        <f>IF('Ordenes_Odoo'!G2979="","",'Ordenes_Odoo'!G2979)</f>
        <v/>
      </c>
      <c r="H2979" s="79">
        <f>IF('Ordenes_Odoo'!H2979="","",'Ordenes_Odoo'!H2979)</f>
        <v/>
      </c>
      <c r="I2979" s="79">
        <f>IF('Ordenes_Odoo'!I2979="","",'Ordenes_Odoo'!I2979)</f>
        <v/>
      </c>
      <c r="J2979" s="79">
        <f>IF('Ordenes_Odoo'!J2979="","",'Ordenes_Odoo'!J2979)</f>
        <v/>
      </c>
      <c r="K2979" s="81">
        <f>IF('Ordenes_Odoo'!K2979="","",'Ordenes_Odoo'!K2979)</f>
        <v/>
      </c>
      <c r="L2979" s="81">
        <f>IF('Ordenes_Odoo'!L2979="","",'Ordenes_Odoo'!L2979)</f>
        <v/>
      </c>
      <c r="M2979" s="79">
        <f>IF('Ordenes_Odoo'!M2979="","",'Ordenes_Odoo'!M2979)</f>
        <v/>
      </c>
      <c r="N2979" s="79">
        <f>IF('Ordenes_Odoo'!N2979="","",'Ordenes_Odoo'!N2979)</f>
        <v/>
      </c>
      <c r="O2979" s="81">
        <f>IF('Ordenes_Odoo'!O2979="","",'Ordenes_Odoo'!O2979)</f>
        <v/>
      </c>
      <c r="P2979" s="81">
        <f>IF('Ordenes_Odoo'!P2979="","",'Ordenes_Odoo'!P2979)</f>
        <v/>
      </c>
      <c r="Q2979" s="79">
        <f>IF(A2979="","",IFERROR(INDEX(Facturas_Odoo!$B:$B, MATCH(A2979, Facturas_Odoo!$D:$D, 0)), "Sin Factura"))</f>
        <v/>
      </c>
      <c r="R2979" s="80">
        <f>IF(Q2979="Sin Factura","",IFERROR(INDEX(Facturas_Odoo!$A:$A, MATCH(Q2979, Facturas_Odoo!$B:$B, 0)), ""))</f>
        <v/>
      </c>
      <c r="S2979" s="79">
        <f>IF(Q2979="Sin Factura","",IFERROR(_xlfn.XLOOKUP(1, (Facturas_Odoo!$D:$D=A2979) * (Facturas_Odoo!$K:$K=I2979), Facturas_Odoo!$L:$L, ""), ""))</f>
        <v/>
      </c>
      <c r="T2979" s="81">
        <f>IF(Q2979="Sin Factura",0,IFERROR(_xlfn.XLOOKUP(1, (Facturas_Odoo!$D:$D=A2979) * (Facturas_Odoo!$K:$K=I2979), Facturas_Odoo!$M:$M, 0), 0))</f>
        <v/>
      </c>
      <c r="U2979" s="79">
        <f>IF(Q2979="Sin Factura",0,IFERROR(_xlfn.XLOOKUP(1, (Facturas_Odoo!$D:$D=A2979) * (Facturas_Odoo!$K:$K=I2979), Facturas_Odoo!$N:$N, 0), 0))</f>
        <v/>
      </c>
      <c r="V2979" s="79">
        <f>IF(Q2979="Sin Factura",0,IFERROR(_xlfn.XLOOKUP(1, (Facturas_Odoo!$D:$D=A2979) * (Facturas_Odoo!$K:$K=I2979), Facturas_Odoo!$O:$O, 0), 0))</f>
        <v/>
      </c>
      <c r="W2979" s="81">
        <f>IF(Q2979="Sin Factura",0,IFERROR(_xlfn.XLOOKUP(1, (Facturas_Odoo!$D:$D=A2979) * (Facturas_Odoo!$K:$K=I2979), Facturas_Odoo!$Q:$Q, 0), 0))</f>
        <v/>
      </c>
      <c r="X2979" s="79">
        <f>IF(OR(Q2979="Sin Factura",Q2979=""),"",IFERROR(INDEX(Pagos_Odoo!$B:$B, MATCH(Q2979, Pagos_Odoo!$I:$I, 0)), "Sin Pago"))</f>
        <v/>
      </c>
      <c r="Y2979" s="79">
        <f>IF(X2979="Sin Pago","",IFERROR(INDEX(Pagos_Odoo!$C:$C, MATCH(X2979, Pagos_Odoo!$B:$B, 0)), ""))</f>
        <v/>
      </c>
      <c r="Z2979" s="80">
        <f>IF(X2979="Sin Pago","",IFERROR(INDEX(Pagos_Odoo!$A:$A, MATCH(X2979, Pagos_Odoo!$B:$B, 0)), ""))</f>
        <v/>
      </c>
      <c r="AA2979" s="79">
        <f>IF(X2979="Sin Pago","",IFERROR(INDEX(Pagos_Odoo!$F:$F, MATCH(X2979, Pagos_Odoo!$B:$B, 0)), ""))</f>
        <v/>
      </c>
      <c r="AB2979" s="81">
        <f>IF(X2979="Sin Pago",0,IFERROR(INDEX(Pagos_Odoo!$E:$E, MATCH(X2979, Pagos_Odoo!$B:$B, 0)), 0))</f>
        <v/>
      </c>
      <c r="AC2979" s="79">
        <f>IF(X2979="Sin Pago","",IFERROR(INDEX(Pagos_Odoo!$G:$G, MATCH(X2979, Pagos_Odoo!$B:$B, 0)), ""))</f>
        <v/>
      </c>
      <c r="AD2979" s="82" t="n">
        <v>0</v>
      </c>
      <c r="AE2979" s="82" t="n"/>
      <c r="AF2979" s="82" t="n"/>
      <c r="AG2979" s="82">
        <f>IF(AN2979="","",AD2979+AE2979+AF2979)</f>
        <v/>
      </c>
      <c r="AH2979" s="81">
        <f>IF(AN2979="","",P2979*(1-AG2979))</f>
        <v/>
      </c>
      <c r="AI2979" s="81">
        <f>IF(AN2979="","",IF(Q2979="Sin Factura",0,IFERROR(INDEX(Facturas_Odoo!$H:$H, MATCH(Q2979, Facturas_Odoo!$B:$B, 0)), 0)*(1-AG2979)))</f>
        <v/>
      </c>
      <c r="AJ2979" s="81">
        <f>IF(AN2979="","",_xlfn.LET(idVenta, AN2979&amp;"",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79" s="81">
        <f>IF(AN2979="","",AH2979-AJ2979)</f>
        <v/>
      </c>
      <c r="AL2979" s="81">
        <f>IF(AN2979="","",IF(Q2979="Sin Factura","",AI2979-AJ2979))</f>
        <v/>
      </c>
      <c r="AM2979" s="81">
        <f>IF(AN2979="","",IF(Q2979="Sin Factura",0,P2979-IFERROR(INDEX(Facturas_Odoo!$H:$H, MATCH(Q2979, Facturas_Odoo!$B:$B, 0)), 0)))</f>
        <v/>
      </c>
      <c r="AN2979" s="79">
        <f>IF(AND(A2979="", J2979=""), "", IF(A2979&lt;&gt;"", VALUE(MID(A2979,2,LEN(A2979))), AN2978))</f>
        <v/>
      </c>
      <c r="AO2979" s="79">
        <f>IF(AN2979="","",IF(AD2979=0,"OK",_xlfn.LET(monedaPago, IF(AA2979="","USD",AA2979), limitePermitido, IFERROR(VLOOKUP(monedaPago, Configuración!$A$2:$B$3, 2, FALSE), 0.15), IF(AD2979&gt;limitePermitido, "ALERTA: EXCESO (" &amp; TEXT(limitePermitido, "0%") &amp; " máx)", "OK"))))</f>
        <v/>
      </c>
      <c r="AP2979" s="79">
        <f>IF(AN2979="","",IF(AE2979=0,"OK",_xlfn.LET(fechaPago, Z2979, fechaFactura, R2979, diasCredito, IF(E2979="Pago inmediato", 0, IFERROR(VALUE(MID(E2979, 1, SEARCH(" ", E2979)-1)),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79" s="79">
        <f>IF(AN2979="","",IF(AND(N2979&gt;0, AG2979&gt;0), IF(Configuración!$K$2="NO", "ALERTA: DESCUENTO DOBLE NO PERMITIDO", "OK"), "OK"))</f>
        <v/>
      </c>
      <c r="AR2979" s="79">
        <f>IF(AN2979="","",IF(OR(AO2979&lt;&gt;"OK", AP2979&lt;&gt;"OK", AQ2979&lt;&gt;"OK"), "⚠️ REVISAR", "OK"))</f>
        <v/>
      </c>
    </row>
    <row r="2980">
      <c r="A2980" s="79">
        <f>IF('Ordenes_Odoo'!A2980="","",'Ordenes_Odoo'!A2980)</f>
        <v/>
      </c>
      <c r="B2980" s="80">
        <f>IF('Ordenes_Odoo'!B2980="","",'Ordenes_Odoo'!B2980)</f>
        <v/>
      </c>
      <c r="C2980" s="79">
        <f>IF('Ordenes_Odoo'!C2980="","",'Ordenes_Odoo'!C2980)</f>
        <v/>
      </c>
      <c r="D2980" s="79">
        <f>IF('Ordenes_Odoo'!D2980="","",'Ordenes_Odoo'!D2980)</f>
        <v/>
      </c>
      <c r="E2980" s="79">
        <f>IF('Ordenes_Odoo'!E2980="","",'Ordenes_Odoo'!E2980)</f>
        <v/>
      </c>
      <c r="F2980" s="79">
        <f>IF('Ordenes_Odoo'!F2980="","",'Ordenes_Odoo'!F2980)</f>
        <v/>
      </c>
      <c r="G2980" s="79">
        <f>IF('Ordenes_Odoo'!G2980="","",'Ordenes_Odoo'!G2980)</f>
        <v/>
      </c>
      <c r="H2980" s="79">
        <f>IF('Ordenes_Odoo'!H2980="","",'Ordenes_Odoo'!H2980)</f>
        <v/>
      </c>
      <c r="I2980" s="79">
        <f>IF('Ordenes_Odoo'!I2980="","",'Ordenes_Odoo'!I2980)</f>
        <v/>
      </c>
      <c r="J2980" s="79">
        <f>IF('Ordenes_Odoo'!J2980="","",'Ordenes_Odoo'!J2980)</f>
        <v/>
      </c>
      <c r="K2980" s="81">
        <f>IF('Ordenes_Odoo'!K2980="","",'Ordenes_Odoo'!K2980)</f>
        <v/>
      </c>
      <c r="L2980" s="81">
        <f>IF('Ordenes_Odoo'!L2980="","",'Ordenes_Odoo'!L2980)</f>
        <v/>
      </c>
      <c r="M2980" s="79">
        <f>IF('Ordenes_Odoo'!M2980="","",'Ordenes_Odoo'!M2980)</f>
        <v/>
      </c>
      <c r="N2980" s="79">
        <f>IF('Ordenes_Odoo'!N2980="","",'Ordenes_Odoo'!N2980)</f>
        <v/>
      </c>
      <c r="O2980" s="81">
        <f>IF('Ordenes_Odoo'!O2980="","",'Ordenes_Odoo'!O2980)</f>
        <v/>
      </c>
      <c r="P2980" s="81">
        <f>IF('Ordenes_Odoo'!P2980="","",'Ordenes_Odoo'!P2980)</f>
        <v/>
      </c>
      <c r="Q2980" s="79">
        <f>IF(A2980="","",IFERROR(INDEX(Facturas_Odoo!$B:$B, MATCH(A2980, Facturas_Odoo!$D:$D, 0)), "Sin Factura"))</f>
        <v/>
      </c>
      <c r="R2980" s="80">
        <f>IF(Q2980="Sin Factura","",IFERROR(INDEX(Facturas_Odoo!$A:$A, MATCH(Q2980, Facturas_Odoo!$B:$B, 0)), ""))</f>
        <v/>
      </c>
      <c r="S2980" s="79">
        <f>IF(Q2980="Sin Factura","",IFERROR(_xlfn.XLOOKUP(1, (Facturas_Odoo!$D:$D=A2980) * (Facturas_Odoo!$K:$K=I2980), Facturas_Odoo!$L:$L, ""), ""))</f>
        <v/>
      </c>
      <c r="T2980" s="81">
        <f>IF(Q2980="Sin Factura",0,IFERROR(_xlfn.XLOOKUP(1, (Facturas_Odoo!$D:$D=A2980) * (Facturas_Odoo!$K:$K=I2980), Facturas_Odoo!$M:$M, 0), 0))</f>
        <v/>
      </c>
      <c r="U2980" s="79">
        <f>IF(Q2980="Sin Factura",0,IFERROR(_xlfn.XLOOKUP(1, (Facturas_Odoo!$D:$D=A2980) * (Facturas_Odoo!$K:$K=I2980), Facturas_Odoo!$N:$N, 0), 0))</f>
        <v/>
      </c>
      <c r="V2980" s="79">
        <f>IF(Q2980="Sin Factura",0,IFERROR(_xlfn.XLOOKUP(1, (Facturas_Odoo!$D:$D=A2980) * (Facturas_Odoo!$K:$K=I2980), Facturas_Odoo!$O:$O, 0), 0))</f>
        <v/>
      </c>
      <c r="W2980" s="81">
        <f>IF(Q2980="Sin Factura",0,IFERROR(_xlfn.XLOOKUP(1, (Facturas_Odoo!$D:$D=A2980) * (Facturas_Odoo!$K:$K=I2980), Facturas_Odoo!$Q:$Q, 0), 0))</f>
        <v/>
      </c>
      <c r="X2980" s="79">
        <f>IF(OR(Q2980="Sin Factura",Q2980=""),"",IFERROR(INDEX(Pagos_Odoo!$B:$B, MATCH(Q2980, Pagos_Odoo!$I:$I, 0)), "Sin Pago"))</f>
        <v/>
      </c>
      <c r="Y2980" s="79">
        <f>IF(X2980="Sin Pago","",IFERROR(INDEX(Pagos_Odoo!$C:$C, MATCH(X2980, Pagos_Odoo!$B:$B, 0)), ""))</f>
        <v/>
      </c>
      <c r="Z2980" s="80">
        <f>IF(X2980="Sin Pago","",IFERROR(INDEX(Pagos_Odoo!$A:$A, MATCH(X2980, Pagos_Odoo!$B:$B, 0)), ""))</f>
        <v/>
      </c>
      <c r="AA2980" s="79">
        <f>IF(X2980="Sin Pago","",IFERROR(INDEX(Pagos_Odoo!$F:$F, MATCH(X2980, Pagos_Odoo!$B:$B, 0)), ""))</f>
        <v/>
      </c>
      <c r="AB2980" s="81">
        <f>IF(X2980="Sin Pago",0,IFERROR(INDEX(Pagos_Odoo!$E:$E, MATCH(X2980, Pagos_Odoo!$B:$B, 0)), 0))</f>
        <v/>
      </c>
      <c r="AC2980" s="79">
        <f>IF(X2980="Sin Pago","",IFERROR(INDEX(Pagos_Odoo!$G:$G, MATCH(X2980, Pagos_Odoo!$B:$B, 0)), ""))</f>
        <v/>
      </c>
      <c r="AD2980" s="82" t="n">
        <v>0</v>
      </c>
      <c r="AE2980" s="82" t="n"/>
      <c r="AF2980" s="82" t="n"/>
      <c r="AG2980" s="82">
        <f>IF(AN2980="","",AD2980+AE2980+AF2980)</f>
        <v/>
      </c>
      <c r="AH2980" s="81">
        <f>IF(AN2980="","",P2980*(1-AG2980))</f>
        <v/>
      </c>
      <c r="AI2980" s="81">
        <f>IF(AN2980="","",IF(Q2980="Sin Factura",0,IFERROR(INDEX(Facturas_Odoo!$H:$H, MATCH(Q2980, Facturas_Odoo!$B:$B, 0)), 0)*(1-AG2980)))</f>
        <v/>
      </c>
      <c r="AJ2980" s="81">
        <f>IF(AN2980="","",_xlfn.LET(idVenta, AN2980&amp;"",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80" s="81">
        <f>IF(AN2980="","",AH2980-AJ2980)</f>
        <v/>
      </c>
      <c r="AL2980" s="81">
        <f>IF(AN2980="","",IF(Q2980="Sin Factura","",AI2980-AJ2980))</f>
        <v/>
      </c>
      <c r="AM2980" s="81">
        <f>IF(AN2980="","",IF(Q2980="Sin Factura",0,P2980-IFERROR(INDEX(Facturas_Odoo!$H:$H, MATCH(Q2980, Facturas_Odoo!$B:$B, 0)), 0)))</f>
        <v/>
      </c>
      <c r="AN2980" s="79">
        <f>IF(AND(A2980="", J2980=""), "", IF(A2980&lt;&gt;"", VALUE(MID(A2980,2,LEN(A2980))), AN2979))</f>
        <v/>
      </c>
      <c r="AO2980" s="79">
        <f>IF(AN2980="","",IF(AD2980=0,"OK",_xlfn.LET(monedaPago, IF(AA2980="","USD",AA2980), limitePermitido, IFERROR(VLOOKUP(monedaPago, Configuración!$A$2:$B$3, 2, FALSE), 0.15), IF(AD2980&gt;limitePermitido, "ALERTA: EXCESO (" &amp; TEXT(limitePermitido, "0%") &amp; " máx)", "OK"))))</f>
        <v/>
      </c>
      <c r="AP2980" s="79">
        <f>IF(AN2980="","",IF(AE2980=0,"OK",_xlfn.LET(fechaPago, Z2980, fechaFactura, R2980, diasCredito, IF(E2980="Pago inmediato", 0, IFERROR(VALUE(MID(E2980, 1, SEARCH(" ", E2980)-1)),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80" s="79">
        <f>IF(AN2980="","",IF(AND(N2980&gt;0, AG2980&gt;0), IF(Configuración!$K$2="NO", "ALERTA: DESCUENTO DOBLE NO PERMITIDO", "OK"), "OK"))</f>
        <v/>
      </c>
      <c r="AR2980" s="79">
        <f>IF(AN2980="","",IF(OR(AO2980&lt;&gt;"OK", AP2980&lt;&gt;"OK", AQ2980&lt;&gt;"OK"), "⚠️ REVISAR", "OK"))</f>
        <v/>
      </c>
    </row>
    <row r="2981">
      <c r="A2981" s="79">
        <f>IF('Ordenes_Odoo'!A2981="","",'Ordenes_Odoo'!A2981)</f>
        <v/>
      </c>
      <c r="B2981" s="80">
        <f>IF('Ordenes_Odoo'!B2981="","",'Ordenes_Odoo'!B2981)</f>
        <v/>
      </c>
      <c r="C2981" s="79">
        <f>IF('Ordenes_Odoo'!C2981="","",'Ordenes_Odoo'!C2981)</f>
        <v/>
      </c>
      <c r="D2981" s="79">
        <f>IF('Ordenes_Odoo'!D2981="","",'Ordenes_Odoo'!D2981)</f>
        <v/>
      </c>
      <c r="E2981" s="79">
        <f>IF('Ordenes_Odoo'!E2981="","",'Ordenes_Odoo'!E2981)</f>
        <v/>
      </c>
      <c r="F2981" s="79">
        <f>IF('Ordenes_Odoo'!F2981="","",'Ordenes_Odoo'!F2981)</f>
        <v/>
      </c>
      <c r="G2981" s="79">
        <f>IF('Ordenes_Odoo'!G2981="","",'Ordenes_Odoo'!G2981)</f>
        <v/>
      </c>
      <c r="H2981" s="79">
        <f>IF('Ordenes_Odoo'!H2981="","",'Ordenes_Odoo'!H2981)</f>
        <v/>
      </c>
      <c r="I2981" s="79">
        <f>IF('Ordenes_Odoo'!I2981="","",'Ordenes_Odoo'!I2981)</f>
        <v/>
      </c>
      <c r="J2981" s="79">
        <f>IF('Ordenes_Odoo'!J2981="","",'Ordenes_Odoo'!J2981)</f>
        <v/>
      </c>
      <c r="K2981" s="81">
        <f>IF('Ordenes_Odoo'!K2981="","",'Ordenes_Odoo'!K2981)</f>
        <v/>
      </c>
      <c r="L2981" s="81">
        <f>IF('Ordenes_Odoo'!L2981="","",'Ordenes_Odoo'!L2981)</f>
        <v/>
      </c>
      <c r="M2981" s="79">
        <f>IF('Ordenes_Odoo'!M2981="","",'Ordenes_Odoo'!M2981)</f>
        <v/>
      </c>
      <c r="N2981" s="79">
        <f>IF('Ordenes_Odoo'!N2981="","",'Ordenes_Odoo'!N2981)</f>
        <v/>
      </c>
      <c r="O2981" s="81">
        <f>IF('Ordenes_Odoo'!O2981="","",'Ordenes_Odoo'!O2981)</f>
        <v/>
      </c>
      <c r="P2981" s="81">
        <f>IF('Ordenes_Odoo'!P2981="","",'Ordenes_Odoo'!P2981)</f>
        <v/>
      </c>
      <c r="Q2981" s="79">
        <f>IF(A2981="","",IFERROR(INDEX(Facturas_Odoo!$B:$B, MATCH(A2981, Facturas_Odoo!$D:$D, 0)), "Sin Factura"))</f>
        <v/>
      </c>
      <c r="R2981" s="80">
        <f>IF(Q2981="Sin Factura","",IFERROR(INDEX(Facturas_Odoo!$A:$A, MATCH(Q2981, Facturas_Odoo!$B:$B, 0)), ""))</f>
        <v/>
      </c>
      <c r="S2981" s="79">
        <f>IF(Q2981="Sin Factura","",IFERROR(_xlfn.XLOOKUP(1, (Facturas_Odoo!$D:$D=A2981) * (Facturas_Odoo!$K:$K=I2981), Facturas_Odoo!$L:$L, ""), ""))</f>
        <v/>
      </c>
      <c r="T2981" s="81">
        <f>IF(Q2981="Sin Factura",0,IFERROR(_xlfn.XLOOKUP(1, (Facturas_Odoo!$D:$D=A2981) * (Facturas_Odoo!$K:$K=I2981), Facturas_Odoo!$M:$M, 0), 0))</f>
        <v/>
      </c>
      <c r="U2981" s="79">
        <f>IF(Q2981="Sin Factura",0,IFERROR(_xlfn.XLOOKUP(1, (Facturas_Odoo!$D:$D=A2981) * (Facturas_Odoo!$K:$K=I2981), Facturas_Odoo!$N:$N, 0), 0))</f>
        <v/>
      </c>
      <c r="V2981" s="79">
        <f>IF(Q2981="Sin Factura",0,IFERROR(_xlfn.XLOOKUP(1, (Facturas_Odoo!$D:$D=A2981) * (Facturas_Odoo!$K:$K=I2981), Facturas_Odoo!$O:$O, 0), 0))</f>
        <v/>
      </c>
      <c r="W2981" s="81">
        <f>IF(Q2981="Sin Factura",0,IFERROR(_xlfn.XLOOKUP(1, (Facturas_Odoo!$D:$D=A2981) * (Facturas_Odoo!$K:$K=I2981), Facturas_Odoo!$Q:$Q, 0), 0))</f>
        <v/>
      </c>
      <c r="X2981" s="79">
        <f>IF(OR(Q2981="Sin Factura",Q2981=""),"",IFERROR(INDEX(Pagos_Odoo!$B:$B, MATCH(Q2981, Pagos_Odoo!$I:$I, 0)), "Sin Pago"))</f>
        <v/>
      </c>
      <c r="Y2981" s="79">
        <f>IF(X2981="Sin Pago","",IFERROR(INDEX(Pagos_Odoo!$C:$C, MATCH(X2981, Pagos_Odoo!$B:$B, 0)), ""))</f>
        <v/>
      </c>
      <c r="Z2981" s="80">
        <f>IF(X2981="Sin Pago","",IFERROR(INDEX(Pagos_Odoo!$A:$A, MATCH(X2981, Pagos_Odoo!$B:$B, 0)), ""))</f>
        <v/>
      </c>
      <c r="AA2981" s="79">
        <f>IF(X2981="Sin Pago","",IFERROR(INDEX(Pagos_Odoo!$F:$F, MATCH(X2981, Pagos_Odoo!$B:$B, 0)), ""))</f>
        <v/>
      </c>
      <c r="AB2981" s="81">
        <f>IF(X2981="Sin Pago",0,IFERROR(INDEX(Pagos_Odoo!$E:$E, MATCH(X2981, Pagos_Odoo!$B:$B, 0)), 0))</f>
        <v/>
      </c>
      <c r="AC2981" s="79">
        <f>IF(X2981="Sin Pago","",IFERROR(INDEX(Pagos_Odoo!$G:$G, MATCH(X2981, Pagos_Odoo!$B:$B, 0)), ""))</f>
        <v/>
      </c>
      <c r="AD2981" s="82" t="n">
        <v>0</v>
      </c>
      <c r="AE2981" s="82" t="n"/>
      <c r="AF2981" s="82" t="n"/>
      <c r="AG2981" s="82">
        <f>IF(AN2981="","",AD2981+AE2981+AF2981)</f>
        <v/>
      </c>
      <c r="AH2981" s="81">
        <f>IF(AN2981="","",P2981*(1-AG2981))</f>
        <v/>
      </c>
      <c r="AI2981" s="81">
        <f>IF(AN2981="","",IF(Q2981="Sin Factura",0,IFERROR(INDEX(Facturas_Odoo!$H:$H, MATCH(Q2981, Facturas_Odoo!$B:$B, 0)), 0)*(1-AG2981)))</f>
        <v/>
      </c>
      <c r="AJ2981" s="81">
        <f>IF(AN2981="","",_xlfn.LET(idVenta, AN2981&amp;"",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81" s="81">
        <f>IF(AN2981="","",AH2981-AJ2981)</f>
        <v/>
      </c>
      <c r="AL2981" s="81">
        <f>IF(AN2981="","",IF(Q2981="Sin Factura","",AI2981-AJ2981))</f>
        <v/>
      </c>
      <c r="AM2981" s="81">
        <f>IF(AN2981="","",IF(Q2981="Sin Factura",0,P2981-IFERROR(INDEX(Facturas_Odoo!$H:$H, MATCH(Q2981, Facturas_Odoo!$B:$B, 0)), 0)))</f>
        <v/>
      </c>
      <c r="AN2981" s="79">
        <f>IF(AND(A2981="", J2981=""), "", IF(A2981&lt;&gt;"", VALUE(MID(A2981,2,LEN(A2981))), AN2980))</f>
        <v/>
      </c>
      <c r="AO2981" s="79">
        <f>IF(AN2981="","",IF(AD2981=0,"OK",_xlfn.LET(monedaPago, IF(AA2981="","USD",AA2981), limitePermitido, IFERROR(VLOOKUP(monedaPago, Configuración!$A$2:$B$3, 2, FALSE), 0.15), IF(AD2981&gt;limitePermitido, "ALERTA: EXCESO (" &amp; TEXT(limitePermitido, "0%") &amp; " máx)", "OK"))))</f>
        <v/>
      </c>
      <c r="AP2981" s="79">
        <f>IF(AN2981="","",IF(AE2981=0,"OK",_xlfn.LET(fechaPago, Z2981, fechaFactura, R2981, diasCredito, IF(E2981="Pago inmediato", 0, IFERROR(VALUE(MID(E2981, 1, SEARCH(" ", E2981)-1)),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81" s="79">
        <f>IF(AN2981="","",IF(AND(N2981&gt;0, AG2981&gt;0), IF(Configuración!$K$2="NO", "ALERTA: DESCUENTO DOBLE NO PERMITIDO", "OK"), "OK"))</f>
        <v/>
      </c>
      <c r="AR2981" s="79">
        <f>IF(AN2981="","",IF(OR(AO2981&lt;&gt;"OK", AP2981&lt;&gt;"OK", AQ2981&lt;&gt;"OK"), "⚠️ REVISAR", "OK"))</f>
        <v/>
      </c>
    </row>
    <row r="2982">
      <c r="A2982" s="79">
        <f>IF('Ordenes_Odoo'!A2982="","",'Ordenes_Odoo'!A2982)</f>
        <v/>
      </c>
      <c r="B2982" s="80">
        <f>IF('Ordenes_Odoo'!B2982="","",'Ordenes_Odoo'!B2982)</f>
        <v/>
      </c>
      <c r="C2982" s="79">
        <f>IF('Ordenes_Odoo'!C2982="","",'Ordenes_Odoo'!C2982)</f>
        <v/>
      </c>
      <c r="D2982" s="79">
        <f>IF('Ordenes_Odoo'!D2982="","",'Ordenes_Odoo'!D2982)</f>
        <v/>
      </c>
      <c r="E2982" s="79">
        <f>IF('Ordenes_Odoo'!E2982="","",'Ordenes_Odoo'!E2982)</f>
        <v/>
      </c>
      <c r="F2982" s="79">
        <f>IF('Ordenes_Odoo'!F2982="","",'Ordenes_Odoo'!F2982)</f>
        <v/>
      </c>
      <c r="G2982" s="79">
        <f>IF('Ordenes_Odoo'!G2982="","",'Ordenes_Odoo'!G2982)</f>
        <v/>
      </c>
      <c r="H2982" s="79">
        <f>IF('Ordenes_Odoo'!H2982="","",'Ordenes_Odoo'!H2982)</f>
        <v/>
      </c>
      <c r="I2982" s="79">
        <f>IF('Ordenes_Odoo'!I2982="","",'Ordenes_Odoo'!I2982)</f>
        <v/>
      </c>
      <c r="J2982" s="79">
        <f>IF('Ordenes_Odoo'!J2982="","",'Ordenes_Odoo'!J2982)</f>
        <v/>
      </c>
      <c r="K2982" s="81">
        <f>IF('Ordenes_Odoo'!K2982="","",'Ordenes_Odoo'!K2982)</f>
        <v/>
      </c>
      <c r="L2982" s="81">
        <f>IF('Ordenes_Odoo'!L2982="","",'Ordenes_Odoo'!L2982)</f>
        <v/>
      </c>
      <c r="M2982" s="79">
        <f>IF('Ordenes_Odoo'!M2982="","",'Ordenes_Odoo'!M2982)</f>
        <v/>
      </c>
      <c r="N2982" s="79">
        <f>IF('Ordenes_Odoo'!N2982="","",'Ordenes_Odoo'!N2982)</f>
        <v/>
      </c>
      <c r="O2982" s="81">
        <f>IF('Ordenes_Odoo'!O2982="","",'Ordenes_Odoo'!O2982)</f>
        <v/>
      </c>
      <c r="P2982" s="81">
        <f>IF('Ordenes_Odoo'!P2982="","",'Ordenes_Odoo'!P2982)</f>
        <v/>
      </c>
      <c r="Q2982" s="79">
        <f>IF(A2982="","",IFERROR(INDEX(Facturas_Odoo!$B:$B, MATCH(A2982, Facturas_Odoo!$D:$D, 0)), "Sin Factura"))</f>
        <v/>
      </c>
      <c r="R2982" s="80">
        <f>IF(Q2982="Sin Factura","",IFERROR(INDEX(Facturas_Odoo!$A:$A, MATCH(Q2982, Facturas_Odoo!$B:$B, 0)), ""))</f>
        <v/>
      </c>
      <c r="S2982" s="79">
        <f>IF(Q2982="Sin Factura","",IFERROR(_xlfn.XLOOKUP(1, (Facturas_Odoo!$D:$D=A2982) * (Facturas_Odoo!$K:$K=I2982), Facturas_Odoo!$L:$L, ""), ""))</f>
        <v/>
      </c>
      <c r="T2982" s="81">
        <f>IF(Q2982="Sin Factura",0,IFERROR(_xlfn.XLOOKUP(1, (Facturas_Odoo!$D:$D=A2982) * (Facturas_Odoo!$K:$K=I2982), Facturas_Odoo!$M:$M, 0), 0))</f>
        <v/>
      </c>
      <c r="U2982" s="79">
        <f>IF(Q2982="Sin Factura",0,IFERROR(_xlfn.XLOOKUP(1, (Facturas_Odoo!$D:$D=A2982) * (Facturas_Odoo!$K:$K=I2982), Facturas_Odoo!$N:$N, 0), 0))</f>
        <v/>
      </c>
      <c r="V2982" s="79">
        <f>IF(Q2982="Sin Factura",0,IFERROR(_xlfn.XLOOKUP(1, (Facturas_Odoo!$D:$D=A2982) * (Facturas_Odoo!$K:$K=I2982), Facturas_Odoo!$O:$O, 0), 0))</f>
        <v/>
      </c>
      <c r="W2982" s="81">
        <f>IF(Q2982="Sin Factura",0,IFERROR(_xlfn.XLOOKUP(1, (Facturas_Odoo!$D:$D=A2982) * (Facturas_Odoo!$K:$K=I2982), Facturas_Odoo!$Q:$Q, 0), 0))</f>
        <v/>
      </c>
      <c r="X2982" s="79">
        <f>IF(OR(Q2982="Sin Factura",Q2982=""),"",IFERROR(INDEX(Pagos_Odoo!$B:$B, MATCH(Q2982, Pagos_Odoo!$I:$I, 0)), "Sin Pago"))</f>
        <v/>
      </c>
      <c r="Y2982" s="79">
        <f>IF(X2982="Sin Pago","",IFERROR(INDEX(Pagos_Odoo!$C:$C, MATCH(X2982, Pagos_Odoo!$B:$B, 0)), ""))</f>
        <v/>
      </c>
      <c r="Z2982" s="80">
        <f>IF(X2982="Sin Pago","",IFERROR(INDEX(Pagos_Odoo!$A:$A, MATCH(X2982, Pagos_Odoo!$B:$B, 0)), ""))</f>
        <v/>
      </c>
      <c r="AA2982" s="79">
        <f>IF(X2982="Sin Pago","",IFERROR(INDEX(Pagos_Odoo!$F:$F, MATCH(X2982, Pagos_Odoo!$B:$B, 0)), ""))</f>
        <v/>
      </c>
      <c r="AB2982" s="81">
        <f>IF(X2982="Sin Pago",0,IFERROR(INDEX(Pagos_Odoo!$E:$E, MATCH(X2982, Pagos_Odoo!$B:$B, 0)), 0))</f>
        <v/>
      </c>
      <c r="AC2982" s="79">
        <f>IF(X2982="Sin Pago","",IFERROR(INDEX(Pagos_Odoo!$G:$G, MATCH(X2982, Pagos_Odoo!$B:$B, 0)), ""))</f>
        <v/>
      </c>
      <c r="AD2982" s="82" t="n">
        <v>0</v>
      </c>
      <c r="AE2982" s="82" t="n"/>
      <c r="AF2982" s="82" t="n"/>
      <c r="AG2982" s="82">
        <f>IF(AN2982="","",AD2982+AE2982+AF2982)</f>
        <v/>
      </c>
      <c r="AH2982" s="81">
        <f>IF(AN2982="","",P2982*(1-AG2982))</f>
        <v/>
      </c>
      <c r="AI2982" s="81">
        <f>IF(AN2982="","",IF(Q2982="Sin Factura",0,IFERROR(INDEX(Facturas_Odoo!$H:$H, MATCH(Q2982, Facturas_Odoo!$B:$B, 0)), 0)*(1-AG2982)))</f>
        <v/>
      </c>
      <c r="AJ2982" s="81">
        <f>IF(AN2982="","",_xlfn.LET(idVenta, AN2982&amp;"",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82" s="81">
        <f>IF(AN2982="","",AH2982-AJ2982)</f>
        <v/>
      </c>
      <c r="AL2982" s="81">
        <f>IF(AN2982="","",IF(Q2982="Sin Factura","",AI2982-AJ2982))</f>
        <v/>
      </c>
      <c r="AM2982" s="81">
        <f>IF(AN2982="","",IF(Q2982="Sin Factura",0,P2982-IFERROR(INDEX(Facturas_Odoo!$H:$H, MATCH(Q2982, Facturas_Odoo!$B:$B, 0)), 0)))</f>
        <v/>
      </c>
      <c r="AN2982" s="79">
        <f>IF(AND(A2982="", J2982=""), "", IF(A2982&lt;&gt;"", VALUE(MID(A2982,2,LEN(A2982))), AN2981))</f>
        <v/>
      </c>
      <c r="AO2982" s="79">
        <f>IF(AN2982="","",IF(AD2982=0,"OK",_xlfn.LET(monedaPago, IF(AA2982="","USD",AA2982), limitePermitido, IFERROR(VLOOKUP(monedaPago, Configuración!$A$2:$B$3, 2, FALSE), 0.15), IF(AD2982&gt;limitePermitido, "ALERTA: EXCESO (" &amp; TEXT(limitePermitido, "0%") &amp; " máx)", "OK"))))</f>
        <v/>
      </c>
      <c r="AP2982" s="79">
        <f>IF(AN2982="","",IF(AE2982=0,"OK",_xlfn.LET(fechaPago, Z2982, fechaFactura, R2982, diasCredito, IF(E2982="Pago inmediato", 0, IFERROR(VALUE(MID(E2982, 1, SEARCH(" ", E2982)-1)),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82" s="79">
        <f>IF(AN2982="","",IF(AND(N2982&gt;0, AG2982&gt;0), IF(Configuración!$K$2="NO", "ALERTA: DESCUENTO DOBLE NO PERMITIDO", "OK"), "OK"))</f>
        <v/>
      </c>
      <c r="AR2982" s="79">
        <f>IF(AN2982="","",IF(OR(AO2982&lt;&gt;"OK", AP2982&lt;&gt;"OK", AQ2982&lt;&gt;"OK"), "⚠️ REVISAR", "OK"))</f>
        <v/>
      </c>
    </row>
    <row r="2983">
      <c r="A2983" s="79">
        <f>IF('Ordenes_Odoo'!A2983="","",'Ordenes_Odoo'!A2983)</f>
        <v/>
      </c>
      <c r="B2983" s="80">
        <f>IF('Ordenes_Odoo'!B2983="","",'Ordenes_Odoo'!B2983)</f>
        <v/>
      </c>
      <c r="C2983" s="79">
        <f>IF('Ordenes_Odoo'!C2983="","",'Ordenes_Odoo'!C2983)</f>
        <v/>
      </c>
      <c r="D2983" s="79">
        <f>IF('Ordenes_Odoo'!D2983="","",'Ordenes_Odoo'!D2983)</f>
        <v/>
      </c>
      <c r="E2983" s="79">
        <f>IF('Ordenes_Odoo'!E2983="","",'Ordenes_Odoo'!E2983)</f>
        <v/>
      </c>
      <c r="F2983" s="79">
        <f>IF('Ordenes_Odoo'!F2983="","",'Ordenes_Odoo'!F2983)</f>
        <v/>
      </c>
      <c r="G2983" s="79">
        <f>IF('Ordenes_Odoo'!G2983="","",'Ordenes_Odoo'!G2983)</f>
        <v/>
      </c>
      <c r="H2983" s="79">
        <f>IF('Ordenes_Odoo'!H2983="","",'Ordenes_Odoo'!H2983)</f>
        <v/>
      </c>
      <c r="I2983" s="79">
        <f>IF('Ordenes_Odoo'!I2983="","",'Ordenes_Odoo'!I2983)</f>
        <v/>
      </c>
      <c r="J2983" s="79">
        <f>IF('Ordenes_Odoo'!J2983="","",'Ordenes_Odoo'!J2983)</f>
        <v/>
      </c>
      <c r="K2983" s="81">
        <f>IF('Ordenes_Odoo'!K2983="","",'Ordenes_Odoo'!K2983)</f>
        <v/>
      </c>
      <c r="L2983" s="81">
        <f>IF('Ordenes_Odoo'!L2983="","",'Ordenes_Odoo'!L2983)</f>
        <v/>
      </c>
      <c r="M2983" s="79">
        <f>IF('Ordenes_Odoo'!M2983="","",'Ordenes_Odoo'!M2983)</f>
        <v/>
      </c>
      <c r="N2983" s="79">
        <f>IF('Ordenes_Odoo'!N2983="","",'Ordenes_Odoo'!N2983)</f>
        <v/>
      </c>
      <c r="O2983" s="81">
        <f>IF('Ordenes_Odoo'!O2983="","",'Ordenes_Odoo'!O2983)</f>
        <v/>
      </c>
      <c r="P2983" s="81">
        <f>IF('Ordenes_Odoo'!P2983="","",'Ordenes_Odoo'!P2983)</f>
        <v/>
      </c>
      <c r="Q2983" s="79">
        <f>IF(A2983="","",IFERROR(INDEX(Facturas_Odoo!$B:$B, MATCH(A2983, Facturas_Odoo!$D:$D, 0)), "Sin Factura"))</f>
        <v/>
      </c>
      <c r="R2983" s="80">
        <f>IF(Q2983="Sin Factura","",IFERROR(INDEX(Facturas_Odoo!$A:$A, MATCH(Q2983, Facturas_Odoo!$B:$B, 0)), ""))</f>
        <v/>
      </c>
      <c r="S2983" s="79">
        <f>IF(Q2983="Sin Factura","",IFERROR(_xlfn.XLOOKUP(1, (Facturas_Odoo!$D:$D=A2983) * (Facturas_Odoo!$K:$K=I2983), Facturas_Odoo!$L:$L, ""), ""))</f>
        <v/>
      </c>
      <c r="T2983" s="81">
        <f>IF(Q2983="Sin Factura",0,IFERROR(_xlfn.XLOOKUP(1, (Facturas_Odoo!$D:$D=A2983) * (Facturas_Odoo!$K:$K=I2983), Facturas_Odoo!$M:$M, 0), 0))</f>
        <v/>
      </c>
      <c r="U2983" s="79">
        <f>IF(Q2983="Sin Factura",0,IFERROR(_xlfn.XLOOKUP(1, (Facturas_Odoo!$D:$D=A2983) * (Facturas_Odoo!$K:$K=I2983), Facturas_Odoo!$N:$N, 0), 0))</f>
        <v/>
      </c>
      <c r="V2983" s="79">
        <f>IF(Q2983="Sin Factura",0,IFERROR(_xlfn.XLOOKUP(1, (Facturas_Odoo!$D:$D=A2983) * (Facturas_Odoo!$K:$K=I2983), Facturas_Odoo!$O:$O, 0), 0))</f>
        <v/>
      </c>
      <c r="W2983" s="81">
        <f>IF(Q2983="Sin Factura",0,IFERROR(_xlfn.XLOOKUP(1, (Facturas_Odoo!$D:$D=A2983) * (Facturas_Odoo!$K:$K=I2983), Facturas_Odoo!$Q:$Q, 0), 0))</f>
        <v/>
      </c>
      <c r="X2983" s="79">
        <f>IF(OR(Q2983="Sin Factura",Q2983=""),"",IFERROR(INDEX(Pagos_Odoo!$B:$B, MATCH(Q2983, Pagos_Odoo!$I:$I, 0)), "Sin Pago"))</f>
        <v/>
      </c>
      <c r="Y2983" s="79">
        <f>IF(X2983="Sin Pago","",IFERROR(INDEX(Pagos_Odoo!$C:$C, MATCH(X2983, Pagos_Odoo!$B:$B, 0)), ""))</f>
        <v/>
      </c>
      <c r="Z2983" s="80">
        <f>IF(X2983="Sin Pago","",IFERROR(INDEX(Pagos_Odoo!$A:$A, MATCH(X2983, Pagos_Odoo!$B:$B, 0)), ""))</f>
        <v/>
      </c>
      <c r="AA2983" s="79">
        <f>IF(X2983="Sin Pago","",IFERROR(INDEX(Pagos_Odoo!$F:$F, MATCH(X2983, Pagos_Odoo!$B:$B, 0)), ""))</f>
        <v/>
      </c>
      <c r="AB2983" s="81">
        <f>IF(X2983="Sin Pago",0,IFERROR(INDEX(Pagos_Odoo!$E:$E, MATCH(X2983, Pagos_Odoo!$B:$B, 0)), 0))</f>
        <v/>
      </c>
      <c r="AC2983" s="79">
        <f>IF(X2983="Sin Pago","",IFERROR(INDEX(Pagos_Odoo!$G:$G, MATCH(X2983, Pagos_Odoo!$B:$B, 0)), ""))</f>
        <v/>
      </c>
      <c r="AD2983" s="82" t="n">
        <v>0</v>
      </c>
      <c r="AE2983" s="82" t="n"/>
      <c r="AF2983" s="82" t="n"/>
      <c r="AG2983" s="82">
        <f>IF(AN2983="","",AD2983+AE2983+AF2983)</f>
        <v/>
      </c>
      <c r="AH2983" s="81">
        <f>IF(AN2983="","",P2983*(1-AG2983))</f>
        <v/>
      </c>
      <c r="AI2983" s="81">
        <f>IF(AN2983="","",IF(Q2983="Sin Factura",0,IFERROR(INDEX(Facturas_Odoo!$H:$H, MATCH(Q2983, Facturas_Odoo!$B:$B, 0)), 0)*(1-AG2983)))</f>
        <v/>
      </c>
      <c r="AJ2983" s="81">
        <f>IF(AN2983="","",_xlfn.LET(idVenta, AN2983&amp;"",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83" s="81">
        <f>IF(AN2983="","",AH2983-AJ2983)</f>
        <v/>
      </c>
      <c r="AL2983" s="81">
        <f>IF(AN2983="","",IF(Q2983="Sin Factura","",AI2983-AJ2983))</f>
        <v/>
      </c>
      <c r="AM2983" s="81">
        <f>IF(AN2983="","",IF(Q2983="Sin Factura",0,P2983-IFERROR(INDEX(Facturas_Odoo!$H:$H, MATCH(Q2983, Facturas_Odoo!$B:$B, 0)), 0)))</f>
        <v/>
      </c>
      <c r="AN2983" s="79">
        <f>IF(AND(A2983="", J2983=""), "", IF(A2983&lt;&gt;"", VALUE(MID(A2983,2,LEN(A2983))), AN2982))</f>
        <v/>
      </c>
      <c r="AO2983" s="79">
        <f>IF(AN2983="","",IF(AD2983=0,"OK",_xlfn.LET(monedaPago, IF(AA2983="","USD",AA2983), limitePermitido, IFERROR(VLOOKUP(monedaPago, Configuración!$A$2:$B$3, 2, FALSE), 0.15), IF(AD2983&gt;limitePermitido, "ALERTA: EXCESO (" &amp; TEXT(limitePermitido, "0%") &amp; " máx)", "OK"))))</f>
        <v/>
      </c>
      <c r="AP2983" s="79">
        <f>IF(AN2983="","",IF(AE2983=0,"OK",_xlfn.LET(fechaPago, Z2983, fechaFactura, R2983, diasCredito, IF(E2983="Pago inmediato", 0, IFERROR(VALUE(MID(E2983, 1, SEARCH(" ", E2983)-1)),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83" s="79">
        <f>IF(AN2983="","",IF(AND(N2983&gt;0, AG2983&gt;0), IF(Configuración!$K$2="NO", "ALERTA: DESCUENTO DOBLE NO PERMITIDO", "OK"), "OK"))</f>
        <v/>
      </c>
      <c r="AR2983" s="79">
        <f>IF(AN2983="","",IF(OR(AO2983&lt;&gt;"OK", AP2983&lt;&gt;"OK", AQ2983&lt;&gt;"OK"), "⚠️ REVISAR", "OK"))</f>
        <v/>
      </c>
    </row>
    <row r="2984">
      <c r="A2984" s="79">
        <f>IF('Ordenes_Odoo'!A2984="","",'Ordenes_Odoo'!A2984)</f>
        <v/>
      </c>
      <c r="B2984" s="80">
        <f>IF('Ordenes_Odoo'!B2984="","",'Ordenes_Odoo'!B2984)</f>
        <v/>
      </c>
      <c r="C2984" s="79">
        <f>IF('Ordenes_Odoo'!C2984="","",'Ordenes_Odoo'!C2984)</f>
        <v/>
      </c>
      <c r="D2984" s="79">
        <f>IF('Ordenes_Odoo'!D2984="","",'Ordenes_Odoo'!D2984)</f>
        <v/>
      </c>
      <c r="E2984" s="79">
        <f>IF('Ordenes_Odoo'!E2984="","",'Ordenes_Odoo'!E2984)</f>
        <v/>
      </c>
      <c r="F2984" s="79">
        <f>IF('Ordenes_Odoo'!F2984="","",'Ordenes_Odoo'!F2984)</f>
        <v/>
      </c>
      <c r="G2984" s="79">
        <f>IF('Ordenes_Odoo'!G2984="","",'Ordenes_Odoo'!G2984)</f>
        <v/>
      </c>
      <c r="H2984" s="79">
        <f>IF('Ordenes_Odoo'!H2984="","",'Ordenes_Odoo'!H2984)</f>
        <v/>
      </c>
      <c r="I2984" s="79">
        <f>IF('Ordenes_Odoo'!I2984="","",'Ordenes_Odoo'!I2984)</f>
        <v/>
      </c>
      <c r="J2984" s="79">
        <f>IF('Ordenes_Odoo'!J2984="","",'Ordenes_Odoo'!J2984)</f>
        <v/>
      </c>
      <c r="K2984" s="81">
        <f>IF('Ordenes_Odoo'!K2984="","",'Ordenes_Odoo'!K2984)</f>
        <v/>
      </c>
      <c r="L2984" s="81">
        <f>IF('Ordenes_Odoo'!L2984="","",'Ordenes_Odoo'!L2984)</f>
        <v/>
      </c>
      <c r="M2984" s="79">
        <f>IF('Ordenes_Odoo'!M2984="","",'Ordenes_Odoo'!M2984)</f>
        <v/>
      </c>
      <c r="N2984" s="79">
        <f>IF('Ordenes_Odoo'!N2984="","",'Ordenes_Odoo'!N2984)</f>
        <v/>
      </c>
      <c r="O2984" s="81">
        <f>IF('Ordenes_Odoo'!O2984="","",'Ordenes_Odoo'!O2984)</f>
        <v/>
      </c>
      <c r="P2984" s="81">
        <f>IF('Ordenes_Odoo'!P2984="","",'Ordenes_Odoo'!P2984)</f>
        <v/>
      </c>
      <c r="Q2984" s="79">
        <f>IF(A2984="","",IFERROR(INDEX(Facturas_Odoo!$B:$B, MATCH(A2984, Facturas_Odoo!$D:$D, 0)), "Sin Factura"))</f>
        <v/>
      </c>
      <c r="R2984" s="80">
        <f>IF(Q2984="Sin Factura","",IFERROR(INDEX(Facturas_Odoo!$A:$A, MATCH(Q2984, Facturas_Odoo!$B:$B, 0)), ""))</f>
        <v/>
      </c>
      <c r="S2984" s="79">
        <f>IF(Q2984="Sin Factura","",IFERROR(_xlfn.XLOOKUP(1, (Facturas_Odoo!$D:$D=A2984) * (Facturas_Odoo!$K:$K=I2984), Facturas_Odoo!$L:$L, ""), ""))</f>
        <v/>
      </c>
      <c r="T2984" s="81">
        <f>IF(Q2984="Sin Factura",0,IFERROR(_xlfn.XLOOKUP(1, (Facturas_Odoo!$D:$D=A2984) * (Facturas_Odoo!$K:$K=I2984), Facturas_Odoo!$M:$M, 0), 0))</f>
        <v/>
      </c>
      <c r="U2984" s="79">
        <f>IF(Q2984="Sin Factura",0,IFERROR(_xlfn.XLOOKUP(1, (Facturas_Odoo!$D:$D=A2984) * (Facturas_Odoo!$K:$K=I2984), Facturas_Odoo!$N:$N, 0), 0))</f>
        <v/>
      </c>
      <c r="V2984" s="79">
        <f>IF(Q2984="Sin Factura",0,IFERROR(_xlfn.XLOOKUP(1, (Facturas_Odoo!$D:$D=A2984) * (Facturas_Odoo!$K:$K=I2984), Facturas_Odoo!$O:$O, 0), 0))</f>
        <v/>
      </c>
      <c r="W2984" s="81">
        <f>IF(Q2984="Sin Factura",0,IFERROR(_xlfn.XLOOKUP(1, (Facturas_Odoo!$D:$D=A2984) * (Facturas_Odoo!$K:$K=I2984), Facturas_Odoo!$Q:$Q, 0), 0))</f>
        <v/>
      </c>
      <c r="X2984" s="79">
        <f>IF(OR(Q2984="Sin Factura",Q2984=""),"",IFERROR(INDEX(Pagos_Odoo!$B:$B, MATCH(Q2984, Pagos_Odoo!$I:$I, 0)), "Sin Pago"))</f>
        <v/>
      </c>
      <c r="Y2984" s="79">
        <f>IF(X2984="Sin Pago","",IFERROR(INDEX(Pagos_Odoo!$C:$C, MATCH(X2984, Pagos_Odoo!$B:$B, 0)), ""))</f>
        <v/>
      </c>
      <c r="Z2984" s="80">
        <f>IF(X2984="Sin Pago","",IFERROR(INDEX(Pagos_Odoo!$A:$A, MATCH(X2984, Pagos_Odoo!$B:$B, 0)), ""))</f>
        <v/>
      </c>
      <c r="AA2984" s="79">
        <f>IF(X2984="Sin Pago","",IFERROR(INDEX(Pagos_Odoo!$F:$F, MATCH(X2984, Pagos_Odoo!$B:$B, 0)), ""))</f>
        <v/>
      </c>
      <c r="AB2984" s="81">
        <f>IF(X2984="Sin Pago",0,IFERROR(INDEX(Pagos_Odoo!$E:$E, MATCH(X2984, Pagos_Odoo!$B:$B, 0)), 0))</f>
        <v/>
      </c>
      <c r="AC2984" s="79">
        <f>IF(X2984="Sin Pago","",IFERROR(INDEX(Pagos_Odoo!$G:$G, MATCH(X2984, Pagos_Odoo!$B:$B, 0)), ""))</f>
        <v/>
      </c>
      <c r="AD2984" s="82" t="n">
        <v>0</v>
      </c>
      <c r="AE2984" s="82" t="n"/>
      <c r="AF2984" s="82" t="n"/>
      <c r="AG2984" s="82">
        <f>IF(AN2984="","",AD2984+AE2984+AF2984)</f>
        <v/>
      </c>
      <c r="AH2984" s="81">
        <f>IF(AN2984="","",P2984*(1-AG2984))</f>
        <v/>
      </c>
      <c r="AI2984" s="81">
        <f>IF(AN2984="","",IF(Q2984="Sin Factura",0,IFERROR(INDEX(Facturas_Odoo!$H:$H, MATCH(Q2984, Facturas_Odoo!$B:$B, 0)), 0)*(1-AG2984)))</f>
        <v/>
      </c>
      <c r="AJ2984" s="81">
        <f>IF(AN2984="","",_xlfn.LET(idVenta, AN2984&amp;"",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84" s="81">
        <f>IF(AN2984="","",AH2984-AJ2984)</f>
        <v/>
      </c>
      <c r="AL2984" s="81">
        <f>IF(AN2984="","",IF(Q2984="Sin Factura","",AI2984-AJ2984))</f>
        <v/>
      </c>
      <c r="AM2984" s="81">
        <f>IF(AN2984="","",IF(Q2984="Sin Factura",0,P2984-IFERROR(INDEX(Facturas_Odoo!$H:$H, MATCH(Q2984, Facturas_Odoo!$B:$B, 0)), 0)))</f>
        <v/>
      </c>
      <c r="AN2984" s="79">
        <f>IF(AND(A2984="", J2984=""), "", IF(A2984&lt;&gt;"", VALUE(MID(A2984,2,LEN(A2984))), AN2983))</f>
        <v/>
      </c>
      <c r="AO2984" s="79">
        <f>IF(AN2984="","",IF(AD2984=0,"OK",_xlfn.LET(monedaPago, IF(AA2984="","USD",AA2984), limitePermitido, IFERROR(VLOOKUP(monedaPago, Configuración!$A$2:$B$3, 2, FALSE), 0.15), IF(AD2984&gt;limitePermitido, "ALERTA: EXCESO (" &amp; TEXT(limitePermitido, "0%") &amp; " máx)", "OK"))))</f>
        <v/>
      </c>
      <c r="AP2984" s="79">
        <f>IF(AN2984="","",IF(AE2984=0,"OK",_xlfn.LET(fechaPago, Z2984, fechaFactura, R2984, diasCredito, IF(E2984="Pago inmediato", 0, IFERROR(VALUE(MID(E2984, 1, SEARCH(" ", E2984)-1)),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84" s="79">
        <f>IF(AN2984="","",IF(AND(N2984&gt;0, AG2984&gt;0), IF(Configuración!$K$2="NO", "ALERTA: DESCUENTO DOBLE NO PERMITIDO", "OK"), "OK"))</f>
        <v/>
      </c>
      <c r="AR2984" s="79">
        <f>IF(AN2984="","",IF(OR(AO2984&lt;&gt;"OK", AP2984&lt;&gt;"OK", AQ2984&lt;&gt;"OK"), "⚠️ REVISAR", "OK"))</f>
        <v/>
      </c>
    </row>
    <row r="2985">
      <c r="A2985" s="79">
        <f>IF('Ordenes_Odoo'!A2985="","",'Ordenes_Odoo'!A2985)</f>
        <v/>
      </c>
      <c r="B2985" s="80">
        <f>IF('Ordenes_Odoo'!B2985="","",'Ordenes_Odoo'!B2985)</f>
        <v/>
      </c>
      <c r="C2985" s="79">
        <f>IF('Ordenes_Odoo'!C2985="","",'Ordenes_Odoo'!C2985)</f>
        <v/>
      </c>
      <c r="D2985" s="79">
        <f>IF('Ordenes_Odoo'!D2985="","",'Ordenes_Odoo'!D2985)</f>
        <v/>
      </c>
      <c r="E2985" s="79">
        <f>IF('Ordenes_Odoo'!E2985="","",'Ordenes_Odoo'!E2985)</f>
        <v/>
      </c>
      <c r="F2985" s="79">
        <f>IF('Ordenes_Odoo'!F2985="","",'Ordenes_Odoo'!F2985)</f>
        <v/>
      </c>
      <c r="G2985" s="79">
        <f>IF('Ordenes_Odoo'!G2985="","",'Ordenes_Odoo'!G2985)</f>
        <v/>
      </c>
      <c r="H2985" s="79">
        <f>IF('Ordenes_Odoo'!H2985="","",'Ordenes_Odoo'!H2985)</f>
        <v/>
      </c>
      <c r="I2985" s="79">
        <f>IF('Ordenes_Odoo'!I2985="","",'Ordenes_Odoo'!I2985)</f>
        <v/>
      </c>
      <c r="J2985" s="79">
        <f>IF('Ordenes_Odoo'!J2985="","",'Ordenes_Odoo'!J2985)</f>
        <v/>
      </c>
      <c r="K2985" s="81">
        <f>IF('Ordenes_Odoo'!K2985="","",'Ordenes_Odoo'!K2985)</f>
        <v/>
      </c>
      <c r="L2985" s="81">
        <f>IF('Ordenes_Odoo'!L2985="","",'Ordenes_Odoo'!L2985)</f>
        <v/>
      </c>
      <c r="M2985" s="79">
        <f>IF('Ordenes_Odoo'!M2985="","",'Ordenes_Odoo'!M2985)</f>
        <v/>
      </c>
      <c r="N2985" s="79">
        <f>IF('Ordenes_Odoo'!N2985="","",'Ordenes_Odoo'!N2985)</f>
        <v/>
      </c>
      <c r="O2985" s="81">
        <f>IF('Ordenes_Odoo'!O2985="","",'Ordenes_Odoo'!O2985)</f>
        <v/>
      </c>
      <c r="P2985" s="81">
        <f>IF('Ordenes_Odoo'!P2985="","",'Ordenes_Odoo'!P2985)</f>
        <v/>
      </c>
      <c r="Q2985" s="79">
        <f>IF(A2985="","",IFERROR(INDEX(Facturas_Odoo!$B:$B, MATCH(A2985, Facturas_Odoo!$D:$D, 0)), "Sin Factura"))</f>
        <v/>
      </c>
      <c r="R2985" s="80">
        <f>IF(Q2985="Sin Factura","",IFERROR(INDEX(Facturas_Odoo!$A:$A, MATCH(Q2985, Facturas_Odoo!$B:$B, 0)), ""))</f>
        <v/>
      </c>
      <c r="S2985" s="79">
        <f>IF(Q2985="Sin Factura","",IFERROR(_xlfn.XLOOKUP(1, (Facturas_Odoo!$D:$D=A2985) * (Facturas_Odoo!$K:$K=I2985), Facturas_Odoo!$L:$L, ""), ""))</f>
        <v/>
      </c>
      <c r="T2985" s="81">
        <f>IF(Q2985="Sin Factura",0,IFERROR(_xlfn.XLOOKUP(1, (Facturas_Odoo!$D:$D=A2985) * (Facturas_Odoo!$K:$K=I2985), Facturas_Odoo!$M:$M, 0), 0))</f>
        <v/>
      </c>
      <c r="U2985" s="79">
        <f>IF(Q2985="Sin Factura",0,IFERROR(_xlfn.XLOOKUP(1, (Facturas_Odoo!$D:$D=A2985) * (Facturas_Odoo!$K:$K=I2985), Facturas_Odoo!$N:$N, 0), 0))</f>
        <v/>
      </c>
      <c r="V2985" s="79">
        <f>IF(Q2985="Sin Factura",0,IFERROR(_xlfn.XLOOKUP(1, (Facturas_Odoo!$D:$D=A2985) * (Facturas_Odoo!$K:$K=I2985), Facturas_Odoo!$O:$O, 0), 0))</f>
        <v/>
      </c>
      <c r="W2985" s="81">
        <f>IF(Q2985="Sin Factura",0,IFERROR(_xlfn.XLOOKUP(1, (Facturas_Odoo!$D:$D=A2985) * (Facturas_Odoo!$K:$K=I2985), Facturas_Odoo!$Q:$Q, 0), 0))</f>
        <v/>
      </c>
      <c r="X2985" s="79">
        <f>IF(OR(Q2985="Sin Factura",Q2985=""),"",IFERROR(INDEX(Pagos_Odoo!$B:$B, MATCH(Q2985, Pagos_Odoo!$I:$I, 0)), "Sin Pago"))</f>
        <v/>
      </c>
      <c r="Y2985" s="79">
        <f>IF(X2985="Sin Pago","",IFERROR(INDEX(Pagos_Odoo!$C:$C, MATCH(X2985, Pagos_Odoo!$B:$B, 0)), ""))</f>
        <v/>
      </c>
      <c r="Z2985" s="80">
        <f>IF(X2985="Sin Pago","",IFERROR(INDEX(Pagos_Odoo!$A:$A, MATCH(X2985, Pagos_Odoo!$B:$B, 0)), ""))</f>
        <v/>
      </c>
      <c r="AA2985" s="79">
        <f>IF(X2985="Sin Pago","",IFERROR(INDEX(Pagos_Odoo!$F:$F, MATCH(X2985, Pagos_Odoo!$B:$B, 0)), ""))</f>
        <v/>
      </c>
      <c r="AB2985" s="81">
        <f>IF(X2985="Sin Pago",0,IFERROR(INDEX(Pagos_Odoo!$E:$E, MATCH(X2985, Pagos_Odoo!$B:$B, 0)), 0))</f>
        <v/>
      </c>
      <c r="AC2985" s="79">
        <f>IF(X2985="Sin Pago","",IFERROR(INDEX(Pagos_Odoo!$G:$G, MATCH(X2985, Pagos_Odoo!$B:$B, 0)), ""))</f>
        <v/>
      </c>
      <c r="AD2985" s="82" t="n">
        <v>0</v>
      </c>
      <c r="AE2985" s="82" t="n"/>
      <c r="AF2985" s="82" t="n"/>
      <c r="AG2985" s="82">
        <f>IF(AN2985="","",AD2985+AE2985+AF2985)</f>
        <v/>
      </c>
      <c r="AH2985" s="81">
        <f>IF(AN2985="","",P2985*(1-AG2985))</f>
        <v/>
      </c>
      <c r="AI2985" s="81">
        <f>IF(AN2985="","",IF(Q2985="Sin Factura",0,IFERROR(INDEX(Facturas_Odoo!$H:$H, MATCH(Q2985, Facturas_Odoo!$B:$B, 0)), 0)*(1-AG2985)))</f>
        <v/>
      </c>
      <c r="AJ2985" s="81">
        <f>IF(AN2985="","",_xlfn.LET(idVenta, AN2985&amp;"",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85" s="81">
        <f>IF(AN2985="","",AH2985-AJ2985)</f>
        <v/>
      </c>
      <c r="AL2985" s="81">
        <f>IF(AN2985="","",IF(Q2985="Sin Factura","",AI2985-AJ2985))</f>
        <v/>
      </c>
      <c r="AM2985" s="81">
        <f>IF(AN2985="","",IF(Q2985="Sin Factura",0,P2985-IFERROR(INDEX(Facturas_Odoo!$H:$H, MATCH(Q2985, Facturas_Odoo!$B:$B, 0)), 0)))</f>
        <v/>
      </c>
      <c r="AN2985" s="79">
        <f>IF(AND(A2985="", J2985=""), "", IF(A2985&lt;&gt;"", VALUE(MID(A2985,2,LEN(A2985))), AN2984))</f>
        <v/>
      </c>
      <c r="AO2985" s="79">
        <f>IF(AN2985="","",IF(AD2985=0,"OK",_xlfn.LET(monedaPago, IF(AA2985="","USD",AA2985), limitePermitido, IFERROR(VLOOKUP(monedaPago, Configuración!$A$2:$B$3, 2, FALSE), 0.15), IF(AD2985&gt;limitePermitido, "ALERTA: EXCESO (" &amp; TEXT(limitePermitido, "0%") &amp; " máx)", "OK"))))</f>
        <v/>
      </c>
      <c r="AP2985" s="79">
        <f>IF(AN2985="","",IF(AE2985=0,"OK",_xlfn.LET(fechaPago, Z2985, fechaFactura, R2985, diasCredito, IF(E2985="Pago inmediato", 0, IFERROR(VALUE(MID(E2985, 1, SEARCH(" ", E2985)-1)),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85" s="79">
        <f>IF(AN2985="","",IF(AND(N2985&gt;0, AG2985&gt;0), IF(Configuración!$K$2="NO", "ALERTA: DESCUENTO DOBLE NO PERMITIDO", "OK"), "OK"))</f>
        <v/>
      </c>
      <c r="AR2985" s="79">
        <f>IF(AN2985="","",IF(OR(AO2985&lt;&gt;"OK", AP2985&lt;&gt;"OK", AQ2985&lt;&gt;"OK"), "⚠️ REVISAR", "OK"))</f>
        <v/>
      </c>
    </row>
    <row r="2986">
      <c r="A2986" s="79">
        <f>IF('Ordenes_Odoo'!A2986="","",'Ordenes_Odoo'!A2986)</f>
        <v/>
      </c>
      <c r="B2986" s="80">
        <f>IF('Ordenes_Odoo'!B2986="","",'Ordenes_Odoo'!B2986)</f>
        <v/>
      </c>
      <c r="C2986" s="79">
        <f>IF('Ordenes_Odoo'!C2986="","",'Ordenes_Odoo'!C2986)</f>
        <v/>
      </c>
      <c r="D2986" s="79">
        <f>IF('Ordenes_Odoo'!D2986="","",'Ordenes_Odoo'!D2986)</f>
        <v/>
      </c>
      <c r="E2986" s="79">
        <f>IF('Ordenes_Odoo'!E2986="","",'Ordenes_Odoo'!E2986)</f>
        <v/>
      </c>
      <c r="F2986" s="79">
        <f>IF('Ordenes_Odoo'!F2986="","",'Ordenes_Odoo'!F2986)</f>
        <v/>
      </c>
      <c r="G2986" s="79">
        <f>IF('Ordenes_Odoo'!G2986="","",'Ordenes_Odoo'!G2986)</f>
        <v/>
      </c>
      <c r="H2986" s="79">
        <f>IF('Ordenes_Odoo'!H2986="","",'Ordenes_Odoo'!H2986)</f>
        <v/>
      </c>
      <c r="I2986" s="79">
        <f>IF('Ordenes_Odoo'!I2986="","",'Ordenes_Odoo'!I2986)</f>
        <v/>
      </c>
      <c r="J2986" s="79">
        <f>IF('Ordenes_Odoo'!J2986="","",'Ordenes_Odoo'!J2986)</f>
        <v/>
      </c>
      <c r="K2986" s="81">
        <f>IF('Ordenes_Odoo'!K2986="","",'Ordenes_Odoo'!K2986)</f>
        <v/>
      </c>
      <c r="L2986" s="81">
        <f>IF('Ordenes_Odoo'!L2986="","",'Ordenes_Odoo'!L2986)</f>
        <v/>
      </c>
      <c r="M2986" s="79">
        <f>IF('Ordenes_Odoo'!M2986="","",'Ordenes_Odoo'!M2986)</f>
        <v/>
      </c>
      <c r="N2986" s="79">
        <f>IF('Ordenes_Odoo'!N2986="","",'Ordenes_Odoo'!N2986)</f>
        <v/>
      </c>
      <c r="O2986" s="81">
        <f>IF('Ordenes_Odoo'!O2986="","",'Ordenes_Odoo'!O2986)</f>
        <v/>
      </c>
      <c r="P2986" s="81">
        <f>IF('Ordenes_Odoo'!P2986="","",'Ordenes_Odoo'!P2986)</f>
        <v/>
      </c>
      <c r="Q2986" s="79">
        <f>IF(A2986="","",IFERROR(INDEX(Facturas_Odoo!$B:$B, MATCH(A2986, Facturas_Odoo!$D:$D, 0)), "Sin Factura"))</f>
        <v/>
      </c>
      <c r="R2986" s="80">
        <f>IF(Q2986="Sin Factura","",IFERROR(INDEX(Facturas_Odoo!$A:$A, MATCH(Q2986, Facturas_Odoo!$B:$B, 0)), ""))</f>
        <v/>
      </c>
      <c r="S2986" s="79">
        <f>IF(Q2986="Sin Factura","",IFERROR(_xlfn.XLOOKUP(1, (Facturas_Odoo!$D:$D=A2986) * (Facturas_Odoo!$K:$K=I2986), Facturas_Odoo!$L:$L, ""), ""))</f>
        <v/>
      </c>
      <c r="T2986" s="81">
        <f>IF(Q2986="Sin Factura",0,IFERROR(_xlfn.XLOOKUP(1, (Facturas_Odoo!$D:$D=A2986) * (Facturas_Odoo!$K:$K=I2986), Facturas_Odoo!$M:$M, 0), 0))</f>
        <v/>
      </c>
      <c r="U2986" s="79">
        <f>IF(Q2986="Sin Factura",0,IFERROR(_xlfn.XLOOKUP(1, (Facturas_Odoo!$D:$D=A2986) * (Facturas_Odoo!$K:$K=I2986), Facturas_Odoo!$N:$N, 0), 0))</f>
        <v/>
      </c>
      <c r="V2986" s="79">
        <f>IF(Q2986="Sin Factura",0,IFERROR(_xlfn.XLOOKUP(1, (Facturas_Odoo!$D:$D=A2986) * (Facturas_Odoo!$K:$K=I2986), Facturas_Odoo!$O:$O, 0), 0))</f>
        <v/>
      </c>
      <c r="W2986" s="81">
        <f>IF(Q2986="Sin Factura",0,IFERROR(_xlfn.XLOOKUP(1, (Facturas_Odoo!$D:$D=A2986) * (Facturas_Odoo!$K:$K=I2986), Facturas_Odoo!$Q:$Q, 0), 0))</f>
        <v/>
      </c>
      <c r="X2986" s="79">
        <f>IF(OR(Q2986="Sin Factura",Q2986=""),"",IFERROR(INDEX(Pagos_Odoo!$B:$B, MATCH(Q2986, Pagos_Odoo!$I:$I, 0)), "Sin Pago"))</f>
        <v/>
      </c>
      <c r="Y2986" s="79">
        <f>IF(X2986="Sin Pago","",IFERROR(INDEX(Pagos_Odoo!$C:$C, MATCH(X2986, Pagos_Odoo!$B:$B, 0)), ""))</f>
        <v/>
      </c>
      <c r="Z2986" s="80">
        <f>IF(X2986="Sin Pago","",IFERROR(INDEX(Pagos_Odoo!$A:$A, MATCH(X2986, Pagos_Odoo!$B:$B, 0)), ""))</f>
        <v/>
      </c>
      <c r="AA2986" s="79">
        <f>IF(X2986="Sin Pago","",IFERROR(INDEX(Pagos_Odoo!$F:$F, MATCH(X2986, Pagos_Odoo!$B:$B, 0)), ""))</f>
        <v/>
      </c>
      <c r="AB2986" s="81">
        <f>IF(X2986="Sin Pago",0,IFERROR(INDEX(Pagos_Odoo!$E:$E, MATCH(X2986, Pagos_Odoo!$B:$B, 0)), 0))</f>
        <v/>
      </c>
      <c r="AC2986" s="79">
        <f>IF(X2986="Sin Pago","",IFERROR(INDEX(Pagos_Odoo!$G:$G, MATCH(X2986, Pagos_Odoo!$B:$B, 0)), ""))</f>
        <v/>
      </c>
      <c r="AD2986" s="82" t="n">
        <v>0</v>
      </c>
      <c r="AE2986" s="82" t="n"/>
      <c r="AF2986" s="82" t="n"/>
      <c r="AG2986" s="82">
        <f>IF(AN2986="","",AD2986+AE2986+AF2986)</f>
        <v/>
      </c>
      <c r="AH2986" s="81">
        <f>IF(AN2986="","",P2986*(1-AG2986))</f>
        <v/>
      </c>
      <c r="AI2986" s="81">
        <f>IF(AN2986="","",IF(Q2986="Sin Factura",0,IFERROR(INDEX(Facturas_Odoo!$H:$H, MATCH(Q2986, Facturas_Odoo!$B:$B, 0)), 0)*(1-AG2986)))</f>
        <v/>
      </c>
      <c r="AJ2986" s="81">
        <f>IF(AN2986="","",_xlfn.LET(idVenta, AN2986&amp;"",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86" s="81">
        <f>IF(AN2986="","",AH2986-AJ2986)</f>
        <v/>
      </c>
      <c r="AL2986" s="81">
        <f>IF(AN2986="","",IF(Q2986="Sin Factura","",AI2986-AJ2986))</f>
        <v/>
      </c>
      <c r="AM2986" s="81">
        <f>IF(AN2986="","",IF(Q2986="Sin Factura",0,P2986-IFERROR(INDEX(Facturas_Odoo!$H:$H, MATCH(Q2986, Facturas_Odoo!$B:$B, 0)), 0)))</f>
        <v/>
      </c>
      <c r="AN2986" s="79">
        <f>IF(AND(A2986="", J2986=""), "", IF(A2986&lt;&gt;"", VALUE(MID(A2986,2,LEN(A2986))), AN2985))</f>
        <v/>
      </c>
      <c r="AO2986" s="79">
        <f>IF(AN2986="","",IF(AD2986=0,"OK",_xlfn.LET(monedaPago, IF(AA2986="","USD",AA2986), limitePermitido, IFERROR(VLOOKUP(monedaPago, Configuración!$A$2:$B$3, 2, FALSE), 0.15), IF(AD2986&gt;limitePermitido, "ALERTA: EXCESO (" &amp; TEXT(limitePermitido, "0%") &amp; " máx)", "OK"))))</f>
        <v/>
      </c>
      <c r="AP2986" s="79">
        <f>IF(AN2986="","",IF(AE2986=0,"OK",_xlfn.LET(fechaPago, Z2986, fechaFactura, R2986, diasCredito, IF(E2986="Pago inmediato", 0, IFERROR(VALUE(MID(E2986, 1, SEARCH(" ", E2986)-1)),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86" s="79">
        <f>IF(AN2986="","",IF(AND(N2986&gt;0, AG2986&gt;0), IF(Configuración!$K$2="NO", "ALERTA: DESCUENTO DOBLE NO PERMITIDO", "OK"), "OK"))</f>
        <v/>
      </c>
      <c r="AR2986" s="79">
        <f>IF(AN2986="","",IF(OR(AO2986&lt;&gt;"OK", AP2986&lt;&gt;"OK", AQ2986&lt;&gt;"OK"), "⚠️ REVISAR", "OK"))</f>
        <v/>
      </c>
    </row>
    <row r="2987">
      <c r="A2987" s="79">
        <f>IF('Ordenes_Odoo'!A2987="","",'Ordenes_Odoo'!A2987)</f>
        <v/>
      </c>
      <c r="B2987" s="80">
        <f>IF('Ordenes_Odoo'!B2987="","",'Ordenes_Odoo'!B2987)</f>
        <v/>
      </c>
      <c r="C2987" s="79">
        <f>IF('Ordenes_Odoo'!C2987="","",'Ordenes_Odoo'!C2987)</f>
        <v/>
      </c>
      <c r="D2987" s="79">
        <f>IF('Ordenes_Odoo'!D2987="","",'Ordenes_Odoo'!D2987)</f>
        <v/>
      </c>
      <c r="E2987" s="79">
        <f>IF('Ordenes_Odoo'!E2987="","",'Ordenes_Odoo'!E2987)</f>
        <v/>
      </c>
      <c r="F2987" s="79">
        <f>IF('Ordenes_Odoo'!F2987="","",'Ordenes_Odoo'!F2987)</f>
        <v/>
      </c>
      <c r="G2987" s="79">
        <f>IF('Ordenes_Odoo'!G2987="","",'Ordenes_Odoo'!G2987)</f>
        <v/>
      </c>
      <c r="H2987" s="79">
        <f>IF('Ordenes_Odoo'!H2987="","",'Ordenes_Odoo'!H2987)</f>
        <v/>
      </c>
      <c r="I2987" s="79">
        <f>IF('Ordenes_Odoo'!I2987="","",'Ordenes_Odoo'!I2987)</f>
        <v/>
      </c>
      <c r="J2987" s="79">
        <f>IF('Ordenes_Odoo'!J2987="","",'Ordenes_Odoo'!J2987)</f>
        <v/>
      </c>
      <c r="K2987" s="81">
        <f>IF('Ordenes_Odoo'!K2987="","",'Ordenes_Odoo'!K2987)</f>
        <v/>
      </c>
      <c r="L2987" s="81">
        <f>IF('Ordenes_Odoo'!L2987="","",'Ordenes_Odoo'!L2987)</f>
        <v/>
      </c>
      <c r="M2987" s="79">
        <f>IF('Ordenes_Odoo'!M2987="","",'Ordenes_Odoo'!M2987)</f>
        <v/>
      </c>
      <c r="N2987" s="79">
        <f>IF('Ordenes_Odoo'!N2987="","",'Ordenes_Odoo'!N2987)</f>
        <v/>
      </c>
      <c r="O2987" s="81">
        <f>IF('Ordenes_Odoo'!O2987="","",'Ordenes_Odoo'!O2987)</f>
        <v/>
      </c>
      <c r="P2987" s="81">
        <f>IF('Ordenes_Odoo'!P2987="","",'Ordenes_Odoo'!P2987)</f>
        <v/>
      </c>
      <c r="Q2987" s="79">
        <f>IF(A2987="","",IFERROR(INDEX(Facturas_Odoo!$B:$B, MATCH(A2987, Facturas_Odoo!$D:$D, 0)), "Sin Factura"))</f>
        <v/>
      </c>
      <c r="R2987" s="80">
        <f>IF(Q2987="Sin Factura","",IFERROR(INDEX(Facturas_Odoo!$A:$A, MATCH(Q2987, Facturas_Odoo!$B:$B, 0)), ""))</f>
        <v/>
      </c>
      <c r="S2987" s="79">
        <f>IF(Q2987="Sin Factura","",IFERROR(_xlfn.XLOOKUP(1, (Facturas_Odoo!$D:$D=A2987) * (Facturas_Odoo!$K:$K=I2987), Facturas_Odoo!$L:$L, ""), ""))</f>
        <v/>
      </c>
      <c r="T2987" s="81">
        <f>IF(Q2987="Sin Factura",0,IFERROR(_xlfn.XLOOKUP(1, (Facturas_Odoo!$D:$D=A2987) * (Facturas_Odoo!$K:$K=I2987), Facturas_Odoo!$M:$M, 0), 0))</f>
        <v/>
      </c>
      <c r="U2987" s="79">
        <f>IF(Q2987="Sin Factura",0,IFERROR(_xlfn.XLOOKUP(1, (Facturas_Odoo!$D:$D=A2987) * (Facturas_Odoo!$K:$K=I2987), Facturas_Odoo!$N:$N, 0), 0))</f>
        <v/>
      </c>
      <c r="V2987" s="79">
        <f>IF(Q2987="Sin Factura",0,IFERROR(_xlfn.XLOOKUP(1, (Facturas_Odoo!$D:$D=A2987) * (Facturas_Odoo!$K:$K=I2987), Facturas_Odoo!$O:$O, 0), 0))</f>
        <v/>
      </c>
      <c r="W2987" s="81">
        <f>IF(Q2987="Sin Factura",0,IFERROR(_xlfn.XLOOKUP(1, (Facturas_Odoo!$D:$D=A2987) * (Facturas_Odoo!$K:$K=I2987), Facturas_Odoo!$Q:$Q, 0), 0))</f>
        <v/>
      </c>
      <c r="X2987" s="79">
        <f>IF(OR(Q2987="Sin Factura",Q2987=""),"",IFERROR(INDEX(Pagos_Odoo!$B:$B, MATCH(Q2987, Pagos_Odoo!$I:$I, 0)), "Sin Pago"))</f>
        <v/>
      </c>
      <c r="Y2987" s="79">
        <f>IF(X2987="Sin Pago","",IFERROR(INDEX(Pagos_Odoo!$C:$C, MATCH(X2987, Pagos_Odoo!$B:$B, 0)), ""))</f>
        <v/>
      </c>
      <c r="Z2987" s="80">
        <f>IF(X2987="Sin Pago","",IFERROR(INDEX(Pagos_Odoo!$A:$A, MATCH(X2987, Pagos_Odoo!$B:$B, 0)), ""))</f>
        <v/>
      </c>
      <c r="AA2987" s="79">
        <f>IF(X2987="Sin Pago","",IFERROR(INDEX(Pagos_Odoo!$F:$F, MATCH(X2987, Pagos_Odoo!$B:$B, 0)), ""))</f>
        <v/>
      </c>
      <c r="AB2987" s="81">
        <f>IF(X2987="Sin Pago",0,IFERROR(INDEX(Pagos_Odoo!$E:$E, MATCH(X2987, Pagos_Odoo!$B:$B, 0)), 0))</f>
        <v/>
      </c>
      <c r="AC2987" s="79">
        <f>IF(X2987="Sin Pago","",IFERROR(INDEX(Pagos_Odoo!$G:$G, MATCH(X2987, Pagos_Odoo!$B:$B, 0)), ""))</f>
        <v/>
      </c>
      <c r="AD2987" s="82" t="n">
        <v>0</v>
      </c>
      <c r="AE2987" s="82" t="n"/>
      <c r="AF2987" s="82" t="n"/>
      <c r="AG2987" s="82">
        <f>IF(AN2987="","",AD2987+AE2987+AF2987)</f>
        <v/>
      </c>
      <c r="AH2987" s="81">
        <f>IF(AN2987="","",P2987*(1-AG2987))</f>
        <v/>
      </c>
      <c r="AI2987" s="81">
        <f>IF(AN2987="","",IF(Q2987="Sin Factura",0,IFERROR(INDEX(Facturas_Odoo!$H:$H, MATCH(Q2987, Facturas_Odoo!$B:$B, 0)), 0)*(1-AG2987)))</f>
        <v/>
      </c>
      <c r="AJ2987" s="81">
        <f>IF(AN2987="","",_xlfn.LET(idVenta, AN2987&amp;"",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87" s="81">
        <f>IF(AN2987="","",AH2987-AJ2987)</f>
        <v/>
      </c>
      <c r="AL2987" s="81">
        <f>IF(AN2987="","",IF(Q2987="Sin Factura","",AI2987-AJ2987))</f>
        <v/>
      </c>
      <c r="AM2987" s="81">
        <f>IF(AN2987="","",IF(Q2987="Sin Factura",0,P2987-IFERROR(INDEX(Facturas_Odoo!$H:$H, MATCH(Q2987, Facturas_Odoo!$B:$B, 0)), 0)))</f>
        <v/>
      </c>
      <c r="AN2987" s="79">
        <f>IF(AND(A2987="", J2987=""), "", IF(A2987&lt;&gt;"", VALUE(MID(A2987,2,LEN(A2987))), AN2986))</f>
        <v/>
      </c>
      <c r="AO2987" s="79">
        <f>IF(AN2987="","",IF(AD2987=0,"OK",_xlfn.LET(monedaPago, IF(AA2987="","USD",AA2987), limitePermitido, IFERROR(VLOOKUP(monedaPago, Configuración!$A$2:$B$3, 2, FALSE), 0.15), IF(AD2987&gt;limitePermitido, "ALERTA: EXCESO (" &amp; TEXT(limitePermitido, "0%") &amp; " máx)", "OK"))))</f>
        <v/>
      </c>
      <c r="AP2987" s="79">
        <f>IF(AN2987="","",IF(AE2987=0,"OK",_xlfn.LET(fechaPago, Z2987, fechaFactura, R2987, diasCredito, IF(E2987="Pago inmediato", 0, IFERROR(VALUE(MID(E2987, 1, SEARCH(" ", E2987)-1)),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87" s="79">
        <f>IF(AN2987="","",IF(AND(N2987&gt;0, AG2987&gt;0), IF(Configuración!$K$2="NO", "ALERTA: DESCUENTO DOBLE NO PERMITIDO", "OK"), "OK"))</f>
        <v/>
      </c>
      <c r="AR2987" s="79">
        <f>IF(AN2987="","",IF(OR(AO2987&lt;&gt;"OK", AP2987&lt;&gt;"OK", AQ2987&lt;&gt;"OK"), "⚠️ REVISAR", "OK"))</f>
        <v/>
      </c>
    </row>
    <row r="2988">
      <c r="A2988" s="79">
        <f>IF('Ordenes_Odoo'!A2988="","",'Ordenes_Odoo'!A2988)</f>
        <v/>
      </c>
      <c r="B2988" s="80">
        <f>IF('Ordenes_Odoo'!B2988="","",'Ordenes_Odoo'!B2988)</f>
        <v/>
      </c>
      <c r="C2988" s="79">
        <f>IF('Ordenes_Odoo'!C2988="","",'Ordenes_Odoo'!C2988)</f>
        <v/>
      </c>
      <c r="D2988" s="79">
        <f>IF('Ordenes_Odoo'!D2988="","",'Ordenes_Odoo'!D2988)</f>
        <v/>
      </c>
      <c r="E2988" s="79">
        <f>IF('Ordenes_Odoo'!E2988="","",'Ordenes_Odoo'!E2988)</f>
        <v/>
      </c>
      <c r="F2988" s="79">
        <f>IF('Ordenes_Odoo'!F2988="","",'Ordenes_Odoo'!F2988)</f>
        <v/>
      </c>
      <c r="G2988" s="79">
        <f>IF('Ordenes_Odoo'!G2988="","",'Ordenes_Odoo'!G2988)</f>
        <v/>
      </c>
      <c r="H2988" s="79">
        <f>IF('Ordenes_Odoo'!H2988="","",'Ordenes_Odoo'!H2988)</f>
        <v/>
      </c>
      <c r="I2988" s="79">
        <f>IF('Ordenes_Odoo'!I2988="","",'Ordenes_Odoo'!I2988)</f>
        <v/>
      </c>
      <c r="J2988" s="79">
        <f>IF('Ordenes_Odoo'!J2988="","",'Ordenes_Odoo'!J2988)</f>
        <v/>
      </c>
      <c r="K2988" s="81">
        <f>IF('Ordenes_Odoo'!K2988="","",'Ordenes_Odoo'!K2988)</f>
        <v/>
      </c>
      <c r="L2988" s="81">
        <f>IF('Ordenes_Odoo'!L2988="","",'Ordenes_Odoo'!L2988)</f>
        <v/>
      </c>
      <c r="M2988" s="79">
        <f>IF('Ordenes_Odoo'!M2988="","",'Ordenes_Odoo'!M2988)</f>
        <v/>
      </c>
      <c r="N2988" s="79">
        <f>IF('Ordenes_Odoo'!N2988="","",'Ordenes_Odoo'!N2988)</f>
        <v/>
      </c>
      <c r="O2988" s="81">
        <f>IF('Ordenes_Odoo'!O2988="","",'Ordenes_Odoo'!O2988)</f>
        <v/>
      </c>
      <c r="P2988" s="81">
        <f>IF('Ordenes_Odoo'!P2988="","",'Ordenes_Odoo'!P2988)</f>
        <v/>
      </c>
      <c r="Q2988" s="79">
        <f>IF(A2988="","",IFERROR(INDEX(Facturas_Odoo!$B:$B, MATCH(A2988, Facturas_Odoo!$D:$D, 0)), "Sin Factura"))</f>
        <v/>
      </c>
      <c r="R2988" s="80">
        <f>IF(Q2988="Sin Factura","",IFERROR(INDEX(Facturas_Odoo!$A:$A, MATCH(Q2988, Facturas_Odoo!$B:$B, 0)), ""))</f>
        <v/>
      </c>
      <c r="S2988" s="79">
        <f>IF(Q2988="Sin Factura","",IFERROR(_xlfn.XLOOKUP(1, (Facturas_Odoo!$D:$D=A2988) * (Facturas_Odoo!$K:$K=I2988), Facturas_Odoo!$L:$L, ""), ""))</f>
        <v/>
      </c>
      <c r="T2988" s="81">
        <f>IF(Q2988="Sin Factura",0,IFERROR(_xlfn.XLOOKUP(1, (Facturas_Odoo!$D:$D=A2988) * (Facturas_Odoo!$K:$K=I2988), Facturas_Odoo!$M:$M, 0), 0))</f>
        <v/>
      </c>
      <c r="U2988" s="79">
        <f>IF(Q2988="Sin Factura",0,IFERROR(_xlfn.XLOOKUP(1, (Facturas_Odoo!$D:$D=A2988) * (Facturas_Odoo!$K:$K=I2988), Facturas_Odoo!$N:$N, 0), 0))</f>
        <v/>
      </c>
      <c r="V2988" s="79">
        <f>IF(Q2988="Sin Factura",0,IFERROR(_xlfn.XLOOKUP(1, (Facturas_Odoo!$D:$D=A2988) * (Facturas_Odoo!$K:$K=I2988), Facturas_Odoo!$O:$O, 0), 0))</f>
        <v/>
      </c>
      <c r="W2988" s="81">
        <f>IF(Q2988="Sin Factura",0,IFERROR(_xlfn.XLOOKUP(1, (Facturas_Odoo!$D:$D=A2988) * (Facturas_Odoo!$K:$K=I2988), Facturas_Odoo!$Q:$Q, 0), 0))</f>
        <v/>
      </c>
      <c r="X2988" s="79">
        <f>IF(OR(Q2988="Sin Factura",Q2988=""),"",IFERROR(INDEX(Pagos_Odoo!$B:$B, MATCH(Q2988, Pagos_Odoo!$I:$I, 0)), "Sin Pago"))</f>
        <v/>
      </c>
      <c r="Y2988" s="79">
        <f>IF(X2988="Sin Pago","",IFERROR(INDEX(Pagos_Odoo!$C:$C, MATCH(X2988, Pagos_Odoo!$B:$B, 0)), ""))</f>
        <v/>
      </c>
      <c r="Z2988" s="80">
        <f>IF(X2988="Sin Pago","",IFERROR(INDEX(Pagos_Odoo!$A:$A, MATCH(X2988, Pagos_Odoo!$B:$B, 0)), ""))</f>
        <v/>
      </c>
      <c r="AA2988" s="79">
        <f>IF(X2988="Sin Pago","",IFERROR(INDEX(Pagos_Odoo!$F:$F, MATCH(X2988, Pagos_Odoo!$B:$B, 0)), ""))</f>
        <v/>
      </c>
      <c r="AB2988" s="81">
        <f>IF(X2988="Sin Pago",0,IFERROR(INDEX(Pagos_Odoo!$E:$E, MATCH(X2988, Pagos_Odoo!$B:$B, 0)), 0))</f>
        <v/>
      </c>
      <c r="AC2988" s="79">
        <f>IF(X2988="Sin Pago","",IFERROR(INDEX(Pagos_Odoo!$G:$G, MATCH(X2988, Pagos_Odoo!$B:$B, 0)), ""))</f>
        <v/>
      </c>
      <c r="AD2988" s="82" t="n">
        <v>0</v>
      </c>
      <c r="AE2988" s="82" t="n"/>
      <c r="AF2988" s="82" t="n"/>
      <c r="AG2988" s="82">
        <f>IF(AN2988="","",AD2988+AE2988+AF2988)</f>
        <v/>
      </c>
      <c r="AH2988" s="81">
        <f>IF(AN2988="","",P2988*(1-AG2988))</f>
        <v/>
      </c>
      <c r="AI2988" s="81">
        <f>IF(AN2988="","",IF(Q2988="Sin Factura",0,IFERROR(INDEX(Facturas_Odoo!$H:$H, MATCH(Q2988, Facturas_Odoo!$B:$B, 0)), 0)*(1-AG2988)))</f>
        <v/>
      </c>
      <c r="AJ2988" s="81">
        <f>IF(AN2988="","",_xlfn.LET(idVenta, AN2988&amp;"",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88" s="81">
        <f>IF(AN2988="","",AH2988-AJ2988)</f>
        <v/>
      </c>
      <c r="AL2988" s="81">
        <f>IF(AN2988="","",IF(Q2988="Sin Factura","",AI2988-AJ2988))</f>
        <v/>
      </c>
      <c r="AM2988" s="81">
        <f>IF(AN2988="","",IF(Q2988="Sin Factura",0,P2988-IFERROR(INDEX(Facturas_Odoo!$H:$H, MATCH(Q2988, Facturas_Odoo!$B:$B, 0)), 0)))</f>
        <v/>
      </c>
      <c r="AN2988" s="79">
        <f>IF(AND(A2988="", J2988=""), "", IF(A2988&lt;&gt;"", VALUE(MID(A2988,2,LEN(A2988))), AN2987))</f>
        <v/>
      </c>
      <c r="AO2988" s="79">
        <f>IF(AN2988="","",IF(AD2988=0,"OK",_xlfn.LET(monedaPago, IF(AA2988="","USD",AA2988), limitePermitido, IFERROR(VLOOKUP(monedaPago, Configuración!$A$2:$B$3, 2, FALSE), 0.15), IF(AD2988&gt;limitePermitido, "ALERTA: EXCESO (" &amp; TEXT(limitePermitido, "0%") &amp; " máx)", "OK"))))</f>
        <v/>
      </c>
      <c r="AP2988" s="79">
        <f>IF(AN2988="","",IF(AE2988=0,"OK",_xlfn.LET(fechaPago, Z2988, fechaFactura, R2988, diasCredito, IF(E2988="Pago inmediato", 0, IFERROR(VALUE(MID(E2988, 1, SEARCH(" ", E2988)-1)),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88" s="79">
        <f>IF(AN2988="","",IF(AND(N2988&gt;0, AG2988&gt;0), IF(Configuración!$K$2="NO", "ALERTA: DESCUENTO DOBLE NO PERMITIDO", "OK"), "OK"))</f>
        <v/>
      </c>
      <c r="AR2988" s="79">
        <f>IF(AN2988="","",IF(OR(AO2988&lt;&gt;"OK", AP2988&lt;&gt;"OK", AQ2988&lt;&gt;"OK"), "⚠️ REVISAR", "OK"))</f>
        <v/>
      </c>
    </row>
    <row r="2989">
      <c r="A2989" s="79">
        <f>IF('Ordenes_Odoo'!A2989="","",'Ordenes_Odoo'!A2989)</f>
        <v/>
      </c>
      <c r="B2989" s="80">
        <f>IF('Ordenes_Odoo'!B2989="","",'Ordenes_Odoo'!B2989)</f>
        <v/>
      </c>
      <c r="C2989" s="79">
        <f>IF('Ordenes_Odoo'!C2989="","",'Ordenes_Odoo'!C2989)</f>
        <v/>
      </c>
      <c r="D2989" s="79">
        <f>IF('Ordenes_Odoo'!D2989="","",'Ordenes_Odoo'!D2989)</f>
        <v/>
      </c>
      <c r="E2989" s="79">
        <f>IF('Ordenes_Odoo'!E2989="","",'Ordenes_Odoo'!E2989)</f>
        <v/>
      </c>
      <c r="F2989" s="79">
        <f>IF('Ordenes_Odoo'!F2989="","",'Ordenes_Odoo'!F2989)</f>
        <v/>
      </c>
      <c r="G2989" s="79">
        <f>IF('Ordenes_Odoo'!G2989="","",'Ordenes_Odoo'!G2989)</f>
        <v/>
      </c>
      <c r="H2989" s="79">
        <f>IF('Ordenes_Odoo'!H2989="","",'Ordenes_Odoo'!H2989)</f>
        <v/>
      </c>
      <c r="I2989" s="79">
        <f>IF('Ordenes_Odoo'!I2989="","",'Ordenes_Odoo'!I2989)</f>
        <v/>
      </c>
      <c r="J2989" s="79">
        <f>IF('Ordenes_Odoo'!J2989="","",'Ordenes_Odoo'!J2989)</f>
        <v/>
      </c>
      <c r="K2989" s="81">
        <f>IF('Ordenes_Odoo'!K2989="","",'Ordenes_Odoo'!K2989)</f>
        <v/>
      </c>
      <c r="L2989" s="81">
        <f>IF('Ordenes_Odoo'!L2989="","",'Ordenes_Odoo'!L2989)</f>
        <v/>
      </c>
      <c r="M2989" s="79">
        <f>IF('Ordenes_Odoo'!M2989="","",'Ordenes_Odoo'!M2989)</f>
        <v/>
      </c>
      <c r="N2989" s="79">
        <f>IF('Ordenes_Odoo'!N2989="","",'Ordenes_Odoo'!N2989)</f>
        <v/>
      </c>
      <c r="O2989" s="81">
        <f>IF('Ordenes_Odoo'!O2989="","",'Ordenes_Odoo'!O2989)</f>
        <v/>
      </c>
      <c r="P2989" s="81">
        <f>IF('Ordenes_Odoo'!P2989="","",'Ordenes_Odoo'!P2989)</f>
        <v/>
      </c>
      <c r="Q2989" s="79">
        <f>IF(A2989="","",IFERROR(INDEX(Facturas_Odoo!$B:$B, MATCH(A2989, Facturas_Odoo!$D:$D, 0)), "Sin Factura"))</f>
        <v/>
      </c>
      <c r="R2989" s="80">
        <f>IF(Q2989="Sin Factura","",IFERROR(INDEX(Facturas_Odoo!$A:$A, MATCH(Q2989, Facturas_Odoo!$B:$B, 0)), ""))</f>
        <v/>
      </c>
      <c r="S2989" s="79">
        <f>IF(Q2989="Sin Factura","",IFERROR(_xlfn.XLOOKUP(1, (Facturas_Odoo!$D:$D=A2989) * (Facturas_Odoo!$K:$K=I2989), Facturas_Odoo!$L:$L, ""), ""))</f>
        <v/>
      </c>
      <c r="T2989" s="81">
        <f>IF(Q2989="Sin Factura",0,IFERROR(_xlfn.XLOOKUP(1, (Facturas_Odoo!$D:$D=A2989) * (Facturas_Odoo!$K:$K=I2989), Facturas_Odoo!$M:$M, 0), 0))</f>
        <v/>
      </c>
      <c r="U2989" s="79">
        <f>IF(Q2989="Sin Factura",0,IFERROR(_xlfn.XLOOKUP(1, (Facturas_Odoo!$D:$D=A2989) * (Facturas_Odoo!$K:$K=I2989), Facturas_Odoo!$N:$N, 0), 0))</f>
        <v/>
      </c>
      <c r="V2989" s="79">
        <f>IF(Q2989="Sin Factura",0,IFERROR(_xlfn.XLOOKUP(1, (Facturas_Odoo!$D:$D=A2989) * (Facturas_Odoo!$K:$K=I2989), Facturas_Odoo!$O:$O, 0), 0))</f>
        <v/>
      </c>
      <c r="W2989" s="81">
        <f>IF(Q2989="Sin Factura",0,IFERROR(_xlfn.XLOOKUP(1, (Facturas_Odoo!$D:$D=A2989) * (Facturas_Odoo!$K:$K=I2989), Facturas_Odoo!$Q:$Q, 0), 0))</f>
        <v/>
      </c>
      <c r="X2989" s="79">
        <f>IF(OR(Q2989="Sin Factura",Q2989=""),"",IFERROR(INDEX(Pagos_Odoo!$B:$B, MATCH(Q2989, Pagos_Odoo!$I:$I, 0)), "Sin Pago"))</f>
        <v/>
      </c>
      <c r="Y2989" s="79">
        <f>IF(X2989="Sin Pago","",IFERROR(INDEX(Pagos_Odoo!$C:$C, MATCH(X2989, Pagos_Odoo!$B:$B, 0)), ""))</f>
        <v/>
      </c>
      <c r="Z2989" s="80">
        <f>IF(X2989="Sin Pago","",IFERROR(INDEX(Pagos_Odoo!$A:$A, MATCH(X2989, Pagos_Odoo!$B:$B, 0)), ""))</f>
        <v/>
      </c>
      <c r="AA2989" s="79">
        <f>IF(X2989="Sin Pago","",IFERROR(INDEX(Pagos_Odoo!$F:$F, MATCH(X2989, Pagos_Odoo!$B:$B, 0)), ""))</f>
        <v/>
      </c>
      <c r="AB2989" s="81">
        <f>IF(X2989="Sin Pago",0,IFERROR(INDEX(Pagos_Odoo!$E:$E, MATCH(X2989, Pagos_Odoo!$B:$B, 0)), 0))</f>
        <v/>
      </c>
      <c r="AC2989" s="79">
        <f>IF(X2989="Sin Pago","",IFERROR(INDEX(Pagos_Odoo!$G:$G, MATCH(X2989, Pagos_Odoo!$B:$B, 0)), ""))</f>
        <v/>
      </c>
      <c r="AD2989" s="82" t="n">
        <v>0</v>
      </c>
      <c r="AE2989" s="82" t="n"/>
      <c r="AF2989" s="82" t="n"/>
      <c r="AG2989" s="82">
        <f>IF(AN2989="","",AD2989+AE2989+AF2989)</f>
        <v/>
      </c>
      <c r="AH2989" s="81">
        <f>IF(AN2989="","",P2989*(1-AG2989))</f>
        <v/>
      </c>
      <c r="AI2989" s="81">
        <f>IF(AN2989="","",IF(Q2989="Sin Factura",0,IFERROR(INDEX(Facturas_Odoo!$H:$H, MATCH(Q2989, Facturas_Odoo!$B:$B, 0)), 0)*(1-AG2989)))</f>
        <v/>
      </c>
      <c r="AJ2989" s="81">
        <f>IF(AN2989="","",_xlfn.LET(idVenta, AN2989&amp;"",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89" s="81">
        <f>IF(AN2989="","",AH2989-AJ2989)</f>
        <v/>
      </c>
      <c r="AL2989" s="81">
        <f>IF(AN2989="","",IF(Q2989="Sin Factura","",AI2989-AJ2989))</f>
        <v/>
      </c>
      <c r="AM2989" s="81">
        <f>IF(AN2989="","",IF(Q2989="Sin Factura",0,P2989-IFERROR(INDEX(Facturas_Odoo!$H:$H, MATCH(Q2989, Facturas_Odoo!$B:$B, 0)), 0)))</f>
        <v/>
      </c>
      <c r="AN2989" s="79">
        <f>IF(AND(A2989="", J2989=""), "", IF(A2989&lt;&gt;"", VALUE(MID(A2989,2,LEN(A2989))), AN2988))</f>
        <v/>
      </c>
      <c r="AO2989" s="79">
        <f>IF(AN2989="","",IF(AD2989=0,"OK",_xlfn.LET(monedaPago, IF(AA2989="","USD",AA2989), limitePermitido, IFERROR(VLOOKUP(monedaPago, Configuración!$A$2:$B$3, 2, FALSE), 0.15), IF(AD2989&gt;limitePermitido, "ALERTA: EXCESO (" &amp; TEXT(limitePermitido, "0%") &amp; " máx)", "OK"))))</f>
        <v/>
      </c>
      <c r="AP2989" s="79">
        <f>IF(AN2989="","",IF(AE2989=0,"OK",_xlfn.LET(fechaPago, Z2989, fechaFactura, R2989, diasCredito, IF(E2989="Pago inmediato", 0, IFERROR(VALUE(MID(E2989, 1, SEARCH(" ", E2989)-1)),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89" s="79">
        <f>IF(AN2989="","",IF(AND(N2989&gt;0, AG2989&gt;0), IF(Configuración!$K$2="NO", "ALERTA: DESCUENTO DOBLE NO PERMITIDO", "OK"), "OK"))</f>
        <v/>
      </c>
      <c r="AR2989" s="79">
        <f>IF(AN2989="","",IF(OR(AO2989&lt;&gt;"OK", AP2989&lt;&gt;"OK", AQ2989&lt;&gt;"OK"), "⚠️ REVISAR", "OK"))</f>
        <v/>
      </c>
    </row>
    <row r="2990">
      <c r="A2990" s="79">
        <f>IF('Ordenes_Odoo'!A2990="","",'Ordenes_Odoo'!A2990)</f>
        <v/>
      </c>
      <c r="B2990" s="80">
        <f>IF('Ordenes_Odoo'!B2990="","",'Ordenes_Odoo'!B2990)</f>
        <v/>
      </c>
      <c r="C2990" s="79">
        <f>IF('Ordenes_Odoo'!C2990="","",'Ordenes_Odoo'!C2990)</f>
        <v/>
      </c>
      <c r="D2990" s="79">
        <f>IF('Ordenes_Odoo'!D2990="","",'Ordenes_Odoo'!D2990)</f>
        <v/>
      </c>
      <c r="E2990" s="79">
        <f>IF('Ordenes_Odoo'!E2990="","",'Ordenes_Odoo'!E2990)</f>
        <v/>
      </c>
      <c r="F2990" s="79">
        <f>IF('Ordenes_Odoo'!F2990="","",'Ordenes_Odoo'!F2990)</f>
        <v/>
      </c>
      <c r="G2990" s="79">
        <f>IF('Ordenes_Odoo'!G2990="","",'Ordenes_Odoo'!G2990)</f>
        <v/>
      </c>
      <c r="H2990" s="79">
        <f>IF('Ordenes_Odoo'!H2990="","",'Ordenes_Odoo'!H2990)</f>
        <v/>
      </c>
      <c r="I2990" s="79">
        <f>IF('Ordenes_Odoo'!I2990="","",'Ordenes_Odoo'!I2990)</f>
        <v/>
      </c>
      <c r="J2990" s="79">
        <f>IF('Ordenes_Odoo'!J2990="","",'Ordenes_Odoo'!J2990)</f>
        <v/>
      </c>
      <c r="K2990" s="81">
        <f>IF('Ordenes_Odoo'!K2990="","",'Ordenes_Odoo'!K2990)</f>
        <v/>
      </c>
      <c r="L2990" s="81">
        <f>IF('Ordenes_Odoo'!L2990="","",'Ordenes_Odoo'!L2990)</f>
        <v/>
      </c>
      <c r="M2990" s="79">
        <f>IF('Ordenes_Odoo'!M2990="","",'Ordenes_Odoo'!M2990)</f>
        <v/>
      </c>
      <c r="N2990" s="79">
        <f>IF('Ordenes_Odoo'!N2990="","",'Ordenes_Odoo'!N2990)</f>
        <v/>
      </c>
      <c r="O2990" s="81">
        <f>IF('Ordenes_Odoo'!O2990="","",'Ordenes_Odoo'!O2990)</f>
        <v/>
      </c>
      <c r="P2990" s="81">
        <f>IF('Ordenes_Odoo'!P2990="","",'Ordenes_Odoo'!P2990)</f>
        <v/>
      </c>
      <c r="Q2990" s="79">
        <f>IF(A2990="","",IFERROR(INDEX(Facturas_Odoo!$B:$B, MATCH(A2990, Facturas_Odoo!$D:$D, 0)), "Sin Factura"))</f>
        <v/>
      </c>
      <c r="R2990" s="80">
        <f>IF(Q2990="Sin Factura","",IFERROR(INDEX(Facturas_Odoo!$A:$A, MATCH(Q2990, Facturas_Odoo!$B:$B, 0)), ""))</f>
        <v/>
      </c>
      <c r="S2990" s="79">
        <f>IF(Q2990="Sin Factura","",IFERROR(_xlfn.XLOOKUP(1, (Facturas_Odoo!$D:$D=A2990) * (Facturas_Odoo!$K:$K=I2990), Facturas_Odoo!$L:$L, ""), ""))</f>
        <v/>
      </c>
      <c r="T2990" s="81">
        <f>IF(Q2990="Sin Factura",0,IFERROR(_xlfn.XLOOKUP(1, (Facturas_Odoo!$D:$D=A2990) * (Facturas_Odoo!$K:$K=I2990), Facturas_Odoo!$M:$M, 0), 0))</f>
        <v/>
      </c>
      <c r="U2990" s="79">
        <f>IF(Q2990="Sin Factura",0,IFERROR(_xlfn.XLOOKUP(1, (Facturas_Odoo!$D:$D=A2990) * (Facturas_Odoo!$K:$K=I2990), Facturas_Odoo!$N:$N, 0), 0))</f>
        <v/>
      </c>
      <c r="V2990" s="79">
        <f>IF(Q2990="Sin Factura",0,IFERROR(_xlfn.XLOOKUP(1, (Facturas_Odoo!$D:$D=A2990) * (Facturas_Odoo!$K:$K=I2990), Facturas_Odoo!$O:$O, 0), 0))</f>
        <v/>
      </c>
      <c r="W2990" s="81">
        <f>IF(Q2990="Sin Factura",0,IFERROR(_xlfn.XLOOKUP(1, (Facturas_Odoo!$D:$D=A2990) * (Facturas_Odoo!$K:$K=I2990), Facturas_Odoo!$Q:$Q, 0), 0))</f>
        <v/>
      </c>
      <c r="X2990" s="79">
        <f>IF(OR(Q2990="Sin Factura",Q2990=""),"",IFERROR(INDEX(Pagos_Odoo!$B:$B, MATCH(Q2990, Pagos_Odoo!$I:$I, 0)), "Sin Pago"))</f>
        <v/>
      </c>
      <c r="Y2990" s="79">
        <f>IF(X2990="Sin Pago","",IFERROR(INDEX(Pagos_Odoo!$C:$C, MATCH(X2990, Pagos_Odoo!$B:$B, 0)), ""))</f>
        <v/>
      </c>
      <c r="Z2990" s="80">
        <f>IF(X2990="Sin Pago","",IFERROR(INDEX(Pagos_Odoo!$A:$A, MATCH(X2990, Pagos_Odoo!$B:$B, 0)), ""))</f>
        <v/>
      </c>
      <c r="AA2990" s="79">
        <f>IF(X2990="Sin Pago","",IFERROR(INDEX(Pagos_Odoo!$F:$F, MATCH(X2990, Pagos_Odoo!$B:$B, 0)), ""))</f>
        <v/>
      </c>
      <c r="AB2990" s="81">
        <f>IF(X2990="Sin Pago",0,IFERROR(INDEX(Pagos_Odoo!$E:$E, MATCH(X2990, Pagos_Odoo!$B:$B, 0)), 0))</f>
        <v/>
      </c>
      <c r="AC2990" s="79">
        <f>IF(X2990="Sin Pago","",IFERROR(INDEX(Pagos_Odoo!$G:$G, MATCH(X2990, Pagos_Odoo!$B:$B, 0)), ""))</f>
        <v/>
      </c>
      <c r="AD2990" s="82" t="n">
        <v>0</v>
      </c>
      <c r="AE2990" s="82" t="n"/>
      <c r="AF2990" s="82" t="n"/>
      <c r="AG2990" s="82">
        <f>IF(AN2990="","",AD2990+AE2990+AF2990)</f>
        <v/>
      </c>
      <c r="AH2990" s="81">
        <f>IF(AN2990="","",P2990*(1-AG2990))</f>
        <v/>
      </c>
      <c r="AI2990" s="81">
        <f>IF(AN2990="","",IF(Q2990="Sin Factura",0,IFERROR(INDEX(Facturas_Odoo!$H:$H, MATCH(Q2990, Facturas_Odoo!$B:$B, 0)), 0)*(1-AG2990)))</f>
        <v/>
      </c>
      <c r="AJ2990" s="81">
        <f>IF(AN2990="","",_xlfn.LET(idVenta, AN2990&amp;"",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90" s="81">
        <f>IF(AN2990="","",AH2990-AJ2990)</f>
        <v/>
      </c>
      <c r="AL2990" s="81">
        <f>IF(AN2990="","",IF(Q2990="Sin Factura","",AI2990-AJ2990))</f>
        <v/>
      </c>
      <c r="AM2990" s="81">
        <f>IF(AN2990="","",IF(Q2990="Sin Factura",0,P2990-IFERROR(INDEX(Facturas_Odoo!$H:$H, MATCH(Q2990, Facturas_Odoo!$B:$B, 0)), 0)))</f>
        <v/>
      </c>
      <c r="AN2990" s="79">
        <f>IF(AND(A2990="", J2990=""), "", IF(A2990&lt;&gt;"", VALUE(MID(A2990,2,LEN(A2990))), AN2989))</f>
        <v/>
      </c>
      <c r="AO2990" s="79">
        <f>IF(AN2990="","",IF(AD2990=0,"OK",_xlfn.LET(monedaPago, IF(AA2990="","USD",AA2990), limitePermitido, IFERROR(VLOOKUP(monedaPago, Configuración!$A$2:$B$3, 2, FALSE), 0.15), IF(AD2990&gt;limitePermitido, "ALERTA: EXCESO (" &amp; TEXT(limitePermitido, "0%") &amp; " máx)", "OK"))))</f>
        <v/>
      </c>
      <c r="AP2990" s="79">
        <f>IF(AN2990="","",IF(AE2990=0,"OK",_xlfn.LET(fechaPago, Z2990, fechaFactura, R2990, diasCredito, IF(E2990="Pago inmediato", 0, IFERROR(VALUE(MID(E2990, 1, SEARCH(" ", E2990)-1)),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90" s="79">
        <f>IF(AN2990="","",IF(AND(N2990&gt;0, AG2990&gt;0), IF(Configuración!$K$2="NO", "ALERTA: DESCUENTO DOBLE NO PERMITIDO", "OK"), "OK"))</f>
        <v/>
      </c>
      <c r="AR2990" s="79">
        <f>IF(AN2990="","",IF(OR(AO2990&lt;&gt;"OK", AP2990&lt;&gt;"OK", AQ2990&lt;&gt;"OK"), "⚠️ REVISAR", "OK"))</f>
        <v/>
      </c>
    </row>
    <row r="2991">
      <c r="A2991" s="79">
        <f>IF('Ordenes_Odoo'!A2991="","",'Ordenes_Odoo'!A2991)</f>
        <v/>
      </c>
      <c r="B2991" s="80">
        <f>IF('Ordenes_Odoo'!B2991="","",'Ordenes_Odoo'!B2991)</f>
        <v/>
      </c>
      <c r="C2991" s="79">
        <f>IF('Ordenes_Odoo'!C2991="","",'Ordenes_Odoo'!C2991)</f>
        <v/>
      </c>
      <c r="D2991" s="79">
        <f>IF('Ordenes_Odoo'!D2991="","",'Ordenes_Odoo'!D2991)</f>
        <v/>
      </c>
      <c r="E2991" s="79">
        <f>IF('Ordenes_Odoo'!E2991="","",'Ordenes_Odoo'!E2991)</f>
        <v/>
      </c>
      <c r="F2991" s="79">
        <f>IF('Ordenes_Odoo'!F2991="","",'Ordenes_Odoo'!F2991)</f>
        <v/>
      </c>
      <c r="G2991" s="79">
        <f>IF('Ordenes_Odoo'!G2991="","",'Ordenes_Odoo'!G2991)</f>
        <v/>
      </c>
      <c r="H2991" s="79">
        <f>IF('Ordenes_Odoo'!H2991="","",'Ordenes_Odoo'!H2991)</f>
        <v/>
      </c>
      <c r="I2991" s="79">
        <f>IF('Ordenes_Odoo'!I2991="","",'Ordenes_Odoo'!I2991)</f>
        <v/>
      </c>
      <c r="J2991" s="79">
        <f>IF('Ordenes_Odoo'!J2991="","",'Ordenes_Odoo'!J2991)</f>
        <v/>
      </c>
      <c r="K2991" s="81">
        <f>IF('Ordenes_Odoo'!K2991="","",'Ordenes_Odoo'!K2991)</f>
        <v/>
      </c>
      <c r="L2991" s="81">
        <f>IF('Ordenes_Odoo'!L2991="","",'Ordenes_Odoo'!L2991)</f>
        <v/>
      </c>
      <c r="M2991" s="79">
        <f>IF('Ordenes_Odoo'!M2991="","",'Ordenes_Odoo'!M2991)</f>
        <v/>
      </c>
      <c r="N2991" s="79">
        <f>IF('Ordenes_Odoo'!N2991="","",'Ordenes_Odoo'!N2991)</f>
        <v/>
      </c>
      <c r="O2991" s="81">
        <f>IF('Ordenes_Odoo'!O2991="","",'Ordenes_Odoo'!O2991)</f>
        <v/>
      </c>
      <c r="P2991" s="81">
        <f>IF('Ordenes_Odoo'!P2991="","",'Ordenes_Odoo'!P2991)</f>
        <v/>
      </c>
      <c r="Q2991" s="79">
        <f>IF(A2991="","",IFERROR(INDEX(Facturas_Odoo!$B:$B, MATCH(A2991, Facturas_Odoo!$D:$D, 0)), "Sin Factura"))</f>
        <v/>
      </c>
      <c r="R2991" s="80">
        <f>IF(Q2991="Sin Factura","",IFERROR(INDEX(Facturas_Odoo!$A:$A, MATCH(Q2991, Facturas_Odoo!$B:$B, 0)), ""))</f>
        <v/>
      </c>
      <c r="S2991" s="79">
        <f>IF(Q2991="Sin Factura","",IFERROR(_xlfn.XLOOKUP(1, (Facturas_Odoo!$D:$D=A2991) * (Facturas_Odoo!$K:$K=I2991), Facturas_Odoo!$L:$L, ""), ""))</f>
        <v/>
      </c>
      <c r="T2991" s="81">
        <f>IF(Q2991="Sin Factura",0,IFERROR(_xlfn.XLOOKUP(1, (Facturas_Odoo!$D:$D=A2991) * (Facturas_Odoo!$K:$K=I2991), Facturas_Odoo!$M:$M, 0), 0))</f>
        <v/>
      </c>
      <c r="U2991" s="79">
        <f>IF(Q2991="Sin Factura",0,IFERROR(_xlfn.XLOOKUP(1, (Facturas_Odoo!$D:$D=A2991) * (Facturas_Odoo!$K:$K=I2991), Facturas_Odoo!$N:$N, 0), 0))</f>
        <v/>
      </c>
      <c r="V2991" s="79">
        <f>IF(Q2991="Sin Factura",0,IFERROR(_xlfn.XLOOKUP(1, (Facturas_Odoo!$D:$D=A2991) * (Facturas_Odoo!$K:$K=I2991), Facturas_Odoo!$O:$O, 0), 0))</f>
        <v/>
      </c>
      <c r="W2991" s="81">
        <f>IF(Q2991="Sin Factura",0,IFERROR(_xlfn.XLOOKUP(1, (Facturas_Odoo!$D:$D=A2991) * (Facturas_Odoo!$K:$K=I2991), Facturas_Odoo!$Q:$Q, 0), 0))</f>
        <v/>
      </c>
      <c r="X2991" s="79">
        <f>IF(OR(Q2991="Sin Factura",Q2991=""),"",IFERROR(INDEX(Pagos_Odoo!$B:$B, MATCH(Q2991, Pagos_Odoo!$I:$I, 0)), "Sin Pago"))</f>
        <v/>
      </c>
      <c r="Y2991" s="79">
        <f>IF(X2991="Sin Pago","",IFERROR(INDEX(Pagos_Odoo!$C:$C, MATCH(X2991, Pagos_Odoo!$B:$B, 0)), ""))</f>
        <v/>
      </c>
      <c r="Z2991" s="80">
        <f>IF(X2991="Sin Pago","",IFERROR(INDEX(Pagos_Odoo!$A:$A, MATCH(X2991, Pagos_Odoo!$B:$B, 0)), ""))</f>
        <v/>
      </c>
      <c r="AA2991" s="79">
        <f>IF(X2991="Sin Pago","",IFERROR(INDEX(Pagos_Odoo!$F:$F, MATCH(X2991, Pagos_Odoo!$B:$B, 0)), ""))</f>
        <v/>
      </c>
      <c r="AB2991" s="81">
        <f>IF(X2991="Sin Pago",0,IFERROR(INDEX(Pagos_Odoo!$E:$E, MATCH(X2991, Pagos_Odoo!$B:$B, 0)), 0))</f>
        <v/>
      </c>
      <c r="AC2991" s="79">
        <f>IF(X2991="Sin Pago","",IFERROR(INDEX(Pagos_Odoo!$G:$G, MATCH(X2991, Pagos_Odoo!$B:$B, 0)), ""))</f>
        <v/>
      </c>
      <c r="AD2991" s="82" t="n">
        <v>0</v>
      </c>
      <c r="AE2991" s="82" t="n"/>
      <c r="AF2991" s="82" t="n"/>
      <c r="AG2991" s="82">
        <f>IF(AN2991="","",AD2991+AE2991+AF2991)</f>
        <v/>
      </c>
      <c r="AH2991" s="81">
        <f>IF(AN2991="","",P2991*(1-AG2991))</f>
        <v/>
      </c>
      <c r="AI2991" s="81">
        <f>IF(AN2991="","",IF(Q2991="Sin Factura",0,IFERROR(INDEX(Facturas_Odoo!$H:$H, MATCH(Q2991, Facturas_Odoo!$B:$B, 0)), 0)*(1-AG2991)))</f>
        <v/>
      </c>
      <c r="AJ2991" s="81">
        <f>IF(AN2991="","",_xlfn.LET(idVenta, AN2991&amp;"",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91" s="81">
        <f>IF(AN2991="","",AH2991-AJ2991)</f>
        <v/>
      </c>
      <c r="AL2991" s="81">
        <f>IF(AN2991="","",IF(Q2991="Sin Factura","",AI2991-AJ2991))</f>
        <v/>
      </c>
      <c r="AM2991" s="81">
        <f>IF(AN2991="","",IF(Q2991="Sin Factura",0,P2991-IFERROR(INDEX(Facturas_Odoo!$H:$H, MATCH(Q2991, Facturas_Odoo!$B:$B, 0)), 0)))</f>
        <v/>
      </c>
      <c r="AN2991" s="79">
        <f>IF(AND(A2991="", J2991=""), "", IF(A2991&lt;&gt;"", VALUE(MID(A2991,2,LEN(A2991))), AN2990))</f>
        <v/>
      </c>
      <c r="AO2991" s="79">
        <f>IF(AN2991="","",IF(AD2991=0,"OK",_xlfn.LET(monedaPago, IF(AA2991="","USD",AA2991), limitePermitido, IFERROR(VLOOKUP(monedaPago, Configuración!$A$2:$B$3, 2, FALSE), 0.15), IF(AD2991&gt;limitePermitido, "ALERTA: EXCESO (" &amp; TEXT(limitePermitido, "0%") &amp; " máx)", "OK"))))</f>
        <v/>
      </c>
      <c r="AP2991" s="79">
        <f>IF(AN2991="","",IF(AE2991=0,"OK",_xlfn.LET(fechaPago, Z2991, fechaFactura, R2991, diasCredito, IF(E2991="Pago inmediato", 0, IFERROR(VALUE(MID(E2991, 1, SEARCH(" ", E2991)-1)),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91" s="79">
        <f>IF(AN2991="","",IF(AND(N2991&gt;0, AG2991&gt;0), IF(Configuración!$K$2="NO", "ALERTA: DESCUENTO DOBLE NO PERMITIDO", "OK"), "OK"))</f>
        <v/>
      </c>
      <c r="AR2991" s="79">
        <f>IF(AN2991="","",IF(OR(AO2991&lt;&gt;"OK", AP2991&lt;&gt;"OK", AQ2991&lt;&gt;"OK"), "⚠️ REVISAR", "OK"))</f>
        <v/>
      </c>
    </row>
    <row r="2992">
      <c r="A2992" s="79">
        <f>IF('Ordenes_Odoo'!A2992="","",'Ordenes_Odoo'!A2992)</f>
        <v/>
      </c>
      <c r="B2992" s="80">
        <f>IF('Ordenes_Odoo'!B2992="","",'Ordenes_Odoo'!B2992)</f>
        <v/>
      </c>
      <c r="C2992" s="79">
        <f>IF('Ordenes_Odoo'!C2992="","",'Ordenes_Odoo'!C2992)</f>
        <v/>
      </c>
      <c r="D2992" s="79">
        <f>IF('Ordenes_Odoo'!D2992="","",'Ordenes_Odoo'!D2992)</f>
        <v/>
      </c>
      <c r="E2992" s="79">
        <f>IF('Ordenes_Odoo'!E2992="","",'Ordenes_Odoo'!E2992)</f>
        <v/>
      </c>
      <c r="F2992" s="79">
        <f>IF('Ordenes_Odoo'!F2992="","",'Ordenes_Odoo'!F2992)</f>
        <v/>
      </c>
      <c r="G2992" s="79">
        <f>IF('Ordenes_Odoo'!G2992="","",'Ordenes_Odoo'!G2992)</f>
        <v/>
      </c>
      <c r="H2992" s="79">
        <f>IF('Ordenes_Odoo'!H2992="","",'Ordenes_Odoo'!H2992)</f>
        <v/>
      </c>
      <c r="I2992" s="79">
        <f>IF('Ordenes_Odoo'!I2992="","",'Ordenes_Odoo'!I2992)</f>
        <v/>
      </c>
      <c r="J2992" s="79">
        <f>IF('Ordenes_Odoo'!J2992="","",'Ordenes_Odoo'!J2992)</f>
        <v/>
      </c>
      <c r="K2992" s="81">
        <f>IF('Ordenes_Odoo'!K2992="","",'Ordenes_Odoo'!K2992)</f>
        <v/>
      </c>
      <c r="L2992" s="81">
        <f>IF('Ordenes_Odoo'!L2992="","",'Ordenes_Odoo'!L2992)</f>
        <v/>
      </c>
      <c r="M2992" s="79">
        <f>IF('Ordenes_Odoo'!M2992="","",'Ordenes_Odoo'!M2992)</f>
        <v/>
      </c>
      <c r="N2992" s="79">
        <f>IF('Ordenes_Odoo'!N2992="","",'Ordenes_Odoo'!N2992)</f>
        <v/>
      </c>
      <c r="O2992" s="81">
        <f>IF('Ordenes_Odoo'!O2992="","",'Ordenes_Odoo'!O2992)</f>
        <v/>
      </c>
      <c r="P2992" s="81">
        <f>IF('Ordenes_Odoo'!P2992="","",'Ordenes_Odoo'!P2992)</f>
        <v/>
      </c>
      <c r="Q2992" s="79">
        <f>IF(A2992="","",IFERROR(INDEX(Facturas_Odoo!$B:$B, MATCH(A2992, Facturas_Odoo!$D:$D, 0)), "Sin Factura"))</f>
        <v/>
      </c>
      <c r="R2992" s="80">
        <f>IF(Q2992="Sin Factura","",IFERROR(INDEX(Facturas_Odoo!$A:$A, MATCH(Q2992, Facturas_Odoo!$B:$B, 0)), ""))</f>
        <v/>
      </c>
      <c r="S2992" s="79">
        <f>IF(Q2992="Sin Factura","",IFERROR(_xlfn.XLOOKUP(1, (Facturas_Odoo!$D:$D=A2992) * (Facturas_Odoo!$K:$K=I2992), Facturas_Odoo!$L:$L, ""), ""))</f>
        <v/>
      </c>
      <c r="T2992" s="81">
        <f>IF(Q2992="Sin Factura",0,IFERROR(_xlfn.XLOOKUP(1, (Facturas_Odoo!$D:$D=A2992) * (Facturas_Odoo!$K:$K=I2992), Facturas_Odoo!$M:$M, 0), 0))</f>
        <v/>
      </c>
      <c r="U2992" s="79">
        <f>IF(Q2992="Sin Factura",0,IFERROR(_xlfn.XLOOKUP(1, (Facturas_Odoo!$D:$D=A2992) * (Facturas_Odoo!$K:$K=I2992), Facturas_Odoo!$N:$N, 0), 0))</f>
        <v/>
      </c>
      <c r="V2992" s="79">
        <f>IF(Q2992="Sin Factura",0,IFERROR(_xlfn.XLOOKUP(1, (Facturas_Odoo!$D:$D=A2992) * (Facturas_Odoo!$K:$K=I2992), Facturas_Odoo!$O:$O, 0), 0))</f>
        <v/>
      </c>
      <c r="W2992" s="81">
        <f>IF(Q2992="Sin Factura",0,IFERROR(_xlfn.XLOOKUP(1, (Facturas_Odoo!$D:$D=A2992) * (Facturas_Odoo!$K:$K=I2992), Facturas_Odoo!$Q:$Q, 0), 0))</f>
        <v/>
      </c>
      <c r="X2992" s="79">
        <f>IF(OR(Q2992="Sin Factura",Q2992=""),"",IFERROR(INDEX(Pagos_Odoo!$B:$B, MATCH(Q2992, Pagos_Odoo!$I:$I, 0)), "Sin Pago"))</f>
        <v/>
      </c>
      <c r="Y2992" s="79">
        <f>IF(X2992="Sin Pago","",IFERROR(INDEX(Pagos_Odoo!$C:$C, MATCH(X2992, Pagos_Odoo!$B:$B, 0)), ""))</f>
        <v/>
      </c>
      <c r="Z2992" s="80">
        <f>IF(X2992="Sin Pago","",IFERROR(INDEX(Pagos_Odoo!$A:$A, MATCH(X2992, Pagos_Odoo!$B:$B, 0)), ""))</f>
        <v/>
      </c>
      <c r="AA2992" s="79">
        <f>IF(X2992="Sin Pago","",IFERROR(INDEX(Pagos_Odoo!$F:$F, MATCH(X2992, Pagos_Odoo!$B:$B, 0)), ""))</f>
        <v/>
      </c>
      <c r="AB2992" s="81">
        <f>IF(X2992="Sin Pago",0,IFERROR(INDEX(Pagos_Odoo!$E:$E, MATCH(X2992, Pagos_Odoo!$B:$B, 0)), 0))</f>
        <v/>
      </c>
      <c r="AC2992" s="79">
        <f>IF(X2992="Sin Pago","",IFERROR(INDEX(Pagos_Odoo!$G:$G, MATCH(X2992, Pagos_Odoo!$B:$B, 0)), ""))</f>
        <v/>
      </c>
      <c r="AD2992" s="82" t="n">
        <v>0</v>
      </c>
      <c r="AE2992" s="82" t="n"/>
      <c r="AF2992" s="82" t="n"/>
      <c r="AG2992" s="82">
        <f>IF(AN2992="","",AD2992+AE2992+AF2992)</f>
        <v/>
      </c>
      <c r="AH2992" s="81">
        <f>IF(AN2992="","",P2992*(1-AG2992))</f>
        <v/>
      </c>
      <c r="AI2992" s="81">
        <f>IF(AN2992="","",IF(Q2992="Sin Factura",0,IFERROR(INDEX(Facturas_Odoo!$H:$H, MATCH(Q2992, Facturas_Odoo!$B:$B, 0)), 0)*(1-AG2992)))</f>
        <v/>
      </c>
      <c r="AJ2992" s="81">
        <f>IF(AN2992="","",_xlfn.LET(idVenta, AN2992&amp;"",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92" s="81">
        <f>IF(AN2992="","",AH2992-AJ2992)</f>
        <v/>
      </c>
      <c r="AL2992" s="81">
        <f>IF(AN2992="","",IF(Q2992="Sin Factura","",AI2992-AJ2992))</f>
        <v/>
      </c>
      <c r="AM2992" s="81">
        <f>IF(AN2992="","",IF(Q2992="Sin Factura",0,P2992-IFERROR(INDEX(Facturas_Odoo!$H:$H, MATCH(Q2992, Facturas_Odoo!$B:$B, 0)), 0)))</f>
        <v/>
      </c>
      <c r="AN2992" s="79">
        <f>IF(AND(A2992="", J2992=""), "", IF(A2992&lt;&gt;"", VALUE(MID(A2992,2,LEN(A2992))), AN2991))</f>
        <v/>
      </c>
      <c r="AO2992" s="79">
        <f>IF(AN2992="","",IF(AD2992=0,"OK",_xlfn.LET(monedaPago, IF(AA2992="","USD",AA2992), limitePermitido, IFERROR(VLOOKUP(monedaPago, Configuración!$A$2:$B$3, 2, FALSE), 0.15), IF(AD2992&gt;limitePermitido, "ALERTA: EXCESO (" &amp; TEXT(limitePermitido, "0%") &amp; " máx)", "OK"))))</f>
        <v/>
      </c>
      <c r="AP2992" s="79">
        <f>IF(AN2992="","",IF(AE2992=0,"OK",_xlfn.LET(fechaPago, Z2992, fechaFactura, R2992, diasCredito, IF(E2992="Pago inmediato", 0, IFERROR(VALUE(MID(E2992, 1, SEARCH(" ", E2992)-1)),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92" s="79">
        <f>IF(AN2992="","",IF(AND(N2992&gt;0, AG2992&gt;0), IF(Configuración!$K$2="NO", "ALERTA: DESCUENTO DOBLE NO PERMITIDO", "OK"), "OK"))</f>
        <v/>
      </c>
      <c r="AR2992" s="79">
        <f>IF(AN2992="","",IF(OR(AO2992&lt;&gt;"OK", AP2992&lt;&gt;"OK", AQ2992&lt;&gt;"OK"), "⚠️ REVISAR", "OK"))</f>
        <v/>
      </c>
    </row>
    <row r="2993">
      <c r="A2993" s="79">
        <f>IF('Ordenes_Odoo'!A2993="","",'Ordenes_Odoo'!A2993)</f>
        <v/>
      </c>
      <c r="B2993" s="80">
        <f>IF('Ordenes_Odoo'!B2993="","",'Ordenes_Odoo'!B2993)</f>
        <v/>
      </c>
      <c r="C2993" s="79">
        <f>IF('Ordenes_Odoo'!C2993="","",'Ordenes_Odoo'!C2993)</f>
        <v/>
      </c>
      <c r="D2993" s="79">
        <f>IF('Ordenes_Odoo'!D2993="","",'Ordenes_Odoo'!D2993)</f>
        <v/>
      </c>
      <c r="E2993" s="79">
        <f>IF('Ordenes_Odoo'!E2993="","",'Ordenes_Odoo'!E2993)</f>
        <v/>
      </c>
      <c r="F2993" s="79">
        <f>IF('Ordenes_Odoo'!F2993="","",'Ordenes_Odoo'!F2993)</f>
        <v/>
      </c>
      <c r="G2993" s="79">
        <f>IF('Ordenes_Odoo'!G2993="","",'Ordenes_Odoo'!G2993)</f>
        <v/>
      </c>
      <c r="H2993" s="79">
        <f>IF('Ordenes_Odoo'!H2993="","",'Ordenes_Odoo'!H2993)</f>
        <v/>
      </c>
      <c r="I2993" s="79">
        <f>IF('Ordenes_Odoo'!I2993="","",'Ordenes_Odoo'!I2993)</f>
        <v/>
      </c>
      <c r="J2993" s="79">
        <f>IF('Ordenes_Odoo'!J2993="","",'Ordenes_Odoo'!J2993)</f>
        <v/>
      </c>
      <c r="K2993" s="81">
        <f>IF('Ordenes_Odoo'!K2993="","",'Ordenes_Odoo'!K2993)</f>
        <v/>
      </c>
      <c r="L2993" s="81">
        <f>IF('Ordenes_Odoo'!L2993="","",'Ordenes_Odoo'!L2993)</f>
        <v/>
      </c>
      <c r="M2993" s="79">
        <f>IF('Ordenes_Odoo'!M2993="","",'Ordenes_Odoo'!M2993)</f>
        <v/>
      </c>
      <c r="N2993" s="79">
        <f>IF('Ordenes_Odoo'!N2993="","",'Ordenes_Odoo'!N2993)</f>
        <v/>
      </c>
      <c r="O2993" s="81">
        <f>IF('Ordenes_Odoo'!O2993="","",'Ordenes_Odoo'!O2993)</f>
        <v/>
      </c>
      <c r="P2993" s="81">
        <f>IF('Ordenes_Odoo'!P2993="","",'Ordenes_Odoo'!P2993)</f>
        <v/>
      </c>
      <c r="Q2993" s="79">
        <f>IF(A2993="","",IFERROR(INDEX(Facturas_Odoo!$B:$B, MATCH(A2993, Facturas_Odoo!$D:$D, 0)), "Sin Factura"))</f>
        <v/>
      </c>
      <c r="R2993" s="80">
        <f>IF(Q2993="Sin Factura","",IFERROR(INDEX(Facturas_Odoo!$A:$A, MATCH(Q2993, Facturas_Odoo!$B:$B, 0)), ""))</f>
        <v/>
      </c>
      <c r="S2993" s="79">
        <f>IF(Q2993="Sin Factura","",IFERROR(_xlfn.XLOOKUP(1, (Facturas_Odoo!$D:$D=A2993) * (Facturas_Odoo!$K:$K=I2993), Facturas_Odoo!$L:$L, ""), ""))</f>
        <v/>
      </c>
      <c r="T2993" s="81">
        <f>IF(Q2993="Sin Factura",0,IFERROR(_xlfn.XLOOKUP(1, (Facturas_Odoo!$D:$D=A2993) * (Facturas_Odoo!$K:$K=I2993), Facturas_Odoo!$M:$M, 0), 0))</f>
        <v/>
      </c>
      <c r="U2993" s="79">
        <f>IF(Q2993="Sin Factura",0,IFERROR(_xlfn.XLOOKUP(1, (Facturas_Odoo!$D:$D=A2993) * (Facturas_Odoo!$K:$K=I2993), Facturas_Odoo!$N:$N, 0), 0))</f>
        <v/>
      </c>
      <c r="V2993" s="79">
        <f>IF(Q2993="Sin Factura",0,IFERROR(_xlfn.XLOOKUP(1, (Facturas_Odoo!$D:$D=A2993) * (Facturas_Odoo!$K:$K=I2993), Facturas_Odoo!$O:$O, 0), 0))</f>
        <v/>
      </c>
      <c r="W2993" s="81">
        <f>IF(Q2993="Sin Factura",0,IFERROR(_xlfn.XLOOKUP(1, (Facturas_Odoo!$D:$D=A2993) * (Facturas_Odoo!$K:$K=I2993), Facturas_Odoo!$Q:$Q, 0), 0))</f>
        <v/>
      </c>
      <c r="X2993" s="79">
        <f>IF(OR(Q2993="Sin Factura",Q2993=""),"",IFERROR(INDEX(Pagos_Odoo!$B:$B, MATCH(Q2993, Pagos_Odoo!$I:$I, 0)), "Sin Pago"))</f>
        <v/>
      </c>
      <c r="Y2993" s="79">
        <f>IF(X2993="Sin Pago","",IFERROR(INDEX(Pagos_Odoo!$C:$C, MATCH(X2993, Pagos_Odoo!$B:$B, 0)), ""))</f>
        <v/>
      </c>
      <c r="Z2993" s="80">
        <f>IF(X2993="Sin Pago","",IFERROR(INDEX(Pagos_Odoo!$A:$A, MATCH(X2993, Pagos_Odoo!$B:$B, 0)), ""))</f>
        <v/>
      </c>
      <c r="AA2993" s="79">
        <f>IF(X2993="Sin Pago","",IFERROR(INDEX(Pagos_Odoo!$F:$F, MATCH(X2993, Pagos_Odoo!$B:$B, 0)), ""))</f>
        <v/>
      </c>
      <c r="AB2993" s="81">
        <f>IF(X2993="Sin Pago",0,IFERROR(INDEX(Pagos_Odoo!$E:$E, MATCH(X2993, Pagos_Odoo!$B:$B, 0)), 0))</f>
        <v/>
      </c>
      <c r="AC2993" s="79">
        <f>IF(X2993="Sin Pago","",IFERROR(INDEX(Pagos_Odoo!$G:$G, MATCH(X2993, Pagos_Odoo!$B:$B, 0)), ""))</f>
        <v/>
      </c>
      <c r="AD2993" s="82" t="n">
        <v>0</v>
      </c>
      <c r="AE2993" s="82" t="n"/>
      <c r="AF2993" s="82" t="n"/>
      <c r="AG2993" s="82">
        <f>IF(AN2993="","",AD2993+AE2993+AF2993)</f>
        <v/>
      </c>
      <c r="AH2993" s="81">
        <f>IF(AN2993="","",P2993*(1-AG2993))</f>
        <v/>
      </c>
      <c r="AI2993" s="81">
        <f>IF(AN2993="","",IF(Q2993="Sin Factura",0,IFERROR(INDEX(Facturas_Odoo!$H:$H, MATCH(Q2993, Facturas_Odoo!$B:$B, 0)), 0)*(1-AG2993)))</f>
        <v/>
      </c>
      <c r="AJ2993" s="81">
        <f>IF(AN2993="","",_xlfn.LET(idVenta, AN2993&amp;"",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93" s="81">
        <f>IF(AN2993="","",AH2993-AJ2993)</f>
        <v/>
      </c>
      <c r="AL2993" s="81">
        <f>IF(AN2993="","",IF(Q2993="Sin Factura","",AI2993-AJ2993))</f>
        <v/>
      </c>
      <c r="AM2993" s="81">
        <f>IF(AN2993="","",IF(Q2993="Sin Factura",0,P2993-IFERROR(INDEX(Facturas_Odoo!$H:$H, MATCH(Q2993, Facturas_Odoo!$B:$B, 0)), 0)))</f>
        <v/>
      </c>
      <c r="AN2993" s="79">
        <f>IF(AND(A2993="", J2993=""), "", IF(A2993&lt;&gt;"", VALUE(MID(A2993,2,LEN(A2993))), AN2992))</f>
        <v/>
      </c>
      <c r="AO2993" s="79">
        <f>IF(AN2993="","",IF(AD2993=0,"OK",_xlfn.LET(monedaPago, IF(AA2993="","USD",AA2993), limitePermitido, IFERROR(VLOOKUP(monedaPago, Configuración!$A$2:$B$3, 2, FALSE), 0.15), IF(AD2993&gt;limitePermitido, "ALERTA: EXCESO (" &amp; TEXT(limitePermitido, "0%") &amp; " máx)", "OK"))))</f>
        <v/>
      </c>
      <c r="AP2993" s="79">
        <f>IF(AN2993="","",IF(AE2993=0,"OK",_xlfn.LET(fechaPago, Z2993, fechaFactura, R2993, diasCredito, IF(E2993="Pago inmediato", 0, IFERROR(VALUE(MID(E2993, 1, SEARCH(" ", E2993)-1)),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93" s="79">
        <f>IF(AN2993="","",IF(AND(N2993&gt;0, AG2993&gt;0), IF(Configuración!$K$2="NO", "ALERTA: DESCUENTO DOBLE NO PERMITIDO", "OK"), "OK"))</f>
        <v/>
      </c>
      <c r="AR2993" s="79">
        <f>IF(AN2993="","",IF(OR(AO2993&lt;&gt;"OK", AP2993&lt;&gt;"OK", AQ2993&lt;&gt;"OK"), "⚠️ REVISAR", "OK"))</f>
        <v/>
      </c>
    </row>
    <row r="2994">
      <c r="A2994" s="79">
        <f>IF('Ordenes_Odoo'!A2994="","",'Ordenes_Odoo'!A2994)</f>
        <v/>
      </c>
      <c r="B2994" s="80">
        <f>IF('Ordenes_Odoo'!B2994="","",'Ordenes_Odoo'!B2994)</f>
        <v/>
      </c>
      <c r="C2994" s="79">
        <f>IF('Ordenes_Odoo'!C2994="","",'Ordenes_Odoo'!C2994)</f>
        <v/>
      </c>
      <c r="D2994" s="79">
        <f>IF('Ordenes_Odoo'!D2994="","",'Ordenes_Odoo'!D2994)</f>
        <v/>
      </c>
      <c r="E2994" s="79">
        <f>IF('Ordenes_Odoo'!E2994="","",'Ordenes_Odoo'!E2994)</f>
        <v/>
      </c>
      <c r="F2994" s="79">
        <f>IF('Ordenes_Odoo'!F2994="","",'Ordenes_Odoo'!F2994)</f>
        <v/>
      </c>
      <c r="G2994" s="79">
        <f>IF('Ordenes_Odoo'!G2994="","",'Ordenes_Odoo'!G2994)</f>
        <v/>
      </c>
      <c r="H2994" s="79">
        <f>IF('Ordenes_Odoo'!H2994="","",'Ordenes_Odoo'!H2994)</f>
        <v/>
      </c>
      <c r="I2994" s="79">
        <f>IF('Ordenes_Odoo'!I2994="","",'Ordenes_Odoo'!I2994)</f>
        <v/>
      </c>
      <c r="J2994" s="79">
        <f>IF('Ordenes_Odoo'!J2994="","",'Ordenes_Odoo'!J2994)</f>
        <v/>
      </c>
      <c r="K2994" s="81">
        <f>IF('Ordenes_Odoo'!K2994="","",'Ordenes_Odoo'!K2994)</f>
        <v/>
      </c>
      <c r="L2994" s="81">
        <f>IF('Ordenes_Odoo'!L2994="","",'Ordenes_Odoo'!L2994)</f>
        <v/>
      </c>
      <c r="M2994" s="79">
        <f>IF('Ordenes_Odoo'!M2994="","",'Ordenes_Odoo'!M2994)</f>
        <v/>
      </c>
      <c r="N2994" s="79">
        <f>IF('Ordenes_Odoo'!N2994="","",'Ordenes_Odoo'!N2994)</f>
        <v/>
      </c>
      <c r="O2994" s="81">
        <f>IF('Ordenes_Odoo'!O2994="","",'Ordenes_Odoo'!O2994)</f>
        <v/>
      </c>
      <c r="P2994" s="81">
        <f>IF('Ordenes_Odoo'!P2994="","",'Ordenes_Odoo'!P2994)</f>
        <v/>
      </c>
      <c r="Q2994" s="79">
        <f>IF(A2994="","",IFERROR(INDEX(Facturas_Odoo!$B:$B, MATCH(A2994, Facturas_Odoo!$D:$D, 0)), "Sin Factura"))</f>
        <v/>
      </c>
      <c r="R2994" s="80">
        <f>IF(Q2994="Sin Factura","",IFERROR(INDEX(Facturas_Odoo!$A:$A, MATCH(Q2994, Facturas_Odoo!$B:$B, 0)), ""))</f>
        <v/>
      </c>
      <c r="S2994" s="79">
        <f>IF(Q2994="Sin Factura","",IFERROR(_xlfn.XLOOKUP(1, (Facturas_Odoo!$D:$D=A2994) * (Facturas_Odoo!$K:$K=I2994), Facturas_Odoo!$L:$L, ""), ""))</f>
        <v/>
      </c>
      <c r="T2994" s="81">
        <f>IF(Q2994="Sin Factura",0,IFERROR(_xlfn.XLOOKUP(1, (Facturas_Odoo!$D:$D=A2994) * (Facturas_Odoo!$K:$K=I2994), Facturas_Odoo!$M:$M, 0), 0))</f>
        <v/>
      </c>
      <c r="U2994" s="79">
        <f>IF(Q2994="Sin Factura",0,IFERROR(_xlfn.XLOOKUP(1, (Facturas_Odoo!$D:$D=A2994) * (Facturas_Odoo!$K:$K=I2994), Facturas_Odoo!$N:$N, 0), 0))</f>
        <v/>
      </c>
      <c r="V2994" s="79">
        <f>IF(Q2994="Sin Factura",0,IFERROR(_xlfn.XLOOKUP(1, (Facturas_Odoo!$D:$D=A2994) * (Facturas_Odoo!$K:$K=I2994), Facturas_Odoo!$O:$O, 0), 0))</f>
        <v/>
      </c>
      <c r="W2994" s="81">
        <f>IF(Q2994="Sin Factura",0,IFERROR(_xlfn.XLOOKUP(1, (Facturas_Odoo!$D:$D=A2994) * (Facturas_Odoo!$K:$K=I2994), Facturas_Odoo!$Q:$Q, 0), 0))</f>
        <v/>
      </c>
      <c r="X2994" s="79">
        <f>IF(OR(Q2994="Sin Factura",Q2994=""),"",IFERROR(INDEX(Pagos_Odoo!$B:$B, MATCH(Q2994, Pagos_Odoo!$I:$I, 0)), "Sin Pago"))</f>
        <v/>
      </c>
      <c r="Y2994" s="79">
        <f>IF(X2994="Sin Pago","",IFERROR(INDEX(Pagos_Odoo!$C:$C, MATCH(X2994, Pagos_Odoo!$B:$B, 0)), ""))</f>
        <v/>
      </c>
      <c r="Z2994" s="80">
        <f>IF(X2994="Sin Pago","",IFERROR(INDEX(Pagos_Odoo!$A:$A, MATCH(X2994, Pagos_Odoo!$B:$B, 0)), ""))</f>
        <v/>
      </c>
      <c r="AA2994" s="79">
        <f>IF(X2994="Sin Pago","",IFERROR(INDEX(Pagos_Odoo!$F:$F, MATCH(X2994, Pagos_Odoo!$B:$B, 0)), ""))</f>
        <v/>
      </c>
      <c r="AB2994" s="81">
        <f>IF(X2994="Sin Pago",0,IFERROR(INDEX(Pagos_Odoo!$E:$E, MATCH(X2994, Pagos_Odoo!$B:$B, 0)), 0))</f>
        <v/>
      </c>
      <c r="AC2994" s="79">
        <f>IF(X2994="Sin Pago","",IFERROR(INDEX(Pagos_Odoo!$G:$G, MATCH(X2994, Pagos_Odoo!$B:$B, 0)), ""))</f>
        <v/>
      </c>
      <c r="AD2994" s="82" t="n">
        <v>0</v>
      </c>
      <c r="AE2994" s="82" t="n"/>
      <c r="AF2994" s="82" t="n"/>
      <c r="AG2994" s="82">
        <f>IF(AN2994="","",AD2994+AE2994+AF2994)</f>
        <v/>
      </c>
      <c r="AH2994" s="81">
        <f>IF(AN2994="","",P2994*(1-AG2994))</f>
        <v/>
      </c>
      <c r="AI2994" s="81">
        <f>IF(AN2994="","",IF(Q2994="Sin Factura",0,IFERROR(INDEX(Facturas_Odoo!$H:$H, MATCH(Q2994, Facturas_Odoo!$B:$B, 0)), 0)*(1-AG2994)))</f>
        <v/>
      </c>
      <c r="AJ2994" s="81">
        <f>IF(AN2994="","",_xlfn.LET(idVenta, AN2994&amp;"",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94" s="81">
        <f>IF(AN2994="","",AH2994-AJ2994)</f>
        <v/>
      </c>
      <c r="AL2994" s="81">
        <f>IF(AN2994="","",IF(Q2994="Sin Factura","",AI2994-AJ2994))</f>
        <v/>
      </c>
      <c r="AM2994" s="81">
        <f>IF(AN2994="","",IF(Q2994="Sin Factura",0,P2994-IFERROR(INDEX(Facturas_Odoo!$H:$H, MATCH(Q2994, Facturas_Odoo!$B:$B, 0)), 0)))</f>
        <v/>
      </c>
      <c r="AN2994" s="79">
        <f>IF(AND(A2994="", J2994=""), "", IF(A2994&lt;&gt;"", VALUE(MID(A2994,2,LEN(A2994))), AN2993))</f>
        <v/>
      </c>
      <c r="AO2994" s="79">
        <f>IF(AN2994="","",IF(AD2994=0,"OK",_xlfn.LET(monedaPago, IF(AA2994="","USD",AA2994), limitePermitido, IFERROR(VLOOKUP(monedaPago, Configuración!$A$2:$B$3, 2, FALSE), 0.15), IF(AD2994&gt;limitePermitido, "ALERTA: EXCESO (" &amp; TEXT(limitePermitido, "0%") &amp; " máx)", "OK"))))</f>
        <v/>
      </c>
      <c r="AP2994" s="79">
        <f>IF(AN2994="","",IF(AE2994=0,"OK",_xlfn.LET(fechaPago, Z2994, fechaFactura, R2994, diasCredito, IF(E2994="Pago inmediato", 0, IFERROR(VALUE(MID(E2994, 1, SEARCH(" ", E2994)-1)),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94" s="79">
        <f>IF(AN2994="","",IF(AND(N2994&gt;0, AG2994&gt;0), IF(Configuración!$K$2="NO", "ALERTA: DESCUENTO DOBLE NO PERMITIDO", "OK"), "OK"))</f>
        <v/>
      </c>
      <c r="AR2994" s="79">
        <f>IF(AN2994="","",IF(OR(AO2994&lt;&gt;"OK", AP2994&lt;&gt;"OK", AQ2994&lt;&gt;"OK"), "⚠️ REVISAR", "OK"))</f>
        <v/>
      </c>
    </row>
    <row r="2995">
      <c r="A2995" s="79">
        <f>IF('Ordenes_Odoo'!A2995="","",'Ordenes_Odoo'!A2995)</f>
        <v/>
      </c>
      <c r="B2995" s="80">
        <f>IF('Ordenes_Odoo'!B2995="","",'Ordenes_Odoo'!B2995)</f>
        <v/>
      </c>
      <c r="C2995" s="79">
        <f>IF('Ordenes_Odoo'!C2995="","",'Ordenes_Odoo'!C2995)</f>
        <v/>
      </c>
      <c r="D2995" s="79">
        <f>IF('Ordenes_Odoo'!D2995="","",'Ordenes_Odoo'!D2995)</f>
        <v/>
      </c>
      <c r="E2995" s="79">
        <f>IF('Ordenes_Odoo'!E2995="","",'Ordenes_Odoo'!E2995)</f>
        <v/>
      </c>
      <c r="F2995" s="79">
        <f>IF('Ordenes_Odoo'!F2995="","",'Ordenes_Odoo'!F2995)</f>
        <v/>
      </c>
      <c r="G2995" s="79">
        <f>IF('Ordenes_Odoo'!G2995="","",'Ordenes_Odoo'!G2995)</f>
        <v/>
      </c>
      <c r="H2995" s="79">
        <f>IF('Ordenes_Odoo'!H2995="","",'Ordenes_Odoo'!H2995)</f>
        <v/>
      </c>
      <c r="I2995" s="79">
        <f>IF('Ordenes_Odoo'!I2995="","",'Ordenes_Odoo'!I2995)</f>
        <v/>
      </c>
      <c r="J2995" s="79">
        <f>IF('Ordenes_Odoo'!J2995="","",'Ordenes_Odoo'!J2995)</f>
        <v/>
      </c>
      <c r="K2995" s="81">
        <f>IF('Ordenes_Odoo'!K2995="","",'Ordenes_Odoo'!K2995)</f>
        <v/>
      </c>
      <c r="L2995" s="81">
        <f>IF('Ordenes_Odoo'!L2995="","",'Ordenes_Odoo'!L2995)</f>
        <v/>
      </c>
      <c r="M2995" s="79">
        <f>IF('Ordenes_Odoo'!M2995="","",'Ordenes_Odoo'!M2995)</f>
        <v/>
      </c>
      <c r="N2995" s="79">
        <f>IF('Ordenes_Odoo'!N2995="","",'Ordenes_Odoo'!N2995)</f>
        <v/>
      </c>
      <c r="O2995" s="81">
        <f>IF('Ordenes_Odoo'!O2995="","",'Ordenes_Odoo'!O2995)</f>
        <v/>
      </c>
      <c r="P2995" s="81">
        <f>IF('Ordenes_Odoo'!P2995="","",'Ordenes_Odoo'!P2995)</f>
        <v/>
      </c>
      <c r="Q2995" s="79">
        <f>IF(A2995="","",IFERROR(INDEX(Facturas_Odoo!$B:$B, MATCH(A2995, Facturas_Odoo!$D:$D, 0)), "Sin Factura"))</f>
        <v/>
      </c>
      <c r="R2995" s="80">
        <f>IF(Q2995="Sin Factura","",IFERROR(INDEX(Facturas_Odoo!$A:$A, MATCH(Q2995, Facturas_Odoo!$B:$B, 0)), ""))</f>
        <v/>
      </c>
      <c r="S2995" s="79">
        <f>IF(Q2995="Sin Factura","",IFERROR(_xlfn.XLOOKUP(1, (Facturas_Odoo!$D:$D=A2995) * (Facturas_Odoo!$K:$K=I2995), Facturas_Odoo!$L:$L, ""), ""))</f>
        <v/>
      </c>
      <c r="T2995" s="81">
        <f>IF(Q2995="Sin Factura",0,IFERROR(_xlfn.XLOOKUP(1, (Facturas_Odoo!$D:$D=A2995) * (Facturas_Odoo!$K:$K=I2995), Facturas_Odoo!$M:$M, 0), 0))</f>
        <v/>
      </c>
      <c r="U2995" s="79">
        <f>IF(Q2995="Sin Factura",0,IFERROR(_xlfn.XLOOKUP(1, (Facturas_Odoo!$D:$D=A2995) * (Facturas_Odoo!$K:$K=I2995), Facturas_Odoo!$N:$N, 0), 0))</f>
        <v/>
      </c>
      <c r="V2995" s="79">
        <f>IF(Q2995="Sin Factura",0,IFERROR(_xlfn.XLOOKUP(1, (Facturas_Odoo!$D:$D=A2995) * (Facturas_Odoo!$K:$K=I2995), Facturas_Odoo!$O:$O, 0), 0))</f>
        <v/>
      </c>
      <c r="W2995" s="81">
        <f>IF(Q2995="Sin Factura",0,IFERROR(_xlfn.XLOOKUP(1, (Facturas_Odoo!$D:$D=A2995) * (Facturas_Odoo!$K:$K=I2995), Facturas_Odoo!$Q:$Q, 0), 0))</f>
        <v/>
      </c>
      <c r="X2995" s="79">
        <f>IF(OR(Q2995="Sin Factura",Q2995=""),"",IFERROR(INDEX(Pagos_Odoo!$B:$B, MATCH(Q2995, Pagos_Odoo!$I:$I, 0)), "Sin Pago"))</f>
        <v/>
      </c>
      <c r="Y2995" s="79">
        <f>IF(X2995="Sin Pago","",IFERROR(INDEX(Pagos_Odoo!$C:$C, MATCH(X2995, Pagos_Odoo!$B:$B, 0)), ""))</f>
        <v/>
      </c>
      <c r="Z2995" s="80">
        <f>IF(X2995="Sin Pago","",IFERROR(INDEX(Pagos_Odoo!$A:$A, MATCH(X2995, Pagos_Odoo!$B:$B, 0)), ""))</f>
        <v/>
      </c>
      <c r="AA2995" s="79">
        <f>IF(X2995="Sin Pago","",IFERROR(INDEX(Pagos_Odoo!$F:$F, MATCH(X2995, Pagos_Odoo!$B:$B, 0)), ""))</f>
        <v/>
      </c>
      <c r="AB2995" s="81">
        <f>IF(X2995="Sin Pago",0,IFERROR(INDEX(Pagos_Odoo!$E:$E, MATCH(X2995, Pagos_Odoo!$B:$B, 0)), 0))</f>
        <v/>
      </c>
      <c r="AC2995" s="79">
        <f>IF(X2995="Sin Pago","",IFERROR(INDEX(Pagos_Odoo!$G:$G, MATCH(X2995, Pagos_Odoo!$B:$B, 0)), ""))</f>
        <v/>
      </c>
      <c r="AD2995" s="82" t="n">
        <v>0</v>
      </c>
      <c r="AE2995" s="82" t="n"/>
      <c r="AF2995" s="82" t="n"/>
      <c r="AG2995" s="82">
        <f>IF(AN2995="","",AD2995+AE2995+AF2995)</f>
        <v/>
      </c>
      <c r="AH2995" s="81">
        <f>IF(AN2995="","",P2995*(1-AG2995))</f>
        <v/>
      </c>
      <c r="AI2995" s="81">
        <f>IF(AN2995="","",IF(Q2995="Sin Factura",0,IFERROR(INDEX(Facturas_Odoo!$H:$H, MATCH(Q2995, Facturas_Odoo!$B:$B, 0)), 0)*(1-AG2995)))</f>
        <v/>
      </c>
      <c r="AJ2995" s="81">
        <f>IF(AN2995="","",_xlfn.LET(idVenta, AN2995&amp;"",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95" s="81">
        <f>IF(AN2995="","",AH2995-AJ2995)</f>
        <v/>
      </c>
      <c r="AL2995" s="81">
        <f>IF(AN2995="","",IF(Q2995="Sin Factura","",AI2995-AJ2995))</f>
        <v/>
      </c>
      <c r="AM2995" s="81">
        <f>IF(AN2995="","",IF(Q2995="Sin Factura",0,P2995-IFERROR(INDEX(Facturas_Odoo!$H:$H, MATCH(Q2995, Facturas_Odoo!$B:$B, 0)), 0)))</f>
        <v/>
      </c>
      <c r="AN2995" s="79">
        <f>IF(AND(A2995="", J2995=""), "", IF(A2995&lt;&gt;"", VALUE(MID(A2995,2,LEN(A2995))), AN2994))</f>
        <v/>
      </c>
      <c r="AO2995" s="79">
        <f>IF(AN2995="","",IF(AD2995=0,"OK",_xlfn.LET(monedaPago, IF(AA2995="","USD",AA2995), limitePermitido, IFERROR(VLOOKUP(monedaPago, Configuración!$A$2:$B$3, 2, FALSE), 0.15), IF(AD2995&gt;limitePermitido, "ALERTA: EXCESO (" &amp; TEXT(limitePermitido, "0%") &amp; " máx)", "OK"))))</f>
        <v/>
      </c>
      <c r="AP2995" s="79">
        <f>IF(AN2995="","",IF(AE2995=0,"OK",_xlfn.LET(fechaPago, Z2995, fechaFactura, R2995, diasCredito, IF(E2995="Pago inmediato", 0, IFERROR(VALUE(MID(E2995, 1, SEARCH(" ", E2995)-1)),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95" s="79">
        <f>IF(AN2995="","",IF(AND(N2995&gt;0, AG2995&gt;0), IF(Configuración!$K$2="NO", "ALERTA: DESCUENTO DOBLE NO PERMITIDO", "OK"), "OK"))</f>
        <v/>
      </c>
      <c r="AR2995" s="79">
        <f>IF(AN2995="","",IF(OR(AO2995&lt;&gt;"OK", AP2995&lt;&gt;"OK", AQ2995&lt;&gt;"OK"), "⚠️ REVISAR", "OK"))</f>
        <v/>
      </c>
    </row>
    <row r="2996">
      <c r="A2996" s="79">
        <f>IF('Ordenes_Odoo'!A2996="","",'Ordenes_Odoo'!A2996)</f>
        <v/>
      </c>
      <c r="B2996" s="80">
        <f>IF('Ordenes_Odoo'!B2996="","",'Ordenes_Odoo'!B2996)</f>
        <v/>
      </c>
      <c r="C2996" s="79">
        <f>IF('Ordenes_Odoo'!C2996="","",'Ordenes_Odoo'!C2996)</f>
        <v/>
      </c>
      <c r="D2996" s="79">
        <f>IF('Ordenes_Odoo'!D2996="","",'Ordenes_Odoo'!D2996)</f>
        <v/>
      </c>
      <c r="E2996" s="79">
        <f>IF('Ordenes_Odoo'!E2996="","",'Ordenes_Odoo'!E2996)</f>
        <v/>
      </c>
      <c r="F2996" s="79">
        <f>IF('Ordenes_Odoo'!F2996="","",'Ordenes_Odoo'!F2996)</f>
        <v/>
      </c>
      <c r="G2996" s="79">
        <f>IF('Ordenes_Odoo'!G2996="","",'Ordenes_Odoo'!G2996)</f>
        <v/>
      </c>
      <c r="H2996" s="79">
        <f>IF('Ordenes_Odoo'!H2996="","",'Ordenes_Odoo'!H2996)</f>
        <v/>
      </c>
      <c r="I2996" s="79">
        <f>IF('Ordenes_Odoo'!I2996="","",'Ordenes_Odoo'!I2996)</f>
        <v/>
      </c>
      <c r="J2996" s="79">
        <f>IF('Ordenes_Odoo'!J2996="","",'Ordenes_Odoo'!J2996)</f>
        <v/>
      </c>
      <c r="K2996" s="81">
        <f>IF('Ordenes_Odoo'!K2996="","",'Ordenes_Odoo'!K2996)</f>
        <v/>
      </c>
      <c r="L2996" s="81">
        <f>IF('Ordenes_Odoo'!L2996="","",'Ordenes_Odoo'!L2996)</f>
        <v/>
      </c>
      <c r="M2996" s="79">
        <f>IF('Ordenes_Odoo'!M2996="","",'Ordenes_Odoo'!M2996)</f>
        <v/>
      </c>
      <c r="N2996" s="79">
        <f>IF('Ordenes_Odoo'!N2996="","",'Ordenes_Odoo'!N2996)</f>
        <v/>
      </c>
      <c r="O2996" s="81">
        <f>IF('Ordenes_Odoo'!O2996="","",'Ordenes_Odoo'!O2996)</f>
        <v/>
      </c>
      <c r="P2996" s="81">
        <f>IF('Ordenes_Odoo'!P2996="","",'Ordenes_Odoo'!P2996)</f>
        <v/>
      </c>
      <c r="Q2996" s="79">
        <f>IF(A2996="","",IFERROR(INDEX(Facturas_Odoo!$B:$B, MATCH(A2996, Facturas_Odoo!$D:$D, 0)), "Sin Factura"))</f>
        <v/>
      </c>
      <c r="R2996" s="80">
        <f>IF(Q2996="Sin Factura","",IFERROR(INDEX(Facturas_Odoo!$A:$A, MATCH(Q2996, Facturas_Odoo!$B:$B, 0)), ""))</f>
        <v/>
      </c>
      <c r="S2996" s="79">
        <f>IF(Q2996="Sin Factura","",IFERROR(_xlfn.XLOOKUP(1, (Facturas_Odoo!$D:$D=A2996) * (Facturas_Odoo!$K:$K=I2996), Facturas_Odoo!$L:$L, ""), ""))</f>
        <v/>
      </c>
      <c r="T2996" s="81">
        <f>IF(Q2996="Sin Factura",0,IFERROR(_xlfn.XLOOKUP(1, (Facturas_Odoo!$D:$D=A2996) * (Facturas_Odoo!$K:$K=I2996), Facturas_Odoo!$M:$M, 0), 0))</f>
        <v/>
      </c>
      <c r="U2996" s="79">
        <f>IF(Q2996="Sin Factura",0,IFERROR(_xlfn.XLOOKUP(1, (Facturas_Odoo!$D:$D=A2996) * (Facturas_Odoo!$K:$K=I2996), Facturas_Odoo!$N:$N, 0), 0))</f>
        <v/>
      </c>
      <c r="V2996" s="79">
        <f>IF(Q2996="Sin Factura",0,IFERROR(_xlfn.XLOOKUP(1, (Facturas_Odoo!$D:$D=A2996) * (Facturas_Odoo!$K:$K=I2996), Facturas_Odoo!$O:$O, 0), 0))</f>
        <v/>
      </c>
      <c r="W2996" s="81">
        <f>IF(Q2996="Sin Factura",0,IFERROR(_xlfn.XLOOKUP(1, (Facturas_Odoo!$D:$D=A2996) * (Facturas_Odoo!$K:$K=I2996), Facturas_Odoo!$Q:$Q, 0), 0))</f>
        <v/>
      </c>
      <c r="X2996" s="79">
        <f>IF(OR(Q2996="Sin Factura",Q2996=""),"",IFERROR(INDEX(Pagos_Odoo!$B:$B, MATCH(Q2996, Pagos_Odoo!$I:$I, 0)), "Sin Pago"))</f>
        <v/>
      </c>
      <c r="Y2996" s="79">
        <f>IF(X2996="Sin Pago","",IFERROR(INDEX(Pagos_Odoo!$C:$C, MATCH(X2996, Pagos_Odoo!$B:$B, 0)), ""))</f>
        <v/>
      </c>
      <c r="Z2996" s="80">
        <f>IF(X2996="Sin Pago","",IFERROR(INDEX(Pagos_Odoo!$A:$A, MATCH(X2996, Pagos_Odoo!$B:$B, 0)), ""))</f>
        <v/>
      </c>
      <c r="AA2996" s="79">
        <f>IF(X2996="Sin Pago","",IFERROR(INDEX(Pagos_Odoo!$F:$F, MATCH(X2996, Pagos_Odoo!$B:$B, 0)), ""))</f>
        <v/>
      </c>
      <c r="AB2996" s="81">
        <f>IF(X2996="Sin Pago",0,IFERROR(INDEX(Pagos_Odoo!$E:$E, MATCH(X2996, Pagos_Odoo!$B:$B, 0)), 0))</f>
        <v/>
      </c>
      <c r="AC2996" s="79">
        <f>IF(X2996="Sin Pago","",IFERROR(INDEX(Pagos_Odoo!$G:$G, MATCH(X2996, Pagos_Odoo!$B:$B, 0)), ""))</f>
        <v/>
      </c>
      <c r="AD2996" s="82" t="n">
        <v>0</v>
      </c>
      <c r="AE2996" s="82" t="n"/>
      <c r="AF2996" s="82" t="n"/>
      <c r="AG2996" s="82">
        <f>IF(AN2996="","",AD2996+AE2996+AF2996)</f>
        <v/>
      </c>
      <c r="AH2996" s="81">
        <f>IF(AN2996="","",P2996*(1-AG2996))</f>
        <v/>
      </c>
      <c r="AI2996" s="81">
        <f>IF(AN2996="","",IF(Q2996="Sin Factura",0,IFERROR(INDEX(Facturas_Odoo!$H:$H, MATCH(Q2996, Facturas_Odoo!$B:$B, 0)), 0)*(1-AG2996)))</f>
        <v/>
      </c>
      <c r="AJ2996" s="81">
        <f>IF(AN2996="","",_xlfn.LET(idVenta, AN2996&amp;"",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96" s="81">
        <f>IF(AN2996="","",AH2996-AJ2996)</f>
        <v/>
      </c>
      <c r="AL2996" s="81">
        <f>IF(AN2996="","",IF(Q2996="Sin Factura","",AI2996-AJ2996))</f>
        <v/>
      </c>
      <c r="AM2996" s="81">
        <f>IF(AN2996="","",IF(Q2996="Sin Factura",0,P2996-IFERROR(INDEX(Facturas_Odoo!$H:$H, MATCH(Q2996, Facturas_Odoo!$B:$B, 0)), 0)))</f>
        <v/>
      </c>
      <c r="AN2996" s="79">
        <f>IF(AND(A2996="", J2996=""), "", IF(A2996&lt;&gt;"", VALUE(MID(A2996,2,LEN(A2996))), AN2995))</f>
        <v/>
      </c>
      <c r="AO2996" s="79">
        <f>IF(AN2996="","",IF(AD2996=0,"OK",_xlfn.LET(monedaPago, IF(AA2996="","USD",AA2996), limitePermitido, IFERROR(VLOOKUP(monedaPago, Configuración!$A$2:$B$3, 2, FALSE), 0.15), IF(AD2996&gt;limitePermitido, "ALERTA: EXCESO (" &amp; TEXT(limitePermitido, "0%") &amp; " máx)", "OK"))))</f>
        <v/>
      </c>
      <c r="AP2996" s="79">
        <f>IF(AN2996="","",IF(AE2996=0,"OK",_xlfn.LET(fechaPago, Z2996, fechaFactura, R2996, diasCredito, IF(E2996="Pago inmediato", 0, IFERROR(VALUE(MID(E2996, 1, SEARCH(" ", E2996)-1)),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96" s="79">
        <f>IF(AN2996="","",IF(AND(N2996&gt;0, AG2996&gt;0), IF(Configuración!$K$2="NO", "ALERTA: DESCUENTO DOBLE NO PERMITIDO", "OK"), "OK"))</f>
        <v/>
      </c>
      <c r="AR2996" s="79">
        <f>IF(AN2996="","",IF(OR(AO2996&lt;&gt;"OK", AP2996&lt;&gt;"OK", AQ2996&lt;&gt;"OK"), "⚠️ REVISAR", "OK"))</f>
        <v/>
      </c>
    </row>
    <row r="2997">
      <c r="A2997" s="79">
        <f>IF('Ordenes_Odoo'!A2997="","",'Ordenes_Odoo'!A2997)</f>
        <v/>
      </c>
      <c r="B2997" s="80">
        <f>IF('Ordenes_Odoo'!B2997="","",'Ordenes_Odoo'!B2997)</f>
        <v/>
      </c>
      <c r="C2997" s="79">
        <f>IF('Ordenes_Odoo'!C2997="","",'Ordenes_Odoo'!C2997)</f>
        <v/>
      </c>
      <c r="D2997" s="79">
        <f>IF('Ordenes_Odoo'!D2997="","",'Ordenes_Odoo'!D2997)</f>
        <v/>
      </c>
      <c r="E2997" s="79">
        <f>IF('Ordenes_Odoo'!E2997="","",'Ordenes_Odoo'!E2997)</f>
        <v/>
      </c>
      <c r="F2997" s="79">
        <f>IF('Ordenes_Odoo'!F2997="","",'Ordenes_Odoo'!F2997)</f>
        <v/>
      </c>
      <c r="G2997" s="79">
        <f>IF('Ordenes_Odoo'!G2997="","",'Ordenes_Odoo'!G2997)</f>
        <v/>
      </c>
      <c r="H2997" s="79">
        <f>IF('Ordenes_Odoo'!H2997="","",'Ordenes_Odoo'!H2997)</f>
        <v/>
      </c>
      <c r="I2997" s="79">
        <f>IF('Ordenes_Odoo'!I2997="","",'Ordenes_Odoo'!I2997)</f>
        <v/>
      </c>
      <c r="J2997" s="79">
        <f>IF('Ordenes_Odoo'!J2997="","",'Ordenes_Odoo'!J2997)</f>
        <v/>
      </c>
      <c r="K2997" s="81">
        <f>IF('Ordenes_Odoo'!K2997="","",'Ordenes_Odoo'!K2997)</f>
        <v/>
      </c>
      <c r="L2997" s="81">
        <f>IF('Ordenes_Odoo'!L2997="","",'Ordenes_Odoo'!L2997)</f>
        <v/>
      </c>
      <c r="M2997" s="79">
        <f>IF('Ordenes_Odoo'!M2997="","",'Ordenes_Odoo'!M2997)</f>
        <v/>
      </c>
      <c r="N2997" s="79">
        <f>IF('Ordenes_Odoo'!N2997="","",'Ordenes_Odoo'!N2997)</f>
        <v/>
      </c>
      <c r="O2997" s="81">
        <f>IF('Ordenes_Odoo'!O2997="","",'Ordenes_Odoo'!O2997)</f>
        <v/>
      </c>
      <c r="P2997" s="81">
        <f>IF('Ordenes_Odoo'!P2997="","",'Ordenes_Odoo'!P2997)</f>
        <v/>
      </c>
      <c r="Q2997" s="79">
        <f>IF(A2997="","",IFERROR(INDEX(Facturas_Odoo!$B:$B, MATCH(A2997, Facturas_Odoo!$D:$D, 0)), "Sin Factura"))</f>
        <v/>
      </c>
      <c r="R2997" s="80">
        <f>IF(Q2997="Sin Factura","",IFERROR(INDEX(Facturas_Odoo!$A:$A, MATCH(Q2997, Facturas_Odoo!$B:$B, 0)), ""))</f>
        <v/>
      </c>
      <c r="S2997" s="79">
        <f>IF(Q2997="Sin Factura","",IFERROR(_xlfn.XLOOKUP(1, (Facturas_Odoo!$D:$D=A2997) * (Facturas_Odoo!$K:$K=I2997), Facturas_Odoo!$L:$L, ""), ""))</f>
        <v/>
      </c>
      <c r="T2997" s="81">
        <f>IF(Q2997="Sin Factura",0,IFERROR(_xlfn.XLOOKUP(1, (Facturas_Odoo!$D:$D=A2997) * (Facturas_Odoo!$K:$K=I2997), Facturas_Odoo!$M:$M, 0), 0))</f>
        <v/>
      </c>
      <c r="U2997" s="79">
        <f>IF(Q2997="Sin Factura",0,IFERROR(_xlfn.XLOOKUP(1, (Facturas_Odoo!$D:$D=A2997) * (Facturas_Odoo!$K:$K=I2997), Facturas_Odoo!$N:$N, 0), 0))</f>
        <v/>
      </c>
      <c r="V2997" s="79">
        <f>IF(Q2997="Sin Factura",0,IFERROR(_xlfn.XLOOKUP(1, (Facturas_Odoo!$D:$D=A2997) * (Facturas_Odoo!$K:$K=I2997), Facturas_Odoo!$O:$O, 0), 0))</f>
        <v/>
      </c>
      <c r="W2997" s="81">
        <f>IF(Q2997="Sin Factura",0,IFERROR(_xlfn.XLOOKUP(1, (Facturas_Odoo!$D:$D=A2997) * (Facturas_Odoo!$K:$K=I2997), Facturas_Odoo!$Q:$Q, 0), 0))</f>
        <v/>
      </c>
      <c r="X2997" s="79">
        <f>IF(OR(Q2997="Sin Factura",Q2997=""),"",IFERROR(INDEX(Pagos_Odoo!$B:$B, MATCH(Q2997, Pagos_Odoo!$I:$I, 0)), "Sin Pago"))</f>
        <v/>
      </c>
      <c r="Y2997" s="79">
        <f>IF(X2997="Sin Pago","",IFERROR(INDEX(Pagos_Odoo!$C:$C, MATCH(X2997, Pagos_Odoo!$B:$B, 0)), ""))</f>
        <v/>
      </c>
      <c r="Z2997" s="80">
        <f>IF(X2997="Sin Pago","",IFERROR(INDEX(Pagos_Odoo!$A:$A, MATCH(X2997, Pagos_Odoo!$B:$B, 0)), ""))</f>
        <v/>
      </c>
      <c r="AA2997" s="79">
        <f>IF(X2997="Sin Pago","",IFERROR(INDEX(Pagos_Odoo!$F:$F, MATCH(X2997, Pagos_Odoo!$B:$B, 0)), ""))</f>
        <v/>
      </c>
      <c r="AB2997" s="81">
        <f>IF(X2997="Sin Pago",0,IFERROR(INDEX(Pagos_Odoo!$E:$E, MATCH(X2997, Pagos_Odoo!$B:$B, 0)), 0))</f>
        <v/>
      </c>
      <c r="AC2997" s="79">
        <f>IF(X2997="Sin Pago","",IFERROR(INDEX(Pagos_Odoo!$G:$G, MATCH(X2997, Pagos_Odoo!$B:$B, 0)), ""))</f>
        <v/>
      </c>
      <c r="AD2997" s="82" t="n">
        <v>0</v>
      </c>
      <c r="AE2997" s="82" t="n"/>
      <c r="AF2997" s="82" t="n"/>
      <c r="AG2997" s="82">
        <f>IF(AN2997="","",AD2997+AE2997+AF2997)</f>
        <v/>
      </c>
      <c r="AH2997" s="81">
        <f>IF(AN2997="","",P2997*(1-AG2997))</f>
        <v/>
      </c>
      <c r="AI2997" s="81">
        <f>IF(AN2997="","",IF(Q2997="Sin Factura",0,IFERROR(INDEX(Facturas_Odoo!$H:$H, MATCH(Q2997, Facturas_Odoo!$B:$B, 0)), 0)*(1-AG2997)))</f>
        <v/>
      </c>
      <c r="AJ2997" s="81">
        <f>IF(AN2997="","",_xlfn.LET(idVenta, AN2997&amp;"",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97" s="81">
        <f>IF(AN2997="","",AH2997-AJ2997)</f>
        <v/>
      </c>
      <c r="AL2997" s="81">
        <f>IF(AN2997="","",IF(Q2997="Sin Factura","",AI2997-AJ2997))</f>
        <v/>
      </c>
      <c r="AM2997" s="81">
        <f>IF(AN2997="","",IF(Q2997="Sin Factura",0,P2997-IFERROR(INDEX(Facturas_Odoo!$H:$H, MATCH(Q2997, Facturas_Odoo!$B:$B, 0)), 0)))</f>
        <v/>
      </c>
      <c r="AN2997" s="79">
        <f>IF(AND(A2997="", J2997=""), "", IF(A2997&lt;&gt;"", VALUE(MID(A2997,2,LEN(A2997))), AN2996))</f>
        <v/>
      </c>
      <c r="AO2997" s="79">
        <f>IF(AN2997="","",IF(AD2997=0,"OK",_xlfn.LET(monedaPago, IF(AA2997="","USD",AA2997), limitePermitido, IFERROR(VLOOKUP(monedaPago, Configuración!$A$2:$B$3, 2, FALSE), 0.15), IF(AD2997&gt;limitePermitido, "ALERTA: EXCESO (" &amp; TEXT(limitePermitido, "0%") &amp; " máx)", "OK"))))</f>
        <v/>
      </c>
      <c r="AP2997" s="79">
        <f>IF(AN2997="","",IF(AE2997=0,"OK",_xlfn.LET(fechaPago, Z2997, fechaFactura, R2997, diasCredito, IF(E2997="Pago inmediato", 0, IFERROR(VALUE(MID(E2997, 1, SEARCH(" ", E2997)-1)),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97" s="79">
        <f>IF(AN2997="","",IF(AND(N2997&gt;0, AG2997&gt;0), IF(Configuración!$K$2="NO", "ALERTA: DESCUENTO DOBLE NO PERMITIDO", "OK"), "OK"))</f>
        <v/>
      </c>
      <c r="AR2997" s="79">
        <f>IF(AN2997="","",IF(OR(AO2997&lt;&gt;"OK", AP2997&lt;&gt;"OK", AQ2997&lt;&gt;"OK"), "⚠️ REVISAR", "OK"))</f>
        <v/>
      </c>
    </row>
    <row r="2998">
      <c r="A2998" s="79">
        <f>IF('Ordenes_Odoo'!A2998="","",'Ordenes_Odoo'!A2998)</f>
        <v/>
      </c>
      <c r="B2998" s="80">
        <f>IF('Ordenes_Odoo'!B2998="","",'Ordenes_Odoo'!B2998)</f>
        <v/>
      </c>
      <c r="C2998" s="79">
        <f>IF('Ordenes_Odoo'!C2998="","",'Ordenes_Odoo'!C2998)</f>
        <v/>
      </c>
      <c r="D2998" s="79">
        <f>IF('Ordenes_Odoo'!D2998="","",'Ordenes_Odoo'!D2998)</f>
        <v/>
      </c>
      <c r="E2998" s="79">
        <f>IF('Ordenes_Odoo'!E2998="","",'Ordenes_Odoo'!E2998)</f>
        <v/>
      </c>
      <c r="F2998" s="79">
        <f>IF('Ordenes_Odoo'!F2998="","",'Ordenes_Odoo'!F2998)</f>
        <v/>
      </c>
      <c r="G2998" s="79">
        <f>IF('Ordenes_Odoo'!G2998="","",'Ordenes_Odoo'!G2998)</f>
        <v/>
      </c>
      <c r="H2998" s="79">
        <f>IF('Ordenes_Odoo'!H2998="","",'Ordenes_Odoo'!H2998)</f>
        <v/>
      </c>
      <c r="I2998" s="79">
        <f>IF('Ordenes_Odoo'!I2998="","",'Ordenes_Odoo'!I2998)</f>
        <v/>
      </c>
      <c r="J2998" s="79">
        <f>IF('Ordenes_Odoo'!J2998="","",'Ordenes_Odoo'!J2998)</f>
        <v/>
      </c>
      <c r="K2998" s="81">
        <f>IF('Ordenes_Odoo'!K2998="","",'Ordenes_Odoo'!K2998)</f>
        <v/>
      </c>
      <c r="L2998" s="81">
        <f>IF('Ordenes_Odoo'!L2998="","",'Ordenes_Odoo'!L2998)</f>
        <v/>
      </c>
      <c r="M2998" s="79">
        <f>IF('Ordenes_Odoo'!M2998="","",'Ordenes_Odoo'!M2998)</f>
        <v/>
      </c>
      <c r="N2998" s="79">
        <f>IF('Ordenes_Odoo'!N2998="","",'Ordenes_Odoo'!N2998)</f>
        <v/>
      </c>
      <c r="O2998" s="81">
        <f>IF('Ordenes_Odoo'!O2998="","",'Ordenes_Odoo'!O2998)</f>
        <v/>
      </c>
      <c r="P2998" s="81">
        <f>IF('Ordenes_Odoo'!P2998="","",'Ordenes_Odoo'!P2998)</f>
        <v/>
      </c>
      <c r="Q2998" s="79">
        <f>IF(A2998="","",IFERROR(INDEX(Facturas_Odoo!$B:$B, MATCH(A2998, Facturas_Odoo!$D:$D, 0)), "Sin Factura"))</f>
        <v/>
      </c>
      <c r="R2998" s="80">
        <f>IF(Q2998="Sin Factura","",IFERROR(INDEX(Facturas_Odoo!$A:$A, MATCH(Q2998, Facturas_Odoo!$B:$B, 0)), ""))</f>
        <v/>
      </c>
      <c r="S2998" s="79">
        <f>IF(Q2998="Sin Factura","",IFERROR(_xlfn.XLOOKUP(1, (Facturas_Odoo!$D:$D=A2998) * (Facturas_Odoo!$K:$K=I2998), Facturas_Odoo!$L:$L, ""), ""))</f>
        <v/>
      </c>
      <c r="T2998" s="81">
        <f>IF(Q2998="Sin Factura",0,IFERROR(_xlfn.XLOOKUP(1, (Facturas_Odoo!$D:$D=A2998) * (Facturas_Odoo!$K:$K=I2998), Facturas_Odoo!$M:$M, 0), 0))</f>
        <v/>
      </c>
      <c r="U2998" s="79">
        <f>IF(Q2998="Sin Factura",0,IFERROR(_xlfn.XLOOKUP(1, (Facturas_Odoo!$D:$D=A2998) * (Facturas_Odoo!$K:$K=I2998), Facturas_Odoo!$N:$N, 0), 0))</f>
        <v/>
      </c>
      <c r="V2998" s="79">
        <f>IF(Q2998="Sin Factura",0,IFERROR(_xlfn.XLOOKUP(1, (Facturas_Odoo!$D:$D=A2998) * (Facturas_Odoo!$K:$K=I2998), Facturas_Odoo!$O:$O, 0), 0))</f>
        <v/>
      </c>
      <c r="W2998" s="81">
        <f>IF(Q2998="Sin Factura",0,IFERROR(_xlfn.XLOOKUP(1, (Facturas_Odoo!$D:$D=A2998) * (Facturas_Odoo!$K:$K=I2998), Facturas_Odoo!$Q:$Q, 0), 0))</f>
        <v/>
      </c>
      <c r="X2998" s="79">
        <f>IF(OR(Q2998="Sin Factura",Q2998=""),"",IFERROR(INDEX(Pagos_Odoo!$B:$B, MATCH(Q2998, Pagos_Odoo!$I:$I, 0)), "Sin Pago"))</f>
        <v/>
      </c>
      <c r="Y2998" s="79">
        <f>IF(X2998="Sin Pago","",IFERROR(INDEX(Pagos_Odoo!$C:$C, MATCH(X2998, Pagos_Odoo!$B:$B, 0)), ""))</f>
        <v/>
      </c>
      <c r="Z2998" s="80">
        <f>IF(X2998="Sin Pago","",IFERROR(INDEX(Pagos_Odoo!$A:$A, MATCH(X2998, Pagos_Odoo!$B:$B, 0)), ""))</f>
        <v/>
      </c>
      <c r="AA2998" s="79">
        <f>IF(X2998="Sin Pago","",IFERROR(INDEX(Pagos_Odoo!$F:$F, MATCH(X2998, Pagos_Odoo!$B:$B, 0)), ""))</f>
        <v/>
      </c>
      <c r="AB2998" s="81">
        <f>IF(X2998="Sin Pago",0,IFERROR(INDEX(Pagos_Odoo!$E:$E, MATCH(X2998, Pagos_Odoo!$B:$B, 0)), 0))</f>
        <v/>
      </c>
      <c r="AC2998" s="79">
        <f>IF(X2998="Sin Pago","",IFERROR(INDEX(Pagos_Odoo!$G:$G, MATCH(X2998, Pagos_Odoo!$B:$B, 0)), ""))</f>
        <v/>
      </c>
      <c r="AD2998" s="82" t="n">
        <v>0</v>
      </c>
      <c r="AE2998" s="82" t="n"/>
      <c r="AF2998" s="82" t="n"/>
      <c r="AG2998" s="82">
        <f>IF(AN2998="","",AD2998+AE2998+AF2998)</f>
        <v/>
      </c>
      <c r="AH2998" s="81">
        <f>IF(AN2998="","",P2998*(1-AG2998))</f>
        <v/>
      </c>
      <c r="AI2998" s="81">
        <f>IF(AN2998="","",IF(Q2998="Sin Factura",0,IFERROR(INDEX(Facturas_Odoo!$H:$H, MATCH(Q2998, Facturas_Odoo!$B:$B, 0)), 0)*(1-AG2998)))</f>
        <v/>
      </c>
      <c r="AJ2998" s="81">
        <f>IF(AN2998="","",_xlfn.LET(idVenta, AN2998&amp;"",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98" s="81">
        <f>IF(AN2998="","",AH2998-AJ2998)</f>
        <v/>
      </c>
      <c r="AL2998" s="81">
        <f>IF(AN2998="","",IF(Q2998="Sin Factura","",AI2998-AJ2998))</f>
        <v/>
      </c>
      <c r="AM2998" s="81">
        <f>IF(AN2998="","",IF(Q2998="Sin Factura",0,P2998-IFERROR(INDEX(Facturas_Odoo!$H:$H, MATCH(Q2998, Facturas_Odoo!$B:$B, 0)), 0)))</f>
        <v/>
      </c>
      <c r="AN2998" s="79">
        <f>IF(AND(A2998="", J2998=""), "", IF(A2998&lt;&gt;"", VALUE(MID(A2998,2,LEN(A2998))), AN2997))</f>
        <v/>
      </c>
      <c r="AO2998" s="79">
        <f>IF(AN2998="","",IF(AD2998=0,"OK",_xlfn.LET(monedaPago, IF(AA2998="","USD",AA2998), limitePermitido, IFERROR(VLOOKUP(monedaPago, Configuración!$A$2:$B$3, 2, FALSE), 0.15), IF(AD2998&gt;limitePermitido, "ALERTA: EXCESO (" &amp; TEXT(limitePermitido, "0%") &amp; " máx)", "OK"))))</f>
        <v/>
      </c>
      <c r="AP2998" s="79">
        <f>IF(AN2998="","",IF(AE2998=0,"OK",_xlfn.LET(fechaPago, Z2998, fechaFactura, R2998, diasCredito, IF(E2998="Pago inmediato", 0, IFERROR(VALUE(MID(E2998, 1, SEARCH(" ", E2998)-1)),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98" s="79">
        <f>IF(AN2998="","",IF(AND(N2998&gt;0, AG2998&gt;0), IF(Configuración!$K$2="NO", "ALERTA: DESCUENTO DOBLE NO PERMITIDO", "OK"), "OK"))</f>
        <v/>
      </c>
      <c r="AR2998" s="79">
        <f>IF(AN2998="","",IF(OR(AO2998&lt;&gt;"OK", AP2998&lt;&gt;"OK", AQ2998&lt;&gt;"OK"), "⚠️ REVISAR", "OK"))</f>
        <v/>
      </c>
    </row>
    <row r="2999">
      <c r="A2999" s="79">
        <f>IF('Ordenes_Odoo'!A2999="","",'Ordenes_Odoo'!A2999)</f>
        <v/>
      </c>
      <c r="B2999" s="80">
        <f>IF('Ordenes_Odoo'!B2999="","",'Ordenes_Odoo'!B2999)</f>
        <v/>
      </c>
      <c r="C2999" s="79">
        <f>IF('Ordenes_Odoo'!C2999="","",'Ordenes_Odoo'!C2999)</f>
        <v/>
      </c>
      <c r="D2999" s="79">
        <f>IF('Ordenes_Odoo'!D2999="","",'Ordenes_Odoo'!D2999)</f>
        <v/>
      </c>
      <c r="E2999" s="79">
        <f>IF('Ordenes_Odoo'!E2999="","",'Ordenes_Odoo'!E2999)</f>
        <v/>
      </c>
      <c r="F2999" s="79">
        <f>IF('Ordenes_Odoo'!F2999="","",'Ordenes_Odoo'!F2999)</f>
        <v/>
      </c>
      <c r="G2999" s="79">
        <f>IF('Ordenes_Odoo'!G2999="","",'Ordenes_Odoo'!G2999)</f>
        <v/>
      </c>
      <c r="H2999" s="79">
        <f>IF('Ordenes_Odoo'!H2999="","",'Ordenes_Odoo'!H2999)</f>
        <v/>
      </c>
      <c r="I2999" s="79">
        <f>IF('Ordenes_Odoo'!I2999="","",'Ordenes_Odoo'!I2999)</f>
        <v/>
      </c>
      <c r="J2999" s="79">
        <f>IF('Ordenes_Odoo'!J2999="","",'Ordenes_Odoo'!J2999)</f>
        <v/>
      </c>
      <c r="K2999" s="81">
        <f>IF('Ordenes_Odoo'!K2999="","",'Ordenes_Odoo'!K2999)</f>
        <v/>
      </c>
      <c r="L2999" s="81">
        <f>IF('Ordenes_Odoo'!L2999="","",'Ordenes_Odoo'!L2999)</f>
        <v/>
      </c>
      <c r="M2999" s="79">
        <f>IF('Ordenes_Odoo'!M2999="","",'Ordenes_Odoo'!M2999)</f>
        <v/>
      </c>
      <c r="N2999" s="79">
        <f>IF('Ordenes_Odoo'!N2999="","",'Ordenes_Odoo'!N2999)</f>
        <v/>
      </c>
      <c r="O2999" s="81">
        <f>IF('Ordenes_Odoo'!O2999="","",'Ordenes_Odoo'!O2999)</f>
        <v/>
      </c>
      <c r="P2999" s="81">
        <f>IF('Ordenes_Odoo'!P2999="","",'Ordenes_Odoo'!P2999)</f>
        <v/>
      </c>
      <c r="Q2999" s="79">
        <f>IF(A2999="","",IFERROR(INDEX(Facturas_Odoo!$B:$B, MATCH(A2999, Facturas_Odoo!$D:$D, 0)), "Sin Factura"))</f>
        <v/>
      </c>
      <c r="R2999" s="80">
        <f>IF(Q2999="Sin Factura","",IFERROR(INDEX(Facturas_Odoo!$A:$A, MATCH(Q2999, Facturas_Odoo!$B:$B, 0)), ""))</f>
        <v/>
      </c>
      <c r="S2999" s="79">
        <f>IF(Q2999="Sin Factura","",IFERROR(_xlfn.XLOOKUP(1, (Facturas_Odoo!$D:$D=A2999) * (Facturas_Odoo!$K:$K=I2999), Facturas_Odoo!$L:$L, ""), ""))</f>
        <v/>
      </c>
      <c r="T2999" s="81">
        <f>IF(Q2999="Sin Factura",0,IFERROR(_xlfn.XLOOKUP(1, (Facturas_Odoo!$D:$D=A2999) * (Facturas_Odoo!$K:$K=I2999), Facturas_Odoo!$M:$M, 0), 0))</f>
        <v/>
      </c>
      <c r="U2999" s="79">
        <f>IF(Q2999="Sin Factura",0,IFERROR(_xlfn.XLOOKUP(1, (Facturas_Odoo!$D:$D=A2999) * (Facturas_Odoo!$K:$K=I2999), Facturas_Odoo!$N:$N, 0), 0))</f>
        <v/>
      </c>
      <c r="V2999" s="79">
        <f>IF(Q2999="Sin Factura",0,IFERROR(_xlfn.XLOOKUP(1, (Facturas_Odoo!$D:$D=A2999) * (Facturas_Odoo!$K:$K=I2999), Facturas_Odoo!$O:$O, 0), 0))</f>
        <v/>
      </c>
      <c r="W2999" s="81">
        <f>IF(Q2999="Sin Factura",0,IFERROR(_xlfn.XLOOKUP(1, (Facturas_Odoo!$D:$D=A2999) * (Facturas_Odoo!$K:$K=I2999), Facturas_Odoo!$Q:$Q, 0), 0))</f>
        <v/>
      </c>
      <c r="X2999" s="79">
        <f>IF(OR(Q2999="Sin Factura",Q2999=""),"",IFERROR(INDEX(Pagos_Odoo!$B:$B, MATCH(Q2999, Pagos_Odoo!$I:$I, 0)), "Sin Pago"))</f>
        <v/>
      </c>
      <c r="Y2999" s="79">
        <f>IF(X2999="Sin Pago","",IFERROR(INDEX(Pagos_Odoo!$C:$C, MATCH(X2999, Pagos_Odoo!$B:$B, 0)), ""))</f>
        <v/>
      </c>
      <c r="Z2999" s="80">
        <f>IF(X2999="Sin Pago","",IFERROR(INDEX(Pagos_Odoo!$A:$A, MATCH(X2999, Pagos_Odoo!$B:$B, 0)), ""))</f>
        <v/>
      </c>
      <c r="AA2999" s="79">
        <f>IF(X2999="Sin Pago","",IFERROR(INDEX(Pagos_Odoo!$F:$F, MATCH(X2999, Pagos_Odoo!$B:$B, 0)), ""))</f>
        <v/>
      </c>
      <c r="AB2999" s="81">
        <f>IF(X2999="Sin Pago",0,IFERROR(INDEX(Pagos_Odoo!$E:$E, MATCH(X2999, Pagos_Odoo!$B:$B, 0)), 0))</f>
        <v/>
      </c>
      <c r="AC2999" s="79">
        <f>IF(X2999="Sin Pago","",IFERROR(INDEX(Pagos_Odoo!$G:$G, MATCH(X2999, Pagos_Odoo!$B:$B, 0)), ""))</f>
        <v/>
      </c>
      <c r="AD2999" s="82" t="n">
        <v>0</v>
      </c>
      <c r="AE2999" s="82" t="n"/>
      <c r="AF2999" s="82" t="n"/>
      <c r="AG2999" s="82">
        <f>IF(AN2999="","",AD2999+AE2999+AF2999)</f>
        <v/>
      </c>
      <c r="AH2999" s="81">
        <f>IF(AN2999="","",P2999*(1-AG2999))</f>
        <v/>
      </c>
      <c r="AI2999" s="81">
        <f>IF(AN2999="","",IF(Q2999="Sin Factura",0,IFERROR(INDEX(Facturas_Odoo!$H:$H, MATCH(Q2999, Facturas_Odoo!$B:$B, 0)), 0)*(1-AG2999)))</f>
        <v/>
      </c>
      <c r="AJ2999" s="81">
        <f>IF(AN2999="","",_xlfn.LET(idVenta, AN2999&amp;"",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2999" s="81">
        <f>IF(AN2999="","",AH2999-AJ2999)</f>
        <v/>
      </c>
      <c r="AL2999" s="81">
        <f>IF(AN2999="","",IF(Q2999="Sin Factura","",AI2999-AJ2999))</f>
        <v/>
      </c>
      <c r="AM2999" s="81">
        <f>IF(AN2999="","",IF(Q2999="Sin Factura",0,P2999-IFERROR(INDEX(Facturas_Odoo!$H:$H, MATCH(Q2999, Facturas_Odoo!$B:$B, 0)), 0)))</f>
        <v/>
      </c>
      <c r="AN2999" s="79">
        <f>IF(AND(A2999="", J2999=""), "", IF(A2999&lt;&gt;"", VALUE(MID(A2999,2,LEN(A2999))), AN2998))</f>
        <v/>
      </c>
      <c r="AO2999" s="79">
        <f>IF(AN2999="","",IF(AD2999=0,"OK",_xlfn.LET(monedaPago, IF(AA2999="","USD",AA2999), limitePermitido, IFERROR(VLOOKUP(monedaPago, Configuración!$A$2:$B$3, 2, FALSE), 0.15), IF(AD2999&gt;limitePermitido, "ALERTA: EXCESO (" &amp; TEXT(limitePermitido, "0%") &amp; " máx)", "OK"))))</f>
        <v/>
      </c>
      <c r="AP2999" s="79">
        <f>IF(AN2999="","",IF(AE2999=0,"OK",_xlfn.LET(fechaPago, Z2999, fechaFactura, R2999, diasCredito, IF(E2999="Pago inmediato", 0, IFERROR(VALUE(MID(E2999, 1, SEARCH(" ", E2999)-1)),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2999" s="79">
        <f>IF(AN2999="","",IF(AND(N2999&gt;0, AG2999&gt;0), IF(Configuración!$K$2="NO", "ALERTA: DESCUENTO DOBLE NO PERMITIDO", "OK"), "OK"))</f>
        <v/>
      </c>
      <c r="AR2999" s="79">
        <f>IF(AN2999="","",IF(OR(AO2999&lt;&gt;"OK", AP2999&lt;&gt;"OK", AQ2999&lt;&gt;"OK"), "⚠️ REVISAR", "OK"))</f>
        <v/>
      </c>
    </row>
    <row r="3000">
      <c r="A3000" s="79">
        <f>IF('Ordenes_Odoo'!A3000="","",'Ordenes_Odoo'!A3000)</f>
        <v/>
      </c>
      <c r="B3000" s="80">
        <f>IF('Ordenes_Odoo'!B3000="","",'Ordenes_Odoo'!B3000)</f>
        <v/>
      </c>
      <c r="C3000" s="79">
        <f>IF('Ordenes_Odoo'!C3000="","",'Ordenes_Odoo'!C3000)</f>
        <v/>
      </c>
      <c r="D3000" s="79">
        <f>IF('Ordenes_Odoo'!D3000="","",'Ordenes_Odoo'!D3000)</f>
        <v/>
      </c>
      <c r="E3000" s="79">
        <f>IF('Ordenes_Odoo'!E3000="","",'Ordenes_Odoo'!E3000)</f>
        <v/>
      </c>
      <c r="F3000" s="79">
        <f>IF('Ordenes_Odoo'!F3000="","",'Ordenes_Odoo'!F3000)</f>
        <v/>
      </c>
      <c r="G3000" s="79">
        <f>IF('Ordenes_Odoo'!G3000="","",'Ordenes_Odoo'!G3000)</f>
        <v/>
      </c>
      <c r="H3000" s="79">
        <f>IF('Ordenes_Odoo'!H3000="","",'Ordenes_Odoo'!H3000)</f>
        <v/>
      </c>
      <c r="I3000" s="79">
        <f>IF('Ordenes_Odoo'!I3000="","",'Ordenes_Odoo'!I3000)</f>
        <v/>
      </c>
      <c r="J3000" s="79">
        <f>IF('Ordenes_Odoo'!J3000="","",'Ordenes_Odoo'!J3000)</f>
        <v/>
      </c>
      <c r="K3000" s="81">
        <f>IF('Ordenes_Odoo'!K3000="","",'Ordenes_Odoo'!K3000)</f>
        <v/>
      </c>
      <c r="L3000" s="81">
        <f>IF('Ordenes_Odoo'!L3000="","",'Ordenes_Odoo'!L3000)</f>
        <v/>
      </c>
      <c r="M3000" s="79">
        <f>IF('Ordenes_Odoo'!M3000="","",'Ordenes_Odoo'!M3000)</f>
        <v/>
      </c>
      <c r="N3000" s="79">
        <f>IF('Ordenes_Odoo'!N3000="","",'Ordenes_Odoo'!N3000)</f>
        <v/>
      </c>
      <c r="O3000" s="81">
        <f>IF('Ordenes_Odoo'!O3000="","",'Ordenes_Odoo'!O3000)</f>
        <v/>
      </c>
      <c r="P3000" s="81">
        <f>IF('Ordenes_Odoo'!P3000="","",'Ordenes_Odoo'!P3000)</f>
        <v/>
      </c>
      <c r="Q3000" s="79">
        <f>IF(A3000="","",IFERROR(INDEX(Facturas_Odoo!$B:$B, MATCH(A3000, Facturas_Odoo!$D:$D, 0)), "Sin Factura"))</f>
        <v/>
      </c>
      <c r="R3000" s="80">
        <f>IF(Q3000="Sin Factura","",IFERROR(INDEX(Facturas_Odoo!$A:$A, MATCH(Q3000, Facturas_Odoo!$B:$B, 0)), ""))</f>
        <v/>
      </c>
      <c r="S3000" s="79">
        <f>IF(Q3000="Sin Factura","",IFERROR(_xlfn.XLOOKUP(1, (Facturas_Odoo!$D:$D=A3000) * (Facturas_Odoo!$K:$K=I3000), Facturas_Odoo!$L:$L, ""), ""))</f>
        <v/>
      </c>
      <c r="T3000" s="81">
        <f>IF(Q3000="Sin Factura",0,IFERROR(_xlfn.XLOOKUP(1, (Facturas_Odoo!$D:$D=A3000) * (Facturas_Odoo!$K:$K=I3000), Facturas_Odoo!$M:$M, 0), 0))</f>
        <v/>
      </c>
      <c r="U3000" s="79">
        <f>IF(Q3000="Sin Factura",0,IFERROR(_xlfn.XLOOKUP(1, (Facturas_Odoo!$D:$D=A3000) * (Facturas_Odoo!$K:$K=I3000), Facturas_Odoo!$N:$N, 0), 0))</f>
        <v/>
      </c>
      <c r="V3000" s="79">
        <f>IF(Q3000="Sin Factura",0,IFERROR(_xlfn.XLOOKUP(1, (Facturas_Odoo!$D:$D=A3000) * (Facturas_Odoo!$K:$K=I3000), Facturas_Odoo!$O:$O, 0), 0))</f>
        <v/>
      </c>
      <c r="W3000" s="81">
        <f>IF(Q3000="Sin Factura",0,IFERROR(_xlfn.XLOOKUP(1, (Facturas_Odoo!$D:$D=A3000) * (Facturas_Odoo!$K:$K=I3000), Facturas_Odoo!$Q:$Q, 0), 0))</f>
        <v/>
      </c>
      <c r="X3000" s="79">
        <f>IF(OR(Q3000="Sin Factura",Q3000=""),"",IFERROR(INDEX(Pagos_Odoo!$B:$B, MATCH(Q3000, Pagos_Odoo!$I:$I, 0)), "Sin Pago"))</f>
        <v/>
      </c>
      <c r="Y3000" s="79">
        <f>IF(X3000="Sin Pago","",IFERROR(INDEX(Pagos_Odoo!$C:$C, MATCH(X3000, Pagos_Odoo!$B:$B, 0)), ""))</f>
        <v/>
      </c>
      <c r="Z3000" s="80">
        <f>IF(X3000="Sin Pago","",IFERROR(INDEX(Pagos_Odoo!$A:$A, MATCH(X3000, Pagos_Odoo!$B:$B, 0)), ""))</f>
        <v/>
      </c>
      <c r="AA3000" s="79">
        <f>IF(X3000="Sin Pago","",IFERROR(INDEX(Pagos_Odoo!$F:$F, MATCH(X3000, Pagos_Odoo!$B:$B, 0)), ""))</f>
        <v/>
      </c>
      <c r="AB3000" s="81">
        <f>IF(X3000="Sin Pago",0,IFERROR(INDEX(Pagos_Odoo!$E:$E, MATCH(X3000, Pagos_Odoo!$B:$B, 0)), 0))</f>
        <v/>
      </c>
      <c r="AC3000" s="79">
        <f>IF(X3000="Sin Pago","",IFERROR(INDEX(Pagos_Odoo!$G:$G, MATCH(X3000, Pagos_Odoo!$B:$B, 0)), ""))</f>
        <v/>
      </c>
      <c r="AD3000" s="82" t="n">
        <v>0</v>
      </c>
      <c r="AE3000" s="82" t="n"/>
      <c r="AF3000" s="82" t="n"/>
      <c r="AG3000" s="82">
        <f>IF(AN3000="","",AD3000+AE3000+AF3000)</f>
        <v/>
      </c>
      <c r="AH3000" s="81">
        <f>IF(AN3000="","",P3000*(1-AG3000))</f>
        <v/>
      </c>
      <c r="AI3000" s="81">
        <f>IF(AN3000="","",IF(Q3000="Sin Factura",0,IFERROR(INDEX(Facturas_Odoo!$H:$H, MATCH(Q3000, Facturas_Odoo!$B:$B, 0)), 0)*(1-AG3000)))</f>
        <v/>
      </c>
      <c r="AJ3000" s="81">
        <f>IF(AN3000="","",_xlfn.LET(idVenta, AN3000&amp;"", pagos, IFERROR(SUMIF(Aux_Datos!$B:$B, idVenta, Aux_Datos!$L:$L), 0), retenciones, IFERROR(SUMIF(Aux_Datos!$O:$O, idVenta, Aux_Datos!$S:$S), 0), pagos_manuales, IFERROR(SUMIF('Asignación Pagos'!$G:$G, idVenta, 'Asignación Pagos'!$F:$F), 0), pagos+retenciones+pagos_manuales))</f>
        <v/>
      </c>
      <c r="AK3000" s="81">
        <f>IF(AN3000="","",AH3000-AJ3000)</f>
        <v/>
      </c>
      <c r="AL3000" s="81">
        <f>IF(AN3000="","",IF(Q3000="Sin Factura","",AI3000-AJ3000))</f>
        <v/>
      </c>
      <c r="AM3000" s="81">
        <f>IF(AN3000="","",IF(Q3000="Sin Factura",0,P3000-IFERROR(INDEX(Facturas_Odoo!$H:$H, MATCH(Q3000, Facturas_Odoo!$B:$B, 0)), 0)))</f>
        <v/>
      </c>
      <c r="AN3000" s="79">
        <f>IF(AND(A3000="", J3000=""), "", IF(A3000&lt;&gt;"", VALUE(MID(A3000,2,LEN(A3000))), AN2999))</f>
        <v/>
      </c>
      <c r="AO3000" s="79">
        <f>IF(AN3000="","",IF(AD3000=0,"OK",_xlfn.LET(monedaPago, IF(AA3000="","USD",AA3000), limitePermitido, IFERROR(VLOOKUP(monedaPago, Configuración!$A$2:$B$3, 2, FALSE), 0.15), IF(AD3000&gt;limitePermitido, "ALERTA: EXCESO (" &amp; TEXT(limitePermitido, "0%") &amp; " máx)", "OK"))))</f>
        <v/>
      </c>
      <c r="AP3000" s="79">
        <f>IF(AN3000="","",IF(AE3000=0,"OK",_xlfn.LET(fechaPago, Z3000, fechaFactura, R3000, diasCredito, IF(E3000="Pago inmediato", 0, IFERROR(VALUE(MID(E3000, 1, SEARCH(" ", E3000)-1)), 0)), tolerancia, Configuración!$E$2, limiteDias, diasCredito + tolerancia, IF(OR(fechaPago="", fechaFactura=""), "REVISAR: SIN FECHA", IF(fechaPago - fechaFactura &gt; limiteDias, "ALERTA: PAGO FUERA DE PLAZO (" &amp; (fechaPago - fechaFactura) &amp; " días)", "OK")))))</f>
        <v/>
      </c>
      <c r="AQ3000" s="79">
        <f>IF(AN3000="","",IF(AND(N3000&gt;0, AG3000&gt;0), IF(Configuración!$K$2="NO", "ALERTA: DESCUENTO DOBLE NO PERMITIDO", "OK"), "OK"))</f>
        <v/>
      </c>
      <c r="AR3000" s="79">
        <f>IF(AN3000="","",IF(OR(AO3000&lt;&gt;"OK", AP3000&lt;&gt;"OK", AQ3000&lt;&gt;"OK"), "⚠️ REVISAR", "OK"))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V3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1" customWidth="1" style="83" min="10" max="10"/>
    <col width="25.57" customWidth="1" style="83" min="11" max="11"/>
    <col width="22.86" customWidth="1" style="83" min="12" max="12"/>
    <col width="25" customWidth="1" style="83" min="13" max="13"/>
    <col width="27" customWidth="1" style="83" min="14" max="14"/>
    <col width="27" customWidth="1" style="83" min="17" max="17"/>
    <col width="13.71" customWidth="1" style="83" min="22" max="22"/>
  </cols>
  <sheetData>
    <row r="1">
      <c r="A1" s="60" t="inlineStr">
        <is>
          <t>Referencia de la orden</t>
        </is>
      </c>
      <c r="B1" s="60" t="inlineStr">
        <is>
          <t>Fecha de la orden</t>
        </is>
      </c>
      <c r="C1" s="60" t="inlineStr">
        <is>
          <t>Cliente</t>
        </is>
      </c>
      <c r="D1" s="60" t="inlineStr">
        <is>
          <t>Vendedor</t>
        </is>
      </c>
      <c r="E1" s="60" t="inlineStr">
        <is>
          <t>Términos de pago</t>
        </is>
      </c>
      <c r="F1" s="60" t="inlineStr">
        <is>
          <t>Lista de precios/ID</t>
        </is>
      </c>
      <c r="G1" s="60" t="inlineStr">
        <is>
          <t>Lista de precios/Nombre de la lista de precios</t>
        </is>
      </c>
      <c r="H1" s="60" t="inlineStr">
        <is>
          <t>Líneas de la orden/Producto/Nombre en pantalla</t>
        </is>
      </c>
      <c r="I1" s="60" t="inlineStr">
        <is>
          <t>Líneas de la orden/Producto/Referencia interna</t>
        </is>
      </c>
      <c r="J1" s="60" t="inlineStr">
        <is>
          <t>Líneas de la orden/Cantidad</t>
        </is>
      </c>
      <c r="K1" s="60" t="inlineStr">
        <is>
          <t>Líneas de la orden/Precio unitario</t>
        </is>
      </c>
      <c r="L1" s="60" t="inlineStr">
        <is>
          <t>Líneas de la orden/Descuento (%)</t>
        </is>
      </c>
      <c r="M1" s="60" t="inlineStr">
        <is>
          <t>Líneas de la orden/Subtotal</t>
        </is>
      </c>
      <c r="N1" s="60" t="inlineStr">
        <is>
          <t>Líneas de la orden/Total</t>
        </is>
      </c>
      <c r="O1" s="60" t="inlineStr">
        <is>
          <t>Subtotal</t>
        </is>
      </c>
      <c r="P1" s="60" t="inlineStr">
        <is>
          <t>Total</t>
        </is>
      </c>
      <c r="Q1" s="60" t="inlineStr">
        <is>
          <t>Facturas/Tasa</t>
        </is>
      </c>
      <c r="R1" s="60" t="inlineStr">
        <is>
          <t>Facturas/Fecha de la factura</t>
        </is>
      </c>
      <c r="S1" s="60" t="inlineStr">
        <is>
          <t>Facturas/Número de Documento</t>
        </is>
      </c>
      <c r="T1" s="60" t="inlineStr">
        <is>
          <t>Facturas/Número de Control</t>
        </is>
      </c>
      <c r="U1" s="60" t="inlineStr">
        <is>
          <t>Facturas/Total Signed Ref.</t>
        </is>
      </c>
      <c r="V1" s="60" t="inlineStr">
        <is>
          <t>Facturas/Importe adeudado Ref.</t>
        </is>
      </c>
    </row>
    <row r="2">
      <c r="A2" s="65" t="inlineStr">
        <is>
          <t>S00680</t>
        </is>
      </c>
      <c r="B2" s="62" t="n">
        <v>46219.71372685185</v>
      </c>
      <c r="C2" s="65" t="inlineStr">
        <is>
          <t>Jose Becerra</t>
        </is>
      </c>
      <c r="D2" s="65" t="inlineStr">
        <is>
          <t>TORO ARDILES DAVID JOSE</t>
        </is>
      </c>
      <c r="E2" s="65" t="inlineStr">
        <is>
          <t>7 días</t>
        </is>
      </c>
      <c r="F2" s="65" t="n">
        <v>5</v>
      </c>
      <c r="G2" s="65" t="inlineStr">
        <is>
          <t>Pago VES</t>
        </is>
      </c>
      <c r="H2" s="65" t="inlineStr">
        <is>
          <t>[0887] MOTOCLASICO 4T SAE 20W-50 (1x12)</t>
        </is>
      </c>
      <c r="I2" s="65" t="n">
        <v>887</v>
      </c>
      <c r="J2" s="63" t="inlineStr">
        <is>
          <t>1,00</t>
        </is>
      </c>
      <c r="K2" s="63" t="inlineStr">
        <is>
          <t>90,19</t>
        </is>
      </c>
      <c r="L2" s="63" t="inlineStr">
        <is>
          <t>0,00</t>
        </is>
      </c>
      <c r="M2" s="63" t="inlineStr">
        <is>
          <t>90,19</t>
        </is>
      </c>
      <c r="N2" s="63" t="inlineStr">
        <is>
          <t>104,62</t>
        </is>
      </c>
      <c r="O2" s="63" t="inlineStr">
        <is>
          <t>286,48</t>
        </is>
      </c>
      <c r="P2" s="63" t="inlineStr">
        <is>
          <t>332,32</t>
        </is>
      </c>
      <c r="Q2" s="65" t="n"/>
      <c r="R2" s="65" t="n"/>
      <c r="S2" s="65" t="n"/>
      <c r="T2" s="65" t="n"/>
      <c r="U2" s="65" t="n"/>
      <c r="V2" s="65" t="n"/>
    </row>
    <row r="3">
      <c r="A3" s="65" t="n"/>
      <c r="B3" s="65" t="n"/>
      <c r="C3" s="65" t="n"/>
      <c r="D3" s="65" t="n"/>
      <c r="E3" s="65" t="n"/>
      <c r="F3" s="65" t="n"/>
      <c r="G3" s="65" t="n"/>
      <c r="H3" s="65" t="inlineStr">
        <is>
          <t>[0888] ENDUROGLOB 2T AIRE (1x12)</t>
        </is>
      </c>
      <c r="I3" s="65" t="n">
        <v>888</v>
      </c>
      <c r="J3" s="63" t="inlineStr">
        <is>
          <t>1,00</t>
        </is>
      </c>
      <c r="K3" s="63" t="inlineStr">
        <is>
          <t>99,47</t>
        </is>
      </c>
      <c r="L3" s="63" t="inlineStr">
        <is>
          <t>0,00</t>
        </is>
      </c>
      <c r="M3" s="63" t="inlineStr">
        <is>
          <t>99,47</t>
        </is>
      </c>
      <c r="N3" s="63" t="inlineStr">
        <is>
          <t>115,39</t>
        </is>
      </c>
      <c r="O3" s="65" t="n"/>
      <c r="P3" s="65" t="n"/>
      <c r="Q3" s="65" t="n"/>
      <c r="R3" s="65" t="n"/>
      <c r="S3" s="65" t="n"/>
      <c r="T3" s="65" t="n"/>
      <c r="U3" s="65" t="n"/>
      <c r="V3" s="65" t="n"/>
    </row>
    <row r="4">
      <c r="A4" s="65" t="n"/>
      <c r="B4" s="65" t="n"/>
      <c r="C4" s="65" t="n"/>
      <c r="D4" s="65" t="n"/>
      <c r="E4" s="65" t="n"/>
      <c r="F4" s="65" t="n"/>
      <c r="G4" s="65" t="n"/>
      <c r="H4" s="65" t="inlineStr">
        <is>
          <t>[0605] SINOCO SAE 20W-50 (PAILA)</t>
        </is>
      </c>
      <c r="I4" s="65" t="n">
        <v>605</v>
      </c>
      <c r="J4" s="63" t="inlineStr">
        <is>
          <t>1,00</t>
        </is>
      </c>
      <c r="K4" s="63" t="inlineStr">
        <is>
          <t>96,82</t>
        </is>
      </c>
      <c r="L4" s="63" t="inlineStr">
        <is>
          <t>0,00</t>
        </is>
      </c>
      <c r="M4" s="63" t="inlineStr">
        <is>
          <t>96,82</t>
        </is>
      </c>
      <c r="N4" s="63" t="inlineStr">
        <is>
          <t>112,31</t>
        </is>
      </c>
      <c r="O4" s="65" t="n"/>
      <c r="P4" s="65" t="n"/>
      <c r="Q4" s="65" t="n"/>
      <c r="R4" s="65" t="n"/>
      <c r="S4" s="65" t="n"/>
      <c r="T4" s="65" t="n"/>
      <c r="U4" s="65" t="n"/>
      <c r="V4" s="65" t="n"/>
    </row>
    <row r="5">
      <c r="A5" s="65" t="inlineStr">
        <is>
          <t>S00679</t>
        </is>
      </c>
      <c r="B5" s="62" t="n">
        <v>46219.71219907407</v>
      </c>
      <c r="C5" s="65" t="inlineStr">
        <is>
          <t>Yonis Augusto Ureche Olivares</t>
        </is>
      </c>
      <c r="D5" s="65" t="inlineStr">
        <is>
          <t>MARTINEZ MONTES JEFFREY ENRIQUE</t>
        </is>
      </c>
      <c r="E5" s="65" t="inlineStr">
        <is>
          <t>7 días</t>
        </is>
      </c>
      <c r="F5" s="65" t="n">
        <v>5</v>
      </c>
      <c r="G5" s="65" t="inlineStr">
        <is>
          <t>Pago VES</t>
        </is>
      </c>
      <c r="H5" s="65" t="inlineStr">
        <is>
          <t>[0881] CLASICO API SL SAE 20W-50 (1x12)</t>
        </is>
      </c>
      <c r="I5" s="65" t="n">
        <v>881</v>
      </c>
      <c r="J5" s="63" t="inlineStr">
        <is>
          <t>1,00</t>
        </is>
      </c>
      <c r="K5" s="63" t="inlineStr">
        <is>
          <t>86,21</t>
        </is>
      </c>
      <c r="L5" s="63" t="inlineStr">
        <is>
          <t>0,00</t>
        </is>
      </c>
      <c r="M5" s="63" t="inlineStr">
        <is>
          <t>86,21</t>
        </is>
      </c>
      <c r="N5" s="63" t="inlineStr">
        <is>
          <t>100,00</t>
        </is>
      </c>
      <c r="O5" s="63" t="inlineStr">
        <is>
          <t>636,62</t>
        </is>
      </c>
      <c r="P5" s="63" t="inlineStr">
        <is>
          <t>738,48</t>
        </is>
      </c>
      <c r="Q5" s="65" t="n"/>
      <c r="R5" s="65" t="n"/>
      <c r="S5" s="65" t="n"/>
      <c r="T5" s="65" t="n"/>
      <c r="U5" s="65" t="n"/>
      <c r="V5" s="65" t="n"/>
    </row>
    <row r="6">
      <c r="A6" s="65" t="n"/>
      <c r="B6" s="65" t="n"/>
      <c r="C6" s="65" t="n"/>
      <c r="D6" s="65" t="n"/>
      <c r="E6" s="65" t="n"/>
      <c r="F6" s="65" t="n"/>
      <c r="G6" s="65" t="n"/>
      <c r="H6" s="65" t="inlineStr">
        <is>
          <t>[0881] CLASICO API SL SAE 20W-50 (1x12)</t>
        </is>
      </c>
      <c r="I6" s="65" t="n">
        <v>881</v>
      </c>
      <c r="J6" s="63" t="inlineStr">
        <is>
          <t>1,00</t>
        </is>
      </c>
      <c r="K6" s="63" t="inlineStr">
        <is>
          <t>86,21</t>
        </is>
      </c>
      <c r="L6" s="63" t="inlineStr">
        <is>
          <t>0,00</t>
        </is>
      </c>
      <c r="M6" s="63" t="inlineStr">
        <is>
          <t>86,21</t>
        </is>
      </c>
      <c r="N6" s="63" t="inlineStr">
        <is>
          <t>100,00</t>
        </is>
      </c>
      <c r="O6" s="65" t="n"/>
      <c r="P6" s="65" t="n"/>
      <c r="Q6" s="65" t="n"/>
      <c r="R6" s="65" t="n"/>
      <c r="S6" s="65" t="n"/>
      <c r="T6" s="65" t="n"/>
      <c r="U6" s="65" t="n"/>
      <c r="V6" s="65" t="n"/>
    </row>
    <row r="7">
      <c r="A7" s="65" t="n"/>
      <c r="B7" s="65" t="n"/>
      <c r="C7" s="65" t="n"/>
      <c r="D7" s="65" t="n"/>
      <c r="E7" s="65" t="n"/>
      <c r="F7" s="65" t="n"/>
      <c r="G7" s="65" t="n"/>
      <c r="H7" s="65" t="inlineStr">
        <is>
          <t>[0877] SS EXTRA PROTECCION API SN SAE 15W-40 (1X12)</t>
        </is>
      </c>
      <c r="I7" s="65" t="n">
        <v>877</v>
      </c>
      <c r="J7" s="63" t="inlineStr">
        <is>
          <t>1,00</t>
        </is>
      </c>
      <c r="K7" s="63" t="inlineStr">
        <is>
          <t>100,80</t>
        </is>
      </c>
      <c r="L7" s="63" t="inlineStr">
        <is>
          <t>0,00</t>
        </is>
      </c>
      <c r="M7" s="63" t="inlineStr">
        <is>
          <t>100,80</t>
        </is>
      </c>
      <c r="N7" s="63" t="inlineStr">
        <is>
          <t>116,93</t>
        </is>
      </c>
      <c r="O7" s="65" t="n"/>
      <c r="P7" s="65" t="n"/>
      <c r="Q7" s="65" t="n"/>
      <c r="R7" s="65" t="n"/>
      <c r="S7" s="65" t="n"/>
      <c r="T7" s="65" t="n"/>
      <c r="U7" s="65" t="n"/>
      <c r="V7" s="65" t="n"/>
    </row>
    <row r="8">
      <c r="A8" s="65" t="n"/>
      <c r="B8" s="65" t="n"/>
      <c r="C8" s="65" t="n"/>
      <c r="D8" s="65" t="n"/>
      <c r="E8" s="65" t="n"/>
      <c r="F8" s="65" t="n"/>
      <c r="G8" s="65" t="n"/>
      <c r="H8" s="65" t="inlineStr">
        <is>
          <t>[0877] SS EXTRA PROTECCION API SN SAE 15W-40 (1X12)</t>
        </is>
      </c>
      <c r="I8" s="65" t="n">
        <v>877</v>
      </c>
      <c r="J8" s="63" t="inlineStr">
        <is>
          <t>1,00</t>
        </is>
      </c>
      <c r="K8" s="63" t="inlineStr">
        <is>
          <t>100,80</t>
        </is>
      </c>
      <c r="L8" s="63" t="inlineStr">
        <is>
          <t>0,00</t>
        </is>
      </c>
      <c r="M8" s="63" t="inlineStr">
        <is>
          <t>100,80</t>
        </is>
      </c>
      <c r="N8" s="63" t="inlineStr">
        <is>
          <t>116,93</t>
        </is>
      </c>
      <c r="O8" s="65" t="n"/>
      <c r="P8" s="65" t="n"/>
      <c r="Q8" s="65" t="n"/>
      <c r="R8" s="65" t="n"/>
      <c r="S8" s="65" t="n"/>
      <c r="T8" s="65" t="n"/>
      <c r="U8" s="65" t="n"/>
      <c r="V8" s="65" t="n"/>
    </row>
    <row r="9">
      <c r="A9" s="65" t="n"/>
      <c r="B9" s="65" t="n"/>
      <c r="C9" s="65" t="n"/>
      <c r="D9" s="65" t="n"/>
      <c r="E9" s="65" t="n"/>
      <c r="F9" s="65" t="n"/>
      <c r="G9" s="65" t="n"/>
      <c r="H9" s="65" t="inlineStr">
        <is>
          <t>[0884] TRANSMATIC ATF DEXRON III (1x12)</t>
        </is>
      </c>
      <c r="I9" s="65" t="n">
        <v>884</v>
      </c>
      <c r="J9" s="63" t="inlineStr">
        <is>
          <t>1,00</t>
        </is>
      </c>
      <c r="K9" s="63" t="inlineStr">
        <is>
          <t>95,49</t>
        </is>
      </c>
      <c r="L9" s="63" t="inlineStr">
        <is>
          <t>0,00</t>
        </is>
      </c>
      <c r="M9" s="63" t="inlineStr">
        <is>
          <t>95,49</t>
        </is>
      </c>
      <c r="N9" s="63" t="inlineStr">
        <is>
          <t>110,77</t>
        </is>
      </c>
      <c r="O9" s="65" t="n"/>
      <c r="P9" s="65" t="n"/>
      <c r="Q9" s="65" t="n"/>
      <c r="R9" s="65" t="n"/>
      <c r="S9" s="65" t="n"/>
      <c r="T9" s="65" t="n"/>
      <c r="U9" s="65" t="n"/>
      <c r="V9" s="65" t="n"/>
    </row>
    <row r="10">
      <c r="A10" s="65" t="n"/>
      <c r="B10" s="65" t="n"/>
      <c r="C10" s="65" t="n"/>
      <c r="D10" s="65" t="n"/>
      <c r="E10" s="65" t="n"/>
      <c r="F10" s="65" t="n"/>
      <c r="G10" s="65" t="n"/>
      <c r="H10" s="65" t="inlineStr">
        <is>
          <t>[0884] TRANSMATIC ATF DEXRON III (1x12)</t>
        </is>
      </c>
      <c r="I10" s="65" t="n">
        <v>884</v>
      </c>
      <c r="J10" s="63" t="inlineStr">
        <is>
          <t>1,00</t>
        </is>
      </c>
      <c r="K10" s="63" t="inlineStr">
        <is>
          <t>95,49</t>
        </is>
      </c>
      <c r="L10" s="63" t="inlineStr">
        <is>
          <t>0,00</t>
        </is>
      </c>
      <c r="M10" s="63" t="inlineStr">
        <is>
          <t>95,49</t>
        </is>
      </c>
      <c r="N10" s="63" t="inlineStr">
        <is>
          <t>110,77</t>
        </is>
      </c>
      <c r="O10" s="65" t="n"/>
      <c r="P10" s="65" t="n"/>
      <c r="Q10" s="65" t="n"/>
      <c r="R10" s="65" t="n"/>
      <c r="S10" s="65" t="n"/>
      <c r="T10" s="65" t="n"/>
      <c r="U10" s="65" t="n"/>
      <c r="V10" s="65" t="n"/>
    </row>
    <row r="11">
      <c r="A11" s="65" t="n"/>
      <c r="B11" s="65" t="n"/>
      <c r="C11" s="65" t="n"/>
      <c r="D11" s="65" t="n"/>
      <c r="E11" s="65" t="n"/>
      <c r="F11" s="65" t="n"/>
      <c r="G11" s="65" t="n"/>
      <c r="H11" s="65" t="inlineStr">
        <is>
          <t>[0761] LIGA PARA FRENOS DOT-3 (1x12)</t>
        </is>
      </c>
      <c r="I11" s="65" t="n">
        <v>761</v>
      </c>
      <c r="J11" s="63" t="inlineStr">
        <is>
          <t>1,00</t>
        </is>
      </c>
      <c r="K11" s="63" t="inlineStr">
        <is>
          <t>35,81</t>
        </is>
      </c>
      <c r="L11" s="63" t="inlineStr">
        <is>
          <t>0,00</t>
        </is>
      </c>
      <c r="M11" s="63" t="inlineStr">
        <is>
          <t>35,81</t>
        </is>
      </c>
      <c r="N11" s="63" t="inlineStr">
        <is>
          <t>41,54</t>
        </is>
      </c>
      <c r="O11" s="65" t="n"/>
      <c r="P11" s="65" t="n"/>
      <c r="Q11" s="65" t="n"/>
      <c r="R11" s="65" t="n"/>
      <c r="S11" s="65" t="n"/>
      <c r="T11" s="65" t="n"/>
      <c r="U11" s="65" t="n"/>
      <c r="V11" s="65" t="n"/>
    </row>
    <row r="12">
      <c r="A12" s="65" t="n"/>
      <c r="B12" s="65" t="n"/>
      <c r="C12" s="65" t="n"/>
      <c r="D12" s="65" t="n"/>
      <c r="E12" s="65" t="n"/>
      <c r="F12" s="65" t="n"/>
      <c r="G12" s="65" t="n"/>
      <c r="H12" s="65" t="inlineStr">
        <is>
          <t>[0761] LIGA PARA FRENOS DOT-3 (1x12)</t>
        </is>
      </c>
      <c r="I12" s="65" t="n">
        <v>761</v>
      </c>
      <c r="J12" s="63" t="inlineStr">
        <is>
          <t>1,00</t>
        </is>
      </c>
      <c r="K12" s="63" t="inlineStr">
        <is>
          <t>35,81</t>
        </is>
      </c>
      <c r="L12" s="63" t="inlineStr">
        <is>
          <t>0,00</t>
        </is>
      </c>
      <c r="M12" s="63" t="inlineStr">
        <is>
          <t>35,81</t>
        </is>
      </c>
      <c r="N12" s="63" t="inlineStr">
        <is>
          <t>41,54</t>
        </is>
      </c>
      <c r="O12" s="65" t="n"/>
      <c r="P12" s="65" t="n"/>
      <c r="Q12" s="65" t="n"/>
      <c r="R12" s="65" t="n"/>
      <c r="S12" s="65" t="n"/>
      <c r="T12" s="65" t="n"/>
      <c r="U12" s="65" t="n"/>
      <c r="V12" s="65" t="n"/>
    </row>
    <row r="13">
      <c r="A13" s="65" t="n"/>
      <c r="B13" s="65" t="n"/>
      <c r="C13" s="65" t="n"/>
      <c r="D13" s="65" t="n"/>
      <c r="E13" s="65" t="n"/>
      <c r="F13" s="65" t="n"/>
      <c r="G13" s="65" t="n"/>
      <c r="H13" s="65" t="n"/>
      <c r="I13" s="65" t="n"/>
      <c r="J13" s="63" t="inlineStr">
        <is>
          <t>0,00</t>
        </is>
      </c>
      <c r="K13" s="63" t="inlineStr">
        <is>
          <t>0,00</t>
        </is>
      </c>
      <c r="L13" s="63" t="inlineStr">
        <is>
          <t>0,00</t>
        </is>
      </c>
      <c r="M13" s="63" t="inlineStr">
        <is>
          <t>0,00</t>
        </is>
      </c>
      <c r="N13" s="63" t="inlineStr">
        <is>
          <t>0,00</t>
        </is>
      </c>
      <c r="O13" s="65" t="n"/>
      <c r="P13" s="65" t="n"/>
      <c r="Q13" s="65" t="n"/>
      <c r="R13" s="65" t="n"/>
      <c r="S13" s="65" t="n"/>
      <c r="T13" s="65" t="n"/>
      <c r="U13" s="65" t="n"/>
      <c r="V13" s="65" t="n"/>
    </row>
    <row r="14">
      <c r="A14" s="65" t="n"/>
      <c r="B14" s="65" t="n"/>
      <c r="C14" s="65" t="n"/>
      <c r="D14" s="65" t="n"/>
      <c r="E14" s="65" t="n"/>
      <c r="F14" s="65" t="n"/>
      <c r="G14" s="65" t="n"/>
      <c r="H14" s="65" t="n"/>
      <c r="I14" s="65" t="n"/>
      <c r="J14" s="63" t="inlineStr">
        <is>
          <t>0,00</t>
        </is>
      </c>
      <c r="K14" s="63" t="inlineStr">
        <is>
          <t>0,00</t>
        </is>
      </c>
      <c r="L14" s="63" t="inlineStr">
        <is>
          <t>0,00</t>
        </is>
      </c>
      <c r="M14" s="63" t="inlineStr">
        <is>
          <t>0,00</t>
        </is>
      </c>
      <c r="N14" s="63" t="inlineStr">
        <is>
          <t>0,00</t>
        </is>
      </c>
      <c r="O14" s="65" t="n"/>
      <c r="P14" s="65" t="n"/>
      <c r="Q14" s="65" t="n"/>
      <c r="R14" s="65" t="n"/>
      <c r="S14" s="65" t="n"/>
      <c r="T14" s="65" t="n"/>
      <c r="U14" s="65" t="n"/>
      <c r="V14" s="65" t="n"/>
    </row>
    <row r="15">
      <c r="A15" s="65" t="inlineStr">
        <is>
          <t>S00542</t>
        </is>
      </c>
      <c r="B15" s="62" t="n">
        <v>46219.57465277778</v>
      </c>
      <c r="C15" s="65" t="inlineStr">
        <is>
          <t>Alexander Quiroz</t>
        </is>
      </c>
      <c r="D15" s="65" t="inlineStr">
        <is>
          <t>BETANCOURT ROBRIGUEZ LUIS ENRRIQUE</t>
        </is>
      </c>
      <c r="E15" s="65" t="inlineStr">
        <is>
          <t>7 días</t>
        </is>
      </c>
      <c r="F15" s="65" t="n">
        <v>5</v>
      </c>
      <c r="G15" s="65" t="inlineStr">
        <is>
          <t>Pago VES</t>
        </is>
      </c>
      <c r="H15" s="65" t="inlineStr">
        <is>
          <t>[0603] SINOCO SAE 50 (Tambor)</t>
        </is>
      </c>
      <c r="I15" s="65" t="n">
        <v>603</v>
      </c>
      <c r="J15" s="63" t="inlineStr">
        <is>
          <t>2,00</t>
        </is>
      </c>
      <c r="K15" s="63" t="inlineStr">
        <is>
          <t>925,73</t>
        </is>
      </c>
      <c r="L15" s="63" t="inlineStr">
        <is>
          <t>4,59</t>
        </is>
      </c>
      <c r="M15" s="63" t="inlineStr">
        <is>
          <t>1.766,48</t>
        </is>
      </c>
      <c r="N15" s="63" t="inlineStr">
        <is>
          <t>2.049,12</t>
        </is>
      </c>
      <c r="O15" s="63" t="inlineStr">
        <is>
          <t>1.766,48</t>
        </is>
      </c>
      <c r="P15" s="63" t="inlineStr">
        <is>
          <t>2.049,12</t>
        </is>
      </c>
      <c r="Q15" s="63" t="inlineStr">
        <is>
          <t>727,45</t>
        </is>
      </c>
      <c r="R15" s="66" t="n">
        <v>46219</v>
      </c>
      <c r="S15" s="65" t="n">
        <v>513</v>
      </c>
      <c r="T15" s="65" t="inlineStr">
        <is>
          <t>00-00001066</t>
        </is>
      </c>
      <c r="U15" s="63" t="inlineStr">
        <is>
          <t>2.049,10</t>
        </is>
      </c>
      <c r="V15" s="63" t="inlineStr">
        <is>
          <t>1.175,43</t>
        </is>
      </c>
    </row>
    <row r="16">
      <c r="A16" s="65" t="inlineStr">
        <is>
          <t>S00677</t>
        </is>
      </c>
      <c r="B16" s="62" t="n">
        <v>46219.501875</v>
      </c>
      <c r="C16" s="65" t="inlineStr">
        <is>
          <t>GASOLVEN DISTRIBUIDORA, C.A</t>
        </is>
      </c>
      <c r="D16" s="65" t="inlineStr">
        <is>
          <t>Marco Romero</t>
        </is>
      </c>
      <c r="E16" s="65" t="inlineStr">
        <is>
          <t>7 días</t>
        </is>
      </c>
      <c r="F16" s="65" t="n">
        <v>5</v>
      </c>
      <c r="G16" s="65" t="inlineStr">
        <is>
          <t>Pago VES</t>
        </is>
      </c>
      <c r="H16" s="65" t="inlineStr">
        <is>
          <t>[0073] SUPREMO API CI-4 SAE 15W-40 (PAILA)</t>
        </is>
      </c>
      <c r="I16" s="65" t="n">
        <v>73</v>
      </c>
      <c r="J16" s="63" t="inlineStr">
        <is>
          <t>2,00</t>
        </is>
      </c>
      <c r="K16" s="63" t="inlineStr">
        <is>
          <t>127,32</t>
        </is>
      </c>
      <c r="L16" s="63" t="inlineStr">
        <is>
          <t>0,00</t>
        </is>
      </c>
      <c r="M16" s="63" t="inlineStr">
        <is>
          <t>254,64</t>
        </is>
      </c>
      <c r="N16" s="63" t="inlineStr">
        <is>
          <t>295,38</t>
        </is>
      </c>
      <c r="O16" s="63" t="inlineStr">
        <is>
          <t>254,64</t>
        </is>
      </c>
      <c r="P16" s="63" t="inlineStr">
        <is>
          <t>295,38</t>
        </is>
      </c>
      <c r="Q16" s="65" t="n"/>
      <c r="R16" s="65" t="n"/>
      <c r="S16" s="65" t="n"/>
      <c r="T16" s="65" t="n"/>
      <c r="U16" s="65" t="n"/>
      <c r="V16" s="65" t="n"/>
    </row>
    <row r="17">
      <c r="A17" s="65" t="inlineStr">
        <is>
          <t>S00676</t>
        </is>
      </c>
      <c r="B17" s="62" t="n">
        <v>46219.45949074074</v>
      </c>
      <c r="C17" s="65" t="inlineStr">
        <is>
          <t>GASOLVEN DISTRIBUIDORA, C.A</t>
        </is>
      </c>
      <c r="D17" s="65" t="inlineStr">
        <is>
          <t>Marco Romero</t>
        </is>
      </c>
      <c r="E17" s="65" t="inlineStr">
        <is>
          <t>7 días</t>
        </is>
      </c>
      <c r="F17" s="65" t="n">
        <v>5</v>
      </c>
      <c r="G17" s="65" t="inlineStr">
        <is>
          <t>Pago VES</t>
        </is>
      </c>
      <c r="H17" s="65" t="inlineStr">
        <is>
          <t>[0083] MAXIMO API CF SAE 50 (PAILA)</t>
        </is>
      </c>
      <c r="I17" s="65" t="n">
        <v>83</v>
      </c>
      <c r="J17" s="63" t="inlineStr">
        <is>
          <t>2,00</t>
        </is>
      </c>
      <c r="K17" s="63" t="inlineStr">
        <is>
          <t>112,73</t>
        </is>
      </c>
      <c r="L17" s="63" t="inlineStr">
        <is>
          <t>0,00</t>
        </is>
      </c>
      <c r="M17" s="63" t="inlineStr">
        <is>
          <t>225,46</t>
        </is>
      </c>
      <c r="N17" s="63" t="inlineStr">
        <is>
          <t>261,53</t>
        </is>
      </c>
      <c r="O17" s="63" t="inlineStr">
        <is>
          <t>469,49</t>
        </is>
      </c>
      <c r="P17" s="63" t="inlineStr">
        <is>
          <t>544,60</t>
        </is>
      </c>
      <c r="Q17" s="65" t="n"/>
      <c r="R17" s="65" t="n"/>
      <c r="S17" s="65" t="n"/>
      <c r="T17" s="65" t="n"/>
      <c r="U17" s="65" t="n"/>
      <c r="V17" s="65" t="n"/>
    </row>
    <row r="18">
      <c r="A18" s="65" t="n"/>
      <c r="B18" s="65" t="n"/>
      <c r="C18" s="65" t="n"/>
      <c r="D18" s="65" t="n"/>
      <c r="E18" s="65" t="n"/>
      <c r="F18" s="65" t="n"/>
      <c r="G18" s="65" t="n"/>
      <c r="H18" s="65" t="inlineStr">
        <is>
          <t>[0882] GRASA MULTIPLE EP 200 (PAILA)</t>
        </is>
      </c>
      <c r="I18" s="65" t="n">
        <v>882</v>
      </c>
      <c r="J18" s="63" t="inlineStr">
        <is>
          <t>1,00</t>
        </is>
      </c>
      <c r="K18" s="63" t="inlineStr">
        <is>
          <t>244,03</t>
        </is>
      </c>
      <c r="L18" s="63" t="inlineStr">
        <is>
          <t>0,00</t>
        </is>
      </c>
      <c r="M18" s="63" t="inlineStr">
        <is>
          <t>244,03</t>
        </is>
      </c>
      <c r="N18" s="63" t="inlineStr">
        <is>
          <t>283,07</t>
        </is>
      </c>
      <c r="O18" s="65" t="n"/>
      <c r="P18" s="65" t="n"/>
      <c r="Q18" s="65" t="n"/>
      <c r="R18" s="65" t="n"/>
      <c r="S18" s="65" t="n"/>
      <c r="T18" s="65" t="n"/>
      <c r="U18" s="65" t="n"/>
      <c r="V18" s="65" t="n"/>
    </row>
    <row r="19">
      <c r="A19" s="65" t="inlineStr">
        <is>
          <t>S00675</t>
        </is>
      </c>
      <c r="B19" s="62" t="n">
        <v>46219.40502314815</v>
      </c>
      <c r="C19" s="65" t="inlineStr">
        <is>
          <t>AUTO REPUESTOS EL DUO 2013, C.A.</t>
        </is>
      </c>
      <c r="D19" s="65" t="inlineStr">
        <is>
          <t>TORO ARDILES DAVID JOSE</t>
        </is>
      </c>
      <c r="E19" s="65" t="inlineStr">
        <is>
          <t>7 días</t>
        </is>
      </c>
      <c r="F19" s="65" t="n">
        <v>5</v>
      </c>
      <c r="G19" s="65" t="inlineStr">
        <is>
          <t>Pago VES</t>
        </is>
      </c>
      <c r="H19" s="65" t="inlineStr">
        <is>
          <t>[0779] SINOCO SAE 20W-50 (1x12)</t>
        </is>
      </c>
      <c r="I19" s="65" t="n">
        <v>779</v>
      </c>
      <c r="J19" s="63" t="inlineStr">
        <is>
          <t>1,00</t>
        </is>
      </c>
      <c r="K19" s="63" t="inlineStr">
        <is>
          <t>70,29</t>
        </is>
      </c>
      <c r="L19" s="63" t="inlineStr">
        <is>
          <t>0,00</t>
        </is>
      </c>
      <c r="M19" s="63" t="inlineStr">
        <is>
          <t>70,29</t>
        </is>
      </c>
      <c r="N19" s="63" t="inlineStr">
        <is>
          <t>81,54</t>
        </is>
      </c>
      <c r="O19" s="63" t="inlineStr">
        <is>
          <t>165,78</t>
        </is>
      </c>
      <c r="P19" s="63" t="inlineStr">
        <is>
          <t>192,31</t>
        </is>
      </c>
      <c r="Q19" s="65" t="n"/>
      <c r="R19" s="65" t="n"/>
      <c r="S19" s="65" t="n"/>
      <c r="T19" s="65" t="n"/>
      <c r="U19" s="65" t="n"/>
      <c r="V19" s="65" t="n"/>
    </row>
    <row r="20">
      <c r="A20" s="65" t="n"/>
      <c r="B20" s="65" t="n"/>
      <c r="C20" s="65" t="n"/>
      <c r="D20" s="65" t="n"/>
      <c r="E20" s="65" t="n"/>
      <c r="F20" s="65" t="n"/>
      <c r="G20" s="65" t="n"/>
      <c r="H20" s="65" t="inlineStr">
        <is>
          <t>[0884] TRANSMATIC ATF DEXRON III (1x12)</t>
        </is>
      </c>
      <c r="I20" s="65" t="n">
        <v>884</v>
      </c>
      <c r="J20" s="63" t="inlineStr">
        <is>
          <t>1,00</t>
        </is>
      </c>
      <c r="K20" s="63" t="inlineStr">
        <is>
          <t>95,49</t>
        </is>
      </c>
      <c r="L20" s="63" t="inlineStr">
        <is>
          <t>0,00</t>
        </is>
      </c>
      <c r="M20" s="63" t="inlineStr">
        <is>
          <t>95,49</t>
        </is>
      </c>
      <c r="N20" s="63" t="inlineStr">
        <is>
          <t>110,77</t>
        </is>
      </c>
      <c r="O20" s="65" t="n"/>
      <c r="P20" s="65" t="n"/>
      <c r="Q20" s="65" t="n"/>
      <c r="R20" s="65" t="n"/>
      <c r="S20" s="65" t="n"/>
      <c r="T20" s="65" t="n"/>
      <c r="U20" s="65" t="n"/>
      <c r="V20" s="65" t="n"/>
    </row>
    <row r="21">
      <c r="A21" s="65" t="inlineStr">
        <is>
          <t>S00179</t>
        </is>
      </c>
      <c r="B21" s="62" t="n">
        <v>46218.90515046296</v>
      </c>
      <c r="C21" s="65" t="inlineStr">
        <is>
          <t>Inversiones Vercris 17 C.A</t>
        </is>
      </c>
      <c r="D21" s="65" t="inlineStr">
        <is>
          <t>GRIMAN DIAZ HECTOR EDUARDO</t>
        </is>
      </c>
      <c r="E21" s="65" t="inlineStr">
        <is>
          <t>15 días</t>
        </is>
      </c>
      <c r="F21" s="65" t="n">
        <v>7</v>
      </c>
      <c r="G21" s="65" t="inlineStr">
        <is>
          <t>Pago USD Marzo</t>
        </is>
      </c>
      <c r="H21" s="65" t="inlineStr">
        <is>
          <t>[0602] SINOCO SAE 50 (PAILA)</t>
        </is>
      </c>
      <c r="I21" s="65" t="n">
        <v>602</v>
      </c>
      <c r="J21" s="63" t="inlineStr">
        <is>
          <t>10,00</t>
        </is>
      </c>
      <c r="K21" s="63" t="inlineStr">
        <is>
          <t>57,76</t>
        </is>
      </c>
      <c r="L21" s="63" t="inlineStr">
        <is>
          <t>0,00</t>
        </is>
      </c>
      <c r="M21" s="63" t="inlineStr">
        <is>
          <t>577,60</t>
        </is>
      </c>
      <c r="N21" s="63" t="inlineStr">
        <is>
          <t>670,02</t>
        </is>
      </c>
      <c r="O21" s="63" t="inlineStr">
        <is>
          <t>1.032,78</t>
        </is>
      </c>
      <c r="P21" s="63" t="inlineStr">
        <is>
          <t>1.198,03</t>
        </is>
      </c>
      <c r="Q21" s="65" t="n"/>
      <c r="R21" s="65" t="n"/>
      <c r="S21" s="65" t="n"/>
      <c r="T21" s="65" t="n"/>
      <c r="U21" s="65" t="n"/>
      <c r="V21" s="65" t="n"/>
    </row>
    <row r="22">
      <c r="A22" s="65" t="n"/>
      <c r="B22" s="65" t="n"/>
      <c r="C22" s="65" t="n"/>
      <c r="D22" s="65" t="n"/>
      <c r="E22" s="65" t="n"/>
      <c r="F22" s="65" t="n"/>
      <c r="G22" s="65" t="n"/>
      <c r="H22" s="65" t="inlineStr">
        <is>
          <t>[0779] SINOCO SAE 20W-50 (1x12)</t>
        </is>
      </c>
      <c r="I22" s="65" t="n">
        <v>779</v>
      </c>
      <c r="J22" s="63" t="inlineStr">
        <is>
          <t>10,00</t>
        </is>
      </c>
      <c r="K22" s="63" t="inlineStr">
        <is>
          <t>41,38</t>
        </is>
      </c>
      <c r="L22" s="63" t="inlineStr">
        <is>
          <t>0,00</t>
        </is>
      </c>
      <c r="M22" s="63" t="inlineStr">
        <is>
          <t>413,80</t>
        </is>
      </c>
      <c r="N22" s="63" t="inlineStr">
        <is>
          <t>480,01</t>
        </is>
      </c>
      <c r="O22" s="65" t="n"/>
      <c r="P22" s="65" t="n"/>
      <c r="Q22" s="65" t="n"/>
      <c r="R22" s="65" t="n"/>
      <c r="S22" s="65" t="n"/>
      <c r="T22" s="65" t="n"/>
      <c r="U22" s="65" t="n"/>
      <c r="V22" s="65" t="n"/>
    </row>
    <row r="23">
      <c r="A23" s="65" t="n"/>
      <c r="B23" s="65" t="n"/>
      <c r="C23" s="65" t="n"/>
      <c r="D23" s="65" t="n"/>
      <c r="E23" s="65" t="n"/>
      <c r="F23" s="65" t="n"/>
      <c r="G23" s="65" t="n"/>
      <c r="H23" s="65" t="inlineStr">
        <is>
          <t>[0761] LIGA PARA FRENOS DOT-3 (1x12)</t>
        </is>
      </c>
      <c r="I23" s="65" t="n">
        <v>761</v>
      </c>
      <c r="J23" s="63" t="inlineStr">
        <is>
          <t>2,00</t>
        </is>
      </c>
      <c r="K23" s="63" t="inlineStr">
        <is>
          <t>20,69</t>
        </is>
      </c>
      <c r="L23" s="63" t="inlineStr">
        <is>
          <t>0,00</t>
        </is>
      </c>
      <c r="M23" s="63" t="inlineStr">
        <is>
          <t>41,38</t>
        </is>
      </c>
      <c r="N23" s="63" t="inlineStr">
        <is>
          <t>48,00</t>
        </is>
      </c>
      <c r="O23" s="65" t="n"/>
      <c r="P23" s="65" t="n"/>
      <c r="Q23" s="65" t="n"/>
      <c r="R23" s="65" t="n"/>
      <c r="S23" s="65" t="n"/>
      <c r="T23" s="65" t="n"/>
      <c r="U23" s="65" t="n"/>
      <c r="V23" s="65" t="n"/>
    </row>
    <row r="24">
      <c r="A24" s="65" t="inlineStr">
        <is>
          <t>S00674</t>
        </is>
      </c>
      <c r="B24" s="62" t="n">
        <v>46217.715625</v>
      </c>
      <c r="C24" s="65" t="inlineStr">
        <is>
          <t>Elio Ramón Moran Ramirez</t>
        </is>
      </c>
      <c r="D24" s="65" t="inlineStr">
        <is>
          <t>MARTINEZ MONTES JEFFREY ENRIQUE</t>
        </is>
      </c>
      <c r="E24" s="65" t="inlineStr">
        <is>
          <t>7 días</t>
        </is>
      </c>
      <c r="F24" s="65" t="n">
        <v>5</v>
      </c>
      <c r="G24" s="65" t="inlineStr">
        <is>
          <t>Pago VES</t>
        </is>
      </c>
      <c r="H24" s="65" t="inlineStr">
        <is>
          <t>[0887] MOTOCLASICO 4T SAE 20W-50 (1x12)</t>
        </is>
      </c>
      <c r="I24" s="65" t="n">
        <v>887</v>
      </c>
      <c r="J24" s="63" t="inlineStr">
        <is>
          <t>3,00</t>
        </is>
      </c>
      <c r="K24" s="63" t="inlineStr">
        <is>
          <t>90,19</t>
        </is>
      </c>
      <c r="L24" s="63" t="inlineStr">
        <is>
          <t>0,00</t>
        </is>
      </c>
      <c r="M24" s="63" t="inlineStr">
        <is>
          <t>270,57</t>
        </is>
      </c>
      <c r="N24" s="63" t="inlineStr">
        <is>
          <t>313,86</t>
        </is>
      </c>
      <c r="O24" s="63" t="inlineStr">
        <is>
          <t>306,38</t>
        </is>
      </c>
      <c r="P24" s="63" t="inlineStr">
        <is>
          <t>355,40</t>
        </is>
      </c>
      <c r="Q24" s="65" t="n"/>
      <c r="R24" s="65" t="n"/>
      <c r="S24" s="65" t="n"/>
      <c r="T24" s="65" t="n"/>
      <c r="U24" s="65" t="n"/>
      <c r="V24" s="65" t="n"/>
    </row>
    <row r="25">
      <c r="A25" s="65" t="n"/>
      <c r="B25" s="65" t="n"/>
      <c r="C25" s="65" t="n"/>
      <c r="D25" s="65" t="n"/>
      <c r="E25" s="65" t="n"/>
      <c r="F25" s="65" t="n"/>
      <c r="G25" s="65" t="n"/>
      <c r="H25" s="65" t="n"/>
      <c r="I25" s="65" t="n"/>
      <c r="J25" s="63" t="inlineStr">
        <is>
          <t>0,00</t>
        </is>
      </c>
      <c r="K25" s="63" t="inlineStr">
        <is>
          <t>0,00</t>
        </is>
      </c>
      <c r="L25" s="63" t="inlineStr">
        <is>
          <t>0,00</t>
        </is>
      </c>
      <c r="M25" s="63" t="inlineStr">
        <is>
          <t>0,00</t>
        </is>
      </c>
      <c r="N25" s="63" t="inlineStr">
        <is>
          <t>0,00</t>
        </is>
      </c>
      <c r="O25" s="65" t="n"/>
      <c r="P25" s="65" t="n"/>
      <c r="Q25" s="65" t="n"/>
      <c r="R25" s="65" t="n"/>
      <c r="S25" s="65" t="n"/>
      <c r="T25" s="65" t="n"/>
      <c r="U25" s="65" t="n"/>
      <c r="V25" s="65" t="n"/>
    </row>
    <row r="26">
      <c r="A26" s="65" t="n"/>
      <c r="B26" s="65" t="n"/>
      <c r="C26" s="65" t="n"/>
      <c r="D26" s="65" t="n"/>
      <c r="E26" s="65" t="n"/>
      <c r="F26" s="65" t="n"/>
      <c r="G26" s="65" t="n"/>
      <c r="H26" s="65" t="inlineStr">
        <is>
          <t>[0761] LIGA PARA FRENOS DOT-3 (1x12)</t>
        </is>
      </c>
      <c r="I26" s="65" t="n">
        <v>761</v>
      </c>
      <c r="J26" s="63" t="inlineStr">
        <is>
          <t>1,00</t>
        </is>
      </c>
      <c r="K26" s="63" t="inlineStr">
        <is>
          <t>35,81</t>
        </is>
      </c>
      <c r="L26" s="63" t="inlineStr">
        <is>
          <t>0,00</t>
        </is>
      </c>
      <c r="M26" s="63" t="inlineStr">
        <is>
          <t>35,81</t>
        </is>
      </c>
      <c r="N26" s="63" t="inlineStr">
        <is>
          <t>41,54</t>
        </is>
      </c>
      <c r="O26" s="65" t="n"/>
      <c r="P26" s="65" t="n"/>
      <c r="Q26" s="65" t="n"/>
      <c r="R26" s="65" t="n"/>
      <c r="S26" s="65" t="n"/>
      <c r="T26" s="65" t="n"/>
      <c r="U26" s="65" t="n"/>
      <c r="V26" s="65" t="n"/>
    </row>
    <row r="27">
      <c r="A27" s="65" t="inlineStr">
        <is>
          <t>S00670</t>
        </is>
      </c>
      <c r="B27" s="62" t="n">
        <v>46217.67407407407</v>
      </c>
      <c r="C27" s="65" t="inlineStr">
        <is>
          <t>Asociación Cooperativa la Esquina del Lubricante 9999 R.L</t>
        </is>
      </c>
      <c r="D27" s="65" t="inlineStr">
        <is>
          <t>GRIMAN DIAZ HECTOR EDUARDO</t>
        </is>
      </c>
      <c r="E27" s="65" t="inlineStr">
        <is>
          <t>7 días</t>
        </is>
      </c>
      <c r="F27" s="65" t="n">
        <v>5</v>
      </c>
      <c r="G27" s="65" t="inlineStr">
        <is>
          <t>Pago VES</t>
        </is>
      </c>
      <c r="H27" s="65" t="inlineStr">
        <is>
          <t>[0880] CLASICO API SL SAE 15W-40 (1x12)</t>
        </is>
      </c>
      <c r="I27" s="65" t="n">
        <v>880</v>
      </c>
      <c r="J27" s="63" t="inlineStr">
        <is>
          <t>1,00</t>
        </is>
      </c>
      <c r="K27" s="63" t="inlineStr">
        <is>
          <t>86,21</t>
        </is>
      </c>
      <c r="L27" s="63" t="inlineStr">
        <is>
          <t>0,00</t>
        </is>
      </c>
      <c r="M27" s="63" t="inlineStr">
        <is>
          <t>86,21</t>
        </is>
      </c>
      <c r="N27" s="63" t="inlineStr">
        <is>
          <t>100,00</t>
        </is>
      </c>
      <c r="O27" s="63" t="inlineStr">
        <is>
          <t>561,03</t>
        </is>
      </c>
      <c r="P27" s="63" t="inlineStr">
        <is>
          <t>650,80</t>
        </is>
      </c>
      <c r="Q27" s="65" t="n"/>
      <c r="R27" s="65" t="n"/>
      <c r="S27" s="65" t="n"/>
      <c r="T27" s="65" t="n"/>
      <c r="U27" s="65" t="n"/>
      <c r="V27" s="65" t="n"/>
    </row>
    <row r="28">
      <c r="A28" s="65" t="n"/>
      <c r="B28" s="65" t="n"/>
      <c r="C28" s="65" t="n"/>
      <c r="D28" s="65" t="n"/>
      <c r="E28" s="65" t="n"/>
      <c r="F28" s="65" t="n"/>
      <c r="G28" s="65" t="n"/>
      <c r="H28" s="65" t="inlineStr">
        <is>
          <t>[0881] CLASICO API SL SAE 20W-50 (1x12)</t>
        </is>
      </c>
      <c r="I28" s="65" t="n">
        <v>881</v>
      </c>
      <c r="J28" s="63" t="inlineStr">
        <is>
          <t>2,00</t>
        </is>
      </c>
      <c r="K28" s="63" t="inlineStr">
        <is>
          <t>86,21</t>
        </is>
      </c>
      <c r="L28" s="63" t="inlineStr">
        <is>
          <t>0,00</t>
        </is>
      </c>
      <c r="M28" s="63" t="inlineStr">
        <is>
          <t>172,42</t>
        </is>
      </c>
      <c r="N28" s="63" t="inlineStr">
        <is>
          <t>200,01</t>
        </is>
      </c>
      <c r="O28" s="65" t="n"/>
      <c r="P28" s="65" t="n"/>
      <c r="Q28" s="65" t="n"/>
      <c r="R28" s="65" t="n"/>
      <c r="S28" s="65" t="n"/>
      <c r="T28" s="65" t="n"/>
      <c r="U28" s="65" t="n"/>
      <c r="V28" s="65" t="n"/>
    </row>
    <row r="29">
      <c r="A29" s="65" t="n"/>
      <c r="B29" s="65" t="n"/>
      <c r="C29" s="65" t="n"/>
      <c r="D29" s="65" t="n"/>
      <c r="E29" s="65" t="n"/>
      <c r="F29" s="65" t="n"/>
      <c r="G29" s="65" t="n"/>
      <c r="H29" s="65" t="inlineStr">
        <is>
          <t>[0877] SS EXTRA PROTECCION API SN SAE 15W-40 (1X12)</t>
        </is>
      </c>
      <c r="I29" s="65" t="n">
        <v>877</v>
      </c>
      <c r="J29" s="63" t="inlineStr">
        <is>
          <t>2,00</t>
        </is>
      </c>
      <c r="K29" s="63" t="inlineStr">
        <is>
          <t>100,80</t>
        </is>
      </c>
      <c r="L29" s="63" t="inlineStr">
        <is>
          <t>0,00</t>
        </is>
      </c>
      <c r="M29" s="63" t="inlineStr">
        <is>
          <t>201,60</t>
        </is>
      </c>
      <c r="N29" s="63" t="inlineStr">
        <is>
          <t>233,86</t>
        </is>
      </c>
      <c r="O29" s="65" t="n"/>
      <c r="P29" s="65" t="n"/>
      <c r="Q29" s="65" t="n"/>
      <c r="R29" s="65" t="n"/>
      <c r="S29" s="65" t="n"/>
      <c r="T29" s="65" t="n"/>
      <c r="U29" s="65" t="n"/>
      <c r="V29" s="65" t="n"/>
    </row>
    <row r="30">
      <c r="A30" s="65" t="n"/>
      <c r="B30" s="65" t="n"/>
      <c r="C30" s="65" t="n"/>
      <c r="D30" s="65" t="n"/>
      <c r="E30" s="65" t="n"/>
      <c r="F30" s="65" t="n"/>
      <c r="G30" s="65" t="n"/>
      <c r="H30" s="65" t="inlineStr">
        <is>
          <t>[0878] SS EXTRA PROTECCION API SN SAE 20W-50 (1x12)</t>
        </is>
      </c>
      <c r="I30" s="65" t="n">
        <v>878</v>
      </c>
      <c r="J30" s="63" t="inlineStr">
        <is>
          <t>1,00</t>
        </is>
      </c>
      <c r="K30" s="63" t="inlineStr">
        <is>
          <t>100,80</t>
        </is>
      </c>
      <c r="L30" s="63" t="inlineStr">
        <is>
          <t>0,00</t>
        </is>
      </c>
      <c r="M30" s="63" t="inlineStr">
        <is>
          <t>100,80</t>
        </is>
      </c>
      <c r="N30" s="63" t="inlineStr">
        <is>
          <t>116,93</t>
        </is>
      </c>
      <c r="O30" s="65" t="n"/>
      <c r="P30" s="65" t="n"/>
      <c r="Q30" s="65" t="n"/>
      <c r="R30" s="65" t="n"/>
      <c r="S30" s="65" t="n"/>
      <c r="T30" s="65" t="n"/>
      <c r="U30" s="65" t="n"/>
      <c r="V30" s="65" t="n"/>
    </row>
    <row r="31">
      <c r="A31" s="65" t="inlineStr">
        <is>
          <t>S00671</t>
        </is>
      </c>
      <c r="B31" s="62" t="n">
        <v>46217.67399305556</v>
      </c>
      <c r="C31" s="65" t="inlineStr">
        <is>
          <t>Repuestos y Accesorios Mario Cars 365 C.A</t>
        </is>
      </c>
      <c r="D31" s="65" t="inlineStr">
        <is>
          <t>GRIMAN DIAZ HECTOR EDUARDO</t>
        </is>
      </c>
      <c r="E31" s="65" t="inlineStr">
        <is>
          <t>7 días</t>
        </is>
      </c>
      <c r="F31" s="65" t="n">
        <v>5</v>
      </c>
      <c r="G31" s="65" t="inlineStr">
        <is>
          <t>Pago VES</t>
        </is>
      </c>
      <c r="H31" s="65" t="inlineStr">
        <is>
          <t>[0779] SINOCO SAE 20W-50 (1x12)</t>
        </is>
      </c>
      <c r="I31" s="65" t="n">
        <v>779</v>
      </c>
      <c r="J31" s="63" t="inlineStr">
        <is>
          <t>4,00</t>
        </is>
      </c>
      <c r="K31" s="63" t="inlineStr">
        <is>
          <t>70,29</t>
        </is>
      </c>
      <c r="L31" s="63" t="inlineStr">
        <is>
          <t>0,00</t>
        </is>
      </c>
      <c r="M31" s="63" t="inlineStr">
        <is>
          <t>281,16</t>
        </is>
      </c>
      <c r="N31" s="63" t="inlineStr">
        <is>
          <t>326,15</t>
        </is>
      </c>
      <c r="O31" s="63" t="inlineStr">
        <is>
          <t>655,17</t>
        </is>
      </c>
      <c r="P31" s="63" t="inlineStr">
        <is>
          <t>760,01</t>
        </is>
      </c>
      <c r="Q31" s="65" t="n"/>
      <c r="R31" s="65" t="n"/>
      <c r="S31" s="65" t="n"/>
      <c r="T31" s="65" t="n"/>
      <c r="U31" s="65" t="n"/>
      <c r="V31" s="65" t="n"/>
    </row>
    <row r="32">
      <c r="A32" s="65" t="n"/>
      <c r="B32" s="65" t="n"/>
      <c r="C32" s="65" t="n"/>
      <c r="D32" s="65" t="n"/>
      <c r="E32" s="65" t="n"/>
      <c r="F32" s="65" t="n"/>
      <c r="G32" s="65" t="n"/>
      <c r="H32" s="65" t="n"/>
      <c r="I32" s="65" t="n"/>
      <c r="J32" s="63" t="inlineStr">
        <is>
          <t>0,00</t>
        </is>
      </c>
      <c r="K32" s="63" t="inlineStr">
        <is>
          <t>0,00</t>
        </is>
      </c>
      <c r="L32" s="63" t="inlineStr">
        <is>
          <t>0,00</t>
        </is>
      </c>
      <c r="M32" s="63" t="inlineStr">
        <is>
          <t>0,00</t>
        </is>
      </c>
      <c r="N32" s="63" t="inlineStr">
        <is>
          <t>0,00</t>
        </is>
      </c>
      <c r="O32" s="65" t="n"/>
      <c r="P32" s="65" t="n"/>
      <c r="Q32" s="65" t="n"/>
      <c r="R32" s="65" t="n"/>
      <c r="S32" s="65" t="n"/>
      <c r="T32" s="65" t="n"/>
      <c r="U32" s="65" t="n"/>
      <c r="V32" s="65" t="n"/>
    </row>
    <row r="33">
      <c r="A33" s="65" t="n"/>
      <c r="B33" s="65" t="n"/>
      <c r="C33" s="65" t="n"/>
      <c r="D33" s="65" t="n"/>
      <c r="E33" s="65" t="n"/>
      <c r="F33" s="65" t="n"/>
      <c r="G33" s="65" t="n"/>
      <c r="H33" s="65" t="inlineStr">
        <is>
          <t>[0877] SS EXTRA PROTECCION API SN SAE 15W-40 (1X12)</t>
        </is>
      </c>
      <c r="I33" s="65" t="n">
        <v>877</v>
      </c>
      <c r="J33" s="63" t="inlineStr">
        <is>
          <t>2,00</t>
        </is>
      </c>
      <c r="K33" s="63" t="inlineStr">
        <is>
          <t>100,80</t>
        </is>
      </c>
      <c r="L33" s="63" t="inlineStr">
        <is>
          <t>0,00</t>
        </is>
      </c>
      <c r="M33" s="63" t="inlineStr">
        <is>
          <t>201,60</t>
        </is>
      </c>
      <c r="N33" s="63" t="inlineStr">
        <is>
          <t>233,86</t>
        </is>
      </c>
      <c r="O33" s="65" t="n"/>
      <c r="P33" s="65" t="n"/>
      <c r="Q33" s="65" t="n"/>
      <c r="R33" s="65" t="n"/>
      <c r="S33" s="65" t="n"/>
      <c r="T33" s="65" t="n"/>
      <c r="U33" s="65" t="n"/>
      <c r="V33" s="65" t="n"/>
    </row>
    <row r="34">
      <c r="A34" s="65" t="n"/>
      <c r="B34" s="65" t="n"/>
      <c r="C34" s="65" t="n"/>
      <c r="D34" s="65" t="n"/>
      <c r="E34" s="65" t="n"/>
      <c r="F34" s="65" t="n"/>
      <c r="G34" s="65" t="n"/>
      <c r="H34" s="65" t="inlineStr">
        <is>
          <t>[0884] TRANSMATIC ATF DEXRON III (1x12)</t>
        </is>
      </c>
      <c r="I34" s="65" t="n">
        <v>884</v>
      </c>
      <c r="J34" s="63" t="inlineStr">
        <is>
          <t>1,00</t>
        </is>
      </c>
      <c r="K34" s="63" t="inlineStr">
        <is>
          <t>95,49</t>
        </is>
      </c>
      <c r="L34" s="63" t="inlineStr">
        <is>
          <t>0,00</t>
        </is>
      </c>
      <c r="M34" s="63" t="inlineStr">
        <is>
          <t>95,49</t>
        </is>
      </c>
      <c r="N34" s="63" t="inlineStr">
        <is>
          <t>110,77</t>
        </is>
      </c>
      <c r="O34" s="65" t="n"/>
      <c r="P34" s="65" t="n"/>
      <c r="Q34" s="65" t="n"/>
      <c r="R34" s="65" t="n"/>
      <c r="S34" s="65" t="n"/>
      <c r="T34" s="65" t="n"/>
      <c r="U34" s="65" t="n"/>
      <c r="V34" s="65" t="n"/>
    </row>
    <row r="35">
      <c r="A35" s="65" t="n"/>
      <c r="B35" s="65" t="n"/>
      <c r="C35" s="65" t="n"/>
      <c r="D35" s="65" t="n"/>
      <c r="E35" s="65" t="n"/>
      <c r="F35" s="65" t="n"/>
      <c r="G35" s="65" t="n"/>
      <c r="H35" s="65" t="inlineStr">
        <is>
          <t>[0761] LIGA PARA FRENOS DOT-3 (1x12)</t>
        </is>
      </c>
      <c r="I35" s="65" t="n">
        <v>761</v>
      </c>
      <c r="J35" s="63" t="inlineStr">
        <is>
          <t>1,00</t>
        </is>
      </c>
      <c r="K35" s="63" t="inlineStr">
        <is>
          <t>35,81</t>
        </is>
      </c>
      <c r="L35" s="63" t="inlineStr">
        <is>
          <t>0,00</t>
        </is>
      </c>
      <c r="M35" s="63" t="inlineStr">
        <is>
          <t>35,81</t>
        </is>
      </c>
      <c r="N35" s="63" t="inlineStr">
        <is>
          <t>41,54</t>
        </is>
      </c>
      <c r="O35" s="65" t="n"/>
      <c r="P35" s="65" t="n"/>
      <c r="Q35" s="65" t="n"/>
      <c r="R35" s="65" t="n"/>
      <c r="S35" s="65" t="n"/>
      <c r="T35" s="65" t="n"/>
      <c r="U35" s="65" t="n"/>
      <c r="V35" s="65" t="n"/>
    </row>
    <row r="36">
      <c r="A36" s="65" t="n"/>
      <c r="B36" s="65" t="n"/>
      <c r="C36" s="65" t="n"/>
      <c r="D36" s="65" t="n"/>
      <c r="E36" s="65" t="n"/>
      <c r="F36" s="65" t="n"/>
      <c r="G36" s="65" t="n"/>
      <c r="H36" s="65" t="inlineStr">
        <is>
          <t>[0775] LIGA PARA FRENOS DOT-4 (1X12)</t>
        </is>
      </c>
      <c r="I36" s="65" t="n">
        <v>775</v>
      </c>
      <c r="J36" s="63" t="inlineStr">
        <is>
          <t>1,00</t>
        </is>
      </c>
      <c r="K36" s="63" t="inlineStr">
        <is>
          <t>41,11</t>
        </is>
      </c>
      <c r="L36" s="63" t="inlineStr">
        <is>
          <t>0,00</t>
        </is>
      </c>
      <c r="M36" s="63" t="inlineStr">
        <is>
          <t>41,11</t>
        </is>
      </c>
      <c r="N36" s="63" t="inlineStr">
        <is>
          <t>47,69</t>
        </is>
      </c>
      <c r="O36" s="65" t="n"/>
      <c r="P36" s="65" t="n"/>
      <c r="Q36" s="65" t="n"/>
      <c r="R36" s="65" t="n"/>
      <c r="S36" s="65" t="n"/>
      <c r="T36" s="65" t="n"/>
      <c r="U36" s="65" t="n"/>
      <c r="V36" s="65" t="n"/>
    </row>
    <row r="37">
      <c r="A37" s="65" t="inlineStr">
        <is>
          <t>S00673</t>
        </is>
      </c>
      <c r="B37" s="62" t="n">
        <v>46217.67381944445</v>
      </c>
      <c r="C37" s="65" t="inlineStr">
        <is>
          <t>Inversiones El Rey Jesucristo 41930 C.A</t>
        </is>
      </c>
      <c r="D37" s="65" t="inlineStr">
        <is>
          <t>GRIMAN DIAZ HECTOR EDUARDO</t>
        </is>
      </c>
      <c r="E37" s="65" t="inlineStr">
        <is>
          <t>7 días</t>
        </is>
      </c>
      <c r="F37" s="65" t="n">
        <v>5</v>
      </c>
      <c r="G37" s="65" t="inlineStr">
        <is>
          <t>Pago VES</t>
        </is>
      </c>
      <c r="H37" s="65" t="inlineStr">
        <is>
          <t>[0606] SINOCO SAE 20W-50 (Tambor)</t>
        </is>
      </c>
      <c r="I37" s="65" t="n">
        <v>606</v>
      </c>
      <c r="J37" s="63" t="inlineStr">
        <is>
          <t>1,00</t>
        </is>
      </c>
      <c r="K37" s="63" t="inlineStr">
        <is>
          <t>912,47</t>
        </is>
      </c>
      <c r="L37" s="63" t="inlineStr">
        <is>
          <t>0,00</t>
        </is>
      </c>
      <c r="M37" s="63" t="inlineStr">
        <is>
          <t>912,47</t>
        </is>
      </c>
      <c r="N37" s="63" t="inlineStr">
        <is>
          <t>1.058,47</t>
        </is>
      </c>
      <c r="O37" s="63" t="inlineStr">
        <is>
          <t>1.250,68</t>
        </is>
      </c>
      <c r="P37" s="63" t="inlineStr">
        <is>
          <t>1.450,79</t>
        </is>
      </c>
      <c r="Q37" s="65" t="n"/>
      <c r="R37" s="65" t="n"/>
      <c r="S37" s="65" t="n"/>
      <c r="T37" s="65" t="n"/>
      <c r="U37" s="65" t="n"/>
      <c r="V37" s="65" t="n"/>
    </row>
    <row r="38">
      <c r="A38" s="65" t="n"/>
      <c r="B38" s="65" t="n"/>
      <c r="C38" s="65" t="n"/>
      <c r="D38" s="65" t="n"/>
      <c r="E38" s="65" t="n"/>
      <c r="F38" s="65" t="n"/>
      <c r="G38" s="65" t="n"/>
      <c r="H38" s="65" t="n"/>
      <c r="I38" s="65" t="n"/>
      <c r="J38" s="63" t="inlineStr">
        <is>
          <t>0,00</t>
        </is>
      </c>
      <c r="K38" s="63" t="inlineStr">
        <is>
          <t>0,00</t>
        </is>
      </c>
      <c r="L38" s="63" t="inlineStr">
        <is>
          <t>0,00</t>
        </is>
      </c>
      <c r="M38" s="63" t="inlineStr">
        <is>
          <t>0,00</t>
        </is>
      </c>
      <c r="N38" s="63" t="inlineStr">
        <is>
          <t>0,00</t>
        </is>
      </c>
      <c r="O38" s="65" t="n"/>
      <c r="P38" s="65" t="n"/>
      <c r="Q38" s="65" t="n"/>
      <c r="R38" s="65" t="n"/>
      <c r="S38" s="65" t="n"/>
      <c r="T38" s="65" t="n"/>
      <c r="U38" s="65" t="n"/>
      <c r="V38" s="65" t="n"/>
    </row>
    <row r="39">
      <c r="A39" s="65" t="n"/>
      <c r="B39" s="65" t="n"/>
      <c r="C39" s="65" t="n"/>
      <c r="D39" s="65" t="n"/>
      <c r="E39" s="65" t="n"/>
      <c r="F39" s="65" t="n"/>
      <c r="G39" s="65" t="n"/>
      <c r="H39" s="65" t="inlineStr">
        <is>
          <t>[0877] SS EXTRA PROTECCION API SN SAE 15W-40 (1X12)</t>
        </is>
      </c>
      <c r="I39" s="65" t="n">
        <v>877</v>
      </c>
      <c r="J39" s="63" t="inlineStr">
        <is>
          <t>3,00</t>
        </is>
      </c>
      <c r="K39" s="63" t="inlineStr">
        <is>
          <t>100,80</t>
        </is>
      </c>
      <c r="L39" s="63" t="inlineStr">
        <is>
          <t>0,00</t>
        </is>
      </c>
      <c r="M39" s="63" t="inlineStr">
        <is>
          <t>302,40</t>
        </is>
      </c>
      <c r="N39" s="63" t="inlineStr">
        <is>
          <t>350,78</t>
        </is>
      </c>
      <c r="O39" s="65" t="n"/>
      <c r="P39" s="65" t="n"/>
      <c r="Q39" s="65" t="n"/>
      <c r="R39" s="65" t="n"/>
      <c r="S39" s="65" t="n"/>
      <c r="T39" s="65" t="n"/>
      <c r="U39" s="65" t="n"/>
      <c r="V39" s="65" t="n"/>
    </row>
    <row r="40">
      <c r="A40" s="65" t="n"/>
      <c r="B40" s="65" t="n"/>
      <c r="C40" s="65" t="n"/>
      <c r="D40" s="65" t="n"/>
      <c r="E40" s="65" t="n"/>
      <c r="F40" s="65" t="n"/>
      <c r="G40" s="65" t="n"/>
      <c r="H40" s="65" t="inlineStr">
        <is>
          <t>[0761] LIGA PARA FRENOS DOT-3 (1x12)</t>
        </is>
      </c>
      <c r="I40" s="65" t="n">
        <v>761</v>
      </c>
      <c r="J40" s="63" t="inlineStr">
        <is>
          <t>1,00</t>
        </is>
      </c>
      <c r="K40" s="63" t="inlineStr">
        <is>
          <t>35,81</t>
        </is>
      </c>
      <c r="L40" s="63" t="inlineStr">
        <is>
          <t>0,00</t>
        </is>
      </c>
      <c r="M40" s="63" t="inlineStr">
        <is>
          <t>35,81</t>
        </is>
      </c>
      <c r="N40" s="63" t="inlineStr">
        <is>
          <t>41,54</t>
        </is>
      </c>
      <c r="O40" s="65" t="n"/>
      <c r="P40" s="65" t="n"/>
      <c r="Q40" s="65" t="n"/>
      <c r="R40" s="65" t="n"/>
      <c r="S40" s="65" t="n"/>
      <c r="T40" s="65" t="n"/>
      <c r="U40" s="65" t="n"/>
      <c r="V40" s="65" t="n"/>
    </row>
    <row r="41">
      <c r="A41" s="65" t="n"/>
      <c r="B41" s="65" t="n"/>
      <c r="C41" s="65" t="n"/>
      <c r="D41" s="65" t="n"/>
      <c r="E41" s="65" t="n"/>
      <c r="F41" s="65" t="n"/>
      <c r="G41" s="65" t="n"/>
      <c r="H41" s="65" t="n"/>
      <c r="I41" s="65" t="n"/>
      <c r="J41" s="63" t="inlineStr">
        <is>
          <t>0,00</t>
        </is>
      </c>
      <c r="K41" s="63" t="inlineStr">
        <is>
          <t>0,00</t>
        </is>
      </c>
      <c r="L41" s="63" t="inlineStr">
        <is>
          <t>0,00</t>
        </is>
      </c>
      <c r="M41" s="63" t="inlineStr">
        <is>
          <t>0,00</t>
        </is>
      </c>
      <c r="N41" s="63" t="inlineStr">
        <is>
          <t>0,00</t>
        </is>
      </c>
      <c r="O41" s="65" t="n"/>
      <c r="P41" s="65" t="n"/>
      <c r="Q41" s="65" t="n"/>
      <c r="R41" s="65" t="n"/>
      <c r="S41" s="65" t="n"/>
      <c r="T41" s="65" t="n"/>
      <c r="U41" s="65" t="n"/>
      <c r="V41" s="65" t="n"/>
    </row>
    <row r="42">
      <c r="A42" s="65" t="inlineStr">
        <is>
          <t>S00553</t>
        </is>
      </c>
      <c r="B42" s="62" t="n">
        <v>46217.51856481482</v>
      </c>
      <c r="C42" s="65" t="inlineStr">
        <is>
          <t>Autolavado Artico</t>
        </is>
      </c>
      <c r="D42" s="65" t="inlineStr">
        <is>
          <t>MARTINEZ MONTES JEFFREY ENRIQUE</t>
        </is>
      </c>
      <c r="E42" s="65" t="inlineStr">
        <is>
          <t>7 días</t>
        </is>
      </c>
      <c r="F42" s="65" t="n">
        <v>8</v>
      </c>
      <c r="G42" s="65" t="inlineStr">
        <is>
          <t>Pago USD</t>
        </is>
      </c>
      <c r="H42" s="65" t="inlineStr">
        <is>
          <t>[0880] CLASICO API SL SAE 15W-40 (1x12)</t>
        </is>
      </c>
      <c r="I42" s="65" t="n">
        <v>880</v>
      </c>
      <c r="J42" s="63" t="inlineStr">
        <is>
          <t>1,00</t>
        </is>
      </c>
      <c r="K42" s="63" t="inlineStr">
        <is>
          <t>56,03</t>
        </is>
      </c>
      <c r="L42" s="63" t="inlineStr">
        <is>
          <t>0,00</t>
        </is>
      </c>
      <c r="M42" s="63" t="inlineStr">
        <is>
          <t>56,03</t>
        </is>
      </c>
      <c r="N42" s="63" t="inlineStr">
        <is>
          <t>64,99</t>
        </is>
      </c>
      <c r="O42" s="63" t="inlineStr">
        <is>
          <t>200,86</t>
        </is>
      </c>
      <c r="P42" s="63" t="inlineStr">
        <is>
          <t>232,98</t>
        </is>
      </c>
      <c r="Q42" s="63" t="inlineStr">
        <is>
          <t>724,00</t>
        </is>
      </c>
      <c r="R42" s="66" t="n">
        <v>46217</v>
      </c>
      <c r="S42" s="65" t="n">
        <v>485</v>
      </c>
      <c r="T42" s="65" t="inlineStr">
        <is>
          <t>00-00001029</t>
        </is>
      </c>
      <c r="U42" s="63" t="inlineStr">
        <is>
          <t>232,97</t>
        </is>
      </c>
      <c r="V42" s="63" t="inlineStr">
        <is>
          <t>233,00</t>
        </is>
      </c>
    </row>
    <row r="43">
      <c r="A43" s="65" t="n"/>
      <c r="B43" s="65" t="n"/>
      <c r="C43" s="65" t="n"/>
      <c r="D43" s="65" t="n"/>
      <c r="E43" s="65" t="n"/>
      <c r="F43" s="65" t="n"/>
      <c r="G43" s="65" t="n"/>
      <c r="H43" s="65" t="n"/>
      <c r="I43" s="65" t="n"/>
      <c r="J43" s="63" t="inlineStr">
        <is>
          <t>0,00</t>
        </is>
      </c>
      <c r="K43" s="63" t="inlineStr">
        <is>
          <t>0,00</t>
        </is>
      </c>
      <c r="L43" s="63" t="inlineStr">
        <is>
          <t>0,00</t>
        </is>
      </c>
      <c r="M43" s="63" t="inlineStr">
        <is>
          <t>0,00</t>
        </is>
      </c>
      <c r="N43" s="63" t="inlineStr">
        <is>
          <t>0,00</t>
        </is>
      </c>
      <c r="O43" s="65" t="n"/>
      <c r="P43" s="65" t="n"/>
      <c r="Q43" s="65" t="n"/>
      <c r="R43" s="65" t="n"/>
      <c r="S43" s="65" t="n"/>
      <c r="T43" s="65" t="n"/>
      <c r="U43" s="65" t="n"/>
      <c r="V43" s="65" t="n"/>
    </row>
    <row r="44">
      <c r="A44" s="65" t="n"/>
      <c r="B44" s="65" t="n"/>
      <c r="C44" s="65" t="n"/>
      <c r="D44" s="65" t="n"/>
      <c r="E44" s="65" t="n"/>
      <c r="F44" s="65" t="n"/>
      <c r="G44" s="65" t="n"/>
      <c r="H44" s="65" t="inlineStr">
        <is>
          <t>[0881] CLASICO API SL SAE 20W-50 (1x12)</t>
        </is>
      </c>
      <c r="I44" s="65" t="n">
        <v>881</v>
      </c>
      <c r="J44" s="63" t="inlineStr">
        <is>
          <t>1,00</t>
        </is>
      </c>
      <c r="K44" s="63" t="inlineStr">
        <is>
          <t>56,03</t>
        </is>
      </c>
      <c r="L44" s="63" t="inlineStr">
        <is>
          <t>0,00</t>
        </is>
      </c>
      <c r="M44" s="63" t="inlineStr">
        <is>
          <t>56,03</t>
        </is>
      </c>
      <c r="N44" s="63" t="inlineStr">
        <is>
          <t>64,99</t>
        </is>
      </c>
      <c r="O44" s="65" t="n"/>
      <c r="P44" s="65" t="n"/>
      <c r="Q44" s="65" t="n"/>
      <c r="R44" s="65" t="n"/>
      <c r="S44" s="65" t="n"/>
      <c r="T44" s="65" t="n"/>
      <c r="U44" s="65" t="n"/>
      <c r="V44" s="65" t="n"/>
    </row>
    <row r="45">
      <c r="A45" s="65" t="n"/>
      <c r="B45" s="65" t="n"/>
      <c r="C45" s="65" t="n"/>
      <c r="D45" s="65" t="n"/>
      <c r="E45" s="65" t="n"/>
      <c r="F45" s="65" t="n"/>
      <c r="G45" s="65" t="n"/>
      <c r="H45" s="65" t="inlineStr">
        <is>
          <t>[0877] SS EXTRA PROTECCION API SN SAE 15W-40 (1X12)</t>
        </is>
      </c>
      <c r="I45" s="65" t="n">
        <v>877</v>
      </c>
      <c r="J45" s="63" t="inlineStr">
        <is>
          <t>1,00</t>
        </is>
      </c>
      <c r="K45" s="63" t="inlineStr">
        <is>
          <t>65,52</t>
        </is>
      </c>
      <c r="L45" s="63" t="inlineStr">
        <is>
          <t>0,00</t>
        </is>
      </c>
      <c r="M45" s="63" t="inlineStr">
        <is>
          <t>65,52</t>
        </is>
      </c>
      <c r="N45" s="63" t="inlineStr">
        <is>
          <t>76,00</t>
        </is>
      </c>
      <c r="O45" s="65" t="n"/>
      <c r="P45" s="65" t="n"/>
      <c r="Q45" s="65" t="n"/>
      <c r="R45" s="65" t="n"/>
      <c r="S45" s="65" t="n"/>
      <c r="T45" s="65" t="n"/>
      <c r="U45" s="65" t="n"/>
      <c r="V45" s="65" t="n"/>
    </row>
    <row r="46">
      <c r="A46" s="65" t="n"/>
      <c r="B46" s="65" t="n"/>
      <c r="C46" s="65" t="n"/>
      <c r="D46" s="65" t="n"/>
      <c r="E46" s="65" t="n"/>
      <c r="F46" s="65" t="n"/>
      <c r="G46" s="65" t="n"/>
      <c r="H46" s="65" t="inlineStr">
        <is>
          <t>[0761] LIGA PARA FRENOS DOT-3 (1x12)</t>
        </is>
      </c>
      <c r="I46" s="65" t="n">
        <v>761</v>
      </c>
      <c r="J46" s="63" t="inlineStr">
        <is>
          <t>1,00</t>
        </is>
      </c>
      <c r="K46" s="63" t="inlineStr">
        <is>
          <t>23,28</t>
        </is>
      </c>
      <c r="L46" s="63" t="inlineStr">
        <is>
          <t>0,00</t>
        </is>
      </c>
      <c r="M46" s="63" t="inlineStr">
        <is>
          <t>23,28</t>
        </is>
      </c>
      <c r="N46" s="63" t="inlineStr">
        <is>
          <t>27,00</t>
        </is>
      </c>
      <c r="O46" s="65" t="n"/>
      <c r="P46" s="65" t="n"/>
      <c r="Q46" s="65" t="n"/>
      <c r="R46" s="65" t="n"/>
      <c r="S46" s="65" t="n"/>
      <c r="T46" s="65" t="n"/>
      <c r="U46" s="65" t="n"/>
      <c r="V46" s="65" t="n"/>
    </row>
    <row r="47">
      <c r="A47" s="65" t="inlineStr">
        <is>
          <t>S00651</t>
        </is>
      </c>
      <c r="B47" s="62" t="n">
        <v>46217.50072916667</v>
      </c>
      <c r="C47" s="65" t="inlineStr">
        <is>
          <t>Auto repuestos Fontalvo</t>
        </is>
      </c>
      <c r="D47" s="65" t="inlineStr">
        <is>
          <t>TORO ARDILES DAVID JOSE</t>
        </is>
      </c>
      <c r="E47" s="65" t="inlineStr">
        <is>
          <t>7 días</t>
        </is>
      </c>
      <c r="F47" s="65" t="n">
        <v>8</v>
      </c>
      <c r="G47" s="65" t="inlineStr">
        <is>
          <t>Pago USD</t>
        </is>
      </c>
      <c r="H47" s="65" t="inlineStr">
        <is>
          <t>[0025] SS EXTRA PROTECCION API SN SAE 10W-30 (Gasolina) (1x6)</t>
        </is>
      </c>
      <c r="I47" s="65" t="n">
        <v>25</v>
      </c>
      <c r="J47" s="63" t="inlineStr">
        <is>
          <t>2,00</t>
        </is>
      </c>
      <c r="K47" s="63" t="inlineStr">
        <is>
          <t>32,76</t>
        </is>
      </c>
      <c r="L47" s="63" t="inlineStr">
        <is>
          <t>0,00</t>
        </is>
      </c>
      <c r="M47" s="63" t="inlineStr">
        <is>
          <t>65,52</t>
        </is>
      </c>
      <c r="N47" s="63" t="inlineStr">
        <is>
          <t>76,00</t>
        </is>
      </c>
      <c r="O47" s="63" t="inlineStr">
        <is>
          <t>65,52</t>
        </is>
      </c>
      <c r="P47" s="63" t="inlineStr">
        <is>
          <t>76,00</t>
        </is>
      </c>
      <c r="Q47" s="63" t="inlineStr">
        <is>
          <t>724,00</t>
        </is>
      </c>
      <c r="R47" s="66" t="n">
        <v>46217</v>
      </c>
      <c r="S47" s="65" t="n">
        <v>486</v>
      </c>
      <c r="T47" s="65" t="inlineStr">
        <is>
          <t>00-00001030</t>
        </is>
      </c>
      <c r="U47" s="63" t="inlineStr">
        <is>
          <t>75,99</t>
        </is>
      </c>
      <c r="V47" s="63" t="inlineStr">
        <is>
          <t>71,98</t>
        </is>
      </c>
    </row>
    <row r="48">
      <c r="A48" s="65" t="inlineStr">
        <is>
          <t>S00645</t>
        </is>
      </c>
      <c r="B48" s="62" t="n">
        <v>46217.49972222222</v>
      </c>
      <c r="C48" s="65" t="inlineStr">
        <is>
          <t>Inversiones Brayan CT C.A</t>
        </is>
      </c>
      <c r="D48" s="65" t="inlineStr">
        <is>
          <t>GRIMAN DIAZ HECTOR EDUARDO</t>
        </is>
      </c>
      <c r="E48" s="65" t="inlineStr">
        <is>
          <t>7 días</t>
        </is>
      </c>
      <c r="F48" s="65" t="n">
        <v>8</v>
      </c>
      <c r="G48" s="65" t="inlineStr">
        <is>
          <t>Pago USD</t>
        </is>
      </c>
      <c r="H48" s="65" t="inlineStr">
        <is>
          <t>[0121] TRANSGLOB API GL-5 SAE 80W-90 (1x6)</t>
        </is>
      </c>
      <c r="I48" s="65" t="n">
        <v>121</v>
      </c>
      <c r="J48" s="63" t="inlineStr">
        <is>
          <t>2,00</t>
        </is>
      </c>
      <c r="K48" s="63" t="inlineStr">
        <is>
          <t>33,62</t>
        </is>
      </c>
      <c r="L48" s="63" t="inlineStr">
        <is>
          <t>0,00</t>
        </is>
      </c>
      <c r="M48" s="63" t="inlineStr">
        <is>
          <t>67,24</t>
        </is>
      </c>
      <c r="N48" s="63" t="inlineStr">
        <is>
          <t>78,00</t>
        </is>
      </c>
      <c r="O48" s="63" t="inlineStr">
        <is>
          <t>194,83</t>
        </is>
      </c>
      <c r="P48" s="63" t="inlineStr">
        <is>
          <t>226,01</t>
        </is>
      </c>
      <c r="Q48" s="63" t="inlineStr">
        <is>
          <t>724,00</t>
        </is>
      </c>
      <c r="R48" s="66" t="n">
        <v>46217</v>
      </c>
      <c r="S48" s="65" t="n">
        <v>487</v>
      </c>
      <c r="T48" s="65" t="inlineStr">
        <is>
          <t>00-00001031</t>
        </is>
      </c>
      <c r="U48" s="63" t="inlineStr">
        <is>
          <t>225,99</t>
        </is>
      </c>
      <c r="V48" s="63" t="inlineStr">
        <is>
          <t>226,00</t>
        </is>
      </c>
    </row>
    <row r="49">
      <c r="A49" s="65" t="n"/>
      <c r="B49" s="65" t="n"/>
      <c r="C49" s="65" t="n"/>
      <c r="D49" s="65" t="n"/>
      <c r="E49" s="65" t="n"/>
      <c r="F49" s="65" t="n"/>
      <c r="G49" s="65" t="n"/>
      <c r="H49" s="65" t="inlineStr">
        <is>
          <t>[0887] MOTOCLASICO 4T SAE 20W-50 (1x12)</t>
        </is>
      </c>
      <c r="I49" s="65" t="n">
        <v>887</v>
      </c>
      <c r="J49" s="63" t="inlineStr">
        <is>
          <t>1,00</t>
        </is>
      </c>
      <c r="K49" s="63" t="inlineStr">
        <is>
          <t>58,62</t>
        </is>
      </c>
      <c r="L49" s="63" t="inlineStr">
        <is>
          <t>0,00</t>
        </is>
      </c>
      <c r="M49" s="63" t="inlineStr">
        <is>
          <t>58,62</t>
        </is>
      </c>
      <c r="N49" s="63" t="inlineStr">
        <is>
          <t>68,00</t>
        </is>
      </c>
      <c r="O49" s="65" t="n"/>
      <c r="P49" s="65" t="n"/>
      <c r="Q49" s="65" t="n"/>
      <c r="R49" s="65" t="n"/>
      <c r="S49" s="65" t="n"/>
      <c r="T49" s="65" t="n"/>
      <c r="U49" s="65" t="n"/>
      <c r="V49" s="65" t="n"/>
    </row>
    <row r="50">
      <c r="A50" s="65" t="n"/>
      <c r="B50" s="65" t="n"/>
      <c r="C50" s="65" t="n"/>
      <c r="D50" s="65" t="n"/>
      <c r="E50" s="65" t="n"/>
      <c r="F50" s="65" t="n"/>
      <c r="G50" s="65" t="n"/>
      <c r="H50" s="65" t="inlineStr">
        <is>
          <t>[0127] TRANSGLOB API GL-5 SAE 85W-140 (1x6)</t>
        </is>
      </c>
      <c r="I50" s="65" t="n">
        <v>127</v>
      </c>
      <c r="J50" s="63" t="inlineStr">
        <is>
          <t>2,00</t>
        </is>
      </c>
      <c r="K50" s="63" t="inlineStr">
        <is>
          <t>34,48</t>
        </is>
      </c>
      <c r="L50" s="63" t="inlineStr">
        <is>
          <t>0,00</t>
        </is>
      </c>
      <c r="M50" s="63" t="inlineStr">
        <is>
          <t>68,97</t>
        </is>
      </c>
      <c r="N50" s="63" t="inlineStr">
        <is>
          <t>80,01</t>
        </is>
      </c>
      <c r="O50" s="65" t="n"/>
      <c r="P50" s="65" t="n"/>
      <c r="Q50" s="65" t="n"/>
      <c r="R50" s="65" t="n"/>
      <c r="S50" s="65" t="n"/>
      <c r="T50" s="65" t="n"/>
      <c r="U50" s="65" t="n"/>
      <c r="V50" s="65" t="n"/>
    </row>
    <row r="51">
      <c r="A51" s="65" t="inlineStr">
        <is>
          <t>S00642</t>
        </is>
      </c>
      <c r="B51" s="62" t="n">
        <v>46217.48263888889</v>
      </c>
      <c r="C51" s="65" t="inlineStr">
        <is>
          <t>HP Repuestos 2007 C.A</t>
        </is>
      </c>
      <c r="D51" s="65" t="inlineStr">
        <is>
          <t>GRIMAN DIAZ HECTOR EDUARDO</t>
        </is>
      </c>
      <c r="E51" s="65" t="inlineStr">
        <is>
          <t>7 días</t>
        </is>
      </c>
      <c r="F51" s="65" t="n">
        <v>8</v>
      </c>
      <c r="G51" s="65" t="inlineStr">
        <is>
          <t>Pago USD</t>
        </is>
      </c>
      <c r="H51" s="65" t="inlineStr">
        <is>
          <t>[0878] SS EXTRA PROTECCION API SN SAE 20W-50 (1x12)</t>
        </is>
      </c>
      <c r="I51" s="65" t="n">
        <v>878</v>
      </c>
      <c r="J51" s="63" t="inlineStr">
        <is>
          <t>1,00</t>
        </is>
      </c>
      <c r="K51" s="63" t="inlineStr">
        <is>
          <t>65,52</t>
        </is>
      </c>
      <c r="L51" s="63" t="inlineStr">
        <is>
          <t>7,90</t>
        </is>
      </c>
      <c r="M51" s="63" t="inlineStr">
        <is>
          <t>60,34</t>
        </is>
      </c>
      <c r="N51" s="63" t="inlineStr">
        <is>
          <t>69,99</t>
        </is>
      </c>
      <c r="O51" s="63" t="inlineStr">
        <is>
          <t>60,34</t>
        </is>
      </c>
      <c r="P51" s="63" t="inlineStr">
        <is>
          <t>69,99</t>
        </is>
      </c>
      <c r="Q51" s="63" t="inlineStr">
        <is>
          <t>724,00</t>
        </is>
      </c>
      <c r="R51" s="66" t="n">
        <v>46217</v>
      </c>
      <c r="S51" s="65" t="n">
        <v>488</v>
      </c>
      <c r="T51" s="65" t="inlineStr">
        <is>
          <t>00-00001032</t>
        </is>
      </c>
      <c r="U51" s="63" t="inlineStr">
        <is>
          <t>69,99</t>
        </is>
      </c>
      <c r="V51" s="63" t="inlineStr">
        <is>
          <t>70,00</t>
        </is>
      </c>
    </row>
    <row r="52">
      <c r="A52" s="65" t="inlineStr">
        <is>
          <t>S00624</t>
        </is>
      </c>
      <c r="B52" s="62" t="n">
        <v>46217.47116898148</v>
      </c>
      <c r="C52" s="65" t="inlineStr">
        <is>
          <t>Ramón Muñoz</t>
        </is>
      </c>
      <c r="D52" s="65" t="inlineStr">
        <is>
          <t>QUEVEDO BASTIDAS NEYKEL DAVID</t>
        </is>
      </c>
      <c r="E52" s="65" t="inlineStr">
        <is>
          <t>Pago inmediato</t>
        </is>
      </c>
      <c r="F52" s="65" t="n">
        <v>8</v>
      </c>
      <c r="G52" s="65" t="inlineStr">
        <is>
          <t>Pago USD</t>
        </is>
      </c>
      <c r="H52" s="65" t="inlineStr">
        <is>
          <t>[0879] CARIBE FUERA DE BORDA TC-W3 2 TIEMPOS (1x12)</t>
        </is>
      </c>
      <c r="I52" s="65" t="n">
        <v>879</v>
      </c>
      <c r="J52" s="63" t="inlineStr">
        <is>
          <t>1,00</t>
        </is>
      </c>
      <c r="K52" s="63" t="inlineStr">
        <is>
          <t>63,79</t>
        </is>
      </c>
      <c r="L52" s="63" t="inlineStr">
        <is>
          <t>0,00</t>
        </is>
      </c>
      <c r="M52" s="63" t="inlineStr">
        <is>
          <t>63,79</t>
        </is>
      </c>
      <c r="N52" s="63" t="inlineStr">
        <is>
          <t>74,00</t>
        </is>
      </c>
      <c r="O52" s="63" t="inlineStr">
        <is>
          <t>63,79</t>
        </is>
      </c>
      <c r="P52" s="63" t="inlineStr">
        <is>
          <t>74,00</t>
        </is>
      </c>
      <c r="Q52" s="63" t="inlineStr">
        <is>
          <t>724,00</t>
        </is>
      </c>
      <c r="R52" s="66" t="n">
        <v>46217</v>
      </c>
      <c r="S52" s="65" t="n">
        <v>489</v>
      </c>
      <c r="T52" s="65" t="inlineStr">
        <is>
          <t>00-00001033</t>
        </is>
      </c>
      <c r="U52" s="63" t="inlineStr">
        <is>
          <t>73,99</t>
        </is>
      </c>
      <c r="V52" s="63" t="inlineStr">
        <is>
          <t>74,00</t>
        </is>
      </c>
    </row>
    <row r="53">
      <c r="A53" s="65" t="inlineStr">
        <is>
          <t>S00623</t>
        </is>
      </c>
      <c r="B53" s="62" t="n">
        <v>46217.47005787037</v>
      </c>
      <c r="C53" s="65" t="inlineStr">
        <is>
          <t>José Gabriel Pérez Mendez</t>
        </is>
      </c>
      <c r="D53" s="65" t="inlineStr">
        <is>
          <t>QUEVEDO BASTIDAS NEYKEL DAVID</t>
        </is>
      </c>
      <c r="E53" s="65" t="inlineStr">
        <is>
          <t>Pago inmediato</t>
        </is>
      </c>
      <c r="F53" s="65" t="n">
        <v>8</v>
      </c>
      <c r="G53" s="65" t="inlineStr">
        <is>
          <t>Pago USD</t>
        </is>
      </c>
      <c r="H53" s="65" t="inlineStr">
        <is>
          <t>[0779] SINOCO SAE 20W-50 (1x12)</t>
        </is>
      </c>
      <c r="I53" s="65" t="n">
        <v>779</v>
      </c>
      <c r="J53" s="63" t="inlineStr">
        <is>
          <t>1,00</t>
        </is>
      </c>
      <c r="K53" s="63" t="inlineStr">
        <is>
          <t>45,69</t>
        </is>
      </c>
      <c r="L53" s="63" t="inlineStr">
        <is>
          <t>0,00</t>
        </is>
      </c>
      <c r="M53" s="63" t="inlineStr">
        <is>
          <t>45,69</t>
        </is>
      </c>
      <c r="N53" s="63" t="inlineStr">
        <is>
          <t>53,00</t>
        </is>
      </c>
      <c r="O53" s="63" t="inlineStr">
        <is>
          <t>45,69</t>
        </is>
      </c>
      <c r="P53" s="63" t="inlineStr">
        <is>
          <t>53,00</t>
        </is>
      </c>
      <c r="Q53" s="63" t="inlineStr">
        <is>
          <t>724,00</t>
        </is>
      </c>
      <c r="R53" s="66" t="n">
        <v>46217</v>
      </c>
      <c r="S53" s="65" t="n">
        <v>490</v>
      </c>
      <c r="T53" s="65" t="inlineStr">
        <is>
          <t>00-00001034</t>
        </is>
      </c>
      <c r="U53" s="63" t="inlineStr">
        <is>
          <t>52,99</t>
        </is>
      </c>
      <c r="V53" s="63" t="inlineStr">
        <is>
          <t>53,00</t>
        </is>
      </c>
    </row>
    <row r="54">
      <c r="A54" s="65" t="inlineStr">
        <is>
          <t>S00615</t>
        </is>
      </c>
      <c r="B54" s="62" t="n">
        <v>46217.46359953703</v>
      </c>
      <c r="C54" s="65" t="inlineStr">
        <is>
          <t>Luis Eduardo Piñero Calcurian</t>
        </is>
      </c>
      <c r="D54" s="65" t="inlineStr">
        <is>
          <t>GRIMAN DIAZ HECTOR EDUARDO</t>
        </is>
      </c>
      <c r="E54" s="65" t="inlineStr">
        <is>
          <t>7 días</t>
        </is>
      </c>
      <c r="F54" s="65" t="n">
        <v>8</v>
      </c>
      <c r="G54" s="65" t="inlineStr">
        <is>
          <t>Pago USD</t>
        </is>
      </c>
      <c r="H54" s="65" t="inlineStr">
        <is>
          <t>[0779] SINOCO SAE 20W-50 (1x12)</t>
        </is>
      </c>
      <c r="I54" s="65" t="n">
        <v>779</v>
      </c>
      <c r="J54" s="63" t="inlineStr">
        <is>
          <t>2,00</t>
        </is>
      </c>
      <c r="K54" s="63" t="inlineStr">
        <is>
          <t>45,69</t>
        </is>
      </c>
      <c r="L54" s="63" t="inlineStr">
        <is>
          <t>6,00</t>
        </is>
      </c>
      <c r="M54" s="63" t="inlineStr">
        <is>
          <t>85,90</t>
        </is>
      </c>
      <c r="N54" s="63" t="inlineStr">
        <is>
          <t>99,64</t>
        </is>
      </c>
      <c r="O54" s="63" t="inlineStr">
        <is>
          <t>85,90</t>
        </is>
      </c>
      <c r="P54" s="63" t="inlineStr">
        <is>
          <t>99,64</t>
        </is>
      </c>
      <c r="Q54" s="63" t="inlineStr">
        <is>
          <t>724,00</t>
        </is>
      </c>
      <c r="R54" s="66" t="n">
        <v>46217</v>
      </c>
      <c r="S54" s="65" t="n">
        <v>491</v>
      </c>
      <c r="T54" s="65" t="inlineStr">
        <is>
          <t>00-00001035</t>
        </is>
      </c>
      <c r="U54" s="63" t="inlineStr">
        <is>
          <t>99,63</t>
        </is>
      </c>
      <c r="V54" s="63" t="inlineStr">
        <is>
          <t>99,64</t>
        </is>
      </c>
    </row>
    <row r="55">
      <c r="A55" s="65" t="inlineStr">
        <is>
          <t>S00609</t>
        </is>
      </c>
      <c r="B55" s="62" t="n">
        <v>46217.45886574074</v>
      </c>
      <c r="C55" s="65" t="inlineStr">
        <is>
          <t>GRIMAN DIAZ HECTOR EDUARDO</t>
        </is>
      </c>
      <c r="D55" s="65" t="inlineStr">
        <is>
          <t>CASERES GONZALEZ RONALD OSWALDO</t>
        </is>
      </c>
      <c r="E55" s="65" t="inlineStr">
        <is>
          <t>7 días</t>
        </is>
      </c>
      <c r="F55" s="65" t="n">
        <v>8</v>
      </c>
      <c r="G55" s="65" t="inlineStr">
        <is>
          <t>Pago USD</t>
        </is>
      </c>
      <c r="H55" s="65" t="inlineStr">
        <is>
          <t>[0877] SS EXTRA PROTECCION API SN SAE 15W-40 (1X12)</t>
        </is>
      </c>
      <c r="I55" s="65" t="n">
        <v>877</v>
      </c>
      <c r="J55" s="63" t="inlineStr">
        <is>
          <t>1,00</t>
        </is>
      </c>
      <c r="K55" s="63" t="inlineStr">
        <is>
          <t>65,52</t>
        </is>
      </c>
      <c r="L55" s="63" t="inlineStr">
        <is>
          <t>6,58</t>
        </is>
      </c>
      <c r="M55" s="63" t="inlineStr">
        <is>
          <t>61,21</t>
        </is>
      </c>
      <c r="N55" s="63" t="inlineStr">
        <is>
          <t>71,00</t>
        </is>
      </c>
      <c r="O55" s="63" t="inlineStr">
        <is>
          <t>61,21</t>
        </is>
      </c>
      <c r="P55" s="63" t="inlineStr">
        <is>
          <t>71,00</t>
        </is>
      </c>
      <c r="Q55" s="63" t="inlineStr">
        <is>
          <t>724,00</t>
        </is>
      </c>
      <c r="R55" s="66" t="n">
        <v>46217</v>
      </c>
      <c r="S55" s="65" t="n">
        <v>492</v>
      </c>
      <c r="T55" s="65" t="inlineStr">
        <is>
          <t>00-00001036</t>
        </is>
      </c>
      <c r="U55" s="63" t="inlineStr">
        <is>
          <t>70,99</t>
        </is>
      </c>
      <c r="V55" s="63" t="inlineStr">
        <is>
          <t>71,00</t>
        </is>
      </c>
    </row>
    <row r="56">
      <c r="A56" s="65" t="inlineStr">
        <is>
          <t>S00430</t>
        </is>
      </c>
      <c r="B56" s="62" t="n">
        <v>46217.45615740741</v>
      </c>
      <c r="C56" s="65" t="inlineStr">
        <is>
          <t>Dimas Ortíz</t>
        </is>
      </c>
      <c r="D56" s="65" t="inlineStr">
        <is>
          <t>BETANCOURT ROBRIGUEZ LUIS ENRRIQUE</t>
        </is>
      </c>
      <c r="E56" s="65" t="inlineStr">
        <is>
          <t>7 días</t>
        </is>
      </c>
      <c r="F56" s="65" t="n">
        <v>8</v>
      </c>
      <c r="G56" s="65" t="inlineStr">
        <is>
          <t>Pago USD</t>
        </is>
      </c>
      <c r="H56" s="65" t="inlineStr">
        <is>
          <t>[0605] SINOCO SAE 20W-50 (PAILA)</t>
        </is>
      </c>
      <c r="I56" s="65" t="n">
        <v>605</v>
      </c>
      <c r="J56" s="63" t="inlineStr">
        <is>
          <t>8,00</t>
        </is>
      </c>
      <c r="K56" s="63" t="inlineStr">
        <is>
          <t>62,93</t>
        </is>
      </c>
      <c r="L56" s="63" t="inlineStr">
        <is>
          <t>0,00</t>
        </is>
      </c>
      <c r="M56" s="63" t="inlineStr">
        <is>
          <t>503,45</t>
        </is>
      </c>
      <c r="N56" s="63" t="inlineStr">
        <is>
          <t>584,00</t>
        </is>
      </c>
      <c r="O56" s="63" t="inlineStr">
        <is>
          <t>935,34</t>
        </is>
      </c>
      <c r="P56" s="63" t="inlineStr">
        <is>
          <t>1.084,99</t>
        </is>
      </c>
      <c r="Q56" s="63" t="inlineStr">
        <is>
          <t>724,00</t>
        </is>
      </c>
      <c r="R56" s="66" t="n">
        <v>46217</v>
      </c>
      <c r="S56" s="65" t="n">
        <v>493</v>
      </c>
      <c r="T56" s="65" t="inlineStr">
        <is>
          <t>00-00001037</t>
        </is>
      </c>
      <c r="U56" s="63" t="inlineStr">
        <is>
          <t>1.084,96</t>
        </is>
      </c>
      <c r="V56" s="63" t="inlineStr">
        <is>
          <t>1.085,00</t>
        </is>
      </c>
    </row>
    <row r="57">
      <c r="A57" s="65" t="n"/>
      <c r="B57" s="65" t="n"/>
      <c r="C57" s="65" t="n"/>
      <c r="D57" s="65" t="n"/>
      <c r="E57" s="65" t="n"/>
      <c r="F57" s="65" t="n"/>
      <c r="G57" s="65" t="n"/>
      <c r="H57" s="65" t="inlineStr">
        <is>
          <t>[0602] SINOCO SAE 50 (PAILA)</t>
        </is>
      </c>
      <c r="I57" s="65" t="n">
        <v>602</v>
      </c>
      <c r="J57" s="63" t="inlineStr">
        <is>
          <t>2,00</t>
        </is>
      </c>
      <c r="K57" s="63" t="inlineStr">
        <is>
          <t>62,93</t>
        </is>
      </c>
      <c r="L57" s="63" t="inlineStr">
        <is>
          <t>0,00</t>
        </is>
      </c>
      <c r="M57" s="63" t="inlineStr">
        <is>
          <t>125,86</t>
        </is>
      </c>
      <c r="N57" s="63" t="inlineStr">
        <is>
          <t>146,00</t>
        </is>
      </c>
      <c r="O57" s="65" t="n"/>
      <c r="P57" s="65" t="n"/>
      <c r="Q57" s="65" t="n"/>
      <c r="R57" s="65" t="n"/>
      <c r="S57" s="65" t="n"/>
      <c r="T57" s="65" t="n"/>
      <c r="U57" s="65" t="n"/>
      <c r="V57" s="65" t="n"/>
    </row>
    <row r="58">
      <c r="A58" s="65" t="n"/>
      <c r="B58" s="65" t="n"/>
      <c r="C58" s="65" t="n"/>
      <c r="D58" s="65" t="n"/>
      <c r="E58" s="65" t="n"/>
      <c r="F58" s="65" t="n"/>
      <c r="G58" s="65" t="n"/>
      <c r="H58" s="65" t="inlineStr">
        <is>
          <t>[0877] SS EXTRA PROTECCION API SN SAE 15W-40 (1X12)</t>
        </is>
      </c>
      <c r="I58" s="65" t="n">
        <v>877</v>
      </c>
      <c r="J58" s="63" t="inlineStr">
        <is>
          <t>2,00</t>
        </is>
      </c>
      <c r="K58" s="63" t="inlineStr">
        <is>
          <t>65,52</t>
        </is>
      </c>
      <c r="L58" s="63" t="inlineStr">
        <is>
          <t>0,00</t>
        </is>
      </c>
      <c r="M58" s="63" t="inlineStr">
        <is>
          <t>131,03</t>
        </is>
      </c>
      <c r="N58" s="63" t="inlineStr">
        <is>
          <t>151,99</t>
        </is>
      </c>
      <c r="O58" s="65" t="n"/>
      <c r="P58" s="65" t="n"/>
      <c r="Q58" s="65" t="n"/>
      <c r="R58" s="65" t="n"/>
      <c r="S58" s="65" t="n"/>
      <c r="T58" s="65" t="n"/>
      <c r="U58" s="65" t="n"/>
      <c r="V58" s="65" t="n"/>
    </row>
    <row r="59">
      <c r="A59" s="65" t="n"/>
      <c r="B59" s="65" t="n"/>
      <c r="C59" s="65" t="n"/>
      <c r="D59" s="65" t="n"/>
      <c r="E59" s="65" t="n"/>
      <c r="F59" s="65" t="n"/>
      <c r="G59" s="65" t="n"/>
      <c r="H59" s="65" t="inlineStr">
        <is>
          <t>[0121] TRANSGLOB API GL-5 SAE 80W-90 (1x6)</t>
        </is>
      </c>
      <c r="I59" s="65" t="n">
        <v>121</v>
      </c>
      <c r="J59" s="63" t="inlineStr">
        <is>
          <t>2,00</t>
        </is>
      </c>
      <c r="K59" s="63" t="inlineStr">
        <is>
          <t>33,62</t>
        </is>
      </c>
      <c r="L59" s="63" t="inlineStr">
        <is>
          <t>0,00</t>
        </is>
      </c>
      <c r="M59" s="63" t="inlineStr">
        <is>
          <t>67,24</t>
        </is>
      </c>
      <c r="N59" s="63" t="inlineStr">
        <is>
          <t>78,00</t>
        </is>
      </c>
      <c r="O59" s="65" t="n"/>
      <c r="P59" s="65" t="n"/>
      <c r="Q59" s="65" t="n"/>
      <c r="R59" s="65" t="n"/>
      <c r="S59" s="65" t="n"/>
      <c r="T59" s="65" t="n"/>
      <c r="U59" s="65" t="n"/>
      <c r="V59" s="65" t="n"/>
    </row>
    <row r="60">
      <c r="A60" s="65" t="n"/>
      <c r="B60" s="65" t="n"/>
      <c r="C60" s="65" t="n"/>
      <c r="D60" s="65" t="n"/>
      <c r="E60" s="65" t="n"/>
      <c r="F60" s="65" t="n"/>
      <c r="G60" s="65" t="n"/>
      <c r="H60" s="65" t="inlineStr">
        <is>
          <t>[0884] TRANSMATIC ATF DEXRON III (1x12)</t>
        </is>
      </c>
      <c r="I60" s="65" t="n">
        <v>884</v>
      </c>
      <c r="J60" s="63" t="inlineStr">
        <is>
          <t>1,00</t>
        </is>
      </c>
      <c r="K60" s="63" t="inlineStr">
        <is>
          <t>62,07</t>
        </is>
      </c>
      <c r="L60" s="63" t="inlineStr">
        <is>
          <t>0,00</t>
        </is>
      </c>
      <c r="M60" s="63" t="inlineStr">
        <is>
          <t>62,07</t>
        </is>
      </c>
      <c r="N60" s="63" t="inlineStr">
        <is>
          <t>72,00</t>
        </is>
      </c>
      <c r="O60" s="65" t="n"/>
      <c r="P60" s="65" t="n"/>
      <c r="Q60" s="65" t="n"/>
      <c r="R60" s="65" t="n"/>
      <c r="S60" s="65" t="n"/>
      <c r="T60" s="65" t="n"/>
      <c r="U60" s="65" t="n"/>
      <c r="V60" s="65" t="n"/>
    </row>
    <row r="61">
      <c r="A61" s="65" t="n"/>
      <c r="B61" s="65" t="n"/>
      <c r="C61" s="65" t="n"/>
      <c r="D61" s="65" t="n"/>
      <c r="E61" s="65" t="n"/>
      <c r="F61" s="65" t="n"/>
      <c r="G61" s="65" t="n"/>
      <c r="H61" s="65" t="inlineStr">
        <is>
          <t>[0779] SINOCO SAE 20W-50 (1x12)</t>
        </is>
      </c>
      <c r="I61" s="65" t="n">
        <v>779</v>
      </c>
      <c r="J61" s="63" t="inlineStr">
        <is>
          <t>1,00</t>
        </is>
      </c>
      <c r="K61" s="63" t="inlineStr">
        <is>
          <t>45,69</t>
        </is>
      </c>
      <c r="L61" s="63" t="inlineStr">
        <is>
          <t>0,00</t>
        </is>
      </c>
      <c r="M61" s="63" t="inlineStr">
        <is>
          <t>45,69</t>
        </is>
      </c>
      <c r="N61" s="63" t="inlineStr">
        <is>
          <t>53,00</t>
        </is>
      </c>
      <c r="O61" s="65" t="n"/>
      <c r="P61" s="65" t="n"/>
      <c r="Q61" s="65" t="n"/>
      <c r="R61" s="65" t="n"/>
      <c r="S61" s="65" t="n"/>
      <c r="T61" s="65" t="n"/>
      <c r="U61" s="65" t="n"/>
      <c r="V61" s="65" t="n"/>
    </row>
    <row r="62">
      <c r="A62" s="65" t="inlineStr">
        <is>
          <t>S00594</t>
        </is>
      </c>
      <c r="B62" s="62" t="n">
        <v>46217.44425925926</v>
      </c>
      <c r="C62" s="65" t="inlineStr">
        <is>
          <t>Junior Bermudez</t>
        </is>
      </c>
      <c r="D62" s="65" t="inlineStr">
        <is>
          <t>PEREZ DIAZ ANGEL DE DIOS</t>
        </is>
      </c>
      <c r="E62" s="65" t="inlineStr">
        <is>
          <t>30 días</t>
        </is>
      </c>
      <c r="F62" s="65" t="n">
        <v>8</v>
      </c>
      <c r="G62" s="65" t="inlineStr">
        <is>
          <t>Pago USD</t>
        </is>
      </c>
      <c r="H62" s="65" t="inlineStr">
        <is>
          <t>[0877] SS EXTRA PROTECCION API SN SAE 15W-40 (1X12)</t>
        </is>
      </c>
      <c r="I62" s="65" t="n">
        <v>877</v>
      </c>
      <c r="J62" s="63" t="inlineStr">
        <is>
          <t>1,00</t>
        </is>
      </c>
      <c r="K62" s="63" t="inlineStr">
        <is>
          <t>65,52</t>
        </is>
      </c>
      <c r="L62" s="63" t="inlineStr">
        <is>
          <t>0,00</t>
        </is>
      </c>
      <c r="M62" s="63" t="inlineStr">
        <is>
          <t>65,52</t>
        </is>
      </c>
      <c r="N62" s="63" t="inlineStr">
        <is>
          <t>76,00</t>
        </is>
      </c>
      <c r="O62" s="63" t="inlineStr">
        <is>
          <t>65,52</t>
        </is>
      </c>
      <c r="P62" s="63" t="inlineStr">
        <is>
          <t>76,00</t>
        </is>
      </c>
      <c r="Q62" s="63" t="inlineStr">
        <is>
          <t>724,00</t>
        </is>
      </c>
      <c r="R62" s="66" t="n">
        <v>46217</v>
      </c>
      <c r="S62" s="65" t="n">
        <v>494</v>
      </c>
      <c r="T62" s="65" t="inlineStr">
        <is>
          <t>00-00001038</t>
        </is>
      </c>
      <c r="U62" s="63" t="inlineStr">
        <is>
          <t>75,99</t>
        </is>
      </c>
      <c r="V62" s="63" t="inlineStr">
        <is>
          <t>76,00</t>
        </is>
      </c>
    </row>
    <row r="63">
      <c r="A63" s="65" t="inlineStr">
        <is>
          <t>S00669</t>
        </is>
      </c>
      <c r="B63" s="62" t="n">
        <v>46217.43530092593</v>
      </c>
      <c r="C63" s="65" t="inlineStr">
        <is>
          <t>En ascenso 2011,c.a.</t>
        </is>
      </c>
      <c r="D63" s="65" t="inlineStr">
        <is>
          <t>CASERES GONZALEZ RONALD OSWALDO</t>
        </is>
      </c>
      <c r="E63" s="65" t="inlineStr">
        <is>
          <t>7 días</t>
        </is>
      </c>
      <c r="F63" s="65" t="n">
        <v>5</v>
      </c>
      <c r="G63" s="65" t="inlineStr">
        <is>
          <t>Pago VES</t>
        </is>
      </c>
      <c r="H63" s="65" t="inlineStr">
        <is>
          <t>[0083] MAXIMO API CF SAE 50 (PAILA)</t>
        </is>
      </c>
      <c r="I63" s="65" t="n">
        <v>83</v>
      </c>
      <c r="J63" s="63" t="inlineStr">
        <is>
          <t>1,00</t>
        </is>
      </c>
      <c r="K63" s="63" t="inlineStr">
        <is>
          <t>112,73</t>
        </is>
      </c>
      <c r="L63" s="63" t="inlineStr">
        <is>
          <t>0,00</t>
        </is>
      </c>
      <c r="M63" s="63" t="inlineStr">
        <is>
          <t>112,73</t>
        </is>
      </c>
      <c r="N63" s="63" t="inlineStr">
        <is>
          <t>130,77</t>
        </is>
      </c>
      <c r="O63" s="63" t="inlineStr">
        <is>
          <t>112,73</t>
        </is>
      </c>
      <c r="P63" s="63" t="inlineStr">
        <is>
          <t>130,77</t>
        </is>
      </c>
      <c r="Q63" s="63" t="inlineStr">
        <is>
          <t>724,00</t>
        </is>
      </c>
      <c r="R63" s="66" t="n">
        <v>46217</v>
      </c>
      <c r="S63" s="65" t="n">
        <v>498</v>
      </c>
      <c r="T63" s="65" t="inlineStr">
        <is>
          <t>00-00001042</t>
        </is>
      </c>
      <c r="U63" s="63" t="inlineStr">
        <is>
          <t>130,76</t>
        </is>
      </c>
      <c r="V63" s="63" t="inlineStr">
        <is>
          <t>130,77</t>
        </is>
      </c>
    </row>
    <row r="64">
      <c r="A64" s="65" t="n"/>
      <c r="B64" s="65" t="n"/>
      <c r="C64" s="65" t="n"/>
      <c r="D64" s="65" t="n"/>
      <c r="E64" s="65" t="n"/>
      <c r="F64" s="65" t="n"/>
      <c r="G64" s="65" t="n"/>
      <c r="H64" s="65" t="n"/>
      <c r="I64" s="65" t="n"/>
      <c r="J64" s="63" t="inlineStr">
        <is>
          <t>0,00</t>
        </is>
      </c>
      <c r="K64" s="63" t="inlineStr">
        <is>
          <t>0,00</t>
        </is>
      </c>
      <c r="L64" s="63" t="inlineStr">
        <is>
          <t>0,00</t>
        </is>
      </c>
      <c r="M64" s="63" t="inlineStr">
        <is>
          <t>0,00</t>
        </is>
      </c>
      <c r="N64" s="63" t="inlineStr">
        <is>
          <t>0,00</t>
        </is>
      </c>
      <c r="O64" s="65" t="n"/>
      <c r="P64" s="65" t="n"/>
      <c r="Q64" s="65" t="n"/>
      <c r="R64" s="65" t="n"/>
      <c r="S64" s="65" t="n"/>
      <c r="T64" s="65" t="n"/>
      <c r="U64" s="65" t="n"/>
      <c r="V64" s="65" t="n"/>
    </row>
    <row r="65">
      <c r="A65" s="65" t="inlineStr">
        <is>
          <t>S00661</t>
        </is>
      </c>
      <c r="B65" s="62" t="n">
        <v>46217.43246527778</v>
      </c>
      <c r="C65" s="65" t="inlineStr">
        <is>
          <t>En ascenso 2011,c.a.</t>
        </is>
      </c>
      <c r="D65" s="65" t="inlineStr">
        <is>
          <t>CASERES GONZALEZ RONALD OSWALDO</t>
        </is>
      </c>
      <c r="E65" s="65" t="inlineStr">
        <is>
          <t>7 días</t>
        </is>
      </c>
      <c r="F65" s="65" t="n">
        <v>5</v>
      </c>
      <c r="G65" s="65" t="inlineStr">
        <is>
          <t>Pago VES</t>
        </is>
      </c>
      <c r="H65" s="65" t="inlineStr">
        <is>
          <t>[0083] MAXIMO API CF SAE 50 (PAILA)</t>
        </is>
      </c>
      <c r="I65" s="65" t="n">
        <v>83</v>
      </c>
      <c r="J65" s="63" t="inlineStr">
        <is>
          <t>1,00</t>
        </is>
      </c>
      <c r="K65" s="63" t="inlineStr">
        <is>
          <t>112,73</t>
        </is>
      </c>
      <c r="L65" s="63" t="inlineStr">
        <is>
          <t>0,00</t>
        </is>
      </c>
      <c r="M65" s="63" t="inlineStr">
        <is>
          <t>112,73</t>
        </is>
      </c>
      <c r="N65" s="63" t="inlineStr">
        <is>
          <t>130,77</t>
        </is>
      </c>
      <c r="O65" s="63" t="inlineStr">
        <is>
          <t>213,53</t>
        </is>
      </c>
      <c r="P65" s="63" t="inlineStr">
        <is>
          <t>247,70</t>
        </is>
      </c>
      <c r="Q65" s="63" t="inlineStr">
        <is>
          <t>724,00</t>
        </is>
      </c>
      <c r="R65" s="66" t="n">
        <v>46217</v>
      </c>
      <c r="S65" s="65" t="n">
        <v>499</v>
      </c>
      <c r="T65" s="65" t="inlineStr">
        <is>
          <t>00-00001043</t>
        </is>
      </c>
      <c r="U65" s="63" t="inlineStr">
        <is>
          <t>247,69</t>
        </is>
      </c>
      <c r="V65" s="63" t="inlineStr">
        <is>
          <t>247,69</t>
        </is>
      </c>
    </row>
    <row r="66">
      <c r="A66" s="65" t="n"/>
      <c r="B66" s="65" t="n"/>
      <c r="C66" s="65" t="n"/>
      <c r="D66" s="65" t="n"/>
      <c r="E66" s="65" t="n"/>
      <c r="F66" s="65" t="n"/>
      <c r="G66" s="65" t="n"/>
      <c r="H66" s="65" t="inlineStr">
        <is>
          <t>[0877] SS EXTRA PROTECCION API SN SAE 15W-40 (1X12)</t>
        </is>
      </c>
      <c r="I66" s="65" t="n">
        <v>877</v>
      </c>
      <c r="J66" s="63" t="inlineStr">
        <is>
          <t>1,00</t>
        </is>
      </c>
      <c r="K66" s="63" t="inlineStr">
        <is>
          <t>100,80</t>
        </is>
      </c>
      <c r="L66" s="63" t="inlineStr">
        <is>
          <t>0,00</t>
        </is>
      </c>
      <c r="M66" s="63" t="inlineStr">
        <is>
          <t>100,80</t>
        </is>
      </c>
      <c r="N66" s="63" t="inlineStr">
        <is>
          <t>116,93</t>
        </is>
      </c>
      <c r="O66" s="65" t="n"/>
      <c r="P66" s="65" t="n"/>
      <c r="Q66" s="65" t="n"/>
      <c r="R66" s="65" t="n"/>
      <c r="S66" s="65" t="n"/>
      <c r="T66" s="65" t="n"/>
      <c r="U66" s="65" t="n"/>
      <c r="V66" s="65" t="n"/>
    </row>
    <row r="67">
      <c r="A67" s="65" t="n"/>
      <c r="B67" s="65" t="n"/>
      <c r="C67" s="65" t="n"/>
      <c r="D67" s="65" t="n"/>
      <c r="E67" s="65" t="n"/>
      <c r="F67" s="65" t="n"/>
      <c r="G67" s="65" t="n"/>
      <c r="H67" s="65" t="n"/>
      <c r="I67" s="65" t="n"/>
      <c r="J67" s="63" t="inlineStr">
        <is>
          <t>0,00</t>
        </is>
      </c>
      <c r="K67" s="63" t="inlineStr">
        <is>
          <t>0,00</t>
        </is>
      </c>
      <c r="L67" s="63" t="inlineStr">
        <is>
          <t>0,00</t>
        </is>
      </c>
      <c r="M67" s="63" t="inlineStr">
        <is>
          <t>0,00</t>
        </is>
      </c>
      <c r="N67" s="63" t="inlineStr">
        <is>
          <t>0,00</t>
        </is>
      </c>
      <c r="O67" s="65" t="n"/>
      <c r="P67" s="65" t="n"/>
      <c r="Q67" s="65" t="n"/>
      <c r="R67" s="65" t="n"/>
      <c r="S67" s="65" t="n"/>
      <c r="T67" s="65" t="n"/>
      <c r="U67" s="65" t="n"/>
      <c r="V67" s="65" t="n"/>
    </row>
    <row r="68">
      <c r="A68" s="65" t="inlineStr">
        <is>
          <t>S00605</t>
        </is>
      </c>
      <c r="B68" s="62" t="n">
        <v>46217.41689814815</v>
      </c>
      <c r="C68" s="65" t="inlineStr">
        <is>
          <t>GASOLVEN DISTRIBUIDORA, C.A</t>
        </is>
      </c>
      <c r="D68" s="65" t="inlineStr">
        <is>
          <t>Marco Romero</t>
        </is>
      </c>
      <c r="E68" s="65" t="inlineStr">
        <is>
          <t>7 días</t>
        </is>
      </c>
      <c r="F68" s="65" t="n">
        <v>8</v>
      </c>
      <c r="G68" s="65" t="inlineStr">
        <is>
          <t>Pago USD</t>
        </is>
      </c>
      <c r="H68" s="65" t="inlineStr">
        <is>
          <t>[0073] SUPREMO API CI-4 SAE 15W-40 (PAILA)</t>
        </is>
      </c>
      <c r="I68" s="65" t="n">
        <v>73</v>
      </c>
      <c r="J68" s="63" t="inlineStr">
        <is>
          <t>3,00</t>
        </is>
      </c>
      <c r="K68" s="63" t="inlineStr">
        <is>
          <t>82,76</t>
        </is>
      </c>
      <c r="L68" s="63" t="inlineStr">
        <is>
          <t>9,47</t>
        </is>
      </c>
      <c r="M68" s="63" t="inlineStr">
        <is>
          <t>224,76</t>
        </is>
      </c>
      <c r="N68" s="63" t="inlineStr">
        <is>
          <t>260,72</t>
        </is>
      </c>
      <c r="O68" s="63" t="inlineStr">
        <is>
          <t>728,92</t>
        </is>
      </c>
      <c r="P68" s="63" t="inlineStr">
        <is>
          <t>845,55</t>
        </is>
      </c>
      <c r="Q68" s="63" t="inlineStr">
        <is>
          <t>724,00</t>
        </is>
      </c>
      <c r="R68" s="66" t="n">
        <v>46217</v>
      </c>
      <c r="S68" s="65" t="n">
        <v>495</v>
      </c>
      <c r="T68" s="65" t="inlineStr">
        <is>
          <t>00-00001039</t>
        </is>
      </c>
      <c r="U68" s="63" t="inlineStr">
        <is>
          <t>845,51</t>
        </is>
      </c>
      <c r="V68" s="63" t="inlineStr">
        <is>
          <t>845,55</t>
        </is>
      </c>
    </row>
    <row r="69">
      <c r="A69" s="65" t="n"/>
      <c r="B69" s="65" t="n"/>
      <c r="C69" s="65" t="n"/>
      <c r="D69" s="65" t="n"/>
      <c r="E69" s="65" t="n"/>
      <c r="F69" s="65" t="n"/>
      <c r="G69" s="65" t="n"/>
      <c r="H69" s="65" t="inlineStr">
        <is>
          <t>[0083] MAXIMO API CF SAE 50 (PAILA)</t>
        </is>
      </c>
      <c r="I69" s="65" t="n">
        <v>83</v>
      </c>
      <c r="J69" s="63" t="inlineStr">
        <is>
          <t>3,00</t>
        </is>
      </c>
      <c r="K69" s="63" t="inlineStr">
        <is>
          <t>73,28</t>
        </is>
      </c>
      <c r="L69" s="63" t="inlineStr">
        <is>
          <t>9,47</t>
        </is>
      </c>
      <c r="M69" s="63" t="inlineStr">
        <is>
          <t>199,01</t>
        </is>
      </c>
      <c r="N69" s="63" t="inlineStr">
        <is>
          <t>230,85</t>
        </is>
      </c>
      <c r="O69" s="65" t="n"/>
      <c r="P69" s="65" t="n"/>
      <c r="Q69" s="65" t="n"/>
      <c r="R69" s="65" t="n"/>
      <c r="S69" s="65" t="n"/>
      <c r="T69" s="65" t="n"/>
      <c r="U69" s="65" t="n"/>
      <c r="V69" s="65" t="n"/>
    </row>
    <row r="70">
      <c r="A70" s="65" t="n"/>
      <c r="B70" s="65" t="n"/>
      <c r="C70" s="65" t="n"/>
      <c r="D70" s="65" t="n"/>
      <c r="E70" s="65" t="n"/>
      <c r="F70" s="65" t="n"/>
      <c r="G70" s="65" t="n"/>
      <c r="H70" s="65" t="inlineStr">
        <is>
          <t>[0123] TRANSGLOB API GL-5 SAE 80W-90 (Paila)</t>
        </is>
      </c>
      <c r="I70" s="65" t="n">
        <v>123</v>
      </c>
      <c r="J70" s="63" t="inlineStr">
        <is>
          <t>1,00</t>
        </is>
      </c>
      <c r="K70" s="63" t="inlineStr">
        <is>
          <t>80,17</t>
        </is>
      </c>
      <c r="L70" s="63" t="inlineStr">
        <is>
          <t>9,47</t>
        </is>
      </c>
      <c r="M70" s="63" t="inlineStr">
        <is>
          <t>72,58</t>
        </is>
      </c>
      <c r="N70" s="63" t="inlineStr">
        <is>
          <t>84,19</t>
        </is>
      </c>
      <c r="O70" s="65" t="n"/>
      <c r="P70" s="65" t="n"/>
      <c r="Q70" s="65" t="n"/>
      <c r="R70" s="65" t="n"/>
      <c r="S70" s="65" t="n"/>
      <c r="T70" s="65" t="n"/>
      <c r="U70" s="65" t="n"/>
      <c r="V70" s="65" t="n"/>
    </row>
    <row r="71">
      <c r="A71" s="65" t="n"/>
      <c r="B71" s="65" t="n"/>
      <c r="C71" s="65" t="n"/>
      <c r="D71" s="65" t="n"/>
      <c r="E71" s="65" t="n"/>
      <c r="F71" s="65" t="n"/>
      <c r="G71" s="65" t="n"/>
      <c r="H71" s="65" t="inlineStr">
        <is>
          <t>[0025] SS EXTRA PROTECCION API SN SAE 10W-30 (Gasolina) (1x6)</t>
        </is>
      </c>
      <c r="I71" s="65" t="n">
        <v>25</v>
      </c>
      <c r="J71" s="63" t="inlineStr">
        <is>
          <t>1,00</t>
        </is>
      </c>
      <c r="K71" s="63" t="inlineStr">
        <is>
          <t>32,76</t>
        </is>
      </c>
      <c r="L71" s="63" t="inlineStr">
        <is>
          <t>9,47</t>
        </is>
      </c>
      <c r="M71" s="63" t="inlineStr">
        <is>
          <t>29,66</t>
        </is>
      </c>
      <c r="N71" s="63" t="inlineStr">
        <is>
          <t>34,41</t>
        </is>
      </c>
      <c r="O71" s="65" t="n"/>
      <c r="P71" s="65" t="n"/>
      <c r="Q71" s="65" t="n"/>
      <c r="R71" s="65" t="n"/>
      <c r="S71" s="65" t="n"/>
      <c r="T71" s="65" t="n"/>
      <c r="U71" s="65" t="n"/>
      <c r="V71" s="65" t="n"/>
    </row>
    <row r="72">
      <c r="A72" s="65" t="n"/>
      <c r="B72" s="65" t="n"/>
      <c r="C72" s="65" t="n"/>
      <c r="D72" s="65" t="n"/>
      <c r="E72" s="65" t="n"/>
      <c r="F72" s="65" t="n"/>
      <c r="G72" s="65" t="n"/>
      <c r="H72" s="65" t="inlineStr">
        <is>
          <t>[0882] GRASA MULTIPLE EP 200 (PAILA)</t>
        </is>
      </c>
      <c r="I72" s="65" t="n">
        <v>882</v>
      </c>
      <c r="J72" s="63" t="inlineStr">
        <is>
          <t>1,00</t>
        </is>
      </c>
      <c r="K72" s="63" t="inlineStr">
        <is>
          <t>158,62</t>
        </is>
      </c>
      <c r="L72" s="63" t="inlineStr">
        <is>
          <t>9,47</t>
        </is>
      </c>
      <c r="M72" s="63" t="inlineStr">
        <is>
          <t>143,60</t>
        </is>
      </c>
      <c r="N72" s="63" t="inlineStr">
        <is>
          <t>166,58</t>
        </is>
      </c>
      <c r="O72" s="65" t="n"/>
      <c r="P72" s="65" t="n"/>
      <c r="Q72" s="65" t="n"/>
      <c r="R72" s="65" t="n"/>
      <c r="S72" s="65" t="n"/>
      <c r="T72" s="65" t="n"/>
      <c r="U72" s="65" t="n"/>
      <c r="V72" s="65" t="n"/>
    </row>
    <row r="73">
      <c r="A73" s="65" t="n"/>
      <c r="B73" s="65" t="n"/>
      <c r="C73" s="65" t="n"/>
      <c r="D73" s="65" t="n"/>
      <c r="E73" s="65" t="n"/>
      <c r="F73" s="65" t="n"/>
      <c r="G73" s="65" t="n"/>
      <c r="H73" s="65" t="inlineStr">
        <is>
          <t>[0877] SS EXTRA PROTECCION API SN SAE 15W-40 (1X12)</t>
        </is>
      </c>
      <c r="I73" s="65" t="n">
        <v>877</v>
      </c>
      <c r="J73" s="63" t="inlineStr">
        <is>
          <t>1,00</t>
        </is>
      </c>
      <c r="K73" s="63" t="inlineStr">
        <is>
          <t>65,52</t>
        </is>
      </c>
      <c r="L73" s="63" t="inlineStr">
        <is>
          <t>9,47</t>
        </is>
      </c>
      <c r="M73" s="63" t="inlineStr">
        <is>
          <t>59,31</t>
        </is>
      </c>
      <c r="N73" s="63" t="inlineStr">
        <is>
          <t>68,80</t>
        </is>
      </c>
      <c r="O73" s="65" t="n"/>
      <c r="P73" s="65" t="n"/>
      <c r="Q73" s="65" t="n"/>
      <c r="R73" s="65" t="n"/>
      <c r="S73" s="65" t="n"/>
      <c r="T73" s="65" t="n"/>
      <c r="U73" s="65" t="n"/>
      <c r="V73" s="65" t="n"/>
    </row>
    <row r="74">
      <c r="A74" s="65" t="inlineStr">
        <is>
          <t>S00587</t>
        </is>
      </c>
      <c r="B74" s="62" t="n">
        <v>46217.38462962963</v>
      </c>
      <c r="C74" s="65" t="inlineStr">
        <is>
          <t>Abraham almenar</t>
        </is>
      </c>
      <c r="D74" s="65" t="inlineStr">
        <is>
          <t>PEREZ DIAZ ANGEL DE DIOS</t>
        </is>
      </c>
      <c r="E74" s="65" t="inlineStr">
        <is>
          <t>30 días</t>
        </is>
      </c>
      <c r="F74" s="65" t="n">
        <v>8</v>
      </c>
      <c r="G74" s="65" t="inlineStr">
        <is>
          <t>Pago USD</t>
        </is>
      </c>
      <c r="H74" s="65" t="inlineStr">
        <is>
          <t>[0761] LIGA PARA FRENOS DOT-3 (1x12)</t>
        </is>
      </c>
      <c r="I74" s="65" t="n">
        <v>761</v>
      </c>
      <c r="J74" s="63" t="inlineStr">
        <is>
          <t>1,00</t>
        </is>
      </c>
      <c r="K74" s="63" t="inlineStr">
        <is>
          <t>23,28</t>
        </is>
      </c>
      <c r="L74" s="63" t="inlineStr">
        <is>
          <t>0,00</t>
        </is>
      </c>
      <c r="M74" s="63" t="inlineStr">
        <is>
          <t>23,28</t>
        </is>
      </c>
      <c r="N74" s="63" t="inlineStr">
        <is>
          <t>27,00</t>
        </is>
      </c>
      <c r="O74" s="63" t="inlineStr">
        <is>
          <t>23,28</t>
        </is>
      </c>
      <c r="P74" s="63" t="inlineStr">
        <is>
          <t>27,00</t>
        </is>
      </c>
      <c r="Q74" s="63" t="inlineStr">
        <is>
          <t>724,00</t>
        </is>
      </c>
      <c r="R74" s="66" t="n">
        <v>46217</v>
      </c>
      <c r="S74" s="65" t="n">
        <v>496</v>
      </c>
      <c r="T74" s="65" t="inlineStr">
        <is>
          <t>00-00001040</t>
        </is>
      </c>
      <c r="U74" s="63" t="inlineStr">
        <is>
          <t>26,99</t>
        </is>
      </c>
      <c r="V74" s="63" t="inlineStr">
        <is>
          <t>27,00</t>
        </is>
      </c>
    </row>
    <row r="75">
      <c r="A75" s="65" t="inlineStr">
        <is>
          <t>S00585</t>
        </is>
      </c>
      <c r="B75" s="62" t="n">
        <v>46217.38214120371</v>
      </c>
      <c r="C75" s="65" t="inlineStr">
        <is>
          <t>E&amp;M CAR SHOP C.A</t>
        </is>
      </c>
      <c r="D75" s="65" t="inlineStr">
        <is>
          <t>BETANCOURT ROBRIGUEZ LUIS ENRRIQUE</t>
        </is>
      </c>
      <c r="E75" s="65" t="inlineStr">
        <is>
          <t>7 días</t>
        </is>
      </c>
      <c r="F75" s="65" t="n">
        <v>8</v>
      </c>
      <c r="G75" s="65" t="inlineStr">
        <is>
          <t>Pago USD</t>
        </is>
      </c>
      <c r="H75" s="65" t="inlineStr">
        <is>
          <t>[1035] SINOCO HIDRAULICO ISO 68 (PAILA)</t>
        </is>
      </c>
      <c r="I75" s="65" t="n">
        <v>1035</v>
      </c>
      <c r="J75" s="63" t="inlineStr">
        <is>
          <t>4,00</t>
        </is>
      </c>
      <c r="K75" s="63" t="inlineStr">
        <is>
          <t>56,03</t>
        </is>
      </c>
      <c r="L75" s="63" t="inlineStr">
        <is>
          <t>10,14</t>
        </is>
      </c>
      <c r="M75" s="63" t="inlineStr">
        <is>
          <t>201,41</t>
        </is>
      </c>
      <c r="N75" s="63" t="inlineStr">
        <is>
          <t>233,64</t>
        </is>
      </c>
      <c r="O75" s="63" t="inlineStr">
        <is>
          <t>336,20</t>
        </is>
      </c>
      <c r="P75" s="63" t="inlineStr">
        <is>
          <t>390,00</t>
        </is>
      </c>
      <c r="Q75" s="63" t="inlineStr">
        <is>
          <t>724,00</t>
        </is>
      </c>
      <c r="R75" s="66" t="n">
        <v>46217</v>
      </c>
      <c r="S75" s="65" t="n">
        <v>497</v>
      </c>
      <c r="T75" s="65" t="inlineStr">
        <is>
          <t>00-00001041</t>
        </is>
      </c>
      <c r="U75" s="63" t="inlineStr">
        <is>
          <t>389,99</t>
        </is>
      </c>
      <c r="V75" s="63" t="inlineStr">
        <is>
          <t>389,99</t>
        </is>
      </c>
    </row>
    <row r="76">
      <c r="A76" s="65" t="n"/>
      <c r="B76" s="65" t="n"/>
      <c r="C76" s="65" t="n"/>
      <c r="D76" s="65" t="n"/>
      <c r="E76" s="65" t="n"/>
      <c r="F76" s="65" t="n"/>
      <c r="G76" s="65" t="n"/>
      <c r="H76" s="65" t="inlineStr">
        <is>
          <t>[0883] GRASA GLOBAL AZUL AZ 95 (PAILA)</t>
        </is>
      </c>
      <c r="I76" s="65" t="n">
        <v>883</v>
      </c>
      <c r="J76" s="63" t="inlineStr">
        <is>
          <t>2,00</t>
        </is>
      </c>
      <c r="K76" s="63" t="inlineStr">
        <is>
          <t>75,00</t>
        </is>
      </c>
      <c r="L76" s="63" t="inlineStr">
        <is>
          <t>10,14</t>
        </is>
      </c>
      <c r="M76" s="63" t="inlineStr">
        <is>
          <t>134,79</t>
        </is>
      </c>
      <c r="N76" s="63" t="inlineStr">
        <is>
          <t>156,36</t>
        </is>
      </c>
      <c r="O76" s="65" t="n"/>
      <c r="P76" s="65" t="n"/>
      <c r="Q76" s="65" t="n"/>
      <c r="R76" s="65" t="n"/>
      <c r="S76" s="65" t="n"/>
      <c r="T76" s="65" t="n"/>
      <c r="U76" s="65" t="n"/>
      <c r="V76" s="65" t="n"/>
    </row>
    <row r="77">
      <c r="A77" s="65" t="inlineStr">
        <is>
          <t>S00563</t>
        </is>
      </c>
      <c r="B77" s="62" t="n">
        <v>46217.35002314814</v>
      </c>
      <c r="C77" s="65" t="inlineStr">
        <is>
          <t>Carlos Ruiz</t>
        </is>
      </c>
      <c r="D77" s="65" t="inlineStr">
        <is>
          <t>BETANCOURT ROBRIGUEZ LUIS ENRRIQUE</t>
        </is>
      </c>
      <c r="E77" s="65" t="inlineStr">
        <is>
          <t>7 días</t>
        </is>
      </c>
      <c r="F77" s="65" t="n">
        <v>5</v>
      </c>
      <c r="G77" s="65" t="inlineStr">
        <is>
          <t>Pago VES</t>
        </is>
      </c>
      <c r="H77" s="65" t="inlineStr">
        <is>
          <t>[0603] SINOCO SAE 50 (Tambor)</t>
        </is>
      </c>
      <c r="I77" s="65" t="n">
        <v>603</v>
      </c>
      <c r="J77" s="63" t="inlineStr">
        <is>
          <t>1,00</t>
        </is>
      </c>
      <c r="K77" s="63" t="inlineStr">
        <is>
          <t>925,73</t>
        </is>
      </c>
      <c r="L77" s="63" t="inlineStr">
        <is>
          <t>5,27</t>
        </is>
      </c>
      <c r="M77" s="63" t="inlineStr">
        <is>
          <t>876,94</t>
        </is>
      </c>
      <c r="N77" s="63" t="inlineStr">
        <is>
          <t>1.017,25</t>
        </is>
      </c>
      <c r="O77" s="63" t="inlineStr">
        <is>
          <t>876,94</t>
        </is>
      </c>
      <c r="P77" s="63" t="inlineStr">
        <is>
          <t>1.017,25</t>
        </is>
      </c>
      <c r="Q77" s="63" t="inlineStr">
        <is>
          <t>724,00</t>
        </is>
      </c>
      <c r="R77" s="66" t="n">
        <v>46217</v>
      </c>
      <c r="S77" s="65" t="n">
        <v>444</v>
      </c>
      <c r="T77" s="65" t="inlineStr">
        <is>
          <t>00-00000988</t>
        </is>
      </c>
      <c r="U77" s="63" t="inlineStr">
        <is>
          <t>1.017,25</t>
        </is>
      </c>
      <c r="V77" s="63" t="inlineStr">
        <is>
          <t>1.017,26</t>
        </is>
      </c>
    </row>
    <row r="78">
      <c r="A78" s="65" t="inlineStr">
        <is>
          <t>S00520</t>
        </is>
      </c>
      <c r="B78" s="62" t="n">
        <v>46217.34737268519</v>
      </c>
      <c r="C78" s="65" t="inlineStr">
        <is>
          <t>Inversiones Marfran 2025, C. A.</t>
        </is>
      </c>
      <c r="D78" s="65" t="inlineStr">
        <is>
          <t>BETANCOURT ROBRIGUEZ LUIS ENRRIQUE</t>
        </is>
      </c>
      <c r="E78" s="65" t="inlineStr">
        <is>
          <t>7 días</t>
        </is>
      </c>
      <c r="F78" s="65" t="n">
        <v>5</v>
      </c>
      <c r="G78" s="65" t="inlineStr">
        <is>
          <t>Pago VES</t>
        </is>
      </c>
      <c r="H78" s="65" t="inlineStr">
        <is>
          <t>[0789] REFRIGERANTE GLOBAL VERDE (1X3)</t>
        </is>
      </c>
      <c r="I78" s="65" t="n">
        <v>789</v>
      </c>
      <c r="J78" s="63" t="inlineStr">
        <is>
          <t>1,00</t>
        </is>
      </c>
      <c r="K78" s="63" t="inlineStr">
        <is>
          <t>34,48</t>
        </is>
      </c>
      <c r="L78" s="63" t="inlineStr">
        <is>
          <t>3,00</t>
        </is>
      </c>
      <c r="M78" s="63" t="inlineStr">
        <is>
          <t>33,45</t>
        </is>
      </c>
      <c r="N78" s="63" t="inlineStr">
        <is>
          <t>38,80</t>
        </is>
      </c>
      <c r="O78" s="63" t="inlineStr">
        <is>
          <t>131,23</t>
        </is>
      </c>
      <c r="P78" s="63" t="inlineStr">
        <is>
          <t>152,22</t>
        </is>
      </c>
      <c r="Q78" s="63" t="inlineStr">
        <is>
          <t>724,00</t>
        </is>
      </c>
      <c r="R78" s="66" t="n">
        <v>46217</v>
      </c>
      <c r="S78" s="65" t="n">
        <v>443</v>
      </c>
      <c r="T78" s="65" t="inlineStr">
        <is>
          <t>00-00000987</t>
        </is>
      </c>
      <c r="U78" s="63" t="inlineStr">
        <is>
          <t>152,20</t>
        </is>
      </c>
      <c r="V78" s="63" t="inlineStr">
        <is>
          <t>152,22</t>
        </is>
      </c>
    </row>
    <row r="79">
      <c r="A79" s="65" t="n"/>
      <c r="B79" s="65" t="n"/>
      <c r="C79" s="65" t="n"/>
      <c r="D79" s="65" t="n"/>
      <c r="E79" s="65" t="n"/>
      <c r="F79" s="65" t="n"/>
      <c r="G79" s="65" t="n"/>
      <c r="H79" s="65" t="inlineStr">
        <is>
          <t>[0877] SS EXTRA PROTECCION API SN SAE 15W-40 (1X12)</t>
        </is>
      </c>
      <c r="I79" s="65" t="n">
        <v>877</v>
      </c>
      <c r="J79" s="63" t="inlineStr">
        <is>
          <t>1,00</t>
        </is>
      </c>
      <c r="K79" s="63" t="inlineStr">
        <is>
          <t>100,80</t>
        </is>
      </c>
      <c r="L79" s="63" t="inlineStr">
        <is>
          <t>3,00</t>
        </is>
      </c>
      <c r="M79" s="63" t="inlineStr">
        <is>
          <t>97,78</t>
        </is>
      </c>
      <c r="N79" s="63" t="inlineStr">
        <is>
          <t>113,42</t>
        </is>
      </c>
      <c r="O79" s="65" t="n"/>
      <c r="P79" s="65" t="n"/>
      <c r="Q79" s="65" t="n"/>
      <c r="R79" s="65" t="n"/>
      <c r="S79" s="65" t="n"/>
      <c r="T79" s="65" t="n"/>
      <c r="U79" s="65" t="n"/>
      <c r="V79" s="65" t="n"/>
    </row>
    <row r="80">
      <c r="A80" s="65" t="inlineStr">
        <is>
          <t>S00554</t>
        </is>
      </c>
      <c r="B80" s="62" t="n">
        <v>46216.80922453704</v>
      </c>
      <c r="C80" s="65" t="inlineStr">
        <is>
          <t>Inversiones Los compadres 7686, c.a.</t>
        </is>
      </c>
      <c r="D80" s="65" t="inlineStr">
        <is>
          <t>QUEVEDO BASTIDAS NEYKEL DAVID</t>
        </is>
      </c>
      <c r="E80" s="65" t="inlineStr">
        <is>
          <t>7 días</t>
        </is>
      </c>
      <c r="F80" s="65" t="n">
        <v>8</v>
      </c>
      <c r="G80" s="65" t="inlineStr">
        <is>
          <t>Pago USD</t>
        </is>
      </c>
      <c r="H80" s="65" t="inlineStr">
        <is>
          <t>[0025] SS EXTRA PROTECCION API SN SAE 10W-30 (Gasolina) (1x6)</t>
        </is>
      </c>
      <c r="I80" s="65" t="n">
        <v>25</v>
      </c>
      <c r="J80" s="63" t="inlineStr">
        <is>
          <t>1,00</t>
        </is>
      </c>
      <c r="K80" s="63" t="inlineStr">
        <is>
          <t>32,76</t>
        </is>
      </c>
      <c r="L80" s="63" t="inlineStr">
        <is>
          <t>0,00</t>
        </is>
      </c>
      <c r="M80" s="63" t="inlineStr">
        <is>
          <t>32,76</t>
        </is>
      </c>
      <c r="N80" s="63" t="inlineStr">
        <is>
          <t>38,00</t>
        </is>
      </c>
      <c r="O80" s="63" t="inlineStr">
        <is>
          <t>67,24</t>
        </is>
      </c>
      <c r="P80" s="63" t="inlineStr">
        <is>
          <t>78,00</t>
        </is>
      </c>
      <c r="Q80" s="63" t="inlineStr">
        <is>
          <t>721,35</t>
        </is>
      </c>
      <c r="R80" s="66" t="n">
        <v>46216</v>
      </c>
      <c r="S80" s="65" t="n">
        <v>437</v>
      </c>
      <c r="T80" s="65" t="inlineStr">
        <is>
          <t>00-00000981</t>
        </is>
      </c>
      <c r="U80" s="63" t="inlineStr">
        <is>
          <t>77,98</t>
        </is>
      </c>
      <c r="V80" s="63" t="inlineStr">
        <is>
          <t>78,00</t>
        </is>
      </c>
    </row>
    <row r="81">
      <c r="A81" s="65" t="n"/>
      <c r="B81" s="65" t="n"/>
      <c r="C81" s="65" t="n"/>
      <c r="D81" s="65" t="n"/>
      <c r="E81" s="65" t="n"/>
      <c r="F81" s="65" t="n"/>
      <c r="G81" s="65" t="n"/>
      <c r="H81" s="65" t="inlineStr">
        <is>
          <t>[0127] TRANSGLOB API GL-5 SAE 85W-140 (1x6)</t>
        </is>
      </c>
      <c r="I81" s="65" t="n">
        <v>127</v>
      </c>
      <c r="J81" s="63" t="inlineStr">
        <is>
          <t>1,00</t>
        </is>
      </c>
      <c r="K81" s="63" t="inlineStr">
        <is>
          <t>34,48</t>
        </is>
      </c>
      <c r="L81" s="63" t="inlineStr">
        <is>
          <t>0,00</t>
        </is>
      </c>
      <c r="M81" s="63" t="inlineStr">
        <is>
          <t>34,48</t>
        </is>
      </c>
      <c r="N81" s="63" t="inlineStr">
        <is>
          <t>40,00</t>
        </is>
      </c>
      <c r="O81" s="65" t="n"/>
      <c r="P81" s="65" t="n"/>
      <c r="Q81" s="65" t="n"/>
      <c r="R81" s="65" t="n"/>
      <c r="S81" s="65" t="n"/>
      <c r="T81" s="65" t="n"/>
      <c r="U81" s="65" t="n"/>
      <c r="V81" s="65" t="n"/>
    </row>
    <row r="82">
      <c r="A82" s="65" t="inlineStr">
        <is>
          <t>S00550</t>
        </is>
      </c>
      <c r="B82" s="62" t="n">
        <v>46216.80556712963</v>
      </c>
      <c r="C82" s="65" t="inlineStr">
        <is>
          <t>ADS SERVICE C.A</t>
        </is>
      </c>
      <c r="D82" s="65" t="inlineStr">
        <is>
          <t>PEREZ DIAZ ANGEL DE DIOS</t>
        </is>
      </c>
      <c r="E82" s="65" t="inlineStr">
        <is>
          <t>7 días</t>
        </is>
      </c>
      <c r="F82" s="65" t="n">
        <v>8</v>
      </c>
      <c r="G82" s="65" t="inlineStr">
        <is>
          <t>Pago USD</t>
        </is>
      </c>
      <c r="H82" s="65" t="inlineStr">
        <is>
          <t>[0877] SS EXTRA PROTECCION API SN SAE 15W-40 (1X12)</t>
        </is>
      </c>
      <c r="I82" s="65" t="n">
        <v>877</v>
      </c>
      <c r="J82" s="63" t="inlineStr">
        <is>
          <t>1,00</t>
        </is>
      </c>
      <c r="K82" s="63" t="inlineStr">
        <is>
          <t>65,52</t>
        </is>
      </c>
      <c r="L82" s="63" t="inlineStr">
        <is>
          <t>0,00</t>
        </is>
      </c>
      <c r="M82" s="63" t="inlineStr">
        <is>
          <t>65,52</t>
        </is>
      </c>
      <c r="N82" s="63" t="inlineStr">
        <is>
          <t>76,00</t>
        </is>
      </c>
      <c r="O82" s="63" t="inlineStr">
        <is>
          <t>275,00</t>
        </is>
      </c>
      <c r="P82" s="63" t="inlineStr">
        <is>
          <t>318,99</t>
        </is>
      </c>
      <c r="Q82" s="63" t="inlineStr">
        <is>
          <t>721,35</t>
        </is>
      </c>
      <c r="R82" s="66" t="n">
        <v>46216</v>
      </c>
      <c r="S82" s="65" t="n">
        <v>438</v>
      </c>
      <c r="T82" s="65" t="inlineStr">
        <is>
          <t>00-00000982</t>
        </is>
      </c>
      <c r="U82" s="63" t="inlineStr">
        <is>
          <t>318,97</t>
        </is>
      </c>
      <c r="V82" s="63" t="inlineStr">
        <is>
          <t>128,25</t>
        </is>
      </c>
    </row>
    <row r="83">
      <c r="A83" s="65" t="n"/>
      <c r="B83" s="65" t="n"/>
      <c r="C83" s="65" t="n"/>
      <c r="D83" s="65" t="n"/>
      <c r="E83" s="65" t="n"/>
      <c r="F83" s="65" t="n"/>
      <c r="G83" s="65" t="n"/>
      <c r="H83" s="65" t="inlineStr">
        <is>
          <t>[0779] SINOCO SAE 20W-50 (1x12)</t>
        </is>
      </c>
      <c r="I83" s="65" t="n">
        <v>779</v>
      </c>
      <c r="J83" s="63" t="inlineStr">
        <is>
          <t>2,00</t>
        </is>
      </c>
      <c r="K83" s="63" t="inlineStr">
        <is>
          <t>45,69</t>
        </is>
      </c>
      <c r="L83" s="63" t="inlineStr">
        <is>
          <t>0,00</t>
        </is>
      </c>
      <c r="M83" s="63" t="inlineStr">
        <is>
          <t>91,38</t>
        </is>
      </c>
      <c r="N83" s="63" t="inlineStr">
        <is>
          <t>106,00</t>
        </is>
      </c>
      <c r="O83" s="65" t="n"/>
      <c r="P83" s="65" t="n"/>
      <c r="Q83" s="65" t="n"/>
      <c r="R83" s="65" t="n"/>
      <c r="S83" s="65" t="n"/>
      <c r="T83" s="65" t="n"/>
      <c r="U83" s="65" t="n"/>
      <c r="V83" s="65" t="n"/>
    </row>
    <row r="84">
      <c r="A84" s="65" t="n"/>
      <c r="B84" s="65" t="n"/>
      <c r="C84" s="65" t="n"/>
      <c r="D84" s="65" t="n"/>
      <c r="E84" s="65" t="n"/>
      <c r="F84" s="65" t="n"/>
      <c r="G84" s="65" t="n"/>
      <c r="H84" s="65" t="inlineStr">
        <is>
          <t>[0884] TRANSMATIC ATF DEXRON III (1x12)</t>
        </is>
      </c>
      <c r="I84" s="65" t="n">
        <v>884</v>
      </c>
      <c r="J84" s="63" t="inlineStr">
        <is>
          <t>1,00</t>
        </is>
      </c>
      <c r="K84" s="63" t="inlineStr">
        <is>
          <t>62,07</t>
        </is>
      </c>
      <c r="L84" s="63" t="inlineStr">
        <is>
          <t>0,00</t>
        </is>
      </c>
      <c r="M84" s="63" t="inlineStr">
        <is>
          <t>62,07</t>
        </is>
      </c>
      <c r="N84" s="63" t="inlineStr">
        <is>
          <t>72,00</t>
        </is>
      </c>
      <c r="O84" s="65" t="n"/>
      <c r="P84" s="65" t="n"/>
      <c r="Q84" s="65" t="n"/>
      <c r="R84" s="65" t="n"/>
      <c r="S84" s="65" t="n"/>
      <c r="T84" s="65" t="n"/>
      <c r="U84" s="65" t="n"/>
      <c r="V84" s="65" t="n"/>
    </row>
    <row r="85">
      <c r="A85" s="65" t="n"/>
      <c r="B85" s="65" t="n"/>
      <c r="C85" s="65" t="n"/>
      <c r="D85" s="65" t="n"/>
      <c r="E85" s="65" t="n"/>
      <c r="F85" s="65" t="n"/>
      <c r="G85" s="65" t="n"/>
      <c r="H85" s="65" t="inlineStr">
        <is>
          <t>[0880] CLASICO API SL SAE 15W-40 (1x12)</t>
        </is>
      </c>
      <c r="I85" s="65" t="n">
        <v>880</v>
      </c>
      <c r="J85" s="63" t="inlineStr">
        <is>
          <t>1,00</t>
        </is>
      </c>
      <c r="K85" s="63" t="inlineStr">
        <is>
          <t>56,03</t>
        </is>
      </c>
      <c r="L85" s="63" t="inlineStr">
        <is>
          <t>0,00</t>
        </is>
      </c>
      <c r="M85" s="63" t="inlineStr">
        <is>
          <t>56,03</t>
        </is>
      </c>
      <c r="N85" s="63" t="inlineStr">
        <is>
          <t>64,99</t>
        </is>
      </c>
      <c r="O85" s="65" t="n"/>
      <c r="P85" s="65" t="n"/>
      <c r="Q85" s="65" t="n"/>
      <c r="R85" s="65" t="n"/>
      <c r="S85" s="65" t="n"/>
      <c r="T85" s="65" t="n"/>
      <c r="U85" s="65" t="n"/>
      <c r="V85" s="65" t="n"/>
    </row>
    <row r="86">
      <c r="A86" s="65" t="inlineStr">
        <is>
          <t>S00546</t>
        </is>
      </c>
      <c r="B86" s="62" t="n">
        <v>46216.79594907408</v>
      </c>
      <c r="C86" s="65" t="inlineStr">
        <is>
          <t>Constructora Campo Urbano,c.a.</t>
        </is>
      </c>
      <c r="D86" s="65" t="inlineStr">
        <is>
          <t>GRIMAN DIAZ HECTOR EDUARDO</t>
        </is>
      </c>
      <c r="E86" s="65" t="inlineStr">
        <is>
          <t>15 días</t>
        </is>
      </c>
      <c r="F86" s="65" t="n">
        <v>8</v>
      </c>
      <c r="G86" s="65" t="inlineStr">
        <is>
          <t>Pago USD</t>
        </is>
      </c>
      <c r="H86" s="65" t="inlineStr">
        <is>
          <t>[1035] SINOCO HIDRAULICO ISO 68 (PAILA)</t>
        </is>
      </c>
      <c r="I86" s="65" t="n">
        <v>1035</v>
      </c>
      <c r="J86" s="63" t="inlineStr">
        <is>
          <t>2,00</t>
        </is>
      </c>
      <c r="K86" s="63" t="inlineStr">
        <is>
          <t>56,03</t>
        </is>
      </c>
      <c r="L86" s="63" t="inlineStr">
        <is>
          <t>0,00</t>
        </is>
      </c>
      <c r="M86" s="63" t="inlineStr">
        <is>
          <t>112,07</t>
        </is>
      </c>
      <c r="N86" s="63" t="inlineStr">
        <is>
          <t>130,00</t>
        </is>
      </c>
      <c r="O86" s="63" t="inlineStr">
        <is>
          <t>229,31</t>
        </is>
      </c>
      <c r="P86" s="63" t="inlineStr">
        <is>
          <t>266,00</t>
        </is>
      </c>
      <c r="Q86" s="63" t="inlineStr">
        <is>
          <t>721,35</t>
        </is>
      </c>
      <c r="R86" s="66" t="n">
        <v>46216</v>
      </c>
      <c r="S86" s="65" t="n">
        <v>439</v>
      </c>
      <c r="T86" s="65" t="inlineStr">
        <is>
          <t>00-00000983</t>
        </is>
      </c>
      <c r="U86" s="63" t="inlineStr">
        <is>
          <t>265,98</t>
        </is>
      </c>
      <c r="V86" s="63" t="inlineStr">
        <is>
          <t>266,00</t>
        </is>
      </c>
    </row>
    <row r="87">
      <c r="A87" s="65" t="n"/>
      <c r="B87" s="65" t="n"/>
      <c r="C87" s="65" t="n"/>
      <c r="D87" s="65" t="n"/>
      <c r="E87" s="65" t="n"/>
      <c r="F87" s="65" t="n"/>
      <c r="G87" s="65" t="n"/>
      <c r="H87" s="65" t="inlineStr">
        <is>
          <t>[0337] GLOBAL SOLUBLE ACEITE EMULSIONABLE CORTES DE METAL (PAILA)</t>
        </is>
      </c>
      <c r="I87" s="65" t="n">
        <v>337</v>
      </c>
      <c r="J87" s="63" t="inlineStr">
        <is>
          <t>1,00</t>
        </is>
      </c>
      <c r="K87" s="63" t="inlineStr">
        <is>
          <t>117,24</t>
        </is>
      </c>
      <c r="L87" s="63" t="inlineStr">
        <is>
          <t>0,00</t>
        </is>
      </c>
      <c r="M87" s="63" t="inlineStr">
        <is>
          <t>117,24</t>
        </is>
      </c>
      <c r="N87" s="63" t="inlineStr">
        <is>
          <t>136,00</t>
        </is>
      </c>
      <c r="O87" s="65" t="n"/>
      <c r="P87" s="65" t="n"/>
      <c r="Q87" s="65" t="n"/>
      <c r="R87" s="65" t="n"/>
      <c r="S87" s="65" t="n"/>
      <c r="T87" s="65" t="n"/>
      <c r="U87" s="65" t="n"/>
      <c r="V87" s="65" t="n"/>
    </row>
    <row r="88">
      <c r="A88" s="65" t="inlineStr">
        <is>
          <t>S00536</t>
        </is>
      </c>
      <c r="B88" s="62" t="n">
        <v>46216.7893287037</v>
      </c>
      <c r="C88" s="65" t="inlineStr">
        <is>
          <t>INVERSIONES R&amp;C 1817, c.a.</t>
        </is>
      </c>
      <c r="D88" s="65" t="inlineStr">
        <is>
          <t>TORO ARDILES DAVID JOSE</t>
        </is>
      </c>
      <c r="E88" s="65" t="inlineStr">
        <is>
          <t>7 días</t>
        </is>
      </c>
      <c r="F88" s="65" t="n">
        <v>8</v>
      </c>
      <c r="G88" s="65" t="inlineStr">
        <is>
          <t>Pago USD</t>
        </is>
      </c>
      <c r="H88" s="65" t="inlineStr">
        <is>
          <t>[0887] MOTOCLASICO 4T SAE 20W-50 (1x12)</t>
        </is>
      </c>
      <c r="I88" s="65" t="n">
        <v>887</v>
      </c>
      <c r="J88" s="63" t="inlineStr">
        <is>
          <t>2,00</t>
        </is>
      </c>
      <c r="K88" s="63" t="inlineStr">
        <is>
          <t>58,62</t>
        </is>
      </c>
      <c r="L88" s="63" t="inlineStr">
        <is>
          <t>0,00</t>
        </is>
      </c>
      <c r="M88" s="63" t="inlineStr">
        <is>
          <t>117,24</t>
        </is>
      </c>
      <c r="N88" s="63" t="inlineStr">
        <is>
          <t>136,00</t>
        </is>
      </c>
      <c r="O88" s="63" t="inlineStr">
        <is>
          <t>117,24</t>
        </is>
      </c>
      <c r="P88" s="63" t="inlineStr">
        <is>
          <t>136,00</t>
        </is>
      </c>
      <c r="Q88" s="63" t="inlineStr">
        <is>
          <t>721,35</t>
        </is>
      </c>
      <c r="R88" s="66" t="n">
        <v>46216</v>
      </c>
      <c r="S88" s="65" t="n">
        <v>417</v>
      </c>
      <c r="T88" s="65" t="inlineStr">
        <is>
          <t>00-00000961</t>
        </is>
      </c>
      <c r="U88" s="63" t="inlineStr">
        <is>
          <t>135,99</t>
        </is>
      </c>
      <c r="V88" s="63" t="inlineStr">
        <is>
          <t>136,00</t>
        </is>
      </c>
    </row>
    <row r="89">
      <c r="A89" s="65" t="inlineStr">
        <is>
          <t>S00532</t>
        </is>
      </c>
      <c r="B89" s="62" t="n">
        <v>46216.78792824074</v>
      </c>
      <c r="C89" s="65" t="inlineStr">
        <is>
          <t>Hipermercado Petare,c.a.</t>
        </is>
      </c>
      <c r="D89" s="65" t="inlineStr">
        <is>
          <t>CASERES GONZALEZ RONALD OSWALDO</t>
        </is>
      </c>
      <c r="E89" s="65" t="inlineStr">
        <is>
          <t>7 días</t>
        </is>
      </c>
      <c r="F89" s="65" t="n">
        <v>5</v>
      </c>
      <c r="G89" s="65" t="inlineStr">
        <is>
          <t>Pago VES</t>
        </is>
      </c>
      <c r="H89" s="65" t="inlineStr">
        <is>
          <t>[0887] MOTOCLASICO 4T SAE 20W-50 (1x12)</t>
        </is>
      </c>
      <c r="I89" s="65" t="n">
        <v>887</v>
      </c>
      <c r="J89" s="63" t="inlineStr">
        <is>
          <t>2,00</t>
        </is>
      </c>
      <c r="K89" s="63" t="inlineStr">
        <is>
          <t>90,19</t>
        </is>
      </c>
      <c r="L89" s="63" t="inlineStr">
        <is>
          <t>3,33</t>
        </is>
      </c>
      <c r="M89" s="63" t="inlineStr">
        <is>
          <t>174,37</t>
        </is>
      </c>
      <c r="N89" s="63" t="inlineStr">
        <is>
          <t>202,27</t>
        </is>
      </c>
      <c r="O89" s="63" t="inlineStr">
        <is>
          <t>1.407,43</t>
        </is>
      </c>
      <c r="P89" s="63" t="inlineStr">
        <is>
          <t>1.632,62</t>
        </is>
      </c>
      <c r="Q89" s="65" t="n"/>
      <c r="R89" s="65" t="n"/>
      <c r="S89" s="65" t="n"/>
      <c r="T89" s="65" t="n"/>
      <c r="U89" s="65" t="n"/>
      <c r="V89" s="65" t="n"/>
    </row>
    <row r="90">
      <c r="A90" s="65" t="n"/>
      <c r="B90" s="65" t="n"/>
      <c r="C90" s="65" t="n"/>
      <c r="D90" s="65" t="n"/>
      <c r="E90" s="65" t="n"/>
      <c r="F90" s="65" t="n"/>
      <c r="G90" s="65" t="n"/>
      <c r="H90" s="65" t="inlineStr">
        <is>
          <t>[0093] ALTA CILINDRADA SS API SN SAE 15W-40 (1x6)</t>
        </is>
      </c>
      <c r="I90" s="65" t="n">
        <v>93</v>
      </c>
      <c r="J90" s="63" t="inlineStr">
        <is>
          <t>2,00</t>
        </is>
      </c>
      <c r="K90" s="63" t="inlineStr">
        <is>
          <t>46,42</t>
        </is>
      </c>
      <c r="L90" s="63" t="inlineStr">
        <is>
          <t>3,33</t>
        </is>
      </c>
      <c r="M90" s="63" t="inlineStr">
        <is>
          <t>89,75</t>
        </is>
      </c>
      <c r="N90" s="63" t="inlineStr">
        <is>
          <t>104,11</t>
        </is>
      </c>
      <c r="O90" s="65" t="n"/>
      <c r="P90" s="65" t="n"/>
      <c r="Q90" s="65" t="n"/>
      <c r="R90" s="65" t="n"/>
      <c r="S90" s="65" t="n"/>
      <c r="T90" s="65" t="n"/>
      <c r="U90" s="65" t="n"/>
      <c r="V90" s="65" t="n"/>
    </row>
    <row r="91">
      <c r="A91" s="65" t="n"/>
      <c r="B91" s="65" t="n"/>
      <c r="C91" s="65" t="n"/>
      <c r="D91" s="65" t="n"/>
      <c r="E91" s="65" t="n"/>
      <c r="F91" s="65" t="n"/>
      <c r="G91" s="65" t="n"/>
      <c r="H91" s="65" t="inlineStr">
        <is>
          <t>[0888] ENDUROGLOB 2T AIRE (1x12)</t>
        </is>
      </c>
      <c r="I91" s="65" t="n">
        <v>888</v>
      </c>
      <c r="J91" s="63" t="inlineStr">
        <is>
          <t>2,00</t>
        </is>
      </c>
      <c r="K91" s="63" t="inlineStr">
        <is>
          <t>99,47</t>
        </is>
      </c>
      <c r="L91" s="63" t="inlineStr">
        <is>
          <t>0,77</t>
        </is>
      </c>
      <c r="M91" s="63" t="inlineStr">
        <is>
          <t>197,41</t>
        </is>
      </c>
      <c r="N91" s="63" t="inlineStr">
        <is>
          <t>229,00</t>
        </is>
      </c>
      <c r="O91" s="65" t="n"/>
      <c r="P91" s="65" t="n"/>
      <c r="Q91" s="65" t="n"/>
      <c r="R91" s="65" t="n"/>
      <c r="S91" s="65" t="n"/>
      <c r="T91" s="65" t="n"/>
      <c r="U91" s="65" t="n"/>
      <c r="V91" s="65" t="n"/>
    </row>
    <row r="92">
      <c r="A92" s="65" t="n"/>
      <c r="B92" s="65" t="n"/>
      <c r="C92" s="65" t="n"/>
      <c r="D92" s="65" t="n"/>
      <c r="E92" s="65" t="n"/>
      <c r="F92" s="65" t="n"/>
      <c r="G92" s="65" t="n"/>
      <c r="H92" s="65" t="inlineStr">
        <is>
          <t>[0877] SS EXTRA PROTECCION API SN SAE 15W-40 (1X12)</t>
        </is>
      </c>
      <c r="I92" s="65" t="n">
        <v>877</v>
      </c>
      <c r="J92" s="63" t="inlineStr">
        <is>
          <t>2,00</t>
        </is>
      </c>
      <c r="K92" s="63" t="inlineStr">
        <is>
          <t>100,80</t>
        </is>
      </c>
      <c r="L92" s="63" t="inlineStr">
        <is>
          <t>3,33</t>
        </is>
      </c>
      <c r="M92" s="63" t="inlineStr">
        <is>
          <t>194,89</t>
        </is>
      </c>
      <c r="N92" s="63" t="inlineStr">
        <is>
          <t>226,07</t>
        </is>
      </c>
      <c r="O92" s="65" t="n"/>
      <c r="P92" s="65" t="n"/>
      <c r="Q92" s="65" t="n"/>
      <c r="R92" s="65" t="n"/>
      <c r="S92" s="65" t="n"/>
      <c r="T92" s="65" t="n"/>
      <c r="U92" s="65" t="n"/>
      <c r="V92" s="65" t="n"/>
    </row>
    <row r="93">
      <c r="A93" s="65" t="n"/>
      <c r="B93" s="65" t="n"/>
      <c r="C93" s="65" t="n"/>
      <c r="D93" s="65" t="n"/>
      <c r="E93" s="65" t="n"/>
      <c r="F93" s="65" t="n"/>
      <c r="G93" s="65" t="n"/>
      <c r="H93" s="65" t="inlineStr">
        <is>
          <t>[0881] CLASICO API SL SAE 20W-50 (1x12)</t>
        </is>
      </c>
      <c r="I93" s="65" t="n">
        <v>881</v>
      </c>
      <c r="J93" s="63" t="inlineStr">
        <is>
          <t>2,00</t>
        </is>
      </c>
      <c r="K93" s="63" t="inlineStr">
        <is>
          <t>86,21</t>
        </is>
      </c>
      <c r="L93" s="63" t="inlineStr">
        <is>
          <t>3,33</t>
        </is>
      </c>
      <c r="M93" s="63" t="inlineStr">
        <is>
          <t>166,68</t>
        </is>
      </c>
      <c r="N93" s="63" t="inlineStr">
        <is>
          <t>193,35</t>
        </is>
      </c>
      <c r="O93" s="65" t="n"/>
      <c r="P93" s="65" t="n"/>
      <c r="Q93" s="65" t="n"/>
      <c r="R93" s="65" t="n"/>
      <c r="S93" s="65" t="n"/>
      <c r="T93" s="65" t="n"/>
      <c r="U93" s="65" t="n"/>
      <c r="V93" s="65" t="n"/>
    </row>
    <row r="94">
      <c r="A94" s="65" t="n"/>
      <c r="B94" s="65" t="n"/>
      <c r="C94" s="65" t="n"/>
      <c r="D94" s="65" t="n"/>
      <c r="E94" s="65" t="n"/>
      <c r="F94" s="65" t="n"/>
      <c r="G94" s="65" t="n"/>
      <c r="H94" s="65" t="inlineStr">
        <is>
          <t>[0884] TRANSMATIC ATF DEXRON III (1x12)</t>
        </is>
      </c>
      <c r="I94" s="65" t="n">
        <v>884</v>
      </c>
      <c r="J94" s="63" t="inlineStr">
        <is>
          <t>2,00</t>
        </is>
      </c>
      <c r="K94" s="63" t="inlineStr">
        <is>
          <t>95,49</t>
        </is>
      </c>
      <c r="L94" s="63" t="inlineStr">
        <is>
          <t>0,77</t>
        </is>
      </c>
      <c r="M94" s="63" t="inlineStr">
        <is>
          <t>189,51</t>
        </is>
      </c>
      <c r="N94" s="63" t="inlineStr">
        <is>
          <t>219,83</t>
        </is>
      </c>
      <c r="O94" s="65" t="n"/>
      <c r="P94" s="65" t="n"/>
      <c r="Q94" s="65" t="n"/>
      <c r="R94" s="65" t="n"/>
      <c r="S94" s="65" t="n"/>
      <c r="T94" s="65" t="n"/>
      <c r="U94" s="65" t="n"/>
      <c r="V94" s="65" t="n"/>
    </row>
    <row r="95">
      <c r="A95" s="65" t="n"/>
      <c r="B95" s="65" t="n"/>
      <c r="C95" s="65" t="n"/>
      <c r="D95" s="65" t="n"/>
      <c r="E95" s="65" t="n"/>
      <c r="F95" s="65" t="n"/>
      <c r="G95" s="65" t="n"/>
      <c r="H95" s="65" t="inlineStr">
        <is>
          <t>[0761] LIGA PARA FRENOS DOT-3 (1x12)</t>
        </is>
      </c>
      <c r="I95" s="65" t="n">
        <v>761</v>
      </c>
      <c r="J95" s="63" t="inlineStr">
        <is>
          <t>2,00</t>
        </is>
      </c>
      <c r="K95" s="63" t="inlineStr">
        <is>
          <t>35,81</t>
        </is>
      </c>
      <c r="L95" s="63" t="inlineStr">
        <is>
          <t>0,77</t>
        </is>
      </c>
      <c r="M95" s="63" t="inlineStr">
        <is>
          <t>71,07</t>
        </is>
      </c>
      <c r="N95" s="63" t="inlineStr">
        <is>
          <t>82,44</t>
        </is>
      </c>
      <c r="O95" s="65" t="n"/>
      <c r="P95" s="65" t="n"/>
      <c r="Q95" s="65" t="n"/>
      <c r="R95" s="65" t="n"/>
      <c r="S95" s="65" t="n"/>
      <c r="T95" s="65" t="n"/>
      <c r="U95" s="65" t="n"/>
      <c r="V95" s="65" t="n"/>
    </row>
    <row r="96">
      <c r="A96" s="65" t="n"/>
      <c r="B96" s="65" t="n"/>
      <c r="C96" s="65" t="n"/>
      <c r="D96" s="65" t="n"/>
      <c r="E96" s="65" t="n"/>
      <c r="F96" s="65" t="n"/>
      <c r="G96" s="65" t="n"/>
      <c r="H96" s="65" t="inlineStr">
        <is>
          <t>[0762] LIGA PARA FRENOS DOT-3 (1x6)</t>
        </is>
      </c>
      <c r="I96" s="65" t="n">
        <v>762</v>
      </c>
      <c r="J96" s="63" t="inlineStr">
        <is>
          <t>2,00</t>
        </is>
      </c>
      <c r="K96" s="63" t="inlineStr">
        <is>
          <t>57,03</t>
        </is>
      </c>
      <c r="L96" s="63" t="inlineStr">
        <is>
          <t>0,77</t>
        </is>
      </c>
      <c r="M96" s="63" t="inlineStr">
        <is>
          <t>113,18</t>
        </is>
      </c>
      <c r="N96" s="63" t="inlineStr">
        <is>
          <t>131,29</t>
        </is>
      </c>
      <c r="O96" s="65" t="n"/>
      <c r="P96" s="65" t="n"/>
      <c r="Q96" s="65" t="n"/>
      <c r="R96" s="65" t="n"/>
      <c r="S96" s="65" t="n"/>
      <c r="T96" s="65" t="n"/>
      <c r="U96" s="65" t="n"/>
      <c r="V96" s="65" t="n"/>
    </row>
    <row r="97">
      <c r="A97" s="65" t="n"/>
      <c r="B97" s="65" t="n"/>
      <c r="C97" s="65" t="n"/>
      <c r="D97" s="65" t="n"/>
      <c r="E97" s="65" t="n"/>
      <c r="F97" s="65" t="n"/>
      <c r="G97" s="65" t="n"/>
      <c r="H97" s="65" t="inlineStr">
        <is>
          <t>[0775] LIGA PARA FRENOS DOT-4 (1X12)</t>
        </is>
      </c>
      <c r="I97" s="65" t="n">
        <v>775</v>
      </c>
      <c r="J97" s="63" t="inlineStr">
        <is>
          <t>2,00</t>
        </is>
      </c>
      <c r="K97" s="63" t="inlineStr">
        <is>
          <t>41,11</t>
        </is>
      </c>
      <c r="L97" s="63" t="inlineStr">
        <is>
          <t>0,77</t>
        </is>
      </c>
      <c r="M97" s="63" t="inlineStr">
        <is>
          <t>81,59</t>
        </is>
      </c>
      <c r="N97" s="63" t="inlineStr">
        <is>
          <t>94,64</t>
        </is>
      </c>
      <c r="O97" s="65" t="n"/>
      <c r="P97" s="65" t="n"/>
      <c r="Q97" s="65" t="n"/>
      <c r="R97" s="65" t="n"/>
      <c r="S97" s="65" t="n"/>
      <c r="T97" s="65" t="n"/>
      <c r="U97" s="65" t="n"/>
      <c r="V97" s="65" t="n"/>
    </row>
    <row r="98">
      <c r="A98" s="65" t="n"/>
      <c r="B98" s="65" t="n"/>
      <c r="C98" s="65" t="n"/>
      <c r="D98" s="65" t="n"/>
      <c r="E98" s="65" t="n"/>
      <c r="F98" s="65" t="n"/>
      <c r="G98" s="65" t="n"/>
      <c r="H98" s="65" t="inlineStr">
        <is>
          <t>[0774] LIGA PARA FRENOS DOT-4 (1X6)</t>
        </is>
      </c>
      <c r="I98" s="65" t="n">
        <v>774</v>
      </c>
      <c r="J98" s="63" t="inlineStr">
        <is>
          <t>2,00</t>
        </is>
      </c>
      <c r="K98" s="63" t="inlineStr">
        <is>
          <t>64,99</t>
        </is>
      </c>
      <c r="L98" s="63" t="inlineStr">
        <is>
          <t>0,77</t>
        </is>
      </c>
      <c r="M98" s="63" t="inlineStr">
        <is>
          <t>128,98</t>
        </is>
      </c>
      <c r="N98" s="63" t="inlineStr">
        <is>
          <t>149,62</t>
        </is>
      </c>
      <c r="O98" s="65" t="n"/>
      <c r="P98" s="65" t="n"/>
      <c r="Q98" s="65" t="n"/>
      <c r="R98" s="65" t="n"/>
      <c r="S98" s="65" t="n"/>
      <c r="T98" s="65" t="n"/>
      <c r="U98" s="65" t="n"/>
      <c r="V98" s="65" t="n"/>
    </row>
    <row r="99">
      <c r="A99" s="65" t="inlineStr">
        <is>
          <t>S00530</t>
        </is>
      </c>
      <c r="B99" s="62" t="n">
        <v>46216.78466435185</v>
      </c>
      <c r="C99" s="65" t="inlineStr">
        <is>
          <t>Motolavado Yahir</t>
        </is>
      </c>
      <c r="D99" s="65" t="inlineStr">
        <is>
          <t>GRIMAN DIAZ HECTOR EDUARDO</t>
        </is>
      </c>
      <c r="E99" s="65" t="inlineStr">
        <is>
          <t>7 días</t>
        </is>
      </c>
      <c r="F99" s="65" t="n">
        <v>8</v>
      </c>
      <c r="G99" s="65" t="inlineStr">
        <is>
          <t>Pago USD</t>
        </is>
      </c>
      <c r="H99" s="65" t="inlineStr">
        <is>
          <t>[0602] SINOCO SAE 50 (PAILA)</t>
        </is>
      </c>
      <c r="I99" s="65" t="n">
        <v>602</v>
      </c>
      <c r="J99" s="63" t="inlineStr">
        <is>
          <t>2,00</t>
        </is>
      </c>
      <c r="K99" s="63" t="inlineStr">
        <is>
          <t>62,93</t>
        </is>
      </c>
      <c r="L99" s="63" t="inlineStr">
        <is>
          <t>0,00</t>
        </is>
      </c>
      <c r="M99" s="63" t="inlineStr">
        <is>
          <t>125,86</t>
        </is>
      </c>
      <c r="N99" s="63" t="inlineStr">
        <is>
          <t>146,00</t>
        </is>
      </c>
      <c r="O99" s="63" t="inlineStr">
        <is>
          <t>427,58</t>
        </is>
      </c>
      <c r="P99" s="63" t="inlineStr">
        <is>
          <t>496,00</t>
        </is>
      </c>
      <c r="Q99" s="63" t="inlineStr">
        <is>
          <t>721,35</t>
        </is>
      </c>
      <c r="R99" s="66" t="n">
        <v>46216</v>
      </c>
      <c r="S99" s="65" t="n">
        <v>418</v>
      </c>
      <c r="T99" s="65" t="inlineStr">
        <is>
          <t>00-00000962</t>
        </is>
      </c>
      <c r="U99" s="63" t="inlineStr">
        <is>
          <t>495,98</t>
        </is>
      </c>
      <c r="V99" s="63" t="inlineStr">
        <is>
          <t>496,00</t>
        </is>
      </c>
    </row>
    <row r="100">
      <c r="A100" s="65" t="n"/>
      <c r="B100" s="65" t="n"/>
      <c r="C100" s="65" t="n"/>
      <c r="D100" s="65" t="n"/>
      <c r="E100" s="65" t="n"/>
      <c r="F100" s="65" t="n"/>
      <c r="G100" s="65" t="n"/>
      <c r="H100" s="65" t="inlineStr">
        <is>
          <t>[0605] SINOCO SAE 20W-50 (PAILA)</t>
        </is>
      </c>
      <c r="I100" s="65" t="n">
        <v>605</v>
      </c>
      <c r="J100" s="63" t="inlineStr">
        <is>
          <t>4,00</t>
        </is>
      </c>
      <c r="K100" s="63" t="inlineStr">
        <is>
          <t>62,93</t>
        </is>
      </c>
      <c r="L100" s="63" t="inlineStr">
        <is>
          <t>0,00</t>
        </is>
      </c>
      <c r="M100" s="63" t="inlineStr">
        <is>
          <t>251,72</t>
        </is>
      </c>
      <c r="N100" s="63" t="inlineStr">
        <is>
          <t>292,00</t>
        </is>
      </c>
      <c r="O100" s="65" t="n"/>
      <c r="P100" s="65" t="n"/>
      <c r="Q100" s="65" t="n"/>
      <c r="R100" s="65" t="n"/>
      <c r="S100" s="65" t="n"/>
      <c r="T100" s="65" t="n"/>
      <c r="U100" s="65" t="n"/>
      <c r="V100" s="65" t="n"/>
    </row>
    <row r="101">
      <c r="A101" s="65" t="n"/>
      <c r="B101" s="65" t="n"/>
      <c r="C101" s="65" t="n"/>
      <c r="D101" s="65" t="n"/>
      <c r="E101" s="65" t="n"/>
      <c r="F101" s="65" t="n"/>
      <c r="G101" s="65" t="n"/>
      <c r="H101" s="65" t="inlineStr">
        <is>
          <t>[0761] LIGA PARA FRENOS DOT-3 (1x12)</t>
        </is>
      </c>
      <c r="I101" s="65" t="n">
        <v>761</v>
      </c>
      <c r="J101" s="63" t="inlineStr">
        <is>
          <t>1,00</t>
        </is>
      </c>
      <c r="K101" s="63" t="inlineStr">
        <is>
          <t>23,28</t>
        </is>
      </c>
      <c r="L101" s="63" t="inlineStr">
        <is>
          <t>0,00</t>
        </is>
      </c>
      <c r="M101" s="63" t="inlineStr">
        <is>
          <t>23,28</t>
        </is>
      </c>
      <c r="N101" s="63" t="inlineStr">
        <is>
          <t>27,00</t>
        </is>
      </c>
      <c r="O101" s="65" t="n"/>
      <c r="P101" s="65" t="n"/>
      <c r="Q101" s="65" t="n"/>
      <c r="R101" s="65" t="n"/>
      <c r="S101" s="65" t="n"/>
      <c r="T101" s="65" t="n"/>
      <c r="U101" s="65" t="n"/>
      <c r="V101" s="65" t="n"/>
    </row>
    <row r="102">
      <c r="A102" s="65" t="n"/>
      <c r="B102" s="65" t="n"/>
      <c r="C102" s="65" t="n"/>
      <c r="D102" s="65" t="n"/>
      <c r="E102" s="65" t="n"/>
      <c r="F102" s="65" t="n"/>
      <c r="G102" s="65" t="n"/>
      <c r="H102" s="65" t="inlineStr">
        <is>
          <t>[0775] LIGA PARA FRENOS DOT-4 (1X12)</t>
        </is>
      </c>
      <c r="I102" s="65" t="n">
        <v>775</v>
      </c>
      <c r="J102" s="63" t="inlineStr">
        <is>
          <t>1,00</t>
        </is>
      </c>
      <c r="K102" s="63" t="inlineStr">
        <is>
          <t>26,72</t>
        </is>
      </c>
      <c r="L102" s="63" t="inlineStr">
        <is>
          <t>0,00</t>
        </is>
      </c>
      <c r="M102" s="63" t="inlineStr">
        <is>
          <t>26,72</t>
        </is>
      </c>
      <c r="N102" s="63" t="inlineStr">
        <is>
          <t>31,00</t>
        </is>
      </c>
      <c r="O102" s="65" t="n"/>
      <c r="P102" s="65" t="n"/>
      <c r="Q102" s="65" t="n"/>
      <c r="R102" s="65" t="n"/>
      <c r="S102" s="65" t="n"/>
      <c r="T102" s="65" t="n"/>
      <c r="U102" s="65" t="n"/>
      <c r="V102" s="65" t="n"/>
    </row>
    <row r="103">
      <c r="A103" s="65" t="inlineStr">
        <is>
          <t>S00526</t>
        </is>
      </c>
      <c r="B103" s="62" t="n">
        <v>46216.77752314815</v>
      </c>
      <c r="C103" s="65" t="inlineStr">
        <is>
          <t>Auto repuestos Fontalvo</t>
        </is>
      </c>
      <c r="D103" s="65" t="inlineStr">
        <is>
          <t>TORO ARDILES DAVID JOSE</t>
        </is>
      </c>
      <c r="E103" s="65" t="inlineStr">
        <is>
          <t>7 días</t>
        </is>
      </c>
      <c r="F103" s="65" t="n">
        <v>8</v>
      </c>
      <c r="G103" s="65" t="inlineStr">
        <is>
          <t>Pago USD</t>
        </is>
      </c>
      <c r="H103" s="65" t="inlineStr">
        <is>
          <t>[0025] SS EXTRA PROTECCION API SN SAE 10W-30 (Gasolina) (1x6)</t>
        </is>
      </c>
      <c r="I103" s="65" t="n">
        <v>25</v>
      </c>
      <c r="J103" s="63" t="inlineStr">
        <is>
          <t>2,00</t>
        </is>
      </c>
      <c r="K103" s="63" t="inlineStr">
        <is>
          <t>32,76</t>
        </is>
      </c>
      <c r="L103" s="63" t="inlineStr">
        <is>
          <t>0,00</t>
        </is>
      </c>
      <c r="M103" s="63" t="inlineStr">
        <is>
          <t>65,52</t>
        </is>
      </c>
      <c r="N103" s="63" t="inlineStr">
        <is>
          <t>76,00</t>
        </is>
      </c>
      <c r="O103" s="63" t="inlineStr">
        <is>
          <t>65,52</t>
        </is>
      </c>
      <c r="P103" s="63" t="inlineStr">
        <is>
          <t>76,00</t>
        </is>
      </c>
      <c r="Q103" s="63" t="inlineStr">
        <is>
          <t>721,35</t>
        </is>
      </c>
      <c r="R103" s="66" t="n">
        <v>46216</v>
      </c>
      <c r="S103" s="65" t="n">
        <v>419</v>
      </c>
      <c r="T103" s="65" t="inlineStr">
        <is>
          <t>00-00000963</t>
        </is>
      </c>
      <c r="U103" s="63" t="inlineStr">
        <is>
          <t>75,99</t>
        </is>
      </c>
      <c r="V103" s="63" t="inlineStr">
        <is>
          <t>0,00</t>
        </is>
      </c>
    </row>
    <row r="104">
      <c r="A104" s="65" t="inlineStr">
        <is>
          <t>S00512</t>
        </is>
      </c>
      <c r="B104" s="62" t="n">
        <v>46216.77443287037</v>
      </c>
      <c r="C104" s="65" t="inlineStr">
        <is>
          <t>HIDRAULICAS CAICEDO C.A.</t>
        </is>
      </c>
      <c r="D104" s="65" t="inlineStr">
        <is>
          <t>VILLABONA CORREA ALBA ESTEFANIA</t>
        </is>
      </c>
      <c r="E104" s="65" t="inlineStr">
        <is>
          <t>7 días</t>
        </is>
      </c>
      <c r="F104" s="65" t="n">
        <v>8</v>
      </c>
      <c r="G104" s="65" t="inlineStr">
        <is>
          <t>Pago USD</t>
        </is>
      </c>
      <c r="H104" s="65" t="inlineStr">
        <is>
          <t>[0884] TRANSMATIC ATF DEXRON III (1x12)</t>
        </is>
      </c>
      <c r="I104" s="65" t="n">
        <v>884</v>
      </c>
      <c r="J104" s="63" t="inlineStr">
        <is>
          <t>1,00</t>
        </is>
      </c>
      <c r="K104" s="63" t="inlineStr">
        <is>
          <t>62,07</t>
        </is>
      </c>
      <c r="L104" s="63" t="inlineStr">
        <is>
          <t>0,00</t>
        </is>
      </c>
      <c r="M104" s="63" t="inlineStr">
        <is>
          <t>62,07</t>
        </is>
      </c>
      <c r="N104" s="63" t="inlineStr">
        <is>
          <t>72,00</t>
        </is>
      </c>
      <c r="O104" s="63" t="inlineStr">
        <is>
          <t>62,07</t>
        </is>
      </c>
      <c r="P104" s="63" t="inlineStr">
        <is>
          <t>72,00</t>
        </is>
      </c>
      <c r="Q104" s="63" t="inlineStr">
        <is>
          <t>721,35</t>
        </is>
      </c>
      <c r="R104" s="66" t="n">
        <v>46216</v>
      </c>
      <c r="S104" s="65" t="n">
        <v>420</v>
      </c>
      <c r="T104" s="65" t="inlineStr">
        <is>
          <t>00-00000964</t>
        </is>
      </c>
      <c r="U104" s="63" t="inlineStr">
        <is>
          <t>71,99</t>
        </is>
      </c>
      <c r="V104" s="63" t="inlineStr">
        <is>
          <t>72,00</t>
        </is>
      </c>
    </row>
    <row r="105">
      <c r="A105" s="65" t="inlineStr">
        <is>
          <t>S00496</t>
        </is>
      </c>
      <c r="B105" s="62" t="n">
        <v>46216.76501157408</v>
      </c>
      <c r="C105" s="65" t="inlineStr">
        <is>
          <t>GASOLVEN DISTRIBUIDORA, C.A</t>
        </is>
      </c>
      <c r="D105" s="65" t="inlineStr">
        <is>
          <t>Marco Romero</t>
        </is>
      </c>
      <c r="E105" s="65" t="inlineStr">
        <is>
          <t>7 días</t>
        </is>
      </c>
      <c r="F105" s="65" t="n">
        <v>8</v>
      </c>
      <c r="G105" s="65" t="inlineStr">
        <is>
          <t>Pago USD</t>
        </is>
      </c>
      <c r="H105" s="65" t="inlineStr">
        <is>
          <t>[0144] HIDRAGLOB AW/ISO 68 (PAILA)</t>
        </is>
      </c>
      <c r="I105" s="65" t="n">
        <v>144</v>
      </c>
      <c r="J105" s="63" t="inlineStr">
        <is>
          <t>1,00</t>
        </is>
      </c>
      <c r="K105" s="63" t="inlineStr">
        <is>
          <t>61,21</t>
        </is>
      </c>
      <c r="L105" s="63" t="inlineStr">
        <is>
          <t>0,00</t>
        </is>
      </c>
      <c r="M105" s="63" t="inlineStr">
        <is>
          <t>61,21</t>
        </is>
      </c>
      <c r="N105" s="63" t="inlineStr">
        <is>
          <t>71,00</t>
        </is>
      </c>
      <c r="O105" s="63" t="inlineStr">
        <is>
          <t>61,21</t>
        </is>
      </c>
      <c r="P105" s="63" t="inlineStr">
        <is>
          <t>71,00</t>
        </is>
      </c>
      <c r="Q105" s="63" t="inlineStr">
        <is>
          <t>721,35</t>
        </is>
      </c>
      <c r="R105" s="66" t="n">
        <v>46216</v>
      </c>
      <c r="S105" s="65" t="n">
        <v>421</v>
      </c>
      <c r="T105" s="65" t="inlineStr">
        <is>
          <t>00-00000965</t>
        </is>
      </c>
      <c r="U105" s="63" t="inlineStr">
        <is>
          <t>70,99</t>
        </is>
      </c>
      <c r="V105" s="63" t="inlineStr">
        <is>
          <t>71,00</t>
        </is>
      </c>
    </row>
    <row r="106">
      <c r="A106" s="65" t="inlineStr">
        <is>
          <t>S00475</t>
        </is>
      </c>
      <c r="B106" s="62" t="n">
        <v>46216.75337962963</v>
      </c>
      <c r="C106" s="65" t="inlineStr">
        <is>
          <t>Emprendimiento Eduardo Pérez 6</t>
        </is>
      </c>
      <c r="D106" s="65" t="inlineStr">
        <is>
          <t>QUEVEDO BASTIDAS NEYKEL DAVID</t>
        </is>
      </c>
      <c r="E106" s="65" t="inlineStr">
        <is>
          <t>21 días</t>
        </is>
      </c>
      <c r="F106" s="65" t="n">
        <v>8</v>
      </c>
      <c r="G106" s="65" t="inlineStr">
        <is>
          <t>Pago USD</t>
        </is>
      </c>
      <c r="H106" s="65" t="inlineStr">
        <is>
          <t>[0779] SINOCO SAE 20W-50 (1x12)</t>
        </is>
      </c>
      <c r="I106" s="65" t="n">
        <v>779</v>
      </c>
      <c r="J106" s="63" t="inlineStr">
        <is>
          <t>1,00</t>
        </is>
      </c>
      <c r="K106" s="63" t="inlineStr">
        <is>
          <t>45,69</t>
        </is>
      </c>
      <c r="L106" s="63" t="inlineStr">
        <is>
          <t>0,00</t>
        </is>
      </c>
      <c r="M106" s="63" t="inlineStr">
        <is>
          <t>45,69</t>
        </is>
      </c>
      <c r="N106" s="63" t="inlineStr">
        <is>
          <t>53,00</t>
        </is>
      </c>
      <c r="O106" s="63" t="inlineStr">
        <is>
          <t>45,69</t>
        </is>
      </c>
      <c r="P106" s="63" t="inlineStr">
        <is>
          <t>53,00</t>
        </is>
      </c>
      <c r="Q106" s="63" t="inlineStr">
        <is>
          <t>721,35</t>
        </is>
      </c>
      <c r="R106" s="66" t="n">
        <v>46216</v>
      </c>
      <c r="S106" s="65" t="n">
        <v>422</v>
      </c>
      <c r="T106" s="65" t="inlineStr">
        <is>
          <t>00-00000966</t>
        </is>
      </c>
      <c r="U106" s="63" t="inlineStr">
        <is>
          <t>52,99</t>
        </is>
      </c>
      <c r="V106" s="63" t="inlineStr">
        <is>
          <t>53,00</t>
        </is>
      </c>
    </row>
    <row r="107">
      <c r="A107" s="65" t="inlineStr">
        <is>
          <t>S00469</t>
        </is>
      </c>
      <c r="B107" s="62" t="n">
        <v>46216.73721064815</v>
      </c>
      <c r="C107" s="65" t="inlineStr">
        <is>
          <t>AUTOPERIQUITOS LA CAMPIÑA C.A.</t>
        </is>
      </c>
      <c r="D107" s="65" t="inlineStr">
        <is>
          <t>TORO ARDILES DAVID JOSE</t>
        </is>
      </c>
      <c r="E107" s="65" t="inlineStr">
        <is>
          <t>7 días</t>
        </is>
      </c>
      <c r="F107" s="65" t="n">
        <v>5</v>
      </c>
      <c r="G107" s="65" t="inlineStr">
        <is>
          <t>Pago VES</t>
        </is>
      </c>
      <c r="H107" s="65" t="inlineStr">
        <is>
          <t>[0881] CLASICO API SL SAE 20W-50 (1x12)</t>
        </is>
      </c>
      <c r="I107" s="65" t="n">
        <v>881</v>
      </c>
      <c r="J107" s="63" t="inlineStr">
        <is>
          <t>1,00</t>
        </is>
      </c>
      <c r="K107" s="63" t="inlineStr">
        <is>
          <t>86,21</t>
        </is>
      </c>
      <c r="L107" s="63" t="inlineStr">
        <is>
          <t>0,00</t>
        </is>
      </c>
      <c r="M107" s="63" t="inlineStr">
        <is>
          <t>86,21</t>
        </is>
      </c>
      <c r="N107" s="63" t="inlineStr">
        <is>
          <t>100,00</t>
        </is>
      </c>
      <c r="O107" s="63" t="inlineStr">
        <is>
          <t>86,21</t>
        </is>
      </c>
      <c r="P107" s="63" t="inlineStr">
        <is>
          <t>100,00</t>
        </is>
      </c>
      <c r="Q107" s="63" t="inlineStr">
        <is>
          <t>724,00</t>
        </is>
      </c>
      <c r="R107" s="66" t="n">
        <v>46217</v>
      </c>
      <c r="S107" s="65" t="n">
        <v>500</v>
      </c>
      <c r="T107" s="65" t="inlineStr">
        <is>
          <t>00-00001044</t>
        </is>
      </c>
      <c r="U107" s="63" t="inlineStr">
        <is>
          <t>99,99</t>
        </is>
      </c>
      <c r="V107" s="63" t="inlineStr">
        <is>
          <t>60,01</t>
        </is>
      </c>
    </row>
    <row r="108">
      <c r="A108" s="65" t="inlineStr">
        <is>
          <t>S00464</t>
        </is>
      </c>
      <c r="B108" s="62" t="n">
        <v>46216.72969907407</v>
      </c>
      <c r="C108" s="65" t="inlineStr">
        <is>
          <t>Repuestos González peña 31 c.a</t>
        </is>
      </c>
      <c r="D108" s="65" t="inlineStr">
        <is>
          <t>BETANCOURT ROBRIGUEZ LUIS ENRRIQUE</t>
        </is>
      </c>
      <c r="E108" s="65" t="inlineStr">
        <is>
          <t>7 días</t>
        </is>
      </c>
      <c r="F108" s="65" t="n">
        <v>5</v>
      </c>
      <c r="G108" s="65" t="inlineStr">
        <is>
          <t>Pago VES</t>
        </is>
      </c>
      <c r="H108" s="65" t="inlineStr">
        <is>
          <t>[0877] SS EXTRA PROTECCION API SN SAE 15W-40 (1X12)</t>
        </is>
      </c>
      <c r="I108" s="65" t="n">
        <v>877</v>
      </c>
      <c r="J108" s="63" t="inlineStr">
        <is>
          <t>1,00</t>
        </is>
      </c>
      <c r="K108" s="63" t="inlineStr">
        <is>
          <t>100,80</t>
        </is>
      </c>
      <c r="L108" s="63" t="inlineStr">
        <is>
          <t>0,00</t>
        </is>
      </c>
      <c r="M108" s="63" t="inlineStr">
        <is>
          <t>100,80</t>
        </is>
      </c>
      <c r="N108" s="63" t="inlineStr">
        <is>
          <t>116,93</t>
        </is>
      </c>
      <c r="O108" s="63" t="inlineStr">
        <is>
          <t>277,20</t>
        </is>
      </c>
      <c r="P108" s="63" t="inlineStr">
        <is>
          <t>321,55</t>
        </is>
      </c>
      <c r="Q108" s="63" t="inlineStr">
        <is>
          <t>724,00</t>
        </is>
      </c>
      <c r="R108" s="66" t="n">
        <v>46217</v>
      </c>
      <c r="S108" s="65" t="n">
        <v>501</v>
      </c>
      <c r="T108" s="65" t="inlineStr">
        <is>
          <t>00-00001045</t>
        </is>
      </c>
      <c r="U108" s="63" t="inlineStr">
        <is>
          <t>321,54</t>
        </is>
      </c>
      <c r="V108" s="63" t="inlineStr">
        <is>
          <t>321,55</t>
        </is>
      </c>
    </row>
    <row r="109">
      <c r="A109" s="65" t="n"/>
      <c r="B109" s="65" t="n"/>
      <c r="C109" s="65" t="n"/>
      <c r="D109" s="65" t="n"/>
      <c r="E109" s="65" t="n"/>
      <c r="F109" s="65" t="n"/>
      <c r="G109" s="65" t="n"/>
      <c r="H109" s="65" t="n"/>
      <c r="I109" s="65" t="n"/>
      <c r="J109" s="63" t="inlineStr">
        <is>
          <t>0,00</t>
        </is>
      </c>
      <c r="K109" s="63" t="inlineStr">
        <is>
          <t>0,00</t>
        </is>
      </c>
      <c r="L109" s="63" t="inlineStr">
        <is>
          <t>0,00</t>
        </is>
      </c>
      <c r="M109" s="63" t="inlineStr">
        <is>
          <t>0,00</t>
        </is>
      </c>
      <c r="N109" s="63" t="inlineStr">
        <is>
          <t>0,00</t>
        </is>
      </c>
      <c r="O109" s="65" t="n"/>
      <c r="P109" s="65" t="n"/>
      <c r="Q109" s="65" t="n"/>
      <c r="R109" s="65" t="n"/>
      <c r="S109" s="65" t="n"/>
      <c r="T109" s="65" t="n"/>
      <c r="U109" s="65" t="n"/>
      <c r="V109" s="65" t="n"/>
    </row>
    <row r="110">
      <c r="A110" s="65" t="n"/>
      <c r="B110" s="65" t="n"/>
      <c r="C110" s="65" t="n"/>
      <c r="D110" s="65" t="n"/>
      <c r="E110" s="65" t="n"/>
      <c r="F110" s="65" t="n"/>
      <c r="G110" s="65" t="n"/>
      <c r="H110" s="65" t="inlineStr">
        <is>
          <t>[0887] MOTOCLASICO 4T SAE 20W-50 (1x12)</t>
        </is>
      </c>
      <c r="I110" s="65" t="n">
        <v>887</v>
      </c>
      <c r="J110" s="63" t="inlineStr">
        <is>
          <t>1,00</t>
        </is>
      </c>
      <c r="K110" s="63" t="inlineStr">
        <is>
          <t>90,19</t>
        </is>
      </c>
      <c r="L110" s="63" t="inlineStr">
        <is>
          <t>0,00</t>
        </is>
      </c>
      <c r="M110" s="63" t="inlineStr">
        <is>
          <t>90,19</t>
        </is>
      </c>
      <c r="N110" s="63" t="inlineStr">
        <is>
          <t>104,62</t>
        </is>
      </c>
      <c r="O110" s="65" t="n"/>
      <c r="P110" s="65" t="n"/>
      <c r="Q110" s="65" t="n"/>
      <c r="R110" s="65" t="n"/>
      <c r="S110" s="65" t="n"/>
      <c r="T110" s="65" t="n"/>
      <c r="U110" s="65" t="n"/>
      <c r="V110" s="65" t="n"/>
    </row>
    <row r="111">
      <c r="A111" s="65" t="n"/>
      <c r="B111" s="65" t="n"/>
      <c r="C111" s="65" t="n"/>
      <c r="D111" s="65" t="n"/>
      <c r="E111" s="65" t="n"/>
      <c r="F111" s="65" t="n"/>
      <c r="G111" s="65" t="n"/>
      <c r="H111" s="65" t="inlineStr">
        <is>
          <t>[0881] CLASICO API SL SAE 20W-50 (1x12)</t>
        </is>
      </c>
      <c r="I111" s="65" t="n">
        <v>881</v>
      </c>
      <c r="J111" s="63" t="inlineStr">
        <is>
          <t>1,00</t>
        </is>
      </c>
      <c r="K111" s="63" t="inlineStr">
        <is>
          <t>86,21</t>
        </is>
      </c>
      <c r="L111" s="63" t="inlineStr">
        <is>
          <t>0,00</t>
        </is>
      </c>
      <c r="M111" s="63" t="inlineStr">
        <is>
          <t>86,21</t>
        </is>
      </c>
      <c r="N111" s="63" t="inlineStr">
        <is>
          <t>100,00</t>
        </is>
      </c>
      <c r="O111" s="65" t="n"/>
      <c r="P111" s="65" t="n"/>
      <c r="Q111" s="65" t="n"/>
      <c r="R111" s="65" t="n"/>
      <c r="S111" s="65" t="n"/>
      <c r="T111" s="65" t="n"/>
      <c r="U111" s="65" t="n"/>
      <c r="V111" s="65" t="n"/>
    </row>
    <row r="112">
      <c r="A112" s="65" t="inlineStr">
        <is>
          <t>S00462</t>
        </is>
      </c>
      <c r="B112" s="62" t="n">
        <v>46216.72728009259</v>
      </c>
      <c r="C112" s="65" t="inlineStr">
        <is>
          <t>Edward Belén</t>
        </is>
      </c>
      <c r="D112" s="65" t="inlineStr">
        <is>
          <t>PEREZ DIAZ ANGEL DE DIOS</t>
        </is>
      </c>
      <c r="E112" s="65" t="inlineStr">
        <is>
          <t>7 días</t>
        </is>
      </c>
      <c r="F112" s="65" t="n">
        <v>8</v>
      </c>
      <c r="G112" s="65" t="inlineStr">
        <is>
          <t>Pago USD</t>
        </is>
      </c>
      <c r="H112" s="65" t="inlineStr">
        <is>
          <t>[0887] MOTOCLASICO 4T SAE 20W-50 (1x12)</t>
        </is>
      </c>
      <c r="I112" s="65" t="n">
        <v>887</v>
      </c>
      <c r="J112" s="63" t="inlineStr">
        <is>
          <t>2,00</t>
        </is>
      </c>
      <c r="K112" s="63" t="inlineStr">
        <is>
          <t>58,62</t>
        </is>
      </c>
      <c r="L112" s="63" t="inlineStr">
        <is>
          <t>6,00</t>
        </is>
      </c>
      <c r="M112" s="63" t="inlineStr">
        <is>
          <t>110,21</t>
        </is>
      </c>
      <c r="N112" s="63" t="inlineStr">
        <is>
          <t>127,84</t>
        </is>
      </c>
      <c r="O112" s="63" t="inlineStr">
        <is>
          <t>138,57</t>
        </is>
      </c>
      <c r="P112" s="63" t="inlineStr">
        <is>
          <t>160,74</t>
        </is>
      </c>
      <c r="Q112" s="63" t="inlineStr">
        <is>
          <t>721,35</t>
        </is>
      </c>
      <c r="R112" s="66" t="n">
        <v>46216</v>
      </c>
      <c r="S112" s="65" t="n">
        <v>369</v>
      </c>
      <c r="T112" s="65" t="inlineStr">
        <is>
          <t>00-00000912</t>
        </is>
      </c>
      <c r="U112" s="63" t="inlineStr">
        <is>
          <t>160,73</t>
        </is>
      </c>
      <c r="V112" s="63" t="inlineStr">
        <is>
          <t>160,74</t>
        </is>
      </c>
    </row>
    <row r="113">
      <c r="A113" s="65" t="n"/>
      <c r="B113" s="65" t="n"/>
      <c r="C113" s="65" t="n"/>
      <c r="D113" s="65" t="n"/>
      <c r="E113" s="65" t="n"/>
      <c r="F113" s="65" t="n"/>
      <c r="G113" s="65" t="n"/>
      <c r="H113" s="65" t="inlineStr">
        <is>
          <t>[0093] ALTA CILINDRADA SS API SN SAE 15W-40 (1x6)</t>
        </is>
      </c>
      <c r="I113" s="65" t="n">
        <v>93</v>
      </c>
      <c r="J113" s="63" t="inlineStr">
        <is>
          <t>1,00</t>
        </is>
      </c>
      <c r="K113" s="63" t="inlineStr">
        <is>
          <t>30,17</t>
        </is>
      </c>
      <c r="L113" s="63" t="inlineStr">
        <is>
          <t>6,00</t>
        </is>
      </c>
      <c r="M113" s="63" t="inlineStr">
        <is>
          <t>28,36</t>
        </is>
      </c>
      <c r="N113" s="63" t="inlineStr">
        <is>
          <t>32,90</t>
        </is>
      </c>
      <c r="O113" s="65" t="n"/>
      <c r="P113" s="65" t="n"/>
      <c r="Q113" s="65" t="n"/>
      <c r="R113" s="65" t="n"/>
      <c r="S113" s="65" t="n"/>
      <c r="T113" s="65" t="n"/>
      <c r="U113" s="65" t="n"/>
      <c r="V113" s="65" t="n"/>
    </row>
    <row r="114">
      <c r="A114" s="65" t="inlineStr">
        <is>
          <t>S00446</t>
        </is>
      </c>
      <c r="B114" s="62" t="n">
        <v>46216.72121527778</v>
      </c>
      <c r="C114" s="65" t="inlineStr">
        <is>
          <t>JOSE RAFAEL MARTÍNEZ</t>
        </is>
      </c>
      <c r="D114" s="65" t="inlineStr">
        <is>
          <t>TORO ARDILES DAVID JOSE</t>
        </is>
      </c>
      <c r="E114" s="65" t="inlineStr">
        <is>
          <t>7 días</t>
        </is>
      </c>
      <c r="F114" s="65" t="n">
        <v>8</v>
      </c>
      <c r="G114" s="65" t="inlineStr">
        <is>
          <t>Pago USD</t>
        </is>
      </c>
      <c r="H114" s="65" t="inlineStr">
        <is>
          <t>[0884] TRANSMATIC ATF DEXRON III (1x12)</t>
        </is>
      </c>
      <c r="I114" s="65" t="n">
        <v>884</v>
      </c>
      <c r="J114" s="63" t="inlineStr">
        <is>
          <t>1,00</t>
        </is>
      </c>
      <c r="K114" s="63" t="inlineStr">
        <is>
          <t>62,07</t>
        </is>
      </c>
      <c r="L114" s="63" t="inlineStr">
        <is>
          <t>0,00</t>
        </is>
      </c>
      <c r="M114" s="63" t="inlineStr">
        <is>
          <t>62,07</t>
        </is>
      </c>
      <c r="N114" s="63" t="inlineStr">
        <is>
          <t>72,00</t>
        </is>
      </c>
      <c r="O114" s="63" t="inlineStr">
        <is>
          <t>62,07</t>
        </is>
      </c>
      <c r="P114" s="63" t="inlineStr">
        <is>
          <t>72,00</t>
        </is>
      </c>
      <c r="Q114" s="63" t="inlineStr">
        <is>
          <t>721,35</t>
        </is>
      </c>
      <c r="R114" s="66" t="n">
        <v>46216</v>
      </c>
      <c r="S114" s="65" t="n">
        <v>370</v>
      </c>
      <c r="T114" s="65" t="inlineStr">
        <is>
          <t>00-00000913</t>
        </is>
      </c>
      <c r="U114" s="63" t="inlineStr">
        <is>
          <t>71,99</t>
        </is>
      </c>
      <c r="V114" s="63" t="inlineStr">
        <is>
          <t>72,00</t>
        </is>
      </c>
    </row>
    <row r="115">
      <c r="A115" s="65" t="inlineStr">
        <is>
          <t>S00449</t>
        </is>
      </c>
      <c r="B115" s="62" t="n">
        <v>46216.71232638889</v>
      </c>
      <c r="C115" s="65" t="inlineStr">
        <is>
          <t>Alexander Quiroz</t>
        </is>
      </c>
      <c r="D115" s="65" t="inlineStr">
        <is>
          <t>BETANCOURT ROBRIGUEZ LUIS ENRRIQUE</t>
        </is>
      </c>
      <c r="E115" s="65" t="inlineStr">
        <is>
          <t>7 días</t>
        </is>
      </c>
      <c r="F115" s="65" t="n">
        <v>8</v>
      </c>
      <c r="G115" s="65" t="inlineStr">
        <is>
          <t>Pago USD</t>
        </is>
      </c>
      <c r="H115" s="65" t="inlineStr">
        <is>
          <t>[0603] SINOCO SAE 50 (Tambor)</t>
        </is>
      </c>
      <c r="I115" s="65" t="n">
        <v>603</v>
      </c>
      <c r="J115" s="63" t="inlineStr">
        <is>
          <t>2,00</t>
        </is>
      </c>
      <c r="K115" s="63" t="inlineStr">
        <is>
          <t>601,72</t>
        </is>
      </c>
      <c r="L115" s="63" t="inlineStr">
        <is>
          <t>0,00</t>
        </is>
      </c>
      <c r="M115" s="63" t="inlineStr">
        <is>
          <t>1.203,45</t>
        </is>
      </c>
      <c r="N115" s="63" t="inlineStr">
        <is>
          <t>1.396,00</t>
        </is>
      </c>
      <c r="O115" s="63" t="inlineStr">
        <is>
          <t>1.203,45</t>
        </is>
      </c>
      <c r="P115" s="63" t="inlineStr">
        <is>
          <t>1.396,00</t>
        </is>
      </c>
      <c r="Q115" s="63" t="inlineStr">
        <is>
          <t>727,45</t>
        </is>
      </c>
      <c r="R115" s="66" t="n">
        <v>46219</v>
      </c>
      <c r="S115" s="65" t="n">
        <v>512</v>
      </c>
      <c r="T115" s="65" t="inlineStr">
        <is>
          <t>00-00001065</t>
        </is>
      </c>
      <c r="U115" s="63" t="inlineStr">
        <is>
          <t>1.395,99</t>
        </is>
      </c>
      <c r="V115" s="63" t="inlineStr">
        <is>
          <t>0,00</t>
        </is>
      </c>
    </row>
    <row r="116">
      <c r="A116" s="65" t="inlineStr">
        <is>
          <t>S00444</t>
        </is>
      </c>
      <c r="B116" s="62" t="n">
        <v>46216.69091435185</v>
      </c>
      <c r="C116" s="65" t="inlineStr">
        <is>
          <t>GASOLVEN DISTRIBUIDORA, C.A</t>
        </is>
      </c>
      <c r="D116" s="65" t="inlineStr">
        <is>
          <t>Marco Romero</t>
        </is>
      </c>
      <c r="E116" s="65" t="inlineStr">
        <is>
          <t>7 días</t>
        </is>
      </c>
      <c r="F116" s="65" t="n">
        <v>8</v>
      </c>
      <c r="G116" s="65" t="inlineStr">
        <is>
          <t>Pago USD</t>
        </is>
      </c>
      <c r="H116" s="65" t="inlineStr">
        <is>
          <t>[0013] ELITE API SN SAE 5W-30 (1x6)</t>
        </is>
      </c>
      <c r="I116" s="65" t="n">
        <v>13</v>
      </c>
      <c r="J116" s="63" t="inlineStr">
        <is>
          <t>1,00</t>
        </is>
      </c>
      <c r="K116" s="63" t="inlineStr">
        <is>
          <t>47,41</t>
        </is>
      </c>
      <c r="L116" s="63" t="inlineStr">
        <is>
          <t>0,00</t>
        </is>
      </c>
      <c r="M116" s="63" t="inlineStr">
        <is>
          <t>47,41</t>
        </is>
      </c>
      <c r="N116" s="63" t="inlineStr">
        <is>
          <t>55,00</t>
        </is>
      </c>
      <c r="O116" s="63" t="inlineStr">
        <is>
          <t>47,41</t>
        </is>
      </c>
      <c r="P116" s="63" t="inlineStr">
        <is>
          <t>55,00</t>
        </is>
      </c>
      <c r="Q116" s="63" t="inlineStr">
        <is>
          <t>721,35</t>
        </is>
      </c>
      <c r="R116" s="66" t="n">
        <v>46216</v>
      </c>
      <c r="S116" s="65" t="n">
        <v>371</v>
      </c>
      <c r="T116" s="65" t="inlineStr">
        <is>
          <t>00-00000914</t>
        </is>
      </c>
      <c r="U116" s="63" t="inlineStr">
        <is>
          <t>54,99</t>
        </is>
      </c>
      <c r="V116" s="63" t="inlineStr">
        <is>
          <t>55,00</t>
        </is>
      </c>
    </row>
    <row r="117">
      <c r="A117" s="65" t="inlineStr">
        <is>
          <t>S00436</t>
        </is>
      </c>
      <c r="B117" s="62" t="n">
        <v>46216.68788194445</v>
      </c>
      <c r="C117" s="65" t="inlineStr">
        <is>
          <t>Marco Romero</t>
        </is>
      </c>
      <c r="D117" s="65" t="inlineStr">
        <is>
          <t>Marco Romero</t>
        </is>
      </c>
      <c r="E117" s="65" t="inlineStr">
        <is>
          <t>7 días</t>
        </is>
      </c>
      <c r="F117" s="65" t="n">
        <v>8</v>
      </c>
      <c r="G117" s="65" t="inlineStr">
        <is>
          <t>Pago USD</t>
        </is>
      </c>
      <c r="H117" s="65" t="inlineStr">
        <is>
          <t>[0025] SS EXTRA PROTECCION API SN SAE 10W-30 (Gasolina) (1x6)</t>
        </is>
      </c>
      <c r="I117" s="65" t="n">
        <v>25</v>
      </c>
      <c r="J117" s="63" t="inlineStr">
        <is>
          <t>1,00</t>
        </is>
      </c>
      <c r="K117" s="63" t="inlineStr">
        <is>
          <t>32,76</t>
        </is>
      </c>
      <c r="L117" s="63" t="inlineStr">
        <is>
          <t>0,00</t>
        </is>
      </c>
      <c r="M117" s="63" t="inlineStr">
        <is>
          <t>32,76</t>
        </is>
      </c>
      <c r="N117" s="63" t="inlineStr">
        <is>
          <t>38,00</t>
        </is>
      </c>
      <c r="O117" s="63" t="inlineStr">
        <is>
          <t>32,76</t>
        </is>
      </c>
      <c r="P117" s="63" t="inlineStr">
        <is>
          <t>38,00</t>
        </is>
      </c>
      <c r="Q117" s="63" t="inlineStr">
        <is>
          <t>721,35</t>
        </is>
      </c>
      <c r="R117" s="66" t="n">
        <v>46216</v>
      </c>
      <c r="S117" s="65" t="n">
        <v>372</v>
      </c>
      <c r="T117" s="65" t="inlineStr">
        <is>
          <t>00-00000915</t>
        </is>
      </c>
      <c r="U117" s="63" t="inlineStr">
        <is>
          <t>37,99</t>
        </is>
      </c>
      <c r="V117" s="63" t="inlineStr">
        <is>
          <t>38,00</t>
        </is>
      </c>
    </row>
    <row r="118">
      <c r="A118" s="65" t="inlineStr">
        <is>
          <t>S00433</t>
        </is>
      </c>
      <c r="B118" s="62" t="n">
        <v>46216.6825925926</v>
      </c>
      <c r="C118" s="65" t="inlineStr">
        <is>
          <t>INVERSIONES JOSCAR XXI, S.A.</t>
        </is>
      </c>
      <c r="D118" s="65" t="inlineStr">
        <is>
          <t>TORO ARDILES DAVID JOSE</t>
        </is>
      </c>
      <c r="E118" s="65" t="inlineStr">
        <is>
          <t>7 días</t>
        </is>
      </c>
      <c r="F118" s="65" t="n">
        <v>8</v>
      </c>
      <c r="G118" s="65" t="inlineStr">
        <is>
          <t>Pago USD</t>
        </is>
      </c>
      <c r="H118" s="65" t="inlineStr">
        <is>
          <t>[0877] SS EXTRA PROTECCION API SN SAE 15W-40 (1X12)</t>
        </is>
      </c>
      <c r="I118" s="65" t="n">
        <v>877</v>
      </c>
      <c r="J118" s="63" t="inlineStr">
        <is>
          <t>2,00</t>
        </is>
      </c>
      <c r="K118" s="63" t="inlineStr">
        <is>
          <t>65,52</t>
        </is>
      </c>
      <c r="L118" s="63" t="inlineStr">
        <is>
          <t>0,00</t>
        </is>
      </c>
      <c r="M118" s="63" t="inlineStr">
        <is>
          <t>131,03</t>
        </is>
      </c>
      <c r="N118" s="63" t="inlineStr">
        <is>
          <t>151,99</t>
        </is>
      </c>
      <c r="O118" s="63" t="inlineStr">
        <is>
          <t>131,03</t>
        </is>
      </c>
      <c r="P118" s="63" t="inlineStr">
        <is>
          <t>151,99</t>
        </is>
      </c>
      <c r="Q118" s="63" t="inlineStr">
        <is>
          <t>721,35</t>
        </is>
      </c>
      <c r="R118" s="66" t="n">
        <v>46216</v>
      </c>
      <c r="S118" s="65" t="n">
        <v>373</v>
      </c>
      <c r="T118" s="65" t="inlineStr">
        <is>
          <t>00-00000916</t>
        </is>
      </c>
      <c r="U118" s="63" t="inlineStr">
        <is>
          <t>151,99</t>
        </is>
      </c>
      <c r="V118" s="63" t="inlineStr">
        <is>
          <t>152,00</t>
        </is>
      </c>
    </row>
    <row r="119">
      <c r="A119" s="65" t="inlineStr">
        <is>
          <t>S00429</t>
        </is>
      </c>
      <c r="B119" s="62" t="n">
        <v>46216.6802662037</v>
      </c>
      <c r="C119" s="65" t="inlineStr">
        <is>
          <t>INVERSIONES SM 2191, C.A.</t>
        </is>
      </c>
      <c r="D119" s="65" t="inlineStr">
        <is>
          <t>TORO ARDILES DAVID JOSE</t>
        </is>
      </c>
      <c r="E119" s="65" t="inlineStr">
        <is>
          <t>7 días</t>
        </is>
      </c>
      <c r="F119" s="65" t="n">
        <v>8</v>
      </c>
      <c r="G119" s="65" t="inlineStr">
        <is>
          <t>Pago USD</t>
        </is>
      </c>
      <c r="H119" s="65" t="inlineStr">
        <is>
          <t>[0885] TRANSMATIC ATF MERCON V (1x12)</t>
        </is>
      </c>
      <c r="I119" s="65" t="n">
        <v>885</v>
      </c>
      <c r="J119" s="63" t="inlineStr">
        <is>
          <t>1,00</t>
        </is>
      </c>
      <c r="K119" s="63" t="inlineStr">
        <is>
          <t>102,59</t>
        </is>
      </c>
      <c r="L119" s="63" t="inlineStr">
        <is>
          <t>0,00</t>
        </is>
      </c>
      <c r="M119" s="63" t="inlineStr">
        <is>
          <t>102,59</t>
        </is>
      </c>
      <c r="N119" s="63" t="inlineStr">
        <is>
          <t>119,00</t>
        </is>
      </c>
      <c r="O119" s="63" t="inlineStr">
        <is>
          <t>196,53</t>
        </is>
      </c>
      <c r="P119" s="63" t="inlineStr">
        <is>
          <t>227,97</t>
        </is>
      </c>
      <c r="Q119" s="63" t="inlineStr">
        <is>
          <t>721,35</t>
        </is>
      </c>
      <c r="R119" s="66" t="n">
        <v>46216</v>
      </c>
      <c r="S119" s="65" t="n">
        <v>374</v>
      </c>
      <c r="T119" s="65" t="inlineStr">
        <is>
          <t>00-00000917</t>
        </is>
      </c>
      <c r="U119" s="63" t="inlineStr">
        <is>
          <t>227,95</t>
        </is>
      </c>
      <c r="V119" s="63" t="inlineStr">
        <is>
          <t>227,97</t>
        </is>
      </c>
    </row>
    <row r="120">
      <c r="A120" s="65" t="n"/>
      <c r="B120" s="65" t="n"/>
      <c r="C120" s="65" t="n"/>
      <c r="D120" s="65" t="n"/>
      <c r="E120" s="65" t="n"/>
      <c r="F120" s="65" t="n"/>
      <c r="G120" s="65" t="n"/>
      <c r="H120" s="65" t="inlineStr">
        <is>
          <t>[0884] TRANSMATIC ATF DEXRON III (1x12)</t>
        </is>
      </c>
      <c r="I120" s="65" t="n">
        <v>884</v>
      </c>
      <c r="J120" s="63" t="inlineStr">
        <is>
          <t>1,00</t>
        </is>
      </c>
      <c r="K120" s="63" t="inlineStr">
        <is>
          <t>62,07</t>
        </is>
      </c>
      <c r="L120" s="63" t="inlineStr">
        <is>
          <t>0,00</t>
        </is>
      </c>
      <c r="M120" s="63" t="inlineStr">
        <is>
          <t>62,07</t>
        </is>
      </c>
      <c r="N120" s="63" t="inlineStr">
        <is>
          <t>72,00</t>
        </is>
      </c>
      <c r="O120" s="65" t="n"/>
      <c r="P120" s="65" t="n"/>
      <c r="Q120" s="65" t="n"/>
      <c r="R120" s="65" t="n"/>
      <c r="S120" s="65" t="n"/>
      <c r="T120" s="65" t="n"/>
      <c r="U120" s="65" t="n"/>
      <c r="V120" s="65" t="n"/>
    </row>
    <row r="121">
      <c r="A121" s="65" t="n"/>
      <c r="B121" s="65" t="n"/>
      <c r="C121" s="65" t="n"/>
      <c r="D121" s="65" t="n"/>
      <c r="E121" s="65" t="n"/>
      <c r="F121" s="65" t="n"/>
      <c r="G121" s="65" t="n"/>
      <c r="H121" s="65" t="inlineStr">
        <is>
          <t>[0795] REFRIGERANTE GLOBAL ORANGE PREMIUM 50-50 CONCENTRADO (1x3)</t>
        </is>
      </c>
      <c r="I121" s="65" t="n">
        <v>795</v>
      </c>
      <c r="J121" s="63" t="inlineStr">
        <is>
          <t>1,00</t>
        </is>
      </c>
      <c r="K121" s="63" t="inlineStr">
        <is>
          <t>33,62</t>
        </is>
      </c>
      <c r="L121" s="63" t="inlineStr">
        <is>
          <t>5,20</t>
        </is>
      </c>
      <c r="M121" s="63" t="inlineStr">
        <is>
          <t>31,87</t>
        </is>
      </c>
      <c r="N121" s="63" t="inlineStr">
        <is>
          <t>36,97</t>
        </is>
      </c>
      <c r="O121" s="65" t="n"/>
      <c r="P121" s="65" t="n"/>
      <c r="Q121" s="65" t="n"/>
      <c r="R121" s="65" t="n"/>
      <c r="S121" s="65" t="n"/>
      <c r="T121" s="65" t="n"/>
      <c r="U121" s="65" t="n"/>
      <c r="V121" s="65" t="n"/>
    </row>
    <row r="122">
      <c r="A122" s="65" t="n"/>
      <c r="B122" s="65" t="n"/>
      <c r="C122" s="65" t="n"/>
      <c r="D122" s="65" t="n"/>
      <c r="E122" s="65" t="n"/>
      <c r="F122" s="65" t="n"/>
      <c r="G122" s="65" t="n"/>
      <c r="H122" s="65" t="inlineStr">
        <is>
          <t>[0761] LIGA PARA FRENOS DOT-3 (1x12)</t>
        </is>
      </c>
      <c r="I122" s="65" t="n">
        <v>761</v>
      </c>
      <c r="J122" s="63" t="inlineStr">
        <is>
          <t>1,00</t>
        </is>
      </c>
      <c r="K122" s="63" t="inlineStr">
        <is>
          <t>0,00</t>
        </is>
      </c>
      <c r="L122" s="63" t="inlineStr">
        <is>
          <t>0,00</t>
        </is>
      </c>
      <c r="M122" s="63" t="inlineStr">
        <is>
          <t>0,00</t>
        </is>
      </c>
      <c r="N122" s="63" t="inlineStr">
        <is>
          <t>0,00</t>
        </is>
      </c>
      <c r="O122" s="65" t="n"/>
      <c r="P122" s="65" t="n"/>
      <c r="Q122" s="65" t="n"/>
      <c r="R122" s="65" t="n"/>
      <c r="S122" s="65" t="n"/>
      <c r="T122" s="65" t="n"/>
      <c r="U122" s="65" t="n"/>
      <c r="V122" s="65" t="n"/>
    </row>
    <row r="123">
      <c r="A123" s="65" t="inlineStr">
        <is>
          <t>S00428</t>
        </is>
      </c>
      <c r="B123" s="62" t="n">
        <v>46216.67318287037</v>
      </c>
      <c r="C123" s="65" t="inlineStr">
        <is>
          <t>Angel ARMAS</t>
        </is>
      </c>
      <c r="D123" s="65" t="inlineStr">
        <is>
          <t>REVERON DE CONTRERAS MELANI AUSMAR</t>
        </is>
      </c>
      <c r="E123" s="65" t="inlineStr">
        <is>
          <t>7 días</t>
        </is>
      </c>
      <c r="F123" s="65" t="n">
        <v>8</v>
      </c>
      <c r="G123" s="65" t="inlineStr">
        <is>
          <t>Pago USD</t>
        </is>
      </c>
      <c r="H123" s="65" t="inlineStr">
        <is>
          <t>[0880] CLASICO API SL SAE 15W-40 (1x12)</t>
        </is>
      </c>
      <c r="I123" s="65" t="n">
        <v>880</v>
      </c>
      <c r="J123" s="63" t="inlineStr">
        <is>
          <t>1,00</t>
        </is>
      </c>
      <c r="K123" s="63" t="inlineStr">
        <is>
          <t>56,03</t>
        </is>
      </c>
      <c r="L123" s="63" t="inlineStr">
        <is>
          <t>0,00</t>
        </is>
      </c>
      <c r="M123" s="63" t="inlineStr">
        <is>
          <t>56,03</t>
        </is>
      </c>
      <c r="N123" s="63" t="inlineStr">
        <is>
          <t>64,99</t>
        </is>
      </c>
      <c r="O123" s="63" t="inlineStr">
        <is>
          <t>121,55</t>
        </is>
      </c>
      <c r="P123" s="63" t="inlineStr">
        <is>
          <t>140,99</t>
        </is>
      </c>
      <c r="Q123" s="63" t="inlineStr">
        <is>
          <t>721,35</t>
        </is>
      </c>
      <c r="R123" s="66" t="n">
        <v>46216</v>
      </c>
      <c r="S123" s="65" t="n">
        <v>375</v>
      </c>
      <c r="T123" s="65" t="inlineStr">
        <is>
          <t>00-00000918</t>
        </is>
      </c>
      <c r="U123" s="63" t="inlineStr">
        <is>
          <t>140,98</t>
        </is>
      </c>
      <c r="V123" s="63" t="inlineStr">
        <is>
          <t>0,00</t>
        </is>
      </c>
    </row>
    <row r="124">
      <c r="A124" s="65" t="n"/>
      <c r="B124" s="65" t="n"/>
      <c r="C124" s="65" t="n"/>
      <c r="D124" s="65" t="n"/>
      <c r="E124" s="65" t="n"/>
      <c r="F124" s="65" t="n"/>
      <c r="G124" s="65" t="n"/>
      <c r="H124" s="65" t="inlineStr">
        <is>
          <t>[0877] SS EXTRA PROTECCION API SN SAE 15W-40 (1X12)</t>
        </is>
      </c>
      <c r="I124" s="65" t="n">
        <v>877</v>
      </c>
      <c r="J124" s="63" t="inlineStr">
        <is>
          <t>1,00</t>
        </is>
      </c>
      <c r="K124" s="63" t="inlineStr">
        <is>
          <t>65,52</t>
        </is>
      </c>
      <c r="L124" s="63" t="inlineStr">
        <is>
          <t>0,00</t>
        </is>
      </c>
      <c r="M124" s="63" t="inlineStr">
        <is>
          <t>65,52</t>
        </is>
      </c>
      <c r="N124" s="63" t="inlineStr">
        <is>
          <t>76,00</t>
        </is>
      </c>
      <c r="O124" s="65" t="n"/>
      <c r="P124" s="65" t="n"/>
      <c r="Q124" s="65" t="n"/>
      <c r="R124" s="65" t="n"/>
      <c r="S124" s="65" t="n"/>
      <c r="T124" s="65" t="n"/>
      <c r="U124" s="65" t="n"/>
      <c r="V124" s="65" t="n"/>
    </row>
    <row r="125">
      <c r="A125" s="65" t="inlineStr">
        <is>
          <t>S00425</t>
        </is>
      </c>
      <c r="B125" s="62" t="n">
        <v>46216.6727662037</v>
      </c>
      <c r="C125" s="65" t="inlineStr">
        <is>
          <t>Katiuska Alejandra Curvelo</t>
        </is>
      </c>
      <c r="D125" s="65" t="inlineStr">
        <is>
          <t>GRIMAN DIAZ HECTOR EDUARDO</t>
        </is>
      </c>
      <c r="E125" s="65" t="inlineStr">
        <is>
          <t>7 días</t>
        </is>
      </c>
      <c r="F125" s="65" t="n">
        <v>8</v>
      </c>
      <c r="G125" s="65" t="inlineStr">
        <is>
          <t>Pago USD</t>
        </is>
      </c>
      <c r="H125" s="65" t="inlineStr">
        <is>
          <t>[0887] MOTOCLASICO 4T SAE 20W-50 (1x12)</t>
        </is>
      </c>
      <c r="I125" s="65" t="n">
        <v>887</v>
      </c>
      <c r="J125" s="63" t="inlineStr">
        <is>
          <t>1,00</t>
        </is>
      </c>
      <c r="K125" s="63" t="inlineStr">
        <is>
          <t>58,62</t>
        </is>
      </c>
      <c r="L125" s="63" t="inlineStr">
        <is>
          <t>0,00</t>
        </is>
      </c>
      <c r="M125" s="63" t="inlineStr">
        <is>
          <t>58,62</t>
        </is>
      </c>
      <c r="N125" s="63" t="inlineStr">
        <is>
          <t>68,00</t>
        </is>
      </c>
      <c r="O125" s="63" t="inlineStr">
        <is>
          <t>180,17</t>
        </is>
      </c>
      <c r="P125" s="63" t="inlineStr">
        <is>
          <t>208,99</t>
        </is>
      </c>
      <c r="Q125" s="63" t="inlineStr">
        <is>
          <t>721,35</t>
        </is>
      </c>
      <c r="R125" s="66" t="n">
        <v>46216</v>
      </c>
      <c r="S125" s="65" t="n">
        <v>376</v>
      </c>
      <c r="T125" s="65" t="inlineStr">
        <is>
          <t>00-00000919</t>
        </is>
      </c>
      <c r="U125" s="63" t="inlineStr">
        <is>
          <t>208,98</t>
        </is>
      </c>
      <c r="V125" s="63" t="inlineStr">
        <is>
          <t>209,00</t>
        </is>
      </c>
    </row>
    <row r="126">
      <c r="A126" s="65" t="n"/>
      <c r="B126" s="65" t="n"/>
      <c r="C126" s="65" t="n"/>
      <c r="D126" s="65" t="n"/>
      <c r="E126" s="65" t="n"/>
      <c r="F126" s="65" t="n"/>
      <c r="G126" s="65" t="n"/>
      <c r="H126" s="65" t="inlineStr">
        <is>
          <t>[0880] CLASICO API SL SAE 15W-40 (1x12)</t>
        </is>
      </c>
      <c r="I126" s="65" t="n">
        <v>880</v>
      </c>
      <c r="J126" s="63" t="inlineStr">
        <is>
          <t>1,00</t>
        </is>
      </c>
      <c r="K126" s="63" t="inlineStr">
        <is>
          <t>56,03</t>
        </is>
      </c>
      <c r="L126" s="63" t="inlineStr">
        <is>
          <t>0,00</t>
        </is>
      </c>
      <c r="M126" s="63" t="inlineStr">
        <is>
          <t>56,03</t>
        </is>
      </c>
      <c r="N126" s="63" t="inlineStr">
        <is>
          <t>64,99</t>
        </is>
      </c>
      <c r="O126" s="65" t="n"/>
      <c r="P126" s="65" t="n"/>
      <c r="Q126" s="65" t="n"/>
      <c r="R126" s="65" t="n"/>
      <c r="S126" s="65" t="n"/>
      <c r="T126" s="65" t="n"/>
      <c r="U126" s="65" t="n"/>
      <c r="V126" s="65" t="n"/>
    </row>
    <row r="127">
      <c r="A127" s="65" t="n"/>
      <c r="B127" s="65" t="n"/>
      <c r="C127" s="65" t="n"/>
      <c r="D127" s="65" t="n"/>
      <c r="E127" s="65" t="n"/>
      <c r="F127" s="65" t="n"/>
      <c r="G127" s="65" t="n"/>
      <c r="H127" s="65" t="inlineStr">
        <is>
          <t>[0877] SS EXTRA PROTECCION API SN SAE 15W-40 (1X12)</t>
        </is>
      </c>
      <c r="I127" s="65" t="n">
        <v>877</v>
      </c>
      <c r="J127" s="63" t="inlineStr">
        <is>
          <t>1,00</t>
        </is>
      </c>
      <c r="K127" s="63" t="inlineStr">
        <is>
          <t>65,52</t>
        </is>
      </c>
      <c r="L127" s="63" t="inlineStr">
        <is>
          <t>0,00</t>
        </is>
      </c>
      <c r="M127" s="63" t="inlineStr">
        <is>
          <t>65,52</t>
        </is>
      </c>
      <c r="N127" s="63" t="inlineStr">
        <is>
          <t>76,00</t>
        </is>
      </c>
      <c r="O127" s="65" t="n"/>
      <c r="P127" s="65" t="n"/>
      <c r="Q127" s="65" t="n"/>
      <c r="R127" s="65" t="n"/>
      <c r="S127" s="65" t="n"/>
      <c r="T127" s="65" t="n"/>
      <c r="U127" s="65" t="n"/>
      <c r="V127" s="65" t="n"/>
    </row>
    <row r="128">
      <c r="A128" s="65" t="inlineStr">
        <is>
          <t>S00440</t>
        </is>
      </c>
      <c r="B128" s="62" t="n">
        <v>46216.64271990741</v>
      </c>
      <c r="C128" s="65" t="inlineStr">
        <is>
          <t>FREDI MARQUEZ</t>
        </is>
      </c>
      <c r="D128" s="65" t="inlineStr">
        <is>
          <t>PEREZ DIAZ ANGEL DE DIOS</t>
        </is>
      </c>
      <c r="E128" s="65" t="inlineStr">
        <is>
          <t>7 días</t>
        </is>
      </c>
      <c r="F128" s="65" t="n">
        <v>8</v>
      </c>
      <c r="G128" s="65" t="inlineStr">
        <is>
          <t>Pago USD</t>
        </is>
      </c>
      <c r="H128" s="65" t="inlineStr">
        <is>
          <t>[0602] SINOCO SAE 50 (PAILA)</t>
        </is>
      </c>
      <c r="I128" s="65" t="n">
        <v>602</v>
      </c>
      <c r="J128" s="63" t="inlineStr">
        <is>
          <t>2,00</t>
        </is>
      </c>
      <c r="K128" s="63" t="inlineStr">
        <is>
          <t>96,82</t>
        </is>
      </c>
      <c r="L128" s="63" t="inlineStr">
        <is>
          <t>0,00</t>
        </is>
      </c>
      <c r="M128" s="63" t="inlineStr">
        <is>
          <t>193,64</t>
        </is>
      </c>
      <c r="N128" s="63" t="inlineStr">
        <is>
          <t>224,62</t>
        </is>
      </c>
      <c r="O128" s="63" t="inlineStr">
        <is>
          <t>193,64</t>
        </is>
      </c>
      <c r="P128" s="63" t="inlineStr">
        <is>
          <t>224,62</t>
        </is>
      </c>
      <c r="Q128" s="63" t="inlineStr">
        <is>
          <t>540,04</t>
        </is>
      </c>
      <c r="R128" s="66" t="n">
        <v>46168</v>
      </c>
      <c r="S128" s="65" t="n">
        <v>98</v>
      </c>
      <c r="T128" s="65" t="inlineStr">
        <is>
          <t>00-00000452</t>
        </is>
      </c>
      <c r="U128" s="63" t="inlineStr">
        <is>
          <t>134,99</t>
        </is>
      </c>
      <c r="V128" s="63" t="inlineStr">
        <is>
          <t>0,00</t>
        </is>
      </c>
    </row>
    <row r="129">
      <c r="A129" s="65" t="inlineStr">
        <is>
          <t>S00407</t>
        </is>
      </c>
      <c r="B129" s="62" t="n">
        <v>46216.6375</v>
      </c>
      <c r="C129" s="65" t="inlineStr">
        <is>
          <t>FREDI MARQUEZ</t>
        </is>
      </c>
      <c r="D129" s="65" t="inlineStr">
        <is>
          <t>PEREZ DIAZ ANGEL DE DIOS</t>
        </is>
      </c>
      <c r="E129" s="65" t="inlineStr">
        <is>
          <t>7 días</t>
        </is>
      </c>
      <c r="F129" s="65" t="n">
        <v>8</v>
      </c>
      <c r="G129" s="65" t="inlineStr">
        <is>
          <t>Pago USD</t>
        </is>
      </c>
      <c r="H129" s="65" t="inlineStr">
        <is>
          <t>[0602] SINOCO SAE 50 (PAILA)</t>
        </is>
      </c>
      <c r="I129" s="65" t="n">
        <v>602</v>
      </c>
      <c r="J129" s="63" t="inlineStr">
        <is>
          <t>2,00</t>
        </is>
      </c>
      <c r="K129" s="63" t="inlineStr">
        <is>
          <t>60,35</t>
        </is>
      </c>
      <c r="L129" s="63" t="inlineStr">
        <is>
          <t>2,42</t>
        </is>
      </c>
      <c r="M129" s="63" t="inlineStr">
        <is>
          <t>117,78</t>
        </is>
      </c>
      <c r="N129" s="63" t="inlineStr">
        <is>
          <t>136,62</t>
        </is>
      </c>
      <c r="O129" s="63" t="inlineStr">
        <is>
          <t>117,78</t>
        </is>
      </c>
      <c r="P129" s="63" t="inlineStr">
        <is>
          <t>136,62</t>
        </is>
      </c>
      <c r="Q129" s="63" t="inlineStr">
        <is>
          <t>721,35</t>
        </is>
      </c>
      <c r="R129" s="66" t="n">
        <v>46216</v>
      </c>
      <c r="S129" s="65" t="n">
        <v>377</v>
      </c>
      <c r="T129" s="65" t="inlineStr">
        <is>
          <t>00-00000920</t>
        </is>
      </c>
      <c r="U129" s="63" t="inlineStr">
        <is>
          <t>136,61</t>
        </is>
      </c>
      <c r="V129" s="63" t="inlineStr">
        <is>
          <t>136,62</t>
        </is>
      </c>
    </row>
    <row r="130">
      <c r="A130" s="65" t="inlineStr">
        <is>
          <t>S00411</t>
        </is>
      </c>
      <c r="B130" s="62" t="n">
        <v>46216.63320601852</v>
      </c>
      <c r="C130" s="65" t="inlineStr">
        <is>
          <t>Pedro Castro</t>
        </is>
      </c>
      <c r="D130" s="65" t="inlineStr">
        <is>
          <t>BETANCOURT ROBRIGUEZ LUIS ENRRIQUE</t>
        </is>
      </c>
      <c r="E130" s="65" t="inlineStr">
        <is>
          <t>7 días</t>
        </is>
      </c>
      <c r="F130" s="65" t="n">
        <v>8</v>
      </c>
      <c r="G130" s="65" t="inlineStr">
        <is>
          <t>Pago USD</t>
        </is>
      </c>
      <c r="H130" s="65" t="inlineStr">
        <is>
          <t>[0603] SINOCO SAE 50 (Tambor)</t>
        </is>
      </c>
      <c r="I130" s="65" t="n">
        <v>603</v>
      </c>
      <c r="J130" s="63" t="inlineStr">
        <is>
          <t>1,00</t>
        </is>
      </c>
      <c r="K130" s="63" t="inlineStr">
        <is>
          <t>601,72</t>
        </is>
      </c>
      <c r="L130" s="63" t="inlineStr">
        <is>
          <t>0,00</t>
        </is>
      </c>
      <c r="M130" s="63" t="inlineStr">
        <is>
          <t>601,72</t>
        </is>
      </c>
      <c r="N130" s="63" t="inlineStr">
        <is>
          <t>698,00</t>
        </is>
      </c>
      <c r="O130" s="63" t="inlineStr">
        <is>
          <t>1.101,72</t>
        </is>
      </c>
      <c r="P130" s="63" t="inlineStr">
        <is>
          <t>1.278,00</t>
        </is>
      </c>
      <c r="Q130" s="65" t="n"/>
      <c r="R130" s="65" t="n"/>
      <c r="S130" s="65" t="n"/>
      <c r="T130" s="65" t="n"/>
      <c r="U130" s="65" t="n"/>
      <c r="V130" s="65" t="n"/>
    </row>
    <row r="131">
      <c r="A131" s="65" t="n"/>
      <c r="B131" s="65" t="n"/>
      <c r="C131" s="65" t="n"/>
      <c r="D131" s="65" t="n"/>
      <c r="E131" s="65" t="n"/>
      <c r="F131" s="65" t="n"/>
      <c r="G131" s="65" t="n"/>
      <c r="H131" s="65" t="inlineStr">
        <is>
          <t>[0602] SINOCO SAE 50 (PAILA)</t>
        </is>
      </c>
      <c r="I131" s="65" t="n">
        <v>602</v>
      </c>
      <c r="J131" s="63" t="inlineStr">
        <is>
          <t>3,00</t>
        </is>
      </c>
      <c r="K131" s="63" t="inlineStr">
        <is>
          <t>62,93</t>
        </is>
      </c>
      <c r="L131" s="63" t="inlineStr">
        <is>
          <t>0,00</t>
        </is>
      </c>
      <c r="M131" s="63" t="inlineStr">
        <is>
          <t>188,79</t>
        </is>
      </c>
      <c r="N131" s="63" t="inlineStr">
        <is>
          <t>219,00</t>
        </is>
      </c>
      <c r="O131" s="65" t="n"/>
      <c r="P131" s="65" t="n"/>
      <c r="Q131" s="65" t="n"/>
      <c r="R131" s="65" t="n"/>
      <c r="S131" s="65" t="n"/>
      <c r="T131" s="65" t="n"/>
      <c r="U131" s="65" t="n"/>
      <c r="V131" s="65" t="n"/>
    </row>
    <row r="132">
      <c r="A132" s="65" t="n"/>
      <c r="B132" s="65" t="n"/>
      <c r="C132" s="65" t="n"/>
      <c r="D132" s="65" t="n"/>
      <c r="E132" s="65" t="n"/>
      <c r="F132" s="65" t="n"/>
      <c r="G132" s="65" t="n"/>
      <c r="H132" s="65" t="inlineStr">
        <is>
          <t>[0779] SINOCO SAE 20W-50 (1x12)</t>
        </is>
      </c>
      <c r="I132" s="65" t="n">
        <v>779</v>
      </c>
      <c r="J132" s="63" t="inlineStr">
        <is>
          <t>1,00</t>
        </is>
      </c>
      <c r="K132" s="63" t="inlineStr">
        <is>
          <t>45,69</t>
        </is>
      </c>
      <c r="L132" s="63" t="inlineStr">
        <is>
          <t>0,00</t>
        </is>
      </c>
      <c r="M132" s="63" t="inlineStr">
        <is>
          <t>45,69</t>
        </is>
      </c>
      <c r="N132" s="63" t="inlineStr">
        <is>
          <t>53,00</t>
        </is>
      </c>
      <c r="O132" s="65" t="n"/>
      <c r="P132" s="65" t="n"/>
      <c r="Q132" s="65" t="n"/>
      <c r="R132" s="65" t="n"/>
      <c r="S132" s="65" t="n"/>
      <c r="T132" s="65" t="n"/>
      <c r="U132" s="65" t="n"/>
      <c r="V132" s="65" t="n"/>
    </row>
    <row r="133">
      <c r="A133" s="65" t="n"/>
      <c r="B133" s="65" t="n"/>
      <c r="C133" s="65" t="n"/>
      <c r="D133" s="65" t="n"/>
      <c r="E133" s="65" t="n"/>
      <c r="F133" s="65" t="n"/>
      <c r="G133" s="65" t="n"/>
      <c r="H133" s="65" t="inlineStr">
        <is>
          <t>[1041] SINOCO API CF/SF SAE 15W-40 DIESEL (PAILA)</t>
        </is>
      </c>
      <c r="I133" s="65" t="n">
        <v>1041</v>
      </c>
      <c r="J133" s="63" t="inlineStr">
        <is>
          <t>2,00</t>
        </is>
      </c>
      <c r="K133" s="63" t="inlineStr">
        <is>
          <t>68,10</t>
        </is>
      </c>
      <c r="L133" s="63" t="inlineStr">
        <is>
          <t>0,00</t>
        </is>
      </c>
      <c r="M133" s="63" t="inlineStr">
        <is>
          <t>136,21</t>
        </is>
      </c>
      <c r="N133" s="63" t="inlineStr">
        <is>
          <t>158,00</t>
        </is>
      </c>
      <c r="O133" s="65" t="n"/>
      <c r="P133" s="65" t="n"/>
      <c r="Q133" s="65" t="n"/>
      <c r="R133" s="65" t="n"/>
      <c r="S133" s="65" t="n"/>
      <c r="T133" s="65" t="n"/>
      <c r="U133" s="65" t="n"/>
      <c r="V133" s="65" t="n"/>
    </row>
    <row r="134">
      <c r="A134" s="65" t="n"/>
      <c r="B134" s="65" t="n"/>
      <c r="C134" s="65" t="n"/>
      <c r="D134" s="65" t="n"/>
      <c r="E134" s="65" t="n"/>
      <c r="F134" s="65" t="n"/>
      <c r="G134" s="65" t="n"/>
      <c r="H134" s="65" t="inlineStr">
        <is>
          <t>[0884] TRANSMATIC ATF DEXRON III (1x12)</t>
        </is>
      </c>
      <c r="I134" s="65" t="n">
        <v>884</v>
      </c>
      <c r="J134" s="63" t="inlineStr">
        <is>
          <t>1,00</t>
        </is>
      </c>
      <c r="K134" s="63" t="inlineStr">
        <is>
          <t>62,07</t>
        </is>
      </c>
      <c r="L134" s="63" t="inlineStr">
        <is>
          <t>0,00</t>
        </is>
      </c>
      <c r="M134" s="63" t="inlineStr">
        <is>
          <t>62,07</t>
        </is>
      </c>
      <c r="N134" s="63" t="inlineStr">
        <is>
          <t>72,00</t>
        </is>
      </c>
      <c r="O134" s="65" t="n"/>
      <c r="P134" s="65" t="n"/>
      <c r="Q134" s="65" t="n"/>
      <c r="R134" s="65" t="n"/>
      <c r="S134" s="65" t="n"/>
      <c r="T134" s="65" t="n"/>
      <c r="U134" s="65" t="n"/>
      <c r="V134" s="65" t="n"/>
    </row>
    <row r="135">
      <c r="A135" s="65" t="n"/>
      <c r="B135" s="65" t="n"/>
      <c r="C135" s="65" t="n"/>
      <c r="D135" s="65" t="n"/>
      <c r="E135" s="65" t="n"/>
      <c r="F135" s="65" t="n"/>
      <c r="G135" s="65" t="n"/>
      <c r="H135" s="65" t="inlineStr">
        <is>
          <t>[0121] TRANSGLOB API GL-5 SAE 80W-90 (1x6)</t>
        </is>
      </c>
      <c r="I135" s="65" t="n">
        <v>121</v>
      </c>
      <c r="J135" s="63" t="inlineStr">
        <is>
          <t>2,00</t>
        </is>
      </c>
      <c r="K135" s="63" t="inlineStr">
        <is>
          <t>33,62</t>
        </is>
      </c>
      <c r="L135" s="63" t="inlineStr">
        <is>
          <t>0,00</t>
        </is>
      </c>
      <c r="M135" s="63" t="inlineStr">
        <is>
          <t>67,24</t>
        </is>
      </c>
      <c r="N135" s="63" t="inlineStr">
        <is>
          <t>78,00</t>
        </is>
      </c>
      <c r="O135" s="65" t="n"/>
      <c r="P135" s="65" t="n"/>
      <c r="Q135" s="65" t="n"/>
      <c r="R135" s="65" t="n"/>
      <c r="S135" s="65" t="n"/>
      <c r="T135" s="65" t="n"/>
      <c r="U135" s="65" t="n"/>
      <c r="V135" s="65" t="n"/>
    </row>
    <row r="136">
      <c r="A136" s="65" t="n"/>
      <c r="B136" s="65" t="n"/>
      <c r="C136" s="65" t="n"/>
      <c r="D136" s="65" t="n"/>
      <c r="E136" s="65" t="n"/>
      <c r="F136" s="65" t="n"/>
      <c r="G136" s="65" t="n"/>
      <c r="H136" s="65" t="inlineStr">
        <is>
          <t>Descuento</t>
        </is>
      </c>
      <c r="I136" s="65" t="n"/>
      <c r="J136" s="63" t="inlineStr">
        <is>
          <t>1,00</t>
        </is>
      </c>
      <c r="K136" s="63" t="inlineStr">
        <is>
          <t>0,00</t>
        </is>
      </c>
      <c r="L136" s="63" t="inlineStr">
        <is>
          <t>0,00</t>
        </is>
      </c>
      <c r="M136" s="63" t="inlineStr">
        <is>
          <t>0,00</t>
        </is>
      </c>
      <c r="N136" s="63" t="inlineStr">
        <is>
          <t>0,00</t>
        </is>
      </c>
      <c r="O136" s="65" t="n"/>
      <c r="P136" s="65" t="n"/>
      <c r="Q136" s="65" t="n"/>
      <c r="R136" s="65" t="n"/>
      <c r="S136" s="65" t="n"/>
      <c r="T136" s="65" t="n"/>
      <c r="U136" s="65" t="n"/>
      <c r="V136" s="65" t="n"/>
    </row>
    <row r="137">
      <c r="A137" s="65" t="inlineStr">
        <is>
          <t>S00401</t>
        </is>
      </c>
      <c r="B137" s="62" t="n">
        <v>46216.62695601852</v>
      </c>
      <c r="C137" s="65" t="inlineStr">
        <is>
          <t>Jorge Luis camacaro</t>
        </is>
      </c>
      <c r="D137" s="65" t="inlineStr">
        <is>
          <t>PEREZ DIAZ ANGEL DE DIOS</t>
        </is>
      </c>
      <c r="E137" s="65" t="inlineStr">
        <is>
          <t>45 días</t>
        </is>
      </c>
      <c r="F137" s="65" t="n">
        <v>8</v>
      </c>
      <c r="G137" s="65" t="inlineStr">
        <is>
          <t>Pago USD</t>
        </is>
      </c>
      <c r="H137" s="65" t="inlineStr">
        <is>
          <t>[0093] ALTA CILINDRADA SS API SN SAE 15W-40 (1x6)</t>
        </is>
      </c>
      <c r="I137" s="65" t="n">
        <v>93</v>
      </c>
      <c r="J137" s="63" t="inlineStr">
        <is>
          <t>1,00</t>
        </is>
      </c>
      <c r="K137" s="63" t="inlineStr">
        <is>
          <t>30,17</t>
        </is>
      </c>
      <c r="L137" s="63" t="inlineStr">
        <is>
          <t>0,00</t>
        </is>
      </c>
      <c r="M137" s="63" t="inlineStr">
        <is>
          <t>30,17</t>
        </is>
      </c>
      <c r="N137" s="63" t="inlineStr">
        <is>
          <t>35,00</t>
        </is>
      </c>
      <c r="O137" s="63" t="inlineStr">
        <is>
          <t>30,17</t>
        </is>
      </c>
      <c r="P137" s="63" t="inlineStr">
        <is>
          <t>35,00</t>
        </is>
      </c>
      <c r="Q137" s="63" t="inlineStr">
        <is>
          <t>721,35</t>
        </is>
      </c>
      <c r="R137" s="66" t="n">
        <v>46216</v>
      </c>
      <c r="S137" s="65" t="n">
        <v>378</v>
      </c>
      <c r="T137" s="65" t="inlineStr">
        <is>
          <t>00-00000921</t>
        </is>
      </c>
      <c r="U137" s="63" t="inlineStr">
        <is>
          <t>34,99</t>
        </is>
      </c>
      <c r="V137" s="63" t="inlineStr">
        <is>
          <t>35,00</t>
        </is>
      </c>
    </row>
    <row r="138">
      <c r="A138" s="65" t="inlineStr">
        <is>
          <t>S00402</t>
        </is>
      </c>
      <c r="B138" s="62" t="n">
        <v>46216.62650462963</v>
      </c>
      <c r="C138" s="65" t="inlineStr">
        <is>
          <t>Jorge Luis camacaro</t>
        </is>
      </c>
      <c r="D138" s="65" t="inlineStr">
        <is>
          <t>PEREZ DIAZ ANGEL DE DIOS</t>
        </is>
      </c>
      <c r="E138" s="65" t="inlineStr">
        <is>
          <t>45 días</t>
        </is>
      </c>
      <c r="F138" s="65" t="n">
        <v>8</v>
      </c>
      <c r="G138" s="65" t="inlineStr">
        <is>
          <t>Pago USD</t>
        </is>
      </c>
      <c r="H138" s="65" t="inlineStr">
        <is>
          <t>[0887] MOTOCLASICO 4T SAE 20W-50 (1x12)</t>
        </is>
      </c>
      <c r="I138" s="65" t="n">
        <v>887</v>
      </c>
      <c r="J138" s="63" t="inlineStr">
        <is>
          <t>1,00</t>
        </is>
      </c>
      <c r="K138" s="63" t="inlineStr">
        <is>
          <t>58,62</t>
        </is>
      </c>
      <c r="L138" s="63" t="inlineStr">
        <is>
          <t>0,00</t>
        </is>
      </c>
      <c r="M138" s="63" t="inlineStr">
        <is>
          <t>58,62</t>
        </is>
      </c>
      <c r="N138" s="63" t="inlineStr">
        <is>
          <t>68,00</t>
        </is>
      </c>
      <c r="O138" s="63" t="inlineStr">
        <is>
          <t>58,62</t>
        </is>
      </c>
      <c r="P138" s="63" t="inlineStr">
        <is>
          <t>68,00</t>
        </is>
      </c>
      <c r="Q138" s="63" t="inlineStr">
        <is>
          <t>721,35</t>
        </is>
      </c>
      <c r="R138" s="66" t="n">
        <v>46216</v>
      </c>
      <c r="S138" s="65" t="n">
        <v>379</v>
      </c>
      <c r="T138" s="65" t="inlineStr">
        <is>
          <t>00-00000922</t>
        </is>
      </c>
      <c r="U138" s="63" t="inlineStr">
        <is>
          <t>67,99</t>
        </is>
      </c>
      <c r="V138" s="63" t="inlineStr">
        <is>
          <t>68,00</t>
        </is>
      </c>
    </row>
    <row r="139">
      <c r="A139" s="65" t="inlineStr">
        <is>
          <t>S00392</t>
        </is>
      </c>
      <c r="B139" s="62" t="n">
        <v>46216.61013888889</v>
      </c>
      <c r="C139" s="65" t="inlineStr">
        <is>
          <t>CASERES GONZALEZ RONALD OSWALDO</t>
        </is>
      </c>
      <c r="D139" s="65" t="inlineStr">
        <is>
          <t>TORO ARDILES DAVID JOSE</t>
        </is>
      </c>
      <c r="E139" s="65" t="inlineStr">
        <is>
          <t>7 días</t>
        </is>
      </c>
      <c r="F139" s="65" t="n">
        <v>8</v>
      </c>
      <c r="G139" s="65" t="inlineStr">
        <is>
          <t>Pago USD</t>
        </is>
      </c>
      <c r="H139" s="65" t="inlineStr">
        <is>
          <t>[0878] SS EXTRA PROTECCION API SN SAE 20W-50 (1x12)</t>
        </is>
      </c>
      <c r="I139" s="65" t="n">
        <v>878</v>
      </c>
      <c r="J139" s="63" t="inlineStr">
        <is>
          <t>1,00</t>
        </is>
      </c>
      <c r="K139" s="63" t="inlineStr">
        <is>
          <t>65,52</t>
        </is>
      </c>
      <c r="L139" s="63" t="inlineStr">
        <is>
          <t>0,00</t>
        </is>
      </c>
      <c r="M139" s="63" t="inlineStr">
        <is>
          <t>65,52</t>
        </is>
      </c>
      <c r="N139" s="63" t="inlineStr">
        <is>
          <t>76,00</t>
        </is>
      </c>
      <c r="O139" s="63" t="inlineStr">
        <is>
          <t>65,52</t>
        </is>
      </c>
      <c r="P139" s="63" t="inlineStr">
        <is>
          <t>76,00</t>
        </is>
      </c>
      <c r="Q139" s="63" t="inlineStr">
        <is>
          <t>721,35</t>
        </is>
      </c>
      <c r="R139" s="66" t="n">
        <v>46216</v>
      </c>
      <c r="S139" s="65" t="n">
        <v>380</v>
      </c>
      <c r="T139" s="65" t="inlineStr">
        <is>
          <t>00-00000923</t>
        </is>
      </c>
      <c r="U139" s="63" t="inlineStr">
        <is>
          <t>75,99</t>
        </is>
      </c>
      <c r="V139" s="63" t="inlineStr">
        <is>
          <t>76,00</t>
        </is>
      </c>
    </row>
    <row r="140">
      <c r="A140" s="65" t="inlineStr">
        <is>
          <t>S00384</t>
        </is>
      </c>
      <c r="B140" s="62" t="n">
        <v>46216.60702546296</v>
      </c>
      <c r="C140" s="65" t="inlineStr">
        <is>
          <t>Marco Romero</t>
        </is>
      </c>
      <c r="D140" s="65" t="inlineStr">
        <is>
          <t>Marco Romero</t>
        </is>
      </c>
      <c r="E140" s="65" t="inlineStr">
        <is>
          <t>7 días</t>
        </is>
      </c>
      <c r="F140" s="65" t="n">
        <v>8</v>
      </c>
      <c r="G140" s="65" t="inlineStr">
        <is>
          <t>Pago USD</t>
        </is>
      </c>
      <c r="H140" s="65" t="inlineStr">
        <is>
          <t>[0093] ALTA CILINDRADA SS API SN SAE 15W-40 (1x6)</t>
        </is>
      </c>
      <c r="I140" s="65" t="n">
        <v>93</v>
      </c>
      <c r="J140" s="63" t="inlineStr">
        <is>
          <t>1,00</t>
        </is>
      </c>
      <c r="K140" s="63" t="inlineStr">
        <is>
          <t>30,17</t>
        </is>
      </c>
      <c r="L140" s="63" t="inlineStr">
        <is>
          <t>0,00</t>
        </is>
      </c>
      <c r="M140" s="63" t="inlineStr">
        <is>
          <t>30,17</t>
        </is>
      </c>
      <c r="N140" s="63" t="inlineStr">
        <is>
          <t>35,00</t>
        </is>
      </c>
      <c r="O140" s="63" t="inlineStr">
        <is>
          <t>30,17</t>
        </is>
      </c>
      <c r="P140" s="63" t="inlineStr">
        <is>
          <t>35,00</t>
        </is>
      </c>
      <c r="Q140" s="63" t="inlineStr">
        <is>
          <t>721,35</t>
        </is>
      </c>
      <c r="R140" s="66" t="n">
        <v>46216</v>
      </c>
      <c r="S140" s="65" t="n">
        <v>381</v>
      </c>
      <c r="T140" s="65" t="inlineStr">
        <is>
          <t>00-00000924</t>
        </is>
      </c>
      <c r="U140" s="63" t="inlineStr">
        <is>
          <t>34,99</t>
        </is>
      </c>
      <c r="V140" s="63" t="inlineStr">
        <is>
          <t>35,00</t>
        </is>
      </c>
    </row>
    <row r="141">
      <c r="A141" s="65" t="inlineStr">
        <is>
          <t>S00380</t>
        </is>
      </c>
      <c r="B141" s="62" t="n">
        <v>46216.60672453704</v>
      </c>
      <c r="C141" s="65" t="inlineStr">
        <is>
          <t>Junior Marco Antonio Vivas Navas</t>
        </is>
      </c>
      <c r="D141" s="65" t="inlineStr">
        <is>
          <t>MARTINEZ MONTES JEFFREY ENRIQUE</t>
        </is>
      </c>
      <c r="E141" s="65" t="inlineStr">
        <is>
          <t>7 días</t>
        </is>
      </c>
      <c r="F141" s="65" t="n">
        <v>8</v>
      </c>
      <c r="G141" s="65" t="inlineStr">
        <is>
          <t>Pago USD</t>
        </is>
      </c>
      <c r="H141" s="65" t="inlineStr">
        <is>
          <t>[0093] ALTA CILINDRADA SS API SN SAE 15W-40 (1x6)</t>
        </is>
      </c>
      <c r="I141" s="65" t="n">
        <v>93</v>
      </c>
      <c r="J141" s="63" t="inlineStr">
        <is>
          <t>1,00</t>
        </is>
      </c>
      <c r="K141" s="63" t="inlineStr">
        <is>
          <t>30,17</t>
        </is>
      </c>
      <c r="L141" s="63" t="inlineStr">
        <is>
          <t>0,00</t>
        </is>
      </c>
      <c r="M141" s="63" t="inlineStr">
        <is>
          <t>30,17</t>
        </is>
      </c>
      <c r="N141" s="63" t="inlineStr">
        <is>
          <t>35,00</t>
        </is>
      </c>
      <c r="O141" s="63" t="inlineStr">
        <is>
          <t>76,72</t>
        </is>
      </c>
      <c r="P141" s="63" t="inlineStr">
        <is>
          <t>89,00</t>
        </is>
      </c>
      <c r="Q141" s="63" t="inlineStr">
        <is>
          <t>721,35</t>
        </is>
      </c>
      <c r="R141" s="66" t="n">
        <v>46216</v>
      </c>
      <c r="S141" s="65" t="n">
        <v>382</v>
      </c>
      <c r="T141" s="65" t="inlineStr">
        <is>
          <t>00-00000925</t>
        </is>
      </c>
      <c r="U141" s="63" t="inlineStr">
        <is>
          <t>88,99</t>
        </is>
      </c>
      <c r="V141" s="63" t="inlineStr">
        <is>
          <t>89,00</t>
        </is>
      </c>
    </row>
    <row r="142">
      <c r="A142" s="65" t="n"/>
      <c r="B142" s="65" t="n"/>
      <c r="C142" s="65" t="n"/>
      <c r="D142" s="65" t="n"/>
      <c r="E142" s="65" t="n"/>
      <c r="F142" s="65" t="n"/>
      <c r="G142" s="65" t="n"/>
      <c r="H142" s="65" t="inlineStr">
        <is>
          <t>[0761] LIGA PARA FRENOS DOT-3 (1x12)</t>
        </is>
      </c>
      <c r="I142" s="65" t="n">
        <v>761</v>
      </c>
      <c r="J142" s="63" t="inlineStr">
        <is>
          <t>2,00</t>
        </is>
      </c>
      <c r="K142" s="63" t="inlineStr">
        <is>
          <t>23,28</t>
        </is>
      </c>
      <c r="L142" s="63" t="inlineStr">
        <is>
          <t>0,00</t>
        </is>
      </c>
      <c r="M142" s="63" t="inlineStr">
        <is>
          <t>46,55</t>
        </is>
      </c>
      <c r="N142" s="63" t="inlineStr">
        <is>
          <t>54,00</t>
        </is>
      </c>
      <c r="O142" s="65" t="n"/>
      <c r="P142" s="65" t="n"/>
      <c r="Q142" s="65" t="n"/>
      <c r="R142" s="65" t="n"/>
      <c r="S142" s="65" t="n"/>
      <c r="T142" s="65" t="n"/>
      <c r="U142" s="65" t="n"/>
      <c r="V142" s="65" t="n"/>
    </row>
    <row r="143">
      <c r="A143" s="65" t="inlineStr">
        <is>
          <t>S00366</t>
        </is>
      </c>
      <c r="B143" s="62" t="n">
        <v>46216.59327546296</v>
      </c>
      <c r="C143" s="65" t="inlineStr">
        <is>
          <t>Auto repuestos Fontalvo</t>
        </is>
      </c>
      <c r="D143" s="65" t="inlineStr">
        <is>
          <t>TORO ARDILES DAVID JOSE</t>
        </is>
      </c>
      <c r="E143" s="65" t="inlineStr">
        <is>
          <t>7 días</t>
        </is>
      </c>
      <c r="F143" s="65" t="n">
        <v>8</v>
      </c>
      <c r="G143" s="65" t="inlineStr">
        <is>
          <t>Pago USD</t>
        </is>
      </c>
      <c r="H143" s="65" t="inlineStr">
        <is>
          <t>[0025] SS EXTRA PROTECCION API SN SAE 10W-30 (Gasolina) (1x6)</t>
        </is>
      </c>
      <c r="I143" s="65" t="n">
        <v>25</v>
      </c>
      <c r="J143" s="63" t="inlineStr">
        <is>
          <t>2,00</t>
        </is>
      </c>
      <c r="K143" s="63" t="inlineStr">
        <is>
          <t>32,76</t>
        </is>
      </c>
      <c r="L143" s="63" t="inlineStr">
        <is>
          <t>0,00</t>
        </is>
      </c>
      <c r="M143" s="63" t="inlineStr">
        <is>
          <t>65,52</t>
        </is>
      </c>
      <c r="N143" s="63" t="inlineStr">
        <is>
          <t>76,00</t>
        </is>
      </c>
      <c r="O143" s="63" t="inlineStr">
        <is>
          <t>65,52</t>
        </is>
      </c>
      <c r="P143" s="63" t="inlineStr">
        <is>
          <t>76,00</t>
        </is>
      </c>
      <c r="Q143" s="63" t="inlineStr">
        <is>
          <t>721,35</t>
        </is>
      </c>
      <c r="R143" s="66" t="n">
        <v>46216</v>
      </c>
      <c r="S143" s="65" t="n">
        <v>383</v>
      </c>
      <c r="T143" s="65" t="inlineStr">
        <is>
          <t>00-00000926</t>
        </is>
      </c>
      <c r="U143" s="63" t="inlineStr">
        <is>
          <t>75,99</t>
        </is>
      </c>
      <c r="V143" s="63" t="inlineStr">
        <is>
          <t>0,00</t>
        </is>
      </c>
    </row>
    <row r="144">
      <c r="A144" s="65" t="inlineStr">
        <is>
          <t>S00364</t>
        </is>
      </c>
      <c r="B144" s="62" t="n">
        <v>46216.59241898148</v>
      </c>
      <c r="C144" s="65" t="inlineStr">
        <is>
          <t>CAUCHOS NUÑEZ, C.A.</t>
        </is>
      </c>
      <c r="D144" s="65" t="inlineStr">
        <is>
          <t>VILLABONA CORREA ALBA ESTEFANIA</t>
        </is>
      </c>
      <c r="E144" s="65" t="inlineStr">
        <is>
          <t>7 días</t>
        </is>
      </c>
      <c r="F144" s="65" t="n">
        <v>8</v>
      </c>
      <c r="G144" s="65" t="inlineStr">
        <is>
          <t>Pago USD</t>
        </is>
      </c>
      <c r="H144" s="65" t="inlineStr">
        <is>
          <t>[0779] SINOCO SAE 20W-50 (1x12)</t>
        </is>
      </c>
      <c r="I144" s="65" t="n">
        <v>779</v>
      </c>
      <c r="J144" s="63" t="inlineStr">
        <is>
          <t>2,00</t>
        </is>
      </c>
      <c r="K144" s="63" t="inlineStr">
        <is>
          <t>45,69</t>
        </is>
      </c>
      <c r="L144" s="63" t="inlineStr">
        <is>
          <t>0,00</t>
        </is>
      </c>
      <c r="M144" s="63" t="inlineStr">
        <is>
          <t>91,38</t>
        </is>
      </c>
      <c r="N144" s="63" t="inlineStr">
        <is>
          <t>106,00</t>
        </is>
      </c>
      <c r="O144" s="63" t="inlineStr">
        <is>
          <t>91,38</t>
        </is>
      </c>
      <c r="P144" s="63" t="inlineStr">
        <is>
          <t>106,00</t>
        </is>
      </c>
      <c r="Q144" s="63" t="inlineStr">
        <is>
          <t>721,35</t>
        </is>
      </c>
      <c r="R144" s="66" t="n">
        <v>46216</v>
      </c>
      <c r="S144" s="65" t="n">
        <v>384</v>
      </c>
      <c r="T144" s="65" t="inlineStr">
        <is>
          <t>00-00000927</t>
        </is>
      </c>
      <c r="U144" s="63" t="inlineStr">
        <is>
          <t>105,99</t>
        </is>
      </c>
      <c r="V144" s="63" t="inlineStr">
        <is>
          <t>106,00</t>
        </is>
      </c>
    </row>
    <row r="145">
      <c r="A145" s="65" t="inlineStr">
        <is>
          <t>S00354</t>
        </is>
      </c>
      <c r="B145" s="62" t="n">
        <v>46216.58479166667</v>
      </c>
      <c r="C145" s="65" t="inlineStr">
        <is>
          <t>REPRESENTACIONES LAGUS MEL, C. A</t>
        </is>
      </c>
      <c r="D145" s="65" t="inlineStr">
        <is>
          <t>TORO ARDILES DAVID JOSE</t>
        </is>
      </c>
      <c r="E145" s="65" t="inlineStr">
        <is>
          <t>7 días</t>
        </is>
      </c>
      <c r="F145" s="65" t="n">
        <v>8</v>
      </c>
      <c r="G145" s="65" t="inlineStr">
        <is>
          <t>Pago USD</t>
        </is>
      </c>
      <c r="H145" s="65" t="inlineStr">
        <is>
          <t>[0884] TRANSMATIC ATF DEXRON III (1x12)</t>
        </is>
      </c>
      <c r="I145" s="65" t="n">
        <v>884</v>
      </c>
      <c r="J145" s="63" t="inlineStr">
        <is>
          <t>3,00</t>
        </is>
      </c>
      <c r="K145" s="63" t="inlineStr">
        <is>
          <t>62,07</t>
        </is>
      </c>
      <c r="L145" s="63" t="inlineStr">
        <is>
          <t>0,00</t>
        </is>
      </c>
      <c r="M145" s="63" t="inlineStr">
        <is>
          <t>186,21</t>
        </is>
      </c>
      <c r="N145" s="63" t="inlineStr">
        <is>
          <t>216,00</t>
        </is>
      </c>
      <c r="O145" s="63" t="inlineStr">
        <is>
          <t>186,21</t>
        </is>
      </c>
      <c r="P145" s="63" t="inlineStr">
        <is>
          <t>216,00</t>
        </is>
      </c>
      <c r="Q145" s="63" t="inlineStr">
        <is>
          <t>721,35</t>
        </is>
      </c>
      <c r="R145" s="66" t="n">
        <v>46216</v>
      </c>
      <c r="S145" s="65" t="n">
        <v>385</v>
      </c>
      <c r="T145" s="65" t="inlineStr">
        <is>
          <t>00-00000928</t>
        </is>
      </c>
      <c r="U145" s="63" t="inlineStr">
        <is>
          <t>215,99</t>
        </is>
      </c>
      <c r="V145" s="63" t="inlineStr">
        <is>
          <t>216,00</t>
        </is>
      </c>
    </row>
    <row r="146">
      <c r="A146" s="65" t="inlineStr">
        <is>
          <t>S00353</t>
        </is>
      </c>
      <c r="B146" s="62" t="n">
        <v>46216.58207175926</v>
      </c>
      <c r="C146" s="65" t="inlineStr">
        <is>
          <t>Emprendimiento Tomas Paz</t>
        </is>
      </c>
      <c r="D146" s="65" t="inlineStr">
        <is>
          <t>TORO ARDILES DAVID JOSE</t>
        </is>
      </c>
      <c r="E146" s="65" t="inlineStr">
        <is>
          <t>7 días</t>
        </is>
      </c>
      <c r="F146" s="65" t="n">
        <v>8</v>
      </c>
      <c r="G146" s="65" t="inlineStr">
        <is>
          <t>Pago USD</t>
        </is>
      </c>
      <c r="H146" s="65" t="inlineStr">
        <is>
          <t>[0779] SINOCO SAE 20W-50 (1x12)</t>
        </is>
      </c>
      <c r="I146" s="65" t="n">
        <v>779</v>
      </c>
      <c r="J146" s="63" t="inlineStr">
        <is>
          <t>2,00</t>
        </is>
      </c>
      <c r="K146" s="63" t="inlineStr">
        <is>
          <t>45,69</t>
        </is>
      </c>
      <c r="L146" s="63" t="inlineStr">
        <is>
          <t>0,00</t>
        </is>
      </c>
      <c r="M146" s="63" t="inlineStr">
        <is>
          <t>91,38</t>
        </is>
      </c>
      <c r="N146" s="63" t="inlineStr">
        <is>
          <t>106,00</t>
        </is>
      </c>
      <c r="O146" s="63" t="inlineStr">
        <is>
          <t>91,38</t>
        </is>
      </c>
      <c r="P146" s="63" t="inlineStr">
        <is>
          <t>106,00</t>
        </is>
      </c>
      <c r="Q146" s="63" t="inlineStr">
        <is>
          <t>721,35</t>
        </is>
      </c>
      <c r="R146" s="66" t="n">
        <v>46216</v>
      </c>
      <c r="S146" s="65" t="n">
        <v>386</v>
      </c>
      <c r="T146" s="65" t="inlineStr">
        <is>
          <t>00-00000929</t>
        </is>
      </c>
      <c r="U146" s="63" t="inlineStr">
        <is>
          <t>105,99</t>
        </is>
      </c>
      <c r="V146" s="63" t="inlineStr">
        <is>
          <t>106,00</t>
        </is>
      </c>
    </row>
    <row r="147">
      <c r="A147" s="65" t="inlineStr">
        <is>
          <t>S00350</t>
        </is>
      </c>
      <c r="B147" s="62" t="n">
        <v>46216.56640046297</v>
      </c>
      <c r="C147" s="65" t="inlineStr">
        <is>
          <t>Melany Madrid</t>
        </is>
      </c>
      <c r="D147" s="65" t="inlineStr">
        <is>
          <t>PEREZ DIAZ ANGEL DE DIOS</t>
        </is>
      </c>
      <c r="E147" s="65" t="inlineStr">
        <is>
          <t>45 días</t>
        </is>
      </c>
      <c r="F147" s="65" t="n">
        <v>8</v>
      </c>
      <c r="G147" s="65" t="inlineStr">
        <is>
          <t>Pago USD</t>
        </is>
      </c>
      <c r="H147" s="65" t="inlineStr">
        <is>
          <t>[0603] SINOCO SAE 50 (Tambor)</t>
        </is>
      </c>
      <c r="I147" s="65" t="n">
        <v>603</v>
      </c>
      <c r="J147" s="63" t="inlineStr">
        <is>
          <t>2,00</t>
        </is>
      </c>
      <c r="K147" s="63" t="inlineStr">
        <is>
          <t>601,72</t>
        </is>
      </c>
      <c r="L147" s="63" t="inlineStr">
        <is>
          <t>0,00</t>
        </is>
      </c>
      <c r="M147" s="63" t="inlineStr">
        <is>
          <t>1.203,45</t>
        </is>
      </c>
      <c r="N147" s="63" t="inlineStr">
        <is>
          <t>1.396,00</t>
        </is>
      </c>
      <c r="O147" s="63" t="inlineStr">
        <is>
          <t>1.294,83</t>
        </is>
      </c>
      <c r="P147" s="63" t="inlineStr">
        <is>
          <t>1.502,00</t>
        </is>
      </c>
      <c r="Q147" s="65" t="n"/>
      <c r="R147" s="65" t="n"/>
      <c r="S147" s="65" t="n"/>
      <c r="T147" s="65" t="n"/>
      <c r="U147" s="65" t="n"/>
      <c r="V147" s="65" t="n"/>
    </row>
    <row r="148">
      <c r="A148" s="65" t="n"/>
      <c r="B148" s="65" t="n"/>
      <c r="C148" s="65" t="n"/>
      <c r="D148" s="65" t="n"/>
      <c r="E148" s="65" t="n"/>
      <c r="F148" s="65" t="n"/>
      <c r="G148" s="65" t="n"/>
      <c r="H148" s="65" t="inlineStr">
        <is>
          <t>[0779] SINOCO SAE 20W-50 (1x12)</t>
        </is>
      </c>
      <c r="I148" s="65" t="n">
        <v>779</v>
      </c>
      <c r="J148" s="63" t="inlineStr">
        <is>
          <t>2,00</t>
        </is>
      </c>
      <c r="K148" s="63" t="inlineStr">
        <is>
          <t>45,69</t>
        </is>
      </c>
      <c r="L148" s="63" t="inlineStr">
        <is>
          <t>0,00</t>
        </is>
      </c>
      <c r="M148" s="63" t="inlineStr">
        <is>
          <t>91,38</t>
        </is>
      </c>
      <c r="N148" s="63" t="inlineStr">
        <is>
          <t>106,00</t>
        </is>
      </c>
      <c r="O148" s="65" t="n"/>
      <c r="P148" s="65" t="n"/>
      <c r="Q148" s="65" t="n"/>
      <c r="R148" s="65" t="n"/>
      <c r="S148" s="65" t="n"/>
      <c r="T148" s="65" t="n"/>
      <c r="U148" s="65" t="n"/>
      <c r="V148" s="65" t="n"/>
    </row>
    <row r="149">
      <c r="A149" s="65" t="inlineStr">
        <is>
          <t>S00349</t>
        </is>
      </c>
      <c r="B149" s="62" t="n">
        <v>46214.70309027778</v>
      </c>
      <c r="C149" s="65" t="inlineStr">
        <is>
          <t>CLUDE CARVALHO DE ACOSTA</t>
        </is>
      </c>
      <c r="D149" s="65" t="inlineStr">
        <is>
          <t>TORO ARDILES DAVID JOSE</t>
        </is>
      </c>
      <c r="E149" s="65" t="inlineStr">
        <is>
          <t>7 días</t>
        </is>
      </c>
      <c r="F149" s="65" t="n">
        <v>8</v>
      </c>
      <c r="G149" s="65" t="inlineStr">
        <is>
          <t>Pago USD</t>
        </is>
      </c>
      <c r="H149" s="65" t="inlineStr">
        <is>
          <t>[0774] LIGA PARA FRENOS DOT-4 (1X6)</t>
        </is>
      </c>
      <c r="I149" s="65" t="n">
        <v>774</v>
      </c>
      <c r="J149" s="63" t="inlineStr">
        <is>
          <t>1,00</t>
        </is>
      </c>
      <c r="K149" s="63" t="inlineStr">
        <is>
          <t>42,24</t>
        </is>
      </c>
      <c r="L149" s="63" t="inlineStr">
        <is>
          <t>0,00</t>
        </is>
      </c>
      <c r="M149" s="63" t="inlineStr">
        <is>
          <t>42,24</t>
        </is>
      </c>
      <c r="N149" s="63" t="inlineStr">
        <is>
          <t>49,00</t>
        </is>
      </c>
      <c r="O149" s="63" t="inlineStr">
        <is>
          <t>42,24</t>
        </is>
      </c>
      <c r="P149" s="63" t="inlineStr">
        <is>
          <t>49,00</t>
        </is>
      </c>
      <c r="Q149" s="63" t="inlineStr">
        <is>
          <t>709,69</t>
        </is>
      </c>
      <c r="R149" s="66" t="n">
        <v>46215</v>
      </c>
      <c r="S149" s="65" t="n">
        <v>325</v>
      </c>
      <c r="T149" s="65" t="inlineStr">
        <is>
          <t>00-00000867</t>
        </is>
      </c>
      <c r="U149" s="63" t="inlineStr">
        <is>
          <t>48,99</t>
        </is>
      </c>
      <c r="V149" s="63" t="inlineStr">
        <is>
          <t>49,00</t>
        </is>
      </c>
    </row>
    <row r="150">
      <c r="A150" s="65" t="inlineStr">
        <is>
          <t>S00346</t>
        </is>
      </c>
      <c r="B150" s="62" t="n">
        <v>46214.69947916667</v>
      </c>
      <c r="C150" s="65" t="inlineStr">
        <is>
          <t>AUTOPERIQUITO EL PEQUEÑO CHAMOY, C.A.</t>
        </is>
      </c>
      <c r="D150" s="65" t="inlineStr">
        <is>
          <t>VILLABONA CORREA ALBA ESTEFANIA</t>
        </is>
      </c>
      <c r="E150" s="65" t="inlineStr">
        <is>
          <t>7 días</t>
        </is>
      </c>
      <c r="F150" s="65" t="n">
        <v>8</v>
      </c>
      <c r="G150" s="65" t="inlineStr">
        <is>
          <t>Pago USD</t>
        </is>
      </c>
      <c r="H150" s="65" t="inlineStr">
        <is>
          <t>[0606] SINOCO SAE 20W-50 (Tambor)</t>
        </is>
      </c>
      <c r="I150" s="65" t="n">
        <v>606</v>
      </c>
      <c r="J150" s="63" t="inlineStr">
        <is>
          <t>1,00</t>
        </is>
      </c>
      <c r="K150" s="63" t="inlineStr">
        <is>
          <t>593,10</t>
        </is>
      </c>
      <c r="L150" s="63" t="inlineStr">
        <is>
          <t>0,00</t>
        </is>
      </c>
      <c r="M150" s="63" t="inlineStr">
        <is>
          <t>593,10</t>
        </is>
      </c>
      <c r="N150" s="63" t="inlineStr">
        <is>
          <t>688,00</t>
        </is>
      </c>
      <c r="O150" s="63" t="inlineStr">
        <is>
          <t>593,10</t>
        </is>
      </c>
      <c r="P150" s="63" t="inlineStr">
        <is>
          <t>688,00</t>
        </is>
      </c>
      <c r="Q150" s="63" t="inlineStr">
        <is>
          <t>709,69</t>
        </is>
      </c>
      <c r="R150" s="66" t="n">
        <v>46215</v>
      </c>
      <c r="S150" s="65" t="n">
        <v>326</v>
      </c>
      <c r="T150" s="65" t="inlineStr">
        <is>
          <t>00-00000868</t>
        </is>
      </c>
      <c r="U150" s="63" t="inlineStr">
        <is>
          <t>687,99</t>
        </is>
      </c>
      <c r="V150" s="63" t="inlineStr">
        <is>
          <t>448,00</t>
        </is>
      </c>
    </row>
    <row r="151">
      <c r="A151" s="65" t="n"/>
      <c r="B151" s="65" t="n"/>
      <c r="C151" s="65" t="n"/>
      <c r="D151" s="65" t="n"/>
      <c r="E151" s="65" t="n"/>
      <c r="F151" s="65" t="n"/>
      <c r="G151" s="65" t="n"/>
      <c r="H151" s="65" t="n"/>
      <c r="I151" s="65" t="n"/>
      <c r="J151" s="63" t="inlineStr">
        <is>
          <t>0,00</t>
        </is>
      </c>
      <c r="K151" s="63" t="inlineStr">
        <is>
          <t>0,00</t>
        </is>
      </c>
      <c r="L151" s="63" t="inlineStr">
        <is>
          <t>0,00</t>
        </is>
      </c>
      <c r="M151" s="63" t="inlineStr">
        <is>
          <t>0,00</t>
        </is>
      </c>
      <c r="N151" s="63" t="inlineStr">
        <is>
          <t>0,00</t>
        </is>
      </c>
      <c r="O151" s="65" t="n"/>
      <c r="P151" s="65" t="n"/>
      <c r="Q151" s="65" t="n"/>
      <c r="R151" s="65" t="n"/>
      <c r="S151" s="65" t="n"/>
      <c r="T151" s="65" t="n"/>
      <c r="U151" s="65" t="n"/>
      <c r="V151" s="65" t="n"/>
    </row>
    <row r="152">
      <c r="A152" s="65" t="inlineStr">
        <is>
          <t>S00339</t>
        </is>
      </c>
      <c r="B152" s="62" t="n">
        <v>46214.69315972222</v>
      </c>
      <c r="C152" s="65" t="inlineStr">
        <is>
          <t>La cámara perfecta</t>
        </is>
      </c>
      <c r="D152" s="65" t="inlineStr">
        <is>
          <t>PEREZ DIAZ ANGEL DE DIOS</t>
        </is>
      </c>
      <c r="E152" s="65" t="inlineStr">
        <is>
          <t>7 días</t>
        </is>
      </c>
      <c r="F152" s="65" t="n">
        <v>8</v>
      </c>
      <c r="G152" s="65" t="inlineStr">
        <is>
          <t>Pago USD</t>
        </is>
      </c>
      <c r="H152" s="65" t="inlineStr">
        <is>
          <t>[0602] SINOCO SAE 50 (PAILA)</t>
        </is>
      </c>
      <c r="I152" s="65" t="n">
        <v>602</v>
      </c>
      <c r="J152" s="63" t="inlineStr">
        <is>
          <t>3,00</t>
        </is>
      </c>
      <c r="K152" s="63" t="inlineStr">
        <is>
          <t>62,93</t>
        </is>
      </c>
      <c r="L152" s="63" t="inlineStr">
        <is>
          <t>0,00</t>
        </is>
      </c>
      <c r="M152" s="63" t="inlineStr">
        <is>
          <t>188,79</t>
        </is>
      </c>
      <c r="N152" s="63" t="inlineStr">
        <is>
          <t>219,00</t>
        </is>
      </c>
      <c r="O152" s="63" t="inlineStr">
        <is>
          <t>692,24</t>
        </is>
      </c>
      <c r="P152" s="63" t="inlineStr">
        <is>
          <t>803,00</t>
        </is>
      </c>
      <c r="Q152" s="63" t="inlineStr">
        <is>
          <t>709,69</t>
        </is>
      </c>
      <c r="R152" s="66" t="n">
        <v>46215</v>
      </c>
      <c r="S152" s="65" t="n">
        <v>327</v>
      </c>
      <c r="T152" s="65" t="inlineStr">
        <is>
          <t>00-00000869</t>
        </is>
      </c>
      <c r="U152" s="63" t="inlineStr">
        <is>
          <t>802,98</t>
        </is>
      </c>
      <c r="V152" s="63" t="inlineStr">
        <is>
          <t>803,00</t>
        </is>
      </c>
    </row>
    <row r="153">
      <c r="A153" s="65" t="n"/>
      <c r="B153" s="65" t="n"/>
      <c r="C153" s="65" t="n"/>
      <c r="D153" s="65" t="n"/>
      <c r="E153" s="65" t="n"/>
      <c r="F153" s="65" t="n"/>
      <c r="G153" s="65" t="n"/>
      <c r="H153" s="65" t="inlineStr">
        <is>
          <t>[0605] SINOCO SAE 20W-50 (PAILA)</t>
        </is>
      </c>
      <c r="I153" s="65" t="n">
        <v>605</v>
      </c>
      <c r="J153" s="63" t="inlineStr">
        <is>
          <t>8,00</t>
        </is>
      </c>
      <c r="K153" s="63" t="inlineStr">
        <is>
          <t>62,93</t>
        </is>
      </c>
      <c r="L153" s="63" t="inlineStr">
        <is>
          <t>0,00</t>
        </is>
      </c>
      <c r="M153" s="63" t="inlineStr">
        <is>
          <t>503,45</t>
        </is>
      </c>
      <c r="N153" s="63" t="inlineStr">
        <is>
          <t>584,00</t>
        </is>
      </c>
      <c r="O153" s="65" t="n"/>
      <c r="P153" s="65" t="n"/>
      <c r="Q153" s="65" t="n"/>
      <c r="R153" s="65" t="n"/>
      <c r="S153" s="65" t="n"/>
      <c r="T153" s="65" t="n"/>
      <c r="U153" s="65" t="n"/>
      <c r="V153" s="65" t="n"/>
    </row>
    <row r="154">
      <c r="A154" s="65" t="inlineStr">
        <is>
          <t>S00335</t>
        </is>
      </c>
      <c r="B154" s="62" t="n">
        <v>46214.68280092593</v>
      </c>
      <c r="C154" s="65" t="inlineStr">
        <is>
          <t>Wili Mervin León Romero</t>
        </is>
      </c>
      <c r="D154" s="65" t="inlineStr">
        <is>
          <t>GRIMAN DIAZ HECTOR EDUARDO</t>
        </is>
      </c>
      <c r="E154" s="65" t="inlineStr">
        <is>
          <t>7 días</t>
        </is>
      </c>
      <c r="F154" s="65" t="n">
        <v>8</v>
      </c>
      <c r="G154" s="65" t="inlineStr">
        <is>
          <t>Pago USD</t>
        </is>
      </c>
      <c r="H154" s="65" t="inlineStr">
        <is>
          <t>[0887] MOTOCLASICO 4T SAE 20W-50 (1x12)</t>
        </is>
      </c>
      <c r="I154" s="65" t="n">
        <v>887</v>
      </c>
      <c r="J154" s="63" t="inlineStr">
        <is>
          <t>1,00</t>
        </is>
      </c>
      <c r="K154" s="63" t="inlineStr">
        <is>
          <t>58,62</t>
        </is>
      </c>
      <c r="L154" s="63" t="inlineStr">
        <is>
          <t>0,00</t>
        </is>
      </c>
      <c r="M154" s="63" t="inlineStr">
        <is>
          <t>58,62</t>
        </is>
      </c>
      <c r="N154" s="63" t="inlineStr">
        <is>
          <t>68,00</t>
        </is>
      </c>
      <c r="O154" s="63" t="inlineStr">
        <is>
          <t>251,72</t>
        </is>
      </c>
      <c r="P154" s="63" t="inlineStr">
        <is>
          <t>291,99</t>
        </is>
      </c>
      <c r="Q154" s="63" t="inlineStr">
        <is>
          <t>709,69</t>
        </is>
      </c>
      <c r="R154" s="66" t="n">
        <v>46215</v>
      </c>
      <c r="S154" s="65" t="n">
        <v>328</v>
      </c>
      <c r="T154" s="65" t="inlineStr">
        <is>
          <t>00-00000870</t>
        </is>
      </c>
      <c r="U154" s="63" t="inlineStr">
        <is>
          <t>291,98</t>
        </is>
      </c>
      <c r="V154" s="63" t="inlineStr">
        <is>
          <t>292,00</t>
        </is>
      </c>
    </row>
    <row r="155">
      <c r="A155" s="65" t="n"/>
      <c r="B155" s="65" t="n"/>
      <c r="C155" s="65" t="n"/>
      <c r="D155" s="65" t="n"/>
      <c r="E155" s="65" t="n"/>
      <c r="F155" s="65" t="n"/>
      <c r="G155" s="65" t="n"/>
      <c r="H155" s="65" t="inlineStr">
        <is>
          <t>[0884] TRANSMATIC ATF DEXRON III (1x12)</t>
        </is>
      </c>
      <c r="I155" s="65" t="n">
        <v>884</v>
      </c>
      <c r="J155" s="63" t="inlineStr">
        <is>
          <t>1,00</t>
        </is>
      </c>
      <c r="K155" s="63" t="inlineStr">
        <is>
          <t>62,07</t>
        </is>
      </c>
      <c r="L155" s="63" t="inlineStr">
        <is>
          <t>0,00</t>
        </is>
      </c>
      <c r="M155" s="63" t="inlineStr">
        <is>
          <t>62,07</t>
        </is>
      </c>
      <c r="N155" s="63" t="inlineStr">
        <is>
          <t>72,00</t>
        </is>
      </c>
      <c r="O155" s="65" t="n"/>
      <c r="P155" s="65" t="n"/>
      <c r="Q155" s="65" t="n"/>
      <c r="R155" s="65" t="n"/>
      <c r="S155" s="65" t="n"/>
      <c r="T155" s="65" t="n"/>
      <c r="U155" s="65" t="n"/>
      <c r="V155" s="65" t="n"/>
    </row>
    <row r="156">
      <c r="A156" s="65" t="n"/>
      <c r="B156" s="65" t="n"/>
      <c r="C156" s="65" t="n"/>
      <c r="D156" s="65" t="n"/>
      <c r="E156" s="65" t="n"/>
      <c r="F156" s="65" t="n"/>
      <c r="G156" s="65" t="n"/>
      <c r="H156" s="65" t="inlineStr">
        <is>
          <t>[0877] SS EXTRA PROTECCION API SN SAE 15W-40 (1X12)</t>
        </is>
      </c>
      <c r="I156" s="65" t="n">
        <v>877</v>
      </c>
      <c r="J156" s="63" t="inlineStr">
        <is>
          <t>2,00</t>
        </is>
      </c>
      <c r="K156" s="63" t="inlineStr">
        <is>
          <t>65,52</t>
        </is>
      </c>
      <c r="L156" s="63" t="inlineStr">
        <is>
          <t>0,00</t>
        </is>
      </c>
      <c r="M156" s="63" t="inlineStr">
        <is>
          <t>131,03</t>
        </is>
      </c>
      <c r="N156" s="63" t="inlineStr">
        <is>
          <t>151,99</t>
        </is>
      </c>
      <c r="O156" s="65" t="n"/>
      <c r="P156" s="65" t="n"/>
      <c r="Q156" s="65" t="n"/>
      <c r="R156" s="65" t="n"/>
      <c r="S156" s="65" t="n"/>
      <c r="T156" s="65" t="n"/>
      <c r="U156" s="65" t="n"/>
      <c r="V156" s="65" t="n"/>
    </row>
    <row r="157">
      <c r="A157" s="65" t="inlineStr">
        <is>
          <t>S00334</t>
        </is>
      </c>
      <c r="B157" s="62" t="n">
        <v>46214.68166666666</v>
      </c>
      <c r="C157" s="65" t="inlineStr">
        <is>
          <t>LOGISTICA Y CONSULTORIA VINCARS, C.A.</t>
        </is>
      </c>
      <c r="D157" s="65" t="inlineStr">
        <is>
          <t>QUEVEDO BASTIDAS NEYKEL DAVID</t>
        </is>
      </c>
      <c r="E157" s="65" t="inlineStr">
        <is>
          <t>30 días</t>
        </is>
      </c>
      <c r="F157" s="65" t="n">
        <v>8</v>
      </c>
      <c r="G157" s="65" t="inlineStr">
        <is>
          <t>Pago USD</t>
        </is>
      </c>
      <c r="H157" s="65" t="inlineStr">
        <is>
          <t>[0886] TRANSMATIC DEXRON VI (1x12)</t>
        </is>
      </c>
      <c r="I157" s="65" t="n">
        <v>886</v>
      </c>
      <c r="J157" s="63" t="inlineStr">
        <is>
          <t>1,00</t>
        </is>
      </c>
      <c r="K157" s="63" t="inlineStr">
        <is>
          <t>102,59</t>
        </is>
      </c>
      <c r="L157" s="63" t="inlineStr">
        <is>
          <t>0,00</t>
        </is>
      </c>
      <c r="M157" s="63" t="inlineStr">
        <is>
          <t>102,59</t>
        </is>
      </c>
      <c r="N157" s="63" t="inlineStr">
        <is>
          <t>119,00</t>
        </is>
      </c>
      <c r="O157" s="63" t="inlineStr">
        <is>
          <t>168,11</t>
        </is>
      </c>
      <c r="P157" s="63" t="inlineStr">
        <is>
          <t>195,00</t>
        </is>
      </c>
      <c r="Q157" s="63" t="inlineStr">
        <is>
          <t>709,69</t>
        </is>
      </c>
      <c r="R157" s="66" t="n">
        <v>46215</v>
      </c>
      <c r="S157" s="65" t="n">
        <v>329</v>
      </c>
      <c r="T157" s="65" t="inlineStr">
        <is>
          <t>00-00000871</t>
        </is>
      </c>
      <c r="U157" s="63" t="inlineStr">
        <is>
          <t>194,98</t>
        </is>
      </c>
      <c r="V157" s="63" t="inlineStr">
        <is>
          <t>195,00</t>
        </is>
      </c>
    </row>
    <row r="158">
      <c r="A158" s="65" t="n"/>
      <c r="B158" s="65" t="n"/>
      <c r="C158" s="65" t="n"/>
      <c r="D158" s="65" t="n"/>
      <c r="E158" s="65" t="n"/>
      <c r="F158" s="65" t="n"/>
      <c r="G158" s="65" t="n"/>
      <c r="H158" s="65" t="inlineStr">
        <is>
          <t>[0877] SS EXTRA PROTECCION API SN SAE 15W-40 (1X12)</t>
        </is>
      </c>
      <c r="I158" s="65" t="n">
        <v>877</v>
      </c>
      <c r="J158" s="63" t="inlineStr">
        <is>
          <t>1,00</t>
        </is>
      </c>
      <c r="K158" s="63" t="inlineStr">
        <is>
          <t>65,52</t>
        </is>
      </c>
      <c r="L158" s="63" t="inlineStr">
        <is>
          <t>0,00</t>
        </is>
      </c>
      <c r="M158" s="63" t="inlineStr">
        <is>
          <t>65,52</t>
        </is>
      </c>
      <c r="N158" s="63" t="inlineStr">
        <is>
          <t>76,00</t>
        </is>
      </c>
      <c r="O158" s="65" t="n"/>
      <c r="P158" s="65" t="n"/>
      <c r="Q158" s="65" t="n"/>
      <c r="R158" s="65" t="n"/>
      <c r="S158" s="65" t="n"/>
      <c r="T158" s="65" t="n"/>
      <c r="U158" s="65" t="n"/>
      <c r="V158" s="65" t="n"/>
    </row>
    <row r="159">
      <c r="A159" s="65" t="inlineStr">
        <is>
          <t>S00324</t>
        </is>
      </c>
      <c r="B159" s="62" t="n">
        <v>46214.67648148148</v>
      </c>
      <c r="C159" s="65" t="inlineStr">
        <is>
          <t>Nemer Bourji</t>
        </is>
      </c>
      <c r="D159" s="65" t="inlineStr">
        <is>
          <t>TORO ARDILES DAVID JOSE</t>
        </is>
      </c>
      <c r="E159" s="65" t="inlineStr">
        <is>
          <t>7 días</t>
        </is>
      </c>
      <c r="F159" s="65" t="n">
        <v>8</v>
      </c>
      <c r="G159" s="65" t="inlineStr">
        <is>
          <t>Pago USD</t>
        </is>
      </c>
      <c r="H159" s="65" t="inlineStr">
        <is>
          <t>[0795] REFRIGERANTE GLOBAL ORANGE PREMIUM 50-50 CONCENTRADO (1x3)</t>
        </is>
      </c>
      <c r="I159" s="65" t="n">
        <v>795</v>
      </c>
      <c r="J159" s="63" t="inlineStr">
        <is>
          <t>4,00</t>
        </is>
      </c>
      <c r="K159" s="63" t="inlineStr">
        <is>
          <t>33,62</t>
        </is>
      </c>
      <c r="L159" s="63" t="inlineStr">
        <is>
          <t>0,00</t>
        </is>
      </c>
      <c r="M159" s="63" t="inlineStr">
        <is>
          <t>134,48</t>
        </is>
      </c>
      <c r="N159" s="63" t="inlineStr">
        <is>
          <t>156,00</t>
        </is>
      </c>
      <c r="O159" s="63" t="inlineStr">
        <is>
          <t>134,48</t>
        </is>
      </c>
      <c r="P159" s="63" t="inlineStr">
        <is>
          <t>156,00</t>
        </is>
      </c>
      <c r="Q159" s="63" t="inlineStr">
        <is>
          <t>709,69</t>
        </is>
      </c>
      <c r="R159" s="66" t="n">
        <v>46215</v>
      </c>
      <c r="S159" s="65" t="n">
        <v>330</v>
      </c>
      <c r="T159" s="65" t="inlineStr">
        <is>
          <t>00-00000872</t>
        </is>
      </c>
      <c r="U159" s="63" t="inlineStr">
        <is>
          <t>155,99</t>
        </is>
      </c>
      <c r="V159" s="63" t="inlineStr">
        <is>
          <t>156,00</t>
        </is>
      </c>
    </row>
    <row r="160">
      <c r="A160" s="65" t="inlineStr">
        <is>
          <t>S00323</t>
        </is>
      </c>
      <c r="B160" s="62" t="n">
        <v>46214.6756712963</v>
      </c>
      <c r="C160" s="65" t="inlineStr">
        <is>
          <t>FREDI MARQUEZ</t>
        </is>
      </c>
      <c r="D160" s="65" t="inlineStr">
        <is>
          <t>PEREZ DIAZ ANGEL DE DIOS</t>
        </is>
      </c>
      <c r="E160" s="65" t="inlineStr">
        <is>
          <t>7 días</t>
        </is>
      </c>
      <c r="F160" s="65" t="n">
        <v>8</v>
      </c>
      <c r="G160" s="65" t="inlineStr">
        <is>
          <t>Pago USD</t>
        </is>
      </c>
      <c r="H160" s="65" t="inlineStr">
        <is>
          <t>[0602] SINOCO SAE 50 (PAILA)</t>
        </is>
      </c>
      <c r="I160" s="65" t="n">
        <v>602</v>
      </c>
      <c r="J160" s="63" t="inlineStr">
        <is>
          <t>2,00</t>
        </is>
      </c>
      <c r="K160" s="63" t="inlineStr">
        <is>
          <t>62,93</t>
        </is>
      </c>
      <c r="L160" s="63" t="inlineStr">
        <is>
          <t>7,53</t>
        </is>
      </c>
      <c r="M160" s="63" t="inlineStr">
        <is>
          <t>116,38</t>
        </is>
      </c>
      <c r="N160" s="63" t="inlineStr">
        <is>
          <t>135,00</t>
        </is>
      </c>
      <c r="O160" s="63" t="inlineStr">
        <is>
          <t>116,38</t>
        </is>
      </c>
      <c r="P160" s="63" t="inlineStr">
        <is>
          <t>135,00</t>
        </is>
      </c>
      <c r="Q160" s="63" t="inlineStr">
        <is>
          <t>709,69</t>
        </is>
      </c>
      <c r="R160" s="66" t="n">
        <v>46215</v>
      </c>
      <c r="S160" s="65" t="n">
        <v>331</v>
      </c>
      <c r="T160" s="65" t="inlineStr">
        <is>
          <t>00-00000873</t>
        </is>
      </c>
      <c r="U160" s="63" t="inlineStr">
        <is>
          <t>135,00</t>
        </is>
      </c>
      <c r="V160" s="63" t="inlineStr">
        <is>
          <t>135,01</t>
        </is>
      </c>
    </row>
    <row r="161">
      <c r="A161" s="65" t="inlineStr">
        <is>
          <t>S00318</t>
        </is>
      </c>
      <c r="B161" s="62" t="n">
        <v>46214.67203703704</v>
      </c>
      <c r="C161" s="65" t="inlineStr">
        <is>
          <t>JOSE RAFAEL MARTÍNEZ</t>
        </is>
      </c>
      <c r="D161" s="65" t="inlineStr">
        <is>
          <t>TORO ARDILES DAVID JOSE</t>
        </is>
      </c>
      <c r="E161" s="65" t="inlineStr">
        <is>
          <t>7 días</t>
        </is>
      </c>
      <c r="F161" s="65" t="n">
        <v>8</v>
      </c>
      <c r="G161" s="65" t="inlineStr">
        <is>
          <t>Pago USD</t>
        </is>
      </c>
      <c r="H161" s="65" t="inlineStr">
        <is>
          <t>[0779] SINOCO SAE 20W-50 (1x12)</t>
        </is>
      </c>
      <c r="I161" s="65" t="n">
        <v>779</v>
      </c>
      <c r="J161" s="63" t="inlineStr">
        <is>
          <t>1,00</t>
        </is>
      </c>
      <c r="K161" s="63" t="inlineStr">
        <is>
          <t>45,69</t>
        </is>
      </c>
      <c r="L161" s="63" t="inlineStr">
        <is>
          <t>0,00</t>
        </is>
      </c>
      <c r="M161" s="63" t="inlineStr">
        <is>
          <t>45,69</t>
        </is>
      </c>
      <c r="N161" s="63" t="inlineStr">
        <is>
          <t>53,00</t>
        </is>
      </c>
      <c r="O161" s="63" t="inlineStr">
        <is>
          <t>45,69</t>
        </is>
      </c>
      <c r="P161" s="63" t="inlineStr">
        <is>
          <t>53,00</t>
        </is>
      </c>
      <c r="Q161" s="63" t="inlineStr">
        <is>
          <t>709,69</t>
        </is>
      </c>
      <c r="R161" s="66" t="n">
        <v>46215</v>
      </c>
      <c r="S161" s="65" t="n">
        <v>332</v>
      </c>
      <c r="T161" s="65" t="inlineStr">
        <is>
          <t>00-00000874</t>
        </is>
      </c>
      <c r="U161" s="63" t="inlineStr">
        <is>
          <t>52,99</t>
        </is>
      </c>
      <c r="V161" s="63" t="inlineStr">
        <is>
          <t>53,00</t>
        </is>
      </c>
    </row>
    <row r="162">
      <c r="A162" s="65" t="inlineStr">
        <is>
          <t>S00317</t>
        </is>
      </c>
      <c r="B162" s="62" t="n">
        <v>46214.66940972222</v>
      </c>
      <c r="C162" s="65" t="inlineStr">
        <is>
          <t>ACCESORIOS Y REPUESTOS MOTO CAR 20-11-C.A</t>
        </is>
      </c>
      <c r="D162" s="65" t="inlineStr">
        <is>
          <t>VILLABONA CORREA ALBA ESTEFANIA</t>
        </is>
      </c>
      <c r="E162" s="65" t="inlineStr">
        <is>
          <t>7 días</t>
        </is>
      </c>
      <c r="F162" s="65" t="n">
        <v>8</v>
      </c>
      <c r="G162" s="65" t="inlineStr">
        <is>
          <t>Pago USD</t>
        </is>
      </c>
      <c r="H162" s="65" t="inlineStr">
        <is>
          <t>[0779] SINOCO SAE 20W-50 (1x12)</t>
        </is>
      </c>
      <c r="I162" s="65" t="n">
        <v>779</v>
      </c>
      <c r="J162" s="63" t="inlineStr">
        <is>
          <t>1,00</t>
        </is>
      </c>
      <c r="K162" s="63" t="inlineStr">
        <is>
          <t>45,69</t>
        </is>
      </c>
      <c r="L162" s="63" t="inlineStr">
        <is>
          <t>0,00</t>
        </is>
      </c>
      <c r="M162" s="63" t="inlineStr">
        <is>
          <t>45,69</t>
        </is>
      </c>
      <c r="N162" s="63" t="inlineStr">
        <is>
          <t>53,00</t>
        </is>
      </c>
      <c r="O162" s="63" t="inlineStr">
        <is>
          <t>200,86</t>
        </is>
      </c>
      <c r="P162" s="63" t="inlineStr">
        <is>
          <t>232,99</t>
        </is>
      </c>
      <c r="Q162" s="63" t="inlineStr">
        <is>
          <t>709,69</t>
        </is>
      </c>
      <c r="R162" s="66" t="n">
        <v>46215</v>
      </c>
      <c r="S162" s="65" t="n">
        <v>333</v>
      </c>
      <c r="T162" s="65" t="inlineStr">
        <is>
          <t>00-00000875</t>
        </is>
      </c>
      <c r="U162" s="63" t="inlineStr">
        <is>
          <t>232,97</t>
        </is>
      </c>
      <c r="V162" s="63" t="inlineStr">
        <is>
          <t>141,00</t>
        </is>
      </c>
    </row>
    <row r="163">
      <c r="A163" s="65" t="n"/>
      <c r="B163" s="65" t="n"/>
      <c r="C163" s="65" t="n"/>
      <c r="D163" s="65" t="n"/>
      <c r="E163" s="65" t="n"/>
      <c r="F163" s="65" t="n"/>
      <c r="G163" s="65" t="n"/>
      <c r="H163" s="65" t="inlineStr">
        <is>
          <t>[0878] SS EXTRA PROTECCION API SN SAE 20W-50 (1x12)</t>
        </is>
      </c>
      <c r="I163" s="65" t="n">
        <v>878</v>
      </c>
      <c r="J163" s="63" t="inlineStr">
        <is>
          <t>1,00</t>
        </is>
      </c>
      <c r="K163" s="63" t="inlineStr">
        <is>
          <t>65,52</t>
        </is>
      </c>
      <c r="L163" s="63" t="inlineStr">
        <is>
          <t>0,00</t>
        </is>
      </c>
      <c r="M163" s="63" t="inlineStr">
        <is>
          <t>65,52</t>
        </is>
      </c>
      <c r="N163" s="63" t="inlineStr">
        <is>
          <t>76,00</t>
        </is>
      </c>
      <c r="O163" s="65" t="n"/>
      <c r="P163" s="65" t="n"/>
      <c r="Q163" s="65" t="n"/>
      <c r="R163" s="65" t="n"/>
      <c r="S163" s="65" t="n"/>
      <c r="T163" s="65" t="n"/>
      <c r="U163" s="65" t="n"/>
      <c r="V163" s="65" t="n"/>
    </row>
    <row r="164">
      <c r="A164" s="65" t="n"/>
      <c r="B164" s="65" t="n"/>
      <c r="C164" s="65" t="n"/>
      <c r="D164" s="65" t="n"/>
      <c r="E164" s="65" t="n"/>
      <c r="F164" s="65" t="n"/>
      <c r="G164" s="65" t="n"/>
      <c r="H164" s="65" t="inlineStr">
        <is>
          <t>[0881] CLASICO API SL SAE 20W-50 (1x12)</t>
        </is>
      </c>
      <c r="I164" s="65" t="n">
        <v>881</v>
      </c>
      <c r="J164" s="63" t="inlineStr">
        <is>
          <t>1,00</t>
        </is>
      </c>
      <c r="K164" s="63" t="inlineStr">
        <is>
          <t>56,03</t>
        </is>
      </c>
      <c r="L164" s="63" t="inlineStr">
        <is>
          <t>0,00</t>
        </is>
      </c>
      <c r="M164" s="63" t="inlineStr">
        <is>
          <t>56,03</t>
        </is>
      </c>
      <c r="N164" s="63" t="inlineStr">
        <is>
          <t>64,99</t>
        </is>
      </c>
      <c r="O164" s="65" t="n"/>
      <c r="P164" s="65" t="n"/>
      <c r="Q164" s="65" t="n"/>
      <c r="R164" s="65" t="n"/>
      <c r="S164" s="65" t="n"/>
      <c r="T164" s="65" t="n"/>
      <c r="U164" s="65" t="n"/>
      <c r="V164" s="65" t="n"/>
    </row>
    <row r="165">
      <c r="A165" s="65" t="n"/>
      <c r="B165" s="65" t="n"/>
      <c r="C165" s="65" t="n"/>
      <c r="D165" s="65" t="n"/>
      <c r="E165" s="65" t="n"/>
      <c r="F165" s="65" t="n"/>
      <c r="G165" s="65" t="n"/>
      <c r="H165" s="65" t="inlineStr">
        <is>
          <t>[0561] MEJORADOR DE OCTANAJE GLOBAL OIL PACK (1X12)</t>
        </is>
      </c>
      <c r="I165" s="65" t="n">
        <v>561</v>
      </c>
      <c r="J165" s="63" t="inlineStr">
        <is>
          <t>1,00</t>
        </is>
      </c>
      <c r="K165" s="63" t="inlineStr">
        <is>
          <t>33,62</t>
        </is>
      </c>
      <c r="L165" s="63" t="inlineStr">
        <is>
          <t>0,00</t>
        </is>
      </c>
      <c r="M165" s="63" t="inlineStr">
        <is>
          <t>33,62</t>
        </is>
      </c>
      <c r="N165" s="63" t="inlineStr">
        <is>
          <t>39,00</t>
        </is>
      </c>
      <c r="O165" s="65" t="n"/>
      <c r="P165" s="65" t="n"/>
      <c r="Q165" s="65" t="n"/>
      <c r="R165" s="65" t="n"/>
      <c r="S165" s="65" t="n"/>
      <c r="T165" s="65" t="n"/>
      <c r="U165" s="65" t="n"/>
      <c r="V165" s="65" t="n"/>
    </row>
    <row r="166">
      <c r="A166" s="65" t="inlineStr">
        <is>
          <t>S00304</t>
        </is>
      </c>
      <c r="B166" s="62" t="n">
        <v>46214.64640046296</v>
      </c>
      <c r="C166" s="65" t="inlineStr">
        <is>
          <t>TALLER TNMCAR, C.A</t>
        </is>
      </c>
      <c r="D166" s="65" t="inlineStr">
        <is>
          <t>VILLABONA CORREA ALBA ESTEFANIA</t>
        </is>
      </c>
      <c r="E166" s="65" t="inlineStr">
        <is>
          <t>7 días</t>
        </is>
      </c>
      <c r="F166" s="65" t="n">
        <v>8</v>
      </c>
      <c r="G166" s="65" t="inlineStr">
        <is>
          <t>Pago USD</t>
        </is>
      </c>
      <c r="H166" s="65" t="inlineStr">
        <is>
          <t>[0937] SS EXTRA PROTECCION API SN SAE 15W-40 (1X3)</t>
        </is>
      </c>
      <c r="I166" s="65" t="n">
        <v>937</v>
      </c>
      <c r="J166" s="63" t="inlineStr">
        <is>
          <t>1,00</t>
        </is>
      </c>
      <c r="K166" s="63" t="inlineStr">
        <is>
          <t>68,10</t>
        </is>
      </c>
      <c r="L166" s="63" t="inlineStr">
        <is>
          <t>0,00</t>
        </is>
      </c>
      <c r="M166" s="63" t="inlineStr">
        <is>
          <t>68,10</t>
        </is>
      </c>
      <c r="N166" s="63" t="inlineStr">
        <is>
          <t>79,00</t>
        </is>
      </c>
      <c r="O166" s="63" t="inlineStr">
        <is>
          <t>682,75</t>
        </is>
      </c>
      <c r="P166" s="63" t="inlineStr">
        <is>
          <t>792,00</t>
        </is>
      </c>
      <c r="Q166" s="63" t="inlineStr">
        <is>
          <t>709,69</t>
        </is>
      </c>
      <c r="R166" s="66" t="n">
        <v>46215</v>
      </c>
      <c r="S166" s="65" t="n">
        <v>304</v>
      </c>
      <c r="T166" s="65" t="inlineStr">
        <is>
          <t>00-00000846</t>
        </is>
      </c>
      <c r="U166" s="63" t="inlineStr">
        <is>
          <t>791,94</t>
        </is>
      </c>
      <c r="V166" s="63" t="inlineStr">
        <is>
          <t>792,00</t>
        </is>
      </c>
    </row>
    <row r="167">
      <c r="A167" s="65" t="n"/>
      <c r="B167" s="65" t="n"/>
      <c r="C167" s="65" t="n"/>
      <c r="D167" s="65" t="n"/>
      <c r="E167" s="65" t="n"/>
      <c r="F167" s="65" t="n"/>
      <c r="G167" s="65" t="n"/>
      <c r="H167" s="65" t="inlineStr">
        <is>
          <t>[0938] CLASICO API SL SAE 20W-50 (1X3)</t>
        </is>
      </c>
      <c r="I167" s="65" t="n">
        <v>938</v>
      </c>
      <c r="J167" s="63" t="inlineStr">
        <is>
          <t>1,00</t>
        </is>
      </c>
      <c r="K167" s="63" t="inlineStr">
        <is>
          <t>61,21</t>
        </is>
      </c>
      <c r="L167" s="63" t="inlineStr">
        <is>
          <t>0,00</t>
        </is>
      </c>
      <c r="M167" s="63" t="inlineStr">
        <is>
          <t>61,21</t>
        </is>
      </c>
      <c r="N167" s="63" t="inlineStr">
        <is>
          <t>71,00</t>
        </is>
      </c>
      <c r="O167" s="65" t="n"/>
      <c r="P167" s="65" t="n"/>
      <c r="Q167" s="65" t="n"/>
      <c r="R167" s="65" t="n"/>
      <c r="S167" s="65" t="n"/>
      <c r="T167" s="65" t="n"/>
      <c r="U167" s="65" t="n"/>
      <c r="V167" s="65" t="n"/>
    </row>
    <row r="168">
      <c r="A168" s="65" t="n"/>
      <c r="B168" s="65" t="n"/>
      <c r="C168" s="65" t="n"/>
      <c r="D168" s="65" t="n"/>
      <c r="E168" s="65" t="n"/>
      <c r="F168" s="65" t="n"/>
      <c r="G168" s="65" t="n"/>
      <c r="H168" s="65" t="inlineStr">
        <is>
          <t>[0877] SS EXTRA PROTECCION API SN SAE 15W-40 (1X12)</t>
        </is>
      </c>
      <c r="I168" s="65" t="n">
        <v>877</v>
      </c>
      <c r="J168" s="63" t="inlineStr">
        <is>
          <t>1,00</t>
        </is>
      </c>
      <c r="K168" s="63" t="inlineStr">
        <is>
          <t>65,52</t>
        </is>
      </c>
      <c r="L168" s="63" t="inlineStr">
        <is>
          <t>0,00</t>
        </is>
      </c>
      <c r="M168" s="63" t="inlineStr">
        <is>
          <t>65,52</t>
        </is>
      </c>
      <c r="N168" s="63" t="inlineStr">
        <is>
          <t>76,00</t>
        </is>
      </c>
      <c r="O168" s="65" t="n"/>
      <c r="P168" s="65" t="n"/>
      <c r="Q168" s="65" t="n"/>
      <c r="R168" s="65" t="n"/>
      <c r="S168" s="65" t="n"/>
      <c r="T168" s="65" t="n"/>
      <c r="U168" s="65" t="n"/>
      <c r="V168" s="65" t="n"/>
    </row>
    <row r="169">
      <c r="A169" s="65" t="n"/>
      <c r="B169" s="65" t="n"/>
      <c r="C169" s="65" t="n"/>
      <c r="D169" s="65" t="n"/>
      <c r="E169" s="65" t="n"/>
      <c r="F169" s="65" t="n"/>
      <c r="G169" s="65" t="n"/>
      <c r="H169" s="65" t="inlineStr">
        <is>
          <t>[0093] ALTA CILINDRADA SS API SN SAE 15W-40 (1x6)</t>
        </is>
      </c>
      <c r="I169" s="65" t="n">
        <v>93</v>
      </c>
      <c r="J169" s="63" t="inlineStr">
        <is>
          <t>1,00</t>
        </is>
      </c>
      <c r="K169" s="63" t="inlineStr">
        <is>
          <t>30,17</t>
        </is>
      </c>
      <c r="L169" s="63" t="inlineStr">
        <is>
          <t>0,00</t>
        </is>
      </c>
      <c r="M169" s="63" t="inlineStr">
        <is>
          <t>30,17</t>
        </is>
      </c>
      <c r="N169" s="63" t="inlineStr">
        <is>
          <t>35,00</t>
        </is>
      </c>
      <c r="O169" s="65" t="n"/>
      <c r="P169" s="65" t="n"/>
      <c r="Q169" s="65" t="n"/>
      <c r="R169" s="65" t="n"/>
      <c r="S169" s="65" t="n"/>
      <c r="T169" s="65" t="n"/>
      <c r="U169" s="65" t="n"/>
      <c r="V169" s="65" t="n"/>
    </row>
    <row r="170">
      <c r="A170" s="65" t="n"/>
      <c r="B170" s="65" t="n"/>
      <c r="C170" s="65" t="n"/>
      <c r="D170" s="65" t="n"/>
      <c r="E170" s="65" t="n"/>
      <c r="F170" s="65" t="n"/>
      <c r="G170" s="65" t="n"/>
      <c r="H170" s="65" t="inlineStr">
        <is>
          <t>[0885] TRANSMATIC ATF MERCON V (1x12)</t>
        </is>
      </c>
      <c r="I170" s="65" t="n">
        <v>885</v>
      </c>
      <c r="J170" s="63" t="inlineStr">
        <is>
          <t>1,00</t>
        </is>
      </c>
      <c r="K170" s="63" t="inlineStr">
        <is>
          <t>102,59</t>
        </is>
      </c>
      <c r="L170" s="63" t="inlineStr">
        <is>
          <t>0,00</t>
        </is>
      </c>
      <c r="M170" s="63" t="inlineStr">
        <is>
          <t>102,59</t>
        </is>
      </c>
      <c r="N170" s="63" t="inlineStr">
        <is>
          <t>119,00</t>
        </is>
      </c>
      <c r="O170" s="65" t="n"/>
      <c r="P170" s="65" t="n"/>
      <c r="Q170" s="65" t="n"/>
      <c r="R170" s="65" t="n"/>
      <c r="S170" s="65" t="n"/>
      <c r="T170" s="65" t="n"/>
      <c r="U170" s="65" t="n"/>
      <c r="V170" s="65" t="n"/>
    </row>
    <row r="171">
      <c r="A171" s="65" t="n"/>
      <c r="B171" s="65" t="n"/>
      <c r="C171" s="65" t="n"/>
      <c r="D171" s="65" t="n"/>
      <c r="E171" s="65" t="n"/>
      <c r="F171" s="65" t="n"/>
      <c r="G171" s="65" t="n"/>
      <c r="H171" s="65" t="inlineStr">
        <is>
          <t>[0886] TRANSMATIC DEXRON VI (1x12)</t>
        </is>
      </c>
      <c r="I171" s="65" t="n">
        <v>886</v>
      </c>
      <c r="J171" s="63" t="inlineStr">
        <is>
          <t>1,00</t>
        </is>
      </c>
      <c r="K171" s="63" t="inlineStr">
        <is>
          <t>102,59</t>
        </is>
      </c>
      <c r="L171" s="63" t="inlineStr">
        <is>
          <t>0,00</t>
        </is>
      </c>
      <c r="M171" s="63" t="inlineStr">
        <is>
          <t>102,59</t>
        </is>
      </c>
      <c r="N171" s="63" t="inlineStr">
        <is>
          <t>119,00</t>
        </is>
      </c>
      <c r="O171" s="65" t="n"/>
      <c r="P171" s="65" t="n"/>
      <c r="Q171" s="65" t="n"/>
      <c r="R171" s="65" t="n"/>
      <c r="S171" s="65" t="n"/>
      <c r="T171" s="65" t="n"/>
      <c r="U171" s="65" t="n"/>
      <c r="V171" s="65" t="n"/>
    </row>
    <row r="172">
      <c r="A172" s="65" t="n"/>
      <c r="B172" s="65" t="n"/>
      <c r="C172" s="65" t="n"/>
      <c r="D172" s="65" t="n"/>
      <c r="E172" s="65" t="n"/>
      <c r="F172" s="65" t="n"/>
      <c r="G172" s="65" t="n"/>
      <c r="H172" s="65" t="inlineStr">
        <is>
          <t>[0121] TRANSGLOB API GL-5 SAE 80W-90 (1x6)</t>
        </is>
      </c>
      <c r="I172" s="65" t="n">
        <v>121</v>
      </c>
      <c r="J172" s="63" t="inlineStr">
        <is>
          <t>1,00</t>
        </is>
      </c>
      <c r="K172" s="63" t="inlineStr">
        <is>
          <t>33,62</t>
        </is>
      </c>
      <c r="L172" s="63" t="inlineStr">
        <is>
          <t>0,00</t>
        </is>
      </c>
      <c r="M172" s="63" t="inlineStr">
        <is>
          <t>33,62</t>
        </is>
      </c>
      <c r="N172" s="63" t="inlineStr">
        <is>
          <t>39,00</t>
        </is>
      </c>
      <c r="O172" s="65" t="n"/>
      <c r="P172" s="65" t="n"/>
      <c r="Q172" s="65" t="n"/>
      <c r="R172" s="65" t="n"/>
      <c r="S172" s="65" t="n"/>
      <c r="T172" s="65" t="n"/>
      <c r="U172" s="65" t="n"/>
      <c r="V172" s="65" t="n"/>
    </row>
    <row r="173">
      <c r="A173" s="65" t="n"/>
      <c r="B173" s="65" t="n"/>
      <c r="C173" s="65" t="n"/>
      <c r="D173" s="65" t="n"/>
      <c r="E173" s="65" t="n"/>
      <c r="F173" s="65" t="n"/>
      <c r="G173" s="65" t="n"/>
      <c r="H173" s="65" t="inlineStr">
        <is>
          <t>[0127] TRANSGLOB API GL-5 SAE 85W-140 (1x6)</t>
        </is>
      </c>
      <c r="I173" s="65" t="n">
        <v>127</v>
      </c>
      <c r="J173" s="63" t="inlineStr">
        <is>
          <t>1,00</t>
        </is>
      </c>
      <c r="K173" s="63" t="inlineStr">
        <is>
          <t>34,48</t>
        </is>
      </c>
      <c r="L173" s="63" t="inlineStr">
        <is>
          <t>0,00</t>
        </is>
      </c>
      <c r="M173" s="63" t="inlineStr">
        <is>
          <t>34,48</t>
        </is>
      </c>
      <c r="N173" s="63" t="inlineStr">
        <is>
          <t>40,00</t>
        </is>
      </c>
      <c r="O173" s="65" t="n"/>
      <c r="P173" s="65" t="n"/>
      <c r="Q173" s="65" t="n"/>
      <c r="R173" s="65" t="n"/>
      <c r="S173" s="65" t="n"/>
      <c r="T173" s="65" t="n"/>
      <c r="U173" s="65" t="n"/>
      <c r="V173" s="65" t="n"/>
    </row>
    <row r="174">
      <c r="A174" s="65" t="n"/>
      <c r="B174" s="65" t="n"/>
      <c r="C174" s="65" t="n"/>
      <c r="D174" s="65" t="n"/>
      <c r="E174" s="65" t="n"/>
      <c r="F174" s="65" t="n"/>
      <c r="G174" s="65" t="n"/>
      <c r="H174" s="65" t="inlineStr">
        <is>
          <t>[0775] LIGA PARA FRENOS DOT-4 (1X12)</t>
        </is>
      </c>
      <c r="I174" s="65" t="n">
        <v>775</v>
      </c>
      <c r="J174" s="63" t="inlineStr">
        <is>
          <t>1,00</t>
        </is>
      </c>
      <c r="K174" s="63" t="inlineStr">
        <is>
          <t>26,72</t>
        </is>
      </c>
      <c r="L174" s="63" t="inlineStr">
        <is>
          <t>0,00</t>
        </is>
      </c>
      <c r="M174" s="63" t="inlineStr">
        <is>
          <t>26,72</t>
        </is>
      </c>
      <c r="N174" s="63" t="inlineStr">
        <is>
          <t>31,00</t>
        </is>
      </c>
      <c r="O174" s="65" t="n"/>
      <c r="P174" s="65" t="n"/>
      <c r="Q174" s="65" t="n"/>
      <c r="R174" s="65" t="n"/>
      <c r="S174" s="65" t="n"/>
      <c r="T174" s="65" t="n"/>
      <c r="U174" s="65" t="n"/>
      <c r="V174" s="65" t="n"/>
    </row>
    <row r="175">
      <c r="A175" s="65" t="n"/>
      <c r="B175" s="65" t="n"/>
      <c r="C175" s="65" t="n"/>
      <c r="D175" s="65" t="n"/>
      <c r="E175" s="65" t="n"/>
      <c r="F175" s="65" t="n"/>
      <c r="G175" s="65" t="n"/>
      <c r="H175" s="65" t="inlineStr">
        <is>
          <t>[0762] LIGA PARA FRENOS DOT-3 (1x6)</t>
        </is>
      </c>
      <c r="I175" s="65" t="n">
        <v>762</v>
      </c>
      <c r="J175" s="63" t="inlineStr">
        <is>
          <t>1,00</t>
        </is>
      </c>
      <c r="K175" s="63" t="inlineStr">
        <is>
          <t>37,07</t>
        </is>
      </c>
      <c r="L175" s="63" t="inlineStr">
        <is>
          <t>0,00</t>
        </is>
      </c>
      <c r="M175" s="63" t="inlineStr">
        <is>
          <t>37,07</t>
        </is>
      </c>
      <c r="N175" s="63" t="inlineStr">
        <is>
          <t>43,00</t>
        </is>
      </c>
      <c r="O175" s="65" t="n"/>
      <c r="P175" s="65" t="n"/>
      <c r="Q175" s="65" t="n"/>
      <c r="R175" s="65" t="n"/>
      <c r="S175" s="65" t="n"/>
      <c r="T175" s="65" t="n"/>
      <c r="U175" s="65" t="n"/>
      <c r="V175" s="65" t="n"/>
    </row>
    <row r="176">
      <c r="A176" s="65" t="n"/>
      <c r="B176" s="65" t="n"/>
      <c r="C176" s="65" t="n"/>
      <c r="D176" s="65" t="n"/>
      <c r="E176" s="65" t="n"/>
      <c r="F176" s="65" t="n"/>
      <c r="G176" s="65" t="n"/>
      <c r="H176" s="65" t="inlineStr">
        <is>
          <t>[0774] LIGA PARA FRENOS DOT-4 (1X6)</t>
        </is>
      </c>
      <c r="I176" s="65" t="n">
        <v>774</v>
      </c>
      <c r="J176" s="63" t="inlineStr">
        <is>
          <t>1,00</t>
        </is>
      </c>
      <c r="K176" s="63" t="inlineStr">
        <is>
          <t>42,24</t>
        </is>
      </c>
      <c r="L176" s="63" t="inlineStr">
        <is>
          <t>0,00</t>
        </is>
      </c>
      <c r="M176" s="63" t="inlineStr">
        <is>
          <t>42,24</t>
        </is>
      </c>
      <c r="N176" s="63" t="inlineStr">
        <is>
          <t>49,00</t>
        </is>
      </c>
      <c r="O176" s="65" t="n"/>
      <c r="P176" s="65" t="n"/>
      <c r="Q176" s="65" t="n"/>
      <c r="R176" s="65" t="n"/>
      <c r="S176" s="65" t="n"/>
      <c r="T176" s="65" t="n"/>
      <c r="U176" s="65" t="n"/>
      <c r="V176" s="65" t="n"/>
    </row>
    <row r="177">
      <c r="A177" s="65" t="n"/>
      <c r="B177" s="65" t="n"/>
      <c r="C177" s="65" t="n"/>
      <c r="D177" s="65" t="n"/>
      <c r="E177" s="65" t="n"/>
      <c r="F177" s="65" t="n"/>
      <c r="G177" s="65" t="n"/>
      <c r="H177" s="65" t="inlineStr">
        <is>
          <t>[0789] REFRIGERANTE GLOBAL VERDE (1X3)</t>
        </is>
      </c>
      <c r="I177" s="65" t="n">
        <v>789</v>
      </c>
      <c r="J177" s="63" t="inlineStr">
        <is>
          <t>1,00</t>
        </is>
      </c>
      <c r="K177" s="63" t="inlineStr">
        <is>
          <t>22,41</t>
        </is>
      </c>
      <c r="L177" s="63" t="inlineStr">
        <is>
          <t>0,00</t>
        </is>
      </c>
      <c r="M177" s="63" t="inlineStr">
        <is>
          <t>22,41</t>
        </is>
      </c>
      <c r="N177" s="63" t="inlineStr">
        <is>
          <t>26,00</t>
        </is>
      </c>
      <c r="O177" s="65" t="n"/>
      <c r="P177" s="65" t="n"/>
      <c r="Q177" s="65" t="n"/>
      <c r="R177" s="65" t="n"/>
      <c r="S177" s="65" t="n"/>
      <c r="T177" s="65" t="n"/>
      <c r="U177" s="65" t="n"/>
      <c r="V177" s="65" t="n"/>
    </row>
    <row r="178">
      <c r="A178" s="65" t="n"/>
      <c r="B178" s="65" t="n"/>
      <c r="C178" s="65" t="n"/>
      <c r="D178" s="65" t="n"/>
      <c r="E178" s="65" t="n"/>
      <c r="F178" s="65" t="n"/>
      <c r="G178" s="65" t="n"/>
      <c r="H178" s="65" t="inlineStr">
        <is>
          <t>[0792] REFRIGERANTE GLOBAL ROJO (1X3)</t>
        </is>
      </c>
      <c r="I178" s="65" t="n">
        <v>792</v>
      </c>
      <c r="J178" s="63" t="inlineStr">
        <is>
          <t>1,00</t>
        </is>
      </c>
      <c r="K178" s="63" t="inlineStr">
        <is>
          <t>22,41</t>
        </is>
      </c>
      <c r="L178" s="63" t="inlineStr">
        <is>
          <t>0,00</t>
        </is>
      </c>
      <c r="M178" s="63" t="inlineStr">
        <is>
          <t>22,41</t>
        </is>
      </c>
      <c r="N178" s="63" t="inlineStr">
        <is>
          <t>26,00</t>
        </is>
      </c>
      <c r="O178" s="65" t="n"/>
      <c r="P178" s="65" t="n"/>
      <c r="Q178" s="65" t="n"/>
      <c r="R178" s="65" t="n"/>
      <c r="S178" s="65" t="n"/>
      <c r="T178" s="65" t="n"/>
      <c r="U178" s="65" t="n"/>
      <c r="V178" s="65" t="n"/>
    </row>
    <row r="179">
      <c r="A179" s="65" t="n"/>
      <c r="B179" s="65" t="n"/>
      <c r="C179" s="65" t="n"/>
      <c r="D179" s="65" t="n"/>
      <c r="E179" s="65" t="n"/>
      <c r="F179" s="65" t="n"/>
      <c r="G179" s="65" t="n"/>
      <c r="H179" s="65" t="inlineStr">
        <is>
          <t>[0795] REFRIGERANTE GLOBAL ORANGE PREMIUM 50-50 CONCENTRADO (1x3)</t>
        </is>
      </c>
      <c r="I179" s="65" t="n">
        <v>795</v>
      </c>
      <c r="J179" s="63" t="inlineStr">
        <is>
          <t>1,00</t>
        </is>
      </c>
      <c r="K179" s="63" t="inlineStr">
        <is>
          <t>33,62</t>
        </is>
      </c>
      <c r="L179" s="63" t="inlineStr">
        <is>
          <t>0,00</t>
        </is>
      </c>
      <c r="M179" s="63" t="inlineStr">
        <is>
          <t>33,62</t>
        </is>
      </c>
      <c r="N179" s="63" t="inlineStr">
        <is>
          <t>39,00</t>
        </is>
      </c>
      <c r="O179" s="65" t="n"/>
      <c r="P179" s="65" t="n"/>
      <c r="Q179" s="65" t="n"/>
      <c r="R179" s="65" t="n"/>
      <c r="S179" s="65" t="n"/>
      <c r="T179" s="65" t="n"/>
      <c r="U179" s="65" t="n"/>
      <c r="V179" s="65" t="n"/>
    </row>
    <row r="180">
      <c r="A180" s="65" t="inlineStr">
        <is>
          <t>S00298</t>
        </is>
      </c>
      <c r="B180" s="62" t="n">
        <v>46214.64587962963</v>
      </c>
      <c r="C180" s="65" t="inlineStr">
        <is>
          <t>Inversiones Brayan CT C.A</t>
        </is>
      </c>
      <c r="D180" s="65" t="inlineStr">
        <is>
          <t>GRIMAN DIAZ HECTOR EDUARDO</t>
        </is>
      </c>
      <c r="E180" s="65" t="inlineStr">
        <is>
          <t>7 días</t>
        </is>
      </c>
      <c r="F180" s="65" t="n">
        <v>8</v>
      </c>
      <c r="G180" s="65" t="inlineStr">
        <is>
          <t>Pago USD</t>
        </is>
      </c>
      <c r="H180" s="65" t="inlineStr">
        <is>
          <t>[0121] TRANSGLOB API GL-5 SAE 80W-90 (1x6)</t>
        </is>
      </c>
      <c r="I180" s="65" t="n">
        <v>121</v>
      </c>
      <c r="J180" s="63" t="inlineStr">
        <is>
          <t>1,00</t>
        </is>
      </c>
      <c r="K180" s="63" t="inlineStr">
        <is>
          <t>33,62</t>
        </is>
      </c>
      <c r="L180" s="63" t="inlineStr">
        <is>
          <t>0,00</t>
        </is>
      </c>
      <c r="M180" s="63" t="inlineStr">
        <is>
          <t>33,62</t>
        </is>
      </c>
      <c r="N180" s="63" t="inlineStr">
        <is>
          <t>39,00</t>
        </is>
      </c>
      <c r="O180" s="63" t="inlineStr">
        <is>
          <t>159,48</t>
        </is>
      </c>
      <c r="P180" s="63" t="inlineStr">
        <is>
          <t>185,00</t>
        </is>
      </c>
      <c r="Q180" s="63" t="inlineStr">
        <is>
          <t>709,69</t>
        </is>
      </c>
      <c r="R180" s="66" t="n">
        <v>46215</v>
      </c>
      <c r="S180" s="65" t="n">
        <v>305</v>
      </c>
      <c r="T180" s="65" t="inlineStr">
        <is>
          <t>00-00000847</t>
        </is>
      </c>
      <c r="U180" s="63" t="inlineStr">
        <is>
          <t>184,98</t>
        </is>
      </c>
      <c r="V180" s="63" t="inlineStr">
        <is>
          <t>185,00</t>
        </is>
      </c>
    </row>
    <row r="181">
      <c r="A181" s="65" t="n"/>
      <c r="B181" s="65" t="n"/>
      <c r="C181" s="65" t="n"/>
      <c r="D181" s="65" t="n"/>
      <c r="E181" s="65" t="n"/>
      <c r="F181" s="65" t="n"/>
      <c r="G181" s="65" t="n"/>
      <c r="H181" s="65" t="inlineStr">
        <is>
          <t>[0127] TRANSGLOB API GL-5 SAE 85W-140 (1x6)</t>
        </is>
      </c>
      <c r="I181" s="65" t="n">
        <v>127</v>
      </c>
      <c r="J181" s="63" t="inlineStr">
        <is>
          <t>1,00</t>
        </is>
      </c>
      <c r="K181" s="63" t="inlineStr">
        <is>
          <t>34,48</t>
        </is>
      </c>
      <c r="L181" s="63" t="inlineStr">
        <is>
          <t>0,00</t>
        </is>
      </c>
      <c r="M181" s="63" t="inlineStr">
        <is>
          <t>34,48</t>
        </is>
      </c>
      <c r="N181" s="63" t="inlineStr">
        <is>
          <t>40,00</t>
        </is>
      </c>
      <c r="O181" s="65" t="n"/>
      <c r="P181" s="65" t="n"/>
      <c r="Q181" s="65" t="n"/>
      <c r="R181" s="65" t="n"/>
      <c r="S181" s="65" t="n"/>
      <c r="T181" s="65" t="n"/>
      <c r="U181" s="65" t="n"/>
      <c r="V181" s="65" t="n"/>
    </row>
    <row r="182">
      <c r="A182" s="65" t="n"/>
      <c r="B182" s="65" t="n"/>
      <c r="C182" s="65" t="n"/>
      <c r="D182" s="65" t="n"/>
      <c r="E182" s="65" t="n"/>
      <c r="F182" s="65" t="n"/>
      <c r="G182" s="65" t="n"/>
      <c r="H182" s="65" t="inlineStr">
        <is>
          <t>[0779] SINOCO SAE 20W-50 (1x12)</t>
        </is>
      </c>
      <c r="I182" s="65" t="n">
        <v>779</v>
      </c>
      <c r="J182" s="63" t="inlineStr">
        <is>
          <t>2,00</t>
        </is>
      </c>
      <c r="K182" s="63" t="inlineStr">
        <is>
          <t>45,69</t>
        </is>
      </c>
      <c r="L182" s="63" t="inlineStr">
        <is>
          <t>0,00</t>
        </is>
      </c>
      <c r="M182" s="63" t="inlineStr">
        <is>
          <t>91,38</t>
        </is>
      </c>
      <c r="N182" s="63" t="inlineStr">
        <is>
          <t>106,00</t>
        </is>
      </c>
      <c r="O182" s="65" t="n"/>
      <c r="P182" s="65" t="n"/>
      <c r="Q182" s="65" t="n"/>
      <c r="R182" s="65" t="n"/>
      <c r="S182" s="65" t="n"/>
      <c r="T182" s="65" t="n"/>
      <c r="U182" s="65" t="n"/>
      <c r="V182" s="65" t="n"/>
    </row>
    <row r="183">
      <c r="A183" s="65" t="inlineStr">
        <is>
          <t>S00295</t>
        </is>
      </c>
      <c r="B183" s="62" t="n">
        <v>46214.6450462963</v>
      </c>
      <c r="C183" s="65" t="inlineStr">
        <is>
          <t>MOTOS Y REPUESTOS DOS RUEDAS, C.A.</t>
        </is>
      </c>
      <c r="D183" s="65" t="inlineStr">
        <is>
          <t>TORO ARDILES DAVID JOSE</t>
        </is>
      </c>
      <c r="E183" s="65" t="inlineStr">
        <is>
          <t>7 días</t>
        </is>
      </c>
      <c r="F183" s="65" t="n">
        <v>8</v>
      </c>
      <c r="G183" s="65" t="inlineStr">
        <is>
          <t>Pago USD</t>
        </is>
      </c>
      <c r="H183" s="65" t="inlineStr">
        <is>
          <t>[0761] LIGA PARA FRENOS DOT-3 (1x12)</t>
        </is>
      </c>
      <c r="I183" s="65" t="n">
        <v>761</v>
      </c>
      <c r="J183" s="63" t="inlineStr">
        <is>
          <t>1,00</t>
        </is>
      </c>
      <c r="K183" s="63" t="inlineStr">
        <is>
          <t>23,28</t>
        </is>
      </c>
      <c r="L183" s="63" t="inlineStr">
        <is>
          <t>0,00</t>
        </is>
      </c>
      <c r="M183" s="63" t="inlineStr">
        <is>
          <t>23,28</t>
        </is>
      </c>
      <c r="N183" s="63" t="inlineStr">
        <is>
          <t>27,00</t>
        </is>
      </c>
      <c r="O183" s="63" t="inlineStr">
        <is>
          <t>65,52</t>
        </is>
      </c>
      <c r="P183" s="63" t="inlineStr">
        <is>
          <t>76,00</t>
        </is>
      </c>
      <c r="Q183" s="63" t="inlineStr">
        <is>
          <t>709,69</t>
        </is>
      </c>
      <c r="R183" s="66" t="n">
        <v>46215</v>
      </c>
      <c r="S183" s="65" t="n">
        <v>306</v>
      </c>
      <c r="T183" s="65" t="inlineStr">
        <is>
          <t>00-00000848</t>
        </is>
      </c>
      <c r="U183" s="63" t="inlineStr">
        <is>
          <t>75,99</t>
        </is>
      </c>
      <c r="V183" s="63" t="inlineStr">
        <is>
          <t>76,00</t>
        </is>
      </c>
    </row>
    <row r="184">
      <c r="A184" s="65" t="n"/>
      <c r="B184" s="65" t="n"/>
      <c r="C184" s="65" t="n"/>
      <c r="D184" s="65" t="n"/>
      <c r="E184" s="65" t="n"/>
      <c r="F184" s="65" t="n"/>
      <c r="G184" s="65" t="n"/>
      <c r="H184" s="65" t="inlineStr">
        <is>
          <t>[0774] LIGA PARA FRENOS DOT-4 (1X6)</t>
        </is>
      </c>
      <c r="I184" s="65" t="n">
        <v>774</v>
      </c>
      <c r="J184" s="63" t="inlineStr">
        <is>
          <t>1,00</t>
        </is>
      </c>
      <c r="K184" s="63" t="inlineStr">
        <is>
          <t>42,24</t>
        </is>
      </c>
      <c r="L184" s="63" t="inlineStr">
        <is>
          <t>0,00</t>
        </is>
      </c>
      <c r="M184" s="63" t="inlineStr">
        <is>
          <t>42,24</t>
        </is>
      </c>
      <c r="N184" s="63" t="inlineStr">
        <is>
          <t>49,00</t>
        </is>
      </c>
      <c r="O184" s="65" t="n"/>
      <c r="P184" s="65" t="n"/>
      <c r="Q184" s="65" t="n"/>
      <c r="R184" s="65" t="n"/>
      <c r="S184" s="65" t="n"/>
      <c r="T184" s="65" t="n"/>
      <c r="U184" s="65" t="n"/>
      <c r="V184" s="65" t="n"/>
    </row>
    <row r="185">
      <c r="A185" s="65" t="inlineStr">
        <is>
          <t>S00292</t>
        </is>
      </c>
      <c r="B185" s="62" t="n">
        <v>46214.64427083333</v>
      </c>
      <c r="C185" s="65" t="inlineStr">
        <is>
          <t>Jefferson rosales</t>
        </is>
      </c>
      <c r="D185" s="65" t="inlineStr">
        <is>
          <t>PEREZ DIAZ ANGEL DE DIOS</t>
        </is>
      </c>
      <c r="E185" s="65" t="inlineStr">
        <is>
          <t>7 días</t>
        </is>
      </c>
      <c r="F185" s="65" t="n">
        <v>8</v>
      </c>
      <c r="G185" s="65" t="inlineStr">
        <is>
          <t>Pago USD</t>
        </is>
      </c>
      <c r="H185" s="65" t="inlineStr">
        <is>
          <t>[0762] LIGA PARA FRENOS DOT-3 (1x6)</t>
        </is>
      </c>
      <c r="I185" s="65" t="n">
        <v>762</v>
      </c>
      <c r="J185" s="63" t="inlineStr">
        <is>
          <t>1,00</t>
        </is>
      </c>
      <c r="K185" s="63" t="inlineStr">
        <is>
          <t>37,07</t>
        </is>
      </c>
      <c r="L185" s="63" t="inlineStr">
        <is>
          <t>6,98</t>
        </is>
      </c>
      <c r="M185" s="63" t="inlineStr">
        <is>
          <t>34,48</t>
        </is>
      </c>
      <c r="N185" s="63" t="inlineStr">
        <is>
          <t>40,00</t>
        </is>
      </c>
      <c r="O185" s="63" t="inlineStr">
        <is>
          <t>34,48</t>
        </is>
      </c>
      <c r="P185" s="63" t="inlineStr">
        <is>
          <t>40,00</t>
        </is>
      </c>
      <c r="Q185" s="63" t="inlineStr">
        <is>
          <t>709,69</t>
        </is>
      </c>
      <c r="R185" s="66" t="n">
        <v>46215</v>
      </c>
      <c r="S185" s="65" t="n">
        <v>307</v>
      </c>
      <c r="T185" s="65" t="inlineStr">
        <is>
          <t>00-00000849</t>
        </is>
      </c>
      <c r="U185" s="63" t="inlineStr">
        <is>
          <t>39,99</t>
        </is>
      </c>
      <c r="V185" s="63" t="inlineStr">
        <is>
          <t>40,00</t>
        </is>
      </c>
    </row>
    <row r="186">
      <c r="A186" s="65" t="inlineStr">
        <is>
          <t>S00285</t>
        </is>
      </c>
      <c r="B186" s="62" t="n">
        <v>46214.64016203704</v>
      </c>
      <c r="C186" s="65" t="inlineStr">
        <is>
          <t>Inversiones Air Brakes, C.A</t>
        </is>
      </c>
      <c r="D186" s="65" t="inlineStr">
        <is>
          <t>MARTINEZ MONTES JEFFREY ENRIQUE</t>
        </is>
      </c>
      <c r="E186" s="65" t="inlineStr">
        <is>
          <t>7 días</t>
        </is>
      </c>
      <c r="F186" s="65" t="n">
        <v>8</v>
      </c>
      <c r="G186" s="65" t="inlineStr">
        <is>
          <t>Pago USD</t>
        </is>
      </c>
      <c r="H186" s="65" t="inlineStr">
        <is>
          <t>[0761] LIGA PARA FRENOS DOT-3 (1x12)</t>
        </is>
      </c>
      <c r="I186" s="65" t="n">
        <v>761</v>
      </c>
      <c r="J186" s="63" t="inlineStr">
        <is>
          <t>1,00</t>
        </is>
      </c>
      <c r="K186" s="63" t="inlineStr">
        <is>
          <t>23,28</t>
        </is>
      </c>
      <c r="L186" s="63" t="inlineStr">
        <is>
          <t>1,32</t>
        </is>
      </c>
      <c r="M186" s="63" t="inlineStr">
        <is>
          <t>22,97</t>
        </is>
      </c>
      <c r="N186" s="63" t="inlineStr">
        <is>
          <t>26,65</t>
        </is>
      </c>
      <c r="O186" s="63" t="inlineStr">
        <is>
          <t>64,65</t>
        </is>
      </c>
      <c r="P186" s="63" t="inlineStr">
        <is>
          <t>75,00</t>
        </is>
      </c>
      <c r="Q186" s="63" t="inlineStr">
        <is>
          <t>709,69</t>
        </is>
      </c>
      <c r="R186" s="66" t="n">
        <v>46215</v>
      </c>
      <c r="S186" s="65" t="n">
        <v>308</v>
      </c>
      <c r="T186" s="65" t="inlineStr">
        <is>
          <t>00-00000850</t>
        </is>
      </c>
      <c r="U186" s="63" t="inlineStr">
        <is>
          <t>74,98</t>
        </is>
      </c>
      <c r="V186" s="63" t="inlineStr">
        <is>
          <t>75,00</t>
        </is>
      </c>
    </row>
    <row r="187">
      <c r="A187" s="65" t="n"/>
      <c r="B187" s="65" t="n"/>
      <c r="C187" s="65" t="n"/>
      <c r="D187" s="65" t="n"/>
      <c r="E187" s="65" t="n"/>
      <c r="F187" s="65" t="n"/>
      <c r="G187" s="65" t="n"/>
      <c r="H187" s="65" t="inlineStr">
        <is>
          <t>[0774] LIGA PARA FRENOS DOT-4 (1X6)</t>
        </is>
      </c>
      <c r="I187" s="65" t="n">
        <v>774</v>
      </c>
      <c r="J187" s="63" t="inlineStr">
        <is>
          <t>1,00</t>
        </is>
      </c>
      <c r="K187" s="63" t="inlineStr">
        <is>
          <t>42,24</t>
        </is>
      </c>
      <c r="L187" s="63" t="inlineStr">
        <is>
          <t>1,32</t>
        </is>
      </c>
      <c r="M187" s="63" t="inlineStr">
        <is>
          <t>41,68</t>
        </is>
      </c>
      <c r="N187" s="63" t="inlineStr">
        <is>
          <t>48,35</t>
        </is>
      </c>
      <c r="O187" s="65" t="n"/>
      <c r="P187" s="65" t="n"/>
      <c r="Q187" s="65" t="n"/>
      <c r="R187" s="65" t="n"/>
      <c r="S187" s="65" t="n"/>
      <c r="T187" s="65" t="n"/>
      <c r="U187" s="65" t="n"/>
      <c r="V187" s="65" t="n"/>
    </row>
    <row r="188">
      <c r="A188" s="65" t="inlineStr">
        <is>
          <t>S00286</t>
        </is>
      </c>
      <c r="B188" s="62" t="n">
        <v>46214.63804398148</v>
      </c>
      <c r="C188" s="65" t="inlineStr">
        <is>
          <t>Inversiones tydelmarojg</t>
        </is>
      </c>
      <c r="D188" s="65" t="inlineStr">
        <is>
          <t>MARTINEZ MONTES JEFFREY ENRIQUE</t>
        </is>
      </c>
      <c r="E188" s="65" t="inlineStr">
        <is>
          <t>7 días</t>
        </is>
      </c>
      <c r="F188" s="65" t="n">
        <v>4</v>
      </c>
      <c r="G188" s="65" t="inlineStr">
        <is>
          <t>Precio Full Abril</t>
        </is>
      </c>
      <c r="H188" s="65" t="inlineStr">
        <is>
          <t>[0605] SINOCO SAE 20W-50 (PAILA)</t>
        </is>
      </c>
      <c r="I188" s="65" t="n">
        <v>605</v>
      </c>
      <c r="J188" s="63" t="inlineStr">
        <is>
          <t>1,00</t>
        </is>
      </c>
      <c r="K188" s="63" t="inlineStr">
        <is>
          <t>97,00</t>
        </is>
      </c>
      <c r="L188" s="63" t="inlineStr">
        <is>
          <t>0,00</t>
        </is>
      </c>
      <c r="M188" s="63" t="inlineStr">
        <is>
          <t>97,00</t>
        </is>
      </c>
      <c r="N188" s="63" t="inlineStr">
        <is>
          <t>112,52</t>
        </is>
      </c>
      <c r="O188" s="63" t="inlineStr">
        <is>
          <t>149,00</t>
        </is>
      </c>
      <c r="P188" s="63" t="inlineStr">
        <is>
          <t>172,84</t>
        </is>
      </c>
      <c r="Q188" s="63" t="inlineStr">
        <is>
          <t>709,69</t>
        </is>
      </c>
      <c r="R188" s="66" t="n">
        <v>46215</v>
      </c>
      <c r="S188" s="65" t="n">
        <v>297</v>
      </c>
      <c r="T188" s="65" t="inlineStr">
        <is>
          <t>00-00000839</t>
        </is>
      </c>
      <c r="U188" s="63" t="inlineStr">
        <is>
          <t>172,82</t>
        </is>
      </c>
      <c r="V188" s="63" t="inlineStr">
        <is>
          <t>172,84</t>
        </is>
      </c>
    </row>
    <row r="189">
      <c r="A189" s="65" t="n"/>
      <c r="B189" s="65" t="n"/>
      <c r="C189" s="65" t="n"/>
      <c r="D189" s="65" t="n"/>
      <c r="E189" s="65" t="n"/>
      <c r="F189" s="65" t="n"/>
      <c r="G189" s="65" t="n"/>
      <c r="H189" s="65" t="inlineStr">
        <is>
          <t>[0121] TRANSGLOB API GL-5 SAE 80W-90 (1x6)</t>
        </is>
      </c>
      <c r="I189" s="65" t="n">
        <v>121</v>
      </c>
      <c r="J189" s="63" t="inlineStr">
        <is>
          <t>1,00</t>
        </is>
      </c>
      <c r="K189" s="63" t="inlineStr">
        <is>
          <t>52,00</t>
        </is>
      </c>
      <c r="L189" s="63" t="inlineStr">
        <is>
          <t>0,00</t>
        </is>
      </c>
      <c r="M189" s="63" t="inlineStr">
        <is>
          <t>52,00</t>
        </is>
      </c>
      <c r="N189" s="63" t="inlineStr">
        <is>
          <t>60,32</t>
        </is>
      </c>
      <c r="O189" s="65" t="n"/>
      <c r="P189" s="65" t="n"/>
      <c r="Q189" s="65" t="n"/>
      <c r="R189" s="65" t="n"/>
      <c r="S189" s="65" t="n"/>
      <c r="T189" s="65" t="n"/>
      <c r="U189" s="65" t="n"/>
      <c r="V189" s="65" t="n"/>
    </row>
    <row r="190">
      <c r="A190" s="65" t="inlineStr">
        <is>
          <t>S00246</t>
        </is>
      </c>
      <c r="B190" s="62" t="n">
        <v>46214.63391203704</v>
      </c>
      <c r="C190" s="65" t="inlineStr">
        <is>
          <t>Luis Zambrano</t>
        </is>
      </c>
      <c r="D190" s="65" t="inlineStr">
        <is>
          <t>Raúl David</t>
        </is>
      </c>
      <c r="E190" s="65" t="inlineStr">
        <is>
          <t>7 días</t>
        </is>
      </c>
      <c r="F190" s="65" t="n">
        <v>5</v>
      </c>
      <c r="G190" s="65" t="inlineStr">
        <is>
          <t>Pago VES</t>
        </is>
      </c>
      <c r="H190" s="65" t="inlineStr">
        <is>
          <t>[0085] MAXIMO API CF SAE 50 (Tambor)</t>
        </is>
      </c>
      <c r="I190" s="65" t="n">
        <v>85</v>
      </c>
      <c r="J190" s="63" t="inlineStr">
        <is>
          <t>2,00</t>
        </is>
      </c>
      <c r="K190" s="63" t="inlineStr">
        <is>
          <t>1.136,60</t>
        </is>
      </c>
      <c r="L190" s="63" t="inlineStr">
        <is>
          <t>0,06</t>
        </is>
      </c>
      <c r="M190" s="63" t="inlineStr">
        <is>
          <t>2.271,84</t>
        </is>
      </c>
      <c r="N190" s="63" t="inlineStr">
        <is>
          <t>2.635,33</t>
        </is>
      </c>
      <c r="O190" s="63" t="inlineStr">
        <is>
          <t>3.321,59</t>
        </is>
      </c>
      <c r="P190" s="63" t="inlineStr">
        <is>
          <t>3.853,04</t>
        </is>
      </c>
      <c r="Q190" s="63" t="inlineStr">
        <is>
          <t>709,69</t>
        </is>
      </c>
      <c r="R190" s="66" t="n">
        <v>46215</v>
      </c>
      <c r="S190" s="65" t="n">
        <v>340</v>
      </c>
      <c r="T190" s="65" t="inlineStr">
        <is>
          <t>00-00000882</t>
        </is>
      </c>
      <c r="U190" s="63" t="inlineStr">
        <is>
          <t>3.853,02</t>
        </is>
      </c>
      <c r="V190" s="63" t="inlineStr">
        <is>
          <t>0,04</t>
        </is>
      </c>
    </row>
    <row r="191">
      <c r="A191" s="65" t="n"/>
      <c r="B191" s="65" t="n"/>
      <c r="C191" s="65" t="n"/>
      <c r="D191" s="65" t="n"/>
      <c r="E191" s="65" t="n"/>
      <c r="F191" s="65" t="n"/>
      <c r="G191" s="65" t="n"/>
      <c r="H191" s="65" t="inlineStr">
        <is>
          <t>[0144] HIDRAGLOB AW/ISO 68 (PAILA)</t>
        </is>
      </c>
      <c r="I191" s="65" t="n">
        <v>144</v>
      </c>
      <c r="J191" s="63" t="inlineStr">
        <is>
          <t>5,00</t>
        </is>
      </c>
      <c r="K191" s="63" t="inlineStr">
        <is>
          <t>94,16</t>
        </is>
      </c>
      <c r="L191" s="63" t="inlineStr">
        <is>
          <t>0,06</t>
        </is>
      </c>
      <c r="M191" s="63" t="inlineStr">
        <is>
          <t>470,52</t>
        </is>
      </c>
      <c r="N191" s="63" t="inlineStr">
        <is>
          <t>545,80</t>
        </is>
      </c>
      <c r="O191" s="65" t="n"/>
      <c r="P191" s="65" t="n"/>
      <c r="Q191" s="65" t="n"/>
      <c r="R191" s="65" t="n"/>
      <c r="S191" s="65" t="n"/>
      <c r="T191" s="65" t="n"/>
      <c r="U191" s="65" t="n"/>
      <c r="V191" s="65" t="n"/>
    </row>
    <row r="192">
      <c r="A192" s="65" t="n"/>
      <c r="B192" s="65" t="n"/>
      <c r="C192" s="65" t="n"/>
      <c r="D192" s="65" t="n"/>
      <c r="E192" s="65" t="n"/>
      <c r="F192" s="65" t="n"/>
      <c r="G192" s="65" t="n"/>
      <c r="H192" s="65" t="inlineStr">
        <is>
          <t>[0794] REFRIGERANTE GLOBAL ROJO (Tambor)</t>
        </is>
      </c>
      <c r="I192" s="65" t="n">
        <v>794</v>
      </c>
      <c r="J192" s="63" t="inlineStr">
        <is>
          <t>1,00</t>
        </is>
      </c>
      <c r="K192" s="63" t="inlineStr">
        <is>
          <t>579,58</t>
        </is>
      </c>
      <c r="L192" s="63" t="inlineStr">
        <is>
          <t>0,06</t>
        </is>
      </c>
      <c r="M192" s="63" t="inlineStr">
        <is>
          <t>579,23</t>
        </is>
      </c>
      <c r="N192" s="63" t="inlineStr">
        <is>
          <t>671,91</t>
        </is>
      </c>
      <c r="O192" s="65" t="n"/>
      <c r="P192" s="65" t="n"/>
      <c r="Q192" s="65" t="n"/>
      <c r="R192" s="65" t="n"/>
      <c r="S192" s="65" t="n"/>
      <c r="T192" s="65" t="n"/>
      <c r="U192" s="65" t="n"/>
      <c r="V192" s="65" t="n"/>
    </row>
    <row r="193">
      <c r="A193" s="65" t="inlineStr">
        <is>
          <t>S00279</t>
        </is>
      </c>
      <c r="B193" s="62" t="n">
        <v>46214.62824074074</v>
      </c>
      <c r="C193" s="65" t="inlineStr">
        <is>
          <t>Anthony Jose Quijada Diaz.</t>
        </is>
      </c>
      <c r="D193" s="65" t="inlineStr">
        <is>
          <t>CASERES GONZALEZ RONALD OSWALDO</t>
        </is>
      </c>
      <c r="E193" s="65" t="inlineStr">
        <is>
          <t>7 días</t>
        </is>
      </c>
      <c r="F193" s="65" t="n">
        <v>8</v>
      </c>
      <c r="G193" s="65" t="inlineStr">
        <is>
          <t>Pago USD</t>
        </is>
      </c>
      <c r="H193" s="65" t="inlineStr">
        <is>
          <t>[0884] TRANSMATIC ATF DEXRON III (1x12)</t>
        </is>
      </c>
      <c r="I193" s="65" t="n">
        <v>884</v>
      </c>
      <c r="J193" s="63" t="inlineStr">
        <is>
          <t>2,00</t>
        </is>
      </c>
      <c r="K193" s="63" t="inlineStr">
        <is>
          <t>62,07</t>
        </is>
      </c>
      <c r="L193" s="63" t="inlineStr">
        <is>
          <t>2,78</t>
        </is>
      </c>
      <c r="M193" s="63" t="inlineStr">
        <is>
          <t>120,69</t>
        </is>
      </c>
      <c r="N193" s="63" t="inlineStr">
        <is>
          <t>140,00</t>
        </is>
      </c>
      <c r="O193" s="63" t="inlineStr">
        <is>
          <t>120,69</t>
        </is>
      </c>
      <c r="P193" s="63" t="inlineStr">
        <is>
          <t>140,00</t>
        </is>
      </c>
      <c r="Q193" s="63" t="inlineStr">
        <is>
          <t>709,69</t>
        </is>
      </c>
      <c r="R193" s="66" t="n">
        <v>46215</v>
      </c>
      <c r="S193" s="65" t="n">
        <v>309</v>
      </c>
      <c r="T193" s="65" t="inlineStr">
        <is>
          <t>00-00000851</t>
        </is>
      </c>
      <c r="U193" s="63" t="inlineStr">
        <is>
          <t>139,98</t>
        </is>
      </c>
      <c r="V193" s="63" t="inlineStr">
        <is>
          <t>0,00</t>
        </is>
      </c>
    </row>
    <row r="194">
      <c r="A194" s="65" t="inlineStr">
        <is>
          <t>S00265</t>
        </is>
      </c>
      <c r="B194" s="62" t="n">
        <v>46214.62677083333</v>
      </c>
      <c r="C194" s="65" t="inlineStr">
        <is>
          <t>Repuestos Guia Dios Nuestro Camino,c.a.</t>
        </is>
      </c>
      <c r="D194" s="65" t="inlineStr">
        <is>
          <t>QUEVEDO BASTIDAS NEYKEL DAVID</t>
        </is>
      </c>
      <c r="E194" s="65" t="inlineStr">
        <is>
          <t>7 días</t>
        </is>
      </c>
      <c r="F194" s="65" t="n">
        <v>8</v>
      </c>
      <c r="G194" s="65" t="inlineStr">
        <is>
          <t>Pago USD</t>
        </is>
      </c>
      <c r="H194" s="65" t="inlineStr">
        <is>
          <t>[0881] CLASICO API SL SAE 20W-50 (1x12)</t>
        </is>
      </c>
      <c r="I194" s="65" t="n">
        <v>881</v>
      </c>
      <c r="J194" s="63" t="inlineStr">
        <is>
          <t>1,00</t>
        </is>
      </c>
      <c r="K194" s="63" t="inlineStr">
        <is>
          <t>56,03</t>
        </is>
      </c>
      <c r="L194" s="63" t="inlineStr">
        <is>
          <t>0,00</t>
        </is>
      </c>
      <c r="M194" s="63" t="inlineStr">
        <is>
          <t>56,03</t>
        </is>
      </c>
      <c r="N194" s="63" t="inlineStr">
        <is>
          <t>64,99</t>
        </is>
      </c>
      <c r="O194" s="63" t="inlineStr">
        <is>
          <t>151,72</t>
        </is>
      </c>
      <c r="P194" s="63" t="inlineStr">
        <is>
          <t>175,99</t>
        </is>
      </c>
      <c r="Q194" s="63" t="inlineStr">
        <is>
          <t>709,69</t>
        </is>
      </c>
      <c r="R194" s="66" t="n">
        <v>46215</v>
      </c>
      <c r="S194" s="65" t="n">
        <v>310</v>
      </c>
      <c r="T194" s="65" t="inlineStr">
        <is>
          <t>00-00000852</t>
        </is>
      </c>
      <c r="U194" s="63" t="inlineStr">
        <is>
          <t>175,98</t>
        </is>
      </c>
      <c r="V194" s="63" t="inlineStr">
        <is>
          <t>176,00</t>
        </is>
      </c>
    </row>
    <row r="195">
      <c r="A195" s="65" t="n"/>
      <c r="B195" s="65" t="n"/>
      <c r="C195" s="65" t="n"/>
      <c r="D195" s="65" t="n"/>
      <c r="E195" s="65" t="n"/>
      <c r="F195" s="65" t="n"/>
      <c r="G195" s="65" t="n"/>
      <c r="H195" s="65" t="inlineStr">
        <is>
          <t>[0884] TRANSMATIC ATF DEXRON III (1x12)</t>
        </is>
      </c>
      <c r="I195" s="65" t="n">
        <v>884</v>
      </c>
      <c r="J195" s="63" t="inlineStr">
        <is>
          <t>1,00</t>
        </is>
      </c>
      <c r="K195" s="63" t="inlineStr">
        <is>
          <t>62,07</t>
        </is>
      </c>
      <c r="L195" s="63" t="inlineStr">
        <is>
          <t>0,00</t>
        </is>
      </c>
      <c r="M195" s="63" t="inlineStr">
        <is>
          <t>62,07</t>
        </is>
      </c>
      <c r="N195" s="63" t="inlineStr">
        <is>
          <t>72,00</t>
        </is>
      </c>
      <c r="O195" s="65" t="n"/>
      <c r="P195" s="65" t="n"/>
      <c r="Q195" s="65" t="n"/>
      <c r="R195" s="65" t="n"/>
      <c r="S195" s="65" t="n"/>
      <c r="T195" s="65" t="n"/>
      <c r="U195" s="65" t="n"/>
      <c r="V195" s="65" t="n"/>
    </row>
    <row r="196">
      <c r="A196" s="65" t="n"/>
      <c r="B196" s="65" t="n"/>
      <c r="C196" s="65" t="n"/>
      <c r="D196" s="65" t="n"/>
      <c r="E196" s="65" t="n"/>
      <c r="F196" s="65" t="n"/>
      <c r="G196" s="65" t="n"/>
      <c r="H196" s="65" t="inlineStr">
        <is>
          <t>[0121] TRANSGLOB API GL-5 SAE 80W-90 (1x6)</t>
        </is>
      </c>
      <c r="I196" s="65" t="n">
        <v>121</v>
      </c>
      <c r="J196" s="63" t="inlineStr">
        <is>
          <t>1,00</t>
        </is>
      </c>
      <c r="K196" s="63" t="inlineStr">
        <is>
          <t>33,62</t>
        </is>
      </c>
      <c r="L196" s="63" t="inlineStr">
        <is>
          <t>0,00</t>
        </is>
      </c>
      <c r="M196" s="63" t="inlineStr">
        <is>
          <t>33,62</t>
        </is>
      </c>
      <c r="N196" s="63" t="inlineStr">
        <is>
          <t>39,00</t>
        </is>
      </c>
      <c r="O196" s="65" t="n"/>
      <c r="P196" s="65" t="n"/>
      <c r="Q196" s="65" t="n"/>
      <c r="R196" s="65" t="n"/>
      <c r="S196" s="65" t="n"/>
      <c r="T196" s="65" t="n"/>
      <c r="U196" s="65" t="n"/>
      <c r="V196" s="65" t="n"/>
    </row>
    <row r="197">
      <c r="A197" s="65" t="inlineStr">
        <is>
          <t>S00264</t>
        </is>
      </c>
      <c r="B197" s="62" t="n">
        <v>46214.62614583333</v>
      </c>
      <c r="C197" s="65" t="inlineStr">
        <is>
          <t>Inversiones Los compadres 7686, c.a.</t>
        </is>
      </c>
      <c r="D197" s="65" t="inlineStr">
        <is>
          <t>QUEVEDO BASTIDAS NEYKEL DAVID</t>
        </is>
      </c>
      <c r="E197" s="65" t="inlineStr">
        <is>
          <t>7 días</t>
        </is>
      </c>
      <c r="F197" s="65" t="n">
        <v>8</v>
      </c>
      <c r="G197" s="65" t="inlineStr">
        <is>
          <t>Pago USD</t>
        </is>
      </c>
      <c r="H197" s="65" t="inlineStr">
        <is>
          <t>[0884] TRANSMATIC ATF DEXRON III (1x12)</t>
        </is>
      </c>
      <c r="I197" s="65" t="n">
        <v>884</v>
      </c>
      <c r="J197" s="63" t="inlineStr">
        <is>
          <t>2,00</t>
        </is>
      </c>
      <c r="K197" s="63" t="inlineStr">
        <is>
          <t>62,07</t>
        </is>
      </c>
      <c r="L197" s="63" t="inlineStr">
        <is>
          <t>0,00</t>
        </is>
      </c>
      <c r="M197" s="63" t="inlineStr">
        <is>
          <t>124,14</t>
        </is>
      </c>
      <c r="N197" s="63" t="inlineStr">
        <is>
          <t>144,00</t>
        </is>
      </c>
      <c r="O197" s="63" t="inlineStr">
        <is>
          <t>124,14</t>
        </is>
      </c>
      <c r="P197" s="63" t="inlineStr">
        <is>
          <t>144,00</t>
        </is>
      </c>
      <c r="Q197" s="63" t="inlineStr">
        <is>
          <t>709,69</t>
        </is>
      </c>
      <c r="R197" s="66" t="n">
        <v>46215</v>
      </c>
      <c r="S197" s="65" t="n">
        <v>311</v>
      </c>
      <c r="T197" s="65" t="inlineStr">
        <is>
          <t>00-00000853</t>
        </is>
      </c>
      <c r="U197" s="63" t="inlineStr">
        <is>
          <t>143,99</t>
        </is>
      </c>
      <c r="V197" s="63" t="inlineStr">
        <is>
          <t>144,00</t>
        </is>
      </c>
    </row>
    <row r="198">
      <c r="A198" s="65" t="inlineStr">
        <is>
          <t>S00257</t>
        </is>
      </c>
      <c r="B198" s="62" t="n">
        <v>46214.62585648148</v>
      </c>
      <c r="C198" s="65" t="inlineStr">
        <is>
          <t>AUTOREPUESTOS SION C.A.</t>
        </is>
      </c>
      <c r="D198" s="65" t="inlineStr">
        <is>
          <t>MARTINEZ MONTES JEFFREY ENRIQUE</t>
        </is>
      </c>
      <c r="E198" s="65" t="inlineStr">
        <is>
          <t>7 días</t>
        </is>
      </c>
      <c r="F198" s="65" t="n">
        <v>8</v>
      </c>
      <c r="G198" s="65" t="inlineStr">
        <is>
          <t>Pago USD</t>
        </is>
      </c>
      <c r="H198" s="65" t="inlineStr">
        <is>
          <t>[0881] CLASICO API SL SAE 20W-50 (1x12)</t>
        </is>
      </c>
      <c r="I198" s="65" t="n">
        <v>881</v>
      </c>
      <c r="J198" s="63" t="inlineStr">
        <is>
          <t>1,00</t>
        </is>
      </c>
      <c r="K198" s="63" t="inlineStr">
        <is>
          <t>56,03</t>
        </is>
      </c>
      <c r="L198" s="63" t="inlineStr">
        <is>
          <t>0,00</t>
        </is>
      </c>
      <c r="M198" s="63" t="inlineStr">
        <is>
          <t>56,03</t>
        </is>
      </c>
      <c r="N198" s="63" t="inlineStr">
        <is>
          <t>64,99</t>
        </is>
      </c>
      <c r="O198" s="63" t="inlineStr">
        <is>
          <t>177,58</t>
        </is>
      </c>
      <c r="P198" s="63" t="inlineStr">
        <is>
          <t>205,98</t>
        </is>
      </c>
      <c r="Q198" s="63" t="inlineStr">
        <is>
          <t>709,69</t>
        </is>
      </c>
      <c r="R198" s="66" t="n">
        <v>46215</v>
      </c>
      <c r="S198" s="65" t="n">
        <v>312</v>
      </c>
      <c r="T198" s="65" t="inlineStr">
        <is>
          <t>00-00000854</t>
        </is>
      </c>
      <c r="U198" s="63" t="inlineStr">
        <is>
          <t>205,98</t>
        </is>
      </c>
      <c r="V198" s="63" t="inlineStr">
        <is>
          <t>0,00</t>
        </is>
      </c>
    </row>
    <row r="199">
      <c r="A199" s="65" t="n"/>
      <c r="B199" s="65" t="n"/>
      <c r="C199" s="65" t="n"/>
      <c r="D199" s="65" t="n"/>
      <c r="E199" s="65" t="n"/>
      <c r="F199" s="65" t="n"/>
      <c r="G199" s="65" t="n"/>
      <c r="H199" s="65" t="inlineStr">
        <is>
          <t>[0880] CLASICO API SL SAE 15W-40 (1x12)</t>
        </is>
      </c>
      <c r="I199" s="65" t="n">
        <v>880</v>
      </c>
      <c r="J199" s="63" t="inlineStr">
        <is>
          <t>1,00</t>
        </is>
      </c>
      <c r="K199" s="63" t="inlineStr">
        <is>
          <t>56,03</t>
        </is>
      </c>
      <c r="L199" s="63" t="inlineStr">
        <is>
          <t>0,00</t>
        </is>
      </c>
      <c r="M199" s="63" t="inlineStr">
        <is>
          <t>56,03</t>
        </is>
      </c>
      <c r="N199" s="63" t="inlineStr">
        <is>
          <t>64,99</t>
        </is>
      </c>
      <c r="O199" s="65" t="n"/>
      <c r="P199" s="65" t="n"/>
      <c r="Q199" s="65" t="n"/>
      <c r="R199" s="65" t="n"/>
      <c r="S199" s="65" t="n"/>
      <c r="T199" s="65" t="n"/>
      <c r="U199" s="65" t="n"/>
      <c r="V199" s="65" t="n"/>
    </row>
    <row r="200">
      <c r="A200" s="65" t="n"/>
      <c r="B200" s="65" t="n"/>
      <c r="C200" s="65" t="n"/>
      <c r="D200" s="65" t="n"/>
      <c r="E200" s="65" t="n"/>
      <c r="F200" s="65" t="n"/>
      <c r="G200" s="65" t="n"/>
      <c r="H200" s="65" t="inlineStr">
        <is>
          <t>[0877] SS EXTRA PROTECCION API SN SAE 15W-40 (1X12)</t>
        </is>
      </c>
      <c r="I200" s="65" t="n">
        <v>877</v>
      </c>
      <c r="J200" s="63" t="inlineStr">
        <is>
          <t>1,00</t>
        </is>
      </c>
      <c r="K200" s="63" t="inlineStr">
        <is>
          <t>65,52</t>
        </is>
      </c>
      <c r="L200" s="63" t="inlineStr">
        <is>
          <t>0,00</t>
        </is>
      </c>
      <c r="M200" s="63" t="inlineStr">
        <is>
          <t>65,52</t>
        </is>
      </c>
      <c r="N200" s="63" t="inlineStr">
        <is>
          <t>76,00</t>
        </is>
      </c>
      <c r="O200" s="65" t="n"/>
      <c r="P200" s="65" t="n"/>
      <c r="Q200" s="65" t="n"/>
      <c r="R200" s="65" t="n"/>
      <c r="S200" s="65" t="n"/>
      <c r="T200" s="65" t="n"/>
      <c r="U200" s="65" t="n"/>
      <c r="V200" s="65" t="n"/>
    </row>
    <row r="201">
      <c r="A201" s="65" t="inlineStr">
        <is>
          <t>S00259</t>
        </is>
      </c>
      <c r="B201" s="62" t="n">
        <v>46214.62524305555</v>
      </c>
      <c r="C201" s="65" t="inlineStr">
        <is>
          <t>Multiservicio Tocome, C.A</t>
        </is>
      </c>
      <c r="D201" s="65" t="inlineStr">
        <is>
          <t>MARTINEZ MONTES JEFFREY ENRIQUE</t>
        </is>
      </c>
      <c r="E201" s="65" t="inlineStr">
        <is>
          <t>7 días</t>
        </is>
      </c>
      <c r="F201" s="65" t="n">
        <v>4</v>
      </c>
      <c r="G201" s="65" t="inlineStr">
        <is>
          <t>Precio Full Abril</t>
        </is>
      </c>
      <c r="H201" s="65" t="inlineStr">
        <is>
          <t>[0779] SINOCO SAE 20W-50 (1x12)</t>
        </is>
      </c>
      <c r="I201" s="65" t="n">
        <v>779</v>
      </c>
      <c r="J201" s="63" t="inlineStr">
        <is>
          <t>2,00</t>
        </is>
      </c>
      <c r="K201" s="63" t="inlineStr">
        <is>
          <t>70,29</t>
        </is>
      </c>
      <c r="L201" s="63" t="inlineStr">
        <is>
          <t>0,41</t>
        </is>
      </c>
      <c r="M201" s="63" t="inlineStr">
        <is>
          <t>140,00</t>
        </is>
      </c>
      <c r="N201" s="63" t="inlineStr">
        <is>
          <t>162,40</t>
        </is>
      </c>
      <c r="O201" s="63" t="inlineStr">
        <is>
          <t>284,00</t>
        </is>
      </c>
      <c r="P201" s="63" t="inlineStr">
        <is>
          <t>329,44</t>
        </is>
      </c>
      <c r="Q201" s="63" t="inlineStr">
        <is>
          <t>709,69</t>
        </is>
      </c>
      <c r="R201" s="66" t="n">
        <v>46215</v>
      </c>
      <c r="S201" s="65" t="n">
        <v>298</v>
      </c>
      <c r="T201" s="65" t="inlineStr">
        <is>
          <t>00-00000840</t>
        </is>
      </c>
      <c r="U201" s="63" t="inlineStr">
        <is>
          <t>329,42</t>
        </is>
      </c>
      <c r="V201" s="63" t="inlineStr">
        <is>
          <t>329,44</t>
        </is>
      </c>
    </row>
    <row r="202">
      <c r="A202" s="65" t="n"/>
      <c r="B202" s="65" t="n"/>
      <c r="C202" s="65" t="n"/>
      <c r="D202" s="65" t="n"/>
      <c r="E202" s="65" t="n"/>
      <c r="F202" s="65" t="n"/>
      <c r="G202" s="65" t="n"/>
      <c r="H202" s="65" t="inlineStr">
        <is>
          <t>[0121] TRANSGLOB API GL-5 SAE 80W-90 (1x6)</t>
        </is>
      </c>
      <c r="I202" s="65" t="n">
        <v>121</v>
      </c>
      <c r="J202" s="63" t="inlineStr">
        <is>
          <t>1,00</t>
        </is>
      </c>
      <c r="K202" s="63" t="inlineStr">
        <is>
          <t>52,00</t>
        </is>
      </c>
      <c r="L202" s="63" t="inlineStr">
        <is>
          <t>0,00</t>
        </is>
      </c>
      <c r="M202" s="63" t="inlineStr">
        <is>
          <t>52,00</t>
        </is>
      </c>
      <c r="N202" s="63" t="inlineStr">
        <is>
          <t>60,32</t>
        </is>
      </c>
      <c r="O202" s="65" t="n"/>
      <c r="P202" s="65" t="n"/>
      <c r="Q202" s="65" t="n"/>
      <c r="R202" s="65" t="n"/>
      <c r="S202" s="65" t="n"/>
      <c r="T202" s="65" t="n"/>
      <c r="U202" s="65" t="n"/>
      <c r="V202" s="65" t="n"/>
    </row>
    <row r="203">
      <c r="A203" s="65" t="n"/>
      <c r="B203" s="65" t="n"/>
      <c r="C203" s="65" t="n"/>
      <c r="D203" s="65" t="n"/>
      <c r="E203" s="65" t="n"/>
      <c r="F203" s="65" t="n"/>
      <c r="G203" s="65" t="n"/>
      <c r="H203" s="65" t="inlineStr">
        <is>
          <t>[0761] LIGA PARA FRENOS DOT-3 (1x12)</t>
        </is>
      </c>
      <c r="I203" s="65" t="n">
        <v>761</v>
      </c>
      <c r="J203" s="63" t="inlineStr">
        <is>
          <t>1,00</t>
        </is>
      </c>
      <c r="K203" s="63" t="inlineStr">
        <is>
          <t>36,00</t>
        </is>
      </c>
      <c r="L203" s="63" t="inlineStr">
        <is>
          <t>0,00</t>
        </is>
      </c>
      <c r="M203" s="63" t="inlineStr">
        <is>
          <t>36,00</t>
        </is>
      </c>
      <c r="N203" s="63" t="inlineStr">
        <is>
          <t>41,76</t>
        </is>
      </c>
      <c r="O203" s="65" t="n"/>
      <c r="P203" s="65" t="n"/>
      <c r="Q203" s="65" t="n"/>
      <c r="R203" s="65" t="n"/>
      <c r="S203" s="65" t="n"/>
      <c r="T203" s="65" t="n"/>
      <c r="U203" s="65" t="n"/>
      <c r="V203" s="65" t="n"/>
    </row>
    <row r="204">
      <c r="A204" s="65" t="n"/>
      <c r="B204" s="65" t="n"/>
      <c r="C204" s="65" t="n"/>
      <c r="D204" s="65" t="n"/>
      <c r="E204" s="65" t="n"/>
      <c r="F204" s="65" t="n"/>
      <c r="G204" s="65" t="n"/>
      <c r="H204" s="65" t="inlineStr">
        <is>
          <t>[0762] LIGA PARA FRENOS DOT-3 (1x6)</t>
        </is>
      </c>
      <c r="I204" s="65" t="n">
        <v>762</v>
      </c>
      <c r="J204" s="63" t="inlineStr">
        <is>
          <t>1,00</t>
        </is>
      </c>
      <c r="K204" s="63" t="inlineStr">
        <is>
          <t>57,03</t>
        </is>
      </c>
      <c r="L204" s="63" t="inlineStr">
        <is>
          <t>1,81</t>
        </is>
      </c>
      <c r="M204" s="63" t="inlineStr">
        <is>
          <t>56,00</t>
        </is>
      </c>
      <c r="N204" s="63" t="inlineStr">
        <is>
          <t>64,96</t>
        </is>
      </c>
      <c r="O204" s="65" t="n"/>
      <c r="P204" s="65" t="n"/>
      <c r="Q204" s="65" t="n"/>
      <c r="R204" s="65" t="n"/>
      <c r="S204" s="65" t="n"/>
      <c r="T204" s="65" t="n"/>
      <c r="U204" s="65" t="n"/>
      <c r="V204" s="65" t="n"/>
    </row>
    <row r="205">
      <c r="A205" s="65" t="inlineStr">
        <is>
          <t>S00250</t>
        </is>
      </c>
      <c r="B205" s="62" t="n">
        <v>46214.62392361111</v>
      </c>
      <c r="C205" s="65" t="inlineStr">
        <is>
          <t>EMPRENDIMIENTO MANUEL GÓMEZ 6</t>
        </is>
      </c>
      <c r="D205" s="65" t="inlineStr">
        <is>
          <t>VILLABONA CORREA ALBA ESTEFANIA</t>
        </is>
      </c>
      <c r="E205" s="65" t="inlineStr">
        <is>
          <t>Pago inmediato</t>
        </is>
      </c>
      <c r="F205" s="65" t="n">
        <v>8</v>
      </c>
      <c r="G205" s="65" t="inlineStr">
        <is>
          <t>Pago USD</t>
        </is>
      </c>
      <c r="H205" s="65" t="inlineStr">
        <is>
          <t>[0887] MOTOCLASICO 4T SAE 20W-50 (1x12)</t>
        </is>
      </c>
      <c r="I205" s="65" t="n">
        <v>887</v>
      </c>
      <c r="J205" s="63" t="inlineStr">
        <is>
          <t>1,00</t>
        </is>
      </c>
      <c r="K205" s="63" t="inlineStr">
        <is>
          <t>58,62</t>
        </is>
      </c>
      <c r="L205" s="63" t="inlineStr">
        <is>
          <t>0,00</t>
        </is>
      </c>
      <c r="M205" s="63" t="inlineStr">
        <is>
          <t>58,62</t>
        </is>
      </c>
      <c r="N205" s="63" t="inlineStr">
        <is>
          <t>68,00</t>
        </is>
      </c>
      <c r="O205" s="63" t="inlineStr">
        <is>
          <t>58,62</t>
        </is>
      </c>
      <c r="P205" s="63" t="inlineStr">
        <is>
          <t>68,00</t>
        </is>
      </c>
      <c r="Q205" s="63" t="inlineStr">
        <is>
          <t>709,69</t>
        </is>
      </c>
      <c r="R205" s="66" t="n">
        <v>46215</v>
      </c>
      <c r="S205" s="65" t="n">
        <v>313</v>
      </c>
      <c r="T205" s="65" t="inlineStr">
        <is>
          <t>00-00000855</t>
        </is>
      </c>
      <c r="U205" s="63" t="inlineStr">
        <is>
          <t>67,99</t>
        </is>
      </c>
      <c r="V205" s="63" t="inlineStr">
        <is>
          <t>68,00</t>
        </is>
      </c>
    </row>
    <row r="206">
      <c r="A206" s="65" t="inlineStr">
        <is>
          <t>S00249</t>
        </is>
      </c>
      <c r="B206" s="62" t="n">
        <v>46214.62350694444</v>
      </c>
      <c r="C206" s="65" t="inlineStr">
        <is>
          <t>Comercializadora Dimon c.a</t>
        </is>
      </c>
      <c r="D206" s="65" t="inlineStr">
        <is>
          <t>BETANCOURT ROBRIGUEZ LUIS ENRRIQUE</t>
        </is>
      </c>
      <c r="E206" s="65" t="inlineStr">
        <is>
          <t>7 días</t>
        </is>
      </c>
      <c r="F206" s="65" t="n">
        <v>8</v>
      </c>
      <c r="G206" s="65" t="inlineStr">
        <is>
          <t>Pago USD</t>
        </is>
      </c>
      <c r="H206" s="65" t="inlineStr">
        <is>
          <t>[0602] SINOCO SAE 50 (PAILA)</t>
        </is>
      </c>
      <c r="I206" s="65" t="n">
        <v>602</v>
      </c>
      <c r="J206" s="63" t="inlineStr">
        <is>
          <t>3,00</t>
        </is>
      </c>
      <c r="K206" s="63" t="inlineStr">
        <is>
          <t>62,93</t>
        </is>
      </c>
      <c r="L206" s="63" t="inlineStr">
        <is>
          <t>0,00</t>
        </is>
      </c>
      <c r="M206" s="63" t="inlineStr">
        <is>
          <t>188,79</t>
        </is>
      </c>
      <c r="N206" s="63" t="inlineStr">
        <is>
          <t>219,00</t>
        </is>
      </c>
      <c r="O206" s="63" t="inlineStr">
        <is>
          <t>443,10</t>
        </is>
      </c>
      <c r="P206" s="63" t="inlineStr">
        <is>
          <t>514,00</t>
        </is>
      </c>
      <c r="Q206" s="63" t="inlineStr">
        <is>
          <t>709,69</t>
        </is>
      </c>
      <c r="R206" s="66" t="n">
        <v>46215</v>
      </c>
      <c r="S206" s="65" t="n">
        <v>314</v>
      </c>
      <c r="T206" s="65" t="inlineStr">
        <is>
          <t>00-00000856</t>
        </is>
      </c>
      <c r="U206" s="63" t="inlineStr">
        <is>
          <t>513,98</t>
        </is>
      </c>
      <c r="V206" s="63" t="inlineStr">
        <is>
          <t>514,00</t>
        </is>
      </c>
    </row>
    <row r="207">
      <c r="A207" s="65" t="n"/>
      <c r="B207" s="65" t="n"/>
      <c r="C207" s="65" t="n"/>
      <c r="D207" s="65" t="n"/>
      <c r="E207" s="65" t="n"/>
      <c r="F207" s="65" t="n"/>
      <c r="G207" s="65" t="n"/>
      <c r="H207" s="65" t="inlineStr">
        <is>
          <t>[0605] SINOCO SAE 20W-50 (PAILA)</t>
        </is>
      </c>
      <c r="I207" s="65" t="n">
        <v>605</v>
      </c>
      <c r="J207" s="63" t="inlineStr">
        <is>
          <t>3,00</t>
        </is>
      </c>
      <c r="K207" s="63" t="inlineStr">
        <is>
          <t>62,93</t>
        </is>
      </c>
      <c r="L207" s="63" t="inlineStr">
        <is>
          <t>0,00</t>
        </is>
      </c>
      <c r="M207" s="63" t="inlineStr">
        <is>
          <t>188,79</t>
        </is>
      </c>
      <c r="N207" s="63" t="inlineStr">
        <is>
          <t>219,00</t>
        </is>
      </c>
      <c r="O207" s="65" t="n"/>
      <c r="P207" s="65" t="n"/>
      <c r="Q207" s="65" t="n"/>
      <c r="R207" s="65" t="n"/>
      <c r="S207" s="65" t="n"/>
      <c r="T207" s="65" t="n"/>
      <c r="U207" s="65" t="n"/>
      <c r="V207" s="65" t="n"/>
    </row>
    <row r="208">
      <c r="A208" s="65" t="n"/>
      <c r="B208" s="65" t="n"/>
      <c r="C208" s="65" t="n"/>
      <c r="D208" s="65" t="n"/>
      <c r="E208" s="65" t="n"/>
      <c r="F208" s="65" t="n"/>
      <c r="G208" s="65" t="n"/>
      <c r="H208" s="65" t="inlineStr">
        <is>
          <t>[0877] SS EXTRA PROTECCION API SN SAE 15W-40 (1X12)</t>
        </is>
      </c>
      <c r="I208" s="65" t="n">
        <v>877</v>
      </c>
      <c r="J208" s="63" t="inlineStr">
        <is>
          <t>1,00</t>
        </is>
      </c>
      <c r="K208" s="63" t="inlineStr">
        <is>
          <t>65,52</t>
        </is>
      </c>
      <c r="L208" s="63" t="inlineStr">
        <is>
          <t>0,00</t>
        </is>
      </c>
      <c r="M208" s="63" t="inlineStr">
        <is>
          <t>65,52</t>
        </is>
      </c>
      <c r="N208" s="63" t="inlineStr">
        <is>
          <t>76,00</t>
        </is>
      </c>
      <c r="O208" s="65" t="n"/>
      <c r="P208" s="65" t="n"/>
      <c r="Q208" s="65" t="n"/>
      <c r="R208" s="65" t="n"/>
      <c r="S208" s="65" t="n"/>
      <c r="T208" s="65" t="n"/>
      <c r="U208" s="65" t="n"/>
      <c r="V208" s="65" t="n"/>
    </row>
    <row r="209">
      <c r="A209" s="65" t="inlineStr">
        <is>
          <t>S00248</t>
        </is>
      </c>
      <c r="B209" s="62" t="n">
        <v>46214.62319444444</v>
      </c>
      <c r="C209" s="65" t="inlineStr">
        <is>
          <t>Abraham almenar</t>
        </is>
      </c>
      <c r="D209" s="65" t="inlineStr">
        <is>
          <t>PEREZ DIAZ ANGEL DE DIOS</t>
        </is>
      </c>
      <c r="E209" s="65" t="inlineStr">
        <is>
          <t>30 días</t>
        </is>
      </c>
      <c r="F209" s="65" t="n">
        <v>8</v>
      </c>
      <c r="G209" s="65" t="inlineStr">
        <is>
          <t>Pago USD</t>
        </is>
      </c>
      <c r="H209" s="65" t="inlineStr">
        <is>
          <t>[0887] MOTOCLASICO 4T SAE 20W-50 (1x12)</t>
        </is>
      </c>
      <c r="I209" s="65" t="n">
        <v>887</v>
      </c>
      <c r="J209" s="63" t="inlineStr">
        <is>
          <t>1,00</t>
        </is>
      </c>
      <c r="K209" s="63" t="inlineStr">
        <is>
          <t>58,62</t>
        </is>
      </c>
      <c r="L209" s="63" t="inlineStr">
        <is>
          <t>0,00</t>
        </is>
      </c>
      <c r="M209" s="63" t="inlineStr">
        <is>
          <t>58,62</t>
        </is>
      </c>
      <c r="N209" s="63" t="inlineStr">
        <is>
          <t>68,00</t>
        </is>
      </c>
      <c r="O209" s="63" t="inlineStr">
        <is>
          <t>58,62</t>
        </is>
      </c>
      <c r="P209" s="63" t="inlineStr">
        <is>
          <t>68,00</t>
        </is>
      </c>
      <c r="Q209" s="63" t="inlineStr">
        <is>
          <t>709,69</t>
        </is>
      </c>
      <c r="R209" s="66" t="n">
        <v>46215</v>
      </c>
      <c r="S209" s="65" t="n">
        <v>315</v>
      </c>
      <c r="T209" s="65" t="inlineStr">
        <is>
          <t>00-00000857</t>
        </is>
      </c>
      <c r="U209" s="63" t="inlineStr">
        <is>
          <t>67,99</t>
        </is>
      </c>
      <c r="V209" s="63" t="inlineStr">
        <is>
          <t>1,00</t>
        </is>
      </c>
    </row>
    <row r="210">
      <c r="A210" s="65" t="inlineStr">
        <is>
          <t>S00244</t>
        </is>
      </c>
      <c r="B210" s="62" t="n">
        <v>46214.62221064815</v>
      </c>
      <c r="C210" s="65" t="inlineStr">
        <is>
          <t>Lubricantes BK C.A</t>
        </is>
      </c>
      <c r="D210" s="65" t="inlineStr">
        <is>
          <t>GRIMAN DIAZ HECTOR EDUARDO</t>
        </is>
      </c>
      <c r="E210" s="65" t="inlineStr">
        <is>
          <t>7 días</t>
        </is>
      </c>
      <c r="F210" s="65" t="n">
        <v>8</v>
      </c>
      <c r="G210" s="65" t="inlineStr">
        <is>
          <t>Pago USD</t>
        </is>
      </c>
      <c r="H210" s="65" t="inlineStr">
        <is>
          <t>[0602] SINOCO SAE 50 (PAILA)</t>
        </is>
      </c>
      <c r="I210" s="65" t="n">
        <v>602</v>
      </c>
      <c r="J210" s="63" t="inlineStr">
        <is>
          <t>1,00</t>
        </is>
      </c>
      <c r="K210" s="63" t="inlineStr">
        <is>
          <t>62,93</t>
        </is>
      </c>
      <c r="L210" s="63" t="inlineStr">
        <is>
          <t>0,00</t>
        </is>
      </c>
      <c r="M210" s="63" t="inlineStr">
        <is>
          <t>62,93</t>
        </is>
      </c>
      <c r="N210" s="63" t="inlineStr">
        <is>
          <t>73,00</t>
        </is>
      </c>
      <c r="O210" s="63" t="inlineStr">
        <is>
          <t>262,93</t>
        </is>
      </c>
      <c r="P210" s="63" t="inlineStr">
        <is>
          <t>305,00</t>
        </is>
      </c>
      <c r="Q210" s="63" t="inlineStr">
        <is>
          <t>709,69</t>
        </is>
      </c>
      <c r="R210" s="66" t="n">
        <v>46215</v>
      </c>
      <c r="S210" s="65" t="n">
        <v>316</v>
      </c>
      <c r="T210" s="65" t="inlineStr">
        <is>
          <t>00-00000858</t>
        </is>
      </c>
      <c r="U210" s="63" t="inlineStr">
        <is>
          <t>304,98</t>
        </is>
      </c>
      <c r="V210" s="63" t="inlineStr">
        <is>
          <t>305,00</t>
        </is>
      </c>
    </row>
    <row r="211">
      <c r="A211" s="65" t="n"/>
      <c r="B211" s="65" t="n"/>
      <c r="C211" s="65" t="n"/>
      <c r="D211" s="65" t="n"/>
      <c r="E211" s="65" t="n"/>
      <c r="F211" s="65" t="n"/>
      <c r="G211" s="65" t="n"/>
      <c r="H211" s="65" t="inlineStr">
        <is>
          <t>[0605] SINOCO SAE 20W-50 (PAILA)</t>
        </is>
      </c>
      <c r="I211" s="65" t="n">
        <v>605</v>
      </c>
      <c r="J211" s="63" t="inlineStr">
        <is>
          <t>1,00</t>
        </is>
      </c>
      <c r="K211" s="63" t="inlineStr">
        <is>
          <t>62,93</t>
        </is>
      </c>
      <c r="L211" s="63" t="inlineStr">
        <is>
          <t>0,00</t>
        </is>
      </c>
      <c r="M211" s="63" t="inlineStr">
        <is>
          <t>62,93</t>
        </is>
      </c>
      <c r="N211" s="63" t="inlineStr">
        <is>
          <t>73,00</t>
        </is>
      </c>
      <c r="O211" s="65" t="n"/>
      <c r="P211" s="65" t="n"/>
      <c r="Q211" s="65" t="n"/>
      <c r="R211" s="65" t="n"/>
      <c r="S211" s="65" t="n"/>
      <c r="T211" s="65" t="n"/>
      <c r="U211" s="65" t="n"/>
      <c r="V211" s="65" t="n"/>
    </row>
    <row r="212">
      <c r="A212" s="65" t="n"/>
      <c r="B212" s="65" t="n"/>
      <c r="C212" s="65" t="n"/>
      <c r="D212" s="65" t="n"/>
      <c r="E212" s="65" t="n"/>
      <c r="F212" s="65" t="n"/>
      <c r="G212" s="65" t="n"/>
      <c r="H212" s="65" t="inlineStr">
        <is>
          <t>[0779] SINOCO SAE 20W-50 (1x12)</t>
        </is>
      </c>
      <c r="I212" s="65" t="n">
        <v>779</v>
      </c>
      <c r="J212" s="63" t="inlineStr">
        <is>
          <t>3,00</t>
        </is>
      </c>
      <c r="K212" s="63" t="inlineStr">
        <is>
          <t>45,69</t>
        </is>
      </c>
      <c r="L212" s="63" t="inlineStr">
        <is>
          <t>0,00</t>
        </is>
      </c>
      <c r="M212" s="63" t="inlineStr">
        <is>
          <t>137,07</t>
        </is>
      </c>
      <c r="N212" s="63" t="inlineStr">
        <is>
          <t>159,00</t>
        </is>
      </c>
      <c r="O212" s="65" t="n"/>
      <c r="P212" s="65" t="n"/>
      <c r="Q212" s="65" t="n"/>
      <c r="R212" s="65" t="n"/>
      <c r="S212" s="65" t="n"/>
      <c r="T212" s="65" t="n"/>
      <c r="U212" s="65" t="n"/>
      <c r="V212" s="65" t="n"/>
    </row>
    <row r="213">
      <c r="A213" s="65" t="inlineStr">
        <is>
          <t>S00242</t>
        </is>
      </c>
      <c r="B213" s="62" t="n">
        <v>46214.62133101852</v>
      </c>
      <c r="C213" s="65" t="inlineStr">
        <is>
          <t>Servicios de Gruas Torgil 300, c.a.</t>
        </is>
      </c>
      <c r="D213" s="65" t="inlineStr">
        <is>
          <t>QUEVEDO BASTIDAS NEYKEL DAVID</t>
        </is>
      </c>
      <c r="E213" s="65" t="inlineStr">
        <is>
          <t>15 días</t>
        </is>
      </c>
      <c r="F213" s="65" t="n">
        <v>8</v>
      </c>
      <c r="G213" s="65" t="inlineStr">
        <is>
          <t>Pago USD</t>
        </is>
      </c>
      <c r="H213" s="65" t="inlineStr">
        <is>
          <t>[0144] HIDRAGLOB AW/ISO 68 (PAILA)</t>
        </is>
      </c>
      <c r="I213" s="65" t="n">
        <v>144</v>
      </c>
      <c r="J213" s="63" t="inlineStr">
        <is>
          <t>10,00</t>
        </is>
      </c>
      <c r="K213" s="63" t="inlineStr">
        <is>
          <t>61,21</t>
        </is>
      </c>
      <c r="L213" s="63" t="inlineStr">
        <is>
          <t>0,00</t>
        </is>
      </c>
      <c r="M213" s="63" t="inlineStr">
        <is>
          <t>612,07</t>
        </is>
      </c>
      <c r="N213" s="63" t="inlineStr">
        <is>
          <t>710,00</t>
        </is>
      </c>
      <c r="O213" s="63" t="inlineStr">
        <is>
          <t>612,07</t>
        </is>
      </c>
      <c r="P213" s="63" t="inlineStr">
        <is>
          <t>710,00</t>
        </is>
      </c>
      <c r="Q213" s="63" t="inlineStr">
        <is>
          <t>709,69</t>
        </is>
      </c>
      <c r="R213" s="66" t="n">
        <v>46215</v>
      </c>
      <c r="S213" s="65" t="n">
        <v>317</v>
      </c>
      <c r="T213" s="65" t="inlineStr">
        <is>
          <t>00-00000859</t>
        </is>
      </c>
      <c r="U213" s="63" t="inlineStr">
        <is>
          <t>709,99</t>
        </is>
      </c>
      <c r="V213" s="63" t="inlineStr">
        <is>
          <t>710,00</t>
        </is>
      </c>
    </row>
    <row r="214">
      <c r="A214" s="65" t="inlineStr">
        <is>
          <t>S00243</t>
        </is>
      </c>
      <c r="B214" s="62" t="n">
        <v>46214.6208449074</v>
      </c>
      <c r="C214" s="65" t="inlineStr">
        <is>
          <t>Cauchera William 2018, C.A</t>
        </is>
      </c>
      <c r="D214" s="65" t="inlineStr">
        <is>
          <t>MARTINEZ MONTES JEFFREY ENRIQUE</t>
        </is>
      </c>
      <c r="E214" s="65" t="inlineStr">
        <is>
          <t>7 días</t>
        </is>
      </c>
      <c r="F214" s="65" t="n">
        <v>8</v>
      </c>
      <c r="G214" s="65" t="inlineStr">
        <is>
          <t>Pago USD</t>
        </is>
      </c>
      <c r="H214" s="65" t="inlineStr">
        <is>
          <t>[0605] SINOCO SAE 20W-50 (PAILA)</t>
        </is>
      </c>
      <c r="I214" s="65" t="n">
        <v>605</v>
      </c>
      <c r="J214" s="63" t="inlineStr">
        <is>
          <t>1,00</t>
        </is>
      </c>
      <c r="K214" s="63" t="inlineStr">
        <is>
          <t>62,93</t>
        </is>
      </c>
      <c r="L214" s="63" t="inlineStr">
        <is>
          <t>0,00</t>
        </is>
      </c>
      <c r="M214" s="63" t="inlineStr">
        <is>
          <t>62,93</t>
        </is>
      </c>
      <c r="N214" s="63" t="inlineStr">
        <is>
          <t>73,00</t>
        </is>
      </c>
      <c r="O214" s="63" t="inlineStr">
        <is>
          <t>221,55</t>
        </is>
      </c>
      <c r="P214" s="63" t="inlineStr">
        <is>
          <t>256,99</t>
        </is>
      </c>
      <c r="Q214" s="63" t="inlineStr">
        <is>
          <t>709,69</t>
        </is>
      </c>
      <c r="R214" s="66" t="n">
        <v>46215</v>
      </c>
      <c r="S214" s="65" t="n">
        <v>318</v>
      </c>
      <c r="T214" s="65" t="inlineStr">
        <is>
          <t>00-00000860</t>
        </is>
      </c>
      <c r="U214" s="63" t="inlineStr">
        <is>
          <t>256,97</t>
        </is>
      </c>
      <c r="V214" s="63" t="inlineStr">
        <is>
          <t>257,00</t>
        </is>
      </c>
    </row>
    <row r="215">
      <c r="A215" s="65" t="n"/>
      <c r="B215" s="65" t="n"/>
      <c r="C215" s="65" t="n"/>
      <c r="D215" s="65" t="n"/>
      <c r="E215" s="65" t="n"/>
      <c r="F215" s="65" t="n"/>
      <c r="G215" s="65" t="n"/>
      <c r="H215" s="65" t="inlineStr">
        <is>
          <t>[0779] SINOCO SAE 20W-50 (1x12)</t>
        </is>
      </c>
      <c r="I215" s="65" t="n">
        <v>779</v>
      </c>
      <c r="J215" s="63" t="inlineStr">
        <is>
          <t>1,00</t>
        </is>
      </c>
      <c r="K215" s="63" t="inlineStr">
        <is>
          <t>45,69</t>
        </is>
      </c>
      <c r="L215" s="63" t="inlineStr">
        <is>
          <t>0,00</t>
        </is>
      </c>
      <c r="M215" s="63" t="inlineStr">
        <is>
          <t>45,69</t>
        </is>
      </c>
      <c r="N215" s="63" t="inlineStr">
        <is>
          <t>53,00</t>
        </is>
      </c>
      <c r="O215" s="65" t="n"/>
      <c r="P215" s="65" t="n"/>
      <c r="Q215" s="65" t="n"/>
      <c r="R215" s="65" t="n"/>
      <c r="S215" s="65" t="n"/>
      <c r="T215" s="65" t="n"/>
      <c r="U215" s="65" t="n"/>
      <c r="V215" s="65" t="n"/>
    </row>
    <row r="216">
      <c r="A216" s="65" t="n"/>
      <c r="B216" s="65" t="n"/>
      <c r="C216" s="65" t="n"/>
      <c r="D216" s="65" t="n"/>
      <c r="E216" s="65" t="n"/>
      <c r="F216" s="65" t="n"/>
      <c r="G216" s="65" t="n"/>
      <c r="H216" s="65" t="inlineStr">
        <is>
          <t>[0880] CLASICO API SL SAE 15W-40 (1x12)</t>
        </is>
      </c>
      <c r="I216" s="65" t="n">
        <v>880</v>
      </c>
      <c r="J216" s="63" t="inlineStr">
        <is>
          <t>1,00</t>
        </is>
      </c>
      <c r="K216" s="63" t="inlineStr">
        <is>
          <t>56,03</t>
        </is>
      </c>
      <c r="L216" s="63" t="inlineStr">
        <is>
          <t>0,00</t>
        </is>
      </c>
      <c r="M216" s="63" t="inlineStr">
        <is>
          <t>56,03</t>
        </is>
      </c>
      <c r="N216" s="63" t="inlineStr">
        <is>
          <t>64,99</t>
        </is>
      </c>
      <c r="O216" s="65" t="n"/>
      <c r="P216" s="65" t="n"/>
      <c r="Q216" s="65" t="n"/>
      <c r="R216" s="65" t="n"/>
      <c r="S216" s="65" t="n"/>
      <c r="T216" s="65" t="n"/>
      <c r="U216" s="65" t="n"/>
      <c r="V216" s="65" t="n"/>
    </row>
    <row r="217">
      <c r="A217" s="65" t="n"/>
      <c r="B217" s="65" t="n"/>
      <c r="C217" s="65" t="n"/>
      <c r="D217" s="65" t="n"/>
      <c r="E217" s="65" t="n"/>
      <c r="F217" s="65" t="n"/>
      <c r="G217" s="65" t="n"/>
      <c r="H217" s="65" t="inlineStr">
        <is>
          <t>[0121] TRANSGLOB API GL-5 SAE 80W-90 (1x6)</t>
        </is>
      </c>
      <c r="I217" s="65" t="n">
        <v>121</v>
      </c>
      <c r="J217" s="63" t="inlineStr">
        <is>
          <t>1,00</t>
        </is>
      </c>
      <c r="K217" s="63" t="inlineStr">
        <is>
          <t>33,62</t>
        </is>
      </c>
      <c r="L217" s="63" t="inlineStr">
        <is>
          <t>0,00</t>
        </is>
      </c>
      <c r="M217" s="63" t="inlineStr">
        <is>
          <t>33,62</t>
        </is>
      </c>
      <c r="N217" s="63" t="inlineStr">
        <is>
          <t>39,00</t>
        </is>
      </c>
      <c r="O217" s="65" t="n"/>
      <c r="P217" s="65" t="n"/>
      <c r="Q217" s="65" t="n"/>
      <c r="R217" s="65" t="n"/>
      <c r="S217" s="65" t="n"/>
      <c r="T217" s="65" t="n"/>
      <c r="U217" s="65" t="n"/>
      <c r="V217" s="65" t="n"/>
    </row>
    <row r="218">
      <c r="A218" s="65" t="n"/>
      <c r="B218" s="65" t="n"/>
      <c r="C218" s="65" t="n"/>
      <c r="D218" s="65" t="n"/>
      <c r="E218" s="65" t="n"/>
      <c r="F218" s="65" t="n"/>
      <c r="G218" s="65" t="n"/>
      <c r="H218" s="65" t="inlineStr">
        <is>
          <t>[0761] LIGA PARA FRENOS DOT-3 (1x12)</t>
        </is>
      </c>
      <c r="I218" s="65" t="n">
        <v>761</v>
      </c>
      <c r="J218" s="63" t="inlineStr">
        <is>
          <t>1,00</t>
        </is>
      </c>
      <c r="K218" s="63" t="inlineStr">
        <is>
          <t>23,28</t>
        </is>
      </c>
      <c r="L218" s="63" t="inlineStr">
        <is>
          <t>0,00</t>
        </is>
      </c>
      <c r="M218" s="63" t="inlineStr">
        <is>
          <t>23,28</t>
        </is>
      </c>
      <c r="N218" s="63" t="inlineStr">
        <is>
          <t>27,00</t>
        </is>
      </c>
      <c r="O218" s="65" t="n"/>
      <c r="P218" s="65" t="n"/>
      <c r="Q218" s="65" t="n"/>
      <c r="R218" s="65" t="n"/>
      <c r="S218" s="65" t="n"/>
      <c r="T218" s="65" t="n"/>
      <c r="U218" s="65" t="n"/>
      <c r="V218" s="65" t="n"/>
    </row>
    <row r="219">
      <c r="A219" s="65" t="inlineStr">
        <is>
          <t>S00240</t>
        </is>
      </c>
      <c r="B219" s="62" t="n">
        <v>46214.61962962963</v>
      </c>
      <c r="C219" s="65" t="inlineStr">
        <is>
          <t>Auto repuestos Fontalvo</t>
        </is>
      </c>
      <c r="D219" s="65" t="inlineStr">
        <is>
          <t>TORO ARDILES DAVID JOSE</t>
        </is>
      </c>
      <c r="E219" s="65" t="inlineStr">
        <is>
          <t>7 días</t>
        </is>
      </c>
      <c r="F219" s="65" t="n">
        <v>8</v>
      </c>
      <c r="G219" s="65" t="inlineStr">
        <is>
          <t>Pago USD</t>
        </is>
      </c>
      <c r="H219" s="65" t="inlineStr">
        <is>
          <t>[0025] SS EXTRA PROTECCION API SN SAE 10W-30 (Gasolina) (1x6)</t>
        </is>
      </c>
      <c r="I219" s="65" t="n">
        <v>25</v>
      </c>
      <c r="J219" s="63" t="inlineStr">
        <is>
          <t>2,00</t>
        </is>
      </c>
      <c r="K219" s="63" t="inlineStr">
        <is>
          <t>32,76</t>
        </is>
      </c>
      <c r="L219" s="63" t="inlineStr">
        <is>
          <t>0,00</t>
        </is>
      </c>
      <c r="M219" s="63" t="inlineStr">
        <is>
          <t>65,52</t>
        </is>
      </c>
      <c r="N219" s="63" t="inlineStr">
        <is>
          <t>76,00</t>
        </is>
      </c>
      <c r="O219" s="63" t="inlineStr">
        <is>
          <t>65,52</t>
        </is>
      </c>
      <c r="P219" s="63" t="inlineStr">
        <is>
          <t>76,00</t>
        </is>
      </c>
      <c r="Q219" s="63" t="inlineStr">
        <is>
          <t>709,69</t>
        </is>
      </c>
      <c r="R219" s="66" t="n">
        <v>46214</v>
      </c>
      <c r="S219" s="65" t="n">
        <v>294</v>
      </c>
      <c r="T219" s="65" t="inlineStr">
        <is>
          <t>00-00000833</t>
        </is>
      </c>
      <c r="U219" s="63" t="inlineStr">
        <is>
          <t>75,99</t>
        </is>
      </c>
      <c r="V219" s="63" t="inlineStr">
        <is>
          <t>0,00</t>
        </is>
      </c>
    </row>
    <row r="220">
      <c r="A220" s="65" t="inlineStr">
        <is>
          <t>S00226</t>
        </is>
      </c>
      <c r="B220" s="62" t="n">
        <v>46214.6121875</v>
      </c>
      <c r="C220" s="65" t="inlineStr">
        <is>
          <t>Josefina Guevera</t>
        </is>
      </c>
      <c r="D220" s="65" t="inlineStr">
        <is>
          <t>PEREZ DIAZ ANGEL DE DIOS</t>
        </is>
      </c>
      <c r="E220" s="65" t="inlineStr">
        <is>
          <t>7 días</t>
        </is>
      </c>
      <c r="F220" s="65" t="n">
        <v>8</v>
      </c>
      <c r="G220" s="65" t="inlineStr">
        <is>
          <t>Pago USD</t>
        </is>
      </c>
      <c r="H220" s="65" t="inlineStr">
        <is>
          <t>[0884] TRANSMATIC ATF DEXRON III (1x12)</t>
        </is>
      </c>
      <c r="I220" s="65" t="n">
        <v>884</v>
      </c>
      <c r="J220" s="63" t="inlineStr">
        <is>
          <t>1,00</t>
        </is>
      </c>
      <c r="K220" s="63" t="inlineStr">
        <is>
          <t>62,07</t>
        </is>
      </c>
      <c r="L220" s="63" t="inlineStr">
        <is>
          <t>0,00</t>
        </is>
      </c>
      <c r="M220" s="63" t="inlineStr">
        <is>
          <t>62,07</t>
        </is>
      </c>
      <c r="N220" s="63" t="inlineStr">
        <is>
          <t>72,00</t>
        </is>
      </c>
      <c r="O220" s="63" t="inlineStr">
        <is>
          <t>227,58</t>
        </is>
      </c>
      <c r="P220" s="63" t="inlineStr">
        <is>
          <t>264,00</t>
        </is>
      </c>
      <c r="Q220" s="63" t="inlineStr">
        <is>
          <t>709,69</t>
        </is>
      </c>
      <c r="R220" s="66" t="n">
        <v>46214</v>
      </c>
      <c r="S220" s="65" t="n">
        <v>292</v>
      </c>
      <c r="T220" s="65" t="inlineStr">
        <is>
          <t>00-00000831</t>
        </is>
      </c>
      <c r="U220" s="63" t="inlineStr">
        <is>
          <t>263,98</t>
        </is>
      </c>
      <c r="V220" s="63" t="inlineStr">
        <is>
          <t>176,00</t>
        </is>
      </c>
    </row>
    <row r="221">
      <c r="A221" s="65" t="n"/>
      <c r="B221" s="65" t="n"/>
      <c r="C221" s="65" t="n"/>
      <c r="D221" s="65" t="n"/>
      <c r="E221" s="65" t="n"/>
      <c r="F221" s="65" t="n"/>
      <c r="G221" s="65" t="n"/>
      <c r="H221" s="65" t="inlineStr">
        <is>
          <t>[0605] SINOCO SAE 20W-50 (PAILA)</t>
        </is>
      </c>
      <c r="I221" s="65" t="n">
        <v>605</v>
      </c>
      <c r="J221" s="63" t="inlineStr">
        <is>
          <t>1,00</t>
        </is>
      </c>
      <c r="K221" s="63" t="inlineStr">
        <is>
          <t>62,93</t>
        </is>
      </c>
      <c r="L221" s="63" t="inlineStr">
        <is>
          <t>0,00</t>
        </is>
      </c>
      <c r="M221" s="63" t="inlineStr">
        <is>
          <t>62,93</t>
        </is>
      </c>
      <c r="N221" s="63" t="inlineStr">
        <is>
          <t>73,00</t>
        </is>
      </c>
      <c r="O221" s="65" t="n"/>
      <c r="P221" s="65" t="n"/>
      <c r="Q221" s="65" t="n"/>
      <c r="R221" s="65" t="n"/>
      <c r="S221" s="65" t="n"/>
      <c r="T221" s="65" t="n"/>
      <c r="U221" s="65" t="n"/>
      <c r="V221" s="65" t="n"/>
    </row>
    <row r="222">
      <c r="A222" s="65" t="n"/>
      <c r="B222" s="65" t="n"/>
      <c r="C222" s="65" t="n"/>
      <c r="D222" s="65" t="n"/>
      <c r="E222" s="65" t="n"/>
      <c r="F222" s="65" t="n"/>
      <c r="G222" s="65" t="n"/>
      <c r="H222" s="65" t="inlineStr">
        <is>
          <t>[0121] TRANSGLOB API GL-5 SAE 80W-90 (1x6)</t>
        </is>
      </c>
      <c r="I222" s="65" t="n">
        <v>121</v>
      </c>
      <c r="J222" s="63" t="inlineStr">
        <is>
          <t>1,00</t>
        </is>
      </c>
      <c r="K222" s="63" t="inlineStr">
        <is>
          <t>33,62</t>
        </is>
      </c>
      <c r="L222" s="63" t="inlineStr">
        <is>
          <t>0,00</t>
        </is>
      </c>
      <c r="M222" s="63" t="inlineStr">
        <is>
          <t>33,62</t>
        </is>
      </c>
      <c r="N222" s="63" t="inlineStr">
        <is>
          <t>39,00</t>
        </is>
      </c>
      <c r="O222" s="65" t="n"/>
      <c r="P222" s="65" t="n"/>
      <c r="Q222" s="65" t="n"/>
      <c r="R222" s="65" t="n"/>
      <c r="S222" s="65" t="n"/>
      <c r="T222" s="65" t="n"/>
      <c r="U222" s="65" t="n"/>
      <c r="V222" s="65" t="n"/>
    </row>
    <row r="223">
      <c r="A223" s="65" t="n"/>
      <c r="B223" s="65" t="n"/>
      <c r="C223" s="65" t="n"/>
      <c r="D223" s="65" t="n"/>
      <c r="E223" s="65" t="n"/>
      <c r="F223" s="65" t="n"/>
      <c r="G223" s="65" t="n"/>
      <c r="H223" s="65" t="inlineStr">
        <is>
          <t>[0774] LIGA PARA FRENOS DOT-4 (1X6)</t>
        </is>
      </c>
      <c r="I223" s="65" t="n">
        <v>774</v>
      </c>
      <c r="J223" s="63" t="inlineStr">
        <is>
          <t>1,00</t>
        </is>
      </c>
      <c r="K223" s="63" t="inlineStr">
        <is>
          <t>42,24</t>
        </is>
      </c>
      <c r="L223" s="63" t="inlineStr">
        <is>
          <t>0,00</t>
        </is>
      </c>
      <c r="M223" s="63" t="inlineStr">
        <is>
          <t>42,24</t>
        </is>
      </c>
      <c r="N223" s="63" t="inlineStr">
        <is>
          <t>49,00</t>
        </is>
      </c>
      <c r="O223" s="65" t="n"/>
      <c r="P223" s="65" t="n"/>
      <c r="Q223" s="65" t="n"/>
      <c r="R223" s="65" t="n"/>
      <c r="S223" s="65" t="n"/>
      <c r="T223" s="65" t="n"/>
      <c r="U223" s="65" t="n"/>
      <c r="V223" s="65" t="n"/>
    </row>
    <row r="224">
      <c r="A224" s="65" t="n"/>
      <c r="B224" s="65" t="n"/>
      <c r="C224" s="65" t="n"/>
      <c r="D224" s="65" t="n"/>
      <c r="E224" s="65" t="n"/>
      <c r="F224" s="65" t="n"/>
      <c r="G224" s="65" t="n"/>
      <c r="H224" s="65" t="inlineStr">
        <is>
          <t>[0775] LIGA PARA FRENOS DOT-4 (1X12)</t>
        </is>
      </c>
      <c r="I224" s="65" t="n">
        <v>775</v>
      </c>
      <c r="J224" s="63" t="inlineStr">
        <is>
          <t>1,00</t>
        </is>
      </c>
      <c r="K224" s="63" t="inlineStr">
        <is>
          <t>26,72</t>
        </is>
      </c>
      <c r="L224" s="63" t="inlineStr">
        <is>
          <t>0,00</t>
        </is>
      </c>
      <c r="M224" s="63" t="inlineStr">
        <is>
          <t>26,72</t>
        </is>
      </c>
      <c r="N224" s="63" t="inlineStr">
        <is>
          <t>31,00</t>
        </is>
      </c>
      <c r="O224" s="65" t="n"/>
      <c r="P224" s="65" t="n"/>
      <c r="Q224" s="65" t="n"/>
      <c r="R224" s="65" t="n"/>
      <c r="S224" s="65" t="n"/>
      <c r="T224" s="65" t="n"/>
      <c r="U224" s="65" t="n"/>
      <c r="V224" s="65" t="n"/>
    </row>
    <row r="225">
      <c r="A225" s="65" t="inlineStr">
        <is>
          <t>S00221</t>
        </is>
      </c>
      <c r="B225" s="62" t="n">
        <v>46214.58549768518</v>
      </c>
      <c r="C225" s="65" t="inlineStr">
        <is>
          <t>ACCESORIOS Y REPUESTOS MOTO CAR 20-11-C.A</t>
        </is>
      </c>
      <c r="D225" s="65" t="inlineStr">
        <is>
          <t>VILLABONA CORREA ALBA ESTEFANIA</t>
        </is>
      </c>
      <c r="E225" s="65" t="n"/>
      <c r="F225" s="65" t="n">
        <v>8</v>
      </c>
      <c r="G225" s="65" t="inlineStr">
        <is>
          <t>Pago USD</t>
        </is>
      </c>
      <c r="H225" s="65" t="inlineStr">
        <is>
          <t>[0887] MOTOCLASICO 4T SAE 20W-50 (1x12)</t>
        </is>
      </c>
      <c r="I225" s="65" t="n">
        <v>887</v>
      </c>
      <c r="J225" s="63" t="inlineStr">
        <is>
          <t>1,00</t>
        </is>
      </c>
      <c r="K225" s="63" t="inlineStr">
        <is>
          <t>58,62</t>
        </is>
      </c>
      <c r="L225" s="63" t="inlineStr">
        <is>
          <t>0,00</t>
        </is>
      </c>
      <c r="M225" s="63" t="inlineStr">
        <is>
          <t>58,62</t>
        </is>
      </c>
      <c r="N225" s="63" t="inlineStr">
        <is>
          <t>68,00</t>
        </is>
      </c>
      <c r="O225" s="63" t="inlineStr">
        <is>
          <t>121,55</t>
        </is>
      </c>
      <c r="P225" s="63" t="inlineStr">
        <is>
          <t>141,00</t>
        </is>
      </c>
      <c r="Q225" s="63" t="inlineStr">
        <is>
          <t>709,69</t>
        </is>
      </c>
      <c r="R225" s="66" t="n">
        <v>46214</v>
      </c>
      <c r="S225" s="65" t="n">
        <v>291</v>
      </c>
      <c r="T225" s="65" t="inlineStr">
        <is>
          <t>00-00000829</t>
        </is>
      </c>
      <c r="U225" s="63" t="inlineStr">
        <is>
          <t>140,98</t>
        </is>
      </c>
      <c r="V225" s="63" t="inlineStr">
        <is>
          <t>0,00</t>
        </is>
      </c>
    </row>
    <row r="226">
      <c r="A226" s="65" t="n"/>
      <c r="B226" s="65" t="n"/>
      <c r="C226" s="65" t="n"/>
      <c r="D226" s="65" t="n"/>
      <c r="E226" s="65" t="n"/>
      <c r="F226" s="65" t="n"/>
      <c r="G226" s="65" t="n"/>
      <c r="H226" s="65" t="n"/>
      <c r="I226" s="65" t="n"/>
      <c r="J226" s="63" t="inlineStr">
        <is>
          <t>0,00</t>
        </is>
      </c>
      <c r="K226" s="63" t="inlineStr">
        <is>
          <t>0,00</t>
        </is>
      </c>
      <c r="L226" s="63" t="inlineStr">
        <is>
          <t>0,00</t>
        </is>
      </c>
      <c r="M226" s="63" t="inlineStr">
        <is>
          <t>0,00</t>
        </is>
      </c>
      <c r="N226" s="63" t="inlineStr">
        <is>
          <t>0,00</t>
        </is>
      </c>
      <c r="O226" s="65" t="n"/>
      <c r="P226" s="65" t="n"/>
      <c r="Q226" s="65" t="n"/>
      <c r="R226" s="65" t="n"/>
      <c r="S226" s="65" t="n"/>
      <c r="T226" s="65" t="n"/>
      <c r="U226" s="65" t="n"/>
      <c r="V226" s="65" t="n"/>
    </row>
    <row r="227">
      <c r="A227" s="65" t="n"/>
      <c r="B227" s="65" t="n"/>
      <c r="C227" s="65" t="n"/>
      <c r="D227" s="65" t="n"/>
      <c r="E227" s="65" t="n"/>
      <c r="F227" s="65" t="n"/>
      <c r="G227" s="65" t="n"/>
      <c r="H227" s="65" t="inlineStr">
        <is>
          <t>[0093] ALTA CILINDRADA SS API SN SAE 15W-40 (1x6)</t>
        </is>
      </c>
      <c r="I227" s="65" t="n">
        <v>93</v>
      </c>
      <c r="J227" s="63" t="inlineStr">
        <is>
          <t>1,00</t>
        </is>
      </c>
      <c r="K227" s="63" t="inlineStr">
        <is>
          <t>30,17</t>
        </is>
      </c>
      <c r="L227" s="63" t="inlineStr">
        <is>
          <t>0,00</t>
        </is>
      </c>
      <c r="M227" s="63" t="inlineStr">
        <is>
          <t>30,17</t>
        </is>
      </c>
      <c r="N227" s="63" t="inlineStr">
        <is>
          <t>35,00</t>
        </is>
      </c>
      <c r="O227" s="65" t="n"/>
      <c r="P227" s="65" t="n"/>
      <c r="Q227" s="65" t="n"/>
      <c r="R227" s="65" t="n"/>
      <c r="S227" s="65" t="n"/>
      <c r="T227" s="65" t="n"/>
      <c r="U227" s="65" t="n"/>
      <c r="V227" s="65" t="n"/>
    </row>
    <row r="228">
      <c r="A228" s="65" t="n"/>
      <c r="B228" s="65" t="n"/>
      <c r="C228" s="65" t="n"/>
      <c r="D228" s="65" t="n"/>
      <c r="E228" s="65" t="n"/>
      <c r="F228" s="65" t="n"/>
      <c r="G228" s="65" t="n"/>
      <c r="H228" s="65" t="inlineStr">
        <is>
          <t>[0087] ENDUROGLOB 2T AIRE (1x6)</t>
        </is>
      </c>
      <c r="I228" s="65" t="n">
        <v>87</v>
      </c>
      <c r="J228" s="63" t="inlineStr">
        <is>
          <t>1,00</t>
        </is>
      </c>
      <c r="K228" s="63" t="inlineStr">
        <is>
          <t>32,76</t>
        </is>
      </c>
      <c r="L228" s="63" t="inlineStr">
        <is>
          <t>0,00</t>
        </is>
      </c>
      <c r="M228" s="63" t="inlineStr">
        <is>
          <t>32,76</t>
        </is>
      </c>
      <c r="N228" s="63" t="inlineStr">
        <is>
          <t>38,00</t>
        </is>
      </c>
      <c r="O228" s="65" t="n"/>
      <c r="P228" s="65" t="n"/>
      <c r="Q228" s="65" t="n"/>
      <c r="R228" s="65" t="n"/>
      <c r="S228" s="65" t="n"/>
      <c r="T228" s="65" t="n"/>
      <c r="U228" s="65" t="n"/>
      <c r="V228" s="65" t="n"/>
    </row>
    <row r="229">
      <c r="A229" s="65" t="inlineStr">
        <is>
          <t>S00222</t>
        </is>
      </c>
      <c r="B229" s="62" t="n">
        <v>46214.5834837963</v>
      </c>
      <c r="C229" s="65" t="inlineStr">
        <is>
          <t>Braulio R. Cedeño Gonzalez.</t>
        </is>
      </c>
      <c r="D229" s="65" t="inlineStr">
        <is>
          <t>GRIMAN DIAZ HECTOR EDUARDO</t>
        </is>
      </c>
      <c r="E229" s="65" t="inlineStr">
        <is>
          <t>15 días</t>
        </is>
      </c>
      <c r="F229" s="65" t="n">
        <v>8</v>
      </c>
      <c r="G229" s="65" t="inlineStr">
        <is>
          <t>Pago USD</t>
        </is>
      </c>
      <c r="H229" s="65" t="inlineStr">
        <is>
          <t>[0605] SINOCO SAE 20W-50 (PAILA)</t>
        </is>
      </c>
      <c r="I229" s="65" t="n">
        <v>605</v>
      </c>
      <c r="J229" s="63" t="inlineStr">
        <is>
          <t>2,00</t>
        </is>
      </c>
      <c r="K229" s="63" t="inlineStr">
        <is>
          <t>62,93</t>
        </is>
      </c>
      <c r="L229" s="63" t="inlineStr">
        <is>
          <t>0,00</t>
        </is>
      </c>
      <c r="M229" s="63" t="inlineStr">
        <is>
          <t>125,86</t>
        </is>
      </c>
      <c r="N229" s="63" t="inlineStr">
        <is>
          <t>146,00</t>
        </is>
      </c>
      <c r="O229" s="63" t="inlineStr">
        <is>
          <t>279,31</t>
        </is>
      </c>
      <c r="P229" s="63" t="inlineStr">
        <is>
          <t>324,00</t>
        </is>
      </c>
      <c r="Q229" s="63" t="inlineStr">
        <is>
          <t>709,69</t>
        </is>
      </c>
      <c r="R229" s="66" t="n">
        <v>46214</v>
      </c>
      <c r="S229" s="65" t="n">
        <v>290</v>
      </c>
      <c r="T229" s="65" t="inlineStr">
        <is>
          <t>00-00000828</t>
        </is>
      </c>
      <c r="U229" s="63" t="inlineStr">
        <is>
          <t>323,97</t>
        </is>
      </c>
      <c r="V229" s="63" t="inlineStr">
        <is>
          <t>9,00</t>
        </is>
      </c>
    </row>
    <row r="230">
      <c r="A230" s="65" t="n"/>
      <c r="B230" s="65" t="n"/>
      <c r="C230" s="65" t="n"/>
      <c r="D230" s="65" t="n"/>
      <c r="E230" s="65" t="n"/>
      <c r="F230" s="65" t="n"/>
      <c r="G230" s="65" t="n"/>
      <c r="H230" s="65" t="inlineStr">
        <is>
          <t>[0779] SINOCO SAE 20W-50 (1x12)</t>
        </is>
      </c>
      <c r="I230" s="65" t="n">
        <v>779</v>
      </c>
      <c r="J230" s="63" t="inlineStr">
        <is>
          <t>2,00</t>
        </is>
      </c>
      <c r="K230" s="63" t="inlineStr">
        <is>
          <t>45,69</t>
        </is>
      </c>
      <c r="L230" s="63" t="inlineStr">
        <is>
          <t>0,00</t>
        </is>
      </c>
      <c r="M230" s="63" t="inlineStr">
        <is>
          <t>91,38</t>
        </is>
      </c>
      <c r="N230" s="63" t="inlineStr">
        <is>
          <t>106,00</t>
        </is>
      </c>
      <c r="O230" s="65" t="n"/>
      <c r="P230" s="65" t="n"/>
      <c r="Q230" s="65" t="n"/>
      <c r="R230" s="65" t="n"/>
      <c r="S230" s="65" t="n"/>
      <c r="T230" s="65" t="n"/>
      <c r="U230" s="65" t="n"/>
      <c r="V230" s="65" t="n"/>
    </row>
    <row r="231">
      <c r="A231" s="65" t="n"/>
      <c r="B231" s="65" t="n"/>
      <c r="C231" s="65" t="n"/>
      <c r="D231" s="65" t="n"/>
      <c r="E231" s="65" t="n"/>
      <c r="F231" s="65" t="n"/>
      <c r="G231" s="65" t="n"/>
      <c r="H231" s="65" t="inlineStr">
        <is>
          <t>[0884] TRANSMATIC ATF DEXRON III (1x12)</t>
        </is>
      </c>
      <c r="I231" s="65" t="n">
        <v>884</v>
      </c>
      <c r="J231" s="63" t="inlineStr">
        <is>
          <t>1,00</t>
        </is>
      </c>
      <c r="K231" s="63" t="inlineStr">
        <is>
          <t>62,07</t>
        </is>
      </c>
      <c r="L231" s="63" t="inlineStr">
        <is>
          <t>0,00</t>
        </is>
      </c>
      <c r="M231" s="63" t="inlineStr">
        <is>
          <t>62,07</t>
        </is>
      </c>
      <c r="N231" s="63" t="inlineStr">
        <is>
          <t>72,00</t>
        </is>
      </c>
      <c r="O231" s="65" t="n"/>
      <c r="P231" s="65" t="n"/>
      <c r="Q231" s="65" t="n"/>
      <c r="R231" s="65" t="n"/>
      <c r="S231" s="65" t="n"/>
      <c r="T231" s="65" t="n"/>
      <c r="U231" s="65" t="n"/>
      <c r="V231" s="65" t="n"/>
    </row>
    <row r="232">
      <c r="A232" s="65" t="inlineStr">
        <is>
          <t>S00218</t>
        </is>
      </c>
      <c r="B232" s="62" t="n">
        <v>46214.58207175926</v>
      </c>
      <c r="C232" s="65" t="inlineStr">
        <is>
          <t>Cooperativa Dios mi Amparo, R.L.</t>
        </is>
      </c>
      <c r="D232" s="65" t="inlineStr">
        <is>
          <t>BETANCOURT ROBRIGUEZ LUIS ENRRIQUE</t>
        </is>
      </c>
      <c r="E232" s="65" t="inlineStr">
        <is>
          <t>15 días</t>
        </is>
      </c>
      <c r="F232" s="65" t="n">
        <v>8</v>
      </c>
      <c r="G232" s="65" t="inlineStr">
        <is>
          <t>Pago USD</t>
        </is>
      </c>
      <c r="H232" s="65" t="inlineStr">
        <is>
          <t>[0881] CLASICO API SL SAE 20W-50 (1x12)</t>
        </is>
      </c>
      <c r="I232" s="65" t="n">
        <v>881</v>
      </c>
      <c r="J232" s="63" t="inlineStr">
        <is>
          <t>1,00</t>
        </is>
      </c>
      <c r="K232" s="63" t="inlineStr">
        <is>
          <t>56,03</t>
        </is>
      </c>
      <c r="L232" s="63" t="inlineStr">
        <is>
          <t>0,00</t>
        </is>
      </c>
      <c r="M232" s="63" t="inlineStr">
        <is>
          <t>56,03</t>
        </is>
      </c>
      <c r="N232" s="63" t="inlineStr">
        <is>
          <t>64,99</t>
        </is>
      </c>
      <c r="O232" s="63" t="inlineStr">
        <is>
          <t>249,14</t>
        </is>
      </c>
      <c r="P232" s="63" t="inlineStr">
        <is>
          <t>288,99</t>
        </is>
      </c>
      <c r="Q232" s="63" t="inlineStr">
        <is>
          <t>709,69</t>
        </is>
      </c>
      <c r="R232" s="66" t="n">
        <v>46214</v>
      </c>
      <c r="S232" s="65" t="n">
        <v>289</v>
      </c>
      <c r="T232" s="65" t="inlineStr">
        <is>
          <t>00-00000827</t>
        </is>
      </c>
      <c r="U232" s="63" t="inlineStr">
        <is>
          <t>288,97</t>
        </is>
      </c>
      <c r="V232" s="63" t="inlineStr">
        <is>
          <t>69,00</t>
        </is>
      </c>
    </row>
    <row r="233">
      <c r="A233" s="65" t="n"/>
      <c r="B233" s="65" t="n"/>
      <c r="C233" s="65" t="n"/>
      <c r="D233" s="65" t="n"/>
      <c r="E233" s="65" t="n"/>
      <c r="F233" s="65" t="n"/>
      <c r="G233" s="65" t="n"/>
      <c r="H233" s="65" t="n"/>
      <c r="I233" s="65" t="n"/>
      <c r="J233" s="63" t="inlineStr">
        <is>
          <t>0,00</t>
        </is>
      </c>
      <c r="K233" s="63" t="inlineStr">
        <is>
          <t>0,00</t>
        </is>
      </c>
      <c r="L233" s="63" t="inlineStr">
        <is>
          <t>0,00</t>
        </is>
      </c>
      <c r="M233" s="63" t="inlineStr">
        <is>
          <t>0,00</t>
        </is>
      </c>
      <c r="N233" s="63" t="inlineStr">
        <is>
          <t>0,00</t>
        </is>
      </c>
      <c r="O233" s="65" t="n"/>
      <c r="P233" s="65" t="n"/>
      <c r="Q233" s="65" t="n"/>
      <c r="R233" s="65" t="n"/>
      <c r="S233" s="65" t="n"/>
      <c r="T233" s="65" t="n"/>
      <c r="U233" s="65" t="n"/>
      <c r="V233" s="65" t="n"/>
    </row>
    <row r="234">
      <c r="A234" s="65" t="n"/>
      <c r="B234" s="65" t="n"/>
      <c r="C234" s="65" t="n"/>
      <c r="D234" s="65" t="n"/>
      <c r="E234" s="65" t="n"/>
      <c r="F234" s="65" t="n"/>
      <c r="G234" s="65" t="n"/>
      <c r="H234" s="65" t="inlineStr">
        <is>
          <t>[0884] TRANSMATIC ATF DEXRON III (1x12)</t>
        </is>
      </c>
      <c r="I234" s="65" t="n">
        <v>884</v>
      </c>
      <c r="J234" s="63" t="inlineStr">
        <is>
          <t>1,00</t>
        </is>
      </c>
      <c r="K234" s="63" t="inlineStr">
        <is>
          <t>62,07</t>
        </is>
      </c>
      <c r="L234" s="63" t="inlineStr">
        <is>
          <t>0,00</t>
        </is>
      </c>
      <c r="M234" s="63" t="inlineStr">
        <is>
          <t>62,07</t>
        </is>
      </c>
      <c r="N234" s="63" t="inlineStr">
        <is>
          <t>72,00</t>
        </is>
      </c>
      <c r="O234" s="65" t="n"/>
      <c r="P234" s="65" t="n"/>
      <c r="Q234" s="65" t="n"/>
      <c r="R234" s="65" t="n"/>
      <c r="S234" s="65" t="n"/>
      <c r="T234" s="65" t="n"/>
      <c r="U234" s="65" t="n"/>
      <c r="V234" s="65" t="n"/>
    </row>
    <row r="235">
      <c r="A235" s="65" t="n"/>
      <c r="B235" s="65" t="n"/>
      <c r="C235" s="65" t="n"/>
      <c r="D235" s="65" t="n"/>
      <c r="E235" s="65" t="n"/>
      <c r="F235" s="65" t="n"/>
      <c r="G235" s="65" t="n"/>
      <c r="H235" s="65" t="inlineStr">
        <is>
          <t>[0877] SS EXTRA PROTECCION API SN SAE 15W-40 (1X12)</t>
        </is>
      </c>
      <c r="I235" s="65" t="n">
        <v>877</v>
      </c>
      <c r="J235" s="63" t="inlineStr">
        <is>
          <t>1,00</t>
        </is>
      </c>
      <c r="K235" s="63" t="inlineStr">
        <is>
          <t>65,52</t>
        </is>
      </c>
      <c r="L235" s="63" t="inlineStr">
        <is>
          <t>0,00</t>
        </is>
      </c>
      <c r="M235" s="63" t="inlineStr">
        <is>
          <t>65,52</t>
        </is>
      </c>
      <c r="N235" s="63" t="inlineStr">
        <is>
          <t>76,00</t>
        </is>
      </c>
      <c r="O235" s="65" t="n"/>
      <c r="P235" s="65" t="n"/>
      <c r="Q235" s="65" t="n"/>
      <c r="R235" s="65" t="n"/>
      <c r="S235" s="65" t="n"/>
      <c r="T235" s="65" t="n"/>
      <c r="U235" s="65" t="n"/>
      <c r="V235" s="65" t="n"/>
    </row>
    <row r="236">
      <c r="A236" s="65" t="n"/>
      <c r="B236" s="65" t="n"/>
      <c r="C236" s="65" t="n"/>
      <c r="D236" s="65" t="n"/>
      <c r="E236" s="65" t="n"/>
      <c r="F236" s="65" t="n"/>
      <c r="G236" s="65" t="n"/>
      <c r="H236" s="65" t="inlineStr">
        <is>
          <t>[0878] SS EXTRA PROTECCION API SN SAE 20W-50 (1x12)</t>
        </is>
      </c>
      <c r="I236" s="65" t="n">
        <v>878</v>
      </c>
      <c r="J236" s="63" t="inlineStr">
        <is>
          <t>1,00</t>
        </is>
      </c>
      <c r="K236" s="63" t="inlineStr">
        <is>
          <t>65,52</t>
        </is>
      </c>
      <c r="L236" s="63" t="inlineStr">
        <is>
          <t>0,00</t>
        </is>
      </c>
      <c r="M236" s="63" t="inlineStr">
        <is>
          <t>65,52</t>
        </is>
      </c>
      <c r="N236" s="63" t="inlineStr">
        <is>
          <t>76,00</t>
        </is>
      </c>
      <c r="O236" s="65" t="n"/>
      <c r="P236" s="65" t="n"/>
      <c r="Q236" s="65" t="n"/>
      <c r="R236" s="65" t="n"/>
      <c r="S236" s="65" t="n"/>
      <c r="T236" s="65" t="n"/>
      <c r="U236" s="65" t="n"/>
      <c r="V236" s="65" t="n"/>
    </row>
    <row r="237">
      <c r="A237" s="65" t="inlineStr">
        <is>
          <t>S00213</t>
        </is>
      </c>
      <c r="B237" s="62" t="n">
        <v>46214.5809837963</v>
      </c>
      <c r="C237" s="65" t="inlineStr">
        <is>
          <t>Angel ARMAS</t>
        </is>
      </c>
      <c r="D237" s="65" t="inlineStr">
        <is>
          <t>REVERON DE CONTRERAS MELANI AUSMAR</t>
        </is>
      </c>
      <c r="E237" s="65" t="n"/>
      <c r="F237" s="65" t="n">
        <v>8</v>
      </c>
      <c r="G237" s="65" t="inlineStr">
        <is>
          <t>Pago USD</t>
        </is>
      </c>
      <c r="H237" s="65" t="inlineStr">
        <is>
          <t>[0887] MOTOCLASICO 4T SAE 20W-50 (1x12)</t>
        </is>
      </c>
      <c r="I237" s="65" t="n">
        <v>887</v>
      </c>
      <c r="J237" s="63" t="inlineStr">
        <is>
          <t>3,00</t>
        </is>
      </c>
      <c r="K237" s="63" t="inlineStr">
        <is>
          <t>58,62</t>
        </is>
      </c>
      <c r="L237" s="63" t="inlineStr">
        <is>
          <t>0,00</t>
        </is>
      </c>
      <c r="M237" s="63" t="inlineStr">
        <is>
          <t>175,86</t>
        </is>
      </c>
      <c r="N237" s="63" t="inlineStr">
        <is>
          <t>204,00</t>
        </is>
      </c>
      <c r="O237" s="63" t="inlineStr">
        <is>
          <t>243,10</t>
        </is>
      </c>
      <c r="P237" s="63" t="inlineStr">
        <is>
          <t>282,00</t>
        </is>
      </c>
      <c r="Q237" s="63" t="inlineStr">
        <is>
          <t>709,69</t>
        </is>
      </c>
      <c r="R237" s="66" t="n">
        <v>46214</v>
      </c>
      <c r="S237" s="65" t="n">
        <v>287</v>
      </c>
      <c r="T237" s="65" t="inlineStr">
        <is>
          <t>00-00000825</t>
        </is>
      </c>
      <c r="U237" s="63" t="inlineStr">
        <is>
          <t>281,99</t>
        </is>
      </c>
      <c r="V237" s="63" t="inlineStr">
        <is>
          <t>0,00</t>
        </is>
      </c>
    </row>
    <row r="238">
      <c r="A238" s="65" t="n"/>
      <c r="B238" s="65" t="n"/>
      <c r="C238" s="65" t="n"/>
      <c r="D238" s="65" t="n"/>
      <c r="E238" s="65" t="n"/>
      <c r="F238" s="65" t="n"/>
      <c r="G238" s="65" t="n"/>
      <c r="H238" s="65" t="inlineStr">
        <is>
          <t>[0561] MEJORADOR DE OCTANAJE GLOBAL OIL PACK (1X12)</t>
        </is>
      </c>
      <c r="I238" s="65" t="n">
        <v>561</v>
      </c>
      <c r="J238" s="63" t="inlineStr">
        <is>
          <t>2,00</t>
        </is>
      </c>
      <c r="K238" s="63" t="inlineStr">
        <is>
          <t>33,62</t>
        </is>
      </c>
      <c r="L238" s="63" t="inlineStr">
        <is>
          <t>0,00</t>
        </is>
      </c>
      <c r="M238" s="63" t="inlineStr">
        <is>
          <t>67,24</t>
        </is>
      </c>
      <c r="N238" s="63" t="inlineStr">
        <is>
          <t>78,00</t>
        </is>
      </c>
      <c r="O238" s="65" t="n"/>
      <c r="P238" s="65" t="n"/>
      <c r="Q238" s="65" t="n"/>
      <c r="R238" s="65" t="n"/>
      <c r="S238" s="65" t="n"/>
      <c r="T238" s="65" t="n"/>
      <c r="U238" s="65" t="n"/>
      <c r="V238" s="65" t="n"/>
    </row>
    <row r="239">
      <c r="A239" s="65" t="inlineStr">
        <is>
          <t>S00207</t>
        </is>
      </c>
      <c r="B239" s="62" t="n">
        <v>46214.58001157407</v>
      </c>
      <c r="C239" s="65" t="inlineStr">
        <is>
          <t>Ingrit Martinez</t>
        </is>
      </c>
      <c r="D239" s="65" t="inlineStr">
        <is>
          <t>VILLABONA CORREA ALBA ESTEFANIA</t>
        </is>
      </c>
      <c r="E239" s="65" t="n"/>
      <c r="F239" s="65" t="n">
        <v>8</v>
      </c>
      <c r="G239" s="65" t="inlineStr">
        <is>
          <t>Pago USD</t>
        </is>
      </c>
      <c r="H239" s="65" t="inlineStr">
        <is>
          <t>[0938] CLASICO API SL SAE 20W-50 (1X3)</t>
        </is>
      </c>
      <c r="I239" s="65" t="n">
        <v>938</v>
      </c>
      <c r="J239" s="63" t="inlineStr">
        <is>
          <t>2,00</t>
        </is>
      </c>
      <c r="K239" s="63" t="inlineStr">
        <is>
          <t>61,21</t>
        </is>
      </c>
      <c r="L239" s="63" t="inlineStr">
        <is>
          <t>0,00</t>
        </is>
      </c>
      <c r="M239" s="63" t="inlineStr">
        <is>
          <t>122,41</t>
        </is>
      </c>
      <c r="N239" s="63" t="inlineStr">
        <is>
          <t>142,00</t>
        </is>
      </c>
      <c r="O239" s="63" t="inlineStr">
        <is>
          <t>423,22</t>
        </is>
      </c>
      <c r="P239" s="63" t="inlineStr">
        <is>
          <t>490,94</t>
        </is>
      </c>
      <c r="Q239" s="63" t="inlineStr">
        <is>
          <t>709,69</t>
        </is>
      </c>
      <c r="R239" s="66" t="n">
        <v>46214</v>
      </c>
      <c r="S239" s="65" t="n">
        <v>286</v>
      </c>
      <c r="T239" s="65" t="inlineStr">
        <is>
          <t>00-00000824</t>
        </is>
      </c>
      <c r="U239" s="63" t="inlineStr">
        <is>
          <t>490,90</t>
        </is>
      </c>
      <c r="V239" s="63" t="inlineStr">
        <is>
          <t>0,00</t>
        </is>
      </c>
    </row>
    <row r="240">
      <c r="A240" s="65" t="n"/>
      <c r="B240" s="65" t="n"/>
      <c r="C240" s="65" t="n"/>
      <c r="D240" s="65" t="n"/>
      <c r="E240" s="65" t="n"/>
      <c r="F240" s="65" t="n"/>
      <c r="G240" s="65" t="n"/>
      <c r="H240" s="65" t="n"/>
      <c r="I240" s="65" t="n"/>
      <c r="J240" s="63" t="inlineStr">
        <is>
          <t>0,00</t>
        </is>
      </c>
      <c r="K240" s="63" t="inlineStr">
        <is>
          <t>0,00</t>
        </is>
      </c>
      <c r="L240" s="63" t="inlineStr">
        <is>
          <t>0,00</t>
        </is>
      </c>
      <c r="M240" s="63" t="inlineStr">
        <is>
          <t>0,00</t>
        </is>
      </c>
      <c r="N240" s="63" t="inlineStr">
        <is>
          <t>0,00</t>
        </is>
      </c>
      <c r="O240" s="65" t="n"/>
      <c r="P240" s="65" t="n"/>
      <c r="Q240" s="65" t="n"/>
      <c r="R240" s="65" t="n"/>
      <c r="S240" s="65" t="n"/>
      <c r="T240" s="65" t="n"/>
      <c r="U240" s="65" t="n"/>
      <c r="V240" s="65" t="n"/>
    </row>
    <row r="241">
      <c r="A241" s="65" t="n"/>
      <c r="B241" s="65" t="n"/>
      <c r="C241" s="65" t="n"/>
      <c r="D241" s="65" t="n"/>
      <c r="E241" s="65" t="n"/>
      <c r="F241" s="65" t="n"/>
      <c r="G241" s="65" t="n"/>
      <c r="H241" s="65" t="inlineStr">
        <is>
          <t>[0881] CLASICO API SL SAE 20W-50 (1x12)</t>
        </is>
      </c>
      <c r="I241" s="65" t="n">
        <v>881</v>
      </c>
      <c r="J241" s="63" t="inlineStr">
        <is>
          <t>2,00</t>
        </is>
      </c>
      <c r="K241" s="63" t="inlineStr">
        <is>
          <t>56,03</t>
        </is>
      </c>
      <c r="L241" s="63" t="inlineStr">
        <is>
          <t>0,00</t>
        </is>
      </c>
      <c r="M241" s="63" t="inlineStr">
        <is>
          <t>112,07</t>
        </is>
      </c>
      <c r="N241" s="63" t="inlineStr">
        <is>
          <t>130,00</t>
        </is>
      </c>
      <c r="O241" s="65" t="n"/>
      <c r="P241" s="65" t="n"/>
      <c r="Q241" s="65" t="n"/>
      <c r="R241" s="65" t="n"/>
      <c r="S241" s="65" t="n"/>
      <c r="T241" s="65" t="n"/>
      <c r="U241" s="65" t="n"/>
      <c r="V241" s="65" t="n"/>
    </row>
    <row r="242">
      <c r="A242" s="65" t="n"/>
      <c r="B242" s="65" t="n"/>
      <c r="C242" s="65" t="n"/>
      <c r="D242" s="65" t="n"/>
      <c r="E242" s="65" t="n"/>
      <c r="F242" s="65" t="n"/>
      <c r="G242" s="65" t="n"/>
      <c r="H242" s="65" t="inlineStr">
        <is>
          <t>[0884] TRANSMATIC ATF DEXRON III (1x12)</t>
        </is>
      </c>
      <c r="I242" s="65" t="n">
        <v>884</v>
      </c>
      <c r="J242" s="63" t="inlineStr">
        <is>
          <t>2,00</t>
        </is>
      </c>
      <c r="K242" s="63" t="inlineStr">
        <is>
          <t>62,07</t>
        </is>
      </c>
      <c r="L242" s="63" t="inlineStr">
        <is>
          <t>0,00</t>
        </is>
      </c>
      <c r="M242" s="63" t="inlineStr">
        <is>
          <t>124,14</t>
        </is>
      </c>
      <c r="N242" s="63" t="inlineStr">
        <is>
          <t>144,00</t>
        </is>
      </c>
      <c r="O242" s="65" t="n"/>
      <c r="P242" s="65" t="n"/>
      <c r="Q242" s="65" t="n"/>
      <c r="R242" s="65" t="n"/>
      <c r="S242" s="65" t="n"/>
      <c r="T242" s="65" t="n"/>
      <c r="U242" s="65" t="n"/>
      <c r="V242" s="65" t="n"/>
    </row>
    <row r="243">
      <c r="A243" s="65" t="n"/>
      <c r="B243" s="65" t="n"/>
      <c r="C243" s="65" t="n"/>
      <c r="D243" s="65" t="n"/>
      <c r="E243" s="65" t="n"/>
      <c r="F243" s="65" t="n"/>
      <c r="G243" s="65" t="n"/>
      <c r="H243" s="65" t="inlineStr">
        <is>
          <t>[0877] SS EXTRA PROTECCION API SN SAE 15W-40 (1X12)</t>
        </is>
      </c>
      <c r="I243" s="65" t="n">
        <v>877</v>
      </c>
      <c r="J243" s="63" t="inlineStr">
        <is>
          <t>1,00</t>
        </is>
      </c>
      <c r="K243" s="63" t="inlineStr">
        <is>
          <t>65,52</t>
        </is>
      </c>
      <c r="L243" s="63" t="inlineStr">
        <is>
          <t>1,40</t>
        </is>
      </c>
      <c r="M243" s="63" t="inlineStr">
        <is>
          <t>64,60</t>
        </is>
      </c>
      <c r="N243" s="63" t="inlineStr">
        <is>
          <t>74,94</t>
        </is>
      </c>
      <c r="O243" s="65" t="n"/>
      <c r="P243" s="65" t="n"/>
      <c r="Q243" s="65" t="n"/>
      <c r="R243" s="65" t="n"/>
      <c r="S243" s="65" t="n"/>
      <c r="T243" s="65" t="n"/>
      <c r="U243" s="65" t="n"/>
      <c r="V243" s="65" t="n"/>
    </row>
    <row r="244">
      <c r="A244" s="65" t="inlineStr">
        <is>
          <t>S00210</t>
        </is>
      </c>
      <c r="B244" s="62" t="n">
        <v>46214.54564814815</v>
      </c>
      <c r="C244" s="65" t="inlineStr">
        <is>
          <t>Inversiones AreaElectric 2021,c.a.</t>
        </is>
      </c>
      <c r="D244" s="65" t="inlineStr">
        <is>
          <t>PEREZ DIAZ ANGEL DE DIOS</t>
        </is>
      </c>
      <c r="E244" s="65" t="n"/>
      <c r="F244" s="65" t="n">
        <v>8</v>
      </c>
      <c r="G244" s="65" t="inlineStr">
        <is>
          <t>Pago USD</t>
        </is>
      </c>
      <c r="H244" s="65" t="inlineStr">
        <is>
          <t>[0886] TRANSMATIC DEXRON VI (1x12)</t>
        </is>
      </c>
      <c r="I244" s="65" t="n">
        <v>886</v>
      </c>
      <c r="J244" s="63" t="inlineStr">
        <is>
          <t>1,00</t>
        </is>
      </c>
      <c r="K244" s="63" t="inlineStr">
        <is>
          <t>102,59</t>
        </is>
      </c>
      <c r="L244" s="63" t="inlineStr">
        <is>
          <t>0,00</t>
        </is>
      </c>
      <c r="M244" s="63" t="inlineStr">
        <is>
          <t>102,59</t>
        </is>
      </c>
      <c r="N244" s="63" t="inlineStr">
        <is>
          <t>119,00</t>
        </is>
      </c>
      <c r="O244" s="63" t="inlineStr">
        <is>
          <t>102,59</t>
        </is>
      </c>
      <c r="P244" s="63" t="inlineStr">
        <is>
          <t>119,00</t>
        </is>
      </c>
      <c r="Q244" s="63" t="inlineStr">
        <is>
          <t>709,69</t>
        </is>
      </c>
      <c r="R244" s="66" t="n">
        <v>46214</v>
      </c>
      <c r="S244" s="65" t="n">
        <v>283</v>
      </c>
      <c r="T244" s="65" t="inlineStr">
        <is>
          <t>00-00000821</t>
        </is>
      </c>
      <c r="U244" s="63" t="inlineStr">
        <is>
          <t>118,99</t>
        </is>
      </c>
      <c r="V244" s="63" t="inlineStr">
        <is>
          <t>0,00</t>
        </is>
      </c>
    </row>
    <row r="245">
      <c r="A245" s="65" t="inlineStr">
        <is>
          <t>S00209</t>
        </is>
      </c>
      <c r="B245" s="62" t="n">
        <v>46214.54418981481</v>
      </c>
      <c r="C245" s="65" t="inlineStr">
        <is>
          <t>Inversiones Mirelkys C.A</t>
        </is>
      </c>
      <c r="D245" s="65" t="inlineStr">
        <is>
          <t>GRIMAN DIAZ HECTOR EDUARDO</t>
        </is>
      </c>
      <c r="E245" s="65" t="n"/>
      <c r="F245" s="65" t="n">
        <v>8</v>
      </c>
      <c r="G245" s="65" t="inlineStr">
        <is>
          <t>Pago USD</t>
        </is>
      </c>
      <c r="H245" s="65" t="inlineStr">
        <is>
          <t>[0880] CLASICO API SL SAE 15W-40 (1x12)</t>
        </is>
      </c>
      <c r="I245" s="65" t="n">
        <v>880</v>
      </c>
      <c r="J245" s="63" t="inlineStr">
        <is>
          <t>1,00</t>
        </is>
      </c>
      <c r="K245" s="63" t="inlineStr">
        <is>
          <t>56,03</t>
        </is>
      </c>
      <c r="L245" s="63" t="inlineStr">
        <is>
          <t>0,00</t>
        </is>
      </c>
      <c r="M245" s="63" t="inlineStr">
        <is>
          <t>56,03</t>
        </is>
      </c>
      <c r="N245" s="63" t="inlineStr">
        <is>
          <t>64,99</t>
        </is>
      </c>
      <c r="O245" s="63" t="inlineStr">
        <is>
          <t>307,75</t>
        </is>
      </c>
      <c r="P245" s="63" t="inlineStr">
        <is>
          <t>356,99</t>
        </is>
      </c>
      <c r="Q245" s="63" t="inlineStr">
        <is>
          <t>709,69</t>
        </is>
      </c>
      <c r="R245" s="66" t="n">
        <v>46215</v>
      </c>
      <c r="S245" s="65" t="n">
        <v>319</v>
      </c>
      <c r="T245" s="65" t="inlineStr">
        <is>
          <t>00-00000861</t>
        </is>
      </c>
      <c r="U245" s="63" t="inlineStr">
        <is>
          <t>356,99</t>
        </is>
      </c>
      <c r="V245" s="63" t="inlineStr">
        <is>
          <t>357,00</t>
        </is>
      </c>
    </row>
    <row r="246">
      <c r="A246" s="65" t="n"/>
      <c r="B246" s="65" t="n"/>
      <c r="C246" s="65" t="n"/>
      <c r="D246" s="65" t="n"/>
      <c r="E246" s="65" t="n"/>
      <c r="F246" s="65" t="n"/>
      <c r="G246" s="65" t="n"/>
      <c r="H246" s="65" t="inlineStr">
        <is>
          <t>[0605] SINOCO SAE 20W-50 (PAILA)</t>
        </is>
      </c>
      <c r="I246" s="65" t="n">
        <v>605</v>
      </c>
      <c r="J246" s="63" t="inlineStr">
        <is>
          <t>2,00</t>
        </is>
      </c>
      <c r="K246" s="63" t="inlineStr">
        <is>
          <t>62,93</t>
        </is>
      </c>
      <c r="L246" s="63" t="inlineStr">
        <is>
          <t>0,00</t>
        </is>
      </c>
      <c r="M246" s="63" t="inlineStr">
        <is>
          <t>125,86</t>
        </is>
      </c>
      <c r="N246" s="63" t="inlineStr">
        <is>
          <t>146,00</t>
        </is>
      </c>
      <c r="O246" s="65" t="n"/>
      <c r="P246" s="65" t="n"/>
      <c r="Q246" s="65" t="n"/>
      <c r="R246" s="65" t="n"/>
      <c r="S246" s="65" t="n"/>
      <c r="T246" s="65" t="n"/>
      <c r="U246" s="65" t="n"/>
      <c r="V246" s="65" t="n"/>
    </row>
    <row r="247">
      <c r="A247" s="65" t="n"/>
      <c r="B247" s="65" t="n"/>
      <c r="C247" s="65" t="n"/>
      <c r="D247" s="65" t="n"/>
      <c r="E247" s="65" t="n"/>
      <c r="F247" s="65" t="n"/>
      <c r="G247" s="65" t="n"/>
      <c r="H247" s="65" t="inlineStr">
        <is>
          <t>[0602] SINOCO SAE 50 (PAILA)</t>
        </is>
      </c>
      <c r="I247" s="65" t="n">
        <v>602</v>
      </c>
      <c r="J247" s="63" t="inlineStr">
        <is>
          <t>2,00</t>
        </is>
      </c>
      <c r="K247" s="63" t="inlineStr">
        <is>
          <t>62,93</t>
        </is>
      </c>
      <c r="L247" s="63" t="inlineStr">
        <is>
          <t>0,00</t>
        </is>
      </c>
      <c r="M247" s="63" t="inlineStr">
        <is>
          <t>125,86</t>
        </is>
      </c>
      <c r="N247" s="63" t="inlineStr">
        <is>
          <t>146,00</t>
        </is>
      </c>
      <c r="O247" s="65" t="n"/>
      <c r="P247" s="65" t="n"/>
      <c r="Q247" s="65" t="n"/>
      <c r="R247" s="65" t="n"/>
      <c r="S247" s="65" t="n"/>
      <c r="T247" s="65" t="n"/>
      <c r="U247" s="65" t="n"/>
      <c r="V247" s="65" t="n"/>
    </row>
    <row r="248">
      <c r="A248" s="65" t="inlineStr">
        <is>
          <t>S00203</t>
        </is>
      </c>
      <c r="B248" s="62" t="n">
        <v>46214.54158564815</v>
      </c>
      <c r="C248" s="65" t="inlineStr">
        <is>
          <t>Moto Repuestos Sanz 11. C.A.</t>
        </is>
      </c>
      <c r="D248" s="65" t="inlineStr">
        <is>
          <t>MARTINEZ MONTES JEFFREY ENRIQUE</t>
        </is>
      </c>
      <c r="E248" s="65" t="n"/>
      <c r="F248" s="65" t="n">
        <v>8</v>
      </c>
      <c r="G248" s="65" t="inlineStr">
        <is>
          <t>Pago USD</t>
        </is>
      </c>
      <c r="H248" s="65" t="inlineStr">
        <is>
          <t>[0887] MOTOCLASICO 4T SAE 20W-50 (1x12)</t>
        </is>
      </c>
      <c r="I248" s="65" t="n">
        <v>887</v>
      </c>
      <c r="J248" s="63" t="inlineStr">
        <is>
          <t>1,00</t>
        </is>
      </c>
      <c r="K248" s="63" t="inlineStr">
        <is>
          <t>58,62</t>
        </is>
      </c>
      <c r="L248" s="63" t="inlineStr">
        <is>
          <t>0,00</t>
        </is>
      </c>
      <c r="M248" s="63" t="inlineStr">
        <is>
          <t>58,62</t>
        </is>
      </c>
      <c r="N248" s="63" t="inlineStr">
        <is>
          <t>68,00</t>
        </is>
      </c>
      <c r="O248" s="63" t="inlineStr">
        <is>
          <t>58,62</t>
        </is>
      </c>
      <c r="P248" s="63" t="inlineStr">
        <is>
          <t>68,00</t>
        </is>
      </c>
      <c r="Q248" s="63" t="inlineStr">
        <is>
          <t>709,69</t>
        </is>
      </c>
      <c r="R248" s="66" t="n">
        <v>46214</v>
      </c>
      <c r="S248" s="65" t="n">
        <v>282</v>
      </c>
      <c r="T248" s="65" t="inlineStr">
        <is>
          <t>00-00000820</t>
        </is>
      </c>
      <c r="U248" s="63" t="inlineStr">
        <is>
          <t>67,99</t>
        </is>
      </c>
      <c r="V248" s="63" t="inlineStr">
        <is>
          <t>0,00</t>
        </is>
      </c>
    </row>
    <row r="249">
      <c r="A249" s="65" t="inlineStr">
        <is>
          <t>S00201</t>
        </is>
      </c>
      <c r="B249" s="62" t="n">
        <v>46214.53833333333</v>
      </c>
      <c r="C249" s="65" t="inlineStr">
        <is>
          <t>Junior Marco Antonio Vivas Navas</t>
        </is>
      </c>
      <c r="D249" s="65" t="inlineStr">
        <is>
          <t>MARTINEZ MONTES JEFFREY ENRIQUE</t>
        </is>
      </c>
      <c r="E249" s="65" t="inlineStr">
        <is>
          <t>15 días</t>
        </is>
      </c>
      <c r="F249" s="65" t="n">
        <v>8</v>
      </c>
      <c r="G249" s="65" t="inlineStr">
        <is>
          <t>Pago USD</t>
        </is>
      </c>
      <c r="H249" s="65" t="inlineStr">
        <is>
          <t>[0093] ALTA CILINDRADA SS API SN SAE 15W-40 (1x6)</t>
        </is>
      </c>
      <c r="I249" s="65" t="n">
        <v>93</v>
      </c>
      <c r="J249" s="63" t="inlineStr">
        <is>
          <t>1,00</t>
        </is>
      </c>
      <c r="K249" s="63" t="inlineStr">
        <is>
          <t>30,17</t>
        </is>
      </c>
      <c r="L249" s="63" t="inlineStr">
        <is>
          <t>0,00</t>
        </is>
      </c>
      <c r="M249" s="63" t="inlineStr">
        <is>
          <t>30,17</t>
        </is>
      </c>
      <c r="N249" s="63" t="inlineStr">
        <is>
          <t>35,00</t>
        </is>
      </c>
      <c r="O249" s="63" t="inlineStr">
        <is>
          <t>112,07</t>
        </is>
      </c>
      <c r="P249" s="63" t="inlineStr">
        <is>
          <t>130,00</t>
        </is>
      </c>
      <c r="Q249" s="63" t="inlineStr">
        <is>
          <t>709,69</t>
        </is>
      </c>
      <c r="R249" s="66" t="n">
        <v>46214</v>
      </c>
      <c r="S249" s="65" t="n">
        <v>281</v>
      </c>
      <c r="T249" s="65" t="inlineStr">
        <is>
          <t>00-00000819</t>
        </is>
      </c>
      <c r="U249" s="63" t="inlineStr">
        <is>
          <t>129,99</t>
        </is>
      </c>
      <c r="V249" s="63" t="inlineStr">
        <is>
          <t>0,00</t>
        </is>
      </c>
    </row>
    <row r="250">
      <c r="A250" s="65" t="n"/>
      <c r="B250" s="65" t="n"/>
      <c r="C250" s="65" t="n"/>
      <c r="D250" s="65" t="n"/>
      <c r="E250" s="65" t="n"/>
      <c r="F250" s="65" t="n"/>
      <c r="G250" s="65" t="n"/>
      <c r="H250" s="65" t="inlineStr">
        <is>
          <t>[0887] MOTOCLASICO 4T SAE 20W-50 (1x12)</t>
        </is>
      </c>
      <c r="I250" s="65" t="n">
        <v>887</v>
      </c>
      <c r="J250" s="63" t="inlineStr">
        <is>
          <t>1,00</t>
        </is>
      </c>
      <c r="K250" s="63" t="inlineStr">
        <is>
          <t>58,62</t>
        </is>
      </c>
      <c r="L250" s="63" t="inlineStr">
        <is>
          <t>0,00</t>
        </is>
      </c>
      <c r="M250" s="63" t="inlineStr">
        <is>
          <t>58,62</t>
        </is>
      </c>
      <c r="N250" s="63" t="inlineStr">
        <is>
          <t>68,00</t>
        </is>
      </c>
      <c r="O250" s="65" t="n"/>
      <c r="P250" s="65" t="n"/>
      <c r="Q250" s="65" t="n"/>
      <c r="R250" s="65" t="n"/>
      <c r="S250" s="65" t="n"/>
      <c r="T250" s="65" t="n"/>
      <c r="U250" s="65" t="n"/>
      <c r="V250" s="65" t="n"/>
    </row>
    <row r="251">
      <c r="A251" s="65" t="n"/>
      <c r="B251" s="65" t="n"/>
      <c r="C251" s="65" t="n"/>
      <c r="D251" s="65" t="n"/>
      <c r="E251" s="65" t="n"/>
      <c r="F251" s="65" t="n"/>
      <c r="G251" s="65" t="n"/>
      <c r="H251" s="65" t="inlineStr">
        <is>
          <t>[0761] LIGA PARA FRENOS DOT-3 (1x12)</t>
        </is>
      </c>
      <c r="I251" s="65" t="n">
        <v>761</v>
      </c>
      <c r="J251" s="63" t="inlineStr">
        <is>
          <t>1,00</t>
        </is>
      </c>
      <c r="K251" s="63" t="inlineStr">
        <is>
          <t>23,28</t>
        </is>
      </c>
      <c r="L251" s="63" t="inlineStr">
        <is>
          <t>0,00</t>
        </is>
      </c>
      <c r="M251" s="63" t="inlineStr">
        <is>
          <t>23,28</t>
        </is>
      </c>
      <c r="N251" s="63" t="inlineStr">
        <is>
          <t>27,00</t>
        </is>
      </c>
      <c r="O251" s="65" t="n"/>
      <c r="P251" s="65" t="n"/>
      <c r="Q251" s="65" t="n"/>
      <c r="R251" s="65" t="n"/>
      <c r="S251" s="65" t="n"/>
      <c r="T251" s="65" t="n"/>
      <c r="U251" s="65" t="n"/>
      <c r="V251" s="65" t="n"/>
    </row>
    <row r="252">
      <c r="A252" s="65" t="inlineStr">
        <is>
          <t>S00187</t>
        </is>
      </c>
      <c r="B252" s="62" t="n">
        <v>46214.53634259259</v>
      </c>
      <c r="C252" s="65" t="inlineStr">
        <is>
          <t>HP Repuestos 2007 C.A</t>
        </is>
      </c>
      <c r="D252" s="65" t="inlineStr">
        <is>
          <t>GRIMAN DIAZ HECTOR EDUARDO</t>
        </is>
      </c>
      <c r="E252" s="65" t="inlineStr">
        <is>
          <t>15 días</t>
        </is>
      </c>
      <c r="F252" s="65" t="n">
        <v>8</v>
      </c>
      <c r="G252" s="65" t="inlineStr">
        <is>
          <t>Pago USD</t>
        </is>
      </c>
      <c r="H252" s="65" t="inlineStr">
        <is>
          <t>[0121] TRANSGLOB API GL-5 SAE 80W-90 (1x6)</t>
        </is>
      </c>
      <c r="I252" s="65" t="n">
        <v>121</v>
      </c>
      <c r="J252" s="63" t="inlineStr">
        <is>
          <t>3,00</t>
        </is>
      </c>
      <c r="K252" s="63" t="inlineStr">
        <is>
          <t>33,62</t>
        </is>
      </c>
      <c r="L252" s="63" t="inlineStr">
        <is>
          <t>0,00</t>
        </is>
      </c>
      <c r="M252" s="63" t="inlineStr">
        <is>
          <t>100,86</t>
        </is>
      </c>
      <c r="N252" s="63" t="inlineStr">
        <is>
          <t>117,00</t>
        </is>
      </c>
      <c r="O252" s="63" t="inlineStr">
        <is>
          <t>100,86</t>
        </is>
      </c>
      <c r="P252" s="63" t="inlineStr">
        <is>
          <t>117,00</t>
        </is>
      </c>
      <c r="Q252" s="63" t="inlineStr">
        <is>
          <t>709,69</t>
        </is>
      </c>
      <c r="R252" s="66" t="n">
        <v>46214</v>
      </c>
      <c r="S252" s="65" t="n">
        <v>280</v>
      </c>
      <c r="T252" s="65" t="inlineStr">
        <is>
          <t>00-00000818</t>
        </is>
      </c>
      <c r="U252" s="63" t="inlineStr">
        <is>
          <t>116,99</t>
        </is>
      </c>
      <c r="V252" s="63" t="inlineStr">
        <is>
          <t>0,00</t>
        </is>
      </c>
    </row>
    <row r="253">
      <c r="A253" s="65" t="n"/>
      <c r="B253" s="65" t="n"/>
      <c r="C253" s="65" t="n"/>
      <c r="D253" s="65" t="n"/>
      <c r="E253" s="65" t="n"/>
      <c r="F253" s="65" t="n"/>
      <c r="G253" s="65" t="n"/>
      <c r="H253" s="65" t="n"/>
      <c r="I253" s="65" t="n"/>
      <c r="J253" s="63" t="inlineStr">
        <is>
          <t>0,00</t>
        </is>
      </c>
      <c r="K253" s="63" t="inlineStr">
        <is>
          <t>0,00</t>
        </is>
      </c>
      <c r="L253" s="63" t="inlineStr">
        <is>
          <t>0,00</t>
        </is>
      </c>
      <c r="M253" s="63" t="inlineStr">
        <is>
          <t>0,00</t>
        </is>
      </c>
      <c r="N253" s="63" t="inlineStr">
        <is>
          <t>0,00</t>
        </is>
      </c>
      <c r="O253" s="65" t="n"/>
      <c r="P253" s="65" t="n"/>
      <c r="Q253" s="65" t="n"/>
      <c r="R253" s="65" t="n"/>
      <c r="S253" s="65" t="n"/>
      <c r="T253" s="65" t="n"/>
      <c r="U253" s="65" t="n"/>
      <c r="V253" s="65" t="n"/>
    </row>
    <row r="254">
      <c r="A254" s="65" t="inlineStr">
        <is>
          <t>S00186</t>
        </is>
      </c>
      <c r="B254" s="62" t="n">
        <v>46214.53356481482</v>
      </c>
      <c r="C254" s="65" t="inlineStr">
        <is>
          <t>Cauchos y Suministros Camacho C.A</t>
        </is>
      </c>
      <c r="D254" s="65" t="inlineStr">
        <is>
          <t>GRIMAN DIAZ HECTOR EDUARDO</t>
        </is>
      </c>
      <c r="E254" s="65" t="inlineStr">
        <is>
          <t>15 días</t>
        </is>
      </c>
      <c r="F254" s="65" t="n">
        <v>8</v>
      </c>
      <c r="G254" s="65" t="inlineStr">
        <is>
          <t>Pago USD</t>
        </is>
      </c>
      <c r="H254" s="65" t="inlineStr">
        <is>
          <t>[0915] SINOCO SAE 50 (1x12)</t>
        </is>
      </c>
      <c r="I254" s="65" t="n">
        <v>915</v>
      </c>
      <c r="J254" s="63" t="inlineStr">
        <is>
          <t>1,00</t>
        </is>
      </c>
      <c r="K254" s="63" t="inlineStr">
        <is>
          <t>45,69</t>
        </is>
      </c>
      <c r="L254" s="63" t="inlineStr">
        <is>
          <t>0,00</t>
        </is>
      </c>
      <c r="M254" s="63" t="inlineStr">
        <is>
          <t>45,69</t>
        </is>
      </c>
      <c r="N254" s="63" t="inlineStr">
        <is>
          <t>53,00</t>
        </is>
      </c>
      <c r="O254" s="63" t="inlineStr">
        <is>
          <t>93,10</t>
        </is>
      </c>
      <c r="P254" s="63" t="inlineStr">
        <is>
          <t>108,00</t>
        </is>
      </c>
      <c r="Q254" s="63" t="inlineStr">
        <is>
          <t>709,69</t>
        </is>
      </c>
      <c r="R254" s="66" t="n">
        <v>46214</v>
      </c>
      <c r="S254" s="65" t="n">
        <v>279</v>
      </c>
      <c r="T254" s="65" t="inlineStr">
        <is>
          <t>00-00000817</t>
        </is>
      </c>
      <c r="U254" s="63" t="inlineStr">
        <is>
          <t>107,98</t>
        </is>
      </c>
      <c r="V254" s="63" t="inlineStr">
        <is>
          <t>12,00</t>
        </is>
      </c>
    </row>
    <row r="255">
      <c r="A255" s="65" t="n"/>
      <c r="B255" s="65" t="n"/>
      <c r="C255" s="65" t="n"/>
      <c r="D255" s="65" t="n"/>
      <c r="E255" s="65" t="n"/>
      <c r="F255" s="65" t="n"/>
      <c r="G255" s="65" t="n"/>
      <c r="H255" s="65" t="inlineStr">
        <is>
          <t>[0013] ELITE API SN SAE 5W-30 (1x6)</t>
        </is>
      </c>
      <c r="I255" s="65" t="n">
        <v>13</v>
      </c>
      <c r="J255" s="63" t="inlineStr">
        <is>
          <t>1,00</t>
        </is>
      </c>
      <c r="K255" s="63" t="inlineStr">
        <is>
          <t>47,41</t>
        </is>
      </c>
      <c r="L255" s="63" t="inlineStr">
        <is>
          <t>0,00</t>
        </is>
      </c>
      <c r="M255" s="63" t="inlineStr">
        <is>
          <t>47,41</t>
        </is>
      </c>
      <c r="N255" s="63" t="inlineStr">
        <is>
          <t>55,00</t>
        </is>
      </c>
      <c r="O255" s="65" t="n"/>
      <c r="P255" s="65" t="n"/>
      <c r="Q255" s="65" t="n"/>
      <c r="R255" s="65" t="n"/>
      <c r="S255" s="65" t="n"/>
      <c r="T255" s="65" t="n"/>
      <c r="U255" s="65" t="n"/>
      <c r="V255" s="65" t="n"/>
    </row>
    <row r="256">
      <c r="A256" s="65" t="inlineStr">
        <is>
          <t>S00184</t>
        </is>
      </c>
      <c r="B256" s="62" t="n">
        <v>46214.53034722222</v>
      </c>
      <c r="C256" s="65" t="inlineStr">
        <is>
          <t>EMPRENDIMIENTO IRMA RODRIGUEZ 6</t>
        </is>
      </c>
      <c r="D256" s="65" t="inlineStr">
        <is>
          <t>TORO ARDILES DAVID JOSE</t>
        </is>
      </c>
      <c r="E256" s="65" t="n"/>
      <c r="F256" s="65" t="n">
        <v>8</v>
      </c>
      <c r="G256" s="65" t="inlineStr">
        <is>
          <t>Pago USD</t>
        </is>
      </c>
      <c r="H256" s="65" t="inlineStr">
        <is>
          <t>[0878] SS EXTRA PROTECCION API SN SAE 20W-50 (1x12)</t>
        </is>
      </c>
      <c r="I256" s="65" t="n">
        <v>878</v>
      </c>
      <c r="J256" s="63" t="inlineStr">
        <is>
          <t>1,00</t>
        </is>
      </c>
      <c r="K256" s="63" t="inlineStr">
        <is>
          <t>65,52</t>
        </is>
      </c>
      <c r="L256" s="63" t="inlineStr">
        <is>
          <t>14,74</t>
        </is>
      </c>
      <c r="M256" s="63" t="inlineStr">
        <is>
          <t>55,86</t>
        </is>
      </c>
      <c r="N256" s="63" t="inlineStr">
        <is>
          <t>64,80</t>
        </is>
      </c>
      <c r="O256" s="63" t="inlineStr">
        <is>
          <t>55,86</t>
        </is>
      </c>
      <c r="P256" s="63" t="inlineStr">
        <is>
          <t>64,80</t>
        </is>
      </c>
      <c r="Q256" s="63" t="inlineStr">
        <is>
          <t>709,69</t>
        </is>
      </c>
      <c r="R256" s="66" t="n">
        <v>46214</v>
      </c>
      <c r="S256" s="65" t="n">
        <v>278</v>
      </c>
      <c r="T256" s="65" t="inlineStr">
        <is>
          <t>00-00000816</t>
        </is>
      </c>
      <c r="U256" s="63" t="inlineStr">
        <is>
          <t>64,79</t>
        </is>
      </c>
      <c r="V256" s="63" t="inlineStr">
        <is>
          <t>0,00</t>
        </is>
      </c>
    </row>
    <row r="257">
      <c r="A257" s="65" t="inlineStr">
        <is>
          <t>S00181</t>
        </is>
      </c>
      <c r="B257" s="62" t="n">
        <v>46214.52222222222</v>
      </c>
      <c r="C257" s="65" t="inlineStr">
        <is>
          <t>Multiservicios Sanahuja 36 C.A</t>
        </is>
      </c>
      <c r="D257" s="65" t="inlineStr">
        <is>
          <t>GRIMAN DIAZ HECTOR EDUARDO</t>
        </is>
      </c>
      <c r="E257" s="65" t="inlineStr">
        <is>
          <t>15 días</t>
        </is>
      </c>
      <c r="F257" s="65" t="n">
        <v>7</v>
      </c>
      <c r="G257" s="65" t="inlineStr">
        <is>
          <t>Pago USD Marzo</t>
        </is>
      </c>
      <c r="H257" s="65" t="inlineStr">
        <is>
          <t>[0779] SINOCO SAE 20W-50 (1x12)</t>
        </is>
      </c>
      <c r="I257" s="65" t="n">
        <v>779</v>
      </c>
      <c r="J257" s="63" t="inlineStr">
        <is>
          <t>3,00</t>
        </is>
      </c>
      <c r="K257" s="63" t="inlineStr">
        <is>
          <t>41,38</t>
        </is>
      </c>
      <c r="L257" s="63" t="inlineStr">
        <is>
          <t>2,09</t>
        </is>
      </c>
      <c r="M257" s="63" t="inlineStr">
        <is>
          <t>121,55</t>
        </is>
      </c>
      <c r="N257" s="63" t="inlineStr">
        <is>
          <t>141,00</t>
        </is>
      </c>
      <c r="O257" s="63" t="inlineStr">
        <is>
          <t>121,55</t>
        </is>
      </c>
      <c r="P257" s="63" t="inlineStr">
        <is>
          <t>141,00</t>
        </is>
      </c>
      <c r="Q257" s="63" t="inlineStr">
        <is>
          <t>709,69</t>
        </is>
      </c>
      <c r="R257" s="66" t="n">
        <v>46214</v>
      </c>
      <c r="S257" s="65" t="n">
        <v>277</v>
      </c>
      <c r="T257" s="65" t="inlineStr">
        <is>
          <t>00-00000814</t>
        </is>
      </c>
      <c r="U257" s="63" t="inlineStr">
        <is>
          <t>140,98</t>
        </is>
      </c>
      <c r="V257" s="63" t="inlineStr">
        <is>
          <t>0,00</t>
        </is>
      </c>
    </row>
    <row r="258">
      <c r="A258" s="65" t="inlineStr">
        <is>
          <t>S00178</t>
        </is>
      </c>
      <c r="B258" s="62" t="n">
        <v>46214.5080787037</v>
      </c>
      <c r="C258" s="65" t="inlineStr">
        <is>
          <t>Distribuidora Nesmari 2050 c.a</t>
        </is>
      </c>
      <c r="D258" s="65" t="inlineStr">
        <is>
          <t>BETANCOURT ROBRIGUEZ LUIS ENRRIQUE</t>
        </is>
      </c>
      <c r="E258" s="65" t="inlineStr">
        <is>
          <t>15 días</t>
        </is>
      </c>
      <c r="F258" s="65" t="n">
        <v>7</v>
      </c>
      <c r="G258" s="65" t="inlineStr">
        <is>
          <t>Pago USD Marzo</t>
        </is>
      </c>
      <c r="H258" s="65" t="n"/>
      <c r="I258" s="65" t="n"/>
      <c r="J258" s="63" t="inlineStr">
        <is>
          <t>0,00</t>
        </is>
      </c>
      <c r="K258" s="63" t="inlineStr">
        <is>
          <t>0,00</t>
        </is>
      </c>
      <c r="L258" s="63" t="inlineStr">
        <is>
          <t>0,00</t>
        </is>
      </c>
      <c r="M258" s="63" t="inlineStr">
        <is>
          <t>0,00</t>
        </is>
      </c>
      <c r="N258" s="63" t="inlineStr">
        <is>
          <t>0,00</t>
        </is>
      </c>
      <c r="O258" s="63" t="inlineStr">
        <is>
          <t>539,39</t>
        </is>
      </c>
      <c r="P258" s="63" t="inlineStr">
        <is>
          <t>625,68</t>
        </is>
      </c>
      <c r="Q258" s="63" t="inlineStr">
        <is>
          <t>709,69</t>
        </is>
      </c>
      <c r="R258" s="66" t="n">
        <v>46214</v>
      </c>
      <c r="S258" s="65" t="n">
        <v>276</v>
      </c>
      <c r="T258" s="65" t="inlineStr">
        <is>
          <t>00-00000813</t>
        </is>
      </c>
      <c r="U258" s="63" t="inlineStr">
        <is>
          <t>625,66</t>
        </is>
      </c>
      <c r="V258" s="63" t="inlineStr">
        <is>
          <t>83,81</t>
        </is>
      </c>
    </row>
    <row r="259">
      <c r="A259" s="65" t="n"/>
      <c r="B259" s="65" t="n"/>
      <c r="C259" s="65" t="n"/>
      <c r="D259" s="65" t="n"/>
      <c r="E259" s="65" t="n"/>
      <c r="F259" s="65" t="n"/>
      <c r="G259" s="65" t="n"/>
      <c r="H259" s="65" t="inlineStr">
        <is>
          <t>[0877] SS EXTRA PROTECCION API SN SAE 15W-40 (1X12)</t>
        </is>
      </c>
      <c r="I259" s="65" t="n">
        <v>877</v>
      </c>
      <c r="J259" s="63" t="inlineStr">
        <is>
          <t>3,00</t>
        </is>
      </c>
      <c r="K259" s="63" t="inlineStr">
        <is>
          <t>62,07</t>
        </is>
      </c>
      <c r="L259" s="63" t="inlineStr">
        <is>
          <t>0,00</t>
        </is>
      </c>
      <c r="M259" s="63" t="inlineStr">
        <is>
          <t>186,21</t>
        </is>
      </c>
      <c r="N259" s="63" t="inlineStr">
        <is>
          <t>216,00</t>
        </is>
      </c>
      <c r="O259" s="65" t="n"/>
      <c r="P259" s="65" t="n"/>
      <c r="Q259" s="65" t="n"/>
      <c r="R259" s="65" t="n"/>
      <c r="S259" s="65" t="n"/>
      <c r="T259" s="65" t="n"/>
      <c r="U259" s="65" t="n"/>
      <c r="V259" s="65" t="n"/>
    </row>
    <row r="260">
      <c r="A260" s="65" t="n"/>
      <c r="B260" s="65" t="n"/>
      <c r="C260" s="65" t="n"/>
      <c r="D260" s="65" t="n"/>
      <c r="E260" s="65" t="n"/>
      <c r="F260" s="65" t="n"/>
      <c r="G260" s="65" t="n"/>
      <c r="H260" s="65" t="inlineStr">
        <is>
          <t>[0878] SS EXTRA PROTECCION API SN SAE 20W-50 (1x12)</t>
        </is>
      </c>
      <c r="I260" s="65" t="n">
        <v>878</v>
      </c>
      <c r="J260" s="63" t="inlineStr">
        <is>
          <t>1,00</t>
        </is>
      </c>
      <c r="K260" s="63" t="inlineStr">
        <is>
          <t>62,07</t>
        </is>
      </c>
      <c r="L260" s="63" t="inlineStr">
        <is>
          <t>3,22</t>
        </is>
      </c>
      <c r="M260" s="63" t="inlineStr">
        <is>
          <t>60,07</t>
        </is>
      </c>
      <c r="N260" s="63" t="inlineStr">
        <is>
          <t>69,68</t>
        </is>
      </c>
      <c r="O260" s="65" t="n"/>
      <c r="P260" s="65" t="n"/>
      <c r="Q260" s="65" t="n"/>
      <c r="R260" s="65" t="n"/>
      <c r="S260" s="65" t="n"/>
      <c r="T260" s="65" t="n"/>
      <c r="U260" s="65" t="n"/>
      <c r="V260" s="65" t="n"/>
    </row>
    <row r="261">
      <c r="A261" s="65" t="n"/>
      <c r="B261" s="65" t="n"/>
      <c r="C261" s="65" t="n"/>
      <c r="D261" s="65" t="n"/>
      <c r="E261" s="65" t="n"/>
      <c r="F261" s="65" t="n"/>
      <c r="G261" s="65" t="n"/>
      <c r="H261" s="65" t="inlineStr">
        <is>
          <t>[0884] TRANSMATIC ATF DEXRON III (1x12)</t>
        </is>
      </c>
      <c r="I261" s="65" t="n">
        <v>884</v>
      </c>
      <c r="J261" s="63" t="inlineStr">
        <is>
          <t>1,00</t>
        </is>
      </c>
      <c r="K261" s="63" t="inlineStr">
        <is>
          <t>57,76</t>
        </is>
      </c>
      <c r="L261" s="63" t="inlineStr">
        <is>
          <t>0,00</t>
        </is>
      </c>
      <c r="M261" s="63" t="inlineStr">
        <is>
          <t>57,76</t>
        </is>
      </c>
      <c r="N261" s="63" t="inlineStr">
        <is>
          <t>67,00</t>
        </is>
      </c>
      <c r="O261" s="65" t="n"/>
      <c r="P261" s="65" t="n"/>
      <c r="Q261" s="65" t="n"/>
      <c r="R261" s="65" t="n"/>
      <c r="S261" s="65" t="n"/>
      <c r="T261" s="65" t="n"/>
      <c r="U261" s="65" t="n"/>
      <c r="V261" s="65" t="n"/>
    </row>
    <row r="262">
      <c r="A262" s="65" t="n"/>
      <c r="B262" s="65" t="n"/>
      <c r="C262" s="65" t="n"/>
      <c r="D262" s="65" t="n"/>
      <c r="E262" s="65" t="n"/>
      <c r="F262" s="65" t="n"/>
      <c r="G262" s="65" t="n"/>
      <c r="H262" s="65" t="inlineStr">
        <is>
          <t>[0881] CLASICO API SL SAE 20W-50 (1x12)</t>
        </is>
      </c>
      <c r="I262" s="65" t="n">
        <v>881</v>
      </c>
      <c r="J262" s="63" t="inlineStr">
        <is>
          <t>1,00</t>
        </is>
      </c>
      <c r="K262" s="63" t="inlineStr">
        <is>
          <t>54,31</t>
        </is>
      </c>
      <c r="L262" s="63" t="inlineStr">
        <is>
          <t>0,00</t>
        </is>
      </c>
      <c r="M262" s="63" t="inlineStr">
        <is>
          <t>54,31</t>
        </is>
      </c>
      <c r="N262" s="63" t="inlineStr">
        <is>
          <t>63,00</t>
        </is>
      </c>
      <c r="O262" s="65" t="n"/>
      <c r="P262" s="65" t="n"/>
      <c r="Q262" s="65" t="n"/>
      <c r="R262" s="65" t="n"/>
      <c r="S262" s="65" t="n"/>
      <c r="T262" s="65" t="n"/>
      <c r="U262" s="65" t="n"/>
      <c r="V262" s="65" t="n"/>
    </row>
    <row r="263">
      <c r="A263" s="65" t="n"/>
      <c r="B263" s="65" t="n"/>
      <c r="C263" s="65" t="n"/>
      <c r="D263" s="65" t="n"/>
      <c r="E263" s="65" t="n"/>
      <c r="F263" s="65" t="n"/>
      <c r="G263" s="65" t="n"/>
      <c r="H263" s="65" t="inlineStr">
        <is>
          <t>[0779] SINOCO SAE 20W-50 (1x12)</t>
        </is>
      </c>
      <c r="I263" s="65" t="n">
        <v>779</v>
      </c>
      <c r="J263" s="63" t="inlineStr">
        <is>
          <t>3,00</t>
        </is>
      </c>
      <c r="K263" s="63" t="inlineStr">
        <is>
          <t>41,38</t>
        </is>
      </c>
      <c r="L263" s="63" t="inlineStr">
        <is>
          <t>0,00</t>
        </is>
      </c>
      <c r="M263" s="63" t="inlineStr">
        <is>
          <t>124,14</t>
        </is>
      </c>
      <c r="N263" s="63" t="inlineStr">
        <is>
          <t>144,00</t>
        </is>
      </c>
      <c r="O263" s="65" t="n"/>
      <c r="P263" s="65" t="n"/>
      <c r="Q263" s="65" t="n"/>
      <c r="R263" s="65" t="n"/>
      <c r="S263" s="65" t="n"/>
      <c r="T263" s="65" t="n"/>
      <c r="U263" s="65" t="n"/>
      <c r="V263" s="65" t="n"/>
    </row>
    <row r="264">
      <c r="A264" s="65" t="n"/>
      <c r="B264" s="65" t="n"/>
      <c r="C264" s="65" t="n"/>
      <c r="D264" s="65" t="n"/>
      <c r="E264" s="65" t="n"/>
      <c r="F264" s="65" t="n"/>
      <c r="G264" s="65" t="n"/>
      <c r="H264" s="65" t="inlineStr">
        <is>
          <t>[0887] MOTOCLASICO 4T SAE 20W-50 (1x12)</t>
        </is>
      </c>
      <c r="I264" s="65" t="n">
        <v>887</v>
      </c>
      <c r="J264" s="63" t="inlineStr">
        <is>
          <t>1,00</t>
        </is>
      </c>
      <c r="K264" s="63" t="inlineStr">
        <is>
          <t>56,90</t>
        </is>
      </c>
      <c r="L264" s="63" t="inlineStr">
        <is>
          <t>0,00</t>
        </is>
      </c>
      <c r="M264" s="63" t="inlineStr">
        <is>
          <t>56,90</t>
        </is>
      </c>
      <c r="N264" s="63" t="inlineStr">
        <is>
          <t>66,00</t>
        </is>
      </c>
      <c r="O264" s="65" t="n"/>
      <c r="P264" s="65" t="n"/>
      <c r="Q264" s="65" t="n"/>
      <c r="R264" s="65" t="n"/>
      <c r="S264" s="65" t="n"/>
      <c r="T264" s="65" t="n"/>
      <c r="U264" s="65" t="n"/>
      <c r="V264" s="65" t="n"/>
    </row>
    <row r="265">
      <c r="A265" s="65" t="inlineStr">
        <is>
          <t>S00177</t>
        </is>
      </c>
      <c r="B265" s="62" t="n">
        <v>46214.50578703704</v>
      </c>
      <c r="C265" s="65" t="inlineStr">
        <is>
          <t>Jhon Morales</t>
        </is>
      </c>
      <c r="D265" s="65" t="inlineStr">
        <is>
          <t>BETANCOURT ROBRIGUEZ LUIS ENRRIQUE</t>
        </is>
      </c>
      <c r="E265" s="65" t="inlineStr">
        <is>
          <t>15 días</t>
        </is>
      </c>
      <c r="F265" s="65" t="n">
        <v>7</v>
      </c>
      <c r="G265" s="65" t="inlineStr">
        <is>
          <t>Pago USD Marzo</t>
        </is>
      </c>
      <c r="H265" s="65" t="inlineStr">
        <is>
          <t>[0887] MOTOCLASICO 4T SAE 20W-50 (1x12)</t>
        </is>
      </c>
      <c r="I265" s="65" t="n">
        <v>887</v>
      </c>
      <c r="J265" s="63" t="inlineStr">
        <is>
          <t>2,00</t>
        </is>
      </c>
      <c r="K265" s="63" t="inlineStr">
        <is>
          <t>56,90</t>
        </is>
      </c>
      <c r="L265" s="63" t="inlineStr">
        <is>
          <t>0,00</t>
        </is>
      </c>
      <c r="M265" s="63" t="inlineStr">
        <is>
          <t>113,80</t>
        </is>
      </c>
      <c r="N265" s="63" t="inlineStr">
        <is>
          <t>132,01</t>
        </is>
      </c>
      <c r="O265" s="63" t="inlineStr">
        <is>
          <t>213,80</t>
        </is>
      </c>
      <c r="P265" s="63" t="inlineStr">
        <is>
          <t>248,01</t>
        </is>
      </c>
      <c r="Q265" s="63" t="inlineStr">
        <is>
          <t>709,69</t>
        </is>
      </c>
      <c r="R265" s="66" t="n">
        <v>46214</v>
      </c>
      <c r="S265" s="65" t="n">
        <v>275</v>
      </c>
      <c r="T265" s="65" t="inlineStr">
        <is>
          <t>00-00000812</t>
        </is>
      </c>
      <c r="U265" s="63" t="inlineStr">
        <is>
          <t>247,98</t>
        </is>
      </c>
      <c r="V265" s="63" t="inlineStr">
        <is>
          <t>148,01</t>
        </is>
      </c>
    </row>
    <row r="266">
      <c r="A266" s="65" t="n"/>
      <c r="B266" s="65" t="n"/>
      <c r="C266" s="65" t="n"/>
      <c r="D266" s="65" t="n"/>
      <c r="E266" s="65" t="n"/>
      <c r="F266" s="65" t="n"/>
      <c r="G266" s="65" t="n"/>
      <c r="H266" s="65" t="n"/>
      <c r="I266" s="65" t="n"/>
      <c r="J266" s="63" t="inlineStr">
        <is>
          <t>0,00</t>
        </is>
      </c>
      <c r="K266" s="63" t="inlineStr">
        <is>
          <t>0,00</t>
        </is>
      </c>
      <c r="L266" s="63" t="inlineStr">
        <is>
          <t>0,00</t>
        </is>
      </c>
      <c r="M266" s="63" t="inlineStr">
        <is>
          <t>0,00</t>
        </is>
      </c>
      <c r="N266" s="63" t="inlineStr">
        <is>
          <t>0,00</t>
        </is>
      </c>
      <c r="O266" s="65" t="n"/>
      <c r="P266" s="65" t="n"/>
      <c r="Q266" s="65" t="n"/>
      <c r="R266" s="65" t="n"/>
      <c r="S266" s="65" t="n"/>
      <c r="T266" s="65" t="n"/>
      <c r="U266" s="65" t="n"/>
      <c r="V266" s="65" t="n"/>
    </row>
    <row r="267">
      <c r="A267" s="65" t="n"/>
      <c r="B267" s="65" t="n"/>
      <c r="C267" s="65" t="n"/>
      <c r="D267" s="65" t="n"/>
      <c r="E267" s="65" t="n"/>
      <c r="F267" s="65" t="n"/>
      <c r="G267" s="65" t="n"/>
      <c r="H267" s="65" t="inlineStr">
        <is>
          <t>[0093] ALTA CILINDRADA SS API SN SAE 15W-40 (1x6)</t>
        </is>
      </c>
      <c r="I267" s="65" t="n">
        <v>93</v>
      </c>
      <c r="J267" s="63" t="inlineStr">
        <is>
          <t>2,00</t>
        </is>
      </c>
      <c r="K267" s="63" t="inlineStr">
        <is>
          <t>29,31</t>
        </is>
      </c>
      <c r="L267" s="63" t="inlineStr">
        <is>
          <t>0,00</t>
        </is>
      </c>
      <c r="M267" s="63" t="inlineStr">
        <is>
          <t>58,62</t>
        </is>
      </c>
      <c r="N267" s="63" t="inlineStr">
        <is>
          <t>68,00</t>
        </is>
      </c>
      <c r="O267" s="65" t="n"/>
      <c r="P267" s="65" t="n"/>
      <c r="Q267" s="65" t="n"/>
      <c r="R267" s="65" t="n"/>
      <c r="S267" s="65" t="n"/>
      <c r="T267" s="65" t="n"/>
      <c r="U267" s="65" t="n"/>
      <c r="V267" s="65" t="n"/>
    </row>
    <row r="268">
      <c r="A268" s="65" t="n"/>
      <c r="B268" s="65" t="n"/>
      <c r="C268" s="65" t="n"/>
      <c r="D268" s="65" t="n"/>
      <c r="E268" s="65" t="n"/>
      <c r="F268" s="65" t="n"/>
      <c r="G268" s="65" t="n"/>
      <c r="H268" s="65" t="inlineStr">
        <is>
          <t>[0779] SINOCO SAE 20W-50 (1x12)</t>
        </is>
      </c>
      <c r="I268" s="65" t="n">
        <v>779</v>
      </c>
      <c r="J268" s="63" t="inlineStr">
        <is>
          <t>1,00</t>
        </is>
      </c>
      <c r="K268" s="63" t="inlineStr">
        <is>
          <t>41,38</t>
        </is>
      </c>
      <c r="L268" s="63" t="inlineStr">
        <is>
          <t>0,00</t>
        </is>
      </c>
      <c r="M268" s="63" t="inlineStr">
        <is>
          <t>41,38</t>
        </is>
      </c>
      <c r="N268" s="63" t="inlineStr">
        <is>
          <t>48,00</t>
        </is>
      </c>
      <c r="O268" s="65" t="n"/>
      <c r="P268" s="65" t="n"/>
      <c r="Q268" s="65" t="n"/>
      <c r="R268" s="65" t="n"/>
      <c r="S268" s="65" t="n"/>
      <c r="T268" s="65" t="n"/>
      <c r="U268" s="65" t="n"/>
      <c r="V268" s="65" t="n"/>
    </row>
    <row r="269">
      <c r="A269" s="65" t="inlineStr">
        <is>
          <t>S00165</t>
        </is>
      </c>
      <c r="B269" s="62" t="n">
        <v>46214.49875</v>
      </c>
      <c r="C269" s="65" t="inlineStr">
        <is>
          <t>EMPRENDIMIENTO HECTOR LLAMOZA</t>
        </is>
      </c>
      <c r="D269" s="65" t="inlineStr">
        <is>
          <t>VILLABONA CORREA ALBA ESTEFANIA</t>
        </is>
      </c>
      <c r="E269" s="65" t="n"/>
      <c r="F269" s="65" t="n">
        <v>7</v>
      </c>
      <c r="G269" s="65" t="inlineStr">
        <is>
          <t>Pago USD Marzo</t>
        </is>
      </c>
      <c r="H269" s="65" t="inlineStr">
        <is>
          <t>[0877] SS EXTRA PROTECCION API SN SAE 15W-40 (1X12)</t>
        </is>
      </c>
      <c r="I269" s="65" t="n">
        <v>877</v>
      </c>
      <c r="J269" s="63" t="inlineStr">
        <is>
          <t>2,00</t>
        </is>
      </c>
      <c r="K269" s="63" t="inlineStr">
        <is>
          <t>62,07</t>
        </is>
      </c>
      <c r="L269" s="63" t="inlineStr">
        <is>
          <t>0,00</t>
        </is>
      </c>
      <c r="M269" s="63" t="inlineStr">
        <is>
          <t>124,14</t>
        </is>
      </c>
      <c r="N269" s="63" t="inlineStr">
        <is>
          <t>144,00</t>
        </is>
      </c>
      <c r="O269" s="63" t="inlineStr">
        <is>
          <t>414,67</t>
        </is>
      </c>
      <c r="P269" s="63" t="inlineStr">
        <is>
          <t>481,00</t>
        </is>
      </c>
      <c r="Q269" s="63" t="inlineStr">
        <is>
          <t>709,69</t>
        </is>
      </c>
      <c r="R269" s="66" t="n">
        <v>46214</v>
      </c>
      <c r="S269" s="65" t="n">
        <v>271</v>
      </c>
      <c r="T269" s="65" t="inlineStr">
        <is>
          <t>00-00000808</t>
        </is>
      </c>
      <c r="U269" s="63" t="inlineStr">
        <is>
          <t>480,97</t>
        </is>
      </c>
      <c r="V269" s="63" t="inlineStr">
        <is>
          <t>157,91</t>
        </is>
      </c>
    </row>
    <row r="270">
      <c r="A270" s="65" t="n"/>
      <c r="B270" s="65" t="n"/>
      <c r="C270" s="65" t="n"/>
      <c r="D270" s="65" t="n"/>
      <c r="E270" s="65" t="n"/>
      <c r="F270" s="65" t="n"/>
      <c r="G270" s="65" t="n"/>
      <c r="H270" s="65" t="n"/>
      <c r="I270" s="65" t="n"/>
      <c r="J270" s="63" t="inlineStr">
        <is>
          <t>0,00</t>
        </is>
      </c>
      <c r="K270" s="63" t="inlineStr">
        <is>
          <t>0,00</t>
        </is>
      </c>
      <c r="L270" s="63" t="inlineStr">
        <is>
          <t>0,00</t>
        </is>
      </c>
      <c r="M270" s="63" t="inlineStr">
        <is>
          <t>0,00</t>
        </is>
      </c>
      <c r="N270" s="63" t="inlineStr">
        <is>
          <t>0,00</t>
        </is>
      </c>
      <c r="O270" s="65" t="n"/>
      <c r="P270" s="65" t="n"/>
      <c r="Q270" s="65" t="n"/>
      <c r="R270" s="65" t="n"/>
      <c r="S270" s="65" t="n"/>
      <c r="T270" s="65" t="n"/>
      <c r="U270" s="65" t="n"/>
      <c r="V270" s="65" t="n"/>
    </row>
    <row r="271">
      <c r="A271" s="65" t="n"/>
      <c r="B271" s="65" t="n"/>
      <c r="C271" s="65" t="n"/>
      <c r="D271" s="65" t="n"/>
      <c r="E271" s="65" t="n"/>
      <c r="F271" s="65" t="n"/>
      <c r="G271" s="65" t="n"/>
      <c r="H271" s="65" t="inlineStr">
        <is>
          <t>[0878] SS EXTRA PROTECCION API SN SAE 20W-50 (1x12)</t>
        </is>
      </c>
      <c r="I271" s="65" t="n">
        <v>878</v>
      </c>
      <c r="J271" s="63" t="inlineStr">
        <is>
          <t>1,00</t>
        </is>
      </c>
      <c r="K271" s="63" t="inlineStr">
        <is>
          <t>62,07</t>
        </is>
      </c>
      <c r="L271" s="63" t="inlineStr">
        <is>
          <t>0,00</t>
        </is>
      </c>
      <c r="M271" s="63" t="inlineStr">
        <is>
          <t>62,07</t>
        </is>
      </c>
      <c r="N271" s="63" t="inlineStr">
        <is>
          <t>72,00</t>
        </is>
      </c>
      <c r="O271" s="65" t="n"/>
      <c r="P271" s="65" t="n"/>
      <c r="Q271" s="65" t="n"/>
      <c r="R271" s="65" t="n"/>
      <c r="S271" s="65" t="n"/>
      <c r="T271" s="65" t="n"/>
      <c r="U271" s="65" t="n"/>
      <c r="V271" s="65" t="n"/>
    </row>
    <row r="272">
      <c r="A272" s="65" t="n"/>
      <c r="B272" s="65" t="n"/>
      <c r="C272" s="65" t="n"/>
      <c r="D272" s="65" t="n"/>
      <c r="E272" s="65" t="n"/>
      <c r="F272" s="65" t="n"/>
      <c r="G272" s="65" t="n"/>
      <c r="H272" s="65" t="inlineStr">
        <is>
          <t>[0887] MOTOCLASICO 4T SAE 20W-50 (1x12)</t>
        </is>
      </c>
      <c r="I272" s="65" t="n">
        <v>887</v>
      </c>
      <c r="J272" s="63" t="inlineStr">
        <is>
          <t>1,00</t>
        </is>
      </c>
      <c r="K272" s="63" t="inlineStr">
        <is>
          <t>56,90</t>
        </is>
      </c>
      <c r="L272" s="63" t="inlineStr">
        <is>
          <t>0,00</t>
        </is>
      </c>
      <c r="M272" s="63" t="inlineStr">
        <is>
          <t>56,90</t>
        </is>
      </c>
      <c r="N272" s="63" t="inlineStr">
        <is>
          <t>66,00</t>
        </is>
      </c>
      <c r="O272" s="65" t="n"/>
      <c r="P272" s="65" t="n"/>
      <c r="Q272" s="65" t="n"/>
      <c r="R272" s="65" t="n"/>
      <c r="S272" s="65" t="n"/>
      <c r="T272" s="65" t="n"/>
      <c r="U272" s="65" t="n"/>
      <c r="V272" s="65" t="n"/>
    </row>
    <row r="273">
      <c r="A273" s="65" t="n"/>
      <c r="B273" s="65" t="n"/>
      <c r="C273" s="65" t="n"/>
      <c r="D273" s="65" t="n"/>
      <c r="E273" s="65" t="n"/>
      <c r="F273" s="65" t="n"/>
      <c r="G273" s="65" t="n"/>
      <c r="H273" s="65" t="inlineStr">
        <is>
          <t>[0779] SINOCO SAE 20W-50 (1x12)</t>
        </is>
      </c>
      <c r="I273" s="65" t="n">
        <v>779</v>
      </c>
      <c r="J273" s="63" t="inlineStr">
        <is>
          <t>1,00</t>
        </is>
      </c>
      <c r="K273" s="63" t="inlineStr">
        <is>
          <t>41,38</t>
        </is>
      </c>
      <c r="L273" s="63" t="inlineStr">
        <is>
          <t>0,00</t>
        </is>
      </c>
      <c r="M273" s="63" t="inlineStr">
        <is>
          <t>41,38</t>
        </is>
      </c>
      <c r="N273" s="63" t="inlineStr">
        <is>
          <t>48,00</t>
        </is>
      </c>
      <c r="O273" s="65" t="n"/>
      <c r="P273" s="65" t="n"/>
      <c r="Q273" s="65" t="n"/>
      <c r="R273" s="65" t="n"/>
      <c r="S273" s="65" t="n"/>
      <c r="T273" s="65" t="n"/>
      <c r="U273" s="65" t="n"/>
      <c r="V273" s="65" t="n"/>
    </row>
    <row r="274">
      <c r="A274" s="65" t="n"/>
      <c r="B274" s="65" t="n"/>
      <c r="C274" s="65" t="n"/>
      <c r="D274" s="65" t="n"/>
      <c r="E274" s="65" t="n"/>
      <c r="F274" s="65" t="n"/>
      <c r="G274" s="65" t="n"/>
      <c r="H274" s="65" t="inlineStr">
        <is>
          <t>[0774] LIGA PARA FRENOS DOT-4 (1X6)</t>
        </is>
      </c>
      <c r="I274" s="65" t="n">
        <v>774</v>
      </c>
      <c r="J274" s="63" t="inlineStr">
        <is>
          <t>1,00</t>
        </is>
      </c>
      <c r="K274" s="63" t="inlineStr">
        <is>
          <t>40,52</t>
        </is>
      </c>
      <c r="L274" s="63" t="inlineStr">
        <is>
          <t>0,00</t>
        </is>
      </c>
      <c r="M274" s="63" t="inlineStr">
        <is>
          <t>40,52</t>
        </is>
      </c>
      <c r="N274" s="63" t="inlineStr">
        <is>
          <t>47,00</t>
        </is>
      </c>
      <c r="O274" s="65" t="n"/>
      <c r="P274" s="65" t="n"/>
      <c r="Q274" s="65" t="n"/>
      <c r="R274" s="65" t="n"/>
      <c r="S274" s="65" t="n"/>
      <c r="T274" s="65" t="n"/>
      <c r="U274" s="65" t="n"/>
      <c r="V274" s="65" t="n"/>
    </row>
    <row r="275">
      <c r="A275" s="65" t="n"/>
      <c r="B275" s="65" t="n"/>
      <c r="C275" s="65" t="n"/>
      <c r="D275" s="65" t="n"/>
      <c r="E275" s="65" t="n"/>
      <c r="F275" s="65" t="n"/>
      <c r="G275" s="65" t="n"/>
      <c r="H275" s="65" t="inlineStr">
        <is>
          <t>[0561] MEJORADOR DE OCTANAJE GLOBAL OIL PACK (1X12)</t>
        </is>
      </c>
      <c r="I275" s="65" t="n">
        <v>561</v>
      </c>
      <c r="J275" s="63" t="inlineStr">
        <is>
          <t>1,00</t>
        </is>
      </c>
      <c r="K275" s="63" t="inlineStr">
        <is>
          <t>31,90</t>
        </is>
      </c>
      <c r="L275" s="63" t="inlineStr">
        <is>
          <t>0,00</t>
        </is>
      </c>
      <c r="M275" s="63" t="inlineStr">
        <is>
          <t>31,90</t>
        </is>
      </c>
      <c r="N275" s="63" t="inlineStr">
        <is>
          <t>37,00</t>
        </is>
      </c>
      <c r="O275" s="65" t="n"/>
      <c r="P275" s="65" t="n"/>
      <c r="Q275" s="65" t="n"/>
      <c r="R275" s="65" t="n"/>
      <c r="S275" s="65" t="n"/>
      <c r="T275" s="65" t="n"/>
      <c r="U275" s="65" t="n"/>
      <c r="V275" s="65" t="n"/>
    </row>
    <row r="276">
      <c r="A276" s="65" t="n"/>
      <c r="B276" s="65" t="n"/>
      <c r="C276" s="65" t="n"/>
      <c r="D276" s="65" t="n"/>
      <c r="E276" s="65" t="n"/>
      <c r="F276" s="65" t="n"/>
      <c r="G276" s="65" t="n"/>
      <c r="H276" s="65" t="inlineStr">
        <is>
          <t>[0884] TRANSMATIC ATF DEXRON III (1x12)</t>
        </is>
      </c>
      <c r="I276" s="65" t="n">
        <v>884</v>
      </c>
      <c r="J276" s="63" t="inlineStr">
        <is>
          <t>1,00</t>
        </is>
      </c>
      <c r="K276" s="63" t="inlineStr">
        <is>
          <t>57,76</t>
        </is>
      </c>
      <c r="L276" s="63" t="inlineStr">
        <is>
          <t>0,00</t>
        </is>
      </c>
      <c r="M276" s="63" t="inlineStr">
        <is>
          <t>57,76</t>
        </is>
      </c>
      <c r="N276" s="63" t="inlineStr">
        <is>
          <t>67,00</t>
        </is>
      </c>
      <c r="O276" s="65" t="n"/>
      <c r="P276" s="65" t="n"/>
      <c r="Q276" s="65" t="n"/>
      <c r="R276" s="65" t="n"/>
      <c r="S276" s="65" t="n"/>
      <c r="T276" s="65" t="n"/>
      <c r="U276" s="65" t="n"/>
      <c r="V276" s="65" t="n"/>
    </row>
    <row r="277">
      <c r="A277" s="65" t="inlineStr">
        <is>
          <t>S00020</t>
        </is>
      </c>
      <c r="B277" s="62" t="n">
        <v>46214.49078703704</v>
      </c>
      <c r="C277" s="65" t="inlineStr">
        <is>
          <t>EMPRENDIMIENTO TOMAS MARCANO 5</t>
        </is>
      </c>
      <c r="D277" s="65" t="inlineStr">
        <is>
          <t>VILLABONA CORREA ALBA ESTEFANIA</t>
        </is>
      </c>
      <c r="E277" s="65" t="inlineStr">
        <is>
          <t>7 días</t>
        </is>
      </c>
      <c r="F277" s="65" t="n">
        <v>3</v>
      </c>
      <c r="G277" s="65" t="inlineStr">
        <is>
          <t>Precio Full Marzo</t>
        </is>
      </c>
      <c r="H277" s="65" t="inlineStr">
        <is>
          <t>[0880] CLASICO API SL SAE 15W-40 (1x12)</t>
        </is>
      </c>
      <c r="I277" s="65" t="n">
        <v>880</v>
      </c>
      <c r="J277" s="63" t="inlineStr">
        <is>
          <t>1,00</t>
        </is>
      </c>
      <c r="K277" s="63" t="inlineStr">
        <is>
          <t>80,17</t>
        </is>
      </c>
      <c r="L277" s="63" t="inlineStr">
        <is>
          <t>0,00</t>
        </is>
      </c>
      <c r="M277" s="63" t="inlineStr">
        <is>
          <t>80,17</t>
        </is>
      </c>
      <c r="N277" s="63" t="inlineStr">
        <is>
          <t>93,00</t>
        </is>
      </c>
      <c r="O277" s="63" t="inlineStr">
        <is>
          <t>521,14</t>
        </is>
      </c>
      <c r="P277" s="63" t="inlineStr">
        <is>
          <t>604,53</t>
        </is>
      </c>
      <c r="Q277" s="63" t="inlineStr">
        <is>
          <t>709,69</t>
        </is>
      </c>
      <c r="R277" s="66" t="n">
        <v>46214</v>
      </c>
      <c r="S277" s="65" t="n">
        <v>270</v>
      </c>
      <c r="T277" s="65" t="inlineStr">
        <is>
          <t>00-00000807</t>
        </is>
      </c>
      <c r="U277" s="63" t="inlineStr">
        <is>
          <t>604,49</t>
        </is>
      </c>
      <c r="V277" s="63" t="inlineStr">
        <is>
          <t>442,07</t>
        </is>
      </c>
    </row>
    <row r="278">
      <c r="A278" s="65" t="n"/>
      <c r="B278" s="65" t="n"/>
      <c r="C278" s="65" t="n"/>
      <c r="D278" s="65" t="n"/>
      <c r="E278" s="65" t="n"/>
      <c r="F278" s="65" t="n"/>
      <c r="G278" s="65" t="n"/>
      <c r="H278" s="65" t="inlineStr">
        <is>
          <t>[0121] TRANSGLOB API GL-5 SAE 80W-90 (1x6)</t>
        </is>
      </c>
      <c r="I278" s="65" t="n">
        <v>121</v>
      </c>
      <c r="J278" s="63" t="inlineStr">
        <is>
          <t>1,00</t>
        </is>
      </c>
      <c r="K278" s="63" t="inlineStr">
        <is>
          <t>46,55</t>
        </is>
      </c>
      <c r="L278" s="63" t="inlineStr">
        <is>
          <t>0,00</t>
        </is>
      </c>
      <c r="M278" s="63" t="inlineStr">
        <is>
          <t>46,55</t>
        </is>
      </c>
      <c r="N278" s="63" t="inlineStr">
        <is>
          <t>54,00</t>
        </is>
      </c>
      <c r="O278" s="65" t="n"/>
      <c r="P278" s="65" t="n"/>
      <c r="Q278" s="65" t="n"/>
      <c r="R278" s="65" t="n"/>
      <c r="S278" s="65" t="n"/>
      <c r="T278" s="65" t="n"/>
      <c r="U278" s="65" t="n"/>
      <c r="V278" s="65" t="n"/>
    </row>
    <row r="279">
      <c r="A279" s="65" t="n"/>
      <c r="B279" s="65" t="n"/>
      <c r="C279" s="65" t="n"/>
      <c r="D279" s="65" t="n"/>
      <c r="E279" s="65" t="n"/>
      <c r="F279" s="65" t="n"/>
      <c r="G279" s="65" t="n"/>
      <c r="H279" s="65" t="inlineStr">
        <is>
          <t>[0877] SS EXTRA PROTECCION API SN SAE 15W-40 (1X12)</t>
        </is>
      </c>
      <c r="I279" s="65" t="n">
        <v>877</v>
      </c>
      <c r="J279" s="63" t="inlineStr">
        <is>
          <t>2,00</t>
        </is>
      </c>
      <c r="K279" s="63" t="inlineStr">
        <is>
          <t>93,10</t>
        </is>
      </c>
      <c r="L279" s="63" t="inlineStr">
        <is>
          <t>0,00</t>
        </is>
      </c>
      <c r="M279" s="63" t="inlineStr">
        <is>
          <t>186,20</t>
        </is>
      </c>
      <c r="N279" s="63" t="inlineStr">
        <is>
          <t>215,99</t>
        </is>
      </c>
      <c r="O279" s="65" t="n"/>
      <c r="P279" s="65" t="n"/>
      <c r="Q279" s="65" t="n"/>
      <c r="R279" s="65" t="n"/>
      <c r="S279" s="65" t="n"/>
      <c r="T279" s="65" t="n"/>
      <c r="U279" s="65" t="n"/>
      <c r="V279" s="65" t="n"/>
    </row>
    <row r="280">
      <c r="A280" s="65" t="n"/>
      <c r="B280" s="65" t="n"/>
      <c r="C280" s="65" t="n"/>
      <c r="D280" s="65" t="n"/>
      <c r="E280" s="65" t="n"/>
      <c r="F280" s="65" t="n"/>
      <c r="G280" s="65" t="n"/>
      <c r="H280" s="65" t="inlineStr">
        <is>
          <t>[0761] LIGA PARA FRENOS DOT-3 (1x12)</t>
        </is>
      </c>
      <c r="I280" s="65" t="n">
        <v>761</v>
      </c>
      <c r="J280" s="63" t="inlineStr">
        <is>
          <t>2,00</t>
        </is>
      </c>
      <c r="K280" s="63" t="inlineStr">
        <is>
          <t>31,05</t>
        </is>
      </c>
      <c r="L280" s="63" t="inlineStr">
        <is>
          <t>0,00</t>
        </is>
      </c>
      <c r="M280" s="63" t="inlineStr">
        <is>
          <t>62,10</t>
        </is>
      </c>
      <c r="N280" s="63" t="inlineStr">
        <is>
          <t>72,04</t>
        </is>
      </c>
      <c r="O280" s="65" t="n"/>
      <c r="P280" s="65" t="n"/>
      <c r="Q280" s="65" t="n"/>
      <c r="R280" s="65" t="n"/>
      <c r="S280" s="65" t="n"/>
      <c r="T280" s="65" t="n"/>
      <c r="U280" s="65" t="n"/>
      <c r="V280" s="65" t="n"/>
    </row>
    <row r="281">
      <c r="A281" s="65" t="n"/>
      <c r="B281" s="65" t="n"/>
      <c r="C281" s="65" t="n"/>
      <c r="D281" s="65" t="n"/>
      <c r="E281" s="65" t="n"/>
      <c r="F281" s="65" t="n"/>
      <c r="G281" s="65" t="n"/>
      <c r="H281" s="65" t="inlineStr">
        <is>
          <t>[0779] SINOCO SAE 20W-50 (1x12)</t>
        </is>
      </c>
      <c r="I281" s="65" t="n">
        <v>779</v>
      </c>
      <c r="J281" s="63" t="inlineStr">
        <is>
          <t>2,00</t>
        </is>
      </c>
      <c r="K281" s="63" t="inlineStr">
        <is>
          <t>62,07</t>
        </is>
      </c>
      <c r="L281" s="63" t="inlineStr">
        <is>
          <t>0,00</t>
        </is>
      </c>
      <c r="M281" s="63" t="inlineStr">
        <is>
          <t>124,14</t>
        </is>
      </c>
      <c r="N281" s="63" t="inlineStr">
        <is>
          <t>144,00</t>
        </is>
      </c>
      <c r="O281" s="65" t="n"/>
      <c r="P281" s="65" t="n"/>
      <c r="Q281" s="65" t="n"/>
      <c r="R281" s="65" t="n"/>
      <c r="S281" s="65" t="n"/>
      <c r="T281" s="65" t="n"/>
      <c r="U281" s="65" t="n"/>
      <c r="V281" s="65" t="n"/>
    </row>
    <row r="282">
      <c r="A282" s="65" t="n"/>
      <c r="B282" s="65" t="n"/>
      <c r="C282" s="65" t="n"/>
      <c r="D282" s="65" t="n"/>
      <c r="E282" s="65" t="n"/>
      <c r="F282" s="65" t="n"/>
      <c r="G282" s="65" t="n"/>
      <c r="H282" s="65" t="inlineStr">
        <is>
          <t>[0725] AGUA DESMINERALIZADA</t>
        </is>
      </c>
      <c r="I282" s="65" t="n">
        <v>725</v>
      </c>
      <c r="J282" s="63" t="inlineStr">
        <is>
          <t>1,00</t>
        </is>
      </c>
      <c r="K282" s="63" t="inlineStr">
        <is>
          <t>21,98</t>
        </is>
      </c>
      <c r="L282" s="63" t="inlineStr">
        <is>
          <t>0,00</t>
        </is>
      </c>
      <c r="M282" s="63" t="inlineStr">
        <is>
          <t>21,98</t>
        </is>
      </c>
      <c r="N282" s="63" t="inlineStr">
        <is>
          <t>25,50</t>
        </is>
      </c>
      <c r="O282" s="65" t="n"/>
      <c r="P282" s="65" t="n"/>
      <c r="Q282" s="65" t="n"/>
      <c r="R282" s="65" t="n"/>
      <c r="S282" s="65" t="n"/>
      <c r="T282" s="65" t="n"/>
      <c r="U282" s="65" t="n"/>
      <c r="V282" s="65" t="n"/>
    </row>
    <row r="283">
      <c r="A283" s="65" t="inlineStr">
        <is>
          <t>S00156</t>
        </is>
      </c>
      <c r="B283" s="62" t="n">
        <v>46214.4809375</v>
      </c>
      <c r="C283" s="65" t="inlineStr">
        <is>
          <t>EMPRENDIMIENTO MARTIN BASTIDAS 2</t>
        </is>
      </c>
      <c r="D283" s="65" t="inlineStr">
        <is>
          <t>TORO ARDILES DAVID JOSE</t>
        </is>
      </c>
      <c r="E283" s="65" t="n"/>
      <c r="F283" s="65" t="n">
        <v>7</v>
      </c>
      <c r="G283" s="65" t="inlineStr">
        <is>
          <t>Pago USD Marzo</t>
        </is>
      </c>
      <c r="H283" s="65" t="inlineStr">
        <is>
          <t>[0762] LIGA PARA FRENOS DOT-3 (1x6)</t>
        </is>
      </c>
      <c r="I283" s="65" t="n">
        <v>762</v>
      </c>
      <c r="J283" s="63" t="inlineStr">
        <is>
          <t>1,00</t>
        </is>
      </c>
      <c r="K283" s="63" t="inlineStr">
        <is>
          <t>33,62</t>
        </is>
      </c>
      <c r="L283" s="63" t="inlineStr">
        <is>
          <t>0,00</t>
        </is>
      </c>
      <c r="M283" s="63" t="inlineStr">
        <is>
          <t>33,62</t>
        </is>
      </c>
      <c r="N283" s="63" t="inlineStr">
        <is>
          <t>39,00</t>
        </is>
      </c>
      <c r="O283" s="63" t="inlineStr">
        <is>
          <t>33,62</t>
        </is>
      </c>
      <c r="P283" s="63" t="inlineStr">
        <is>
          <t>39,00</t>
        </is>
      </c>
      <c r="Q283" s="63" t="inlineStr">
        <is>
          <t>709,69</t>
        </is>
      </c>
      <c r="R283" s="66" t="n">
        <v>46214</v>
      </c>
      <c r="S283" s="65" t="n">
        <v>269</v>
      </c>
      <c r="T283" s="65" t="inlineStr">
        <is>
          <t>00-00000806</t>
        </is>
      </c>
      <c r="U283" s="63" t="inlineStr">
        <is>
          <t>38,99</t>
        </is>
      </c>
      <c r="V283" s="63" t="inlineStr">
        <is>
          <t>0,00</t>
        </is>
      </c>
    </row>
    <row r="284">
      <c r="A284" s="65" t="inlineStr">
        <is>
          <t>S00157</t>
        </is>
      </c>
      <c r="B284" s="62" t="n">
        <v>46214.48016203703</v>
      </c>
      <c r="C284" s="65" t="inlineStr">
        <is>
          <t>Turismo Apureño Turapca, C.A</t>
        </is>
      </c>
      <c r="D284" s="65" t="inlineStr">
        <is>
          <t>MARTINEZ MONTES JEFFREY ENRIQUE</t>
        </is>
      </c>
      <c r="E284" s="65" t="inlineStr">
        <is>
          <t>15 días</t>
        </is>
      </c>
      <c r="F284" s="65" t="n">
        <v>7</v>
      </c>
      <c r="G284" s="65" t="inlineStr">
        <is>
          <t>Pago USD Marzo</t>
        </is>
      </c>
      <c r="H284" s="65" t="inlineStr">
        <is>
          <t>[0879] CARIBE FUERA DE BORDA TC-W3 2 TIEMPOS (1x12)</t>
        </is>
      </c>
      <c r="I284" s="65" t="n">
        <v>879</v>
      </c>
      <c r="J284" s="63" t="inlineStr">
        <is>
          <t>2,00</t>
        </is>
      </c>
      <c r="K284" s="63" t="inlineStr">
        <is>
          <t>56,03</t>
        </is>
      </c>
      <c r="L284" s="63" t="inlineStr">
        <is>
          <t>4,61</t>
        </is>
      </c>
      <c r="M284" s="63" t="inlineStr">
        <is>
          <t>106,89</t>
        </is>
      </c>
      <c r="N284" s="63" t="inlineStr">
        <is>
          <t>123,99</t>
        </is>
      </c>
      <c r="O284" s="63" t="inlineStr">
        <is>
          <t>106,89</t>
        </is>
      </c>
      <c r="P284" s="63" t="inlineStr">
        <is>
          <t>123,99</t>
        </is>
      </c>
      <c r="Q284" s="63" t="inlineStr">
        <is>
          <t>709,69</t>
        </is>
      </c>
      <c r="R284" s="66" t="n">
        <v>46214</v>
      </c>
      <c r="S284" s="65" t="n">
        <v>268</v>
      </c>
      <c r="T284" s="65" t="inlineStr">
        <is>
          <t>00-00000805</t>
        </is>
      </c>
      <c r="U284" s="63" t="inlineStr">
        <is>
          <t>123,99</t>
        </is>
      </c>
      <c r="V284" s="63" t="inlineStr">
        <is>
          <t>0,00</t>
        </is>
      </c>
    </row>
    <row r="285">
      <c r="A285" s="65" t="n"/>
      <c r="B285" s="65" t="n"/>
      <c r="C285" s="65" t="n"/>
      <c r="D285" s="65" t="n"/>
      <c r="E285" s="65" t="n"/>
      <c r="F285" s="65" t="n"/>
      <c r="G285" s="65" t="n"/>
      <c r="H285" s="65" t="n"/>
      <c r="I285" s="65" t="n"/>
      <c r="J285" s="63" t="inlineStr">
        <is>
          <t>0,00</t>
        </is>
      </c>
      <c r="K285" s="63" t="inlineStr">
        <is>
          <t>0,00</t>
        </is>
      </c>
      <c r="L285" s="63" t="inlineStr">
        <is>
          <t>0,00</t>
        </is>
      </c>
      <c r="M285" s="63" t="inlineStr">
        <is>
          <t>0,00</t>
        </is>
      </c>
      <c r="N285" s="63" t="inlineStr">
        <is>
          <t>0,00</t>
        </is>
      </c>
      <c r="O285" s="65" t="n"/>
      <c r="P285" s="65" t="n"/>
      <c r="Q285" s="65" t="n"/>
      <c r="R285" s="65" t="n"/>
      <c r="S285" s="65" t="n"/>
      <c r="T285" s="65" t="n"/>
      <c r="U285" s="65" t="n"/>
      <c r="V285" s="65" t="n"/>
    </row>
    <row r="286">
      <c r="A286" s="65" t="inlineStr">
        <is>
          <t>S00138</t>
        </is>
      </c>
      <c r="B286" s="62" t="n">
        <v>46214.47361111111</v>
      </c>
      <c r="C286" s="65" t="inlineStr">
        <is>
          <t>Benefit c.a</t>
        </is>
      </c>
      <c r="D286" s="65" t="inlineStr">
        <is>
          <t>PEREZ DIAZ ANGEL DE DIOS</t>
        </is>
      </c>
      <c r="E286" s="65" t="inlineStr">
        <is>
          <t>15 días</t>
        </is>
      </c>
      <c r="F286" s="65" t="n">
        <v>7</v>
      </c>
      <c r="G286" s="65" t="inlineStr">
        <is>
          <t>Pago USD Marzo</t>
        </is>
      </c>
      <c r="H286" s="65" t="inlineStr">
        <is>
          <t>[0779] SINOCO SAE 20W-50 (1x12)</t>
        </is>
      </c>
      <c r="I286" s="65" t="n">
        <v>779</v>
      </c>
      <c r="J286" s="63" t="inlineStr">
        <is>
          <t>3,00</t>
        </is>
      </c>
      <c r="K286" s="63" t="inlineStr">
        <is>
          <t>41,38</t>
        </is>
      </c>
      <c r="L286" s="63" t="inlineStr">
        <is>
          <t>0,00</t>
        </is>
      </c>
      <c r="M286" s="63" t="inlineStr">
        <is>
          <t>124,14</t>
        </is>
      </c>
      <c r="N286" s="63" t="inlineStr">
        <is>
          <t>144,00</t>
        </is>
      </c>
      <c r="O286" s="63" t="inlineStr">
        <is>
          <t>206,90</t>
        </is>
      </c>
      <c r="P286" s="63" t="inlineStr">
        <is>
          <t>240,00</t>
        </is>
      </c>
      <c r="Q286" s="63" t="inlineStr">
        <is>
          <t>709,69</t>
        </is>
      </c>
      <c r="R286" s="66" t="n">
        <v>46214</v>
      </c>
      <c r="S286" s="65" t="n">
        <v>266</v>
      </c>
      <c r="T286" s="65" t="inlineStr">
        <is>
          <t>00-00000803</t>
        </is>
      </c>
      <c r="U286" s="63" t="inlineStr">
        <is>
          <t>239,98</t>
        </is>
      </c>
      <c r="V286" s="63" t="inlineStr">
        <is>
          <t>80,00</t>
        </is>
      </c>
    </row>
    <row r="287">
      <c r="A287" s="65" t="n"/>
      <c r="B287" s="65" t="n"/>
      <c r="C287" s="65" t="n"/>
      <c r="D287" s="65" t="n"/>
      <c r="E287" s="65" t="n"/>
      <c r="F287" s="65" t="n"/>
      <c r="G287" s="65" t="n"/>
      <c r="H287" s="65" t="inlineStr">
        <is>
          <t>[0915] SINOCO SAE 50 (1x12)</t>
        </is>
      </c>
      <c r="I287" s="65" t="n">
        <v>915</v>
      </c>
      <c r="J287" s="63" t="inlineStr">
        <is>
          <t>2,00</t>
        </is>
      </c>
      <c r="K287" s="63" t="inlineStr">
        <is>
          <t>41,38</t>
        </is>
      </c>
      <c r="L287" s="63" t="inlineStr">
        <is>
          <t>0,00</t>
        </is>
      </c>
      <c r="M287" s="63" t="inlineStr">
        <is>
          <t>82,76</t>
        </is>
      </c>
      <c r="N287" s="63" t="inlineStr">
        <is>
          <t>96,00</t>
        </is>
      </c>
      <c r="O287" s="65" t="n"/>
      <c r="P287" s="65" t="n"/>
      <c r="Q287" s="65" t="n"/>
      <c r="R287" s="65" t="n"/>
      <c r="S287" s="65" t="n"/>
      <c r="T287" s="65" t="n"/>
      <c r="U287" s="65" t="n"/>
      <c r="V287" s="65" t="n"/>
    </row>
    <row r="288">
      <c r="A288" s="65" t="inlineStr">
        <is>
          <t>S00132</t>
        </is>
      </c>
      <c r="B288" s="62" t="n">
        <v>46214.47118055556</v>
      </c>
      <c r="C288" s="65" t="inlineStr">
        <is>
          <t>Distribuidora Nesmari 2050 c.a</t>
        </is>
      </c>
      <c r="D288" s="65" t="inlineStr">
        <is>
          <t>BETANCOURT ROBRIGUEZ LUIS ENRRIQUE</t>
        </is>
      </c>
      <c r="E288" s="65" t="inlineStr">
        <is>
          <t>15 días</t>
        </is>
      </c>
      <c r="F288" s="65" t="n">
        <v>7</v>
      </c>
      <c r="G288" s="65" t="inlineStr">
        <is>
          <t>Pago USD Marzo</t>
        </is>
      </c>
      <c r="H288" s="65" t="inlineStr">
        <is>
          <t>[0779] SINOCO SAE 20W-50 (1x12)</t>
        </is>
      </c>
      <c r="I288" s="65" t="n">
        <v>779</v>
      </c>
      <c r="J288" s="63" t="inlineStr">
        <is>
          <t>2,00</t>
        </is>
      </c>
      <c r="K288" s="63" t="inlineStr">
        <is>
          <t>41,38</t>
        </is>
      </c>
      <c r="L288" s="63" t="inlineStr">
        <is>
          <t>0,00</t>
        </is>
      </c>
      <c r="M288" s="63" t="inlineStr">
        <is>
          <t>82,76</t>
        </is>
      </c>
      <c r="N288" s="63" t="inlineStr">
        <is>
          <t>96,00</t>
        </is>
      </c>
      <c r="O288" s="63" t="inlineStr">
        <is>
          <t>82,76</t>
        </is>
      </c>
      <c r="P288" s="63" t="inlineStr">
        <is>
          <t>96,00</t>
        </is>
      </c>
      <c r="Q288" s="63" t="inlineStr">
        <is>
          <t>709,69</t>
        </is>
      </c>
      <c r="R288" s="66" t="n">
        <v>46214</v>
      </c>
      <c r="S288" s="65" t="n">
        <v>264</v>
      </c>
      <c r="T288" s="65" t="inlineStr">
        <is>
          <t>00-00000801</t>
        </is>
      </c>
      <c r="U288" s="63" t="inlineStr">
        <is>
          <t>95,99</t>
        </is>
      </c>
      <c r="V288" s="63" t="inlineStr">
        <is>
          <t>0,00</t>
        </is>
      </c>
    </row>
    <row r="289">
      <c r="A289" s="65" t="inlineStr">
        <is>
          <t>S00129</t>
        </is>
      </c>
      <c r="B289" s="62" t="n">
        <v>46214.47004629629</v>
      </c>
      <c r="C289" s="65" t="inlineStr">
        <is>
          <t>Emprendimiento Jordy Valencia</t>
        </is>
      </c>
      <c r="D289" s="65" t="inlineStr">
        <is>
          <t>MARTINEZ MONTES JEFFREY ENRIQUE</t>
        </is>
      </c>
      <c r="E289" s="65" t="inlineStr">
        <is>
          <t>15 días</t>
        </is>
      </c>
      <c r="F289" s="65" t="n">
        <v>7</v>
      </c>
      <c r="G289" s="65" t="inlineStr">
        <is>
          <t>Pago USD Marzo</t>
        </is>
      </c>
      <c r="H289" s="65" t="inlineStr">
        <is>
          <t>[0779] SINOCO SAE 20W-50 (1x12)</t>
        </is>
      </c>
      <c r="I289" s="65" t="n">
        <v>779</v>
      </c>
      <c r="J289" s="63" t="inlineStr">
        <is>
          <t>19,00</t>
        </is>
      </c>
      <c r="K289" s="63" t="inlineStr">
        <is>
          <t>41,38</t>
        </is>
      </c>
      <c r="L289" s="63" t="inlineStr">
        <is>
          <t>0,00</t>
        </is>
      </c>
      <c r="M289" s="63" t="inlineStr">
        <is>
          <t>786,22</t>
        </is>
      </c>
      <c r="N289" s="63" t="inlineStr">
        <is>
          <t>912,02</t>
        </is>
      </c>
      <c r="O289" s="63" t="inlineStr">
        <is>
          <t>1.120,71</t>
        </is>
      </c>
      <c r="P289" s="63" t="inlineStr">
        <is>
          <t>1.300,02</t>
        </is>
      </c>
      <c r="Q289" s="65" t="n"/>
      <c r="R289" s="65" t="n"/>
      <c r="S289" s="65" t="n"/>
      <c r="T289" s="65" t="n"/>
      <c r="U289" s="65" t="n"/>
      <c r="V289" s="65" t="n"/>
    </row>
    <row r="290">
      <c r="A290" s="65" t="n"/>
      <c r="B290" s="65" t="n"/>
      <c r="C290" s="65" t="n"/>
      <c r="D290" s="65" t="n"/>
      <c r="E290" s="65" t="n"/>
      <c r="F290" s="65" t="n"/>
      <c r="G290" s="65" t="n"/>
      <c r="H290" s="65" t="inlineStr">
        <is>
          <t>[0915] SINOCO SAE 50 (1x12)</t>
        </is>
      </c>
      <c r="I290" s="65" t="n">
        <v>915</v>
      </c>
      <c r="J290" s="63" t="inlineStr">
        <is>
          <t>2,00</t>
        </is>
      </c>
      <c r="K290" s="63" t="inlineStr">
        <is>
          <t>41,38</t>
        </is>
      </c>
      <c r="L290" s="63" t="inlineStr">
        <is>
          <t>0,00</t>
        </is>
      </c>
      <c r="M290" s="63" t="inlineStr">
        <is>
          <t>82,76</t>
        </is>
      </c>
      <c r="N290" s="63" t="inlineStr">
        <is>
          <t>96,00</t>
        </is>
      </c>
      <c r="O290" s="65" t="n"/>
      <c r="P290" s="65" t="n"/>
      <c r="Q290" s="65" t="n"/>
      <c r="R290" s="65" t="n"/>
      <c r="S290" s="65" t="n"/>
      <c r="T290" s="65" t="n"/>
      <c r="U290" s="65" t="n"/>
      <c r="V290" s="65" t="n"/>
    </row>
    <row r="291">
      <c r="A291" s="65" t="n"/>
      <c r="B291" s="65" t="n"/>
      <c r="C291" s="65" t="n"/>
      <c r="D291" s="65" t="n"/>
      <c r="E291" s="65" t="n"/>
      <c r="F291" s="65" t="n"/>
      <c r="G291" s="65" t="n"/>
      <c r="H291" s="65" t="inlineStr">
        <is>
          <t>[0602] SINOCO SAE 50 (PAILA)</t>
        </is>
      </c>
      <c r="I291" s="65" t="n">
        <v>602</v>
      </c>
      <c r="J291" s="63" t="inlineStr">
        <is>
          <t>2,00</t>
        </is>
      </c>
      <c r="K291" s="63" t="inlineStr">
        <is>
          <t>57,76</t>
        </is>
      </c>
      <c r="L291" s="63" t="inlineStr">
        <is>
          <t>0,00</t>
        </is>
      </c>
      <c r="M291" s="63" t="inlineStr">
        <is>
          <t>115,52</t>
        </is>
      </c>
      <c r="N291" s="63" t="inlineStr">
        <is>
          <t>134,00</t>
        </is>
      </c>
      <c r="O291" s="65" t="n"/>
      <c r="P291" s="65" t="n"/>
      <c r="Q291" s="65" t="n"/>
      <c r="R291" s="65" t="n"/>
      <c r="S291" s="65" t="n"/>
      <c r="T291" s="65" t="n"/>
      <c r="U291" s="65" t="n"/>
      <c r="V291" s="65" t="n"/>
    </row>
    <row r="292">
      <c r="A292" s="65" t="n"/>
      <c r="B292" s="65" t="n"/>
      <c r="C292" s="65" t="n"/>
      <c r="D292" s="65" t="n"/>
      <c r="E292" s="65" t="n"/>
      <c r="F292" s="65" t="n"/>
      <c r="G292" s="65" t="n"/>
      <c r="H292" s="65" t="inlineStr">
        <is>
          <t>[0761] LIGA PARA FRENOS DOT-3 (1x12)</t>
        </is>
      </c>
      <c r="I292" s="65" t="n">
        <v>761</v>
      </c>
      <c r="J292" s="63" t="inlineStr">
        <is>
          <t>3,00</t>
        </is>
      </c>
      <c r="K292" s="63" t="inlineStr">
        <is>
          <t>20,69</t>
        </is>
      </c>
      <c r="L292" s="63" t="inlineStr">
        <is>
          <t>0,00</t>
        </is>
      </c>
      <c r="M292" s="63" t="inlineStr">
        <is>
          <t>62,07</t>
        </is>
      </c>
      <c r="N292" s="63" t="inlineStr">
        <is>
          <t>72,00</t>
        </is>
      </c>
      <c r="O292" s="65" t="n"/>
      <c r="P292" s="65" t="n"/>
      <c r="Q292" s="65" t="n"/>
      <c r="R292" s="65" t="n"/>
      <c r="S292" s="65" t="n"/>
      <c r="T292" s="65" t="n"/>
      <c r="U292" s="65" t="n"/>
      <c r="V292" s="65" t="n"/>
    </row>
    <row r="293">
      <c r="A293" s="65" t="n"/>
      <c r="B293" s="65" t="n"/>
      <c r="C293" s="65" t="n"/>
      <c r="D293" s="65" t="n"/>
      <c r="E293" s="65" t="n"/>
      <c r="F293" s="65" t="n"/>
      <c r="G293" s="65" t="n"/>
      <c r="H293" s="65" t="inlineStr">
        <is>
          <t>[0762] LIGA PARA FRENOS DOT-3 (1x6)</t>
        </is>
      </c>
      <c r="I293" s="65" t="n">
        <v>762</v>
      </c>
      <c r="J293" s="63" t="inlineStr">
        <is>
          <t>1,00</t>
        </is>
      </c>
      <c r="K293" s="63" t="inlineStr">
        <is>
          <t>33,62</t>
        </is>
      </c>
      <c r="L293" s="63" t="inlineStr">
        <is>
          <t>0,00</t>
        </is>
      </c>
      <c r="M293" s="63" t="inlineStr">
        <is>
          <t>33,62</t>
        </is>
      </c>
      <c r="N293" s="63" t="inlineStr">
        <is>
          <t>39,00</t>
        </is>
      </c>
      <c r="O293" s="65" t="n"/>
      <c r="P293" s="65" t="n"/>
      <c r="Q293" s="65" t="n"/>
      <c r="R293" s="65" t="n"/>
      <c r="S293" s="65" t="n"/>
      <c r="T293" s="65" t="n"/>
      <c r="U293" s="65" t="n"/>
      <c r="V293" s="65" t="n"/>
    </row>
    <row r="294">
      <c r="A294" s="65" t="n"/>
      <c r="B294" s="65" t="n"/>
      <c r="C294" s="65" t="n"/>
      <c r="D294" s="65" t="n"/>
      <c r="E294" s="65" t="n"/>
      <c r="F294" s="65" t="n"/>
      <c r="G294" s="65" t="n"/>
      <c r="H294" s="65" t="inlineStr">
        <is>
          <t>[0774] LIGA PARA FRENOS DOT-4 (1X6)</t>
        </is>
      </c>
      <c r="I294" s="65" t="n">
        <v>774</v>
      </c>
      <c r="J294" s="63" t="inlineStr">
        <is>
          <t>1,00</t>
        </is>
      </c>
      <c r="K294" s="63" t="inlineStr">
        <is>
          <t>40,52</t>
        </is>
      </c>
      <c r="L294" s="63" t="inlineStr">
        <is>
          <t>0,00</t>
        </is>
      </c>
      <c r="M294" s="63" t="inlineStr">
        <is>
          <t>40,52</t>
        </is>
      </c>
      <c r="N294" s="63" t="inlineStr">
        <is>
          <t>47,00</t>
        </is>
      </c>
      <c r="O294" s="65" t="n"/>
      <c r="P294" s="65" t="n"/>
      <c r="Q294" s="65" t="n"/>
      <c r="R294" s="65" t="n"/>
      <c r="S294" s="65" t="n"/>
      <c r="T294" s="65" t="n"/>
      <c r="U294" s="65" t="n"/>
      <c r="V294" s="65" t="n"/>
    </row>
    <row r="295">
      <c r="A295" s="65" t="inlineStr">
        <is>
          <t>S00128</t>
        </is>
      </c>
      <c r="B295" s="62" t="n">
        <v>46214.46861111111</v>
      </c>
      <c r="C295" s="65" t="inlineStr">
        <is>
          <t>Multiservicios Gre-orio2022 c.a</t>
        </is>
      </c>
      <c r="D295" s="65" t="inlineStr">
        <is>
          <t>BETANCOURT ROBRIGUEZ LUIS ENRRIQUE</t>
        </is>
      </c>
      <c r="E295" s="65" t="inlineStr">
        <is>
          <t>15 días</t>
        </is>
      </c>
      <c r="F295" s="65" t="n">
        <v>7</v>
      </c>
      <c r="G295" s="65" t="inlineStr">
        <is>
          <t>Pago USD Marzo</t>
        </is>
      </c>
      <c r="H295" s="65" t="inlineStr">
        <is>
          <t>[0887] MOTOCLASICO 4T SAE 20W-50 (1x12)</t>
        </is>
      </c>
      <c r="I295" s="65" t="n">
        <v>887</v>
      </c>
      <c r="J295" s="63" t="inlineStr">
        <is>
          <t>3,00</t>
        </is>
      </c>
      <c r="K295" s="63" t="inlineStr">
        <is>
          <t>56,90</t>
        </is>
      </c>
      <c r="L295" s="63" t="inlineStr">
        <is>
          <t>0,00</t>
        </is>
      </c>
      <c r="M295" s="63" t="inlineStr">
        <is>
          <t>170,70</t>
        </is>
      </c>
      <c r="N295" s="63" t="inlineStr">
        <is>
          <t>198,01</t>
        </is>
      </c>
      <c r="O295" s="63" t="inlineStr">
        <is>
          <t>170,70</t>
        </is>
      </c>
      <c r="P295" s="63" t="inlineStr">
        <is>
          <t>198,01</t>
        </is>
      </c>
      <c r="Q295" s="63" t="inlineStr">
        <is>
          <t>709,69</t>
        </is>
      </c>
      <c r="R295" s="66" t="n">
        <v>46214</v>
      </c>
      <c r="S295" s="65" t="n">
        <v>263</v>
      </c>
      <c r="T295" s="65" t="inlineStr">
        <is>
          <t>00-00000800</t>
        </is>
      </c>
      <c r="U295" s="63" t="inlineStr">
        <is>
          <t>198,00</t>
        </is>
      </c>
      <c r="V295" s="63" t="inlineStr">
        <is>
          <t>148,01</t>
        </is>
      </c>
    </row>
    <row r="296">
      <c r="A296" s="65" t="inlineStr">
        <is>
          <t>S00127</t>
        </is>
      </c>
      <c r="B296" s="62" t="n">
        <v>46214.46672453704</v>
      </c>
      <c r="C296" s="65" t="inlineStr">
        <is>
          <t>Emprendimiento José Sánchez 203 c.a</t>
        </is>
      </c>
      <c r="D296" s="65" t="inlineStr">
        <is>
          <t>BETANCOURT ROBRIGUEZ LUIS ENRRIQUE</t>
        </is>
      </c>
      <c r="E296" s="65" t="inlineStr">
        <is>
          <t>15 días</t>
        </is>
      </c>
      <c r="F296" s="65" t="n">
        <v>7</v>
      </c>
      <c r="G296" s="65" t="inlineStr">
        <is>
          <t>Pago USD Marzo</t>
        </is>
      </c>
      <c r="H296" s="65" t="inlineStr">
        <is>
          <t>[0603] SINOCO SAE 50 (Tambor)</t>
        </is>
      </c>
      <c r="I296" s="65" t="n">
        <v>603</v>
      </c>
      <c r="J296" s="63" t="inlineStr">
        <is>
          <t>1,00</t>
        </is>
      </c>
      <c r="K296" s="63" t="inlineStr">
        <is>
          <t>547,41</t>
        </is>
      </c>
      <c r="L296" s="63" t="inlineStr">
        <is>
          <t>0,00</t>
        </is>
      </c>
      <c r="M296" s="63" t="inlineStr">
        <is>
          <t>547,41</t>
        </is>
      </c>
      <c r="N296" s="63" t="inlineStr">
        <is>
          <t>635,00</t>
        </is>
      </c>
      <c r="O296" s="63" t="inlineStr">
        <is>
          <t>547,41</t>
        </is>
      </c>
      <c r="P296" s="63" t="inlineStr">
        <is>
          <t>635,00</t>
        </is>
      </c>
      <c r="Q296" s="63" t="inlineStr">
        <is>
          <t>709,69</t>
        </is>
      </c>
      <c r="R296" s="66" t="n">
        <v>46214</v>
      </c>
      <c r="S296" s="65" t="n">
        <v>262</v>
      </c>
      <c r="T296" s="65" t="inlineStr">
        <is>
          <t>00-00000799</t>
        </is>
      </c>
      <c r="U296" s="63" t="inlineStr">
        <is>
          <t>634,99</t>
        </is>
      </c>
      <c r="V296" s="63" t="inlineStr">
        <is>
          <t>200,00</t>
        </is>
      </c>
    </row>
    <row r="297">
      <c r="A297" s="65" t="inlineStr">
        <is>
          <t>S00126</t>
        </is>
      </c>
      <c r="B297" s="62" t="n">
        <v>46214.46364583333</v>
      </c>
      <c r="C297" s="65" t="inlineStr">
        <is>
          <t>Victor Ordaz</t>
        </is>
      </c>
      <c r="D297" s="65" t="inlineStr">
        <is>
          <t>BETANCOURT ROBRIGUEZ LUIS ENRRIQUE</t>
        </is>
      </c>
      <c r="E297" s="65" t="inlineStr">
        <is>
          <t>15 días</t>
        </is>
      </c>
      <c r="F297" s="65" t="n">
        <v>7</v>
      </c>
      <c r="G297" s="65" t="inlineStr">
        <is>
          <t>Pago USD Marzo</t>
        </is>
      </c>
      <c r="H297" s="65" t="inlineStr">
        <is>
          <t>[0603] SINOCO SAE 50 (Tambor)</t>
        </is>
      </c>
      <c r="I297" s="65" t="n">
        <v>603</v>
      </c>
      <c r="J297" s="63" t="inlineStr">
        <is>
          <t>1,00</t>
        </is>
      </c>
      <c r="K297" s="63" t="inlineStr">
        <is>
          <t>547,41</t>
        </is>
      </c>
      <c r="L297" s="63" t="inlineStr">
        <is>
          <t>0,00</t>
        </is>
      </c>
      <c r="M297" s="63" t="inlineStr">
        <is>
          <t>547,41</t>
        </is>
      </c>
      <c r="N297" s="63" t="inlineStr">
        <is>
          <t>635,00</t>
        </is>
      </c>
      <c r="O297" s="63" t="inlineStr">
        <is>
          <t>1.300,87</t>
        </is>
      </c>
      <c r="P297" s="63" t="inlineStr">
        <is>
          <t>1.509,00</t>
        </is>
      </c>
      <c r="Q297" s="63" t="inlineStr">
        <is>
          <t>709,69</t>
        </is>
      </c>
      <c r="R297" s="66" t="n">
        <v>46214</v>
      </c>
      <c r="S297" s="65" t="n">
        <v>261</v>
      </c>
      <c r="T297" s="65" t="inlineStr">
        <is>
          <t>00-00000798</t>
        </is>
      </c>
      <c r="U297" s="63" t="inlineStr">
        <is>
          <t>1.508,98</t>
        </is>
      </c>
      <c r="V297" s="63" t="inlineStr">
        <is>
          <t>249,01</t>
        </is>
      </c>
    </row>
    <row r="298">
      <c r="A298" s="65" t="n"/>
      <c r="B298" s="65" t="n"/>
      <c r="C298" s="65" t="n"/>
      <c r="D298" s="65" t="n"/>
      <c r="E298" s="65" t="n"/>
      <c r="F298" s="65" t="n"/>
      <c r="G298" s="65" t="n"/>
      <c r="H298" s="65" t="inlineStr">
        <is>
          <t>[0602] SINOCO SAE 50 (PAILA)</t>
        </is>
      </c>
      <c r="I298" s="65" t="n">
        <v>602</v>
      </c>
      <c r="J298" s="63" t="inlineStr">
        <is>
          <t>3,00</t>
        </is>
      </c>
      <c r="K298" s="63" t="inlineStr">
        <is>
          <t>57,76</t>
        </is>
      </c>
      <c r="L298" s="63" t="inlineStr">
        <is>
          <t>0,00</t>
        </is>
      </c>
      <c r="M298" s="63" t="inlineStr">
        <is>
          <t>173,28</t>
        </is>
      </c>
      <c r="N298" s="63" t="inlineStr">
        <is>
          <t>201,00</t>
        </is>
      </c>
      <c r="O298" s="65" t="n"/>
      <c r="P298" s="65" t="n"/>
      <c r="Q298" s="65" t="n"/>
      <c r="R298" s="65" t="n"/>
      <c r="S298" s="65" t="n"/>
      <c r="T298" s="65" t="n"/>
      <c r="U298" s="65" t="n"/>
      <c r="V298" s="65" t="n"/>
    </row>
    <row r="299">
      <c r="A299" s="65" t="n"/>
      <c r="B299" s="65" t="n"/>
      <c r="C299" s="65" t="n"/>
      <c r="D299" s="65" t="n"/>
      <c r="E299" s="65" t="n"/>
      <c r="F299" s="65" t="n"/>
      <c r="G299" s="65" t="n"/>
      <c r="H299" s="65" t="inlineStr">
        <is>
          <t>[0915] SINOCO SAE 50 (1x12)</t>
        </is>
      </c>
      <c r="I299" s="65" t="n">
        <v>915</v>
      </c>
      <c r="J299" s="63" t="inlineStr">
        <is>
          <t>3,00</t>
        </is>
      </c>
      <c r="K299" s="63" t="inlineStr">
        <is>
          <t>41,38</t>
        </is>
      </c>
      <c r="L299" s="63" t="inlineStr">
        <is>
          <t>0,00</t>
        </is>
      </c>
      <c r="M299" s="63" t="inlineStr">
        <is>
          <t>124,14</t>
        </is>
      </c>
      <c r="N299" s="63" t="inlineStr">
        <is>
          <t>144,00</t>
        </is>
      </c>
      <c r="O299" s="65" t="n"/>
      <c r="P299" s="65" t="n"/>
      <c r="Q299" s="65" t="n"/>
      <c r="R299" s="65" t="n"/>
      <c r="S299" s="65" t="n"/>
      <c r="T299" s="65" t="n"/>
      <c r="U299" s="65" t="n"/>
      <c r="V299" s="65" t="n"/>
    </row>
    <row r="300">
      <c r="A300" s="65" t="n"/>
      <c r="B300" s="65" t="n"/>
      <c r="C300" s="65" t="n"/>
      <c r="D300" s="65" t="n"/>
      <c r="E300" s="65" t="n"/>
      <c r="F300" s="65" t="n"/>
      <c r="G300" s="65" t="n"/>
      <c r="H300" s="65" t="inlineStr">
        <is>
          <t>[0880] CLASICO API SL SAE 15W-40 (1x12)</t>
        </is>
      </c>
      <c r="I300" s="65" t="n">
        <v>880</v>
      </c>
      <c r="J300" s="63" t="inlineStr">
        <is>
          <t>2,00</t>
        </is>
      </c>
      <c r="K300" s="63" t="inlineStr">
        <is>
          <t>53,45</t>
        </is>
      </c>
      <c r="L300" s="63" t="inlineStr">
        <is>
          <t>0,00</t>
        </is>
      </c>
      <c r="M300" s="63" t="inlineStr">
        <is>
          <t>106,90</t>
        </is>
      </c>
      <c r="N300" s="63" t="inlineStr">
        <is>
          <t>124,00</t>
        </is>
      </c>
      <c r="O300" s="65" t="n"/>
      <c r="P300" s="65" t="n"/>
      <c r="Q300" s="65" t="n"/>
      <c r="R300" s="65" t="n"/>
      <c r="S300" s="65" t="n"/>
      <c r="T300" s="65" t="n"/>
      <c r="U300" s="65" t="n"/>
      <c r="V300" s="65" t="n"/>
    </row>
    <row r="301">
      <c r="A301" s="65" t="n"/>
      <c r="B301" s="65" t="n"/>
      <c r="C301" s="65" t="n"/>
      <c r="D301" s="65" t="n"/>
      <c r="E301" s="65" t="n"/>
      <c r="F301" s="65" t="n"/>
      <c r="G301" s="65" t="n"/>
      <c r="H301" s="65" t="inlineStr">
        <is>
          <t>[0881] CLASICO API SL SAE 20W-50 (1x12)</t>
        </is>
      </c>
      <c r="I301" s="65" t="n">
        <v>881</v>
      </c>
      <c r="J301" s="63" t="inlineStr">
        <is>
          <t>3,00</t>
        </is>
      </c>
      <c r="K301" s="63" t="inlineStr">
        <is>
          <t>54,31</t>
        </is>
      </c>
      <c r="L301" s="63" t="inlineStr">
        <is>
          <t>0,00</t>
        </is>
      </c>
      <c r="M301" s="63" t="inlineStr">
        <is>
          <t>162,93</t>
        </is>
      </c>
      <c r="N301" s="63" t="inlineStr">
        <is>
          <t>189,00</t>
        </is>
      </c>
      <c r="O301" s="65" t="n"/>
      <c r="P301" s="65" t="n"/>
      <c r="Q301" s="65" t="n"/>
      <c r="R301" s="65" t="n"/>
      <c r="S301" s="65" t="n"/>
      <c r="T301" s="65" t="n"/>
      <c r="U301" s="65" t="n"/>
      <c r="V301" s="65" t="n"/>
    </row>
    <row r="302">
      <c r="A302" s="65" t="n"/>
      <c r="B302" s="65" t="n"/>
      <c r="C302" s="65" t="n"/>
      <c r="D302" s="65" t="n"/>
      <c r="E302" s="65" t="n"/>
      <c r="F302" s="65" t="n"/>
      <c r="G302" s="65" t="n"/>
      <c r="H302" s="65" t="inlineStr">
        <is>
          <t>[0877] SS EXTRA PROTECCION API SN SAE 15W-40 (1X12)</t>
        </is>
      </c>
      <c r="I302" s="65" t="n">
        <v>877</v>
      </c>
      <c r="J302" s="63" t="inlineStr">
        <is>
          <t>3,00</t>
        </is>
      </c>
      <c r="K302" s="63" t="inlineStr">
        <is>
          <t>62,07</t>
        </is>
      </c>
      <c r="L302" s="63" t="inlineStr">
        <is>
          <t>0,00</t>
        </is>
      </c>
      <c r="M302" s="63" t="inlineStr">
        <is>
          <t>186,21</t>
        </is>
      </c>
      <c r="N302" s="63" t="inlineStr">
        <is>
          <t>216,00</t>
        </is>
      </c>
      <c r="O302" s="65" t="n"/>
      <c r="P302" s="65" t="n"/>
      <c r="Q302" s="65" t="n"/>
      <c r="R302" s="65" t="n"/>
      <c r="S302" s="65" t="n"/>
      <c r="T302" s="65" t="n"/>
      <c r="U302" s="65" t="n"/>
      <c r="V302" s="65" t="n"/>
    </row>
    <row r="303">
      <c r="A303" s="65" t="inlineStr">
        <is>
          <t>S00124</t>
        </is>
      </c>
      <c r="B303" s="62" t="n">
        <v>46214.46282407407</v>
      </c>
      <c r="C303" s="65" t="inlineStr">
        <is>
          <t>M.L.P Repuestos y Otros, C.A</t>
        </is>
      </c>
      <c r="D303" s="65" t="inlineStr">
        <is>
          <t>MARTINEZ MONTES JEFFREY ENRIQUE</t>
        </is>
      </c>
      <c r="E303" s="65" t="inlineStr">
        <is>
          <t>15 días</t>
        </is>
      </c>
      <c r="F303" s="65" t="n">
        <v>7</v>
      </c>
      <c r="G303" s="65" t="inlineStr">
        <is>
          <t>Pago USD Marzo</t>
        </is>
      </c>
      <c r="H303" s="65" t="inlineStr">
        <is>
          <t>[0877] SS EXTRA PROTECCION API SN SAE 15W-40 (1X12)</t>
        </is>
      </c>
      <c r="I303" s="65" t="n">
        <v>877</v>
      </c>
      <c r="J303" s="63" t="inlineStr">
        <is>
          <t>30,00</t>
        </is>
      </c>
      <c r="K303" s="63" t="inlineStr">
        <is>
          <t>62,07</t>
        </is>
      </c>
      <c r="L303" s="63" t="inlineStr">
        <is>
          <t>0,00</t>
        </is>
      </c>
      <c r="M303" s="63" t="inlineStr">
        <is>
          <t>1.862,10</t>
        </is>
      </c>
      <c r="N303" s="63" t="inlineStr">
        <is>
          <t>2.160,04</t>
        </is>
      </c>
      <c r="O303" s="63" t="inlineStr">
        <is>
          <t>2.675,87</t>
        </is>
      </c>
      <c r="P303" s="63" t="inlineStr">
        <is>
          <t>3.104,02</t>
        </is>
      </c>
      <c r="Q303" s="65" t="n"/>
      <c r="R303" s="65" t="n"/>
      <c r="S303" s="65" t="n"/>
      <c r="T303" s="65" t="n"/>
      <c r="U303" s="65" t="n"/>
      <c r="V303" s="65" t="n"/>
    </row>
    <row r="304">
      <c r="A304" s="65" t="n"/>
      <c r="B304" s="65" t="n"/>
      <c r="C304" s="65" t="n"/>
      <c r="D304" s="65" t="n"/>
      <c r="E304" s="65" t="n"/>
      <c r="F304" s="65" t="n"/>
      <c r="G304" s="65" t="n"/>
      <c r="H304" s="65" t="inlineStr">
        <is>
          <t>[0013] ELITE API SN SAE 5W-30 (1x6)</t>
        </is>
      </c>
      <c r="I304" s="65" t="n">
        <v>13</v>
      </c>
      <c r="J304" s="63" t="inlineStr">
        <is>
          <t>3,00</t>
        </is>
      </c>
      <c r="K304" s="63" t="inlineStr">
        <is>
          <t>42,24</t>
        </is>
      </c>
      <c r="L304" s="63" t="inlineStr">
        <is>
          <t>0,00</t>
        </is>
      </c>
      <c r="M304" s="63" t="inlineStr">
        <is>
          <t>126,72</t>
        </is>
      </c>
      <c r="N304" s="63" t="inlineStr">
        <is>
          <t>147,00</t>
        </is>
      </c>
      <c r="O304" s="65" t="n"/>
      <c r="P304" s="65" t="n"/>
      <c r="Q304" s="65" t="n"/>
      <c r="R304" s="65" t="n"/>
      <c r="S304" s="65" t="n"/>
      <c r="T304" s="65" t="n"/>
      <c r="U304" s="65" t="n"/>
      <c r="V304" s="65" t="n"/>
    </row>
    <row r="305">
      <c r="A305" s="65" t="n"/>
      <c r="B305" s="65" t="n"/>
      <c r="C305" s="65" t="n"/>
      <c r="D305" s="65" t="n"/>
      <c r="E305" s="65" t="n"/>
      <c r="F305" s="65" t="n"/>
      <c r="G305" s="65" t="n"/>
      <c r="H305" s="65" t="inlineStr">
        <is>
          <t>[0880] CLASICO API SL SAE 15W-40 (1x12)</t>
        </is>
      </c>
      <c r="I305" s="65" t="n">
        <v>880</v>
      </c>
      <c r="J305" s="63" t="inlineStr">
        <is>
          <t>4,00</t>
        </is>
      </c>
      <c r="K305" s="63" t="inlineStr">
        <is>
          <t>53,45</t>
        </is>
      </c>
      <c r="L305" s="63" t="inlineStr">
        <is>
          <t>0,00</t>
        </is>
      </c>
      <c r="M305" s="63" t="inlineStr">
        <is>
          <t>213,80</t>
        </is>
      </c>
      <c r="N305" s="63" t="inlineStr">
        <is>
          <t>248,01</t>
        </is>
      </c>
      <c r="O305" s="65" t="n"/>
      <c r="P305" s="65" t="n"/>
      <c r="Q305" s="65" t="n"/>
      <c r="R305" s="65" t="n"/>
      <c r="S305" s="65" t="n"/>
      <c r="T305" s="65" t="n"/>
      <c r="U305" s="65" t="n"/>
      <c r="V305" s="65" t="n"/>
    </row>
    <row r="306">
      <c r="A306" s="65" t="n"/>
      <c r="B306" s="65" t="n"/>
      <c r="C306" s="65" t="n"/>
      <c r="D306" s="65" t="n"/>
      <c r="E306" s="65" t="n"/>
      <c r="F306" s="65" t="n"/>
      <c r="G306" s="65" t="n"/>
      <c r="H306" s="65" t="inlineStr">
        <is>
          <t>[0881] CLASICO API SL SAE 20W-50 (1x12)</t>
        </is>
      </c>
      <c r="I306" s="65" t="n">
        <v>881</v>
      </c>
      <c r="J306" s="63" t="inlineStr">
        <is>
          <t>2,00</t>
        </is>
      </c>
      <c r="K306" s="63" t="inlineStr">
        <is>
          <t>54,31</t>
        </is>
      </c>
      <c r="L306" s="63" t="inlineStr">
        <is>
          <t>0,00</t>
        </is>
      </c>
      <c r="M306" s="63" t="inlineStr">
        <is>
          <t>108,62</t>
        </is>
      </c>
      <c r="N306" s="63" t="inlineStr">
        <is>
          <t>126,00</t>
        </is>
      </c>
      <c r="O306" s="65" t="n"/>
      <c r="P306" s="65" t="n"/>
      <c r="Q306" s="65" t="n"/>
      <c r="R306" s="65" t="n"/>
      <c r="S306" s="65" t="n"/>
      <c r="T306" s="65" t="n"/>
      <c r="U306" s="65" t="n"/>
      <c r="V306" s="65" t="n"/>
    </row>
    <row r="307">
      <c r="A307" s="65" t="n"/>
      <c r="B307" s="65" t="n"/>
      <c r="C307" s="65" t="n"/>
      <c r="D307" s="65" t="n"/>
      <c r="E307" s="65" t="n"/>
      <c r="F307" s="65" t="n"/>
      <c r="G307" s="65" t="n"/>
      <c r="H307" s="65" t="inlineStr">
        <is>
          <t>[0795] REFRIGERANTE GLOBAL ORANGE PREMIUM 50-50 CONCENTRADO (1x3)</t>
        </is>
      </c>
      <c r="I307" s="65" t="n">
        <v>795</v>
      </c>
      <c r="J307" s="63" t="inlineStr">
        <is>
          <t>4,00</t>
        </is>
      </c>
      <c r="K307" s="63" t="inlineStr">
        <is>
          <t>29,31</t>
        </is>
      </c>
      <c r="L307" s="63" t="inlineStr">
        <is>
          <t>0,00</t>
        </is>
      </c>
      <c r="M307" s="63" t="inlineStr">
        <is>
          <t>117,24</t>
        </is>
      </c>
      <c r="N307" s="63" t="inlineStr">
        <is>
          <t>136,00</t>
        </is>
      </c>
      <c r="O307" s="65" t="n"/>
      <c r="P307" s="65" t="n"/>
      <c r="Q307" s="65" t="n"/>
      <c r="R307" s="65" t="n"/>
      <c r="S307" s="65" t="n"/>
      <c r="T307" s="65" t="n"/>
      <c r="U307" s="65" t="n"/>
      <c r="V307" s="65" t="n"/>
    </row>
    <row r="308">
      <c r="A308" s="65" t="n"/>
      <c r="B308" s="65" t="n"/>
      <c r="C308" s="65" t="n"/>
      <c r="D308" s="65" t="n"/>
      <c r="E308" s="65" t="n"/>
      <c r="F308" s="65" t="n"/>
      <c r="G308" s="65" t="n"/>
      <c r="H308" s="65" t="inlineStr">
        <is>
          <t>[0886] TRANSMATIC DEXRON VI (1x12)</t>
        </is>
      </c>
      <c r="I308" s="65" t="n">
        <v>886</v>
      </c>
      <c r="J308" s="63" t="inlineStr">
        <is>
          <t>1,00</t>
        </is>
      </c>
      <c r="K308" s="63" t="inlineStr">
        <is>
          <t>92,24</t>
        </is>
      </c>
      <c r="L308" s="63" t="inlineStr">
        <is>
          <t>0,00</t>
        </is>
      </c>
      <c r="M308" s="63" t="inlineStr">
        <is>
          <t>92,24</t>
        </is>
      </c>
      <c r="N308" s="63" t="inlineStr">
        <is>
          <t>107,00</t>
        </is>
      </c>
      <c r="O308" s="65" t="n"/>
      <c r="P308" s="65" t="n"/>
      <c r="Q308" s="65" t="n"/>
      <c r="R308" s="65" t="n"/>
      <c r="S308" s="65" t="n"/>
      <c r="T308" s="65" t="n"/>
      <c r="U308" s="65" t="n"/>
      <c r="V308" s="65" t="n"/>
    </row>
    <row r="309">
      <c r="A309" s="65" t="n"/>
      <c r="B309" s="65" t="n"/>
      <c r="C309" s="65" t="n"/>
      <c r="D309" s="65" t="n"/>
      <c r="E309" s="65" t="n"/>
      <c r="F309" s="65" t="n"/>
      <c r="G309" s="65" t="n"/>
      <c r="H309" s="65" t="inlineStr">
        <is>
          <t>[0025] SS EXTRA PROTECCION API SN SAE 10W-30 (Gasolina) (1x6)</t>
        </is>
      </c>
      <c r="I309" s="65" t="n">
        <v>25</v>
      </c>
      <c r="J309" s="63" t="inlineStr">
        <is>
          <t>5,00</t>
        </is>
      </c>
      <c r="K309" s="63" t="inlineStr">
        <is>
          <t>31,03</t>
        </is>
      </c>
      <c r="L309" s="63" t="inlineStr">
        <is>
          <t>0,00</t>
        </is>
      </c>
      <c r="M309" s="63" t="inlineStr">
        <is>
          <t>155,15</t>
        </is>
      </c>
      <c r="N309" s="63" t="inlineStr">
        <is>
          <t>179,97</t>
        </is>
      </c>
      <c r="O309" s="65" t="n"/>
      <c r="P309" s="65" t="n"/>
      <c r="Q309" s="65" t="n"/>
      <c r="R309" s="65" t="n"/>
      <c r="S309" s="65" t="n"/>
      <c r="T309" s="65" t="n"/>
      <c r="U309" s="65" t="n"/>
      <c r="V309" s="65" t="n"/>
    </row>
    <row r="310">
      <c r="A310" s="65" t="inlineStr">
        <is>
          <t>S00123</t>
        </is>
      </c>
      <c r="B310" s="62" t="n">
        <v>46214.45972222222</v>
      </c>
      <c r="C310" s="65" t="inlineStr">
        <is>
          <t>Ramon Alvarez Mota</t>
        </is>
      </c>
      <c r="D310" s="65" t="inlineStr">
        <is>
          <t>MARTINEZ MONTES JEFFREY ENRIQUE</t>
        </is>
      </c>
      <c r="E310" s="65" t="inlineStr">
        <is>
          <t>15 días</t>
        </is>
      </c>
      <c r="F310" s="65" t="n">
        <v>7</v>
      </c>
      <c r="G310" s="65" t="inlineStr">
        <is>
          <t>Pago USD Marzo</t>
        </is>
      </c>
      <c r="H310" s="65" t="inlineStr">
        <is>
          <t>[0761] LIGA PARA FRENOS DOT-3 (1x12)</t>
        </is>
      </c>
      <c r="I310" s="65" t="n">
        <v>761</v>
      </c>
      <c r="J310" s="63" t="inlineStr">
        <is>
          <t>1,00</t>
        </is>
      </c>
      <c r="K310" s="63" t="inlineStr">
        <is>
          <t>25,00</t>
        </is>
      </c>
      <c r="L310" s="63" t="inlineStr">
        <is>
          <t>0,00</t>
        </is>
      </c>
      <c r="M310" s="63" t="inlineStr">
        <is>
          <t>25,00</t>
        </is>
      </c>
      <c r="N310" s="63" t="inlineStr">
        <is>
          <t>29,00</t>
        </is>
      </c>
      <c r="O310" s="63" t="inlineStr">
        <is>
          <t>65,52</t>
        </is>
      </c>
      <c r="P310" s="63" t="inlineStr">
        <is>
          <t>76,00</t>
        </is>
      </c>
      <c r="Q310" s="63" t="inlineStr">
        <is>
          <t>709,69</t>
        </is>
      </c>
      <c r="R310" s="66" t="n">
        <v>46214</v>
      </c>
      <c r="S310" s="65" t="n">
        <v>260</v>
      </c>
      <c r="T310" s="65" t="inlineStr">
        <is>
          <t>00-00000797</t>
        </is>
      </c>
      <c r="U310" s="63" t="inlineStr">
        <is>
          <t>75,99</t>
        </is>
      </c>
      <c r="V310" s="63" t="inlineStr">
        <is>
          <t>0,00</t>
        </is>
      </c>
    </row>
    <row r="311">
      <c r="A311" s="65" t="n"/>
      <c r="B311" s="65" t="n"/>
      <c r="C311" s="65" t="n"/>
      <c r="D311" s="65" t="n"/>
      <c r="E311" s="65" t="n"/>
      <c r="F311" s="65" t="n"/>
      <c r="G311" s="65" t="n"/>
      <c r="H311" s="65" t="inlineStr">
        <is>
          <t>[0774] LIGA PARA FRENOS DOT-4 (1X6)</t>
        </is>
      </c>
      <c r="I311" s="65" t="n">
        <v>774</v>
      </c>
      <c r="J311" s="63" t="inlineStr">
        <is>
          <t>1,00</t>
        </is>
      </c>
      <c r="K311" s="63" t="inlineStr">
        <is>
          <t>40,52</t>
        </is>
      </c>
      <c r="L311" s="63" t="inlineStr">
        <is>
          <t>0,00</t>
        </is>
      </c>
      <c r="M311" s="63" t="inlineStr">
        <is>
          <t>40,52</t>
        </is>
      </c>
      <c r="N311" s="63" t="inlineStr">
        <is>
          <t>47,00</t>
        </is>
      </c>
      <c r="O311" s="65" t="n"/>
      <c r="P311" s="65" t="n"/>
      <c r="Q311" s="65" t="n"/>
      <c r="R311" s="65" t="n"/>
      <c r="S311" s="65" t="n"/>
      <c r="T311" s="65" t="n"/>
      <c r="U311" s="65" t="n"/>
      <c r="V311" s="65" t="n"/>
    </row>
    <row r="312">
      <c r="A312" s="65" t="inlineStr">
        <is>
          <t>S00122</t>
        </is>
      </c>
      <c r="B312" s="62" t="n">
        <v>46214.451875</v>
      </c>
      <c r="C312" s="65" t="inlineStr">
        <is>
          <t>Emprendimiento Tomas Paz</t>
        </is>
      </c>
      <c r="D312" s="65" t="inlineStr">
        <is>
          <t>MARTINEZ MONTES JEFFREY ENRIQUE</t>
        </is>
      </c>
      <c r="E312" s="65" t="inlineStr">
        <is>
          <t>15 días</t>
        </is>
      </c>
      <c r="F312" s="65" t="n">
        <v>7</v>
      </c>
      <c r="G312" s="65" t="inlineStr">
        <is>
          <t>Pago USD Marzo</t>
        </is>
      </c>
      <c r="H312" s="65" t="inlineStr">
        <is>
          <t>[0779] SINOCO SAE 20W-50 (1x12)</t>
        </is>
      </c>
      <c r="I312" s="65" t="n">
        <v>779</v>
      </c>
      <c r="J312" s="63" t="inlineStr">
        <is>
          <t>1,00</t>
        </is>
      </c>
      <c r="K312" s="63" t="inlineStr">
        <is>
          <t>70,29</t>
        </is>
      </c>
      <c r="L312" s="63" t="inlineStr">
        <is>
          <t>11,70</t>
        </is>
      </c>
      <c r="M312" s="63" t="inlineStr">
        <is>
          <t>62,07</t>
        </is>
      </c>
      <c r="N312" s="63" t="inlineStr">
        <is>
          <t>72,00</t>
        </is>
      </c>
      <c r="O312" s="63" t="inlineStr">
        <is>
          <t>62,07</t>
        </is>
      </c>
      <c r="P312" s="63" t="inlineStr">
        <is>
          <t>72,00</t>
        </is>
      </c>
      <c r="Q312" s="63" t="inlineStr">
        <is>
          <t>709,69</t>
        </is>
      </c>
      <c r="R312" s="66" t="n">
        <v>46214</v>
      </c>
      <c r="S312" s="65" t="n">
        <v>259</v>
      </c>
      <c r="T312" s="65" t="inlineStr">
        <is>
          <t>00-00000796</t>
        </is>
      </c>
      <c r="U312" s="63" t="inlineStr">
        <is>
          <t>71,99</t>
        </is>
      </c>
      <c r="V312" s="63" t="inlineStr">
        <is>
          <t>0,00</t>
        </is>
      </c>
    </row>
    <row r="313">
      <c r="A313" s="65" t="inlineStr">
        <is>
          <t>S00666</t>
        </is>
      </c>
      <c r="B313" s="62" t="n">
        <v>46213.7427662037</v>
      </c>
      <c r="C313" s="65" t="inlineStr">
        <is>
          <t>Inversiones maxgad &amp; ef</t>
        </is>
      </c>
      <c r="D313" s="65" t="inlineStr">
        <is>
          <t>PEREZ DIAZ ANGEL DE DIOS</t>
        </is>
      </c>
      <c r="E313" s="65" t="inlineStr">
        <is>
          <t>7 días</t>
        </is>
      </c>
      <c r="F313" s="65" t="n">
        <v>5</v>
      </c>
      <c r="G313" s="65" t="inlineStr">
        <is>
          <t>Pago VES</t>
        </is>
      </c>
      <c r="H313" s="65" t="inlineStr">
        <is>
          <t>[0880] CLASICO API SL SAE 15W-40 (1x12)</t>
        </is>
      </c>
      <c r="I313" s="65" t="n">
        <v>880</v>
      </c>
      <c r="J313" s="63" t="inlineStr">
        <is>
          <t>1,00</t>
        </is>
      </c>
      <c r="K313" s="63" t="inlineStr">
        <is>
          <t>86,21</t>
        </is>
      </c>
      <c r="L313" s="63" t="inlineStr">
        <is>
          <t>0,00</t>
        </is>
      </c>
      <c r="M313" s="63" t="inlineStr">
        <is>
          <t>86,21</t>
        </is>
      </c>
      <c r="N313" s="63" t="inlineStr">
        <is>
          <t>100,00</t>
        </is>
      </c>
      <c r="O313" s="63" t="inlineStr">
        <is>
          <t>185,68</t>
        </is>
      </c>
      <c r="P313" s="63" t="inlineStr">
        <is>
          <t>215,39</t>
        </is>
      </c>
      <c r="Q313" s="63" t="inlineStr">
        <is>
          <t>724,00</t>
        </is>
      </c>
      <c r="R313" s="66" t="n">
        <v>46217</v>
      </c>
      <c r="S313" s="65" t="n">
        <v>502</v>
      </c>
      <c r="T313" s="65" t="inlineStr">
        <is>
          <t>00-00001046</t>
        </is>
      </c>
      <c r="U313" s="63" t="inlineStr">
        <is>
          <t>215,36</t>
        </is>
      </c>
      <c r="V313" s="63" t="inlineStr">
        <is>
          <t>215,39</t>
        </is>
      </c>
    </row>
    <row r="314">
      <c r="A314" s="65" t="n"/>
      <c r="B314" s="65" t="n"/>
      <c r="C314" s="65" t="n"/>
      <c r="D314" s="65" t="n"/>
      <c r="E314" s="65" t="n"/>
      <c r="F314" s="65" t="n"/>
      <c r="G314" s="65" t="n"/>
      <c r="H314" s="65" t="inlineStr">
        <is>
          <t>[0888] ENDUROGLOB 2T AIRE (1x12)</t>
        </is>
      </c>
      <c r="I314" s="65" t="n">
        <v>888</v>
      </c>
      <c r="J314" s="63" t="inlineStr">
        <is>
          <t>1,00</t>
        </is>
      </c>
      <c r="K314" s="63" t="inlineStr">
        <is>
          <t>99,47</t>
        </is>
      </c>
      <c r="L314" s="63" t="inlineStr">
        <is>
          <t>0,00</t>
        </is>
      </c>
      <c r="M314" s="63" t="inlineStr">
        <is>
          <t>99,47</t>
        </is>
      </c>
      <c r="N314" s="63" t="inlineStr">
        <is>
          <t>115,39</t>
        </is>
      </c>
      <c r="O314" s="65" t="n"/>
      <c r="P314" s="65" t="n"/>
      <c r="Q314" s="65" t="n"/>
      <c r="R314" s="65" t="n"/>
      <c r="S314" s="65" t="n"/>
      <c r="T314" s="65" t="n"/>
      <c r="U314" s="65" t="n"/>
      <c r="V314" s="65" t="n"/>
    </row>
    <row r="315">
      <c r="A315" s="65" t="inlineStr">
        <is>
          <t>S00667</t>
        </is>
      </c>
      <c r="B315" s="62" t="n">
        <v>46213.74260416667</v>
      </c>
      <c r="C315" s="65" t="inlineStr">
        <is>
          <t>Emprendimiento Jorge camacaro 8</t>
        </is>
      </c>
      <c r="D315" s="65" t="inlineStr">
        <is>
          <t>PEREZ DIAZ ANGEL DE DIOS</t>
        </is>
      </c>
      <c r="E315" s="65" t="inlineStr">
        <is>
          <t>30 días</t>
        </is>
      </c>
      <c r="F315" s="65" t="n">
        <v>5</v>
      </c>
      <c r="G315" s="65" t="inlineStr">
        <is>
          <t>Pago VES</t>
        </is>
      </c>
      <c r="H315" s="65" t="inlineStr">
        <is>
          <t>[0093] ALTA CILINDRADA SS API SN SAE 15W-40 (1x6)</t>
        </is>
      </c>
      <c r="I315" s="65" t="n">
        <v>93</v>
      </c>
      <c r="J315" s="63" t="inlineStr">
        <is>
          <t>1,00</t>
        </is>
      </c>
      <c r="K315" s="63" t="inlineStr">
        <is>
          <t>46,42</t>
        </is>
      </c>
      <c r="L315" s="63" t="inlineStr">
        <is>
          <t>0,00</t>
        </is>
      </c>
      <c r="M315" s="63" t="inlineStr">
        <is>
          <t>46,42</t>
        </is>
      </c>
      <c r="N315" s="63" t="inlineStr">
        <is>
          <t>53,85</t>
        </is>
      </c>
      <c r="O315" s="63" t="inlineStr">
        <is>
          <t>242,71</t>
        </is>
      </c>
      <c r="P315" s="63" t="inlineStr">
        <is>
          <t>281,55</t>
        </is>
      </c>
      <c r="Q315" s="63" t="inlineStr">
        <is>
          <t>724,00</t>
        </is>
      </c>
      <c r="R315" s="66" t="n">
        <v>46217</v>
      </c>
      <c r="S315" s="65" t="n">
        <v>503</v>
      </c>
      <c r="T315" s="65" t="inlineStr">
        <is>
          <t>00-00001047</t>
        </is>
      </c>
      <c r="U315" s="63" t="inlineStr">
        <is>
          <t>281,52</t>
        </is>
      </c>
      <c r="V315" s="63" t="inlineStr">
        <is>
          <t>281,54</t>
        </is>
      </c>
    </row>
    <row r="316">
      <c r="A316" s="65" t="n"/>
      <c r="B316" s="65" t="n"/>
      <c r="C316" s="65" t="n"/>
      <c r="D316" s="65" t="n"/>
      <c r="E316" s="65" t="n"/>
      <c r="F316" s="65" t="n"/>
      <c r="G316" s="65" t="n"/>
      <c r="H316" s="65" t="inlineStr">
        <is>
          <t>[0887] MOTOCLASICO 4T SAE 20W-50 (1x12)</t>
        </is>
      </c>
      <c r="I316" s="65" t="n">
        <v>887</v>
      </c>
      <c r="J316" s="63" t="inlineStr">
        <is>
          <t>1,00</t>
        </is>
      </c>
      <c r="K316" s="63" t="inlineStr">
        <is>
          <t>90,19</t>
        </is>
      </c>
      <c r="L316" s="63" t="inlineStr">
        <is>
          <t>0,00</t>
        </is>
      </c>
      <c r="M316" s="63" t="inlineStr">
        <is>
          <t>90,19</t>
        </is>
      </c>
      <c r="N316" s="63" t="inlineStr">
        <is>
          <t>104,62</t>
        </is>
      </c>
      <c r="O316" s="65" t="n"/>
      <c r="P316" s="65" t="n"/>
      <c r="Q316" s="65" t="n"/>
      <c r="R316" s="65" t="n"/>
      <c r="S316" s="65" t="n"/>
      <c r="T316" s="65" t="n"/>
      <c r="U316" s="65" t="n"/>
      <c r="V316" s="65" t="n"/>
    </row>
    <row r="317">
      <c r="A317" s="65" t="n"/>
      <c r="B317" s="65" t="n"/>
      <c r="C317" s="65" t="n"/>
      <c r="D317" s="65" t="n"/>
      <c r="E317" s="65" t="n"/>
      <c r="F317" s="65" t="n"/>
      <c r="G317" s="65" t="n"/>
      <c r="H317" s="65" t="inlineStr">
        <is>
          <t>[0779] SINOCO SAE 20W-50 (1x12)</t>
        </is>
      </c>
      <c r="I317" s="65" t="n">
        <v>779</v>
      </c>
      <c r="J317" s="63" t="inlineStr">
        <is>
          <t>1,00</t>
        </is>
      </c>
      <c r="K317" s="63" t="inlineStr">
        <is>
          <t>70,29</t>
        </is>
      </c>
      <c r="L317" s="63" t="inlineStr">
        <is>
          <t>0,00</t>
        </is>
      </c>
      <c r="M317" s="63" t="inlineStr">
        <is>
          <t>70,29</t>
        </is>
      </c>
      <c r="N317" s="63" t="inlineStr">
        <is>
          <t>81,54</t>
        </is>
      </c>
      <c r="O317" s="65" t="n"/>
      <c r="P317" s="65" t="n"/>
      <c r="Q317" s="65" t="n"/>
      <c r="R317" s="65" t="n"/>
      <c r="S317" s="65" t="n"/>
      <c r="T317" s="65" t="n"/>
      <c r="U317" s="65" t="n"/>
      <c r="V317" s="65" t="n"/>
    </row>
    <row r="318">
      <c r="A318" s="65" t="n"/>
      <c r="B318" s="65" t="n"/>
      <c r="C318" s="65" t="n"/>
      <c r="D318" s="65" t="n"/>
      <c r="E318" s="65" t="n"/>
      <c r="F318" s="65" t="n"/>
      <c r="G318" s="65" t="n"/>
      <c r="H318" s="65" t="inlineStr">
        <is>
          <t>[0761] LIGA PARA FRENOS DOT-3 (1x12)</t>
        </is>
      </c>
      <c r="I318" s="65" t="n">
        <v>761</v>
      </c>
      <c r="J318" s="63" t="inlineStr">
        <is>
          <t>1,00</t>
        </is>
      </c>
      <c r="K318" s="63" t="inlineStr">
        <is>
          <t>35,81</t>
        </is>
      </c>
      <c r="L318" s="63" t="inlineStr">
        <is>
          <t>0,00</t>
        </is>
      </c>
      <c r="M318" s="63" t="inlineStr">
        <is>
          <t>35,81</t>
        </is>
      </c>
      <c r="N318" s="63" t="inlineStr">
        <is>
          <t>41,54</t>
        </is>
      </c>
      <c r="O318" s="65" t="n"/>
      <c r="P318" s="65" t="n"/>
      <c r="Q318" s="65" t="n"/>
      <c r="R318" s="65" t="n"/>
      <c r="S318" s="65" t="n"/>
      <c r="T318" s="65" t="n"/>
      <c r="U318" s="65" t="n"/>
      <c r="V318" s="65" t="n"/>
    </row>
    <row r="319">
      <c r="A319" s="65" t="inlineStr">
        <is>
          <t>S00668</t>
        </is>
      </c>
      <c r="B319" s="62" t="n">
        <v>46213.7425</v>
      </c>
      <c r="C319" s="65" t="inlineStr">
        <is>
          <t>Auto Partes Y Repuestos Encava Express,c.a.</t>
        </is>
      </c>
      <c r="D319" s="65" t="inlineStr">
        <is>
          <t>QUEVEDO BASTIDAS NEYKEL DAVID</t>
        </is>
      </c>
      <c r="E319" s="65" t="inlineStr">
        <is>
          <t>7 días</t>
        </is>
      </c>
      <c r="F319" s="65" t="n">
        <v>5</v>
      </c>
      <c r="G319" s="65" t="inlineStr">
        <is>
          <t>Pago VES</t>
        </is>
      </c>
      <c r="H319" s="65" t="inlineStr">
        <is>
          <t>[0884] TRANSMATIC ATF DEXRON III (1x12)</t>
        </is>
      </c>
      <c r="I319" s="65" t="n">
        <v>884</v>
      </c>
      <c r="J319" s="63" t="inlineStr">
        <is>
          <t>1,00</t>
        </is>
      </c>
      <c r="K319" s="63" t="inlineStr">
        <is>
          <t>95,49</t>
        </is>
      </c>
      <c r="L319" s="63" t="inlineStr">
        <is>
          <t>0,00</t>
        </is>
      </c>
      <c r="M319" s="63" t="inlineStr">
        <is>
          <t>95,49</t>
        </is>
      </c>
      <c r="N319" s="63" t="inlineStr">
        <is>
          <t>110,77</t>
        </is>
      </c>
      <c r="O319" s="63" t="inlineStr">
        <is>
          <t>148,54</t>
        </is>
      </c>
      <c r="P319" s="63" t="inlineStr">
        <is>
          <t>172,31</t>
        </is>
      </c>
      <c r="Q319" s="63" t="inlineStr">
        <is>
          <t>724,00</t>
        </is>
      </c>
      <c r="R319" s="66" t="n">
        <v>46217</v>
      </c>
      <c r="S319" s="65" t="n">
        <v>504</v>
      </c>
      <c r="T319" s="65" t="inlineStr">
        <is>
          <t>00-00001048</t>
        </is>
      </c>
      <c r="U319" s="63" t="inlineStr">
        <is>
          <t>172,29</t>
        </is>
      </c>
      <c r="V319" s="63" t="inlineStr">
        <is>
          <t>172,31</t>
        </is>
      </c>
    </row>
    <row r="320">
      <c r="A320" s="65" t="n"/>
      <c r="B320" s="65" t="n"/>
      <c r="C320" s="65" t="n"/>
      <c r="D320" s="65" t="n"/>
      <c r="E320" s="65" t="n"/>
      <c r="F320" s="65" t="n"/>
      <c r="G320" s="65" t="n"/>
      <c r="H320" s="65" t="inlineStr">
        <is>
          <t>[0127] TRANSGLOB API GL-5 SAE 85W-140 (1x6)</t>
        </is>
      </c>
      <c r="I320" s="65" t="n">
        <v>127</v>
      </c>
      <c r="J320" s="63" t="inlineStr">
        <is>
          <t>1,00</t>
        </is>
      </c>
      <c r="K320" s="63" t="inlineStr">
        <is>
          <t>53,05</t>
        </is>
      </c>
      <c r="L320" s="63" t="inlineStr">
        <is>
          <t>0,00</t>
        </is>
      </c>
      <c r="M320" s="63" t="inlineStr">
        <is>
          <t>53,05</t>
        </is>
      </c>
      <c r="N320" s="63" t="inlineStr">
        <is>
          <t>61,54</t>
        </is>
      </c>
      <c r="O320" s="65" t="n"/>
      <c r="P320" s="65" t="n"/>
      <c r="Q320" s="65" t="n"/>
      <c r="R320" s="65" t="n"/>
      <c r="S320" s="65" t="n"/>
      <c r="T320" s="65" t="n"/>
      <c r="U320" s="65" t="n"/>
      <c r="V320" s="65" t="n"/>
    </row>
    <row r="321">
      <c r="A321" s="65" t="inlineStr">
        <is>
          <t>S00665</t>
        </is>
      </c>
      <c r="B321" s="62" t="n">
        <v>46213.64491898148</v>
      </c>
      <c r="C321" s="65" t="inlineStr">
        <is>
          <t>COMERCIALIZADORA VV 77 C.A</t>
        </is>
      </c>
      <c r="D321" s="65" t="inlineStr">
        <is>
          <t>Frank Vasquez</t>
        </is>
      </c>
      <c r="E321" s="65" t="inlineStr">
        <is>
          <t>21 días</t>
        </is>
      </c>
      <c r="F321" s="65" t="n">
        <v>5</v>
      </c>
      <c r="G321" s="65" t="inlineStr">
        <is>
          <t>Pago VES</t>
        </is>
      </c>
      <c r="H321" s="65" t="inlineStr">
        <is>
          <t>[0025] SS EXTRA PROTECCION API SN SAE 10W-30 (Gasolina) (1x6)</t>
        </is>
      </c>
      <c r="I321" s="65" t="n">
        <v>25</v>
      </c>
      <c r="J321" s="63" t="inlineStr">
        <is>
          <t>1,00</t>
        </is>
      </c>
      <c r="K321" s="63" t="inlineStr">
        <is>
          <t>50,40</t>
        </is>
      </c>
      <c r="L321" s="63" t="inlineStr">
        <is>
          <t>0,00</t>
        </is>
      </c>
      <c r="M321" s="63" t="inlineStr">
        <is>
          <t>50,40</t>
        </is>
      </c>
      <c r="N321" s="63" t="inlineStr">
        <is>
          <t>58,46</t>
        </is>
      </c>
      <c r="O321" s="63" t="inlineStr">
        <is>
          <t>50,40</t>
        </is>
      </c>
      <c r="P321" s="63" t="inlineStr">
        <is>
          <t>58,46</t>
        </is>
      </c>
      <c r="Q321" s="63" t="inlineStr">
        <is>
          <t>724,00</t>
        </is>
      </c>
      <c r="R321" s="66" t="n">
        <v>46217</v>
      </c>
      <c r="S321" s="65" t="n">
        <v>505</v>
      </c>
      <c r="T321" s="65" t="inlineStr">
        <is>
          <t>00-00001049</t>
        </is>
      </c>
      <c r="U321" s="63" t="inlineStr">
        <is>
          <t>58,46</t>
        </is>
      </c>
      <c r="V321" s="63" t="inlineStr">
        <is>
          <t>58,46</t>
        </is>
      </c>
    </row>
    <row r="322">
      <c r="A322" s="65" t="inlineStr">
        <is>
          <t>S00663</t>
        </is>
      </c>
      <c r="B322" s="62" t="n">
        <v>46213.42978009259</v>
      </c>
      <c r="C322" s="65" t="inlineStr">
        <is>
          <t>FREDI MARQUEZ</t>
        </is>
      </c>
      <c r="D322" s="65" t="inlineStr">
        <is>
          <t>PEREZ DIAZ ANGEL DE DIOS</t>
        </is>
      </c>
      <c r="E322" s="65" t="inlineStr">
        <is>
          <t>7 días</t>
        </is>
      </c>
      <c r="F322" s="65" t="n">
        <v>5</v>
      </c>
      <c r="G322" s="65" t="inlineStr">
        <is>
          <t>Pago VES</t>
        </is>
      </c>
      <c r="H322" s="65" t="inlineStr">
        <is>
          <t>[0602] SINOCO SAE 50 (PAILA)</t>
        </is>
      </c>
      <c r="I322" s="65" t="n">
        <v>602</v>
      </c>
      <c r="J322" s="63" t="inlineStr">
        <is>
          <t>11,00</t>
        </is>
      </c>
      <c r="K322" s="63" t="inlineStr">
        <is>
          <t>96,82</t>
        </is>
      </c>
      <c r="L322" s="63" t="inlineStr">
        <is>
          <t>0,00</t>
        </is>
      </c>
      <c r="M322" s="63" t="inlineStr">
        <is>
          <t>1.065,02</t>
        </is>
      </c>
      <c r="N322" s="63" t="inlineStr">
        <is>
          <t>1.235,42</t>
        </is>
      </c>
      <c r="O322" s="63" t="inlineStr">
        <is>
          <t>1.065,02</t>
        </is>
      </c>
      <c r="P322" s="63" t="inlineStr">
        <is>
          <t>1.235,42</t>
        </is>
      </c>
      <c r="Q322" s="65" t="n"/>
      <c r="R322" s="65" t="n"/>
      <c r="S322" s="65" t="n"/>
      <c r="T322" s="65" t="n"/>
      <c r="U322" s="65" t="n"/>
      <c r="V322" s="65" t="n"/>
    </row>
    <row r="323">
      <c r="A323" s="65" t="inlineStr">
        <is>
          <t>S00480</t>
        </is>
      </c>
      <c r="B323" s="62" t="n">
        <v>46213.42090277778</v>
      </c>
      <c r="C323" s="65" t="inlineStr">
        <is>
          <t>Alejandro Zorrilla</t>
        </is>
      </c>
      <c r="D323" s="65" t="inlineStr">
        <is>
          <t>CASERES GONZALEZ RONALD OSWALDO</t>
        </is>
      </c>
      <c r="E323" s="65" t="inlineStr">
        <is>
          <t>7 días</t>
        </is>
      </c>
      <c r="F323" s="65" t="n">
        <v>5</v>
      </c>
      <c r="G323" s="65" t="inlineStr">
        <is>
          <t>Pago VES</t>
        </is>
      </c>
      <c r="H323" s="65" t="inlineStr">
        <is>
          <t>[0877] SS EXTRA PROTECCION API SN SAE 15W-40 (1X12)</t>
        </is>
      </c>
      <c r="I323" s="65" t="n">
        <v>877</v>
      </c>
      <c r="J323" s="63" t="inlineStr">
        <is>
          <t>1,00</t>
        </is>
      </c>
      <c r="K323" s="63" t="inlineStr">
        <is>
          <t>100,80</t>
        </is>
      </c>
      <c r="L323" s="63" t="inlineStr">
        <is>
          <t>0,00</t>
        </is>
      </c>
      <c r="M323" s="63" t="inlineStr">
        <is>
          <t>100,80</t>
        </is>
      </c>
      <c r="N323" s="63" t="inlineStr">
        <is>
          <t>116,93</t>
        </is>
      </c>
      <c r="O323" s="63" t="inlineStr">
        <is>
          <t>100,80</t>
        </is>
      </c>
      <c r="P323" s="63" t="inlineStr">
        <is>
          <t>116,93</t>
        </is>
      </c>
      <c r="Q323" s="63" t="inlineStr">
        <is>
          <t>724,00</t>
        </is>
      </c>
      <c r="R323" s="66" t="n">
        <v>46217</v>
      </c>
      <c r="S323" s="65" t="n">
        <v>506</v>
      </c>
      <c r="T323" s="65" t="inlineStr">
        <is>
          <t>00-00001050</t>
        </is>
      </c>
      <c r="U323" s="63" t="inlineStr">
        <is>
          <t>116,92</t>
        </is>
      </c>
      <c r="V323" s="63" t="inlineStr">
        <is>
          <t>116,93</t>
        </is>
      </c>
    </row>
    <row r="324">
      <c r="A324" s="65" t="inlineStr">
        <is>
          <t>S00662</t>
        </is>
      </c>
      <c r="B324" s="62" t="n">
        <v>46212.72561342592</v>
      </c>
      <c r="C324" s="65" t="inlineStr">
        <is>
          <t>Emprendimiento Eduardo Pérez 6</t>
        </is>
      </c>
      <c r="D324" s="65" t="inlineStr">
        <is>
          <t>QUEVEDO BASTIDAS NEYKEL DAVID</t>
        </is>
      </c>
      <c r="E324" s="65" t="inlineStr">
        <is>
          <t>21 días</t>
        </is>
      </c>
      <c r="F324" s="65" t="n">
        <v>5</v>
      </c>
      <c r="G324" s="65" t="inlineStr">
        <is>
          <t>Pago VES</t>
        </is>
      </c>
      <c r="H324" s="65" t="inlineStr">
        <is>
          <t>[0779] SINOCO SAE 20W-50 (1x12)</t>
        </is>
      </c>
      <c r="I324" s="65" t="n">
        <v>779</v>
      </c>
      <c r="J324" s="63" t="inlineStr">
        <is>
          <t>1,00</t>
        </is>
      </c>
      <c r="K324" s="63" t="inlineStr">
        <is>
          <t>70,29</t>
        </is>
      </c>
      <c r="L324" s="63" t="inlineStr">
        <is>
          <t>0,00</t>
        </is>
      </c>
      <c r="M324" s="63" t="inlineStr">
        <is>
          <t>70,29</t>
        </is>
      </c>
      <c r="N324" s="63" t="inlineStr">
        <is>
          <t>81,54</t>
        </is>
      </c>
      <c r="O324" s="63" t="inlineStr">
        <is>
          <t>116,71</t>
        </is>
      </c>
      <c r="P324" s="63" t="inlineStr">
        <is>
          <t>135,39</t>
        </is>
      </c>
      <c r="Q324" s="63" t="inlineStr">
        <is>
          <t>724,00</t>
        </is>
      </c>
      <c r="R324" s="66" t="n">
        <v>46217</v>
      </c>
      <c r="S324" s="65" t="n">
        <v>507</v>
      </c>
      <c r="T324" s="65" t="inlineStr">
        <is>
          <t>00-00001051</t>
        </is>
      </c>
      <c r="U324" s="63" t="inlineStr">
        <is>
          <t>135,37</t>
        </is>
      </c>
      <c r="V324" s="63" t="inlineStr">
        <is>
          <t>135,38</t>
        </is>
      </c>
    </row>
    <row r="325">
      <c r="A325" s="65" t="n"/>
      <c r="B325" s="65" t="n"/>
      <c r="C325" s="65" t="n"/>
      <c r="D325" s="65" t="n"/>
      <c r="E325" s="65" t="n"/>
      <c r="F325" s="65" t="n"/>
      <c r="G325" s="65" t="n"/>
      <c r="H325" s="65" t="inlineStr">
        <is>
          <t>[0093] ALTA CILINDRADA SS API SN SAE 15W-40 (1x6)</t>
        </is>
      </c>
      <c r="I325" s="65" t="n">
        <v>93</v>
      </c>
      <c r="J325" s="63" t="inlineStr">
        <is>
          <t>1,00</t>
        </is>
      </c>
      <c r="K325" s="63" t="inlineStr">
        <is>
          <t>46,42</t>
        </is>
      </c>
      <c r="L325" s="63" t="inlineStr">
        <is>
          <t>0,00</t>
        </is>
      </c>
      <c r="M325" s="63" t="inlineStr">
        <is>
          <t>46,42</t>
        </is>
      </c>
      <c r="N325" s="63" t="inlineStr">
        <is>
          <t>53,85</t>
        </is>
      </c>
      <c r="O325" s="65" t="n"/>
      <c r="P325" s="65" t="n"/>
      <c r="Q325" s="65" t="n"/>
      <c r="R325" s="65" t="n"/>
      <c r="S325" s="65" t="n"/>
      <c r="T325" s="65" t="n"/>
      <c r="U325" s="65" t="n"/>
      <c r="V325" s="65" t="n"/>
    </row>
    <row r="326">
      <c r="A326" s="65" t="inlineStr">
        <is>
          <t>S00660</t>
        </is>
      </c>
      <c r="B326" s="62" t="n">
        <v>46212.53021990741</v>
      </c>
      <c r="C326" s="65" t="inlineStr">
        <is>
          <t>CONSTRUCTORA GRANO AGREGADO, C.A</t>
        </is>
      </c>
      <c r="D326" s="65" t="inlineStr">
        <is>
          <t>Marco Romero</t>
        </is>
      </c>
      <c r="E326" s="65" t="inlineStr">
        <is>
          <t>7 días</t>
        </is>
      </c>
      <c r="F326" s="65" t="n">
        <v>5</v>
      </c>
      <c r="G326" s="65" t="inlineStr">
        <is>
          <t>Pago VES</t>
        </is>
      </c>
      <c r="H326" s="65" t="inlineStr">
        <is>
          <t>[0085] MAXIMO API CF SAE 50 (Tambor)</t>
        </is>
      </c>
      <c r="I326" s="65" t="n">
        <v>85</v>
      </c>
      <c r="J326" s="63" t="inlineStr">
        <is>
          <t>1,00</t>
        </is>
      </c>
      <c r="K326" s="63" t="inlineStr">
        <is>
          <t>1.136,60</t>
        </is>
      </c>
      <c r="L326" s="63" t="inlineStr">
        <is>
          <t>0,00</t>
        </is>
      </c>
      <c r="M326" s="63" t="inlineStr">
        <is>
          <t>1.136,60</t>
        </is>
      </c>
      <c r="N326" s="63" t="inlineStr">
        <is>
          <t>1.318,46</t>
        </is>
      </c>
      <c r="O326" s="63" t="inlineStr">
        <is>
          <t>1.324,92</t>
        </is>
      </c>
      <c r="P326" s="63" t="inlineStr">
        <is>
          <t>1.536,91</t>
        </is>
      </c>
      <c r="Q326" s="65" t="n"/>
      <c r="R326" s="65" t="n"/>
      <c r="S326" s="65" t="n"/>
      <c r="T326" s="65" t="n"/>
      <c r="U326" s="65" t="n"/>
      <c r="V326" s="65" t="n"/>
    </row>
    <row r="327">
      <c r="A327" s="65" t="n"/>
      <c r="B327" s="65" t="n"/>
      <c r="C327" s="65" t="n"/>
      <c r="D327" s="65" t="n"/>
      <c r="E327" s="65" t="n"/>
      <c r="F327" s="65" t="n"/>
      <c r="G327" s="65" t="n"/>
      <c r="H327" s="65" t="inlineStr">
        <is>
          <t>[0144] HIDRAGLOB AW/ISO 68 (PAILA)</t>
        </is>
      </c>
      <c r="I327" s="65" t="n">
        <v>144</v>
      </c>
      <c r="J327" s="63" t="inlineStr">
        <is>
          <t>2,00</t>
        </is>
      </c>
      <c r="K327" s="63" t="inlineStr">
        <is>
          <t>94,16</t>
        </is>
      </c>
      <c r="L327" s="63" t="inlineStr">
        <is>
          <t>0,00</t>
        </is>
      </c>
      <c r="M327" s="63" t="inlineStr">
        <is>
          <t>188,32</t>
        </is>
      </c>
      <c r="N327" s="63" t="inlineStr">
        <is>
          <t>218,45</t>
        </is>
      </c>
      <c r="O327" s="65" t="n"/>
      <c r="P327" s="65" t="n"/>
      <c r="Q327" s="65" t="n"/>
      <c r="R327" s="65" t="n"/>
      <c r="S327" s="65" t="n"/>
      <c r="T327" s="65" t="n"/>
      <c r="U327" s="65" t="n"/>
      <c r="V327" s="65" t="n"/>
    </row>
    <row r="328">
      <c r="A328" s="65" t="inlineStr">
        <is>
          <t>S00659</t>
        </is>
      </c>
      <c r="B328" s="62" t="n">
        <v>46211.7559837963</v>
      </c>
      <c r="C328" s="65" t="inlineStr">
        <is>
          <t>Yesenia luna</t>
        </is>
      </c>
      <c r="D328" s="65" t="inlineStr">
        <is>
          <t>BETANCOURT ROBRIGUEZ LUIS ENRRIQUE</t>
        </is>
      </c>
      <c r="E328" s="65" t="inlineStr">
        <is>
          <t>7 días</t>
        </is>
      </c>
      <c r="F328" s="65" t="n">
        <v>5</v>
      </c>
      <c r="G328" s="65" t="inlineStr">
        <is>
          <t>Pago VES</t>
        </is>
      </c>
      <c r="H328" s="65" t="inlineStr">
        <is>
          <t>[0877] SS EXTRA PROTECCION API SN SAE 15W-40 (1X12)</t>
        </is>
      </c>
      <c r="I328" s="65" t="n">
        <v>877</v>
      </c>
      <c r="J328" s="63" t="inlineStr">
        <is>
          <t>1,00</t>
        </is>
      </c>
      <c r="K328" s="63" t="inlineStr">
        <is>
          <t>100,80</t>
        </is>
      </c>
      <c r="L328" s="63" t="inlineStr">
        <is>
          <t>0,00</t>
        </is>
      </c>
      <c r="M328" s="63" t="inlineStr">
        <is>
          <t>100,80</t>
        </is>
      </c>
      <c r="N328" s="63" t="inlineStr">
        <is>
          <t>116,93</t>
        </is>
      </c>
      <c r="O328" s="63" t="inlineStr">
        <is>
          <t>500,01</t>
        </is>
      </c>
      <c r="P328" s="63" t="inlineStr">
        <is>
          <t>580,02</t>
        </is>
      </c>
      <c r="Q328" s="63" t="inlineStr">
        <is>
          <t>724,00</t>
        </is>
      </c>
      <c r="R328" s="66" t="n">
        <v>46217</v>
      </c>
      <c r="S328" s="65" t="n">
        <v>508</v>
      </c>
      <c r="T328" s="65" t="inlineStr">
        <is>
          <t>00-00001052</t>
        </is>
      </c>
      <c r="U328" s="63" t="inlineStr">
        <is>
          <t>580,00</t>
        </is>
      </c>
      <c r="V328" s="63" t="inlineStr">
        <is>
          <t>580,01</t>
        </is>
      </c>
    </row>
    <row r="329">
      <c r="A329" s="65" t="n"/>
      <c r="B329" s="65" t="n"/>
      <c r="C329" s="65" t="n"/>
      <c r="D329" s="65" t="n"/>
      <c r="E329" s="65" t="n"/>
      <c r="F329" s="65" t="n"/>
      <c r="G329" s="65" t="n"/>
      <c r="H329" s="65" t="n"/>
      <c r="I329" s="65" t="n"/>
      <c r="J329" s="63" t="inlineStr">
        <is>
          <t>0,00</t>
        </is>
      </c>
      <c r="K329" s="63" t="inlineStr">
        <is>
          <t>0,00</t>
        </is>
      </c>
      <c r="L329" s="63" t="inlineStr">
        <is>
          <t>0,00</t>
        </is>
      </c>
      <c r="M329" s="63" t="inlineStr">
        <is>
          <t>0,00</t>
        </is>
      </c>
      <c r="N329" s="63" t="inlineStr">
        <is>
          <t>0,00</t>
        </is>
      </c>
      <c r="O329" s="65" t="n"/>
      <c r="P329" s="65" t="n"/>
      <c r="Q329" s="65" t="n"/>
      <c r="R329" s="65" t="n"/>
      <c r="S329" s="65" t="n"/>
      <c r="T329" s="65" t="n"/>
      <c r="U329" s="65" t="n"/>
      <c r="V329" s="65" t="n"/>
    </row>
    <row r="330">
      <c r="A330" s="65" t="n"/>
      <c r="B330" s="65" t="n"/>
      <c r="C330" s="65" t="n"/>
      <c r="D330" s="65" t="n"/>
      <c r="E330" s="65" t="n"/>
      <c r="F330" s="65" t="n"/>
      <c r="G330" s="65" t="n"/>
      <c r="H330" s="65" t="inlineStr">
        <is>
          <t>[0878] SS EXTRA PROTECCION API SN SAE 20W-50 (1x12)</t>
        </is>
      </c>
      <c r="I330" s="65" t="n">
        <v>878</v>
      </c>
      <c r="J330" s="63" t="inlineStr">
        <is>
          <t>1,00</t>
        </is>
      </c>
      <c r="K330" s="63" t="inlineStr">
        <is>
          <t>100,80</t>
        </is>
      </c>
      <c r="L330" s="63" t="inlineStr">
        <is>
          <t>0,00</t>
        </is>
      </c>
      <c r="M330" s="63" t="inlineStr">
        <is>
          <t>100,80</t>
        </is>
      </c>
      <c r="N330" s="63" t="inlineStr">
        <is>
          <t>116,93</t>
        </is>
      </c>
      <c r="O330" s="65" t="n"/>
      <c r="P330" s="65" t="n"/>
      <c r="Q330" s="65" t="n"/>
      <c r="R330" s="65" t="n"/>
      <c r="S330" s="65" t="n"/>
      <c r="T330" s="65" t="n"/>
      <c r="U330" s="65" t="n"/>
      <c r="V330" s="65" t="n"/>
    </row>
    <row r="331">
      <c r="A331" s="65" t="n"/>
      <c r="B331" s="65" t="n"/>
      <c r="C331" s="65" t="n"/>
      <c r="D331" s="65" t="n"/>
      <c r="E331" s="65" t="n"/>
      <c r="F331" s="65" t="n"/>
      <c r="G331" s="65" t="n"/>
      <c r="H331" s="65" t="inlineStr">
        <is>
          <t>[0121] TRANSGLOB API GL-5 SAE 80W-90 (1x6)</t>
        </is>
      </c>
      <c r="I331" s="65" t="n">
        <v>121</v>
      </c>
      <c r="J331" s="63" t="inlineStr">
        <is>
          <t>1,00</t>
        </is>
      </c>
      <c r="K331" s="63" t="inlineStr">
        <is>
          <t>51,72</t>
        </is>
      </c>
      <c r="L331" s="63" t="inlineStr">
        <is>
          <t>0,00</t>
        </is>
      </c>
      <c r="M331" s="63" t="inlineStr">
        <is>
          <t>51,72</t>
        </is>
      </c>
      <c r="N331" s="63" t="inlineStr">
        <is>
          <t>60,00</t>
        </is>
      </c>
      <c r="O331" s="65" t="n"/>
      <c r="P331" s="65" t="n"/>
      <c r="Q331" s="65" t="n"/>
      <c r="R331" s="65" t="n"/>
      <c r="S331" s="65" t="n"/>
      <c r="T331" s="65" t="n"/>
      <c r="U331" s="65" t="n"/>
      <c r="V331" s="65" t="n"/>
    </row>
    <row r="332">
      <c r="A332" s="65" t="n"/>
      <c r="B332" s="65" t="n"/>
      <c r="C332" s="65" t="n"/>
      <c r="D332" s="65" t="n"/>
      <c r="E332" s="65" t="n"/>
      <c r="F332" s="65" t="n"/>
      <c r="G332" s="65" t="n"/>
      <c r="H332" s="65" t="inlineStr">
        <is>
          <t>[0887] MOTOCLASICO 4T SAE 20W-50 (1x12)</t>
        </is>
      </c>
      <c r="I332" s="65" t="n">
        <v>887</v>
      </c>
      <c r="J332" s="63" t="inlineStr">
        <is>
          <t>1,00</t>
        </is>
      </c>
      <c r="K332" s="63" t="inlineStr">
        <is>
          <t>90,19</t>
        </is>
      </c>
      <c r="L332" s="63" t="inlineStr">
        <is>
          <t>0,00</t>
        </is>
      </c>
      <c r="M332" s="63" t="inlineStr">
        <is>
          <t>90,19</t>
        </is>
      </c>
      <c r="N332" s="63" t="inlineStr">
        <is>
          <t>104,62</t>
        </is>
      </c>
      <c r="O332" s="65" t="n"/>
      <c r="P332" s="65" t="n"/>
      <c r="Q332" s="65" t="n"/>
      <c r="R332" s="65" t="n"/>
      <c r="S332" s="65" t="n"/>
      <c r="T332" s="65" t="n"/>
      <c r="U332" s="65" t="n"/>
      <c r="V332" s="65" t="n"/>
    </row>
    <row r="333">
      <c r="A333" s="65" t="n"/>
      <c r="B333" s="65" t="n"/>
      <c r="C333" s="65" t="n"/>
      <c r="D333" s="65" t="n"/>
      <c r="E333" s="65" t="n"/>
      <c r="F333" s="65" t="n"/>
      <c r="G333" s="65" t="n"/>
      <c r="H333" s="65" t="inlineStr">
        <is>
          <t>[0880] CLASICO API SL SAE 15W-40 (1x12)</t>
        </is>
      </c>
      <c r="I333" s="65" t="n">
        <v>880</v>
      </c>
      <c r="J333" s="63" t="inlineStr">
        <is>
          <t>1,00</t>
        </is>
      </c>
      <c r="K333" s="63" t="inlineStr">
        <is>
          <t>86,21</t>
        </is>
      </c>
      <c r="L333" s="63" t="inlineStr">
        <is>
          <t>0,00</t>
        </is>
      </c>
      <c r="M333" s="63" t="inlineStr">
        <is>
          <t>86,21</t>
        </is>
      </c>
      <c r="N333" s="63" t="inlineStr">
        <is>
          <t>100,00</t>
        </is>
      </c>
      <c r="O333" s="65" t="n"/>
      <c r="P333" s="65" t="n"/>
      <c r="Q333" s="65" t="n"/>
      <c r="R333" s="65" t="n"/>
      <c r="S333" s="65" t="n"/>
      <c r="T333" s="65" t="n"/>
      <c r="U333" s="65" t="n"/>
      <c r="V333" s="65" t="n"/>
    </row>
    <row r="334">
      <c r="A334" s="65" t="n"/>
      <c r="B334" s="65" t="n"/>
      <c r="C334" s="65" t="n"/>
      <c r="D334" s="65" t="n"/>
      <c r="E334" s="65" t="n"/>
      <c r="F334" s="65" t="n"/>
      <c r="G334" s="65" t="n"/>
      <c r="H334" s="65" t="inlineStr">
        <is>
          <t>[0915] SINOCO SAE 50 (1x12)</t>
        </is>
      </c>
      <c r="I334" s="65" t="n">
        <v>915</v>
      </c>
      <c r="J334" s="63" t="inlineStr">
        <is>
          <t>1,00</t>
        </is>
      </c>
      <c r="K334" s="63" t="inlineStr">
        <is>
          <t>70,29</t>
        </is>
      </c>
      <c r="L334" s="63" t="inlineStr">
        <is>
          <t>0,00</t>
        </is>
      </c>
      <c r="M334" s="63" t="inlineStr">
        <is>
          <t>70,29</t>
        </is>
      </c>
      <c r="N334" s="63" t="inlineStr">
        <is>
          <t>81,54</t>
        </is>
      </c>
      <c r="O334" s="65" t="n"/>
      <c r="P334" s="65" t="n"/>
      <c r="Q334" s="65" t="n"/>
      <c r="R334" s="65" t="n"/>
      <c r="S334" s="65" t="n"/>
      <c r="T334" s="65" t="n"/>
      <c r="U334" s="65" t="n"/>
      <c r="V334" s="65" t="n"/>
    </row>
    <row r="335">
      <c r="A335" s="65" t="inlineStr">
        <is>
          <t>S00655</t>
        </is>
      </c>
      <c r="B335" s="62" t="n">
        <v>46211.64431712963</v>
      </c>
      <c r="C335" s="65" t="inlineStr">
        <is>
          <t>REPRESENTACIONES LAGUS MEL, C. A</t>
        </is>
      </c>
      <c r="D335" s="65" t="inlineStr">
        <is>
          <t>TORO ARDILES DAVID JOSE</t>
        </is>
      </c>
      <c r="E335" s="65" t="inlineStr">
        <is>
          <t>7 días</t>
        </is>
      </c>
      <c r="F335" s="65" t="n">
        <v>5</v>
      </c>
      <c r="G335" s="65" t="inlineStr">
        <is>
          <t>Pago VES</t>
        </is>
      </c>
      <c r="H335" s="65" t="inlineStr">
        <is>
          <t>[0877] SS EXTRA PROTECCION API SN SAE 15W-40 (1X12)</t>
        </is>
      </c>
      <c r="I335" s="65" t="n">
        <v>877</v>
      </c>
      <c r="J335" s="63" t="inlineStr">
        <is>
          <t>1,00</t>
        </is>
      </c>
      <c r="K335" s="63" t="inlineStr">
        <is>
          <t>100,80</t>
        </is>
      </c>
      <c r="L335" s="63" t="inlineStr">
        <is>
          <t>0,00</t>
        </is>
      </c>
      <c r="M335" s="63" t="inlineStr">
        <is>
          <t>100,80</t>
        </is>
      </c>
      <c r="N335" s="63" t="inlineStr">
        <is>
          <t>116,93</t>
        </is>
      </c>
      <c r="O335" s="63" t="inlineStr">
        <is>
          <t>100,80</t>
        </is>
      </c>
      <c r="P335" s="63" t="inlineStr">
        <is>
          <t>116,93</t>
        </is>
      </c>
      <c r="Q335" s="63" t="inlineStr">
        <is>
          <t>724,00</t>
        </is>
      </c>
      <c r="R335" s="66" t="n">
        <v>46217</v>
      </c>
      <c r="S335" s="65" t="n">
        <v>509</v>
      </c>
      <c r="T335" s="65" t="inlineStr">
        <is>
          <t>00-00001053</t>
        </is>
      </c>
      <c r="U335" s="63" t="inlineStr">
        <is>
          <t>116,92</t>
        </is>
      </c>
      <c r="V335" s="63" t="inlineStr">
        <is>
          <t>116,93</t>
        </is>
      </c>
    </row>
    <row r="336">
      <c r="A336" s="65" t="inlineStr">
        <is>
          <t>S00658</t>
        </is>
      </c>
      <c r="B336" s="62" t="n">
        <v>46211.61046296296</v>
      </c>
      <c r="C336" s="65" t="inlineStr">
        <is>
          <t>Inversiones Mirelkys C.A</t>
        </is>
      </c>
      <c r="D336" s="65" t="inlineStr">
        <is>
          <t>GRIMAN DIAZ HECTOR EDUARDO</t>
        </is>
      </c>
      <c r="E336" s="65" t="inlineStr">
        <is>
          <t>7 días</t>
        </is>
      </c>
      <c r="F336" s="65" t="n">
        <v>5</v>
      </c>
      <c r="G336" s="65" t="inlineStr">
        <is>
          <t>Pago VES</t>
        </is>
      </c>
      <c r="H336" s="65" t="inlineStr">
        <is>
          <t>[0602] SINOCO SAE 50 (PAILA)</t>
        </is>
      </c>
      <c r="I336" s="65" t="n">
        <v>602</v>
      </c>
      <c r="J336" s="63" t="inlineStr">
        <is>
          <t>1,00</t>
        </is>
      </c>
      <c r="K336" s="63" t="inlineStr">
        <is>
          <t>96,82</t>
        </is>
      </c>
      <c r="L336" s="63" t="inlineStr">
        <is>
          <t>0,00</t>
        </is>
      </c>
      <c r="M336" s="63" t="inlineStr">
        <is>
          <t>96,82</t>
        </is>
      </c>
      <c r="N336" s="63" t="inlineStr">
        <is>
          <t>112,31</t>
        </is>
      </c>
      <c r="O336" s="63" t="inlineStr">
        <is>
          <t>319,63</t>
        </is>
      </c>
      <c r="P336" s="63" t="inlineStr">
        <is>
          <t>370,77</t>
        </is>
      </c>
      <c r="Q336" s="63" t="inlineStr">
        <is>
          <t>724,00</t>
        </is>
      </c>
      <c r="R336" s="66" t="n">
        <v>46217</v>
      </c>
      <c r="S336" s="65" t="n">
        <v>510</v>
      </c>
      <c r="T336" s="65" t="inlineStr">
        <is>
          <t>00-00001054</t>
        </is>
      </c>
      <c r="U336" s="63" t="inlineStr">
        <is>
          <t>370,74</t>
        </is>
      </c>
      <c r="V336" s="63" t="inlineStr">
        <is>
          <t>370,77</t>
        </is>
      </c>
    </row>
    <row r="337">
      <c r="A337" s="65" t="n"/>
      <c r="B337" s="65" t="n"/>
      <c r="C337" s="65" t="n"/>
      <c r="D337" s="65" t="n"/>
      <c r="E337" s="65" t="n"/>
      <c r="F337" s="65" t="n"/>
      <c r="G337" s="65" t="n"/>
      <c r="H337" s="65" t="inlineStr">
        <is>
          <t>[0605] SINOCO SAE 20W-50 (PAILA)</t>
        </is>
      </c>
      <c r="I337" s="65" t="n">
        <v>605</v>
      </c>
      <c r="J337" s="63" t="inlineStr">
        <is>
          <t>1,00</t>
        </is>
      </c>
      <c r="K337" s="63" t="inlineStr">
        <is>
          <t>96,82</t>
        </is>
      </c>
      <c r="L337" s="63" t="inlineStr">
        <is>
          <t>0,00</t>
        </is>
      </c>
      <c r="M337" s="63" t="inlineStr">
        <is>
          <t>96,82</t>
        </is>
      </c>
      <c r="N337" s="63" t="inlineStr">
        <is>
          <t>112,31</t>
        </is>
      </c>
      <c r="O337" s="65" t="n"/>
      <c r="P337" s="65" t="n"/>
      <c r="Q337" s="65" t="n"/>
      <c r="R337" s="65" t="n"/>
      <c r="S337" s="65" t="n"/>
      <c r="T337" s="65" t="n"/>
      <c r="U337" s="65" t="n"/>
      <c r="V337" s="65" t="n"/>
    </row>
    <row r="338">
      <c r="A338" s="65" t="n"/>
      <c r="B338" s="65" t="n"/>
      <c r="C338" s="65" t="n"/>
      <c r="D338" s="65" t="n"/>
      <c r="E338" s="65" t="n"/>
      <c r="F338" s="65" t="n"/>
      <c r="G338" s="65" t="n"/>
      <c r="H338" s="65" t="inlineStr">
        <is>
          <t>[0107] TRANSMATIC ATF DEXRON III (PAILA)</t>
        </is>
      </c>
      <c r="I338" s="65" t="n">
        <v>107</v>
      </c>
      <c r="J338" s="63" t="inlineStr">
        <is>
          <t>1,00</t>
        </is>
      </c>
      <c r="K338" s="63" t="inlineStr">
        <is>
          <t>125,99</t>
        </is>
      </c>
      <c r="L338" s="63" t="inlineStr">
        <is>
          <t>0,00</t>
        </is>
      </c>
      <c r="M338" s="63" t="inlineStr">
        <is>
          <t>125,99</t>
        </is>
      </c>
      <c r="N338" s="63" t="inlineStr">
        <is>
          <t>146,15</t>
        </is>
      </c>
      <c r="O338" s="65" t="n"/>
      <c r="P338" s="65" t="n"/>
      <c r="Q338" s="65" t="n"/>
      <c r="R338" s="65" t="n"/>
      <c r="S338" s="65" t="n"/>
      <c r="T338" s="65" t="n"/>
      <c r="U338" s="65" t="n"/>
      <c r="V338" s="65" t="n"/>
    </row>
    <row r="339">
      <c r="A339" s="65" t="inlineStr">
        <is>
          <t>S00656</t>
        </is>
      </c>
      <c r="B339" s="62" t="n">
        <v>46211.56662037037</v>
      </c>
      <c r="C339" s="65" t="inlineStr">
        <is>
          <t>ELENA MEJIAS</t>
        </is>
      </c>
      <c r="D339" s="65" t="inlineStr">
        <is>
          <t>Marco Romero</t>
        </is>
      </c>
      <c r="E339" s="65" t="inlineStr">
        <is>
          <t>7 días</t>
        </is>
      </c>
      <c r="F339" s="65" t="n">
        <v>8</v>
      </c>
      <c r="G339" s="65" t="inlineStr">
        <is>
          <t>Pago USD</t>
        </is>
      </c>
      <c r="H339" s="65" t="inlineStr">
        <is>
          <t>[0877] SS EXTRA PROTECCION API SN SAE 15W-40 (1X12)</t>
        </is>
      </c>
      <c r="I339" s="65" t="n">
        <v>877</v>
      </c>
      <c r="J339" s="63" t="inlineStr">
        <is>
          <t>1,00</t>
        </is>
      </c>
      <c r="K339" s="63" t="inlineStr">
        <is>
          <t>65,52</t>
        </is>
      </c>
      <c r="L339" s="63" t="inlineStr">
        <is>
          <t>8,00</t>
        </is>
      </c>
      <c r="M339" s="63" t="inlineStr">
        <is>
          <t>60,28</t>
        </is>
      </c>
      <c r="N339" s="63" t="inlineStr">
        <is>
          <t>69,92</t>
        </is>
      </c>
      <c r="O339" s="63" t="inlineStr">
        <is>
          <t>60,28</t>
        </is>
      </c>
      <c r="P339" s="63" t="inlineStr">
        <is>
          <t>69,92</t>
        </is>
      </c>
      <c r="Q339" s="63" t="inlineStr">
        <is>
          <t>685,94</t>
        </is>
      </c>
      <c r="R339" s="66" t="n">
        <v>46211</v>
      </c>
      <c r="S339" s="65" t="n">
        <v>256</v>
      </c>
      <c r="T339" s="65" t="inlineStr">
        <is>
          <t>00-00000784</t>
        </is>
      </c>
      <c r="U339" s="63" t="inlineStr">
        <is>
          <t>69,91</t>
        </is>
      </c>
      <c r="V339" s="63" t="inlineStr">
        <is>
          <t>0,00</t>
        </is>
      </c>
    </row>
    <row r="340">
      <c r="A340" s="65" t="inlineStr">
        <is>
          <t>S00614</t>
        </is>
      </c>
      <c r="B340" s="62" t="n">
        <v>46211.48753472222</v>
      </c>
      <c r="C340" s="65" t="inlineStr">
        <is>
          <t>Alexander Quiroz</t>
        </is>
      </c>
      <c r="D340" s="65" t="inlineStr">
        <is>
          <t>BETANCOURT ROBRIGUEZ LUIS ENRRIQUE</t>
        </is>
      </c>
      <c r="E340" s="65" t="inlineStr">
        <is>
          <t>7 días</t>
        </is>
      </c>
      <c r="F340" s="65" t="n">
        <v>5</v>
      </c>
      <c r="G340" s="65" t="inlineStr">
        <is>
          <t>Pago VES</t>
        </is>
      </c>
      <c r="H340" s="65" t="inlineStr">
        <is>
          <t>[0602] SINOCO SAE 50 (PAILA)</t>
        </is>
      </c>
      <c r="I340" s="65" t="n">
        <v>602</v>
      </c>
      <c r="J340" s="63" t="inlineStr">
        <is>
          <t>30,00</t>
        </is>
      </c>
      <c r="K340" s="63" t="inlineStr">
        <is>
          <t>96,82</t>
        </is>
      </c>
      <c r="L340" s="63" t="inlineStr">
        <is>
          <t>13,74</t>
        </is>
      </c>
      <c r="M340" s="63" t="inlineStr">
        <is>
          <t>2.505,51</t>
        </is>
      </c>
      <c r="N340" s="63" t="inlineStr">
        <is>
          <t>2.906,39</t>
        </is>
      </c>
      <c r="O340" s="63" t="inlineStr">
        <is>
          <t>2.505,51</t>
        </is>
      </c>
      <c r="P340" s="63" t="inlineStr">
        <is>
          <t>2.906,39</t>
        </is>
      </c>
      <c r="Q340" s="65" t="n"/>
      <c r="R340" s="65" t="n"/>
      <c r="S340" s="65" t="n"/>
      <c r="T340" s="65" t="n"/>
      <c r="U340" s="65" t="n"/>
      <c r="V340" s="65" t="n"/>
    </row>
    <row r="341">
      <c r="A341" s="65" t="inlineStr">
        <is>
          <t>S00654</t>
        </is>
      </c>
      <c r="B341" s="62" t="n">
        <v>46211.41368055555</v>
      </c>
      <c r="C341" s="65" t="inlineStr">
        <is>
          <t>MOTOREPUESTOS EL GUANÁBANO YRM C.A.</t>
        </is>
      </c>
      <c r="D341" s="65" t="inlineStr">
        <is>
          <t>TORO ARDILES DAVID JOSE</t>
        </is>
      </c>
      <c r="E341" s="65" t="inlineStr">
        <is>
          <t>7 días</t>
        </is>
      </c>
      <c r="F341" s="65" t="n">
        <v>5</v>
      </c>
      <c r="G341" s="65" t="inlineStr">
        <is>
          <t>Pago VES</t>
        </is>
      </c>
      <c r="H341" s="65" t="inlineStr">
        <is>
          <t>[0887] MOTOCLASICO 4T SAE 20W-50 (1x12)</t>
        </is>
      </c>
      <c r="I341" s="65" t="n">
        <v>887</v>
      </c>
      <c r="J341" s="63" t="inlineStr">
        <is>
          <t>2,00</t>
        </is>
      </c>
      <c r="K341" s="63" t="inlineStr">
        <is>
          <t>90,19</t>
        </is>
      </c>
      <c r="L341" s="63" t="inlineStr">
        <is>
          <t>0,00</t>
        </is>
      </c>
      <c r="M341" s="63" t="inlineStr">
        <is>
          <t>180,38</t>
        </is>
      </c>
      <c r="N341" s="63" t="inlineStr">
        <is>
          <t>209,24</t>
        </is>
      </c>
      <c r="O341" s="63" t="inlineStr">
        <is>
          <t>216,19</t>
        </is>
      </c>
      <c r="P341" s="63" t="inlineStr">
        <is>
          <t>250,78</t>
        </is>
      </c>
      <c r="Q341" s="63" t="inlineStr">
        <is>
          <t>724,00</t>
        </is>
      </c>
      <c r="R341" s="66" t="n">
        <v>46217</v>
      </c>
      <c r="S341" s="65" t="n">
        <v>511</v>
      </c>
      <c r="T341" s="65" t="inlineStr">
        <is>
          <t>00-00001055</t>
        </is>
      </c>
      <c r="U341" s="63" t="inlineStr">
        <is>
          <t>250,77</t>
        </is>
      </c>
      <c r="V341" s="63" t="inlineStr">
        <is>
          <t>250,78</t>
        </is>
      </c>
    </row>
    <row r="342">
      <c r="A342" s="65" t="n"/>
      <c r="B342" s="65" t="n"/>
      <c r="C342" s="65" t="n"/>
      <c r="D342" s="65" t="n"/>
      <c r="E342" s="65" t="n"/>
      <c r="F342" s="65" t="n"/>
      <c r="G342" s="65" t="n"/>
      <c r="H342" s="65" t="inlineStr">
        <is>
          <t>[0761] LIGA PARA FRENOS DOT-3 (1x12)</t>
        </is>
      </c>
      <c r="I342" s="65" t="n">
        <v>761</v>
      </c>
      <c r="J342" s="63" t="inlineStr">
        <is>
          <t>1,00</t>
        </is>
      </c>
      <c r="K342" s="63" t="inlineStr">
        <is>
          <t>35,81</t>
        </is>
      </c>
      <c r="L342" s="63" t="inlineStr">
        <is>
          <t>0,00</t>
        </is>
      </c>
      <c r="M342" s="63" t="inlineStr">
        <is>
          <t>35,81</t>
        </is>
      </c>
      <c r="N342" s="63" t="inlineStr">
        <is>
          <t>41,54</t>
        </is>
      </c>
      <c r="O342" s="65" t="n"/>
      <c r="P342" s="65" t="n"/>
      <c r="Q342" s="65" t="n"/>
      <c r="R342" s="65" t="n"/>
      <c r="S342" s="65" t="n"/>
      <c r="T342" s="65" t="n"/>
      <c r="U342" s="65" t="n"/>
      <c r="V342" s="65" t="n"/>
    </row>
    <row r="343">
      <c r="A343" s="65" t="inlineStr">
        <is>
          <t>S00653</t>
        </is>
      </c>
      <c r="B343" s="62" t="n">
        <v>46211.38599537037</v>
      </c>
      <c r="C343" s="65" t="inlineStr">
        <is>
          <t>Yeifri Alexander Marquez Zerpa</t>
        </is>
      </c>
      <c r="D343" s="65" t="inlineStr">
        <is>
          <t>QUEVEDO BASTIDAS NEYKEL DAVID</t>
        </is>
      </c>
      <c r="E343" s="65" t="inlineStr">
        <is>
          <t>21 días</t>
        </is>
      </c>
      <c r="F343" s="65" t="n">
        <v>5</v>
      </c>
      <c r="G343" s="65" t="inlineStr">
        <is>
          <t>Pago VES</t>
        </is>
      </c>
      <c r="H343" s="65" t="inlineStr">
        <is>
          <t>[0602] SINOCO SAE 50 (PAILA)</t>
        </is>
      </c>
      <c r="I343" s="65" t="n">
        <v>602</v>
      </c>
      <c r="J343" s="63" t="inlineStr">
        <is>
          <t>1,00</t>
        </is>
      </c>
      <c r="K343" s="63" t="inlineStr">
        <is>
          <t>96,82</t>
        </is>
      </c>
      <c r="L343" s="63" t="inlineStr">
        <is>
          <t>0,00</t>
        </is>
      </c>
      <c r="M343" s="63" t="inlineStr">
        <is>
          <t>96,82</t>
        </is>
      </c>
      <c r="N343" s="63" t="inlineStr">
        <is>
          <t>112,31</t>
        </is>
      </c>
      <c r="O343" s="63" t="inlineStr">
        <is>
          <t>314,33</t>
        </is>
      </c>
      <c r="P343" s="63" t="inlineStr">
        <is>
          <t>364,62</t>
        </is>
      </c>
      <c r="Q343" s="63" t="inlineStr">
        <is>
          <t>724,00</t>
        </is>
      </c>
      <c r="R343" s="66" t="n">
        <v>46217</v>
      </c>
      <c r="S343" s="65" t="n">
        <v>445</v>
      </c>
      <c r="T343" s="65" t="inlineStr">
        <is>
          <t>00-00000989</t>
        </is>
      </c>
      <c r="U343" s="63" t="inlineStr">
        <is>
          <t>364,61</t>
        </is>
      </c>
      <c r="V343" s="63" t="inlineStr">
        <is>
          <t>364,62</t>
        </is>
      </c>
    </row>
    <row r="344">
      <c r="A344" s="65" t="n"/>
      <c r="B344" s="65" t="n"/>
      <c r="C344" s="65" t="n"/>
      <c r="D344" s="65" t="n"/>
      <c r="E344" s="65" t="n"/>
      <c r="F344" s="65" t="n"/>
      <c r="G344" s="65" t="n"/>
      <c r="H344" s="65" t="inlineStr">
        <is>
          <t>[0605] SINOCO SAE 20W-50 (PAILA)</t>
        </is>
      </c>
      <c r="I344" s="65" t="n">
        <v>605</v>
      </c>
      <c r="J344" s="63" t="inlineStr">
        <is>
          <t>2,00</t>
        </is>
      </c>
      <c r="K344" s="63" t="inlineStr">
        <is>
          <t>96,82</t>
        </is>
      </c>
      <c r="L344" s="63" t="inlineStr">
        <is>
          <t>0,00</t>
        </is>
      </c>
      <c r="M344" s="63" t="inlineStr">
        <is>
          <t>193,64</t>
        </is>
      </c>
      <c r="N344" s="63" t="inlineStr">
        <is>
          <t>224,62</t>
        </is>
      </c>
      <c r="O344" s="65" t="n"/>
      <c r="P344" s="65" t="n"/>
      <c r="Q344" s="65" t="n"/>
      <c r="R344" s="65" t="n"/>
      <c r="S344" s="65" t="n"/>
      <c r="T344" s="65" t="n"/>
      <c r="U344" s="65" t="n"/>
      <c r="V344" s="65" t="n"/>
    </row>
    <row r="345">
      <c r="A345" s="65" t="n"/>
      <c r="B345" s="65" t="n"/>
      <c r="C345" s="65" t="n"/>
      <c r="D345" s="65" t="n"/>
      <c r="E345" s="65" t="n"/>
      <c r="F345" s="65" t="n"/>
      <c r="G345" s="65" t="n"/>
      <c r="H345" s="65" t="inlineStr">
        <is>
          <t>[0725] AGUA DESMINERALIZADA</t>
        </is>
      </c>
      <c r="I345" s="65" t="n">
        <v>725</v>
      </c>
      <c r="J345" s="63" t="inlineStr">
        <is>
          <t>1,00</t>
        </is>
      </c>
      <c r="K345" s="63" t="inlineStr">
        <is>
          <t>23,87</t>
        </is>
      </c>
      <c r="L345" s="63" t="inlineStr">
        <is>
          <t>0,00</t>
        </is>
      </c>
      <c r="M345" s="63" t="inlineStr">
        <is>
          <t>23,87</t>
        </is>
      </c>
      <c r="N345" s="63" t="inlineStr">
        <is>
          <t>27,69</t>
        </is>
      </c>
      <c r="O345" s="65" t="n"/>
      <c r="P345" s="65" t="n"/>
      <c r="Q345" s="65" t="n"/>
      <c r="R345" s="65" t="n"/>
      <c r="S345" s="65" t="n"/>
      <c r="T345" s="65" t="n"/>
      <c r="U345" s="65" t="n"/>
      <c r="V345" s="65" t="n"/>
    </row>
    <row r="346">
      <c r="A346" s="65" t="inlineStr">
        <is>
          <t>S00120</t>
        </is>
      </c>
      <c r="B346" s="62" t="n">
        <v>46211.35925925926</v>
      </c>
      <c r="C346" s="65" t="inlineStr">
        <is>
          <t>MARTIN RAMON DIAZ BOLIVAR</t>
        </is>
      </c>
      <c r="D346" s="65" t="inlineStr">
        <is>
          <t>VILLABONA CORREA ALBA ESTEFANIA</t>
        </is>
      </c>
      <c r="E346" s="65" t="inlineStr">
        <is>
          <t>7 días</t>
        </is>
      </c>
      <c r="F346" s="65" t="n">
        <v>3</v>
      </c>
      <c r="G346" s="65" t="inlineStr">
        <is>
          <t>Precio Full Marzo</t>
        </is>
      </c>
      <c r="H346" s="65" t="inlineStr">
        <is>
          <t>[0779] SINOCO SAE 20W-50 (1x12)</t>
        </is>
      </c>
      <c r="I346" s="65" t="n">
        <v>779</v>
      </c>
      <c r="J346" s="63" t="inlineStr">
        <is>
          <t>1,00</t>
        </is>
      </c>
      <c r="K346" s="63" t="inlineStr">
        <is>
          <t>62,07</t>
        </is>
      </c>
      <c r="L346" s="63" t="inlineStr">
        <is>
          <t>0,00</t>
        </is>
      </c>
      <c r="M346" s="63" t="inlineStr">
        <is>
          <t>62,07</t>
        </is>
      </c>
      <c r="N346" s="63" t="inlineStr">
        <is>
          <t>72,00</t>
        </is>
      </c>
      <c r="O346" s="63" t="inlineStr">
        <is>
          <t>93,10</t>
        </is>
      </c>
      <c r="P346" s="63" t="inlineStr">
        <is>
          <t>107,99</t>
        </is>
      </c>
      <c r="Q346" s="63" t="inlineStr">
        <is>
          <t>685,94</t>
        </is>
      </c>
      <c r="R346" s="66" t="n">
        <v>46211</v>
      </c>
      <c r="S346" s="65" t="n">
        <v>255</v>
      </c>
      <c r="T346" s="65" t="inlineStr">
        <is>
          <t>00-00000777</t>
        </is>
      </c>
      <c r="U346" s="63" t="inlineStr">
        <is>
          <t>107,97</t>
        </is>
      </c>
      <c r="V346" s="63" t="inlineStr">
        <is>
          <t>58,01</t>
        </is>
      </c>
    </row>
    <row r="347">
      <c r="A347" s="65" t="n"/>
      <c r="B347" s="65" t="n"/>
      <c r="C347" s="65" t="n"/>
      <c r="D347" s="65" t="n"/>
      <c r="E347" s="65" t="n"/>
      <c r="F347" s="65" t="n"/>
      <c r="G347" s="65" t="n"/>
      <c r="H347" s="65" t="inlineStr">
        <is>
          <t>[0761] LIGA PARA FRENOS DOT-3 (1x12)</t>
        </is>
      </c>
      <c r="I347" s="65" t="n">
        <v>761</v>
      </c>
      <c r="J347" s="63" t="inlineStr">
        <is>
          <t>1,00</t>
        </is>
      </c>
      <c r="K347" s="63" t="inlineStr">
        <is>
          <t>31,03</t>
        </is>
      </c>
      <c r="L347" s="63" t="inlineStr">
        <is>
          <t>0,00</t>
        </is>
      </c>
      <c r="M347" s="63" t="inlineStr">
        <is>
          <t>31,03</t>
        </is>
      </c>
      <c r="N347" s="63" t="inlineStr">
        <is>
          <t>35,99</t>
        </is>
      </c>
      <c r="O347" s="65" t="n"/>
      <c r="P347" s="65" t="n"/>
      <c r="Q347" s="65" t="n"/>
      <c r="R347" s="65" t="n"/>
      <c r="S347" s="65" t="n"/>
      <c r="T347" s="65" t="n"/>
      <c r="U347" s="65" t="n"/>
      <c r="V347" s="65" t="n"/>
    </row>
    <row r="348">
      <c r="A348" s="65" t="inlineStr">
        <is>
          <t>S00114</t>
        </is>
      </c>
      <c r="B348" s="62" t="n">
        <v>46211.3559837963</v>
      </c>
      <c r="C348" s="65" t="inlineStr">
        <is>
          <t>Autoasesorio maxi motor</t>
        </is>
      </c>
      <c r="D348" s="65" t="inlineStr">
        <is>
          <t>PEREZ DIAZ ANGEL DE DIOS</t>
        </is>
      </c>
      <c r="E348" s="65" t="inlineStr">
        <is>
          <t>30 días</t>
        </is>
      </c>
      <c r="F348" s="65" t="n">
        <v>7</v>
      </c>
      <c r="G348" s="65" t="inlineStr">
        <is>
          <t>Pago USD Marzo</t>
        </is>
      </c>
      <c r="H348" s="65" t="inlineStr">
        <is>
          <t>[0887] MOTOCLASICO 4T SAE 20W-50 (1x12)</t>
        </is>
      </c>
      <c r="I348" s="65" t="n">
        <v>887</v>
      </c>
      <c r="J348" s="63" t="inlineStr">
        <is>
          <t>3,00</t>
        </is>
      </c>
      <c r="K348" s="63" t="inlineStr">
        <is>
          <t>56,90</t>
        </is>
      </c>
      <c r="L348" s="63" t="inlineStr">
        <is>
          <t>0,00</t>
        </is>
      </c>
      <c r="M348" s="63" t="inlineStr">
        <is>
          <t>170,70</t>
        </is>
      </c>
      <c r="N348" s="63" t="inlineStr">
        <is>
          <t>198,01</t>
        </is>
      </c>
      <c r="O348" s="63" t="inlineStr">
        <is>
          <t>170,70</t>
        </is>
      </c>
      <c r="P348" s="63" t="inlineStr">
        <is>
          <t>198,01</t>
        </is>
      </c>
      <c r="Q348" s="63" t="inlineStr">
        <is>
          <t>685,94</t>
        </is>
      </c>
      <c r="R348" s="66" t="n">
        <v>46211</v>
      </c>
      <c r="S348" s="65" t="n">
        <v>254</v>
      </c>
      <c r="T348" s="65" t="inlineStr">
        <is>
          <t>00-00000776</t>
        </is>
      </c>
      <c r="U348" s="63" t="inlineStr">
        <is>
          <t>198,01</t>
        </is>
      </c>
      <c r="V348" s="63" t="inlineStr">
        <is>
          <t>48,01</t>
        </is>
      </c>
    </row>
    <row r="349">
      <c r="A349" s="65" t="n"/>
      <c r="B349" s="65" t="n"/>
      <c r="C349" s="65" t="n"/>
      <c r="D349" s="65" t="n"/>
      <c r="E349" s="65" t="n"/>
      <c r="F349" s="65" t="n"/>
      <c r="G349" s="65" t="n"/>
      <c r="H349" s="65" t="n"/>
      <c r="I349" s="65" t="n"/>
      <c r="J349" s="63" t="inlineStr">
        <is>
          <t>0,00</t>
        </is>
      </c>
      <c r="K349" s="63" t="inlineStr">
        <is>
          <t>0,00</t>
        </is>
      </c>
      <c r="L349" s="63" t="inlineStr">
        <is>
          <t>0,00</t>
        </is>
      </c>
      <c r="M349" s="63" t="inlineStr">
        <is>
          <t>0,00</t>
        </is>
      </c>
      <c r="N349" s="63" t="inlineStr">
        <is>
          <t>0,00</t>
        </is>
      </c>
      <c r="O349" s="65" t="n"/>
      <c r="P349" s="65" t="n"/>
      <c r="Q349" s="65" t="n"/>
      <c r="R349" s="65" t="n"/>
      <c r="S349" s="65" t="n"/>
      <c r="T349" s="65" t="n"/>
      <c r="U349" s="65" t="n"/>
      <c r="V349" s="65" t="n"/>
    </row>
    <row r="350">
      <c r="A350" s="65" t="inlineStr">
        <is>
          <t>S00105</t>
        </is>
      </c>
      <c r="B350" s="62" t="n">
        <v>46211.35449074074</v>
      </c>
      <c r="C350" s="65" t="inlineStr">
        <is>
          <t>Ricardo A. Fernandez.</t>
        </is>
      </c>
      <c r="D350" s="65" t="inlineStr">
        <is>
          <t>MARTINEZ MONTES JEFFREY ENRIQUE</t>
        </is>
      </c>
      <c r="E350" s="65" t="inlineStr">
        <is>
          <t>15 días</t>
        </is>
      </c>
      <c r="F350" s="65" t="n">
        <v>7</v>
      </c>
      <c r="G350" s="65" t="inlineStr">
        <is>
          <t>Pago USD Marzo</t>
        </is>
      </c>
      <c r="H350" s="65" t="inlineStr">
        <is>
          <t>[0779] SINOCO SAE 20W-50 (1x12)</t>
        </is>
      </c>
      <c r="I350" s="65" t="n">
        <v>779</v>
      </c>
      <c r="J350" s="63" t="inlineStr">
        <is>
          <t>1,00</t>
        </is>
      </c>
      <c r="K350" s="63" t="inlineStr">
        <is>
          <t>41,38</t>
        </is>
      </c>
      <c r="L350" s="63" t="inlineStr">
        <is>
          <t>0,00</t>
        </is>
      </c>
      <c r="M350" s="63" t="inlineStr">
        <is>
          <t>41,38</t>
        </is>
      </c>
      <c r="N350" s="63" t="inlineStr">
        <is>
          <t>48,00</t>
        </is>
      </c>
      <c r="O350" s="63" t="inlineStr">
        <is>
          <t>161,21</t>
        </is>
      </c>
      <c r="P350" s="63" t="inlineStr">
        <is>
          <t>187,00</t>
        </is>
      </c>
      <c r="Q350" s="63" t="inlineStr">
        <is>
          <t>685,94</t>
        </is>
      </c>
      <c r="R350" s="66" t="n">
        <v>46211</v>
      </c>
      <c r="S350" s="65" t="n">
        <v>253</v>
      </c>
      <c r="T350" s="65" t="inlineStr">
        <is>
          <t>00-00000775</t>
        </is>
      </c>
      <c r="U350" s="63" t="inlineStr">
        <is>
          <t>186,98</t>
        </is>
      </c>
      <c r="V350" s="63" t="inlineStr">
        <is>
          <t>187,00</t>
        </is>
      </c>
    </row>
    <row r="351">
      <c r="A351" s="65" t="n"/>
      <c r="B351" s="65" t="n"/>
      <c r="C351" s="65" t="n"/>
      <c r="D351" s="65" t="n"/>
      <c r="E351" s="65" t="n"/>
      <c r="F351" s="65" t="n"/>
      <c r="G351" s="65" t="n"/>
      <c r="H351" s="65" t="inlineStr">
        <is>
          <t>[0877] SS EXTRA PROTECCION API SN SAE 15W-40 (1X12)</t>
        </is>
      </c>
      <c r="I351" s="65" t="n">
        <v>877</v>
      </c>
      <c r="J351" s="63" t="inlineStr">
        <is>
          <t>1,00</t>
        </is>
      </c>
      <c r="K351" s="63" t="inlineStr">
        <is>
          <t>62,07</t>
        </is>
      </c>
      <c r="L351" s="63" t="inlineStr">
        <is>
          <t>0,00</t>
        </is>
      </c>
      <c r="M351" s="63" t="inlineStr">
        <is>
          <t>62,07</t>
        </is>
      </c>
      <c r="N351" s="63" t="inlineStr">
        <is>
          <t>72,00</t>
        </is>
      </c>
      <c r="O351" s="65" t="n"/>
      <c r="P351" s="65" t="n"/>
      <c r="Q351" s="65" t="n"/>
      <c r="R351" s="65" t="n"/>
      <c r="S351" s="65" t="n"/>
      <c r="T351" s="65" t="n"/>
      <c r="U351" s="65" t="n"/>
      <c r="V351" s="65" t="n"/>
    </row>
    <row r="352">
      <c r="A352" s="65" t="n"/>
      <c r="B352" s="65" t="n"/>
      <c r="C352" s="65" t="n"/>
      <c r="D352" s="65" t="n"/>
      <c r="E352" s="65" t="n"/>
      <c r="F352" s="65" t="n"/>
      <c r="G352" s="65" t="n"/>
      <c r="H352" s="65" t="inlineStr">
        <is>
          <t>[0884] TRANSMATIC ATF DEXRON III (1x12)</t>
        </is>
      </c>
      <c r="I352" s="65" t="n">
        <v>884</v>
      </c>
      <c r="J352" s="63" t="inlineStr">
        <is>
          <t>1,00</t>
        </is>
      </c>
      <c r="K352" s="63" t="inlineStr">
        <is>
          <t>57,76</t>
        </is>
      </c>
      <c r="L352" s="63" t="inlineStr">
        <is>
          <t>0,00</t>
        </is>
      </c>
      <c r="M352" s="63" t="inlineStr">
        <is>
          <t>57,76</t>
        </is>
      </c>
      <c r="N352" s="63" t="inlineStr">
        <is>
          <t>67,00</t>
        </is>
      </c>
      <c r="O352" s="65" t="n"/>
      <c r="P352" s="65" t="n"/>
      <c r="Q352" s="65" t="n"/>
      <c r="R352" s="65" t="n"/>
      <c r="S352" s="65" t="n"/>
      <c r="T352" s="65" t="n"/>
      <c r="U352" s="65" t="n"/>
      <c r="V352" s="65" t="n"/>
    </row>
    <row r="353">
      <c r="A353" s="65" t="inlineStr">
        <is>
          <t>S00103</t>
        </is>
      </c>
      <c r="B353" s="62" t="n">
        <v>46211.35239583333</v>
      </c>
      <c r="C353" s="65" t="inlineStr">
        <is>
          <t>Alexis Rodríguez Fernández</t>
        </is>
      </c>
      <c r="D353" s="65" t="inlineStr">
        <is>
          <t>PEREZ DIAZ ANGEL DE DIOS</t>
        </is>
      </c>
      <c r="E353" s="65" t="inlineStr">
        <is>
          <t>30 días</t>
        </is>
      </c>
      <c r="F353" s="65" t="n">
        <v>7</v>
      </c>
      <c r="G353" s="65" t="inlineStr">
        <is>
          <t>Pago USD Marzo</t>
        </is>
      </c>
      <c r="H353" s="65" t="inlineStr">
        <is>
          <t>[0779] SINOCO SAE 20W-50 (1x12)</t>
        </is>
      </c>
      <c r="I353" s="65" t="n">
        <v>779</v>
      </c>
      <c r="J353" s="63" t="inlineStr">
        <is>
          <t>2,00</t>
        </is>
      </c>
      <c r="K353" s="63" t="inlineStr">
        <is>
          <t>41,38</t>
        </is>
      </c>
      <c r="L353" s="63" t="inlineStr">
        <is>
          <t>0,00</t>
        </is>
      </c>
      <c r="M353" s="63" t="inlineStr">
        <is>
          <t>82,76</t>
        </is>
      </c>
      <c r="N353" s="63" t="inlineStr">
        <is>
          <t>96,00</t>
        </is>
      </c>
      <c r="O353" s="63" t="inlineStr">
        <is>
          <t>409,49</t>
        </is>
      </c>
      <c r="P353" s="63" t="inlineStr">
        <is>
          <t>475,00</t>
        </is>
      </c>
      <c r="Q353" s="63" t="inlineStr">
        <is>
          <t>685,94</t>
        </is>
      </c>
      <c r="R353" s="66" t="n">
        <v>46211</v>
      </c>
      <c r="S353" s="65" t="n">
        <v>252</v>
      </c>
      <c r="T353" s="65" t="inlineStr">
        <is>
          <t>00-00000774</t>
        </is>
      </c>
      <c r="U353" s="63" t="inlineStr">
        <is>
          <t>474,97</t>
        </is>
      </c>
      <c r="V353" s="63" t="inlineStr">
        <is>
          <t>257,04</t>
        </is>
      </c>
    </row>
    <row r="354">
      <c r="A354" s="65" t="n"/>
      <c r="B354" s="65" t="n"/>
      <c r="C354" s="65" t="n"/>
      <c r="D354" s="65" t="n"/>
      <c r="E354" s="65" t="n"/>
      <c r="F354" s="65" t="n"/>
      <c r="G354" s="65" t="n"/>
      <c r="H354" s="65" t="inlineStr">
        <is>
          <t>[0915] SINOCO SAE 50 (1x12)</t>
        </is>
      </c>
      <c r="I354" s="65" t="n">
        <v>915</v>
      </c>
      <c r="J354" s="63" t="inlineStr">
        <is>
          <t>1,00</t>
        </is>
      </c>
      <c r="K354" s="63" t="inlineStr">
        <is>
          <t>41,38</t>
        </is>
      </c>
      <c r="L354" s="63" t="inlineStr">
        <is>
          <t>0,00</t>
        </is>
      </c>
      <c r="M354" s="63" t="inlineStr">
        <is>
          <t>41,38</t>
        </is>
      </c>
      <c r="N354" s="63" t="inlineStr">
        <is>
          <t>48,00</t>
        </is>
      </c>
      <c r="O354" s="65" t="n"/>
      <c r="P354" s="65" t="n"/>
      <c r="Q354" s="65" t="n"/>
      <c r="R354" s="65" t="n"/>
      <c r="S354" s="65" t="n"/>
      <c r="T354" s="65" t="n"/>
      <c r="U354" s="65" t="n"/>
      <c r="V354" s="65" t="n"/>
    </row>
    <row r="355">
      <c r="A355" s="65" t="n"/>
      <c r="B355" s="65" t="n"/>
      <c r="C355" s="65" t="n"/>
      <c r="D355" s="65" t="n"/>
      <c r="E355" s="65" t="n"/>
      <c r="F355" s="65" t="n"/>
      <c r="G355" s="65" t="n"/>
      <c r="H355" s="65" t="inlineStr">
        <is>
          <t>[0602] SINOCO SAE 50 (PAILA)</t>
        </is>
      </c>
      <c r="I355" s="65" t="n">
        <v>602</v>
      </c>
      <c r="J355" s="63" t="inlineStr">
        <is>
          <t>1,00</t>
        </is>
      </c>
      <c r="K355" s="63" t="inlineStr">
        <is>
          <t>57,76</t>
        </is>
      </c>
      <c r="L355" s="63" t="inlineStr">
        <is>
          <t>0,00</t>
        </is>
      </c>
      <c r="M355" s="63" t="inlineStr">
        <is>
          <t>57,76</t>
        </is>
      </c>
      <c r="N355" s="63" t="inlineStr">
        <is>
          <t>67,00</t>
        </is>
      </c>
      <c r="O355" s="65" t="n"/>
      <c r="P355" s="65" t="n"/>
      <c r="Q355" s="65" t="n"/>
      <c r="R355" s="65" t="n"/>
      <c r="S355" s="65" t="n"/>
      <c r="T355" s="65" t="n"/>
      <c r="U355" s="65" t="n"/>
      <c r="V355" s="65" t="n"/>
    </row>
    <row r="356">
      <c r="A356" s="65" t="n"/>
      <c r="B356" s="65" t="n"/>
      <c r="C356" s="65" t="n"/>
      <c r="D356" s="65" t="n"/>
      <c r="E356" s="65" t="n"/>
      <c r="F356" s="65" t="n"/>
      <c r="G356" s="65" t="n"/>
      <c r="H356" s="65" t="inlineStr">
        <is>
          <t>[0884] TRANSMATIC ATF DEXRON III (1x12)</t>
        </is>
      </c>
      <c r="I356" s="65" t="n">
        <v>884</v>
      </c>
      <c r="J356" s="63" t="inlineStr">
        <is>
          <t>1,00</t>
        </is>
      </c>
      <c r="K356" s="63" t="inlineStr">
        <is>
          <t>57,76</t>
        </is>
      </c>
      <c r="L356" s="63" t="inlineStr">
        <is>
          <t>0,00</t>
        </is>
      </c>
      <c r="M356" s="63" t="inlineStr">
        <is>
          <t>57,76</t>
        </is>
      </c>
      <c r="N356" s="63" t="inlineStr">
        <is>
          <t>67,00</t>
        </is>
      </c>
      <c r="O356" s="65" t="n"/>
      <c r="P356" s="65" t="n"/>
      <c r="Q356" s="65" t="n"/>
      <c r="R356" s="65" t="n"/>
      <c r="S356" s="65" t="n"/>
      <c r="T356" s="65" t="n"/>
      <c r="U356" s="65" t="n"/>
      <c r="V356" s="65" t="n"/>
    </row>
    <row r="357">
      <c r="A357" s="65" t="n"/>
      <c r="B357" s="65" t="n"/>
      <c r="C357" s="65" t="n"/>
      <c r="D357" s="65" t="n"/>
      <c r="E357" s="65" t="n"/>
      <c r="F357" s="65" t="n"/>
      <c r="G357" s="65" t="n"/>
      <c r="H357" s="65" t="inlineStr">
        <is>
          <t>[0880] CLASICO API SL SAE 15W-40 (1x12)</t>
        </is>
      </c>
      <c r="I357" s="65" t="n">
        <v>880</v>
      </c>
      <c r="J357" s="63" t="inlineStr">
        <is>
          <t>1,00</t>
        </is>
      </c>
      <c r="K357" s="63" t="inlineStr">
        <is>
          <t>53,45</t>
        </is>
      </c>
      <c r="L357" s="63" t="inlineStr">
        <is>
          <t>0,00</t>
        </is>
      </c>
      <c r="M357" s="63" t="inlineStr">
        <is>
          <t>53,45</t>
        </is>
      </c>
      <c r="N357" s="63" t="inlineStr">
        <is>
          <t>62,00</t>
        </is>
      </c>
      <c r="O357" s="65" t="n"/>
      <c r="P357" s="65" t="n"/>
      <c r="Q357" s="65" t="n"/>
      <c r="R357" s="65" t="n"/>
      <c r="S357" s="65" t="n"/>
      <c r="T357" s="65" t="n"/>
      <c r="U357" s="65" t="n"/>
      <c r="V357" s="65" t="n"/>
    </row>
    <row r="358">
      <c r="A358" s="65" t="n"/>
      <c r="B358" s="65" t="n"/>
      <c r="C358" s="65" t="n"/>
      <c r="D358" s="65" t="n"/>
      <c r="E358" s="65" t="n"/>
      <c r="F358" s="65" t="n"/>
      <c r="G358" s="65" t="n"/>
      <c r="H358" s="65" t="inlineStr">
        <is>
          <t>[0881] CLASICO API SL SAE 20W-50 (1x12)</t>
        </is>
      </c>
      <c r="I358" s="65" t="n">
        <v>881</v>
      </c>
      <c r="J358" s="63" t="inlineStr">
        <is>
          <t>1,00</t>
        </is>
      </c>
      <c r="K358" s="63" t="inlineStr">
        <is>
          <t>54,31</t>
        </is>
      </c>
      <c r="L358" s="63" t="inlineStr">
        <is>
          <t>0,00</t>
        </is>
      </c>
      <c r="M358" s="63" t="inlineStr">
        <is>
          <t>54,31</t>
        </is>
      </c>
      <c r="N358" s="63" t="inlineStr">
        <is>
          <t>63,00</t>
        </is>
      </c>
      <c r="O358" s="65" t="n"/>
      <c r="P358" s="65" t="n"/>
      <c r="Q358" s="65" t="n"/>
      <c r="R358" s="65" t="n"/>
      <c r="S358" s="65" t="n"/>
      <c r="T358" s="65" t="n"/>
      <c r="U358" s="65" t="n"/>
      <c r="V358" s="65" t="n"/>
    </row>
    <row r="359">
      <c r="A359" s="65" t="n"/>
      <c r="B359" s="65" t="n"/>
      <c r="C359" s="65" t="n"/>
      <c r="D359" s="65" t="n"/>
      <c r="E359" s="65" t="n"/>
      <c r="F359" s="65" t="n"/>
      <c r="G359" s="65" t="n"/>
      <c r="H359" s="65" t="inlineStr">
        <is>
          <t>[0877] SS EXTRA PROTECCION API SN SAE 15W-40 (1X12)</t>
        </is>
      </c>
      <c r="I359" s="65" t="n">
        <v>877</v>
      </c>
      <c r="J359" s="63" t="inlineStr">
        <is>
          <t>1,00</t>
        </is>
      </c>
      <c r="K359" s="63" t="inlineStr">
        <is>
          <t>62,07</t>
        </is>
      </c>
      <c r="L359" s="63" t="inlineStr">
        <is>
          <t>0,00</t>
        </is>
      </c>
      <c r="M359" s="63" t="inlineStr">
        <is>
          <t>62,07</t>
        </is>
      </c>
      <c r="N359" s="63" t="inlineStr">
        <is>
          <t>72,00</t>
        </is>
      </c>
      <c r="O359" s="65" t="n"/>
      <c r="P359" s="65" t="n"/>
      <c r="Q359" s="65" t="n"/>
      <c r="R359" s="65" t="n"/>
      <c r="S359" s="65" t="n"/>
      <c r="T359" s="65" t="n"/>
      <c r="U359" s="65" t="n"/>
      <c r="V359" s="65" t="n"/>
    </row>
    <row r="360">
      <c r="A360" s="65" t="inlineStr">
        <is>
          <t>S00638</t>
        </is>
      </c>
      <c r="B360" s="62" t="n">
        <v>46210.99680555556</v>
      </c>
      <c r="C360" s="65" t="inlineStr">
        <is>
          <t>Anthony Jose Quijada Diaz.</t>
        </is>
      </c>
      <c r="D360" s="65" t="inlineStr">
        <is>
          <t>CASERES GONZALEZ RONALD OSWALDO</t>
        </is>
      </c>
      <c r="E360" s="65" t="inlineStr">
        <is>
          <t>7 días</t>
        </is>
      </c>
      <c r="F360" s="65" t="n">
        <v>8</v>
      </c>
      <c r="G360" s="65" t="inlineStr">
        <is>
          <t>Pago USD</t>
        </is>
      </c>
      <c r="H360" s="65" t="inlineStr">
        <is>
          <t>[0144] HIDRAGLOB AW/ISO 68 (PAILA)</t>
        </is>
      </c>
      <c r="I360" s="65" t="n">
        <v>144</v>
      </c>
      <c r="J360" s="63" t="inlineStr">
        <is>
          <t>4,00</t>
        </is>
      </c>
      <c r="K360" s="63" t="inlineStr">
        <is>
          <t>61,21</t>
        </is>
      </c>
      <c r="L360" s="63" t="inlineStr">
        <is>
          <t>5,00</t>
        </is>
      </c>
      <c r="M360" s="63" t="inlineStr">
        <is>
          <t>232,59</t>
        </is>
      </c>
      <c r="N360" s="63" t="inlineStr">
        <is>
          <t>269,80</t>
        </is>
      </c>
      <c r="O360" s="63" t="inlineStr">
        <is>
          <t>343,97</t>
        </is>
      </c>
      <c r="P360" s="63" t="inlineStr">
        <is>
          <t>399,00</t>
        </is>
      </c>
      <c r="Q360" s="63" t="inlineStr">
        <is>
          <t>709,69</t>
        </is>
      </c>
      <c r="R360" s="66" t="n">
        <v>46215</v>
      </c>
      <c r="S360" s="65" t="n">
        <v>320</v>
      </c>
      <c r="T360" s="65" t="inlineStr">
        <is>
          <t>00-00000862</t>
        </is>
      </c>
      <c r="U360" s="63" t="inlineStr">
        <is>
          <t>398,98</t>
        </is>
      </c>
      <c r="V360" s="63" t="inlineStr">
        <is>
          <t>0,00</t>
        </is>
      </c>
    </row>
    <row r="361">
      <c r="A361" s="65" t="n"/>
      <c r="B361" s="65" t="n"/>
      <c r="C361" s="65" t="n"/>
      <c r="D361" s="65" t="n"/>
      <c r="E361" s="65" t="n"/>
      <c r="F361" s="65" t="n"/>
      <c r="G361" s="65" t="n"/>
      <c r="H361" s="65" t="inlineStr">
        <is>
          <t>[0337] GLOBAL SOLUBLE ACEITE EMULSIONABLE CORTES DE METAL (PAILA)</t>
        </is>
      </c>
      <c r="I361" s="65" t="n">
        <v>337</v>
      </c>
      <c r="J361" s="63" t="inlineStr">
        <is>
          <t>1,00</t>
        </is>
      </c>
      <c r="K361" s="63" t="inlineStr">
        <is>
          <t>117,24</t>
        </is>
      </c>
      <c r="L361" s="63" t="inlineStr">
        <is>
          <t>5,00</t>
        </is>
      </c>
      <c r="M361" s="63" t="inlineStr">
        <is>
          <t>111,38</t>
        </is>
      </c>
      <c r="N361" s="63" t="inlineStr">
        <is>
          <t>129,20</t>
        </is>
      </c>
      <c r="O361" s="65" t="n"/>
      <c r="P361" s="65" t="n"/>
      <c r="Q361" s="65" t="n"/>
      <c r="R361" s="65" t="n"/>
      <c r="S361" s="65" t="n"/>
      <c r="T361" s="65" t="n"/>
      <c r="U361" s="65" t="n"/>
      <c r="V361" s="65" t="n"/>
    </row>
    <row r="362">
      <c r="A362" s="65" t="inlineStr">
        <is>
          <t>S00617</t>
        </is>
      </c>
      <c r="B362" s="62" t="n">
        <v>46210.99658564815</v>
      </c>
      <c r="C362" s="65" t="inlineStr">
        <is>
          <t>Anthony Jose Quijada Diaz.</t>
        </is>
      </c>
      <c r="D362" s="65" t="inlineStr">
        <is>
          <t>CASERES GONZALEZ RONALD OSWALDO</t>
        </is>
      </c>
      <c r="E362" s="65" t="inlineStr">
        <is>
          <t>7 días</t>
        </is>
      </c>
      <c r="F362" s="65" t="n">
        <v>8</v>
      </c>
      <c r="G362" s="65" t="inlineStr">
        <is>
          <t>Pago USD</t>
        </is>
      </c>
      <c r="H362" s="65" t="inlineStr">
        <is>
          <t>[0144] HIDRAGLOB AW/ISO 68 (PAILA)</t>
        </is>
      </c>
      <c r="I362" s="65" t="n">
        <v>144</v>
      </c>
      <c r="J362" s="63" t="inlineStr">
        <is>
          <t>2,00</t>
        </is>
      </c>
      <c r="K362" s="63" t="inlineStr">
        <is>
          <t>61,21</t>
        </is>
      </c>
      <c r="L362" s="63" t="inlineStr">
        <is>
          <t>0,00</t>
        </is>
      </c>
      <c r="M362" s="63" t="inlineStr">
        <is>
          <t>122,41</t>
        </is>
      </c>
      <c r="N362" s="63" t="inlineStr">
        <is>
          <t>142,00</t>
        </is>
      </c>
      <c r="O362" s="63" t="inlineStr">
        <is>
          <t>122,41</t>
        </is>
      </c>
      <c r="P362" s="63" t="inlineStr">
        <is>
          <t>142,00</t>
        </is>
      </c>
      <c r="Q362" s="63" t="inlineStr">
        <is>
          <t>709,69</t>
        </is>
      </c>
      <c r="R362" s="66" t="n">
        <v>46215</v>
      </c>
      <c r="S362" s="65" t="n">
        <v>321</v>
      </c>
      <c r="T362" s="65" t="inlineStr">
        <is>
          <t>00-00000863</t>
        </is>
      </c>
      <c r="U362" s="63" t="inlineStr">
        <is>
          <t>141,99</t>
        </is>
      </c>
      <c r="V362" s="63" t="inlineStr">
        <is>
          <t>0,00</t>
        </is>
      </c>
    </row>
    <row r="363">
      <c r="A363" s="65" t="inlineStr">
        <is>
          <t>S00610</t>
        </is>
      </c>
      <c r="B363" s="62" t="n">
        <v>46210.99636574074</v>
      </c>
      <c r="C363" s="65" t="inlineStr">
        <is>
          <t>AGROPECUARIA EL TORO DORADO, C.A</t>
        </is>
      </c>
      <c r="D363" s="65" t="inlineStr">
        <is>
          <t>CASERES GONZALEZ RONALD OSWALDO</t>
        </is>
      </c>
      <c r="E363" s="65" t="inlineStr">
        <is>
          <t>7 días</t>
        </is>
      </c>
      <c r="F363" s="65" t="n">
        <v>8</v>
      </c>
      <c r="G363" s="65" t="inlineStr">
        <is>
          <t>Pago USD</t>
        </is>
      </c>
      <c r="H363" s="65" t="inlineStr">
        <is>
          <t>[0083] MAXIMO API CF SAE 50 (PAILA)</t>
        </is>
      </c>
      <c r="I363" s="65" t="n">
        <v>83</v>
      </c>
      <c r="J363" s="63" t="inlineStr">
        <is>
          <t>8,00</t>
        </is>
      </c>
      <c r="K363" s="63" t="inlineStr">
        <is>
          <t>73,28</t>
        </is>
      </c>
      <c r="L363" s="63" t="inlineStr">
        <is>
          <t>3,20</t>
        </is>
      </c>
      <c r="M363" s="63" t="inlineStr">
        <is>
          <t>567,45</t>
        </is>
      </c>
      <c r="N363" s="63" t="inlineStr">
        <is>
          <t>658,24</t>
        </is>
      </c>
      <c r="O363" s="63" t="inlineStr">
        <is>
          <t>1.304,29</t>
        </is>
      </c>
      <c r="P363" s="63" t="inlineStr">
        <is>
          <t>1.512,98</t>
        </is>
      </c>
      <c r="Q363" s="63" t="inlineStr">
        <is>
          <t>709,69</t>
        </is>
      </c>
      <c r="R363" s="66" t="n">
        <v>46214</v>
      </c>
      <c r="S363" s="65" t="n">
        <v>295</v>
      </c>
      <c r="T363" s="65" t="inlineStr">
        <is>
          <t>00-00000834</t>
        </is>
      </c>
      <c r="U363" s="63" t="inlineStr">
        <is>
          <t>1.512,95</t>
        </is>
      </c>
      <c r="V363" s="63" t="inlineStr">
        <is>
          <t>0,00</t>
        </is>
      </c>
    </row>
    <row r="364">
      <c r="A364" s="65" t="n"/>
      <c r="B364" s="65" t="n"/>
      <c r="C364" s="65" t="n"/>
      <c r="D364" s="65" t="n"/>
      <c r="E364" s="65" t="n"/>
      <c r="F364" s="65" t="n"/>
      <c r="G364" s="65" t="n"/>
      <c r="H364" s="65" t="inlineStr">
        <is>
          <t>[0144] HIDRAGLOB AW/ISO 68 (PAILA)</t>
        </is>
      </c>
      <c r="I364" s="65" t="n">
        <v>144</v>
      </c>
      <c r="J364" s="63" t="inlineStr">
        <is>
          <t>8,00</t>
        </is>
      </c>
      <c r="K364" s="63" t="inlineStr">
        <is>
          <t>61,21</t>
        </is>
      </c>
      <c r="L364" s="63" t="inlineStr">
        <is>
          <t>3,20</t>
        </is>
      </c>
      <c r="M364" s="63" t="inlineStr">
        <is>
          <t>473,99</t>
        </is>
      </c>
      <c r="N364" s="63" t="inlineStr">
        <is>
          <t>549,83</t>
        </is>
      </c>
      <c r="O364" s="65" t="n"/>
      <c r="P364" s="65" t="n"/>
      <c r="Q364" s="65" t="n"/>
      <c r="R364" s="65" t="n"/>
      <c r="S364" s="65" t="n"/>
      <c r="T364" s="65" t="n"/>
      <c r="U364" s="65" t="n"/>
      <c r="V364" s="65" t="n"/>
    </row>
    <row r="365">
      <c r="A365" s="65" t="n"/>
      <c r="B365" s="65" t="n"/>
      <c r="C365" s="65" t="n"/>
      <c r="D365" s="65" t="n"/>
      <c r="E365" s="65" t="n"/>
      <c r="F365" s="65" t="n"/>
      <c r="G365" s="65" t="n"/>
      <c r="H365" s="65" t="inlineStr">
        <is>
          <t>[0881] CLASICO API SL SAE 20W-50 (1x12)</t>
        </is>
      </c>
      <c r="I365" s="65" t="n">
        <v>881</v>
      </c>
      <c r="J365" s="63" t="inlineStr">
        <is>
          <t>2,00</t>
        </is>
      </c>
      <c r="K365" s="63" t="inlineStr">
        <is>
          <t>56,03</t>
        </is>
      </c>
      <c r="L365" s="63" t="inlineStr">
        <is>
          <t>3,20</t>
        </is>
      </c>
      <c r="M365" s="63" t="inlineStr">
        <is>
          <t>108,48</t>
        </is>
      </c>
      <c r="N365" s="63" t="inlineStr">
        <is>
          <t>125,84</t>
        </is>
      </c>
      <c r="O365" s="65" t="n"/>
      <c r="P365" s="65" t="n"/>
      <c r="Q365" s="65" t="n"/>
      <c r="R365" s="65" t="n"/>
      <c r="S365" s="65" t="n"/>
      <c r="T365" s="65" t="n"/>
      <c r="U365" s="65" t="n"/>
      <c r="V365" s="65" t="n"/>
    </row>
    <row r="366">
      <c r="A366" s="65" t="n"/>
      <c r="B366" s="65" t="n"/>
      <c r="C366" s="65" t="n"/>
      <c r="D366" s="65" t="n"/>
      <c r="E366" s="65" t="n"/>
      <c r="F366" s="65" t="n"/>
      <c r="G366" s="65" t="n"/>
      <c r="H366" s="65" t="inlineStr">
        <is>
          <t>[0888] ENDUROGLOB 2T AIRE (1x12)</t>
        </is>
      </c>
      <c r="I366" s="65" t="n">
        <v>888</v>
      </c>
      <c r="J366" s="63" t="inlineStr">
        <is>
          <t>2,00</t>
        </is>
      </c>
      <c r="K366" s="63" t="inlineStr">
        <is>
          <t>64,66</t>
        </is>
      </c>
      <c r="L366" s="63" t="inlineStr">
        <is>
          <t>3,20</t>
        </is>
      </c>
      <c r="M366" s="63" t="inlineStr">
        <is>
          <t>125,17</t>
        </is>
      </c>
      <c r="N366" s="63" t="inlineStr">
        <is>
          <t>145,20</t>
        </is>
      </c>
      <c r="O366" s="65" t="n"/>
      <c r="P366" s="65" t="n"/>
      <c r="Q366" s="65" t="n"/>
      <c r="R366" s="65" t="n"/>
      <c r="S366" s="65" t="n"/>
      <c r="T366" s="65" t="n"/>
      <c r="U366" s="65" t="n"/>
      <c r="V366" s="65" t="n"/>
    </row>
    <row r="367">
      <c r="A367" s="65" t="n"/>
      <c r="B367" s="65" t="n"/>
      <c r="C367" s="65" t="n"/>
      <c r="D367" s="65" t="n"/>
      <c r="E367" s="65" t="n"/>
      <c r="F367" s="65" t="n"/>
      <c r="G367" s="65" t="n"/>
      <c r="H367" s="65" t="inlineStr">
        <is>
          <t>[0093] ALTA CILINDRADA SS API SN SAE 15W-40 (1x6)</t>
        </is>
      </c>
      <c r="I367" s="65" t="n">
        <v>93</v>
      </c>
      <c r="J367" s="63" t="inlineStr">
        <is>
          <t>1,00</t>
        </is>
      </c>
      <c r="K367" s="63" t="inlineStr">
        <is>
          <t>30,17</t>
        </is>
      </c>
      <c r="L367" s="63" t="inlineStr">
        <is>
          <t>3,21</t>
        </is>
      </c>
      <c r="M367" s="63" t="inlineStr">
        <is>
          <t>29,20</t>
        </is>
      </c>
      <c r="N367" s="63" t="inlineStr">
        <is>
          <t>33,87</t>
        </is>
      </c>
      <c r="O367" s="65" t="n"/>
      <c r="P367" s="65" t="n"/>
      <c r="Q367" s="65" t="n"/>
      <c r="R367" s="65" t="n"/>
      <c r="S367" s="65" t="n"/>
      <c r="T367" s="65" t="n"/>
      <c r="U367" s="65" t="n"/>
      <c r="V367" s="65" t="n"/>
    </row>
    <row r="368">
      <c r="A368" s="65" t="inlineStr">
        <is>
          <t>S00584</t>
        </is>
      </c>
      <c r="B368" s="62" t="n">
        <v>46210.99607638889</v>
      </c>
      <c r="C368" s="65" t="inlineStr">
        <is>
          <t>TERA INGENIERIA Y SERVICIOS INDUSTRIALES, C.A</t>
        </is>
      </c>
      <c r="D368" s="65" t="inlineStr">
        <is>
          <t>Marco Romero</t>
        </is>
      </c>
      <c r="E368" s="65" t="inlineStr">
        <is>
          <t>30 días</t>
        </is>
      </c>
      <c r="F368" s="65" t="n">
        <v>8</v>
      </c>
      <c r="G368" s="65" t="inlineStr">
        <is>
          <t>Pago USD</t>
        </is>
      </c>
      <c r="H368" s="65" t="inlineStr">
        <is>
          <t>[0083] MAXIMO API CF SAE 50 (PAILA)</t>
        </is>
      </c>
      <c r="I368" s="65" t="n">
        <v>83</v>
      </c>
      <c r="J368" s="63" t="inlineStr">
        <is>
          <t>110,00</t>
        </is>
      </c>
      <c r="K368" s="63" t="inlineStr">
        <is>
          <t>73,28</t>
        </is>
      </c>
      <c r="L368" s="63" t="inlineStr">
        <is>
          <t>0,00</t>
        </is>
      </c>
      <c r="M368" s="63" t="inlineStr">
        <is>
          <t>8.060,34</t>
        </is>
      </c>
      <c r="N368" s="63" t="inlineStr">
        <is>
          <t>9.349,99</t>
        </is>
      </c>
      <c r="O368" s="63" t="inlineStr">
        <is>
          <t>18.939,65</t>
        </is>
      </c>
      <c r="P368" s="63" t="inlineStr">
        <is>
          <t>21.970,00</t>
        </is>
      </c>
      <c r="Q368" s="65" t="n"/>
      <c r="R368" s="65" t="n"/>
      <c r="S368" s="65" t="n"/>
      <c r="T368" s="65" t="n"/>
      <c r="U368" s="65" t="n"/>
      <c r="V368" s="65" t="n"/>
    </row>
    <row r="369">
      <c r="A369" s="65" t="n"/>
      <c r="B369" s="65" t="n"/>
      <c r="C369" s="65" t="n"/>
      <c r="D369" s="65" t="n"/>
      <c r="E369" s="65" t="n"/>
      <c r="F369" s="65" t="n"/>
      <c r="G369" s="65" t="n"/>
      <c r="H369" s="65" t="inlineStr">
        <is>
          <t>[0144] HIDRAGLOB AW/ISO 68 (PAILA)</t>
        </is>
      </c>
      <c r="I369" s="65" t="n">
        <v>144</v>
      </c>
      <c r="J369" s="63" t="inlineStr">
        <is>
          <t>35,00</t>
        </is>
      </c>
      <c r="K369" s="63" t="inlineStr">
        <is>
          <t>61,21</t>
        </is>
      </c>
      <c r="L369" s="63" t="inlineStr">
        <is>
          <t>0,00</t>
        </is>
      </c>
      <c r="M369" s="63" t="inlineStr">
        <is>
          <t>2.142,24</t>
        </is>
      </c>
      <c r="N369" s="63" t="inlineStr">
        <is>
          <t>2.485,00</t>
        </is>
      </c>
      <c r="O369" s="65" t="n"/>
      <c r="P369" s="65" t="n"/>
      <c r="Q369" s="65" t="n"/>
      <c r="R369" s="65" t="n"/>
      <c r="S369" s="65" t="n"/>
      <c r="T369" s="65" t="n"/>
      <c r="U369" s="65" t="n"/>
      <c r="V369" s="65" t="n"/>
    </row>
    <row r="370">
      <c r="A370" s="65" t="n"/>
      <c r="B370" s="65" t="n"/>
      <c r="C370" s="65" t="n"/>
      <c r="D370" s="65" t="n"/>
      <c r="E370" s="65" t="n"/>
      <c r="F370" s="65" t="n"/>
      <c r="G370" s="65" t="n"/>
      <c r="H370" s="65" t="inlineStr">
        <is>
          <t>[1035] SINOCO HIDRAULICO ISO 68 (PAILA)</t>
        </is>
      </c>
      <c r="I370" s="65" t="n">
        <v>1035</v>
      </c>
      <c r="J370" s="63" t="inlineStr">
        <is>
          <t>40,00</t>
        </is>
      </c>
      <c r="K370" s="63" t="inlineStr">
        <is>
          <t>56,03</t>
        </is>
      </c>
      <c r="L370" s="63" t="inlineStr">
        <is>
          <t>0,00</t>
        </is>
      </c>
      <c r="M370" s="63" t="inlineStr">
        <is>
          <t>2.241,38</t>
        </is>
      </c>
      <c r="N370" s="63" t="inlineStr">
        <is>
          <t>2.600,00</t>
        </is>
      </c>
      <c r="O370" s="65" t="n"/>
      <c r="P370" s="65" t="n"/>
      <c r="Q370" s="65" t="n"/>
      <c r="R370" s="65" t="n"/>
      <c r="S370" s="65" t="n"/>
      <c r="T370" s="65" t="n"/>
      <c r="U370" s="65" t="n"/>
      <c r="V370" s="65" t="n"/>
    </row>
    <row r="371">
      <c r="A371" s="65" t="n"/>
      <c r="B371" s="65" t="n"/>
      <c r="C371" s="65" t="n"/>
      <c r="D371" s="65" t="n"/>
      <c r="E371" s="65" t="n"/>
      <c r="F371" s="65" t="n"/>
      <c r="G371" s="65" t="n"/>
      <c r="H371" s="65" t="inlineStr">
        <is>
          <t>[0073] SUPREMO API CI-4 SAE 15W-40 (PAILA)</t>
        </is>
      </c>
      <c r="I371" s="65" t="n">
        <v>73</v>
      </c>
      <c r="J371" s="63" t="inlineStr">
        <is>
          <t>55,00</t>
        </is>
      </c>
      <c r="K371" s="63" t="inlineStr">
        <is>
          <t>82,76</t>
        </is>
      </c>
      <c r="L371" s="63" t="inlineStr">
        <is>
          <t>0,00</t>
        </is>
      </c>
      <c r="M371" s="63" t="inlineStr">
        <is>
          <t>4.551,72</t>
        </is>
      </c>
      <c r="N371" s="63" t="inlineStr">
        <is>
          <t>5.280,00</t>
        </is>
      </c>
      <c r="O371" s="65" t="n"/>
      <c r="P371" s="65" t="n"/>
      <c r="Q371" s="65" t="n"/>
      <c r="R371" s="65" t="n"/>
      <c r="S371" s="65" t="n"/>
      <c r="T371" s="65" t="n"/>
      <c r="U371" s="65" t="n"/>
      <c r="V371" s="65" t="n"/>
    </row>
    <row r="372">
      <c r="A372" s="65" t="n"/>
      <c r="B372" s="65" t="n"/>
      <c r="C372" s="65" t="n"/>
      <c r="D372" s="65" t="n"/>
      <c r="E372" s="65" t="n"/>
      <c r="F372" s="65" t="n"/>
      <c r="G372" s="65" t="n"/>
      <c r="H372" s="65" t="inlineStr">
        <is>
          <t>[0970] GRASA GLOBAL AT 250 AR-EP (PAILA)</t>
        </is>
      </c>
      <c r="I372" s="65" t="n">
        <v>970</v>
      </c>
      <c r="J372" s="63" t="inlineStr">
        <is>
          <t>11,00</t>
        </is>
      </c>
      <c r="K372" s="63" t="inlineStr">
        <is>
          <t>176,72</t>
        </is>
      </c>
      <c r="L372" s="63" t="inlineStr">
        <is>
          <t>0,00</t>
        </is>
      </c>
      <c r="M372" s="63" t="inlineStr">
        <is>
          <t>1.943,97</t>
        </is>
      </c>
      <c r="N372" s="63" t="inlineStr">
        <is>
          <t>2.255,01</t>
        </is>
      </c>
      <c r="O372" s="65" t="n"/>
      <c r="P372" s="65" t="n"/>
      <c r="Q372" s="65" t="n"/>
      <c r="R372" s="65" t="n"/>
      <c r="S372" s="65" t="n"/>
      <c r="T372" s="65" t="n"/>
      <c r="U372" s="65" t="n"/>
      <c r="V372" s="65" t="n"/>
    </row>
    <row r="373">
      <c r="A373" s="65" t="inlineStr">
        <is>
          <t>S00506</t>
        </is>
      </c>
      <c r="B373" s="62" t="n">
        <v>46210.99582175926</v>
      </c>
      <c r="C373" s="65" t="inlineStr">
        <is>
          <t>Angel ARMAS</t>
        </is>
      </c>
      <c r="D373" s="65" t="inlineStr">
        <is>
          <t>REVERON DE CONTRERAS MELANI AUSMAR</t>
        </is>
      </c>
      <c r="E373" s="65" t="inlineStr">
        <is>
          <t>7 días</t>
        </is>
      </c>
      <c r="F373" s="65" t="n">
        <v>8</v>
      </c>
      <c r="G373" s="65" t="inlineStr">
        <is>
          <t>Pago USD</t>
        </is>
      </c>
      <c r="H373" s="65" t="inlineStr">
        <is>
          <t>[0877] SS EXTRA PROTECCION API SN SAE 15W-40 (1X12)</t>
        </is>
      </c>
      <c r="I373" s="65" t="n">
        <v>877</v>
      </c>
      <c r="J373" s="63" t="inlineStr">
        <is>
          <t>1,00</t>
        </is>
      </c>
      <c r="K373" s="63" t="inlineStr">
        <is>
          <t>65,52</t>
        </is>
      </c>
      <c r="L373" s="63" t="inlineStr">
        <is>
          <t>0,00</t>
        </is>
      </c>
      <c r="M373" s="63" t="inlineStr">
        <is>
          <t>65,52</t>
        </is>
      </c>
      <c r="N373" s="63" t="inlineStr">
        <is>
          <t>76,00</t>
        </is>
      </c>
      <c r="O373" s="63" t="inlineStr">
        <is>
          <t>65,52</t>
        </is>
      </c>
      <c r="P373" s="63" t="inlineStr">
        <is>
          <t>76,00</t>
        </is>
      </c>
      <c r="Q373" s="63" t="inlineStr">
        <is>
          <t>709,69</t>
        </is>
      </c>
      <c r="R373" s="66" t="n">
        <v>46215</v>
      </c>
      <c r="S373" s="65" t="n">
        <v>322</v>
      </c>
      <c r="T373" s="65" t="inlineStr">
        <is>
          <t>00-00000864</t>
        </is>
      </c>
      <c r="U373" s="63" t="inlineStr">
        <is>
          <t>75,99</t>
        </is>
      </c>
      <c r="V373" s="63" t="inlineStr">
        <is>
          <t>0,00</t>
        </is>
      </c>
    </row>
    <row r="374">
      <c r="A374" s="65" t="inlineStr">
        <is>
          <t>S00291</t>
        </is>
      </c>
      <c r="B374" s="62" t="n">
        <v>46210.99506944444</v>
      </c>
      <c r="C374" s="65" t="inlineStr">
        <is>
          <t>AGROPECUARIA EL TORO DORADO, C.A</t>
        </is>
      </c>
      <c r="D374" s="65" t="inlineStr">
        <is>
          <t>CASERES GONZALEZ RONALD OSWALDO</t>
        </is>
      </c>
      <c r="E374" s="65" t="inlineStr">
        <is>
          <t>7 días</t>
        </is>
      </c>
      <c r="F374" s="65" t="n">
        <v>8</v>
      </c>
      <c r="G374" s="65" t="inlineStr">
        <is>
          <t>Pago USD</t>
        </is>
      </c>
      <c r="H374" s="65" t="inlineStr">
        <is>
          <t>[0144] HIDRAGLOB AW/ISO 68 (PAILA)</t>
        </is>
      </c>
      <c r="I374" s="65" t="n">
        <v>144</v>
      </c>
      <c r="J374" s="63" t="inlineStr">
        <is>
          <t>3,00</t>
        </is>
      </c>
      <c r="K374" s="63" t="inlineStr">
        <is>
          <t>61,21</t>
        </is>
      </c>
      <c r="L374" s="63" t="inlineStr">
        <is>
          <t>0,00</t>
        </is>
      </c>
      <c r="M374" s="63" t="inlineStr">
        <is>
          <t>183,63</t>
        </is>
      </c>
      <c r="N374" s="63" t="inlineStr">
        <is>
          <t>213,01</t>
        </is>
      </c>
      <c r="O374" s="63" t="inlineStr">
        <is>
          <t>550,03</t>
        </is>
      </c>
      <c r="P374" s="63" t="inlineStr">
        <is>
          <t>638,03</t>
        </is>
      </c>
      <c r="Q374" s="63" t="inlineStr">
        <is>
          <t>709,69</t>
        </is>
      </c>
      <c r="R374" s="66" t="n">
        <v>46215</v>
      </c>
      <c r="S374" s="65" t="n">
        <v>323</v>
      </c>
      <c r="T374" s="65" t="inlineStr">
        <is>
          <t>00-00000865</t>
        </is>
      </c>
      <c r="U374" s="63" t="inlineStr">
        <is>
          <t>638,03</t>
        </is>
      </c>
      <c r="V374" s="63" t="inlineStr">
        <is>
          <t>38,03</t>
        </is>
      </c>
    </row>
    <row r="375">
      <c r="A375" s="65" t="n"/>
      <c r="B375" s="65" t="n"/>
      <c r="C375" s="65" t="n"/>
      <c r="D375" s="65" t="n"/>
      <c r="E375" s="65" t="n"/>
      <c r="F375" s="65" t="n"/>
      <c r="G375" s="65" t="n"/>
      <c r="H375" s="65" t="inlineStr">
        <is>
          <t>[0083] MAXIMO API CF SAE 50 (PAILA)</t>
        </is>
      </c>
      <c r="I375" s="65" t="n">
        <v>83</v>
      </c>
      <c r="J375" s="63" t="inlineStr">
        <is>
          <t>5,00</t>
        </is>
      </c>
      <c r="K375" s="63" t="inlineStr">
        <is>
          <t>73,28</t>
        </is>
      </c>
      <c r="L375" s="63" t="inlineStr">
        <is>
          <t>0,00</t>
        </is>
      </c>
      <c r="M375" s="63" t="inlineStr">
        <is>
          <t>366,40</t>
        </is>
      </c>
      <c r="N375" s="63" t="inlineStr">
        <is>
          <t>425,02</t>
        </is>
      </c>
      <c r="O375" s="65" t="n"/>
      <c r="P375" s="65" t="n"/>
      <c r="Q375" s="65" t="n"/>
      <c r="R375" s="65" t="n"/>
      <c r="S375" s="65" t="n"/>
      <c r="T375" s="65" t="n"/>
      <c r="U375" s="65" t="n"/>
      <c r="V375" s="65" t="n"/>
    </row>
    <row r="376">
      <c r="A376" s="65" t="inlineStr">
        <is>
          <t>S00412</t>
        </is>
      </c>
      <c r="B376" s="62" t="n">
        <v>46210.99386574074</v>
      </c>
      <c r="C376" s="65" t="inlineStr">
        <is>
          <t>Anthony Jose Quijada Diaz.</t>
        </is>
      </c>
      <c r="D376" s="65" t="inlineStr">
        <is>
          <t>CASERES GONZALEZ RONALD OSWALDO</t>
        </is>
      </c>
      <c r="E376" s="65" t="inlineStr">
        <is>
          <t>7 días</t>
        </is>
      </c>
      <c r="F376" s="65" t="n">
        <v>8</v>
      </c>
      <c r="G376" s="65" t="inlineStr">
        <is>
          <t>Pago USD</t>
        </is>
      </c>
      <c r="H376" s="65" t="inlineStr">
        <is>
          <t>[0795] REFRIGERANTE GLOBAL ORANGE PREMIUM 50-50 CONCENTRADO (1x3)</t>
        </is>
      </c>
      <c r="I376" s="65" t="n">
        <v>795</v>
      </c>
      <c r="J376" s="63" t="inlineStr">
        <is>
          <t>3,00</t>
        </is>
      </c>
      <c r="K376" s="63" t="inlineStr">
        <is>
          <t>33,62</t>
        </is>
      </c>
      <c r="L376" s="63" t="inlineStr">
        <is>
          <t>0,00</t>
        </is>
      </c>
      <c r="M376" s="63" t="inlineStr">
        <is>
          <t>100,86</t>
        </is>
      </c>
      <c r="N376" s="63" t="inlineStr">
        <is>
          <t>117,00</t>
        </is>
      </c>
      <c r="O376" s="63" t="inlineStr">
        <is>
          <t>100,86</t>
        </is>
      </c>
      <c r="P376" s="63" t="inlineStr">
        <is>
          <t>117,00</t>
        </is>
      </c>
      <c r="Q376" s="63" t="inlineStr">
        <is>
          <t>709,69</t>
        </is>
      </c>
      <c r="R376" s="66" t="n">
        <v>46215</v>
      </c>
      <c r="S376" s="65" t="n">
        <v>324</v>
      </c>
      <c r="T376" s="65" t="inlineStr">
        <is>
          <t>00-00000866</t>
        </is>
      </c>
      <c r="U376" s="63" t="inlineStr">
        <is>
          <t>116,99</t>
        </is>
      </c>
      <c r="V376" s="63" t="inlineStr">
        <is>
          <t>0,00</t>
        </is>
      </c>
    </row>
    <row r="377">
      <c r="A377" s="65" t="inlineStr">
        <is>
          <t>S00007</t>
        </is>
      </c>
      <c r="B377" s="62" t="n">
        <v>46210.98692129629</v>
      </c>
      <c r="C377" s="65" t="inlineStr">
        <is>
          <t>EMPRENDIMIENTO IRMA RODRIGUEZ 6</t>
        </is>
      </c>
      <c r="D377" s="65" t="inlineStr">
        <is>
          <t>CALDERON TERAN ARGIMIRO ANTONIO</t>
        </is>
      </c>
      <c r="E377" s="65" t="n"/>
      <c r="F377" s="65" t="n">
        <v>7</v>
      </c>
      <c r="G377" s="65" t="inlineStr">
        <is>
          <t>Pago USD Marzo</t>
        </is>
      </c>
      <c r="H377" s="65" t="inlineStr">
        <is>
          <t>[0878] SS EXTRA PROTECCION API SN SAE 20W-50 (1x12)</t>
        </is>
      </c>
      <c r="I377" s="65" t="n">
        <v>878</v>
      </c>
      <c r="J377" s="63" t="inlineStr">
        <is>
          <t>1,00</t>
        </is>
      </c>
      <c r="K377" s="63" t="inlineStr">
        <is>
          <t>62,07</t>
        </is>
      </c>
      <c r="L377" s="63" t="inlineStr">
        <is>
          <t>0,00</t>
        </is>
      </c>
      <c r="M377" s="63" t="inlineStr">
        <is>
          <t>62,07</t>
        </is>
      </c>
      <c r="N377" s="63" t="inlineStr">
        <is>
          <t>72,00</t>
        </is>
      </c>
      <c r="O377" s="63" t="inlineStr">
        <is>
          <t>242,24</t>
        </is>
      </c>
      <c r="P377" s="63" t="inlineStr">
        <is>
          <t>280,99</t>
        </is>
      </c>
      <c r="Q377" s="63" t="inlineStr">
        <is>
          <t>674,93</t>
        </is>
      </c>
      <c r="R377" s="66" t="n">
        <v>46210</v>
      </c>
      <c r="S377" s="65" t="n">
        <v>249</v>
      </c>
      <c r="T377" s="65" t="inlineStr">
        <is>
          <t>00-00000771</t>
        </is>
      </c>
      <c r="U377" s="63" t="inlineStr">
        <is>
          <t>280,97</t>
        </is>
      </c>
      <c r="V377" s="63" t="inlineStr">
        <is>
          <t>0,00</t>
        </is>
      </c>
    </row>
    <row r="378">
      <c r="A378" s="65" t="n"/>
      <c r="B378" s="65" t="n"/>
      <c r="C378" s="65" t="n"/>
      <c r="D378" s="65" t="n"/>
      <c r="E378" s="65" t="n"/>
      <c r="F378" s="65" t="n"/>
      <c r="G378" s="65" t="n"/>
      <c r="H378" s="65" t="inlineStr">
        <is>
          <t>[0775] LIGA PARA FRENOS DOT-4 (1X12)</t>
        </is>
      </c>
      <c r="I378" s="65" t="n">
        <v>775</v>
      </c>
      <c r="J378" s="63" t="inlineStr">
        <is>
          <t>1,00</t>
        </is>
      </c>
      <c r="K378" s="63" t="inlineStr">
        <is>
          <t>37,07</t>
        </is>
      </c>
      <c r="L378" s="63" t="inlineStr">
        <is>
          <t>0,00</t>
        </is>
      </c>
      <c r="M378" s="63" t="inlineStr">
        <is>
          <t>37,07</t>
        </is>
      </c>
      <c r="N378" s="63" t="inlineStr">
        <is>
          <t>43,00</t>
        </is>
      </c>
      <c r="O378" s="65" t="n"/>
      <c r="P378" s="65" t="n"/>
      <c r="Q378" s="65" t="n"/>
      <c r="R378" s="65" t="n"/>
      <c r="S378" s="65" t="n"/>
      <c r="T378" s="65" t="n"/>
      <c r="U378" s="65" t="n"/>
      <c r="V378" s="65" t="n"/>
    </row>
    <row r="379">
      <c r="A379" s="65" t="n"/>
      <c r="B379" s="65" t="n"/>
      <c r="C379" s="65" t="n"/>
      <c r="D379" s="65" t="n"/>
      <c r="E379" s="65" t="n"/>
      <c r="F379" s="65" t="n"/>
      <c r="G379" s="65" t="n"/>
      <c r="H379" s="65" t="inlineStr">
        <is>
          <t>[0884] TRANSMATIC ATF DEXRON III (1x12)</t>
        </is>
      </c>
      <c r="I379" s="65" t="n">
        <v>884</v>
      </c>
      <c r="J379" s="63" t="inlineStr">
        <is>
          <t>1,00</t>
        </is>
      </c>
      <c r="K379" s="63" t="inlineStr">
        <is>
          <t>57,76</t>
        </is>
      </c>
      <c r="L379" s="63" t="inlineStr">
        <is>
          <t>0,00</t>
        </is>
      </c>
      <c r="M379" s="63" t="inlineStr">
        <is>
          <t>57,76</t>
        </is>
      </c>
      <c r="N379" s="63" t="inlineStr">
        <is>
          <t>67,00</t>
        </is>
      </c>
      <c r="O379" s="65" t="n"/>
      <c r="P379" s="65" t="n"/>
      <c r="Q379" s="65" t="n"/>
      <c r="R379" s="65" t="n"/>
      <c r="S379" s="65" t="n"/>
      <c r="T379" s="65" t="n"/>
      <c r="U379" s="65" t="n"/>
      <c r="V379" s="65" t="n"/>
    </row>
    <row r="380">
      <c r="A380" s="65" t="n"/>
      <c r="B380" s="65" t="n"/>
      <c r="C380" s="65" t="n"/>
      <c r="D380" s="65" t="n"/>
      <c r="E380" s="65" t="n"/>
      <c r="F380" s="65" t="n"/>
      <c r="G380" s="65" t="n"/>
      <c r="H380" s="65" t="inlineStr">
        <is>
          <t>[0121] TRANSGLOB API GL-5 SAE 80W-90 (1x6)</t>
        </is>
      </c>
      <c r="I380" s="65" t="n">
        <v>121</v>
      </c>
      <c r="J380" s="63" t="inlineStr">
        <is>
          <t>1,00</t>
        </is>
      </c>
      <c r="K380" s="63" t="inlineStr">
        <is>
          <t>31,03</t>
        </is>
      </c>
      <c r="L380" s="63" t="inlineStr">
        <is>
          <t>0,00</t>
        </is>
      </c>
      <c r="M380" s="63" t="inlineStr">
        <is>
          <t>31,03</t>
        </is>
      </c>
      <c r="N380" s="63" t="inlineStr">
        <is>
          <t>35,99</t>
        </is>
      </c>
      <c r="O380" s="65" t="n"/>
      <c r="P380" s="65" t="n"/>
      <c r="Q380" s="65" t="n"/>
      <c r="R380" s="65" t="n"/>
      <c r="S380" s="65" t="n"/>
      <c r="T380" s="65" t="n"/>
      <c r="U380" s="65" t="n"/>
      <c r="V380" s="65" t="n"/>
    </row>
    <row r="381">
      <c r="A381" s="65" t="n"/>
      <c r="B381" s="65" t="n"/>
      <c r="C381" s="65" t="n"/>
      <c r="D381" s="65" t="n"/>
      <c r="E381" s="65" t="n"/>
      <c r="F381" s="65" t="n"/>
      <c r="G381" s="65" t="n"/>
      <c r="H381" s="65" t="inlineStr">
        <is>
          <t>[0881] CLASICO API SL SAE 20W-50 (1x12)</t>
        </is>
      </c>
      <c r="I381" s="65" t="n">
        <v>881</v>
      </c>
      <c r="J381" s="63" t="inlineStr">
        <is>
          <t>1,00</t>
        </is>
      </c>
      <c r="K381" s="63" t="inlineStr">
        <is>
          <t>54,31</t>
        </is>
      </c>
      <c r="L381" s="63" t="inlineStr">
        <is>
          <t>0,00</t>
        </is>
      </c>
      <c r="M381" s="63" t="inlineStr">
        <is>
          <t>54,31</t>
        </is>
      </c>
      <c r="N381" s="63" t="inlineStr">
        <is>
          <t>63,00</t>
        </is>
      </c>
      <c r="O381" s="65" t="n"/>
      <c r="P381" s="65" t="n"/>
      <c r="Q381" s="65" t="n"/>
      <c r="R381" s="65" t="n"/>
      <c r="S381" s="65" t="n"/>
      <c r="T381" s="65" t="n"/>
      <c r="U381" s="65" t="n"/>
      <c r="V381" s="65" t="n"/>
    </row>
    <row r="382">
      <c r="A382" s="65" t="inlineStr">
        <is>
          <t>S00019</t>
        </is>
      </c>
      <c r="B382" s="62" t="n">
        <v>46210.98559027778</v>
      </c>
      <c r="C382" s="65" t="inlineStr">
        <is>
          <t>Ruta 8 Autopartes,c.a.</t>
        </is>
      </c>
      <c r="D382" s="65" t="inlineStr">
        <is>
          <t>OCANTO ZABALA ROSALVY DEL CARMEN</t>
        </is>
      </c>
      <c r="E382" s="65" t="inlineStr">
        <is>
          <t>7 días</t>
        </is>
      </c>
      <c r="F382" s="65" t="n">
        <v>3</v>
      </c>
      <c r="G382" s="65" t="inlineStr">
        <is>
          <t>Precio Full Marzo</t>
        </is>
      </c>
      <c r="H382" s="65" t="inlineStr">
        <is>
          <t>[0121] TRANSGLOB API GL-5 SAE 80W-90 (1x6)</t>
        </is>
      </c>
      <c r="I382" s="65" t="n">
        <v>121</v>
      </c>
      <c r="J382" s="63" t="inlineStr">
        <is>
          <t>2,00</t>
        </is>
      </c>
      <c r="K382" s="63" t="inlineStr">
        <is>
          <t>46,55</t>
        </is>
      </c>
      <c r="L382" s="63" t="inlineStr">
        <is>
          <t>14,99</t>
        </is>
      </c>
      <c r="M382" s="63" t="inlineStr">
        <is>
          <t>79,14</t>
        </is>
      </c>
      <c r="N382" s="63" t="inlineStr">
        <is>
          <t>91,80</t>
        </is>
      </c>
      <c r="O382" s="63" t="inlineStr">
        <is>
          <t>79,14</t>
        </is>
      </c>
      <c r="P382" s="63" t="inlineStr">
        <is>
          <t>91,80</t>
        </is>
      </c>
      <c r="Q382" s="63" t="inlineStr">
        <is>
          <t>674,93</t>
        </is>
      </c>
      <c r="R382" s="66" t="n">
        <v>46210</v>
      </c>
      <c r="S382" s="65" t="n">
        <v>248</v>
      </c>
      <c r="T382" s="65" t="inlineStr">
        <is>
          <t>00-00000770</t>
        </is>
      </c>
      <c r="U382" s="63" t="inlineStr">
        <is>
          <t>91,80</t>
        </is>
      </c>
      <c r="V382" s="63" t="inlineStr">
        <is>
          <t>0,00</t>
        </is>
      </c>
    </row>
    <row r="383">
      <c r="A383" s="65" t="inlineStr">
        <is>
          <t>S00033</t>
        </is>
      </c>
      <c r="B383" s="62" t="n">
        <v>46210.98497685185</v>
      </c>
      <c r="C383" s="65" t="inlineStr">
        <is>
          <t>Angel ARMAS</t>
        </is>
      </c>
      <c r="D383" s="65" t="inlineStr">
        <is>
          <t>REVERON DE CONTRERAS MELANI AUSMAR</t>
        </is>
      </c>
      <c r="E383" s="65" t="n"/>
      <c r="F383" s="65" t="n">
        <v>7</v>
      </c>
      <c r="G383" s="65" t="inlineStr">
        <is>
          <t>Pago USD Marzo</t>
        </is>
      </c>
      <c r="H383" s="65" t="inlineStr">
        <is>
          <t>[0879] CARIBE FUERA DE BORDA TC-W3 2 TIEMPOS (1x12)</t>
        </is>
      </c>
      <c r="I383" s="65" t="n">
        <v>879</v>
      </c>
      <c r="J383" s="63" t="inlineStr">
        <is>
          <t>3,00</t>
        </is>
      </c>
      <c r="K383" s="63" t="inlineStr">
        <is>
          <t>56,03</t>
        </is>
      </c>
      <c r="L383" s="63" t="inlineStr">
        <is>
          <t>0,00</t>
        </is>
      </c>
      <c r="M383" s="63" t="inlineStr">
        <is>
          <t>168,09</t>
        </is>
      </c>
      <c r="N383" s="63" t="inlineStr">
        <is>
          <t>194,98</t>
        </is>
      </c>
      <c r="O383" s="63" t="inlineStr">
        <is>
          <t>168,09</t>
        </is>
      </c>
      <c r="P383" s="63" t="inlineStr">
        <is>
          <t>194,98</t>
        </is>
      </c>
      <c r="Q383" s="63" t="inlineStr">
        <is>
          <t>674,93</t>
        </is>
      </c>
      <c r="R383" s="66" t="n">
        <v>46210</v>
      </c>
      <c r="S383" s="65" t="n">
        <v>247</v>
      </c>
      <c r="T383" s="65" t="inlineStr">
        <is>
          <t>00-00000769</t>
        </is>
      </c>
      <c r="U383" s="63" t="inlineStr">
        <is>
          <t>194,98</t>
        </is>
      </c>
      <c r="V383" s="63" t="inlineStr">
        <is>
          <t>0,00</t>
        </is>
      </c>
    </row>
    <row r="384">
      <c r="A384" s="65" t="inlineStr">
        <is>
          <t>S00026</t>
        </is>
      </c>
      <c r="B384" s="62" t="n">
        <v>46210.98417824074</v>
      </c>
      <c r="C384" s="65" t="inlineStr">
        <is>
          <t>Joel Duque</t>
        </is>
      </c>
      <c r="D384" s="65" t="inlineStr">
        <is>
          <t>CASERES GONZALEZ RONALD OSWALDO</t>
        </is>
      </c>
      <c r="E384" s="65" t="inlineStr">
        <is>
          <t>15 días</t>
        </is>
      </c>
      <c r="F384" s="65" t="n">
        <v>7</v>
      </c>
      <c r="G384" s="65" t="inlineStr">
        <is>
          <t>Pago USD Marzo</t>
        </is>
      </c>
      <c r="H384" s="65" t="inlineStr">
        <is>
          <t>[0884] TRANSMATIC ATF DEXRON III (1x12)</t>
        </is>
      </c>
      <c r="I384" s="65" t="n">
        <v>884</v>
      </c>
      <c r="J384" s="63" t="inlineStr">
        <is>
          <t>1,00</t>
        </is>
      </c>
      <c r="K384" s="63" t="inlineStr">
        <is>
          <t>57,76</t>
        </is>
      </c>
      <c r="L384" s="63" t="inlineStr">
        <is>
          <t>0,00</t>
        </is>
      </c>
      <c r="M384" s="63" t="inlineStr">
        <is>
          <t>57,76</t>
        </is>
      </c>
      <c r="N384" s="63" t="inlineStr">
        <is>
          <t>67,00</t>
        </is>
      </c>
      <c r="O384" s="63" t="inlineStr">
        <is>
          <t>57,76</t>
        </is>
      </c>
      <c r="P384" s="63" t="inlineStr">
        <is>
          <t>67,00</t>
        </is>
      </c>
      <c r="Q384" s="63" t="inlineStr">
        <is>
          <t>674,93</t>
        </is>
      </c>
      <c r="R384" s="66" t="n">
        <v>46210</v>
      </c>
      <c r="S384" s="65" t="n">
        <v>246</v>
      </c>
      <c r="T384" s="65" t="inlineStr">
        <is>
          <t>00-00000768</t>
        </is>
      </c>
      <c r="U384" s="63" t="inlineStr">
        <is>
          <t>67,00</t>
        </is>
      </c>
      <c r="V384" s="63" t="inlineStr">
        <is>
          <t>37,00</t>
        </is>
      </c>
    </row>
    <row r="385">
      <c r="A385" s="65" t="n"/>
      <c r="B385" s="65" t="n"/>
      <c r="C385" s="65" t="n"/>
      <c r="D385" s="65" t="n"/>
      <c r="E385" s="65" t="n"/>
      <c r="F385" s="65" t="n"/>
      <c r="G385" s="65" t="n"/>
      <c r="H385" s="65" t="n"/>
      <c r="I385" s="65" t="n"/>
      <c r="J385" s="63" t="inlineStr">
        <is>
          <t>0,00</t>
        </is>
      </c>
      <c r="K385" s="63" t="inlineStr">
        <is>
          <t>0,00</t>
        </is>
      </c>
      <c r="L385" s="63" t="inlineStr">
        <is>
          <t>0,00</t>
        </is>
      </c>
      <c r="M385" s="63" t="inlineStr">
        <is>
          <t>0,00</t>
        </is>
      </c>
      <c r="N385" s="63" t="inlineStr">
        <is>
          <t>0,00</t>
        </is>
      </c>
      <c r="O385" s="65" t="n"/>
      <c r="P385" s="65" t="n"/>
      <c r="Q385" s="65" t="n"/>
      <c r="R385" s="65" t="n"/>
      <c r="S385" s="65" t="n"/>
      <c r="T385" s="65" t="n"/>
      <c r="U385" s="65" t="n"/>
      <c r="V385" s="65" t="n"/>
    </row>
    <row r="386">
      <c r="A386" s="65" t="inlineStr">
        <is>
          <t>S00024</t>
        </is>
      </c>
      <c r="B386" s="62" t="n">
        <v>46210.98358796296</v>
      </c>
      <c r="C386" s="65" t="inlineStr">
        <is>
          <t>Encamotors Catia C.A</t>
        </is>
      </c>
      <c r="D386" s="65" t="inlineStr">
        <is>
          <t>GRIMAN DIAZ HECTOR EDUARDO</t>
        </is>
      </c>
      <c r="E386" s="65" t="inlineStr">
        <is>
          <t>15 días</t>
        </is>
      </c>
      <c r="F386" s="65" t="n">
        <v>3</v>
      </c>
      <c r="G386" s="65" t="inlineStr">
        <is>
          <t>Precio Full Marzo</t>
        </is>
      </c>
      <c r="H386" s="65" t="inlineStr">
        <is>
          <t>[0774] LIGA PARA FRENOS DOT-4 (1X6)</t>
        </is>
      </c>
      <c r="I386" s="65" t="n">
        <v>774</v>
      </c>
      <c r="J386" s="63" t="inlineStr">
        <is>
          <t>1,00</t>
        </is>
      </c>
      <c r="K386" s="63" t="inlineStr">
        <is>
          <t>60,78</t>
        </is>
      </c>
      <c r="L386" s="63" t="inlineStr">
        <is>
          <t>18,68</t>
        </is>
      </c>
      <c r="M386" s="63" t="inlineStr">
        <is>
          <t>49,43</t>
        </is>
      </c>
      <c r="N386" s="63" t="inlineStr">
        <is>
          <t>57,34</t>
        </is>
      </c>
      <c r="O386" s="63" t="inlineStr">
        <is>
          <t>87,28</t>
        </is>
      </c>
      <c r="P386" s="63" t="inlineStr">
        <is>
          <t>101,25</t>
        </is>
      </c>
      <c r="Q386" s="63" t="inlineStr">
        <is>
          <t>674,93</t>
        </is>
      </c>
      <c r="R386" s="66" t="n">
        <v>46210</v>
      </c>
      <c r="S386" s="65" t="n">
        <v>245</v>
      </c>
      <c r="T386" s="65" t="inlineStr">
        <is>
          <t>00-00000767</t>
        </is>
      </c>
      <c r="U386" s="63" t="inlineStr">
        <is>
          <t>101,23</t>
        </is>
      </c>
      <c r="V386" s="63" t="inlineStr">
        <is>
          <t>0,00</t>
        </is>
      </c>
    </row>
    <row r="387">
      <c r="A387" s="65" t="n"/>
      <c r="B387" s="65" t="n"/>
      <c r="C387" s="65" t="n"/>
      <c r="D387" s="65" t="n"/>
      <c r="E387" s="65" t="n"/>
      <c r="F387" s="65" t="n"/>
      <c r="G387" s="65" t="n"/>
      <c r="H387" s="65" t="inlineStr">
        <is>
          <t>[0127] TRANSGLOB API GL-5 SAE 85W-140 (1x6)</t>
        </is>
      </c>
      <c r="I387" s="65" t="n">
        <v>127</v>
      </c>
      <c r="J387" s="63" t="inlineStr">
        <is>
          <t>1,00</t>
        </is>
      </c>
      <c r="K387" s="63" t="inlineStr">
        <is>
          <t>46,55</t>
        </is>
      </c>
      <c r="L387" s="63" t="inlineStr">
        <is>
          <t>18,68</t>
        </is>
      </c>
      <c r="M387" s="63" t="inlineStr">
        <is>
          <t>37,85</t>
        </is>
      </c>
      <c r="N387" s="63" t="inlineStr">
        <is>
          <t>43,91</t>
        </is>
      </c>
      <c r="O387" s="65" t="n"/>
      <c r="P387" s="65" t="n"/>
      <c r="Q387" s="65" t="n"/>
      <c r="R387" s="65" t="n"/>
      <c r="S387" s="65" t="n"/>
      <c r="T387" s="65" t="n"/>
      <c r="U387" s="65" t="n"/>
      <c r="V387" s="65" t="n"/>
    </row>
    <row r="388">
      <c r="A388" s="65" t="inlineStr">
        <is>
          <t>S00048</t>
        </is>
      </c>
      <c r="B388" s="62" t="n">
        <v>46210.9825462963</v>
      </c>
      <c r="C388" s="65" t="inlineStr">
        <is>
          <t>Autoelectronica Oranel, C.A.</t>
        </is>
      </c>
      <c r="D388" s="65" t="inlineStr">
        <is>
          <t>OCANTO ZABALA ROSALVY DEL CARMEN</t>
        </is>
      </c>
      <c r="E388" s="65" t="inlineStr">
        <is>
          <t>7 días</t>
        </is>
      </c>
      <c r="F388" s="65" t="n">
        <v>3</v>
      </c>
      <c r="G388" s="65" t="inlineStr">
        <is>
          <t>Precio Full Marzo</t>
        </is>
      </c>
      <c r="H388" s="65" t="inlineStr">
        <is>
          <t>[0792] REFRIGERANTE GLOBAL ROJO (1X3)</t>
        </is>
      </c>
      <c r="I388" s="65" t="n">
        <v>792</v>
      </c>
      <c r="J388" s="63" t="inlineStr">
        <is>
          <t>1,00</t>
        </is>
      </c>
      <c r="K388" s="63" t="inlineStr">
        <is>
          <t>31,03</t>
        </is>
      </c>
      <c r="L388" s="63" t="inlineStr">
        <is>
          <t>0,64</t>
        </is>
      </c>
      <c r="M388" s="63" t="inlineStr">
        <is>
          <t>30,83</t>
        </is>
      </c>
      <c r="N388" s="63" t="inlineStr">
        <is>
          <t>35,76</t>
        </is>
      </c>
      <c r="O388" s="63" t="inlineStr">
        <is>
          <t>61,66</t>
        </is>
      </c>
      <c r="P388" s="63" t="inlineStr">
        <is>
          <t>71,52</t>
        </is>
      </c>
      <c r="Q388" s="63" t="inlineStr">
        <is>
          <t>674,93</t>
        </is>
      </c>
      <c r="R388" s="66" t="n">
        <v>46210</v>
      </c>
      <c r="S388" s="65" t="n">
        <v>244</v>
      </c>
      <c r="T388" s="65" t="inlineStr">
        <is>
          <t>00-00000766</t>
        </is>
      </c>
      <c r="U388" s="63" t="inlineStr">
        <is>
          <t>71,52</t>
        </is>
      </c>
      <c r="V388" s="63" t="inlineStr">
        <is>
          <t>0,00</t>
        </is>
      </c>
    </row>
    <row r="389">
      <c r="A389" s="65" t="n"/>
      <c r="B389" s="65" t="n"/>
      <c r="C389" s="65" t="n"/>
      <c r="D389" s="65" t="n"/>
      <c r="E389" s="65" t="n"/>
      <c r="F389" s="65" t="n"/>
      <c r="G389" s="65" t="n"/>
      <c r="H389" s="65" t="inlineStr">
        <is>
          <t>[0761] LIGA PARA FRENOS DOT-3 (1x12)</t>
        </is>
      </c>
      <c r="I389" s="65" t="n">
        <v>761</v>
      </c>
      <c r="J389" s="63" t="inlineStr">
        <is>
          <t>1,00</t>
        </is>
      </c>
      <c r="K389" s="63" t="inlineStr">
        <is>
          <t>31,03</t>
        </is>
      </c>
      <c r="L389" s="63" t="inlineStr">
        <is>
          <t>0,64</t>
        </is>
      </c>
      <c r="M389" s="63" t="inlineStr">
        <is>
          <t>30,83</t>
        </is>
      </c>
      <c r="N389" s="63" t="inlineStr">
        <is>
          <t>35,76</t>
        </is>
      </c>
      <c r="O389" s="65" t="n"/>
      <c r="P389" s="65" t="n"/>
      <c r="Q389" s="65" t="n"/>
      <c r="R389" s="65" t="n"/>
      <c r="S389" s="65" t="n"/>
      <c r="T389" s="65" t="n"/>
      <c r="U389" s="65" t="n"/>
      <c r="V389" s="65" t="n"/>
    </row>
    <row r="390">
      <c r="A390" s="65" t="inlineStr">
        <is>
          <t>S00047</t>
        </is>
      </c>
      <c r="B390" s="62" t="n">
        <v>46210.98107638889</v>
      </c>
      <c r="C390" s="65" t="inlineStr">
        <is>
          <t>Rawy Xavier Melendez Caripa</t>
        </is>
      </c>
      <c r="D390" s="65" t="inlineStr">
        <is>
          <t>CASERES GONZALEZ RONALD OSWALDO</t>
        </is>
      </c>
      <c r="E390" s="65" t="inlineStr">
        <is>
          <t>7 días</t>
        </is>
      </c>
      <c r="F390" s="65" t="n">
        <v>3</v>
      </c>
      <c r="G390" s="65" t="inlineStr">
        <is>
          <t>Precio Full Marzo</t>
        </is>
      </c>
      <c r="H390" s="65" t="inlineStr">
        <is>
          <t>[0083] MAXIMO API CF SAE 50 (PAILA)</t>
        </is>
      </c>
      <c r="I390" s="65" t="n">
        <v>83</v>
      </c>
      <c r="J390" s="63" t="inlineStr">
        <is>
          <t>16,00</t>
        </is>
      </c>
      <c r="K390" s="63" t="inlineStr">
        <is>
          <t>104,74</t>
        </is>
      </c>
      <c r="L390" s="63" t="inlineStr">
        <is>
          <t>2,62</t>
        </is>
      </c>
      <c r="M390" s="63" t="inlineStr">
        <is>
          <t>1.631,93</t>
        </is>
      </c>
      <c r="N390" s="63" t="inlineStr">
        <is>
          <t>1.893,04</t>
        </is>
      </c>
      <c r="O390" s="63" t="inlineStr">
        <is>
          <t>1.631,93</t>
        </is>
      </c>
      <c r="P390" s="63" t="inlineStr">
        <is>
          <t>1.893,04</t>
        </is>
      </c>
      <c r="Q390" s="63" t="inlineStr">
        <is>
          <t>674,93</t>
        </is>
      </c>
      <c r="R390" s="66" t="n">
        <v>46210</v>
      </c>
      <c r="S390" s="65" t="n">
        <v>243</v>
      </c>
      <c r="T390" s="65" t="inlineStr">
        <is>
          <t>00-00000765</t>
        </is>
      </c>
      <c r="U390" s="63" t="inlineStr">
        <is>
          <t>1.893,03</t>
        </is>
      </c>
      <c r="V390" s="63" t="inlineStr">
        <is>
          <t>0,00</t>
        </is>
      </c>
    </row>
    <row r="391">
      <c r="A391" s="65" t="inlineStr">
        <is>
          <t>S00031</t>
        </is>
      </c>
      <c r="B391" s="62" t="n">
        <v>46210.97993055556</v>
      </c>
      <c r="C391" s="65" t="inlineStr">
        <is>
          <t>COMERCIAL REPUESTOS MUNDIALES RMS 2022 C.A.</t>
        </is>
      </c>
      <c r="D391" s="65" t="inlineStr">
        <is>
          <t>TORO ARDILES DAVID JOSE</t>
        </is>
      </c>
      <c r="E391" s="65" t="inlineStr">
        <is>
          <t>7 días</t>
        </is>
      </c>
      <c r="F391" s="65" t="n">
        <v>3</v>
      </c>
      <c r="G391" s="65" t="inlineStr">
        <is>
          <t>Precio Full Marzo</t>
        </is>
      </c>
      <c r="H391" s="65" t="inlineStr">
        <is>
          <t>[0779] SINOCO SAE 20W-50 (1x12)</t>
        </is>
      </c>
      <c r="I391" s="65" t="n">
        <v>779</v>
      </c>
      <c r="J391" s="63" t="inlineStr">
        <is>
          <t>2,00</t>
        </is>
      </c>
      <c r="K391" s="63" t="inlineStr">
        <is>
          <t>62,07</t>
        </is>
      </c>
      <c r="L391" s="63" t="inlineStr">
        <is>
          <t>0,00</t>
        </is>
      </c>
      <c r="M391" s="63" t="inlineStr">
        <is>
          <t>124,14</t>
        </is>
      </c>
      <c r="N391" s="63" t="inlineStr">
        <is>
          <t>144,00</t>
        </is>
      </c>
      <c r="O391" s="63" t="inlineStr">
        <is>
          <t>310,34</t>
        </is>
      </c>
      <c r="P391" s="63" t="inlineStr">
        <is>
          <t>359,99</t>
        </is>
      </c>
      <c r="Q391" s="63" t="inlineStr">
        <is>
          <t>674,93</t>
        </is>
      </c>
      <c r="R391" s="66" t="n">
        <v>46210</v>
      </c>
      <c r="S391" s="65" t="n">
        <v>242</v>
      </c>
      <c r="T391" s="65" t="inlineStr">
        <is>
          <t>00-00000764</t>
        </is>
      </c>
      <c r="U391" s="63" t="inlineStr">
        <is>
          <t>359,98</t>
        </is>
      </c>
      <c r="V391" s="63" t="inlineStr">
        <is>
          <t>310,00</t>
        </is>
      </c>
    </row>
    <row r="392">
      <c r="A392" s="65" t="n"/>
      <c r="B392" s="65" t="n"/>
      <c r="C392" s="65" t="n"/>
      <c r="D392" s="65" t="n"/>
      <c r="E392" s="65" t="n"/>
      <c r="F392" s="65" t="n"/>
      <c r="G392" s="65" t="n"/>
      <c r="H392" s="65" t="inlineStr">
        <is>
          <t>[0877] SS EXTRA PROTECCION API SN SAE 15W-40 (1X12)</t>
        </is>
      </c>
      <c r="I392" s="65" t="n">
        <v>877</v>
      </c>
      <c r="J392" s="63" t="inlineStr">
        <is>
          <t>2,00</t>
        </is>
      </c>
      <c r="K392" s="63" t="inlineStr">
        <is>
          <t>93,10</t>
        </is>
      </c>
      <c r="L392" s="63" t="inlineStr">
        <is>
          <t>0,00</t>
        </is>
      </c>
      <c r="M392" s="63" t="inlineStr">
        <is>
          <t>186,20</t>
        </is>
      </c>
      <c r="N392" s="63" t="inlineStr">
        <is>
          <t>215,99</t>
        </is>
      </c>
      <c r="O392" s="65" t="n"/>
      <c r="P392" s="65" t="n"/>
      <c r="Q392" s="65" t="n"/>
      <c r="R392" s="65" t="n"/>
      <c r="S392" s="65" t="n"/>
      <c r="T392" s="65" t="n"/>
      <c r="U392" s="65" t="n"/>
      <c r="V392" s="65" t="n"/>
    </row>
    <row r="393">
      <c r="A393" s="65" t="inlineStr">
        <is>
          <t>S00034</t>
        </is>
      </c>
      <c r="B393" s="62" t="n">
        <v>46210.97856481482</v>
      </c>
      <c r="C393" s="65" t="inlineStr">
        <is>
          <t>Miguel Antonio Chacon</t>
        </is>
      </c>
      <c r="D393" s="65" t="inlineStr">
        <is>
          <t>GRIMAN DIAZ HECTOR EDUARDO</t>
        </is>
      </c>
      <c r="E393" s="65" t="inlineStr">
        <is>
          <t>15 días</t>
        </is>
      </c>
      <c r="F393" s="65" t="n">
        <v>3</v>
      </c>
      <c r="G393" s="65" t="inlineStr">
        <is>
          <t>Precio Full Marzo</t>
        </is>
      </c>
      <c r="H393" s="65" t="inlineStr">
        <is>
          <t>[0602] SINOCO SAE 50 (PAILA)</t>
        </is>
      </c>
      <c r="I393" s="65" t="n">
        <v>602</v>
      </c>
      <c r="J393" s="63" t="inlineStr">
        <is>
          <t>1,00</t>
        </is>
      </c>
      <c r="K393" s="63" t="inlineStr">
        <is>
          <t>86,64</t>
        </is>
      </c>
      <c r="L393" s="63" t="inlineStr">
        <is>
          <t>13,51</t>
        </is>
      </c>
      <c r="M393" s="63" t="inlineStr">
        <is>
          <t>74,93</t>
        </is>
      </c>
      <c r="N393" s="63" t="inlineStr">
        <is>
          <t>86,92</t>
        </is>
      </c>
      <c r="O393" s="63" t="inlineStr">
        <is>
          <t>176,70</t>
        </is>
      </c>
      <c r="P393" s="63" t="inlineStr">
        <is>
          <t>204,97</t>
        </is>
      </c>
      <c r="Q393" s="63" t="inlineStr">
        <is>
          <t>674,93</t>
        </is>
      </c>
      <c r="R393" s="66" t="n">
        <v>46210</v>
      </c>
      <c r="S393" s="65" t="n">
        <v>241</v>
      </c>
      <c r="T393" s="65" t="inlineStr">
        <is>
          <t>00-00000763</t>
        </is>
      </c>
      <c r="U393" s="63" t="inlineStr">
        <is>
          <t>204,97</t>
        </is>
      </c>
      <c r="V393" s="63" t="inlineStr">
        <is>
          <t>0,00</t>
        </is>
      </c>
    </row>
    <row r="394">
      <c r="A394" s="65" t="n"/>
      <c r="B394" s="65" t="n"/>
      <c r="C394" s="65" t="n"/>
      <c r="D394" s="65" t="n"/>
      <c r="E394" s="65" t="n"/>
      <c r="F394" s="65" t="n"/>
      <c r="G394" s="65" t="n"/>
      <c r="H394" s="65" t="inlineStr">
        <is>
          <t>[0107] TRANSMATIC ATF DEXRON III (PAILA)</t>
        </is>
      </c>
      <c r="I394" s="65" t="n">
        <v>107</v>
      </c>
      <c r="J394" s="63" t="inlineStr">
        <is>
          <t>1,00</t>
        </is>
      </c>
      <c r="K394" s="63" t="inlineStr">
        <is>
          <t>117,67</t>
        </is>
      </c>
      <c r="L394" s="63" t="inlineStr">
        <is>
          <t>13,51</t>
        </is>
      </c>
      <c r="M394" s="63" t="inlineStr">
        <is>
          <t>101,77</t>
        </is>
      </c>
      <c r="N394" s="63" t="inlineStr">
        <is>
          <t>118,05</t>
        </is>
      </c>
      <c r="O394" s="65" t="n"/>
      <c r="P394" s="65" t="n"/>
      <c r="Q394" s="65" t="n"/>
      <c r="R394" s="65" t="n"/>
      <c r="S394" s="65" t="n"/>
      <c r="T394" s="65" t="n"/>
      <c r="U394" s="65" t="n"/>
      <c r="V394" s="65" t="n"/>
    </row>
    <row r="395">
      <c r="A395" s="65" t="inlineStr">
        <is>
          <t>S00039</t>
        </is>
      </c>
      <c r="B395" s="62" t="n">
        <v>46210.97739583333</v>
      </c>
      <c r="C395" s="65" t="inlineStr">
        <is>
          <t>Moto Bestia, C.A</t>
        </is>
      </c>
      <c r="D395" s="65" t="inlineStr">
        <is>
          <t>OCANTO ZABALA ROSALVY DEL CARMEN</t>
        </is>
      </c>
      <c r="E395" s="65" t="inlineStr">
        <is>
          <t>7 días</t>
        </is>
      </c>
      <c r="F395" s="65" t="n">
        <v>3</v>
      </c>
      <c r="G395" s="65" t="inlineStr">
        <is>
          <t>Precio Full Marzo</t>
        </is>
      </c>
      <c r="H395" s="65" t="inlineStr">
        <is>
          <t>[0761] LIGA PARA FRENOS DOT-3 (1x12)</t>
        </is>
      </c>
      <c r="I395" s="65" t="n">
        <v>761</v>
      </c>
      <c r="J395" s="63" t="inlineStr">
        <is>
          <t>1,00</t>
        </is>
      </c>
      <c r="K395" s="63" t="inlineStr">
        <is>
          <t>31,03</t>
        </is>
      </c>
      <c r="L395" s="63" t="inlineStr">
        <is>
          <t>18,98</t>
        </is>
      </c>
      <c r="M395" s="63" t="inlineStr">
        <is>
          <t>25,14</t>
        </is>
      </c>
      <c r="N395" s="63" t="inlineStr">
        <is>
          <t>29,16</t>
        </is>
      </c>
      <c r="O395" s="63" t="inlineStr">
        <is>
          <t>25,14</t>
        </is>
      </c>
      <c r="P395" s="63" t="inlineStr">
        <is>
          <t>29,16</t>
        </is>
      </c>
      <c r="Q395" s="63" t="inlineStr">
        <is>
          <t>674,93</t>
        </is>
      </c>
      <c r="R395" s="66" t="n">
        <v>46210</v>
      </c>
      <c r="S395" s="65" t="n">
        <v>240</v>
      </c>
      <c r="T395" s="65" t="inlineStr">
        <is>
          <t>00-00000762</t>
        </is>
      </c>
      <c r="U395" s="63" t="inlineStr">
        <is>
          <t>29,16</t>
        </is>
      </c>
      <c r="V395" s="63" t="inlineStr">
        <is>
          <t>0,01</t>
        </is>
      </c>
    </row>
    <row r="396">
      <c r="A396" s="65" t="inlineStr">
        <is>
          <t>S00027</t>
        </is>
      </c>
      <c r="B396" s="62" t="n">
        <v>46210.97638888889</v>
      </c>
      <c r="C396" s="65" t="inlineStr">
        <is>
          <t>Moises Alejandro Mares</t>
        </is>
      </c>
      <c r="D396" s="65" t="inlineStr">
        <is>
          <t>GRIMAN DIAZ HECTOR EDUARDO</t>
        </is>
      </c>
      <c r="E396" s="65" t="inlineStr">
        <is>
          <t>15 días</t>
        </is>
      </c>
      <c r="F396" s="65" t="n">
        <v>7</v>
      </c>
      <c r="G396" s="65" t="inlineStr">
        <is>
          <t>Pago USD Marzo</t>
        </is>
      </c>
      <c r="H396" s="65" t="inlineStr">
        <is>
          <t>[0887] MOTOCLASICO 4T SAE 20W-50 (1x12)</t>
        </is>
      </c>
      <c r="I396" s="65" t="n">
        <v>887</v>
      </c>
      <c r="J396" s="63" t="inlineStr">
        <is>
          <t>1,00</t>
        </is>
      </c>
      <c r="K396" s="63" t="inlineStr">
        <is>
          <t>56,90</t>
        </is>
      </c>
      <c r="L396" s="63" t="inlineStr">
        <is>
          <t>0,00</t>
        </is>
      </c>
      <c r="M396" s="63" t="inlineStr">
        <is>
          <t>56,90</t>
        </is>
      </c>
      <c r="N396" s="63" t="inlineStr">
        <is>
          <t>66,00</t>
        </is>
      </c>
      <c r="O396" s="63" t="inlineStr">
        <is>
          <t>342,25</t>
        </is>
      </c>
      <c r="P396" s="63" t="inlineStr">
        <is>
          <t>397,00</t>
        </is>
      </c>
      <c r="Q396" s="63" t="inlineStr">
        <is>
          <t>674,93</t>
        </is>
      </c>
      <c r="R396" s="66" t="n">
        <v>46216</v>
      </c>
      <c r="S396" s="65" t="n">
        <v>343</v>
      </c>
      <c r="T396" s="65" t="inlineStr">
        <is>
          <t>00-00000886</t>
        </is>
      </c>
      <c r="U396" s="63" t="inlineStr">
        <is>
          <t>397,01</t>
        </is>
      </c>
      <c r="V396" s="63" t="inlineStr">
        <is>
          <t>397,01</t>
        </is>
      </c>
    </row>
    <row r="397">
      <c r="A397" s="65" t="n"/>
      <c r="B397" s="65" t="n"/>
      <c r="C397" s="65" t="n"/>
      <c r="D397" s="65" t="n"/>
      <c r="E397" s="65" t="n"/>
      <c r="F397" s="65" t="n"/>
      <c r="G397" s="65" t="n"/>
      <c r="H397" s="65" t="inlineStr">
        <is>
          <t>[0877] SS EXTRA PROTECCION API SN SAE 15W-40 (1X12)</t>
        </is>
      </c>
      <c r="I397" s="65" t="n">
        <v>877</v>
      </c>
      <c r="J397" s="63" t="inlineStr">
        <is>
          <t>1,00</t>
        </is>
      </c>
      <c r="K397" s="63" t="inlineStr">
        <is>
          <t>62,07</t>
        </is>
      </c>
      <c r="L397" s="63" t="inlineStr">
        <is>
          <t>0,00</t>
        </is>
      </c>
      <c r="M397" s="63" t="inlineStr">
        <is>
          <t>62,07</t>
        </is>
      </c>
      <c r="N397" s="63" t="inlineStr">
        <is>
          <t>72,00</t>
        </is>
      </c>
      <c r="O397" s="65" t="n"/>
      <c r="P397" s="65" t="n"/>
      <c r="Q397" s="65" t="n"/>
      <c r="R397" s="65" t="n"/>
      <c r="S397" s="65" t="n"/>
      <c r="T397" s="65" t="n"/>
      <c r="U397" s="65" t="n"/>
      <c r="V397" s="65" t="n"/>
    </row>
    <row r="398">
      <c r="A398" s="65" t="n"/>
      <c r="B398" s="65" t="n"/>
      <c r="C398" s="65" t="n"/>
      <c r="D398" s="65" t="n"/>
      <c r="E398" s="65" t="n"/>
      <c r="F398" s="65" t="n"/>
      <c r="G398" s="65" t="n"/>
      <c r="H398" s="65" t="inlineStr">
        <is>
          <t>[0884] TRANSMATIC ATF DEXRON III (1x12)</t>
        </is>
      </c>
      <c r="I398" s="65" t="n">
        <v>884</v>
      </c>
      <c r="J398" s="63" t="inlineStr">
        <is>
          <t>1,00</t>
        </is>
      </c>
      <c r="K398" s="63" t="inlineStr">
        <is>
          <t>57,76</t>
        </is>
      </c>
      <c r="L398" s="63" t="inlineStr">
        <is>
          <t>0,00</t>
        </is>
      </c>
      <c r="M398" s="63" t="inlineStr">
        <is>
          <t>57,76</t>
        </is>
      </c>
      <c r="N398" s="63" t="inlineStr">
        <is>
          <t>67,00</t>
        </is>
      </c>
      <c r="O398" s="65" t="n"/>
      <c r="P398" s="65" t="n"/>
      <c r="Q398" s="65" t="n"/>
      <c r="R398" s="65" t="n"/>
      <c r="S398" s="65" t="n"/>
      <c r="T398" s="65" t="n"/>
      <c r="U398" s="65" t="n"/>
      <c r="V398" s="65" t="n"/>
    </row>
    <row r="399">
      <c r="A399" s="65" t="n"/>
      <c r="B399" s="65" t="n"/>
      <c r="C399" s="65" t="n"/>
      <c r="D399" s="65" t="n"/>
      <c r="E399" s="65" t="n"/>
      <c r="F399" s="65" t="n"/>
      <c r="G399" s="65" t="n"/>
      <c r="H399" s="65" t="inlineStr">
        <is>
          <t>[0779] SINOCO SAE 20W-50 (1x12)</t>
        </is>
      </c>
      <c r="I399" s="65" t="n">
        <v>779</v>
      </c>
      <c r="J399" s="63" t="inlineStr">
        <is>
          <t>4,00</t>
        </is>
      </c>
      <c r="K399" s="63" t="inlineStr">
        <is>
          <t>41,38</t>
        </is>
      </c>
      <c r="L399" s="63" t="inlineStr">
        <is>
          <t>0,00</t>
        </is>
      </c>
      <c r="M399" s="63" t="inlineStr">
        <is>
          <t>165,52</t>
        </is>
      </c>
      <c r="N399" s="63" t="inlineStr">
        <is>
          <t>192,00</t>
        </is>
      </c>
      <c r="O399" s="65" t="n"/>
      <c r="P399" s="65" t="n"/>
      <c r="Q399" s="65" t="n"/>
      <c r="R399" s="65" t="n"/>
      <c r="S399" s="65" t="n"/>
      <c r="T399" s="65" t="n"/>
      <c r="U399" s="65" t="n"/>
      <c r="V399" s="65" t="n"/>
    </row>
    <row r="400">
      <c r="A400" s="65" t="inlineStr">
        <is>
          <t>S00040</t>
        </is>
      </c>
      <c r="B400" s="62" t="n">
        <v>46210.97518518518</v>
      </c>
      <c r="C400" s="65" t="inlineStr">
        <is>
          <t>WILLY MOTOR CAR REPUESTOS Y SERVICIOS, C.A.</t>
        </is>
      </c>
      <c r="D400" s="65" t="inlineStr">
        <is>
          <t>VILLABONA CORREA ALBA ESTEFANIA</t>
        </is>
      </c>
      <c r="E400" s="65" t="inlineStr">
        <is>
          <t>7 días</t>
        </is>
      </c>
      <c r="F400" s="65" t="n">
        <v>3</v>
      </c>
      <c r="G400" s="65" t="inlineStr">
        <is>
          <t>Precio Full Marzo</t>
        </is>
      </c>
      <c r="H400" s="65" t="inlineStr">
        <is>
          <t>[0779] SINOCO SAE 20W-50 (1x12)</t>
        </is>
      </c>
      <c r="I400" s="65" t="n">
        <v>779</v>
      </c>
      <c r="J400" s="63" t="inlineStr">
        <is>
          <t>2,00</t>
        </is>
      </c>
      <c r="K400" s="63" t="inlineStr">
        <is>
          <t>62,07</t>
        </is>
      </c>
      <c r="L400" s="63" t="inlineStr">
        <is>
          <t>0,00</t>
        </is>
      </c>
      <c r="M400" s="63" t="inlineStr">
        <is>
          <t>124,14</t>
        </is>
      </c>
      <c r="N400" s="63" t="inlineStr">
        <is>
          <t>144,00</t>
        </is>
      </c>
      <c r="O400" s="63" t="inlineStr">
        <is>
          <t>1.274,98</t>
        </is>
      </c>
      <c r="P400" s="63" t="inlineStr">
        <is>
          <t>1.478,98</t>
        </is>
      </c>
      <c r="Q400" s="65" t="n"/>
      <c r="R400" s="65" t="n"/>
      <c r="S400" s="65" t="n"/>
      <c r="T400" s="65" t="n"/>
      <c r="U400" s="65" t="n"/>
      <c r="V400" s="65" t="n"/>
    </row>
    <row r="401">
      <c r="A401" s="65" t="n"/>
      <c r="B401" s="65" t="n"/>
      <c r="C401" s="65" t="n"/>
      <c r="D401" s="65" t="n"/>
      <c r="E401" s="65" t="n"/>
      <c r="F401" s="65" t="n"/>
      <c r="G401" s="65" t="n"/>
      <c r="H401" s="65" t="inlineStr">
        <is>
          <t>[0007] ELITE API SN SAE 5W-20 (1x6)</t>
        </is>
      </c>
      <c r="I401" s="65" t="n">
        <v>7</v>
      </c>
      <c r="J401" s="63" t="inlineStr">
        <is>
          <t>1,00</t>
        </is>
      </c>
      <c r="K401" s="63" t="inlineStr">
        <is>
          <t>63,36</t>
        </is>
      </c>
      <c r="L401" s="63" t="inlineStr">
        <is>
          <t>0,00</t>
        </is>
      </c>
      <c r="M401" s="63" t="inlineStr">
        <is>
          <t>63,36</t>
        </is>
      </c>
      <c r="N401" s="63" t="inlineStr">
        <is>
          <t>73,50</t>
        </is>
      </c>
      <c r="O401" s="65" t="n"/>
      <c r="P401" s="65" t="n"/>
      <c r="Q401" s="65" t="n"/>
      <c r="R401" s="65" t="n"/>
      <c r="S401" s="65" t="n"/>
      <c r="T401" s="65" t="n"/>
      <c r="U401" s="65" t="n"/>
      <c r="V401" s="65" t="n"/>
    </row>
    <row r="402">
      <c r="A402" s="65" t="n"/>
      <c r="B402" s="65" t="n"/>
      <c r="C402" s="65" t="n"/>
      <c r="D402" s="65" t="n"/>
      <c r="E402" s="65" t="n"/>
      <c r="F402" s="65" t="n"/>
      <c r="G402" s="65" t="n"/>
      <c r="H402" s="65" t="inlineStr">
        <is>
          <t>[0013] ELITE API SN SAE 5W-30 (1x6)</t>
        </is>
      </c>
      <c r="I402" s="65" t="n">
        <v>13</v>
      </c>
      <c r="J402" s="63" t="inlineStr">
        <is>
          <t>1,00</t>
        </is>
      </c>
      <c r="K402" s="63" t="inlineStr">
        <is>
          <t>63,36</t>
        </is>
      </c>
      <c r="L402" s="63" t="inlineStr">
        <is>
          <t>0,00</t>
        </is>
      </c>
      <c r="M402" s="63" t="inlineStr">
        <is>
          <t>63,36</t>
        </is>
      </c>
      <c r="N402" s="63" t="inlineStr">
        <is>
          <t>73,50</t>
        </is>
      </c>
      <c r="O402" s="65" t="n"/>
      <c r="P402" s="65" t="n"/>
      <c r="Q402" s="65" t="n"/>
      <c r="R402" s="65" t="n"/>
      <c r="S402" s="65" t="n"/>
      <c r="T402" s="65" t="n"/>
      <c r="U402" s="65" t="n"/>
      <c r="V402" s="65" t="n"/>
    </row>
    <row r="403">
      <c r="A403" s="65" t="n"/>
      <c r="B403" s="65" t="n"/>
      <c r="C403" s="65" t="n"/>
      <c r="D403" s="65" t="n"/>
      <c r="E403" s="65" t="n"/>
      <c r="F403" s="65" t="n"/>
      <c r="G403" s="65" t="n"/>
      <c r="H403" s="65" t="inlineStr">
        <is>
          <t>[0019] ELITE API SN SAE 5W-40 (1x6)</t>
        </is>
      </c>
      <c r="I403" s="65" t="n">
        <v>19</v>
      </c>
      <c r="J403" s="63" t="inlineStr">
        <is>
          <t>1,00</t>
        </is>
      </c>
      <c r="K403" s="63" t="inlineStr">
        <is>
          <t>63,36</t>
        </is>
      </c>
      <c r="L403" s="63" t="inlineStr">
        <is>
          <t>0,00</t>
        </is>
      </c>
      <c r="M403" s="63" t="inlineStr">
        <is>
          <t>63,36</t>
        </is>
      </c>
      <c r="N403" s="63" t="inlineStr">
        <is>
          <t>73,50</t>
        </is>
      </c>
      <c r="O403" s="65" t="n"/>
      <c r="P403" s="65" t="n"/>
      <c r="Q403" s="65" t="n"/>
      <c r="R403" s="65" t="n"/>
      <c r="S403" s="65" t="n"/>
      <c r="T403" s="65" t="n"/>
      <c r="U403" s="65" t="n"/>
      <c r="V403" s="65" t="n"/>
    </row>
    <row r="404">
      <c r="A404" s="65" t="n"/>
      <c r="B404" s="65" t="n"/>
      <c r="C404" s="65" t="n"/>
      <c r="D404" s="65" t="n"/>
      <c r="E404" s="65" t="n"/>
      <c r="F404" s="65" t="n"/>
      <c r="G404" s="65" t="n"/>
      <c r="H404" s="65" t="inlineStr">
        <is>
          <t>[0878] SS EXTRA PROTECCION API SN SAE 20W-50 (1x12)</t>
        </is>
      </c>
      <c r="I404" s="65" t="n">
        <v>878</v>
      </c>
      <c r="J404" s="63" t="inlineStr">
        <is>
          <t>2,00</t>
        </is>
      </c>
      <c r="K404" s="63" t="inlineStr">
        <is>
          <t>93,10</t>
        </is>
      </c>
      <c r="L404" s="63" t="inlineStr">
        <is>
          <t>0,00</t>
        </is>
      </c>
      <c r="M404" s="63" t="inlineStr">
        <is>
          <t>186,20</t>
        </is>
      </c>
      <c r="N404" s="63" t="inlineStr">
        <is>
          <t>215,99</t>
        </is>
      </c>
      <c r="O404" s="65" t="n"/>
      <c r="P404" s="65" t="n"/>
      <c r="Q404" s="65" t="n"/>
      <c r="R404" s="65" t="n"/>
      <c r="S404" s="65" t="n"/>
      <c r="T404" s="65" t="n"/>
      <c r="U404" s="65" t="n"/>
      <c r="V404" s="65" t="n"/>
    </row>
    <row r="405">
      <c r="A405" s="65" t="n"/>
      <c r="B405" s="65" t="n"/>
      <c r="C405" s="65" t="n"/>
      <c r="D405" s="65" t="n"/>
      <c r="E405" s="65" t="n"/>
      <c r="F405" s="65" t="n"/>
      <c r="G405" s="65" t="n"/>
      <c r="H405" s="65" t="inlineStr">
        <is>
          <t>[0884] TRANSMATIC ATF DEXRON III (1x12)</t>
        </is>
      </c>
      <c r="I405" s="65" t="n">
        <v>884</v>
      </c>
      <c r="J405" s="63" t="inlineStr">
        <is>
          <t>2,00</t>
        </is>
      </c>
      <c r="K405" s="63" t="inlineStr">
        <is>
          <t>86,64</t>
        </is>
      </c>
      <c r="L405" s="63" t="inlineStr">
        <is>
          <t>0,00</t>
        </is>
      </c>
      <c r="M405" s="63" t="inlineStr">
        <is>
          <t>173,28</t>
        </is>
      </c>
      <c r="N405" s="63" t="inlineStr">
        <is>
          <t>201,00</t>
        </is>
      </c>
      <c r="O405" s="65" t="n"/>
      <c r="P405" s="65" t="n"/>
      <c r="Q405" s="65" t="n"/>
      <c r="R405" s="65" t="n"/>
      <c r="S405" s="65" t="n"/>
      <c r="T405" s="65" t="n"/>
      <c r="U405" s="65" t="n"/>
      <c r="V405" s="65" t="n"/>
    </row>
    <row r="406">
      <c r="A406" s="65" t="n"/>
      <c r="B406" s="65" t="n"/>
      <c r="C406" s="65" t="n"/>
      <c r="D406" s="65" t="n"/>
      <c r="E406" s="65" t="n"/>
      <c r="F406" s="65" t="n"/>
      <c r="G406" s="65" t="n"/>
      <c r="H406" s="65" t="inlineStr">
        <is>
          <t>[0121] TRANSGLOB API GL-5 SAE 80W-90 (1x6)</t>
        </is>
      </c>
      <c r="I406" s="65" t="n">
        <v>121</v>
      </c>
      <c r="J406" s="63" t="inlineStr">
        <is>
          <t>2,00</t>
        </is>
      </c>
      <c r="K406" s="63" t="inlineStr">
        <is>
          <t>46,55</t>
        </is>
      </c>
      <c r="L406" s="63" t="inlineStr">
        <is>
          <t>0,00</t>
        </is>
      </c>
      <c r="M406" s="63" t="inlineStr">
        <is>
          <t>93,10</t>
        </is>
      </c>
      <c r="N406" s="63" t="inlineStr">
        <is>
          <t>108,00</t>
        </is>
      </c>
      <c r="O406" s="65" t="n"/>
      <c r="P406" s="65" t="n"/>
      <c r="Q406" s="65" t="n"/>
      <c r="R406" s="65" t="n"/>
      <c r="S406" s="65" t="n"/>
      <c r="T406" s="65" t="n"/>
      <c r="U406" s="65" t="n"/>
      <c r="V406" s="65" t="n"/>
    </row>
    <row r="407">
      <c r="A407" s="65" t="n"/>
      <c r="B407" s="65" t="n"/>
      <c r="C407" s="65" t="n"/>
      <c r="D407" s="65" t="n"/>
      <c r="E407" s="65" t="n"/>
      <c r="F407" s="65" t="n"/>
      <c r="G407" s="65" t="n"/>
      <c r="H407" s="65" t="inlineStr">
        <is>
          <t>[0887] MOTOCLASICO 4T SAE 20W-50 (1x12)</t>
        </is>
      </c>
      <c r="I407" s="65" t="n">
        <v>887</v>
      </c>
      <c r="J407" s="63" t="inlineStr">
        <is>
          <t>2,00</t>
        </is>
      </c>
      <c r="K407" s="63" t="inlineStr">
        <is>
          <t>85,34</t>
        </is>
      </c>
      <c r="L407" s="63" t="inlineStr">
        <is>
          <t>0,00</t>
        </is>
      </c>
      <c r="M407" s="63" t="inlineStr">
        <is>
          <t>170,68</t>
        </is>
      </c>
      <c r="N407" s="63" t="inlineStr">
        <is>
          <t>197,99</t>
        </is>
      </c>
      <c r="O407" s="65" t="n"/>
      <c r="P407" s="65" t="n"/>
      <c r="Q407" s="65" t="n"/>
      <c r="R407" s="65" t="n"/>
      <c r="S407" s="65" t="n"/>
      <c r="T407" s="65" t="n"/>
      <c r="U407" s="65" t="n"/>
      <c r="V407" s="65" t="n"/>
    </row>
    <row r="408">
      <c r="A408" s="65" t="n"/>
      <c r="B408" s="65" t="n"/>
      <c r="C408" s="65" t="n"/>
      <c r="D408" s="65" t="n"/>
      <c r="E408" s="65" t="n"/>
      <c r="F408" s="65" t="n"/>
      <c r="G408" s="65" t="n"/>
      <c r="H408" s="65" t="inlineStr">
        <is>
          <t>[0881] CLASICO API SL SAE 20W-50 (1x12)</t>
        </is>
      </c>
      <c r="I408" s="65" t="n">
        <v>881</v>
      </c>
      <c r="J408" s="63" t="inlineStr">
        <is>
          <t>2,00</t>
        </is>
      </c>
      <c r="K408" s="63" t="inlineStr">
        <is>
          <t>81,47</t>
        </is>
      </c>
      <c r="L408" s="63" t="inlineStr">
        <is>
          <t>0,00</t>
        </is>
      </c>
      <c r="M408" s="63" t="inlineStr">
        <is>
          <t>162,94</t>
        </is>
      </c>
      <c r="N408" s="63" t="inlineStr">
        <is>
          <t>189,01</t>
        </is>
      </c>
      <c r="O408" s="65" t="n"/>
      <c r="P408" s="65" t="n"/>
      <c r="Q408" s="65" t="n"/>
      <c r="R408" s="65" t="n"/>
      <c r="S408" s="65" t="n"/>
      <c r="T408" s="65" t="n"/>
      <c r="U408" s="65" t="n"/>
      <c r="V408" s="65" t="n"/>
    </row>
    <row r="409">
      <c r="A409" s="65" t="n"/>
      <c r="B409" s="65" t="n"/>
      <c r="C409" s="65" t="n"/>
      <c r="D409" s="65" t="n"/>
      <c r="E409" s="65" t="n"/>
      <c r="F409" s="65" t="n"/>
      <c r="G409" s="65" t="n"/>
      <c r="H409" s="65" t="inlineStr">
        <is>
          <t>[0025] SS EXTRA PROTECCION API SN SAE 10W-30 (Gasolina) (1x6)</t>
        </is>
      </c>
      <c r="I409" s="65" t="n">
        <v>25</v>
      </c>
      <c r="J409" s="63" t="inlineStr">
        <is>
          <t>2,00</t>
        </is>
      </c>
      <c r="K409" s="63" t="inlineStr">
        <is>
          <t>46,55</t>
        </is>
      </c>
      <c r="L409" s="63" t="inlineStr">
        <is>
          <t>0,00</t>
        </is>
      </c>
      <c r="M409" s="63" t="inlineStr">
        <is>
          <t>93,10</t>
        </is>
      </c>
      <c r="N409" s="63" t="inlineStr">
        <is>
          <t>108,00</t>
        </is>
      </c>
      <c r="O409" s="65" t="n"/>
      <c r="P409" s="65" t="n"/>
      <c r="Q409" s="65" t="n"/>
      <c r="R409" s="65" t="n"/>
      <c r="S409" s="65" t="n"/>
      <c r="T409" s="65" t="n"/>
      <c r="U409" s="65" t="n"/>
      <c r="V409" s="65" t="n"/>
    </row>
    <row r="410">
      <c r="A410" s="65" t="n"/>
      <c r="B410" s="65" t="n"/>
      <c r="C410" s="65" t="n"/>
      <c r="D410" s="65" t="n"/>
      <c r="E410" s="65" t="n"/>
      <c r="F410" s="65" t="n"/>
      <c r="G410" s="65" t="n"/>
      <c r="H410" s="65" t="inlineStr">
        <is>
          <t>[0761] LIGA PARA FRENOS DOT-3 (1x12)</t>
        </is>
      </c>
      <c r="I410" s="65" t="n">
        <v>761</v>
      </c>
      <c r="J410" s="63" t="inlineStr">
        <is>
          <t>1,00</t>
        </is>
      </c>
      <c r="K410" s="63" t="inlineStr">
        <is>
          <t>31,03</t>
        </is>
      </c>
      <c r="L410" s="63" t="inlineStr">
        <is>
          <t>0,00</t>
        </is>
      </c>
      <c r="M410" s="63" t="inlineStr">
        <is>
          <t>31,03</t>
        </is>
      </c>
      <c r="N410" s="63" t="inlineStr">
        <is>
          <t>35,99</t>
        </is>
      </c>
      <c r="O410" s="65" t="n"/>
      <c r="P410" s="65" t="n"/>
      <c r="Q410" s="65" t="n"/>
      <c r="R410" s="65" t="n"/>
      <c r="S410" s="65" t="n"/>
      <c r="T410" s="65" t="n"/>
      <c r="U410" s="65" t="n"/>
      <c r="V410" s="65" t="n"/>
    </row>
    <row r="411">
      <c r="A411" s="65" t="n"/>
      <c r="B411" s="65" t="n"/>
      <c r="C411" s="65" t="n"/>
      <c r="D411" s="65" t="n"/>
      <c r="E411" s="65" t="n"/>
      <c r="F411" s="65" t="n"/>
      <c r="G411" s="65" t="n"/>
      <c r="H411" s="65" t="inlineStr">
        <is>
          <t>[0762] LIGA PARA FRENOS DOT-3 (1x6)</t>
        </is>
      </c>
      <c r="I411" s="65" t="n">
        <v>762</v>
      </c>
      <c r="J411" s="63" t="inlineStr">
        <is>
          <t>1,00</t>
        </is>
      </c>
      <c r="K411" s="63" t="inlineStr">
        <is>
          <t>50,43</t>
        </is>
      </c>
      <c r="L411" s="63" t="inlineStr">
        <is>
          <t>0,00</t>
        </is>
      </c>
      <c r="M411" s="63" t="inlineStr">
        <is>
          <t>50,43</t>
        </is>
      </c>
      <c r="N411" s="63" t="inlineStr">
        <is>
          <t>58,50</t>
        </is>
      </c>
      <c r="O411" s="65" t="n"/>
      <c r="P411" s="65" t="n"/>
      <c r="Q411" s="65" t="n"/>
      <c r="R411" s="65" t="n"/>
      <c r="S411" s="65" t="n"/>
      <c r="T411" s="65" t="n"/>
      <c r="U411" s="65" t="n"/>
      <c r="V411" s="65" t="n"/>
    </row>
    <row r="412">
      <c r="A412" s="65" t="inlineStr">
        <is>
          <t>S00036</t>
        </is>
      </c>
      <c r="B412" s="62" t="n">
        <v>46210.97396990741</v>
      </c>
      <c r="C412" s="65" t="inlineStr">
        <is>
          <t>inversiones El Gran Charles C.A</t>
        </is>
      </c>
      <c r="D412" s="65" t="inlineStr">
        <is>
          <t>GRIMAN DIAZ HECTOR EDUARDO</t>
        </is>
      </c>
      <c r="E412" s="65" t="inlineStr">
        <is>
          <t>15 días</t>
        </is>
      </c>
      <c r="F412" s="65" t="n">
        <v>3</v>
      </c>
      <c r="G412" s="65" t="inlineStr">
        <is>
          <t>Precio Full Marzo</t>
        </is>
      </c>
      <c r="H412" s="65" t="inlineStr">
        <is>
          <t>[0602] SINOCO SAE 50 (PAILA)</t>
        </is>
      </c>
      <c r="I412" s="65" t="n">
        <v>602</v>
      </c>
      <c r="J412" s="63" t="inlineStr">
        <is>
          <t>1,00</t>
        </is>
      </c>
      <c r="K412" s="63" t="inlineStr">
        <is>
          <t>86,64</t>
        </is>
      </c>
      <c r="L412" s="63" t="inlineStr">
        <is>
          <t>0,00</t>
        </is>
      </c>
      <c r="M412" s="63" t="inlineStr">
        <is>
          <t>86,64</t>
        </is>
      </c>
      <c r="N412" s="63" t="inlineStr">
        <is>
          <t>100,50</t>
        </is>
      </c>
      <c r="O412" s="63" t="inlineStr">
        <is>
          <t>477,15</t>
        </is>
      </c>
      <c r="P412" s="63" t="inlineStr">
        <is>
          <t>553,49</t>
        </is>
      </c>
      <c r="Q412" s="63" t="inlineStr">
        <is>
          <t>674,93</t>
        </is>
      </c>
      <c r="R412" s="66" t="n">
        <v>46210</v>
      </c>
      <c r="S412" s="65" t="n">
        <v>239</v>
      </c>
      <c r="T412" s="65" t="inlineStr">
        <is>
          <t>00-00000761</t>
        </is>
      </c>
      <c r="U412" s="63" t="inlineStr">
        <is>
          <t>553,48</t>
        </is>
      </c>
      <c r="V412" s="63" t="inlineStr">
        <is>
          <t>344,63</t>
        </is>
      </c>
    </row>
    <row r="413">
      <c r="A413" s="65" t="n"/>
      <c r="B413" s="65" t="n"/>
      <c r="C413" s="65" t="n"/>
      <c r="D413" s="65" t="n"/>
      <c r="E413" s="65" t="n"/>
      <c r="F413" s="65" t="n"/>
      <c r="G413" s="65" t="n"/>
      <c r="H413" s="65" t="inlineStr">
        <is>
          <t>[0605] SINOCO SAE 20W-50 (PAILA)</t>
        </is>
      </c>
      <c r="I413" s="65" t="n">
        <v>605</v>
      </c>
      <c r="J413" s="63" t="inlineStr">
        <is>
          <t>1,00</t>
        </is>
      </c>
      <c r="K413" s="63" t="inlineStr">
        <is>
          <t>86,64</t>
        </is>
      </c>
      <c r="L413" s="63" t="inlineStr">
        <is>
          <t>0,00</t>
        </is>
      </c>
      <c r="M413" s="63" t="inlineStr">
        <is>
          <t>86,64</t>
        </is>
      </c>
      <c r="N413" s="63" t="inlineStr">
        <is>
          <t>100,50</t>
        </is>
      </c>
      <c r="O413" s="65" t="n"/>
      <c r="P413" s="65" t="n"/>
      <c r="Q413" s="65" t="n"/>
      <c r="R413" s="65" t="n"/>
      <c r="S413" s="65" t="n"/>
      <c r="T413" s="65" t="n"/>
      <c r="U413" s="65" t="n"/>
      <c r="V413" s="65" t="n"/>
    </row>
    <row r="414">
      <c r="A414" s="65" t="n"/>
      <c r="B414" s="65" t="n"/>
      <c r="C414" s="65" t="n"/>
      <c r="D414" s="65" t="n"/>
      <c r="E414" s="65" t="n"/>
      <c r="F414" s="65" t="n"/>
      <c r="G414" s="65" t="n"/>
      <c r="H414" s="65" t="inlineStr">
        <is>
          <t>[0884] TRANSMATIC ATF DEXRON III (1x12)</t>
        </is>
      </c>
      <c r="I414" s="65" t="n">
        <v>884</v>
      </c>
      <c r="J414" s="63" t="inlineStr">
        <is>
          <t>1,00</t>
        </is>
      </c>
      <c r="K414" s="63" t="inlineStr">
        <is>
          <t>86,64</t>
        </is>
      </c>
      <c r="L414" s="63" t="inlineStr">
        <is>
          <t>0,00</t>
        </is>
      </c>
      <c r="M414" s="63" t="inlineStr">
        <is>
          <t>86,64</t>
        </is>
      </c>
      <c r="N414" s="63" t="inlineStr">
        <is>
          <t>100,50</t>
        </is>
      </c>
      <c r="O414" s="65" t="n"/>
      <c r="P414" s="65" t="n"/>
      <c r="Q414" s="65" t="n"/>
      <c r="R414" s="65" t="n"/>
      <c r="S414" s="65" t="n"/>
      <c r="T414" s="65" t="n"/>
      <c r="U414" s="65" t="n"/>
      <c r="V414" s="65" t="n"/>
    </row>
    <row r="415">
      <c r="A415" s="65" t="n"/>
      <c r="B415" s="65" t="n"/>
      <c r="C415" s="65" t="n"/>
      <c r="D415" s="65" t="n"/>
      <c r="E415" s="65" t="n"/>
      <c r="F415" s="65" t="n"/>
      <c r="G415" s="65" t="n"/>
      <c r="H415" s="65" t="inlineStr">
        <is>
          <t>[0121] TRANSGLOB API GL-5 SAE 80W-90 (1x6)</t>
        </is>
      </c>
      <c r="I415" s="65" t="n">
        <v>121</v>
      </c>
      <c r="J415" s="63" t="inlineStr">
        <is>
          <t>2,00</t>
        </is>
      </c>
      <c r="K415" s="63" t="inlineStr">
        <is>
          <t>46,55</t>
        </is>
      </c>
      <c r="L415" s="63" t="inlineStr">
        <is>
          <t>0,00</t>
        </is>
      </c>
      <c r="M415" s="63" t="inlineStr">
        <is>
          <t>93,10</t>
        </is>
      </c>
      <c r="N415" s="63" t="inlineStr">
        <is>
          <t>108,00</t>
        </is>
      </c>
      <c r="O415" s="65" t="n"/>
      <c r="P415" s="65" t="n"/>
      <c r="Q415" s="65" t="n"/>
      <c r="R415" s="65" t="n"/>
      <c r="S415" s="65" t="n"/>
      <c r="T415" s="65" t="n"/>
      <c r="U415" s="65" t="n"/>
      <c r="V415" s="65" t="n"/>
    </row>
    <row r="416">
      <c r="A416" s="65" t="n"/>
      <c r="B416" s="65" t="n"/>
      <c r="C416" s="65" t="n"/>
      <c r="D416" s="65" t="n"/>
      <c r="E416" s="65" t="n"/>
      <c r="F416" s="65" t="n"/>
      <c r="G416" s="65" t="n"/>
      <c r="H416" s="65" t="inlineStr">
        <is>
          <t>[0761] LIGA PARA FRENOS DOT-3 (1x12)</t>
        </is>
      </c>
      <c r="I416" s="65" t="n">
        <v>761</v>
      </c>
      <c r="J416" s="63" t="inlineStr">
        <is>
          <t>1,00</t>
        </is>
      </c>
      <c r="K416" s="63" t="inlineStr">
        <is>
          <t>31,03</t>
        </is>
      </c>
      <c r="L416" s="63" t="inlineStr">
        <is>
          <t>0,00</t>
        </is>
      </c>
      <c r="M416" s="63" t="inlineStr">
        <is>
          <t>31,03</t>
        </is>
      </c>
      <c r="N416" s="63" t="inlineStr">
        <is>
          <t>35,99</t>
        </is>
      </c>
      <c r="O416" s="65" t="n"/>
      <c r="P416" s="65" t="n"/>
      <c r="Q416" s="65" t="n"/>
      <c r="R416" s="65" t="n"/>
      <c r="S416" s="65" t="n"/>
      <c r="T416" s="65" t="n"/>
      <c r="U416" s="65" t="n"/>
      <c r="V416" s="65" t="n"/>
    </row>
    <row r="417">
      <c r="A417" s="65" t="n"/>
      <c r="B417" s="65" t="n"/>
      <c r="C417" s="65" t="n"/>
      <c r="D417" s="65" t="n"/>
      <c r="E417" s="65" t="n"/>
      <c r="F417" s="65" t="n"/>
      <c r="G417" s="65" t="n"/>
      <c r="H417" s="65" t="inlineStr">
        <is>
          <t>[0877] SS EXTRA PROTECCION API SN SAE 15W-40 (1X12)</t>
        </is>
      </c>
      <c r="I417" s="65" t="n">
        <v>877</v>
      </c>
      <c r="J417" s="63" t="inlineStr">
        <is>
          <t>1,00</t>
        </is>
      </c>
      <c r="K417" s="63" t="inlineStr">
        <is>
          <t>93,10</t>
        </is>
      </c>
      <c r="L417" s="63" t="inlineStr">
        <is>
          <t>0,00</t>
        </is>
      </c>
      <c r="M417" s="63" t="inlineStr">
        <is>
          <t>93,10</t>
        </is>
      </c>
      <c r="N417" s="63" t="inlineStr">
        <is>
          <t>108,00</t>
        </is>
      </c>
      <c r="O417" s="65" t="n"/>
      <c r="P417" s="65" t="n"/>
      <c r="Q417" s="65" t="n"/>
      <c r="R417" s="65" t="n"/>
      <c r="S417" s="65" t="n"/>
      <c r="T417" s="65" t="n"/>
      <c r="U417" s="65" t="n"/>
      <c r="V417" s="65" t="n"/>
    </row>
    <row r="418">
      <c r="A418" s="65" t="inlineStr">
        <is>
          <t>S00023</t>
        </is>
      </c>
      <c r="B418" s="62" t="n">
        <v>46210.9729050926</v>
      </c>
      <c r="C418" s="65" t="inlineStr">
        <is>
          <t>Multiservicios Sanahuja 36 C.A</t>
        </is>
      </c>
      <c r="D418" s="65" t="inlineStr">
        <is>
          <t>GRIMAN DIAZ HECTOR EDUARDO</t>
        </is>
      </c>
      <c r="E418" s="65" t="inlineStr">
        <is>
          <t>15 días</t>
        </is>
      </c>
      <c r="F418" s="65" t="n">
        <v>7</v>
      </c>
      <c r="G418" s="65" t="inlineStr">
        <is>
          <t>Pago USD Marzo</t>
        </is>
      </c>
      <c r="H418" s="65" t="inlineStr">
        <is>
          <t>[0779] SINOCO SAE 20W-50 (1x12)</t>
        </is>
      </c>
      <c r="I418" s="65" t="n">
        <v>779</v>
      </c>
      <c r="J418" s="63" t="inlineStr">
        <is>
          <t>1,00</t>
        </is>
      </c>
      <c r="K418" s="63" t="inlineStr">
        <is>
          <t>41,38</t>
        </is>
      </c>
      <c r="L418" s="63" t="inlineStr">
        <is>
          <t>0,00</t>
        </is>
      </c>
      <c r="M418" s="63" t="inlineStr">
        <is>
          <t>41,38</t>
        </is>
      </c>
      <c r="N418" s="63" t="inlineStr">
        <is>
          <t>48,00</t>
        </is>
      </c>
      <c r="O418" s="63" t="inlineStr">
        <is>
          <t>82,76</t>
        </is>
      </c>
      <c r="P418" s="63" t="inlineStr">
        <is>
          <t>96,00</t>
        </is>
      </c>
      <c r="Q418" s="63" t="inlineStr">
        <is>
          <t>674,93</t>
        </is>
      </c>
      <c r="R418" s="66" t="n">
        <v>46210</v>
      </c>
      <c r="S418" s="65" t="n">
        <v>238</v>
      </c>
      <c r="T418" s="65" t="inlineStr">
        <is>
          <t>00-00000760</t>
        </is>
      </c>
      <c r="U418" s="63" t="inlineStr">
        <is>
          <t>95,98</t>
        </is>
      </c>
      <c r="V418" s="63" t="inlineStr">
        <is>
          <t>0,00</t>
        </is>
      </c>
    </row>
    <row r="419">
      <c r="A419" s="65" t="n"/>
      <c r="B419" s="65" t="n"/>
      <c r="C419" s="65" t="n"/>
      <c r="D419" s="65" t="n"/>
      <c r="E419" s="65" t="n"/>
      <c r="F419" s="65" t="n"/>
      <c r="G419" s="65" t="n"/>
      <c r="H419" s="65" t="inlineStr">
        <is>
          <t>[0915] SINOCO SAE 50 (1x12)</t>
        </is>
      </c>
      <c r="I419" s="65" t="n">
        <v>915</v>
      </c>
      <c r="J419" s="63" t="inlineStr">
        <is>
          <t>1,00</t>
        </is>
      </c>
      <c r="K419" s="63" t="inlineStr">
        <is>
          <t>41,38</t>
        </is>
      </c>
      <c r="L419" s="63" t="inlineStr">
        <is>
          <t>0,00</t>
        </is>
      </c>
      <c r="M419" s="63" t="inlineStr">
        <is>
          <t>41,38</t>
        </is>
      </c>
      <c r="N419" s="63" t="inlineStr">
        <is>
          <t>48,00</t>
        </is>
      </c>
      <c r="O419" s="65" t="n"/>
      <c r="P419" s="65" t="n"/>
      <c r="Q419" s="65" t="n"/>
      <c r="R419" s="65" t="n"/>
      <c r="S419" s="65" t="n"/>
      <c r="T419" s="65" t="n"/>
      <c r="U419" s="65" t="n"/>
      <c r="V419" s="65" t="n"/>
    </row>
    <row r="420">
      <c r="A420" s="65" t="inlineStr">
        <is>
          <t>S00022</t>
        </is>
      </c>
      <c r="B420" s="62" t="n">
        <v>46210.971875</v>
      </c>
      <c r="C420" s="65" t="inlineStr">
        <is>
          <t>Autorepuestos las 24 horas</t>
        </is>
      </c>
      <c r="D420" s="65" t="inlineStr">
        <is>
          <t>MARTINEZ MONTES JEFFREY ENRIQUE</t>
        </is>
      </c>
      <c r="E420" s="65" t="inlineStr">
        <is>
          <t>7 días</t>
        </is>
      </c>
      <c r="F420" s="65" t="n">
        <v>7</v>
      </c>
      <c r="G420" s="65" t="inlineStr">
        <is>
          <t>Pago USD Marzo</t>
        </is>
      </c>
      <c r="H420" s="65" t="inlineStr">
        <is>
          <t>[0779] SINOCO SAE 20W-50 (1x12)</t>
        </is>
      </c>
      <c r="I420" s="65" t="n">
        <v>779</v>
      </c>
      <c r="J420" s="63" t="inlineStr">
        <is>
          <t>2,00</t>
        </is>
      </c>
      <c r="K420" s="63" t="inlineStr">
        <is>
          <t>41,38</t>
        </is>
      </c>
      <c r="L420" s="63" t="inlineStr">
        <is>
          <t>0,00</t>
        </is>
      </c>
      <c r="M420" s="63" t="inlineStr">
        <is>
          <t>82,76</t>
        </is>
      </c>
      <c r="N420" s="63" t="inlineStr">
        <is>
          <t>96,00</t>
        </is>
      </c>
      <c r="O420" s="63" t="inlineStr">
        <is>
          <t>82,76</t>
        </is>
      </c>
      <c r="P420" s="63" t="inlineStr">
        <is>
          <t>96,00</t>
        </is>
      </c>
      <c r="Q420" s="63" t="inlineStr">
        <is>
          <t>674,93</t>
        </is>
      </c>
      <c r="R420" s="66" t="n">
        <v>46210</v>
      </c>
      <c r="S420" s="65" t="n">
        <v>237</v>
      </c>
      <c r="T420" s="65" t="inlineStr">
        <is>
          <t>00-00000759</t>
        </is>
      </c>
      <c r="U420" s="63" t="inlineStr">
        <is>
          <t>96,00</t>
        </is>
      </c>
      <c r="V420" s="63" t="inlineStr">
        <is>
          <t>0,00</t>
        </is>
      </c>
    </row>
    <row r="421">
      <c r="A421" s="65" t="inlineStr">
        <is>
          <t>S00043</t>
        </is>
      </c>
      <c r="B421" s="62" t="n">
        <v>46210.97045138889</v>
      </c>
      <c r="C421" s="65" t="inlineStr">
        <is>
          <t>Vianney García</t>
        </is>
      </c>
      <c r="D421" s="65" t="inlineStr">
        <is>
          <t>BETANCOURT ROBRIGUEZ LUIS ENRRIQUE</t>
        </is>
      </c>
      <c r="E421" s="65" t="inlineStr">
        <is>
          <t>15 días</t>
        </is>
      </c>
      <c r="F421" s="65" t="n">
        <v>3</v>
      </c>
      <c r="G421" s="65" t="inlineStr">
        <is>
          <t>Precio Full Marzo</t>
        </is>
      </c>
      <c r="H421" s="65" t="inlineStr">
        <is>
          <t>[0602] SINOCO SAE 50 (PAILA)</t>
        </is>
      </c>
      <c r="I421" s="65" t="n">
        <v>602</v>
      </c>
      <c r="J421" s="63" t="inlineStr">
        <is>
          <t>2,00</t>
        </is>
      </c>
      <c r="K421" s="63" t="inlineStr">
        <is>
          <t>86,64</t>
        </is>
      </c>
      <c r="L421" s="63" t="inlineStr">
        <is>
          <t>2,96</t>
        </is>
      </c>
      <c r="M421" s="63" t="inlineStr">
        <is>
          <t>168,15</t>
        </is>
      </c>
      <c r="N421" s="63" t="inlineStr">
        <is>
          <t>195,05</t>
        </is>
      </c>
      <c r="O421" s="63" t="inlineStr">
        <is>
          <t>367,68</t>
        </is>
      </c>
      <c r="P421" s="63" t="inlineStr">
        <is>
          <t>426,51</t>
        </is>
      </c>
      <c r="Q421" s="63" t="inlineStr">
        <is>
          <t>674,93</t>
        </is>
      </c>
      <c r="R421" s="66" t="n">
        <v>46210</v>
      </c>
      <c r="S421" s="65" t="n">
        <v>236</v>
      </c>
      <c r="T421" s="65" t="inlineStr">
        <is>
          <t>00-00000758</t>
        </is>
      </c>
      <c r="U421" s="63" t="inlineStr">
        <is>
          <t>426,48</t>
        </is>
      </c>
      <c r="V421" s="63" t="inlineStr">
        <is>
          <t>0,00</t>
        </is>
      </c>
    </row>
    <row r="422">
      <c r="A422" s="65" t="n"/>
      <c r="B422" s="65" t="n"/>
      <c r="C422" s="65" t="n"/>
      <c r="D422" s="65" t="n"/>
      <c r="E422" s="65" t="n"/>
      <c r="F422" s="65" t="n"/>
      <c r="G422" s="65" t="n"/>
      <c r="H422" s="65" t="inlineStr">
        <is>
          <t>[0915] SINOCO SAE 50 (1x12)</t>
        </is>
      </c>
      <c r="I422" s="65" t="n">
        <v>915</v>
      </c>
      <c r="J422" s="63" t="inlineStr">
        <is>
          <t>2,00</t>
        </is>
      </c>
      <c r="K422" s="63" t="inlineStr">
        <is>
          <t>62,07</t>
        </is>
      </c>
      <c r="L422" s="63" t="inlineStr">
        <is>
          <t>2,96</t>
        </is>
      </c>
      <c r="M422" s="63" t="inlineStr">
        <is>
          <t>120,47</t>
        </is>
      </c>
      <c r="N422" s="63" t="inlineStr">
        <is>
          <t>139,75</t>
        </is>
      </c>
      <c r="O422" s="65" t="n"/>
      <c r="P422" s="65" t="n"/>
      <c r="Q422" s="65" t="n"/>
      <c r="R422" s="65" t="n"/>
      <c r="S422" s="65" t="n"/>
      <c r="T422" s="65" t="n"/>
      <c r="U422" s="65" t="n"/>
      <c r="V422" s="65" t="n"/>
    </row>
    <row r="423">
      <c r="A423" s="65" t="n"/>
      <c r="B423" s="65" t="n"/>
      <c r="C423" s="65" t="n"/>
      <c r="D423" s="65" t="n"/>
      <c r="E423" s="65" t="n"/>
      <c r="F423" s="65" t="n"/>
      <c r="G423" s="65" t="n"/>
      <c r="H423" s="65" t="inlineStr">
        <is>
          <t>[0881] CLASICO API SL SAE 20W-50 (1x12)</t>
        </is>
      </c>
      <c r="I423" s="65" t="n">
        <v>881</v>
      </c>
      <c r="J423" s="63" t="inlineStr">
        <is>
          <t>1,00</t>
        </is>
      </c>
      <c r="K423" s="63" t="inlineStr">
        <is>
          <t>81,47</t>
        </is>
      </c>
      <c r="L423" s="63" t="inlineStr">
        <is>
          <t>2,96</t>
        </is>
      </c>
      <c r="M423" s="63" t="inlineStr">
        <is>
          <t>79,06</t>
        </is>
      </c>
      <c r="N423" s="63" t="inlineStr">
        <is>
          <t>91,71</t>
        </is>
      </c>
      <c r="O423" s="65" t="n"/>
      <c r="P423" s="65" t="n"/>
      <c r="Q423" s="65" t="n"/>
      <c r="R423" s="65" t="n"/>
      <c r="S423" s="65" t="n"/>
      <c r="T423" s="65" t="n"/>
      <c r="U423" s="65" t="n"/>
      <c r="V423" s="65" t="n"/>
    </row>
    <row r="424">
      <c r="A424" s="65" t="inlineStr">
        <is>
          <t>S00059</t>
        </is>
      </c>
      <c r="B424" s="62" t="n">
        <v>46210.96810185185</v>
      </c>
      <c r="C424" s="65" t="inlineStr">
        <is>
          <t>Rhino Toyo Parts, C.A.</t>
        </is>
      </c>
      <c r="D424" s="65" t="inlineStr">
        <is>
          <t>OCANTO ZABALA ROSALVY DEL CARMEN</t>
        </is>
      </c>
      <c r="E424" s="65" t="inlineStr">
        <is>
          <t>21 días</t>
        </is>
      </c>
      <c r="F424" s="65" t="n">
        <v>7</v>
      </c>
      <c r="G424" s="65" t="inlineStr">
        <is>
          <t>Pago USD Marzo</t>
        </is>
      </c>
      <c r="H424" s="65" t="inlineStr">
        <is>
          <t>[0025] SS EXTRA PROTECCION API SN SAE 10W-30 (Gasolina) (1x6)</t>
        </is>
      </c>
      <c r="I424" s="65" t="n">
        <v>25</v>
      </c>
      <c r="J424" s="63" t="inlineStr">
        <is>
          <t>4,00</t>
        </is>
      </c>
      <c r="K424" s="63" t="inlineStr">
        <is>
          <t>31,03</t>
        </is>
      </c>
      <c r="L424" s="63" t="inlineStr">
        <is>
          <t>0,00</t>
        </is>
      </c>
      <c r="M424" s="63" t="inlineStr">
        <is>
          <t>124,12</t>
        </is>
      </c>
      <c r="N424" s="63" t="inlineStr">
        <is>
          <t>143,98</t>
        </is>
      </c>
      <c r="O424" s="63" t="inlineStr">
        <is>
          <t>1.607,74</t>
        </is>
      </c>
      <c r="P424" s="63" t="inlineStr">
        <is>
          <t>1.864,99</t>
        </is>
      </c>
      <c r="Q424" s="65" t="n"/>
      <c r="R424" s="65" t="n"/>
      <c r="S424" s="65" t="n"/>
      <c r="T424" s="65" t="n"/>
      <c r="U424" s="65" t="n"/>
      <c r="V424" s="65" t="n"/>
    </row>
    <row r="425">
      <c r="A425" s="65" t="n"/>
      <c r="B425" s="65" t="n"/>
      <c r="C425" s="65" t="n"/>
      <c r="D425" s="65" t="n"/>
      <c r="E425" s="65" t="n"/>
      <c r="F425" s="65" t="n"/>
      <c r="G425" s="65" t="n"/>
      <c r="H425" s="65" t="inlineStr">
        <is>
          <t>[0877] SS EXTRA PROTECCION API SN SAE 15W-40 (1X12)</t>
        </is>
      </c>
      <c r="I425" s="65" t="n">
        <v>877</v>
      </c>
      <c r="J425" s="63" t="inlineStr">
        <is>
          <t>5,00</t>
        </is>
      </c>
      <c r="K425" s="63" t="inlineStr">
        <is>
          <t>62,07</t>
        </is>
      </c>
      <c r="L425" s="63" t="inlineStr">
        <is>
          <t>0,00</t>
        </is>
      </c>
      <c r="M425" s="63" t="inlineStr">
        <is>
          <t>310,35</t>
        </is>
      </c>
      <c r="N425" s="63" t="inlineStr">
        <is>
          <t>360,01</t>
        </is>
      </c>
      <c r="O425" s="65" t="n"/>
      <c r="P425" s="65" t="n"/>
      <c r="Q425" s="65" t="n"/>
      <c r="R425" s="65" t="n"/>
      <c r="S425" s="65" t="n"/>
      <c r="T425" s="65" t="n"/>
      <c r="U425" s="65" t="n"/>
      <c r="V425" s="65" t="n"/>
    </row>
    <row r="426">
      <c r="A426" s="65" t="n"/>
      <c r="B426" s="65" t="n"/>
      <c r="C426" s="65" t="n"/>
      <c r="D426" s="65" t="n"/>
      <c r="E426" s="65" t="n"/>
      <c r="F426" s="65" t="n"/>
      <c r="G426" s="65" t="n"/>
      <c r="H426" s="65" t="inlineStr">
        <is>
          <t>[0878] SS EXTRA PROTECCION API SN SAE 20W-50 (1x12)</t>
        </is>
      </c>
      <c r="I426" s="65" t="n">
        <v>878</v>
      </c>
      <c r="J426" s="63" t="inlineStr">
        <is>
          <t>5,00</t>
        </is>
      </c>
      <c r="K426" s="63" t="inlineStr">
        <is>
          <t>62,07</t>
        </is>
      </c>
      <c r="L426" s="63" t="inlineStr">
        <is>
          <t>0,00</t>
        </is>
      </c>
      <c r="M426" s="63" t="inlineStr">
        <is>
          <t>310,35</t>
        </is>
      </c>
      <c r="N426" s="63" t="inlineStr">
        <is>
          <t>360,01</t>
        </is>
      </c>
      <c r="O426" s="65" t="n"/>
      <c r="P426" s="65" t="n"/>
      <c r="Q426" s="65" t="n"/>
      <c r="R426" s="65" t="n"/>
      <c r="S426" s="65" t="n"/>
      <c r="T426" s="65" t="n"/>
      <c r="U426" s="65" t="n"/>
      <c r="V426" s="65" t="n"/>
    </row>
    <row r="427">
      <c r="A427" s="65" t="n"/>
      <c r="B427" s="65" t="n"/>
      <c r="C427" s="65" t="n"/>
      <c r="D427" s="65" t="n"/>
      <c r="E427" s="65" t="n"/>
      <c r="F427" s="65" t="n"/>
      <c r="G427" s="65" t="n"/>
      <c r="H427" s="65" t="inlineStr">
        <is>
          <t>[0884] TRANSMATIC ATF DEXRON III (1x12)</t>
        </is>
      </c>
      <c r="I427" s="65" t="n">
        <v>884</v>
      </c>
      <c r="J427" s="63" t="inlineStr">
        <is>
          <t>3,00</t>
        </is>
      </c>
      <c r="K427" s="63" t="inlineStr">
        <is>
          <t>57,76</t>
        </is>
      </c>
      <c r="L427" s="63" t="inlineStr">
        <is>
          <t>0,00</t>
        </is>
      </c>
      <c r="M427" s="63" t="inlineStr">
        <is>
          <t>173,28</t>
        </is>
      </c>
      <c r="N427" s="63" t="inlineStr">
        <is>
          <t>201,00</t>
        </is>
      </c>
      <c r="O427" s="65" t="n"/>
      <c r="P427" s="65" t="n"/>
      <c r="Q427" s="65" t="n"/>
      <c r="R427" s="65" t="n"/>
      <c r="S427" s="65" t="n"/>
      <c r="T427" s="65" t="n"/>
      <c r="U427" s="65" t="n"/>
      <c r="V427" s="65" t="n"/>
    </row>
    <row r="428">
      <c r="A428" s="65" t="n"/>
      <c r="B428" s="65" t="n"/>
      <c r="C428" s="65" t="n"/>
      <c r="D428" s="65" t="n"/>
      <c r="E428" s="65" t="n"/>
      <c r="F428" s="65" t="n"/>
      <c r="G428" s="65" t="n"/>
      <c r="H428" s="65" t="inlineStr">
        <is>
          <t>[0127] TRANSGLOB API GL-5 SAE 85W-140 (1x6)</t>
        </is>
      </c>
      <c r="I428" s="65" t="n">
        <v>127</v>
      </c>
      <c r="J428" s="63" t="inlineStr">
        <is>
          <t>2,00</t>
        </is>
      </c>
      <c r="K428" s="63" t="inlineStr">
        <is>
          <t>31,03</t>
        </is>
      </c>
      <c r="L428" s="63" t="inlineStr">
        <is>
          <t>0,00</t>
        </is>
      </c>
      <c r="M428" s="63" t="inlineStr">
        <is>
          <t>62,06</t>
        </is>
      </c>
      <c r="N428" s="63" t="inlineStr">
        <is>
          <t>71,99</t>
        </is>
      </c>
      <c r="O428" s="65" t="n"/>
      <c r="P428" s="65" t="n"/>
      <c r="Q428" s="65" t="n"/>
      <c r="R428" s="65" t="n"/>
      <c r="S428" s="65" t="n"/>
      <c r="T428" s="65" t="n"/>
      <c r="U428" s="65" t="n"/>
      <c r="V428" s="65" t="n"/>
    </row>
    <row r="429">
      <c r="A429" s="65" t="n"/>
      <c r="B429" s="65" t="n"/>
      <c r="C429" s="65" t="n"/>
      <c r="D429" s="65" t="n"/>
      <c r="E429" s="65" t="n"/>
      <c r="F429" s="65" t="n"/>
      <c r="G429" s="65" t="n"/>
      <c r="H429" s="65" t="inlineStr">
        <is>
          <t>[0121] TRANSGLOB API GL-5 SAE 80W-90 (1x6)</t>
        </is>
      </c>
      <c r="I429" s="65" t="n">
        <v>121</v>
      </c>
      <c r="J429" s="63" t="inlineStr">
        <is>
          <t>2,00</t>
        </is>
      </c>
      <c r="K429" s="63" t="inlineStr">
        <is>
          <t>31,03</t>
        </is>
      </c>
      <c r="L429" s="63" t="inlineStr">
        <is>
          <t>0,00</t>
        </is>
      </c>
      <c r="M429" s="63" t="inlineStr">
        <is>
          <t>62,06</t>
        </is>
      </c>
      <c r="N429" s="63" t="inlineStr">
        <is>
          <t>71,99</t>
        </is>
      </c>
      <c r="O429" s="65" t="n"/>
      <c r="P429" s="65" t="n"/>
      <c r="Q429" s="65" t="n"/>
      <c r="R429" s="65" t="n"/>
      <c r="S429" s="65" t="n"/>
      <c r="T429" s="65" t="n"/>
      <c r="U429" s="65" t="n"/>
      <c r="V429" s="65" t="n"/>
    </row>
    <row r="430">
      <c r="A430" s="65" t="n"/>
      <c r="B430" s="65" t="n"/>
      <c r="C430" s="65" t="n"/>
      <c r="D430" s="65" t="n"/>
      <c r="E430" s="65" t="n"/>
      <c r="F430" s="65" t="n"/>
      <c r="G430" s="65" t="n"/>
      <c r="H430" s="65" t="inlineStr">
        <is>
          <t>[0880] CLASICO API SL SAE 15W-40 (1x12)</t>
        </is>
      </c>
      <c r="I430" s="65" t="n">
        <v>880</v>
      </c>
      <c r="J430" s="63" t="inlineStr">
        <is>
          <t>3,00</t>
        </is>
      </c>
      <c r="K430" s="63" t="inlineStr">
        <is>
          <t>53,45</t>
        </is>
      </c>
      <c r="L430" s="63" t="inlineStr">
        <is>
          <t>0,00</t>
        </is>
      </c>
      <c r="M430" s="63" t="inlineStr">
        <is>
          <t>160,35</t>
        </is>
      </c>
      <c r="N430" s="63" t="inlineStr">
        <is>
          <t>186,01</t>
        </is>
      </c>
      <c r="O430" s="65" t="n"/>
      <c r="P430" s="65" t="n"/>
      <c r="Q430" s="65" t="n"/>
      <c r="R430" s="65" t="n"/>
      <c r="S430" s="65" t="n"/>
      <c r="T430" s="65" t="n"/>
      <c r="U430" s="65" t="n"/>
      <c r="V430" s="65" t="n"/>
    </row>
    <row r="431">
      <c r="A431" s="65" t="n"/>
      <c r="B431" s="65" t="n"/>
      <c r="C431" s="65" t="n"/>
      <c r="D431" s="65" t="n"/>
      <c r="E431" s="65" t="n"/>
      <c r="F431" s="65" t="n"/>
      <c r="G431" s="65" t="n"/>
      <c r="H431" s="65" t="inlineStr">
        <is>
          <t>[0881] CLASICO API SL SAE 20W-50 (1x12)</t>
        </is>
      </c>
      <c r="I431" s="65" t="n">
        <v>881</v>
      </c>
      <c r="J431" s="63" t="inlineStr">
        <is>
          <t>4,00</t>
        </is>
      </c>
      <c r="K431" s="63" t="inlineStr">
        <is>
          <t>54,31</t>
        </is>
      </c>
      <c r="L431" s="63" t="inlineStr">
        <is>
          <t>0,00</t>
        </is>
      </c>
      <c r="M431" s="63" t="inlineStr">
        <is>
          <t>217,24</t>
        </is>
      </c>
      <c r="N431" s="63" t="inlineStr">
        <is>
          <t>252,00</t>
        </is>
      </c>
      <c r="O431" s="65" t="n"/>
      <c r="P431" s="65" t="n"/>
      <c r="Q431" s="65" t="n"/>
      <c r="R431" s="65" t="n"/>
      <c r="S431" s="65" t="n"/>
      <c r="T431" s="65" t="n"/>
      <c r="U431" s="65" t="n"/>
      <c r="V431" s="65" t="n"/>
    </row>
    <row r="432">
      <c r="A432" s="65" t="n"/>
      <c r="B432" s="65" t="n"/>
      <c r="C432" s="65" t="n"/>
      <c r="D432" s="65" t="n"/>
      <c r="E432" s="65" t="n"/>
      <c r="F432" s="65" t="n"/>
      <c r="G432" s="65" t="n"/>
      <c r="H432" s="65" t="inlineStr">
        <is>
          <t>[0792] REFRIGERANTE GLOBAL ROJO (1X3)</t>
        </is>
      </c>
      <c r="I432" s="65" t="n">
        <v>792</v>
      </c>
      <c r="J432" s="63" t="inlineStr">
        <is>
          <t>5,00</t>
        </is>
      </c>
      <c r="K432" s="63" t="inlineStr">
        <is>
          <t>20,69</t>
        </is>
      </c>
      <c r="L432" s="63" t="inlineStr">
        <is>
          <t>0,00</t>
        </is>
      </c>
      <c r="M432" s="63" t="inlineStr">
        <is>
          <t>103,45</t>
        </is>
      </c>
      <c r="N432" s="63" t="inlineStr">
        <is>
          <t>120,00</t>
        </is>
      </c>
      <c r="O432" s="65" t="n"/>
      <c r="P432" s="65" t="n"/>
      <c r="Q432" s="65" t="n"/>
      <c r="R432" s="65" t="n"/>
      <c r="S432" s="65" t="n"/>
      <c r="T432" s="65" t="n"/>
      <c r="U432" s="65" t="n"/>
      <c r="V432" s="65" t="n"/>
    </row>
    <row r="433">
      <c r="A433" s="65" t="n"/>
      <c r="B433" s="65" t="n"/>
      <c r="C433" s="65" t="n"/>
      <c r="D433" s="65" t="n"/>
      <c r="E433" s="65" t="n"/>
      <c r="F433" s="65" t="n"/>
      <c r="G433" s="65" t="n"/>
      <c r="H433" s="65" t="inlineStr">
        <is>
          <t>[0019] ELITE API SN SAE 5W-40 (1x6)</t>
        </is>
      </c>
      <c r="I433" s="65" t="n">
        <v>19</v>
      </c>
      <c r="J433" s="63" t="inlineStr">
        <is>
          <t>2,00</t>
        </is>
      </c>
      <c r="K433" s="63" t="inlineStr">
        <is>
          <t>42,24</t>
        </is>
      </c>
      <c r="L433" s="63" t="inlineStr">
        <is>
          <t>0,00</t>
        </is>
      </c>
      <c r="M433" s="63" t="inlineStr">
        <is>
          <t>84,48</t>
        </is>
      </c>
      <c r="N433" s="63" t="inlineStr">
        <is>
          <t>98,00</t>
        </is>
      </c>
      <c r="O433" s="65" t="n"/>
      <c r="P433" s="65" t="n"/>
      <c r="Q433" s="65" t="n"/>
      <c r="R433" s="65" t="n"/>
      <c r="S433" s="65" t="n"/>
      <c r="T433" s="65" t="n"/>
      <c r="U433" s="65" t="n"/>
      <c r="V433" s="65" t="n"/>
    </row>
    <row r="434">
      <c r="A434" s="65" t="inlineStr">
        <is>
          <t>S00052</t>
        </is>
      </c>
      <c r="B434" s="62" t="n">
        <v>46210.96734953704</v>
      </c>
      <c r="C434" s="65" t="inlineStr">
        <is>
          <t>FREDI MARQUEZ</t>
        </is>
      </c>
      <c r="D434" s="65" t="inlineStr">
        <is>
          <t>PEREZ DIAZ ANGEL DE DIOS</t>
        </is>
      </c>
      <c r="E434" s="65" t="inlineStr">
        <is>
          <t>15 días</t>
        </is>
      </c>
      <c r="F434" s="65" t="n">
        <v>7</v>
      </c>
      <c r="G434" s="65" t="inlineStr">
        <is>
          <t>Pago USD Marzo</t>
        </is>
      </c>
      <c r="H434" s="65" t="inlineStr">
        <is>
          <t>[0602] SINOCO SAE 50 (PAILA)</t>
        </is>
      </c>
      <c r="I434" s="65" t="n">
        <v>602</v>
      </c>
      <c r="J434" s="63" t="inlineStr">
        <is>
          <t>4,00</t>
        </is>
      </c>
      <c r="K434" s="63" t="inlineStr">
        <is>
          <t>57,76</t>
        </is>
      </c>
      <c r="L434" s="63" t="inlineStr">
        <is>
          <t>2,99</t>
        </is>
      </c>
      <c r="M434" s="63" t="inlineStr">
        <is>
          <t>224,13</t>
        </is>
      </c>
      <c r="N434" s="63" t="inlineStr">
        <is>
          <t>259,99</t>
        </is>
      </c>
      <c r="O434" s="63" t="inlineStr">
        <is>
          <t>224,13</t>
        </is>
      </c>
      <c r="P434" s="63" t="inlineStr">
        <is>
          <t>259,99</t>
        </is>
      </c>
      <c r="Q434" s="63" t="inlineStr">
        <is>
          <t>674,93</t>
        </is>
      </c>
      <c r="R434" s="66" t="n">
        <v>46210</v>
      </c>
      <c r="S434" s="65" t="n">
        <v>235</v>
      </c>
      <c r="T434" s="65" t="inlineStr">
        <is>
          <t>00-00000757</t>
        </is>
      </c>
      <c r="U434" s="63" t="inlineStr">
        <is>
          <t>259,99</t>
        </is>
      </c>
      <c r="V434" s="63" t="inlineStr">
        <is>
          <t>259,99</t>
        </is>
      </c>
    </row>
    <row r="435">
      <c r="A435" s="65" t="inlineStr">
        <is>
          <t>S00049</t>
        </is>
      </c>
      <c r="B435" s="62" t="n">
        <v>46210.96571759259</v>
      </c>
      <c r="C435" s="65" t="inlineStr">
        <is>
          <t>Marlene Herrera</t>
        </is>
      </c>
      <c r="D435" s="65" t="inlineStr">
        <is>
          <t>PEREZ DIAZ ANGEL DE DIOS</t>
        </is>
      </c>
      <c r="E435" s="65" t="inlineStr">
        <is>
          <t>15 días</t>
        </is>
      </c>
      <c r="F435" s="65" t="n">
        <v>7</v>
      </c>
      <c r="G435" s="65" t="inlineStr">
        <is>
          <t>Pago USD Marzo</t>
        </is>
      </c>
      <c r="H435" s="65" t="inlineStr">
        <is>
          <t>[0602] SINOCO SAE 50 (PAILA)</t>
        </is>
      </c>
      <c r="I435" s="65" t="n">
        <v>602</v>
      </c>
      <c r="J435" s="63" t="inlineStr">
        <is>
          <t>3,00</t>
        </is>
      </c>
      <c r="K435" s="63" t="inlineStr">
        <is>
          <t>57,76</t>
        </is>
      </c>
      <c r="L435" s="63" t="inlineStr">
        <is>
          <t>0,00</t>
        </is>
      </c>
      <c r="M435" s="63" t="inlineStr">
        <is>
          <t>173,28</t>
        </is>
      </c>
      <c r="N435" s="63" t="inlineStr">
        <is>
          <t>201,00</t>
        </is>
      </c>
      <c r="O435" s="63" t="inlineStr">
        <is>
          <t>756,05</t>
        </is>
      </c>
      <c r="P435" s="63" t="inlineStr">
        <is>
          <t>877,00</t>
        </is>
      </c>
      <c r="Q435" s="63" t="inlineStr">
        <is>
          <t>674,93</t>
        </is>
      </c>
      <c r="R435" s="66" t="n">
        <v>46210</v>
      </c>
      <c r="S435" s="65" t="n">
        <v>234</v>
      </c>
      <c r="T435" s="65" t="inlineStr">
        <is>
          <t>00-00000756</t>
        </is>
      </c>
      <c r="U435" s="63" t="inlineStr">
        <is>
          <t>876,96</t>
        </is>
      </c>
      <c r="V435" s="63" t="inlineStr">
        <is>
          <t>447,02</t>
        </is>
      </c>
    </row>
    <row r="436">
      <c r="A436" s="65" t="n"/>
      <c r="B436" s="65" t="n"/>
      <c r="C436" s="65" t="n"/>
      <c r="D436" s="65" t="n"/>
      <c r="E436" s="65" t="n"/>
      <c r="F436" s="65" t="n"/>
      <c r="G436" s="65" t="n"/>
      <c r="H436" s="65" t="inlineStr">
        <is>
          <t>[0779] SINOCO SAE 20W-50 (1x12)</t>
        </is>
      </c>
      <c r="I436" s="65" t="n">
        <v>779</v>
      </c>
      <c r="J436" s="63" t="inlineStr">
        <is>
          <t>3,00</t>
        </is>
      </c>
      <c r="K436" s="63" t="inlineStr">
        <is>
          <t>41,38</t>
        </is>
      </c>
      <c r="L436" s="63" t="inlineStr">
        <is>
          <t>0,00</t>
        </is>
      </c>
      <c r="M436" s="63" t="inlineStr">
        <is>
          <t>124,14</t>
        </is>
      </c>
      <c r="N436" s="63" t="inlineStr">
        <is>
          <t>144,00</t>
        </is>
      </c>
      <c r="O436" s="65" t="n"/>
      <c r="P436" s="65" t="n"/>
      <c r="Q436" s="65" t="n"/>
      <c r="R436" s="65" t="n"/>
      <c r="S436" s="65" t="n"/>
      <c r="T436" s="65" t="n"/>
      <c r="U436" s="65" t="n"/>
      <c r="V436" s="65" t="n"/>
    </row>
    <row r="437">
      <c r="A437" s="65" t="n"/>
      <c r="B437" s="65" t="n"/>
      <c r="C437" s="65" t="n"/>
      <c r="D437" s="65" t="n"/>
      <c r="E437" s="65" t="n"/>
      <c r="F437" s="65" t="n"/>
      <c r="G437" s="65" t="n"/>
      <c r="H437" s="65" t="inlineStr">
        <is>
          <t>[0915] SINOCO SAE 50 (1x12)</t>
        </is>
      </c>
      <c r="I437" s="65" t="n">
        <v>915</v>
      </c>
      <c r="J437" s="63" t="inlineStr">
        <is>
          <t>3,00</t>
        </is>
      </c>
      <c r="K437" s="63" t="inlineStr">
        <is>
          <t>41,38</t>
        </is>
      </c>
      <c r="L437" s="63" t="inlineStr">
        <is>
          <t>0,00</t>
        </is>
      </c>
      <c r="M437" s="63" t="inlineStr">
        <is>
          <t>124,14</t>
        </is>
      </c>
      <c r="N437" s="63" t="inlineStr">
        <is>
          <t>144,00</t>
        </is>
      </c>
      <c r="O437" s="65" t="n"/>
      <c r="P437" s="65" t="n"/>
      <c r="Q437" s="65" t="n"/>
      <c r="R437" s="65" t="n"/>
      <c r="S437" s="65" t="n"/>
      <c r="T437" s="65" t="n"/>
      <c r="U437" s="65" t="n"/>
      <c r="V437" s="65" t="n"/>
    </row>
    <row r="438">
      <c r="A438" s="65" t="n"/>
      <c r="B438" s="65" t="n"/>
      <c r="C438" s="65" t="n"/>
      <c r="D438" s="65" t="n"/>
      <c r="E438" s="65" t="n"/>
      <c r="F438" s="65" t="n"/>
      <c r="G438" s="65" t="n"/>
      <c r="H438" s="65" t="inlineStr">
        <is>
          <t>[0878] SS EXTRA PROTECCION API SN SAE 20W-50 (1x12)</t>
        </is>
      </c>
      <c r="I438" s="65" t="n">
        <v>878</v>
      </c>
      <c r="J438" s="63" t="inlineStr">
        <is>
          <t>1,00</t>
        </is>
      </c>
      <c r="K438" s="63" t="inlineStr">
        <is>
          <t>62,07</t>
        </is>
      </c>
      <c r="L438" s="63" t="inlineStr">
        <is>
          <t>0,00</t>
        </is>
      </c>
      <c r="M438" s="63" t="inlineStr">
        <is>
          <t>62,07</t>
        </is>
      </c>
      <c r="N438" s="63" t="inlineStr">
        <is>
          <t>72,00</t>
        </is>
      </c>
      <c r="O438" s="65" t="n"/>
      <c r="P438" s="65" t="n"/>
      <c r="Q438" s="65" t="n"/>
      <c r="R438" s="65" t="n"/>
      <c r="S438" s="65" t="n"/>
      <c r="T438" s="65" t="n"/>
      <c r="U438" s="65" t="n"/>
      <c r="V438" s="65" t="n"/>
    </row>
    <row r="439">
      <c r="A439" s="65" t="n"/>
      <c r="B439" s="65" t="n"/>
      <c r="C439" s="65" t="n"/>
      <c r="D439" s="65" t="n"/>
      <c r="E439" s="65" t="n"/>
      <c r="F439" s="65" t="n"/>
      <c r="G439" s="65" t="n"/>
      <c r="H439" s="65" t="inlineStr">
        <is>
          <t>[0881] CLASICO API SL SAE 20W-50 (1x12)</t>
        </is>
      </c>
      <c r="I439" s="65" t="n">
        <v>881</v>
      </c>
      <c r="J439" s="63" t="inlineStr">
        <is>
          <t>2,00</t>
        </is>
      </c>
      <c r="K439" s="63" t="inlineStr">
        <is>
          <t>54,31</t>
        </is>
      </c>
      <c r="L439" s="63" t="inlineStr">
        <is>
          <t>0,00</t>
        </is>
      </c>
      <c r="M439" s="63" t="inlineStr">
        <is>
          <t>108,62</t>
        </is>
      </c>
      <c r="N439" s="63" t="inlineStr">
        <is>
          <t>126,00</t>
        </is>
      </c>
      <c r="O439" s="65" t="n"/>
      <c r="P439" s="65" t="n"/>
      <c r="Q439" s="65" t="n"/>
      <c r="R439" s="65" t="n"/>
      <c r="S439" s="65" t="n"/>
      <c r="T439" s="65" t="n"/>
      <c r="U439" s="65" t="n"/>
      <c r="V439" s="65" t="n"/>
    </row>
    <row r="440">
      <c r="A440" s="65" t="n"/>
      <c r="B440" s="65" t="n"/>
      <c r="C440" s="65" t="n"/>
      <c r="D440" s="65" t="n"/>
      <c r="E440" s="65" t="n"/>
      <c r="F440" s="65" t="n"/>
      <c r="G440" s="65" t="n"/>
      <c r="H440" s="65" t="inlineStr">
        <is>
          <t>[0887] MOTOCLASICO 4T SAE 20W-50 (1x12)</t>
        </is>
      </c>
      <c r="I440" s="65" t="n">
        <v>887</v>
      </c>
      <c r="J440" s="63" t="inlineStr">
        <is>
          <t>1,00</t>
        </is>
      </c>
      <c r="K440" s="63" t="inlineStr">
        <is>
          <t>56,90</t>
        </is>
      </c>
      <c r="L440" s="63" t="inlineStr">
        <is>
          <t>0,00</t>
        </is>
      </c>
      <c r="M440" s="63" t="inlineStr">
        <is>
          <t>56,90</t>
        </is>
      </c>
      <c r="N440" s="63" t="inlineStr">
        <is>
          <t>66,00</t>
        </is>
      </c>
      <c r="O440" s="65" t="n"/>
      <c r="P440" s="65" t="n"/>
      <c r="Q440" s="65" t="n"/>
      <c r="R440" s="65" t="n"/>
      <c r="S440" s="65" t="n"/>
      <c r="T440" s="65" t="n"/>
      <c r="U440" s="65" t="n"/>
      <c r="V440" s="65" t="n"/>
    </row>
    <row r="441">
      <c r="A441" s="65" t="n"/>
      <c r="B441" s="65" t="n"/>
      <c r="C441" s="65" t="n"/>
      <c r="D441" s="65" t="n"/>
      <c r="E441" s="65" t="n"/>
      <c r="F441" s="65" t="n"/>
      <c r="G441" s="65" t="n"/>
      <c r="H441" s="65" t="inlineStr">
        <is>
          <t>[0087] ENDUROGLOB 2T AIRE (1x6)</t>
        </is>
      </c>
      <c r="I441" s="65" t="n">
        <v>87</v>
      </c>
      <c r="J441" s="63" t="inlineStr">
        <is>
          <t>1,00</t>
        </is>
      </c>
      <c r="K441" s="63" t="inlineStr">
        <is>
          <t>28,45</t>
        </is>
      </c>
      <c r="L441" s="63" t="inlineStr">
        <is>
          <t>0,00</t>
        </is>
      </c>
      <c r="M441" s="63" t="inlineStr">
        <is>
          <t>28,45</t>
        </is>
      </c>
      <c r="N441" s="63" t="inlineStr">
        <is>
          <t>33,00</t>
        </is>
      </c>
      <c r="O441" s="65" t="n"/>
      <c r="P441" s="65" t="n"/>
      <c r="Q441" s="65" t="n"/>
      <c r="R441" s="65" t="n"/>
      <c r="S441" s="65" t="n"/>
      <c r="T441" s="65" t="n"/>
      <c r="U441" s="65" t="n"/>
      <c r="V441" s="65" t="n"/>
    </row>
    <row r="442">
      <c r="A442" s="65" t="n"/>
      <c r="B442" s="65" t="n"/>
      <c r="C442" s="65" t="n"/>
      <c r="D442" s="65" t="n"/>
      <c r="E442" s="65" t="n"/>
      <c r="F442" s="65" t="n"/>
      <c r="G442" s="65" t="n"/>
      <c r="H442" s="65" t="inlineStr">
        <is>
          <t>[0884] TRANSMATIC ATF DEXRON III (1x12)</t>
        </is>
      </c>
      <c r="I442" s="65" t="n">
        <v>884</v>
      </c>
      <c r="J442" s="63" t="inlineStr">
        <is>
          <t>1,00</t>
        </is>
      </c>
      <c r="K442" s="63" t="inlineStr">
        <is>
          <t>57,76</t>
        </is>
      </c>
      <c r="L442" s="63" t="inlineStr">
        <is>
          <t>0,00</t>
        </is>
      </c>
      <c r="M442" s="63" t="inlineStr">
        <is>
          <t>57,76</t>
        </is>
      </c>
      <c r="N442" s="63" t="inlineStr">
        <is>
          <t>67,00</t>
        </is>
      </c>
      <c r="O442" s="65" t="n"/>
      <c r="P442" s="65" t="n"/>
      <c r="Q442" s="65" t="n"/>
      <c r="R442" s="65" t="n"/>
      <c r="S442" s="65" t="n"/>
      <c r="T442" s="65" t="n"/>
      <c r="U442" s="65" t="n"/>
      <c r="V442" s="65" t="n"/>
    </row>
    <row r="443">
      <c r="A443" s="65" t="n"/>
      <c r="B443" s="65" t="n"/>
      <c r="C443" s="65" t="n"/>
      <c r="D443" s="65" t="n"/>
      <c r="E443" s="65" t="n"/>
      <c r="F443" s="65" t="n"/>
      <c r="G443" s="65" t="n"/>
      <c r="H443" s="65" t="inlineStr">
        <is>
          <t>[0761] LIGA PARA FRENOS DOT-3 (1x12)</t>
        </is>
      </c>
      <c r="I443" s="65" t="n">
        <v>761</v>
      </c>
      <c r="J443" s="63" t="inlineStr">
        <is>
          <t>1,00</t>
        </is>
      </c>
      <c r="K443" s="63" t="inlineStr">
        <is>
          <t>20,69</t>
        </is>
      </c>
      <c r="L443" s="63" t="inlineStr">
        <is>
          <t>0,00</t>
        </is>
      </c>
      <c r="M443" s="63" t="inlineStr">
        <is>
          <t>20,69</t>
        </is>
      </c>
      <c r="N443" s="63" t="inlineStr">
        <is>
          <t>24,00</t>
        </is>
      </c>
      <c r="O443" s="65" t="n"/>
      <c r="P443" s="65" t="n"/>
      <c r="Q443" s="65" t="n"/>
      <c r="R443" s="65" t="n"/>
      <c r="S443" s="65" t="n"/>
      <c r="T443" s="65" t="n"/>
      <c r="U443" s="65" t="n"/>
      <c r="V443" s="65" t="n"/>
    </row>
    <row r="444">
      <c r="A444" s="65" t="inlineStr">
        <is>
          <t>S00057</t>
        </is>
      </c>
      <c r="B444" s="62" t="n">
        <v>46210.96407407407</v>
      </c>
      <c r="C444" s="65" t="inlineStr">
        <is>
          <t>Comercial Rio Paraguas C.A</t>
        </is>
      </c>
      <c r="D444" s="65" t="inlineStr">
        <is>
          <t>QUEVEDO BASTIDAS NEYKEL DAVID</t>
        </is>
      </c>
      <c r="E444" s="65" t="inlineStr">
        <is>
          <t>15 días</t>
        </is>
      </c>
      <c r="F444" s="65" t="n">
        <v>3</v>
      </c>
      <c r="G444" s="65" t="inlineStr">
        <is>
          <t>Precio Full Marzo</t>
        </is>
      </c>
      <c r="H444" s="65" t="inlineStr">
        <is>
          <t>[0775] LIGA PARA FRENOS DOT-4 (1X12)</t>
        </is>
      </c>
      <c r="I444" s="65" t="n">
        <v>775</v>
      </c>
      <c r="J444" s="63" t="inlineStr">
        <is>
          <t>1,00</t>
        </is>
      </c>
      <c r="K444" s="63" t="inlineStr">
        <is>
          <t>55,60</t>
        </is>
      </c>
      <c r="L444" s="63" t="inlineStr">
        <is>
          <t>28,68</t>
        </is>
      </c>
      <c r="M444" s="63" t="inlineStr">
        <is>
          <t>39,65</t>
        </is>
      </c>
      <c r="N444" s="63" t="inlineStr">
        <is>
          <t>45,99</t>
        </is>
      </c>
      <c r="O444" s="63" t="inlineStr">
        <is>
          <t>83,93</t>
        </is>
      </c>
      <c r="P444" s="63" t="inlineStr">
        <is>
          <t>97,35</t>
        </is>
      </c>
      <c r="Q444" s="63" t="inlineStr">
        <is>
          <t>674,93</t>
        </is>
      </c>
      <c r="R444" s="66" t="n">
        <v>46210</v>
      </c>
      <c r="S444" s="65" t="n">
        <v>233</v>
      </c>
      <c r="T444" s="65" t="inlineStr">
        <is>
          <t>00-00000755</t>
        </is>
      </c>
      <c r="U444" s="63" t="inlineStr">
        <is>
          <t>97,33</t>
        </is>
      </c>
      <c r="V444" s="63" t="inlineStr">
        <is>
          <t>0,00</t>
        </is>
      </c>
    </row>
    <row r="445">
      <c r="A445" s="65" t="n"/>
      <c r="B445" s="65" t="n"/>
      <c r="C445" s="65" t="n"/>
      <c r="D445" s="65" t="n"/>
      <c r="E445" s="65" t="n"/>
      <c r="F445" s="65" t="n"/>
      <c r="G445" s="65" t="n"/>
      <c r="H445" s="65" t="inlineStr">
        <is>
          <t>[0789] REFRIGERANTE GLOBAL VERDE (1X3)</t>
        </is>
      </c>
      <c r="I445" s="65" t="n">
        <v>789</v>
      </c>
      <c r="J445" s="63" t="inlineStr">
        <is>
          <t>1,00</t>
        </is>
      </c>
      <c r="K445" s="63" t="inlineStr">
        <is>
          <t>31,03</t>
        </is>
      </c>
      <c r="L445" s="63" t="inlineStr">
        <is>
          <t>28,66</t>
        </is>
      </c>
      <c r="M445" s="63" t="inlineStr">
        <is>
          <t>22,14</t>
        </is>
      </c>
      <c r="N445" s="63" t="inlineStr">
        <is>
          <t>25,68</t>
        </is>
      </c>
      <c r="O445" s="65" t="n"/>
      <c r="P445" s="65" t="n"/>
      <c r="Q445" s="65" t="n"/>
      <c r="R445" s="65" t="n"/>
      <c r="S445" s="65" t="n"/>
      <c r="T445" s="65" t="n"/>
      <c r="U445" s="65" t="n"/>
      <c r="V445" s="65" t="n"/>
    </row>
    <row r="446">
      <c r="A446" s="65" t="n"/>
      <c r="B446" s="65" t="n"/>
      <c r="C446" s="65" t="n"/>
      <c r="D446" s="65" t="n"/>
      <c r="E446" s="65" t="n"/>
      <c r="F446" s="65" t="n"/>
      <c r="G446" s="65" t="n"/>
      <c r="H446" s="65" t="inlineStr">
        <is>
          <t>[0792] REFRIGERANTE GLOBAL ROJO (1X3)</t>
        </is>
      </c>
      <c r="I446" s="65" t="n">
        <v>792</v>
      </c>
      <c r="J446" s="63" t="inlineStr">
        <is>
          <t>1,00</t>
        </is>
      </c>
      <c r="K446" s="63" t="inlineStr">
        <is>
          <t>31,03</t>
        </is>
      </c>
      <c r="L446" s="63" t="inlineStr">
        <is>
          <t>28,66</t>
        </is>
      </c>
      <c r="M446" s="63" t="inlineStr">
        <is>
          <t>22,14</t>
        </is>
      </c>
      <c r="N446" s="63" t="inlineStr">
        <is>
          <t>25,68</t>
        </is>
      </c>
      <c r="O446" s="65" t="n"/>
      <c r="P446" s="65" t="n"/>
      <c r="Q446" s="65" t="n"/>
      <c r="R446" s="65" t="n"/>
      <c r="S446" s="65" t="n"/>
      <c r="T446" s="65" t="n"/>
      <c r="U446" s="65" t="n"/>
      <c r="V446" s="65" t="n"/>
    </row>
    <row r="447">
      <c r="A447" s="65" t="inlineStr">
        <is>
          <t>S00058</t>
        </is>
      </c>
      <c r="B447" s="62" t="n">
        <v>46210.96280092592</v>
      </c>
      <c r="C447" s="65" t="inlineStr">
        <is>
          <t>Repuestos y Accesorios chaustre 2024</t>
        </is>
      </c>
      <c r="D447" s="65" t="inlineStr">
        <is>
          <t>MARTINEZ MONTES JEFFREY ENRIQUE</t>
        </is>
      </c>
      <c r="E447" s="65" t="inlineStr">
        <is>
          <t>15 días</t>
        </is>
      </c>
      <c r="F447" s="65" t="n">
        <v>3</v>
      </c>
      <c r="G447" s="65" t="inlineStr">
        <is>
          <t>Precio Full Marzo</t>
        </is>
      </c>
      <c r="H447" s="65" t="inlineStr">
        <is>
          <t>[0779] SINOCO SAE 20W-50 (1x12)</t>
        </is>
      </c>
      <c r="I447" s="65" t="n">
        <v>779</v>
      </c>
      <c r="J447" s="63" t="inlineStr">
        <is>
          <t>2,00</t>
        </is>
      </c>
      <c r="K447" s="63" t="inlineStr">
        <is>
          <t>62,07</t>
        </is>
      </c>
      <c r="L447" s="63" t="inlineStr">
        <is>
          <t>0,00</t>
        </is>
      </c>
      <c r="M447" s="63" t="inlineStr">
        <is>
          <t>124,14</t>
        </is>
      </c>
      <c r="N447" s="63" t="inlineStr">
        <is>
          <t>144,00</t>
        </is>
      </c>
      <c r="O447" s="63" t="inlineStr">
        <is>
          <t>248,28</t>
        </is>
      </c>
      <c r="P447" s="63" t="inlineStr">
        <is>
          <t>288,00</t>
        </is>
      </c>
      <c r="Q447" s="63" t="inlineStr">
        <is>
          <t>674,93</t>
        </is>
      </c>
      <c r="R447" s="66" t="n">
        <v>46210</v>
      </c>
      <c r="S447" s="65" t="n">
        <v>232</v>
      </c>
      <c r="T447" s="65" t="inlineStr">
        <is>
          <t>00-00000754</t>
        </is>
      </c>
      <c r="U447" s="63" t="inlineStr">
        <is>
          <t>287,98</t>
        </is>
      </c>
      <c r="V447" s="63" t="inlineStr">
        <is>
          <t>288,00</t>
        </is>
      </c>
    </row>
    <row r="448">
      <c r="A448" s="65" t="n"/>
      <c r="B448" s="65" t="n"/>
      <c r="C448" s="65" t="n"/>
      <c r="D448" s="65" t="n"/>
      <c r="E448" s="65" t="n"/>
      <c r="F448" s="65" t="n"/>
      <c r="G448" s="65" t="n"/>
      <c r="H448" s="65" t="inlineStr">
        <is>
          <t>[0915] SINOCO SAE 50 (1x12)</t>
        </is>
      </c>
      <c r="I448" s="65" t="n">
        <v>915</v>
      </c>
      <c r="J448" s="63" t="inlineStr">
        <is>
          <t>2,00</t>
        </is>
      </c>
      <c r="K448" s="63" t="inlineStr">
        <is>
          <t>62,07</t>
        </is>
      </c>
      <c r="L448" s="63" t="inlineStr">
        <is>
          <t>0,00</t>
        </is>
      </c>
      <c r="M448" s="63" t="inlineStr">
        <is>
          <t>124,14</t>
        </is>
      </c>
      <c r="N448" s="63" t="inlineStr">
        <is>
          <t>144,00</t>
        </is>
      </c>
      <c r="O448" s="65" t="n"/>
      <c r="P448" s="65" t="n"/>
      <c r="Q448" s="65" t="n"/>
      <c r="R448" s="65" t="n"/>
      <c r="S448" s="65" t="n"/>
      <c r="T448" s="65" t="n"/>
      <c r="U448" s="65" t="n"/>
      <c r="V448" s="65" t="n"/>
    </row>
    <row r="449">
      <c r="A449" s="65" t="inlineStr">
        <is>
          <t>S00054</t>
        </is>
      </c>
      <c r="B449" s="62" t="n">
        <v>46210.96150462963</v>
      </c>
      <c r="C449" s="65" t="inlineStr">
        <is>
          <t>Corporación Lubricantes 7ma Av.C.A</t>
        </is>
      </c>
      <c r="D449" s="65" t="inlineStr">
        <is>
          <t>GRIMAN DIAZ HECTOR EDUARDO</t>
        </is>
      </c>
      <c r="E449" s="65" t="inlineStr">
        <is>
          <t>15 días</t>
        </is>
      </c>
      <c r="F449" s="65" t="n">
        <v>3</v>
      </c>
      <c r="G449" s="65" t="inlineStr">
        <is>
          <t>Precio Full Marzo</t>
        </is>
      </c>
      <c r="H449" s="65" t="inlineStr">
        <is>
          <t>[0884] TRANSMATIC ATF DEXRON III (1x12)</t>
        </is>
      </c>
      <c r="I449" s="65" t="n">
        <v>884</v>
      </c>
      <c r="J449" s="63" t="inlineStr">
        <is>
          <t>1,00</t>
        </is>
      </c>
      <c r="K449" s="63" t="inlineStr">
        <is>
          <t>86,64</t>
        </is>
      </c>
      <c r="L449" s="63" t="inlineStr">
        <is>
          <t>0,00</t>
        </is>
      </c>
      <c r="M449" s="63" t="inlineStr">
        <is>
          <t>86,64</t>
        </is>
      </c>
      <c r="N449" s="63" t="inlineStr">
        <is>
          <t>100,50</t>
        </is>
      </c>
      <c r="O449" s="63" t="inlineStr">
        <is>
          <t>671,11</t>
        </is>
      </c>
      <c r="P449" s="63" t="inlineStr">
        <is>
          <t>778,48</t>
        </is>
      </c>
      <c r="Q449" s="63" t="inlineStr">
        <is>
          <t>674,93</t>
        </is>
      </c>
      <c r="R449" s="66" t="n">
        <v>46210</v>
      </c>
      <c r="S449" s="65" t="n">
        <v>231</v>
      </c>
      <c r="T449" s="65" t="inlineStr">
        <is>
          <t>00-00000753</t>
        </is>
      </c>
      <c r="U449" s="63" t="inlineStr">
        <is>
          <t>778,46</t>
        </is>
      </c>
      <c r="V449" s="63" t="inlineStr">
        <is>
          <t>575,72</t>
        </is>
      </c>
    </row>
    <row r="450">
      <c r="A450" s="65" t="n"/>
      <c r="B450" s="65" t="n"/>
      <c r="C450" s="65" t="n"/>
      <c r="D450" s="65" t="n"/>
      <c r="E450" s="65" t="n"/>
      <c r="F450" s="65" t="n"/>
      <c r="G450" s="65" t="n"/>
      <c r="H450" s="65" t="inlineStr">
        <is>
          <t>[0880] CLASICO API SL SAE 15W-40 (1x12)</t>
        </is>
      </c>
      <c r="I450" s="65" t="n">
        <v>880</v>
      </c>
      <c r="J450" s="63" t="inlineStr">
        <is>
          <t>2,00</t>
        </is>
      </c>
      <c r="K450" s="63" t="inlineStr">
        <is>
          <t>80,17</t>
        </is>
      </c>
      <c r="L450" s="63" t="inlineStr">
        <is>
          <t>0,00</t>
        </is>
      </c>
      <c r="M450" s="63" t="inlineStr">
        <is>
          <t>160,34</t>
        </is>
      </c>
      <c r="N450" s="63" t="inlineStr">
        <is>
          <t>185,99</t>
        </is>
      </c>
      <c r="O450" s="65" t="n"/>
      <c r="P450" s="65" t="n"/>
      <c r="Q450" s="65" t="n"/>
      <c r="R450" s="65" t="n"/>
      <c r="S450" s="65" t="n"/>
      <c r="T450" s="65" t="n"/>
      <c r="U450" s="65" t="n"/>
      <c r="V450" s="65" t="n"/>
    </row>
    <row r="451">
      <c r="A451" s="65" t="n"/>
      <c r="B451" s="65" t="n"/>
      <c r="C451" s="65" t="n"/>
      <c r="D451" s="65" t="n"/>
      <c r="E451" s="65" t="n"/>
      <c r="F451" s="65" t="n"/>
      <c r="G451" s="65" t="n"/>
      <c r="H451" s="65" t="inlineStr">
        <is>
          <t>[0877] SS EXTRA PROTECCION API SN SAE 15W-40 (1X12)</t>
        </is>
      </c>
      <c r="I451" s="65" t="n">
        <v>877</v>
      </c>
      <c r="J451" s="63" t="inlineStr">
        <is>
          <t>2,00</t>
        </is>
      </c>
      <c r="K451" s="63" t="inlineStr">
        <is>
          <t>93,10</t>
        </is>
      </c>
      <c r="L451" s="63" t="inlineStr">
        <is>
          <t>0,00</t>
        </is>
      </c>
      <c r="M451" s="63" t="inlineStr">
        <is>
          <t>186,20</t>
        </is>
      </c>
      <c r="N451" s="63" t="inlineStr">
        <is>
          <t>215,99</t>
        </is>
      </c>
      <c r="O451" s="65" t="n"/>
      <c r="P451" s="65" t="n"/>
      <c r="Q451" s="65" t="n"/>
      <c r="R451" s="65" t="n"/>
      <c r="S451" s="65" t="n"/>
      <c r="T451" s="65" t="n"/>
      <c r="U451" s="65" t="n"/>
      <c r="V451" s="65" t="n"/>
    </row>
    <row r="452">
      <c r="A452" s="65" t="n"/>
      <c r="B452" s="65" t="n"/>
      <c r="C452" s="65" t="n"/>
      <c r="D452" s="65" t="n"/>
      <c r="E452" s="65" t="n"/>
      <c r="F452" s="65" t="n"/>
      <c r="G452" s="65" t="n"/>
      <c r="H452" s="65" t="inlineStr">
        <is>
          <t>[0121] TRANSGLOB API GL-5 SAE 80W-90 (1x6)</t>
        </is>
      </c>
      <c r="I452" s="65" t="n">
        <v>121</v>
      </c>
      <c r="J452" s="63" t="inlineStr">
        <is>
          <t>1,00</t>
        </is>
      </c>
      <c r="K452" s="63" t="inlineStr">
        <is>
          <t>46,55</t>
        </is>
      </c>
      <c r="L452" s="63" t="inlineStr">
        <is>
          <t>0,00</t>
        </is>
      </c>
      <c r="M452" s="63" t="inlineStr">
        <is>
          <t>46,55</t>
        </is>
      </c>
      <c r="N452" s="63" t="inlineStr">
        <is>
          <t>54,00</t>
        </is>
      </c>
      <c r="O452" s="65" t="n"/>
      <c r="P452" s="65" t="n"/>
      <c r="Q452" s="65" t="n"/>
      <c r="R452" s="65" t="n"/>
      <c r="S452" s="65" t="n"/>
      <c r="T452" s="65" t="n"/>
      <c r="U452" s="65" t="n"/>
      <c r="V452" s="65" t="n"/>
    </row>
    <row r="453">
      <c r="A453" s="65" t="n"/>
      <c r="B453" s="65" t="n"/>
      <c r="C453" s="65" t="n"/>
      <c r="D453" s="65" t="n"/>
      <c r="E453" s="65" t="n"/>
      <c r="F453" s="65" t="n"/>
      <c r="G453" s="65" t="n"/>
      <c r="H453" s="65" t="inlineStr">
        <is>
          <t>[0915] SINOCO SAE 50 (1x12)</t>
        </is>
      </c>
      <c r="I453" s="65" t="n">
        <v>915</v>
      </c>
      <c r="J453" s="63" t="inlineStr">
        <is>
          <t>1,00</t>
        </is>
      </c>
      <c r="K453" s="63" t="inlineStr">
        <is>
          <t>62,07</t>
        </is>
      </c>
      <c r="L453" s="63" t="inlineStr">
        <is>
          <t>0,00</t>
        </is>
      </c>
      <c r="M453" s="63" t="inlineStr">
        <is>
          <t>62,07</t>
        </is>
      </c>
      <c r="N453" s="63" t="inlineStr">
        <is>
          <t>72,00</t>
        </is>
      </c>
      <c r="O453" s="65" t="n"/>
      <c r="P453" s="65" t="n"/>
      <c r="Q453" s="65" t="n"/>
      <c r="R453" s="65" t="n"/>
      <c r="S453" s="65" t="n"/>
      <c r="T453" s="65" t="n"/>
      <c r="U453" s="65" t="n"/>
      <c r="V453" s="65" t="n"/>
    </row>
    <row r="454">
      <c r="A454" s="65" t="n"/>
      <c r="B454" s="65" t="n"/>
      <c r="C454" s="65" t="n"/>
      <c r="D454" s="65" t="n"/>
      <c r="E454" s="65" t="n"/>
      <c r="F454" s="65" t="n"/>
      <c r="G454" s="65" t="n"/>
      <c r="H454" s="65" t="inlineStr">
        <is>
          <t>[0093] ALTA CILINDRADA SS API SN SAE 15W-40 (1x6)</t>
        </is>
      </c>
      <c r="I454" s="65" t="n">
        <v>93</v>
      </c>
      <c r="J454" s="63" t="inlineStr">
        <is>
          <t>1,00</t>
        </is>
      </c>
      <c r="K454" s="63" t="inlineStr">
        <is>
          <t>43,97</t>
        </is>
      </c>
      <c r="L454" s="63" t="inlineStr">
        <is>
          <t>0,00</t>
        </is>
      </c>
      <c r="M454" s="63" t="inlineStr">
        <is>
          <t>43,97</t>
        </is>
      </c>
      <c r="N454" s="63" t="inlineStr">
        <is>
          <t>51,01</t>
        </is>
      </c>
      <c r="O454" s="65" t="n"/>
      <c r="P454" s="65" t="n"/>
      <c r="Q454" s="65" t="n"/>
      <c r="R454" s="65" t="n"/>
      <c r="S454" s="65" t="n"/>
      <c r="T454" s="65" t="n"/>
      <c r="U454" s="65" t="n"/>
      <c r="V454" s="65" t="n"/>
    </row>
    <row r="455">
      <c r="A455" s="65" t="n"/>
      <c r="B455" s="65" t="n"/>
      <c r="C455" s="65" t="n"/>
      <c r="D455" s="65" t="n"/>
      <c r="E455" s="65" t="n"/>
      <c r="F455" s="65" t="n"/>
      <c r="G455" s="65" t="n"/>
      <c r="H455" s="65" t="inlineStr">
        <is>
          <t>[0887] MOTOCLASICO 4T SAE 20W-50 (1x12)</t>
        </is>
      </c>
      <c r="I455" s="65" t="n">
        <v>887</v>
      </c>
      <c r="J455" s="63" t="inlineStr">
        <is>
          <t>1,00</t>
        </is>
      </c>
      <c r="K455" s="63" t="inlineStr">
        <is>
          <t>85,34</t>
        </is>
      </c>
      <c r="L455" s="63" t="inlineStr">
        <is>
          <t>0,00</t>
        </is>
      </c>
      <c r="M455" s="63" t="inlineStr">
        <is>
          <t>85,34</t>
        </is>
      </c>
      <c r="N455" s="63" t="inlineStr">
        <is>
          <t>98,99</t>
        </is>
      </c>
      <c r="O455" s="65" t="n"/>
      <c r="P455" s="65" t="n"/>
      <c r="Q455" s="65" t="n"/>
      <c r="R455" s="65" t="n"/>
      <c r="S455" s="65" t="n"/>
      <c r="T455" s="65" t="n"/>
      <c r="U455" s="65" t="n"/>
      <c r="V455" s="65" t="n"/>
    </row>
    <row r="456">
      <c r="A456" s="65" t="inlineStr">
        <is>
          <t>S00072</t>
        </is>
      </c>
      <c r="B456" s="62" t="n">
        <v>46210.95791666667</v>
      </c>
      <c r="C456" s="65" t="inlineStr">
        <is>
          <t>DISTRIBUIDORA PINOS 181297 C.A</t>
        </is>
      </c>
      <c r="D456" s="65" t="inlineStr">
        <is>
          <t>QUEVEDO BASTIDAS NEYKEL DAVID</t>
        </is>
      </c>
      <c r="E456" s="65" t="inlineStr">
        <is>
          <t>15 días</t>
        </is>
      </c>
      <c r="F456" s="65" t="n">
        <v>3</v>
      </c>
      <c r="G456" s="65" t="inlineStr">
        <is>
          <t>Precio Full Marzo</t>
        </is>
      </c>
      <c r="H456" s="65" t="inlineStr">
        <is>
          <t>[0121] TRANSGLOB API GL-5 SAE 80W-90 (1x6)</t>
        </is>
      </c>
      <c r="I456" s="65" t="n">
        <v>121</v>
      </c>
      <c r="J456" s="63" t="inlineStr">
        <is>
          <t>1,00</t>
        </is>
      </c>
      <c r="K456" s="63" t="inlineStr">
        <is>
          <t>46,55</t>
        </is>
      </c>
      <c r="L456" s="63" t="inlineStr">
        <is>
          <t>14,56</t>
        </is>
      </c>
      <c r="M456" s="63" t="inlineStr">
        <is>
          <t>39,77</t>
        </is>
      </c>
      <c r="N456" s="63" t="inlineStr">
        <is>
          <t>46,13</t>
        </is>
      </c>
      <c r="O456" s="63" t="inlineStr">
        <is>
          <t>79,54</t>
        </is>
      </c>
      <c r="P456" s="63" t="inlineStr">
        <is>
          <t>92,26</t>
        </is>
      </c>
      <c r="Q456" s="63" t="inlineStr">
        <is>
          <t>674,93</t>
        </is>
      </c>
      <c r="R456" s="66" t="n">
        <v>46210</v>
      </c>
      <c r="S456" s="65" t="n">
        <v>230</v>
      </c>
      <c r="T456" s="65" t="inlineStr">
        <is>
          <t>00-00000752</t>
        </is>
      </c>
      <c r="U456" s="63" t="inlineStr">
        <is>
          <t>92,26</t>
        </is>
      </c>
      <c r="V456" s="63" t="inlineStr">
        <is>
          <t>65,24</t>
        </is>
      </c>
    </row>
    <row r="457">
      <c r="A457" s="65" t="n"/>
      <c r="B457" s="65" t="n"/>
      <c r="C457" s="65" t="n"/>
      <c r="D457" s="65" t="n"/>
      <c r="E457" s="65" t="n"/>
      <c r="F457" s="65" t="n"/>
      <c r="G457" s="65" t="n"/>
      <c r="H457" s="65" t="inlineStr">
        <is>
          <t>[0127] TRANSGLOB API GL-5 SAE 85W-140 (1x6)</t>
        </is>
      </c>
      <c r="I457" s="65" t="n">
        <v>127</v>
      </c>
      <c r="J457" s="63" t="inlineStr">
        <is>
          <t>1,00</t>
        </is>
      </c>
      <c r="K457" s="63" t="inlineStr">
        <is>
          <t>46,55</t>
        </is>
      </c>
      <c r="L457" s="63" t="inlineStr">
        <is>
          <t>14,56</t>
        </is>
      </c>
      <c r="M457" s="63" t="inlineStr">
        <is>
          <t>39,77</t>
        </is>
      </c>
      <c r="N457" s="63" t="inlineStr">
        <is>
          <t>46,13</t>
        </is>
      </c>
      <c r="O457" s="65" t="n"/>
      <c r="P457" s="65" t="n"/>
      <c r="Q457" s="65" t="n"/>
      <c r="R457" s="65" t="n"/>
      <c r="S457" s="65" t="n"/>
      <c r="T457" s="65" t="n"/>
      <c r="U457" s="65" t="n"/>
      <c r="V457" s="65" t="n"/>
    </row>
    <row r="458">
      <c r="A458" s="65" t="inlineStr">
        <is>
          <t>S00069</t>
        </is>
      </c>
      <c r="B458" s="62" t="n">
        <v>46210.95649305556</v>
      </c>
      <c r="C458" s="65" t="inlineStr">
        <is>
          <t>Katiuska Alejandra Curvelo</t>
        </is>
      </c>
      <c r="D458" s="65" t="inlineStr">
        <is>
          <t>GRIMAN DIAZ HECTOR EDUARDO</t>
        </is>
      </c>
      <c r="E458" s="65" t="inlineStr">
        <is>
          <t>15 días</t>
        </is>
      </c>
      <c r="F458" s="65" t="n">
        <v>7</v>
      </c>
      <c r="G458" s="65" t="inlineStr">
        <is>
          <t>Pago USD Marzo</t>
        </is>
      </c>
      <c r="H458" s="65" t="inlineStr">
        <is>
          <t>[0877] SS EXTRA PROTECCION API SN SAE 15W-40 (1X12)</t>
        </is>
      </c>
      <c r="I458" s="65" t="n">
        <v>877</v>
      </c>
      <c r="J458" s="63" t="inlineStr">
        <is>
          <t>1,00</t>
        </is>
      </c>
      <c r="K458" s="63" t="inlineStr">
        <is>
          <t>62,07</t>
        </is>
      </c>
      <c r="L458" s="63" t="inlineStr">
        <is>
          <t>0,00</t>
        </is>
      </c>
      <c r="M458" s="63" t="inlineStr">
        <is>
          <t>62,07</t>
        </is>
      </c>
      <c r="N458" s="63" t="inlineStr">
        <is>
          <t>72,00</t>
        </is>
      </c>
      <c r="O458" s="63" t="inlineStr">
        <is>
          <t>433,62</t>
        </is>
      </c>
      <c r="P458" s="63" t="inlineStr">
        <is>
          <t>502,98</t>
        </is>
      </c>
      <c r="Q458" s="63" t="inlineStr">
        <is>
          <t>674,93</t>
        </is>
      </c>
      <c r="R458" s="66" t="n">
        <v>46210</v>
      </c>
      <c r="S458" s="65" t="n">
        <v>229</v>
      </c>
      <c r="T458" s="65" t="inlineStr">
        <is>
          <t>00-00000751</t>
        </is>
      </c>
      <c r="U458" s="63" t="inlineStr">
        <is>
          <t>502,96</t>
        </is>
      </c>
      <c r="V458" s="63" t="inlineStr">
        <is>
          <t>503,00</t>
        </is>
      </c>
    </row>
    <row r="459">
      <c r="A459" s="65" t="n"/>
      <c r="B459" s="65" t="n"/>
      <c r="C459" s="65" t="n"/>
      <c r="D459" s="65" t="n"/>
      <c r="E459" s="65" t="n"/>
      <c r="F459" s="65" t="n"/>
      <c r="G459" s="65" t="n"/>
      <c r="H459" s="65" t="inlineStr">
        <is>
          <t>[0884] TRANSMATIC ATF DEXRON III (1x12)</t>
        </is>
      </c>
      <c r="I459" s="65" t="n">
        <v>884</v>
      </c>
      <c r="J459" s="63" t="inlineStr">
        <is>
          <t>1,00</t>
        </is>
      </c>
      <c r="K459" s="63" t="inlineStr">
        <is>
          <t>57,76</t>
        </is>
      </c>
      <c r="L459" s="63" t="inlineStr">
        <is>
          <t>0,00</t>
        </is>
      </c>
      <c r="M459" s="63" t="inlineStr">
        <is>
          <t>57,76</t>
        </is>
      </c>
      <c r="N459" s="63" t="inlineStr">
        <is>
          <t>67,00</t>
        </is>
      </c>
      <c r="O459" s="65" t="n"/>
      <c r="P459" s="65" t="n"/>
      <c r="Q459" s="65" t="n"/>
      <c r="R459" s="65" t="n"/>
      <c r="S459" s="65" t="n"/>
      <c r="T459" s="65" t="n"/>
      <c r="U459" s="65" t="n"/>
      <c r="V459" s="65" t="n"/>
    </row>
    <row r="460">
      <c r="A460" s="65" t="n"/>
      <c r="B460" s="65" t="n"/>
      <c r="C460" s="65" t="n"/>
      <c r="D460" s="65" t="n"/>
      <c r="E460" s="65" t="n"/>
      <c r="F460" s="65" t="n"/>
      <c r="G460" s="65" t="n"/>
      <c r="H460" s="65" t="inlineStr">
        <is>
          <t>[0887] MOTOCLASICO 4T SAE 20W-50 (1x12)</t>
        </is>
      </c>
      <c r="I460" s="65" t="n">
        <v>887</v>
      </c>
      <c r="J460" s="63" t="inlineStr">
        <is>
          <t>1,00</t>
        </is>
      </c>
      <c r="K460" s="63" t="inlineStr">
        <is>
          <t>56,90</t>
        </is>
      </c>
      <c r="L460" s="63" t="inlineStr">
        <is>
          <t>0,00</t>
        </is>
      </c>
      <c r="M460" s="63" t="inlineStr">
        <is>
          <t>56,90</t>
        </is>
      </c>
      <c r="N460" s="63" t="inlineStr">
        <is>
          <t>66,00</t>
        </is>
      </c>
      <c r="O460" s="65" t="n"/>
      <c r="P460" s="65" t="n"/>
      <c r="Q460" s="65" t="n"/>
      <c r="R460" s="65" t="n"/>
      <c r="S460" s="65" t="n"/>
      <c r="T460" s="65" t="n"/>
      <c r="U460" s="65" t="n"/>
      <c r="V460" s="65" t="n"/>
    </row>
    <row r="461">
      <c r="A461" s="65" t="n"/>
      <c r="B461" s="65" t="n"/>
      <c r="C461" s="65" t="n"/>
      <c r="D461" s="65" t="n"/>
      <c r="E461" s="65" t="n"/>
      <c r="F461" s="65" t="n"/>
      <c r="G461" s="65" t="n"/>
      <c r="H461" s="65" t="inlineStr">
        <is>
          <t>[0881] CLASICO API SL SAE 20W-50 (1x12)</t>
        </is>
      </c>
      <c r="I461" s="65" t="n">
        <v>881</v>
      </c>
      <c r="J461" s="63" t="inlineStr">
        <is>
          <t>1,00</t>
        </is>
      </c>
      <c r="K461" s="63" t="inlineStr">
        <is>
          <t>54,31</t>
        </is>
      </c>
      <c r="L461" s="63" t="inlineStr">
        <is>
          <t>0,00</t>
        </is>
      </c>
      <c r="M461" s="63" t="inlineStr">
        <is>
          <t>54,31</t>
        </is>
      </c>
      <c r="N461" s="63" t="inlineStr">
        <is>
          <t>63,00</t>
        </is>
      </c>
      <c r="O461" s="65" t="n"/>
      <c r="P461" s="65" t="n"/>
      <c r="Q461" s="65" t="n"/>
      <c r="R461" s="65" t="n"/>
      <c r="S461" s="65" t="n"/>
      <c r="T461" s="65" t="n"/>
      <c r="U461" s="65" t="n"/>
      <c r="V461" s="65" t="n"/>
    </row>
    <row r="462">
      <c r="A462" s="65" t="n"/>
      <c r="B462" s="65" t="n"/>
      <c r="C462" s="65" t="n"/>
      <c r="D462" s="65" t="n"/>
      <c r="E462" s="65" t="n"/>
      <c r="F462" s="65" t="n"/>
      <c r="G462" s="65" t="n"/>
      <c r="H462" s="65" t="inlineStr">
        <is>
          <t>[0878] SS EXTRA PROTECCION API SN SAE 20W-50 (1x12)</t>
        </is>
      </c>
      <c r="I462" s="65" t="n">
        <v>878</v>
      </c>
      <c r="J462" s="63" t="inlineStr">
        <is>
          <t>1,00</t>
        </is>
      </c>
      <c r="K462" s="63" t="inlineStr">
        <is>
          <t>62,07</t>
        </is>
      </c>
      <c r="L462" s="63" t="inlineStr">
        <is>
          <t>0,00</t>
        </is>
      </c>
      <c r="M462" s="63" t="inlineStr">
        <is>
          <t>62,07</t>
        </is>
      </c>
      <c r="N462" s="63" t="inlineStr">
        <is>
          <t>72,00</t>
        </is>
      </c>
      <c r="O462" s="65" t="n"/>
      <c r="P462" s="65" t="n"/>
      <c r="Q462" s="65" t="n"/>
      <c r="R462" s="65" t="n"/>
      <c r="S462" s="65" t="n"/>
      <c r="T462" s="65" t="n"/>
      <c r="U462" s="65" t="n"/>
      <c r="V462" s="65" t="n"/>
    </row>
    <row r="463">
      <c r="A463" s="65" t="n"/>
      <c r="B463" s="65" t="n"/>
      <c r="C463" s="65" t="n"/>
      <c r="D463" s="65" t="n"/>
      <c r="E463" s="65" t="n"/>
      <c r="F463" s="65" t="n"/>
      <c r="G463" s="65" t="n"/>
      <c r="H463" s="65" t="inlineStr">
        <is>
          <t>[0121] TRANSGLOB API GL-5 SAE 80W-90 (1x6)</t>
        </is>
      </c>
      <c r="I463" s="65" t="n">
        <v>121</v>
      </c>
      <c r="J463" s="63" t="inlineStr">
        <is>
          <t>1,00</t>
        </is>
      </c>
      <c r="K463" s="63" t="inlineStr">
        <is>
          <t>31,03</t>
        </is>
      </c>
      <c r="L463" s="63" t="inlineStr">
        <is>
          <t>0,00</t>
        </is>
      </c>
      <c r="M463" s="63" t="inlineStr">
        <is>
          <t>31,03</t>
        </is>
      </c>
      <c r="N463" s="63" t="inlineStr">
        <is>
          <t>35,99</t>
        </is>
      </c>
      <c r="O463" s="65" t="n"/>
      <c r="P463" s="65" t="n"/>
      <c r="Q463" s="65" t="n"/>
      <c r="R463" s="65" t="n"/>
      <c r="S463" s="65" t="n"/>
      <c r="T463" s="65" t="n"/>
      <c r="U463" s="65" t="n"/>
      <c r="V463" s="65" t="n"/>
    </row>
    <row r="464">
      <c r="A464" s="65" t="n"/>
      <c r="B464" s="65" t="n"/>
      <c r="C464" s="65" t="n"/>
      <c r="D464" s="65" t="n"/>
      <c r="E464" s="65" t="n"/>
      <c r="F464" s="65" t="n"/>
      <c r="G464" s="65" t="n"/>
      <c r="H464" s="65" t="inlineStr">
        <is>
          <t>[0127] TRANSGLOB API GL-5 SAE 85W-140 (1x6)</t>
        </is>
      </c>
      <c r="I464" s="65" t="n">
        <v>127</v>
      </c>
      <c r="J464" s="63" t="inlineStr">
        <is>
          <t>1,00</t>
        </is>
      </c>
      <c r="K464" s="63" t="inlineStr">
        <is>
          <t>31,03</t>
        </is>
      </c>
      <c r="L464" s="63" t="inlineStr">
        <is>
          <t>0,00</t>
        </is>
      </c>
      <c r="M464" s="63" t="inlineStr">
        <is>
          <t>31,03</t>
        </is>
      </c>
      <c r="N464" s="63" t="inlineStr">
        <is>
          <t>35,99</t>
        </is>
      </c>
      <c r="O464" s="65" t="n"/>
      <c r="P464" s="65" t="n"/>
      <c r="Q464" s="65" t="n"/>
      <c r="R464" s="65" t="n"/>
      <c r="S464" s="65" t="n"/>
      <c r="T464" s="65" t="n"/>
      <c r="U464" s="65" t="n"/>
      <c r="V464" s="65" t="n"/>
    </row>
    <row r="465">
      <c r="A465" s="65" t="n"/>
      <c r="B465" s="65" t="n"/>
      <c r="C465" s="65" t="n"/>
      <c r="D465" s="65" t="n"/>
      <c r="E465" s="65" t="n"/>
      <c r="F465" s="65" t="n"/>
      <c r="G465" s="65" t="n"/>
      <c r="H465" s="65" t="inlineStr">
        <is>
          <t>[0789] REFRIGERANTE GLOBAL VERDE (1X3)</t>
        </is>
      </c>
      <c r="I465" s="65" t="n">
        <v>789</v>
      </c>
      <c r="J465" s="63" t="inlineStr">
        <is>
          <t>1,00</t>
        </is>
      </c>
      <c r="K465" s="63" t="inlineStr">
        <is>
          <t>20,69</t>
        </is>
      </c>
      <c r="L465" s="63" t="inlineStr">
        <is>
          <t>0,00</t>
        </is>
      </c>
      <c r="M465" s="63" t="inlineStr">
        <is>
          <t>20,69</t>
        </is>
      </c>
      <c r="N465" s="63" t="inlineStr">
        <is>
          <t>24,00</t>
        </is>
      </c>
      <c r="O465" s="65" t="n"/>
      <c r="P465" s="65" t="n"/>
      <c r="Q465" s="65" t="n"/>
      <c r="R465" s="65" t="n"/>
      <c r="S465" s="65" t="n"/>
      <c r="T465" s="65" t="n"/>
      <c r="U465" s="65" t="n"/>
      <c r="V465" s="65" t="n"/>
    </row>
    <row r="466">
      <c r="A466" s="65" t="n"/>
      <c r="B466" s="65" t="n"/>
      <c r="C466" s="65" t="n"/>
      <c r="D466" s="65" t="n"/>
      <c r="E466" s="65" t="n"/>
      <c r="F466" s="65" t="n"/>
      <c r="G466" s="65" t="n"/>
      <c r="H466" s="65" t="inlineStr">
        <is>
          <t>[0605] SINOCO SAE 20W-50 (PAILA)</t>
        </is>
      </c>
      <c r="I466" s="65" t="n">
        <v>605</v>
      </c>
      <c r="J466" s="63" t="inlineStr">
        <is>
          <t>1,00</t>
        </is>
      </c>
      <c r="K466" s="63" t="inlineStr">
        <is>
          <t>57,76</t>
        </is>
      </c>
      <c r="L466" s="63" t="inlineStr">
        <is>
          <t>0,00</t>
        </is>
      </c>
      <c r="M466" s="63" t="inlineStr">
        <is>
          <t>57,76</t>
        </is>
      </c>
      <c r="N466" s="63" t="inlineStr">
        <is>
          <t>67,00</t>
        </is>
      </c>
      <c r="O466" s="65" t="n"/>
      <c r="P466" s="65" t="n"/>
      <c r="Q466" s="65" t="n"/>
      <c r="R466" s="65" t="n"/>
      <c r="S466" s="65" t="n"/>
      <c r="T466" s="65" t="n"/>
      <c r="U466" s="65" t="n"/>
      <c r="V466" s="65" t="n"/>
    </row>
    <row r="467">
      <c r="A467" s="65" t="inlineStr">
        <is>
          <t>S00063</t>
        </is>
      </c>
      <c r="B467" s="62" t="n">
        <v>46210.95457175926</v>
      </c>
      <c r="C467" s="65" t="inlineStr">
        <is>
          <t>TorniRepuesto BA 2015, C.A</t>
        </is>
      </c>
      <c r="D467" s="65" t="inlineStr">
        <is>
          <t>QUEVEDO BASTIDAS NEYKEL DAVID</t>
        </is>
      </c>
      <c r="E467" s="65" t="inlineStr">
        <is>
          <t>15 días</t>
        </is>
      </c>
      <c r="F467" s="65" t="n">
        <v>3</v>
      </c>
      <c r="G467" s="65" t="inlineStr">
        <is>
          <t>Precio Full Marzo</t>
        </is>
      </c>
      <c r="H467" s="65" t="inlineStr">
        <is>
          <t>[0887] MOTOCLASICO 4T SAE 20W-50 (1x12)</t>
        </is>
      </c>
      <c r="I467" s="65" t="n">
        <v>887</v>
      </c>
      <c r="J467" s="63" t="inlineStr">
        <is>
          <t>1,00</t>
        </is>
      </c>
      <c r="K467" s="63" t="inlineStr">
        <is>
          <t>85,34</t>
        </is>
      </c>
      <c r="L467" s="63" t="inlineStr">
        <is>
          <t>15,02</t>
        </is>
      </c>
      <c r="M467" s="63" t="inlineStr">
        <is>
          <t>72,52</t>
        </is>
      </c>
      <c r="N467" s="63" t="inlineStr">
        <is>
          <t>84,12</t>
        </is>
      </c>
      <c r="O467" s="63" t="inlineStr">
        <is>
          <t>72,52</t>
        </is>
      </c>
      <c r="P467" s="63" t="inlineStr">
        <is>
          <t>84,12</t>
        </is>
      </c>
      <c r="Q467" s="63" t="inlineStr">
        <is>
          <t>674,93</t>
        </is>
      </c>
      <c r="R467" s="66" t="n">
        <v>46210</v>
      </c>
      <c r="S467" s="65" t="n">
        <v>228</v>
      </c>
      <c r="T467" s="65" t="inlineStr">
        <is>
          <t>00-00000750</t>
        </is>
      </c>
      <c r="U467" s="63" t="inlineStr">
        <is>
          <t>84,12</t>
        </is>
      </c>
      <c r="V467" s="63" t="inlineStr">
        <is>
          <t>65,96</t>
        </is>
      </c>
    </row>
    <row r="468">
      <c r="A468" s="65" t="inlineStr">
        <is>
          <t>S00065</t>
        </is>
      </c>
      <c r="B468" s="62" t="n">
        <v>46210.95334490741</v>
      </c>
      <c r="C468" s="65" t="inlineStr">
        <is>
          <t>Auto Servicios HN 6972, C.A</t>
        </is>
      </c>
      <c r="D468" s="65" t="inlineStr">
        <is>
          <t>QUEVEDO BASTIDAS NEYKEL DAVID</t>
        </is>
      </c>
      <c r="E468" s="65" t="inlineStr">
        <is>
          <t>15 días</t>
        </is>
      </c>
      <c r="F468" s="65" t="n">
        <v>3</v>
      </c>
      <c r="G468" s="65" t="inlineStr">
        <is>
          <t>Precio Full Marzo</t>
        </is>
      </c>
      <c r="H468" s="65" t="inlineStr">
        <is>
          <t>[0880] CLASICO API SL SAE 15W-40 (1x12)</t>
        </is>
      </c>
      <c r="I468" s="65" t="n">
        <v>880</v>
      </c>
      <c r="J468" s="63" t="inlineStr">
        <is>
          <t>1,00</t>
        </is>
      </c>
      <c r="K468" s="63" t="inlineStr">
        <is>
          <t>80,17</t>
        </is>
      </c>
      <c r="L468" s="63" t="inlineStr">
        <is>
          <t>14,76</t>
        </is>
      </c>
      <c r="M468" s="63" t="inlineStr">
        <is>
          <t>68,34</t>
        </is>
      </c>
      <c r="N468" s="63" t="inlineStr">
        <is>
          <t>79,27</t>
        </is>
      </c>
      <c r="O468" s="63" t="inlineStr">
        <is>
          <t>375,87</t>
        </is>
      </c>
      <c r="P468" s="63" t="inlineStr">
        <is>
          <t>436,01</t>
        </is>
      </c>
      <c r="Q468" s="63" t="inlineStr">
        <is>
          <t>674,93</t>
        </is>
      </c>
      <c r="R468" s="66" t="n">
        <v>46210</v>
      </c>
      <c r="S468" s="65" t="n">
        <v>227</v>
      </c>
      <c r="T468" s="65" t="inlineStr">
        <is>
          <t>00-00000749</t>
        </is>
      </c>
      <c r="U468" s="63" t="inlineStr">
        <is>
          <t>435,96</t>
        </is>
      </c>
      <c r="V468" s="63" t="inlineStr">
        <is>
          <t>0,00</t>
        </is>
      </c>
    </row>
    <row r="469">
      <c r="A469" s="65" t="n"/>
      <c r="B469" s="65" t="n"/>
      <c r="C469" s="65" t="n"/>
      <c r="D469" s="65" t="n"/>
      <c r="E469" s="65" t="n"/>
      <c r="F469" s="65" t="n"/>
      <c r="G469" s="65" t="n"/>
      <c r="H469" s="65" t="inlineStr">
        <is>
          <t>[0877] SS EXTRA PROTECCION API SN SAE 15W-40 (1X12)</t>
        </is>
      </c>
      <c r="I469" s="65" t="n">
        <v>877</v>
      </c>
      <c r="J469" s="63" t="inlineStr">
        <is>
          <t>2,00</t>
        </is>
      </c>
      <c r="K469" s="63" t="inlineStr">
        <is>
          <t>93,10</t>
        </is>
      </c>
      <c r="L469" s="63" t="inlineStr">
        <is>
          <t>14,76</t>
        </is>
      </c>
      <c r="M469" s="63" t="inlineStr">
        <is>
          <t>158,72</t>
        </is>
      </c>
      <c r="N469" s="63" t="inlineStr">
        <is>
          <t>184,12</t>
        </is>
      </c>
      <c r="O469" s="65" t="n"/>
      <c r="P469" s="65" t="n"/>
      <c r="Q469" s="65" t="n"/>
      <c r="R469" s="65" t="n"/>
      <c r="S469" s="65" t="n"/>
      <c r="T469" s="65" t="n"/>
      <c r="U469" s="65" t="n"/>
      <c r="V469" s="65" t="n"/>
    </row>
    <row r="470">
      <c r="A470" s="65" t="n"/>
      <c r="B470" s="65" t="n"/>
      <c r="C470" s="65" t="n"/>
      <c r="D470" s="65" t="n"/>
      <c r="E470" s="65" t="n"/>
      <c r="F470" s="65" t="n"/>
      <c r="G470" s="65" t="n"/>
      <c r="H470" s="65" t="inlineStr">
        <is>
          <t>[0878] SS EXTRA PROTECCION API SN SAE 20W-50 (1x12)</t>
        </is>
      </c>
      <c r="I470" s="65" t="n">
        <v>878</v>
      </c>
      <c r="J470" s="63" t="inlineStr">
        <is>
          <t>1,00</t>
        </is>
      </c>
      <c r="K470" s="63" t="inlineStr">
        <is>
          <t>93,10</t>
        </is>
      </c>
      <c r="L470" s="63" t="inlineStr">
        <is>
          <t>14,76</t>
        </is>
      </c>
      <c r="M470" s="63" t="inlineStr">
        <is>
          <t>79,36</t>
        </is>
      </c>
      <c r="N470" s="63" t="inlineStr">
        <is>
          <t>92,06</t>
        </is>
      </c>
      <c r="O470" s="65" t="n"/>
      <c r="P470" s="65" t="n"/>
      <c r="Q470" s="65" t="n"/>
      <c r="R470" s="65" t="n"/>
      <c r="S470" s="65" t="n"/>
      <c r="T470" s="65" t="n"/>
      <c r="U470" s="65" t="n"/>
      <c r="V470" s="65" t="n"/>
    </row>
    <row r="471">
      <c r="A471" s="65" t="n"/>
      <c r="B471" s="65" t="n"/>
      <c r="C471" s="65" t="n"/>
      <c r="D471" s="65" t="n"/>
      <c r="E471" s="65" t="n"/>
      <c r="F471" s="65" t="n"/>
      <c r="G471" s="65" t="n"/>
      <c r="H471" s="65" t="inlineStr">
        <is>
          <t>[0881] CLASICO API SL SAE 20W-50 (1x12)</t>
        </is>
      </c>
      <c r="I471" s="65" t="n">
        <v>881</v>
      </c>
      <c r="J471" s="63" t="inlineStr">
        <is>
          <t>1,00</t>
        </is>
      </c>
      <c r="K471" s="63" t="inlineStr">
        <is>
          <t>81,47</t>
        </is>
      </c>
      <c r="L471" s="63" t="inlineStr">
        <is>
          <t>14,76</t>
        </is>
      </c>
      <c r="M471" s="63" t="inlineStr">
        <is>
          <t>69,45</t>
        </is>
      </c>
      <c r="N471" s="63" t="inlineStr">
        <is>
          <t>80,56</t>
        </is>
      </c>
      <c r="O471" s="65" t="n"/>
      <c r="P471" s="65" t="n"/>
      <c r="Q471" s="65" t="n"/>
      <c r="R471" s="65" t="n"/>
      <c r="S471" s="65" t="n"/>
      <c r="T471" s="65" t="n"/>
      <c r="U471" s="65" t="n"/>
      <c r="V471" s="65" t="n"/>
    </row>
    <row r="472">
      <c r="A472" s="65" t="inlineStr">
        <is>
          <t>S00083</t>
        </is>
      </c>
      <c r="B472" s="62" t="n">
        <v>46210.95189814815</v>
      </c>
      <c r="C472" s="65" t="inlineStr">
        <is>
          <t>Inversiones Famasa, C.A</t>
        </is>
      </c>
      <c r="D472" s="65" t="inlineStr">
        <is>
          <t>MARTINEZ MONTES JEFFREY ENRIQUE</t>
        </is>
      </c>
      <c r="E472" s="65" t="inlineStr">
        <is>
          <t>15 días</t>
        </is>
      </c>
      <c r="F472" s="65" t="n">
        <v>3</v>
      </c>
      <c r="G472" s="65" t="inlineStr">
        <is>
          <t>Precio Full Marzo</t>
        </is>
      </c>
      <c r="H472" s="65" t="inlineStr">
        <is>
          <t>[0602] SINOCO SAE 50 (PAILA)</t>
        </is>
      </c>
      <c r="I472" s="65" t="n">
        <v>602</v>
      </c>
      <c r="J472" s="63" t="inlineStr">
        <is>
          <t>6,00</t>
        </is>
      </c>
      <c r="K472" s="63" t="inlineStr">
        <is>
          <t>86,64</t>
        </is>
      </c>
      <c r="L472" s="63" t="inlineStr">
        <is>
          <t>0,00</t>
        </is>
      </c>
      <c r="M472" s="63" t="inlineStr">
        <is>
          <t>519,84</t>
        </is>
      </c>
      <c r="N472" s="63" t="inlineStr">
        <is>
          <t>603,01</t>
        </is>
      </c>
      <c r="O472" s="63" t="inlineStr">
        <is>
          <t>1.060,35</t>
        </is>
      </c>
      <c r="P472" s="63" t="inlineStr">
        <is>
          <t>1.230,01</t>
        </is>
      </c>
      <c r="Q472" s="65" t="n"/>
      <c r="R472" s="65" t="n"/>
      <c r="S472" s="65" t="n"/>
      <c r="T472" s="65" t="n"/>
      <c r="U472" s="65" t="n"/>
      <c r="V472" s="65" t="n"/>
    </row>
    <row r="473">
      <c r="A473" s="65" t="n"/>
      <c r="B473" s="65" t="n"/>
      <c r="C473" s="65" t="n"/>
      <c r="D473" s="65" t="n"/>
      <c r="E473" s="65" t="n"/>
      <c r="F473" s="65" t="n"/>
      <c r="G473" s="65" t="n"/>
      <c r="H473" s="65" t="inlineStr">
        <is>
          <t>[0881] CLASICO API SL SAE 20W-50 (1x12)</t>
        </is>
      </c>
      <c r="I473" s="65" t="n">
        <v>881</v>
      </c>
      <c r="J473" s="63" t="inlineStr">
        <is>
          <t>1,00</t>
        </is>
      </c>
      <c r="K473" s="63" t="inlineStr">
        <is>
          <t>81,47</t>
        </is>
      </c>
      <c r="L473" s="63" t="inlineStr">
        <is>
          <t>0,00</t>
        </is>
      </c>
      <c r="M473" s="63" t="inlineStr">
        <is>
          <t>81,47</t>
        </is>
      </c>
      <c r="N473" s="63" t="inlineStr">
        <is>
          <t>94,51</t>
        </is>
      </c>
      <c r="O473" s="65" t="n"/>
      <c r="P473" s="65" t="n"/>
      <c r="Q473" s="65" t="n"/>
      <c r="R473" s="65" t="n"/>
      <c r="S473" s="65" t="n"/>
      <c r="T473" s="65" t="n"/>
      <c r="U473" s="65" t="n"/>
      <c r="V473" s="65" t="n"/>
    </row>
    <row r="474">
      <c r="A474" s="65" t="n"/>
      <c r="B474" s="65" t="n"/>
      <c r="C474" s="65" t="n"/>
      <c r="D474" s="65" t="n"/>
      <c r="E474" s="65" t="n"/>
      <c r="F474" s="65" t="n"/>
      <c r="G474" s="65" t="n"/>
      <c r="H474" s="65" t="inlineStr">
        <is>
          <t>[0878] SS EXTRA PROTECCION API SN SAE 20W-50 (1x12)</t>
        </is>
      </c>
      <c r="I474" s="65" t="n">
        <v>878</v>
      </c>
      <c r="J474" s="63" t="inlineStr">
        <is>
          <t>1,00</t>
        </is>
      </c>
      <c r="K474" s="63" t="inlineStr">
        <is>
          <t>93,10</t>
        </is>
      </c>
      <c r="L474" s="63" t="inlineStr">
        <is>
          <t>0,00</t>
        </is>
      </c>
      <c r="M474" s="63" t="inlineStr">
        <is>
          <t>93,10</t>
        </is>
      </c>
      <c r="N474" s="63" t="inlineStr">
        <is>
          <t>108,00</t>
        </is>
      </c>
      <c r="O474" s="65" t="n"/>
      <c r="P474" s="65" t="n"/>
      <c r="Q474" s="65" t="n"/>
      <c r="R474" s="65" t="n"/>
      <c r="S474" s="65" t="n"/>
      <c r="T474" s="65" t="n"/>
      <c r="U474" s="65" t="n"/>
      <c r="V474" s="65" t="n"/>
    </row>
    <row r="475">
      <c r="A475" s="65" t="n"/>
      <c r="B475" s="65" t="n"/>
      <c r="C475" s="65" t="n"/>
      <c r="D475" s="65" t="n"/>
      <c r="E475" s="65" t="n"/>
      <c r="F475" s="65" t="n"/>
      <c r="G475" s="65" t="n"/>
      <c r="H475" s="65" t="inlineStr">
        <is>
          <t>[0877] SS EXTRA PROTECCION API SN SAE 15W-40 (1X12)</t>
        </is>
      </c>
      <c r="I475" s="65" t="n">
        <v>877</v>
      </c>
      <c r="J475" s="63" t="inlineStr">
        <is>
          <t>1,00</t>
        </is>
      </c>
      <c r="K475" s="63" t="inlineStr">
        <is>
          <t>93,10</t>
        </is>
      </c>
      <c r="L475" s="63" t="inlineStr">
        <is>
          <t>0,00</t>
        </is>
      </c>
      <c r="M475" s="63" t="inlineStr">
        <is>
          <t>93,10</t>
        </is>
      </c>
      <c r="N475" s="63" t="inlineStr">
        <is>
          <t>108,00</t>
        </is>
      </c>
      <c r="O475" s="65" t="n"/>
      <c r="P475" s="65" t="n"/>
      <c r="Q475" s="65" t="n"/>
      <c r="R475" s="65" t="n"/>
      <c r="S475" s="65" t="n"/>
      <c r="T475" s="65" t="n"/>
      <c r="U475" s="65" t="n"/>
      <c r="V475" s="65" t="n"/>
    </row>
    <row r="476">
      <c r="A476" s="65" t="n"/>
      <c r="B476" s="65" t="n"/>
      <c r="C476" s="65" t="n"/>
      <c r="D476" s="65" t="n"/>
      <c r="E476" s="65" t="n"/>
      <c r="F476" s="65" t="n"/>
      <c r="G476" s="65" t="n"/>
      <c r="H476" s="65" t="inlineStr">
        <is>
          <t>[0775] LIGA PARA FRENOS DOT-4 (1X12)</t>
        </is>
      </c>
      <c r="I476" s="65" t="n">
        <v>775</v>
      </c>
      <c r="J476" s="63" t="inlineStr">
        <is>
          <t>1,00</t>
        </is>
      </c>
      <c r="K476" s="63" t="inlineStr">
        <is>
          <t>55,60</t>
        </is>
      </c>
      <c r="L476" s="63" t="inlineStr">
        <is>
          <t>0,00</t>
        </is>
      </c>
      <c r="M476" s="63" t="inlineStr">
        <is>
          <t>55,60</t>
        </is>
      </c>
      <c r="N476" s="63" t="inlineStr">
        <is>
          <t>64,50</t>
        </is>
      </c>
      <c r="O476" s="65" t="n"/>
      <c r="P476" s="65" t="n"/>
      <c r="Q476" s="65" t="n"/>
      <c r="R476" s="65" t="n"/>
      <c r="S476" s="65" t="n"/>
      <c r="T476" s="65" t="n"/>
      <c r="U476" s="65" t="n"/>
      <c r="V476" s="65" t="n"/>
    </row>
    <row r="477">
      <c r="A477" s="65" t="n"/>
      <c r="B477" s="65" t="n"/>
      <c r="C477" s="65" t="n"/>
      <c r="D477" s="65" t="n"/>
      <c r="E477" s="65" t="n"/>
      <c r="F477" s="65" t="n"/>
      <c r="G477" s="65" t="n"/>
      <c r="H477" s="65" t="inlineStr">
        <is>
          <t>[0762] LIGA PARA FRENOS DOT-3 (1x6)</t>
        </is>
      </c>
      <c r="I477" s="65" t="n">
        <v>762</v>
      </c>
      <c r="J477" s="63" t="inlineStr">
        <is>
          <t>1,00</t>
        </is>
      </c>
      <c r="K477" s="63" t="inlineStr">
        <is>
          <t>50,43</t>
        </is>
      </c>
      <c r="L477" s="63" t="inlineStr">
        <is>
          <t>0,00</t>
        </is>
      </c>
      <c r="M477" s="63" t="inlineStr">
        <is>
          <t>50,43</t>
        </is>
      </c>
      <c r="N477" s="63" t="inlineStr">
        <is>
          <t>58,50</t>
        </is>
      </c>
      <c r="O477" s="65" t="n"/>
      <c r="P477" s="65" t="n"/>
      <c r="Q477" s="65" t="n"/>
      <c r="R477" s="65" t="n"/>
      <c r="S477" s="65" t="n"/>
      <c r="T477" s="65" t="n"/>
      <c r="U477" s="65" t="n"/>
      <c r="V477" s="65" t="n"/>
    </row>
    <row r="478">
      <c r="A478" s="65" t="n"/>
      <c r="B478" s="65" t="n"/>
      <c r="C478" s="65" t="n"/>
      <c r="D478" s="65" t="n"/>
      <c r="E478" s="65" t="n"/>
      <c r="F478" s="65" t="n"/>
      <c r="G478" s="65" t="n"/>
      <c r="H478" s="65" t="inlineStr">
        <is>
          <t>[0774] LIGA PARA FRENOS DOT-4 (1X6)</t>
        </is>
      </c>
      <c r="I478" s="65" t="n">
        <v>774</v>
      </c>
      <c r="J478" s="63" t="inlineStr">
        <is>
          <t>1,00</t>
        </is>
      </c>
      <c r="K478" s="63" t="inlineStr">
        <is>
          <t>60,78</t>
        </is>
      </c>
      <c r="L478" s="63" t="inlineStr">
        <is>
          <t>0,00</t>
        </is>
      </c>
      <c r="M478" s="63" t="inlineStr">
        <is>
          <t>60,78</t>
        </is>
      </c>
      <c r="N478" s="63" t="inlineStr">
        <is>
          <t>70,50</t>
        </is>
      </c>
      <c r="O478" s="65" t="n"/>
      <c r="P478" s="65" t="n"/>
      <c r="Q478" s="65" t="n"/>
      <c r="R478" s="65" t="n"/>
      <c r="S478" s="65" t="n"/>
      <c r="T478" s="65" t="n"/>
      <c r="U478" s="65" t="n"/>
      <c r="V478" s="65" t="n"/>
    </row>
    <row r="479">
      <c r="A479" s="65" t="n"/>
      <c r="B479" s="65" t="n"/>
      <c r="C479" s="65" t="n"/>
      <c r="D479" s="65" t="n"/>
      <c r="E479" s="65" t="n"/>
      <c r="F479" s="65" t="n"/>
      <c r="G479" s="65" t="n"/>
      <c r="H479" s="65" t="inlineStr">
        <is>
          <t>[0789] REFRIGERANTE GLOBAL VERDE (1X3)</t>
        </is>
      </c>
      <c r="I479" s="65" t="n">
        <v>789</v>
      </c>
      <c r="J479" s="63" t="inlineStr">
        <is>
          <t>1,00</t>
        </is>
      </c>
      <c r="K479" s="63" t="inlineStr">
        <is>
          <t>31,03</t>
        </is>
      </c>
      <c r="L479" s="63" t="inlineStr">
        <is>
          <t>0,00</t>
        </is>
      </c>
      <c r="M479" s="63" t="inlineStr">
        <is>
          <t>31,03</t>
        </is>
      </c>
      <c r="N479" s="63" t="inlineStr">
        <is>
          <t>35,99</t>
        </is>
      </c>
      <c r="O479" s="65" t="n"/>
      <c r="P479" s="65" t="n"/>
      <c r="Q479" s="65" t="n"/>
      <c r="R479" s="65" t="n"/>
      <c r="S479" s="65" t="n"/>
      <c r="T479" s="65" t="n"/>
      <c r="U479" s="65" t="n"/>
      <c r="V479" s="65" t="n"/>
    </row>
    <row r="480">
      <c r="A480" s="65" t="n"/>
      <c r="B480" s="65" t="n"/>
      <c r="C480" s="65" t="n"/>
      <c r="D480" s="65" t="n"/>
      <c r="E480" s="65" t="n"/>
      <c r="F480" s="65" t="n"/>
      <c r="G480" s="65" t="n"/>
      <c r="H480" s="65" t="inlineStr">
        <is>
          <t>[0792] REFRIGERANTE GLOBAL ROJO (1X3)</t>
        </is>
      </c>
      <c r="I480" s="65" t="n">
        <v>792</v>
      </c>
      <c r="J480" s="63" t="inlineStr">
        <is>
          <t>1,00</t>
        </is>
      </c>
      <c r="K480" s="63" t="inlineStr">
        <is>
          <t>31,03</t>
        </is>
      </c>
      <c r="L480" s="63" t="inlineStr">
        <is>
          <t>0,00</t>
        </is>
      </c>
      <c r="M480" s="63" t="inlineStr">
        <is>
          <t>31,03</t>
        </is>
      </c>
      <c r="N480" s="63" t="inlineStr">
        <is>
          <t>35,99</t>
        </is>
      </c>
      <c r="O480" s="65" t="n"/>
      <c r="P480" s="65" t="n"/>
      <c r="Q480" s="65" t="n"/>
      <c r="R480" s="65" t="n"/>
      <c r="S480" s="65" t="n"/>
      <c r="T480" s="65" t="n"/>
      <c r="U480" s="65" t="n"/>
      <c r="V480" s="65" t="n"/>
    </row>
    <row r="481">
      <c r="A481" s="65" t="n"/>
      <c r="B481" s="65" t="n"/>
      <c r="C481" s="65" t="n"/>
      <c r="D481" s="65" t="n"/>
      <c r="E481" s="65" t="n"/>
      <c r="F481" s="65" t="n"/>
      <c r="G481" s="65" t="n"/>
      <c r="H481" s="65" t="inlineStr">
        <is>
          <t>[0795] REFRIGERANTE GLOBAL ORANGE PREMIUM 50-50 CONCENTRADO (1x3)</t>
        </is>
      </c>
      <c r="I481" s="65" t="n">
        <v>795</v>
      </c>
      <c r="J481" s="63" t="inlineStr">
        <is>
          <t>1,00</t>
        </is>
      </c>
      <c r="K481" s="63" t="inlineStr">
        <is>
          <t>43,97</t>
        </is>
      </c>
      <c r="L481" s="63" t="inlineStr">
        <is>
          <t>0,00</t>
        </is>
      </c>
      <c r="M481" s="63" t="inlineStr">
        <is>
          <t>43,97</t>
        </is>
      </c>
      <c r="N481" s="63" t="inlineStr">
        <is>
          <t>51,01</t>
        </is>
      </c>
      <c r="O481" s="65" t="n"/>
      <c r="P481" s="65" t="n"/>
      <c r="Q481" s="65" t="n"/>
      <c r="R481" s="65" t="n"/>
      <c r="S481" s="65" t="n"/>
      <c r="T481" s="65" t="n"/>
      <c r="U481" s="65" t="n"/>
      <c r="V481" s="65" t="n"/>
    </row>
    <row r="482">
      <c r="A482" s="65" t="inlineStr">
        <is>
          <t>S00061</t>
        </is>
      </c>
      <c r="B482" s="62" t="n">
        <v>46210.95097222222</v>
      </c>
      <c r="C482" s="65" t="inlineStr">
        <is>
          <t>SJMG 2012 C.A</t>
        </is>
      </c>
      <c r="D482" s="65" t="inlineStr">
        <is>
          <t>GRIMAN DIAZ HECTOR EDUARDO</t>
        </is>
      </c>
      <c r="E482" s="65" t="inlineStr">
        <is>
          <t>45 días</t>
        </is>
      </c>
      <c r="F482" s="65" t="n">
        <v>7</v>
      </c>
      <c r="G482" s="65" t="inlineStr">
        <is>
          <t>Pago USD Marzo</t>
        </is>
      </c>
      <c r="H482" s="65" t="inlineStr">
        <is>
          <t>[0602] SINOCO SAE 50 (PAILA)</t>
        </is>
      </c>
      <c r="I482" s="65" t="n">
        <v>602</v>
      </c>
      <c r="J482" s="63" t="inlineStr">
        <is>
          <t>20,00</t>
        </is>
      </c>
      <c r="K482" s="63" t="inlineStr">
        <is>
          <t>57,76</t>
        </is>
      </c>
      <c r="L482" s="63" t="inlineStr">
        <is>
          <t>0,00</t>
        </is>
      </c>
      <c r="M482" s="63" t="inlineStr">
        <is>
          <t>1.155,20</t>
        </is>
      </c>
      <c r="N482" s="63" t="inlineStr">
        <is>
          <t>1.340,03</t>
        </is>
      </c>
      <c r="O482" s="63" t="inlineStr">
        <is>
          <t>7.280,19</t>
        </is>
      </c>
      <c r="P482" s="63" t="inlineStr">
        <is>
          <t>8.445,02</t>
        </is>
      </c>
      <c r="Q482" s="65" t="n"/>
      <c r="R482" s="65" t="n"/>
      <c r="S482" s="65" t="n"/>
      <c r="T482" s="65" t="n"/>
      <c r="U482" s="65" t="n"/>
      <c r="V482" s="65" t="n"/>
    </row>
    <row r="483">
      <c r="A483" s="65" t="n"/>
      <c r="B483" s="65" t="n"/>
      <c r="C483" s="65" t="n"/>
      <c r="D483" s="65" t="n"/>
      <c r="E483" s="65" t="n"/>
      <c r="F483" s="65" t="n"/>
      <c r="G483" s="65" t="n"/>
      <c r="H483" s="65" t="inlineStr">
        <is>
          <t>[0603] SINOCO SAE 50 (Tambor)</t>
        </is>
      </c>
      <c r="I483" s="65" t="n">
        <v>603</v>
      </c>
      <c r="J483" s="63" t="inlineStr">
        <is>
          <t>6,00</t>
        </is>
      </c>
      <c r="K483" s="63" t="inlineStr">
        <is>
          <t>547,41</t>
        </is>
      </c>
      <c r="L483" s="63" t="inlineStr">
        <is>
          <t>0,00</t>
        </is>
      </c>
      <c r="M483" s="63" t="inlineStr">
        <is>
          <t>3.284,46</t>
        </is>
      </c>
      <c r="N483" s="63" t="inlineStr">
        <is>
          <t>3.809,97</t>
        </is>
      </c>
      <c r="O483" s="65" t="n"/>
      <c r="P483" s="65" t="n"/>
      <c r="Q483" s="65" t="n"/>
      <c r="R483" s="65" t="n"/>
      <c r="S483" s="65" t="n"/>
      <c r="T483" s="65" t="n"/>
      <c r="U483" s="65" t="n"/>
      <c r="V483" s="65" t="n"/>
    </row>
    <row r="484">
      <c r="A484" s="65" t="n"/>
      <c r="B484" s="65" t="n"/>
      <c r="C484" s="65" t="n"/>
      <c r="D484" s="65" t="n"/>
      <c r="E484" s="65" t="n"/>
      <c r="F484" s="65" t="n"/>
      <c r="G484" s="65" t="n"/>
      <c r="H484" s="65" t="inlineStr">
        <is>
          <t>[0605] SINOCO SAE 20W-50 (PAILA)</t>
        </is>
      </c>
      <c r="I484" s="65" t="n">
        <v>605</v>
      </c>
      <c r="J484" s="63" t="inlineStr">
        <is>
          <t>10,00</t>
        </is>
      </c>
      <c r="K484" s="63" t="inlineStr">
        <is>
          <t>57,76</t>
        </is>
      </c>
      <c r="L484" s="63" t="inlineStr">
        <is>
          <t>0,00</t>
        </is>
      </c>
      <c r="M484" s="63" t="inlineStr">
        <is>
          <t>577,60</t>
        </is>
      </c>
      <c r="N484" s="63" t="inlineStr">
        <is>
          <t>670,02</t>
        </is>
      </c>
      <c r="O484" s="65" t="n"/>
      <c r="P484" s="65" t="n"/>
      <c r="Q484" s="65" t="n"/>
      <c r="R484" s="65" t="n"/>
      <c r="S484" s="65" t="n"/>
      <c r="T484" s="65" t="n"/>
      <c r="U484" s="65" t="n"/>
      <c r="V484" s="65" t="n"/>
    </row>
    <row r="485">
      <c r="A485" s="65" t="n"/>
      <c r="B485" s="65" t="n"/>
      <c r="C485" s="65" t="n"/>
      <c r="D485" s="65" t="n"/>
      <c r="E485" s="65" t="n"/>
      <c r="F485" s="65" t="n"/>
      <c r="G485" s="65" t="n"/>
      <c r="H485" s="65" t="inlineStr">
        <is>
          <t>[0606] SINOCO SAE 20W-50 (Tambor)</t>
        </is>
      </c>
      <c r="I485" s="65" t="n">
        <v>606</v>
      </c>
      <c r="J485" s="63" t="inlineStr">
        <is>
          <t>3,00</t>
        </is>
      </c>
      <c r="K485" s="63" t="inlineStr">
        <is>
          <t>547,41</t>
        </is>
      </c>
      <c r="L485" s="63" t="inlineStr">
        <is>
          <t>0,00</t>
        </is>
      </c>
      <c r="M485" s="63" t="inlineStr">
        <is>
          <t>1.642,23</t>
        </is>
      </c>
      <c r="N485" s="63" t="inlineStr">
        <is>
          <t>1.904,99</t>
        </is>
      </c>
      <c r="O485" s="65" t="n"/>
      <c r="P485" s="65" t="n"/>
      <c r="Q485" s="65" t="n"/>
      <c r="R485" s="65" t="n"/>
      <c r="S485" s="65" t="n"/>
      <c r="T485" s="65" t="n"/>
      <c r="U485" s="65" t="n"/>
      <c r="V485" s="65" t="n"/>
    </row>
    <row r="486">
      <c r="A486" s="65" t="n"/>
      <c r="B486" s="65" t="n"/>
      <c r="C486" s="65" t="n"/>
      <c r="D486" s="65" t="n"/>
      <c r="E486" s="65" t="n"/>
      <c r="F486" s="65" t="n"/>
      <c r="G486" s="65" t="n"/>
      <c r="H486" s="65" t="inlineStr">
        <is>
          <t>[0779] SINOCO SAE 20W-50 (1x12)</t>
        </is>
      </c>
      <c r="I486" s="65" t="n">
        <v>779</v>
      </c>
      <c r="J486" s="63" t="inlineStr">
        <is>
          <t>10,00</t>
        </is>
      </c>
      <c r="K486" s="63" t="inlineStr">
        <is>
          <t>41,38</t>
        </is>
      </c>
      <c r="L486" s="63" t="inlineStr">
        <is>
          <t>0,00</t>
        </is>
      </c>
      <c r="M486" s="63" t="inlineStr">
        <is>
          <t>413,80</t>
        </is>
      </c>
      <c r="N486" s="63" t="inlineStr">
        <is>
          <t>480,01</t>
        </is>
      </c>
      <c r="O486" s="65" t="n"/>
      <c r="P486" s="65" t="n"/>
      <c r="Q486" s="65" t="n"/>
      <c r="R486" s="65" t="n"/>
      <c r="S486" s="65" t="n"/>
      <c r="T486" s="65" t="n"/>
      <c r="U486" s="65" t="n"/>
      <c r="V486" s="65" t="n"/>
    </row>
    <row r="487">
      <c r="A487" s="65" t="n"/>
      <c r="B487" s="65" t="n"/>
      <c r="C487" s="65" t="n"/>
      <c r="D487" s="65" t="n"/>
      <c r="E487" s="65" t="n"/>
      <c r="F487" s="65" t="n"/>
      <c r="G487" s="65" t="n"/>
      <c r="H487" s="65" t="inlineStr">
        <is>
          <t>[0915] SINOCO SAE 50 (1x12)</t>
        </is>
      </c>
      <c r="I487" s="65" t="n">
        <v>915</v>
      </c>
      <c r="J487" s="63" t="inlineStr">
        <is>
          <t>5,00</t>
        </is>
      </c>
      <c r="K487" s="63" t="inlineStr">
        <is>
          <t>41,38</t>
        </is>
      </c>
      <c r="L487" s="63" t="inlineStr">
        <is>
          <t>0,00</t>
        </is>
      </c>
      <c r="M487" s="63" t="inlineStr">
        <is>
          <t>206,90</t>
        </is>
      </c>
      <c r="N487" s="63" t="inlineStr">
        <is>
          <t>240,00</t>
        </is>
      </c>
      <c r="O487" s="65" t="n"/>
      <c r="P487" s="65" t="n"/>
      <c r="Q487" s="65" t="n"/>
      <c r="R487" s="65" t="n"/>
      <c r="S487" s="65" t="n"/>
      <c r="T487" s="65" t="n"/>
      <c r="U487" s="65" t="n"/>
      <c r="V487" s="65" t="n"/>
    </row>
    <row r="488">
      <c r="A488" s="65" t="inlineStr">
        <is>
          <t>S00073</t>
        </is>
      </c>
      <c r="B488" s="62" t="n">
        <v>46210.94988425926</v>
      </c>
      <c r="C488" s="65" t="inlineStr">
        <is>
          <t>Remodelaciones Ivanro, C.A</t>
        </is>
      </c>
      <c r="D488" s="65" t="inlineStr">
        <is>
          <t>QUEVEDO BASTIDAS NEYKEL DAVID</t>
        </is>
      </c>
      <c r="E488" s="65" t="inlineStr">
        <is>
          <t>15 días</t>
        </is>
      </c>
      <c r="F488" s="65" t="n">
        <v>3</v>
      </c>
      <c r="G488" s="65" t="inlineStr">
        <is>
          <t>Precio Full Marzo</t>
        </is>
      </c>
      <c r="H488" s="65" t="inlineStr">
        <is>
          <t>[0884] TRANSMATIC ATF DEXRON III (1x12)</t>
        </is>
      </c>
      <c r="I488" s="65" t="n">
        <v>884</v>
      </c>
      <c r="J488" s="63" t="inlineStr">
        <is>
          <t>1,00</t>
        </is>
      </c>
      <c r="K488" s="63" t="inlineStr">
        <is>
          <t>86,64</t>
        </is>
      </c>
      <c r="L488" s="63" t="inlineStr">
        <is>
          <t>0,00</t>
        </is>
      </c>
      <c r="M488" s="63" t="inlineStr">
        <is>
          <t>86,64</t>
        </is>
      </c>
      <c r="N488" s="63" t="inlineStr">
        <is>
          <t>100,50</t>
        </is>
      </c>
      <c r="O488" s="63" t="inlineStr">
        <is>
          <t>509,47</t>
        </is>
      </c>
      <c r="P488" s="63" t="inlineStr">
        <is>
          <t>590,99</t>
        </is>
      </c>
      <c r="Q488" s="63" t="inlineStr">
        <is>
          <t>674,93</t>
        </is>
      </c>
      <c r="R488" s="66" t="n">
        <v>46210</v>
      </c>
      <c r="S488" s="65" t="n">
        <v>226</v>
      </c>
      <c r="T488" s="65" t="inlineStr">
        <is>
          <t>00-00000748</t>
        </is>
      </c>
      <c r="U488" s="63" t="inlineStr">
        <is>
          <t>590,94</t>
        </is>
      </c>
      <c r="V488" s="63" t="inlineStr">
        <is>
          <t>590,99</t>
        </is>
      </c>
    </row>
    <row r="489">
      <c r="A489" s="65" t="n"/>
      <c r="B489" s="65" t="n"/>
      <c r="C489" s="65" t="n"/>
      <c r="D489" s="65" t="n"/>
      <c r="E489" s="65" t="n"/>
      <c r="F489" s="65" t="n"/>
      <c r="G489" s="65" t="n"/>
      <c r="H489" s="65" t="inlineStr">
        <is>
          <t>[0007] ELITE API SN SAE 5W-20 (1x6)</t>
        </is>
      </c>
      <c r="I489" s="65" t="n">
        <v>7</v>
      </c>
      <c r="J489" s="63" t="inlineStr">
        <is>
          <t>2,00</t>
        </is>
      </c>
      <c r="K489" s="63" t="inlineStr">
        <is>
          <t>63,36</t>
        </is>
      </c>
      <c r="L489" s="63" t="inlineStr">
        <is>
          <t>0,00</t>
        </is>
      </c>
      <c r="M489" s="63" t="inlineStr">
        <is>
          <t>126,72</t>
        </is>
      </c>
      <c r="N489" s="63" t="inlineStr">
        <is>
          <t>147,00</t>
        </is>
      </c>
      <c r="O489" s="65" t="n"/>
      <c r="P489" s="65" t="n"/>
      <c r="Q489" s="65" t="n"/>
      <c r="R489" s="65" t="n"/>
      <c r="S489" s="65" t="n"/>
      <c r="T489" s="65" t="n"/>
      <c r="U489" s="65" t="n"/>
      <c r="V489" s="65" t="n"/>
    </row>
    <row r="490">
      <c r="A490" s="65" t="n"/>
      <c r="B490" s="65" t="n"/>
      <c r="C490" s="65" t="n"/>
      <c r="D490" s="65" t="n"/>
      <c r="E490" s="65" t="n"/>
      <c r="F490" s="65" t="n"/>
      <c r="G490" s="65" t="n"/>
      <c r="H490" s="65" t="inlineStr">
        <is>
          <t>[0013] ELITE API SN SAE 5W-30 (1x6)</t>
        </is>
      </c>
      <c r="I490" s="65" t="n">
        <v>13</v>
      </c>
      <c r="J490" s="63" t="inlineStr">
        <is>
          <t>2,00</t>
        </is>
      </c>
      <c r="K490" s="63" t="inlineStr">
        <is>
          <t>63,36</t>
        </is>
      </c>
      <c r="L490" s="63" t="inlineStr">
        <is>
          <t>0,00</t>
        </is>
      </c>
      <c r="M490" s="63" t="inlineStr">
        <is>
          <t>126,72</t>
        </is>
      </c>
      <c r="N490" s="63" t="inlineStr">
        <is>
          <t>147,00</t>
        </is>
      </c>
      <c r="O490" s="65" t="n"/>
      <c r="P490" s="65" t="n"/>
      <c r="Q490" s="65" t="n"/>
      <c r="R490" s="65" t="n"/>
      <c r="S490" s="65" t="n"/>
      <c r="T490" s="65" t="n"/>
      <c r="U490" s="65" t="n"/>
      <c r="V490" s="65" t="n"/>
    </row>
    <row r="491">
      <c r="A491" s="65" t="n"/>
      <c r="B491" s="65" t="n"/>
      <c r="C491" s="65" t="n"/>
      <c r="D491" s="65" t="n"/>
      <c r="E491" s="65" t="n"/>
      <c r="F491" s="65" t="n"/>
      <c r="G491" s="65" t="n"/>
      <c r="H491" s="65" t="inlineStr">
        <is>
          <t>[0885] TRANSMATIC ATF MERCON V (1x12)</t>
        </is>
      </c>
      <c r="I491" s="65" t="n">
        <v>885</v>
      </c>
      <c r="J491" s="63" t="inlineStr">
        <is>
          <t>1,00</t>
        </is>
      </c>
      <c r="K491" s="63" t="inlineStr">
        <is>
          <t>138,36</t>
        </is>
      </c>
      <c r="L491" s="63" t="inlineStr">
        <is>
          <t>0,00</t>
        </is>
      </c>
      <c r="M491" s="63" t="inlineStr">
        <is>
          <t>138,36</t>
        </is>
      </c>
      <c r="N491" s="63" t="inlineStr">
        <is>
          <t>160,50</t>
        </is>
      </c>
      <c r="O491" s="65" t="n"/>
      <c r="P491" s="65" t="n"/>
      <c r="Q491" s="65" t="n"/>
      <c r="R491" s="65" t="n"/>
      <c r="S491" s="65" t="n"/>
      <c r="T491" s="65" t="n"/>
      <c r="U491" s="65" t="n"/>
      <c r="V491" s="65" t="n"/>
    </row>
    <row r="492">
      <c r="A492" s="65" t="n"/>
      <c r="B492" s="65" t="n"/>
      <c r="C492" s="65" t="n"/>
      <c r="D492" s="65" t="n"/>
      <c r="E492" s="65" t="n"/>
      <c r="F492" s="65" t="n"/>
      <c r="G492" s="65" t="n"/>
      <c r="H492" s="65" t="inlineStr">
        <is>
          <t>[0761] LIGA PARA FRENOS DOT-3 (1x12)</t>
        </is>
      </c>
      <c r="I492" s="65" t="n">
        <v>761</v>
      </c>
      <c r="J492" s="63" t="inlineStr">
        <is>
          <t>1,00</t>
        </is>
      </c>
      <c r="K492" s="63" t="inlineStr">
        <is>
          <t>31,03</t>
        </is>
      </c>
      <c r="L492" s="63" t="inlineStr">
        <is>
          <t>0,00</t>
        </is>
      </c>
      <c r="M492" s="63" t="inlineStr">
        <is>
          <t>31,03</t>
        </is>
      </c>
      <c r="N492" s="63" t="inlineStr">
        <is>
          <t>35,99</t>
        </is>
      </c>
      <c r="O492" s="65" t="n"/>
      <c r="P492" s="65" t="n"/>
      <c r="Q492" s="65" t="n"/>
      <c r="R492" s="65" t="n"/>
      <c r="S492" s="65" t="n"/>
      <c r="T492" s="65" t="n"/>
      <c r="U492" s="65" t="n"/>
      <c r="V492" s="65" t="n"/>
    </row>
    <row r="493">
      <c r="A493" s="65" t="inlineStr">
        <is>
          <t>S00078</t>
        </is>
      </c>
      <c r="B493" s="62" t="n">
        <v>46210.94440972222</v>
      </c>
      <c r="C493" s="65" t="inlineStr">
        <is>
          <t>MULTISERVICIOS RECAM13, C.A.</t>
        </is>
      </c>
      <c r="D493" s="65" t="inlineStr">
        <is>
          <t>TORO ARDILES DAVID JOSE</t>
        </is>
      </c>
      <c r="E493" s="65" t="n"/>
      <c r="F493" s="65" t="n">
        <v>3</v>
      </c>
      <c r="G493" s="65" t="inlineStr">
        <is>
          <t>Precio Full Marzo</t>
        </is>
      </c>
      <c r="H493" s="65" t="inlineStr">
        <is>
          <t>[0792] REFRIGERANTE GLOBAL ROJO (1X3)</t>
        </is>
      </c>
      <c r="I493" s="65" t="n">
        <v>792</v>
      </c>
      <c r="J493" s="63" t="inlineStr">
        <is>
          <t>1,00</t>
        </is>
      </c>
      <c r="K493" s="63" t="inlineStr">
        <is>
          <t>31,03</t>
        </is>
      </c>
      <c r="L493" s="63" t="inlineStr">
        <is>
          <t>0,00</t>
        </is>
      </c>
      <c r="M493" s="63" t="inlineStr">
        <is>
          <t>31,03</t>
        </is>
      </c>
      <c r="N493" s="63" t="inlineStr">
        <is>
          <t>35,99</t>
        </is>
      </c>
      <c r="O493" s="63" t="inlineStr">
        <is>
          <t>350,41</t>
        </is>
      </c>
      <c r="P493" s="63" t="inlineStr">
        <is>
          <t>406,47</t>
        </is>
      </c>
      <c r="Q493" s="63" t="inlineStr">
        <is>
          <t>674,93</t>
        </is>
      </c>
      <c r="R493" s="66" t="n">
        <v>46210</v>
      </c>
      <c r="S493" s="65" t="n">
        <v>224</v>
      </c>
      <c r="T493" s="65" t="inlineStr">
        <is>
          <t>00-00000746</t>
        </is>
      </c>
      <c r="U493" s="63" t="inlineStr">
        <is>
          <t>406,44</t>
        </is>
      </c>
      <c r="V493" s="63" t="inlineStr">
        <is>
          <t>226,19</t>
        </is>
      </c>
    </row>
    <row r="494">
      <c r="A494" s="65" t="n"/>
      <c r="B494" s="65" t="n"/>
      <c r="C494" s="65" t="n"/>
      <c r="D494" s="65" t="n"/>
      <c r="E494" s="65" t="n"/>
      <c r="F494" s="65" t="n"/>
      <c r="G494" s="65" t="n"/>
      <c r="H494" s="65" t="inlineStr">
        <is>
          <t>[0789] REFRIGERANTE GLOBAL VERDE (1X3)</t>
        </is>
      </c>
      <c r="I494" s="65" t="n">
        <v>789</v>
      </c>
      <c r="J494" s="63" t="inlineStr">
        <is>
          <t>2,00</t>
        </is>
      </c>
      <c r="K494" s="63" t="inlineStr">
        <is>
          <t>31,03</t>
        </is>
      </c>
      <c r="L494" s="63" t="inlineStr">
        <is>
          <t>0,00</t>
        </is>
      </c>
      <c r="M494" s="63" t="inlineStr">
        <is>
          <t>62,06</t>
        </is>
      </c>
      <c r="N494" s="63" t="inlineStr">
        <is>
          <t>71,99</t>
        </is>
      </c>
      <c r="O494" s="65" t="n"/>
      <c r="P494" s="65" t="n"/>
      <c r="Q494" s="65" t="n"/>
      <c r="R494" s="65" t="n"/>
      <c r="S494" s="65" t="n"/>
      <c r="T494" s="65" t="n"/>
      <c r="U494" s="65" t="n"/>
      <c r="V494" s="65" t="n"/>
    </row>
    <row r="495">
      <c r="A495" s="65" t="n"/>
      <c r="B495" s="65" t="n"/>
      <c r="C495" s="65" t="n"/>
      <c r="D495" s="65" t="n"/>
      <c r="E495" s="65" t="n"/>
      <c r="F495" s="65" t="n"/>
      <c r="G495" s="65" t="n"/>
      <c r="H495" s="65" t="inlineStr">
        <is>
          <t>[0884] TRANSMATIC ATF DEXRON III (1x12)</t>
        </is>
      </c>
      <c r="I495" s="65" t="n">
        <v>884</v>
      </c>
      <c r="J495" s="63" t="inlineStr">
        <is>
          <t>1,00</t>
        </is>
      </c>
      <c r="K495" s="63" t="inlineStr">
        <is>
          <t>86,64</t>
        </is>
      </c>
      <c r="L495" s="63" t="inlineStr">
        <is>
          <t>0,00</t>
        </is>
      </c>
      <c r="M495" s="63" t="inlineStr">
        <is>
          <t>86,64</t>
        </is>
      </c>
      <c r="N495" s="63" t="inlineStr">
        <is>
          <t>100,50</t>
        </is>
      </c>
      <c r="O495" s="65" t="n"/>
      <c r="P495" s="65" t="n"/>
      <c r="Q495" s="65" t="n"/>
      <c r="R495" s="65" t="n"/>
      <c r="S495" s="65" t="n"/>
      <c r="T495" s="65" t="n"/>
      <c r="U495" s="65" t="n"/>
      <c r="V495" s="65" t="n"/>
    </row>
    <row r="496">
      <c r="A496" s="65" t="n"/>
      <c r="B496" s="65" t="n"/>
      <c r="C496" s="65" t="n"/>
      <c r="D496" s="65" t="n"/>
      <c r="E496" s="65" t="n"/>
      <c r="F496" s="65" t="n"/>
      <c r="G496" s="65" t="n"/>
      <c r="H496" s="65" t="inlineStr">
        <is>
          <t>[0127] TRANSGLOB API GL-5 SAE 85W-140 (1x6)</t>
        </is>
      </c>
      <c r="I496" s="65" t="n">
        <v>127</v>
      </c>
      <c r="J496" s="63" t="inlineStr">
        <is>
          <t>1,00</t>
        </is>
      </c>
      <c r="K496" s="63" t="inlineStr">
        <is>
          <t>46,55</t>
        </is>
      </c>
      <c r="L496" s="63" t="inlineStr">
        <is>
          <t>0,00</t>
        </is>
      </c>
      <c r="M496" s="63" t="inlineStr">
        <is>
          <t>46,55</t>
        </is>
      </c>
      <c r="N496" s="63" t="inlineStr">
        <is>
          <t>54,00</t>
        </is>
      </c>
      <c r="O496" s="65" t="n"/>
      <c r="P496" s="65" t="n"/>
      <c r="Q496" s="65" t="n"/>
      <c r="R496" s="65" t="n"/>
      <c r="S496" s="65" t="n"/>
      <c r="T496" s="65" t="n"/>
      <c r="U496" s="65" t="n"/>
      <c r="V496" s="65" t="n"/>
    </row>
    <row r="497">
      <c r="A497" s="65" t="n"/>
      <c r="B497" s="65" t="n"/>
      <c r="C497" s="65" t="n"/>
      <c r="D497" s="65" t="n"/>
      <c r="E497" s="65" t="n"/>
      <c r="F497" s="65" t="n"/>
      <c r="G497" s="65" t="n"/>
      <c r="H497" s="65" t="inlineStr">
        <is>
          <t>[0877] SS EXTRA PROTECCION API SN SAE 15W-40 (1X12)</t>
        </is>
      </c>
      <c r="I497" s="65" t="n">
        <v>877</v>
      </c>
      <c r="J497" s="63" t="inlineStr">
        <is>
          <t>1,00</t>
        </is>
      </c>
      <c r="K497" s="63" t="inlineStr">
        <is>
          <t>93,10</t>
        </is>
      </c>
      <c r="L497" s="63" t="inlineStr">
        <is>
          <t>0,00</t>
        </is>
      </c>
      <c r="M497" s="63" t="inlineStr">
        <is>
          <t>93,10</t>
        </is>
      </c>
      <c r="N497" s="63" t="inlineStr">
        <is>
          <t>108,00</t>
        </is>
      </c>
      <c r="O497" s="65" t="n"/>
      <c r="P497" s="65" t="n"/>
      <c r="Q497" s="65" t="n"/>
      <c r="R497" s="65" t="n"/>
      <c r="S497" s="65" t="n"/>
      <c r="T497" s="65" t="n"/>
      <c r="U497" s="65" t="n"/>
      <c r="V497" s="65" t="n"/>
    </row>
    <row r="498">
      <c r="A498" s="65" t="n"/>
      <c r="B498" s="65" t="n"/>
      <c r="C498" s="65" t="n"/>
      <c r="D498" s="65" t="n"/>
      <c r="E498" s="65" t="n"/>
      <c r="F498" s="65" t="n"/>
      <c r="G498" s="65" t="n"/>
      <c r="H498" s="65" t="inlineStr">
        <is>
          <t>[0761] LIGA PARA FRENOS DOT-3 (1x12)</t>
        </is>
      </c>
      <c r="I498" s="65" t="n">
        <v>761</v>
      </c>
      <c r="J498" s="63" t="inlineStr">
        <is>
          <t>1,00</t>
        </is>
      </c>
      <c r="K498" s="63" t="inlineStr">
        <is>
          <t>31,03</t>
        </is>
      </c>
      <c r="L498" s="63" t="inlineStr">
        <is>
          <t>0,00</t>
        </is>
      </c>
      <c r="M498" s="63" t="inlineStr">
        <is>
          <t>31,03</t>
        </is>
      </c>
      <c r="N498" s="63" t="inlineStr">
        <is>
          <t>35,99</t>
        </is>
      </c>
      <c r="O498" s="65" t="n"/>
      <c r="P498" s="65" t="n"/>
      <c r="Q498" s="65" t="n"/>
      <c r="R498" s="65" t="n"/>
      <c r="S498" s="65" t="n"/>
      <c r="T498" s="65" t="n"/>
      <c r="U498" s="65" t="n"/>
      <c r="V498" s="65" t="n"/>
    </row>
    <row r="499">
      <c r="A499" s="65" t="inlineStr">
        <is>
          <t>S00081</t>
        </is>
      </c>
      <c r="B499" s="62" t="n">
        <v>46210.94262731481</v>
      </c>
      <c r="C499" s="65" t="inlineStr">
        <is>
          <t>Coffee Party, C.A.</t>
        </is>
      </c>
      <c r="D499" s="65" t="inlineStr">
        <is>
          <t>OCANTO ZABALA ROSALVY DEL CARMEN</t>
        </is>
      </c>
      <c r="E499" s="65" t="inlineStr">
        <is>
          <t>7 días</t>
        </is>
      </c>
      <c r="F499" s="65" t="n">
        <v>3</v>
      </c>
      <c r="G499" s="65" t="inlineStr">
        <is>
          <t>Precio Full Marzo</t>
        </is>
      </c>
      <c r="H499" s="65" t="inlineStr">
        <is>
          <t>[0121] TRANSGLOB API GL-5 SAE 80W-90 (1x6)</t>
        </is>
      </c>
      <c r="I499" s="65" t="n">
        <v>121</v>
      </c>
      <c r="J499" s="63" t="inlineStr">
        <is>
          <t>2,00</t>
        </is>
      </c>
      <c r="K499" s="63" t="inlineStr">
        <is>
          <t>46,55</t>
        </is>
      </c>
      <c r="L499" s="63" t="inlineStr">
        <is>
          <t>33,33</t>
        </is>
      </c>
      <c r="M499" s="63" t="inlineStr">
        <is>
          <t>62,07</t>
        </is>
      </c>
      <c r="N499" s="63" t="inlineStr">
        <is>
          <t>72,00</t>
        </is>
      </c>
      <c r="O499" s="63" t="inlineStr">
        <is>
          <t>62,07</t>
        </is>
      </c>
      <c r="P499" s="63" t="inlineStr">
        <is>
          <t>72,00</t>
        </is>
      </c>
      <c r="Q499" s="63" t="inlineStr">
        <is>
          <t>674,93</t>
        </is>
      </c>
      <c r="R499" s="66" t="n">
        <v>46210</v>
      </c>
      <c r="S499" s="65" t="n">
        <v>223</v>
      </c>
      <c r="T499" s="65" t="inlineStr">
        <is>
          <t>00-00000745</t>
        </is>
      </c>
      <c r="U499" s="63" t="inlineStr">
        <is>
          <t>71,99</t>
        </is>
      </c>
      <c r="V499" s="63" t="inlineStr">
        <is>
          <t>0,00</t>
        </is>
      </c>
    </row>
    <row r="500">
      <c r="A500" s="65" t="inlineStr">
        <is>
          <t>S00092</t>
        </is>
      </c>
      <c r="B500" s="62" t="n">
        <v>46210.93978009259</v>
      </c>
      <c r="C500" s="65" t="inlineStr">
        <is>
          <t>EMPRENDIMIENTO IRMA RODRIGUEZ 6</t>
        </is>
      </c>
      <c r="D500" s="65" t="inlineStr">
        <is>
          <t>TORO ARDILES DAVID JOSE</t>
        </is>
      </c>
      <c r="E500" s="65" t="n"/>
      <c r="F500" s="65" t="n">
        <v>7</v>
      </c>
      <c r="G500" s="65" t="inlineStr">
        <is>
          <t>Pago USD Marzo</t>
        </is>
      </c>
      <c r="H500" s="65" t="inlineStr">
        <is>
          <t>[0775] LIGA PARA FRENOS DOT-4 (1X12)</t>
        </is>
      </c>
      <c r="I500" s="65" t="n">
        <v>775</v>
      </c>
      <c r="J500" s="63" t="inlineStr">
        <is>
          <t>1,00</t>
        </is>
      </c>
      <c r="K500" s="63" t="inlineStr">
        <is>
          <t>37,07</t>
        </is>
      </c>
      <c r="L500" s="63" t="inlineStr">
        <is>
          <t>8,04</t>
        </is>
      </c>
      <c r="M500" s="63" t="inlineStr">
        <is>
          <t>34,09</t>
        </is>
      </c>
      <c r="N500" s="63" t="inlineStr">
        <is>
          <t>39,54</t>
        </is>
      </c>
      <c r="O500" s="63" t="inlineStr">
        <is>
          <t>108,61</t>
        </is>
      </c>
      <c r="P500" s="63" t="inlineStr">
        <is>
          <t>125,98</t>
        </is>
      </c>
      <c r="Q500" s="63" t="inlineStr">
        <is>
          <t>674,93</t>
        </is>
      </c>
      <c r="R500" s="66" t="n">
        <v>46210</v>
      </c>
      <c r="S500" s="65" t="n">
        <v>221</v>
      </c>
      <c r="T500" s="65" t="inlineStr">
        <is>
          <t>00-00000743</t>
        </is>
      </c>
      <c r="U500" s="63" t="inlineStr">
        <is>
          <t>125,97</t>
        </is>
      </c>
      <c r="V500" s="63" t="inlineStr">
        <is>
          <t>125,99</t>
        </is>
      </c>
    </row>
    <row r="501">
      <c r="A501" s="65" t="n"/>
      <c r="B501" s="65" t="n"/>
      <c r="C501" s="65" t="n"/>
      <c r="D501" s="65" t="n"/>
      <c r="E501" s="65" t="n"/>
      <c r="F501" s="65" t="n"/>
      <c r="G501" s="65" t="n"/>
      <c r="H501" s="65" t="inlineStr">
        <is>
          <t>[0774] LIGA PARA FRENOS DOT-4 (1X6)</t>
        </is>
      </c>
      <c r="I501" s="65" t="n">
        <v>774</v>
      </c>
      <c r="J501" s="63" t="inlineStr">
        <is>
          <t>2,00</t>
        </is>
      </c>
      <c r="K501" s="63" t="inlineStr">
        <is>
          <t>40,52</t>
        </is>
      </c>
      <c r="L501" s="63" t="inlineStr">
        <is>
          <t>8,04</t>
        </is>
      </c>
      <c r="M501" s="63" t="inlineStr">
        <is>
          <t>74,52</t>
        </is>
      </c>
      <c r="N501" s="63" t="inlineStr">
        <is>
          <t>86,44</t>
        </is>
      </c>
      <c r="O501" s="65" t="n"/>
      <c r="P501" s="65" t="n"/>
      <c r="Q501" s="65" t="n"/>
      <c r="R501" s="65" t="n"/>
      <c r="S501" s="65" t="n"/>
      <c r="T501" s="65" t="n"/>
      <c r="U501" s="65" t="n"/>
      <c r="V501" s="65" t="n"/>
    </row>
    <row r="502">
      <c r="A502" s="65" t="inlineStr">
        <is>
          <t>S00086</t>
        </is>
      </c>
      <c r="B502" s="62" t="n">
        <v>46210.92685185185</v>
      </c>
      <c r="C502" s="65" t="inlineStr">
        <is>
          <t>Wuilliams bastidas</t>
        </is>
      </c>
      <c r="D502" s="65" t="inlineStr">
        <is>
          <t>PEREZ DIAZ ANGEL DE DIOS</t>
        </is>
      </c>
      <c r="E502" s="65" t="inlineStr">
        <is>
          <t>15 días</t>
        </is>
      </c>
      <c r="F502" s="65" t="n">
        <v>3</v>
      </c>
      <c r="G502" s="65" t="inlineStr">
        <is>
          <t>Precio Full Marzo</t>
        </is>
      </c>
      <c r="H502" s="65" t="inlineStr">
        <is>
          <t>[0884] TRANSMATIC ATF DEXRON III (1x12)</t>
        </is>
      </c>
      <c r="I502" s="65" t="n">
        <v>884</v>
      </c>
      <c r="J502" s="63" t="inlineStr">
        <is>
          <t>1,00</t>
        </is>
      </c>
      <c r="K502" s="63" t="inlineStr">
        <is>
          <t>86,64</t>
        </is>
      </c>
      <c r="L502" s="63" t="inlineStr">
        <is>
          <t>23,44</t>
        </is>
      </c>
      <c r="M502" s="63" t="inlineStr">
        <is>
          <t>66,33</t>
        </is>
      </c>
      <c r="N502" s="63" t="inlineStr">
        <is>
          <t>76,94</t>
        </is>
      </c>
      <c r="O502" s="63" t="inlineStr">
        <is>
          <t>149,49</t>
        </is>
      </c>
      <c r="P502" s="63" t="inlineStr">
        <is>
          <t>173,40</t>
        </is>
      </c>
      <c r="Q502" s="63" t="inlineStr">
        <is>
          <t>674,93</t>
        </is>
      </c>
      <c r="R502" s="66" t="n">
        <v>46210</v>
      </c>
      <c r="S502" s="65" t="n">
        <v>222</v>
      </c>
      <c r="T502" s="65" t="inlineStr">
        <is>
          <t>00-00000744</t>
        </is>
      </c>
      <c r="U502" s="63" t="inlineStr">
        <is>
          <t>173,39</t>
        </is>
      </c>
      <c r="V502" s="63" t="inlineStr">
        <is>
          <t>173,41</t>
        </is>
      </c>
    </row>
    <row r="503">
      <c r="A503" s="65" t="n"/>
      <c r="B503" s="65" t="n"/>
      <c r="C503" s="65" t="n"/>
      <c r="D503" s="65" t="n"/>
      <c r="E503" s="65" t="n"/>
      <c r="F503" s="65" t="n"/>
      <c r="G503" s="65" t="n"/>
      <c r="H503" s="65" t="inlineStr">
        <is>
          <t>[0121] TRANSGLOB API GL-5 SAE 80W-90 (1x6)</t>
        </is>
      </c>
      <c r="I503" s="65" t="n">
        <v>121</v>
      </c>
      <c r="J503" s="63" t="inlineStr">
        <is>
          <t>1,00</t>
        </is>
      </c>
      <c r="K503" s="63" t="inlineStr">
        <is>
          <t>46,55</t>
        </is>
      </c>
      <c r="L503" s="63" t="inlineStr">
        <is>
          <t>23,44</t>
        </is>
      </c>
      <c r="M503" s="63" t="inlineStr">
        <is>
          <t>35,64</t>
        </is>
      </c>
      <c r="N503" s="63" t="inlineStr">
        <is>
          <t>41,34</t>
        </is>
      </c>
      <c r="O503" s="65" t="n"/>
      <c r="P503" s="65" t="n"/>
      <c r="Q503" s="65" t="n"/>
      <c r="R503" s="65" t="n"/>
      <c r="S503" s="65" t="n"/>
      <c r="T503" s="65" t="n"/>
      <c r="U503" s="65" t="n"/>
      <c r="V503" s="65" t="n"/>
    </row>
    <row r="504">
      <c r="A504" s="65" t="n"/>
      <c r="B504" s="65" t="n"/>
      <c r="C504" s="65" t="n"/>
      <c r="D504" s="65" t="n"/>
      <c r="E504" s="65" t="n"/>
      <c r="F504" s="65" t="n"/>
      <c r="G504" s="65" t="n"/>
      <c r="H504" s="65" t="inlineStr">
        <is>
          <t>[0915] SINOCO SAE 50 (1x12)</t>
        </is>
      </c>
      <c r="I504" s="65" t="n">
        <v>915</v>
      </c>
      <c r="J504" s="63" t="inlineStr">
        <is>
          <t>1,00</t>
        </is>
      </c>
      <c r="K504" s="63" t="inlineStr">
        <is>
          <t>62,07</t>
        </is>
      </c>
      <c r="L504" s="63" t="inlineStr">
        <is>
          <t>23,44</t>
        </is>
      </c>
      <c r="M504" s="63" t="inlineStr">
        <is>
          <t>47,52</t>
        </is>
      </c>
      <c r="N504" s="63" t="inlineStr">
        <is>
          <t>55,12</t>
        </is>
      </c>
      <c r="O504" s="65" t="n"/>
      <c r="P504" s="65" t="n"/>
      <c r="Q504" s="65" t="n"/>
      <c r="R504" s="65" t="n"/>
      <c r="S504" s="65" t="n"/>
      <c r="T504" s="65" t="n"/>
      <c r="U504" s="65" t="n"/>
      <c r="V504" s="65" t="n"/>
    </row>
    <row r="505">
      <c r="A505" s="65" t="inlineStr">
        <is>
          <t>S00011</t>
        </is>
      </c>
      <c r="B505" s="62" t="n">
        <v>46210.92101851852</v>
      </c>
      <c r="C505" s="65" t="inlineStr">
        <is>
          <t>MOTO MARCE 21, CA</t>
        </is>
      </c>
      <c r="D505" s="65" t="inlineStr">
        <is>
          <t>CALDERON TERAN ARGIMIRO ANTONIO</t>
        </is>
      </c>
      <c r="E505" s="65" t="n"/>
      <c r="F505" s="65" t="n">
        <v>3</v>
      </c>
      <c r="G505" s="65" t="inlineStr">
        <is>
          <t>Precio Full Marzo</t>
        </is>
      </c>
      <c r="H505" s="65" t="inlineStr">
        <is>
          <t>[0761] LIGA PARA FRENOS DOT-3 (1x12)</t>
        </is>
      </c>
      <c r="I505" s="65" t="n">
        <v>761</v>
      </c>
      <c r="J505" s="63" t="inlineStr">
        <is>
          <t>1,00</t>
        </is>
      </c>
      <c r="K505" s="63" t="inlineStr">
        <is>
          <t>31,03</t>
        </is>
      </c>
      <c r="L505" s="63" t="inlineStr">
        <is>
          <t>13,08</t>
        </is>
      </c>
      <c r="M505" s="63" t="inlineStr">
        <is>
          <t>26,97</t>
        </is>
      </c>
      <c r="N505" s="63" t="inlineStr">
        <is>
          <t>31,29</t>
        </is>
      </c>
      <c r="O505" s="63" t="inlineStr">
        <is>
          <t>64,06</t>
        </is>
      </c>
      <c r="P505" s="63" t="inlineStr">
        <is>
          <t>74,31</t>
        </is>
      </c>
      <c r="Q505" s="63" t="inlineStr">
        <is>
          <t>674,93</t>
        </is>
      </c>
      <c r="R505" s="66" t="n">
        <v>46210</v>
      </c>
      <c r="S505" s="65" t="n">
        <v>220</v>
      </c>
      <c r="T505" s="65" t="inlineStr">
        <is>
          <t>00-00000742</t>
        </is>
      </c>
      <c r="U505" s="63" t="inlineStr">
        <is>
          <t>74,29</t>
        </is>
      </c>
      <c r="V505" s="63" t="inlineStr">
        <is>
          <t>0,00</t>
        </is>
      </c>
    </row>
    <row r="506">
      <c r="A506" s="65" t="n"/>
      <c r="B506" s="65" t="n"/>
      <c r="C506" s="65" t="n"/>
      <c r="D506" s="65" t="n"/>
      <c r="E506" s="65" t="n"/>
      <c r="F506" s="65" t="n"/>
      <c r="G506" s="65" t="n"/>
      <c r="H506" s="65" t="inlineStr">
        <is>
          <t>[0087] ENDUROGLOB 2T AIRE (1x6)</t>
        </is>
      </c>
      <c r="I506" s="65" t="n">
        <v>87</v>
      </c>
      <c r="J506" s="63" t="inlineStr">
        <is>
          <t>1,00</t>
        </is>
      </c>
      <c r="K506" s="63" t="inlineStr">
        <is>
          <t>42,67</t>
        </is>
      </c>
      <c r="L506" s="63" t="inlineStr">
        <is>
          <t>13,08</t>
        </is>
      </c>
      <c r="M506" s="63" t="inlineStr">
        <is>
          <t>37,09</t>
        </is>
      </c>
      <c r="N506" s="63" t="inlineStr">
        <is>
          <t>43,02</t>
        </is>
      </c>
      <c r="O506" s="65" t="n"/>
      <c r="P506" s="65" t="n"/>
      <c r="Q506" s="65" t="n"/>
      <c r="R506" s="65" t="n"/>
      <c r="S506" s="65" t="n"/>
      <c r="T506" s="65" t="n"/>
      <c r="U506" s="65" t="n"/>
      <c r="V506" s="65" t="n"/>
    </row>
    <row r="507">
      <c r="A507" s="65" t="inlineStr">
        <is>
          <t>S00098</t>
        </is>
      </c>
      <c r="B507" s="62" t="n">
        <v>46210.91782407407</v>
      </c>
      <c r="C507" s="65" t="inlineStr">
        <is>
          <t>Mini Market Las Mercedes,c.a.</t>
        </is>
      </c>
      <c r="D507" s="65" t="inlineStr">
        <is>
          <t>CASERES GONZALEZ RONALD OSWALDO</t>
        </is>
      </c>
      <c r="E507" s="65" t="inlineStr">
        <is>
          <t>30 días</t>
        </is>
      </c>
      <c r="F507" s="65" t="n">
        <v>3</v>
      </c>
      <c r="G507" s="65" t="inlineStr">
        <is>
          <t>Precio Full Marzo</t>
        </is>
      </c>
      <c r="H507" s="65" t="inlineStr">
        <is>
          <t>[0886] TRANSMATIC DEXRON VI (1x12)</t>
        </is>
      </c>
      <c r="I507" s="65" t="n">
        <v>886</v>
      </c>
      <c r="J507" s="63" t="inlineStr">
        <is>
          <t>1,00</t>
        </is>
      </c>
      <c r="K507" s="63" t="inlineStr">
        <is>
          <t>138,36</t>
        </is>
      </c>
      <c r="L507" s="63" t="inlineStr">
        <is>
          <t>0,00</t>
        </is>
      </c>
      <c r="M507" s="63" t="inlineStr">
        <is>
          <t>138,36</t>
        </is>
      </c>
      <c r="N507" s="63" t="inlineStr">
        <is>
          <t>160,50</t>
        </is>
      </c>
      <c r="O507" s="63" t="inlineStr">
        <is>
          <t>1.884,00</t>
        </is>
      </c>
      <c r="P507" s="63" t="inlineStr">
        <is>
          <t>2.185,46</t>
        </is>
      </c>
      <c r="Q507" s="65" t="n"/>
      <c r="R507" s="65" t="n"/>
      <c r="S507" s="65" t="n"/>
      <c r="T507" s="65" t="n"/>
      <c r="U507" s="65" t="n"/>
      <c r="V507" s="65" t="n"/>
    </row>
    <row r="508">
      <c r="A508" s="65" t="n"/>
      <c r="B508" s="65" t="n"/>
      <c r="C508" s="65" t="n"/>
      <c r="D508" s="65" t="n"/>
      <c r="E508" s="65" t="n"/>
      <c r="F508" s="65" t="n"/>
      <c r="G508" s="65" t="n"/>
      <c r="H508" s="65" t="inlineStr">
        <is>
          <t>[0885] TRANSMATIC ATF MERCON V (1x12)</t>
        </is>
      </c>
      <c r="I508" s="65" t="n">
        <v>885</v>
      </c>
      <c r="J508" s="63" t="inlineStr">
        <is>
          <t>1,00</t>
        </is>
      </c>
      <c r="K508" s="63" t="inlineStr">
        <is>
          <t>138,36</t>
        </is>
      </c>
      <c r="L508" s="63" t="inlineStr">
        <is>
          <t>0,00</t>
        </is>
      </c>
      <c r="M508" s="63" t="inlineStr">
        <is>
          <t>138,36</t>
        </is>
      </c>
      <c r="N508" s="63" t="inlineStr">
        <is>
          <t>160,50</t>
        </is>
      </c>
      <c r="O508" s="65" t="n"/>
      <c r="P508" s="65" t="n"/>
      <c r="Q508" s="65" t="n"/>
      <c r="R508" s="65" t="n"/>
      <c r="S508" s="65" t="n"/>
      <c r="T508" s="65" t="n"/>
      <c r="U508" s="65" t="n"/>
      <c r="V508" s="65" t="n"/>
    </row>
    <row r="509">
      <c r="A509" s="65" t="n"/>
      <c r="B509" s="65" t="n"/>
      <c r="C509" s="65" t="n"/>
      <c r="D509" s="65" t="n"/>
      <c r="E509" s="65" t="n"/>
      <c r="F509" s="65" t="n"/>
      <c r="G509" s="65" t="n"/>
      <c r="H509" s="65" t="inlineStr">
        <is>
          <t>[0121] TRANSGLOB API GL-5 SAE 80W-90 (1x6)</t>
        </is>
      </c>
      <c r="I509" s="65" t="n">
        <v>121</v>
      </c>
      <c r="J509" s="63" t="inlineStr">
        <is>
          <t>1,00</t>
        </is>
      </c>
      <c r="K509" s="63" t="inlineStr">
        <is>
          <t>46,55</t>
        </is>
      </c>
      <c r="L509" s="63" t="inlineStr">
        <is>
          <t>0,00</t>
        </is>
      </c>
      <c r="M509" s="63" t="inlineStr">
        <is>
          <t>46,55</t>
        </is>
      </c>
      <c r="N509" s="63" t="inlineStr">
        <is>
          <t>54,00</t>
        </is>
      </c>
      <c r="O509" s="65" t="n"/>
      <c r="P509" s="65" t="n"/>
      <c r="Q509" s="65" t="n"/>
      <c r="R509" s="65" t="n"/>
      <c r="S509" s="65" t="n"/>
      <c r="T509" s="65" t="n"/>
      <c r="U509" s="65" t="n"/>
      <c r="V509" s="65" t="n"/>
    </row>
    <row r="510">
      <c r="A510" s="65" t="n"/>
      <c r="B510" s="65" t="n"/>
      <c r="C510" s="65" t="n"/>
      <c r="D510" s="65" t="n"/>
      <c r="E510" s="65" t="n"/>
      <c r="F510" s="65" t="n"/>
      <c r="G510" s="65" t="n"/>
      <c r="H510" s="65" t="inlineStr">
        <is>
          <t>[0025] SS EXTRA PROTECCION API SN SAE 10W-30 (Gasolina) (1x6)</t>
        </is>
      </c>
      <c r="I510" s="65" t="n">
        <v>25</v>
      </c>
      <c r="J510" s="63" t="inlineStr">
        <is>
          <t>1,00</t>
        </is>
      </c>
      <c r="K510" s="63" t="inlineStr">
        <is>
          <t>46,55</t>
        </is>
      </c>
      <c r="L510" s="63" t="inlineStr">
        <is>
          <t>0,00</t>
        </is>
      </c>
      <c r="M510" s="63" t="inlineStr">
        <is>
          <t>46,55</t>
        </is>
      </c>
      <c r="N510" s="63" t="inlineStr">
        <is>
          <t>54,00</t>
        </is>
      </c>
      <c r="O510" s="65" t="n"/>
      <c r="P510" s="65" t="n"/>
      <c r="Q510" s="65" t="n"/>
      <c r="R510" s="65" t="n"/>
      <c r="S510" s="65" t="n"/>
      <c r="T510" s="65" t="n"/>
      <c r="U510" s="65" t="n"/>
      <c r="V510" s="65" t="n"/>
    </row>
    <row r="511">
      <c r="A511" s="65" t="n"/>
      <c r="B511" s="65" t="n"/>
      <c r="C511" s="65" t="n"/>
      <c r="D511" s="65" t="n"/>
      <c r="E511" s="65" t="n"/>
      <c r="F511" s="65" t="n"/>
      <c r="G511" s="65" t="n"/>
      <c r="H511" s="65" t="inlineStr">
        <is>
          <t>[0877] SS EXTRA PROTECCION API SN SAE 15W-40 (1X12)</t>
        </is>
      </c>
      <c r="I511" s="65" t="n">
        <v>877</v>
      </c>
      <c r="J511" s="63" t="inlineStr">
        <is>
          <t>6,00</t>
        </is>
      </c>
      <c r="K511" s="63" t="inlineStr">
        <is>
          <t>93,10</t>
        </is>
      </c>
      <c r="L511" s="63" t="inlineStr">
        <is>
          <t>0,00</t>
        </is>
      </c>
      <c r="M511" s="63" t="inlineStr">
        <is>
          <t>558,60</t>
        </is>
      </c>
      <c r="N511" s="63" t="inlineStr">
        <is>
          <t>647,98</t>
        </is>
      </c>
      <c r="O511" s="65" t="n"/>
      <c r="P511" s="65" t="n"/>
      <c r="Q511" s="65" t="n"/>
      <c r="R511" s="65" t="n"/>
      <c r="S511" s="65" t="n"/>
      <c r="T511" s="65" t="n"/>
      <c r="U511" s="65" t="n"/>
      <c r="V511" s="65" t="n"/>
    </row>
    <row r="512">
      <c r="A512" s="65" t="n"/>
      <c r="B512" s="65" t="n"/>
      <c r="C512" s="65" t="n"/>
      <c r="D512" s="65" t="n"/>
      <c r="E512" s="65" t="n"/>
      <c r="F512" s="65" t="n"/>
      <c r="G512" s="65" t="n"/>
      <c r="H512" s="65" t="inlineStr">
        <is>
          <t>[0878] SS EXTRA PROTECCION API SN SAE 20W-50 (1x12)</t>
        </is>
      </c>
      <c r="I512" s="65" t="n">
        <v>878</v>
      </c>
      <c r="J512" s="63" t="inlineStr">
        <is>
          <t>1,00</t>
        </is>
      </c>
      <c r="K512" s="63" t="inlineStr">
        <is>
          <t>93,10</t>
        </is>
      </c>
      <c r="L512" s="63" t="inlineStr">
        <is>
          <t>0,00</t>
        </is>
      </c>
      <c r="M512" s="63" t="inlineStr">
        <is>
          <t>93,10</t>
        </is>
      </c>
      <c r="N512" s="63" t="inlineStr">
        <is>
          <t>108,00</t>
        </is>
      </c>
      <c r="O512" s="65" t="n"/>
      <c r="P512" s="65" t="n"/>
      <c r="Q512" s="65" t="n"/>
      <c r="R512" s="65" t="n"/>
      <c r="S512" s="65" t="n"/>
      <c r="T512" s="65" t="n"/>
      <c r="U512" s="65" t="n"/>
      <c r="V512" s="65" t="n"/>
    </row>
    <row r="513">
      <c r="A513" s="65" t="n"/>
      <c r="B513" s="65" t="n"/>
      <c r="C513" s="65" t="n"/>
      <c r="D513" s="65" t="n"/>
      <c r="E513" s="65" t="n"/>
      <c r="F513" s="65" t="n"/>
      <c r="G513" s="65" t="n"/>
      <c r="H513" s="65" t="inlineStr">
        <is>
          <t>[0881] CLASICO API SL SAE 20W-50 (1x12)</t>
        </is>
      </c>
      <c r="I513" s="65" t="n">
        <v>881</v>
      </c>
      <c r="J513" s="63" t="inlineStr">
        <is>
          <t>3,00</t>
        </is>
      </c>
      <c r="K513" s="63" t="inlineStr">
        <is>
          <t>81,47</t>
        </is>
      </c>
      <c r="L513" s="63" t="inlineStr">
        <is>
          <t>0,00</t>
        </is>
      </c>
      <c r="M513" s="63" t="inlineStr">
        <is>
          <t>244,41</t>
        </is>
      </c>
      <c r="N513" s="63" t="inlineStr">
        <is>
          <t>283,52</t>
        </is>
      </c>
      <c r="O513" s="65" t="n"/>
      <c r="P513" s="65" t="n"/>
      <c r="Q513" s="65" t="n"/>
      <c r="R513" s="65" t="n"/>
      <c r="S513" s="65" t="n"/>
      <c r="T513" s="65" t="n"/>
      <c r="U513" s="65" t="n"/>
      <c r="V513" s="65" t="n"/>
    </row>
    <row r="514">
      <c r="A514" s="65" t="n"/>
      <c r="B514" s="65" t="n"/>
      <c r="C514" s="65" t="n"/>
      <c r="D514" s="65" t="n"/>
      <c r="E514" s="65" t="n"/>
      <c r="F514" s="65" t="n"/>
      <c r="G514" s="65" t="n"/>
      <c r="H514" s="65" t="inlineStr">
        <is>
          <t>[0013] ELITE API SN SAE 5W-30 (1x6)</t>
        </is>
      </c>
      <c r="I514" s="65" t="n">
        <v>13</v>
      </c>
      <c r="J514" s="63" t="inlineStr">
        <is>
          <t>3,00</t>
        </is>
      </c>
      <c r="K514" s="63" t="inlineStr">
        <is>
          <t>63,36</t>
        </is>
      </c>
      <c r="L514" s="63" t="inlineStr">
        <is>
          <t>0,00</t>
        </is>
      </c>
      <c r="M514" s="63" t="inlineStr">
        <is>
          <t>190,08</t>
        </is>
      </c>
      <c r="N514" s="63" t="inlineStr">
        <is>
          <t>220,49</t>
        </is>
      </c>
      <c r="O514" s="65" t="n"/>
      <c r="P514" s="65" t="n"/>
      <c r="Q514" s="65" t="n"/>
      <c r="R514" s="65" t="n"/>
      <c r="S514" s="65" t="n"/>
      <c r="T514" s="65" t="n"/>
      <c r="U514" s="65" t="n"/>
      <c r="V514" s="65" t="n"/>
    </row>
    <row r="515">
      <c r="A515" s="65" t="n"/>
      <c r="B515" s="65" t="n"/>
      <c r="C515" s="65" t="n"/>
      <c r="D515" s="65" t="n"/>
      <c r="E515" s="65" t="n"/>
      <c r="F515" s="65" t="n"/>
      <c r="G515" s="65" t="n"/>
      <c r="H515" s="65" t="inlineStr">
        <is>
          <t>[0019] ELITE API SN SAE 5W-40 (1x6)</t>
        </is>
      </c>
      <c r="I515" s="65" t="n">
        <v>19</v>
      </c>
      <c r="J515" s="63" t="inlineStr">
        <is>
          <t>4,00</t>
        </is>
      </c>
      <c r="K515" s="63" t="inlineStr">
        <is>
          <t>63,36</t>
        </is>
      </c>
      <c r="L515" s="63" t="inlineStr">
        <is>
          <t>0,00</t>
        </is>
      </c>
      <c r="M515" s="63" t="inlineStr">
        <is>
          <t>253,44</t>
        </is>
      </c>
      <c r="N515" s="63" t="inlineStr">
        <is>
          <t>293,99</t>
        </is>
      </c>
      <c r="O515" s="65" t="n"/>
      <c r="P515" s="65" t="n"/>
      <c r="Q515" s="65" t="n"/>
      <c r="R515" s="65" t="n"/>
      <c r="S515" s="65" t="n"/>
      <c r="T515" s="65" t="n"/>
      <c r="U515" s="65" t="n"/>
      <c r="V515" s="65" t="n"/>
    </row>
    <row r="516">
      <c r="A516" s="65" t="n"/>
      <c r="B516" s="65" t="n"/>
      <c r="C516" s="65" t="n"/>
      <c r="D516" s="65" t="n"/>
      <c r="E516" s="65" t="n"/>
      <c r="F516" s="65" t="n"/>
      <c r="G516" s="65" t="n"/>
      <c r="H516" s="65" t="inlineStr">
        <is>
          <t>[0792] REFRIGERANTE GLOBAL ROJO (1X3)</t>
        </is>
      </c>
      <c r="I516" s="65" t="n">
        <v>792</v>
      </c>
      <c r="J516" s="63" t="inlineStr">
        <is>
          <t>2,00</t>
        </is>
      </c>
      <c r="K516" s="63" t="inlineStr">
        <is>
          <t>31,03</t>
        </is>
      </c>
      <c r="L516" s="63" t="inlineStr">
        <is>
          <t>0,00</t>
        </is>
      </c>
      <c r="M516" s="63" t="inlineStr">
        <is>
          <t>62,06</t>
        </is>
      </c>
      <c r="N516" s="63" t="inlineStr">
        <is>
          <t>71,99</t>
        </is>
      </c>
      <c r="O516" s="65" t="n"/>
      <c r="P516" s="65" t="n"/>
      <c r="Q516" s="65" t="n"/>
      <c r="R516" s="65" t="n"/>
      <c r="S516" s="65" t="n"/>
      <c r="T516" s="65" t="n"/>
      <c r="U516" s="65" t="n"/>
      <c r="V516" s="65" t="n"/>
    </row>
    <row r="517">
      <c r="A517" s="65" t="n"/>
      <c r="B517" s="65" t="n"/>
      <c r="C517" s="65" t="n"/>
      <c r="D517" s="65" t="n"/>
      <c r="E517" s="65" t="n"/>
      <c r="F517" s="65" t="n"/>
      <c r="G517" s="65" t="n"/>
      <c r="H517" s="65" t="inlineStr">
        <is>
          <t>[0761] LIGA PARA FRENOS DOT-3 (1x12)</t>
        </is>
      </c>
      <c r="I517" s="65" t="n">
        <v>761</v>
      </c>
      <c r="J517" s="63" t="inlineStr">
        <is>
          <t>2,00</t>
        </is>
      </c>
      <c r="K517" s="63" t="inlineStr">
        <is>
          <t>31,03</t>
        </is>
      </c>
      <c r="L517" s="63" t="inlineStr">
        <is>
          <t>0,00</t>
        </is>
      </c>
      <c r="M517" s="63" t="inlineStr">
        <is>
          <t>62,06</t>
        </is>
      </c>
      <c r="N517" s="63" t="inlineStr">
        <is>
          <t>71,99</t>
        </is>
      </c>
      <c r="O517" s="65" t="n"/>
      <c r="P517" s="65" t="n"/>
      <c r="Q517" s="65" t="n"/>
      <c r="R517" s="65" t="n"/>
      <c r="S517" s="65" t="n"/>
      <c r="T517" s="65" t="n"/>
      <c r="U517" s="65" t="n"/>
      <c r="V517" s="65" t="n"/>
    </row>
    <row r="518">
      <c r="A518" s="65" t="n"/>
      <c r="B518" s="65" t="n"/>
      <c r="C518" s="65" t="n"/>
      <c r="D518" s="65" t="n"/>
      <c r="E518" s="65" t="n"/>
      <c r="F518" s="65" t="n"/>
      <c r="G518" s="65" t="n"/>
      <c r="H518" s="65" t="inlineStr">
        <is>
          <t>[0762] LIGA PARA FRENOS DOT-3 (1x6)</t>
        </is>
      </c>
      <c r="I518" s="65" t="n">
        <v>762</v>
      </c>
      <c r="J518" s="63" t="inlineStr">
        <is>
          <t>1,00</t>
        </is>
      </c>
      <c r="K518" s="63" t="inlineStr">
        <is>
          <t>50,43</t>
        </is>
      </c>
      <c r="L518" s="63" t="inlineStr">
        <is>
          <t>0,00</t>
        </is>
      </c>
      <c r="M518" s="63" t="inlineStr">
        <is>
          <t>50,43</t>
        </is>
      </c>
      <c r="N518" s="63" t="inlineStr">
        <is>
          <t>58,50</t>
        </is>
      </c>
      <c r="O518" s="65" t="n"/>
      <c r="P518" s="65" t="n"/>
      <c r="Q518" s="65" t="n"/>
      <c r="R518" s="65" t="n"/>
      <c r="S518" s="65" t="n"/>
      <c r="T518" s="65" t="n"/>
      <c r="U518" s="65" t="n"/>
      <c r="V518" s="65" t="n"/>
    </row>
    <row r="519">
      <c r="A519" s="65" t="inlineStr">
        <is>
          <t>S00647</t>
        </is>
      </c>
      <c r="B519" s="62" t="n">
        <v>46210.7169212963</v>
      </c>
      <c r="C519" s="65" t="inlineStr">
        <is>
          <t>E&amp;M CAR SHOP C.A</t>
        </is>
      </c>
      <c r="D519" s="65" t="inlineStr">
        <is>
          <t>BETANCOURT ROBRIGUEZ LUIS ENRRIQUE</t>
        </is>
      </c>
      <c r="E519" s="65" t="inlineStr">
        <is>
          <t>7 días</t>
        </is>
      </c>
      <c r="F519" s="65" t="n">
        <v>5</v>
      </c>
      <c r="G519" s="65" t="inlineStr">
        <is>
          <t>Pago VES</t>
        </is>
      </c>
      <c r="H519" s="65" t="inlineStr">
        <is>
          <t>[0144] HIDRAGLOB AW/ISO 68 (PAILA)</t>
        </is>
      </c>
      <c r="I519" s="65" t="n">
        <v>144</v>
      </c>
      <c r="J519" s="63" t="inlineStr">
        <is>
          <t>2,00</t>
        </is>
      </c>
      <c r="K519" s="63" t="inlineStr">
        <is>
          <t>94,16</t>
        </is>
      </c>
      <c r="L519" s="63" t="inlineStr">
        <is>
          <t>28,92</t>
        </is>
      </c>
      <c r="M519" s="63" t="inlineStr">
        <is>
          <t>133,86</t>
        </is>
      </c>
      <c r="N519" s="63" t="inlineStr">
        <is>
          <t>155,28</t>
        </is>
      </c>
      <c r="O519" s="63" t="inlineStr">
        <is>
          <t>133,86</t>
        </is>
      </c>
      <c r="P519" s="63" t="inlineStr">
        <is>
          <t>155,28</t>
        </is>
      </c>
      <c r="Q519" s="63" t="inlineStr">
        <is>
          <t>724,00</t>
        </is>
      </c>
      <c r="R519" s="66" t="n">
        <v>46217</v>
      </c>
      <c r="S519" s="65" t="n">
        <v>446</v>
      </c>
      <c r="T519" s="65" t="inlineStr">
        <is>
          <t>00-00000990</t>
        </is>
      </c>
      <c r="U519" s="63" t="inlineStr">
        <is>
          <t>155,26</t>
        </is>
      </c>
      <c r="V519" s="63" t="inlineStr">
        <is>
          <t>155,28</t>
        </is>
      </c>
    </row>
    <row r="520">
      <c r="A520" s="65" t="inlineStr">
        <is>
          <t>S00650</t>
        </is>
      </c>
      <c r="B520" s="62" t="n">
        <v>46210.7162962963</v>
      </c>
      <c r="C520" s="65" t="inlineStr">
        <is>
          <t>PROYECTO MAQUIVEIRO 21 C.A.</t>
        </is>
      </c>
      <c r="D520" s="65" t="inlineStr">
        <is>
          <t>MARTINEZ MONTES JEFFREY ENRIQUE</t>
        </is>
      </c>
      <c r="E520" s="65" t="inlineStr">
        <is>
          <t>7 días</t>
        </is>
      </c>
      <c r="F520" s="65" t="n">
        <v>5</v>
      </c>
      <c r="G520" s="65" t="inlineStr">
        <is>
          <t>Pago VES</t>
        </is>
      </c>
      <c r="H520" s="65" t="inlineStr">
        <is>
          <t>[0888] ENDUROGLOB 2T AIRE (1x12)</t>
        </is>
      </c>
      <c r="I520" s="65" t="n">
        <v>888</v>
      </c>
      <c r="J520" s="63" t="inlineStr">
        <is>
          <t>10,00</t>
        </is>
      </c>
      <c r="K520" s="63" t="inlineStr">
        <is>
          <t>99,47</t>
        </is>
      </c>
      <c r="L520" s="63" t="inlineStr">
        <is>
          <t>0,00</t>
        </is>
      </c>
      <c r="M520" s="63" t="inlineStr">
        <is>
          <t>994,70</t>
        </is>
      </c>
      <c r="N520" s="63" t="inlineStr">
        <is>
          <t>1.153,85</t>
        </is>
      </c>
      <c r="O520" s="63" t="inlineStr">
        <is>
          <t>994,70</t>
        </is>
      </c>
      <c r="P520" s="63" t="inlineStr">
        <is>
          <t>1.153,85</t>
        </is>
      </c>
      <c r="Q520" s="65" t="n"/>
      <c r="R520" s="65" t="n"/>
      <c r="S520" s="65" t="n"/>
      <c r="T520" s="65" t="n"/>
      <c r="U520" s="65" t="n"/>
      <c r="V520" s="65" t="n"/>
    </row>
    <row r="521">
      <c r="A521" s="65" t="inlineStr">
        <is>
          <t>S00652</t>
        </is>
      </c>
      <c r="B521" s="62" t="n">
        <v>46210.71579861111</v>
      </c>
      <c r="C521" s="65" t="inlineStr">
        <is>
          <t>Candy Arias</t>
        </is>
      </c>
      <c r="D521" s="65" t="inlineStr">
        <is>
          <t>BETANCOURT ROBRIGUEZ LUIS ENRRIQUE</t>
        </is>
      </c>
      <c r="E521" s="65" t="inlineStr">
        <is>
          <t>7 días</t>
        </is>
      </c>
      <c r="F521" s="65" t="n">
        <v>5</v>
      </c>
      <c r="G521" s="65" t="inlineStr">
        <is>
          <t>Pago VES</t>
        </is>
      </c>
      <c r="H521" s="65" t="inlineStr">
        <is>
          <t>[0887] MOTOCLASICO 4T SAE 20W-50 (1x12)</t>
        </is>
      </c>
      <c r="I521" s="65" t="n">
        <v>887</v>
      </c>
      <c r="J521" s="63" t="inlineStr">
        <is>
          <t>2,00</t>
        </is>
      </c>
      <c r="K521" s="63" t="inlineStr">
        <is>
          <t>90,19</t>
        </is>
      </c>
      <c r="L521" s="63" t="inlineStr">
        <is>
          <t>0,00</t>
        </is>
      </c>
      <c r="M521" s="63" t="inlineStr">
        <is>
          <t>180,38</t>
        </is>
      </c>
      <c r="N521" s="63" t="inlineStr">
        <is>
          <t>209,24</t>
        </is>
      </c>
      <c r="O521" s="63" t="inlineStr">
        <is>
          <t>319,64</t>
        </is>
      </c>
      <c r="P521" s="63" t="inlineStr">
        <is>
          <t>370,78</t>
        </is>
      </c>
      <c r="Q521" s="63" t="inlineStr">
        <is>
          <t>724,00</t>
        </is>
      </c>
      <c r="R521" s="66" t="n">
        <v>46217</v>
      </c>
      <c r="S521" s="65" t="n">
        <v>447</v>
      </c>
      <c r="T521" s="65" t="inlineStr">
        <is>
          <t>00-00000991</t>
        </is>
      </c>
      <c r="U521" s="63" t="inlineStr">
        <is>
          <t>370,77</t>
        </is>
      </c>
      <c r="V521" s="63" t="inlineStr">
        <is>
          <t>370,78</t>
        </is>
      </c>
    </row>
    <row r="522">
      <c r="A522" s="65" t="n"/>
      <c r="B522" s="65" t="n"/>
      <c r="C522" s="65" t="n"/>
      <c r="D522" s="65" t="n"/>
      <c r="E522" s="65" t="n"/>
      <c r="F522" s="65" t="n"/>
      <c r="G522" s="65" t="n"/>
      <c r="H522" s="65" t="inlineStr">
        <is>
          <t>[0093] ALTA CILINDRADA SS API SN SAE 15W-40 (1x6)</t>
        </is>
      </c>
      <c r="I522" s="65" t="n">
        <v>93</v>
      </c>
      <c r="J522" s="63" t="inlineStr">
        <is>
          <t>3,00</t>
        </is>
      </c>
      <c r="K522" s="63" t="inlineStr">
        <is>
          <t>46,42</t>
        </is>
      </c>
      <c r="L522" s="63" t="inlineStr">
        <is>
          <t>0,00</t>
        </is>
      </c>
      <c r="M522" s="63" t="inlineStr">
        <is>
          <t>139,26</t>
        </is>
      </c>
      <c r="N522" s="63" t="inlineStr">
        <is>
          <t>161,54</t>
        </is>
      </c>
      <c r="O522" s="65" t="n"/>
      <c r="P522" s="65" t="n"/>
      <c r="Q522" s="65" t="n"/>
      <c r="R522" s="65" t="n"/>
      <c r="S522" s="65" t="n"/>
      <c r="T522" s="65" t="n"/>
      <c r="U522" s="65" t="n"/>
      <c r="V522" s="65" t="n"/>
    </row>
    <row r="523">
      <c r="A523" s="65" t="inlineStr">
        <is>
          <t>S00644</t>
        </is>
      </c>
      <c r="B523" s="62" t="n">
        <v>46210.42101851852</v>
      </c>
      <c r="C523" s="65" t="inlineStr">
        <is>
          <t>CONSTRUCTORA GRANO AGREGADO, C.A</t>
        </is>
      </c>
      <c r="D523" s="65" t="inlineStr">
        <is>
          <t>Marco Romero</t>
        </is>
      </c>
      <c r="E523" s="65" t="inlineStr">
        <is>
          <t>7 días</t>
        </is>
      </c>
      <c r="F523" s="65" t="n">
        <v>5</v>
      </c>
      <c r="G523" s="65" t="inlineStr">
        <is>
          <t>Pago VES</t>
        </is>
      </c>
      <c r="H523" s="65" t="inlineStr">
        <is>
          <t>[0083] MAXIMO API CF SAE 50 (PAILA)</t>
        </is>
      </c>
      <c r="I523" s="65" t="n">
        <v>83</v>
      </c>
      <c r="J523" s="63" t="inlineStr">
        <is>
          <t>1,00</t>
        </is>
      </c>
      <c r="K523" s="63" t="inlineStr">
        <is>
          <t>112,73</t>
        </is>
      </c>
      <c r="L523" s="63" t="inlineStr">
        <is>
          <t>0,00</t>
        </is>
      </c>
      <c r="M523" s="63" t="inlineStr">
        <is>
          <t>112,73</t>
        </is>
      </c>
      <c r="N523" s="63" t="inlineStr">
        <is>
          <t>130,77</t>
        </is>
      </c>
      <c r="O523" s="63" t="inlineStr">
        <is>
          <t>445,61</t>
        </is>
      </c>
      <c r="P523" s="63" t="inlineStr">
        <is>
          <t>516,91</t>
        </is>
      </c>
      <c r="Q523" s="63" t="inlineStr">
        <is>
          <t>724,00</t>
        </is>
      </c>
      <c r="R523" s="66" t="n">
        <v>46217</v>
      </c>
      <c r="S523" s="65" t="n">
        <v>448</v>
      </c>
      <c r="T523" s="65" t="inlineStr">
        <is>
          <t>00-00000992</t>
        </is>
      </c>
      <c r="U523" s="63" t="inlineStr">
        <is>
          <t>516,89</t>
        </is>
      </c>
      <c r="V523" s="63" t="inlineStr">
        <is>
          <t>516,91</t>
        </is>
      </c>
    </row>
    <row r="524">
      <c r="A524" s="65" t="n"/>
      <c r="B524" s="65" t="n"/>
      <c r="C524" s="65" t="n"/>
      <c r="D524" s="65" t="n"/>
      <c r="E524" s="65" t="n"/>
      <c r="F524" s="65" t="n"/>
      <c r="G524" s="65" t="n"/>
      <c r="H524" s="65" t="inlineStr">
        <is>
          <t>[0144] HIDRAGLOB AW/ISO 68 (PAILA)</t>
        </is>
      </c>
      <c r="I524" s="65" t="n">
        <v>144</v>
      </c>
      <c r="J524" s="63" t="inlineStr">
        <is>
          <t>1,00</t>
        </is>
      </c>
      <c r="K524" s="63" t="inlineStr">
        <is>
          <t>94,16</t>
        </is>
      </c>
      <c r="L524" s="63" t="inlineStr">
        <is>
          <t>0,00</t>
        </is>
      </c>
      <c r="M524" s="63" t="inlineStr">
        <is>
          <t>94,16</t>
        </is>
      </c>
      <c r="N524" s="63" t="inlineStr">
        <is>
          <t>109,23</t>
        </is>
      </c>
      <c r="O524" s="65" t="n"/>
      <c r="P524" s="65" t="n"/>
      <c r="Q524" s="65" t="n"/>
      <c r="R524" s="65" t="n"/>
      <c r="S524" s="65" t="n"/>
      <c r="T524" s="65" t="n"/>
      <c r="U524" s="65" t="n"/>
      <c r="V524" s="65" t="n"/>
    </row>
    <row r="525">
      <c r="A525" s="65" t="n"/>
      <c r="B525" s="65" t="n"/>
      <c r="C525" s="65" t="n"/>
      <c r="D525" s="65" t="n"/>
      <c r="E525" s="65" t="n"/>
      <c r="F525" s="65" t="n"/>
      <c r="G525" s="65" t="n"/>
      <c r="H525" s="65" t="inlineStr">
        <is>
          <t>[0129] TRANSGLOB API GL-5 SAE 85W-140 (Paila)</t>
        </is>
      </c>
      <c r="I525" s="65" t="n">
        <v>129</v>
      </c>
      <c r="J525" s="63" t="inlineStr">
        <is>
          <t>1,00</t>
        </is>
      </c>
      <c r="K525" s="63" t="inlineStr">
        <is>
          <t>123,34</t>
        </is>
      </c>
      <c r="L525" s="63" t="inlineStr">
        <is>
          <t>0,00</t>
        </is>
      </c>
      <c r="M525" s="63" t="inlineStr">
        <is>
          <t>123,34</t>
        </is>
      </c>
      <c r="N525" s="63" t="inlineStr">
        <is>
          <t>143,07</t>
        </is>
      </c>
      <c r="O525" s="65" t="n"/>
      <c r="P525" s="65" t="n"/>
      <c r="Q525" s="65" t="n"/>
      <c r="R525" s="65" t="n"/>
      <c r="S525" s="65" t="n"/>
      <c r="T525" s="65" t="n"/>
      <c r="U525" s="65" t="n"/>
      <c r="V525" s="65" t="n"/>
    </row>
    <row r="526">
      <c r="A526" s="65" t="n"/>
      <c r="B526" s="65" t="n"/>
      <c r="C526" s="65" t="n"/>
      <c r="D526" s="65" t="n"/>
      <c r="E526" s="65" t="n"/>
      <c r="F526" s="65" t="n"/>
      <c r="G526" s="65" t="n"/>
      <c r="H526" s="65" t="inlineStr">
        <is>
          <t>[0883] GRASA GLOBAL AZUL AZ 95 (PAILA)</t>
        </is>
      </c>
      <c r="I526" s="65" t="n">
        <v>883</v>
      </c>
      <c r="J526" s="63" t="inlineStr">
        <is>
          <t>1,00</t>
        </is>
      </c>
      <c r="K526" s="63" t="inlineStr">
        <is>
          <t>115,38</t>
        </is>
      </c>
      <c r="L526" s="63" t="inlineStr">
        <is>
          <t>0,00</t>
        </is>
      </c>
      <c r="M526" s="63" t="inlineStr">
        <is>
          <t>115,38</t>
        </is>
      </c>
      <c r="N526" s="63" t="inlineStr">
        <is>
          <t>133,84</t>
        </is>
      </c>
      <c r="O526" s="65" t="n"/>
      <c r="P526" s="65" t="n"/>
      <c r="Q526" s="65" t="n"/>
      <c r="R526" s="65" t="n"/>
      <c r="S526" s="65" t="n"/>
      <c r="T526" s="65" t="n"/>
      <c r="U526" s="65" t="n"/>
      <c r="V526" s="65" t="n"/>
    </row>
    <row r="527">
      <c r="A527" s="65" t="inlineStr">
        <is>
          <t>S00643</t>
        </is>
      </c>
      <c r="B527" s="62" t="n">
        <v>46209.64596064815</v>
      </c>
      <c r="C527" s="65" t="inlineStr">
        <is>
          <t>INVERSIONES ONASSIS XXI C.A</t>
        </is>
      </c>
      <c r="D527" s="65" t="inlineStr">
        <is>
          <t>PEREZ DIAZ ANGEL DE DIOS</t>
        </is>
      </c>
      <c r="E527" s="65" t="inlineStr">
        <is>
          <t>30 días</t>
        </is>
      </c>
      <c r="F527" s="65" t="n">
        <v>5</v>
      </c>
      <c r="G527" s="65" t="inlineStr">
        <is>
          <t>Pago VES</t>
        </is>
      </c>
      <c r="H527" s="65" t="inlineStr">
        <is>
          <t>[0880] CLASICO API SL SAE 15W-40 (1x12)</t>
        </is>
      </c>
      <c r="I527" s="65" t="n">
        <v>880</v>
      </c>
      <c r="J527" s="63" t="inlineStr">
        <is>
          <t>3,00</t>
        </is>
      </c>
      <c r="K527" s="63" t="inlineStr">
        <is>
          <t>86,21</t>
        </is>
      </c>
      <c r="L527" s="63" t="inlineStr">
        <is>
          <t>0,00</t>
        </is>
      </c>
      <c r="M527" s="63" t="inlineStr">
        <is>
          <t>258,63</t>
        </is>
      </c>
      <c r="N527" s="63" t="inlineStr">
        <is>
          <t>300,01</t>
        </is>
      </c>
      <c r="O527" s="63" t="inlineStr">
        <is>
          <t>294,44</t>
        </is>
      </c>
      <c r="P527" s="63" t="inlineStr">
        <is>
          <t>341,55</t>
        </is>
      </c>
      <c r="Q527" s="63" t="inlineStr">
        <is>
          <t>724,00</t>
        </is>
      </c>
      <c r="R527" s="66" t="n">
        <v>46217</v>
      </c>
      <c r="S527" s="65" t="n">
        <v>449</v>
      </c>
      <c r="T527" s="65" t="inlineStr">
        <is>
          <t>00-00000993</t>
        </is>
      </c>
      <c r="U527" s="63" t="inlineStr">
        <is>
          <t>341,53</t>
        </is>
      </c>
      <c r="V527" s="63" t="inlineStr">
        <is>
          <t>341,55</t>
        </is>
      </c>
    </row>
    <row r="528">
      <c r="A528" s="65" t="n"/>
      <c r="B528" s="65" t="n"/>
      <c r="C528" s="65" t="n"/>
      <c r="D528" s="65" t="n"/>
      <c r="E528" s="65" t="n"/>
      <c r="F528" s="65" t="n"/>
      <c r="G528" s="65" t="n"/>
      <c r="H528" s="65" t="inlineStr">
        <is>
          <t>[0761] LIGA PARA FRENOS DOT-3 (1x12)</t>
        </is>
      </c>
      <c r="I528" s="65" t="n">
        <v>761</v>
      </c>
      <c r="J528" s="63" t="inlineStr">
        <is>
          <t>1,00</t>
        </is>
      </c>
      <c r="K528" s="63" t="inlineStr">
        <is>
          <t>35,81</t>
        </is>
      </c>
      <c r="L528" s="63" t="inlineStr">
        <is>
          <t>0,00</t>
        </is>
      </c>
      <c r="M528" s="63" t="inlineStr">
        <is>
          <t>35,81</t>
        </is>
      </c>
      <c r="N528" s="63" t="inlineStr">
        <is>
          <t>41,54</t>
        </is>
      </c>
      <c r="O528" s="65" t="n"/>
      <c r="P528" s="65" t="n"/>
      <c r="Q528" s="65" t="n"/>
      <c r="R528" s="65" t="n"/>
      <c r="S528" s="65" t="n"/>
      <c r="T528" s="65" t="n"/>
      <c r="U528" s="65" t="n"/>
      <c r="V528" s="65" t="n"/>
    </row>
    <row r="529">
      <c r="A529" s="65" t="inlineStr">
        <is>
          <t>S00640</t>
        </is>
      </c>
      <c r="B529" s="62" t="n">
        <v>46209.63532407407</v>
      </c>
      <c r="C529" s="65" t="inlineStr">
        <is>
          <t>EMPRENDIMIENTO IRMA RODRIGUEZ 6</t>
        </is>
      </c>
      <c r="D529" s="65" t="inlineStr">
        <is>
          <t>TORO ARDILES DAVID JOSE</t>
        </is>
      </c>
      <c r="E529" s="65" t="inlineStr">
        <is>
          <t>7 días</t>
        </is>
      </c>
      <c r="F529" s="65" t="n">
        <v>5</v>
      </c>
      <c r="G529" s="65" t="inlineStr">
        <is>
          <t>Pago VES</t>
        </is>
      </c>
      <c r="H529" s="65" t="inlineStr">
        <is>
          <t>[0878] SS EXTRA PROTECCION API SN SAE 20W-50 (1x12)</t>
        </is>
      </c>
      <c r="I529" s="65" t="n">
        <v>878</v>
      </c>
      <c r="J529" s="63" t="inlineStr">
        <is>
          <t>2,00</t>
        </is>
      </c>
      <c r="K529" s="63" t="inlineStr">
        <is>
          <t>100,80</t>
        </is>
      </c>
      <c r="L529" s="63" t="inlineStr">
        <is>
          <t>0,00</t>
        </is>
      </c>
      <c r="M529" s="63" t="inlineStr">
        <is>
          <t>201,60</t>
        </is>
      </c>
      <c r="N529" s="63" t="inlineStr">
        <is>
          <t>233,86</t>
        </is>
      </c>
      <c r="O529" s="63" t="inlineStr">
        <is>
          <t>427,06</t>
        </is>
      </c>
      <c r="P529" s="63" t="inlineStr">
        <is>
          <t>495,39</t>
        </is>
      </c>
      <c r="Q529" s="63" t="inlineStr">
        <is>
          <t>724,00</t>
        </is>
      </c>
      <c r="R529" s="66" t="n">
        <v>46217</v>
      </c>
      <c r="S529" s="65" t="n">
        <v>450</v>
      </c>
      <c r="T529" s="65" t="inlineStr">
        <is>
          <t>00-00000994</t>
        </is>
      </c>
      <c r="U529" s="63" t="inlineStr">
        <is>
          <t>495,37</t>
        </is>
      </c>
      <c r="V529" s="63" t="inlineStr">
        <is>
          <t>495,39</t>
        </is>
      </c>
    </row>
    <row r="530">
      <c r="A530" s="65" t="n"/>
      <c r="B530" s="65" t="n"/>
      <c r="C530" s="65" t="n"/>
      <c r="D530" s="65" t="n"/>
      <c r="E530" s="65" t="n"/>
      <c r="F530" s="65" t="n"/>
      <c r="G530" s="65" t="n"/>
      <c r="H530" s="65" t="inlineStr">
        <is>
          <t>[0083] MAXIMO API CF SAE 50 (PAILA)</t>
        </is>
      </c>
      <c r="I530" s="65" t="n">
        <v>83</v>
      </c>
      <c r="J530" s="63" t="inlineStr">
        <is>
          <t>2,00</t>
        </is>
      </c>
      <c r="K530" s="63" t="inlineStr">
        <is>
          <t>112,73</t>
        </is>
      </c>
      <c r="L530" s="63" t="inlineStr">
        <is>
          <t>0,00</t>
        </is>
      </c>
      <c r="M530" s="63" t="inlineStr">
        <is>
          <t>225,46</t>
        </is>
      </c>
      <c r="N530" s="63" t="inlineStr">
        <is>
          <t>261,53</t>
        </is>
      </c>
      <c r="O530" s="65" t="n"/>
      <c r="P530" s="65" t="n"/>
      <c r="Q530" s="65" t="n"/>
      <c r="R530" s="65" t="n"/>
      <c r="S530" s="65" t="n"/>
      <c r="T530" s="65" t="n"/>
      <c r="U530" s="65" t="n"/>
      <c r="V530" s="65" t="n"/>
    </row>
    <row r="531">
      <c r="A531" s="65" t="inlineStr">
        <is>
          <t>S00641</t>
        </is>
      </c>
      <c r="B531" s="62" t="n">
        <v>46209.635</v>
      </c>
      <c r="C531" s="65" t="inlineStr">
        <is>
          <t>EMPRENDIMIENTO IRMA RODRIGUEZ 6</t>
        </is>
      </c>
      <c r="D531" s="65" t="inlineStr">
        <is>
          <t>TORO ARDILES DAVID JOSE</t>
        </is>
      </c>
      <c r="E531" s="65" t="inlineStr">
        <is>
          <t>7 días</t>
        </is>
      </c>
      <c r="F531" s="65" t="n">
        <v>5</v>
      </c>
      <c r="G531" s="65" t="inlineStr">
        <is>
          <t>Pago VES</t>
        </is>
      </c>
      <c r="H531" s="65" t="inlineStr">
        <is>
          <t>[0602] SINOCO SAE 50 (PAILA)</t>
        </is>
      </c>
      <c r="I531" s="65" t="n">
        <v>602</v>
      </c>
      <c r="J531" s="63" t="inlineStr">
        <is>
          <t>2,00</t>
        </is>
      </c>
      <c r="K531" s="63" t="inlineStr">
        <is>
          <t>96,82</t>
        </is>
      </c>
      <c r="L531" s="63" t="inlineStr">
        <is>
          <t>0,00</t>
        </is>
      </c>
      <c r="M531" s="63" t="inlineStr">
        <is>
          <t>193,64</t>
        </is>
      </c>
      <c r="N531" s="63" t="inlineStr">
        <is>
          <t>224,62</t>
        </is>
      </c>
      <c r="O531" s="63" t="inlineStr">
        <is>
          <t>334,22</t>
        </is>
      </c>
      <c r="P531" s="63" t="inlineStr">
        <is>
          <t>387,69</t>
        </is>
      </c>
      <c r="Q531" s="63" t="inlineStr">
        <is>
          <t>724,00</t>
        </is>
      </c>
      <c r="R531" s="66" t="n">
        <v>46217</v>
      </c>
      <c r="S531" s="65" t="n">
        <v>451</v>
      </c>
      <c r="T531" s="65" t="inlineStr">
        <is>
          <t>00-00000995</t>
        </is>
      </c>
      <c r="U531" s="63" t="inlineStr">
        <is>
          <t>387,69</t>
        </is>
      </c>
      <c r="V531" s="63" t="inlineStr">
        <is>
          <t>387,70</t>
        </is>
      </c>
    </row>
    <row r="532">
      <c r="A532" s="65" t="n"/>
      <c r="B532" s="65" t="n"/>
      <c r="C532" s="65" t="n"/>
      <c r="D532" s="65" t="n"/>
      <c r="E532" s="65" t="n"/>
      <c r="F532" s="65" t="n"/>
      <c r="G532" s="65" t="n"/>
      <c r="H532" s="65" t="inlineStr">
        <is>
          <t>[0779] SINOCO SAE 20W-50 (1x12)</t>
        </is>
      </c>
      <c r="I532" s="65" t="n">
        <v>779</v>
      </c>
      <c r="J532" s="63" t="inlineStr">
        <is>
          <t>2,00</t>
        </is>
      </c>
      <c r="K532" s="63" t="inlineStr">
        <is>
          <t>70,29</t>
        </is>
      </c>
      <c r="L532" s="63" t="inlineStr">
        <is>
          <t>0,00</t>
        </is>
      </c>
      <c r="M532" s="63" t="inlineStr">
        <is>
          <t>140,58</t>
        </is>
      </c>
      <c r="N532" s="63" t="inlineStr">
        <is>
          <t>163,07</t>
        </is>
      </c>
      <c r="O532" s="65" t="n"/>
      <c r="P532" s="65" t="n"/>
      <c r="Q532" s="65" t="n"/>
      <c r="R532" s="65" t="n"/>
      <c r="S532" s="65" t="n"/>
      <c r="T532" s="65" t="n"/>
      <c r="U532" s="65" t="n"/>
      <c r="V532" s="65" t="n"/>
    </row>
    <row r="533">
      <c r="A533" s="65" t="inlineStr">
        <is>
          <t>S00639</t>
        </is>
      </c>
      <c r="B533" s="62" t="n">
        <v>46209.58969907407</v>
      </c>
      <c r="C533" s="65" t="inlineStr">
        <is>
          <t>MOTOS Y REPUESTOS DOS RUEDAS, C.A.</t>
        </is>
      </c>
      <c r="D533" s="65" t="inlineStr">
        <is>
          <t>TORO ARDILES DAVID JOSE</t>
        </is>
      </c>
      <c r="E533" s="65" t="inlineStr">
        <is>
          <t>7 días</t>
        </is>
      </c>
      <c r="F533" s="65" t="n">
        <v>5</v>
      </c>
      <c r="G533" s="65" t="inlineStr">
        <is>
          <t>Pago VES</t>
        </is>
      </c>
      <c r="H533" s="65" t="inlineStr">
        <is>
          <t>[0761] LIGA PARA FRENOS DOT-3 (1x12)</t>
        </is>
      </c>
      <c r="I533" s="65" t="n">
        <v>761</v>
      </c>
      <c r="J533" s="63" t="inlineStr">
        <is>
          <t>1,00</t>
        </is>
      </c>
      <c r="K533" s="63" t="inlineStr">
        <is>
          <t>35,81</t>
        </is>
      </c>
      <c r="L533" s="63" t="inlineStr">
        <is>
          <t>0,00</t>
        </is>
      </c>
      <c r="M533" s="63" t="inlineStr">
        <is>
          <t>35,81</t>
        </is>
      </c>
      <c r="N533" s="63" t="inlineStr">
        <is>
          <t>41,54</t>
        </is>
      </c>
      <c r="O533" s="63" t="inlineStr">
        <is>
          <t>76,92</t>
        </is>
      </c>
      <c r="P533" s="63" t="inlineStr">
        <is>
          <t>89,23</t>
        </is>
      </c>
      <c r="Q533" s="63" t="inlineStr">
        <is>
          <t>724,00</t>
        </is>
      </c>
      <c r="R533" s="66" t="n">
        <v>46217</v>
      </c>
      <c r="S533" s="65" t="n">
        <v>452</v>
      </c>
      <c r="T533" s="65" t="inlineStr">
        <is>
          <t>00-00000996</t>
        </is>
      </c>
      <c r="U533" s="63" t="inlineStr">
        <is>
          <t>89,21</t>
        </is>
      </c>
      <c r="V533" s="63" t="inlineStr">
        <is>
          <t>89,23</t>
        </is>
      </c>
    </row>
    <row r="534">
      <c r="A534" s="65" t="n"/>
      <c r="B534" s="65" t="n"/>
      <c r="C534" s="65" t="n"/>
      <c r="D534" s="65" t="n"/>
      <c r="E534" s="65" t="n"/>
      <c r="F534" s="65" t="n"/>
      <c r="G534" s="65" t="n"/>
      <c r="H534" s="65" t="inlineStr">
        <is>
          <t>[0775] LIGA PARA FRENOS DOT-4 (1X12)</t>
        </is>
      </c>
      <c r="I534" s="65" t="n">
        <v>775</v>
      </c>
      <c r="J534" s="63" t="inlineStr">
        <is>
          <t>1,00</t>
        </is>
      </c>
      <c r="K534" s="63" t="inlineStr">
        <is>
          <t>41,11</t>
        </is>
      </c>
      <c r="L534" s="63" t="inlineStr">
        <is>
          <t>0,00</t>
        </is>
      </c>
      <c r="M534" s="63" t="inlineStr">
        <is>
          <t>41,11</t>
        </is>
      </c>
      <c r="N534" s="63" t="inlineStr">
        <is>
          <t>47,69</t>
        </is>
      </c>
      <c r="O534" s="65" t="n"/>
      <c r="P534" s="65" t="n"/>
      <c r="Q534" s="65" t="n"/>
      <c r="R534" s="65" t="n"/>
      <c r="S534" s="65" t="n"/>
      <c r="T534" s="65" t="n"/>
      <c r="U534" s="65" t="n"/>
      <c r="V534" s="65" t="n"/>
    </row>
    <row r="535">
      <c r="A535" s="65" t="inlineStr">
        <is>
          <t>S00634</t>
        </is>
      </c>
      <c r="B535" s="62" t="n">
        <v>46209.47431712963</v>
      </c>
      <c r="C535" s="65" t="inlineStr">
        <is>
          <t>E&amp;M CAR SHOP C.A</t>
        </is>
      </c>
      <c r="D535" s="65" t="inlineStr">
        <is>
          <t>BETANCOURT ROBRIGUEZ LUIS ENRRIQUE</t>
        </is>
      </c>
      <c r="E535" s="65" t="inlineStr">
        <is>
          <t>7 días</t>
        </is>
      </c>
      <c r="F535" s="65" t="n">
        <v>5</v>
      </c>
      <c r="G535" s="65" t="inlineStr">
        <is>
          <t>Pago VES</t>
        </is>
      </c>
      <c r="H535" s="65" t="inlineStr">
        <is>
          <t>[0602] SINOCO SAE 50 (PAILA)</t>
        </is>
      </c>
      <c r="I535" s="65" t="n">
        <v>602</v>
      </c>
      <c r="J535" s="63" t="inlineStr">
        <is>
          <t>10,00</t>
        </is>
      </c>
      <c r="K535" s="63" t="inlineStr">
        <is>
          <t>96,82</t>
        </is>
      </c>
      <c r="L535" s="63" t="inlineStr">
        <is>
          <t>0,00</t>
        </is>
      </c>
      <c r="M535" s="63" t="inlineStr">
        <is>
          <t>968,20</t>
        </is>
      </c>
      <c r="N535" s="63" t="inlineStr">
        <is>
          <t>1.123,11</t>
        </is>
      </c>
      <c r="O535" s="63" t="inlineStr">
        <is>
          <t>968,20</t>
        </is>
      </c>
      <c r="P535" s="63" t="inlineStr">
        <is>
          <t>1.123,11</t>
        </is>
      </c>
      <c r="Q535" s="63" t="inlineStr">
        <is>
          <t>724,00</t>
        </is>
      </c>
      <c r="R535" s="66" t="n">
        <v>46217</v>
      </c>
      <c r="S535" s="65" t="n">
        <v>453</v>
      </c>
      <c r="T535" s="65" t="inlineStr">
        <is>
          <t>00-00000997</t>
        </is>
      </c>
      <c r="U535" s="63" t="inlineStr">
        <is>
          <t>1.123,10</t>
        </is>
      </c>
      <c r="V535" s="63" t="inlineStr">
        <is>
          <t>1.123,11</t>
        </is>
      </c>
    </row>
    <row r="536">
      <c r="A536" s="65" t="inlineStr">
        <is>
          <t>S00626</t>
        </is>
      </c>
      <c r="B536" s="62" t="n">
        <v>46205.72096064815</v>
      </c>
      <c r="C536" s="65" t="inlineStr">
        <is>
          <t>Martin Rafael Gil Cabello</t>
        </is>
      </c>
      <c r="D536" s="65" t="inlineStr">
        <is>
          <t>MARTINEZ MONTES JEFFREY ENRIQUE</t>
        </is>
      </c>
      <c r="E536" s="65" t="inlineStr">
        <is>
          <t>7 días</t>
        </is>
      </c>
      <c r="F536" s="65" t="n">
        <v>5</v>
      </c>
      <c r="G536" s="65" t="inlineStr">
        <is>
          <t>Pago VES</t>
        </is>
      </c>
      <c r="H536" s="65" t="inlineStr">
        <is>
          <t>[0602] SINOCO SAE 50 (PAILA)</t>
        </is>
      </c>
      <c r="I536" s="65" t="n">
        <v>602</v>
      </c>
      <c r="J536" s="63" t="inlineStr">
        <is>
          <t>1,00</t>
        </is>
      </c>
      <c r="K536" s="63" t="inlineStr">
        <is>
          <t>96,82</t>
        </is>
      </c>
      <c r="L536" s="63" t="inlineStr">
        <is>
          <t>11,95</t>
        </is>
      </c>
      <c r="M536" s="63" t="inlineStr">
        <is>
          <t>85,25</t>
        </is>
      </c>
      <c r="N536" s="63" t="inlineStr">
        <is>
          <t>98,89</t>
        </is>
      </c>
      <c r="O536" s="63" t="inlineStr">
        <is>
          <t>116,78</t>
        </is>
      </c>
      <c r="P536" s="63" t="inlineStr">
        <is>
          <t>135,46</t>
        </is>
      </c>
      <c r="Q536" s="63" t="inlineStr">
        <is>
          <t>724,00</t>
        </is>
      </c>
      <c r="R536" s="66" t="n">
        <v>46217</v>
      </c>
      <c r="S536" s="65" t="n">
        <v>454</v>
      </c>
      <c r="T536" s="65" t="inlineStr">
        <is>
          <t>00-00000998</t>
        </is>
      </c>
      <c r="U536" s="63" t="inlineStr">
        <is>
          <t>135,46</t>
        </is>
      </c>
      <c r="V536" s="63" t="inlineStr">
        <is>
          <t>135,47</t>
        </is>
      </c>
    </row>
    <row r="537">
      <c r="A537" s="65" t="n"/>
      <c r="B537" s="65" t="n"/>
      <c r="C537" s="65" t="n"/>
      <c r="D537" s="65" t="n"/>
      <c r="E537" s="65" t="n"/>
      <c r="F537" s="65" t="n"/>
      <c r="G537" s="65" t="n"/>
      <c r="H537" s="65" t="inlineStr">
        <is>
          <t>[0761] LIGA PARA FRENOS DOT-3 (1x12)</t>
        </is>
      </c>
      <c r="I537" s="65" t="n">
        <v>761</v>
      </c>
      <c r="J537" s="63" t="inlineStr">
        <is>
          <t>1,00</t>
        </is>
      </c>
      <c r="K537" s="63" t="inlineStr">
        <is>
          <t>35,81</t>
        </is>
      </c>
      <c r="L537" s="63" t="inlineStr">
        <is>
          <t>11,95</t>
        </is>
      </c>
      <c r="M537" s="63" t="inlineStr">
        <is>
          <t>31,53</t>
        </is>
      </c>
      <c r="N537" s="63" t="inlineStr">
        <is>
          <t>36,57</t>
        </is>
      </c>
      <c r="O537" s="65" t="n"/>
      <c r="P537" s="65" t="n"/>
      <c r="Q537" s="65" t="n"/>
      <c r="R537" s="65" t="n"/>
      <c r="S537" s="65" t="n"/>
      <c r="T537" s="65" t="n"/>
      <c r="U537" s="65" t="n"/>
      <c r="V537" s="65" t="n"/>
    </row>
    <row r="538">
      <c r="A538" s="65" t="inlineStr">
        <is>
          <t>S00627</t>
        </is>
      </c>
      <c r="B538" s="62" t="n">
        <v>46205.72039351852</v>
      </c>
      <c r="C538" s="65" t="inlineStr">
        <is>
          <t>Moto Repuestos Sanz 11. C.A.</t>
        </is>
      </c>
      <c r="D538" s="65" t="inlineStr">
        <is>
          <t>MARTINEZ MONTES JEFFREY ENRIQUE</t>
        </is>
      </c>
      <c r="E538" s="65" t="inlineStr">
        <is>
          <t>7 días</t>
        </is>
      </c>
      <c r="F538" s="65" t="n">
        <v>5</v>
      </c>
      <c r="G538" s="65" t="inlineStr">
        <is>
          <t>Pago VES</t>
        </is>
      </c>
      <c r="H538" s="65" t="inlineStr">
        <is>
          <t>[0887] MOTOCLASICO 4T SAE 20W-50 (1x12)</t>
        </is>
      </c>
      <c r="I538" s="65" t="n">
        <v>887</v>
      </c>
      <c r="J538" s="63" t="inlineStr">
        <is>
          <t>1,00</t>
        </is>
      </c>
      <c r="K538" s="63" t="inlineStr">
        <is>
          <t>90,19</t>
        </is>
      </c>
      <c r="L538" s="63" t="inlineStr">
        <is>
          <t>11,95</t>
        </is>
      </c>
      <c r="M538" s="63" t="inlineStr">
        <is>
          <t>79,41</t>
        </is>
      </c>
      <c r="N538" s="63" t="inlineStr">
        <is>
          <t>92,12</t>
        </is>
      </c>
      <c r="O538" s="63" t="inlineStr">
        <is>
          <t>79,41</t>
        </is>
      </c>
      <c r="P538" s="63" t="inlineStr">
        <is>
          <t>92,12</t>
        </is>
      </c>
      <c r="Q538" s="63" t="inlineStr">
        <is>
          <t>724,00</t>
        </is>
      </c>
      <c r="R538" s="66" t="n">
        <v>46217</v>
      </c>
      <c r="S538" s="65" t="n">
        <v>455</v>
      </c>
      <c r="T538" s="65" t="inlineStr">
        <is>
          <t>00-00000999</t>
        </is>
      </c>
      <c r="U538" s="63" t="inlineStr">
        <is>
          <t>92,11</t>
        </is>
      </c>
      <c r="V538" s="63" t="inlineStr">
        <is>
          <t>92,12</t>
        </is>
      </c>
    </row>
    <row r="539">
      <c r="A539" s="65" t="inlineStr">
        <is>
          <t>S00628</t>
        </is>
      </c>
      <c r="B539" s="62" t="n">
        <v>46205.71984953704</v>
      </c>
      <c r="C539" s="65" t="inlineStr">
        <is>
          <t>Wilfredo Antonio Herrera</t>
        </is>
      </c>
      <c r="D539" s="65" t="inlineStr">
        <is>
          <t>MARTINEZ MONTES JEFFREY ENRIQUE</t>
        </is>
      </c>
      <c r="E539" s="65" t="inlineStr">
        <is>
          <t>7 días</t>
        </is>
      </c>
      <c r="F539" s="65" t="n">
        <v>5</v>
      </c>
      <c r="G539" s="65" t="inlineStr">
        <is>
          <t>Pago VES</t>
        </is>
      </c>
      <c r="H539" s="65" t="inlineStr">
        <is>
          <t>[0603] SINOCO SAE 50 (Tambor)</t>
        </is>
      </c>
      <c r="I539" s="65" t="n">
        <v>603</v>
      </c>
      <c r="J539" s="63" t="inlineStr">
        <is>
          <t>1,00</t>
        </is>
      </c>
      <c r="K539" s="63" t="inlineStr">
        <is>
          <t>925,73</t>
        </is>
      </c>
      <c r="L539" s="63" t="inlineStr">
        <is>
          <t>11,95</t>
        </is>
      </c>
      <c r="M539" s="63" t="inlineStr">
        <is>
          <t>815,11</t>
        </is>
      </c>
      <c r="N539" s="63" t="inlineStr">
        <is>
          <t>945,53</t>
        </is>
      </c>
      <c r="O539" s="63" t="inlineStr">
        <is>
          <t>1.028,80</t>
        </is>
      </c>
      <c r="P539" s="63" t="inlineStr">
        <is>
          <t>1.193,42</t>
        </is>
      </c>
      <c r="Q539" s="65" t="n"/>
      <c r="R539" s="65" t="n"/>
      <c r="S539" s="65" t="n"/>
      <c r="T539" s="65" t="n"/>
      <c r="U539" s="65" t="n"/>
      <c r="V539" s="65" t="n"/>
    </row>
    <row r="540">
      <c r="A540" s="65" t="n"/>
      <c r="B540" s="65" t="n"/>
      <c r="C540" s="65" t="n"/>
      <c r="D540" s="65" t="n"/>
      <c r="E540" s="65" t="n"/>
      <c r="F540" s="65" t="n"/>
      <c r="G540" s="65" t="n"/>
      <c r="H540" s="65" t="inlineStr">
        <is>
          <t>[0762] LIGA PARA FRENOS DOT-3 (1x6)</t>
        </is>
      </c>
      <c r="I540" s="65" t="n">
        <v>762</v>
      </c>
      <c r="J540" s="63" t="inlineStr">
        <is>
          <t>1,00</t>
        </is>
      </c>
      <c r="K540" s="63" t="inlineStr">
        <is>
          <t>57,03</t>
        </is>
      </c>
      <c r="L540" s="63" t="inlineStr">
        <is>
          <t>11,95</t>
        </is>
      </c>
      <c r="M540" s="63" t="inlineStr">
        <is>
          <t>50,21</t>
        </is>
      </c>
      <c r="N540" s="63" t="inlineStr">
        <is>
          <t>58,24</t>
        </is>
      </c>
      <c r="O540" s="65" t="n"/>
      <c r="P540" s="65" t="n"/>
      <c r="Q540" s="65" t="n"/>
      <c r="R540" s="65" t="n"/>
      <c r="S540" s="65" t="n"/>
      <c r="T540" s="65" t="n"/>
      <c r="U540" s="65" t="n"/>
      <c r="V540" s="65" t="n"/>
    </row>
    <row r="541">
      <c r="A541" s="65" t="n"/>
      <c r="B541" s="65" t="n"/>
      <c r="C541" s="65" t="n"/>
      <c r="D541" s="65" t="n"/>
      <c r="E541" s="65" t="n"/>
      <c r="F541" s="65" t="n"/>
      <c r="G541" s="65" t="n"/>
      <c r="H541" s="65" t="inlineStr">
        <is>
          <t>[0774] LIGA PARA FRENOS DOT-4 (1X6)</t>
        </is>
      </c>
      <c r="I541" s="65" t="n">
        <v>774</v>
      </c>
      <c r="J541" s="63" t="inlineStr">
        <is>
          <t>1,00</t>
        </is>
      </c>
      <c r="K541" s="63" t="inlineStr">
        <is>
          <t>64,99</t>
        </is>
      </c>
      <c r="L541" s="63" t="inlineStr">
        <is>
          <t>11,95</t>
        </is>
      </c>
      <c r="M541" s="63" t="inlineStr">
        <is>
          <t>57,22</t>
        </is>
      </c>
      <c r="N541" s="63" t="inlineStr">
        <is>
          <t>66,38</t>
        </is>
      </c>
      <c r="O541" s="65" t="n"/>
      <c r="P541" s="65" t="n"/>
      <c r="Q541" s="65" t="n"/>
      <c r="R541" s="65" t="n"/>
      <c r="S541" s="65" t="n"/>
      <c r="T541" s="65" t="n"/>
      <c r="U541" s="65" t="n"/>
      <c r="V541" s="65" t="n"/>
    </row>
    <row r="542">
      <c r="A542" s="65" t="n"/>
      <c r="B542" s="65" t="n"/>
      <c r="C542" s="65" t="n"/>
      <c r="D542" s="65" t="n"/>
      <c r="E542" s="65" t="n"/>
      <c r="F542" s="65" t="n"/>
      <c r="G542" s="65" t="n"/>
      <c r="H542" s="65" t="inlineStr">
        <is>
          <t>[0789] REFRIGERANTE GLOBAL VERDE (1X3)</t>
        </is>
      </c>
      <c r="I542" s="65" t="n">
        <v>789</v>
      </c>
      <c r="J542" s="63" t="inlineStr">
        <is>
          <t>1,00</t>
        </is>
      </c>
      <c r="K542" s="63" t="inlineStr">
        <is>
          <t>34,48</t>
        </is>
      </c>
      <c r="L542" s="63" t="inlineStr">
        <is>
          <t>11,95</t>
        </is>
      </c>
      <c r="M542" s="63" t="inlineStr">
        <is>
          <t>30,36</t>
        </is>
      </c>
      <c r="N542" s="63" t="inlineStr">
        <is>
          <t>35,22</t>
        </is>
      </c>
      <c r="O542" s="65" t="n"/>
      <c r="P542" s="65" t="n"/>
      <c r="Q542" s="65" t="n"/>
      <c r="R542" s="65" t="n"/>
      <c r="S542" s="65" t="n"/>
      <c r="T542" s="65" t="n"/>
      <c r="U542" s="65" t="n"/>
      <c r="V542" s="65" t="n"/>
    </row>
    <row r="543">
      <c r="A543" s="65" t="n"/>
      <c r="B543" s="65" t="n"/>
      <c r="C543" s="65" t="n"/>
      <c r="D543" s="65" t="n"/>
      <c r="E543" s="65" t="n"/>
      <c r="F543" s="65" t="n"/>
      <c r="G543" s="65" t="n"/>
      <c r="H543" s="65" t="inlineStr">
        <is>
          <t>[0792] REFRIGERANTE GLOBAL ROJO (1X3)</t>
        </is>
      </c>
      <c r="I543" s="65" t="n">
        <v>792</v>
      </c>
      <c r="J543" s="63" t="inlineStr">
        <is>
          <t>1,00</t>
        </is>
      </c>
      <c r="K543" s="63" t="inlineStr">
        <is>
          <t>34,48</t>
        </is>
      </c>
      <c r="L543" s="63" t="inlineStr">
        <is>
          <t>11,95</t>
        </is>
      </c>
      <c r="M543" s="63" t="inlineStr">
        <is>
          <t>30,36</t>
        </is>
      </c>
      <c r="N543" s="63" t="inlineStr">
        <is>
          <t>35,22</t>
        </is>
      </c>
      <c r="O543" s="65" t="n"/>
      <c r="P543" s="65" t="n"/>
      <c r="Q543" s="65" t="n"/>
      <c r="R543" s="65" t="n"/>
      <c r="S543" s="65" t="n"/>
      <c r="T543" s="65" t="n"/>
      <c r="U543" s="65" t="n"/>
      <c r="V543" s="65" t="n"/>
    </row>
    <row r="544">
      <c r="A544" s="65" t="n"/>
      <c r="B544" s="65" t="n"/>
      <c r="C544" s="65" t="n"/>
      <c r="D544" s="65" t="n"/>
      <c r="E544" s="65" t="n"/>
      <c r="F544" s="65" t="n"/>
      <c r="G544" s="65" t="n"/>
      <c r="H544" s="65" t="inlineStr">
        <is>
          <t>[0795] REFRIGERANTE GLOBAL ORANGE PREMIUM 50-50 CONCENTRADO (1x3)</t>
        </is>
      </c>
      <c r="I544" s="65" t="n">
        <v>795</v>
      </c>
      <c r="J544" s="63" t="inlineStr">
        <is>
          <t>1,00</t>
        </is>
      </c>
      <c r="K544" s="63" t="inlineStr">
        <is>
          <t>51,72</t>
        </is>
      </c>
      <c r="L544" s="63" t="inlineStr">
        <is>
          <t>11,95</t>
        </is>
      </c>
      <c r="M544" s="63" t="inlineStr">
        <is>
          <t>45,54</t>
        </is>
      </c>
      <c r="N544" s="63" t="inlineStr">
        <is>
          <t>52,83</t>
        </is>
      </c>
      <c r="O544" s="65" t="n"/>
      <c r="P544" s="65" t="n"/>
      <c r="Q544" s="65" t="n"/>
      <c r="R544" s="65" t="n"/>
      <c r="S544" s="65" t="n"/>
      <c r="T544" s="65" t="n"/>
      <c r="U544" s="65" t="n"/>
      <c r="V544" s="65" t="n"/>
    </row>
    <row r="545">
      <c r="A545" s="65" t="inlineStr">
        <is>
          <t>S00629</t>
        </is>
      </c>
      <c r="B545" s="62" t="n">
        <v>46205.71967592592</v>
      </c>
      <c r="C545" s="65" t="inlineStr">
        <is>
          <t>emprendimiento Miguel barrolleta</t>
        </is>
      </c>
      <c r="D545" s="65" t="inlineStr">
        <is>
          <t>LOPEZ ANTUNEZ ANDERSON JOSE</t>
        </is>
      </c>
      <c r="E545" s="65" t="inlineStr">
        <is>
          <t>15 días</t>
        </is>
      </c>
      <c r="F545" s="65" t="n">
        <v>5</v>
      </c>
      <c r="G545" s="65" t="inlineStr">
        <is>
          <t>Pago VES</t>
        </is>
      </c>
      <c r="H545" s="65" t="inlineStr">
        <is>
          <t>[0779] SINOCO SAE 20W-50 (1x12)</t>
        </is>
      </c>
      <c r="I545" s="65" t="n">
        <v>779</v>
      </c>
      <c r="J545" s="63" t="inlineStr">
        <is>
          <t>2,00</t>
        </is>
      </c>
      <c r="K545" s="63" t="inlineStr">
        <is>
          <t>70,29</t>
        </is>
      </c>
      <c r="L545" s="63" t="inlineStr">
        <is>
          <t>11,95</t>
        </is>
      </c>
      <c r="M545" s="63" t="inlineStr">
        <is>
          <t>123,78</t>
        </is>
      </c>
      <c r="N545" s="63" t="inlineStr">
        <is>
          <t>143,58</t>
        </is>
      </c>
      <c r="O545" s="63" t="inlineStr">
        <is>
          <t>123,78</t>
        </is>
      </c>
      <c r="P545" s="63" t="inlineStr">
        <is>
          <t>143,58</t>
        </is>
      </c>
      <c r="Q545" s="63" t="inlineStr">
        <is>
          <t>724,00</t>
        </is>
      </c>
      <c r="R545" s="66" t="n">
        <v>46217</v>
      </c>
      <c r="S545" s="65" t="n">
        <v>456</v>
      </c>
      <c r="T545" s="65" t="inlineStr">
        <is>
          <t>00-00001000</t>
        </is>
      </c>
      <c r="U545" s="63" t="inlineStr">
        <is>
          <t>143,58</t>
        </is>
      </c>
      <c r="V545" s="63" t="inlineStr">
        <is>
          <t>143,59</t>
        </is>
      </c>
    </row>
    <row r="546">
      <c r="A546" s="65" t="inlineStr">
        <is>
          <t>S00630</t>
        </is>
      </c>
      <c r="B546" s="62" t="n">
        <v>46205.71920138889</v>
      </c>
      <c r="C546" s="65" t="inlineStr">
        <is>
          <t>misaelcars 77</t>
        </is>
      </c>
      <c r="D546" s="65" t="inlineStr">
        <is>
          <t>LOPEZ ANTUNEZ ANDERSON JOSE</t>
        </is>
      </c>
      <c r="E546" s="65" t="inlineStr">
        <is>
          <t>15 días</t>
        </is>
      </c>
      <c r="F546" s="65" t="n">
        <v>5</v>
      </c>
      <c r="G546" s="65" t="inlineStr">
        <is>
          <t>Pago VES</t>
        </is>
      </c>
      <c r="H546" s="65" t="inlineStr">
        <is>
          <t>[0606] SINOCO SAE 20W-50 (Tambor)</t>
        </is>
      </c>
      <c r="I546" s="65" t="n">
        <v>606</v>
      </c>
      <c r="J546" s="63" t="inlineStr">
        <is>
          <t>1,00</t>
        </is>
      </c>
      <c r="K546" s="63" t="inlineStr">
        <is>
          <t>912,47</t>
        </is>
      </c>
      <c r="L546" s="63" t="inlineStr">
        <is>
          <t>11,95</t>
        </is>
      </c>
      <c r="M546" s="63" t="inlineStr">
        <is>
          <t>803,43</t>
        </is>
      </c>
      <c r="N546" s="63" t="inlineStr">
        <is>
          <t>931,98</t>
        </is>
      </c>
      <c r="O546" s="63" t="inlineStr">
        <is>
          <t>803,43</t>
        </is>
      </c>
      <c r="P546" s="63" t="inlineStr">
        <is>
          <t>931,98</t>
        </is>
      </c>
      <c r="Q546" s="63" t="inlineStr">
        <is>
          <t>724,00</t>
        </is>
      </c>
      <c r="R546" s="66" t="n">
        <v>46217</v>
      </c>
      <c r="S546" s="65" t="n">
        <v>457</v>
      </c>
      <c r="T546" s="65" t="inlineStr">
        <is>
          <t>00-00001001</t>
        </is>
      </c>
      <c r="U546" s="63" t="inlineStr">
        <is>
          <t>931,96</t>
        </is>
      </c>
      <c r="V546" s="63" t="inlineStr">
        <is>
          <t>931,98</t>
        </is>
      </c>
    </row>
    <row r="547">
      <c r="A547" s="65" t="inlineStr">
        <is>
          <t>S00625</t>
        </is>
      </c>
      <c r="B547" s="62" t="n">
        <v>46205.62493055555</v>
      </c>
      <c r="C547" s="65" t="inlineStr">
        <is>
          <t>E&amp;M CAR SHOP C.A</t>
        </is>
      </c>
      <c r="D547" s="65" t="inlineStr">
        <is>
          <t>BETANCOURT ROBRIGUEZ LUIS ENRRIQUE</t>
        </is>
      </c>
      <c r="E547" s="65" t="inlineStr">
        <is>
          <t>7 días</t>
        </is>
      </c>
      <c r="F547" s="65" t="n">
        <v>5</v>
      </c>
      <c r="G547" s="65" t="inlineStr">
        <is>
          <t>Pago VES</t>
        </is>
      </c>
      <c r="H547" s="65" t="inlineStr">
        <is>
          <t>[0877] SS EXTRA PROTECCION API SN SAE 15W-40 (1X12)</t>
        </is>
      </c>
      <c r="I547" s="65" t="n">
        <v>877</v>
      </c>
      <c r="J547" s="63" t="inlineStr">
        <is>
          <t>1,00</t>
        </is>
      </c>
      <c r="K547" s="63" t="inlineStr">
        <is>
          <t>100,80</t>
        </is>
      </c>
      <c r="L547" s="63" t="inlineStr">
        <is>
          <t>32,18</t>
        </is>
      </c>
      <c r="M547" s="63" t="inlineStr">
        <is>
          <t>68,36</t>
        </is>
      </c>
      <c r="N547" s="63" t="inlineStr">
        <is>
          <t>79,30</t>
        </is>
      </c>
      <c r="O547" s="63" t="inlineStr">
        <is>
          <t>126,83</t>
        </is>
      </c>
      <c r="P547" s="63" t="inlineStr">
        <is>
          <t>147,13</t>
        </is>
      </c>
      <c r="Q547" s="63" t="inlineStr">
        <is>
          <t>724,00</t>
        </is>
      </c>
      <c r="R547" s="66" t="n">
        <v>46217</v>
      </c>
      <c r="S547" s="65" t="n">
        <v>458</v>
      </c>
      <c r="T547" s="65" t="inlineStr">
        <is>
          <t>00-00001002</t>
        </is>
      </c>
      <c r="U547" s="63" t="inlineStr">
        <is>
          <t>147,11</t>
        </is>
      </c>
      <c r="V547" s="63" t="inlineStr">
        <is>
          <t>147,12</t>
        </is>
      </c>
    </row>
    <row r="548">
      <c r="A548" s="65" t="n"/>
      <c r="B548" s="65" t="n"/>
      <c r="C548" s="65" t="n"/>
      <c r="D548" s="65" t="n"/>
      <c r="E548" s="65" t="n"/>
      <c r="F548" s="65" t="n"/>
      <c r="G548" s="65" t="n"/>
      <c r="H548" s="65" t="inlineStr">
        <is>
          <t>[0880] CLASICO API SL SAE 15W-40 (1x12)</t>
        </is>
      </c>
      <c r="I548" s="65" t="n">
        <v>880</v>
      </c>
      <c r="J548" s="63" t="inlineStr">
        <is>
          <t>1,00</t>
        </is>
      </c>
      <c r="K548" s="63" t="inlineStr">
        <is>
          <t>86,21</t>
        </is>
      </c>
      <c r="L548" s="63" t="inlineStr">
        <is>
          <t>32,18</t>
        </is>
      </c>
      <c r="M548" s="63" t="inlineStr">
        <is>
          <t>58,47</t>
        </is>
      </c>
      <c r="N548" s="63" t="inlineStr">
        <is>
          <t>67,83</t>
        </is>
      </c>
      <c r="O548" s="65" t="n"/>
      <c r="P548" s="65" t="n"/>
      <c r="Q548" s="65" t="n"/>
      <c r="R548" s="65" t="n"/>
      <c r="S548" s="65" t="n"/>
      <c r="T548" s="65" t="n"/>
      <c r="U548" s="65" t="n"/>
      <c r="V548" s="65" t="n"/>
    </row>
    <row r="549">
      <c r="A549" s="65" t="inlineStr">
        <is>
          <t>S00622</t>
        </is>
      </c>
      <c r="B549" s="62" t="n">
        <v>46205.62457175926</v>
      </c>
      <c r="C549" s="65" t="inlineStr">
        <is>
          <t>La cámara perfecta</t>
        </is>
      </c>
      <c r="D549" s="65" t="inlineStr">
        <is>
          <t>PEREZ DIAZ ANGEL DE DIOS</t>
        </is>
      </c>
      <c r="E549" s="65" t="inlineStr">
        <is>
          <t>7 días</t>
        </is>
      </c>
      <c r="F549" s="65" t="n">
        <v>5</v>
      </c>
      <c r="G549" s="65" t="inlineStr">
        <is>
          <t>Pago VES</t>
        </is>
      </c>
      <c r="H549" s="65" t="inlineStr">
        <is>
          <t>[0602] SINOCO SAE 50 (PAILA)</t>
        </is>
      </c>
      <c r="I549" s="65" t="n">
        <v>602</v>
      </c>
      <c r="J549" s="63" t="inlineStr">
        <is>
          <t>4,00</t>
        </is>
      </c>
      <c r="K549" s="63" t="inlineStr">
        <is>
          <t>96,82</t>
        </is>
      </c>
      <c r="L549" s="63" t="inlineStr">
        <is>
          <t>11,95</t>
        </is>
      </c>
      <c r="M549" s="63" t="inlineStr">
        <is>
          <t>341,00</t>
        </is>
      </c>
      <c r="N549" s="63" t="inlineStr">
        <is>
          <t>395,56</t>
        </is>
      </c>
      <c r="O549" s="63" t="inlineStr">
        <is>
          <t>852,50</t>
        </is>
      </c>
      <c r="P549" s="63" t="inlineStr">
        <is>
          <t>988,90</t>
        </is>
      </c>
      <c r="Q549" s="63" t="inlineStr">
        <is>
          <t>724,00</t>
        </is>
      </c>
      <c r="R549" s="66" t="n">
        <v>46217</v>
      </c>
      <c r="S549" s="65" t="n">
        <v>459</v>
      </c>
      <c r="T549" s="65" t="inlineStr">
        <is>
          <t>00-00001003</t>
        </is>
      </c>
      <c r="U549" s="63" t="inlineStr">
        <is>
          <t>988,90</t>
        </is>
      </c>
      <c r="V549" s="63" t="inlineStr">
        <is>
          <t>988,90</t>
        </is>
      </c>
    </row>
    <row r="550">
      <c r="A550" s="65" t="n"/>
      <c r="B550" s="65" t="n"/>
      <c r="C550" s="65" t="n"/>
      <c r="D550" s="65" t="n"/>
      <c r="E550" s="65" t="n"/>
      <c r="F550" s="65" t="n"/>
      <c r="G550" s="65" t="n"/>
      <c r="H550" s="65" t="inlineStr">
        <is>
          <t>[0605] SINOCO SAE 20W-50 (PAILA)</t>
        </is>
      </c>
      <c r="I550" s="65" t="n">
        <v>605</v>
      </c>
      <c r="J550" s="63" t="inlineStr">
        <is>
          <t>6,00</t>
        </is>
      </c>
      <c r="K550" s="63" t="inlineStr">
        <is>
          <t>96,82</t>
        </is>
      </c>
      <c r="L550" s="63" t="inlineStr">
        <is>
          <t>11,95</t>
        </is>
      </c>
      <c r="M550" s="63" t="inlineStr">
        <is>
          <t>511,50</t>
        </is>
      </c>
      <c r="N550" s="63" t="inlineStr">
        <is>
          <t>593,34</t>
        </is>
      </c>
      <c r="O550" s="65" t="n"/>
      <c r="P550" s="65" t="n"/>
      <c r="Q550" s="65" t="n"/>
      <c r="R550" s="65" t="n"/>
      <c r="S550" s="65" t="n"/>
      <c r="T550" s="65" t="n"/>
      <c r="U550" s="65" t="n"/>
      <c r="V550" s="65" t="n"/>
    </row>
    <row r="551">
      <c r="A551" s="65" t="inlineStr">
        <is>
          <t>S00621</t>
        </is>
      </c>
      <c r="B551" s="62" t="n">
        <v>46205.6244212963</v>
      </c>
      <c r="C551" s="65" t="inlineStr">
        <is>
          <t>Antonio Terán</t>
        </is>
      </c>
      <c r="D551" s="65" t="inlineStr">
        <is>
          <t>PEREZ DIAZ ANGEL DE DIOS</t>
        </is>
      </c>
      <c r="E551" s="65" t="inlineStr">
        <is>
          <t>30 días</t>
        </is>
      </c>
      <c r="F551" s="65" t="n">
        <v>5</v>
      </c>
      <c r="G551" s="65" t="inlineStr">
        <is>
          <t>Pago VES</t>
        </is>
      </c>
      <c r="H551" s="65" t="inlineStr">
        <is>
          <t>[0603] SINOCO SAE 50 (Tambor)</t>
        </is>
      </c>
      <c r="I551" s="65" t="n">
        <v>603</v>
      </c>
      <c r="J551" s="63" t="inlineStr">
        <is>
          <t>1,00</t>
        </is>
      </c>
      <c r="K551" s="63" t="inlineStr">
        <is>
          <t>925,73</t>
        </is>
      </c>
      <c r="L551" s="63" t="inlineStr">
        <is>
          <t>11,95</t>
        </is>
      </c>
      <c r="M551" s="63" t="inlineStr">
        <is>
          <t>815,11</t>
        </is>
      </c>
      <c r="N551" s="63" t="inlineStr">
        <is>
          <t>945,53</t>
        </is>
      </c>
      <c r="O551" s="63" t="inlineStr">
        <is>
          <t>1.619,68</t>
        </is>
      </c>
      <c r="P551" s="63" t="inlineStr">
        <is>
          <t>1.878,83</t>
        </is>
      </c>
      <c r="Q551" s="65" t="n"/>
      <c r="R551" s="65" t="n"/>
      <c r="S551" s="65" t="n"/>
      <c r="T551" s="65" t="n"/>
      <c r="U551" s="65" t="n"/>
      <c r="V551" s="65" t="n"/>
    </row>
    <row r="552">
      <c r="A552" s="65" t="n"/>
      <c r="B552" s="65" t="n"/>
      <c r="C552" s="65" t="n"/>
      <c r="D552" s="65" t="n"/>
      <c r="E552" s="65" t="n"/>
      <c r="F552" s="65" t="n"/>
      <c r="G552" s="65" t="n"/>
      <c r="H552" s="65" t="inlineStr">
        <is>
          <t>[0779] SINOCO SAE 20W-50 (1x12)</t>
        </is>
      </c>
      <c r="I552" s="65" t="n">
        <v>779</v>
      </c>
      <c r="J552" s="63" t="inlineStr">
        <is>
          <t>10,00</t>
        </is>
      </c>
      <c r="K552" s="63" t="inlineStr">
        <is>
          <t>70,29</t>
        </is>
      </c>
      <c r="L552" s="63" t="inlineStr">
        <is>
          <t>11,95</t>
        </is>
      </c>
      <c r="M552" s="63" t="inlineStr">
        <is>
          <t>618,90</t>
        </is>
      </c>
      <c r="N552" s="63" t="inlineStr">
        <is>
          <t>717,92</t>
        </is>
      </c>
      <c r="O552" s="65" t="n"/>
      <c r="P552" s="65" t="n"/>
      <c r="Q552" s="65" t="n"/>
      <c r="R552" s="65" t="n"/>
      <c r="S552" s="65" t="n"/>
      <c r="T552" s="65" t="n"/>
      <c r="U552" s="65" t="n"/>
      <c r="V552" s="65" t="n"/>
    </row>
    <row r="553">
      <c r="A553" s="65" t="n"/>
      <c r="B553" s="65" t="n"/>
      <c r="C553" s="65" t="n"/>
      <c r="D553" s="65" t="n"/>
      <c r="E553" s="65" t="n"/>
      <c r="F553" s="65" t="n"/>
      <c r="G553" s="65" t="n"/>
      <c r="H553" s="65" t="inlineStr">
        <is>
          <t>[0915] SINOCO SAE 50 (1x12)</t>
        </is>
      </c>
      <c r="I553" s="65" t="n">
        <v>915</v>
      </c>
      <c r="J553" s="63" t="inlineStr">
        <is>
          <t>3,00</t>
        </is>
      </c>
      <c r="K553" s="63" t="inlineStr">
        <is>
          <t>70,29</t>
        </is>
      </c>
      <c r="L553" s="63" t="inlineStr">
        <is>
          <t>11,95</t>
        </is>
      </c>
      <c r="M553" s="63" t="inlineStr">
        <is>
          <t>185,67</t>
        </is>
      </c>
      <c r="N553" s="63" t="inlineStr">
        <is>
          <t>215,38</t>
        </is>
      </c>
      <c r="O553" s="65" t="n"/>
      <c r="P553" s="65" t="n"/>
      <c r="Q553" s="65" t="n"/>
      <c r="R553" s="65" t="n"/>
      <c r="S553" s="65" t="n"/>
      <c r="T553" s="65" t="n"/>
      <c r="U553" s="65" t="n"/>
      <c r="V553" s="65" t="n"/>
    </row>
    <row r="554">
      <c r="A554" s="65" t="inlineStr">
        <is>
          <t>S00620</t>
        </is>
      </c>
      <c r="B554" s="62" t="n">
        <v>46205.46748842593</v>
      </c>
      <c r="C554" s="65" t="inlineStr">
        <is>
          <t>Mini Market Las Mercedes,c.a.</t>
        </is>
      </c>
      <c r="D554" s="65" t="inlineStr">
        <is>
          <t>QUEVEDO BASTIDAS NEYKEL DAVID</t>
        </is>
      </c>
      <c r="E554" s="65" t="inlineStr">
        <is>
          <t>30 días</t>
        </is>
      </c>
      <c r="F554" s="65" t="n">
        <v>5</v>
      </c>
      <c r="G554" s="65" t="inlineStr">
        <is>
          <t>Pago VES</t>
        </is>
      </c>
      <c r="H554" s="65" t="inlineStr">
        <is>
          <t>[0007] ELITE API SN SAE 5W-20 (1x6)</t>
        </is>
      </c>
      <c r="I554" s="65" t="n">
        <v>7</v>
      </c>
      <c r="J554" s="63" t="inlineStr">
        <is>
          <t>1,00</t>
        </is>
      </c>
      <c r="K554" s="63" t="inlineStr">
        <is>
          <t>72,94</t>
        </is>
      </c>
      <c r="L554" s="63" t="inlineStr">
        <is>
          <t>11,95</t>
        </is>
      </c>
      <c r="M554" s="63" t="inlineStr">
        <is>
          <t>64,22</t>
        </is>
      </c>
      <c r="N554" s="63" t="inlineStr">
        <is>
          <t>74,50</t>
        </is>
      </c>
      <c r="O554" s="63" t="inlineStr">
        <is>
          <t>2.132,28</t>
        </is>
      </c>
      <c r="P554" s="63" t="inlineStr">
        <is>
          <t>2.473,46</t>
        </is>
      </c>
      <c r="Q554" s="65" t="n"/>
      <c r="R554" s="65" t="n"/>
      <c r="S554" s="65" t="n"/>
      <c r="T554" s="65" t="n"/>
      <c r="U554" s="65" t="n"/>
      <c r="V554" s="65" t="n"/>
    </row>
    <row r="555">
      <c r="A555" s="65" t="n"/>
      <c r="B555" s="65" t="n"/>
      <c r="C555" s="65" t="n"/>
      <c r="D555" s="65" t="n"/>
      <c r="E555" s="65" t="n"/>
      <c r="F555" s="65" t="n"/>
      <c r="G555" s="65" t="n"/>
      <c r="H555" s="65" t="inlineStr">
        <is>
          <t>[0013] ELITE API SN SAE 5W-30 (1x6)</t>
        </is>
      </c>
      <c r="I555" s="65" t="n">
        <v>13</v>
      </c>
      <c r="J555" s="63" t="inlineStr">
        <is>
          <t>1,00</t>
        </is>
      </c>
      <c r="K555" s="63" t="inlineStr">
        <is>
          <t>72,94</t>
        </is>
      </c>
      <c r="L555" s="63" t="inlineStr">
        <is>
          <t>11,95</t>
        </is>
      </c>
      <c r="M555" s="63" t="inlineStr">
        <is>
          <t>64,22</t>
        </is>
      </c>
      <c r="N555" s="63" t="inlineStr">
        <is>
          <t>74,50</t>
        </is>
      </c>
      <c r="O555" s="65" t="n"/>
      <c r="P555" s="65" t="n"/>
      <c r="Q555" s="65" t="n"/>
      <c r="R555" s="65" t="n"/>
      <c r="S555" s="65" t="n"/>
      <c r="T555" s="65" t="n"/>
      <c r="U555" s="65" t="n"/>
      <c r="V555" s="65" t="n"/>
    </row>
    <row r="556">
      <c r="A556" s="65" t="n"/>
      <c r="B556" s="65" t="n"/>
      <c r="C556" s="65" t="n"/>
      <c r="D556" s="65" t="n"/>
      <c r="E556" s="65" t="n"/>
      <c r="F556" s="65" t="n"/>
      <c r="G556" s="65" t="n"/>
      <c r="H556" s="65" t="inlineStr">
        <is>
          <t>[0019] ELITE API SN SAE 5W-40 (1x6)</t>
        </is>
      </c>
      <c r="I556" s="65" t="n">
        <v>19</v>
      </c>
      <c r="J556" s="63" t="inlineStr">
        <is>
          <t>1,00</t>
        </is>
      </c>
      <c r="K556" s="63" t="inlineStr">
        <is>
          <t>72,94</t>
        </is>
      </c>
      <c r="L556" s="63" t="inlineStr">
        <is>
          <t>11,95</t>
        </is>
      </c>
      <c r="M556" s="63" t="inlineStr">
        <is>
          <t>64,22</t>
        </is>
      </c>
      <c r="N556" s="63" t="inlineStr">
        <is>
          <t>74,50</t>
        </is>
      </c>
      <c r="O556" s="65" t="n"/>
      <c r="P556" s="65" t="n"/>
      <c r="Q556" s="65" t="n"/>
      <c r="R556" s="65" t="n"/>
      <c r="S556" s="65" t="n"/>
      <c r="T556" s="65" t="n"/>
      <c r="U556" s="65" t="n"/>
      <c r="V556" s="65" t="n"/>
    </row>
    <row r="557">
      <c r="A557" s="65" t="n"/>
      <c r="B557" s="65" t="n"/>
      <c r="C557" s="65" t="n"/>
      <c r="D557" s="65" t="n"/>
      <c r="E557" s="65" t="n"/>
      <c r="F557" s="65" t="n"/>
      <c r="G557" s="65" t="n"/>
      <c r="H557" s="65" t="inlineStr">
        <is>
          <t>[0025] SS EXTRA PROTECCION API SN SAE 10W-30 (Gasolina) (1x6)</t>
        </is>
      </c>
      <c r="I557" s="65" t="n">
        <v>25</v>
      </c>
      <c r="J557" s="63" t="inlineStr">
        <is>
          <t>2,00</t>
        </is>
      </c>
      <c r="K557" s="63" t="inlineStr">
        <is>
          <t>50,40</t>
        </is>
      </c>
      <c r="L557" s="63" t="inlineStr">
        <is>
          <t>11,95</t>
        </is>
      </c>
      <c r="M557" s="63" t="inlineStr">
        <is>
          <t>88,75</t>
        </is>
      </c>
      <c r="N557" s="63" t="inlineStr">
        <is>
          <t>102,95</t>
        </is>
      </c>
      <c r="O557" s="65" t="n"/>
      <c r="P557" s="65" t="n"/>
      <c r="Q557" s="65" t="n"/>
      <c r="R557" s="65" t="n"/>
      <c r="S557" s="65" t="n"/>
      <c r="T557" s="65" t="n"/>
      <c r="U557" s="65" t="n"/>
      <c r="V557" s="65" t="n"/>
    </row>
    <row r="558">
      <c r="A558" s="65" t="n"/>
      <c r="B558" s="65" t="n"/>
      <c r="C558" s="65" t="n"/>
      <c r="D558" s="65" t="n"/>
      <c r="E558" s="65" t="n"/>
      <c r="F558" s="65" t="n"/>
      <c r="G558" s="65" t="n"/>
      <c r="H558" s="65" t="inlineStr">
        <is>
          <t>[0087] ENDUROGLOB 2T AIRE (1x6)</t>
        </is>
      </c>
      <c r="I558" s="65" t="n">
        <v>87</v>
      </c>
      <c r="J558" s="63" t="inlineStr">
        <is>
          <t>0,00</t>
        </is>
      </c>
      <c r="K558" s="63" t="inlineStr">
        <is>
          <t>50,40</t>
        </is>
      </c>
      <c r="L558" s="63" t="inlineStr">
        <is>
          <t>11,95</t>
        </is>
      </c>
      <c r="M558" s="63" t="inlineStr">
        <is>
          <t>0,00</t>
        </is>
      </c>
      <c r="N558" s="63" t="inlineStr">
        <is>
          <t>0,00</t>
        </is>
      </c>
      <c r="O558" s="65" t="n"/>
      <c r="P558" s="65" t="n"/>
      <c r="Q558" s="65" t="n"/>
      <c r="R558" s="65" t="n"/>
      <c r="S558" s="65" t="n"/>
      <c r="T558" s="65" t="n"/>
      <c r="U558" s="65" t="n"/>
      <c r="V558" s="65" t="n"/>
    </row>
    <row r="559">
      <c r="A559" s="65" t="n"/>
      <c r="B559" s="65" t="n"/>
      <c r="C559" s="65" t="n"/>
      <c r="D559" s="65" t="n"/>
      <c r="E559" s="65" t="n"/>
      <c r="F559" s="65" t="n"/>
      <c r="G559" s="65" t="n"/>
      <c r="H559" s="65" t="inlineStr">
        <is>
          <t>[0163] CARIBE FUERA DE BORDA TC-W3 2 TIEMPOS (1x6)</t>
        </is>
      </c>
      <c r="I559" s="65" t="n">
        <v>163</v>
      </c>
      <c r="J559" s="63" t="inlineStr">
        <is>
          <t>1,00</t>
        </is>
      </c>
      <c r="K559" s="63" t="inlineStr">
        <is>
          <t>49,07</t>
        </is>
      </c>
      <c r="L559" s="63" t="inlineStr">
        <is>
          <t>11,95</t>
        </is>
      </c>
      <c r="M559" s="63" t="inlineStr">
        <is>
          <t>43,21</t>
        </is>
      </c>
      <c r="N559" s="63" t="inlineStr">
        <is>
          <t>50,12</t>
        </is>
      </c>
      <c r="O559" s="65" t="n"/>
      <c r="P559" s="65" t="n"/>
      <c r="Q559" s="65" t="n"/>
      <c r="R559" s="65" t="n"/>
      <c r="S559" s="65" t="n"/>
      <c r="T559" s="65" t="n"/>
      <c r="U559" s="65" t="n"/>
      <c r="V559" s="65" t="n"/>
    </row>
    <row r="560">
      <c r="A560" s="65" t="n"/>
      <c r="B560" s="65" t="n"/>
      <c r="C560" s="65" t="n"/>
      <c r="D560" s="65" t="n"/>
      <c r="E560" s="65" t="n"/>
      <c r="F560" s="65" t="n"/>
      <c r="G560" s="65" t="n"/>
      <c r="H560" s="65" t="inlineStr">
        <is>
          <t>[0561] MEJORADOR DE OCTANAJE GLOBAL OIL PACK (1X12)</t>
        </is>
      </c>
      <c r="I560" s="65" t="n">
        <v>561</v>
      </c>
      <c r="J560" s="63" t="inlineStr">
        <is>
          <t>5,00</t>
        </is>
      </c>
      <c r="K560" s="63" t="inlineStr">
        <is>
          <t>51,72</t>
        </is>
      </c>
      <c r="L560" s="63" t="inlineStr">
        <is>
          <t>11,95</t>
        </is>
      </c>
      <c r="M560" s="63" t="inlineStr">
        <is>
          <t>227,70</t>
        </is>
      </c>
      <c r="N560" s="63" t="inlineStr">
        <is>
          <t>264,13</t>
        </is>
      </c>
      <c r="O560" s="65" t="n"/>
      <c r="P560" s="65" t="n"/>
      <c r="Q560" s="65" t="n"/>
      <c r="R560" s="65" t="n"/>
      <c r="S560" s="65" t="n"/>
      <c r="T560" s="65" t="n"/>
      <c r="U560" s="65" t="n"/>
      <c r="V560" s="65" t="n"/>
    </row>
    <row r="561">
      <c r="A561" s="65" t="n"/>
      <c r="B561" s="65" t="n"/>
      <c r="C561" s="65" t="n"/>
      <c r="D561" s="65" t="n"/>
      <c r="E561" s="65" t="n"/>
      <c r="F561" s="65" t="n"/>
      <c r="G561" s="65" t="n"/>
      <c r="H561" s="65" t="inlineStr">
        <is>
          <t>[0761] LIGA PARA FRENOS DOT-3 (1x12)</t>
        </is>
      </c>
      <c r="I561" s="65" t="n">
        <v>761</v>
      </c>
      <c r="J561" s="63" t="inlineStr">
        <is>
          <t>1,00</t>
        </is>
      </c>
      <c r="K561" s="63" t="inlineStr">
        <is>
          <t>35,81</t>
        </is>
      </c>
      <c r="L561" s="63" t="inlineStr">
        <is>
          <t>11,95</t>
        </is>
      </c>
      <c r="M561" s="63" t="inlineStr">
        <is>
          <t>31,53</t>
        </is>
      </c>
      <c r="N561" s="63" t="inlineStr">
        <is>
          <t>36,57</t>
        </is>
      </c>
      <c r="O561" s="65" t="n"/>
      <c r="P561" s="65" t="n"/>
      <c r="Q561" s="65" t="n"/>
      <c r="R561" s="65" t="n"/>
      <c r="S561" s="65" t="n"/>
      <c r="T561" s="65" t="n"/>
      <c r="U561" s="65" t="n"/>
      <c r="V561" s="65" t="n"/>
    </row>
    <row r="562">
      <c r="A562" s="65" t="n"/>
      <c r="B562" s="65" t="n"/>
      <c r="C562" s="65" t="n"/>
      <c r="D562" s="65" t="n"/>
      <c r="E562" s="65" t="n"/>
      <c r="F562" s="65" t="n"/>
      <c r="G562" s="65" t="n"/>
      <c r="H562" s="65" t="inlineStr">
        <is>
          <t>[0775] LIGA PARA FRENOS DOT-4 (1X12)</t>
        </is>
      </c>
      <c r="I562" s="65" t="n">
        <v>775</v>
      </c>
      <c r="J562" s="63" t="inlineStr">
        <is>
          <t>1,00</t>
        </is>
      </c>
      <c r="K562" s="63" t="inlineStr">
        <is>
          <t>41,11</t>
        </is>
      </c>
      <c r="L562" s="63" t="inlineStr">
        <is>
          <t>11,95</t>
        </is>
      </c>
      <c r="M562" s="63" t="inlineStr">
        <is>
          <t>36,20</t>
        </is>
      </c>
      <c r="N562" s="63" t="inlineStr">
        <is>
          <t>41,99</t>
        </is>
      </c>
      <c r="O562" s="65" t="n"/>
      <c r="P562" s="65" t="n"/>
      <c r="Q562" s="65" t="n"/>
      <c r="R562" s="65" t="n"/>
      <c r="S562" s="65" t="n"/>
      <c r="T562" s="65" t="n"/>
      <c r="U562" s="65" t="n"/>
      <c r="V562" s="65" t="n"/>
    </row>
    <row r="563">
      <c r="A563" s="65" t="n"/>
      <c r="B563" s="65" t="n"/>
      <c r="C563" s="65" t="n"/>
      <c r="D563" s="65" t="n"/>
      <c r="E563" s="65" t="n"/>
      <c r="F563" s="65" t="n"/>
      <c r="G563" s="65" t="n"/>
      <c r="H563" s="65" t="inlineStr">
        <is>
          <t>[0774] LIGA PARA FRENOS DOT-4 (1X6)</t>
        </is>
      </c>
      <c r="I563" s="65" t="n">
        <v>774</v>
      </c>
      <c r="J563" s="63" t="inlineStr">
        <is>
          <t>1,00</t>
        </is>
      </c>
      <c r="K563" s="63" t="inlineStr">
        <is>
          <t>64,99</t>
        </is>
      </c>
      <c r="L563" s="63" t="inlineStr">
        <is>
          <t>11,95</t>
        </is>
      </c>
      <c r="M563" s="63" t="inlineStr">
        <is>
          <t>57,22</t>
        </is>
      </c>
      <c r="N563" s="63" t="inlineStr">
        <is>
          <t>66,38</t>
        </is>
      </c>
      <c r="O563" s="65" t="n"/>
      <c r="P563" s="65" t="n"/>
      <c r="Q563" s="65" t="n"/>
      <c r="R563" s="65" t="n"/>
      <c r="S563" s="65" t="n"/>
      <c r="T563" s="65" t="n"/>
      <c r="U563" s="65" t="n"/>
      <c r="V563" s="65" t="n"/>
    </row>
    <row r="564">
      <c r="A564" s="65" t="n"/>
      <c r="B564" s="65" t="n"/>
      <c r="C564" s="65" t="n"/>
      <c r="D564" s="65" t="n"/>
      <c r="E564" s="65" t="n"/>
      <c r="F564" s="65" t="n"/>
      <c r="G564" s="65" t="n"/>
      <c r="H564" s="65" t="inlineStr">
        <is>
          <t>[0762] LIGA PARA FRENOS DOT-3 (1x6)</t>
        </is>
      </c>
      <c r="I564" s="65" t="n">
        <v>762</v>
      </c>
      <c r="J564" s="63" t="inlineStr">
        <is>
          <t>1,00</t>
        </is>
      </c>
      <c r="K564" s="63" t="inlineStr">
        <is>
          <t>57,03</t>
        </is>
      </c>
      <c r="L564" s="63" t="inlineStr">
        <is>
          <t>11,95</t>
        </is>
      </c>
      <c r="M564" s="63" t="inlineStr">
        <is>
          <t>50,21</t>
        </is>
      </c>
      <c r="N564" s="63" t="inlineStr">
        <is>
          <t>58,24</t>
        </is>
      </c>
      <c r="O564" s="65" t="n"/>
      <c r="P564" s="65" t="n"/>
      <c r="Q564" s="65" t="n"/>
      <c r="R564" s="65" t="n"/>
      <c r="S564" s="65" t="n"/>
      <c r="T564" s="65" t="n"/>
      <c r="U564" s="65" t="n"/>
      <c r="V564" s="65" t="n"/>
    </row>
    <row r="565">
      <c r="A565" s="65" t="n"/>
      <c r="B565" s="65" t="n"/>
      <c r="C565" s="65" t="n"/>
      <c r="D565" s="65" t="n"/>
      <c r="E565" s="65" t="n"/>
      <c r="F565" s="65" t="n"/>
      <c r="G565" s="65" t="n"/>
      <c r="H565" s="65" t="inlineStr">
        <is>
          <t>[0789] REFRIGERANTE GLOBAL VERDE (1X3)</t>
        </is>
      </c>
      <c r="I565" s="65" t="n">
        <v>789</v>
      </c>
      <c r="J565" s="63" t="inlineStr">
        <is>
          <t>5,00</t>
        </is>
      </c>
      <c r="K565" s="63" t="inlineStr">
        <is>
          <t>34,48</t>
        </is>
      </c>
      <c r="L565" s="63" t="inlineStr">
        <is>
          <t>11,95</t>
        </is>
      </c>
      <c r="M565" s="63" t="inlineStr">
        <is>
          <t>151,80</t>
        </is>
      </c>
      <c r="N565" s="63" t="inlineStr">
        <is>
          <t>176,09</t>
        </is>
      </c>
      <c r="O565" s="65" t="n"/>
      <c r="P565" s="65" t="n"/>
      <c r="Q565" s="65" t="n"/>
      <c r="R565" s="65" t="n"/>
      <c r="S565" s="65" t="n"/>
      <c r="T565" s="65" t="n"/>
      <c r="U565" s="65" t="n"/>
      <c r="V565" s="65" t="n"/>
    </row>
    <row r="566">
      <c r="A566" s="65" t="n"/>
      <c r="B566" s="65" t="n"/>
      <c r="C566" s="65" t="n"/>
      <c r="D566" s="65" t="n"/>
      <c r="E566" s="65" t="n"/>
      <c r="F566" s="65" t="n"/>
      <c r="G566" s="65" t="n"/>
      <c r="H566" s="65" t="inlineStr">
        <is>
          <t>[0792] REFRIGERANTE GLOBAL ROJO (1X3)</t>
        </is>
      </c>
      <c r="I566" s="65" t="n">
        <v>792</v>
      </c>
      <c r="J566" s="63" t="inlineStr">
        <is>
          <t>5,00</t>
        </is>
      </c>
      <c r="K566" s="63" t="inlineStr">
        <is>
          <t>34,48</t>
        </is>
      </c>
      <c r="L566" s="63" t="inlineStr">
        <is>
          <t>11,95</t>
        </is>
      </c>
      <c r="M566" s="63" t="inlineStr">
        <is>
          <t>151,80</t>
        </is>
      </c>
      <c r="N566" s="63" t="inlineStr">
        <is>
          <t>176,09</t>
        </is>
      </c>
      <c r="O566" s="65" t="n"/>
      <c r="P566" s="65" t="n"/>
      <c r="Q566" s="65" t="n"/>
      <c r="R566" s="65" t="n"/>
      <c r="S566" s="65" t="n"/>
      <c r="T566" s="65" t="n"/>
      <c r="U566" s="65" t="n"/>
      <c r="V566" s="65" t="n"/>
    </row>
    <row r="567">
      <c r="A567" s="65" t="n"/>
      <c r="B567" s="65" t="n"/>
      <c r="C567" s="65" t="n"/>
      <c r="D567" s="65" t="n"/>
      <c r="E567" s="65" t="n"/>
      <c r="F567" s="65" t="n"/>
      <c r="G567" s="65" t="n"/>
      <c r="H567" s="65" t="inlineStr">
        <is>
          <t>[0877] SS EXTRA PROTECCION API SN SAE 15W-40 (1X12)</t>
        </is>
      </c>
      <c r="I567" s="65" t="n">
        <v>877</v>
      </c>
      <c r="J567" s="63" t="inlineStr">
        <is>
          <t>1,00</t>
        </is>
      </c>
      <c r="K567" s="63" t="inlineStr">
        <is>
          <t>100,80</t>
        </is>
      </c>
      <c r="L567" s="63" t="inlineStr">
        <is>
          <t>11,95</t>
        </is>
      </c>
      <c r="M567" s="63" t="inlineStr">
        <is>
          <t>88,75</t>
        </is>
      </c>
      <c r="N567" s="63" t="inlineStr">
        <is>
          <t>102,95</t>
        </is>
      </c>
      <c r="O567" s="65" t="n"/>
      <c r="P567" s="65" t="n"/>
      <c r="Q567" s="65" t="n"/>
      <c r="R567" s="65" t="n"/>
      <c r="S567" s="65" t="n"/>
      <c r="T567" s="65" t="n"/>
      <c r="U567" s="65" t="n"/>
      <c r="V567" s="65" t="n"/>
    </row>
    <row r="568">
      <c r="A568" s="65" t="n"/>
      <c r="B568" s="65" t="n"/>
      <c r="C568" s="65" t="n"/>
      <c r="D568" s="65" t="n"/>
      <c r="E568" s="65" t="n"/>
      <c r="F568" s="65" t="n"/>
      <c r="G568" s="65" t="n"/>
      <c r="H568" s="65" t="inlineStr">
        <is>
          <t>[0878] SS EXTRA PROTECCION API SN SAE 20W-50 (1x12)</t>
        </is>
      </c>
      <c r="I568" s="65" t="n">
        <v>878</v>
      </c>
      <c r="J568" s="63" t="inlineStr">
        <is>
          <t>1,00</t>
        </is>
      </c>
      <c r="K568" s="63" t="inlineStr">
        <is>
          <t>100,80</t>
        </is>
      </c>
      <c r="L568" s="63" t="inlineStr">
        <is>
          <t>11,95</t>
        </is>
      </c>
      <c r="M568" s="63" t="inlineStr">
        <is>
          <t>88,75</t>
        </is>
      </c>
      <c r="N568" s="63" t="inlineStr">
        <is>
          <t>102,95</t>
        </is>
      </c>
      <c r="O568" s="65" t="n"/>
      <c r="P568" s="65" t="n"/>
      <c r="Q568" s="65" t="n"/>
      <c r="R568" s="65" t="n"/>
      <c r="S568" s="65" t="n"/>
      <c r="T568" s="65" t="n"/>
      <c r="U568" s="65" t="n"/>
      <c r="V568" s="65" t="n"/>
    </row>
    <row r="569">
      <c r="A569" s="65" t="n"/>
      <c r="B569" s="65" t="n"/>
      <c r="C569" s="65" t="n"/>
      <c r="D569" s="65" t="n"/>
      <c r="E569" s="65" t="n"/>
      <c r="F569" s="65" t="n"/>
      <c r="G569" s="65" t="n"/>
      <c r="H569" s="65" t="inlineStr">
        <is>
          <t>[0880] CLASICO API SL SAE 15W-40 (1x12)</t>
        </is>
      </c>
      <c r="I569" s="65" t="n">
        <v>880</v>
      </c>
      <c r="J569" s="63" t="inlineStr">
        <is>
          <t>1,00</t>
        </is>
      </c>
      <c r="K569" s="63" t="inlineStr">
        <is>
          <t>86,21</t>
        </is>
      </c>
      <c r="L569" s="63" t="inlineStr">
        <is>
          <t>11,95</t>
        </is>
      </c>
      <c r="M569" s="63" t="inlineStr">
        <is>
          <t>75,91</t>
        </is>
      </c>
      <c r="N569" s="63" t="inlineStr">
        <is>
          <t>88,06</t>
        </is>
      </c>
      <c r="O569" s="65" t="n"/>
      <c r="P569" s="65" t="n"/>
      <c r="Q569" s="65" t="n"/>
      <c r="R569" s="65" t="n"/>
      <c r="S569" s="65" t="n"/>
      <c r="T569" s="65" t="n"/>
      <c r="U569" s="65" t="n"/>
      <c r="V569" s="65" t="n"/>
    </row>
    <row r="570">
      <c r="A570" s="65" t="n"/>
      <c r="B570" s="65" t="n"/>
      <c r="C570" s="65" t="n"/>
      <c r="D570" s="65" t="n"/>
      <c r="E570" s="65" t="n"/>
      <c r="F570" s="65" t="n"/>
      <c r="G570" s="65" t="n"/>
      <c r="H570" s="65" t="inlineStr">
        <is>
          <t>[0881] CLASICO API SL SAE 20W-50 (1x12)</t>
        </is>
      </c>
      <c r="I570" s="65" t="n">
        <v>881</v>
      </c>
      <c r="J570" s="63" t="inlineStr">
        <is>
          <t>1,00</t>
        </is>
      </c>
      <c r="K570" s="63" t="inlineStr">
        <is>
          <t>86,21</t>
        </is>
      </c>
      <c r="L570" s="63" t="inlineStr">
        <is>
          <t>11,95</t>
        </is>
      </c>
      <c r="M570" s="63" t="inlineStr">
        <is>
          <t>75,91</t>
        </is>
      </c>
      <c r="N570" s="63" t="inlineStr">
        <is>
          <t>88,06</t>
        </is>
      </c>
      <c r="O570" s="65" t="n"/>
      <c r="P570" s="65" t="n"/>
      <c r="Q570" s="65" t="n"/>
      <c r="R570" s="65" t="n"/>
      <c r="S570" s="65" t="n"/>
      <c r="T570" s="65" t="n"/>
      <c r="U570" s="65" t="n"/>
      <c r="V570" s="65" t="n"/>
    </row>
    <row r="571">
      <c r="A571" s="65" t="n"/>
      <c r="B571" s="65" t="n"/>
      <c r="C571" s="65" t="n"/>
      <c r="D571" s="65" t="n"/>
      <c r="E571" s="65" t="n"/>
      <c r="F571" s="65" t="n"/>
      <c r="G571" s="65" t="n"/>
      <c r="H571" s="65" t="inlineStr">
        <is>
          <t>[0886] TRANSMATIC DEXRON VI (1x12)</t>
        </is>
      </c>
      <c r="I571" s="65" t="n">
        <v>886</v>
      </c>
      <c r="J571" s="63" t="inlineStr">
        <is>
          <t>1,00</t>
        </is>
      </c>
      <c r="K571" s="63" t="inlineStr">
        <is>
          <t>157,82</t>
        </is>
      </c>
      <c r="L571" s="63" t="inlineStr">
        <is>
          <t>11,95</t>
        </is>
      </c>
      <c r="M571" s="63" t="inlineStr">
        <is>
          <t>138,96</t>
        </is>
      </c>
      <c r="N571" s="63" t="inlineStr">
        <is>
          <t>161,19</t>
        </is>
      </c>
      <c r="O571" s="65" t="n"/>
      <c r="P571" s="65" t="n"/>
      <c r="Q571" s="65" t="n"/>
      <c r="R571" s="65" t="n"/>
      <c r="S571" s="65" t="n"/>
      <c r="T571" s="65" t="n"/>
      <c r="U571" s="65" t="n"/>
      <c r="V571" s="65" t="n"/>
    </row>
    <row r="572">
      <c r="A572" s="65" t="n"/>
      <c r="B572" s="65" t="n"/>
      <c r="C572" s="65" t="n"/>
      <c r="D572" s="65" t="n"/>
      <c r="E572" s="65" t="n"/>
      <c r="F572" s="65" t="n"/>
      <c r="G572" s="65" t="n"/>
      <c r="H572" s="65" t="inlineStr">
        <is>
          <t>[0887] MOTOCLASICO 4T SAE 20W-50 (1x12)</t>
        </is>
      </c>
      <c r="I572" s="65" t="n">
        <v>887</v>
      </c>
      <c r="J572" s="63" t="inlineStr">
        <is>
          <t>1,00</t>
        </is>
      </c>
      <c r="K572" s="63" t="inlineStr">
        <is>
          <t>90,19</t>
        </is>
      </c>
      <c r="L572" s="63" t="inlineStr">
        <is>
          <t>11,95</t>
        </is>
      </c>
      <c r="M572" s="63" t="inlineStr">
        <is>
          <t>79,41</t>
        </is>
      </c>
      <c r="N572" s="63" t="inlineStr">
        <is>
          <t>92,12</t>
        </is>
      </c>
      <c r="O572" s="65" t="n"/>
      <c r="P572" s="65" t="n"/>
      <c r="Q572" s="65" t="n"/>
      <c r="R572" s="65" t="n"/>
      <c r="S572" s="65" t="n"/>
      <c r="T572" s="65" t="n"/>
      <c r="U572" s="65" t="n"/>
      <c r="V572" s="65" t="n"/>
    </row>
    <row r="573">
      <c r="A573" s="65" t="n"/>
      <c r="B573" s="65" t="n"/>
      <c r="C573" s="65" t="n"/>
      <c r="D573" s="65" t="n"/>
      <c r="E573" s="65" t="n"/>
      <c r="F573" s="65" t="n"/>
      <c r="G573" s="65" t="n"/>
      <c r="H573" s="65" t="inlineStr">
        <is>
          <t>[0884] TRANSMATIC ATF DEXRON III (1x12)</t>
        </is>
      </c>
      <c r="I573" s="65" t="n">
        <v>884</v>
      </c>
      <c r="J573" s="63" t="inlineStr">
        <is>
          <t>5,00</t>
        </is>
      </c>
      <c r="K573" s="63" t="inlineStr">
        <is>
          <t>95,49</t>
        </is>
      </c>
      <c r="L573" s="63" t="inlineStr">
        <is>
          <t>11,95</t>
        </is>
      </c>
      <c r="M573" s="63" t="inlineStr">
        <is>
          <t>420,39</t>
        </is>
      </c>
      <c r="N573" s="63" t="inlineStr">
        <is>
          <t>487,65</t>
        </is>
      </c>
      <c r="O573" s="65" t="n"/>
      <c r="P573" s="65" t="n"/>
      <c r="Q573" s="65" t="n"/>
      <c r="R573" s="65" t="n"/>
      <c r="S573" s="65" t="n"/>
      <c r="T573" s="65" t="n"/>
      <c r="U573" s="65" t="n"/>
      <c r="V573" s="65" t="n"/>
    </row>
    <row r="574">
      <c r="A574" s="65" t="n"/>
      <c r="B574" s="65" t="n"/>
      <c r="C574" s="65" t="n"/>
      <c r="D574" s="65" t="n"/>
      <c r="E574" s="65" t="n"/>
      <c r="F574" s="65" t="n"/>
      <c r="G574" s="65" t="n"/>
      <c r="H574" s="65" t="inlineStr">
        <is>
          <t>[0121] TRANSGLOB API GL-5 SAE 80W-90 (1x6)</t>
        </is>
      </c>
      <c r="I574" s="65" t="n">
        <v>121</v>
      </c>
      <c r="J574" s="63" t="inlineStr">
        <is>
          <t>1,00</t>
        </is>
      </c>
      <c r="K574" s="63" t="inlineStr">
        <is>
          <t>51,72</t>
        </is>
      </c>
      <c r="L574" s="63" t="inlineStr">
        <is>
          <t>11,95</t>
        </is>
      </c>
      <c r="M574" s="63" t="inlineStr">
        <is>
          <t>45,54</t>
        </is>
      </c>
      <c r="N574" s="63" t="inlineStr">
        <is>
          <t>52,83</t>
        </is>
      </c>
      <c r="O574" s="65" t="n"/>
      <c r="P574" s="65" t="n"/>
      <c r="Q574" s="65" t="n"/>
      <c r="R574" s="65" t="n"/>
      <c r="S574" s="65" t="n"/>
      <c r="T574" s="65" t="n"/>
      <c r="U574" s="65" t="n"/>
      <c r="V574" s="65" t="n"/>
    </row>
    <row r="575">
      <c r="A575" s="65" t="n"/>
      <c r="B575" s="65" t="n"/>
      <c r="C575" s="65" t="n"/>
      <c r="D575" s="65" t="n"/>
      <c r="E575" s="65" t="n"/>
      <c r="F575" s="65" t="n"/>
      <c r="G575" s="65" t="n"/>
      <c r="H575" s="65" t="inlineStr">
        <is>
          <t>[0888] ENDUROGLOB 2T AIRE (1x12)</t>
        </is>
      </c>
      <c r="I575" s="65" t="n">
        <v>888</v>
      </c>
      <c r="J575" s="63" t="inlineStr">
        <is>
          <t>1,00</t>
        </is>
      </c>
      <c r="K575" s="63" t="inlineStr">
        <is>
          <t>99,47</t>
        </is>
      </c>
      <c r="L575" s="63" t="inlineStr">
        <is>
          <t>11,95</t>
        </is>
      </c>
      <c r="M575" s="63" t="inlineStr">
        <is>
          <t>87,58</t>
        </is>
      </c>
      <c r="N575" s="63" t="inlineStr">
        <is>
          <t>101,59</t>
        </is>
      </c>
      <c r="O575" s="65" t="n"/>
      <c r="P575" s="65" t="n"/>
      <c r="Q575" s="65" t="n"/>
      <c r="R575" s="65" t="n"/>
      <c r="S575" s="65" t="n"/>
      <c r="T575" s="65" t="n"/>
      <c r="U575" s="65" t="n"/>
      <c r="V575" s="65" t="n"/>
    </row>
    <row r="576">
      <c r="A576" s="65" t="inlineStr">
        <is>
          <t>S00619</t>
        </is>
      </c>
      <c r="B576" s="62" t="n">
        <v>46205.42982638889</v>
      </c>
      <c r="C576" s="65" t="inlineStr">
        <is>
          <t>Cauchera El Gordo 0410,c.a.</t>
        </is>
      </c>
      <c r="D576" s="65" t="inlineStr">
        <is>
          <t>Frank Vasquez</t>
        </is>
      </c>
      <c r="E576" s="65" t="inlineStr">
        <is>
          <t>7 días</t>
        </is>
      </c>
      <c r="F576" s="65" t="n">
        <v>5</v>
      </c>
      <c r="G576" s="65" t="inlineStr">
        <is>
          <t>Pago VES</t>
        </is>
      </c>
      <c r="H576" s="65" t="inlineStr">
        <is>
          <t>[0877] SS EXTRA PROTECCION API SN SAE 15W-40 (1X12)</t>
        </is>
      </c>
      <c r="I576" s="65" t="n">
        <v>877</v>
      </c>
      <c r="J576" s="63" t="inlineStr">
        <is>
          <t>1,00</t>
        </is>
      </c>
      <c r="K576" s="63" t="inlineStr">
        <is>
          <t>100,80</t>
        </is>
      </c>
      <c r="L576" s="63" t="inlineStr">
        <is>
          <t>11,95</t>
        </is>
      </c>
      <c r="M576" s="63" t="inlineStr">
        <is>
          <t>88,75</t>
        </is>
      </c>
      <c r="N576" s="63" t="inlineStr">
        <is>
          <t>102,95</t>
        </is>
      </c>
      <c r="O576" s="63" t="inlineStr">
        <is>
          <t>226,55</t>
        </is>
      </c>
      <c r="P576" s="63" t="inlineStr">
        <is>
          <t>262,80</t>
        </is>
      </c>
      <c r="Q576" s="63" t="inlineStr">
        <is>
          <t>724,00</t>
        </is>
      </c>
      <c r="R576" s="66" t="n">
        <v>46217</v>
      </c>
      <c r="S576" s="65" t="n">
        <v>460</v>
      </c>
      <c r="T576" s="65" t="inlineStr">
        <is>
          <t>00-00001004</t>
        </is>
      </c>
      <c r="U576" s="63" t="inlineStr">
        <is>
          <t>262,78</t>
        </is>
      </c>
      <c r="V576" s="63" t="inlineStr">
        <is>
          <t>262,80</t>
        </is>
      </c>
    </row>
    <row r="577">
      <c r="A577" s="65" t="n"/>
      <c r="B577" s="65" t="n"/>
      <c r="C577" s="65" t="n"/>
      <c r="D577" s="65" t="n"/>
      <c r="E577" s="65" t="n"/>
      <c r="F577" s="65" t="n"/>
      <c r="G577" s="65" t="n"/>
      <c r="H577" s="65" t="inlineStr">
        <is>
          <t>[0880] CLASICO API SL SAE 15W-40 (1x12)</t>
        </is>
      </c>
      <c r="I577" s="65" t="n">
        <v>880</v>
      </c>
      <c r="J577" s="63" t="inlineStr">
        <is>
          <t>1,00</t>
        </is>
      </c>
      <c r="K577" s="63" t="inlineStr">
        <is>
          <t>86,21</t>
        </is>
      </c>
      <c r="L577" s="63" t="inlineStr">
        <is>
          <t>11,95</t>
        </is>
      </c>
      <c r="M577" s="63" t="inlineStr">
        <is>
          <t>75,91</t>
        </is>
      </c>
      <c r="N577" s="63" t="inlineStr">
        <is>
          <t>88,06</t>
        </is>
      </c>
      <c r="O577" s="65" t="n"/>
      <c r="P577" s="65" t="n"/>
      <c r="Q577" s="65" t="n"/>
      <c r="R577" s="65" t="n"/>
      <c r="S577" s="65" t="n"/>
      <c r="T577" s="65" t="n"/>
      <c r="U577" s="65" t="n"/>
      <c r="V577" s="65" t="n"/>
    </row>
    <row r="578">
      <c r="A578" s="65" t="n"/>
      <c r="B578" s="65" t="n"/>
      <c r="C578" s="65" t="n"/>
      <c r="D578" s="65" t="n"/>
      <c r="E578" s="65" t="n"/>
      <c r="F578" s="65" t="n"/>
      <c r="G578" s="65" t="n"/>
      <c r="H578" s="65" t="inlineStr">
        <is>
          <t>[0779] SINOCO SAE 20W-50 (1x12)</t>
        </is>
      </c>
      <c r="I578" s="65" t="n">
        <v>779</v>
      </c>
      <c r="J578" s="63" t="inlineStr">
        <is>
          <t>1,00</t>
        </is>
      </c>
      <c r="K578" s="63" t="inlineStr">
        <is>
          <t>70,29</t>
        </is>
      </c>
      <c r="L578" s="63" t="inlineStr">
        <is>
          <t>11,95</t>
        </is>
      </c>
      <c r="M578" s="63" t="inlineStr">
        <is>
          <t>61,89</t>
        </is>
      </c>
      <c r="N578" s="63" t="inlineStr">
        <is>
          <t>71,79</t>
        </is>
      </c>
      <c r="O578" s="65" t="n"/>
      <c r="P578" s="65" t="n"/>
      <c r="Q578" s="65" t="n"/>
      <c r="R578" s="65" t="n"/>
      <c r="S578" s="65" t="n"/>
      <c r="T578" s="65" t="n"/>
      <c r="U578" s="65" t="n"/>
      <c r="V578" s="65" t="n"/>
    </row>
    <row r="579">
      <c r="A579" s="65" t="inlineStr">
        <is>
          <t>S00616</t>
        </is>
      </c>
      <c r="B579" s="62" t="n">
        <v>46204.47392361111</v>
      </c>
      <c r="C579" s="65" t="inlineStr">
        <is>
          <t>Multiservicios Sanahuja 36 C.A</t>
        </is>
      </c>
      <c r="D579" s="65" t="inlineStr">
        <is>
          <t>GRIMAN DIAZ HECTOR EDUARDO</t>
        </is>
      </c>
      <c r="E579" s="65" t="inlineStr">
        <is>
          <t>7 días</t>
        </is>
      </c>
      <c r="F579" s="65" t="n">
        <v>5</v>
      </c>
      <c r="G579" s="65" t="inlineStr">
        <is>
          <t>Pago VES</t>
        </is>
      </c>
      <c r="H579" s="65" t="inlineStr">
        <is>
          <t>[0093] ALTA CILINDRADA SS API SN SAE 15W-40 (1x6)</t>
        </is>
      </c>
      <c r="I579" s="65" t="n">
        <v>93</v>
      </c>
      <c r="J579" s="63" t="inlineStr">
        <is>
          <t>1,00</t>
        </is>
      </c>
      <c r="K579" s="63" t="inlineStr">
        <is>
          <t>46,42</t>
        </is>
      </c>
      <c r="L579" s="63" t="inlineStr">
        <is>
          <t>11,06</t>
        </is>
      </c>
      <c r="M579" s="63" t="inlineStr">
        <is>
          <t>41,29</t>
        </is>
      </c>
      <c r="N579" s="63" t="inlineStr">
        <is>
          <t>47,90</t>
        </is>
      </c>
      <c r="O579" s="63" t="inlineStr">
        <is>
          <t>41,29</t>
        </is>
      </c>
      <c r="P579" s="63" t="inlineStr">
        <is>
          <t>47,90</t>
        </is>
      </c>
      <c r="Q579" s="63" t="inlineStr">
        <is>
          <t>724,00</t>
        </is>
      </c>
      <c r="R579" s="66" t="n">
        <v>46217</v>
      </c>
      <c r="S579" s="65" t="n">
        <v>461</v>
      </c>
      <c r="T579" s="65" t="inlineStr">
        <is>
          <t>00-00001005</t>
        </is>
      </c>
      <c r="U579" s="63" t="inlineStr">
        <is>
          <t>47,88</t>
        </is>
      </c>
      <c r="V579" s="63" t="inlineStr">
        <is>
          <t>47,89</t>
        </is>
      </c>
    </row>
    <row r="580">
      <c r="A580" s="65" t="inlineStr">
        <is>
          <t>S00611</t>
        </is>
      </c>
      <c r="B580" s="62" t="n">
        <v>46204.45081018518</v>
      </c>
      <c r="C580" s="65" t="inlineStr">
        <is>
          <t>SERVICIOS Y MANTENIMIENTO SPACARS, C.A</t>
        </is>
      </c>
      <c r="D580" s="65" t="inlineStr">
        <is>
          <t>TORO ARDILES DAVID JOSE</t>
        </is>
      </c>
      <c r="E580" s="65" t="inlineStr">
        <is>
          <t>7 días</t>
        </is>
      </c>
      <c r="F580" s="65" t="n">
        <v>5</v>
      </c>
      <c r="G580" s="65" t="inlineStr">
        <is>
          <t>Pago VES</t>
        </is>
      </c>
      <c r="H580" s="65" t="inlineStr">
        <is>
          <t>[0001] ELITE API SP SAE 0W-20 (1x6)</t>
        </is>
      </c>
      <c r="I580" s="65" t="n">
        <v>1</v>
      </c>
      <c r="J580" s="63" t="inlineStr">
        <is>
          <t>2,00</t>
        </is>
      </c>
      <c r="K580" s="63" t="inlineStr">
        <is>
          <t>74,27</t>
        </is>
      </c>
      <c r="L580" s="63" t="inlineStr">
        <is>
          <t>11,06</t>
        </is>
      </c>
      <c r="M580" s="63" t="inlineStr">
        <is>
          <t>132,11</t>
        </is>
      </c>
      <c r="N580" s="63" t="inlineStr">
        <is>
          <t>153,25</t>
        </is>
      </c>
      <c r="O580" s="63" t="inlineStr">
        <is>
          <t>1.276,32</t>
        </is>
      </c>
      <c r="P580" s="63" t="inlineStr">
        <is>
          <t>1.480,54</t>
        </is>
      </c>
      <c r="Q580" s="65" t="n"/>
      <c r="R580" s="65" t="n"/>
      <c r="S580" s="65" t="n"/>
      <c r="T580" s="65" t="n"/>
      <c r="U580" s="65" t="n"/>
      <c r="V580" s="65" t="n"/>
    </row>
    <row r="581">
      <c r="A581" s="65" t="n"/>
      <c r="B581" s="65" t="n"/>
      <c r="C581" s="65" t="n"/>
      <c r="D581" s="65" t="n"/>
      <c r="E581" s="65" t="n"/>
      <c r="F581" s="65" t="n"/>
      <c r="G581" s="65" t="n"/>
      <c r="H581" s="65" t="inlineStr">
        <is>
          <t>[0007] ELITE API SN SAE 5W-20 (1x6)</t>
        </is>
      </c>
      <c r="I581" s="65" t="n">
        <v>7</v>
      </c>
      <c r="J581" s="63" t="inlineStr">
        <is>
          <t>2,00</t>
        </is>
      </c>
      <c r="K581" s="63" t="inlineStr">
        <is>
          <t>72,94</t>
        </is>
      </c>
      <c r="L581" s="63" t="inlineStr">
        <is>
          <t>11,06</t>
        </is>
      </c>
      <c r="M581" s="63" t="inlineStr">
        <is>
          <t>129,75</t>
        </is>
      </c>
      <c r="N581" s="63" t="inlineStr">
        <is>
          <t>150,51</t>
        </is>
      </c>
      <c r="O581" s="65" t="n"/>
      <c r="P581" s="65" t="n"/>
      <c r="Q581" s="65" t="n"/>
      <c r="R581" s="65" t="n"/>
      <c r="S581" s="65" t="n"/>
      <c r="T581" s="65" t="n"/>
      <c r="U581" s="65" t="n"/>
      <c r="V581" s="65" t="n"/>
    </row>
    <row r="582">
      <c r="A582" s="65" t="n"/>
      <c r="B582" s="65" t="n"/>
      <c r="C582" s="65" t="n"/>
      <c r="D582" s="65" t="n"/>
      <c r="E582" s="65" t="n"/>
      <c r="F582" s="65" t="n"/>
      <c r="G582" s="65" t="n"/>
      <c r="H582" s="65" t="inlineStr">
        <is>
          <t>[0013] ELITE API SN SAE 5W-30 (1x6)</t>
        </is>
      </c>
      <c r="I582" s="65" t="n">
        <v>13</v>
      </c>
      <c r="J582" s="63" t="inlineStr">
        <is>
          <t>2,00</t>
        </is>
      </c>
      <c r="K582" s="63" t="inlineStr">
        <is>
          <t>72,94</t>
        </is>
      </c>
      <c r="L582" s="63" t="inlineStr">
        <is>
          <t>11,06</t>
        </is>
      </c>
      <c r="M582" s="63" t="inlineStr">
        <is>
          <t>129,75</t>
        </is>
      </c>
      <c r="N582" s="63" t="inlineStr">
        <is>
          <t>150,51</t>
        </is>
      </c>
      <c r="O582" s="65" t="n"/>
      <c r="P582" s="65" t="n"/>
      <c r="Q582" s="65" t="n"/>
      <c r="R582" s="65" t="n"/>
      <c r="S582" s="65" t="n"/>
      <c r="T582" s="65" t="n"/>
      <c r="U582" s="65" t="n"/>
      <c r="V582" s="65" t="n"/>
    </row>
    <row r="583">
      <c r="A583" s="65" t="n"/>
      <c r="B583" s="65" t="n"/>
      <c r="C583" s="65" t="n"/>
      <c r="D583" s="65" t="n"/>
      <c r="E583" s="65" t="n"/>
      <c r="F583" s="65" t="n"/>
      <c r="G583" s="65" t="n"/>
      <c r="H583" s="65" t="inlineStr">
        <is>
          <t>[0019] ELITE API SN SAE 5W-40 (1x6)</t>
        </is>
      </c>
      <c r="I583" s="65" t="n">
        <v>19</v>
      </c>
      <c r="J583" s="63" t="inlineStr">
        <is>
          <t>2,00</t>
        </is>
      </c>
      <c r="K583" s="63" t="inlineStr">
        <is>
          <t>72,94</t>
        </is>
      </c>
      <c r="L583" s="63" t="inlineStr">
        <is>
          <t>11,06</t>
        </is>
      </c>
      <c r="M583" s="63" t="inlineStr">
        <is>
          <t>129,75</t>
        </is>
      </c>
      <c r="N583" s="63" t="inlineStr">
        <is>
          <t>150,51</t>
        </is>
      </c>
      <c r="O583" s="65" t="n"/>
      <c r="P583" s="65" t="n"/>
      <c r="Q583" s="65" t="n"/>
      <c r="R583" s="65" t="n"/>
      <c r="S583" s="65" t="n"/>
      <c r="T583" s="65" t="n"/>
      <c r="U583" s="65" t="n"/>
      <c r="V583" s="65" t="n"/>
    </row>
    <row r="584">
      <c r="A584" s="65" t="n"/>
      <c r="B584" s="65" t="n"/>
      <c r="C584" s="65" t="n"/>
      <c r="D584" s="65" t="n"/>
      <c r="E584" s="65" t="n"/>
      <c r="F584" s="65" t="n"/>
      <c r="G584" s="65" t="n"/>
      <c r="H584" s="65" t="inlineStr">
        <is>
          <t>[0877] SS EXTRA PROTECCION API SN SAE 15W-40 (1X12)</t>
        </is>
      </c>
      <c r="I584" s="65" t="n">
        <v>877</v>
      </c>
      <c r="J584" s="63" t="inlineStr">
        <is>
          <t>5,00</t>
        </is>
      </c>
      <c r="K584" s="63" t="inlineStr">
        <is>
          <t>100,80</t>
        </is>
      </c>
      <c r="L584" s="63" t="inlineStr">
        <is>
          <t>11,06</t>
        </is>
      </c>
      <c r="M584" s="63" t="inlineStr">
        <is>
          <t>448,26</t>
        </is>
      </c>
      <c r="N584" s="63" t="inlineStr">
        <is>
          <t>519,98</t>
        </is>
      </c>
      <c r="O584" s="65" t="n"/>
      <c r="P584" s="65" t="n"/>
      <c r="Q584" s="65" t="n"/>
      <c r="R584" s="65" t="n"/>
      <c r="S584" s="65" t="n"/>
      <c r="T584" s="65" t="n"/>
      <c r="U584" s="65" t="n"/>
      <c r="V584" s="65" t="n"/>
    </row>
    <row r="585">
      <c r="A585" s="65" t="n"/>
      <c r="B585" s="65" t="n"/>
      <c r="C585" s="65" t="n"/>
      <c r="D585" s="65" t="n"/>
      <c r="E585" s="65" t="n"/>
      <c r="F585" s="65" t="n"/>
      <c r="G585" s="65" t="n"/>
      <c r="H585" s="65" t="inlineStr">
        <is>
          <t>[0880] CLASICO API SL SAE 15W-40 (1x12)</t>
        </is>
      </c>
      <c r="I585" s="65" t="n">
        <v>880</v>
      </c>
      <c r="J585" s="63" t="inlineStr">
        <is>
          <t>2,00</t>
        </is>
      </c>
      <c r="K585" s="63" t="inlineStr">
        <is>
          <t>86,21</t>
        </is>
      </c>
      <c r="L585" s="63" t="inlineStr">
        <is>
          <t>11,06</t>
        </is>
      </c>
      <c r="M585" s="63" t="inlineStr">
        <is>
          <t>153,35</t>
        </is>
      </c>
      <c r="N585" s="63" t="inlineStr">
        <is>
          <t>177,89</t>
        </is>
      </c>
      <c r="O585" s="65" t="n"/>
      <c r="P585" s="65" t="n"/>
      <c r="Q585" s="65" t="n"/>
      <c r="R585" s="65" t="n"/>
      <c r="S585" s="65" t="n"/>
      <c r="T585" s="65" t="n"/>
      <c r="U585" s="65" t="n"/>
      <c r="V585" s="65" t="n"/>
    </row>
    <row r="586">
      <c r="A586" s="65" t="n"/>
      <c r="B586" s="65" t="n"/>
      <c r="C586" s="65" t="n"/>
      <c r="D586" s="65" t="n"/>
      <c r="E586" s="65" t="n"/>
      <c r="F586" s="65" t="n"/>
      <c r="G586" s="65" t="n"/>
      <c r="H586" s="65" t="inlineStr">
        <is>
          <t>[0881] CLASICO API SL SAE 20W-50 (1x12)</t>
        </is>
      </c>
      <c r="I586" s="65" t="n">
        <v>881</v>
      </c>
      <c r="J586" s="63" t="inlineStr">
        <is>
          <t>2,00</t>
        </is>
      </c>
      <c r="K586" s="63" t="inlineStr">
        <is>
          <t>86,21</t>
        </is>
      </c>
      <c r="L586" s="63" t="inlineStr">
        <is>
          <t>11,06</t>
        </is>
      </c>
      <c r="M586" s="63" t="inlineStr">
        <is>
          <t>153,35</t>
        </is>
      </c>
      <c r="N586" s="63" t="inlineStr">
        <is>
          <t>177,89</t>
        </is>
      </c>
      <c r="O586" s="65" t="n"/>
      <c r="P586" s="65" t="n"/>
      <c r="Q586" s="65" t="n"/>
      <c r="R586" s="65" t="n"/>
      <c r="S586" s="65" t="n"/>
      <c r="T586" s="65" t="n"/>
      <c r="U586" s="65" t="n"/>
      <c r="V586" s="65" t="n"/>
    </row>
    <row r="587">
      <c r="A587" s="65" t="inlineStr">
        <is>
          <t>S00612</t>
        </is>
      </c>
      <c r="B587" s="62" t="n">
        <v>46204.44826388889</v>
      </c>
      <c r="C587" s="65" t="inlineStr">
        <is>
          <t>Ingrit Martinez</t>
        </is>
      </c>
      <c r="D587" s="65" t="inlineStr">
        <is>
          <t>VILLABONA CORREA ALBA ESTEFANIA</t>
        </is>
      </c>
      <c r="E587" s="65" t="inlineStr">
        <is>
          <t>7 días</t>
        </is>
      </c>
      <c r="F587" s="65" t="n">
        <v>5</v>
      </c>
      <c r="G587" s="65" t="inlineStr">
        <is>
          <t>Pago VES</t>
        </is>
      </c>
      <c r="H587" s="65" t="inlineStr">
        <is>
          <t>[0884] TRANSMATIC ATF DEXRON III (1x12)</t>
        </is>
      </c>
      <c r="I587" s="65" t="n">
        <v>884</v>
      </c>
      <c r="J587" s="63" t="inlineStr">
        <is>
          <t>3,00</t>
        </is>
      </c>
      <c r="K587" s="63" t="inlineStr">
        <is>
          <t>95,49</t>
        </is>
      </c>
      <c r="L587" s="63" t="inlineStr">
        <is>
          <t>11,06</t>
        </is>
      </c>
      <c r="M587" s="63" t="inlineStr">
        <is>
          <t>254,79</t>
        </is>
      </c>
      <c r="N587" s="63" t="inlineStr">
        <is>
          <t>295,56</t>
        </is>
      </c>
      <c r="O587" s="63" t="inlineStr">
        <is>
          <t>799,75</t>
        </is>
      </c>
      <c r="P587" s="63" t="inlineStr">
        <is>
          <t>927,71</t>
        </is>
      </c>
      <c r="Q587" s="63" t="inlineStr">
        <is>
          <t>724,00</t>
        </is>
      </c>
      <c r="R587" s="66" t="n">
        <v>46217</v>
      </c>
      <c r="S587" s="65" t="n">
        <v>462</v>
      </c>
      <c r="T587" s="65" t="inlineStr">
        <is>
          <t>00-00001006</t>
        </is>
      </c>
      <c r="U587" s="63" t="inlineStr">
        <is>
          <t>927,68</t>
        </is>
      </c>
      <c r="V587" s="63" t="inlineStr">
        <is>
          <t>927,71</t>
        </is>
      </c>
    </row>
    <row r="588">
      <c r="A588" s="65" t="n"/>
      <c r="B588" s="65" t="n"/>
      <c r="C588" s="65" t="n"/>
      <c r="D588" s="65" t="n"/>
      <c r="E588" s="65" t="n"/>
      <c r="F588" s="65" t="n"/>
      <c r="G588" s="65" t="n"/>
      <c r="H588" s="65" t="inlineStr">
        <is>
          <t>[0881] CLASICO API SL SAE 20W-50 (1x12)</t>
        </is>
      </c>
      <c r="I588" s="65" t="n">
        <v>881</v>
      </c>
      <c r="J588" s="63" t="inlineStr">
        <is>
          <t>2,00</t>
        </is>
      </c>
      <c r="K588" s="63" t="inlineStr">
        <is>
          <t>86,21</t>
        </is>
      </c>
      <c r="L588" s="63" t="inlineStr">
        <is>
          <t>11,06</t>
        </is>
      </c>
      <c r="M588" s="63" t="inlineStr">
        <is>
          <t>153,35</t>
        </is>
      </c>
      <c r="N588" s="63" t="inlineStr">
        <is>
          <t>177,89</t>
        </is>
      </c>
      <c r="O588" s="65" t="n"/>
      <c r="P588" s="65" t="n"/>
      <c r="Q588" s="65" t="n"/>
      <c r="R588" s="65" t="n"/>
      <c r="S588" s="65" t="n"/>
      <c r="T588" s="65" t="n"/>
      <c r="U588" s="65" t="n"/>
      <c r="V588" s="65" t="n"/>
    </row>
    <row r="589">
      <c r="A589" s="65" t="n"/>
      <c r="B589" s="65" t="n"/>
      <c r="C589" s="65" t="n"/>
      <c r="D589" s="65" t="n"/>
      <c r="E589" s="65" t="n"/>
      <c r="F589" s="65" t="n"/>
      <c r="G589" s="65" t="n"/>
      <c r="H589" s="65" t="inlineStr">
        <is>
          <t>[0938] CLASICO API SL SAE 20W-50 (1X3)</t>
        </is>
      </c>
      <c r="I589" s="65" t="n">
        <v>938</v>
      </c>
      <c r="J589" s="63" t="inlineStr">
        <is>
          <t>1,00</t>
        </is>
      </c>
      <c r="K589" s="63" t="inlineStr">
        <is>
          <t>94,16</t>
        </is>
      </c>
      <c r="L589" s="63" t="inlineStr">
        <is>
          <t>11,06</t>
        </is>
      </c>
      <c r="M589" s="63" t="inlineStr">
        <is>
          <t>83,75</t>
        </is>
      </c>
      <c r="N589" s="63" t="inlineStr">
        <is>
          <t>97,15</t>
        </is>
      </c>
      <c r="O589" s="65" t="n"/>
      <c r="P589" s="65" t="n"/>
      <c r="Q589" s="65" t="n"/>
      <c r="R589" s="65" t="n"/>
      <c r="S589" s="65" t="n"/>
      <c r="T589" s="65" t="n"/>
      <c r="U589" s="65" t="n"/>
      <c r="V589" s="65" t="n"/>
    </row>
    <row r="590">
      <c r="A590" s="65" t="n"/>
      <c r="B590" s="65" t="n"/>
      <c r="C590" s="65" t="n"/>
      <c r="D590" s="65" t="n"/>
      <c r="E590" s="65" t="n"/>
      <c r="F590" s="65" t="n"/>
      <c r="G590" s="65" t="n"/>
      <c r="H590" s="65" t="inlineStr">
        <is>
          <t>[0877] SS EXTRA PROTECCION API SN SAE 15W-40 (1X12)</t>
        </is>
      </c>
      <c r="I590" s="65" t="n">
        <v>877</v>
      </c>
      <c r="J590" s="63" t="inlineStr">
        <is>
          <t>1,00</t>
        </is>
      </c>
      <c r="K590" s="63" t="inlineStr">
        <is>
          <t>100,80</t>
        </is>
      </c>
      <c r="L590" s="63" t="inlineStr">
        <is>
          <t>11,06</t>
        </is>
      </c>
      <c r="M590" s="63" t="inlineStr">
        <is>
          <t>89,65</t>
        </is>
      </c>
      <c r="N590" s="63" t="inlineStr">
        <is>
          <t>103,99</t>
        </is>
      </c>
      <c r="O590" s="65" t="n"/>
      <c r="P590" s="65" t="n"/>
      <c r="Q590" s="65" t="n"/>
      <c r="R590" s="65" t="n"/>
      <c r="S590" s="65" t="n"/>
      <c r="T590" s="65" t="n"/>
      <c r="U590" s="65" t="n"/>
      <c r="V590" s="65" t="n"/>
    </row>
    <row r="591">
      <c r="A591" s="65" t="n"/>
      <c r="B591" s="65" t="n"/>
      <c r="C591" s="65" t="n"/>
      <c r="D591" s="65" t="n"/>
      <c r="E591" s="65" t="n"/>
      <c r="F591" s="65" t="n"/>
      <c r="G591" s="65" t="n"/>
      <c r="H591" s="65" t="inlineStr">
        <is>
          <t>[0937] SS EXTRA PROTECCION API SN SAE 15W-40 (1X3)</t>
        </is>
      </c>
      <c r="I591" s="65" t="n">
        <v>937</v>
      </c>
      <c r="J591" s="63" t="inlineStr">
        <is>
          <t>1,00</t>
        </is>
      </c>
      <c r="K591" s="63" t="inlineStr">
        <is>
          <t>104,77</t>
        </is>
      </c>
      <c r="L591" s="63" t="inlineStr">
        <is>
          <t>11,06</t>
        </is>
      </c>
      <c r="M591" s="63" t="inlineStr">
        <is>
          <t>93,18</t>
        </is>
      </c>
      <c r="N591" s="63" t="inlineStr">
        <is>
          <t>108,09</t>
        </is>
      </c>
      <c r="O591" s="65" t="n"/>
      <c r="P591" s="65" t="n"/>
      <c r="Q591" s="65" t="n"/>
      <c r="R591" s="65" t="n"/>
      <c r="S591" s="65" t="n"/>
      <c r="T591" s="65" t="n"/>
      <c r="U591" s="65" t="n"/>
      <c r="V591" s="65" t="n"/>
    </row>
    <row r="592">
      <c r="A592" s="65" t="n"/>
      <c r="B592" s="65" t="n"/>
      <c r="C592" s="65" t="n"/>
      <c r="D592" s="65" t="n"/>
      <c r="E592" s="65" t="n"/>
      <c r="F592" s="65" t="n"/>
      <c r="G592" s="65" t="n"/>
      <c r="H592" s="65" t="inlineStr">
        <is>
          <t>[0779] SINOCO SAE 20W-50 (1x12)</t>
        </is>
      </c>
      <c r="I592" s="65" t="n">
        <v>779</v>
      </c>
      <c r="J592" s="63" t="inlineStr">
        <is>
          <t>2,00</t>
        </is>
      </c>
      <c r="K592" s="63" t="inlineStr">
        <is>
          <t>70,29</t>
        </is>
      </c>
      <c r="L592" s="63" t="inlineStr">
        <is>
          <t>11,06</t>
        </is>
      </c>
      <c r="M592" s="63" t="inlineStr">
        <is>
          <t>125,03</t>
        </is>
      </c>
      <c r="N592" s="63" t="inlineStr">
        <is>
          <t>145,03</t>
        </is>
      </c>
      <c r="O592" s="65" t="n"/>
      <c r="P592" s="65" t="n"/>
      <c r="Q592" s="65" t="n"/>
      <c r="R592" s="65" t="n"/>
      <c r="S592" s="65" t="n"/>
      <c r="T592" s="65" t="n"/>
      <c r="U592" s="65" t="n"/>
      <c r="V592" s="65" t="n"/>
    </row>
    <row r="593">
      <c r="A593" s="65" t="inlineStr">
        <is>
          <t>S00608</t>
        </is>
      </c>
      <c r="B593" s="62" t="n">
        <v>46203.48523148148</v>
      </c>
      <c r="C593" s="65" t="inlineStr">
        <is>
          <t>CONSTRUCTORA GRANO AGREGADO, C.A</t>
        </is>
      </c>
      <c r="D593" s="65" t="inlineStr">
        <is>
          <t>Marco Romero</t>
        </is>
      </c>
      <c r="E593" s="65" t="inlineStr">
        <is>
          <t>7 días</t>
        </is>
      </c>
      <c r="F593" s="65" t="n">
        <v>5</v>
      </c>
      <c r="G593" s="65" t="inlineStr">
        <is>
          <t>Pago VES</t>
        </is>
      </c>
      <c r="H593" s="65" t="inlineStr">
        <is>
          <t>[0085] MAXIMO API CF SAE 50 (Tambor)</t>
        </is>
      </c>
      <c r="I593" s="65" t="n">
        <v>85</v>
      </c>
      <c r="J593" s="63" t="inlineStr">
        <is>
          <t>2,00</t>
        </is>
      </c>
      <c r="K593" s="63" t="inlineStr">
        <is>
          <t>1.136,60</t>
        </is>
      </c>
      <c r="L593" s="63" t="inlineStr">
        <is>
          <t>9,59</t>
        </is>
      </c>
      <c r="M593" s="63" t="inlineStr">
        <is>
          <t>2.055,20</t>
        </is>
      </c>
      <c r="N593" s="63" t="inlineStr">
        <is>
          <t>2.384,03</t>
        </is>
      </c>
      <c r="O593" s="63" t="inlineStr">
        <is>
          <t>8.736,42</t>
        </is>
      </c>
      <c r="P593" s="63" t="inlineStr">
        <is>
          <t>10.134,24</t>
        </is>
      </c>
      <c r="Q593" s="65" t="n"/>
      <c r="R593" s="65" t="n"/>
      <c r="S593" s="65" t="n"/>
      <c r="T593" s="65" t="n"/>
      <c r="U593" s="65" t="n"/>
      <c r="V593" s="65" t="n"/>
    </row>
    <row r="594">
      <c r="A594" s="65" t="n"/>
      <c r="B594" s="65" t="n"/>
      <c r="C594" s="65" t="n"/>
      <c r="D594" s="65" t="n"/>
      <c r="E594" s="65" t="n"/>
      <c r="F594" s="65" t="n"/>
      <c r="G594" s="65" t="n"/>
      <c r="H594" s="65" t="inlineStr">
        <is>
          <t>[0146] HIDRAGLOB AW/ISO 68 (Tambor)</t>
        </is>
      </c>
      <c r="I594" s="65" t="n">
        <v>146</v>
      </c>
      <c r="J594" s="63" t="inlineStr">
        <is>
          <t>2,00</t>
        </is>
      </c>
      <c r="K594" s="63" t="inlineStr">
        <is>
          <t>1.103,45</t>
        </is>
      </c>
      <c r="L594" s="63" t="inlineStr">
        <is>
          <t>9,59</t>
        </is>
      </c>
      <c r="M594" s="63" t="inlineStr">
        <is>
          <t>1.995,26</t>
        </is>
      </c>
      <c r="N594" s="63" t="inlineStr">
        <is>
          <t>2.314,50</t>
        </is>
      </c>
      <c r="O594" s="65" t="n"/>
      <c r="P594" s="65" t="n"/>
      <c r="Q594" s="65" t="n"/>
      <c r="R594" s="65" t="n"/>
      <c r="S594" s="65" t="n"/>
      <c r="T594" s="65" t="n"/>
      <c r="U594" s="65" t="n"/>
      <c r="V594" s="65" t="n"/>
    </row>
    <row r="595">
      <c r="A595" s="65" t="n"/>
      <c r="B595" s="65" t="n"/>
      <c r="C595" s="65" t="n"/>
      <c r="D595" s="65" t="n"/>
      <c r="E595" s="65" t="n"/>
      <c r="F595" s="65" t="n"/>
      <c r="G595" s="65" t="n"/>
      <c r="H595" s="65" t="inlineStr">
        <is>
          <t>[0125] TRANSGLOB API GL-5 SAE 80W-90 (Tambor)</t>
        </is>
      </c>
      <c r="I595" s="65" t="n">
        <v>125</v>
      </c>
      <c r="J595" s="63" t="inlineStr">
        <is>
          <t>2,00</t>
        </is>
      </c>
      <c r="K595" s="63" t="inlineStr">
        <is>
          <t>1.319,63</t>
        </is>
      </c>
      <c r="L595" s="63" t="inlineStr">
        <is>
          <t>9,59</t>
        </is>
      </c>
      <c r="M595" s="63" t="inlineStr">
        <is>
          <t>2.386,15</t>
        </is>
      </c>
      <c r="N595" s="63" t="inlineStr">
        <is>
          <t>2.767,93</t>
        </is>
      </c>
      <c r="O595" s="65" t="n"/>
      <c r="P595" s="65" t="n"/>
      <c r="Q595" s="65" t="n"/>
      <c r="R595" s="65" t="n"/>
      <c r="S595" s="65" t="n"/>
      <c r="T595" s="65" t="n"/>
      <c r="U595" s="65" t="n"/>
      <c r="V595" s="65" t="n"/>
    </row>
    <row r="596">
      <c r="A596" s="65" t="n"/>
      <c r="B596" s="65" t="n"/>
      <c r="C596" s="65" t="n"/>
      <c r="D596" s="65" t="n"/>
      <c r="E596" s="65" t="n"/>
      <c r="F596" s="65" t="n"/>
      <c r="G596" s="65" t="n"/>
      <c r="H596" s="65" t="inlineStr">
        <is>
          <t>[0075] SUPREMO API CI-4 SAE 15W-40 (Tambor)</t>
        </is>
      </c>
      <c r="I596" s="65" t="n">
        <v>75</v>
      </c>
      <c r="J596" s="63" t="inlineStr">
        <is>
          <t>2,00</t>
        </is>
      </c>
      <c r="K596" s="63" t="inlineStr">
        <is>
          <t>1.271,88</t>
        </is>
      </c>
      <c r="L596" s="63" t="inlineStr">
        <is>
          <t>9,59</t>
        </is>
      </c>
      <c r="M596" s="63" t="inlineStr">
        <is>
          <t>2.299,81</t>
        </is>
      </c>
      <c r="N596" s="63" t="inlineStr">
        <is>
          <t>2.667,78</t>
        </is>
      </c>
      <c r="O596" s="65" t="n"/>
      <c r="P596" s="65" t="n"/>
      <c r="Q596" s="65" t="n"/>
      <c r="R596" s="65" t="n"/>
      <c r="S596" s="65" t="n"/>
      <c r="T596" s="65" t="n"/>
      <c r="U596" s="65" t="n"/>
      <c r="V596" s="65" t="n"/>
    </row>
    <row r="597">
      <c r="A597" s="65" t="n"/>
      <c r="B597" s="65" t="n"/>
      <c r="C597" s="65" t="n"/>
      <c r="D597" s="65" t="n"/>
      <c r="E597" s="65" t="n"/>
      <c r="F597" s="65" t="n"/>
      <c r="G597" s="65" t="n"/>
      <c r="H597" s="65" t="n"/>
      <c r="I597" s="65" t="n"/>
      <c r="J597" s="63" t="inlineStr">
        <is>
          <t>0,00</t>
        </is>
      </c>
      <c r="K597" s="63" t="inlineStr">
        <is>
          <t>0,00</t>
        </is>
      </c>
      <c r="L597" s="63" t="inlineStr">
        <is>
          <t>0,00</t>
        </is>
      </c>
      <c r="M597" s="63" t="inlineStr">
        <is>
          <t>0,00</t>
        </is>
      </c>
      <c r="N597" s="63" t="inlineStr">
        <is>
          <t>0,00</t>
        </is>
      </c>
      <c r="O597" s="65" t="n"/>
      <c r="P597" s="65" t="n"/>
      <c r="Q597" s="65" t="n"/>
      <c r="R597" s="65" t="n"/>
      <c r="S597" s="65" t="n"/>
      <c r="T597" s="65" t="n"/>
      <c r="U597" s="65" t="n"/>
      <c r="V597" s="65" t="n"/>
    </row>
    <row r="598">
      <c r="A598" s="65" t="inlineStr">
        <is>
          <t>S00607</t>
        </is>
      </c>
      <c r="B598" s="62" t="n">
        <v>46203.40804398148</v>
      </c>
      <c r="C598" s="65" t="inlineStr">
        <is>
          <t>FREDI MARQUEZ</t>
        </is>
      </c>
      <c r="D598" s="65" t="inlineStr">
        <is>
          <t>PEREZ DIAZ ANGEL DE DIOS</t>
        </is>
      </c>
      <c r="E598" s="65" t="inlineStr">
        <is>
          <t>7 días</t>
        </is>
      </c>
      <c r="F598" s="65" t="n">
        <v>5</v>
      </c>
      <c r="G598" s="65" t="inlineStr">
        <is>
          <t>Pago VES</t>
        </is>
      </c>
      <c r="H598" s="65" t="inlineStr">
        <is>
          <t>[0602] SINOCO SAE 50 (PAILA)</t>
        </is>
      </c>
      <c r="I598" s="65" t="n">
        <v>602</v>
      </c>
      <c r="J598" s="63" t="inlineStr">
        <is>
          <t>4,00</t>
        </is>
      </c>
      <c r="K598" s="63" t="inlineStr">
        <is>
          <t>96,82</t>
        </is>
      </c>
      <c r="L598" s="63" t="inlineStr">
        <is>
          <t>11,06</t>
        </is>
      </c>
      <c r="M598" s="63" t="inlineStr">
        <is>
          <t>344,45</t>
        </is>
      </c>
      <c r="N598" s="63" t="inlineStr">
        <is>
          <t>399,56</t>
        </is>
      </c>
      <c r="O598" s="63" t="inlineStr">
        <is>
          <t>344,45</t>
        </is>
      </c>
      <c r="P598" s="63" t="inlineStr">
        <is>
          <t>399,56</t>
        </is>
      </c>
      <c r="Q598" s="63" t="inlineStr">
        <is>
          <t>724,00</t>
        </is>
      </c>
      <c r="R598" s="66" t="n">
        <v>46217</v>
      </c>
      <c r="S598" s="65" t="n">
        <v>463</v>
      </c>
      <c r="T598" s="65" t="inlineStr">
        <is>
          <t>00-00001007</t>
        </is>
      </c>
      <c r="U598" s="63" t="inlineStr">
        <is>
          <t>399,55</t>
        </is>
      </c>
      <c r="V598" s="63" t="inlineStr">
        <is>
          <t>399,56</t>
        </is>
      </c>
    </row>
    <row r="599">
      <c r="A599" s="65" t="inlineStr">
        <is>
          <t>S00125</t>
        </is>
      </c>
      <c r="B599" s="62" t="n">
        <v>46202.76886574074</v>
      </c>
      <c r="C599" s="65" t="inlineStr">
        <is>
          <t>Megacar2020.c.a</t>
        </is>
      </c>
      <c r="D599" s="65" t="inlineStr">
        <is>
          <t>PEREZ DIAZ ANGEL DE DIOS</t>
        </is>
      </c>
      <c r="E599" s="65" t="inlineStr">
        <is>
          <t>15 días</t>
        </is>
      </c>
      <c r="F599" s="65" t="n">
        <v>3</v>
      </c>
      <c r="G599" s="65" t="inlineStr">
        <is>
          <t>Precio Full Marzo</t>
        </is>
      </c>
      <c r="H599" s="65" t="inlineStr">
        <is>
          <t>[0887] MOTOCLASICO 4T SAE 20W-50 (1x12)</t>
        </is>
      </c>
      <c r="I599" s="65" t="n">
        <v>887</v>
      </c>
      <c r="J599" s="63" t="inlineStr">
        <is>
          <t>1,00</t>
        </is>
      </c>
      <c r="K599" s="63" t="inlineStr">
        <is>
          <t>85,34</t>
        </is>
      </c>
      <c r="L599" s="63" t="inlineStr">
        <is>
          <t>0,00</t>
        </is>
      </c>
      <c r="M599" s="63" t="inlineStr">
        <is>
          <t>85,34</t>
        </is>
      </c>
      <c r="N599" s="63" t="inlineStr">
        <is>
          <t>98,99</t>
        </is>
      </c>
      <c r="O599" s="63" t="inlineStr">
        <is>
          <t>85,34</t>
        </is>
      </c>
      <c r="P599" s="63" t="inlineStr">
        <is>
          <t>98,99</t>
        </is>
      </c>
      <c r="Q599" s="63" t="inlineStr">
        <is>
          <t>567,68</t>
        </is>
      </c>
      <c r="R599" s="66" t="n">
        <v>46182</v>
      </c>
      <c r="S599" s="65" t="n">
        <v>135</v>
      </c>
      <c r="T599" s="65" t="inlineStr">
        <is>
          <t>00-00000568</t>
        </is>
      </c>
      <c r="U599" s="63" t="inlineStr">
        <is>
          <t>65,99</t>
        </is>
      </c>
      <c r="V599" s="63" t="inlineStr">
        <is>
          <t>0,00</t>
        </is>
      </c>
    </row>
    <row r="600">
      <c r="A600" s="65" t="inlineStr">
        <is>
          <t>S00601</t>
        </is>
      </c>
      <c r="B600" s="62" t="n">
        <v>46196.71165509259</v>
      </c>
      <c r="C600" s="65" t="inlineStr">
        <is>
          <t>Inversiones may Cars 2016 c.a</t>
        </is>
      </c>
      <c r="D600" s="65" t="inlineStr">
        <is>
          <t>BETANCOURT ROBRIGUEZ LUIS ENRRIQUE</t>
        </is>
      </c>
      <c r="E600" s="65" t="inlineStr">
        <is>
          <t>7 días</t>
        </is>
      </c>
      <c r="F600" s="65" t="n">
        <v>5</v>
      </c>
      <c r="G600" s="65" t="inlineStr">
        <is>
          <t>Pago VES</t>
        </is>
      </c>
      <c r="H600" s="65" t="inlineStr">
        <is>
          <t>[0887] MOTOCLASICO 4T SAE 20W-50 (1x12)</t>
        </is>
      </c>
      <c r="I600" s="65" t="n">
        <v>887</v>
      </c>
      <c r="J600" s="63" t="inlineStr">
        <is>
          <t>2,00</t>
        </is>
      </c>
      <c r="K600" s="63" t="inlineStr">
        <is>
          <t>90,19</t>
        </is>
      </c>
      <c r="L600" s="63" t="inlineStr">
        <is>
          <t>8,80</t>
        </is>
      </c>
      <c r="M600" s="63" t="inlineStr">
        <is>
          <t>164,51</t>
        </is>
      </c>
      <c r="N600" s="63" t="inlineStr">
        <is>
          <t>190,83</t>
        </is>
      </c>
      <c r="O600" s="63" t="inlineStr">
        <is>
          <t>258,85</t>
        </is>
      </c>
      <c r="P600" s="63" t="inlineStr">
        <is>
          <t>300,26</t>
        </is>
      </c>
      <c r="Q600" s="63" t="inlineStr">
        <is>
          <t>724,00</t>
        </is>
      </c>
      <c r="R600" s="66" t="n">
        <v>46217</v>
      </c>
      <c r="S600" s="65" t="n">
        <v>464</v>
      </c>
      <c r="T600" s="65" t="inlineStr">
        <is>
          <t>00-00001008</t>
        </is>
      </c>
      <c r="U600" s="63" t="inlineStr">
        <is>
          <t>300,24</t>
        </is>
      </c>
      <c r="V600" s="63" t="inlineStr">
        <is>
          <t>300,26</t>
        </is>
      </c>
    </row>
    <row r="601">
      <c r="A601" s="65" t="n"/>
      <c r="B601" s="65" t="n"/>
      <c r="C601" s="65" t="n"/>
      <c r="D601" s="65" t="n"/>
      <c r="E601" s="65" t="n"/>
      <c r="F601" s="65" t="n"/>
      <c r="G601" s="65" t="n"/>
      <c r="H601" s="65" t="n"/>
      <c r="I601" s="65" t="n"/>
      <c r="J601" s="63" t="inlineStr">
        <is>
          <t>0,00</t>
        </is>
      </c>
      <c r="K601" s="63" t="inlineStr">
        <is>
          <t>0,00</t>
        </is>
      </c>
      <c r="L601" s="63" t="inlineStr">
        <is>
          <t>0,00</t>
        </is>
      </c>
      <c r="M601" s="63" t="inlineStr">
        <is>
          <t>0,00</t>
        </is>
      </c>
      <c r="N601" s="63" t="inlineStr">
        <is>
          <t>0,00</t>
        </is>
      </c>
      <c r="O601" s="65" t="n"/>
      <c r="P601" s="65" t="n"/>
      <c r="Q601" s="65" t="n"/>
      <c r="R601" s="65" t="n"/>
      <c r="S601" s="65" t="n"/>
      <c r="T601" s="65" t="n"/>
      <c r="U601" s="65" t="n"/>
      <c r="V601" s="65" t="n"/>
    </row>
    <row r="602">
      <c r="A602" s="65" t="n"/>
      <c r="B602" s="65" t="n"/>
      <c r="C602" s="65" t="n"/>
      <c r="D602" s="65" t="n"/>
      <c r="E602" s="65" t="n"/>
      <c r="F602" s="65" t="n"/>
      <c r="G602" s="65" t="n"/>
      <c r="H602" s="65" t="inlineStr">
        <is>
          <t>[0121] TRANSGLOB API GL-5 SAE 80W-90 (1x6)</t>
        </is>
      </c>
      <c r="I602" s="65" t="n">
        <v>121</v>
      </c>
      <c r="J602" s="63" t="inlineStr">
        <is>
          <t>2,00</t>
        </is>
      </c>
      <c r="K602" s="63" t="inlineStr">
        <is>
          <t>51,72</t>
        </is>
      </c>
      <c r="L602" s="63" t="inlineStr">
        <is>
          <t>8,80</t>
        </is>
      </c>
      <c r="M602" s="63" t="inlineStr">
        <is>
          <t>94,34</t>
        </is>
      </c>
      <c r="N602" s="63" t="inlineStr">
        <is>
          <t>109,43</t>
        </is>
      </c>
      <c r="O602" s="65" t="n"/>
      <c r="P602" s="65" t="n"/>
      <c r="Q602" s="65" t="n"/>
      <c r="R602" s="65" t="n"/>
      <c r="S602" s="65" t="n"/>
      <c r="T602" s="65" t="n"/>
      <c r="U602" s="65" t="n"/>
      <c r="V602" s="65" t="n"/>
    </row>
    <row r="603">
      <c r="A603" s="65" t="inlineStr">
        <is>
          <t>S00600</t>
        </is>
      </c>
      <c r="B603" s="62" t="n">
        <v>46196.71145833333</v>
      </c>
      <c r="C603" s="65" t="inlineStr">
        <is>
          <t>MOTO REPUESTOS LA FLECHA II C.A.</t>
        </is>
      </c>
      <c r="D603" s="65" t="inlineStr">
        <is>
          <t>TORO ARDILES DAVID JOSE</t>
        </is>
      </c>
      <c r="E603" s="65" t="inlineStr">
        <is>
          <t>7 días</t>
        </is>
      </c>
      <c r="F603" s="65" t="n">
        <v>5</v>
      </c>
      <c r="G603" s="65" t="inlineStr">
        <is>
          <t>Pago VES</t>
        </is>
      </c>
      <c r="H603" s="65" t="inlineStr">
        <is>
          <t>[0761] LIGA PARA FRENOS DOT-3 (1x12)</t>
        </is>
      </c>
      <c r="I603" s="65" t="n">
        <v>761</v>
      </c>
      <c r="J603" s="63" t="inlineStr">
        <is>
          <t>3,00</t>
        </is>
      </c>
      <c r="K603" s="63" t="inlineStr">
        <is>
          <t>35,81</t>
        </is>
      </c>
      <c r="L603" s="63" t="inlineStr">
        <is>
          <t>8,80</t>
        </is>
      </c>
      <c r="M603" s="63" t="inlineStr">
        <is>
          <t>97,98</t>
        </is>
      </c>
      <c r="N603" s="63" t="inlineStr">
        <is>
          <t>113,66</t>
        </is>
      </c>
      <c r="O603" s="63" t="inlineStr">
        <is>
          <t>1.014,82</t>
        </is>
      </c>
      <c r="P603" s="63" t="inlineStr">
        <is>
          <t>1.177,20</t>
        </is>
      </c>
      <c r="Q603" s="65" t="n"/>
      <c r="R603" s="65" t="n"/>
      <c r="S603" s="65" t="n"/>
      <c r="T603" s="65" t="n"/>
      <c r="U603" s="65" t="n"/>
      <c r="V603" s="65" t="n"/>
    </row>
    <row r="604">
      <c r="A604" s="65" t="n"/>
      <c r="B604" s="65" t="n"/>
      <c r="C604" s="65" t="n"/>
      <c r="D604" s="65" t="n"/>
      <c r="E604" s="65" t="n"/>
      <c r="F604" s="65" t="n"/>
      <c r="G604" s="65" t="n"/>
      <c r="H604" s="65" t="inlineStr">
        <is>
          <t>[0775] LIGA PARA FRENOS DOT-4 (1X12)</t>
        </is>
      </c>
      <c r="I604" s="65" t="n">
        <v>775</v>
      </c>
      <c r="J604" s="63" t="inlineStr">
        <is>
          <t>2,00</t>
        </is>
      </c>
      <c r="K604" s="63" t="inlineStr">
        <is>
          <t>41,11</t>
        </is>
      </c>
      <c r="L604" s="63" t="inlineStr">
        <is>
          <t>8,80</t>
        </is>
      </c>
      <c r="M604" s="63" t="inlineStr">
        <is>
          <t>74,98</t>
        </is>
      </c>
      <c r="N604" s="63" t="inlineStr">
        <is>
          <t>86,98</t>
        </is>
      </c>
      <c r="O604" s="65" t="n"/>
      <c r="P604" s="65" t="n"/>
      <c r="Q604" s="65" t="n"/>
      <c r="R604" s="65" t="n"/>
      <c r="S604" s="65" t="n"/>
      <c r="T604" s="65" t="n"/>
      <c r="U604" s="65" t="n"/>
      <c r="V604" s="65" t="n"/>
    </row>
    <row r="605">
      <c r="A605" s="65" t="n"/>
      <c r="B605" s="65" t="n"/>
      <c r="C605" s="65" t="n"/>
      <c r="D605" s="65" t="n"/>
      <c r="E605" s="65" t="n"/>
      <c r="F605" s="65" t="n"/>
      <c r="G605" s="65" t="n"/>
      <c r="H605" s="65" t="inlineStr">
        <is>
          <t>[0762] LIGA PARA FRENOS DOT-3 (1x6)</t>
        </is>
      </c>
      <c r="I605" s="65" t="n">
        <v>762</v>
      </c>
      <c r="J605" s="63" t="inlineStr">
        <is>
          <t>2,00</t>
        </is>
      </c>
      <c r="K605" s="63" t="inlineStr">
        <is>
          <t>57,03</t>
        </is>
      </c>
      <c r="L605" s="63" t="inlineStr">
        <is>
          <t>8,80</t>
        </is>
      </c>
      <c r="M605" s="63" t="inlineStr">
        <is>
          <t>104,02</t>
        </is>
      </c>
      <c r="N605" s="63" t="inlineStr">
        <is>
          <t>120,66</t>
        </is>
      </c>
      <c r="O605" s="65" t="n"/>
      <c r="P605" s="65" t="n"/>
      <c r="Q605" s="65" t="n"/>
      <c r="R605" s="65" t="n"/>
      <c r="S605" s="65" t="n"/>
      <c r="T605" s="65" t="n"/>
      <c r="U605" s="65" t="n"/>
      <c r="V605" s="65" t="n"/>
    </row>
    <row r="606">
      <c r="A606" s="65" t="n"/>
      <c r="B606" s="65" t="n"/>
      <c r="C606" s="65" t="n"/>
      <c r="D606" s="65" t="n"/>
      <c r="E606" s="65" t="n"/>
      <c r="F606" s="65" t="n"/>
      <c r="G606" s="65" t="n"/>
      <c r="H606" s="65" t="inlineStr">
        <is>
          <t>[0774] LIGA PARA FRENOS DOT-4 (1X6)</t>
        </is>
      </c>
      <c r="I606" s="65" t="n">
        <v>774</v>
      </c>
      <c r="J606" s="63" t="inlineStr">
        <is>
          <t>1,00</t>
        </is>
      </c>
      <c r="K606" s="63" t="inlineStr">
        <is>
          <t>64,99</t>
        </is>
      </c>
      <c r="L606" s="63" t="inlineStr">
        <is>
          <t>8,80</t>
        </is>
      </c>
      <c r="M606" s="63" t="inlineStr">
        <is>
          <t>59,27</t>
        </is>
      </c>
      <c r="N606" s="63" t="inlineStr">
        <is>
          <t>68,75</t>
        </is>
      </c>
      <c r="O606" s="65" t="n"/>
      <c r="P606" s="65" t="n"/>
      <c r="Q606" s="65" t="n"/>
      <c r="R606" s="65" t="n"/>
      <c r="S606" s="65" t="n"/>
      <c r="T606" s="65" t="n"/>
      <c r="U606" s="65" t="n"/>
      <c r="V606" s="65" t="n"/>
    </row>
    <row r="607">
      <c r="A607" s="65" t="n"/>
      <c r="B607" s="65" t="n"/>
      <c r="C607" s="65" t="n"/>
      <c r="D607" s="65" t="n"/>
      <c r="E607" s="65" t="n"/>
      <c r="F607" s="65" t="n"/>
      <c r="G607" s="65" t="n"/>
      <c r="H607" s="65" t="inlineStr">
        <is>
          <t>[0884] TRANSMATIC ATF DEXRON III (1x12)</t>
        </is>
      </c>
      <c r="I607" s="65" t="n">
        <v>884</v>
      </c>
      <c r="J607" s="63" t="inlineStr">
        <is>
          <t>2,00</t>
        </is>
      </c>
      <c r="K607" s="63" t="inlineStr">
        <is>
          <t>95,49</t>
        </is>
      </c>
      <c r="L607" s="63" t="inlineStr">
        <is>
          <t>8,80</t>
        </is>
      </c>
      <c r="M607" s="63" t="inlineStr">
        <is>
          <t>174,17</t>
        </is>
      </c>
      <c r="N607" s="63" t="inlineStr">
        <is>
          <t>202,04</t>
        </is>
      </c>
      <c r="O607" s="65" t="n"/>
      <c r="P607" s="65" t="n"/>
      <c r="Q607" s="65" t="n"/>
      <c r="R607" s="65" t="n"/>
      <c r="S607" s="65" t="n"/>
      <c r="T607" s="65" t="n"/>
      <c r="U607" s="65" t="n"/>
      <c r="V607" s="65" t="n"/>
    </row>
    <row r="608">
      <c r="A608" s="65" t="n"/>
      <c r="B608" s="65" t="n"/>
      <c r="C608" s="65" t="n"/>
      <c r="D608" s="65" t="n"/>
      <c r="E608" s="65" t="n"/>
      <c r="F608" s="65" t="n"/>
      <c r="G608" s="65" t="n"/>
      <c r="H608" s="65" t="inlineStr">
        <is>
          <t>[0887] MOTOCLASICO 4T SAE 20W-50 (1x12)</t>
        </is>
      </c>
      <c r="I608" s="65" t="n">
        <v>887</v>
      </c>
      <c r="J608" s="63" t="inlineStr">
        <is>
          <t>4,00</t>
        </is>
      </c>
      <c r="K608" s="63" t="inlineStr">
        <is>
          <t>90,19</t>
        </is>
      </c>
      <c r="L608" s="63" t="inlineStr">
        <is>
          <t>8,80</t>
        </is>
      </c>
      <c r="M608" s="63" t="inlineStr">
        <is>
          <t>329,01</t>
        </is>
      </c>
      <c r="N608" s="63" t="inlineStr">
        <is>
          <t>381,65</t>
        </is>
      </c>
      <c r="O608" s="65" t="n"/>
      <c r="P608" s="65" t="n"/>
      <c r="Q608" s="65" t="n"/>
      <c r="R608" s="65" t="n"/>
      <c r="S608" s="65" t="n"/>
      <c r="T608" s="65" t="n"/>
      <c r="U608" s="65" t="n"/>
      <c r="V608" s="65" t="n"/>
    </row>
    <row r="609">
      <c r="A609" s="65" t="n"/>
      <c r="B609" s="65" t="n"/>
      <c r="C609" s="65" t="n"/>
      <c r="D609" s="65" t="n"/>
      <c r="E609" s="65" t="n"/>
      <c r="F609" s="65" t="n"/>
      <c r="G609" s="65" t="n"/>
      <c r="H609" s="65" t="inlineStr">
        <is>
          <t>[0888] ENDUROGLOB 2T AIRE (1x12)</t>
        </is>
      </c>
      <c r="I609" s="65" t="n">
        <v>888</v>
      </c>
      <c r="J609" s="63" t="inlineStr">
        <is>
          <t>1,00</t>
        </is>
      </c>
      <c r="K609" s="63" t="inlineStr">
        <is>
          <t>99,47</t>
        </is>
      </c>
      <c r="L609" s="63" t="inlineStr">
        <is>
          <t>8,80</t>
        </is>
      </c>
      <c r="M609" s="63" t="inlineStr">
        <is>
          <t>90,72</t>
        </is>
      </c>
      <c r="N609" s="63" t="inlineStr">
        <is>
          <t>105,24</t>
        </is>
      </c>
      <c r="O609" s="65" t="n"/>
      <c r="P609" s="65" t="n"/>
      <c r="Q609" s="65" t="n"/>
      <c r="R609" s="65" t="n"/>
      <c r="S609" s="65" t="n"/>
      <c r="T609" s="65" t="n"/>
      <c r="U609" s="65" t="n"/>
      <c r="V609" s="65" t="n"/>
    </row>
    <row r="610">
      <c r="A610" s="65" t="n"/>
      <c r="B610" s="65" t="n"/>
      <c r="C610" s="65" t="n"/>
      <c r="D610" s="65" t="n"/>
      <c r="E610" s="65" t="n"/>
      <c r="F610" s="65" t="n"/>
      <c r="G610" s="65" t="n"/>
      <c r="H610" s="65" t="inlineStr">
        <is>
          <t>[0093] ALTA CILINDRADA SS API SN SAE 15W-40 (1x6)</t>
        </is>
      </c>
      <c r="I610" s="65" t="n">
        <v>93</v>
      </c>
      <c r="J610" s="63" t="inlineStr">
        <is>
          <t>2,00</t>
        </is>
      </c>
      <c r="K610" s="63" t="inlineStr">
        <is>
          <t>46,42</t>
        </is>
      </c>
      <c r="L610" s="63" t="inlineStr">
        <is>
          <t>8,80</t>
        </is>
      </c>
      <c r="M610" s="63" t="inlineStr">
        <is>
          <t>84,67</t>
        </is>
      </c>
      <c r="N610" s="63" t="inlineStr">
        <is>
          <t>98,22</t>
        </is>
      </c>
      <c r="O610" s="65" t="n"/>
      <c r="P610" s="65" t="n"/>
      <c r="Q610" s="65" t="n"/>
      <c r="R610" s="65" t="n"/>
      <c r="S610" s="65" t="n"/>
      <c r="T610" s="65" t="n"/>
      <c r="U610" s="65" t="n"/>
      <c r="V610" s="65" t="n"/>
    </row>
    <row r="611">
      <c r="A611" s="65" t="inlineStr">
        <is>
          <t>S00599</t>
        </is>
      </c>
      <c r="B611" s="62" t="n">
        <v>46196.71130787037</v>
      </c>
      <c r="C611" s="65" t="inlineStr">
        <is>
          <t>Lubricantes BK C.A</t>
        </is>
      </c>
      <c r="D611" s="65" t="inlineStr">
        <is>
          <t>GRIMAN DIAZ HECTOR EDUARDO</t>
        </is>
      </c>
      <c r="E611" s="65" t="inlineStr">
        <is>
          <t>7 días</t>
        </is>
      </c>
      <c r="F611" s="65" t="n">
        <v>5</v>
      </c>
      <c r="G611" s="65" t="inlineStr">
        <is>
          <t>Pago VES</t>
        </is>
      </c>
      <c r="H611" s="65" t="inlineStr">
        <is>
          <t>[0602] SINOCO SAE 50 (PAILA)</t>
        </is>
      </c>
      <c r="I611" s="65" t="n">
        <v>602</v>
      </c>
      <c r="J611" s="63" t="inlineStr">
        <is>
          <t>2,00</t>
        </is>
      </c>
      <c r="K611" s="63" t="inlineStr">
        <is>
          <t>96,82</t>
        </is>
      </c>
      <c r="L611" s="63" t="inlineStr">
        <is>
          <t>8,80</t>
        </is>
      </c>
      <c r="M611" s="63" t="inlineStr">
        <is>
          <t>176,60</t>
        </is>
      </c>
      <c r="N611" s="63" t="inlineStr">
        <is>
          <t>204,86</t>
        </is>
      </c>
      <c r="O611" s="63" t="inlineStr">
        <is>
          <t>240,70</t>
        </is>
      </c>
      <c r="P611" s="63" t="inlineStr">
        <is>
          <t>279,22</t>
        </is>
      </c>
      <c r="Q611" s="63" t="inlineStr">
        <is>
          <t>724,00</t>
        </is>
      </c>
      <c r="R611" s="66" t="n">
        <v>46217</v>
      </c>
      <c r="S611" s="65" t="n">
        <v>465</v>
      </c>
      <c r="T611" s="65" t="inlineStr">
        <is>
          <t>00-00001009</t>
        </is>
      </c>
      <c r="U611" s="63" t="inlineStr">
        <is>
          <t>279,20</t>
        </is>
      </c>
      <c r="V611" s="63" t="inlineStr">
        <is>
          <t>279,22</t>
        </is>
      </c>
    </row>
    <row r="612">
      <c r="A612" s="65" t="n"/>
      <c r="B612" s="65" t="n"/>
      <c r="C612" s="65" t="n"/>
      <c r="D612" s="65" t="n"/>
      <c r="E612" s="65" t="n"/>
      <c r="F612" s="65" t="n"/>
      <c r="G612" s="65" t="n"/>
      <c r="H612" s="65" t="inlineStr">
        <is>
          <t>[0779] SINOCO SAE 20W-50 (1x12)</t>
        </is>
      </c>
      <c r="I612" s="65" t="n">
        <v>779</v>
      </c>
      <c r="J612" s="63" t="inlineStr">
        <is>
          <t>1,00</t>
        </is>
      </c>
      <c r="K612" s="63" t="inlineStr">
        <is>
          <t>70,29</t>
        </is>
      </c>
      <c r="L612" s="63" t="inlineStr">
        <is>
          <t>8,80</t>
        </is>
      </c>
      <c r="M612" s="63" t="inlineStr">
        <is>
          <t>64,10</t>
        </is>
      </c>
      <c r="N612" s="63" t="inlineStr">
        <is>
          <t>74,36</t>
        </is>
      </c>
      <c r="O612" s="65" t="n"/>
      <c r="P612" s="65" t="n"/>
      <c r="Q612" s="65" t="n"/>
      <c r="R612" s="65" t="n"/>
      <c r="S612" s="65" t="n"/>
      <c r="T612" s="65" t="n"/>
      <c r="U612" s="65" t="n"/>
      <c r="V612" s="65" t="n"/>
    </row>
    <row r="613">
      <c r="A613" s="65" t="inlineStr">
        <is>
          <t>S00598</t>
        </is>
      </c>
      <c r="B613" s="62" t="n">
        <v>46196.70133101852</v>
      </c>
      <c r="C613" s="65" t="inlineStr">
        <is>
          <t>Cauchera William 2018, C.A, Ricardo Madrid</t>
        </is>
      </c>
      <c r="D613" s="65" t="inlineStr">
        <is>
          <t>MARTINEZ MONTES JEFFREY ENRIQUE</t>
        </is>
      </c>
      <c r="E613" s="65" t="inlineStr">
        <is>
          <t>7 días</t>
        </is>
      </c>
      <c r="F613" s="65" t="n">
        <v>5</v>
      </c>
      <c r="G613" s="65" t="inlineStr">
        <is>
          <t>Pago VES</t>
        </is>
      </c>
      <c r="H613" s="65" t="inlineStr">
        <is>
          <t>[0881] CLASICO API SL SAE 20W-50 (1x12)</t>
        </is>
      </c>
      <c r="I613" s="65" t="n">
        <v>881</v>
      </c>
      <c r="J613" s="63" t="inlineStr">
        <is>
          <t>1,00</t>
        </is>
      </c>
      <c r="K613" s="63" t="inlineStr">
        <is>
          <t>86,21</t>
        </is>
      </c>
      <c r="L613" s="63" t="inlineStr">
        <is>
          <t>8,80</t>
        </is>
      </c>
      <c r="M613" s="63" t="inlineStr">
        <is>
          <t>78,62</t>
        </is>
      </c>
      <c r="N613" s="63" t="inlineStr">
        <is>
          <t>91,20</t>
        </is>
      </c>
      <c r="O613" s="63" t="inlineStr">
        <is>
          <t>424,56</t>
        </is>
      </c>
      <c r="P613" s="63" t="inlineStr">
        <is>
          <t>492,49</t>
        </is>
      </c>
      <c r="Q613" s="63" t="inlineStr">
        <is>
          <t>724,00</t>
        </is>
      </c>
      <c r="R613" s="66" t="n">
        <v>46217</v>
      </c>
      <c r="S613" s="65" t="n">
        <v>466</v>
      </c>
      <c r="T613" s="65" t="inlineStr">
        <is>
          <t>00-00001010</t>
        </is>
      </c>
      <c r="U613" s="63" t="inlineStr">
        <is>
          <t>492,46</t>
        </is>
      </c>
      <c r="V613" s="63" t="inlineStr">
        <is>
          <t>492,49</t>
        </is>
      </c>
    </row>
    <row r="614">
      <c r="A614" s="65" t="n"/>
      <c r="B614" s="65" t="n"/>
      <c r="C614" s="65" t="n"/>
      <c r="D614" s="65" t="n"/>
      <c r="E614" s="65" t="n"/>
      <c r="F614" s="65" t="n"/>
      <c r="G614" s="65" t="n"/>
      <c r="H614" s="65" t="inlineStr">
        <is>
          <t>[0880] CLASICO API SL SAE 15W-40 (1x12)</t>
        </is>
      </c>
      <c r="I614" s="65" t="n">
        <v>880</v>
      </c>
      <c r="J614" s="63" t="inlineStr">
        <is>
          <t>1,00</t>
        </is>
      </c>
      <c r="K614" s="63" t="inlineStr">
        <is>
          <t>86,21</t>
        </is>
      </c>
      <c r="L614" s="63" t="inlineStr">
        <is>
          <t>8,80</t>
        </is>
      </c>
      <c r="M614" s="63" t="inlineStr">
        <is>
          <t>78,62</t>
        </is>
      </c>
      <c r="N614" s="63" t="inlineStr">
        <is>
          <t>91,20</t>
        </is>
      </c>
      <c r="O614" s="65" t="n"/>
      <c r="P614" s="65" t="n"/>
      <c r="Q614" s="65" t="n"/>
      <c r="R614" s="65" t="n"/>
      <c r="S614" s="65" t="n"/>
      <c r="T614" s="65" t="n"/>
      <c r="U614" s="65" t="n"/>
      <c r="V614" s="65" t="n"/>
    </row>
    <row r="615">
      <c r="A615" s="65" t="n"/>
      <c r="B615" s="65" t="n"/>
      <c r="C615" s="65" t="n"/>
      <c r="D615" s="65" t="n"/>
      <c r="E615" s="65" t="n"/>
      <c r="F615" s="65" t="n"/>
      <c r="G615" s="65" t="n"/>
      <c r="H615" s="65" t="inlineStr">
        <is>
          <t>[0877] SS EXTRA PROTECCION API SN SAE 15W-40 (1X12)</t>
        </is>
      </c>
      <c r="I615" s="65" t="n">
        <v>877</v>
      </c>
      <c r="J615" s="63" t="inlineStr">
        <is>
          <t>1,00</t>
        </is>
      </c>
      <c r="K615" s="63" t="inlineStr">
        <is>
          <t>100,80</t>
        </is>
      </c>
      <c r="L615" s="63" t="inlineStr">
        <is>
          <t>8,80</t>
        </is>
      </c>
      <c r="M615" s="63" t="inlineStr">
        <is>
          <t>91,93</t>
        </is>
      </c>
      <c r="N615" s="63" t="inlineStr">
        <is>
          <t>106,64</t>
        </is>
      </c>
      <c r="O615" s="65" t="n"/>
      <c r="P615" s="65" t="n"/>
      <c r="Q615" s="65" t="n"/>
      <c r="R615" s="65" t="n"/>
      <c r="S615" s="65" t="n"/>
      <c r="T615" s="65" t="n"/>
      <c r="U615" s="65" t="n"/>
      <c r="V615" s="65" t="n"/>
    </row>
    <row r="616">
      <c r="A616" s="65" t="n"/>
      <c r="B616" s="65" t="n"/>
      <c r="C616" s="65" t="n"/>
      <c r="D616" s="65" t="n"/>
      <c r="E616" s="65" t="n"/>
      <c r="F616" s="65" t="n"/>
      <c r="G616" s="65" t="n"/>
      <c r="H616" s="65" t="inlineStr">
        <is>
          <t>[0605] SINOCO SAE 20W-50 (PAILA)</t>
        </is>
      </c>
      <c r="I616" s="65" t="n">
        <v>605</v>
      </c>
      <c r="J616" s="63" t="inlineStr">
        <is>
          <t>1,00</t>
        </is>
      </c>
      <c r="K616" s="63" t="inlineStr">
        <is>
          <t>96,82</t>
        </is>
      </c>
      <c r="L616" s="63" t="inlineStr">
        <is>
          <t>8,80</t>
        </is>
      </c>
      <c r="M616" s="63" t="inlineStr">
        <is>
          <t>88,30</t>
        </is>
      </c>
      <c r="N616" s="63" t="inlineStr">
        <is>
          <t>102,43</t>
        </is>
      </c>
      <c r="O616" s="65" t="n"/>
      <c r="P616" s="65" t="n"/>
      <c r="Q616" s="65" t="n"/>
      <c r="R616" s="65" t="n"/>
      <c r="S616" s="65" t="n"/>
      <c r="T616" s="65" t="n"/>
      <c r="U616" s="65" t="n"/>
      <c r="V616" s="65" t="n"/>
    </row>
    <row r="617">
      <c r="A617" s="65" t="n"/>
      <c r="B617" s="65" t="n"/>
      <c r="C617" s="65" t="n"/>
      <c r="D617" s="65" t="n"/>
      <c r="E617" s="65" t="n"/>
      <c r="F617" s="65" t="n"/>
      <c r="G617" s="65" t="n"/>
      <c r="H617" s="65" t="inlineStr">
        <is>
          <t>[0884] TRANSMATIC ATF DEXRON III (1x12)</t>
        </is>
      </c>
      <c r="I617" s="65" t="n">
        <v>884</v>
      </c>
      <c r="J617" s="63" t="inlineStr">
        <is>
          <t>1,00</t>
        </is>
      </c>
      <c r="K617" s="63" t="inlineStr">
        <is>
          <t>95,49</t>
        </is>
      </c>
      <c r="L617" s="63" t="inlineStr">
        <is>
          <t>8,80</t>
        </is>
      </c>
      <c r="M617" s="63" t="inlineStr">
        <is>
          <t>87,09</t>
        </is>
      </c>
      <c r="N617" s="63" t="inlineStr">
        <is>
          <t>101,02</t>
        </is>
      </c>
      <c r="O617" s="65" t="n"/>
      <c r="P617" s="65" t="n"/>
      <c r="Q617" s="65" t="n"/>
      <c r="R617" s="65" t="n"/>
      <c r="S617" s="65" t="n"/>
      <c r="T617" s="65" t="n"/>
      <c r="U617" s="65" t="n"/>
      <c r="V617" s="65" t="n"/>
    </row>
    <row r="618">
      <c r="A618" s="65" t="inlineStr">
        <is>
          <t>S00597</t>
        </is>
      </c>
      <c r="B618" s="62" t="n">
        <v>46196.70097222222</v>
      </c>
      <c r="C618" s="65" t="inlineStr">
        <is>
          <t>AUTOREPUESTOS SION C.A.</t>
        </is>
      </c>
      <c r="D618" s="65" t="inlineStr">
        <is>
          <t>MARTINEZ MONTES JEFFREY ENRIQUE</t>
        </is>
      </c>
      <c r="E618" s="65" t="inlineStr">
        <is>
          <t>7 días</t>
        </is>
      </c>
      <c r="F618" s="65" t="n">
        <v>5</v>
      </c>
      <c r="G618" s="65" t="inlineStr">
        <is>
          <t>Pago VES</t>
        </is>
      </c>
      <c r="H618" s="65" t="inlineStr">
        <is>
          <t>[0877] SS EXTRA PROTECCION API SN SAE 15W-40 (1X12)</t>
        </is>
      </c>
      <c r="I618" s="65" t="n">
        <v>877</v>
      </c>
      <c r="J618" s="63" t="inlineStr">
        <is>
          <t>2,00</t>
        </is>
      </c>
      <c r="K618" s="63" t="inlineStr">
        <is>
          <t>100,80</t>
        </is>
      </c>
      <c r="L618" s="63" t="inlineStr">
        <is>
          <t>8,80</t>
        </is>
      </c>
      <c r="M618" s="63" t="inlineStr">
        <is>
          <t>183,86</t>
        </is>
      </c>
      <c r="N618" s="63" t="inlineStr">
        <is>
          <t>213,28</t>
        </is>
      </c>
      <c r="O618" s="63" t="inlineStr">
        <is>
          <t>183,86</t>
        </is>
      </c>
      <c r="P618" s="63" t="inlineStr">
        <is>
          <t>213,28</t>
        </is>
      </c>
      <c r="Q618" s="63" t="inlineStr">
        <is>
          <t>724,00</t>
        </is>
      </c>
      <c r="R618" s="66" t="n">
        <v>46217</v>
      </c>
      <c r="S618" s="65" t="n">
        <v>467</v>
      </c>
      <c r="T618" s="65" t="inlineStr">
        <is>
          <t>00-00001011</t>
        </is>
      </c>
      <c r="U618" s="63" t="inlineStr">
        <is>
          <t>213,26</t>
        </is>
      </c>
      <c r="V618" s="63" t="inlineStr">
        <is>
          <t>213,28</t>
        </is>
      </c>
    </row>
    <row r="619">
      <c r="A619" s="65" t="inlineStr">
        <is>
          <t>S00596</t>
        </is>
      </c>
      <c r="B619" s="62" t="n">
        <v>46196.69412037037</v>
      </c>
      <c r="C619" s="65" t="inlineStr">
        <is>
          <t>INVERSIONES JOSCAR XXI, S.A.</t>
        </is>
      </c>
      <c r="D619" s="65" t="inlineStr">
        <is>
          <t>TORO ARDILES DAVID JOSE</t>
        </is>
      </c>
      <c r="E619" s="65" t="inlineStr">
        <is>
          <t>7 días</t>
        </is>
      </c>
      <c r="F619" s="65" t="n">
        <v>5</v>
      </c>
      <c r="G619" s="65" t="inlineStr">
        <is>
          <t>Pago VES</t>
        </is>
      </c>
      <c r="H619" s="65" t="inlineStr">
        <is>
          <t>[0884] TRANSMATIC ATF DEXRON III (1x12)</t>
        </is>
      </c>
      <c r="I619" s="65" t="n">
        <v>884</v>
      </c>
      <c r="J619" s="63" t="inlineStr">
        <is>
          <t>1,00</t>
        </is>
      </c>
      <c r="K619" s="63" t="inlineStr">
        <is>
          <t>95,49</t>
        </is>
      </c>
      <c r="L619" s="63" t="inlineStr">
        <is>
          <t>8,80</t>
        </is>
      </c>
      <c r="M619" s="63" t="inlineStr">
        <is>
          <t>87,09</t>
        </is>
      </c>
      <c r="N619" s="63" t="inlineStr">
        <is>
          <t>101,02</t>
        </is>
      </c>
      <c r="O619" s="63" t="inlineStr">
        <is>
          <t>151,19</t>
        </is>
      </c>
      <c r="P619" s="63" t="inlineStr">
        <is>
          <t>175,38</t>
        </is>
      </c>
      <c r="Q619" s="63" t="inlineStr">
        <is>
          <t>724,00</t>
        </is>
      </c>
      <c r="R619" s="66" t="n">
        <v>46217</v>
      </c>
      <c r="S619" s="65" t="n">
        <v>468</v>
      </c>
      <c r="T619" s="65" t="inlineStr">
        <is>
          <t>00-00001012</t>
        </is>
      </c>
      <c r="U619" s="63" t="inlineStr">
        <is>
          <t>175,37</t>
        </is>
      </c>
      <c r="V619" s="63" t="inlineStr">
        <is>
          <t>175,38</t>
        </is>
      </c>
    </row>
    <row r="620">
      <c r="A620" s="65" t="n"/>
      <c r="B620" s="65" t="n"/>
      <c r="C620" s="65" t="n"/>
      <c r="D620" s="65" t="n"/>
      <c r="E620" s="65" t="n"/>
      <c r="F620" s="65" t="n"/>
      <c r="G620" s="65" t="n"/>
      <c r="H620" s="65" t="inlineStr">
        <is>
          <t>[0779] SINOCO SAE 20W-50 (1x12)</t>
        </is>
      </c>
      <c r="I620" s="65" t="n">
        <v>779</v>
      </c>
      <c r="J620" s="63" t="inlineStr">
        <is>
          <t>1,00</t>
        </is>
      </c>
      <c r="K620" s="63" t="inlineStr">
        <is>
          <t>70,29</t>
        </is>
      </c>
      <c r="L620" s="63" t="inlineStr">
        <is>
          <t>8,80</t>
        </is>
      </c>
      <c r="M620" s="63" t="inlineStr">
        <is>
          <t>64,10</t>
        </is>
      </c>
      <c r="N620" s="63" t="inlineStr">
        <is>
          <t>74,36</t>
        </is>
      </c>
      <c r="O620" s="65" t="n"/>
      <c r="P620" s="65" t="n"/>
      <c r="Q620" s="65" t="n"/>
      <c r="R620" s="65" t="n"/>
      <c r="S620" s="65" t="n"/>
      <c r="T620" s="65" t="n"/>
      <c r="U620" s="65" t="n"/>
      <c r="V620" s="65" t="n"/>
    </row>
    <row r="621">
      <c r="A621" s="65" t="inlineStr">
        <is>
          <t>S00595</t>
        </is>
      </c>
      <c r="B621" s="62" t="n">
        <v>46196.67306712963</v>
      </c>
      <c r="C621" s="65" t="inlineStr">
        <is>
          <t>Encamotors Catia C.A</t>
        </is>
      </c>
      <c r="D621" s="65" t="inlineStr">
        <is>
          <t>GRIMAN DIAZ HECTOR EDUARDO</t>
        </is>
      </c>
      <c r="E621" s="65" t="inlineStr">
        <is>
          <t>7 días</t>
        </is>
      </c>
      <c r="F621" s="65" t="n">
        <v>5</v>
      </c>
      <c r="G621" s="65" t="inlineStr">
        <is>
          <t>Pago VES</t>
        </is>
      </c>
      <c r="H621" s="65" t="inlineStr">
        <is>
          <t>[0774] LIGA PARA FRENOS DOT-4 (1X6)</t>
        </is>
      </c>
      <c r="I621" s="65" t="n">
        <v>774</v>
      </c>
      <c r="J621" s="63" t="inlineStr">
        <is>
          <t>1,00</t>
        </is>
      </c>
      <c r="K621" s="63" t="inlineStr">
        <is>
          <t>64,99</t>
        </is>
      </c>
      <c r="L621" s="63" t="inlineStr">
        <is>
          <t>8,80</t>
        </is>
      </c>
      <c r="M621" s="63" t="inlineStr">
        <is>
          <t>59,27</t>
        </is>
      </c>
      <c r="N621" s="63" t="inlineStr">
        <is>
          <t>68,75</t>
        </is>
      </c>
      <c r="O621" s="63" t="inlineStr">
        <is>
          <t>59,27</t>
        </is>
      </c>
      <c r="P621" s="63" t="inlineStr">
        <is>
          <t>68,75</t>
        </is>
      </c>
      <c r="Q621" s="63" t="inlineStr">
        <is>
          <t>724,00</t>
        </is>
      </c>
      <c r="R621" s="66" t="n">
        <v>46217</v>
      </c>
      <c r="S621" s="65" t="n">
        <v>469</v>
      </c>
      <c r="T621" s="65" t="inlineStr">
        <is>
          <t>00-00001013</t>
        </is>
      </c>
      <c r="U621" s="63" t="inlineStr">
        <is>
          <t>68,75</t>
        </is>
      </c>
      <c r="V621" s="63" t="inlineStr">
        <is>
          <t>68,75</t>
        </is>
      </c>
    </row>
    <row r="622">
      <c r="A622" s="65" t="inlineStr">
        <is>
          <t>S00593</t>
        </is>
      </c>
      <c r="B622" s="62" t="n">
        <v>46196.36878472222</v>
      </c>
      <c r="C622" s="65" t="inlineStr">
        <is>
          <t>Comercial los de faria,c.a.</t>
        </is>
      </c>
      <c r="D622" s="65" t="inlineStr">
        <is>
          <t>QUEVEDO BASTIDAS NEYKEL DAVID</t>
        </is>
      </c>
      <c r="E622" s="65" t="inlineStr">
        <is>
          <t>7 días</t>
        </is>
      </c>
      <c r="F622" s="65" t="n">
        <v>5</v>
      </c>
      <c r="G622" s="65" t="inlineStr">
        <is>
          <t>Pago VES</t>
        </is>
      </c>
      <c r="H622" s="65" t="inlineStr">
        <is>
          <t>[0073] SUPREMO API CI-4 SAE 15W-40 (PAILA)</t>
        </is>
      </c>
      <c r="I622" s="65" t="n">
        <v>73</v>
      </c>
      <c r="J622" s="63" t="inlineStr">
        <is>
          <t>2,00</t>
        </is>
      </c>
      <c r="K622" s="63" t="inlineStr">
        <is>
          <t>127,32</t>
        </is>
      </c>
      <c r="L622" s="63" t="inlineStr">
        <is>
          <t>8,80</t>
        </is>
      </c>
      <c r="M622" s="63" t="inlineStr">
        <is>
          <t>232,23</t>
        </is>
      </c>
      <c r="N622" s="63" t="inlineStr">
        <is>
          <t>269,39</t>
        </is>
      </c>
      <c r="O622" s="63" t="inlineStr">
        <is>
          <t>232,23</t>
        </is>
      </c>
      <c r="P622" s="63" t="inlineStr">
        <is>
          <t>269,39</t>
        </is>
      </c>
      <c r="Q622" s="63" t="inlineStr">
        <is>
          <t>724,00</t>
        </is>
      </c>
      <c r="R622" s="66" t="n">
        <v>46217</v>
      </c>
      <c r="S622" s="65" t="n">
        <v>470</v>
      </c>
      <c r="T622" s="65" t="inlineStr">
        <is>
          <t>00-00001014</t>
        </is>
      </c>
      <c r="U622" s="63" t="inlineStr">
        <is>
          <t>269,38</t>
        </is>
      </c>
      <c r="V622" s="63" t="inlineStr">
        <is>
          <t>269,39</t>
        </is>
      </c>
    </row>
    <row r="623">
      <c r="A623" s="65" t="inlineStr">
        <is>
          <t>S00592</t>
        </is>
      </c>
      <c r="B623" s="62" t="n">
        <v>46195.70863425926</v>
      </c>
      <c r="C623" s="65" t="inlineStr">
        <is>
          <t>Kevin Monsalve</t>
        </is>
      </c>
      <c r="D623" s="65" t="inlineStr">
        <is>
          <t>MARTINEZ MONTES JEFFREY ENRIQUE</t>
        </is>
      </c>
      <c r="E623" s="65" t="inlineStr">
        <is>
          <t>7 días</t>
        </is>
      </c>
      <c r="F623" s="65" t="n">
        <v>5</v>
      </c>
      <c r="G623" s="65" t="inlineStr">
        <is>
          <t>Pago VES</t>
        </is>
      </c>
      <c r="H623" s="65" t="inlineStr">
        <is>
          <t>[0881] CLASICO API SL SAE 20W-50 (1x12)</t>
        </is>
      </c>
      <c r="I623" s="65" t="n">
        <v>881</v>
      </c>
      <c r="J623" s="63" t="inlineStr">
        <is>
          <t>1,00</t>
        </is>
      </c>
      <c r="K623" s="63" t="inlineStr">
        <is>
          <t>86,21</t>
        </is>
      </c>
      <c r="L623" s="63" t="inlineStr">
        <is>
          <t>8,02</t>
        </is>
      </c>
      <c r="M623" s="63" t="inlineStr">
        <is>
          <t>79,30</t>
        </is>
      </c>
      <c r="N623" s="63" t="inlineStr">
        <is>
          <t>91,99</t>
        </is>
      </c>
      <c r="O623" s="63" t="inlineStr">
        <is>
          <t>79,30</t>
        </is>
      </c>
      <c r="P623" s="63" t="inlineStr">
        <is>
          <t>91,99</t>
        </is>
      </c>
      <c r="Q623" s="63" t="inlineStr">
        <is>
          <t>724,00</t>
        </is>
      </c>
      <c r="R623" s="66" t="n">
        <v>46217</v>
      </c>
      <c r="S623" s="65" t="n">
        <v>471</v>
      </c>
      <c r="T623" s="65" t="inlineStr">
        <is>
          <t>00-00001015</t>
        </is>
      </c>
      <c r="U623" s="63" t="inlineStr">
        <is>
          <t>91,97</t>
        </is>
      </c>
      <c r="V623" s="63" t="inlineStr">
        <is>
          <t>91,98</t>
        </is>
      </c>
    </row>
    <row r="624">
      <c r="A624" s="65" t="inlineStr">
        <is>
          <t>S00591</t>
        </is>
      </c>
      <c r="B624" s="62" t="n">
        <v>46195.49116898148</v>
      </c>
      <c r="C624" s="65" t="inlineStr">
        <is>
          <t>Chaquiro Arteaga</t>
        </is>
      </c>
      <c r="D624" s="65" t="inlineStr">
        <is>
          <t>REVERON DE CONTRERAS MELANI AUSMAR</t>
        </is>
      </c>
      <c r="E624" s="65" t="inlineStr">
        <is>
          <t>7 días</t>
        </is>
      </c>
      <c r="F624" s="65" t="n">
        <v>4</v>
      </c>
      <c r="G624" s="65" t="inlineStr">
        <is>
          <t>Precio Full Abril</t>
        </is>
      </c>
      <c r="H624" s="65" t="inlineStr">
        <is>
          <t>[0877] SS EXTRA PROTECCION API SN SAE 15W-40 (1X12)</t>
        </is>
      </c>
      <c r="I624" s="65" t="n">
        <v>877</v>
      </c>
      <c r="J624" s="63" t="inlineStr">
        <is>
          <t>1,00</t>
        </is>
      </c>
      <c r="K624" s="63" t="inlineStr">
        <is>
          <t>92,71</t>
        </is>
      </c>
      <c r="L624" s="63" t="inlineStr">
        <is>
          <t>0,00</t>
        </is>
      </c>
      <c r="M624" s="63" t="inlineStr">
        <is>
          <t>92,71</t>
        </is>
      </c>
      <c r="N624" s="63" t="inlineStr">
        <is>
          <t>107,54</t>
        </is>
      </c>
      <c r="O624" s="63" t="inlineStr">
        <is>
          <t>92,71</t>
        </is>
      </c>
      <c r="P624" s="63" t="inlineStr">
        <is>
          <t>107,54</t>
        </is>
      </c>
      <c r="Q624" s="63" t="inlineStr">
        <is>
          <t>612,43</t>
        </is>
      </c>
      <c r="R624" s="66" t="n">
        <v>46195</v>
      </c>
      <c r="S624" s="65" t="n">
        <v>195</v>
      </c>
      <c r="T624" s="65" t="inlineStr">
        <is>
          <t>00-00000671</t>
        </is>
      </c>
      <c r="U624" s="63" t="inlineStr">
        <is>
          <t>69,99</t>
        </is>
      </c>
      <c r="V624" s="63" t="inlineStr">
        <is>
          <t>0,00</t>
        </is>
      </c>
    </row>
    <row r="625">
      <c r="A625" s="65" t="inlineStr">
        <is>
          <t>S00589</t>
        </is>
      </c>
      <c r="B625" s="62" t="n">
        <v>46195.33703703704</v>
      </c>
      <c r="C625" s="65" t="inlineStr">
        <is>
          <t>SUKAY MOTORS V.I.P C.A</t>
        </is>
      </c>
      <c r="D625" s="65" t="inlineStr">
        <is>
          <t>TORO ARDILES DAVID JOSE</t>
        </is>
      </c>
      <c r="E625" s="65" t="inlineStr">
        <is>
          <t>7 días</t>
        </is>
      </c>
      <c r="F625" s="65" t="n">
        <v>5</v>
      </c>
      <c r="G625" s="65" t="inlineStr">
        <is>
          <t>Pago VES</t>
        </is>
      </c>
      <c r="H625" s="65" t="inlineStr">
        <is>
          <t>[0877] SS EXTRA PROTECCION API SN SAE 15W-40 (1X12)</t>
        </is>
      </c>
      <c r="I625" s="65" t="n">
        <v>877</v>
      </c>
      <c r="J625" s="63" t="inlineStr">
        <is>
          <t>2,00</t>
        </is>
      </c>
      <c r="K625" s="63" t="inlineStr">
        <is>
          <t>100,80</t>
        </is>
      </c>
      <c r="L625" s="63" t="inlineStr">
        <is>
          <t>7,26</t>
        </is>
      </c>
      <c r="M625" s="63" t="inlineStr">
        <is>
          <t>186,96</t>
        </is>
      </c>
      <c r="N625" s="63" t="inlineStr">
        <is>
          <t>216,87</t>
        </is>
      </c>
      <c r="O625" s="63" t="inlineStr">
        <is>
          <t>776,11</t>
        </is>
      </c>
      <c r="P625" s="63" t="inlineStr">
        <is>
          <t>900,28</t>
        </is>
      </c>
      <c r="Q625" s="63" t="inlineStr">
        <is>
          <t>724,00</t>
        </is>
      </c>
      <c r="R625" s="66" t="n">
        <v>46217</v>
      </c>
      <c r="S625" s="65" t="n">
        <v>472</v>
      </c>
      <c r="T625" s="65" t="inlineStr">
        <is>
          <t>00-00001016</t>
        </is>
      </c>
      <c r="U625" s="63" t="inlineStr">
        <is>
          <t>900,26</t>
        </is>
      </c>
      <c r="V625" s="63" t="inlineStr">
        <is>
          <t>900,29</t>
        </is>
      </c>
    </row>
    <row r="626">
      <c r="A626" s="65" t="n"/>
      <c r="B626" s="65" t="n"/>
      <c r="C626" s="65" t="n"/>
      <c r="D626" s="65" t="n"/>
      <c r="E626" s="65" t="n"/>
      <c r="F626" s="65" t="n"/>
      <c r="G626" s="65" t="n"/>
      <c r="H626" s="65" t="inlineStr">
        <is>
          <t>[0878] SS EXTRA PROTECCION API SN SAE 20W-50 (1x12)</t>
        </is>
      </c>
      <c r="I626" s="65" t="n">
        <v>878</v>
      </c>
      <c r="J626" s="63" t="inlineStr">
        <is>
          <t>2,00</t>
        </is>
      </c>
      <c r="K626" s="63" t="inlineStr">
        <is>
          <t>100,80</t>
        </is>
      </c>
      <c r="L626" s="63" t="inlineStr">
        <is>
          <t>7,26</t>
        </is>
      </c>
      <c r="M626" s="63" t="inlineStr">
        <is>
          <t>186,96</t>
        </is>
      </c>
      <c r="N626" s="63" t="inlineStr">
        <is>
          <t>216,87</t>
        </is>
      </c>
      <c r="O626" s="65" t="n"/>
      <c r="P626" s="65" t="n"/>
      <c r="Q626" s="65" t="n"/>
      <c r="R626" s="65" t="n"/>
      <c r="S626" s="65" t="n"/>
      <c r="T626" s="65" t="n"/>
      <c r="U626" s="65" t="n"/>
      <c r="V626" s="65" t="n"/>
    </row>
    <row r="627">
      <c r="A627" s="65" t="n"/>
      <c r="B627" s="65" t="n"/>
      <c r="C627" s="65" t="n"/>
      <c r="D627" s="65" t="n"/>
      <c r="E627" s="65" t="n"/>
      <c r="F627" s="65" t="n"/>
      <c r="G627" s="65" t="n"/>
      <c r="H627" s="65" t="inlineStr">
        <is>
          <t>[0884] TRANSMATIC ATF DEXRON III (1x12)</t>
        </is>
      </c>
      <c r="I627" s="65" t="n">
        <v>884</v>
      </c>
      <c r="J627" s="63" t="inlineStr">
        <is>
          <t>1,00</t>
        </is>
      </c>
      <c r="K627" s="63" t="inlineStr">
        <is>
          <t>95,49</t>
        </is>
      </c>
      <c r="L627" s="63" t="inlineStr">
        <is>
          <t>7,26</t>
        </is>
      </c>
      <c r="M627" s="63" t="inlineStr">
        <is>
          <t>88,56</t>
        </is>
      </c>
      <c r="N627" s="63" t="inlineStr">
        <is>
          <t>102,73</t>
        </is>
      </c>
      <c r="O627" s="65" t="n"/>
      <c r="P627" s="65" t="n"/>
      <c r="Q627" s="65" t="n"/>
      <c r="R627" s="65" t="n"/>
      <c r="S627" s="65" t="n"/>
      <c r="T627" s="65" t="n"/>
      <c r="U627" s="65" t="n"/>
      <c r="V627" s="65" t="n"/>
    </row>
    <row r="628">
      <c r="A628" s="65" t="n"/>
      <c r="B628" s="65" t="n"/>
      <c r="C628" s="65" t="n"/>
      <c r="D628" s="65" t="n"/>
      <c r="E628" s="65" t="n"/>
      <c r="F628" s="65" t="n"/>
      <c r="G628" s="65" t="n"/>
      <c r="H628" s="65" t="inlineStr">
        <is>
          <t>[0885] TRANSMATIC ATF MERCON V (1x12)</t>
        </is>
      </c>
      <c r="I628" s="65" t="n">
        <v>885</v>
      </c>
      <c r="J628" s="63" t="inlineStr">
        <is>
          <t>1,00</t>
        </is>
      </c>
      <c r="K628" s="63" t="inlineStr">
        <is>
          <t>157,82</t>
        </is>
      </c>
      <c r="L628" s="63" t="inlineStr">
        <is>
          <t>7,26</t>
        </is>
      </c>
      <c r="M628" s="63" t="inlineStr">
        <is>
          <t>146,36</t>
        </is>
      </c>
      <c r="N628" s="63" t="inlineStr">
        <is>
          <t>169,78</t>
        </is>
      </c>
      <c r="O628" s="65" t="n"/>
      <c r="P628" s="65" t="n"/>
      <c r="Q628" s="65" t="n"/>
      <c r="R628" s="65" t="n"/>
      <c r="S628" s="65" t="n"/>
      <c r="T628" s="65" t="n"/>
      <c r="U628" s="65" t="n"/>
      <c r="V628" s="65" t="n"/>
    </row>
    <row r="629">
      <c r="A629" s="65" t="n"/>
      <c r="B629" s="65" t="n"/>
      <c r="C629" s="65" t="n"/>
      <c r="D629" s="65" t="n"/>
      <c r="E629" s="65" t="n"/>
      <c r="F629" s="65" t="n"/>
      <c r="G629" s="65" t="n"/>
      <c r="H629" s="65" t="inlineStr">
        <is>
          <t>[0795] REFRIGERANTE GLOBAL ORANGE PREMIUM 50-50 CONCENTRADO (1x3)</t>
        </is>
      </c>
      <c r="I629" s="65" t="n">
        <v>795</v>
      </c>
      <c r="J629" s="63" t="inlineStr">
        <is>
          <t>2,00</t>
        </is>
      </c>
      <c r="K629" s="63" t="inlineStr">
        <is>
          <t>51,72</t>
        </is>
      </c>
      <c r="L629" s="63" t="inlineStr">
        <is>
          <t>7,26</t>
        </is>
      </c>
      <c r="M629" s="63" t="inlineStr">
        <is>
          <t>95,93</t>
        </is>
      </c>
      <c r="N629" s="63" t="inlineStr">
        <is>
          <t>111,28</t>
        </is>
      </c>
      <c r="O629" s="65" t="n"/>
      <c r="P629" s="65" t="n"/>
      <c r="Q629" s="65" t="n"/>
      <c r="R629" s="65" t="n"/>
      <c r="S629" s="65" t="n"/>
      <c r="T629" s="65" t="n"/>
      <c r="U629" s="65" t="n"/>
      <c r="V629" s="65" t="n"/>
    </row>
    <row r="630">
      <c r="A630" s="65" t="n"/>
      <c r="B630" s="65" t="n"/>
      <c r="C630" s="65" t="n"/>
      <c r="D630" s="65" t="n"/>
      <c r="E630" s="65" t="n"/>
      <c r="F630" s="65" t="n"/>
      <c r="G630" s="65" t="n"/>
      <c r="H630" s="65" t="inlineStr">
        <is>
          <t>[0775] LIGA PARA FRENOS DOT-4 (1X12)</t>
        </is>
      </c>
      <c r="I630" s="65" t="n">
        <v>775</v>
      </c>
      <c r="J630" s="63" t="inlineStr">
        <is>
          <t>1,00</t>
        </is>
      </c>
      <c r="K630" s="63" t="inlineStr">
        <is>
          <t>41,11</t>
        </is>
      </c>
      <c r="L630" s="63" t="inlineStr">
        <is>
          <t>7,26</t>
        </is>
      </c>
      <c r="M630" s="63" t="inlineStr">
        <is>
          <t>38,13</t>
        </is>
      </c>
      <c r="N630" s="63" t="inlineStr">
        <is>
          <t>44,23</t>
        </is>
      </c>
      <c r="O630" s="65" t="n"/>
      <c r="P630" s="65" t="n"/>
      <c r="Q630" s="65" t="n"/>
      <c r="R630" s="65" t="n"/>
      <c r="S630" s="65" t="n"/>
      <c r="T630" s="65" t="n"/>
      <c r="U630" s="65" t="n"/>
      <c r="V630" s="65" t="n"/>
    </row>
    <row r="631">
      <c r="A631" s="65" t="n"/>
      <c r="B631" s="65" t="n"/>
      <c r="C631" s="65" t="n"/>
      <c r="D631" s="65" t="n"/>
      <c r="E631" s="65" t="n"/>
      <c r="F631" s="65" t="n"/>
      <c r="G631" s="65" t="n"/>
      <c r="H631" s="65" t="inlineStr">
        <is>
          <t>[0761] LIGA PARA FRENOS DOT-3 (1x12)</t>
        </is>
      </c>
      <c r="I631" s="65" t="n">
        <v>761</v>
      </c>
      <c r="J631" s="63" t="inlineStr">
        <is>
          <t>1,00</t>
        </is>
      </c>
      <c r="K631" s="63" t="inlineStr">
        <is>
          <t>35,81</t>
        </is>
      </c>
      <c r="L631" s="63" t="inlineStr">
        <is>
          <t>7,26</t>
        </is>
      </c>
      <c r="M631" s="63" t="inlineStr">
        <is>
          <t>33,21</t>
        </is>
      </c>
      <c r="N631" s="63" t="inlineStr">
        <is>
          <t>38,52</t>
        </is>
      </c>
      <c r="O631" s="65" t="n"/>
      <c r="P631" s="65" t="n"/>
      <c r="Q631" s="65" t="n"/>
      <c r="R631" s="65" t="n"/>
      <c r="S631" s="65" t="n"/>
      <c r="T631" s="65" t="n"/>
      <c r="U631" s="65" t="n"/>
      <c r="V631" s="65" t="n"/>
    </row>
    <row r="632">
      <c r="A632" s="65" t="inlineStr">
        <is>
          <t>S00586</t>
        </is>
      </c>
      <c r="B632" s="62" t="n">
        <v>46192.72133101852</v>
      </c>
      <c r="C632" s="65" t="inlineStr">
        <is>
          <t>July villasana</t>
        </is>
      </c>
      <c r="D632" s="65" t="inlineStr">
        <is>
          <t>PEREZ DIAZ ANGEL DE DIOS</t>
        </is>
      </c>
      <c r="E632" s="65" t="inlineStr">
        <is>
          <t>30 días</t>
        </is>
      </c>
      <c r="F632" s="65" t="n">
        <v>5</v>
      </c>
      <c r="G632" s="65" t="inlineStr">
        <is>
          <t>Pago VES</t>
        </is>
      </c>
      <c r="H632" s="65" t="inlineStr">
        <is>
          <t>[0779] SINOCO SAE 20W-50 (1x12)</t>
        </is>
      </c>
      <c r="I632" s="65" t="n">
        <v>779</v>
      </c>
      <c r="J632" s="63" t="inlineStr">
        <is>
          <t>3,00</t>
        </is>
      </c>
      <c r="K632" s="63" t="inlineStr">
        <is>
          <t>70,29</t>
        </is>
      </c>
      <c r="L632" s="63" t="inlineStr">
        <is>
          <t>7,26</t>
        </is>
      </c>
      <c r="M632" s="63" t="inlineStr">
        <is>
          <t>195,56</t>
        </is>
      </c>
      <c r="N632" s="63" t="inlineStr">
        <is>
          <t>226,85</t>
        </is>
      </c>
      <c r="O632" s="63" t="inlineStr">
        <is>
          <t>195,56</t>
        </is>
      </c>
      <c r="P632" s="63" t="inlineStr">
        <is>
          <t>226,85</t>
        </is>
      </c>
      <c r="Q632" s="63" t="inlineStr">
        <is>
          <t>724,00</t>
        </is>
      </c>
      <c r="R632" s="66" t="n">
        <v>46217</v>
      </c>
      <c r="S632" s="65" t="n">
        <v>473</v>
      </c>
      <c r="T632" s="65" t="inlineStr">
        <is>
          <t>00-00001017</t>
        </is>
      </c>
      <c r="U632" s="63" t="inlineStr">
        <is>
          <t>226,84</t>
        </is>
      </c>
      <c r="V632" s="63" t="inlineStr">
        <is>
          <t>226,85</t>
        </is>
      </c>
    </row>
    <row r="633">
      <c r="A633" s="65" t="inlineStr">
        <is>
          <t>S00588</t>
        </is>
      </c>
      <c r="B633" s="62" t="n">
        <v>46192.72111111111</v>
      </c>
      <c r="C633" s="65" t="inlineStr">
        <is>
          <t>Comercial los de faria,c.a.</t>
        </is>
      </c>
      <c r="D633" s="65" t="inlineStr">
        <is>
          <t>QUEVEDO BASTIDAS NEYKEL DAVID</t>
        </is>
      </c>
      <c r="E633" s="65" t="inlineStr">
        <is>
          <t>7 días</t>
        </is>
      </c>
      <c r="F633" s="65" t="n">
        <v>5</v>
      </c>
      <c r="G633" s="65" t="inlineStr">
        <is>
          <t>Pago VES</t>
        </is>
      </c>
      <c r="H633" s="65" t="inlineStr">
        <is>
          <t>[0078] SUPREMO API CI-4 SAE 20W-50 (Paila)</t>
        </is>
      </c>
      <c r="I633" s="65" t="n">
        <v>78</v>
      </c>
      <c r="J633" s="63" t="inlineStr">
        <is>
          <t>1,00</t>
        </is>
      </c>
      <c r="K633" s="63" t="inlineStr">
        <is>
          <t>141,91</t>
        </is>
      </c>
      <c r="L633" s="63" t="inlineStr">
        <is>
          <t>7,26</t>
        </is>
      </c>
      <c r="M633" s="63" t="inlineStr">
        <is>
          <t>131,61</t>
        </is>
      </c>
      <c r="N633" s="63" t="inlineStr">
        <is>
          <t>152,67</t>
        </is>
      </c>
      <c r="O633" s="63" t="inlineStr">
        <is>
          <t>429,26</t>
        </is>
      </c>
      <c r="P633" s="63" t="inlineStr">
        <is>
          <t>497,95</t>
        </is>
      </c>
      <c r="Q633" s="63" t="inlineStr">
        <is>
          <t>724,00</t>
        </is>
      </c>
      <c r="R633" s="66" t="n">
        <v>46217</v>
      </c>
      <c r="S633" s="65" t="n">
        <v>474</v>
      </c>
      <c r="T633" s="65" t="inlineStr">
        <is>
          <t>00-00001018</t>
        </is>
      </c>
      <c r="U633" s="63" t="inlineStr">
        <is>
          <t>497,88</t>
        </is>
      </c>
      <c r="V633" s="63" t="inlineStr">
        <is>
          <t>497,93</t>
        </is>
      </c>
    </row>
    <row r="634">
      <c r="A634" s="65" t="n"/>
      <c r="B634" s="65" t="n"/>
      <c r="C634" s="65" t="n"/>
      <c r="D634" s="65" t="n"/>
      <c r="E634" s="65" t="n"/>
      <c r="F634" s="65" t="n"/>
      <c r="G634" s="65" t="n"/>
      <c r="H634" s="65" t="inlineStr">
        <is>
          <t>[0915] SINOCO SAE 50 (1x12)</t>
        </is>
      </c>
      <c r="I634" s="65" t="n">
        <v>915</v>
      </c>
      <c r="J634" s="63" t="inlineStr">
        <is>
          <t>1,00</t>
        </is>
      </c>
      <c r="K634" s="63" t="inlineStr">
        <is>
          <t>70,29</t>
        </is>
      </c>
      <c r="L634" s="63" t="inlineStr">
        <is>
          <t>7,26</t>
        </is>
      </c>
      <c r="M634" s="63" t="inlineStr">
        <is>
          <t>65,19</t>
        </is>
      </c>
      <c r="N634" s="63" t="inlineStr">
        <is>
          <t>75,62</t>
        </is>
      </c>
      <c r="O634" s="65" t="n"/>
      <c r="P634" s="65" t="n"/>
      <c r="Q634" s="65" t="n"/>
      <c r="R634" s="65" t="n"/>
      <c r="S634" s="65" t="n"/>
      <c r="T634" s="65" t="n"/>
      <c r="U634" s="65" t="n"/>
      <c r="V634" s="65" t="n"/>
    </row>
    <row r="635">
      <c r="A635" s="65" t="n"/>
      <c r="B635" s="65" t="n"/>
      <c r="C635" s="65" t="n"/>
      <c r="D635" s="65" t="n"/>
      <c r="E635" s="65" t="n"/>
      <c r="F635" s="65" t="n"/>
      <c r="G635" s="65" t="n"/>
      <c r="H635" s="65" t="inlineStr">
        <is>
          <t>[0019] ELITE API SN SAE 5W-40 (1x6)</t>
        </is>
      </c>
      <c r="I635" s="65" t="n">
        <v>19</v>
      </c>
      <c r="J635" s="63" t="inlineStr">
        <is>
          <t>2,00</t>
        </is>
      </c>
      <c r="K635" s="63" t="inlineStr">
        <is>
          <t>72,94</t>
        </is>
      </c>
      <c r="L635" s="63" t="inlineStr">
        <is>
          <t>7,26</t>
        </is>
      </c>
      <c r="M635" s="63" t="inlineStr">
        <is>
          <t>135,29</t>
        </is>
      </c>
      <c r="N635" s="63" t="inlineStr">
        <is>
          <t>156,94</t>
        </is>
      </c>
      <c r="O635" s="65" t="n"/>
      <c r="P635" s="65" t="n"/>
      <c r="Q635" s="65" t="n"/>
      <c r="R635" s="65" t="n"/>
      <c r="S635" s="65" t="n"/>
      <c r="T635" s="65" t="n"/>
      <c r="U635" s="65" t="n"/>
      <c r="V635" s="65" t="n"/>
    </row>
    <row r="636">
      <c r="A636" s="65" t="n"/>
      <c r="B636" s="65" t="n"/>
      <c r="C636" s="65" t="n"/>
      <c r="D636" s="65" t="n"/>
      <c r="E636" s="65" t="n"/>
      <c r="F636" s="65" t="n"/>
      <c r="G636" s="65" t="n"/>
      <c r="H636" s="65" t="inlineStr">
        <is>
          <t>[0121] TRANSGLOB API GL-5 SAE 80W-90 (1x6)</t>
        </is>
      </c>
      <c r="I636" s="65" t="n">
        <v>121</v>
      </c>
      <c r="J636" s="63" t="inlineStr">
        <is>
          <t>1,00</t>
        </is>
      </c>
      <c r="K636" s="63" t="inlineStr">
        <is>
          <t>51,72</t>
        </is>
      </c>
      <c r="L636" s="63" t="inlineStr">
        <is>
          <t>7,26</t>
        </is>
      </c>
      <c r="M636" s="63" t="inlineStr">
        <is>
          <t>47,97</t>
        </is>
      </c>
      <c r="N636" s="63" t="inlineStr">
        <is>
          <t>55,65</t>
        </is>
      </c>
      <c r="O636" s="65" t="n"/>
      <c r="P636" s="65" t="n"/>
      <c r="Q636" s="65" t="n"/>
      <c r="R636" s="65" t="n"/>
      <c r="S636" s="65" t="n"/>
      <c r="T636" s="65" t="n"/>
      <c r="U636" s="65" t="n"/>
      <c r="V636" s="65" t="n"/>
    </row>
    <row r="637">
      <c r="A637" s="65" t="n"/>
      <c r="B637" s="65" t="n"/>
      <c r="C637" s="65" t="n"/>
      <c r="D637" s="65" t="n"/>
      <c r="E637" s="65" t="n"/>
      <c r="F637" s="65" t="n"/>
      <c r="G637" s="65" t="n"/>
      <c r="H637" s="65" t="inlineStr">
        <is>
          <t>[0127] TRANSGLOB API GL-5 SAE 85W-140 (1x6)</t>
        </is>
      </c>
      <c r="I637" s="65" t="n">
        <v>127</v>
      </c>
      <c r="J637" s="63" t="inlineStr">
        <is>
          <t>1,00</t>
        </is>
      </c>
      <c r="K637" s="63" t="inlineStr">
        <is>
          <t>53,05</t>
        </is>
      </c>
      <c r="L637" s="63" t="inlineStr">
        <is>
          <t>7,26</t>
        </is>
      </c>
      <c r="M637" s="63" t="inlineStr">
        <is>
          <t>49,20</t>
        </is>
      </c>
      <c r="N637" s="63" t="inlineStr">
        <is>
          <t>57,07</t>
        </is>
      </c>
      <c r="O637" s="65" t="n"/>
      <c r="P637" s="65" t="n"/>
      <c r="Q637" s="65" t="n"/>
      <c r="R637" s="65" t="n"/>
      <c r="S637" s="65" t="n"/>
      <c r="T637" s="65" t="n"/>
      <c r="U637" s="65" t="n"/>
      <c r="V637" s="65" t="n"/>
    </row>
    <row r="638">
      <c r="A638" s="65" t="inlineStr">
        <is>
          <t>S00555</t>
        </is>
      </c>
      <c r="B638" s="62" t="n">
        <v>46192.57922453704</v>
      </c>
      <c r="C638" s="65" t="inlineStr">
        <is>
          <t>AGROPECUARIA LECHE Y MIEL, C.A</t>
        </is>
      </c>
      <c r="D638" s="65" t="inlineStr">
        <is>
          <t>Marco Romero</t>
        </is>
      </c>
      <c r="E638" s="65" t="inlineStr">
        <is>
          <t>7 días</t>
        </is>
      </c>
      <c r="F638" s="65" t="n">
        <v>5</v>
      </c>
      <c r="G638" s="65" t="inlineStr">
        <is>
          <t>Pago VES</t>
        </is>
      </c>
      <c r="H638" s="65" t="inlineStr">
        <is>
          <t>[0085] MAXIMO API CF SAE 50 (Tambor)</t>
        </is>
      </c>
      <c r="I638" s="65" t="n">
        <v>85</v>
      </c>
      <c r="J638" s="63" t="inlineStr">
        <is>
          <t>3,00</t>
        </is>
      </c>
      <c r="K638" s="63" t="inlineStr">
        <is>
          <t>1.108,54</t>
        </is>
      </c>
      <c r="L638" s="63" t="inlineStr">
        <is>
          <t>0,00</t>
        </is>
      </c>
      <c r="M638" s="63" t="inlineStr">
        <is>
          <t>3.325,63</t>
        </is>
      </c>
      <c r="N638" s="63" t="inlineStr">
        <is>
          <t>3.857,73</t>
        </is>
      </c>
      <c r="O638" s="63" t="inlineStr">
        <is>
          <t>18.601,33</t>
        </is>
      </c>
      <c r="P638" s="63" t="inlineStr">
        <is>
          <t>21.577,54</t>
        </is>
      </c>
      <c r="Q638" s="63" t="inlineStr">
        <is>
          <t>607,39</t>
        </is>
      </c>
      <c r="R638" s="66" t="n">
        <v>46192</v>
      </c>
      <c r="S638" s="65" t="n">
        <v>192</v>
      </c>
      <c r="T638" s="65" t="inlineStr">
        <is>
          <t>00-00000663</t>
        </is>
      </c>
      <c r="U638" s="63" t="inlineStr">
        <is>
          <t>20.517,24</t>
        </is>
      </c>
      <c r="V638" s="63" t="inlineStr">
        <is>
          <t>20.517,28</t>
        </is>
      </c>
    </row>
    <row r="639">
      <c r="A639" s="65" t="n"/>
      <c r="B639" s="65" t="n"/>
      <c r="C639" s="65" t="n"/>
      <c r="D639" s="65" t="n"/>
      <c r="E639" s="65" t="n"/>
      <c r="F639" s="65" t="n"/>
      <c r="G639" s="65" t="n"/>
      <c r="H639" s="65" t="inlineStr">
        <is>
          <t>[0075] SUPREMO API CI-4 SAE 15W-40 (Tambor)</t>
        </is>
      </c>
      <c r="I639" s="65" t="n">
        <v>75</v>
      </c>
      <c r="J639" s="63" t="inlineStr">
        <is>
          <t>3,00</t>
        </is>
      </c>
      <c r="K639" s="63" t="inlineStr">
        <is>
          <t>1.240,48</t>
        </is>
      </c>
      <c r="L639" s="63" t="inlineStr">
        <is>
          <t>0,00</t>
        </is>
      </c>
      <c r="M639" s="63" t="inlineStr">
        <is>
          <t>3.721,45</t>
        </is>
      </c>
      <c r="N639" s="63" t="inlineStr">
        <is>
          <t>4.316,88</t>
        </is>
      </c>
      <c r="O639" s="65" t="n"/>
      <c r="P639" s="65" t="n"/>
      <c r="Q639" s="65" t="n"/>
      <c r="R639" s="65" t="n"/>
      <c r="S639" s="65" t="n"/>
      <c r="T639" s="65" t="n"/>
      <c r="U639" s="65" t="n"/>
      <c r="V639" s="65" t="n"/>
    </row>
    <row r="640">
      <c r="A640" s="65" t="n"/>
      <c r="B640" s="65" t="n"/>
      <c r="C640" s="65" t="n"/>
      <c r="D640" s="65" t="n"/>
      <c r="E640" s="65" t="n"/>
      <c r="F640" s="65" t="n"/>
      <c r="G640" s="65" t="n"/>
      <c r="H640" s="65" t="inlineStr">
        <is>
          <t>[0146] HIDRAGLOB AW/ISO 68 (Tambor)</t>
        </is>
      </c>
      <c r="I640" s="65" t="n">
        <v>146</v>
      </c>
      <c r="J640" s="63" t="inlineStr">
        <is>
          <t>4,00</t>
        </is>
      </c>
      <c r="K640" s="63" t="inlineStr">
        <is>
          <t>1.076,21</t>
        </is>
      </c>
      <c r="L640" s="63" t="inlineStr">
        <is>
          <t>0,00</t>
        </is>
      </c>
      <c r="M640" s="63" t="inlineStr">
        <is>
          <t>4.304,84</t>
        </is>
      </c>
      <c r="N640" s="63" t="inlineStr">
        <is>
          <t>4.993,61</t>
        </is>
      </c>
      <c r="O640" s="65" t="n"/>
      <c r="P640" s="65" t="n"/>
      <c r="Q640" s="65" t="n"/>
      <c r="R640" s="65" t="n"/>
      <c r="S640" s="65" t="n"/>
      <c r="T640" s="65" t="n"/>
      <c r="U640" s="65" t="n"/>
      <c r="V640" s="65" t="n"/>
    </row>
    <row r="641">
      <c r="A641" s="65" t="n"/>
      <c r="B641" s="65" t="n"/>
      <c r="C641" s="65" t="n"/>
      <c r="D641" s="65" t="n"/>
      <c r="E641" s="65" t="n"/>
      <c r="F641" s="65" t="n"/>
      <c r="G641" s="65" t="n"/>
      <c r="H641" s="65" t="inlineStr">
        <is>
          <t>[0794] REFRIGERANTE GLOBAL ROJO (Tambor)</t>
        </is>
      </c>
      <c r="I641" s="65" t="n">
        <v>794</v>
      </c>
      <c r="J641" s="63" t="inlineStr">
        <is>
          <t>3,00</t>
        </is>
      </c>
      <c r="K641" s="63" t="inlineStr">
        <is>
          <t>565,27</t>
        </is>
      </c>
      <c r="L641" s="63" t="inlineStr">
        <is>
          <t>0,00</t>
        </is>
      </c>
      <c r="M641" s="63" t="inlineStr">
        <is>
          <t>1.695,82</t>
        </is>
      </c>
      <c r="N641" s="63" t="inlineStr">
        <is>
          <t>1.967,15</t>
        </is>
      </c>
      <c r="O641" s="65" t="n"/>
      <c r="P641" s="65" t="n"/>
      <c r="Q641" s="65" t="n"/>
      <c r="R641" s="65" t="n"/>
      <c r="S641" s="65" t="n"/>
      <c r="T641" s="65" t="n"/>
      <c r="U641" s="65" t="n"/>
      <c r="V641" s="65" t="n"/>
    </row>
    <row r="642">
      <c r="A642" s="65" t="n"/>
      <c r="B642" s="65" t="n"/>
      <c r="C642" s="65" t="n"/>
      <c r="D642" s="65" t="n"/>
      <c r="E642" s="65" t="n"/>
      <c r="F642" s="65" t="n"/>
      <c r="G642" s="65" t="n"/>
      <c r="H642" s="65" t="inlineStr">
        <is>
          <t>[0131] TRANSGLOB API GL-5 SAE 85W-140 (Tambor)</t>
        </is>
      </c>
      <c r="I642" s="65" t="n">
        <v>131</v>
      </c>
      <c r="J642" s="63" t="inlineStr">
        <is>
          <t>3,00</t>
        </is>
      </c>
      <c r="K642" s="63" t="inlineStr">
        <is>
          <t>1.287,05</t>
        </is>
      </c>
      <c r="L642" s="63" t="inlineStr">
        <is>
          <t>0,00</t>
        </is>
      </c>
      <c r="M642" s="63" t="inlineStr">
        <is>
          <t>3.861,16</t>
        </is>
      </c>
      <c r="N642" s="63" t="inlineStr">
        <is>
          <t>4.478,95</t>
        </is>
      </c>
      <c r="O642" s="65" t="n"/>
      <c r="P642" s="65" t="n"/>
      <c r="Q642" s="65" t="n"/>
      <c r="R642" s="65" t="n"/>
      <c r="S642" s="65" t="n"/>
      <c r="T642" s="65" t="n"/>
      <c r="U642" s="65" t="n"/>
      <c r="V642" s="65" t="n"/>
    </row>
    <row r="643">
      <c r="A643" s="65" t="n"/>
      <c r="B643" s="65" t="n"/>
      <c r="C643" s="65" t="n"/>
      <c r="D643" s="65" t="n"/>
      <c r="E643" s="65" t="n"/>
      <c r="F643" s="65" t="n"/>
      <c r="G643" s="65" t="n"/>
      <c r="H643" s="65" t="inlineStr">
        <is>
          <t>[0606] SINOCO SAE 20W-50 (Tambor)</t>
        </is>
      </c>
      <c r="I643" s="65" t="n">
        <v>606</v>
      </c>
      <c r="J643" s="63" t="inlineStr">
        <is>
          <t>2,00</t>
        </is>
      </c>
      <c r="K643" s="63" t="inlineStr">
        <is>
          <t>846,22</t>
        </is>
      </c>
      <c r="L643" s="63" t="inlineStr">
        <is>
          <t>0,00</t>
        </is>
      </c>
      <c r="M643" s="63" t="inlineStr">
        <is>
          <t>1.692,43</t>
        </is>
      </c>
      <c r="N643" s="63" t="inlineStr">
        <is>
          <t>1.963,22</t>
        </is>
      </c>
      <c r="O643" s="65" t="n"/>
      <c r="P643" s="65" t="n"/>
      <c r="Q643" s="65" t="n"/>
      <c r="R643" s="65" t="n"/>
      <c r="S643" s="65" t="n"/>
      <c r="T643" s="65" t="n"/>
      <c r="U643" s="65" t="n"/>
      <c r="V643" s="65" t="n"/>
    </row>
    <row r="644">
      <c r="A644" s="65" t="inlineStr">
        <is>
          <t>S00583</t>
        </is>
      </c>
      <c r="B644" s="62" t="n">
        <v>46192.40237268519</v>
      </c>
      <c r="C644" s="65" t="inlineStr">
        <is>
          <t>UBAG Services,c.a.</t>
        </is>
      </c>
      <c r="D644" s="65" t="inlineStr">
        <is>
          <t>CASERES GONZALEZ RONALD OSWALDO</t>
        </is>
      </c>
      <c r="E644" s="65" t="inlineStr">
        <is>
          <t>7 días</t>
        </is>
      </c>
      <c r="F644" s="65" t="n">
        <v>5</v>
      </c>
      <c r="G644" s="65" t="inlineStr">
        <is>
          <t>Pago VES</t>
        </is>
      </c>
      <c r="H644" s="65" t="inlineStr">
        <is>
          <t>[0307] TERMOGLOB ISO 32 (Paila)</t>
        </is>
      </c>
      <c r="I644" s="65" t="n">
        <v>307</v>
      </c>
      <c r="J644" s="63" t="inlineStr">
        <is>
          <t>2,00</t>
        </is>
      </c>
      <c r="K644" s="63" t="inlineStr">
        <is>
          <t>151,19</t>
        </is>
      </c>
      <c r="L644" s="63" t="inlineStr">
        <is>
          <t>7,26</t>
        </is>
      </c>
      <c r="M644" s="63" t="inlineStr">
        <is>
          <t>280,43</t>
        </is>
      </c>
      <c r="N644" s="63" t="inlineStr">
        <is>
          <t>325,30</t>
        </is>
      </c>
      <c r="O644" s="63" t="inlineStr">
        <is>
          <t>280,43</t>
        </is>
      </c>
      <c r="P644" s="63" t="inlineStr">
        <is>
          <t>325,30</t>
        </is>
      </c>
      <c r="Q644" s="63" t="inlineStr">
        <is>
          <t>724,00</t>
        </is>
      </c>
      <c r="R644" s="66" t="n">
        <v>46217</v>
      </c>
      <c r="S644" s="65" t="n">
        <v>475</v>
      </c>
      <c r="T644" s="65" t="inlineStr">
        <is>
          <t>00-00001019</t>
        </is>
      </c>
      <c r="U644" s="63" t="inlineStr">
        <is>
          <t>325,28</t>
        </is>
      </c>
      <c r="V644" s="63" t="inlineStr">
        <is>
          <t>325,30</t>
        </is>
      </c>
    </row>
    <row r="645">
      <c r="A645" s="65" t="inlineStr">
        <is>
          <t>S00582</t>
        </is>
      </c>
      <c r="B645" s="62" t="n">
        <v>46192.38659722222</v>
      </c>
      <c r="C645" s="65" t="inlineStr">
        <is>
          <t>York Dick Mujica Andarcia</t>
        </is>
      </c>
      <c r="D645" s="65" t="inlineStr">
        <is>
          <t>CASERES GONZALEZ RONALD OSWALDO</t>
        </is>
      </c>
      <c r="E645" s="65" t="inlineStr">
        <is>
          <t>7 días</t>
        </is>
      </c>
      <c r="F645" s="65" t="n">
        <v>5</v>
      </c>
      <c r="G645" s="65" t="inlineStr">
        <is>
          <t>Pago VES</t>
        </is>
      </c>
      <c r="H645" s="65" t="inlineStr">
        <is>
          <t>[0025] SS EXTRA PROTECCION API SN SAE 10W-30 (Gasolina) (1x6)</t>
        </is>
      </c>
      <c r="I645" s="65" t="n">
        <v>25</v>
      </c>
      <c r="J645" s="63" t="inlineStr">
        <is>
          <t>1,00</t>
        </is>
      </c>
      <c r="K645" s="63" t="inlineStr">
        <is>
          <t>50,40</t>
        </is>
      </c>
      <c r="L645" s="63" t="inlineStr">
        <is>
          <t>7,26</t>
        </is>
      </c>
      <c r="M645" s="63" t="inlineStr">
        <is>
          <t>46,74</t>
        </is>
      </c>
      <c r="N645" s="63" t="inlineStr">
        <is>
          <t>54,22</t>
        </is>
      </c>
      <c r="O645" s="63" t="inlineStr">
        <is>
          <t>46,74</t>
        </is>
      </c>
      <c r="P645" s="63" t="inlineStr">
        <is>
          <t>54,22</t>
        </is>
      </c>
      <c r="Q645" s="63" t="inlineStr">
        <is>
          <t>724,00</t>
        </is>
      </c>
      <c r="R645" s="66" t="n">
        <v>46217</v>
      </c>
      <c r="S645" s="65" t="n">
        <v>476</v>
      </c>
      <c r="T645" s="65" t="inlineStr">
        <is>
          <t>00-00001020</t>
        </is>
      </c>
      <c r="U645" s="63" t="inlineStr">
        <is>
          <t>54,21</t>
        </is>
      </c>
      <c r="V645" s="63" t="inlineStr">
        <is>
          <t>54,22</t>
        </is>
      </c>
    </row>
    <row r="646">
      <c r="A646" s="65" t="inlineStr">
        <is>
          <t>S00581</t>
        </is>
      </c>
      <c r="B646" s="62" t="n">
        <v>46191.73226851852</v>
      </c>
      <c r="C646" s="65" t="inlineStr">
        <is>
          <t>Inversiones Repuestos Flash 3141, C.A</t>
        </is>
      </c>
      <c r="D646" s="65" t="inlineStr">
        <is>
          <t>MARTINEZ MONTES JEFFREY ENRIQUE</t>
        </is>
      </c>
      <c r="E646" s="65" t="inlineStr">
        <is>
          <t>7 días</t>
        </is>
      </c>
      <c r="F646" s="65" t="n">
        <v>5</v>
      </c>
      <c r="G646" s="65" t="inlineStr">
        <is>
          <t>Pago VES</t>
        </is>
      </c>
      <c r="H646" s="65" t="inlineStr">
        <is>
          <t>[0887] MOTOCLASICO 4T SAE 20W-50 (1x12)</t>
        </is>
      </c>
      <c r="I646" s="65" t="n">
        <v>887</v>
      </c>
      <c r="J646" s="63" t="inlineStr">
        <is>
          <t>2,00</t>
        </is>
      </c>
      <c r="K646" s="63" t="inlineStr">
        <is>
          <t>90,19</t>
        </is>
      </c>
      <c r="L646" s="63" t="inlineStr">
        <is>
          <t>6,48</t>
        </is>
      </c>
      <c r="M646" s="63" t="inlineStr">
        <is>
          <t>168,69</t>
        </is>
      </c>
      <c r="N646" s="63" t="inlineStr">
        <is>
          <t>195,68</t>
        </is>
      </c>
      <c r="O646" s="63" t="inlineStr">
        <is>
          <t>291,48</t>
        </is>
      </c>
      <c r="P646" s="63" t="inlineStr">
        <is>
          <t>338,12</t>
        </is>
      </c>
      <c r="Q646" s="63" t="inlineStr">
        <is>
          <t>724,00</t>
        </is>
      </c>
      <c r="R646" s="66" t="n">
        <v>46217</v>
      </c>
      <c r="S646" s="65" t="n">
        <v>477</v>
      </c>
      <c r="T646" s="65" t="inlineStr">
        <is>
          <t>00-00001021</t>
        </is>
      </c>
      <c r="U646" s="63" t="inlineStr">
        <is>
          <t>338,10</t>
        </is>
      </c>
      <c r="V646" s="63" t="inlineStr">
        <is>
          <t>338,12</t>
        </is>
      </c>
    </row>
    <row r="647">
      <c r="A647" s="65" t="n"/>
      <c r="B647" s="65" t="n"/>
      <c r="C647" s="65" t="n"/>
      <c r="D647" s="65" t="n"/>
      <c r="E647" s="65" t="n"/>
      <c r="F647" s="65" t="n"/>
      <c r="G647" s="65" t="n"/>
      <c r="H647" s="65" t="n"/>
      <c r="I647" s="65" t="n"/>
      <c r="J647" s="63" t="inlineStr">
        <is>
          <t>0,00</t>
        </is>
      </c>
      <c r="K647" s="63" t="inlineStr">
        <is>
          <t>0,00</t>
        </is>
      </c>
      <c r="L647" s="63" t="inlineStr">
        <is>
          <t>0,00</t>
        </is>
      </c>
      <c r="M647" s="63" t="inlineStr">
        <is>
          <t>0,00</t>
        </is>
      </c>
      <c r="N647" s="63" t="inlineStr">
        <is>
          <t>0,00</t>
        </is>
      </c>
      <c r="O647" s="65" t="n"/>
      <c r="P647" s="65" t="n"/>
      <c r="Q647" s="65" t="n"/>
      <c r="R647" s="65" t="n"/>
      <c r="S647" s="65" t="n"/>
      <c r="T647" s="65" t="n"/>
      <c r="U647" s="65" t="n"/>
      <c r="V647" s="65" t="n"/>
    </row>
    <row r="648">
      <c r="A648" s="65" t="n"/>
      <c r="B648" s="65" t="n"/>
      <c r="C648" s="65" t="n"/>
      <c r="D648" s="65" t="n"/>
      <c r="E648" s="65" t="n"/>
      <c r="F648" s="65" t="n"/>
      <c r="G648" s="65" t="n"/>
      <c r="H648" s="65" t="inlineStr">
        <is>
          <t>[0884] TRANSMATIC ATF DEXRON III (1x12)</t>
        </is>
      </c>
      <c r="I648" s="65" t="n">
        <v>884</v>
      </c>
      <c r="J648" s="63" t="inlineStr">
        <is>
          <t>1,00</t>
        </is>
      </c>
      <c r="K648" s="63" t="inlineStr">
        <is>
          <t>95,49</t>
        </is>
      </c>
      <c r="L648" s="63" t="inlineStr">
        <is>
          <t>6,48</t>
        </is>
      </c>
      <c r="M648" s="63" t="inlineStr">
        <is>
          <t>89,30</t>
        </is>
      </c>
      <c r="N648" s="63" t="inlineStr">
        <is>
          <t>103,59</t>
        </is>
      </c>
      <c r="O648" s="65" t="n"/>
      <c r="P648" s="65" t="n"/>
      <c r="Q648" s="65" t="n"/>
      <c r="R648" s="65" t="n"/>
      <c r="S648" s="65" t="n"/>
      <c r="T648" s="65" t="n"/>
      <c r="U648" s="65" t="n"/>
      <c r="V648" s="65" t="n"/>
    </row>
    <row r="649">
      <c r="A649" s="65" t="n"/>
      <c r="B649" s="65" t="n"/>
      <c r="C649" s="65" t="n"/>
      <c r="D649" s="65" t="n"/>
      <c r="E649" s="65" t="n"/>
      <c r="F649" s="65" t="n"/>
      <c r="G649" s="65" t="n"/>
      <c r="H649" s="65" t="inlineStr">
        <is>
          <t>[0761] LIGA PARA FRENOS DOT-3 (1x12)</t>
        </is>
      </c>
      <c r="I649" s="65" t="n">
        <v>761</v>
      </c>
      <c r="J649" s="63" t="inlineStr">
        <is>
          <t>1,00</t>
        </is>
      </c>
      <c r="K649" s="63" t="inlineStr">
        <is>
          <t>35,81</t>
        </is>
      </c>
      <c r="L649" s="63" t="inlineStr">
        <is>
          <t>6,48</t>
        </is>
      </c>
      <c r="M649" s="63" t="inlineStr">
        <is>
          <t>33,49</t>
        </is>
      </c>
      <c r="N649" s="63" t="inlineStr">
        <is>
          <t>38,85</t>
        </is>
      </c>
      <c r="O649" s="65" t="n"/>
      <c r="P649" s="65" t="n"/>
      <c r="Q649" s="65" t="n"/>
      <c r="R649" s="65" t="n"/>
      <c r="S649" s="65" t="n"/>
      <c r="T649" s="65" t="n"/>
      <c r="U649" s="65" t="n"/>
      <c r="V649" s="65" t="n"/>
    </row>
    <row r="650">
      <c r="A650" s="65" t="inlineStr">
        <is>
          <t>S00580</t>
        </is>
      </c>
      <c r="B650" s="62" t="n">
        <v>46191.73207175926</v>
      </c>
      <c r="C650" s="65" t="inlineStr">
        <is>
          <t>Sandra Katherine Quintero Crespo</t>
        </is>
      </c>
      <c r="D650" s="65" t="inlineStr">
        <is>
          <t>QUEVEDO BASTIDAS NEYKEL DAVID</t>
        </is>
      </c>
      <c r="E650" s="65" t="inlineStr">
        <is>
          <t>21 días</t>
        </is>
      </c>
      <c r="F650" s="65" t="n">
        <v>5</v>
      </c>
      <c r="G650" s="65" t="inlineStr">
        <is>
          <t>Pago VES</t>
        </is>
      </c>
      <c r="H650" s="65" t="inlineStr">
        <is>
          <t>[0880] CLASICO API SL SAE 15W-40 (1x12)</t>
        </is>
      </c>
      <c r="I650" s="65" t="n">
        <v>880</v>
      </c>
      <c r="J650" s="63" t="inlineStr">
        <is>
          <t>1,00</t>
        </is>
      </c>
      <c r="K650" s="63" t="inlineStr">
        <is>
          <t>86,21</t>
        </is>
      </c>
      <c r="L650" s="63" t="inlineStr">
        <is>
          <t>9,28</t>
        </is>
      </c>
      <c r="M650" s="63" t="inlineStr">
        <is>
          <t>78,21</t>
        </is>
      </c>
      <c r="N650" s="63" t="inlineStr">
        <is>
          <t>90,72</t>
        </is>
      </c>
      <c r="O650" s="63" t="inlineStr">
        <is>
          <t>513,76</t>
        </is>
      </c>
      <c r="P650" s="63" t="inlineStr">
        <is>
          <t>595,95</t>
        </is>
      </c>
      <c r="Q650" s="63" t="inlineStr">
        <is>
          <t>724,00</t>
        </is>
      </c>
      <c r="R650" s="66" t="n">
        <v>46217</v>
      </c>
      <c r="S650" s="65" t="n">
        <v>478</v>
      </c>
      <c r="T650" s="65" t="inlineStr">
        <is>
          <t>00-00001022</t>
        </is>
      </c>
      <c r="U650" s="63" t="inlineStr">
        <is>
          <t>595,92</t>
        </is>
      </c>
      <c r="V650" s="63" t="inlineStr">
        <is>
          <t>595,96</t>
        </is>
      </c>
    </row>
    <row r="651">
      <c r="A651" s="65" t="n"/>
      <c r="B651" s="65" t="n"/>
      <c r="C651" s="65" t="n"/>
      <c r="D651" s="65" t="n"/>
      <c r="E651" s="65" t="n"/>
      <c r="F651" s="65" t="n"/>
      <c r="G651" s="65" t="n"/>
      <c r="H651" s="65" t="inlineStr">
        <is>
          <t>[0881] CLASICO API SL SAE 20W-50 (1x12)</t>
        </is>
      </c>
      <c r="I651" s="65" t="n">
        <v>881</v>
      </c>
      <c r="J651" s="63" t="inlineStr">
        <is>
          <t>1,00</t>
        </is>
      </c>
      <c r="K651" s="63" t="inlineStr">
        <is>
          <t>86,21</t>
        </is>
      </c>
      <c r="L651" s="63" t="inlineStr">
        <is>
          <t>9,28</t>
        </is>
      </c>
      <c r="M651" s="63" t="inlineStr">
        <is>
          <t>78,21</t>
        </is>
      </c>
      <c r="N651" s="63" t="inlineStr">
        <is>
          <t>90,72</t>
        </is>
      </c>
      <c r="O651" s="65" t="n"/>
      <c r="P651" s="65" t="n"/>
      <c r="Q651" s="65" t="n"/>
      <c r="R651" s="65" t="n"/>
      <c r="S651" s="65" t="n"/>
      <c r="T651" s="65" t="n"/>
      <c r="U651" s="65" t="n"/>
      <c r="V651" s="65" t="n"/>
    </row>
    <row r="652">
      <c r="A652" s="65" t="n"/>
      <c r="B652" s="65" t="n"/>
      <c r="C652" s="65" t="n"/>
      <c r="D652" s="65" t="n"/>
      <c r="E652" s="65" t="n"/>
      <c r="F652" s="65" t="n"/>
      <c r="G652" s="65" t="n"/>
      <c r="H652" s="65" t="inlineStr">
        <is>
          <t>[0877] SS EXTRA PROTECCION API SN SAE 15W-40 (1X12)</t>
        </is>
      </c>
      <c r="I652" s="65" t="n">
        <v>877</v>
      </c>
      <c r="J652" s="63" t="inlineStr">
        <is>
          <t>2,00</t>
        </is>
      </c>
      <c r="K652" s="63" t="inlineStr">
        <is>
          <t>100,80</t>
        </is>
      </c>
      <c r="L652" s="63" t="inlineStr">
        <is>
          <t>9,28</t>
        </is>
      </c>
      <c r="M652" s="63" t="inlineStr">
        <is>
          <t>182,89</t>
        </is>
      </c>
      <c r="N652" s="63" t="inlineStr">
        <is>
          <t>212,15</t>
        </is>
      </c>
      <c r="O652" s="65" t="n"/>
      <c r="P652" s="65" t="n"/>
      <c r="Q652" s="65" t="n"/>
      <c r="R652" s="65" t="n"/>
      <c r="S652" s="65" t="n"/>
      <c r="T652" s="65" t="n"/>
      <c r="U652" s="65" t="n"/>
      <c r="V652" s="65" t="n"/>
    </row>
    <row r="653">
      <c r="A653" s="65" t="n"/>
      <c r="B653" s="65" t="n"/>
      <c r="C653" s="65" t="n"/>
      <c r="D653" s="65" t="n"/>
      <c r="E653" s="65" t="n"/>
      <c r="F653" s="65" t="n"/>
      <c r="G653" s="65" t="n"/>
      <c r="H653" s="65" t="inlineStr">
        <is>
          <t>[0884] TRANSMATIC ATF DEXRON III (1x12)</t>
        </is>
      </c>
      <c r="I653" s="65" t="n">
        <v>884</v>
      </c>
      <c r="J653" s="63" t="inlineStr">
        <is>
          <t>1,00</t>
        </is>
      </c>
      <c r="K653" s="63" t="inlineStr">
        <is>
          <t>95,49</t>
        </is>
      </c>
      <c r="L653" s="63" t="inlineStr">
        <is>
          <t>9,29</t>
        </is>
      </c>
      <c r="M653" s="63" t="inlineStr">
        <is>
          <t>86,62</t>
        </is>
      </c>
      <c r="N653" s="63" t="inlineStr">
        <is>
          <t>100,48</t>
        </is>
      </c>
      <c r="O653" s="65" t="n"/>
      <c r="P653" s="65" t="n"/>
      <c r="Q653" s="65" t="n"/>
      <c r="R653" s="65" t="n"/>
      <c r="S653" s="65" t="n"/>
      <c r="T653" s="65" t="n"/>
      <c r="U653" s="65" t="n"/>
      <c r="V653" s="65" t="n"/>
    </row>
    <row r="654">
      <c r="A654" s="65" t="n"/>
      <c r="B654" s="65" t="n"/>
      <c r="C654" s="65" t="n"/>
      <c r="D654" s="65" t="n"/>
      <c r="E654" s="65" t="n"/>
      <c r="F654" s="65" t="n"/>
      <c r="G654" s="65" t="n"/>
      <c r="H654" s="65" t="inlineStr">
        <is>
          <t>[0605] SINOCO SAE 20W-50 (PAILA)</t>
        </is>
      </c>
      <c r="I654" s="65" t="n">
        <v>605</v>
      </c>
      <c r="J654" s="63" t="inlineStr">
        <is>
          <t>1,00</t>
        </is>
      </c>
      <c r="K654" s="63" t="inlineStr">
        <is>
          <t>96,82</t>
        </is>
      </c>
      <c r="L654" s="63" t="inlineStr">
        <is>
          <t>9,29</t>
        </is>
      </c>
      <c r="M654" s="63" t="inlineStr">
        <is>
          <t>87,83</t>
        </is>
      </c>
      <c r="N654" s="63" t="inlineStr">
        <is>
          <t>101,88</t>
        </is>
      </c>
      <c r="O654" s="65" t="n"/>
      <c r="P654" s="65" t="n"/>
      <c r="Q654" s="65" t="n"/>
      <c r="R654" s="65" t="n"/>
      <c r="S654" s="65" t="n"/>
      <c r="T654" s="65" t="n"/>
      <c r="U654" s="65" t="n"/>
      <c r="V654" s="65" t="n"/>
    </row>
    <row r="655">
      <c r="A655" s="65" t="inlineStr">
        <is>
          <t>S00579</t>
        </is>
      </c>
      <c r="B655" s="62" t="n">
        <v>46191.54098379629</v>
      </c>
      <c r="C655" s="65" t="inlineStr">
        <is>
          <t>CAUCHOS Y ACCESORIOS LA CAMPIÑA, C.A.</t>
        </is>
      </c>
      <c r="D655" s="65" t="inlineStr">
        <is>
          <t>TORO ARDILES DAVID JOSE</t>
        </is>
      </c>
      <c r="E655" s="65" t="inlineStr">
        <is>
          <t>15 días</t>
        </is>
      </c>
      <c r="F655" s="65" t="n">
        <v>5</v>
      </c>
      <c r="G655" s="65" t="inlineStr">
        <is>
          <t>Pago VES</t>
        </is>
      </c>
      <c r="H655" s="65" t="inlineStr">
        <is>
          <t>[0877] SS EXTRA PROTECCION API SN SAE 15W-40 (1X12)</t>
        </is>
      </c>
      <c r="I655" s="65" t="n">
        <v>877</v>
      </c>
      <c r="J655" s="63" t="inlineStr">
        <is>
          <t>1,00</t>
        </is>
      </c>
      <c r="K655" s="63" t="inlineStr">
        <is>
          <t>100,80</t>
        </is>
      </c>
      <c r="L655" s="63" t="inlineStr">
        <is>
          <t>6,48</t>
        </is>
      </c>
      <c r="M655" s="63" t="inlineStr">
        <is>
          <t>94,27</t>
        </is>
      </c>
      <c r="N655" s="63" t="inlineStr">
        <is>
          <t>109,35</t>
        </is>
      </c>
      <c r="O655" s="63" t="inlineStr">
        <is>
          <t>94,27</t>
        </is>
      </c>
      <c r="P655" s="63" t="inlineStr">
        <is>
          <t>109,35</t>
        </is>
      </c>
      <c r="Q655" s="63" t="inlineStr">
        <is>
          <t>724,00</t>
        </is>
      </c>
      <c r="R655" s="66" t="n">
        <v>46217</v>
      </c>
      <c r="S655" s="65" t="n">
        <v>479</v>
      </c>
      <c r="T655" s="65" t="inlineStr">
        <is>
          <t>00-00001023</t>
        </is>
      </c>
      <c r="U655" s="63" t="inlineStr">
        <is>
          <t>109,34</t>
        </is>
      </c>
      <c r="V655" s="63" t="inlineStr">
        <is>
          <t>109,35</t>
        </is>
      </c>
    </row>
    <row r="656">
      <c r="A656" s="65" t="inlineStr">
        <is>
          <t>S00576</t>
        </is>
      </c>
      <c r="B656" s="62" t="n">
        <v>46190.71519675926</v>
      </c>
      <c r="C656" s="65" t="inlineStr">
        <is>
          <t>INVERSIONES F-250, C.A</t>
        </is>
      </c>
      <c r="D656" s="65" t="inlineStr">
        <is>
          <t>TORO ARDILES DAVID JOSE</t>
        </is>
      </c>
      <c r="E656" s="65" t="inlineStr">
        <is>
          <t>7 días</t>
        </is>
      </c>
      <c r="F656" s="65" t="n">
        <v>5</v>
      </c>
      <c r="G656" s="65" t="inlineStr">
        <is>
          <t>Pago VES</t>
        </is>
      </c>
      <c r="H656" s="65" t="inlineStr">
        <is>
          <t>[0877] SS EXTRA PROTECCION API SN SAE 15W-40 (1X12)</t>
        </is>
      </c>
      <c r="I656" s="65" t="n">
        <v>877</v>
      </c>
      <c r="J656" s="63" t="inlineStr">
        <is>
          <t>1,00</t>
        </is>
      </c>
      <c r="K656" s="63" t="inlineStr">
        <is>
          <t>100,80</t>
        </is>
      </c>
      <c r="L656" s="63" t="inlineStr">
        <is>
          <t>5,61</t>
        </is>
      </c>
      <c r="M656" s="63" t="inlineStr">
        <is>
          <t>95,15</t>
        </is>
      </c>
      <c r="N656" s="63" t="inlineStr">
        <is>
          <t>110,37</t>
        </is>
      </c>
      <c r="O656" s="63" t="inlineStr">
        <is>
          <t>127,70</t>
        </is>
      </c>
      <c r="P656" s="63" t="inlineStr">
        <is>
          <t>148,13</t>
        </is>
      </c>
      <c r="Q656" s="63" t="inlineStr">
        <is>
          <t>724,00</t>
        </is>
      </c>
      <c r="R656" s="66" t="n">
        <v>46217</v>
      </c>
      <c r="S656" s="65" t="n">
        <v>480</v>
      </c>
      <c r="T656" s="65" t="inlineStr">
        <is>
          <t>00-00001024</t>
        </is>
      </c>
      <c r="U656" s="63" t="inlineStr">
        <is>
          <t>148,11</t>
        </is>
      </c>
      <c r="V656" s="63" t="inlineStr">
        <is>
          <t>148,12</t>
        </is>
      </c>
    </row>
    <row r="657">
      <c r="A657" s="65" t="n"/>
      <c r="B657" s="65" t="n"/>
      <c r="C657" s="65" t="n"/>
      <c r="D657" s="65" t="n"/>
      <c r="E657" s="65" t="n"/>
      <c r="F657" s="65" t="n"/>
      <c r="G657" s="65" t="n"/>
      <c r="H657" s="65" t="inlineStr">
        <is>
          <t>[0792] REFRIGERANTE GLOBAL ROJO (1X3)</t>
        </is>
      </c>
      <c r="I657" s="65" t="n">
        <v>792</v>
      </c>
      <c r="J657" s="63" t="inlineStr">
        <is>
          <t>1,00</t>
        </is>
      </c>
      <c r="K657" s="63" t="inlineStr">
        <is>
          <t>34,48</t>
        </is>
      </c>
      <c r="L657" s="63" t="inlineStr">
        <is>
          <t>5,61</t>
        </is>
      </c>
      <c r="M657" s="63" t="inlineStr">
        <is>
          <t>32,55</t>
        </is>
      </c>
      <c r="N657" s="63" t="inlineStr">
        <is>
          <t>37,76</t>
        </is>
      </c>
      <c r="O657" s="65" t="n"/>
      <c r="P657" s="65" t="n"/>
      <c r="Q657" s="65" t="n"/>
      <c r="R657" s="65" t="n"/>
      <c r="S657" s="65" t="n"/>
      <c r="T657" s="65" t="n"/>
      <c r="U657" s="65" t="n"/>
      <c r="V657" s="65" t="n"/>
    </row>
    <row r="658">
      <c r="A658" s="65" t="inlineStr">
        <is>
          <t>S00578</t>
        </is>
      </c>
      <c r="B658" s="62" t="n">
        <v>46190.71486111111</v>
      </c>
      <c r="C658" s="65" t="inlineStr">
        <is>
          <t>AUTOLAVADO ANDRES BELLO C.A</t>
        </is>
      </c>
      <c r="D658" s="65" t="inlineStr">
        <is>
          <t>Frank Vasquez</t>
        </is>
      </c>
      <c r="E658" s="65" t="inlineStr">
        <is>
          <t>15 días</t>
        </is>
      </c>
      <c r="F658" s="65" t="n">
        <v>5</v>
      </c>
      <c r="G658" s="65" t="inlineStr">
        <is>
          <t>Pago VES</t>
        </is>
      </c>
      <c r="H658" s="65" t="inlineStr">
        <is>
          <t>[0877] SS EXTRA PROTECCION API SN SAE 15W-40 (1X12)</t>
        </is>
      </c>
      <c r="I658" s="65" t="n">
        <v>877</v>
      </c>
      <c r="J658" s="63" t="inlineStr">
        <is>
          <t>2,00</t>
        </is>
      </c>
      <c r="K658" s="63" t="inlineStr">
        <is>
          <t>100,80</t>
        </is>
      </c>
      <c r="L658" s="63" t="inlineStr">
        <is>
          <t>5,61</t>
        </is>
      </c>
      <c r="M658" s="63" t="inlineStr">
        <is>
          <t>190,29</t>
        </is>
      </c>
      <c r="N658" s="63" t="inlineStr">
        <is>
          <t>220,74</t>
        </is>
      </c>
      <c r="O658" s="63" t="inlineStr">
        <is>
          <t>285,44</t>
        </is>
      </c>
      <c r="P658" s="63" t="inlineStr">
        <is>
          <t>331,11</t>
        </is>
      </c>
      <c r="Q658" s="63" t="inlineStr">
        <is>
          <t>724,00</t>
        </is>
      </c>
      <c r="R658" s="66" t="n">
        <v>46217</v>
      </c>
      <c r="S658" s="65" t="n">
        <v>481</v>
      </c>
      <c r="T658" s="65" t="inlineStr">
        <is>
          <t>00-00001025</t>
        </is>
      </c>
      <c r="U658" s="63" t="inlineStr">
        <is>
          <t>331,09</t>
        </is>
      </c>
      <c r="V658" s="63" t="inlineStr">
        <is>
          <t>0,00</t>
        </is>
      </c>
    </row>
    <row r="659">
      <c r="A659" s="65" t="n"/>
      <c r="B659" s="65" t="n"/>
      <c r="C659" s="65" t="n"/>
      <c r="D659" s="65" t="n"/>
      <c r="E659" s="65" t="n"/>
      <c r="F659" s="65" t="n"/>
      <c r="G659" s="65" t="n"/>
      <c r="H659" s="65" t="inlineStr">
        <is>
          <t>[0878] SS EXTRA PROTECCION API SN SAE 20W-50 (1x12)</t>
        </is>
      </c>
      <c r="I659" s="65" t="n">
        <v>878</v>
      </c>
      <c r="J659" s="63" t="inlineStr">
        <is>
          <t>1,00</t>
        </is>
      </c>
      <c r="K659" s="63" t="inlineStr">
        <is>
          <t>100,80</t>
        </is>
      </c>
      <c r="L659" s="63" t="inlineStr">
        <is>
          <t>5,61</t>
        </is>
      </c>
      <c r="M659" s="63" t="inlineStr">
        <is>
          <t>95,15</t>
        </is>
      </c>
      <c r="N659" s="63" t="inlineStr">
        <is>
          <t>110,37</t>
        </is>
      </c>
      <c r="O659" s="65" t="n"/>
      <c r="P659" s="65" t="n"/>
      <c r="Q659" s="65" t="n"/>
      <c r="R659" s="65" t="n"/>
      <c r="S659" s="65" t="n"/>
      <c r="T659" s="65" t="n"/>
      <c r="U659" s="65" t="n"/>
      <c r="V659" s="65" t="n"/>
    </row>
    <row r="660">
      <c r="A660" s="65" t="n"/>
      <c r="B660" s="65" t="n"/>
      <c r="C660" s="65" t="n"/>
      <c r="D660" s="65" t="n"/>
      <c r="E660" s="65" t="n"/>
      <c r="F660" s="65" t="n"/>
      <c r="G660" s="65" t="n"/>
      <c r="H660" s="65" t="inlineStr">
        <is>
          <t>[0561] MEJORADOR DE OCTANAJE GLOBAL OIL PACK (1X12)</t>
        </is>
      </c>
      <c r="I660" s="65" t="n">
        <v>561</v>
      </c>
      <c r="J660" s="63" t="inlineStr">
        <is>
          <t>1,00</t>
        </is>
      </c>
      <c r="K660" s="63" t="inlineStr">
        <is>
          <t>0,00</t>
        </is>
      </c>
      <c r="L660" s="63" t="inlineStr">
        <is>
          <t>0,00</t>
        </is>
      </c>
      <c r="M660" s="63" t="inlineStr">
        <is>
          <t>0,00</t>
        </is>
      </c>
      <c r="N660" s="63" t="inlineStr">
        <is>
          <t>0,00</t>
        </is>
      </c>
      <c r="O660" s="65" t="n"/>
      <c r="P660" s="65" t="n"/>
      <c r="Q660" s="65" t="n"/>
      <c r="R660" s="65" t="n"/>
      <c r="S660" s="65" t="n"/>
      <c r="T660" s="65" t="n"/>
      <c r="U660" s="65" t="n"/>
      <c r="V660" s="65" t="n"/>
    </row>
    <row r="661">
      <c r="A661" s="65" t="inlineStr">
        <is>
          <t>S00577</t>
        </is>
      </c>
      <c r="B661" s="62" t="n">
        <v>46190.61715277778</v>
      </c>
      <c r="C661" s="65" t="inlineStr">
        <is>
          <t>Jose Gregorio Lopez</t>
        </is>
      </c>
      <c r="D661" s="65" t="inlineStr">
        <is>
          <t>CASERES GONZALEZ RONALD OSWALDO</t>
        </is>
      </c>
      <c r="E661" s="65" t="inlineStr">
        <is>
          <t>7 días</t>
        </is>
      </c>
      <c r="F661" s="65" t="n">
        <v>5</v>
      </c>
      <c r="G661" s="65" t="inlineStr">
        <is>
          <t>Pago VES</t>
        </is>
      </c>
      <c r="H661" s="65" t="inlineStr">
        <is>
          <t>[0880] CLASICO API SL SAE 15W-40 (1x12)</t>
        </is>
      </c>
      <c r="I661" s="65" t="n">
        <v>880</v>
      </c>
      <c r="J661" s="63" t="inlineStr">
        <is>
          <t>2,00</t>
        </is>
      </c>
      <c r="K661" s="63" t="inlineStr">
        <is>
          <t>86,21</t>
        </is>
      </c>
      <c r="L661" s="63" t="inlineStr">
        <is>
          <t>13,17</t>
        </is>
      </c>
      <c r="M661" s="63" t="inlineStr">
        <is>
          <t>149,71</t>
        </is>
      </c>
      <c r="N661" s="63" t="inlineStr">
        <is>
          <t>173,66</t>
        </is>
      </c>
      <c r="O661" s="63" t="inlineStr">
        <is>
          <t>149,71</t>
        </is>
      </c>
      <c r="P661" s="63" t="inlineStr">
        <is>
          <t>173,66</t>
        </is>
      </c>
      <c r="Q661" s="63" t="inlineStr">
        <is>
          <t>724,00</t>
        </is>
      </c>
      <c r="R661" s="66" t="n">
        <v>46217</v>
      </c>
      <c r="S661" s="65" t="n">
        <v>482</v>
      </c>
      <c r="T661" s="65" t="inlineStr">
        <is>
          <t>00-00001026</t>
        </is>
      </c>
      <c r="U661" s="63" t="inlineStr">
        <is>
          <t>173,66</t>
        </is>
      </c>
      <c r="V661" s="63" t="inlineStr">
        <is>
          <t>173,67</t>
        </is>
      </c>
    </row>
    <row r="662">
      <c r="A662" s="65" t="inlineStr">
        <is>
          <t>S00575</t>
        </is>
      </c>
      <c r="B662" s="62" t="n">
        <v>46190.39795138889</v>
      </c>
      <c r="C662" s="65" t="inlineStr">
        <is>
          <t>Grupo KACAOIL,C.A.</t>
        </is>
      </c>
      <c r="D662" s="65" t="inlineStr">
        <is>
          <t>CASERES GONZALEZ RONALD OSWALDO</t>
        </is>
      </c>
      <c r="E662" s="65" t="inlineStr">
        <is>
          <t>7 días</t>
        </is>
      </c>
      <c r="F662" s="65" t="n">
        <v>5</v>
      </c>
      <c r="G662" s="65" t="inlineStr">
        <is>
          <t>Pago VES</t>
        </is>
      </c>
      <c r="H662" s="65" t="inlineStr">
        <is>
          <t>[0881] CLASICO API SL SAE 20W-50 (1x12)</t>
        </is>
      </c>
      <c r="I662" s="65" t="n">
        <v>881</v>
      </c>
      <c r="J662" s="63" t="inlineStr">
        <is>
          <t>1,00</t>
        </is>
      </c>
      <c r="K662" s="63" t="inlineStr">
        <is>
          <t>81,37</t>
        </is>
      </c>
      <c r="L662" s="63" t="inlineStr">
        <is>
          <t>0,00</t>
        </is>
      </c>
      <c r="M662" s="63" t="inlineStr">
        <is>
          <t>81,37</t>
        </is>
      </c>
      <c r="N662" s="63" t="inlineStr">
        <is>
          <t>94,39</t>
        </is>
      </c>
      <c r="O662" s="63" t="inlineStr">
        <is>
          <t>81,37</t>
        </is>
      </c>
      <c r="P662" s="63" t="inlineStr">
        <is>
          <t>94,39</t>
        </is>
      </c>
      <c r="Q662" s="63" t="inlineStr">
        <is>
          <t>596,78</t>
        </is>
      </c>
      <c r="R662" s="66" t="n">
        <v>46190</v>
      </c>
      <c r="S662" s="65" t="n">
        <v>186</v>
      </c>
      <c r="T662" s="65" t="inlineStr">
        <is>
          <t>00-00000648</t>
        </is>
      </c>
      <c r="U662" s="63" t="inlineStr">
        <is>
          <t>99,99</t>
        </is>
      </c>
      <c r="V662" s="63" t="inlineStr">
        <is>
          <t>100,00</t>
        </is>
      </c>
    </row>
    <row r="663">
      <c r="A663" s="65" t="inlineStr">
        <is>
          <t>S00573</t>
        </is>
      </c>
      <c r="B663" s="62" t="n">
        <v>46189.70178240741</v>
      </c>
      <c r="C663" s="65" t="inlineStr">
        <is>
          <t>SJMG 2012 C.A</t>
        </is>
      </c>
      <c r="D663" s="65" t="inlineStr">
        <is>
          <t>GRIMAN DIAZ HECTOR EDUARDO</t>
        </is>
      </c>
      <c r="E663" s="65" t="inlineStr">
        <is>
          <t>7 días</t>
        </is>
      </c>
      <c r="F663" s="65" t="n">
        <v>5</v>
      </c>
      <c r="G663" s="65" t="inlineStr">
        <is>
          <t>Pago VES</t>
        </is>
      </c>
      <c r="H663" s="65" t="inlineStr">
        <is>
          <t>[0877] SS EXTRA PROTECCION API SN SAE 15W-40 (1X12)</t>
        </is>
      </c>
      <c r="I663" s="65" t="n">
        <v>877</v>
      </c>
      <c r="J663" s="63" t="inlineStr">
        <is>
          <t>5,00</t>
        </is>
      </c>
      <c r="K663" s="63" t="inlineStr">
        <is>
          <t>100,80</t>
        </is>
      </c>
      <c r="L663" s="63" t="inlineStr">
        <is>
          <t>4,93</t>
        </is>
      </c>
      <c r="M663" s="63" t="inlineStr">
        <is>
          <t>479,15</t>
        </is>
      </c>
      <c r="N663" s="63" t="inlineStr">
        <is>
          <t>555,81</t>
        </is>
      </c>
      <c r="O663" s="63" t="inlineStr">
        <is>
          <t>1.603,85</t>
        </is>
      </c>
      <c r="P663" s="63" t="inlineStr">
        <is>
          <t>1.860,48</t>
        </is>
      </c>
      <c r="Q663" s="65" t="n"/>
      <c r="R663" s="65" t="n"/>
      <c r="S663" s="65" t="n"/>
      <c r="T663" s="65" t="n"/>
      <c r="U663" s="65" t="n"/>
      <c r="V663" s="65" t="n"/>
    </row>
    <row r="664">
      <c r="A664" s="65" t="n"/>
      <c r="B664" s="65" t="n"/>
      <c r="C664" s="65" t="n"/>
      <c r="D664" s="65" t="n"/>
      <c r="E664" s="65" t="n"/>
      <c r="F664" s="65" t="n"/>
      <c r="G664" s="65" t="n"/>
      <c r="H664" s="65" t="inlineStr">
        <is>
          <t>[0761] LIGA PARA FRENOS DOT-3 (1x12)</t>
        </is>
      </c>
      <c r="I664" s="65" t="n">
        <v>761</v>
      </c>
      <c r="J664" s="63" t="inlineStr">
        <is>
          <t>5,00</t>
        </is>
      </c>
      <c r="K664" s="63" t="inlineStr">
        <is>
          <t>35,81</t>
        </is>
      </c>
      <c r="L664" s="63" t="inlineStr">
        <is>
          <t>4,93</t>
        </is>
      </c>
      <c r="M664" s="63" t="inlineStr">
        <is>
          <t>170,22</t>
        </is>
      </c>
      <c r="N664" s="63" t="inlineStr">
        <is>
          <t>197,46</t>
        </is>
      </c>
      <c r="O664" s="65" t="n"/>
      <c r="P664" s="65" t="n"/>
      <c r="Q664" s="65" t="n"/>
      <c r="R664" s="65" t="n"/>
      <c r="S664" s="65" t="n"/>
      <c r="T664" s="65" t="n"/>
      <c r="U664" s="65" t="n"/>
      <c r="V664" s="65" t="n"/>
    </row>
    <row r="665">
      <c r="A665" s="65" t="n"/>
      <c r="B665" s="65" t="n"/>
      <c r="C665" s="65" t="n"/>
      <c r="D665" s="65" t="n"/>
      <c r="E665" s="65" t="n"/>
      <c r="F665" s="65" t="n"/>
      <c r="G665" s="65" t="n"/>
      <c r="H665" s="65" t="inlineStr">
        <is>
          <t>[0762] LIGA PARA FRENOS DOT-3 (1x6)</t>
        </is>
      </c>
      <c r="I665" s="65" t="n">
        <v>762</v>
      </c>
      <c r="J665" s="63" t="inlineStr">
        <is>
          <t>3,00</t>
        </is>
      </c>
      <c r="K665" s="63" t="inlineStr">
        <is>
          <t>57,03</t>
        </is>
      </c>
      <c r="L665" s="63" t="inlineStr">
        <is>
          <t>4,93</t>
        </is>
      </c>
      <c r="M665" s="63" t="inlineStr">
        <is>
          <t>162,66</t>
        </is>
      </c>
      <c r="N665" s="63" t="inlineStr">
        <is>
          <t>188,69</t>
        </is>
      </c>
      <c r="O665" s="65" t="n"/>
      <c r="P665" s="65" t="n"/>
      <c r="Q665" s="65" t="n"/>
      <c r="R665" s="65" t="n"/>
      <c r="S665" s="65" t="n"/>
      <c r="T665" s="65" t="n"/>
      <c r="U665" s="65" t="n"/>
      <c r="V665" s="65" t="n"/>
    </row>
    <row r="666">
      <c r="A666" s="65" t="n"/>
      <c r="B666" s="65" t="n"/>
      <c r="C666" s="65" t="n"/>
      <c r="D666" s="65" t="n"/>
      <c r="E666" s="65" t="n"/>
      <c r="F666" s="65" t="n"/>
      <c r="G666" s="65" t="n"/>
      <c r="H666" s="65" t="inlineStr">
        <is>
          <t>[0774] LIGA PARA FRENOS DOT-4 (1X6)</t>
        </is>
      </c>
      <c r="I666" s="65" t="n">
        <v>774</v>
      </c>
      <c r="J666" s="63" t="inlineStr">
        <is>
          <t>2,00</t>
        </is>
      </c>
      <c r="K666" s="63" t="inlineStr">
        <is>
          <t>64,99</t>
        </is>
      </c>
      <c r="L666" s="63" t="inlineStr">
        <is>
          <t>4,93</t>
        </is>
      </c>
      <c r="M666" s="63" t="inlineStr">
        <is>
          <t>123,57</t>
        </is>
      </c>
      <c r="N666" s="63" t="inlineStr">
        <is>
          <t>143,34</t>
        </is>
      </c>
      <c r="O666" s="65" t="n"/>
      <c r="P666" s="65" t="n"/>
      <c r="Q666" s="65" t="n"/>
      <c r="R666" s="65" t="n"/>
      <c r="S666" s="65" t="n"/>
      <c r="T666" s="65" t="n"/>
      <c r="U666" s="65" t="n"/>
      <c r="V666" s="65" t="n"/>
    </row>
    <row r="667">
      <c r="A667" s="65" t="n"/>
      <c r="B667" s="65" t="n"/>
      <c r="C667" s="65" t="n"/>
      <c r="D667" s="65" t="n"/>
      <c r="E667" s="65" t="n"/>
      <c r="F667" s="65" t="n"/>
      <c r="G667" s="65" t="n"/>
      <c r="H667" s="65" t="inlineStr">
        <is>
          <t>[0775] LIGA PARA FRENOS DOT-4 (1X12)</t>
        </is>
      </c>
      <c r="I667" s="65" t="n">
        <v>775</v>
      </c>
      <c r="J667" s="63" t="inlineStr">
        <is>
          <t>2,00</t>
        </is>
      </c>
      <c r="K667" s="63" t="inlineStr">
        <is>
          <t>41,11</t>
        </is>
      </c>
      <c r="L667" s="63" t="inlineStr">
        <is>
          <t>4,93</t>
        </is>
      </c>
      <c r="M667" s="63" t="inlineStr">
        <is>
          <t>78,17</t>
        </is>
      </c>
      <c r="N667" s="63" t="inlineStr">
        <is>
          <t>90,68</t>
        </is>
      </c>
      <c r="O667" s="65" t="n"/>
      <c r="P667" s="65" t="n"/>
      <c r="Q667" s="65" t="n"/>
      <c r="R667" s="65" t="n"/>
      <c r="S667" s="65" t="n"/>
      <c r="T667" s="65" t="n"/>
      <c r="U667" s="65" t="n"/>
      <c r="V667" s="65" t="n"/>
    </row>
    <row r="668">
      <c r="A668" s="65" t="n"/>
      <c r="B668" s="65" t="n"/>
      <c r="C668" s="65" t="n"/>
      <c r="D668" s="65" t="n"/>
      <c r="E668" s="65" t="n"/>
      <c r="F668" s="65" t="n"/>
      <c r="G668" s="65" t="n"/>
      <c r="H668" s="65" t="inlineStr">
        <is>
          <t>[0121] TRANSGLOB API GL-5 SAE 80W-90 (1x6)</t>
        </is>
      </c>
      <c r="I668" s="65" t="n">
        <v>121</v>
      </c>
      <c r="J668" s="63" t="inlineStr">
        <is>
          <t>4,00</t>
        </is>
      </c>
      <c r="K668" s="63" t="inlineStr">
        <is>
          <t>51,72</t>
        </is>
      </c>
      <c r="L668" s="63" t="inlineStr">
        <is>
          <t>4,93</t>
        </is>
      </c>
      <c r="M668" s="63" t="inlineStr">
        <is>
          <t>196,68</t>
        </is>
      </c>
      <c r="N668" s="63" t="inlineStr">
        <is>
          <t>228,15</t>
        </is>
      </c>
      <c r="O668" s="65" t="n"/>
      <c r="P668" s="65" t="n"/>
      <c r="Q668" s="65" t="n"/>
      <c r="R668" s="65" t="n"/>
      <c r="S668" s="65" t="n"/>
      <c r="T668" s="65" t="n"/>
      <c r="U668" s="65" t="n"/>
      <c r="V668" s="65" t="n"/>
    </row>
    <row r="669">
      <c r="A669" s="65" t="n"/>
      <c r="B669" s="65" t="n"/>
      <c r="C669" s="65" t="n"/>
      <c r="D669" s="65" t="n"/>
      <c r="E669" s="65" t="n"/>
      <c r="F669" s="65" t="n"/>
      <c r="G669" s="65" t="n"/>
      <c r="H669" s="65" t="inlineStr">
        <is>
          <t>[0127] TRANSGLOB API GL-5 SAE 85W-140 (1x6)</t>
        </is>
      </c>
      <c r="I669" s="65" t="n">
        <v>127</v>
      </c>
      <c r="J669" s="63" t="inlineStr">
        <is>
          <t>4,00</t>
        </is>
      </c>
      <c r="K669" s="63" t="inlineStr">
        <is>
          <t>53,05</t>
        </is>
      </c>
      <c r="L669" s="63" t="inlineStr">
        <is>
          <t>4,93</t>
        </is>
      </c>
      <c r="M669" s="63" t="inlineStr">
        <is>
          <t>201,74</t>
        </is>
      </c>
      <c r="N669" s="63" t="inlineStr">
        <is>
          <t>234,02</t>
        </is>
      </c>
      <c r="O669" s="65" t="n"/>
      <c r="P669" s="65" t="n"/>
      <c r="Q669" s="65" t="n"/>
      <c r="R669" s="65" t="n"/>
      <c r="S669" s="65" t="n"/>
      <c r="T669" s="65" t="n"/>
      <c r="U669" s="65" t="n"/>
      <c r="V669" s="65" t="n"/>
    </row>
    <row r="670">
      <c r="A670" s="65" t="n"/>
      <c r="B670" s="65" t="n"/>
      <c r="C670" s="65" t="n"/>
      <c r="D670" s="65" t="n"/>
      <c r="E670" s="65" t="n"/>
      <c r="F670" s="65" t="n"/>
      <c r="G670" s="65" t="n"/>
      <c r="H670" s="65" t="inlineStr">
        <is>
          <t>[0025] SS EXTRA PROTECCION API SN SAE 10W-30 (Gasolina) (1x6)</t>
        </is>
      </c>
      <c r="I670" s="65" t="n">
        <v>25</v>
      </c>
      <c r="J670" s="63" t="inlineStr">
        <is>
          <t>4,00</t>
        </is>
      </c>
      <c r="K670" s="63" t="inlineStr">
        <is>
          <t>50,40</t>
        </is>
      </c>
      <c r="L670" s="63" t="inlineStr">
        <is>
          <t>4,93</t>
        </is>
      </c>
      <c r="M670" s="63" t="inlineStr">
        <is>
          <t>191,66</t>
        </is>
      </c>
      <c r="N670" s="63" t="inlineStr">
        <is>
          <t>222,33</t>
        </is>
      </c>
      <c r="O670" s="65" t="n"/>
      <c r="P670" s="65" t="n"/>
      <c r="Q670" s="65" t="n"/>
      <c r="R670" s="65" t="n"/>
      <c r="S670" s="65" t="n"/>
      <c r="T670" s="65" t="n"/>
      <c r="U670" s="65" t="n"/>
      <c r="V670" s="65" t="n"/>
    </row>
    <row r="671">
      <c r="A671" s="65" t="inlineStr">
        <is>
          <t>S00574</t>
        </is>
      </c>
      <c r="B671" s="62" t="n">
        <v>46189.70155092593</v>
      </c>
      <c r="C671" s="65" t="inlineStr">
        <is>
          <t>Katiuska Alejandra Curvelo</t>
        </is>
      </c>
      <c r="D671" s="65" t="inlineStr">
        <is>
          <t>GRIMAN DIAZ HECTOR EDUARDO</t>
        </is>
      </c>
      <c r="E671" s="65" t="inlineStr">
        <is>
          <t>7 días</t>
        </is>
      </c>
      <c r="F671" s="65" t="n">
        <v>5</v>
      </c>
      <c r="G671" s="65" t="inlineStr">
        <is>
          <t>Pago VES</t>
        </is>
      </c>
      <c r="H671" s="65" t="inlineStr">
        <is>
          <t>[0878] SS EXTRA PROTECCION API SN SAE 20W-50 (1x12)</t>
        </is>
      </c>
      <c r="I671" s="65" t="n">
        <v>878</v>
      </c>
      <c r="J671" s="63" t="inlineStr">
        <is>
          <t>1,00</t>
        </is>
      </c>
      <c r="K671" s="63" t="inlineStr">
        <is>
          <t>95,83</t>
        </is>
      </c>
      <c r="L671" s="63" t="inlineStr">
        <is>
          <t>0,00</t>
        </is>
      </c>
      <c r="M671" s="63" t="inlineStr">
        <is>
          <t>95,83</t>
        </is>
      </c>
      <c r="N671" s="63" t="inlineStr">
        <is>
          <t>111,16</t>
        </is>
      </c>
      <c r="O671" s="63" t="inlineStr">
        <is>
          <t>191,66</t>
        </is>
      </c>
      <c r="P671" s="63" t="inlineStr">
        <is>
          <t>222,32</t>
        </is>
      </c>
      <c r="Q671" s="63" t="inlineStr">
        <is>
          <t>596,78</t>
        </is>
      </c>
      <c r="R671" s="66" t="n">
        <v>46190</v>
      </c>
      <c r="S671" s="65" t="n">
        <v>190</v>
      </c>
      <c r="T671" s="65" t="inlineStr">
        <is>
          <t>00-00000652</t>
        </is>
      </c>
      <c r="U671" s="63" t="inlineStr">
        <is>
          <t>139,98</t>
        </is>
      </c>
      <c r="V671" s="63" t="inlineStr">
        <is>
          <t>0,01</t>
        </is>
      </c>
    </row>
    <row r="672">
      <c r="A672" s="65" t="n"/>
      <c r="B672" s="65" t="n"/>
      <c r="C672" s="65" t="n"/>
      <c r="D672" s="65" t="n"/>
      <c r="E672" s="65" t="n"/>
      <c r="F672" s="65" t="n"/>
      <c r="G672" s="65" t="n"/>
      <c r="H672" s="65" t="inlineStr">
        <is>
          <t>[0877] SS EXTRA PROTECCION API SN SAE 15W-40 (1X12)</t>
        </is>
      </c>
      <c r="I672" s="65" t="n">
        <v>877</v>
      </c>
      <c r="J672" s="63" t="inlineStr">
        <is>
          <t>1,00</t>
        </is>
      </c>
      <c r="K672" s="63" t="inlineStr">
        <is>
          <t>95,83</t>
        </is>
      </c>
      <c r="L672" s="63" t="inlineStr">
        <is>
          <t>0,00</t>
        </is>
      </c>
      <c r="M672" s="63" t="inlineStr">
        <is>
          <t>95,83</t>
        </is>
      </c>
      <c r="N672" s="63" t="inlineStr">
        <is>
          <t>111,16</t>
        </is>
      </c>
      <c r="O672" s="65" t="n"/>
      <c r="P672" s="65" t="n"/>
      <c r="Q672" s="65" t="n"/>
      <c r="R672" s="65" t="n"/>
      <c r="S672" s="65" t="n"/>
      <c r="T672" s="65" t="n"/>
      <c r="U672" s="65" t="n"/>
      <c r="V672" s="65" t="n"/>
    </row>
    <row r="673">
      <c r="A673" s="65" t="inlineStr">
        <is>
          <t>S00572</t>
        </is>
      </c>
      <c r="B673" s="62" t="n">
        <v>46189.70135416667</v>
      </c>
      <c r="C673" s="65" t="inlineStr">
        <is>
          <t>AUTO REPUESTOS EL DUO 2013, C.A.</t>
        </is>
      </c>
      <c r="D673" s="65" t="inlineStr">
        <is>
          <t>TORO ARDILES DAVID JOSE</t>
        </is>
      </c>
      <c r="E673" s="65" t="inlineStr">
        <is>
          <t>7 días</t>
        </is>
      </c>
      <c r="F673" s="65" t="n">
        <v>5</v>
      </c>
      <c r="G673" s="65" t="inlineStr">
        <is>
          <t>Pago VES</t>
        </is>
      </c>
      <c r="H673" s="65" t="inlineStr">
        <is>
          <t>[0779] SINOCO SAE 20W-50 (1x12)</t>
        </is>
      </c>
      <c r="I673" s="65" t="n">
        <v>779</v>
      </c>
      <c r="J673" s="63" t="inlineStr">
        <is>
          <t>1,00</t>
        </is>
      </c>
      <c r="K673" s="63" t="inlineStr">
        <is>
          <t>70,29</t>
        </is>
      </c>
      <c r="L673" s="63" t="inlineStr">
        <is>
          <t>4,93</t>
        </is>
      </c>
      <c r="M673" s="63" t="inlineStr">
        <is>
          <t>66,82</t>
        </is>
      </c>
      <c r="N673" s="63" t="inlineStr">
        <is>
          <t>77,51</t>
        </is>
      </c>
      <c r="O673" s="63" t="inlineStr">
        <is>
          <t>385,81</t>
        </is>
      </c>
      <c r="P673" s="63" t="inlineStr">
        <is>
          <t>447,53</t>
        </is>
      </c>
      <c r="Q673" s="63" t="inlineStr">
        <is>
          <t>724,00</t>
        </is>
      </c>
      <c r="R673" s="66" t="n">
        <v>46217</v>
      </c>
      <c r="S673" s="65" t="n">
        <v>483</v>
      </c>
      <c r="T673" s="65" t="inlineStr">
        <is>
          <t>00-00001027</t>
        </is>
      </c>
      <c r="U673" s="63" t="inlineStr">
        <is>
          <t>447,54</t>
        </is>
      </c>
      <c r="V673" s="63" t="inlineStr">
        <is>
          <t>60,13</t>
        </is>
      </c>
    </row>
    <row r="674">
      <c r="A674" s="65" t="n"/>
      <c r="B674" s="65" t="n"/>
      <c r="C674" s="65" t="n"/>
      <c r="D674" s="65" t="n"/>
      <c r="E674" s="65" t="n"/>
      <c r="F674" s="65" t="n"/>
      <c r="G674" s="65" t="n"/>
      <c r="H674" s="65" t="inlineStr">
        <is>
          <t>[0884] TRANSMATIC ATF DEXRON III (1x12)</t>
        </is>
      </c>
      <c r="I674" s="65" t="n">
        <v>884</v>
      </c>
      <c r="J674" s="63" t="inlineStr">
        <is>
          <t>1,00</t>
        </is>
      </c>
      <c r="K674" s="63" t="inlineStr">
        <is>
          <t>95,49</t>
        </is>
      </c>
      <c r="L674" s="63" t="inlineStr">
        <is>
          <t>4,93</t>
        </is>
      </c>
      <c r="M674" s="63" t="inlineStr">
        <is>
          <t>90,78</t>
        </is>
      </c>
      <c r="N674" s="63" t="inlineStr">
        <is>
          <t>105,30</t>
        </is>
      </c>
      <c r="O674" s="65" t="n"/>
      <c r="P674" s="65" t="n"/>
      <c r="Q674" s="65" t="n"/>
      <c r="R674" s="65" t="n"/>
      <c r="S674" s="65" t="n"/>
      <c r="T674" s="65" t="n"/>
      <c r="U674" s="65" t="n"/>
      <c r="V674" s="65" t="n"/>
    </row>
    <row r="675">
      <c r="A675" s="65" t="n"/>
      <c r="B675" s="65" t="n"/>
      <c r="C675" s="65" t="n"/>
      <c r="D675" s="65" t="n"/>
      <c r="E675" s="65" t="n"/>
      <c r="F675" s="65" t="n"/>
      <c r="G675" s="65" t="n"/>
      <c r="H675" s="65" t="inlineStr">
        <is>
          <t>[0877] SS EXTRA PROTECCION API SN SAE 15W-40 (1X12)</t>
        </is>
      </c>
      <c r="I675" s="65" t="n">
        <v>877</v>
      </c>
      <c r="J675" s="63" t="inlineStr">
        <is>
          <t>1,00</t>
        </is>
      </c>
      <c r="K675" s="63" t="inlineStr">
        <is>
          <t>100,80</t>
        </is>
      </c>
      <c r="L675" s="63" t="inlineStr">
        <is>
          <t>4,93</t>
        </is>
      </c>
      <c r="M675" s="63" t="inlineStr">
        <is>
          <t>95,83</t>
        </is>
      </c>
      <c r="N675" s="63" t="inlineStr">
        <is>
          <t>111,16</t>
        </is>
      </c>
      <c r="O675" s="65" t="n"/>
      <c r="P675" s="65" t="n"/>
      <c r="Q675" s="65" t="n"/>
      <c r="R675" s="65" t="n"/>
      <c r="S675" s="65" t="n"/>
      <c r="T675" s="65" t="n"/>
      <c r="U675" s="65" t="n"/>
      <c r="V675" s="65" t="n"/>
    </row>
    <row r="676">
      <c r="A676" s="65" t="n"/>
      <c r="B676" s="65" t="n"/>
      <c r="C676" s="65" t="n"/>
      <c r="D676" s="65" t="n"/>
      <c r="E676" s="65" t="n"/>
      <c r="F676" s="65" t="n"/>
      <c r="G676" s="65" t="n"/>
      <c r="H676" s="65" t="inlineStr">
        <is>
          <t>[0121] TRANSGLOB API GL-5 SAE 80W-90 (1x6)</t>
        </is>
      </c>
      <c r="I676" s="65" t="n">
        <v>121</v>
      </c>
      <c r="J676" s="63" t="inlineStr">
        <is>
          <t>2,00</t>
        </is>
      </c>
      <c r="K676" s="63" t="inlineStr">
        <is>
          <t>51,72</t>
        </is>
      </c>
      <c r="L676" s="63" t="inlineStr">
        <is>
          <t>4,93</t>
        </is>
      </c>
      <c r="M676" s="63" t="inlineStr">
        <is>
          <t>98,34</t>
        </is>
      </c>
      <c r="N676" s="63" t="inlineStr">
        <is>
          <t>114,07</t>
        </is>
      </c>
      <c r="O676" s="65" t="n"/>
      <c r="P676" s="65" t="n"/>
      <c r="Q676" s="65" t="n"/>
      <c r="R676" s="65" t="n"/>
      <c r="S676" s="65" t="n"/>
      <c r="T676" s="65" t="n"/>
      <c r="U676" s="65" t="n"/>
      <c r="V676" s="65" t="n"/>
    </row>
    <row r="677">
      <c r="A677" s="65" t="n"/>
      <c r="B677" s="65" t="n"/>
      <c r="C677" s="65" t="n"/>
      <c r="D677" s="65" t="n"/>
      <c r="E677" s="65" t="n"/>
      <c r="F677" s="65" t="n"/>
      <c r="G677" s="65" t="n"/>
      <c r="H677" s="65" t="inlineStr">
        <is>
          <t>[0761] LIGA PARA FRENOS DOT-3 (1x12)</t>
        </is>
      </c>
      <c r="I677" s="65" t="n">
        <v>761</v>
      </c>
      <c r="J677" s="63" t="inlineStr">
        <is>
          <t>1,00</t>
        </is>
      </c>
      <c r="K677" s="63" t="inlineStr">
        <is>
          <t>35,81</t>
        </is>
      </c>
      <c r="L677" s="63" t="inlineStr">
        <is>
          <t>4,93</t>
        </is>
      </c>
      <c r="M677" s="63" t="inlineStr">
        <is>
          <t>34,04</t>
        </is>
      </c>
      <c r="N677" s="63" t="inlineStr">
        <is>
          <t>39,49</t>
        </is>
      </c>
      <c r="O677" s="65" t="n"/>
      <c r="P677" s="65" t="n"/>
      <c r="Q677" s="65" t="n"/>
      <c r="R677" s="65" t="n"/>
      <c r="S677" s="65" t="n"/>
      <c r="T677" s="65" t="n"/>
      <c r="U677" s="65" t="n"/>
      <c r="V677" s="65" t="n"/>
    </row>
    <row r="678">
      <c r="A678" s="65" t="inlineStr">
        <is>
          <t>S00571</t>
        </is>
      </c>
      <c r="B678" s="62" t="n">
        <v>46189.70114583334</v>
      </c>
      <c r="C678" s="65" t="inlineStr">
        <is>
          <t>SJMG 2012 C.A</t>
        </is>
      </c>
      <c r="D678" s="65" t="inlineStr">
        <is>
          <t>GRIMAN DIAZ HECTOR EDUARDO</t>
        </is>
      </c>
      <c r="E678" s="65" t="inlineStr">
        <is>
          <t>7 días</t>
        </is>
      </c>
      <c r="F678" s="65" t="n">
        <v>5</v>
      </c>
      <c r="G678" s="65" t="inlineStr">
        <is>
          <t>Pago VES</t>
        </is>
      </c>
      <c r="H678" s="65" t="inlineStr">
        <is>
          <t>[0602] SINOCO SAE 50 (PAILA)</t>
        </is>
      </c>
      <c r="I678" s="65" t="n">
        <v>602</v>
      </c>
      <c r="J678" s="63" t="inlineStr">
        <is>
          <t>30,00</t>
        </is>
      </c>
      <c r="K678" s="63" t="inlineStr">
        <is>
          <t>96,82</t>
        </is>
      </c>
      <c r="L678" s="63" t="inlineStr">
        <is>
          <t>4,93</t>
        </is>
      </c>
      <c r="M678" s="63" t="inlineStr">
        <is>
          <t>2.761,40</t>
        </is>
      </c>
      <c r="N678" s="63" t="inlineStr">
        <is>
          <t>3.203,22</t>
        </is>
      </c>
      <c r="O678" s="63" t="inlineStr">
        <is>
          <t>17.714,10</t>
        </is>
      </c>
      <c r="P678" s="63" t="inlineStr">
        <is>
          <t>20.548,36</t>
        </is>
      </c>
      <c r="Q678" s="65" t="n"/>
      <c r="R678" s="65" t="n"/>
      <c r="S678" s="65" t="n"/>
      <c r="T678" s="65" t="n"/>
      <c r="U678" s="65" t="n"/>
      <c r="V678" s="65" t="n"/>
    </row>
    <row r="679">
      <c r="A679" s="65" t="n"/>
      <c r="B679" s="65" t="n"/>
      <c r="C679" s="65" t="n"/>
      <c r="D679" s="65" t="n"/>
      <c r="E679" s="65" t="n"/>
      <c r="F679" s="65" t="n"/>
      <c r="G679" s="65" t="n"/>
      <c r="H679" s="65" t="inlineStr">
        <is>
          <t>[0603] SINOCO SAE 50 (Tambor)</t>
        </is>
      </c>
      <c r="I679" s="65" t="n">
        <v>603</v>
      </c>
      <c r="J679" s="63" t="inlineStr">
        <is>
          <t>7,00</t>
        </is>
      </c>
      <c r="K679" s="63" t="inlineStr">
        <is>
          <t>925,73</t>
        </is>
      </c>
      <c r="L679" s="63" t="inlineStr">
        <is>
          <t>4,93</t>
        </is>
      </c>
      <c r="M679" s="63" t="inlineStr">
        <is>
          <t>6.160,64</t>
        </is>
      </c>
      <c r="N679" s="63" t="inlineStr">
        <is>
          <t>7.146,34</t>
        </is>
      </c>
      <c r="O679" s="65" t="n"/>
      <c r="P679" s="65" t="n"/>
      <c r="Q679" s="65" t="n"/>
      <c r="R679" s="65" t="n"/>
      <c r="S679" s="65" t="n"/>
      <c r="T679" s="65" t="n"/>
      <c r="U679" s="65" t="n"/>
      <c r="V679" s="65" t="n"/>
    </row>
    <row r="680">
      <c r="A680" s="65" t="n"/>
      <c r="B680" s="65" t="n"/>
      <c r="C680" s="65" t="n"/>
      <c r="D680" s="65" t="n"/>
      <c r="E680" s="65" t="n"/>
      <c r="F680" s="65" t="n"/>
      <c r="G680" s="65" t="n"/>
      <c r="H680" s="65" t="inlineStr">
        <is>
          <t>[0605] SINOCO SAE 20W-50 (PAILA)</t>
        </is>
      </c>
      <c r="I680" s="65" t="n">
        <v>605</v>
      </c>
      <c r="J680" s="63" t="inlineStr">
        <is>
          <t>10,00</t>
        </is>
      </c>
      <c r="K680" s="63" t="inlineStr">
        <is>
          <t>96,82</t>
        </is>
      </c>
      <c r="L680" s="63" t="inlineStr">
        <is>
          <t>4,93</t>
        </is>
      </c>
      <c r="M680" s="63" t="inlineStr">
        <is>
          <t>920,47</t>
        </is>
      </c>
      <c r="N680" s="63" t="inlineStr">
        <is>
          <t>1.067,75</t>
        </is>
      </c>
      <c r="O680" s="65" t="n"/>
      <c r="P680" s="65" t="n"/>
      <c r="Q680" s="65" t="n"/>
      <c r="R680" s="65" t="n"/>
      <c r="S680" s="65" t="n"/>
      <c r="T680" s="65" t="n"/>
      <c r="U680" s="65" t="n"/>
      <c r="V680" s="65" t="n"/>
    </row>
    <row r="681">
      <c r="A681" s="65" t="n"/>
      <c r="B681" s="65" t="n"/>
      <c r="C681" s="65" t="n"/>
      <c r="D681" s="65" t="n"/>
      <c r="E681" s="65" t="n"/>
      <c r="F681" s="65" t="n"/>
      <c r="G681" s="65" t="n"/>
      <c r="H681" s="65" t="inlineStr">
        <is>
          <t>[0606] SINOCO SAE 20W-50 (Tambor)</t>
        </is>
      </c>
      <c r="I681" s="65" t="n">
        <v>606</v>
      </c>
      <c r="J681" s="63" t="inlineStr">
        <is>
          <t>6,00</t>
        </is>
      </c>
      <c r="K681" s="63" t="inlineStr">
        <is>
          <t>912,47</t>
        </is>
      </c>
      <c r="L681" s="63" t="inlineStr">
        <is>
          <t>4,93</t>
        </is>
      </c>
      <c r="M681" s="63" t="inlineStr">
        <is>
          <t>5.204,91</t>
        </is>
      </c>
      <c r="N681" s="63" t="inlineStr">
        <is>
          <t>6.037,70</t>
        </is>
      </c>
      <c r="O681" s="65" t="n"/>
      <c r="P681" s="65" t="n"/>
      <c r="Q681" s="65" t="n"/>
      <c r="R681" s="65" t="n"/>
      <c r="S681" s="65" t="n"/>
      <c r="T681" s="65" t="n"/>
      <c r="U681" s="65" t="n"/>
      <c r="V681" s="65" t="n"/>
    </row>
    <row r="682">
      <c r="A682" s="65" t="n"/>
      <c r="B682" s="65" t="n"/>
      <c r="C682" s="65" t="n"/>
      <c r="D682" s="65" t="n"/>
      <c r="E682" s="65" t="n"/>
      <c r="F682" s="65" t="n"/>
      <c r="G682" s="65" t="n"/>
      <c r="H682" s="65" t="inlineStr">
        <is>
          <t>[0779] SINOCO SAE 20W-50 (1x12)</t>
        </is>
      </c>
      <c r="I682" s="65" t="n">
        <v>779</v>
      </c>
      <c r="J682" s="63" t="inlineStr">
        <is>
          <t>30,00</t>
        </is>
      </c>
      <c r="K682" s="63" t="inlineStr">
        <is>
          <t>70,29</t>
        </is>
      </c>
      <c r="L682" s="63" t="inlineStr">
        <is>
          <t>4,93</t>
        </is>
      </c>
      <c r="M682" s="63" t="inlineStr">
        <is>
          <t>2.004,74</t>
        </is>
      </c>
      <c r="N682" s="63" t="inlineStr">
        <is>
          <t>2.325,50</t>
        </is>
      </c>
      <c r="O682" s="65" t="n"/>
      <c r="P682" s="65" t="n"/>
      <c r="Q682" s="65" t="n"/>
      <c r="R682" s="65" t="n"/>
      <c r="S682" s="65" t="n"/>
      <c r="T682" s="65" t="n"/>
      <c r="U682" s="65" t="n"/>
      <c r="V682" s="65" t="n"/>
    </row>
    <row r="683">
      <c r="A683" s="65" t="n"/>
      <c r="B683" s="65" t="n"/>
      <c r="C683" s="65" t="n"/>
      <c r="D683" s="65" t="n"/>
      <c r="E683" s="65" t="n"/>
      <c r="F683" s="65" t="n"/>
      <c r="G683" s="65" t="n"/>
      <c r="H683" s="65" t="inlineStr">
        <is>
          <t>[1035] SINOCO HIDRAULICO ISO 68 (PAILA)</t>
        </is>
      </c>
      <c r="I683" s="65" t="n">
        <v>1035</v>
      </c>
      <c r="J683" s="63" t="inlineStr">
        <is>
          <t>2,00</t>
        </is>
      </c>
      <c r="K683" s="63" t="inlineStr">
        <is>
          <t>86,21</t>
        </is>
      </c>
      <c r="L683" s="63" t="inlineStr">
        <is>
          <t>4,93</t>
        </is>
      </c>
      <c r="M683" s="63" t="inlineStr">
        <is>
          <t>163,92</t>
        </is>
      </c>
      <c r="N683" s="63" t="inlineStr">
        <is>
          <t>190,15</t>
        </is>
      </c>
      <c r="O683" s="65" t="n"/>
      <c r="P683" s="65" t="n"/>
      <c r="Q683" s="65" t="n"/>
      <c r="R683" s="65" t="n"/>
      <c r="S683" s="65" t="n"/>
      <c r="T683" s="65" t="n"/>
      <c r="U683" s="65" t="n"/>
      <c r="V683" s="65" t="n"/>
    </row>
    <row r="684">
      <c r="A684" s="65" t="n"/>
      <c r="B684" s="65" t="n"/>
      <c r="C684" s="65" t="n"/>
      <c r="D684" s="65" t="n"/>
      <c r="E684" s="65" t="n"/>
      <c r="F684" s="65" t="n"/>
      <c r="G684" s="65" t="n"/>
      <c r="H684" s="65" t="inlineStr">
        <is>
          <t>[1041] SINOCO API CF/SF SAE 15W-40 DIESEL (PAILA)</t>
        </is>
      </c>
      <c r="I684" s="65" t="n">
        <v>1041</v>
      </c>
      <c r="J684" s="63" t="inlineStr">
        <is>
          <t>5,00</t>
        </is>
      </c>
      <c r="K684" s="63" t="inlineStr">
        <is>
          <t>104,77</t>
        </is>
      </c>
      <c r="L684" s="63" t="inlineStr">
        <is>
          <t>4,93</t>
        </is>
      </c>
      <c r="M684" s="63" t="inlineStr">
        <is>
          <t>498,02</t>
        </is>
      </c>
      <c r="N684" s="63" t="inlineStr">
        <is>
          <t>577,70</t>
        </is>
      </c>
      <c r="O684" s="65" t="n"/>
      <c r="P684" s="65" t="n"/>
      <c r="Q684" s="65" t="n"/>
      <c r="R684" s="65" t="n"/>
      <c r="S684" s="65" t="n"/>
      <c r="T684" s="65" t="n"/>
      <c r="U684" s="65" t="n"/>
      <c r="V684" s="65" t="n"/>
    </row>
    <row r="685">
      <c r="A685" s="65" t="inlineStr">
        <is>
          <t>S00570</t>
        </is>
      </c>
      <c r="B685" s="62" t="n">
        <v>46189.42210648148</v>
      </c>
      <c r="C685" s="65" t="inlineStr">
        <is>
          <t>ELENA MEJIAS</t>
        </is>
      </c>
      <c r="D685" s="65" t="inlineStr">
        <is>
          <t>Marco Romero</t>
        </is>
      </c>
      <c r="E685" s="65" t="inlineStr">
        <is>
          <t>7 días</t>
        </is>
      </c>
      <c r="F685" s="65" t="n">
        <v>4</v>
      </c>
      <c r="G685" s="65" t="inlineStr">
        <is>
          <t>Precio Full Abril</t>
        </is>
      </c>
      <c r="H685" s="65" t="inlineStr">
        <is>
          <t>[0561] MEJORADOR DE OCTANAJE GLOBAL OIL PACK (1X12)</t>
        </is>
      </c>
      <c r="I685" s="65" t="n">
        <v>561</v>
      </c>
      <c r="J685" s="63" t="inlineStr">
        <is>
          <t>1,00</t>
        </is>
      </c>
      <c r="K685" s="63" t="inlineStr">
        <is>
          <t>33,62</t>
        </is>
      </c>
      <c r="L685" s="63" t="inlineStr">
        <is>
          <t>6,00</t>
        </is>
      </c>
      <c r="M685" s="63" t="inlineStr">
        <is>
          <t>31,60</t>
        </is>
      </c>
      <c r="N685" s="63" t="inlineStr">
        <is>
          <t>36,66</t>
        </is>
      </c>
      <c r="O685" s="63" t="inlineStr">
        <is>
          <t>31,60</t>
        </is>
      </c>
      <c r="P685" s="63" t="inlineStr">
        <is>
          <t>36,66</t>
        </is>
      </c>
      <c r="Q685" s="63" t="inlineStr">
        <is>
          <t>592,52</t>
        </is>
      </c>
      <c r="R685" s="66" t="n">
        <v>46189</v>
      </c>
      <c r="S685" s="65" t="n">
        <v>180</v>
      </c>
      <c r="T685" s="65" t="inlineStr">
        <is>
          <t>00-00000636</t>
        </is>
      </c>
      <c r="U685" s="63" t="inlineStr">
        <is>
          <t>36,65</t>
        </is>
      </c>
      <c r="V685" s="63" t="inlineStr">
        <is>
          <t>0,00</t>
        </is>
      </c>
    </row>
    <row r="686">
      <c r="A686" s="65" t="inlineStr">
        <is>
          <t>S00568</t>
        </is>
      </c>
      <c r="B686" s="62" t="n">
        <v>46188.72236111111</v>
      </c>
      <c r="C686" s="65" t="inlineStr">
        <is>
          <t>Jefferson Navone</t>
        </is>
      </c>
      <c r="D686" s="65" t="inlineStr">
        <is>
          <t>MARTINEZ MONTES JEFFREY ENRIQUE</t>
        </is>
      </c>
      <c r="E686" s="65" t="inlineStr">
        <is>
          <t>7 días</t>
        </is>
      </c>
      <c r="F686" s="65" t="n">
        <v>5</v>
      </c>
      <c r="G686" s="65" t="inlineStr">
        <is>
          <t>Pago VES</t>
        </is>
      </c>
      <c r="H686" s="65" t="inlineStr">
        <is>
          <t>[0887] MOTOCLASICO 4T SAE 20W-50 (1x12)</t>
        </is>
      </c>
      <c r="I686" s="65" t="n">
        <v>887</v>
      </c>
      <c r="J686" s="63" t="inlineStr">
        <is>
          <t>3,00</t>
        </is>
      </c>
      <c r="K686" s="63" t="inlineStr">
        <is>
          <t>90,19</t>
        </is>
      </c>
      <c r="L686" s="63" t="inlineStr">
        <is>
          <t>4,11</t>
        </is>
      </c>
      <c r="M686" s="63" t="inlineStr">
        <is>
          <t>259,45</t>
        </is>
      </c>
      <c r="N686" s="63" t="inlineStr">
        <is>
          <t>300,96</t>
        </is>
      </c>
      <c r="O686" s="63" t="inlineStr">
        <is>
          <t>298,87</t>
        </is>
      </c>
      <c r="P686" s="63" t="inlineStr">
        <is>
          <t>346,69</t>
        </is>
      </c>
      <c r="Q686" s="63" t="inlineStr">
        <is>
          <t>724,00</t>
        </is>
      </c>
      <c r="R686" s="66" t="n">
        <v>46217</v>
      </c>
      <c r="S686" s="65" t="n">
        <v>484</v>
      </c>
      <c r="T686" s="65" t="inlineStr">
        <is>
          <t>00-00001028</t>
        </is>
      </c>
      <c r="U686" s="63" t="inlineStr">
        <is>
          <t>346,67</t>
        </is>
      </c>
      <c r="V686" s="63" t="inlineStr">
        <is>
          <t>346,69</t>
        </is>
      </c>
    </row>
    <row r="687">
      <c r="A687" s="65" t="n"/>
      <c r="B687" s="65" t="n"/>
      <c r="C687" s="65" t="n"/>
      <c r="D687" s="65" t="n"/>
      <c r="E687" s="65" t="n"/>
      <c r="F687" s="65" t="n"/>
      <c r="G687" s="65" t="n"/>
      <c r="H687" s="65" t="n"/>
      <c r="I687" s="65" t="n"/>
      <c r="J687" s="63" t="inlineStr">
        <is>
          <t>0,00</t>
        </is>
      </c>
      <c r="K687" s="63" t="inlineStr">
        <is>
          <t>0,00</t>
        </is>
      </c>
      <c r="L687" s="63" t="inlineStr">
        <is>
          <t>0,00</t>
        </is>
      </c>
      <c r="M687" s="63" t="inlineStr">
        <is>
          <t>0,00</t>
        </is>
      </c>
      <c r="N687" s="63" t="inlineStr">
        <is>
          <t>0,00</t>
        </is>
      </c>
      <c r="O687" s="65" t="n"/>
      <c r="P687" s="65" t="n"/>
      <c r="Q687" s="65" t="n"/>
      <c r="R687" s="65" t="n"/>
      <c r="S687" s="65" t="n"/>
      <c r="T687" s="65" t="n"/>
      <c r="U687" s="65" t="n"/>
      <c r="V687" s="65" t="n"/>
    </row>
    <row r="688">
      <c r="A688" s="65" t="n"/>
      <c r="B688" s="65" t="n"/>
      <c r="C688" s="65" t="n"/>
      <c r="D688" s="65" t="n"/>
      <c r="E688" s="65" t="n"/>
      <c r="F688" s="65" t="n"/>
      <c r="G688" s="65" t="n"/>
      <c r="H688" s="65" t="inlineStr">
        <is>
          <t>[0775] LIGA PARA FRENOS DOT-4 (1X12)</t>
        </is>
      </c>
      <c r="I688" s="65" t="n">
        <v>775</v>
      </c>
      <c r="J688" s="63" t="inlineStr">
        <is>
          <t>1,00</t>
        </is>
      </c>
      <c r="K688" s="63" t="inlineStr">
        <is>
          <t>41,11</t>
        </is>
      </c>
      <c r="L688" s="63" t="inlineStr">
        <is>
          <t>4,11</t>
        </is>
      </c>
      <c r="M688" s="63" t="inlineStr">
        <is>
          <t>39,42</t>
        </is>
      </c>
      <c r="N688" s="63" t="inlineStr">
        <is>
          <t>45,73</t>
        </is>
      </c>
      <c r="O688" s="65" t="n"/>
      <c r="P688" s="65" t="n"/>
      <c r="Q688" s="65" t="n"/>
      <c r="R688" s="65" t="n"/>
      <c r="S688" s="65" t="n"/>
      <c r="T688" s="65" t="n"/>
      <c r="U688" s="65" t="n"/>
      <c r="V688" s="65" t="n"/>
    </row>
    <row r="689">
      <c r="A689" s="65" t="inlineStr">
        <is>
          <t>S00527</t>
        </is>
      </c>
      <c r="B689" s="62" t="n">
        <v>46188.69927083333</v>
      </c>
      <c r="C689" s="65" t="inlineStr">
        <is>
          <t>Fluidtack Soluciones, c.a.</t>
        </is>
      </c>
      <c r="D689" s="65" t="inlineStr">
        <is>
          <t>CASERES GONZALEZ RONALD OSWALDO</t>
        </is>
      </c>
      <c r="E689" s="65" t="inlineStr">
        <is>
          <t>7 días</t>
        </is>
      </c>
      <c r="F689" s="65" t="n">
        <v>5</v>
      </c>
      <c r="G689" s="65" t="inlineStr">
        <is>
          <t>Pago VES</t>
        </is>
      </c>
      <c r="H689" s="65" t="inlineStr">
        <is>
          <t>[0139] HIDRAGLOB AW/ISO 46 (PAILA)</t>
        </is>
      </c>
      <c r="I689" s="65" t="n">
        <v>139</v>
      </c>
      <c r="J689" s="63" t="inlineStr">
        <is>
          <t>1,00</t>
        </is>
      </c>
      <c r="K689" s="63" t="inlineStr">
        <is>
          <t>123,71</t>
        </is>
      </c>
      <c r="L689" s="63" t="inlineStr">
        <is>
          <t>0,00</t>
        </is>
      </c>
      <c r="M689" s="63" t="inlineStr">
        <is>
          <t>123,71</t>
        </is>
      </c>
      <c r="N689" s="63" t="inlineStr">
        <is>
          <t>143,50</t>
        </is>
      </c>
      <c r="O689" s="63" t="inlineStr">
        <is>
          <t>123,71</t>
        </is>
      </c>
      <c r="P689" s="63" t="inlineStr">
        <is>
          <t>143,50</t>
        </is>
      </c>
      <c r="Q689" s="63" t="inlineStr">
        <is>
          <t>596,78</t>
        </is>
      </c>
      <c r="R689" s="66" t="n">
        <v>46190</v>
      </c>
      <c r="S689" s="65" t="n">
        <v>189</v>
      </c>
      <c r="T689" s="65" t="inlineStr">
        <is>
          <t>00-00000651</t>
        </is>
      </c>
      <c r="U689" s="63" t="inlineStr">
        <is>
          <t>141,24</t>
        </is>
      </c>
      <c r="V689" s="63" t="inlineStr">
        <is>
          <t>20,61</t>
        </is>
      </c>
    </row>
    <row r="690">
      <c r="A690" s="65" t="inlineStr">
        <is>
          <t>S00566</t>
        </is>
      </c>
      <c r="B690" s="62" t="n">
        <v>46188.69125</v>
      </c>
      <c r="C690" s="65" t="inlineStr">
        <is>
          <t>Emprendimiento ilaris cancelo</t>
        </is>
      </c>
      <c r="D690" s="65" t="inlineStr">
        <is>
          <t>PEREZ DIAZ ANGEL DE DIOS</t>
        </is>
      </c>
      <c r="E690" s="65" t="inlineStr">
        <is>
          <t>7 días</t>
        </is>
      </c>
      <c r="F690" s="65" t="n">
        <v>5</v>
      </c>
      <c r="G690" s="65" t="inlineStr">
        <is>
          <t>Pago VES</t>
        </is>
      </c>
      <c r="H690" s="65" t="inlineStr">
        <is>
          <t>[0603] SINOCO SAE 50 (Tambor)</t>
        </is>
      </c>
      <c r="I690" s="65" t="n">
        <v>603</v>
      </c>
      <c r="J690" s="63" t="inlineStr">
        <is>
          <t>2,00</t>
        </is>
      </c>
      <c r="K690" s="63" t="inlineStr">
        <is>
          <t>925,73</t>
        </is>
      </c>
      <c r="L690" s="63" t="inlineStr">
        <is>
          <t>4,11</t>
        </is>
      </c>
      <c r="M690" s="63" t="inlineStr">
        <is>
          <t>1.775,36</t>
        </is>
      </c>
      <c r="N690" s="63" t="inlineStr">
        <is>
          <t>2.059,42</t>
        </is>
      </c>
      <c r="O690" s="63" t="inlineStr">
        <is>
          <t>2.449,37</t>
        </is>
      </c>
      <c r="P690" s="63" t="inlineStr">
        <is>
          <t>2.841,27</t>
        </is>
      </c>
      <c r="Q690" s="65" t="n"/>
      <c r="R690" s="65" t="n"/>
      <c r="S690" s="65" t="n"/>
      <c r="T690" s="65" t="n"/>
      <c r="U690" s="65" t="n"/>
      <c r="V690" s="65" t="n"/>
    </row>
    <row r="691">
      <c r="A691" s="65" t="n"/>
      <c r="B691" s="65" t="n"/>
      <c r="C691" s="65" t="n"/>
      <c r="D691" s="65" t="n"/>
      <c r="E691" s="65" t="n"/>
      <c r="F691" s="65" t="n"/>
      <c r="G691" s="65" t="n"/>
      <c r="H691" s="65" t="inlineStr">
        <is>
          <t>[0779] SINOCO SAE 20W-50 (1x12)</t>
        </is>
      </c>
      <c r="I691" s="65" t="n">
        <v>779</v>
      </c>
      <c r="J691" s="63" t="inlineStr">
        <is>
          <t>10,00</t>
        </is>
      </c>
      <c r="K691" s="63" t="inlineStr">
        <is>
          <t>70,29</t>
        </is>
      </c>
      <c r="L691" s="63" t="inlineStr">
        <is>
          <t>4,11</t>
        </is>
      </c>
      <c r="M691" s="63" t="inlineStr">
        <is>
          <t>674,01</t>
        </is>
      </c>
      <c r="N691" s="63" t="inlineStr">
        <is>
          <t>781,85</t>
        </is>
      </c>
      <c r="O691" s="65" t="n"/>
      <c r="P691" s="65" t="n"/>
      <c r="Q691" s="65" t="n"/>
      <c r="R691" s="65" t="n"/>
      <c r="S691" s="65" t="n"/>
      <c r="T691" s="65" t="n"/>
      <c r="U691" s="65" t="n"/>
      <c r="V691" s="65" t="n"/>
    </row>
    <row r="692">
      <c r="A692" s="65" t="inlineStr">
        <is>
          <t>S00567</t>
        </is>
      </c>
      <c r="B692" s="62" t="n">
        <v>46188.69111111111</v>
      </c>
      <c r="C692" s="65" t="inlineStr">
        <is>
          <t>Yulendri Carolina Pineda Blanco</t>
        </is>
      </c>
      <c r="D692" s="65" t="inlineStr">
        <is>
          <t>GRIMAN DIAZ HECTOR EDUARDO</t>
        </is>
      </c>
      <c r="E692" s="65" t="inlineStr">
        <is>
          <t>7 días</t>
        </is>
      </c>
      <c r="F692" s="65" t="n">
        <v>5</v>
      </c>
      <c r="G692" s="65" t="inlineStr">
        <is>
          <t>Pago VES</t>
        </is>
      </c>
      <c r="H692" s="65" t="inlineStr">
        <is>
          <t>[0887] MOTOCLASICO 4T SAE 20W-50 (1x12)</t>
        </is>
      </c>
      <c r="I692" s="65" t="n">
        <v>887</v>
      </c>
      <c r="J692" s="63" t="inlineStr">
        <is>
          <t>1,00</t>
        </is>
      </c>
      <c r="K692" s="63" t="inlineStr">
        <is>
          <t>90,19</t>
        </is>
      </c>
      <c r="L692" s="63" t="inlineStr">
        <is>
          <t>4,11</t>
        </is>
      </c>
      <c r="M692" s="63" t="inlineStr">
        <is>
          <t>86,48</t>
        </is>
      </c>
      <c r="N692" s="63" t="inlineStr">
        <is>
          <t>100,32</t>
        </is>
      </c>
      <c r="O692" s="63" t="inlineStr">
        <is>
          <t>310,32</t>
        </is>
      </c>
      <c r="P692" s="63" t="inlineStr">
        <is>
          <t>359,97</t>
        </is>
      </c>
      <c r="Q692" s="63" t="inlineStr">
        <is>
          <t>721,35</t>
        </is>
      </c>
      <c r="R692" s="66" t="n">
        <v>46216</v>
      </c>
      <c r="S692" s="65" t="n">
        <v>440</v>
      </c>
      <c r="T692" s="65" t="inlineStr">
        <is>
          <t>00-00000984</t>
        </is>
      </c>
      <c r="U692" s="63" t="inlineStr">
        <is>
          <t>359,95</t>
        </is>
      </c>
      <c r="V692" s="63" t="inlineStr">
        <is>
          <t>359,97</t>
        </is>
      </c>
    </row>
    <row r="693">
      <c r="A693" s="65" t="n"/>
      <c r="B693" s="65" t="n"/>
      <c r="C693" s="65" t="n"/>
      <c r="D693" s="65" t="n"/>
      <c r="E693" s="65" t="n"/>
      <c r="F693" s="65" t="n"/>
      <c r="G693" s="65" t="n"/>
      <c r="H693" s="65" t="inlineStr">
        <is>
          <t>[0877] SS EXTRA PROTECCION API SN SAE 15W-40 (1X12)</t>
        </is>
      </c>
      <c r="I693" s="65" t="n">
        <v>877</v>
      </c>
      <c r="J693" s="63" t="inlineStr">
        <is>
          <t>1,00</t>
        </is>
      </c>
      <c r="K693" s="63" t="inlineStr">
        <is>
          <t>100,80</t>
        </is>
      </c>
      <c r="L693" s="63" t="inlineStr">
        <is>
          <t>4,11</t>
        </is>
      </c>
      <c r="M693" s="63" t="inlineStr">
        <is>
          <t>96,66</t>
        </is>
      </c>
      <c r="N693" s="63" t="inlineStr">
        <is>
          <t>112,13</t>
        </is>
      </c>
      <c r="O693" s="65" t="n"/>
      <c r="P693" s="65" t="n"/>
      <c r="Q693" s="65" t="n"/>
      <c r="R693" s="65" t="n"/>
      <c r="S693" s="65" t="n"/>
      <c r="T693" s="65" t="n"/>
      <c r="U693" s="65" t="n"/>
      <c r="V693" s="65" t="n"/>
    </row>
    <row r="694">
      <c r="A694" s="65" t="n"/>
      <c r="B694" s="65" t="n"/>
      <c r="C694" s="65" t="n"/>
      <c r="D694" s="65" t="n"/>
      <c r="E694" s="65" t="n"/>
      <c r="F694" s="65" t="n"/>
      <c r="G694" s="65" t="n"/>
      <c r="H694" s="65" t="inlineStr">
        <is>
          <t>[0605] SINOCO SAE 20W-50 (PAILA)</t>
        </is>
      </c>
      <c r="I694" s="65" t="n">
        <v>605</v>
      </c>
      <c r="J694" s="63" t="inlineStr">
        <is>
          <t>1,00</t>
        </is>
      </c>
      <c r="K694" s="63" t="inlineStr">
        <is>
          <t>96,82</t>
        </is>
      </c>
      <c r="L694" s="63" t="inlineStr">
        <is>
          <t>4,11</t>
        </is>
      </c>
      <c r="M694" s="63" t="inlineStr">
        <is>
          <t>92,84</t>
        </is>
      </c>
      <c r="N694" s="63" t="inlineStr">
        <is>
          <t>107,69</t>
        </is>
      </c>
      <c r="O694" s="65" t="n"/>
      <c r="P694" s="65" t="n"/>
      <c r="Q694" s="65" t="n"/>
      <c r="R694" s="65" t="n"/>
      <c r="S694" s="65" t="n"/>
      <c r="T694" s="65" t="n"/>
      <c r="U694" s="65" t="n"/>
      <c r="V694" s="65" t="n"/>
    </row>
    <row r="695">
      <c r="A695" s="65" t="n"/>
      <c r="B695" s="65" t="n"/>
      <c r="C695" s="65" t="n"/>
      <c r="D695" s="65" t="n"/>
      <c r="E695" s="65" t="n"/>
      <c r="F695" s="65" t="n"/>
      <c r="G695" s="65" t="n"/>
      <c r="H695" s="65" t="inlineStr">
        <is>
          <t>[0761] LIGA PARA FRENOS DOT-3 (1x12)</t>
        </is>
      </c>
      <c r="I695" s="65" t="n">
        <v>761</v>
      </c>
      <c r="J695" s="63" t="inlineStr">
        <is>
          <t>1,00</t>
        </is>
      </c>
      <c r="K695" s="63" t="inlineStr">
        <is>
          <t>35,81</t>
        </is>
      </c>
      <c r="L695" s="63" t="inlineStr">
        <is>
          <t>4,11</t>
        </is>
      </c>
      <c r="M695" s="63" t="inlineStr">
        <is>
          <t>34,34</t>
        </is>
      </c>
      <c r="N695" s="63" t="inlineStr">
        <is>
          <t>39,83</t>
        </is>
      </c>
      <c r="O695" s="65" t="n"/>
      <c r="P695" s="65" t="n"/>
      <c r="Q695" s="65" t="n"/>
      <c r="R695" s="65" t="n"/>
      <c r="S695" s="65" t="n"/>
      <c r="T695" s="65" t="n"/>
      <c r="U695" s="65" t="n"/>
      <c r="V695" s="65" t="n"/>
    </row>
    <row r="696">
      <c r="A696" s="65" t="inlineStr">
        <is>
          <t>S00565</t>
        </is>
      </c>
      <c r="B696" s="62" t="n">
        <v>46188.60402777778</v>
      </c>
      <c r="C696" s="65" t="inlineStr">
        <is>
          <t>Larry Herrera</t>
        </is>
      </c>
      <c r="D696" s="65" t="inlineStr">
        <is>
          <t>REVERON DE CONTRERAS MELANI AUSMAR</t>
        </is>
      </c>
      <c r="E696" s="65" t="inlineStr">
        <is>
          <t>7 días</t>
        </is>
      </c>
      <c r="F696" s="65" t="n">
        <v>4</v>
      </c>
      <c r="G696" s="65" t="inlineStr">
        <is>
          <t>Precio Full Abril</t>
        </is>
      </c>
      <c r="H696" s="65" t="inlineStr">
        <is>
          <t>[0877] SS EXTRA PROTECCION API SN SAE 15W-40 (1X12)</t>
        </is>
      </c>
      <c r="I696" s="65" t="n">
        <v>877</v>
      </c>
      <c r="J696" s="63" t="inlineStr">
        <is>
          <t>1,00</t>
        </is>
      </c>
      <c r="K696" s="63" t="inlineStr">
        <is>
          <t>65,52</t>
        </is>
      </c>
      <c r="L696" s="63" t="inlineStr">
        <is>
          <t>0,00</t>
        </is>
      </c>
      <c r="M696" s="63" t="inlineStr">
        <is>
          <t>65,52</t>
        </is>
      </c>
      <c r="N696" s="63" t="inlineStr">
        <is>
          <t>76,00</t>
        </is>
      </c>
      <c r="O696" s="63" t="inlineStr">
        <is>
          <t>65,52</t>
        </is>
      </c>
      <c r="P696" s="63" t="inlineStr">
        <is>
          <t>76,00</t>
        </is>
      </c>
      <c r="Q696" s="63" t="inlineStr">
        <is>
          <t>587,41</t>
        </is>
      </c>
      <c r="R696" s="66" t="n">
        <v>46188</v>
      </c>
      <c r="S696" s="65" t="n">
        <v>177</v>
      </c>
      <c r="T696" s="65" t="inlineStr">
        <is>
          <t>00-00000627</t>
        </is>
      </c>
      <c r="U696" s="63" t="inlineStr">
        <is>
          <t>75,99</t>
        </is>
      </c>
      <c r="V696" s="63" t="inlineStr">
        <is>
          <t>0,01</t>
        </is>
      </c>
    </row>
    <row r="697">
      <c r="A697" s="65" t="inlineStr">
        <is>
          <t>S00564</t>
        </is>
      </c>
      <c r="B697" s="62" t="n">
        <v>46186.59842592593</v>
      </c>
      <c r="C697" s="65" t="inlineStr">
        <is>
          <t>Luis Francisco hernandez falcon</t>
        </is>
      </c>
      <c r="D697" s="65" t="inlineStr">
        <is>
          <t>CASERES GONZALEZ RONALD OSWALDO</t>
        </is>
      </c>
      <c r="E697" s="65" t="inlineStr">
        <is>
          <t>7 días</t>
        </is>
      </c>
      <c r="F697" s="65" t="n">
        <v>5</v>
      </c>
      <c r="G697" s="65" t="inlineStr">
        <is>
          <t>Pago VES</t>
        </is>
      </c>
      <c r="H697" s="65" t="inlineStr">
        <is>
          <t>[0886] TRANSMATIC DEXRON VI (1x12)</t>
        </is>
      </c>
      <c r="I697" s="65" t="n">
        <v>886</v>
      </c>
      <c r="J697" s="63" t="inlineStr">
        <is>
          <t>2,00</t>
        </is>
      </c>
      <c r="K697" s="63" t="inlineStr">
        <is>
          <t>157,82</t>
        </is>
      </c>
      <c r="L697" s="63" t="inlineStr">
        <is>
          <t>3,33</t>
        </is>
      </c>
      <c r="M697" s="63" t="inlineStr">
        <is>
          <t>305,13</t>
        </is>
      </c>
      <c r="N697" s="63" t="inlineStr">
        <is>
          <t>353,95</t>
        </is>
      </c>
      <c r="O697" s="63" t="inlineStr">
        <is>
          <t>305,13</t>
        </is>
      </c>
      <c r="P697" s="63" t="inlineStr">
        <is>
          <t>353,95</t>
        </is>
      </c>
      <c r="Q697" s="63" t="inlineStr">
        <is>
          <t>721,35</t>
        </is>
      </c>
      <c r="R697" s="66" t="n">
        <v>46216</v>
      </c>
      <c r="S697" s="65" t="n">
        <v>423</v>
      </c>
      <c r="T697" s="65" t="inlineStr">
        <is>
          <t>00-00000967</t>
        </is>
      </c>
      <c r="U697" s="63" t="inlineStr">
        <is>
          <t>353,94</t>
        </is>
      </c>
      <c r="V697" s="63" t="inlineStr">
        <is>
          <t>353,95</t>
        </is>
      </c>
    </row>
    <row r="698">
      <c r="A698" s="65" t="inlineStr">
        <is>
          <t>S00562</t>
        </is>
      </c>
      <c r="B698" s="62" t="n">
        <v>46185.68</v>
      </c>
      <c r="C698" s="65" t="inlineStr">
        <is>
          <t>Auto partes Maideirense, C.A</t>
        </is>
      </c>
      <c r="D698" s="65" t="inlineStr">
        <is>
          <t>MARTINEZ MONTES JEFFREY ENRIQUE</t>
        </is>
      </c>
      <c r="E698" s="65" t="inlineStr">
        <is>
          <t>7 días</t>
        </is>
      </c>
      <c r="F698" s="65" t="n">
        <v>5</v>
      </c>
      <c r="G698" s="65" t="inlineStr">
        <is>
          <t>Pago VES</t>
        </is>
      </c>
      <c r="H698" s="65" t="inlineStr">
        <is>
          <t>[0121] TRANSGLOB API GL-5 SAE 80W-90 (1x6)</t>
        </is>
      </c>
      <c r="I698" s="65" t="n">
        <v>121</v>
      </c>
      <c r="J698" s="63" t="inlineStr">
        <is>
          <t>2,00</t>
        </is>
      </c>
      <c r="K698" s="63" t="inlineStr">
        <is>
          <t>51,72</t>
        </is>
      </c>
      <c r="L698" s="63" t="inlineStr">
        <is>
          <t>3,33</t>
        </is>
      </c>
      <c r="M698" s="63" t="inlineStr">
        <is>
          <t>100,00</t>
        </is>
      </c>
      <c r="N698" s="63" t="inlineStr">
        <is>
          <t>116,00</t>
        </is>
      </c>
      <c r="O698" s="63" t="inlineStr">
        <is>
          <t>100,00</t>
        </is>
      </c>
      <c r="P698" s="63" t="inlineStr">
        <is>
          <t>116,00</t>
        </is>
      </c>
      <c r="Q698" s="63" t="inlineStr">
        <is>
          <t>721,35</t>
        </is>
      </c>
      <c r="R698" s="66" t="n">
        <v>46216</v>
      </c>
      <c r="S698" s="65" t="n">
        <v>424</v>
      </c>
      <c r="T698" s="65" t="inlineStr">
        <is>
          <t>00-00000968</t>
        </is>
      </c>
      <c r="U698" s="63" t="inlineStr">
        <is>
          <t>115,98</t>
        </is>
      </c>
      <c r="V698" s="63" t="inlineStr">
        <is>
          <t>115,99</t>
        </is>
      </c>
    </row>
    <row r="699">
      <c r="A699" s="65" t="inlineStr">
        <is>
          <t>S00561</t>
        </is>
      </c>
      <c r="B699" s="62" t="n">
        <v>46185.67982638889</v>
      </c>
      <c r="C699" s="65" t="inlineStr">
        <is>
          <t>Repuestos El Portu26 C.A</t>
        </is>
      </c>
      <c r="D699" s="65" t="inlineStr">
        <is>
          <t>QUEVEDO BASTIDAS NEYKEL DAVID</t>
        </is>
      </c>
      <c r="E699" s="65" t="inlineStr">
        <is>
          <t>30 días</t>
        </is>
      </c>
      <c r="F699" s="65" t="n">
        <v>5</v>
      </c>
      <c r="G699" s="65" t="inlineStr">
        <is>
          <t>Pago VES</t>
        </is>
      </c>
      <c r="H699" s="65" t="inlineStr">
        <is>
          <t>[0606] SINOCO SAE 20W-50 (Tambor)</t>
        </is>
      </c>
      <c r="I699" s="65" t="n">
        <v>606</v>
      </c>
      <c r="J699" s="63" t="inlineStr">
        <is>
          <t>1,00</t>
        </is>
      </c>
      <c r="K699" s="63" t="inlineStr">
        <is>
          <t>912,47</t>
        </is>
      </c>
      <c r="L699" s="63" t="inlineStr">
        <is>
          <t>3,33</t>
        </is>
      </c>
      <c r="M699" s="63" t="inlineStr">
        <is>
          <t>882,08</t>
        </is>
      </c>
      <c r="N699" s="63" t="inlineStr">
        <is>
          <t>1.023,21</t>
        </is>
      </c>
      <c r="O699" s="63" t="inlineStr">
        <is>
          <t>882,08</t>
        </is>
      </c>
      <c r="P699" s="63" t="inlineStr">
        <is>
          <t>1.023,21</t>
        </is>
      </c>
      <c r="Q699" s="65" t="n"/>
      <c r="R699" s="65" t="n"/>
      <c r="S699" s="65" t="n"/>
      <c r="T699" s="65" t="n"/>
      <c r="U699" s="65" t="n"/>
      <c r="V699" s="65" t="n"/>
    </row>
    <row r="700">
      <c r="A700" s="65" t="inlineStr">
        <is>
          <t>S00560</t>
        </is>
      </c>
      <c r="B700" s="62" t="n">
        <v>46185.65851851852</v>
      </c>
      <c r="C700" s="65" t="inlineStr">
        <is>
          <t>Auto Lavado Norte Sur CS, C.A</t>
        </is>
      </c>
      <c r="D700" s="65" t="inlineStr">
        <is>
          <t>QUEVEDO BASTIDAS NEYKEL DAVID</t>
        </is>
      </c>
      <c r="E700" s="65" t="inlineStr">
        <is>
          <t>15 días</t>
        </is>
      </c>
      <c r="F700" s="65" t="n">
        <v>5</v>
      </c>
      <c r="G700" s="65" t="inlineStr">
        <is>
          <t>Pago VES</t>
        </is>
      </c>
      <c r="H700" s="65" t="inlineStr">
        <is>
          <t>[0877] SS EXTRA PROTECCION API SN SAE 15W-40 (1X12)</t>
        </is>
      </c>
      <c r="I700" s="65" t="n">
        <v>877</v>
      </c>
      <c r="J700" s="63" t="inlineStr">
        <is>
          <t>2,00</t>
        </is>
      </c>
      <c r="K700" s="63" t="inlineStr">
        <is>
          <t>100,80</t>
        </is>
      </c>
      <c r="L700" s="63" t="inlineStr">
        <is>
          <t>3,33</t>
        </is>
      </c>
      <c r="M700" s="63" t="inlineStr">
        <is>
          <t>194,89</t>
        </is>
      </c>
      <c r="N700" s="63" t="inlineStr">
        <is>
          <t>226,07</t>
        </is>
      </c>
      <c r="O700" s="63" t="inlineStr">
        <is>
          <t>194,89</t>
        </is>
      </c>
      <c r="P700" s="63" t="inlineStr">
        <is>
          <t>226,07</t>
        </is>
      </c>
      <c r="Q700" s="63" t="inlineStr">
        <is>
          <t>721,35</t>
        </is>
      </c>
      <c r="R700" s="66" t="n">
        <v>46216</v>
      </c>
      <c r="S700" s="65" t="n">
        <v>425</v>
      </c>
      <c r="T700" s="65" t="inlineStr">
        <is>
          <t>00-00000969</t>
        </is>
      </c>
      <c r="U700" s="63" t="inlineStr">
        <is>
          <t>226,06</t>
        </is>
      </c>
      <c r="V700" s="63" t="inlineStr">
        <is>
          <t>226,07</t>
        </is>
      </c>
    </row>
    <row r="701">
      <c r="A701" s="65" t="inlineStr">
        <is>
          <t>S00559</t>
        </is>
      </c>
      <c r="B701" s="62" t="n">
        <v>46185.65833333333</v>
      </c>
      <c r="C701" s="65" t="inlineStr">
        <is>
          <t>Comercial Rio Paraguas C.A</t>
        </is>
      </c>
      <c r="D701" s="65" t="inlineStr">
        <is>
          <t>QUEVEDO BASTIDAS NEYKEL DAVID</t>
        </is>
      </c>
      <c r="E701" s="65" t="inlineStr">
        <is>
          <t>7 días</t>
        </is>
      </c>
      <c r="F701" s="65" t="n">
        <v>5</v>
      </c>
      <c r="G701" s="65" t="inlineStr">
        <is>
          <t>Pago VES</t>
        </is>
      </c>
      <c r="H701" s="65" t="inlineStr">
        <is>
          <t>[0789] REFRIGERANTE GLOBAL VERDE (1X3)</t>
        </is>
      </c>
      <c r="I701" s="65" t="n">
        <v>789</v>
      </c>
      <c r="J701" s="63" t="inlineStr">
        <is>
          <t>1,00</t>
        </is>
      </c>
      <c r="K701" s="63" t="inlineStr">
        <is>
          <t>34,48</t>
        </is>
      </c>
      <c r="L701" s="63" t="inlineStr">
        <is>
          <t>3,33</t>
        </is>
      </c>
      <c r="M701" s="63" t="inlineStr">
        <is>
          <t>33,33</t>
        </is>
      </c>
      <c r="N701" s="63" t="inlineStr">
        <is>
          <t>38,66</t>
        </is>
      </c>
      <c r="O701" s="63" t="inlineStr">
        <is>
          <t>99,99</t>
        </is>
      </c>
      <c r="P701" s="63" t="inlineStr">
        <is>
          <t>115,99</t>
        </is>
      </c>
      <c r="Q701" s="63" t="inlineStr">
        <is>
          <t>721,35</t>
        </is>
      </c>
      <c r="R701" s="66" t="n">
        <v>46216</v>
      </c>
      <c r="S701" s="65" t="n">
        <v>426</v>
      </c>
      <c r="T701" s="65" t="inlineStr">
        <is>
          <t>00-00000970</t>
        </is>
      </c>
      <c r="U701" s="63" t="inlineStr">
        <is>
          <t>115,98</t>
        </is>
      </c>
      <c r="V701" s="63" t="inlineStr">
        <is>
          <t>115,99</t>
        </is>
      </c>
    </row>
    <row r="702">
      <c r="A702" s="65" t="n"/>
      <c r="B702" s="65" t="n"/>
      <c r="C702" s="65" t="n"/>
      <c r="D702" s="65" t="n"/>
      <c r="E702" s="65" t="n"/>
      <c r="F702" s="65" t="n"/>
      <c r="G702" s="65" t="n"/>
      <c r="H702" s="65" t="inlineStr">
        <is>
          <t>[0792] REFRIGERANTE GLOBAL ROJO (1X3)</t>
        </is>
      </c>
      <c r="I702" s="65" t="n">
        <v>792</v>
      </c>
      <c r="J702" s="63" t="inlineStr">
        <is>
          <t>2,00</t>
        </is>
      </c>
      <c r="K702" s="63" t="inlineStr">
        <is>
          <t>34,48</t>
        </is>
      </c>
      <c r="L702" s="63" t="inlineStr">
        <is>
          <t>3,33</t>
        </is>
      </c>
      <c r="M702" s="63" t="inlineStr">
        <is>
          <t>66,66</t>
        </is>
      </c>
      <c r="N702" s="63" t="inlineStr">
        <is>
          <t>77,33</t>
        </is>
      </c>
      <c r="O702" s="65" t="n"/>
      <c r="P702" s="65" t="n"/>
      <c r="Q702" s="65" t="n"/>
      <c r="R702" s="65" t="n"/>
      <c r="S702" s="65" t="n"/>
      <c r="T702" s="65" t="n"/>
      <c r="U702" s="65" t="n"/>
      <c r="V702" s="65" t="n"/>
    </row>
    <row r="703">
      <c r="A703" s="65" t="inlineStr">
        <is>
          <t>S00557</t>
        </is>
      </c>
      <c r="B703" s="62" t="n">
        <v>46185.63431712963</v>
      </c>
      <c r="C703" s="65" t="inlineStr">
        <is>
          <t>ALI ALEXANDER MORENO FIGUEREDO</t>
        </is>
      </c>
      <c r="D703" s="65" t="inlineStr">
        <is>
          <t>VILLABONA CORREA ALBA ESTEFANIA</t>
        </is>
      </c>
      <c r="E703" s="65" t="inlineStr">
        <is>
          <t>7 días</t>
        </is>
      </c>
      <c r="F703" s="65" t="n">
        <v>5</v>
      </c>
      <c r="G703" s="65" t="inlineStr">
        <is>
          <t>Pago VES</t>
        </is>
      </c>
      <c r="H703" s="65" t="inlineStr">
        <is>
          <t>[0761] LIGA PARA FRENOS DOT-3 (1x12)</t>
        </is>
      </c>
      <c r="I703" s="65" t="n">
        <v>761</v>
      </c>
      <c r="J703" s="63" t="inlineStr">
        <is>
          <t>2,00</t>
        </is>
      </c>
      <c r="K703" s="63" t="inlineStr">
        <is>
          <t>35,81</t>
        </is>
      </c>
      <c r="L703" s="63" t="inlineStr">
        <is>
          <t>3,33</t>
        </is>
      </c>
      <c r="M703" s="63" t="inlineStr">
        <is>
          <t>69,24</t>
        </is>
      </c>
      <c r="N703" s="63" t="inlineStr">
        <is>
          <t>80,32</t>
        </is>
      </c>
      <c r="O703" s="63" t="inlineStr">
        <is>
          <t>171,81</t>
        </is>
      </c>
      <c r="P703" s="63" t="inlineStr">
        <is>
          <t>199,30</t>
        </is>
      </c>
      <c r="Q703" s="63" t="inlineStr">
        <is>
          <t>721,35</t>
        </is>
      </c>
      <c r="R703" s="66" t="n">
        <v>46216</v>
      </c>
      <c r="S703" s="65" t="n">
        <v>427</v>
      </c>
      <c r="T703" s="65" t="inlineStr">
        <is>
          <t>00-00000971</t>
        </is>
      </c>
      <c r="U703" s="63" t="inlineStr">
        <is>
          <t>199,27</t>
        </is>
      </c>
      <c r="V703" s="63" t="inlineStr">
        <is>
          <t>199,29</t>
        </is>
      </c>
    </row>
    <row r="704">
      <c r="A704" s="65" t="n"/>
      <c r="B704" s="65" t="n"/>
      <c r="C704" s="65" t="n"/>
      <c r="D704" s="65" t="n"/>
      <c r="E704" s="65" t="n"/>
      <c r="F704" s="65" t="n"/>
      <c r="G704" s="65" t="n"/>
      <c r="H704" s="65" t="inlineStr">
        <is>
          <t>[0774] LIGA PARA FRENOS DOT-4 (1X6)</t>
        </is>
      </c>
      <c r="I704" s="65" t="n">
        <v>774</v>
      </c>
      <c r="J704" s="63" t="inlineStr">
        <is>
          <t>1,00</t>
        </is>
      </c>
      <c r="K704" s="63" t="inlineStr">
        <is>
          <t>64,99</t>
        </is>
      </c>
      <c r="L704" s="63" t="inlineStr">
        <is>
          <t>3,33</t>
        </is>
      </c>
      <c r="M704" s="63" t="inlineStr">
        <is>
          <t>62,83</t>
        </is>
      </c>
      <c r="N704" s="63" t="inlineStr">
        <is>
          <t>72,88</t>
        </is>
      </c>
      <c r="O704" s="65" t="n"/>
      <c r="P704" s="65" t="n"/>
      <c r="Q704" s="65" t="n"/>
      <c r="R704" s="65" t="n"/>
      <c r="S704" s="65" t="n"/>
      <c r="T704" s="65" t="n"/>
      <c r="U704" s="65" t="n"/>
      <c r="V704" s="65" t="n"/>
    </row>
    <row r="705">
      <c r="A705" s="65" t="n"/>
      <c r="B705" s="65" t="n"/>
      <c r="C705" s="65" t="n"/>
      <c r="D705" s="65" t="n"/>
      <c r="E705" s="65" t="n"/>
      <c r="F705" s="65" t="n"/>
      <c r="G705" s="65" t="n"/>
      <c r="H705" s="65" t="inlineStr">
        <is>
          <t>[0775] LIGA PARA FRENOS DOT-4 (1X12)</t>
        </is>
      </c>
      <c r="I705" s="65" t="n">
        <v>775</v>
      </c>
      <c r="J705" s="63" t="inlineStr">
        <is>
          <t>1,00</t>
        </is>
      </c>
      <c r="K705" s="63" t="inlineStr">
        <is>
          <t>41,11</t>
        </is>
      </c>
      <c r="L705" s="63" t="inlineStr">
        <is>
          <t>3,33</t>
        </is>
      </c>
      <c r="M705" s="63" t="inlineStr">
        <is>
          <t>39,74</t>
        </is>
      </c>
      <c r="N705" s="63" t="inlineStr">
        <is>
          <t>46,10</t>
        </is>
      </c>
      <c r="O705" s="65" t="n"/>
      <c r="P705" s="65" t="n"/>
      <c r="Q705" s="65" t="n"/>
      <c r="R705" s="65" t="n"/>
      <c r="S705" s="65" t="n"/>
      <c r="T705" s="65" t="n"/>
      <c r="U705" s="65" t="n"/>
      <c r="V705" s="65" t="n"/>
    </row>
    <row r="706">
      <c r="A706" s="65" t="inlineStr">
        <is>
          <t>S00558</t>
        </is>
      </c>
      <c r="B706" s="62" t="n">
        <v>46185.54947916666</v>
      </c>
      <c r="C706" s="65" t="inlineStr">
        <is>
          <t>Carlos Bravo</t>
        </is>
      </c>
      <c r="D706" s="65" t="inlineStr">
        <is>
          <t>CASERES GONZALEZ RONALD OSWALDO</t>
        </is>
      </c>
      <c r="E706" s="65" t="inlineStr">
        <is>
          <t>Pago inmediato</t>
        </is>
      </c>
      <c r="F706" s="65" t="n">
        <v>4</v>
      </c>
      <c r="G706" s="65" t="inlineStr">
        <is>
          <t>Precio Full Abril</t>
        </is>
      </c>
      <c r="H706" s="65" t="inlineStr">
        <is>
          <t>[0887] MOTOCLASICO 4T SAE 20W-50 (1x12)</t>
        </is>
      </c>
      <c r="I706" s="65" t="n">
        <v>887</v>
      </c>
      <c r="J706" s="63" t="inlineStr">
        <is>
          <t>2,00</t>
        </is>
      </c>
      <c r="K706" s="63" t="inlineStr">
        <is>
          <t>58,62</t>
        </is>
      </c>
      <c r="L706" s="63" t="inlineStr">
        <is>
          <t>0,00</t>
        </is>
      </c>
      <c r="M706" s="63" t="inlineStr">
        <is>
          <t>117,24</t>
        </is>
      </c>
      <c r="N706" s="63" t="inlineStr">
        <is>
          <t>136,00</t>
        </is>
      </c>
      <c r="O706" s="63" t="inlineStr">
        <is>
          <t>117,24</t>
        </is>
      </c>
      <c r="P706" s="63" t="inlineStr">
        <is>
          <t>136,00</t>
        </is>
      </c>
      <c r="Q706" s="63" t="inlineStr">
        <is>
          <t>582,69</t>
        </is>
      </c>
      <c r="R706" s="66" t="n">
        <v>46185</v>
      </c>
      <c r="S706" s="65" t="n">
        <v>139</v>
      </c>
      <c r="T706" s="65" t="inlineStr">
        <is>
          <t>00-00000581</t>
        </is>
      </c>
      <c r="U706" s="63" t="inlineStr">
        <is>
          <t>135,99</t>
        </is>
      </c>
      <c r="V706" s="63" t="inlineStr">
        <is>
          <t>0,00</t>
        </is>
      </c>
    </row>
    <row r="707">
      <c r="A707" s="65" t="inlineStr">
        <is>
          <t>S00556</t>
        </is>
      </c>
      <c r="B707" s="62" t="n">
        <v>46185.38837962963</v>
      </c>
      <c r="C707" s="65" t="inlineStr">
        <is>
          <t>Agustin Pedro Rodriguez Carro</t>
        </is>
      </c>
      <c r="D707" s="65" t="inlineStr">
        <is>
          <t>CASERES GONZALEZ RONALD OSWALDO</t>
        </is>
      </c>
      <c r="E707" s="65" t="inlineStr">
        <is>
          <t>7 días</t>
        </is>
      </c>
      <c r="F707" s="65" t="n">
        <v>5</v>
      </c>
      <c r="G707" s="65" t="inlineStr">
        <is>
          <t>Pago VES</t>
        </is>
      </c>
      <c r="H707" s="65" t="inlineStr">
        <is>
          <t>[0073] SUPREMO API CI-4 SAE 15W-40 (PAILA)</t>
        </is>
      </c>
      <c r="I707" s="65" t="n">
        <v>73</v>
      </c>
      <c r="J707" s="63" t="inlineStr">
        <is>
          <t>3,00</t>
        </is>
      </c>
      <c r="K707" s="63" t="inlineStr">
        <is>
          <t>123,08</t>
        </is>
      </c>
      <c r="L707" s="63" t="inlineStr">
        <is>
          <t>0,00</t>
        </is>
      </c>
      <c r="M707" s="63" t="inlineStr">
        <is>
          <t>369,24</t>
        </is>
      </c>
      <c r="N707" s="63" t="inlineStr">
        <is>
          <t>428,32</t>
        </is>
      </c>
      <c r="O707" s="63" t="inlineStr">
        <is>
          <t>369,24</t>
        </is>
      </c>
      <c r="P707" s="63" t="inlineStr">
        <is>
          <t>428,32</t>
        </is>
      </c>
      <c r="Q707" s="63" t="inlineStr">
        <is>
          <t>582,69</t>
        </is>
      </c>
      <c r="R707" s="66" t="n">
        <v>46185</v>
      </c>
      <c r="S707" s="65" t="n">
        <v>159</v>
      </c>
      <c r="T707" s="65" t="inlineStr">
        <is>
          <t>00-00000602</t>
        </is>
      </c>
      <c r="U707" s="63" t="inlineStr">
        <is>
          <t>428,30</t>
        </is>
      </c>
      <c r="V707" s="63" t="inlineStr">
        <is>
          <t>0,00</t>
        </is>
      </c>
    </row>
    <row r="708">
      <c r="A708" s="65" t="inlineStr">
        <is>
          <t>S00552</t>
        </is>
      </c>
      <c r="B708" s="62" t="n">
        <v>46184.70991898148</v>
      </c>
      <c r="C708" s="65" t="inlineStr">
        <is>
          <t>Repuestos Chevecars Gran Caracas, C.A</t>
        </is>
      </c>
      <c r="D708" s="65" t="inlineStr">
        <is>
          <t>MARTINEZ MONTES JEFFREY ENRIQUE</t>
        </is>
      </c>
      <c r="E708" s="65" t="inlineStr">
        <is>
          <t>7 días</t>
        </is>
      </c>
      <c r="F708" s="65" t="n">
        <v>5</v>
      </c>
      <c r="G708" s="65" t="inlineStr">
        <is>
          <t>Pago VES</t>
        </is>
      </c>
      <c r="H708" s="65" t="inlineStr">
        <is>
          <t>[0884] TRANSMATIC ATF DEXRON III (1x12)</t>
        </is>
      </c>
      <c r="I708" s="65" t="n">
        <v>884</v>
      </c>
      <c r="J708" s="63" t="inlineStr">
        <is>
          <t>2,00</t>
        </is>
      </c>
      <c r="K708" s="63" t="inlineStr">
        <is>
          <t>95,49</t>
        </is>
      </c>
      <c r="L708" s="63" t="inlineStr">
        <is>
          <t>2,47</t>
        </is>
      </c>
      <c r="M708" s="63" t="inlineStr">
        <is>
          <t>186,26</t>
        </is>
      </c>
      <c r="N708" s="63" t="inlineStr">
        <is>
          <t>216,06</t>
        </is>
      </c>
      <c r="O708" s="63" t="inlineStr">
        <is>
          <t>322,08</t>
        </is>
      </c>
      <c r="P708" s="63" t="inlineStr">
        <is>
          <t>373,61</t>
        </is>
      </c>
      <c r="Q708" s="63" t="inlineStr">
        <is>
          <t>721,35</t>
        </is>
      </c>
      <c r="R708" s="66" t="n">
        <v>46216</v>
      </c>
      <c r="S708" s="65" t="n">
        <v>428</v>
      </c>
      <c r="T708" s="65" t="inlineStr">
        <is>
          <t>00-00000972</t>
        </is>
      </c>
      <c r="U708" s="63" t="inlineStr">
        <is>
          <t>373,59</t>
        </is>
      </c>
      <c r="V708" s="63" t="inlineStr">
        <is>
          <t>373,61</t>
        </is>
      </c>
    </row>
    <row r="709">
      <c r="A709" s="65" t="n"/>
      <c r="B709" s="65" t="n"/>
      <c r="C709" s="65" t="n"/>
      <c r="D709" s="65" t="n"/>
      <c r="E709" s="65" t="n"/>
      <c r="F709" s="65" t="n"/>
      <c r="G709" s="65" t="n"/>
      <c r="H709" s="65" t="inlineStr">
        <is>
          <t>[0121] TRANSGLOB API GL-5 SAE 80W-90 (1x6)</t>
        </is>
      </c>
      <c r="I709" s="65" t="n">
        <v>121</v>
      </c>
      <c r="J709" s="63" t="inlineStr">
        <is>
          <t>2,00</t>
        </is>
      </c>
      <c r="K709" s="63" t="inlineStr">
        <is>
          <t>51,72</t>
        </is>
      </c>
      <c r="L709" s="63" t="inlineStr">
        <is>
          <t>2,47</t>
        </is>
      </c>
      <c r="M709" s="63" t="inlineStr">
        <is>
          <t>100,89</t>
        </is>
      </c>
      <c r="N709" s="63" t="inlineStr">
        <is>
          <t>117,03</t>
        </is>
      </c>
      <c r="O709" s="65" t="n"/>
      <c r="P709" s="65" t="n"/>
      <c r="Q709" s="65" t="n"/>
      <c r="R709" s="65" t="n"/>
      <c r="S709" s="65" t="n"/>
      <c r="T709" s="65" t="n"/>
      <c r="U709" s="65" t="n"/>
      <c r="V709" s="65" t="n"/>
    </row>
    <row r="710">
      <c r="A710" s="65" t="n"/>
      <c r="B710" s="65" t="n"/>
      <c r="C710" s="65" t="n"/>
      <c r="D710" s="65" t="n"/>
      <c r="E710" s="65" t="n"/>
      <c r="F710" s="65" t="n"/>
      <c r="G710" s="65" t="n"/>
      <c r="H710" s="65" t="inlineStr">
        <is>
          <t>[0761] LIGA PARA FRENOS DOT-3 (1x12)</t>
        </is>
      </c>
      <c r="I710" s="65" t="n">
        <v>761</v>
      </c>
      <c r="J710" s="63" t="inlineStr">
        <is>
          <t>1,00</t>
        </is>
      </c>
      <c r="K710" s="63" t="inlineStr">
        <is>
          <t>35,81</t>
        </is>
      </c>
      <c r="L710" s="63" t="inlineStr">
        <is>
          <t>2,47</t>
        </is>
      </c>
      <c r="M710" s="63" t="inlineStr">
        <is>
          <t>34,93</t>
        </is>
      </c>
      <c r="N710" s="63" t="inlineStr">
        <is>
          <t>40,52</t>
        </is>
      </c>
      <c r="O710" s="65" t="n"/>
      <c r="P710" s="65" t="n"/>
      <c r="Q710" s="65" t="n"/>
      <c r="R710" s="65" t="n"/>
      <c r="S710" s="65" t="n"/>
      <c r="T710" s="65" t="n"/>
      <c r="U710" s="65" t="n"/>
      <c r="V710" s="65" t="n"/>
    </row>
    <row r="711">
      <c r="A711" s="65" t="inlineStr">
        <is>
          <t>S00551</t>
        </is>
      </c>
      <c r="B711" s="62" t="n">
        <v>46184.67090277778</v>
      </c>
      <c r="C711" s="65" t="inlineStr">
        <is>
          <t>Monkey moto Services C.A</t>
        </is>
      </c>
      <c r="D711" s="65" t="inlineStr">
        <is>
          <t>GRIMAN DIAZ HECTOR EDUARDO</t>
        </is>
      </c>
      <c r="E711" s="65" t="inlineStr">
        <is>
          <t>7 días</t>
        </is>
      </c>
      <c r="F711" s="65" t="n">
        <v>5</v>
      </c>
      <c r="G711" s="65" t="inlineStr">
        <is>
          <t>Pago VES</t>
        </is>
      </c>
      <c r="H711" s="65" t="inlineStr">
        <is>
          <t>[0884] TRANSMATIC ATF DEXRON III (1x12)</t>
        </is>
      </c>
      <c r="I711" s="65" t="n">
        <v>884</v>
      </c>
      <c r="J711" s="63" t="inlineStr">
        <is>
          <t>1,00</t>
        </is>
      </c>
      <c r="K711" s="63" t="inlineStr">
        <is>
          <t>95,49</t>
        </is>
      </c>
      <c r="L711" s="63" t="inlineStr">
        <is>
          <t>2,47</t>
        </is>
      </c>
      <c r="M711" s="63" t="inlineStr">
        <is>
          <t>93,13</t>
        </is>
      </c>
      <c r="N711" s="63" t="inlineStr">
        <is>
          <t>108,03</t>
        </is>
      </c>
      <c r="O711" s="63" t="inlineStr">
        <is>
          <t>366,06</t>
        </is>
      </c>
      <c r="P711" s="63" t="inlineStr">
        <is>
          <t>424,63</t>
        </is>
      </c>
      <c r="Q711" s="63" t="inlineStr">
        <is>
          <t>721,35</t>
        </is>
      </c>
      <c r="R711" s="66" t="n">
        <v>46216</v>
      </c>
      <c r="S711" s="65" t="n">
        <v>429</v>
      </c>
      <c r="T711" s="65" t="inlineStr">
        <is>
          <t>00-00000973</t>
        </is>
      </c>
      <c r="U711" s="63" t="inlineStr">
        <is>
          <t>424,61</t>
        </is>
      </c>
      <c r="V711" s="63" t="inlineStr">
        <is>
          <t>424,63</t>
        </is>
      </c>
    </row>
    <row r="712">
      <c r="A712" s="65" t="n"/>
      <c r="B712" s="65" t="n"/>
      <c r="C712" s="65" t="n"/>
      <c r="D712" s="65" t="n"/>
      <c r="E712" s="65" t="n"/>
      <c r="F712" s="65" t="n"/>
      <c r="G712" s="65" t="n"/>
      <c r="H712" s="65" t="inlineStr">
        <is>
          <t>[0885] TRANSMATIC ATF MERCON V (1x12)</t>
        </is>
      </c>
      <c r="I712" s="65" t="n">
        <v>885</v>
      </c>
      <c r="J712" s="63" t="inlineStr">
        <is>
          <t>1,00</t>
        </is>
      </c>
      <c r="K712" s="63" t="inlineStr">
        <is>
          <t>157,82</t>
        </is>
      </c>
      <c r="L712" s="63" t="inlineStr">
        <is>
          <t>2,47</t>
        </is>
      </c>
      <c r="M712" s="63" t="inlineStr">
        <is>
          <t>153,92</t>
        </is>
      </c>
      <c r="N712" s="63" t="inlineStr">
        <is>
          <t>178,55</t>
        </is>
      </c>
      <c r="O712" s="65" t="n"/>
      <c r="P712" s="65" t="n"/>
      <c r="Q712" s="65" t="n"/>
      <c r="R712" s="65" t="n"/>
      <c r="S712" s="65" t="n"/>
      <c r="T712" s="65" t="n"/>
      <c r="U712" s="65" t="n"/>
      <c r="V712" s="65" t="n"/>
    </row>
    <row r="713">
      <c r="A713" s="65" t="n"/>
      <c r="B713" s="65" t="n"/>
      <c r="C713" s="65" t="n"/>
      <c r="D713" s="65" t="n"/>
      <c r="E713" s="65" t="n"/>
      <c r="F713" s="65" t="n"/>
      <c r="G713" s="65" t="n"/>
      <c r="H713" s="65" t="inlineStr">
        <is>
          <t>[0761] LIGA PARA FRENOS DOT-3 (1x12)</t>
        </is>
      </c>
      <c r="I713" s="65" t="n">
        <v>761</v>
      </c>
      <c r="J713" s="63" t="inlineStr">
        <is>
          <t>1,00</t>
        </is>
      </c>
      <c r="K713" s="63" t="inlineStr">
        <is>
          <t>35,81</t>
        </is>
      </c>
      <c r="L713" s="63" t="inlineStr">
        <is>
          <t>2,47</t>
        </is>
      </c>
      <c r="M713" s="63" t="inlineStr">
        <is>
          <t>34,93</t>
        </is>
      </c>
      <c r="N713" s="63" t="inlineStr">
        <is>
          <t>40,52</t>
        </is>
      </c>
      <c r="O713" s="65" t="n"/>
      <c r="P713" s="65" t="n"/>
      <c r="Q713" s="65" t="n"/>
      <c r="R713" s="65" t="n"/>
      <c r="S713" s="65" t="n"/>
      <c r="T713" s="65" t="n"/>
      <c r="U713" s="65" t="n"/>
      <c r="V713" s="65" t="n"/>
    </row>
    <row r="714">
      <c r="A714" s="65" t="n"/>
      <c r="B714" s="65" t="n"/>
      <c r="C714" s="65" t="n"/>
      <c r="D714" s="65" t="n"/>
      <c r="E714" s="65" t="n"/>
      <c r="F714" s="65" t="n"/>
      <c r="G714" s="65" t="n"/>
      <c r="H714" s="65" t="inlineStr">
        <is>
          <t>[0881] CLASICO API SL SAE 20W-50 (1x12)</t>
        </is>
      </c>
      <c r="I714" s="65" t="n">
        <v>881</v>
      </c>
      <c r="J714" s="63" t="inlineStr">
        <is>
          <t>1,00</t>
        </is>
      </c>
      <c r="K714" s="63" t="inlineStr">
        <is>
          <t>86,21</t>
        </is>
      </c>
      <c r="L714" s="63" t="inlineStr">
        <is>
          <t>2,47</t>
        </is>
      </c>
      <c r="M714" s="63" t="inlineStr">
        <is>
          <t>84,08</t>
        </is>
      </c>
      <c r="N714" s="63" t="inlineStr">
        <is>
          <t>97,53</t>
        </is>
      </c>
      <c r="O714" s="65" t="n"/>
      <c r="P714" s="65" t="n"/>
      <c r="Q714" s="65" t="n"/>
      <c r="R714" s="65" t="n"/>
      <c r="S714" s="65" t="n"/>
      <c r="T714" s="65" t="n"/>
      <c r="U714" s="65" t="n"/>
      <c r="V714" s="65" t="n"/>
    </row>
    <row r="715">
      <c r="A715" s="65" t="inlineStr">
        <is>
          <t>S00549</t>
        </is>
      </c>
      <c r="B715" s="62" t="n">
        <v>46184.63560185185</v>
      </c>
      <c r="C715" s="65" t="inlineStr">
        <is>
          <t>Moto repuestos jj</t>
        </is>
      </c>
      <c r="D715" s="65" t="inlineStr">
        <is>
          <t>PEREZ DIAZ ANGEL DE DIOS</t>
        </is>
      </c>
      <c r="E715" s="65" t="inlineStr">
        <is>
          <t>7 días</t>
        </is>
      </c>
      <c r="F715" s="65" t="n">
        <v>5</v>
      </c>
      <c r="G715" s="65" t="inlineStr">
        <is>
          <t>Pago VES</t>
        </is>
      </c>
      <c r="H715" s="65" t="inlineStr">
        <is>
          <t>[0779] SINOCO SAE 20W-50 (1x12)</t>
        </is>
      </c>
      <c r="I715" s="65" t="n">
        <v>779</v>
      </c>
      <c r="J715" s="63" t="inlineStr">
        <is>
          <t>2,00</t>
        </is>
      </c>
      <c r="K715" s="63" t="inlineStr">
        <is>
          <t>70,29</t>
        </is>
      </c>
      <c r="L715" s="63" t="inlineStr">
        <is>
          <t>2,47</t>
        </is>
      </c>
      <c r="M715" s="63" t="inlineStr">
        <is>
          <t>137,11</t>
        </is>
      </c>
      <c r="N715" s="63" t="inlineStr">
        <is>
          <t>159,05</t>
        </is>
      </c>
      <c r="O715" s="63" t="inlineStr">
        <is>
          <t>313,03</t>
        </is>
      </c>
      <c r="P715" s="63" t="inlineStr">
        <is>
          <t>363,12</t>
        </is>
      </c>
      <c r="Q715" s="63" t="inlineStr">
        <is>
          <t>721,35</t>
        </is>
      </c>
      <c r="R715" s="66" t="n">
        <v>46216</v>
      </c>
      <c r="S715" s="65" t="n">
        <v>430</v>
      </c>
      <c r="T715" s="65" t="inlineStr">
        <is>
          <t>00-00000974</t>
        </is>
      </c>
      <c r="U715" s="63" t="inlineStr">
        <is>
          <t>363,10</t>
        </is>
      </c>
      <c r="V715" s="63" t="inlineStr">
        <is>
          <t>363,12</t>
        </is>
      </c>
    </row>
    <row r="716">
      <c r="A716" s="65" t="n"/>
      <c r="B716" s="65" t="n"/>
      <c r="C716" s="65" t="n"/>
      <c r="D716" s="65" t="n"/>
      <c r="E716" s="65" t="n"/>
      <c r="F716" s="65" t="n"/>
      <c r="G716" s="65" t="n"/>
      <c r="H716" s="65" t="inlineStr">
        <is>
          <t>[0887] MOTOCLASICO 4T SAE 20W-50 (1x12)</t>
        </is>
      </c>
      <c r="I716" s="65" t="n">
        <v>887</v>
      </c>
      <c r="J716" s="63" t="inlineStr">
        <is>
          <t>2,00</t>
        </is>
      </c>
      <c r="K716" s="63" t="inlineStr">
        <is>
          <t>90,19</t>
        </is>
      </c>
      <c r="L716" s="63" t="inlineStr">
        <is>
          <t>2,47</t>
        </is>
      </c>
      <c r="M716" s="63" t="inlineStr">
        <is>
          <t>175,92</t>
        </is>
      </c>
      <c r="N716" s="63" t="inlineStr">
        <is>
          <t>204,07</t>
        </is>
      </c>
      <c r="O716" s="65" t="n"/>
      <c r="P716" s="65" t="n"/>
      <c r="Q716" s="65" t="n"/>
      <c r="R716" s="65" t="n"/>
      <c r="S716" s="65" t="n"/>
      <c r="T716" s="65" t="n"/>
      <c r="U716" s="65" t="n"/>
      <c r="V716" s="65" t="n"/>
    </row>
    <row r="717">
      <c r="A717" s="65" t="inlineStr">
        <is>
          <t>S00547</t>
        </is>
      </c>
      <c r="B717" s="62" t="n">
        <v>46184.6247337963</v>
      </c>
      <c r="C717" s="65" t="inlineStr">
        <is>
          <t>ROBERT GUILLEN</t>
        </is>
      </c>
      <c r="D717" s="65" t="inlineStr">
        <is>
          <t>LOPEZ ANTUNEZ ANDERSON JOSE</t>
        </is>
      </c>
      <c r="E717" s="65" t="inlineStr">
        <is>
          <t>7 días</t>
        </is>
      </c>
      <c r="F717" s="65" t="n">
        <v>5</v>
      </c>
      <c r="G717" s="65" t="inlineStr">
        <is>
          <t>Pago VES</t>
        </is>
      </c>
      <c r="H717" s="65" t="inlineStr">
        <is>
          <t>[0877] SS EXTRA PROTECCION API SN SAE 15W-40 (1X12)</t>
        </is>
      </c>
      <c r="I717" s="65" t="n">
        <v>877</v>
      </c>
      <c r="J717" s="63" t="inlineStr">
        <is>
          <t>1,00</t>
        </is>
      </c>
      <c r="K717" s="63" t="inlineStr">
        <is>
          <t>100,80</t>
        </is>
      </c>
      <c r="L717" s="63" t="inlineStr">
        <is>
          <t>2,47</t>
        </is>
      </c>
      <c r="M717" s="63" t="inlineStr">
        <is>
          <t>98,31</t>
        </is>
      </c>
      <c r="N717" s="63" t="inlineStr">
        <is>
          <t>114,04</t>
        </is>
      </c>
      <c r="O717" s="63" t="inlineStr">
        <is>
          <t>98,31</t>
        </is>
      </c>
      <c r="P717" s="63" t="inlineStr">
        <is>
          <t>114,04</t>
        </is>
      </c>
      <c r="Q717" s="63" t="inlineStr">
        <is>
          <t>721,35</t>
        </is>
      </c>
      <c r="R717" s="66" t="n">
        <v>46216</v>
      </c>
      <c r="S717" s="65" t="n">
        <v>431</v>
      </c>
      <c r="T717" s="65" t="inlineStr">
        <is>
          <t>00-00000975</t>
        </is>
      </c>
      <c r="U717" s="63" t="inlineStr">
        <is>
          <t>114,03</t>
        </is>
      </c>
      <c r="V717" s="63" t="inlineStr">
        <is>
          <t>114,04</t>
        </is>
      </c>
    </row>
    <row r="718">
      <c r="A718" s="65" t="inlineStr">
        <is>
          <t>S00545</t>
        </is>
      </c>
      <c r="B718" s="62" t="n">
        <v>46183.7590162037</v>
      </c>
      <c r="C718" s="65" t="inlineStr">
        <is>
          <t>DISTRIBUIDORA PINOS 181297 C.A</t>
        </is>
      </c>
      <c r="D718" s="65" t="inlineStr">
        <is>
          <t>QUEVEDO BASTIDAS NEYKEL DAVID</t>
        </is>
      </c>
      <c r="E718" s="65" t="inlineStr">
        <is>
          <t>7 días</t>
        </is>
      </c>
      <c r="F718" s="65" t="n">
        <v>5</v>
      </c>
      <c r="G718" s="65" t="inlineStr">
        <is>
          <t>Pago VES</t>
        </is>
      </c>
      <c r="H718" s="65" t="inlineStr">
        <is>
          <t>[0121] TRANSGLOB API GL-5 SAE 80W-90 (1x6)</t>
        </is>
      </c>
      <c r="I718" s="65" t="n">
        <v>121</v>
      </c>
      <c r="J718" s="63" t="inlineStr">
        <is>
          <t>2,00</t>
        </is>
      </c>
      <c r="K718" s="63" t="inlineStr">
        <is>
          <t>51,72</t>
        </is>
      </c>
      <c r="L718" s="63" t="inlineStr">
        <is>
          <t>1,64</t>
        </is>
      </c>
      <c r="M718" s="63" t="inlineStr">
        <is>
          <t>101,74</t>
        </is>
      </c>
      <c r="N718" s="63" t="inlineStr">
        <is>
          <t>118,02</t>
        </is>
      </c>
      <c r="O718" s="63" t="inlineStr">
        <is>
          <t>101,74</t>
        </is>
      </c>
      <c r="P718" s="63" t="inlineStr">
        <is>
          <t>118,02</t>
        </is>
      </c>
      <c r="Q718" s="63" t="inlineStr">
        <is>
          <t>721,35</t>
        </is>
      </c>
      <c r="R718" s="66" t="n">
        <v>46216</v>
      </c>
      <c r="S718" s="65" t="n">
        <v>432</v>
      </c>
      <c r="T718" s="65" t="inlineStr">
        <is>
          <t>00-00000976</t>
        </is>
      </c>
      <c r="U718" s="63" t="inlineStr">
        <is>
          <t>118,01</t>
        </is>
      </c>
      <c r="V718" s="63" t="inlineStr">
        <is>
          <t>118,02</t>
        </is>
      </c>
    </row>
    <row r="719">
      <c r="A719" s="65" t="inlineStr">
        <is>
          <t>S00544</t>
        </is>
      </c>
      <c r="B719" s="62" t="n">
        <v>46183.68738425926</v>
      </c>
      <c r="C719" s="65" t="inlineStr">
        <is>
          <t>MULTIPARTES Y SERVICIOS HONDANIS,C.A.</t>
        </is>
      </c>
      <c r="D719" s="65" t="inlineStr">
        <is>
          <t>Frank Vasquez</t>
        </is>
      </c>
      <c r="E719" s="65" t="inlineStr">
        <is>
          <t>15 días</t>
        </is>
      </c>
      <c r="F719" s="65" t="n">
        <v>5</v>
      </c>
      <c r="G719" s="65" t="inlineStr">
        <is>
          <t>Pago VES</t>
        </is>
      </c>
      <c r="H719" s="65" t="inlineStr">
        <is>
          <t>[0884] TRANSMATIC ATF DEXRON III (1x12)</t>
        </is>
      </c>
      <c r="I719" s="65" t="n">
        <v>884</v>
      </c>
      <c r="J719" s="63" t="inlineStr">
        <is>
          <t>3,00</t>
        </is>
      </c>
      <c r="K719" s="63" t="inlineStr">
        <is>
          <t>95,49</t>
        </is>
      </c>
      <c r="L719" s="63" t="inlineStr">
        <is>
          <t>1,64</t>
        </is>
      </c>
      <c r="M719" s="63" t="inlineStr">
        <is>
          <t>281,77</t>
        </is>
      </c>
      <c r="N719" s="63" t="inlineStr">
        <is>
          <t>326,85</t>
        </is>
      </c>
      <c r="O719" s="63" t="inlineStr">
        <is>
          <t>380,92</t>
        </is>
      </c>
      <c r="P719" s="63" t="inlineStr">
        <is>
          <t>441,86</t>
        </is>
      </c>
      <c r="Q719" s="63" t="inlineStr">
        <is>
          <t>721,35</t>
        </is>
      </c>
      <c r="R719" s="66" t="n">
        <v>46216</v>
      </c>
      <c r="S719" s="65" t="n">
        <v>433</v>
      </c>
      <c r="T719" s="65" t="inlineStr">
        <is>
          <t>00-00000977</t>
        </is>
      </c>
      <c r="U719" s="63" t="inlineStr">
        <is>
          <t>441,85</t>
        </is>
      </c>
      <c r="V719" s="63" t="inlineStr">
        <is>
          <t>441,87</t>
        </is>
      </c>
    </row>
    <row r="720">
      <c r="A720" s="65" t="n"/>
      <c r="B720" s="65" t="n"/>
      <c r="C720" s="65" t="n"/>
      <c r="D720" s="65" t="n"/>
      <c r="E720" s="65" t="n"/>
      <c r="F720" s="65" t="n"/>
      <c r="G720" s="65" t="n"/>
      <c r="H720" s="65" t="inlineStr">
        <is>
          <t>[0877] SS EXTRA PROTECCION API SN SAE 15W-40 (1X12)</t>
        </is>
      </c>
      <c r="I720" s="65" t="n">
        <v>877</v>
      </c>
      <c r="J720" s="63" t="inlineStr">
        <is>
          <t>1,00</t>
        </is>
      </c>
      <c r="K720" s="63" t="inlineStr">
        <is>
          <t>100,80</t>
        </is>
      </c>
      <c r="L720" s="63" t="inlineStr">
        <is>
          <t>1,64</t>
        </is>
      </c>
      <c r="M720" s="63" t="inlineStr">
        <is>
          <t>99,15</t>
        </is>
      </c>
      <c r="N720" s="63" t="inlineStr">
        <is>
          <t>115,01</t>
        </is>
      </c>
      <c r="O720" s="65" t="n"/>
      <c r="P720" s="65" t="n"/>
      <c r="Q720" s="65" t="n"/>
      <c r="R720" s="65" t="n"/>
      <c r="S720" s="65" t="n"/>
      <c r="T720" s="65" t="n"/>
      <c r="U720" s="65" t="n"/>
      <c r="V720" s="65" t="n"/>
    </row>
    <row r="721">
      <c r="A721" s="65" t="inlineStr">
        <is>
          <t>S00543</t>
        </is>
      </c>
      <c r="B721" s="62" t="n">
        <v>46183.6840625</v>
      </c>
      <c r="C721" s="65" t="inlineStr">
        <is>
          <t>Jose de Andrade</t>
        </is>
      </c>
      <c r="D721" s="65" t="inlineStr">
        <is>
          <t>PEREZ DIAZ ANGEL DE DIOS</t>
        </is>
      </c>
      <c r="E721" s="65" t="inlineStr">
        <is>
          <t>30 días</t>
        </is>
      </c>
      <c r="F721" s="65" t="n">
        <v>5</v>
      </c>
      <c r="G721" s="65" t="inlineStr">
        <is>
          <t>Pago VES</t>
        </is>
      </c>
      <c r="H721" s="65" t="inlineStr">
        <is>
          <t>[0779] SINOCO SAE 20W-50 (1x12)</t>
        </is>
      </c>
      <c r="I721" s="65" t="n">
        <v>779</v>
      </c>
      <c r="J721" s="63" t="inlineStr">
        <is>
          <t>1,00</t>
        </is>
      </c>
      <c r="K721" s="63" t="inlineStr">
        <is>
          <t>70,29</t>
        </is>
      </c>
      <c r="L721" s="63" t="inlineStr">
        <is>
          <t>1,64</t>
        </is>
      </c>
      <c r="M721" s="63" t="inlineStr">
        <is>
          <t>69,14</t>
        </is>
      </c>
      <c r="N721" s="63" t="inlineStr">
        <is>
          <t>80,20</t>
        </is>
      </c>
      <c r="O721" s="63" t="inlineStr">
        <is>
          <t>69,14</t>
        </is>
      </c>
      <c r="P721" s="63" t="inlineStr">
        <is>
          <t>80,20</t>
        </is>
      </c>
      <c r="Q721" s="63" t="inlineStr">
        <is>
          <t>721,35</t>
        </is>
      </c>
      <c r="R721" s="66" t="n">
        <v>46216</v>
      </c>
      <c r="S721" s="65" t="n">
        <v>434</v>
      </c>
      <c r="T721" s="65" t="inlineStr">
        <is>
          <t>00-00000978</t>
        </is>
      </c>
      <c r="U721" s="63" t="inlineStr">
        <is>
          <t>80,19</t>
        </is>
      </c>
      <c r="V721" s="63" t="inlineStr">
        <is>
          <t>80,20</t>
        </is>
      </c>
    </row>
    <row r="722">
      <c r="A722" s="65" t="inlineStr">
        <is>
          <t>S00541</t>
        </is>
      </c>
      <c r="B722" s="62" t="n">
        <v>46183.63736111111</v>
      </c>
      <c r="C722" s="65" t="inlineStr">
        <is>
          <t>Bicicletas Repuestos Carioca C.A</t>
        </is>
      </c>
      <c r="D722" s="65" t="inlineStr">
        <is>
          <t>GRIMAN DIAZ HECTOR EDUARDO</t>
        </is>
      </c>
      <c r="E722" s="65" t="inlineStr">
        <is>
          <t>7 días</t>
        </is>
      </c>
      <c r="F722" s="65" t="n">
        <v>5</v>
      </c>
      <c r="G722" s="65" t="inlineStr">
        <is>
          <t>Pago VES</t>
        </is>
      </c>
      <c r="H722" s="65" t="inlineStr">
        <is>
          <t>[0887] MOTOCLASICO 4T SAE 20W-50 (1x12)</t>
        </is>
      </c>
      <c r="I722" s="65" t="n">
        <v>887</v>
      </c>
      <c r="J722" s="63" t="inlineStr">
        <is>
          <t>3,00</t>
        </is>
      </c>
      <c r="K722" s="63" t="inlineStr">
        <is>
          <t>90,19</t>
        </is>
      </c>
      <c r="L722" s="63" t="inlineStr">
        <is>
          <t>1,64</t>
        </is>
      </c>
      <c r="M722" s="63" t="inlineStr">
        <is>
          <t>266,13</t>
        </is>
      </c>
      <c r="N722" s="63" t="inlineStr">
        <is>
          <t>308,71</t>
        </is>
      </c>
      <c r="O722" s="63" t="inlineStr">
        <is>
          <t>301,35</t>
        </is>
      </c>
      <c r="P722" s="63" t="inlineStr">
        <is>
          <t>349,57</t>
        </is>
      </c>
      <c r="Q722" s="63" t="inlineStr">
        <is>
          <t>721,35</t>
        </is>
      </c>
      <c r="R722" s="66" t="n">
        <v>46216</v>
      </c>
      <c r="S722" s="65" t="n">
        <v>435</v>
      </c>
      <c r="T722" s="65" t="inlineStr">
        <is>
          <t>00-00000979</t>
        </is>
      </c>
      <c r="U722" s="63" t="inlineStr">
        <is>
          <t>349,56</t>
        </is>
      </c>
      <c r="V722" s="63" t="inlineStr">
        <is>
          <t>349,57</t>
        </is>
      </c>
    </row>
    <row r="723">
      <c r="A723" s="65" t="n"/>
      <c r="B723" s="65" t="n"/>
      <c r="C723" s="65" t="n"/>
      <c r="D723" s="65" t="n"/>
      <c r="E723" s="65" t="n"/>
      <c r="F723" s="65" t="n"/>
      <c r="G723" s="65" t="n"/>
      <c r="H723" s="65" t="inlineStr">
        <is>
          <t>[0761] LIGA PARA FRENOS DOT-3 (1x12)</t>
        </is>
      </c>
      <c r="I723" s="65" t="n">
        <v>761</v>
      </c>
      <c r="J723" s="63" t="inlineStr">
        <is>
          <t>1,00</t>
        </is>
      </c>
      <c r="K723" s="63" t="inlineStr">
        <is>
          <t>35,81</t>
        </is>
      </c>
      <c r="L723" s="63" t="inlineStr">
        <is>
          <t>1,64</t>
        </is>
      </c>
      <c r="M723" s="63" t="inlineStr">
        <is>
          <t>35,22</t>
        </is>
      </c>
      <c r="N723" s="63" t="inlineStr">
        <is>
          <t>40,86</t>
        </is>
      </c>
      <c r="O723" s="65" t="n"/>
      <c r="P723" s="65" t="n"/>
      <c r="Q723" s="65" t="n"/>
      <c r="R723" s="65" t="n"/>
      <c r="S723" s="65" t="n"/>
      <c r="T723" s="65" t="n"/>
      <c r="U723" s="65" t="n"/>
      <c r="V723" s="65" t="n"/>
    </row>
    <row r="724">
      <c r="A724" s="65" t="inlineStr">
        <is>
          <t>S00538</t>
        </is>
      </c>
      <c r="B724" s="62" t="n">
        <v>46183.59736111111</v>
      </c>
      <c r="C724" s="65" t="inlineStr">
        <is>
          <t>INVERSIONES SMALUM 21, C.A.</t>
        </is>
      </c>
      <c r="D724" s="65" t="inlineStr">
        <is>
          <t>TORO ARDILES DAVID JOSE</t>
        </is>
      </c>
      <c r="E724" s="65" t="inlineStr">
        <is>
          <t>7 días</t>
        </is>
      </c>
      <c r="F724" s="65" t="n">
        <v>5</v>
      </c>
      <c r="G724" s="65" t="inlineStr">
        <is>
          <t>Pago VES</t>
        </is>
      </c>
      <c r="H724" s="65" t="inlineStr">
        <is>
          <t>[0884] TRANSMATIC ATF DEXRON III (1x12)</t>
        </is>
      </c>
      <c r="I724" s="65" t="n">
        <v>884</v>
      </c>
      <c r="J724" s="63" t="inlineStr">
        <is>
          <t>1,00</t>
        </is>
      </c>
      <c r="K724" s="63" t="inlineStr">
        <is>
          <t>95,49</t>
        </is>
      </c>
      <c r="L724" s="63" t="inlineStr">
        <is>
          <t>1,64</t>
        </is>
      </c>
      <c r="M724" s="63" t="inlineStr">
        <is>
          <t>93,92</t>
        </is>
      </c>
      <c r="N724" s="63" t="inlineStr">
        <is>
          <t>108,95</t>
        </is>
      </c>
      <c r="O724" s="63" t="inlineStr">
        <is>
          <t>297,42</t>
        </is>
      </c>
      <c r="P724" s="63" t="inlineStr">
        <is>
          <t>345,01</t>
        </is>
      </c>
      <c r="Q724" s="63" t="inlineStr">
        <is>
          <t>721,35</t>
        </is>
      </c>
      <c r="R724" s="66" t="n">
        <v>46216</v>
      </c>
      <c r="S724" s="65" t="n">
        <v>436</v>
      </c>
      <c r="T724" s="65" t="inlineStr">
        <is>
          <t>00-00000980</t>
        </is>
      </c>
      <c r="U724" s="63" t="inlineStr">
        <is>
          <t>344,99</t>
        </is>
      </c>
      <c r="V724" s="63" t="inlineStr">
        <is>
          <t>345,01</t>
        </is>
      </c>
    </row>
    <row r="725">
      <c r="A725" s="65" t="n"/>
      <c r="B725" s="65" t="n"/>
      <c r="C725" s="65" t="n"/>
      <c r="D725" s="65" t="n"/>
      <c r="E725" s="65" t="n"/>
      <c r="F725" s="65" t="n"/>
      <c r="G725" s="65" t="n"/>
      <c r="H725" s="65" t="inlineStr">
        <is>
          <t>[0885] TRANSMATIC ATF MERCON V (1x12)</t>
        </is>
      </c>
      <c r="I725" s="65" t="n">
        <v>885</v>
      </c>
      <c r="J725" s="63" t="inlineStr">
        <is>
          <t>1,00</t>
        </is>
      </c>
      <c r="K725" s="63" t="inlineStr">
        <is>
          <t>157,82</t>
        </is>
      </c>
      <c r="L725" s="63" t="inlineStr">
        <is>
          <t>1,64</t>
        </is>
      </c>
      <c r="M725" s="63" t="inlineStr">
        <is>
          <t>155,23</t>
        </is>
      </c>
      <c r="N725" s="63" t="inlineStr">
        <is>
          <t>180,07</t>
        </is>
      </c>
      <c r="O725" s="65" t="n"/>
      <c r="P725" s="65" t="n"/>
      <c r="Q725" s="65" t="n"/>
      <c r="R725" s="65" t="n"/>
      <c r="S725" s="65" t="n"/>
      <c r="T725" s="65" t="n"/>
      <c r="U725" s="65" t="n"/>
      <c r="V725" s="65" t="n"/>
    </row>
    <row r="726">
      <c r="A726" s="65" t="n"/>
      <c r="B726" s="65" t="n"/>
      <c r="C726" s="65" t="n"/>
      <c r="D726" s="65" t="n"/>
      <c r="E726" s="65" t="n"/>
      <c r="F726" s="65" t="n"/>
      <c r="G726" s="65" t="n"/>
      <c r="H726" s="65" t="inlineStr">
        <is>
          <t>[0163] CARIBE FUERA DE BORDA TC-W3 2 TIEMPOS (1x6)</t>
        </is>
      </c>
      <c r="I726" s="65" t="n">
        <v>163</v>
      </c>
      <c r="J726" s="63" t="inlineStr">
        <is>
          <t>1,00</t>
        </is>
      </c>
      <c r="K726" s="63" t="inlineStr">
        <is>
          <t>49,07</t>
        </is>
      </c>
      <c r="L726" s="63" t="inlineStr">
        <is>
          <t>1,64</t>
        </is>
      </c>
      <c r="M726" s="63" t="inlineStr">
        <is>
          <t>48,27</t>
        </is>
      </c>
      <c r="N726" s="63" t="inlineStr">
        <is>
          <t>55,99</t>
        </is>
      </c>
      <c r="O726" s="65" t="n"/>
      <c r="P726" s="65" t="n"/>
      <c r="Q726" s="65" t="n"/>
      <c r="R726" s="65" t="n"/>
      <c r="S726" s="65" t="n"/>
      <c r="T726" s="65" t="n"/>
      <c r="U726" s="65" t="n"/>
      <c r="V726" s="65" t="n"/>
    </row>
    <row r="727">
      <c r="A727" s="65" t="inlineStr">
        <is>
          <t>S00539</t>
        </is>
      </c>
      <c r="B727" s="62" t="n">
        <v>46183.59725694444</v>
      </c>
      <c r="C727" s="65" t="inlineStr">
        <is>
          <t>Diana Carolina Torres</t>
        </is>
      </c>
      <c r="D727" s="65" t="inlineStr">
        <is>
          <t>VILLABONA CORREA ALBA ESTEFANIA</t>
        </is>
      </c>
      <c r="E727" s="65" t="inlineStr">
        <is>
          <t>7 días</t>
        </is>
      </c>
      <c r="F727" s="65" t="n">
        <v>5</v>
      </c>
      <c r="G727" s="65" t="inlineStr">
        <is>
          <t>Pago VES</t>
        </is>
      </c>
      <c r="H727" s="65" t="inlineStr">
        <is>
          <t>[0602] SINOCO SAE 50 (PAILA)</t>
        </is>
      </c>
      <c r="I727" s="65" t="n">
        <v>602</v>
      </c>
      <c r="J727" s="63" t="inlineStr">
        <is>
          <t>2,00</t>
        </is>
      </c>
      <c r="K727" s="63" t="inlineStr">
        <is>
          <t>96,82</t>
        </is>
      </c>
      <c r="L727" s="63" t="inlineStr">
        <is>
          <t>1,64</t>
        </is>
      </c>
      <c r="M727" s="63" t="inlineStr">
        <is>
          <t>190,46</t>
        </is>
      </c>
      <c r="N727" s="63" t="inlineStr">
        <is>
          <t>220,93</t>
        </is>
      </c>
      <c r="O727" s="63" t="inlineStr">
        <is>
          <t>190,46</t>
        </is>
      </c>
      <c r="P727" s="63" t="inlineStr">
        <is>
          <t>220,93</t>
        </is>
      </c>
      <c r="Q727" s="63" t="inlineStr">
        <is>
          <t>721,35</t>
        </is>
      </c>
      <c r="R727" s="66" t="n">
        <v>46216</v>
      </c>
      <c r="S727" s="65" t="n">
        <v>402</v>
      </c>
      <c r="T727" s="65" t="inlineStr">
        <is>
          <t>00-00000946</t>
        </is>
      </c>
      <c r="U727" s="63" t="inlineStr">
        <is>
          <t>220,93</t>
        </is>
      </c>
      <c r="V727" s="63" t="inlineStr">
        <is>
          <t>220,94</t>
        </is>
      </c>
    </row>
    <row r="728">
      <c r="A728" s="65" t="inlineStr">
        <is>
          <t>S00540</t>
        </is>
      </c>
      <c r="B728" s="62" t="n">
        <v>46183.59715277778</v>
      </c>
      <c r="C728" s="65" t="inlineStr">
        <is>
          <t>GARAJE Y TALLERES FRIDELBA, C.A</t>
        </is>
      </c>
      <c r="D728" s="65" t="inlineStr">
        <is>
          <t>TORO ARDILES DAVID JOSE</t>
        </is>
      </c>
      <c r="E728" s="65" t="inlineStr">
        <is>
          <t>7 días</t>
        </is>
      </c>
      <c r="F728" s="65" t="n">
        <v>5</v>
      </c>
      <c r="G728" s="65" t="inlineStr">
        <is>
          <t>Pago VES</t>
        </is>
      </c>
      <c r="H728" s="65" t="inlineStr">
        <is>
          <t>[0877] SS EXTRA PROTECCION API SN SAE 15W-40 (1X12)</t>
        </is>
      </c>
      <c r="I728" s="65" t="n">
        <v>877</v>
      </c>
      <c r="J728" s="63" t="inlineStr">
        <is>
          <t>1,00</t>
        </is>
      </c>
      <c r="K728" s="63" t="inlineStr">
        <is>
          <t>99,15</t>
        </is>
      </c>
      <c r="L728" s="63" t="inlineStr">
        <is>
          <t>0,00</t>
        </is>
      </c>
      <c r="M728" s="63" t="inlineStr">
        <is>
          <t>99,15</t>
        </is>
      </c>
      <c r="N728" s="63" t="inlineStr">
        <is>
          <t>115,01</t>
        </is>
      </c>
      <c r="O728" s="63" t="inlineStr">
        <is>
          <t>256,99</t>
        </is>
      </c>
      <c r="P728" s="63" t="inlineStr">
        <is>
          <t>298,11</t>
        </is>
      </c>
      <c r="Q728" s="63" t="inlineStr">
        <is>
          <t>577,55</t>
        </is>
      </c>
      <c r="R728" s="66" t="n">
        <v>46189</v>
      </c>
      <c r="S728" s="65" t="n">
        <v>185</v>
      </c>
      <c r="T728" s="65" t="inlineStr">
        <is>
          <t>00-00000646</t>
        </is>
      </c>
      <c r="U728" s="63" t="inlineStr">
        <is>
          <t>281,35</t>
        </is>
      </c>
      <c r="V728" s="63" t="inlineStr">
        <is>
          <t>4,12</t>
        </is>
      </c>
    </row>
    <row r="729">
      <c r="A729" s="65" t="n"/>
      <c r="B729" s="65" t="n"/>
      <c r="C729" s="65" t="n"/>
      <c r="D729" s="65" t="n"/>
      <c r="E729" s="65" t="n"/>
      <c r="F729" s="65" t="n"/>
      <c r="G729" s="65" t="n"/>
      <c r="H729" s="65" t="inlineStr">
        <is>
          <t>[0884] TRANSMATIC ATF DEXRON III (1x12)</t>
        </is>
      </c>
      <c r="I729" s="65" t="n">
        <v>884</v>
      </c>
      <c r="J729" s="63" t="inlineStr">
        <is>
          <t>1,00</t>
        </is>
      </c>
      <c r="K729" s="63" t="inlineStr">
        <is>
          <t>93,92</t>
        </is>
      </c>
      <c r="L729" s="63" t="inlineStr">
        <is>
          <t>0,00</t>
        </is>
      </c>
      <c r="M729" s="63" t="inlineStr">
        <is>
          <t>93,92</t>
        </is>
      </c>
      <c r="N729" s="63" t="inlineStr">
        <is>
          <t>108,95</t>
        </is>
      </c>
      <c r="O729" s="65" t="n"/>
      <c r="P729" s="65" t="n"/>
      <c r="Q729" s="65" t="n"/>
      <c r="R729" s="65" t="n"/>
      <c r="S729" s="65" t="n"/>
      <c r="T729" s="65" t="n"/>
      <c r="U729" s="65" t="n"/>
      <c r="V729" s="65" t="n"/>
    </row>
    <row r="730">
      <c r="A730" s="65" t="n"/>
      <c r="B730" s="65" t="n"/>
      <c r="C730" s="65" t="n"/>
      <c r="D730" s="65" t="n"/>
      <c r="E730" s="65" t="n"/>
      <c r="F730" s="65" t="n"/>
      <c r="G730" s="65" t="n"/>
      <c r="H730" s="65" t="inlineStr">
        <is>
          <t>[0774] LIGA PARA FRENOS DOT-4 (1X6)</t>
        </is>
      </c>
      <c r="I730" s="65" t="n">
        <v>774</v>
      </c>
      <c r="J730" s="63" t="inlineStr">
        <is>
          <t>1,00</t>
        </is>
      </c>
      <c r="K730" s="63" t="inlineStr">
        <is>
          <t>63,92</t>
        </is>
      </c>
      <c r="L730" s="63" t="inlineStr">
        <is>
          <t>0,00</t>
        </is>
      </c>
      <c r="M730" s="63" t="inlineStr">
        <is>
          <t>63,92</t>
        </is>
      </c>
      <c r="N730" s="63" t="inlineStr">
        <is>
          <t>74,15</t>
        </is>
      </c>
      <c r="O730" s="65" t="n"/>
      <c r="P730" s="65" t="n"/>
      <c r="Q730" s="65" t="n"/>
      <c r="R730" s="65" t="n"/>
      <c r="S730" s="65" t="n"/>
      <c r="T730" s="65" t="n"/>
      <c r="U730" s="65" t="n"/>
      <c r="V730" s="65" t="n"/>
    </row>
    <row r="731">
      <c r="A731" s="65" t="inlineStr">
        <is>
          <t>S00535</t>
        </is>
      </c>
      <c r="B731" s="62" t="n">
        <v>46183.58501157408</v>
      </c>
      <c r="C731" s="65" t="inlineStr">
        <is>
          <t>En ascenso 2011,c.a.</t>
        </is>
      </c>
      <c r="D731" s="65" t="inlineStr">
        <is>
          <t>CASERES GONZALEZ RONALD OSWALDO</t>
        </is>
      </c>
      <c r="E731" s="65" t="inlineStr">
        <is>
          <t>Pago inmediato</t>
        </is>
      </c>
      <c r="F731" s="65" t="n">
        <v>5</v>
      </c>
      <c r="G731" s="65" t="inlineStr">
        <is>
          <t>Pago VES</t>
        </is>
      </c>
      <c r="H731" s="65" t="inlineStr">
        <is>
          <t>[0602] SINOCO SAE 50 (PAILA)</t>
        </is>
      </c>
      <c r="I731" s="65" t="n">
        <v>602</v>
      </c>
      <c r="J731" s="63" t="inlineStr">
        <is>
          <t>2,00</t>
        </is>
      </c>
      <c r="K731" s="63" t="inlineStr">
        <is>
          <t>95,23</t>
        </is>
      </c>
      <c r="L731" s="63" t="inlineStr">
        <is>
          <t>0,00</t>
        </is>
      </c>
      <c r="M731" s="63" t="inlineStr">
        <is>
          <t>190,47</t>
        </is>
      </c>
      <c r="N731" s="63" t="inlineStr">
        <is>
          <t>220,95</t>
        </is>
      </c>
      <c r="O731" s="63" t="inlineStr">
        <is>
          <t>289,62</t>
        </is>
      </c>
      <c r="P731" s="63" t="inlineStr">
        <is>
          <t>335,96</t>
        </is>
      </c>
      <c r="Q731" s="63" t="inlineStr">
        <is>
          <t>572,68</t>
        </is>
      </c>
      <c r="R731" s="66" t="n">
        <v>46183</v>
      </c>
      <c r="S731" s="65" t="n">
        <v>133</v>
      </c>
      <c r="T731" s="65" t="inlineStr">
        <is>
          <t>00-00000552</t>
        </is>
      </c>
      <c r="U731" s="63" t="inlineStr">
        <is>
          <t>335,93</t>
        </is>
      </c>
      <c r="V731" s="63" t="inlineStr">
        <is>
          <t>289,61</t>
        </is>
      </c>
    </row>
    <row r="732">
      <c r="A732" s="65" t="n"/>
      <c r="B732" s="65" t="n"/>
      <c r="C732" s="65" t="n"/>
      <c r="D732" s="65" t="n"/>
      <c r="E732" s="65" t="n"/>
      <c r="F732" s="65" t="n"/>
      <c r="G732" s="65" t="n"/>
      <c r="H732" s="65" t="inlineStr">
        <is>
          <t>[0877] SS EXTRA PROTECCION API SN SAE 15W-40 (1X12)</t>
        </is>
      </c>
      <c r="I732" s="65" t="n">
        <v>877</v>
      </c>
      <c r="J732" s="63" t="inlineStr">
        <is>
          <t>1,00</t>
        </is>
      </c>
      <c r="K732" s="63" t="inlineStr">
        <is>
          <t>99,15</t>
        </is>
      </c>
      <c r="L732" s="63" t="inlineStr">
        <is>
          <t>0,00</t>
        </is>
      </c>
      <c r="M732" s="63" t="inlineStr">
        <is>
          <t>99,15</t>
        </is>
      </c>
      <c r="N732" s="63" t="inlineStr">
        <is>
          <t>115,01</t>
        </is>
      </c>
      <c r="O732" s="65" t="n"/>
      <c r="P732" s="65" t="n"/>
      <c r="Q732" s="65" t="n"/>
      <c r="R732" s="65" t="n"/>
      <c r="S732" s="65" t="n"/>
      <c r="T732" s="65" t="n"/>
      <c r="U732" s="65" t="n"/>
      <c r="V732" s="65" t="n"/>
    </row>
    <row r="733">
      <c r="A733" s="65" t="inlineStr">
        <is>
          <t>S00537</t>
        </is>
      </c>
      <c r="B733" s="62" t="n">
        <v>46183.54643518518</v>
      </c>
      <c r="C733" s="65" t="inlineStr">
        <is>
          <t>LUBRIREPUESTOS PANORAMA, C.A.</t>
        </is>
      </c>
      <c r="D733" s="65" t="inlineStr">
        <is>
          <t>TORO ARDILES DAVID JOSE</t>
        </is>
      </c>
      <c r="E733" s="65" t="inlineStr">
        <is>
          <t>7 días</t>
        </is>
      </c>
      <c r="F733" s="65" t="n">
        <v>5</v>
      </c>
      <c r="G733" s="65" t="inlineStr">
        <is>
          <t>Pago VES</t>
        </is>
      </c>
      <c r="H733" s="65" t="inlineStr">
        <is>
          <t>[0779] SINOCO SAE 20W-50 (1x12)</t>
        </is>
      </c>
      <c r="I733" s="65" t="n">
        <v>779</v>
      </c>
      <c r="J733" s="63" t="inlineStr">
        <is>
          <t>1,00</t>
        </is>
      </c>
      <c r="K733" s="63" t="inlineStr">
        <is>
          <t>70,29</t>
        </is>
      </c>
      <c r="L733" s="63" t="inlineStr">
        <is>
          <t>1,64</t>
        </is>
      </c>
      <c r="M733" s="63" t="inlineStr">
        <is>
          <t>69,14</t>
        </is>
      </c>
      <c r="N733" s="63" t="inlineStr">
        <is>
          <t>80,20</t>
        </is>
      </c>
      <c r="O733" s="63" t="inlineStr">
        <is>
          <t>138,28</t>
        </is>
      </c>
      <c r="P733" s="63" t="inlineStr">
        <is>
          <t>160,40</t>
        </is>
      </c>
      <c r="Q733" s="63" t="inlineStr">
        <is>
          <t>721,35</t>
        </is>
      </c>
      <c r="R733" s="66" t="n">
        <v>46216</v>
      </c>
      <c r="S733" s="65" t="n">
        <v>403</v>
      </c>
      <c r="T733" s="65" t="inlineStr">
        <is>
          <t>00-00000947</t>
        </is>
      </c>
      <c r="U733" s="63" t="inlineStr">
        <is>
          <t>160,38</t>
        </is>
      </c>
      <c r="V733" s="63" t="inlineStr">
        <is>
          <t>160,40</t>
        </is>
      </c>
    </row>
    <row r="734">
      <c r="A734" s="65" t="n"/>
      <c r="B734" s="65" t="n"/>
      <c r="C734" s="65" t="n"/>
      <c r="D734" s="65" t="n"/>
      <c r="E734" s="65" t="n"/>
      <c r="F734" s="65" t="n"/>
      <c r="G734" s="65" t="n"/>
      <c r="H734" s="65" t="inlineStr">
        <is>
          <t>[0915] SINOCO SAE 50 (1x12)</t>
        </is>
      </c>
      <c r="I734" s="65" t="n">
        <v>915</v>
      </c>
      <c r="J734" s="63" t="inlineStr">
        <is>
          <t>1,00</t>
        </is>
      </c>
      <c r="K734" s="63" t="inlineStr">
        <is>
          <t>70,29</t>
        </is>
      </c>
      <c r="L734" s="63" t="inlineStr">
        <is>
          <t>1,64</t>
        </is>
      </c>
      <c r="M734" s="63" t="inlineStr">
        <is>
          <t>69,14</t>
        </is>
      </c>
      <c r="N734" s="63" t="inlineStr">
        <is>
          <t>80,20</t>
        </is>
      </c>
      <c r="O734" s="65" t="n"/>
      <c r="P734" s="65" t="n"/>
      <c r="Q734" s="65" t="n"/>
      <c r="R734" s="65" t="n"/>
      <c r="S734" s="65" t="n"/>
      <c r="T734" s="65" t="n"/>
      <c r="U734" s="65" t="n"/>
      <c r="V734" s="65" t="n"/>
    </row>
    <row r="735">
      <c r="A735" s="65" t="inlineStr">
        <is>
          <t>S00534</t>
        </is>
      </c>
      <c r="B735" s="62" t="n">
        <v>46183.49446759259</v>
      </c>
      <c r="C735" s="65" t="inlineStr">
        <is>
          <t>Autopartes Munich PH 168 C.A.</t>
        </is>
      </c>
      <c r="D735" s="65" t="inlineStr">
        <is>
          <t>TORO ARDILES DAVID JOSE</t>
        </is>
      </c>
      <c r="E735" s="65" t="inlineStr">
        <is>
          <t>15 días</t>
        </is>
      </c>
      <c r="F735" s="65" t="n">
        <v>5</v>
      </c>
      <c r="G735" s="65" t="inlineStr">
        <is>
          <t>Pago VES</t>
        </is>
      </c>
      <c r="H735" s="65" t="inlineStr">
        <is>
          <t>[0877] SS EXTRA PROTECCION API SN SAE 15W-40 (1X12)</t>
        </is>
      </c>
      <c r="I735" s="65" t="n">
        <v>877</v>
      </c>
      <c r="J735" s="63" t="inlineStr">
        <is>
          <t>2,00</t>
        </is>
      </c>
      <c r="K735" s="63" t="inlineStr">
        <is>
          <t>100,80</t>
        </is>
      </c>
      <c r="L735" s="63" t="inlineStr">
        <is>
          <t>1,64</t>
        </is>
      </c>
      <c r="M735" s="63" t="inlineStr">
        <is>
          <t>198,29</t>
        </is>
      </c>
      <c r="N735" s="63" t="inlineStr">
        <is>
          <t>230,02</t>
        </is>
      </c>
      <c r="O735" s="63" t="inlineStr">
        <is>
          <t>198,29</t>
        </is>
      </c>
      <c r="P735" s="63" t="inlineStr">
        <is>
          <t>230,02</t>
        </is>
      </c>
      <c r="Q735" s="63" t="inlineStr">
        <is>
          <t>721,35</t>
        </is>
      </c>
      <c r="R735" s="66" t="n">
        <v>46216</v>
      </c>
      <c r="S735" s="65" t="n">
        <v>404</v>
      </c>
      <c r="T735" s="65" t="inlineStr">
        <is>
          <t>00-00000948</t>
        </is>
      </c>
      <c r="U735" s="63" t="inlineStr">
        <is>
          <t>230,01</t>
        </is>
      </c>
      <c r="V735" s="63" t="inlineStr">
        <is>
          <t>230,02</t>
        </is>
      </c>
    </row>
    <row r="736">
      <c r="A736" s="65" t="inlineStr">
        <is>
          <t>S00533</t>
        </is>
      </c>
      <c r="B736" s="62" t="n">
        <v>46183.37881944444</v>
      </c>
      <c r="C736" s="65" t="inlineStr">
        <is>
          <t>Jose Lopez Espinoza</t>
        </is>
      </c>
      <c r="D736" s="65" t="inlineStr">
        <is>
          <t>VILLABONA CORREA ALBA ESTEFANIA</t>
        </is>
      </c>
      <c r="E736" s="65" t="inlineStr">
        <is>
          <t>7 días</t>
        </is>
      </c>
      <c r="F736" s="65" t="n">
        <v>5</v>
      </c>
      <c r="G736" s="65" t="inlineStr">
        <is>
          <t>Pago VES</t>
        </is>
      </c>
      <c r="H736" s="65" t="inlineStr">
        <is>
          <t>[0779] SINOCO SAE 20W-50 (1x12)</t>
        </is>
      </c>
      <c r="I736" s="65" t="n">
        <v>779</v>
      </c>
      <c r="J736" s="63" t="inlineStr">
        <is>
          <t>1,00</t>
        </is>
      </c>
      <c r="K736" s="63" t="inlineStr">
        <is>
          <t>70,29</t>
        </is>
      </c>
      <c r="L736" s="63" t="inlineStr">
        <is>
          <t>1,64</t>
        </is>
      </c>
      <c r="M736" s="63" t="inlineStr">
        <is>
          <t>69,14</t>
        </is>
      </c>
      <c r="N736" s="63" t="inlineStr">
        <is>
          <t>80,20</t>
        </is>
      </c>
      <c r="O736" s="63" t="inlineStr">
        <is>
          <t>138,28</t>
        </is>
      </c>
      <c r="P736" s="63" t="inlineStr">
        <is>
          <t>160,40</t>
        </is>
      </c>
      <c r="Q736" s="63" t="inlineStr">
        <is>
          <t>721,35</t>
        </is>
      </c>
      <c r="R736" s="66" t="n">
        <v>46216</v>
      </c>
      <c r="S736" s="65" t="n">
        <v>405</v>
      </c>
      <c r="T736" s="65" t="inlineStr">
        <is>
          <t>00-00000949</t>
        </is>
      </c>
      <c r="U736" s="63" t="inlineStr">
        <is>
          <t>160,38</t>
        </is>
      </c>
      <c r="V736" s="63" t="inlineStr">
        <is>
          <t>160,40</t>
        </is>
      </c>
    </row>
    <row r="737">
      <c r="A737" s="65" t="n"/>
      <c r="B737" s="65" t="n"/>
      <c r="C737" s="65" t="n"/>
      <c r="D737" s="65" t="n"/>
      <c r="E737" s="65" t="n"/>
      <c r="F737" s="65" t="n"/>
      <c r="G737" s="65" t="n"/>
      <c r="H737" s="65" t="inlineStr">
        <is>
          <t>[0915] SINOCO SAE 50 (1x12)</t>
        </is>
      </c>
      <c r="I737" s="65" t="n">
        <v>915</v>
      </c>
      <c r="J737" s="63" t="inlineStr">
        <is>
          <t>1,00</t>
        </is>
      </c>
      <c r="K737" s="63" t="inlineStr">
        <is>
          <t>70,29</t>
        </is>
      </c>
      <c r="L737" s="63" t="inlineStr">
        <is>
          <t>1,64</t>
        </is>
      </c>
      <c r="M737" s="63" t="inlineStr">
        <is>
          <t>69,14</t>
        </is>
      </c>
      <c r="N737" s="63" t="inlineStr">
        <is>
          <t>80,20</t>
        </is>
      </c>
      <c r="O737" s="65" t="n"/>
      <c r="P737" s="65" t="n"/>
      <c r="Q737" s="65" t="n"/>
      <c r="R737" s="65" t="n"/>
      <c r="S737" s="65" t="n"/>
      <c r="T737" s="65" t="n"/>
      <c r="U737" s="65" t="n"/>
      <c r="V737" s="65" t="n"/>
    </row>
    <row r="738">
      <c r="A738" s="65" t="inlineStr">
        <is>
          <t>S00531</t>
        </is>
      </c>
      <c r="B738" s="62" t="n">
        <v>46182.66920138889</v>
      </c>
      <c r="C738" s="65" t="inlineStr">
        <is>
          <t>Mazare Motors, C.A</t>
        </is>
      </c>
      <c r="D738" s="65" t="inlineStr">
        <is>
          <t>QUEVEDO BASTIDAS NEYKEL DAVID</t>
        </is>
      </c>
      <c r="E738" s="65" t="inlineStr">
        <is>
          <t>15 días</t>
        </is>
      </c>
      <c r="F738" s="65" t="n">
        <v>5</v>
      </c>
      <c r="G738" s="65" t="inlineStr">
        <is>
          <t>Pago VES</t>
        </is>
      </c>
      <c r="H738" s="65" t="inlineStr">
        <is>
          <t>[0887] MOTOCLASICO 4T SAE 20W-50 (1x12)</t>
        </is>
      </c>
      <c r="I738" s="65" t="n">
        <v>887</v>
      </c>
      <c r="J738" s="63" t="inlineStr">
        <is>
          <t>1,00</t>
        </is>
      </c>
      <c r="K738" s="63" t="inlineStr">
        <is>
          <t>90,19</t>
        </is>
      </c>
      <c r="L738" s="63" t="inlineStr">
        <is>
          <t>0,77</t>
        </is>
      </c>
      <c r="M738" s="63" t="inlineStr">
        <is>
          <t>89,50</t>
        </is>
      </c>
      <c r="N738" s="63" t="inlineStr">
        <is>
          <t>103,82</t>
        </is>
      </c>
      <c r="O738" s="63" t="inlineStr">
        <is>
          <t>89,50</t>
        </is>
      </c>
      <c r="P738" s="63" t="inlineStr">
        <is>
          <t>103,82</t>
        </is>
      </c>
      <c r="Q738" s="63" t="inlineStr">
        <is>
          <t>721,35</t>
        </is>
      </c>
      <c r="R738" s="66" t="n">
        <v>46216</v>
      </c>
      <c r="S738" s="65" t="n">
        <v>406</v>
      </c>
      <c r="T738" s="65" t="inlineStr">
        <is>
          <t>00-00000950</t>
        </is>
      </c>
      <c r="U738" s="63" t="inlineStr">
        <is>
          <t>103,80</t>
        </is>
      </c>
      <c r="V738" s="63" t="inlineStr">
        <is>
          <t>103,81</t>
        </is>
      </c>
    </row>
    <row r="739">
      <c r="A739" s="65" t="inlineStr">
        <is>
          <t>S00529</t>
        </is>
      </c>
      <c r="B739" s="62" t="n">
        <v>46182.65104166666</v>
      </c>
      <c r="C739" s="65" t="inlineStr">
        <is>
          <t>Megacar2020.c.a</t>
        </is>
      </c>
      <c r="D739" s="65" t="inlineStr">
        <is>
          <t>PEREZ DIAZ ANGEL DE DIOS</t>
        </is>
      </c>
      <c r="E739" s="65" t="inlineStr">
        <is>
          <t>7 días</t>
        </is>
      </c>
      <c r="F739" s="65" t="n">
        <v>5</v>
      </c>
      <c r="G739" s="65" t="inlineStr">
        <is>
          <t>Pago VES</t>
        </is>
      </c>
      <c r="H739" s="65" t="inlineStr">
        <is>
          <t>[0887] MOTOCLASICO 4T SAE 20W-50 (1x12)</t>
        </is>
      </c>
      <c r="I739" s="65" t="n">
        <v>887</v>
      </c>
      <c r="J739" s="63" t="inlineStr">
        <is>
          <t>1,00</t>
        </is>
      </c>
      <c r="K739" s="63" t="inlineStr">
        <is>
          <t>90,19</t>
        </is>
      </c>
      <c r="L739" s="63" t="inlineStr">
        <is>
          <t>0,77</t>
        </is>
      </c>
      <c r="M739" s="63" t="inlineStr">
        <is>
          <t>89,50</t>
        </is>
      </c>
      <c r="N739" s="63" t="inlineStr">
        <is>
          <t>103,82</t>
        </is>
      </c>
      <c r="O739" s="63" t="inlineStr">
        <is>
          <t>89,50</t>
        </is>
      </c>
      <c r="P739" s="63" t="inlineStr">
        <is>
          <t>103,82</t>
        </is>
      </c>
      <c r="Q739" s="63" t="inlineStr">
        <is>
          <t>721,35</t>
        </is>
      </c>
      <c r="R739" s="66" t="n">
        <v>46216</v>
      </c>
      <c r="S739" s="65" t="n">
        <v>407</v>
      </c>
      <c r="T739" s="65" t="inlineStr">
        <is>
          <t>00-00000951</t>
        </is>
      </c>
      <c r="U739" s="63" t="inlineStr">
        <is>
          <t>103,80</t>
        </is>
      </c>
      <c r="V739" s="63" t="inlineStr">
        <is>
          <t>103,81</t>
        </is>
      </c>
    </row>
    <row r="740">
      <c r="A740" s="65" t="inlineStr">
        <is>
          <t>S00519</t>
        </is>
      </c>
      <c r="B740" s="62" t="n">
        <v>46182.54478009259</v>
      </c>
      <c r="C740" s="65" t="inlineStr">
        <is>
          <t>Comercializadora Garabote</t>
        </is>
      </c>
      <c r="D740" s="65" t="inlineStr">
        <is>
          <t>PEREZ DIAZ ANGEL DE DIOS</t>
        </is>
      </c>
      <c r="E740" s="65" t="inlineStr">
        <is>
          <t>7 días</t>
        </is>
      </c>
      <c r="F740" s="65" t="n">
        <v>5</v>
      </c>
      <c r="G740" s="65" t="inlineStr">
        <is>
          <t>Pago VES</t>
        </is>
      </c>
      <c r="H740" s="65" t="inlineStr">
        <is>
          <t>[0603] SINOCO SAE 50 (Tambor)</t>
        </is>
      </c>
      <c r="I740" s="65" t="n">
        <v>603</v>
      </c>
      <c r="J740" s="63" t="inlineStr">
        <is>
          <t>3,00</t>
        </is>
      </c>
      <c r="K740" s="63" t="inlineStr">
        <is>
          <t>925,73</t>
        </is>
      </c>
      <c r="L740" s="63" t="inlineStr">
        <is>
          <t>0,00</t>
        </is>
      </c>
      <c r="M740" s="63" t="inlineStr">
        <is>
          <t>2.777,19</t>
        </is>
      </c>
      <c r="N740" s="63" t="inlineStr">
        <is>
          <t>3.221,54</t>
        </is>
      </c>
      <c r="O740" s="63" t="inlineStr">
        <is>
          <t>3.014,59</t>
        </is>
      </c>
      <c r="P740" s="63" t="inlineStr">
        <is>
          <t>3.496,92</t>
        </is>
      </c>
      <c r="Q740" s="65" t="n"/>
      <c r="R740" s="65" t="n"/>
      <c r="S740" s="65" t="n"/>
      <c r="T740" s="65" t="n"/>
      <c r="U740" s="65" t="n"/>
      <c r="V740" s="65" t="n"/>
    </row>
    <row r="741">
      <c r="A741" s="65" t="n"/>
      <c r="B741" s="65" t="n"/>
      <c r="C741" s="65" t="n"/>
      <c r="D741" s="65" t="n"/>
      <c r="E741" s="65" t="n"/>
      <c r="F741" s="65" t="n"/>
      <c r="G741" s="65" t="n"/>
      <c r="H741" s="65" t="inlineStr">
        <is>
          <t>[0605] SINOCO SAE 20W-50 (PAILA)</t>
        </is>
      </c>
      <c r="I741" s="65" t="n">
        <v>605</v>
      </c>
      <c r="J741" s="63" t="inlineStr">
        <is>
          <t>1,00</t>
        </is>
      </c>
      <c r="K741" s="63" t="inlineStr">
        <is>
          <t>96,82</t>
        </is>
      </c>
      <c r="L741" s="63" t="inlineStr">
        <is>
          <t>0,00</t>
        </is>
      </c>
      <c r="M741" s="63" t="inlineStr">
        <is>
          <t>96,82</t>
        </is>
      </c>
      <c r="N741" s="63" t="inlineStr">
        <is>
          <t>112,31</t>
        </is>
      </c>
      <c r="O741" s="65" t="n"/>
      <c r="P741" s="65" t="n"/>
      <c r="Q741" s="65" t="n"/>
      <c r="R741" s="65" t="n"/>
      <c r="S741" s="65" t="n"/>
      <c r="T741" s="65" t="n"/>
      <c r="U741" s="65" t="n"/>
      <c r="V741" s="65" t="n"/>
    </row>
    <row r="742">
      <c r="A742" s="65" t="n"/>
      <c r="B742" s="65" t="n"/>
      <c r="C742" s="65" t="n"/>
      <c r="D742" s="65" t="n"/>
      <c r="E742" s="65" t="n"/>
      <c r="F742" s="65" t="n"/>
      <c r="G742" s="65" t="n"/>
      <c r="H742" s="65" t="inlineStr">
        <is>
          <t>[0779] SINOCO SAE 20W-50 (1x12)</t>
        </is>
      </c>
      <c r="I742" s="65" t="n">
        <v>779</v>
      </c>
      <c r="J742" s="63" t="inlineStr">
        <is>
          <t>2,00</t>
        </is>
      </c>
      <c r="K742" s="63" t="inlineStr">
        <is>
          <t>70,29</t>
        </is>
      </c>
      <c r="L742" s="63" t="inlineStr">
        <is>
          <t>0,00</t>
        </is>
      </c>
      <c r="M742" s="63" t="inlineStr">
        <is>
          <t>140,58</t>
        </is>
      </c>
      <c r="N742" s="63" t="inlineStr">
        <is>
          <t>163,07</t>
        </is>
      </c>
      <c r="O742" s="65" t="n"/>
      <c r="P742" s="65" t="n"/>
      <c r="Q742" s="65" t="n"/>
      <c r="R742" s="65" t="n"/>
      <c r="S742" s="65" t="n"/>
      <c r="T742" s="65" t="n"/>
      <c r="U742" s="65" t="n"/>
      <c r="V742" s="65" t="n"/>
    </row>
    <row r="743">
      <c r="A743" s="65" t="inlineStr">
        <is>
          <t>S00528</t>
        </is>
      </c>
      <c r="B743" s="62" t="n">
        <v>46182.52299768518</v>
      </c>
      <c r="C743" s="65" t="inlineStr">
        <is>
          <t>Angel ARMAS</t>
        </is>
      </c>
      <c r="D743" s="65" t="inlineStr">
        <is>
          <t>REVERON DE CONTRERAS MELANI AUSMAR</t>
        </is>
      </c>
      <c r="E743" s="65" t="inlineStr">
        <is>
          <t>7 días</t>
        </is>
      </c>
      <c r="F743" s="65" t="n">
        <v>4</v>
      </c>
      <c r="G743" s="65" t="inlineStr">
        <is>
          <t>Precio Full Abril</t>
        </is>
      </c>
      <c r="H743" s="65" t="inlineStr">
        <is>
          <t>[0007] ELITE API SN SAE 5W-20 (1x6)</t>
        </is>
      </c>
      <c r="I743" s="65" t="n">
        <v>7</v>
      </c>
      <c r="J743" s="63" t="inlineStr">
        <is>
          <t>1,00</t>
        </is>
      </c>
      <c r="K743" s="63" t="inlineStr">
        <is>
          <t>47,41</t>
        </is>
      </c>
      <c r="L743" s="63" t="inlineStr">
        <is>
          <t>0,00</t>
        </is>
      </c>
      <c r="M743" s="63" t="inlineStr">
        <is>
          <t>47,41</t>
        </is>
      </c>
      <c r="N743" s="63" t="inlineStr">
        <is>
          <t>55,00</t>
        </is>
      </c>
      <c r="O743" s="63" t="inlineStr">
        <is>
          <t>47,41</t>
        </is>
      </c>
      <c r="P743" s="63" t="inlineStr">
        <is>
          <t>55,00</t>
        </is>
      </c>
      <c r="Q743" s="63" t="inlineStr">
        <is>
          <t>577,55</t>
        </is>
      </c>
      <c r="R743" s="66" t="n">
        <v>46184</v>
      </c>
      <c r="S743" s="65" t="n">
        <v>134</v>
      </c>
      <c r="T743" s="65" t="inlineStr">
        <is>
          <t>00-00000567</t>
        </is>
      </c>
      <c r="U743" s="63" t="inlineStr">
        <is>
          <t>54,05</t>
        </is>
      </c>
      <c r="V743" s="63" t="inlineStr">
        <is>
          <t>0,00</t>
        </is>
      </c>
    </row>
    <row r="744">
      <c r="A744" s="65" t="inlineStr">
        <is>
          <t>S00523</t>
        </is>
      </c>
      <c r="B744" s="62" t="n">
        <v>46182.39356481482</v>
      </c>
      <c r="C744" s="65" t="inlineStr">
        <is>
          <t>Miguel Antonio Chacon</t>
        </is>
      </c>
      <c r="D744" s="65" t="inlineStr">
        <is>
          <t>GRIMAN DIAZ HECTOR EDUARDO</t>
        </is>
      </c>
      <c r="E744" s="65" t="inlineStr">
        <is>
          <t>7 días</t>
        </is>
      </c>
      <c r="F744" s="65" t="n">
        <v>5</v>
      </c>
      <c r="G744" s="65" t="inlineStr">
        <is>
          <t>Pago VES</t>
        </is>
      </c>
      <c r="H744" s="65" t="inlineStr">
        <is>
          <t>[0602] SINOCO SAE 50 (PAILA)</t>
        </is>
      </c>
      <c r="I744" s="65" t="n">
        <v>602</v>
      </c>
      <c r="J744" s="63" t="inlineStr">
        <is>
          <t>1,00</t>
        </is>
      </c>
      <c r="K744" s="63" t="inlineStr">
        <is>
          <t>96,82</t>
        </is>
      </c>
      <c r="L744" s="63" t="inlineStr">
        <is>
          <t>0,77</t>
        </is>
      </c>
      <c r="M744" s="63" t="inlineStr">
        <is>
          <t>96,07</t>
        </is>
      </c>
      <c r="N744" s="63" t="inlineStr">
        <is>
          <t>111,44</t>
        </is>
      </c>
      <c r="O744" s="63" t="inlineStr">
        <is>
          <t>363,24</t>
        </is>
      </c>
      <c r="P744" s="63" t="inlineStr">
        <is>
          <t>421,36</t>
        </is>
      </c>
      <c r="Q744" s="63" t="inlineStr">
        <is>
          <t>721,35</t>
        </is>
      </c>
      <c r="R744" s="66" t="n">
        <v>46216</v>
      </c>
      <c r="S744" s="65" t="n">
        <v>408</v>
      </c>
      <c r="T744" s="65" t="inlineStr">
        <is>
          <t>00-00000952</t>
        </is>
      </c>
      <c r="U744" s="63" t="inlineStr">
        <is>
          <t>421,33</t>
        </is>
      </c>
      <c r="V744" s="63" t="inlineStr">
        <is>
          <t>421,36</t>
        </is>
      </c>
    </row>
    <row r="745">
      <c r="A745" s="65" t="n"/>
      <c r="B745" s="65" t="n"/>
      <c r="C745" s="65" t="n"/>
      <c r="D745" s="65" t="n"/>
      <c r="E745" s="65" t="n"/>
      <c r="F745" s="65" t="n"/>
      <c r="G745" s="65" t="n"/>
      <c r="H745" s="65" t="inlineStr">
        <is>
          <t>[0605] SINOCO SAE 20W-50 (PAILA)</t>
        </is>
      </c>
      <c r="I745" s="65" t="n">
        <v>605</v>
      </c>
      <c r="J745" s="63" t="inlineStr">
        <is>
          <t>1,00</t>
        </is>
      </c>
      <c r="K745" s="63" t="inlineStr">
        <is>
          <t>96,82</t>
        </is>
      </c>
      <c r="L745" s="63" t="inlineStr">
        <is>
          <t>0,77</t>
        </is>
      </c>
      <c r="M745" s="63" t="inlineStr">
        <is>
          <t>96,07</t>
        </is>
      </c>
      <c r="N745" s="63" t="inlineStr">
        <is>
          <t>111,44</t>
        </is>
      </c>
      <c r="O745" s="65" t="n"/>
      <c r="P745" s="65" t="n"/>
      <c r="Q745" s="65" t="n"/>
      <c r="R745" s="65" t="n"/>
      <c r="S745" s="65" t="n"/>
      <c r="T745" s="65" t="n"/>
      <c r="U745" s="65" t="n"/>
      <c r="V745" s="65" t="n"/>
    </row>
    <row r="746">
      <c r="A746" s="65" t="n"/>
      <c r="B746" s="65" t="n"/>
      <c r="C746" s="65" t="n"/>
      <c r="D746" s="65" t="n"/>
      <c r="E746" s="65" t="n"/>
      <c r="F746" s="65" t="n"/>
      <c r="G746" s="65" t="n"/>
      <c r="H746" s="65" t="inlineStr">
        <is>
          <t>[0881] CLASICO API SL SAE 20W-50 (1x12)</t>
        </is>
      </c>
      <c r="I746" s="65" t="n">
        <v>881</v>
      </c>
      <c r="J746" s="63" t="inlineStr">
        <is>
          <t>1,00</t>
        </is>
      </c>
      <c r="K746" s="63" t="inlineStr">
        <is>
          <t>86,21</t>
        </is>
      </c>
      <c r="L746" s="63" t="inlineStr">
        <is>
          <t>0,77</t>
        </is>
      </c>
      <c r="M746" s="63" t="inlineStr">
        <is>
          <t>85,55</t>
        </is>
      </c>
      <c r="N746" s="63" t="inlineStr">
        <is>
          <t>99,24</t>
        </is>
      </c>
      <c r="O746" s="65" t="n"/>
      <c r="P746" s="65" t="n"/>
      <c r="Q746" s="65" t="n"/>
      <c r="R746" s="65" t="n"/>
      <c r="S746" s="65" t="n"/>
      <c r="T746" s="65" t="n"/>
      <c r="U746" s="65" t="n"/>
      <c r="V746" s="65" t="n"/>
    </row>
    <row r="747">
      <c r="A747" s="65" t="n"/>
      <c r="B747" s="65" t="n"/>
      <c r="C747" s="65" t="n"/>
      <c r="D747" s="65" t="n"/>
      <c r="E747" s="65" t="n"/>
      <c r="F747" s="65" t="n"/>
      <c r="G747" s="65" t="n"/>
      <c r="H747" s="65" t="inlineStr">
        <is>
          <t>[0880] CLASICO API SL SAE 15W-40 (1x12)</t>
        </is>
      </c>
      <c r="I747" s="65" t="n">
        <v>880</v>
      </c>
      <c r="J747" s="63" t="inlineStr">
        <is>
          <t>1,00</t>
        </is>
      </c>
      <c r="K747" s="63" t="inlineStr">
        <is>
          <t>86,21</t>
        </is>
      </c>
      <c r="L747" s="63" t="inlineStr">
        <is>
          <t>0,77</t>
        </is>
      </c>
      <c r="M747" s="63" t="inlineStr">
        <is>
          <t>85,55</t>
        </is>
      </c>
      <c r="N747" s="63" t="inlineStr">
        <is>
          <t>99,24</t>
        </is>
      </c>
      <c r="O747" s="65" t="n"/>
      <c r="P747" s="65" t="n"/>
      <c r="Q747" s="65" t="n"/>
      <c r="R747" s="65" t="n"/>
      <c r="S747" s="65" t="n"/>
      <c r="T747" s="65" t="n"/>
      <c r="U747" s="65" t="n"/>
      <c r="V747" s="65" t="n"/>
    </row>
    <row r="748">
      <c r="A748" s="65" t="inlineStr">
        <is>
          <t>S00525</t>
        </is>
      </c>
      <c r="B748" s="62" t="n">
        <v>46182.36744212963</v>
      </c>
      <c r="C748" s="65" t="inlineStr">
        <is>
          <t>Juan antonio salaverria herrera</t>
        </is>
      </c>
      <c r="D748" s="65" t="inlineStr">
        <is>
          <t>REVERON DE CONTRERAS MELANI AUSMAR</t>
        </is>
      </c>
      <c r="E748" s="65" t="inlineStr">
        <is>
          <t>7 días</t>
        </is>
      </c>
      <c r="F748" s="65" t="n">
        <v>5</v>
      </c>
      <c r="G748" s="65" t="inlineStr">
        <is>
          <t>Pago VES</t>
        </is>
      </c>
      <c r="H748" s="65" t="inlineStr">
        <is>
          <t>[0881] CLASICO API SL SAE 20W-50 (1x12)</t>
        </is>
      </c>
      <c r="I748" s="65" t="n">
        <v>881</v>
      </c>
      <c r="J748" s="63" t="inlineStr">
        <is>
          <t>1,00</t>
        </is>
      </c>
      <c r="K748" s="63" t="inlineStr">
        <is>
          <t>85,54</t>
        </is>
      </c>
      <c r="L748" s="63" t="inlineStr">
        <is>
          <t>0,00</t>
        </is>
      </c>
      <c r="M748" s="63" t="inlineStr">
        <is>
          <t>85,54</t>
        </is>
      </c>
      <c r="N748" s="63" t="inlineStr">
        <is>
          <t>99,23</t>
        </is>
      </c>
      <c r="O748" s="63" t="inlineStr">
        <is>
          <t>85,54</t>
        </is>
      </c>
      <c r="P748" s="63" t="inlineStr">
        <is>
          <t>99,23</t>
        </is>
      </c>
      <c r="Q748" s="63" t="inlineStr">
        <is>
          <t>567,68</t>
        </is>
      </c>
      <c r="R748" s="66" t="n">
        <v>46182</v>
      </c>
      <c r="S748" s="65" t="n">
        <v>125</v>
      </c>
      <c r="T748" s="65" t="inlineStr">
        <is>
          <t>00-00000536</t>
        </is>
      </c>
      <c r="U748" s="63" t="inlineStr">
        <is>
          <t>56,00</t>
        </is>
      </c>
      <c r="V748" s="63" t="inlineStr">
        <is>
          <t>0,00</t>
        </is>
      </c>
    </row>
    <row r="749">
      <c r="A749" s="65" t="inlineStr">
        <is>
          <t>S00522</t>
        </is>
      </c>
      <c r="B749" s="62" t="n">
        <v>46181.71857638889</v>
      </c>
      <c r="C749" s="65" t="inlineStr">
        <is>
          <t>Agustin Pedro Rodriguez Carro</t>
        </is>
      </c>
      <c r="D749" s="65" t="inlineStr">
        <is>
          <t>CASERES GONZALEZ RONALD OSWALDO</t>
        </is>
      </c>
      <c r="E749" s="65" t="inlineStr">
        <is>
          <t>7 días</t>
        </is>
      </c>
      <c r="F749" s="65" t="n">
        <v>5</v>
      </c>
      <c r="G749" s="65" t="inlineStr">
        <is>
          <t>Pago VES</t>
        </is>
      </c>
      <c r="H749" s="65" t="inlineStr">
        <is>
          <t>[0141] HIDRAGLOB AW/ISO 46 (Tambor)</t>
        </is>
      </c>
      <c r="I749" s="65" t="n">
        <v>141</v>
      </c>
      <c r="J749" s="63" t="inlineStr">
        <is>
          <t>1,00</t>
        </is>
      </c>
      <c r="K749" s="63" t="inlineStr">
        <is>
          <t>1.232,10</t>
        </is>
      </c>
      <c r="L749" s="63" t="inlineStr">
        <is>
          <t>0,00</t>
        </is>
      </c>
      <c r="M749" s="63" t="inlineStr">
        <is>
          <t>1.232,10</t>
        </is>
      </c>
      <c r="N749" s="63" t="inlineStr">
        <is>
          <t>1.429,24</t>
        </is>
      </c>
      <c r="O749" s="63" t="inlineStr">
        <is>
          <t>1.232,10</t>
        </is>
      </c>
      <c r="P749" s="63" t="inlineStr">
        <is>
          <t>1.429,24</t>
        </is>
      </c>
      <c r="Q749" s="63" t="inlineStr">
        <is>
          <t>577,55</t>
        </is>
      </c>
      <c r="R749" s="66" t="n">
        <v>46185</v>
      </c>
      <c r="S749" s="65" t="n">
        <v>163</v>
      </c>
      <c r="T749" s="65" t="inlineStr">
        <is>
          <t>00-00000606</t>
        </is>
      </c>
      <c r="U749" s="63" t="inlineStr">
        <is>
          <t>1.404,80</t>
        </is>
      </c>
      <c r="V749" s="63" t="inlineStr">
        <is>
          <t>0,00</t>
        </is>
      </c>
    </row>
    <row r="750">
      <c r="A750" s="65" t="inlineStr">
        <is>
          <t>S00517</t>
        </is>
      </c>
      <c r="B750" s="62" t="n">
        <v>46181.69726851852</v>
      </c>
      <c r="C750" s="65" t="inlineStr">
        <is>
          <t>Industrias Arasia, c.a.</t>
        </is>
      </c>
      <c r="D750" s="65" t="inlineStr">
        <is>
          <t>CASERES GONZALEZ RONALD OSWALDO</t>
        </is>
      </c>
      <c r="E750" s="65" t="inlineStr">
        <is>
          <t>7 días</t>
        </is>
      </c>
      <c r="F750" s="65" t="n">
        <v>5</v>
      </c>
      <c r="G750" s="65" t="inlineStr">
        <is>
          <t>Pago VES</t>
        </is>
      </c>
      <c r="H750" s="65" t="inlineStr">
        <is>
          <t>[0025] SS EXTRA PROTECCION API SN SAE 10W-30 (Gasolina) (1x6)</t>
        </is>
      </c>
      <c r="I750" s="65" t="n">
        <v>25</v>
      </c>
      <c r="J750" s="63" t="inlineStr">
        <is>
          <t>4,00</t>
        </is>
      </c>
      <c r="K750" s="63" t="inlineStr">
        <is>
          <t>50,40</t>
        </is>
      </c>
      <c r="L750" s="63" t="inlineStr">
        <is>
          <t>0,00</t>
        </is>
      </c>
      <c r="M750" s="63" t="inlineStr">
        <is>
          <t>201,60</t>
        </is>
      </c>
      <c r="N750" s="63" t="inlineStr">
        <is>
          <t>233,86</t>
        </is>
      </c>
      <c r="O750" s="63" t="inlineStr">
        <is>
          <t>201,60</t>
        </is>
      </c>
      <c r="P750" s="63" t="inlineStr">
        <is>
          <t>233,86</t>
        </is>
      </c>
      <c r="Q750" s="63" t="inlineStr">
        <is>
          <t>567,68</t>
        </is>
      </c>
      <c r="R750" s="66" t="n">
        <v>46185</v>
      </c>
      <c r="S750" s="65" t="n">
        <v>160</v>
      </c>
      <c r="T750" s="65" t="inlineStr">
        <is>
          <t>00-00000603</t>
        </is>
      </c>
      <c r="U750" s="63" t="inlineStr">
        <is>
          <t>233,85</t>
        </is>
      </c>
      <c r="V750" s="63" t="inlineStr">
        <is>
          <t>233,86</t>
        </is>
      </c>
    </row>
    <row r="751">
      <c r="A751" s="65" t="inlineStr">
        <is>
          <t>S00518</t>
        </is>
      </c>
      <c r="B751" s="62" t="n">
        <v>46181.37152777778</v>
      </c>
      <c r="C751" s="65" t="inlineStr">
        <is>
          <t>EMPRENDIMIENTO IRMA RODRIGUEZ 6</t>
        </is>
      </c>
      <c r="D751" s="65" t="inlineStr">
        <is>
          <t>TORO ARDILES DAVID JOSE</t>
        </is>
      </c>
      <c r="E751" s="65" t="inlineStr">
        <is>
          <t>7 días</t>
        </is>
      </c>
      <c r="F751" s="65" t="n">
        <v>5</v>
      </c>
      <c r="G751" s="65" t="inlineStr">
        <is>
          <t>Pago VES</t>
        </is>
      </c>
      <c r="H751" s="65" t="inlineStr">
        <is>
          <t>[0779] SINOCO SAE 20W-50 (1x12)</t>
        </is>
      </c>
      <c r="I751" s="65" t="n">
        <v>779</v>
      </c>
      <c r="J751" s="63" t="inlineStr">
        <is>
          <t>2,00</t>
        </is>
      </c>
      <c r="K751" s="63" t="inlineStr">
        <is>
          <t>70,29</t>
        </is>
      </c>
      <c r="L751" s="63" t="inlineStr">
        <is>
          <t>36,84</t>
        </is>
      </c>
      <c r="M751" s="63" t="inlineStr">
        <is>
          <t>88,79</t>
        </is>
      </c>
      <c r="N751" s="63" t="inlineStr">
        <is>
          <t>103,00</t>
        </is>
      </c>
      <c r="O751" s="63" t="inlineStr">
        <is>
          <t>88,79</t>
        </is>
      </c>
      <c r="P751" s="63" t="inlineStr">
        <is>
          <t>103,00</t>
        </is>
      </c>
      <c r="Q751" s="63" t="inlineStr">
        <is>
          <t>577,55</t>
        </is>
      </c>
      <c r="R751" s="66" t="n">
        <v>46205</v>
      </c>
      <c r="S751" s="65" t="n">
        <v>217</v>
      </c>
      <c r="T751" s="65" t="inlineStr">
        <is>
          <t>00-00000721</t>
        </is>
      </c>
      <c r="U751" s="63" t="inlineStr">
        <is>
          <t>102,99</t>
        </is>
      </c>
      <c r="V751" s="63" t="inlineStr">
        <is>
          <t>0,00</t>
        </is>
      </c>
    </row>
    <row r="752">
      <c r="A752" s="65" t="inlineStr">
        <is>
          <t>S00516</t>
        </is>
      </c>
      <c r="B752" s="62" t="n">
        <v>46178.75012731482</v>
      </c>
      <c r="C752" s="65" t="inlineStr">
        <is>
          <t>MOTO REPUESTOS LA FLECHA, C.A.</t>
        </is>
      </c>
      <c r="D752" s="65" t="inlineStr">
        <is>
          <t>MARTINEZ MONTES JEFFREY ENRIQUE</t>
        </is>
      </c>
      <c r="E752" s="65" t="inlineStr">
        <is>
          <t>7 días</t>
        </is>
      </c>
      <c r="F752" s="65" t="n">
        <v>5</v>
      </c>
      <c r="G752" s="65" t="inlineStr">
        <is>
          <t>Pago VES</t>
        </is>
      </c>
      <c r="H752" s="65" t="inlineStr">
        <is>
          <t>[0877] SS EXTRA PROTECCION API SN SAE 15W-40 (1X12)</t>
        </is>
      </c>
      <c r="I752" s="65" t="n">
        <v>877</v>
      </c>
      <c r="J752" s="63" t="inlineStr">
        <is>
          <t>1,00</t>
        </is>
      </c>
      <c r="K752" s="63" t="inlineStr">
        <is>
          <t>100,80</t>
        </is>
      </c>
      <c r="L752" s="63" t="inlineStr">
        <is>
          <t>0,00</t>
        </is>
      </c>
      <c r="M752" s="63" t="inlineStr">
        <is>
          <t>100,80</t>
        </is>
      </c>
      <c r="N752" s="63" t="inlineStr">
        <is>
          <t>116,93</t>
        </is>
      </c>
      <c r="O752" s="63" t="inlineStr">
        <is>
          <t>190,99</t>
        </is>
      </c>
      <c r="P752" s="63" t="inlineStr">
        <is>
          <t>221,55</t>
        </is>
      </c>
      <c r="Q752" s="63" t="inlineStr">
        <is>
          <t>721,35</t>
        </is>
      </c>
      <c r="R752" s="66" t="n">
        <v>46216</v>
      </c>
      <c r="S752" s="65" t="n">
        <v>409</v>
      </c>
      <c r="T752" s="65" t="inlineStr">
        <is>
          <t>00-00000953</t>
        </is>
      </c>
      <c r="U752" s="63" t="inlineStr">
        <is>
          <t>221,54</t>
        </is>
      </c>
      <c r="V752" s="63" t="inlineStr">
        <is>
          <t>221,55</t>
        </is>
      </c>
    </row>
    <row r="753">
      <c r="A753" s="65" t="n"/>
      <c r="B753" s="65" t="n"/>
      <c r="C753" s="65" t="n"/>
      <c r="D753" s="65" t="n"/>
      <c r="E753" s="65" t="n"/>
      <c r="F753" s="65" t="n"/>
      <c r="G753" s="65" t="n"/>
      <c r="H753" s="65" t="inlineStr">
        <is>
          <t>[0887] MOTOCLASICO 4T SAE 20W-50 (1x12)</t>
        </is>
      </c>
      <c r="I753" s="65" t="n">
        <v>887</v>
      </c>
      <c r="J753" s="63" t="inlineStr">
        <is>
          <t>1,00</t>
        </is>
      </c>
      <c r="K753" s="63" t="inlineStr">
        <is>
          <t>90,19</t>
        </is>
      </c>
      <c r="L753" s="63" t="inlineStr">
        <is>
          <t>0,00</t>
        </is>
      </c>
      <c r="M753" s="63" t="inlineStr">
        <is>
          <t>90,19</t>
        </is>
      </c>
      <c r="N753" s="63" t="inlineStr">
        <is>
          <t>104,62</t>
        </is>
      </c>
      <c r="O753" s="65" t="n"/>
      <c r="P753" s="65" t="n"/>
      <c r="Q753" s="65" t="n"/>
      <c r="R753" s="65" t="n"/>
      <c r="S753" s="65" t="n"/>
      <c r="T753" s="65" t="n"/>
      <c r="U753" s="65" t="n"/>
      <c r="V753" s="65" t="n"/>
    </row>
    <row r="754">
      <c r="A754" s="65" t="inlineStr">
        <is>
          <t>S00515</t>
        </is>
      </c>
      <c r="B754" s="62" t="n">
        <v>46178.66967592593</v>
      </c>
      <c r="C754" s="65" t="inlineStr">
        <is>
          <t>Emprendimiento Emily Blanco 10</t>
        </is>
      </c>
      <c r="D754" s="65" t="inlineStr">
        <is>
          <t>Frank Vasquez</t>
        </is>
      </c>
      <c r="E754" s="65" t="inlineStr">
        <is>
          <t>21 días</t>
        </is>
      </c>
      <c r="F754" s="65" t="n">
        <v>5</v>
      </c>
      <c r="G754" s="65" t="inlineStr">
        <is>
          <t>Pago VES</t>
        </is>
      </c>
      <c r="H754" s="65" t="inlineStr">
        <is>
          <t>[0013] ELITE API SN SAE 5W-30 (1x6)</t>
        </is>
      </c>
      <c r="I754" s="65" t="n">
        <v>13</v>
      </c>
      <c r="J754" s="63" t="inlineStr">
        <is>
          <t>2,00</t>
        </is>
      </c>
      <c r="K754" s="63" t="inlineStr">
        <is>
          <t>72,94</t>
        </is>
      </c>
      <c r="L754" s="63" t="inlineStr">
        <is>
          <t>0,00</t>
        </is>
      </c>
      <c r="M754" s="63" t="inlineStr">
        <is>
          <t>145,88</t>
        </is>
      </c>
      <c r="N754" s="63" t="inlineStr">
        <is>
          <t>169,22</t>
        </is>
      </c>
      <c r="O754" s="63" t="inlineStr">
        <is>
          <t>383,28</t>
        </is>
      </c>
      <c r="P754" s="63" t="inlineStr">
        <is>
          <t>444,61</t>
        </is>
      </c>
      <c r="Q754" s="63" t="inlineStr">
        <is>
          <t>721,35</t>
        </is>
      </c>
      <c r="R754" s="66" t="n">
        <v>46216</v>
      </c>
      <c r="S754" s="65" t="n">
        <v>410</v>
      </c>
      <c r="T754" s="65" t="inlineStr">
        <is>
          <t>00-00000954</t>
        </is>
      </c>
      <c r="U754" s="63" t="inlineStr">
        <is>
          <t>444,58</t>
        </is>
      </c>
      <c r="V754" s="63" t="inlineStr">
        <is>
          <t>444,60</t>
        </is>
      </c>
    </row>
    <row r="755">
      <c r="A755" s="65" t="n"/>
      <c r="B755" s="65" t="n"/>
      <c r="C755" s="65" t="n"/>
      <c r="D755" s="65" t="n"/>
      <c r="E755" s="65" t="n"/>
      <c r="F755" s="65" t="n"/>
      <c r="G755" s="65" t="n"/>
      <c r="H755" s="65" t="inlineStr">
        <is>
          <t>[0887] MOTOCLASICO 4T SAE 20W-50 (1x12)</t>
        </is>
      </c>
      <c r="I755" s="65" t="n">
        <v>887</v>
      </c>
      <c r="J755" s="63" t="inlineStr">
        <is>
          <t>1,00</t>
        </is>
      </c>
      <c r="K755" s="63" t="inlineStr">
        <is>
          <t>90,19</t>
        </is>
      </c>
      <c r="L755" s="63" t="inlineStr">
        <is>
          <t>0,00</t>
        </is>
      </c>
      <c r="M755" s="63" t="inlineStr">
        <is>
          <t>90,19</t>
        </is>
      </c>
      <c r="N755" s="63" t="inlineStr">
        <is>
          <t>104,62</t>
        </is>
      </c>
      <c r="O755" s="65" t="n"/>
      <c r="P755" s="65" t="n"/>
      <c r="Q755" s="65" t="n"/>
      <c r="R755" s="65" t="n"/>
      <c r="S755" s="65" t="n"/>
      <c r="T755" s="65" t="n"/>
      <c r="U755" s="65" t="n"/>
      <c r="V755" s="65" t="n"/>
    </row>
    <row r="756">
      <c r="A756" s="65" t="n"/>
      <c r="B756" s="65" t="n"/>
      <c r="C756" s="65" t="n"/>
      <c r="D756" s="65" t="n"/>
      <c r="E756" s="65" t="n"/>
      <c r="F756" s="65" t="n"/>
      <c r="G756" s="65" t="n"/>
      <c r="H756" s="65" t="inlineStr">
        <is>
          <t>[0884] TRANSMATIC ATF DEXRON III (1x12)</t>
        </is>
      </c>
      <c r="I756" s="65" t="n">
        <v>884</v>
      </c>
      <c r="J756" s="63" t="inlineStr">
        <is>
          <t>1,00</t>
        </is>
      </c>
      <c r="K756" s="63" t="inlineStr">
        <is>
          <t>95,49</t>
        </is>
      </c>
      <c r="L756" s="63" t="inlineStr">
        <is>
          <t>0,00</t>
        </is>
      </c>
      <c r="M756" s="63" t="inlineStr">
        <is>
          <t>95,49</t>
        </is>
      </c>
      <c r="N756" s="63" t="inlineStr">
        <is>
          <t>110,77</t>
        </is>
      </c>
      <c r="O756" s="65" t="n"/>
      <c r="P756" s="65" t="n"/>
      <c r="Q756" s="65" t="n"/>
      <c r="R756" s="65" t="n"/>
      <c r="S756" s="65" t="n"/>
      <c r="T756" s="65" t="n"/>
      <c r="U756" s="65" t="n"/>
      <c r="V756" s="65" t="n"/>
    </row>
    <row r="757">
      <c r="A757" s="65" t="n"/>
      <c r="B757" s="65" t="n"/>
      <c r="C757" s="65" t="n"/>
      <c r="D757" s="65" t="n"/>
      <c r="E757" s="65" t="n"/>
      <c r="F757" s="65" t="n"/>
      <c r="G757" s="65" t="n"/>
      <c r="H757" s="65" t="inlineStr">
        <is>
          <t>[0561] MEJORADOR DE OCTANAJE GLOBAL OIL PACK (1X12)</t>
        </is>
      </c>
      <c r="I757" s="65" t="n">
        <v>561</v>
      </c>
      <c r="J757" s="63" t="inlineStr">
        <is>
          <t>1,00</t>
        </is>
      </c>
      <c r="K757" s="63" t="inlineStr">
        <is>
          <t>51,72</t>
        </is>
      </c>
      <c r="L757" s="63" t="inlineStr">
        <is>
          <t>0,00</t>
        </is>
      </c>
      <c r="M757" s="63" t="inlineStr">
        <is>
          <t>51,72</t>
        </is>
      </c>
      <c r="N757" s="63" t="inlineStr">
        <is>
          <t>60,00</t>
        </is>
      </c>
      <c r="O757" s="65" t="n"/>
      <c r="P757" s="65" t="n"/>
      <c r="Q757" s="65" t="n"/>
      <c r="R757" s="65" t="n"/>
      <c r="S757" s="65" t="n"/>
      <c r="T757" s="65" t="n"/>
      <c r="U757" s="65" t="n"/>
      <c r="V757" s="65" t="n"/>
    </row>
    <row r="758">
      <c r="A758" s="65" t="inlineStr">
        <is>
          <t>S00514</t>
        </is>
      </c>
      <c r="B758" s="62" t="n">
        <v>46178.66940972222</v>
      </c>
      <c r="C758" s="65" t="inlineStr">
        <is>
          <t>Ruta 8 Autopartes,c.a.</t>
        </is>
      </c>
      <c r="D758" s="65" t="inlineStr">
        <is>
          <t>Frank Vasquez</t>
        </is>
      </c>
      <c r="E758" s="65" t="inlineStr">
        <is>
          <t>7 días</t>
        </is>
      </c>
      <c r="F758" s="65" t="n">
        <v>5</v>
      </c>
      <c r="G758" s="65" t="inlineStr">
        <is>
          <t>Pago VES</t>
        </is>
      </c>
      <c r="H758" s="65" t="inlineStr">
        <is>
          <t>[0121] TRANSGLOB API GL-5 SAE 80W-90 (1x6)</t>
        </is>
      </c>
      <c r="I758" s="65" t="n">
        <v>121</v>
      </c>
      <c r="J758" s="63" t="inlineStr">
        <is>
          <t>2,00</t>
        </is>
      </c>
      <c r="K758" s="63" t="inlineStr">
        <is>
          <t>51,72</t>
        </is>
      </c>
      <c r="L758" s="63" t="inlineStr">
        <is>
          <t>0,00</t>
        </is>
      </c>
      <c r="M758" s="63" t="inlineStr">
        <is>
          <t>103,44</t>
        </is>
      </c>
      <c r="N758" s="63" t="inlineStr">
        <is>
          <t>119,99</t>
        </is>
      </c>
      <c r="O758" s="63" t="inlineStr">
        <is>
          <t>103,44</t>
        </is>
      </c>
      <c r="P758" s="63" t="inlineStr">
        <is>
          <t>119,99</t>
        </is>
      </c>
      <c r="Q758" s="63" t="inlineStr">
        <is>
          <t>721,35</t>
        </is>
      </c>
      <c r="R758" s="66" t="n">
        <v>46216</v>
      </c>
      <c r="S758" s="65" t="n">
        <v>411</v>
      </c>
      <c r="T758" s="65" t="inlineStr">
        <is>
          <t>00-00000955</t>
        </is>
      </c>
      <c r="U758" s="63" t="inlineStr">
        <is>
          <t>119,99</t>
        </is>
      </c>
      <c r="V758" s="63" t="inlineStr">
        <is>
          <t>119,99</t>
        </is>
      </c>
    </row>
    <row r="759">
      <c r="A759" s="65" t="inlineStr">
        <is>
          <t>S00513</t>
        </is>
      </c>
      <c r="B759" s="62" t="n">
        <v>46178.64150462963</v>
      </c>
      <c r="C759" s="65" t="inlineStr">
        <is>
          <t>ELENA MEJIAS</t>
        </is>
      </c>
      <c r="D759" s="65" t="inlineStr">
        <is>
          <t>Marco Romero</t>
        </is>
      </c>
      <c r="E759" s="65" t="inlineStr">
        <is>
          <t>7 días</t>
        </is>
      </c>
      <c r="F759" s="65" t="n">
        <v>4</v>
      </c>
      <c r="G759" s="65" t="inlineStr">
        <is>
          <t>Precio Full Abril</t>
        </is>
      </c>
      <c r="H759" s="65" t="inlineStr">
        <is>
          <t>[0877] SS EXTRA PROTECCION API SN SAE 15W-40 (1X12)</t>
        </is>
      </c>
      <c r="I759" s="65" t="n">
        <v>877</v>
      </c>
      <c r="J759" s="63" t="inlineStr">
        <is>
          <t>1,00</t>
        </is>
      </c>
      <c r="K759" s="63" t="inlineStr">
        <is>
          <t>65,52</t>
        </is>
      </c>
      <c r="L759" s="63" t="inlineStr">
        <is>
          <t>8,00</t>
        </is>
      </c>
      <c r="M759" s="63" t="inlineStr">
        <is>
          <t>60,28</t>
        </is>
      </c>
      <c r="N759" s="63" t="inlineStr">
        <is>
          <t>69,92</t>
        </is>
      </c>
      <c r="O759" s="63" t="inlineStr">
        <is>
          <t>60,28</t>
        </is>
      </c>
      <c r="P759" s="63" t="inlineStr">
        <is>
          <t>69,92</t>
        </is>
      </c>
      <c r="Q759" s="63" t="inlineStr">
        <is>
          <t>563,29</t>
        </is>
      </c>
      <c r="R759" s="66" t="n">
        <v>46182</v>
      </c>
      <c r="S759" s="65" t="n">
        <v>130</v>
      </c>
      <c r="T759" s="65" t="inlineStr">
        <is>
          <t>00-00000543</t>
        </is>
      </c>
      <c r="U759" s="63" t="inlineStr">
        <is>
          <t>70,45</t>
        </is>
      </c>
      <c r="V759" s="63" t="inlineStr">
        <is>
          <t>0,12</t>
        </is>
      </c>
    </row>
    <row r="760">
      <c r="A760" s="65" t="inlineStr">
        <is>
          <t>S00511</t>
        </is>
      </c>
      <c r="B760" s="62" t="n">
        <v>46178.49434027778</v>
      </c>
      <c r="C760" s="65" t="inlineStr">
        <is>
          <t>Multiservicios Diacedeg,c.a.</t>
        </is>
      </c>
      <c r="D760" s="65" t="inlineStr">
        <is>
          <t>GRIMAN DIAZ HECTOR EDUARDO</t>
        </is>
      </c>
      <c r="E760" s="65" t="inlineStr">
        <is>
          <t>7 días</t>
        </is>
      </c>
      <c r="F760" s="65" t="n">
        <v>5</v>
      </c>
      <c r="G760" s="65" t="inlineStr">
        <is>
          <t>Pago VES</t>
        </is>
      </c>
      <c r="H760" s="65" t="inlineStr">
        <is>
          <t>[0885] TRANSMATIC ATF MERCON V (1x12)</t>
        </is>
      </c>
      <c r="I760" s="65" t="n">
        <v>885</v>
      </c>
      <c r="J760" s="63" t="inlineStr">
        <is>
          <t>1,00</t>
        </is>
      </c>
      <c r="K760" s="63" t="inlineStr">
        <is>
          <t>157,82</t>
        </is>
      </c>
      <c r="L760" s="63" t="inlineStr">
        <is>
          <t>0,00</t>
        </is>
      </c>
      <c r="M760" s="63" t="inlineStr">
        <is>
          <t>157,82</t>
        </is>
      </c>
      <c r="N760" s="63" t="inlineStr">
        <is>
          <t>183,07</t>
        </is>
      </c>
      <c r="O760" s="63" t="inlineStr">
        <is>
          <t>2.314,33</t>
        </is>
      </c>
      <c r="P760" s="63" t="inlineStr">
        <is>
          <t>2.684,62</t>
        </is>
      </c>
      <c r="Q760" s="65" t="n"/>
      <c r="R760" s="65" t="n"/>
      <c r="S760" s="65" t="n"/>
      <c r="T760" s="65" t="n"/>
      <c r="U760" s="65" t="n"/>
      <c r="V760" s="65" t="n"/>
    </row>
    <row r="761">
      <c r="A761" s="65" t="n"/>
      <c r="B761" s="65" t="n"/>
      <c r="C761" s="65" t="n"/>
      <c r="D761" s="65" t="n"/>
      <c r="E761" s="65" t="n"/>
      <c r="F761" s="65" t="n"/>
      <c r="G761" s="65" t="n"/>
      <c r="H761" s="65" t="inlineStr">
        <is>
          <t>[0121] TRANSGLOB API GL-5 SAE 80W-90 (1x6)</t>
        </is>
      </c>
      <c r="I761" s="65" t="n">
        <v>121</v>
      </c>
      <c r="J761" s="63" t="inlineStr">
        <is>
          <t>2,00</t>
        </is>
      </c>
      <c r="K761" s="63" t="inlineStr">
        <is>
          <t>51,72</t>
        </is>
      </c>
      <c r="L761" s="63" t="inlineStr">
        <is>
          <t>0,00</t>
        </is>
      </c>
      <c r="M761" s="63" t="inlineStr">
        <is>
          <t>103,44</t>
        </is>
      </c>
      <c r="N761" s="63" t="inlineStr">
        <is>
          <t>119,99</t>
        </is>
      </c>
      <c r="O761" s="65" t="n"/>
      <c r="P761" s="65" t="n"/>
      <c r="Q761" s="65" t="n"/>
      <c r="R761" s="65" t="n"/>
      <c r="S761" s="65" t="n"/>
      <c r="T761" s="65" t="n"/>
      <c r="U761" s="65" t="n"/>
      <c r="V761" s="65" t="n"/>
    </row>
    <row r="762">
      <c r="A762" s="65" t="n"/>
      <c r="B762" s="65" t="n"/>
      <c r="C762" s="65" t="n"/>
      <c r="D762" s="65" t="n"/>
      <c r="E762" s="65" t="n"/>
      <c r="F762" s="65" t="n"/>
      <c r="G762" s="65" t="n"/>
      <c r="H762" s="65" t="inlineStr">
        <is>
          <t>[0127] TRANSGLOB API GL-5 SAE 85W-140 (1x6)</t>
        </is>
      </c>
      <c r="I762" s="65" t="n">
        <v>127</v>
      </c>
      <c r="J762" s="63" t="inlineStr">
        <is>
          <t>2,00</t>
        </is>
      </c>
      <c r="K762" s="63" t="inlineStr">
        <is>
          <t>53,05</t>
        </is>
      </c>
      <c r="L762" s="63" t="inlineStr">
        <is>
          <t>0,00</t>
        </is>
      </c>
      <c r="M762" s="63" t="inlineStr">
        <is>
          <t>106,10</t>
        </is>
      </c>
      <c r="N762" s="63" t="inlineStr">
        <is>
          <t>123,08</t>
        </is>
      </c>
      <c r="O762" s="65" t="n"/>
      <c r="P762" s="65" t="n"/>
      <c r="Q762" s="65" t="n"/>
      <c r="R762" s="65" t="n"/>
      <c r="S762" s="65" t="n"/>
      <c r="T762" s="65" t="n"/>
      <c r="U762" s="65" t="n"/>
      <c r="V762" s="65" t="n"/>
    </row>
    <row r="763">
      <c r="A763" s="65" t="n"/>
      <c r="B763" s="65" t="n"/>
      <c r="C763" s="65" t="n"/>
      <c r="D763" s="65" t="n"/>
      <c r="E763" s="65" t="n"/>
      <c r="F763" s="65" t="n"/>
      <c r="G763" s="65" t="n"/>
      <c r="H763" s="65" t="inlineStr">
        <is>
          <t>[0761] LIGA PARA FRENOS DOT-3 (1x12)</t>
        </is>
      </c>
      <c r="I763" s="65" t="n">
        <v>761</v>
      </c>
      <c r="J763" s="63" t="inlineStr">
        <is>
          <t>1,00</t>
        </is>
      </c>
      <c r="K763" s="63" t="inlineStr">
        <is>
          <t>35,81</t>
        </is>
      </c>
      <c r="L763" s="63" t="inlineStr">
        <is>
          <t>0,00</t>
        </is>
      </c>
      <c r="M763" s="63" t="inlineStr">
        <is>
          <t>35,81</t>
        </is>
      </c>
      <c r="N763" s="63" t="inlineStr">
        <is>
          <t>41,54</t>
        </is>
      </c>
      <c r="O763" s="65" t="n"/>
      <c r="P763" s="65" t="n"/>
      <c r="Q763" s="65" t="n"/>
      <c r="R763" s="65" t="n"/>
      <c r="S763" s="65" t="n"/>
      <c r="T763" s="65" t="n"/>
      <c r="U763" s="65" t="n"/>
      <c r="V763" s="65" t="n"/>
    </row>
    <row r="764">
      <c r="A764" s="65" t="n"/>
      <c r="B764" s="65" t="n"/>
      <c r="C764" s="65" t="n"/>
      <c r="D764" s="65" t="n"/>
      <c r="E764" s="65" t="n"/>
      <c r="F764" s="65" t="n"/>
      <c r="G764" s="65" t="n"/>
      <c r="H764" s="65" t="inlineStr">
        <is>
          <t>[0603] SINOCO SAE 50 (Tambor)</t>
        </is>
      </c>
      <c r="I764" s="65" t="n">
        <v>603</v>
      </c>
      <c r="J764" s="63" t="inlineStr">
        <is>
          <t>1,00</t>
        </is>
      </c>
      <c r="K764" s="63" t="inlineStr">
        <is>
          <t>925,73</t>
        </is>
      </c>
      <c r="L764" s="63" t="inlineStr">
        <is>
          <t>0,00</t>
        </is>
      </c>
      <c r="M764" s="63" t="inlineStr">
        <is>
          <t>925,73</t>
        </is>
      </c>
      <c r="N764" s="63" t="inlineStr">
        <is>
          <t>1.073,85</t>
        </is>
      </c>
      <c r="O764" s="65" t="n"/>
      <c r="P764" s="65" t="n"/>
      <c r="Q764" s="65" t="n"/>
      <c r="R764" s="65" t="n"/>
      <c r="S764" s="65" t="n"/>
      <c r="T764" s="65" t="n"/>
      <c r="U764" s="65" t="n"/>
      <c r="V764" s="65" t="n"/>
    </row>
    <row r="765">
      <c r="A765" s="65" t="n"/>
      <c r="B765" s="65" t="n"/>
      <c r="C765" s="65" t="n"/>
      <c r="D765" s="65" t="n"/>
      <c r="E765" s="65" t="n"/>
      <c r="F765" s="65" t="n"/>
      <c r="G765" s="65" t="n"/>
      <c r="H765" s="65" t="inlineStr">
        <is>
          <t>[0605] SINOCO SAE 20W-50 (PAILA)</t>
        </is>
      </c>
      <c r="I765" s="65" t="n">
        <v>605</v>
      </c>
      <c r="J765" s="63" t="inlineStr">
        <is>
          <t>4,00</t>
        </is>
      </c>
      <c r="K765" s="63" t="inlineStr">
        <is>
          <t>96,82</t>
        </is>
      </c>
      <c r="L765" s="63" t="inlineStr">
        <is>
          <t>0,00</t>
        </is>
      </c>
      <c r="M765" s="63" t="inlineStr">
        <is>
          <t>387,28</t>
        </is>
      </c>
      <c r="N765" s="63" t="inlineStr">
        <is>
          <t>449,24</t>
        </is>
      </c>
      <c r="O765" s="65" t="n"/>
      <c r="P765" s="65" t="n"/>
      <c r="Q765" s="65" t="n"/>
      <c r="R765" s="65" t="n"/>
      <c r="S765" s="65" t="n"/>
      <c r="T765" s="65" t="n"/>
      <c r="U765" s="65" t="n"/>
      <c r="V765" s="65" t="n"/>
    </row>
    <row r="766">
      <c r="A766" s="65" t="n"/>
      <c r="B766" s="65" t="n"/>
      <c r="C766" s="65" t="n"/>
      <c r="D766" s="65" t="n"/>
      <c r="E766" s="65" t="n"/>
      <c r="F766" s="65" t="n"/>
      <c r="G766" s="65" t="n"/>
      <c r="H766" s="65" t="inlineStr">
        <is>
          <t>[0602] SINOCO SAE 50 (PAILA)</t>
        </is>
      </c>
      <c r="I766" s="65" t="n">
        <v>602</v>
      </c>
      <c r="J766" s="63" t="inlineStr">
        <is>
          <t>4,00</t>
        </is>
      </c>
      <c r="K766" s="63" t="inlineStr">
        <is>
          <t>96,82</t>
        </is>
      </c>
      <c r="L766" s="63" t="inlineStr">
        <is>
          <t>0,00</t>
        </is>
      </c>
      <c r="M766" s="63" t="inlineStr">
        <is>
          <t>387,28</t>
        </is>
      </c>
      <c r="N766" s="63" t="inlineStr">
        <is>
          <t>449,24</t>
        </is>
      </c>
      <c r="O766" s="65" t="n"/>
      <c r="P766" s="65" t="n"/>
      <c r="Q766" s="65" t="n"/>
      <c r="R766" s="65" t="n"/>
      <c r="S766" s="65" t="n"/>
      <c r="T766" s="65" t="n"/>
      <c r="U766" s="65" t="n"/>
      <c r="V766" s="65" t="n"/>
    </row>
    <row r="767">
      <c r="A767" s="65" t="n"/>
      <c r="B767" s="65" t="n"/>
      <c r="C767" s="65" t="n"/>
      <c r="D767" s="65" t="n"/>
      <c r="E767" s="65" t="n"/>
      <c r="F767" s="65" t="n"/>
      <c r="G767" s="65" t="n"/>
      <c r="H767" s="65" t="inlineStr">
        <is>
          <t>[0779] SINOCO SAE 20W-50 (1x12)</t>
        </is>
      </c>
      <c r="I767" s="65" t="n">
        <v>779</v>
      </c>
      <c r="J767" s="63" t="inlineStr">
        <is>
          <t>2,00</t>
        </is>
      </c>
      <c r="K767" s="63" t="inlineStr">
        <is>
          <t>70,29</t>
        </is>
      </c>
      <c r="L767" s="63" t="inlineStr">
        <is>
          <t>0,00</t>
        </is>
      </c>
      <c r="M767" s="63" t="inlineStr">
        <is>
          <t>140,58</t>
        </is>
      </c>
      <c r="N767" s="63" t="inlineStr">
        <is>
          <t>163,07</t>
        </is>
      </c>
      <c r="O767" s="65" t="n"/>
      <c r="P767" s="65" t="n"/>
      <c r="Q767" s="65" t="n"/>
      <c r="R767" s="65" t="n"/>
      <c r="S767" s="65" t="n"/>
      <c r="T767" s="65" t="n"/>
      <c r="U767" s="65" t="n"/>
      <c r="V767" s="65" t="n"/>
    </row>
    <row r="768">
      <c r="A768" s="65" t="n"/>
      <c r="B768" s="65" t="n"/>
      <c r="C768" s="65" t="n"/>
      <c r="D768" s="65" t="n"/>
      <c r="E768" s="65" t="n"/>
      <c r="F768" s="65" t="n"/>
      <c r="G768" s="65" t="n"/>
      <c r="H768" s="65" t="inlineStr">
        <is>
          <t>[0915] SINOCO SAE 50 (1x12)</t>
        </is>
      </c>
      <c r="I768" s="65" t="n">
        <v>915</v>
      </c>
      <c r="J768" s="63" t="inlineStr">
        <is>
          <t>1,00</t>
        </is>
      </c>
      <c r="K768" s="63" t="inlineStr">
        <is>
          <t>70,29</t>
        </is>
      </c>
      <c r="L768" s="63" t="inlineStr">
        <is>
          <t>0,00</t>
        </is>
      </c>
      <c r="M768" s="63" t="inlineStr">
        <is>
          <t>70,29</t>
        </is>
      </c>
      <c r="N768" s="63" t="inlineStr">
        <is>
          <t>81,54</t>
        </is>
      </c>
      <c r="O768" s="65" t="n"/>
      <c r="P768" s="65" t="n"/>
      <c r="Q768" s="65" t="n"/>
      <c r="R768" s="65" t="n"/>
      <c r="S768" s="65" t="n"/>
      <c r="T768" s="65" t="n"/>
      <c r="U768" s="65" t="n"/>
      <c r="V768" s="65" t="n"/>
    </row>
    <row r="769">
      <c r="A769" s="65" t="inlineStr">
        <is>
          <t>S00510</t>
        </is>
      </c>
      <c r="B769" s="62" t="n">
        <v>46178.38229166667</v>
      </c>
      <c r="C769" s="65" t="inlineStr">
        <is>
          <t>Daniela Sanobria</t>
        </is>
      </c>
      <c r="D769" s="65" t="inlineStr">
        <is>
          <t>REVERON DE CONTRERAS MELANI AUSMAR</t>
        </is>
      </c>
      <c r="E769" s="65" t="inlineStr">
        <is>
          <t>7 días</t>
        </is>
      </c>
      <c r="F769" s="65" t="n">
        <v>5</v>
      </c>
      <c r="G769" s="65" t="inlineStr">
        <is>
          <t>Pago VES</t>
        </is>
      </c>
      <c r="H769" s="65" t="inlineStr">
        <is>
          <t>[0880] CLASICO API SL SAE 15W-40 (1x12)</t>
        </is>
      </c>
      <c r="I769" s="65" t="n">
        <v>880</v>
      </c>
      <c r="J769" s="63" t="inlineStr">
        <is>
          <t>1,00</t>
        </is>
      </c>
      <c r="K769" s="63" t="inlineStr">
        <is>
          <t>86,21</t>
        </is>
      </c>
      <c r="L769" s="63" t="inlineStr">
        <is>
          <t>11,42</t>
        </is>
      </c>
      <c r="M769" s="63" t="inlineStr">
        <is>
          <t>76,36</t>
        </is>
      </c>
      <c r="N769" s="63" t="inlineStr">
        <is>
          <t>88,58</t>
        </is>
      </c>
      <c r="O769" s="63" t="inlineStr">
        <is>
          <t>76,36</t>
        </is>
      </c>
      <c r="P769" s="63" t="inlineStr">
        <is>
          <t>88,58</t>
        </is>
      </c>
      <c r="Q769" s="63" t="inlineStr">
        <is>
          <t>563,29</t>
        </is>
      </c>
      <c r="R769" s="66" t="n">
        <v>46174</v>
      </c>
      <c r="S769" s="65" t="n">
        <v>122</v>
      </c>
      <c r="T769" s="65" t="inlineStr">
        <is>
          <t>00-00000523</t>
        </is>
      </c>
      <c r="U769" s="63" t="inlineStr">
        <is>
          <t>88,57</t>
        </is>
      </c>
      <c r="V769" s="63" t="inlineStr">
        <is>
          <t>88,59</t>
        </is>
      </c>
    </row>
    <row r="770">
      <c r="A770" s="65" t="inlineStr">
        <is>
          <t>S00509</t>
        </is>
      </c>
      <c r="B770" s="62" t="n">
        <v>46178.38166666667</v>
      </c>
      <c r="C770" s="65" t="inlineStr">
        <is>
          <t>GRIMAN DIAZ HECTOR EDUARDO</t>
        </is>
      </c>
      <c r="D770" s="65" t="inlineStr">
        <is>
          <t>VELASCO RODRIGUEZ MARCOS LEONCIO</t>
        </is>
      </c>
      <c r="E770" s="65" t="inlineStr">
        <is>
          <t>7 días</t>
        </is>
      </c>
      <c r="F770" s="65" t="n">
        <v>5</v>
      </c>
      <c r="G770" s="65" t="inlineStr">
        <is>
          <t>Pago VES</t>
        </is>
      </c>
      <c r="H770" s="65" t="inlineStr">
        <is>
          <t>[0602] SINOCO SAE 50 (PAILA)</t>
        </is>
      </c>
      <c r="I770" s="65" t="n">
        <v>602</v>
      </c>
      <c r="J770" s="63" t="inlineStr">
        <is>
          <t>1,00</t>
        </is>
      </c>
      <c r="K770" s="63" t="inlineStr">
        <is>
          <t>62,93</t>
        </is>
      </c>
      <c r="L770" s="63" t="inlineStr">
        <is>
          <t>0,00</t>
        </is>
      </c>
      <c r="M770" s="63" t="inlineStr">
        <is>
          <t>62,93</t>
        </is>
      </c>
      <c r="N770" s="63" t="inlineStr">
        <is>
          <t>73,00</t>
        </is>
      </c>
      <c r="O770" s="63" t="inlineStr">
        <is>
          <t>62,93</t>
        </is>
      </c>
      <c r="P770" s="63" t="inlineStr">
        <is>
          <t>73,00</t>
        </is>
      </c>
      <c r="Q770" s="63" t="inlineStr">
        <is>
          <t>563,29</t>
        </is>
      </c>
      <c r="R770" s="66" t="n">
        <v>46178</v>
      </c>
      <c r="S770" s="65" t="n">
        <v>121</v>
      </c>
      <c r="T770" s="65" t="inlineStr">
        <is>
          <t>00-00000521</t>
        </is>
      </c>
      <c r="U770" s="63" t="inlineStr">
        <is>
          <t>72,99</t>
        </is>
      </c>
      <c r="V770" s="63" t="inlineStr">
        <is>
          <t>0,01</t>
        </is>
      </c>
    </row>
    <row r="771">
      <c r="A771" s="65" t="inlineStr">
        <is>
          <t>S00508</t>
        </is>
      </c>
      <c r="B771" s="62" t="n">
        <v>46178.35173611111</v>
      </c>
      <c r="C771" s="65" t="inlineStr">
        <is>
          <t>Jose Becerra</t>
        </is>
      </c>
      <c r="D771" s="65" t="inlineStr">
        <is>
          <t>TORO ARDILES DAVID JOSE</t>
        </is>
      </c>
      <c r="E771" s="65" t="inlineStr">
        <is>
          <t>7 días</t>
        </is>
      </c>
      <c r="F771" s="65" t="n">
        <v>5</v>
      </c>
      <c r="G771" s="65" t="inlineStr">
        <is>
          <t>Pago VES</t>
        </is>
      </c>
      <c r="H771" s="65" t="inlineStr">
        <is>
          <t>[0605] SINOCO SAE 20W-50 (PAILA)</t>
        </is>
      </c>
      <c r="I771" s="65" t="n">
        <v>605</v>
      </c>
      <c r="J771" s="63" t="inlineStr">
        <is>
          <t>2,00</t>
        </is>
      </c>
      <c r="K771" s="63" t="inlineStr">
        <is>
          <t>96,82</t>
        </is>
      </c>
      <c r="L771" s="63" t="inlineStr">
        <is>
          <t>0,00</t>
        </is>
      </c>
      <c r="M771" s="63" t="inlineStr">
        <is>
          <t>193,64</t>
        </is>
      </c>
      <c r="N771" s="63" t="inlineStr">
        <is>
          <t>224,62</t>
        </is>
      </c>
      <c r="O771" s="63" t="inlineStr">
        <is>
          <t>263,93</t>
        </is>
      </c>
      <c r="P771" s="63" t="inlineStr">
        <is>
          <t>306,16</t>
        </is>
      </c>
      <c r="Q771" s="63" t="inlineStr">
        <is>
          <t>721,35</t>
        </is>
      </c>
      <c r="R771" s="66" t="n">
        <v>46216</v>
      </c>
      <c r="S771" s="65" t="n">
        <v>412</v>
      </c>
      <c r="T771" s="65" t="inlineStr">
        <is>
          <t>00-00000956</t>
        </is>
      </c>
      <c r="U771" s="63" t="inlineStr">
        <is>
          <t>306,13</t>
        </is>
      </c>
      <c r="V771" s="63" t="inlineStr">
        <is>
          <t>306,16</t>
        </is>
      </c>
    </row>
    <row r="772">
      <c r="A772" s="65" t="n"/>
      <c r="B772" s="65" t="n"/>
      <c r="C772" s="65" t="n"/>
      <c r="D772" s="65" t="n"/>
      <c r="E772" s="65" t="n"/>
      <c r="F772" s="65" t="n"/>
      <c r="G772" s="65" t="n"/>
      <c r="H772" s="65" t="inlineStr">
        <is>
          <t>[0779] SINOCO SAE 20W-50 (1x12)</t>
        </is>
      </c>
      <c r="I772" s="65" t="n">
        <v>779</v>
      </c>
      <c r="J772" s="63" t="inlineStr">
        <is>
          <t>1,00</t>
        </is>
      </c>
      <c r="K772" s="63" t="inlineStr">
        <is>
          <t>70,29</t>
        </is>
      </c>
      <c r="L772" s="63" t="inlineStr">
        <is>
          <t>0,00</t>
        </is>
      </c>
      <c r="M772" s="63" t="inlineStr">
        <is>
          <t>70,29</t>
        </is>
      </c>
      <c r="N772" s="63" t="inlineStr">
        <is>
          <t>81,54</t>
        </is>
      </c>
      <c r="O772" s="65" t="n"/>
      <c r="P772" s="65" t="n"/>
      <c r="Q772" s="65" t="n"/>
      <c r="R772" s="65" t="n"/>
      <c r="S772" s="65" t="n"/>
      <c r="T772" s="65" t="n"/>
      <c r="U772" s="65" t="n"/>
      <c r="V772" s="65" t="n"/>
    </row>
    <row r="773">
      <c r="A773" s="65" t="inlineStr">
        <is>
          <t>S00505</t>
        </is>
      </c>
      <c r="B773" s="62" t="n">
        <v>46177.79356481481</v>
      </c>
      <c r="C773" s="65" t="inlineStr">
        <is>
          <t>Servimecanica Brandao</t>
        </is>
      </c>
      <c r="D773" s="65" t="inlineStr">
        <is>
          <t>MARTINEZ MONTES JEFFREY ENRIQUE</t>
        </is>
      </c>
      <c r="E773" s="65" t="inlineStr">
        <is>
          <t>7 días</t>
        </is>
      </c>
      <c r="F773" s="65" t="n">
        <v>5</v>
      </c>
      <c r="G773" s="65" t="inlineStr">
        <is>
          <t>Pago VES</t>
        </is>
      </c>
      <c r="H773" s="65" t="inlineStr">
        <is>
          <t>[0774] LIGA PARA FRENOS DOT-4 (1X6)</t>
        </is>
      </c>
      <c r="I773" s="65" t="n">
        <v>774</v>
      </c>
      <c r="J773" s="63" t="inlineStr">
        <is>
          <t>1,00</t>
        </is>
      </c>
      <c r="K773" s="63" t="inlineStr">
        <is>
          <t>64,99</t>
        </is>
      </c>
      <c r="L773" s="63" t="inlineStr">
        <is>
          <t>0,00</t>
        </is>
      </c>
      <c r="M773" s="63" t="inlineStr">
        <is>
          <t>64,99</t>
        </is>
      </c>
      <c r="N773" s="63" t="inlineStr">
        <is>
          <t>75,39</t>
        </is>
      </c>
      <c r="O773" s="63" t="inlineStr">
        <is>
          <t>64,99</t>
        </is>
      </c>
      <c r="P773" s="63" t="inlineStr">
        <is>
          <t>75,39</t>
        </is>
      </c>
      <c r="Q773" s="63" t="inlineStr">
        <is>
          <t>721,35</t>
        </is>
      </c>
      <c r="R773" s="66" t="n">
        <v>46216</v>
      </c>
      <c r="S773" s="65" t="n">
        <v>413</v>
      </c>
      <c r="T773" s="65" t="inlineStr">
        <is>
          <t>00-00000957</t>
        </is>
      </c>
      <c r="U773" s="63" t="inlineStr">
        <is>
          <t>75,37</t>
        </is>
      </c>
      <c r="V773" s="63" t="inlineStr">
        <is>
          <t>75,39</t>
        </is>
      </c>
    </row>
    <row r="774">
      <c r="A774" s="65" t="inlineStr">
        <is>
          <t>S00507</t>
        </is>
      </c>
      <c r="B774" s="62" t="n">
        <v>46177.7934375</v>
      </c>
      <c r="C774" s="65" t="inlineStr">
        <is>
          <t>Sandra Katherine Quintero Crespo</t>
        </is>
      </c>
      <c r="D774" s="65" t="inlineStr">
        <is>
          <t>QUEVEDO BASTIDAS NEYKEL DAVID</t>
        </is>
      </c>
      <c r="E774" s="65" t="inlineStr">
        <is>
          <t>21 días</t>
        </is>
      </c>
      <c r="F774" s="65" t="n">
        <v>5</v>
      </c>
      <c r="G774" s="65" t="inlineStr">
        <is>
          <t>Pago VES</t>
        </is>
      </c>
      <c r="H774" s="65" t="inlineStr">
        <is>
          <t>[0887] MOTOCLASICO 4T SAE 20W-50 (1x12)</t>
        </is>
      </c>
      <c r="I774" s="65" t="n">
        <v>887</v>
      </c>
      <c r="J774" s="63" t="inlineStr">
        <is>
          <t>1,00</t>
        </is>
      </c>
      <c r="K774" s="63" t="inlineStr">
        <is>
          <t>90,19</t>
        </is>
      </c>
      <c r="L774" s="63" t="inlineStr">
        <is>
          <t>11,00</t>
        </is>
      </c>
      <c r="M774" s="63" t="inlineStr">
        <is>
          <t>80,27</t>
        </is>
      </c>
      <c r="N774" s="63" t="inlineStr">
        <is>
          <t>93,11</t>
        </is>
      </c>
      <c r="O774" s="63" t="inlineStr">
        <is>
          <t>121,58</t>
        </is>
      </c>
      <c r="P774" s="63" t="inlineStr">
        <is>
          <t>141,03</t>
        </is>
      </c>
      <c r="Q774" s="63" t="inlineStr">
        <is>
          <t>721,35</t>
        </is>
      </c>
      <c r="R774" s="66" t="n">
        <v>46216</v>
      </c>
      <c r="S774" s="65" t="n">
        <v>414</v>
      </c>
      <c r="T774" s="65" t="inlineStr">
        <is>
          <t>00-00000958</t>
        </is>
      </c>
      <c r="U774" s="63" t="inlineStr">
        <is>
          <t>141,02</t>
        </is>
      </c>
      <c r="V774" s="63" t="inlineStr">
        <is>
          <t>141,04</t>
        </is>
      </c>
    </row>
    <row r="775">
      <c r="A775" s="65" t="n"/>
      <c r="B775" s="65" t="n"/>
      <c r="C775" s="65" t="n"/>
      <c r="D775" s="65" t="n"/>
      <c r="E775" s="65" t="n"/>
      <c r="F775" s="65" t="n"/>
      <c r="G775" s="65" t="n"/>
      <c r="H775" s="65" t="inlineStr">
        <is>
          <t>[0093] ALTA CILINDRADA SS API SN SAE 15W-40 (1x6)</t>
        </is>
      </c>
      <c r="I775" s="65" t="n">
        <v>93</v>
      </c>
      <c r="J775" s="63" t="inlineStr">
        <is>
          <t>1,00</t>
        </is>
      </c>
      <c r="K775" s="63" t="inlineStr">
        <is>
          <t>46,42</t>
        </is>
      </c>
      <c r="L775" s="63" t="inlineStr">
        <is>
          <t>11,00</t>
        </is>
      </c>
      <c r="M775" s="63" t="inlineStr">
        <is>
          <t>41,31</t>
        </is>
      </c>
      <c r="N775" s="63" t="inlineStr">
        <is>
          <t>47,92</t>
        </is>
      </c>
      <c r="O775" s="65" t="n"/>
      <c r="P775" s="65" t="n"/>
      <c r="Q775" s="65" t="n"/>
      <c r="R775" s="65" t="n"/>
      <c r="S775" s="65" t="n"/>
      <c r="T775" s="65" t="n"/>
      <c r="U775" s="65" t="n"/>
      <c r="V775" s="65" t="n"/>
    </row>
    <row r="776">
      <c r="A776" s="65" t="inlineStr">
        <is>
          <t>S00501</t>
        </is>
      </c>
      <c r="B776" s="62" t="n">
        <v>46177.65394675926</v>
      </c>
      <c r="C776" s="65" t="inlineStr">
        <is>
          <t>Jefferson rosales</t>
        </is>
      </c>
      <c r="D776" s="65" t="inlineStr">
        <is>
          <t>PEREZ DIAZ ANGEL DE DIOS</t>
        </is>
      </c>
      <c r="E776" s="65" t="inlineStr">
        <is>
          <t>7 días</t>
        </is>
      </c>
      <c r="F776" s="65" t="n">
        <v>5</v>
      </c>
      <c r="G776" s="65" t="inlineStr">
        <is>
          <t>Pago VES</t>
        </is>
      </c>
      <c r="H776" s="65" t="inlineStr">
        <is>
          <t>[1041] SINOCO API CF/SF SAE 15W-40 DIESEL (PAILA)</t>
        </is>
      </c>
      <c r="I776" s="65" t="n">
        <v>1041</v>
      </c>
      <c r="J776" s="63" t="inlineStr">
        <is>
          <t>1,00</t>
        </is>
      </c>
      <c r="K776" s="63" t="inlineStr">
        <is>
          <t>104,77</t>
        </is>
      </c>
      <c r="L776" s="63" t="inlineStr">
        <is>
          <t>0,00</t>
        </is>
      </c>
      <c r="M776" s="63" t="inlineStr">
        <is>
          <t>104,77</t>
        </is>
      </c>
      <c r="N776" s="63" t="inlineStr">
        <is>
          <t>121,53</t>
        </is>
      </c>
      <c r="O776" s="63" t="inlineStr">
        <is>
          <t>104,77</t>
        </is>
      </c>
      <c r="P776" s="63" t="inlineStr">
        <is>
          <t>121,53</t>
        </is>
      </c>
      <c r="Q776" s="63" t="inlineStr">
        <is>
          <t>721,35</t>
        </is>
      </c>
      <c r="R776" s="66" t="n">
        <v>46216</v>
      </c>
      <c r="S776" s="65" t="n">
        <v>415</v>
      </c>
      <c r="T776" s="65" t="inlineStr">
        <is>
          <t>00-00000959</t>
        </is>
      </c>
      <c r="U776" s="63" t="inlineStr">
        <is>
          <t>121,53</t>
        </is>
      </c>
      <c r="V776" s="63" t="inlineStr">
        <is>
          <t>121,53</t>
        </is>
      </c>
    </row>
    <row r="777">
      <c r="A777" s="65" t="inlineStr">
        <is>
          <t>S00503</t>
        </is>
      </c>
      <c r="B777" s="62" t="n">
        <v>46177.65370370371</v>
      </c>
      <c r="C777" s="65" t="inlineStr">
        <is>
          <t>Inversiones maxgad &amp; ef</t>
        </is>
      </c>
      <c r="D777" s="65" t="inlineStr">
        <is>
          <t>PEREZ DIAZ ANGEL DE DIOS</t>
        </is>
      </c>
      <c r="E777" s="65" t="inlineStr">
        <is>
          <t>7 días</t>
        </is>
      </c>
      <c r="F777" s="65" t="n">
        <v>5</v>
      </c>
      <c r="G777" s="65" t="inlineStr">
        <is>
          <t>Pago VES</t>
        </is>
      </c>
      <c r="H777" s="65" t="inlineStr">
        <is>
          <t>[0877] SS EXTRA PROTECCION API SN SAE 15W-40 (1X12)</t>
        </is>
      </c>
      <c r="I777" s="65" t="n">
        <v>877</v>
      </c>
      <c r="J777" s="63" t="inlineStr">
        <is>
          <t>1,00</t>
        </is>
      </c>
      <c r="K777" s="63" t="inlineStr">
        <is>
          <t>100,80</t>
        </is>
      </c>
      <c r="L777" s="63" t="inlineStr">
        <is>
          <t>0,00</t>
        </is>
      </c>
      <c r="M777" s="63" t="inlineStr">
        <is>
          <t>100,80</t>
        </is>
      </c>
      <c r="N777" s="63" t="inlineStr">
        <is>
          <t>116,93</t>
        </is>
      </c>
      <c r="O777" s="63" t="inlineStr">
        <is>
          <t>100,80</t>
        </is>
      </c>
      <c r="P777" s="63" t="inlineStr">
        <is>
          <t>116,93</t>
        </is>
      </c>
      <c r="Q777" s="63" t="inlineStr">
        <is>
          <t>563,29</t>
        </is>
      </c>
      <c r="R777" s="66" t="n">
        <v>46195</v>
      </c>
      <c r="S777" s="65" t="n">
        <v>194</v>
      </c>
      <c r="T777" s="65" t="inlineStr">
        <is>
          <t>00-00000670</t>
        </is>
      </c>
      <c r="U777" s="63" t="inlineStr">
        <is>
          <t>108,98</t>
        </is>
      </c>
      <c r="V777" s="63" t="inlineStr">
        <is>
          <t>7,92</t>
        </is>
      </c>
    </row>
    <row r="778">
      <c r="A778" s="65" t="inlineStr">
        <is>
          <t>S00502</t>
        </is>
      </c>
      <c r="B778" s="62" t="n">
        <v>46177.65351851852</v>
      </c>
      <c r="C778" s="65" t="inlineStr">
        <is>
          <t>GRIMAN DIAZ HECTOR EDUARDO</t>
        </is>
      </c>
      <c r="D778" s="65" t="inlineStr">
        <is>
          <t>VILLABONA CORREA ALBA ESTEFANIA</t>
        </is>
      </c>
      <c r="E778" s="65" t="inlineStr">
        <is>
          <t>7 días</t>
        </is>
      </c>
      <c r="F778" s="65" t="n">
        <v>5</v>
      </c>
      <c r="G778" s="65" t="inlineStr">
        <is>
          <t>Pago VES</t>
        </is>
      </c>
      <c r="H778" s="65" t="inlineStr">
        <is>
          <t>[0878] SS EXTRA PROTECCION API SN SAE 20W-50 (1x12)</t>
        </is>
      </c>
      <c r="I778" s="65" t="n">
        <v>878</v>
      </c>
      <c r="J778" s="63" t="inlineStr">
        <is>
          <t>1,00</t>
        </is>
      </c>
      <c r="K778" s="63" t="inlineStr">
        <is>
          <t>100,80</t>
        </is>
      </c>
      <c r="L778" s="63" t="inlineStr">
        <is>
          <t>0,00</t>
        </is>
      </c>
      <c r="M778" s="63" t="inlineStr">
        <is>
          <t>100,80</t>
        </is>
      </c>
      <c r="N778" s="63" t="inlineStr">
        <is>
          <t>116,93</t>
        </is>
      </c>
      <c r="O778" s="63" t="inlineStr">
        <is>
          <t>100,80</t>
        </is>
      </c>
      <c r="P778" s="63" t="inlineStr">
        <is>
          <t>116,93</t>
        </is>
      </c>
      <c r="Q778" s="63" t="inlineStr">
        <is>
          <t>563,29</t>
        </is>
      </c>
      <c r="R778" s="66" t="n">
        <v>46185</v>
      </c>
      <c r="S778" s="65" t="n">
        <v>171</v>
      </c>
      <c r="T778" s="65" t="inlineStr">
        <is>
          <t>00-00000614</t>
        </is>
      </c>
      <c r="U778" s="63" t="inlineStr">
        <is>
          <t>69,99</t>
        </is>
      </c>
      <c r="V778" s="63" t="inlineStr">
        <is>
          <t>0,00</t>
        </is>
      </c>
    </row>
    <row r="779">
      <c r="A779" s="65" t="inlineStr">
        <is>
          <t>S00497</t>
        </is>
      </c>
      <c r="B779" s="62" t="n">
        <v>46177.5949537037</v>
      </c>
      <c r="C779" s="65" t="inlineStr">
        <is>
          <t>ELECTROMECÁNICA DANPE C.A.</t>
        </is>
      </c>
      <c r="D779" s="65" t="inlineStr">
        <is>
          <t>TORO ARDILES DAVID JOSE</t>
        </is>
      </c>
      <c r="E779" s="65" t="inlineStr">
        <is>
          <t>7 días</t>
        </is>
      </c>
      <c r="F779" s="65" t="n">
        <v>5</v>
      </c>
      <c r="G779" s="65" t="inlineStr">
        <is>
          <t>Pago VES</t>
        </is>
      </c>
      <c r="H779" s="65" t="inlineStr">
        <is>
          <t>[0881] CLASICO API SL SAE 20W-50 (1x12)</t>
        </is>
      </c>
      <c r="I779" s="65" t="n">
        <v>881</v>
      </c>
      <c r="J779" s="63" t="inlineStr">
        <is>
          <t>1,00</t>
        </is>
      </c>
      <c r="K779" s="63" t="inlineStr">
        <is>
          <t>86,21</t>
        </is>
      </c>
      <c r="L779" s="63" t="inlineStr">
        <is>
          <t>0,00</t>
        </is>
      </c>
      <c r="M779" s="63" t="inlineStr">
        <is>
          <t>86,21</t>
        </is>
      </c>
      <c r="N779" s="63" t="inlineStr">
        <is>
          <t>100,00</t>
        </is>
      </c>
      <c r="O779" s="63" t="inlineStr">
        <is>
          <t>318,31</t>
        </is>
      </c>
      <c r="P779" s="63" t="inlineStr">
        <is>
          <t>369,24</t>
        </is>
      </c>
      <c r="Q779" s="63" t="inlineStr">
        <is>
          <t>721,35</t>
        </is>
      </c>
      <c r="R779" s="66" t="n">
        <v>46216</v>
      </c>
      <c r="S779" s="65" t="n">
        <v>416</v>
      </c>
      <c r="T779" s="65" t="inlineStr">
        <is>
          <t>00-00000960</t>
        </is>
      </c>
      <c r="U779" s="63" t="inlineStr">
        <is>
          <t>369,21</t>
        </is>
      </c>
      <c r="V779" s="63" t="inlineStr">
        <is>
          <t>369,24</t>
        </is>
      </c>
    </row>
    <row r="780">
      <c r="A780" s="65" t="n"/>
      <c r="B780" s="65" t="n"/>
      <c r="C780" s="65" t="n"/>
      <c r="D780" s="65" t="n"/>
      <c r="E780" s="65" t="n"/>
      <c r="F780" s="65" t="n"/>
      <c r="G780" s="65" t="n"/>
      <c r="H780" s="65" t="inlineStr">
        <is>
          <t>[0877] SS EXTRA PROTECCION API SN SAE 15W-40 (1X12)</t>
        </is>
      </c>
      <c r="I780" s="65" t="n">
        <v>877</v>
      </c>
      <c r="J780" s="63" t="inlineStr">
        <is>
          <t>1,00</t>
        </is>
      </c>
      <c r="K780" s="63" t="inlineStr">
        <is>
          <t>100,80</t>
        </is>
      </c>
      <c r="L780" s="63" t="inlineStr">
        <is>
          <t>0,00</t>
        </is>
      </c>
      <c r="M780" s="63" t="inlineStr">
        <is>
          <t>100,80</t>
        </is>
      </c>
      <c r="N780" s="63" t="inlineStr">
        <is>
          <t>116,93</t>
        </is>
      </c>
      <c r="O780" s="65" t="n"/>
      <c r="P780" s="65" t="n"/>
      <c r="Q780" s="65" t="n"/>
      <c r="R780" s="65" t="n"/>
      <c r="S780" s="65" t="n"/>
      <c r="T780" s="65" t="n"/>
      <c r="U780" s="65" t="n"/>
      <c r="V780" s="65" t="n"/>
    </row>
    <row r="781">
      <c r="A781" s="65" t="n"/>
      <c r="B781" s="65" t="n"/>
      <c r="C781" s="65" t="n"/>
      <c r="D781" s="65" t="n"/>
      <c r="E781" s="65" t="n"/>
      <c r="F781" s="65" t="n"/>
      <c r="G781" s="65" t="n"/>
      <c r="H781" s="65" t="inlineStr">
        <is>
          <t>[0884] TRANSMATIC ATF DEXRON III (1x12)</t>
        </is>
      </c>
      <c r="I781" s="65" t="n">
        <v>884</v>
      </c>
      <c r="J781" s="63" t="inlineStr">
        <is>
          <t>1,00</t>
        </is>
      </c>
      <c r="K781" s="63" t="inlineStr">
        <is>
          <t>95,49</t>
        </is>
      </c>
      <c r="L781" s="63" t="inlineStr">
        <is>
          <t>0,00</t>
        </is>
      </c>
      <c r="M781" s="63" t="inlineStr">
        <is>
          <t>95,49</t>
        </is>
      </c>
      <c r="N781" s="63" t="inlineStr">
        <is>
          <t>110,77</t>
        </is>
      </c>
      <c r="O781" s="65" t="n"/>
      <c r="P781" s="65" t="n"/>
      <c r="Q781" s="65" t="n"/>
      <c r="R781" s="65" t="n"/>
      <c r="S781" s="65" t="n"/>
      <c r="T781" s="65" t="n"/>
      <c r="U781" s="65" t="n"/>
      <c r="V781" s="65" t="n"/>
    </row>
    <row r="782">
      <c r="A782" s="65" t="n"/>
      <c r="B782" s="65" t="n"/>
      <c r="C782" s="65" t="n"/>
      <c r="D782" s="65" t="n"/>
      <c r="E782" s="65" t="n"/>
      <c r="F782" s="65" t="n"/>
      <c r="G782" s="65" t="n"/>
      <c r="H782" s="65" t="inlineStr">
        <is>
          <t>[0761] LIGA PARA FRENOS DOT-3 (1x12)</t>
        </is>
      </c>
      <c r="I782" s="65" t="n">
        <v>761</v>
      </c>
      <c r="J782" s="63" t="inlineStr">
        <is>
          <t>1,00</t>
        </is>
      </c>
      <c r="K782" s="63" t="inlineStr">
        <is>
          <t>35,81</t>
        </is>
      </c>
      <c r="L782" s="63" t="inlineStr">
        <is>
          <t>0,00</t>
        </is>
      </c>
      <c r="M782" s="63" t="inlineStr">
        <is>
          <t>35,81</t>
        </is>
      </c>
      <c r="N782" s="63" t="inlineStr">
        <is>
          <t>41,54</t>
        </is>
      </c>
      <c r="O782" s="65" t="n"/>
      <c r="P782" s="65" t="n"/>
      <c r="Q782" s="65" t="n"/>
      <c r="R782" s="65" t="n"/>
      <c r="S782" s="65" t="n"/>
      <c r="T782" s="65" t="n"/>
      <c r="U782" s="65" t="n"/>
      <c r="V782" s="65" t="n"/>
    </row>
    <row r="783">
      <c r="A783" s="65" t="inlineStr">
        <is>
          <t>S00499</t>
        </is>
      </c>
      <c r="B783" s="62" t="n">
        <v>46177.59446759259</v>
      </c>
      <c r="C783" s="65" t="inlineStr">
        <is>
          <t>INVERSIONES ARCOSOL 21, C.A.</t>
        </is>
      </c>
      <c r="D783" s="65" t="inlineStr">
        <is>
          <t>VILLABONA CORREA ALBA ESTEFANIA</t>
        </is>
      </c>
      <c r="E783" s="65" t="inlineStr">
        <is>
          <t>7 días</t>
        </is>
      </c>
      <c r="F783" s="65" t="n">
        <v>5</v>
      </c>
      <c r="G783" s="65" t="inlineStr">
        <is>
          <t>Pago VES</t>
        </is>
      </c>
      <c r="H783" s="65" t="inlineStr">
        <is>
          <t>[0779] SINOCO SAE 20W-50 (1x12)</t>
        </is>
      </c>
      <c r="I783" s="65" t="n">
        <v>779</v>
      </c>
      <c r="J783" s="63" t="inlineStr">
        <is>
          <t>2,00</t>
        </is>
      </c>
      <c r="K783" s="63" t="inlineStr">
        <is>
          <t>70,29</t>
        </is>
      </c>
      <c r="L783" s="63" t="inlineStr">
        <is>
          <t>0,00</t>
        </is>
      </c>
      <c r="M783" s="63" t="inlineStr">
        <is>
          <t>140,58</t>
        </is>
      </c>
      <c r="N783" s="63" t="inlineStr">
        <is>
          <t>163,07</t>
        </is>
      </c>
      <c r="O783" s="63" t="inlineStr">
        <is>
          <t>140,58</t>
        </is>
      </c>
      <c r="P783" s="63" t="inlineStr">
        <is>
          <t>163,07</t>
        </is>
      </c>
      <c r="Q783" s="63" t="inlineStr">
        <is>
          <t>563,29</t>
        </is>
      </c>
      <c r="R783" s="66" t="n">
        <v>46185</v>
      </c>
      <c r="S783" s="65" t="n">
        <v>162</v>
      </c>
      <c r="T783" s="65" t="inlineStr">
        <is>
          <t>00-00000605</t>
        </is>
      </c>
      <c r="U783" s="63" t="inlineStr">
        <is>
          <t>150,01</t>
        </is>
      </c>
      <c r="V783" s="63" t="inlineStr">
        <is>
          <t>0,00</t>
        </is>
      </c>
    </row>
    <row r="784">
      <c r="A784" s="65" t="inlineStr">
        <is>
          <t>S00500</t>
        </is>
      </c>
      <c r="B784" s="62" t="n">
        <v>46177.54193287037</v>
      </c>
      <c r="C784" s="65" t="inlineStr">
        <is>
          <t>Gabriel Martinez</t>
        </is>
      </c>
      <c r="D784" s="65" t="inlineStr">
        <is>
          <t>Marco Romero</t>
        </is>
      </c>
      <c r="E784" s="65" t="inlineStr">
        <is>
          <t>7 días</t>
        </is>
      </c>
      <c r="F784" s="65" t="n">
        <v>4</v>
      </c>
      <c r="G784" s="65" t="inlineStr">
        <is>
          <t>Precio Full Abril</t>
        </is>
      </c>
      <c r="H784" s="65" t="inlineStr">
        <is>
          <t>[0881] CLASICO API SL SAE 20W-50 (1x12)</t>
        </is>
      </c>
      <c r="I784" s="65" t="n">
        <v>881</v>
      </c>
      <c r="J784" s="63" t="inlineStr">
        <is>
          <t>6,00</t>
        </is>
      </c>
      <c r="K784" s="63" t="inlineStr">
        <is>
          <t>56,03</t>
        </is>
      </c>
      <c r="L784" s="63" t="inlineStr">
        <is>
          <t>0,00</t>
        </is>
      </c>
      <c r="M784" s="63" t="inlineStr">
        <is>
          <t>336,21</t>
        </is>
      </c>
      <c r="N784" s="63" t="inlineStr">
        <is>
          <t>390,00</t>
        </is>
      </c>
      <c r="O784" s="63" t="inlineStr">
        <is>
          <t>336,21</t>
        </is>
      </c>
      <c r="P784" s="63" t="inlineStr">
        <is>
          <t>390,00</t>
        </is>
      </c>
      <c r="Q784" s="63" t="inlineStr">
        <is>
          <t>560,38</t>
        </is>
      </c>
      <c r="R784" s="66" t="n">
        <v>46177</v>
      </c>
      <c r="S784" s="65" t="n">
        <v>120</v>
      </c>
      <c r="T784" s="65" t="inlineStr">
        <is>
          <t>00-00000509</t>
        </is>
      </c>
      <c r="U784" s="63" t="inlineStr">
        <is>
          <t>389,99</t>
        </is>
      </c>
      <c r="V784" s="63" t="inlineStr">
        <is>
          <t>390,00</t>
        </is>
      </c>
    </row>
    <row r="785">
      <c r="A785" s="65" t="inlineStr">
        <is>
          <t>S00495</t>
        </is>
      </c>
      <c r="B785" s="62" t="n">
        <v>46177.36878472222</v>
      </c>
      <c r="C785" s="65" t="inlineStr">
        <is>
          <t>Automotriz Danale C.A</t>
        </is>
      </c>
      <c r="D785" s="65" t="inlineStr">
        <is>
          <t>QUEVEDO BASTIDAS NEYKEL DAVID</t>
        </is>
      </c>
      <c r="E785" s="65" t="inlineStr">
        <is>
          <t>15 días</t>
        </is>
      </c>
      <c r="F785" s="65" t="n">
        <v>5</v>
      </c>
      <c r="G785" s="65" t="inlineStr">
        <is>
          <t>Pago VES</t>
        </is>
      </c>
      <c r="H785" s="65" t="inlineStr">
        <is>
          <t>[0792] REFRIGERANTE GLOBAL ROJO (1X3)</t>
        </is>
      </c>
      <c r="I785" s="65" t="n">
        <v>792</v>
      </c>
      <c r="J785" s="63" t="inlineStr">
        <is>
          <t>1,00</t>
        </is>
      </c>
      <c r="K785" s="63" t="inlineStr">
        <is>
          <t>34,48</t>
        </is>
      </c>
      <c r="L785" s="63" t="inlineStr">
        <is>
          <t>0,00</t>
        </is>
      </c>
      <c r="M785" s="63" t="inlineStr">
        <is>
          <t>34,48</t>
        </is>
      </c>
      <c r="N785" s="63" t="inlineStr">
        <is>
          <t>40,00</t>
        </is>
      </c>
      <c r="O785" s="63" t="inlineStr">
        <is>
          <t>34,48</t>
        </is>
      </c>
      <c r="P785" s="63" t="inlineStr">
        <is>
          <t>40,00</t>
        </is>
      </c>
      <c r="Q785" s="63" t="inlineStr">
        <is>
          <t>721,35</t>
        </is>
      </c>
      <c r="R785" s="66" t="n">
        <v>46216</v>
      </c>
      <c r="S785" s="65" t="n">
        <v>387</v>
      </c>
      <c r="T785" s="65" t="inlineStr">
        <is>
          <t>00-00000930</t>
        </is>
      </c>
      <c r="U785" s="63" t="inlineStr">
        <is>
          <t>39,99</t>
        </is>
      </c>
      <c r="V785" s="63" t="inlineStr">
        <is>
          <t>40,00</t>
        </is>
      </c>
    </row>
    <row r="786">
      <c r="A786" s="65" t="inlineStr">
        <is>
          <t>S00494</t>
        </is>
      </c>
      <c r="B786" s="62" t="n">
        <v>46176.73537037037</v>
      </c>
      <c r="C786" s="65" t="inlineStr">
        <is>
          <t>Inversiones García GL C.A</t>
        </is>
      </c>
      <c r="D786" s="65" t="inlineStr">
        <is>
          <t>QUEVEDO BASTIDAS NEYKEL DAVID</t>
        </is>
      </c>
      <c r="E786" s="65" t="inlineStr">
        <is>
          <t>21 días</t>
        </is>
      </c>
      <c r="F786" s="65" t="n">
        <v>5</v>
      </c>
      <c r="G786" s="65" t="inlineStr">
        <is>
          <t>Pago VES</t>
        </is>
      </c>
      <c r="H786" s="65" t="inlineStr">
        <is>
          <t>[0881] CLASICO API SL SAE 20W-50 (1x12)</t>
        </is>
      </c>
      <c r="I786" s="65" t="n">
        <v>881</v>
      </c>
      <c r="J786" s="63" t="inlineStr">
        <is>
          <t>1,00</t>
        </is>
      </c>
      <c r="K786" s="63" t="inlineStr">
        <is>
          <t>86,21</t>
        </is>
      </c>
      <c r="L786" s="63" t="inlineStr">
        <is>
          <t>0,00</t>
        </is>
      </c>
      <c r="M786" s="63" t="inlineStr">
        <is>
          <t>86,21</t>
        </is>
      </c>
      <c r="N786" s="63" t="inlineStr">
        <is>
          <t>100,00</t>
        </is>
      </c>
      <c r="O786" s="63" t="inlineStr">
        <is>
          <t>287,81</t>
        </is>
      </c>
      <c r="P786" s="63" t="inlineStr">
        <is>
          <t>333,86</t>
        </is>
      </c>
      <c r="Q786" s="63" t="inlineStr">
        <is>
          <t>721,35</t>
        </is>
      </c>
      <c r="R786" s="66" t="n">
        <v>46216</v>
      </c>
      <c r="S786" s="65" t="n">
        <v>388</v>
      </c>
      <c r="T786" s="65" t="inlineStr">
        <is>
          <t>00-00000931</t>
        </is>
      </c>
      <c r="U786" s="63" t="inlineStr">
        <is>
          <t>333,83</t>
        </is>
      </c>
      <c r="V786" s="63" t="inlineStr">
        <is>
          <t>333,86</t>
        </is>
      </c>
    </row>
    <row r="787">
      <c r="A787" s="65" t="n"/>
      <c r="B787" s="65" t="n"/>
      <c r="C787" s="65" t="n"/>
      <c r="D787" s="65" t="n"/>
      <c r="E787" s="65" t="n"/>
      <c r="F787" s="65" t="n"/>
      <c r="G787" s="65" t="n"/>
      <c r="H787" s="65" t="inlineStr">
        <is>
          <t>[0877] SS EXTRA PROTECCION API SN SAE 15W-40 (1X12)</t>
        </is>
      </c>
      <c r="I787" s="65" t="n">
        <v>877</v>
      </c>
      <c r="J787" s="63" t="inlineStr">
        <is>
          <t>2,00</t>
        </is>
      </c>
      <c r="K787" s="63" t="inlineStr">
        <is>
          <t>100,80</t>
        </is>
      </c>
      <c r="L787" s="63" t="inlineStr">
        <is>
          <t>0,00</t>
        </is>
      </c>
      <c r="M787" s="63" t="inlineStr">
        <is>
          <t>201,60</t>
        </is>
      </c>
      <c r="N787" s="63" t="inlineStr">
        <is>
          <t>233,86</t>
        </is>
      </c>
      <c r="O787" s="65" t="n"/>
      <c r="P787" s="65" t="n"/>
      <c r="Q787" s="65" t="n"/>
      <c r="R787" s="65" t="n"/>
      <c r="S787" s="65" t="n"/>
      <c r="T787" s="65" t="n"/>
      <c r="U787" s="65" t="n"/>
      <c r="V787" s="65" t="n"/>
    </row>
    <row r="788">
      <c r="A788" s="65" t="inlineStr">
        <is>
          <t>S00493</t>
        </is>
      </c>
      <c r="B788" s="62" t="n">
        <v>46176.73520833333</v>
      </c>
      <c r="C788" s="65" t="inlineStr">
        <is>
          <t>Lubristation, C.A.</t>
        </is>
      </c>
      <c r="D788" s="65" t="inlineStr">
        <is>
          <t>QUEVEDO BASTIDAS NEYKEL DAVID</t>
        </is>
      </c>
      <c r="E788" s="65" t="inlineStr">
        <is>
          <t>7 días</t>
        </is>
      </c>
      <c r="F788" s="65" t="n">
        <v>5</v>
      </c>
      <c r="G788" s="65" t="inlineStr">
        <is>
          <t>Pago VES</t>
        </is>
      </c>
      <c r="H788" s="65" t="inlineStr">
        <is>
          <t>[0561] MEJORADOR DE OCTANAJE GLOBAL OIL PACK (1X12)</t>
        </is>
      </c>
      <c r="I788" s="65" t="n">
        <v>561</v>
      </c>
      <c r="J788" s="63" t="inlineStr">
        <is>
          <t>3,00</t>
        </is>
      </c>
      <c r="K788" s="63" t="inlineStr">
        <is>
          <t>51,72</t>
        </is>
      </c>
      <c r="L788" s="63" t="inlineStr">
        <is>
          <t>0,00</t>
        </is>
      </c>
      <c r="M788" s="63" t="inlineStr">
        <is>
          <t>155,16</t>
        </is>
      </c>
      <c r="N788" s="63" t="inlineStr">
        <is>
          <t>179,99</t>
        </is>
      </c>
      <c r="O788" s="63" t="inlineStr">
        <is>
          <t>155,16</t>
        </is>
      </c>
      <c r="P788" s="63" t="inlineStr">
        <is>
          <t>179,99</t>
        </is>
      </c>
      <c r="Q788" s="63" t="inlineStr">
        <is>
          <t>721,35</t>
        </is>
      </c>
      <c r="R788" s="66" t="n">
        <v>46216</v>
      </c>
      <c r="S788" s="65" t="n">
        <v>342</v>
      </c>
      <c r="T788" s="65" t="inlineStr">
        <is>
          <t>00-00000885</t>
        </is>
      </c>
      <c r="U788" s="63" t="inlineStr">
        <is>
          <t>179,97</t>
        </is>
      </c>
      <c r="V788" s="63" t="inlineStr">
        <is>
          <t>179,99</t>
        </is>
      </c>
    </row>
    <row r="789">
      <c r="A789" s="65" t="inlineStr">
        <is>
          <t>S00492</t>
        </is>
      </c>
      <c r="B789" s="62" t="n">
        <v>46176.68086805556</v>
      </c>
      <c r="C789" s="65" t="inlineStr">
        <is>
          <t>Luis Eduardo Piñero Calcurian</t>
        </is>
      </c>
      <c r="D789" s="65" t="inlineStr">
        <is>
          <t>GRIMAN DIAZ HECTOR EDUARDO</t>
        </is>
      </c>
      <c r="E789" s="65" t="inlineStr">
        <is>
          <t>7 días</t>
        </is>
      </c>
      <c r="F789" s="65" t="n">
        <v>5</v>
      </c>
      <c r="G789" s="65" t="inlineStr">
        <is>
          <t>Pago VES</t>
        </is>
      </c>
      <c r="H789" s="65" t="inlineStr">
        <is>
          <t>[0602] SINOCO SAE 50 (PAILA)</t>
        </is>
      </c>
      <c r="I789" s="65" t="n">
        <v>602</v>
      </c>
      <c r="J789" s="63" t="inlineStr">
        <is>
          <t>1,00</t>
        </is>
      </c>
      <c r="K789" s="63" t="inlineStr">
        <is>
          <t>96,82</t>
        </is>
      </c>
      <c r="L789" s="63" t="inlineStr">
        <is>
          <t>0,00</t>
        </is>
      </c>
      <c r="M789" s="63" t="inlineStr">
        <is>
          <t>96,82</t>
        </is>
      </c>
      <c r="N789" s="63" t="inlineStr">
        <is>
          <t>112,31</t>
        </is>
      </c>
      <c r="O789" s="63" t="inlineStr">
        <is>
          <t>96,82</t>
        </is>
      </c>
      <c r="P789" s="63" t="inlineStr">
        <is>
          <t>112,31</t>
        </is>
      </c>
      <c r="Q789" s="63" t="inlineStr">
        <is>
          <t>563,29</t>
        </is>
      </c>
      <c r="R789" s="66" t="n">
        <v>46195</v>
      </c>
      <c r="S789" s="65" t="n">
        <v>196</v>
      </c>
      <c r="T789" s="65" t="inlineStr">
        <is>
          <t>00-00000684</t>
        </is>
      </c>
      <c r="U789" s="63" t="inlineStr">
        <is>
          <t>72,99</t>
        </is>
      </c>
      <c r="V789" s="63" t="inlineStr">
        <is>
          <t>73,00</t>
        </is>
      </c>
    </row>
    <row r="790">
      <c r="A790" s="65" t="inlineStr">
        <is>
          <t>S00490</t>
        </is>
      </c>
      <c r="B790" s="62" t="n">
        <v>46176.66686342593</v>
      </c>
      <c r="C790" s="65" t="inlineStr">
        <is>
          <t>WDH Automotriz 0706, c.a.</t>
        </is>
      </c>
      <c r="D790" s="65" t="inlineStr">
        <is>
          <t>Frank Vasquez</t>
        </is>
      </c>
      <c r="E790" s="65" t="inlineStr">
        <is>
          <t>15 días</t>
        </is>
      </c>
      <c r="F790" s="65" t="n">
        <v>5</v>
      </c>
      <c r="G790" s="65" t="inlineStr">
        <is>
          <t>Pago VES</t>
        </is>
      </c>
      <c r="H790" s="65" t="inlineStr">
        <is>
          <t>[0877] SS EXTRA PROTECCION API SN SAE 15W-40 (1X12)</t>
        </is>
      </c>
      <c r="I790" s="65" t="n">
        <v>877</v>
      </c>
      <c r="J790" s="63" t="inlineStr">
        <is>
          <t>1,00</t>
        </is>
      </c>
      <c r="K790" s="63" t="inlineStr">
        <is>
          <t>100,80</t>
        </is>
      </c>
      <c r="L790" s="63" t="inlineStr">
        <is>
          <t>0,00</t>
        </is>
      </c>
      <c r="M790" s="63" t="inlineStr">
        <is>
          <t>100,80</t>
        </is>
      </c>
      <c r="N790" s="63" t="inlineStr">
        <is>
          <t>116,93</t>
        </is>
      </c>
      <c r="O790" s="63" t="inlineStr">
        <is>
          <t>100,80</t>
        </is>
      </c>
      <c r="P790" s="63" t="inlineStr">
        <is>
          <t>116,93</t>
        </is>
      </c>
      <c r="Q790" s="63" t="inlineStr">
        <is>
          <t>721,35</t>
        </is>
      </c>
      <c r="R790" s="66" t="n">
        <v>46216</v>
      </c>
      <c r="S790" s="65" t="n">
        <v>389</v>
      </c>
      <c r="T790" s="65" t="inlineStr">
        <is>
          <t>00-00000932</t>
        </is>
      </c>
      <c r="U790" s="63" t="inlineStr">
        <is>
          <t>116,92</t>
        </is>
      </c>
      <c r="V790" s="63" t="inlineStr">
        <is>
          <t>116,93</t>
        </is>
      </c>
    </row>
    <row r="791">
      <c r="A791" s="65" t="inlineStr">
        <is>
          <t>S00491</t>
        </is>
      </c>
      <c r="B791" s="62" t="n">
        <v>46176.6521875</v>
      </c>
      <c r="C791" s="65" t="inlineStr">
        <is>
          <t>María Elena Hernández Rangel</t>
        </is>
      </c>
      <c r="D791" s="65" t="inlineStr">
        <is>
          <t>GRIMAN DIAZ HECTOR EDUARDO</t>
        </is>
      </c>
      <c r="E791" s="65" t="inlineStr">
        <is>
          <t>7 días</t>
        </is>
      </c>
      <c r="F791" s="65" t="n">
        <v>5</v>
      </c>
      <c r="G791" s="65" t="inlineStr">
        <is>
          <t>Pago VES</t>
        </is>
      </c>
      <c r="H791" s="65" t="inlineStr">
        <is>
          <t>[0877] SS EXTRA PROTECCION API SN SAE 15W-40 (1X12)</t>
        </is>
      </c>
      <c r="I791" s="65" t="n">
        <v>877</v>
      </c>
      <c r="J791" s="63" t="inlineStr">
        <is>
          <t>2,00</t>
        </is>
      </c>
      <c r="K791" s="63" t="inlineStr">
        <is>
          <t>100,80</t>
        </is>
      </c>
      <c r="L791" s="63" t="inlineStr">
        <is>
          <t>0,00</t>
        </is>
      </c>
      <c r="M791" s="63" t="inlineStr">
        <is>
          <t>201,60</t>
        </is>
      </c>
      <c r="N791" s="63" t="inlineStr">
        <is>
          <t>233,86</t>
        </is>
      </c>
      <c r="O791" s="63" t="inlineStr">
        <is>
          <t>628,67</t>
        </is>
      </c>
      <c r="P791" s="63" t="inlineStr">
        <is>
          <t>729,26</t>
        </is>
      </c>
      <c r="Q791" s="63" t="inlineStr">
        <is>
          <t>721,35</t>
        </is>
      </c>
      <c r="R791" s="66" t="n">
        <v>46216</v>
      </c>
      <c r="S791" s="65" t="n">
        <v>390</v>
      </c>
      <c r="T791" s="65" t="inlineStr">
        <is>
          <t>00-00000933</t>
        </is>
      </c>
      <c r="U791" s="63" t="inlineStr">
        <is>
          <t>729,23</t>
        </is>
      </c>
      <c r="V791" s="63" t="inlineStr">
        <is>
          <t>729,26</t>
        </is>
      </c>
    </row>
    <row r="792">
      <c r="A792" s="65" t="n"/>
      <c r="B792" s="65" t="n"/>
      <c r="C792" s="65" t="n"/>
      <c r="D792" s="65" t="n"/>
      <c r="E792" s="65" t="n"/>
      <c r="F792" s="65" t="n"/>
      <c r="G792" s="65" t="n"/>
      <c r="H792" s="65" t="inlineStr">
        <is>
          <t>[0878] SS EXTRA PROTECCION API SN SAE 20W-50 (1x12)</t>
        </is>
      </c>
      <c r="I792" s="65" t="n">
        <v>878</v>
      </c>
      <c r="J792" s="63" t="inlineStr">
        <is>
          <t>1,00</t>
        </is>
      </c>
      <c r="K792" s="63" t="inlineStr">
        <is>
          <t>100,80</t>
        </is>
      </c>
      <c r="L792" s="63" t="inlineStr">
        <is>
          <t>0,00</t>
        </is>
      </c>
      <c r="M792" s="63" t="inlineStr">
        <is>
          <t>100,80</t>
        </is>
      </c>
      <c r="N792" s="63" t="inlineStr">
        <is>
          <t>116,93</t>
        </is>
      </c>
      <c r="O792" s="65" t="n"/>
      <c r="P792" s="65" t="n"/>
      <c r="Q792" s="65" t="n"/>
      <c r="R792" s="65" t="n"/>
      <c r="S792" s="65" t="n"/>
      <c r="T792" s="65" t="n"/>
      <c r="U792" s="65" t="n"/>
      <c r="V792" s="65" t="n"/>
    </row>
    <row r="793">
      <c r="A793" s="65" t="n"/>
      <c r="B793" s="65" t="n"/>
      <c r="C793" s="65" t="n"/>
      <c r="D793" s="65" t="n"/>
      <c r="E793" s="65" t="n"/>
      <c r="F793" s="65" t="n"/>
      <c r="G793" s="65" t="n"/>
      <c r="H793" s="65" t="inlineStr">
        <is>
          <t>[0602] SINOCO SAE 50 (PAILA)</t>
        </is>
      </c>
      <c r="I793" s="65" t="n">
        <v>602</v>
      </c>
      <c r="J793" s="63" t="inlineStr">
        <is>
          <t>3,00</t>
        </is>
      </c>
      <c r="K793" s="63" t="inlineStr">
        <is>
          <t>96,82</t>
        </is>
      </c>
      <c r="L793" s="63" t="inlineStr">
        <is>
          <t>0,00</t>
        </is>
      </c>
      <c r="M793" s="63" t="inlineStr">
        <is>
          <t>290,46</t>
        </is>
      </c>
      <c r="N793" s="63" t="inlineStr">
        <is>
          <t>336,93</t>
        </is>
      </c>
      <c r="O793" s="65" t="n"/>
      <c r="P793" s="65" t="n"/>
      <c r="Q793" s="65" t="n"/>
      <c r="R793" s="65" t="n"/>
      <c r="S793" s="65" t="n"/>
      <c r="T793" s="65" t="n"/>
      <c r="U793" s="65" t="n"/>
      <c r="V793" s="65" t="n"/>
    </row>
    <row r="794">
      <c r="A794" s="65" t="n"/>
      <c r="B794" s="65" t="n"/>
      <c r="C794" s="65" t="n"/>
      <c r="D794" s="65" t="n"/>
      <c r="E794" s="65" t="n"/>
      <c r="F794" s="65" t="n"/>
      <c r="G794" s="65" t="n"/>
      <c r="H794" s="65" t="inlineStr">
        <is>
          <t>[0761] LIGA PARA FRENOS DOT-3 (1x12)</t>
        </is>
      </c>
      <c r="I794" s="65" t="n">
        <v>761</v>
      </c>
      <c r="J794" s="63" t="inlineStr">
        <is>
          <t>1,00</t>
        </is>
      </c>
      <c r="K794" s="63" t="inlineStr">
        <is>
          <t>35,81</t>
        </is>
      </c>
      <c r="L794" s="63" t="inlineStr">
        <is>
          <t>0,00</t>
        </is>
      </c>
      <c r="M794" s="63" t="inlineStr">
        <is>
          <t>35,81</t>
        </is>
      </c>
      <c r="N794" s="63" t="inlineStr">
        <is>
          <t>41,54</t>
        </is>
      </c>
      <c r="O794" s="65" t="n"/>
      <c r="P794" s="65" t="n"/>
      <c r="Q794" s="65" t="n"/>
      <c r="R794" s="65" t="n"/>
      <c r="S794" s="65" t="n"/>
      <c r="T794" s="65" t="n"/>
      <c r="U794" s="65" t="n"/>
      <c r="V794" s="65" t="n"/>
    </row>
    <row r="795">
      <c r="A795" s="65" t="inlineStr">
        <is>
          <t>S00489</t>
        </is>
      </c>
      <c r="B795" s="62" t="n">
        <v>46176.64409722222</v>
      </c>
      <c r="C795" s="65" t="inlineStr">
        <is>
          <t>Cauchera El Gordo 0410,c.a.</t>
        </is>
      </c>
      <c r="D795" s="65" t="inlineStr">
        <is>
          <t>Frank Vasquez</t>
        </is>
      </c>
      <c r="E795" s="65" t="inlineStr">
        <is>
          <t>7 días</t>
        </is>
      </c>
      <c r="F795" s="65" t="n">
        <v>5</v>
      </c>
      <c r="G795" s="65" t="inlineStr">
        <is>
          <t>Pago VES</t>
        </is>
      </c>
      <c r="H795" s="65" t="inlineStr">
        <is>
          <t>[0881] CLASICO API SL SAE 20W-50 (1x12)</t>
        </is>
      </c>
      <c r="I795" s="65" t="n">
        <v>881</v>
      </c>
      <c r="J795" s="63" t="inlineStr">
        <is>
          <t>1,00</t>
        </is>
      </c>
      <c r="K795" s="63" t="inlineStr">
        <is>
          <t>86,21</t>
        </is>
      </c>
      <c r="L795" s="63" t="inlineStr">
        <is>
          <t>0,00</t>
        </is>
      </c>
      <c r="M795" s="63" t="inlineStr">
        <is>
          <t>86,21</t>
        </is>
      </c>
      <c r="N795" s="63" t="inlineStr">
        <is>
          <t>100,00</t>
        </is>
      </c>
      <c r="O795" s="63" t="inlineStr">
        <is>
          <t>383,30</t>
        </is>
      </c>
      <c r="P795" s="63" t="inlineStr">
        <is>
          <t>444,63</t>
        </is>
      </c>
      <c r="Q795" s="63" t="inlineStr">
        <is>
          <t>563,29</t>
        </is>
      </c>
      <c r="R795" s="66" t="n">
        <v>46190</v>
      </c>
      <c r="S795" s="65" t="n">
        <v>181</v>
      </c>
      <c r="T795" s="65" t="inlineStr">
        <is>
          <t>00-00000642</t>
        </is>
      </c>
      <c r="U795" s="63" t="inlineStr">
        <is>
          <t>471,03</t>
        </is>
      </c>
      <c r="V795" s="63" t="inlineStr">
        <is>
          <t>26,45</t>
        </is>
      </c>
    </row>
    <row r="796">
      <c r="A796" s="65" t="n"/>
      <c r="B796" s="65" t="n"/>
      <c r="C796" s="65" t="n"/>
      <c r="D796" s="65" t="n"/>
      <c r="E796" s="65" t="n"/>
      <c r="F796" s="65" t="n"/>
      <c r="G796" s="65" t="n"/>
      <c r="H796" s="65" t="inlineStr">
        <is>
          <t>[0887] MOTOCLASICO 4T SAE 20W-50 (1x12)</t>
        </is>
      </c>
      <c r="I796" s="65" t="n">
        <v>887</v>
      </c>
      <c r="J796" s="63" t="inlineStr">
        <is>
          <t>1,00</t>
        </is>
      </c>
      <c r="K796" s="63" t="inlineStr">
        <is>
          <t>90,19</t>
        </is>
      </c>
      <c r="L796" s="63" t="inlineStr">
        <is>
          <t>0,00</t>
        </is>
      </c>
      <c r="M796" s="63" t="inlineStr">
        <is>
          <t>90,19</t>
        </is>
      </c>
      <c r="N796" s="63" t="inlineStr">
        <is>
          <t>104,62</t>
        </is>
      </c>
      <c r="O796" s="65" t="n"/>
      <c r="P796" s="65" t="n"/>
      <c r="Q796" s="65" t="n"/>
      <c r="R796" s="65" t="n"/>
      <c r="S796" s="65" t="n"/>
      <c r="T796" s="65" t="n"/>
      <c r="U796" s="65" t="n"/>
      <c r="V796" s="65" t="n"/>
    </row>
    <row r="797">
      <c r="A797" s="65" t="n"/>
      <c r="B797" s="65" t="n"/>
      <c r="C797" s="65" t="n"/>
      <c r="D797" s="65" t="n"/>
      <c r="E797" s="65" t="n"/>
      <c r="F797" s="65" t="n"/>
      <c r="G797" s="65" t="n"/>
      <c r="H797" s="65" t="inlineStr">
        <is>
          <t>[0877] SS EXTRA PROTECCION API SN SAE 15W-40 (1X12)</t>
        </is>
      </c>
      <c r="I797" s="65" t="n">
        <v>877</v>
      </c>
      <c r="J797" s="63" t="inlineStr">
        <is>
          <t>1,00</t>
        </is>
      </c>
      <c r="K797" s="63" t="inlineStr">
        <is>
          <t>100,80</t>
        </is>
      </c>
      <c r="L797" s="63" t="inlineStr">
        <is>
          <t>0,00</t>
        </is>
      </c>
      <c r="M797" s="63" t="inlineStr">
        <is>
          <t>100,80</t>
        </is>
      </c>
      <c r="N797" s="63" t="inlineStr">
        <is>
          <t>116,93</t>
        </is>
      </c>
      <c r="O797" s="65" t="n"/>
      <c r="P797" s="65" t="n"/>
      <c r="Q797" s="65" t="n"/>
      <c r="R797" s="65" t="n"/>
      <c r="S797" s="65" t="n"/>
      <c r="T797" s="65" t="n"/>
      <c r="U797" s="65" t="n"/>
      <c r="V797" s="65" t="n"/>
    </row>
    <row r="798">
      <c r="A798" s="65" t="n"/>
      <c r="B798" s="65" t="n"/>
      <c r="C798" s="65" t="n"/>
      <c r="D798" s="65" t="n"/>
      <c r="E798" s="65" t="n"/>
      <c r="F798" s="65" t="n"/>
      <c r="G798" s="65" t="n"/>
      <c r="H798" s="65" t="inlineStr">
        <is>
          <t>[0779] SINOCO SAE 20W-50 (1x12)</t>
        </is>
      </c>
      <c r="I798" s="65" t="n">
        <v>779</v>
      </c>
      <c r="J798" s="63" t="inlineStr">
        <is>
          <t>1,00</t>
        </is>
      </c>
      <c r="K798" s="63" t="inlineStr">
        <is>
          <t>70,29</t>
        </is>
      </c>
      <c r="L798" s="63" t="inlineStr">
        <is>
          <t>0,00</t>
        </is>
      </c>
      <c r="M798" s="63" t="inlineStr">
        <is>
          <t>70,29</t>
        </is>
      </c>
      <c r="N798" s="63" t="inlineStr">
        <is>
          <t>81,54</t>
        </is>
      </c>
      <c r="O798" s="65" t="n"/>
      <c r="P798" s="65" t="n"/>
      <c r="Q798" s="65" t="n"/>
      <c r="R798" s="65" t="n"/>
      <c r="S798" s="65" t="n"/>
      <c r="T798" s="65" t="n"/>
      <c r="U798" s="65" t="n"/>
      <c r="V798" s="65" t="n"/>
    </row>
    <row r="799">
      <c r="A799" s="65" t="n"/>
      <c r="B799" s="65" t="n"/>
      <c r="C799" s="65" t="n"/>
      <c r="D799" s="65" t="n"/>
      <c r="E799" s="65" t="n"/>
      <c r="F799" s="65" t="n"/>
      <c r="G799" s="65" t="n"/>
      <c r="H799" s="65" t="inlineStr">
        <is>
          <t>[0761] LIGA PARA FRENOS DOT-3 (1x12)</t>
        </is>
      </c>
      <c r="I799" s="65" t="n">
        <v>761</v>
      </c>
      <c r="J799" s="63" t="inlineStr">
        <is>
          <t>1,00</t>
        </is>
      </c>
      <c r="K799" s="63" t="inlineStr">
        <is>
          <t>35,81</t>
        </is>
      </c>
      <c r="L799" s="63" t="inlineStr">
        <is>
          <t>0,00</t>
        </is>
      </c>
      <c r="M799" s="63" t="inlineStr">
        <is>
          <t>35,81</t>
        </is>
      </c>
      <c r="N799" s="63" t="inlineStr">
        <is>
          <t>41,54</t>
        </is>
      </c>
      <c r="O799" s="65" t="n"/>
      <c r="P799" s="65" t="n"/>
      <c r="Q799" s="65" t="n"/>
      <c r="R799" s="65" t="n"/>
      <c r="S799" s="65" t="n"/>
      <c r="T799" s="65" t="n"/>
      <c r="U799" s="65" t="n"/>
      <c r="V799" s="65" t="n"/>
    </row>
    <row r="800">
      <c r="A800" s="65" t="inlineStr">
        <is>
          <t>S00488</t>
        </is>
      </c>
      <c r="B800" s="62" t="n">
        <v>46176.64372685185</v>
      </c>
      <c r="C800" s="65" t="inlineStr">
        <is>
          <t>INVERSIONES IRETE SUKA, C.A</t>
        </is>
      </c>
      <c r="D800" s="65" t="inlineStr">
        <is>
          <t>VILLABONA CORREA ALBA ESTEFANIA</t>
        </is>
      </c>
      <c r="E800" s="65" t="inlineStr">
        <is>
          <t>7 días</t>
        </is>
      </c>
      <c r="F800" s="65" t="n">
        <v>5</v>
      </c>
      <c r="G800" s="65" t="inlineStr">
        <is>
          <t>Pago VES</t>
        </is>
      </c>
      <c r="H800" s="65" t="inlineStr">
        <is>
          <t>[0779] SINOCO SAE 20W-50 (1x12)</t>
        </is>
      </c>
      <c r="I800" s="65" t="n">
        <v>779</v>
      </c>
      <c r="J800" s="63" t="inlineStr">
        <is>
          <t>1,00</t>
        </is>
      </c>
      <c r="K800" s="63" t="inlineStr">
        <is>
          <t>70,29</t>
        </is>
      </c>
      <c r="L800" s="63" t="inlineStr">
        <is>
          <t>0,00</t>
        </is>
      </c>
      <c r="M800" s="63" t="inlineStr">
        <is>
          <t>70,29</t>
        </is>
      </c>
      <c r="N800" s="63" t="inlineStr">
        <is>
          <t>81,54</t>
        </is>
      </c>
      <c r="O800" s="63" t="inlineStr">
        <is>
          <t>257,30</t>
        </is>
      </c>
      <c r="P800" s="63" t="inlineStr">
        <is>
          <t>298,47</t>
        </is>
      </c>
      <c r="Q800" s="63" t="inlineStr">
        <is>
          <t>721,35</t>
        </is>
      </c>
      <c r="R800" s="66" t="n">
        <v>46216</v>
      </c>
      <c r="S800" s="65" t="n">
        <v>391</v>
      </c>
      <c r="T800" s="65" t="inlineStr">
        <is>
          <t>00-00000934</t>
        </is>
      </c>
      <c r="U800" s="63" t="inlineStr">
        <is>
          <t>298,44</t>
        </is>
      </c>
      <c r="V800" s="63" t="inlineStr">
        <is>
          <t>298,47</t>
        </is>
      </c>
    </row>
    <row r="801">
      <c r="A801" s="65" t="n"/>
      <c r="B801" s="65" t="n"/>
      <c r="C801" s="65" t="n"/>
      <c r="D801" s="65" t="n"/>
      <c r="E801" s="65" t="n"/>
      <c r="F801" s="65" t="n"/>
      <c r="G801" s="65" t="n"/>
      <c r="H801" s="65" t="inlineStr">
        <is>
          <t>[0887] MOTOCLASICO 4T SAE 20W-50 (1x12)</t>
        </is>
      </c>
      <c r="I801" s="65" t="n">
        <v>887</v>
      </c>
      <c r="J801" s="63" t="inlineStr">
        <is>
          <t>1,00</t>
        </is>
      </c>
      <c r="K801" s="63" t="inlineStr">
        <is>
          <t>90,19</t>
        </is>
      </c>
      <c r="L801" s="63" t="inlineStr">
        <is>
          <t>0,00</t>
        </is>
      </c>
      <c r="M801" s="63" t="inlineStr">
        <is>
          <t>90,19</t>
        </is>
      </c>
      <c r="N801" s="63" t="inlineStr">
        <is>
          <t>104,62</t>
        </is>
      </c>
      <c r="O801" s="65" t="n"/>
      <c r="P801" s="65" t="n"/>
      <c r="Q801" s="65" t="n"/>
      <c r="R801" s="65" t="n"/>
      <c r="S801" s="65" t="n"/>
      <c r="T801" s="65" t="n"/>
      <c r="U801" s="65" t="n"/>
      <c r="V801" s="65" t="n"/>
    </row>
    <row r="802">
      <c r="A802" s="65" t="n"/>
      <c r="B802" s="65" t="n"/>
      <c r="C802" s="65" t="n"/>
      <c r="D802" s="65" t="n"/>
      <c r="E802" s="65" t="n"/>
      <c r="F802" s="65" t="n"/>
      <c r="G802" s="65" t="n"/>
      <c r="H802" s="65" t="inlineStr">
        <is>
          <t>[0605] SINOCO SAE 20W-50 (PAILA)</t>
        </is>
      </c>
      <c r="I802" s="65" t="n">
        <v>605</v>
      </c>
      <c r="J802" s="63" t="inlineStr">
        <is>
          <t>1,00</t>
        </is>
      </c>
      <c r="K802" s="63" t="inlineStr">
        <is>
          <t>96,82</t>
        </is>
      </c>
      <c r="L802" s="63" t="inlineStr">
        <is>
          <t>0,00</t>
        </is>
      </c>
      <c r="M802" s="63" t="inlineStr">
        <is>
          <t>96,82</t>
        </is>
      </c>
      <c r="N802" s="63" t="inlineStr">
        <is>
          <t>112,31</t>
        </is>
      </c>
      <c r="O802" s="65" t="n"/>
      <c r="P802" s="65" t="n"/>
      <c r="Q802" s="65" t="n"/>
      <c r="R802" s="65" t="n"/>
      <c r="S802" s="65" t="n"/>
      <c r="T802" s="65" t="n"/>
      <c r="U802" s="65" t="n"/>
      <c r="V802" s="65" t="n"/>
    </row>
    <row r="803">
      <c r="A803" s="65" t="inlineStr">
        <is>
          <t>S00486</t>
        </is>
      </c>
      <c r="B803" s="62" t="n">
        <v>46176.48059027778</v>
      </c>
      <c r="C803" s="65" t="inlineStr">
        <is>
          <t>Automotriz Danale C.A</t>
        </is>
      </c>
      <c r="D803" s="65" t="inlineStr">
        <is>
          <t>QUEVEDO BASTIDAS NEYKEL DAVID</t>
        </is>
      </c>
      <c r="E803" s="65" t="inlineStr">
        <is>
          <t>15 días</t>
        </is>
      </c>
      <c r="F803" s="65" t="n">
        <v>5</v>
      </c>
      <c r="G803" s="65" t="inlineStr">
        <is>
          <t>Pago VES</t>
        </is>
      </c>
      <c r="H803" s="65" t="inlineStr">
        <is>
          <t>[0877] SS EXTRA PROTECCION API SN SAE 15W-40 (1X12)</t>
        </is>
      </c>
      <c r="I803" s="65" t="n">
        <v>877</v>
      </c>
      <c r="J803" s="63" t="inlineStr">
        <is>
          <t>1,00</t>
        </is>
      </c>
      <c r="K803" s="63" t="inlineStr">
        <is>
          <t>100,80</t>
        </is>
      </c>
      <c r="L803" s="63" t="inlineStr">
        <is>
          <t>0,00</t>
        </is>
      </c>
      <c r="M803" s="63" t="inlineStr">
        <is>
          <t>100,80</t>
        </is>
      </c>
      <c r="N803" s="63" t="inlineStr">
        <is>
          <t>116,93</t>
        </is>
      </c>
      <c r="O803" s="63" t="inlineStr">
        <is>
          <t>100,80</t>
        </is>
      </c>
      <c r="P803" s="63" t="inlineStr">
        <is>
          <t>116,93</t>
        </is>
      </c>
      <c r="Q803" s="63" t="inlineStr">
        <is>
          <t>721,35</t>
        </is>
      </c>
      <c r="R803" s="66" t="n">
        <v>46216</v>
      </c>
      <c r="S803" s="65" t="n">
        <v>392</v>
      </c>
      <c r="T803" s="65" t="inlineStr">
        <is>
          <t>00-00000935</t>
        </is>
      </c>
      <c r="U803" s="63" t="inlineStr">
        <is>
          <t>116,92</t>
        </is>
      </c>
      <c r="V803" s="63" t="inlineStr">
        <is>
          <t>116,93</t>
        </is>
      </c>
    </row>
    <row r="804">
      <c r="A804" s="65" t="inlineStr">
        <is>
          <t>S00470</t>
        </is>
      </c>
      <c r="B804" s="62" t="n">
        <v>46176.45262731481</v>
      </c>
      <c r="C804" s="65" t="inlineStr">
        <is>
          <t>Luis Zambrano</t>
        </is>
      </c>
      <c r="D804" s="65" t="inlineStr">
        <is>
          <t>Raúl David</t>
        </is>
      </c>
      <c r="E804" s="65" t="inlineStr">
        <is>
          <t>7 días</t>
        </is>
      </c>
      <c r="F804" s="65" t="n">
        <v>5</v>
      </c>
      <c r="G804" s="65" t="inlineStr">
        <is>
          <t>Pago VES</t>
        </is>
      </c>
      <c r="H804" s="65" t="inlineStr">
        <is>
          <t>[0797] REFRIGERANTE GLOBAL ORANGE PREMIUM 50-50 CONCENTRADO (Tambor)</t>
        </is>
      </c>
      <c r="I804" s="65" t="n">
        <v>797</v>
      </c>
      <c r="J804" s="63" t="inlineStr">
        <is>
          <t>1,00</t>
        </is>
      </c>
      <c r="K804" s="63" t="inlineStr">
        <is>
          <t>856,76</t>
        </is>
      </c>
      <c r="L804" s="63" t="inlineStr">
        <is>
          <t>0,00</t>
        </is>
      </c>
      <c r="M804" s="63" t="inlineStr">
        <is>
          <t>856,76</t>
        </is>
      </c>
      <c r="N804" s="63" t="inlineStr">
        <is>
          <t>993,84</t>
        </is>
      </c>
      <c r="O804" s="63" t="inlineStr">
        <is>
          <t>856,76</t>
        </is>
      </c>
      <c r="P804" s="63" t="inlineStr">
        <is>
          <t>993,84</t>
        </is>
      </c>
      <c r="Q804" s="63" t="inlineStr">
        <is>
          <t>563,29</t>
        </is>
      </c>
      <c r="R804" s="66" t="n">
        <v>46190</v>
      </c>
      <c r="S804" s="65" t="n">
        <v>187</v>
      </c>
      <c r="T804" s="65" t="inlineStr">
        <is>
          <t>00-00000649</t>
        </is>
      </c>
      <c r="U804" s="63" t="inlineStr">
        <is>
          <t>884,98</t>
        </is>
      </c>
      <c r="V804" s="63" t="inlineStr">
        <is>
          <t>884,99</t>
        </is>
      </c>
    </row>
    <row r="805">
      <c r="A805" s="65" t="inlineStr">
        <is>
          <t>S00485</t>
        </is>
      </c>
      <c r="B805" s="62" t="n">
        <v>46175.74917824074</v>
      </c>
      <c r="C805" s="65" t="inlineStr">
        <is>
          <t>Industrias Arasia, c.a.</t>
        </is>
      </c>
      <c r="D805" s="65" t="inlineStr">
        <is>
          <t>CASERES GONZALEZ RONALD OSWALDO</t>
        </is>
      </c>
      <c r="E805" s="65" t="inlineStr">
        <is>
          <t>7 días</t>
        </is>
      </c>
      <c r="F805" s="65" t="n">
        <v>5</v>
      </c>
      <c r="G805" s="65" t="inlineStr">
        <is>
          <t>Pago VES</t>
        </is>
      </c>
      <c r="H805" s="65" t="inlineStr">
        <is>
          <t>[0877] SS EXTRA PROTECCION API SN SAE 15W-40 (1X12)</t>
        </is>
      </c>
      <c r="I805" s="65" t="n">
        <v>877</v>
      </c>
      <c r="J805" s="63" t="inlineStr">
        <is>
          <t>1,00</t>
        </is>
      </c>
      <c r="K805" s="63" t="inlineStr">
        <is>
          <t>100,80</t>
        </is>
      </c>
      <c r="L805" s="63" t="inlineStr">
        <is>
          <t>0,00</t>
        </is>
      </c>
      <c r="M805" s="63" t="inlineStr">
        <is>
          <t>100,80</t>
        </is>
      </c>
      <c r="N805" s="63" t="inlineStr">
        <is>
          <t>116,93</t>
        </is>
      </c>
      <c r="O805" s="63" t="inlineStr">
        <is>
          <t>100,80</t>
        </is>
      </c>
      <c r="P805" s="63" t="inlineStr">
        <is>
          <t>116,93</t>
        </is>
      </c>
      <c r="Q805" s="63" t="inlineStr">
        <is>
          <t>721,35</t>
        </is>
      </c>
      <c r="R805" s="66" t="n">
        <v>46216</v>
      </c>
      <c r="S805" s="65" t="n">
        <v>393</v>
      </c>
      <c r="T805" s="65" t="inlineStr">
        <is>
          <t>00-00000936</t>
        </is>
      </c>
      <c r="U805" s="63" t="inlineStr">
        <is>
          <t>116,92</t>
        </is>
      </c>
      <c r="V805" s="63" t="inlineStr">
        <is>
          <t>116,93</t>
        </is>
      </c>
    </row>
    <row r="806">
      <c r="A806" s="65" t="inlineStr">
        <is>
          <t>S00483</t>
        </is>
      </c>
      <c r="B806" s="62" t="n">
        <v>46175.73912037037</v>
      </c>
      <c r="C806" s="65" t="inlineStr">
        <is>
          <t>Power Sport Servicios El Hatillo, C.A</t>
        </is>
      </c>
      <c r="D806" s="65" t="inlineStr">
        <is>
          <t>QUEVEDO BASTIDAS NEYKEL DAVID</t>
        </is>
      </c>
      <c r="E806" s="65" t="inlineStr">
        <is>
          <t>15 días</t>
        </is>
      </c>
      <c r="F806" s="65" t="n">
        <v>5</v>
      </c>
      <c r="G806" s="65" t="inlineStr">
        <is>
          <t>Pago VES</t>
        </is>
      </c>
      <c r="H806" s="65" t="inlineStr">
        <is>
          <t>[0878] SS EXTRA PROTECCION API SN SAE 20W-50 (1x12)</t>
        </is>
      </c>
      <c r="I806" s="65" t="n">
        <v>878</v>
      </c>
      <c r="J806" s="63" t="inlineStr">
        <is>
          <t>2,00</t>
        </is>
      </c>
      <c r="K806" s="63" t="inlineStr">
        <is>
          <t>100,80</t>
        </is>
      </c>
      <c r="L806" s="63" t="inlineStr">
        <is>
          <t>0,00</t>
        </is>
      </c>
      <c r="M806" s="63" t="inlineStr">
        <is>
          <t>201,60</t>
        </is>
      </c>
      <c r="N806" s="63" t="inlineStr">
        <is>
          <t>233,86</t>
        </is>
      </c>
      <c r="O806" s="63" t="inlineStr">
        <is>
          <t>201,60</t>
        </is>
      </c>
      <c r="P806" s="63" t="inlineStr">
        <is>
          <t>233,86</t>
        </is>
      </c>
      <c r="Q806" s="63" t="inlineStr">
        <is>
          <t>721,35</t>
        </is>
      </c>
      <c r="R806" s="66" t="n">
        <v>46216</v>
      </c>
      <c r="S806" s="65" t="n">
        <v>394</v>
      </c>
      <c r="T806" s="65" t="inlineStr">
        <is>
          <t>00-00000937</t>
        </is>
      </c>
      <c r="U806" s="63" t="inlineStr">
        <is>
          <t>233,84</t>
        </is>
      </c>
      <c r="V806" s="63" t="inlineStr">
        <is>
          <t>233,86</t>
        </is>
      </c>
    </row>
    <row r="807">
      <c r="A807" s="65" t="inlineStr">
        <is>
          <t>S00484</t>
        </is>
      </c>
      <c r="B807" s="62" t="n">
        <v>46175.73885416667</v>
      </c>
      <c r="C807" s="65" t="inlineStr">
        <is>
          <t>MAXIAIRE ELECTROMOTRIZ, C.A</t>
        </is>
      </c>
      <c r="D807" s="65" t="inlineStr">
        <is>
          <t>QUEVEDO BASTIDAS NEYKEL DAVID</t>
        </is>
      </c>
      <c r="E807" s="65" t="inlineStr">
        <is>
          <t>21 días</t>
        </is>
      </c>
      <c r="F807" s="65" t="n">
        <v>5</v>
      </c>
      <c r="G807" s="65" t="inlineStr">
        <is>
          <t>Pago VES</t>
        </is>
      </c>
      <c r="H807" s="65" t="inlineStr">
        <is>
          <t>[0025] SS EXTRA PROTECCION API SN SAE 10W-30 (Gasolina) (1x6)</t>
        </is>
      </c>
      <c r="I807" s="65" t="n">
        <v>25</v>
      </c>
      <c r="J807" s="63" t="inlineStr">
        <is>
          <t>6,00</t>
        </is>
      </c>
      <c r="K807" s="63" t="inlineStr">
        <is>
          <t>50,40</t>
        </is>
      </c>
      <c r="L807" s="63" t="inlineStr">
        <is>
          <t>0,00</t>
        </is>
      </c>
      <c r="M807" s="63" t="inlineStr">
        <is>
          <t>302,40</t>
        </is>
      </c>
      <c r="N807" s="63" t="inlineStr">
        <is>
          <t>350,78</t>
        </is>
      </c>
      <c r="O807" s="63" t="inlineStr">
        <is>
          <t>302,40</t>
        </is>
      </c>
      <c r="P807" s="63" t="inlineStr">
        <is>
          <t>350,78</t>
        </is>
      </c>
      <c r="Q807" s="65" t="n"/>
      <c r="R807" s="65" t="n"/>
      <c r="S807" s="65" t="n"/>
      <c r="T807" s="65" t="n"/>
      <c r="U807" s="65" t="n"/>
      <c r="V807" s="65" t="n"/>
    </row>
    <row r="808">
      <c r="A808" s="65" t="n"/>
      <c r="B808" s="65" t="n"/>
      <c r="C808" s="65" t="n"/>
      <c r="D808" s="65" t="n"/>
      <c r="E808" s="65" t="n"/>
      <c r="F808" s="65" t="n"/>
      <c r="G808" s="65" t="n"/>
      <c r="H808" s="65" t="n"/>
      <c r="I808" s="65" t="n"/>
      <c r="J808" s="63" t="inlineStr">
        <is>
          <t>0,00</t>
        </is>
      </c>
      <c r="K808" s="63" t="inlineStr">
        <is>
          <t>0,00</t>
        </is>
      </c>
      <c r="L808" s="63" t="inlineStr">
        <is>
          <t>0,00</t>
        </is>
      </c>
      <c r="M808" s="63" t="inlineStr">
        <is>
          <t>0,00</t>
        </is>
      </c>
      <c r="N808" s="63" t="inlineStr">
        <is>
          <t>0,00</t>
        </is>
      </c>
      <c r="O808" s="65" t="n"/>
      <c r="P808" s="65" t="n"/>
      <c r="Q808" s="65" t="n"/>
      <c r="R808" s="65" t="n"/>
      <c r="S808" s="65" t="n"/>
      <c r="T808" s="65" t="n"/>
      <c r="U808" s="65" t="n"/>
      <c r="V808" s="65" t="n"/>
    </row>
    <row r="809">
      <c r="A809" s="65" t="inlineStr">
        <is>
          <t>S00482</t>
        </is>
      </c>
      <c r="B809" s="62" t="n">
        <v>46175.72972222222</v>
      </c>
      <c r="C809" s="65" t="inlineStr">
        <is>
          <t>Kervin baez</t>
        </is>
      </c>
      <c r="D809" s="65" t="inlineStr">
        <is>
          <t>BETANCOURT ROBRIGUEZ LUIS ENRRIQUE</t>
        </is>
      </c>
      <c r="E809" s="65" t="inlineStr">
        <is>
          <t>7 días</t>
        </is>
      </c>
      <c r="F809" s="65" t="n">
        <v>5</v>
      </c>
      <c r="G809" s="65" t="inlineStr">
        <is>
          <t>Pago VES</t>
        </is>
      </c>
      <c r="H809" s="65" t="inlineStr">
        <is>
          <t>[0603] SINOCO SAE 50 (Tambor)</t>
        </is>
      </c>
      <c r="I809" s="65" t="n">
        <v>603</v>
      </c>
      <c r="J809" s="63" t="inlineStr">
        <is>
          <t>1,00</t>
        </is>
      </c>
      <c r="K809" s="63" t="inlineStr">
        <is>
          <t>925,73</t>
        </is>
      </c>
      <c r="L809" s="63" t="inlineStr">
        <is>
          <t>0,00</t>
        </is>
      </c>
      <c r="M809" s="63" t="inlineStr">
        <is>
          <t>925,73</t>
        </is>
      </c>
      <c r="N809" s="63" t="inlineStr">
        <is>
          <t>1.073,85</t>
        </is>
      </c>
      <c r="O809" s="63" t="inlineStr">
        <is>
          <t>925,73</t>
        </is>
      </c>
      <c r="P809" s="63" t="inlineStr">
        <is>
          <t>1.073,85</t>
        </is>
      </c>
      <c r="Q809" s="65" t="n"/>
      <c r="R809" s="65" t="n"/>
      <c r="S809" s="65" t="n"/>
      <c r="T809" s="65" t="n"/>
      <c r="U809" s="65" t="n"/>
      <c r="V809" s="65" t="n"/>
    </row>
    <row r="810">
      <c r="A810" s="65" t="inlineStr">
        <is>
          <t>S00479</t>
        </is>
      </c>
      <c r="B810" s="62" t="n">
        <v>46175.72894675926</v>
      </c>
      <c r="C810" s="65" t="inlineStr">
        <is>
          <t>Inversiones Todo marca Oeste C.A</t>
        </is>
      </c>
      <c r="D810" s="65" t="inlineStr">
        <is>
          <t>GRIMAN DIAZ HECTOR EDUARDO</t>
        </is>
      </c>
      <c r="E810" s="65" t="inlineStr">
        <is>
          <t>7 días</t>
        </is>
      </c>
      <c r="F810" s="65" t="n">
        <v>5</v>
      </c>
      <c r="G810" s="65" t="inlineStr">
        <is>
          <t>Pago VES</t>
        </is>
      </c>
      <c r="H810" s="65" t="inlineStr">
        <is>
          <t>[0602] SINOCO SAE 50 (PAILA)</t>
        </is>
      </c>
      <c r="I810" s="65" t="n">
        <v>602</v>
      </c>
      <c r="J810" s="63" t="inlineStr">
        <is>
          <t>4,00</t>
        </is>
      </c>
      <c r="K810" s="63" t="inlineStr">
        <is>
          <t>96,82</t>
        </is>
      </c>
      <c r="L810" s="63" t="inlineStr">
        <is>
          <t>0,00</t>
        </is>
      </c>
      <c r="M810" s="63" t="inlineStr">
        <is>
          <t>387,28</t>
        </is>
      </c>
      <c r="N810" s="63" t="inlineStr">
        <is>
          <t>449,24</t>
        </is>
      </c>
      <c r="O810" s="63" t="inlineStr">
        <is>
          <t>1.330,28</t>
        </is>
      </c>
      <c r="P810" s="63" t="inlineStr">
        <is>
          <t>1.543,12</t>
        </is>
      </c>
      <c r="Q810" s="63" t="inlineStr">
        <is>
          <t>721,35</t>
        </is>
      </c>
      <c r="R810" s="66" t="n">
        <v>46216</v>
      </c>
      <c r="S810" s="65" t="n">
        <v>395</v>
      </c>
      <c r="T810" s="65" t="inlineStr">
        <is>
          <t>00-00000938</t>
        </is>
      </c>
      <c r="U810" s="63" t="inlineStr">
        <is>
          <t>1.543,06</t>
        </is>
      </c>
      <c r="V810" s="63" t="inlineStr">
        <is>
          <t>0,00</t>
        </is>
      </c>
    </row>
    <row r="811">
      <c r="A811" s="65" t="n"/>
      <c r="B811" s="65" t="n"/>
      <c r="C811" s="65" t="n"/>
      <c r="D811" s="65" t="n"/>
      <c r="E811" s="65" t="n"/>
      <c r="F811" s="65" t="n"/>
      <c r="G811" s="65" t="n"/>
      <c r="H811" s="65" t="n"/>
      <c r="I811" s="65" t="n"/>
      <c r="J811" s="65" t="n"/>
      <c r="K811" s="65" t="n"/>
      <c r="L811" s="65" t="n"/>
      <c r="M811" s="65" t="n"/>
      <c r="N811" s="65" t="n"/>
      <c r="O811" s="65" t="n"/>
      <c r="P811" s="65" t="n"/>
      <c r="Q811" s="63" t="inlineStr">
        <is>
          <t>721,35</t>
        </is>
      </c>
      <c r="R811" s="66" t="n">
        <v>46216</v>
      </c>
      <c r="S811" s="65" t="n">
        <v>11</v>
      </c>
      <c r="T811" s="65" t="inlineStr">
        <is>
          <t>00-00000939</t>
        </is>
      </c>
      <c r="U811" s="63" t="inlineStr">
        <is>
          <t>-1.543,06</t>
        </is>
      </c>
      <c r="V811" s="63" t="inlineStr">
        <is>
          <t>0,00</t>
        </is>
      </c>
    </row>
    <row r="812">
      <c r="A812" s="65" t="n"/>
      <c r="B812" s="65" t="n"/>
      <c r="C812" s="65" t="n"/>
      <c r="D812" s="65" t="n"/>
      <c r="E812" s="65" t="n"/>
      <c r="F812" s="65" t="n"/>
      <c r="G812" s="65" t="n"/>
      <c r="H812" s="65" t="inlineStr">
        <is>
          <t>[1035] SINOCO HIDRAULICO ISO 68 (PAILA)</t>
        </is>
      </c>
      <c r="I812" s="65" t="n">
        <v>1035</v>
      </c>
      <c r="J812" s="63" t="inlineStr">
        <is>
          <t>2,00</t>
        </is>
      </c>
      <c r="K812" s="63" t="inlineStr">
        <is>
          <t>86,21</t>
        </is>
      </c>
      <c r="L812" s="63" t="inlineStr">
        <is>
          <t>0,00</t>
        </is>
      </c>
      <c r="M812" s="63" t="inlineStr">
        <is>
          <t>172,42</t>
        </is>
      </c>
      <c r="N812" s="63" t="inlineStr">
        <is>
          <t>200,01</t>
        </is>
      </c>
      <c r="O812" s="65" t="n"/>
      <c r="P812" s="65" t="n"/>
      <c r="Q812" s="65" t="n"/>
      <c r="R812" s="65" t="n"/>
      <c r="S812" s="65" t="n"/>
      <c r="T812" s="65" t="n"/>
      <c r="U812" s="65" t="n"/>
      <c r="V812" s="65" t="n"/>
    </row>
    <row r="813">
      <c r="A813" s="65" t="n"/>
      <c r="B813" s="65" t="n"/>
      <c r="C813" s="65" t="n"/>
      <c r="D813" s="65" t="n"/>
      <c r="E813" s="65" t="n"/>
      <c r="F813" s="65" t="n"/>
      <c r="G813" s="65" t="n"/>
      <c r="H813" s="65" t="inlineStr">
        <is>
          <t>[0605] SINOCO SAE 20W-50 (PAILA)</t>
        </is>
      </c>
      <c r="I813" s="65" t="n">
        <v>605</v>
      </c>
      <c r="J813" s="63" t="inlineStr">
        <is>
          <t>2,00</t>
        </is>
      </c>
      <c r="K813" s="63" t="inlineStr">
        <is>
          <t>96,82</t>
        </is>
      </c>
      <c r="L813" s="63" t="inlineStr">
        <is>
          <t>0,00</t>
        </is>
      </c>
      <c r="M813" s="63" t="inlineStr">
        <is>
          <t>193,64</t>
        </is>
      </c>
      <c r="N813" s="63" t="inlineStr">
        <is>
          <t>224,62</t>
        </is>
      </c>
      <c r="O813" s="65" t="n"/>
      <c r="P813" s="65" t="n"/>
      <c r="Q813" s="65" t="n"/>
      <c r="R813" s="65" t="n"/>
      <c r="S813" s="65" t="n"/>
      <c r="T813" s="65" t="n"/>
      <c r="U813" s="65" t="n"/>
      <c r="V813" s="65" t="n"/>
    </row>
    <row r="814">
      <c r="A814" s="65" t="n"/>
      <c r="B814" s="65" t="n"/>
      <c r="C814" s="65" t="n"/>
      <c r="D814" s="65" t="n"/>
      <c r="E814" s="65" t="n"/>
      <c r="F814" s="65" t="n"/>
      <c r="G814" s="65" t="n"/>
      <c r="H814" s="65" t="inlineStr">
        <is>
          <t>[0779] SINOCO SAE 20W-50 (1x12)</t>
        </is>
      </c>
      <c r="I814" s="65" t="n">
        <v>779</v>
      </c>
      <c r="J814" s="63" t="inlineStr">
        <is>
          <t>1,00</t>
        </is>
      </c>
      <c r="K814" s="63" t="inlineStr">
        <is>
          <t>70,29</t>
        </is>
      </c>
      <c r="L814" s="63" t="inlineStr">
        <is>
          <t>0,00</t>
        </is>
      </c>
      <c r="M814" s="63" t="inlineStr">
        <is>
          <t>70,29</t>
        </is>
      </c>
      <c r="N814" s="63" t="inlineStr">
        <is>
          <t>81,54</t>
        </is>
      </c>
      <c r="O814" s="65" t="n"/>
      <c r="P814" s="65" t="n"/>
      <c r="Q814" s="65" t="n"/>
      <c r="R814" s="65" t="n"/>
      <c r="S814" s="65" t="n"/>
      <c r="T814" s="65" t="n"/>
      <c r="U814" s="65" t="n"/>
      <c r="V814" s="65" t="n"/>
    </row>
    <row r="815">
      <c r="A815" s="65" t="n"/>
      <c r="B815" s="65" t="n"/>
      <c r="C815" s="65" t="n"/>
      <c r="D815" s="65" t="n"/>
      <c r="E815" s="65" t="n"/>
      <c r="F815" s="65" t="n"/>
      <c r="G815" s="65" t="n"/>
      <c r="H815" s="65" t="inlineStr">
        <is>
          <t>[0761] LIGA PARA FRENOS DOT-3 (1x12)</t>
        </is>
      </c>
      <c r="I815" s="65" t="n">
        <v>761</v>
      </c>
      <c r="J815" s="63" t="inlineStr">
        <is>
          <t>2,00</t>
        </is>
      </c>
      <c r="K815" s="63" t="inlineStr">
        <is>
          <t>35,81</t>
        </is>
      </c>
      <c r="L815" s="63" t="inlineStr">
        <is>
          <t>0,00</t>
        </is>
      </c>
      <c r="M815" s="63" t="inlineStr">
        <is>
          <t>71,62</t>
        </is>
      </c>
      <c r="N815" s="63" t="inlineStr">
        <is>
          <t>83,08</t>
        </is>
      </c>
      <c r="O815" s="65" t="n"/>
      <c r="P815" s="65" t="n"/>
      <c r="Q815" s="65" t="n"/>
      <c r="R815" s="65" t="n"/>
      <c r="S815" s="65" t="n"/>
      <c r="T815" s="65" t="n"/>
      <c r="U815" s="65" t="n"/>
      <c r="V815" s="65" t="n"/>
    </row>
    <row r="816">
      <c r="A816" s="65" t="n"/>
      <c r="B816" s="65" t="n"/>
      <c r="C816" s="65" t="n"/>
      <c r="D816" s="65" t="n"/>
      <c r="E816" s="65" t="n"/>
      <c r="F816" s="65" t="n"/>
      <c r="G816" s="65" t="n"/>
      <c r="H816" s="65" t="inlineStr">
        <is>
          <t>[0762] LIGA PARA FRENOS DOT-3 (1x6)</t>
        </is>
      </c>
      <c r="I816" s="65" t="n">
        <v>762</v>
      </c>
      <c r="J816" s="63" t="inlineStr">
        <is>
          <t>1,00</t>
        </is>
      </c>
      <c r="K816" s="63" t="inlineStr">
        <is>
          <t>57,03</t>
        </is>
      </c>
      <c r="L816" s="63" t="inlineStr">
        <is>
          <t>0,00</t>
        </is>
      </c>
      <c r="M816" s="63" t="inlineStr">
        <is>
          <t>57,03</t>
        </is>
      </c>
      <c r="N816" s="63" t="inlineStr">
        <is>
          <t>66,15</t>
        </is>
      </c>
      <c r="O816" s="65" t="n"/>
      <c r="P816" s="65" t="n"/>
      <c r="Q816" s="65" t="n"/>
      <c r="R816" s="65" t="n"/>
      <c r="S816" s="65" t="n"/>
      <c r="T816" s="65" t="n"/>
      <c r="U816" s="65" t="n"/>
      <c r="V816" s="65" t="n"/>
    </row>
    <row r="817">
      <c r="A817" s="65" t="n"/>
      <c r="B817" s="65" t="n"/>
      <c r="C817" s="65" t="n"/>
      <c r="D817" s="65" t="n"/>
      <c r="E817" s="65" t="n"/>
      <c r="F817" s="65" t="n"/>
      <c r="G817" s="65" t="n"/>
      <c r="H817" s="65" t="inlineStr">
        <is>
          <t>[0887] MOTOCLASICO 4T SAE 20W-50 (1x12)</t>
        </is>
      </c>
      <c r="I817" s="65" t="n">
        <v>887</v>
      </c>
      <c r="J817" s="63" t="inlineStr">
        <is>
          <t>1,00</t>
        </is>
      </c>
      <c r="K817" s="63" t="inlineStr">
        <is>
          <t>90,19</t>
        </is>
      </c>
      <c r="L817" s="63" t="inlineStr">
        <is>
          <t>0,00</t>
        </is>
      </c>
      <c r="M817" s="63" t="inlineStr">
        <is>
          <t>90,19</t>
        </is>
      </c>
      <c r="N817" s="63" t="inlineStr">
        <is>
          <t>104,62</t>
        </is>
      </c>
      <c r="O817" s="65" t="n"/>
      <c r="P817" s="65" t="n"/>
      <c r="Q817" s="65" t="n"/>
      <c r="R817" s="65" t="n"/>
      <c r="S817" s="65" t="n"/>
      <c r="T817" s="65" t="n"/>
      <c r="U817" s="65" t="n"/>
      <c r="V817" s="65" t="n"/>
    </row>
    <row r="818">
      <c r="A818" s="65" t="n"/>
      <c r="B818" s="65" t="n"/>
      <c r="C818" s="65" t="n"/>
      <c r="D818" s="65" t="n"/>
      <c r="E818" s="65" t="n"/>
      <c r="F818" s="65" t="n"/>
      <c r="G818" s="65" t="n"/>
      <c r="H818" s="65" t="inlineStr">
        <is>
          <t>[0877] SS EXTRA PROTECCION API SN SAE 15W-40 (1X12)</t>
        </is>
      </c>
      <c r="I818" s="65" t="n">
        <v>877</v>
      </c>
      <c r="J818" s="63" t="inlineStr">
        <is>
          <t>2,00</t>
        </is>
      </c>
      <c r="K818" s="63" t="inlineStr">
        <is>
          <t>100,80</t>
        </is>
      </c>
      <c r="L818" s="63" t="inlineStr">
        <is>
          <t>0,00</t>
        </is>
      </c>
      <c r="M818" s="63" t="inlineStr">
        <is>
          <t>201,60</t>
        </is>
      </c>
      <c r="N818" s="63" t="inlineStr">
        <is>
          <t>233,86</t>
        </is>
      </c>
      <c r="O818" s="65" t="n"/>
      <c r="P818" s="65" t="n"/>
      <c r="Q818" s="65" t="n"/>
      <c r="R818" s="65" t="n"/>
      <c r="S818" s="65" t="n"/>
      <c r="T818" s="65" t="n"/>
      <c r="U818" s="65" t="n"/>
      <c r="V818" s="65" t="n"/>
    </row>
    <row r="819">
      <c r="A819" s="65" t="n"/>
      <c r="B819" s="65" t="n"/>
      <c r="C819" s="65" t="n"/>
      <c r="D819" s="65" t="n"/>
      <c r="E819" s="65" t="n"/>
      <c r="F819" s="65" t="n"/>
      <c r="G819" s="65" t="n"/>
      <c r="H819" s="65" t="inlineStr">
        <is>
          <t>[0880] CLASICO API SL SAE 15W-40 (1x12)</t>
        </is>
      </c>
      <c r="I819" s="65" t="n">
        <v>880</v>
      </c>
      <c r="J819" s="63" t="inlineStr">
        <is>
          <t>1,00</t>
        </is>
      </c>
      <c r="K819" s="63" t="inlineStr">
        <is>
          <t>86,21</t>
        </is>
      </c>
      <c r="L819" s="63" t="inlineStr">
        <is>
          <t>0,00</t>
        </is>
      </c>
      <c r="M819" s="63" t="inlineStr">
        <is>
          <t>86,21</t>
        </is>
      </c>
      <c r="N819" s="63" t="inlineStr">
        <is>
          <t>100,00</t>
        </is>
      </c>
      <c r="O819" s="65" t="n"/>
      <c r="P819" s="65" t="n"/>
      <c r="Q819" s="65" t="n"/>
      <c r="R819" s="65" t="n"/>
      <c r="S819" s="65" t="n"/>
      <c r="T819" s="65" t="n"/>
      <c r="U819" s="65" t="n"/>
      <c r="V819" s="65" t="n"/>
    </row>
    <row r="820">
      <c r="A820" s="65" t="inlineStr">
        <is>
          <t>S00478</t>
        </is>
      </c>
      <c r="B820" s="62" t="n">
        <v>46175.35609953704</v>
      </c>
      <c r="C820" s="65" t="inlineStr">
        <is>
          <t>AUTOPERIQUITOS LA CAMPIÑA C.A.</t>
        </is>
      </c>
      <c r="D820" s="65" t="inlineStr">
        <is>
          <t>TORO ARDILES DAVID JOSE</t>
        </is>
      </c>
      <c r="E820" s="65" t="inlineStr">
        <is>
          <t>7 días</t>
        </is>
      </c>
      <c r="F820" s="65" t="n">
        <v>5</v>
      </c>
      <c r="G820" s="65" t="inlineStr">
        <is>
          <t>Pago VES</t>
        </is>
      </c>
      <c r="H820" s="65" t="inlineStr">
        <is>
          <t>[0877] SS EXTRA PROTECCION API SN SAE 15W-40 (1X12)</t>
        </is>
      </c>
      <c r="I820" s="65" t="n">
        <v>877</v>
      </c>
      <c r="J820" s="63" t="inlineStr">
        <is>
          <t>1,00</t>
        </is>
      </c>
      <c r="K820" s="63" t="inlineStr">
        <is>
          <t>100,80</t>
        </is>
      </c>
      <c r="L820" s="63" t="inlineStr">
        <is>
          <t>0,00</t>
        </is>
      </c>
      <c r="M820" s="63" t="inlineStr">
        <is>
          <t>100,80</t>
        </is>
      </c>
      <c r="N820" s="63" t="inlineStr">
        <is>
          <t>116,93</t>
        </is>
      </c>
      <c r="O820" s="63" t="inlineStr">
        <is>
          <t>100,80</t>
        </is>
      </c>
      <c r="P820" s="63" t="inlineStr">
        <is>
          <t>116,93</t>
        </is>
      </c>
      <c r="Q820" s="63" t="inlineStr">
        <is>
          <t>721,35</t>
        </is>
      </c>
      <c r="R820" s="66" t="n">
        <v>46216</v>
      </c>
      <c r="S820" s="65" t="n">
        <v>396</v>
      </c>
      <c r="T820" s="65" t="inlineStr">
        <is>
          <t>00-00000940</t>
        </is>
      </c>
      <c r="U820" s="63" t="inlineStr">
        <is>
          <t>116,92</t>
        </is>
      </c>
      <c r="V820" s="63" t="inlineStr">
        <is>
          <t>116,93</t>
        </is>
      </c>
    </row>
    <row r="821">
      <c r="A821" s="65" t="inlineStr">
        <is>
          <t>S00477</t>
        </is>
      </c>
      <c r="B821" s="62" t="n">
        <v>46174.72534722222</v>
      </c>
      <c r="C821" s="65" t="inlineStr">
        <is>
          <t>Servi Motores 3A, C.A</t>
        </is>
      </c>
      <c r="D821" s="65" t="inlineStr">
        <is>
          <t>QUEVEDO BASTIDAS NEYKEL DAVID</t>
        </is>
      </c>
      <c r="E821" s="65" t="inlineStr">
        <is>
          <t>15 días</t>
        </is>
      </c>
      <c r="F821" s="65" t="n">
        <v>5</v>
      </c>
      <c r="G821" s="65" t="inlineStr">
        <is>
          <t>Pago VES</t>
        </is>
      </c>
      <c r="H821" s="65" t="inlineStr">
        <is>
          <t>[0884] TRANSMATIC ATF DEXRON III (1x12)</t>
        </is>
      </c>
      <c r="I821" s="65" t="n">
        <v>884</v>
      </c>
      <c r="J821" s="63" t="inlineStr">
        <is>
          <t>1,00</t>
        </is>
      </c>
      <c r="K821" s="63" t="inlineStr">
        <is>
          <t>95,49</t>
        </is>
      </c>
      <c r="L821" s="63" t="inlineStr">
        <is>
          <t>0,00</t>
        </is>
      </c>
      <c r="M821" s="63" t="inlineStr">
        <is>
          <t>95,49</t>
        </is>
      </c>
      <c r="N821" s="63" t="inlineStr">
        <is>
          <t>110,77</t>
        </is>
      </c>
      <c r="O821" s="63" t="inlineStr">
        <is>
          <t>196,29</t>
        </is>
      </c>
      <c r="P821" s="63" t="inlineStr">
        <is>
          <t>227,70</t>
        </is>
      </c>
      <c r="Q821" s="63" t="inlineStr">
        <is>
          <t>721,35</t>
        </is>
      </c>
      <c r="R821" s="66" t="n">
        <v>46216</v>
      </c>
      <c r="S821" s="65" t="n">
        <v>397</v>
      </c>
      <c r="T821" s="65" t="inlineStr">
        <is>
          <t>00-00000941</t>
        </is>
      </c>
      <c r="U821" s="63" t="inlineStr">
        <is>
          <t>227,68</t>
        </is>
      </c>
      <c r="V821" s="63" t="inlineStr">
        <is>
          <t>227,70</t>
        </is>
      </c>
    </row>
    <row r="822">
      <c r="A822" s="65" t="n"/>
      <c r="B822" s="65" t="n"/>
      <c r="C822" s="65" t="n"/>
      <c r="D822" s="65" t="n"/>
      <c r="E822" s="65" t="n"/>
      <c r="F822" s="65" t="n"/>
      <c r="G822" s="65" t="n"/>
      <c r="H822" s="65" t="inlineStr">
        <is>
          <t>[0877] SS EXTRA PROTECCION API SN SAE 15W-40 (1X12)</t>
        </is>
      </c>
      <c r="I822" s="65" t="n">
        <v>877</v>
      </c>
      <c r="J822" s="63" t="inlineStr">
        <is>
          <t>1,00</t>
        </is>
      </c>
      <c r="K822" s="63" t="inlineStr">
        <is>
          <t>100,80</t>
        </is>
      </c>
      <c r="L822" s="63" t="inlineStr">
        <is>
          <t>0,00</t>
        </is>
      </c>
      <c r="M822" s="63" t="inlineStr">
        <is>
          <t>100,80</t>
        </is>
      </c>
      <c r="N822" s="63" t="inlineStr">
        <is>
          <t>116,93</t>
        </is>
      </c>
      <c r="O822" s="65" t="n"/>
      <c r="P822" s="65" t="n"/>
      <c r="Q822" s="65" t="n"/>
      <c r="R822" s="65" t="n"/>
      <c r="S822" s="65" t="n"/>
      <c r="T822" s="65" t="n"/>
      <c r="U822" s="65" t="n"/>
      <c r="V822" s="65" t="n"/>
    </row>
    <row r="823">
      <c r="A823" s="65" t="inlineStr">
        <is>
          <t>S00476</t>
        </is>
      </c>
      <c r="B823" s="62" t="n">
        <v>46174.72496527778</v>
      </c>
      <c r="C823" s="65" t="inlineStr">
        <is>
          <t>COMERCIALIZADORA J.A.N. 65, C.A</t>
        </is>
      </c>
      <c r="D823" s="65" t="inlineStr">
        <is>
          <t>QUEVEDO BASTIDAS NEYKEL DAVID</t>
        </is>
      </c>
      <c r="E823" s="65" t="inlineStr">
        <is>
          <t>21 días</t>
        </is>
      </c>
      <c r="F823" s="65" t="n">
        <v>5</v>
      </c>
      <c r="G823" s="65" t="inlineStr">
        <is>
          <t>Pago VES</t>
        </is>
      </c>
      <c r="H823" s="65" t="inlineStr">
        <is>
          <t>[0013] ELITE API SN SAE 5W-30 (1x6)</t>
        </is>
      </c>
      <c r="I823" s="65" t="n">
        <v>13</v>
      </c>
      <c r="J823" s="63" t="inlineStr">
        <is>
          <t>1,00</t>
        </is>
      </c>
      <c r="K823" s="63" t="inlineStr">
        <is>
          <t>72,94</t>
        </is>
      </c>
      <c r="L823" s="63" t="inlineStr">
        <is>
          <t>0,00</t>
        </is>
      </c>
      <c r="M823" s="63" t="inlineStr">
        <is>
          <t>72,94</t>
        </is>
      </c>
      <c r="N823" s="63" t="inlineStr">
        <is>
          <t>84,61</t>
        </is>
      </c>
      <c r="O823" s="63" t="inlineStr">
        <is>
          <t>224,14</t>
        </is>
      </c>
      <c r="P823" s="63" t="inlineStr">
        <is>
          <t>260,00</t>
        </is>
      </c>
      <c r="Q823" s="63" t="inlineStr">
        <is>
          <t>721,35</t>
        </is>
      </c>
      <c r="R823" s="66" t="n">
        <v>46216</v>
      </c>
      <c r="S823" s="65" t="n">
        <v>398</v>
      </c>
      <c r="T823" s="65" t="inlineStr">
        <is>
          <t>00-00000942</t>
        </is>
      </c>
      <c r="U823" s="63" t="inlineStr">
        <is>
          <t>260,00</t>
        </is>
      </c>
      <c r="V823" s="63" t="inlineStr">
        <is>
          <t>260,00</t>
        </is>
      </c>
    </row>
    <row r="824">
      <c r="A824" s="65" t="n"/>
      <c r="B824" s="65" t="n"/>
      <c r="C824" s="65" t="n"/>
      <c r="D824" s="65" t="n"/>
      <c r="E824" s="65" t="n"/>
      <c r="F824" s="65" t="n"/>
      <c r="G824" s="65" t="n"/>
      <c r="H824" s="65" t="inlineStr">
        <is>
          <t>[0025] SS EXTRA PROTECCION API SN SAE 10W-30 (Gasolina) (1x6)</t>
        </is>
      </c>
      <c r="I824" s="65" t="n">
        <v>25</v>
      </c>
      <c r="J824" s="63" t="inlineStr">
        <is>
          <t>1,00</t>
        </is>
      </c>
      <c r="K824" s="63" t="inlineStr">
        <is>
          <t>50,40</t>
        </is>
      </c>
      <c r="L824" s="63" t="inlineStr">
        <is>
          <t>0,00</t>
        </is>
      </c>
      <c r="M824" s="63" t="inlineStr">
        <is>
          <t>50,40</t>
        </is>
      </c>
      <c r="N824" s="63" t="inlineStr">
        <is>
          <t>58,46</t>
        </is>
      </c>
      <c r="O824" s="65" t="n"/>
      <c r="P824" s="65" t="n"/>
      <c r="Q824" s="65" t="n"/>
      <c r="R824" s="65" t="n"/>
      <c r="S824" s="65" t="n"/>
      <c r="T824" s="65" t="n"/>
      <c r="U824" s="65" t="n"/>
      <c r="V824" s="65" t="n"/>
    </row>
    <row r="825">
      <c r="A825" s="65" t="n"/>
      <c r="B825" s="65" t="n"/>
      <c r="C825" s="65" t="n"/>
      <c r="D825" s="65" t="n"/>
      <c r="E825" s="65" t="n"/>
      <c r="F825" s="65" t="n"/>
      <c r="G825" s="65" t="n"/>
      <c r="H825" s="65" t="inlineStr">
        <is>
          <t>[0878] SS EXTRA PROTECCION API SN SAE 20W-50 (1x12)</t>
        </is>
      </c>
      <c r="I825" s="65" t="n">
        <v>878</v>
      </c>
      <c r="J825" s="63" t="inlineStr">
        <is>
          <t>1,00</t>
        </is>
      </c>
      <c r="K825" s="63" t="inlineStr">
        <is>
          <t>100,80</t>
        </is>
      </c>
      <c r="L825" s="63" t="inlineStr">
        <is>
          <t>0,00</t>
        </is>
      </c>
      <c r="M825" s="63" t="inlineStr">
        <is>
          <t>100,80</t>
        </is>
      </c>
      <c r="N825" s="63" t="inlineStr">
        <is>
          <t>116,93</t>
        </is>
      </c>
      <c r="O825" s="65" t="n"/>
      <c r="P825" s="65" t="n"/>
      <c r="Q825" s="65" t="n"/>
      <c r="R825" s="65" t="n"/>
      <c r="S825" s="65" t="n"/>
      <c r="T825" s="65" t="n"/>
      <c r="U825" s="65" t="n"/>
      <c r="V825" s="65" t="n"/>
    </row>
    <row r="826">
      <c r="A826" s="65" t="inlineStr">
        <is>
          <t>S00473</t>
        </is>
      </c>
      <c r="B826" s="62" t="n">
        <v>46174.70108796296</v>
      </c>
      <c r="C826" s="65" t="inlineStr">
        <is>
          <t>Yeifri Alexander Marquez Zerpa</t>
        </is>
      </c>
      <c r="D826" s="65" t="inlineStr">
        <is>
          <t>QUEVEDO BASTIDAS NEYKEL DAVID</t>
        </is>
      </c>
      <c r="E826" s="65" t="inlineStr">
        <is>
          <t>21 días</t>
        </is>
      </c>
      <c r="F826" s="65" t="n">
        <v>5</v>
      </c>
      <c r="G826" s="65" t="inlineStr">
        <is>
          <t>Pago VES</t>
        </is>
      </c>
      <c r="H826" s="65" t="inlineStr">
        <is>
          <t>[0605] SINOCO SAE 20W-50 (PAILA)</t>
        </is>
      </c>
      <c r="I826" s="65" t="n">
        <v>605</v>
      </c>
      <c r="J826" s="63" t="inlineStr">
        <is>
          <t>2,00</t>
        </is>
      </c>
      <c r="K826" s="63" t="inlineStr">
        <is>
          <t>96,82</t>
        </is>
      </c>
      <c r="L826" s="63" t="inlineStr">
        <is>
          <t>0,00</t>
        </is>
      </c>
      <c r="M826" s="63" t="inlineStr">
        <is>
          <t>193,64</t>
        </is>
      </c>
      <c r="N826" s="63" t="inlineStr">
        <is>
          <t>224,62</t>
        </is>
      </c>
      <c r="O826" s="63" t="inlineStr">
        <is>
          <t>193,64</t>
        </is>
      </c>
      <c r="P826" s="63" t="inlineStr">
        <is>
          <t>224,62</t>
        </is>
      </c>
      <c r="Q826" s="63" t="inlineStr">
        <is>
          <t>721,35</t>
        </is>
      </c>
      <c r="R826" s="66" t="n">
        <v>46216</v>
      </c>
      <c r="S826" s="65" t="n">
        <v>399</v>
      </c>
      <c r="T826" s="65" t="inlineStr">
        <is>
          <t>00-00000943</t>
        </is>
      </c>
      <c r="U826" s="63" t="inlineStr">
        <is>
          <t>224,61</t>
        </is>
      </c>
      <c r="V826" s="63" t="inlineStr">
        <is>
          <t>224,62</t>
        </is>
      </c>
    </row>
    <row r="827">
      <c r="A827" s="65" t="inlineStr">
        <is>
          <t>S00474</t>
        </is>
      </c>
      <c r="B827" s="62" t="n">
        <v>46174.7009837963</v>
      </c>
      <c r="C827" s="65" t="inlineStr">
        <is>
          <t>Hidromaticos La Colina, C.A</t>
        </is>
      </c>
      <c r="D827" s="65" t="inlineStr">
        <is>
          <t>QUEVEDO BASTIDAS NEYKEL DAVID</t>
        </is>
      </c>
      <c r="E827" s="65" t="inlineStr">
        <is>
          <t>15 días</t>
        </is>
      </c>
      <c r="F827" s="65" t="n">
        <v>5</v>
      </c>
      <c r="G827" s="65" t="inlineStr">
        <is>
          <t>Pago VES</t>
        </is>
      </c>
      <c r="H827" s="65" t="inlineStr">
        <is>
          <t>[0774] LIGA PARA FRENOS DOT-4 (1X6)</t>
        </is>
      </c>
      <c r="I827" s="65" t="n">
        <v>774</v>
      </c>
      <c r="J827" s="63" t="inlineStr">
        <is>
          <t>1,00</t>
        </is>
      </c>
      <c r="K827" s="63" t="inlineStr">
        <is>
          <t>64,99</t>
        </is>
      </c>
      <c r="L827" s="63" t="inlineStr">
        <is>
          <t>0,00</t>
        </is>
      </c>
      <c r="M827" s="63" t="inlineStr">
        <is>
          <t>64,99</t>
        </is>
      </c>
      <c r="N827" s="63" t="inlineStr">
        <is>
          <t>75,39</t>
        </is>
      </c>
      <c r="O827" s="63" t="inlineStr">
        <is>
          <t>64,99</t>
        </is>
      </c>
      <c r="P827" s="63" t="inlineStr">
        <is>
          <t>75,39</t>
        </is>
      </c>
      <c r="Q827" s="63" t="inlineStr">
        <is>
          <t>721,35</t>
        </is>
      </c>
      <c r="R827" s="66" t="n">
        <v>46216</v>
      </c>
      <c r="S827" s="65" t="n">
        <v>400</v>
      </c>
      <c r="T827" s="65" t="inlineStr">
        <is>
          <t>00-00000944</t>
        </is>
      </c>
      <c r="U827" s="63" t="inlineStr">
        <is>
          <t>75,37</t>
        </is>
      </c>
      <c r="V827" s="63" t="inlineStr">
        <is>
          <t>75,39</t>
        </is>
      </c>
    </row>
    <row r="828">
      <c r="A828" s="65" t="inlineStr">
        <is>
          <t>S00471</t>
        </is>
      </c>
      <c r="B828" s="62" t="n">
        <v>46174.67462962963</v>
      </c>
      <c r="C828" s="65" t="inlineStr">
        <is>
          <t>José Gregorio Hernández</t>
        </is>
      </c>
      <c r="D828" s="65" t="inlineStr">
        <is>
          <t>VILLABONA CORREA ALBA ESTEFANIA</t>
        </is>
      </c>
      <c r="E828" s="65" t="inlineStr">
        <is>
          <t>7 días</t>
        </is>
      </c>
      <c r="F828" s="65" t="n">
        <v>5</v>
      </c>
      <c r="G828" s="65" t="inlineStr">
        <is>
          <t>Pago VES</t>
        </is>
      </c>
      <c r="H828" s="65" t="inlineStr">
        <is>
          <t>[0083] MAXIMO API CF SAE 50 (PAILA)</t>
        </is>
      </c>
      <c r="I828" s="65" t="n">
        <v>83</v>
      </c>
      <c r="J828" s="63" t="inlineStr">
        <is>
          <t>2,00</t>
        </is>
      </c>
      <c r="K828" s="63" t="inlineStr">
        <is>
          <t>112,73</t>
        </is>
      </c>
      <c r="L828" s="63" t="inlineStr">
        <is>
          <t>8,00</t>
        </is>
      </c>
      <c r="M828" s="63" t="inlineStr">
        <is>
          <t>207,42</t>
        </is>
      </c>
      <c r="N828" s="63" t="inlineStr">
        <is>
          <t>240,61</t>
        </is>
      </c>
      <c r="O828" s="63" t="inlineStr">
        <is>
          <t>207,42</t>
        </is>
      </c>
      <c r="P828" s="63" t="inlineStr">
        <is>
          <t>240,61</t>
        </is>
      </c>
      <c r="Q828" s="63" t="inlineStr">
        <is>
          <t>721,35</t>
        </is>
      </c>
      <c r="R828" s="66" t="n">
        <v>46216</v>
      </c>
      <c r="S828" s="65" t="n">
        <v>401</v>
      </c>
      <c r="T828" s="65" t="inlineStr">
        <is>
          <t>00-00000945</t>
        </is>
      </c>
      <c r="U828" s="63" t="inlineStr">
        <is>
          <t>240,60</t>
        </is>
      </c>
      <c r="V828" s="63" t="inlineStr">
        <is>
          <t>240,61</t>
        </is>
      </c>
    </row>
    <row r="829">
      <c r="A829" s="65" t="inlineStr">
        <is>
          <t>S00472</t>
        </is>
      </c>
      <c r="B829" s="62" t="n">
        <v>46174.67423611111</v>
      </c>
      <c r="C829" s="65" t="inlineStr">
        <is>
          <t>Antonio Terán</t>
        </is>
      </c>
      <c r="D829" s="65" t="inlineStr">
        <is>
          <t>PEREZ DIAZ ANGEL DE DIOS</t>
        </is>
      </c>
      <c r="E829" s="65" t="inlineStr">
        <is>
          <t>30 días</t>
        </is>
      </c>
      <c r="F829" s="65" t="n">
        <v>5</v>
      </c>
      <c r="G829" s="65" t="inlineStr">
        <is>
          <t>Pago VES</t>
        </is>
      </c>
      <c r="H829" s="65" t="inlineStr">
        <is>
          <t>[0779] SINOCO SAE 20W-50 (1x12)</t>
        </is>
      </c>
      <c r="I829" s="65" t="n">
        <v>779</v>
      </c>
      <c r="J829" s="63" t="inlineStr">
        <is>
          <t>19,00</t>
        </is>
      </c>
      <c r="K829" s="63" t="inlineStr">
        <is>
          <t>70,29</t>
        </is>
      </c>
      <c r="L829" s="63" t="inlineStr">
        <is>
          <t>0,00</t>
        </is>
      </c>
      <c r="M829" s="63" t="inlineStr">
        <is>
          <t>1.335,51</t>
        </is>
      </c>
      <c r="N829" s="63" t="inlineStr">
        <is>
          <t>1.549,19</t>
        </is>
      </c>
      <c r="O829" s="63" t="inlineStr">
        <is>
          <t>1.405,80</t>
        </is>
      </c>
      <c r="P829" s="63" t="inlineStr">
        <is>
          <t>1.630,73</t>
        </is>
      </c>
      <c r="Q829" s="63" t="inlineStr">
        <is>
          <t>727,45</t>
        </is>
      </c>
      <c r="R829" s="66" t="n">
        <v>46219</v>
      </c>
      <c r="S829" s="65" t="n">
        <v>514</v>
      </c>
      <c r="T829" s="65" t="inlineStr">
        <is>
          <t>00-00001067</t>
        </is>
      </c>
      <c r="U829" s="63" t="inlineStr">
        <is>
          <t>1.630,70</t>
        </is>
      </c>
      <c r="V829" s="63" t="inlineStr">
        <is>
          <t>110,12</t>
        </is>
      </c>
    </row>
    <row r="830">
      <c r="A830" s="65" t="n"/>
      <c r="B830" s="65" t="n"/>
      <c r="C830" s="65" t="n"/>
      <c r="D830" s="65" t="n"/>
      <c r="E830" s="65" t="n"/>
      <c r="F830" s="65" t="n"/>
      <c r="G830" s="65" t="n"/>
      <c r="H830" s="65" t="inlineStr">
        <is>
          <t>[0915] SINOCO SAE 50 (1x12)</t>
        </is>
      </c>
      <c r="I830" s="65" t="n">
        <v>915</v>
      </c>
      <c r="J830" s="63" t="inlineStr">
        <is>
          <t>1,00</t>
        </is>
      </c>
      <c r="K830" s="63" t="inlineStr">
        <is>
          <t>70,29</t>
        </is>
      </c>
      <c r="L830" s="63" t="inlineStr">
        <is>
          <t>0,00</t>
        </is>
      </c>
      <c r="M830" s="63" t="inlineStr">
        <is>
          <t>70,29</t>
        </is>
      </c>
      <c r="N830" s="63" t="inlineStr">
        <is>
          <t>81,54</t>
        </is>
      </c>
      <c r="O830" s="65" t="n"/>
      <c r="P830" s="65" t="n"/>
      <c r="Q830" s="65" t="n"/>
      <c r="R830" s="65" t="n"/>
      <c r="S830" s="65" t="n"/>
      <c r="T830" s="65" t="n"/>
      <c r="U830" s="65" t="n"/>
      <c r="V830" s="65" t="n"/>
    </row>
    <row r="831">
      <c r="A831" s="65" t="inlineStr">
        <is>
          <t>S00467</t>
        </is>
      </c>
      <c r="B831" s="62" t="n">
        <v>46174.37732638889</v>
      </c>
      <c r="C831" s="65" t="inlineStr">
        <is>
          <t>PROYECTO MAQUIVEIRO 21 C.A.</t>
        </is>
      </c>
      <c r="D831" s="65" t="inlineStr">
        <is>
          <t>MARTINEZ MONTES JEFFREY ENRIQUE</t>
        </is>
      </c>
      <c r="E831" s="65" t="inlineStr">
        <is>
          <t>7 días</t>
        </is>
      </c>
      <c r="F831" s="65" t="n">
        <v>5</v>
      </c>
      <c r="G831" s="65" t="inlineStr">
        <is>
          <t>Pago VES</t>
        </is>
      </c>
      <c r="H831" s="65" t="inlineStr">
        <is>
          <t>[0888] ENDUROGLOB 2T AIRE (1x12)</t>
        </is>
      </c>
      <c r="I831" s="65" t="n">
        <v>888</v>
      </c>
      <c r="J831" s="63" t="inlineStr">
        <is>
          <t>5,00</t>
        </is>
      </c>
      <c r="K831" s="63" t="inlineStr">
        <is>
          <t>99,47</t>
        </is>
      </c>
      <c r="L831" s="63" t="inlineStr">
        <is>
          <t>0,00</t>
        </is>
      </c>
      <c r="M831" s="63" t="inlineStr">
        <is>
          <t>497,35</t>
        </is>
      </c>
      <c r="N831" s="63" t="inlineStr">
        <is>
          <t>576,93</t>
        </is>
      </c>
      <c r="O831" s="63" t="inlineStr">
        <is>
          <t>497,35</t>
        </is>
      </c>
      <c r="P831" s="63" t="inlineStr">
        <is>
          <t>576,93</t>
        </is>
      </c>
      <c r="Q831" s="65" t="n"/>
      <c r="R831" s="65" t="n"/>
      <c r="S831" s="65" t="n"/>
      <c r="T831" s="65" t="n"/>
      <c r="U831" s="65" t="n"/>
      <c r="V831" s="65" t="n"/>
    </row>
    <row r="832">
      <c r="A832" s="65" t="inlineStr">
        <is>
          <t>S00468</t>
        </is>
      </c>
      <c r="B832" s="62" t="n">
        <v>46174.37697916666</v>
      </c>
      <c r="C832" s="65" t="inlineStr">
        <is>
          <t>ELISA ALEJANDRA JIMÉNEZ SUÁREZ</t>
        </is>
      </c>
      <c r="D832" s="65" t="inlineStr">
        <is>
          <t>TORO ARDILES DAVID JOSE</t>
        </is>
      </c>
      <c r="E832" s="65" t="inlineStr">
        <is>
          <t>7 días</t>
        </is>
      </c>
      <c r="F832" s="65" t="n">
        <v>5</v>
      </c>
      <c r="G832" s="65" t="inlineStr">
        <is>
          <t>Pago VES</t>
        </is>
      </c>
      <c r="H832" s="65" t="inlineStr">
        <is>
          <t>[0001] ELITE API SP SAE 0W-20 (1x6)</t>
        </is>
      </c>
      <c r="I832" s="65" t="n">
        <v>1</v>
      </c>
      <c r="J832" s="63" t="inlineStr">
        <is>
          <t>2,00</t>
        </is>
      </c>
      <c r="K832" s="63" t="inlineStr">
        <is>
          <t>74,27</t>
        </is>
      </c>
      <c r="L832" s="63" t="inlineStr">
        <is>
          <t>0,00</t>
        </is>
      </c>
      <c r="M832" s="63" t="inlineStr">
        <is>
          <t>148,54</t>
        </is>
      </c>
      <c r="N832" s="63" t="inlineStr">
        <is>
          <t>172,31</t>
        </is>
      </c>
      <c r="O832" s="63" t="inlineStr">
        <is>
          <t>954,92</t>
        </is>
      </c>
      <c r="P832" s="63" t="inlineStr">
        <is>
          <t>1.107,71</t>
        </is>
      </c>
      <c r="Q832" s="65" t="n"/>
      <c r="R832" s="65" t="n"/>
      <c r="S832" s="65" t="n"/>
      <c r="T832" s="65" t="n"/>
      <c r="U832" s="65" t="n"/>
      <c r="V832" s="65" t="n"/>
    </row>
    <row r="833">
      <c r="A833" s="65" t="n"/>
      <c r="B833" s="65" t="n"/>
      <c r="C833" s="65" t="n"/>
      <c r="D833" s="65" t="n"/>
      <c r="E833" s="65" t="n"/>
      <c r="F833" s="65" t="n"/>
      <c r="G833" s="65" t="n"/>
      <c r="H833" s="65" t="inlineStr">
        <is>
          <t>[0013] ELITE API SN SAE 5W-30 (1x6)</t>
        </is>
      </c>
      <c r="I833" s="65" t="n">
        <v>13</v>
      </c>
      <c r="J833" s="63" t="inlineStr">
        <is>
          <t>2,00</t>
        </is>
      </c>
      <c r="K833" s="63" t="inlineStr">
        <is>
          <t>72,94</t>
        </is>
      </c>
      <c r="L833" s="63" t="inlineStr">
        <is>
          <t>0,00</t>
        </is>
      </c>
      <c r="M833" s="63" t="inlineStr">
        <is>
          <t>145,88</t>
        </is>
      </c>
      <c r="N833" s="63" t="inlineStr">
        <is>
          <t>169,22</t>
        </is>
      </c>
      <c r="O833" s="65" t="n"/>
      <c r="P833" s="65" t="n"/>
      <c r="Q833" s="65" t="n"/>
      <c r="R833" s="65" t="n"/>
      <c r="S833" s="65" t="n"/>
      <c r="T833" s="65" t="n"/>
      <c r="U833" s="65" t="n"/>
      <c r="V833" s="65" t="n"/>
    </row>
    <row r="834">
      <c r="A834" s="65" t="n"/>
      <c r="B834" s="65" t="n"/>
      <c r="C834" s="65" t="n"/>
      <c r="D834" s="65" t="n"/>
      <c r="E834" s="65" t="n"/>
      <c r="F834" s="65" t="n"/>
      <c r="G834" s="65" t="n"/>
      <c r="H834" s="65" t="inlineStr">
        <is>
          <t>[0025] SS EXTRA PROTECCION API SN SAE 10W-30 (Gasolina) (1x6)</t>
        </is>
      </c>
      <c r="I834" s="65" t="n">
        <v>25</v>
      </c>
      <c r="J834" s="63" t="inlineStr">
        <is>
          <t>2,00</t>
        </is>
      </c>
      <c r="K834" s="63" t="inlineStr">
        <is>
          <t>50,40</t>
        </is>
      </c>
      <c r="L834" s="63" t="inlineStr">
        <is>
          <t>0,00</t>
        </is>
      </c>
      <c r="M834" s="63" t="inlineStr">
        <is>
          <t>100,80</t>
        </is>
      </c>
      <c r="N834" s="63" t="inlineStr">
        <is>
          <t>116,93</t>
        </is>
      </c>
      <c r="O834" s="65" t="n"/>
      <c r="P834" s="65" t="n"/>
      <c r="Q834" s="65" t="n"/>
      <c r="R834" s="65" t="n"/>
      <c r="S834" s="65" t="n"/>
      <c r="T834" s="65" t="n"/>
      <c r="U834" s="65" t="n"/>
      <c r="V834" s="65" t="n"/>
    </row>
    <row r="835">
      <c r="A835" s="65" t="n"/>
      <c r="B835" s="65" t="n"/>
      <c r="C835" s="65" t="n"/>
      <c r="D835" s="65" t="n"/>
      <c r="E835" s="65" t="n"/>
      <c r="F835" s="65" t="n"/>
      <c r="G835" s="65" t="n"/>
      <c r="H835" s="65" t="inlineStr">
        <is>
          <t>[0877] SS EXTRA PROTECCION API SN SAE 15W-40 (1X12)</t>
        </is>
      </c>
      <c r="I835" s="65" t="n">
        <v>877</v>
      </c>
      <c r="J835" s="63" t="inlineStr">
        <is>
          <t>4,00</t>
        </is>
      </c>
      <c r="K835" s="63" t="inlineStr">
        <is>
          <t>100,80</t>
        </is>
      </c>
      <c r="L835" s="63" t="inlineStr">
        <is>
          <t>0,00</t>
        </is>
      </c>
      <c r="M835" s="63" t="inlineStr">
        <is>
          <t>403,20</t>
        </is>
      </c>
      <c r="N835" s="63" t="inlineStr">
        <is>
          <t>467,71</t>
        </is>
      </c>
      <c r="O835" s="65" t="n"/>
      <c r="P835" s="65" t="n"/>
      <c r="Q835" s="65" t="n"/>
      <c r="R835" s="65" t="n"/>
      <c r="S835" s="65" t="n"/>
      <c r="T835" s="65" t="n"/>
      <c r="U835" s="65" t="n"/>
      <c r="V835" s="65" t="n"/>
    </row>
    <row r="836">
      <c r="A836" s="65" t="n"/>
      <c r="B836" s="65" t="n"/>
      <c r="C836" s="65" t="n"/>
      <c r="D836" s="65" t="n"/>
      <c r="E836" s="65" t="n"/>
      <c r="F836" s="65" t="n"/>
      <c r="G836" s="65" t="n"/>
      <c r="H836" s="65" t="inlineStr">
        <is>
          <t>[0881] CLASICO API SL SAE 20W-50 (1x12)</t>
        </is>
      </c>
      <c r="I836" s="65" t="n">
        <v>881</v>
      </c>
      <c r="J836" s="63" t="inlineStr">
        <is>
          <t>1,00</t>
        </is>
      </c>
      <c r="K836" s="63" t="inlineStr">
        <is>
          <t>86,21</t>
        </is>
      </c>
      <c r="L836" s="63" t="inlineStr">
        <is>
          <t>0,00</t>
        </is>
      </c>
      <c r="M836" s="63" t="inlineStr">
        <is>
          <t>86,21</t>
        </is>
      </c>
      <c r="N836" s="63" t="inlineStr">
        <is>
          <t>100,00</t>
        </is>
      </c>
      <c r="O836" s="65" t="n"/>
      <c r="P836" s="65" t="n"/>
      <c r="Q836" s="65" t="n"/>
      <c r="R836" s="65" t="n"/>
      <c r="S836" s="65" t="n"/>
      <c r="T836" s="65" t="n"/>
      <c r="U836" s="65" t="n"/>
      <c r="V836" s="65" t="n"/>
    </row>
    <row r="837">
      <c r="A837" s="65" t="n"/>
      <c r="B837" s="65" t="n"/>
      <c r="C837" s="65" t="n"/>
      <c r="D837" s="65" t="n"/>
      <c r="E837" s="65" t="n"/>
      <c r="F837" s="65" t="n"/>
      <c r="G837" s="65" t="n"/>
      <c r="H837" s="65" t="inlineStr">
        <is>
          <t>[0792] REFRIGERANTE GLOBAL ROJO (1X3)</t>
        </is>
      </c>
      <c r="I837" s="65" t="n">
        <v>792</v>
      </c>
      <c r="J837" s="63" t="inlineStr">
        <is>
          <t>1,00</t>
        </is>
      </c>
      <c r="K837" s="63" t="inlineStr">
        <is>
          <t>34,48</t>
        </is>
      </c>
      <c r="L837" s="63" t="inlineStr">
        <is>
          <t>0,00</t>
        </is>
      </c>
      <c r="M837" s="63" t="inlineStr">
        <is>
          <t>34,48</t>
        </is>
      </c>
      <c r="N837" s="63" t="inlineStr">
        <is>
          <t>40,00</t>
        </is>
      </c>
      <c r="O837" s="65" t="n"/>
      <c r="P837" s="65" t="n"/>
      <c r="Q837" s="65" t="n"/>
      <c r="R837" s="65" t="n"/>
      <c r="S837" s="65" t="n"/>
      <c r="T837" s="65" t="n"/>
      <c r="U837" s="65" t="n"/>
      <c r="V837" s="65" t="n"/>
    </row>
    <row r="838">
      <c r="A838" s="65" t="n"/>
      <c r="B838" s="65" t="n"/>
      <c r="C838" s="65" t="n"/>
      <c r="D838" s="65" t="n"/>
      <c r="E838" s="65" t="n"/>
      <c r="F838" s="65" t="n"/>
      <c r="G838" s="65" t="n"/>
      <c r="H838" s="65" t="inlineStr">
        <is>
          <t>[0761] LIGA PARA FRENOS DOT-3 (1x12)</t>
        </is>
      </c>
      <c r="I838" s="65" t="n">
        <v>761</v>
      </c>
      <c r="J838" s="63" t="inlineStr">
        <is>
          <t>1,00</t>
        </is>
      </c>
      <c r="K838" s="63" t="inlineStr">
        <is>
          <t>35,81</t>
        </is>
      </c>
      <c r="L838" s="63" t="inlineStr">
        <is>
          <t>0,00</t>
        </is>
      </c>
      <c r="M838" s="63" t="inlineStr">
        <is>
          <t>35,81</t>
        </is>
      </c>
      <c r="N838" s="63" t="inlineStr">
        <is>
          <t>41,54</t>
        </is>
      </c>
      <c r="O838" s="65" t="n"/>
      <c r="P838" s="65" t="n"/>
      <c r="Q838" s="65" t="n"/>
      <c r="R838" s="65" t="n"/>
      <c r="S838" s="65" t="n"/>
      <c r="T838" s="65" t="n"/>
      <c r="U838" s="65" t="n"/>
      <c r="V838" s="65" t="n"/>
    </row>
    <row r="839">
      <c r="A839" s="65" t="inlineStr">
        <is>
          <t>S00466</t>
        </is>
      </c>
      <c r="B839" s="62" t="n">
        <v>46171.81891203704</v>
      </c>
      <c r="C839" s="65" t="inlineStr">
        <is>
          <t>Edgar salas</t>
        </is>
      </c>
      <c r="D839" s="65" t="inlineStr">
        <is>
          <t>REVERON DE CONTRERAS MELANI AUSMAR</t>
        </is>
      </c>
      <c r="E839" s="65" t="inlineStr">
        <is>
          <t>7 días</t>
        </is>
      </c>
      <c r="F839" s="65" t="n">
        <v>5</v>
      </c>
      <c r="G839" s="65" t="inlineStr">
        <is>
          <t>Pago VES</t>
        </is>
      </c>
      <c r="H839" s="65" t="inlineStr">
        <is>
          <t>[0779] SINOCO SAE 20W-50 (1x12)</t>
        </is>
      </c>
      <c r="I839" s="65" t="n">
        <v>779</v>
      </c>
      <c r="J839" s="63" t="inlineStr">
        <is>
          <t>1,00</t>
        </is>
      </c>
      <c r="K839" s="63" t="inlineStr">
        <is>
          <t>70,29</t>
        </is>
      </c>
      <c r="L839" s="63" t="inlineStr">
        <is>
          <t>0,00</t>
        </is>
      </c>
      <c r="M839" s="63" t="inlineStr">
        <is>
          <t>70,29</t>
        </is>
      </c>
      <c r="N839" s="63" t="inlineStr">
        <is>
          <t>81,54</t>
        </is>
      </c>
      <c r="O839" s="63" t="inlineStr">
        <is>
          <t>70,29</t>
        </is>
      </c>
      <c r="P839" s="63" t="inlineStr">
        <is>
          <t>81,54</t>
        </is>
      </c>
      <c r="Q839" s="63" t="inlineStr">
        <is>
          <t>563,29</t>
        </is>
      </c>
      <c r="R839" s="66" t="n">
        <v>46190</v>
      </c>
      <c r="S839" s="65" t="n">
        <v>183</v>
      </c>
      <c r="T839" s="65" t="inlineStr">
        <is>
          <t>00-00000644</t>
        </is>
      </c>
      <c r="U839" s="63" t="inlineStr">
        <is>
          <t>52,98</t>
        </is>
      </c>
      <c r="V839" s="63" t="inlineStr">
        <is>
          <t>0,00</t>
        </is>
      </c>
    </row>
    <row r="840">
      <c r="A840" s="65" t="inlineStr">
        <is>
          <t>S00465</t>
        </is>
      </c>
      <c r="B840" s="62" t="n">
        <v>46171.81822916667</v>
      </c>
      <c r="C840" s="65" t="inlineStr">
        <is>
          <t>Multiservicios gochi express 2024, c.a</t>
        </is>
      </c>
      <c r="D840" s="65" t="inlineStr">
        <is>
          <t>BETANCOURT ROBRIGUEZ LUIS ENRRIQUE</t>
        </is>
      </c>
      <c r="E840" s="65" t="inlineStr">
        <is>
          <t>7 días</t>
        </is>
      </c>
      <c r="F840" s="65" t="n">
        <v>5</v>
      </c>
      <c r="G840" s="65" t="inlineStr">
        <is>
          <t>Pago VES</t>
        </is>
      </c>
      <c r="H840" s="65" t="inlineStr">
        <is>
          <t>[0001] ELITE API SP SAE 0W-20 (1x6)</t>
        </is>
      </c>
      <c r="I840" s="65" t="n">
        <v>1</v>
      </c>
      <c r="J840" s="63" t="inlineStr">
        <is>
          <t>2,00</t>
        </is>
      </c>
      <c r="K840" s="63" t="inlineStr">
        <is>
          <t>74,27</t>
        </is>
      </c>
      <c r="L840" s="63" t="inlineStr">
        <is>
          <t>0,00</t>
        </is>
      </c>
      <c r="M840" s="63" t="inlineStr">
        <is>
          <t>148,54</t>
        </is>
      </c>
      <c r="N840" s="63" t="inlineStr">
        <is>
          <t>172,31</t>
        </is>
      </c>
      <c r="O840" s="63" t="inlineStr">
        <is>
          <t>244,03</t>
        </is>
      </c>
      <c r="P840" s="63" t="inlineStr">
        <is>
          <t>283,08</t>
        </is>
      </c>
      <c r="Q840" s="63" t="inlineStr">
        <is>
          <t>721,35</t>
        </is>
      </c>
      <c r="R840" s="66" t="n">
        <v>46216</v>
      </c>
      <c r="S840" s="65" t="n">
        <v>344</v>
      </c>
      <c r="T840" s="65" t="inlineStr">
        <is>
          <t>00-00000887</t>
        </is>
      </c>
      <c r="U840" s="63" t="inlineStr">
        <is>
          <t>283,06</t>
        </is>
      </c>
      <c r="V840" s="63" t="inlineStr">
        <is>
          <t>283,07</t>
        </is>
      </c>
    </row>
    <row r="841">
      <c r="A841" s="65" t="n"/>
      <c r="B841" s="65" t="n"/>
      <c r="C841" s="65" t="n"/>
      <c r="D841" s="65" t="n"/>
      <c r="E841" s="65" t="n"/>
      <c r="F841" s="65" t="n"/>
      <c r="G841" s="65" t="n"/>
      <c r="H841" s="65" t="inlineStr">
        <is>
          <t>[0884] TRANSMATIC ATF DEXRON III (1x12)</t>
        </is>
      </c>
      <c r="I841" s="65" t="n">
        <v>884</v>
      </c>
      <c r="J841" s="63" t="inlineStr">
        <is>
          <t>1,00</t>
        </is>
      </c>
      <c r="K841" s="63" t="inlineStr">
        <is>
          <t>95,49</t>
        </is>
      </c>
      <c r="L841" s="63" t="inlineStr">
        <is>
          <t>0,00</t>
        </is>
      </c>
      <c r="M841" s="63" t="inlineStr">
        <is>
          <t>95,49</t>
        </is>
      </c>
      <c r="N841" s="63" t="inlineStr">
        <is>
          <t>110,77</t>
        </is>
      </c>
      <c r="O841" s="65" t="n"/>
      <c r="P841" s="65" t="n"/>
      <c r="Q841" s="65" t="n"/>
      <c r="R841" s="65" t="n"/>
      <c r="S841" s="65" t="n"/>
      <c r="T841" s="65" t="n"/>
      <c r="U841" s="65" t="n"/>
      <c r="V841" s="65" t="n"/>
    </row>
    <row r="842">
      <c r="A842" s="65" t="inlineStr">
        <is>
          <t>S00458</t>
        </is>
      </c>
      <c r="B842" s="62" t="n">
        <v>46171.43643518518</v>
      </c>
      <c r="C842" s="65" t="inlineStr">
        <is>
          <t>Comercializadora 1108,c.a.</t>
        </is>
      </c>
      <c r="D842" s="65" t="inlineStr">
        <is>
          <t>CASERES GONZALEZ RONALD OSWALDO</t>
        </is>
      </c>
      <c r="E842" s="65" t="inlineStr">
        <is>
          <t>30 días</t>
        </is>
      </c>
      <c r="F842" s="65" t="n">
        <v>5</v>
      </c>
      <c r="G842" s="65" t="inlineStr">
        <is>
          <t>Pago VES</t>
        </is>
      </c>
      <c r="H842" s="65" t="inlineStr">
        <is>
          <t>[0001] ELITE API SP SAE 0W-20 (1x6)</t>
        </is>
      </c>
      <c r="I842" s="65" t="n">
        <v>1</v>
      </c>
      <c r="J842" s="63" t="inlineStr">
        <is>
          <t>5,00</t>
        </is>
      </c>
      <c r="K842" s="63" t="inlineStr">
        <is>
          <t>74,27</t>
        </is>
      </c>
      <c r="L842" s="63" t="inlineStr">
        <is>
          <t>0,00</t>
        </is>
      </c>
      <c r="M842" s="63" t="inlineStr">
        <is>
          <t>371,35</t>
        </is>
      </c>
      <c r="N842" s="63" t="inlineStr">
        <is>
          <t>430,77</t>
        </is>
      </c>
      <c r="O842" s="63" t="inlineStr">
        <is>
          <t>18.226,84</t>
        </is>
      </c>
      <c r="P842" s="63" t="inlineStr">
        <is>
          <t>21.143,12</t>
        </is>
      </c>
      <c r="Q842" s="65" t="n"/>
      <c r="R842" s="65" t="n"/>
      <c r="S842" s="65" t="n"/>
      <c r="T842" s="65" t="n"/>
      <c r="U842" s="65" t="n"/>
      <c r="V842" s="65" t="n"/>
    </row>
    <row r="843">
      <c r="A843" s="65" t="n"/>
      <c r="B843" s="65" t="n"/>
      <c r="C843" s="65" t="n"/>
      <c r="D843" s="65" t="n"/>
      <c r="E843" s="65" t="n"/>
      <c r="F843" s="65" t="n"/>
      <c r="G843" s="65" t="n"/>
      <c r="H843" s="65" t="inlineStr">
        <is>
          <t>[0007] ELITE API SN SAE 5W-20 (1x6)</t>
        </is>
      </c>
      <c r="I843" s="65" t="n">
        <v>7</v>
      </c>
      <c r="J843" s="63" t="inlineStr">
        <is>
          <t>5,00</t>
        </is>
      </c>
      <c r="K843" s="63" t="inlineStr">
        <is>
          <t>72,94</t>
        </is>
      </c>
      <c r="L843" s="63" t="inlineStr">
        <is>
          <t>0,00</t>
        </is>
      </c>
      <c r="M843" s="63" t="inlineStr">
        <is>
          <t>364,70</t>
        </is>
      </c>
      <c r="N843" s="63" t="inlineStr">
        <is>
          <t>423,05</t>
        </is>
      </c>
      <c r="O843" s="65" t="n"/>
      <c r="P843" s="65" t="n"/>
      <c r="Q843" s="65" t="n"/>
      <c r="R843" s="65" t="n"/>
      <c r="S843" s="65" t="n"/>
      <c r="T843" s="65" t="n"/>
      <c r="U843" s="65" t="n"/>
      <c r="V843" s="65" t="n"/>
    </row>
    <row r="844">
      <c r="A844" s="65" t="n"/>
      <c r="B844" s="65" t="n"/>
      <c r="C844" s="65" t="n"/>
      <c r="D844" s="65" t="n"/>
      <c r="E844" s="65" t="n"/>
      <c r="F844" s="65" t="n"/>
      <c r="G844" s="65" t="n"/>
      <c r="H844" s="65" t="inlineStr">
        <is>
          <t>[0013] ELITE API SN SAE 5W-30 (1x6)</t>
        </is>
      </c>
      <c r="I844" s="65" t="n">
        <v>13</v>
      </c>
      <c r="J844" s="63" t="inlineStr">
        <is>
          <t>5,00</t>
        </is>
      </c>
      <c r="K844" s="63" t="inlineStr">
        <is>
          <t>72,94</t>
        </is>
      </c>
      <c r="L844" s="63" t="inlineStr">
        <is>
          <t>0,00</t>
        </is>
      </c>
      <c r="M844" s="63" t="inlineStr">
        <is>
          <t>364,70</t>
        </is>
      </c>
      <c r="N844" s="63" t="inlineStr">
        <is>
          <t>423,05</t>
        </is>
      </c>
      <c r="O844" s="65" t="n"/>
      <c r="P844" s="65" t="n"/>
      <c r="Q844" s="65" t="n"/>
      <c r="R844" s="65" t="n"/>
      <c r="S844" s="65" t="n"/>
      <c r="T844" s="65" t="n"/>
      <c r="U844" s="65" t="n"/>
      <c r="V844" s="65" t="n"/>
    </row>
    <row r="845">
      <c r="A845" s="65" t="n"/>
      <c r="B845" s="65" t="n"/>
      <c r="C845" s="65" t="n"/>
      <c r="D845" s="65" t="n"/>
      <c r="E845" s="65" t="n"/>
      <c r="F845" s="65" t="n"/>
      <c r="G845" s="65" t="n"/>
      <c r="H845" s="65" t="inlineStr">
        <is>
          <t>[0019] ELITE API SN SAE 5W-40 (1x6)</t>
        </is>
      </c>
      <c r="I845" s="65" t="n">
        <v>19</v>
      </c>
      <c r="J845" s="63" t="inlineStr">
        <is>
          <t>5,00</t>
        </is>
      </c>
      <c r="K845" s="63" t="inlineStr">
        <is>
          <t>72,94</t>
        </is>
      </c>
      <c r="L845" s="63" t="inlineStr">
        <is>
          <t>0,00</t>
        </is>
      </c>
      <c r="M845" s="63" t="inlineStr">
        <is>
          <t>364,70</t>
        </is>
      </c>
      <c r="N845" s="63" t="inlineStr">
        <is>
          <t>423,05</t>
        </is>
      </c>
      <c r="O845" s="65" t="n"/>
      <c r="P845" s="65" t="n"/>
      <c r="Q845" s="65" t="n"/>
      <c r="R845" s="65" t="n"/>
      <c r="S845" s="65" t="n"/>
      <c r="T845" s="65" t="n"/>
      <c r="U845" s="65" t="n"/>
      <c r="V845" s="65" t="n"/>
    </row>
    <row r="846">
      <c r="A846" s="65" t="n"/>
      <c r="B846" s="65" t="n"/>
      <c r="C846" s="65" t="n"/>
      <c r="D846" s="65" t="n"/>
      <c r="E846" s="65" t="n"/>
      <c r="F846" s="65" t="n"/>
      <c r="G846" s="65" t="n"/>
      <c r="H846" s="65" t="inlineStr">
        <is>
          <t>[0025] SS EXTRA PROTECCION API SN SAE 10W-30 (Gasolina) (1x6)</t>
        </is>
      </c>
      <c r="I846" s="65" t="n">
        <v>25</v>
      </c>
      <c r="J846" s="63" t="inlineStr">
        <is>
          <t>5,00</t>
        </is>
      </c>
      <c r="K846" s="63" t="inlineStr">
        <is>
          <t>50,40</t>
        </is>
      </c>
      <c r="L846" s="63" t="inlineStr">
        <is>
          <t>0,00</t>
        </is>
      </c>
      <c r="M846" s="63" t="inlineStr">
        <is>
          <t>252,00</t>
        </is>
      </c>
      <c r="N846" s="63" t="inlineStr">
        <is>
          <t>292,32</t>
        </is>
      </c>
      <c r="O846" s="65" t="n"/>
      <c r="P846" s="65" t="n"/>
      <c r="Q846" s="65" t="n"/>
      <c r="R846" s="65" t="n"/>
      <c r="S846" s="65" t="n"/>
      <c r="T846" s="65" t="n"/>
      <c r="U846" s="65" t="n"/>
      <c r="V846" s="65" t="n"/>
    </row>
    <row r="847">
      <c r="A847" s="65" t="n"/>
      <c r="B847" s="65" t="n"/>
      <c r="C847" s="65" t="n"/>
      <c r="D847" s="65" t="n"/>
      <c r="E847" s="65" t="n"/>
      <c r="F847" s="65" t="n"/>
      <c r="G847" s="65" t="n"/>
      <c r="H847" s="65" t="inlineStr">
        <is>
          <t>[0877] SS EXTRA PROTECCION API SN SAE 15W-40 (1X12)</t>
        </is>
      </c>
      <c r="I847" s="65" t="n">
        <v>877</v>
      </c>
      <c r="J847" s="63" t="inlineStr">
        <is>
          <t>35,00</t>
        </is>
      </c>
      <c r="K847" s="63" t="inlineStr">
        <is>
          <t>100,80</t>
        </is>
      </c>
      <c r="L847" s="63" t="inlineStr">
        <is>
          <t>0,00</t>
        </is>
      </c>
      <c r="M847" s="63" t="inlineStr">
        <is>
          <t>3.528,00</t>
        </is>
      </c>
      <c r="N847" s="63" t="inlineStr">
        <is>
          <t>4.092,48</t>
        </is>
      </c>
      <c r="O847" s="65" t="n"/>
      <c r="P847" s="65" t="n"/>
      <c r="Q847" s="65" t="n"/>
      <c r="R847" s="65" t="n"/>
      <c r="S847" s="65" t="n"/>
      <c r="T847" s="65" t="n"/>
      <c r="U847" s="65" t="n"/>
      <c r="V847" s="65" t="n"/>
    </row>
    <row r="848">
      <c r="A848" s="65" t="n"/>
      <c r="B848" s="65" t="n"/>
      <c r="C848" s="65" t="n"/>
      <c r="D848" s="65" t="n"/>
      <c r="E848" s="65" t="n"/>
      <c r="F848" s="65" t="n"/>
      <c r="G848" s="65" t="n"/>
      <c r="H848" s="65" t="inlineStr">
        <is>
          <t>[0937] SS EXTRA PROTECCION API SN SAE 15W-40 (1X3)</t>
        </is>
      </c>
      <c r="I848" s="65" t="n">
        <v>937</v>
      </c>
      <c r="J848" s="63" t="inlineStr">
        <is>
          <t>5,00</t>
        </is>
      </c>
      <c r="K848" s="63" t="inlineStr">
        <is>
          <t>104,77</t>
        </is>
      </c>
      <c r="L848" s="63" t="inlineStr">
        <is>
          <t>0,00</t>
        </is>
      </c>
      <c r="M848" s="63" t="inlineStr">
        <is>
          <t>523,85</t>
        </is>
      </c>
      <c r="N848" s="63" t="inlineStr">
        <is>
          <t>607,67</t>
        </is>
      </c>
      <c r="O848" s="65" t="n"/>
      <c r="P848" s="65" t="n"/>
      <c r="Q848" s="65" t="n"/>
      <c r="R848" s="65" t="n"/>
      <c r="S848" s="65" t="n"/>
      <c r="T848" s="65" t="n"/>
      <c r="U848" s="65" t="n"/>
      <c r="V848" s="65" t="n"/>
    </row>
    <row r="849">
      <c r="A849" s="65" t="n"/>
      <c r="B849" s="65" t="n"/>
      <c r="C849" s="65" t="n"/>
      <c r="D849" s="65" t="n"/>
      <c r="E849" s="65" t="n"/>
      <c r="F849" s="65" t="n"/>
      <c r="G849" s="65" t="n"/>
      <c r="H849" s="65" t="inlineStr">
        <is>
          <t>[0878] SS EXTRA PROTECCION API SN SAE 20W-50 (1x12)</t>
        </is>
      </c>
      <c r="I849" s="65" t="n">
        <v>878</v>
      </c>
      <c r="J849" s="63" t="inlineStr">
        <is>
          <t>20,00</t>
        </is>
      </c>
      <c r="K849" s="63" t="inlineStr">
        <is>
          <t>100,80</t>
        </is>
      </c>
      <c r="L849" s="63" t="inlineStr">
        <is>
          <t>0,00</t>
        </is>
      </c>
      <c r="M849" s="63" t="inlineStr">
        <is>
          <t>2.016,00</t>
        </is>
      </c>
      <c r="N849" s="63" t="inlineStr">
        <is>
          <t>2.338,56</t>
        </is>
      </c>
      <c r="O849" s="65" t="n"/>
      <c r="P849" s="65" t="n"/>
      <c r="Q849" s="65" t="n"/>
      <c r="R849" s="65" t="n"/>
      <c r="S849" s="65" t="n"/>
      <c r="T849" s="65" t="n"/>
      <c r="U849" s="65" t="n"/>
      <c r="V849" s="65" t="n"/>
    </row>
    <row r="850">
      <c r="A850" s="65" t="n"/>
      <c r="B850" s="65" t="n"/>
      <c r="C850" s="65" t="n"/>
      <c r="D850" s="65" t="n"/>
      <c r="E850" s="65" t="n"/>
      <c r="F850" s="65" t="n"/>
      <c r="G850" s="65" t="n"/>
      <c r="H850" s="65" t="inlineStr">
        <is>
          <t>[0880] CLASICO API SL SAE 15W-40 (1x12)</t>
        </is>
      </c>
      <c r="I850" s="65" t="n">
        <v>880</v>
      </c>
      <c r="J850" s="63" t="inlineStr">
        <is>
          <t>15,00</t>
        </is>
      </c>
      <c r="K850" s="63" t="inlineStr">
        <is>
          <t>86,21</t>
        </is>
      </c>
      <c r="L850" s="63" t="inlineStr">
        <is>
          <t>0,00</t>
        </is>
      </c>
      <c r="M850" s="63" t="inlineStr">
        <is>
          <t>1.293,15</t>
        </is>
      </c>
      <c r="N850" s="63" t="inlineStr">
        <is>
          <t>1.500,05</t>
        </is>
      </c>
      <c r="O850" s="65" t="n"/>
      <c r="P850" s="65" t="n"/>
      <c r="Q850" s="65" t="n"/>
      <c r="R850" s="65" t="n"/>
      <c r="S850" s="65" t="n"/>
      <c r="T850" s="65" t="n"/>
      <c r="U850" s="65" t="n"/>
      <c r="V850" s="65" t="n"/>
    </row>
    <row r="851">
      <c r="A851" s="65" t="n"/>
      <c r="B851" s="65" t="n"/>
      <c r="C851" s="65" t="n"/>
      <c r="D851" s="65" t="n"/>
      <c r="E851" s="65" t="n"/>
      <c r="F851" s="65" t="n"/>
      <c r="G851" s="65" t="n"/>
      <c r="H851" s="65" t="inlineStr">
        <is>
          <t>[0881] CLASICO API SL SAE 20W-50 (1x12)</t>
        </is>
      </c>
      <c r="I851" s="65" t="n">
        <v>881</v>
      </c>
      <c r="J851" s="63" t="inlineStr">
        <is>
          <t>20,00</t>
        </is>
      </c>
      <c r="K851" s="63" t="inlineStr">
        <is>
          <t>86,21</t>
        </is>
      </c>
      <c r="L851" s="63" t="inlineStr">
        <is>
          <t>0,00</t>
        </is>
      </c>
      <c r="M851" s="63" t="inlineStr">
        <is>
          <t>1.724,20</t>
        </is>
      </c>
      <c r="N851" s="63" t="inlineStr">
        <is>
          <t>2.000,07</t>
        </is>
      </c>
      <c r="O851" s="65" t="n"/>
      <c r="P851" s="65" t="n"/>
      <c r="Q851" s="65" t="n"/>
      <c r="R851" s="65" t="n"/>
      <c r="S851" s="65" t="n"/>
      <c r="T851" s="65" t="n"/>
      <c r="U851" s="65" t="n"/>
      <c r="V851" s="65" t="n"/>
    </row>
    <row r="852">
      <c r="A852" s="65" t="n"/>
      <c r="B852" s="65" t="n"/>
      <c r="C852" s="65" t="n"/>
      <c r="D852" s="65" t="n"/>
      <c r="E852" s="65" t="n"/>
      <c r="F852" s="65" t="n"/>
      <c r="G852" s="65" t="n"/>
      <c r="H852" s="65" t="inlineStr">
        <is>
          <t>[0938] CLASICO API SL SAE 20W-50 (1X3)</t>
        </is>
      </c>
      <c r="I852" s="65" t="n">
        <v>938</v>
      </c>
      <c r="J852" s="63" t="inlineStr">
        <is>
          <t>5,00</t>
        </is>
      </c>
      <c r="K852" s="63" t="inlineStr">
        <is>
          <t>94,16</t>
        </is>
      </c>
      <c r="L852" s="63" t="inlineStr">
        <is>
          <t>0,00</t>
        </is>
      </c>
      <c r="M852" s="63" t="inlineStr">
        <is>
          <t>470,80</t>
        </is>
      </c>
      <c r="N852" s="63" t="inlineStr">
        <is>
          <t>546,13</t>
        </is>
      </c>
      <c r="O852" s="65" t="n"/>
      <c r="P852" s="65" t="n"/>
      <c r="Q852" s="65" t="n"/>
      <c r="R852" s="65" t="n"/>
      <c r="S852" s="65" t="n"/>
      <c r="T852" s="65" t="n"/>
      <c r="U852" s="65" t="n"/>
      <c r="V852" s="65" t="n"/>
    </row>
    <row r="853">
      <c r="A853" s="65" t="n"/>
      <c r="B853" s="65" t="n"/>
      <c r="C853" s="65" t="n"/>
      <c r="D853" s="65" t="n"/>
      <c r="E853" s="65" t="n"/>
      <c r="F853" s="65" t="n"/>
      <c r="G853" s="65" t="n"/>
      <c r="H853" s="65" t="inlineStr">
        <is>
          <t>[0473] SS EXTRA PROTECCION API CI-4 10W-30 (Diesel) (1x6)</t>
        </is>
      </c>
      <c r="I853" s="65" t="n">
        <v>473</v>
      </c>
      <c r="J853" s="63" t="inlineStr">
        <is>
          <t>5,00</t>
        </is>
      </c>
      <c r="K853" s="63" t="inlineStr">
        <is>
          <t>55,70</t>
        </is>
      </c>
      <c r="L853" s="63" t="inlineStr">
        <is>
          <t>0,00</t>
        </is>
      </c>
      <c r="M853" s="63" t="inlineStr">
        <is>
          <t>278,50</t>
        </is>
      </c>
      <c r="N853" s="63" t="inlineStr">
        <is>
          <t>323,06</t>
        </is>
      </c>
      <c r="O853" s="65" t="n"/>
      <c r="P853" s="65" t="n"/>
      <c r="Q853" s="65" t="n"/>
      <c r="R853" s="65" t="n"/>
      <c r="S853" s="65" t="n"/>
      <c r="T853" s="65" t="n"/>
      <c r="U853" s="65" t="n"/>
      <c r="V853" s="65" t="n"/>
    </row>
    <row r="854">
      <c r="A854" s="65" t="n"/>
      <c r="B854" s="65" t="n"/>
      <c r="C854" s="65" t="n"/>
      <c r="D854" s="65" t="n"/>
      <c r="E854" s="65" t="n"/>
      <c r="F854" s="65" t="n"/>
      <c r="G854" s="65" t="n"/>
      <c r="H854" s="65" t="inlineStr">
        <is>
          <t>[0939] SUPREMO API CI-4 SAE 15W-40 (1X3)</t>
        </is>
      </c>
      <c r="I854" s="65" t="n">
        <v>939</v>
      </c>
      <c r="J854" s="63" t="inlineStr">
        <is>
          <t>3,00</t>
        </is>
      </c>
      <c r="K854" s="63" t="inlineStr">
        <is>
          <t>122,02</t>
        </is>
      </c>
      <c r="L854" s="63" t="inlineStr">
        <is>
          <t>0,00</t>
        </is>
      </c>
      <c r="M854" s="63" t="inlineStr">
        <is>
          <t>366,06</t>
        </is>
      </c>
      <c r="N854" s="63" t="inlineStr">
        <is>
          <t>424,63</t>
        </is>
      </c>
      <c r="O854" s="65" t="n"/>
      <c r="P854" s="65" t="n"/>
      <c r="Q854" s="65" t="n"/>
      <c r="R854" s="65" t="n"/>
      <c r="S854" s="65" t="n"/>
      <c r="T854" s="65" t="n"/>
      <c r="U854" s="65" t="n"/>
      <c r="V854" s="65" t="n"/>
    </row>
    <row r="855">
      <c r="A855" s="65" t="n"/>
      <c r="B855" s="65" t="n"/>
      <c r="C855" s="65" t="n"/>
      <c r="D855" s="65" t="n"/>
      <c r="E855" s="65" t="n"/>
      <c r="F855" s="65" t="n"/>
      <c r="G855" s="65" t="n"/>
      <c r="H855" s="65" t="inlineStr">
        <is>
          <t>[0940] MAXIMO API CF/SF SAE 50 (1X3)</t>
        </is>
      </c>
      <c r="I855" s="65" t="n">
        <v>940</v>
      </c>
      <c r="J855" s="63" t="inlineStr">
        <is>
          <t>3,00</t>
        </is>
      </c>
      <c r="K855" s="63" t="inlineStr">
        <is>
          <t>108,75</t>
        </is>
      </c>
      <c r="L855" s="63" t="inlineStr">
        <is>
          <t>0,00</t>
        </is>
      </c>
      <c r="M855" s="63" t="inlineStr">
        <is>
          <t>326,25</t>
        </is>
      </c>
      <c r="N855" s="63" t="inlineStr">
        <is>
          <t>378,45</t>
        </is>
      </c>
      <c r="O855" s="65" t="n"/>
      <c r="P855" s="65" t="n"/>
      <c r="Q855" s="65" t="n"/>
      <c r="R855" s="65" t="n"/>
      <c r="S855" s="65" t="n"/>
      <c r="T855" s="65" t="n"/>
      <c r="U855" s="65" t="n"/>
      <c r="V855" s="65" t="n"/>
    </row>
    <row r="856">
      <c r="A856" s="65" t="n"/>
      <c r="B856" s="65" t="n"/>
      <c r="C856" s="65" t="n"/>
      <c r="D856" s="65" t="n"/>
      <c r="E856" s="65" t="n"/>
      <c r="F856" s="65" t="n"/>
      <c r="G856" s="65" t="n"/>
      <c r="H856" s="65" t="inlineStr">
        <is>
          <t>[0888] ENDUROGLOB 2T AIRE (1x12)</t>
        </is>
      </c>
      <c r="I856" s="65" t="n">
        <v>888</v>
      </c>
      <c r="J856" s="63" t="inlineStr">
        <is>
          <t>2,00</t>
        </is>
      </c>
      <c r="K856" s="63" t="inlineStr">
        <is>
          <t>99,47</t>
        </is>
      </c>
      <c r="L856" s="63" t="inlineStr">
        <is>
          <t>0,00</t>
        </is>
      </c>
      <c r="M856" s="63" t="inlineStr">
        <is>
          <t>198,94</t>
        </is>
      </c>
      <c r="N856" s="63" t="inlineStr">
        <is>
          <t>230,77</t>
        </is>
      </c>
      <c r="O856" s="65" t="n"/>
      <c r="P856" s="65" t="n"/>
      <c r="Q856" s="65" t="n"/>
      <c r="R856" s="65" t="n"/>
      <c r="S856" s="65" t="n"/>
      <c r="T856" s="65" t="n"/>
      <c r="U856" s="65" t="n"/>
      <c r="V856" s="65" t="n"/>
    </row>
    <row r="857">
      <c r="A857" s="65" t="n"/>
      <c r="B857" s="65" t="n"/>
      <c r="C857" s="65" t="n"/>
      <c r="D857" s="65" t="n"/>
      <c r="E857" s="65" t="n"/>
      <c r="F857" s="65" t="n"/>
      <c r="G857" s="65" t="n"/>
      <c r="H857" s="65" t="inlineStr">
        <is>
          <t>[0093] ALTA CILINDRADA SS API SN SAE 15W-40 (1x6)</t>
        </is>
      </c>
      <c r="I857" s="65" t="n">
        <v>93</v>
      </c>
      <c r="J857" s="63" t="inlineStr">
        <is>
          <t>2,00</t>
        </is>
      </c>
      <c r="K857" s="63" t="inlineStr">
        <is>
          <t>46,42</t>
        </is>
      </c>
      <c r="L857" s="63" t="inlineStr">
        <is>
          <t>0,00</t>
        </is>
      </c>
      <c r="M857" s="63" t="inlineStr">
        <is>
          <t>92,84</t>
        </is>
      </c>
      <c r="N857" s="63" t="inlineStr">
        <is>
          <t>107,69</t>
        </is>
      </c>
      <c r="O857" s="65" t="n"/>
      <c r="P857" s="65" t="n"/>
      <c r="Q857" s="65" t="n"/>
      <c r="R857" s="65" t="n"/>
      <c r="S857" s="65" t="n"/>
      <c r="T857" s="65" t="n"/>
      <c r="U857" s="65" t="n"/>
      <c r="V857" s="65" t="n"/>
    </row>
    <row r="858">
      <c r="A858" s="65" t="n"/>
      <c r="B858" s="65" t="n"/>
      <c r="C858" s="65" t="n"/>
      <c r="D858" s="65" t="n"/>
      <c r="E858" s="65" t="n"/>
      <c r="F858" s="65" t="n"/>
      <c r="G858" s="65" t="n"/>
      <c r="H858" s="65" t="inlineStr">
        <is>
          <t>[0884] TRANSMATIC ATF DEXRON III (1x12)</t>
        </is>
      </c>
      <c r="I858" s="65" t="n">
        <v>884</v>
      </c>
      <c r="J858" s="63" t="inlineStr">
        <is>
          <t>10,00</t>
        </is>
      </c>
      <c r="K858" s="63" t="inlineStr">
        <is>
          <t>95,49</t>
        </is>
      </c>
      <c r="L858" s="63" t="inlineStr">
        <is>
          <t>0,00</t>
        </is>
      </c>
      <c r="M858" s="63" t="inlineStr">
        <is>
          <t>954,90</t>
        </is>
      </c>
      <c r="N858" s="63" t="inlineStr">
        <is>
          <t>1.107,68</t>
        </is>
      </c>
      <c r="O858" s="65" t="n"/>
      <c r="P858" s="65" t="n"/>
      <c r="Q858" s="65" t="n"/>
      <c r="R858" s="65" t="n"/>
      <c r="S858" s="65" t="n"/>
      <c r="T858" s="65" t="n"/>
      <c r="U858" s="65" t="n"/>
      <c r="V858" s="65" t="n"/>
    </row>
    <row r="859">
      <c r="A859" s="65" t="n"/>
      <c r="B859" s="65" t="n"/>
      <c r="C859" s="65" t="n"/>
      <c r="D859" s="65" t="n"/>
      <c r="E859" s="65" t="n"/>
      <c r="F859" s="65" t="n"/>
      <c r="G859" s="65" t="n"/>
      <c r="H859" s="65" t="inlineStr">
        <is>
          <t>[0885] TRANSMATIC ATF MERCON V (1x12)</t>
        </is>
      </c>
      <c r="I859" s="65" t="n">
        <v>885</v>
      </c>
      <c r="J859" s="63" t="inlineStr">
        <is>
          <t>2,00</t>
        </is>
      </c>
      <c r="K859" s="63" t="inlineStr">
        <is>
          <t>157,82</t>
        </is>
      </c>
      <c r="L859" s="63" t="inlineStr">
        <is>
          <t>0,00</t>
        </is>
      </c>
      <c r="M859" s="63" t="inlineStr">
        <is>
          <t>315,64</t>
        </is>
      </c>
      <c r="N859" s="63" t="inlineStr">
        <is>
          <t>366,14</t>
        </is>
      </c>
      <c r="O859" s="65" t="n"/>
      <c r="P859" s="65" t="n"/>
      <c r="Q859" s="65" t="n"/>
      <c r="R859" s="65" t="n"/>
      <c r="S859" s="65" t="n"/>
      <c r="T859" s="65" t="n"/>
      <c r="U859" s="65" t="n"/>
      <c r="V859" s="65" t="n"/>
    </row>
    <row r="860">
      <c r="A860" s="65" t="n"/>
      <c r="B860" s="65" t="n"/>
      <c r="C860" s="65" t="n"/>
      <c r="D860" s="65" t="n"/>
      <c r="E860" s="65" t="n"/>
      <c r="F860" s="65" t="n"/>
      <c r="G860" s="65" t="n"/>
      <c r="H860" s="65" t="inlineStr">
        <is>
          <t>[0886] TRANSMATIC DEXRON VI (1x12)</t>
        </is>
      </c>
      <c r="I860" s="65" t="n">
        <v>886</v>
      </c>
      <c r="J860" s="63" t="inlineStr">
        <is>
          <t>2,00</t>
        </is>
      </c>
      <c r="K860" s="63" t="inlineStr">
        <is>
          <t>157,82</t>
        </is>
      </c>
      <c r="L860" s="63" t="inlineStr">
        <is>
          <t>0,00</t>
        </is>
      </c>
      <c r="M860" s="63" t="inlineStr">
        <is>
          <t>315,64</t>
        </is>
      </c>
      <c r="N860" s="63" t="inlineStr">
        <is>
          <t>366,14</t>
        </is>
      </c>
      <c r="O860" s="65" t="n"/>
      <c r="P860" s="65" t="n"/>
      <c r="Q860" s="65" t="n"/>
      <c r="R860" s="65" t="n"/>
      <c r="S860" s="65" t="n"/>
      <c r="T860" s="65" t="n"/>
      <c r="U860" s="65" t="n"/>
      <c r="V860" s="65" t="n"/>
    </row>
    <row r="861">
      <c r="A861" s="65" t="n"/>
      <c r="B861" s="65" t="n"/>
      <c r="C861" s="65" t="n"/>
      <c r="D861" s="65" t="n"/>
      <c r="E861" s="65" t="n"/>
      <c r="F861" s="65" t="n"/>
      <c r="G861" s="65" t="n"/>
      <c r="H861" s="65" t="inlineStr">
        <is>
          <t>[0121] TRANSGLOB API GL-5 SAE 80W-90 (1x6)</t>
        </is>
      </c>
      <c r="I861" s="65" t="n">
        <v>121</v>
      </c>
      <c r="J861" s="63" t="inlineStr">
        <is>
          <t>5,00</t>
        </is>
      </c>
      <c r="K861" s="63" t="inlineStr">
        <is>
          <t>51,72</t>
        </is>
      </c>
      <c r="L861" s="63" t="inlineStr">
        <is>
          <t>0,00</t>
        </is>
      </c>
      <c r="M861" s="63" t="inlineStr">
        <is>
          <t>258,60</t>
        </is>
      </c>
      <c r="N861" s="63" t="inlineStr">
        <is>
          <t>299,98</t>
        </is>
      </c>
      <c r="O861" s="65" t="n"/>
      <c r="P861" s="65" t="n"/>
      <c r="Q861" s="65" t="n"/>
      <c r="R861" s="65" t="n"/>
      <c r="S861" s="65" t="n"/>
      <c r="T861" s="65" t="n"/>
      <c r="U861" s="65" t="n"/>
      <c r="V861" s="65" t="n"/>
    </row>
    <row r="862">
      <c r="A862" s="65" t="n"/>
      <c r="B862" s="65" t="n"/>
      <c r="C862" s="65" t="n"/>
      <c r="D862" s="65" t="n"/>
      <c r="E862" s="65" t="n"/>
      <c r="F862" s="65" t="n"/>
      <c r="G862" s="65" t="n"/>
      <c r="H862" s="65" t="inlineStr">
        <is>
          <t>[0127] TRANSGLOB API GL-5 SAE 85W-140 (1x6)</t>
        </is>
      </c>
      <c r="I862" s="65" t="n">
        <v>127</v>
      </c>
      <c r="J862" s="63" t="inlineStr">
        <is>
          <t>5,00</t>
        </is>
      </c>
      <c r="K862" s="63" t="inlineStr">
        <is>
          <t>53,05</t>
        </is>
      </c>
      <c r="L862" s="63" t="inlineStr">
        <is>
          <t>0,00</t>
        </is>
      </c>
      <c r="M862" s="63" t="inlineStr">
        <is>
          <t>265,25</t>
        </is>
      </c>
      <c r="N862" s="63" t="inlineStr">
        <is>
          <t>307,69</t>
        </is>
      </c>
      <c r="O862" s="65" t="n"/>
      <c r="P862" s="65" t="n"/>
      <c r="Q862" s="65" t="n"/>
      <c r="R862" s="65" t="n"/>
      <c r="S862" s="65" t="n"/>
      <c r="T862" s="65" t="n"/>
      <c r="U862" s="65" t="n"/>
      <c r="V862" s="65" t="n"/>
    </row>
    <row r="863">
      <c r="A863" s="65" t="n"/>
      <c r="B863" s="65" t="n"/>
      <c r="C863" s="65" t="n"/>
      <c r="D863" s="65" t="n"/>
      <c r="E863" s="65" t="n"/>
      <c r="F863" s="65" t="n"/>
      <c r="G863" s="65" t="n"/>
      <c r="H863" s="65" t="inlineStr">
        <is>
          <t>[0561] MEJORADOR DE OCTANAJE GLOBAL OIL PACK (1X12)</t>
        </is>
      </c>
      <c r="I863" s="65" t="n">
        <v>561</v>
      </c>
      <c r="J863" s="63" t="inlineStr">
        <is>
          <t>10,00</t>
        </is>
      </c>
      <c r="K863" s="63" t="inlineStr">
        <is>
          <t>51,72</t>
        </is>
      </c>
      <c r="L863" s="63" t="inlineStr">
        <is>
          <t>0,00</t>
        </is>
      </c>
      <c r="M863" s="63" t="inlineStr">
        <is>
          <t>517,20</t>
        </is>
      </c>
      <c r="N863" s="63" t="inlineStr">
        <is>
          <t>599,95</t>
        </is>
      </c>
      <c r="O863" s="65" t="n"/>
      <c r="P863" s="65" t="n"/>
      <c r="Q863" s="65" t="n"/>
      <c r="R863" s="65" t="n"/>
      <c r="S863" s="65" t="n"/>
      <c r="T863" s="65" t="n"/>
      <c r="U863" s="65" t="n"/>
      <c r="V863" s="65" t="n"/>
    </row>
    <row r="864">
      <c r="A864" s="65" t="n"/>
      <c r="B864" s="65" t="n"/>
      <c r="C864" s="65" t="n"/>
      <c r="D864" s="65" t="n"/>
      <c r="E864" s="65" t="n"/>
      <c r="F864" s="65" t="n"/>
      <c r="G864" s="65" t="n"/>
      <c r="H864" s="65" t="inlineStr">
        <is>
          <t>[0761] LIGA PARA FRENOS DOT-3 (1x12)</t>
        </is>
      </c>
      <c r="I864" s="65" t="n">
        <v>761</v>
      </c>
      <c r="J864" s="63" t="inlineStr">
        <is>
          <t>10,00</t>
        </is>
      </c>
      <c r="K864" s="63" t="inlineStr">
        <is>
          <t>35,81</t>
        </is>
      </c>
      <c r="L864" s="63" t="inlineStr">
        <is>
          <t>0,00</t>
        </is>
      </c>
      <c r="M864" s="63" t="inlineStr">
        <is>
          <t>358,10</t>
        </is>
      </c>
      <c r="N864" s="63" t="inlineStr">
        <is>
          <t>415,40</t>
        </is>
      </c>
      <c r="O864" s="65" t="n"/>
      <c r="P864" s="65" t="n"/>
      <c r="Q864" s="65" t="n"/>
      <c r="R864" s="65" t="n"/>
      <c r="S864" s="65" t="n"/>
      <c r="T864" s="65" t="n"/>
      <c r="U864" s="65" t="n"/>
      <c r="V864" s="65" t="n"/>
    </row>
    <row r="865">
      <c r="A865" s="65" t="n"/>
      <c r="B865" s="65" t="n"/>
      <c r="C865" s="65" t="n"/>
      <c r="D865" s="65" t="n"/>
      <c r="E865" s="65" t="n"/>
      <c r="F865" s="65" t="n"/>
      <c r="G865" s="65" t="n"/>
      <c r="H865" s="65" t="inlineStr">
        <is>
          <t>[0762] LIGA PARA FRENOS DOT-3 (1x6)</t>
        </is>
      </c>
      <c r="I865" s="65" t="n">
        <v>762</v>
      </c>
      <c r="J865" s="63" t="inlineStr">
        <is>
          <t>5,00</t>
        </is>
      </c>
      <c r="K865" s="63" t="inlineStr">
        <is>
          <t>57,03</t>
        </is>
      </c>
      <c r="L865" s="63" t="inlineStr">
        <is>
          <t>0,00</t>
        </is>
      </c>
      <c r="M865" s="63" t="inlineStr">
        <is>
          <t>285,15</t>
        </is>
      </c>
      <c r="N865" s="63" t="inlineStr">
        <is>
          <t>330,77</t>
        </is>
      </c>
      <c r="O865" s="65" t="n"/>
      <c r="P865" s="65" t="n"/>
      <c r="Q865" s="65" t="n"/>
      <c r="R865" s="65" t="n"/>
      <c r="S865" s="65" t="n"/>
      <c r="T865" s="65" t="n"/>
      <c r="U865" s="65" t="n"/>
      <c r="V865" s="65" t="n"/>
    </row>
    <row r="866">
      <c r="A866" s="65" t="n"/>
      <c r="B866" s="65" t="n"/>
      <c r="C866" s="65" t="n"/>
      <c r="D866" s="65" t="n"/>
      <c r="E866" s="65" t="n"/>
      <c r="F866" s="65" t="n"/>
      <c r="G866" s="65" t="n"/>
      <c r="H866" s="65" t="inlineStr">
        <is>
          <t>[0775] LIGA PARA FRENOS DOT-4 (1X12)</t>
        </is>
      </c>
      <c r="I866" s="65" t="n">
        <v>775</v>
      </c>
      <c r="J866" s="63" t="inlineStr">
        <is>
          <t>10,00</t>
        </is>
      </c>
      <c r="K866" s="63" t="inlineStr">
        <is>
          <t>41,11</t>
        </is>
      </c>
      <c r="L866" s="63" t="inlineStr">
        <is>
          <t>0,00</t>
        </is>
      </c>
      <c r="M866" s="63" t="inlineStr">
        <is>
          <t>411,10</t>
        </is>
      </c>
      <c r="N866" s="63" t="inlineStr">
        <is>
          <t>476,88</t>
        </is>
      </c>
      <c r="O866" s="65" t="n"/>
      <c r="P866" s="65" t="n"/>
      <c r="Q866" s="65" t="n"/>
      <c r="R866" s="65" t="n"/>
      <c r="S866" s="65" t="n"/>
      <c r="T866" s="65" t="n"/>
      <c r="U866" s="65" t="n"/>
      <c r="V866" s="65" t="n"/>
    </row>
    <row r="867">
      <c r="A867" s="65" t="n"/>
      <c r="B867" s="65" t="n"/>
      <c r="C867" s="65" t="n"/>
      <c r="D867" s="65" t="n"/>
      <c r="E867" s="65" t="n"/>
      <c r="F867" s="65" t="n"/>
      <c r="G867" s="65" t="n"/>
      <c r="H867" s="65" t="inlineStr">
        <is>
          <t>[0774] LIGA PARA FRENOS DOT-4 (1X6)</t>
        </is>
      </c>
      <c r="I867" s="65" t="n">
        <v>774</v>
      </c>
      <c r="J867" s="63" t="inlineStr">
        <is>
          <t>5,00</t>
        </is>
      </c>
      <c r="K867" s="63" t="inlineStr">
        <is>
          <t>64,99</t>
        </is>
      </c>
      <c r="L867" s="63" t="inlineStr">
        <is>
          <t>0,00</t>
        </is>
      </c>
      <c r="M867" s="63" t="inlineStr">
        <is>
          <t>324,95</t>
        </is>
      </c>
      <c r="N867" s="63" t="inlineStr">
        <is>
          <t>376,94</t>
        </is>
      </c>
      <c r="O867" s="65" t="n"/>
      <c r="P867" s="65" t="n"/>
      <c r="Q867" s="65" t="n"/>
      <c r="R867" s="65" t="n"/>
      <c r="S867" s="65" t="n"/>
      <c r="T867" s="65" t="n"/>
      <c r="U867" s="65" t="n"/>
      <c r="V867" s="65" t="n"/>
    </row>
    <row r="868">
      <c r="A868" s="65" t="n"/>
      <c r="B868" s="65" t="n"/>
      <c r="C868" s="65" t="n"/>
      <c r="D868" s="65" t="n"/>
      <c r="E868" s="65" t="n"/>
      <c r="F868" s="65" t="n"/>
      <c r="G868" s="65" t="n"/>
      <c r="H868" s="65" t="inlineStr">
        <is>
          <t>[0789] REFRIGERANTE GLOBAL VERDE (1X3)</t>
        </is>
      </c>
      <c r="I868" s="65" t="n">
        <v>789</v>
      </c>
      <c r="J868" s="63" t="inlineStr">
        <is>
          <t>10,00</t>
        </is>
      </c>
      <c r="K868" s="63" t="inlineStr">
        <is>
          <t>34,48</t>
        </is>
      </c>
      <c r="L868" s="63" t="inlineStr">
        <is>
          <t>0,00</t>
        </is>
      </c>
      <c r="M868" s="63" t="inlineStr">
        <is>
          <t>344,80</t>
        </is>
      </c>
      <c r="N868" s="63" t="inlineStr">
        <is>
          <t>399,97</t>
        </is>
      </c>
      <c r="O868" s="65" t="n"/>
      <c r="P868" s="65" t="n"/>
      <c r="Q868" s="65" t="n"/>
      <c r="R868" s="65" t="n"/>
      <c r="S868" s="65" t="n"/>
      <c r="T868" s="65" t="n"/>
      <c r="U868" s="65" t="n"/>
      <c r="V868" s="65" t="n"/>
    </row>
    <row r="869">
      <c r="A869" s="65" t="n"/>
      <c r="B869" s="65" t="n"/>
      <c r="C869" s="65" t="n"/>
      <c r="D869" s="65" t="n"/>
      <c r="E869" s="65" t="n"/>
      <c r="F869" s="65" t="n"/>
      <c r="G869" s="65" t="n"/>
      <c r="H869" s="65" t="inlineStr">
        <is>
          <t>[0792] REFRIGERANTE GLOBAL ROJO (1X3)</t>
        </is>
      </c>
      <c r="I869" s="65" t="n">
        <v>792</v>
      </c>
      <c r="J869" s="63" t="inlineStr">
        <is>
          <t>5,00</t>
        </is>
      </c>
      <c r="K869" s="63" t="inlineStr">
        <is>
          <t>34,48</t>
        </is>
      </c>
      <c r="L869" s="63" t="inlineStr">
        <is>
          <t>0,00</t>
        </is>
      </c>
      <c r="M869" s="63" t="inlineStr">
        <is>
          <t>172,40</t>
        </is>
      </c>
      <c r="N869" s="63" t="inlineStr">
        <is>
          <t>199,98</t>
        </is>
      </c>
      <c r="O869" s="65" t="n"/>
      <c r="P869" s="65" t="n"/>
      <c r="Q869" s="65" t="n"/>
      <c r="R869" s="65" t="n"/>
      <c r="S869" s="65" t="n"/>
      <c r="T869" s="65" t="n"/>
      <c r="U869" s="65" t="n"/>
      <c r="V869" s="65" t="n"/>
    </row>
    <row r="870">
      <c r="A870" s="65" t="n"/>
      <c r="B870" s="65" t="n"/>
      <c r="C870" s="65" t="n"/>
      <c r="D870" s="65" t="n"/>
      <c r="E870" s="65" t="n"/>
      <c r="F870" s="65" t="n"/>
      <c r="G870" s="65" t="n"/>
      <c r="H870" s="65" t="inlineStr">
        <is>
          <t>[0795] REFRIGERANTE GLOBAL ORANGE PREMIUM 50-50 CONCENTRADO (1x3)</t>
        </is>
      </c>
      <c r="I870" s="65" t="n">
        <v>795</v>
      </c>
      <c r="J870" s="63" t="inlineStr">
        <is>
          <t>5,00</t>
        </is>
      </c>
      <c r="K870" s="63" t="inlineStr">
        <is>
          <t>51,72</t>
        </is>
      </c>
      <c r="L870" s="63" t="inlineStr">
        <is>
          <t>0,00</t>
        </is>
      </c>
      <c r="M870" s="63" t="inlineStr">
        <is>
          <t>258,60</t>
        </is>
      </c>
      <c r="N870" s="63" t="inlineStr">
        <is>
          <t>299,98</t>
        </is>
      </c>
      <c r="O870" s="65" t="n"/>
      <c r="P870" s="65" t="n"/>
      <c r="Q870" s="65" t="n"/>
      <c r="R870" s="65" t="n"/>
      <c r="S870" s="65" t="n"/>
      <c r="T870" s="65" t="n"/>
      <c r="U870" s="65" t="n"/>
      <c r="V870" s="65" t="n"/>
    </row>
    <row r="871">
      <c r="A871" s="65" t="n"/>
      <c r="B871" s="65" t="n"/>
      <c r="C871" s="65" t="n"/>
      <c r="D871" s="65" t="n"/>
      <c r="E871" s="65" t="n"/>
      <c r="F871" s="65" t="n"/>
      <c r="G871" s="65" t="n"/>
      <c r="H871" s="65" t="inlineStr">
        <is>
          <t>[0073] SUPREMO API CI-4 SAE 15W-40 (PAILA)</t>
        </is>
      </c>
      <c r="I871" s="65" t="n">
        <v>73</v>
      </c>
      <c r="J871" s="63" t="inlineStr">
        <is>
          <t>3,00</t>
        </is>
      </c>
      <c r="K871" s="63" t="inlineStr">
        <is>
          <t>127,32</t>
        </is>
      </c>
      <c r="L871" s="63" t="inlineStr">
        <is>
          <t>0,00</t>
        </is>
      </c>
      <c r="M871" s="63" t="inlineStr">
        <is>
          <t>381,96</t>
        </is>
      </c>
      <c r="N871" s="63" t="inlineStr">
        <is>
          <t>443,07</t>
        </is>
      </c>
      <c r="O871" s="65" t="n"/>
      <c r="P871" s="65" t="n"/>
      <c r="Q871" s="65" t="n"/>
      <c r="R871" s="65" t="n"/>
      <c r="S871" s="65" t="n"/>
      <c r="T871" s="65" t="n"/>
      <c r="U871" s="65" t="n"/>
      <c r="V871" s="65" t="n"/>
    </row>
    <row r="872">
      <c r="A872" s="65" t="n"/>
      <c r="B872" s="65" t="n"/>
      <c r="C872" s="65" t="n"/>
      <c r="D872" s="65" t="n"/>
      <c r="E872" s="65" t="n"/>
      <c r="F872" s="65" t="n"/>
      <c r="G872" s="65" t="n"/>
      <c r="H872" s="65" t="inlineStr">
        <is>
          <t>[0083] MAXIMO API CF SAE 50 (PAILA)</t>
        </is>
      </c>
      <c r="I872" s="65" t="n">
        <v>83</v>
      </c>
      <c r="J872" s="63" t="inlineStr">
        <is>
          <t>3,00</t>
        </is>
      </c>
      <c r="K872" s="63" t="inlineStr">
        <is>
          <t>112,73</t>
        </is>
      </c>
      <c r="L872" s="63" t="inlineStr">
        <is>
          <t>0,00</t>
        </is>
      </c>
      <c r="M872" s="63" t="inlineStr">
        <is>
          <t>338,19</t>
        </is>
      </c>
      <c r="N872" s="63" t="inlineStr">
        <is>
          <t>392,30</t>
        </is>
      </c>
      <c r="O872" s="65" t="n"/>
      <c r="P872" s="65" t="n"/>
      <c r="Q872" s="65" t="n"/>
      <c r="R872" s="65" t="n"/>
      <c r="S872" s="65" t="n"/>
      <c r="T872" s="65" t="n"/>
      <c r="U872" s="65" t="n"/>
      <c r="V872" s="65" t="n"/>
    </row>
    <row r="873">
      <c r="A873" s="65" t="n"/>
      <c r="B873" s="65" t="n"/>
      <c r="C873" s="65" t="n"/>
      <c r="D873" s="65" t="n"/>
      <c r="E873" s="65" t="n"/>
      <c r="F873" s="65" t="n"/>
      <c r="G873" s="65" t="n"/>
      <c r="H873" s="65" t="inlineStr">
        <is>
          <t>[0144] HIDRAGLOB AW/ISO 68 (PAILA)</t>
        </is>
      </c>
      <c r="I873" s="65" t="n">
        <v>144</v>
      </c>
      <c r="J873" s="63" t="inlineStr">
        <is>
          <t>2,00</t>
        </is>
      </c>
      <c r="K873" s="63" t="inlineStr">
        <is>
          <t>94,16</t>
        </is>
      </c>
      <c r="L873" s="63" t="inlineStr">
        <is>
          <t>0,00</t>
        </is>
      </c>
      <c r="M873" s="63" t="inlineStr">
        <is>
          <t>188,32</t>
        </is>
      </c>
      <c r="N873" s="63" t="inlineStr">
        <is>
          <t>218,45</t>
        </is>
      </c>
      <c r="O873" s="65" t="n"/>
      <c r="P873" s="65" t="n"/>
      <c r="Q873" s="65" t="n"/>
      <c r="R873" s="65" t="n"/>
      <c r="S873" s="65" t="n"/>
      <c r="T873" s="65" t="n"/>
      <c r="U873" s="65" t="n"/>
      <c r="V873" s="65" t="n"/>
    </row>
    <row r="874">
      <c r="A874" s="65" t="inlineStr">
        <is>
          <t>S00442</t>
        </is>
      </c>
      <c r="B874" s="62" t="n">
        <v>46170.64868055555</v>
      </c>
      <c r="C874" s="65" t="inlineStr">
        <is>
          <t>Jhoe Zamora</t>
        </is>
      </c>
      <c r="D874" s="65" t="inlineStr">
        <is>
          <t>CASERES GONZALEZ RONALD OSWALDO</t>
        </is>
      </c>
      <c r="E874" s="65" t="inlineStr">
        <is>
          <t>7 días</t>
        </is>
      </c>
      <c r="F874" s="65" t="n">
        <v>5</v>
      </c>
      <c r="G874" s="65" t="inlineStr">
        <is>
          <t>Pago VES</t>
        </is>
      </c>
      <c r="H874" s="65" t="inlineStr">
        <is>
          <t>[0881] CLASICO API SL SAE 20W-50 (1x12)</t>
        </is>
      </c>
      <c r="I874" s="65" t="n">
        <v>881</v>
      </c>
      <c r="J874" s="63" t="inlineStr">
        <is>
          <t>1,00</t>
        </is>
      </c>
      <c r="K874" s="63" t="inlineStr">
        <is>
          <t>86,21</t>
        </is>
      </c>
      <c r="L874" s="63" t="inlineStr">
        <is>
          <t>0,00</t>
        </is>
      </c>
      <c r="M874" s="63" t="inlineStr">
        <is>
          <t>86,21</t>
        </is>
      </c>
      <c r="N874" s="63" t="inlineStr">
        <is>
          <t>100,00</t>
        </is>
      </c>
      <c r="O874" s="63" t="inlineStr">
        <is>
          <t>86,21</t>
        </is>
      </c>
      <c r="P874" s="63" t="inlineStr">
        <is>
          <t>100,00</t>
        </is>
      </c>
      <c r="Q874" s="63" t="inlineStr">
        <is>
          <t>549,37</t>
        </is>
      </c>
      <c r="R874" s="66" t="n">
        <v>46170</v>
      </c>
      <c r="S874" s="65" t="n">
        <v>103</v>
      </c>
      <c r="T874" s="65" t="inlineStr">
        <is>
          <t>00-00000461</t>
        </is>
      </c>
      <c r="U874" s="63" t="inlineStr">
        <is>
          <t>99,20</t>
        </is>
      </c>
      <c r="V874" s="63" t="inlineStr">
        <is>
          <t>99,20</t>
        </is>
      </c>
    </row>
    <row r="875">
      <c r="A875" s="65" t="inlineStr">
        <is>
          <t>S00457</t>
        </is>
      </c>
      <c r="B875" s="62" t="n">
        <v>46170.34265046296</v>
      </c>
      <c r="C875" s="65" t="inlineStr">
        <is>
          <t>Anthony Jose Quijada Diaz.</t>
        </is>
      </c>
      <c r="D875" s="65" t="inlineStr">
        <is>
          <t>CASERES GONZALEZ RONALD OSWALDO</t>
        </is>
      </c>
      <c r="E875" s="65" t="inlineStr">
        <is>
          <t>7 días</t>
        </is>
      </c>
      <c r="F875" s="65" t="n">
        <v>5</v>
      </c>
      <c r="G875" s="65" t="inlineStr">
        <is>
          <t>Pago VES</t>
        </is>
      </c>
      <c r="H875" s="65" t="inlineStr">
        <is>
          <t>[0073] SUPREMO API CI-4 SAE 15W-40 (PAILA)</t>
        </is>
      </c>
      <c r="I875" s="65" t="n">
        <v>73</v>
      </c>
      <c r="J875" s="63" t="inlineStr">
        <is>
          <t>8,00</t>
        </is>
      </c>
      <c r="K875" s="63" t="inlineStr">
        <is>
          <t>127,32</t>
        </is>
      </c>
      <c r="L875" s="63" t="inlineStr">
        <is>
          <t>0,00</t>
        </is>
      </c>
      <c r="M875" s="63" t="inlineStr">
        <is>
          <t>1.018,56</t>
        </is>
      </c>
      <c r="N875" s="63" t="inlineStr">
        <is>
          <t>1.181,53</t>
        </is>
      </c>
      <c r="O875" s="63" t="inlineStr">
        <is>
          <t>1.173,72</t>
        </is>
      </c>
      <c r="P875" s="63" t="inlineStr">
        <is>
          <t>1.361,52</t>
        </is>
      </c>
      <c r="Q875" s="63" t="inlineStr">
        <is>
          <t>544,58</t>
        </is>
      </c>
      <c r="R875" s="66" t="n">
        <v>46189</v>
      </c>
      <c r="S875" s="65" t="n">
        <v>188</v>
      </c>
      <c r="T875" s="65" t="inlineStr">
        <is>
          <t>00-00000650</t>
        </is>
      </c>
      <c r="U875" s="63" t="inlineStr">
        <is>
          <t>884,97</t>
        </is>
      </c>
      <c r="V875" s="63" t="inlineStr">
        <is>
          <t>0,00</t>
        </is>
      </c>
    </row>
    <row r="876">
      <c r="A876" s="65" t="n"/>
      <c r="B876" s="65" t="n"/>
      <c r="C876" s="65" t="n"/>
      <c r="D876" s="65" t="n"/>
      <c r="E876" s="65" t="n"/>
      <c r="F876" s="65" t="n"/>
      <c r="G876" s="65" t="n"/>
      <c r="H876" s="65" t="inlineStr">
        <is>
          <t>[0795] REFRIGERANTE GLOBAL ORANGE PREMIUM 50-50 CONCENTRADO (1x3)</t>
        </is>
      </c>
      <c r="I876" s="65" t="n">
        <v>795</v>
      </c>
      <c r="J876" s="63" t="inlineStr">
        <is>
          <t>3,00</t>
        </is>
      </c>
      <c r="K876" s="63" t="inlineStr">
        <is>
          <t>51,72</t>
        </is>
      </c>
      <c r="L876" s="63" t="inlineStr">
        <is>
          <t>0,00</t>
        </is>
      </c>
      <c r="M876" s="63" t="inlineStr">
        <is>
          <t>155,16</t>
        </is>
      </c>
      <c r="N876" s="63" t="inlineStr">
        <is>
          <t>179,99</t>
        </is>
      </c>
      <c r="O876" s="65" t="n"/>
      <c r="P876" s="65" t="n"/>
      <c r="Q876" s="65" t="n"/>
      <c r="R876" s="65" t="n"/>
      <c r="S876" s="65" t="n"/>
      <c r="T876" s="65" t="n"/>
      <c r="U876" s="65" t="n"/>
      <c r="V876" s="65" t="n"/>
    </row>
    <row r="877">
      <c r="A877" s="65" t="inlineStr">
        <is>
          <t>S00450</t>
        </is>
      </c>
      <c r="B877" s="62" t="n">
        <v>46169.39827546296</v>
      </c>
      <c r="C877" s="65" t="inlineStr">
        <is>
          <t>AGROPECUARIA EL TORO DORADO, C.A</t>
        </is>
      </c>
      <c r="D877" s="65" t="inlineStr">
        <is>
          <t>PACHECO RODRIGUEZ FRANCISCO JAVIER</t>
        </is>
      </c>
      <c r="E877" s="65" t="inlineStr">
        <is>
          <t>7 días</t>
        </is>
      </c>
      <c r="F877" s="65" t="n">
        <v>4</v>
      </c>
      <c r="G877" s="65" t="inlineStr">
        <is>
          <t>Precio Full Abril</t>
        </is>
      </c>
      <c r="H877" s="65" t="inlineStr">
        <is>
          <t>[0087] ENDUROGLOB 2T AIRE (1x6)</t>
        </is>
      </c>
      <c r="I877" s="65" t="n">
        <v>87</v>
      </c>
      <c r="J877" s="63" t="inlineStr">
        <is>
          <t>2,00</t>
        </is>
      </c>
      <c r="K877" s="63" t="inlineStr">
        <is>
          <t>32,76</t>
        </is>
      </c>
      <c r="L877" s="63" t="inlineStr">
        <is>
          <t>8,00</t>
        </is>
      </c>
      <c r="M877" s="63" t="inlineStr">
        <is>
          <t>60,28</t>
        </is>
      </c>
      <c r="N877" s="63" t="inlineStr">
        <is>
          <t>69,92</t>
        </is>
      </c>
      <c r="O877" s="63" t="inlineStr">
        <is>
          <t>193,59</t>
        </is>
      </c>
      <c r="P877" s="63" t="inlineStr">
        <is>
          <t>224,56</t>
        </is>
      </c>
      <c r="Q877" s="63" t="inlineStr">
        <is>
          <t>544,58</t>
        </is>
      </c>
      <c r="R877" s="66" t="n">
        <v>46185</v>
      </c>
      <c r="S877" s="65" t="n">
        <v>155</v>
      </c>
      <c r="T877" s="65" t="inlineStr">
        <is>
          <t>00-00000598</t>
        </is>
      </c>
      <c r="U877" s="63" t="inlineStr">
        <is>
          <t>224,99</t>
        </is>
      </c>
      <c r="V877" s="63" t="inlineStr">
        <is>
          <t>0,00</t>
        </is>
      </c>
    </row>
    <row r="878">
      <c r="A878" s="65" t="n"/>
      <c r="B878" s="65" t="n"/>
      <c r="C878" s="65" t="n"/>
      <c r="D878" s="65" t="n"/>
      <c r="E878" s="65" t="n"/>
      <c r="F878" s="65" t="n"/>
      <c r="G878" s="65" t="n"/>
      <c r="H878" s="65" t="inlineStr">
        <is>
          <t>[0093] ALTA CILINDRADA SS API SN SAE 15W-40 (1x6)</t>
        </is>
      </c>
      <c r="I878" s="65" t="n">
        <v>93</v>
      </c>
      <c r="J878" s="63" t="inlineStr">
        <is>
          <t>2,00</t>
        </is>
      </c>
      <c r="K878" s="63" t="inlineStr">
        <is>
          <t>30,17</t>
        </is>
      </c>
      <c r="L878" s="63" t="inlineStr">
        <is>
          <t>8,00</t>
        </is>
      </c>
      <c r="M878" s="63" t="inlineStr">
        <is>
          <t>55,52</t>
        </is>
      </c>
      <c r="N878" s="63" t="inlineStr">
        <is>
          <t>64,40</t>
        </is>
      </c>
      <c r="O878" s="65" t="n"/>
      <c r="P878" s="65" t="n"/>
      <c r="Q878" s="65" t="n"/>
      <c r="R878" s="65" t="n"/>
      <c r="S878" s="65" t="n"/>
      <c r="T878" s="65" t="n"/>
      <c r="U878" s="65" t="n"/>
      <c r="V878" s="65" t="n"/>
    </row>
    <row r="879">
      <c r="A879" s="65" t="n"/>
      <c r="B879" s="65" t="n"/>
      <c r="C879" s="65" t="n"/>
      <c r="D879" s="65" t="n"/>
      <c r="E879" s="65" t="n"/>
      <c r="F879" s="65" t="n"/>
      <c r="G879" s="65" t="n"/>
      <c r="H879" s="65" t="inlineStr">
        <is>
          <t>[0073] SUPREMO API CI-4 SAE 15W-40 (PAILA)</t>
        </is>
      </c>
      <c r="I879" s="65" t="n">
        <v>73</v>
      </c>
      <c r="J879" s="63" t="inlineStr">
        <is>
          <t>1,00</t>
        </is>
      </c>
      <c r="K879" s="63" t="inlineStr">
        <is>
          <t>82,76</t>
        </is>
      </c>
      <c r="L879" s="63" t="inlineStr">
        <is>
          <t>6,00</t>
        </is>
      </c>
      <c r="M879" s="63" t="inlineStr">
        <is>
          <t>77,79</t>
        </is>
      </c>
      <c r="N879" s="63" t="inlineStr">
        <is>
          <t>90,24</t>
        </is>
      </c>
      <c r="O879" s="65" t="n"/>
      <c r="P879" s="65" t="n"/>
      <c r="Q879" s="65" t="n"/>
      <c r="R879" s="65" t="n"/>
      <c r="S879" s="65" t="n"/>
      <c r="T879" s="65" t="n"/>
      <c r="U879" s="65" t="n"/>
      <c r="V879" s="65" t="n"/>
    </row>
    <row r="880">
      <c r="A880" s="65" t="inlineStr">
        <is>
          <t>S00456</t>
        </is>
      </c>
      <c r="B880" s="62" t="n">
        <v>46168.74202546296</v>
      </c>
      <c r="C880" s="65" t="inlineStr">
        <is>
          <t>ERICK JOSE MAIGUA GUILLEN</t>
        </is>
      </c>
      <c r="D880" s="65" t="inlineStr">
        <is>
          <t>MARTINEZ MONTES JEFFREY ENRIQUE</t>
        </is>
      </c>
      <c r="E880" s="65" t="inlineStr">
        <is>
          <t>7 días</t>
        </is>
      </c>
      <c r="F880" s="65" t="n">
        <v>5</v>
      </c>
      <c r="G880" s="65" t="inlineStr">
        <is>
          <t>Pago VES</t>
        </is>
      </c>
      <c r="H880" s="65" t="inlineStr">
        <is>
          <t>[0915] SINOCO SAE 50 (1x12)</t>
        </is>
      </c>
      <c r="I880" s="65" t="n">
        <v>915</v>
      </c>
      <c r="J880" s="63" t="inlineStr">
        <is>
          <t>1,00</t>
        </is>
      </c>
      <c r="K880" s="63" t="inlineStr">
        <is>
          <t>70,29</t>
        </is>
      </c>
      <c r="L880" s="63" t="inlineStr">
        <is>
          <t>0,00</t>
        </is>
      </c>
      <c r="M880" s="63" t="inlineStr">
        <is>
          <t>70,29</t>
        </is>
      </c>
      <c r="N880" s="63" t="inlineStr">
        <is>
          <t>81,54</t>
        </is>
      </c>
      <c r="O880" s="63" t="inlineStr">
        <is>
          <t>236,07</t>
        </is>
      </c>
      <c r="P880" s="63" t="inlineStr">
        <is>
          <t>273,85</t>
        </is>
      </c>
      <c r="Q880" s="63" t="inlineStr">
        <is>
          <t>721,35</t>
        </is>
      </c>
      <c r="R880" s="66" t="n">
        <v>46216</v>
      </c>
      <c r="S880" s="65" t="n">
        <v>345</v>
      </c>
      <c r="T880" s="65" t="inlineStr">
        <is>
          <t>00-00000888</t>
        </is>
      </c>
      <c r="U880" s="63" t="inlineStr">
        <is>
          <t>273,81</t>
        </is>
      </c>
      <c r="V880" s="63" t="inlineStr">
        <is>
          <t>273,84</t>
        </is>
      </c>
    </row>
    <row r="881">
      <c r="A881" s="65" t="n"/>
      <c r="B881" s="65" t="n"/>
      <c r="C881" s="65" t="n"/>
      <c r="D881" s="65" t="n"/>
      <c r="E881" s="65" t="n"/>
      <c r="F881" s="65" t="n"/>
      <c r="G881" s="65" t="n"/>
      <c r="H881" s="65" t="inlineStr">
        <is>
          <t>[0779] SINOCO SAE 20W-50 (1x12)</t>
        </is>
      </c>
      <c r="I881" s="65" t="n">
        <v>779</v>
      </c>
      <c r="J881" s="63" t="inlineStr">
        <is>
          <t>1,00</t>
        </is>
      </c>
      <c r="K881" s="63" t="inlineStr">
        <is>
          <t>70,29</t>
        </is>
      </c>
      <c r="L881" s="63" t="inlineStr">
        <is>
          <t>0,00</t>
        </is>
      </c>
      <c r="M881" s="63" t="inlineStr">
        <is>
          <t>70,29</t>
        </is>
      </c>
      <c r="N881" s="63" t="inlineStr">
        <is>
          <t>81,54</t>
        </is>
      </c>
      <c r="O881" s="65" t="n"/>
      <c r="P881" s="65" t="n"/>
      <c r="Q881" s="65" t="n"/>
      <c r="R881" s="65" t="n"/>
      <c r="S881" s="65" t="n"/>
      <c r="T881" s="65" t="n"/>
      <c r="U881" s="65" t="n"/>
      <c r="V881" s="65" t="n"/>
    </row>
    <row r="882">
      <c r="A882" s="65" t="n"/>
      <c r="B882" s="65" t="n"/>
      <c r="C882" s="65" t="n"/>
      <c r="D882" s="65" t="n"/>
      <c r="E882" s="65" t="n"/>
      <c r="F882" s="65" t="n"/>
      <c r="G882" s="65" t="n"/>
      <c r="H882" s="65" t="inlineStr">
        <is>
          <t>[0884] TRANSMATIC ATF DEXRON III (1x12)</t>
        </is>
      </c>
      <c r="I882" s="65" t="n">
        <v>884</v>
      </c>
      <c r="J882" s="63" t="inlineStr">
        <is>
          <t>1,00</t>
        </is>
      </c>
      <c r="K882" s="63" t="inlineStr">
        <is>
          <t>95,49</t>
        </is>
      </c>
      <c r="L882" s="63" t="inlineStr">
        <is>
          <t>0,00</t>
        </is>
      </c>
      <c r="M882" s="63" t="inlineStr">
        <is>
          <t>95,49</t>
        </is>
      </c>
      <c r="N882" s="63" t="inlineStr">
        <is>
          <t>110,77</t>
        </is>
      </c>
      <c r="O882" s="65" t="n"/>
      <c r="P882" s="65" t="n"/>
      <c r="Q882" s="65" t="n"/>
      <c r="R882" s="65" t="n"/>
      <c r="S882" s="65" t="n"/>
      <c r="T882" s="65" t="n"/>
      <c r="U882" s="65" t="n"/>
      <c r="V882" s="65" t="n"/>
    </row>
    <row r="883">
      <c r="A883" s="65" t="inlineStr">
        <is>
          <t>S00454</t>
        </is>
      </c>
      <c r="B883" s="62" t="n">
        <v>46168.70454861111</v>
      </c>
      <c r="C883" s="65" t="inlineStr">
        <is>
          <t>NAUDY MARTINEZ</t>
        </is>
      </c>
      <c r="D883" s="65" t="inlineStr">
        <is>
          <t>CASERES GONZALEZ RONALD OSWALDO</t>
        </is>
      </c>
      <c r="E883" s="65" t="inlineStr">
        <is>
          <t>7 días</t>
        </is>
      </c>
      <c r="F883" s="65" t="n">
        <v>5</v>
      </c>
      <c r="G883" s="65" t="inlineStr">
        <is>
          <t>Pago VES</t>
        </is>
      </c>
      <c r="H883" s="65" t="inlineStr">
        <is>
          <t>[0792] REFRIGERANTE GLOBAL ROJO (1X3)</t>
        </is>
      </c>
      <c r="I883" s="65" t="n">
        <v>792</v>
      </c>
      <c r="J883" s="63" t="inlineStr">
        <is>
          <t>1,00</t>
        </is>
      </c>
      <c r="K883" s="63" t="inlineStr">
        <is>
          <t>34,48</t>
        </is>
      </c>
      <c r="L883" s="63" t="inlineStr">
        <is>
          <t>0,00</t>
        </is>
      </c>
      <c r="M883" s="63" t="inlineStr">
        <is>
          <t>34,48</t>
        </is>
      </c>
      <c r="N883" s="63" t="inlineStr">
        <is>
          <t>40,00</t>
        </is>
      </c>
      <c r="O883" s="63" t="inlineStr">
        <is>
          <t>34,48</t>
        </is>
      </c>
      <c r="P883" s="63" t="inlineStr">
        <is>
          <t>40,00</t>
        </is>
      </c>
      <c r="Q883" s="63" t="inlineStr">
        <is>
          <t>535,39</t>
        </is>
      </c>
      <c r="R883" s="66" t="n">
        <v>46168</v>
      </c>
      <c r="S883" s="65" t="n">
        <v>95</v>
      </c>
      <c r="T883" s="65" t="inlineStr">
        <is>
          <t>00-00000445</t>
        </is>
      </c>
      <c r="U883" s="63" t="inlineStr">
        <is>
          <t>23,98</t>
        </is>
      </c>
      <c r="V883" s="63" t="inlineStr">
        <is>
          <t>0,00</t>
        </is>
      </c>
    </row>
    <row r="884">
      <c r="A884" s="65" t="inlineStr">
        <is>
          <t>S00447</t>
        </is>
      </c>
      <c r="B884" s="62" t="n">
        <v>46168.70256944445</v>
      </c>
      <c r="C884" s="65" t="inlineStr">
        <is>
          <t>Inversiones Pronautica, C.A.</t>
        </is>
      </c>
      <c r="D884" s="65" t="inlineStr">
        <is>
          <t>Marco Romero</t>
        </is>
      </c>
      <c r="E884" s="65" t="inlineStr">
        <is>
          <t>7 días</t>
        </is>
      </c>
      <c r="F884" s="65" t="n">
        <v>5</v>
      </c>
      <c r="G884" s="65" t="inlineStr">
        <is>
          <t>Pago VES</t>
        </is>
      </c>
      <c r="H884" s="65" t="inlineStr">
        <is>
          <t>[0139] HIDRAGLOB AW/ISO 46 (PAILA)</t>
        </is>
      </c>
      <c r="I884" s="65" t="n">
        <v>139</v>
      </c>
      <c r="J884" s="63" t="inlineStr">
        <is>
          <t>1,00</t>
        </is>
      </c>
      <c r="K884" s="63" t="inlineStr">
        <is>
          <t>124,67</t>
        </is>
      </c>
      <c r="L884" s="63" t="inlineStr">
        <is>
          <t>0,00</t>
        </is>
      </c>
      <c r="M884" s="63" t="inlineStr">
        <is>
          <t>124,67</t>
        </is>
      </c>
      <c r="N884" s="63" t="inlineStr">
        <is>
          <t>144,62</t>
        </is>
      </c>
      <c r="O884" s="63" t="inlineStr">
        <is>
          <t>124,67</t>
        </is>
      </c>
      <c r="P884" s="63" t="inlineStr">
        <is>
          <t>144,62</t>
        </is>
      </c>
      <c r="Q884" s="63" t="inlineStr">
        <is>
          <t>535,39</t>
        </is>
      </c>
      <c r="R884" s="66" t="n">
        <v>46168</v>
      </c>
      <c r="S884" s="65" t="n">
        <v>96</v>
      </c>
      <c r="T884" s="65" t="inlineStr">
        <is>
          <t>00-00000446</t>
        </is>
      </c>
      <c r="U884" s="63" t="inlineStr">
        <is>
          <t>144,61</t>
        </is>
      </c>
      <c r="V884" s="63" t="inlineStr">
        <is>
          <t>0,00</t>
        </is>
      </c>
    </row>
    <row r="885">
      <c r="A885" s="65" t="inlineStr">
        <is>
          <t>S00451</t>
        </is>
      </c>
      <c r="B885" s="62" t="n">
        <v>46168.69597222222</v>
      </c>
      <c r="C885" s="65" t="inlineStr">
        <is>
          <t>EMPRENDIMIENTO IRMA RODRIGUEZ 6</t>
        </is>
      </c>
      <c r="D885" s="65" t="inlineStr">
        <is>
          <t>TORO ARDILES DAVID JOSE</t>
        </is>
      </c>
      <c r="E885" s="65" t="inlineStr">
        <is>
          <t>7 días</t>
        </is>
      </c>
      <c r="F885" s="65" t="n">
        <v>5</v>
      </c>
      <c r="G885" s="65" t="inlineStr">
        <is>
          <t>Pago VES</t>
        </is>
      </c>
      <c r="H885" s="65" t="inlineStr">
        <is>
          <t>[0877] SS EXTRA PROTECCION API SN SAE 15W-40 (1X12)</t>
        </is>
      </c>
      <c r="I885" s="65" t="n">
        <v>877</v>
      </c>
      <c r="J885" s="63" t="inlineStr">
        <is>
          <t>2,00</t>
        </is>
      </c>
      <c r="K885" s="63" t="inlineStr">
        <is>
          <t>100,80</t>
        </is>
      </c>
      <c r="L885" s="63" t="inlineStr">
        <is>
          <t>40,65</t>
        </is>
      </c>
      <c r="M885" s="63" t="inlineStr">
        <is>
          <t>119,65</t>
        </is>
      </c>
      <c r="N885" s="63" t="inlineStr">
        <is>
          <t>138,79</t>
        </is>
      </c>
      <c r="O885" s="63" t="inlineStr">
        <is>
          <t>253,46</t>
        </is>
      </c>
      <c r="P885" s="63" t="inlineStr">
        <is>
          <t>294,01</t>
        </is>
      </c>
      <c r="Q885" s="63" t="inlineStr">
        <is>
          <t>544,58</t>
        </is>
      </c>
      <c r="R885" s="66" t="n">
        <v>46205</v>
      </c>
      <c r="S885" s="65" t="n">
        <v>216</v>
      </c>
      <c r="T885" s="65" t="inlineStr">
        <is>
          <t>00-00000720</t>
        </is>
      </c>
      <c r="U885" s="63" t="inlineStr">
        <is>
          <t>293,98</t>
        </is>
      </c>
      <c r="V885" s="63" t="inlineStr">
        <is>
          <t>0,00</t>
        </is>
      </c>
    </row>
    <row r="886">
      <c r="A886" s="65" t="n"/>
      <c r="B886" s="65" t="n"/>
      <c r="C886" s="65" t="n"/>
      <c r="D886" s="65" t="n"/>
      <c r="E886" s="65" t="n"/>
      <c r="F886" s="65" t="n"/>
      <c r="G886" s="65" t="n"/>
      <c r="H886" s="65" t="inlineStr">
        <is>
          <t>[0083] MAXIMO API CF SAE 50 (PAILA)</t>
        </is>
      </c>
      <c r="I886" s="65" t="n">
        <v>83</v>
      </c>
      <c r="J886" s="63" t="inlineStr">
        <is>
          <t>2,00</t>
        </is>
      </c>
      <c r="K886" s="63" t="inlineStr">
        <is>
          <t>112,73</t>
        </is>
      </c>
      <c r="L886" s="63" t="inlineStr">
        <is>
          <t>40,65</t>
        </is>
      </c>
      <c r="M886" s="63" t="inlineStr">
        <is>
          <t>133,81</t>
        </is>
      </c>
      <c r="N886" s="63" t="inlineStr">
        <is>
          <t>155,22</t>
        </is>
      </c>
      <c r="O886" s="65" t="n"/>
      <c r="P886" s="65" t="n"/>
      <c r="Q886" s="65" t="n"/>
      <c r="R886" s="65" t="n"/>
      <c r="S886" s="65" t="n"/>
      <c r="T886" s="65" t="n"/>
      <c r="U886" s="65" t="n"/>
      <c r="V886" s="65" t="n"/>
    </row>
    <row r="887">
      <c r="A887" s="65" t="inlineStr">
        <is>
          <t>S00452</t>
        </is>
      </c>
      <c r="B887" s="62" t="n">
        <v>46168.69575231482</v>
      </c>
      <c r="C887" s="65" t="inlineStr">
        <is>
          <t>NAUDY MARTINEZ</t>
        </is>
      </c>
      <c r="D887" s="65" t="inlineStr">
        <is>
          <t>CASERES GONZALEZ RONALD OSWALDO</t>
        </is>
      </c>
      <c r="E887" s="65" t="inlineStr">
        <is>
          <t>7 días</t>
        </is>
      </c>
      <c r="F887" s="65" t="n">
        <v>5</v>
      </c>
      <c r="G887" s="65" t="inlineStr">
        <is>
          <t>Pago VES</t>
        </is>
      </c>
      <c r="H887" s="65" t="inlineStr">
        <is>
          <t>[0073] SUPREMO API CI-4 SAE 15W-40 (PAILA)</t>
        </is>
      </c>
      <c r="I887" s="65" t="n">
        <v>73</v>
      </c>
      <c r="J887" s="63" t="inlineStr">
        <is>
          <t>2,00</t>
        </is>
      </c>
      <c r="K887" s="63" t="inlineStr">
        <is>
          <t>127,32</t>
        </is>
      </c>
      <c r="L887" s="63" t="inlineStr">
        <is>
          <t>6,00</t>
        </is>
      </c>
      <c r="M887" s="63" t="inlineStr">
        <is>
          <t>239,36</t>
        </is>
      </c>
      <c r="N887" s="63" t="inlineStr">
        <is>
          <t>277,66</t>
        </is>
      </c>
      <c r="O887" s="63" t="inlineStr">
        <is>
          <t>428,86</t>
        </is>
      </c>
      <c r="P887" s="63" t="inlineStr">
        <is>
          <t>497,48</t>
        </is>
      </c>
      <c r="Q887" s="63" t="inlineStr">
        <is>
          <t>540,04</t>
        </is>
      </c>
      <c r="R887" s="66" t="n">
        <v>46168</v>
      </c>
      <c r="S887" s="65" t="n">
        <v>99</v>
      </c>
      <c r="T887" s="65" t="inlineStr">
        <is>
          <t>00-00000453</t>
        </is>
      </c>
      <c r="U887" s="63" t="inlineStr">
        <is>
          <t>319,98</t>
        </is>
      </c>
      <c r="V887" s="63" t="inlineStr">
        <is>
          <t>320,00</t>
        </is>
      </c>
    </row>
    <row r="888">
      <c r="A888" s="65" t="n"/>
      <c r="B888" s="65" t="n"/>
      <c r="C888" s="65" t="n"/>
      <c r="D888" s="65" t="n"/>
      <c r="E888" s="65" t="n"/>
      <c r="F888" s="65" t="n"/>
      <c r="G888" s="65" t="n"/>
      <c r="H888" s="65" t="inlineStr">
        <is>
          <t>[0796] REFRIGERANTE GLOBAL ORANGE PREMIUM 50-50 CONCENTRADO (Carboya)</t>
        </is>
      </c>
      <c r="I888" s="65" t="n">
        <v>796</v>
      </c>
      <c r="J888" s="63" t="inlineStr">
        <is>
          <t>2,00</t>
        </is>
      </c>
      <c r="K888" s="63" t="inlineStr">
        <is>
          <t>100,80</t>
        </is>
      </c>
      <c r="L888" s="63" t="inlineStr">
        <is>
          <t>6,00</t>
        </is>
      </c>
      <c r="M888" s="63" t="inlineStr">
        <is>
          <t>189,50</t>
        </is>
      </c>
      <c r="N888" s="63" t="inlineStr">
        <is>
          <t>219,82</t>
        </is>
      </c>
      <c r="O888" s="65" t="n"/>
      <c r="P888" s="65" t="n"/>
      <c r="Q888" s="65" t="n"/>
      <c r="R888" s="65" t="n"/>
      <c r="S888" s="65" t="n"/>
      <c r="T888" s="65" t="n"/>
      <c r="U888" s="65" t="n"/>
      <c r="V888" s="65" t="n"/>
    </row>
    <row r="889">
      <c r="A889" s="65" t="inlineStr">
        <is>
          <t>S00427</t>
        </is>
      </c>
      <c r="B889" s="62" t="n">
        <v>46168.42005787037</v>
      </c>
      <c r="C889" s="65" t="inlineStr">
        <is>
          <t>CONSTRUCTORA GRANO AGREGADO, C.A</t>
        </is>
      </c>
      <c r="D889" s="65" t="inlineStr">
        <is>
          <t>Marco Romero</t>
        </is>
      </c>
      <c r="E889" s="65" t="inlineStr">
        <is>
          <t>7 días</t>
        </is>
      </c>
      <c r="F889" s="65" t="n">
        <v>5</v>
      </c>
      <c r="G889" s="65" t="inlineStr">
        <is>
          <t>Pago VES</t>
        </is>
      </c>
      <c r="H889" s="65" t="inlineStr">
        <is>
          <t>[0146] HIDRAGLOB AW/ISO 68 (Tambor)</t>
        </is>
      </c>
      <c r="I889" s="65" t="n">
        <v>146</v>
      </c>
      <c r="J889" s="63" t="inlineStr">
        <is>
          <t>2,00</t>
        </is>
      </c>
      <c r="K889" s="63" t="inlineStr">
        <is>
          <t>1.103,45</t>
        </is>
      </c>
      <c r="L889" s="63" t="inlineStr">
        <is>
          <t>0,00</t>
        </is>
      </c>
      <c r="M889" s="63" t="inlineStr">
        <is>
          <t>2.206,90</t>
        </is>
      </c>
      <c r="N889" s="63" t="inlineStr">
        <is>
          <t>2.560,00</t>
        </is>
      </c>
      <c r="O889" s="63" t="inlineStr">
        <is>
          <t>7.023,86</t>
        </is>
      </c>
      <c r="P889" s="63" t="inlineStr">
        <is>
          <t>8.147,67</t>
        </is>
      </c>
      <c r="Q889" s="63" t="inlineStr">
        <is>
          <t>721,35</t>
        </is>
      </c>
      <c r="R889" s="66" t="n">
        <v>46216</v>
      </c>
      <c r="S889" s="65" t="n">
        <v>346</v>
      </c>
      <c r="T889" s="65" t="inlineStr">
        <is>
          <t>00-00000889</t>
        </is>
      </c>
      <c r="U889" s="63" t="inlineStr">
        <is>
          <t>8.147,65</t>
        </is>
      </c>
      <c r="V889" s="63" t="inlineStr">
        <is>
          <t>8.147,68</t>
        </is>
      </c>
    </row>
    <row r="890">
      <c r="A890" s="65" t="n"/>
      <c r="B890" s="65" t="n"/>
      <c r="C890" s="65" t="n"/>
      <c r="D890" s="65" t="n"/>
      <c r="E890" s="65" t="n"/>
      <c r="F890" s="65" t="n"/>
      <c r="G890" s="65" t="n"/>
      <c r="H890" s="65" t="inlineStr">
        <is>
          <t>[0085] MAXIMO API CF SAE 50 (Tambor)</t>
        </is>
      </c>
      <c r="I890" s="65" t="n">
        <v>85</v>
      </c>
      <c r="J890" s="63" t="inlineStr">
        <is>
          <t>2,00</t>
        </is>
      </c>
      <c r="K890" s="63" t="inlineStr">
        <is>
          <t>1.136,60</t>
        </is>
      </c>
      <c r="L890" s="63" t="inlineStr">
        <is>
          <t>0,00</t>
        </is>
      </c>
      <c r="M890" s="63" t="inlineStr">
        <is>
          <t>2.273,20</t>
        </is>
      </c>
      <c r="N890" s="63" t="inlineStr">
        <is>
          <t>2.636,91</t>
        </is>
      </c>
      <c r="O890" s="65" t="n"/>
      <c r="P890" s="65" t="n"/>
      <c r="Q890" s="65" t="n"/>
      <c r="R890" s="65" t="n"/>
      <c r="S890" s="65" t="n"/>
      <c r="T890" s="65" t="n"/>
      <c r="U890" s="65" t="n"/>
      <c r="V890" s="65" t="n"/>
    </row>
    <row r="891">
      <c r="A891" s="65" t="n"/>
      <c r="B891" s="65" t="n"/>
      <c r="C891" s="65" t="n"/>
      <c r="D891" s="65" t="n"/>
      <c r="E891" s="65" t="n"/>
      <c r="F891" s="65" t="n"/>
      <c r="G891" s="65" t="n"/>
      <c r="H891" s="65" t="inlineStr">
        <is>
          <t>[0075] SUPREMO API CI-4 SAE 15W-40 (Tambor)</t>
        </is>
      </c>
      <c r="I891" s="65" t="n">
        <v>75</v>
      </c>
      <c r="J891" s="63" t="inlineStr">
        <is>
          <t>2,00</t>
        </is>
      </c>
      <c r="K891" s="63" t="inlineStr">
        <is>
          <t>1.271,88</t>
        </is>
      </c>
      <c r="L891" s="63" t="inlineStr">
        <is>
          <t>0,00</t>
        </is>
      </c>
      <c r="M891" s="63" t="inlineStr">
        <is>
          <t>2.543,76</t>
        </is>
      </c>
      <c r="N891" s="63" t="inlineStr">
        <is>
          <t>2.950,76</t>
        </is>
      </c>
      <c r="O891" s="65" t="n"/>
      <c r="P891" s="65" t="n"/>
      <c r="Q891" s="65" t="n"/>
      <c r="R891" s="65" t="n"/>
      <c r="S891" s="65" t="n"/>
      <c r="T891" s="65" t="n"/>
      <c r="U891" s="65" t="n"/>
      <c r="V891" s="65" t="n"/>
    </row>
    <row r="892">
      <c r="A892" s="65" t="inlineStr">
        <is>
          <t>S00443</t>
        </is>
      </c>
      <c r="B892" s="62" t="n">
        <v>46167.75027777778</v>
      </c>
      <c r="C892" s="65" t="inlineStr">
        <is>
          <t>ZIP MARKET, CA</t>
        </is>
      </c>
      <c r="D892" s="65" t="inlineStr">
        <is>
          <t>QUEVEDO BASTIDAS NEYKEL DAVID</t>
        </is>
      </c>
      <c r="E892" s="65" t="inlineStr">
        <is>
          <t>7 días</t>
        </is>
      </c>
      <c r="F892" s="65" t="n">
        <v>5</v>
      </c>
      <c r="G892" s="65" t="inlineStr">
        <is>
          <t>Pago VES</t>
        </is>
      </c>
      <c r="H892" s="65" t="inlineStr">
        <is>
          <t>[0121] TRANSGLOB API GL-5 SAE 80W-90 (1x6)</t>
        </is>
      </c>
      <c r="I892" s="65" t="n">
        <v>121</v>
      </c>
      <c r="J892" s="63" t="inlineStr">
        <is>
          <t>1,00</t>
        </is>
      </c>
      <c r="K892" s="63" t="inlineStr">
        <is>
          <t>51,72</t>
        </is>
      </c>
      <c r="L892" s="63" t="inlineStr">
        <is>
          <t>0,00</t>
        </is>
      </c>
      <c r="M892" s="63" t="inlineStr">
        <is>
          <t>51,72</t>
        </is>
      </c>
      <c r="N892" s="63" t="inlineStr">
        <is>
          <t>60,00</t>
        </is>
      </c>
      <c r="O892" s="63" t="inlineStr">
        <is>
          <t>224,14</t>
        </is>
      </c>
      <c r="P892" s="63" t="inlineStr">
        <is>
          <t>260,01</t>
        </is>
      </c>
      <c r="Q892" s="63" t="inlineStr">
        <is>
          <t>721,35</t>
        </is>
      </c>
      <c r="R892" s="66" t="n">
        <v>46216</v>
      </c>
      <c r="S892" s="65" t="n">
        <v>347</v>
      </c>
      <c r="T892" s="65" t="inlineStr">
        <is>
          <t>00-00000890</t>
        </is>
      </c>
      <c r="U892" s="63" t="inlineStr">
        <is>
          <t>259,99</t>
        </is>
      </c>
      <c r="V892" s="63" t="inlineStr">
        <is>
          <t>260,00</t>
        </is>
      </c>
    </row>
    <row r="893">
      <c r="A893" s="65" t="n"/>
      <c r="B893" s="65" t="n"/>
      <c r="C893" s="65" t="n"/>
      <c r="D893" s="65" t="n"/>
      <c r="E893" s="65" t="n"/>
      <c r="F893" s="65" t="n"/>
      <c r="G893" s="65" t="n"/>
      <c r="H893" s="65" t="inlineStr">
        <is>
          <t>[0880] CLASICO API SL SAE 15W-40 (1x12)</t>
        </is>
      </c>
      <c r="I893" s="65" t="n">
        <v>880</v>
      </c>
      <c r="J893" s="63" t="inlineStr">
        <is>
          <t>2,00</t>
        </is>
      </c>
      <c r="K893" s="63" t="inlineStr">
        <is>
          <t>86,21</t>
        </is>
      </c>
      <c r="L893" s="63" t="inlineStr">
        <is>
          <t>0,00</t>
        </is>
      </c>
      <c r="M893" s="63" t="inlineStr">
        <is>
          <t>172,42</t>
        </is>
      </c>
      <c r="N893" s="63" t="inlineStr">
        <is>
          <t>200,01</t>
        </is>
      </c>
      <c r="O893" s="65" t="n"/>
      <c r="P893" s="65" t="n"/>
      <c r="Q893" s="65" t="n"/>
      <c r="R893" s="65" t="n"/>
      <c r="S893" s="65" t="n"/>
      <c r="T893" s="65" t="n"/>
      <c r="U893" s="65" t="n"/>
      <c r="V893" s="65" t="n"/>
    </row>
    <row r="894">
      <c r="A894" s="65" t="inlineStr">
        <is>
          <t>S00441</t>
        </is>
      </c>
      <c r="B894" s="62" t="n">
        <v>46167.56875</v>
      </c>
      <c r="C894" s="65" t="inlineStr">
        <is>
          <t>GASOLVEN DISTRIBUIDORA, C.A</t>
        </is>
      </c>
      <c r="D894" s="65" t="inlineStr">
        <is>
          <t>CASERES GONZALEZ RONALD OSWALDO</t>
        </is>
      </c>
      <c r="E894" s="65" t="inlineStr">
        <is>
          <t>7 días</t>
        </is>
      </c>
      <c r="F894" s="65" t="n">
        <v>5</v>
      </c>
      <c r="G894" s="65" t="inlineStr">
        <is>
          <t>Pago VES</t>
        </is>
      </c>
      <c r="H894" s="65" t="inlineStr">
        <is>
          <t>[0073] SUPREMO API CI-4 SAE 15W-40 (PAILA)</t>
        </is>
      </c>
      <c r="I894" s="65" t="n">
        <v>73</v>
      </c>
      <c r="J894" s="63" t="inlineStr">
        <is>
          <t>10,00</t>
        </is>
      </c>
      <c r="K894" s="63" t="inlineStr">
        <is>
          <t>127,32</t>
        </is>
      </c>
      <c r="L894" s="63" t="inlineStr">
        <is>
          <t>0,00</t>
        </is>
      </c>
      <c r="M894" s="63" t="inlineStr">
        <is>
          <t>1.273,20</t>
        </is>
      </c>
      <c r="N894" s="63" t="inlineStr">
        <is>
          <t>1.476,91</t>
        </is>
      </c>
      <c r="O894" s="63" t="inlineStr">
        <is>
          <t>1.595,47</t>
        </is>
      </c>
      <c r="P894" s="63" t="inlineStr">
        <is>
          <t>1.850,74</t>
        </is>
      </c>
      <c r="Q894" s="63" t="inlineStr">
        <is>
          <t>544,58</t>
        </is>
      </c>
      <c r="R894" s="66" t="n">
        <v>46185</v>
      </c>
      <c r="S894" s="65" t="n">
        <v>169</v>
      </c>
      <c r="T894" s="65" t="inlineStr">
        <is>
          <t>00-00000612</t>
        </is>
      </c>
      <c r="U894" s="63" t="inlineStr">
        <is>
          <t>1.202,99</t>
        </is>
      </c>
      <c r="V894" s="63" t="inlineStr">
        <is>
          <t>0,00</t>
        </is>
      </c>
    </row>
    <row r="895">
      <c r="A895" s="65" t="n"/>
      <c r="B895" s="65" t="n"/>
      <c r="C895" s="65" t="n"/>
      <c r="D895" s="65" t="n"/>
      <c r="E895" s="65" t="n"/>
      <c r="F895" s="65" t="n"/>
      <c r="G895" s="65" t="n"/>
      <c r="H895" s="65" t="inlineStr">
        <is>
          <t>[0107] TRANSMATIC ATF DEXRON III (PAILA)</t>
        </is>
      </c>
      <c r="I895" s="65" t="n">
        <v>107</v>
      </c>
      <c r="J895" s="63" t="inlineStr">
        <is>
          <t>1,00</t>
        </is>
      </c>
      <c r="K895" s="63" t="inlineStr">
        <is>
          <t>125,99</t>
        </is>
      </c>
      <c r="L895" s="63" t="inlineStr">
        <is>
          <t>0,00</t>
        </is>
      </c>
      <c r="M895" s="63" t="inlineStr">
        <is>
          <t>125,99</t>
        </is>
      </c>
      <c r="N895" s="63" t="inlineStr">
        <is>
          <t>146,15</t>
        </is>
      </c>
      <c r="O895" s="65" t="n"/>
      <c r="P895" s="65" t="n"/>
      <c r="Q895" s="65" t="n"/>
      <c r="R895" s="65" t="n"/>
      <c r="S895" s="65" t="n"/>
      <c r="T895" s="65" t="n"/>
      <c r="U895" s="65" t="n"/>
      <c r="V895" s="65" t="n"/>
    </row>
    <row r="896">
      <c r="A896" s="65" t="n"/>
      <c r="B896" s="65" t="n"/>
      <c r="C896" s="65" t="n"/>
      <c r="D896" s="65" t="n"/>
      <c r="E896" s="65" t="n"/>
      <c r="F896" s="65" t="n"/>
      <c r="G896" s="65" t="n"/>
      <c r="H896" s="65" t="inlineStr">
        <is>
          <t>[0123] TRANSGLOB API GL-5 SAE 80W-90 (Paila)</t>
        </is>
      </c>
      <c r="I896" s="65" t="n">
        <v>123</v>
      </c>
      <c r="J896" s="63" t="inlineStr">
        <is>
          <t>1,00</t>
        </is>
      </c>
      <c r="K896" s="63" t="inlineStr">
        <is>
          <t>123,34</t>
        </is>
      </c>
      <c r="L896" s="63" t="inlineStr">
        <is>
          <t>0,00</t>
        </is>
      </c>
      <c r="M896" s="63" t="inlineStr">
        <is>
          <t>123,34</t>
        </is>
      </c>
      <c r="N896" s="63" t="inlineStr">
        <is>
          <t>143,07</t>
        </is>
      </c>
      <c r="O896" s="65" t="n"/>
      <c r="P896" s="65" t="n"/>
      <c r="Q896" s="65" t="n"/>
      <c r="R896" s="65" t="n"/>
      <c r="S896" s="65" t="n"/>
      <c r="T896" s="65" t="n"/>
      <c r="U896" s="65" t="n"/>
      <c r="V896" s="65" t="n"/>
    </row>
    <row r="897">
      <c r="A897" s="65" t="n"/>
      <c r="B897" s="65" t="n"/>
      <c r="C897" s="65" t="n"/>
      <c r="D897" s="65" t="n"/>
      <c r="E897" s="65" t="n"/>
      <c r="F897" s="65" t="n"/>
      <c r="G897" s="65" t="n"/>
      <c r="H897" s="65" t="inlineStr">
        <is>
          <t>[0013] ELITE API SN SAE 5W-30 (1x6)</t>
        </is>
      </c>
      <c r="I897" s="65" t="n">
        <v>13</v>
      </c>
      <c r="J897" s="63" t="inlineStr">
        <is>
          <t>1,00</t>
        </is>
      </c>
      <c r="K897" s="63" t="inlineStr">
        <is>
          <t>72,94</t>
        </is>
      </c>
      <c r="L897" s="63" t="inlineStr">
        <is>
          <t>0,00</t>
        </is>
      </c>
      <c r="M897" s="63" t="inlineStr">
        <is>
          <t>72,94</t>
        </is>
      </c>
      <c r="N897" s="63" t="inlineStr">
        <is>
          <t>84,61</t>
        </is>
      </c>
      <c r="O897" s="65" t="n"/>
      <c r="P897" s="65" t="n"/>
      <c r="Q897" s="65" t="n"/>
      <c r="R897" s="65" t="n"/>
      <c r="S897" s="65" t="n"/>
      <c r="T897" s="65" t="n"/>
      <c r="U897" s="65" t="n"/>
      <c r="V897" s="65" t="n"/>
    </row>
    <row r="898">
      <c r="A898" s="65" t="inlineStr">
        <is>
          <t>S00439</t>
        </is>
      </c>
      <c r="B898" s="62" t="n">
        <v>46167.34511574074</v>
      </c>
      <c r="C898" s="65" t="inlineStr">
        <is>
          <t>MOTOREPUESTOS EL GUANÁBANO YRM C.A.</t>
        </is>
      </c>
      <c r="D898" s="65" t="inlineStr">
        <is>
          <t>TORO ARDILES DAVID JOSE</t>
        </is>
      </c>
      <c r="E898" s="65" t="inlineStr">
        <is>
          <t>7 días</t>
        </is>
      </c>
      <c r="F898" s="65" t="n">
        <v>5</v>
      </c>
      <c r="G898" s="65" t="inlineStr">
        <is>
          <t>Pago VES</t>
        </is>
      </c>
      <c r="H898" s="65" t="inlineStr">
        <is>
          <t>[0887] MOTOCLASICO 4T SAE 20W-50 (1x12)</t>
        </is>
      </c>
      <c r="I898" s="65" t="n">
        <v>887</v>
      </c>
      <c r="J898" s="63" t="inlineStr">
        <is>
          <t>1,00</t>
        </is>
      </c>
      <c r="K898" s="63" t="inlineStr">
        <is>
          <t>90,19</t>
        </is>
      </c>
      <c r="L898" s="63" t="inlineStr">
        <is>
          <t>0,00</t>
        </is>
      </c>
      <c r="M898" s="63" t="inlineStr">
        <is>
          <t>90,19</t>
        </is>
      </c>
      <c r="N898" s="63" t="inlineStr">
        <is>
          <t>104,62</t>
        </is>
      </c>
      <c r="O898" s="63" t="inlineStr">
        <is>
          <t>90,19</t>
        </is>
      </c>
      <c r="P898" s="63" t="inlineStr">
        <is>
          <t>104,62</t>
        </is>
      </c>
      <c r="Q898" s="63" t="inlineStr">
        <is>
          <t>721,35</t>
        </is>
      </c>
      <c r="R898" s="66" t="n">
        <v>46216</v>
      </c>
      <c r="S898" s="65" t="n">
        <v>348</v>
      </c>
      <c r="T898" s="65" t="inlineStr">
        <is>
          <t>00-00000891</t>
        </is>
      </c>
      <c r="U898" s="63" t="inlineStr">
        <is>
          <t>104,62</t>
        </is>
      </c>
      <c r="V898" s="63" t="inlineStr">
        <is>
          <t>104,62</t>
        </is>
      </c>
    </row>
    <row r="899">
      <c r="A899" s="65" t="inlineStr">
        <is>
          <t>S00437</t>
        </is>
      </c>
      <c r="B899" s="62" t="n">
        <v>46164.70871527777</v>
      </c>
      <c r="C899" s="65" t="inlineStr">
        <is>
          <t>Mazare Motors, C.A</t>
        </is>
      </c>
      <c r="D899" s="65" t="inlineStr">
        <is>
          <t>QUEVEDO BASTIDAS NEYKEL DAVID</t>
        </is>
      </c>
      <c r="E899" s="65" t="inlineStr">
        <is>
          <t>15 días</t>
        </is>
      </c>
      <c r="F899" s="65" t="n">
        <v>5</v>
      </c>
      <c r="G899" s="65" t="inlineStr">
        <is>
          <t>Pago VES</t>
        </is>
      </c>
      <c r="H899" s="65" t="inlineStr">
        <is>
          <t>[0087] ENDUROGLOB 2T AIRE (1x6)</t>
        </is>
      </c>
      <c r="I899" s="65" t="n">
        <v>87</v>
      </c>
      <c r="J899" s="63" t="inlineStr">
        <is>
          <t>2,00</t>
        </is>
      </c>
      <c r="K899" s="63" t="inlineStr">
        <is>
          <t>50,40</t>
        </is>
      </c>
      <c r="L899" s="63" t="inlineStr">
        <is>
          <t>0,00</t>
        </is>
      </c>
      <c r="M899" s="63" t="inlineStr">
        <is>
          <t>100,80</t>
        </is>
      </c>
      <c r="N899" s="63" t="inlineStr">
        <is>
          <t>116,93</t>
        </is>
      </c>
      <c r="O899" s="63" t="inlineStr">
        <is>
          <t>100,80</t>
        </is>
      </c>
      <c r="P899" s="63" t="inlineStr">
        <is>
          <t>116,93</t>
        </is>
      </c>
      <c r="Q899" s="63" t="inlineStr">
        <is>
          <t>721,35</t>
        </is>
      </c>
      <c r="R899" s="66" t="n">
        <v>46216</v>
      </c>
      <c r="S899" s="65" t="n">
        <v>349</v>
      </c>
      <c r="T899" s="65" t="inlineStr">
        <is>
          <t>00-00000892</t>
        </is>
      </c>
      <c r="U899" s="63" t="inlineStr">
        <is>
          <t>116,92</t>
        </is>
      </c>
      <c r="V899" s="63" t="inlineStr">
        <is>
          <t>116,93</t>
        </is>
      </c>
    </row>
    <row r="900">
      <c r="A900" s="65" t="inlineStr">
        <is>
          <t>S00435</t>
        </is>
      </c>
      <c r="B900" s="62" t="n">
        <v>46164.48008101852</v>
      </c>
      <c r="C900" s="65" t="inlineStr">
        <is>
          <t>PROYECTOS Y DESARROLLO TOMTOM,C.A.</t>
        </is>
      </c>
      <c r="D900" s="65" t="inlineStr">
        <is>
          <t>CASERES GONZALEZ RONALD OSWALDO</t>
        </is>
      </c>
      <c r="E900" s="65" t="inlineStr">
        <is>
          <t>7 días</t>
        </is>
      </c>
      <c r="F900" s="65" t="n">
        <v>5</v>
      </c>
      <c r="G900" s="65" t="inlineStr">
        <is>
          <t>Pago VES</t>
        </is>
      </c>
      <c r="H900" s="65" t="inlineStr">
        <is>
          <t>[0141] HIDRAGLOB AW/ISO 46 (Tambor)</t>
        </is>
      </c>
      <c r="I900" s="65" t="n">
        <v>141</v>
      </c>
      <c r="J900" s="63" t="inlineStr">
        <is>
          <t>2,00</t>
        </is>
      </c>
      <c r="K900" s="63" t="inlineStr">
        <is>
          <t>1.232,10</t>
        </is>
      </c>
      <c r="L900" s="63" t="inlineStr">
        <is>
          <t>0,00</t>
        </is>
      </c>
      <c r="M900" s="63" t="inlineStr">
        <is>
          <t>2.464,20</t>
        </is>
      </c>
      <c r="N900" s="63" t="inlineStr">
        <is>
          <t>2.858,47</t>
        </is>
      </c>
      <c r="O900" s="63" t="inlineStr">
        <is>
          <t>2.464,20</t>
        </is>
      </c>
      <c r="P900" s="63" t="inlineStr">
        <is>
          <t>2.858,47</t>
        </is>
      </c>
      <c r="Q900" s="63" t="inlineStr">
        <is>
          <t>526,87</t>
        </is>
      </c>
      <c r="R900" s="66" t="n">
        <v>46164</v>
      </c>
      <c r="S900" s="65" t="n">
        <v>90</v>
      </c>
      <c r="T900" s="65" t="inlineStr">
        <is>
          <t>00-00000425</t>
        </is>
      </c>
      <c r="U900" s="63" t="inlineStr">
        <is>
          <t>2.858,47</t>
        </is>
      </c>
      <c r="V900" s="63" t="inlineStr">
        <is>
          <t>0,00</t>
        </is>
      </c>
    </row>
    <row r="901">
      <c r="A901" s="65" t="inlineStr">
        <is>
          <t>S00434</t>
        </is>
      </c>
      <c r="B901" s="62" t="n">
        <v>46164.35736111111</v>
      </c>
      <c r="C901" s="65" t="inlineStr">
        <is>
          <t>EMPRENDIMIENTO FRANCISCO VEGAS 3</t>
        </is>
      </c>
      <c r="D901" s="65" t="inlineStr">
        <is>
          <t>TORO ARDILES DAVID JOSE</t>
        </is>
      </c>
      <c r="E901" s="65" t="inlineStr">
        <is>
          <t>7 días</t>
        </is>
      </c>
      <c r="F901" s="65" t="n">
        <v>5</v>
      </c>
      <c r="G901" s="65" t="inlineStr">
        <is>
          <t>Pago VES</t>
        </is>
      </c>
      <c r="H901" s="65" t="inlineStr">
        <is>
          <t>[0887] MOTOCLASICO 4T SAE 20W-50 (1x12)</t>
        </is>
      </c>
      <c r="I901" s="65" t="n">
        <v>887</v>
      </c>
      <c r="J901" s="63" t="inlineStr">
        <is>
          <t>1,00</t>
        </is>
      </c>
      <c r="K901" s="63" t="inlineStr">
        <is>
          <t>90,19</t>
        </is>
      </c>
      <c r="L901" s="63" t="inlineStr">
        <is>
          <t>35,00</t>
        </is>
      </c>
      <c r="M901" s="63" t="inlineStr">
        <is>
          <t>58,62</t>
        </is>
      </c>
      <c r="N901" s="63" t="inlineStr">
        <is>
          <t>68,00</t>
        </is>
      </c>
      <c r="O901" s="63" t="inlineStr">
        <is>
          <t>58,62</t>
        </is>
      </c>
      <c r="P901" s="63" t="inlineStr">
        <is>
          <t>68,00</t>
        </is>
      </c>
      <c r="Q901" s="63" t="inlineStr">
        <is>
          <t>544,58</t>
        </is>
      </c>
      <c r="R901" s="66" t="n">
        <v>46205</v>
      </c>
      <c r="S901" s="65" t="n">
        <v>215</v>
      </c>
      <c r="T901" s="65" t="inlineStr">
        <is>
          <t>00-00000719</t>
        </is>
      </c>
      <c r="U901" s="63" t="inlineStr">
        <is>
          <t>67,99</t>
        </is>
      </c>
      <c r="V901" s="63" t="inlineStr">
        <is>
          <t>0,00</t>
        </is>
      </c>
    </row>
    <row r="902">
      <c r="A902" s="65" t="inlineStr">
        <is>
          <t>S00432</t>
        </is>
      </c>
      <c r="B902" s="62" t="n">
        <v>46164.35422453703</v>
      </c>
      <c r="C902" s="65" t="inlineStr">
        <is>
          <t>COMERCIAL EKAFREN,C.A.</t>
        </is>
      </c>
      <c r="D902" s="65" t="inlineStr">
        <is>
          <t>LOPEZ ANTUNEZ ANDERSON JOSE</t>
        </is>
      </c>
      <c r="E902" s="65" t="inlineStr">
        <is>
          <t>7 días</t>
        </is>
      </c>
      <c r="F902" s="65" t="n">
        <v>5</v>
      </c>
      <c r="G902" s="65" t="inlineStr">
        <is>
          <t>Pago VES</t>
        </is>
      </c>
      <c r="H902" s="65" t="inlineStr">
        <is>
          <t>[0881] CLASICO API SL SAE 20W-50 (1x12)</t>
        </is>
      </c>
      <c r="I902" s="65" t="n">
        <v>881</v>
      </c>
      <c r="J902" s="63" t="inlineStr">
        <is>
          <t>5,00</t>
        </is>
      </c>
      <c r="K902" s="63" t="inlineStr">
        <is>
          <t>86,21</t>
        </is>
      </c>
      <c r="L902" s="63" t="inlineStr">
        <is>
          <t>0,61</t>
        </is>
      </c>
      <c r="M902" s="63" t="inlineStr">
        <is>
          <t>428,42</t>
        </is>
      </c>
      <c r="N902" s="63" t="inlineStr">
        <is>
          <t>496,97</t>
        </is>
      </c>
      <c r="O902" s="63" t="inlineStr">
        <is>
          <t>428,42</t>
        </is>
      </c>
      <c r="P902" s="63" t="inlineStr">
        <is>
          <t>496,97</t>
        </is>
      </c>
      <c r="Q902" s="63" t="inlineStr">
        <is>
          <t>721,35</t>
        </is>
      </c>
      <c r="R902" s="66" t="n">
        <v>46216</v>
      </c>
      <c r="S902" s="65" t="n">
        <v>350</v>
      </c>
      <c r="T902" s="65" t="inlineStr">
        <is>
          <t>00-00000893</t>
        </is>
      </c>
      <c r="U902" s="63" t="inlineStr">
        <is>
          <t>496,96</t>
        </is>
      </c>
      <c r="V902" s="63" t="inlineStr">
        <is>
          <t>496,97</t>
        </is>
      </c>
    </row>
    <row r="903">
      <c r="A903" s="65" t="inlineStr">
        <is>
          <t>S00431</t>
        </is>
      </c>
      <c r="B903" s="62" t="n">
        <v>46163.71994212963</v>
      </c>
      <c r="C903" s="65" t="inlineStr">
        <is>
          <t>Carlos Eduardo Ascension Matos</t>
        </is>
      </c>
      <c r="D903" s="65" t="inlineStr">
        <is>
          <t>QUEVEDO BASTIDAS NEYKEL DAVID</t>
        </is>
      </c>
      <c r="E903" s="65" t="inlineStr">
        <is>
          <t>15 días</t>
        </is>
      </c>
      <c r="F903" s="65" t="n">
        <v>5</v>
      </c>
      <c r="G903" s="65" t="inlineStr">
        <is>
          <t>Pago VES</t>
        </is>
      </c>
      <c r="H903" s="65" t="inlineStr">
        <is>
          <t>[0881] CLASICO API SL SAE 20W-50 (1x12)</t>
        </is>
      </c>
      <c r="I903" s="65" t="n">
        <v>881</v>
      </c>
      <c r="J903" s="63" t="inlineStr">
        <is>
          <t>2,00</t>
        </is>
      </c>
      <c r="K903" s="63" t="inlineStr">
        <is>
          <t>86,21</t>
        </is>
      </c>
      <c r="L903" s="63" t="inlineStr">
        <is>
          <t>0,00</t>
        </is>
      </c>
      <c r="M903" s="63" t="inlineStr">
        <is>
          <t>172,42</t>
        </is>
      </c>
      <c r="N903" s="63" t="inlineStr">
        <is>
          <t>200,01</t>
        </is>
      </c>
      <c r="O903" s="63" t="inlineStr">
        <is>
          <t>262,61</t>
        </is>
      </c>
      <c r="P903" s="63" t="inlineStr">
        <is>
          <t>304,63</t>
        </is>
      </c>
      <c r="Q903" s="63" t="inlineStr">
        <is>
          <t>523,68</t>
        </is>
      </c>
      <c r="R903" s="66" t="n">
        <v>46204</v>
      </c>
      <c r="S903" s="65" t="n">
        <v>202</v>
      </c>
      <c r="T903" s="65" t="inlineStr">
        <is>
          <t>00-00000695</t>
        </is>
      </c>
      <c r="U903" s="63" t="inlineStr">
        <is>
          <t>273,91</t>
        </is>
      </c>
      <c r="V903" s="63" t="inlineStr">
        <is>
          <t>0,00</t>
        </is>
      </c>
    </row>
    <row r="904">
      <c r="A904" s="65" t="n"/>
      <c r="B904" s="65" t="n"/>
      <c r="C904" s="65" t="n"/>
      <c r="D904" s="65" t="n"/>
      <c r="E904" s="65" t="n"/>
      <c r="F904" s="65" t="n"/>
      <c r="G904" s="65" t="n"/>
      <c r="H904" s="65" t="n"/>
      <c r="I904" s="65" t="n"/>
      <c r="J904" s="65" t="n"/>
      <c r="K904" s="65" t="n"/>
      <c r="L904" s="65" t="n"/>
      <c r="M904" s="65" t="n"/>
      <c r="N904" s="65" t="n"/>
      <c r="O904" s="65" t="n"/>
      <c r="P904" s="65" t="n"/>
      <c r="Q904" s="63" t="inlineStr">
        <is>
          <t>544,58</t>
        </is>
      </c>
      <c r="R904" s="66" t="n">
        <v>46203</v>
      </c>
      <c r="S904" s="65" t="n">
        <v>8</v>
      </c>
      <c r="T904" s="65" t="inlineStr">
        <is>
          <t>00-00000694</t>
        </is>
      </c>
      <c r="U904" s="63" t="inlineStr">
        <is>
          <t>-308,05</t>
        </is>
      </c>
      <c r="V904" s="63" t="inlineStr">
        <is>
          <t>0,00</t>
        </is>
      </c>
    </row>
    <row r="905">
      <c r="A905" s="65" t="n"/>
      <c r="B905" s="65" t="n"/>
      <c r="C905" s="65" t="n"/>
      <c r="D905" s="65" t="n"/>
      <c r="E905" s="65" t="n"/>
      <c r="F905" s="65" t="n"/>
      <c r="G905" s="65" t="n"/>
      <c r="H905" s="65" t="n"/>
      <c r="I905" s="65" t="n"/>
      <c r="J905" s="65" t="n"/>
      <c r="K905" s="65" t="n"/>
      <c r="L905" s="65" t="n"/>
      <c r="M905" s="65" t="n"/>
      <c r="N905" s="65" t="n"/>
      <c r="O905" s="65" t="n"/>
      <c r="P905" s="65" t="n"/>
      <c r="Q905" s="63" t="inlineStr">
        <is>
          <t>544,58</t>
        </is>
      </c>
      <c r="R905" s="66" t="n">
        <v>46195</v>
      </c>
      <c r="S905" s="65" t="n">
        <v>197</v>
      </c>
      <c r="T905" s="65" t="inlineStr">
        <is>
          <t>00-00000685</t>
        </is>
      </c>
      <c r="U905" s="63" t="inlineStr">
        <is>
          <t>308,05</t>
        </is>
      </c>
      <c r="V905" s="63" t="inlineStr">
        <is>
          <t>0,00</t>
        </is>
      </c>
    </row>
    <row r="906">
      <c r="A906" s="65" t="n"/>
      <c r="B906" s="65" t="n"/>
      <c r="C906" s="65" t="n"/>
      <c r="D906" s="65" t="n"/>
      <c r="E906" s="65" t="n"/>
      <c r="F906" s="65" t="n"/>
      <c r="G906" s="65" t="n"/>
      <c r="H906" s="65" t="inlineStr">
        <is>
          <t>[0887] MOTOCLASICO 4T SAE 20W-50 (1x12)</t>
        </is>
      </c>
      <c r="I906" s="65" t="n">
        <v>887</v>
      </c>
      <c r="J906" s="63" t="inlineStr">
        <is>
          <t>1,00</t>
        </is>
      </c>
      <c r="K906" s="63" t="inlineStr">
        <is>
          <t>90,19</t>
        </is>
      </c>
      <c r="L906" s="63" t="inlineStr">
        <is>
          <t>0,00</t>
        </is>
      </c>
      <c r="M906" s="63" t="inlineStr">
        <is>
          <t>90,19</t>
        </is>
      </c>
      <c r="N906" s="63" t="inlineStr">
        <is>
          <t>104,62</t>
        </is>
      </c>
      <c r="O906" s="65" t="n"/>
      <c r="P906" s="65" t="n"/>
      <c r="Q906" s="65" t="n"/>
      <c r="R906" s="65" t="n"/>
      <c r="S906" s="65" t="n"/>
      <c r="T906" s="65" t="n"/>
      <c r="U906" s="65" t="n"/>
      <c r="V906" s="65" t="n"/>
    </row>
    <row r="907">
      <c r="A907" s="65" t="inlineStr">
        <is>
          <t>S00415</t>
        </is>
      </c>
      <c r="B907" s="62" t="n">
        <v>46163.60288194445</v>
      </c>
      <c r="C907" s="65" t="inlineStr">
        <is>
          <t>Almacenadora X7, C.A</t>
        </is>
      </c>
      <c r="D907" s="65" t="inlineStr">
        <is>
          <t>Marco Romero</t>
        </is>
      </c>
      <c r="E907" s="65" t="inlineStr">
        <is>
          <t>7 días</t>
        </is>
      </c>
      <c r="F907" s="65" t="n">
        <v>5</v>
      </c>
      <c r="G907" s="65" t="inlineStr">
        <is>
          <t>Pago VES</t>
        </is>
      </c>
      <c r="H907" s="65" t="inlineStr">
        <is>
          <t>[0605] SINOCO SAE 20W-50 (PAILA)</t>
        </is>
      </c>
      <c r="I907" s="65" t="n">
        <v>605</v>
      </c>
      <c r="J907" s="63" t="inlineStr">
        <is>
          <t>1,00</t>
        </is>
      </c>
      <c r="K907" s="63" t="inlineStr">
        <is>
          <t>96,82</t>
        </is>
      </c>
      <c r="L907" s="63" t="inlineStr">
        <is>
          <t>0,00</t>
        </is>
      </c>
      <c r="M907" s="63" t="inlineStr">
        <is>
          <t>96,82</t>
        </is>
      </c>
      <c r="N907" s="63" t="inlineStr">
        <is>
          <t>112,31</t>
        </is>
      </c>
      <c r="O907" s="63" t="inlineStr">
        <is>
          <t>222,81</t>
        </is>
      </c>
      <c r="P907" s="63" t="inlineStr">
        <is>
          <t>258,46</t>
        </is>
      </c>
      <c r="Q907" s="63" t="inlineStr">
        <is>
          <t>549,37</t>
        </is>
      </c>
      <c r="R907" s="66" t="n">
        <v>46171</v>
      </c>
      <c r="S907" s="65" t="n">
        <v>104</v>
      </c>
      <c r="T907" s="65" t="inlineStr">
        <is>
          <t>00-00000463</t>
        </is>
      </c>
      <c r="U907" s="63" t="inlineStr">
        <is>
          <t>258,45</t>
        </is>
      </c>
      <c r="V907" s="63" t="inlineStr">
        <is>
          <t>0,00</t>
        </is>
      </c>
    </row>
    <row r="908">
      <c r="A908" s="65" t="n"/>
      <c r="B908" s="65" t="n"/>
      <c r="C908" s="65" t="n"/>
      <c r="D908" s="65" t="n"/>
      <c r="E908" s="65" t="n"/>
      <c r="F908" s="65" t="n"/>
      <c r="G908" s="65" t="n"/>
      <c r="H908" s="65" t="inlineStr">
        <is>
          <t>[0107] TRANSMATIC ATF DEXRON III (PAILA)</t>
        </is>
      </c>
      <c r="I908" s="65" t="n">
        <v>107</v>
      </c>
      <c r="J908" s="63" t="inlineStr">
        <is>
          <t>1,00</t>
        </is>
      </c>
      <c r="K908" s="63" t="inlineStr">
        <is>
          <t>125,99</t>
        </is>
      </c>
      <c r="L908" s="63" t="inlineStr">
        <is>
          <t>0,00</t>
        </is>
      </c>
      <c r="M908" s="63" t="inlineStr">
        <is>
          <t>125,99</t>
        </is>
      </c>
      <c r="N908" s="63" t="inlineStr">
        <is>
          <t>146,15</t>
        </is>
      </c>
      <c r="O908" s="65" t="n"/>
      <c r="P908" s="65" t="n"/>
      <c r="Q908" s="65" t="n"/>
      <c r="R908" s="65" t="n"/>
      <c r="S908" s="65" t="n"/>
      <c r="T908" s="65" t="n"/>
      <c r="U908" s="65" t="n"/>
      <c r="V908" s="65" t="n"/>
    </row>
    <row r="909">
      <c r="A909" s="65" t="inlineStr">
        <is>
          <t>S00426</t>
        </is>
      </c>
      <c r="B909" s="62" t="n">
        <v>46162.73980324074</v>
      </c>
      <c r="C909" s="65" t="inlineStr">
        <is>
          <t>MULTIPARTES Y SERVICIOS HONDANIS,C.A.</t>
        </is>
      </c>
      <c r="D909" s="65" t="inlineStr">
        <is>
          <t>CASERES GONZALEZ RONALD OSWALDO</t>
        </is>
      </c>
      <c r="E909" s="65" t="inlineStr">
        <is>
          <t>15 días</t>
        </is>
      </c>
      <c r="F909" s="65" t="n">
        <v>5</v>
      </c>
      <c r="G909" s="65" t="inlineStr">
        <is>
          <t>Pago VES</t>
        </is>
      </c>
      <c r="H909" s="65" t="inlineStr">
        <is>
          <t>[0877] SS EXTRA PROTECCION API SN SAE 15W-40 (1X12)</t>
        </is>
      </c>
      <c r="I909" s="65" t="n">
        <v>877</v>
      </c>
      <c r="J909" s="63" t="inlineStr">
        <is>
          <t>2,00</t>
        </is>
      </c>
      <c r="K909" s="63" t="inlineStr">
        <is>
          <t>100,80</t>
        </is>
      </c>
      <c r="L909" s="63" t="inlineStr">
        <is>
          <t>0,00</t>
        </is>
      </c>
      <c r="M909" s="63" t="inlineStr">
        <is>
          <t>201,60</t>
        </is>
      </c>
      <c r="N909" s="63" t="inlineStr">
        <is>
          <t>233,86</t>
        </is>
      </c>
      <c r="O909" s="63" t="inlineStr">
        <is>
          <t>201,60</t>
        </is>
      </c>
      <c r="P909" s="63" t="inlineStr">
        <is>
          <t>233,86</t>
        </is>
      </c>
      <c r="Q909" s="63" t="inlineStr">
        <is>
          <t>544,58</t>
        </is>
      </c>
      <c r="R909" s="66" t="n">
        <v>46190</v>
      </c>
      <c r="S909" s="65" t="n">
        <v>182</v>
      </c>
      <c r="T909" s="65" t="inlineStr">
        <is>
          <t>00-00000643</t>
        </is>
      </c>
      <c r="U909" s="63" t="inlineStr">
        <is>
          <t>256,26</t>
        </is>
      </c>
      <c r="V909" s="63" t="inlineStr">
        <is>
          <t>54,68</t>
        </is>
      </c>
    </row>
    <row r="910">
      <c r="A910" s="65" t="inlineStr">
        <is>
          <t>S00424</t>
        </is>
      </c>
      <c r="B910" s="62" t="n">
        <v>46162.71738425926</v>
      </c>
      <c r="C910" s="65" t="inlineStr">
        <is>
          <t>Antonio Terán</t>
        </is>
      </c>
      <c r="D910" s="65" t="inlineStr">
        <is>
          <t>PEREZ DIAZ ANGEL DE DIOS</t>
        </is>
      </c>
      <c r="E910" s="65" t="inlineStr">
        <is>
          <t>45 días</t>
        </is>
      </c>
      <c r="F910" s="65" t="n">
        <v>5</v>
      </c>
      <c r="G910" s="65" t="inlineStr">
        <is>
          <t>Pago VES</t>
        </is>
      </c>
      <c r="H910" s="65" t="inlineStr">
        <is>
          <t>[0779] SINOCO SAE 20W-50 (1x12)</t>
        </is>
      </c>
      <c r="I910" s="65" t="n">
        <v>779</v>
      </c>
      <c r="J910" s="63" t="inlineStr">
        <is>
          <t>13,00</t>
        </is>
      </c>
      <c r="K910" s="63" t="inlineStr">
        <is>
          <t>70,29</t>
        </is>
      </c>
      <c r="L910" s="63" t="inlineStr">
        <is>
          <t>0,00</t>
        </is>
      </c>
      <c r="M910" s="63" t="inlineStr">
        <is>
          <t>913,77</t>
        </is>
      </c>
      <c r="N910" s="63" t="inlineStr">
        <is>
          <t>1.059,97</t>
        </is>
      </c>
      <c r="O910" s="63" t="inlineStr">
        <is>
          <t>1.124,64</t>
        </is>
      </c>
      <c r="P910" s="63" t="inlineStr">
        <is>
          <t>1.304,58</t>
        </is>
      </c>
      <c r="Q910" s="63" t="inlineStr">
        <is>
          <t>721,35</t>
        </is>
      </c>
      <c r="R910" s="66" t="n">
        <v>46216</v>
      </c>
      <c r="S910" s="65" t="n">
        <v>351</v>
      </c>
      <c r="T910" s="65" t="inlineStr">
        <is>
          <t>00-00000894</t>
        </is>
      </c>
      <c r="U910" s="63" t="inlineStr">
        <is>
          <t>1.304,58</t>
        </is>
      </c>
      <c r="V910" s="63" t="inlineStr">
        <is>
          <t>0,00</t>
        </is>
      </c>
    </row>
    <row r="911">
      <c r="A911" s="65" t="n"/>
      <c r="B911" s="65" t="n"/>
      <c r="C911" s="65" t="n"/>
      <c r="D911" s="65" t="n"/>
      <c r="E911" s="65" t="n"/>
      <c r="F911" s="65" t="n"/>
      <c r="G911" s="65" t="n"/>
      <c r="H911" s="65" t="inlineStr">
        <is>
          <t>[0915] SINOCO SAE 50 (1x12)</t>
        </is>
      </c>
      <c r="I911" s="65" t="n">
        <v>915</v>
      </c>
      <c r="J911" s="63" t="inlineStr">
        <is>
          <t>3,00</t>
        </is>
      </c>
      <c r="K911" s="63" t="inlineStr">
        <is>
          <t>70,29</t>
        </is>
      </c>
      <c r="L911" s="63" t="inlineStr">
        <is>
          <t>0,00</t>
        </is>
      </c>
      <c r="M911" s="63" t="inlineStr">
        <is>
          <t>210,87</t>
        </is>
      </c>
      <c r="N911" s="63" t="inlineStr">
        <is>
          <t>244,61</t>
        </is>
      </c>
      <c r="O911" s="65" t="n"/>
      <c r="P911" s="65" t="n"/>
      <c r="Q911" s="65" t="n"/>
      <c r="R911" s="65" t="n"/>
      <c r="S911" s="65" t="n"/>
      <c r="T911" s="65" t="n"/>
      <c r="U911" s="65" t="n"/>
      <c r="V911" s="65" t="n"/>
    </row>
    <row r="912">
      <c r="A912" s="65" t="inlineStr">
        <is>
          <t>S00422</t>
        </is>
      </c>
      <c r="B912" s="62" t="n">
        <v>46162.65587962963</v>
      </c>
      <c r="C912" s="65" t="inlineStr">
        <is>
          <t>INVERSIONES R&amp;C 1817, c.a.</t>
        </is>
      </c>
      <c r="D912" s="65" t="inlineStr">
        <is>
          <t>TORO ARDILES DAVID JOSE</t>
        </is>
      </c>
      <c r="E912" s="65" t="inlineStr">
        <is>
          <t>7 días</t>
        </is>
      </c>
      <c r="F912" s="65" t="n">
        <v>5</v>
      </c>
      <c r="G912" s="65" t="inlineStr">
        <is>
          <t>Pago VES</t>
        </is>
      </c>
      <c r="H912" s="65" t="inlineStr">
        <is>
          <t>[0761] LIGA PARA FRENOS DOT-3 (1x12)</t>
        </is>
      </c>
      <c r="I912" s="65" t="n">
        <v>761</v>
      </c>
      <c r="J912" s="63" t="inlineStr">
        <is>
          <t>2,00</t>
        </is>
      </c>
      <c r="K912" s="63" t="inlineStr">
        <is>
          <t>35,81</t>
        </is>
      </c>
      <c r="L912" s="63" t="inlineStr">
        <is>
          <t>35,00</t>
        </is>
      </c>
      <c r="M912" s="63" t="inlineStr">
        <is>
          <t>46,55</t>
        </is>
      </c>
      <c r="N912" s="63" t="inlineStr">
        <is>
          <t>54,00</t>
        </is>
      </c>
      <c r="O912" s="63" t="inlineStr">
        <is>
          <t>108,62</t>
        </is>
      </c>
      <c r="P912" s="63" t="inlineStr">
        <is>
          <t>126,00</t>
        </is>
      </c>
      <c r="Q912" s="63" t="inlineStr">
        <is>
          <t>520,91</t>
        </is>
      </c>
      <c r="R912" s="66" t="n">
        <v>46190</v>
      </c>
      <c r="S912" s="65" t="n">
        <v>191</v>
      </c>
      <c r="T912" s="65" t="inlineStr">
        <is>
          <t>00-00000653</t>
        </is>
      </c>
      <c r="U912" s="63" t="inlineStr">
        <is>
          <t>125,98</t>
        </is>
      </c>
      <c r="V912" s="63" t="inlineStr">
        <is>
          <t>0,00</t>
        </is>
      </c>
    </row>
    <row r="913">
      <c r="A913" s="65" t="n"/>
      <c r="B913" s="65" t="n"/>
      <c r="C913" s="65" t="n"/>
      <c r="D913" s="65" t="n"/>
      <c r="E913" s="65" t="n"/>
      <c r="F913" s="65" t="n"/>
      <c r="G913" s="65" t="n"/>
      <c r="H913" s="65" t="inlineStr">
        <is>
          <t>[0884] TRANSMATIC ATF DEXRON III (1x12)</t>
        </is>
      </c>
      <c r="I913" s="65" t="n">
        <v>884</v>
      </c>
      <c r="J913" s="63" t="inlineStr">
        <is>
          <t>1,00</t>
        </is>
      </c>
      <c r="K913" s="63" t="inlineStr">
        <is>
          <t>95,49</t>
        </is>
      </c>
      <c r="L913" s="63" t="inlineStr">
        <is>
          <t>35,00</t>
        </is>
      </c>
      <c r="M913" s="63" t="inlineStr">
        <is>
          <t>62,07</t>
        </is>
      </c>
      <c r="N913" s="63" t="inlineStr">
        <is>
          <t>72,00</t>
        </is>
      </c>
      <c r="O913" s="65" t="n"/>
      <c r="P913" s="65" t="n"/>
      <c r="Q913" s="65" t="n"/>
      <c r="R913" s="65" t="n"/>
      <c r="S913" s="65" t="n"/>
      <c r="T913" s="65" t="n"/>
      <c r="U913" s="65" t="n"/>
      <c r="V913" s="65" t="n"/>
    </row>
    <row r="914">
      <c r="A914" s="65" t="inlineStr">
        <is>
          <t>S00423</t>
        </is>
      </c>
      <c r="B914" s="62" t="n">
        <v>46162.65568287037</v>
      </c>
      <c r="C914" s="65" t="inlineStr">
        <is>
          <t>OLIVEIRA &amp; SANTOS, C.A.(SERVICENTRO EL CUÑO, C.A.)</t>
        </is>
      </c>
      <c r="D914" s="65" t="inlineStr">
        <is>
          <t>TORO ARDILES DAVID JOSE</t>
        </is>
      </c>
      <c r="E914" s="65" t="inlineStr">
        <is>
          <t>7 días</t>
        </is>
      </c>
      <c r="F914" s="65" t="n">
        <v>5</v>
      </c>
      <c r="G914" s="65" t="inlineStr">
        <is>
          <t>Pago VES</t>
        </is>
      </c>
      <c r="H914" s="65" t="inlineStr">
        <is>
          <t>[0877] SS EXTRA PROTECCION API SN SAE 15W-40 (1X12)</t>
        </is>
      </c>
      <c r="I914" s="65" t="n">
        <v>877</v>
      </c>
      <c r="J914" s="63" t="inlineStr">
        <is>
          <t>1,00</t>
        </is>
      </c>
      <c r="K914" s="63" t="inlineStr">
        <is>
          <t>100,80</t>
        </is>
      </c>
      <c r="L914" s="63" t="inlineStr">
        <is>
          <t>0,00</t>
        </is>
      </c>
      <c r="M914" s="63" t="inlineStr">
        <is>
          <t>100,80</t>
        </is>
      </c>
      <c r="N914" s="63" t="inlineStr">
        <is>
          <t>116,93</t>
        </is>
      </c>
      <c r="O914" s="63" t="inlineStr">
        <is>
          <t>622,01</t>
        </is>
      </c>
      <c r="P914" s="63" t="inlineStr">
        <is>
          <t>721,55</t>
        </is>
      </c>
      <c r="Q914" s="63" t="inlineStr">
        <is>
          <t>721,35</t>
        </is>
      </c>
      <c r="R914" s="66" t="n">
        <v>46216</v>
      </c>
      <c r="S914" s="65" t="n">
        <v>352</v>
      </c>
      <c r="T914" s="65" t="inlineStr">
        <is>
          <t>00-00000895</t>
        </is>
      </c>
      <c r="U914" s="63" t="inlineStr">
        <is>
          <t>721,50</t>
        </is>
      </c>
      <c r="V914" s="63" t="inlineStr">
        <is>
          <t>721,53</t>
        </is>
      </c>
    </row>
    <row r="915">
      <c r="A915" s="65" t="n"/>
      <c r="B915" s="65" t="n"/>
      <c r="C915" s="65" t="n"/>
      <c r="D915" s="65" t="n"/>
      <c r="E915" s="65" t="n"/>
      <c r="F915" s="65" t="n"/>
      <c r="G915" s="65" t="n"/>
      <c r="H915" s="65" t="inlineStr">
        <is>
          <t>[0878] SS EXTRA PROTECCION API SN SAE 20W-50 (1x12)</t>
        </is>
      </c>
      <c r="I915" s="65" t="n">
        <v>878</v>
      </c>
      <c r="J915" s="63" t="inlineStr">
        <is>
          <t>1,00</t>
        </is>
      </c>
      <c r="K915" s="63" t="inlineStr">
        <is>
          <t>100,80</t>
        </is>
      </c>
      <c r="L915" s="63" t="inlineStr">
        <is>
          <t>0,00</t>
        </is>
      </c>
      <c r="M915" s="63" t="inlineStr">
        <is>
          <t>100,80</t>
        </is>
      </c>
      <c r="N915" s="63" t="inlineStr">
        <is>
          <t>116,93</t>
        </is>
      </c>
      <c r="O915" s="65" t="n"/>
      <c r="P915" s="65" t="n"/>
      <c r="Q915" s="65" t="n"/>
      <c r="R915" s="65" t="n"/>
      <c r="S915" s="65" t="n"/>
      <c r="T915" s="65" t="n"/>
      <c r="U915" s="65" t="n"/>
      <c r="V915" s="65" t="n"/>
    </row>
    <row r="916">
      <c r="A916" s="65" t="n"/>
      <c r="B916" s="65" t="n"/>
      <c r="C916" s="65" t="n"/>
      <c r="D916" s="65" t="n"/>
      <c r="E916" s="65" t="n"/>
      <c r="F916" s="65" t="n"/>
      <c r="G916" s="65" t="n"/>
      <c r="H916" s="65" t="inlineStr">
        <is>
          <t>[0775] LIGA PARA FRENOS DOT-4 (1X12)</t>
        </is>
      </c>
      <c r="I916" s="65" t="n">
        <v>775</v>
      </c>
      <c r="J916" s="63" t="inlineStr">
        <is>
          <t>1,00</t>
        </is>
      </c>
      <c r="K916" s="63" t="inlineStr">
        <is>
          <t>41,11</t>
        </is>
      </c>
      <c r="L916" s="63" t="inlineStr">
        <is>
          <t>0,00</t>
        </is>
      </c>
      <c r="M916" s="63" t="inlineStr">
        <is>
          <t>41,11</t>
        </is>
      </c>
      <c r="N916" s="63" t="inlineStr">
        <is>
          <t>47,69</t>
        </is>
      </c>
      <c r="O916" s="65" t="n"/>
      <c r="P916" s="65" t="n"/>
      <c r="Q916" s="65" t="n"/>
      <c r="R916" s="65" t="n"/>
      <c r="S916" s="65" t="n"/>
      <c r="T916" s="65" t="n"/>
      <c r="U916" s="65" t="n"/>
      <c r="V916" s="65" t="n"/>
    </row>
    <row r="917">
      <c r="A917" s="65" t="n"/>
      <c r="B917" s="65" t="n"/>
      <c r="C917" s="65" t="n"/>
      <c r="D917" s="65" t="n"/>
      <c r="E917" s="65" t="n"/>
      <c r="F917" s="65" t="n"/>
      <c r="G917" s="65" t="n"/>
      <c r="H917" s="65" t="inlineStr">
        <is>
          <t>[0762] LIGA PARA FRENOS DOT-3 (1x6)</t>
        </is>
      </c>
      <c r="I917" s="65" t="n">
        <v>762</v>
      </c>
      <c r="J917" s="63" t="inlineStr">
        <is>
          <t>1,00</t>
        </is>
      </c>
      <c r="K917" s="63" t="inlineStr">
        <is>
          <t>57,03</t>
        </is>
      </c>
      <c r="L917" s="63" t="inlineStr">
        <is>
          <t>0,00</t>
        </is>
      </c>
      <c r="M917" s="63" t="inlineStr">
        <is>
          <t>57,03</t>
        </is>
      </c>
      <c r="N917" s="63" t="inlineStr">
        <is>
          <t>66,15</t>
        </is>
      </c>
      <c r="O917" s="65" t="n"/>
      <c r="P917" s="65" t="n"/>
      <c r="Q917" s="65" t="n"/>
      <c r="R917" s="65" t="n"/>
      <c r="S917" s="65" t="n"/>
      <c r="T917" s="65" t="n"/>
      <c r="U917" s="65" t="n"/>
      <c r="V917" s="65" t="n"/>
    </row>
    <row r="918">
      <c r="A918" s="65" t="n"/>
      <c r="B918" s="65" t="n"/>
      <c r="C918" s="65" t="n"/>
      <c r="D918" s="65" t="n"/>
      <c r="E918" s="65" t="n"/>
      <c r="F918" s="65" t="n"/>
      <c r="G918" s="65" t="n"/>
      <c r="H918" s="65" t="inlineStr">
        <is>
          <t>[0561] MEJORADOR DE OCTANAJE GLOBAL OIL PACK (1X12)</t>
        </is>
      </c>
      <c r="I918" s="65" t="n">
        <v>561</v>
      </c>
      <c r="J918" s="63" t="inlineStr">
        <is>
          <t>1,00</t>
        </is>
      </c>
      <c r="K918" s="63" t="inlineStr">
        <is>
          <t>51,72</t>
        </is>
      </c>
      <c r="L918" s="63" t="inlineStr">
        <is>
          <t>0,00</t>
        </is>
      </c>
      <c r="M918" s="63" t="inlineStr">
        <is>
          <t>51,72</t>
        </is>
      </c>
      <c r="N918" s="63" t="inlineStr">
        <is>
          <t>60,00</t>
        </is>
      </c>
      <c r="O918" s="65" t="n"/>
      <c r="P918" s="65" t="n"/>
      <c r="Q918" s="65" t="n"/>
      <c r="R918" s="65" t="n"/>
      <c r="S918" s="65" t="n"/>
      <c r="T918" s="65" t="n"/>
      <c r="U918" s="65" t="n"/>
      <c r="V918" s="65" t="n"/>
    </row>
    <row r="919">
      <c r="A919" s="65" t="n"/>
      <c r="B919" s="65" t="n"/>
      <c r="C919" s="65" t="n"/>
      <c r="D919" s="65" t="n"/>
      <c r="E919" s="65" t="n"/>
      <c r="F919" s="65" t="n"/>
      <c r="G919" s="65" t="n"/>
      <c r="H919" s="65" t="inlineStr">
        <is>
          <t>[0789] REFRIGERANTE GLOBAL VERDE (1X3)</t>
        </is>
      </c>
      <c r="I919" s="65" t="n">
        <v>789</v>
      </c>
      <c r="J919" s="63" t="inlineStr">
        <is>
          <t>1,00</t>
        </is>
      </c>
      <c r="K919" s="63" t="inlineStr">
        <is>
          <t>34,48</t>
        </is>
      </c>
      <c r="L919" s="63" t="inlineStr">
        <is>
          <t>0,00</t>
        </is>
      </c>
      <c r="M919" s="63" t="inlineStr">
        <is>
          <t>34,48</t>
        </is>
      </c>
      <c r="N919" s="63" t="inlineStr">
        <is>
          <t>40,00</t>
        </is>
      </c>
      <c r="O919" s="65" t="n"/>
      <c r="P919" s="65" t="n"/>
      <c r="Q919" s="65" t="n"/>
      <c r="R919" s="65" t="n"/>
      <c r="S919" s="65" t="n"/>
      <c r="T919" s="65" t="n"/>
      <c r="U919" s="65" t="n"/>
      <c r="V919" s="65" t="n"/>
    </row>
    <row r="920">
      <c r="A920" s="65" t="n"/>
      <c r="B920" s="65" t="n"/>
      <c r="C920" s="65" t="n"/>
      <c r="D920" s="65" t="n"/>
      <c r="E920" s="65" t="n"/>
      <c r="F920" s="65" t="n"/>
      <c r="G920" s="65" t="n"/>
      <c r="H920" s="65" t="inlineStr">
        <is>
          <t>[0792] REFRIGERANTE GLOBAL ROJO (1X3)</t>
        </is>
      </c>
      <c r="I920" s="65" t="n">
        <v>792</v>
      </c>
      <c r="J920" s="63" t="inlineStr">
        <is>
          <t>1,00</t>
        </is>
      </c>
      <c r="K920" s="63" t="inlineStr">
        <is>
          <t>34,48</t>
        </is>
      </c>
      <c r="L920" s="63" t="inlineStr">
        <is>
          <t>0,00</t>
        </is>
      </c>
      <c r="M920" s="63" t="inlineStr">
        <is>
          <t>34,48</t>
        </is>
      </c>
      <c r="N920" s="63" t="inlineStr">
        <is>
          <t>40,00</t>
        </is>
      </c>
      <c r="O920" s="65" t="n"/>
      <c r="P920" s="65" t="n"/>
      <c r="Q920" s="65" t="n"/>
      <c r="R920" s="65" t="n"/>
      <c r="S920" s="65" t="n"/>
      <c r="T920" s="65" t="n"/>
      <c r="U920" s="65" t="n"/>
      <c r="V920" s="65" t="n"/>
    </row>
    <row r="921">
      <c r="A921" s="65" t="n"/>
      <c r="B921" s="65" t="n"/>
      <c r="C921" s="65" t="n"/>
      <c r="D921" s="65" t="n"/>
      <c r="E921" s="65" t="n"/>
      <c r="F921" s="65" t="n"/>
      <c r="G921" s="65" t="n"/>
      <c r="H921" s="65" t="inlineStr">
        <is>
          <t>[0884] TRANSMATIC ATF DEXRON III (1x12)</t>
        </is>
      </c>
      <c r="I921" s="65" t="n">
        <v>884</v>
      </c>
      <c r="J921" s="63" t="inlineStr">
        <is>
          <t>1,00</t>
        </is>
      </c>
      <c r="K921" s="63" t="inlineStr">
        <is>
          <t>95,49</t>
        </is>
      </c>
      <c r="L921" s="63" t="inlineStr">
        <is>
          <t>0,00</t>
        </is>
      </c>
      <c r="M921" s="63" t="inlineStr">
        <is>
          <t>95,49</t>
        </is>
      </c>
      <c r="N921" s="63" t="inlineStr">
        <is>
          <t>110,77</t>
        </is>
      </c>
      <c r="O921" s="65" t="n"/>
      <c r="P921" s="65" t="n"/>
      <c r="Q921" s="65" t="n"/>
      <c r="R921" s="65" t="n"/>
      <c r="S921" s="65" t="n"/>
      <c r="T921" s="65" t="n"/>
      <c r="U921" s="65" t="n"/>
      <c r="V921" s="65" t="n"/>
    </row>
    <row r="922">
      <c r="A922" s="65" t="n"/>
      <c r="B922" s="65" t="n"/>
      <c r="C922" s="65" t="n"/>
      <c r="D922" s="65" t="n"/>
      <c r="E922" s="65" t="n"/>
      <c r="F922" s="65" t="n"/>
      <c r="G922" s="65" t="n"/>
      <c r="H922" s="65" t="inlineStr">
        <is>
          <t>[0779] SINOCO SAE 20W-50 (1x12)</t>
        </is>
      </c>
      <c r="I922" s="65" t="n">
        <v>779</v>
      </c>
      <c r="J922" s="63" t="inlineStr">
        <is>
          <t>1,00</t>
        </is>
      </c>
      <c r="K922" s="63" t="inlineStr">
        <is>
          <t>70,29</t>
        </is>
      </c>
      <c r="L922" s="63" t="inlineStr">
        <is>
          <t>0,00</t>
        </is>
      </c>
      <c r="M922" s="63" t="inlineStr">
        <is>
          <t>70,29</t>
        </is>
      </c>
      <c r="N922" s="63" t="inlineStr">
        <is>
          <t>81,54</t>
        </is>
      </c>
      <c r="O922" s="65" t="n"/>
      <c r="P922" s="65" t="n"/>
      <c r="Q922" s="65" t="n"/>
      <c r="R922" s="65" t="n"/>
      <c r="S922" s="65" t="n"/>
      <c r="T922" s="65" t="n"/>
      <c r="U922" s="65" t="n"/>
      <c r="V922" s="65" t="n"/>
    </row>
    <row r="923">
      <c r="A923" s="65" t="n"/>
      <c r="B923" s="65" t="n"/>
      <c r="C923" s="65" t="n"/>
      <c r="D923" s="65" t="n"/>
      <c r="E923" s="65" t="n"/>
      <c r="F923" s="65" t="n"/>
      <c r="G923" s="65" t="n"/>
      <c r="H923" s="65" t="inlineStr">
        <is>
          <t>[0761] LIGA PARA FRENOS DOT-3 (1x12)</t>
        </is>
      </c>
      <c r="I923" s="65" t="n">
        <v>761</v>
      </c>
      <c r="J923" s="63" t="inlineStr">
        <is>
          <t>1,00</t>
        </is>
      </c>
      <c r="K923" s="63" t="inlineStr">
        <is>
          <t>35,81</t>
        </is>
      </c>
      <c r="L923" s="63" t="inlineStr">
        <is>
          <t>0,00</t>
        </is>
      </c>
      <c r="M923" s="63" t="inlineStr">
        <is>
          <t>35,81</t>
        </is>
      </c>
      <c r="N923" s="63" t="inlineStr">
        <is>
          <t>41,54</t>
        </is>
      </c>
      <c r="O923" s="65" t="n"/>
      <c r="P923" s="65" t="n"/>
      <c r="Q923" s="65" t="n"/>
      <c r="R923" s="65" t="n"/>
      <c r="S923" s="65" t="n"/>
      <c r="T923" s="65" t="n"/>
      <c r="U923" s="65" t="n"/>
      <c r="V923" s="65" t="n"/>
    </row>
    <row r="924">
      <c r="A924" s="65" t="inlineStr">
        <is>
          <t>S00421</t>
        </is>
      </c>
      <c r="B924" s="62" t="n">
        <v>46162.65541666667</v>
      </c>
      <c r="C924" s="65" t="inlineStr">
        <is>
          <t>Wili Mervin León Romero</t>
        </is>
      </c>
      <c r="D924" s="65" t="inlineStr">
        <is>
          <t>GRIMAN DIAZ HECTOR EDUARDO</t>
        </is>
      </c>
      <c r="E924" s="65" t="inlineStr">
        <is>
          <t>7 días</t>
        </is>
      </c>
      <c r="F924" s="65" t="n">
        <v>5</v>
      </c>
      <c r="G924" s="65" t="inlineStr">
        <is>
          <t>Pago VES</t>
        </is>
      </c>
      <c r="H924" s="65" t="inlineStr">
        <is>
          <t>[0603] SINOCO SAE 50 (Tambor)</t>
        </is>
      </c>
      <c r="I924" s="65" t="n">
        <v>603</v>
      </c>
      <c r="J924" s="63" t="inlineStr">
        <is>
          <t>1,00</t>
        </is>
      </c>
      <c r="K924" s="63" t="inlineStr">
        <is>
          <t>925,73</t>
        </is>
      </c>
      <c r="L924" s="63" t="inlineStr">
        <is>
          <t>0,00</t>
        </is>
      </c>
      <c r="M924" s="63" t="inlineStr">
        <is>
          <t>925,73</t>
        </is>
      </c>
      <c r="N924" s="63" t="inlineStr">
        <is>
          <t>1.073,85</t>
        </is>
      </c>
      <c r="O924" s="63" t="inlineStr">
        <is>
          <t>925,73</t>
        </is>
      </c>
      <c r="P924" s="63" t="inlineStr">
        <is>
          <t>1.073,85</t>
        </is>
      </c>
      <c r="Q924" s="65" t="n"/>
      <c r="R924" s="65" t="n"/>
      <c r="S924" s="65" t="n"/>
      <c r="T924" s="65" t="n"/>
      <c r="U924" s="65" t="n"/>
      <c r="V924" s="65" t="n"/>
    </row>
    <row r="925">
      <c r="A925" s="65" t="inlineStr">
        <is>
          <t>S00420</t>
        </is>
      </c>
      <c r="B925" s="62" t="n">
        <v>46162.46023148148</v>
      </c>
      <c r="C925" s="65" t="inlineStr">
        <is>
          <t>DISTRIBUIDORA R. LAYA MORA,C.A.</t>
        </is>
      </c>
      <c r="D925" s="65" t="inlineStr">
        <is>
          <t>LOPEZ ANTUNEZ ANDERSON JOSE</t>
        </is>
      </c>
      <c r="E925" s="65" t="inlineStr">
        <is>
          <t>7 días</t>
        </is>
      </c>
      <c r="F925" s="65" t="n">
        <v>5</v>
      </c>
      <c r="G925" s="65" t="inlineStr">
        <is>
          <t>Pago VES</t>
        </is>
      </c>
      <c r="H925" s="65" t="inlineStr">
        <is>
          <t>[0880] CLASICO API SL SAE 15W-40 (1x12)</t>
        </is>
      </c>
      <c r="I925" s="65" t="n">
        <v>880</v>
      </c>
      <c r="J925" s="63" t="inlineStr">
        <is>
          <t>1,00</t>
        </is>
      </c>
      <c r="K925" s="63" t="inlineStr">
        <is>
          <t>86,21</t>
        </is>
      </c>
      <c r="L925" s="63" t="inlineStr">
        <is>
          <t>0,00</t>
        </is>
      </c>
      <c r="M925" s="63" t="inlineStr">
        <is>
          <t>86,21</t>
        </is>
      </c>
      <c r="N925" s="63" t="inlineStr">
        <is>
          <t>100,00</t>
        </is>
      </c>
      <c r="O925" s="63" t="inlineStr">
        <is>
          <t>287,81</t>
        </is>
      </c>
      <c r="P925" s="63" t="inlineStr">
        <is>
          <t>333,86</t>
        </is>
      </c>
      <c r="Q925" s="63" t="inlineStr">
        <is>
          <t>721,35</t>
        </is>
      </c>
      <c r="R925" s="66" t="n">
        <v>46216</v>
      </c>
      <c r="S925" s="65" t="n">
        <v>353</v>
      </c>
      <c r="T925" s="65" t="inlineStr">
        <is>
          <t>00-00000896</t>
        </is>
      </c>
      <c r="U925" s="63" t="inlineStr">
        <is>
          <t>333,84</t>
        </is>
      </c>
      <c r="V925" s="63" t="inlineStr">
        <is>
          <t>333,86</t>
        </is>
      </c>
    </row>
    <row r="926">
      <c r="A926" s="65" t="n"/>
      <c r="B926" s="65" t="n"/>
      <c r="C926" s="65" t="n"/>
      <c r="D926" s="65" t="n"/>
      <c r="E926" s="65" t="n"/>
      <c r="F926" s="65" t="n"/>
      <c r="G926" s="65" t="n"/>
      <c r="H926" s="65" t="inlineStr">
        <is>
          <t>[0877] SS EXTRA PROTECCION API SN SAE 15W-40 (1X12)</t>
        </is>
      </c>
      <c r="I926" s="65" t="n">
        <v>877</v>
      </c>
      <c r="J926" s="63" t="inlineStr">
        <is>
          <t>1,00</t>
        </is>
      </c>
      <c r="K926" s="63" t="inlineStr">
        <is>
          <t>100,80</t>
        </is>
      </c>
      <c r="L926" s="63" t="inlineStr">
        <is>
          <t>0,00</t>
        </is>
      </c>
      <c r="M926" s="63" t="inlineStr">
        <is>
          <t>100,80</t>
        </is>
      </c>
      <c r="N926" s="63" t="inlineStr">
        <is>
          <t>116,93</t>
        </is>
      </c>
      <c r="O926" s="65" t="n"/>
      <c r="P926" s="65" t="n"/>
      <c r="Q926" s="65" t="n"/>
      <c r="R926" s="65" t="n"/>
      <c r="S926" s="65" t="n"/>
      <c r="T926" s="65" t="n"/>
      <c r="U926" s="65" t="n"/>
      <c r="V926" s="65" t="n"/>
    </row>
    <row r="927">
      <c r="A927" s="65" t="n"/>
      <c r="B927" s="65" t="n"/>
      <c r="C927" s="65" t="n"/>
      <c r="D927" s="65" t="n"/>
      <c r="E927" s="65" t="n"/>
      <c r="F927" s="65" t="n"/>
      <c r="G927" s="65" t="n"/>
      <c r="H927" s="65" t="inlineStr">
        <is>
          <t>[0878] SS EXTRA PROTECCION API SN SAE 20W-50 (1x12)</t>
        </is>
      </c>
      <c r="I927" s="65" t="n">
        <v>878</v>
      </c>
      <c r="J927" s="63" t="inlineStr">
        <is>
          <t>1,00</t>
        </is>
      </c>
      <c r="K927" s="63" t="inlineStr">
        <is>
          <t>100,80</t>
        </is>
      </c>
      <c r="L927" s="63" t="inlineStr">
        <is>
          <t>0,00</t>
        </is>
      </c>
      <c r="M927" s="63" t="inlineStr">
        <is>
          <t>100,80</t>
        </is>
      </c>
      <c r="N927" s="63" t="inlineStr">
        <is>
          <t>116,93</t>
        </is>
      </c>
      <c r="O927" s="65" t="n"/>
      <c r="P927" s="65" t="n"/>
      <c r="Q927" s="65" t="n"/>
      <c r="R927" s="65" t="n"/>
      <c r="S927" s="65" t="n"/>
      <c r="T927" s="65" t="n"/>
      <c r="U927" s="65" t="n"/>
      <c r="V927" s="65" t="n"/>
    </row>
    <row r="928">
      <c r="A928" s="65" t="n"/>
      <c r="B928" s="65" t="n"/>
      <c r="C928" s="65" t="n"/>
      <c r="D928" s="65" t="n"/>
      <c r="E928" s="65" t="n"/>
      <c r="F928" s="65" t="n"/>
      <c r="G928" s="65" t="n"/>
      <c r="H928" s="65" t="n"/>
      <c r="I928" s="65" t="n"/>
      <c r="J928" s="63" t="inlineStr">
        <is>
          <t>0,00</t>
        </is>
      </c>
      <c r="K928" s="63" t="inlineStr">
        <is>
          <t>0,00</t>
        </is>
      </c>
      <c r="L928" s="63" t="inlineStr">
        <is>
          <t>0,00</t>
        </is>
      </c>
      <c r="M928" s="63" t="inlineStr">
        <is>
          <t>0,00</t>
        </is>
      </c>
      <c r="N928" s="63" t="inlineStr">
        <is>
          <t>0,00</t>
        </is>
      </c>
      <c r="O928" s="65" t="n"/>
      <c r="P928" s="65" t="n"/>
      <c r="Q928" s="65" t="n"/>
      <c r="R928" s="65" t="n"/>
      <c r="S928" s="65" t="n"/>
      <c r="T928" s="65" t="n"/>
      <c r="U928" s="65" t="n"/>
      <c r="V928" s="65" t="n"/>
    </row>
    <row r="929">
      <c r="A929" s="65" t="inlineStr">
        <is>
          <t>S00419</t>
        </is>
      </c>
      <c r="B929" s="62" t="n">
        <v>46162.45716435185</v>
      </c>
      <c r="C929" s="65" t="inlineStr">
        <is>
          <t>EMPRENDIMIENTO IRMA RODRIGUEZ 6</t>
        </is>
      </c>
      <c r="D929" s="65" t="inlineStr">
        <is>
          <t>TORO ARDILES DAVID JOSE</t>
        </is>
      </c>
      <c r="E929" s="65" t="inlineStr">
        <is>
          <t>7 días</t>
        </is>
      </c>
      <c r="F929" s="65" t="n">
        <v>5</v>
      </c>
      <c r="G929" s="65" t="inlineStr">
        <is>
          <t>Pago VES</t>
        </is>
      </c>
      <c r="H929" s="65" t="inlineStr">
        <is>
          <t>[0602] SINOCO SAE 50 (PAILA)</t>
        </is>
      </c>
      <c r="I929" s="65" t="n">
        <v>602</v>
      </c>
      <c r="J929" s="63" t="inlineStr">
        <is>
          <t>3,00</t>
        </is>
      </c>
      <c r="K929" s="63" t="inlineStr">
        <is>
          <t>96,82</t>
        </is>
      </c>
      <c r="L929" s="63" t="inlineStr">
        <is>
          <t>0,00</t>
        </is>
      </c>
      <c r="M929" s="63" t="inlineStr">
        <is>
          <t>290,46</t>
        </is>
      </c>
      <c r="N929" s="63" t="inlineStr">
        <is>
          <t>336,93</t>
        </is>
      </c>
      <c r="O929" s="63" t="inlineStr">
        <is>
          <t>290,46</t>
        </is>
      </c>
      <c r="P929" s="63" t="inlineStr">
        <is>
          <t>336,93</t>
        </is>
      </c>
      <c r="Q929" s="63" t="inlineStr">
        <is>
          <t>520,91</t>
        </is>
      </c>
      <c r="R929" s="66" t="n">
        <v>46175</v>
      </c>
      <c r="S929" s="65" t="n">
        <v>112</v>
      </c>
      <c r="T929" s="65" t="inlineStr">
        <is>
          <t>00-00000484</t>
        </is>
      </c>
      <c r="U929" s="63" t="inlineStr">
        <is>
          <t>213,00</t>
        </is>
      </c>
      <c r="V929" s="63" t="inlineStr">
        <is>
          <t>0,00</t>
        </is>
      </c>
    </row>
    <row r="930">
      <c r="A930" s="65" t="inlineStr">
        <is>
          <t>S00418</t>
        </is>
      </c>
      <c r="B930" s="62" t="n">
        <v>46162.43113425926</v>
      </c>
      <c r="C930" s="65" t="inlineStr">
        <is>
          <t>Edgar salas</t>
        </is>
      </c>
      <c r="D930" s="65" t="inlineStr">
        <is>
          <t>REVERON DE CONTRERAS MELANI AUSMAR</t>
        </is>
      </c>
      <c r="E930" s="65" t="inlineStr">
        <is>
          <t>7 días</t>
        </is>
      </c>
      <c r="F930" s="65" t="n">
        <v>5</v>
      </c>
      <c r="G930" s="65" t="inlineStr">
        <is>
          <t>Pago VES</t>
        </is>
      </c>
      <c r="H930" s="65" t="inlineStr">
        <is>
          <t>[0915] SINOCO SAE 50 (1x12)</t>
        </is>
      </c>
      <c r="I930" s="65" t="n">
        <v>915</v>
      </c>
      <c r="J930" s="63" t="inlineStr">
        <is>
          <t>1,00</t>
        </is>
      </c>
      <c r="K930" s="63" t="inlineStr">
        <is>
          <t>70,29</t>
        </is>
      </c>
      <c r="L930" s="63" t="inlineStr">
        <is>
          <t>0,00</t>
        </is>
      </c>
      <c r="M930" s="63" t="inlineStr">
        <is>
          <t>70,29</t>
        </is>
      </c>
      <c r="N930" s="63" t="inlineStr">
        <is>
          <t>81,54</t>
        </is>
      </c>
      <c r="O930" s="63" t="inlineStr">
        <is>
          <t>70,29</t>
        </is>
      </c>
      <c r="P930" s="63" t="inlineStr">
        <is>
          <t>81,54</t>
        </is>
      </c>
      <c r="Q930" s="63" t="inlineStr">
        <is>
          <t>520,91</t>
        </is>
      </c>
      <c r="R930" s="66" t="n">
        <v>46162</v>
      </c>
      <c r="S930" s="65" t="n">
        <v>75</v>
      </c>
      <c r="T930" s="65" t="inlineStr">
        <is>
          <t>00-00000389</t>
        </is>
      </c>
      <c r="U930" s="63" t="inlineStr">
        <is>
          <t>53,00</t>
        </is>
      </c>
      <c r="V930" s="63" t="inlineStr">
        <is>
          <t>0,00</t>
        </is>
      </c>
    </row>
    <row r="931">
      <c r="A931" s="65" t="inlineStr">
        <is>
          <t>S00417</t>
        </is>
      </c>
      <c r="B931" s="62" t="n">
        <v>46162.40127314815</v>
      </c>
      <c r="C931" s="65" t="inlineStr">
        <is>
          <t>Franklin J. Mijares S.</t>
        </is>
      </c>
      <c r="D931" s="65" t="inlineStr">
        <is>
          <t>LOPEZ ANTUNEZ ANDERSON JOSE</t>
        </is>
      </c>
      <c r="E931" s="65" t="inlineStr">
        <is>
          <t>7 días</t>
        </is>
      </c>
      <c r="F931" s="65" t="n">
        <v>5</v>
      </c>
      <c r="G931" s="65" t="inlineStr">
        <is>
          <t>Pago VES</t>
        </is>
      </c>
      <c r="H931" s="65" t="inlineStr">
        <is>
          <t>[0877] SS EXTRA PROTECCION API SN SAE 15W-40 (1X12)</t>
        </is>
      </c>
      <c r="I931" s="65" t="n">
        <v>877</v>
      </c>
      <c r="J931" s="63" t="inlineStr">
        <is>
          <t>1,00</t>
        </is>
      </c>
      <c r="K931" s="63" t="inlineStr">
        <is>
          <t>100,80</t>
        </is>
      </c>
      <c r="L931" s="63" t="inlineStr">
        <is>
          <t>0,00</t>
        </is>
      </c>
      <c r="M931" s="63" t="inlineStr">
        <is>
          <t>100,80</t>
        </is>
      </c>
      <c r="N931" s="63" t="inlineStr">
        <is>
          <t>116,93</t>
        </is>
      </c>
      <c r="O931" s="63" t="inlineStr">
        <is>
          <t>100,80</t>
        </is>
      </c>
      <c r="P931" s="63" t="inlineStr">
        <is>
          <t>116,93</t>
        </is>
      </c>
      <c r="Q931" s="63" t="inlineStr">
        <is>
          <t>721,35</t>
        </is>
      </c>
      <c r="R931" s="66" t="n">
        <v>46216</v>
      </c>
      <c r="S931" s="65" t="n">
        <v>354</v>
      </c>
      <c r="T931" s="65" t="inlineStr">
        <is>
          <t>00-00000897</t>
        </is>
      </c>
      <c r="U931" s="63" t="inlineStr">
        <is>
          <t>116,92</t>
        </is>
      </c>
      <c r="V931" s="63" t="inlineStr">
        <is>
          <t>116,93</t>
        </is>
      </c>
    </row>
    <row r="932">
      <c r="A932" s="65" t="inlineStr">
        <is>
          <t>S00414</t>
        </is>
      </c>
      <c r="B932" s="62" t="n">
        <v>46161.68215277778</v>
      </c>
      <c r="C932" s="65" t="inlineStr">
        <is>
          <t>Javier Cardenas Prato.</t>
        </is>
      </c>
      <c r="D932" s="65" t="inlineStr">
        <is>
          <t>TORO ARDILES DAVID JOSE</t>
        </is>
      </c>
      <c r="E932" s="65" t="inlineStr">
        <is>
          <t>7 días</t>
        </is>
      </c>
      <c r="F932" s="65" t="n">
        <v>5</v>
      </c>
      <c r="G932" s="65" t="inlineStr">
        <is>
          <t>Pago VES</t>
        </is>
      </c>
      <c r="H932" s="65" t="inlineStr">
        <is>
          <t>[0880] CLASICO API SL SAE 15W-40 (1x12)</t>
        </is>
      </c>
      <c r="I932" s="65" t="n">
        <v>880</v>
      </c>
      <c r="J932" s="63" t="inlineStr">
        <is>
          <t>1,00</t>
        </is>
      </c>
      <c r="K932" s="63" t="inlineStr">
        <is>
          <t>86,21</t>
        </is>
      </c>
      <c r="L932" s="63" t="inlineStr">
        <is>
          <t>0,00</t>
        </is>
      </c>
      <c r="M932" s="63" t="inlineStr">
        <is>
          <t>86,21</t>
        </is>
      </c>
      <c r="N932" s="63" t="inlineStr">
        <is>
          <t>100,00</t>
        </is>
      </c>
      <c r="O932" s="63" t="inlineStr">
        <is>
          <t>197,61</t>
        </is>
      </c>
      <c r="P932" s="63" t="inlineStr">
        <is>
          <t>229,23</t>
        </is>
      </c>
      <c r="Q932" s="63" t="inlineStr">
        <is>
          <t>721,35</t>
        </is>
      </c>
      <c r="R932" s="66" t="n">
        <v>46216</v>
      </c>
      <c r="S932" s="65" t="n">
        <v>355</v>
      </c>
      <c r="T932" s="65" t="inlineStr">
        <is>
          <t>00-00000898</t>
        </is>
      </c>
      <c r="U932" s="63" t="inlineStr">
        <is>
          <t>229,20</t>
        </is>
      </c>
      <c r="V932" s="63" t="inlineStr">
        <is>
          <t>229,23</t>
        </is>
      </c>
    </row>
    <row r="933">
      <c r="A933" s="65" t="n"/>
      <c r="B933" s="65" t="n"/>
      <c r="C933" s="65" t="n"/>
      <c r="D933" s="65" t="n"/>
      <c r="E933" s="65" t="n"/>
      <c r="F933" s="65" t="n"/>
      <c r="G933" s="65" t="n"/>
      <c r="H933" s="65" t="inlineStr">
        <is>
          <t>[0779] SINOCO SAE 20W-50 (1x12)</t>
        </is>
      </c>
      <c r="I933" s="65" t="n">
        <v>779</v>
      </c>
      <c r="J933" s="63" t="inlineStr">
        <is>
          <t>1,00</t>
        </is>
      </c>
      <c r="K933" s="63" t="inlineStr">
        <is>
          <t>70,29</t>
        </is>
      </c>
      <c r="L933" s="63" t="inlineStr">
        <is>
          <t>0,00</t>
        </is>
      </c>
      <c r="M933" s="63" t="inlineStr">
        <is>
          <t>70,29</t>
        </is>
      </c>
      <c r="N933" s="63" t="inlineStr">
        <is>
          <t>81,54</t>
        </is>
      </c>
      <c r="O933" s="65" t="n"/>
      <c r="P933" s="65" t="n"/>
      <c r="Q933" s="65" t="n"/>
      <c r="R933" s="65" t="n"/>
      <c r="S933" s="65" t="n"/>
      <c r="T933" s="65" t="n"/>
      <c r="U933" s="65" t="n"/>
      <c r="V933" s="65" t="n"/>
    </row>
    <row r="934">
      <c r="A934" s="65" t="n"/>
      <c r="B934" s="65" t="n"/>
      <c r="C934" s="65" t="n"/>
      <c r="D934" s="65" t="n"/>
      <c r="E934" s="65" t="n"/>
      <c r="F934" s="65" t="n"/>
      <c r="G934" s="65" t="n"/>
      <c r="H934" s="65" t="inlineStr">
        <is>
          <t>[0775] LIGA PARA FRENOS DOT-4 (1X12)</t>
        </is>
      </c>
      <c r="I934" s="65" t="n">
        <v>775</v>
      </c>
      <c r="J934" s="63" t="inlineStr">
        <is>
          <t>1,00</t>
        </is>
      </c>
      <c r="K934" s="63" t="inlineStr">
        <is>
          <t>41,11</t>
        </is>
      </c>
      <c r="L934" s="63" t="inlineStr">
        <is>
          <t>0,00</t>
        </is>
      </c>
      <c r="M934" s="63" t="inlineStr">
        <is>
          <t>41,11</t>
        </is>
      </c>
      <c r="N934" s="63" t="inlineStr">
        <is>
          <t>47,69</t>
        </is>
      </c>
      <c r="O934" s="65" t="n"/>
      <c r="P934" s="65" t="n"/>
      <c r="Q934" s="65" t="n"/>
      <c r="R934" s="65" t="n"/>
      <c r="S934" s="65" t="n"/>
      <c r="T934" s="65" t="n"/>
      <c r="U934" s="65" t="n"/>
      <c r="V934" s="65" t="n"/>
    </row>
    <row r="935">
      <c r="A935" s="65" t="inlineStr">
        <is>
          <t>S00413</t>
        </is>
      </c>
      <c r="B935" s="62" t="n">
        <v>46161.45303240741</v>
      </c>
      <c r="C935" s="65" t="inlineStr">
        <is>
          <t>ERICH GILBERTO CASERES MELENDEZ</t>
        </is>
      </c>
      <c r="D935" s="65" t="inlineStr">
        <is>
          <t>TORO ARDILES DAVID JOSE</t>
        </is>
      </c>
      <c r="E935" s="65" t="inlineStr">
        <is>
          <t>7 días</t>
        </is>
      </c>
      <c r="F935" s="65" t="n">
        <v>5</v>
      </c>
      <c r="G935" s="65" t="inlineStr">
        <is>
          <t>Pago VES</t>
        </is>
      </c>
      <c r="H935" s="65" t="inlineStr">
        <is>
          <t>[0915] SINOCO SAE 50 (1x12)</t>
        </is>
      </c>
      <c r="I935" s="65" t="n">
        <v>915</v>
      </c>
      <c r="J935" s="63" t="inlineStr">
        <is>
          <t>1,00</t>
        </is>
      </c>
      <c r="K935" s="63" t="inlineStr">
        <is>
          <t>70,29</t>
        </is>
      </c>
      <c r="L935" s="63" t="inlineStr">
        <is>
          <t>35,00</t>
        </is>
      </c>
      <c r="M935" s="63" t="inlineStr">
        <is>
          <t>45,69</t>
        </is>
      </c>
      <c r="N935" s="63" t="inlineStr">
        <is>
          <t>53,00</t>
        </is>
      </c>
      <c r="O935" s="63" t="inlineStr">
        <is>
          <t>45,69</t>
        </is>
      </c>
      <c r="P935" s="63" t="inlineStr">
        <is>
          <t>53,00</t>
        </is>
      </c>
      <c r="Q935" s="63" t="inlineStr">
        <is>
          <t>520,91</t>
        </is>
      </c>
      <c r="R935" s="66" t="n">
        <v>46185</v>
      </c>
      <c r="S935" s="65" t="n">
        <v>140</v>
      </c>
      <c r="T935" s="65" t="inlineStr">
        <is>
          <t>00-00000583</t>
        </is>
      </c>
      <c r="U935" s="63" t="inlineStr">
        <is>
          <t>52,99</t>
        </is>
      </c>
      <c r="V935" s="63" t="inlineStr">
        <is>
          <t>0,00</t>
        </is>
      </c>
    </row>
    <row r="936">
      <c r="A936" s="65" t="inlineStr">
        <is>
          <t>S00410</t>
        </is>
      </c>
      <c r="B936" s="62" t="n">
        <v>46160.54902777778</v>
      </c>
      <c r="C936" s="65" t="inlineStr">
        <is>
          <t>Multiservicios gochi express 2024, c.a</t>
        </is>
      </c>
      <c r="D936" s="65" t="inlineStr">
        <is>
          <t>BETANCOURT ROBRIGUEZ LUIS ENRRIQUE</t>
        </is>
      </c>
      <c r="E936" s="65" t="inlineStr">
        <is>
          <t>7 días</t>
        </is>
      </c>
      <c r="F936" s="65" t="n">
        <v>5</v>
      </c>
      <c r="G936" s="65" t="inlineStr">
        <is>
          <t>Pago VES</t>
        </is>
      </c>
      <c r="H936" s="65" t="inlineStr">
        <is>
          <t>[0880] CLASICO API SL SAE 15W-40 (1x12)</t>
        </is>
      </c>
      <c r="I936" s="65" t="n">
        <v>880</v>
      </c>
      <c r="J936" s="63" t="inlineStr">
        <is>
          <t>1,00</t>
        </is>
      </c>
      <c r="K936" s="63" t="inlineStr">
        <is>
          <t>86,21</t>
        </is>
      </c>
      <c r="L936" s="63" t="inlineStr">
        <is>
          <t>0,00</t>
        </is>
      </c>
      <c r="M936" s="63" t="inlineStr">
        <is>
          <t>86,21</t>
        </is>
      </c>
      <c r="N936" s="63" t="inlineStr">
        <is>
          <t>100,00</t>
        </is>
      </c>
      <c r="O936" s="63" t="inlineStr">
        <is>
          <t>350,14</t>
        </is>
      </c>
      <c r="P936" s="63" t="inlineStr">
        <is>
          <t>406,16</t>
        </is>
      </c>
      <c r="Q936" s="63" t="inlineStr">
        <is>
          <t>520,91</t>
        </is>
      </c>
      <c r="R936" s="66" t="n">
        <v>46175</v>
      </c>
      <c r="S936" s="65" t="n">
        <v>119</v>
      </c>
      <c r="T936" s="65" t="inlineStr">
        <is>
          <t>00-00000491</t>
        </is>
      </c>
      <c r="U936" s="63" t="inlineStr">
        <is>
          <t>406,14</t>
        </is>
      </c>
      <c r="V936" s="63" t="inlineStr">
        <is>
          <t>406,16</t>
        </is>
      </c>
    </row>
    <row r="937">
      <c r="A937" s="65" t="n"/>
      <c r="B937" s="65" t="n"/>
      <c r="C937" s="65" t="n"/>
      <c r="D937" s="65" t="n"/>
      <c r="E937" s="65" t="n"/>
      <c r="F937" s="65" t="n"/>
      <c r="G937" s="65" t="n"/>
      <c r="H937" s="65" t="inlineStr">
        <is>
          <t>[0881] CLASICO API SL SAE 20W-50 (1x12)</t>
        </is>
      </c>
      <c r="I937" s="65" t="n">
        <v>881</v>
      </c>
      <c r="J937" s="63" t="inlineStr">
        <is>
          <t>1,00</t>
        </is>
      </c>
      <c r="K937" s="63" t="inlineStr">
        <is>
          <t>86,21</t>
        </is>
      </c>
      <c r="L937" s="63" t="inlineStr">
        <is>
          <t>0,00</t>
        </is>
      </c>
      <c r="M937" s="63" t="inlineStr">
        <is>
          <t>86,21</t>
        </is>
      </c>
      <c r="N937" s="63" t="inlineStr">
        <is>
          <t>100,00</t>
        </is>
      </c>
      <c r="O937" s="65" t="n"/>
      <c r="P937" s="65" t="n"/>
      <c r="Q937" s="65" t="n"/>
      <c r="R937" s="65" t="n"/>
      <c r="S937" s="65" t="n"/>
      <c r="T937" s="65" t="n"/>
      <c r="U937" s="65" t="n"/>
      <c r="V937" s="65" t="n"/>
    </row>
    <row r="938">
      <c r="A938" s="65" t="n"/>
      <c r="B938" s="65" t="n"/>
      <c r="C938" s="65" t="n"/>
      <c r="D938" s="65" t="n"/>
      <c r="E938" s="65" t="n"/>
      <c r="F938" s="65" t="n"/>
      <c r="G938" s="65" t="n"/>
      <c r="H938" s="65" t="inlineStr">
        <is>
          <t>[0878] SS EXTRA PROTECCION API SN SAE 20W-50 (1x12)</t>
        </is>
      </c>
      <c r="I938" s="65" t="n">
        <v>878</v>
      </c>
      <c r="J938" s="63" t="inlineStr">
        <is>
          <t>1,00</t>
        </is>
      </c>
      <c r="K938" s="63" t="inlineStr">
        <is>
          <t>100,80</t>
        </is>
      </c>
      <c r="L938" s="63" t="inlineStr">
        <is>
          <t>0,00</t>
        </is>
      </c>
      <c r="M938" s="63" t="inlineStr">
        <is>
          <t>100,80</t>
        </is>
      </c>
      <c r="N938" s="63" t="inlineStr">
        <is>
          <t>116,93</t>
        </is>
      </c>
      <c r="O938" s="65" t="n"/>
      <c r="P938" s="65" t="n"/>
      <c r="Q938" s="65" t="n"/>
      <c r="R938" s="65" t="n"/>
      <c r="S938" s="65" t="n"/>
      <c r="T938" s="65" t="n"/>
      <c r="U938" s="65" t="n"/>
      <c r="V938" s="65" t="n"/>
    </row>
    <row r="939">
      <c r="A939" s="65" t="n"/>
      <c r="B939" s="65" t="n"/>
      <c r="C939" s="65" t="n"/>
      <c r="D939" s="65" t="n"/>
      <c r="E939" s="65" t="n"/>
      <c r="F939" s="65" t="n"/>
      <c r="G939" s="65" t="n"/>
      <c r="H939" s="65" t="inlineStr">
        <is>
          <t>[0761] LIGA PARA FRENOS DOT-3 (1x12)</t>
        </is>
      </c>
      <c r="I939" s="65" t="n">
        <v>761</v>
      </c>
      <c r="J939" s="63" t="inlineStr">
        <is>
          <t>1,00</t>
        </is>
      </c>
      <c r="K939" s="63" t="inlineStr">
        <is>
          <t>35,81</t>
        </is>
      </c>
      <c r="L939" s="63" t="inlineStr">
        <is>
          <t>0,00</t>
        </is>
      </c>
      <c r="M939" s="63" t="inlineStr">
        <is>
          <t>35,81</t>
        </is>
      </c>
      <c r="N939" s="63" t="inlineStr">
        <is>
          <t>41,54</t>
        </is>
      </c>
      <c r="O939" s="65" t="n"/>
      <c r="P939" s="65" t="n"/>
      <c r="Q939" s="65" t="n"/>
      <c r="R939" s="65" t="n"/>
      <c r="S939" s="65" t="n"/>
      <c r="T939" s="65" t="n"/>
      <c r="U939" s="65" t="n"/>
      <c r="V939" s="65" t="n"/>
    </row>
    <row r="940">
      <c r="A940" s="65" t="n"/>
      <c r="B940" s="65" t="n"/>
      <c r="C940" s="65" t="n"/>
      <c r="D940" s="65" t="n"/>
      <c r="E940" s="65" t="n"/>
      <c r="F940" s="65" t="n"/>
      <c r="G940" s="65" t="n"/>
      <c r="H940" s="65" t="inlineStr">
        <is>
          <t>[0775] LIGA PARA FRENOS DOT-4 (1X12)</t>
        </is>
      </c>
      <c r="I940" s="65" t="n">
        <v>775</v>
      </c>
      <c r="J940" s="63" t="inlineStr">
        <is>
          <t>1,00</t>
        </is>
      </c>
      <c r="K940" s="63" t="inlineStr">
        <is>
          <t>41,11</t>
        </is>
      </c>
      <c r="L940" s="63" t="inlineStr">
        <is>
          <t>0,00</t>
        </is>
      </c>
      <c r="M940" s="63" t="inlineStr">
        <is>
          <t>41,11</t>
        </is>
      </c>
      <c r="N940" s="63" t="inlineStr">
        <is>
          <t>47,69</t>
        </is>
      </c>
      <c r="O940" s="65" t="n"/>
      <c r="P940" s="65" t="n"/>
      <c r="Q940" s="65" t="n"/>
      <c r="R940" s="65" t="n"/>
      <c r="S940" s="65" t="n"/>
      <c r="T940" s="65" t="n"/>
      <c r="U940" s="65" t="n"/>
      <c r="V940" s="65" t="n"/>
    </row>
    <row r="941">
      <c r="A941" s="65" t="inlineStr">
        <is>
          <t>S00408</t>
        </is>
      </c>
      <c r="B941" s="62" t="n">
        <v>46160.39287037037</v>
      </c>
      <c r="C941" s="65" t="inlineStr">
        <is>
          <t>HIDRAULICAS CAICEDO C.A.</t>
        </is>
      </c>
      <c r="D941" s="65" t="inlineStr">
        <is>
          <t>VILLABONA CORREA ALBA ESTEFANIA</t>
        </is>
      </c>
      <c r="E941" s="65" t="inlineStr">
        <is>
          <t>7 días</t>
        </is>
      </c>
      <c r="F941" s="65" t="n">
        <v>5</v>
      </c>
      <c r="G941" s="65" t="inlineStr">
        <is>
          <t>Pago VES</t>
        </is>
      </c>
      <c r="H941" s="65" t="inlineStr">
        <is>
          <t>[0779] SINOCO SAE 20W-50 (1x12)</t>
        </is>
      </c>
      <c r="I941" s="65" t="n">
        <v>779</v>
      </c>
      <c r="J941" s="63" t="inlineStr">
        <is>
          <t>1,00</t>
        </is>
      </c>
      <c r="K941" s="63" t="inlineStr">
        <is>
          <t>70,29</t>
        </is>
      </c>
      <c r="L941" s="63" t="inlineStr">
        <is>
          <t>0,00</t>
        </is>
      </c>
      <c r="M941" s="63" t="inlineStr">
        <is>
          <t>70,29</t>
        </is>
      </c>
      <c r="N941" s="63" t="inlineStr">
        <is>
          <t>81,54</t>
        </is>
      </c>
      <c r="O941" s="63" t="inlineStr">
        <is>
          <t>165,78</t>
        </is>
      </c>
      <c r="P941" s="63" t="inlineStr">
        <is>
          <t>192,31</t>
        </is>
      </c>
      <c r="Q941" s="63" t="inlineStr">
        <is>
          <t>520,91</t>
        </is>
      </c>
      <c r="R941" s="66" t="n">
        <v>46185</v>
      </c>
      <c r="S941" s="65" t="n">
        <v>154</v>
      </c>
      <c r="T941" s="65" t="inlineStr">
        <is>
          <t>00-00000597</t>
        </is>
      </c>
      <c r="U941" s="63" t="inlineStr">
        <is>
          <t>121,80</t>
        </is>
      </c>
      <c r="V941" s="63" t="inlineStr">
        <is>
          <t>16,80</t>
        </is>
      </c>
    </row>
    <row r="942">
      <c r="A942" s="65" t="n"/>
      <c r="B942" s="65" t="n"/>
      <c r="C942" s="65" t="n"/>
      <c r="D942" s="65" t="n"/>
      <c r="E942" s="65" t="n"/>
      <c r="F942" s="65" t="n"/>
      <c r="G942" s="65" t="n"/>
      <c r="H942" s="65" t="inlineStr">
        <is>
          <t>[0884] TRANSMATIC ATF DEXRON III (1x12)</t>
        </is>
      </c>
      <c r="I942" s="65" t="n">
        <v>884</v>
      </c>
      <c r="J942" s="63" t="inlineStr">
        <is>
          <t>1,00</t>
        </is>
      </c>
      <c r="K942" s="63" t="inlineStr">
        <is>
          <t>95,49</t>
        </is>
      </c>
      <c r="L942" s="63" t="inlineStr">
        <is>
          <t>0,00</t>
        </is>
      </c>
      <c r="M942" s="63" t="inlineStr">
        <is>
          <t>95,49</t>
        </is>
      </c>
      <c r="N942" s="63" t="inlineStr">
        <is>
          <t>110,77</t>
        </is>
      </c>
      <c r="O942" s="65" t="n"/>
      <c r="P942" s="65" t="n"/>
      <c r="Q942" s="65" t="n"/>
      <c r="R942" s="65" t="n"/>
      <c r="S942" s="65" t="n"/>
      <c r="T942" s="65" t="n"/>
      <c r="U942" s="65" t="n"/>
      <c r="V942" s="65" t="n"/>
    </row>
    <row r="943">
      <c r="A943" s="65" t="inlineStr">
        <is>
          <t>S00405</t>
        </is>
      </c>
      <c r="B943" s="62" t="n">
        <v>46160.356875</v>
      </c>
      <c r="C943" s="65" t="inlineStr">
        <is>
          <t>Anthony Jose Quijada Diaz.</t>
        </is>
      </c>
      <c r="D943" s="65" t="inlineStr">
        <is>
          <t>CASERES GONZALEZ RONALD OSWALDO</t>
        </is>
      </c>
      <c r="E943" s="65" t="inlineStr">
        <is>
          <t>7 días</t>
        </is>
      </c>
      <c r="F943" s="65" t="n">
        <v>5</v>
      </c>
      <c r="G943" s="65" t="inlineStr">
        <is>
          <t>Pago VES</t>
        </is>
      </c>
      <c r="H943" s="65" t="inlineStr">
        <is>
          <t>[0884] TRANSMATIC ATF DEXRON III (1x12)</t>
        </is>
      </c>
      <c r="I943" s="65" t="n">
        <v>884</v>
      </c>
      <c r="J943" s="63" t="inlineStr">
        <is>
          <t>1,00</t>
        </is>
      </c>
      <c r="K943" s="63" t="inlineStr">
        <is>
          <t>95,49</t>
        </is>
      </c>
      <c r="L943" s="63" t="inlineStr">
        <is>
          <t>0,00</t>
        </is>
      </c>
      <c r="M943" s="63" t="inlineStr">
        <is>
          <t>95,49</t>
        </is>
      </c>
      <c r="N943" s="63" t="inlineStr">
        <is>
          <t>110,77</t>
        </is>
      </c>
      <c r="O943" s="63" t="inlineStr">
        <is>
          <t>95,49</t>
        </is>
      </c>
      <c r="P943" s="63" t="inlineStr">
        <is>
          <t>110,77</t>
        </is>
      </c>
      <c r="Q943" s="63" t="inlineStr">
        <is>
          <t>520,91</t>
        </is>
      </c>
      <c r="R943" s="66" t="n">
        <v>46185</v>
      </c>
      <c r="S943" s="65" t="n">
        <v>153</v>
      </c>
      <c r="T943" s="65" t="inlineStr">
        <is>
          <t>00-00000596</t>
        </is>
      </c>
      <c r="U943" s="63" t="inlineStr">
        <is>
          <t>67,99</t>
        </is>
      </c>
      <c r="V943" s="63" t="inlineStr">
        <is>
          <t>0,00</t>
        </is>
      </c>
    </row>
    <row r="944">
      <c r="A944" s="65" t="inlineStr">
        <is>
          <t>S00404</t>
        </is>
      </c>
      <c r="B944" s="62" t="n">
        <v>46157.71232638889</v>
      </c>
      <c r="C944" s="65" t="inlineStr">
        <is>
          <t>Edgar salas</t>
        </is>
      </c>
      <c r="D944" s="65" t="inlineStr">
        <is>
          <t>REVERON DE CONTRERAS MELANI AUSMAR</t>
        </is>
      </c>
      <c r="E944" s="65" t="inlineStr">
        <is>
          <t>7 días</t>
        </is>
      </c>
      <c r="F944" s="65" t="n">
        <v>5</v>
      </c>
      <c r="G944" s="65" t="inlineStr">
        <is>
          <t>Pago VES</t>
        </is>
      </c>
      <c r="H944" s="65" t="inlineStr">
        <is>
          <t>[0887] MOTOCLASICO 4T SAE 20W-50 (1x12)</t>
        </is>
      </c>
      <c r="I944" s="65" t="n">
        <v>887</v>
      </c>
      <c r="J944" s="63" t="inlineStr">
        <is>
          <t>1,00</t>
        </is>
      </c>
      <c r="K944" s="63" t="inlineStr">
        <is>
          <t>59,00</t>
        </is>
      </c>
      <c r="L944" s="63" t="inlineStr">
        <is>
          <t>0,00</t>
        </is>
      </c>
      <c r="M944" s="63" t="inlineStr">
        <is>
          <t>59,00</t>
        </is>
      </c>
      <c r="N944" s="63" t="inlineStr">
        <is>
          <t>68,44</t>
        </is>
      </c>
      <c r="O944" s="63" t="inlineStr">
        <is>
          <t>59,00</t>
        </is>
      </c>
      <c r="P944" s="63" t="inlineStr">
        <is>
          <t>68,44</t>
        </is>
      </c>
      <c r="Q944" s="63" t="inlineStr">
        <is>
          <t>515,18</t>
        </is>
      </c>
      <c r="R944" s="66" t="n">
        <v>46190</v>
      </c>
      <c r="S944" s="65" t="n">
        <v>184</v>
      </c>
      <c r="T944" s="65" t="inlineStr">
        <is>
          <t>00-00000645</t>
        </is>
      </c>
      <c r="U944" s="63" t="inlineStr">
        <is>
          <t>67,98</t>
        </is>
      </c>
      <c r="V944" s="63" t="inlineStr">
        <is>
          <t>0,00</t>
        </is>
      </c>
    </row>
    <row r="945">
      <c r="A945" s="65" t="inlineStr">
        <is>
          <t>S00396</t>
        </is>
      </c>
      <c r="B945" s="62" t="n">
        <v>46157.69667824074</v>
      </c>
      <c r="C945" s="65" t="inlineStr">
        <is>
          <t>INVERSIONES ARCOSOL 21, C.A.</t>
        </is>
      </c>
      <c r="D945" s="65" t="inlineStr">
        <is>
          <t>VILLABONA CORREA ALBA ESTEFANIA</t>
        </is>
      </c>
      <c r="E945" s="65" t="inlineStr">
        <is>
          <t>7 días</t>
        </is>
      </c>
      <c r="F945" s="65" t="n">
        <v>5</v>
      </c>
      <c r="G945" s="65" t="inlineStr">
        <is>
          <t>Pago VES</t>
        </is>
      </c>
      <c r="H945" s="65" t="inlineStr">
        <is>
          <t>[0779] SINOCO SAE 20W-50 (1x12)</t>
        </is>
      </c>
      <c r="I945" s="65" t="n">
        <v>779</v>
      </c>
      <c r="J945" s="63" t="inlineStr">
        <is>
          <t>1,00</t>
        </is>
      </c>
      <c r="K945" s="63" t="inlineStr">
        <is>
          <t>70,29</t>
        </is>
      </c>
      <c r="L945" s="63" t="inlineStr">
        <is>
          <t>0,00</t>
        </is>
      </c>
      <c r="M945" s="63" t="inlineStr">
        <is>
          <t>70,29</t>
        </is>
      </c>
      <c r="N945" s="63" t="inlineStr">
        <is>
          <t>81,54</t>
        </is>
      </c>
      <c r="O945" s="63" t="inlineStr">
        <is>
          <t>140,58</t>
        </is>
      </c>
      <c r="P945" s="63" t="inlineStr">
        <is>
          <t>163,08</t>
        </is>
      </c>
      <c r="Q945" s="63" t="inlineStr">
        <is>
          <t>685,94</t>
        </is>
      </c>
      <c r="R945" s="66" t="n">
        <v>46211</v>
      </c>
      <c r="S945" s="65" t="n">
        <v>257</v>
      </c>
      <c r="T945" s="65" t="inlineStr">
        <is>
          <t>00-00000786</t>
        </is>
      </c>
      <c r="U945" s="63" t="inlineStr">
        <is>
          <t>163,05</t>
        </is>
      </c>
      <c r="V945" s="63" t="inlineStr">
        <is>
          <t>46,77</t>
        </is>
      </c>
    </row>
    <row r="946">
      <c r="A946" s="65" t="n"/>
      <c r="B946" s="65" t="n"/>
      <c r="C946" s="65" t="n"/>
      <c r="D946" s="65" t="n"/>
      <c r="E946" s="65" t="n"/>
      <c r="F946" s="65" t="n"/>
      <c r="G946" s="65" t="n"/>
      <c r="H946" s="65" t="inlineStr">
        <is>
          <t>[0915] SINOCO SAE 50 (1x12)</t>
        </is>
      </c>
      <c r="I946" s="65" t="n">
        <v>915</v>
      </c>
      <c r="J946" s="63" t="inlineStr">
        <is>
          <t>1,00</t>
        </is>
      </c>
      <c r="K946" s="63" t="inlineStr">
        <is>
          <t>70,29</t>
        </is>
      </c>
      <c r="L946" s="63" t="inlineStr">
        <is>
          <t>0,00</t>
        </is>
      </c>
      <c r="M946" s="63" t="inlineStr">
        <is>
          <t>70,29</t>
        </is>
      </c>
      <c r="N946" s="63" t="inlineStr">
        <is>
          <t>81,54</t>
        </is>
      </c>
      <c r="O946" s="65" t="n"/>
      <c r="P946" s="65" t="n"/>
      <c r="Q946" s="65" t="n"/>
      <c r="R946" s="65" t="n"/>
      <c r="S946" s="65" t="n"/>
      <c r="T946" s="65" t="n"/>
      <c r="U946" s="65" t="n"/>
      <c r="V946" s="65" t="n"/>
    </row>
    <row r="947">
      <c r="A947" s="65" t="inlineStr">
        <is>
          <t>S00398</t>
        </is>
      </c>
      <c r="B947" s="62" t="n">
        <v>46157.67875</v>
      </c>
      <c r="C947" s="65" t="inlineStr">
        <is>
          <t>Moto repuestos jj</t>
        </is>
      </c>
      <c r="D947" s="65" t="inlineStr">
        <is>
          <t>PEREZ DIAZ ANGEL DE DIOS</t>
        </is>
      </c>
      <c r="E947" s="65" t="inlineStr">
        <is>
          <t>7 días</t>
        </is>
      </c>
      <c r="F947" s="65" t="n">
        <v>5</v>
      </c>
      <c r="G947" s="65" t="inlineStr">
        <is>
          <t>Pago VES</t>
        </is>
      </c>
      <c r="H947" s="65" t="inlineStr">
        <is>
          <t>[0779] SINOCO SAE 20W-50 (1x12)</t>
        </is>
      </c>
      <c r="I947" s="65" t="n">
        <v>779</v>
      </c>
      <c r="J947" s="63" t="inlineStr">
        <is>
          <t>2,00</t>
        </is>
      </c>
      <c r="K947" s="63" t="inlineStr">
        <is>
          <t>70,29</t>
        </is>
      </c>
      <c r="L947" s="63" t="inlineStr">
        <is>
          <t>0,00</t>
        </is>
      </c>
      <c r="M947" s="63" t="inlineStr">
        <is>
          <t>140,58</t>
        </is>
      </c>
      <c r="N947" s="63" t="inlineStr">
        <is>
          <t>163,07</t>
        </is>
      </c>
      <c r="O947" s="63" t="inlineStr">
        <is>
          <t>210,87</t>
        </is>
      </c>
      <c r="P947" s="63" t="inlineStr">
        <is>
          <t>244,61</t>
        </is>
      </c>
      <c r="Q947" s="63" t="inlineStr">
        <is>
          <t>721,35</t>
        </is>
      </c>
      <c r="R947" s="66" t="n">
        <v>46216</v>
      </c>
      <c r="S947" s="65" t="n">
        <v>356</v>
      </c>
      <c r="T947" s="65" t="inlineStr">
        <is>
          <t>00-00000899</t>
        </is>
      </c>
      <c r="U947" s="63" t="inlineStr">
        <is>
          <t>244,58</t>
        </is>
      </c>
      <c r="V947" s="63" t="inlineStr">
        <is>
          <t>244,61</t>
        </is>
      </c>
    </row>
    <row r="948">
      <c r="A948" s="65" t="n"/>
      <c r="B948" s="65" t="n"/>
      <c r="C948" s="65" t="n"/>
      <c r="D948" s="65" t="n"/>
      <c r="E948" s="65" t="n"/>
      <c r="F948" s="65" t="n"/>
      <c r="G948" s="65" t="n"/>
      <c r="H948" s="65" t="inlineStr">
        <is>
          <t>[0915] SINOCO SAE 50 (1x12)</t>
        </is>
      </c>
      <c r="I948" s="65" t="n">
        <v>915</v>
      </c>
      <c r="J948" s="63" t="inlineStr">
        <is>
          <t>1,00</t>
        </is>
      </c>
      <c r="K948" s="63" t="inlineStr">
        <is>
          <t>70,29</t>
        </is>
      </c>
      <c r="L948" s="63" t="inlineStr">
        <is>
          <t>0,00</t>
        </is>
      </c>
      <c r="M948" s="63" t="inlineStr">
        <is>
          <t>70,29</t>
        </is>
      </c>
      <c r="N948" s="63" t="inlineStr">
        <is>
          <t>81,54</t>
        </is>
      </c>
      <c r="O948" s="65" t="n"/>
      <c r="P948" s="65" t="n"/>
      <c r="Q948" s="65" t="n"/>
      <c r="R948" s="65" t="n"/>
      <c r="S948" s="65" t="n"/>
      <c r="T948" s="65" t="n"/>
      <c r="U948" s="65" t="n"/>
      <c r="V948" s="65" t="n"/>
    </row>
    <row r="949">
      <c r="A949" s="65" t="inlineStr">
        <is>
          <t>S00399</t>
        </is>
      </c>
      <c r="B949" s="62" t="n">
        <v>46157.67863425926</v>
      </c>
      <c r="C949" s="65" t="inlineStr">
        <is>
          <t>Wuilliams bastidas</t>
        </is>
      </c>
      <c r="D949" s="65" t="inlineStr">
        <is>
          <t>PEREZ DIAZ ANGEL DE DIOS</t>
        </is>
      </c>
      <c r="E949" s="65" t="inlineStr">
        <is>
          <t>7 días</t>
        </is>
      </c>
      <c r="F949" s="65" t="n">
        <v>5</v>
      </c>
      <c r="G949" s="65" t="inlineStr">
        <is>
          <t>Pago VES</t>
        </is>
      </c>
      <c r="H949" s="65" t="inlineStr">
        <is>
          <t>[0884] TRANSMATIC ATF DEXRON III (1x12)</t>
        </is>
      </c>
      <c r="I949" s="65" t="n">
        <v>884</v>
      </c>
      <c r="J949" s="63" t="inlineStr">
        <is>
          <t>1,00</t>
        </is>
      </c>
      <c r="K949" s="63" t="inlineStr">
        <is>
          <t>95,49</t>
        </is>
      </c>
      <c r="L949" s="63" t="inlineStr">
        <is>
          <t>0,00</t>
        </is>
      </c>
      <c r="M949" s="63" t="inlineStr">
        <is>
          <t>95,49</t>
        </is>
      </c>
      <c r="N949" s="63" t="inlineStr">
        <is>
          <t>110,77</t>
        </is>
      </c>
      <c r="O949" s="63" t="inlineStr">
        <is>
          <t>217,50</t>
        </is>
      </c>
      <c r="P949" s="63" t="inlineStr">
        <is>
          <t>252,31</t>
        </is>
      </c>
      <c r="Q949" s="63" t="inlineStr">
        <is>
          <t>721,35</t>
        </is>
      </c>
      <c r="R949" s="66" t="n">
        <v>46216</v>
      </c>
      <c r="S949" s="65" t="n">
        <v>357</v>
      </c>
      <c r="T949" s="65" t="inlineStr">
        <is>
          <t>00-00000900</t>
        </is>
      </c>
      <c r="U949" s="63" t="inlineStr">
        <is>
          <t>252,27</t>
        </is>
      </c>
      <c r="V949" s="63" t="inlineStr">
        <is>
          <t>252,30</t>
        </is>
      </c>
    </row>
    <row r="950">
      <c r="A950" s="65" t="n"/>
      <c r="B950" s="65" t="n"/>
      <c r="C950" s="65" t="n"/>
      <c r="D950" s="65" t="n"/>
      <c r="E950" s="65" t="n"/>
      <c r="F950" s="65" t="n"/>
      <c r="G950" s="65" t="n"/>
      <c r="H950" s="65" t="inlineStr">
        <is>
          <t>[0121] TRANSGLOB API GL-5 SAE 80W-90 (1x6)</t>
        </is>
      </c>
      <c r="I950" s="65" t="n">
        <v>121</v>
      </c>
      <c r="J950" s="63" t="inlineStr">
        <is>
          <t>1,00</t>
        </is>
      </c>
      <c r="K950" s="63" t="inlineStr">
        <is>
          <t>51,72</t>
        </is>
      </c>
      <c r="L950" s="63" t="inlineStr">
        <is>
          <t>0,00</t>
        </is>
      </c>
      <c r="M950" s="63" t="inlineStr">
        <is>
          <t>51,72</t>
        </is>
      </c>
      <c r="N950" s="63" t="inlineStr">
        <is>
          <t>60,00</t>
        </is>
      </c>
      <c r="O950" s="65" t="n"/>
      <c r="P950" s="65" t="n"/>
      <c r="Q950" s="65" t="n"/>
      <c r="R950" s="65" t="n"/>
      <c r="S950" s="65" t="n"/>
      <c r="T950" s="65" t="n"/>
      <c r="U950" s="65" t="n"/>
      <c r="V950" s="65" t="n"/>
    </row>
    <row r="951">
      <c r="A951" s="65" t="n"/>
      <c r="B951" s="65" t="n"/>
      <c r="C951" s="65" t="n"/>
      <c r="D951" s="65" t="n"/>
      <c r="E951" s="65" t="n"/>
      <c r="F951" s="65" t="n"/>
      <c r="G951" s="65" t="n"/>
      <c r="H951" s="65" t="inlineStr">
        <is>
          <t>[0915] SINOCO SAE 50 (1x12)</t>
        </is>
      </c>
      <c r="I951" s="65" t="n">
        <v>915</v>
      </c>
      <c r="J951" s="63" t="inlineStr">
        <is>
          <t>1,00</t>
        </is>
      </c>
      <c r="K951" s="63" t="inlineStr">
        <is>
          <t>70,29</t>
        </is>
      </c>
      <c r="L951" s="63" t="inlineStr">
        <is>
          <t>0,00</t>
        </is>
      </c>
      <c r="M951" s="63" t="inlineStr">
        <is>
          <t>70,29</t>
        </is>
      </c>
      <c r="N951" s="63" t="inlineStr">
        <is>
          <t>81,54</t>
        </is>
      </c>
      <c r="O951" s="65" t="n"/>
      <c r="P951" s="65" t="n"/>
      <c r="Q951" s="65" t="n"/>
      <c r="R951" s="65" t="n"/>
      <c r="S951" s="65" t="n"/>
      <c r="T951" s="65" t="n"/>
      <c r="U951" s="65" t="n"/>
      <c r="V951" s="65" t="n"/>
    </row>
    <row r="952">
      <c r="A952" s="65" t="inlineStr">
        <is>
          <t>S00400</t>
        </is>
      </c>
      <c r="B952" s="62" t="n">
        <v>46157.67855324074</v>
      </c>
      <c r="C952" s="65" t="inlineStr">
        <is>
          <t>TALLER Y REPUESTOS CHOPPERS, C.A.</t>
        </is>
      </c>
      <c r="D952" s="65" t="inlineStr">
        <is>
          <t>TORO ARDILES DAVID JOSE</t>
        </is>
      </c>
      <c r="E952" s="65" t="inlineStr">
        <is>
          <t>7 días</t>
        </is>
      </c>
      <c r="F952" s="65" t="n">
        <v>5</v>
      </c>
      <c r="G952" s="65" t="inlineStr">
        <is>
          <t>Pago VES</t>
        </is>
      </c>
      <c r="H952" s="65" t="inlineStr">
        <is>
          <t>[0887] MOTOCLASICO 4T SAE 20W-50 (1x12)</t>
        </is>
      </c>
      <c r="I952" s="65" t="n">
        <v>887</v>
      </c>
      <c r="J952" s="63" t="inlineStr">
        <is>
          <t>1,00</t>
        </is>
      </c>
      <c r="K952" s="63" t="inlineStr">
        <is>
          <t>90,19</t>
        </is>
      </c>
      <c r="L952" s="63" t="inlineStr">
        <is>
          <t>0,00</t>
        </is>
      </c>
      <c r="M952" s="63" t="inlineStr">
        <is>
          <t>90,19</t>
        </is>
      </c>
      <c r="N952" s="63" t="inlineStr">
        <is>
          <t>104,62</t>
        </is>
      </c>
      <c r="O952" s="63" t="inlineStr">
        <is>
          <t>185,68</t>
        </is>
      </c>
      <c r="P952" s="63" t="inlineStr">
        <is>
          <t>215,39</t>
        </is>
      </c>
      <c r="Q952" s="63" t="inlineStr">
        <is>
          <t>721,35</t>
        </is>
      </c>
      <c r="R952" s="66" t="n">
        <v>46216</v>
      </c>
      <c r="S952" s="65" t="n">
        <v>358</v>
      </c>
      <c r="T952" s="65" t="inlineStr">
        <is>
          <t>00-00000901</t>
        </is>
      </c>
      <c r="U952" s="63" t="inlineStr">
        <is>
          <t>215,37</t>
        </is>
      </c>
      <c r="V952" s="63" t="inlineStr">
        <is>
          <t>215,39</t>
        </is>
      </c>
    </row>
    <row r="953">
      <c r="A953" s="65" t="n"/>
      <c r="B953" s="65" t="n"/>
      <c r="C953" s="65" t="n"/>
      <c r="D953" s="65" t="n"/>
      <c r="E953" s="65" t="n"/>
      <c r="F953" s="65" t="n"/>
      <c r="G953" s="65" t="n"/>
      <c r="H953" s="65" t="inlineStr">
        <is>
          <t>[0884] TRANSMATIC ATF DEXRON III (1x12)</t>
        </is>
      </c>
      <c r="I953" s="65" t="n">
        <v>884</v>
      </c>
      <c r="J953" s="63" t="inlineStr">
        <is>
          <t>1,00</t>
        </is>
      </c>
      <c r="K953" s="63" t="inlineStr">
        <is>
          <t>95,49</t>
        </is>
      </c>
      <c r="L953" s="63" t="inlineStr">
        <is>
          <t>0,00</t>
        </is>
      </c>
      <c r="M953" s="63" t="inlineStr">
        <is>
          <t>95,49</t>
        </is>
      </c>
      <c r="N953" s="63" t="inlineStr">
        <is>
          <t>110,77</t>
        </is>
      </c>
      <c r="O953" s="65" t="n"/>
      <c r="P953" s="65" t="n"/>
      <c r="Q953" s="65" t="n"/>
      <c r="R953" s="65" t="n"/>
      <c r="S953" s="65" t="n"/>
      <c r="T953" s="65" t="n"/>
      <c r="U953" s="65" t="n"/>
      <c r="V953" s="65" t="n"/>
    </row>
    <row r="954">
      <c r="A954" s="65" t="inlineStr">
        <is>
          <t>S00397</t>
        </is>
      </c>
      <c r="B954" s="62" t="n">
        <v>46157.56930555555</v>
      </c>
      <c r="C954" s="65" t="inlineStr">
        <is>
          <t>Paola M. Aguilera Z.</t>
        </is>
      </c>
      <c r="D954" s="65" t="inlineStr">
        <is>
          <t>CASERES GONZALEZ RONALD OSWALDO</t>
        </is>
      </c>
      <c r="E954" s="65" t="inlineStr">
        <is>
          <t>7 días</t>
        </is>
      </c>
      <c r="F954" s="65" t="n">
        <v>5</v>
      </c>
      <c r="G954" s="65" t="inlineStr">
        <is>
          <t>Pago VES</t>
        </is>
      </c>
      <c r="H954" s="65" t="inlineStr">
        <is>
          <t>[0083] MAXIMO API CF SAE 50 (PAILA)</t>
        </is>
      </c>
      <c r="I954" s="65" t="n">
        <v>83</v>
      </c>
      <c r="J954" s="63" t="inlineStr">
        <is>
          <t>1,00</t>
        </is>
      </c>
      <c r="K954" s="63" t="inlineStr">
        <is>
          <t>112,73</t>
        </is>
      </c>
      <c r="L954" s="63" t="inlineStr">
        <is>
          <t>0,00</t>
        </is>
      </c>
      <c r="M954" s="63" t="inlineStr">
        <is>
          <t>112,73</t>
        </is>
      </c>
      <c r="N954" s="63" t="inlineStr">
        <is>
          <t>130,77</t>
        </is>
      </c>
      <c r="O954" s="63" t="inlineStr">
        <is>
          <t>112,73</t>
        </is>
      </c>
      <c r="P954" s="63" t="inlineStr">
        <is>
          <t>130,77</t>
        </is>
      </c>
      <c r="Q954" s="63" t="inlineStr">
        <is>
          <t>515,18</t>
        </is>
      </c>
      <c r="R954" s="66" t="n">
        <v>46157</v>
      </c>
      <c r="S954" s="65" t="n">
        <v>59</v>
      </c>
      <c r="T954" s="65" t="inlineStr">
        <is>
          <t>00-00000359</t>
        </is>
      </c>
      <c r="U954" s="63" t="inlineStr">
        <is>
          <t>84,99</t>
        </is>
      </c>
      <c r="V954" s="63" t="inlineStr">
        <is>
          <t>0,00</t>
        </is>
      </c>
    </row>
    <row r="955">
      <c r="A955" s="65" t="inlineStr">
        <is>
          <t>S00393</t>
        </is>
      </c>
      <c r="B955" s="62" t="n">
        <v>46156.75451388889</v>
      </c>
      <c r="C955" s="65" t="inlineStr">
        <is>
          <t>Francesco orlando Espro bolaños</t>
        </is>
      </c>
      <c r="D955" s="65" t="inlineStr">
        <is>
          <t>BETANCOURT ROBRIGUEZ LUIS ENRRIQUE</t>
        </is>
      </c>
      <c r="E955" s="65" t="inlineStr">
        <is>
          <t>7 días</t>
        </is>
      </c>
      <c r="F955" s="65" t="n">
        <v>5</v>
      </c>
      <c r="G955" s="65" t="inlineStr">
        <is>
          <t>Pago VES</t>
        </is>
      </c>
      <c r="H955" s="65" t="inlineStr">
        <is>
          <t>[0602] SINOCO SAE 50 (PAILA)</t>
        </is>
      </c>
      <c r="I955" s="65" t="n">
        <v>602</v>
      </c>
      <c r="J955" s="63" t="inlineStr">
        <is>
          <t>2,00</t>
        </is>
      </c>
      <c r="K955" s="63" t="inlineStr">
        <is>
          <t>96,82</t>
        </is>
      </c>
      <c r="L955" s="63" t="inlineStr">
        <is>
          <t>0,00</t>
        </is>
      </c>
      <c r="M955" s="63" t="inlineStr">
        <is>
          <t>193,64</t>
        </is>
      </c>
      <c r="N955" s="63" t="inlineStr">
        <is>
          <t>224,62</t>
        </is>
      </c>
      <c r="O955" s="63" t="inlineStr">
        <is>
          <t>263,93</t>
        </is>
      </c>
      <c r="P955" s="63" t="inlineStr">
        <is>
          <t>306,16</t>
        </is>
      </c>
      <c r="Q955" s="63" t="inlineStr">
        <is>
          <t>721,35</t>
        </is>
      </c>
      <c r="R955" s="66" t="n">
        <v>46216</v>
      </c>
      <c r="S955" s="65" t="n">
        <v>359</v>
      </c>
      <c r="T955" s="65" t="inlineStr">
        <is>
          <t>00-00000902</t>
        </is>
      </c>
      <c r="U955" s="63" t="inlineStr">
        <is>
          <t>306,13</t>
        </is>
      </c>
      <c r="V955" s="63" t="inlineStr">
        <is>
          <t>306,16</t>
        </is>
      </c>
    </row>
    <row r="956">
      <c r="A956" s="65" t="n"/>
      <c r="B956" s="65" t="n"/>
      <c r="C956" s="65" t="n"/>
      <c r="D956" s="65" t="n"/>
      <c r="E956" s="65" t="n"/>
      <c r="F956" s="65" t="n"/>
      <c r="G956" s="65" t="n"/>
      <c r="H956" s="65" t="inlineStr">
        <is>
          <t>[0779] SINOCO SAE 20W-50 (1x12)</t>
        </is>
      </c>
      <c r="I956" s="65" t="n">
        <v>779</v>
      </c>
      <c r="J956" s="63" t="inlineStr">
        <is>
          <t>1,00</t>
        </is>
      </c>
      <c r="K956" s="63" t="inlineStr">
        <is>
          <t>70,29</t>
        </is>
      </c>
      <c r="L956" s="63" t="inlineStr">
        <is>
          <t>0,00</t>
        </is>
      </c>
      <c r="M956" s="63" t="inlineStr">
        <is>
          <t>70,29</t>
        </is>
      </c>
      <c r="N956" s="63" t="inlineStr">
        <is>
          <t>81,54</t>
        </is>
      </c>
      <c r="O956" s="65" t="n"/>
      <c r="P956" s="65" t="n"/>
      <c r="Q956" s="65" t="n"/>
      <c r="R956" s="65" t="n"/>
      <c r="S956" s="65" t="n"/>
      <c r="T956" s="65" t="n"/>
      <c r="U956" s="65" t="n"/>
      <c r="V956" s="65" t="n"/>
    </row>
    <row r="957">
      <c r="A957" s="65" t="inlineStr">
        <is>
          <t>S00394</t>
        </is>
      </c>
      <c r="B957" s="62" t="n">
        <v>46156.7544212963</v>
      </c>
      <c r="C957" s="65" t="inlineStr">
        <is>
          <t>Sandra Katherine Quintero Crespo</t>
        </is>
      </c>
      <c r="D957" s="65" t="inlineStr">
        <is>
          <t>QUEVEDO BASTIDAS NEYKEL DAVID</t>
        </is>
      </c>
      <c r="E957" s="65" t="inlineStr">
        <is>
          <t>21 días</t>
        </is>
      </c>
      <c r="F957" s="65" t="n">
        <v>5</v>
      </c>
      <c r="G957" s="65" t="inlineStr">
        <is>
          <t>Pago VES</t>
        </is>
      </c>
      <c r="H957" s="65" t="inlineStr">
        <is>
          <t>[0605] SINOCO SAE 20W-50 (PAILA)</t>
        </is>
      </c>
      <c r="I957" s="65" t="n">
        <v>605</v>
      </c>
      <c r="J957" s="63" t="inlineStr">
        <is>
          <t>2,00</t>
        </is>
      </c>
      <c r="K957" s="63" t="inlineStr">
        <is>
          <t>96,82</t>
        </is>
      </c>
      <c r="L957" s="63" t="inlineStr">
        <is>
          <t>0,00</t>
        </is>
      </c>
      <c r="M957" s="63" t="inlineStr">
        <is>
          <t>193,64</t>
        </is>
      </c>
      <c r="N957" s="63" t="inlineStr">
        <is>
          <t>224,62</t>
        </is>
      </c>
      <c r="O957" s="63" t="inlineStr">
        <is>
          <t>294,44</t>
        </is>
      </c>
      <c r="P957" s="63" t="inlineStr">
        <is>
          <t>341,55</t>
        </is>
      </c>
      <c r="Q957" s="63" t="inlineStr">
        <is>
          <t>520,91</t>
        </is>
      </c>
      <c r="R957" s="66" t="n">
        <v>46185</v>
      </c>
      <c r="S957" s="65" t="n">
        <v>174</v>
      </c>
      <c r="T957" s="65" t="inlineStr">
        <is>
          <t>00-00000617</t>
        </is>
      </c>
      <c r="U957" s="63" t="inlineStr">
        <is>
          <t>341,55</t>
        </is>
      </c>
      <c r="V957" s="63" t="inlineStr">
        <is>
          <t>341,56</t>
        </is>
      </c>
    </row>
    <row r="958">
      <c r="A958" s="65" t="n"/>
      <c r="B958" s="65" t="n"/>
      <c r="C958" s="65" t="n"/>
      <c r="D958" s="65" t="n"/>
      <c r="E958" s="65" t="n"/>
      <c r="F958" s="65" t="n"/>
      <c r="G958" s="65" t="n"/>
      <c r="H958" s="65" t="inlineStr">
        <is>
          <t>[0877] SS EXTRA PROTECCION API SN SAE 15W-40 (1X12)</t>
        </is>
      </c>
      <c r="I958" s="65" t="n">
        <v>877</v>
      </c>
      <c r="J958" s="63" t="inlineStr">
        <is>
          <t>1,00</t>
        </is>
      </c>
      <c r="K958" s="63" t="inlineStr">
        <is>
          <t>100,80</t>
        </is>
      </c>
      <c r="L958" s="63" t="inlineStr">
        <is>
          <t>0,00</t>
        </is>
      </c>
      <c r="M958" s="63" t="inlineStr">
        <is>
          <t>100,80</t>
        </is>
      </c>
      <c r="N958" s="63" t="inlineStr">
        <is>
          <t>116,93</t>
        </is>
      </c>
      <c r="O958" s="65" t="n"/>
      <c r="P958" s="65" t="n"/>
      <c r="Q958" s="65" t="n"/>
      <c r="R958" s="65" t="n"/>
      <c r="S958" s="65" t="n"/>
      <c r="T958" s="65" t="n"/>
      <c r="U958" s="65" t="n"/>
      <c r="V958" s="65" t="n"/>
    </row>
    <row r="959">
      <c r="A959" s="65" t="inlineStr">
        <is>
          <t>S00395</t>
        </is>
      </c>
      <c r="B959" s="62" t="n">
        <v>46156.75434027778</v>
      </c>
      <c r="C959" s="65" t="inlineStr">
        <is>
          <t>Emprendimiento Eduardo Pérez 6</t>
        </is>
      </c>
      <c r="D959" s="65" t="inlineStr">
        <is>
          <t>QUEVEDO BASTIDAS NEYKEL DAVID</t>
        </is>
      </c>
      <c r="E959" s="65" t="inlineStr">
        <is>
          <t>21 días</t>
        </is>
      </c>
      <c r="F959" s="65" t="n">
        <v>5</v>
      </c>
      <c r="G959" s="65" t="inlineStr">
        <is>
          <t>Pago VES</t>
        </is>
      </c>
      <c r="H959" s="65" t="inlineStr">
        <is>
          <t>[0779] SINOCO SAE 20W-50 (1x12)</t>
        </is>
      </c>
      <c r="I959" s="65" t="n">
        <v>779</v>
      </c>
      <c r="J959" s="63" t="inlineStr">
        <is>
          <t>1,00</t>
        </is>
      </c>
      <c r="K959" s="63" t="inlineStr">
        <is>
          <t>70,29</t>
        </is>
      </c>
      <c r="L959" s="63" t="inlineStr">
        <is>
          <t>0,00</t>
        </is>
      </c>
      <c r="M959" s="63" t="inlineStr">
        <is>
          <t>70,29</t>
        </is>
      </c>
      <c r="N959" s="63" t="inlineStr">
        <is>
          <t>81,54</t>
        </is>
      </c>
      <c r="O959" s="63" t="inlineStr">
        <is>
          <t>70,29</t>
        </is>
      </c>
      <c r="P959" s="63" t="inlineStr">
        <is>
          <t>81,54</t>
        </is>
      </c>
      <c r="Q959" s="63" t="inlineStr">
        <is>
          <t>520,91</t>
        </is>
      </c>
      <c r="R959" s="66" t="n">
        <v>46185</v>
      </c>
      <c r="S959" s="65" t="n">
        <v>152</v>
      </c>
      <c r="T959" s="65" t="inlineStr">
        <is>
          <t>00-00000595</t>
        </is>
      </c>
      <c r="U959" s="63" t="inlineStr">
        <is>
          <t>51,93</t>
        </is>
      </c>
      <c r="V959" s="63" t="inlineStr">
        <is>
          <t>51,94</t>
        </is>
      </c>
    </row>
    <row r="960">
      <c r="A960" s="65" t="inlineStr">
        <is>
          <t>S00388</t>
        </is>
      </c>
      <c r="B960" s="62" t="n">
        <v>46156.66883101852</v>
      </c>
      <c r="C960" s="65" t="inlineStr">
        <is>
          <t>Ricardo A. Fernandez.</t>
        </is>
      </c>
      <c r="D960" s="65" t="inlineStr">
        <is>
          <t>MARTINEZ MONTES JEFFREY ENRIQUE</t>
        </is>
      </c>
      <c r="E960" s="65" t="inlineStr">
        <is>
          <t>7 días</t>
        </is>
      </c>
      <c r="F960" s="65" t="n">
        <v>5</v>
      </c>
      <c r="G960" s="65" t="inlineStr">
        <is>
          <t>Pago VES</t>
        </is>
      </c>
      <c r="H960" s="65" t="inlineStr">
        <is>
          <t>[0605] SINOCO SAE 20W-50 (PAILA)</t>
        </is>
      </c>
      <c r="I960" s="65" t="n">
        <v>605</v>
      </c>
      <c r="J960" s="63" t="inlineStr">
        <is>
          <t>2,00</t>
        </is>
      </c>
      <c r="K960" s="63" t="inlineStr">
        <is>
          <t>96,82</t>
        </is>
      </c>
      <c r="L960" s="63" t="inlineStr">
        <is>
          <t>0,00</t>
        </is>
      </c>
      <c r="M960" s="63" t="inlineStr">
        <is>
          <t>193,64</t>
        </is>
      </c>
      <c r="N960" s="63" t="inlineStr">
        <is>
          <t>224,62</t>
        </is>
      </c>
      <c r="O960" s="63" t="inlineStr">
        <is>
          <t>229,45</t>
        </is>
      </c>
      <c r="P960" s="63" t="inlineStr">
        <is>
          <t>266,16</t>
        </is>
      </c>
      <c r="Q960" s="63" t="inlineStr">
        <is>
          <t>721,35</t>
        </is>
      </c>
      <c r="R960" s="66" t="n">
        <v>46216</v>
      </c>
      <c r="S960" s="65" t="n">
        <v>360</v>
      </c>
      <c r="T960" s="65" t="inlineStr">
        <is>
          <t>00-00000903</t>
        </is>
      </c>
      <c r="U960" s="63" t="inlineStr">
        <is>
          <t>266,15</t>
        </is>
      </c>
      <c r="V960" s="63" t="inlineStr">
        <is>
          <t>266,16</t>
        </is>
      </c>
    </row>
    <row r="961">
      <c r="A961" s="65" t="n"/>
      <c r="B961" s="65" t="n"/>
      <c r="C961" s="65" t="n"/>
      <c r="D961" s="65" t="n"/>
      <c r="E961" s="65" t="n"/>
      <c r="F961" s="65" t="n"/>
      <c r="G961" s="65" t="n"/>
      <c r="H961" s="65" t="inlineStr">
        <is>
          <t>[0761] LIGA PARA FRENOS DOT-3 (1x12)</t>
        </is>
      </c>
      <c r="I961" s="65" t="n">
        <v>761</v>
      </c>
      <c r="J961" s="63" t="inlineStr">
        <is>
          <t>1,00</t>
        </is>
      </c>
      <c r="K961" s="63" t="inlineStr">
        <is>
          <t>35,81</t>
        </is>
      </c>
      <c r="L961" s="63" t="inlineStr">
        <is>
          <t>0,00</t>
        </is>
      </c>
      <c r="M961" s="63" t="inlineStr">
        <is>
          <t>35,81</t>
        </is>
      </c>
      <c r="N961" s="63" t="inlineStr">
        <is>
          <t>41,54</t>
        </is>
      </c>
      <c r="O961" s="65" t="n"/>
      <c r="P961" s="65" t="n"/>
      <c r="Q961" s="65" t="n"/>
      <c r="R961" s="65" t="n"/>
      <c r="S961" s="65" t="n"/>
      <c r="T961" s="65" t="n"/>
      <c r="U961" s="65" t="n"/>
      <c r="V961" s="65" t="n"/>
    </row>
    <row r="962">
      <c r="A962" s="65" t="inlineStr">
        <is>
          <t>S00389</t>
        </is>
      </c>
      <c r="B962" s="62" t="n">
        <v>46156.65849537037</v>
      </c>
      <c r="C962" s="65" t="inlineStr">
        <is>
          <t>Greicy Moncada</t>
        </is>
      </c>
      <c r="D962" s="65" t="inlineStr">
        <is>
          <t>PEREZ DIAZ ANGEL DE DIOS</t>
        </is>
      </c>
      <c r="E962" s="65" t="inlineStr">
        <is>
          <t>7 días</t>
        </is>
      </c>
      <c r="F962" s="65" t="n">
        <v>5</v>
      </c>
      <c r="G962" s="65" t="inlineStr">
        <is>
          <t>Pago VES</t>
        </is>
      </c>
      <c r="H962" s="65" t="inlineStr">
        <is>
          <t>[0602] SINOCO SAE 50 (PAILA)</t>
        </is>
      </c>
      <c r="I962" s="65" t="n">
        <v>602</v>
      </c>
      <c r="J962" s="63" t="inlineStr">
        <is>
          <t>3,00</t>
        </is>
      </c>
      <c r="K962" s="63" t="inlineStr">
        <is>
          <t>73,28</t>
        </is>
      </c>
      <c r="L962" s="63" t="inlineStr">
        <is>
          <t>0,00</t>
        </is>
      </c>
      <c r="M962" s="63" t="inlineStr">
        <is>
          <t>219,83</t>
        </is>
      </c>
      <c r="N962" s="63" t="inlineStr">
        <is>
          <t>255,00</t>
        </is>
      </c>
      <c r="O962" s="63" t="inlineStr">
        <is>
          <t>219,83</t>
        </is>
      </c>
      <c r="P962" s="63" t="inlineStr">
        <is>
          <t>255,00</t>
        </is>
      </c>
      <c r="Q962" s="63" t="inlineStr">
        <is>
          <t>510,79</t>
        </is>
      </c>
      <c r="R962" s="66" t="n">
        <v>46156</v>
      </c>
      <c r="S962" s="65" t="n">
        <v>57</v>
      </c>
      <c r="T962" s="65" t="inlineStr">
        <is>
          <t>00-00000346</t>
        </is>
      </c>
      <c r="U962" s="63" t="inlineStr">
        <is>
          <t>249,84</t>
        </is>
      </c>
      <c r="V962" s="63" t="inlineStr">
        <is>
          <t>249,84</t>
        </is>
      </c>
    </row>
    <row r="963">
      <c r="A963" s="65" t="inlineStr">
        <is>
          <t>S00387</t>
        </is>
      </c>
      <c r="B963" s="62" t="n">
        <v>46156.62299768518</v>
      </c>
      <c r="C963" s="65" t="inlineStr">
        <is>
          <t>FRANCISCO MONCADA</t>
        </is>
      </c>
      <c r="D963" s="65" t="inlineStr">
        <is>
          <t>PEREZ DIAZ ANGEL DE DIOS</t>
        </is>
      </c>
      <c r="E963" s="65" t="inlineStr">
        <is>
          <t>7 días</t>
        </is>
      </c>
      <c r="F963" s="65" t="n">
        <v>5</v>
      </c>
      <c r="G963" s="65" t="inlineStr">
        <is>
          <t>Pago VES</t>
        </is>
      </c>
      <c r="H963" s="65" t="inlineStr">
        <is>
          <t>[0602] SINOCO SAE 50 (PAILA)</t>
        </is>
      </c>
      <c r="I963" s="65" t="n">
        <v>602</v>
      </c>
      <c r="J963" s="63" t="inlineStr">
        <is>
          <t>5,00</t>
        </is>
      </c>
      <c r="K963" s="63" t="inlineStr">
        <is>
          <t>73,28</t>
        </is>
      </c>
      <c r="L963" s="63" t="inlineStr">
        <is>
          <t>0,00</t>
        </is>
      </c>
      <c r="M963" s="63" t="inlineStr">
        <is>
          <t>366,38</t>
        </is>
      </c>
      <c r="N963" s="63" t="inlineStr">
        <is>
          <t>425,00</t>
        </is>
      </c>
      <c r="O963" s="63" t="inlineStr">
        <is>
          <t>366,38</t>
        </is>
      </c>
      <c r="P963" s="63" t="inlineStr">
        <is>
          <t>425,00</t>
        </is>
      </c>
      <c r="Q963" s="63" t="inlineStr">
        <is>
          <t>510,79</t>
        </is>
      </c>
      <c r="R963" s="66" t="n">
        <v>46156</v>
      </c>
      <c r="S963" s="65" t="n">
        <v>55</v>
      </c>
      <c r="T963" s="65" t="inlineStr">
        <is>
          <t>00-00000344</t>
        </is>
      </c>
      <c r="U963" s="63" t="inlineStr">
        <is>
          <t>416,39</t>
        </is>
      </c>
      <c r="V963" s="63" t="inlineStr">
        <is>
          <t>416,40</t>
        </is>
      </c>
    </row>
    <row r="964">
      <c r="A964" s="65" t="inlineStr">
        <is>
          <t>S00386</t>
        </is>
      </c>
      <c r="B964" s="62" t="n">
        <v>46156.61848379629</v>
      </c>
      <c r="C964" s="65" t="inlineStr">
        <is>
          <t>SEBASTIAN RICON MOLINA</t>
        </is>
      </c>
      <c r="D964" s="65" t="inlineStr">
        <is>
          <t>CASERES GONZALEZ RONALD OSWALDO</t>
        </is>
      </c>
      <c r="E964" s="65" t="inlineStr">
        <is>
          <t>7 días</t>
        </is>
      </c>
      <c r="F964" s="65" t="n">
        <v>5</v>
      </c>
      <c r="G964" s="65" t="inlineStr">
        <is>
          <t>Pago VES</t>
        </is>
      </c>
      <c r="H964" s="65" t="inlineStr">
        <is>
          <t>[0881] CLASICO API SL SAE 20W-50 (1x12)</t>
        </is>
      </c>
      <c r="I964" s="65" t="n">
        <v>881</v>
      </c>
      <c r="J964" s="63" t="inlineStr">
        <is>
          <t>1,00</t>
        </is>
      </c>
      <c r="K964" s="63" t="inlineStr">
        <is>
          <t>86,21</t>
        </is>
      </c>
      <c r="L964" s="63" t="inlineStr">
        <is>
          <t>0,00</t>
        </is>
      </c>
      <c r="M964" s="63" t="inlineStr">
        <is>
          <t>86,21</t>
        </is>
      </c>
      <c r="N964" s="63" t="inlineStr">
        <is>
          <t>100,00</t>
        </is>
      </c>
      <c r="O964" s="63" t="inlineStr">
        <is>
          <t>86,21</t>
        </is>
      </c>
      <c r="P964" s="63" t="inlineStr">
        <is>
          <t>100,00</t>
        </is>
      </c>
      <c r="Q964" s="63" t="inlineStr">
        <is>
          <t>721,35</t>
        </is>
      </c>
      <c r="R964" s="66" t="n">
        <v>46216</v>
      </c>
      <c r="S964" s="65" t="n">
        <v>361</v>
      </c>
      <c r="T964" s="65" t="inlineStr">
        <is>
          <t>00-00000904</t>
        </is>
      </c>
      <c r="U964" s="63" t="inlineStr">
        <is>
          <t>99,99</t>
        </is>
      </c>
      <c r="V964" s="63" t="inlineStr">
        <is>
          <t>100,00</t>
        </is>
      </c>
    </row>
    <row r="965">
      <c r="A965" s="65" t="inlineStr">
        <is>
          <t>S00357</t>
        </is>
      </c>
      <c r="B965" s="62" t="n">
        <v>46155.70149305555</v>
      </c>
      <c r="C965" s="65" t="inlineStr">
        <is>
          <t>AGROPECUARIA LECHE Y MIEL, C.A</t>
        </is>
      </c>
      <c r="D965" s="65" t="inlineStr">
        <is>
          <t>Marco Romero</t>
        </is>
      </c>
      <c r="E965" s="65" t="n"/>
      <c r="F965" s="65" t="n">
        <v>3</v>
      </c>
      <c r="G965" s="65" t="inlineStr">
        <is>
          <t>Precio Full Marzo</t>
        </is>
      </c>
      <c r="H965" s="65" t="inlineStr">
        <is>
          <t>[0970] GRASA GLOBAL AT 250 AR-EP (PAILA)</t>
        </is>
      </c>
      <c r="I965" s="65" t="n">
        <v>970</v>
      </c>
      <c r="J965" s="63" t="inlineStr">
        <is>
          <t>11,00</t>
        </is>
      </c>
      <c r="K965" s="63" t="inlineStr">
        <is>
          <t>271,00</t>
        </is>
      </c>
      <c r="L965" s="63" t="inlineStr">
        <is>
          <t>0,00</t>
        </is>
      </c>
      <c r="M965" s="63" t="inlineStr">
        <is>
          <t>2.981,00</t>
        </is>
      </c>
      <c r="N965" s="63" t="inlineStr">
        <is>
          <t>3.457,96</t>
        </is>
      </c>
      <c r="O965" s="63" t="inlineStr">
        <is>
          <t>2.981,00</t>
        </is>
      </c>
      <c r="P965" s="63" t="inlineStr">
        <is>
          <t>3.457,96</t>
        </is>
      </c>
      <c r="Q965" s="63" t="inlineStr">
        <is>
          <t>510,79</t>
        </is>
      </c>
      <c r="R965" s="66" t="n">
        <v>46156</v>
      </c>
      <c r="S965" s="65" t="n">
        <v>52</v>
      </c>
      <c r="T965" s="65" t="inlineStr">
        <is>
          <t>00-00000339</t>
        </is>
      </c>
      <c r="U965" s="63" t="inlineStr">
        <is>
          <t>3.082,00</t>
        </is>
      </c>
      <c r="V965" s="63" t="inlineStr">
        <is>
          <t>3.082,01</t>
        </is>
      </c>
    </row>
    <row r="966">
      <c r="A966" s="65" t="inlineStr">
        <is>
          <t>S00328</t>
        </is>
      </c>
      <c r="B966" s="62" t="n">
        <v>46155.70136574074</v>
      </c>
      <c r="C966" s="65" t="inlineStr">
        <is>
          <t>AGROPECUARIA LECHE Y MIEL, C.A</t>
        </is>
      </c>
      <c r="D966" s="65" t="inlineStr">
        <is>
          <t>Marco Romero</t>
        </is>
      </c>
      <c r="E966" s="65" t="n"/>
      <c r="F966" s="65" t="n">
        <v>3</v>
      </c>
      <c r="G966" s="65" t="inlineStr">
        <is>
          <t>Precio Full Marzo</t>
        </is>
      </c>
      <c r="H966" s="65" t="inlineStr">
        <is>
          <t>[0146] HIDRAGLOB AW/ISO 68 (Tambor)</t>
        </is>
      </c>
      <c r="I966" s="65" t="n">
        <v>146</v>
      </c>
      <c r="J966" s="63" t="inlineStr">
        <is>
          <t>2,00</t>
        </is>
      </c>
      <c r="K966" s="63" t="inlineStr">
        <is>
          <t>1.082,33</t>
        </is>
      </c>
      <c r="L966" s="63" t="inlineStr">
        <is>
          <t>0,00</t>
        </is>
      </c>
      <c r="M966" s="63" t="inlineStr">
        <is>
          <t>2.164,66</t>
        </is>
      </c>
      <c r="N966" s="63" t="inlineStr">
        <is>
          <t>2.511,01</t>
        </is>
      </c>
      <c r="O966" s="63" t="inlineStr">
        <is>
          <t>5.864,11</t>
        </is>
      </c>
      <c r="P966" s="63" t="inlineStr">
        <is>
          <t>6.802,37</t>
        </is>
      </c>
      <c r="Q966" s="63" t="inlineStr">
        <is>
          <t>510,79</t>
        </is>
      </c>
      <c r="R966" s="66" t="n">
        <v>46156</v>
      </c>
      <c r="S966" s="65" t="n">
        <v>53</v>
      </c>
      <c r="T966" s="65" t="inlineStr">
        <is>
          <t>00-00000340</t>
        </is>
      </c>
      <c r="U966" s="63" t="inlineStr">
        <is>
          <t>6.062,79</t>
        </is>
      </c>
      <c r="V966" s="63" t="inlineStr">
        <is>
          <t>6.062,82</t>
        </is>
      </c>
    </row>
    <row r="967">
      <c r="A967" s="65" t="n"/>
      <c r="B967" s="65" t="n"/>
      <c r="C967" s="65" t="n"/>
      <c r="D967" s="65" t="n"/>
      <c r="E967" s="65" t="n"/>
      <c r="F967" s="65" t="n"/>
      <c r="G967" s="65" t="n"/>
      <c r="H967" s="65" t="inlineStr">
        <is>
          <t>[0075] SUPREMO API CI-4 SAE 15W-40 (Tambor)</t>
        </is>
      </c>
      <c r="I967" s="65" t="n">
        <v>75</v>
      </c>
      <c r="J967" s="63" t="inlineStr">
        <is>
          <t>1,00</t>
        </is>
      </c>
      <c r="K967" s="63" t="inlineStr">
        <is>
          <t>1.247,84</t>
        </is>
      </c>
      <c r="L967" s="63" t="inlineStr">
        <is>
          <t>0,00</t>
        </is>
      </c>
      <c r="M967" s="63" t="inlineStr">
        <is>
          <t>1.247,84</t>
        </is>
      </c>
      <c r="N967" s="63" t="inlineStr">
        <is>
          <t>1.447,49</t>
        </is>
      </c>
      <c r="O967" s="65" t="n"/>
      <c r="P967" s="65" t="n"/>
      <c r="Q967" s="65" t="n"/>
      <c r="R967" s="65" t="n"/>
      <c r="S967" s="65" t="n"/>
      <c r="T967" s="65" t="n"/>
      <c r="U967" s="65" t="n"/>
      <c r="V967" s="65" t="n"/>
    </row>
    <row r="968">
      <c r="A968" s="65" t="n"/>
      <c r="B968" s="65" t="n"/>
      <c r="C968" s="65" t="n"/>
      <c r="D968" s="65" t="n"/>
      <c r="E968" s="65" t="n"/>
      <c r="F968" s="65" t="n"/>
      <c r="G968" s="65" t="n"/>
      <c r="H968" s="65" t="inlineStr">
        <is>
          <t>[0085] MAXIMO API CF SAE 50 (Tambor)</t>
        </is>
      </c>
      <c r="I968" s="65" t="n">
        <v>85</v>
      </c>
      <c r="J968" s="63" t="inlineStr">
        <is>
          <t>1,00</t>
        </is>
      </c>
      <c r="K968" s="63" t="inlineStr">
        <is>
          <t>1.115,95</t>
        </is>
      </c>
      <c r="L968" s="63" t="inlineStr">
        <is>
          <t>0,00</t>
        </is>
      </c>
      <c r="M968" s="63" t="inlineStr">
        <is>
          <t>1.115,95</t>
        </is>
      </c>
      <c r="N968" s="63" t="inlineStr">
        <is>
          <t>1.294,50</t>
        </is>
      </c>
      <c r="O968" s="65" t="n"/>
      <c r="P968" s="65" t="n"/>
      <c r="Q968" s="65" t="n"/>
      <c r="R968" s="65" t="n"/>
      <c r="S968" s="65" t="n"/>
      <c r="T968" s="65" t="n"/>
      <c r="U968" s="65" t="n"/>
      <c r="V968" s="65" t="n"/>
    </row>
    <row r="969">
      <c r="A969" s="65" t="n"/>
      <c r="B969" s="65" t="n"/>
      <c r="C969" s="65" t="n"/>
      <c r="D969" s="65" t="n"/>
      <c r="E969" s="65" t="n"/>
      <c r="F969" s="65" t="n"/>
      <c r="G969" s="65" t="n"/>
      <c r="H969" s="65" t="inlineStr">
        <is>
          <t>[0091] ENDUROGLOB 2T AIRE (Tambor)</t>
        </is>
      </c>
      <c r="I969" s="65" t="n">
        <v>91</v>
      </c>
      <c r="J969" s="63" t="inlineStr">
        <is>
          <t>1,00</t>
        </is>
      </c>
      <c r="K969" s="63" t="inlineStr">
        <is>
          <t>1.335,66</t>
        </is>
      </c>
      <c r="L969" s="63" t="inlineStr">
        <is>
          <t>0,00</t>
        </is>
      </c>
      <c r="M969" s="63" t="inlineStr">
        <is>
          <t>1.335,66</t>
        </is>
      </c>
      <c r="N969" s="63" t="inlineStr">
        <is>
          <t>1.549,37</t>
        </is>
      </c>
      <c r="O969" s="65" t="n"/>
      <c r="P969" s="65" t="n"/>
      <c r="Q969" s="65" t="n"/>
      <c r="R969" s="65" t="n"/>
      <c r="S969" s="65" t="n"/>
      <c r="T969" s="65" t="n"/>
      <c r="U969" s="65" t="n"/>
      <c r="V969" s="65" t="n"/>
    </row>
    <row r="970">
      <c r="A970" s="65" t="inlineStr">
        <is>
          <t>S00381</t>
        </is>
      </c>
      <c r="B970" s="62" t="n">
        <v>46155.69908564815</v>
      </c>
      <c r="C970" s="65" t="inlineStr">
        <is>
          <t>Moto Repuestos Sanz 11. C.A.</t>
        </is>
      </c>
      <c r="D970" s="65" t="inlineStr">
        <is>
          <t>MARTINEZ MONTES JEFFREY ENRIQUE</t>
        </is>
      </c>
      <c r="E970" s="65" t="inlineStr">
        <is>
          <t>7 días</t>
        </is>
      </c>
      <c r="F970" s="65" t="n">
        <v>5</v>
      </c>
      <c r="G970" s="65" t="inlineStr">
        <is>
          <t>Pago VES</t>
        </is>
      </c>
      <c r="H970" s="65" t="inlineStr">
        <is>
          <t>[0887] MOTOCLASICO 4T SAE 20W-50 (1x12)</t>
        </is>
      </c>
      <c r="I970" s="65" t="n">
        <v>887</v>
      </c>
      <c r="J970" s="63" t="inlineStr">
        <is>
          <t>1,00</t>
        </is>
      </c>
      <c r="K970" s="63" t="inlineStr">
        <is>
          <t>90,19</t>
        </is>
      </c>
      <c r="L970" s="63" t="inlineStr">
        <is>
          <t>1,93</t>
        </is>
      </c>
      <c r="M970" s="63" t="inlineStr">
        <is>
          <t>88,45</t>
        </is>
      </c>
      <c r="N970" s="63" t="inlineStr">
        <is>
          <t>102,60</t>
        </is>
      </c>
      <c r="O970" s="63" t="inlineStr">
        <is>
          <t>88,45</t>
        </is>
      </c>
      <c r="P970" s="63" t="inlineStr">
        <is>
          <t>102,60</t>
        </is>
      </c>
      <c r="Q970" s="63" t="inlineStr">
        <is>
          <t>721,35</t>
        </is>
      </c>
      <c r="R970" s="66" t="n">
        <v>46216</v>
      </c>
      <c r="S970" s="65" t="n">
        <v>362</v>
      </c>
      <c r="T970" s="65" t="inlineStr">
        <is>
          <t>00-00000905</t>
        </is>
      </c>
      <c r="U970" s="63" t="inlineStr">
        <is>
          <t>102,59</t>
        </is>
      </c>
      <c r="V970" s="63" t="inlineStr">
        <is>
          <t>102,60</t>
        </is>
      </c>
    </row>
    <row r="971">
      <c r="A971" s="65" t="inlineStr">
        <is>
          <t>S00382</t>
        </is>
      </c>
      <c r="B971" s="62" t="n">
        <v>46155.69858796296</v>
      </c>
      <c r="C971" s="65" t="inlineStr">
        <is>
          <t>Montura de Cauchos Biondo,c.a.</t>
        </is>
      </c>
      <c r="D971" s="65" t="inlineStr">
        <is>
          <t>VILLABONA CORREA ALBA ESTEFANIA</t>
        </is>
      </c>
      <c r="E971" s="65" t="inlineStr">
        <is>
          <t>7 días</t>
        </is>
      </c>
      <c r="F971" s="65" t="n">
        <v>5</v>
      </c>
      <c r="G971" s="65" t="inlineStr">
        <is>
          <t>Pago VES</t>
        </is>
      </c>
      <c r="H971" s="65" t="inlineStr">
        <is>
          <t>[0792] REFRIGERANTE GLOBAL ROJO (1X3)</t>
        </is>
      </c>
      <c r="I971" s="65" t="n">
        <v>792</v>
      </c>
      <c r="J971" s="63" t="inlineStr">
        <is>
          <t>3,00</t>
        </is>
      </c>
      <c r="K971" s="63" t="inlineStr">
        <is>
          <t>34,48</t>
        </is>
      </c>
      <c r="L971" s="63" t="inlineStr">
        <is>
          <t>14,52</t>
        </is>
      </c>
      <c r="M971" s="63" t="inlineStr">
        <is>
          <t>88,42</t>
        </is>
      </c>
      <c r="N971" s="63" t="inlineStr">
        <is>
          <t>102,57</t>
        </is>
      </c>
      <c r="O971" s="63" t="inlineStr">
        <is>
          <t>174,57</t>
        </is>
      </c>
      <c r="P971" s="63" t="inlineStr">
        <is>
          <t>202,50</t>
        </is>
      </c>
      <c r="Q971" s="63" t="inlineStr">
        <is>
          <t>721,35</t>
        </is>
      </c>
      <c r="R971" s="66" t="n">
        <v>46216</v>
      </c>
      <c r="S971" s="65" t="n">
        <v>363</v>
      </c>
      <c r="T971" s="65" t="inlineStr">
        <is>
          <t>00-00000906</t>
        </is>
      </c>
      <c r="U971" s="63" t="inlineStr">
        <is>
          <t>202,50</t>
        </is>
      </c>
      <c r="V971" s="63" t="inlineStr">
        <is>
          <t>202,51</t>
        </is>
      </c>
    </row>
    <row r="972">
      <c r="A972" s="65" t="n"/>
      <c r="B972" s="65" t="n"/>
      <c r="C972" s="65" t="n"/>
      <c r="D972" s="65" t="n"/>
      <c r="E972" s="65" t="n"/>
      <c r="F972" s="65" t="n"/>
      <c r="G972" s="65" t="n"/>
      <c r="H972" s="65" t="inlineStr">
        <is>
          <t>[0877] SS EXTRA PROTECCION API SN SAE 15W-40 (1X12)</t>
        </is>
      </c>
      <c r="I972" s="65" t="n">
        <v>877</v>
      </c>
      <c r="J972" s="63" t="inlineStr">
        <is>
          <t>1,00</t>
        </is>
      </c>
      <c r="K972" s="63" t="inlineStr">
        <is>
          <t>100,80</t>
        </is>
      </c>
      <c r="L972" s="63" t="inlineStr">
        <is>
          <t>14,53</t>
        </is>
      </c>
      <c r="M972" s="63" t="inlineStr">
        <is>
          <t>86,15</t>
        </is>
      </c>
      <c r="N972" s="63" t="inlineStr">
        <is>
          <t>99,93</t>
        </is>
      </c>
      <c r="O972" s="65" t="n"/>
      <c r="P972" s="65" t="n"/>
      <c r="Q972" s="65" t="n"/>
      <c r="R972" s="65" t="n"/>
      <c r="S972" s="65" t="n"/>
      <c r="T972" s="65" t="n"/>
      <c r="U972" s="65" t="n"/>
      <c r="V972" s="65" t="n"/>
    </row>
    <row r="973">
      <c r="A973" s="65" t="inlineStr">
        <is>
          <t>S00379</t>
        </is>
      </c>
      <c r="B973" s="62" t="n">
        <v>46155.67458333333</v>
      </c>
      <c r="C973" s="65" t="inlineStr">
        <is>
          <t>DISTRIBUIDORA PINOS 181297 C.A</t>
        </is>
      </c>
      <c r="D973" s="65" t="inlineStr">
        <is>
          <t>QUEVEDO BASTIDAS NEYKEL DAVID</t>
        </is>
      </c>
      <c r="E973" s="65" t="inlineStr">
        <is>
          <t>7 días</t>
        </is>
      </c>
      <c r="F973" s="65" t="n">
        <v>5</v>
      </c>
      <c r="G973" s="65" t="inlineStr">
        <is>
          <t>Pago VES</t>
        </is>
      </c>
      <c r="H973" s="65" t="inlineStr">
        <is>
          <t>[0127] TRANSGLOB API GL-5 SAE 85W-140 (1x6)</t>
        </is>
      </c>
      <c r="I973" s="65" t="n">
        <v>127</v>
      </c>
      <c r="J973" s="63" t="inlineStr">
        <is>
          <t>1,00</t>
        </is>
      </c>
      <c r="K973" s="63" t="inlineStr">
        <is>
          <t>52,09</t>
        </is>
      </c>
      <c r="L973" s="63" t="inlineStr">
        <is>
          <t>0,00</t>
        </is>
      </c>
      <c r="M973" s="63" t="inlineStr">
        <is>
          <t>52,09</t>
        </is>
      </c>
      <c r="N973" s="63" t="inlineStr">
        <is>
          <t>60,42</t>
        </is>
      </c>
      <c r="O973" s="63" t="inlineStr">
        <is>
          <t>147,42</t>
        </is>
      </c>
      <c r="P973" s="63" t="inlineStr">
        <is>
          <t>171,00</t>
        </is>
      </c>
      <c r="Q973" s="63" t="inlineStr">
        <is>
          <t>520,91</t>
        </is>
      </c>
      <c r="R973" s="66" t="n">
        <v>46185</v>
      </c>
      <c r="S973" s="65" t="n">
        <v>157</v>
      </c>
      <c r="T973" s="65" t="inlineStr">
        <is>
          <t>00-00000600</t>
        </is>
      </c>
      <c r="U973" s="63" t="inlineStr">
        <is>
          <t>170,98</t>
        </is>
      </c>
      <c r="V973" s="63" t="inlineStr">
        <is>
          <t>100,99</t>
        </is>
      </c>
    </row>
    <row r="974">
      <c r="A974" s="65" t="n"/>
      <c r="B974" s="65" t="n"/>
      <c r="C974" s="65" t="n"/>
      <c r="D974" s="65" t="n"/>
      <c r="E974" s="65" t="n"/>
      <c r="F974" s="65" t="n"/>
      <c r="G974" s="65" t="n"/>
      <c r="H974" s="65" t="inlineStr">
        <is>
          <t>[0605] SINOCO SAE 20W-50 (PAILA)</t>
        </is>
      </c>
      <c r="I974" s="65" t="n">
        <v>605</v>
      </c>
      <c r="J974" s="63" t="inlineStr">
        <is>
          <t>1,00</t>
        </is>
      </c>
      <c r="K974" s="63" t="inlineStr">
        <is>
          <t>95,33</t>
        </is>
      </c>
      <c r="L974" s="63" t="inlineStr">
        <is>
          <t>0,00</t>
        </is>
      </c>
      <c r="M974" s="63" t="inlineStr">
        <is>
          <t>95,33</t>
        </is>
      </c>
      <c r="N974" s="63" t="inlineStr">
        <is>
          <t>110,58</t>
        </is>
      </c>
      <c r="O974" s="65" t="n"/>
      <c r="P974" s="65" t="n"/>
      <c r="Q974" s="65" t="n"/>
      <c r="R974" s="65" t="n"/>
      <c r="S974" s="65" t="n"/>
      <c r="T974" s="65" t="n"/>
      <c r="U974" s="65" t="n"/>
      <c r="V974" s="65" t="n"/>
    </row>
    <row r="975">
      <c r="A975" s="65" t="inlineStr">
        <is>
          <t>S00378</t>
        </is>
      </c>
      <c r="B975" s="62" t="n">
        <v>46155.66909722222</v>
      </c>
      <c r="C975" s="65" t="inlineStr">
        <is>
          <t>Multiservicios y Distribuidora Todo Carro Bedyf, C.A</t>
        </is>
      </c>
      <c r="D975" s="65" t="inlineStr">
        <is>
          <t>QUEVEDO BASTIDAS NEYKEL DAVID</t>
        </is>
      </c>
      <c r="E975" s="65" t="inlineStr">
        <is>
          <t>15 días</t>
        </is>
      </c>
      <c r="F975" s="65" t="n">
        <v>5</v>
      </c>
      <c r="G975" s="65" t="inlineStr">
        <is>
          <t>Pago VES</t>
        </is>
      </c>
      <c r="H975" s="65" t="inlineStr">
        <is>
          <t>[0779] SINOCO SAE 20W-50 (1x12)</t>
        </is>
      </c>
      <c r="I975" s="65" t="n">
        <v>779</v>
      </c>
      <c r="J975" s="63" t="inlineStr">
        <is>
          <t>4,00</t>
        </is>
      </c>
      <c r="K975" s="63" t="inlineStr">
        <is>
          <t>70,29</t>
        </is>
      </c>
      <c r="L975" s="63" t="inlineStr">
        <is>
          <t>2,12</t>
        </is>
      </c>
      <c r="M975" s="63" t="inlineStr">
        <is>
          <t>275,20</t>
        </is>
      </c>
      <c r="N975" s="63" t="inlineStr">
        <is>
          <t>319,23</t>
        </is>
      </c>
      <c r="O975" s="63" t="inlineStr">
        <is>
          <t>410,83</t>
        </is>
      </c>
      <c r="P975" s="63" t="inlineStr">
        <is>
          <t>476,56</t>
        </is>
      </c>
      <c r="Q975" s="63" t="inlineStr">
        <is>
          <t>721,35</t>
        </is>
      </c>
      <c r="R975" s="66" t="n">
        <v>46216</v>
      </c>
      <c r="S975" s="65" t="n">
        <v>364</v>
      </c>
      <c r="T975" s="65" t="inlineStr">
        <is>
          <t>00-00000907</t>
        </is>
      </c>
      <c r="U975" s="63" t="inlineStr">
        <is>
          <t>476,55</t>
        </is>
      </c>
      <c r="V975" s="63" t="inlineStr">
        <is>
          <t>476,56</t>
        </is>
      </c>
    </row>
    <row r="976">
      <c r="A976" s="65" t="n"/>
      <c r="B976" s="65" t="n"/>
      <c r="C976" s="65" t="n"/>
      <c r="D976" s="65" t="n"/>
      <c r="E976" s="65" t="n"/>
      <c r="F976" s="65" t="n"/>
      <c r="G976" s="65" t="n"/>
      <c r="H976" s="65" t="inlineStr">
        <is>
          <t>[0915] SINOCO SAE 50 (1x12)</t>
        </is>
      </c>
      <c r="I976" s="65" t="n">
        <v>915</v>
      </c>
      <c r="J976" s="63" t="inlineStr">
        <is>
          <t>2,00</t>
        </is>
      </c>
      <c r="K976" s="63" t="inlineStr">
        <is>
          <t>70,29</t>
        </is>
      </c>
      <c r="L976" s="63" t="inlineStr">
        <is>
          <t>3,52</t>
        </is>
      </c>
      <c r="M976" s="63" t="inlineStr">
        <is>
          <t>135,63</t>
        </is>
      </c>
      <c r="N976" s="63" t="inlineStr">
        <is>
          <t>157,33</t>
        </is>
      </c>
      <c r="O976" s="65" t="n"/>
      <c r="P976" s="65" t="n"/>
      <c r="Q976" s="65" t="n"/>
      <c r="R976" s="65" t="n"/>
      <c r="S976" s="65" t="n"/>
      <c r="T976" s="65" t="n"/>
      <c r="U976" s="65" t="n"/>
      <c r="V976" s="65" t="n"/>
    </row>
    <row r="977">
      <c r="A977" s="65" t="inlineStr">
        <is>
          <t>S00376</t>
        </is>
      </c>
      <c r="B977" s="62" t="n">
        <v>46155.63096064814</v>
      </c>
      <c r="C977" s="65" t="inlineStr">
        <is>
          <t>CLUDE CARVALHO DE ACOSTA</t>
        </is>
      </c>
      <c r="D977" s="65" t="inlineStr">
        <is>
          <t>TORO ARDILES DAVID JOSE</t>
        </is>
      </c>
      <c r="E977" s="65" t="inlineStr">
        <is>
          <t>7 días</t>
        </is>
      </c>
      <c r="F977" s="65" t="n">
        <v>5</v>
      </c>
      <c r="G977" s="65" t="inlineStr">
        <is>
          <t>Pago VES</t>
        </is>
      </c>
      <c r="H977" s="65" t="inlineStr">
        <is>
          <t>[0887] MOTOCLASICO 4T SAE 20W-50 (1x12)</t>
        </is>
      </c>
      <c r="I977" s="65" t="n">
        <v>887</v>
      </c>
      <c r="J977" s="63" t="inlineStr">
        <is>
          <t>1,00</t>
        </is>
      </c>
      <c r="K977" s="63" t="inlineStr">
        <is>
          <t>88,45</t>
        </is>
      </c>
      <c r="L977" s="63" t="inlineStr">
        <is>
          <t>0,00</t>
        </is>
      </c>
      <c r="M977" s="63" t="inlineStr">
        <is>
          <t>88,45</t>
        </is>
      </c>
      <c r="N977" s="63" t="inlineStr">
        <is>
          <t>102,60</t>
        </is>
      </c>
      <c r="O977" s="63" t="inlineStr">
        <is>
          <t>88,45</t>
        </is>
      </c>
      <c r="P977" s="63" t="inlineStr">
        <is>
          <t>102,60</t>
        </is>
      </c>
      <c r="Q977" s="63" t="inlineStr">
        <is>
          <t>520,91</t>
        </is>
      </c>
      <c r="R977" s="66" t="n">
        <v>46185</v>
      </c>
      <c r="S977" s="65" t="n">
        <v>166</v>
      </c>
      <c r="T977" s="65" t="inlineStr">
        <is>
          <t>00-00000609</t>
        </is>
      </c>
      <c r="U977" s="63" t="inlineStr">
        <is>
          <t>67,99</t>
        </is>
      </c>
      <c r="V977" s="63" t="inlineStr">
        <is>
          <t>0,00</t>
        </is>
      </c>
    </row>
    <row r="978">
      <c r="A978" s="65" t="inlineStr">
        <is>
          <t>S00373</t>
        </is>
      </c>
      <c r="B978" s="62" t="n">
        <v>46155.62922453704</v>
      </c>
      <c r="C978" s="65" t="inlineStr">
        <is>
          <t>INVERSIONES DA &amp; JE,</t>
        </is>
      </c>
      <c r="D978" s="65" t="inlineStr">
        <is>
          <t>VILLABONA CORREA ALBA ESTEFANIA</t>
        </is>
      </c>
      <c r="E978" s="65" t="inlineStr">
        <is>
          <t>7 días</t>
        </is>
      </c>
      <c r="F978" s="65" t="n">
        <v>5</v>
      </c>
      <c r="G978" s="65" t="inlineStr">
        <is>
          <t>Pago VES</t>
        </is>
      </c>
      <c r="H978" s="65" t="inlineStr">
        <is>
          <t>[0779] SINOCO SAE 20W-50 (1x12)</t>
        </is>
      </c>
      <c r="I978" s="65" t="n">
        <v>779</v>
      </c>
      <c r="J978" s="63" t="inlineStr">
        <is>
          <t>1,00</t>
        </is>
      </c>
      <c r="K978" s="63" t="inlineStr">
        <is>
          <t>70,29</t>
        </is>
      </c>
      <c r="L978" s="63" t="inlineStr">
        <is>
          <t>2,12</t>
        </is>
      </c>
      <c r="M978" s="63" t="inlineStr">
        <is>
          <t>68,80</t>
        </is>
      </c>
      <c r="N978" s="63" t="inlineStr">
        <is>
          <t>79,81</t>
        </is>
      </c>
      <c r="O978" s="63" t="inlineStr">
        <is>
          <t>406,88</t>
        </is>
      </c>
      <c r="P978" s="63" t="inlineStr">
        <is>
          <t>471,99</t>
        </is>
      </c>
      <c r="Q978" s="63" t="inlineStr">
        <is>
          <t>721,35</t>
        </is>
      </c>
      <c r="R978" s="66" t="n">
        <v>46216</v>
      </c>
      <c r="S978" s="65" t="n">
        <v>365</v>
      </c>
      <c r="T978" s="65" t="inlineStr">
        <is>
          <t>00-00000908</t>
        </is>
      </c>
      <c r="U978" s="63" t="inlineStr">
        <is>
          <t>471,95</t>
        </is>
      </c>
      <c r="V978" s="63" t="inlineStr">
        <is>
          <t>471,99</t>
        </is>
      </c>
    </row>
    <row r="979">
      <c r="A979" s="65" t="n"/>
      <c r="B979" s="65" t="n"/>
      <c r="C979" s="65" t="n"/>
      <c r="D979" s="65" t="n"/>
      <c r="E979" s="65" t="n"/>
      <c r="F979" s="65" t="n"/>
      <c r="G979" s="65" t="n"/>
      <c r="H979" s="65" t="n"/>
      <c r="I979" s="65" t="n"/>
      <c r="J979" s="63" t="inlineStr">
        <is>
          <t>0,00</t>
        </is>
      </c>
      <c r="K979" s="63" t="inlineStr">
        <is>
          <t>0,00</t>
        </is>
      </c>
      <c r="L979" s="63" t="inlineStr">
        <is>
          <t>0,00</t>
        </is>
      </c>
      <c r="M979" s="63" t="inlineStr">
        <is>
          <t>0,00</t>
        </is>
      </c>
      <c r="N979" s="63" t="inlineStr">
        <is>
          <t>0,00</t>
        </is>
      </c>
      <c r="O979" s="65" t="n"/>
      <c r="P979" s="65" t="n"/>
      <c r="Q979" s="65" t="n"/>
      <c r="R979" s="65" t="n"/>
      <c r="S979" s="65" t="n"/>
      <c r="T979" s="65" t="n"/>
      <c r="U979" s="65" t="n"/>
      <c r="V979" s="65" t="n"/>
    </row>
    <row r="980">
      <c r="A980" s="65" t="n"/>
      <c r="B980" s="65" t="n"/>
      <c r="C980" s="65" t="n"/>
      <c r="D980" s="65" t="n"/>
      <c r="E980" s="65" t="n"/>
      <c r="F980" s="65" t="n"/>
      <c r="G980" s="65" t="n"/>
      <c r="H980" s="65" t="inlineStr">
        <is>
          <t>[0884] TRANSMATIC ATF DEXRON III (1x12)</t>
        </is>
      </c>
      <c r="I980" s="65" t="n">
        <v>884</v>
      </c>
      <c r="J980" s="63" t="inlineStr">
        <is>
          <t>1,00</t>
        </is>
      </c>
      <c r="K980" s="63" t="inlineStr">
        <is>
          <t>95,49</t>
        </is>
      </c>
      <c r="L980" s="63" t="inlineStr">
        <is>
          <t>1,19</t>
        </is>
      </c>
      <c r="M980" s="63" t="inlineStr">
        <is>
          <t>94,35</t>
        </is>
      </c>
      <c r="N980" s="63" t="inlineStr">
        <is>
          <t>109,45</t>
        </is>
      </c>
      <c r="O980" s="65" t="n"/>
      <c r="P980" s="65" t="n"/>
      <c r="Q980" s="65" t="n"/>
      <c r="R980" s="65" t="n"/>
      <c r="S980" s="65" t="n"/>
      <c r="T980" s="65" t="n"/>
      <c r="U980" s="65" t="n"/>
      <c r="V980" s="65" t="n"/>
    </row>
    <row r="981">
      <c r="A981" s="65" t="n"/>
      <c r="B981" s="65" t="n"/>
      <c r="C981" s="65" t="n"/>
      <c r="D981" s="65" t="n"/>
      <c r="E981" s="65" t="n"/>
      <c r="F981" s="65" t="n"/>
      <c r="G981" s="65" t="n"/>
      <c r="H981" s="65" t="inlineStr">
        <is>
          <t>[0121] TRANSGLOB API GL-5 SAE 80W-90 (1x6)</t>
        </is>
      </c>
      <c r="I981" s="65" t="n">
        <v>121</v>
      </c>
      <c r="J981" s="63" t="inlineStr">
        <is>
          <t>1,00</t>
        </is>
      </c>
      <c r="K981" s="63" t="inlineStr">
        <is>
          <t>51,72</t>
        </is>
      </c>
      <c r="L981" s="63" t="inlineStr">
        <is>
          <t>1,19</t>
        </is>
      </c>
      <c r="M981" s="63" t="inlineStr">
        <is>
          <t>51,10</t>
        </is>
      </c>
      <c r="N981" s="63" t="inlineStr">
        <is>
          <t>59,28</t>
        </is>
      </c>
      <c r="O981" s="65" t="n"/>
      <c r="P981" s="65" t="n"/>
      <c r="Q981" s="65" t="n"/>
      <c r="R981" s="65" t="n"/>
      <c r="S981" s="65" t="n"/>
      <c r="T981" s="65" t="n"/>
      <c r="U981" s="65" t="n"/>
      <c r="V981" s="65" t="n"/>
    </row>
    <row r="982">
      <c r="A982" s="65" t="n"/>
      <c r="B982" s="65" t="n"/>
      <c r="C982" s="65" t="n"/>
      <c r="D982" s="65" t="n"/>
      <c r="E982" s="65" t="n"/>
      <c r="F982" s="65" t="n"/>
      <c r="G982" s="65" t="n"/>
      <c r="H982" s="65" t="inlineStr">
        <is>
          <t>[0127] TRANSGLOB API GL-5 SAE 85W-140 (1x6)</t>
        </is>
      </c>
      <c r="I982" s="65" t="n">
        <v>127</v>
      </c>
      <c r="J982" s="63" t="inlineStr">
        <is>
          <t>1,00</t>
        </is>
      </c>
      <c r="K982" s="63" t="inlineStr">
        <is>
          <t>53,05</t>
        </is>
      </c>
      <c r="L982" s="63" t="inlineStr">
        <is>
          <t>1,81</t>
        </is>
      </c>
      <c r="M982" s="63" t="inlineStr">
        <is>
          <t>52,09</t>
        </is>
      </c>
      <c r="N982" s="63" t="inlineStr">
        <is>
          <t>60,42</t>
        </is>
      </c>
      <c r="O982" s="65" t="n"/>
      <c r="P982" s="65" t="n"/>
      <c r="Q982" s="65" t="n"/>
      <c r="R982" s="65" t="n"/>
      <c r="S982" s="65" t="n"/>
      <c r="T982" s="65" t="n"/>
      <c r="U982" s="65" t="n"/>
      <c r="V982" s="65" t="n"/>
    </row>
    <row r="983">
      <c r="A983" s="65" t="n"/>
      <c r="B983" s="65" t="n"/>
      <c r="C983" s="65" t="n"/>
      <c r="D983" s="65" t="n"/>
      <c r="E983" s="65" t="n"/>
      <c r="F983" s="65" t="n"/>
      <c r="G983" s="65" t="n"/>
      <c r="H983" s="65" t="inlineStr">
        <is>
          <t>[0762] LIGA PARA FRENOS DOT-3 (1x6)</t>
        </is>
      </c>
      <c r="I983" s="65" t="n">
        <v>762</v>
      </c>
      <c r="J983" s="63" t="inlineStr">
        <is>
          <t>1,00</t>
        </is>
      </c>
      <c r="K983" s="63" t="inlineStr">
        <is>
          <t>57,03</t>
        </is>
      </c>
      <c r="L983" s="63" t="inlineStr">
        <is>
          <t>3,49</t>
        </is>
      </c>
      <c r="M983" s="63" t="inlineStr">
        <is>
          <t>55,04</t>
        </is>
      </c>
      <c r="N983" s="63" t="inlineStr">
        <is>
          <t>63,85</t>
        </is>
      </c>
      <c r="O983" s="65" t="n"/>
      <c r="P983" s="65" t="n"/>
      <c r="Q983" s="65" t="n"/>
      <c r="R983" s="65" t="n"/>
      <c r="S983" s="65" t="n"/>
      <c r="T983" s="65" t="n"/>
      <c r="U983" s="65" t="n"/>
      <c r="V983" s="65" t="n"/>
    </row>
    <row r="984">
      <c r="A984" s="65" t="n"/>
      <c r="B984" s="65" t="n"/>
      <c r="C984" s="65" t="n"/>
      <c r="D984" s="65" t="n"/>
      <c r="E984" s="65" t="n"/>
      <c r="F984" s="65" t="n"/>
      <c r="G984" s="65" t="n"/>
      <c r="H984" s="65" t="inlineStr">
        <is>
          <t>[0881] CLASICO API SL SAE 20W-50 (1x12)</t>
        </is>
      </c>
      <c r="I984" s="65" t="n">
        <v>881</v>
      </c>
      <c r="J984" s="63" t="inlineStr">
        <is>
          <t>1,00</t>
        </is>
      </c>
      <c r="K984" s="63" t="inlineStr">
        <is>
          <t>86,21</t>
        </is>
      </c>
      <c r="L984" s="63" t="inlineStr">
        <is>
          <t>0,82</t>
        </is>
      </c>
      <c r="M984" s="63" t="inlineStr">
        <is>
          <t>85,50</t>
        </is>
      </c>
      <c r="N984" s="63" t="inlineStr">
        <is>
          <t>99,18</t>
        </is>
      </c>
      <c r="O984" s="65" t="n"/>
      <c r="P984" s="65" t="n"/>
      <c r="Q984" s="65" t="n"/>
      <c r="R984" s="65" t="n"/>
      <c r="S984" s="65" t="n"/>
      <c r="T984" s="65" t="n"/>
      <c r="U984" s="65" t="n"/>
      <c r="V984" s="65" t="n"/>
    </row>
    <row r="985">
      <c r="A985" s="65" t="inlineStr">
        <is>
          <t>S00375</t>
        </is>
      </c>
      <c r="B985" s="62" t="n">
        <v>46155.6290162037</v>
      </c>
      <c r="C985" s="65" t="inlineStr">
        <is>
          <t>Deyanira Carpio De Sequera</t>
        </is>
      </c>
      <c r="D985" s="65" t="inlineStr">
        <is>
          <t>GRIMAN DIAZ HECTOR EDUARDO</t>
        </is>
      </c>
      <c r="E985" s="65" t="inlineStr">
        <is>
          <t>7 días</t>
        </is>
      </c>
      <c r="F985" s="65" t="n">
        <v>5</v>
      </c>
      <c r="G985" s="65" t="inlineStr">
        <is>
          <t>Pago VES</t>
        </is>
      </c>
      <c r="H985" s="65" t="inlineStr">
        <is>
          <t>[0602] SINOCO SAE 50 (PAILA)</t>
        </is>
      </c>
      <c r="I985" s="65" t="n">
        <v>602</v>
      </c>
      <c r="J985" s="63" t="inlineStr">
        <is>
          <t>1,00</t>
        </is>
      </c>
      <c r="K985" s="63" t="inlineStr">
        <is>
          <t>96,82</t>
        </is>
      </c>
      <c r="L985" s="63" t="inlineStr">
        <is>
          <t>5,60</t>
        </is>
      </c>
      <c r="M985" s="63" t="inlineStr">
        <is>
          <t>91,40</t>
        </is>
      </c>
      <c r="N985" s="63" t="inlineStr">
        <is>
          <t>106,02</t>
        </is>
      </c>
      <c r="O985" s="63" t="inlineStr">
        <is>
          <t>215,24</t>
        </is>
      </c>
      <c r="P985" s="63" t="inlineStr">
        <is>
          <t>249,67</t>
        </is>
      </c>
      <c r="Q985" s="63" t="inlineStr">
        <is>
          <t>721,35</t>
        </is>
      </c>
      <c r="R985" s="66" t="n">
        <v>46216</v>
      </c>
      <c r="S985" s="65" t="n">
        <v>366</v>
      </c>
      <c r="T985" s="65" t="inlineStr">
        <is>
          <t>00-00000909</t>
        </is>
      </c>
      <c r="U985" s="63" t="inlineStr">
        <is>
          <t>249,65</t>
        </is>
      </c>
      <c r="V985" s="63" t="inlineStr">
        <is>
          <t>249,67</t>
        </is>
      </c>
    </row>
    <row r="986">
      <c r="A986" s="65" t="n"/>
      <c r="B986" s="65" t="n"/>
      <c r="C986" s="65" t="n"/>
      <c r="D986" s="65" t="n"/>
      <c r="E986" s="65" t="n"/>
      <c r="F986" s="65" t="n"/>
      <c r="G986" s="65" t="n"/>
      <c r="H986" s="65" t="inlineStr">
        <is>
          <t>[0107] TRANSMATIC ATF DEXRON III (PAILA)</t>
        </is>
      </c>
      <c r="I986" s="65" t="n">
        <v>107</v>
      </c>
      <c r="J986" s="63" t="inlineStr">
        <is>
          <t>1,00</t>
        </is>
      </c>
      <c r="K986" s="63" t="inlineStr">
        <is>
          <t>125,99</t>
        </is>
      </c>
      <c r="L986" s="63" t="inlineStr">
        <is>
          <t>1,71</t>
        </is>
      </c>
      <c r="M986" s="63" t="inlineStr">
        <is>
          <t>123,84</t>
        </is>
      </c>
      <c r="N986" s="63" t="inlineStr">
        <is>
          <t>143,65</t>
        </is>
      </c>
      <c r="O986" s="65" t="n"/>
      <c r="P986" s="65" t="n"/>
      <c r="Q986" s="65" t="n"/>
      <c r="R986" s="65" t="n"/>
      <c r="S986" s="65" t="n"/>
      <c r="T986" s="65" t="n"/>
      <c r="U986" s="65" t="n"/>
      <c r="V986" s="65" t="n"/>
    </row>
    <row r="987">
      <c r="A987" s="65" t="inlineStr">
        <is>
          <t>S00372</t>
        </is>
      </c>
      <c r="B987" s="62" t="n">
        <v>46155.59260416667</v>
      </c>
      <c r="C987" s="65" t="inlineStr">
        <is>
          <t>En ascenso 2011,c.a.</t>
        </is>
      </c>
      <c r="D987" s="65" t="inlineStr">
        <is>
          <t>CASERES GONZALEZ RONALD OSWALDO</t>
        </is>
      </c>
      <c r="E987" s="65" t="inlineStr">
        <is>
          <t>7 días</t>
        </is>
      </c>
      <c r="F987" s="65" t="n">
        <v>5</v>
      </c>
      <c r="G987" s="65" t="inlineStr">
        <is>
          <t>Pago VES</t>
        </is>
      </c>
      <c r="H987" s="65" t="inlineStr">
        <is>
          <t>[0602] SINOCO SAE 50 (PAILA)</t>
        </is>
      </c>
      <c r="I987" s="65" t="n">
        <v>602</v>
      </c>
      <c r="J987" s="63" t="inlineStr">
        <is>
          <t>5,00</t>
        </is>
      </c>
      <c r="K987" s="63" t="inlineStr">
        <is>
          <t>91,40</t>
        </is>
      </c>
      <c r="L987" s="63" t="inlineStr">
        <is>
          <t>0,00</t>
        </is>
      </c>
      <c r="M987" s="63" t="inlineStr">
        <is>
          <t>457,01</t>
        </is>
      </c>
      <c r="N987" s="63" t="inlineStr">
        <is>
          <t>530,13</t>
        </is>
      </c>
      <c r="O987" s="63" t="inlineStr">
        <is>
          <t>555,29</t>
        </is>
      </c>
      <c r="P987" s="63" t="inlineStr">
        <is>
          <t>644,13</t>
        </is>
      </c>
      <c r="Q987" s="63" t="inlineStr">
        <is>
          <t>508,60</t>
        </is>
      </c>
      <c r="R987" s="66" t="n">
        <v>46155</v>
      </c>
      <c r="S987" s="65" t="n">
        <v>49</v>
      </c>
      <c r="T987" s="65" t="inlineStr">
        <is>
          <t>00-00000325</t>
        </is>
      </c>
      <c r="U987" s="63" t="inlineStr">
        <is>
          <t>644,12</t>
        </is>
      </c>
      <c r="V987" s="63" t="inlineStr">
        <is>
          <t>0,01</t>
        </is>
      </c>
    </row>
    <row r="988">
      <c r="A988" s="65" t="n"/>
      <c r="B988" s="65" t="n"/>
      <c r="C988" s="65" t="n"/>
      <c r="D988" s="65" t="n"/>
      <c r="E988" s="65" t="n"/>
      <c r="F988" s="65" t="n"/>
      <c r="G988" s="65" t="n"/>
      <c r="H988" s="65" t="inlineStr">
        <is>
          <t>[0877] SS EXTRA PROTECCION API SN SAE 15W-40 (1X12)</t>
        </is>
      </c>
      <c r="I988" s="65" t="n">
        <v>877</v>
      </c>
      <c r="J988" s="63" t="inlineStr">
        <is>
          <t>1,00</t>
        </is>
      </c>
      <c r="K988" s="63" t="inlineStr">
        <is>
          <t>98,28</t>
        </is>
      </c>
      <c r="L988" s="63" t="inlineStr">
        <is>
          <t>0,00</t>
        </is>
      </c>
      <c r="M988" s="63" t="inlineStr">
        <is>
          <t>98,28</t>
        </is>
      </c>
      <c r="N988" s="63" t="inlineStr">
        <is>
          <t>114,00</t>
        </is>
      </c>
      <c r="O988" s="65" t="n"/>
      <c r="P988" s="65" t="n"/>
      <c r="Q988" s="65" t="n"/>
      <c r="R988" s="65" t="n"/>
      <c r="S988" s="65" t="n"/>
      <c r="T988" s="65" t="n"/>
      <c r="U988" s="65" t="n"/>
      <c r="V988" s="65" t="n"/>
    </row>
    <row r="989">
      <c r="A989" s="65" t="inlineStr">
        <is>
          <t>S00369</t>
        </is>
      </c>
      <c r="B989" s="62" t="n">
        <v>46154.7471412037</v>
      </c>
      <c r="C989" s="65" t="inlineStr">
        <is>
          <t>ELENA MEJIAS</t>
        </is>
      </c>
      <c r="D989" s="65" t="inlineStr">
        <is>
          <t>REVERON DE CONTRERAS MELANI AUSMAR</t>
        </is>
      </c>
      <c r="E989" s="65" t="inlineStr">
        <is>
          <t>7 días</t>
        </is>
      </c>
      <c r="F989" s="65" t="n">
        <v>4</v>
      </c>
      <c r="G989" s="65" t="inlineStr">
        <is>
          <t>Precio Full Abril</t>
        </is>
      </c>
      <c r="H989" s="65" t="inlineStr">
        <is>
          <t>[0877] SS EXTRA PROTECCION API SN SAE 15W-40 (1X12)</t>
        </is>
      </c>
      <c r="I989" s="65" t="n">
        <v>877</v>
      </c>
      <c r="J989" s="63" t="inlineStr">
        <is>
          <t>1,00</t>
        </is>
      </c>
      <c r="K989" s="63" t="inlineStr">
        <is>
          <t>65,52</t>
        </is>
      </c>
      <c r="L989" s="63" t="inlineStr">
        <is>
          <t>0,00</t>
        </is>
      </c>
      <c r="M989" s="63" t="inlineStr">
        <is>
          <t>65,52</t>
        </is>
      </c>
      <c r="N989" s="63" t="inlineStr">
        <is>
          <t>76,00</t>
        </is>
      </c>
      <c r="O989" s="63" t="inlineStr">
        <is>
          <t>65,52</t>
        </is>
      </c>
      <c r="P989" s="63" t="inlineStr">
        <is>
          <t>76,00</t>
        </is>
      </c>
      <c r="Q989" s="63" t="inlineStr">
        <is>
          <t>520,91</t>
        </is>
      </c>
      <c r="R989" s="66" t="n">
        <v>46182</v>
      </c>
      <c r="S989" s="65" t="n">
        <v>128</v>
      </c>
      <c r="T989" s="65" t="inlineStr">
        <is>
          <t>00-00000541</t>
        </is>
      </c>
      <c r="U989" s="63" t="inlineStr">
        <is>
          <t>75,99</t>
        </is>
      </c>
      <c r="V989" s="63" t="inlineStr">
        <is>
          <t>0,00</t>
        </is>
      </c>
    </row>
    <row r="990">
      <c r="A990" s="65" t="inlineStr">
        <is>
          <t>S00368</t>
        </is>
      </c>
      <c r="B990" s="62" t="n">
        <v>46154.72976851852</v>
      </c>
      <c r="C990" s="65" t="inlineStr">
        <is>
          <t>Mini Market Las Mercedes,c.a.</t>
        </is>
      </c>
      <c r="D990" s="65" t="inlineStr">
        <is>
          <t>QUEVEDO BASTIDAS NEYKEL DAVID</t>
        </is>
      </c>
      <c r="E990" s="65" t="inlineStr">
        <is>
          <t>30 días</t>
        </is>
      </c>
      <c r="F990" s="65" t="n">
        <v>5</v>
      </c>
      <c r="G990" s="65" t="inlineStr">
        <is>
          <t>Pago VES</t>
        </is>
      </c>
      <c r="H990" s="65" t="inlineStr">
        <is>
          <t>[0561] MEJORADOR DE OCTANAJE GLOBAL OIL PACK (1X12)</t>
        </is>
      </c>
      <c r="I990" s="65" t="n">
        <v>561</v>
      </c>
      <c r="J990" s="63" t="inlineStr">
        <is>
          <t>4,00</t>
        </is>
      </c>
      <c r="K990" s="63" t="inlineStr">
        <is>
          <t>51,72</t>
        </is>
      </c>
      <c r="L990" s="63" t="inlineStr">
        <is>
          <t>1,51</t>
        </is>
      </c>
      <c r="M990" s="63" t="inlineStr">
        <is>
          <t>203,76</t>
        </is>
      </c>
      <c r="N990" s="63" t="inlineStr">
        <is>
          <t>236,36</t>
        </is>
      </c>
      <c r="O990" s="63" t="inlineStr">
        <is>
          <t>1.834,91</t>
        </is>
      </c>
      <c r="P990" s="63" t="inlineStr">
        <is>
          <t>2.128,48</t>
        </is>
      </c>
      <c r="Q990" s="65" t="n"/>
      <c r="R990" s="65" t="n"/>
      <c r="S990" s="65" t="n"/>
      <c r="T990" s="65" t="n"/>
      <c r="U990" s="65" t="n"/>
      <c r="V990" s="65" t="n"/>
    </row>
    <row r="991">
      <c r="A991" s="65" t="n"/>
      <c r="B991" s="65" t="n"/>
      <c r="C991" s="65" t="n"/>
      <c r="D991" s="65" t="n"/>
      <c r="E991" s="65" t="n"/>
      <c r="F991" s="65" t="n"/>
      <c r="G991" s="65" t="n"/>
      <c r="H991" s="65" t="inlineStr">
        <is>
          <t>[0884] TRANSMATIC ATF DEXRON III (1x12)</t>
        </is>
      </c>
      <c r="I991" s="65" t="n">
        <v>884</v>
      </c>
      <c r="J991" s="63" t="inlineStr">
        <is>
          <t>3,00</t>
        </is>
      </c>
      <c r="K991" s="63" t="inlineStr">
        <is>
          <t>95,49</t>
        </is>
      </c>
      <c r="L991" s="63" t="inlineStr">
        <is>
          <t>-0,41</t>
        </is>
      </c>
      <c r="M991" s="63" t="inlineStr">
        <is>
          <t>287,64</t>
        </is>
      </c>
      <c r="N991" s="63" t="inlineStr">
        <is>
          <t>333,66</t>
        </is>
      </c>
      <c r="O991" s="65" t="n"/>
      <c r="P991" s="65" t="n"/>
      <c r="Q991" s="65" t="n"/>
      <c r="R991" s="65" t="n"/>
      <c r="S991" s="65" t="n"/>
      <c r="T991" s="65" t="n"/>
      <c r="U991" s="65" t="n"/>
      <c r="V991" s="65" t="n"/>
    </row>
    <row r="992">
      <c r="A992" s="65" t="n"/>
      <c r="B992" s="65" t="n"/>
      <c r="C992" s="65" t="n"/>
      <c r="D992" s="65" t="n"/>
      <c r="E992" s="65" t="n"/>
      <c r="F992" s="65" t="n"/>
      <c r="G992" s="65" t="n"/>
      <c r="H992" s="65" t="inlineStr">
        <is>
          <t>[0877] SS EXTRA PROTECCION API SN SAE 15W-40 (1X12)</t>
        </is>
      </c>
      <c r="I992" s="65" t="n">
        <v>877</v>
      </c>
      <c r="J992" s="63" t="inlineStr">
        <is>
          <t>2,00</t>
        </is>
      </c>
      <c r="K992" s="63" t="inlineStr">
        <is>
          <t>100,80</t>
        </is>
      </c>
      <c r="L992" s="63" t="inlineStr">
        <is>
          <t>0,91</t>
        </is>
      </c>
      <c r="M992" s="63" t="inlineStr">
        <is>
          <t>199,77</t>
        </is>
      </c>
      <c r="N992" s="63" t="inlineStr">
        <is>
          <t>231,73</t>
        </is>
      </c>
      <c r="O992" s="65" t="n"/>
      <c r="P992" s="65" t="n"/>
      <c r="Q992" s="65" t="n"/>
      <c r="R992" s="65" t="n"/>
      <c r="S992" s="65" t="n"/>
      <c r="T992" s="65" t="n"/>
      <c r="U992" s="65" t="n"/>
      <c r="V992" s="65" t="n"/>
    </row>
    <row r="993">
      <c r="A993" s="65" t="n"/>
      <c r="B993" s="65" t="n"/>
      <c r="C993" s="65" t="n"/>
      <c r="D993" s="65" t="n"/>
      <c r="E993" s="65" t="n"/>
      <c r="F993" s="65" t="n"/>
      <c r="G993" s="65" t="n"/>
      <c r="H993" s="65" t="inlineStr">
        <is>
          <t>[0878] SS EXTRA PROTECCION API SN SAE 20W-50 (1x12)</t>
        </is>
      </c>
      <c r="I993" s="65" t="n">
        <v>878</v>
      </c>
      <c r="J993" s="63" t="inlineStr">
        <is>
          <t>2,00</t>
        </is>
      </c>
      <c r="K993" s="63" t="inlineStr">
        <is>
          <t>100,80</t>
        </is>
      </c>
      <c r="L993" s="63" t="inlineStr">
        <is>
          <t>0,91</t>
        </is>
      </c>
      <c r="M993" s="63" t="inlineStr">
        <is>
          <t>199,77</t>
        </is>
      </c>
      <c r="N993" s="63" t="inlineStr">
        <is>
          <t>231,73</t>
        </is>
      </c>
      <c r="O993" s="65" t="n"/>
      <c r="P993" s="65" t="n"/>
      <c r="Q993" s="65" t="n"/>
      <c r="R993" s="65" t="n"/>
      <c r="S993" s="65" t="n"/>
      <c r="T993" s="65" t="n"/>
      <c r="U993" s="65" t="n"/>
      <c r="V993" s="65" t="n"/>
    </row>
    <row r="994">
      <c r="A994" s="65" t="n"/>
      <c r="B994" s="65" t="n"/>
      <c r="C994" s="65" t="n"/>
      <c r="D994" s="65" t="n"/>
      <c r="E994" s="65" t="n"/>
      <c r="F994" s="65" t="n"/>
      <c r="G994" s="65" t="n"/>
      <c r="H994" s="65" t="inlineStr">
        <is>
          <t>[0025] SS EXTRA PROTECCION API SN SAE 10W-30 (Gasolina) (1x6)</t>
        </is>
      </c>
      <c r="I994" s="65" t="n">
        <v>25</v>
      </c>
      <c r="J994" s="63" t="inlineStr">
        <is>
          <t>2,00</t>
        </is>
      </c>
      <c r="K994" s="63" t="inlineStr">
        <is>
          <t>50,40</t>
        </is>
      </c>
      <c r="L994" s="63" t="inlineStr">
        <is>
          <t>0,91</t>
        </is>
      </c>
      <c r="M994" s="63" t="inlineStr">
        <is>
          <t>99,88</t>
        </is>
      </c>
      <c r="N994" s="63" t="inlineStr">
        <is>
          <t>115,86</t>
        </is>
      </c>
      <c r="O994" s="65" t="n"/>
      <c r="P994" s="65" t="n"/>
      <c r="Q994" s="65" t="n"/>
      <c r="R994" s="65" t="n"/>
      <c r="S994" s="65" t="n"/>
      <c r="T994" s="65" t="n"/>
      <c r="U994" s="65" t="n"/>
      <c r="V994" s="65" t="n"/>
    </row>
    <row r="995">
      <c r="A995" s="65" t="n"/>
      <c r="B995" s="65" t="n"/>
      <c r="C995" s="65" t="n"/>
      <c r="D995" s="65" t="n"/>
      <c r="E995" s="65" t="n"/>
      <c r="F995" s="65" t="n"/>
      <c r="G995" s="65" t="n"/>
      <c r="H995" s="65" t="inlineStr">
        <is>
          <t>[0880] CLASICO API SL SAE 15W-40 (1x12)</t>
        </is>
      </c>
      <c r="I995" s="65" t="n">
        <v>880</v>
      </c>
      <c r="J995" s="63" t="inlineStr">
        <is>
          <t>1,00</t>
        </is>
      </c>
      <c r="K995" s="63" t="inlineStr">
        <is>
          <t>86,21</t>
        </is>
      </c>
      <c r="L995" s="63" t="inlineStr">
        <is>
          <t>1,52</t>
        </is>
      </c>
      <c r="M995" s="63" t="inlineStr">
        <is>
          <t>84,90</t>
        </is>
      </c>
      <c r="N995" s="63" t="inlineStr">
        <is>
          <t>98,48</t>
        </is>
      </c>
      <c r="O995" s="65" t="n"/>
      <c r="P995" s="65" t="n"/>
      <c r="Q995" s="65" t="n"/>
      <c r="R995" s="65" t="n"/>
      <c r="S995" s="65" t="n"/>
      <c r="T995" s="65" t="n"/>
      <c r="U995" s="65" t="n"/>
      <c r="V995" s="65" t="n"/>
    </row>
    <row r="996">
      <c r="A996" s="65" t="n"/>
      <c r="B996" s="65" t="n"/>
      <c r="C996" s="65" t="n"/>
      <c r="D996" s="65" t="n"/>
      <c r="E996" s="65" t="n"/>
      <c r="F996" s="65" t="n"/>
      <c r="G996" s="65" t="n"/>
      <c r="H996" s="65" t="inlineStr">
        <is>
          <t>[0881] CLASICO API SL SAE 20W-50 (1x12)</t>
        </is>
      </c>
      <c r="I996" s="65" t="n">
        <v>881</v>
      </c>
      <c r="J996" s="63" t="inlineStr">
        <is>
          <t>1,00</t>
        </is>
      </c>
      <c r="K996" s="63" t="inlineStr">
        <is>
          <t>86,21</t>
        </is>
      </c>
      <c r="L996" s="63" t="inlineStr">
        <is>
          <t>-0,80</t>
        </is>
      </c>
      <c r="M996" s="63" t="inlineStr">
        <is>
          <t>86,90</t>
        </is>
      </c>
      <c r="N996" s="63" t="inlineStr">
        <is>
          <t>100,80</t>
        </is>
      </c>
      <c r="O996" s="65" t="n"/>
      <c r="P996" s="65" t="n"/>
      <c r="Q996" s="65" t="n"/>
      <c r="R996" s="65" t="n"/>
      <c r="S996" s="65" t="n"/>
      <c r="T996" s="65" t="n"/>
      <c r="U996" s="65" t="n"/>
      <c r="V996" s="65" t="n"/>
    </row>
    <row r="997">
      <c r="A997" s="65" t="n"/>
      <c r="B997" s="65" t="n"/>
      <c r="C997" s="65" t="n"/>
      <c r="D997" s="65" t="n"/>
      <c r="E997" s="65" t="n"/>
      <c r="F997" s="65" t="n"/>
      <c r="G997" s="65" t="n"/>
      <c r="H997" s="65" t="inlineStr">
        <is>
          <t>[0761] LIGA PARA FRENOS DOT-3 (1x12)</t>
        </is>
      </c>
      <c r="I997" s="65" t="n">
        <v>761</v>
      </c>
      <c r="J997" s="63" t="inlineStr">
        <is>
          <t>2,00</t>
        </is>
      </c>
      <c r="K997" s="63" t="inlineStr">
        <is>
          <t>35,81</t>
        </is>
      </c>
      <c r="L997" s="63" t="inlineStr">
        <is>
          <t>-0,41</t>
        </is>
      </c>
      <c r="M997" s="63" t="inlineStr">
        <is>
          <t>71,91</t>
        </is>
      </c>
      <c r="N997" s="63" t="inlineStr">
        <is>
          <t>83,42</t>
        </is>
      </c>
      <c r="O997" s="65" t="n"/>
      <c r="P997" s="65" t="n"/>
      <c r="Q997" s="65" t="n"/>
      <c r="R997" s="65" t="n"/>
      <c r="S997" s="65" t="n"/>
      <c r="T997" s="65" t="n"/>
      <c r="U997" s="65" t="n"/>
      <c r="V997" s="65" t="n"/>
    </row>
    <row r="998">
      <c r="A998" s="65" t="n"/>
      <c r="B998" s="65" t="n"/>
      <c r="C998" s="65" t="n"/>
      <c r="D998" s="65" t="n"/>
      <c r="E998" s="65" t="n"/>
      <c r="F998" s="65" t="n"/>
      <c r="G998" s="65" t="n"/>
      <c r="H998" s="65" t="inlineStr">
        <is>
          <t>[0762] LIGA PARA FRENOS DOT-3 (1x6)</t>
        </is>
      </c>
      <c r="I998" s="65" t="n">
        <v>762</v>
      </c>
      <c r="J998" s="63" t="inlineStr">
        <is>
          <t>1,00</t>
        </is>
      </c>
      <c r="K998" s="63" t="inlineStr">
        <is>
          <t>57,03</t>
        </is>
      </c>
      <c r="L998" s="63" t="inlineStr">
        <is>
          <t>1,92</t>
        </is>
      </c>
      <c r="M998" s="63" t="inlineStr">
        <is>
          <t>55,94</t>
        </is>
      </c>
      <c r="N998" s="63" t="inlineStr">
        <is>
          <t>64,89</t>
        </is>
      </c>
      <c r="O998" s="65" t="n"/>
      <c r="P998" s="65" t="n"/>
      <c r="Q998" s="65" t="n"/>
      <c r="R998" s="65" t="n"/>
      <c r="S998" s="65" t="n"/>
      <c r="T998" s="65" t="n"/>
      <c r="U998" s="65" t="n"/>
      <c r="V998" s="65" t="n"/>
    </row>
    <row r="999">
      <c r="A999" s="65" t="n"/>
      <c r="B999" s="65" t="n"/>
      <c r="C999" s="65" t="n"/>
      <c r="D999" s="65" t="n"/>
      <c r="E999" s="65" t="n"/>
      <c r="F999" s="65" t="n"/>
      <c r="G999" s="65" t="n"/>
      <c r="H999" s="65" t="inlineStr">
        <is>
          <t>[0774] LIGA PARA FRENOS DOT-4 (1X6)</t>
        </is>
      </c>
      <c r="I999" s="65" t="n">
        <v>774</v>
      </c>
      <c r="J999" s="63" t="inlineStr">
        <is>
          <t>1,00</t>
        </is>
      </c>
      <c r="K999" s="63" t="inlineStr">
        <is>
          <t>64,99</t>
        </is>
      </c>
      <c r="L999" s="63" t="inlineStr">
        <is>
          <t>1,64</t>
        </is>
      </c>
      <c r="M999" s="63" t="inlineStr">
        <is>
          <t>63,92</t>
        </is>
      </c>
      <c r="N999" s="63" t="inlineStr">
        <is>
          <t>74,15</t>
        </is>
      </c>
      <c r="O999" s="65" t="n"/>
      <c r="P999" s="65" t="n"/>
      <c r="Q999" s="65" t="n"/>
      <c r="R999" s="65" t="n"/>
      <c r="S999" s="65" t="n"/>
      <c r="T999" s="65" t="n"/>
      <c r="U999" s="65" t="n"/>
      <c r="V999" s="65" t="n"/>
    </row>
    <row r="1000">
      <c r="A1000" s="65" t="n"/>
      <c r="B1000" s="65" t="n"/>
      <c r="C1000" s="65" t="n"/>
      <c r="D1000" s="65" t="n"/>
      <c r="E1000" s="65" t="n"/>
      <c r="F1000" s="65" t="n"/>
      <c r="G1000" s="65" t="n"/>
      <c r="H1000" s="65" t="inlineStr">
        <is>
          <t>[0775] LIGA PARA FRENOS DOT-4 (1X12)</t>
        </is>
      </c>
      <c r="I1000" s="65" t="n">
        <v>775</v>
      </c>
      <c r="J1000" s="63" t="inlineStr">
        <is>
          <t>2,00</t>
        </is>
      </c>
      <c r="K1000" s="63" t="inlineStr">
        <is>
          <t>41,11</t>
        </is>
      </c>
      <c r="L1000" s="63" t="inlineStr">
        <is>
          <t>-2,04</t>
        </is>
      </c>
      <c r="M1000" s="63" t="inlineStr">
        <is>
          <t>83,90</t>
        </is>
      </c>
      <c r="N1000" s="63" t="inlineStr">
        <is>
          <t>97,32</t>
        </is>
      </c>
      <c r="O1000" s="65" t="n"/>
      <c r="P1000" s="65" t="n"/>
      <c r="Q1000" s="65" t="n"/>
      <c r="R1000" s="65" t="n"/>
      <c r="S1000" s="65" t="n"/>
      <c r="T1000" s="65" t="n"/>
      <c r="U1000" s="65" t="n"/>
      <c r="V1000" s="65" t="n"/>
    </row>
    <row r="1001">
      <c r="A1001" s="65" t="n"/>
      <c r="B1001" s="65" t="n"/>
      <c r="C1001" s="65" t="n"/>
      <c r="D1001" s="65" t="n"/>
      <c r="E1001" s="65" t="n"/>
      <c r="F1001" s="65" t="n"/>
      <c r="G1001" s="65" t="n"/>
      <c r="H1001" s="65" t="inlineStr">
        <is>
          <t>[0093] ALTA CILINDRADA SS API SN SAE 15W-40 (1x6)</t>
        </is>
      </c>
      <c r="I1001" s="65" t="n">
        <v>93</v>
      </c>
      <c r="J1001" s="63" t="inlineStr">
        <is>
          <t>1,00</t>
        </is>
      </c>
      <c r="K1001" s="63" t="inlineStr">
        <is>
          <t>46,42</t>
        </is>
      </c>
      <c r="L1001" s="63" t="inlineStr">
        <is>
          <t>1,02</t>
        </is>
      </c>
      <c r="M1001" s="63" t="inlineStr">
        <is>
          <t>45,95</t>
        </is>
      </c>
      <c r="N1001" s="63" t="inlineStr">
        <is>
          <t>53,30</t>
        </is>
      </c>
      <c r="O1001" s="65" t="n"/>
      <c r="P1001" s="65" t="n"/>
      <c r="Q1001" s="65" t="n"/>
      <c r="R1001" s="65" t="n"/>
      <c r="S1001" s="65" t="n"/>
      <c r="T1001" s="65" t="n"/>
      <c r="U1001" s="65" t="n"/>
      <c r="V1001" s="65" t="n"/>
    </row>
    <row r="1002">
      <c r="A1002" s="65" t="n"/>
      <c r="B1002" s="65" t="n"/>
      <c r="C1002" s="65" t="n"/>
      <c r="D1002" s="65" t="n"/>
      <c r="E1002" s="65" t="n"/>
      <c r="F1002" s="65" t="n"/>
      <c r="G1002" s="65" t="n"/>
      <c r="H1002" s="65" t="inlineStr">
        <is>
          <t>[0789] REFRIGERANTE GLOBAL VERDE (1X3)</t>
        </is>
      </c>
      <c r="I1002" s="65" t="n">
        <v>789</v>
      </c>
      <c r="J1002" s="63" t="inlineStr">
        <is>
          <t>3,00</t>
        </is>
      </c>
      <c r="K1002" s="63" t="inlineStr">
        <is>
          <t>34,48</t>
        </is>
      </c>
      <c r="L1002" s="63" t="inlineStr">
        <is>
          <t>1,51</t>
        </is>
      </c>
      <c r="M1002" s="63" t="inlineStr">
        <is>
          <t>101,88</t>
        </is>
      </c>
      <c r="N1002" s="63" t="inlineStr">
        <is>
          <t>118,18</t>
        </is>
      </c>
      <c r="O1002" s="65" t="n"/>
      <c r="P1002" s="65" t="n"/>
      <c r="Q1002" s="65" t="n"/>
      <c r="R1002" s="65" t="n"/>
      <c r="S1002" s="65" t="n"/>
      <c r="T1002" s="65" t="n"/>
      <c r="U1002" s="65" t="n"/>
      <c r="V1002" s="65" t="n"/>
    </row>
    <row r="1003">
      <c r="A1003" s="65" t="n"/>
      <c r="B1003" s="65" t="n"/>
      <c r="C1003" s="65" t="n"/>
      <c r="D1003" s="65" t="n"/>
      <c r="E1003" s="65" t="n"/>
      <c r="F1003" s="65" t="n"/>
      <c r="G1003" s="65" t="n"/>
      <c r="H1003" s="65" t="inlineStr">
        <is>
          <t>[0792] REFRIGERANTE GLOBAL ROJO (1X3)</t>
        </is>
      </c>
      <c r="I1003" s="65" t="n">
        <v>792</v>
      </c>
      <c r="J1003" s="63" t="inlineStr">
        <is>
          <t>3,00</t>
        </is>
      </c>
      <c r="K1003" s="63" t="inlineStr">
        <is>
          <t>34,48</t>
        </is>
      </c>
      <c r="L1003" s="63" t="inlineStr">
        <is>
          <t>10,11</t>
        </is>
      </c>
      <c r="M1003" s="63" t="inlineStr">
        <is>
          <t>92,98</t>
        </is>
      </c>
      <c r="N1003" s="63" t="inlineStr">
        <is>
          <t>107,86</t>
        </is>
      </c>
      <c r="O1003" s="65" t="n"/>
      <c r="P1003" s="65" t="n"/>
      <c r="Q1003" s="65" t="n"/>
      <c r="R1003" s="65" t="n"/>
      <c r="S1003" s="65" t="n"/>
      <c r="T1003" s="65" t="n"/>
      <c r="U1003" s="65" t="n"/>
      <c r="V1003" s="65" t="n"/>
    </row>
    <row r="1004">
      <c r="A1004" s="65" t="n"/>
      <c r="B1004" s="65" t="n"/>
      <c r="C1004" s="65" t="n"/>
      <c r="D1004" s="65" t="n"/>
      <c r="E1004" s="65" t="n"/>
      <c r="F1004" s="65" t="n"/>
      <c r="G1004" s="65" t="n"/>
      <c r="H1004" s="65" t="inlineStr">
        <is>
          <t>[0795] REFRIGERANTE GLOBAL ORANGE PREMIUM 50-50 CONCENTRADO (1x3)</t>
        </is>
      </c>
      <c r="I1004" s="65" t="n">
        <v>795</v>
      </c>
      <c r="J1004" s="63" t="inlineStr">
        <is>
          <t>3,00</t>
        </is>
      </c>
      <c r="K1004" s="63" t="inlineStr">
        <is>
          <t>51,72</t>
        </is>
      </c>
      <c r="L1004" s="63" t="inlineStr">
        <is>
          <t>-0,42</t>
        </is>
      </c>
      <c r="M1004" s="63" t="inlineStr">
        <is>
          <t>155,81</t>
        </is>
      </c>
      <c r="N1004" s="63" t="inlineStr">
        <is>
          <t>180,74</t>
        </is>
      </c>
      <c r="O1004" s="65" t="n"/>
      <c r="P1004" s="65" t="n"/>
      <c r="Q1004" s="65" t="n"/>
      <c r="R1004" s="65" t="n"/>
      <c r="S1004" s="65" t="n"/>
      <c r="T1004" s="65" t="n"/>
      <c r="U1004" s="65" t="n"/>
      <c r="V1004" s="65" t="n"/>
    </row>
    <row r="1005">
      <c r="A1005" s="65" t="inlineStr">
        <is>
          <t>S00365</t>
        </is>
      </c>
      <c r="B1005" s="62" t="n">
        <v>46154.67265046296</v>
      </c>
      <c r="C1005" s="65" t="inlineStr">
        <is>
          <t>Kiosco Willianny 1013, C.A</t>
        </is>
      </c>
      <c r="D1005" s="65" t="inlineStr">
        <is>
          <t>QUEVEDO BASTIDAS NEYKEL DAVID</t>
        </is>
      </c>
      <c r="E1005" s="65" t="inlineStr">
        <is>
          <t>15 días</t>
        </is>
      </c>
      <c r="F1005" s="65" t="n">
        <v>5</v>
      </c>
      <c r="G1005" s="65" t="inlineStr">
        <is>
          <t>Pago VES</t>
        </is>
      </c>
      <c r="H1005" s="65" t="inlineStr">
        <is>
          <t>[0605] SINOCO SAE 20W-50 (PAILA)</t>
        </is>
      </c>
      <c r="I1005" s="65" t="n">
        <v>605</v>
      </c>
      <c r="J1005" s="63" t="inlineStr">
        <is>
          <t>1,00</t>
        </is>
      </c>
      <c r="K1005" s="63" t="inlineStr">
        <is>
          <t>96,89</t>
        </is>
      </c>
      <c r="L1005" s="63" t="inlineStr">
        <is>
          <t>10,00</t>
        </is>
      </c>
      <c r="M1005" s="63" t="inlineStr">
        <is>
          <t>87,20</t>
        </is>
      </c>
      <c r="N1005" s="63" t="inlineStr">
        <is>
          <t>101,15</t>
        </is>
      </c>
      <c r="O1005" s="63" t="inlineStr">
        <is>
          <t>87,20</t>
        </is>
      </c>
      <c r="P1005" s="63" t="inlineStr">
        <is>
          <t>101,15</t>
        </is>
      </c>
      <c r="Q1005" s="63" t="inlineStr">
        <is>
          <t>721,35</t>
        </is>
      </c>
      <c r="R1005" s="66" t="n">
        <v>46216</v>
      </c>
      <c r="S1005" s="65" t="n">
        <v>367</v>
      </c>
      <c r="T1005" s="65" t="inlineStr">
        <is>
          <t>00-00000910</t>
        </is>
      </c>
      <c r="U1005" s="63" t="inlineStr">
        <is>
          <t>101,15</t>
        </is>
      </c>
      <c r="V1005" s="63" t="inlineStr">
        <is>
          <t>101,15</t>
        </is>
      </c>
    </row>
    <row r="1006">
      <c r="A1006" s="65" t="inlineStr">
        <is>
          <t>S00214</t>
        </is>
      </c>
      <c r="B1006" s="62" t="n">
        <v>46154.66959490741</v>
      </c>
      <c r="C1006" s="65" t="inlineStr">
        <is>
          <t>CONSTRUCTORA GRANO AGREGADO, C.A</t>
        </is>
      </c>
      <c r="D1006" s="65" t="inlineStr">
        <is>
          <t>Marco Romero</t>
        </is>
      </c>
      <c r="E1006" s="65" t="inlineStr">
        <is>
          <t>7 días</t>
        </is>
      </c>
      <c r="F1006" s="65" t="n">
        <v>5</v>
      </c>
      <c r="G1006" s="65" t="inlineStr">
        <is>
          <t>Pago VES</t>
        </is>
      </c>
      <c r="H1006" s="65" t="inlineStr">
        <is>
          <t>[0085] MAXIMO API CF SAE 50 (Tambor)</t>
        </is>
      </c>
      <c r="I1006" s="65" t="n">
        <v>85</v>
      </c>
      <c r="J1006" s="63" t="inlineStr">
        <is>
          <t>2,00</t>
        </is>
      </c>
      <c r="K1006" s="63" t="inlineStr">
        <is>
          <t>1.193,10</t>
        </is>
      </c>
      <c r="L1006" s="63" t="inlineStr">
        <is>
          <t>0,00</t>
        </is>
      </c>
      <c r="M1006" s="63" t="inlineStr">
        <is>
          <t>2.386,20</t>
        </is>
      </c>
      <c r="N1006" s="63" t="inlineStr">
        <is>
          <t>2.767,99</t>
        </is>
      </c>
      <c r="O1006" s="63" t="inlineStr">
        <is>
          <t>8.687,46</t>
        </is>
      </c>
      <c r="P1006" s="63" t="inlineStr">
        <is>
          <t>10.077,45</t>
        </is>
      </c>
      <c r="Q1006" s="63" t="inlineStr">
        <is>
          <t>477,63</t>
        </is>
      </c>
      <c r="R1006" s="66" t="n">
        <v>46170</v>
      </c>
      <c r="S1006" s="65" t="n">
        <v>102</v>
      </c>
      <c r="T1006" s="65" t="inlineStr">
        <is>
          <t>00-00000458</t>
        </is>
      </c>
      <c r="U1006" s="63" t="inlineStr">
        <is>
          <t>10.077,43</t>
        </is>
      </c>
      <c r="V1006" s="63" t="inlineStr">
        <is>
          <t>68,88</t>
        </is>
      </c>
    </row>
    <row r="1007">
      <c r="A1007" s="65" t="n"/>
      <c r="B1007" s="65" t="n"/>
      <c r="C1007" s="65" t="n"/>
      <c r="D1007" s="65" t="n"/>
      <c r="E1007" s="65" t="n"/>
      <c r="F1007" s="65" t="n"/>
      <c r="G1007" s="65" t="n"/>
      <c r="H1007" s="65" t="inlineStr">
        <is>
          <t>[0075] SUPREMO API CI-4 SAE 15W-40 (Tambor)</t>
        </is>
      </c>
      <c r="I1007" s="65" t="n">
        <v>75</v>
      </c>
      <c r="J1007" s="63" t="inlineStr">
        <is>
          <t>2,00</t>
        </is>
      </c>
      <c r="K1007" s="63" t="inlineStr">
        <is>
          <t>1.334,22</t>
        </is>
      </c>
      <c r="L1007" s="63" t="inlineStr">
        <is>
          <t>0,00</t>
        </is>
      </c>
      <c r="M1007" s="63" t="inlineStr">
        <is>
          <t>2.668,44</t>
        </is>
      </c>
      <c r="N1007" s="63" t="inlineStr">
        <is>
          <t>3.095,39</t>
        </is>
      </c>
      <c r="O1007" s="65" t="n"/>
      <c r="P1007" s="65" t="n"/>
      <c r="Q1007" s="65" t="n"/>
      <c r="R1007" s="65" t="n"/>
      <c r="S1007" s="65" t="n"/>
      <c r="T1007" s="65" t="n"/>
      <c r="U1007" s="65" t="n"/>
      <c r="V1007" s="65" t="n"/>
    </row>
    <row r="1008">
      <c r="A1008" s="65" t="n"/>
      <c r="B1008" s="65" t="n"/>
      <c r="C1008" s="65" t="n"/>
      <c r="D1008" s="65" t="n"/>
      <c r="E1008" s="65" t="n"/>
      <c r="F1008" s="65" t="n"/>
      <c r="G1008" s="65" t="n"/>
      <c r="H1008" s="65" t="inlineStr">
        <is>
          <t>[0146] HIDRAGLOB AW/ISO 68 (Tambor)</t>
        </is>
      </c>
      <c r="I1008" s="65" t="n">
        <v>146</v>
      </c>
      <c r="J1008" s="63" t="inlineStr">
        <is>
          <t>2,00</t>
        </is>
      </c>
      <c r="K1008" s="63" t="inlineStr">
        <is>
          <t>1.157,70</t>
        </is>
      </c>
      <c r="L1008" s="63" t="inlineStr">
        <is>
          <t>0,00</t>
        </is>
      </c>
      <c r="M1008" s="63" t="inlineStr">
        <is>
          <t>2.315,40</t>
        </is>
      </c>
      <c r="N1008" s="63" t="inlineStr">
        <is>
          <t>2.685,86</t>
        </is>
      </c>
      <c r="O1008" s="65" t="n"/>
      <c r="P1008" s="65" t="n"/>
      <c r="Q1008" s="65" t="n"/>
      <c r="R1008" s="65" t="n"/>
      <c r="S1008" s="65" t="n"/>
      <c r="T1008" s="65" t="n"/>
      <c r="U1008" s="65" t="n"/>
      <c r="V1008" s="65" t="n"/>
    </row>
    <row r="1009">
      <c r="A1009" s="65" t="n"/>
      <c r="B1009" s="65" t="n"/>
      <c r="C1009" s="65" t="n"/>
      <c r="D1009" s="65" t="n"/>
      <c r="E1009" s="65" t="n"/>
      <c r="F1009" s="65" t="n"/>
      <c r="G1009" s="65" t="n"/>
      <c r="H1009" s="65" t="inlineStr">
        <is>
          <t>[0125] TRANSGLOB API GL-5 SAE 80W-90 (Tambor)</t>
        </is>
      </c>
      <c r="I1009" s="65" t="n">
        <v>125</v>
      </c>
      <c r="J1009" s="63" t="inlineStr">
        <is>
          <t>1,00</t>
        </is>
      </c>
      <c r="K1009" s="63" t="inlineStr">
        <is>
          <t>1.317,42</t>
        </is>
      </c>
      <c r="L1009" s="63" t="inlineStr">
        <is>
          <t>0,00</t>
        </is>
      </c>
      <c r="M1009" s="63" t="inlineStr">
        <is>
          <t>1.317,42</t>
        </is>
      </c>
      <c r="N1009" s="63" t="inlineStr">
        <is>
          <t>1.528,21</t>
        </is>
      </c>
      <c r="O1009" s="65" t="n"/>
      <c r="P1009" s="65" t="n"/>
      <c r="Q1009" s="65" t="n"/>
      <c r="R1009" s="65" t="n"/>
      <c r="S1009" s="65" t="n"/>
      <c r="T1009" s="65" t="n"/>
      <c r="U1009" s="65" t="n"/>
      <c r="V1009" s="65" t="n"/>
    </row>
    <row r="1010">
      <c r="A1010" s="65" t="inlineStr">
        <is>
          <t>S00363</t>
        </is>
      </c>
      <c r="B1010" s="62" t="n">
        <v>46154.52240740741</v>
      </c>
      <c r="C1010" s="65" t="inlineStr">
        <is>
          <t>MARIA CAROLINA CARDENAS GUEVARA</t>
        </is>
      </c>
      <c r="D1010" s="65" t="inlineStr">
        <is>
          <t>VILLABONA CORREA ALBA ESTEFANIA</t>
        </is>
      </c>
      <c r="E1010" s="65" t="inlineStr">
        <is>
          <t>7 días</t>
        </is>
      </c>
      <c r="F1010" s="65" t="n">
        <v>5</v>
      </c>
      <c r="G1010" s="65" t="inlineStr">
        <is>
          <t>Pago VES</t>
        </is>
      </c>
      <c r="H1010" s="65" t="inlineStr">
        <is>
          <t>[0603] SINOCO SAE 50 (Tambor)</t>
        </is>
      </c>
      <c r="I1010" s="65" t="n">
        <v>603</v>
      </c>
      <c r="J1010" s="63" t="inlineStr">
        <is>
          <t>1,00</t>
        </is>
      </c>
      <c r="K1010" s="63" t="inlineStr">
        <is>
          <t>925,73</t>
        </is>
      </c>
      <c r="L1010" s="63" t="inlineStr">
        <is>
          <t>0,20</t>
        </is>
      </c>
      <c r="M1010" s="63" t="inlineStr">
        <is>
          <t>923,88</t>
        </is>
      </c>
      <c r="N1010" s="63" t="inlineStr">
        <is>
          <t>1.071,70</t>
        </is>
      </c>
      <c r="O1010" s="63" t="inlineStr">
        <is>
          <t>923,88</t>
        </is>
      </c>
      <c r="P1010" s="63" t="inlineStr">
        <is>
          <t>1.071,70</t>
        </is>
      </c>
      <c r="Q1010" s="65" t="n"/>
      <c r="R1010" s="65" t="n"/>
      <c r="S1010" s="65" t="n"/>
      <c r="T1010" s="65" t="n"/>
      <c r="U1010" s="65" t="n"/>
      <c r="V1010" s="65" t="n"/>
    </row>
    <row r="1011">
      <c r="A1011" s="65" t="n"/>
      <c r="B1011" s="65" t="n"/>
      <c r="C1011" s="65" t="n"/>
      <c r="D1011" s="65" t="n"/>
      <c r="E1011" s="65" t="n"/>
      <c r="F1011" s="65" t="n"/>
      <c r="G1011" s="65" t="n"/>
      <c r="H1011" s="65" t="n"/>
      <c r="I1011" s="65" t="n"/>
      <c r="J1011" s="63" t="inlineStr">
        <is>
          <t>0,00</t>
        </is>
      </c>
      <c r="K1011" s="63" t="inlineStr">
        <is>
          <t>0,00</t>
        </is>
      </c>
      <c r="L1011" s="63" t="inlineStr">
        <is>
          <t>0,00</t>
        </is>
      </c>
      <c r="M1011" s="63" t="inlineStr">
        <is>
          <t>0,00</t>
        </is>
      </c>
      <c r="N1011" s="63" t="inlineStr">
        <is>
          <t>0,00</t>
        </is>
      </c>
      <c r="O1011" s="65" t="n"/>
      <c r="P1011" s="65" t="n"/>
      <c r="Q1011" s="65" t="n"/>
      <c r="R1011" s="65" t="n"/>
      <c r="S1011" s="65" t="n"/>
      <c r="T1011" s="65" t="n"/>
      <c r="U1011" s="65" t="n"/>
      <c r="V1011" s="65" t="n"/>
    </row>
    <row r="1012">
      <c r="A1012" s="65" t="inlineStr">
        <is>
          <t>S00362</t>
        </is>
      </c>
      <c r="B1012" s="62" t="n">
        <v>46153.72056712963</v>
      </c>
      <c r="C1012" s="65" t="inlineStr">
        <is>
          <t>AUTOSERVICIOS SPACARS, C.A.</t>
        </is>
      </c>
      <c r="D1012" s="65" t="inlineStr">
        <is>
          <t>TORO ARDILES DAVID JOSE</t>
        </is>
      </c>
      <c r="E1012" s="65" t="inlineStr">
        <is>
          <t>7 días</t>
        </is>
      </c>
      <c r="F1012" s="65" t="n">
        <v>5</v>
      </c>
      <c r="G1012" s="65" t="inlineStr">
        <is>
          <t>Pago VES</t>
        </is>
      </c>
      <c r="H1012" s="65" t="inlineStr">
        <is>
          <t>[0877] SS EXTRA PROTECCION API SN SAE 15W-40 (1X12)</t>
        </is>
      </c>
      <c r="I1012" s="65" t="n">
        <v>877</v>
      </c>
      <c r="J1012" s="63" t="inlineStr">
        <is>
          <t>2,00</t>
        </is>
      </c>
      <c r="K1012" s="63" t="inlineStr">
        <is>
          <t>100,80</t>
        </is>
      </c>
      <c r="L1012" s="63" t="inlineStr">
        <is>
          <t>0,91</t>
        </is>
      </c>
      <c r="M1012" s="63" t="inlineStr">
        <is>
          <t>199,77</t>
        </is>
      </c>
      <c r="N1012" s="63" t="inlineStr">
        <is>
          <t>231,73</t>
        </is>
      </c>
      <c r="O1012" s="63" t="inlineStr">
        <is>
          <t>664,21</t>
        </is>
      </c>
      <c r="P1012" s="63" t="inlineStr">
        <is>
          <t>770,49</t>
        </is>
      </c>
      <c r="Q1012" s="63" t="inlineStr">
        <is>
          <t>724,00</t>
        </is>
      </c>
      <c r="R1012" s="66" t="n">
        <v>46217</v>
      </c>
      <c r="S1012" s="65" t="n">
        <v>441</v>
      </c>
      <c r="T1012" s="65" t="inlineStr">
        <is>
          <t>00-00000985</t>
        </is>
      </c>
      <c r="U1012" s="63" t="inlineStr">
        <is>
          <t>770,45</t>
        </is>
      </c>
      <c r="V1012" s="63" t="inlineStr">
        <is>
          <t>770,48</t>
        </is>
      </c>
    </row>
    <row r="1013">
      <c r="A1013" s="65" t="n"/>
      <c r="B1013" s="65" t="n"/>
      <c r="C1013" s="65" t="n"/>
      <c r="D1013" s="65" t="n"/>
      <c r="E1013" s="65" t="n"/>
      <c r="F1013" s="65" t="n"/>
      <c r="G1013" s="65" t="n"/>
      <c r="H1013" s="65" t="inlineStr">
        <is>
          <t>[0001] ELITE API SP SAE 0W-20 (1x6)</t>
        </is>
      </c>
      <c r="I1013" s="65" t="n">
        <v>1</v>
      </c>
      <c r="J1013" s="63" t="inlineStr">
        <is>
          <t>1,00</t>
        </is>
      </c>
      <c r="K1013" s="63" t="inlineStr">
        <is>
          <t>74,27</t>
        </is>
      </c>
      <c r="L1013" s="63" t="inlineStr">
        <is>
          <t>0,48</t>
        </is>
      </c>
      <c r="M1013" s="63" t="inlineStr">
        <is>
          <t>73,91</t>
        </is>
      </c>
      <c r="N1013" s="63" t="inlineStr">
        <is>
          <t>85,74</t>
        </is>
      </c>
      <c r="O1013" s="65" t="n"/>
      <c r="P1013" s="65" t="n"/>
      <c r="Q1013" s="65" t="n"/>
      <c r="R1013" s="65" t="n"/>
      <c r="S1013" s="65" t="n"/>
      <c r="T1013" s="65" t="n"/>
      <c r="U1013" s="65" t="n"/>
      <c r="V1013" s="65" t="n"/>
    </row>
    <row r="1014">
      <c r="A1014" s="65" t="n"/>
      <c r="B1014" s="65" t="n"/>
      <c r="C1014" s="65" t="n"/>
      <c r="D1014" s="65" t="n"/>
      <c r="E1014" s="65" t="n"/>
      <c r="F1014" s="65" t="n"/>
      <c r="G1014" s="65" t="n"/>
      <c r="H1014" s="65" t="inlineStr">
        <is>
          <t>[0007] ELITE API SN SAE 5W-20 (1x6)</t>
        </is>
      </c>
      <c r="I1014" s="65" t="n">
        <v>7</v>
      </c>
      <c r="J1014" s="63" t="inlineStr">
        <is>
          <t>1,00</t>
        </is>
      </c>
      <c r="K1014" s="63" t="inlineStr">
        <is>
          <t>72,94</t>
        </is>
      </c>
      <c r="L1014" s="63" t="inlineStr">
        <is>
          <t>0,04</t>
        </is>
      </c>
      <c r="M1014" s="63" t="inlineStr">
        <is>
          <t>72,91</t>
        </is>
      </c>
      <c r="N1014" s="63" t="inlineStr">
        <is>
          <t>84,58</t>
        </is>
      </c>
      <c r="O1014" s="65" t="n"/>
      <c r="P1014" s="65" t="n"/>
      <c r="Q1014" s="65" t="n"/>
      <c r="R1014" s="65" t="n"/>
      <c r="S1014" s="65" t="n"/>
      <c r="T1014" s="65" t="n"/>
      <c r="U1014" s="65" t="n"/>
      <c r="V1014" s="65" t="n"/>
    </row>
    <row r="1015">
      <c r="A1015" s="65" t="n"/>
      <c r="B1015" s="65" t="n"/>
      <c r="C1015" s="65" t="n"/>
      <c r="D1015" s="65" t="n"/>
      <c r="E1015" s="65" t="n"/>
      <c r="F1015" s="65" t="n"/>
      <c r="G1015" s="65" t="n"/>
      <c r="H1015" s="65" t="inlineStr">
        <is>
          <t>[0013] ELITE API SN SAE 5W-30 (1x6)</t>
        </is>
      </c>
      <c r="I1015" s="65" t="n">
        <v>13</v>
      </c>
      <c r="J1015" s="63" t="inlineStr">
        <is>
          <t>1,00</t>
        </is>
      </c>
      <c r="K1015" s="63" t="inlineStr">
        <is>
          <t>72,94</t>
        </is>
      </c>
      <c r="L1015" s="63" t="inlineStr">
        <is>
          <t>0,04</t>
        </is>
      </c>
      <c r="M1015" s="63" t="inlineStr">
        <is>
          <t>72,91</t>
        </is>
      </c>
      <c r="N1015" s="63" t="inlineStr">
        <is>
          <t>84,58</t>
        </is>
      </c>
      <c r="O1015" s="65" t="n"/>
      <c r="P1015" s="65" t="n"/>
      <c r="Q1015" s="65" t="n"/>
      <c r="R1015" s="65" t="n"/>
      <c r="S1015" s="65" t="n"/>
      <c r="T1015" s="65" t="n"/>
      <c r="U1015" s="65" t="n"/>
      <c r="V1015" s="65" t="n"/>
    </row>
    <row r="1016">
      <c r="A1016" s="65" t="n"/>
      <c r="B1016" s="65" t="n"/>
      <c r="C1016" s="65" t="n"/>
      <c r="D1016" s="65" t="n"/>
      <c r="E1016" s="65" t="n"/>
      <c r="F1016" s="65" t="n"/>
      <c r="G1016" s="65" t="n"/>
      <c r="H1016" s="65" t="inlineStr">
        <is>
          <t>[0019] ELITE API SN SAE 5W-40 (1x6)</t>
        </is>
      </c>
      <c r="I1016" s="65" t="n">
        <v>19</v>
      </c>
      <c r="J1016" s="63" t="inlineStr">
        <is>
          <t>1,00</t>
        </is>
      </c>
      <c r="K1016" s="63" t="inlineStr">
        <is>
          <t>72,94</t>
        </is>
      </c>
      <c r="L1016" s="63" t="inlineStr">
        <is>
          <t>0,04</t>
        </is>
      </c>
      <c r="M1016" s="63" t="inlineStr">
        <is>
          <t>72,91</t>
        </is>
      </c>
      <c r="N1016" s="63" t="inlineStr">
        <is>
          <t>84,58</t>
        </is>
      </c>
      <c r="O1016" s="65" t="n"/>
      <c r="P1016" s="65" t="n"/>
      <c r="Q1016" s="65" t="n"/>
      <c r="R1016" s="65" t="n"/>
      <c r="S1016" s="65" t="n"/>
      <c r="T1016" s="65" t="n"/>
      <c r="U1016" s="65" t="n"/>
      <c r="V1016" s="65" t="n"/>
    </row>
    <row r="1017">
      <c r="A1017" s="65" t="n"/>
      <c r="B1017" s="65" t="n"/>
      <c r="C1017" s="65" t="n"/>
      <c r="D1017" s="65" t="n"/>
      <c r="E1017" s="65" t="n"/>
      <c r="F1017" s="65" t="n"/>
      <c r="G1017" s="65" t="n"/>
      <c r="H1017" s="65" t="inlineStr">
        <is>
          <t>[0880] CLASICO API SL SAE 15W-40 (1x12)</t>
        </is>
      </c>
      <c r="I1017" s="65" t="n">
        <v>880</v>
      </c>
      <c r="J1017" s="63" t="inlineStr">
        <is>
          <t>1,00</t>
        </is>
      </c>
      <c r="K1017" s="63" t="inlineStr">
        <is>
          <t>86,21</t>
        </is>
      </c>
      <c r="L1017" s="63" t="inlineStr">
        <is>
          <t>1,52</t>
        </is>
      </c>
      <c r="M1017" s="63" t="inlineStr">
        <is>
          <t>84,90</t>
        </is>
      </c>
      <c r="N1017" s="63" t="inlineStr">
        <is>
          <t>98,48</t>
        </is>
      </c>
      <c r="O1017" s="65" t="n"/>
      <c r="P1017" s="65" t="n"/>
      <c r="Q1017" s="65" t="n"/>
      <c r="R1017" s="65" t="n"/>
      <c r="S1017" s="65" t="n"/>
      <c r="T1017" s="65" t="n"/>
      <c r="U1017" s="65" t="n"/>
      <c r="V1017" s="65" t="n"/>
    </row>
    <row r="1018">
      <c r="A1018" s="65" t="n"/>
      <c r="B1018" s="65" t="n"/>
      <c r="C1018" s="65" t="n"/>
      <c r="D1018" s="65" t="n"/>
      <c r="E1018" s="65" t="n"/>
      <c r="F1018" s="65" t="n"/>
      <c r="G1018" s="65" t="n"/>
      <c r="H1018" s="65" t="inlineStr">
        <is>
          <t>[0881] CLASICO API SL SAE 20W-50 (1x12)</t>
        </is>
      </c>
      <c r="I1018" s="65" t="n">
        <v>881</v>
      </c>
      <c r="J1018" s="63" t="inlineStr">
        <is>
          <t>1,00</t>
        </is>
      </c>
      <c r="K1018" s="63" t="inlineStr">
        <is>
          <t>86,90</t>
        </is>
      </c>
      <c r="L1018" s="63" t="inlineStr">
        <is>
          <t>0,00</t>
        </is>
      </c>
      <c r="M1018" s="63" t="inlineStr">
        <is>
          <t>86,90</t>
        </is>
      </c>
      <c r="N1018" s="63" t="inlineStr">
        <is>
          <t>100,80</t>
        </is>
      </c>
      <c r="O1018" s="65" t="n"/>
      <c r="P1018" s="65" t="n"/>
      <c r="Q1018" s="65" t="n"/>
      <c r="R1018" s="65" t="n"/>
      <c r="S1018" s="65" t="n"/>
      <c r="T1018" s="65" t="n"/>
      <c r="U1018" s="65" t="n"/>
      <c r="V1018" s="65" t="n"/>
    </row>
    <row r="1019">
      <c r="A1019" s="65" t="inlineStr">
        <is>
          <t>S00361</t>
        </is>
      </c>
      <c r="B1019" s="62" t="n">
        <v>46153.7199537037</v>
      </c>
      <c r="C1019" s="65" t="inlineStr">
        <is>
          <t>Comercializadora Estoril 25,c.a.</t>
        </is>
      </c>
      <c r="D1019" s="65" t="inlineStr">
        <is>
          <t>LOPEZ ANTUNEZ ANDERSON JOSE</t>
        </is>
      </c>
      <c r="E1019" s="65" t="inlineStr">
        <is>
          <t>7 días</t>
        </is>
      </c>
      <c r="F1019" s="65" t="n">
        <v>5</v>
      </c>
      <c r="G1019" s="65" t="inlineStr">
        <is>
          <t>Pago VES</t>
        </is>
      </c>
      <c r="H1019" s="65" t="inlineStr">
        <is>
          <t>[0880] CLASICO API SL SAE 15W-40 (1x12)</t>
        </is>
      </c>
      <c r="I1019" s="65" t="n">
        <v>880</v>
      </c>
      <c r="J1019" s="63" t="inlineStr">
        <is>
          <t>1,00</t>
        </is>
      </c>
      <c r="K1019" s="63" t="inlineStr">
        <is>
          <t>86,21</t>
        </is>
      </c>
      <c r="L1019" s="63" t="inlineStr">
        <is>
          <t>1,52</t>
        </is>
      </c>
      <c r="M1019" s="63" t="inlineStr">
        <is>
          <t>84,90</t>
        </is>
      </c>
      <c r="N1019" s="63" t="inlineStr">
        <is>
          <t>98,48</t>
        </is>
      </c>
      <c r="O1019" s="63" t="inlineStr">
        <is>
          <t>274,67</t>
        </is>
      </c>
      <c r="P1019" s="63" t="inlineStr">
        <is>
          <t>318,61</t>
        </is>
      </c>
      <c r="Q1019" s="63" t="inlineStr">
        <is>
          <t>721,35</t>
        </is>
      </c>
      <c r="R1019" s="66" t="n">
        <v>46216</v>
      </c>
      <c r="S1019" s="65" t="n">
        <v>341</v>
      </c>
      <c r="T1019" s="65" t="inlineStr">
        <is>
          <t>00-00000884</t>
        </is>
      </c>
      <c r="U1019" s="63" t="inlineStr">
        <is>
          <t>318,60</t>
        </is>
      </c>
      <c r="V1019" s="63" t="inlineStr">
        <is>
          <t>0,00</t>
        </is>
      </c>
    </row>
    <row r="1020">
      <c r="A1020" s="65" t="n"/>
      <c r="B1020" s="65" t="n"/>
      <c r="C1020" s="65" t="n"/>
      <c r="D1020" s="65" t="n"/>
      <c r="E1020" s="65" t="n"/>
      <c r="F1020" s="65" t="n"/>
      <c r="G1020" s="65" t="n"/>
      <c r="H1020" s="65" t="inlineStr">
        <is>
          <t>[0877] SS EXTRA PROTECCION API SN SAE 15W-40 (1X12)</t>
        </is>
      </c>
      <c r="I1020" s="65" t="n">
        <v>877</v>
      </c>
      <c r="J1020" s="63" t="inlineStr">
        <is>
          <t>1,00</t>
        </is>
      </c>
      <c r="K1020" s="63" t="inlineStr">
        <is>
          <t>100,80</t>
        </is>
      </c>
      <c r="L1020" s="63" t="inlineStr">
        <is>
          <t>0,91</t>
        </is>
      </c>
      <c r="M1020" s="63" t="inlineStr">
        <is>
          <t>99,88</t>
        </is>
      </c>
      <c r="N1020" s="63" t="inlineStr">
        <is>
          <t>115,86</t>
        </is>
      </c>
      <c r="O1020" s="65" t="n"/>
      <c r="P1020" s="65" t="n"/>
      <c r="Q1020" s="65" t="n"/>
      <c r="R1020" s="65" t="n"/>
      <c r="S1020" s="65" t="n"/>
      <c r="T1020" s="65" t="n"/>
      <c r="U1020" s="65" t="n"/>
      <c r="V1020" s="65" t="n"/>
    </row>
    <row r="1021">
      <c r="A1021" s="65" t="n"/>
      <c r="B1021" s="65" t="n"/>
      <c r="C1021" s="65" t="n"/>
      <c r="D1021" s="65" t="n"/>
      <c r="E1021" s="65" t="n"/>
      <c r="F1021" s="65" t="n"/>
      <c r="G1021" s="65" t="n"/>
      <c r="H1021" s="65" t="inlineStr">
        <is>
          <t>[0887] MOTOCLASICO 4T SAE 20W-50 (1x12)</t>
        </is>
      </c>
      <c r="I1021" s="65" t="n">
        <v>887</v>
      </c>
      <c r="J1021" s="63" t="inlineStr">
        <is>
          <t>1,00</t>
        </is>
      </c>
      <c r="K1021" s="63" t="inlineStr">
        <is>
          <t>90,19</t>
        </is>
      </c>
      <c r="L1021" s="63" t="inlineStr">
        <is>
          <t>0,33</t>
        </is>
      </c>
      <c r="M1021" s="63" t="inlineStr">
        <is>
          <t>89,89</t>
        </is>
      </c>
      <c r="N1021" s="63" t="inlineStr">
        <is>
          <t>104,27</t>
        </is>
      </c>
      <c r="O1021" s="65" t="n"/>
      <c r="P1021" s="65" t="n"/>
      <c r="Q1021" s="65" t="n"/>
      <c r="R1021" s="65" t="n"/>
      <c r="S1021" s="65" t="n"/>
      <c r="T1021" s="65" t="n"/>
      <c r="U1021" s="65" t="n"/>
      <c r="V1021" s="65" t="n"/>
    </row>
    <row r="1022">
      <c r="A1022" s="65" t="inlineStr">
        <is>
          <t>S00359</t>
        </is>
      </c>
      <c r="B1022" s="62" t="n">
        <v>46153.56512731482</v>
      </c>
      <c r="C1022" s="65" t="inlineStr">
        <is>
          <t>EN LA VIA 2023 C.A</t>
        </is>
      </c>
      <c r="D1022" s="65" t="inlineStr">
        <is>
          <t>VILLABONA CORREA ALBA ESTEFANIA</t>
        </is>
      </c>
      <c r="E1022" s="65" t="inlineStr">
        <is>
          <t>7 días</t>
        </is>
      </c>
      <c r="F1022" s="65" t="n">
        <v>5</v>
      </c>
      <c r="G1022" s="65" t="inlineStr">
        <is>
          <t>Pago VES</t>
        </is>
      </c>
      <c r="H1022" s="65" t="inlineStr">
        <is>
          <t>[0779] SINOCO SAE 20W-50 (1x12)</t>
        </is>
      </c>
      <c r="I1022" s="65" t="n">
        <v>779</v>
      </c>
      <c r="J1022" s="63" t="inlineStr">
        <is>
          <t>4,00</t>
        </is>
      </c>
      <c r="K1022" s="63" t="inlineStr">
        <is>
          <t>70,29</t>
        </is>
      </c>
      <c r="L1022" s="63" t="inlineStr">
        <is>
          <t>0,53</t>
        </is>
      </c>
      <c r="M1022" s="63" t="inlineStr">
        <is>
          <t>279,67</t>
        </is>
      </c>
      <c r="N1022" s="63" t="inlineStr">
        <is>
          <t>324,42</t>
        </is>
      </c>
      <c r="O1022" s="63" t="inlineStr">
        <is>
          <t>279,67</t>
        </is>
      </c>
      <c r="P1022" s="63" t="inlineStr">
        <is>
          <t>324,42</t>
        </is>
      </c>
      <c r="Q1022" s="63" t="inlineStr">
        <is>
          <t>721,35</t>
        </is>
      </c>
      <c r="R1022" s="66" t="n">
        <v>46216</v>
      </c>
      <c r="S1022" s="65" t="n">
        <v>368</v>
      </c>
      <c r="T1022" s="65" t="inlineStr">
        <is>
          <t>00-00000911</t>
        </is>
      </c>
      <c r="U1022" s="63" t="inlineStr">
        <is>
          <t>324,40</t>
        </is>
      </c>
      <c r="V1022" s="63" t="inlineStr">
        <is>
          <t>324,42</t>
        </is>
      </c>
    </row>
    <row r="1023">
      <c r="A1023" s="65" t="inlineStr">
        <is>
          <t>S00358</t>
        </is>
      </c>
      <c r="B1023" s="62" t="n">
        <v>46153.56497685185</v>
      </c>
      <c r="C1023" s="65" t="inlineStr">
        <is>
          <t>E&amp;M CAR SHOP C.A</t>
        </is>
      </c>
      <c r="D1023" s="65" t="inlineStr">
        <is>
          <t>BETANCOURT ROBRIGUEZ LUIS ENRRIQUE</t>
        </is>
      </c>
      <c r="E1023" s="65" t="inlineStr">
        <is>
          <t>7 días</t>
        </is>
      </c>
      <c r="F1023" s="65" t="n">
        <v>5</v>
      </c>
      <c r="G1023" s="65" t="inlineStr">
        <is>
          <t>Pago VES</t>
        </is>
      </c>
      <c r="H1023" s="65" t="inlineStr">
        <is>
          <t>[0602] SINOCO SAE 50 (PAILA)</t>
        </is>
      </c>
      <c r="I1023" s="65" t="n">
        <v>602</v>
      </c>
      <c r="J1023" s="63" t="inlineStr">
        <is>
          <t>10,00</t>
        </is>
      </c>
      <c r="K1023" s="63" t="inlineStr">
        <is>
          <t>92,89</t>
        </is>
      </c>
      <c r="L1023" s="63" t="inlineStr">
        <is>
          <t>0,00</t>
        </is>
      </c>
      <c r="M1023" s="63" t="inlineStr">
        <is>
          <t>928,89</t>
        </is>
      </c>
      <c r="N1023" s="63" t="inlineStr">
        <is>
          <t>1.077,51</t>
        </is>
      </c>
      <c r="O1023" s="63" t="inlineStr">
        <is>
          <t>928,89</t>
        </is>
      </c>
      <c r="P1023" s="63" t="inlineStr">
        <is>
          <t>1.077,51</t>
        </is>
      </c>
      <c r="Q1023" s="63" t="inlineStr">
        <is>
          <t>520,91</t>
        </is>
      </c>
      <c r="R1023" s="66" t="n">
        <v>46185</v>
      </c>
      <c r="S1023" s="65" t="n">
        <v>172</v>
      </c>
      <c r="T1023" s="65" t="inlineStr">
        <is>
          <t>00-00000615</t>
        </is>
      </c>
      <c r="U1023" s="63" t="inlineStr">
        <is>
          <t>1.035,61</t>
        </is>
      </c>
      <c r="V1023" s="63" t="inlineStr">
        <is>
          <t>69,95</t>
        </is>
      </c>
    </row>
    <row r="1024">
      <c r="A1024" s="65" t="inlineStr">
        <is>
          <t>S00356</t>
        </is>
      </c>
      <c r="B1024" s="62" t="n">
        <v>46153.35282407407</v>
      </c>
      <c r="C1024" s="65" t="inlineStr">
        <is>
          <t>Asociación Cooperativa la Esquina del Lubricante 9999 R.L</t>
        </is>
      </c>
      <c r="D1024" s="65" t="inlineStr">
        <is>
          <t>GRIMAN DIAZ HECTOR EDUARDO</t>
        </is>
      </c>
      <c r="E1024" s="65" t="inlineStr">
        <is>
          <t>7 días</t>
        </is>
      </c>
      <c r="F1024" s="65" t="n">
        <v>5</v>
      </c>
      <c r="G1024" s="65" t="inlineStr">
        <is>
          <t>Pago VES</t>
        </is>
      </c>
      <c r="H1024" s="65" t="inlineStr">
        <is>
          <t>[0878] SS EXTRA PROTECCION API SN SAE 20W-50 (1x12)</t>
        </is>
      </c>
      <c r="I1024" s="65" t="n">
        <v>878</v>
      </c>
      <c r="J1024" s="63" t="inlineStr">
        <is>
          <t>1,00</t>
        </is>
      </c>
      <c r="K1024" s="63" t="inlineStr">
        <is>
          <t>99,88</t>
        </is>
      </c>
      <c r="L1024" s="63" t="inlineStr">
        <is>
          <t>0,00</t>
        </is>
      </c>
      <c r="M1024" s="63" t="inlineStr">
        <is>
          <t>99,88</t>
        </is>
      </c>
      <c r="N1024" s="63" t="inlineStr">
        <is>
          <t>115,86</t>
        </is>
      </c>
      <c r="O1024" s="63" t="inlineStr">
        <is>
          <t>99,88</t>
        </is>
      </c>
      <c r="P1024" s="63" t="inlineStr">
        <is>
          <t>115,86</t>
        </is>
      </c>
      <c r="Q1024" s="63" t="inlineStr">
        <is>
          <t>520,91</t>
        </is>
      </c>
      <c r="R1024" s="66" t="n">
        <v>46185</v>
      </c>
      <c r="S1024" s="65" t="n">
        <v>141</v>
      </c>
      <c r="T1024" s="65" t="inlineStr">
        <is>
          <t>00-00000584</t>
        </is>
      </c>
      <c r="U1024" s="63" t="inlineStr">
        <is>
          <t>74,99</t>
        </is>
      </c>
      <c r="V1024" s="63" t="inlineStr">
        <is>
          <t>0,00</t>
        </is>
      </c>
    </row>
    <row r="1025">
      <c r="A1025" s="65" t="inlineStr">
        <is>
          <t>S00355</t>
        </is>
      </c>
      <c r="B1025" s="62" t="n">
        <v>46153.35143518518</v>
      </c>
      <c r="C1025" s="65" t="inlineStr">
        <is>
          <t>DIADOMHAN AUTOMOTRIZ, C.A.</t>
        </is>
      </c>
      <c r="D1025" s="65" t="inlineStr">
        <is>
          <t>TORO ARDILES DAVID JOSE</t>
        </is>
      </c>
      <c r="E1025" s="65" t="inlineStr">
        <is>
          <t>7 días</t>
        </is>
      </c>
      <c r="F1025" s="65" t="n">
        <v>5</v>
      </c>
      <c r="G1025" s="65" t="inlineStr">
        <is>
          <t>Pago VES</t>
        </is>
      </c>
      <c r="H1025" s="65" t="inlineStr">
        <is>
          <t>[0881] CLASICO API SL SAE 20W-50 (1x12)</t>
        </is>
      </c>
      <c r="I1025" s="65" t="n">
        <v>881</v>
      </c>
      <c r="J1025" s="63" t="inlineStr">
        <is>
          <t>1,00</t>
        </is>
      </c>
      <c r="K1025" s="63" t="inlineStr">
        <is>
          <t>86,90</t>
        </is>
      </c>
      <c r="L1025" s="63" t="inlineStr">
        <is>
          <t>0,00</t>
        </is>
      </c>
      <c r="M1025" s="63" t="inlineStr">
        <is>
          <t>86,90</t>
        </is>
      </c>
      <c r="N1025" s="63" t="inlineStr">
        <is>
          <t>100,80</t>
        </is>
      </c>
      <c r="O1025" s="63" t="inlineStr">
        <is>
          <t>557,33</t>
        </is>
      </c>
      <c r="P1025" s="63" t="inlineStr">
        <is>
          <t>646,49</t>
        </is>
      </c>
      <c r="Q1025" s="63" t="inlineStr">
        <is>
          <t>724,00</t>
        </is>
      </c>
      <c r="R1025" s="66" t="n">
        <v>46217</v>
      </c>
      <c r="S1025" s="65" t="n">
        <v>442</v>
      </c>
      <c r="T1025" s="65" t="inlineStr">
        <is>
          <t>00-00000986</t>
        </is>
      </c>
      <c r="U1025" s="63" t="inlineStr">
        <is>
          <t>646,47</t>
        </is>
      </c>
      <c r="V1025" s="63" t="inlineStr">
        <is>
          <t>646,51</t>
        </is>
      </c>
    </row>
    <row r="1026">
      <c r="A1026" s="65" t="n"/>
      <c r="B1026" s="65" t="n"/>
      <c r="C1026" s="65" t="n"/>
      <c r="D1026" s="65" t="n"/>
      <c r="E1026" s="65" t="n"/>
      <c r="F1026" s="65" t="n"/>
      <c r="G1026" s="65" t="n"/>
      <c r="H1026" s="65" t="inlineStr">
        <is>
          <t>[0880] CLASICO API SL SAE 15W-40 (1x12)</t>
        </is>
      </c>
      <c r="I1026" s="65" t="n">
        <v>880</v>
      </c>
      <c r="J1026" s="63" t="inlineStr">
        <is>
          <t>1,00</t>
        </is>
      </c>
      <c r="K1026" s="63" t="inlineStr">
        <is>
          <t>86,21</t>
        </is>
      </c>
      <c r="L1026" s="63" t="inlineStr">
        <is>
          <t>1,52</t>
        </is>
      </c>
      <c r="M1026" s="63" t="inlineStr">
        <is>
          <t>84,90</t>
        </is>
      </c>
      <c r="N1026" s="63" t="inlineStr">
        <is>
          <t>98,48</t>
        </is>
      </c>
      <c r="O1026" s="65" t="n"/>
      <c r="P1026" s="65" t="n"/>
      <c r="Q1026" s="65" t="n"/>
      <c r="R1026" s="65" t="n"/>
      <c r="S1026" s="65" t="n"/>
      <c r="T1026" s="65" t="n"/>
      <c r="U1026" s="65" t="n"/>
      <c r="V1026" s="65" t="n"/>
    </row>
    <row r="1027">
      <c r="A1027" s="65" t="n"/>
      <c r="B1027" s="65" t="n"/>
      <c r="C1027" s="65" t="n"/>
      <c r="D1027" s="65" t="n"/>
      <c r="E1027" s="65" t="n"/>
      <c r="F1027" s="65" t="n"/>
      <c r="G1027" s="65" t="n"/>
      <c r="H1027" s="65" t="inlineStr">
        <is>
          <t>[0877] SS EXTRA PROTECCION API SN SAE 15W-40 (1X12)</t>
        </is>
      </c>
      <c r="I1027" s="65" t="n">
        <v>877</v>
      </c>
      <c r="J1027" s="63" t="inlineStr">
        <is>
          <t>1,00</t>
        </is>
      </c>
      <c r="K1027" s="63" t="inlineStr">
        <is>
          <t>100,80</t>
        </is>
      </c>
      <c r="L1027" s="63" t="inlineStr">
        <is>
          <t>0,91</t>
        </is>
      </c>
      <c r="M1027" s="63" t="inlineStr">
        <is>
          <t>99,88</t>
        </is>
      </c>
      <c r="N1027" s="63" t="inlineStr">
        <is>
          <t>115,86</t>
        </is>
      </c>
      <c r="O1027" s="65" t="n"/>
      <c r="P1027" s="65" t="n"/>
      <c r="Q1027" s="65" t="n"/>
      <c r="R1027" s="65" t="n"/>
      <c r="S1027" s="65" t="n"/>
      <c r="T1027" s="65" t="n"/>
      <c r="U1027" s="65" t="n"/>
      <c r="V1027" s="65" t="n"/>
    </row>
    <row r="1028">
      <c r="A1028" s="65" t="n"/>
      <c r="B1028" s="65" t="n"/>
      <c r="C1028" s="65" t="n"/>
      <c r="D1028" s="65" t="n"/>
      <c r="E1028" s="65" t="n"/>
      <c r="F1028" s="65" t="n"/>
      <c r="G1028" s="65" t="n"/>
      <c r="H1028" s="65" t="inlineStr">
        <is>
          <t>[0878] SS EXTRA PROTECCION API SN SAE 20W-50 (1x12)</t>
        </is>
      </c>
      <c r="I1028" s="65" t="n">
        <v>878</v>
      </c>
      <c r="J1028" s="63" t="inlineStr">
        <is>
          <t>1,00</t>
        </is>
      </c>
      <c r="K1028" s="63" t="inlineStr">
        <is>
          <t>100,80</t>
        </is>
      </c>
      <c r="L1028" s="63" t="inlineStr">
        <is>
          <t>0,91</t>
        </is>
      </c>
      <c r="M1028" s="63" t="inlineStr">
        <is>
          <t>99,88</t>
        </is>
      </c>
      <c r="N1028" s="63" t="inlineStr">
        <is>
          <t>115,86</t>
        </is>
      </c>
      <c r="O1028" s="65" t="n"/>
      <c r="P1028" s="65" t="n"/>
      <c r="Q1028" s="65" t="n"/>
      <c r="R1028" s="65" t="n"/>
      <c r="S1028" s="65" t="n"/>
      <c r="T1028" s="65" t="n"/>
      <c r="U1028" s="65" t="n"/>
      <c r="V1028" s="65" t="n"/>
    </row>
    <row r="1029">
      <c r="A1029" s="65" t="n"/>
      <c r="B1029" s="65" t="n"/>
      <c r="C1029" s="65" t="n"/>
      <c r="D1029" s="65" t="n"/>
      <c r="E1029" s="65" t="n"/>
      <c r="F1029" s="65" t="n"/>
      <c r="G1029" s="65" t="n"/>
      <c r="H1029" s="65" t="inlineStr">
        <is>
          <t>[0887] MOTOCLASICO 4T SAE 20W-50 (1x12)</t>
        </is>
      </c>
      <c r="I1029" s="65" t="n">
        <v>887</v>
      </c>
      <c r="J1029" s="63" t="inlineStr">
        <is>
          <t>1,00</t>
        </is>
      </c>
      <c r="K1029" s="63" t="inlineStr">
        <is>
          <t>90,19</t>
        </is>
      </c>
      <c r="L1029" s="63" t="inlineStr">
        <is>
          <t>0,33</t>
        </is>
      </c>
      <c r="M1029" s="63" t="inlineStr">
        <is>
          <t>89,89</t>
        </is>
      </c>
      <c r="N1029" s="63" t="inlineStr">
        <is>
          <t>104,27</t>
        </is>
      </c>
      <c r="O1029" s="65" t="n"/>
      <c r="P1029" s="65" t="n"/>
      <c r="Q1029" s="65" t="n"/>
      <c r="R1029" s="65" t="n"/>
      <c r="S1029" s="65" t="n"/>
      <c r="T1029" s="65" t="n"/>
      <c r="U1029" s="65" t="n"/>
      <c r="V1029" s="65" t="n"/>
    </row>
    <row r="1030">
      <c r="A1030" s="65" t="n"/>
      <c r="B1030" s="65" t="n"/>
      <c r="C1030" s="65" t="n"/>
      <c r="D1030" s="65" t="n"/>
      <c r="E1030" s="65" t="n"/>
      <c r="F1030" s="65" t="n"/>
      <c r="G1030" s="65" t="n"/>
      <c r="H1030" s="65" t="inlineStr">
        <is>
          <t>[0884] TRANSMATIC ATF DEXRON III (1x12)</t>
        </is>
      </c>
      <c r="I1030" s="65" t="n">
        <v>884</v>
      </c>
      <c r="J1030" s="63" t="inlineStr">
        <is>
          <t>1,00</t>
        </is>
      </c>
      <c r="K1030" s="63" t="inlineStr">
        <is>
          <t>95,88</t>
        </is>
      </c>
      <c r="L1030" s="63" t="inlineStr">
        <is>
          <t>0,00</t>
        </is>
      </c>
      <c r="M1030" s="63" t="inlineStr">
        <is>
          <t>95,88</t>
        </is>
      </c>
      <c r="N1030" s="63" t="inlineStr">
        <is>
          <t>111,22</t>
        </is>
      </c>
      <c r="O1030" s="65" t="n"/>
      <c r="P1030" s="65" t="n"/>
      <c r="Q1030" s="65" t="n"/>
      <c r="R1030" s="65" t="n"/>
      <c r="S1030" s="65" t="n"/>
      <c r="T1030" s="65" t="n"/>
      <c r="U1030" s="65" t="n"/>
      <c r="V1030" s="65" t="n"/>
    </row>
    <row r="1031">
      <c r="A1031" s="65" t="inlineStr">
        <is>
          <t>S00351</t>
        </is>
      </c>
      <c r="B1031" s="62" t="n">
        <v>46150.72583333333</v>
      </c>
      <c r="C1031" s="65" t="inlineStr">
        <is>
          <t>INVERSIONES BECLA PARTS C.A.</t>
        </is>
      </c>
      <c r="D1031" s="65" t="inlineStr">
        <is>
          <t>TORO ARDILES DAVID JOSE</t>
        </is>
      </c>
      <c r="E1031" s="65" t="inlineStr">
        <is>
          <t>7 días</t>
        </is>
      </c>
      <c r="F1031" s="65" t="n">
        <v>5</v>
      </c>
      <c r="G1031" s="65" t="inlineStr">
        <is>
          <t>Pago VES</t>
        </is>
      </c>
      <c r="H1031" s="65" t="inlineStr">
        <is>
          <t>[0779] SINOCO SAE 20W-50 (1x12)</t>
        </is>
      </c>
      <c r="I1031" s="65" t="n">
        <v>779</v>
      </c>
      <c r="J1031" s="63" t="inlineStr">
        <is>
          <t>2,00</t>
        </is>
      </c>
      <c r="K1031" s="63" t="inlineStr">
        <is>
          <t>70,00</t>
        </is>
      </c>
      <c r="L1031" s="63" t="inlineStr">
        <is>
          <t>0,00</t>
        </is>
      </c>
      <c r="M1031" s="63" t="inlineStr">
        <is>
          <t>140,00</t>
        </is>
      </c>
      <c r="N1031" s="63" t="inlineStr">
        <is>
          <t>162,40</t>
        </is>
      </c>
      <c r="O1031" s="63" t="inlineStr">
        <is>
          <t>140,00</t>
        </is>
      </c>
      <c r="P1031" s="63" t="inlineStr">
        <is>
          <t>162,40</t>
        </is>
      </c>
      <c r="Q1031" s="63" t="inlineStr">
        <is>
          <t>520,91</t>
        </is>
      </c>
      <c r="R1031" s="66" t="n">
        <v>46188</v>
      </c>
      <c r="S1031" s="65" t="n">
        <v>179</v>
      </c>
      <c r="T1031" s="65" t="inlineStr">
        <is>
          <t>00-00000630</t>
        </is>
      </c>
      <c r="U1031" s="63" t="inlineStr">
        <is>
          <t>162,38</t>
        </is>
      </c>
      <c r="V1031" s="63" t="inlineStr">
        <is>
          <t>0,00</t>
        </is>
      </c>
    </row>
    <row r="1032">
      <c r="A1032" s="65" t="inlineStr">
        <is>
          <t>S00347</t>
        </is>
      </c>
      <c r="B1032" s="62" t="n">
        <v>46150.64166666667</v>
      </c>
      <c r="C1032" s="65" t="inlineStr">
        <is>
          <t>Auto Servicios HN 6972, C.A</t>
        </is>
      </c>
      <c r="D1032" s="65" t="inlineStr">
        <is>
          <t>QUEVEDO BASTIDAS NEYKEL DAVID</t>
        </is>
      </c>
      <c r="E1032" s="65" t="inlineStr">
        <is>
          <t>7 días</t>
        </is>
      </c>
      <c r="F1032" s="65" t="n">
        <v>5</v>
      </c>
      <c r="G1032" s="65" t="inlineStr">
        <is>
          <t>Pago VES</t>
        </is>
      </c>
      <c r="H1032" s="65" t="inlineStr">
        <is>
          <t>[0877] SS EXTRA PROTECCION API SN SAE 15W-40 (1X12)</t>
        </is>
      </c>
      <c r="I1032" s="65" t="n">
        <v>877</v>
      </c>
      <c r="J1032" s="63" t="inlineStr">
        <is>
          <t>2,00</t>
        </is>
      </c>
      <c r="K1032" s="63" t="inlineStr">
        <is>
          <t>100,80</t>
        </is>
      </c>
      <c r="L1032" s="63" t="inlineStr">
        <is>
          <t>0,79</t>
        </is>
      </c>
      <c r="M1032" s="63" t="inlineStr">
        <is>
          <t>200,01</t>
        </is>
      </c>
      <c r="N1032" s="63" t="inlineStr">
        <is>
          <t>232,01</t>
        </is>
      </c>
      <c r="O1032" s="63" t="inlineStr">
        <is>
          <t>300,01</t>
        </is>
      </c>
      <c r="P1032" s="63" t="inlineStr">
        <is>
          <t>348,01</t>
        </is>
      </c>
      <c r="Q1032" s="63" t="inlineStr">
        <is>
          <t>709,69</t>
        </is>
      </c>
      <c r="R1032" s="66" t="n">
        <v>46215</v>
      </c>
      <c r="S1032" s="65" t="n">
        <v>334</v>
      </c>
      <c r="T1032" s="65" t="inlineStr">
        <is>
          <t>00-00000876</t>
        </is>
      </c>
      <c r="U1032" s="63" t="inlineStr">
        <is>
          <t>348,00</t>
        </is>
      </c>
      <c r="V1032" s="63" t="inlineStr">
        <is>
          <t>348,01</t>
        </is>
      </c>
    </row>
    <row r="1033">
      <c r="A1033" s="65" t="n"/>
      <c r="B1033" s="65" t="n"/>
      <c r="C1033" s="65" t="n"/>
      <c r="D1033" s="65" t="n"/>
      <c r="E1033" s="65" t="n"/>
      <c r="F1033" s="65" t="n"/>
      <c r="G1033" s="65" t="n"/>
      <c r="H1033" s="65" t="n"/>
      <c r="I1033" s="65" t="n"/>
      <c r="J1033" s="63" t="inlineStr">
        <is>
          <t>0,00</t>
        </is>
      </c>
      <c r="K1033" s="63" t="inlineStr">
        <is>
          <t>0,00</t>
        </is>
      </c>
      <c r="L1033" s="63" t="inlineStr">
        <is>
          <t>0,00</t>
        </is>
      </c>
      <c r="M1033" s="63" t="inlineStr">
        <is>
          <t>0,00</t>
        </is>
      </c>
      <c r="N1033" s="63" t="inlineStr">
        <is>
          <t>0,00</t>
        </is>
      </c>
      <c r="O1033" s="65" t="n"/>
      <c r="P1033" s="65" t="n"/>
      <c r="Q1033" s="65" t="n"/>
      <c r="R1033" s="65" t="n"/>
      <c r="S1033" s="65" t="n"/>
      <c r="T1033" s="65" t="n"/>
      <c r="U1033" s="65" t="n"/>
      <c r="V1033" s="65" t="n"/>
    </row>
    <row r="1034">
      <c r="A1034" s="65" t="n"/>
      <c r="B1034" s="65" t="n"/>
      <c r="C1034" s="65" t="n"/>
      <c r="D1034" s="65" t="n"/>
      <c r="E1034" s="65" t="n"/>
      <c r="F1034" s="65" t="n"/>
      <c r="G1034" s="65" t="n"/>
      <c r="H1034" s="65" t="inlineStr">
        <is>
          <t>[0025] SS EXTRA PROTECCION API SN SAE 10W-30 (Gasolina) (1x6)</t>
        </is>
      </c>
      <c r="I1034" s="65" t="n">
        <v>25</v>
      </c>
      <c r="J1034" s="63" t="inlineStr">
        <is>
          <t>2,00</t>
        </is>
      </c>
      <c r="K1034" s="63" t="inlineStr">
        <is>
          <t>50,40</t>
        </is>
      </c>
      <c r="L1034" s="63" t="inlineStr">
        <is>
          <t>0,79</t>
        </is>
      </c>
      <c r="M1034" s="63" t="inlineStr">
        <is>
          <t>100,00</t>
        </is>
      </c>
      <c r="N1034" s="63" t="inlineStr">
        <is>
          <t>116,00</t>
        </is>
      </c>
      <c r="O1034" s="65" t="n"/>
      <c r="P1034" s="65" t="n"/>
      <c r="Q1034" s="65" t="n"/>
      <c r="R1034" s="65" t="n"/>
      <c r="S1034" s="65" t="n"/>
      <c r="T1034" s="65" t="n"/>
      <c r="U1034" s="65" t="n"/>
      <c r="V1034" s="65" t="n"/>
    </row>
    <row r="1035">
      <c r="A1035" s="65" t="inlineStr">
        <is>
          <t>S00348</t>
        </is>
      </c>
      <c r="B1035" s="62" t="n">
        <v>46150.64091435185</v>
      </c>
      <c r="C1035" s="65" t="inlineStr">
        <is>
          <t>Comercial Rio Paraguas C.A</t>
        </is>
      </c>
      <c r="D1035" s="65" t="inlineStr">
        <is>
          <t>QUEVEDO BASTIDAS NEYKEL DAVID</t>
        </is>
      </c>
      <c r="E1035" s="65" t="inlineStr">
        <is>
          <t>7 días</t>
        </is>
      </c>
      <c r="F1035" s="65" t="n">
        <v>5</v>
      </c>
      <c r="G1035" s="65" t="inlineStr">
        <is>
          <t>Pago VES</t>
        </is>
      </c>
      <c r="H1035" s="65" t="inlineStr">
        <is>
          <t>[0779] SINOCO SAE 20W-50 (1x12)</t>
        </is>
      </c>
      <c r="I1035" s="65" t="n">
        <v>779</v>
      </c>
      <c r="J1035" s="63" t="inlineStr">
        <is>
          <t>6,00</t>
        </is>
      </c>
      <c r="K1035" s="63" t="inlineStr">
        <is>
          <t>70,00</t>
        </is>
      </c>
      <c r="L1035" s="63" t="inlineStr">
        <is>
          <t>0,00</t>
        </is>
      </c>
      <c r="M1035" s="63" t="inlineStr">
        <is>
          <t>420,00</t>
        </is>
      </c>
      <c r="N1035" s="63" t="inlineStr">
        <is>
          <t>487,20</t>
        </is>
      </c>
      <c r="O1035" s="63" t="inlineStr">
        <is>
          <t>420,00</t>
        </is>
      </c>
      <c r="P1035" s="63" t="inlineStr">
        <is>
          <t>487,20</t>
        </is>
      </c>
      <c r="Q1035" s="63" t="inlineStr">
        <is>
          <t>520,91</t>
        </is>
      </c>
      <c r="R1035" s="66" t="n">
        <v>46185</v>
      </c>
      <c r="S1035" s="65" t="n">
        <v>170</v>
      </c>
      <c r="T1035" s="65" t="inlineStr">
        <is>
          <t>00-00000613</t>
        </is>
      </c>
      <c r="U1035" s="63" t="inlineStr">
        <is>
          <t>472,58</t>
        </is>
      </c>
      <c r="V1035" s="63" t="inlineStr">
        <is>
          <t>472,58</t>
        </is>
      </c>
    </row>
    <row r="1036">
      <c r="A1036" s="65" t="inlineStr">
        <is>
          <t>S00344</t>
        </is>
      </c>
      <c r="B1036" s="62" t="n">
        <v>46149.70366898148</v>
      </c>
      <c r="C1036" s="65" t="inlineStr">
        <is>
          <t>EMPRENDIMIENTO IRMA RODRIGUEZ 6</t>
        </is>
      </c>
      <c r="D1036" s="65" t="inlineStr">
        <is>
          <t>TORO ARDILES DAVID JOSE</t>
        </is>
      </c>
      <c r="E1036" s="65" t="inlineStr">
        <is>
          <t>7 días</t>
        </is>
      </c>
      <c r="F1036" s="65" t="n">
        <v>5</v>
      </c>
      <c r="G1036" s="65" t="inlineStr">
        <is>
          <t>Pago VES</t>
        </is>
      </c>
      <c r="H1036" s="65" t="inlineStr">
        <is>
          <t>[0774] LIGA PARA FRENOS DOT-4 (1X6)</t>
        </is>
      </c>
      <c r="I1036" s="65" t="n">
        <v>774</v>
      </c>
      <c r="J1036" s="63" t="inlineStr">
        <is>
          <t>2,00</t>
        </is>
      </c>
      <c r="K1036" s="63" t="inlineStr">
        <is>
          <t>64,00</t>
        </is>
      </c>
      <c r="L1036" s="63" t="inlineStr">
        <is>
          <t>0,00</t>
        </is>
      </c>
      <c r="M1036" s="63" t="inlineStr">
        <is>
          <t>128,00</t>
        </is>
      </c>
      <c r="N1036" s="63" t="inlineStr">
        <is>
          <t>148,48</t>
        </is>
      </c>
      <c r="O1036" s="63" t="inlineStr">
        <is>
          <t>128,00</t>
        </is>
      </c>
      <c r="P1036" s="63" t="inlineStr">
        <is>
          <t>148,48</t>
        </is>
      </c>
      <c r="Q1036" s="63" t="inlineStr">
        <is>
          <t>520,91</t>
        </is>
      </c>
      <c r="R1036" s="66" t="n">
        <v>46175</v>
      </c>
      <c r="S1036" s="65" t="n">
        <v>111</v>
      </c>
      <c r="T1036" s="65" t="inlineStr">
        <is>
          <t>00-00000483</t>
        </is>
      </c>
      <c r="U1036" s="63" t="inlineStr">
        <is>
          <t>91,00</t>
        </is>
      </c>
      <c r="V1036" s="63" t="inlineStr">
        <is>
          <t>0,00</t>
        </is>
      </c>
    </row>
    <row r="1037">
      <c r="A1037" s="65" t="inlineStr">
        <is>
          <t>S00343</t>
        </is>
      </c>
      <c r="B1037" s="62" t="n">
        <v>46149.70350694445</v>
      </c>
      <c r="C1037" s="65" t="inlineStr">
        <is>
          <t>Moto repuestos el casco 2050 c.a</t>
        </is>
      </c>
      <c r="D1037" s="65" t="inlineStr">
        <is>
          <t>BETANCOURT ROBRIGUEZ LUIS ENRRIQUE</t>
        </is>
      </c>
      <c r="E1037" s="65" t="inlineStr">
        <is>
          <t>7 días</t>
        </is>
      </c>
      <c r="F1037" s="65" t="n">
        <v>5</v>
      </c>
      <c r="G1037" s="65" t="inlineStr">
        <is>
          <t>Pago VES</t>
        </is>
      </c>
      <c r="H1037" s="65" t="inlineStr">
        <is>
          <t>[0887] MOTOCLASICO 4T SAE 20W-50 (1x12)</t>
        </is>
      </c>
      <c r="I1037" s="65" t="n">
        <v>887</v>
      </c>
      <c r="J1037" s="63" t="inlineStr">
        <is>
          <t>2,00</t>
        </is>
      </c>
      <c r="K1037" s="63" t="inlineStr">
        <is>
          <t>90,19</t>
        </is>
      </c>
      <c r="L1037" s="63" t="inlineStr">
        <is>
          <t>0,21</t>
        </is>
      </c>
      <c r="M1037" s="63" t="inlineStr">
        <is>
          <t>180,00</t>
        </is>
      </c>
      <c r="N1037" s="63" t="inlineStr">
        <is>
          <t>208,80</t>
        </is>
      </c>
      <c r="O1037" s="63" t="inlineStr">
        <is>
          <t>330,00</t>
        </is>
      </c>
      <c r="P1037" s="63" t="inlineStr">
        <is>
          <t>382,80</t>
        </is>
      </c>
      <c r="Q1037" s="63" t="inlineStr">
        <is>
          <t>709,69</t>
        </is>
      </c>
      <c r="R1037" s="66" t="n">
        <v>46215</v>
      </c>
      <c r="S1037" s="65" t="n">
        <v>335</v>
      </c>
      <c r="T1037" s="65" t="inlineStr">
        <is>
          <t>00-00000877</t>
        </is>
      </c>
      <c r="U1037" s="63" t="inlineStr">
        <is>
          <t>382,80</t>
        </is>
      </c>
      <c r="V1037" s="63" t="inlineStr">
        <is>
          <t>382,80</t>
        </is>
      </c>
    </row>
    <row r="1038">
      <c r="A1038" s="65" t="n"/>
      <c r="B1038" s="65" t="n"/>
      <c r="C1038" s="65" t="n"/>
      <c r="D1038" s="65" t="n"/>
      <c r="E1038" s="65" t="n"/>
      <c r="F1038" s="65" t="n"/>
      <c r="G1038" s="65" t="n"/>
      <c r="H1038" s="65" t="inlineStr">
        <is>
          <t>[0093] ALTA CILINDRADA SS API SN SAE 15W-40 (1x6)</t>
        </is>
      </c>
      <c r="I1038" s="65" t="n">
        <v>93</v>
      </c>
      <c r="J1038" s="63" t="inlineStr">
        <is>
          <t>2,00</t>
        </is>
      </c>
      <c r="K1038" s="63" t="inlineStr">
        <is>
          <t>75,00</t>
        </is>
      </c>
      <c r="L1038" s="63" t="inlineStr">
        <is>
          <t>0,00</t>
        </is>
      </c>
      <c r="M1038" s="63" t="inlineStr">
        <is>
          <t>150,00</t>
        </is>
      </c>
      <c r="N1038" s="63" t="inlineStr">
        <is>
          <t>174,00</t>
        </is>
      </c>
      <c r="O1038" s="65" t="n"/>
      <c r="P1038" s="65" t="n"/>
      <c r="Q1038" s="65" t="n"/>
      <c r="R1038" s="65" t="n"/>
      <c r="S1038" s="65" t="n"/>
      <c r="T1038" s="65" t="n"/>
      <c r="U1038" s="65" t="n"/>
      <c r="V1038" s="65" t="n"/>
    </row>
    <row r="1039">
      <c r="A1039" s="65" t="inlineStr">
        <is>
          <t>S00341</t>
        </is>
      </c>
      <c r="B1039" s="62" t="n">
        <v>46149.69681712963</v>
      </c>
      <c r="C1039" s="65" t="inlineStr">
        <is>
          <t>Automecanica Marilu 2014, C.A</t>
        </is>
      </c>
      <c r="D1039" s="65" t="inlineStr">
        <is>
          <t>QUEVEDO BASTIDAS NEYKEL DAVID</t>
        </is>
      </c>
      <c r="E1039" s="65" t="inlineStr">
        <is>
          <t>21 días</t>
        </is>
      </c>
      <c r="F1039" s="65" t="n">
        <v>5</v>
      </c>
      <c r="G1039" s="65" t="inlineStr">
        <is>
          <t>Pago VES</t>
        </is>
      </c>
      <c r="H1039" s="65" t="inlineStr">
        <is>
          <t>[0877] SS EXTRA PROTECCION API SN SAE 15W-40 (1X12)</t>
        </is>
      </c>
      <c r="I1039" s="65" t="n">
        <v>877</v>
      </c>
      <c r="J1039" s="63" t="inlineStr">
        <is>
          <t>1,00</t>
        </is>
      </c>
      <c r="K1039" s="63" t="inlineStr">
        <is>
          <t>100,00</t>
        </is>
      </c>
      <c r="L1039" s="63" t="inlineStr">
        <is>
          <t>0,00</t>
        </is>
      </c>
      <c r="M1039" s="63" t="inlineStr">
        <is>
          <t>100,00</t>
        </is>
      </c>
      <c r="N1039" s="63" t="inlineStr">
        <is>
          <t>116,00</t>
        </is>
      </c>
      <c r="O1039" s="63" t="inlineStr">
        <is>
          <t>100,00</t>
        </is>
      </c>
      <c r="P1039" s="63" t="inlineStr">
        <is>
          <t>116,00</t>
        </is>
      </c>
      <c r="Q1039" s="63" t="inlineStr">
        <is>
          <t>520,91</t>
        </is>
      </c>
      <c r="R1039" s="66" t="n">
        <v>46184</v>
      </c>
      <c r="S1039" s="65" t="n">
        <v>138</v>
      </c>
      <c r="T1039" s="65" t="inlineStr">
        <is>
          <t>00-00000571</t>
        </is>
      </c>
      <c r="U1039" s="63" t="inlineStr">
        <is>
          <t>73,49</t>
        </is>
      </c>
      <c r="V1039" s="63" t="inlineStr">
        <is>
          <t>40,00</t>
        </is>
      </c>
    </row>
    <row r="1040">
      <c r="A1040" s="65" t="inlineStr">
        <is>
          <t>S00340</t>
        </is>
      </c>
      <c r="B1040" s="62" t="n">
        <v>46149.69663194445</v>
      </c>
      <c r="C1040" s="65" t="inlineStr">
        <is>
          <t>Yeifri Alexander Marquez Zerpa</t>
        </is>
      </c>
      <c r="D1040" s="65" t="inlineStr">
        <is>
          <t>QUEVEDO BASTIDAS NEYKEL DAVID</t>
        </is>
      </c>
      <c r="E1040" s="65" t="inlineStr">
        <is>
          <t>21 días</t>
        </is>
      </c>
      <c r="F1040" s="65" t="n">
        <v>5</v>
      </c>
      <c r="G1040" s="65" t="inlineStr">
        <is>
          <t>Pago VES</t>
        </is>
      </c>
      <c r="H1040" s="65" t="inlineStr">
        <is>
          <t>[0605] SINOCO SAE 20W-50 (PAILA)</t>
        </is>
      </c>
      <c r="I1040" s="65" t="n">
        <v>605</v>
      </c>
      <c r="J1040" s="63" t="inlineStr">
        <is>
          <t>2,00</t>
        </is>
      </c>
      <c r="K1040" s="63" t="inlineStr">
        <is>
          <t>96,82</t>
        </is>
      </c>
      <c r="L1040" s="63" t="inlineStr">
        <is>
          <t>14,85</t>
        </is>
      </c>
      <c r="M1040" s="63" t="inlineStr">
        <is>
          <t>164,88</t>
        </is>
      </c>
      <c r="N1040" s="63" t="inlineStr">
        <is>
          <t>191,26</t>
        </is>
      </c>
      <c r="O1040" s="63" t="inlineStr">
        <is>
          <t>164,88</t>
        </is>
      </c>
      <c r="P1040" s="63" t="inlineStr">
        <is>
          <t>191,26</t>
        </is>
      </c>
      <c r="Q1040" s="63" t="inlineStr">
        <is>
          <t>709,69</t>
        </is>
      </c>
      <c r="R1040" s="66" t="n">
        <v>46214</v>
      </c>
      <c r="S1040" s="65" t="n">
        <v>296</v>
      </c>
      <c r="T1040" s="65" t="inlineStr">
        <is>
          <t>00-00000835</t>
        </is>
      </c>
      <c r="U1040" s="63" t="inlineStr">
        <is>
          <t>191,26</t>
        </is>
      </c>
      <c r="V1040" s="63" t="inlineStr">
        <is>
          <t>148,05</t>
        </is>
      </c>
    </row>
    <row r="1041">
      <c r="A1041" s="65" t="inlineStr">
        <is>
          <t>S00338</t>
        </is>
      </c>
      <c r="B1041" s="62" t="n">
        <v>46149.66387731482</v>
      </c>
      <c r="C1041" s="65" t="inlineStr">
        <is>
          <t>TorniRepuesto BA 2015, C.A</t>
        </is>
      </c>
      <c r="D1041" s="65" t="inlineStr">
        <is>
          <t>QUEVEDO BASTIDAS NEYKEL DAVID</t>
        </is>
      </c>
      <c r="E1041" s="65" t="inlineStr">
        <is>
          <t>7 días</t>
        </is>
      </c>
      <c r="F1041" s="65" t="n">
        <v>5</v>
      </c>
      <c r="G1041" s="65" t="inlineStr">
        <is>
          <t>Pago VES</t>
        </is>
      </c>
      <c r="H1041" s="65" t="inlineStr">
        <is>
          <t>[0887] MOTOCLASICO 4T SAE 20W-50 (1x12)</t>
        </is>
      </c>
      <c r="I1041" s="65" t="n">
        <v>887</v>
      </c>
      <c r="J1041" s="63" t="inlineStr">
        <is>
          <t>1,00</t>
        </is>
      </c>
      <c r="K1041" s="63" t="inlineStr">
        <is>
          <t>90,00</t>
        </is>
      </c>
      <c r="L1041" s="63" t="inlineStr">
        <is>
          <t>0,00</t>
        </is>
      </c>
      <c r="M1041" s="63" t="inlineStr">
        <is>
          <t>90,00</t>
        </is>
      </c>
      <c r="N1041" s="63" t="inlineStr">
        <is>
          <t>104,40</t>
        </is>
      </c>
      <c r="O1041" s="63" t="inlineStr">
        <is>
          <t>90,00</t>
        </is>
      </c>
      <c r="P1041" s="63" t="inlineStr">
        <is>
          <t>104,40</t>
        </is>
      </c>
      <c r="Q1041" s="63" t="inlineStr">
        <is>
          <t>520,91</t>
        </is>
      </c>
      <c r="R1041" s="66" t="n">
        <v>46185</v>
      </c>
      <c r="S1041" s="65" t="n">
        <v>165</v>
      </c>
      <c r="T1041" s="65" t="inlineStr">
        <is>
          <t>00-00000608</t>
        </is>
      </c>
      <c r="U1041" s="63" t="inlineStr">
        <is>
          <t>65,95</t>
        </is>
      </c>
      <c r="V1041" s="63" t="inlineStr">
        <is>
          <t>0,00</t>
        </is>
      </c>
    </row>
    <row r="1042">
      <c r="A1042" s="65" t="inlineStr">
        <is>
          <t>S00337</t>
        </is>
      </c>
      <c r="B1042" s="62" t="n">
        <v>46149.61922453704</v>
      </c>
      <c r="C1042" s="65" t="inlineStr">
        <is>
          <t>JOSE RUBIO ESPINEL</t>
        </is>
      </c>
      <c r="D1042" s="65" t="inlineStr">
        <is>
          <t>CASERES GONZALEZ RONALD OSWALDO</t>
        </is>
      </c>
      <c r="E1042" s="65" t="inlineStr">
        <is>
          <t>Pago inmediato</t>
        </is>
      </c>
      <c r="F1042" s="65" t="n">
        <v>5</v>
      </c>
      <c r="G1042" s="65" t="inlineStr">
        <is>
          <t>Pago VES</t>
        </is>
      </c>
      <c r="H1042" s="65" t="inlineStr">
        <is>
          <t>[0093] ALTA CILINDRADA SS API SN SAE 15W-40 (1x6)</t>
        </is>
      </c>
      <c r="I1042" s="65" t="n">
        <v>93</v>
      </c>
      <c r="J1042" s="63" t="inlineStr">
        <is>
          <t>1,00</t>
        </is>
      </c>
      <c r="K1042" s="63" t="inlineStr">
        <is>
          <t>75,00</t>
        </is>
      </c>
      <c r="L1042" s="63" t="inlineStr">
        <is>
          <t>0,00</t>
        </is>
      </c>
      <c r="M1042" s="63" t="inlineStr">
        <is>
          <t>75,00</t>
        </is>
      </c>
      <c r="N1042" s="63" t="inlineStr">
        <is>
          <t>87,00</t>
        </is>
      </c>
      <c r="O1042" s="63" t="inlineStr">
        <is>
          <t>75,00</t>
        </is>
      </c>
      <c r="P1042" s="63" t="inlineStr">
        <is>
          <t>87,00</t>
        </is>
      </c>
      <c r="Q1042" s="63" t="inlineStr">
        <is>
          <t>499,86</t>
        </is>
      </c>
      <c r="R1042" s="66" t="n">
        <v>46150</v>
      </c>
      <c r="S1042" s="65" t="n">
        <v>36</v>
      </c>
      <c r="T1042" s="65" t="inlineStr">
        <is>
          <t>00-00000289</t>
        </is>
      </c>
      <c r="U1042" s="63" t="inlineStr">
        <is>
          <t>34,99</t>
        </is>
      </c>
      <c r="V1042" s="63" t="inlineStr">
        <is>
          <t>35,00</t>
        </is>
      </c>
    </row>
    <row r="1043">
      <c r="A1043" s="65" t="inlineStr">
        <is>
          <t>S00336</t>
        </is>
      </c>
      <c r="B1043" s="62" t="n">
        <v>46149.49375</v>
      </c>
      <c r="C1043" s="65" t="inlineStr">
        <is>
          <t>Asociación Cooperativa la Esquina del Lubricante 9999 R.L</t>
        </is>
      </c>
      <c r="D1043" s="65" t="inlineStr">
        <is>
          <t>GRIMAN DIAZ HECTOR EDUARDO</t>
        </is>
      </c>
      <c r="E1043" s="65" t="inlineStr">
        <is>
          <t>7 días</t>
        </is>
      </c>
      <c r="F1043" s="65" t="n">
        <v>5</v>
      </c>
      <c r="G1043" s="65" t="inlineStr">
        <is>
          <t>Pago VES</t>
        </is>
      </c>
      <c r="H1043" s="65" t="inlineStr">
        <is>
          <t>[0877] SS EXTRA PROTECCION API SN SAE 15W-40 (1X12)</t>
        </is>
      </c>
      <c r="I1043" s="65" t="n">
        <v>877</v>
      </c>
      <c r="J1043" s="63" t="inlineStr">
        <is>
          <t>2,00</t>
        </is>
      </c>
      <c r="K1043" s="63" t="inlineStr">
        <is>
          <t>100,80</t>
        </is>
      </c>
      <c r="L1043" s="63" t="inlineStr">
        <is>
          <t>0,79</t>
        </is>
      </c>
      <c r="M1043" s="63" t="inlineStr">
        <is>
          <t>200,01</t>
        </is>
      </c>
      <c r="N1043" s="63" t="inlineStr">
        <is>
          <t>232,01</t>
        </is>
      </c>
      <c r="O1043" s="63" t="inlineStr">
        <is>
          <t>269,01</t>
        </is>
      </c>
      <c r="P1043" s="63" t="inlineStr">
        <is>
          <t>312,05</t>
        </is>
      </c>
      <c r="Q1043" s="63" t="inlineStr">
        <is>
          <t>727,45</t>
        </is>
      </c>
      <c r="R1043" s="66" t="n">
        <v>46219</v>
      </c>
      <c r="S1043" s="65" t="n">
        <v>515</v>
      </c>
      <c r="T1043" s="65" t="inlineStr">
        <is>
          <t>00-00001068</t>
        </is>
      </c>
      <c r="U1043" s="63" t="inlineStr">
        <is>
          <t>312,03</t>
        </is>
      </c>
      <c r="V1043" s="63" t="inlineStr">
        <is>
          <t>0,00</t>
        </is>
      </c>
    </row>
    <row r="1044">
      <c r="A1044" s="65" t="n"/>
      <c r="B1044" s="65" t="n"/>
      <c r="C1044" s="65" t="n"/>
      <c r="D1044" s="65" t="n"/>
      <c r="E1044" s="65" t="n"/>
      <c r="F1044" s="65" t="n"/>
      <c r="G1044" s="65" t="n"/>
      <c r="H1044" s="65" t="inlineStr">
        <is>
          <t>[0001] ELITE API SP SAE 0W-20 (1x6)</t>
        </is>
      </c>
      <c r="I1044" s="65" t="n">
        <v>1</v>
      </c>
      <c r="J1044" s="63" t="inlineStr">
        <is>
          <t>0,00</t>
        </is>
      </c>
      <c r="K1044" s="63" t="inlineStr">
        <is>
          <t>74,27</t>
        </is>
      </c>
      <c r="L1044" s="63" t="inlineStr">
        <is>
          <t>100,00</t>
        </is>
      </c>
      <c r="M1044" s="63" t="inlineStr">
        <is>
          <t>0,00</t>
        </is>
      </c>
      <c r="N1044" s="63" t="inlineStr">
        <is>
          <t>0,00</t>
        </is>
      </c>
      <c r="O1044" s="65" t="n"/>
      <c r="P1044" s="65" t="n"/>
      <c r="Q1044" s="65" t="n"/>
      <c r="R1044" s="65" t="n"/>
      <c r="S1044" s="65" t="n"/>
      <c r="T1044" s="65" t="n"/>
      <c r="U1044" s="65" t="n"/>
      <c r="V1044" s="65" t="n"/>
    </row>
    <row r="1045">
      <c r="A1045" s="65" t="n"/>
      <c r="B1045" s="65" t="n"/>
      <c r="C1045" s="65" t="n"/>
      <c r="D1045" s="65" t="n"/>
      <c r="E1045" s="65" t="n"/>
      <c r="F1045" s="65" t="n"/>
      <c r="G1045" s="65" t="n"/>
      <c r="H1045" s="65" t="inlineStr">
        <is>
          <t>[0915] SINOCO SAE 50 (1x12)</t>
        </is>
      </c>
      <c r="I1045" s="65" t="n">
        <v>915</v>
      </c>
      <c r="J1045" s="63" t="inlineStr">
        <is>
          <t>1,00</t>
        </is>
      </c>
      <c r="K1045" s="63" t="inlineStr">
        <is>
          <t>70,29</t>
        </is>
      </c>
      <c r="L1045" s="63" t="inlineStr">
        <is>
          <t>1,84</t>
        </is>
      </c>
      <c r="M1045" s="63" t="inlineStr">
        <is>
          <t>69,00</t>
        </is>
      </c>
      <c r="N1045" s="63" t="inlineStr">
        <is>
          <t>80,04</t>
        </is>
      </c>
      <c r="O1045" s="65" t="n"/>
      <c r="P1045" s="65" t="n"/>
      <c r="Q1045" s="65" t="n"/>
      <c r="R1045" s="65" t="n"/>
      <c r="S1045" s="65" t="n"/>
      <c r="T1045" s="65" t="n"/>
      <c r="U1045" s="65" t="n"/>
      <c r="V1045" s="65" t="n"/>
    </row>
    <row r="1046">
      <c r="A1046" s="65" t="inlineStr">
        <is>
          <t>S00330</t>
        </is>
      </c>
      <c r="B1046" s="62" t="n">
        <v>46148.69730324074</v>
      </c>
      <c r="C1046" s="65" t="inlineStr">
        <is>
          <t>Diana Carolina Torres</t>
        </is>
      </c>
      <c r="D1046" s="65" t="inlineStr">
        <is>
          <t>VILLABONA CORREA ALBA ESTEFANIA</t>
        </is>
      </c>
      <c r="E1046" s="65" t="inlineStr">
        <is>
          <t>7 días</t>
        </is>
      </c>
      <c r="F1046" s="65" t="n">
        <v>5</v>
      </c>
      <c r="G1046" s="65" t="inlineStr">
        <is>
          <t>Pago VES</t>
        </is>
      </c>
      <c r="H1046" s="65" t="inlineStr">
        <is>
          <t>[0602] SINOCO SAE 50 (PAILA)</t>
        </is>
      </c>
      <c r="I1046" s="65" t="n">
        <v>602</v>
      </c>
      <c r="J1046" s="63" t="inlineStr">
        <is>
          <t>2,00</t>
        </is>
      </c>
      <c r="K1046" s="63" t="inlineStr">
        <is>
          <t>96,82</t>
        </is>
      </c>
      <c r="L1046" s="63" t="inlineStr">
        <is>
          <t>3,95</t>
        </is>
      </c>
      <c r="M1046" s="63" t="inlineStr">
        <is>
          <t>185,99</t>
        </is>
      </c>
      <c r="N1046" s="63" t="inlineStr">
        <is>
          <t>215,75</t>
        </is>
      </c>
      <c r="O1046" s="63" t="inlineStr">
        <is>
          <t>241,99</t>
        </is>
      </c>
      <c r="P1046" s="63" t="inlineStr">
        <is>
          <t>280,71</t>
        </is>
      </c>
      <c r="Q1046" s="63" t="inlineStr">
        <is>
          <t>709,69</t>
        </is>
      </c>
      <c r="R1046" s="66" t="n">
        <v>46215</v>
      </c>
      <c r="S1046" s="65" t="n">
        <v>336</v>
      </c>
      <c r="T1046" s="65" t="inlineStr">
        <is>
          <t>00-00000878</t>
        </is>
      </c>
      <c r="U1046" s="63" t="inlineStr">
        <is>
          <t>280,69</t>
        </is>
      </c>
      <c r="V1046" s="63" t="inlineStr">
        <is>
          <t>280,71</t>
        </is>
      </c>
    </row>
    <row r="1047">
      <c r="A1047" s="65" t="n"/>
      <c r="B1047" s="65" t="n"/>
      <c r="C1047" s="65" t="n"/>
      <c r="D1047" s="65" t="n"/>
      <c r="E1047" s="65" t="n"/>
      <c r="F1047" s="65" t="n"/>
      <c r="G1047" s="65" t="n"/>
      <c r="H1047" s="65" t="inlineStr">
        <is>
          <t>[0762] LIGA PARA FRENOS DOT-3 (1x6)</t>
        </is>
      </c>
      <c r="I1047" s="65" t="n">
        <v>762</v>
      </c>
      <c r="J1047" s="63" t="inlineStr">
        <is>
          <t>1,00</t>
        </is>
      </c>
      <c r="K1047" s="63" t="inlineStr">
        <is>
          <t>57,03</t>
        </is>
      </c>
      <c r="L1047" s="63" t="inlineStr">
        <is>
          <t>1,81</t>
        </is>
      </c>
      <c r="M1047" s="63" t="inlineStr">
        <is>
          <t>56,00</t>
        </is>
      </c>
      <c r="N1047" s="63" t="inlineStr">
        <is>
          <t>64,96</t>
        </is>
      </c>
      <c r="O1047" s="65" t="n"/>
      <c r="P1047" s="65" t="n"/>
      <c r="Q1047" s="65" t="n"/>
      <c r="R1047" s="65" t="n"/>
      <c r="S1047" s="65" t="n"/>
      <c r="T1047" s="65" t="n"/>
      <c r="U1047" s="65" t="n"/>
      <c r="V1047" s="65" t="n"/>
    </row>
    <row r="1048">
      <c r="A1048" s="65" t="inlineStr">
        <is>
          <t>S00331</t>
        </is>
      </c>
      <c r="B1048" s="62" t="n">
        <v>46148.69721064815</v>
      </c>
      <c r="C1048" s="65" t="inlineStr">
        <is>
          <t>ALI ALEXANDER MORENO FIGUEREDO</t>
        </is>
      </c>
      <c r="D1048" s="65" t="inlineStr">
        <is>
          <t>VILLABONA CORREA ALBA ESTEFANIA</t>
        </is>
      </c>
      <c r="E1048" s="65" t="inlineStr">
        <is>
          <t>7 días</t>
        </is>
      </c>
      <c r="F1048" s="65" t="n">
        <v>5</v>
      </c>
      <c r="G1048" s="65" t="inlineStr">
        <is>
          <t>Pago VES</t>
        </is>
      </c>
      <c r="H1048" s="65" t="inlineStr">
        <is>
          <t>[0761] LIGA PARA FRENOS DOT-3 (1x12)</t>
        </is>
      </c>
      <c r="I1048" s="65" t="n">
        <v>761</v>
      </c>
      <c r="J1048" s="63" t="inlineStr">
        <is>
          <t>1,00</t>
        </is>
      </c>
      <c r="K1048" s="63" t="inlineStr">
        <is>
          <t>36,00</t>
        </is>
      </c>
      <c r="L1048" s="63" t="inlineStr">
        <is>
          <t>0,00</t>
        </is>
      </c>
      <c r="M1048" s="63" t="inlineStr">
        <is>
          <t>36,00</t>
        </is>
      </c>
      <c r="N1048" s="63" t="inlineStr">
        <is>
          <t>41,76</t>
        </is>
      </c>
      <c r="O1048" s="63" t="inlineStr">
        <is>
          <t>92,00</t>
        </is>
      </c>
      <c r="P1048" s="63" t="inlineStr">
        <is>
          <t>106,72</t>
        </is>
      </c>
      <c r="Q1048" s="63" t="inlineStr">
        <is>
          <t>496,83</t>
        </is>
      </c>
      <c r="R1048" s="66" t="n">
        <v>46185</v>
      </c>
      <c r="S1048" s="65" t="n">
        <v>158</v>
      </c>
      <c r="T1048" s="65" t="inlineStr">
        <is>
          <t>00-00000601</t>
        </is>
      </c>
      <c r="U1048" s="63" t="inlineStr">
        <is>
          <t>63,98</t>
        </is>
      </c>
      <c r="V1048" s="63" t="inlineStr">
        <is>
          <t>0,00</t>
        </is>
      </c>
    </row>
    <row r="1049">
      <c r="A1049" s="65" t="n"/>
      <c r="B1049" s="65" t="n"/>
      <c r="C1049" s="65" t="n"/>
      <c r="D1049" s="65" t="n"/>
      <c r="E1049" s="65" t="n"/>
      <c r="F1049" s="65" t="n"/>
      <c r="G1049" s="65" t="n"/>
      <c r="H1049" s="65" t="inlineStr">
        <is>
          <t>[0762] LIGA PARA FRENOS DOT-3 (1x6)</t>
        </is>
      </c>
      <c r="I1049" s="65" t="n">
        <v>762</v>
      </c>
      <c r="J1049" s="63" t="inlineStr">
        <is>
          <t>1,00</t>
        </is>
      </c>
      <c r="K1049" s="63" t="inlineStr">
        <is>
          <t>56,00</t>
        </is>
      </c>
      <c r="L1049" s="63" t="inlineStr">
        <is>
          <t>0,00</t>
        </is>
      </c>
      <c r="M1049" s="63" t="inlineStr">
        <is>
          <t>56,00</t>
        </is>
      </c>
      <c r="N1049" s="63" t="inlineStr">
        <is>
          <t>64,96</t>
        </is>
      </c>
      <c r="O1049" s="65" t="n"/>
      <c r="P1049" s="65" t="n"/>
      <c r="Q1049" s="65" t="n"/>
      <c r="R1049" s="65" t="n"/>
      <c r="S1049" s="65" t="n"/>
      <c r="T1049" s="65" t="n"/>
      <c r="U1049" s="65" t="n"/>
      <c r="V1049" s="65" t="n"/>
    </row>
    <row r="1050">
      <c r="A1050" s="65" t="inlineStr">
        <is>
          <t>S00332</t>
        </is>
      </c>
      <c r="B1050" s="62" t="n">
        <v>46148.69707175926</v>
      </c>
      <c r="C1050" s="65" t="inlineStr">
        <is>
          <t>Inversiones García GL C.A</t>
        </is>
      </c>
      <c r="D1050" s="65" t="inlineStr">
        <is>
          <t>QUEVEDO BASTIDAS NEYKEL DAVID</t>
        </is>
      </c>
      <c r="E1050" s="65" t="inlineStr">
        <is>
          <t>21 días</t>
        </is>
      </c>
      <c r="F1050" s="65" t="n">
        <v>5</v>
      </c>
      <c r="G1050" s="65" t="inlineStr">
        <is>
          <t>Pago VES</t>
        </is>
      </c>
      <c r="H1050" s="65" t="inlineStr">
        <is>
          <t>[0121] TRANSGLOB API GL-5 SAE 80W-90 (1x6)</t>
        </is>
      </c>
      <c r="I1050" s="65" t="n">
        <v>121</v>
      </c>
      <c r="J1050" s="63" t="inlineStr">
        <is>
          <t>1,00</t>
        </is>
      </c>
      <c r="K1050" s="63" t="inlineStr">
        <is>
          <t>52,00</t>
        </is>
      </c>
      <c r="L1050" s="63" t="inlineStr">
        <is>
          <t>0,00</t>
        </is>
      </c>
      <c r="M1050" s="63" t="inlineStr">
        <is>
          <t>52,00</t>
        </is>
      </c>
      <c r="N1050" s="63" t="inlineStr">
        <is>
          <t>60,32</t>
        </is>
      </c>
      <c r="O1050" s="63" t="inlineStr">
        <is>
          <t>152,00</t>
        </is>
      </c>
      <c r="P1050" s="63" t="inlineStr">
        <is>
          <t>176,32</t>
        </is>
      </c>
      <c r="Q1050" s="63" t="inlineStr">
        <is>
          <t>496,83</t>
        </is>
      </c>
      <c r="R1050" s="66" t="n">
        <v>46185</v>
      </c>
      <c r="S1050" s="65" t="n">
        <v>151</v>
      </c>
      <c r="T1050" s="65" t="inlineStr">
        <is>
          <t>00-00000594</t>
        </is>
      </c>
      <c r="U1050" s="63" t="inlineStr">
        <is>
          <t>109,98</t>
        </is>
      </c>
      <c r="V1050" s="63" t="inlineStr">
        <is>
          <t>110,00</t>
        </is>
      </c>
    </row>
    <row r="1051">
      <c r="A1051" s="65" t="n"/>
      <c r="B1051" s="65" t="n"/>
      <c r="C1051" s="65" t="n"/>
      <c r="D1051" s="65" t="n"/>
      <c r="E1051" s="65" t="n"/>
      <c r="F1051" s="65" t="n"/>
      <c r="G1051" s="65" t="n"/>
      <c r="H1051" s="65" t="inlineStr">
        <is>
          <t>[0877] SS EXTRA PROTECCION API SN SAE 15W-40 (1X12)</t>
        </is>
      </c>
      <c r="I1051" s="65" t="n">
        <v>877</v>
      </c>
      <c r="J1051" s="63" t="inlineStr">
        <is>
          <t>1,00</t>
        </is>
      </c>
      <c r="K1051" s="63" t="inlineStr">
        <is>
          <t>100,00</t>
        </is>
      </c>
      <c r="L1051" s="63" t="inlineStr">
        <is>
          <t>0,00</t>
        </is>
      </c>
      <c r="M1051" s="63" t="inlineStr">
        <is>
          <t>100,00</t>
        </is>
      </c>
      <c r="N1051" s="63" t="inlineStr">
        <is>
          <t>116,00</t>
        </is>
      </c>
      <c r="O1051" s="65" t="n"/>
      <c r="P1051" s="65" t="n"/>
      <c r="Q1051" s="65" t="n"/>
      <c r="R1051" s="65" t="n"/>
      <c r="S1051" s="65" t="n"/>
      <c r="T1051" s="65" t="n"/>
      <c r="U1051" s="65" t="n"/>
      <c r="V1051" s="65" t="n"/>
    </row>
    <row r="1052">
      <c r="A1052" s="65" t="inlineStr">
        <is>
          <t>S00327</t>
        </is>
      </c>
      <c r="B1052" s="62" t="n">
        <v>46147.73601851852</v>
      </c>
      <c r="C1052" s="65" t="inlineStr">
        <is>
          <t>Kervin baez</t>
        </is>
      </c>
      <c r="D1052" s="65" t="inlineStr">
        <is>
          <t>BETANCOURT ROBRIGUEZ LUIS ENRRIQUE</t>
        </is>
      </c>
      <c r="E1052" s="65" t="inlineStr">
        <is>
          <t>7 días</t>
        </is>
      </c>
      <c r="F1052" s="65" t="n">
        <v>5</v>
      </c>
      <c r="G1052" s="65" t="inlineStr">
        <is>
          <t>Pago VES</t>
        </is>
      </c>
      <c r="H1052" s="65" t="inlineStr">
        <is>
          <t>[0025] SS EXTRA PROTECCION API SN SAE 10W-30 (Gasolina) (1x6)</t>
        </is>
      </c>
      <c r="I1052" s="65" t="n">
        <v>25</v>
      </c>
      <c r="J1052" s="63" t="inlineStr">
        <is>
          <t>2,00</t>
        </is>
      </c>
      <c r="K1052" s="63" t="inlineStr">
        <is>
          <t>50,00</t>
        </is>
      </c>
      <c r="L1052" s="63" t="inlineStr">
        <is>
          <t>0,00</t>
        </is>
      </c>
      <c r="M1052" s="63" t="inlineStr">
        <is>
          <t>100,00</t>
        </is>
      </c>
      <c r="N1052" s="63" t="inlineStr">
        <is>
          <t>116,00</t>
        </is>
      </c>
      <c r="O1052" s="63" t="inlineStr">
        <is>
          <t>823,03</t>
        </is>
      </c>
      <c r="P1052" s="63" t="inlineStr">
        <is>
          <t>954,71</t>
        </is>
      </c>
      <c r="Q1052" s="63" t="inlineStr">
        <is>
          <t>496,83</t>
        </is>
      </c>
      <c r="R1052" s="66" t="n">
        <v>46185</v>
      </c>
      <c r="S1052" s="65" t="n">
        <v>150</v>
      </c>
      <c r="T1052" s="65" t="inlineStr">
        <is>
          <t>00-00000593</t>
        </is>
      </c>
      <c r="U1052" s="63" t="inlineStr">
        <is>
          <t>601,95</t>
        </is>
      </c>
      <c r="V1052" s="63" t="inlineStr">
        <is>
          <t>0,00</t>
        </is>
      </c>
    </row>
    <row r="1053">
      <c r="A1053" s="65" t="n"/>
      <c r="B1053" s="65" t="n"/>
      <c r="C1053" s="65" t="n"/>
      <c r="D1053" s="65" t="n"/>
      <c r="E1053" s="65" t="n"/>
      <c r="F1053" s="65" t="n"/>
      <c r="G1053" s="65" t="n"/>
      <c r="H1053" s="65" t="inlineStr">
        <is>
          <t>[0884] TRANSMATIC ATF DEXRON III (1x12)</t>
        </is>
      </c>
      <c r="I1053" s="65" t="n">
        <v>884</v>
      </c>
      <c r="J1053" s="63" t="inlineStr">
        <is>
          <t>1,00</t>
        </is>
      </c>
      <c r="K1053" s="63" t="inlineStr">
        <is>
          <t>96,00</t>
        </is>
      </c>
      <c r="L1053" s="63" t="inlineStr">
        <is>
          <t>0,00</t>
        </is>
      </c>
      <c r="M1053" s="63" t="inlineStr">
        <is>
          <t>96,00</t>
        </is>
      </c>
      <c r="N1053" s="63" t="inlineStr">
        <is>
          <t>111,36</t>
        </is>
      </c>
      <c r="O1053" s="65" t="n"/>
      <c r="P1053" s="65" t="n"/>
      <c r="Q1053" s="65" t="n"/>
      <c r="R1053" s="65" t="n"/>
      <c r="S1053" s="65" t="n"/>
      <c r="T1053" s="65" t="n"/>
      <c r="U1053" s="65" t="n"/>
      <c r="V1053" s="65" t="n"/>
    </row>
    <row r="1054">
      <c r="A1054" s="65" t="n"/>
      <c r="B1054" s="65" t="n"/>
      <c r="C1054" s="65" t="n"/>
      <c r="D1054" s="65" t="n"/>
      <c r="E1054" s="65" t="n"/>
      <c r="F1054" s="65" t="n"/>
      <c r="G1054" s="65" t="n"/>
      <c r="H1054" s="65" t="inlineStr">
        <is>
          <t>[0881] CLASICO API SL SAE 20W-50 (1x12)</t>
        </is>
      </c>
      <c r="I1054" s="65" t="n">
        <v>881</v>
      </c>
      <c r="J1054" s="63" t="inlineStr">
        <is>
          <t>2,00</t>
        </is>
      </c>
      <c r="K1054" s="63" t="inlineStr">
        <is>
          <t>87,00</t>
        </is>
      </c>
      <c r="L1054" s="63" t="inlineStr">
        <is>
          <t>0,00</t>
        </is>
      </c>
      <c r="M1054" s="63" t="inlineStr">
        <is>
          <t>174,00</t>
        </is>
      </c>
      <c r="N1054" s="63" t="inlineStr">
        <is>
          <t>201,84</t>
        </is>
      </c>
      <c r="O1054" s="65" t="n"/>
      <c r="P1054" s="65" t="n"/>
      <c r="Q1054" s="65" t="n"/>
      <c r="R1054" s="65" t="n"/>
      <c r="S1054" s="65" t="n"/>
      <c r="T1054" s="65" t="n"/>
      <c r="U1054" s="65" t="n"/>
      <c r="V1054" s="65" t="n"/>
    </row>
    <row r="1055">
      <c r="A1055" s="65" t="n"/>
      <c r="B1055" s="65" t="n"/>
      <c r="C1055" s="65" t="n"/>
      <c r="D1055" s="65" t="n"/>
      <c r="E1055" s="65" t="n"/>
      <c r="F1055" s="65" t="n"/>
      <c r="G1055" s="65" t="n"/>
      <c r="H1055" s="65" t="inlineStr">
        <is>
          <t>[0792] REFRIGERANTE GLOBAL ROJO (1X3)</t>
        </is>
      </c>
      <c r="I1055" s="65" t="n">
        <v>792</v>
      </c>
      <c r="J1055" s="63" t="inlineStr">
        <is>
          <t>1,00</t>
        </is>
      </c>
      <c r="K1055" s="63" t="inlineStr">
        <is>
          <t>31,03</t>
        </is>
      </c>
      <c r="L1055" s="63" t="inlineStr">
        <is>
          <t>0,00</t>
        </is>
      </c>
      <c r="M1055" s="63" t="inlineStr">
        <is>
          <t>31,03</t>
        </is>
      </c>
      <c r="N1055" s="63" t="inlineStr">
        <is>
          <t>35,99</t>
        </is>
      </c>
      <c r="O1055" s="65" t="n"/>
      <c r="P1055" s="65" t="n"/>
      <c r="Q1055" s="65" t="n"/>
      <c r="R1055" s="65" t="n"/>
      <c r="S1055" s="65" t="n"/>
      <c r="T1055" s="65" t="n"/>
      <c r="U1055" s="65" t="n"/>
      <c r="V1055" s="65" t="n"/>
    </row>
    <row r="1056">
      <c r="A1056" s="65" t="n"/>
      <c r="B1056" s="65" t="n"/>
      <c r="C1056" s="65" t="n"/>
      <c r="D1056" s="65" t="n"/>
      <c r="E1056" s="65" t="n"/>
      <c r="F1056" s="65" t="n"/>
      <c r="G1056" s="65" t="n"/>
      <c r="H1056" s="65" t="inlineStr">
        <is>
          <t>[0789] REFRIGERANTE GLOBAL VERDE (1X3)</t>
        </is>
      </c>
      <c r="I1056" s="65" t="n">
        <v>789</v>
      </c>
      <c r="J1056" s="63" t="inlineStr">
        <is>
          <t>1,00</t>
        </is>
      </c>
      <c r="K1056" s="63" t="inlineStr">
        <is>
          <t>34,00</t>
        </is>
      </c>
      <c r="L1056" s="63" t="inlineStr">
        <is>
          <t>0,00</t>
        </is>
      </c>
      <c r="M1056" s="63" t="inlineStr">
        <is>
          <t>34,00</t>
        </is>
      </c>
      <c r="N1056" s="63" t="inlineStr">
        <is>
          <t>39,44</t>
        </is>
      </c>
      <c r="O1056" s="65" t="n"/>
      <c r="P1056" s="65" t="n"/>
      <c r="Q1056" s="65" t="n"/>
      <c r="R1056" s="65" t="n"/>
      <c r="S1056" s="65" t="n"/>
      <c r="T1056" s="65" t="n"/>
      <c r="U1056" s="65" t="n"/>
      <c r="V1056" s="65" t="n"/>
    </row>
    <row r="1057">
      <c r="A1057" s="65" t="n"/>
      <c r="B1057" s="65" t="n"/>
      <c r="C1057" s="65" t="n"/>
      <c r="D1057" s="65" t="n"/>
      <c r="E1057" s="65" t="n"/>
      <c r="F1057" s="65" t="n"/>
      <c r="G1057" s="65" t="n"/>
      <c r="H1057" s="65" t="inlineStr">
        <is>
          <t>[0779] SINOCO SAE 20W-50 (1x12)</t>
        </is>
      </c>
      <c r="I1057" s="65" t="n">
        <v>779</v>
      </c>
      <c r="J1057" s="63" t="inlineStr">
        <is>
          <t>1,00</t>
        </is>
      </c>
      <c r="K1057" s="63" t="inlineStr">
        <is>
          <t>70,00</t>
        </is>
      </c>
      <c r="L1057" s="63" t="inlineStr">
        <is>
          <t>0,00</t>
        </is>
      </c>
      <c r="M1057" s="63" t="inlineStr">
        <is>
          <t>70,00</t>
        </is>
      </c>
      <c r="N1057" s="63" t="inlineStr">
        <is>
          <t>81,20</t>
        </is>
      </c>
      <c r="O1057" s="65" t="n"/>
      <c r="P1057" s="65" t="n"/>
      <c r="Q1057" s="65" t="n"/>
      <c r="R1057" s="65" t="n"/>
      <c r="S1057" s="65" t="n"/>
      <c r="T1057" s="65" t="n"/>
      <c r="U1057" s="65" t="n"/>
      <c r="V1057" s="65" t="n"/>
    </row>
    <row r="1058">
      <c r="A1058" s="65" t="n"/>
      <c r="B1058" s="65" t="n"/>
      <c r="C1058" s="65" t="n"/>
      <c r="D1058" s="65" t="n"/>
      <c r="E1058" s="65" t="n"/>
      <c r="F1058" s="65" t="n"/>
      <c r="G1058" s="65" t="n"/>
      <c r="H1058" s="65" t="inlineStr">
        <is>
          <t>[1041] SINOCO API CF/SF SAE 15W-40 DIESEL (PAILA)</t>
        </is>
      </c>
      <c r="I1058" s="65" t="n">
        <v>1041</v>
      </c>
      <c r="J1058" s="63" t="inlineStr">
        <is>
          <t>3,00</t>
        </is>
      </c>
      <c r="K1058" s="63" t="inlineStr">
        <is>
          <t>106,00</t>
        </is>
      </c>
      <c r="L1058" s="63" t="inlineStr">
        <is>
          <t>0,00</t>
        </is>
      </c>
      <c r="M1058" s="63" t="inlineStr">
        <is>
          <t>318,00</t>
        </is>
      </c>
      <c r="N1058" s="63" t="inlineStr">
        <is>
          <t>368,88</t>
        </is>
      </c>
      <c r="O1058" s="65" t="n"/>
      <c r="P1058" s="65" t="n"/>
      <c r="Q1058" s="65" t="n"/>
      <c r="R1058" s="65" t="n"/>
      <c r="S1058" s="65" t="n"/>
      <c r="T1058" s="65" t="n"/>
      <c r="U1058" s="65" t="n"/>
      <c r="V1058" s="65" t="n"/>
    </row>
    <row r="1059">
      <c r="A1059" s="65" t="inlineStr">
        <is>
          <t>S00325</t>
        </is>
      </c>
      <c r="B1059" s="62" t="n">
        <v>46147.50170138889</v>
      </c>
      <c r="C1059" s="65" t="inlineStr">
        <is>
          <t>Comercializadora El Fénix de Catia</t>
        </is>
      </c>
      <c r="D1059" s="65" t="inlineStr">
        <is>
          <t>GRIMAN DIAZ HECTOR EDUARDO</t>
        </is>
      </c>
      <c r="E1059" s="65" t="inlineStr">
        <is>
          <t>7 días</t>
        </is>
      </c>
      <c r="F1059" s="65" t="n">
        <v>5</v>
      </c>
      <c r="G1059" s="65" t="inlineStr">
        <is>
          <t>Pago VES</t>
        </is>
      </c>
      <c r="H1059" s="65" t="inlineStr">
        <is>
          <t>[0915] SINOCO SAE 50 (1x12)</t>
        </is>
      </c>
      <c r="I1059" s="65" t="n">
        <v>915</v>
      </c>
      <c r="J1059" s="63" t="inlineStr">
        <is>
          <t>1,00</t>
        </is>
      </c>
      <c r="K1059" s="63" t="inlineStr">
        <is>
          <t>68,93</t>
        </is>
      </c>
      <c r="L1059" s="63" t="inlineStr">
        <is>
          <t>0,00</t>
        </is>
      </c>
      <c r="M1059" s="63" t="inlineStr">
        <is>
          <t>68,93</t>
        </is>
      </c>
      <c r="N1059" s="63" t="inlineStr">
        <is>
          <t>79,96</t>
        </is>
      </c>
      <c r="O1059" s="63" t="inlineStr">
        <is>
          <t>68,93</t>
        </is>
      </c>
      <c r="P1059" s="63" t="inlineStr">
        <is>
          <t>79,96</t>
        </is>
      </c>
      <c r="Q1059" s="63" t="inlineStr">
        <is>
          <t>496,83</t>
        </is>
      </c>
      <c r="R1059" s="66" t="n">
        <v>46185</v>
      </c>
      <c r="S1059" s="65" t="n">
        <v>142</v>
      </c>
      <c r="T1059" s="65" t="inlineStr">
        <is>
          <t>00-00000585</t>
        </is>
      </c>
      <c r="U1059" s="63" t="inlineStr">
        <is>
          <t>51,99</t>
        </is>
      </c>
      <c r="V1059" s="63" t="inlineStr">
        <is>
          <t>0,00</t>
        </is>
      </c>
    </row>
    <row r="1060">
      <c r="A1060" s="65" t="inlineStr">
        <is>
          <t>S00326</t>
        </is>
      </c>
      <c r="B1060" s="62" t="n">
        <v>46147.50152777778</v>
      </c>
      <c r="C1060" s="65" t="inlineStr">
        <is>
          <t>Encamotors Catia C.A</t>
        </is>
      </c>
      <c r="D1060" s="65" t="inlineStr">
        <is>
          <t>GRIMAN DIAZ HECTOR EDUARDO</t>
        </is>
      </c>
      <c r="E1060" s="65" t="inlineStr">
        <is>
          <t>7 días</t>
        </is>
      </c>
      <c r="F1060" s="65" t="n">
        <v>5</v>
      </c>
      <c r="G1060" s="65" t="inlineStr">
        <is>
          <t>Pago VES</t>
        </is>
      </c>
      <c r="H1060" s="65" t="inlineStr">
        <is>
          <t>[0774] LIGA PARA FRENOS DOT-4 (1X6)</t>
        </is>
      </c>
      <c r="I1060" s="65" t="n">
        <v>774</v>
      </c>
      <c r="J1060" s="63" t="inlineStr">
        <is>
          <t>1,00</t>
        </is>
      </c>
      <c r="K1060" s="63" t="inlineStr">
        <is>
          <t>64,00</t>
        </is>
      </c>
      <c r="L1060" s="63" t="inlineStr">
        <is>
          <t>0,00</t>
        </is>
      </c>
      <c r="M1060" s="63" t="inlineStr">
        <is>
          <t>64,00</t>
        </is>
      </c>
      <c r="N1060" s="63" t="inlineStr">
        <is>
          <t>74,24</t>
        </is>
      </c>
      <c r="O1060" s="63" t="inlineStr">
        <is>
          <t>64,00</t>
        </is>
      </c>
      <c r="P1060" s="63" t="inlineStr">
        <is>
          <t>74,24</t>
        </is>
      </c>
      <c r="Q1060" s="63" t="inlineStr">
        <is>
          <t>496,83</t>
        </is>
      </c>
      <c r="R1060" s="66" t="n">
        <v>46196</v>
      </c>
      <c r="S1060" s="65" t="n">
        <v>198</v>
      </c>
      <c r="T1060" s="65" t="inlineStr">
        <is>
          <t>00-00000686</t>
        </is>
      </c>
      <c r="U1060" s="63" t="inlineStr">
        <is>
          <t>48,98</t>
        </is>
      </c>
      <c r="V1060" s="63" t="inlineStr">
        <is>
          <t>0,00</t>
        </is>
      </c>
    </row>
    <row r="1061">
      <c r="A1061" s="65" t="inlineStr">
        <is>
          <t>S00322</t>
        </is>
      </c>
      <c r="B1061" s="62" t="n">
        <v>46146.74497685185</v>
      </c>
      <c r="C1061" s="65" t="inlineStr">
        <is>
          <t>ZIP MARKET, CA</t>
        </is>
      </c>
      <c r="D1061" s="65" t="inlineStr">
        <is>
          <t>QUEVEDO BASTIDAS NEYKEL DAVID</t>
        </is>
      </c>
      <c r="E1061" s="65" t="inlineStr">
        <is>
          <t>7 días</t>
        </is>
      </c>
      <c r="F1061" s="65" t="n">
        <v>5</v>
      </c>
      <c r="G1061" s="65" t="inlineStr">
        <is>
          <t>Pago VES</t>
        </is>
      </c>
      <c r="H1061" s="65" t="inlineStr">
        <is>
          <t>[0880] CLASICO API SL SAE 15W-40 (1x12)</t>
        </is>
      </c>
      <c r="I1061" s="65" t="n">
        <v>880</v>
      </c>
      <c r="J1061" s="63" t="inlineStr">
        <is>
          <t>1,00</t>
        </is>
      </c>
      <c r="K1061" s="63" t="inlineStr">
        <is>
          <t>85,00</t>
        </is>
      </c>
      <c r="L1061" s="63" t="inlineStr">
        <is>
          <t>0,00</t>
        </is>
      </c>
      <c r="M1061" s="63" t="inlineStr">
        <is>
          <t>85,00</t>
        </is>
      </c>
      <c r="N1061" s="63" t="inlineStr">
        <is>
          <t>98,60</t>
        </is>
      </c>
      <c r="O1061" s="63" t="inlineStr">
        <is>
          <t>85,00</t>
        </is>
      </c>
      <c r="P1061" s="63" t="inlineStr">
        <is>
          <t>98,60</t>
        </is>
      </c>
      <c r="Q1061" s="63" t="inlineStr">
        <is>
          <t>496,83</t>
        </is>
      </c>
      <c r="R1061" s="66" t="n">
        <v>46175</v>
      </c>
      <c r="S1061" s="65" t="n">
        <v>114</v>
      </c>
      <c r="T1061" s="65" t="inlineStr">
        <is>
          <t>00-00000486</t>
        </is>
      </c>
      <c r="U1061" s="63" t="inlineStr">
        <is>
          <t>97,24</t>
        </is>
      </c>
      <c r="V1061" s="63" t="inlineStr">
        <is>
          <t>0,00</t>
        </is>
      </c>
    </row>
    <row r="1062">
      <c r="A1062" s="65" t="inlineStr">
        <is>
          <t>S00321</t>
        </is>
      </c>
      <c r="B1062" s="62" t="n">
        <v>46146.69189814815</v>
      </c>
      <c r="C1062" s="65" t="inlineStr">
        <is>
          <t>ANGEL LEON GALARRAGA</t>
        </is>
      </c>
      <c r="D1062" s="65" t="inlineStr">
        <is>
          <t>LOPEZ ANTUNEZ ANDERSON JOSE</t>
        </is>
      </c>
      <c r="E1062" s="65" t="inlineStr">
        <is>
          <t>7 días</t>
        </is>
      </c>
      <c r="F1062" s="65" t="n">
        <v>5</v>
      </c>
      <c r="G1062" s="65" t="inlineStr">
        <is>
          <t>Pago VES</t>
        </is>
      </c>
      <c r="H1062" s="65" t="inlineStr">
        <is>
          <t>[0107] TRANSMATIC ATF DEXRON III (PAILA)</t>
        </is>
      </c>
      <c r="I1062" s="65" t="n">
        <v>107</v>
      </c>
      <c r="J1062" s="63" t="inlineStr">
        <is>
          <t>1,00</t>
        </is>
      </c>
      <c r="K1062" s="63" t="inlineStr">
        <is>
          <t>126,00</t>
        </is>
      </c>
      <c r="L1062" s="63" t="inlineStr">
        <is>
          <t>0,00</t>
        </is>
      </c>
      <c r="M1062" s="63" t="inlineStr">
        <is>
          <t>126,00</t>
        </is>
      </c>
      <c r="N1062" s="63" t="inlineStr">
        <is>
          <t>146,16</t>
        </is>
      </c>
      <c r="O1062" s="63" t="inlineStr">
        <is>
          <t>126,00</t>
        </is>
      </c>
      <c r="P1062" s="63" t="inlineStr">
        <is>
          <t>146,16</t>
        </is>
      </c>
      <c r="Q1062" s="63" t="inlineStr">
        <is>
          <t>496,83</t>
        </is>
      </c>
      <c r="R1062" s="66" t="n">
        <v>46185</v>
      </c>
      <c r="S1062" s="65" t="n">
        <v>149</v>
      </c>
      <c r="T1062" s="65" t="inlineStr">
        <is>
          <t>00-00000592</t>
        </is>
      </c>
      <c r="U1062" s="63" t="inlineStr">
        <is>
          <t>146,14</t>
        </is>
      </c>
      <c r="V1062" s="63" t="inlineStr">
        <is>
          <t>0,00</t>
        </is>
      </c>
    </row>
    <row r="1063">
      <c r="A1063" s="65" t="inlineStr">
        <is>
          <t>S00320</t>
        </is>
      </c>
      <c r="B1063" s="62" t="n">
        <v>46146.67121527778</v>
      </c>
      <c r="C1063" s="65" t="inlineStr">
        <is>
          <t>Ideal car</t>
        </is>
      </c>
      <c r="D1063" s="65" t="inlineStr">
        <is>
          <t>PEREZ DIAZ ANGEL DE DIOS</t>
        </is>
      </c>
      <c r="E1063" s="65" t="inlineStr">
        <is>
          <t>45 días</t>
        </is>
      </c>
      <c r="F1063" s="65" t="n">
        <v>5</v>
      </c>
      <c r="G1063" s="65" t="inlineStr">
        <is>
          <t>Pago VES</t>
        </is>
      </c>
      <c r="H1063" s="65" t="inlineStr">
        <is>
          <t>[0880] CLASICO API SL SAE 15W-40 (1x12)</t>
        </is>
      </c>
      <c r="I1063" s="65" t="n">
        <v>880</v>
      </c>
      <c r="J1063" s="63" t="inlineStr">
        <is>
          <t>1,00</t>
        </is>
      </c>
      <c r="K1063" s="63" t="inlineStr">
        <is>
          <t>86,21</t>
        </is>
      </c>
      <c r="L1063" s="63" t="inlineStr">
        <is>
          <t>1,40</t>
        </is>
      </c>
      <c r="M1063" s="63" t="inlineStr">
        <is>
          <t>85,00</t>
        </is>
      </c>
      <c r="N1063" s="63" t="inlineStr">
        <is>
          <t>98,60</t>
        </is>
      </c>
      <c r="O1063" s="63" t="inlineStr">
        <is>
          <t>668,02</t>
        </is>
      </c>
      <c r="P1063" s="63" t="inlineStr">
        <is>
          <t>774,90</t>
        </is>
      </c>
      <c r="Q1063" s="63" t="inlineStr">
        <is>
          <t>709,69</t>
        </is>
      </c>
      <c r="R1063" s="66" t="n">
        <v>46215</v>
      </c>
      <c r="S1063" s="65" t="n">
        <v>337</v>
      </c>
      <c r="T1063" s="65" t="inlineStr">
        <is>
          <t>00-00000879</t>
        </is>
      </c>
      <c r="U1063" s="63" t="inlineStr">
        <is>
          <t>774,88</t>
        </is>
      </c>
      <c r="V1063" s="63" t="inlineStr">
        <is>
          <t>774,92</t>
        </is>
      </c>
    </row>
    <row r="1064">
      <c r="A1064" s="65" t="n"/>
      <c r="B1064" s="65" t="n"/>
      <c r="C1064" s="65" t="n"/>
      <c r="D1064" s="65" t="n"/>
      <c r="E1064" s="65" t="n"/>
      <c r="F1064" s="65" t="n"/>
      <c r="G1064" s="65" t="n"/>
      <c r="H1064" s="65" t="inlineStr">
        <is>
          <t>[0881] CLASICO API SL SAE 20W-50 (1x12)</t>
        </is>
      </c>
      <c r="I1064" s="65" t="n">
        <v>881</v>
      </c>
      <c r="J1064" s="63" t="inlineStr">
        <is>
          <t>2,00</t>
        </is>
      </c>
      <c r="K1064" s="63" t="inlineStr">
        <is>
          <t>87,01</t>
        </is>
      </c>
      <c r="L1064" s="63" t="inlineStr">
        <is>
          <t>0,00</t>
        </is>
      </c>
      <c r="M1064" s="63" t="inlineStr">
        <is>
          <t>174,02</t>
        </is>
      </c>
      <c r="N1064" s="63" t="inlineStr">
        <is>
          <t>201,86</t>
        </is>
      </c>
      <c r="O1064" s="65" t="n"/>
      <c r="P1064" s="65" t="n"/>
      <c r="Q1064" s="65" t="n"/>
      <c r="R1064" s="65" t="n"/>
      <c r="S1064" s="65" t="n"/>
      <c r="T1064" s="65" t="n"/>
      <c r="U1064" s="65" t="n"/>
      <c r="V1064" s="65" t="n"/>
    </row>
    <row r="1065">
      <c r="A1065" s="65" t="n"/>
      <c r="B1065" s="65" t="n"/>
      <c r="C1065" s="65" t="n"/>
      <c r="D1065" s="65" t="n"/>
      <c r="E1065" s="65" t="n"/>
      <c r="F1065" s="65" t="n"/>
      <c r="G1065" s="65" t="n"/>
      <c r="H1065" s="65" t="inlineStr">
        <is>
          <t>[0877] SS EXTRA PROTECCION API SN SAE 15W-40 (1X12)</t>
        </is>
      </c>
      <c r="I1065" s="65" t="n">
        <v>877</v>
      </c>
      <c r="J1065" s="63" t="inlineStr">
        <is>
          <t>1,00</t>
        </is>
      </c>
      <c r="K1065" s="63" t="inlineStr">
        <is>
          <t>100,80</t>
        </is>
      </c>
      <c r="L1065" s="63" t="inlineStr">
        <is>
          <t>0,79</t>
        </is>
      </c>
      <c r="M1065" s="63" t="inlineStr">
        <is>
          <t>100,00</t>
        </is>
      </c>
      <c r="N1065" s="63" t="inlineStr">
        <is>
          <t>116,00</t>
        </is>
      </c>
      <c r="O1065" s="65" t="n"/>
      <c r="P1065" s="65" t="n"/>
      <c r="Q1065" s="65" t="n"/>
      <c r="R1065" s="65" t="n"/>
      <c r="S1065" s="65" t="n"/>
      <c r="T1065" s="65" t="n"/>
      <c r="U1065" s="65" t="n"/>
      <c r="V1065" s="65" t="n"/>
    </row>
    <row r="1066">
      <c r="A1066" s="65" t="n"/>
      <c r="B1066" s="65" t="n"/>
      <c r="C1066" s="65" t="n"/>
      <c r="D1066" s="65" t="n"/>
      <c r="E1066" s="65" t="n"/>
      <c r="F1066" s="65" t="n"/>
      <c r="G1066" s="65" t="n"/>
      <c r="H1066" s="65" t="inlineStr">
        <is>
          <t>[0878] SS EXTRA PROTECCION API SN SAE 20W-50 (1x12)</t>
        </is>
      </c>
      <c r="I1066" s="65" t="n">
        <v>878</v>
      </c>
      <c r="J1066" s="63" t="inlineStr">
        <is>
          <t>1,00</t>
        </is>
      </c>
      <c r="K1066" s="63" t="inlineStr">
        <is>
          <t>100,80</t>
        </is>
      </c>
      <c r="L1066" s="63" t="inlineStr">
        <is>
          <t>0,79</t>
        </is>
      </c>
      <c r="M1066" s="63" t="inlineStr">
        <is>
          <t>100,00</t>
        </is>
      </c>
      <c r="N1066" s="63" t="inlineStr">
        <is>
          <t>116,00</t>
        </is>
      </c>
      <c r="O1066" s="65" t="n"/>
      <c r="P1066" s="65" t="n"/>
      <c r="Q1066" s="65" t="n"/>
      <c r="R1066" s="65" t="n"/>
      <c r="S1066" s="65" t="n"/>
      <c r="T1066" s="65" t="n"/>
      <c r="U1066" s="65" t="n"/>
      <c r="V1066" s="65" t="n"/>
    </row>
    <row r="1067">
      <c r="A1067" s="65" t="n"/>
      <c r="B1067" s="65" t="n"/>
      <c r="C1067" s="65" t="n"/>
      <c r="D1067" s="65" t="n"/>
      <c r="E1067" s="65" t="n"/>
      <c r="F1067" s="65" t="n"/>
      <c r="G1067" s="65" t="n"/>
      <c r="H1067" s="65" t="inlineStr">
        <is>
          <t>[0915] SINOCO SAE 50 (1x12)</t>
        </is>
      </c>
      <c r="I1067" s="65" t="n">
        <v>915</v>
      </c>
      <c r="J1067" s="63" t="inlineStr">
        <is>
          <t>1,00</t>
        </is>
      </c>
      <c r="K1067" s="63" t="inlineStr">
        <is>
          <t>70,29</t>
        </is>
      </c>
      <c r="L1067" s="63" t="inlineStr">
        <is>
          <t>1,84</t>
        </is>
      </c>
      <c r="M1067" s="63" t="inlineStr">
        <is>
          <t>69,00</t>
        </is>
      </c>
      <c r="N1067" s="63" t="inlineStr">
        <is>
          <t>80,04</t>
        </is>
      </c>
      <c r="O1067" s="65" t="n"/>
      <c r="P1067" s="65" t="n"/>
      <c r="Q1067" s="65" t="n"/>
      <c r="R1067" s="65" t="n"/>
      <c r="S1067" s="65" t="n"/>
      <c r="T1067" s="65" t="n"/>
      <c r="U1067" s="65" t="n"/>
      <c r="V1067" s="65" t="n"/>
    </row>
    <row r="1068">
      <c r="A1068" s="65" t="n"/>
      <c r="B1068" s="65" t="n"/>
      <c r="C1068" s="65" t="n"/>
      <c r="D1068" s="65" t="n"/>
      <c r="E1068" s="65" t="n"/>
      <c r="F1068" s="65" t="n"/>
      <c r="G1068" s="65" t="n"/>
      <c r="H1068" s="65" t="inlineStr">
        <is>
          <t>[0779] SINOCO SAE 20W-50 (1x12)</t>
        </is>
      </c>
      <c r="I1068" s="65" t="n">
        <v>779</v>
      </c>
      <c r="J1068" s="63" t="inlineStr">
        <is>
          <t>2,00</t>
        </is>
      </c>
      <c r="K1068" s="63" t="inlineStr">
        <is>
          <t>70,29</t>
        </is>
      </c>
      <c r="L1068" s="63" t="inlineStr">
        <is>
          <t>0,41</t>
        </is>
      </c>
      <c r="M1068" s="63" t="inlineStr">
        <is>
          <t>140,00</t>
        </is>
      </c>
      <c r="N1068" s="63" t="inlineStr">
        <is>
          <t>162,40</t>
        </is>
      </c>
      <c r="O1068" s="65" t="n"/>
      <c r="P1068" s="65" t="n"/>
      <c r="Q1068" s="65" t="n"/>
      <c r="R1068" s="65" t="n"/>
      <c r="S1068" s="65" t="n"/>
      <c r="T1068" s="65" t="n"/>
      <c r="U1068" s="65" t="n"/>
      <c r="V1068" s="65" t="n"/>
    </row>
    <row r="1069">
      <c r="A1069" s="65" t="inlineStr">
        <is>
          <t>S00319</t>
        </is>
      </c>
      <c r="B1069" s="62" t="n">
        <v>46146.67106481481</v>
      </c>
      <c r="C1069" s="65" t="inlineStr">
        <is>
          <t>Angi Edimar Carvajal Peñaranda</t>
        </is>
      </c>
      <c r="D1069" s="65" t="inlineStr">
        <is>
          <t>GRIMAN DIAZ HECTOR EDUARDO</t>
        </is>
      </c>
      <c r="E1069" s="65" t="inlineStr">
        <is>
          <t>7 días</t>
        </is>
      </c>
      <c r="F1069" s="65" t="n">
        <v>5</v>
      </c>
      <c r="G1069" s="65" t="inlineStr">
        <is>
          <t>Pago VES</t>
        </is>
      </c>
      <c r="H1069" s="65" t="inlineStr">
        <is>
          <t>[0779] SINOCO SAE 20W-50 (1x12)</t>
        </is>
      </c>
      <c r="I1069" s="65" t="n">
        <v>779</v>
      </c>
      <c r="J1069" s="63" t="inlineStr">
        <is>
          <t>1,00</t>
        </is>
      </c>
      <c r="K1069" s="63" t="inlineStr">
        <is>
          <t>70,29</t>
        </is>
      </c>
      <c r="L1069" s="63" t="inlineStr">
        <is>
          <t>0,41</t>
        </is>
      </c>
      <c r="M1069" s="63" t="inlineStr">
        <is>
          <t>70,00</t>
        </is>
      </c>
      <c r="N1069" s="63" t="inlineStr">
        <is>
          <t>81,20</t>
        </is>
      </c>
      <c r="O1069" s="63" t="inlineStr">
        <is>
          <t>431,00</t>
        </is>
      </c>
      <c r="P1069" s="63" t="inlineStr">
        <is>
          <t>499,96</t>
        </is>
      </c>
      <c r="Q1069" s="63" t="inlineStr">
        <is>
          <t>709,69</t>
        </is>
      </c>
      <c r="R1069" s="66" t="n">
        <v>46215</v>
      </c>
      <c r="S1069" s="65" t="n">
        <v>338</v>
      </c>
      <c r="T1069" s="65" t="inlineStr">
        <is>
          <t>00-00000880</t>
        </is>
      </c>
      <c r="U1069" s="63" t="inlineStr">
        <is>
          <t>499,94</t>
        </is>
      </c>
      <c r="V1069" s="63" t="inlineStr">
        <is>
          <t>499,96</t>
        </is>
      </c>
    </row>
    <row r="1070">
      <c r="A1070" s="65" t="n"/>
      <c r="B1070" s="65" t="n"/>
      <c r="C1070" s="65" t="n"/>
      <c r="D1070" s="65" t="n"/>
      <c r="E1070" s="65" t="n"/>
      <c r="F1070" s="65" t="n"/>
      <c r="G1070" s="65" t="n"/>
      <c r="H1070" s="65" t="inlineStr">
        <is>
          <t>[0915] SINOCO SAE 50 (1x12)</t>
        </is>
      </c>
      <c r="I1070" s="65" t="n">
        <v>915</v>
      </c>
      <c r="J1070" s="63" t="inlineStr">
        <is>
          <t>1,00</t>
        </is>
      </c>
      <c r="K1070" s="63" t="inlineStr">
        <is>
          <t>70,29</t>
        </is>
      </c>
      <c r="L1070" s="63" t="inlineStr">
        <is>
          <t>1,84</t>
        </is>
      </c>
      <c r="M1070" s="63" t="inlineStr">
        <is>
          <t>69,00</t>
        </is>
      </c>
      <c r="N1070" s="63" t="inlineStr">
        <is>
          <t>80,04</t>
        </is>
      </c>
      <c r="O1070" s="65" t="n"/>
      <c r="P1070" s="65" t="n"/>
      <c r="Q1070" s="65" t="n"/>
      <c r="R1070" s="65" t="n"/>
      <c r="S1070" s="65" t="n"/>
      <c r="T1070" s="65" t="n"/>
      <c r="U1070" s="65" t="n"/>
      <c r="V1070" s="65" t="n"/>
    </row>
    <row r="1071">
      <c r="A1071" s="65" t="n"/>
      <c r="B1071" s="65" t="n"/>
      <c r="C1071" s="65" t="n"/>
      <c r="D1071" s="65" t="n"/>
      <c r="E1071" s="65" t="n"/>
      <c r="F1071" s="65" t="n"/>
      <c r="G1071" s="65" t="n"/>
      <c r="H1071" s="65" t="inlineStr">
        <is>
          <t>[0761] LIGA PARA FRENOS DOT-3 (1x12)</t>
        </is>
      </c>
      <c r="I1071" s="65" t="n">
        <v>761</v>
      </c>
      <c r="J1071" s="63" t="inlineStr">
        <is>
          <t>1,00</t>
        </is>
      </c>
      <c r="K1071" s="63" t="inlineStr">
        <is>
          <t>36,00</t>
        </is>
      </c>
      <c r="L1071" s="63" t="inlineStr">
        <is>
          <t>0,00</t>
        </is>
      </c>
      <c r="M1071" s="63" t="inlineStr">
        <is>
          <t>36,00</t>
        </is>
      </c>
      <c r="N1071" s="63" t="inlineStr">
        <is>
          <t>41,76</t>
        </is>
      </c>
      <c r="O1071" s="65" t="n"/>
      <c r="P1071" s="65" t="n"/>
      <c r="Q1071" s="65" t="n"/>
      <c r="R1071" s="65" t="n"/>
      <c r="S1071" s="65" t="n"/>
      <c r="T1071" s="65" t="n"/>
      <c r="U1071" s="65" t="n"/>
      <c r="V1071" s="65" t="n"/>
    </row>
    <row r="1072">
      <c r="A1072" s="65" t="n"/>
      <c r="B1072" s="65" t="n"/>
      <c r="C1072" s="65" t="n"/>
      <c r="D1072" s="65" t="n"/>
      <c r="E1072" s="65" t="n"/>
      <c r="F1072" s="65" t="n"/>
      <c r="G1072" s="65" t="n"/>
      <c r="H1072" s="65" t="inlineStr">
        <is>
          <t>[0762] LIGA PARA FRENOS DOT-3 (1x6)</t>
        </is>
      </c>
      <c r="I1072" s="65" t="n">
        <v>762</v>
      </c>
      <c r="J1072" s="63" t="inlineStr">
        <is>
          <t>1,00</t>
        </is>
      </c>
      <c r="K1072" s="63" t="inlineStr">
        <is>
          <t>57,03</t>
        </is>
      </c>
      <c r="L1072" s="63" t="inlineStr">
        <is>
          <t>1,81</t>
        </is>
      </c>
      <c r="M1072" s="63" t="inlineStr">
        <is>
          <t>56,00</t>
        </is>
      </c>
      <c r="N1072" s="63" t="inlineStr">
        <is>
          <t>64,96</t>
        </is>
      </c>
      <c r="O1072" s="65" t="n"/>
      <c r="P1072" s="65" t="n"/>
      <c r="Q1072" s="65" t="n"/>
      <c r="R1072" s="65" t="n"/>
      <c r="S1072" s="65" t="n"/>
      <c r="T1072" s="65" t="n"/>
      <c r="U1072" s="65" t="n"/>
      <c r="V1072" s="65" t="n"/>
    </row>
    <row r="1073">
      <c r="A1073" s="65" t="n"/>
      <c r="B1073" s="65" t="n"/>
      <c r="C1073" s="65" t="n"/>
      <c r="D1073" s="65" t="n"/>
      <c r="E1073" s="65" t="n"/>
      <c r="F1073" s="65" t="n"/>
      <c r="G1073" s="65" t="n"/>
      <c r="H1073" s="65" t="inlineStr">
        <is>
          <t>[0878] SS EXTRA PROTECCION API SN SAE 20W-50 (1x12)</t>
        </is>
      </c>
      <c r="I1073" s="65" t="n">
        <v>878</v>
      </c>
      <c r="J1073" s="63" t="inlineStr">
        <is>
          <t>1,00</t>
        </is>
      </c>
      <c r="K1073" s="63" t="inlineStr">
        <is>
          <t>100,80</t>
        </is>
      </c>
      <c r="L1073" s="63" t="inlineStr">
        <is>
          <t>0,79</t>
        </is>
      </c>
      <c r="M1073" s="63" t="inlineStr">
        <is>
          <t>100,00</t>
        </is>
      </c>
      <c r="N1073" s="63" t="inlineStr">
        <is>
          <t>116,00</t>
        </is>
      </c>
      <c r="O1073" s="65" t="n"/>
      <c r="P1073" s="65" t="n"/>
      <c r="Q1073" s="65" t="n"/>
      <c r="R1073" s="65" t="n"/>
      <c r="S1073" s="65" t="n"/>
      <c r="T1073" s="65" t="n"/>
      <c r="U1073" s="65" t="n"/>
      <c r="V1073" s="65" t="n"/>
    </row>
    <row r="1074">
      <c r="A1074" s="65" t="n"/>
      <c r="B1074" s="65" t="n"/>
      <c r="C1074" s="65" t="n"/>
      <c r="D1074" s="65" t="n"/>
      <c r="E1074" s="65" t="n"/>
      <c r="F1074" s="65" t="n"/>
      <c r="G1074" s="65" t="n"/>
      <c r="H1074" s="65" t="inlineStr">
        <is>
          <t>[0877] SS EXTRA PROTECCION API SN SAE 15W-40 (1X12)</t>
        </is>
      </c>
      <c r="I1074" s="65" t="n">
        <v>877</v>
      </c>
      <c r="J1074" s="63" t="inlineStr">
        <is>
          <t>1,00</t>
        </is>
      </c>
      <c r="K1074" s="63" t="inlineStr">
        <is>
          <t>100,80</t>
        </is>
      </c>
      <c r="L1074" s="63" t="inlineStr">
        <is>
          <t>0,79</t>
        </is>
      </c>
      <c r="M1074" s="63" t="inlineStr">
        <is>
          <t>100,00</t>
        </is>
      </c>
      <c r="N1074" s="63" t="inlineStr">
        <is>
          <t>116,00</t>
        </is>
      </c>
      <c r="O1074" s="65" t="n"/>
      <c r="P1074" s="65" t="n"/>
      <c r="Q1074" s="65" t="n"/>
      <c r="R1074" s="65" t="n"/>
      <c r="S1074" s="65" t="n"/>
      <c r="T1074" s="65" t="n"/>
      <c r="U1074" s="65" t="n"/>
      <c r="V1074" s="65" t="n"/>
    </row>
    <row r="1075">
      <c r="A1075" s="65" t="inlineStr">
        <is>
          <t>S00316</t>
        </is>
      </c>
      <c r="B1075" s="62" t="n">
        <v>46146.50112268519</v>
      </c>
      <c r="C1075" s="65" t="inlineStr">
        <is>
          <t>MOTO REPUESTO GARCIA 2023, C.A.</t>
        </is>
      </c>
      <c r="D1075" s="65" t="inlineStr">
        <is>
          <t>TORO ARDILES DAVID JOSE</t>
        </is>
      </c>
      <c r="E1075" s="65" t="inlineStr">
        <is>
          <t>7 días</t>
        </is>
      </c>
      <c r="F1075" s="65" t="n">
        <v>5</v>
      </c>
      <c r="G1075" s="65" t="inlineStr">
        <is>
          <t>Pago VES</t>
        </is>
      </c>
      <c r="H1075" s="65" t="inlineStr">
        <is>
          <t>[0761] LIGA PARA FRENOS DOT-3 (1x12)</t>
        </is>
      </c>
      <c r="I1075" s="65" t="n">
        <v>761</v>
      </c>
      <c r="J1075" s="63" t="inlineStr">
        <is>
          <t>2,00</t>
        </is>
      </c>
      <c r="K1075" s="63" t="inlineStr">
        <is>
          <t>36,00</t>
        </is>
      </c>
      <c r="L1075" s="63" t="inlineStr">
        <is>
          <t>0,00</t>
        </is>
      </c>
      <c r="M1075" s="63" t="inlineStr">
        <is>
          <t>72,00</t>
        </is>
      </c>
      <c r="N1075" s="63" t="inlineStr">
        <is>
          <t>83,52</t>
        </is>
      </c>
      <c r="O1075" s="63" t="inlineStr">
        <is>
          <t>72,00</t>
        </is>
      </c>
      <c r="P1075" s="63" t="inlineStr">
        <is>
          <t>83,52</t>
        </is>
      </c>
      <c r="Q1075" s="63" t="inlineStr">
        <is>
          <t>709,69</t>
        </is>
      </c>
      <c r="R1075" s="66" t="n">
        <v>46215</v>
      </c>
      <c r="S1075" s="65" t="n">
        <v>339</v>
      </c>
      <c r="T1075" s="65" t="inlineStr">
        <is>
          <t>00-00000881</t>
        </is>
      </c>
      <c r="U1075" s="63" t="inlineStr">
        <is>
          <t>83,51</t>
        </is>
      </c>
      <c r="V1075" s="63" t="inlineStr">
        <is>
          <t>83,52</t>
        </is>
      </c>
    </row>
    <row r="1076">
      <c r="A1076" s="65" t="inlineStr">
        <is>
          <t>S00315</t>
        </is>
      </c>
      <c r="B1076" s="62" t="n">
        <v>46146.5008912037</v>
      </c>
      <c r="C1076" s="65" t="inlineStr">
        <is>
          <t>TALLER TNMCAR, C.A</t>
        </is>
      </c>
      <c r="D1076" s="65" t="inlineStr">
        <is>
          <t>VILLABONA CORREA ALBA ESTEFANIA</t>
        </is>
      </c>
      <c r="E1076" s="65" t="inlineStr">
        <is>
          <t>7 días</t>
        </is>
      </c>
      <c r="F1076" s="65" t="n">
        <v>5</v>
      </c>
      <c r="G1076" s="65" t="inlineStr">
        <is>
          <t>Pago VES</t>
        </is>
      </c>
      <c r="H1076" s="65" t="inlineStr">
        <is>
          <t>[0779] SINOCO SAE 20W-50 (1x12)</t>
        </is>
      </c>
      <c r="I1076" s="65" t="n">
        <v>779</v>
      </c>
      <c r="J1076" s="63" t="inlineStr">
        <is>
          <t>10,00</t>
        </is>
      </c>
      <c r="K1076" s="63" t="inlineStr">
        <is>
          <t>70,29</t>
        </is>
      </c>
      <c r="L1076" s="63" t="inlineStr">
        <is>
          <t>0,91</t>
        </is>
      </c>
      <c r="M1076" s="63" t="inlineStr">
        <is>
          <t>696,50</t>
        </is>
      </c>
      <c r="N1076" s="63" t="inlineStr">
        <is>
          <t>807,94</t>
        </is>
      </c>
      <c r="O1076" s="63" t="inlineStr">
        <is>
          <t>696,50</t>
        </is>
      </c>
      <c r="P1076" s="63" t="inlineStr">
        <is>
          <t>807,94</t>
        </is>
      </c>
      <c r="Q1076" s="65" t="n"/>
      <c r="R1076" s="65" t="n"/>
      <c r="S1076" s="65" t="n"/>
      <c r="T1076" s="65" t="n"/>
      <c r="U1076" s="65" t="n"/>
      <c r="V1076" s="65" t="n"/>
    </row>
    <row r="1077">
      <c r="A1077" s="65" t="inlineStr">
        <is>
          <t>S00314</t>
        </is>
      </c>
      <c r="B1077" s="62" t="n">
        <v>46146.35206018519</v>
      </c>
      <c r="C1077" s="65" t="inlineStr">
        <is>
          <t>EMPRENDIMIENTO IRMA RODRIGUEZ 6</t>
        </is>
      </c>
      <c r="D1077" s="65" t="inlineStr">
        <is>
          <t>TORO ARDILES DAVID JOSE</t>
        </is>
      </c>
      <c r="E1077" s="65" t="inlineStr">
        <is>
          <t>7 días</t>
        </is>
      </c>
      <c r="F1077" s="65" t="n">
        <v>5</v>
      </c>
      <c r="G1077" s="65" t="inlineStr">
        <is>
          <t>Pago VES</t>
        </is>
      </c>
      <c r="H1077" s="65" t="inlineStr">
        <is>
          <t>[0774] LIGA PARA FRENOS DOT-4 (1X6)</t>
        </is>
      </c>
      <c r="I1077" s="65" t="n">
        <v>774</v>
      </c>
      <c r="J1077" s="63" t="inlineStr">
        <is>
          <t>2,00</t>
        </is>
      </c>
      <c r="K1077" s="63" t="inlineStr">
        <is>
          <t>63,68</t>
        </is>
      </c>
      <c r="L1077" s="63" t="inlineStr">
        <is>
          <t>0,00</t>
        </is>
      </c>
      <c r="M1077" s="63" t="inlineStr">
        <is>
          <t>127,36</t>
        </is>
      </c>
      <c r="N1077" s="63" t="inlineStr">
        <is>
          <t>147,74</t>
        </is>
      </c>
      <c r="O1077" s="63" t="inlineStr">
        <is>
          <t>312,43</t>
        </is>
      </c>
      <c r="P1077" s="63" t="inlineStr">
        <is>
          <t>362,42</t>
        </is>
      </c>
      <c r="Q1077" s="63" t="inlineStr">
        <is>
          <t>496,83</t>
        </is>
      </c>
      <c r="R1077" s="66" t="n">
        <v>46175</v>
      </c>
      <c r="S1077" s="65" t="n">
        <v>110</v>
      </c>
      <c r="T1077" s="65" t="inlineStr">
        <is>
          <t>00-00000482</t>
        </is>
      </c>
      <c r="U1077" s="63" t="inlineStr">
        <is>
          <t>225,98</t>
        </is>
      </c>
      <c r="V1077" s="63" t="inlineStr">
        <is>
          <t>0,00</t>
        </is>
      </c>
    </row>
    <row r="1078">
      <c r="A1078" s="65" t="n"/>
      <c r="B1078" s="65" t="n"/>
      <c r="C1078" s="65" t="n"/>
      <c r="D1078" s="65" t="n"/>
      <c r="E1078" s="65" t="n"/>
      <c r="F1078" s="65" t="n"/>
      <c r="G1078" s="65" t="n"/>
      <c r="H1078" s="65" t="inlineStr">
        <is>
          <t>[0602] SINOCO SAE 50 (PAILA)</t>
        </is>
      </c>
      <c r="I1078" s="65" t="n">
        <v>602</v>
      </c>
      <c r="J1078" s="63" t="inlineStr">
        <is>
          <t>2,00</t>
        </is>
      </c>
      <c r="K1078" s="63" t="inlineStr">
        <is>
          <t>92,54</t>
        </is>
      </c>
      <c r="L1078" s="63" t="inlineStr">
        <is>
          <t>0,00</t>
        </is>
      </c>
      <c r="M1078" s="63" t="inlineStr">
        <is>
          <t>185,07</t>
        </is>
      </c>
      <c r="N1078" s="63" t="inlineStr">
        <is>
          <t>214,68</t>
        </is>
      </c>
      <c r="O1078" s="65" t="n"/>
      <c r="P1078" s="65" t="n"/>
      <c r="Q1078" s="65" t="n"/>
      <c r="R1078" s="65" t="n"/>
      <c r="S1078" s="65" t="n"/>
      <c r="T1078" s="65" t="n"/>
      <c r="U1078" s="65" t="n"/>
      <c r="V1078" s="65" t="n"/>
    </row>
    <row r="1079">
      <c r="A1079" s="65" t="inlineStr">
        <is>
          <t>S00313</t>
        </is>
      </c>
      <c r="B1079" s="62" t="n">
        <v>46142.70712962963</v>
      </c>
      <c r="C1079" s="65" t="inlineStr">
        <is>
          <t>Edgar salas</t>
        </is>
      </c>
      <c r="D1079" s="65" t="inlineStr">
        <is>
          <t>REVERON DE CONTRERAS MELANI AUSMAR</t>
        </is>
      </c>
      <c r="E1079" s="65" t="inlineStr">
        <is>
          <t>7 días</t>
        </is>
      </c>
      <c r="F1079" s="65" t="n">
        <v>4</v>
      </c>
      <c r="G1079" s="65" t="inlineStr">
        <is>
          <t>Precio Full Abril</t>
        </is>
      </c>
      <c r="H1079" s="65" t="inlineStr">
        <is>
          <t>[0881] CLASICO API SL SAE 20W-50 (1x12)</t>
        </is>
      </c>
      <c r="I1079" s="65" t="n">
        <v>881</v>
      </c>
      <c r="J1079" s="63" t="inlineStr">
        <is>
          <t>1,00</t>
        </is>
      </c>
      <c r="K1079" s="63" t="inlineStr">
        <is>
          <t>87,00</t>
        </is>
      </c>
      <c r="L1079" s="63" t="inlineStr">
        <is>
          <t>0,00</t>
        </is>
      </c>
      <c r="M1079" s="63" t="inlineStr">
        <is>
          <t>87,00</t>
        </is>
      </c>
      <c r="N1079" s="63" t="inlineStr">
        <is>
          <t>100,92</t>
        </is>
      </c>
      <c r="O1079" s="63" t="inlineStr">
        <is>
          <t>87,00</t>
        </is>
      </c>
      <c r="P1079" s="63" t="inlineStr">
        <is>
          <t>100,92</t>
        </is>
      </c>
      <c r="Q1079" s="63" t="inlineStr">
        <is>
          <t>496,83</t>
        </is>
      </c>
      <c r="R1079" s="66" t="n">
        <v>46157</v>
      </c>
      <c r="S1079" s="65" t="n">
        <v>58</v>
      </c>
      <c r="T1079" s="65" t="inlineStr">
        <is>
          <t>00-00000357</t>
        </is>
      </c>
      <c r="U1079" s="63" t="inlineStr">
        <is>
          <t>65,00</t>
        </is>
      </c>
      <c r="V1079" s="63" t="inlineStr">
        <is>
          <t>0,00</t>
        </is>
      </c>
    </row>
    <row r="1080">
      <c r="A1080" s="65" t="inlineStr">
        <is>
          <t>S00311</t>
        </is>
      </c>
      <c r="B1080" s="62" t="n">
        <v>46142.51451388889</v>
      </c>
      <c r="C1080" s="65" t="inlineStr">
        <is>
          <t>Carlos Bravo</t>
        </is>
      </c>
      <c r="D1080" s="65" t="inlineStr">
        <is>
          <t>CASERES GONZALEZ RONALD OSWALDO</t>
        </is>
      </c>
      <c r="E1080" s="65" t="inlineStr">
        <is>
          <t>Pago inmediato</t>
        </is>
      </c>
      <c r="F1080" s="65" t="n">
        <v>4</v>
      </c>
      <c r="G1080" s="65" t="inlineStr">
        <is>
          <t>Precio Full Abril</t>
        </is>
      </c>
      <c r="H1080" s="65" t="inlineStr">
        <is>
          <t>[0887] MOTOCLASICO 4T SAE 20W-50 (1x12)</t>
        </is>
      </c>
      <c r="I1080" s="65" t="n">
        <v>887</v>
      </c>
      <c r="J1080" s="63" t="inlineStr">
        <is>
          <t>1,00</t>
        </is>
      </c>
      <c r="K1080" s="63" t="inlineStr">
        <is>
          <t>58,62</t>
        </is>
      </c>
      <c r="L1080" s="63" t="inlineStr">
        <is>
          <t>8,00</t>
        </is>
      </c>
      <c r="M1080" s="63" t="inlineStr">
        <is>
          <t>53,93</t>
        </is>
      </c>
      <c r="N1080" s="63" t="inlineStr">
        <is>
          <t>62,56</t>
        </is>
      </c>
      <c r="O1080" s="63" t="inlineStr">
        <is>
          <t>53,93</t>
        </is>
      </c>
      <c r="P1080" s="63" t="inlineStr">
        <is>
          <t>62,56</t>
        </is>
      </c>
      <c r="Q1080" s="63" t="inlineStr">
        <is>
          <t>487,12</t>
        </is>
      </c>
      <c r="R1080" s="66" t="n">
        <v>46203</v>
      </c>
      <c r="S1080" s="65" t="n">
        <v>201</v>
      </c>
      <c r="T1080" s="65" t="inlineStr">
        <is>
          <t>00-00000691</t>
        </is>
      </c>
      <c r="U1080" s="63" t="inlineStr">
        <is>
          <t>62,55</t>
        </is>
      </c>
      <c r="V1080" s="63" t="inlineStr">
        <is>
          <t>0,01</t>
        </is>
      </c>
    </row>
    <row r="1081">
      <c r="A1081" s="65" t="n"/>
      <c r="B1081" s="65" t="n"/>
      <c r="C1081" s="65" t="n"/>
      <c r="D1081" s="65" t="n"/>
      <c r="E1081" s="65" t="n"/>
      <c r="F1081" s="65" t="n"/>
      <c r="G1081" s="65" t="n"/>
      <c r="H1081" s="65" t="n"/>
      <c r="I1081" s="65" t="n"/>
      <c r="J1081" s="65" t="n"/>
      <c r="K1081" s="65" t="n"/>
      <c r="L1081" s="65" t="n"/>
      <c r="M1081" s="65" t="n"/>
      <c r="N1081" s="65" t="n"/>
      <c r="O1081" s="65" t="n"/>
      <c r="P1081" s="65" t="n"/>
      <c r="Q1081" s="63" t="inlineStr">
        <is>
          <t>496,83</t>
        </is>
      </c>
      <c r="R1081" s="66" t="n">
        <v>46203</v>
      </c>
      <c r="S1081" s="65" t="n">
        <v>7</v>
      </c>
      <c r="T1081" s="65" t="inlineStr">
        <is>
          <t>00-00000690</t>
        </is>
      </c>
      <c r="U1081" s="63" t="inlineStr">
        <is>
          <t>-67,98</t>
        </is>
      </c>
      <c r="V1081" s="63" t="inlineStr">
        <is>
          <t>0,00</t>
        </is>
      </c>
    </row>
    <row r="1082">
      <c r="A1082" s="65" t="n"/>
      <c r="B1082" s="65" t="n"/>
      <c r="C1082" s="65" t="n"/>
      <c r="D1082" s="65" t="n"/>
      <c r="E1082" s="65" t="n"/>
      <c r="F1082" s="65" t="n"/>
      <c r="G1082" s="65" t="n"/>
      <c r="H1082" s="65" t="n"/>
      <c r="I1082" s="65" t="n"/>
      <c r="J1082" s="65" t="n"/>
      <c r="K1082" s="65" t="n"/>
      <c r="L1082" s="65" t="n"/>
      <c r="M1082" s="65" t="n"/>
      <c r="N1082" s="65" t="n"/>
      <c r="O1082" s="65" t="n"/>
      <c r="P1082" s="65" t="n"/>
      <c r="Q1082" s="63" t="inlineStr">
        <is>
          <t>496,83</t>
        </is>
      </c>
      <c r="R1082" s="66" t="n">
        <v>46196</v>
      </c>
      <c r="S1082" s="65" t="n">
        <v>199</v>
      </c>
      <c r="T1082" s="65" t="inlineStr">
        <is>
          <t>00-00000688</t>
        </is>
      </c>
      <c r="U1082" s="63" t="inlineStr">
        <is>
          <t>67,98</t>
        </is>
      </c>
      <c r="V1082" s="63" t="inlineStr">
        <is>
          <t>0,00</t>
        </is>
      </c>
    </row>
    <row r="1083">
      <c r="A1083" s="65" t="inlineStr">
        <is>
          <t>S00310</t>
        </is>
      </c>
      <c r="B1083" s="62" t="n">
        <v>46142.48604166666</v>
      </c>
      <c r="C1083" s="65" t="inlineStr">
        <is>
          <t>Multiservicio SOS Cars, C.A</t>
        </is>
      </c>
      <c r="D1083" s="65" t="inlineStr">
        <is>
          <t>MARTINEZ MONTES JEFFREY ENRIQUE</t>
        </is>
      </c>
      <c r="E1083" s="65" t="inlineStr">
        <is>
          <t>7 días</t>
        </is>
      </c>
      <c r="F1083" s="65" t="n">
        <v>4</v>
      </c>
      <c r="G1083" s="65" t="inlineStr">
        <is>
          <t>Precio Full Abril</t>
        </is>
      </c>
      <c r="H1083" s="65" t="inlineStr">
        <is>
          <t>[0881] CLASICO API SL SAE 20W-50 (1x12)</t>
        </is>
      </c>
      <c r="I1083" s="65" t="n">
        <v>881</v>
      </c>
      <c r="J1083" s="63" t="inlineStr">
        <is>
          <t>1,00</t>
        </is>
      </c>
      <c r="K1083" s="63" t="inlineStr">
        <is>
          <t>87,00</t>
        </is>
      </c>
      <c r="L1083" s="63" t="inlineStr">
        <is>
          <t>0,00</t>
        </is>
      </c>
      <c r="M1083" s="63" t="inlineStr">
        <is>
          <t>87,00</t>
        </is>
      </c>
      <c r="N1083" s="63" t="inlineStr">
        <is>
          <t>100,92</t>
        </is>
      </c>
      <c r="O1083" s="63" t="inlineStr">
        <is>
          <t>87,00</t>
        </is>
      </c>
      <c r="P1083" s="63" t="inlineStr">
        <is>
          <t>100,92</t>
        </is>
      </c>
      <c r="Q1083" s="63" t="inlineStr">
        <is>
          <t>496,83</t>
        </is>
      </c>
      <c r="R1083" s="66" t="n">
        <v>46185</v>
      </c>
      <c r="S1083" s="65" t="n">
        <v>161</v>
      </c>
      <c r="T1083" s="65" t="inlineStr">
        <is>
          <t>00-00000604</t>
        </is>
      </c>
      <c r="U1083" s="63" t="inlineStr">
        <is>
          <t>64,99</t>
        </is>
      </c>
      <c r="V1083" s="63" t="inlineStr">
        <is>
          <t>30,00</t>
        </is>
      </c>
    </row>
    <row r="1084">
      <c r="A1084" s="65" t="inlineStr">
        <is>
          <t>S00309</t>
        </is>
      </c>
      <c r="B1084" s="62" t="n">
        <v>46142.48578703704</v>
      </c>
      <c r="C1084" s="65" t="inlineStr">
        <is>
          <t>INVERSIONES JOSCAR XXI, S.A.</t>
        </is>
      </c>
      <c r="D1084" s="65" t="inlineStr">
        <is>
          <t>TORO ARDILES DAVID JOSE</t>
        </is>
      </c>
      <c r="E1084" s="65" t="inlineStr">
        <is>
          <t>7 días</t>
        </is>
      </c>
      <c r="F1084" s="65" t="n">
        <v>4</v>
      </c>
      <c r="G1084" s="65" t="inlineStr">
        <is>
          <t>Precio Full Abril</t>
        </is>
      </c>
      <c r="H1084" s="65" t="inlineStr">
        <is>
          <t>[0877] SS EXTRA PROTECCION API SN SAE 15W-40 (1X12)</t>
        </is>
      </c>
      <c r="I1084" s="65" t="n">
        <v>877</v>
      </c>
      <c r="J1084" s="63" t="inlineStr">
        <is>
          <t>1,00</t>
        </is>
      </c>
      <c r="K1084" s="63" t="inlineStr">
        <is>
          <t>102,56</t>
        </is>
      </c>
      <c r="L1084" s="63" t="inlineStr">
        <is>
          <t>0,00</t>
        </is>
      </c>
      <c r="M1084" s="63" t="inlineStr">
        <is>
          <t>102,56</t>
        </is>
      </c>
      <c r="N1084" s="63" t="inlineStr">
        <is>
          <t>118,97</t>
        </is>
      </c>
      <c r="O1084" s="63" t="inlineStr">
        <is>
          <t>172,85</t>
        </is>
      </c>
      <c r="P1084" s="63" t="inlineStr">
        <is>
          <t>200,51</t>
        </is>
      </c>
      <c r="Q1084" s="63" t="inlineStr">
        <is>
          <t>709,69</t>
        </is>
      </c>
      <c r="R1084" s="66" t="n">
        <v>46215</v>
      </c>
      <c r="S1084" s="65" t="n">
        <v>299</v>
      </c>
      <c r="T1084" s="65" t="inlineStr">
        <is>
          <t>00-00000841</t>
        </is>
      </c>
      <c r="U1084" s="63" t="inlineStr">
        <is>
          <t>200,50</t>
        </is>
      </c>
      <c r="V1084" s="63" t="inlineStr">
        <is>
          <t>200,51</t>
        </is>
      </c>
    </row>
    <row r="1085">
      <c r="A1085" s="65" t="n"/>
      <c r="B1085" s="65" t="n"/>
      <c r="C1085" s="65" t="n"/>
      <c r="D1085" s="65" t="n"/>
      <c r="E1085" s="65" t="n"/>
      <c r="F1085" s="65" t="n"/>
      <c r="G1085" s="65" t="n"/>
      <c r="H1085" s="65" t="inlineStr">
        <is>
          <t>[0779] SINOCO SAE 20W-50 (1x12)</t>
        </is>
      </c>
      <c r="I1085" s="65" t="n">
        <v>779</v>
      </c>
      <c r="J1085" s="63" t="inlineStr">
        <is>
          <t>1,00</t>
        </is>
      </c>
      <c r="K1085" s="63" t="inlineStr">
        <is>
          <t>70,29</t>
        </is>
      </c>
      <c r="L1085" s="63" t="inlineStr">
        <is>
          <t>0,00</t>
        </is>
      </c>
      <c r="M1085" s="63" t="inlineStr">
        <is>
          <t>70,29</t>
        </is>
      </c>
      <c r="N1085" s="63" t="inlineStr">
        <is>
          <t>81,54</t>
        </is>
      </c>
      <c r="O1085" s="65" t="n"/>
      <c r="P1085" s="65" t="n"/>
      <c r="Q1085" s="65" t="n"/>
      <c r="R1085" s="65" t="n"/>
      <c r="S1085" s="65" t="n"/>
      <c r="T1085" s="65" t="n"/>
      <c r="U1085" s="65" t="n"/>
      <c r="V1085" s="65" t="n"/>
    </row>
    <row r="1086">
      <c r="A1086" s="65" t="inlineStr">
        <is>
          <t>S00308</t>
        </is>
      </c>
      <c r="B1086" s="62" t="n">
        <v>46142.40409722222</v>
      </c>
      <c r="C1086" s="65" t="inlineStr">
        <is>
          <t>Jose Alzolay</t>
        </is>
      </c>
      <c r="D1086" s="65" t="inlineStr">
        <is>
          <t>CASERES GONZALEZ RONALD OSWALDO</t>
        </is>
      </c>
      <c r="E1086" s="65" t="inlineStr">
        <is>
          <t>Pago inmediato</t>
        </is>
      </c>
      <c r="F1086" s="65" t="n">
        <v>4</v>
      </c>
      <c r="G1086" s="65" t="inlineStr">
        <is>
          <t>Precio Full Abril</t>
        </is>
      </c>
      <c r="H1086" s="65" t="inlineStr">
        <is>
          <t>[0880] CLASICO API SL SAE 15W-40 (1x12)</t>
        </is>
      </c>
      <c r="I1086" s="65" t="n">
        <v>880</v>
      </c>
      <c r="J1086" s="63" t="inlineStr">
        <is>
          <t>1,00</t>
        </is>
      </c>
      <c r="K1086" s="63" t="inlineStr">
        <is>
          <t>84,84</t>
        </is>
      </c>
      <c r="L1086" s="63" t="inlineStr">
        <is>
          <t>0,00</t>
        </is>
      </c>
      <c r="M1086" s="63" t="inlineStr">
        <is>
          <t>84,84</t>
        </is>
      </c>
      <c r="N1086" s="63" t="inlineStr">
        <is>
          <t>98,41</t>
        </is>
      </c>
      <c r="O1086" s="63" t="inlineStr">
        <is>
          <t>84,84</t>
        </is>
      </c>
      <c r="P1086" s="63" t="inlineStr">
        <is>
          <t>98,41</t>
        </is>
      </c>
      <c r="Q1086" s="63" t="inlineStr">
        <is>
          <t>496,83</t>
        </is>
      </c>
      <c r="R1086" s="66" t="n">
        <v>46196</v>
      </c>
      <c r="S1086" s="65" t="n">
        <v>200</v>
      </c>
      <c r="T1086" s="65" t="inlineStr">
        <is>
          <t>00-00000689</t>
        </is>
      </c>
      <c r="U1086" s="63" t="inlineStr">
        <is>
          <t>64,98</t>
        </is>
      </c>
      <c r="V1086" s="63" t="inlineStr">
        <is>
          <t>0,00</t>
        </is>
      </c>
    </row>
    <row r="1087">
      <c r="A1087" s="65" t="inlineStr">
        <is>
          <t>S00306</t>
        </is>
      </c>
      <c r="B1087" s="62" t="n">
        <v>46141.66649305556</v>
      </c>
      <c r="C1087" s="65" t="inlineStr">
        <is>
          <t>LUBRIREPUESTOS PANORAMA, C.A.</t>
        </is>
      </c>
      <c r="D1087" s="65" t="inlineStr">
        <is>
          <t>TORO ARDILES DAVID JOSE</t>
        </is>
      </c>
      <c r="E1087" s="65" t="inlineStr">
        <is>
          <t>7 días</t>
        </is>
      </c>
      <c r="F1087" s="65" t="n">
        <v>4</v>
      </c>
      <c r="G1087" s="65" t="inlineStr">
        <is>
          <t>Precio Full Abril</t>
        </is>
      </c>
      <c r="H1087" s="65" t="inlineStr">
        <is>
          <t>[0915] SINOCO SAE 50 (1x12)</t>
        </is>
      </c>
      <c r="I1087" s="65" t="n">
        <v>915</v>
      </c>
      <c r="J1087" s="63" t="inlineStr">
        <is>
          <t>1,00</t>
        </is>
      </c>
      <c r="K1087" s="63" t="inlineStr">
        <is>
          <t>70,29</t>
        </is>
      </c>
      <c r="L1087" s="63" t="inlineStr">
        <is>
          <t>1,84</t>
        </is>
      </c>
      <c r="M1087" s="63" t="inlineStr">
        <is>
          <t>69,00</t>
        </is>
      </c>
      <c r="N1087" s="63" t="inlineStr">
        <is>
          <t>80,04</t>
        </is>
      </c>
      <c r="O1087" s="63" t="inlineStr">
        <is>
          <t>69,00</t>
        </is>
      </c>
      <c r="P1087" s="63" t="inlineStr">
        <is>
          <t>80,04</t>
        </is>
      </c>
      <c r="Q1087" s="63" t="inlineStr">
        <is>
          <t>709,69</t>
        </is>
      </c>
      <c r="R1087" s="66" t="n">
        <v>46215</v>
      </c>
      <c r="S1087" s="65" t="n">
        <v>300</v>
      </c>
      <c r="T1087" s="65" t="inlineStr">
        <is>
          <t>00-00000842</t>
        </is>
      </c>
      <c r="U1087" s="63" t="inlineStr">
        <is>
          <t>80,02</t>
        </is>
      </c>
      <c r="V1087" s="63" t="inlineStr">
        <is>
          <t>80,04</t>
        </is>
      </c>
    </row>
    <row r="1088">
      <c r="A1088" s="65" t="inlineStr">
        <is>
          <t>S00305</t>
        </is>
      </c>
      <c r="B1088" s="62" t="n">
        <v>46141.66606481482</v>
      </c>
      <c r="C1088" s="65" t="inlineStr">
        <is>
          <t>INVERSIONES F-250, C.A</t>
        </is>
      </c>
      <c r="D1088" s="65" t="inlineStr">
        <is>
          <t>TORO ARDILES DAVID JOSE</t>
        </is>
      </c>
      <c r="E1088" s="65" t="inlineStr">
        <is>
          <t>7 días</t>
        </is>
      </c>
      <c r="F1088" s="65" t="n">
        <v>4</v>
      </c>
      <c r="G1088" s="65" t="inlineStr">
        <is>
          <t>Precio Full Abril</t>
        </is>
      </c>
      <c r="H1088" s="65" t="inlineStr">
        <is>
          <t>[0877] SS EXTRA PROTECCION API SN SAE 15W-40 (1X12)</t>
        </is>
      </c>
      <c r="I1088" s="65" t="n">
        <v>877</v>
      </c>
      <c r="J1088" s="63" t="inlineStr">
        <is>
          <t>1,00</t>
        </is>
      </c>
      <c r="K1088" s="63" t="inlineStr">
        <is>
          <t>100,00</t>
        </is>
      </c>
      <c r="L1088" s="63" t="inlineStr">
        <is>
          <t>0,00</t>
        </is>
      </c>
      <c r="M1088" s="63" t="inlineStr">
        <is>
          <t>100,00</t>
        </is>
      </c>
      <c r="N1088" s="63" t="inlineStr">
        <is>
          <t>116,00</t>
        </is>
      </c>
      <c r="O1088" s="63" t="inlineStr">
        <is>
          <t>100,00</t>
        </is>
      </c>
      <c r="P1088" s="63" t="inlineStr">
        <is>
          <t>116,00</t>
        </is>
      </c>
      <c r="Q1088" s="63" t="inlineStr">
        <is>
          <t>496,83</t>
        </is>
      </c>
      <c r="R1088" s="66" t="n">
        <v>46167</v>
      </c>
      <c r="S1088" s="65" t="n">
        <v>91</v>
      </c>
      <c r="T1088" s="65" t="inlineStr">
        <is>
          <t>00-00000437</t>
        </is>
      </c>
      <c r="U1088" s="63" t="inlineStr">
        <is>
          <t>123,85</t>
        </is>
      </c>
      <c r="V1088" s="63" t="inlineStr">
        <is>
          <t>7,87</t>
        </is>
      </c>
    </row>
    <row r="1089">
      <c r="A1089" s="65" t="inlineStr">
        <is>
          <t>S00303</t>
        </is>
      </c>
      <c r="B1089" s="62" t="n">
        <v>46141.38995370371</v>
      </c>
      <c r="C1089" s="65" t="inlineStr">
        <is>
          <t>EMPRENDIMIENTO IRMA RODRIGUEZ 6</t>
        </is>
      </c>
      <c r="D1089" s="65" t="inlineStr">
        <is>
          <t>TORO ARDILES DAVID JOSE</t>
        </is>
      </c>
      <c r="E1089" s="65" t="inlineStr">
        <is>
          <t>7 días</t>
        </is>
      </c>
      <c r="F1089" s="65" t="n">
        <v>4</v>
      </c>
      <c r="G1089" s="65" t="inlineStr">
        <is>
          <t>Precio Full Abril</t>
        </is>
      </c>
      <c r="H1089" s="65" t="inlineStr">
        <is>
          <t>[0602] SINOCO SAE 50 (PAILA)</t>
        </is>
      </c>
      <c r="I1089" s="65" t="n">
        <v>602</v>
      </c>
      <c r="J1089" s="63" t="inlineStr">
        <is>
          <t>2,00</t>
        </is>
      </c>
      <c r="K1089" s="63" t="inlineStr">
        <is>
          <t>92,81</t>
        </is>
      </c>
      <c r="L1089" s="63" t="inlineStr">
        <is>
          <t>0,00</t>
        </is>
      </c>
      <c r="M1089" s="63" t="inlineStr">
        <is>
          <t>185,63</t>
        </is>
      </c>
      <c r="N1089" s="63" t="inlineStr">
        <is>
          <t>215,33</t>
        </is>
      </c>
      <c r="O1089" s="63" t="inlineStr">
        <is>
          <t>255,49</t>
        </is>
      </c>
      <c r="P1089" s="63" t="inlineStr">
        <is>
          <t>296,37</t>
        </is>
      </c>
      <c r="Q1089" s="63" t="inlineStr">
        <is>
          <t>496,83</t>
        </is>
      </c>
      <c r="R1089" s="66" t="n">
        <v>46175</v>
      </c>
      <c r="S1089" s="65" t="n">
        <v>109</v>
      </c>
      <c r="T1089" s="65" t="inlineStr">
        <is>
          <t>00-00000481</t>
        </is>
      </c>
      <c r="U1089" s="63" t="inlineStr">
        <is>
          <t>187,98</t>
        </is>
      </c>
      <c r="V1089" s="63" t="inlineStr">
        <is>
          <t>0,00</t>
        </is>
      </c>
    </row>
    <row r="1090">
      <c r="A1090" s="65" t="n"/>
      <c r="B1090" s="65" t="n"/>
      <c r="C1090" s="65" t="n"/>
      <c r="D1090" s="65" t="n"/>
      <c r="E1090" s="65" t="n"/>
      <c r="F1090" s="65" t="n"/>
      <c r="G1090" s="65" t="n"/>
      <c r="H1090" s="65" t="inlineStr">
        <is>
          <t>[0779] SINOCO SAE 20W-50 (1x12)</t>
        </is>
      </c>
      <c r="I1090" s="65" t="n">
        <v>779</v>
      </c>
      <c r="J1090" s="63" t="inlineStr">
        <is>
          <t>1,00</t>
        </is>
      </c>
      <c r="K1090" s="63" t="inlineStr">
        <is>
          <t>69,86</t>
        </is>
      </c>
      <c r="L1090" s="63" t="inlineStr">
        <is>
          <t>0,00</t>
        </is>
      </c>
      <c r="M1090" s="63" t="inlineStr">
        <is>
          <t>69,86</t>
        </is>
      </c>
      <c r="N1090" s="63" t="inlineStr">
        <is>
          <t>81,04</t>
        </is>
      </c>
      <c r="O1090" s="65" t="n"/>
      <c r="P1090" s="65" t="n"/>
      <c r="Q1090" s="65" t="n"/>
      <c r="R1090" s="65" t="n"/>
      <c r="S1090" s="65" t="n"/>
      <c r="T1090" s="65" t="n"/>
      <c r="U1090" s="65" t="n"/>
      <c r="V1090" s="65" t="n"/>
    </row>
    <row r="1091">
      <c r="A1091" s="65" t="inlineStr">
        <is>
          <t>S00302</t>
        </is>
      </c>
      <c r="B1091" s="62" t="n">
        <v>46141.3897337963</v>
      </c>
      <c r="C1091" s="65" t="inlineStr">
        <is>
          <t>Sergio Ibrain Rumbo Mundaray</t>
        </is>
      </c>
      <c r="D1091" s="65" t="inlineStr">
        <is>
          <t>MARTINEZ MONTES JEFFREY ENRIQUE</t>
        </is>
      </c>
      <c r="E1091" s="65" t="inlineStr">
        <is>
          <t>7 días</t>
        </is>
      </c>
      <c r="F1091" s="65" t="n">
        <v>4</v>
      </c>
      <c r="G1091" s="65" t="inlineStr">
        <is>
          <t>Precio Full Abril</t>
        </is>
      </c>
      <c r="H1091" s="65" t="inlineStr">
        <is>
          <t>[0887] MOTOCLASICO 4T SAE 20W-50 (1x12)</t>
        </is>
      </c>
      <c r="I1091" s="65" t="n">
        <v>887</v>
      </c>
      <c r="J1091" s="63" t="inlineStr">
        <is>
          <t>1,00</t>
        </is>
      </c>
      <c r="K1091" s="63" t="inlineStr">
        <is>
          <t>90,00</t>
        </is>
      </c>
      <c r="L1091" s="63" t="inlineStr">
        <is>
          <t>0,00</t>
        </is>
      </c>
      <c r="M1091" s="63" t="inlineStr">
        <is>
          <t>90,00</t>
        </is>
      </c>
      <c r="N1091" s="63" t="inlineStr">
        <is>
          <t>104,40</t>
        </is>
      </c>
      <c r="O1091" s="63" t="inlineStr">
        <is>
          <t>90,00</t>
        </is>
      </c>
      <c r="P1091" s="63" t="inlineStr">
        <is>
          <t>104,40</t>
        </is>
      </c>
      <c r="Q1091" s="63" t="inlineStr">
        <is>
          <t>496,83</t>
        </is>
      </c>
      <c r="R1091" s="66" t="n">
        <v>46175</v>
      </c>
      <c r="S1091" s="65" t="n">
        <v>116</v>
      </c>
      <c r="T1091" s="65" t="inlineStr">
        <is>
          <t>00-00000488</t>
        </is>
      </c>
      <c r="U1091" s="63" t="inlineStr">
        <is>
          <t>67,99</t>
        </is>
      </c>
      <c r="V1091" s="63" t="inlineStr">
        <is>
          <t>0,00</t>
        </is>
      </c>
    </row>
    <row r="1092">
      <c r="A1092" s="65" t="inlineStr">
        <is>
          <t>S00262</t>
        </is>
      </c>
      <c r="B1092" s="62" t="n">
        <v>46140.58873842593</v>
      </c>
      <c r="C1092" s="65" t="inlineStr">
        <is>
          <t>Desarrollo Agrario Integral DAI Los Pucheros 13, C. A.</t>
        </is>
      </c>
      <c r="D1092" s="65" t="inlineStr">
        <is>
          <t>PACHECO RODRIGUEZ FRANCISCO JAVIER</t>
        </is>
      </c>
      <c r="E1092" s="65" t="inlineStr">
        <is>
          <t>30 días</t>
        </is>
      </c>
      <c r="F1092" s="65" t="n">
        <v>4</v>
      </c>
      <c r="G1092" s="65" t="inlineStr">
        <is>
          <t>Precio Full Abril</t>
        </is>
      </c>
      <c r="H1092" s="65" t="inlineStr">
        <is>
          <t>[0146] HIDRAGLOB AW/ISO 68 (Tambor)</t>
        </is>
      </c>
      <c r="I1092" s="65" t="n">
        <v>146</v>
      </c>
      <c r="J1092" s="63" t="inlineStr">
        <is>
          <t>3,00</t>
        </is>
      </c>
      <c r="K1092" s="63" t="inlineStr">
        <is>
          <t>1.101,68</t>
        </is>
      </c>
      <c r="L1092" s="63" t="inlineStr">
        <is>
          <t>0,00</t>
        </is>
      </c>
      <c r="M1092" s="63" t="inlineStr">
        <is>
          <t>3.305,03</t>
        </is>
      </c>
      <c r="N1092" s="63" t="inlineStr">
        <is>
          <t>3.833,83</t>
        </is>
      </c>
      <c r="O1092" s="63" t="inlineStr">
        <is>
          <t>4.441,03</t>
        </is>
      </c>
      <c r="P1092" s="63" t="inlineStr">
        <is>
          <t>5.151,59</t>
        </is>
      </c>
      <c r="Q1092" s="63" t="inlineStr">
        <is>
          <t>485,23</t>
        </is>
      </c>
      <c r="R1092" s="66" t="n">
        <v>46140</v>
      </c>
      <c r="S1092" s="65" t="n">
        <v>23</v>
      </c>
      <c r="T1092" s="65" t="inlineStr">
        <is>
          <t>00-00000234</t>
        </is>
      </c>
      <c r="U1092" s="63" t="inlineStr">
        <is>
          <t>5.131,55</t>
        </is>
      </c>
      <c r="V1092" s="63" t="inlineStr">
        <is>
          <t>0,00</t>
        </is>
      </c>
    </row>
    <row r="1093">
      <c r="A1093" s="65" t="n"/>
      <c r="B1093" s="65" t="n"/>
      <c r="C1093" s="65" t="n"/>
      <c r="D1093" s="65" t="n"/>
      <c r="E1093" s="65" t="n"/>
      <c r="F1093" s="65" t="n"/>
      <c r="G1093" s="65" t="n"/>
      <c r="H1093" s="65" t="inlineStr">
        <is>
          <t>[0085] MAXIMO API CF SAE 50 (Tambor)</t>
        </is>
      </c>
      <c r="I1093" s="65" t="n">
        <v>85</v>
      </c>
      <c r="J1093" s="63" t="inlineStr">
        <is>
          <t>1,00</t>
        </is>
      </c>
      <c r="K1093" s="63" t="inlineStr">
        <is>
          <t>1.136,00</t>
        </is>
      </c>
      <c r="L1093" s="63" t="inlineStr">
        <is>
          <t>0,00</t>
        </is>
      </c>
      <c r="M1093" s="63" t="inlineStr">
        <is>
          <t>1.136,00</t>
        </is>
      </c>
      <c r="N1093" s="63" t="inlineStr">
        <is>
          <t>1.317,76</t>
        </is>
      </c>
      <c r="O1093" s="65" t="n"/>
      <c r="P1093" s="65" t="n"/>
      <c r="Q1093" s="65" t="n"/>
      <c r="R1093" s="65" t="n"/>
      <c r="S1093" s="65" t="n"/>
      <c r="T1093" s="65" t="n"/>
      <c r="U1093" s="65" t="n"/>
      <c r="V1093" s="65" t="n"/>
    </row>
    <row r="1094">
      <c r="A1094" s="65" t="inlineStr">
        <is>
          <t>S00301</t>
        </is>
      </c>
      <c r="B1094" s="62" t="n">
        <v>46140.52855324074</v>
      </c>
      <c r="C1094" s="65" t="inlineStr">
        <is>
          <t>CENTRO MOTRIZ GUADALUPE, C.A.</t>
        </is>
      </c>
      <c r="D1094" s="65" t="inlineStr">
        <is>
          <t>TORO ARDILES DAVID JOSE</t>
        </is>
      </c>
      <c r="E1094" s="65" t="inlineStr">
        <is>
          <t>15 días</t>
        </is>
      </c>
      <c r="F1094" s="65" t="n">
        <v>4</v>
      </c>
      <c r="G1094" s="65" t="inlineStr">
        <is>
          <t>Precio Full Abril</t>
        </is>
      </c>
      <c r="H1094" s="65" t="inlineStr">
        <is>
          <t>[0789] REFRIGERANTE GLOBAL VERDE (1X3)</t>
        </is>
      </c>
      <c r="I1094" s="65" t="n">
        <v>789</v>
      </c>
      <c r="J1094" s="63" t="inlineStr">
        <is>
          <t>1,00</t>
        </is>
      </c>
      <c r="K1094" s="63" t="inlineStr">
        <is>
          <t>34,48</t>
        </is>
      </c>
      <c r="L1094" s="63" t="inlineStr">
        <is>
          <t>36,25</t>
        </is>
      </c>
      <c r="M1094" s="63" t="inlineStr">
        <is>
          <t>21,98</t>
        </is>
      </c>
      <c r="N1094" s="63" t="inlineStr">
        <is>
          <t>25,50</t>
        </is>
      </c>
      <c r="O1094" s="63" t="inlineStr">
        <is>
          <t>43,96</t>
        </is>
      </c>
      <c r="P1094" s="63" t="inlineStr">
        <is>
          <t>51,00</t>
        </is>
      </c>
      <c r="Q1094" s="63" t="inlineStr">
        <is>
          <t>517,96</t>
        </is>
      </c>
      <c r="R1094" s="66" t="n">
        <v>46205</v>
      </c>
      <c r="S1094" s="65" t="n">
        <v>214</v>
      </c>
      <c r="T1094" s="65" t="inlineStr">
        <is>
          <t>00-00000718</t>
        </is>
      </c>
      <c r="U1094" s="63" t="inlineStr">
        <is>
          <t>50,99</t>
        </is>
      </c>
      <c r="V1094" s="63" t="inlineStr">
        <is>
          <t>0,00</t>
        </is>
      </c>
    </row>
    <row r="1095">
      <c r="A1095" s="65" t="n"/>
      <c r="B1095" s="65" t="n"/>
      <c r="C1095" s="65" t="n"/>
      <c r="D1095" s="65" t="n"/>
      <c r="E1095" s="65" t="n"/>
      <c r="F1095" s="65" t="n"/>
      <c r="G1095" s="65" t="n"/>
      <c r="H1095" s="65" t="inlineStr">
        <is>
          <t>[0792] REFRIGERANTE GLOBAL ROJO (1X3)</t>
        </is>
      </c>
      <c r="I1095" s="65" t="n">
        <v>792</v>
      </c>
      <c r="J1095" s="63" t="inlineStr">
        <is>
          <t>1,00</t>
        </is>
      </c>
      <c r="K1095" s="63" t="inlineStr">
        <is>
          <t>34,48</t>
        </is>
      </c>
      <c r="L1095" s="63" t="inlineStr">
        <is>
          <t>36,25</t>
        </is>
      </c>
      <c r="M1095" s="63" t="inlineStr">
        <is>
          <t>21,98</t>
        </is>
      </c>
      <c r="N1095" s="63" t="inlineStr">
        <is>
          <t>25,50</t>
        </is>
      </c>
      <c r="O1095" s="65" t="n"/>
      <c r="P1095" s="65" t="n"/>
      <c r="Q1095" s="65" t="n"/>
      <c r="R1095" s="65" t="n"/>
      <c r="S1095" s="65" t="n"/>
      <c r="T1095" s="65" t="n"/>
      <c r="U1095" s="65" t="n"/>
      <c r="V1095" s="65" t="n"/>
    </row>
    <row r="1096">
      <c r="A1096" s="65" t="inlineStr">
        <is>
          <t>S00300</t>
        </is>
      </c>
      <c r="B1096" s="62" t="n">
        <v>46139.76376157408</v>
      </c>
      <c r="C1096" s="65" t="inlineStr">
        <is>
          <t>INVERSIONES ARCOSOL 21, C.A.</t>
        </is>
      </c>
      <c r="D1096" s="65" t="inlineStr">
        <is>
          <t>VILLABONA CORREA ALBA ESTEFANIA</t>
        </is>
      </c>
      <c r="E1096" s="65" t="inlineStr">
        <is>
          <t>7 días</t>
        </is>
      </c>
      <c r="F1096" s="65" t="n">
        <v>4</v>
      </c>
      <c r="G1096" s="65" t="inlineStr">
        <is>
          <t>Precio Full Abril</t>
        </is>
      </c>
      <c r="H1096" s="65" t="inlineStr">
        <is>
          <t>[0915] SINOCO SAE 50 (1x12)</t>
        </is>
      </c>
      <c r="I1096" s="65" t="n">
        <v>915</v>
      </c>
      <c r="J1096" s="63" t="inlineStr">
        <is>
          <t>1,00</t>
        </is>
      </c>
      <c r="K1096" s="63" t="inlineStr">
        <is>
          <t>70,69</t>
        </is>
      </c>
      <c r="L1096" s="63" t="inlineStr">
        <is>
          <t>0,00</t>
        </is>
      </c>
      <c r="M1096" s="63" t="inlineStr">
        <is>
          <t>70,69</t>
        </is>
      </c>
      <c r="N1096" s="63" t="inlineStr">
        <is>
          <t>82,00</t>
        </is>
      </c>
      <c r="O1096" s="63" t="inlineStr">
        <is>
          <t>141,38</t>
        </is>
      </c>
      <c r="P1096" s="63" t="inlineStr">
        <is>
          <t>164,00</t>
        </is>
      </c>
      <c r="Q1096" s="63" t="inlineStr">
        <is>
          <t>486,20</t>
        </is>
      </c>
      <c r="R1096" s="66" t="n">
        <v>46141</v>
      </c>
      <c r="S1096" s="65" t="n">
        <v>26</v>
      </c>
      <c r="T1096" s="65" t="inlineStr">
        <is>
          <t>00-00000239</t>
        </is>
      </c>
      <c r="U1096" s="63" t="inlineStr">
        <is>
          <t>163,49</t>
        </is>
      </c>
      <c r="V1096" s="63" t="inlineStr">
        <is>
          <t>0,00</t>
        </is>
      </c>
    </row>
    <row r="1097">
      <c r="A1097" s="65" t="n"/>
      <c r="B1097" s="65" t="n"/>
      <c r="C1097" s="65" t="n"/>
      <c r="D1097" s="65" t="n"/>
      <c r="E1097" s="65" t="n"/>
      <c r="F1097" s="65" t="n"/>
      <c r="G1097" s="65" t="n"/>
      <c r="H1097" s="65" t="inlineStr">
        <is>
          <t>[0779] SINOCO SAE 20W-50 (1x12)</t>
        </is>
      </c>
      <c r="I1097" s="65" t="n">
        <v>779</v>
      </c>
      <c r="J1097" s="63" t="inlineStr">
        <is>
          <t>1,00</t>
        </is>
      </c>
      <c r="K1097" s="63" t="inlineStr">
        <is>
          <t>70,69</t>
        </is>
      </c>
      <c r="L1097" s="63" t="inlineStr">
        <is>
          <t>0,00</t>
        </is>
      </c>
      <c r="M1097" s="63" t="inlineStr">
        <is>
          <t>70,69</t>
        </is>
      </c>
      <c r="N1097" s="63" t="inlineStr">
        <is>
          <t>82,00</t>
        </is>
      </c>
      <c r="O1097" s="65" t="n"/>
      <c r="P1097" s="65" t="n"/>
      <c r="Q1097" s="65" t="n"/>
      <c r="R1097" s="65" t="n"/>
      <c r="S1097" s="65" t="n"/>
      <c r="T1097" s="65" t="n"/>
      <c r="U1097" s="65" t="n"/>
      <c r="V1097" s="65" t="n"/>
    </row>
    <row r="1098">
      <c r="A1098" s="65" t="inlineStr">
        <is>
          <t>S00296</t>
        </is>
      </c>
      <c r="B1098" s="62" t="n">
        <v>46139.57018518518</v>
      </c>
      <c r="C1098" s="65" t="inlineStr">
        <is>
          <t>CONSTRUCTORA GRANO AGREGADO, C.A</t>
        </is>
      </c>
      <c r="D1098" s="65" t="inlineStr">
        <is>
          <t>Marco Romero</t>
        </is>
      </c>
      <c r="E1098" s="65" t="inlineStr">
        <is>
          <t>7 días</t>
        </is>
      </c>
      <c r="F1098" s="65" t="n">
        <v>4</v>
      </c>
      <c r="G1098" s="65" t="inlineStr">
        <is>
          <t>Precio Full Abril</t>
        </is>
      </c>
      <c r="H1098" s="65" t="inlineStr">
        <is>
          <t>[0144] HIDRAGLOB AW/ISO 68 (PAILA)</t>
        </is>
      </c>
      <c r="I1098" s="65" t="n">
        <v>144</v>
      </c>
      <c r="J1098" s="63" t="inlineStr">
        <is>
          <t>4,00</t>
        </is>
      </c>
      <c r="K1098" s="63" t="inlineStr">
        <is>
          <t>94,00</t>
        </is>
      </c>
      <c r="L1098" s="63" t="inlineStr">
        <is>
          <t>0,00</t>
        </is>
      </c>
      <c r="M1098" s="63" t="inlineStr">
        <is>
          <t>376,00</t>
        </is>
      </c>
      <c r="N1098" s="63" t="inlineStr">
        <is>
          <t>436,16</t>
        </is>
      </c>
      <c r="O1098" s="63" t="inlineStr">
        <is>
          <t>376,00</t>
        </is>
      </c>
      <c r="P1098" s="63" t="inlineStr">
        <is>
          <t>436,16</t>
        </is>
      </c>
      <c r="Q1098" s="63" t="inlineStr">
        <is>
          <t>484,74</t>
        </is>
      </c>
      <c r="R1098" s="66" t="n">
        <v>46154</v>
      </c>
      <c r="S1098" s="65" t="n">
        <v>73</v>
      </c>
      <c r="T1098" s="65" t="inlineStr">
        <is>
          <t>00-00000387</t>
        </is>
      </c>
      <c r="U1098" s="63" t="inlineStr">
        <is>
          <t>454,30</t>
        </is>
      </c>
      <c r="V1098" s="63" t="inlineStr">
        <is>
          <t>14,27</t>
        </is>
      </c>
    </row>
    <row r="1099">
      <c r="A1099" s="65" t="inlineStr">
        <is>
          <t>S00294</t>
        </is>
      </c>
      <c r="B1099" s="62" t="n">
        <v>46139.49873842593</v>
      </c>
      <c r="C1099" s="65" t="inlineStr">
        <is>
          <t>CONSTRUCTORA GRANO AGREGADO, C.A</t>
        </is>
      </c>
      <c r="D1099" s="65" t="inlineStr">
        <is>
          <t>Marco Romero</t>
        </is>
      </c>
      <c r="E1099" s="65" t="inlineStr">
        <is>
          <t>7 días</t>
        </is>
      </c>
      <c r="F1099" s="65" t="n">
        <v>4</v>
      </c>
      <c r="G1099" s="65" t="inlineStr">
        <is>
          <t>Precio Full Abril</t>
        </is>
      </c>
      <c r="H1099" s="65" t="inlineStr">
        <is>
          <t>[0146] HIDRAGLOB AW/ISO 68 (Tambor)</t>
        </is>
      </c>
      <c r="I1099" s="65" t="n">
        <v>146</v>
      </c>
      <c r="J1099" s="63" t="inlineStr">
        <is>
          <t>1,00</t>
        </is>
      </c>
      <c r="K1099" s="63" t="inlineStr">
        <is>
          <t>1.101,02</t>
        </is>
      </c>
      <c r="L1099" s="63" t="inlineStr">
        <is>
          <t>0,00</t>
        </is>
      </c>
      <c r="M1099" s="63" t="inlineStr">
        <is>
          <t>1.101,02</t>
        </is>
      </c>
      <c r="N1099" s="63" t="inlineStr">
        <is>
          <t>1.277,18</t>
        </is>
      </c>
      <c r="O1099" s="63" t="inlineStr">
        <is>
          <t>2.855,85</t>
        </is>
      </c>
      <c r="P1099" s="63" t="inlineStr">
        <is>
          <t>3.312,78</t>
        </is>
      </c>
      <c r="Q1099" s="63" t="inlineStr">
        <is>
          <t>500,46</t>
        </is>
      </c>
      <c r="R1099" s="66" t="n">
        <v>46153</v>
      </c>
      <c r="S1099" s="65" t="n">
        <v>37</v>
      </c>
      <c r="T1099" s="65" t="inlineStr">
        <is>
          <t>00-00000302</t>
        </is>
      </c>
      <c r="U1099" s="63" t="inlineStr">
        <is>
          <t>3.240,55</t>
        </is>
      </c>
      <c r="V1099" s="63" t="inlineStr">
        <is>
          <t>3.173,14</t>
        </is>
      </c>
    </row>
    <row r="1100">
      <c r="A1100" s="65" t="n"/>
      <c r="B1100" s="65" t="n"/>
      <c r="C1100" s="65" t="n"/>
      <c r="D1100" s="65" t="n"/>
      <c r="E1100" s="65" t="n"/>
      <c r="F1100" s="65" t="n"/>
      <c r="G1100" s="65" t="n"/>
      <c r="H1100" s="65" t="n"/>
      <c r="I1100" s="65" t="n"/>
      <c r="J1100" s="65" t="n"/>
      <c r="K1100" s="65" t="n"/>
      <c r="L1100" s="65" t="n"/>
      <c r="M1100" s="65" t="n"/>
      <c r="N1100" s="65" t="n"/>
      <c r="O1100" s="65" t="n"/>
      <c r="P1100" s="65" t="n"/>
      <c r="Q1100" s="63" t="inlineStr">
        <is>
          <t>484,74</t>
        </is>
      </c>
      <c r="R1100" s="66" t="n">
        <v>46153</v>
      </c>
      <c r="S1100" s="65" t="n">
        <v>5</v>
      </c>
      <c r="T1100" s="65" t="inlineStr">
        <is>
          <t>00-00000301</t>
        </is>
      </c>
      <c r="U1100" s="63" t="inlineStr">
        <is>
          <t>-3.312,76</t>
        </is>
      </c>
      <c r="V1100" s="63" t="inlineStr">
        <is>
          <t>0,00</t>
        </is>
      </c>
    </row>
    <row r="1101">
      <c r="A1101" s="65" t="n"/>
      <c r="B1101" s="65" t="n"/>
      <c r="C1101" s="65" t="n"/>
      <c r="D1101" s="65" t="n"/>
      <c r="E1101" s="65" t="n"/>
      <c r="F1101" s="65" t="n"/>
      <c r="G1101" s="65" t="n"/>
      <c r="H1101" s="65" t="n"/>
      <c r="I1101" s="65" t="n"/>
      <c r="J1101" s="65" t="n"/>
      <c r="K1101" s="65" t="n"/>
      <c r="L1101" s="65" t="n"/>
      <c r="M1101" s="65" t="n"/>
      <c r="N1101" s="65" t="n"/>
      <c r="O1101" s="65" t="n"/>
      <c r="P1101" s="65" t="n"/>
      <c r="Q1101" s="63" t="inlineStr">
        <is>
          <t>484,74</t>
        </is>
      </c>
      <c r="R1101" s="66" t="n">
        <v>46150</v>
      </c>
      <c r="S1101" s="65" t="n">
        <v>33</v>
      </c>
      <c r="T1101" s="65" t="inlineStr">
        <is>
          <t>00-00000285</t>
        </is>
      </c>
      <c r="U1101" s="63" t="inlineStr">
        <is>
          <t>3.312,76</t>
        </is>
      </c>
      <c r="V1101" s="63" t="inlineStr">
        <is>
          <t>0,00</t>
        </is>
      </c>
    </row>
    <row r="1102">
      <c r="A1102" s="65" t="n"/>
      <c r="B1102" s="65" t="n"/>
      <c r="C1102" s="65" t="n"/>
      <c r="D1102" s="65" t="n"/>
      <c r="E1102" s="65" t="n"/>
      <c r="F1102" s="65" t="n"/>
      <c r="G1102" s="65" t="n"/>
      <c r="H1102" s="65" t="inlineStr">
        <is>
          <t>[0085] MAXIMO API CF SAE 50 (Tambor)</t>
        </is>
      </c>
      <c r="I1102" s="65" t="n">
        <v>85</v>
      </c>
      <c r="J1102" s="63" t="inlineStr">
        <is>
          <t>1,00</t>
        </is>
      </c>
      <c r="K1102" s="63" t="inlineStr">
        <is>
          <t>1.133,96</t>
        </is>
      </c>
      <c r="L1102" s="63" t="inlineStr">
        <is>
          <t>0,00</t>
        </is>
      </c>
      <c r="M1102" s="63" t="inlineStr">
        <is>
          <t>1.133,96</t>
        </is>
      </c>
      <c r="N1102" s="63" t="inlineStr">
        <is>
          <t>1.315,39</t>
        </is>
      </c>
      <c r="O1102" s="65" t="n"/>
      <c r="P1102" s="65" t="n"/>
      <c r="Q1102" s="65" t="n"/>
      <c r="R1102" s="65" t="n"/>
      <c r="S1102" s="65" t="n"/>
      <c r="T1102" s="65" t="n"/>
      <c r="U1102" s="65" t="n"/>
      <c r="V1102" s="65" t="n"/>
    </row>
    <row r="1103">
      <c r="A1103" s="65" t="n"/>
      <c r="B1103" s="65" t="n"/>
      <c r="C1103" s="65" t="n"/>
      <c r="D1103" s="65" t="n"/>
      <c r="E1103" s="65" t="n"/>
      <c r="F1103" s="65" t="n"/>
      <c r="G1103" s="65" t="n"/>
      <c r="H1103" s="65" t="inlineStr">
        <is>
          <t>[0123] TRANSGLOB API GL-5 SAE 80W-90 (Paila)</t>
        </is>
      </c>
      <c r="I1103" s="65" t="n">
        <v>123</v>
      </c>
      <c r="J1103" s="63" t="inlineStr">
        <is>
          <t>2,00</t>
        </is>
      </c>
      <c r="K1103" s="63" t="inlineStr">
        <is>
          <t>123,78</t>
        </is>
      </c>
      <c r="L1103" s="63" t="inlineStr">
        <is>
          <t>0,00</t>
        </is>
      </c>
      <c r="M1103" s="63" t="inlineStr">
        <is>
          <t>247,55</t>
        </is>
      </c>
      <c r="N1103" s="63" t="inlineStr">
        <is>
          <t>287,16</t>
        </is>
      </c>
      <c r="O1103" s="65" t="n"/>
      <c r="P1103" s="65" t="n"/>
      <c r="Q1103" s="65" t="n"/>
      <c r="R1103" s="65" t="n"/>
      <c r="S1103" s="65" t="n"/>
      <c r="T1103" s="65" t="n"/>
      <c r="U1103" s="65" t="n"/>
      <c r="V1103" s="65" t="n"/>
    </row>
    <row r="1104">
      <c r="A1104" s="65" t="n"/>
      <c r="B1104" s="65" t="n"/>
      <c r="C1104" s="65" t="n"/>
      <c r="D1104" s="65" t="n"/>
      <c r="E1104" s="65" t="n"/>
      <c r="F1104" s="65" t="n"/>
      <c r="G1104" s="65" t="n"/>
      <c r="H1104" s="65" t="inlineStr">
        <is>
          <t>[0129] TRANSGLOB API GL-5 SAE 85W-140 (Paila)</t>
        </is>
      </c>
      <c r="I1104" s="65" t="n">
        <v>129</v>
      </c>
      <c r="J1104" s="63" t="inlineStr">
        <is>
          <t>2,00</t>
        </is>
      </c>
      <c r="K1104" s="63" t="inlineStr">
        <is>
          <t>123,78</t>
        </is>
      </c>
      <c r="L1104" s="63" t="inlineStr">
        <is>
          <t>0,00</t>
        </is>
      </c>
      <c r="M1104" s="63" t="inlineStr">
        <is>
          <t>247,55</t>
        </is>
      </c>
      <c r="N1104" s="63" t="inlineStr">
        <is>
          <t>287,16</t>
        </is>
      </c>
      <c r="O1104" s="65" t="n"/>
      <c r="P1104" s="65" t="n"/>
      <c r="Q1104" s="65" t="n"/>
      <c r="R1104" s="65" t="n"/>
      <c r="S1104" s="65" t="n"/>
      <c r="T1104" s="65" t="n"/>
      <c r="U1104" s="65" t="n"/>
      <c r="V1104" s="65" t="n"/>
    </row>
    <row r="1105">
      <c r="A1105" s="65" t="n"/>
      <c r="B1105" s="65" t="n"/>
      <c r="C1105" s="65" t="n"/>
      <c r="D1105" s="65" t="n"/>
      <c r="E1105" s="65" t="n"/>
      <c r="F1105" s="65" t="n"/>
      <c r="G1105" s="65" t="n"/>
      <c r="H1105" s="65" t="inlineStr">
        <is>
          <t>[0107] TRANSMATIC ATF DEXRON III (PAILA)</t>
        </is>
      </c>
      <c r="I1105" s="65" t="n">
        <v>107</v>
      </c>
      <c r="J1105" s="63" t="inlineStr">
        <is>
          <t>1,00</t>
        </is>
      </c>
      <c r="K1105" s="63" t="inlineStr">
        <is>
          <t>125,77</t>
        </is>
      </c>
      <c r="L1105" s="63" t="inlineStr">
        <is>
          <t>0,00</t>
        </is>
      </c>
      <c r="M1105" s="63" t="inlineStr">
        <is>
          <t>125,77</t>
        </is>
      </c>
      <c r="N1105" s="63" t="inlineStr">
        <is>
          <t>145,89</t>
        </is>
      </c>
      <c r="O1105" s="65" t="n"/>
      <c r="P1105" s="65" t="n"/>
      <c r="Q1105" s="65" t="n"/>
      <c r="R1105" s="65" t="n"/>
      <c r="S1105" s="65" t="n"/>
      <c r="T1105" s="65" t="n"/>
      <c r="U1105" s="65" t="n"/>
      <c r="V1105" s="65" t="n"/>
    </row>
    <row r="1106">
      <c r="A1106" s="65" t="inlineStr">
        <is>
          <t>S00293</t>
        </is>
      </c>
      <c r="B1106" s="62" t="n">
        <v>46139.37266203704</v>
      </c>
      <c r="C1106" s="65" t="inlineStr">
        <is>
          <t>Jose Becerra</t>
        </is>
      </c>
      <c r="D1106" s="65" t="inlineStr">
        <is>
          <t>TORO ARDILES DAVID JOSE</t>
        </is>
      </c>
      <c r="E1106" s="65" t="inlineStr">
        <is>
          <t>7 días</t>
        </is>
      </c>
      <c r="F1106" s="65" t="n">
        <v>4</v>
      </c>
      <c r="G1106" s="65" t="inlineStr">
        <is>
          <t>Precio Full Abril</t>
        </is>
      </c>
      <c r="H1106" s="65" t="inlineStr">
        <is>
          <t>[0779] SINOCO SAE 20W-50 (1x12)</t>
        </is>
      </c>
      <c r="I1106" s="65" t="n">
        <v>779</v>
      </c>
      <c r="J1106" s="63" t="inlineStr">
        <is>
          <t>1,00</t>
        </is>
      </c>
      <c r="K1106" s="63" t="inlineStr">
        <is>
          <t>70,00</t>
        </is>
      </c>
      <c r="L1106" s="63" t="inlineStr">
        <is>
          <t>0,00</t>
        </is>
      </c>
      <c r="M1106" s="63" t="inlineStr">
        <is>
          <t>70,00</t>
        </is>
      </c>
      <c r="N1106" s="63" t="inlineStr">
        <is>
          <t>81,20</t>
        </is>
      </c>
      <c r="O1106" s="63" t="inlineStr">
        <is>
          <t>264,00</t>
        </is>
      </c>
      <c r="P1106" s="63" t="inlineStr">
        <is>
          <t>306,24</t>
        </is>
      </c>
      <c r="Q1106" s="63" t="inlineStr">
        <is>
          <t>484,74</t>
        </is>
      </c>
      <c r="R1106" s="66" t="n">
        <v>46185</v>
      </c>
      <c r="S1106" s="65" t="n">
        <v>148</v>
      </c>
      <c r="T1106" s="65" t="inlineStr">
        <is>
          <t>00-00000591</t>
        </is>
      </c>
      <c r="U1106" s="63" t="inlineStr">
        <is>
          <t>198,00</t>
        </is>
      </c>
      <c r="V1106" s="63" t="inlineStr">
        <is>
          <t>0,01</t>
        </is>
      </c>
    </row>
    <row r="1107">
      <c r="A1107" s="65" t="n"/>
      <c r="B1107" s="65" t="n"/>
      <c r="C1107" s="65" t="n"/>
      <c r="D1107" s="65" t="n"/>
      <c r="E1107" s="65" t="n"/>
      <c r="F1107" s="65" t="n"/>
      <c r="G1107" s="65" t="n"/>
      <c r="H1107" s="65" t="inlineStr">
        <is>
          <t>[0605] SINOCO SAE 20W-50 (PAILA)</t>
        </is>
      </c>
      <c r="I1107" s="65" t="n">
        <v>605</v>
      </c>
      <c r="J1107" s="63" t="inlineStr">
        <is>
          <t>2,00</t>
        </is>
      </c>
      <c r="K1107" s="63" t="inlineStr">
        <is>
          <t>97,00</t>
        </is>
      </c>
      <c r="L1107" s="63" t="inlineStr">
        <is>
          <t>0,00</t>
        </is>
      </c>
      <c r="M1107" s="63" t="inlineStr">
        <is>
          <t>194,00</t>
        </is>
      </c>
      <c r="N1107" s="63" t="inlineStr">
        <is>
          <t>225,04</t>
        </is>
      </c>
      <c r="O1107" s="65" t="n"/>
      <c r="P1107" s="65" t="n"/>
      <c r="Q1107" s="65" t="n"/>
      <c r="R1107" s="65" t="n"/>
      <c r="S1107" s="65" t="n"/>
      <c r="T1107" s="65" t="n"/>
      <c r="U1107" s="65" t="n"/>
      <c r="V1107" s="65" t="n"/>
    </row>
    <row r="1108">
      <c r="A1108" s="65" t="inlineStr">
        <is>
          <t>S00289</t>
        </is>
      </c>
      <c r="B1108" s="62" t="n">
        <v>46136.64921296296</v>
      </c>
      <c r="C1108" s="65" t="inlineStr">
        <is>
          <t>Paola M. Aguilera Z.</t>
        </is>
      </c>
      <c r="D1108" s="65" t="inlineStr">
        <is>
          <t>CASERES GONZALEZ RONALD OSWALDO</t>
        </is>
      </c>
      <c r="E1108" s="65" t="inlineStr">
        <is>
          <t>7 días</t>
        </is>
      </c>
      <c r="F1108" s="65" t="n">
        <v>4</v>
      </c>
      <c r="G1108" s="65" t="inlineStr">
        <is>
          <t>Precio Full Abril</t>
        </is>
      </c>
      <c r="H1108" s="65" t="inlineStr">
        <is>
          <t>[0083] MAXIMO API CF SAE 50 (PAILA)</t>
        </is>
      </c>
      <c r="I1108" s="65" t="n">
        <v>83</v>
      </c>
      <c r="J1108" s="63" t="inlineStr">
        <is>
          <t>1,00</t>
        </is>
      </c>
      <c r="K1108" s="63" t="inlineStr">
        <is>
          <t>113,00</t>
        </is>
      </c>
      <c r="L1108" s="63" t="inlineStr">
        <is>
          <t>8,00</t>
        </is>
      </c>
      <c r="M1108" s="63" t="inlineStr">
        <is>
          <t>103,96</t>
        </is>
      </c>
      <c r="N1108" s="63" t="inlineStr">
        <is>
          <t>120,59</t>
        </is>
      </c>
      <c r="O1108" s="63" t="inlineStr">
        <is>
          <t>103,96</t>
        </is>
      </c>
      <c r="P1108" s="63" t="inlineStr">
        <is>
          <t>120,59</t>
        </is>
      </c>
      <c r="Q1108" s="63" t="inlineStr">
        <is>
          <t>485,23</t>
        </is>
      </c>
      <c r="R1108" s="66" t="n">
        <v>46157</v>
      </c>
      <c r="S1108" s="65" t="n">
        <v>61</v>
      </c>
      <c r="T1108" s="65" t="inlineStr">
        <is>
          <t>00-00000361</t>
        </is>
      </c>
      <c r="U1108" s="63" t="inlineStr">
        <is>
          <t>80,99</t>
        </is>
      </c>
      <c r="V1108" s="63" t="inlineStr">
        <is>
          <t>0,00</t>
        </is>
      </c>
    </row>
    <row r="1109">
      <c r="A1109" s="65" t="inlineStr">
        <is>
          <t>S00287</t>
        </is>
      </c>
      <c r="B1109" s="62" t="n">
        <v>46136.57722222222</v>
      </c>
      <c r="C1109" s="65" t="inlineStr">
        <is>
          <t>Javier gregorio Espinoza</t>
        </is>
      </c>
      <c r="D1109" s="65" t="inlineStr">
        <is>
          <t>MARTINEZ MONTES JEFFREY ENRIQUE</t>
        </is>
      </c>
      <c r="E1109" s="65" t="inlineStr">
        <is>
          <t>7 días</t>
        </is>
      </c>
      <c r="F1109" s="65" t="n">
        <v>4</v>
      </c>
      <c r="G1109" s="65" t="inlineStr">
        <is>
          <t>Precio Full Abril</t>
        </is>
      </c>
      <c r="H1109" s="65" t="inlineStr">
        <is>
          <t>[0603] SINOCO SAE 50 (Tambor)</t>
        </is>
      </c>
      <c r="I1109" s="65" t="n">
        <v>603</v>
      </c>
      <c r="J1109" s="63" t="inlineStr">
        <is>
          <t>1,00</t>
        </is>
      </c>
      <c r="K1109" s="63" t="inlineStr">
        <is>
          <t>925,73</t>
        </is>
      </c>
      <c r="L1109" s="63" t="inlineStr">
        <is>
          <t>0,08</t>
        </is>
      </c>
      <c r="M1109" s="63" t="inlineStr">
        <is>
          <t>924,99</t>
        </is>
      </c>
      <c r="N1109" s="63" t="inlineStr">
        <is>
          <t>1.072,99</t>
        </is>
      </c>
      <c r="O1109" s="63" t="inlineStr">
        <is>
          <t>924,99</t>
        </is>
      </c>
      <c r="P1109" s="63" t="inlineStr">
        <is>
          <t>1.072,99</t>
        </is>
      </c>
      <c r="Q1109" s="65" t="n"/>
      <c r="R1109" s="65" t="n"/>
      <c r="S1109" s="65" t="n"/>
      <c r="T1109" s="65" t="n"/>
      <c r="U1109" s="65" t="n"/>
      <c r="V1109" s="65" t="n"/>
    </row>
    <row r="1110">
      <c r="A1110" s="65" t="inlineStr">
        <is>
          <t>S00284</t>
        </is>
      </c>
      <c r="B1110" s="62" t="n">
        <v>46136.57699074074</v>
      </c>
      <c r="C1110" s="65" t="inlineStr">
        <is>
          <t>SUPLIPARTES PARAISO, C.A</t>
        </is>
      </c>
      <c r="D1110" s="65" t="inlineStr">
        <is>
          <t>VILLABONA CORREA ALBA ESTEFANIA</t>
        </is>
      </c>
      <c r="E1110" s="65" t="inlineStr">
        <is>
          <t>7 días</t>
        </is>
      </c>
      <c r="F1110" s="65" t="n">
        <v>4</v>
      </c>
      <c r="G1110" s="65" t="inlineStr">
        <is>
          <t>Precio Full Abril</t>
        </is>
      </c>
      <c r="H1110" s="65" t="inlineStr">
        <is>
          <t>[0561] MEJORADOR DE OCTANAJE GLOBAL OIL PACK (1X12)</t>
        </is>
      </c>
      <c r="I1110" s="65" t="n">
        <v>561</v>
      </c>
      <c r="J1110" s="63" t="inlineStr">
        <is>
          <t>1,00</t>
        </is>
      </c>
      <c r="K1110" s="63" t="inlineStr">
        <is>
          <t>51,00</t>
        </is>
      </c>
      <c r="L1110" s="63" t="inlineStr">
        <is>
          <t>0,00</t>
        </is>
      </c>
      <c r="M1110" s="63" t="inlineStr">
        <is>
          <t>51,00</t>
        </is>
      </c>
      <c r="N1110" s="63" t="inlineStr">
        <is>
          <t>59,16</t>
        </is>
      </c>
      <c r="O1110" s="63" t="inlineStr">
        <is>
          <t>51,00</t>
        </is>
      </c>
      <c r="P1110" s="63" t="inlineStr">
        <is>
          <t>59,16</t>
        </is>
      </c>
      <c r="Q1110" s="63" t="inlineStr">
        <is>
          <t>485,23</t>
        </is>
      </c>
      <c r="R1110" s="66" t="n">
        <v>46141</v>
      </c>
      <c r="S1110" s="65" t="n">
        <v>25</v>
      </c>
      <c r="T1110" s="65" t="inlineStr">
        <is>
          <t>00-00000238</t>
        </is>
      </c>
      <c r="U1110" s="63" t="inlineStr">
        <is>
          <t>58,98</t>
        </is>
      </c>
      <c r="V1110" s="63" t="inlineStr">
        <is>
          <t>0,00</t>
        </is>
      </c>
    </row>
    <row r="1111">
      <c r="A1111" s="65" t="inlineStr">
        <is>
          <t>S00283</t>
        </is>
      </c>
      <c r="B1111" s="62" t="n">
        <v>46135.71403935185</v>
      </c>
      <c r="C1111" s="65" t="inlineStr">
        <is>
          <t>LA CASA DE LAS BATERIAS</t>
        </is>
      </c>
      <c r="D1111" s="65" t="inlineStr">
        <is>
          <t>TORO ARDILES DAVID JOSE</t>
        </is>
      </c>
      <c r="E1111" s="65" t="inlineStr">
        <is>
          <t>7 días</t>
        </is>
      </c>
      <c r="F1111" s="65" t="n">
        <v>4</v>
      </c>
      <c r="G1111" s="65" t="inlineStr">
        <is>
          <t>Precio Full Abril</t>
        </is>
      </c>
      <c r="H1111" s="65" t="inlineStr">
        <is>
          <t>[0877] SS EXTRA PROTECCION API SN SAE 15W-40 (1X12)</t>
        </is>
      </c>
      <c r="I1111" s="65" t="n">
        <v>877</v>
      </c>
      <c r="J1111" s="63" t="inlineStr">
        <is>
          <t>1,00</t>
        </is>
      </c>
      <c r="K1111" s="63" t="inlineStr">
        <is>
          <t>100,80</t>
        </is>
      </c>
      <c r="L1111" s="63" t="inlineStr">
        <is>
          <t>0,79</t>
        </is>
      </c>
      <c r="M1111" s="63" t="inlineStr">
        <is>
          <t>100,00</t>
        </is>
      </c>
      <c r="N1111" s="63" t="inlineStr">
        <is>
          <t>116,00</t>
        </is>
      </c>
      <c r="O1111" s="63" t="inlineStr">
        <is>
          <t>182,00</t>
        </is>
      </c>
      <c r="P1111" s="63" t="inlineStr">
        <is>
          <t>211,12</t>
        </is>
      </c>
      <c r="Q1111" s="63" t="inlineStr">
        <is>
          <t>709,69</t>
        </is>
      </c>
      <c r="R1111" s="66" t="n">
        <v>46215</v>
      </c>
      <c r="S1111" s="65" t="n">
        <v>301</v>
      </c>
      <c r="T1111" s="65" t="inlineStr">
        <is>
          <t>00-00000843</t>
        </is>
      </c>
      <c r="U1111" s="63" t="inlineStr">
        <is>
          <t>211,12</t>
        </is>
      </c>
      <c r="V1111" s="63" t="inlineStr">
        <is>
          <t>211,13</t>
        </is>
      </c>
    </row>
    <row r="1112">
      <c r="A1112" s="65" t="n"/>
      <c r="B1112" s="65" t="n"/>
      <c r="C1112" s="65" t="n"/>
      <c r="D1112" s="65" t="n"/>
      <c r="E1112" s="65" t="n"/>
      <c r="F1112" s="65" t="n"/>
      <c r="G1112" s="65" t="n"/>
      <c r="H1112" s="65" t="inlineStr">
        <is>
          <t>[0093] ALTA CILINDRADA SS API SN SAE 15W-40 (1x6)</t>
        </is>
      </c>
      <c r="I1112" s="65" t="n">
        <v>93</v>
      </c>
      <c r="J1112" s="63" t="inlineStr">
        <is>
          <t>1,00</t>
        </is>
      </c>
      <c r="K1112" s="63" t="inlineStr">
        <is>
          <t>46,42</t>
        </is>
      </c>
      <c r="L1112" s="63" t="inlineStr">
        <is>
          <t>0,90</t>
        </is>
      </c>
      <c r="M1112" s="63" t="inlineStr">
        <is>
          <t>46,00</t>
        </is>
      </c>
      <c r="N1112" s="63" t="inlineStr">
        <is>
          <t>53,36</t>
        </is>
      </c>
      <c r="O1112" s="65" t="n"/>
      <c r="P1112" s="65" t="n"/>
      <c r="Q1112" s="65" t="n"/>
      <c r="R1112" s="65" t="n"/>
      <c r="S1112" s="65" t="n"/>
      <c r="T1112" s="65" t="n"/>
      <c r="U1112" s="65" t="n"/>
      <c r="V1112" s="65" t="n"/>
    </row>
    <row r="1113">
      <c r="A1113" s="65" t="n"/>
      <c r="B1113" s="65" t="n"/>
      <c r="C1113" s="65" t="n"/>
      <c r="D1113" s="65" t="n"/>
      <c r="E1113" s="65" t="n"/>
      <c r="F1113" s="65" t="n"/>
      <c r="G1113" s="65" t="n"/>
      <c r="H1113" s="65" t="inlineStr">
        <is>
          <t>[0761] LIGA PARA FRENOS DOT-3 (1x12)</t>
        </is>
      </c>
      <c r="I1113" s="65" t="n">
        <v>761</v>
      </c>
      <c r="J1113" s="63" t="inlineStr">
        <is>
          <t>1,00</t>
        </is>
      </c>
      <c r="K1113" s="63" t="inlineStr">
        <is>
          <t>36,00</t>
        </is>
      </c>
      <c r="L1113" s="63" t="inlineStr">
        <is>
          <t>0,00</t>
        </is>
      </c>
      <c r="M1113" s="63" t="inlineStr">
        <is>
          <t>36,00</t>
        </is>
      </c>
      <c r="N1113" s="63" t="inlineStr">
        <is>
          <t>41,76</t>
        </is>
      </c>
      <c r="O1113" s="65" t="n"/>
      <c r="P1113" s="65" t="n"/>
      <c r="Q1113" s="65" t="n"/>
      <c r="R1113" s="65" t="n"/>
      <c r="S1113" s="65" t="n"/>
      <c r="T1113" s="65" t="n"/>
      <c r="U1113" s="65" t="n"/>
      <c r="V1113" s="65" t="n"/>
    </row>
    <row r="1114">
      <c r="A1114" s="65" t="inlineStr">
        <is>
          <t>S00282</t>
        </is>
      </c>
      <c r="B1114" s="62" t="n">
        <v>46135.71391203703</v>
      </c>
      <c r="C1114" s="65" t="inlineStr">
        <is>
          <t>Repuestos y accesorios motochiva23 c.a</t>
        </is>
      </c>
      <c r="D1114" s="65" t="inlineStr">
        <is>
          <t>BETANCOURT ROBRIGUEZ LUIS ENRRIQUE</t>
        </is>
      </c>
      <c r="E1114" s="65" t="inlineStr">
        <is>
          <t>7 días</t>
        </is>
      </c>
      <c r="F1114" s="65" t="n">
        <v>4</v>
      </c>
      <c r="G1114" s="65" t="inlineStr">
        <is>
          <t>Precio Full Abril</t>
        </is>
      </c>
      <c r="H1114" s="65" t="inlineStr">
        <is>
          <t>[0887] MOTOCLASICO 4T SAE 20W-50 (1x12)</t>
        </is>
      </c>
      <c r="I1114" s="65" t="n">
        <v>887</v>
      </c>
      <c r="J1114" s="63" t="inlineStr">
        <is>
          <t>2,00</t>
        </is>
      </c>
      <c r="K1114" s="63" t="inlineStr">
        <is>
          <t>90,19</t>
        </is>
      </c>
      <c r="L1114" s="63" t="inlineStr">
        <is>
          <t>0,21</t>
        </is>
      </c>
      <c r="M1114" s="63" t="inlineStr">
        <is>
          <t>180,00</t>
        </is>
      </c>
      <c r="N1114" s="63" t="inlineStr">
        <is>
          <t>208,80</t>
        </is>
      </c>
      <c r="O1114" s="63" t="inlineStr">
        <is>
          <t>216,00</t>
        </is>
      </c>
      <c r="P1114" s="63" t="inlineStr">
        <is>
          <t>250,56</t>
        </is>
      </c>
      <c r="Q1114" s="63" t="inlineStr">
        <is>
          <t>709,69</t>
        </is>
      </c>
      <c r="R1114" s="66" t="n">
        <v>46215</v>
      </c>
      <c r="S1114" s="65" t="n">
        <v>302</v>
      </c>
      <c r="T1114" s="65" t="inlineStr">
        <is>
          <t>00-00000844</t>
        </is>
      </c>
      <c r="U1114" s="63" t="inlineStr">
        <is>
          <t>250,56</t>
        </is>
      </c>
      <c r="V1114" s="63" t="inlineStr">
        <is>
          <t>250,56</t>
        </is>
      </c>
    </row>
    <row r="1115">
      <c r="A1115" s="65" t="n"/>
      <c r="B1115" s="65" t="n"/>
      <c r="C1115" s="65" t="n"/>
      <c r="D1115" s="65" t="n"/>
      <c r="E1115" s="65" t="n"/>
      <c r="F1115" s="65" t="n"/>
      <c r="G1115" s="65" t="n"/>
      <c r="H1115" s="65" t="inlineStr">
        <is>
          <t>[0761] LIGA PARA FRENOS DOT-3 (1x12)</t>
        </is>
      </c>
      <c r="I1115" s="65" t="n">
        <v>761</v>
      </c>
      <c r="J1115" s="63" t="inlineStr">
        <is>
          <t>1,00</t>
        </is>
      </c>
      <c r="K1115" s="63" t="inlineStr">
        <is>
          <t>36,00</t>
        </is>
      </c>
      <c r="L1115" s="63" t="inlineStr">
        <is>
          <t>0,00</t>
        </is>
      </c>
      <c r="M1115" s="63" t="inlineStr">
        <is>
          <t>36,00</t>
        </is>
      </c>
      <c r="N1115" s="63" t="inlineStr">
        <is>
          <t>41,76</t>
        </is>
      </c>
      <c r="O1115" s="65" t="n"/>
      <c r="P1115" s="65" t="n"/>
      <c r="Q1115" s="65" t="n"/>
      <c r="R1115" s="65" t="n"/>
      <c r="S1115" s="65" t="n"/>
      <c r="T1115" s="65" t="n"/>
      <c r="U1115" s="65" t="n"/>
      <c r="V1115" s="65" t="n"/>
    </row>
    <row r="1116">
      <c r="A1116" s="65" t="inlineStr">
        <is>
          <t>S00280</t>
        </is>
      </c>
      <c r="B1116" s="62" t="n">
        <v>46135.66275462963</v>
      </c>
      <c r="C1116" s="65" t="inlineStr">
        <is>
          <t>Lubristation, C.A.</t>
        </is>
      </c>
      <c r="D1116" s="65" t="inlineStr">
        <is>
          <t>QUEVEDO BASTIDAS NEYKEL DAVID</t>
        </is>
      </c>
      <c r="E1116" s="65" t="inlineStr">
        <is>
          <t>7 días</t>
        </is>
      </c>
      <c r="F1116" s="65" t="n">
        <v>4</v>
      </c>
      <c r="G1116" s="65" t="inlineStr">
        <is>
          <t>Precio Full Abril</t>
        </is>
      </c>
      <c r="H1116" s="65" t="inlineStr">
        <is>
          <t>[0561] MEJORADOR DE OCTANAJE GLOBAL OIL PACK (1X12)</t>
        </is>
      </c>
      <c r="I1116" s="65" t="n">
        <v>561</v>
      </c>
      <c r="J1116" s="63" t="inlineStr">
        <is>
          <t>3,00</t>
        </is>
      </c>
      <c r="K1116" s="63" t="inlineStr">
        <is>
          <t>51,00</t>
        </is>
      </c>
      <c r="L1116" s="63" t="inlineStr">
        <is>
          <t>0,00</t>
        </is>
      </c>
      <c r="M1116" s="63" t="inlineStr">
        <is>
          <t>153,00</t>
        </is>
      </c>
      <c r="N1116" s="63" t="inlineStr">
        <is>
          <t>177,48</t>
        </is>
      </c>
      <c r="O1116" s="63" t="inlineStr">
        <is>
          <t>153,00</t>
        </is>
      </c>
      <c r="P1116" s="63" t="inlineStr">
        <is>
          <t>177,48</t>
        </is>
      </c>
      <c r="Q1116" s="63" t="inlineStr">
        <is>
          <t>485,23</t>
        </is>
      </c>
      <c r="R1116" s="66" t="n">
        <v>46175</v>
      </c>
      <c r="S1116" s="65" t="n">
        <v>123</v>
      </c>
      <c r="T1116" s="65" t="inlineStr">
        <is>
          <t>00-00000526</t>
        </is>
      </c>
      <c r="U1116" s="63" t="inlineStr">
        <is>
          <t>212,25</t>
        </is>
      </c>
      <c r="V1116" s="63" t="inlineStr">
        <is>
          <t>212,26</t>
        </is>
      </c>
    </row>
    <row r="1117">
      <c r="A1117" s="65" t="inlineStr">
        <is>
          <t>S00274</t>
        </is>
      </c>
      <c r="B1117" s="62" t="n">
        <v>46135.61335648148</v>
      </c>
      <c r="C1117" s="65" t="inlineStr">
        <is>
          <t>ADS SERVICE C.A</t>
        </is>
      </c>
      <c r="D1117" s="65" t="inlineStr">
        <is>
          <t>PEREZ DIAZ ANGEL DE DIOS</t>
        </is>
      </c>
      <c r="E1117" s="65" t="inlineStr">
        <is>
          <t>30 días</t>
        </is>
      </c>
      <c r="F1117" s="65" t="n">
        <v>4</v>
      </c>
      <c r="G1117" s="65" t="inlineStr">
        <is>
          <t>Precio Full Abril</t>
        </is>
      </c>
      <c r="H1117" s="65" t="inlineStr">
        <is>
          <t>[0877] SS EXTRA PROTECCION API SN SAE 15W-40 (1X12)</t>
        </is>
      </c>
      <c r="I1117" s="65" t="n">
        <v>877</v>
      </c>
      <c r="J1117" s="63" t="inlineStr">
        <is>
          <t>2,00</t>
        </is>
      </c>
      <c r="K1117" s="63" t="inlineStr">
        <is>
          <t>100,00</t>
        </is>
      </c>
      <c r="L1117" s="63" t="inlineStr">
        <is>
          <t>36,34</t>
        </is>
      </c>
      <c r="M1117" s="63" t="inlineStr">
        <is>
          <t>127,32</t>
        </is>
      </c>
      <c r="N1117" s="63" t="inlineStr">
        <is>
          <t>147,69</t>
        </is>
      </c>
      <c r="O1117" s="63" t="inlineStr">
        <is>
          <t>236,19</t>
        </is>
      </c>
      <c r="P1117" s="63" t="inlineStr">
        <is>
          <t>273,98</t>
        </is>
      </c>
      <c r="Q1117" s="63" t="inlineStr">
        <is>
          <t>485,23</t>
        </is>
      </c>
      <c r="R1117" s="66" t="n">
        <v>46184</v>
      </c>
      <c r="S1117" s="65" t="n">
        <v>136</v>
      </c>
      <c r="T1117" s="65" t="inlineStr">
        <is>
          <t>00-00000569</t>
        </is>
      </c>
      <c r="U1117" s="63" t="inlineStr">
        <is>
          <t>273,99</t>
        </is>
      </c>
      <c r="V1117" s="63" t="inlineStr">
        <is>
          <t>0,00</t>
        </is>
      </c>
    </row>
    <row r="1118">
      <c r="A1118" s="65" t="n"/>
      <c r="B1118" s="65" t="n"/>
      <c r="C1118" s="65" t="n"/>
      <c r="D1118" s="65" t="n"/>
      <c r="E1118" s="65" t="n"/>
      <c r="F1118" s="65" t="n"/>
      <c r="G1118" s="65" t="n"/>
      <c r="H1118" s="65" t="inlineStr">
        <is>
          <t>[0779] SINOCO SAE 20W-50 (1x12)</t>
        </is>
      </c>
      <c r="I1118" s="65" t="n">
        <v>779</v>
      </c>
      <c r="J1118" s="63" t="inlineStr">
        <is>
          <t>2,00</t>
        </is>
      </c>
      <c r="K1118" s="63" t="inlineStr">
        <is>
          <t>70,00</t>
        </is>
      </c>
      <c r="L1118" s="63" t="inlineStr">
        <is>
          <t>36,34</t>
        </is>
      </c>
      <c r="M1118" s="63" t="inlineStr">
        <is>
          <t>89,12</t>
        </is>
      </c>
      <c r="N1118" s="63" t="inlineStr">
        <is>
          <t>103,38</t>
        </is>
      </c>
      <c r="O1118" s="65" t="n"/>
      <c r="P1118" s="65" t="n"/>
      <c r="Q1118" s="65" t="n"/>
      <c r="R1118" s="65" t="n"/>
      <c r="S1118" s="65" t="n"/>
      <c r="T1118" s="65" t="n"/>
      <c r="U1118" s="65" t="n"/>
      <c r="V1118" s="65" t="n"/>
    </row>
    <row r="1119">
      <c r="A1119" s="65" t="n"/>
      <c r="B1119" s="65" t="n"/>
      <c r="C1119" s="65" t="n"/>
      <c r="D1119" s="65" t="n"/>
      <c r="E1119" s="65" t="n"/>
      <c r="F1119" s="65" t="n"/>
      <c r="G1119" s="65" t="n"/>
      <c r="H1119" s="65" t="inlineStr">
        <is>
          <t>[0792] REFRIGERANTE GLOBAL ROJO (1X3)</t>
        </is>
      </c>
      <c r="I1119" s="65" t="n">
        <v>792</v>
      </c>
      <c r="J1119" s="63" t="inlineStr">
        <is>
          <t>1,00</t>
        </is>
      </c>
      <c r="K1119" s="63" t="inlineStr">
        <is>
          <t>31,03</t>
        </is>
      </c>
      <c r="L1119" s="63" t="inlineStr">
        <is>
          <t>36,34</t>
        </is>
      </c>
      <c r="M1119" s="63" t="inlineStr">
        <is>
          <t>19,75</t>
        </is>
      </c>
      <c r="N1119" s="63" t="inlineStr">
        <is>
          <t>22,91</t>
        </is>
      </c>
      <c r="O1119" s="65" t="n"/>
      <c r="P1119" s="65" t="n"/>
      <c r="Q1119" s="65" t="n"/>
      <c r="R1119" s="65" t="n"/>
      <c r="S1119" s="65" t="n"/>
      <c r="T1119" s="65" t="n"/>
      <c r="U1119" s="65" t="n"/>
      <c r="V1119" s="65" t="n"/>
    </row>
    <row r="1120">
      <c r="A1120" s="65" t="inlineStr">
        <is>
          <t>S00263</t>
        </is>
      </c>
      <c r="B1120" s="62" t="n">
        <v>46135.51936342593</v>
      </c>
      <c r="C1120" s="65" t="inlineStr">
        <is>
          <t>Katiuska Alejandra Curvelo</t>
        </is>
      </c>
      <c r="D1120" s="65" t="inlineStr">
        <is>
          <t>GRIMAN DIAZ HECTOR EDUARDO</t>
        </is>
      </c>
      <c r="E1120" s="65" t="inlineStr">
        <is>
          <t>Pago inmediato</t>
        </is>
      </c>
      <c r="F1120" s="65" t="n">
        <v>4</v>
      </c>
      <c r="G1120" s="65" t="inlineStr">
        <is>
          <t>Precio Full Abril</t>
        </is>
      </c>
      <c r="H1120" s="65" t="inlineStr">
        <is>
          <t>[0121] TRANSGLOB API GL-5 SAE 80W-90 (1x6)</t>
        </is>
      </c>
      <c r="I1120" s="65" t="n">
        <v>121</v>
      </c>
      <c r="J1120" s="63" t="inlineStr">
        <is>
          <t>1,00</t>
        </is>
      </c>
      <c r="K1120" s="63" t="inlineStr">
        <is>
          <t>51,63</t>
        </is>
      </c>
      <c r="L1120" s="63" t="inlineStr">
        <is>
          <t>8,00</t>
        </is>
      </c>
      <c r="M1120" s="63" t="inlineStr">
        <is>
          <t>47,50</t>
        </is>
      </c>
      <c r="N1120" s="63" t="inlineStr">
        <is>
          <t>55,10</t>
        </is>
      </c>
      <c r="O1120" s="63" t="inlineStr">
        <is>
          <t>340,12</t>
        </is>
      </c>
      <c r="P1120" s="63" t="inlineStr">
        <is>
          <t>394,54</t>
        </is>
      </c>
      <c r="Q1120" s="63" t="inlineStr">
        <is>
          <t>485,23</t>
        </is>
      </c>
      <c r="R1120" s="66" t="n">
        <v>46156</v>
      </c>
      <c r="S1120" s="65" t="n">
        <v>54</v>
      </c>
      <c r="T1120" s="65" t="inlineStr">
        <is>
          <t>00-00000342</t>
        </is>
      </c>
      <c r="U1120" s="63" t="inlineStr">
        <is>
          <t>254,97</t>
        </is>
      </c>
      <c r="V1120" s="63" t="inlineStr">
        <is>
          <t>0,00</t>
        </is>
      </c>
    </row>
    <row r="1121">
      <c r="A1121" s="65" t="n"/>
      <c r="B1121" s="65" t="n"/>
      <c r="C1121" s="65" t="n"/>
      <c r="D1121" s="65" t="n"/>
      <c r="E1121" s="65" t="n"/>
      <c r="F1121" s="65" t="n"/>
      <c r="G1121" s="65" t="n"/>
      <c r="H1121" s="65" t="inlineStr">
        <is>
          <t>[0761] LIGA PARA FRENOS DOT-3 (1x12)</t>
        </is>
      </c>
      <c r="I1121" s="65" t="n">
        <v>761</v>
      </c>
      <c r="J1121" s="63" t="inlineStr">
        <is>
          <t>1,00</t>
        </is>
      </c>
      <c r="K1121" s="63" t="inlineStr">
        <is>
          <t>36,21</t>
        </is>
      </c>
      <c r="L1121" s="63" t="inlineStr">
        <is>
          <t>8,00</t>
        </is>
      </c>
      <c r="M1121" s="63" t="inlineStr">
        <is>
          <t>33,31</t>
        </is>
      </c>
      <c r="N1121" s="63" t="inlineStr">
        <is>
          <t>38,64</t>
        </is>
      </c>
      <c r="O1121" s="65" t="n"/>
      <c r="P1121" s="65" t="n"/>
      <c r="Q1121" s="65" t="n"/>
      <c r="R1121" s="65" t="n"/>
      <c r="S1121" s="65" t="n"/>
      <c r="T1121" s="65" t="n"/>
      <c r="U1121" s="65" t="n"/>
      <c r="V1121" s="65" t="n"/>
    </row>
    <row r="1122">
      <c r="A1122" s="65" t="n"/>
      <c r="B1122" s="65" t="n"/>
      <c r="C1122" s="65" t="n"/>
      <c r="D1122" s="65" t="n"/>
      <c r="E1122" s="65" t="n"/>
      <c r="F1122" s="65" t="n"/>
      <c r="G1122" s="65" t="n"/>
      <c r="H1122" s="65" t="inlineStr">
        <is>
          <t>[0881] CLASICO API SL SAE 20W-50 (1x12)</t>
        </is>
      </c>
      <c r="I1122" s="65" t="n">
        <v>881</v>
      </c>
      <c r="J1122" s="63" t="inlineStr">
        <is>
          <t>1,00</t>
        </is>
      </c>
      <c r="K1122" s="63" t="inlineStr">
        <is>
          <t>86,21</t>
        </is>
      </c>
      <c r="L1122" s="63" t="inlineStr">
        <is>
          <t>8,00</t>
        </is>
      </c>
      <c r="M1122" s="63" t="inlineStr">
        <is>
          <t>79,31</t>
        </is>
      </c>
      <c r="N1122" s="63" t="inlineStr">
        <is>
          <t>92,00</t>
        </is>
      </c>
      <c r="O1122" s="65" t="n"/>
      <c r="P1122" s="65" t="n"/>
      <c r="Q1122" s="65" t="n"/>
      <c r="R1122" s="65" t="n"/>
      <c r="S1122" s="65" t="n"/>
      <c r="T1122" s="65" t="n"/>
      <c r="U1122" s="65" t="n"/>
      <c r="V1122" s="65" t="n"/>
    </row>
    <row r="1123">
      <c r="A1123" s="65" t="n"/>
      <c r="B1123" s="65" t="n"/>
      <c r="C1123" s="65" t="n"/>
      <c r="D1123" s="65" t="n"/>
      <c r="E1123" s="65" t="n"/>
      <c r="F1123" s="65" t="n"/>
      <c r="G1123" s="65" t="n"/>
      <c r="H1123" s="65" t="inlineStr">
        <is>
          <t>[0877] SS EXTRA PROTECCION API SN SAE 15W-40 (1X12)</t>
        </is>
      </c>
      <c r="I1123" s="65" t="n">
        <v>877</v>
      </c>
      <c r="J1123" s="63" t="inlineStr">
        <is>
          <t>1,00</t>
        </is>
      </c>
      <c r="K1123" s="63" t="inlineStr">
        <is>
          <t>100,00</t>
        </is>
      </c>
      <c r="L1123" s="63" t="inlineStr">
        <is>
          <t>10,00</t>
        </is>
      </c>
      <c r="M1123" s="63" t="inlineStr">
        <is>
          <t>90,00</t>
        </is>
      </c>
      <c r="N1123" s="63" t="inlineStr">
        <is>
          <t>104,40</t>
        </is>
      </c>
      <c r="O1123" s="65" t="n"/>
      <c r="P1123" s="65" t="n"/>
      <c r="Q1123" s="65" t="n"/>
      <c r="R1123" s="65" t="n"/>
      <c r="S1123" s="65" t="n"/>
      <c r="T1123" s="65" t="n"/>
      <c r="U1123" s="65" t="n"/>
      <c r="V1123" s="65" t="n"/>
    </row>
    <row r="1124">
      <c r="A1124" s="65" t="n"/>
      <c r="B1124" s="65" t="n"/>
      <c r="C1124" s="65" t="n"/>
      <c r="D1124" s="65" t="n"/>
      <c r="E1124" s="65" t="n"/>
      <c r="F1124" s="65" t="n"/>
      <c r="G1124" s="65" t="n"/>
      <c r="H1124" s="65" t="inlineStr">
        <is>
          <t>[0878] SS EXTRA PROTECCION API SN SAE 20W-50 (1x12)</t>
        </is>
      </c>
      <c r="I1124" s="65" t="n">
        <v>878</v>
      </c>
      <c r="J1124" s="63" t="inlineStr">
        <is>
          <t>1,00</t>
        </is>
      </c>
      <c r="K1124" s="63" t="inlineStr">
        <is>
          <t>100,00</t>
        </is>
      </c>
      <c r="L1124" s="63" t="inlineStr">
        <is>
          <t>10,00</t>
        </is>
      </c>
      <c r="M1124" s="63" t="inlineStr">
        <is>
          <t>90,00</t>
        </is>
      </c>
      <c r="N1124" s="63" t="inlineStr">
        <is>
          <t>104,40</t>
        </is>
      </c>
      <c r="O1124" s="65" t="n"/>
      <c r="P1124" s="65" t="n"/>
      <c r="Q1124" s="65" t="n"/>
      <c r="R1124" s="65" t="n"/>
      <c r="S1124" s="65" t="n"/>
      <c r="T1124" s="65" t="n"/>
      <c r="U1124" s="65" t="n"/>
      <c r="V1124" s="65" t="n"/>
    </row>
    <row r="1125">
      <c r="A1125" s="65" t="inlineStr">
        <is>
          <t>S00261</t>
        </is>
      </c>
      <c r="B1125" s="62" t="n">
        <v>46135.41920138889</v>
      </c>
      <c r="C1125" s="65" t="inlineStr">
        <is>
          <t>Autopartes Munich PH 168 C.A.</t>
        </is>
      </c>
      <c r="D1125" s="65" t="inlineStr">
        <is>
          <t>TORO ARDILES DAVID JOSE</t>
        </is>
      </c>
      <c r="E1125" s="65" t="inlineStr">
        <is>
          <t>15 días</t>
        </is>
      </c>
      <c r="F1125" s="65" t="n">
        <v>4</v>
      </c>
      <c r="G1125" s="65" t="inlineStr">
        <is>
          <t>Precio Full Abril</t>
        </is>
      </c>
      <c r="H1125" s="65" t="inlineStr">
        <is>
          <t>[0877] SS EXTRA PROTECCION API SN SAE 15W-40 (1X12)</t>
        </is>
      </c>
      <c r="I1125" s="65" t="n">
        <v>877</v>
      </c>
      <c r="J1125" s="63" t="inlineStr">
        <is>
          <t>1,00</t>
        </is>
      </c>
      <c r="K1125" s="63" t="inlineStr">
        <is>
          <t>99,88</t>
        </is>
      </c>
      <c r="L1125" s="63" t="inlineStr">
        <is>
          <t>35,27</t>
        </is>
      </c>
      <c r="M1125" s="63" t="inlineStr">
        <is>
          <t>64,65</t>
        </is>
      </c>
      <c r="N1125" s="63" t="inlineStr">
        <is>
          <t>74,99</t>
        </is>
      </c>
      <c r="O1125" s="63" t="inlineStr">
        <is>
          <t>129,30</t>
        </is>
      </c>
      <c r="P1125" s="63" t="inlineStr">
        <is>
          <t>149,98</t>
        </is>
      </c>
      <c r="Q1125" s="63" t="inlineStr">
        <is>
          <t>485,23</t>
        </is>
      </c>
      <c r="R1125" s="66" t="n">
        <v>46205</v>
      </c>
      <c r="S1125" s="65" t="n">
        <v>212</v>
      </c>
      <c r="T1125" s="65" t="inlineStr">
        <is>
          <t>00-00000716</t>
        </is>
      </c>
      <c r="U1125" s="63" t="inlineStr">
        <is>
          <t>149,98</t>
        </is>
      </c>
      <c r="V1125" s="63" t="inlineStr">
        <is>
          <t>0,00</t>
        </is>
      </c>
    </row>
    <row r="1126">
      <c r="A1126" s="65" t="n"/>
      <c r="B1126" s="65" t="n"/>
      <c r="C1126" s="65" t="n"/>
      <c r="D1126" s="65" t="n"/>
      <c r="E1126" s="65" t="n"/>
      <c r="F1126" s="65" t="n"/>
      <c r="G1126" s="65" t="n"/>
      <c r="H1126" s="65" t="inlineStr">
        <is>
          <t>[0878] SS EXTRA PROTECCION API SN SAE 20W-50 (1x12)</t>
        </is>
      </c>
      <c r="I1126" s="65" t="n">
        <v>878</v>
      </c>
      <c r="J1126" s="63" t="inlineStr">
        <is>
          <t>1,00</t>
        </is>
      </c>
      <c r="K1126" s="63" t="inlineStr">
        <is>
          <t>99,88</t>
        </is>
      </c>
      <c r="L1126" s="63" t="inlineStr">
        <is>
          <t>35,27</t>
        </is>
      </c>
      <c r="M1126" s="63" t="inlineStr">
        <is>
          <t>64,65</t>
        </is>
      </c>
      <c r="N1126" s="63" t="inlineStr">
        <is>
          <t>74,99</t>
        </is>
      </c>
      <c r="O1126" s="65" t="n"/>
      <c r="P1126" s="65" t="n"/>
      <c r="Q1126" s="65" t="n"/>
      <c r="R1126" s="65" t="n"/>
      <c r="S1126" s="65" t="n"/>
      <c r="T1126" s="65" t="n"/>
      <c r="U1126" s="65" t="n"/>
      <c r="V1126" s="65" t="n"/>
    </row>
    <row r="1127">
      <c r="A1127" s="65" t="inlineStr">
        <is>
          <t>S00258</t>
        </is>
      </c>
      <c r="B1127" s="62" t="n">
        <v>46134.71142361111</v>
      </c>
      <c r="C1127" s="65" t="inlineStr">
        <is>
          <t>Distribuidora El Frenazo</t>
        </is>
      </c>
      <c r="D1127" s="65" t="inlineStr">
        <is>
          <t>MARTINEZ MONTES JEFFREY ENRIQUE</t>
        </is>
      </c>
      <c r="E1127" s="65" t="inlineStr">
        <is>
          <t>7 días</t>
        </is>
      </c>
      <c r="F1127" s="65" t="n">
        <v>4</v>
      </c>
      <c r="G1127" s="65" t="inlineStr">
        <is>
          <t>Precio Full Abril</t>
        </is>
      </c>
      <c r="H1127" s="65" t="inlineStr">
        <is>
          <t>[0561] MEJORADOR DE OCTANAJE GLOBAL OIL PACK (1X12)</t>
        </is>
      </c>
      <c r="I1127" s="65" t="n">
        <v>561</v>
      </c>
      <c r="J1127" s="63" t="inlineStr">
        <is>
          <t>1,00</t>
        </is>
      </c>
      <c r="K1127" s="63" t="inlineStr">
        <is>
          <t>51,00</t>
        </is>
      </c>
      <c r="L1127" s="63" t="inlineStr">
        <is>
          <t>0,00</t>
        </is>
      </c>
      <c r="M1127" s="63" t="inlineStr">
        <is>
          <t>51,00</t>
        </is>
      </c>
      <c r="N1127" s="63" t="inlineStr">
        <is>
          <t>59,16</t>
        </is>
      </c>
      <c r="O1127" s="63" t="inlineStr">
        <is>
          <t>141,00</t>
        </is>
      </c>
      <c r="P1127" s="63" t="inlineStr">
        <is>
          <t>163,56</t>
        </is>
      </c>
      <c r="Q1127" s="63" t="inlineStr">
        <is>
          <t>485,23</t>
        </is>
      </c>
      <c r="R1127" s="66" t="n">
        <v>46168</v>
      </c>
      <c r="S1127" s="65" t="n">
        <v>92</v>
      </c>
      <c r="T1127" s="65" t="inlineStr">
        <is>
          <t>00-00000439</t>
        </is>
      </c>
      <c r="U1127" s="63" t="inlineStr">
        <is>
          <t>163,53</t>
        </is>
      </c>
      <c r="V1127" s="63" t="inlineStr">
        <is>
          <t>15,37</t>
        </is>
      </c>
    </row>
    <row r="1128">
      <c r="A1128" s="65" t="n"/>
      <c r="B1128" s="65" t="n"/>
      <c r="C1128" s="65" t="n"/>
      <c r="D1128" s="65" t="n"/>
      <c r="E1128" s="65" t="n"/>
      <c r="F1128" s="65" t="n"/>
      <c r="G1128" s="65" t="n"/>
      <c r="H1128" s="65" t="inlineStr">
        <is>
          <t>[0887] MOTOCLASICO 4T SAE 20W-50 (1x12)</t>
        </is>
      </c>
      <c r="I1128" s="65" t="n">
        <v>887</v>
      </c>
      <c r="J1128" s="63" t="inlineStr">
        <is>
          <t>1,00</t>
        </is>
      </c>
      <c r="K1128" s="63" t="inlineStr">
        <is>
          <t>90,00</t>
        </is>
      </c>
      <c r="L1128" s="63" t="inlineStr">
        <is>
          <t>0,00</t>
        </is>
      </c>
      <c r="M1128" s="63" t="inlineStr">
        <is>
          <t>90,00</t>
        </is>
      </c>
      <c r="N1128" s="63" t="inlineStr">
        <is>
          <t>104,40</t>
        </is>
      </c>
      <c r="O1128" s="65" t="n"/>
      <c r="P1128" s="65" t="n"/>
      <c r="Q1128" s="65" t="n"/>
      <c r="R1128" s="65" t="n"/>
      <c r="S1128" s="65" t="n"/>
      <c r="T1128" s="65" t="n"/>
      <c r="U1128" s="65" t="n"/>
      <c r="V1128" s="65" t="n"/>
    </row>
    <row r="1129">
      <c r="A1129" s="65" t="inlineStr">
        <is>
          <t>S00260</t>
        </is>
      </c>
      <c r="B1129" s="62" t="n">
        <v>46134.71118055555</v>
      </c>
      <c r="C1129" s="65" t="inlineStr">
        <is>
          <t>Jose Lopez Espinoza</t>
        </is>
      </c>
      <c r="D1129" s="65" t="inlineStr">
        <is>
          <t>VILLABONA CORREA ALBA ESTEFANIA</t>
        </is>
      </c>
      <c r="E1129" s="65" t="inlineStr">
        <is>
          <t>7 días</t>
        </is>
      </c>
      <c r="F1129" s="65" t="n">
        <v>4</v>
      </c>
      <c r="G1129" s="65" t="inlineStr">
        <is>
          <t>Precio Full Abril</t>
        </is>
      </c>
      <c r="H1129" s="65" t="inlineStr">
        <is>
          <t>[0877] SS EXTRA PROTECCION API SN SAE 15W-40 (1X12)</t>
        </is>
      </c>
      <c r="I1129" s="65" t="n">
        <v>877</v>
      </c>
      <c r="J1129" s="63" t="inlineStr">
        <is>
          <t>2,00</t>
        </is>
      </c>
      <c r="K1129" s="63" t="inlineStr">
        <is>
          <t>100,80</t>
        </is>
      </c>
      <c r="L1129" s="63" t="inlineStr">
        <is>
          <t>0,79</t>
        </is>
      </c>
      <c r="M1129" s="63" t="inlineStr">
        <is>
          <t>200,01</t>
        </is>
      </c>
      <c r="N1129" s="63" t="inlineStr">
        <is>
          <t>232,01</t>
        </is>
      </c>
      <c r="O1129" s="63" t="inlineStr">
        <is>
          <t>270,01</t>
        </is>
      </c>
      <c r="P1129" s="63" t="inlineStr">
        <is>
          <t>313,21</t>
        </is>
      </c>
      <c r="Q1129" s="63" t="inlineStr">
        <is>
          <t>709,69</t>
        </is>
      </c>
      <c r="R1129" s="66" t="n">
        <v>46215</v>
      </c>
      <c r="S1129" s="65" t="n">
        <v>303</v>
      </c>
      <c r="T1129" s="65" t="inlineStr">
        <is>
          <t>00-00000845</t>
        </is>
      </c>
      <c r="U1129" s="63" t="inlineStr">
        <is>
          <t>313,20</t>
        </is>
      </c>
      <c r="V1129" s="63" t="inlineStr">
        <is>
          <t>313,21</t>
        </is>
      </c>
    </row>
    <row r="1130">
      <c r="A1130" s="65" t="n"/>
      <c r="B1130" s="65" t="n"/>
      <c r="C1130" s="65" t="n"/>
      <c r="D1130" s="65" t="n"/>
      <c r="E1130" s="65" t="n"/>
      <c r="F1130" s="65" t="n"/>
      <c r="G1130" s="65" t="n"/>
      <c r="H1130" s="65" t="inlineStr">
        <is>
          <t>[0779] SINOCO SAE 20W-50 (1x12)</t>
        </is>
      </c>
      <c r="I1130" s="65" t="n">
        <v>779</v>
      </c>
      <c r="J1130" s="63" t="inlineStr">
        <is>
          <t>1,00</t>
        </is>
      </c>
      <c r="K1130" s="63" t="inlineStr">
        <is>
          <t>70,29</t>
        </is>
      </c>
      <c r="L1130" s="63" t="inlineStr">
        <is>
          <t>0,41</t>
        </is>
      </c>
      <c r="M1130" s="63" t="inlineStr">
        <is>
          <t>70,00</t>
        </is>
      </c>
      <c r="N1130" s="63" t="inlineStr">
        <is>
          <t>81,20</t>
        </is>
      </c>
      <c r="O1130" s="65" t="n"/>
      <c r="P1130" s="65" t="n"/>
      <c r="Q1130" s="65" t="n"/>
      <c r="R1130" s="65" t="n"/>
      <c r="S1130" s="65" t="n"/>
      <c r="T1130" s="65" t="n"/>
      <c r="U1130" s="65" t="n"/>
      <c r="V1130" s="65" t="n"/>
    </row>
    <row r="1131">
      <c r="A1131" s="65" t="inlineStr">
        <is>
          <t>S00247</t>
        </is>
      </c>
      <c r="B1131" s="62" t="n">
        <v>46133.6516550926</v>
      </c>
      <c r="C1131" s="65" t="inlineStr">
        <is>
          <t>Multiservicios Arizona, C.A.</t>
        </is>
      </c>
      <c r="D1131" s="65" t="inlineStr">
        <is>
          <t>PEREZ DIAZ ANGEL DE DIOS</t>
        </is>
      </c>
      <c r="E1131" s="65" t="inlineStr">
        <is>
          <t>7 días</t>
        </is>
      </c>
      <c r="F1131" s="65" t="n">
        <v>4</v>
      </c>
      <c r="G1131" s="65" t="inlineStr">
        <is>
          <t>Precio Full Abril</t>
        </is>
      </c>
      <c r="H1131" s="65" t="inlineStr">
        <is>
          <t>[0013] ELITE API SN SAE 5W-30 (1x6)</t>
        </is>
      </c>
      <c r="I1131" s="65" t="n">
        <v>13</v>
      </c>
      <c r="J1131" s="63" t="inlineStr">
        <is>
          <t>1,00</t>
        </is>
      </c>
      <c r="K1131" s="63" t="inlineStr">
        <is>
          <t>73,00</t>
        </is>
      </c>
      <c r="L1131" s="63" t="inlineStr">
        <is>
          <t>0,00</t>
        </is>
      </c>
      <c r="M1131" s="63" t="inlineStr">
        <is>
          <t>73,00</t>
        </is>
      </c>
      <c r="N1131" s="63" t="inlineStr">
        <is>
          <t>84,68</t>
        </is>
      </c>
      <c r="O1131" s="63" t="inlineStr">
        <is>
          <t>391,03</t>
        </is>
      </c>
      <c r="P1131" s="63" t="inlineStr">
        <is>
          <t>453,59</t>
        </is>
      </c>
      <c r="Q1131" s="63" t="inlineStr">
        <is>
          <t>709,69</t>
        </is>
      </c>
      <c r="R1131" s="66" t="n">
        <v>46213</v>
      </c>
      <c r="S1131" s="65" t="n">
        <v>258</v>
      </c>
      <c r="T1131" s="65" t="inlineStr">
        <is>
          <t>00-00000795</t>
        </is>
      </c>
      <c r="U1131" s="63" t="inlineStr">
        <is>
          <t>453,57</t>
        </is>
      </c>
      <c r="V1131" s="63" t="inlineStr">
        <is>
          <t>0,02</t>
        </is>
      </c>
    </row>
    <row r="1132">
      <c r="A1132" s="65" t="n"/>
      <c r="B1132" s="65" t="n"/>
      <c r="C1132" s="65" t="n"/>
      <c r="D1132" s="65" t="n"/>
      <c r="E1132" s="65" t="n"/>
      <c r="F1132" s="65" t="n"/>
      <c r="G1132" s="65" t="n"/>
      <c r="H1132" s="65" t="inlineStr">
        <is>
          <t>[0877] SS EXTRA PROTECCION API SN SAE 15W-40 (1X12)</t>
        </is>
      </c>
      <c r="I1132" s="65" t="n">
        <v>877</v>
      </c>
      <c r="J1132" s="63" t="inlineStr">
        <is>
          <t>1,00</t>
        </is>
      </c>
      <c r="K1132" s="63" t="inlineStr">
        <is>
          <t>100,80</t>
        </is>
      </c>
      <c r="L1132" s="63" t="inlineStr">
        <is>
          <t>0,79</t>
        </is>
      </c>
      <c r="M1132" s="63" t="inlineStr">
        <is>
          <t>100,00</t>
        </is>
      </c>
      <c r="N1132" s="63" t="inlineStr">
        <is>
          <t>116,00</t>
        </is>
      </c>
      <c r="O1132" s="65" t="n"/>
      <c r="P1132" s="65" t="n"/>
      <c r="Q1132" s="65" t="n"/>
      <c r="R1132" s="65" t="n"/>
      <c r="S1132" s="65" t="n"/>
      <c r="T1132" s="65" t="n"/>
      <c r="U1132" s="65" t="n"/>
      <c r="V1132" s="65" t="n"/>
    </row>
    <row r="1133">
      <c r="A1133" s="65" t="n"/>
      <c r="B1133" s="65" t="n"/>
      <c r="C1133" s="65" t="n"/>
      <c r="D1133" s="65" t="n"/>
      <c r="E1133" s="65" t="n"/>
      <c r="F1133" s="65" t="n"/>
      <c r="G1133" s="65" t="n"/>
      <c r="H1133" s="65" t="inlineStr">
        <is>
          <t>[0025] SS EXTRA PROTECCION API SN SAE 10W-30 (Gasolina) (1x6)</t>
        </is>
      </c>
      <c r="I1133" s="65" t="n">
        <v>25</v>
      </c>
      <c r="J1133" s="63" t="inlineStr">
        <is>
          <t>2,00</t>
        </is>
      </c>
      <c r="K1133" s="63" t="inlineStr">
        <is>
          <t>50,40</t>
        </is>
      </c>
      <c r="L1133" s="63" t="inlineStr">
        <is>
          <t>0,79</t>
        </is>
      </c>
      <c r="M1133" s="63" t="inlineStr">
        <is>
          <t>100,00</t>
        </is>
      </c>
      <c r="N1133" s="63" t="inlineStr">
        <is>
          <t>116,00</t>
        </is>
      </c>
      <c r="O1133" s="65" t="n"/>
      <c r="P1133" s="65" t="n"/>
      <c r="Q1133" s="65" t="n"/>
      <c r="R1133" s="65" t="n"/>
      <c r="S1133" s="65" t="n"/>
      <c r="T1133" s="65" t="n"/>
      <c r="U1133" s="65" t="n"/>
      <c r="V1133" s="65" t="n"/>
    </row>
    <row r="1134">
      <c r="A1134" s="65" t="n"/>
      <c r="B1134" s="65" t="n"/>
      <c r="C1134" s="65" t="n"/>
      <c r="D1134" s="65" t="n"/>
      <c r="E1134" s="65" t="n"/>
      <c r="F1134" s="65" t="n"/>
      <c r="G1134" s="65" t="n"/>
      <c r="H1134" s="65" t="inlineStr">
        <is>
          <t>[0881] CLASICO API SL SAE 20W-50 (1x12)</t>
        </is>
      </c>
      <c r="I1134" s="65" t="n">
        <v>881</v>
      </c>
      <c r="J1134" s="63" t="inlineStr">
        <is>
          <t>1,00</t>
        </is>
      </c>
      <c r="K1134" s="63" t="inlineStr">
        <is>
          <t>87,00</t>
        </is>
      </c>
      <c r="L1134" s="63" t="inlineStr">
        <is>
          <t>0,00</t>
        </is>
      </c>
      <c r="M1134" s="63" t="inlineStr">
        <is>
          <t>87,00</t>
        </is>
      </c>
      <c r="N1134" s="63" t="inlineStr">
        <is>
          <t>100,92</t>
        </is>
      </c>
      <c r="O1134" s="65" t="n"/>
      <c r="P1134" s="65" t="n"/>
      <c r="Q1134" s="65" t="n"/>
      <c r="R1134" s="65" t="n"/>
      <c r="S1134" s="65" t="n"/>
      <c r="T1134" s="65" t="n"/>
      <c r="U1134" s="65" t="n"/>
      <c r="V1134" s="65" t="n"/>
    </row>
    <row r="1135">
      <c r="A1135" s="65" t="n"/>
      <c r="B1135" s="65" t="n"/>
      <c r="C1135" s="65" t="n"/>
      <c r="D1135" s="65" t="n"/>
      <c r="E1135" s="65" t="n"/>
      <c r="F1135" s="65" t="n"/>
      <c r="G1135" s="65" t="n"/>
      <c r="H1135" s="65" t="inlineStr">
        <is>
          <t>[0792] REFRIGERANTE GLOBAL ROJO (1X3)</t>
        </is>
      </c>
      <c r="I1135" s="65" t="n">
        <v>792</v>
      </c>
      <c r="J1135" s="63" t="inlineStr">
        <is>
          <t>1,00</t>
        </is>
      </c>
      <c r="K1135" s="63" t="inlineStr">
        <is>
          <t>34,48</t>
        </is>
      </c>
      <c r="L1135" s="63" t="inlineStr">
        <is>
          <t>10,01</t>
        </is>
      </c>
      <c r="M1135" s="63" t="inlineStr">
        <is>
          <t>31,03</t>
        </is>
      </c>
      <c r="N1135" s="63" t="inlineStr">
        <is>
          <t>35,99</t>
        </is>
      </c>
      <c r="O1135" s="65" t="n"/>
      <c r="P1135" s="65" t="n"/>
      <c r="Q1135" s="65" t="n"/>
      <c r="R1135" s="65" t="n"/>
      <c r="S1135" s="65" t="n"/>
      <c r="T1135" s="65" t="n"/>
      <c r="U1135" s="65" t="n"/>
      <c r="V1135" s="65" t="n"/>
    </row>
    <row r="1136">
      <c r="A1136" s="65" t="inlineStr">
        <is>
          <t>S00245</t>
        </is>
      </c>
      <c r="B1136" s="62" t="n">
        <v>46133.36942129629</v>
      </c>
      <c r="C1136" s="65" t="inlineStr">
        <is>
          <t>Barrios Rodríguez Marlon Enrique</t>
        </is>
      </c>
      <c r="D1136" s="65" t="inlineStr">
        <is>
          <t>TORO ARDILES DAVID JOSE</t>
        </is>
      </c>
      <c r="E1136" s="65" t="inlineStr">
        <is>
          <t>7 días</t>
        </is>
      </c>
      <c r="F1136" s="65" t="n">
        <v>4</v>
      </c>
      <c r="G1136" s="65" t="inlineStr">
        <is>
          <t>Precio Full Abril</t>
        </is>
      </c>
      <c r="H1136" s="65" t="inlineStr">
        <is>
          <t>[0884] TRANSMATIC ATF DEXRON III (1x12)</t>
        </is>
      </c>
      <c r="I1136" s="65" t="n">
        <v>884</v>
      </c>
      <c r="J1136" s="63" t="inlineStr">
        <is>
          <t>1,00</t>
        </is>
      </c>
      <c r="K1136" s="63" t="inlineStr">
        <is>
          <t>96,00</t>
        </is>
      </c>
      <c r="L1136" s="63" t="inlineStr">
        <is>
          <t>35,35</t>
        </is>
      </c>
      <c r="M1136" s="63" t="inlineStr">
        <is>
          <t>62,06</t>
        </is>
      </c>
      <c r="N1136" s="63" t="inlineStr">
        <is>
          <t>71,99</t>
        </is>
      </c>
      <c r="O1136" s="63" t="inlineStr">
        <is>
          <t>62,06</t>
        </is>
      </c>
      <c r="P1136" s="63" t="inlineStr">
        <is>
          <t>71,99</t>
        </is>
      </c>
      <c r="Q1136" s="63" t="inlineStr">
        <is>
          <t>496,83</t>
        </is>
      </c>
      <c r="R1136" s="66" t="n">
        <v>46205</v>
      </c>
      <c r="S1136" s="65" t="n">
        <v>213</v>
      </c>
      <c r="T1136" s="65" t="inlineStr">
        <is>
          <t>00-00000717</t>
        </is>
      </c>
      <c r="U1136" s="63" t="inlineStr">
        <is>
          <t>71,99</t>
        </is>
      </c>
      <c r="V1136" s="63" t="inlineStr">
        <is>
          <t>0,00</t>
        </is>
      </c>
    </row>
    <row r="1137">
      <c r="A1137" s="65" t="inlineStr">
        <is>
          <t>S00241</t>
        </is>
      </c>
      <c r="B1137" s="62" t="n">
        <v>46132.4955787037</v>
      </c>
      <c r="C1137" s="65" t="inlineStr">
        <is>
          <t>EMPRENDIMIENTO IRMA RODRIGUEZ 6</t>
        </is>
      </c>
      <c r="D1137" s="65" t="inlineStr">
        <is>
          <t>TORO ARDILES DAVID JOSE</t>
        </is>
      </c>
      <c r="E1137" s="65" t="inlineStr">
        <is>
          <t>7 días</t>
        </is>
      </c>
      <c r="F1137" s="65" t="n">
        <v>4</v>
      </c>
      <c r="G1137" s="65" t="inlineStr">
        <is>
          <t>Precio Full Abril</t>
        </is>
      </c>
      <c r="H1137" s="65" t="inlineStr">
        <is>
          <t>[0605] SINOCO SAE 20W-50 (PAILA)</t>
        </is>
      </c>
      <c r="I1137" s="65" t="n">
        <v>605</v>
      </c>
      <c r="J1137" s="63" t="inlineStr">
        <is>
          <t>1,00</t>
        </is>
      </c>
      <c r="K1137" s="63" t="inlineStr">
        <is>
          <t>97,42</t>
        </is>
      </c>
      <c r="L1137" s="63" t="inlineStr">
        <is>
          <t>38,79</t>
        </is>
      </c>
      <c r="M1137" s="63" t="inlineStr">
        <is>
          <t>59,63</t>
        </is>
      </c>
      <c r="N1137" s="63" t="inlineStr">
        <is>
          <t>69,17</t>
        </is>
      </c>
      <c r="O1137" s="63" t="inlineStr">
        <is>
          <t>138,79</t>
        </is>
      </c>
      <c r="P1137" s="63" t="inlineStr">
        <is>
          <t>161,00</t>
        </is>
      </c>
      <c r="Q1137" s="63" t="inlineStr">
        <is>
          <t>496,83</t>
        </is>
      </c>
      <c r="R1137" s="66" t="n">
        <v>46154</v>
      </c>
      <c r="S1137" s="65" t="n">
        <v>41</v>
      </c>
      <c r="T1137" s="65" t="inlineStr">
        <is>
          <t>00-00000310</t>
        </is>
      </c>
      <c r="U1137" s="63" t="inlineStr">
        <is>
          <t>160,97</t>
        </is>
      </c>
      <c r="V1137" s="63" t="inlineStr">
        <is>
          <t>0,00</t>
        </is>
      </c>
    </row>
    <row r="1138">
      <c r="A1138" s="65" t="n"/>
      <c r="B1138" s="65" t="n"/>
      <c r="C1138" s="65" t="n"/>
      <c r="D1138" s="65" t="n"/>
      <c r="E1138" s="65" t="n"/>
      <c r="F1138" s="65" t="n"/>
      <c r="G1138" s="65" t="n"/>
      <c r="H1138" s="65" t="inlineStr">
        <is>
          <t>[0774] LIGA PARA FRENOS DOT-4 (1X6)</t>
        </is>
      </c>
      <c r="I1138" s="65" t="n">
        <v>774</v>
      </c>
      <c r="J1138" s="63" t="inlineStr">
        <is>
          <t>2,00</t>
        </is>
      </c>
      <c r="K1138" s="63" t="inlineStr">
        <is>
          <t>64,66</t>
        </is>
      </c>
      <c r="L1138" s="63" t="inlineStr">
        <is>
          <t>38,79</t>
        </is>
      </c>
      <c r="M1138" s="63" t="inlineStr">
        <is>
          <t>79,16</t>
        </is>
      </c>
      <c r="N1138" s="63" t="inlineStr">
        <is>
          <t>91,83</t>
        </is>
      </c>
      <c r="O1138" s="65" t="n"/>
      <c r="P1138" s="65" t="n"/>
      <c r="Q1138" s="65" t="n"/>
      <c r="R1138" s="65" t="n"/>
      <c r="S1138" s="65" t="n"/>
      <c r="T1138" s="65" t="n"/>
      <c r="U1138" s="65" t="n"/>
      <c r="V1138" s="65" t="n"/>
    </row>
    <row r="1139">
      <c r="A1139" s="65" t="inlineStr">
        <is>
          <t>S00239</t>
        </is>
      </c>
      <c r="B1139" s="62" t="n">
        <v>46129.61530092593</v>
      </c>
      <c r="C1139" s="65" t="inlineStr">
        <is>
          <t>JONNY DAVID BOLIVAR</t>
        </is>
      </c>
      <c r="D1139" s="65" t="inlineStr">
        <is>
          <t>CASERES GONZALEZ RONALD OSWALDO</t>
        </is>
      </c>
      <c r="E1139" s="65" t="inlineStr">
        <is>
          <t>Pago inmediato</t>
        </is>
      </c>
      <c r="F1139" s="65" t="n">
        <v>4</v>
      </c>
      <c r="G1139" s="65" t="inlineStr">
        <is>
          <t>Precio Full Abril</t>
        </is>
      </c>
      <c r="H1139" s="65" t="inlineStr">
        <is>
          <t>[0881] CLASICO API SL SAE 20W-50 (1x12)</t>
        </is>
      </c>
      <c r="I1139" s="65" t="n">
        <v>881</v>
      </c>
      <c r="J1139" s="63" t="inlineStr">
        <is>
          <t>1,00</t>
        </is>
      </c>
      <c r="K1139" s="63" t="inlineStr">
        <is>
          <t>56,03</t>
        </is>
      </c>
      <c r="L1139" s="63" t="inlineStr">
        <is>
          <t>0,00</t>
        </is>
      </c>
      <c r="M1139" s="63" t="inlineStr">
        <is>
          <t>56,03</t>
        </is>
      </c>
      <c r="N1139" s="63" t="inlineStr">
        <is>
          <t>64,99</t>
        </is>
      </c>
      <c r="O1139" s="63" t="inlineStr">
        <is>
          <t>56,03</t>
        </is>
      </c>
      <c r="P1139" s="63" t="inlineStr">
        <is>
          <t>64,99</t>
        </is>
      </c>
      <c r="Q1139" s="63" t="inlineStr">
        <is>
          <t>480,26</t>
        </is>
      </c>
      <c r="R1139" s="66" t="n">
        <v>46129</v>
      </c>
      <c r="S1139" s="65" t="n">
        <v>21</v>
      </c>
      <c r="T1139" s="65" t="inlineStr">
        <is>
          <t>00-00000191</t>
        </is>
      </c>
      <c r="U1139" s="63" t="inlineStr">
        <is>
          <t>64,98</t>
        </is>
      </c>
      <c r="V1139" s="63" t="inlineStr">
        <is>
          <t>0,00</t>
        </is>
      </c>
    </row>
    <row r="1140">
      <c r="A1140" s="65" t="inlineStr">
        <is>
          <t>S00238</t>
        </is>
      </c>
      <c r="B1140" s="62" t="n">
        <v>46129.57784722222</v>
      </c>
      <c r="C1140" s="65" t="inlineStr">
        <is>
          <t>José Brea</t>
        </is>
      </c>
      <c r="D1140" s="65" t="inlineStr">
        <is>
          <t>Marco Romero</t>
        </is>
      </c>
      <c r="E1140" s="65" t="inlineStr">
        <is>
          <t>Pago inmediato</t>
        </is>
      </c>
      <c r="F1140" s="65" t="n">
        <v>4</v>
      </c>
      <c r="G1140" s="65" t="inlineStr">
        <is>
          <t>Precio Full Abril</t>
        </is>
      </c>
      <c r="H1140" s="65" t="inlineStr">
        <is>
          <t>[0877] SS EXTRA PROTECCION API SN SAE 15W-40 (1X12)</t>
        </is>
      </c>
      <c r="I1140" s="65" t="n">
        <v>877</v>
      </c>
      <c r="J1140" s="63" t="inlineStr">
        <is>
          <t>1,00</t>
        </is>
      </c>
      <c r="K1140" s="63" t="inlineStr">
        <is>
          <t>100,00</t>
        </is>
      </c>
      <c r="L1140" s="63" t="inlineStr">
        <is>
          <t>35,35</t>
        </is>
      </c>
      <c r="M1140" s="63" t="inlineStr">
        <is>
          <t>64,65</t>
        </is>
      </c>
      <c r="N1140" s="63" t="inlineStr">
        <is>
          <t>74,99</t>
        </is>
      </c>
      <c r="O1140" s="63" t="inlineStr">
        <is>
          <t>64,65</t>
        </is>
      </c>
      <c r="P1140" s="63" t="inlineStr">
        <is>
          <t>74,99</t>
        </is>
      </c>
      <c r="Q1140" s="63" t="inlineStr">
        <is>
          <t>496,83</t>
        </is>
      </c>
      <c r="R1140" s="66" t="n">
        <v>46205</v>
      </c>
      <c r="S1140" s="65" t="n">
        <v>210</v>
      </c>
      <c r="T1140" s="65" t="inlineStr">
        <is>
          <t>00-00000713</t>
        </is>
      </c>
      <c r="U1140" s="63" t="inlineStr">
        <is>
          <t>74,99</t>
        </is>
      </c>
      <c r="V1140" s="63" t="inlineStr">
        <is>
          <t>0,00</t>
        </is>
      </c>
    </row>
    <row r="1141">
      <c r="A1141" s="65" t="inlineStr">
        <is>
          <t>S00237</t>
        </is>
      </c>
      <c r="B1141" s="62" t="n">
        <v>46129.44835648148</v>
      </c>
      <c r="C1141" s="65" t="inlineStr">
        <is>
          <t>Comercial los de faria,c.a.</t>
        </is>
      </c>
      <c r="D1141" s="65" t="inlineStr">
        <is>
          <t>QUEVEDO BASTIDAS NEYKEL DAVID</t>
        </is>
      </c>
      <c r="E1141" s="65" t="inlineStr">
        <is>
          <t>7 días</t>
        </is>
      </c>
      <c r="F1141" s="65" t="n">
        <v>4</v>
      </c>
      <c r="G1141" s="65" t="inlineStr">
        <is>
          <t>Precio Full Abril</t>
        </is>
      </c>
      <c r="H1141" s="65" t="inlineStr">
        <is>
          <t>[0073] SUPREMO API CI-4 SAE 15W-40 (PAILA)</t>
        </is>
      </c>
      <c r="I1141" s="65" t="n">
        <v>73</v>
      </c>
      <c r="J1141" s="63" t="inlineStr">
        <is>
          <t>3,00</t>
        </is>
      </c>
      <c r="K1141" s="63" t="inlineStr">
        <is>
          <t>128,00</t>
        </is>
      </c>
      <c r="L1141" s="63" t="inlineStr">
        <is>
          <t>0,00</t>
        </is>
      </c>
      <c r="M1141" s="63" t="inlineStr">
        <is>
          <t>384,00</t>
        </is>
      </c>
      <c r="N1141" s="63" t="inlineStr">
        <is>
          <t>445,44</t>
        </is>
      </c>
      <c r="O1141" s="63" t="inlineStr">
        <is>
          <t>384,00</t>
        </is>
      </c>
      <c r="P1141" s="63" t="inlineStr">
        <is>
          <t>445,44</t>
        </is>
      </c>
      <c r="Q1141" s="63" t="inlineStr">
        <is>
          <t>535,39</t>
        </is>
      </c>
      <c r="R1141" s="66" t="n">
        <v>46168</v>
      </c>
      <c r="S1141" s="65" t="n">
        <v>93</v>
      </c>
      <c r="T1141" s="65" t="inlineStr">
        <is>
          <t>00-00000440</t>
        </is>
      </c>
      <c r="U1141" s="63" t="inlineStr">
        <is>
          <t>279,36</t>
        </is>
      </c>
      <c r="V1141" s="63" t="inlineStr">
        <is>
          <t>279,36</t>
        </is>
      </c>
    </row>
    <row r="1142">
      <c r="A1142" s="65" t="inlineStr">
        <is>
          <t>S00235</t>
        </is>
      </c>
      <c r="B1142" s="62" t="n">
        <v>46129.44815972223</v>
      </c>
      <c r="C1142" s="65" t="inlineStr">
        <is>
          <t>Grupo 3030, C.A</t>
        </is>
      </c>
      <c r="D1142" s="65" t="inlineStr">
        <is>
          <t>MARTINEZ MONTES JEFFREY ENRIQUE</t>
        </is>
      </c>
      <c r="E1142" s="65" t="inlineStr">
        <is>
          <t>30 días</t>
        </is>
      </c>
      <c r="F1142" s="65" t="n">
        <v>4</v>
      </c>
      <c r="G1142" s="65" t="inlineStr">
        <is>
          <t>Precio Full Abril</t>
        </is>
      </c>
      <c r="H1142" s="65" t="inlineStr">
        <is>
          <t>[0603] SINOCO SAE 50 (Tambor)</t>
        </is>
      </c>
      <c r="I1142" s="65" t="n">
        <v>603</v>
      </c>
      <c r="J1142" s="63" t="inlineStr">
        <is>
          <t>2,00</t>
        </is>
      </c>
      <c r="K1142" s="63" t="inlineStr">
        <is>
          <t>925,73</t>
        </is>
      </c>
      <c r="L1142" s="63" t="inlineStr">
        <is>
          <t>0,18</t>
        </is>
      </c>
      <c r="M1142" s="63" t="inlineStr">
        <is>
          <t>1.848,13</t>
        </is>
      </c>
      <c r="N1142" s="63" t="inlineStr">
        <is>
          <t>2.143,83</t>
        </is>
      </c>
      <c r="O1142" s="63" t="inlineStr">
        <is>
          <t>5.144,91</t>
        </is>
      </c>
      <c r="P1142" s="63" t="inlineStr">
        <is>
          <t>5.968,09</t>
        </is>
      </c>
      <c r="Q1142" s="65" t="n"/>
      <c r="R1142" s="65" t="n"/>
      <c r="S1142" s="65" t="n"/>
      <c r="T1142" s="65" t="n"/>
      <c r="U1142" s="65" t="n"/>
      <c r="V1142" s="65" t="n"/>
    </row>
    <row r="1143">
      <c r="A1143" s="65" t="n"/>
      <c r="B1143" s="65" t="n"/>
      <c r="C1143" s="65" t="n"/>
      <c r="D1143" s="65" t="n"/>
      <c r="E1143" s="65" t="n"/>
      <c r="F1143" s="65" t="n"/>
      <c r="G1143" s="65" t="n"/>
      <c r="H1143" s="65" t="inlineStr">
        <is>
          <t>[0605] SINOCO SAE 20W-50 (PAILA)</t>
        </is>
      </c>
      <c r="I1143" s="65" t="n">
        <v>605</v>
      </c>
      <c r="J1143" s="63" t="inlineStr">
        <is>
          <t>10,00</t>
        </is>
      </c>
      <c r="K1143" s="63" t="inlineStr">
        <is>
          <t>96,82</t>
        </is>
      </c>
      <c r="L1143" s="63" t="inlineStr">
        <is>
          <t>-0,09</t>
        </is>
      </c>
      <c r="M1143" s="63" t="inlineStr">
        <is>
          <t>969,07</t>
        </is>
      </c>
      <c r="N1143" s="63" t="inlineStr">
        <is>
          <t>1.124,12</t>
        </is>
      </c>
      <c r="O1143" s="65" t="n"/>
      <c r="P1143" s="65" t="n"/>
      <c r="Q1143" s="65" t="n"/>
      <c r="R1143" s="65" t="n"/>
      <c r="S1143" s="65" t="n"/>
      <c r="T1143" s="65" t="n"/>
      <c r="U1143" s="65" t="n"/>
      <c r="V1143" s="65" t="n"/>
    </row>
    <row r="1144">
      <c r="A1144" s="65" t="n"/>
      <c r="B1144" s="65" t="n"/>
      <c r="C1144" s="65" t="n"/>
      <c r="D1144" s="65" t="n"/>
      <c r="E1144" s="65" t="n"/>
      <c r="F1144" s="65" t="n"/>
      <c r="G1144" s="65" t="n"/>
      <c r="H1144" s="65" t="inlineStr">
        <is>
          <t>[0602] SINOCO SAE 50 (PAILA)</t>
        </is>
      </c>
      <c r="I1144" s="65" t="n">
        <v>602</v>
      </c>
      <c r="J1144" s="63" t="inlineStr">
        <is>
          <t>10,00</t>
        </is>
      </c>
      <c r="K1144" s="63" t="inlineStr">
        <is>
          <t>96,82</t>
        </is>
      </c>
      <c r="L1144" s="63" t="inlineStr">
        <is>
          <t>4,04</t>
        </is>
      </c>
      <c r="M1144" s="63" t="inlineStr">
        <is>
          <t>929,08</t>
        </is>
      </c>
      <c r="N1144" s="63" t="inlineStr">
        <is>
          <t>1.077,73</t>
        </is>
      </c>
      <c r="O1144" s="65" t="n"/>
      <c r="P1144" s="65" t="n"/>
      <c r="Q1144" s="65" t="n"/>
      <c r="R1144" s="65" t="n"/>
      <c r="S1144" s="65" t="n"/>
      <c r="T1144" s="65" t="n"/>
      <c r="U1144" s="65" t="n"/>
      <c r="V1144" s="65" t="n"/>
    </row>
    <row r="1145">
      <c r="A1145" s="65" t="n"/>
      <c r="B1145" s="65" t="n"/>
      <c r="C1145" s="65" t="n"/>
      <c r="D1145" s="65" t="n"/>
      <c r="E1145" s="65" t="n"/>
      <c r="F1145" s="65" t="n"/>
      <c r="G1145" s="65" t="n"/>
      <c r="H1145" s="65" t="inlineStr">
        <is>
          <t>[0779] SINOCO SAE 20W-50 (1x12)</t>
        </is>
      </c>
      <c r="I1145" s="65" t="n">
        <v>779</v>
      </c>
      <c r="J1145" s="63" t="inlineStr">
        <is>
          <t>20,00</t>
        </is>
      </c>
      <c r="K1145" s="63" t="inlineStr">
        <is>
          <t>70,29</t>
        </is>
      </c>
      <c r="L1145" s="63" t="inlineStr">
        <is>
          <t>0,51</t>
        </is>
      </c>
      <c r="M1145" s="63" t="inlineStr">
        <is>
          <t>1.398,63</t>
        </is>
      </c>
      <c r="N1145" s="63" t="inlineStr">
        <is>
          <t>1.622,41</t>
        </is>
      </c>
      <c r="O1145" s="65" t="n"/>
      <c r="P1145" s="65" t="n"/>
      <c r="Q1145" s="65" t="n"/>
      <c r="R1145" s="65" t="n"/>
      <c r="S1145" s="65" t="n"/>
      <c r="T1145" s="65" t="n"/>
      <c r="U1145" s="65" t="n"/>
      <c r="V1145" s="65" t="n"/>
    </row>
    <row r="1146">
      <c r="A1146" s="65" t="inlineStr">
        <is>
          <t>S00236</t>
        </is>
      </c>
      <c r="B1146" s="62" t="n">
        <v>46129.44797453703</v>
      </c>
      <c r="C1146" s="65" t="inlineStr">
        <is>
          <t>Grupo 3030, C.A</t>
        </is>
      </c>
      <c r="D1146" s="65" t="inlineStr">
        <is>
          <t>MARTINEZ MONTES JEFFREY ENRIQUE</t>
        </is>
      </c>
      <c r="E1146" s="65" t="inlineStr">
        <is>
          <t>7 días</t>
        </is>
      </c>
      <c r="F1146" s="65" t="n">
        <v>4</v>
      </c>
      <c r="G1146" s="65" t="inlineStr">
        <is>
          <t>Precio Full Abril</t>
        </is>
      </c>
      <c r="H1146" s="65" t="inlineStr">
        <is>
          <t>[0877] SS EXTRA PROTECCION API SN SAE 15W-40 (1X12)</t>
        </is>
      </c>
      <c r="I1146" s="65" t="n">
        <v>877</v>
      </c>
      <c r="J1146" s="63" t="inlineStr">
        <is>
          <t>18,00</t>
        </is>
      </c>
      <c r="K1146" s="63" t="inlineStr">
        <is>
          <t>100,80</t>
        </is>
      </c>
      <c r="L1146" s="63" t="inlineStr">
        <is>
          <t>0,89</t>
        </is>
      </c>
      <c r="M1146" s="63" t="inlineStr">
        <is>
          <t>1.798,25</t>
        </is>
      </c>
      <c r="N1146" s="63" t="inlineStr">
        <is>
          <t>2.085,97</t>
        </is>
      </c>
      <c r="O1146" s="63" t="inlineStr">
        <is>
          <t>4.202,92</t>
        </is>
      </c>
      <c r="P1146" s="63" t="inlineStr">
        <is>
          <t>4.875,39</t>
        </is>
      </c>
      <c r="Q1146" s="65" t="n"/>
      <c r="R1146" s="65" t="n"/>
      <c r="S1146" s="65" t="n"/>
      <c r="T1146" s="65" t="n"/>
      <c r="U1146" s="65" t="n"/>
      <c r="V1146" s="65" t="n"/>
    </row>
    <row r="1147">
      <c r="A1147" s="65" t="n"/>
      <c r="B1147" s="65" t="n"/>
      <c r="C1147" s="65" t="n"/>
      <c r="D1147" s="65" t="n"/>
      <c r="E1147" s="65" t="n"/>
      <c r="F1147" s="65" t="n"/>
      <c r="G1147" s="65" t="n"/>
      <c r="H1147" s="65" t="inlineStr">
        <is>
          <t>[0025] SS EXTRA PROTECCION API SN SAE 10W-30 (Gasolina) (1x6)</t>
        </is>
      </c>
      <c r="I1147" s="65" t="n">
        <v>25</v>
      </c>
      <c r="J1147" s="63" t="inlineStr">
        <is>
          <t>10,00</t>
        </is>
      </c>
      <c r="K1147" s="63" t="inlineStr">
        <is>
          <t>50,40</t>
        </is>
      </c>
      <c r="L1147" s="63" t="inlineStr">
        <is>
          <t>0,89</t>
        </is>
      </c>
      <c r="M1147" s="63" t="inlineStr">
        <is>
          <t>499,51</t>
        </is>
      </c>
      <c r="N1147" s="63" t="inlineStr">
        <is>
          <t>579,43</t>
        </is>
      </c>
      <c r="O1147" s="65" t="n"/>
      <c r="P1147" s="65" t="n"/>
      <c r="Q1147" s="65" t="n"/>
      <c r="R1147" s="65" t="n"/>
      <c r="S1147" s="65" t="n"/>
      <c r="T1147" s="65" t="n"/>
      <c r="U1147" s="65" t="n"/>
      <c r="V1147" s="65" t="n"/>
    </row>
    <row r="1148">
      <c r="A1148" s="65" t="n"/>
      <c r="B1148" s="65" t="n"/>
      <c r="C1148" s="65" t="n"/>
      <c r="D1148" s="65" t="n"/>
      <c r="E1148" s="65" t="n"/>
      <c r="F1148" s="65" t="n"/>
      <c r="G1148" s="65" t="n"/>
      <c r="H1148" s="65" t="inlineStr">
        <is>
          <t>[0878] SS EXTRA PROTECCION API SN SAE 20W-50 (1x12)</t>
        </is>
      </c>
      <c r="I1148" s="65" t="n">
        <v>878</v>
      </c>
      <c r="J1148" s="63" t="inlineStr">
        <is>
          <t>10,00</t>
        </is>
      </c>
      <c r="K1148" s="63" t="inlineStr">
        <is>
          <t>100,80</t>
        </is>
      </c>
      <c r="L1148" s="63" t="inlineStr">
        <is>
          <t>0,89</t>
        </is>
      </c>
      <c r="M1148" s="63" t="inlineStr">
        <is>
          <t>999,03</t>
        </is>
      </c>
      <c r="N1148" s="63" t="inlineStr">
        <is>
          <t>1.158,87</t>
        </is>
      </c>
      <c r="O1148" s="65" t="n"/>
      <c r="P1148" s="65" t="n"/>
      <c r="Q1148" s="65" t="n"/>
      <c r="R1148" s="65" t="n"/>
      <c r="S1148" s="65" t="n"/>
      <c r="T1148" s="65" t="n"/>
      <c r="U1148" s="65" t="n"/>
      <c r="V1148" s="65" t="n"/>
    </row>
    <row r="1149">
      <c r="A1149" s="65" t="n"/>
      <c r="B1149" s="65" t="n"/>
      <c r="C1149" s="65" t="n"/>
      <c r="D1149" s="65" t="n"/>
      <c r="E1149" s="65" t="n"/>
      <c r="F1149" s="65" t="n"/>
      <c r="G1149" s="65" t="n"/>
      <c r="H1149" s="65" t="inlineStr">
        <is>
          <t>[0881] CLASICO API SL SAE 20W-50 (1x12)</t>
        </is>
      </c>
      <c r="I1149" s="65" t="n">
        <v>881</v>
      </c>
      <c r="J1149" s="63" t="inlineStr">
        <is>
          <t>4,00</t>
        </is>
      </c>
      <c r="K1149" s="63" t="inlineStr">
        <is>
          <t>86,21</t>
        </is>
      </c>
      <c r="L1149" s="63" t="inlineStr">
        <is>
          <t>-0,82</t>
        </is>
      </c>
      <c r="M1149" s="63" t="inlineStr">
        <is>
          <t>347,67</t>
        </is>
      </c>
      <c r="N1149" s="63" t="inlineStr">
        <is>
          <t>403,30</t>
        </is>
      </c>
      <c r="O1149" s="65" t="n"/>
      <c r="P1149" s="65" t="n"/>
      <c r="Q1149" s="65" t="n"/>
      <c r="R1149" s="65" t="n"/>
      <c r="S1149" s="65" t="n"/>
      <c r="T1149" s="65" t="n"/>
      <c r="U1149" s="65" t="n"/>
      <c r="V1149" s="65" t="n"/>
    </row>
    <row r="1150">
      <c r="A1150" s="65" t="n"/>
      <c r="B1150" s="65" t="n"/>
      <c r="C1150" s="65" t="n"/>
      <c r="D1150" s="65" t="n"/>
      <c r="E1150" s="65" t="n"/>
      <c r="F1150" s="65" t="n"/>
      <c r="G1150" s="65" t="n"/>
      <c r="H1150" s="65" t="inlineStr">
        <is>
          <t>[0880] CLASICO API SL SAE 15W-40 (1x12)</t>
        </is>
      </c>
      <c r="I1150" s="65" t="n">
        <v>880</v>
      </c>
      <c r="J1150" s="63" t="inlineStr">
        <is>
          <t>4,00</t>
        </is>
      </c>
      <c r="K1150" s="63" t="inlineStr">
        <is>
          <t>86,21</t>
        </is>
      </c>
      <c r="L1150" s="63" t="inlineStr">
        <is>
          <t>1,50</t>
        </is>
      </c>
      <c r="M1150" s="63" t="inlineStr">
        <is>
          <t>339,67</t>
        </is>
      </c>
      <c r="N1150" s="63" t="inlineStr">
        <is>
          <t>394,02</t>
        </is>
      </c>
      <c r="O1150" s="65" t="n"/>
      <c r="P1150" s="65" t="n"/>
      <c r="Q1150" s="65" t="n"/>
      <c r="R1150" s="65" t="n"/>
      <c r="S1150" s="65" t="n"/>
      <c r="T1150" s="65" t="n"/>
      <c r="U1150" s="65" t="n"/>
      <c r="V1150" s="65" t="n"/>
    </row>
    <row r="1151">
      <c r="A1151" s="65" t="n"/>
      <c r="B1151" s="65" t="n"/>
      <c r="C1151" s="65" t="n"/>
      <c r="D1151" s="65" t="n"/>
      <c r="E1151" s="65" t="n"/>
      <c r="F1151" s="65" t="n"/>
      <c r="G1151" s="65" t="n"/>
      <c r="H1151" s="65" t="inlineStr">
        <is>
          <t>[0007] ELITE API SN SAE 5W-20 (1x6)</t>
        </is>
      </c>
      <c r="I1151" s="65" t="n">
        <v>7</v>
      </c>
      <c r="J1151" s="63" t="inlineStr">
        <is>
          <t>1,00</t>
        </is>
      </c>
      <c r="K1151" s="63" t="inlineStr">
        <is>
          <t>72,94</t>
        </is>
      </c>
      <c r="L1151" s="63" t="inlineStr">
        <is>
          <t>0,02</t>
        </is>
      </c>
      <c r="M1151" s="63" t="inlineStr">
        <is>
          <t>72,93</t>
        </is>
      </c>
      <c r="N1151" s="63" t="inlineStr">
        <is>
          <t>84,60</t>
        </is>
      </c>
      <c r="O1151" s="65" t="n"/>
      <c r="P1151" s="65" t="n"/>
      <c r="Q1151" s="65" t="n"/>
      <c r="R1151" s="65" t="n"/>
      <c r="S1151" s="65" t="n"/>
      <c r="T1151" s="65" t="n"/>
      <c r="U1151" s="65" t="n"/>
      <c r="V1151" s="65" t="n"/>
    </row>
    <row r="1152">
      <c r="A1152" s="65" t="n"/>
      <c r="B1152" s="65" t="n"/>
      <c r="C1152" s="65" t="n"/>
      <c r="D1152" s="65" t="n"/>
      <c r="E1152" s="65" t="n"/>
      <c r="F1152" s="65" t="n"/>
      <c r="G1152" s="65" t="n"/>
      <c r="H1152" s="65" t="inlineStr">
        <is>
          <t>[0013] ELITE API SN SAE 5W-30 (1x6)</t>
        </is>
      </c>
      <c r="I1152" s="65" t="n">
        <v>13</v>
      </c>
      <c r="J1152" s="63" t="inlineStr">
        <is>
          <t>1,00</t>
        </is>
      </c>
      <c r="K1152" s="63" t="inlineStr">
        <is>
          <t>72,94</t>
        </is>
      </c>
      <c r="L1152" s="63" t="inlineStr">
        <is>
          <t>0,02</t>
        </is>
      </c>
      <c r="M1152" s="63" t="inlineStr">
        <is>
          <t>72,93</t>
        </is>
      </c>
      <c r="N1152" s="63" t="inlineStr">
        <is>
          <t>84,60</t>
        </is>
      </c>
      <c r="O1152" s="65" t="n"/>
      <c r="P1152" s="65" t="n"/>
      <c r="Q1152" s="65" t="n"/>
      <c r="R1152" s="65" t="n"/>
      <c r="S1152" s="65" t="n"/>
      <c r="T1152" s="65" t="n"/>
      <c r="U1152" s="65" t="n"/>
      <c r="V1152" s="65" t="n"/>
    </row>
    <row r="1153">
      <c r="A1153" s="65" t="n"/>
      <c r="B1153" s="65" t="n"/>
      <c r="C1153" s="65" t="n"/>
      <c r="D1153" s="65" t="n"/>
      <c r="E1153" s="65" t="n"/>
      <c r="F1153" s="65" t="n"/>
      <c r="G1153" s="65" t="n"/>
      <c r="H1153" s="65" t="inlineStr">
        <is>
          <t>[0019] ELITE API SN SAE 5W-40 (1x6)</t>
        </is>
      </c>
      <c r="I1153" s="65" t="n">
        <v>19</v>
      </c>
      <c r="J1153" s="63" t="inlineStr">
        <is>
          <t>1,00</t>
        </is>
      </c>
      <c r="K1153" s="63" t="inlineStr">
        <is>
          <t>72,94</t>
        </is>
      </c>
      <c r="L1153" s="63" t="inlineStr">
        <is>
          <t>0,02</t>
        </is>
      </c>
      <c r="M1153" s="63" t="inlineStr">
        <is>
          <t>72,93</t>
        </is>
      </c>
      <c r="N1153" s="63" t="inlineStr">
        <is>
          <t>84,60</t>
        </is>
      </c>
      <c r="O1153" s="65" t="n"/>
      <c r="P1153" s="65" t="n"/>
      <c r="Q1153" s="65" t="n"/>
      <c r="R1153" s="65" t="n"/>
      <c r="S1153" s="65" t="n"/>
      <c r="T1153" s="65" t="n"/>
      <c r="U1153" s="65" t="n"/>
      <c r="V1153" s="65" t="n"/>
    </row>
    <row r="1154">
      <c r="A1154" s="65" t="inlineStr">
        <is>
          <t>S00234</t>
        </is>
      </c>
      <c r="B1154" s="62" t="n">
        <v>46128.77528935186</v>
      </c>
      <c r="C1154" s="65" t="inlineStr">
        <is>
          <t>Cauchos California, C.A</t>
        </is>
      </c>
      <c r="D1154" s="65" t="inlineStr">
        <is>
          <t>MARTINEZ MONTES JEFFREY ENRIQUE</t>
        </is>
      </c>
      <c r="E1154" s="65" t="inlineStr">
        <is>
          <t>7 días</t>
        </is>
      </c>
      <c r="F1154" s="65" t="n">
        <v>4</v>
      </c>
      <c r="G1154" s="65" t="inlineStr">
        <is>
          <t>Precio Full Abril</t>
        </is>
      </c>
      <c r="H1154" s="65" t="inlineStr">
        <is>
          <t>[0779] SINOCO SAE 20W-50 (1x12)</t>
        </is>
      </c>
      <c r="I1154" s="65" t="n">
        <v>779</v>
      </c>
      <c r="J1154" s="63" t="inlineStr">
        <is>
          <t>5,00</t>
        </is>
      </c>
      <c r="K1154" s="63" t="inlineStr">
        <is>
          <t>70,69</t>
        </is>
      </c>
      <c r="L1154" s="63" t="inlineStr">
        <is>
          <t>38,54</t>
        </is>
      </c>
      <c r="M1154" s="63" t="inlineStr">
        <is>
          <t>217,23</t>
        </is>
      </c>
      <c r="N1154" s="63" t="inlineStr">
        <is>
          <t>251,99</t>
        </is>
      </c>
      <c r="O1154" s="63" t="inlineStr">
        <is>
          <t>217,23</t>
        </is>
      </c>
      <c r="P1154" s="63" t="inlineStr">
        <is>
          <t>251,99</t>
        </is>
      </c>
      <c r="Q1154" s="63" t="inlineStr">
        <is>
          <t>496,83</t>
        </is>
      </c>
      <c r="R1154" s="66" t="n">
        <v>46185</v>
      </c>
      <c r="S1154" s="65" t="n">
        <v>147</v>
      </c>
      <c r="T1154" s="65" t="inlineStr">
        <is>
          <t>00-00000590</t>
        </is>
      </c>
      <c r="U1154" s="63" t="inlineStr">
        <is>
          <t>251,98</t>
        </is>
      </c>
      <c r="V1154" s="63" t="inlineStr">
        <is>
          <t>0,00</t>
        </is>
      </c>
    </row>
    <row r="1155">
      <c r="A1155" s="65" t="inlineStr">
        <is>
          <t>S00233</t>
        </is>
      </c>
      <c r="B1155" s="62" t="n">
        <v>46128.69224537037</v>
      </c>
      <c r="C1155" s="65" t="inlineStr">
        <is>
          <t>Auto Partes Y Repuestos Encava Express,c.a.</t>
        </is>
      </c>
      <c r="D1155" s="65" t="inlineStr">
        <is>
          <t>QUEVEDO BASTIDAS NEYKEL DAVID</t>
        </is>
      </c>
      <c r="E1155" s="65" t="inlineStr">
        <is>
          <t>7 días</t>
        </is>
      </c>
      <c r="F1155" s="65" t="n">
        <v>4</v>
      </c>
      <c r="G1155" s="65" t="inlineStr">
        <is>
          <t>Precio Full Abril</t>
        </is>
      </c>
      <c r="H1155" s="65" t="inlineStr">
        <is>
          <t>[0121] TRANSGLOB API GL-5 SAE 80W-90 (1x6)</t>
        </is>
      </c>
      <c r="I1155" s="65" t="n">
        <v>121</v>
      </c>
      <c r="J1155" s="63" t="inlineStr">
        <is>
          <t>1,00</t>
        </is>
      </c>
      <c r="K1155" s="63" t="inlineStr">
        <is>
          <t>52,00</t>
        </is>
      </c>
      <c r="L1155" s="63" t="inlineStr">
        <is>
          <t>0,00</t>
        </is>
      </c>
      <c r="M1155" s="63" t="inlineStr">
        <is>
          <t>52,00</t>
        </is>
      </c>
      <c r="N1155" s="63" t="inlineStr">
        <is>
          <t>60,32</t>
        </is>
      </c>
      <c r="O1155" s="63" t="inlineStr">
        <is>
          <t>142,00</t>
        </is>
      </c>
      <c r="P1155" s="63" t="inlineStr">
        <is>
          <t>164,72</t>
        </is>
      </c>
      <c r="Q1155" s="63" t="inlineStr">
        <is>
          <t>496,83</t>
        </is>
      </c>
      <c r="R1155" s="66" t="n">
        <v>46185</v>
      </c>
      <c r="S1155" s="65" t="n">
        <v>164</v>
      </c>
      <c r="T1155" s="65" t="inlineStr">
        <is>
          <t>00-00000607</t>
        </is>
      </c>
      <c r="U1155" s="63" t="inlineStr">
        <is>
          <t>164,98</t>
        </is>
      </c>
      <c r="V1155" s="63" t="inlineStr">
        <is>
          <t>0,00</t>
        </is>
      </c>
    </row>
    <row r="1156">
      <c r="A1156" s="65" t="n"/>
      <c r="B1156" s="65" t="n"/>
      <c r="C1156" s="65" t="n"/>
      <c r="D1156" s="65" t="n"/>
      <c r="E1156" s="65" t="n"/>
      <c r="F1156" s="65" t="n"/>
      <c r="G1156" s="65" t="n"/>
      <c r="H1156" s="65" t="inlineStr">
        <is>
          <t>[0887] MOTOCLASICO 4T SAE 20W-50 (1x12)</t>
        </is>
      </c>
      <c r="I1156" s="65" t="n">
        <v>887</v>
      </c>
      <c r="J1156" s="63" t="inlineStr">
        <is>
          <t>1,00</t>
        </is>
      </c>
      <c r="K1156" s="63" t="inlineStr">
        <is>
          <t>90,00</t>
        </is>
      </c>
      <c r="L1156" s="63" t="inlineStr">
        <is>
          <t>0,00</t>
        </is>
      </c>
      <c r="M1156" s="63" t="inlineStr">
        <is>
          <t>90,00</t>
        </is>
      </c>
      <c r="N1156" s="63" t="inlineStr">
        <is>
          <t>104,40</t>
        </is>
      </c>
      <c r="O1156" s="65" t="n"/>
      <c r="P1156" s="65" t="n"/>
      <c r="Q1156" s="65" t="n"/>
      <c r="R1156" s="65" t="n"/>
      <c r="S1156" s="65" t="n"/>
      <c r="T1156" s="65" t="n"/>
      <c r="U1156" s="65" t="n"/>
      <c r="V1156" s="65" t="n"/>
    </row>
    <row r="1157">
      <c r="A1157" s="65" t="inlineStr">
        <is>
          <t>S00231</t>
        </is>
      </c>
      <c r="B1157" s="62" t="n">
        <v>46128.6445949074</v>
      </c>
      <c r="C1157" s="65" t="inlineStr">
        <is>
          <t>Constructora Campo Urbano,c.a.</t>
        </is>
      </c>
      <c r="D1157" s="65" t="inlineStr">
        <is>
          <t>GRIMAN DIAZ HECTOR EDUARDO</t>
        </is>
      </c>
      <c r="E1157" s="65" t="inlineStr">
        <is>
          <t>15 días</t>
        </is>
      </c>
      <c r="F1157" s="65" t="n">
        <v>4</v>
      </c>
      <c r="G1157" s="65" t="inlineStr">
        <is>
          <t>Precio Full Abril</t>
        </is>
      </c>
      <c r="H1157" s="65" t="inlineStr">
        <is>
          <t>[0606] SINOCO SAE 20W-50 (Tambor)</t>
        </is>
      </c>
      <c r="I1157" s="65" t="n">
        <v>606</v>
      </c>
      <c r="J1157" s="63" t="inlineStr">
        <is>
          <t>1,00</t>
        </is>
      </c>
      <c r="K1157" s="63" t="inlineStr">
        <is>
          <t>912,00</t>
        </is>
      </c>
      <c r="L1157" s="63" t="inlineStr">
        <is>
          <t>0,00</t>
        </is>
      </c>
      <c r="M1157" s="63" t="inlineStr">
        <is>
          <t>912,00</t>
        </is>
      </c>
      <c r="N1157" s="63" t="inlineStr">
        <is>
          <t>1.057,92</t>
        </is>
      </c>
      <c r="O1157" s="63" t="inlineStr">
        <is>
          <t>912,00</t>
        </is>
      </c>
      <c r="P1157" s="63" t="inlineStr">
        <is>
          <t>1.057,92</t>
        </is>
      </c>
      <c r="Q1157" s="63" t="inlineStr">
        <is>
          <t>496,83</t>
        </is>
      </c>
      <c r="R1157" s="66" t="n">
        <v>46184</v>
      </c>
      <c r="S1157" s="65" t="n">
        <v>137</v>
      </c>
      <c r="T1157" s="65" t="inlineStr">
        <is>
          <t>00-00000570</t>
        </is>
      </c>
      <c r="U1157" s="63" t="inlineStr">
        <is>
          <t>673,92</t>
        </is>
      </c>
      <c r="V1157" s="63" t="inlineStr">
        <is>
          <t>0,01</t>
        </is>
      </c>
    </row>
    <row r="1158">
      <c r="A1158" s="65" t="inlineStr">
        <is>
          <t>S00230</t>
        </is>
      </c>
      <c r="B1158" s="62" t="n">
        <v>46128.64438657407</v>
      </c>
      <c r="C1158" s="65" t="inlineStr">
        <is>
          <t>E&amp;M CAR SHOP C.A</t>
        </is>
      </c>
      <c r="D1158" s="65" t="inlineStr">
        <is>
          <t>BETANCOURT ROBRIGUEZ LUIS ENRRIQUE</t>
        </is>
      </c>
      <c r="E1158" s="65" t="inlineStr">
        <is>
          <t>7 días</t>
        </is>
      </c>
      <c r="F1158" s="65" t="n">
        <v>4</v>
      </c>
      <c r="G1158" s="65" t="inlineStr">
        <is>
          <t>Precio Full Abril</t>
        </is>
      </c>
      <c r="H1158" s="65" t="inlineStr">
        <is>
          <t>[0877] SS EXTRA PROTECCION API SN SAE 15W-40 (1X12)</t>
        </is>
      </c>
      <c r="I1158" s="65" t="n">
        <v>877</v>
      </c>
      <c r="J1158" s="63" t="inlineStr">
        <is>
          <t>1,00</t>
        </is>
      </c>
      <c r="K1158" s="63" t="inlineStr">
        <is>
          <t>100,00</t>
        </is>
      </c>
      <c r="L1158" s="63" t="inlineStr">
        <is>
          <t>0,00</t>
        </is>
      </c>
      <c r="M1158" s="63" t="inlineStr">
        <is>
          <t>100,00</t>
        </is>
      </c>
      <c r="N1158" s="63" t="inlineStr">
        <is>
          <t>116,00</t>
        </is>
      </c>
      <c r="O1158" s="63" t="inlineStr">
        <is>
          <t>1.215,00</t>
        </is>
      </c>
      <c r="P1158" s="63" t="inlineStr">
        <is>
          <t>1.409,40</t>
        </is>
      </c>
      <c r="Q1158" s="63" t="inlineStr">
        <is>
          <t>496,83</t>
        </is>
      </c>
      <c r="R1158" s="66" t="n">
        <v>46182</v>
      </c>
      <c r="S1158" s="65" t="n">
        <v>127</v>
      </c>
      <c r="T1158" s="65" t="inlineStr">
        <is>
          <t>00-00000540</t>
        </is>
      </c>
      <c r="U1158" s="63" t="inlineStr">
        <is>
          <t>1.311,49</t>
        </is>
      </c>
      <c r="V1158" s="63" t="inlineStr">
        <is>
          <t>0,00</t>
        </is>
      </c>
    </row>
    <row r="1159">
      <c r="A1159" s="65" t="n"/>
      <c r="B1159" s="65" t="n"/>
      <c r="C1159" s="65" t="n"/>
      <c r="D1159" s="65" t="n"/>
      <c r="E1159" s="65" t="n"/>
      <c r="F1159" s="65" t="n"/>
      <c r="G1159" s="65" t="n"/>
      <c r="H1159" s="65" t="n"/>
      <c r="I1159" s="65" t="n"/>
      <c r="J1159" s="63" t="inlineStr">
        <is>
          <t>0,00</t>
        </is>
      </c>
      <c r="K1159" s="63" t="inlineStr">
        <is>
          <t>0,00</t>
        </is>
      </c>
      <c r="L1159" s="63" t="inlineStr">
        <is>
          <t>0,00</t>
        </is>
      </c>
      <c r="M1159" s="63" t="inlineStr">
        <is>
          <t>0,00</t>
        </is>
      </c>
      <c r="N1159" s="63" t="inlineStr">
        <is>
          <t>0,00</t>
        </is>
      </c>
      <c r="O1159" s="65" t="n"/>
      <c r="P1159" s="65" t="n"/>
      <c r="Q1159" s="65" t="n"/>
      <c r="R1159" s="65" t="n"/>
      <c r="S1159" s="65" t="n"/>
      <c r="T1159" s="65" t="n"/>
      <c r="U1159" s="65" t="n"/>
      <c r="V1159" s="65" t="n"/>
    </row>
    <row r="1160">
      <c r="A1160" s="65" t="n"/>
      <c r="B1160" s="65" t="n"/>
      <c r="C1160" s="65" t="n"/>
      <c r="D1160" s="65" t="n"/>
      <c r="E1160" s="65" t="n"/>
      <c r="F1160" s="65" t="n"/>
      <c r="G1160" s="65" t="n"/>
      <c r="H1160" s="65" t="inlineStr">
        <is>
          <t>[0878] SS EXTRA PROTECCION API SN SAE 20W-50 (1x12)</t>
        </is>
      </c>
      <c r="I1160" s="65" t="n">
        <v>878</v>
      </c>
      <c r="J1160" s="63" t="inlineStr">
        <is>
          <t>1,00</t>
        </is>
      </c>
      <c r="K1160" s="63" t="inlineStr">
        <is>
          <t>100,00</t>
        </is>
      </c>
      <c r="L1160" s="63" t="inlineStr">
        <is>
          <t>0,00</t>
        </is>
      </c>
      <c r="M1160" s="63" t="inlineStr">
        <is>
          <t>100,00</t>
        </is>
      </c>
      <c r="N1160" s="63" t="inlineStr">
        <is>
          <t>116,00</t>
        </is>
      </c>
      <c r="O1160" s="65" t="n"/>
      <c r="P1160" s="65" t="n"/>
      <c r="Q1160" s="65" t="n"/>
      <c r="R1160" s="65" t="n"/>
      <c r="S1160" s="65" t="n"/>
      <c r="T1160" s="65" t="n"/>
      <c r="U1160" s="65" t="n"/>
      <c r="V1160" s="65" t="n"/>
    </row>
    <row r="1161">
      <c r="A1161" s="65" t="n"/>
      <c r="B1161" s="65" t="n"/>
      <c r="C1161" s="65" t="n"/>
      <c r="D1161" s="65" t="n"/>
      <c r="E1161" s="65" t="n"/>
      <c r="F1161" s="65" t="n"/>
      <c r="G1161" s="65" t="n"/>
      <c r="H1161" s="65" t="inlineStr">
        <is>
          <t>[0880] CLASICO API SL SAE 15W-40 (1x12)</t>
        </is>
      </c>
      <c r="I1161" s="65" t="n">
        <v>880</v>
      </c>
      <c r="J1161" s="63" t="inlineStr">
        <is>
          <t>1,00</t>
        </is>
      </c>
      <c r="K1161" s="63" t="inlineStr">
        <is>
          <t>85,00</t>
        </is>
      </c>
      <c r="L1161" s="63" t="inlineStr">
        <is>
          <t>0,00</t>
        </is>
      </c>
      <c r="M1161" s="63" t="inlineStr">
        <is>
          <t>85,00</t>
        </is>
      </c>
      <c r="N1161" s="63" t="inlineStr">
        <is>
          <t>98,60</t>
        </is>
      </c>
      <c r="O1161" s="65" t="n"/>
      <c r="P1161" s="65" t="n"/>
      <c r="Q1161" s="65" t="n"/>
      <c r="R1161" s="65" t="n"/>
      <c r="S1161" s="65" t="n"/>
      <c r="T1161" s="65" t="n"/>
      <c r="U1161" s="65" t="n"/>
      <c r="V1161" s="65" t="n"/>
    </row>
    <row r="1162">
      <c r="A1162" s="65" t="n"/>
      <c r="B1162" s="65" t="n"/>
      <c r="C1162" s="65" t="n"/>
      <c r="D1162" s="65" t="n"/>
      <c r="E1162" s="65" t="n"/>
      <c r="F1162" s="65" t="n"/>
      <c r="G1162" s="65" t="n"/>
      <c r="H1162" s="65" t="inlineStr">
        <is>
          <t>[0602] SINOCO SAE 50 (PAILA)</t>
        </is>
      </c>
      <c r="I1162" s="65" t="n">
        <v>602</v>
      </c>
      <c r="J1162" s="63" t="inlineStr">
        <is>
          <t>10,00</t>
        </is>
      </c>
      <c r="K1162" s="63" t="inlineStr">
        <is>
          <t>93,00</t>
        </is>
      </c>
      <c r="L1162" s="63" t="inlineStr">
        <is>
          <t>0,00</t>
        </is>
      </c>
      <c r="M1162" s="63" t="inlineStr">
        <is>
          <t>930,00</t>
        </is>
      </c>
      <c r="N1162" s="63" t="inlineStr">
        <is>
          <t>1.078,80</t>
        </is>
      </c>
      <c r="O1162" s="65" t="n"/>
      <c r="P1162" s="65" t="n"/>
      <c r="Q1162" s="65" t="n"/>
      <c r="R1162" s="65" t="n"/>
      <c r="S1162" s="65" t="n"/>
      <c r="T1162" s="65" t="n"/>
      <c r="U1162" s="65" t="n"/>
      <c r="V1162" s="65" t="n"/>
    </row>
    <row r="1163">
      <c r="A1163" s="65" t="inlineStr">
        <is>
          <t>S00229</t>
        </is>
      </c>
      <c r="B1163" s="62" t="n">
        <v>46128.50670138889</v>
      </c>
      <c r="C1163" s="65" t="inlineStr">
        <is>
          <t>Devenalsa Deshidratadora Venezolana de Alimentos, S.A.</t>
        </is>
      </c>
      <c r="D1163" s="65" t="inlineStr">
        <is>
          <t>PACHECO RODRIGUEZ FRANCISCO JAVIER</t>
        </is>
      </c>
      <c r="E1163" s="65" t="inlineStr">
        <is>
          <t>7 días</t>
        </is>
      </c>
      <c r="F1163" s="65" t="n">
        <v>4</v>
      </c>
      <c r="G1163" s="65" t="inlineStr">
        <is>
          <t>Precio Full Abril</t>
        </is>
      </c>
      <c r="H1163" s="65" t="inlineStr">
        <is>
          <t>[0073] SUPREMO API CI-4 SAE 15W-40 (PAILA)</t>
        </is>
      </c>
      <c r="I1163" s="65" t="n">
        <v>73</v>
      </c>
      <c r="J1163" s="63" t="inlineStr">
        <is>
          <t>2,00</t>
        </is>
      </c>
      <c r="K1163" s="63" t="inlineStr">
        <is>
          <t>79,36</t>
        </is>
      </c>
      <c r="L1163" s="63" t="inlineStr">
        <is>
          <t>0,10</t>
        </is>
      </c>
      <c r="M1163" s="63" t="inlineStr">
        <is>
          <t>158,56</t>
        </is>
      </c>
      <c r="N1163" s="63" t="inlineStr">
        <is>
          <t>183,93</t>
        </is>
      </c>
      <c r="O1163" s="63" t="inlineStr">
        <is>
          <t>443,90</t>
        </is>
      </c>
      <c r="P1163" s="63" t="inlineStr">
        <is>
          <t>514,93</t>
        </is>
      </c>
      <c r="Q1163" s="63" t="inlineStr">
        <is>
          <t>480,26</t>
        </is>
      </c>
      <c r="R1163" s="66" t="n">
        <v>46129</v>
      </c>
      <c r="S1163" s="65" t="n">
        <v>22</v>
      </c>
      <c r="T1163" s="65" t="inlineStr">
        <is>
          <t>00-00000193</t>
        </is>
      </c>
      <c r="U1163" s="63" t="inlineStr">
        <is>
          <t>514,91</t>
        </is>
      </c>
      <c r="V1163" s="63" t="inlineStr">
        <is>
          <t>0,00</t>
        </is>
      </c>
    </row>
    <row r="1164">
      <c r="A1164" s="65" t="n"/>
      <c r="B1164" s="65" t="n"/>
      <c r="C1164" s="65" t="n"/>
      <c r="D1164" s="65" t="n"/>
      <c r="E1164" s="65" t="n"/>
      <c r="F1164" s="65" t="n"/>
      <c r="G1164" s="65" t="n"/>
      <c r="H1164" s="65" t="inlineStr">
        <is>
          <t>[0144] HIDRAGLOB AW/ISO 68 (PAILA)</t>
        </is>
      </c>
      <c r="I1164" s="65" t="n">
        <v>144</v>
      </c>
      <c r="J1164" s="63" t="inlineStr">
        <is>
          <t>2,00</t>
        </is>
      </c>
      <c r="K1164" s="63" t="inlineStr">
        <is>
          <t>58,28</t>
        </is>
      </c>
      <c r="L1164" s="63" t="inlineStr">
        <is>
          <t>0,10</t>
        </is>
      </c>
      <c r="M1164" s="63" t="inlineStr">
        <is>
          <t>116,44</t>
        </is>
      </c>
      <c r="N1164" s="63" t="inlineStr">
        <is>
          <t>135,07</t>
        </is>
      </c>
      <c r="O1164" s="65" t="n"/>
      <c r="P1164" s="65" t="n"/>
      <c r="Q1164" s="65" t="n"/>
      <c r="R1164" s="65" t="n"/>
      <c r="S1164" s="65" t="n"/>
      <c r="T1164" s="65" t="n"/>
      <c r="U1164" s="65" t="n"/>
      <c r="V1164" s="65" t="n"/>
    </row>
    <row r="1165">
      <c r="A1165" s="65" t="n"/>
      <c r="B1165" s="65" t="n"/>
      <c r="C1165" s="65" t="n"/>
      <c r="D1165" s="65" t="n"/>
      <c r="E1165" s="65" t="n"/>
      <c r="F1165" s="65" t="n"/>
      <c r="G1165" s="65" t="n"/>
      <c r="H1165" s="65" t="inlineStr">
        <is>
          <t>[0877] SS EXTRA PROTECCION API SN SAE 15W-40 (1X12)</t>
        </is>
      </c>
      <c r="I1165" s="65" t="n">
        <v>877</v>
      </c>
      <c r="J1165" s="63" t="inlineStr">
        <is>
          <t>2,00</t>
        </is>
      </c>
      <c r="K1165" s="63" t="inlineStr">
        <is>
          <t>61,93</t>
        </is>
      </c>
      <c r="L1165" s="63" t="inlineStr">
        <is>
          <t>0,10</t>
        </is>
      </c>
      <c r="M1165" s="63" t="inlineStr">
        <is>
          <t>123,74</t>
        </is>
      </c>
      <c r="N1165" s="63" t="inlineStr">
        <is>
          <t>143,54</t>
        </is>
      </c>
      <c r="O1165" s="65" t="n"/>
      <c r="P1165" s="65" t="n"/>
      <c r="Q1165" s="65" t="n"/>
      <c r="R1165" s="65" t="n"/>
      <c r="S1165" s="65" t="n"/>
      <c r="T1165" s="65" t="n"/>
      <c r="U1165" s="65" t="n"/>
      <c r="V1165" s="65" t="n"/>
    </row>
    <row r="1166">
      <c r="A1166" s="65" t="n"/>
      <c r="B1166" s="65" t="n"/>
      <c r="C1166" s="65" t="n"/>
      <c r="D1166" s="65" t="n"/>
      <c r="E1166" s="65" t="n"/>
      <c r="F1166" s="65" t="n"/>
      <c r="G1166" s="65" t="n"/>
      <c r="H1166" s="65" t="inlineStr">
        <is>
          <t>[0007] ELITE API SN SAE 5W-20 (1x6)</t>
        </is>
      </c>
      <c r="I1166" s="65" t="n">
        <v>7</v>
      </c>
      <c r="J1166" s="63" t="inlineStr">
        <is>
          <t>1,00</t>
        </is>
      </c>
      <c r="K1166" s="63" t="inlineStr">
        <is>
          <t>45,21</t>
        </is>
      </c>
      <c r="L1166" s="63" t="inlineStr">
        <is>
          <t>0,10</t>
        </is>
      </c>
      <c r="M1166" s="63" t="inlineStr">
        <is>
          <t>45,16</t>
        </is>
      </c>
      <c r="N1166" s="63" t="inlineStr">
        <is>
          <t>52,39</t>
        </is>
      </c>
      <c r="O1166" s="65" t="n"/>
      <c r="P1166" s="65" t="n"/>
      <c r="Q1166" s="65" t="n"/>
      <c r="R1166" s="65" t="n"/>
      <c r="S1166" s="65" t="n"/>
      <c r="T1166" s="65" t="n"/>
      <c r="U1166" s="65" t="n"/>
      <c r="V1166" s="65" t="n"/>
    </row>
    <row r="1167">
      <c r="A1167" s="65" t="inlineStr">
        <is>
          <t>S00228</t>
        </is>
      </c>
      <c r="B1167" s="62" t="n">
        <v>46128.49600694444</v>
      </c>
      <c r="C1167" s="65" t="inlineStr">
        <is>
          <t>CAUCHOS Y ACCESORIOS LA CAMPIÑA, C.A.</t>
        </is>
      </c>
      <c r="D1167" s="65" t="inlineStr">
        <is>
          <t>TORO ARDILES DAVID JOSE</t>
        </is>
      </c>
      <c r="E1167" s="65" t="inlineStr">
        <is>
          <t>15 días</t>
        </is>
      </c>
      <c r="F1167" s="65" t="n">
        <v>4</v>
      </c>
      <c r="G1167" s="65" t="inlineStr">
        <is>
          <t>Precio Full Abril</t>
        </is>
      </c>
      <c r="H1167" s="65" t="inlineStr">
        <is>
          <t>[0880] CLASICO API SL SAE 15W-40 (1x12)</t>
        </is>
      </c>
      <c r="I1167" s="65" t="n">
        <v>880</v>
      </c>
      <c r="J1167" s="63" t="inlineStr">
        <is>
          <t>1,00</t>
        </is>
      </c>
      <c r="K1167" s="63" t="inlineStr">
        <is>
          <t>86,21</t>
        </is>
      </c>
      <c r="L1167" s="63" t="inlineStr">
        <is>
          <t>1,40</t>
        </is>
      </c>
      <c r="M1167" s="63" t="inlineStr">
        <is>
          <t>85,00</t>
        </is>
      </c>
      <c r="N1167" s="63" t="inlineStr">
        <is>
          <t>98,60</t>
        </is>
      </c>
      <c r="O1167" s="63" t="inlineStr">
        <is>
          <t>255,00</t>
        </is>
      </c>
      <c r="P1167" s="63" t="inlineStr">
        <is>
          <t>295,80</t>
        </is>
      </c>
      <c r="Q1167" s="63" t="inlineStr">
        <is>
          <t>709,69</t>
        </is>
      </c>
      <c r="R1167" s="66" t="n">
        <v>46214</v>
      </c>
      <c r="S1167" s="65" t="n">
        <v>293</v>
      </c>
      <c r="T1167" s="65" t="inlineStr">
        <is>
          <t>00-00000832</t>
        </is>
      </c>
      <c r="U1167" s="63" t="inlineStr">
        <is>
          <t>295,80</t>
        </is>
      </c>
      <c r="V1167" s="63" t="inlineStr">
        <is>
          <t>0,02</t>
        </is>
      </c>
    </row>
    <row r="1168">
      <c r="A1168" s="65" t="n"/>
      <c r="B1168" s="65" t="n"/>
      <c r="C1168" s="65" t="n"/>
      <c r="D1168" s="65" t="n"/>
      <c r="E1168" s="65" t="n"/>
      <c r="F1168" s="65" t="n"/>
      <c r="G1168" s="65" t="n"/>
      <c r="H1168" s="65" t="inlineStr">
        <is>
          <t>[0877] SS EXTRA PROTECCION API SN SAE 15W-40 (1X12)</t>
        </is>
      </c>
      <c r="I1168" s="65" t="n">
        <v>877</v>
      </c>
      <c r="J1168" s="63" t="inlineStr">
        <is>
          <t>1,00</t>
        </is>
      </c>
      <c r="K1168" s="63" t="inlineStr">
        <is>
          <t>100,80</t>
        </is>
      </c>
      <c r="L1168" s="63" t="inlineStr">
        <is>
          <t>0,79</t>
        </is>
      </c>
      <c r="M1168" s="63" t="inlineStr">
        <is>
          <t>100,00</t>
        </is>
      </c>
      <c r="N1168" s="63" t="inlineStr">
        <is>
          <t>116,00</t>
        </is>
      </c>
      <c r="O1168" s="65" t="n"/>
      <c r="P1168" s="65" t="n"/>
      <c r="Q1168" s="65" t="n"/>
      <c r="R1168" s="65" t="n"/>
      <c r="S1168" s="65" t="n"/>
      <c r="T1168" s="65" t="n"/>
      <c r="U1168" s="65" t="n"/>
      <c r="V1168" s="65" t="n"/>
    </row>
    <row r="1169">
      <c r="A1169" s="65" t="n"/>
      <c r="B1169" s="65" t="n"/>
      <c r="C1169" s="65" t="n"/>
      <c r="D1169" s="65" t="n"/>
      <c r="E1169" s="65" t="n"/>
      <c r="F1169" s="65" t="n"/>
      <c r="G1169" s="65" t="n"/>
      <c r="H1169" s="65" t="inlineStr">
        <is>
          <t>[0779] SINOCO SAE 20W-50 (1x12)</t>
        </is>
      </c>
      <c r="I1169" s="65" t="n">
        <v>779</v>
      </c>
      <c r="J1169" s="63" t="inlineStr">
        <is>
          <t>1,00</t>
        </is>
      </c>
      <c r="K1169" s="63" t="inlineStr">
        <is>
          <t>70,29</t>
        </is>
      </c>
      <c r="L1169" s="63" t="inlineStr">
        <is>
          <t>0,41</t>
        </is>
      </c>
      <c r="M1169" s="63" t="inlineStr">
        <is>
          <t>70,00</t>
        </is>
      </c>
      <c r="N1169" s="63" t="inlineStr">
        <is>
          <t>81,20</t>
        </is>
      </c>
      <c r="O1169" s="65" t="n"/>
      <c r="P1169" s="65" t="n"/>
      <c r="Q1169" s="65" t="n"/>
      <c r="R1169" s="65" t="n"/>
      <c r="S1169" s="65" t="n"/>
      <c r="T1169" s="65" t="n"/>
      <c r="U1169" s="65" t="n"/>
      <c r="V1169" s="65" t="n"/>
    </row>
    <row r="1170">
      <c r="A1170" s="65" t="inlineStr">
        <is>
          <t>S00227</t>
        </is>
      </c>
      <c r="B1170" s="62" t="n">
        <v>46128.49582175926</v>
      </c>
      <c r="C1170" s="65" t="inlineStr">
        <is>
          <t>EN LA VIA 2023 C.A</t>
        </is>
      </c>
      <c r="D1170" s="65" t="inlineStr">
        <is>
          <t>VILLABONA CORREA ALBA ESTEFANIA</t>
        </is>
      </c>
      <c r="E1170" s="65" t="inlineStr">
        <is>
          <t>7 días</t>
        </is>
      </c>
      <c r="F1170" s="65" t="n">
        <v>4</v>
      </c>
      <c r="G1170" s="65" t="inlineStr">
        <is>
          <t>Precio Full Abril</t>
        </is>
      </c>
      <c r="H1170" s="65" t="inlineStr">
        <is>
          <t>[0025] SS EXTRA PROTECCION API SN SAE 10W-30 (Gasolina) (1x6)</t>
        </is>
      </c>
      <c r="I1170" s="65" t="n">
        <v>25</v>
      </c>
      <c r="J1170" s="63" t="inlineStr">
        <is>
          <t>2,00</t>
        </is>
      </c>
      <c r="K1170" s="63" t="inlineStr">
        <is>
          <t>50,00</t>
        </is>
      </c>
      <c r="L1170" s="63" t="inlineStr">
        <is>
          <t>0,00</t>
        </is>
      </c>
      <c r="M1170" s="63" t="inlineStr">
        <is>
          <t>100,00</t>
        </is>
      </c>
      <c r="N1170" s="63" t="inlineStr">
        <is>
          <t>116,00</t>
        </is>
      </c>
      <c r="O1170" s="63" t="inlineStr">
        <is>
          <t>583,00</t>
        </is>
      </c>
      <c r="P1170" s="63" t="inlineStr">
        <is>
          <t>676,28</t>
        </is>
      </c>
      <c r="Q1170" s="63" t="inlineStr">
        <is>
          <t>486,20</t>
        </is>
      </c>
      <c r="R1170" s="66" t="n">
        <v>46141</v>
      </c>
      <c r="S1170" s="65" t="n">
        <v>27</v>
      </c>
      <c r="T1170" s="65" t="inlineStr">
        <is>
          <t>00-00000240</t>
        </is>
      </c>
      <c r="U1170" s="63" t="inlineStr">
        <is>
          <t>667,30</t>
        </is>
      </c>
      <c r="V1170" s="63" t="inlineStr">
        <is>
          <t>667,35</t>
        </is>
      </c>
    </row>
    <row r="1171">
      <c r="A1171" s="65" t="n"/>
      <c r="B1171" s="65" t="n"/>
      <c r="C1171" s="65" t="n"/>
      <c r="D1171" s="65" t="n"/>
      <c r="E1171" s="65" t="n"/>
      <c r="F1171" s="65" t="n"/>
      <c r="G1171" s="65" t="n"/>
      <c r="H1171" s="65" t="n"/>
      <c r="I1171" s="65" t="n"/>
      <c r="J1171" s="63" t="inlineStr">
        <is>
          <t>0,00</t>
        </is>
      </c>
      <c r="K1171" s="63" t="inlineStr">
        <is>
          <t>0,00</t>
        </is>
      </c>
      <c r="L1171" s="63" t="inlineStr">
        <is>
          <t>0,00</t>
        </is>
      </c>
      <c r="M1171" s="63" t="inlineStr">
        <is>
          <t>0,00</t>
        </is>
      </c>
      <c r="N1171" s="63" t="inlineStr">
        <is>
          <t>0,00</t>
        </is>
      </c>
      <c r="O1171" s="65" t="n"/>
      <c r="P1171" s="65" t="n"/>
      <c r="Q1171" s="65" t="n"/>
      <c r="R1171" s="65" t="n"/>
      <c r="S1171" s="65" t="n"/>
      <c r="T1171" s="65" t="n"/>
      <c r="U1171" s="65" t="n"/>
      <c r="V1171" s="65" t="n"/>
    </row>
    <row r="1172">
      <c r="A1172" s="65" t="n"/>
      <c r="B1172" s="65" t="n"/>
      <c r="C1172" s="65" t="n"/>
      <c r="D1172" s="65" t="n"/>
      <c r="E1172" s="65" t="n"/>
      <c r="F1172" s="65" t="n"/>
      <c r="G1172" s="65" t="n"/>
      <c r="H1172" s="65" t="inlineStr">
        <is>
          <t>[0877] SS EXTRA PROTECCION API SN SAE 15W-40 (1X12)</t>
        </is>
      </c>
      <c r="I1172" s="65" t="n">
        <v>877</v>
      </c>
      <c r="J1172" s="63" t="inlineStr">
        <is>
          <t>1,00</t>
        </is>
      </c>
      <c r="K1172" s="63" t="inlineStr">
        <is>
          <t>100,00</t>
        </is>
      </c>
      <c r="L1172" s="63" t="inlineStr">
        <is>
          <t>0,00</t>
        </is>
      </c>
      <c r="M1172" s="63" t="inlineStr">
        <is>
          <t>100,00</t>
        </is>
      </c>
      <c r="N1172" s="63" t="inlineStr">
        <is>
          <t>116,00</t>
        </is>
      </c>
      <c r="O1172" s="65" t="n"/>
      <c r="P1172" s="65" t="n"/>
      <c r="Q1172" s="65" t="n"/>
      <c r="R1172" s="65" t="n"/>
      <c r="S1172" s="65" t="n"/>
      <c r="T1172" s="65" t="n"/>
      <c r="U1172" s="65" t="n"/>
      <c r="V1172" s="65" t="n"/>
    </row>
    <row r="1173">
      <c r="A1173" s="65" t="n"/>
      <c r="B1173" s="65" t="n"/>
      <c r="C1173" s="65" t="n"/>
      <c r="D1173" s="65" t="n"/>
      <c r="E1173" s="65" t="n"/>
      <c r="F1173" s="65" t="n"/>
      <c r="G1173" s="65" t="n"/>
      <c r="H1173" s="65" t="inlineStr">
        <is>
          <t>[0878] SS EXTRA PROTECCION API SN SAE 20W-50 (1x12)</t>
        </is>
      </c>
      <c r="I1173" s="65" t="n">
        <v>878</v>
      </c>
      <c r="J1173" s="63" t="inlineStr">
        <is>
          <t>1,00</t>
        </is>
      </c>
      <c r="K1173" s="63" t="inlineStr">
        <is>
          <t>100,00</t>
        </is>
      </c>
      <c r="L1173" s="63" t="inlineStr">
        <is>
          <t>0,00</t>
        </is>
      </c>
      <c r="M1173" s="63" t="inlineStr">
        <is>
          <t>100,00</t>
        </is>
      </c>
      <c r="N1173" s="63" t="inlineStr">
        <is>
          <t>116,00</t>
        </is>
      </c>
      <c r="O1173" s="65" t="n"/>
      <c r="P1173" s="65" t="n"/>
      <c r="Q1173" s="65" t="n"/>
      <c r="R1173" s="65" t="n"/>
      <c r="S1173" s="65" t="n"/>
      <c r="T1173" s="65" t="n"/>
      <c r="U1173" s="65" t="n"/>
      <c r="V1173" s="65" t="n"/>
    </row>
    <row r="1174">
      <c r="A1174" s="65" t="n"/>
      <c r="B1174" s="65" t="n"/>
      <c r="C1174" s="65" t="n"/>
      <c r="D1174" s="65" t="n"/>
      <c r="E1174" s="65" t="n"/>
      <c r="F1174" s="65" t="n"/>
      <c r="G1174" s="65" t="n"/>
      <c r="H1174" s="65" t="inlineStr">
        <is>
          <t>[0881] CLASICO API SL SAE 20W-50 (1x12)</t>
        </is>
      </c>
      <c r="I1174" s="65" t="n">
        <v>881</v>
      </c>
      <c r="J1174" s="63" t="inlineStr">
        <is>
          <t>1,00</t>
        </is>
      </c>
      <c r="K1174" s="63" t="inlineStr">
        <is>
          <t>87,00</t>
        </is>
      </c>
      <c r="L1174" s="63" t="inlineStr">
        <is>
          <t>0,00</t>
        </is>
      </c>
      <c r="M1174" s="63" t="inlineStr">
        <is>
          <t>87,00</t>
        </is>
      </c>
      <c r="N1174" s="63" t="inlineStr">
        <is>
          <t>100,92</t>
        </is>
      </c>
      <c r="O1174" s="65" t="n"/>
      <c r="P1174" s="65" t="n"/>
      <c r="Q1174" s="65" t="n"/>
      <c r="R1174" s="65" t="n"/>
      <c r="S1174" s="65" t="n"/>
      <c r="T1174" s="65" t="n"/>
      <c r="U1174" s="65" t="n"/>
      <c r="V1174" s="65" t="n"/>
    </row>
    <row r="1175">
      <c r="A1175" s="65" t="n"/>
      <c r="B1175" s="65" t="n"/>
      <c r="C1175" s="65" t="n"/>
      <c r="D1175" s="65" t="n"/>
      <c r="E1175" s="65" t="n"/>
      <c r="F1175" s="65" t="n"/>
      <c r="G1175" s="65" t="n"/>
      <c r="H1175" s="65" t="inlineStr">
        <is>
          <t>[0884] TRANSMATIC ATF DEXRON III (1x12)</t>
        </is>
      </c>
      <c r="I1175" s="65" t="n">
        <v>884</v>
      </c>
      <c r="J1175" s="63" t="inlineStr">
        <is>
          <t>1,00</t>
        </is>
      </c>
      <c r="K1175" s="63" t="inlineStr">
        <is>
          <t>96,00</t>
        </is>
      </c>
      <c r="L1175" s="63" t="inlineStr">
        <is>
          <t>0,00</t>
        </is>
      </c>
      <c r="M1175" s="63" t="inlineStr">
        <is>
          <t>96,00</t>
        </is>
      </c>
      <c r="N1175" s="63" t="inlineStr">
        <is>
          <t>111,36</t>
        </is>
      </c>
      <c r="O1175" s="65" t="n"/>
      <c r="P1175" s="65" t="n"/>
      <c r="Q1175" s="65" t="n"/>
      <c r="R1175" s="65" t="n"/>
      <c r="S1175" s="65" t="n"/>
      <c r="T1175" s="65" t="n"/>
      <c r="U1175" s="65" t="n"/>
      <c r="V1175" s="65" t="n"/>
    </row>
    <row r="1176">
      <c r="A1176" s="65" t="n"/>
      <c r="B1176" s="65" t="n"/>
      <c r="C1176" s="65" t="n"/>
      <c r="D1176" s="65" t="n"/>
      <c r="E1176" s="65" t="n"/>
      <c r="F1176" s="65" t="n"/>
      <c r="G1176" s="65" t="n"/>
      <c r="H1176" s="65" t="inlineStr">
        <is>
          <t>[0888] ENDUROGLOB 2T AIRE (1x12)</t>
        </is>
      </c>
      <c r="I1176" s="65" t="n">
        <v>888</v>
      </c>
      <c r="J1176" s="63" t="inlineStr">
        <is>
          <t>1,00</t>
        </is>
      </c>
      <c r="K1176" s="63" t="inlineStr">
        <is>
          <t>100,00</t>
        </is>
      </c>
      <c r="L1176" s="63" t="inlineStr">
        <is>
          <t>0,00</t>
        </is>
      </c>
      <c r="M1176" s="63" t="inlineStr">
        <is>
          <t>100,00</t>
        </is>
      </c>
      <c r="N1176" s="63" t="inlineStr">
        <is>
          <t>116,00</t>
        </is>
      </c>
      <c r="O1176" s="65" t="n"/>
      <c r="P1176" s="65" t="n"/>
      <c r="Q1176" s="65" t="n"/>
      <c r="R1176" s="65" t="n"/>
      <c r="S1176" s="65" t="n"/>
      <c r="T1176" s="65" t="n"/>
      <c r="U1176" s="65" t="n"/>
      <c r="V1176" s="65" t="n"/>
    </row>
    <row r="1177">
      <c r="A1177" s="65" t="inlineStr">
        <is>
          <t>S00225</t>
        </is>
      </c>
      <c r="B1177" s="62" t="n">
        <v>46127.67702546297</v>
      </c>
      <c r="C1177" s="65" t="inlineStr">
        <is>
          <t>CONSTRUCTORA GRANO AGREGADO, C.A</t>
        </is>
      </c>
      <c r="D1177" s="65" t="inlineStr">
        <is>
          <t>CASERES GONZALEZ RONALD OSWALDO</t>
        </is>
      </c>
      <c r="E1177" s="65" t="inlineStr">
        <is>
          <t>Pago inmediato</t>
        </is>
      </c>
      <c r="F1177" s="65" t="n">
        <v>4</v>
      </c>
      <c r="G1177" s="65" t="inlineStr">
        <is>
          <t>Precio Full Abril</t>
        </is>
      </c>
      <c r="H1177" s="65" t="inlineStr">
        <is>
          <t>[0144] HIDRAGLOB AW/ISO 68 (PAILA)</t>
        </is>
      </c>
      <c r="I1177" s="65" t="n">
        <v>144</v>
      </c>
      <c r="J1177" s="63" t="inlineStr">
        <is>
          <t>11,00</t>
        </is>
      </c>
      <c r="K1177" s="63" t="inlineStr">
        <is>
          <t>94,00</t>
        </is>
      </c>
      <c r="L1177" s="63" t="inlineStr">
        <is>
          <t>0,00</t>
        </is>
      </c>
      <c r="M1177" s="63" t="inlineStr">
        <is>
          <t>1.034,00</t>
        </is>
      </c>
      <c r="N1177" s="63" t="inlineStr">
        <is>
          <t>1.199,44</t>
        </is>
      </c>
      <c r="O1177" s="63" t="inlineStr">
        <is>
          <t>3.441,00</t>
        </is>
      </c>
      <c r="P1177" s="63" t="inlineStr">
        <is>
          <t>3.991,56</t>
        </is>
      </c>
      <c r="Q1177" s="63" t="inlineStr">
        <is>
          <t>478,58</t>
        </is>
      </c>
      <c r="R1177" s="66" t="n">
        <v>46127</v>
      </c>
      <c r="S1177" s="65" t="n">
        <v>19</v>
      </c>
      <c r="T1177" s="65" t="inlineStr">
        <is>
          <t>00-00000179</t>
        </is>
      </c>
      <c r="U1177" s="63" t="inlineStr">
        <is>
          <t>3.991,54</t>
        </is>
      </c>
      <c r="V1177" s="63" t="inlineStr">
        <is>
          <t>0,01</t>
        </is>
      </c>
    </row>
    <row r="1178">
      <c r="A1178" s="65" t="n"/>
      <c r="B1178" s="65" t="n"/>
      <c r="C1178" s="65" t="n"/>
      <c r="D1178" s="65" t="n"/>
      <c r="E1178" s="65" t="n"/>
      <c r="F1178" s="65" t="n"/>
      <c r="G1178" s="65" t="n"/>
      <c r="H1178" s="65" t="inlineStr">
        <is>
          <t>[0085] MAXIMO API CF SAE 50 (Tambor)</t>
        </is>
      </c>
      <c r="I1178" s="65" t="n">
        <v>85</v>
      </c>
      <c r="J1178" s="63" t="inlineStr">
        <is>
          <t>1,00</t>
        </is>
      </c>
      <c r="K1178" s="63" t="inlineStr">
        <is>
          <t>1.136,00</t>
        </is>
      </c>
      <c r="L1178" s="63" t="inlineStr">
        <is>
          <t>0,00</t>
        </is>
      </c>
      <c r="M1178" s="63" t="inlineStr">
        <is>
          <t>1.136,00</t>
        </is>
      </c>
      <c r="N1178" s="63" t="inlineStr">
        <is>
          <t>1.317,76</t>
        </is>
      </c>
      <c r="O1178" s="65" t="n"/>
      <c r="P1178" s="65" t="n"/>
      <c r="Q1178" s="65" t="n"/>
      <c r="R1178" s="65" t="n"/>
      <c r="S1178" s="65" t="n"/>
      <c r="T1178" s="65" t="n"/>
      <c r="U1178" s="65" t="n"/>
      <c r="V1178" s="65" t="n"/>
    </row>
    <row r="1179">
      <c r="A1179" s="65" t="n"/>
      <c r="B1179" s="65" t="n"/>
      <c r="C1179" s="65" t="n"/>
      <c r="D1179" s="65" t="n"/>
      <c r="E1179" s="65" t="n"/>
      <c r="F1179" s="65" t="n"/>
      <c r="G1179" s="65" t="n"/>
      <c r="H1179" s="65" t="inlineStr">
        <is>
          <t>[0075] SUPREMO API CI-4 SAE 15W-40 (Tambor)</t>
        </is>
      </c>
      <c r="I1179" s="65" t="n">
        <v>75</v>
      </c>
      <c r="J1179" s="63" t="inlineStr">
        <is>
          <t>1,00</t>
        </is>
      </c>
      <c r="K1179" s="63" t="inlineStr">
        <is>
          <t>1.271,00</t>
        </is>
      </c>
      <c r="L1179" s="63" t="inlineStr">
        <is>
          <t>0,00</t>
        </is>
      </c>
      <c r="M1179" s="63" t="inlineStr">
        <is>
          <t>1.271,00</t>
        </is>
      </c>
      <c r="N1179" s="63" t="inlineStr">
        <is>
          <t>1.474,36</t>
        </is>
      </c>
      <c r="O1179" s="65" t="n"/>
      <c r="P1179" s="65" t="n"/>
      <c r="Q1179" s="65" t="n"/>
      <c r="R1179" s="65" t="n"/>
      <c r="S1179" s="65" t="n"/>
      <c r="T1179" s="65" t="n"/>
      <c r="U1179" s="65" t="n"/>
      <c r="V1179" s="65" t="n"/>
    </row>
    <row r="1180">
      <c r="A1180" s="65" t="inlineStr">
        <is>
          <t>S00220</t>
        </is>
      </c>
      <c r="B1180" s="62" t="n">
        <v>46127.57173611111</v>
      </c>
      <c r="C1180" s="65" t="inlineStr">
        <is>
          <t>HIDRAULICAS CAICEDO C.A.</t>
        </is>
      </c>
      <c r="D1180" s="65" t="inlineStr">
        <is>
          <t>VILLABONA CORREA ALBA ESTEFANIA</t>
        </is>
      </c>
      <c r="E1180" s="65" t="n"/>
      <c r="F1180" s="65" t="n">
        <v>4</v>
      </c>
      <c r="G1180" s="65" t="inlineStr">
        <is>
          <t>Precio Full Abril</t>
        </is>
      </c>
      <c r="H1180" s="65" t="inlineStr">
        <is>
          <t>[0779] SINOCO SAE 20W-50 (1x12)</t>
        </is>
      </c>
      <c r="I1180" s="65" t="n">
        <v>779</v>
      </c>
      <c r="J1180" s="63" t="inlineStr">
        <is>
          <t>1,00</t>
        </is>
      </c>
      <c r="K1180" s="63" t="inlineStr">
        <is>
          <t>46,00</t>
        </is>
      </c>
      <c r="L1180" s="63" t="inlineStr">
        <is>
          <t>0,00</t>
        </is>
      </c>
      <c r="M1180" s="63" t="inlineStr">
        <is>
          <t>46,00</t>
        </is>
      </c>
      <c r="N1180" s="63" t="inlineStr">
        <is>
          <t>53,36</t>
        </is>
      </c>
      <c r="O1180" s="63" t="inlineStr">
        <is>
          <t>108,00</t>
        </is>
      </c>
      <c r="P1180" s="63" t="inlineStr">
        <is>
          <t>125,28</t>
        </is>
      </c>
      <c r="Q1180" s="63" t="inlineStr">
        <is>
          <t>479,78</t>
        </is>
      </c>
      <c r="R1180" s="66" t="n">
        <v>46214</v>
      </c>
      <c r="S1180" s="65" t="n">
        <v>10</v>
      </c>
      <c r="T1180" s="65" t="inlineStr">
        <is>
          <t>00-00000830</t>
        </is>
      </c>
      <c r="U1180" s="63" t="inlineStr">
        <is>
          <t>-191,68</t>
        </is>
      </c>
      <c r="V1180" s="63" t="inlineStr">
        <is>
          <t>0,00</t>
        </is>
      </c>
    </row>
    <row r="1181">
      <c r="A1181" s="65" t="n"/>
      <c r="B1181" s="65" t="n"/>
      <c r="C1181" s="65" t="n"/>
      <c r="D1181" s="65" t="n"/>
      <c r="E1181" s="65" t="n"/>
      <c r="F1181" s="65" t="n"/>
      <c r="G1181" s="65" t="n"/>
      <c r="H1181" s="65" t="n"/>
      <c r="I1181" s="65" t="n"/>
      <c r="J1181" s="65" t="n"/>
      <c r="K1181" s="65" t="n"/>
      <c r="L1181" s="65" t="n"/>
      <c r="M1181" s="65" t="n"/>
      <c r="N1181" s="65" t="n"/>
      <c r="O1181" s="65" t="n"/>
      <c r="P1181" s="65" t="n"/>
      <c r="Q1181" s="63" t="inlineStr">
        <is>
          <t>520,91</t>
        </is>
      </c>
      <c r="R1181" s="66" t="n">
        <v>46162</v>
      </c>
      <c r="S1181" s="65" t="n">
        <v>74</v>
      </c>
      <c r="T1181" s="65" t="inlineStr">
        <is>
          <t>00-00000388</t>
        </is>
      </c>
      <c r="U1181" s="63" t="inlineStr">
        <is>
          <t>128,74</t>
        </is>
      </c>
      <c r="V1181" s="63" t="inlineStr">
        <is>
          <t>128,76</t>
        </is>
      </c>
    </row>
    <row r="1182">
      <c r="A1182" s="65" t="n"/>
      <c r="B1182" s="65" t="n"/>
      <c r="C1182" s="65" t="n"/>
      <c r="D1182" s="65" t="n"/>
      <c r="E1182" s="65" t="n"/>
      <c r="F1182" s="65" t="n"/>
      <c r="G1182" s="65" t="n"/>
      <c r="H1182" s="65" t="n"/>
      <c r="I1182" s="65" t="n"/>
      <c r="J1182" s="65" t="n"/>
      <c r="K1182" s="65" t="n"/>
      <c r="L1182" s="65" t="n"/>
      <c r="M1182" s="65" t="n"/>
      <c r="N1182" s="65" t="n"/>
      <c r="O1182" s="65" t="n"/>
      <c r="P1182" s="65" t="n"/>
      <c r="Q1182" s="63" t="inlineStr">
        <is>
          <t>479,78</t>
        </is>
      </c>
      <c r="R1182" s="66" t="n">
        <v>46162</v>
      </c>
      <c r="S1182" s="65" t="n">
        <v>72</v>
      </c>
      <c r="T1182" s="65" t="inlineStr">
        <is>
          <t>00-00000386</t>
        </is>
      </c>
      <c r="U1182" s="63" t="inlineStr">
        <is>
          <t>191,68</t>
        </is>
      </c>
      <c r="V1182" s="63" t="inlineStr">
        <is>
          <t>0,00</t>
        </is>
      </c>
    </row>
    <row r="1183">
      <c r="A1183" s="65" t="n"/>
      <c r="B1183" s="65" t="n"/>
      <c r="C1183" s="65" t="n"/>
      <c r="D1183" s="65" t="n"/>
      <c r="E1183" s="65" t="n"/>
      <c r="F1183" s="65" t="n"/>
      <c r="G1183" s="65" t="n"/>
      <c r="H1183" s="65" t="inlineStr">
        <is>
          <t>[0884] TRANSMATIC ATF DEXRON III (1x12)</t>
        </is>
      </c>
      <c r="I1183" s="65" t="n">
        <v>884</v>
      </c>
      <c r="J1183" s="63" t="inlineStr">
        <is>
          <t>1,00</t>
        </is>
      </c>
      <c r="K1183" s="63" t="inlineStr">
        <is>
          <t>62,00</t>
        </is>
      </c>
      <c r="L1183" s="63" t="inlineStr">
        <is>
          <t>0,00</t>
        </is>
      </c>
      <c r="M1183" s="63" t="inlineStr">
        <is>
          <t>62,00</t>
        </is>
      </c>
      <c r="N1183" s="63" t="inlineStr">
        <is>
          <t>71,92</t>
        </is>
      </c>
      <c r="O1183" s="65" t="n"/>
      <c r="P1183" s="65" t="n"/>
      <c r="Q1183" s="65" t="n"/>
      <c r="R1183" s="65" t="n"/>
      <c r="S1183" s="65" t="n"/>
      <c r="T1183" s="65" t="n"/>
      <c r="U1183" s="65" t="n"/>
      <c r="V1183" s="65" t="n"/>
    </row>
    <row r="1184">
      <c r="A1184" s="65" t="n"/>
      <c r="B1184" s="65" t="n"/>
      <c r="C1184" s="65" t="n"/>
      <c r="D1184" s="65" t="n"/>
      <c r="E1184" s="65" t="n"/>
      <c r="F1184" s="65" t="n"/>
      <c r="G1184" s="65" t="n"/>
      <c r="H1184" s="65" t="inlineStr">
        <is>
          <t>[1035] SINOCO HIDRAULICO ISO 68 (PAILA)</t>
        </is>
      </c>
      <c r="I1184" s="65" t="n">
        <v>1035</v>
      </c>
      <c r="J1184" s="63" t="inlineStr">
        <is>
          <t>0,00</t>
        </is>
      </c>
      <c r="K1184" s="63" t="inlineStr">
        <is>
          <t>56,03</t>
        </is>
      </c>
      <c r="L1184" s="63" t="inlineStr">
        <is>
          <t>0,00</t>
        </is>
      </c>
      <c r="M1184" s="63" t="inlineStr">
        <is>
          <t>0,00</t>
        </is>
      </c>
      <c r="N1184" s="63" t="inlineStr">
        <is>
          <t>0,00</t>
        </is>
      </c>
      <c r="O1184" s="65" t="n"/>
      <c r="P1184" s="65" t="n"/>
      <c r="Q1184" s="65" t="n"/>
      <c r="R1184" s="65" t="n"/>
      <c r="S1184" s="65" t="n"/>
      <c r="T1184" s="65" t="n"/>
      <c r="U1184" s="65" t="n"/>
      <c r="V1184" s="65" t="n"/>
    </row>
    <row r="1185">
      <c r="A1185" s="65" t="inlineStr">
        <is>
          <t>S00223</t>
        </is>
      </c>
      <c r="B1185" s="62" t="n">
        <v>46127.53072916667</v>
      </c>
      <c r="C1185" s="65" t="inlineStr">
        <is>
          <t>Autorepuestos el Florin,c.a.</t>
        </is>
      </c>
      <c r="D1185" s="65" t="inlineStr">
        <is>
          <t>QUEVEDO BASTIDAS NEYKEL DAVID</t>
        </is>
      </c>
      <c r="E1185" s="65" t="inlineStr">
        <is>
          <t>15 días</t>
        </is>
      </c>
      <c r="F1185" s="65" t="n">
        <v>4</v>
      </c>
      <c r="G1185" s="65" t="inlineStr">
        <is>
          <t>Precio Full Abril</t>
        </is>
      </c>
      <c r="H1185" s="65" t="inlineStr">
        <is>
          <t>[0602] SINOCO SAE 50 (PAILA)</t>
        </is>
      </c>
      <c r="I1185" s="65" t="n">
        <v>602</v>
      </c>
      <c r="J1185" s="63" t="inlineStr">
        <is>
          <t>4,00</t>
        </is>
      </c>
      <c r="K1185" s="63" t="inlineStr">
        <is>
          <t>93,00</t>
        </is>
      </c>
      <c r="L1185" s="63" t="inlineStr">
        <is>
          <t>0,00</t>
        </is>
      </c>
      <c r="M1185" s="63" t="inlineStr">
        <is>
          <t>372,00</t>
        </is>
      </c>
      <c r="N1185" s="63" t="inlineStr">
        <is>
          <t>431,52</t>
        </is>
      </c>
      <c r="O1185" s="63" t="inlineStr">
        <is>
          <t>372,00</t>
        </is>
      </c>
      <c r="P1185" s="63" t="inlineStr">
        <is>
          <t>431,52</t>
        </is>
      </c>
      <c r="Q1185" s="63" t="inlineStr">
        <is>
          <t>479,78</t>
        </is>
      </c>
      <c r="R1185" s="66" t="n">
        <v>46185</v>
      </c>
      <c r="S1185" s="65" t="n">
        <v>146</v>
      </c>
      <c r="T1185" s="65" t="inlineStr">
        <is>
          <t>00-00000589</t>
        </is>
      </c>
      <c r="U1185" s="63" t="inlineStr">
        <is>
          <t>274,96</t>
        </is>
      </c>
      <c r="V1185" s="63" t="inlineStr">
        <is>
          <t>274,98</t>
        </is>
      </c>
    </row>
    <row r="1186">
      <c r="A1186" s="65" t="inlineStr">
        <is>
          <t>S00219</t>
        </is>
      </c>
      <c r="B1186" s="62" t="n">
        <v>46126.75471064815</v>
      </c>
      <c r="C1186" s="65" t="inlineStr">
        <is>
          <t>Montura de Cauchos Biondo,c.a.</t>
        </is>
      </c>
      <c r="D1186" s="65" t="inlineStr">
        <is>
          <t>VILLABONA CORREA ALBA ESTEFANIA</t>
        </is>
      </c>
      <c r="E1186" s="65" t="n"/>
      <c r="F1186" s="65" t="n">
        <v>4</v>
      </c>
      <c r="G1186" s="65" t="inlineStr">
        <is>
          <t>Precio Full Abril</t>
        </is>
      </c>
      <c r="H1186" s="65" t="inlineStr">
        <is>
          <t>[0877] SS EXTRA PROTECCION API SN SAE 15W-40 (1X12)</t>
        </is>
      </c>
      <c r="I1186" s="65" t="n">
        <v>877</v>
      </c>
      <c r="J1186" s="63" t="inlineStr">
        <is>
          <t>2,00</t>
        </is>
      </c>
      <c r="K1186" s="63" t="inlineStr">
        <is>
          <t>100,00</t>
        </is>
      </c>
      <c r="L1186" s="63" t="inlineStr">
        <is>
          <t>0,00</t>
        </is>
      </c>
      <c r="M1186" s="63" t="inlineStr">
        <is>
          <t>200,00</t>
        </is>
      </c>
      <c r="N1186" s="63" t="inlineStr">
        <is>
          <t>232,00</t>
        </is>
      </c>
      <c r="O1186" s="63" t="inlineStr">
        <is>
          <t>295,69</t>
        </is>
      </c>
      <c r="P1186" s="63" t="inlineStr">
        <is>
          <t>343,00</t>
        </is>
      </c>
      <c r="Q1186" s="63" t="inlineStr">
        <is>
          <t>496,83</t>
        </is>
      </c>
      <c r="R1186" s="66" t="n">
        <v>46185</v>
      </c>
      <c r="S1186" s="65" t="n">
        <v>145</v>
      </c>
      <c r="T1186" s="65" t="inlineStr">
        <is>
          <t>00-00000588</t>
        </is>
      </c>
      <c r="U1186" s="63" t="inlineStr">
        <is>
          <t>199,99</t>
        </is>
      </c>
      <c r="V1186" s="63" t="inlineStr">
        <is>
          <t>0,00</t>
        </is>
      </c>
    </row>
    <row r="1187">
      <c r="A1187" s="65" t="n"/>
      <c r="B1187" s="65" t="n"/>
      <c r="C1187" s="65" t="n"/>
      <c r="D1187" s="65" t="n"/>
      <c r="E1187" s="65" t="n"/>
      <c r="F1187" s="65" t="n"/>
      <c r="G1187" s="65" t="n"/>
      <c r="H1187" s="65" t="n"/>
      <c r="I1187" s="65" t="n"/>
      <c r="J1187" s="63" t="inlineStr">
        <is>
          <t>0,00</t>
        </is>
      </c>
      <c r="K1187" s="63" t="inlineStr">
        <is>
          <t>0,00</t>
        </is>
      </c>
      <c r="L1187" s="63" t="inlineStr">
        <is>
          <t>0,00</t>
        </is>
      </c>
      <c r="M1187" s="63" t="inlineStr">
        <is>
          <t>0,00</t>
        </is>
      </c>
      <c r="N1187" s="63" t="inlineStr">
        <is>
          <t>0,00</t>
        </is>
      </c>
      <c r="O1187" s="65" t="n"/>
      <c r="P1187" s="65" t="n"/>
      <c r="Q1187" s="65" t="n"/>
      <c r="R1187" s="65" t="n"/>
      <c r="S1187" s="65" t="n"/>
      <c r="T1187" s="65" t="n"/>
      <c r="U1187" s="65" t="n"/>
      <c r="V1187" s="65" t="n"/>
    </row>
    <row r="1188">
      <c r="A1188" s="65" t="n"/>
      <c r="B1188" s="65" t="n"/>
      <c r="C1188" s="65" t="n"/>
      <c r="D1188" s="65" t="n"/>
      <c r="E1188" s="65" t="n"/>
      <c r="F1188" s="65" t="n"/>
      <c r="G1188" s="65" t="n"/>
      <c r="H1188" s="65" t="inlineStr">
        <is>
          <t>[0884] TRANSMATIC ATF DEXRON III (1x12)</t>
        </is>
      </c>
      <c r="I1188" s="65" t="n">
        <v>884</v>
      </c>
      <c r="J1188" s="63" t="inlineStr">
        <is>
          <t>1,00</t>
        </is>
      </c>
      <c r="K1188" s="63" t="inlineStr">
        <is>
          <t>95,69</t>
        </is>
      </c>
      <c r="L1188" s="63" t="inlineStr">
        <is>
          <t>0,00</t>
        </is>
      </c>
      <c r="M1188" s="63" t="inlineStr">
        <is>
          <t>95,69</t>
        </is>
      </c>
      <c r="N1188" s="63" t="inlineStr">
        <is>
          <t>111,00</t>
        </is>
      </c>
      <c r="O1188" s="65" t="n"/>
      <c r="P1188" s="65" t="n"/>
      <c r="Q1188" s="65" t="n"/>
      <c r="R1188" s="65" t="n"/>
      <c r="S1188" s="65" t="n"/>
      <c r="T1188" s="65" t="n"/>
      <c r="U1188" s="65" t="n"/>
      <c r="V1188" s="65" t="n"/>
    </row>
    <row r="1189">
      <c r="A1189" s="65" t="inlineStr">
        <is>
          <t>S00215</t>
        </is>
      </c>
      <c r="B1189" s="62" t="n">
        <v>46126.53458333333</v>
      </c>
      <c r="C1189" s="65" t="inlineStr">
        <is>
          <t>Alejandro Zorrilla</t>
        </is>
      </c>
      <c r="D1189" s="65" t="inlineStr">
        <is>
          <t>CASERES GONZALEZ RONALD OSWALDO</t>
        </is>
      </c>
      <c r="E1189" s="65" t="n"/>
      <c r="F1189" s="65" t="n">
        <v>4</v>
      </c>
      <c r="G1189" s="65" t="inlineStr">
        <is>
          <t>Precio Full Abril</t>
        </is>
      </c>
      <c r="H1189" s="65" t="inlineStr">
        <is>
          <t>[0877] SS EXTRA PROTECCION API SN SAE 15W-40 (1X12)</t>
        </is>
      </c>
      <c r="I1189" s="65" t="n">
        <v>877</v>
      </c>
      <c r="J1189" s="63" t="inlineStr">
        <is>
          <t>1,00</t>
        </is>
      </c>
      <c r="K1189" s="63" t="inlineStr">
        <is>
          <t>100,80</t>
        </is>
      </c>
      <c r="L1189" s="63" t="inlineStr">
        <is>
          <t>0,79</t>
        </is>
      </c>
      <c r="M1189" s="63" t="inlineStr">
        <is>
          <t>100,00</t>
        </is>
      </c>
      <c r="N1189" s="63" t="inlineStr">
        <is>
          <t>116,00</t>
        </is>
      </c>
      <c r="O1189" s="63" t="inlineStr">
        <is>
          <t>100,00</t>
        </is>
      </c>
      <c r="P1189" s="63" t="inlineStr">
        <is>
          <t>116,00</t>
        </is>
      </c>
      <c r="Q1189" s="63" t="inlineStr">
        <is>
          <t>709,69</t>
        </is>
      </c>
      <c r="R1189" s="66" t="n">
        <v>46214</v>
      </c>
      <c r="S1189" s="65" t="n">
        <v>288</v>
      </c>
      <c r="T1189" s="65" t="inlineStr">
        <is>
          <t>00-00000826</t>
        </is>
      </c>
      <c r="U1189" s="63" t="inlineStr">
        <is>
          <t>116,00</t>
        </is>
      </c>
      <c r="V1189" s="63" t="inlineStr">
        <is>
          <t>0,00</t>
        </is>
      </c>
    </row>
    <row r="1190">
      <c r="A1190" s="65" t="inlineStr">
        <is>
          <t>S00212</t>
        </is>
      </c>
      <c r="B1190" s="62" t="n">
        <v>46125.70730324074</v>
      </c>
      <c r="C1190" s="65" t="inlineStr">
        <is>
          <t>Inversiones DSM 2706, c.a.</t>
        </is>
      </c>
      <c r="D1190" s="65" t="inlineStr">
        <is>
          <t>VILLABONA CORREA ALBA ESTEFANIA</t>
        </is>
      </c>
      <c r="E1190" s="65" t="n"/>
      <c r="F1190" s="65" t="n">
        <v>4</v>
      </c>
      <c r="G1190" s="65" t="inlineStr">
        <is>
          <t>Precio Full Abril</t>
        </is>
      </c>
      <c r="H1190" s="65" t="inlineStr">
        <is>
          <t>[0779] SINOCO SAE 20W-50 (1x12)</t>
        </is>
      </c>
      <c r="I1190" s="65" t="n">
        <v>779</v>
      </c>
      <c r="J1190" s="63" t="inlineStr">
        <is>
          <t>1,00</t>
        </is>
      </c>
      <c r="K1190" s="63" t="inlineStr">
        <is>
          <t>70,29</t>
        </is>
      </c>
      <c r="L1190" s="63" t="inlineStr">
        <is>
          <t>0,41</t>
        </is>
      </c>
      <c r="M1190" s="63" t="inlineStr">
        <is>
          <t>70,00</t>
        </is>
      </c>
      <c r="N1190" s="63" t="inlineStr">
        <is>
          <t>81,20</t>
        </is>
      </c>
      <c r="O1190" s="63" t="inlineStr">
        <is>
          <t>320,00</t>
        </is>
      </c>
      <c r="P1190" s="63" t="inlineStr">
        <is>
          <t>371,20</t>
        </is>
      </c>
      <c r="Q1190" s="63" t="inlineStr">
        <is>
          <t>709,69</t>
        </is>
      </c>
      <c r="R1190" s="66" t="n">
        <v>46214</v>
      </c>
      <c r="S1190" s="65" t="n">
        <v>285</v>
      </c>
      <c r="T1190" s="65" t="inlineStr">
        <is>
          <t>00-00000823</t>
        </is>
      </c>
      <c r="U1190" s="63" t="inlineStr">
        <is>
          <t>371,20</t>
        </is>
      </c>
      <c r="V1190" s="63" t="inlineStr">
        <is>
          <t>321,22</t>
        </is>
      </c>
    </row>
    <row r="1191">
      <c r="A1191" s="65" t="n"/>
      <c r="B1191" s="65" t="n"/>
      <c r="C1191" s="65" t="n"/>
      <c r="D1191" s="65" t="n"/>
      <c r="E1191" s="65" t="n"/>
      <c r="F1191" s="65" t="n"/>
      <c r="G1191" s="65" t="n"/>
      <c r="H1191" s="65" t="n"/>
      <c r="I1191" s="65" t="n"/>
      <c r="J1191" s="63" t="inlineStr">
        <is>
          <t>0,00</t>
        </is>
      </c>
      <c r="K1191" s="63" t="inlineStr">
        <is>
          <t>0,00</t>
        </is>
      </c>
      <c r="L1191" s="63" t="inlineStr">
        <is>
          <t>0,00</t>
        </is>
      </c>
      <c r="M1191" s="63" t="inlineStr">
        <is>
          <t>0,00</t>
        </is>
      </c>
      <c r="N1191" s="63" t="inlineStr">
        <is>
          <t>0,00</t>
        </is>
      </c>
      <c r="O1191" s="65" t="n"/>
      <c r="P1191" s="65" t="n"/>
      <c r="Q1191" s="65" t="n"/>
      <c r="R1191" s="65" t="n"/>
      <c r="S1191" s="65" t="n"/>
      <c r="T1191" s="65" t="n"/>
      <c r="U1191" s="65" t="n"/>
      <c r="V1191" s="65" t="n"/>
    </row>
    <row r="1192">
      <c r="A1192" s="65" t="n"/>
      <c r="B1192" s="65" t="n"/>
      <c r="C1192" s="65" t="n"/>
      <c r="D1192" s="65" t="n"/>
      <c r="E1192" s="65" t="n"/>
      <c r="F1192" s="65" t="n"/>
      <c r="G1192" s="65" t="n"/>
      <c r="H1192" s="65" t="inlineStr">
        <is>
          <t>[0877] SS EXTRA PROTECCION API SN SAE 15W-40 (1X12)</t>
        </is>
      </c>
      <c r="I1192" s="65" t="n">
        <v>877</v>
      </c>
      <c r="J1192" s="63" t="inlineStr">
        <is>
          <t>1,00</t>
        </is>
      </c>
      <c r="K1192" s="63" t="inlineStr">
        <is>
          <t>100,80</t>
        </is>
      </c>
      <c r="L1192" s="63" t="inlineStr">
        <is>
          <t>0,79</t>
        </is>
      </c>
      <c r="M1192" s="63" t="inlineStr">
        <is>
          <t>100,00</t>
        </is>
      </c>
      <c r="N1192" s="63" t="inlineStr">
        <is>
          <t>116,00</t>
        </is>
      </c>
      <c r="O1192" s="65" t="n"/>
      <c r="P1192" s="65" t="n"/>
      <c r="Q1192" s="65" t="n"/>
      <c r="R1192" s="65" t="n"/>
      <c r="S1192" s="65" t="n"/>
      <c r="T1192" s="65" t="n"/>
      <c r="U1192" s="65" t="n"/>
      <c r="V1192" s="65" t="n"/>
    </row>
    <row r="1193">
      <c r="A1193" s="65" t="n"/>
      <c r="B1193" s="65" t="n"/>
      <c r="C1193" s="65" t="n"/>
      <c r="D1193" s="65" t="n"/>
      <c r="E1193" s="65" t="n"/>
      <c r="F1193" s="65" t="n"/>
      <c r="G1193" s="65" t="n"/>
      <c r="H1193" s="65" t="inlineStr">
        <is>
          <t>[0878] SS EXTRA PROTECCION API SN SAE 20W-50 (1x12)</t>
        </is>
      </c>
      <c r="I1193" s="65" t="n">
        <v>878</v>
      </c>
      <c r="J1193" s="63" t="inlineStr">
        <is>
          <t>1,00</t>
        </is>
      </c>
      <c r="K1193" s="63" t="inlineStr">
        <is>
          <t>100,80</t>
        </is>
      </c>
      <c r="L1193" s="63" t="inlineStr">
        <is>
          <t>0,79</t>
        </is>
      </c>
      <c r="M1193" s="63" t="inlineStr">
        <is>
          <t>100,00</t>
        </is>
      </c>
      <c r="N1193" s="63" t="inlineStr">
        <is>
          <t>116,00</t>
        </is>
      </c>
      <c r="O1193" s="65" t="n"/>
      <c r="P1193" s="65" t="n"/>
      <c r="Q1193" s="65" t="n"/>
      <c r="R1193" s="65" t="n"/>
      <c r="S1193" s="65" t="n"/>
      <c r="T1193" s="65" t="n"/>
      <c r="U1193" s="65" t="n"/>
      <c r="V1193" s="65" t="n"/>
    </row>
    <row r="1194">
      <c r="A1194" s="65" t="n"/>
      <c r="B1194" s="65" t="n"/>
      <c r="C1194" s="65" t="n"/>
      <c r="D1194" s="65" t="n"/>
      <c r="E1194" s="65" t="n"/>
      <c r="F1194" s="65" t="n"/>
      <c r="G1194" s="65" t="n"/>
      <c r="H1194" s="65" t="inlineStr">
        <is>
          <t>[0025] SS EXTRA PROTECCION API SN SAE 10W-30 (Gasolina) (1x6)</t>
        </is>
      </c>
      <c r="I1194" s="65" t="n">
        <v>25</v>
      </c>
      <c r="J1194" s="63" t="inlineStr">
        <is>
          <t>1,00</t>
        </is>
      </c>
      <c r="K1194" s="63" t="inlineStr">
        <is>
          <t>50,40</t>
        </is>
      </c>
      <c r="L1194" s="63" t="inlineStr">
        <is>
          <t>0,79</t>
        </is>
      </c>
      <c r="M1194" s="63" t="inlineStr">
        <is>
          <t>50,00</t>
        </is>
      </c>
      <c r="N1194" s="63" t="inlineStr">
        <is>
          <t>58,00</t>
        </is>
      </c>
      <c r="O1194" s="65" t="n"/>
      <c r="P1194" s="65" t="n"/>
      <c r="Q1194" s="65" t="n"/>
      <c r="R1194" s="65" t="n"/>
      <c r="S1194" s="65" t="n"/>
      <c r="T1194" s="65" t="n"/>
      <c r="U1194" s="65" t="n"/>
      <c r="V1194" s="65" t="n"/>
    </row>
    <row r="1195">
      <c r="A1195" s="65" t="inlineStr">
        <is>
          <t>S00211</t>
        </is>
      </c>
      <c r="B1195" s="62" t="n">
        <v>46125.70721064815</v>
      </c>
      <c r="C1195" s="65" t="inlineStr">
        <is>
          <t>ZIP MARKET, CA</t>
        </is>
      </c>
      <c r="D1195" s="65" t="inlineStr">
        <is>
          <t>QUEVEDO BASTIDAS NEYKEL DAVID</t>
        </is>
      </c>
      <c r="E1195" s="65" t="n"/>
      <c r="F1195" s="65" t="n">
        <v>4</v>
      </c>
      <c r="G1195" s="65" t="inlineStr">
        <is>
          <t>Precio Full Abril</t>
        </is>
      </c>
      <c r="H1195" s="65" t="inlineStr">
        <is>
          <t>[0880] CLASICO API SL SAE 15W-40 (1x12)</t>
        </is>
      </c>
      <c r="I1195" s="65" t="n">
        <v>880</v>
      </c>
      <c r="J1195" s="63" t="inlineStr">
        <is>
          <t>1,00</t>
        </is>
      </c>
      <c r="K1195" s="63" t="inlineStr">
        <is>
          <t>86,21</t>
        </is>
      </c>
      <c r="L1195" s="63" t="inlineStr">
        <is>
          <t>1,40</t>
        </is>
      </c>
      <c r="M1195" s="63" t="inlineStr">
        <is>
          <t>85,00</t>
        </is>
      </c>
      <c r="N1195" s="63" t="inlineStr">
        <is>
          <t>98,60</t>
        </is>
      </c>
      <c r="O1195" s="63" t="inlineStr">
        <is>
          <t>85,00</t>
        </is>
      </c>
      <c r="P1195" s="63" t="inlineStr">
        <is>
          <t>98,60</t>
        </is>
      </c>
      <c r="Q1195" s="63" t="inlineStr">
        <is>
          <t>709,69</t>
        </is>
      </c>
      <c r="R1195" s="66" t="n">
        <v>46214</v>
      </c>
      <c r="S1195" s="65" t="n">
        <v>284</v>
      </c>
      <c r="T1195" s="65" t="inlineStr">
        <is>
          <t>00-00000822</t>
        </is>
      </c>
      <c r="U1195" s="63" t="inlineStr">
        <is>
          <t>98,60</t>
        </is>
      </c>
      <c r="V1195" s="63" t="inlineStr">
        <is>
          <t>0,00</t>
        </is>
      </c>
    </row>
    <row r="1196">
      <c r="A1196" s="65" t="inlineStr">
        <is>
          <t>S00208</t>
        </is>
      </c>
      <c r="B1196" s="62" t="n">
        <v>46125.66244212963</v>
      </c>
      <c r="C1196" s="65" t="inlineStr">
        <is>
          <t>GARAJE Y TALLERES FRIDELBA, C.A</t>
        </is>
      </c>
      <c r="D1196" s="65" t="inlineStr">
        <is>
          <t>TORO ARDILES DAVID JOSE</t>
        </is>
      </c>
      <c r="E1196" s="65" t="n"/>
      <c r="F1196" s="65" t="n">
        <v>4</v>
      </c>
      <c r="G1196" s="65" t="inlineStr">
        <is>
          <t>Precio Full Abril</t>
        </is>
      </c>
      <c r="H1196" s="65" t="inlineStr">
        <is>
          <t>[0877] SS EXTRA PROTECCION API SN SAE 15W-40 (1X12)</t>
        </is>
      </c>
      <c r="I1196" s="65" t="n">
        <v>877</v>
      </c>
      <c r="J1196" s="63" t="inlineStr">
        <is>
          <t>1,00</t>
        </is>
      </c>
      <c r="K1196" s="63" t="inlineStr">
        <is>
          <t>99,85</t>
        </is>
      </c>
      <c r="L1196" s="63" t="inlineStr">
        <is>
          <t>0,00</t>
        </is>
      </c>
      <c r="M1196" s="63" t="inlineStr">
        <is>
          <t>99,85</t>
        </is>
      </c>
      <c r="N1196" s="63" t="inlineStr">
        <is>
          <t>115,83</t>
        </is>
      </c>
      <c r="O1196" s="63" t="inlineStr">
        <is>
          <t>195,71</t>
        </is>
      </c>
      <c r="P1196" s="63" t="inlineStr">
        <is>
          <t>227,03</t>
        </is>
      </c>
      <c r="Q1196" s="63" t="inlineStr">
        <is>
          <t>478,58</t>
        </is>
      </c>
      <c r="R1196" s="66" t="n">
        <v>46155</v>
      </c>
      <c r="S1196" s="65" t="n">
        <v>47</v>
      </c>
      <c r="T1196" s="65" t="inlineStr">
        <is>
          <t>00-00000323</t>
        </is>
      </c>
      <c r="U1196" s="63" t="inlineStr">
        <is>
          <t>146,99</t>
        </is>
      </c>
      <c r="V1196" s="63" t="inlineStr">
        <is>
          <t>0,00</t>
        </is>
      </c>
    </row>
    <row r="1197">
      <c r="A1197" s="65" t="n"/>
      <c r="B1197" s="65" t="n"/>
      <c r="C1197" s="65" t="n"/>
      <c r="D1197" s="65" t="n"/>
      <c r="E1197" s="65" t="n"/>
      <c r="F1197" s="65" t="n"/>
      <c r="G1197" s="65" t="n"/>
      <c r="H1197" s="65" t="inlineStr">
        <is>
          <t>[0884] TRANSMATIC ATF DEXRON III (1x12)</t>
        </is>
      </c>
      <c r="I1197" s="65" t="n">
        <v>884</v>
      </c>
      <c r="J1197" s="63" t="inlineStr">
        <is>
          <t>1,00</t>
        </is>
      </c>
      <c r="K1197" s="63" t="inlineStr">
        <is>
          <t>95,86</t>
        </is>
      </c>
      <c r="L1197" s="63" t="inlineStr">
        <is>
          <t>0,00</t>
        </is>
      </c>
      <c r="M1197" s="63" t="inlineStr">
        <is>
          <t>95,86</t>
        </is>
      </c>
      <c r="N1197" s="63" t="inlineStr">
        <is>
          <t>111,20</t>
        </is>
      </c>
      <c r="O1197" s="65" t="n"/>
      <c r="P1197" s="65" t="n"/>
      <c r="Q1197" s="65" t="n"/>
      <c r="R1197" s="65" t="n"/>
      <c r="S1197" s="65" t="n"/>
      <c r="T1197" s="65" t="n"/>
      <c r="U1197" s="65" t="n"/>
      <c r="V1197" s="65" t="n"/>
    </row>
    <row r="1198">
      <c r="A1198" s="65" t="inlineStr">
        <is>
          <t>S00204</t>
        </is>
      </c>
      <c r="B1198" s="62" t="n">
        <v>46125.37078703703</v>
      </c>
      <c r="C1198" s="65" t="inlineStr">
        <is>
          <t>Motolavado Yahir</t>
        </is>
      </c>
      <c r="D1198" s="65" t="inlineStr">
        <is>
          <t>GRIMAN DIAZ HECTOR EDUARDO</t>
        </is>
      </c>
      <c r="E1198" s="65" t="n"/>
      <c r="F1198" s="65" t="n">
        <v>4</v>
      </c>
      <c r="G1198" s="65" t="inlineStr">
        <is>
          <t>Precio Full Abril</t>
        </is>
      </c>
      <c r="H1198" s="65" t="inlineStr">
        <is>
          <t>[0602] SINOCO SAE 50 (PAILA)</t>
        </is>
      </c>
      <c r="I1198" s="65" t="n">
        <v>602</v>
      </c>
      <c r="J1198" s="63" t="inlineStr">
        <is>
          <t>2,00</t>
        </is>
      </c>
      <c r="K1198" s="63" t="inlineStr">
        <is>
          <t>93,00</t>
        </is>
      </c>
      <c r="L1198" s="63" t="inlineStr">
        <is>
          <t>0,00</t>
        </is>
      </c>
      <c r="M1198" s="63" t="inlineStr">
        <is>
          <t>186,00</t>
        </is>
      </c>
      <c r="N1198" s="63" t="inlineStr">
        <is>
          <t>215,76</t>
        </is>
      </c>
      <c r="O1198" s="63" t="inlineStr">
        <is>
          <t>622,00</t>
        </is>
      </c>
      <c r="P1198" s="63" t="inlineStr">
        <is>
          <t>721,52</t>
        </is>
      </c>
      <c r="Q1198" s="63" t="inlineStr">
        <is>
          <t>478,58</t>
        </is>
      </c>
      <c r="R1198" s="66" t="n">
        <v>46183</v>
      </c>
      <c r="S1198" s="65" t="n">
        <v>132</v>
      </c>
      <c r="T1198" s="65" t="inlineStr">
        <is>
          <t>00-00000551</t>
        </is>
      </c>
      <c r="U1198" s="63" t="inlineStr">
        <is>
          <t>459,97</t>
        </is>
      </c>
      <c r="V1198" s="63" t="inlineStr">
        <is>
          <t>0,01</t>
        </is>
      </c>
    </row>
    <row r="1199">
      <c r="A1199" s="65" t="n"/>
      <c r="B1199" s="65" t="n"/>
      <c r="C1199" s="65" t="n"/>
      <c r="D1199" s="65" t="n"/>
      <c r="E1199" s="65" t="n"/>
      <c r="F1199" s="65" t="n"/>
      <c r="G1199" s="65" t="n"/>
      <c r="H1199" s="65" t="inlineStr">
        <is>
          <t>[0605] SINOCO SAE 20W-50 (PAILA)</t>
        </is>
      </c>
      <c r="I1199" s="65" t="n">
        <v>605</v>
      </c>
      <c r="J1199" s="63" t="inlineStr">
        <is>
          <t>2,00</t>
        </is>
      </c>
      <c r="K1199" s="63" t="inlineStr">
        <is>
          <t>97,00</t>
        </is>
      </c>
      <c r="L1199" s="63" t="inlineStr">
        <is>
          <t>0,00</t>
        </is>
      </c>
      <c r="M1199" s="63" t="inlineStr">
        <is>
          <t>194,00</t>
        </is>
      </c>
      <c r="N1199" s="63" t="inlineStr">
        <is>
          <t>225,04</t>
        </is>
      </c>
      <c r="O1199" s="65" t="n"/>
      <c r="P1199" s="65" t="n"/>
      <c r="Q1199" s="65" t="n"/>
      <c r="R1199" s="65" t="n"/>
      <c r="S1199" s="65" t="n"/>
      <c r="T1199" s="65" t="n"/>
      <c r="U1199" s="65" t="n"/>
      <c r="V1199" s="65" t="n"/>
    </row>
    <row r="1200">
      <c r="A1200" s="65" t="n"/>
      <c r="B1200" s="65" t="n"/>
      <c r="C1200" s="65" t="n"/>
      <c r="D1200" s="65" t="n"/>
      <c r="E1200" s="65" t="n"/>
      <c r="F1200" s="65" t="n"/>
      <c r="G1200" s="65" t="n"/>
      <c r="H1200" s="65" t="inlineStr">
        <is>
          <t>[0884] TRANSMATIC ATF DEXRON III (1x12)</t>
        </is>
      </c>
      <c r="I1200" s="65" t="n">
        <v>884</v>
      </c>
      <c r="J1200" s="63" t="inlineStr">
        <is>
          <t>1,00</t>
        </is>
      </c>
      <c r="K1200" s="63" t="inlineStr">
        <is>
          <t>96,00</t>
        </is>
      </c>
      <c r="L1200" s="63" t="inlineStr">
        <is>
          <t>0,00</t>
        </is>
      </c>
      <c r="M1200" s="63" t="inlineStr">
        <is>
          <t>96,00</t>
        </is>
      </c>
      <c r="N1200" s="63" t="inlineStr">
        <is>
          <t>111,36</t>
        </is>
      </c>
      <c r="O1200" s="65" t="n"/>
      <c r="P1200" s="65" t="n"/>
      <c r="Q1200" s="65" t="n"/>
      <c r="R1200" s="65" t="n"/>
      <c r="S1200" s="65" t="n"/>
      <c r="T1200" s="65" t="n"/>
      <c r="U1200" s="65" t="n"/>
      <c r="V1200" s="65" t="n"/>
    </row>
    <row r="1201">
      <c r="A1201" s="65" t="n"/>
      <c r="B1201" s="65" t="n"/>
      <c r="C1201" s="65" t="n"/>
      <c r="D1201" s="65" t="n"/>
      <c r="E1201" s="65" t="n"/>
      <c r="F1201" s="65" t="n"/>
      <c r="G1201" s="65" t="n"/>
      <c r="H1201" s="65" t="inlineStr">
        <is>
          <t>[0877] SS EXTRA PROTECCION API SN SAE 15W-40 (1X12)</t>
        </is>
      </c>
      <c r="I1201" s="65" t="n">
        <v>877</v>
      </c>
      <c r="J1201" s="63" t="inlineStr">
        <is>
          <t>1,00</t>
        </is>
      </c>
      <c r="K1201" s="63" t="inlineStr">
        <is>
          <t>100,00</t>
        </is>
      </c>
      <c r="L1201" s="63" t="inlineStr">
        <is>
          <t>0,00</t>
        </is>
      </c>
      <c r="M1201" s="63" t="inlineStr">
        <is>
          <t>100,00</t>
        </is>
      </c>
      <c r="N1201" s="63" t="inlineStr">
        <is>
          <t>116,00</t>
        </is>
      </c>
      <c r="O1201" s="65" t="n"/>
      <c r="P1201" s="65" t="n"/>
      <c r="Q1201" s="65" t="n"/>
      <c r="R1201" s="65" t="n"/>
      <c r="S1201" s="65" t="n"/>
      <c r="T1201" s="65" t="n"/>
      <c r="U1201" s="65" t="n"/>
      <c r="V1201" s="65" t="n"/>
    </row>
    <row r="1202">
      <c r="A1202" s="65" t="n"/>
      <c r="B1202" s="65" t="n"/>
      <c r="C1202" s="65" t="n"/>
      <c r="D1202" s="65" t="n"/>
      <c r="E1202" s="65" t="n"/>
      <c r="F1202" s="65" t="n"/>
      <c r="G1202" s="65" t="n"/>
      <c r="H1202" s="65" t="inlineStr">
        <is>
          <t>[0093] ALTA CILINDRADA SS API SN SAE 15W-40 (1x6)</t>
        </is>
      </c>
      <c r="I1202" s="65" t="n">
        <v>93</v>
      </c>
      <c r="J1202" s="63" t="inlineStr">
        <is>
          <t>1,00</t>
        </is>
      </c>
      <c r="K1202" s="63" t="inlineStr">
        <is>
          <t>46,00</t>
        </is>
      </c>
      <c r="L1202" s="63" t="inlineStr">
        <is>
          <t>0,00</t>
        </is>
      </c>
      <c r="M1202" s="63" t="inlineStr">
        <is>
          <t>46,00</t>
        </is>
      </c>
      <c r="N1202" s="63" t="inlineStr">
        <is>
          <t>53,36</t>
        </is>
      </c>
      <c r="O1202" s="65" t="n"/>
      <c r="P1202" s="65" t="n"/>
      <c r="Q1202" s="65" t="n"/>
      <c r="R1202" s="65" t="n"/>
      <c r="S1202" s="65" t="n"/>
      <c r="T1202" s="65" t="n"/>
      <c r="U1202" s="65" t="n"/>
      <c r="V1202" s="65" t="n"/>
    </row>
    <row r="1203">
      <c r="A1203" s="65" t="inlineStr">
        <is>
          <t>S00205</t>
        </is>
      </c>
      <c r="B1203" s="62" t="n">
        <v>46125.37059027778</v>
      </c>
      <c r="C1203" s="65" t="inlineStr">
        <is>
          <t>Inversiones Marfran 2025, C. A.</t>
        </is>
      </c>
      <c r="D1203" s="65" t="inlineStr">
        <is>
          <t>BETANCOURT ROBRIGUEZ LUIS ENRRIQUE</t>
        </is>
      </c>
      <c r="E1203" s="65" t="inlineStr">
        <is>
          <t>Pago inmediato</t>
        </is>
      </c>
      <c r="F1203" s="65" t="n">
        <v>4</v>
      </c>
      <c r="G1203" s="65" t="inlineStr">
        <is>
          <t>Precio Full Abril</t>
        </is>
      </c>
      <c r="H1203" s="65" t="inlineStr">
        <is>
          <t>[0887] MOTOCLASICO 4T SAE 20W-50 (1x12)</t>
        </is>
      </c>
      <c r="I1203" s="65" t="n">
        <v>887</v>
      </c>
      <c r="J1203" s="63" t="inlineStr">
        <is>
          <t>3,00</t>
        </is>
      </c>
      <c r="K1203" s="63" t="inlineStr">
        <is>
          <t>90,00</t>
        </is>
      </c>
      <c r="L1203" s="63" t="inlineStr">
        <is>
          <t>0,00</t>
        </is>
      </c>
      <c r="M1203" s="63" t="inlineStr">
        <is>
          <t>270,00</t>
        </is>
      </c>
      <c r="N1203" s="63" t="inlineStr">
        <is>
          <t>313,20</t>
        </is>
      </c>
      <c r="O1203" s="63" t="inlineStr">
        <is>
          <t>370,00</t>
        </is>
      </c>
      <c r="P1203" s="63" t="inlineStr">
        <is>
          <t>429,20</t>
        </is>
      </c>
      <c r="Q1203" s="63" t="inlineStr">
        <is>
          <t>478,58</t>
        </is>
      </c>
      <c r="R1203" s="66" t="n">
        <v>46182</v>
      </c>
      <c r="S1203" s="65" t="n">
        <v>131</v>
      </c>
      <c r="T1203" s="65" t="inlineStr">
        <is>
          <t>00-00000544</t>
        </is>
      </c>
      <c r="U1203" s="63" t="inlineStr">
        <is>
          <t>277,97</t>
        </is>
      </c>
      <c r="V1203" s="63" t="inlineStr">
        <is>
          <t>0,00</t>
        </is>
      </c>
    </row>
    <row r="1204">
      <c r="A1204" s="65" t="n"/>
      <c r="B1204" s="65" t="n"/>
      <c r="C1204" s="65" t="n"/>
      <c r="D1204" s="65" t="n"/>
      <c r="E1204" s="65" t="n"/>
      <c r="F1204" s="65" t="n"/>
      <c r="G1204" s="65" t="n"/>
      <c r="H1204" s="65" t="n"/>
      <c r="I1204" s="65" t="n"/>
      <c r="J1204" s="63" t="inlineStr">
        <is>
          <t>0,00</t>
        </is>
      </c>
      <c r="K1204" s="63" t="inlineStr">
        <is>
          <t>0,00</t>
        </is>
      </c>
      <c r="L1204" s="63" t="inlineStr">
        <is>
          <t>0,00</t>
        </is>
      </c>
      <c r="M1204" s="63" t="inlineStr">
        <is>
          <t>0,00</t>
        </is>
      </c>
      <c r="N1204" s="63" t="inlineStr">
        <is>
          <t>0,00</t>
        </is>
      </c>
      <c r="O1204" s="65" t="n"/>
      <c r="P1204" s="65" t="n"/>
      <c r="Q1204" s="65" t="n"/>
      <c r="R1204" s="65" t="n"/>
      <c r="S1204" s="65" t="n"/>
      <c r="T1204" s="65" t="n"/>
      <c r="U1204" s="65" t="n"/>
      <c r="V1204" s="65" t="n"/>
    </row>
    <row r="1205">
      <c r="A1205" s="65" t="n"/>
      <c r="B1205" s="65" t="n"/>
      <c r="C1205" s="65" t="n"/>
      <c r="D1205" s="65" t="n"/>
      <c r="E1205" s="65" t="n"/>
      <c r="F1205" s="65" t="n"/>
      <c r="G1205" s="65" t="n"/>
      <c r="H1205" s="65" t="inlineStr">
        <is>
          <t>[0877] SS EXTRA PROTECCION API SN SAE 15W-40 (1X12)</t>
        </is>
      </c>
      <c r="I1205" s="65" t="n">
        <v>877</v>
      </c>
      <c r="J1205" s="63" t="inlineStr">
        <is>
          <t>1,00</t>
        </is>
      </c>
      <c r="K1205" s="63" t="inlineStr">
        <is>
          <t>100,00</t>
        </is>
      </c>
      <c r="L1205" s="63" t="inlineStr">
        <is>
          <t>0,00</t>
        </is>
      </c>
      <c r="M1205" s="63" t="inlineStr">
        <is>
          <t>100,00</t>
        </is>
      </c>
      <c r="N1205" s="63" t="inlineStr">
        <is>
          <t>116,00</t>
        </is>
      </c>
      <c r="O1205" s="65" t="n"/>
      <c r="P1205" s="65" t="n"/>
      <c r="Q1205" s="65" t="n"/>
      <c r="R1205" s="65" t="n"/>
      <c r="S1205" s="65" t="n"/>
      <c r="T1205" s="65" t="n"/>
      <c r="U1205" s="65" t="n"/>
      <c r="V1205" s="65" t="n"/>
    </row>
    <row r="1206">
      <c r="A1206" s="65" t="inlineStr">
        <is>
          <t>S00206</t>
        </is>
      </c>
      <c r="B1206" s="62" t="n">
        <v>46123.40670138889</v>
      </c>
      <c r="C1206" s="65" t="inlineStr">
        <is>
          <t>Paola M. Aguilera Z.</t>
        </is>
      </c>
      <c r="D1206" s="65" t="inlineStr">
        <is>
          <t>CASERES GONZALEZ RONALD OSWALDO</t>
        </is>
      </c>
      <c r="E1206" s="65" t="inlineStr">
        <is>
          <t>Pago inmediato</t>
        </is>
      </c>
      <c r="F1206" s="65" t="n">
        <v>4</v>
      </c>
      <c r="G1206" s="65" t="inlineStr">
        <is>
          <t>Precio Full Abril</t>
        </is>
      </c>
      <c r="H1206" s="65" t="inlineStr">
        <is>
          <t>[0536] MAXIMO API CF SAE 20W-50 (PAILA)</t>
        </is>
      </c>
      <c r="I1206" s="65" t="n">
        <v>536</v>
      </c>
      <c r="J1206" s="63" t="inlineStr">
        <is>
          <t>2,00</t>
        </is>
      </c>
      <c r="K1206" s="63" t="inlineStr">
        <is>
          <t>156,00</t>
        </is>
      </c>
      <c r="L1206" s="63" t="inlineStr">
        <is>
          <t>0,00</t>
        </is>
      </c>
      <c r="M1206" s="63" t="inlineStr">
        <is>
          <t>312,00</t>
        </is>
      </c>
      <c r="N1206" s="63" t="inlineStr">
        <is>
          <t>361,92</t>
        </is>
      </c>
      <c r="O1206" s="63" t="inlineStr">
        <is>
          <t>312,00</t>
        </is>
      </c>
      <c r="P1206" s="63" t="inlineStr">
        <is>
          <t>361,92</t>
        </is>
      </c>
      <c r="Q1206" s="63" t="inlineStr">
        <is>
          <t>496,83</t>
        </is>
      </c>
      <c r="R1206" s="66" t="n">
        <v>46157</v>
      </c>
      <c r="S1206" s="65" t="n">
        <v>60</v>
      </c>
      <c r="T1206" s="65" t="inlineStr">
        <is>
          <t>00-00000360</t>
        </is>
      </c>
      <c r="U1206" s="63" t="inlineStr">
        <is>
          <t>197,00</t>
        </is>
      </c>
      <c r="V1206" s="63" t="inlineStr">
        <is>
          <t>0,00</t>
        </is>
      </c>
    </row>
    <row r="1207">
      <c r="A1207" s="65" t="inlineStr">
        <is>
          <t>S00202</t>
        </is>
      </c>
      <c r="B1207" s="62" t="n">
        <v>46122.65678240741</v>
      </c>
      <c r="C1207" s="65" t="inlineStr">
        <is>
          <t>Motorepuestos HD 94, C.A</t>
        </is>
      </c>
      <c r="D1207" s="65" t="inlineStr">
        <is>
          <t>MARTINEZ MONTES JEFFREY ENRIQUE</t>
        </is>
      </c>
      <c r="E1207" s="65" t="n"/>
      <c r="F1207" s="65" t="n">
        <v>4</v>
      </c>
      <c r="G1207" s="65" t="inlineStr">
        <is>
          <t>Precio Full Abril</t>
        </is>
      </c>
      <c r="H1207" s="65" t="inlineStr">
        <is>
          <t>[0886] TRANSMATIC DEXRON VI (1x12)</t>
        </is>
      </c>
      <c r="I1207" s="65" t="n">
        <v>886</v>
      </c>
      <c r="J1207" s="63" t="inlineStr">
        <is>
          <t>1,00</t>
        </is>
      </c>
      <c r="K1207" s="63" t="inlineStr">
        <is>
          <t>157,76</t>
        </is>
      </c>
      <c r="L1207" s="63" t="inlineStr">
        <is>
          <t>0,00</t>
        </is>
      </c>
      <c r="M1207" s="63" t="inlineStr">
        <is>
          <t>157,76</t>
        </is>
      </c>
      <c r="N1207" s="63" t="inlineStr">
        <is>
          <t>183,00</t>
        </is>
      </c>
      <c r="O1207" s="63" t="inlineStr">
        <is>
          <t>157,76</t>
        </is>
      </c>
      <c r="P1207" s="63" t="inlineStr">
        <is>
          <t>183,00</t>
        </is>
      </c>
      <c r="Q1207" s="63" t="inlineStr">
        <is>
          <t>496,83</t>
        </is>
      </c>
      <c r="R1207" s="66" t="n">
        <v>46161</v>
      </c>
      <c r="S1207" s="65" t="n">
        <v>70</v>
      </c>
      <c r="T1207" s="65" t="inlineStr">
        <is>
          <t>00-00000384</t>
        </is>
      </c>
      <c r="U1207" s="63" t="inlineStr">
        <is>
          <t>106,98</t>
        </is>
      </c>
      <c r="V1207" s="63" t="inlineStr">
        <is>
          <t>0,00</t>
        </is>
      </c>
    </row>
    <row r="1208">
      <c r="A1208" s="65" t="inlineStr">
        <is>
          <t>S00199</t>
        </is>
      </c>
      <c r="B1208" s="62" t="n">
        <v>46122.48548611111</v>
      </c>
      <c r="C1208" s="65" t="inlineStr">
        <is>
          <t>PROYECTO MAQUIVEIRO 21 C.A.</t>
        </is>
      </c>
      <c r="D1208" s="65" t="inlineStr">
        <is>
          <t>MARTINEZ MONTES JEFFREY ENRIQUE</t>
        </is>
      </c>
      <c r="E1208" s="65" t="inlineStr">
        <is>
          <t>15 días</t>
        </is>
      </c>
      <c r="F1208" s="65" t="n">
        <v>4</v>
      </c>
      <c r="G1208" s="65" t="inlineStr">
        <is>
          <t>Precio Full Abril</t>
        </is>
      </c>
      <c r="H1208" s="65" t="inlineStr">
        <is>
          <t>[0087] ENDUROGLOB 2T AIRE (1x6)</t>
        </is>
      </c>
      <c r="I1208" s="65" t="n">
        <v>87</v>
      </c>
      <c r="J1208" s="63" t="inlineStr">
        <is>
          <t>10,00</t>
        </is>
      </c>
      <c r="K1208" s="63" t="inlineStr">
        <is>
          <t>50,00</t>
        </is>
      </c>
      <c r="L1208" s="63" t="inlineStr">
        <is>
          <t>0,00</t>
        </is>
      </c>
      <c r="M1208" s="63" t="inlineStr">
        <is>
          <t>500,00</t>
        </is>
      </c>
      <c r="N1208" s="63" t="inlineStr">
        <is>
          <t>580,00</t>
        </is>
      </c>
      <c r="O1208" s="63" t="inlineStr">
        <is>
          <t>500,00</t>
        </is>
      </c>
      <c r="P1208" s="63" t="inlineStr">
        <is>
          <t>580,00</t>
        </is>
      </c>
      <c r="Q1208" s="63" t="inlineStr">
        <is>
          <t>478,58</t>
        </is>
      </c>
      <c r="R1208" s="66" t="n">
        <v>46175</v>
      </c>
      <c r="S1208" s="65" t="n">
        <v>117</v>
      </c>
      <c r="T1208" s="65" t="inlineStr">
        <is>
          <t>00-00000489</t>
        </is>
      </c>
      <c r="U1208" s="63" t="inlineStr">
        <is>
          <t>379,99</t>
        </is>
      </c>
      <c r="V1208" s="63" t="inlineStr">
        <is>
          <t>0,00</t>
        </is>
      </c>
    </row>
    <row r="1209">
      <c r="A1209" s="65" t="inlineStr">
        <is>
          <t>S00198</t>
        </is>
      </c>
      <c r="B1209" s="62" t="n">
        <v>46122.34788194444</v>
      </c>
      <c r="C1209" s="65" t="inlineStr">
        <is>
          <t>Autorepuestos Pitstop,c.a.</t>
        </is>
      </c>
      <c r="D1209" s="65" t="inlineStr">
        <is>
          <t>QUEVEDO BASTIDAS NEYKEL DAVID</t>
        </is>
      </c>
      <c r="E1209" s="65" t="n"/>
      <c r="F1209" s="65" t="n">
        <v>4</v>
      </c>
      <c r="G1209" s="65" t="inlineStr">
        <is>
          <t>Precio Full Abril</t>
        </is>
      </c>
      <c r="H1209" s="65" t="n"/>
      <c r="I1209" s="65" t="n"/>
      <c r="J1209" s="63" t="inlineStr">
        <is>
          <t>0,00</t>
        </is>
      </c>
      <c r="K1209" s="63" t="inlineStr">
        <is>
          <t>0,00</t>
        </is>
      </c>
      <c r="L1209" s="63" t="inlineStr">
        <is>
          <t>0,00</t>
        </is>
      </c>
      <c r="M1209" s="63" t="inlineStr">
        <is>
          <t>0,00</t>
        </is>
      </c>
      <c r="N1209" s="63" t="inlineStr">
        <is>
          <t>0,00</t>
        </is>
      </c>
      <c r="O1209" s="63" t="inlineStr">
        <is>
          <t>272,00</t>
        </is>
      </c>
      <c r="P1209" s="63" t="inlineStr">
        <is>
          <t>315,52</t>
        </is>
      </c>
      <c r="Q1209" s="63" t="inlineStr">
        <is>
          <t>478,58</t>
        </is>
      </c>
      <c r="R1209" s="66" t="n">
        <v>46185</v>
      </c>
      <c r="S1209" s="65" t="n">
        <v>144</v>
      </c>
      <c r="T1209" s="65" t="inlineStr">
        <is>
          <t>00-00000587</t>
        </is>
      </c>
      <c r="U1209" s="63" t="inlineStr">
        <is>
          <t>200,97</t>
        </is>
      </c>
      <c r="V1209" s="63" t="inlineStr">
        <is>
          <t>99,99</t>
        </is>
      </c>
    </row>
    <row r="1210">
      <c r="A1210" s="65" t="n"/>
      <c r="B1210" s="65" t="n"/>
      <c r="C1210" s="65" t="n"/>
      <c r="D1210" s="65" t="n"/>
      <c r="E1210" s="65" t="n"/>
      <c r="F1210" s="65" t="n"/>
      <c r="G1210" s="65" t="n"/>
      <c r="H1210" s="65" t="inlineStr">
        <is>
          <t>[0881] CLASICO API SL SAE 20W-50 (1x12)</t>
        </is>
      </c>
      <c r="I1210" s="65" t="n">
        <v>881</v>
      </c>
      <c r="J1210" s="63" t="inlineStr">
        <is>
          <t>1,00</t>
        </is>
      </c>
      <c r="K1210" s="63" t="inlineStr">
        <is>
          <t>87,00</t>
        </is>
      </c>
      <c r="L1210" s="63" t="inlineStr">
        <is>
          <t>0,00</t>
        </is>
      </c>
      <c r="M1210" s="63" t="inlineStr">
        <is>
          <t>87,00</t>
        </is>
      </c>
      <c r="N1210" s="63" t="inlineStr">
        <is>
          <t>100,92</t>
        </is>
      </c>
      <c r="O1210" s="65" t="n"/>
      <c r="P1210" s="65" t="n"/>
      <c r="Q1210" s="65" t="n"/>
      <c r="R1210" s="65" t="n"/>
      <c r="S1210" s="65" t="n"/>
      <c r="T1210" s="65" t="n"/>
      <c r="U1210" s="65" t="n"/>
      <c r="V1210" s="65" t="n"/>
    </row>
    <row r="1211">
      <c r="A1211" s="65" t="n"/>
      <c r="B1211" s="65" t="n"/>
      <c r="C1211" s="65" t="n"/>
      <c r="D1211" s="65" t="n"/>
      <c r="E1211" s="65" t="n"/>
      <c r="F1211" s="65" t="n"/>
      <c r="G1211" s="65" t="n"/>
      <c r="H1211" s="65" t="inlineStr">
        <is>
          <t>[0877] SS EXTRA PROTECCION API SN SAE 15W-40 (1X12)</t>
        </is>
      </c>
      <c r="I1211" s="65" t="n">
        <v>877</v>
      </c>
      <c r="J1211" s="63" t="inlineStr">
        <is>
          <t>1,00</t>
        </is>
      </c>
      <c r="K1211" s="63" t="inlineStr">
        <is>
          <t>100,00</t>
        </is>
      </c>
      <c r="L1211" s="63" t="inlineStr">
        <is>
          <t>0,00</t>
        </is>
      </c>
      <c r="M1211" s="63" t="inlineStr">
        <is>
          <t>100,00</t>
        </is>
      </c>
      <c r="N1211" s="63" t="inlineStr">
        <is>
          <t>116,00</t>
        </is>
      </c>
      <c r="O1211" s="65" t="n"/>
      <c r="P1211" s="65" t="n"/>
      <c r="Q1211" s="65" t="n"/>
      <c r="R1211" s="65" t="n"/>
      <c r="S1211" s="65" t="n"/>
      <c r="T1211" s="65" t="n"/>
      <c r="U1211" s="65" t="n"/>
      <c r="V1211" s="65" t="n"/>
    </row>
    <row r="1212">
      <c r="A1212" s="65" t="n"/>
      <c r="B1212" s="65" t="n"/>
      <c r="C1212" s="65" t="n"/>
      <c r="D1212" s="65" t="n"/>
      <c r="E1212" s="65" t="n"/>
      <c r="F1212" s="65" t="n"/>
      <c r="G1212" s="65" t="n"/>
      <c r="H1212" s="65" t="inlineStr">
        <is>
          <t>[0880] CLASICO API SL SAE 15W-40 (1x12)</t>
        </is>
      </c>
      <c r="I1212" s="65" t="n">
        <v>880</v>
      </c>
      <c r="J1212" s="63" t="inlineStr">
        <is>
          <t>1,00</t>
        </is>
      </c>
      <c r="K1212" s="63" t="inlineStr">
        <is>
          <t>85,00</t>
        </is>
      </c>
      <c r="L1212" s="63" t="inlineStr">
        <is>
          <t>0,00</t>
        </is>
      </c>
      <c r="M1212" s="63" t="inlineStr">
        <is>
          <t>85,00</t>
        </is>
      </c>
      <c r="N1212" s="63" t="inlineStr">
        <is>
          <t>98,60</t>
        </is>
      </c>
      <c r="O1212" s="65" t="n"/>
      <c r="P1212" s="65" t="n"/>
      <c r="Q1212" s="65" t="n"/>
      <c r="R1212" s="65" t="n"/>
      <c r="S1212" s="65" t="n"/>
      <c r="T1212" s="65" t="n"/>
      <c r="U1212" s="65" t="n"/>
      <c r="V1212" s="65" t="n"/>
    </row>
    <row r="1213">
      <c r="A1213" s="65" t="inlineStr">
        <is>
          <t>S00192</t>
        </is>
      </c>
      <c r="B1213" s="62" t="n">
        <v>46121.78445601852</v>
      </c>
      <c r="C1213" s="65" t="inlineStr">
        <is>
          <t>Global Ferre 888 C.A</t>
        </is>
      </c>
      <c r="D1213" s="65" t="inlineStr">
        <is>
          <t>GRIMAN DIAZ HECTOR EDUARDO</t>
        </is>
      </c>
      <c r="E1213" s="65" t="inlineStr">
        <is>
          <t>15 días</t>
        </is>
      </c>
      <c r="F1213" s="65" t="n">
        <v>4</v>
      </c>
      <c r="G1213" s="65" t="inlineStr">
        <is>
          <t>Precio Full Abril</t>
        </is>
      </c>
      <c r="H1213" s="65" t="inlineStr">
        <is>
          <t>[0605] SINOCO SAE 20W-50 (PAILA)</t>
        </is>
      </c>
      <c r="I1213" s="65" t="n">
        <v>605</v>
      </c>
      <c r="J1213" s="63" t="inlineStr">
        <is>
          <t>1,00</t>
        </is>
      </c>
      <c r="K1213" s="63" t="inlineStr">
        <is>
          <t>96,81</t>
        </is>
      </c>
      <c r="L1213" s="63" t="inlineStr">
        <is>
          <t>0,00</t>
        </is>
      </c>
      <c r="M1213" s="63" t="inlineStr">
        <is>
          <t>96,81</t>
        </is>
      </c>
      <c r="N1213" s="63" t="inlineStr">
        <is>
          <t>112,30</t>
        </is>
      </c>
      <c r="O1213" s="63" t="inlineStr">
        <is>
          <t>96,81</t>
        </is>
      </c>
      <c r="P1213" s="63" t="inlineStr">
        <is>
          <t>112,30</t>
        </is>
      </c>
      <c r="Q1213" s="63" t="inlineStr">
        <is>
          <t>478,58</t>
        </is>
      </c>
      <c r="R1213" s="66" t="n">
        <v>46185</v>
      </c>
      <c r="S1213" s="65" t="n">
        <v>143</v>
      </c>
      <c r="T1213" s="65" t="inlineStr">
        <is>
          <t>00-00000586</t>
        </is>
      </c>
      <c r="U1213" s="63" t="inlineStr">
        <is>
          <t>69,99</t>
        </is>
      </c>
      <c r="V1213" s="63" t="inlineStr">
        <is>
          <t>0,00</t>
        </is>
      </c>
    </row>
    <row r="1214">
      <c r="A1214" s="65" t="inlineStr">
        <is>
          <t>S00197</t>
        </is>
      </c>
      <c r="B1214" s="62" t="n">
        <v>46121.78425925926</v>
      </c>
      <c r="C1214" s="65" t="inlineStr">
        <is>
          <t>Auto Repuestos Acal C.A</t>
        </is>
      </c>
      <c r="D1214" s="65" t="inlineStr">
        <is>
          <t>QUEVEDO BASTIDAS NEYKEL DAVID</t>
        </is>
      </c>
      <c r="E1214" s="65" t="n"/>
      <c r="F1214" s="65" t="n">
        <v>4</v>
      </c>
      <c r="G1214" s="65" t="inlineStr">
        <is>
          <t>Precio Full Abril</t>
        </is>
      </c>
      <c r="H1214" s="65" t="inlineStr">
        <is>
          <t>[0779] SINOCO SAE 20W-50 (1x12)</t>
        </is>
      </c>
      <c r="I1214" s="65" t="n">
        <v>779</v>
      </c>
      <c r="J1214" s="63" t="inlineStr">
        <is>
          <t>1,00</t>
        </is>
      </c>
      <c r="K1214" s="63" t="inlineStr">
        <is>
          <t>70,69</t>
        </is>
      </c>
      <c r="L1214" s="63" t="inlineStr">
        <is>
          <t>0,00</t>
        </is>
      </c>
      <c r="M1214" s="63" t="inlineStr">
        <is>
          <t>70,69</t>
        </is>
      </c>
      <c r="N1214" s="63" t="inlineStr">
        <is>
          <t>82,00</t>
        </is>
      </c>
      <c r="O1214" s="63" t="inlineStr">
        <is>
          <t>222,42</t>
        </is>
      </c>
      <c r="P1214" s="63" t="inlineStr">
        <is>
          <t>258,01</t>
        </is>
      </c>
      <c r="Q1214" s="63" t="inlineStr">
        <is>
          <t>496,83</t>
        </is>
      </c>
      <c r="R1214" s="66" t="n">
        <v>46162</v>
      </c>
      <c r="S1214" s="65" t="n">
        <v>71</v>
      </c>
      <c r="T1214" s="65" t="inlineStr">
        <is>
          <t>00-00000385</t>
        </is>
      </c>
      <c r="U1214" s="63" t="inlineStr">
        <is>
          <t>166,98</t>
        </is>
      </c>
      <c r="V1214" s="63" t="inlineStr">
        <is>
          <t>0,00</t>
        </is>
      </c>
    </row>
    <row r="1215">
      <c r="A1215" s="65" t="n"/>
      <c r="B1215" s="65" t="n"/>
      <c r="C1215" s="65" t="n"/>
      <c r="D1215" s="65" t="n"/>
      <c r="E1215" s="65" t="n"/>
      <c r="F1215" s="65" t="n"/>
      <c r="G1215" s="65" t="n"/>
      <c r="H1215" s="65" t="inlineStr">
        <is>
          <t>[0121] TRANSGLOB API GL-5 SAE 80W-90 (1x6)</t>
        </is>
      </c>
      <c r="I1215" s="65" t="n">
        <v>121</v>
      </c>
      <c r="J1215" s="63" t="inlineStr">
        <is>
          <t>1,00</t>
        </is>
      </c>
      <c r="K1215" s="63" t="inlineStr">
        <is>
          <t>51,73</t>
        </is>
      </c>
      <c r="L1215" s="63" t="inlineStr">
        <is>
          <t>0,00</t>
        </is>
      </c>
      <c r="M1215" s="63" t="inlineStr">
        <is>
          <t>51,73</t>
        </is>
      </c>
      <c r="N1215" s="63" t="inlineStr">
        <is>
          <t>60,01</t>
        </is>
      </c>
      <c r="O1215" s="65" t="n"/>
      <c r="P1215" s="65" t="n"/>
      <c r="Q1215" s="65" t="n"/>
      <c r="R1215" s="65" t="n"/>
      <c r="S1215" s="65" t="n"/>
      <c r="T1215" s="65" t="n"/>
      <c r="U1215" s="65" t="n"/>
      <c r="V1215" s="65" t="n"/>
    </row>
    <row r="1216">
      <c r="A1216" s="65" t="n"/>
      <c r="B1216" s="65" t="n"/>
      <c r="C1216" s="65" t="n"/>
      <c r="D1216" s="65" t="n"/>
      <c r="E1216" s="65" t="n"/>
      <c r="F1216" s="65" t="n"/>
      <c r="G1216" s="65" t="n"/>
      <c r="H1216" s="65" t="inlineStr">
        <is>
          <t>[0877] SS EXTRA PROTECCION API SN SAE 15W-40 (1X12)</t>
        </is>
      </c>
      <c r="I1216" s="65" t="n">
        <v>877</v>
      </c>
      <c r="J1216" s="63" t="inlineStr">
        <is>
          <t>1,00</t>
        </is>
      </c>
      <c r="K1216" s="63" t="inlineStr">
        <is>
          <t>100,00</t>
        </is>
      </c>
      <c r="L1216" s="63" t="inlineStr">
        <is>
          <t>0,00</t>
        </is>
      </c>
      <c r="M1216" s="63" t="inlineStr">
        <is>
          <t>100,00</t>
        </is>
      </c>
      <c r="N1216" s="63" t="inlineStr">
        <is>
          <t>116,00</t>
        </is>
      </c>
      <c r="O1216" s="65" t="n"/>
      <c r="P1216" s="65" t="n"/>
      <c r="Q1216" s="65" t="n"/>
      <c r="R1216" s="65" t="n"/>
      <c r="S1216" s="65" t="n"/>
      <c r="T1216" s="65" t="n"/>
      <c r="U1216" s="65" t="n"/>
      <c r="V1216" s="65" t="n"/>
    </row>
    <row r="1217">
      <c r="A1217" s="65" t="inlineStr">
        <is>
          <t>S00196</t>
        </is>
      </c>
      <c r="B1217" s="62" t="n">
        <v>46121.75408564815</v>
      </c>
      <c r="C1217" s="65" t="inlineStr">
        <is>
          <t>Comercial los de faria,c.a.</t>
        </is>
      </c>
      <c r="D1217" s="65" t="inlineStr">
        <is>
          <t>QUEVEDO BASTIDAS NEYKEL DAVID</t>
        </is>
      </c>
      <c r="E1217" s="65" t="n"/>
      <c r="F1217" s="65" t="n">
        <v>4</v>
      </c>
      <c r="G1217" s="65" t="inlineStr">
        <is>
          <t>Precio Full Abril</t>
        </is>
      </c>
      <c r="H1217" s="65" t="inlineStr">
        <is>
          <t>[0779] SINOCO SAE 20W-50 (1x12)</t>
        </is>
      </c>
      <c r="I1217" s="65" t="n">
        <v>779</v>
      </c>
      <c r="J1217" s="63" t="inlineStr">
        <is>
          <t>1,00</t>
        </is>
      </c>
      <c r="K1217" s="63" t="inlineStr">
        <is>
          <t>70,00</t>
        </is>
      </c>
      <c r="L1217" s="63" t="inlineStr">
        <is>
          <t>0,00</t>
        </is>
      </c>
      <c r="M1217" s="63" t="inlineStr">
        <is>
          <t>70,00</t>
        </is>
      </c>
      <c r="N1217" s="63" t="inlineStr">
        <is>
          <t>81,20</t>
        </is>
      </c>
      <c r="O1217" s="63" t="inlineStr">
        <is>
          <t>185,00</t>
        </is>
      </c>
      <c r="P1217" s="63" t="inlineStr">
        <is>
          <t>214,60</t>
        </is>
      </c>
      <c r="Q1217" s="63" t="inlineStr">
        <is>
          <t>535,39</t>
        </is>
      </c>
      <c r="R1217" s="66" t="n">
        <v>46168</v>
      </c>
      <c r="S1217" s="65" t="n">
        <v>94</v>
      </c>
      <c r="T1217" s="65" t="inlineStr">
        <is>
          <t>00-00000441</t>
        </is>
      </c>
      <c r="U1217" s="63" t="inlineStr">
        <is>
          <t>214,58</t>
        </is>
      </c>
      <c r="V1217" s="63" t="inlineStr">
        <is>
          <t>0,00</t>
        </is>
      </c>
    </row>
    <row r="1218">
      <c r="A1218" s="65" t="n"/>
      <c r="B1218" s="65" t="n"/>
      <c r="C1218" s="65" t="n"/>
      <c r="D1218" s="65" t="n"/>
      <c r="E1218" s="65" t="n"/>
      <c r="F1218" s="65" t="n"/>
      <c r="G1218" s="65" t="n"/>
      <c r="H1218" s="65" t="inlineStr">
        <is>
          <t>[0915] SINOCO SAE 50 (1x12)</t>
        </is>
      </c>
      <c r="I1218" s="65" t="n">
        <v>915</v>
      </c>
      <c r="J1218" s="63" t="inlineStr">
        <is>
          <t>1,00</t>
        </is>
      </c>
      <c r="K1218" s="63" t="inlineStr">
        <is>
          <t>69,00</t>
        </is>
      </c>
      <c r="L1218" s="63" t="inlineStr">
        <is>
          <t>0,00</t>
        </is>
      </c>
      <c r="M1218" s="63" t="inlineStr">
        <is>
          <t>69,00</t>
        </is>
      </c>
      <c r="N1218" s="63" t="inlineStr">
        <is>
          <t>80,04</t>
        </is>
      </c>
      <c r="O1218" s="65" t="n"/>
      <c r="P1218" s="65" t="n"/>
      <c r="Q1218" s="65" t="n"/>
      <c r="R1218" s="65" t="n"/>
      <c r="S1218" s="65" t="n"/>
      <c r="T1218" s="65" t="n"/>
      <c r="U1218" s="65" t="n"/>
      <c r="V1218" s="65" t="n"/>
    </row>
    <row r="1219">
      <c r="A1219" s="65" t="n"/>
      <c r="B1219" s="65" t="n"/>
      <c r="C1219" s="65" t="n"/>
      <c r="D1219" s="65" t="n"/>
      <c r="E1219" s="65" t="n"/>
      <c r="F1219" s="65" t="n"/>
      <c r="G1219" s="65" t="n"/>
      <c r="H1219" s="65" t="inlineStr">
        <is>
          <t>[0093] ALTA CILINDRADA SS API SN SAE 15W-40 (1x6)</t>
        </is>
      </c>
      <c r="I1219" s="65" t="n">
        <v>93</v>
      </c>
      <c r="J1219" s="63" t="inlineStr">
        <is>
          <t>1,00</t>
        </is>
      </c>
      <c r="K1219" s="63" t="inlineStr">
        <is>
          <t>46,00</t>
        </is>
      </c>
      <c r="L1219" s="63" t="inlineStr">
        <is>
          <t>0,00</t>
        </is>
      </c>
      <c r="M1219" s="63" t="inlineStr">
        <is>
          <t>46,00</t>
        </is>
      </c>
      <c r="N1219" s="63" t="inlineStr">
        <is>
          <t>53,36</t>
        </is>
      </c>
      <c r="O1219" s="65" t="n"/>
      <c r="P1219" s="65" t="n"/>
      <c r="Q1219" s="65" t="n"/>
      <c r="R1219" s="65" t="n"/>
      <c r="S1219" s="65" t="n"/>
      <c r="T1219" s="65" t="n"/>
      <c r="U1219" s="65" t="n"/>
      <c r="V1219" s="65" t="n"/>
    </row>
    <row r="1220">
      <c r="A1220" s="65" t="inlineStr">
        <is>
          <t>S00195</t>
        </is>
      </c>
      <c r="B1220" s="62" t="n">
        <v>46121.69390046296</v>
      </c>
      <c r="C1220" s="65" t="inlineStr">
        <is>
          <t>Paola M. Aguilera Z.</t>
        </is>
      </c>
      <c r="D1220" s="65" t="inlineStr">
        <is>
          <t>CASERES GONZALEZ RONALD OSWALDO</t>
        </is>
      </c>
      <c r="E1220" s="65" t="inlineStr">
        <is>
          <t>7 días</t>
        </is>
      </c>
      <c r="F1220" s="65" t="n">
        <v>4</v>
      </c>
      <c r="G1220" s="65" t="inlineStr">
        <is>
          <t>Precio Full Abril</t>
        </is>
      </c>
      <c r="H1220" s="65" t="inlineStr">
        <is>
          <t>[0144] HIDRAGLOB AW/ISO 68 (PAILA)</t>
        </is>
      </c>
      <c r="I1220" s="65" t="n">
        <v>144</v>
      </c>
      <c r="J1220" s="63" t="inlineStr">
        <is>
          <t>8,00</t>
        </is>
      </c>
      <c r="K1220" s="63" t="inlineStr">
        <is>
          <t>94,00</t>
        </is>
      </c>
      <c r="L1220" s="63" t="inlineStr">
        <is>
          <t>40,20</t>
        </is>
      </c>
      <c r="M1220" s="63" t="inlineStr">
        <is>
          <t>449,70</t>
        </is>
      </c>
      <c r="N1220" s="63" t="inlineStr">
        <is>
          <t>521,65</t>
        </is>
      </c>
      <c r="O1220" s="63" t="inlineStr">
        <is>
          <t>586,87</t>
        </is>
      </c>
      <c r="P1220" s="63" t="inlineStr">
        <is>
          <t>680,77</t>
        </is>
      </c>
      <c r="Q1220" s="63" t="inlineStr">
        <is>
          <t>475,96</t>
        </is>
      </c>
      <c r="R1220" s="66" t="n">
        <v>46121</v>
      </c>
      <c r="S1220" s="65" t="n">
        <v>16</v>
      </c>
      <c r="T1220" s="65" t="inlineStr">
        <is>
          <t>00-00000149</t>
        </is>
      </c>
      <c r="U1220" s="63" t="inlineStr">
        <is>
          <t>680,77</t>
        </is>
      </c>
      <c r="V1220" s="63" t="inlineStr">
        <is>
          <t>0,00</t>
        </is>
      </c>
    </row>
    <row r="1221">
      <c r="A1221" s="65" t="n"/>
      <c r="B1221" s="65" t="n"/>
      <c r="C1221" s="65" t="n"/>
      <c r="D1221" s="65" t="n"/>
      <c r="E1221" s="65" t="n"/>
      <c r="F1221" s="65" t="n"/>
      <c r="G1221" s="65" t="n"/>
      <c r="H1221" s="65" t="inlineStr">
        <is>
          <t>[0083] MAXIMO API CF SAE 50 (PAILA)</t>
        </is>
      </c>
      <c r="I1221" s="65" t="n">
        <v>83</v>
      </c>
      <c r="J1221" s="63" t="inlineStr">
        <is>
          <t>1,00</t>
        </is>
      </c>
      <c r="K1221" s="63" t="inlineStr">
        <is>
          <t>113,00</t>
        </is>
      </c>
      <c r="L1221" s="63" t="inlineStr">
        <is>
          <t>40,10</t>
        </is>
      </c>
      <c r="M1221" s="63" t="inlineStr">
        <is>
          <t>67,69</t>
        </is>
      </c>
      <c r="N1221" s="63" t="inlineStr">
        <is>
          <t>78,52</t>
        </is>
      </c>
      <c r="O1221" s="65" t="n"/>
      <c r="P1221" s="65" t="n"/>
      <c r="Q1221" s="65" t="n"/>
      <c r="R1221" s="65" t="n"/>
      <c r="S1221" s="65" t="n"/>
      <c r="T1221" s="65" t="n"/>
      <c r="U1221" s="65" t="n"/>
      <c r="V1221" s="65" t="n"/>
    </row>
    <row r="1222">
      <c r="A1222" s="65" t="n"/>
      <c r="B1222" s="65" t="n"/>
      <c r="C1222" s="65" t="n"/>
      <c r="D1222" s="65" t="n"/>
      <c r="E1222" s="65" t="n"/>
      <c r="F1222" s="65" t="n"/>
      <c r="G1222" s="65" t="n"/>
      <c r="H1222" s="65" t="inlineStr">
        <is>
          <t>[0883] GRASA GLOBAL AZUL AZ 95 (PAILA)</t>
        </is>
      </c>
      <c r="I1222" s="65" t="n">
        <v>883</v>
      </c>
      <c r="J1222" s="63" t="inlineStr">
        <is>
          <t>1,00</t>
        </is>
      </c>
      <c r="K1222" s="63" t="inlineStr">
        <is>
          <t>116,00</t>
        </is>
      </c>
      <c r="L1222" s="63" t="inlineStr">
        <is>
          <t>40,10</t>
        </is>
      </c>
      <c r="M1222" s="63" t="inlineStr">
        <is>
          <t>69,48</t>
        </is>
      </c>
      <c r="N1222" s="63" t="inlineStr">
        <is>
          <t>80,60</t>
        </is>
      </c>
      <c r="O1222" s="65" t="n"/>
      <c r="P1222" s="65" t="n"/>
      <c r="Q1222" s="65" t="n"/>
      <c r="R1222" s="65" t="n"/>
      <c r="S1222" s="65" t="n"/>
      <c r="T1222" s="65" t="n"/>
      <c r="U1222" s="65" t="n"/>
      <c r="V1222" s="65" t="n"/>
    </row>
    <row r="1223">
      <c r="A1223" s="65" t="inlineStr">
        <is>
          <t>S00190</t>
        </is>
      </c>
      <c r="B1223" s="62" t="n">
        <v>46121.4109837963</v>
      </c>
      <c r="C1223" s="65" t="inlineStr">
        <is>
          <t>Anthony Jose Quijada Diaz.</t>
        </is>
      </c>
      <c r="D1223" s="65" t="inlineStr">
        <is>
          <t>CASERES GONZALEZ RONALD OSWALDO</t>
        </is>
      </c>
      <c r="E1223" s="65" t="inlineStr">
        <is>
          <t>7 días</t>
        </is>
      </c>
      <c r="F1223" s="65" t="n">
        <v>4</v>
      </c>
      <c r="G1223" s="65" t="inlineStr">
        <is>
          <t>Precio Full Abril</t>
        </is>
      </c>
      <c r="H1223" s="65" t="inlineStr">
        <is>
          <t>[0073] SUPREMO API CI-4 SAE 15W-40 (PAILA)</t>
        </is>
      </c>
      <c r="I1223" s="65" t="n">
        <v>73</v>
      </c>
      <c r="J1223" s="63" t="inlineStr">
        <is>
          <t>4,00</t>
        </is>
      </c>
      <c r="K1223" s="63" t="inlineStr">
        <is>
          <t>127,74</t>
        </is>
      </c>
      <c r="L1223" s="63" t="inlineStr">
        <is>
          <t>41,69</t>
        </is>
      </c>
      <c r="M1223" s="63" t="inlineStr">
        <is>
          <t>297,95</t>
        </is>
      </c>
      <c r="N1223" s="63" t="inlineStr">
        <is>
          <t>345,62</t>
        </is>
      </c>
      <c r="O1223" s="63" t="inlineStr">
        <is>
          <t>297,95</t>
        </is>
      </c>
      <c r="P1223" s="63" t="inlineStr">
        <is>
          <t>345,62</t>
        </is>
      </c>
      <c r="Q1223" s="63" t="inlineStr">
        <is>
          <t>478,58</t>
        </is>
      </c>
      <c r="R1223" s="66" t="n">
        <v>46204</v>
      </c>
      <c r="S1223" s="65" t="n">
        <v>205</v>
      </c>
      <c r="T1223" s="65" t="inlineStr">
        <is>
          <t>00-00000702</t>
        </is>
      </c>
      <c r="U1223" s="63" t="inlineStr">
        <is>
          <t>345,59</t>
        </is>
      </c>
      <c r="V1223" s="63" t="inlineStr">
        <is>
          <t>0,01</t>
        </is>
      </c>
    </row>
    <row r="1224">
      <c r="A1224" s="65" t="n"/>
      <c r="B1224" s="65" t="n"/>
      <c r="C1224" s="65" t="n"/>
      <c r="D1224" s="65" t="n"/>
      <c r="E1224" s="65" t="n"/>
      <c r="F1224" s="65" t="n"/>
      <c r="G1224" s="65" t="n"/>
      <c r="H1224" s="65" t="n"/>
      <c r="I1224" s="65" t="n"/>
      <c r="J1224" s="63" t="inlineStr">
        <is>
          <t>0,00</t>
        </is>
      </c>
      <c r="K1224" s="63" t="inlineStr">
        <is>
          <t>0,00</t>
        </is>
      </c>
      <c r="L1224" s="63" t="inlineStr">
        <is>
          <t>0,00</t>
        </is>
      </c>
      <c r="M1224" s="63" t="inlineStr">
        <is>
          <t>0,00</t>
        </is>
      </c>
      <c r="N1224" s="63" t="inlineStr">
        <is>
          <t>0,00</t>
        </is>
      </c>
      <c r="O1224" s="65" t="n"/>
      <c r="P1224" s="65" t="n"/>
      <c r="Q1224" s="65" t="n"/>
      <c r="R1224" s="65" t="n"/>
      <c r="S1224" s="65" t="n"/>
      <c r="T1224" s="65" t="n"/>
      <c r="U1224" s="65" t="n"/>
      <c r="V1224" s="65" t="n"/>
    </row>
    <row r="1225">
      <c r="A1225" s="65" t="inlineStr">
        <is>
          <t>S00189</t>
        </is>
      </c>
      <c r="B1225" s="62" t="n">
        <v>46120.59283564815</v>
      </c>
      <c r="C1225" s="65" t="inlineStr">
        <is>
          <t>Manuel Emilio Reyes</t>
        </is>
      </c>
      <c r="D1225" s="65" t="inlineStr">
        <is>
          <t>REVERON DE CONTRERAS MELANI AUSMAR</t>
        </is>
      </c>
      <c r="E1225" s="65" t="n"/>
      <c r="F1225" s="65" t="n">
        <v>4</v>
      </c>
      <c r="G1225" s="65" t="inlineStr">
        <is>
          <t>Precio Full Abril</t>
        </is>
      </c>
      <c r="H1225" s="65" t="inlineStr">
        <is>
          <t>[0877] SS EXTRA PROTECCION API SN SAE 15W-40 (1X12)</t>
        </is>
      </c>
      <c r="I1225" s="65" t="n">
        <v>877</v>
      </c>
      <c r="J1225" s="63" t="inlineStr">
        <is>
          <t>1,00</t>
        </is>
      </c>
      <c r="K1225" s="63" t="inlineStr">
        <is>
          <t>64,66</t>
        </is>
      </c>
      <c r="L1225" s="63" t="inlineStr">
        <is>
          <t>0,00</t>
        </is>
      </c>
      <c r="M1225" s="63" t="inlineStr">
        <is>
          <t>64,66</t>
        </is>
      </c>
      <c r="N1225" s="63" t="inlineStr">
        <is>
          <t>75,01</t>
        </is>
      </c>
      <c r="O1225" s="63" t="inlineStr">
        <is>
          <t>120,70</t>
        </is>
      </c>
      <c r="P1225" s="63" t="inlineStr">
        <is>
          <t>140,02</t>
        </is>
      </c>
      <c r="Q1225" s="63" t="inlineStr">
        <is>
          <t>478,58</t>
        </is>
      </c>
      <c r="R1225" s="66" t="n">
        <v>46154</v>
      </c>
      <c r="S1225" s="65" t="n">
        <v>40</v>
      </c>
      <c r="T1225" s="65" t="inlineStr">
        <is>
          <t>00-00000309</t>
        </is>
      </c>
      <c r="U1225" s="63" t="inlineStr">
        <is>
          <t>139,99</t>
        </is>
      </c>
      <c r="V1225" s="63" t="inlineStr">
        <is>
          <t>0,00</t>
        </is>
      </c>
    </row>
    <row r="1226">
      <c r="A1226" s="65" t="n"/>
      <c r="B1226" s="65" t="n"/>
      <c r="C1226" s="65" t="n"/>
      <c r="D1226" s="65" t="n"/>
      <c r="E1226" s="65" t="n"/>
      <c r="F1226" s="65" t="n"/>
      <c r="G1226" s="65" t="n"/>
      <c r="H1226" s="65" t="inlineStr">
        <is>
          <t>[0881] CLASICO API SL SAE 20W-50 (1x12)</t>
        </is>
      </c>
      <c r="I1226" s="65" t="n">
        <v>881</v>
      </c>
      <c r="J1226" s="63" t="inlineStr">
        <is>
          <t>1,00</t>
        </is>
      </c>
      <c r="K1226" s="63" t="inlineStr">
        <is>
          <t>56,04</t>
        </is>
      </c>
      <c r="L1226" s="63" t="inlineStr">
        <is>
          <t>0,00</t>
        </is>
      </c>
      <c r="M1226" s="63" t="inlineStr">
        <is>
          <t>56,04</t>
        </is>
      </c>
      <c r="N1226" s="63" t="inlineStr">
        <is>
          <t>65,01</t>
        </is>
      </c>
      <c r="O1226" s="65" t="n"/>
      <c r="P1226" s="65" t="n"/>
      <c r="Q1226" s="65" t="n"/>
      <c r="R1226" s="65" t="n"/>
      <c r="S1226" s="65" t="n"/>
      <c r="T1226" s="65" t="n"/>
      <c r="U1226" s="65" t="n"/>
      <c r="V1226" s="65" t="n"/>
    </row>
    <row r="1227">
      <c r="A1227" s="65" t="inlineStr">
        <is>
          <t>S00188</t>
        </is>
      </c>
      <c r="B1227" s="62" t="n">
        <v>46119.73674768519</v>
      </c>
      <c r="C1227" s="65" t="inlineStr">
        <is>
          <t>EMPRENDIMIENTO IRMA RODRIGUEZ 6</t>
        </is>
      </c>
      <c r="D1227" s="65" t="inlineStr">
        <is>
          <t>TORO ARDILES DAVID JOSE</t>
        </is>
      </c>
      <c r="E1227" s="65" t="n"/>
      <c r="F1227" s="65" t="n">
        <v>4</v>
      </c>
      <c r="G1227" s="65" t="inlineStr">
        <is>
          <t>Precio Full Abril</t>
        </is>
      </c>
      <c r="H1227" s="65" t="inlineStr">
        <is>
          <t>[0121] TRANSGLOB API GL-5 SAE 80W-90 (1x6)</t>
        </is>
      </c>
      <c r="I1227" s="65" t="n">
        <v>121</v>
      </c>
      <c r="J1227" s="63" t="inlineStr">
        <is>
          <t>4,00</t>
        </is>
      </c>
      <c r="K1227" s="63" t="inlineStr">
        <is>
          <t>30,93</t>
        </is>
      </c>
      <c r="L1227" s="63" t="inlineStr">
        <is>
          <t>0,00</t>
        </is>
      </c>
      <c r="M1227" s="63" t="inlineStr">
        <is>
          <t>123,72</t>
        </is>
      </c>
      <c r="N1227" s="63" t="inlineStr">
        <is>
          <t>143,52</t>
        </is>
      </c>
      <c r="O1227" s="63" t="inlineStr">
        <is>
          <t>123,72</t>
        </is>
      </c>
      <c r="P1227" s="63" t="inlineStr">
        <is>
          <t>143,52</t>
        </is>
      </c>
      <c r="Q1227" s="63" t="inlineStr">
        <is>
          <t>475,96</t>
        </is>
      </c>
      <c r="R1227" s="66" t="n">
        <v>46121</v>
      </c>
      <c r="S1227" s="65" t="n">
        <v>15</v>
      </c>
      <c r="T1227" s="65" t="inlineStr">
        <is>
          <t>00-00000148</t>
        </is>
      </c>
      <c r="U1227" s="63" t="inlineStr">
        <is>
          <t>143,07</t>
        </is>
      </c>
      <c r="V1227" s="63" t="inlineStr">
        <is>
          <t>0,09</t>
        </is>
      </c>
    </row>
    <row r="1228">
      <c r="A1228" s="65" t="inlineStr">
        <is>
          <t>S00185</t>
        </is>
      </c>
      <c r="B1228" s="62" t="n">
        <v>46119.35603009259</v>
      </c>
      <c r="C1228" s="65" t="inlineStr">
        <is>
          <t>Pidelo Y Punto,c.a.</t>
        </is>
      </c>
      <c r="D1228" s="65" t="inlineStr">
        <is>
          <t>CASERES GONZALEZ RONALD OSWALDO</t>
        </is>
      </c>
      <c r="E1228" s="65" t="inlineStr">
        <is>
          <t>7 días</t>
        </is>
      </c>
      <c r="F1228" s="65" t="n">
        <v>4</v>
      </c>
      <c r="G1228" s="65" t="inlineStr">
        <is>
          <t>Precio Full Abril</t>
        </is>
      </c>
      <c r="H1228" s="65" t="inlineStr">
        <is>
          <t>[0887] MOTOCLASICO 4T SAE 20W-50 (1x12)</t>
        </is>
      </c>
      <c r="I1228" s="65" t="n">
        <v>887</v>
      </c>
      <c r="J1228" s="63" t="inlineStr">
        <is>
          <t>1,00</t>
        </is>
      </c>
      <c r="K1228" s="63" t="inlineStr">
        <is>
          <t>90,00</t>
        </is>
      </c>
      <c r="L1228" s="63" t="inlineStr">
        <is>
          <t>0,00</t>
        </is>
      </c>
      <c r="M1228" s="63" t="inlineStr">
        <is>
          <t>90,00</t>
        </is>
      </c>
      <c r="N1228" s="63" t="inlineStr">
        <is>
          <t>104,40</t>
        </is>
      </c>
      <c r="O1228" s="63" t="inlineStr">
        <is>
          <t>136,00</t>
        </is>
      </c>
      <c r="P1228" s="63" t="inlineStr">
        <is>
          <t>157,76</t>
        </is>
      </c>
      <c r="Q1228" s="63" t="inlineStr">
        <is>
          <t>478,58</t>
        </is>
      </c>
      <c r="R1228" s="66" t="n">
        <v>46161</v>
      </c>
      <c r="S1228" s="65" t="n">
        <v>69</v>
      </c>
      <c r="T1228" s="65" t="inlineStr">
        <is>
          <t>00-00000383</t>
        </is>
      </c>
      <c r="U1228" s="63" t="inlineStr">
        <is>
          <t>156,56</t>
        </is>
      </c>
      <c r="V1228" s="63" t="inlineStr">
        <is>
          <t>0,00</t>
        </is>
      </c>
    </row>
    <row r="1229">
      <c r="A1229" s="65" t="n"/>
      <c r="B1229" s="65" t="n"/>
      <c r="C1229" s="65" t="n"/>
      <c r="D1229" s="65" t="n"/>
      <c r="E1229" s="65" t="n"/>
      <c r="F1229" s="65" t="n"/>
      <c r="G1229" s="65" t="n"/>
      <c r="H1229" s="65" t="inlineStr">
        <is>
          <t>[0093] ALTA CILINDRADA SS API SN SAE 15W-40 (1x6)</t>
        </is>
      </c>
      <c r="I1229" s="65" t="n">
        <v>93</v>
      </c>
      <c r="J1229" s="63" t="inlineStr">
        <is>
          <t>1,00</t>
        </is>
      </c>
      <c r="K1229" s="63" t="inlineStr">
        <is>
          <t>46,00</t>
        </is>
      </c>
      <c r="L1229" s="63" t="inlineStr">
        <is>
          <t>0,00</t>
        </is>
      </c>
      <c r="M1229" s="63" t="inlineStr">
        <is>
          <t>46,00</t>
        </is>
      </c>
      <c r="N1229" s="63" t="inlineStr">
        <is>
          <t>53,36</t>
        </is>
      </c>
      <c r="O1229" s="65" t="n"/>
      <c r="P1229" s="65" t="n"/>
      <c r="Q1229" s="65" t="n"/>
      <c r="R1229" s="65" t="n"/>
      <c r="S1229" s="65" t="n"/>
      <c r="T1229" s="65" t="n"/>
      <c r="U1229" s="65" t="n"/>
      <c r="V1229" s="65" t="n"/>
    </row>
    <row r="1230">
      <c r="A1230" s="65" t="inlineStr">
        <is>
          <t>S00183</t>
        </is>
      </c>
      <c r="B1230" s="62" t="n">
        <v>46118.3712962963</v>
      </c>
      <c r="C1230" s="65" t="inlineStr">
        <is>
          <t>AREA58 2022, C.A.</t>
        </is>
      </c>
      <c r="D1230" s="65" t="inlineStr">
        <is>
          <t>CASERES GONZALEZ RONALD OSWALDO</t>
        </is>
      </c>
      <c r="E1230" s="65" t="inlineStr">
        <is>
          <t>7 días</t>
        </is>
      </c>
      <c r="F1230" s="65" t="n">
        <v>4</v>
      </c>
      <c r="G1230" s="65" t="inlineStr">
        <is>
          <t>Precio Full Abril</t>
        </is>
      </c>
      <c r="H1230" s="65" t="inlineStr">
        <is>
          <t>[0139] HIDRAGLOB AW/ISO 46 (PAILA)</t>
        </is>
      </c>
      <c r="I1230" s="65" t="n">
        <v>139</v>
      </c>
      <c r="J1230" s="63" t="inlineStr">
        <is>
          <t>7,00</t>
        </is>
      </c>
      <c r="K1230" s="63" t="inlineStr">
        <is>
          <t>145,00</t>
        </is>
      </c>
      <c r="L1230" s="63" t="inlineStr">
        <is>
          <t>0,00</t>
        </is>
      </c>
      <c r="M1230" s="63" t="inlineStr">
        <is>
          <t>1.015,00</t>
        </is>
      </c>
      <c r="N1230" s="63" t="inlineStr">
        <is>
          <t>1.177,40</t>
        </is>
      </c>
      <c r="O1230" s="63" t="inlineStr">
        <is>
          <t>1.015,00</t>
        </is>
      </c>
      <c r="P1230" s="63" t="inlineStr">
        <is>
          <t>1.177,40</t>
        </is>
      </c>
      <c r="Q1230" s="63" t="inlineStr">
        <is>
          <t>476,43</t>
        </is>
      </c>
      <c r="R1230" s="66" t="n">
        <v>46122</v>
      </c>
      <c r="S1230" s="65" t="n">
        <v>17</v>
      </c>
      <c r="T1230" s="65" t="inlineStr">
        <is>
          <t>00-00000153</t>
        </is>
      </c>
      <c r="U1230" s="63" t="inlineStr">
        <is>
          <t>1.171,17</t>
        </is>
      </c>
      <c r="V1230" s="63" t="inlineStr">
        <is>
          <t>0,00</t>
        </is>
      </c>
    </row>
    <row r="1231">
      <c r="A1231" s="65" t="inlineStr">
        <is>
          <t>S00182</t>
        </is>
      </c>
      <c r="B1231" s="62" t="n">
        <v>46113.70196759259</v>
      </c>
      <c r="C1231" s="65" t="inlineStr">
        <is>
          <t>EMPRENDIMIENTO IRMA RODRIGUEZ 6</t>
        </is>
      </c>
      <c r="D1231" s="65" t="inlineStr">
        <is>
          <t>TORO ARDILES DAVID JOSE</t>
        </is>
      </c>
      <c r="E1231" s="65" t="n"/>
      <c r="F1231" s="65" t="n">
        <v>4</v>
      </c>
      <c r="G1231" s="65" t="inlineStr">
        <is>
          <t>Precio Full Abril</t>
        </is>
      </c>
      <c r="H1231" s="65" t="inlineStr">
        <is>
          <t>[0881] CLASICO API SL SAE 20W-50 (1x12)</t>
        </is>
      </c>
      <c r="I1231" s="65" t="n">
        <v>881</v>
      </c>
      <c r="J1231" s="63" t="inlineStr">
        <is>
          <t>2,00</t>
        </is>
      </c>
      <c r="K1231" s="63" t="inlineStr">
        <is>
          <t>81,47</t>
        </is>
      </c>
      <c r="L1231" s="63" t="inlineStr">
        <is>
          <t>4,77</t>
        </is>
      </c>
      <c r="M1231" s="63" t="inlineStr">
        <is>
          <t>155,17</t>
        </is>
      </c>
      <c r="N1231" s="63" t="inlineStr">
        <is>
          <t>180,00</t>
        </is>
      </c>
      <c r="O1231" s="63" t="inlineStr">
        <is>
          <t>155,17</t>
        </is>
      </c>
      <c r="P1231" s="63" t="inlineStr">
        <is>
          <t>180,00</t>
        </is>
      </c>
      <c r="Q1231" s="63" t="inlineStr">
        <is>
          <t>496,83</t>
        </is>
      </c>
      <c r="R1231" s="66" t="n">
        <v>46154</v>
      </c>
      <c r="S1231" s="65" t="n">
        <v>39</v>
      </c>
      <c r="T1231" s="65" t="inlineStr">
        <is>
          <t>00-00000308</t>
        </is>
      </c>
      <c r="U1231" s="63" t="inlineStr">
        <is>
          <t>115,91</t>
        </is>
      </c>
      <c r="V1231" s="63" t="inlineStr">
        <is>
          <t>0,00</t>
        </is>
      </c>
    </row>
    <row r="1232">
      <c r="A1232" s="65" t="inlineStr">
        <is>
          <t>S00176</t>
        </is>
      </c>
      <c r="B1232" s="62" t="n">
        <v>46112.72784722222</v>
      </c>
      <c r="C1232" s="65" t="inlineStr">
        <is>
          <t>Jose Angel Gutierrez Rodriguez</t>
        </is>
      </c>
      <c r="D1232" s="65" t="inlineStr">
        <is>
          <t>VILLABONA CORREA ALBA ESTEFANIA</t>
        </is>
      </c>
      <c r="E1232" s="65" t="n"/>
      <c r="F1232" s="65" t="n">
        <v>4</v>
      </c>
      <c r="G1232" s="65" t="inlineStr">
        <is>
          <t>Precio Full Abril</t>
        </is>
      </c>
      <c r="H1232" s="65" t="inlineStr">
        <is>
          <t>[0887] MOTOCLASICO 4T SAE 20W-50 (1x12)</t>
        </is>
      </c>
      <c r="I1232" s="65" t="n">
        <v>887</v>
      </c>
      <c r="J1232" s="63" t="inlineStr">
        <is>
          <t>2,00</t>
        </is>
      </c>
      <c r="K1232" s="63" t="inlineStr">
        <is>
          <t>85,34</t>
        </is>
      </c>
      <c r="L1232" s="63" t="inlineStr">
        <is>
          <t>35,75</t>
        </is>
      </c>
      <c r="M1232" s="63" t="inlineStr">
        <is>
          <t>109,66</t>
        </is>
      </c>
      <c r="N1232" s="63" t="inlineStr">
        <is>
          <t>127,21</t>
        </is>
      </c>
      <c r="O1232" s="63" t="inlineStr">
        <is>
          <t>137,92</t>
        </is>
      </c>
      <c r="P1232" s="63" t="inlineStr">
        <is>
          <t>159,99</t>
        </is>
      </c>
      <c r="Q1232" s="63" t="inlineStr">
        <is>
          <t>496,83</t>
        </is>
      </c>
      <c r="R1232" s="66" t="n">
        <v>46161</v>
      </c>
      <c r="S1232" s="65" t="n">
        <v>68</v>
      </c>
      <c r="T1232" s="65" t="inlineStr">
        <is>
          <t>00-00000382</t>
        </is>
      </c>
      <c r="U1232" s="63" t="inlineStr">
        <is>
          <t>159,98</t>
        </is>
      </c>
      <c r="V1232" s="63" t="inlineStr">
        <is>
          <t>0,00</t>
        </is>
      </c>
    </row>
    <row r="1233">
      <c r="A1233" s="65" t="n"/>
      <c r="B1233" s="65" t="n"/>
      <c r="C1233" s="65" t="n"/>
      <c r="D1233" s="65" t="n"/>
      <c r="E1233" s="65" t="n"/>
      <c r="F1233" s="65" t="n"/>
      <c r="G1233" s="65" t="n"/>
      <c r="H1233" s="65" t="n"/>
      <c r="I1233" s="65" t="n"/>
      <c r="J1233" s="63" t="inlineStr">
        <is>
          <t>0,00</t>
        </is>
      </c>
      <c r="K1233" s="63" t="inlineStr">
        <is>
          <t>0,00</t>
        </is>
      </c>
      <c r="L1233" s="63" t="inlineStr">
        <is>
          <t>0,00</t>
        </is>
      </c>
      <c r="M1233" s="63" t="inlineStr">
        <is>
          <t>0,00</t>
        </is>
      </c>
      <c r="N1233" s="63" t="inlineStr">
        <is>
          <t>0,00</t>
        </is>
      </c>
      <c r="O1233" s="65" t="n"/>
      <c r="P1233" s="65" t="n"/>
      <c r="Q1233" s="65" t="n"/>
      <c r="R1233" s="65" t="n"/>
      <c r="S1233" s="65" t="n"/>
      <c r="T1233" s="65" t="n"/>
      <c r="U1233" s="65" t="n"/>
      <c r="V1233" s="65" t="n"/>
    </row>
    <row r="1234">
      <c r="A1234" s="65" t="n"/>
      <c r="B1234" s="65" t="n"/>
      <c r="C1234" s="65" t="n"/>
      <c r="D1234" s="65" t="n"/>
      <c r="E1234" s="65" t="n"/>
      <c r="F1234" s="65" t="n"/>
      <c r="G1234" s="65" t="n"/>
      <c r="H1234" s="65" t="inlineStr">
        <is>
          <t>[0093] ALTA CILINDRADA SS API SN SAE 15W-40 (1x6)</t>
        </is>
      </c>
      <c r="I1234" s="65" t="n">
        <v>93</v>
      </c>
      <c r="J1234" s="63" t="inlineStr">
        <is>
          <t>1,00</t>
        </is>
      </c>
      <c r="K1234" s="63" t="inlineStr">
        <is>
          <t>43,97</t>
        </is>
      </c>
      <c r="L1234" s="63" t="inlineStr">
        <is>
          <t>35,74</t>
        </is>
      </c>
      <c r="M1234" s="63" t="inlineStr">
        <is>
          <t>28,26</t>
        </is>
      </c>
      <c r="N1234" s="63" t="inlineStr">
        <is>
          <t>32,78</t>
        </is>
      </c>
      <c r="O1234" s="65" t="n"/>
      <c r="P1234" s="65" t="n"/>
      <c r="Q1234" s="65" t="n"/>
      <c r="R1234" s="65" t="n"/>
      <c r="S1234" s="65" t="n"/>
      <c r="T1234" s="65" t="n"/>
      <c r="U1234" s="65" t="n"/>
      <c r="V1234" s="65" t="n"/>
    </row>
    <row r="1235">
      <c r="A1235" s="65" t="inlineStr">
        <is>
          <t>S00175</t>
        </is>
      </c>
      <c r="B1235" s="62" t="n">
        <v>46112.54006944445</v>
      </c>
      <c r="C1235" s="65" t="inlineStr">
        <is>
          <t>ESTACIONAMIENTO CIACORE 2000 c.a</t>
        </is>
      </c>
      <c r="D1235" s="65" t="inlineStr">
        <is>
          <t>VILLABONA CORREA ALBA ESTEFANIA</t>
        </is>
      </c>
      <c r="E1235" s="65" t="n"/>
      <c r="F1235" s="65" t="n">
        <v>4</v>
      </c>
      <c r="G1235" s="65" t="inlineStr">
        <is>
          <t>Precio Full Abril</t>
        </is>
      </c>
      <c r="H1235" s="65" t="inlineStr">
        <is>
          <t>[0121] TRANSGLOB API GL-5 SAE 80W-90 (1x6)</t>
        </is>
      </c>
      <c r="I1235" s="65" t="n">
        <v>121</v>
      </c>
      <c r="J1235" s="63" t="inlineStr">
        <is>
          <t>2,00</t>
        </is>
      </c>
      <c r="K1235" s="63" t="inlineStr">
        <is>
          <t>46,55</t>
        </is>
      </c>
      <c r="L1235" s="63" t="inlineStr">
        <is>
          <t>33,33</t>
        </is>
      </c>
      <c r="M1235" s="63" t="inlineStr">
        <is>
          <t>62,07</t>
        </is>
      </c>
      <c r="N1235" s="63" t="inlineStr">
        <is>
          <t>72,00</t>
        </is>
      </c>
      <c r="O1235" s="63" t="inlineStr">
        <is>
          <t>93,10</t>
        </is>
      </c>
      <c r="P1235" s="63" t="inlineStr">
        <is>
          <t>107,99</t>
        </is>
      </c>
      <c r="Q1235" s="63" t="inlineStr">
        <is>
          <t>496,83</t>
        </is>
      </c>
      <c r="R1235" s="66" t="n">
        <v>46155</v>
      </c>
      <c r="S1235" s="65" t="n">
        <v>50</v>
      </c>
      <c r="T1235" s="65" t="inlineStr">
        <is>
          <t>00-00000330</t>
        </is>
      </c>
      <c r="U1235" s="63" t="inlineStr">
        <is>
          <t>107,98</t>
        </is>
      </c>
      <c r="V1235" s="63" t="inlineStr">
        <is>
          <t>0,00</t>
        </is>
      </c>
    </row>
    <row r="1236">
      <c r="A1236" s="65" t="n"/>
      <c r="B1236" s="65" t="n"/>
      <c r="C1236" s="65" t="n"/>
      <c r="D1236" s="65" t="n"/>
      <c r="E1236" s="65" t="n"/>
      <c r="F1236" s="65" t="n"/>
      <c r="G1236" s="65" t="n"/>
      <c r="H1236" s="65" t="n"/>
      <c r="I1236" s="65" t="n"/>
      <c r="J1236" s="63" t="inlineStr">
        <is>
          <t>0,00</t>
        </is>
      </c>
      <c r="K1236" s="63" t="inlineStr">
        <is>
          <t>0,00</t>
        </is>
      </c>
      <c r="L1236" s="63" t="inlineStr">
        <is>
          <t>0,00</t>
        </is>
      </c>
      <c r="M1236" s="63" t="inlineStr">
        <is>
          <t>0,00</t>
        </is>
      </c>
      <c r="N1236" s="63" t="inlineStr">
        <is>
          <t>0,00</t>
        </is>
      </c>
      <c r="O1236" s="65" t="n"/>
      <c r="P1236" s="65" t="n"/>
      <c r="Q1236" s="65" t="n"/>
      <c r="R1236" s="65" t="n"/>
      <c r="S1236" s="65" t="n"/>
      <c r="T1236" s="65" t="n"/>
      <c r="U1236" s="65" t="n"/>
      <c r="V1236" s="65" t="n"/>
    </row>
    <row r="1237">
      <c r="A1237" s="65" t="n"/>
      <c r="B1237" s="65" t="n"/>
      <c r="C1237" s="65" t="n"/>
      <c r="D1237" s="65" t="n"/>
      <c r="E1237" s="65" t="n"/>
      <c r="F1237" s="65" t="n"/>
      <c r="G1237" s="65" t="n"/>
      <c r="H1237" s="65" t="inlineStr">
        <is>
          <t>[0127] TRANSGLOB API GL-5 SAE 85W-140 (1x6)</t>
        </is>
      </c>
      <c r="I1237" s="65" t="n">
        <v>127</v>
      </c>
      <c r="J1237" s="63" t="inlineStr">
        <is>
          <t>1,00</t>
        </is>
      </c>
      <c r="K1237" s="63" t="inlineStr">
        <is>
          <t>46,55</t>
        </is>
      </c>
      <c r="L1237" s="63" t="inlineStr">
        <is>
          <t>33,33</t>
        </is>
      </c>
      <c r="M1237" s="63" t="inlineStr">
        <is>
          <t>31,03</t>
        </is>
      </c>
      <c r="N1237" s="63" t="inlineStr">
        <is>
          <t>35,99</t>
        </is>
      </c>
      <c r="O1237" s="65" t="n"/>
      <c r="P1237" s="65" t="n"/>
      <c r="Q1237" s="65" t="n"/>
      <c r="R1237" s="65" t="n"/>
      <c r="S1237" s="65" t="n"/>
      <c r="T1237" s="65" t="n"/>
      <c r="U1237" s="65" t="n"/>
      <c r="V1237" s="65" t="n"/>
    </row>
    <row r="1238">
      <c r="A1238" s="65" t="inlineStr">
        <is>
          <t>S00174</t>
        </is>
      </c>
      <c r="B1238" s="62" t="n">
        <v>46112.46825231481</v>
      </c>
      <c r="C1238" s="65" t="inlineStr">
        <is>
          <t>DISTRIBUIDORA E.P.L.C 2017, c.a.</t>
        </is>
      </c>
      <c r="D1238" s="65" t="inlineStr">
        <is>
          <t>VILLABONA CORREA ALBA ESTEFANIA</t>
        </is>
      </c>
      <c r="E1238" s="65" t="n"/>
      <c r="F1238" s="65" t="n">
        <v>4</v>
      </c>
      <c r="G1238" s="65" t="inlineStr">
        <is>
          <t>Precio Full Abril</t>
        </is>
      </c>
      <c r="H1238" s="65" t="inlineStr">
        <is>
          <t>[0779] SINOCO SAE 20W-50 (1x12)</t>
        </is>
      </c>
      <c r="I1238" s="65" t="n">
        <v>779</v>
      </c>
      <c r="J1238" s="63" t="inlineStr">
        <is>
          <t>1,00</t>
        </is>
      </c>
      <c r="K1238" s="63" t="inlineStr">
        <is>
          <t>70,29</t>
        </is>
      </c>
      <c r="L1238" s="63" t="inlineStr">
        <is>
          <t>11,69</t>
        </is>
      </c>
      <c r="M1238" s="63" t="inlineStr">
        <is>
          <t>62,07</t>
        </is>
      </c>
      <c r="N1238" s="63" t="inlineStr">
        <is>
          <t>72,00</t>
        </is>
      </c>
      <c r="O1238" s="63" t="inlineStr">
        <is>
          <t>468,11</t>
        </is>
      </c>
      <c r="P1238" s="63" t="inlineStr">
        <is>
          <t>543,01</t>
        </is>
      </c>
      <c r="Q1238" s="63" t="inlineStr">
        <is>
          <t>709,69</t>
        </is>
      </c>
      <c r="R1238" s="66" t="n">
        <v>46214</v>
      </c>
      <c r="S1238" s="65" t="n">
        <v>274</v>
      </c>
      <c r="T1238" s="65" t="inlineStr">
        <is>
          <t>00-00000811</t>
        </is>
      </c>
      <c r="U1238" s="63" t="inlineStr">
        <is>
          <t>542,97</t>
        </is>
      </c>
      <c r="V1238" s="63" t="inlineStr">
        <is>
          <t>362,30</t>
        </is>
      </c>
    </row>
    <row r="1239">
      <c r="A1239" s="65" t="n"/>
      <c r="B1239" s="65" t="n"/>
      <c r="C1239" s="65" t="n"/>
      <c r="D1239" s="65" t="n"/>
      <c r="E1239" s="65" t="n"/>
      <c r="F1239" s="65" t="n"/>
      <c r="G1239" s="65" t="n"/>
      <c r="H1239" s="65" t="n"/>
      <c r="I1239" s="65" t="n"/>
      <c r="J1239" s="63" t="inlineStr">
        <is>
          <t>0,00</t>
        </is>
      </c>
      <c r="K1239" s="63" t="inlineStr">
        <is>
          <t>0,00</t>
        </is>
      </c>
      <c r="L1239" s="63" t="inlineStr">
        <is>
          <t>0,00</t>
        </is>
      </c>
      <c r="M1239" s="63" t="inlineStr">
        <is>
          <t>0,00</t>
        </is>
      </c>
      <c r="N1239" s="63" t="inlineStr">
        <is>
          <t>0,00</t>
        </is>
      </c>
      <c r="O1239" s="65" t="n"/>
      <c r="P1239" s="65" t="n"/>
      <c r="Q1239" s="65" t="n"/>
      <c r="R1239" s="65" t="n"/>
      <c r="S1239" s="65" t="n"/>
      <c r="T1239" s="65" t="n"/>
      <c r="U1239" s="65" t="n"/>
      <c r="V1239" s="65" t="n"/>
    </row>
    <row r="1240">
      <c r="A1240" s="65" t="n"/>
      <c r="B1240" s="65" t="n"/>
      <c r="C1240" s="65" t="n"/>
      <c r="D1240" s="65" t="n"/>
      <c r="E1240" s="65" t="n"/>
      <c r="F1240" s="65" t="n"/>
      <c r="G1240" s="65" t="n"/>
      <c r="H1240" s="65" t="inlineStr">
        <is>
          <t>[0877] SS EXTRA PROTECCION API SN SAE 15W-40 (1X12)</t>
        </is>
      </c>
      <c r="I1240" s="65" t="n">
        <v>877</v>
      </c>
      <c r="J1240" s="63" t="inlineStr">
        <is>
          <t>1,00</t>
        </is>
      </c>
      <c r="K1240" s="63" t="inlineStr">
        <is>
          <t>100,80</t>
        </is>
      </c>
      <c r="L1240" s="63" t="inlineStr">
        <is>
          <t>7,64</t>
        </is>
      </c>
      <c r="M1240" s="63" t="inlineStr">
        <is>
          <t>93,10</t>
        </is>
      </c>
      <c r="N1240" s="63" t="inlineStr">
        <is>
          <t>108,00</t>
        </is>
      </c>
      <c r="O1240" s="65" t="n"/>
      <c r="P1240" s="65" t="n"/>
      <c r="Q1240" s="65" t="n"/>
      <c r="R1240" s="65" t="n"/>
      <c r="S1240" s="65" t="n"/>
      <c r="T1240" s="65" t="n"/>
      <c r="U1240" s="65" t="n"/>
      <c r="V1240" s="65" t="n"/>
    </row>
    <row r="1241">
      <c r="A1241" s="65" t="n"/>
      <c r="B1241" s="65" t="n"/>
      <c r="C1241" s="65" t="n"/>
      <c r="D1241" s="65" t="n"/>
      <c r="E1241" s="65" t="n"/>
      <c r="F1241" s="65" t="n"/>
      <c r="G1241" s="65" t="n"/>
      <c r="H1241" s="65" t="inlineStr">
        <is>
          <t>[0881] CLASICO API SL SAE 20W-50 (1x12)</t>
        </is>
      </c>
      <c r="I1241" s="65" t="n">
        <v>881</v>
      </c>
      <c r="J1241" s="63" t="inlineStr">
        <is>
          <t>2,00</t>
        </is>
      </c>
      <c r="K1241" s="63" t="inlineStr">
        <is>
          <t>86,21</t>
        </is>
      </c>
      <c r="L1241" s="63" t="inlineStr">
        <is>
          <t>5,50</t>
        </is>
      </c>
      <c r="M1241" s="63" t="inlineStr">
        <is>
          <t>162,94</t>
        </is>
      </c>
      <c r="N1241" s="63" t="inlineStr">
        <is>
          <t>189,01</t>
        </is>
      </c>
      <c r="O1241" s="65" t="n"/>
      <c r="P1241" s="65" t="n"/>
      <c r="Q1241" s="65" t="n"/>
      <c r="R1241" s="65" t="n"/>
      <c r="S1241" s="65" t="n"/>
      <c r="T1241" s="65" t="n"/>
      <c r="U1241" s="65" t="n"/>
      <c r="V1241" s="65" t="n"/>
    </row>
    <row r="1242">
      <c r="A1242" s="65" t="n"/>
      <c r="B1242" s="65" t="n"/>
      <c r="C1242" s="65" t="n"/>
      <c r="D1242" s="65" t="n"/>
      <c r="E1242" s="65" t="n"/>
      <c r="F1242" s="65" t="n"/>
      <c r="G1242" s="65" t="n"/>
      <c r="H1242" s="65" t="inlineStr">
        <is>
          <t>[0884] TRANSMATIC ATF DEXRON III (1x12)</t>
        </is>
      </c>
      <c r="I1242" s="65" t="n">
        <v>884</v>
      </c>
      <c r="J1242" s="63" t="inlineStr">
        <is>
          <t>1,00</t>
        </is>
      </c>
      <c r="K1242" s="63" t="inlineStr">
        <is>
          <t>95,49</t>
        </is>
      </c>
      <c r="L1242" s="63" t="inlineStr">
        <is>
          <t>9,27</t>
        </is>
      </c>
      <c r="M1242" s="63" t="inlineStr">
        <is>
          <t>86,64</t>
        </is>
      </c>
      <c r="N1242" s="63" t="inlineStr">
        <is>
          <t>100,50</t>
        </is>
      </c>
      <c r="O1242" s="65" t="n"/>
      <c r="P1242" s="65" t="n"/>
      <c r="Q1242" s="65" t="n"/>
      <c r="R1242" s="65" t="n"/>
      <c r="S1242" s="65" t="n"/>
      <c r="T1242" s="65" t="n"/>
      <c r="U1242" s="65" t="n"/>
      <c r="V1242" s="65" t="n"/>
    </row>
    <row r="1243">
      <c r="A1243" s="65" t="n"/>
      <c r="B1243" s="65" t="n"/>
      <c r="C1243" s="65" t="n"/>
      <c r="D1243" s="65" t="n"/>
      <c r="E1243" s="65" t="n"/>
      <c r="F1243" s="65" t="n"/>
      <c r="G1243" s="65" t="n"/>
      <c r="H1243" s="65" t="inlineStr">
        <is>
          <t>[0013] ELITE API SN SAE 5W-30 (1x6)</t>
        </is>
      </c>
      <c r="I1243" s="65" t="n">
        <v>13</v>
      </c>
      <c r="J1243" s="63" t="inlineStr">
        <is>
          <t>1,00</t>
        </is>
      </c>
      <c r="K1243" s="63" t="inlineStr">
        <is>
          <t>72,94</t>
        </is>
      </c>
      <c r="L1243" s="63" t="inlineStr">
        <is>
          <t>13,13</t>
        </is>
      </c>
      <c r="M1243" s="63" t="inlineStr">
        <is>
          <t>63,36</t>
        </is>
      </c>
      <c r="N1243" s="63" t="inlineStr">
        <is>
          <t>73,50</t>
        </is>
      </c>
      <c r="O1243" s="65" t="n"/>
      <c r="P1243" s="65" t="n"/>
      <c r="Q1243" s="65" t="n"/>
      <c r="R1243" s="65" t="n"/>
      <c r="S1243" s="65" t="n"/>
      <c r="T1243" s="65" t="n"/>
      <c r="U1243" s="65" t="n"/>
      <c r="V1243" s="65" t="n"/>
    </row>
    <row r="1244">
      <c r="A1244" s="65" t="inlineStr">
        <is>
          <t>S00171</t>
        </is>
      </c>
      <c r="B1244" s="62" t="n">
        <v>46111.39857638889</v>
      </c>
      <c r="C1244" s="65" t="inlineStr">
        <is>
          <t>FREDI MARQUEZ</t>
        </is>
      </c>
      <c r="D1244" s="65" t="inlineStr">
        <is>
          <t>PEREZ DIAZ ANGEL DE DIOS</t>
        </is>
      </c>
      <c r="E1244" s="65" t="inlineStr">
        <is>
          <t>15 días</t>
        </is>
      </c>
      <c r="F1244" s="65" t="n">
        <v>4</v>
      </c>
      <c r="G1244" s="65" t="inlineStr">
        <is>
          <t>Precio Full Abril</t>
        </is>
      </c>
      <c r="H1244" s="65" t="inlineStr">
        <is>
          <t>[0602] SINOCO SAE 50 (PAILA)</t>
        </is>
      </c>
      <c r="I1244" s="65" t="n">
        <v>602</v>
      </c>
      <c r="J1244" s="63" t="inlineStr">
        <is>
          <t>4,00</t>
        </is>
      </c>
      <c r="K1244" s="63" t="inlineStr">
        <is>
          <t>86,64</t>
        </is>
      </c>
      <c r="L1244" s="63" t="inlineStr">
        <is>
          <t>35,33</t>
        </is>
      </c>
      <c r="M1244" s="63" t="inlineStr">
        <is>
          <t>224,12</t>
        </is>
      </c>
      <c r="N1244" s="63" t="inlineStr">
        <is>
          <t>259,98</t>
        </is>
      </c>
      <c r="O1244" s="63" t="inlineStr">
        <is>
          <t>224,12</t>
        </is>
      </c>
      <c r="P1244" s="63" t="inlineStr">
        <is>
          <t>259,98</t>
        </is>
      </c>
      <c r="Q1244" s="63" t="inlineStr">
        <is>
          <t>633,36</t>
        </is>
      </c>
      <c r="R1244" s="66" t="n">
        <v>46204</v>
      </c>
      <c r="S1244" s="65" t="n">
        <v>203</v>
      </c>
      <c r="T1244" s="65" t="inlineStr">
        <is>
          <t>00-00000697</t>
        </is>
      </c>
      <c r="U1244" s="63" t="inlineStr">
        <is>
          <t>259,97</t>
        </is>
      </c>
      <c r="V1244" s="63" t="inlineStr">
        <is>
          <t>0,00</t>
        </is>
      </c>
    </row>
    <row r="1245">
      <c r="A1245" s="65" t="inlineStr">
        <is>
          <t>S00170</t>
        </is>
      </c>
      <c r="B1245" s="62" t="n">
        <v>46111.3984837963</v>
      </c>
      <c r="C1245" s="65" t="inlineStr">
        <is>
          <t>EMPRENDIMIENTO IRMA RODRIGUEZ 6</t>
        </is>
      </c>
      <c r="D1245" s="65" t="inlineStr">
        <is>
          <t>TORO ARDILES DAVID JOSE</t>
        </is>
      </c>
      <c r="E1245" s="65" t="n"/>
      <c r="F1245" s="65" t="n">
        <v>4</v>
      </c>
      <c r="G1245" s="65" t="inlineStr">
        <is>
          <t>Precio Full Abril</t>
        </is>
      </c>
      <c r="H1245" s="65" t="inlineStr">
        <is>
          <t>[0779] SINOCO SAE 20W-50 (1x12)</t>
        </is>
      </c>
      <c r="I1245" s="65" t="n">
        <v>779</v>
      </c>
      <c r="J1245" s="63" t="inlineStr">
        <is>
          <t>2,00</t>
        </is>
      </c>
      <c r="K1245" s="63" t="inlineStr">
        <is>
          <t>62,07</t>
        </is>
      </c>
      <c r="L1245" s="63" t="inlineStr">
        <is>
          <t>36,19</t>
        </is>
      </c>
      <c r="M1245" s="63" t="inlineStr">
        <is>
          <t>79,21</t>
        </is>
      </c>
      <c r="N1245" s="63" t="inlineStr">
        <is>
          <t>91,88</t>
        </is>
      </c>
      <c r="O1245" s="63" t="inlineStr">
        <is>
          <t>213,70</t>
        </is>
      </c>
      <c r="P1245" s="63" t="inlineStr">
        <is>
          <t>247,88</t>
        </is>
      </c>
      <c r="Q1245" s="63" t="inlineStr">
        <is>
          <t>496,83</t>
        </is>
      </c>
      <c r="R1245" s="66" t="n">
        <v>46175</v>
      </c>
      <c r="S1245" s="65" t="n">
        <v>108</v>
      </c>
      <c r="T1245" s="65" t="inlineStr">
        <is>
          <t>00-00000480</t>
        </is>
      </c>
      <c r="U1245" s="63" t="inlineStr">
        <is>
          <t>247,98</t>
        </is>
      </c>
      <c r="V1245" s="63" t="inlineStr">
        <is>
          <t>0,12</t>
        </is>
      </c>
    </row>
    <row r="1246">
      <c r="A1246" s="65" t="n"/>
      <c r="B1246" s="65" t="n"/>
      <c r="C1246" s="65" t="n"/>
      <c r="D1246" s="65" t="n"/>
      <c r="E1246" s="65" t="n"/>
      <c r="F1246" s="65" t="n"/>
      <c r="G1246" s="65" t="n"/>
      <c r="H1246" s="65" t="inlineStr">
        <is>
          <t>[0915] SINOCO SAE 50 (1x12)</t>
        </is>
      </c>
      <c r="I1246" s="65" t="n">
        <v>915</v>
      </c>
      <c r="J1246" s="63" t="inlineStr">
        <is>
          <t>2,00</t>
        </is>
      </c>
      <c r="K1246" s="63" t="inlineStr">
        <is>
          <t>62,07</t>
        </is>
      </c>
      <c r="L1246" s="63" t="inlineStr">
        <is>
          <t>36,19</t>
        </is>
      </c>
      <c r="M1246" s="63" t="inlineStr">
        <is>
          <t>79,21</t>
        </is>
      </c>
      <c r="N1246" s="63" t="inlineStr">
        <is>
          <t>91,88</t>
        </is>
      </c>
      <c r="O1246" s="65" t="n"/>
      <c r="P1246" s="65" t="n"/>
      <c r="Q1246" s="65" t="n"/>
      <c r="R1246" s="65" t="n"/>
      <c r="S1246" s="65" t="n"/>
      <c r="T1246" s="65" t="n"/>
      <c r="U1246" s="65" t="n"/>
      <c r="V1246" s="65" t="n"/>
    </row>
    <row r="1247">
      <c r="A1247" s="65" t="n"/>
      <c r="B1247" s="65" t="n"/>
      <c r="C1247" s="65" t="n"/>
      <c r="D1247" s="65" t="n"/>
      <c r="E1247" s="65" t="n"/>
      <c r="F1247" s="65" t="n"/>
      <c r="G1247" s="65" t="n"/>
      <c r="H1247" s="65" t="inlineStr">
        <is>
          <t>[0884] TRANSMATIC ATF DEXRON III (1x12)</t>
        </is>
      </c>
      <c r="I1247" s="65" t="n">
        <v>884</v>
      </c>
      <c r="J1247" s="63" t="inlineStr">
        <is>
          <t>1,00</t>
        </is>
      </c>
      <c r="K1247" s="63" t="inlineStr">
        <is>
          <t>86,64</t>
        </is>
      </c>
      <c r="L1247" s="63" t="inlineStr">
        <is>
          <t>36,19</t>
        </is>
      </c>
      <c r="M1247" s="63" t="inlineStr">
        <is>
          <t>55,28</t>
        </is>
      </c>
      <c r="N1247" s="63" t="inlineStr">
        <is>
          <t>64,12</t>
        </is>
      </c>
      <c r="O1247" s="65" t="n"/>
      <c r="P1247" s="65" t="n"/>
      <c r="Q1247" s="65" t="n"/>
      <c r="R1247" s="65" t="n"/>
      <c r="S1247" s="65" t="n"/>
      <c r="T1247" s="65" t="n"/>
      <c r="U1247" s="65" t="n"/>
      <c r="V1247" s="65" t="n"/>
    </row>
    <row r="1248">
      <c r="A1248" s="65" t="inlineStr">
        <is>
          <t>S00169</t>
        </is>
      </c>
      <c r="B1248" s="62" t="n">
        <v>46108.72655092592</v>
      </c>
      <c r="C1248" s="65" t="inlineStr">
        <is>
          <t>ALI ALEXANDER MORENO FIGUEREDO</t>
        </is>
      </c>
      <c r="D1248" s="65" t="inlineStr">
        <is>
          <t>VILLABONA CORREA ALBA ESTEFANIA</t>
        </is>
      </c>
      <c r="E1248" s="65" t="n"/>
      <c r="F1248" s="65" t="n">
        <v>4</v>
      </c>
      <c r="G1248" s="65" t="inlineStr">
        <is>
          <t>Precio Full Abril</t>
        </is>
      </c>
      <c r="H1248" s="65" t="inlineStr">
        <is>
          <t>[0761] LIGA PARA FRENOS DOT-3 (1x12)</t>
        </is>
      </c>
      <c r="I1248" s="65" t="n">
        <v>761</v>
      </c>
      <c r="J1248" s="63" t="inlineStr">
        <is>
          <t>1,00</t>
        </is>
      </c>
      <c r="K1248" s="63" t="inlineStr">
        <is>
          <t>31,03</t>
        </is>
      </c>
      <c r="L1248" s="63" t="inlineStr">
        <is>
          <t>33,32</t>
        </is>
      </c>
      <c r="M1248" s="63" t="inlineStr">
        <is>
          <t>20,69</t>
        </is>
      </c>
      <c r="N1248" s="63" t="inlineStr">
        <is>
          <t>24,00</t>
        </is>
      </c>
      <c r="O1248" s="63" t="inlineStr">
        <is>
          <t>20,69</t>
        </is>
      </c>
      <c r="P1248" s="63" t="inlineStr">
        <is>
          <t>24,00</t>
        </is>
      </c>
      <c r="Q1248" s="63" t="inlineStr">
        <is>
          <t>473,87</t>
        </is>
      </c>
      <c r="R1248" s="66" t="n">
        <v>46205</v>
      </c>
      <c r="S1248" s="65" t="n">
        <v>211</v>
      </c>
      <c r="T1248" s="65" t="inlineStr">
        <is>
          <t>00-00000715</t>
        </is>
      </c>
      <c r="U1248" s="63" t="inlineStr">
        <is>
          <t>23,98</t>
        </is>
      </c>
      <c r="V1248" s="63" t="inlineStr">
        <is>
          <t>0,00</t>
        </is>
      </c>
    </row>
    <row r="1249">
      <c r="A1249" s="65" t="inlineStr">
        <is>
          <t>S00168</t>
        </is>
      </c>
      <c r="B1249" s="62" t="n">
        <v>46108.66045138889</v>
      </c>
      <c r="C1249" s="65" t="inlineStr">
        <is>
          <t>ADS SERVICE C.A</t>
        </is>
      </c>
      <c r="D1249" s="65" t="inlineStr">
        <is>
          <t>PEREZ DIAZ ANGEL DE DIOS</t>
        </is>
      </c>
      <c r="E1249" s="65" t="inlineStr">
        <is>
          <t>15 días</t>
        </is>
      </c>
      <c r="F1249" s="65" t="n">
        <v>4</v>
      </c>
      <c r="G1249" s="65" t="inlineStr">
        <is>
          <t>Precio Full Abril</t>
        </is>
      </c>
      <c r="H1249" s="65" t="inlineStr">
        <is>
          <t>[0884] TRANSMATIC ATF DEXRON III (1x12)</t>
        </is>
      </c>
      <c r="I1249" s="65" t="n">
        <v>884</v>
      </c>
      <c r="J1249" s="63" t="inlineStr">
        <is>
          <t>1,00</t>
        </is>
      </c>
      <c r="K1249" s="63" t="inlineStr">
        <is>
          <t>86,64</t>
        </is>
      </c>
      <c r="L1249" s="63" t="inlineStr">
        <is>
          <t>0,00</t>
        </is>
      </c>
      <c r="M1249" s="63" t="inlineStr">
        <is>
          <t>86,64</t>
        </is>
      </c>
      <c r="N1249" s="63" t="inlineStr">
        <is>
          <t>100,50</t>
        </is>
      </c>
      <c r="O1249" s="63" t="inlineStr">
        <is>
          <t>321,98</t>
        </is>
      </c>
      <c r="P1249" s="63" t="inlineStr">
        <is>
          <t>373,50</t>
        </is>
      </c>
      <c r="Q1249" s="63" t="inlineStr">
        <is>
          <t>473,87</t>
        </is>
      </c>
      <c r="R1249" s="66" t="n">
        <v>46162</v>
      </c>
      <c r="S1249" s="65" t="n">
        <v>79</v>
      </c>
      <c r="T1249" s="65" t="inlineStr">
        <is>
          <t>00-00000399</t>
        </is>
      </c>
      <c r="U1249" s="63" t="inlineStr">
        <is>
          <t>249,99</t>
        </is>
      </c>
      <c r="V1249" s="63" t="inlineStr">
        <is>
          <t>0,00</t>
        </is>
      </c>
    </row>
    <row r="1250">
      <c r="A1250" s="65" t="n"/>
      <c r="B1250" s="65" t="n"/>
      <c r="C1250" s="65" t="n"/>
      <c r="D1250" s="65" t="n"/>
      <c r="E1250" s="65" t="n"/>
      <c r="F1250" s="65" t="n"/>
      <c r="G1250" s="65" t="n"/>
      <c r="H1250" s="65" t="inlineStr">
        <is>
          <t>[0877] SS EXTRA PROTECCION API SN SAE 15W-40 (1X12)</t>
        </is>
      </c>
      <c r="I1250" s="65" t="n">
        <v>877</v>
      </c>
      <c r="J1250" s="63" t="inlineStr">
        <is>
          <t>1,00</t>
        </is>
      </c>
      <c r="K1250" s="63" t="inlineStr">
        <is>
          <t>93,10</t>
        </is>
      </c>
      <c r="L1250" s="63" t="inlineStr">
        <is>
          <t>0,00</t>
        </is>
      </c>
      <c r="M1250" s="63" t="inlineStr">
        <is>
          <t>93,10</t>
        </is>
      </c>
      <c r="N1250" s="63" t="inlineStr">
        <is>
          <t>108,00</t>
        </is>
      </c>
      <c r="O1250" s="65" t="n"/>
      <c r="P1250" s="65" t="n"/>
      <c r="Q1250" s="65" t="n"/>
      <c r="R1250" s="65" t="n"/>
      <c r="S1250" s="65" t="n"/>
      <c r="T1250" s="65" t="n"/>
      <c r="U1250" s="65" t="n"/>
      <c r="V1250" s="65" t="n"/>
    </row>
    <row r="1251">
      <c r="A1251" s="65" t="n"/>
      <c r="B1251" s="65" t="n"/>
      <c r="C1251" s="65" t="n"/>
      <c r="D1251" s="65" t="n"/>
      <c r="E1251" s="65" t="n"/>
      <c r="F1251" s="65" t="n"/>
      <c r="G1251" s="65" t="n"/>
      <c r="H1251" s="65" t="inlineStr">
        <is>
          <t>[0880] CLASICO API SL SAE 15W-40 (1x12)</t>
        </is>
      </c>
      <c r="I1251" s="65" t="n">
        <v>880</v>
      </c>
      <c r="J1251" s="63" t="inlineStr">
        <is>
          <t>1,00</t>
        </is>
      </c>
      <c r="K1251" s="63" t="inlineStr">
        <is>
          <t>80,17</t>
        </is>
      </c>
      <c r="L1251" s="63" t="inlineStr">
        <is>
          <t>0,00</t>
        </is>
      </c>
      <c r="M1251" s="63" t="inlineStr">
        <is>
          <t>80,17</t>
        </is>
      </c>
      <c r="N1251" s="63" t="inlineStr">
        <is>
          <t>93,00</t>
        </is>
      </c>
      <c r="O1251" s="65" t="n"/>
      <c r="P1251" s="65" t="n"/>
      <c r="Q1251" s="65" t="n"/>
      <c r="R1251" s="65" t="n"/>
      <c r="S1251" s="65" t="n"/>
      <c r="T1251" s="65" t="n"/>
      <c r="U1251" s="65" t="n"/>
      <c r="V1251" s="65" t="n"/>
    </row>
    <row r="1252">
      <c r="A1252" s="65" t="n"/>
      <c r="B1252" s="65" t="n"/>
      <c r="C1252" s="65" t="n"/>
      <c r="D1252" s="65" t="n"/>
      <c r="E1252" s="65" t="n"/>
      <c r="F1252" s="65" t="n"/>
      <c r="G1252" s="65" t="n"/>
      <c r="H1252" s="65" t="inlineStr">
        <is>
          <t>[0779] SINOCO SAE 20W-50 (1x12)</t>
        </is>
      </c>
      <c r="I1252" s="65" t="n">
        <v>779</v>
      </c>
      <c r="J1252" s="63" t="inlineStr">
        <is>
          <t>1,00</t>
        </is>
      </c>
      <c r="K1252" s="63" t="inlineStr">
        <is>
          <t>62,07</t>
        </is>
      </c>
      <c r="L1252" s="63" t="inlineStr">
        <is>
          <t>0,00</t>
        </is>
      </c>
      <c r="M1252" s="63" t="inlineStr">
        <is>
          <t>62,07</t>
        </is>
      </c>
      <c r="N1252" s="63" t="inlineStr">
        <is>
          <t>72,00</t>
        </is>
      </c>
      <c r="O1252" s="65" t="n"/>
      <c r="P1252" s="65" t="n"/>
      <c r="Q1252" s="65" t="n"/>
      <c r="R1252" s="65" t="n"/>
      <c r="S1252" s="65" t="n"/>
      <c r="T1252" s="65" t="n"/>
      <c r="U1252" s="65" t="n"/>
      <c r="V1252" s="65" t="n"/>
    </row>
    <row r="1253">
      <c r="A1253" s="65" t="n"/>
      <c r="B1253" s="65" t="n"/>
      <c r="C1253" s="65" t="n"/>
      <c r="D1253" s="65" t="n"/>
      <c r="E1253" s="65" t="n"/>
      <c r="F1253" s="65" t="n"/>
      <c r="G1253" s="65" t="n"/>
      <c r="H1253" s="65" t="inlineStr">
        <is>
          <t>[0792] REFRIGERANTE GLOBAL ROJO (1X3)</t>
        </is>
      </c>
      <c r="I1253" s="65" t="n">
        <v>792</v>
      </c>
      <c r="J1253" s="63" t="inlineStr">
        <is>
          <t>0,00</t>
        </is>
      </c>
      <c r="K1253" s="63" t="inlineStr">
        <is>
          <t>31,03</t>
        </is>
      </c>
      <c r="L1253" s="63" t="inlineStr">
        <is>
          <t>0,00</t>
        </is>
      </c>
      <c r="M1253" s="63" t="inlineStr">
        <is>
          <t>0,00</t>
        </is>
      </c>
      <c r="N1253" s="63" t="inlineStr">
        <is>
          <t>0,00</t>
        </is>
      </c>
      <c r="O1253" s="65" t="n"/>
      <c r="P1253" s="65" t="n"/>
      <c r="Q1253" s="65" t="n"/>
      <c r="R1253" s="65" t="n"/>
      <c r="S1253" s="65" t="n"/>
      <c r="T1253" s="65" t="n"/>
      <c r="U1253" s="65" t="n"/>
      <c r="V1253" s="65" t="n"/>
    </row>
    <row r="1254">
      <c r="A1254" s="65" t="inlineStr">
        <is>
          <t>S00167</t>
        </is>
      </c>
      <c r="B1254" s="62" t="n">
        <v>46108.66016203703</v>
      </c>
      <c r="C1254" s="65" t="inlineStr">
        <is>
          <t>Frenos Elite, C.A</t>
        </is>
      </c>
      <c r="D1254" s="65" t="inlineStr">
        <is>
          <t>OCANTO ZABALA ROSALVY DEL CARMEN</t>
        </is>
      </c>
      <c r="E1254" s="65" t="inlineStr">
        <is>
          <t>7 días</t>
        </is>
      </c>
      <c r="F1254" s="65" t="n">
        <v>4</v>
      </c>
      <c r="G1254" s="65" t="inlineStr">
        <is>
          <t>Precio Full Abril</t>
        </is>
      </c>
      <c r="H1254" s="65" t="inlineStr">
        <is>
          <t>[0761] LIGA PARA FRENOS DOT-3 (1x12)</t>
        </is>
      </c>
      <c r="I1254" s="65" t="n">
        <v>761</v>
      </c>
      <c r="J1254" s="63" t="inlineStr">
        <is>
          <t>1,00</t>
        </is>
      </c>
      <c r="K1254" s="63" t="inlineStr">
        <is>
          <t>35,81</t>
        </is>
      </c>
      <c r="L1254" s="63" t="inlineStr">
        <is>
          <t>13,35</t>
        </is>
      </c>
      <c r="M1254" s="63" t="inlineStr">
        <is>
          <t>31,03</t>
        </is>
      </c>
      <c r="N1254" s="63" t="inlineStr">
        <is>
          <t>35,99</t>
        </is>
      </c>
      <c r="O1254" s="63" t="inlineStr">
        <is>
          <t>142,23</t>
        </is>
      </c>
      <c r="P1254" s="63" t="inlineStr">
        <is>
          <t>164,98</t>
        </is>
      </c>
      <c r="Q1254" s="63" t="inlineStr">
        <is>
          <t>709,69</t>
        </is>
      </c>
      <c r="R1254" s="66" t="n">
        <v>46214</v>
      </c>
      <c r="S1254" s="65" t="n">
        <v>273</v>
      </c>
      <c r="T1254" s="65" t="inlineStr">
        <is>
          <t>00-00000810</t>
        </is>
      </c>
      <c r="U1254" s="63" t="inlineStr">
        <is>
          <t>164,97</t>
        </is>
      </c>
      <c r="V1254" s="63" t="inlineStr">
        <is>
          <t>115,00</t>
        </is>
      </c>
    </row>
    <row r="1255">
      <c r="A1255" s="65" t="n"/>
      <c r="B1255" s="65" t="n"/>
      <c r="C1255" s="65" t="n"/>
      <c r="D1255" s="65" t="n"/>
      <c r="E1255" s="65" t="n"/>
      <c r="F1255" s="65" t="n"/>
      <c r="G1255" s="65" t="n"/>
      <c r="H1255" s="65" t="inlineStr">
        <is>
          <t>[0775] LIGA PARA FRENOS DOT-4 (1X12)</t>
        </is>
      </c>
      <c r="I1255" s="65" t="n">
        <v>775</v>
      </c>
      <c r="J1255" s="63" t="inlineStr">
        <is>
          <t>2,00</t>
        </is>
      </c>
      <c r="K1255" s="63" t="inlineStr">
        <is>
          <t>55,60</t>
        </is>
      </c>
      <c r="L1255" s="63" t="inlineStr">
        <is>
          <t>0,00</t>
        </is>
      </c>
      <c r="M1255" s="63" t="inlineStr">
        <is>
          <t>111,20</t>
        </is>
      </c>
      <c r="N1255" s="63" t="inlineStr">
        <is>
          <t>128,99</t>
        </is>
      </c>
      <c r="O1255" s="65" t="n"/>
      <c r="P1255" s="65" t="n"/>
      <c r="Q1255" s="65" t="n"/>
      <c r="R1255" s="65" t="n"/>
      <c r="S1255" s="65" t="n"/>
      <c r="T1255" s="65" t="n"/>
      <c r="U1255" s="65" t="n"/>
      <c r="V1255" s="65" t="n"/>
    </row>
    <row r="1256">
      <c r="A1256" s="65" t="inlineStr">
        <is>
          <t>S00166</t>
        </is>
      </c>
      <c r="B1256" s="62" t="n">
        <v>46108.66005787037</v>
      </c>
      <c r="C1256" s="65" t="inlineStr">
        <is>
          <t>Grupo Biker Way mm, C.A</t>
        </is>
      </c>
      <c r="D1256" s="65" t="inlineStr">
        <is>
          <t>OCANTO ZABALA ROSALVY DEL CARMEN</t>
        </is>
      </c>
      <c r="E1256" s="65" t="inlineStr">
        <is>
          <t>7 días</t>
        </is>
      </c>
      <c r="F1256" s="65" t="n">
        <v>4</v>
      </c>
      <c r="G1256" s="65" t="inlineStr">
        <is>
          <t>Precio Full Abril</t>
        </is>
      </c>
      <c r="H1256" s="65" t="inlineStr">
        <is>
          <t>[0887] MOTOCLASICO 4T SAE 20W-50 (1x12)</t>
        </is>
      </c>
      <c r="I1256" s="65" t="n">
        <v>887</v>
      </c>
      <c r="J1256" s="63" t="inlineStr">
        <is>
          <t>1,00</t>
        </is>
      </c>
      <c r="K1256" s="63" t="inlineStr">
        <is>
          <t>90,19</t>
        </is>
      </c>
      <c r="L1256" s="63" t="inlineStr">
        <is>
          <t>5,38</t>
        </is>
      </c>
      <c r="M1256" s="63" t="inlineStr">
        <is>
          <t>85,34</t>
        </is>
      </c>
      <c r="N1256" s="63" t="inlineStr">
        <is>
          <t>98,99</t>
        </is>
      </c>
      <c r="O1256" s="63" t="inlineStr">
        <is>
          <t>173,28</t>
        </is>
      </c>
      <c r="P1256" s="63" t="inlineStr">
        <is>
          <t>201,00</t>
        </is>
      </c>
      <c r="Q1256" s="63" t="inlineStr">
        <is>
          <t>709,69</t>
        </is>
      </c>
      <c r="R1256" s="66" t="n">
        <v>46214</v>
      </c>
      <c r="S1256" s="65" t="n">
        <v>272</v>
      </c>
      <c r="T1256" s="65" t="inlineStr">
        <is>
          <t>00-00000809</t>
        </is>
      </c>
      <c r="U1256" s="63" t="inlineStr">
        <is>
          <t>200,98</t>
        </is>
      </c>
      <c r="V1256" s="63" t="inlineStr">
        <is>
          <t>201,00</t>
        </is>
      </c>
    </row>
    <row r="1257">
      <c r="A1257" s="65" t="n"/>
      <c r="B1257" s="65" t="n"/>
      <c r="C1257" s="65" t="n"/>
      <c r="D1257" s="65" t="n"/>
      <c r="E1257" s="65" t="n"/>
      <c r="F1257" s="65" t="n"/>
      <c r="G1257" s="65" t="n"/>
      <c r="H1257" s="65" t="inlineStr">
        <is>
          <t>[0093] ALTA CILINDRADA SS API SN SAE 15W-40 (1x6)</t>
        </is>
      </c>
      <c r="I1257" s="65" t="n">
        <v>93</v>
      </c>
      <c r="J1257" s="63" t="inlineStr">
        <is>
          <t>2,00</t>
        </is>
      </c>
      <c r="K1257" s="63" t="inlineStr">
        <is>
          <t>46,42</t>
        </is>
      </c>
      <c r="L1257" s="63" t="inlineStr">
        <is>
          <t>5,28</t>
        </is>
      </c>
      <c r="M1257" s="63" t="inlineStr">
        <is>
          <t>87,94</t>
        </is>
      </c>
      <c r="N1257" s="63" t="inlineStr">
        <is>
          <t>102,01</t>
        </is>
      </c>
      <c r="O1257" s="65" t="n"/>
      <c r="P1257" s="65" t="n"/>
      <c r="Q1257" s="65" t="n"/>
      <c r="R1257" s="65" t="n"/>
      <c r="S1257" s="65" t="n"/>
      <c r="T1257" s="65" t="n"/>
      <c r="U1257" s="65" t="n"/>
      <c r="V1257" s="65" t="n"/>
    </row>
    <row r="1258">
      <c r="A1258" s="65" t="inlineStr">
        <is>
          <t>S00164</t>
        </is>
      </c>
      <c r="B1258" s="62" t="n">
        <v>46108.56298611111</v>
      </c>
      <c r="C1258" s="65" t="inlineStr">
        <is>
          <t>INVERSIONES IRETE SUKA, C.A</t>
        </is>
      </c>
      <c r="D1258" s="65" t="inlineStr">
        <is>
          <t>VILLABONA CORREA ALBA ESTEFANIA</t>
        </is>
      </c>
      <c r="E1258" s="65" t="inlineStr">
        <is>
          <t>7 días</t>
        </is>
      </c>
      <c r="F1258" s="65" t="n">
        <v>4</v>
      </c>
      <c r="G1258" s="65" t="inlineStr">
        <is>
          <t>Precio Full Abril</t>
        </is>
      </c>
      <c r="H1258" s="65" t="inlineStr">
        <is>
          <t>[0877] SS EXTRA PROTECCION API SN SAE 15W-40 (1X12)</t>
        </is>
      </c>
      <c r="I1258" s="65" t="n">
        <v>877</v>
      </c>
      <c r="J1258" s="63" t="inlineStr">
        <is>
          <t>1,00</t>
        </is>
      </c>
      <c r="K1258" s="63" t="inlineStr">
        <is>
          <t>93,10</t>
        </is>
      </c>
      <c r="L1258" s="63" t="inlineStr">
        <is>
          <t>0,00</t>
        </is>
      </c>
      <c r="M1258" s="63" t="inlineStr">
        <is>
          <t>93,10</t>
        </is>
      </c>
      <c r="N1258" s="63" t="inlineStr">
        <is>
          <t>108,00</t>
        </is>
      </c>
      <c r="O1258" s="63" t="inlineStr">
        <is>
          <t>305,83</t>
        </is>
      </c>
      <c r="P1258" s="63" t="inlineStr">
        <is>
          <t>354,77</t>
        </is>
      </c>
      <c r="Q1258" s="63" t="inlineStr">
        <is>
          <t>473,87</t>
        </is>
      </c>
      <c r="R1258" s="66" t="n">
        <v>46185</v>
      </c>
      <c r="S1258" s="65" t="n">
        <v>173</v>
      </c>
      <c r="T1258" s="65" t="inlineStr">
        <is>
          <t>00-00000616</t>
        </is>
      </c>
      <c r="U1258" s="63" t="inlineStr">
        <is>
          <t>241,98</t>
        </is>
      </c>
      <c r="V1258" s="63" t="inlineStr">
        <is>
          <t>0,00</t>
        </is>
      </c>
    </row>
    <row r="1259">
      <c r="A1259" s="65" t="n"/>
      <c r="B1259" s="65" t="n"/>
      <c r="C1259" s="65" t="n"/>
      <c r="D1259" s="65" t="n"/>
      <c r="E1259" s="65" t="n"/>
      <c r="F1259" s="65" t="n"/>
      <c r="G1259" s="65" t="n"/>
      <c r="H1259" s="65" t="n"/>
      <c r="I1259" s="65" t="n"/>
      <c r="J1259" s="63" t="inlineStr">
        <is>
          <t>0,00</t>
        </is>
      </c>
      <c r="K1259" s="63" t="inlineStr">
        <is>
          <t>0,00</t>
        </is>
      </c>
      <c r="L1259" s="63" t="inlineStr">
        <is>
          <t>0,00</t>
        </is>
      </c>
      <c r="M1259" s="63" t="inlineStr">
        <is>
          <t>0,00</t>
        </is>
      </c>
      <c r="N1259" s="63" t="inlineStr">
        <is>
          <t>0,00</t>
        </is>
      </c>
      <c r="O1259" s="65" t="n"/>
      <c r="P1259" s="65" t="n"/>
      <c r="Q1259" s="65" t="n"/>
      <c r="R1259" s="65" t="n"/>
      <c r="S1259" s="65" t="n"/>
      <c r="T1259" s="65" t="n"/>
      <c r="U1259" s="65" t="n"/>
      <c r="V1259" s="65" t="n"/>
    </row>
    <row r="1260">
      <c r="A1260" s="65" t="n"/>
      <c r="B1260" s="65" t="n"/>
      <c r="C1260" s="65" t="n"/>
      <c r="D1260" s="65" t="n"/>
      <c r="E1260" s="65" t="n"/>
      <c r="F1260" s="65" t="n"/>
      <c r="G1260" s="65" t="n"/>
      <c r="H1260" s="65" t="inlineStr">
        <is>
          <t>[0880] CLASICO API SL SAE 15W-40 (1x12)</t>
        </is>
      </c>
      <c r="I1260" s="65" t="n">
        <v>880</v>
      </c>
      <c r="J1260" s="63" t="inlineStr">
        <is>
          <t>1,00</t>
        </is>
      </c>
      <c r="K1260" s="63" t="inlineStr">
        <is>
          <t>80,17</t>
        </is>
      </c>
      <c r="L1260" s="63" t="inlineStr">
        <is>
          <t>0,00</t>
        </is>
      </c>
      <c r="M1260" s="63" t="inlineStr">
        <is>
          <t>80,17</t>
        </is>
      </c>
      <c r="N1260" s="63" t="inlineStr">
        <is>
          <t>93,00</t>
        </is>
      </c>
      <c r="O1260" s="65" t="n"/>
      <c r="P1260" s="65" t="n"/>
      <c r="Q1260" s="65" t="n"/>
      <c r="R1260" s="65" t="n"/>
      <c r="S1260" s="65" t="n"/>
      <c r="T1260" s="65" t="n"/>
      <c r="U1260" s="65" t="n"/>
      <c r="V1260" s="65" t="n"/>
    </row>
    <row r="1261">
      <c r="A1261" s="65" t="n"/>
      <c r="B1261" s="65" t="n"/>
      <c r="C1261" s="65" t="n"/>
      <c r="D1261" s="65" t="n"/>
      <c r="E1261" s="65" t="n"/>
      <c r="F1261" s="65" t="n"/>
      <c r="G1261" s="65" t="n"/>
      <c r="H1261" s="65" t="inlineStr">
        <is>
          <t>[0878] SS EXTRA PROTECCION API SN SAE 20W-50 (1x12)</t>
        </is>
      </c>
      <c r="I1261" s="65" t="n">
        <v>878</v>
      </c>
      <c r="J1261" s="63" t="inlineStr">
        <is>
          <t>1,00</t>
        </is>
      </c>
      <c r="K1261" s="63" t="inlineStr">
        <is>
          <t>93,10</t>
        </is>
      </c>
      <c r="L1261" s="63" t="inlineStr">
        <is>
          <t>0,00</t>
        </is>
      </c>
      <c r="M1261" s="63" t="inlineStr">
        <is>
          <t>93,10</t>
        </is>
      </c>
      <c r="N1261" s="63" t="inlineStr">
        <is>
          <t>108,00</t>
        </is>
      </c>
      <c r="O1261" s="65" t="n"/>
      <c r="P1261" s="65" t="n"/>
      <c r="Q1261" s="65" t="n"/>
      <c r="R1261" s="65" t="n"/>
      <c r="S1261" s="65" t="n"/>
      <c r="T1261" s="65" t="n"/>
      <c r="U1261" s="65" t="n"/>
      <c r="V1261" s="65" t="n"/>
    </row>
    <row r="1262">
      <c r="A1262" s="65" t="n"/>
      <c r="B1262" s="65" t="n"/>
      <c r="C1262" s="65" t="n"/>
      <c r="D1262" s="65" t="n"/>
      <c r="E1262" s="65" t="n"/>
      <c r="F1262" s="65" t="n"/>
      <c r="G1262" s="65" t="n"/>
      <c r="H1262" s="65" t="inlineStr">
        <is>
          <t>[0121] TRANSGLOB API GL-5 SAE 80W-90 (1x6)</t>
        </is>
      </c>
      <c r="I1262" s="65" t="n">
        <v>121</v>
      </c>
      <c r="J1262" s="63" t="inlineStr">
        <is>
          <t>1,00</t>
        </is>
      </c>
      <c r="K1262" s="63" t="inlineStr">
        <is>
          <t>39,46</t>
        </is>
      </c>
      <c r="L1262" s="63" t="inlineStr">
        <is>
          <t>0,00</t>
        </is>
      </c>
      <c r="M1262" s="63" t="inlineStr">
        <is>
          <t>39,46</t>
        </is>
      </c>
      <c r="N1262" s="63" t="inlineStr">
        <is>
          <t>45,77</t>
        </is>
      </c>
      <c r="O1262" s="65" t="n"/>
      <c r="P1262" s="65" t="n"/>
      <c r="Q1262" s="65" t="n"/>
      <c r="R1262" s="65" t="n"/>
      <c r="S1262" s="65" t="n"/>
      <c r="T1262" s="65" t="n"/>
      <c r="U1262" s="65" t="n"/>
      <c r="V1262" s="65" t="n"/>
    </row>
    <row r="1263">
      <c r="A1263" s="65" t="inlineStr">
        <is>
          <t>S00163</t>
        </is>
      </c>
      <c r="B1263" s="62" t="n">
        <v>46108.38326388889</v>
      </c>
      <c r="C1263" s="65" t="inlineStr">
        <is>
          <t>DISTRIBUIDORA MULTIAHORRO C.A.</t>
        </is>
      </c>
      <c r="D1263" s="65" t="inlineStr">
        <is>
          <t>TORO ARDILES DAVID JOSE</t>
        </is>
      </c>
      <c r="E1263" s="65" t="n"/>
      <c r="F1263" s="65" t="n">
        <v>4</v>
      </c>
      <c r="G1263" s="65" t="inlineStr">
        <is>
          <t>Precio Full Abril</t>
        </is>
      </c>
      <c r="H1263" s="65" t="inlineStr">
        <is>
          <t>[0779] SINOCO SAE 20W-50 (1x12)</t>
        </is>
      </c>
      <c r="I1263" s="65" t="n">
        <v>779</v>
      </c>
      <c r="J1263" s="63" t="inlineStr">
        <is>
          <t>1,00</t>
        </is>
      </c>
      <c r="K1263" s="63" t="inlineStr">
        <is>
          <t>61,82</t>
        </is>
      </c>
      <c r="L1263" s="63" t="inlineStr">
        <is>
          <t>0,00</t>
        </is>
      </c>
      <c r="M1263" s="63" t="inlineStr">
        <is>
          <t>61,82</t>
        </is>
      </c>
      <c r="N1263" s="63" t="inlineStr">
        <is>
          <t>71,71</t>
        </is>
      </c>
      <c r="O1263" s="63" t="inlineStr">
        <is>
          <t>297,50</t>
        </is>
      </c>
      <c r="P1263" s="63" t="inlineStr">
        <is>
          <t>345,10</t>
        </is>
      </c>
      <c r="Q1263" s="63" t="inlineStr">
        <is>
          <t>473,87</t>
        </is>
      </c>
      <c r="R1263" s="66" t="n">
        <v>46149</v>
      </c>
      <c r="S1263" s="65" t="n">
        <v>32</v>
      </c>
      <c r="T1263" s="65" t="inlineStr">
        <is>
          <t>00-00000275</t>
        </is>
      </c>
      <c r="U1263" s="63" t="inlineStr">
        <is>
          <t>341,17</t>
        </is>
      </c>
      <c r="V1263" s="63" t="inlineStr">
        <is>
          <t>0,00</t>
        </is>
      </c>
    </row>
    <row r="1264">
      <c r="A1264" s="65" t="n"/>
      <c r="B1264" s="65" t="n"/>
      <c r="C1264" s="65" t="n"/>
      <c r="D1264" s="65" t="n"/>
      <c r="E1264" s="65" t="n"/>
      <c r="F1264" s="65" t="n"/>
      <c r="G1264" s="65" t="n"/>
      <c r="H1264" s="65" t="inlineStr">
        <is>
          <t>[0915] SINOCO SAE 50 (1x12)</t>
        </is>
      </c>
      <c r="I1264" s="65" t="n">
        <v>915</v>
      </c>
      <c r="J1264" s="63" t="inlineStr">
        <is>
          <t>1,00</t>
        </is>
      </c>
      <c r="K1264" s="63" t="inlineStr">
        <is>
          <t>61,82</t>
        </is>
      </c>
      <c r="L1264" s="63" t="inlineStr">
        <is>
          <t>0,00</t>
        </is>
      </c>
      <c r="M1264" s="63" t="inlineStr">
        <is>
          <t>61,82</t>
        </is>
      </c>
      <c r="N1264" s="63" t="inlineStr">
        <is>
          <t>71,71</t>
        </is>
      </c>
      <c r="O1264" s="65" t="n"/>
      <c r="P1264" s="65" t="n"/>
      <c r="Q1264" s="65" t="n"/>
      <c r="R1264" s="65" t="n"/>
      <c r="S1264" s="65" t="n"/>
      <c r="T1264" s="65" t="n"/>
      <c r="U1264" s="65" t="n"/>
      <c r="V1264" s="65" t="n"/>
    </row>
    <row r="1265">
      <c r="A1265" s="65" t="n"/>
      <c r="B1265" s="65" t="n"/>
      <c r="C1265" s="65" t="n"/>
      <c r="D1265" s="65" t="n"/>
      <c r="E1265" s="65" t="n"/>
      <c r="F1265" s="65" t="n"/>
      <c r="G1265" s="65" t="n"/>
      <c r="H1265" s="65" t="inlineStr">
        <is>
          <t>[0877] SS EXTRA PROTECCION API SN SAE 15W-40 (1X12)</t>
        </is>
      </c>
      <c r="I1265" s="65" t="n">
        <v>877</v>
      </c>
      <c r="J1265" s="63" t="inlineStr">
        <is>
          <t>1,00</t>
        </is>
      </c>
      <c r="K1265" s="63" t="inlineStr">
        <is>
          <t>92,72</t>
        </is>
      </c>
      <c r="L1265" s="63" t="inlineStr">
        <is>
          <t>0,00</t>
        </is>
      </c>
      <c r="M1265" s="63" t="inlineStr">
        <is>
          <t>92,72</t>
        </is>
      </c>
      <c r="N1265" s="63" t="inlineStr">
        <is>
          <t>107,56</t>
        </is>
      </c>
      <c r="O1265" s="65" t="n"/>
      <c r="P1265" s="65" t="n"/>
      <c r="Q1265" s="65" t="n"/>
      <c r="R1265" s="65" t="n"/>
      <c r="S1265" s="65" t="n"/>
      <c r="T1265" s="65" t="n"/>
      <c r="U1265" s="65" t="n"/>
      <c r="V1265" s="65" t="n"/>
    </row>
    <row r="1266">
      <c r="A1266" s="65" t="n"/>
      <c r="B1266" s="65" t="n"/>
      <c r="C1266" s="65" t="n"/>
      <c r="D1266" s="65" t="n"/>
      <c r="E1266" s="65" t="n"/>
      <c r="F1266" s="65" t="n"/>
      <c r="G1266" s="65" t="n"/>
      <c r="H1266" s="65" t="inlineStr">
        <is>
          <t>[0881] CLASICO API SL SAE 20W-50 (1x12)</t>
        </is>
      </c>
      <c r="I1266" s="65" t="n">
        <v>881</v>
      </c>
      <c r="J1266" s="63" t="inlineStr">
        <is>
          <t>1,00</t>
        </is>
      </c>
      <c r="K1266" s="63" t="inlineStr">
        <is>
          <t>81,14</t>
        </is>
      </c>
      <c r="L1266" s="63" t="inlineStr">
        <is>
          <t>0,00</t>
        </is>
      </c>
      <c r="M1266" s="63" t="inlineStr">
        <is>
          <t>81,14</t>
        </is>
      </c>
      <c r="N1266" s="63" t="inlineStr">
        <is>
          <t>94,12</t>
        </is>
      </c>
      <c r="O1266" s="65" t="n"/>
      <c r="P1266" s="65" t="n"/>
      <c r="Q1266" s="65" t="n"/>
      <c r="R1266" s="65" t="n"/>
      <c r="S1266" s="65" t="n"/>
      <c r="T1266" s="65" t="n"/>
      <c r="U1266" s="65" t="n"/>
      <c r="V1266" s="65" t="n"/>
    </row>
    <row r="1267">
      <c r="A1267" s="65" t="inlineStr">
        <is>
          <t>S00161</t>
        </is>
      </c>
      <c r="B1267" s="62" t="n">
        <v>46107.73677083333</v>
      </c>
      <c r="C1267" s="65" t="inlineStr">
        <is>
          <t>Mini Market Las Mercedes,c.a.</t>
        </is>
      </c>
      <c r="D1267" s="65" t="inlineStr">
        <is>
          <t>CASERES GONZALEZ RONALD OSWALDO</t>
        </is>
      </c>
      <c r="E1267" s="65" t="inlineStr">
        <is>
          <t>30 días</t>
        </is>
      </c>
      <c r="F1267" s="65" t="n">
        <v>3</v>
      </c>
      <c r="G1267" s="65" t="inlineStr">
        <is>
          <t>Precio Full Marzo</t>
        </is>
      </c>
      <c r="H1267" s="65" t="inlineStr">
        <is>
          <t>[0775] LIGA PARA FRENOS DOT-4 (1X12)</t>
        </is>
      </c>
      <c r="I1267" s="65" t="n">
        <v>775</v>
      </c>
      <c r="J1267" s="63" t="inlineStr">
        <is>
          <t>1,00</t>
        </is>
      </c>
      <c r="K1267" s="63" t="inlineStr">
        <is>
          <t>55,60</t>
        </is>
      </c>
      <c r="L1267" s="63" t="inlineStr">
        <is>
          <t>0,00</t>
        </is>
      </c>
      <c r="M1267" s="63" t="inlineStr">
        <is>
          <t>55,60</t>
        </is>
      </c>
      <c r="N1267" s="63" t="inlineStr">
        <is>
          <t>64,50</t>
        </is>
      </c>
      <c r="O1267" s="63" t="inlineStr">
        <is>
          <t>614,20</t>
        </is>
      </c>
      <c r="P1267" s="63" t="inlineStr">
        <is>
          <t>712,48</t>
        </is>
      </c>
      <c r="Q1267" s="65" t="n"/>
      <c r="R1267" s="65" t="n"/>
      <c r="S1267" s="65" t="n"/>
      <c r="T1267" s="65" t="n"/>
      <c r="U1267" s="65" t="n"/>
      <c r="V1267" s="65" t="n"/>
    </row>
    <row r="1268">
      <c r="A1268" s="65" t="n"/>
      <c r="B1268" s="65" t="n"/>
      <c r="C1268" s="65" t="n"/>
      <c r="D1268" s="65" t="n"/>
      <c r="E1268" s="65" t="n"/>
      <c r="F1268" s="65" t="n"/>
      <c r="G1268" s="65" t="n"/>
      <c r="H1268" s="65" t="inlineStr">
        <is>
          <t>[0877] SS EXTRA PROTECCION API SN SAE 15W-40 (1X12)</t>
        </is>
      </c>
      <c r="I1268" s="65" t="n">
        <v>877</v>
      </c>
      <c r="J1268" s="63" t="inlineStr">
        <is>
          <t>6,00</t>
        </is>
      </c>
      <c r="K1268" s="63" t="inlineStr">
        <is>
          <t>93,10</t>
        </is>
      </c>
      <c r="L1268" s="63" t="inlineStr">
        <is>
          <t>0,00</t>
        </is>
      </c>
      <c r="M1268" s="63" t="inlineStr">
        <is>
          <t>558,60</t>
        </is>
      </c>
      <c r="N1268" s="63" t="inlineStr">
        <is>
          <t>647,98</t>
        </is>
      </c>
      <c r="O1268" s="65" t="n"/>
      <c r="P1268" s="65" t="n"/>
      <c r="Q1268" s="65" t="n"/>
      <c r="R1268" s="65" t="n"/>
      <c r="S1268" s="65" t="n"/>
      <c r="T1268" s="65" t="n"/>
      <c r="U1268" s="65" t="n"/>
      <c r="V1268" s="65" t="n"/>
    </row>
    <row r="1269">
      <c r="A1269" s="65" t="inlineStr">
        <is>
          <t>S00160</t>
        </is>
      </c>
      <c r="B1269" s="62" t="n">
        <v>46107.7300925926</v>
      </c>
      <c r="C1269" s="65" t="inlineStr">
        <is>
          <t>Lubripartes Vzla, c.a.</t>
        </is>
      </c>
      <c r="D1269" s="65" t="inlineStr">
        <is>
          <t>CASERES GONZALEZ RONALD OSWALDO</t>
        </is>
      </c>
      <c r="E1269" s="65" t="inlineStr">
        <is>
          <t>21 días</t>
        </is>
      </c>
      <c r="F1269" s="65" t="n">
        <v>3</v>
      </c>
      <c r="G1269" s="65" t="inlineStr">
        <is>
          <t>Precio Full Marzo</t>
        </is>
      </c>
      <c r="H1269" s="65" t="inlineStr">
        <is>
          <t>[0001] ELITE API SP SAE 0W-20 (1x6)</t>
        </is>
      </c>
      <c r="I1269" s="65" t="n">
        <v>1</v>
      </c>
      <c r="J1269" s="63" t="inlineStr">
        <is>
          <t>2,00</t>
        </is>
      </c>
      <c r="K1269" s="63" t="inlineStr">
        <is>
          <t>63,36</t>
        </is>
      </c>
      <c r="L1269" s="63" t="inlineStr">
        <is>
          <t>0,00</t>
        </is>
      </c>
      <c r="M1269" s="63" t="inlineStr">
        <is>
          <t>126,72</t>
        </is>
      </c>
      <c r="N1269" s="63" t="inlineStr">
        <is>
          <t>147,00</t>
        </is>
      </c>
      <c r="O1269" s="63" t="inlineStr">
        <is>
          <t>1.622,28</t>
        </is>
      </c>
      <c r="P1269" s="63" t="inlineStr">
        <is>
          <t>1.881,85</t>
        </is>
      </c>
      <c r="Q1269" s="65" t="n"/>
      <c r="R1269" s="65" t="n"/>
      <c r="S1269" s="65" t="n"/>
      <c r="T1269" s="65" t="n"/>
      <c r="U1269" s="65" t="n"/>
      <c r="V1269" s="65" t="n"/>
    </row>
    <row r="1270">
      <c r="A1270" s="65" t="n"/>
      <c r="B1270" s="65" t="n"/>
      <c r="C1270" s="65" t="n"/>
      <c r="D1270" s="65" t="n"/>
      <c r="E1270" s="65" t="n"/>
      <c r="F1270" s="65" t="n"/>
      <c r="G1270" s="65" t="n"/>
      <c r="H1270" s="65" t="inlineStr">
        <is>
          <t>[0007] ELITE API SN SAE 5W-20 (1x6)</t>
        </is>
      </c>
      <c r="I1270" s="65" t="n">
        <v>7</v>
      </c>
      <c r="J1270" s="63" t="inlineStr">
        <is>
          <t>2,00</t>
        </is>
      </c>
      <c r="K1270" s="63" t="inlineStr">
        <is>
          <t>63,36</t>
        </is>
      </c>
      <c r="L1270" s="63" t="inlineStr">
        <is>
          <t>0,00</t>
        </is>
      </c>
      <c r="M1270" s="63" t="inlineStr">
        <is>
          <t>126,72</t>
        </is>
      </c>
      <c r="N1270" s="63" t="inlineStr">
        <is>
          <t>147,00</t>
        </is>
      </c>
      <c r="O1270" s="65" t="n"/>
      <c r="P1270" s="65" t="n"/>
      <c r="Q1270" s="65" t="n"/>
      <c r="R1270" s="65" t="n"/>
      <c r="S1270" s="65" t="n"/>
      <c r="T1270" s="65" t="n"/>
      <c r="U1270" s="65" t="n"/>
      <c r="V1270" s="65" t="n"/>
    </row>
    <row r="1271">
      <c r="A1271" s="65" t="n"/>
      <c r="B1271" s="65" t="n"/>
      <c r="C1271" s="65" t="n"/>
      <c r="D1271" s="65" t="n"/>
      <c r="E1271" s="65" t="n"/>
      <c r="F1271" s="65" t="n"/>
      <c r="G1271" s="65" t="n"/>
      <c r="H1271" s="65" t="inlineStr">
        <is>
          <t>[0013] ELITE API SN SAE 5W-30 (1x6)</t>
        </is>
      </c>
      <c r="I1271" s="65" t="n">
        <v>13</v>
      </c>
      <c r="J1271" s="63" t="inlineStr">
        <is>
          <t>2,00</t>
        </is>
      </c>
      <c r="K1271" s="63" t="inlineStr">
        <is>
          <t>63,36</t>
        </is>
      </c>
      <c r="L1271" s="63" t="inlineStr">
        <is>
          <t>0,00</t>
        </is>
      </c>
      <c r="M1271" s="63" t="inlineStr">
        <is>
          <t>126,72</t>
        </is>
      </c>
      <c r="N1271" s="63" t="inlineStr">
        <is>
          <t>147,00</t>
        </is>
      </c>
      <c r="O1271" s="65" t="n"/>
      <c r="P1271" s="65" t="n"/>
      <c r="Q1271" s="65" t="n"/>
      <c r="R1271" s="65" t="n"/>
      <c r="S1271" s="65" t="n"/>
      <c r="T1271" s="65" t="n"/>
      <c r="U1271" s="65" t="n"/>
      <c r="V1271" s="65" t="n"/>
    </row>
    <row r="1272">
      <c r="A1272" s="65" t="n"/>
      <c r="B1272" s="65" t="n"/>
      <c r="C1272" s="65" t="n"/>
      <c r="D1272" s="65" t="n"/>
      <c r="E1272" s="65" t="n"/>
      <c r="F1272" s="65" t="n"/>
      <c r="G1272" s="65" t="n"/>
      <c r="H1272" s="65" t="inlineStr">
        <is>
          <t>[0019] ELITE API SN SAE 5W-40 (1x6)</t>
        </is>
      </c>
      <c r="I1272" s="65" t="n">
        <v>19</v>
      </c>
      <c r="J1272" s="63" t="inlineStr">
        <is>
          <t>2,00</t>
        </is>
      </c>
      <c r="K1272" s="63" t="inlineStr">
        <is>
          <t>63,36</t>
        </is>
      </c>
      <c r="L1272" s="63" t="inlineStr">
        <is>
          <t>27,00</t>
        </is>
      </c>
      <c r="M1272" s="63" t="inlineStr">
        <is>
          <t>92,51</t>
        </is>
      </c>
      <c r="N1272" s="63" t="inlineStr">
        <is>
          <t>107,31</t>
        </is>
      </c>
      <c r="O1272" s="65" t="n"/>
      <c r="P1272" s="65" t="n"/>
      <c r="Q1272" s="65" t="n"/>
      <c r="R1272" s="65" t="n"/>
      <c r="S1272" s="65" t="n"/>
      <c r="T1272" s="65" t="n"/>
      <c r="U1272" s="65" t="n"/>
      <c r="V1272" s="65" t="n"/>
    </row>
    <row r="1273">
      <c r="A1273" s="65" t="n"/>
      <c r="B1273" s="65" t="n"/>
      <c r="C1273" s="65" t="n"/>
      <c r="D1273" s="65" t="n"/>
      <c r="E1273" s="65" t="n"/>
      <c r="F1273" s="65" t="n"/>
      <c r="G1273" s="65" t="n"/>
      <c r="H1273" s="65" t="inlineStr">
        <is>
          <t>[0880] CLASICO API SL SAE 15W-40 (1x12)</t>
        </is>
      </c>
      <c r="I1273" s="65" t="n">
        <v>880</v>
      </c>
      <c r="J1273" s="63" t="inlineStr">
        <is>
          <t>2,00</t>
        </is>
      </c>
      <c r="K1273" s="63" t="inlineStr">
        <is>
          <t>80,17</t>
        </is>
      </c>
      <c r="L1273" s="63" t="inlineStr">
        <is>
          <t>0,00</t>
        </is>
      </c>
      <c r="M1273" s="63" t="inlineStr">
        <is>
          <t>160,34</t>
        </is>
      </c>
      <c r="N1273" s="63" t="inlineStr">
        <is>
          <t>185,99</t>
        </is>
      </c>
      <c r="O1273" s="65" t="n"/>
      <c r="P1273" s="65" t="n"/>
      <c r="Q1273" s="65" t="n"/>
      <c r="R1273" s="65" t="n"/>
      <c r="S1273" s="65" t="n"/>
      <c r="T1273" s="65" t="n"/>
      <c r="U1273" s="65" t="n"/>
      <c r="V1273" s="65" t="n"/>
    </row>
    <row r="1274">
      <c r="A1274" s="65" t="n"/>
      <c r="B1274" s="65" t="n"/>
      <c r="C1274" s="65" t="n"/>
      <c r="D1274" s="65" t="n"/>
      <c r="E1274" s="65" t="n"/>
      <c r="F1274" s="65" t="n"/>
      <c r="G1274" s="65" t="n"/>
      <c r="H1274" s="65" t="inlineStr">
        <is>
          <t>[0881] CLASICO API SL SAE 20W-50 (1x12)</t>
        </is>
      </c>
      <c r="I1274" s="65" t="n">
        <v>881</v>
      </c>
      <c r="J1274" s="63" t="inlineStr">
        <is>
          <t>2,00</t>
        </is>
      </c>
      <c r="K1274" s="63" t="inlineStr">
        <is>
          <t>81,47</t>
        </is>
      </c>
      <c r="L1274" s="63" t="inlineStr">
        <is>
          <t>0,00</t>
        </is>
      </c>
      <c r="M1274" s="63" t="inlineStr">
        <is>
          <t>162,94</t>
        </is>
      </c>
      <c r="N1274" s="63" t="inlineStr">
        <is>
          <t>189,01</t>
        </is>
      </c>
      <c r="O1274" s="65" t="n"/>
      <c r="P1274" s="65" t="n"/>
      <c r="Q1274" s="65" t="n"/>
      <c r="R1274" s="65" t="n"/>
      <c r="S1274" s="65" t="n"/>
      <c r="T1274" s="65" t="n"/>
      <c r="U1274" s="65" t="n"/>
      <c r="V1274" s="65" t="n"/>
    </row>
    <row r="1275">
      <c r="A1275" s="65" t="n"/>
      <c r="B1275" s="65" t="n"/>
      <c r="C1275" s="65" t="n"/>
      <c r="D1275" s="65" t="n"/>
      <c r="E1275" s="65" t="n"/>
      <c r="F1275" s="65" t="n"/>
      <c r="G1275" s="65" t="n"/>
      <c r="H1275" s="65" t="inlineStr">
        <is>
          <t>[0561] MEJORADOR DE OCTANAJE GLOBAL OIL PACK (1X12)</t>
        </is>
      </c>
      <c r="I1275" s="65" t="n">
        <v>561</v>
      </c>
      <c r="J1275" s="63" t="inlineStr">
        <is>
          <t>1,00</t>
        </is>
      </c>
      <c r="K1275" s="63" t="inlineStr">
        <is>
          <t>47,84</t>
        </is>
      </c>
      <c r="L1275" s="63" t="inlineStr">
        <is>
          <t>0,00</t>
        </is>
      </c>
      <c r="M1275" s="63" t="inlineStr">
        <is>
          <t>47,84</t>
        </is>
      </c>
      <c r="N1275" s="63" t="inlineStr">
        <is>
          <t>55,49</t>
        </is>
      </c>
      <c r="O1275" s="65" t="n"/>
      <c r="P1275" s="65" t="n"/>
      <c r="Q1275" s="65" t="n"/>
      <c r="R1275" s="65" t="n"/>
      <c r="S1275" s="65" t="n"/>
      <c r="T1275" s="65" t="n"/>
      <c r="U1275" s="65" t="n"/>
      <c r="V1275" s="65" t="n"/>
    </row>
    <row r="1276">
      <c r="A1276" s="65" t="n"/>
      <c r="B1276" s="65" t="n"/>
      <c r="C1276" s="65" t="n"/>
      <c r="D1276" s="65" t="n"/>
      <c r="E1276" s="65" t="n"/>
      <c r="F1276" s="65" t="n"/>
      <c r="G1276" s="65" t="n"/>
      <c r="H1276" s="65" t="inlineStr">
        <is>
          <t>[0884] TRANSMATIC ATF DEXRON III (1x12)</t>
        </is>
      </c>
      <c r="I1276" s="65" t="n">
        <v>884</v>
      </c>
      <c r="J1276" s="63" t="inlineStr">
        <is>
          <t>2,00</t>
        </is>
      </c>
      <c r="K1276" s="63" t="inlineStr">
        <is>
          <t>86,64</t>
        </is>
      </c>
      <c r="L1276" s="63" t="inlineStr">
        <is>
          <t>0,00</t>
        </is>
      </c>
      <c r="M1276" s="63" t="inlineStr">
        <is>
          <t>173,28</t>
        </is>
      </c>
      <c r="N1276" s="63" t="inlineStr">
        <is>
          <t>201,00</t>
        </is>
      </c>
      <c r="O1276" s="65" t="n"/>
      <c r="P1276" s="65" t="n"/>
      <c r="Q1276" s="65" t="n"/>
      <c r="R1276" s="65" t="n"/>
      <c r="S1276" s="65" t="n"/>
      <c r="T1276" s="65" t="n"/>
      <c r="U1276" s="65" t="n"/>
      <c r="V1276" s="65" t="n"/>
    </row>
    <row r="1277">
      <c r="A1277" s="65" t="n"/>
      <c r="B1277" s="65" t="n"/>
      <c r="C1277" s="65" t="n"/>
      <c r="D1277" s="65" t="n"/>
      <c r="E1277" s="65" t="n"/>
      <c r="F1277" s="65" t="n"/>
      <c r="G1277" s="65" t="n"/>
      <c r="H1277" s="65" t="inlineStr">
        <is>
          <t>[0121] TRANSGLOB API GL-5 SAE 80W-90 (1x6)</t>
        </is>
      </c>
      <c r="I1277" s="65" t="n">
        <v>121</v>
      </c>
      <c r="J1277" s="63" t="inlineStr">
        <is>
          <t>1,00</t>
        </is>
      </c>
      <c r="K1277" s="63" t="inlineStr">
        <is>
          <t>46,55</t>
        </is>
      </c>
      <c r="L1277" s="63" t="inlineStr">
        <is>
          <t>15,23</t>
        </is>
      </c>
      <c r="M1277" s="63" t="inlineStr">
        <is>
          <t>39,46</t>
        </is>
      </c>
      <c r="N1277" s="63" t="inlineStr">
        <is>
          <t>45,77</t>
        </is>
      </c>
      <c r="O1277" s="65" t="n"/>
      <c r="P1277" s="65" t="n"/>
      <c r="Q1277" s="65" t="n"/>
      <c r="R1277" s="65" t="n"/>
      <c r="S1277" s="65" t="n"/>
      <c r="T1277" s="65" t="n"/>
      <c r="U1277" s="65" t="n"/>
      <c r="V1277" s="65" t="n"/>
    </row>
    <row r="1278">
      <c r="A1278" s="65" t="n"/>
      <c r="B1278" s="65" t="n"/>
      <c r="C1278" s="65" t="n"/>
      <c r="D1278" s="65" t="n"/>
      <c r="E1278" s="65" t="n"/>
      <c r="F1278" s="65" t="n"/>
      <c r="G1278" s="65" t="n"/>
      <c r="H1278" s="65" t="inlineStr">
        <is>
          <t>[0127] TRANSGLOB API GL-5 SAE 85W-140 (1x6)</t>
        </is>
      </c>
      <c r="I1278" s="65" t="n">
        <v>127</v>
      </c>
      <c r="J1278" s="63" t="inlineStr">
        <is>
          <t>1,00</t>
        </is>
      </c>
      <c r="K1278" s="63" t="inlineStr">
        <is>
          <t>46,55</t>
        </is>
      </c>
      <c r="L1278" s="63" t="inlineStr">
        <is>
          <t>0,00</t>
        </is>
      </c>
      <c r="M1278" s="63" t="inlineStr">
        <is>
          <t>46,55</t>
        </is>
      </c>
      <c r="N1278" s="63" t="inlineStr">
        <is>
          <t>54,00</t>
        </is>
      </c>
      <c r="O1278" s="65" t="n"/>
      <c r="P1278" s="65" t="n"/>
      <c r="Q1278" s="65" t="n"/>
      <c r="R1278" s="65" t="n"/>
      <c r="S1278" s="65" t="n"/>
      <c r="T1278" s="65" t="n"/>
      <c r="U1278" s="65" t="n"/>
      <c r="V1278" s="65" t="n"/>
    </row>
    <row r="1279">
      <c r="A1279" s="65" t="n"/>
      <c r="B1279" s="65" t="n"/>
      <c r="C1279" s="65" t="n"/>
      <c r="D1279" s="65" t="n"/>
      <c r="E1279" s="65" t="n"/>
      <c r="F1279" s="65" t="n"/>
      <c r="G1279" s="65" t="n"/>
      <c r="H1279" s="65" t="inlineStr">
        <is>
          <t>[0144] HIDRAGLOB AW/ISO 68 (PAILA)</t>
        </is>
      </c>
      <c r="I1279" s="65" t="n">
        <v>144</v>
      </c>
      <c r="J1279" s="63" t="inlineStr">
        <is>
          <t>1,00</t>
        </is>
      </c>
      <c r="K1279" s="63" t="inlineStr">
        <is>
          <t>94,40</t>
        </is>
      </c>
      <c r="L1279" s="63" t="inlineStr">
        <is>
          <t>0,00</t>
        </is>
      </c>
      <c r="M1279" s="63" t="inlineStr">
        <is>
          <t>94,40</t>
        </is>
      </c>
      <c r="N1279" s="63" t="inlineStr">
        <is>
          <t>109,50</t>
        </is>
      </c>
      <c r="O1279" s="65" t="n"/>
      <c r="P1279" s="65" t="n"/>
      <c r="Q1279" s="65" t="n"/>
      <c r="R1279" s="65" t="n"/>
      <c r="S1279" s="65" t="n"/>
      <c r="T1279" s="65" t="n"/>
      <c r="U1279" s="65" t="n"/>
      <c r="V1279" s="65" t="n"/>
    </row>
    <row r="1280">
      <c r="A1280" s="65" t="n"/>
      <c r="B1280" s="65" t="n"/>
      <c r="C1280" s="65" t="n"/>
      <c r="D1280" s="65" t="n"/>
      <c r="E1280" s="65" t="n"/>
      <c r="F1280" s="65" t="n"/>
      <c r="G1280" s="65" t="n"/>
      <c r="H1280" s="65" t="inlineStr">
        <is>
          <t>[0025] SS EXTRA PROTECCION API SN SAE 10W-30 (Gasolina) (1x6)</t>
        </is>
      </c>
      <c r="I1280" s="65" t="n">
        <v>25</v>
      </c>
      <c r="J1280" s="63" t="inlineStr">
        <is>
          <t>2,00</t>
        </is>
      </c>
      <c r="K1280" s="63" t="inlineStr">
        <is>
          <t>46,55</t>
        </is>
      </c>
      <c r="L1280" s="63" t="inlineStr">
        <is>
          <t>0,00</t>
        </is>
      </c>
      <c r="M1280" s="63" t="inlineStr">
        <is>
          <t>93,10</t>
        </is>
      </c>
      <c r="N1280" s="63" t="inlineStr">
        <is>
          <t>108,00</t>
        </is>
      </c>
      <c r="O1280" s="65" t="n"/>
      <c r="P1280" s="65" t="n"/>
      <c r="Q1280" s="65" t="n"/>
      <c r="R1280" s="65" t="n"/>
      <c r="S1280" s="65" t="n"/>
      <c r="T1280" s="65" t="n"/>
      <c r="U1280" s="65" t="n"/>
      <c r="V1280" s="65" t="n"/>
    </row>
    <row r="1281">
      <c r="A1281" s="65" t="n"/>
      <c r="B1281" s="65" t="n"/>
      <c r="C1281" s="65" t="n"/>
      <c r="D1281" s="65" t="n"/>
      <c r="E1281" s="65" t="n"/>
      <c r="F1281" s="65" t="n"/>
      <c r="G1281" s="65" t="n"/>
      <c r="H1281" s="65" t="inlineStr">
        <is>
          <t>[0877] SS EXTRA PROTECCION API SN SAE 15W-40 (1X12)</t>
        </is>
      </c>
      <c r="I1281" s="65" t="n">
        <v>877</v>
      </c>
      <c r="J1281" s="63" t="inlineStr">
        <is>
          <t>1,00</t>
        </is>
      </c>
      <c r="K1281" s="63" t="inlineStr">
        <is>
          <t>93,10</t>
        </is>
      </c>
      <c r="L1281" s="63" t="inlineStr">
        <is>
          <t>0,00</t>
        </is>
      </c>
      <c r="M1281" s="63" t="inlineStr">
        <is>
          <t>93,10</t>
        </is>
      </c>
      <c r="N1281" s="63" t="inlineStr">
        <is>
          <t>108,00</t>
        </is>
      </c>
      <c r="O1281" s="65" t="n"/>
      <c r="P1281" s="65" t="n"/>
      <c r="Q1281" s="65" t="n"/>
      <c r="R1281" s="65" t="n"/>
      <c r="S1281" s="65" t="n"/>
      <c r="T1281" s="65" t="n"/>
      <c r="U1281" s="65" t="n"/>
      <c r="V1281" s="65" t="n"/>
    </row>
    <row r="1282">
      <c r="A1282" s="65" t="n"/>
      <c r="B1282" s="65" t="n"/>
      <c r="C1282" s="65" t="n"/>
      <c r="D1282" s="65" t="n"/>
      <c r="E1282" s="65" t="n"/>
      <c r="F1282" s="65" t="n"/>
      <c r="G1282" s="65" t="n"/>
      <c r="H1282" s="65" t="inlineStr">
        <is>
          <t>[0878] SS EXTRA PROTECCION API SN SAE 20W-50 (1x12)</t>
        </is>
      </c>
      <c r="I1282" s="65" t="n">
        <v>878</v>
      </c>
      <c r="J1282" s="63" t="inlineStr">
        <is>
          <t>1,00</t>
        </is>
      </c>
      <c r="K1282" s="63" t="inlineStr">
        <is>
          <t>108,00</t>
        </is>
      </c>
      <c r="L1282" s="63" t="inlineStr">
        <is>
          <t>0,00</t>
        </is>
      </c>
      <c r="M1282" s="63" t="inlineStr">
        <is>
          <t>108,00</t>
        </is>
      </c>
      <c r="N1282" s="63" t="inlineStr">
        <is>
          <t>125,28</t>
        </is>
      </c>
      <c r="O1282" s="65" t="n"/>
      <c r="P1282" s="65" t="n"/>
      <c r="Q1282" s="65" t="n"/>
      <c r="R1282" s="65" t="n"/>
      <c r="S1282" s="65" t="n"/>
      <c r="T1282" s="65" t="n"/>
      <c r="U1282" s="65" t="n"/>
      <c r="V1282" s="65" t="n"/>
    </row>
    <row r="1283">
      <c r="A1283" s="65" t="n"/>
      <c r="B1283" s="65" t="n"/>
      <c r="C1283" s="65" t="n"/>
      <c r="D1283" s="65" t="n"/>
      <c r="E1283" s="65" t="n"/>
      <c r="F1283" s="65" t="n"/>
      <c r="G1283" s="65" t="n"/>
      <c r="H1283" s="65" t="inlineStr">
        <is>
          <t>[0761] LIGA PARA FRENOS DOT-3 (1x12)</t>
        </is>
      </c>
      <c r="I1283" s="65" t="n">
        <v>761</v>
      </c>
      <c r="J1283" s="63" t="inlineStr">
        <is>
          <t>1,00</t>
        </is>
      </c>
      <c r="K1283" s="63" t="inlineStr">
        <is>
          <t>31,03</t>
        </is>
      </c>
      <c r="L1283" s="63" t="inlineStr">
        <is>
          <t>0,00</t>
        </is>
      </c>
      <c r="M1283" s="63" t="inlineStr">
        <is>
          <t>31,03</t>
        </is>
      </c>
      <c r="N1283" s="63" t="inlineStr">
        <is>
          <t>35,99</t>
        </is>
      </c>
      <c r="O1283" s="65" t="n"/>
      <c r="P1283" s="65" t="n"/>
      <c r="Q1283" s="65" t="n"/>
      <c r="R1283" s="65" t="n"/>
      <c r="S1283" s="65" t="n"/>
      <c r="T1283" s="65" t="n"/>
      <c r="U1283" s="65" t="n"/>
      <c r="V1283" s="65" t="n"/>
    </row>
    <row r="1284">
      <c r="A1284" s="65" t="n"/>
      <c r="B1284" s="65" t="n"/>
      <c r="C1284" s="65" t="n"/>
      <c r="D1284" s="65" t="n"/>
      <c r="E1284" s="65" t="n"/>
      <c r="F1284" s="65" t="n"/>
      <c r="G1284" s="65" t="n"/>
      <c r="H1284" s="65" t="inlineStr">
        <is>
          <t>[0775] LIGA PARA FRENOS DOT-4 (1X12)</t>
        </is>
      </c>
      <c r="I1284" s="65" t="n">
        <v>775</v>
      </c>
      <c r="J1284" s="63" t="inlineStr">
        <is>
          <t>1,00</t>
        </is>
      </c>
      <c r="K1284" s="63" t="inlineStr">
        <is>
          <t>55,60</t>
        </is>
      </c>
      <c r="L1284" s="63" t="inlineStr">
        <is>
          <t>0,00</t>
        </is>
      </c>
      <c r="M1284" s="63" t="inlineStr">
        <is>
          <t>55,60</t>
        </is>
      </c>
      <c r="N1284" s="63" t="inlineStr">
        <is>
          <t>64,50</t>
        </is>
      </c>
      <c r="O1284" s="65" t="n"/>
      <c r="P1284" s="65" t="n"/>
      <c r="Q1284" s="65" t="n"/>
      <c r="R1284" s="65" t="n"/>
      <c r="S1284" s="65" t="n"/>
      <c r="T1284" s="65" t="n"/>
      <c r="U1284" s="65" t="n"/>
      <c r="V1284" s="65" t="n"/>
    </row>
    <row r="1285">
      <c r="A1285" s="65" t="n"/>
      <c r="B1285" s="65" t="n"/>
      <c r="C1285" s="65" t="n"/>
      <c r="D1285" s="65" t="n"/>
      <c r="E1285" s="65" t="n"/>
      <c r="F1285" s="65" t="n"/>
      <c r="G1285" s="65" t="n"/>
      <c r="H1285" s="65" t="inlineStr">
        <is>
          <t>[0795] REFRIGERANTE GLOBAL ORANGE PREMIUM 50-50 CONCENTRADO (1x3)</t>
        </is>
      </c>
      <c r="I1285" s="65" t="n">
        <v>795</v>
      </c>
      <c r="J1285" s="63" t="inlineStr">
        <is>
          <t>1,00</t>
        </is>
      </c>
      <c r="K1285" s="63" t="inlineStr">
        <is>
          <t>43,97</t>
        </is>
      </c>
      <c r="L1285" s="63" t="inlineStr">
        <is>
          <t>0,00</t>
        </is>
      </c>
      <c r="M1285" s="63" t="inlineStr">
        <is>
          <t>43,97</t>
        </is>
      </c>
      <c r="N1285" s="63" t="inlineStr">
        <is>
          <t>51,01</t>
        </is>
      </c>
      <c r="O1285" s="65" t="n"/>
      <c r="P1285" s="65" t="n"/>
      <c r="Q1285" s="65" t="n"/>
      <c r="R1285" s="65" t="n"/>
      <c r="S1285" s="65" t="n"/>
      <c r="T1285" s="65" t="n"/>
      <c r="U1285" s="65" t="n"/>
      <c r="V1285" s="65" t="n"/>
    </row>
    <row r="1286">
      <c r="A1286" s="65" t="inlineStr">
        <is>
          <t>S00159</t>
        </is>
      </c>
      <c r="B1286" s="62" t="n">
        <v>46107.70880787037</v>
      </c>
      <c r="C1286" s="65" t="inlineStr">
        <is>
          <t>Grupo 3030, C.A</t>
        </is>
      </c>
      <c r="D1286" s="65" t="inlineStr">
        <is>
          <t>MARTINEZ MONTES JEFFREY ENRIQUE</t>
        </is>
      </c>
      <c r="E1286" s="65" t="inlineStr">
        <is>
          <t>45 días</t>
        </is>
      </c>
      <c r="F1286" s="65" t="n">
        <v>3</v>
      </c>
      <c r="G1286" s="65" t="inlineStr">
        <is>
          <t>Precio Full Marzo</t>
        </is>
      </c>
      <c r="H1286" s="65" t="inlineStr">
        <is>
          <t>[0779] SINOCO SAE 20W-50 (1x12)</t>
        </is>
      </c>
      <c r="I1286" s="65" t="n">
        <v>779</v>
      </c>
      <c r="J1286" s="63" t="inlineStr">
        <is>
          <t>12,00</t>
        </is>
      </c>
      <c r="K1286" s="63" t="inlineStr">
        <is>
          <t>62,07</t>
        </is>
      </c>
      <c r="L1286" s="63" t="inlineStr">
        <is>
          <t>0,00</t>
        </is>
      </c>
      <c r="M1286" s="63" t="inlineStr">
        <is>
          <t>744,84</t>
        </is>
      </c>
      <c r="N1286" s="63" t="inlineStr">
        <is>
          <t>864,01</t>
        </is>
      </c>
      <c r="O1286" s="63" t="inlineStr">
        <is>
          <t>1.827,13</t>
        </is>
      </c>
      <c r="P1286" s="63" t="inlineStr">
        <is>
          <t>2.119,46</t>
        </is>
      </c>
      <c r="Q1286" s="63" t="inlineStr">
        <is>
          <t>496,83</t>
        </is>
      </c>
      <c r="R1286" s="66" t="n">
        <v>46185</v>
      </c>
      <c r="S1286" s="65" t="n">
        <v>168</v>
      </c>
      <c r="T1286" s="65" t="inlineStr">
        <is>
          <t>00-00000611</t>
        </is>
      </c>
      <c r="U1286" s="63" t="inlineStr">
        <is>
          <t>1.432,99</t>
        </is>
      </c>
      <c r="V1286" s="63" t="inlineStr">
        <is>
          <t>86,72</t>
        </is>
      </c>
    </row>
    <row r="1287">
      <c r="A1287" s="65" t="n"/>
      <c r="B1287" s="65" t="n"/>
      <c r="C1287" s="65" t="n"/>
      <c r="D1287" s="65" t="n"/>
      <c r="E1287" s="65" t="n"/>
      <c r="F1287" s="65" t="n"/>
      <c r="G1287" s="65" t="n"/>
      <c r="H1287" s="65" t="inlineStr">
        <is>
          <t>[0025] SS EXTRA PROTECCION API SN SAE 10W-30 (Gasolina) (1x6)</t>
        </is>
      </c>
      <c r="I1287" s="65" t="n">
        <v>25</v>
      </c>
      <c r="J1287" s="63" t="inlineStr">
        <is>
          <t>3,00</t>
        </is>
      </c>
      <c r="K1287" s="63" t="inlineStr">
        <is>
          <t>46,55</t>
        </is>
      </c>
      <c r="L1287" s="63" t="inlineStr">
        <is>
          <t>0,00</t>
        </is>
      </c>
      <c r="M1287" s="63" t="inlineStr">
        <is>
          <t>139,65</t>
        </is>
      </c>
      <c r="N1287" s="63" t="inlineStr">
        <is>
          <t>161,99</t>
        </is>
      </c>
      <c r="O1287" s="65" t="n"/>
      <c r="P1287" s="65" t="n"/>
      <c r="Q1287" s="65" t="n"/>
      <c r="R1287" s="65" t="n"/>
      <c r="S1287" s="65" t="n"/>
      <c r="T1287" s="65" t="n"/>
      <c r="U1287" s="65" t="n"/>
      <c r="V1287" s="65" t="n"/>
    </row>
    <row r="1288">
      <c r="A1288" s="65" t="n"/>
      <c r="B1288" s="65" t="n"/>
      <c r="C1288" s="65" t="n"/>
      <c r="D1288" s="65" t="n"/>
      <c r="E1288" s="65" t="n"/>
      <c r="F1288" s="65" t="n"/>
      <c r="G1288" s="65" t="n"/>
      <c r="H1288" s="65" t="inlineStr">
        <is>
          <t>[0877] SS EXTRA PROTECCION API SN SAE 15W-40 (1X12)</t>
        </is>
      </c>
      <c r="I1288" s="65" t="n">
        <v>877</v>
      </c>
      <c r="J1288" s="63" t="inlineStr">
        <is>
          <t>3,00</t>
        </is>
      </c>
      <c r="K1288" s="63" t="inlineStr">
        <is>
          <t>93,10</t>
        </is>
      </c>
      <c r="L1288" s="63" t="inlineStr">
        <is>
          <t>0,00</t>
        </is>
      </c>
      <c r="M1288" s="63" t="inlineStr">
        <is>
          <t>279,30</t>
        </is>
      </c>
      <c r="N1288" s="63" t="inlineStr">
        <is>
          <t>323,99</t>
        </is>
      </c>
      <c r="O1288" s="65" t="n"/>
      <c r="P1288" s="65" t="n"/>
      <c r="Q1288" s="65" t="n"/>
      <c r="R1288" s="65" t="n"/>
      <c r="S1288" s="65" t="n"/>
      <c r="T1288" s="65" t="n"/>
      <c r="U1288" s="65" t="n"/>
      <c r="V1288" s="65" t="n"/>
    </row>
    <row r="1289">
      <c r="A1289" s="65" t="n"/>
      <c r="B1289" s="65" t="n"/>
      <c r="C1289" s="65" t="n"/>
      <c r="D1289" s="65" t="n"/>
      <c r="E1289" s="65" t="n"/>
      <c r="F1289" s="65" t="n"/>
      <c r="G1289" s="65" t="n"/>
      <c r="H1289" s="65" t="inlineStr">
        <is>
          <t>[0121] TRANSGLOB API GL-5 SAE 80W-90 (1x6)</t>
        </is>
      </c>
      <c r="I1289" s="65" t="n">
        <v>121</v>
      </c>
      <c r="J1289" s="63" t="inlineStr">
        <is>
          <t>4,00</t>
        </is>
      </c>
      <c r="K1289" s="63" t="inlineStr">
        <is>
          <t>46,55</t>
        </is>
      </c>
      <c r="L1289" s="63" t="inlineStr">
        <is>
          <t>0,00</t>
        </is>
      </c>
      <c r="M1289" s="63" t="inlineStr">
        <is>
          <t>186,20</t>
        </is>
      </c>
      <c r="N1289" s="63" t="inlineStr">
        <is>
          <t>215,99</t>
        </is>
      </c>
      <c r="O1289" s="65" t="n"/>
      <c r="P1289" s="65" t="n"/>
      <c r="Q1289" s="65" t="n"/>
      <c r="R1289" s="65" t="n"/>
      <c r="S1289" s="65" t="n"/>
      <c r="T1289" s="65" t="n"/>
      <c r="U1289" s="65" t="n"/>
      <c r="V1289" s="65" t="n"/>
    </row>
    <row r="1290">
      <c r="A1290" s="65" t="n"/>
      <c r="B1290" s="65" t="n"/>
      <c r="C1290" s="65" t="n"/>
      <c r="D1290" s="65" t="n"/>
      <c r="E1290" s="65" t="n"/>
      <c r="F1290" s="65" t="n"/>
      <c r="G1290" s="65" t="n"/>
      <c r="H1290" s="65" t="inlineStr">
        <is>
          <t>[0761] LIGA PARA FRENOS DOT-3 (1x12)</t>
        </is>
      </c>
      <c r="I1290" s="65" t="n">
        <v>761</v>
      </c>
      <c r="J1290" s="63" t="inlineStr">
        <is>
          <t>1,00</t>
        </is>
      </c>
      <c r="K1290" s="63" t="inlineStr">
        <is>
          <t>31,03</t>
        </is>
      </c>
      <c r="L1290" s="63" t="inlineStr">
        <is>
          <t>0,00</t>
        </is>
      </c>
      <c r="M1290" s="63" t="inlineStr">
        <is>
          <t>31,03</t>
        </is>
      </c>
      <c r="N1290" s="63" t="inlineStr">
        <is>
          <t>35,99</t>
        </is>
      </c>
      <c r="O1290" s="65" t="n"/>
      <c r="P1290" s="65" t="n"/>
      <c r="Q1290" s="65" t="n"/>
      <c r="R1290" s="65" t="n"/>
      <c r="S1290" s="65" t="n"/>
      <c r="T1290" s="65" t="n"/>
      <c r="U1290" s="65" t="n"/>
      <c r="V1290" s="65" t="n"/>
    </row>
    <row r="1291">
      <c r="A1291" s="65" t="n"/>
      <c r="B1291" s="65" t="n"/>
      <c r="C1291" s="65" t="n"/>
      <c r="D1291" s="65" t="n"/>
      <c r="E1291" s="65" t="n"/>
      <c r="F1291" s="65" t="n"/>
      <c r="G1291" s="65" t="n"/>
      <c r="H1291" s="65" t="inlineStr">
        <is>
          <t>[0762] LIGA PARA FRENOS DOT-3 (1x6)</t>
        </is>
      </c>
      <c r="I1291" s="65" t="n">
        <v>762</v>
      </c>
      <c r="J1291" s="63" t="inlineStr">
        <is>
          <t>1,00</t>
        </is>
      </c>
      <c r="K1291" s="63" t="inlineStr">
        <is>
          <t>50,43</t>
        </is>
      </c>
      <c r="L1291" s="63" t="inlineStr">
        <is>
          <t>0,00</t>
        </is>
      </c>
      <c r="M1291" s="63" t="inlineStr">
        <is>
          <t>50,43</t>
        </is>
      </c>
      <c r="N1291" s="63" t="inlineStr">
        <is>
          <t>58,50</t>
        </is>
      </c>
      <c r="O1291" s="65" t="n"/>
      <c r="P1291" s="65" t="n"/>
      <c r="Q1291" s="65" t="n"/>
      <c r="R1291" s="65" t="n"/>
      <c r="S1291" s="65" t="n"/>
      <c r="T1291" s="65" t="n"/>
      <c r="U1291" s="65" t="n"/>
      <c r="V1291" s="65" t="n"/>
    </row>
    <row r="1292">
      <c r="A1292" s="65" t="n"/>
      <c r="B1292" s="65" t="n"/>
      <c r="C1292" s="65" t="n"/>
      <c r="D1292" s="65" t="n"/>
      <c r="E1292" s="65" t="n"/>
      <c r="F1292" s="65" t="n"/>
      <c r="G1292" s="65" t="n"/>
      <c r="H1292" s="65" t="inlineStr">
        <is>
          <t>[0774] LIGA PARA FRENOS DOT-4 (1X6)</t>
        </is>
      </c>
      <c r="I1292" s="65" t="n">
        <v>774</v>
      </c>
      <c r="J1292" s="63" t="inlineStr">
        <is>
          <t>1,00</t>
        </is>
      </c>
      <c r="K1292" s="63" t="inlineStr">
        <is>
          <t>60,78</t>
        </is>
      </c>
      <c r="L1292" s="63" t="inlineStr">
        <is>
          <t>0,00</t>
        </is>
      </c>
      <c r="M1292" s="63" t="inlineStr">
        <is>
          <t>60,78</t>
        </is>
      </c>
      <c r="N1292" s="63" t="inlineStr">
        <is>
          <t>70,50</t>
        </is>
      </c>
      <c r="O1292" s="65" t="n"/>
      <c r="P1292" s="65" t="n"/>
      <c r="Q1292" s="65" t="n"/>
      <c r="R1292" s="65" t="n"/>
      <c r="S1292" s="65" t="n"/>
      <c r="T1292" s="65" t="n"/>
      <c r="U1292" s="65" t="n"/>
      <c r="V1292" s="65" t="n"/>
    </row>
    <row r="1293">
      <c r="A1293" s="65" t="n"/>
      <c r="B1293" s="65" t="n"/>
      <c r="C1293" s="65" t="n"/>
      <c r="D1293" s="65" t="n"/>
      <c r="E1293" s="65" t="n"/>
      <c r="F1293" s="65" t="n"/>
      <c r="G1293" s="65" t="n"/>
      <c r="H1293" s="65" t="inlineStr">
        <is>
          <t>[0775] LIGA PARA FRENOS DOT-4 (1X12)</t>
        </is>
      </c>
      <c r="I1293" s="65" t="n">
        <v>775</v>
      </c>
      <c r="J1293" s="63" t="inlineStr">
        <is>
          <t>1,00</t>
        </is>
      </c>
      <c r="K1293" s="63" t="inlineStr">
        <is>
          <t>55,60</t>
        </is>
      </c>
      <c r="L1293" s="63" t="inlineStr">
        <is>
          <t>0,00</t>
        </is>
      </c>
      <c r="M1293" s="63" t="inlineStr">
        <is>
          <t>55,60</t>
        </is>
      </c>
      <c r="N1293" s="63" t="inlineStr">
        <is>
          <t>64,50</t>
        </is>
      </c>
      <c r="O1293" s="65" t="n"/>
      <c r="P1293" s="65" t="n"/>
      <c r="Q1293" s="65" t="n"/>
      <c r="R1293" s="65" t="n"/>
      <c r="S1293" s="65" t="n"/>
      <c r="T1293" s="65" t="n"/>
      <c r="U1293" s="65" t="n"/>
      <c r="V1293" s="65" t="n"/>
    </row>
    <row r="1294">
      <c r="A1294" s="65" t="n"/>
      <c r="B1294" s="65" t="n"/>
      <c r="C1294" s="65" t="n"/>
      <c r="D1294" s="65" t="n"/>
      <c r="E1294" s="65" t="n"/>
      <c r="F1294" s="65" t="n"/>
      <c r="G1294" s="65" t="n"/>
      <c r="H1294" s="65" t="inlineStr">
        <is>
          <t>[0878] SS EXTRA PROTECCION API SN SAE 20W-50 (1x12)</t>
        </is>
      </c>
      <c r="I1294" s="65" t="n">
        <v>878</v>
      </c>
      <c r="J1294" s="63" t="inlineStr">
        <is>
          <t>3,00</t>
        </is>
      </c>
      <c r="K1294" s="63" t="inlineStr">
        <is>
          <t>93,10</t>
        </is>
      </c>
      <c r="L1294" s="63" t="inlineStr">
        <is>
          <t>0,00</t>
        </is>
      </c>
      <c r="M1294" s="63" t="inlineStr">
        <is>
          <t>279,30</t>
        </is>
      </c>
      <c r="N1294" s="63" t="inlineStr">
        <is>
          <t>323,99</t>
        </is>
      </c>
      <c r="O1294" s="65" t="n"/>
      <c r="P1294" s="65" t="n"/>
      <c r="Q1294" s="65" t="n"/>
      <c r="R1294" s="65" t="n"/>
      <c r="S1294" s="65" t="n"/>
      <c r="T1294" s="65" t="n"/>
      <c r="U1294" s="65" t="n"/>
      <c r="V1294" s="65" t="n"/>
    </row>
    <row r="1295">
      <c r="A1295" s="65" t="inlineStr">
        <is>
          <t>S00158</t>
        </is>
      </c>
      <c r="B1295" s="62" t="n">
        <v>46107.68478009259</v>
      </c>
      <c r="C1295" s="65" t="inlineStr">
        <is>
          <t>Dimas Ortíz</t>
        </is>
      </c>
      <c r="D1295" s="65" t="inlineStr">
        <is>
          <t>BETANCOURT ROBRIGUEZ LUIS ENRRIQUE</t>
        </is>
      </c>
      <c r="E1295" s="65" t="inlineStr">
        <is>
          <t>15 días</t>
        </is>
      </c>
      <c r="F1295" s="65" t="n">
        <v>3</v>
      </c>
      <c r="G1295" s="65" t="inlineStr">
        <is>
          <t>Precio Full Marzo</t>
        </is>
      </c>
      <c r="H1295" s="65" t="inlineStr">
        <is>
          <t>[0605] SINOCO SAE 20W-50 (PAILA)</t>
        </is>
      </c>
      <c r="I1295" s="65" t="n">
        <v>605</v>
      </c>
      <c r="J1295" s="63" t="inlineStr">
        <is>
          <t>5,00</t>
        </is>
      </c>
      <c r="K1295" s="63" t="inlineStr">
        <is>
          <t>86,64</t>
        </is>
      </c>
      <c r="L1295" s="63" t="inlineStr">
        <is>
          <t>0,00</t>
        </is>
      </c>
      <c r="M1295" s="63" t="inlineStr">
        <is>
          <t>433,20</t>
        </is>
      </c>
      <c r="N1295" s="63" t="inlineStr">
        <is>
          <t>502,51</t>
        </is>
      </c>
      <c r="O1295" s="63" t="inlineStr">
        <is>
          <t>941,38</t>
        </is>
      </c>
      <c r="P1295" s="63" t="inlineStr">
        <is>
          <t>1.092,00</t>
        </is>
      </c>
      <c r="Q1295" s="63" t="inlineStr">
        <is>
          <t>496,83</t>
        </is>
      </c>
      <c r="R1295" s="66" t="n">
        <v>46163</v>
      </c>
      <c r="S1295" s="65" t="n">
        <v>100</v>
      </c>
      <c r="T1295" s="65" t="inlineStr">
        <is>
          <t>00-00000454</t>
        </is>
      </c>
      <c r="U1295" s="63" t="inlineStr">
        <is>
          <t>679,99</t>
        </is>
      </c>
      <c r="V1295" s="63" t="inlineStr">
        <is>
          <t>0,03</t>
        </is>
      </c>
    </row>
    <row r="1296">
      <c r="A1296" s="65" t="n"/>
      <c r="B1296" s="65" t="n"/>
      <c r="C1296" s="65" t="n"/>
      <c r="D1296" s="65" t="n"/>
      <c r="E1296" s="65" t="n"/>
      <c r="F1296" s="65" t="n"/>
      <c r="G1296" s="65" t="n"/>
      <c r="H1296" s="65" t="n"/>
      <c r="I1296" s="65" t="n"/>
      <c r="J1296" s="63" t="inlineStr">
        <is>
          <t>0,00</t>
        </is>
      </c>
      <c r="K1296" s="63" t="inlineStr">
        <is>
          <t>0,00</t>
        </is>
      </c>
      <c r="L1296" s="63" t="inlineStr">
        <is>
          <t>0,00</t>
        </is>
      </c>
      <c r="M1296" s="63" t="inlineStr">
        <is>
          <t>0,00</t>
        </is>
      </c>
      <c r="N1296" s="63" t="inlineStr">
        <is>
          <t>0,00</t>
        </is>
      </c>
      <c r="O1296" s="65" t="n"/>
      <c r="P1296" s="65" t="n"/>
      <c r="Q1296" s="65" t="n"/>
      <c r="R1296" s="65" t="n"/>
      <c r="S1296" s="65" t="n"/>
      <c r="T1296" s="65" t="n"/>
      <c r="U1296" s="65" t="n"/>
      <c r="V1296" s="65" t="n"/>
    </row>
    <row r="1297">
      <c r="A1297" s="65" t="n"/>
      <c r="B1297" s="65" t="n"/>
      <c r="C1297" s="65" t="n"/>
      <c r="D1297" s="65" t="n"/>
      <c r="E1297" s="65" t="n"/>
      <c r="F1297" s="65" t="n"/>
      <c r="G1297" s="65" t="n"/>
      <c r="H1297" s="65" t="inlineStr">
        <is>
          <t>[0779] SINOCO SAE 20W-50 (1x12)</t>
        </is>
      </c>
      <c r="I1297" s="65" t="n">
        <v>779</v>
      </c>
      <c r="J1297" s="63" t="inlineStr">
        <is>
          <t>1,00</t>
        </is>
      </c>
      <c r="K1297" s="63" t="inlineStr">
        <is>
          <t>62,07</t>
        </is>
      </c>
      <c r="L1297" s="63" t="inlineStr">
        <is>
          <t>0,00</t>
        </is>
      </c>
      <c r="M1297" s="63" t="inlineStr">
        <is>
          <t>62,07</t>
        </is>
      </c>
      <c r="N1297" s="63" t="inlineStr">
        <is>
          <t>72,00</t>
        </is>
      </c>
      <c r="O1297" s="65" t="n"/>
      <c r="P1297" s="65" t="n"/>
      <c r="Q1297" s="65" t="n"/>
      <c r="R1297" s="65" t="n"/>
      <c r="S1297" s="65" t="n"/>
      <c r="T1297" s="65" t="n"/>
      <c r="U1297" s="65" t="n"/>
      <c r="V1297" s="65" t="n"/>
    </row>
    <row r="1298">
      <c r="A1298" s="65" t="n"/>
      <c r="B1298" s="65" t="n"/>
      <c r="C1298" s="65" t="n"/>
      <c r="D1298" s="65" t="n"/>
      <c r="E1298" s="65" t="n"/>
      <c r="F1298" s="65" t="n"/>
      <c r="G1298" s="65" t="n"/>
      <c r="H1298" s="65" t="inlineStr">
        <is>
          <t>[0877] SS EXTRA PROTECCION API SN SAE 15W-40 (1X12)</t>
        </is>
      </c>
      <c r="I1298" s="65" t="n">
        <v>877</v>
      </c>
      <c r="J1298" s="63" t="inlineStr">
        <is>
          <t>2,00</t>
        </is>
      </c>
      <c r="K1298" s="63" t="inlineStr">
        <is>
          <t>93,10</t>
        </is>
      </c>
      <c r="L1298" s="63" t="inlineStr">
        <is>
          <t>0,00</t>
        </is>
      </c>
      <c r="M1298" s="63" t="inlineStr">
        <is>
          <t>186,20</t>
        </is>
      </c>
      <c r="N1298" s="63" t="inlineStr">
        <is>
          <t>215,99</t>
        </is>
      </c>
      <c r="O1298" s="65" t="n"/>
      <c r="P1298" s="65" t="n"/>
      <c r="Q1298" s="65" t="n"/>
      <c r="R1298" s="65" t="n"/>
      <c r="S1298" s="65" t="n"/>
      <c r="T1298" s="65" t="n"/>
      <c r="U1298" s="65" t="n"/>
      <c r="V1298" s="65" t="n"/>
    </row>
    <row r="1299">
      <c r="A1299" s="65" t="n"/>
      <c r="B1299" s="65" t="n"/>
      <c r="C1299" s="65" t="n"/>
      <c r="D1299" s="65" t="n"/>
      <c r="E1299" s="65" t="n"/>
      <c r="F1299" s="65" t="n"/>
      <c r="G1299" s="65" t="n"/>
      <c r="H1299" s="65" t="inlineStr">
        <is>
          <t>[0878] SS EXTRA PROTECCION API SN SAE 20W-50 (1x12)</t>
        </is>
      </c>
      <c r="I1299" s="65" t="n">
        <v>878</v>
      </c>
      <c r="J1299" s="63" t="inlineStr">
        <is>
          <t>1,00</t>
        </is>
      </c>
      <c r="K1299" s="63" t="inlineStr">
        <is>
          <t>93,10</t>
        </is>
      </c>
      <c r="L1299" s="63" t="inlineStr">
        <is>
          <t>0,00</t>
        </is>
      </c>
      <c r="M1299" s="63" t="inlineStr">
        <is>
          <t>93,10</t>
        </is>
      </c>
      <c r="N1299" s="63" t="inlineStr">
        <is>
          <t>108,00</t>
        </is>
      </c>
      <c r="O1299" s="65" t="n"/>
      <c r="P1299" s="65" t="n"/>
      <c r="Q1299" s="65" t="n"/>
      <c r="R1299" s="65" t="n"/>
      <c r="S1299" s="65" t="n"/>
      <c r="T1299" s="65" t="n"/>
      <c r="U1299" s="65" t="n"/>
      <c r="V1299" s="65" t="n"/>
    </row>
    <row r="1300">
      <c r="A1300" s="65" t="n"/>
      <c r="B1300" s="65" t="n"/>
      <c r="C1300" s="65" t="n"/>
      <c r="D1300" s="65" t="n"/>
      <c r="E1300" s="65" t="n"/>
      <c r="F1300" s="65" t="n"/>
      <c r="G1300" s="65" t="n"/>
      <c r="H1300" s="65" t="inlineStr">
        <is>
          <t>[0880] CLASICO API SL SAE 15W-40 (1x12)</t>
        </is>
      </c>
      <c r="I1300" s="65" t="n">
        <v>880</v>
      </c>
      <c r="J1300" s="63" t="inlineStr">
        <is>
          <t>1,00</t>
        </is>
      </c>
      <c r="K1300" s="63" t="inlineStr">
        <is>
          <t>80,17</t>
        </is>
      </c>
      <c r="L1300" s="63" t="inlineStr">
        <is>
          <t>0,00</t>
        </is>
      </c>
      <c r="M1300" s="63" t="inlineStr">
        <is>
          <t>80,17</t>
        </is>
      </c>
      <c r="N1300" s="63" t="inlineStr">
        <is>
          <t>93,00</t>
        </is>
      </c>
      <c r="O1300" s="65" t="n"/>
      <c r="P1300" s="65" t="n"/>
      <c r="Q1300" s="65" t="n"/>
      <c r="R1300" s="65" t="n"/>
      <c r="S1300" s="65" t="n"/>
      <c r="T1300" s="65" t="n"/>
      <c r="U1300" s="65" t="n"/>
      <c r="V1300" s="65" t="n"/>
    </row>
    <row r="1301">
      <c r="A1301" s="65" t="n"/>
      <c r="B1301" s="65" t="n"/>
      <c r="C1301" s="65" t="n"/>
      <c r="D1301" s="65" t="n"/>
      <c r="E1301" s="65" t="n"/>
      <c r="F1301" s="65" t="n"/>
      <c r="G1301" s="65" t="n"/>
      <c r="H1301" s="65" t="inlineStr">
        <is>
          <t>[0884] TRANSMATIC ATF DEXRON III (1x12)</t>
        </is>
      </c>
      <c r="I1301" s="65" t="n">
        <v>884</v>
      </c>
      <c r="J1301" s="63" t="inlineStr">
        <is>
          <t>1,00</t>
        </is>
      </c>
      <c r="K1301" s="63" t="inlineStr">
        <is>
          <t>86,64</t>
        </is>
      </c>
      <c r="L1301" s="63" t="inlineStr">
        <is>
          <t>0,00</t>
        </is>
      </c>
      <c r="M1301" s="63" t="inlineStr">
        <is>
          <t>86,64</t>
        </is>
      </c>
      <c r="N1301" s="63" t="inlineStr">
        <is>
          <t>100,50</t>
        </is>
      </c>
      <c r="O1301" s="65" t="n"/>
      <c r="P1301" s="65" t="n"/>
      <c r="Q1301" s="65" t="n"/>
      <c r="R1301" s="65" t="n"/>
      <c r="S1301" s="65" t="n"/>
      <c r="T1301" s="65" t="n"/>
      <c r="U1301" s="65" t="n"/>
      <c r="V1301" s="65" t="n"/>
    </row>
    <row r="1302">
      <c r="A1302" s="65" t="inlineStr">
        <is>
          <t>S00154</t>
        </is>
      </c>
      <c r="B1302" s="62" t="n">
        <v>46107.40056712963</v>
      </c>
      <c r="C1302" s="65" t="inlineStr">
        <is>
          <t>SERVICIOS Y MANTENIMIENTO SPACARS, C.A</t>
        </is>
      </c>
      <c r="D1302" s="65" t="inlineStr">
        <is>
          <t>TORO ARDILES DAVID JOSE</t>
        </is>
      </c>
      <c r="E1302" s="65" t="n"/>
      <c r="F1302" s="65" t="n">
        <v>3</v>
      </c>
      <c r="G1302" s="65" t="inlineStr">
        <is>
          <t>Precio Full Marzo</t>
        </is>
      </c>
      <c r="H1302" s="65" t="inlineStr">
        <is>
          <t>[0001] ELITE API SP SAE 0W-20 (1x6)</t>
        </is>
      </c>
      <c r="I1302" s="65" t="n">
        <v>1</v>
      </c>
      <c r="J1302" s="63" t="inlineStr">
        <is>
          <t>2,00</t>
        </is>
      </c>
      <c r="K1302" s="63" t="inlineStr">
        <is>
          <t>62,83</t>
        </is>
      </c>
      <c r="L1302" s="63" t="inlineStr">
        <is>
          <t>0,00</t>
        </is>
      </c>
      <c r="M1302" s="63" t="inlineStr">
        <is>
          <t>125,65</t>
        </is>
      </c>
      <c r="N1302" s="63" t="inlineStr">
        <is>
          <t>145,75</t>
        </is>
      </c>
      <c r="O1302" s="63" t="inlineStr">
        <is>
          <t>1.020,01</t>
        </is>
      </c>
      <c r="P1302" s="63" t="inlineStr">
        <is>
          <t>1.183,21</t>
        </is>
      </c>
      <c r="Q1302" s="63" t="inlineStr">
        <is>
          <t>612,43</t>
        </is>
      </c>
      <c r="R1302" s="66" t="n">
        <v>46195</v>
      </c>
      <c r="S1302" s="65" t="n">
        <v>193</v>
      </c>
      <c r="T1302" s="65" t="inlineStr">
        <is>
          <t>00-00000669</t>
        </is>
      </c>
      <c r="U1302" s="63" t="inlineStr">
        <is>
          <t>1.183,13</t>
        </is>
      </c>
      <c r="V1302" s="63" t="inlineStr">
        <is>
          <t>1.183,19</t>
        </is>
      </c>
    </row>
    <row r="1303">
      <c r="A1303" s="65" t="n"/>
      <c r="B1303" s="65" t="n"/>
      <c r="C1303" s="65" t="n"/>
      <c r="D1303" s="65" t="n"/>
      <c r="E1303" s="65" t="n"/>
      <c r="F1303" s="65" t="n"/>
      <c r="G1303" s="65" t="n"/>
      <c r="H1303" s="65" t="inlineStr">
        <is>
          <t>[0007] ELITE API SN SAE 5W-20 (1x6)</t>
        </is>
      </c>
      <c r="I1303" s="65" t="n">
        <v>7</v>
      </c>
      <c r="J1303" s="63" t="inlineStr">
        <is>
          <t>4,00</t>
        </is>
      </c>
      <c r="K1303" s="63" t="inlineStr">
        <is>
          <t>62,83</t>
        </is>
      </c>
      <c r="L1303" s="63" t="inlineStr">
        <is>
          <t>0,00</t>
        </is>
      </c>
      <c r="M1303" s="63" t="inlineStr">
        <is>
          <t>251,30</t>
        </is>
      </c>
      <c r="N1303" s="63" t="inlineStr">
        <is>
          <t>291,51</t>
        </is>
      </c>
      <c r="O1303" s="65" t="n"/>
      <c r="P1303" s="65" t="n"/>
      <c r="Q1303" s="65" t="n"/>
      <c r="R1303" s="65" t="n"/>
      <c r="S1303" s="65" t="n"/>
      <c r="T1303" s="65" t="n"/>
      <c r="U1303" s="65" t="n"/>
      <c r="V1303" s="65" t="n"/>
    </row>
    <row r="1304">
      <c r="A1304" s="65" t="n"/>
      <c r="B1304" s="65" t="n"/>
      <c r="C1304" s="65" t="n"/>
      <c r="D1304" s="65" t="n"/>
      <c r="E1304" s="65" t="n"/>
      <c r="F1304" s="65" t="n"/>
      <c r="G1304" s="65" t="n"/>
      <c r="H1304" s="65" t="inlineStr">
        <is>
          <t>[0013] ELITE API SN SAE 5W-30 (1x6)</t>
        </is>
      </c>
      <c r="I1304" s="65" t="n">
        <v>13</v>
      </c>
      <c r="J1304" s="63" t="inlineStr">
        <is>
          <t>2,00</t>
        </is>
      </c>
      <c r="K1304" s="63" t="inlineStr">
        <is>
          <t>62,83</t>
        </is>
      </c>
      <c r="L1304" s="63" t="inlineStr">
        <is>
          <t>0,00</t>
        </is>
      </c>
      <c r="M1304" s="63" t="inlineStr">
        <is>
          <t>125,65</t>
        </is>
      </c>
      <c r="N1304" s="63" t="inlineStr">
        <is>
          <t>145,75</t>
        </is>
      </c>
      <c r="O1304" s="65" t="n"/>
      <c r="P1304" s="65" t="n"/>
      <c r="Q1304" s="65" t="n"/>
      <c r="R1304" s="65" t="n"/>
      <c r="S1304" s="65" t="n"/>
      <c r="T1304" s="65" t="n"/>
      <c r="U1304" s="65" t="n"/>
      <c r="V1304" s="65" t="n"/>
    </row>
    <row r="1305">
      <c r="A1305" s="65" t="n"/>
      <c r="B1305" s="65" t="n"/>
      <c r="C1305" s="65" t="n"/>
      <c r="D1305" s="65" t="n"/>
      <c r="E1305" s="65" t="n"/>
      <c r="F1305" s="65" t="n"/>
      <c r="G1305" s="65" t="n"/>
      <c r="H1305" s="65" t="inlineStr">
        <is>
          <t>[0019] ELITE API SN SAE 5W-40 (1x6)</t>
        </is>
      </c>
      <c r="I1305" s="65" t="n">
        <v>19</v>
      </c>
      <c r="J1305" s="63" t="inlineStr">
        <is>
          <t>2,00</t>
        </is>
      </c>
      <c r="K1305" s="63" t="inlineStr">
        <is>
          <t>45,86</t>
        </is>
      </c>
      <c r="L1305" s="63" t="inlineStr">
        <is>
          <t>0,00</t>
        </is>
      </c>
      <c r="M1305" s="63" t="inlineStr">
        <is>
          <t>91,72</t>
        </is>
      </c>
      <c r="N1305" s="63" t="inlineStr">
        <is>
          <t>106,40</t>
        </is>
      </c>
      <c r="O1305" s="65" t="n"/>
      <c r="P1305" s="65" t="n"/>
      <c r="Q1305" s="65" t="n"/>
      <c r="R1305" s="65" t="n"/>
      <c r="S1305" s="65" t="n"/>
      <c r="T1305" s="65" t="n"/>
      <c r="U1305" s="65" t="n"/>
      <c r="V1305" s="65" t="n"/>
    </row>
    <row r="1306">
      <c r="A1306" s="65" t="n"/>
      <c r="B1306" s="65" t="n"/>
      <c r="C1306" s="65" t="n"/>
      <c r="D1306" s="65" t="n"/>
      <c r="E1306" s="65" t="n"/>
      <c r="F1306" s="65" t="n"/>
      <c r="G1306" s="65" t="n"/>
      <c r="H1306" s="65" t="inlineStr">
        <is>
          <t>[0877] SS EXTRA PROTECCION API SN SAE 15W-40 (1X12)</t>
        </is>
      </c>
      <c r="I1306" s="65" t="n">
        <v>877</v>
      </c>
      <c r="J1306" s="63" t="inlineStr">
        <is>
          <t>2,00</t>
        </is>
      </c>
      <c r="K1306" s="63" t="inlineStr">
        <is>
          <t>92,32</t>
        </is>
      </c>
      <c r="L1306" s="63" t="inlineStr">
        <is>
          <t>0,00</t>
        </is>
      </c>
      <c r="M1306" s="63" t="inlineStr">
        <is>
          <t>184,63</t>
        </is>
      </c>
      <c r="N1306" s="63" t="inlineStr">
        <is>
          <t>214,17</t>
        </is>
      </c>
      <c r="O1306" s="65" t="n"/>
      <c r="P1306" s="65" t="n"/>
      <c r="Q1306" s="65" t="n"/>
      <c r="R1306" s="65" t="n"/>
      <c r="S1306" s="65" t="n"/>
      <c r="T1306" s="65" t="n"/>
      <c r="U1306" s="65" t="n"/>
      <c r="V1306" s="65" t="n"/>
    </row>
    <row r="1307">
      <c r="A1307" s="65" t="n"/>
      <c r="B1307" s="65" t="n"/>
      <c r="C1307" s="65" t="n"/>
      <c r="D1307" s="65" t="n"/>
      <c r="E1307" s="65" t="n"/>
      <c r="F1307" s="65" t="n"/>
      <c r="G1307" s="65" t="n"/>
      <c r="H1307" s="65" t="inlineStr">
        <is>
          <t>[0880] CLASICO API SL SAE 15W-40 (1x12)</t>
        </is>
      </c>
      <c r="I1307" s="65" t="n">
        <v>880</v>
      </c>
      <c r="J1307" s="63" t="inlineStr">
        <is>
          <t>1,00</t>
        </is>
      </c>
      <c r="K1307" s="63" t="inlineStr">
        <is>
          <t>79,49</t>
        </is>
      </c>
      <c r="L1307" s="63" t="inlineStr">
        <is>
          <t>0,00</t>
        </is>
      </c>
      <c r="M1307" s="63" t="inlineStr">
        <is>
          <t>79,49</t>
        </is>
      </c>
      <c r="N1307" s="63" t="inlineStr">
        <is>
          <t>92,21</t>
        </is>
      </c>
      <c r="O1307" s="65" t="n"/>
      <c r="P1307" s="65" t="n"/>
      <c r="Q1307" s="65" t="n"/>
      <c r="R1307" s="65" t="n"/>
      <c r="S1307" s="65" t="n"/>
      <c r="T1307" s="65" t="n"/>
      <c r="U1307" s="65" t="n"/>
      <c r="V1307" s="65" t="n"/>
    </row>
    <row r="1308">
      <c r="A1308" s="65" t="n"/>
      <c r="B1308" s="65" t="n"/>
      <c r="C1308" s="65" t="n"/>
      <c r="D1308" s="65" t="n"/>
      <c r="E1308" s="65" t="n"/>
      <c r="F1308" s="65" t="n"/>
      <c r="G1308" s="65" t="n"/>
      <c r="H1308" s="65" t="inlineStr">
        <is>
          <t>[0881] CLASICO API SL SAE 20W-50 (1x12)</t>
        </is>
      </c>
      <c r="I1308" s="65" t="n">
        <v>881</v>
      </c>
      <c r="J1308" s="63" t="inlineStr">
        <is>
          <t>2,00</t>
        </is>
      </c>
      <c r="K1308" s="63" t="inlineStr">
        <is>
          <t>80,78</t>
        </is>
      </c>
      <c r="L1308" s="63" t="inlineStr">
        <is>
          <t>0,00</t>
        </is>
      </c>
      <c r="M1308" s="63" t="inlineStr">
        <is>
          <t>161,57</t>
        </is>
      </c>
      <c r="N1308" s="63" t="inlineStr">
        <is>
          <t>187,42</t>
        </is>
      </c>
      <c r="O1308" s="65" t="n"/>
      <c r="P1308" s="65" t="n"/>
      <c r="Q1308" s="65" t="n"/>
      <c r="R1308" s="65" t="n"/>
      <c r="S1308" s="65" t="n"/>
      <c r="T1308" s="65" t="n"/>
      <c r="U1308" s="65" t="n"/>
      <c r="V1308" s="65" t="n"/>
    </row>
    <row r="1309">
      <c r="A1309" s="65" t="inlineStr">
        <is>
          <t>S00152</t>
        </is>
      </c>
      <c r="B1309" s="62" t="n">
        <v>46107.39394675926</v>
      </c>
      <c r="C1309" s="65" t="inlineStr">
        <is>
          <t>ESTACIONAMIENTO CIACORE 2000 c.a</t>
        </is>
      </c>
      <c r="D1309" s="65" t="inlineStr">
        <is>
          <t>VILLABONA CORREA ALBA ESTEFANIA</t>
        </is>
      </c>
      <c r="E1309" s="65" t="n"/>
      <c r="F1309" s="65" t="n">
        <v>3</v>
      </c>
      <c r="G1309" s="65" t="inlineStr">
        <is>
          <t>Precio Full Marzo</t>
        </is>
      </c>
      <c r="H1309" s="65" t="inlineStr">
        <is>
          <t>[0121] TRANSGLOB API GL-5 SAE 80W-90 (1x6)</t>
        </is>
      </c>
      <c r="I1309" s="65" t="n">
        <v>121</v>
      </c>
      <c r="J1309" s="63" t="inlineStr">
        <is>
          <t>1,00</t>
        </is>
      </c>
      <c r="K1309" s="63" t="inlineStr">
        <is>
          <t>46,55</t>
        </is>
      </c>
      <c r="L1309" s="63" t="inlineStr">
        <is>
          <t>33,33</t>
        </is>
      </c>
      <c r="M1309" s="63" t="inlineStr">
        <is>
          <t>31,03</t>
        </is>
      </c>
      <c r="N1309" s="63" t="inlineStr">
        <is>
          <t>35,99</t>
        </is>
      </c>
      <c r="O1309" s="63" t="inlineStr">
        <is>
          <t>31,03</t>
        </is>
      </c>
      <c r="P1309" s="63" t="inlineStr">
        <is>
          <t>35,99</t>
        </is>
      </c>
      <c r="Q1309" s="63" t="inlineStr">
        <is>
          <t>496,83</t>
        </is>
      </c>
      <c r="R1309" s="66" t="n">
        <v>46155</v>
      </c>
      <c r="S1309" s="65" t="n">
        <v>48</v>
      </c>
      <c r="T1309" s="65" t="inlineStr">
        <is>
          <t>00-00000324</t>
        </is>
      </c>
      <c r="U1309" s="63" t="inlineStr">
        <is>
          <t>34,99</t>
        </is>
      </c>
      <c r="V1309" s="63" t="inlineStr">
        <is>
          <t>0,00</t>
        </is>
      </c>
    </row>
    <row r="1310">
      <c r="A1310" s="65" t="inlineStr">
        <is>
          <t>S00153</t>
        </is>
      </c>
      <c r="B1310" s="62" t="n">
        <v>46107.39372685185</v>
      </c>
      <c r="C1310" s="65" t="inlineStr">
        <is>
          <t>Emprendimiento Yeizon Villaroel</t>
        </is>
      </c>
      <c r="D1310" s="65" t="inlineStr">
        <is>
          <t>VILLABONA CORREA ALBA ESTEFANIA</t>
        </is>
      </c>
      <c r="E1310" s="65" t="n"/>
      <c r="F1310" s="65" t="n">
        <v>3</v>
      </c>
      <c r="G1310" s="65" t="inlineStr">
        <is>
          <t>Precio Full Marzo</t>
        </is>
      </c>
      <c r="H1310" s="65" t="inlineStr">
        <is>
          <t>[0083] MAXIMO API CF SAE 50 (PAILA)</t>
        </is>
      </c>
      <c r="I1310" s="65" t="n">
        <v>83</v>
      </c>
      <c r="J1310" s="63" t="inlineStr">
        <is>
          <t>1,00</t>
        </is>
      </c>
      <c r="K1310" s="63" t="inlineStr">
        <is>
          <t>104,75</t>
        </is>
      </c>
      <c r="L1310" s="63" t="inlineStr">
        <is>
          <t>33,34</t>
        </is>
      </c>
      <c r="M1310" s="63" t="inlineStr">
        <is>
          <t>69,83</t>
        </is>
      </c>
      <c r="N1310" s="63" t="inlineStr">
        <is>
          <t>81,00</t>
        </is>
      </c>
      <c r="O1310" s="63" t="inlineStr">
        <is>
          <t>131,89</t>
        </is>
      </c>
      <c r="P1310" s="63" t="inlineStr">
        <is>
          <t>152,99</t>
        </is>
      </c>
      <c r="Q1310" s="63" t="inlineStr">
        <is>
          <t>496,83</t>
        </is>
      </c>
      <c r="R1310" s="66" t="n">
        <v>46149</v>
      </c>
      <c r="S1310" s="65" t="n">
        <v>31</v>
      </c>
      <c r="T1310" s="65" t="inlineStr">
        <is>
          <t>00-00000274</t>
        </is>
      </c>
      <c r="U1310" s="63" t="inlineStr">
        <is>
          <t>143,66</t>
        </is>
      </c>
      <c r="V1310" s="63" t="inlineStr">
        <is>
          <t>0,00</t>
        </is>
      </c>
    </row>
    <row r="1311">
      <c r="A1311" s="65" t="n"/>
      <c r="B1311" s="65" t="n"/>
      <c r="C1311" s="65" t="n"/>
      <c r="D1311" s="65" t="n"/>
      <c r="E1311" s="65" t="n"/>
      <c r="F1311" s="65" t="n"/>
      <c r="G1311" s="65" t="n"/>
      <c r="H1311" s="65" t="inlineStr">
        <is>
          <t>[0877] SS EXTRA PROTECCION API SN SAE 15W-40 (1X12)</t>
        </is>
      </c>
      <c r="I1311" s="65" t="n">
        <v>877</v>
      </c>
      <c r="J1311" s="63" t="inlineStr">
        <is>
          <t>1,00</t>
        </is>
      </c>
      <c r="K1311" s="63" t="inlineStr">
        <is>
          <t>93,10</t>
        </is>
      </c>
      <c r="L1311" s="63" t="inlineStr">
        <is>
          <t>33,34</t>
        </is>
      </c>
      <c r="M1311" s="63" t="inlineStr">
        <is>
          <t>62,06</t>
        </is>
      </c>
      <c r="N1311" s="63" t="inlineStr">
        <is>
          <t>71,99</t>
        </is>
      </c>
      <c r="O1311" s="65" t="n"/>
      <c r="P1311" s="65" t="n"/>
      <c r="Q1311" s="65" t="n"/>
      <c r="R1311" s="65" t="n"/>
      <c r="S1311" s="65" t="n"/>
      <c r="T1311" s="65" t="n"/>
      <c r="U1311" s="65" t="n"/>
      <c r="V1311" s="65" t="n"/>
    </row>
    <row r="1312">
      <c r="A1312" s="65" t="inlineStr">
        <is>
          <t>S00151</t>
        </is>
      </c>
      <c r="B1312" s="62" t="n">
        <v>46106.6877662037</v>
      </c>
      <c r="C1312" s="65" t="inlineStr">
        <is>
          <t>Distribuidora Drako 2024 c.a</t>
        </is>
      </c>
      <c r="D1312" s="65" t="inlineStr">
        <is>
          <t>BETANCOURT ROBRIGUEZ LUIS ENRRIQUE</t>
        </is>
      </c>
      <c r="E1312" s="65" t="inlineStr">
        <is>
          <t>15 días</t>
        </is>
      </c>
      <c r="F1312" s="65" t="n">
        <v>3</v>
      </c>
      <c r="G1312" s="65" t="inlineStr">
        <is>
          <t>Precio Full Marzo</t>
        </is>
      </c>
      <c r="H1312" s="65" t="inlineStr">
        <is>
          <t>[0779] SINOCO SAE 20W-50 (1x12)</t>
        </is>
      </c>
      <c r="I1312" s="65" t="n">
        <v>779</v>
      </c>
      <c r="J1312" s="63" t="inlineStr">
        <is>
          <t>3,00</t>
        </is>
      </c>
      <c r="K1312" s="63" t="inlineStr">
        <is>
          <t>62,07</t>
        </is>
      </c>
      <c r="L1312" s="63" t="inlineStr">
        <is>
          <t>0,00</t>
        </is>
      </c>
      <c r="M1312" s="63" t="inlineStr">
        <is>
          <t>186,21</t>
        </is>
      </c>
      <c r="N1312" s="63" t="inlineStr">
        <is>
          <t>216,00</t>
        </is>
      </c>
      <c r="O1312" s="63" t="inlineStr">
        <is>
          <t>248,28</t>
        </is>
      </c>
      <c r="P1312" s="63" t="inlineStr">
        <is>
          <t>288,00</t>
        </is>
      </c>
      <c r="Q1312" s="63" t="inlineStr">
        <is>
          <t>709,69</t>
        </is>
      </c>
      <c r="R1312" s="66" t="n">
        <v>46214</v>
      </c>
      <c r="S1312" s="65" t="n">
        <v>267</v>
      </c>
      <c r="T1312" s="65" t="inlineStr">
        <is>
          <t>00-00000804</t>
        </is>
      </c>
      <c r="U1312" s="63" t="inlineStr">
        <is>
          <t>288,00</t>
        </is>
      </c>
      <c r="V1312" s="63" t="inlineStr">
        <is>
          <t>288,00</t>
        </is>
      </c>
    </row>
    <row r="1313">
      <c r="A1313" s="65" t="n"/>
      <c r="B1313" s="65" t="n"/>
      <c r="C1313" s="65" t="n"/>
      <c r="D1313" s="65" t="n"/>
      <c r="E1313" s="65" t="n"/>
      <c r="F1313" s="65" t="n"/>
      <c r="G1313" s="65" t="n"/>
      <c r="H1313" s="65" t="inlineStr">
        <is>
          <t>[0915] SINOCO SAE 50 (1x12)</t>
        </is>
      </c>
      <c r="I1313" s="65" t="n">
        <v>915</v>
      </c>
      <c r="J1313" s="63" t="inlineStr">
        <is>
          <t>1,00</t>
        </is>
      </c>
      <c r="K1313" s="63" t="inlineStr">
        <is>
          <t>62,07</t>
        </is>
      </c>
      <c r="L1313" s="63" t="inlineStr">
        <is>
          <t>0,00</t>
        </is>
      </c>
      <c r="M1313" s="63" t="inlineStr">
        <is>
          <t>62,07</t>
        </is>
      </c>
      <c r="N1313" s="63" t="inlineStr">
        <is>
          <t>72,00</t>
        </is>
      </c>
      <c r="O1313" s="65" t="n"/>
      <c r="P1313" s="65" t="n"/>
      <c r="Q1313" s="65" t="n"/>
      <c r="R1313" s="65" t="n"/>
      <c r="S1313" s="65" t="n"/>
      <c r="T1313" s="65" t="n"/>
      <c r="U1313" s="65" t="n"/>
      <c r="V1313" s="65" t="n"/>
    </row>
    <row r="1314">
      <c r="A1314" s="65" t="inlineStr">
        <is>
          <t>S00150</t>
        </is>
      </c>
      <c r="B1314" s="62" t="n">
        <v>46106.68579861111</v>
      </c>
      <c r="C1314" s="65" t="inlineStr">
        <is>
          <t>Inversiones Dekamalbaz, C.A</t>
        </is>
      </c>
      <c r="D1314" s="65" t="inlineStr">
        <is>
          <t>OCANTO ZABALA ROSALVY DEL CARMEN</t>
        </is>
      </c>
      <c r="E1314" s="65" t="inlineStr">
        <is>
          <t>7 días</t>
        </is>
      </c>
      <c r="F1314" s="65" t="n">
        <v>3</v>
      </c>
      <c r="G1314" s="65" t="inlineStr">
        <is>
          <t>Precio Full Marzo</t>
        </is>
      </c>
      <c r="H1314" s="65" t="inlineStr">
        <is>
          <t>[0887] MOTOCLASICO 4T SAE 20W-50 (1x12)</t>
        </is>
      </c>
      <c r="I1314" s="65" t="n">
        <v>887</v>
      </c>
      <c r="J1314" s="63" t="inlineStr">
        <is>
          <t>2,00</t>
        </is>
      </c>
      <c r="K1314" s="63" t="inlineStr">
        <is>
          <t>85,34</t>
        </is>
      </c>
      <c r="L1314" s="63" t="inlineStr">
        <is>
          <t>0,00</t>
        </is>
      </c>
      <c r="M1314" s="63" t="inlineStr">
        <is>
          <t>170,68</t>
        </is>
      </c>
      <c r="N1314" s="63" t="inlineStr">
        <is>
          <t>197,99</t>
        </is>
      </c>
      <c r="O1314" s="63" t="inlineStr">
        <is>
          <t>214,65</t>
        </is>
      </c>
      <c r="P1314" s="63" t="inlineStr">
        <is>
          <t>249,00</t>
        </is>
      </c>
      <c r="Q1314" s="63" t="inlineStr">
        <is>
          <t>473,87</t>
        </is>
      </c>
      <c r="R1314" s="66" t="n">
        <v>46155</v>
      </c>
      <c r="S1314" s="65" t="n">
        <v>44</v>
      </c>
      <c r="T1314" s="65" t="inlineStr">
        <is>
          <t>00-00000320</t>
        </is>
      </c>
      <c r="U1314" s="63" t="inlineStr">
        <is>
          <t>174,97</t>
        </is>
      </c>
      <c r="V1314" s="63" t="inlineStr">
        <is>
          <t>175,00</t>
        </is>
      </c>
    </row>
    <row r="1315">
      <c r="A1315" s="65" t="n"/>
      <c r="B1315" s="65" t="n"/>
      <c r="C1315" s="65" t="n"/>
      <c r="D1315" s="65" t="n"/>
      <c r="E1315" s="65" t="n"/>
      <c r="F1315" s="65" t="n"/>
      <c r="G1315" s="65" t="n"/>
      <c r="H1315" s="65" t="inlineStr">
        <is>
          <t>[0093] ALTA CILINDRADA SS API SN SAE 15W-40 (1x6)</t>
        </is>
      </c>
      <c r="I1315" s="65" t="n">
        <v>93</v>
      </c>
      <c r="J1315" s="63" t="inlineStr">
        <is>
          <t>1,00</t>
        </is>
      </c>
      <c r="K1315" s="63" t="inlineStr">
        <is>
          <t>43,97</t>
        </is>
      </c>
      <c r="L1315" s="63" t="inlineStr">
        <is>
          <t>0,00</t>
        </is>
      </c>
      <c r="M1315" s="63" t="inlineStr">
        <is>
          <t>43,97</t>
        </is>
      </c>
      <c r="N1315" s="63" t="inlineStr">
        <is>
          <t>51,01</t>
        </is>
      </c>
      <c r="O1315" s="65" t="n"/>
      <c r="P1315" s="65" t="n"/>
      <c r="Q1315" s="65" t="n"/>
      <c r="R1315" s="65" t="n"/>
      <c r="S1315" s="65" t="n"/>
      <c r="T1315" s="65" t="n"/>
      <c r="U1315" s="65" t="n"/>
      <c r="V1315" s="65" t="n"/>
    </row>
    <row r="1316">
      <c r="A1316" s="65" t="n"/>
      <c r="B1316" s="65" t="n"/>
      <c r="C1316" s="65" t="n"/>
      <c r="D1316" s="65" t="n"/>
      <c r="E1316" s="65" t="n"/>
      <c r="F1316" s="65" t="n"/>
      <c r="G1316" s="65" t="n"/>
      <c r="H1316" s="65" t="n"/>
      <c r="I1316" s="65" t="n"/>
      <c r="J1316" s="63" t="inlineStr">
        <is>
          <t>0,00</t>
        </is>
      </c>
      <c r="K1316" s="63" t="inlineStr">
        <is>
          <t>0,00</t>
        </is>
      </c>
      <c r="L1316" s="63" t="inlineStr">
        <is>
          <t>0,00</t>
        </is>
      </c>
      <c r="M1316" s="63" t="inlineStr">
        <is>
          <t>0,00</t>
        </is>
      </c>
      <c r="N1316" s="63" t="inlineStr">
        <is>
          <t>0,00</t>
        </is>
      </c>
      <c r="O1316" s="65" t="n"/>
      <c r="P1316" s="65" t="n"/>
      <c r="Q1316" s="65" t="n"/>
      <c r="R1316" s="65" t="n"/>
      <c r="S1316" s="65" t="n"/>
      <c r="T1316" s="65" t="n"/>
      <c r="U1316" s="65" t="n"/>
      <c r="V1316" s="65" t="n"/>
    </row>
    <row r="1317">
      <c r="A1317" s="65" t="inlineStr">
        <is>
          <t>S00149</t>
        </is>
      </c>
      <c r="B1317" s="62" t="n">
        <v>46106.68116898148</v>
      </c>
      <c r="C1317" s="65" t="inlineStr">
        <is>
          <t>Emprendimiento ilaris cancelo</t>
        </is>
      </c>
      <c r="D1317" s="65" t="inlineStr">
        <is>
          <t>PEREZ DIAZ ANGEL DE DIOS</t>
        </is>
      </c>
      <c r="E1317" s="65" t="inlineStr">
        <is>
          <t>45 días</t>
        </is>
      </c>
      <c r="F1317" s="65" t="n">
        <v>3</v>
      </c>
      <c r="G1317" s="65" t="inlineStr">
        <is>
          <t>Precio Full Marzo</t>
        </is>
      </c>
      <c r="H1317" s="65" t="inlineStr">
        <is>
          <t>[0603] SINOCO SAE 50 (Tambor)</t>
        </is>
      </c>
      <c r="I1317" s="65" t="n">
        <v>603</v>
      </c>
      <c r="J1317" s="63" t="inlineStr">
        <is>
          <t>2,00</t>
        </is>
      </c>
      <c r="K1317" s="63" t="inlineStr">
        <is>
          <t>821,12</t>
        </is>
      </c>
      <c r="L1317" s="63" t="inlineStr">
        <is>
          <t>0,00</t>
        </is>
      </c>
      <c r="M1317" s="63" t="inlineStr">
        <is>
          <t>1.642,24</t>
        </is>
      </c>
      <c r="N1317" s="63" t="inlineStr">
        <is>
          <t>1.905,00</t>
        </is>
      </c>
      <c r="O1317" s="63" t="inlineStr">
        <is>
          <t>2.262,94</t>
        </is>
      </c>
      <c r="P1317" s="63" t="inlineStr">
        <is>
          <t>2.625,01</t>
        </is>
      </c>
      <c r="Q1317" s="63" t="inlineStr">
        <is>
          <t>473,87</t>
        </is>
      </c>
      <c r="R1317" s="66" t="n">
        <v>46188</v>
      </c>
      <c r="S1317" s="65" t="n">
        <v>178</v>
      </c>
      <c r="T1317" s="65" t="inlineStr">
        <is>
          <t>00-00000629</t>
        </is>
      </c>
      <c r="U1317" s="63" t="inlineStr">
        <is>
          <t>1.750,00</t>
        </is>
      </c>
      <c r="V1317" s="63" t="inlineStr">
        <is>
          <t>950,00</t>
        </is>
      </c>
    </row>
    <row r="1318">
      <c r="A1318" s="65" t="n"/>
      <c r="B1318" s="65" t="n"/>
      <c r="C1318" s="65" t="n"/>
      <c r="D1318" s="65" t="n"/>
      <c r="E1318" s="65" t="n"/>
      <c r="F1318" s="65" t="n"/>
      <c r="G1318" s="65" t="n"/>
      <c r="H1318" s="65" t="inlineStr">
        <is>
          <t>[0779] SINOCO SAE 20W-50 (1x12)</t>
        </is>
      </c>
      <c r="I1318" s="65" t="n">
        <v>779</v>
      </c>
      <c r="J1318" s="63" t="inlineStr">
        <is>
          <t>10,00</t>
        </is>
      </c>
      <c r="K1318" s="63" t="inlineStr">
        <is>
          <t>62,07</t>
        </is>
      </c>
      <c r="L1318" s="63" t="inlineStr">
        <is>
          <t>0,00</t>
        </is>
      </c>
      <c r="M1318" s="63" t="inlineStr">
        <is>
          <t>620,70</t>
        </is>
      </c>
      <c r="N1318" s="63" t="inlineStr">
        <is>
          <t>720,01</t>
        </is>
      </c>
      <c r="O1318" s="65" t="n"/>
      <c r="P1318" s="65" t="n"/>
      <c r="Q1318" s="65" t="n"/>
      <c r="R1318" s="65" t="n"/>
      <c r="S1318" s="65" t="n"/>
      <c r="T1318" s="65" t="n"/>
      <c r="U1318" s="65" t="n"/>
      <c r="V1318" s="65" t="n"/>
    </row>
    <row r="1319">
      <c r="A1319" s="65" t="inlineStr">
        <is>
          <t>S00148</t>
        </is>
      </c>
      <c r="B1319" s="62" t="n">
        <v>46106.42379629629</v>
      </c>
      <c r="C1319" s="65" t="inlineStr">
        <is>
          <t>AGROPECUARIA EL TORO DORADO, C.A</t>
        </is>
      </c>
      <c r="D1319" s="65" t="inlineStr">
        <is>
          <t>REVERON DE CONTRERAS MELANI AUSMAR</t>
        </is>
      </c>
      <c r="E1319" s="65" t="n"/>
      <c r="F1319" s="65" t="n">
        <v>3</v>
      </c>
      <c r="G1319" s="65" t="inlineStr">
        <is>
          <t>Precio Full Marzo</t>
        </is>
      </c>
      <c r="H1319" s="65" t="inlineStr">
        <is>
          <t>[0127] TRANSGLOB API GL-5 SAE 85W-140 (1x6)</t>
        </is>
      </c>
      <c r="I1319" s="65" t="n">
        <v>127</v>
      </c>
      <c r="J1319" s="63" t="inlineStr">
        <is>
          <t>1,00</t>
        </is>
      </c>
      <c r="K1319" s="63" t="inlineStr">
        <is>
          <t>31,10</t>
        </is>
      </c>
      <c r="L1319" s="63" t="inlineStr">
        <is>
          <t>0,00</t>
        </is>
      </c>
      <c r="M1319" s="63" t="inlineStr">
        <is>
          <t>31,10</t>
        </is>
      </c>
      <c r="N1319" s="63" t="inlineStr">
        <is>
          <t>36,08</t>
        </is>
      </c>
      <c r="O1319" s="63" t="inlineStr">
        <is>
          <t>31,10</t>
        </is>
      </c>
      <c r="P1319" s="63" t="inlineStr">
        <is>
          <t>36,08</t>
        </is>
      </c>
      <c r="Q1319" s="63" t="inlineStr">
        <is>
          <t>462,67</t>
        </is>
      </c>
      <c r="R1319" s="66" t="n">
        <v>46106</v>
      </c>
      <c r="S1319" s="65" t="n">
        <v>8</v>
      </c>
      <c r="T1319" s="65" t="inlineStr">
        <is>
          <t>00-00000100</t>
        </is>
      </c>
      <c r="U1319" s="63" t="inlineStr">
        <is>
          <t>36,07</t>
        </is>
      </c>
      <c r="V1319" s="63" t="inlineStr">
        <is>
          <t>0,00</t>
        </is>
      </c>
    </row>
    <row r="1320">
      <c r="A1320" s="65" t="inlineStr">
        <is>
          <t>S00146</t>
        </is>
      </c>
      <c r="B1320" s="62" t="n">
        <v>46105.69121527778</v>
      </c>
      <c r="C1320" s="65" t="inlineStr">
        <is>
          <t>Alexander Quiroz</t>
        </is>
      </c>
      <c r="D1320" s="65" t="inlineStr">
        <is>
          <t>BETANCOURT ROBRIGUEZ LUIS ENRRIQUE</t>
        </is>
      </c>
      <c r="E1320" s="65" t="inlineStr">
        <is>
          <t>15 días</t>
        </is>
      </c>
      <c r="F1320" s="65" t="n">
        <v>3</v>
      </c>
      <c r="G1320" s="65" t="inlineStr">
        <is>
          <t>Precio Full Marzo</t>
        </is>
      </c>
      <c r="H1320" s="65" t="inlineStr">
        <is>
          <t>[0602] SINOCO SAE 50 (PAILA)</t>
        </is>
      </c>
      <c r="I1320" s="65" t="n">
        <v>602</v>
      </c>
      <c r="J1320" s="63" t="inlineStr">
        <is>
          <t>10,00</t>
        </is>
      </c>
      <c r="K1320" s="63" t="inlineStr">
        <is>
          <t>85,45</t>
        </is>
      </c>
      <c r="L1320" s="63" t="inlineStr">
        <is>
          <t>0,00</t>
        </is>
      </c>
      <c r="M1320" s="63" t="inlineStr">
        <is>
          <t>854,50</t>
        </is>
      </c>
      <c r="N1320" s="63" t="inlineStr">
        <is>
          <t>991,22</t>
        </is>
      </c>
      <c r="O1320" s="63" t="inlineStr">
        <is>
          <t>1.720,90</t>
        </is>
      </c>
      <c r="P1320" s="63" t="inlineStr">
        <is>
          <t>1.996,24</t>
        </is>
      </c>
      <c r="Q1320" s="63" t="inlineStr">
        <is>
          <t>473,87</t>
        </is>
      </c>
      <c r="R1320" s="66" t="n">
        <v>46169</v>
      </c>
      <c r="S1320" s="65" t="n">
        <v>97</v>
      </c>
      <c r="T1320" s="65" t="inlineStr">
        <is>
          <t>00-00000451</t>
        </is>
      </c>
      <c r="U1320" s="63" t="inlineStr">
        <is>
          <t>1.390,32</t>
        </is>
      </c>
      <c r="V1320" s="63" t="inlineStr">
        <is>
          <t>0,00</t>
        </is>
      </c>
    </row>
    <row r="1321">
      <c r="A1321" s="65" t="n"/>
      <c r="B1321" s="65" t="n"/>
      <c r="C1321" s="65" t="n"/>
      <c r="D1321" s="65" t="n"/>
      <c r="E1321" s="65" t="n"/>
      <c r="F1321" s="65" t="n"/>
      <c r="G1321" s="65" t="n"/>
      <c r="H1321" s="65" t="inlineStr">
        <is>
          <t>[0605] SINOCO SAE 20W-50 (PAILA)</t>
        </is>
      </c>
      <c r="I1321" s="65" t="n">
        <v>605</v>
      </c>
      <c r="J1321" s="63" t="inlineStr">
        <is>
          <t>10,00</t>
        </is>
      </c>
      <c r="K1321" s="63" t="inlineStr">
        <is>
          <t>86,64</t>
        </is>
      </c>
      <c r="L1321" s="63" t="inlineStr">
        <is>
          <t>0,00</t>
        </is>
      </c>
      <c r="M1321" s="63" t="inlineStr">
        <is>
          <t>866,40</t>
        </is>
      </c>
      <c r="N1321" s="63" t="inlineStr">
        <is>
          <t>1.005,02</t>
        </is>
      </c>
      <c r="O1321" s="65" t="n"/>
      <c r="P1321" s="65" t="n"/>
      <c r="Q1321" s="65" t="n"/>
      <c r="R1321" s="65" t="n"/>
      <c r="S1321" s="65" t="n"/>
      <c r="T1321" s="65" t="n"/>
      <c r="U1321" s="65" t="n"/>
      <c r="V1321" s="65" t="n"/>
    </row>
    <row r="1322">
      <c r="A1322" s="65" t="inlineStr">
        <is>
          <t>S00142</t>
        </is>
      </c>
      <c r="B1322" s="62" t="n">
        <v>46105.67162037037</v>
      </c>
      <c r="C1322" s="65" t="inlineStr">
        <is>
          <t>LOGISTICA Y CONSULTORIA VINCARS, C.A.</t>
        </is>
      </c>
      <c r="D1322" s="65" t="inlineStr">
        <is>
          <t>TORO ARDILES DAVID JOSE</t>
        </is>
      </c>
      <c r="E1322" s="65" t="n"/>
      <c r="F1322" s="65" t="n">
        <v>3</v>
      </c>
      <c r="G1322" s="65" t="inlineStr">
        <is>
          <t>Precio Full Marzo</t>
        </is>
      </c>
      <c r="H1322" s="65" t="inlineStr">
        <is>
          <t>[0121] TRANSGLOB API GL-5 SAE 80W-90 (1x6)</t>
        </is>
      </c>
      <c r="I1322" s="65" t="n">
        <v>121</v>
      </c>
      <c r="J1322" s="63" t="inlineStr">
        <is>
          <t>2,00</t>
        </is>
      </c>
      <c r="K1322" s="63" t="inlineStr">
        <is>
          <t>39,46</t>
        </is>
      </c>
      <c r="L1322" s="63" t="inlineStr">
        <is>
          <t>0,00</t>
        </is>
      </c>
      <c r="M1322" s="63" t="inlineStr">
        <is>
          <t>78,92</t>
        </is>
      </c>
      <c r="N1322" s="63" t="inlineStr">
        <is>
          <t>91,55</t>
        </is>
      </c>
      <c r="O1322" s="63" t="inlineStr">
        <is>
          <t>165,56</t>
        </is>
      </c>
      <c r="P1322" s="63" t="inlineStr">
        <is>
          <t>192,05</t>
        </is>
      </c>
      <c r="Q1322" s="63" t="inlineStr">
        <is>
          <t>473,87</t>
        </is>
      </c>
      <c r="R1322" s="66" t="n">
        <v>46163</v>
      </c>
      <c r="S1322" s="65" t="n">
        <v>86</v>
      </c>
      <c r="T1322" s="65" t="inlineStr">
        <is>
          <t>00-00000414</t>
        </is>
      </c>
      <c r="U1322" s="63" t="inlineStr">
        <is>
          <t>138,98</t>
        </is>
      </c>
      <c r="V1322" s="63" t="inlineStr">
        <is>
          <t>0,00</t>
        </is>
      </c>
    </row>
    <row r="1323">
      <c r="A1323" s="65" t="n"/>
      <c r="B1323" s="65" t="n"/>
      <c r="C1323" s="65" t="n"/>
      <c r="D1323" s="65" t="n"/>
      <c r="E1323" s="65" t="n"/>
      <c r="F1323" s="65" t="n"/>
      <c r="G1323" s="65" t="n"/>
      <c r="H1323" s="65" t="inlineStr">
        <is>
          <t>[0884] TRANSMATIC ATF DEXRON III (1x12)</t>
        </is>
      </c>
      <c r="I1323" s="65" t="n">
        <v>884</v>
      </c>
      <c r="J1323" s="63" t="inlineStr">
        <is>
          <t>1,00</t>
        </is>
      </c>
      <c r="K1323" s="63" t="inlineStr">
        <is>
          <t>86,64</t>
        </is>
      </c>
      <c r="L1323" s="63" t="inlineStr">
        <is>
          <t>0,00</t>
        </is>
      </c>
      <c r="M1323" s="63" t="inlineStr">
        <is>
          <t>86,64</t>
        </is>
      </c>
      <c r="N1323" s="63" t="inlineStr">
        <is>
          <t>100,50</t>
        </is>
      </c>
      <c r="O1323" s="65" t="n"/>
      <c r="P1323" s="65" t="n"/>
      <c r="Q1323" s="65" t="n"/>
      <c r="R1323" s="65" t="n"/>
      <c r="S1323" s="65" t="n"/>
      <c r="T1323" s="65" t="n"/>
      <c r="U1323" s="65" t="n"/>
      <c r="V1323" s="65" t="n"/>
    </row>
    <row r="1324">
      <c r="A1324" s="65" t="inlineStr">
        <is>
          <t>S00143</t>
        </is>
      </c>
      <c r="B1324" s="62" t="n">
        <v>46105.6712962963</v>
      </c>
      <c r="C1324" s="65" t="inlineStr">
        <is>
          <t>MOTOREPUESTOS EL GUANÁBANO YRM C.A.</t>
        </is>
      </c>
      <c r="D1324" s="65" t="inlineStr">
        <is>
          <t>TORO ARDILES DAVID JOSE</t>
        </is>
      </c>
      <c r="E1324" s="65" t="n"/>
      <c r="F1324" s="65" t="n">
        <v>3</v>
      </c>
      <c r="G1324" s="65" t="inlineStr">
        <is>
          <t>Precio Full Marzo</t>
        </is>
      </c>
      <c r="H1324" s="65" t="inlineStr">
        <is>
          <t>[0087] ENDUROGLOB 2T AIRE (1x6)</t>
        </is>
      </c>
      <c r="I1324" s="65" t="n">
        <v>87</v>
      </c>
      <c r="J1324" s="63" t="inlineStr">
        <is>
          <t>1,00</t>
        </is>
      </c>
      <c r="K1324" s="63" t="inlineStr">
        <is>
          <t>42,67</t>
        </is>
      </c>
      <c r="L1324" s="63" t="inlineStr">
        <is>
          <t>34,63</t>
        </is>
      </c>
      <c r="M1324" s="63" t="inlineStr">
        <is>
          <t>27,89</t>
        </is>
      </c>
      <c r="N1324" s="63" t="inlineStr">
        <is>
          <t>32,35</t>
        </is>
      </c>
      <c r="O1324" s="63" t="inlineStr">
        <is>
          <t>174,14</t>
        </is>
      </c>
      <c r="P1324" s="63" t="inlineStr">
        <is>
          <t>202,01</t>
        </is>
      </c>
      <c r="Q1324" s="63" t="inlineStr">
        <is>
          <t>473,87</t>
        </is>
      </c>
      <c r="R1324" s="66" t="n">
        <v>46205</v>
      </c>
      <c r="S1324" s="65" t="n">
        <v>218</v>
      </c>
      <c r="T1324" s="65" t="inlineStr">
        <is>
          <t>00-00000722</t>
        </is>
      </c>
      <c r="U1324" s="63" t="inlineStr">
        <is>
          <t>201,97</t>
        </is>
      </c>
      <c r="V1324" s="63" t="inlineStr">
        <is>
          <t>0,00</t>
        </is>
      </c>
    </row>
    <row r="1325">
      <c r="A1325" s="65" t="n"/>
      <c r="B1325" s="65" t="n"/>
      <c r="C1325" s="65" t="n"/>
      <c r="D1325" s="65" t="n"/>
      <c r="E1325" s="65" t="n"/>
      <c r="F1325" s="65" t="n"/>
      <c r="G1325" s="65" t="n"/>
      <c r="H1325" s="65" t="inlineStr">
        <is>
          <t>[0093] ALTA CILINDRADA SS API SN SAE 15W-40 (1x6)</t>
        </is>
      </c>
      <c r="I1325" s="65" t="n">
        <v>93</v>
      </c>
      <c r="J1325" s="63" t="inlineStr">
        <is>
          <t>2,00</t>
        </is>
      </c>
      <c r="K1325" s="63" t="inlineStr">
        <is>
          <t>43,97</t>
        </is>
      </c>
      <c r="L1325" s="63" t="inlineStr">
        <is>
          <t>34,63</t>
        </is>
      </c>
      <c r="M1325" s="63" t="inlineStr">
        <is>
          <t>57,49</t>
        </is>
      </c>
      <c r="N1325" s="63" t="inlineStr">
        <is>
          <t>66,69</t>
        </is>
      </c>
      <c r="O1325" s="65" t="n"/>
      <c r="P1325" s="65" t="n"/>
      <c r="Q1325" s="65" t="n"/>
      <c r="R1325" s="65" t="n"/>
      <c r="S1325" s="65" t="n"/>
      <c r="T1325" s="65" t="n"/>
      <c r="U1325" s="65" t="n"/>
      <c r="V1325" s="65" t="n"/>
    </row>
    <row r="1326">
      <c r="A1326" s="65" t="n"/>
      <c r="B1326" s="65" t="n"/>
      <c r="C1326" s="65" t="n"/>
      <c r="D1326" s="65" t="n"/>
      <c r="E1326" s="65" t="n"/>
      <c r="F1326" s="65" t="n"/>
      <c r="G1326" s="65" t="n"/>
      <c r="H1326" s="65" t="inlineStr">
        <is>
          <t>[0887] MOTOCLASICO 4T SAE 20W-50 (1x12)</t>
        </is>
      </c>
      <c r="I1326" s="65" t="n">
        <v>887</v>
      </c>
      <c r="J1326" s="63" t="inlineStr">
        <is>
          <t>1,00</t>
        </is>
      </c>
      <c r="K1326" s="63" t="inlineStr">
        <is>
          <t>85,34</t>
        </is>
      </c>
      <c r="L1326" s="63" t="inlineStr">
        <is>
          <t>34,63</t>
        </is>
      </c>
      <c r="M1326" s="63" t="inlineStr">
        <is>
          <t>55,79</t>
        </is>
      </c>
      <c r="N1326" s="63" t="inlineStr">
        <is>
          <t>64,72</t>
        </is>
      </c>
      <c r="O1326" s="65" t="n"/>
      <c r="P1326" s="65" t="n"/>
      <c r="Q1326" s="65" t="n"/>
      <c r="R1326" s="65" t="n"/>
      <c r="S1326" s="65" t="n"/>
      <c r="T1326" s="65" t="n"/>
      <c r="U1326" s="65" t="n"/>
      <c r="V1326" s="65" t="n"/>
    </row>
    <row r="1327">
      <c r="A1327" s="65" t="n"/>
      <c r="B1327" s="65" t="n"/>
      <c r="C1327" s="65" t="n"/>
      <c r="D1327" s="65" t="n"/>
      <c r="E1327" s="65" t="n"/>
      <c r="F1327" s="65" t="n"/>
      <c r="G1327" s="65" t="n"/>
      <c r="H1327" s="65" t="inlineStr">
        <is>
          <t>[0762] LIGA PARA FRENOS DOT-3 (1x6)</t>
        </is>
      </c>
      <c r="I1327" s="65" t="n">
        <v>762</v>
      </c>
      <c r="J1327" s="63" t="inlineStr">
        <is>
          <t>1,00</t>
        </is>
      </c>
      <c r="K1327" s="63" t="inlineStr">
        <is>
          <t>50,43</t>
        </is>
      </c>
      <c r="L1327" s="63" t="inlineStr">
        <is>
          <t>34,63</t>
        </is>
      </c>
      <c r="M1327" s="63" t="inlineStr">
        <is>
          <t>32,97</t>
        </is>
      </c>
      <c r="N1327" s="63" t="inlineStr">
        <is>
          <t>38,25</t>
        </is>
      </c>
      <c r="O1327" s="65" t="n"/>
      <c r="P1327" s="65" t="n"/>
      <c r="Q1327" s="65" t="n"/>
      <c r="R1327" s="65" t="n"/>
      <c r="S1327" s="65" t="n"/>
      <c r="T1327" s="65" t="n"/>
      <c r="U1327" s="65" t="n"/>
      <c r="V1327" s="65" t="n"/>
    </row>
    <row r="1328">
      <c r="A1328" s="65" t="inlineStr">
        <is>
          <t>S00144</t>
        </is>
      </c>
      <c r="B1328" s="62" t="n">
        <v>46105.66956018518</v>
      </c>
      <c r="C1328" s="65" t="inlineStr">
        <is>
          <t>HIDRAULICAS CAICEDO C.A.</t>
        </is>
      </c>
      <c r="D1328" s="65" t="inlineStr">
        <is>
          <t>VILLABONA CORREA ALBA ESTEFANIA</t>
        </is>
      </c>
      <c r="E1328" s="65" t="n"/>
      <c r="F1328" s="65" t="n">
        <v>3</v>
      </c>
      <c r="G1328" s="65" t="inlineStr">
        <is>
          <t>Precio Full Marzo</t>
        </is>
      </c>
      <c r="H1328" s="65" t="inlineStr">
        <is>
          <t>[0877] SS EXTRA PROTECCION API SN SAE 15W-40 (1X12)</t>
        </is>
      </c>
      <c r="I1328" s="65" t="n">
        <v>877</v>
      </c>
      <c r="J1328" s="63" t="inlineStr">
        <is>
          <t>1,00</t>
        </is>
      </c>
      <c r="K1328" s="63" t="inlineStr">
        <is>
          <t>93,10</t>
        </is>
      </c>
      <c r="L1328" s="63" t="inlineStr">
        <is>
          <t>0,00</t>
        </is>
      </c>
      <c r="M1328" s="63" t="inlineStr">
        <is>
          <t>93,10</t>
        </is>
      </c>
      <c r="N1328" s="63" t="inlineStr">
        <is>
          <t>108,00</t>
        </is>
      </c>
      <c r="O1328" s="63" t="inlineStr">
        <is>
          <t>93,10</t>
        </is>
      </c>
      <c r="P1328" s="63" t="inlineStr">
        <is>
          <t>108,00</t>
        </is>
      </c>
      <c r="Q1328" s="63" t="inlineStr">
        <is>
          <t>473,87</t>
        </is>
      </c>
      <c r="R1328" s="66" t="n">
        <v>46141</v>
      </c>
      <c r="S1328" s="65" t="n">
        <v>28</v>
      </c>
      <c r="T1328" s="65" t="inlineStr">
        <is>
          <t>00-00000241</t>
        </is>
      </c>
      <c r="U1328" s="63" t="inlineStr">
        <is>
          <t>104,70</t>
        </is>
      </c>
      <c r="V1328" s="63" t="inlineStr">
        <is>
          <t>104,71</t>
        </is>
      </c>
    </row>
    <row r="1329">
      <c r="A1329" s="65" t="n"/>
      <c r="B1329" s="65" t="n"/>
      <c r="C1329" s="65" t="n"/>
      <c r="D1329" s="65" t="n"/>
      <c r="E1329" s="65" t="n"/>
      <c r="F1329" s="65" t="n"/>
      <c r="G1329" s="65" t="n"/>
      <c r="H1329" s="65" t="n"/>
      <c r="I1329" s="65" t="n"/>
      <c r="J1329" s="63" t="inlineStr">
        <is>
          <t>0,00</t>
        </is>
      </c>
      <c r="K1329" s="63" t="inlineStr">
        <is>
          <t>0,00</t>
        </is>
      </c>
      <c r="L1329" s="63" t="inlineStr">
        <is>
          <t>0,00</t>
        </is>
      </c>
      <c r="M1329" s="63" t="inlineStr">
        <is>
          <t>0,00</t>
        </is>
      </c>
      <c r="N1329" s="63" t="inlineStr">
        <is>
          <t>0,00</t>
        </is>
      </c>
      <c r="O1329" s="65" t="n"/>
      <c r="P1329" s="65" t="n"/>
      <c r="Q1329" s="65" t="n"/>
      <c r="R1329" s="65" t="n"/>
      <c r="S1329" s="65" t="n"/>
      <c r="T1329" s="65" t="n"/>
      <c r="U1329" s="65" t="n"/>
      <c r="V1329" s="65" t="n"/>
    </row>
    <row r="1330">
      <c r="A1330" s="65" t="inlineStr">
        <is>
          <t>S00141</t>
        </is>
      </c>
      <c r="B1330" s="62" t="n">
        <v>46105.66875</v>
      </c>
      <c r="C1330" s="65" t="inlineStr">
        <is>
          <t>Yulendri Carolina Pineda Blanco</t>
        </is>
      </c>
      <c r="D1330" s="65" t="inlineStr">
        <is>
          <t>GRIMAN DIAZ HECTOR EDUARDO</t>
        </is>
      </c>
      <c r="E1330" s="65" t="inlineStr">
        <is>
          <t>15 días</t>
        </is>
      </c>
      <c r="F1330" s="65" t="n">
        <v>3</v>
      </c>
      <c r="G1330" s="65" t="inlineStr">
        <is>
          <t>Precio Full Marzo</t>
        </is>
      </c>
      <c r="H1330" s="65" t="inlineStr">
        <is>
          <t>[0602] SINOCO SAE 50 (PAILA)</t>
        </is>
      </c>
      <c r="I1330" s="65" t="n">
        <v>602</v>
      </c>
      <c r="J1330" s="63" t="inlineStr">
        <is>
          <t>1,00</t>
        </is>
      </c>
      <c r="K1330" s="63" t="inlineStr">
        <is>
          <t>57,76</t>
        </is>
      </c>
      <c r="L1330" s="63" t="inlineStr">
        <is>
          <t>0,00</t>
        </is>
      </c>
      <c r="M1330" s="63" t="inlineStr">
        <is>
          <t>57,76</t>
        </is>
      </c>
      <c r="N1330" s="63" t="inlineStr">
        <is>
          <t>67,00</t>
        </is>
      </c>
      <c r="O1330" s="63" t="inlineStr">
        <is>
          <t>173,28</t>
        </is>
      </c>
      <c r="P1330" s="63" t="inlineStr">
        <is>
          <t>201,00</t>
        </is>
      </c>
      <c r="Q1330" s="63" t="inlineStr">
        <is>
          <t>639,70</t>
        </is>
      </c>
      <c r="R1330" s="66" t="n">
        <v>46205</v>
      </c>
      <c r="S1330" s="65" t="n">
        <v>209</v>
      </c>
      <c r="T1330" s="65" t="inlineStr">
        <is>
          <t>00-00000710</t>
        </is>
      </c>
      <c r="U1330" s="63" t="inlineStr">
        <is>
          <t>199,99</t>
        </is>
      </c>
      <c r="V1330" s="63" t="inlineStr">
        <is>
          <t>0,00</t>
        </is>
      </c>
    </row>
    <row r="1331">
      <c r="A1331" s="65" t="n"/>
      <c r="B1331" s="65" t="n"/>
      <c r="C1331" s="65" t="n"/>
      <c r="D1331" s="65" t="n"/>
      <c r="E1331" s="65" t="n"/>
      <c r="F1331" s="65" t="n"/>
      <c r="G1331" s="65" t="n"/>
      <c r="H1331" s="65" t="inlineStr">
        <is>
          <t>[0605] SINOCO SAE 20W-50 (PAILA)</t>
        </is>
      </c>
      <c r="I1331" s="65" t="n">
        <v>605</v>
      </c>
      <c r="J1331" s="63" t="inlineStr">
        <is>
          <t>1,00</t>
        </is>
      </c>
      <c r="K1331" s="63" t="inlineStr">
        <is>
          <t>57,76</t>
        </is>
      </c>
      <c r="L1331" s="63" t="inlineStr">
        <is>
          <t>0,00</t>
        </is>
      </c>
      <c r="M1331" s="63" t="inlineStr">
        <is>
          <t>57,76</t>
        </is>
      </c>
      <c r="N1331" s="63" t="inlineStr">
        <is>
          <t>67,00</t>
        </is>
      </c>
      <c r="O1331" s="65" t="n"/>
      <c r="P1331" s="65" t="n"/>
      <c r="Q1331" s="65" t="n"/>
      <c r="R1331" s="65" t="n"/>
      <c r="S1331" s="65" t="n"/>
      <c r="T1331" s="65" t="n"/>
      <c r="U1331" s="65" t="n"/>
      <c r="V1331" s="65" t="n"/>
    </row>
    <row r="1332">
      <c r="A1332" s="65" t="n"/>
      <c r="B1332" s="65" t="n"/>
      <c r="C1332" s="65" t="n"/>
      <c r="D1332" s="65" t="n"/>
      <c r="E1332" s="65" t="n"/>
      <c r="F1332" s="65" t="n"/>
      <c r="G1332" s="65" t="n"/>
      <c r="H1332" s="65" t="inlineStr">
        <is>
          <t>[0884] TRANSMATIC ATF DEXRON III (1x12)</t>
        </is>
      </c>
      <c r="I1332" s="65" t="n">
        <v>884</v>
      </c>
      <c r="J1332" s="63" t="inlineStr">
        <is>
          <t>1,00</t>
        </is>
      </c>
      <c r="K1332" s="63" t="inlineStr">
        <is>
          <t>57,76</t>
        </is>
      </c>
      <c r="L1332" s="63" t="inlineStr">
        <is>
          <t>0,00</t>
        </is>
      </c>
      <c r="M1332" s="63" t="inlineStr">
        <is>
          <t>57,76</t>
        </is>
      </c>
      <c r="N1332" s="63" t="inlineStr">
        <is>
          <t>67,00</t>
        </is>
      </c>
      <c r="O1332" s="65" t="n"/>
      <c r="P1332" s="65" t="n"/>
      <c r="Q1332" s="65" t="n"/>
      <c r="R1332" s="65" t="n"/>
      <c r="S1332" s="65" t="n"/>
      <c r="T1332" s="65" t="n"/>
      <c r="U1332" s="65" t="n"/>
      <c r="V1332" s="65" t="n"/>
    </row>
    <row r="1333">
      <c r="A1333" s="65" t="inlineStr">
        <is>
          <t>S00133</t>
        </is>
      </c>
      <c r="B1333" s="62" t="n">
        <v>46105.64081018518</v>
      </c>
      <c r="C1333" s="65" t="inlineStr">
        <is>
          <t>Inversiones La Bendición del Nazareno, C.A</t>
        </is>
      </c>
      <c r="D1333" s="65" t="inlineStr">
        <is>
          <t>MARTINEZ MONTES JEFFREY ENRIQUE</t>
        </is>
      </c>
      <c r="E1333" s="65" t="inlineStr">
        <is>
          <t>45 días</t>
        </is>
      </c>
      <c r="F1333" s="65" t="n">
        <v>3</v>
      </c>
      <c r="G1333" s="65" t="inlineStr">
        <is>
          <t>Precio Full Marzo</t>
        </is>
      </c>
      <c r="H1333" s="65" t="inlineStr">
        <is>
          <t>[0779] SINOCO SAE 20W-50 (1x12)</t>
        </is>
      </c>
      <c r="I1333" s="65" t="n">
        <v>779</v>
      </c>
      <c r="J1333" s="63" t="inlineStr">
        <is>
          <t>110,00</t>
        </is>
      </c>
      <c r="K1333" s="63" t="inlineStr">
        <is>
          <t>62,07</t>
        </is>
      </c>
      <c r="L1333" s="63" t="inlineStr">
        <is>
          <t>0,00</t>
        </is>
      </c>
      <c r="M1333" s="63" t="inlineStr">
        <is>
          <t>6.827,70</t>
        </is>
      </c>
      <c r="N1333" s="63" t="inlineStr">
        <is>
          <t>7.920,13</t>
        </is>
      </c>
      <c r="O1333" s="63" t="inlineStr">
        <is>
          <t>17.479,00</t>
        </is>
      </c>
      <c r="P1333" s="63" t="inlineStr">
        <is>
          <t>20.275,64</t>
        </is>
      </c>
      <c r="Q1333" s="65" t="n"/>
      <c r="R1333" s="65" t="n"/>
      <c r="S1333" s="65" t="n"/>
      <c r="T1333" s="65" t="n"/>
      <c r="U1333" s="65" t="n"/>
      <c r="V1333" s="65" t="n"/>
    </row>
    <row r="1334">
      <c r="A1334" s="65" t="n"/>
      <c r="B1334" s="65" t="n"/>
      <c r="C1334" s="65" t="n"/>
      <c r="D1334" s="65" t="n"/>
      <c r="E1334" s="65" t="n"/>
      <c r="F1334" s="65" t="n"/>
      <c r="G1334" s="65" t="n"/>
      <c r="H1334" s="65" t="inlineStr">
        <is>
          <t>[0915] SINOCO SAE 50 (1x12)</t>
        </is>
      </c>
      <c r="I1334" s="65" t="n">
        <v>915</v>
      </c>
      <c r="J1334" s="63" t="inlineStr">
        <is>
          <t>110,00</t>
        </is>
      </c>
      <c r="K1334" s="63" t="inlineStr">
        <is>
          <t>62,07</t>
        </is>
      </c>
      <c r="L1334" s="63" t="inlineStr">
        <is>
          <t>0,00</t>
        </is>
      </c>
      <c r="M1334" s="63" t="inlineStr">
        <is>
          <t>6.827,70</t>
        </is>
      </c>
      <c r="N1334" s="63" t="inlineStr">
        <is>
          <t>7.920,13</t>
        </is>
      </c>
      <c r="O1334" s="65" t="n"/>
      <c r="P1334" s="65" t="n"/>
      <c r="Q1334" s="65" t="n"/>
      <c r="R1334" s="65" t="n"/>
      <c r="S1334" s="65" t="n"/>
      <c r="T1334" s="65" t="n"/>
      <c r="U1334" s="65" t="n"/>
      <c r="V1334" s="65" t="n"/>
    </row>
    <row r="1335">
      <c r="A1335" s="65" t="n"/>
      <c r="B1335" s="65" t="n"/>
      <c r="C1335" s="65" t="n"/>
      <c r="D1335" s="65" t="n"/>
      <c r="E1335" s="65" t="n"/>
      <c r="F1335" s="65" t="n"/>
      <c r="G1335" s="65" t="n"/>
      <c r="H1335" s="65" t="inlineStr">
        <is>
          <t>[0144] HIDRAGLOB AW/ISO 68 (PAILA)</t>
        </is>
      </c>
      <c r="I1335" s="65" t="n">
        <v>144</v>
      </c>
      <c r="J1335" s="63" t="inlineStr">
        <is>
          <t>5,00</t>
        </is>
      </c>
      <c r="K1335" s="63" t="inlineStr">
        <is>
          <t>94,40</t>
        </is>
      </c>
      <c r="L1335" s="63" t="inlineStr">
        <is>
          <t>0,00</t>
        </is>
      </c>
      <c r="M1335" s="63" t="inlineStr">
        <is>
          <t>472,00</t>
        </is>
      </c>
      <c r="N1335" s="63" t="inlineStr">
        <is>
          <t>547,52</t>
        </is>
      </c>
      <c r="O1335" s="65" t="n"/>
      <c r="P1335" s="65" t="n"/>
      <c r="Q1335" s="65" t="n"/>
      <c r="R1335" s="65" t="n"/>
      <c r="S1335" s="65" t="n"/>
      <c r="T1335" s="65" t="n"/>
      <c r="U1335" s="65" t="n"/>
      <c r="V1335" s="65" t="n"/>
    </row>
    <row r="1336">
      <c r="A1336" s="65" t="n"/>
      <c r="B1336" s="65" t="n"/>
      <c r="C1336" s="65" t="n"/>
      <c r="D1336" s="65" t="n"/>
      <c r="E1336" s="65" t="n"/>
      <c r="F1336" s="65" t="n"/>
      <c r="G1336" s="65" t="n"/>
      <c r="H1336" s="65" t="inlineStr">
        <is>
          <t>[0877] SS EXTRA PROTECCION API SN SAE 15W-40 (1X12)</t>
        </is>
      </c>
      <c r="I1336" s="65" t="n">
        <v>877</v>
      </c>
      <c r="J1336" s="63" t="inlineStr">
        <is>
          <t>18,00</t>
        </is>
      </c>
      <c r="K1336" s="63" t="inlineStr">
        <is>
          <t>93,10</t>
        </is>
      </c>
      <c r="L1336" s="63" t="inlineStr">
        <is>
          <t>0,00</t>
        </is>
      </c>
      <c r="M1336" s="63" t="inlineStr">
        <is>
          <t>1.675,80</t>
        </is>
      </c>
      <c r="N1336" s="63" t="inlineStr">
        <is>
          <t>1.943,93</t>
        </is>
      </c>
      <c r="O1336" s="65" t="n"/>
      <c r="P1336" s="65" t="n"/>
      <c r="Q1336" s="65" t="n"/>
      <c r="R1336" s="65" t="n"/>
      <c r="S1336" s="65" t="n"/>
      <c r="T1336" s="65" t="n"/>
      <c r="U1336" s="65" t="n"/>
      <c r="V1336" s="65" t="n"/>
    </row>
    <row r="1337">
      <c r="A1337" s="65" t="n"/>
      <c r="B1337" s="65" t="n"/>
      <c r="C1337" s="65" t="n"/>
      <c r="D1337" s="65" t="n"/>
      <c r="E1337" s="65" t="n"/>
      <c r="F1337" s="65" t="n"/>
      <c r="G1337" s="65" t="n"/>
      <c r="H1337" s="65" t="inlineStr">
        <is>
          <t>[0878] SS EXTRA PROTECCION API SN SAE 20W-50 (1x12)</t>
        </is>
      </c>
      <c r="I1337" s="65" t="n">
        <v>878</v>
      </c>
      <c r="J1337" s="63" t="inlineStr">
        <is>
          <t>18,00</t>
        </is>
      </c>
      <c r="K1337" s="63" t="inlineStr">
        <is>
          <t>93,10</t>
        </is>
      </c>
      <c r="L1337" s="63" t="inlineStr">
        <is>
          <t>0,00</t>
        </is>
      </c>
      <c r="M1337" s="63" t="inlineStr">
        <is>
          <t>1.675,80</t>
        </is>
      </c>
      <c r="N1337" s="63" t="inlineStr">
        <is>
          <t>1.943,93</t>
        </is>
      </c>
      <c r="O1337" s="65" t="n"/>
      <c r="P1337" s="65" t="n"/>
      <c r="Q1337" s="65" t="n"/>
      <c r="R1337" s="65" t="n"/>
      <c r="S1337" s="65" t="n"/>
      <c r="T1337" s="65" t="n"/>
      <c r="U1337" s="65" t="n"/>
      <c r="V1337" s="65" t="n"/>
    </row>
    <row r="1338">
      <c r="A1338" s="65" t="inlineStr">
        <is>
          <t>S00145</t>
        </is>
      </c>
      <c r="B1338" s="62" t="n">
        <v>46105.62172453704</v>
      </c>
      <c r="C1338" s="65" t="inlineStr">
        <is>
          <t>La cámara perfecta</t>
        </is>
      </c>
      <c r="D1338" s="65" t="inlineStr">
        <is>
          <t>PEREZ DIAZ ANGEL DE DIOS</t>
        </is>
      </c>
      <c r="E1338" s="65" t="inlineStr">
        <is>
          <t>15 días</t>
        </is>
      </c>
      <c r="F1338" s="65" t="n">
        <v>3</v>
      </c>
      <c r="G1338" s="65" t="inlineStr">
        <is>
          <t>Precio Full Marzo</t>
        </is>
      </c>
      <c r="H1338" s="65" t="inlineStr">
        <is>
          <t>[0602] SINOCO SAE 50 (PAILA)</t>
        </is>
      </c>
      <c r="I1338" s="65" t="n">
        <v>602</v>
      </c>
      <c r="J1338" s="63" t="inlineStr">
        <is>
          <t>4,00</t>
        </is>
      </c>
      <c r="K1338" s="63" t="inlineStr">
        <is>
          <t>86,64</t>
        </is>
      </c>
      <c r="L1338" s="63" t="inlineStr">
        <is>
          <t>21,85</t>
        </is>
      </c>
      <c r="M1338" s="63" t="inlineStr">
        <is>
          <t>270,84</t>
        </is>
      </c>
      <c r="N1338" s="63" t="inlineStr">
        <is>
          <t>314,17</t>
        </is>
      </c>
      <c r="O1338" s="63" t="inlineStr">
        <is>
          <t>744,80</t>
        </is>
      </c>
      <c r="P1338" s="63" t="inlineStr">
        <is>
          <t>863,96</t>
        </is>
      </c>
      <c r="Q1338" s="63" t="inlineStr">
        <is>
          <t>496,83</t>
        </is>
      </c>
      <c r="R1338" s="66" t="n">
        <v>46205</v>
      </c>
      <c r="S1338" s="65" t="n">
        <v>219</v>
      </c>
      <c r="T1338" s="65" t="inlineStr">
        <is>
          <t>00-00000725</t>
        </is>
      </c>
      <c r="U1338" s="63" t="inlineStr">
        <is>
          <t>863,95</t>
        </is>
      </c>
      <c r="V1338" s="63" t="inlineStr">
        <is>
          <t>0,00</t>
        </is>
      </c>
    </row>
    <row r="1339">
      <c r="A1339" s="65" t="n"/>
      <c r="B1339" s="65" t="n"/>
      <c r="C1339" s="65" t="n"/>
      <c r="D1339" s="65" t="n"/>
      <c r="E1339" s="65" t="n"/>
      <c r="F1339" s="65" t="n"/>
      <c r="G1339" s="65" t="n"/>
      <c r="H1339" s="65" t="inlineStr">
        <is>
          <t>[0605] SINOCO SAE 20W-50 (PAILA)</t>
        </is>
      </c>
      <c r="I1339" s="65" t="n">
        <v>605</v>
      </c>
      <c r="J1339" s="63" t="inlineStr">
        <is>
          <t>7,00</t>
        </is>
      </c>
      <c r="K1339" s="63" t="inlineStr">
        <is>
          <t>86,64</t>
        </is>
      </c>
      <c r="L1339" s="63" t="inlineStr">
        <is>
          <t>21,85</t>
        </is>
      </c>
      <c r="M1339" s="63" t="inlineStr">
        <is>
          <t>473,96</t>
        </is>
      </c>
      <c r="N1339" s="63" t="inlineStr">
        <is>
          <t>549,79</t>
        </is>
      </c>
      <c r="O1339" s="65" t="n"/>
      <c r="P1339" s="65" t="n"/>
      <c r="Q1339" s="65" t="n"/>
      <c r="R1339" s="65" t="n"/>
      <c r="S1339" s="65" t="n"/>
      <c r="T1339" s="65" t="n"/>
      <c r="U1339" s="65" t="n"/>
      <c r="V1339" s="65" t="n"/>
    </row>
    <row r="1340">
      <c r="A1340" s="65" t="inlineStr">
        <is>
          <t>S00140</t>
        </is>
      </c>
      <c r="B1340" s="62" t="n">
        <v>46104.66638888889</v>
      </c>
      <c r="C1340" s="65" t="inlineStr">
        <is>
          <t>JOSE STURCHIO CAPPELLANIA</t>
        </is>
      </c>
      <c r="D1340" s="65" t="inlineStr">
        <is>
          <t>REVERON DE CONTRERAS MELANI AUSMAR</t>
        </is>
      </c>
      <c r="E1340" s="65" t="n"/>
      <c r="F1340" s="65" t="n">
        <v>3</v>
      </c>
      <c r="G1340" s="65" t="inlineStr">
        <is>
          <t>Precio Full Marzo</t>
        </is>
      </c>
      <c r="H1340" s="65" t="inlineStr">
        <is>
          <t>[0019] ELITE API SN SAE 5W-40 (1x6)</t>
        </is>
      </c>
      <c r="I1340" s="65" t="n">
        <v>19</v>
      </c>
      <c r="J1340" s="63" t="inlineStr">
        <is>
          <t>1,00</t>
        </is>
      </c>
      <c r="K1340" s="63" t="inlineStr">
        <is>
          <t>46,25</t>
        </is>
      </c>
      <c r="L1340" s="63" t="inlineStr">
        <is>
          <t>0,00</t>
        </is>
      </c>
      <c r="M1340" s="63" t="inlineStr">
        <is>
          <t>46,25</t>
        </is>
      </c>
      <c r="N1340" s="63" t="inlineStr">
        <is>
          <t>53,65</t>
        </is>
      </c>
      <c r="O1340" s="63" t="inlineStr">
        <is>
          <t>46,25</t>
        </is>
      </c>
      <c r="P1340" s="63" t="inlineStr">
        <is>
          <t>53,65</t>
        </is>
      </c>
      <c r="Q1340" s="63" t="inlineStr">
        <is>
          <t>457,08</t>
        </is>
      </c>
      <c r="R1340" s="66" t="n">
        <v>46104</v>
      </c>
      <c r="S1340" s="65" t="n">
        <v>3</v>
      </c>
      <c r="T1340" s="65" t="inlineStr">
        <is>
          <t>00-00000083</t>
        </is>
      </c>
      <c r="U1340" s="63" t="inlineStr">
        <is>
          <t>53,63</t>
        </is>
      </c>
      <c r="V1340" s="63" t="inlineStr">
        <is>
          <t>0,00</t>
        </is>
      </c>
    </row>
    <row r="1341">
      <c r="A1341" s="65" t="inlineStr">
        <is>
          <t>S00139</t>
        </is>
      </c>
      <c r="B1341" s="62" t="n">
        <v>46104.64414351852</v>
      </c>
      <c r="C1341" s="65" t="inlineStr">
        <is>
          <t>AGROPECUARIA EL TORO DORADO, C.A</t>
        </is>
      </c>
      <c r="D1341" s="65" t="inlineStr">
        <is>
          <t>REVERON DE CONTRERAS MELANI AUSMAR</t>
        </is>
      </c>
      <c r="E1341" s="65" t="n"/>
      <c r="F1341" s="65" t="n">
        <v>3</v>
      </c>
      <c r="G1341" s="65" t="inlineStr">
        <is>
          <t>Precio Full Marzo</t>
        </is>
      </c>
      <c r="H1341" s="65" t="inlineStr">
        <is>
          <t>[0083] MAXIMO API CF SAE 50 (PAILA)</t>
        </is>
      </c>
      <c r="I1341" s="65" t="n">
        <v>83</v>
      </c>
      <c r="J1341" s="63" t="inlineStr">
        <is>
          <t>12,00</t>
        </is>
      </c>
      <c r="K1341" s="63" t="inlineStr">
        <is>
          <t>69,83</t>
        </is>
      </c>
      <c r="L1341" s="63" t="inlineStr">
        <is>
          <t>0,00</t>
        </is>
      </c>
      <c r="M1341" s="63" t="inlineStr">
        <is>
          <t>837,94</t>
        </is>
      </c>
      <c r="N1341" s="63" t="inlineStr">
        <is>
          <t>972,01</t>
        </is>
      </c>
      <c r="O1341" s="63" t="inlineStr">
        <is>
          <t>837,94</t>
        </is>
      </c>
      <c r="P1341" s="63" t="inlineStr">
        <is>
          <t>972,01</t>
        </is>
      </c>
      <c r="Q1341" s="63" t="inlineStr">
        <is>
          <t>462,67</t>
        </is>
      </c>
      <c r="R1341" s="66" t="n">
        <v>46106</v>
      </c>
      <c r="S1341" s="65" t="n">
        <v>10</v>
      </c>
      <c r="T1341" s="65" t="inlineStr">
        <is>
          <t>00-00000102</t>
        </is>
      </c>
      <c r="U1341" s="63" t="inlineStr">
        <is>
          <t>972,02</t>
        </is>
      </c>
      <c r="V1341" s="63" t="inlineStr">
        <is>
          <t>0,00</t>
        </is>
      </c>
    </row>
    <row r="1342">
      <c r="A1342" s="65" t="inlineStr">
        <is>
          <t>S00137</t>
        </is>
      </c>
      <c r="B1342" s="62" t="n">
        <v>46104.61420138889</v>
      </c>
      <c r="C1342" s="65" t="inlineStr">
        <is>
          <t>FREDI MARQUEZ</t>
        </is>
      </c>
      <c r="D1342" s="65" t="inlineStr">
        <is>
          <t>PEREZ DIAZ ANGEL DE DIOS</t>
        </is>
      </c>
      <c r="E1342" s="65" t="inlineStr">
        <is>
          <t>15 días</t>
        </is>
      </c>
      <c r="F1342" s="65" t="n">
        <v>3</v>
      </c>
      <c r="G1342" s="65" t="inlineStr">
        <is>
          <t>Precio Full Marzo</t>
        </is>
      </c>
      <c r="H1342" s="65" t="inlineStr">
        <is>
          <t>[0602] SINOCO SAE 50 (PAILA)</t>
        </is>
      </c>
      <c r="I1342" s="65" t="n">
        <v>602</v>
      </c>
      <c r="J1342" s="63" t="inlineStr">
        <is>
          <t>2,00</t>
        </is>
      </c>
      <c r="K1342" s="63" t="inlineStr">
        <is>
          <t>56,00</t>
        </is>
      </c>
      <c r="L1342" s="63" t="inlineStr">
        <is>
          <t>0,00</t>
        </is>
      </c>
      <c r="M1342" s="63" t="inlineStr">
        <is>
          <t>112,00</t>
        </is>
      </c>
      <c r="N1342" s="63" t="inlineStr">
        <is>
          <t>129,92</t>
        </is>
      </c>
      <c r="O1342" s="63" t="inlineStr">
        <is>
          <t>112,00</t>
        </is>
      </c>
      <c r="P1342" s="63" t="inlineStr">
        <is>
          <t>129,92</t>
        </is>
      </c>
      <c r="Q1342" s="63" t="inlineStr">
        <is>
          <t>468,51</t>
        </is>
      </c>
      <c r="R1342" s="66" t="n">
        <v>46108</v>
      </c>
      <c r="S1342" s="65" t="n">
        <v>14</v>
      </c>
      <c r="T1342" s="65" t="inlineStr">
        <is>
          <t>00-00000121</t>
        </is>
      </c>
      <c r="U1342" s="63" t="inlineStr">
        <is>
          <t>129,91</t>
        </is>
      </c>
      <c r="V1342" s="63" t="inlineStr">
        <is>
          <t>126,75</t>
        </is>
      </c>
    </row>
    <row r="1343">
      <c r="A1343" s="65" t="n"/>
      <c r="B1343" s="65" t="n"/>
      <c r="C1343" s="65" t="n"/>
      <c r="D1343" s="65" t="n"/>
      <c r="E1343" s="65" t="n"/>
      <c r="F1343" s="65" t="n"/>
      <c r="G1343" s="65" t="n"/>
      <c r="H1343" s="65" t="n"/>
      <c r="I1343" s="65" t="n"/>
      <c r="J1343" s="63" t="inlineStr">
        <is>
          <t>0,00</t>
        </is>
      </c>
      <c r="K1343" s="63" t="inlineStr">
        <is>
          <t>0,00</t>
        </is>
      </c>
      <c r="L1343" s="63" t="inlineStr">
        <is>
          <t>0,00</t>
        </is>
      </c>
      <c r="M1343" s="63" t="inlineStr">
        <is>
          <t>0,00</t>
        </is>
      </c>
      <c r="N1343" s="63" t="inlineStr">
        <is>
          <t>0,00</t>
        </is>
      </c>
      <c r="O1343" s="65" t="n"/>
      <c r="P1343" s="65" t="n"/>
      <c r="Q1343" s="65" t="n"/>
      <c r="R1343" s="65" t="n"/>
      <c r="S1343" s="65" t="n"/>
      <c r="T1343" s="65" t="n"/>
      <c r="U1343" s="65" t="n"/>
      <c r="V1343" s="65" t="n"/>
    </row>
    <row r="1344">
      <c r="A1344" s="65" t="inlineStr">
        <is>
          <t>S00136</t>
        </is>
      </c>
      <c r="B1344" s="62" t="n">
        <v>46104.61385416667</v>
      </c>
      <c r="C1344" s="65" t="inlineStr">
        <is>
          <t>ZIP MARKET, CA</t>
        </is>
      </c>
      <c r="D1344" s="65" t="inlineStr">
        <is>
          <t>QUEVEDO BASTIDAS NEYKEL DAVID</t>
        </is>
      </c>
      <c r="E1344" s="65" t="inlineStr">
        <is>
          <t>15 días</t>
        </is>
      </c>
      <c r="F1344" s="65" t="n">
        <v>3</v>
      </c>
      <c r="G1344" s="65" t="inlineStr">
        <is>
          <t>Precio Full Marzo</t>
        </is>
      </c>
      <c r="H1344" s="65" t="inlineStr">
        <is>
          <t>[0880] CLASICO API SL SAE 15W-40 (1x12)</t>
        </is>
      </c>
      <c r="I1344" s="65" t="n">
        <v>880</v>
      </c>
      <c r="J1344" s="63" t="inlineStr">
        <is>
          <t>1,00</t>
        </is>
      </c>
      <c r="K1344" s="63" t="inlineStr">
        <is>
          <t>80,17</t>
        </is>
      </c>
      <c r="L1344" s="63" t="inlineStr">
        <is>
          <t>0,00</t>
        </is>
      </c>
      <c r="M1344" s="63" t="inlineStr">
        <is>
          <t>80,17</t>
        </is>
      </c>
      <c r="N1344" s="63" t="inlineStr">
        <is>
          <t>93,00</t>
        </is>
      </c>
      <c r="O1344" s="63" t="inlineStr">
        <is>
          <t>80,17</t>
        </is>
      </c>
      <c r="P1344" s="63" t="inlineStr">
        <is>
          <t>93,00</t>
        </is>
      </c>
      <c r="Q1344" s="63" t="inlineStr">
        <is>
          <t>709,69</t>
        </is>
      </c>
      <c r="R1344" s="66" t="n">
        <v>46214</v>
      </c>
      <c r="S1344" s="65" t="n">
        <v>265</v>
      </c>
      <c r="T1344" s="65" t="inlineStr">
        <is>
          <t>00-00000802</t>
        </is>
      </c>
      <c r="U1344" s="63" t="inlineStr">
        <is>
          <t>92,99</t>
        </is>
      </c>
      <c r="V1344" s="63" t="inlineStr">
        <is>
          <t>0,00</t>
        </is>
      </c>
    </row>
    <row r="1345">
      <c r="A1345" s="65" t="inlineStr">
        <is>
          <t>S00131</t>
        </is>
      </c>
      <c r="B1345" s="62" t="n">
        <v>46101.71201388889</v>
      </c>
      <c r="C1345" s="65" t="inlineStr">
        <is>
          <t>Neykel Quevedo</t>
        </is>
      </c>
      <c r="D1345" s="65" t="inlineStr">
        <is>
          <t>QUEVEDO BASTIDAS NEYKEL DAVID</t>
        </is>
      </c>
      <c r="E1345" s="65" t="inlineStr">
        <is>
          <t>21 días</t>
        </is>
      </c>
      <c r="F1345" s="65" t="n">
        <v>3</v>
      </c>
      <c r="G1345" s="65" t="inlineStr">
        <is>
          <t>Precio Full Marzo</t>
        </is>
      </c>
      <c r="H1345" s="65" t="inlineStr">
        <is>
          <t>[0093] ALTA CILINDRADA SS API SN SAE 15W-40 (1x6)</t>
        </is>
      </c>
      <c r="I1345" s="65" t="n">
        <v>93</v>
      </c>
      <c r="J1345" s="63" t="inlineStr">
        <is>
          <t>1,00</t>
        </is>
      </c>
      <c r="K1345" s="63" t="inlineStr">
        <is>
          <t>43,97</t>
        </is>
      </c>
      <c r="L1345" s="63" t="inlineStr">
        <is>
          <t>0,00</t>
        </is>
      </c>
      <c r="M1345" s="63" t="inlineStr">
        <is>
          <t>43,97</t>
        </is>
      </c>
      <c r="N1345" s="63" t="inlineStr">
        <is>
          <t>51,01</t>
        </is>
      </c>
      <c r="O1345" s="63" t="inlineStr">
        <is>
          <t>43,97</t>
        </is>
      </c>
      <c r="P1345" s="63" t="inlineStr">
        <is>
          <t>51,01</t>
        </is>
      </c>
      <c r="Q1345" s="63" t="inlineStr">
        <is>
          <t>473,87</t>
        </is>
      </c>
      <c r="R1345" s="66" t="n">
        <v>46175</v>
      </c>
      <c r="S1345" s="65" t="n">
        <v>118</v>
      </c>
      <c r="T1345" s="65" t="inlineStr">
        <is>
          <t>00-00000490</t>
        </is>
      </c>
      <c r="U1345" s="63" t="inlineStr">
        <is>
          <t>33,98</t>
        </is>
      </c>
      <c r="V1345" s="63" t="inlineStr">
        <is>
          <t>0,00</t>
        </is>
      </c>
    </row>
    <row r="1346">
      <c r="A1346" s="65" t="inlineStr">
        <is>
          <t>S00130</t>
        </is>
      </c>
      <c r="B1346" s="62" t="n">
        <v>46101.65961805556</v>
      </c>
      <c r="C1346" s="65" t="inlineStr">
        <is>
          <t>TALLER TNMCAR, C.A</t>
        </is>
      </c>
      <c r="D1346" s="65" t="inlineStr">
        <is>
          <t>VILLABONA CORREA ALBA ESTEFANIA</t>
        </is>
      </c>
      <c r="E1346" s="65" t="n"/>
      <c r="F1346" s="65" t="n">
        <v>3</v>
      </c>
      <c r="G1346" s="65" t="inlineStr">
        <is>
          <t>Precio Full Marzo</t>
        </is>
      </c>
      <c r="H1346" s="65" t="inlineStr">
        <is>
          <t>[0877] SS EXTRA PROTECCION API SN SAE 15W-40 (1X12)</t>
        </is>
      </c>
      <c r="I1346" s="65" t="n">
        <v>877</v>
      </c>
      <c r="J1346" s="63" t="inlineStr">
        <is>
          <t>1,00</t>
        </is>
      </c>
      <c r="K1346" s="63" t="inlineStr">
        <is>
          <t>93,10</t>
        </is>
      </c>
      <c r="L1346" s="63" t="inlineStr">
        <is>
          <t>0,00</t>
        </is>
      </c>
      <c r="M1346" s="63" t="inlineStr">
        <is>
          <t>93,10</t>
        </is>
      </c>
      <c r="N1346" s="63" t="inlineStr">
        <is>
          <t>108,00</t>
        </is>
      </c>
      <c r="O1346" s="63" t="inlineStr">
        <is>
          <t>733,18</t>
        </is>
      </c>
      <c r="P1346" s="63" t="inlineStr">
        <is>
          <t>850,50</t>
        </is>
      </c>
      <c r="Q1346" s="63" t="inlineStr">
        <is>
          <t>473,87</t>
        </is>
      </c>
      <c r="R1346" s="66" t="n">
        <v>46163</v>
      </c>
      <c r="S1346" s="65" t="n">
        <v>84</v>
      </c>
      <c r="T1346" s="65" t="inlineStr">
        <is>
          <t>00-00000412</t>
        </is>
      </c>
      <c r="U1346" s="63" t="inlineStr">
        <is>
          <t>564,92</t>
        </is>
      </c>
      <c r="V1346" s="63" t="inlineStr">
        <is>
          <t>0,00</t>
        </is>
      </c>
    </row>
    <row r="1347">
      <c r="A1347" s="65" t="n"/>
      <c r="B1347" s="65" t="n"/>
      <c r="C1347" s="65" t="n"/>
      <c r="D1347" s="65" t="n"/>
      <c r="E1347" s="65" t="n"/>
      <c r="F1347" s="65" t="n"/>
      <c r="G1347" s="65" t="n"/>
      <c r="H1347" s="65" t="n"/>
      <c r="I1347" s="65" t="n"/>
      <c r="J1347" s="63" t="inlineStr">
        <is>
          <t>0,00</t>
        </is>
      </c>
      <c r="K1347" s="63" t="inlineStr">
        <is>
          <t>0,00</t>
        </is>
      </c>
      <c r="L1347" s="63" t="inlineStr">
        <is>
          <t>0,00</t>
        </is>
      </c>
      <c r="M1347" s="63" t="inlineStr">
        <is>
          <t>0,00</t>
        </is>
      </c>
      <c r="N1347" s="63" t="inlineStr">
        <is>
          <t>0,00</t>
        </is>
      </c>
      <c r="O1347" s="65" t="n"/>
      <c r="P1347" s="65" t="n"/>
      <c r="Q1347" s="65" t="n"/>
      <c r="R1347" s="65" t="n"/>
      <c r="S1347" s="65" t="n"/>
      <c r="T1347" s="65" t="n"/>
      <c r="U1347" s="65" t="n"/>
      <c r="V1347" s="65" t="n"/>
    </row>
    <row r="1348">
      <c r="A1348" s="65" t="n"/>
      <c r="B1348" s="65" t="n"/>
      <c r="C1348" s="65" t="n"/>
      <c r="D1348" s="65" t="n"/>
      <c r="E1348" s="65" t="n"/>
      <c r="F1348" s="65" t="n"/>
      <c r="G1348" s="65" t="n"/>
      <c r="H1348" s="65" t="inlineStr">
        <is>
          <t>[0880] CLASICO API SL SAE 15W-40 (1x12)</t>
        </is>
      </c>
      <c r="I1348" s="65" t="n">
        <v>880</v>
      </c>
      <c r="J1348" s="63" t="inlineStr">
        <is>
          <t>1,00</t>
        </is>
      </c>
      <c r="K1348" s="63" t="inlineStr">
        <is>
          <t>80,17</t>
        </is>
      </c>
      <c r="L1348" s="63" t="inlineStr">
        <is>
          <t>0,00</t>
        </is>
      </c>
      <c r="M1348" s="63" t="inlineStr">
        <is>
          <t>80,17</t>
        </is>
      </c>
      <c r="N1348" s="63" t="inlineStr">
        <is>
          <t>93,00</t>
        </is>
      </c>
      <c r="O1348" s="65" t="n"/>
      <c r="P1348" s="65" t="n"/>
      <c r="Q1348" s="65" t="n"/>
      <c r="R1348" s="65" t="n"/>
      <c r="S1348" s="65" t="n"/>
      <c r="T1348" s="65" t="n"/>
      <c r="U1348" s="65" t="n"/>
      <c r="V1348" s="65" t="n"/>
    </row>
    <row r="1349">
      <c r="A1349" s="65" t="n"/>
      <c r="B1349" s="65" t="n"/>
      <c r="C1349" s="65" t="n"/>
      <c r="D1349" s="65" t="n"/>
      <c r="E1349" s="65" t="n"/>
      <c r="F1349" s="65" t="n"/>
      <c r="G1349" s="65" t="n"/>
      <c r="H1349" s="65" t="inlineStr">
        <is>
          <t>[0878] SS EXTRA PROTECCION API SN SAE 20W-50 (1x12)</t>
        </is>
      </c>
      <c r="I1349" s="65" t="n">
        <v>878</v>
      </c>
      <c r="J1349" s="63" t="inlineStr">
        <is>
          <t>1,00</t>
        </is>
      </c>
      <c r="K1349" s="63" t="inlineStr">
        <is>
          <t>93,10</t>
        </is>
      </c>
      <c r="L1349" s="63" t="inlineStr">
        <is>
          <t>0,00</t>
        </is>
      </c>
      <c r="M1349" s="63" t="inlineStr">
        <is>
          <t>93,10</t>
        </is>
      </c>
      <c r="N1349" s="63" t="inlineStr">
        <is>
          <t>108,00</t>
        </is>
      </c>
      <c r="O1349" s="65" t="n"/>
      <c r="P1349" s="65" t="n"/>
      <c r="Q1349" s="65" t="n"/>
      <c r="R1349" s="65" t="n"/>
      <c r="S1349" s="65" t="n"/>
      <c r="T1349" s="65" t="n"/>
      <c r="U1349" s="65" t="n"/>
      <c r="V1349" s="65" t="n"/>
    </row>
    <row r="1350">
      <c r="A1350" s="65" t="n"/>
      <c r="B1350" s="65" t="n"/>
      <c r="C1350" s="65" t="n"/>
      <c r="D1350" s="65" t="n"/>
      <c r="E1350" s="65" t="n"/>
      <c r="F1350" s="65" t="n"/>
      <c r="G1350" s="65" t="n"/>
      <c r="H1350" s="65" t="inlineStr">
        <is>
          <t>[0881] CLASICO API SL SAE 20W-50 (1x12)</t>
        </is>
      </c>
      <c r="I1350" s="65" t="n">
        <v>881</v>
      </c>
      <c r="J1350" s="63" t="inlineStr">
        <is>
          <t>1,00</t>
        </is>
      </c>
      <c r="K1350" s="63" t="inlineStr">
        <is>
          <t>81,47</t>
        </is>
      </c>
      <c r="L1350" s="63" t="inlineStr">
        <is>
          <t>0,00</t>
        </is>
      </c>
      <c r="M1350" s="63" t="inlineStr">
        <is>
          <t>81,47</t>
        </is>
      </c>
      <c r="N1350" s="63" t="inlineStr">
        <is>
          <t>94,51</t>
        </is>
      </c>
      <c r="O1350" s="65" t="n"/>
      <c r="P1350" s="65" t="n"/>
      <c r="Q1350" s="65" t="n"/>
      <c r="R1350" s="65" t="n"/>
      <c r="S1350" s="65" t="n"/>
      <c r="T1350" s="65" t="n"/>
      <c r="U1350" s="65" t="n"/>
      <c r="V1350" s="65" t="n"/>
    </row>
    <row r="1351">
      <c r="A1351" s="65" t="n"/>
      <c r="B1351" s="65" t="n"/>
      <c r="C1351" s="65" t="n"/>
      <c r="D1351" s="65" t="n"/>
      <c r="E1351" s="65" t="n"/>
      <c r="F1351" s="65" t="n"/>
      <c r="G1351" s="65" t="n"/>
      <c r="H1351" s="65" t="inlineStr">
        <is>
          <t>[0887] MOTOCLASICO 4T SAE 20W-50 (1x12)</t>
        </is>
      </c>
      <c r="I1351" s="65" t="n">
        <v>887</v>
      </c>
      <c r="J1351" s="63" t="inlineStr">
        <is>
          <t>1,00</t>
        </is>
      </c>
      <c r="K1351" s="63" t="inlineStr">
        <is>
          <t>85,34</t>
        </is>
      </c>
      <c r="L1351" s="63" t="inlineStr">
        <is>
          <t>0,00</t>
        </is>
      </c>
      <c r="M1351" s="63" t="inlineStr">
        <is>
          <t>85,34</t>
        </is>
      </c>
      <c r="N1351" s="63" t="inlineStr">
        <is>
          <t>98,99</t>
        </is>
      </c>
      <c r="O1351" s="65" t="n"/>
      <c r="P1351" s="65" t="n"/>
      <c r="Q1351" s="65" t="n"/>
      <c r="R1351" s="65" t="n"/>
      <c r="S1351" s="65" t="n"/>
      <c r="T1351" s="65" t="n"/>
      <c r="U1351" s="65" t="n"/>
      <c r="V1351" s="65" t="n"/>
    </row>
    <row r="1352">
      <c r="A1352" s="65" t="n"/>
      <c r="B1352" s="65" t="n"/>
      <c r="C1352" s="65" t="n"/>
      <c r="D1352" s="65" t="n"/>
      <c r="E1352" s="65" t="n"/>
      <c r="F1352" s="65" t="n"/>
      <c r="G1352" s="65" t="n"/>
      <c r="H1352" s="65" t="inlineStr">
        <is>
          <t>[0779] SINOCO SAE 20W-50 (1x12)</t>
        </is>
      </c>
      <c r="I1352" s="65" t="n">
        <v>779</v>
      </c>
      <c r="J1352" s="63" t="inlineStr">
        <is>
          <t>2,00</t>
        </is>
      </c>
      <c r="K1352" s="63" t="inlineStr">
        <is>
          <t>62,07</t>
        </is>
      </c>
      <c r="L1352" s="63" t="inlineStr">
        <is>
          <t>0,00</t>
        </is>
      </c>
      <c r="M1352" s="63" t="inlineStr">
        <is>
          <t>124,14</t>
        </is>
      </c>
      <c r="N1352" s="63" t="inlineStr">
        <is>
          <t>144,00</t>
        </is>
      </c>
      <c r="O1352" s="65" t="n"/>
      <c r="P1352" s="65" t="n"/>
      <c r="Q1352" s="65" t="n"/>
      <c r="R1352" s="65" t="n"/>
      <c r="S1352" s="65" t="n"/>
      <c r="T1352" s="65" t="n"/>
      <c r="U1352" s="65" t="n"/>
      <c r="V1352" s="65" t="n"/>
    </row>
    <row r="1353">
      <c r="A1353" s="65" t="n"/>
      <c r="B1353" s="65" t="n"/>
      <c r="C1353" s="65" t="n"/>
      <c r="D1353" s="65" t="n"/>
      <c r="E1353" s="65" t="n"/>
      <c r="F1353" s="65" t="n"/>
      <c r="G1353" s="65" t="n"/>
      <c r="H1353" s="65" t="inlineStr">
        <is>
          <t>[0884] TRANSMATIC ATF DEXRON III (1x12)</t>
        </is>
      </c>
      <c r="I1353" s="65" t="n">
        <v>884</v>
      </c>
      <c r="J1353" s="63" t="inlineStr">
        <is>
          <t>1,00</t>
        </is>
      </c>
      <c r="K1353" s="63" t="inlineStr">
        <is>
          <t>86,64</t>
        </is>
      </c>
      <c r="L1353" s="63" t="inlineStr">
        <is>
          <t>0,00</t>
        </is>
      </c>
      <c r="M1353" s="63" t="inlineStr">
        <is>
          <t>86,64</t>
        </is>
      </c>
      <c r="N1353" s="63" t="inlineStr">
        <is>
          <t>100,50</t>
        </is>
      </c>
      <c r="O1353" s="65" t="n"/>
      <c r="P1353" s="65" t="n"/>
      <c r="Q1353" s="65" t="n"/>
      <c r="R1353" s="65" t="n"/>
      <c r="S1353" s="65" t="n"/>
      <c r="T1353" s="65" t="n"/>
      <c r="U1353" s="65" t="n"/>
      <c r="V1353" s="65" t="n"/>
    </row>
    <row r="1354">
      <c r="A1354" s="65" t="n"/>
      <c r="B1354" s="65" t="n"/>
      <c r="C1354" s="65" t="n"/>
      <c r="D1354" s="65" t="n"/>
      <c r="E1354" s="65" t="n"/>
      <c r="F1354" s="65" t="n"/>
      <c r="G1354" s="65" t="n"/>
      <c r="H1354" s="65" t="inlineStr">
        <is>
          <t>[0025] SS EXTRA PROTECCION API SN SAE 10W-30 (Gasolina) (1x6)</t>
        </is>
      </c>
      <c r="I1354" s="65" t="n">
        <v>25</v>
      </c>
      <c r="J1354" s="63" t="inlineStr">
        <is>
          <t>1,00</t>
        </is>
      </c>
      <c r="K1354" s="63" t="inlineStr">
        <is>
          <t>46,55</t>
        </is>
      </c>
      <c r="L1354" s="63" t="inlineStr">
        <is>
          <t>0,00</t>
        </is>
      </c>
      <c r="M1354" s="63" t="inlineStr">
        <is>
          <t>46,55</t>
        </is>
      </c>
      <c r="N1354" s="63" t="inlineStr">
        <is>
          <t>54,00</t>
        </is>
      </c>
      <c r="O1354" s="65" t="n"/>
      <c r="P1354" s="65" t="n"/>
      <c r="Q1354" s="65" t="n"/>
      <c r="R1354" s="65" t="n"/>
      <c r="S1354" s="65" t="n"/>
      <c r="T1354" s="65" t="n"/>
      <c r="U1354" s="65" t="n"/>
      <c r="V1354" s="65" t="n"/>
    </row>
    <row r="1355">
      <c r="A1355" s="65" t="n"/>
      <c r="B1355" s="65" t="n"/>
      <c r="C1355" s="65" t="n"/>
      <c r="D1355" s="65" t="n"/>
      <c r="E1355" s="65" t="n"/>
      <c r="F1355" s="65" t="n"/>
      <c r="G1355" s="65" t="n"/>
      <c r="H1355" s="65" t="inlineStr">
        <is>
          <t>[0087] ENDUROGLOB 2T AIRE (1x6)</t>
        </is>
      </c>
      <c r="I1355" s="65" t="n">
        <v>87</v>
      </c>
      <c r="J1355" s="63" t="inlineStr">
        <is>
          <t>1,00</t>
        </is>
      </c>
      <c r="K1355" s="63" t="inlineStr">
        <is>
          <t>42,67</t>
        </is>
      </c>
      <c r="L1355" s="63" t="inlineStr">
        <is>
          <t>0,00</t>
        </is>
      </c>
      <c r="M1355" s="63" t="inlineStr">
        <is>
          <t>42,67</t>
        </is>
      </c>
      <c r="N1355" s="63" t="inlineStr">
        <is>
          <t>49,50</t>
        </is>
      </c>
      <c r="O1355" s="65" t="n"/>
      <c r="P1355" s="65" t="n"/>
      <c r="Q1355" s="65" t="n"/>
      <c r="R1355" s="65" t="n"/>
      <c r="S1355" s="65" t="n"/>
      <c r="T1355" s="65" t="n"/>
      <c r="U1355" s="65" t="n"/>
      <c r="V1355" s="65" t="n"/>
    </row>
    <row r="1356">
      <c r="A1356" s="65" t="inlineStr">
        <is>
          <t>S00121</t>
        </is>
      </c>
      <c r="B1356" s="62" t="n">
        <v>46100.57107638889</v>
      </c>
      <c r="C1356" s="65" t="inlineStr">
        <is>
          <t>Jose Lopez Espinoza</t>
        </is>
      </c>
      <c r="D1356" s="65" t="inlineStr">
        <is>
          <t>VILLABONA CORREA ALBA ESTEFANIA</t>
        </is>
      </c>
      <c r="E1356" s="65" t="inlineStr">
        <is>
          <t>7 días</t>
        </is>
      </c>
      <c r="F1356" s="65" t="n">
        <v>3</v>
      </c>
      <c r="G1356" s="65" t="inlineStr">
        <is>
          <t>Precio Full Marzo</t>
        </is>
      </c>
      <c r="H1356" s="65" t="inlineStr">
        <is>
          <t>[0779] SINOCO SAE 20W-50 (1x12)</t>
        </is>
      </c>
      <c r="I1356" s="65" t="n">
        <v>779</v>
      </c>
      <c r="J1356" s="63" t="inlineStr">
        <is>
          <t>2,00</t>
        </is>
      </c>
      <c r="K1356" s="63" t="inlineStr">
        <is>
          <t>62,07</t>
        </is>
      </c>
      <c r="L1356" s="63" t="inlineStr">
        <is>
          <t>0,00</t>
        </is>
      </c>
      <c r="M1356" s="63" t="inlineStr">
        <is>
          <t>124,14</t>
        </is>
      </c>
      <c r="N1356" s="63" t="inlineStr">
        <is>
          <t>144,00</t>
        </is>
      </c>
      <c r="O1356" s="63" t="inlineStr">
        <is>
          <t>336,87</t>
        </is>
      </c>
      <c r="P1356" s="63" t="inlineStr">
        <is>
          <t>390,77</t>
        </is>
      </c>
      <c r="Q1356" s="63" t="inlineStr">
        <is>
          <t>473,87</t>
        </is>
      </c>
      <c r="R1356" s="66" t="n">
        <v>46163</v>
      </c>
      <c r="S1356" s="65" t="n">
        <v>83</v>
      </c>
      <c r="T1356" s="65" t="inlineStr">
        <is>
          <t>00-00000410</t>
        </is>
      </c>
      <c r="U1356" s="63" t="inlineStr">
        <is>
          <t>372,69</t>
        </is>
      </c>
      <c r="V1356" s="63" t="inlineStr">
        <is>
          <t>1,49</t>
        </is>
      </c>
    </row>
    <row r="1357">
      <c r="A1357" s="65" t="n"/>
      <c r="B1357" s="65" t="n"/>
      <c r="C1357" s="65" t="n"/>
      <c r="D1357" s="65" t="n"/>
      <c r="E1357" s="65" t="n"/>
      <c r="F1357" s="65" t="n"/>
      <c r="G1357" s="65" t="n"/>
      <c r="H1357" s="65" t="n"/>
      <c r="I1357" s="65" t="n"/>
      <c r="J1357" s="63" t="inlineStr">
        <is>
          <t>0,00</t>
        </is>
      </c>
      <c r="K1357" s="63" t="inlineStr">
        <is>
          <t>0,00</t>
        </is>
      </c>
      <c r="L1357" s="63" t="inlineStr">
        <is>
          <t>0,00</t>
        </is>
      </c>
      <c r="M1357" s="63" t="inlineStr">
        <is>
          <t>0,00</t>
        </is>
      </c>
      <c r="N1357" s="63" t="inlineStr">
        <is>
          <t>0,00</t>
        </is>
      </c>
      <c r="O1357" s="65" t="n"/>
      <c r="P1357" s="65" t="n"/>
      <c r="Q1357" s="65" t="n"/>
      <c r="R1357" s="65" t="n"/>
      <c r="S1357" s="65" t="n"/>
      <c r="T1357" s="65" t="n"/>
      <c r="U1357" s="65" t="n"/>
      <c r="V1357" s="65" t="n"/>
    </row>
    <row r="1358">
      <c r="A1358" s="65" t="n"/>
      <c r="B1358" s="65" t="n"/>
      <c r="C1358" s="65" t="n"/>
      <c r="D1358" s="65" t="n"/>
      <c r="E1358" s="65" t="n"/>
      <c r="F1358" s="65" t="n"/>
      <c r="G1358" s="65" t="n"/>
      <c r="H1358" s="65" t="inlineStr">
        <is>
          <t>[0877] SS EXTRA PROTECCION API SN SAE 15W-40 (1X12)</t>
        </is>
      </c>
      <c r="I1358" s="65" t="n">
        <v>877</v>
      </c>
      <c r="J1358" s="63" t="inlineStr">
        <is>
          <t>1,00</t>
        </is>
      </c>
      <c r="K1358" s="63" t="inlineStr">
        <is>
          <t>93,10</t>
        </is>
      </c>
      <c r="L1358" s="63" t="inlineStr">
        <is>
          <t>0,00</t>
        </is>
      </c>
      <c r="M1358" s="63" t="inlineStr">
        <is>
          <t>93,10</t>
        </is>
      </c>
      <c r="N1358" s="63" t="inlineStr">
        <is>
          <t>108,00</t>
        </is>
      </c>
      <c r="O1358" s="65" t="n"/>
      <c r="P1358" s="65" t="n"/>
      <c r="Q1358" s="65" t="n"/>
      <c r="R1358" s="65" t="n"/>
      <c r="S1358" s="65" t="n"/>
      <c r="T1358" s="65" t="n"/>
      <c r="U1358" s="65" t="n"/>
      <c r="V1358" s="65" t="n"/>
    </row>
    <row r="1359">
      <c r="A1359" s="65" t="n"/>
      <c r="B1359" s="65" t="n"/>
      <c r="C1359" s="65" t="n"/>
      <c r="D1359" s="65" t="n"/>
      <c r="E1359" s="65" t="n"/>
      <c r="F1359" s="65" t="n"/>
      <c r="G1359" s="65" t="n"/>
      <c r="H1359" s="65" t="inlineStr">
        <is>
          <t>[0880] CLASICO API SL SAE 15W-40 (1x12)</t>
        </is>
      </c>
      <c r="I1359" s="65" t="n">
        <v>880</v>
      </c>
      <c r="J1359" s="63" t="inlineStr">
        <is>
          <t>1,00</t>
        </is>
      </c>
      <c r="K1359" s="63" t="inlineStr">
        <is>
          <t>80,17</t>
        </is>
      </c>
      <c r="L1359" s="63" t="inlineStr">
        <is>
          <t>0,00</t>
        </is>
      </c>
      <c r="M1359" s="63" t="inlineStr">
        <is>
          <t>80,17</t>
        </is>
      </c>
      <c r="N1359" s="63" t="inlineStr">
        <is>
          <t>93,00</t>
        </is>
      </c>
      <c r="O1359" s="65" t="n"/>
      <c r="P1359" s="65" t="n"/>
      <c r="Q1359" s="65" t="n"/>
      <c r="R1359" s="65" t="n"/>
      <c r="S1359" s="65" t="n"/>
      <c r="T1359" s="65" t="n"/>
      <c r="U1359" s="65" t="n"/>
      <c r="V1359" s="65" t="n"/>
    </row>
    <row r="1360">
      <c r="A1360" s="65" t="n"/>
      <c r="B1360" s="65" t="n"/>
      <c r="C1360" s="65" t="n"/>
      <c r="D1360" s="65" t="n"/>
      <c r="E1360" s="65" t="n"/>
      <c r="F1360" s="65" t="n"/>
      <c r="G1360" s="65" t="n"/>
      <c r="H1360" s="65" t="inlineStr">
        <is>
          <t>[0121] TRANSGLOB API GL-5 SAE 80W-90 (1x6)</t>
        </is>
      </c>
      <c r="I1360" s="65" t="n">
        <v>121</v>
      </c>
      <c r="J1360" s="63" t="inlineStr">
        <is>
          <t>1,00</t>
        </is>
      </c>
      <c r="K1360" s="63" t="inlineStr">
        <is>
          <t>39,46</t>
        </is>
      </c>
      <c r="L1360" s="63" t="inlineStr">
        <is>
          <t>0,00</t>
        </is>
      </c>
      <c r="M1360" s="63" t="inlineStr">
        <is>
          <t>39,46</t>
        </is>
      </c>
      <c r="N1360" s="63" t="inlineStr">
        <is>
          <t>45,77</t>
        </is>
      </c>
      <c r="O1360" s="65" t="n"/>
      <c r="P1360" s="65" t="n"/>
      <c r="Q1360" s="65" t="n"/>
      <c r="R1360" s="65" t="n"/>
      <c r="S1360" s="65" t="n"/>
      <c r="T1360" s="65" t="n"/>
      <c r="U1360" s="65" t="n"/>
      <c r="V1360" s="65" t="n"/>
    </row>
    <row r="1361">
      <c r="A1361" s="65" t="inlineStr">
        <is>
          <t>S00119</t>
        </is>
      </c>
      <c r="B1361" s="62" t="n">
        <v>46099.74224537037</v>
      </c>
      <c r="C1361" s="65" t="inlineStr">
        <is>
          <t>EMPRENDIMIENTO IRMA RODRIGUEZ 6</t>
        </is>
      </c>
      <c r="D1361" s="65" t="inlineStr">
        <is>
          <t>TORO ARDILES DAVID JOSE</t>
        </is>
      </c>
      <c r="E1361" s="65" t="n"/>
      <c r="F1361" s="65" t="n">
        <v>3</v>
      </c>
      <c r="G1361" s="65" t="inlineStr">
        <is>
          <t>Precio Full Marzo</t>
        </is>
      </c>
      <c r="H1361" s="65" t="inlineStr">
        <is>
          <t>[0121] TRANSGLOB API GL-5 SAE 80W-90 (1x6)</t>
        </is>
      </c>
      <c r="I1361" s="65" t="n">
        <v>121</v>
      </c>
      <c r="J1361" s="63" t="inlineStr">
        <is>
          <t>2,00</t>
        </is>
      </c>
      <c r="K1361" s="63" t="inlineStr">
        <is>
          <t>39,46</t>
        </is>
      </c>
      <c r="L1361" s="63" t="inlineStr">
        <is>
          <t>0,00</t>
        </is>
      </c>
      <c r="M1361" s="63" t="inlineStr">
        <is>
          <t>78,92</t>
        </is>
      </c>
      <c r="N1361" s="63" t="inlineStr">
        <is>
          <t>91,55</t>
        </is>
      </c>
      <c r="O1361" s="63" t="inlineStr">
        <is>
          <t>249,82</t>
        </is>
      </c>
      <c r="P1361" s="63" t="inlineStr">
        <is>
          <t>289,79</t>
        </is>
      </c>
      <c r="Q1361" s="63" t="inlineStr">
        <is>
          <t>462,67</t>
        </is>
      </c>
      <c r="R1361" s="66" t="n">
        <v>46106</v>
      </c>
      <c r="S1361" s="65" t="n">
        <v>13</v>
      </c>
      <c r="T1361" s="65" t="inlineStr">
        <is>
          <t>00-00000105</t>
        </is>
      </c>
      <c r="U1361" s="63" t="inlineStr">
        <is>
          <t>196,98</t>
        </is>
      </c>
      <c r="V1361" s="63" t="inlineStr">
        <is>
          <t>196,99</t>
        </is>
      </c>
    </row>
    <row r="1362">
      <c r="A1362" s="65" t="n"/>
      <c r="B1362" s="65" t="n"/>
      <c r="C1362" s="65" t="n"/>
      <c r="D1362" s="65" t="n"/>
      <c r="E1362" s="65" t="n"/>
      <c r="F1362" s="65" t="n"/>
      <c r="G1362" s="65" t="n"/>
      <c r="H1362" s="65" t="inlineStr">
        <is>
          <t>[0602] SINOCO SAE 50 (PAILA)</t>
        </is>
      </c>
      <c r="I1362" s="65" t="n">
        <v>602</v>
      </c>
      <c r="J1362" s="63" t="inlineStr">
        <is>
          <t>2,00</t>
        </is>
      </c>
      <c r="K1362" s="63" t="inlineStr">
        <is>
          <t>85,45</t>
        </is>
      </c>
      <c r="L1362" s="63" t="inlineStr">
        <is>
          <t>0,00</t>
        </is>
      </c>
      <c r="M1362" s="63" t="inlineStr">
        <is>
          <t>170,90</t>
        </is>
      </c>
      <c r="N1362" s="63" t="inlineStr">
        <is>
          <t>198,24</t>
        </is>
      </c>
      <c r="O1362" s="65" t="n"/>
      <c r="P1362" s="65" t="n"/>
      <c r="Q1362" s="65" t="n"/>
      <c r="R1362" s="65" t="n"/>
      <c r="S1362" s="65" t="n"/>
      <c r="T1362" s="65" t="n"/>
      <c r="U1362" s="65" t="n"/>
      <c r="V1362" s="65" t="n"/>
    </row>
    <row r="1363">
      <c r="A1363" s="65" t="inlineStr">
        <is>
          <t>S00118</t>
        </is>
      </c>
      <c r="B1363" s="62" t="n">
        <v>46099.74211805555</v>
      </c>
      <c r="C1363" s="65" t="inlineStr">
        <is>
          <t>ELIVAN2025, C.A</t>
        </is>
      </c>
      <c r="D1363" s="65" t="inlineStr">
        <is>
          <t>VILLABONA CORREA ALBA ESTEFANIA</t>
        </is>
      </c>
      <c r="E1363" s="65" t="inlineStr">
        <is>
          <t>7 días</t>
        </is>
      </c>
      <c r="F1363" s="65" t="n">
        <v>3</v>
      </c>
      <c r="G1363" s="65" t="inlineStr">
        <is>
          <t>Precio Full Marzo</t>
        </is>
      </c>
      <c r="H1363" s="65" t="inlineStr">
        <is>
          <t>[0093] ALTA CILINDRADA SS API SN SAE 15W-40 (1x6)</t>
        </is>
      </c>
      <c r="I1363" s="65" t="n">
        <v>93</v>
      </c>
      <c r="J1363" s="63" t="inlineStr">
        <is>
          <t>1,00</t>
        </is>
      </c>
      <c r="K1363" s="63" t="inlineStr">
        <is>
          <t>43,66</t>
        </is>
      </c>
      <c r="L1363" s="63" t="inlineStr">
        <is>
          <t>0,00</t>
        </is>
      </c>
      <c r="M1363" s="63" t="inlineStr">
        <is>
          <t>43,66</t>
        </is>
      </c>
      <c r="N1363" s="63" t="inlineStr">
        <is>
          <t>50,65</t>
        </is>
      </c>
      <c r="O1363" s="63" t="inlineStr">
        <is>
          <t>43,66</t>
        </is>
      </c>
      <c r="P1363" s="63" t="inlineStr">
        <is>
          <t>50,65</t>
        </is>
      </c>
      <c r="Q1363" s="63" t="inlineStr">
        <is>
          <t>473,87</t>
        </is>
      </c>
      <c r="R1363" s="66" t="n">
        <v>46185</v>
      </c>
      <c r="S1363" s="65" t="n">
        <v>175</v>
      </c>
      <c r="T1363" s="65" t="inlineStr">
        <is>
          <t>00-00000618</t>
        </is>
      </c>
      <c r="U1363" s="63" t="inlineStr">
        <is>
          <t>33,98</t>
        </is>
      </c>
      <c r="V1363" s="63" t="inlineStr">
        <is>
          <t>0,00</t>
        </is>
      </c>
    </row>
    <row r="1364">
      <c r="A1364" s="65" t="inlineStr">
        <is>
          <t>S00117</t>
        </is>
      </c>
      <c r="B1364" s="62" t="n">
        <v>46099.74185185185</v>
      </c>
      <c r="C1364" s="65" t="inlineStr">
        <is>
          <t>Jose Becerra</t>
        </is>
      </c>
      <c r="D1364" s="65" t="inlineStr">
        <is>
          <t>TORO ARDILES DAVID JOSE</t>
        </is>
      </c>
      <c r="E1364" s="65" t="n"/>
      <c r="F1364" s="65" t="n">
        <v>3</v>
      </c>
      <c r="G1364" s="65" t="inlineStr">
        <is>
          <t>Precio Full Marzo</t>
        </is>
      </c>
      <c r="H1364" s="65" t="inlineStr">
        <is>
          <t>[0605] SINOCO SAE 20W-50 (PAILA)</t>
        </is>
      </c>
      <c r="I1364" s="65" t="n">
        <v>605</v>
      </c>
      <c r="J1364" s="63" t="inlineStr">
        <is>
          <t>1,00</t>
        </is>
      </c>
      <c r="K1364" s="63" t="inlineStr">
        <is>
          <t>86,04</t>
        </is>
      </c>
      <c r="L1364" s="63" t="inlineStr">
        <is>
          <t>0,00</t>
        </is>
      </c>
      <c r="M1364" s="63" t="inlineStr">
        <is>
          <t>86,04</t>
        </is>
      </c>
      <c r="N1364" s="63" t="inlineStr">
        <is>
          <t>99,81</t>
        </is>
      </c>
      <c r="O1364" s="63" t="inlineStr">
        <is>
          <t>178,49</t>
        </is>
      </c>
      <c r="P1364" s="63" t="inlineStr">
        <is>
          <t>207,05</t>
        </is>
      </c>
      <c r="Q1364" s="63" t="inlineStr">
        <is>
          <t>473,87</t>
        </is>
      </c>
      <c r="R1364" s="66" t="n">
        <v>46163</v>
      </c>
      <c r="S1364" s="65" t="n">
        <v>82</v>
      </c>
      <c r="T1364" s="65" t="inlineStr">
        <is>
          <t>00-00000409</t>
        </is>
      </c>
      <c r="U1364" s="63" t="inlineStr">
        <is>
          <t>139,99</t>
        </is>
      </c>
      <c r="V1364" s="63" t="inlineStr">
        <is>
          <t>0,00</t>
        </is>
      </c>
    </row>
    <row r="1365">
      <c r="A1365" s="65" t="n"/>
      <c r="B1365" s="65" t="n"/>
      <c r="C1365" s="65" t="n"/>
      <c r="D1365" s="65" t="n"/>
      <c r="E1365" s="65" t="n"/>
      <c r="F1365" s="65" t="n"/>
      <c r="G1365" s="65" t="n"/>
      <c r="H1365" s="65" t="inlineStr">
        <is>
          <t>[0779] SINOCO SAE 20W-50 (1x12)</t>
        </is>
      </c>
      <c r="I1365" s="65" t="n">
        <v>779</v>
      </c>
      <c r="J1365" s="63" t="inlineStr">
        <is>
          <t>1,00</t>
        </is>
      </c>
      <c r="K1365" s="63" t="inlineStr">
        <is>
          <t>61,64</t>
        </is>
      </c>
      <c r="L1365" s="63" t="inlineStr">
        <is>
          <t>0,00</t>
        </is>
      </c>
      <c r="M1365" s="63" t="inlineStr">
        <is>
          <t>61,64</t>
        </is>
      </c>
      <c r="N1365" s="63" t="inlineStr">
        <is>
          <t>71,50</t>
        </is>
      </c>
      <c r="O1365" s="65" t="n"/>
      <c r="P1365" s="65" t="n"/>
      <c r="Q1365" s="65" t="n"/>
      <c r="R1365" s="65" t="n"/>
      <c r="S1365" s="65" t="n"/>
      <c r="T1365" s="65" t="n"/>
      <c r="U1365" s="65" t="n"/>
      <c r="V1365" s="65" t="n"/>
    </row>
    <row r="1366">
      <c r="A1366" s="65" t="n"/>
      <c r="B1366" s="65" t="n"/>
      <c r="C1366" s="65" t="n"/>
      <c r="D1366" s="65" t="n"/>
      <c r="E1366" s="65" t="n"/>
      <c r="F1366" s="65" t="n"/>
      <c r="G1366" s="65" t="n"/>
      <c r="H1366" s="65" t="inlineStr">
        <is>
          <t>[0761] LIGA PARA FRENOS DOT-3 (1x12)</t>
        </is>
      </c>
      <c r="I1366" s="65" t="n">
        <v>761</v>
      </c>
      <c r="J1366" s="63" t="inlineStr">
        <is>
          <t>1,00</t>
        </is>
      </c>
      <c r="K1366" s="63" t="inlineStr">
        <is>
          <t>30,81</t>
        </is>
      </c>
      <c r="L1366" s="63" t="inlineStr">
        <is>
          <t>0,00</t>
        </is>
      </c>
      <c r="M1366" s="63" t="inlineStr">
        <is>
          <t>30,81</t>
        </is>
      </c>
      <c r="N1366" s="63" t="inlineStr">
        <is>
          <t>35,74</t>
        </is>
      </c>
      <c r="O1366" s="65" t="n"/>
      <c r="P1366" s="65" t="n"/>
      <c r="Q1366" s="65" t="n"/>
      <c r="R1366" s="65" t="n"/>
      <c r="S1366" s="65" t="n"/>
      <c r="T1366" s="65" t="n"/>
      <c r="U1366" s="65" t="n"/>
      <c r="V1366" s="65" t="n"/>
    </row>
    <row r="1367">
      <c r="A1367" s="65" t="inlineStr">
        <is>
          <t>S00116</t>
        </is>
      </c>
      <c r="B1367" s="62" t="n">
        <v>46099.36864583333</v>
      </c>
      <c r="C1367" s="65" t="inlineStr">
        <is>
          <t>AGROPECUARIA EL TORO DORADO, C.A</t>
        </is>
      </c>
      <c r="D1367" s="65" t="inlineStr">
        <is>
          <t>REVERON DE CONTRERAS MELANI AUSMAR</t>
        </is>
      </c>
      <c r="E1367" s="65" t="n"/>
      <c r="F1367" s="65" t="n">
        <v>3</v>
      </c>
      <c r="G1367" s="65" t="inlineStr">
        <is>
          <t>Precio Full Marzo</t>
        </is>
      </c>
      <c r="H1367" s="65" t="inlineStr">
        <is>
          <t>[0881] CLASICO API SL SAE 20W-50 (1x12)</t>
        </is>
      </c>
      <c r="I1367" s="65" t="n">
        <v>881</v>
      </c>
      <c r="J1367" s="63" t="inlineStr">
        <is>
          <t>1,00</t>
        </is>
      </c>
      <c r="K1367" s="63" t="inlineStr">
        <is>
          <t>49,35</t>
        </is>
      </c>
      <c r="L1367" s="63" t="inlineStr">
        <is>
          <t>0,00</t>
        </is>
      </c>
      <c r="M1367" s="63" t="inlineStr">
        <is>
          <t>49,35</t>
        </is>
      </c>
      <c r="N1367" s="63" t="inlineStr">
        <is>
          <t>57,25</t>
        </is>
      </c>
      <c r="O1367" s="63" t="inlineStr">
        <is>
          <t>85,35</t>
        </is>
      </c>
      <c r="P1367" s="63" t="inlineStr">
        <is>
          <t>99,01</t>
        </is>
      </c>
      <c r="Q1367" s="63" t="inlineStr">
        <is>
          <t>462,67</t>
        </is>
      </c>
      <c r="R1367" s="66" t="n">
        <v>46106</v>
      </c>
      <c r="S1367" s="65" t="n">
        <v>9</v>
      </c>
      <c r="T1367" s="65" t="inlineStr">
        <is>
          <t>00-00000101</t>
        </is>
      </c>
      <c r="U1367" s="63" t="inlineStr">
        <is>
          <t>98,99</t>
        </is>
      </c>
      <c r="V1367" s="63" t="inlineStr">
        <is>
          <t>0,00</t>
        </is>
      </c>
    </row>
    <row r="1368">
      <c r="A1368" s="65" t="n"/>
      <c r="B1368" s="65" t="n"/>
      <c r="C1368" s="65" t="n"/>
      <c r="D1368" s="65" t="n"/>
      <c r="E1368" s="65" t="n"/>
      <c r="F1368" s="65" t="n"/>
      <c r="G1368" s="65" t="n"/>
      <c r="H1368" s="65" t="inlineStr">
        <is>
          <t>[0127] TRANSGLOB API GL-5 SAE 85W-140 (1x6)</t>
        </is>
      </c>
      <c r="I1368" s="65" t="n">
        <v>127</v>
      </c>
      <c r="J1368" s="63" t="inlineStr">
        <is>
          <t>1,00</t>
        </is>
      </c>
      <c r="K1368" s="63" t="inlineStr">
        <is>
          <t>36,00</t>
        </is>
      </c>
      <c r="L1368" s="63" t="inlineStr">
        <is>
          <t>0,00</t>
        </is>
      </c>
      <c r="M1368" s="63" t="inlineStr">
        <is>
          <t>36,00</t>
        </is>
      </c>
      <c r="N1368" s="63" t="inlineStr">
        <is>
          <t>41,76</t>
        </is>
      </c>
      <c r="O1368" s="65" t="n"/>
      <c r="P1368" s="65" t="n"/>
      <c r="Q1368" s="65" t="n"/>
      <c r="R1368" s="65" t="n"/>
      <c r="S1368" s="65" t="n"/>
      <c r="T1368" s="65" t="n"/>
      <c r="U1368" s="65" t="n"/>
      <c r="V1368" s="65" t="n"/>
    </row>
    <row r="1369">
      <c r="A1369" s="65" t="inlineStr">
        <is>
          <t>S00113</t>
        </is>
      </c>
      <c r="B1369" s="62" t="n">
        <v>46098.67688657407</v>
      </c>
      <c r="C1369" s="65" t="inlineStr">
        <is>
          <t>Franklin J. Mijares S.</t>
        </is>
      </c>
      <c r="D1369" s="65" t="inlineStr">
        <is>
          <t>CASERES GONZALEZ RONALD OSWALDO</t>
        </is>
      </c>
      <c r="E1369" s="65" t="inlineStr">
        <is>
          <t>15 días</t>
        </is>
      </c>
      <c r="F1369" s="65" t="n">
        <v>3</v>
      </c>
      <c r="G1369" s="65" t="inlineStr">
        <is>
          <t>Precio Full Marzo</t>
        </is>
      </c>
      <c r="H1369" s="65" t="inlineStr">
        <is>
          <t>[0877] SS EXTRA PROTECCION API SN SAE 15W-40 (1X12)</t>
        </is>
      </c>
      <c r="I1369" s="65" t="n">
        <v>877</v>
      </c>
      <c r="J1369" s="63" t="inlineStr">
        <is>
          <t>1,00</t>
        </is>
      </c>
      <c r="K1369" s="63" t="inlineStr">
        <is>
          <t>93,10</t>
        </is>
      </c>
      <c r="L1369" s="63" t="inlineStr">
        <is>
          <t>0,00</t>
        </is>
      </c>
      <c r="M1369" s="63" t="inlineStr">
        <is>
          <t>93,10</t>
        </is>
      </c>
      <c r="N1369" s="63" t="inlineStr">
        <is>
          <t>108,00</t>
        </is>
      </c>
      <c r="O1369" s="63" t="inlineStr">
        <is>
          <t>93,10</t>
        </is>
      </c>
      <c r="P1369" s="63" t="inlineStr">
        <is>
          <t>108,00</t>
        </is>
      </c>
      <c r="Q1369" s="63" t="inlineStr">
        <is>
          <t>473,87</t>
        </is>
      </c>
      <c r="R1369" s="66" t="n">
        <v>46164</v>
      </c>
      <c r="S1369" s="65" t="n">
        <v>89</v>
      </c>
      <c r="T1369" s="65" t="inlineStr">
        <is>
          <t>00-00000424</t>
        </is>
      </c>
      <c r="U1369" s="63" t="inlineStr">
        <is>
          <t>71,99</t>
        </is>
      </c>
      <c r="V1369" s="63" t="inlineStr">
        <is>
          <t>0,00</t>
        </is>
      </c>
    </row>
    <row r="1370">
      <c r="A1370" s="65" t="inlineStr">
        <is>
          <t>S00108</t>
        </is>
      </c>
      <c r="B1370" s="62" t="n">
        <v>46098.65866898148</v>
      </c>
      <c r="C1370" s="65" t="inlineStr">
        <is>
          <t>HIDRAULICAS CAICEDO C.A.</t>
        </is>
      </c>
      <c r="D1370" s="65" t="inlineStr">
        <is>
          <t>VILLABONA CORREA ALBA ESTEFANIA</t>
        </is>
      </c>
      <c r="E1370" s="65" t="inlineStr">
        <is>
          <t>7 días</t>
        </is>
      </c>
      <c r="F1370" s="65" t="n">
        <v>3</v>
      </c>
      <c r="G1370" s="65" t="inlineStr">
        <is>
          <t>Precio Full Marzo</t>
        </is>
      </c>
      <c r="H1370" s="65" t="inlineStr">
        <is>
          <t>[0884] TRANSMATIC ATF DEXRON III (1x12)</t>
        </is>
      </c>
      <c r="I1370" s="65" t="n">
        <v>884</v>
      </c>
      <c r="J1370" s="63" t="inlineStr">
        <is>
          <t>1,00</t>
        </is>
      </c>
      <c r="K1370" s="63" t="inlineStr">
        <is>
          <t>86,64</t>
        </is>
      </c>
      <c r="L1370" s="63" t="inlineStr">
        <is>
          <t>33,32</t>
        </is>
      </c>
      <c r="M1370" s="63" t="inlineStr">
        <is>
          <t>57,77</t>
        </is>
      </c>
      <c r="N1370" s="63" t="inlineStr">
        <is>
          <t>67,01</t>
        </is>
      </c>
      <c r="O1370" s="63" t="inlineStr">
        <is>
          <t>94,84</t>
        </is>
      </c>
      <c r="P1370" s="63" t="inlineStr">
        <is>
          <t>110,01</t>
        </is>
      </c>
      <c r="Q1370" s="63" t="inlineStr">
        <is>
          <t>462,67</t>
        </is>
      </c>
      <c r="R1370" s="66" t="n">
        <v>46106</v>
      </c>
      <c r="S1370" s="65" t="n">
        <v>11</v>
      </c>
      <c r="T1370" s="65" t="inlineStr">
        <is>
          <t>00-00000103</t>
        </is>
      </c>
      <c r="U1370" s="63" t="inlineStr">
        <is>
          <t>110,02</t>
        </is>
      </c>
      <c r="V1370" s="63" t="inlineStr">
        <is>
          <t>110,03</t>
        </is>
      </c>
    </row>
    <row r="1371">
      <c r="A1371" s="65" t="n"/>
      <c r="B1371" s="65" t="n"/>
      <c r="C1371" s="65" t="n"/>
      <c r="D1371" s="65" t="n"/>
      <c r="E1371" s="65" t="n"/>
      <c r="F1371" s="65" t="n"/>
      <c r="G1371" s="65" t="n"/>
      <c r="H1371" s="65" t="n"/>
      <c r="I1371" s="65" t="n"/>
      <c r="J1371" s="63" t="inlineStr">
        <is>
          <t>0,00</t>
        </is>
      </c>
      <c r="K1371" s="63" t="inlineStr">
        <is>
          <t>0,00</t>
        </is>
      </c>
      <c r="L1371" s="63" t="inlineStr">
        <is>
          <t>0,00</t>
        </is>
      </c>
      <c r="M1371" s="63" t="inlineStr">
        <is>
          <t>0,00</t>
        </is>
      </c>
      <c r="N1371" s="63" t="inlineStr">
        <is>
          <t>0,00</t>
        </is>
      </c>
      <c r="O1371" s="65" t="n"/>
      <c r="P1371" s="65" t="n"/>
      <c r="Q1371" s="65" t="n"/>
      <c r="R1371" s="65" t="n"/>
      <c r="S1371" s="65" t="n"/>
      <c r="T1371" s="65" t="n"/>
      <c r="U1371" s="65" t="n"/>
      <c r="V1371" s="65" t="n"/>
    </row>
    <row r="1372">
      <c r="A1372" s="65" t="n"/>
      <c r="B1372" s="65" t="n"/>
      <c r="C1372" s="65" t="n"/>
      <c r="D1372" s="65" t="n"/>
      <c r="E1372" s="65" t="n"/>
      <c r="F1372" s="65" t="n"/>
      <c r="G1372" s="65" t="n"/>
      <c r="H1372" s="65" t="inlineStr">
        <is>
          <t>[0775] LIGA PARA FRENOS DOT-4 (1X12)</t>
        </is>
      </c>
      <c r="I1372" s="65" t="n">
        <v>775</v>
      </c>
      <c r="J1372" s="63" t="inlineStr">
        <is>
          <t>1,00</t>
        </is>
      </c>
      <c r="K1372" s="63" t="inlineStr">
        <is>
          <t>55,60</t>
        </is>
      </c>
      <c r="L1372" s="63" t="inlineStr">
        <is>
          <t>33,32</t>
        </is>
      </c>
      <c r="M1372" s="63" t="inlineStr">
        <is>
          <t>37,07</t>
        </is>
      </c>
      <c r="N1372" s="63" t="inlineStr">
        <is>
          <t>43,00</t>
        </is>
      </c>
      <c r="O1372" s="65" t="n"/>
      <c r="P1372" s="65" t="n"/>
      <c r="Q1372" s="65" t="n"/>
      <c r="R1372" s="65" t="n"/>
      <c r="S1372" s="65" t="n"/>
      <c r="T1372" s="65" t="n"/>
      <c r="U1372" s="65" t="n"/>
      <c r="V1372" s="65" t="n"/>
    </row>
    <row r="1373">
      <c r="A1373" s="65" t="inlineStr">
        <is>
          <t>S00104</t>
        </is>
      </c>
      <c r="B1373" s="62" t="n">
        <v>46098.65818287037</v>
      </c>
      <c r="C1373" s="65" t="inlineStr">
        <is>
          <t>Inversiones Brayan CT C.A</t>
        </is>
      </c>
      <c r="D1373" s="65" t="inlineStr">
        <is>
          <t>GRIMAN DIAZ HECTOR EDUARDO</t>
        </is>
      </c>
      <c r="E1373" s="65" t="inlineStr">
        <is>
          <t>15 días</t>
        </is>
      </c>
      <c r="F1373" s="65" t="n">
        <v>3</v>
      </c>
      <c r="G1373" s="65" t="inlineStr">
        <is>
          <t>Precio Full Marzo</t>
        </is>
      </c>
      <c r="H1373" s="65" t="inlineStr">
        <is>
          <t>[0887] MOTOCLASICO 4T SAE 20W-50 (1x12)</t>
        </is>
      </c>
      <c r="I1373" s="65" t="n">
        <v>887</v>
      </c>
      <c r="J1373" s="63" t="inlineStr">
        <is>
          <t>3,00</t>
        </is>
      </c>
      <c r="K1373" s="63" t="inlineStr">
        <is>
          <t>85,35</t>
        </is>
      </c>
      <c r="L1373" s="63" t="inlineStr">
        <is>
          <t>0,00</t>
        </is>
      </c>
      <c r="M1373" s="63" t="inlineStr">
        <is>
          <t>256,05</t>
        </is>
      </c>
      <c r="N1373" s="63" t="inlineStr">
        <is>
          <t>297,02</t>
        </is>
      </c>
      <c r="O1373" s="63" t="inlineStr">
        <is>
          <t>256,05</t>
        </is>
      </c>
      <c r="P1373" s="63" t="inlineStr">
        <is>
          <t>297,02</t>
        </is>
      </c>
      <c r="Q1373" s="63" t="inlineStr">
        <is>
          <t>496,83</t>
        </is>
      </c>
      <c r="R1373" s="66" t="n">
        <v>46204</v>
      </c>
      <c r="S1373" s="65" t="n">
        <v>208</v>
      </c>
      <c r="T1373" s="65" t="inlineStr">
        <is>
          <t>00-00000705</t>
        </is>
      </c>
      <c r="U1373" s="63" t="inlineStr">
        <is>
          <t>197,98</t>
        </is>
      </c>
      <c r="V1373" s="63" t="inlineStr">
        <is>
          <t>0,00</t>
        </is>
      </c>
    </row>
    <row r="1374">
      <c r="A1374" s="65" t="inlineStr">
        <is>
          <t>S00101</t>
        </is>
      </c>
      <c r="B1374" s="62" t="n">
        <v>46098.65746527778</v>
      </c>
      <c r="C1374" s="65" t="inlineStr">
        <is>
          <t>INVERSIONES JOSCAR XXI, S.A.</t>
        </is>
      </c>
      <c r="D1374" s="65" t="inlineStr">
        <is>
          <t>VILLABONA CORREA ALBA ESTEFANIA</t>
        </is>
      </c>
      <c r="E1374" s="65" t="inlineStr">
        <is>
          <t>7 días</t>
        </is>
      </c>
      <c r="F1374" s="65" t="n">
        <v>3</v>
      </c>
      <c r="G1374" s="65" t="inlineStr">
        <is>
          <t>Precio Full Marzo</t>
        </is>
      </c>
      <c r="H1374" s="65" t="inlineStr">
        <is>
          <t>[0779] SINOCO SAE 20W-50 (1x12)</t>
        </is>
      </c>
      <c r="I1374" s="65" t="n">
        <v>779</v>
      </c>
      <c r="J1374" s="63" t="inlineStr">
        <is>
          <t>1,00</t>
        </is>
      </c>
      <c r="K1374" s="63" t="inlineStr">
        <is>
          <t>72,07</t>
        </is>
      </c>
      <c r="L1374" s="63" t="inlineStr">
        <is>
          <t>0,00</t>
        </is>
      </c>
      <c r="M1374" s="63" t="inlineStr">
        <is>
          <t>72,07</t>
        </is>
      </c>
      <c r="N1374" s="63" t="inlineStr">
        <is>
          <t>83,60</t>
        </is>
      </c>
      <c r="O1374" s="63" t="inlineStr">
        <is>
          <t>158,71</t>
        </is>
      </c>
      <c r="P1374" s="63" t="inlineStr">
        <is>
          <t>184,10</t>
        </is>
      </c>
      <c r="Q1374" s="63" t="inlineStr">
        <is>
          <t>496,83</t>
        </is>
      </c>
      <c r="R1374" s="66" t="n">
        <v>46162</v>
      </c>
      <c r="S1374" s="65" t="n">
        <v>80</v>
      </c>
      <c r="T1374" s="65" t="inlineStr">
        <is>
          <t>00-00000400</t>
        </is>
      </c>
      <c r="U1374" s="63" t="inlineStr">
        <is>
          <t>120,56</t>
        </is>
      </c>
      <c r="V1374" s="63" t="inlineStr">
        <is>
          <t>5,58</t>
        </is>
      </c>
    </row>
    <row r="1375">
      <c r="A1375" s="65" t="n"/>
      <c r="B1375" s="65" t="n"/>
      <c r="C1375" s="65" t="n"/>
      <c r="D1375" s="65" t="n"/>
      <c r="E1375" s="65" t="n"/>
      <c r="F1375" s="65" t="n"/>
      <c r="G1375" s="65" t="n"/>
      <c r="H1375" s="65" t="inlineStr">
        <is>
          <t>[0884] TRANSMATIC ATF DEXRON III (1x12)</t>
        </is>
      </c>
      <c r="I1375" s="65" t="n">
        <v>884</v>
      </c>
      <c r="J1375" s="63" t="inlineStr">
        <is>
          <t>1,00</t>
        </is>
      </c>
      <c r="K1375" s="63" t="inlineStr">
        <is>
          <t>86,64</t>
        </is>
      </c>
      <c r="L1375" s="63" t="inlineStr">
        <is>
          <t>0,00</t>
        </is>
      </c>
      <c r="M1375" s="63" t="inlineStr">
        <is>
          <t>86,64</t>
        </is>
      </c>
      <c r="N1375" s="63" t="inlineStr">
        <is>
          <t>100,50</t>
        </is>
      </c>
      <c r="O1375" s="65" t="n"/>
      <c r="P1375" s="65" t="n"/>
      <c r="Q1375" s="65" t="n"/>
      <c r="R1375" s="65" t="n"/>
      <c r="S1375" s="65" t="n"/>
      <c r="T1375" s="65" t="n"/>
      <c r="U1375" s="65" t="n"/>
      <c r="V1375" s="65" t="n"/>
    </row>
    <row r="1376">
      <c r="A1376" s="65" t="inlineStr">
        <is>
          <t>S00100</t>
        </is>
      </c>
      <c r="B1376" s="62" t="n">
        <v>46098.65736111111</v>
      </c>
      <c r="C1376" s="65" t="inlineStr">
        <is>
          <t>Diana Carolina Torres</t>
        </is>
      </c>
      <c r="D1376" s="65" t="inlineStr">
        <is>
          <t>VILLABONA CORREA ALBA ESTEFANIA</t>
        </is>
      </c>
      <c r="E1376" s="65" t="inlineStr">
        <is>
          <t>7 días</t>
        </is>
      </c>
      <c r="F1376" s="65" t="n">
        <v>3</v>
      </c>
      <c r="G1376" s="65" t="inlineStr">
        <is>
          <t>Precio Full Marzo</t>
        </is>
      </c>
      <c r="H1376" s="65" t="inlineStr">
        <is>
          <t>[0602] SINOCO SAE 50 (PAILA)</t>
        </is>
      </c>
      <c r="I1376" s="65" t="n">
        <v>602</v>
      </c>
      <c r="J1376" s="63" t="inlineStr">
        <is>
          <t>2,00</t>
        </is>
      </c>
      <c r="K1376" s="63" t="inlineStr">
        <is>
          <t>85,15</t>
        </is>
      </c>
      <c r="L1376" s="63" t="inlineStr">
        <is>
          <t>0,00</t>
        </is>
      </c>
      <c r="M1376" s="63" t="inlineStr">
        <is>
          <t>170,30</t>
        </is>
      </c>
      <c r="N1376" s="63" t="inlineStr">
        <is>
          <t>197,55</t>
        </is>
      </c>
      <c r="O1376" s="63" t="inlineStr">
        <is>
          <t>170,30</t>
        </is>
      </c>
      <c r="P1376" s="63" t="inlineStr">
        <is>
          <t>197,55</t>
        </is>
      </c>
      <c r="Q1376" s="63" t="inlineStr">
        <is>
          <t>473,87</t>
        </is>
      </c>
      <c r="R1376" s="66" t="n">
        <v>46162</v>
      </c>
      <c r="S1376" s="65" t="n">
        <v>81</v>
      </c>
      <c r="T1376" s="65" t="inlineStr">
        <is>
          <t>00-00000408</t>
        </is>
      </c>
      <c r="U1376" s="63" t="inlineStr">
        <is>
          <t>197,54</t>
        </is>
      </c>
      <c r="V1376" s="63" t="inlineStr">
        <is>
          <t>3,63</t>
        </is>
      </c>
    </row>
    <row r="1377">
      <c r="A1377" s="65" t="inlineStr">
        <is>
          <t>S00106</t>
        </is>
      </c>
      <c r="B1377" s="62" t="n">
        <v>46098.56194444445</v>
      </c>
      <c r="C1377" s="65" t="inlineStr">
        <is>
          <t>E&amp;M CAR SHOP C.A</t>
        </is>
      </c>
      <c r="D1377" s="65" t="inlineStr">
        <is>
          <t>BETANCOURT ROBRIGUEZ LUIS ENRRIQUE</t>
        </is>
      </c>
      <c r="E1377" s="65" t="inlineStr">
        <is>
          <t>15 días</t>
        </is>
      </c>
      <c r="F1377" s="65" t="n">
        <v>3</v>
      </c>
      <c r="G1377" s="65" t="inlineStr">
        <is>
          <t>Precio Full Marzo</t>
        </is>
      </c>
      <c r="H1377" s="65" t="inlineStr">
        <is>
          <t>[0602] SINOCO SAE 50 (PAILA)</t>
        </is>
      </c>
      <c r="I1377" s="65" t="n">
        <v>602</v>
      </c>
      <c r="J1377" s="63" t="inlineStr">
        <is>
          <t>10,00</t>
        </is>
      </c>
      <c r="K1377" s="63" t="inlineStr">
        <is>
          <t>85,45</t>
        </is>
      </c>
      <c r="L1377" s="63" t="inlineStr">
        <is>
          <t>0,00</t>
        </is>
      </c>
      <c r="M1377" s="63" t="inlineStr">
        <is>
          <t>854,50</t>
        </is>
      </c>
      <c r="N1377" s="63" t="inlineStr">
        <is>
          <t>991,22</t>
        </is>
      </c>
      <c r="O1377" s="63" t="inlineStr">
        <is>
          <t>854,50</t>
        </is>
      </c>
      <c r="P1377" s="63" t="inlineStr">
        <is>
          <t>991,22</t>
        </is>
      </c>
      <c r="Q1377" s="63" t="inlineStr">
        <is>
          <t>473,87</t>
        </is>
      </c>
      <c r="R1377" s="66" t="n">
        <v>46182</v>
      </c>
      <c r="S1377" s="65" t="n">
        <v>126</v>
      </c>
      <c r="T1377" s="65" t="inlineStr">
        <is>
          <t>00-00000538</t>
        </is>
      </c>
      <c r="U1377" s="63" t="inlineStr">
        <is>
          <t>991,27</t>
        </is>
      </c>
      <c r="V1377" s="63" t="inlineStr">
        <is>
          <t>0,00</t>
        </is>
      </c>
    </row>
    <row r="1378">
      <c r="A1378" s="65" t="inlineStr">
        <is>
          <t>S00099</t>
        </is>
      </c>
      <c r="B1378" s="62" t="n">
        <v>46097.48782407407</v>
      </c>
      <c r="C1378" s="65" t="inlineStr">
        <is>
          <t>ZIP MARKET, CA</t>
        </is>
      </c>
      <c r="D1378" s="65" t="inlineStr">
        <is>
          <t>QUEVEDO BASTIDAS NEYKEL DAVID</t>
        </is>
      </c>
      <c r="E1378" s="65" t="inlineStr">
        <is>
          <t>15 días</t>
        </is>
      </c>
      <c r="F1378" s="65" t="n">
        <v>3</v>
      </c>
      <c r="G1378" s="65" t="inlineStr">
        <is>
          <t>Precio Full Marzo</t>
        </is>
      </c>
      <c r="H1378" s="65" t="inlineStr">
        <is>
          <t>[0880] CLASICO API SL SAE 15W-40 (1x12)</t>
        </is>
      </c>
      <c r="I1378" s="65" t="n">
        <v>880</v>
      </c>
      <c r="J1378" s="63" t="inlineStr">
        <is>
          <t>1,00</t>
        </is>
      </c>
      <c r="K1378" s="63" t="inlineStr">
        <is>
          <t>80,17</t>
        </is>
      </c>
      <c r="L1378" s="63" t="inlineStr">
        <is>
          <t>0,00</t>
        </is>
      </c>
      <c r="M1378" s="63" t="inlineStr">
        <is>
          <t>80,17</t>
        </is>
      </c>
      <c r="N1378" s="63" t="inlineStr">
        <is>
          <t>93,00</t>
        </is>
      </c>
      <c r="O1378" s="63" t="inlineStr">
        <is>
          <t>80,17</t>
        </is>
      </c>
      <c r="P1378" s="63" t="inlineStr">
        <is>
          <t>93,00</t>
        </is>
      </c>
      <c r="Q1378" s="63" t="inlineStr">
        <is>
          <t>685,94</t>
        </is>
      </c>
      <c r="R1378" s="66" t="n">
        <v>46211</v>
      </c>
      <c r="S1378" s="65" t="n">
        <v>251</v>
      </c>
      <c r="T1378" s="65" t="inlineStr">
        <is>
          <t>00-00000773</t>
        </is>
      </c>
      <c r="U1378" s="63" t="inlineStr">
        <is>
          <t>92,99</t>
        </is>
      </c>
      <c r="V1378" s="63" t="inlineStr">
        <is>
          <t>0,00</t>
        </is>
      </c>
    </row>
    <row r="1379">
      <c r="A1379" s="65" t="inlineStr">
        <is>
          <t>S00095</t>
        </is>
      </c>
      <c r="B1379" s="62" t="n">
        <v>46097.45774305556</v>
      </c>
      <c r="C1379" s="65" t="inlineStr">
        <is>
          <t>Multiservicios Arizona, C.A.</t>
        </is>
      </c>
      <c r="D1379" s="65" t="inlineStr">
        <is>
          <t>PEREZ DIAZ ANGEL DE DIOS</t>
        </is>
      </c>
      <c r="E1379" s="65" t="inlineStr">
        <is>
          <t>15 días</t>
        </is>
      </c>
      <c r="F1379" s="65" t="n">
        <v>3</v>
      </c>
      <c r="G1379" s="65" t="inlineStr">
        <is>
          <t>Precio Full Marzo</t>
        </is>
      </c>
      <c r="H1379" s="65" t="inlineStr">
        <is>
          <t>[0013] ELITE API SN SAE 5W-30 (1x6)</t>
        </is>
      </c>
      <c r="I1379" s="65" t="n">
        <v>13</v>
      </c>
      <c r="J1379" s="63" t="inlineStr">
        <is>
          <t>1,00</t>
        </is>
      </c>
      <c r="K1379" s="63" t="inlineStr">
        <is>
          <t>63,36</t>
        </is>
      </c>
      <c r="L1379" s="63" t="inlineStr">
        <is>
          <t>0,00</t>
        </is>
      </c>
      <c r="M1379" s="63" t="inlineStr">
        <is>
          <t>63,36</t>
        </is>
      </c>
      <c r="N1379" s="63" t="inlineStr">
        <is>
          <t>73,50</t>
        </is>
      </c>
      <c r="O1379" s="63" t="inlineStr">
        <is>
          <t>317,68</t>
        </is>
      </c>
      <c r="P1379" s="63" t="inlineStr">
        <is>
          <t>368,51</t>
        </is>
      </c>
      <c r="Q1379" s="63" t="inlineStr">
        <is>
          <t>473,87</t>
        </is>
      </c>
      <c r="R1379" s="66" t="n">
        <v>46162</v>
      </c>
      <c r="S1379" s="65" t="n">
        <v>76</v>
      </c>
      <c r="T1379" s="65" t="inlineStr">
        <is>
          <t>00-00000394</t>
        </is>
      </c>
      <c r="U1379" s="63" t="inlineStr">
        <is>
          <t>374,55</t>
        </is>
      </c>
      <c r="V1379" s="63" t="inlineStr">
        <is>
          <t>56,92</t>
        </is>
      </c>
    </row>
    <row r="1380">
      <c r="A1380" s="65" t="n"/>
      <c r="B1380" s="65" t="n"/>
      <c r="C1380" s="65" t="n"/>
      <c r="D1380" s="65" t="n"/>
      <c r="E1380" s="65" t="n"/>
      <c r="F1380" s="65" t="n"/>
      <c r="G1380" s="65" t="n"/>
      <c r="H1380" s="65" t="inlineStr">
        <is>
          <t>[0019] ELITE API SN SAE 5W-40 (1x6)</t>
        </is>
      </c>
      <c r="I1380" s="65" t="n">
        <v>19</v>
      </c>
      <c r="J1380" s="63" t="inlineStr">
        <is>
          <t>1,00</t>
        </is>
      </c>
      <c r="K1380" s="63" t="inlineStr">
        <is>
          <t>63,36</t>
        </is>
      </c>
      <c r="L1380" s="63" t="inlineStr">
        <is>
          <t>0,00</t>
        </is>
      </c>
      <c r="M1380" s="63" t="inlineStr">
        <is>
          <t>63,36</t>
        </is>
      </c>
      <c r="N1380" s="63" t="inlineStr">
        <is>
          <t>73,50</t>
        </is>
      </c>
      <c r="O1380" s="65" t="n"/>
      <c r="P1380" s="65" t="n"/>
      <c r="Q1380" s="65" t="n"/>
      <c r="R1380" s="65" t="n"/>
      <c r="S1380" s="65" t="n"/>
      <c r="T1380" s="65" t="n"/>
      <c r="U1380" s="65" t="n"/>
      <c r="V1380" s="65" t="n"/>
    </row>
    <row r="1381">
      <c r="A1381" s="65" t="n"/>
      <c r="B1381" s="65" t="n"/>
      <c r="C1381" s="65" t="n"/>
      <c r="D1381" s="65" t="n"/>
      <c r="E1381" s="65" t="n"/>
      <c r="F1381" s="65" t="n"/>
      <c r="G1381" s="65" t="n"/>
      <c r="H1381" s="65" t="inlineStr">
        <is>
          <t>[0880] CLASICO API SL SAE 15W-40 (1x12)</t>
        </is>
      </c>
      <c r="I1381" s="65" t="n">
        <v>880</v>
      </c>
      <c r="J1381" s="63" t="inlineStr">
        <is>
          <t>1,00</t>
        </is>
      </c>
      <c r="K1381" s="63" t="inlineStr">
        <is>
          <t>67,24</t>
        </is>
      </c>
      <c r="L1381" s="63" t="inlineStr">
        <is>
          <t>0,00</t>
        </is>
      </c>
      <c r="M1381" s="63" t="inlineStr">
        <is>
          <t>67,24</t>
        </is>
      </c>
      <c r="N1381" s="63" t="inlineStr">
        <is>
          <t>78,00</t>
        </is>
      </c>
      <c r="O1381" s="65" t="n"/>
      <c r="P1381" s="65" t="n"/>
      <c r="Q1381" s="65" t="n"/>
      <c r="R1381" s="65" t="n"/>
      <c r="S1381" s="65" t="n"/>
      <c r="T1381" s="65" t="n"/>
      <c r="U1381" s="65" t="n"/>
      <c r="V1381" s="65" t="n"/>
    </row>
    <row r="1382">
      <c r="A1382" s="65" t="n"/>
      <c r="B1382" s="65" t="n"/>
      <c r="C1382" s="65" t="n"/>
      <c r="D1382" s="65" t="n"/>
      <c r="E1382" s="65" t="n"/>
      <c r="F1382" s="65" t="n"/>
      <c r="G1382" s="65" t="n"/>
      <c r="H1382" s="65" t="inlineStr">
        <is>
          <t>[0025] SS EXTRA PROTECCION API SN SAE 10W-30 (Gasolina) (1x6)</t>
        </is>
      </c>
      <c r="I1382" s="65" t="n">
        <v>25</v>
      </c>
      <c r="J1382" s="63" t="inlineStr">
        <is>
          <t>1,00</t>
        </is>
      </c>
      <c r="K1382" s="63" t="inlineStr">
        <is>
          <t>46,55</t>
        </is>
      </c>
      <c r="L1382" s="63" t="inlineStr">
        <is>
          <t>0,00</t>
        </is>
      </c>
      <c r="M1382" s="63" t="inlineStr">
        <is>
          <t>46,55</t>
        </is>
      </c>
      <c r="N1382" s="63" t="inlineStr">
        <is>
          <t>54,00</t>
        </is>
      </c>
      <c r="O1382" s="65" t="n"/>
      <c r="P1382" s="65" t="n"/>
      <c r="Q1382" s="65" t="n"/>
      <c r="R1382" s="65" t="n"/>
      <c r="S1382" s="65" t="n"/>
      <c r="T1382" s="65" t="n"/>
      <c r="U1382" s="65" t="n"/>
      <c r="V1382" s="65" t="n"/>
    </row>
    <row r="1383">
      <c r="A1383" s="65" t="n"/>
      <c r="B1383" s="65" t="n"/>
      <c r="C1383" s="65" t="n"/>
      <c r="D1383" s="65" t="n"/>
      <c r="E1383" s="65" t="n"/>
      <c r="F1383" s="65" t="n"/>
      <c r="G1383" s="65" t="n"/>
      <c r="H1383" s="65" t="inlineStr">
        <is>
          <t>[0795] REFRIGERANTE GLOBAL ORANGE PREMIUM 50-50 CONCENTRADO (1x3)</t>
        </is>
      </c>
      <c r="I1383" s="65" t="n">
        <v>795</v>
      </c>
      <c r="J1383" s="63" t="inlineStr">
        <is>
          <t>1,00</t>
        </is>
      </c>
      <c r="K1383" s="63" t="inlineStr">
        <is>
          <t>37,71</t>
        </is>
      </c>
      <c r="L1383" s="63" t="inlineStr">
        <is>
          <t>0,00</t>
        </is>
      </c>
      <c r="M1383" s="63" t="inlineStr">
        <is>
          <t>37,71</t>
        </is>
      </c>
      <c r="N1383" s="63" t="inlineStr">
        <is>
          <t>43,74</t>
        </is>
      </c>
      <c r="O1383" s="65" t="n"/>
      <c r="P1383" s="65" t="n"/>
      <c r="Q1383" s="65" t="n"/>
      <c r="R1383" s="65" t="n"/>
      <c r="S1383" s="65" t="n"/>
      <c r="T1383" s="65" t="n"/>
      <c r="U1383" s="65" t="n"/>
      <c r="V1383" s="65" t="n"/>
    </row>
    <row r="1384">
      <c r="A1384" s="65" t="n"/>
      <c r="B1384" s="65" t="n"/>
      <c r="C1384" s="65" t="n"/>
      <c r="D1384" s="65" t="n"/>
      <c r="E1384" s="65" t="n"/>
      <c r="F1384" s="65" t="n"/>
      <c r="G1384" s="65" t="n"/>
      <c r="H1384" s="65" t="inlineStr">
        <is>
          <t>[0121] TRANSGLOB API GL-5 SAE 80W-90 (1x6)</t>
        </is>
      </c>
      <c r="I1384" s="65" t="n">
        <v>121</v>
      </c>
      <c r="J1384" s="63" t="inlineStr">
        <is>
          <t>1,00</t>
        </is>
      </c>
      <c r="K1384" s="63" t="inlineStr">
        <is>
          <t>39,46</t>
        </is>
      </c>
      <c r="L1384" s="63" t="inlineStr">
        <is>
          <t>0,00</t>
        </is>
      </c>
      <c r="M1384" s="63" t="inlineStr">
        <is>
          <t>39,46</t>
        </is>
      </c>
      <c r="N1384" s="63" t="inlineStr">
        <is>
          <t>45,77</t>
        </is>
      </c>
      <c r="O1384" s="65" t="n"/>
      <c r="P1384" s="65" t="n"/>
      <c r="Q1384" s="65" t="n"/>
      <c r="R1384" s="65" t="n"/>
      <c r="S1384" s="65" t="n"/>
      <c r="T1384" s="65" t="n"/>
      <c r="U1384" s="65" t="n"/>
      <c r="V1384" s="65" t="n"/>
    </row>
    <row r="1385">
      <c r="A1385" s="65" t="inlineStr">
        <is>
          <t>S00097</t>
        </is>
      </c>
      <c r="B1385" s="62" t="n">
        <v>46097.45741898148</v>
      </c>
      <c r="C1385" s="65" t="inlineStr">
        <is>
          <t>Felipe Granja</t>
        </is>
      </c>
      <c r="D1385" s="65" t="inlineStr">
        <is>
          <t>MARTINEZ MONTES JEFFREY ENRIQUE</t>
        </is>
      </c>
      <c r="E1385" s="65" t="inlineStr">
        <is>
          <t>15 días</t>
        </is>
      </c>
      <c r="F1385" s="65" t="n">
        <v>3</v>
      </c>
      <c r="G1385" s="65" t="inlineStr">
        <is>
          <t>Precio Full Marzo</t>
        </is>
      </c>
      <c r="H1385" s="65" t="inlineStr">
        <is>
          <t>[0881] CLASICO API SL SAE 20W-50 (1x12)</t>
        </is>
      </c>
      <c r="I1385" s="65" t="n">
        <v>881</v>
      </c>
      <c r="J1385" s="63" t="inlineStr">
        <is>
          <t>1,00</t>
        </is>
      </c>
      <c r="K1385" s="63" t="inlineStr">
        <is>
          <t>81,47</t>
        </is>
      </c>
      <c r="L1385" s="63" t="inlineStr">
        <is>
          <t>16,41</t>
        </is>
      </c>
      <c r="M1385" s="63" t="inlineStr">
        <is>
          <t>68,10</t>
        </is>
      </c>
      <c r="N1385" s="63" t="inlineStr">
        <is>
          <t>79,00</t>
        </is>
      </c>
      <c r="O1385" s="63" t="inlineStr">
        <is>
          <t>457,74</t>
        </is>
      </c>
      <c r="P1385" s="63" t="inlineStr">
        <is>
          <t>530,98</t>
        </is>
      </c>
      <c r="Q1385" s="63" t="inlineStr">
        <is>
          <t>685,94</t>
        </is>
      </c>
      <c r="R1385" s="66" t="n">
        <v>46211</v>
      </c>
      <c r="S1385" s="65" t="n">
        <v>250</v>
      </c>
      <c r="T1385" s="65" t="inlineStr">
        <is>
          <t>00-00000772</t>
        </is>
      </c>
      <c r="U1385" s="63" t="inlineStr">
        <is>
          <t>530,94</t>
        </is>
      </c>
      <c r="V1385" s="63" t="inlineStr">
        <is>
          <t>400,98</t>
        </is>
      </c>
    </row>
    <row r="1386">
      <c r="A1386" s="65" t="n"/>
      <c r="B1386" s="65" t="n"/>
      <c r="C1386" s="65" t="n"/>
      <c r="D1386" s="65" t="n"/>
      <c r="E1386" s="65" t="n"/>
      <c r="F1386" s="65" t="n"/>
      <c r="G1386" s="65" t="n"/>
      <c r="H1386" s="65" t="n"/>
      <c r="I1386" s="65" t="n"/>
      <c r="J1386" s="63" t="inlineStr">
        <is>
          <t>0,00</t>
        </is>
      </c>
      <c r="K1386" s="63" t="inlineStr">
        <is>
          <t>0,00</t>
        </is>
      </c>
      <c r="L1386" s="63" t="inlineStr">
        <is>
          <t>0,00</t>
        </is>
      </c>
      <c r="M1386" s="63" t="inlineStr">
        <is>
          <t>0,00</t>
        </is>
      </c>
      <c r="N1386" s="63" t="inlineStr">
        <is>
          <t>0,00</t>
        </is>
      </c>
      <c r="O1386" s="65" t="n"/>
      <c r="P1386" s="65" t="n"/>
      <c r="Q1386" s="65" t="n"/>
      <c r="R1386" s="65" t="n"/>
      <c r="S1386" s="65" t="n"/>
      <c r="T1386" s="65" t="n"/>
      <c r="U1386" s="65" t="n"/>
      <c r="V1386" s="65" t="n"/>
    </row>
    <row r="1387">
      <c r="A1387" s="65" t="n"/>
      <c r="B1387" s="65" t="n"/>
      <c r="C1387" s="65" t="n"/>
      <c r="D1387" s="65" t="n"/>
      <c r="E1387" s="65" t="n"/>
      <c r="F1387" s="65" t="n"/>
      <c r="G1387" s="65" t="n"/>
      <c r="H1387" s="65" t="inlineStr">
        <is>
          <t>[0880] CLASICO API SL SAE 15W-40 (1x12)</t>
        </is>
      </c>
      <c r="I1387" s="65" t="n">
        <v>880</v>
      </c>
      <c r="J1387" s="63" t="inlineStr">
        <is>
          <t>1,00</t>
        </is>
      </c>
      <c r="K1387" s="63" t="inlineStr">
        <is>
          <t>80,17</t>
        </is>
      </c>
      <c r="L1387" s="63" t="inlineStr">
        <is>
          <t>16,13</t>
        </is>
      </c>
      <c r="M1387" s="63" t="inlineStr">
        <is>
          <t>67,24</t>
        </is>
      </c>
      <c r="N1387" s="63" t="inlineStr">
        <is>
          <t>78,00</t>
        </is>
      </c>
      <c r="O1387" s="65" t="n"/>
      <c r="P1387" s="65" t="n"/>
      <c r="Q1387" s="65" t="n"/>
      <c r="R1387" s="65" t="n"/>
      <c r="S1387" s="65" t="n"/>
      <c r="T1387" s="65" t="n"/>
      <c r="U1387" s="65" t="n"/>
      <c r="V1387" s="65" t="n"/>
    </row>
    <row r="1388">
      <c r="A1388" s="65" t="n"/>
      <c r="B1388" s="65" t="n"/>
      <c r="C1388" s="65" t="n"/>
      <c r="D1388" s="65" t="n"/>
      <c r="E1388" s="65" t="n"/>
      <c r="F1388" s="65" t="n"/>
      <c r="G1388" s="65" t="n"/>
      <c r="H1388" s="65" t="inlineStr">
        <is>
          <t>[0877] SS EXTRA PROTECCION API SN SAE 15W-40 (1X12)</t>
        </is>
      </c>
      <c r="I1388" s="65" t="n">
        <v>877</v>
      </c>
      <c r="J1388" s="63" t="inlineStr">
        <is>
          <t>1,00</t>
        </is>
      </c>
      <c r="K1388" s="63" t="inlineStr">
        <is>
          <t>93,10</t>
        </is>
      </c>
      <c r="L1388" s="63" t="inlineStr">
        <is>
          <t>0,00</t>
        </is>
      </c>
      <c r="M1388" s="63" t="inlineStr">
        <is>
          <t>93,10</t>
        </is>
      </c>
      <c r="N1388" s="63" t="inlineStr">
        <is>
          <t>108,00</t>
        </is>
      </c>
      <c r="O1388" s="65" t="n"/>
      <c r="P1388" s="65" t="n"/>
      <c r="Q1388" s="65" t="n"/>
      <c r="R1388" s="65" t="n"/>
      <c r="S1388" s="65" t="n"/>
      <c r="T1388" s="65" t="n"/>
      <c r="U1388" s="65" t="n"/>
      <c r="V1388" s="65" t="n"/>
    </row>
    <row r="1389">
      <c r="A1389" s="65" t="n"/>
      <c r="B1389" s="65" t="n"/>
      <c r="C1389" s="65" t="n"/>
      <c r="D1389" s="65" t="n"/>
      <c r="E1389" s="65" t="n"/>
      <c r="F1389" s="65" t="n"/>
      <c r="G1389" s="65" t="n"/>
      <c r="H1389" s="65" t="inlineStr">
        <is>
          <t>[0878] SS EXTRA PROTECCION API SN SAE 20W-50 (1x12)</t>
        </is>
      </c>
      <c r="I1389" s="65" t="n">
        <v>878</v>
      </c>
      <c r="J1389" s="63" t="inlineStr">
        <is>
          <t>1,00</t>
        </is>
      </c>
      <c r="K1389" s="63" t="inlineStr">
        <is>
          <t>93,10</t>
        </is>
      </c>
      <c r="L1389" s="63" t="inlineStr">
        <is>
          <t>16,66</t>
        </is>
      </c>
      <c r="M1389" s="63" t="inlineStr">
        <is>
          <t>77,59</t>
        </is>
      </c>
      <c r="N1389" s="63" t="inlineStr">
        <is>
          <t>90,00</t>
        </is>
      </c>
      <c r="O1389" s="65" t="n"/>
      <c r="P1389" s="65" t="n"/>
      <c r="Q1389" s="65" t="n"/>
      <c r="R1389" s="65" t="n"/>
      <c r="S1389" s="65" t="n"/>
      <c r="T1389" s="65" t="n"/>
      <c r="U1389" s="65" t="n"/>
      <c r="V1389" s="65" t="n"/>
    </row>
    <row r="1390">
      <c r="A1390" s="65" t="n"/>
      <c r="B1390" s="65" t="n"/>
      <c r="C1390" s="65" t="n"/>
      <c r="D1390" s="65" t="n"/>
      <c r="E1390" s="65" t="n"/>
      <c r="F1390" s="65" t="n"/>
      <c r="G1390" s="65" t="n"/>
      <c r="H1390" s="65" t="inlineStr">
        <is>
          <t>[0884] TRANSMATIC ATF DEXRON III (1x12)</t>
        </is>
      </c>
      <c r="I1390" s="65" t="n">
        <v>884</v>
      </c>
      <c r="J1390" s="63" t="inlineStr">
        <is>
          <t>1,00</t>
        </is>
      </c>
      <c r="K1390" s="63" t="inlineStr">
        <is>
          <t>86,64</t>
        </is>
      </c>
      <c r="L1390" s="63" t="inlineStr">
        <is>
          <t>15,99</t>
        </is>
      </c>
      <c r="M1390" s="63" t="inlineStr">
        <is>
          <t>72,79</t>
        </is>
      </c>
      <c r="N1390" s="63" t="inlineStr">
        <is>
          <t>84,44</t>
        </is>
      </c>
      <c r="O1390" s="65" t="n"/>
      <c r="P1390" s="65" t="n"/>
      <c r="Q1390" s="65" t="n"/>
      <c r="R1390" s="65" t="n"/>
      <c r="S1390" s="65" t="n"/>
      <c r="T1390" s="65" t="n"/>
      <c r="U1390" s="65" t="n"/>
      <c r="V1390" s="65" t="n"/>
    </row>
    <row r="1391">
      <c r="A1391" s="65" t="n"/>
      <c r="B1391" s="65" t="n"/>
      <c r="C1391" s="65" t="n"/>
      <c r="D1391" s="65" t="n"/>
      <c r="E1391" s="65" t="n"/>
      <c r="F1391" s="65" t="n"/>
      <c r="G1391" s="65" t="n"/>
      <c r="H1391" s="65" t="inlineStr">
        <is>
          <t>[0121] TRANSGLOB API GL-5 SAE 80W-90 (1x6)</t>
        </is>
      </c>
      <c r="I1391" s="65" t="n">
        <v>121</v>
      </c>
      <c r="J1391" s="63" t="inlineStr">
        <is>
          <t>1,00</t>
        </is>
      </c>
      <c r="K1391" s="63" t="inlineStr">
        <is>
          <t>46,55</t>
        </is>
      </c>
      <c r="L1391" s="63" t="inlineStr">
        <is>
          <t>15,23</t>
        </is>
      </c>
      <c r="M1391" s="63" t="inlineStr">
        <is>
          <t>39,46</t>
        </is>
      </c>
      <c r="N1391" s="63" t="inlineStr">
        <is>
          <t>45,77</t>
        </is>
      </c>
      <c r="O1391" s="65" t="n"/>
      <c r="P1391" s="65" t="n"/>
      <c r="Q1391" s="65" t="n"/>
      <c r="R1391" s="65" t="n"/>
      <c r="S1391" s="65" t="n"/>
      <c r="T1391" s="65" t="n"/>
      <c r="U1391" s="65" t="n"/>
      <c r="V1391" s="65" t="n"/>
    </row>
    <row r="1392">
      <c r="A1392" s="65" t="n"/>
      <c r="B1392" s="65" t="n"/>
      <c r="C1392" s="65" t="n"/>
      <c r="D1392" s="65" t="n"/>
      <c r="E1392" s="65" t="n"/>
      <c r="F1392" s="65" t="n"/>
      <c r="G1392" s="65" t="n"/>
      <c r="H1392" s="65" t="inlineStr">
        <is>
          <t>[0127] TRANSGLOB API GL-5 SAE 85W-140 (1x6)</t>
        </is>
      </c>
      <c r="I1392" s="65" t="n">
        <v>127</v>
      </c>
      <c r="J1392" s="63" t="inlineStr">
        <is>
          <t>1,00</t>
        </is>
      </c>
      <c r="K1392" s="63" t="inlineStr">
        <is>
          <t>46,55</t>
        </is>
      </c>
      <c r="L1392" s="63" t="inlineStr">
        <is>
          <t>15,23</t>
        </is>
      </c>
      <c r="M1392" s="63" t="inlineStr">
        <is>
          <t>39,46</t>
        </is>
      </c>
      <c r="N1392" s="63" t="inlineStr">
        <is>
          <t>45,77</t>
        </is>
      </c>
      <c r="O1392" s="65" t="n"/>
      <c r="P1392" s="65" t="n"/>
      <c r="Q1392" s="65" t="n"/>
      <c r="R1392" s="65" t="n"/>
      <c r="S1392" s="65" t="n"/>
      <c r="T1392" s="65" t="n"/>
      <c r="U1392" s="65" t="n"/>
      <c r="V1392" s="65" t="n"/>
    </row>
    <row r="1393">
      <c r="A1393" s="65" t="inlineStr">
        <is>
          <t>S00096</t>
        </is>
      </c>
      <c r="B1393" s="62" t="n">
        <v>46097.45717592593</v>
      </c>
      <c r="C1393" s="65" t="inlineStr">
        <is>
          <t>Video Electrónica Fermat, C.A</t>
        </is>
      </c>
      <c r="D1393" s="65" t="inlineStr">
        <is>
          <t>MARTINEZ MONTES JEFFREY ENRIQUE</t>
        </is>
      </c>
      <c r="E1393" s="65" t="inlineStr">
        <is>
          <t>15 días</t>
        </is>
      </c>
      <c r="F1393" s="65" t="n">
        <v>3</v>
      </c>
      <c r="G1393" s="65" t="inlineStr">
        <is>
          <t>Precio Full Marzo</t>
        </is>
      </c>
      <c r="H1393" s="65" t="inlineStr">
        <is>
          <t>[0884] TRANSMATIC ATF DEXRON III (1x12)</t>
        </is>
      </c>
      <c r="I1393" s="65" t="n">
        <v>884</v>
      </c>
      <c r="J1393" s="63" t="inlineStr">
        <is>
          <t>1,00</t>
        </is>
      </c>
      <c r="K1393" s="63" t="inlineStr">
        <is>
          <t>86,64</t>
        </is>
      </c>
      <c r="L1393" s="63" t="inlineStr">
        <is>
          <t>15,99</t>
        </is>
      </c>
      <c r="M1393" s="63" t="inlineStr">
        <is>
          <t>72,79</t>
        </is>
      </c>
      <c r="N1393" s="63" t="inlineStr">
        <is>
          <t>84,44</t>
        </is>
      </c>
      <c r="O1393" s="63" t="inlineStr">
        <is>
          <t>374,94</t>
        </is>
      </c>
      <c r="P1393" s="63" t="inlineStr">
        <is>
          <t>434,94</t>
        </is>
      </c>
      <c r="Q1393" s="63" t="inlineStr">
        <is>
          <t>674,93</t>
        </is>
      </c>
      <c r="R1393" s="66" t="n">
        <v>46210</v>
      </c>
      <c r="S1393" s="65" t="n">
        <v>225</v>
      </c>
      <c r="T1393" s="65" t="inlineStr">
        <is>
          <t>00-00000747</t>
        </is>
      </c>
      <c r="U1393" s="63" t="inlineStr">
        <is>
          <t>434,90</t>
        </is>
      </c>
      <c r="V1393" s="63" t="inlineStr">
        <is>
          <t>317,20</t>
        </is>
      </c>
    </row>
    <row r="1394">
      <c r="A1394" s="65" t="n"/>
      <c r="B1394" s="65" t="n"/>
      <c r="C1394" s="65" t="n"/>
      <c r="D1394" s="65" t="n"/>
      <c r="E1394" s="65" t="n"/>
      <c r="F1394" s="65" t="n"/>
      <c r="G1394" s="65" t="n"/>
      <c r="H1394" s="65" t="inlineStr">
        <is>
          <t>[0881] CLASICO API SL SAE 20W-50 (1x12)</t>
        </is>
      </c>
      <c r="I1394" s="65" t="n">
        <v>881</v>
      </c>
      <c r="J1394" s="63" t="inlineStr">
        <is>
          <t>1,00</t>
        </is>
      </c>
      <c r="K1394" s="63" t="inlineStr">
        <is>
          <t>81,47</t>
        </is>
      </c>
      <c r="L1394" s="63" t="inlineStr">
        <is>
          <t>16,41</t>
        </is>
      </c>
      <c r="M1394" s="63" t="inlineStr">
        <is>
          <t>68,10</t>
        </is>
      </c>
      <c r="N1394" s="63" t="inlineStr">
        <is>
          <t>79,00</t>
        </is>
      </c>
      <c r="O1394" s="65" t="n"/>
      <c r="P1394" s="65" t="n"/>
      <c r="Q1394" s="65" t="n"/>
      <c r="R1394" s="65" t="n"/>
      <c r="S1394" s="65" t="n"/>
      <c r="T1394" s="65" t="n"/>
      <c r="U1394" s="65" t="n"/>
      <c r="V1394" s="65" t="n"/>
    </row>
    <row r="1395">
      <c r="A1395" s="65" t="n"/>
      <c r="B1395" s="65" t="n"/>
      <c r="C1395" s="65" t="n"/>
      <c r="D1395" s="65" t="n"/>
      <c r="E1395" s="65" t="n"/>
      <c r="F1395" s="65" t="n"/>
      <c r="G1395" s="65" t="n"/>
      <c r="H1395" s="65" t="inlineStr">
        <is>
          <t>[0877] SS EXTRA PROTECCION API SN SAE 15W-40 (1X12)</t>
        </is>
      </c>
      <c r="I1395" s="65" t="n">
        <v>877</v>
      </c>
      <c r="J1395" s="63" t="inlineStr">
        <is>
          <t>1,00</t>
        </is>
      </c>
      <c r="K1395" s="63" t="inlineStr">
        <is>
          <t>93,10</t>
        </is>
      </c>
      <c r="L1395" s="63" t="inlineStr">
        <is>
          <t>0,00</t>
        </is>
      </c>
      <c r="M1395" s="63" t="inlineStr">
        <is>
          <t>93,10</t>
        </is>
      </c>
      <c r="N1395" s="63" t="inlineStr">
        <is>
          <t>108,00</t>
        </is>
      </c>
      <c r="O1395" s="65" t="n"/>
      <c r="P1395" s="65" t="n"/>
      <c r="Q1395" s="65" t="n"/>
      <c r="R1395" s="65" t="n"/>
      <c r="S1395" s="65" t="n"/>
      <c r="T1395" s="65" t="n"/>
      <c r="U1395" s="65" t="n"/>
      <c r="V1395" s="65" t="n"/>
    </row>
    <row r="1396">
      <c r="A1396" s="65" t="n"/>
      <c r="B1396" s="65" t="n"/>
      <c r="C1396" s="65" t="n"/>
      <c r="D1396" s="65" t="n"/>
      <c r="E1396" s="65" t="n"/>
      <c r="F1396" s="65" t="n"/>
      <c r="G1396" s="65" t="n"/>
      <c r="H1396" s="65" t="inlineStr">
        <is>
          <t>[0878] SS EXTRA PROTECCION API SN SAE 20W-50 (1x12)</t>
        </is>
      </c>
      <c r="I1396" s="65" t="n">
        <v>878</v>
      </c>
      <c r="J1396" s="63" t="inlineStr">
        <is>
          <t>1,00</t>
        </is>
      </c>
      <c r="K1396" s="63" t="inlineStr">
        <is>
          <t>93,10</t>
        </is>
      </c>
      <c r="L1396" s="63" t="inlineStr">
        <is>
          <t>16,66</t>
        </is>
      </c>
      <c r="M1396" s="63" t="inlineStr">
        <is>
          <t>77,59</t>
        </is>
      </c>
      <c r="N1396" s="63" t="inlineStr">
        <is>
          <t>90,00</t>
        </is>
      </c>
      <c r="O1396" s="65" t="n"/>
      <c r="P1396" s="65" t="n"/>
      <c r="Q1396" s="65" t="n"/>
      <c r="R1396" s="65" t="n"/>
      <c r="S1396" s="65" t="n"/>
      <c r="T1396" s="65" t="n"/>
      <c r="U1396" s="65" t="n"/>
      <c r="V1396" s="65" t="n"/>
    </row>
    <row r="1397">
      <c r="A1397" s="65" t="n"/>
      <c r="B1397" s="65" t="n"/>
      <c r="C1397" s="65" t="n"/>
      <c r="D1397" s="65" t="n"/>
      <c r="E1397" s="65" t="n"/>
      <c r="F1397" s="65" t="n"/>
      <c r="G1397" s="65" t="n"/>
      <c r="H1397" s="65" t="inlineStr">
        <is>
          <t>[0007] ELITE API SN SAE 5W-20 (1x6)</t>
        </is>
      </c>
      <c r="I1397" s="65" t="n">
        <v>7</v>
      </c>
      <c r="J1397" s="63" t="inlineStr">
        <is>
          <t>1,00</t>
        </is>
      </c>
      <c r="K1397" s="63" t="inlineStr">
        <is>
          <t>63,36</t>
        </is>
      </c>
      <c r="L1397" s="63" t="inlineStr">
        <is>
          <t>0,00</t>
        </is>
      </c>
      <c r="M1397" s="63" t="inlineStr">
        <is>
          <t>63,36</t>
        </is>
      </c>
      <c r="N1397" s="63" t="inlineStr">
        <is>
          <t>73,50</t>
        </is>
      </c>
      <c r="O1397" s="65" t="n"/>
      <c r="P1397" s="65" t="n"/>
      <c r="Q1397" s="65" t="n"/>
      <c r="R1397" s="65" t="n"/>
      <c r="S1397" s="65" t="n"/>
      <c r="T1397" s="65" t="n"/>
      <c r="U1397" s="65" t="n"/>
      <c r="V1397" s="65" t="n"/>
    </row>
    <row r="1398">
      <c r="A1398" s="65" t="inlineStr">
        <is>
          <t>S00010</t>
        </is>
      </c>
      <c r="B1398" s="62" t="n">
        <v>46097.35438657407</v>
      </c>
      <c r="C1398" s="65" t="inlineStr">
        <is>
          <t>TERA INGENIERIA Y SERVICIOS INDUSTRIALES, C.A</t>
        </is>
      </c>
      <c r="D1398" s="65" t="inlineStr">
        <is>
          <t>Marco Romero</t>
        </is>
      </c>
      <c r="E1398" s="65" t="inlineStr">
        <is>
          <t>21 días</t>
        </is>
      </c>
      <c r="F1398" s="65" t="n">
        <v>3</v>
      </c>
      <c r="G1398" s="65" t="inlineStr">
        <is>
          <t>Precio Full Marzo</t>
        </is>
      </c>
      <c r="H1398" s="65" t="inlineStr">
        <is>
          <t>[0075] SUPREMO API CI-4 SAE 15W-40 (Tambor)</t>
        </is>
      </c>
      <c r="I1398" s="65" t="n">
        <v>75</v>
      </c>
      <c r="J1398" s="63" t="inlineStr">
        <is>
          <t>5,00</t>
        </is>
      </c>
      <c r="K1398" s="63" t="inlineStr">
        <is>
          <t>891,44</t>
        </is>
      </c>
      <c r="L1398" s="63" t="inlineStr">
        <is>
          <t>0,00</t>
        </is>
      </c>
      <c r="M1398" s="63" t="inlineStr">
        <is>
          <t>4.457,20</t>
        </is>
      </c>
      <c r="N1398" s="63" t="inlineStr">
        <is>
          <t>5.170,35</t>
        </is>
      </c>
      <c r="O1398" s="63" t="inlineStr">
        <is>
          <t>23.949,20</t>
        </is>
      </c>
      <c r="P1398" s="63" t="inlineStr">
        <is>
          <t>27.781,08</t>
        </is>
      </c>
      <c r="Q1398" s="63" t="inlineStr">
        <is>
          <t>473,87</t>
        </is>
      </c>
      <c r="R1398" s="66" t="n">
        <v>46185</v>
      </c>
      <c r="S1398" s="65" t="n">
        <v>167</v>
      </c>
      <c r="T1398" s="65" t="inlineStr">
        <is>
          <t>00-00000610</t>
        </is>
      </c>
      <c r="U1398" s="63" t="inlineStr">
        <is>
          <t>27.780,56</t>
        </is>
      </c>
      <c r="V1398" s="63" t="inlineStr">
        <is>
          <t>27.780,60</t>
        </is>
      </c>
    </row>
    <row r="1399">
      <c r="A1399" s="65" t="n"/>
      <c r="B1399" s="65" t="n"/>
      <c r="C1399" s="65" t="n"/>
      <c r="D1399" s="65" t="n"/>
      <c r="E1399" s="65" t="n"/>
      <c r="F1399" s="65" t="n"/>
      <c r="G1399" s="65" t="n"/>
      <c r="H1399" s="65" t="inlineStr">
        <is>
          <t>[0125] TRANSGLOB API GL-5 SAE 80W-90 (Tambor)</t>
        </is>
      </c>
      <c r="I1399" s="65" t="n">
        <v>125</v>
      </c>
      <c r="J1399" s="63" t="inlineStr">
        <is>
          <t>2,00</t>
        </is>
      </c>
      <c r="K1399" s="63" t="inlineStr">
        <is>
          <t>924,21</t>
        </is>
      </c>
      <c r="L1399" s="63" t="inlineStr">
        <is>
          <t>0,00</t>
        </is>
      </c>
      <c r="M1399" s="63" t="inlineStr">
        <is>
          <t>1.848,42</t>
        </is>
      </c>
      <c r="N1399" s="63" t="inlineStr">
        <is>
          <t>2.144,17</t>
        </is>
      </c>
      <c r="O1399" s="65" t="n"/>
      <c r="P1399" s="65" t="n"/>
      <c r="Q1399" s="65" t="n"/>
      <c r="R1399" s="65" t="n"/>
      <c r="S1399" s="65" t="n"/>
      <c r="T1399" s="65" t="n"/>
      <c r="U1399" s="65" t="n"/>
      <c r="V1399" s="65" t="n"/>
    </row>
    <row r="1400">
      <c r="A1400" s="65" t="n"/>
      <c r="B1400" s="65" t="n"/>
      <c r="C1400" s="65" t="n"/>
      <c r="D1400" s="65" t="n"/>
      <c r="E1400" s="65" t="n"/>
      <c r="F1400" s="65" t="n"/>
      <c r="G1400" s="65" t="n"/>
      <c r="H1400" s="65" t="inlineStr">
        <is>
          <t>[0131] TRANSGLOB API GL-5 SAE 85W-140 (Tambor)</t>
        </is>
      </c>
      <c r="I1400" s="65" t="n">
        <v>131</v>
      </c>
      <c r="J1400" s="63" t="inlineStr">
        <is>
          <t>1,00</t>
        </is>
      </c>
      <c r="K1400" s="63" t="inlineStr">
        <is>
          <t>924,21</t>
        </is>
      </c>
      <c r="L1400" s="63" t="inlineStr">
        <is>
          <t>0,00</t>
        </is>
      </c>
      <c r="M1400" s="63" t="inlineStr">
        <is>
          <t>924,21</t>
        </is>
      </c>
      <c r="N1400" s="63" t="inlineStr">
        <is>
          <t>1.072,08</t>
        </is>
      </c>
      <c r="O1400" s="65" t="n"/>
      <c r="P1400" s="65" t="n"/>
      <c r="Q1400" s="65" t="n"/>
      <c r="R1400" s="65" t="n"/>
      <c r="S1400" s="65" t="n"/>
      <c r="T1400" s="65" t="n"/>
      <c r="U1400" s="65" t="n"/>
      <c r="V1400" s="65" t="n"/>
    </row>
    <row r="1401">
      <c r="A1401" s="65" t="n"/>
      <c r="B1401" s="65" t="n"/>
      <c r="C1401" s="65" t="n"/>
      <c r="D1401" s="65" t="n"/>
      <c r="E1401" s="65" t="n"/>
      <c r="F1401" s="65" t="n"/>
      <c r="G1401" s="65" t="n"/>
      <c r="H1401" s="65" t="inlineStr">
        <is>
          <t>[0146] HIDRAGLOB AW/ISO 68 (Tambor)</t>
        </is>
      </c>
      <c r="I1401" s="65" t="n">
        <v>146</v>
      </c>
      <c r="J1401" s="63" t="inlineStr">
        <is>
          <t>10,00</t>
        </is>
      </c>
      <c r="K1401" s="63" t="inlineStr">
        <is>
          <t>776,18</t>
        </is>
      </c>
      <c r="L1401" s="63" t="inlineStr">
        <is>
          <t>0,00</t>
        </is>
      </c>
      <c r="M1401" s="63" t="inlineStr">
        <is>
          <t>7.761,80</t>
        </is>
      </c>
      <c r="N1401" s="63" t="inlineStr">
        <is>
          <t>9.003,69</t>
        </is>
      </c>
      <c r="O1401" s="65" t="n"/>
      <c r="P1401" s="65" t="n"/>
      <c r="Q1401" s="65" t="n"/>
      <c r="R1401" s="65" t="n"/>
      <c r="S1401" s="65" t="n"/>
      <c r="T1401" s="65" t="n"/>
      <c r="U1401" s="65" t="n"/>
      <c r="V1401" s="65" t="n"/>
    </row>
    <row r="1402">
      <c r="A1402" s="65" t="n"/>
      <c r="B1402" s="65" t="n"/>
      <c r="C1402" s="65" t="n"/>
      <c r="D1402" s="65" t="n"/>
      <c r="E1402" s="65" t="n"/>
      <c r="F1402" s="65" t="n"/>
      <c r="G1402" s="65" t="n"/>
      <c r="H1402" s="65" t="inlineStr">
        <is>
          <t>[0797] REFRIGERANTE GLOBAL ORANGE PREMIUM 50-50 CONCENTRADO (Tambor)</t>
        </is>
      </c>
      <c r="I1402" s="65" t="n">
        <v>797</v>
      </c>
      <c r="J1402" s="63" t="inlineStr">
        <is>
          <t>2,00</t>
        </is>
      </c>
      <c r="K1402" s="63" t="inlineStr">
        <is>
          <t>607,11</t>
        </is>
      </c>
      <c r="L1402" s="63" t="inlineStr">
        <is>
          <t>0,00</t>
        </is>
      </c>
      <c r="M1402" s="63" t="inlineStr">
        <is>
          <t>1.214,22</t>
        </is>
      </c>
      <c r="N1402" s="63" t="inlineStr">
        <is>
          <t>1.408,50</t>
        </is>
      </c>
      <c r="O1402" s="65" t="n"/>
      <c r="P1402" s="65" t="n"/>
      <c r="Q1402" s="65" t="n"/>
      <c r="R1402" s="65" t="n"/>
      <c r="S1402" s="65" t="n"/>
      <c r="T1402" s="65" t="n"/>
      <c r="U1402" s="65" t="n"/>
      <c r="V1402" s="65" t="n"/>
    </row>
    <row r="1403">
      <c r="A1403" s="65" t="n"/>
      <c r="B1403" s="65" t="n"/>
      <c r="C1403" s="65" t="n"/>
      <c r="D1403" s="65" t="n"/>
      <c r="E1403" s="65" t="n"/>
      <c r="F1403" s="65" t="n"/>
      <c r="G1403" s="65" t="n"/>
      <c r="H1403" s="65" t="inlineStr">
        <is>
          <t>[0970] GRASA GLOBAL AT 250 AR-EP (PAILA)</t>
        </is>
      </c>
      <c r="I1403" s="65" t="n">
        <v>970</v>
      </c>
      <c r="J1403" s="63" t="inlineStr">
        <is>
          <t>5,00</t>
        </is>
      </c>
      <c r="K1403" s="63" t="inlineStr">
        <is>
          <t>195,37</t>
        </is>
      </c>
      <c r="L1403" s="63" t="inlineStr">
        <is>
          <t>0,00</t>
        </is>
      </c>
      <c r="M1403" s="63" t="inlineStr">
        <is>
          <t>976,85</t>
        </is>
      </c>
      <c r="N1403" s="63" t="inlineStr">
        <is>
          <t>1.133,15</t>
        </is>
      </c>
      <c r="O1403" s="65" t="n"/>
      <c r="P1403" s="65" t="n"/>
      <c r="Q1403" s="65" t="n"/>
      <c r="R1403" s="65" t="n"/>
      <c r="S1403" s="65" t="n"/>
      <c r="T1403" s="65" t="n"/>
      <c r="U1403" s="65" t="n"/>
      <c r="V1403" s="65" t="n"/>
    </row>
    <row r="1404">
      <c r="A1404" s="65" t="n"/>
      <c r="B1404" s="65" t="n"/>
      <c r="C1404" s="65" t="n"/>
      <c r="D1404" s="65" t="n"/>
      <c r="E1404" s="65" t="n"/>
      <c r="F1404" s="65" t="n"/>
      <c r="G1404" s="65" t="n"/>
      <c r="H1404" s="65" t="inlineStr">
        <is>
          <t>[0603] SINOCO SAE 50 (Tambor)</t>
        </is>
      </c>
      <c r="I1404" s="65" t="n">
        <v>603</v>
      </c>
      <c r="J1404" s="63" t="inlineStr">
        <is>
          <t>10,00</t>
        </is>
      </c>
      <c r="K1404" s="63" t="inlineStr">
        <is>
          <t>676,65</t>
        </is>
      </c>
      <c r="L1404" s="63" t="inlineStr">
        <is>
          <t>0,00</t>
        </is>
      </c>
      <c r="M1404" s="63" t="inlineStr">
        <is>
          <t>6.766,50</t>
        </is>
      </c>
      <c r="N1404" s="63" t="inlineStr">
        <is>
          <t>7.849,14</t>
        </is>
      </c>
      <c r="O1404" s="65" t="n"/>
      <c r="P1404" s="65" t="n"/>
      <c r="Q1404" s="65" t="n"/>
      <c r="R1404" s="65" t="n"/>
      <c r="S1404" s="65" t="n"/>
      <c r="T1404" s="65" t="n"/>
      <c r="U1404" s="65" t="n"/>
      <c r="V1404" s="65" t="n"/>
    </row>
    <row r="1405">
      <c r="A1405" s="65" t="inlineStr">
        <is>
          <t>S00094</t>
        </is>
      </c>
      <c r="B1405" s="62" t="n">
        <v>46094.64637731481</v>
      </c>
      <c r="C1405" s="65" t="inlineStr">
        <is>
          <t>Moto repuestos jj</t>
        </is>
      </c>
      <c r="D1405" s="65" t="inlineStr">
        <is>
          <t>PEREZ DIAZ ANGEL DE DIOS</t>
        </is>
      </c>
      <c r="E1405" s="65" t="inlineStr">
        <is>
          <t>30 días</t>
        </is>
      </c>
      <c r="F1405" s="65" t="n">
        <v>3</v>
      </c>
      <c r="G1405" s="65" t="inlineStr">
        <is>
          <t>Precio Full Marzo</t>
        </is>
      </c>
      <c r="H1405" s="65" t="inlineStr">
        <is>
          <t>[0779] SINOCO SAE 20W-50 (1x12)</t>
        </is>
      </c>
      <c r="I1405" s="65" t="n">
        <v>779</v>
      </c>
      <c r="J1405" s="63" t="inlineStr">
        <is>
          <t>1,00</t>
        </is>
      </c>
      <c r="K1405" s="63" t="inlineStr">
        <is>
          <t>59,72</t>
        </is>
      </c>
      <c r="L1405" s="63" t="inlineStr">
        <is>
          <t>0,00</t>
        </is>
      </c>
      <c r="M1405" s="63" t="inlineStr">
        <is>
          <t>59,72</t>
        </is>
      </c>
      <c r="N1405" s="63" t="inlineStr">
        <is>
          <t>69,28</t>
        </is>
      </c>
      <c r="O1405" s="63" t="inlineStr">
        <is>
          <t>164,73</t>
        </is>
      </c>
      <c r="P1405" s="63" t="inlineStr">
        <is>
          <t>191,10</t>
        </is>
      </c>
      <c r="Q1405" s="63" t="inlineStr">
        <is>
          <t>473,92</t>
        </is>
      </c>
      <c r="R1405" s="66" t="n">
        <v>46169</v>
      </c>
      <c r="S1405" s="65" t="n">
        <v>101</v>
      </c>
      <c r="T1405" s="65" t="inlineStr">
        <is>
          <t>00-00000455</t>
        </is>
      </c>
      <c r="U1405" s="63" t="inlineStr">
        <is>
          <t>173,52</t>
        </is>
      </c>
      <c r="V1405" s="63" t="inlineStr">
        <is>
          <t>58,83</t>
        </is>
      </c>
    </row>
    <row r="1406">
      <c r="A1406" s="65" t="n"/>
      <c r="B1406" s="65" t="n"/>
      <c r="C1406" s="65" t="n"/>
      <c r="D1406" s="65" t="n"/>
      <c r="E1406" s="65" t="n"/>
      <c r="F1406" s="65" t="n"/>
      <c r="G1406" s="65" t="n"/>
      <c r="H1406" s="65" t="inlineStr">
        <is>
          <t>[0915] SINOCO SAE 50 (1x12)</t>
        </is>
      </c>
      <c r="I1406" s="65" t="n">
        <v>915</v>
      </c>
      <c r="J1406" s="63" t="inlineStr">
        <is>
          <t>1,00</t>
        </is>
      </c>
      <c r="K1406" s="63" t="inlineStr">
        <is>
          <t>61,04</t>
        </is>
      </c>
      <c r="L1406" s="63" t="inlineStr">
        <is>
          <t>0,00</t>
        </is>
      </c>
      <c r="M1406" s="63" t="inlineStr">
        <is>
          <t>61,04</t>
        </is>
      </c>
      <c r="N1406" s="63" t="inlineStr">
        <is>
          <t>70,81</t>
        </is>
      </c>
      <c r="O1406" s="65" t="n"/>
      <c r="P1406" s="65" t="n"/>
      <c r="Q1406" s="65" t="n"/>
      <c r="R1406" s="65" t="n"/>
      <c r="S1406" s="65" t="n"/>
      <c r="T1406" s="65" t="n"/>
      <c r="U1406" s="65" t="n"/>
      <c r="V1406" s="65" t="n"/>
    </row>
    <row r="1407">
      <c r="A1407" s="65" t="n"/>
      <c r="B1407" s="65" t="n"/>
      <c r="C1407" s="65" t="n"/>
      <c r="D1407" s="65" t="n"/>
      <c r="E1407" s="65" t="n"/>
      <c r="F1407" s="65" t="n"/>
      <c r="G1407" s="65" t="n"/>
      <c r="H1407" s="65" t="inlineStr">
        <is>
          <t>[0093] ALTA CILINDRADA SS API SN SAE 15W-40 (1x6)</t>
        </is>
      </c>
      <c r="I1407" s="65" t="n">
        <v>93</v>
      </c>
      <c r="J1407" s="63" t="inlineStr">
        <is>
          <t>1,00</t>
        </is>
      </c>
      <c r="K1407" s="63" t="inlineStr">
        <is>
          <t>43,97</t>
        </is>
      </c>
      <c r="L1407" s="63" t="inlineStr">
        <is>
          <t>0,00</t>
        </is>
      </c>
      <c r="M1407" s="63" t="inlineStr">
        <is>
          <t>43,97</t>
        </is>
      </c>
      <c r="N1407" s="63" t="inlineStr">
        <is>
          <t>51,01</t>
        </is>
      </c>
      <c r="O1407" s="65" t="n"/>
      <c r="P1407" s="65" t="n"/>
      <c r="Q1407" s="65" t="n"/>
      <c r="R1407" s="65" t="n"/>
      <c r="S1407" s="65" t="n"/>
      <c r="T1407" s="65" t="n"/>
      <c r="U1407" s="65" t="n"/>
      <c r="V1407" s="65" t="n"/>
    </row>
    <row r="1408">
      <c r="A1408" s="65" t="inlineStr">
        <is>
          <t>S00093</t>
        </is>
      </c>
      <c r="B1408" s="62" t="n">
        <v>46094.62920138889</v>
      </c>
      <c r="C1408" s="65" t="inlineStr">
        <is>
          <t>Emprendimiento YSKRA</t>
        </is>
      </c>
      <c r="D1408" s="65" t="inlineStr">
        <is>
          <t>PEREZ DIAZ ANGEL DE DIOS</t>
        </is>
      </c>
      <c r="E1408" s="65" t="inlineStr">
        <is>
          <t>30 días</t>
        </is>
      </c>
      <c r="F1408" s="65" t="n">
        <v>3</v>
      </c>
      <c r="G1408" s="65" t="inlineStr">
        <is>
          <t>Precio Full Marzo</t>
        </is>
      </c>
      <c r="H1408" s="65" t="inlineStr">
        <is>
          <t>[0887] MOTOCLASICO 4T SAE 20W-50 (1x12)</t>
        </is>
      </c>
      <c r="I1408" s="65" t="n">
        <v>887</v>
      </c>
      <c r="J1408" s="63" t="inlineStr">
        <is>
          <t>3,00</t>
        </is>
      </c>
      <c r="K1408" s="63" t="inlineStr">
        <is>
          <t>70,69</t>
        </is>
      </c>
      <c r="L1408" s="63" t="inlineStr">
        <is>
          <t>0,00</t>
        </is>
      </c>
      <c r="M1408" s="63" t="inlineStr">
        <is>
          <t>212,07</t>
        </is>
      </c>
      <c r="N1408" s="63" t="inlineStr">
        <is>
          <t>246,00</t>
        </is>
      </c>
      <c r="O1408" s="63" t="inlineStr">
        <is>
          <t>212,07</t>
        </is>
      </c>
      <c r="P1408" s="63" t="inlineStr">
        <is>
          <t>246,00</t>
        </is>
      </c>
      <c r="Q1408" s="63" t="inlineStr">
        <is>
          <t>496,83</t>
        </is>
      </c>
      <c r="R1408" s="66" t="n">
        <v>46185</v>
      </c>
      <c r="S1408" s="65" t="n">
        <v>156</v>
      </c>
      <c r="T1408" s="65" t="inlineStr">
        <is>
          <t>00-00000599</t>
        </is>
      </c>
      <c r="U1408" s="63" t="inlineStr">
        <is>
          <t>169,98</t>
        </is>
      </c>
      <c r="V1408" s="63" t="inlineStr">
        <is>
          <t>0,00</t>
        </is>
      </c>
    </row>
    <row r="1409">
      <c r="A1409" s="65" t="n"/>
      <c r="B1409" s="65" t="n"/>
      <c r="C1409" s="65" t="n"/>
      <c r="D1409" s="65" t="n"/>
      <c r="E1409" s="65" t="n"/>
      <c r="F1409" s="65" t="n"/>
      <c r="G1409" s="65" t="n"/>
      <c r="H1409" s="65" t="n"/>
      <c r="I1409" s="65" t="n"/>
      <c r="J1409" s="63" t="inlineStr">
        <is>
          <t>0,00</t>
        </is>
      </c>
      <c r="K1409" s="63" t="inlineStr">
        <is>
          <t>0,00</t>
        </is>
      </c>
      <c r="L1409" s="63" t="inlineStr">
        <is>
          <t>0,00</t>
        </is>
      </c>
      <c r="M1409" s="63" t="inlineStr">
        <is>
          <t>0,00</t>
        </is>
      </c>
      <c r="N1409" s="63" t="inlineStr">
        <is>
          <t>0,00</t>
        </is>
      </c>
      <c r="O1409" s="65" t="n"/>
      <c r="P1409" s="65" t="n"/>
      <c r="Q1409" s="65" t="n"/>
      <c r="R1409" s="65" t="n"/>
      <c r="S1409" s="65" t="n"/>
      <c r="T1409" s="65" t="n"/>
      <c r="U1409" s="65" t="n"/>
      <c r="V1409" s="65" t="n"/>
    </row>
    <row r="1410">
      <c r="A1410" s="65" t="inlineStr">
        <is>
          <t>S00088</t>
        </is>
      </c>
      <c r="B1410" s="62" t="n">
        <v>46094.59743055556</v>
      </c>
      <c r="C1410" s="65" t="inlineStr">
        <is>
          <t>ALIPLUS TRASPORTE Y EQUIPOS, CA</t>
        </is>
      </c>
      <c r="D1410" s="65" t="inlineStr">
        <is>
          <t>Marco Romero</t>
        </is>
      </c>
      <c r="E1410" s="65" t="inlineStr">
        <is>
          <t>7 días</t>
        </is>
      </c>
      <c r="F1410" s="65" t="n"/>
      <c r="G1410" s="65" t="n"/>
      <c r="H1410" s="65" t="inlineStr">
        <is>
          <t>[0083] MAXIMO API CF SAE 50 (PAILA)</t>
        </is>
      </c>
      <c r="I1410" s="65" t="n">
        <v>83</v>
      </c>
      <c r="J1410" s="63" t="inlineStr">
        <is>
          <t>1,00</t>
        </is>
      </c>
      <c r="K1410" s="63" t="inlineStr">
        <is>
          <t>76,37</t>
        </is>
      </c>
      <c r="L1410" s="63" t="inlineStr">
        <is>
          <t>0,00</t>
        </is>
      </c>
      <c r="M1410" s="63" t="inlineStr">
        <is>
          <t>76,37</t>
        </is>
      </c>
      <c r="N1410" s="63" t="inlineStr">
        <is>
          <t>88,59</t>
        </is>
      </c>
      <c r="O1410" s="63" t="inlineStr">
        <is>
          <t>246,99</t>
        </is>
      </c>
      <c r="P1410" s="63" t="inlineStr">
        <is>
          <t>286,51</t>
        </is>
      </c>
      <c r="Q1410" s="63" t="inlineStr">
        <is>
          <t>443,26</t>
        </is>
      </c>
      <c r="R1410" s="66" t="n">
        <v>46094</v>
      </c>
      <c r="S1410" s="65" t="n">
        <v>2</v>
      </c>
      <c r="T1410" s="65" t="inlineStr">
        <is>
          <t>00-00000002</t>
        </is>
      </c>
      <c r="U1410" s="63" t="inlineStr">
        <is>
          <t>278,58</t>
        </is>
      </c>
      <c r="V1410" s="63" t="inlineStr">
        <is>
          <t>0,00</t>
        </is>
      </c>
    </row>
    <row r="1411">
      <c r="A1411" s="65" t="n"/>
      <c r="B1411" s="65" t="n"/>
      <c r="C1411" s="65" t="n"/>
      <c r="D1411" s="65" t="n"/>
      <c r="E1411" s="65" t="n"/>
      <c r="F1411" s="65" t="n"/>
      <c r="G1411" s="65" t="n"/>
      <c r="H1411" s="65" t="inlineStr">
        <is>
          <t>[0970] GRASA GLOBAL AT 250 AR-EP (PAILA)</t>
        </is>
      </c>
      <c r="I1411" s="65" t="n">
        <v>970</v>
      </c>
      <c r="J1411" s="63" t="inlineStr">
        <is>
          <t>1,00</t>
        </is>
      </c>
      <c r="K1411" s="63" t="inlineStr">
        <is>
          <t>170,62</t>
        </is>
      </c>
      <c r="L1411" s="63" t="inlineStr">
        <is>
          <t>0,00</t>
        </is>
      </c>
      <c r="M1411" s="63" t="inlineStr">
        <is>
          <t>170,62</t>
        </is>
      </c>
      <c r="N1411" s="63" t="inlineStr">
        <is>
          <t>197,92</t>
        </is>
      </c>
      <c r="O1411" s="65" t="n"/>
      <c r="P1411" s="65" t="n"/>
      <c r="Q1411" s="65" t="n"/>
      <c r="R1411" s="65" t="n"/>
      <c r="S1411" s="65" t="n"/>
      <c r="T1411" s="65" t="n"/>
      <c r="U1411" s="65" t="n"/>
      <c r="V1411" s="65" t="n"/>
    </row>
    <row r="1412">
      <c r="A1412" s="65" t="inlineStr">
        <is>
          <t>S00089</t>
        </is>
      </c>
      <c r="B1412" s="62" t="n">
        <v>46094.57269675926</v>
      </c>
      <c r="C1412" s="65" t="inlineStr">
        <is>
          <t>Moto Repuestos Sanz 11. C.A.</t>
        </is>
      </c>
      <c r="D1412" s="65" t="inlineStr">
        <is>
          <t>TORO ARDILES DAVID JOSE</t>
        </is>
      </c>
      <c r="E1412" s="65" t="n"/>
      <c r="F1412" s="65" t="n">
        <v>3</v>
      </c>
      <c r="G1412" s="65" t="inlineStr">
        <is>
          <t>Precio Full Marzo</t>
        </is>
      </c>
      <c r="H1412" s="65" t="inlineStr">
        <is>
          <t>[0887] MOTOCLASICO 4T SAE 20W-50 (1x12)</t>
        </is>
      </c>
      <c r="I1412" s="65" t="n">
        <v>887</v>
      </c>
      <c r="J1412" s="63" t="inlineStr">
        <is>
          <t>1,00</t>
        </is>
      </c>
      <c r="K1412" s="63" t="inlineStr">
        <is>
          <t>70,69</t>
        </is>
      </c>
      <c r="L1412" s="63" t="inlineStr">
        <is>
          <t>21,74</t>
        </is>
      </c>
      <c r="M1412" s="63" t="inlineStr">
        <is>
          <t>55,32</t>
        </is>
      </c>
      <c r="N1412" s="63" t="inlineStr">
        <is>
          <t>64,17</t>
        </is>
      </c>
      <c r="O1412" s="63" t="inlineStr">
        <is>
          <t>77,58</t>
        </is>
      </c>
      <c r="P1412" s="63" t="inlineStr">
        <is>
          <t>89,99</t>
        </is>
      </c>
      <c r="Q1412" s="63" t="inlineStr">
        <is>
          <t>496,83</t>
        </is>
      </c>
      <c r="R1412" s="66" t="n">
        <v>46161</v>
      </c>
      <c r="S1412" s="65" t="n">
        <v>66</v>
      </c>
      <c r="T1412" s="65" t="inlineStr">
        <is>
          <t>00-00000380</t>
        </is>
      </c>
      <c r="U1412" s="63" t="inlineStr">
        <is>
          <t>89,99</t>
        </is>
      </c>
      <c r="V1412" s="63" t="inlineStr">
        <is>
          <t>0,00</t>
        </is>
      </c>
    </row>
    <row r="1413">
      <c r="A1413" s="65" t="n"/>
      <c r="B1413" s="65" t="n"/>
      <c r="C1413" s="65" t="n"/>
      <c r="D1413" s="65" t="n"/>
      <c r="E1413" s="65" t="n"/>
      <c r="F1413" s="65" t="n"/>
      <c r="G1413" s="65" t="n"/>
      <c r="H1413" s="65" t="inlineStr">
        <is>
          <t>[0761] LIGA PARA FRENOS DOT-3 (1x12)</t>
        </is>
      </c>
      <c r="I1413" s="65" t="n">
        <v>761</v>
      </c>
      <c r="J1413" s="63" t="inlineStr">
        <is>
          <t>1,00</t>
        </is>
      </c>
      <c r="K1413" s="63" t="inlineStr">
        <is>
          <t>28,45</t>
        </is>
      </c>
      <c r="L1413" s="63" t="inlineStr">
        <is>
          <t>21,74</t>
        </is>
      </c>
      <c r="M1413" s="63" t="inlineStr">
        <is>
          <t>22,26</t>
        </is>
      </c>
      <c r="N1413" s="63" t="inlineStr">
        <is>
          <t>25,82</t>
        </is>
      </c>
      <c r="O1413" s="65" t="n"/>
      <c r="P1413" s="65" t="n"/>
      <c r="Q1413" s="65" t="n"/>
      <c r="R1413" s="65" t="n"/>
      <c r="S1413" s="65" t="n"/>
      <c r="T1413" s="65" t="n"/>
      <c r="U1413" s="65" t="n"/>
      <c r="V1413" s="65" t="n"/>
    </row>
    <row r="1414">
      <c r="A1414" s="65" t="inlineStr">
        <is>
          <t>S00090</t>
        </is>
      </c>
      <c r="B1414" s="62" t="n">
        <v>46094.57259259259</v>
      </c>
      <c r="C1414" s="65" t="inlineStr">
        <is>
          <t>ACCESORIOS Y REPUESTOS MOTO CAR 20-11-C.A</t>
        </is>
      </c>
      <c r="D1414" s="65" t="inlineStr">
        <is>
          <t>VILLABONA CORREA ALBA ESTEFANIA</t>
        </is>
      </c>
      <c r="E1414" s="65" t="inlineStr">
        <is>
          <t>7 días</t>
        </is>
      </c>
      <c r="F1414" s="65" t="n"/>
      <c r="G1414" s="65" t="n"/>
      <c r="H1414" s="65" t="inlineStr">
        <is>
          <t>[0877] SS EXTRA PROTECCION API SN SAE 15W-40 (1X12)</t>
        </is>
      </c>
      <c r="I1414" s="65" t="n">
        <v>877</v>
      </c>
      <c r="J1414" s="63" t="inlineStr">
        <is>
          <t>1,00</t>
        </is>
      </c>
      <c r="K1414" s="63" t="inlineStr">
        <is>
          <t>90,48</t>
        </is>
      </c>
      <c r="L1414" s="63" t="inlineStr">
        <is>
          <t>25,00</t>
        </is>
      </c>
      <c r="M1414" s="63" t="inlineStr">
        <is>
          <t>67,86</t>
        </is>
      </c>
      <c r="N1414" s="63" t="inlineStr">
        <is>
          <t>78,72</t>
        </is>
      </c>
      <c r="O1414" s="63" t="inlineStr">
        <is>
          <t>147,41</t>
        </is>
      </c>
      <c r="P1414" s="63" t="inlineStr">
        <is>
          <t>171,00</t>
        </is>
      </c>
      <c r="Q1414" s="63" t="inlineStr">
        <is>
          <t>496,83</t>
        </is>
      </c>
      <c r="R1414" s="66" t="n">
        <v>46204</v>
      </c>
      <c r="S1414" s="65" t="n">
        <v>204</v>
      </c>
      <c r="T1414" s="65" t="inlineStr">
        <is>
          <t>00-00000701</t>
        </is>
      </c>
      <c r="U1414" s="63" t="inlineStr">
        <is>
          <t>170,98</t>
        </is>
      </c>
      <c r="V1414" s="63" t="inlineStr">
        <is>
          <t>0,00</t>
        </is>
      </c>
    </row>
    <row r="1415">
      <c r="A1415" s="65" t="n"/>
      <c r="B1415" s="65" t="n"/>
      <c r="C1415" s="65" t="n"/>
      <c r="D1415" s="65" t="n"/>
      <c r="E1415" s="65" t="n"/>
      <c r="F1415" s="65" t="n"/>
      <c r="G1415" s="65" t="n"/>
      <c r="H1415" s="65" t="inlineStr">
        <is>
          <t>[0880] CLASICO API SL SAE 15W-40 (1x12)</t>
        </is>
      </c>
      <c r="I1415" s="65" t="n">
        <v>880</v>
      </c>
      <c r="J1415" s="63" t="inlineStr">
        <is>
          <t>1,00</t>
        </is>
      </c>
      <c r="K1415" s="63" t="inlineStr">
        <is>
          <t>67,25</t>
        </is>
      </c>
      <c r="L1415" s="63" t="inlineStr">
        <is>
          <t>25,00</t>
        </is>
      </c>
      <c r="M1415" s="63" t="inlineStr">
        <is>
          <t>50,44</t>
        </is>
      </c>
      <c r="N1415" s="63" t="inlineStr">
        <is>
          <t>58,51</t>
        </is>
      </c>
      <c r="O1415" s="65" t="n"/>
      <c r="P1415" s="65" t="n"/>
      <c r="Q1415" s="65" t="n"/>
      <c r="R1415" s="65" t="n"/>
      <c r="S1415" s="65" t="n"/>
      <c r="T1415" s="65" t="n"/>
      <c r="U1415" s="65" t="n"/>
      <c r="V1415" s="65" t="n"/>
    </row>
    <row r="1416">
      <c r="A1416" s="65" t="n"/>
      <c r="B1416" s="65" t="n"/>
      <c r="C1416" s="65" t="n"/>
      <c r="D1416" s="65" t="n"/>
      <c r="E1416" s="65" t="n"/>
      <c r="F1416" s="65" t="n"/>
      <c r="G1416" s="65" t="n"/>
      <c r="H1416" s="65" t="inlineStr">
        <is>
          <t>[0121] TRANSGLOB API GL-5 SAE 80W-90 (1x6)</t>
        </is>
      </c>
      <c r="I1416" s="65" t="n">
        <v>121</v>
      </c>
      <c r="J1416" s="63" t="inlineStr">
        <is>
          <t>1,00</t>
        </is>
      </c>
      <c r="K1416" s="63" t="inlineStr">
        <is>
          <t>38,80</t>
        </is>
      </c>
      <c r="L1416" s="63" t="inlineStr">
        <is>
          <t>24,98</t>
        </is>
      </c>
      <c r="M1416" s="63" t="inlineStr">
        <is>
          <t>29,11</t>
        </is>
      </c>
      <c r="N1416" s="63" t="inlineStr">
        <is>
          <t>33,77</t>
        </is>
      </c>
      <c r="O1416" s="65" t="n"/>
      <c r="P1416" s="65" t="n"/>
      <c r="Q1416" s="65" t="n"/>
      <c r="R1416" s="65" t="n"/>
      <c r="S1416" s="65" t="n"/>
      <c r="T1416" s="65" t="n"/>
      <c r="U1416" s="65" t="n"/>
      <c r="V1416" s="65" t="n"/>
    </row>
    <row r="1417">
      <c r="A1417" s="65" t="inlineStr">
        <is>
          <t>S00084</t>
        </is>
      </c>
      <c r="B1417" s="62" t="n">
        <v>46093.74505787037</v>
      </c>
      <c r="C1417" s="65" t="inlineStr">
        <is>
          <t>Inversiones maxgad &amp; ef</t>
        </is>
      </c>
      <c r="D1417" s="65" t="inlineStr">
        <is>
          <t>PEREZ DIAZ ANGEL DE DIOS</t>
        </is>
      </c>
      <c r="E1417" s="65" t="inlineStr">
        <is>
          <t>7 días</t>
        </is>
      </c>
      <c r="F1417" s="65" t="n"/>
      <c r="G1417" s="65" t="n"/>
      <c r="H1417" s="65" t="inlineStr">
        <is>
          <t>[0880] CLASICO API SL SAE 15W-40 (1x12)</t>
        </is>
      </c>
      <c r="I1417" s="65" t="n">
        <v>880</v>
      </c>
      <c r="J1417" s="63" t="inlineStr">
        <is>
          <t>1,00</t>
        </is>
      </c>
      <c r="K1417" s="63" t="inlineStr">
        <is>
          <t>58,08</t>
        </is>
      </c>
      <c r="L1417" s="63" t="inlineStr">
        <is>
          <t>0,00</t>
        </is>
      </c>
      <c r="M1417" s="63" t="inlineStr">
        <is>
          <t>58,08</t>
        </is>
      </c>
      <c r="N1417" s="63" t="inlineStr">
        <is>
          <t>67,37</t>
        </is>
      </c>
      <c r="O1417" s="63" t="inlineStr">
        <is>
          <t>58,08</t>
        </is>
      </c>
      <c r="P1417" s="63" t="inlineStr">
        <is>
          <t>67,37</t>
        </is>
      </c>
      <c r="Q1417" s="63" t="inlineStr">
        <is>
          <t>473,92</t>
        </is>
      </c>
      <c r="R1417" s="66" t="n">
        <v>46162</v>
      </c>
      <c r="S1417" s="65" t="n">
        <v>78</v>
      </c>
      <c r="T1417" s="65" t="inlineStr">
        <is>
          <t>00-00000398</t>
        </is>
      </c>
      <c r="U1417" s="63" t="inlineStr">
        <is>
          <t>67,82</t>
        </is>
      </c>
      <c r="V1417" s="63" t="inlineStr">
        <is>
          <t>67,83</t>
        </is>
      </c>
    </row>
    <row r="1418">
      <c r="A1418" s="65" t="inlineStr">
        <is>
          <t>S00087</t>
        </is>
      </c>
      <c r="B1418" s="62" t="n">
        <v>46093.74174768518</v>
      </c>
      <c r="C1418" s="65" t="inlineStr">
        <is>
          <t>Javier Cardenas Prato.</t>
        </is>
      </c>
      <c r="D1418" s="65" t="inlineStr">
        <is>
          <t>TORO ARDILES DAVID JOSE</t>
        </is>
      </c>
      <c r="E1418" s="65" t="n"/>
      <c r="F1418" s="65" t="n"/>
      <c r="G1418" s="65" t="n"/>
      <c r="H1418" s="65" t="inlineStr">
        <is>
          <t>[0877] SS EXTRA PROTECCION API SN SAE 15W-40 (1X12)</t>
        </is>
      </c>
      <c r="I1418" s="65" t="n">
        <v>877</v>
      </c>
      <c r="J1418" s="63" t="inlineStr">
        <is>
          <t>1,00</t>
        </is>
      </c>
      <c r="K1418" s="63" t="inlineStr">
        <is>
          <t>80,42</t>
        </is>
      </c>
      <c r="L1418" s="63" t="inlineStr">
        <is>
          <t>0,00</t>
        </is>
      </c>
      <c r="M1418" s="63" t="inlineStr">
        <is>
          <t>80,42</t>
        </is>
      </c>
      <c r="N1418" s="63" t="inlineStr">
        <is>
          <t>93,29</t>
        </is>
      </c>
      <c r="O1418" s="63" t="inlineStr">
        <is>
          <t>338,49</t>
        </is>
      </c>
      <c r="P1418" s="63" t="inlineStr">
        <is>
          <t>392,65</t>
        </is>
      </c>
      <c r="Q1418" s="63" t="inlineStr">
        <is>
          <t>473,92</t>
        </is>
      </c>
      <c r="R1418" s="66" t="n">
        <v>46164</v>
      </c>
      <c r="S1418" s="65" t="n">
        <v>88</v>
      </c>
      <c r="T1418" s="65" t="inlineStr">
        <is>
          <t>00-00000423</t>
        </is>
      </c>
      <c r="U1418" s="63" t="inlineStr">
        <is>
          <t>332,95</t>
        </is>
      </c>
      <c r="V1418" s="63" t="inlineStr">
        <is>
          <t>0,00</t>
        </is>
      </c>
    </row>
    <row r="1419">
      <c r="A1419" s="65" t="n"/>
      <c r="B1419" s="65" t="n"/>
      <c r="C1419" s="65" t="n"/>
      <c r="D1419" s="65" t="n"/>
      <c r="E1419" s="65" t="n"/>
      <c r="F1419" s="65" t="n"/>
      <c r="G1419" s="65" t="n"/>
      <c r="H1419" s="65" t="inlineStr">
        <is>
          <t>[0878] SS EXTRA PROTECCION API SN SAE 20W-50 (1x12)</t>
        </is>
      </c>
      <c r="I1419" s="65" t="n">
        <v>878</v>
      </c>
      <c r="J1419" s="63" t="inlineStr">
        <is>
          <t>1,00</t>
        </is>
      </c>
      <c r="K1419" s="63" t="inlineStr">
        <is>
          <t>67,02</t>
        </is>
      </c>
      <c r="L1419" s="63" t="inlineStr">
        <is>
          <t>0,00</t>
        </is>
      </c>
      <c r="M1419" s="63" t="inlineStr">
        <is>
          <t>67,02</t>
        </is>
      </c>
      <c r="N1419" s="63" t="inlineStr">
        <is>
          <t>77,74</t>
        </is>
      </c>
      <c r="O1419" s="65" t="n"/>
      <c r="P1419" s="65" t="n"/>
      <c r="Q1419" s="65" t="n"/>
      <c r="R1419" s="65" t="n"/>
      <c r="S1419" s="65" t="n"/>
      <c r="T1419" s="65" t="n"/>
      <c r="U1419" s="65" t="n"/>
      <c r="V1419" s="65" t="n"/>
    </row>
    <row r="1420">
      <c r="A1420" s="65" t="n"/>
      <c r="B1420" s="65" t="n"/>
      <c r="C1420" s="65" t="n"/>
      <c r="D1420" s="65" t="n"/>
      <c r="E1420" s="65" t="n"/>
      <c r="F1420" s="65" t="n"/>
      <c r="G1420" s="65" t="n"/>
      <c r="H1420" s="65" t="inlineStr">
        <is>
          <t>[0779] SINOCO SAE 20W-50 (1x12)</t>
        </is>
      </c>
      <c r="I1420" s="65" t="n">
        <v>779</v>
      </c>
      <c r="J1420" s="63" t="inlineStr">
        <is>
          <t>2,00</t>
        </is>
      </c>
      <c r="K1420" s="63" t="inlineStr">
        <is>
          <t>51,59</t>
        </is>
      </c>
      <c r="L1420" s="63" t="inlineStr">
        <is>
          <t>0,00</t>
        </is>
      </c>
      <c r="M1420" s="63" t="inlineStr">
        <is>
          <t>103,17</t>
        </is>
      </c>
      <c r="N1420" s="63" t="inlineStr">
        <is>
          <t>119,68</t>
        </is>
      </c>
      <c r="O1420" s="65" t="n"/>
      <c r="P1420" s="65" t="n"/>
      <c r="Q1420" s="65" t="n"/>
      <c r="R1420" s="65" t="n"/>
      <c r="S1420" s="65" t="n"/>
      <c r="T1420" s="65" t="n"/>
      <c r="U1420" s="65" t="n"/>
      <c r="V1420" s="65" t="n"/>
    </row>
    <row r="1421">
      <c r="A1421" s="65" t="n"/>
      <c r="B1421" s="65" t="n"/>
      <c r="C1421" s="65" t="n"/>
      <c r="D1421" s="65" t="n"/>
      <c r="E1421" s="65" t="n"/>
      <c r="F1421" s="65" t="n"/>
      <c r="G1421" s="65" t="n"/>
      <c r="H1421" s="65" t="inlineStr">
        <is>
          <t>[0884] TRANSMATIC ATF DEXRON III (1x12)</t>
        </is>
      </c>
      <c r="I1421" s="65" t="n">
        <v>884</v>
      </c>
      <c r="J1421" s="63" t="inlineStr">
        <is>
          <t>1,00</t>
        </is>
      </c>
      <c r="K1421" s="63" t="inlineStr">
        <is>
          <t>62,88</t>
        </is>
      </c>
      <c r="L1421" s="63" t="inlineStr">
        <is>
          <t>0,00</t>
        </is>
      </c>
      <c r="M1421" s="63" t="inlineStr">
        <is>
          <t>62,88</t>
        </is>
      </c>
      <c r="N1421" s="63" t="inlineStr">
        <is>
          <t>72,94</t>
        </is>
      </c>
      <c r="O1421" s="65" t="n"/>
      <c r="P1421" s="65" t="n"/>
      <c r="Q1421" s="65" t="n"/>
      <c r="R1421" s="65" t="n"/>
      <c r="S1421" s="65" t="n"/>
      <c r="T1421" s="65" t="n"/>
      <c r="U1421" s="65" t="n"/>
      <c r="V1421" s="65" t="n"/>
    </row>
    <row r="1422">
      <c r="A1422" s="65" t="n"/>
      <c r="B1422" s="65" t="n"/>
      <c r="C1422" s="65" t="n"/>
      <c r="D1422" s="65" t="n"/>
      <c r="E1422" s="65" t="n"/>
      <c r="F1422" s="65" t="n"/>
      <c r="G1422" s="65" t="n"/>
      <c r="H1422" s="65" t="inlineStr">
        <is>
          <t>[0761] LIGA PARA FRENOS DOT-3 (1x12)</t>
        </is>
      </c>
      <c r="I1422" s="65" t="n">
        <v>761</v>
      </c>
      <c r="J1422" s="63" t="inlineStr">
        <is>
          <t>1,00</t>
        </is>
      </c>
      <c r="K1422" s="63" t="inlineStr">
        <is>
          <t>25,00</t>
        </is>
      </c>
      <c r="L1422" s="63" t="inlineStr">
        <is>
          <t>0,00</t>
        </is>
      </c>
      <c r="M1422" s="63" t="inlineStr">
        <is>
          <t>25,00</t>
        </is>
      </c>
      <c r="N1422" s="63" t="inlineStr">
        <is>
          <t>29,00</t>
        </is>
      </c>
      <c r="O1422" s="65" t="n"/>
      <c r="P1422" s="65" t="n"/>
      <c r="Q1422" s="65" t="n"/>
      <c r="R1422" s="65" t="n"/>
      <c r="S1422" s="65" t="n"/>
      <c r="T1422" s="65" t="n"/>
      <c r="U1422" s="65" t="n"/>
      <c r="V1422" s="65" t="n"/>
    </row>
    <row r="1423">
      <c r="A1423" s="65" t="inlineStr">
        <is>
          <t>S00082</t>
        </is>
      </c>
      <c r="B1423" s="62" t="n">
        <v>46093.66247685185</v>
      </c>
      <c r="C1423" s="65" t="inlineStr">
        <is>
          <t>Pedro Castro</t>
        </is>
      </c>
      <c r="D1423" s="65" t="inlineStr">
        <is>
          <t>BETANCOURT ROBRIGUEZ LUIS ENRRIQUE</t>
        </is>
      </c>
      <c r="E1423" s="65" t="inlineStr">
        <is>
          <t>15 días</t>
        </is>
      </c>
      <c r="F1423" s="65" t="n"/>
      <c r="G1423" s="65" t="n"/>
      <c r="H1423" s="65" t="inlineStr">
        <is>
          <t>[0602] SINOCO SAE 50 (PAILA)</t>
        </is>
      </c>
      <c r="I1423" s="65" t="n">
        <v>602</v>
      </c>
      <c r="J1423" s="63" t="inlineStr">
        <is>
          <t>10,00</t>
        </is>
      </c>
      <c r="K1423" s="63" t="inlineStr">
        <is>
          <t>72,42</t>
        </is>
      </c>
      <c r="L1423" s="63" t="inlineStr">
        <is>
          <t>0,00</t>
        </is>
      </c>
      <c r="M1423" s="63" t="inlineStr">
        <is>
          <t>724,20</t>
        </is>
      </c>
      <c r="N1423" s="63" t="inlineStr">
        <is>
          <t>840,07</t>
        </is>
      </c>
      <c r="O1423" s="63" t="inlineStr">
        <is>
          <t>1.407,82</t>
        </is>
      </c>
      <c r="P1423" s="63" t="inlineStr">
        <is>
          <t>1.633,07</t>
        </is>
      </c>
      <c r="Q1423" s="63" t="inlineStr">
        <is>
          <t>496,83</t>
        </is>
      </c>
      <c r="R1423" s="66" t="n">
        <v>46163</v>
      </c>
      <c r="S1423" s="65" t="n">
        <v>85</v>
      </c>
      <c r="T1423" s="65" t="inlineStr">
        <is>
          <t>00-00000413</t>
        </is>
      </c>
      <c r="U1423" s="63" t="inlineStr">
        <is>
          <t>1.250,00</t>
        </is>
      </c>
      <c r="V1423" s="63" t="inlineStr">
        <is>
          <t>0,02</t>
        </is>
      </c>
    </row>
    <row r="1424">
      <c r="A1424" s="65" t="n"/>
      <c r="B1424" s="65" t="n"/>
      <c r="C1424" s="65" t="n"/>
      <c r="D1424" s="65" t="n"/>
      <c r="E1424" s="65" t="n"/>
      <c r="F1424" s="65" t="n"/>
      <c r="G1424" s="65" t="n"/>
      <c r="H1424" s="65" t="inlineStr">
        <is>
          <t>[0603] SINOCO SAE 50 (Tambor)</t>
        </is>
      </c>
      <c r="I1424" s="65" t="n">
        <v>603</v>
      </c>
      <c r="J1424" s="63" t="inlineStr">
        <is>
          <t>1,00</t>
        </is>
      </c>
      <c r="K1424" s="63" t="inlineStr">
        <is>
          <t>683,62</t>
        </is>
      </c>
      <c r="L1424" s="63" t="inlineStr">
        <is>
          <t>0,00</t>
        </is>
      </c>
      <c r="M1424" s="63" t="inlineStr">
        <is>
          <t>683,62</t>
        </is>
      </c>
      <c r="N1424" s="63" t="inlineStr">
        <is>
          <t>793,00</t>
        </is>
      </c>
      <c r="O1424" s="65" t="n"/>
      <c r="P1424" s="65" t="n"/>
      <c r="Q1424" s="65" t="n"/>
      <c r="R1424" s="65" t="n"/>
      <c r="S1424" s="65" t="n"/>
      <c r="T1424" s="65" t="n"/>
      <c r="U1424" s="65" t="n"/>
      <c r="V1424" s="65" t="n"/>
    </row>
    <row r="1425">
      <c r="A1425" s="65" t="inlineStr">
        <is>
          <t>S00079</t>
        </is>
      </c>
      <c r="B1425" s="62" t="n">
        <v>46093.64162037037</v>
      </c>
      <c r="C1425" s="65" t="inlineStr">
        <is>
          <t>E&amp;M CAR SHOP C.A</t>
        </is>
      </c>
      <c r="D1425" s="65" t="inlineStr">
        <is>
          <t>BETANCOURT ROBRIGUEZ LUIS ENRRIQUE</t>
        </is>
      </c>
      <c r="E1425" s="65" t="inlineStr">
        <is>
          <t>15 días</t>
        </is>
      </c>
      <c r="F1425" s="65" t="n"/>
      <c r="G1425" s="65" t="n"/>
      <c r="H1425" s="65" t="inlineStr">
        <is>
          <t>[0602] SINOCO SAE 50 (PAILA)</t>
        </is>
      </c>
      <c r="I1425" s="65" t="n">
        <v>602</v>
      </c>
      <c r="J1425" s="63" t="inlineStr">
        <is>
          <t>4,00</t>
        </is>
      </c>
      <c r="K1425" s="63" t="inlineStr">
        <is>
          <t>100,50</t>
        </is>
      </c>
      <c r="L1425" s="63" t="inlineStr">
        <is>
          <t>3,00</t>
        </is>
      </c>
      <c r="M1425" s="63" t="inlineStr">
        <is>
          <t>389,94</t>
        </is>
      </c>
      <c r="N1425" s="63" t="inlineStr">
        <is>
          <t>452,33</t>
        </is>
      </c>
      <c r="O1425" s="63" t="inlineStr">
        <is>
          <t>459,78</t>
        </is>
      </c>
      <c r="P1425" s="63" t="inlineStr">
        <is>
          <t>533,34</t>
        </is>
      </c>
      <c r="Q1425" s="63" t="inlineStr">
        <is>
          <t>459,45</t>
        </is>
      </c>
      <c r="R1425" s="66" t="n">
        <v>46105</v>
      </c>
      <c r="S1425" s="65" t="n">
        <v>7</v>
      </c>
      <c r="T1425" s="65" t="inlineStr">
        <is>
          <t>00-00000090</t>
        </is>
      </c>
      <c r="U1425" s="63" t="inlineStr">
        <is>
          <t>459,35</t>
        </is>
      </c>
      <c r="V1425" s="63" t="inlineStr">
        <is>
          <t>459,36</t>
        </is>
      </c>
    </row>
    <row r="1426">
      <c r="A1426" s="65" t="n"/>
      <c r="B1426" s="65" t="n"/>
      <c r="C1426" s="65" t="n"/>
      <c r="D1426" s="65" t="n"/>
      <c r="E1426" s="65" t="n"/>
      <c r="F1426" s="65" t="n"/>
      <c r="G1426" s="65" t="n"/>
      <c r="H1426" s="65" t="n"/>
      <c r="I1426" s="65" t="n"/>
      <c r="J1426" s="65" t="n"/>
      <c r="K1426" s="65" t="n"/>
      <c r="L1426" s="65" t="n"/>
      <c r="M1426" s="65" t="n"/>
      <c r="N1426" s="65" t="n"/>
      <c r="O1426" s="65" t="n"/>
      <c r="P1426" s="65" t="n"/>
      <c r="Q1426" s="63" t="inlineStr">
        <is>
          <t>446,80</t>
        </is>
      </c>
      <c r="R1426" s="66" t="n">
        <v>46105</v>
      </c>
      <c r="S1426" s="65" t="n">
        <v>4</v>
      </c>
      <c r="T1426" s="65" t="inlineStr">
        <is>
          <t>00-00000085</t>
        </is>
      </c>
      <c r="U1426" s="63" t="inlineStr">
        <is>
          <t>548,45</t>
        </is>
      </c>
      <c r="V1426" s="63" t="inlineStr">
        <is>
          <t>0,00</t>
        </is>
      </c>
    </row>
    <row r="1427">
      <c r="A1427" s="65" t="n"/>
      <c r="B1427" s="65" t="n"/>
      <c r="C1427" s="65" t="n"/>
      <c r="D1427" s="65" t="n"/>
      <c r="E1427" s="65" t="n"/>
      <c r="F1427" s="65" t="n"/>
      <c r="G1427" s="65" t="n"/>
      <c r="H1427" s="65" t="n"/>
      <c r="I1427" s="65" t="n"/>
      <c r="J1427" s="65" t="n"/>
      <c r="K1427" s="65" t="n"/>
      <c r="L1427" s="65" t="n"/>
      <c r="M1427" s="65" t="n"/>
      <c r="N1427" s="65" t="n"/>
      <c r="O1427" s="65" t="n"/>
      <c r="P1427" s="65" t="n"/>
      <c r="Q1427" s="63" t="inlineStr">
        <is>
          <t>446,80</t>
        </is>
      </c>
      <c r="R1427" s="66" t="n">
        <v>46105</v>
      </c>
      <c r="S1427" s="65" t="n">
        <v>2</v>
      </c>
      <c r="T1427" s="65" t="inlineStr">
        <is>
          <t>00-00000088</t>
        </is>
      </c>
      <c r="U1427" s="63" t="inlineStr">
        <is>
          <t>-548,45</t>
        </is>
      </c>
      <c r="V1427" s="63" t="inlineStr">
        <is>
          <t>0,00</t>
        </is>
      </c>
    </row>
    <row r="1428">
      <c r="A1428" s="65" t="n"/>
      <c r="B1428" s="65" t="n"/>
      <c r="C1428" s="65" t="n"/>
      <c r="D1428" s="65" t="n"/>
      <c r="E1428" s="65" t="n"/>
      <c r="F1428" s="65" t="n"/>
      <c r="G1428" s="65" t="n"/>
      <c r="H1428" s="65" t="inlineStr">
        <is>
          <t>[0779] SINOCO SAE 20W-50 (1x12)</t>
        </is>
      </c>
      <c r="I1428" s="65" t="n">
        <v>779</v>
      </c>
      <c r="J1428" s="63" t="inlineStr">
        <is>
          <t>1,00</t>
        </is>
      </c>
      <c r="K1428" s="63" t="inlineStr">
        <is>
          <t>72,00</t>
        </is>
      </c>
      <c r="L1428" s="63" t="inlineStr">
        <is>
          <t>3,00</t>
        </is>
      </c>
      <c r="M1428" s="63" t="inlineStr">
        <is>
          <t>69,84</t>
        </is>
      </c>
      <c r="N1428" s="63" t="inlineStr">
        <is>
          <t>81,01</t>
        </is>
      </c>
      <c r="O1428" s="65" t="n"/>
      <c r="P1428" s="65" t="n"/>
      <c r="Q1428" s="65" t="n"/>
      <c r="R1428" s="65" t="n"/>
      <c r="S1428" s="65" t="n"/>
      <c r="T1428" s="65" t="n"/>
      <c r="U1428" s="65" t="n"/>
      <c r="V1428" s="65" t="n"/>
    </row>
    <row r="1429">
      <c r="A1429" s="65" t="inlineStr">
        <is>
          <t>S00077</t>
        </is>
      </c>
      <c r="B1429" s="62" t="n">
        <v>46093.41244212963</v>
      </c>
      <c r="C1429" s="65" t="inlineStr">
        <is>
          <t>Ruben Dario Fernandez</t>
        </is>
      </c>
      <c r="D1429" s="65" t="inlineStr">
        <is>
          <t>CASERES GONZALEZ RONALD OSWALDO</t>
        </is>
      </c>
      <c r="E1429" s="65" t="inlineStr">
        <is>
          <t>15 días</t>
        </is>
      </c>
      <c r="F1429" s="65" t="n"/>
      <c r="G1429" s="65" t="n"/>
      <c r="H1429" s="65" t="inlineStr">
        <is>
          <t>[0025] SS EXTRA PROTECCION API SN SAE 10W-30 (Gasolina) (1x6)</t>
        </is>
      </c>
      <c r="I1429" s="65" t="n">
        <v>25</v>
      </c>
      <c r="J1429" s="63" t="inlineStr">
        <is>
          <t>1,00</t>
        </is>
      </c>
      <c r="K1429" s="63" t="inlineStr">
        <is>
          <t>38,80</t>
        </is>
      </c>
      <c r="L1429" s="63" t="inlineStr">
        <is>
          <t>20,02</t>
        </is>
      </c>
      <c r="M1429" s="63" t="inlineStr">
        <is>
          <t>31,03</t>
        </is>
      </c>
      <c r="N1429" s="63" t="inlineStr">
        <is>
          <t>35,99</t>
        </is>
      </c>
      <c r="O1429" s="63" t="inlineStr">
        <is>
          <t>31,03</t>
        </is>
      </c>
      <c r="P1429" s="63" t="inlineStr">
        <is>
          <t>35,99</t>
        </is>
      </c>
      <c r="Q1429" s="63" t="inlineStr">
        <is>
          <t>496,83</t>
        </is>
      </c>
      <c r="R1429" s="66" t="n">
        <v>46161</v>
      </c>
      <c r="S1429" s="65" t="n">
        <v>67</v>
      </c>
      <c r="T1429" s="65" t="inlineStr">
        <is>
          <t>00-00000381</t>
        </is>
      </c>
      <c r="U1429" s="63" t="inlineStr">
        <is>
          <t>35,99</t>
        </is>
      </c>
      <c r="V1429" s="63" t="inlineStr">
        <is>
          <t>0,00</t>
        </is>
      </c>
    </row>
    <row r="1430">
      <c r="A1430" s="65" t="inlineStr">
        <is>
          <t>S00074</t>
        </is>
      </c>
      <c r="B1430" s="62" t="n">
        <v>46093.37329861111</v>
      </c>
      <c r="C1430" s="65" t="inlineStr">
        <is>
          <t>Servicios Nicolazzo 97, C.A</t>
        </is>
      </c>
      <c r="D1430" s="65" t="inlineStr">
        <is>
          <t>QUEVEDO BASTIDAS NEYKEL DAVID</t>
        </is>
      </c>
      <c r="E1430" s="65" t="inlineStr">
        <is>
          <t>15 días</t>
        </is>
      </c>
      <c r="F1430" s="65" t="n"/>
      <c r="G1430" s="65" t="n"/>
      <c r="H1430" s="65" t="inlineStr">
        <is>
          <t>[0093] ALTA CILINDRADA SS API SN SAE 15W-40 (1x6)</t>
        </is>
      </c>
      <c r="I1430" s="65" t="n">
        <v>93</v>
      </c>
      <c r="J1430" s="63" t="inlineStr">
        <is>
          <t>2,00</t>
        </is>
      </c>
      <c r="K1430" s="63" t="inlineStr">
        <is>
          <t>31,64</t>
        </is>
      </c>
      <c r="L1430" s="63" t="inlineStr">
        <is>
          <t>0,00</t>
        </is>
      </c>
      <c r="M1430" s="63" t="inlineStr">
        <is>
          <t>63,28</t>
        </is>
      </c>
      <c r="N1430" s="63" t="inlineStr">
        <is>
          <t>73,40</t>
        </is>
      </c>
      <c r="O1430" s="63" t="inlineStr">
        <is>
          <t>158,19</t>
        </is>
      </c>
      <c r="P1430" s="63" t="inlineStr">
        <is>
          <t>183,49</t>
        </is>
      </c>
      <c r="Q1430" s="63" t="inlineStr">
        <is>
          <t>478,58</t>
        </is>
      </c>
      <c r="R1430" s="66" t="n">
        <v>46175</v>
      </c>
      <c r="S1430" s="65" t="n">
        <v>115</v>
      </c>
      <c r="T1430" s="65" t="inlineStr">
        <is>
          <t>00-00000487</t>
        </is>
      </c>
      <c r="U1430" s="63" t="inlineStr">
        <is>
          <t>154,97</t>
        </is>
      </c>
      <c r="V1430" s="63" t="inlineStr">
        <is>
          <t>85,00</t>
        </is>
      </c>
    </row>
    <row r="1431">
      <c r="A1431" s="65" t="n"/>
      <c r="B1431" s="65" t="n"/>
      <c r="C1431" s="65" t="n"/>
      <c r="D1431" s="65" t="n"/>
      <c r="E1431" s="65" t="n"/>
      <c r="F1431" s="65" t="n"/>
      <c r="G1431" s="65" t="n"/>
      <c r="H1431" s="65" t="inlineStr">
        <is>
          <t>[0884] TRANSMATIC ATF DEXRON III (1x12)</t>
        </is>
      </c>
      <c r="I1431" s="65" t="n">
        <v>884</v>
      </c>
      <c r="J1431" s="63" t="inlineStr">
        <is>
          <t>1,00</t>
        </is>
      </c>
      <c r="K1431" s="63" t="inlineStr">
        <is>
          <t>62,52</t>
        </is>
      </c>
      <c r="L1431" s="63" t="inlineStr">
        <is>
          <t>0,00</t>
        </is>
      </c>
      <c r="M1431" s="63" t="inlineStr">
        <is>
          <t>62,52</t>
        </is>
      </c>
      <c r="N1431" s="63" t="inlineStr">
        <is>
          <t>72,52</t>
        </is>
      </c>
      <c r="O1431" s="65" t="n"/>
      <c r="P1431" s="65" t="n"/>
      <c r="Q1431" s="65" t="n"/>
      <c r="R1431" s="65" t="n"/>
      <c r="S1431" s="65" t="n"/>
      <c r="T1431" s="65" t="n"/>
      <c r="U1431" s="65" t="n"/>
      <c r="V1431" s="65" t="n"/>
    </row>
    <row r="1432">
      <c r="A1432" s="65" t="n"/>
      <c r="B1432" s="65" t="n"/>
      <c r="C1432" s="65" t="n"/>
      <c r="D1432" s="65" t="n"/>
      <c r="E1432" s="65" t="n"/>
      <c r="F1432" s="65" t="n"/>
      <c r="G1432" s="65" t="n"/>
      <c r="H1432" s="65" t="inlineStr">
        <is>
          <t>[0561] MEJORADOR DE OCTANAJE GLOBAL OIL PACK (1X12)</t>
        </is>
      </c>
      <c r="I1432" s="65" t="n">
        <v>561</v>
      </c>
      <c r="J1432" s="63" t="inlineStr">
        <is>
          <t>1,00</t>
        </is>
      </c>
      <c r="K1432" s="63" t="inlineStr">
        <is>
          <t>32,39</t>
        </is>
      </c>
      <c r="L1432" s="63" t="inlineStr">
        <is>
          <t>0,00</t>
        </is>
      </c>
      <c r="M1432" s="63" t="inlineStr">
        <is>
          <t>32,39</t>
        </is>
      </c>
      <c r="N1432" s="63" t="inlineStr">
        <is>
          <t>37,57</t>
        </is>
      </c>
      <c r="O1432" s="65" t="n"/>
      <c r="P1432" s="65" t="n"/>
      <c r="Q1432" s="65" t="n"/>
      <c r="R1432" s="65" t="n"/>
      <c r="S1432" s="65" t="n"/>
      <c r="T1432" s="65" t="n"/>
      <c r="U1432" s="65" t="n"/>
      <c r="V1432" s="65" t="n"/>
    </row>
    <row r="1433">
      <c r="A1433" s="65" t="inlineStr">
        <is>
          <t>S00062</t>
        </is>
      </c>
      <c r="B1433" s="62" t="n">
        <v>46092.66675925926</v>
      </c>
      <c r="C1433" s="65" t="inlineStr">
        <is>
          <t>SJMG 2012 C.A</t>
        </is>
      </c>
      <c r="D1433" s="65" t="inlineStr">
        <is>
          <t>GRIMAN DIAZ HECTOR EDUARDO</t>
        </is>
      </c>
      <c r="E1433" s="65" t="inlineStr">
        <is>
          <t>45 días</t>
        </is>
      </c>
      <c r="F1433" s="65" t="n"/>
      <c r="G1433" s="65" t="n"/>
      <c r="H1433" s="65" t="inlineStr">
        <is>
          <t>[0878] SS EXTRA PROTECCION API SN SAE 20W-50 (1x12)</t>
        </is>
      </c>
      <c r="I1433" s="65" t="n">
        <v>878</v>
      </c>
      <c r="J1433" s="63" t="inlineStr">
        <is>
          <t>4,00</t>
        </is>
      </c>
      <c r="K1433" s="63" t="inlineStr">
        <is>
          <t>77,59</t>
        </is>
      </c>
      <c r="L1433" s="63" t="inlineStr">
        <is>
          <t>0,00</t>
        </is>
      </c>
      <c r="M1433" s="63" t="inlineStr">
        <is>
          <t>310,36</t>
        </is>
      </c>
      <c r="N1433" s="63" t="inlineStr">
        <is>
          <t>360,02</t>
        </is>
      </c>
      <c r="O1433" s="63" t="inlineStr">
        <is>
          <t>2.925,75</t>
        </is>
      </c>
      <c r="P1433" s="63" t="inlineStr">
        <is>
          <t>3.393,87</t>
        </is>
      </c>
      <c r="Q1433" s="63" t="inlineStr">
        <is>
          <t>496,83</t>
        </is>
      </c>
      <c r="R1433" s="66" t="n">
        <v>46163</v>
      </c>
      <c r="S1433" s="65" t="n">
        <v>87</v>
      </c>
      <c r="T1433" s="65" t="inlineStr">
        <is>
          <t>00-00000417</t>
        </is>
      </c>
      <c r="U1433" s="63" t="inlineStr">
        <is>
          <t>2.579,49</t>
        </is>
      </c>
      <c r="V1433" s="63" t="inlineStr">
        <is>
          <t>0,00</t>
        </is>
      </c>
    </row>
    <row r="1434">
      <c r="A1434" s="65" t="n"/>
      <c r="B1434" s="65" t="n"/>
      <c r="C1434" s="65" t="n"/>
      <c r="D1434" s="65" t="n"/>
      <c r="E1434" s="65" t="n"/>
      <c r="F1434" s="65" t="n"/>
      <c r="G1434" s="65" t="n"/>
      <c r="H1434" s="65" t="inlineStr">
        <is>
          <t>[0881] CLASICO API SL SAE 20W-50 (1x12)</t>
        </is>
      </c>
      <c r="I1434" s="65" t="n">
        <v>881</v>
      </c>
      <c r="J1434" s="63" t="inlineStr">
        <is>
          <t>6,00</t>
        </is>
      </c>
      <c r="K1434" s="63" t="inlineStr">
        <is>
          <t>68,11</t>
        </is>
      </c>
      <c r="L1434" s="63" t="inlineStr">
        <is>
          <t>0,00</t>
        </is>
      </c>
      <c r="M1434" s="63" t="inlineStr">
        <is>
          <t>408,66</t>
        </is>
      </c>
      <c r="N1434" s="63" t="inlineStr">
        <is>
          <t>474,05</t>
        </is>
      </c>
      <c r="O1434" s="65" t="n"/>
      <c r="P1434" s="65" t="n"/>
      <c r="Q1434" s="65" t="n"/>
      <c r="R1434" s="65" t="n"/>
      <c r="S1434" s="65" t="n"/>
      <c r="T1434" s="65" t="n"/>
      <c r="U1434" s="65" t="n"/>
      <c r="V1434" s="65" t="n"/>
    </row>
    <row r="1435">
      <c r="A1435" s="65" t="n"/>
      <c r="B1435" s="65" t="n"/>
      <c r="C1435" s="65" t="n"/>
      <c r="D1435" s="65" t="n"/>
      <c r="E1435" s="65" t="n"/>
      <c r="F1435" s="65" t="n"/>
      <c r="G1435" s="65" t="n"/>
      <c r="H1435" s="65" t="inlineStr">
        <is>
          <t>[0887] MOTOCLASICO 4T SAE 20W-50 (1x12)</t>
        </is>
      </c>
      <c r="I1435" s="65" t="n">
        <v>887</v>
      </c>
      <c r="J1435" s="63" t="inlineStr">
        <is>
          <t>11,00</t>
        </is>
      </c>
      <c r="K1435" s="63" t="inlineStr">
        <is>
          <t>70,69</t>
        </is>
      </c>
      <c r="L1435" s="63" t="inlineStr">
        <is>
          <t>0,00</t>
        </is>
      </c>
      <c r="M1435" s="63" t="inlineStr">
        <is>
          <t>777,59</t>
        </is>
      </c>
      <c r="N1435" s="63" t="inlineStr">
        <is>
          <t>902,00</t>
        </is>
      </c>
      <c r="O1435" s="65" t="n"/>
      <c r="P1435" s="65" t="n"/>
      <c r="Q1435" s="65" t="n"/>
      <c r="R1435" s="65" t="n"/>
      <c r="S1435" s="65" t="n"/>
      <c r="T1435" s="65" t="n"/>
      <c r="U1435" s="65" t="n"/>
      <c r="V1435" s="65" t="n"/>
    </row>
    <row r="1436">
      <c r="A1436" s="65" t="n"/>
      <c r="B1436" s="65" t="n"/>
      <c r="C1436" s="65" t="n"/>
      <c r="D1436" s="65" t="n"/>
      <c r="E1436" s="65" t="n"/>
      <c r="F1436" s="65" t="n"/>
      <c r="G1436" s="65" t="n"/>
      <c r="H1436" s="65" t="inlineStr">
        <is>
          <t>[0877] SS EXTRA PROTECCION API SN SAE 15W-40 (1X12)</t>
        </is>
      </c>
      <c r="I1436" s="65" t="n">
        <v>877</v>
      </c>
      <c r="J1436" s="63" t="inlineStr">
        <is>
          <t>7,00</t>
        </is>
      </c>
      <c r="K1436" s="63" t="inlineStr">
        <is>
          <t>90,48</t>
        </is>
      </c>
      <c r="L1436" s="63" t="inlineStr">
        <is>
          <t>0,00</t>
        </is>
      </c>
      <c r="M1436" s="63" t="inlineStr">
        <is>
          <t>633,36</t>
        </is>
      </c>
      <c r="N1436" s="63" t="inlineStr">
        <is>
          <t>734,70</t>
        </is>
      </c>
      <c r="O1436" s="65" t="n"/>
      <c r="P1436" s="65" t="n"/>
      <c r="Q1436" s="65" t="n"/>
      <c r="R1436" s="65" t="n"/>
      <c r="S1436" s="65" t="n"/>
      <c r="T1436" s="65" t="n"/>
      <c r="U1436" s="65" t="n"/>
      <c r="V1436" s="65" t="n"/>
    </row>
    <row r="1437">
      <c r="A1437" s="65" t="n"/>
      <c r="B1437" s="65" t="n"/>
      <c r="C1437" s="65" t="n"/>
      <c r="D1437" s="65" t="n"/>
      <c r="E1437" s="65" t="n"/>
      <c r="F1437" s="65" t="n"/>
      <c r="G1437" s="65" t="n"/>
      <c r="H1437" s="65" t="inlineStr">
        <is>
          <t>[0880] CLASICO API SL SAE 15W-40 (1x12)</t>
        </is>
      </c>
      <c r="I1437" s="65" t="n">
        <v>880</v>
      </c>
      <c r="J1437" s="63" t="inlineStr">
        <is>
          <t>3,00</t>
        </is>
      </c>
      <c r="K1437" s="63" t="inlineStr">
        <is>
          <t>67,25</t>
        </is>
      </c>
      <c r="L1437" s="63" t="inlineStr">
        <is>
          <t>0,00</t>
        </is>
      </c>
      <c r="M1437" s="63" t="inlineStr">
        <is>
          <t>201,75</t>
        </is>
      </c>
      <c r="N1437" s="63" t="inlineStr">
        <is>
          <t>234,03</t>
        </is>
      </c>
      <c r="O1437" s="65" t="n"/>
      <c r="P1437" s="65" t="n"/>
      <c r="Q1437" s="65" t="n"/>
      <c r="R1437" s="65" t="n"/>
      <c r="S1437" s="65" t="n"/>
      <c r="T1437" s="65" t="n"/>
      <c r="U1437" s="65" t="n"/>
      <c r="V1437" s="65" t="n"/>
    </row>
    <row r="1438">
      <c r="A1438" s="65" t="n"/>
      <c r="B1438" s="65" t="n"/>
      <c r="C1438" s="65" t="n"/>
      <c r="D1438" s="65" t="n"/>
      <c r="E1438" s="65" t="n"/>
      <c r="F1438" s="65" t="n"/>
      <c r="G1438" s="65" t="n"/>
      <c r="H1438" s="65" t="inlineStr">
        <is>
          <t>[0888] ENDUROGLOB 2T AIRE (1x12)</t>
        </is>
      </c>
      <c r="I1438" s="65" t="n">
        <v>888</v>
      </c>
      <c r="J1438" s="63" t="inlineStr">
        <is>
          <t>1,00</t>
        </is>
      </c>
      <c r="K1438" s="63" t="inlineStr">
        <is>
          <t>70,69</t>
        </is>
      </c>
      <c r="L1438" s="63" t="inlineStr">
        <is>
          <t>0,00</t>
        </is>
      </c>
      <c r="M1438" s="63" t="inlineStr">
        <is>
          <t>70,69</t>
        </is>
      </c>
      <c r="N1438" s="63" t="inlineStr">
        <is>
          <t>82,00</t>
        </is>
      </c>
      <c r="O1438" s="65" t="n"/>
      <c r="P1438" s="65" t="n"/>
      <c r="Q1438" s="65" t="n"/>
      <c r="R1438" s="65" t="n"/>
      <c r="S1438" s="65" t="n"/>
      <c r="T1438" s="65" t="n"/>
      <c r="U1438" s="65" t="n"/>
      <c r="V1438" s="65" t="n"/>
    </row>
    <row r="1439">
      <c r="A1439" s="65" t="n"/>
      <c r="B1439" s="65" t="n"/>
      <c r="C1439" s="65" t="n"/>
      <c r="D1439" s="65" t="n"/>
      <c r="E1439" s="65" t="n"/>
      <c r="F1439" s="65" t="n"/>
      <c r="G1439" s="65" t="n"/>
      <c r="H1439" s="65" t="inlineStr">
        <is>
          <t>[0884] TRANSMATIC ATF DEXRON III (1x12)</t>
        </is>
      </c>
      <c r="I1439" s="65" t="n">
        <v>884</v>
      </c>
      <c r="J1439" s="63" t="inlineStr">
        <is>
          <t>3,00</t>
        </is>
      </c>
      <c r="K1439" s="63" t="inlineStr">
        <is>
          <t>71,56</t>
        </is>
      </c>
      <c r="L1439" s="63" t="inlineStr">
        <is>
          <t>0,00</t>
        </is>
      </c>
      <c r="M1439" s="63" t="inlineStr">
        <is>
          <t>214,68</t>
        </is>
      </c>
      <c r="N1439" s="63" t="inlineStr">
        <is>
          <t>249,03</t>
        </is>
      </c>
      <c r="O1439" s="65" t="n"/>
      <c r="P1439" s="65" t="n"/>
      <c r="Q1439" s="65" t="n"/>
      <c r="R1439" s="65" t="n"/>
      <c r="S1439" s="65" t="n"/>
      <c r="T1439" s="65" t="n"/>
      <c r="U1439" s="65" t="n"/>
      <c r="V1439" s="65" t="n"/>
    </row>
    <row r="1440">
      <c r="A1440" s="65" t="n"/>
      <c r="B1440" s="65" t="n"/>
      <c r="C1440" s="65" t="n"/>
      <c r="D1440" s="65" t="n"/>
      <c r="E1440" s="65" t="n"/>
      <c r="F1440" s="65" t="n"/>
      <c r="G1440" s="65" t="n"/>
      <c r="H1440" s="65" t="inlineStr">
        <is>
          <t>[0761] LIGA PARA FRENOS DOT-3 (1x12)</t>
        </is>
      </c>
      <c r="I1440" s="65" t="n">
        <v>761</v>
      </c>
      <c r="J1440" s="63" t="inlineStr">
        <is>
          <t>2,00</t>
        </is>
      </c>
      <c r="K1440" s="63" t="inlineStr">
        <is>
          <t>28,45</t>
        </is>
      </c>
      <c r="L1440" s="63" t="inlineStr">
        <is>
          <t>0,00</t>
        </is>
      </c>
      <c r="M1440" s="63" t="inlineStr">
        <is>
          <t>56,90</t>
        </is>
      </c>
      <c r="N1440" s="63" t="inlineStr">
        <is>
          <t>66,00</t>
        </is>
      </c>
      <c r="O1440" s="65" t="n"/>
      <c r="P1440" s="65" t="n"/>
      <c r="Q1440" s="65" t="n"/>
      <c r="R1440" s="65" t="n"/>
      <c r="S1440" s="65" t="n"/>
      <c r="T1440" s="65" t="n"/>
      <c r="U1440" s="65" t="n"/>
      <c r="V1440" s="65" t="n"/>
    </row>
    <row r="1441">
      <c r="A1441" s="65" t="n"/>
      <c r="B1441" s="65" t="n"/>
      <c r="C1441" s="65" t="n"/>
      <c r="D1441" s="65" t="n"/>
      <c r="E1441" s="65" t="n"/>
      <c r="F1441" s="65" t="n"/>
      <c r="G1441" s="65" t="n"/>
      <c r="H1441" s="65" t="inlineStr">
        <is>
          <t>[0762] LIGA PARA FRENOS DOT-3 (1x6)</t>
        </is>
      </c>
      <c r="I1441" s="65" t="n">
        <v>762</v>
      </c>
      <c r="J1441" s="63" t="inlineStr">
        <is>
          <t>2,00</t>
        </is>
      </c>
      <c r="K1441" s="63" t="inlineStr">
        <is>
          <t>42,25</t>
        </is>
      </c>
      <c r="L1441" s="63" t="inlineStr">
        <is>
          <t>0,00</t>
        </is>
      </c>
      <c r="M1441" s="63" t="inlineStr">
        <is>
          <t>84,50</t>
        </is>
      </c>
      <c r="N1441" s="63" t="inlineStr">
        <is>
          <t>98,02</t>
        </is>
      </c>
      <c r="O1441" s="65" t="n"/>
      <c r="P1441" s="65" t="n"/>
      <c r="Q1441" s="65" t="n"/>
      <c r="R1441" s="65" t="n"/>
      <c r="S1441" s="65" t="n"/>
      <c r="T1441" s="65" t="n"/>
      <c r="U1441" s="65" t="n"/>
      <c r="V1441" s="65" t="n"/>
    </row>
    <row r="1442">
      <c r="A1442" s="65" t="n"/>
      <c r="B1442" s="65" t="n"/>
      <c r="C1442" s="65" t="n"/>
      <c r="D1442" s="65" t="n"/>
      <c r="E1442" s="65" t="n"/>
      <c r="F1442" s="65" t="n"/>
      <c r="G1442" s="65" t="n"/>
      <c r="H1442" s="65" t="inlineStr">
        <is>
          <t>[0775] LIGA PARA FRENOS DOT-4 (1X12)</t>
        </is>
      </c>
      <c r="I1442" s="65" t="n">
        <v>775</v>
      </c>
      <c r="J1442" s="63" t="inlineStr">
        <is>
          <t>2,00</t>
        </is>
      </c>
      <c r="K1442" s="63" t="inlineStr">
        <is>
          <t>32,76</t>
        </is>
      </c>
      <c r="L1442" s="63" t="inlineStr">
        <is>
          <t>0,00</t>
        </is>
      </c>
      <c r="M1442" s="63" t="inlineStr">
        <is>
          <t>65,52</t>
        </is>
      </c>
      <c r="N1442" s="63" t="inlineStr">
        <is>
          <t>76,00</t>
        </is>
      </c>
      <c r="O1442" s="65" t="n"/>
      <c r="P1442" s="65" t="n"/>
      <c r="Q1442" s="65" t="n"/>
      <c r="R1442" s="65" t="n"/>
      <c r="S1442" s="65" t="n"/>
      <c r="T1442" s="65" t="n"/>
      <c r="U1442" s="65" t="n"/>
      <c r="V1442" s="65" t="n"/>
    </row>
    <row r="1443">
      <c r="A1443" s="65" t="n"/>
      <c r="B1443" s="65" t="n"/>
      <c r="C1443" s="65" t="n"/>
      <c r="D1443" s="65" t="n"/>
      <c r="E1443" s="65" t="n"/>
      <c r="F1443" s="65" t="n"/>
      <c r="G1443" s="65" t="n"/>
      <c r="H1443" s="65" t="inlineStr">
        <is>
          <t>[0774] LIGA PARA FRENOS DOT-4 (1X6)</t>
        </is>
      </c>
      <c r="I1443" s="65" t="n">
        <v>774</v>
      </c>
      <c r="J1443" s="63" t="inlineStr">
        <is>
          <t>2,00</t>
        </is>
      </c>
      <c r="K1443" s="63" t="inlineStr">
        <is>
          <t>50,87</t>
        </is>
      </c>
      <c r="L1443" s="63" t="inlineStr">
        <is>
          <t>0,00</t>
        </is>
      </c>
      <c r="M1443" s="63" t="inlineStr">
        <is>
          <t>101,74</t>
        </is>
      </c>
      <c r="N1443" s="63" t="inlineStr">
        <is>
          <t>118,02</t>
        </is>
      </c>
      <c r="O1443" s="65" t="n"/>
      <c r="P1443" s="65" t="n"/>
      <c r="Q1443" s="65" t="n"/>
      <c r="R1443" s="65" t="n"/>
      <c r="S1443" s="65" t="n"/>
      <c r="T1443" s="65" t="n"/>
      <c r="U1443" s="65" t="n"/>
      <c r="V1443" s="65" t="n"/>
    </row>
    <row r="1444">
      <c r="A1444" s="65" t="inlineStr">
        <is>
          <t>S00066</t>
        </is>
      </c>
      <c r="B1444" s="62" t="n">
        <v>46092.66599537037</v>
      </c>
      <c r="C1444" s="65" t="inlineStr">
        <is>
          <t>EMPRENDIMIENTO IRMA RODRIGUEZ 6</t>
        </is>
      </c>
      <c r="D1444" s="65" t="inlineStr">
        <is>
          <t>TORO ARDILES DAVID JOSE</t>
        </is>
      </c>
      <c r="E1444" s="65" t="n"/>
      <c r="F1444" s="65" t="n"/>
      <c r="G1444" s="65" t="n"/>
      <c r="H1444" s="65" t="inlineStr">
        <is>
          <t>[0877] SS EXTRA PROTECCION API SN SAE 15W-40 (1X12)</t>
        </is>
      </c>
      <c r="I1444" s="65" t="n">
        <v>877</v>
      </c>
      <c r="J1444" s="63" t="inlineStr">
        <is>
          <t>2,00</t>
        </is>
      </c>
      <c r="K1444" s="63" t="inlineStr">
        <is>
          <t>90,48</t>
        </is>
      </c>
      <c r="L1444" s="63" t="inlineStr">
        <is>
          <t>36,89</t>
        </is>
      </c>
      <c r="M1444" s="63" t="inlineStr">
        <is>
          <t>114,20</t>
        </is>
      </c>
      <c r="N1444" s="63" t="inlineStr">
        <is>
          <t>132,47</t>
        </is>
      </c>
      <c r="O1444" s="63" t="inlineStr">
        <is>
          <t>114,20</t>
        </is>
      </c>
      <c r="P1444" s="63" t="inlineStr">
        <is>
          <t>132,47</t>
        </is>
      </c>
      <c r="Q1444" s="63" t="inlineStr">
        <is>
          <t>496,83</t>
        </is>
      </c>
      <c r="R1444" s="66" t="n">
        <v>46175</v>
      </c>
      <c r="S1444" s="65" t="n">
        <v>107</v>
      </c>
      <c r="T1444" s="65" t="inlineStr">
        <is>
          <t>00-00000479</t>
        </is>
      </c>
      <c r="U1444" s="63" t="inlineStr">
        <is>
          <t>131,98</t>
        </is>
      </c>
      <c r="V1444" s="63" t="inlineStr">
        <is>
          <t>117,76</t>
        </is>
      </c>
    </row>
    <row r="1445">
      <c r="A1445" s="65" t="inlineStr">
        <is>
          <t>S00067</t>
        </is>
      </c>
      <c r="B1445" s="62" t="n">
        <v>46092.49494212963</v>
      </c>
      <c r="C1445" s="65" t="inlineStr">
        <is>
          <t>Jesus luciani Russiani.</t>
        </is>
      </c>
      <c r="D1445" s="65" t="inlineStr">
        <is>
          <t>CASERES GONZALEZ RONALD OSWALDO</t>
        </is>
      </c>
      <c r="E1445" s="65" t="inlineStr">
        <is>
          <t>7 días</t>
        </is>
      </c>
      <c r="F1445" s="65" t="n"/>
      <c r="G1445" s="65" t="n"/>
      <c r="H1445" s="65" t="inlineStr">
        <is>
          <t>[0886] TRANSMATIC DEXRON VI (1x12)</t>
        </is>
      </c>
      <c r="I1445" s="65" t="n">
        <v>886</v>
      </c>
      <c r="J1445" s="63" t="inlineStr">
        <is>
          <t>1,00</t>
        </is>
      </c>
      <c r="K1445" s="63" t="inlineStr">
        <is>
          <t>138,36</t>
        </is>
      </c>
      <c r="L1445" s="63" t="inlineStr">
        <is>
          <t>0,00</t>
        </is>
      </c>
      <c r="M1445" s="63" t="inlineStr">
        <is>
          <t>138,36</t>
        </is>
      </c>
      <c r="N1445" s="63" t="inlineStr">
        <is>
          <t>160,50</t>
        </is>
      </c>
      <c r="O1445" s="63" t="inlineStr">
        <is>
          <t>138,36</t>
        </is>
      </c>
      <c r="P1445" s="63" t="inlineStr">
        <is>
          <t>160,50</t>
        </is>
      </c>
      <c r="Q1445" s="63" t="inlineStr">
        <is>
          <t>478,58</t>
        </is>
      </c>
      <c r="R1445" s="66" t="n">
        <v>46161</v>
      </c>
      <c r="S1445" s="65" t="n">
        <v>65</v>
      </c>
      <c r="T1445" s="65" t="inlineStr">
        <is>
          <t>00-00000379</t>
        </is>
      </c>
      <c r="U1445" s="63" t="inlineStr">
        <is>
          <t>146,49</t>
        </is>
      </c>
      <c r="V1445" s="63" t="inlineStr">
        <is>
          <t>0,00</t>
        </is>
      </c>
    </row>
    <row r="1446">
      <c r="A1446" s="65" t="inlineStr">
        <is>
          <t>S00064</t>
        </is>
      </c>
      <c r="B1446" s="62" t="n">
        <v>46092.35086805555</v>
      </c>
      <c r="C1446" s="65" t="inlineStr">
        <is>
          <t>VAL VAL 16 C.A</t>
        </is>
      </c>
      <c r="D1446" s="65" t="inlineStr">
        <is>
          <t>QUEVEDO BASTIDAS NEYKEL DAVID</t>
        </is>
      </c>
      <c r="E1446" s="65" t="inlineStr">
        <is>
          <t>15 días</t>
        </is>
      </c>
      <c r="F1446" s="65" t="n"/>
      <c r="G1446" s="65" t="n"/>
      <c r="H1446" s="65" t="inlineStr">
        <is>
          <t>[0775] LIGA PARA FRENOS DOT-4 (1X12)</t>
        </is>
      </c>
      <c r="I1446" s="65" t="n">
        <v>775</v>
      </c>
      <c r="J1446" s="63" t="inlineStr">
        <is>
          <t>2,00</t>
        </is>
      </c>
      <c r="K1446" s="63" t="inlineStr">
        <is>
          <t>28,77</t>
        </is>
      </c>
      <c r="L1446" s="63" t="inlineStr">
        <is>
          <t>0,00</t>
        </is>
      </c>
      <c r="M1446" s="63" t="inlineStr">
        <is>
          <t>57,54</t>
        </is>
      </c>
      <c r="N1446" s="63" t="inlineStr">
        <is>
          <t>66,75</t>
        </is>
      </c>
      <c r="O1446" s="63" t="inlineStr">
        <is>
          <t>146,86</t>
        </is>
      </c>
      <c r="P1446" s="63" t="inlineStr">
        <is>
          <t>170,36</t>
        </is>
      </c>
      <c r="Q1446" s="63" t="inlineStr">
        <is>
          <t>478,58</t>
        </is>
      </c>
      <c r="R1446" s="66" t="n">
        <v>46127</v>
      </c>
      <c r="S1446" s="65" t="n">
        <v>18</v>
      </c>
      <c r="T1446" s="65" t="inlineStr">
        <is>
          <t>00-00000173</t>
        </is>
      </c>
      <c r="U1446" s="63" t="inlineStr">
        <is>
          <t>155,26</t>
        </is>
      </c>
      <c r="V1446" s="63" t="inlineStr">
        <is>
          <t>155,28</t>
        </is>
      </c>
    </row>
    <row r="1447">
      <c r="A1447" s="65" t="n"/>
      <c r="B1447" s="65" t="n"/>
      <c r="C1447" s="65" t="n"/>
      <c r="D1447" s="65" t="n"/>
      <c r="E1447" s="65" t="n"/>
      <c r="F1447" s="65" t="n"/>
      <c r="G1447" s="65" t="n"/>
      <c r="H1447" s="65" t="inlineStr">
        <is>
          <t>[0774] LIGA PARA FRENOS DOT-4 (1X6)</t>
        </is>
      </c>
      <c r="I1447" s="65" t="n">
        <v>774</v>
      </c>
      <c r="J1447" s="63" t="inlineStr">
        <is>
          <t>2,00</t>
        </is>
      </c>
      <c r="K1447" s="63" t="inlineStr">
        <is>
          <t>44,66</t>
        </is>
      </c>
      <c r="L1447" s="63" t="inlineStr">
        <is>
          <t>0,00</t>
        </is>
      </c>
      <c r="M1447" s="63" t="inlineStr">
        <is>
          <t>89,32</t>
        </is>
      </c>
      <c r="N1447" s="63" t="inlineStr">
        <is>
          <t>103,61</t>
        </is>
      </c>
      <c r="O1447" s="65" t="n"/>
      <c r="P1447" s="65" t="n"/>
      <c r="Q1447" s="65" t="n"/>
      <c r="R1447" s="65" t="n"/>
      <c r="S1447" s="65" t="n"/>
      <c r="T1447" s="65" t="n"/>
      <c r="U1447" s="65" t="n"/>
      <c r="V1447" s="65" t="n"/>
    </row>
    <row r="1448">
      <c r="A1448" s="65" t="inlineStr">
        <is>
          <t>S00060</t>
        </is>
      </c>
      <c r="B1448" s="62" t="n">
        <v>46091.69528935185</v>
      </c>
      <c r="C1448" s="65" t="inlineStr">
        <is>
          <t>INVERSIONES R&amp;C 1817, c.a.</t>
        </is>
      </c>
      <c r="D1448" s="65" t="inlineStr">
        <is>
          <t>VILLABONA CORREA ALBA ESTEFANIA</t>
        </is>
      </c>
      <c r="E1448" s="65" t="inlineStr">
        <is>
          <t>7 días</t>
        </is>
      </c>
      <c r="F1448" s="65" t="n"/>
      <c r="G1448" s="65" t="n"/>
      <c r="H1448" s="65" t="inlineStr">
        <is>
          <t>[0887] MOTOCLASICO 4T SAE 20W-50 (1x12)</t>
        </is>
      </c>
      <c r="I1448" s="65" t="n">
        <v>887</v>
      </c>
      <c r="J1448" s="63" t="inlineStr">
        <is>
          <t>2,00</t>
        </is>
      </c>
      <c r="K1448" s="63" t="inlineStr">
        <is>
          <t>62,07</t>
        </is>
      </c>
      <c r="L1448" s="63" t="inlineStr">
        <is>
          <t>0,00</t>
        </is>
      </c>
      <c r="M1448" s="63" t="inlineStr">
        <is>
          <t>124,14</t>
        </is>
      </c>
      <c r="N1448" s="63" t="inlineStr">
        <is>
          <t>144,00</t>
        </is>
      </c>
      <c r="O1448" s="63" t="inlineStr">
        <is>
          <t>180,92</t>
        </is>
      </c>
      <c r="P1448" s="63" t="inlineStr">
        <is>
          <t>209,87</t>
        </is>
      </c>
      <c r="Q1448" s="63" t="inlineStr">
        <is>
          <t>478,58</t>
        </is>
      </c>
      <c r="R1448" s="66" t="n">
        <v>46150</v>
      </c>
      <c r="S1448" s="65" t="n">
        <v>35</v>
      </c>
      <c r="T1448" s="65" t="inlineStr">
        <is>
          <t>00-00000287</t>
        </is>
      </c>
      <c r="U1448" s="63" t="inlineStr">
        <is>
          <t>189,98</t>
        </is>
      </c>
      <c r="V1448" s="63" t="inlineStr">
        <is>
          <t>0,00</t>
        </is>
      </c>
    </row>
    <row r="1449">
      <c r="A1449" s="65" t="n"/>
      <c r="B1449" s="65" t="n"/>
      <c r="C1449" s="65" t="n"/>
      <c r="D1449" s="65" t="n"/>
      <c r="E1449" s="65" t="n"/>
      <c r="F1449" s="65" t="n"/>
      <c r="G1449" s="65" t="n"/>
      <c r="H1449" s="65" t="inlineStr">
        <is>
          <t>[0093] ALTA CILINDRADA SS API SN SAE 15W-40 (1x6)</t>
        </is>
      </c>
      <c r="I1449" s="65" t="n">
        <v>93</v>
      </c>
      <c r="J1449" s="63" t="inlineStr">
        <is>
          <t>1,00</t>
        </is>
      </c>
      <c r="K1449" s="63" t="inlineStr">
        <is>
          <t>31,80</t>
        </is>
      </c>
      <c r="L1449" s="63" t="inlineStr">
        <is>
          <t>0,00</t>
        </is>
      </c>
      <c r="M1449" s="63" t="inlineStr">
        <is>
          <t>31,80</t>
        </is>
      </c>
      <c r="N1449" s="63" t="inlineStr">
        <is>
          <t>36,89</t>
        </is>
      </c>
      <c r="O1449" s="65" t="n"/>
      <c r="P1449" s="65" t="n"/>
      <c r="Q1449" s="65" t="n"/>
      <c r="R1449" s="65" t="n"/>
      <c r="S1449" s="65" t="n"/>
      <c r="T1449" s="65" t="n"/>
      <c r="U1449" s="65" t="n"/>
      <c r="V1449" s="65" t="n"/>
    </row>
    <row r="1450">
      <c r="A1450" s="65" t="n"/>
      <c r="B1450" s="65" t="n"/>
      <c r="C1450" s="65" t="n"/>
      <c r="D1450" s="65" t="n"/>
      <c r="E1450" s="65" t="n"/>
      <c r="F1450" s="65" t="n"/>
      <c r="G1450" s="65" t="n"/>
      <c r="H1450" s="65" t="inlineStr">
        <is>
          <t>[0761] LIGA PARA FRENOS DOT-3 (1x12)</t>
        </is>
      </c>
      <c r="I1450" s="65" t="n">
        <v>761</v>
      </c>
      <c r="J1450" s="63" t="inlineStr">
        <is>
          <t>1,00</t>
        </is>
      </c>
      <c r="K1450" s="63" t="inlineStr">
        <is>
          <t>24,98</t>
        </is>
      </c>
      <c r="L1450" s="63" t="inlineStr">
        <is>
          <t>0,00</t>
        </is>
      </c>
      <c r="M1450" s="63" t="inlineStr">
        <is>
          <t>24,98</t>
        </is>
      </c>
      <c r="N1450" s="63" t="inlineStr">
        <is>
          <t>28,98</t>
        </is>
      </c>
      <c r="O1450" s="65" t="n"/>
      <c r="P1450" s="65" t="n"/>
      <c r="Q1450" s="65" t="n"/>
      <c r="R1450" s="65" t="n"/>
      <c r="S1450" s="65" t="n"/>
      <c r="T1450" s="65" t="n"/>
      <c r="U1450" s="65" t="n"/>
      <c r="V1450" s="65" t="n"/>
    </row>
    <row r="1451">
      <c r="A1451" s="65" t="inlineStr">
        <is>
          <t>S00056</t>
        </is>
      </c>
      <c r="B1451" s="62" t="n">
        <v>46091.66494212963</v>
      </c>
      <c r="C1451" s="65" t="inlineStr">
        <is>
          <t>Motolavado Yahir</t>
        </is>
      </c>
      <c r="D1451" s="65" t="inlineStr">
        <is>
          <t>GRIMAN DIAZ HECTOR EDUARDO</t>
        </is>
      </c>
      <c r="E1451" s="65" t="inlineStr">
        <is>
          <t>15 días</t>
        </is>
      </c>
      <c r="F1451" s="65" t="n"/>
      <c r="G1451" s="65" t="n"/>
      <c r="H1451" s="65" t="inlineStr">
        <is>
          <t>[0605] SINOCO SAE 20W-50 (PAILA)</t>
        </is>
      </c>
      <c r="I1451" s="65" t="n">
        <v>605</v>
      </c>
      <c r="J1451" s="63" t="inlineStr">
        <is>
          <t>2,00</t>
        </is>
      </c>
      <c r="K1451" s="63" t="inlineStr">
        <is>
          <t>72,42</t>
        </is>
      </c>
      <c r="L1451" s="63" t="inlineStr">
        <is>
          <t>20,25</t>
        </is>
      </c>
      <c r="M1451" s="63" t="inlineStr">
        <is>
          <t>115,51</t>
        </is>
      </c>
      <c r="N1451" s="63" t="inlineStr">
        <is>
          <t>133,99</t>
        </is>
      </c>
      <c r="O1451" s="63" t="inlineStr">
        <is>
          <t>115,51</t>
        </is>
      </c>
      <c r="P1451" s="63" t="inlineStr">
        <is>
          <t>133,99</t>
        </is>
      </c>
      <c r="Q1451" s="63" t="inlineStr">
        <is>
          <t>496,83</t>
        </is>
      </c>
      <c r="R1451" s="66" t="n">
        <v>46204</v>
      </c>
      <c r="S1451" s="65" t="n">
        <v>206</v>
      </c>
      <c r="T1451" s="65" t="inlineStr">
        <is>
          <t>00-00000703</t>
        </is>
      </c>
      <c r="U1451" s="63" t="inlineStr">
        <is>
          <t>133,98</t>
        </is>
      </c>
      <c r="V1451" s="63" t="inlineStr">
        <is>
          <t>0,00</t>
        </is>
      </c>
    </row>
    <row r="1452">
      <c r="A1452" s="65" t="inlineStr">
        <is>
          <t>S00055</t>
        </is>
      </c>
      <c r="B1452" s="62" t="n">
        <v>46091.48417824074</v>
      </c>
      <c r="C1452" s="65" t="inlineStr">
        <is>
          <t>Barrios Rodríguez Marlon Enrique</t>
        </is>
      </c>
      <c r="D1452" s="65" t="inlineStr">
        <is>
          <t>TORO ARDILES DAVID JOSE</t>
        </is>
      </c>
      <c r="E1452" s="65" t="inlineStr">
        <is>
          <t>7 días</t>
        </is>
      </c>
      <c r="F1452" s="65" t="n"/>
      <c r="G1452" s="65" t="n"/>
      <c r="H1452" s="65" t="inlineStr">
        <is>
          <t>[0877] SS EXTRA PROTECCION API SN SAE 15W-40 (1X12)</t>
        </is>
      </c>
      <c r="I1452" s="65" t="n">
        <v>877</v>
      </c>
      <c r="J1452" s="63" t="inlineStr">
        <is>
          <t>1,00</t>
        </is>
      </c>
      <c r="K1452" s="63" t="inlineStr">
        <is>
          <t>90,48</t>
        </is>
      </c>
      <c r="L1452" s="63" t="inlineStr">
        <is>
          <t>31,40</t>
        </is>
      </c>
      <c r="M1452" s="63" t="inlineStr">
        <is>
          <t>62,07</t>
        </is>
      </c>
      <c r="N1452" s="63" t="inlineStr">
        <is>
          <t>72,00</t>
        </is>
      </c>
      <c r="O1452" s="63" t="inlineStr">
        <is>
          <t>62,07</t>
        </is>
      </c>
      <c r="P1452" s="63" t="inlineStr">
        <is>
          <t>72,00</t>
        </is>
      </c>
      <c r="Q1452" s="63" t="inlineStr">
        <is>
          <t>496,83</t>
        </is>
      </c>
      <c r="R1452" s="66" t="n">
        <v>46150</v>
      </c>
      <c r="S1452" s="65" t="n">
        <v>34</v>
      </c>
      <c r="T1452" s="65" t="inlineStr">
        <is>
          <t>00-00000286</t>
        </is>
      </c>
      <c r="U1452" s="63" t="inlineStr">
        <is>
          <t>71,99</t>
        </is>
      </c>
      <c r="V1452" s="63" t="inlineStr">
        <is>
          <t>0,00</t>
        </is>
      </c>
    </row>
    <row r="1453">
      <c r="A1453" s="65" t="inlineStr">
        <is>
          <t>S00051</t>
        </is>
      </c>
      <c r="B1453" s="62" t="n">
        <v>46091.4600462963</v>
      </c>
      <c r="C1453" s="65" t="inlineStr">
        <is>
          <t>Auto Repuestos Acal C.A</t>
        </is>
      </c>
      <c r="D1453" s="65" t="inlineStr">
        <is>
          <t>QUEVEDO BASTIDAS NEYKEL DAVID</t>
        </is>
      </c>
      <c r="E1453" s="65" t="inlineStr">
        <is>
          <t>15 días</t>
        </is>
      </c>
      <c r="F1453" s="65" t="n"/>
      <c r="G1453" s="65" t="n"/>
      <c r="H1453" s="65" t="inlineStr">
        <is>
          <t>[0915] SINOCO SAE 50 (1x12)</t>
        </is>
      </c>
      <c r="I1453" s="65" t="n">
        <v>915</v>
      </c>
      <c r="J1453" s="63" t="inlineStr">
        <is>
          <t>1,00</t>
        </is>
      </c>
      <c r="K1453" s="63" t="inlineStr">
        <is>
          <t>51,73</t>
        </is>
      </c>
      <c r="L1453" s="63" t="inlineStr">
        <is>
          <t>0,00</t>
        </is>
      </c>
      <c r="M1453" s="63" t="inlineStr">
        <is>
          <t>51,73</t>
        </is>
      </c>
      <c r="N1453" s="63" t="inlineStr">
        <is>
          <t>60,01</t>
        </is>
      </c>
      <c r="O1453" s="63" t="inlineStr">
        <is>
          <t>103,46</t>
        </is>
      </c>
      <c r="P1453" s="63" t="inlineStr">
        <is>
          <t>120,02</t>
        </is>
      </c>
      <c r="Q1453" s="63" t="inlineStr">
        <is>
          <t>496,83</t>
        </is>
      </c>
      <c r="R1453" s="66" t="n">
        <v>46161</v>
      </c>
      <c r="S1453" s="65" t="n">
        <v>63</v>
      </c>
      <c r="T1453" s="65" t="inlineStr">
        <is>
          <t>00-00000376</t>
        </is>
      </c>
      <c r="U1453" s="63" t="inlineStr">
        <is>
          <t>95,99</t>
        </is>
      </c>
      <c r="V1453" s="63" t="inlineStr">
        <is>
          <t>0,00</t>
        </is>
      </c>
    </row>
    <row r="1454">
      <c r="A1454" s="65" t="n"/>
      <c r="B1454" s="65" t="n"/>
      <c r="C1454" s="65" t="n"/>
      <c r="D1454" s="65" t="n"/>
      <c r="E1454" s="65" t="n"/>
      <c r="F1454" s="65" t="n"/>
      <c r="G1454" s="65" t="n"/>
      <c r="H1454" s="65" t="n"/>
      <c r="I1454" s="65" t="n"/>
      <c r="J1454" s="65" t="n"/>
      <c r="K1454" s="65" t="n"/>
      <c r="L1454" s="65" t="n"/>
      <c r="M1454" s="65" t="n"/>
      <c r="N1454" s="65" t="n"/>
      <c r="O1454" s="65" t="n"/>
      <c r="P1454" s="65" t="n"/>
      <c r="Q1454" s="63" t="inlineStr">
        <is>
          <t>496,83</t>
        </is>
      </c>
      <c r="R1454" s="66" t="n">
        <v>46161</v>
      </c>
      <c r="S1454" s="65" t="n">
        <v>62</v>
      </c>
      <c r="T1454" s="65" t="inlineStr">
        <is>
          <t>00-00000374</t>
        </is>
      </c>
      <c r="U1454" s="63" t="inlineStr">
        <is>
          <t>104,63</t>
        </is>
      </c>
      <c r="V1454" s="63" t="inlineStr">
        <is>
          <t>0,00</t>
        </is>
      </c>
    </row>
    <row r="1455">
      <c r="A1455" s="65" t="n"/>
      <c r="B1455" s="65" t="n"/>
      <c r="C1455" s="65" t="n"/>
      <c r="D1455" s="65" t="n"/>
      <c r="E1455" s="65" t="n"/>
      <c r="F1455" s="65" t="n"/>
      <c r="G1455" s="65" t="n"/>
      <c r="H1455" s="65" t="n"/>
      <c r="I1455" s="65" t="n"/>
      <c r="J1455" s="65" t="n"/>
      <c r="K1455" s="65" t="n"/>
      <c r="L1455" s="65" t="n"/>
      <c r="M1455" s="65" t="n"/>
      <c r="N1455" s="65" t="n"/>
      <c r="O1455" s="65" t="n"/>
      <c r="P1455" s="65" t="n"/>
      <c r="Q1455" s="63" t="inlineStr">
        <is>
          <t>496,83</t>
        </is>
      </c>
      <c r="R1455" s="66" t="n">
        <v>46161</v>
      </c>
      <c r="S1455" s="65" t="n">
        <v>6</v>
      </c>
      <c r="T1455" s="65" t="n"/>
      <c r="U1455" s="63" t="inlineStr">
        <is>
          <t>-90,20</t>
        </is>
      </c>
      <c r="V1455" s="63" t="inlineStr">
        <is>
          <t>0,00</t>
        </is>
      </c>
    </row>
    <row r="1456">
      <c r="A1456" s="65" t="n"/>
      <c r="B1456" s="65" t="n"/>
      <c r="C1456" s="65" t="n"/>
      <c r="D1456" s="65" t="n"/>
      <c r="E1456" s="65" t="n"/>
      <c r="F1456" s="65" t="n"/>
      <c r="G1456" s="65" t="n"/>
      <c r="H1456" s="65" t="inlineStr">
        <is>
          <t>[0779] SINOCO SAE 20W-50 (1x12)</t>
        </is>
      </c>
      <c r="I1456" s="65" t="n">
        <v>779</v>
      </c>
      <c r="J1456" s="63" t="inlineStr">
        <is>
          <t>1,00</t>
        </is>
      </c>
      <c r="K1456" s="63" t="inlineStr">
        <is>
          <t>51,73</t>
        </is>
      </c>
      <c r="L1456" s="63" t="inlineStr">
        <is>
          <t>0,00</t>
        </is>
      </c>
      <c r="M1456" s="63" t="inlineStr">
        <is>
          <t>51,73</t>
        </is>
      </c>
      <c r="N1456" s="63" t="inlineStr">
        <is>
          <t>60,01</t>
        </is>
      </c>
      <c r="O1456" s="65" t="n"/>
      <c r="P1456" s="65" t="n"/>
      <c r="Q1456" s="65" t="n"/>
      <c r="R1456" s="65" t="n"/>
      <c r="S1456" s="65" t="n"/>
      <c r="T1456" s="65" t="n"/>
      <c r="U1456" s="65" t="n"/>
      <c r="V1456" s="65" t="n"/>
    </row>
    <row r="1457">
      <c r="A1457" s="65" t="inlineStr">
        <is>
          <t>S00053</t>
        </is>
      </c>
      <c r="B1457" s="62" t="n">
        <v>46091.45979166667</v>
      </c>
      <c r="C1457" s="65" t="inlineStr">
        <is>
          <t>INVERSIONES MI LINDA YEMAIRE 2019, C.A</t>
        </is>
      </c>
      <c r="D1457" s="65" t="inlineStr">
        <is>
          <t>VILLABONA CORREA ALBA ESTEFANIA</t>
        </is>
      </c>
      <c r="E1457" s="65" t="inlineStr">
        <is>
          <t>7 días</t>
        </is>
      </c>
      <c r="F1457" s="65" t="n"/>
      <c r="G1457" s="65" t="n"/>
      <c r="H1457" s="65" t="inlineStr">
        <is>
          <t>[0603] SINOCO SAE 50 (Tambor)</t>
        </is>
      </c>
      <c r="I1457" s="65" t="n">
        <v>603</v>
      </c>
      <c r="J1457" s="63" t="inlineStr">
        <is>
          <t>1,00</t>
        </is>
      </c>
      <c r="K1457" s="63" t="inlineStr">
        <is>
          <t>683,04</t>
        </is>
      </c>
      <c r="L1457" s="63" t="inlineStr">
        <is>
          <t>0,00</t>
        </is>
      </c>
      <c r="M1457" s="63" t="inlineStr">
        <is>
          <t>683,04</t>
        </is>
      </c>
      <c r="N1457" s="63" t="inlineStr">
        <is>
          <t>792,33</t>
        </is>
      </c>
      <c r="O1457" s="63" t="inlineStr">
        <is>
          <t>683,04</t>
        </is>
      </c>
      <c r="P1457" s="63" t="inlineStr">
        <is>
          <t>792,33</t>
        </is>
      </c>
      <c r="Q1457" s="63" t="inlineStr">
        <is>
          <t>474,53</t>
        </is>
      </c>
      <c r="R1457" s="66" t="n">
        <v>46185</v>
      </c>
      <c r="S1457" s="65" t="n">
        <v>176</v>
      </c>
      <c r="T1457" s="65" t="inlineStr">
        <is>
          <t>00-00000619</t>
        </is>
      </c>
      <c r="U1457" s="63" t="inlineStr">
        <is>
          <t>692,02</t>
        </is>
      </c>
      <c r="V1457" s="63" t="inlineStr">
        <is>
          <t>0,00</t>
        </is>
      </c>
    </row>
    <row r="1458">
      <c r="A1458" s="65" t="inlineStr">
        <is>
          <t>S00046</t>
        </is>
      </c>
      <c r="B1458" s="62" t="n">
        <v>46091.44188657407</v>
      </c>
      <c r="C1458" s="65" t="inlineStr">
        <is>
          <t>EMPRENDIMIENTO IRMA RODRIGUEZ 6</t>
        </is>
      </c>
      <c r="D1458" s="65" t="inlineStr">
        <is>
          <t>TORO ARDILES DAVID JOSE</t>
        </is>
      </c>
      <c r="E1458" s="65" t="n"/>
      <c r="F1458" s="65" t="n"/>
      <c r="G1458" s="65" t="n"/>
      <c r="H1458" s="65" t="inlineStr">
        <is>
          <t>[0602] SINOCO SAE 50 (PAILA)</t>
        </is>
      </c>
      <c r="I1458" s="65" t="n">
        <v>602</v>
      </c>
      <c r="J1458" s="63" t="inlineStr">
        <is>
          <t>2,00</t>
        </is>
      </c>
      <c r="K1458" s="63" t="inlineStr">
        <is>
          <t>72,42</t>
        </is>
      </c>
      <c r="L1458" s="63" t="inlineStr">
        <is>
          <t>22,63</t>
        </is>
      </c>
      <c r="M1458" s="63" t="inlineStr">
        <is>
          <t>112,06</t>
        </is>
      </c>
      <c r="N1458" s="63" t="inlineStr">
        <is>
          <t>129,99</t>
        </is>
      </c>
      <c r="O1458" s="63" t="inlineStr">
        <is>
          <t>112,06</t>
        </is>
      </c>
      <c r="P1458" s="63" t="inlineStr">
        <is>
          <t>129,99</t>
        </is>
      </c>
      <c r="Q1458" s="63" t="inlineStr">
        <is>
          <t>554,43</t>
        </is>
      </c>
      <c r="R1458" s="66" t="n">
        <v>46175</v>
      </c>
      <c r="S1458" s="65" t="n">
        <v>105</v>
      </c>
      <c r="T1458" s="65" t="inlineStr">
        <is>
          <t>00-00000477</t>
        </is>
      </c>
      <c r="U1458" s="63" t="inlineStr">
        <is>
          <t>129,96</t>
        </is>
      </c>
      <c r="V1458" s="63" t="inlineStr">
        <is>
          <t>103,90</t>
        </is>
      </c>
    </row>
    <row r="1459">
      <c r="A1459" s="65" t="inlineStr">
        <is>
          <t>S00050</t>
        </is>
      </c>
      <c r="B1459" s="62" t="n">
        <v>46090.67369212963</v>
      </c>
      <c r="C1459" s="65" t="inlineStr">
        <is>
          <t>FREDI MARQUEZ</t>
        </is>
      </c>
      <c r="D1459" s="65" t="inlineStr">
        <is>
          <t>PEREZ DIAZ ANGEL DE DIOS</t>
        </is>
      </c>
      <c r="E1459" s="65" t="inlineStr">
        <is>
          <t>15 días</t>
        </is>
      </c>
      <c r="F1459" s="65" t="n"/>
      <c r="G1459" s="65" t="n"/>
      <c r="H1459" s="65" t="inlineStr">
        <is>
          <t>[0602] SINOCO SAE 50 (PAILA)</t>
        </is>
      </c>
      <c r="I1459" s="65" t="n">
        <v>602</v>
      </c>
      <c r="J1459" s="63" t="inlineStr">
        <is>
          <t>1,00</t>
        </is>
      </c>
      <c r="K1459" s="63" t="inlineStr">
        <is>
          <t>72,42</t>
        </is>
      </c>
      <c r="L1459" s="63" t="inlineStr">
        <is>
          <t>22,63</t>
        </is>
      </c>
      <c r="M1459" s="63" t="inlineStr">
        <is>
          <t>56,03</t>
        </is>
      </c>
      <c r="N1459" s="63" t="inlineStr">
        <is>
          <t>64,99</t>
        </is>
      </c>
      <c r="O1459" s="63" t="inlineStr">
        <is>
          <t>56,03</t>
        </is>
      </c>
      <c r="P1459" s="63" t="inlineStr">
        <is>
          <t>64,99</t>
        </is>
      </c>
      <c r="Q1459" s="63" t="inlineStr">
        <is>
          <t>496,83</t>
        </is>
      </c>
      <c r="R1459" s="66" t="n">
        <v>46175</v>
      </c>
      <c r="S1459" s="65" t="n">
        <v>106</v>
      </c>
      <c r="T1459" s="65" t="inlineStr">
        <is>
          <t>00-00000478</t>
        </is>
      </c>
      <c r="U1459" s="63" t="inlineStr">
        <is>
          <t>64,99</t>
        </is>
      </c>
      <c r="V1459" s="63" t="inlineStr">
        <is>
          <t>0,00</t>
        </is>
      </c>
    </row>
    <row r="1460">
      <c r="A1460" s="65" t="inlineStr">
        <is>
          <t>S00041</t>
        </is>
      </c>
      <c r="B1460" s="62" t="n">
        <v>46090.25541666667</v>
      </c>
      <c r="C1460" s="65" t="inlineStr">
        <is>
          <t>Inversiones Trip K, c.a.</t>
        </is>
      </c>
      <c r="D1460" s="65" t="inlineStr">
        <is>
          <t>VILLABONA CORREA ALBA ESTEFANIA</t>
        </is>
      </c>
      <c r="E1460" s="65" t="n"/>
      <c r="F1460" s="65" t="n"/>
      <c r="G1460" s="65" t="n"/>
      <c r="H1460" s="65" t="inlineStr">
        <is>
          <t>[0882] GRASA MULTIPLE EP 200 (PAILA)</t>
        </is>
      </c>
      <c r="I1460" s="65" t="n">
        <v>882</v>
      </c>
      <c r="J1460" s="63" t="inlineStr">
        <is>
          <t>1,00</t>
        </is>
      </c>
      <c r="K1460" s="63" t="inlineStr">
        <is>
          <t>173,28</t>
        </is>
      </c>
      <c r="L1460" s="63" t="inlineStr">
        <is>
          <t>19,91</t>
        </is>
      </c>
      <c r="M1460" s="63" t="inlineStr">
        <is>
          <t>138,78</t>
        </is>
      </c>
      <c r="N1460" s="63" t="inlineStr">
        <is>
          <t>160,98</t>
        </is>
      </c>
      <c r="O1460" s="63" t="inlineStr">
        <is>
          <t>138,78</t>
        </is>
      </c>
      <c r="P1460" s="63" t="inlineStr">
        <is>
          <t>160,98</t>
        </is>
      </c>
      <c r="Q1460" s="63" t="inlineStr">
        <is>
          <t>496,83</t>
        </is>
      </c>
      <c r="R1460" s="66" t="n">
        <v>46162</v>
      </c>
      <c r="S1460" s="65" t="n">
        <v>77</v>
      </c>
      <c r="T1460" s="65" t="inlineStr">
        <is>
          <t>00-00000395</t>
        </is>
      </c>
      <c r="U1460" s="63" t="inlineStr">
        <is>
          <t>160,99</t>
        </is>
      </c>
      <c r="V1460" s="63" t="inlineStr">
        <is>
          <t>0,00</t>
        </is>
      </c>
    </row>
    <row r="1461">
      <c r="A1461" s="65" t="inlineStr">
        <is>
          <t>S00038</t>
        </is>
      </c>
      <c r="B1461" s="62" t="n">
        <v>46090.25530092593</v>
      </c>
      <c r="C1461" s="65" t="inlineStr">
        <is>
          <t>Auto repuestos Fontalvo</t>
        </is>
      </c>
      <c r="D1461" s="65" t="inlineStr">
        <is>
          <t>MARTINEZ MONTES JEFFREY ENRIQUE</t>
        </is>
      </c>
      <c r="E1461" s="65" t="inlineStr">
        <is>
          <t>15 días</t>
        </is>
      </c>
      <c r="F1461" s="65" t="n"/>
      <c r="G1461" s="65" t="n"/>
      <c r="H1461" s="65" t="inlineStr">
        <is>
          <t>[0025] SS EXTRA PROTECCION API SN SAE 10W-30 (Gasolina) (1x6)</t>
        </is>
      </c>
      <c r="I1461" s="65" t="n">
        <v>25</v>
      </c>
      <c r="J1461" s="63" t="inlineStr">
        <is>
          <t>2,00</t>
        </is>
      </c>
      <c r="K1461" s="63" t="inlineStr">
        <is>
          <t>38,80</t>
        </is>
      </c>
      <c r="L1461" s="63" t="inlineStr">
        <is>
          <t>0,00</t>
        </is>
      </c>
      <c r="M1461" s="63" t="inlineStr">
        <is>
          <t>77,60</t>
        </is>
      </c>
      <c r="N1461" s="63" t="inlineStr">
        <is>
          <t>90,02</t>
        </is>
      </c>
      <c r="O1461" s="63" t="inlineStr">
        <is>
          <t>77,60</t>
        </is>
      </c>
      <c r="P1461" s="63" t="inlineStr">
        <is>
          <t>90,02</t>
        </is>
      </c>
      <c r="Q1461" s="63" t="inlineStr">
        <is>
          <t>496,83</t>
        </is>
      </c>
      <c r="R1461" s="66" t="n">
        <v>46161</v>
      </c>
      <c r="S1461" s="65" t="n">
        <v>64</v>
      </c>
      <c r="T1461" s="65" t="inlineStr">
        <is>
          <t>00-00000378</t>
        </is>
      </c>
      <c r="U1461" s="63" t="inlineStr">
        <is>
          <t>72,00</t>
        </is>
      </c>
      <c r="V1461" s="63" t="inlineStr">
        <is>
          <t>0,00</t>
        </is>
      </c>
    </row>
    <row r="1462">
      <c r="A1462" s="65" t="inlineStr">
        <is>
          <t>S00037</t>
        </is>
      </c>
      <c r="B1462" s="62" t="n">
        <v>46090.25521990741</v>
      </c>
      <c r="C1462" s="65" t="inlineStr">
        <is>
          <t>Junior Marco Antonio Vivas Navas</t>
        </is>
      </c>
      <c r="D1462" s="65" t="inlineStr">
        <is>
          <t>TORO ARDILES DAVID JOSE</t>
        </is>
      </c>
      <c r="E1462" s="65" t="inlineStr">
        <is>
          <t>7 días</t>
        </is>
      </c>
      <c r="F1462" s="65" t="n"/>
      <c r="G1462" s="65" t="n"/>
      <c r="H1462" s="65" t="inlineStr">
        <is>
          <t>[0093] ALTA CILINDRADA SS API SN SAE 15W-40 (1x6)</t>
        </is>
      </c>
      <c r="I1462" s="65" t="n">
        <v>93</v>
      </c>
      <c r="J1462" s="63" t="inlineStr">
        <is>
          <t>1,00</t>
        </is>
      </c>
      <c r="K1462" s="63" t="inlineStr">
        <is>
          <t>36,21</t>
        </is>
      </c>
      <c r="L1462" s="63" t="inlineStr">
        <is>
          <t>0,00</t>
        </is>
      </c>
      <c r="M1462" s="63" t="inlineStr">
        <is>
          <t>36,21</t>
        </is>
      </c>
      <c r="N1462" s="63" t="inlineStr">
        <is>
          <t>42,00</t>
        </is>
      </c>
      <c r="O1462" s="63" t="inlineStr">
        <is>
          <t>64,66</t>
        </is>
      </c>
      <c r="P1462" s="63" t="inlineStr">
        <is>
          <t>75,00</t>
        </is>
      </c>
      <c r="Q1462" s="63" t="inlineStr">
        <is>
          <t>496,83</t>
        </is>
      </c>
      <c r="R1462" s="66" t="n">
        <v>46155</v>
      </c>
      <c r="S1462" s="65" t="n">
        <v>51</v>
      </c>
      <c r="T1462" s="65" t="inlineStr">
        <is>
          <t>00-00000331</t>
        </is>
      </c>
      <c r="U1462" s="63" t="inlineStr">
        <is>
          <t>58,00</t>
        </is>
      </c>
      <c r="V1462" s="63" t="inlineStr">
        <is>
          <t>0,00</t>
        </is>
      </c>
    </row>
    <row r="1463">
      <c r="A1463" s="65" t="n"/>
      <c r="B1463" s="65" t="n"/>
      <c r="C1463" s="65" t="n"/>
      <c r="D1463" s="65" t="n"/>
      <c r="E1463" s="65" t="n"/>
      <c r="F1463" s="65" t="n"/>
      <c r="G1463" s="65" t="n"/>
      <c r="H1463" s="65" t="inlineStr">
        <is>
          <t>[0761] LIGA PARA FRENOS DOT-3 (1x12)</t>
        </is>
      </c>
      <c r="I1463" s="65" t="n">
        <v>761</v>
      </c>
      <c r="J1463" s="63" t="inlineStr">
        <is>
          <t>1,00</t>
        </is>
      </c>
      <c r="K1463" s="63" t="inlineStr">
        <is>
          <t>28,45</t>
        </is>
      </c>
      <c r="L1463" s="63" t="inlineStr">
        <is>
          <t>0,00</t>
        </is>
      </c>
      <c r="M1463" s="63" t="inlineStr">
        <is>
          <t>28,45</t>
        </is>
      </c>
      <c r="N1463" s="63" t="inlineStr">
        <is>
          <t>33,00</t>
        </is>
      </c>
      <c r="O1463" s="65" t="n"/>
      <c r="P1463" s="65" t="n"/>
      <c r="Q1463" s="65" t="n"/>
      <c r="R1463" s="65" t="n"/>
      <c r="S1463" s="65" t="n"/>
      <c r="T1463" s="65" t="n"/>
      <c r="U1463" s="65" t="n"/>
      <c r="V1463" s="65" t="n"/>
    </row>
    <row r="1464">
      <c r="A1464" s="65" t="inlineStr">
        <is>
          <t>S00030</t>
        </is>
      </c>
      <c r="B1464" s="62" t="n">
        <v>46090.24393518519</v>
      </c>
      <c r="C1464" s="65" t="inlineStr">
        <is>
          <t>HIDRAULICAS CAICEDO C.A.</t>
        </is>
      </c>
      <c r="D1464" s="65" t="inlineStr">
        <is>
          <t>VILLABONA CORREA ALBA ESTEFANIA</t>
        </is>
      </c>
      <c r="E1464" s="65" t="inlineStr">
        <is>
          <t>7 días</t>
        </is>
      </c>
      <c r="F1464" s="65" t="n"/>
      <c r="G1464" s="65" t="n"/>
      <c r="H1464" s="65" t="inlineStr">
        <is>
          <t>[0775] LIGA PARA FRENOS DOT-4 (1X12)</t>
        </is>
      </c>
      <c r="I1464" s="65" t="n">
        <v>775</v>
      </c>
      <c r="J1464" s="63" t="inlineStr">
        <is>
          <t>1,00</t>
        </is>
      </c>
      <c r="K1464" s="63" t="inlineStr">
        <is>
          <t>28,87</t>
        </is>
      </c>
      <c r="L1464" s="63" t="inlineStr">
        <is>
          <t>12,33</t>
        </is>
      </c>
      <c r="M1464" s="63" t="inlineStr">
        <is>
          <t>25,31</t>
        </is>
      </c>
      <c r="N1464" s="63" t="inlineStr">
        <is>
          <t>29,36</t>
        </is>
      </c>
      <c r="O1464" s="63" t="inlineStr">
        <is>
          <t>125,93</t>
        </is>
      </c>
      <c r="P1464" s="63" t="inlineStr">
        <is>
          <t>146,08</t>
        </is>
      </c>
      <c r="Q1464" s="63" t="inlineStr">
        <is>
          <t>462,67</t>
        </is>
      </c>
      <c r="R1464" s="66" t="n">
        <v>46106</v>
      </c>
      <c r="S1464" s="65" t="n">
        <v>12</v>
      </c>
      <c r="T1464" s="65" t="inlineStr">
        <is>
          <t>00-00000104</t>
        </is>
      </c>
      <c r="U1464" s="63" t="inlineStr">
        <is>
          <t>145,98</t>
        </is>
      </c>
      <c r="V1464" s="63" t="inlineStr">
        <is>
          <t>146,00</t>
        </is>
      </c>
    </row>
    <row r="1465">
      <c r="A1465" s="65" t="n"/>
      <c r="B1465" s="65" t="n"/>
      <c r="C1465" s="65" t="n"/>
      <c r="D1465" s="65" t="n"/>
      <c r="E1465" s="65" t="n"/>
      <c r="F1465" s="65" t="n"/>
      <c r="G1465" s="65" t="n"/>
      <c r="H1465" s="65" t="n"/>
      <c r="I1465" s="65" t="n"/>
      <c r="J1465" s="63" t="inlineStr">
        <is>
          <t>0,00</t>
        </is>
      </c>
      <c r="K1465" s="63" t="inlineStr">
        <is>
          <t>0,00</t>
        </is>
      </c>
      <c r="L1465" s="63" t="inlineStr">
        <is>
          <t>0,00</t>
        </is>
      </c>
      <c r="M1465" s="63" t="inlineStr">
        <is>
          <t>0,00</t>
        </is>
      </c>
      <c r="N1465" s="63" t="inlineStr">
        <is>
          <t>0,00</t>
        </is>
      </c>
      <c r="O1465" s="65" t="n"/>
      <c r="P1465" s="65" t="n"/>
      <c r="Q1465" s="65" t="n"/>
      <c r="R1465" s="65" t="n"/>
      <c r="S1465" s="65" t="n"/>
      <c r="T1465" s="65" t="n"/>
      <c r="U1465" s="65" t="n"/>
      <c r="V1465" s="65" t="n"/>
    </row>
    <row r="1466">
      <c r="A1466" s="65" t="n"/>
      <c r="B1466" s="65" t="n"/>
      <c r="C1466" s="65" t="n"/>
      <c r="D1466" s="65" t="n"/>
      <c r="E1466" s="65" t="n"/>
      <c r="F1466" s="65" t="n"/>
      <c r="G1466" s="65" t="n"/>
      <c r="H1466" s="65" t="inlineStr">
        <is>
          <t>[0779] SINOCO SAE 20W-50 (1x12)</t>
        </is>
      </c>
      <c r="I1466" s="65" t="n">
        <v>779</v>
      </c>
      <c r="J1466" s="63" t="inlineStr">
        <is>
          <t>1,00</t>
        </is>
      </c>
      <c r="K1466" s="63" t="inlineStr">
        <is>
          <t>51,72</t>
        </is>
      </c>
      <c r="L1466" s="63" t="inlineStr">
        <is>
          <t>12,33</t>
        </is>
      </c>
      <c r="M1466" s="63" t="inlineStr">
        <is>
          <t>45,35</t>
        </is>
      </c>
      <c r="N1466" s="63" t="inlineStr">
        <is>
          <t>52,61</t>
        </is>
      </c>
      <c r="O1466" s="65" t="n"/>
      <c r="P1466" s="65" t="n"/>
      <c r="Q1466" s="65" t="n"/>
      <c r="R1466" s="65" t="n"/>
      <c r="S1466" s="65" t="n"/>
      <c r="T1466" s="65" t="n"/>
      <c r="U1466" s="65" t="n"/>
      <c r="V1466" s="65" t="n"/>
    </row>
    <row r="1467">
      <c r="A1467" s="65" t="n"/>
      <c r="B1467" s="65" t="n"/>
      <c r="C1467" s="65" t="n"/>
      <c r="D1467" s="65" t="n"/>
      <c r="E1467" s="65" t="n"/>
      <c r="F1467" s="65" t="n"/>
      <c r="G1467" s="65" t="n"/>
      <c r="H1467" s="65" t="inlineStr">
        <is>
          <t>[0884] TRANSMATIC ATF DEXRON III (1x12)</t>
        </is>
      </c>
      <c r="I1467" s="65" t="n">
        <v>884</v>
      </c>
      <c r="J1467" s="63" t="inlineStr">
        <is>
          <t>1,00</t>
        </is>
      </c>
      <c r="K1467" s="63" t="inlineStr">
        <is>
          <t>63,04</t>
        </is>
      </c>
      <c r="L1467" s="63" t="inlineStr">
        <is>
          <t>12,33</t>
        </is>
      </c>
      <c r="M1467" s="63" t="inlineStr">
        <is>
          <t>55,27</t>
        </is>
      </c>
      <c r="N1467" s="63" t="inlineStr">
        <is>
          <t>64,11</t>
        </is>
      </c>
      <c r="O1467" s="65" t="n"/>
      <c r="P1467" s="65" t="n"/>
      <c r="Q1467" s="65" t="n"/>
      <c r="R1467" s="65" t="n"/>
      <c r="S1467" s="65" t="n"/>
      <c r="T1467" s="65" t="n"/>
      <c r="U1467" s="65" t="n"/>
      <c r="V1467" s="65" t="n"/>
    </row>
    <row r="1468">
      <c r="A1468" s="65" t="inlineStr">
        <is>
          <t>S00032</t>
        </is>
      </c>
      <c r="B1468" s="62" t="n">
        <v>46090.24337962963</v>
      </c>
      <c r="C1468" s="65" t="inlineStr">
        <is>
          <t>Ferretería JJ Martins c.a</t>
        </is>
      </c>
      <c r="D1468" s="65" t="inlineStr">
        <is>
          <t>TORO ARDILES DAVID JOSE</t>
        </is>
      </c>
      <c r="E1468" s="65" t="inlineStr">
        <is>
          <t>7 días</t>
        </is>
      </c>
      <c r="F1468" s="65" t="n"/>
      <c r="G1468" s="65" t="n"/>
      <c r="H1468" s="65" t="inlineStr">
        <is>
          <t>[0019] ELITE API SN SAE 5W-40 (1x6)</t>
        </is>
      </c>
      <c r="I1468" s="65" t="n">
        <v>19</v>
      </c>
      <c r="J1468" s="63" t="inlineStr">
        <is>
          <t>2,00</t>
        </is>
      </c>
      <c r="K1468" s="63" t="inlineStr">
        <is>
          <t>43,53</t>
        </is>
      </c>
      <c r="L1468" s="63" t="inlineStr">
        <is>
          <t>0,00</t>
        </is>
      </c>
      <c r="M1468" s="63" t="inlineStr">
        <is>
          <t>87,07</t>
        </is>
      </c>
      <c r="N1468" s="63" t="inlineStr">
        <is>
          <t>101,00</t>
        </is>
      </c>
      <c r="O1468" s="63" t="inlineStr">
        <is>
          <t>87,07</t>
        </is>
      </c>
      <c r="P1468" s="63" t="inlineStr">
        <is>
          <t>101,00</t>
        </is>
      </c>
      <c r="Q1468" s="63" t="inlineStr">
        <is>
          <t>474,53</t>
        </is>
      </c>
      <c r="R1468" s="66" t="n">
        <v>46140</v>
      </c>
      <c r="S1468" s="65" t="n">
        <v>24</v>
      </c>
      <c r="T1468" s="65" t="inlineStr">
        <is>
          <t>00-00000235</t>
        </is>
      </c>
      <c r="U1468" s="63" t="inlineStr">
        <is>
          <t>91,07</t>
        </is>
      </c>
      <c r="V1468" s="63" t="inlineStr">
        <is>
          <t>82,13</t>
        </is>
      </c>
    </row>
    <row r="1469">
      <c r="A1469" s="65" t="inlineStr">
        <is>
          <t>S00029</t>
        </is>
      </c>
      <c r="B1469" s="62" t="n">
        <v>46090.24318287037</v>
      </c>
      <c r="C1469" s="65" t="inlineStr">
        <is>
          <t>AUTOREPUESTOS SION C.A.</t>
        </is>
      </c>
      <c r="D1469" s="65" t="inlineStr">
        <is>
          <t>TORO ARDILES DAVID JOSE</t>
        </is>
      </c>
      <c r="E1469" s="65" t="inlineStr">
        <is>
          <t>7 días</t>
        </is>
      </c>
      <c r="F1469" s="65" t="n"/>
      <c r="G1469" s="65" t="n"/>
      <c r="H1469" s="65" t="inlineStr">
        <is>
          <t>[0877] SS EXTRA PROTECCION API SN SAE 15W-40 (1X12)</t>
        </is>
      </c>
      <c r="I1469" s="65" t="n">
        <v>877</v>
      </c>
      <c r="J1469" s="63" t="inlineStr">
        <is>
          <t>1,00</t>
        </is>
      </c>
      <c r="K1469" s="63" t="inlineStr">
        <is>
          <t>90,48</t>
        </is>
      </c>
      <c r="L1469" s="63" t="inlineStr">
        <is>
          <t>0,00</t>
        </is>
      </c>
      <c r="M1469" s="63" t="inlineStr">
        <is>
          <t>90,48</t>
        </is>
      </c>
      <c r="N1469" s="63" t="inlineStr">
        <is>
          <t>104,96</t>
        </is>
      </c>
      <c r="O1469" s="63" t="inlineStr">
        <is>
          <t>225,84</t>
        </is>
      </c>
      <c r="P1469" s="63" t="inlineStr">
        <is>
          <t>261,98</t>
        </is>
      </c>
      <c r="Q1469" s="63" t="inlineStr">
        <is>
          <t>496,83</t>
        </is>
      </c>
      <c r="R1469" s="66" t="n">
        <v>46155</v>
      </c>
      <c r="S1469" s="65" t="n">
        <v>45</v>
      </c>
      <c r="T1469" s="65" t="inlineStr">
        <is>
          <t>00-00000321</t>
        </is>
      </c>
      <c r="U1469" s="63" t="inlineStr">
        <is>
          <t>197,98</t>
        </is>
      </c>
      <c r="V1469" s="63" t="inlineStr">
        <is>
          <t>0,00</t>
        </is>
      </c>
    </row>
    <row r="1470">
      <c r="A1470" s="65" t="n"/>
      <c r="B1470" s="65" t="n"/>
      <c r="C1470" s="65" t="n"/>
      <c r="D1470" s="65" t="n"/>
      <c r="E1470" s="65" t="n"/>
      <c r="F1470" s="65" t="n"/>
      <c r="G1470" s="65" t="n"/>
      <c r="H1470" s="65" t="inlineStr">
        <is>
          <t>[0880] CLASICO API SL SAE 15W-40 (1x12)</t>
        </is>
      </c>
      <c r="I1470" s="65" t="n">
        <v>880</v>
      </c>
      <c r="J1470" s="63" t="inlineStr">
        <is>
          <t>1,00</t>
        </is>
      </c>
      <c r="K1470" s="63" t="inlineStr">
        <is>
          <t>67,25</t>
        </is>
      </c>
      <c r="L1470" s="63" t="inlineStr">
        <is>
          <t>0,00</t>
        </is>
      </c>
      <c r="M1470" s="63" t="inlineStr">
        <is>
          <t>67,25</t>
        </is>
      </c>
      <c r="N1470" s="63" t="inlineStr">
        <is>
          <t>78,01</t>
        </is>
      </c>
      <c r="O1470" s="65" t="n"/>
      <c r="P1470" s="65" t="n"/>
      <c r="Q1470" s="65" t="n"/>
      <c r="R1470" s="65" t="n"/>
      <c r="S1470" s="65" t="n"/>
      <c r="T1470" s="65" t="n"/>
      <c r="U1470" s="65" t="n"/>
      <c r="V1470" s="65" t="n"/>
    </row>
    <row r="1471">
      <c r="A1471" s="65" t="n"/>
      <c r="B1471" s="65" t="n"/>
      <c r="C1471" s="65" t="n"/>
      <c r="D1471" s="65" t="n"/>
      <c r="E1471" s="65" t="n"/>
      <c r="F1471" s="65" t="n"/>
      <c r="G1471" s="65" t="n"/>
      <c r="H1471" s="65" t="inlineStr">
        <is>
          <t>[0881] CLASICO API SL SAE 20W-50 (1x12)</t>
        </is>
      </c>
      <c r="I1471" s="65" t="n">
        <v>881</v>
      </c>
      <c r="J1471" s="63" t="inlineStr">
        <is>
          <t>1,00</t>
        </is>
      </c>
      <c r="K1471" s="63" t="inlineStr">
        <is>
          <t>68,11</t>
        </is>
      </c>
      <c r="L1471" s="63" t="inlineStr">
        <is>
          <t>0,00</t>
        </is>
      </c>
      <c r="M1471" s="63" t="inlineStr">
        <is>
          <t>68,11</t>
        </is>
      </c>
      <c r="N1471" s="63" t="inlineStr">
        <is>
          <t>79,01</t>
        </is>
      </c>
      <c r="O1471" s="65" t="n"/>
      <c r="P1471" s="65" t="n"/>
      <c r="Q1471" s="65" t="n"/>
      <c r="R1471" s="65" t="n"/>
      <c r="S1471" s="65" t="n"/>
      <c r="T1471" s="65" t="n"/>
      <c r="U1471" s="65" t="n"/>
      <c r="V1471" s="65" t="n"/>
    </row>
    <row r="1472">
      <c r="A1472" s="65" t="inlineStr">
        <is>
          <t>S00021</t>
        </is>
      </c>
      <c r="B1472" s="62" t="n">
        <v>46090.24238425926</v>
      </c>
      <c r="C1472" s="65" t="inlineStr">
        <is>
          <t>INVERSIONES SMALUM 21, C.A.</t>
        </is>
      </c>
      <c r="D1472" s="65" t="inlineStr">
        <is>
          <t>VILLABONA CORREA ALBA ESTEFANIA</t>
        </is>
      </c>
      <c r="E1472" s="65" t="inlineStr">
        <is>
          <t>7 días</t>
        </is>
      </c>
      <c r="F1472" s="65" t="n"/>
      <c r="G1472" s="65" t="n"/>
      <c r="H1472" s="65" t="inlineStr">
        <is>
          <t>[0779] SINOCO SAE 20W-50 (1x12)</t>
        </is>
      </c>
      <c r="I1472" s="65" t="n">
        <v>779</v>
      </c>
      <c r="J1472" s="63" t="inlineStr">
        <is>
          <t>1,00</t>
        </is>
      </c>
      <c r="K1472" s="63" t="inlineStr">
        <is>
          <t>52,18</t>
        </is>
      </c>
      <c r="L1472" s="63" t="inlineStr">
        <is>
          <t>0,00</t>
        </is>
      </c>
      <c r="M1472" s="63" t="inlineStr">
        <is>
          <t>52,18</t>
        </is>
      </c>
      <c r="N1472" s="63" t="inlineStr">
        <is>
          <t>60,53</t>
        </is>
      </c>
      <c r="O1472" s="63" t="inlineStr">
        <is>
          <t>183,37</t>
        </is>
      </c>
      <c r="P1472" s="63" t="inlineStr">
        <is>
          <t>212,72</t>
        </is>
      </c>
      <c r="Q1472" s="63" t="inlineStr">
        <is>
          <t>474,53</t>
        </is>
      </c>
      <c r="R1472" s="66" t="n">
        <v>46155</v>
      </c>
      <c r="S1472" s="65" t="n">
        <v>43</v>
      </c>
      <c r="T1472" s="65" t="inlineStr">
        <is>
          <t>00-00000319</t>
        </is>
      </c>
      <c r="U1472" s="63" t="inlineStr">
        <is>
          <t>251,66</t>
        </is>
      </c>
      <c r="V1472" s="63" t="inlineStr">
        <is>
          <t>251,69</t>
        </is>
      </c>
    </row>
    <row r="1473">
      <c r="A1473" s="65" t="n"/>
      <c r="B1473" s="65" t="n"/>
      <c r="C1473" s="65" t="n"/>
      <c r="D1473" s="65" t="n"/>
      <c r="E1473" s="65" t="n"/>
      <c r="F1473" s="65" t="n"/>
      <c r="G1473" s="65" t="n"/>
      <c r="H1473" s="65" t="inlineStr">
        <is>
          <t>[0877] SS EXTRA PROTECCION API SN SAE 15W-40 (1X12)</t>
        </is>
      </c>
      <c r="I1473" s="65" t="n">
        <v>877</v>
      </c>
      <c r="J1473" s="63" t="inlineStr">
        <is>
          <t>1,00</t>
        </is>
      </c>
      <c r="K1473" s="63" t="inlineStr">
        <is>
          <t>71,97</t>
        </is>
      </c>
      <c r="L1473" s="63" t="inlineStr">
        <is>
          <t>0,00</t>
        </is>
      </c>
      <c r="M1473" s="63" t="inlineStr">
        <is>
          <t>71,97</t>
        </is>
      </c>
      <c r="N1473" s="63" t="inlineStr">
        <is>
          <t>83,49</t>
        </is>
      </c>
      <c r="O1473" s="65" t="n"/>
      <c r="P1473" s="65" t="n"/>
      <c r="Q1473" s="65" t="n"/>
      <c r="R1473" s="65" t="n"/>
      <c r="S1473" s="65" t="n"/>
      <c r="T1473" s="65" t="n"/>
      <c r="U1473" s="65" t="n"/>
      <c r="V1473" s="65" t="n"/>
    </row>
    <row r="1474">
      <c r="A1474" s="65" t="n"/>
      <c r="B1474" s="65" t="n"/>
      <c r="C1474" s="65" t="n"/>
      <c r="D1474" s="65" t="n"/>
      <c r="E1474" s="65" t="n"/>
      <c r="F1474" s="65" t="n"/>
      <c r="G1474" s="65" t="n"/>
      <c r="H1474" s="65" t="inlineStr">
        <is>
          <t>[0881] CLASICO API SL SAE 20W-50 (1x12)</t>
        </is>
      </c>
      <c r="I1474" s="65" t="n">
        <v>881</v>
      </c>
      <c r="J1474" s="63" t="inlineStr">
        <is>
          <t>1,00</t>
        </is>
      </c>
      <c r="K1474" s="63" t="inlineStr">
        <is>
          <t>59,22</t>
        </is>
      </c>
      <c r="L1474" s="63" t="inlineStr">
        <is>
          <t>0,00</t>
        </is>
      </c>
      <c r="M1474" s="63" t="inlineStr">
        <is>
          <t>59,22</t>
        </is>
      </c>
      <c r="N1474" s="63" t="inlineStr">
        <is>
          <t>68,70</t>
        </is>
      </c>
      <c r="O1474" s="65" t="n"/>
      <c r="P1474" s="65" t="n"/>
      <c r="Q1474" s="65" t="n"/>
      <c r="R1474" s="65" t="n"/>
      <c r="S1474" s="65" t="n"/>
      <c r="T1474" s="65" t="n"/>
      <c r="U1474" s="65" t="n"/>
      <c r="V1474" s="65" t="n"/>
    </row>
    <row r="1475">
      <c r="A1475" s="65" t="inlineStr">
        <is>
          <t>S00018</t>
        </is>
      </c>
      <c r="B1475" s="62" t="n">
        <v>46090.24164351852</v>
      </c>
      <c r="C1475" s="65" t="inlineStr">
        <is>
          <t>AUTO ACCESORIOS VZLA, C.A.</t>
        </is>
      </c>
      <c r="D1475" s="65" t="inlineStr">
        <is>
          <t>VILLABONA CORREA ALBA ESTEFANIA</t>
        </is>
      </c>
      <c r="E1475" s="65" t="inlineStr">
        <is>
          <t>7 días</t>
        </is>
      </c>
      <c r="F1475" s="65" t="n"/>
      <c r="G1475" s="65" t="n"/>
      <c r="H1475" s="65" t="inlineStr">
        <is>
          <t>[0779] SINOCO SAE 20W-50 (1x12)</t>
        </is>
      </c>
      <c r="I1475" s="65" t="n">
        <v>779</v>
      </c>
      <c r="J1475" s="63" t="inlineStr">
        <is>
          <t>2,00</t>
        </is>
      </c>
      <c r="K1475" s="63" t="inlineStr">
        <is>
          <t>51,73</t>
        </is>
      </c>
      <c r="L1475" s="63" t="inlineStr">
        <is>
          <t>20,01</t>
        </is>
      </c>
      <c r="M1475" s="63" t="inlineStr">
        <is>
          <t>82,76</t>
        </is>
      </c>
      <c r="N1475" s="63" t="inlineStr">
        <is>
          <t>96,00</t>
        </is>
      </c>
      <c r="O1475" s="63" t="inlineStr">
        <is>
          <t>82,76</t>
        </is>
      </c>
      <c r="P1475" s="63" t="inlineStr">
        <is>
          <t>96,00</t>
        </is>
      </c>
      <c r="Q1475" s="63" t="inlineStr">
        <is>
          <t>496,83</t>
        </is>
      </c>
      <c r="R1475" s="66" t="n">
        <v>46204</v>
      </c>
      <c r="S1475" s="65" t="n">
        <v>207</v>
      </c>
      <c r="T1475" s="65" t="inlineStr">
        <is>
          <t>00-00000704</t>
        </is>
      </c>
      <c r="U1475" s="63" t="inlineStr">
        <is>
          <t>96,00</t>
        </is>
      </c>
      <c r="V1475" s="63" t="inlineStr">
        <is>
          <t>0,01</t>
        </is>
      </c>
    </row>
    <row r="1476">
      <c r="A1476" s="65" t="inlineStr">
        <is>
          <t>S00017</t>
        </is>
      </c>
      <c r="B1476" s="62" t="n">
        <v>46090.24155092592</v>
      </c>
      <c r="C1476" s="65" t="inlineStr">
        <is>
          <t>MOTO REPUESTOS LA FLECHA, C.A.</t>
        </is>
      </c>
      <c r="D1476" s="65" t="inlineStr">
        <is>
          <t>TORO ARDILES DAVID JOSE</t>
        </is>
      </c>
      <c r="E1476" s="65" t="inlineStr">
        <is>
          <t>7 días</t>
        </is>
      </c>
      <c r="F1476" s="65" t="n"/>
      <c r="G1476" s="65" t="n"/>
      <c r="H1476" s="65" t="inlineStr">
        <is>
          <t>[0887] MOTOCLASICO 4T SAE 20W-50 (1x12)</t>
        </is>
      </c>
      <c r="I1476" s="65" t="n">
        <v>887</v>
      </c>
      <c r="J1476" s="63" t="inlineStr">
        <is>
          <t>1,00</t>
        </is>
      </c>
      <c r="K1476" s="63" t="inlineStr">
        <is>
          <t>61,47</t>
        </is>
      </c>
      <c r="L1476" s="63" t="inlineStr">
        <is>
          <t>0,00</t>
        </is>
      </c>
      <c r="M1476" s="63" t="inlineStr">
        <is>
          <t>61,47</t>
        </is>
      </c>
      <c r="N1476" s="63" t="inlineStr">
        <is>
          <t>71,31</t>
        </is>
      </c>
      <c r="O1476" s="63" t="inlineStr">
        <is>
          <t>89,96</t>
        </is>
      </c>
      <c r="P1476" s="63" t="inlineStr">
        <is>
          <t>104,36</t>
        </is>
      </c>
      <c r="Q1476" s="63" t="inlineStr">
        <is>
          <t>474,53</t>
        </is>
      </c>
      <c r="R1476" s="66" t="n">
        <v>46147</v>
      </c>
      <c r="S1476" s="65" t="n">
        <v>3</v>
      </c>
      <c r="T1476" s="65" t="inlineStr">
        <is>
          <t>00-00000265</t>
        </is>
      </c>
      <c r="U1476" s="63" t="inlineStr">
        <is>
          <t>-99,99</t>
        </is>
      </c>
      <c r="V1476" s="63" t="inlineStr">
        <is>
          <t>0,00</t>
        </is>
      </c>
    </row>
    <row r="1477">
      <c r="A1477" s="65" t="n"/>
      <c r="B1477" s="65" t="n"/>
      <c r="C1477" s="65" t="n"/>
      <c r="D1477" s="65" t="n"/>
      <c r="E1477" s="65" t="n"/>
      <c r="F1477" s="65" t="n"/>
      <c r="G1477" s="65" t="n"/>
      <c r="H1477" s="65" t="n"/>
      <c r="I1477" s="65" t="n"/>
      <c r="J1477" s="65" t="n"/>
      <c r="K1477" s="65" t="n"/>
      <c r="L1477" s="65" t="n"/>
      <c r="M1477" s="65" t="n"/>
      <c r="N1477" s="65" t="n"/>
      <c r="O1477" s="65" t="n"/>
      <c r="P1477" s="65" t="n"/>
      <c r="Q1477" s="63" t="inlineStr">
        <is>
          <t>474,53</t>
        </is>
      </c>
      <c r="R1477" s="66" t="n">
        <v>46146</v>
      </c>
      <c r="S1477" s="65" t="n">
        <v>29</v>
      </c>
      <c r="T1477" s="65" t="inlineStr">
        <is>
          <t>00-00000261</t>
        </is>
      </c>
      <c r="U1477" s="63" t="inlineStr">
        <is>
          <t>99,99</t>
        </is>
      </c>
      <c r="V1477" s="63" t="inlineStr">
        <is>
          <t>0,00</t>
        </is>
      </c>
    </row>
    <row r="1478">
      <c r="A1478" s="65" t="n"/>
      <c r="B1478" s="65" t="n"/>
      <c r="C1478" s="65" t="n"/>
      <c r="D1478" s="65" t="n"/>
      <c r="E1478" s="65" t="n"/>
      <c r="F1478" s="65" t="n"/>
      <c r="G1478" s="65" t="n"/>
      <c r="H1478" s="65" t="n"/>
      <c r="I1478" s="65" t="n"/>
      <c r="J1478" s="65" t="n"/>
      <c r="K1478" s="65" t="n"/>
      <c r="L1478" s="65" t="n"/>
      <c r="M1478" s="65" t="n"/>
      <c r="N1478" s="65" t="n"/>
      <c r="O1478" s="65" t="n"/>
      <c r="P1478" s="65" t="n"/>
      <c r="Q1478" s="63" t="inlineStr">
        <is>
          <t>490,04</t>
        </is>
      </c>
      <c r="R1478" s="66" t="n">
        <v>46142</v>
      </c>
      <c r="S1478" s="65" t="n">
        <v>30</v>
      </c>
      <c r="T1478" s="65" t="inlineStr">
        <is>
          <t>00-00000266</t>
        </is>
      </c>
      <c r="U1478" s="63" t="inlineStr">
        <is>
          <t>114,81</t>
        </is>
      </c>
      <c r="V1478" s="63" t="inlineStr">
        <is>
          <t>0,00</t>
        </is>
      </c>
    </row>
    <row r="1479">
      <c r="A1479" s="65" t="n"/>
      <c r="B1479" s="65" t="n"/>
      <c r="C1479" s="65" t="n"/>
      <c r="D1479" s="65" t="n"/>
      <c r="E1479" s="65" t="n"/>
      <c r="F1479" s="65" t="n"/>
      <c r="G1479" s="65" t="n"/>
      <c r="H1479" s="65" t="inlineStr">
        <is>
          <t>[0775] LIGA PARA FRENOS DOT-4 (1X12)</t>
        </is>
      </c>
      <c r="I1479" s="65" t="n">
        <v>775</v>
      </c>
      <c r="J1479" s="63" t="inlineStr">
        <is>
          <t>1,00</t>
        </is>
      </c>
      <c r="K1479" s="63" t="inlineStr">
        <is>
          <t>28,49</t>
        </is>
      </c>
      <c r="L1479" s="63" t="inlineStr">
        <is>
          <t>0,00</t>
        </is>
      </c>
      <c r="M1479" s="63" t="inlineStr">
        <is>
          <t>28,49</t>
        </is>
      </c>
      <c r="N1479" s="63" t="inlineStr">
        <is>
          <t>33,05</t>
        </is>
      </c>
      <c r="O1479" s="65" t="n"/>
      <c r="P1479" s="65" t="n"/>
      <c r="Q1479" s="65" t="n"/>
      <c r="R1479" s="65" t="n"/>
      <c r="S1479" s="65" t="n"/>
      <c r="T1479" s="65" t="n"/>
      <c r="U1479" s="65" t="n"/>
      <c r="V1479" s="65" t="n"/>
    </row>
    <row r="1480">
      <c r="A1480" s="65" t="inlineStr">
        <is>
          <t>S00015</t>
        </is>
      </c>
      <c r="B1480" s="62" t="n">
        <v>46090.24136574074</v>
      </c>
      <c r="C1480" s="65" t="inlineStr">
        <is>
          <t>SERVICIOS Y MANTENIMIENTO SPACARS, C.A, Henry Blanco</t>
        </is>
      </c>
      <c r="D1480" s="65" t="inlineStr">
        <is>
          <t>TORO ARDILES DAVID JOSE</t>
        </is>
      </c>
      <c r="E1480" s="65" t="inlineStr">
        <is>
          <t>7 días</t>
        </is>
      </c>
      <c r="F1480" s="65" t="n"/>
      <c r="G1480" s="65" t="n"/>
      <c r="H1480" s="65" t="inlineStr">
        <is>
          <t>[0013] ELITE API SN SAE 5W-30 (1x6)</t>
        </is>
      </c>
      <c r="I1480" s="65" t="n">
        <v>13</v>
      </c>
      <c r="J1480" s="63" t="inlineStr">
        <is>
          <t>4,00</t>
        </is>
      </c>
      <c r="K1480" s="63" t="inlineStr">
        <is>
          <t>43,29</t>
        </is>
      </c>
      <c r="L1480" s="63" t="inlineStr">
        <is>
          <t>0,00</t>
        </is>
      </c>
      <c r="M1480" s="63" t="inlineStr">
        <is>
          <t>173,16</t>
        </is>
      </c>
      <c r="N1480" s="63" t="inlineStr">
        <is>
          <t>200,87</t>
        </is>
      </c>
      <c r="O1480" s="63" t="inlineStr">
        <is>
          <t>823,09</t>
        </is>
      </c>
      <c r="P1480" s="63" t="inlineStr">
        <is>
          <t>954,79</t>
        </is>
      </c>
      <c r="Q1480" s="63" t="inlineStr">
        <is>
          <t>474,53</t>
        </is>
      </c>
      <c r="R1480" s="66" t="n">
        <v>46129</v>
      </c>
      <c r="S1480" s="65" t="n">
        <v>20</v>
      </c>
      <c r="T1480" s="65" t="inlineStr">
        <is>
          <t>00-00000188</t>
        </is>
      </c>
      <c r="U1480" s="63" t="inlineStr">
        <is>
          <t>814,85</t>
        </is>
      </c>
      <c r="V1480" s="63" t="inlineStr">
        <is>
          <t>0,00</t>
        </is>
      </c>
    </row>
    <row r="1481">
      <c r="A1481" s="65" t="n"/>
      <c r="B1481" s="65" t="n"/>
      <c r="C1481" s="65" t="n"/>
      <c r="D1481" s="65" t="n"/>
      <c r="E1481" s="65" t="n"/>
      <c r="F1481" s="65" t="n"/>
      <c r="G1481" s="65" t="n"/>
      <c r="H1481" s="65" t="inlineStr">
        <is>
          <t>[0007] ELITE API SN SAE 5W-20 (1x6)</t>
        </is>
      </c>
      <c r="I1481" s="65" t="n">
        <v>7</v>
      </c>
      <c r="J1481" s="63" t="inlineStr">
        <is>
          <t>4,00</t>
        </is>
      </c>
      <c r="K1481" s="63" t="inlineStr">
        <is>
          <t>43,29</t>
        </is>
      </c>
      <c r="L1481" s="63" t="inlineStr">
        <is>
          <t>0,00</t>
        </is>
      </c>
      <c r="M1481" s="63" t="inlineStr">
        <is>
          <t>173,16</t>
        </is>
      </c>
      <c r="N1481" s="63" t="inlineStr">
        <is>
          <t>200,87</t>
        </is>
      </c>
      <c r="O1481" s="65" t="n"/>
      <c r="P1481" s="65" t="n"/>
      <c r="Q1481" s="65" t="n"/>
      <c r="R1481" s="65" t="n"/>
      <c r="S1481" s="65" t="n"/>
      <c r="T1481" s="65" t="n"/>
      <c r="U1481" s="65" t="n"/>
      <c r="V1481" s="65" t="n"/>
    </row>
    <row r="1482">
      <c r="A1482" s="65" t="n"/>
      <c r="B1482" s="65" t="n"/>
      <c r="C1482" s="65" t="n"/>
      <c r="D1482" s="65" t="n"/>
      <c r="E1482" s="65" t="n"/>
      <c r="F1482" s="65" t="n"/>
      <c r="G1482" s="65" t="n"/>
      <c r="H1482" s="65" t="inlineStr">
        <is>
          <t>[0877] SS EXTRA PROTECCION API SN SAE 15W-40 (1X12)</t>
        </is>
      </c>
      <c r="I1482" s="65" t="n">
        <v>877</v>
      </c>
      <c r="J1482" s="63" t="inlineStr">
        <is>
          <t>5,00</t>
        </is>
      </c>
      <c r="K1482" s="63" t="inlineStr">
        <is>
          <t>71,97</t>
        </is>
      </c>
      <c r="L1482" s="63" t="inlineStr">
        <is>
          <t>0,00</t>
        </is>
      </c>
      <c r="M1482" s="63" t="inlineStr">
        <is>
          <t>359,83</t>
        </is>
      </c>
      <c r="N1482" s="63" t="inlineStr">
        <is>
          <t>417,40</t>
        </is>
      </c>
      <c r="O1482" s="65" t="n"/>
      <c r="P1482" s="65" t="n"/>
      <c r="Q1482" s="65" t="n"/>
      <c r="R1482" s="65" t="n"/>
      <c r="S1482" s="65" t="n"/>
      <c r="T1482" s="65" t="n"/>
      <c r="U1482" s="65" t="n"/>
      <c r="V1482" s="65" t="n"/>
    </row>
    <row r="1483">
      <c r="A1483" s="65" t="n"/>
      <c r="B1483" s="65" t="n"/>
      <c r="C1483" s="65" t="n"/>
      <c r="D1483" s="65" t="n"/>
      <c r="E1483" s="65" t="n"/>
      <c r="F1483" s="65" t="n"/>
      <c r="G1483" s="65" t="n"/>
      <c r="H1483" s="65" t="inlineStr">
        <is>
          <t>[0880] CLASICO API SL SAE 15W-40 (1x12)</t>
        </is>
      </c>
      <c r="I1483" s="65" t="n">
        <v>880</v>
      </c>
      <c r="J1483" s="63" t="inlineStr">
        <is>
          <t>2,00</t>
        </is>
      </c>
      <c r="K1483" s="63" t="inlineStr">
        <is>
          <t>58,47</t>
        </is>
      </c>
      <c r="L1483" s="63" t="inlineStr">
        <is>
          <t>0,00</t>
        </is>
      </c>
      <c r="M1483" s="63" t="inlineStr">
        <is>
          <t>116,94</t>
        </is>
      </c>
      <c r="N1483" s="63" t="inlineStr">
        <is>
          <t>135,65</t>
        </is>
      </c>
      <c r="O1483" s="65" t="n"/>
      <c r="P1483" s="65" t="n"/>
      <c r="Q1483" s="65" t="n"/>
      <c r="R1483" s="65" t="n"/>
      <c r="S1483" s="65" t="n"/>
      <c r="T1483" s="65" t="n"/>
      <c r="U1483" s="65" t="n"/>
      <c r="V1483" s="65" t="n"/>
    </row>
    <row r="1484">
      <c r="A1484" s="65" t="inlineStr">
        <is>
          <t>S00014</t>
        </is>
      </c>
      <c r="B1484" s="62" t="n">
        <v>46090.24120370371</v>
      </c>
      <c r="C1484" s="65" t="inlineStr">
        <is>
          <t>SPEED RACING, CA</t>
        </is>
      </c>
      <c r="D1484" s="65" t="inlineStr">
        <is>
          <t>OCANTO ZABALA ROSALVY DEL CARMEN</t>
        </is>
      </c>
      <c r="E1484" s="65" t="inlineStr">
        <is>
          <t>7 días</t>
        </is>
      </c>
      <c r="F1484" s="65" t="n"/>
      <c r="G1484" s="65" t="n"/>
      <c r="H1484" s="65" t="inlineStr">
        <is>
          <t>[0883] GRASA GLOBAL AZUL AZ 95 (PAILA)</t>
        </is>
      </c>
      <c r="I1484" s="65" t="n">
        <v>883</v>
      </c>
      <c r="J1484" s="63" t="inlineStr">
        <is>
          <t>1,00</t>
        </is>
      </c>
      <c r="K1484" s="63" t="inlineStr">
        <is>
          <t>70,90</t>
        </is>
      </c>
      <c r="L1484" s="63" t="inlineStr">
        <is>
          <t>0,00</t>
        </is>
      </c>
      <c r="M1484" s="63" t="inlineStr">
        <is>
          <t>70,90</t>
        </is>
      </c>
      <c r="N1484" s="63" t="inlineStr">
        <is>
          <t>82,24</t>
        </is>
      </c>
      <c r="O1484" s="63" t="inlineStr">
        <is>
          <t>70,90</t>
        </is>
      </c>
      <c r="P1484" s="63" t="inlineStr">
        <is>
          <t>82,24</t>
        </is>
      </c>
      <c r="Q1484" s="63" t="inlineStr">
        <is>
          <t>474,53</t>
        </is>
      </c>
      <c r="R1484" s="66" t="n">
        <v>46156</v>
      </c>
      <c r="S1484" s="65" t="n">
        <v>56</v>
      </c>
      <c r="T1484" s="65" t="inlineStr">
        <is>
          <t>00-00000345</t>
        </is>
      </c>
      <c r="U1484" s="63" t="inlineStr">
        <is>
          <t>97,84</t>
        </is>
      </c>
      <c r="V1484" s="63" t="inlineStr">
        <is>
          <t>30,59</t>
        </is>
      </c>
    </row>
    <row r="1485">
      <c r="A1485" s="65" t="inlineStr">
        <is>
          <t>S00004</t>
        </is>
      </c>
      <c r="B1485" s="62" t="n">
        <v>46090.24033564814</v>
      </c>
      <c r="C1485" s="65" t="inlineStr">
        <is>
          <t>GARAJE Y TALLERES FRIDELBA, C.A</t>
        </is>
      </c>
      <c r="D1485" s="65" t="inlineStr">
        <is>
          <t>VILLABONA CORREA ALBA ESTEFANIA</t>
        </is>
      </c>
      <c r="E1485" s="65" t="n"/>
      <c r="F1485" s="65" t="n"/>
      <c r="G1485" s="65" t="n"/>
      <c r="H1485" s="65" t="inlineStr">
        <is>
          <t>[0884] TRANSMATIC ATF DEXRON III (1x12)</t>
        </is>
      </c>
      <c r="I1485" s="65" t="n">
        <v>884</v>
      </c>
      <c r="J1485" s="63" t="inlineStr">
        <is>
          <t>1,00</t>
        </is>
      </c>
      <c r="K1485" s="63" t="inlineStr">
        <is>
          <t>71,56</t>
        </is>
      </c>
      <c r="L1485" s="63" t="inlineStr">
        <is>
          <t>0,00</t>
        </is>
      </c>
      <c r="M1485" s="63" t="inlineStr">
        <is>
          <t>71,56</t>
        </is>
      </c>
      <c r="N1485" s="63" t="inlineStr">
        <is>
          <t>83,01</t>
        </is>
      </c>
      <c r="O1485" s="63" t="inlineStr">
        <is>
          <t>200,84</t>
        </is>
      </c>
      <c r="P1485" s="63" t="inlineStr">
        <is>
          <t>232,98</t>
        </is>
      </c>
      <c r="Q1485" s="63" t="inlineStr">
        <is>
          <t>490,04</t>
        </is>
      </c>
      <c r="R1485" s="66" t="n">
        <v>46155</v>
      </c>
      <c r="S1485" s="65" t="n">
        <v>46</v>
      </c>
      <c r="T1485" s="65" t="inlineStr">
        <is>
          <t>00-00000322</t>
        </is>
      </c>
      <c r="U1485" s="63" t="inlineStr">
        <is>
          <t>174,96</t>
        </is>
      </c>
      <c r="V1485" s="63" t="inlineStr">
        <is>
          <t>0,00</t>
        </is>
      </c>
    </row>
    <row r="1486">
      <c r="A1486" s="65" t="n"/>
      <c r="B1486" s="65" t="n"/>
      <c r="C1486" s="65" t="n"/>
      <c r="D1486" s="65" t="n"/>
      <c r="E1486" s="65" t="n"/>
      <c r="F1486" s="65" t="n"/>
      <c r="G1486" s="65" t="n"/>
      <c r="H1486" s="65" t="inlineStr">
        <is>
          <t>[0121] TRANSGLOB API GL-5 SAE 80W-90 (1x6)</t>
        </is>
      </c>
      <c r="I1486" s="65" t="n">
        <v>121</v>
      </c>
      <c r="J1486" s="63" t="inlineStr">
        <is>
          <t>1,00</t>
        </is>
      </c>
      <c r="K1486" s="63" t="inlineStr">
        <is>
          <t>38,80</t>
        </is>
      </c>
      <c r="L1486" s="63" t="inlineStr">
        <is>
          <t>0,00</t>
        </is>
      </c>
      <c r="M1486" s="63" t="inlineStr">
        <is>
          <t>38,80</t>
        </is>
      </c>
      <c r="N1486" s="63" t="inlineStr">
        <is>
          <t>45,01</t>
        </is>
      </c>
      <c r="O1486" s="65" t="n"/>
      <c r="P1486" s="65" t="n"/>
      <c r="Q1486" s="65" t="n"/>
      <c r="R1486" s="65" t="n"/>
      <c r="S1486" s="65" t="n"/>
      <c r="T1486" s="65" t="n"/>
      <c r="U1486" s="65" t="n"/>
      <c r="V1486" s="65" t="n"/>
    </row>
    <row r="1487">
      <c r="A1487" s="65" t="n"/>
      <c r="B1487" s="65" t="n"/>
      <c r="C1487" s="65" t="n"/>
      <c r="D1487" s="65" t="n"/>
      <c r="E1487" s="65" t="n"/>
      <c r="F1487" s="65" t="n"/>
      <c r="G1487" s="65" t="n"/>
      <c r="H1487" s="65" t="inlineStr">
        <is>
          <t>[0877] SS EXTRA PROTECCION API SN SAE 15W-40 (1X12)</t>
        </is>
      </c>
      <c r="I1487" s="65" t="n">
        <v>877</v>
      </c>
      <c r="J1487" s="63" t="inlineStr">
        <is>
          <t>1,00</t>
        </is>
      </c>
      <c r="K1487" s="63" t="inlineStr">
        <is>
          <t>90,48</t>
        </is>
      </c>
      <c r="L1487" s="63" t="inlineStr">
        <is>
          <t>0,00</t>
        </is>
      </c>
      <c r="M1487" s="63" t="inlineStr">
        <is>
          <t>90,48</t>
        </is>
      </c>
      <c r="N1487" s="63" t="inlineStr">
        <is>
          <t>104,96</t>
        </is>
      </c>
      <c r="O1487" s="65" t="n"/>
      <c r="P1487" s="65" t="n"/>
      <c r="Q1487" s="65" t="n"/>
      <c r="R1487" s="65" t="n"/>
      <c r="S1487" s="65" t="n"/>
      <c r="T1487" s="65" t="n"/>
      <c r="U1487" s="65" t="n"/>
      <c r="V1487" s="65" t="n"/>
    </row>
    <row r="1488">
      <c r="A1488" s="65" t="inlineStr">
        <is>
          <t>S00045</t>
        </is>
      </c>
      <c r="B1488" s="62" t="n">
        <v>46090.24017361111</v>
      </c>
      <c r="C1488" s="65" t="inlineStr">
        <is>
          <t>INVERSIONES IRETE SUKA, C.A</t>
        </is>
      </c>
      <c r="D1488" s="65" t="inlineStr">
        <is>
          <t>VILLABONA CORREA ALBA ESTEFANIA</t>
        </is>
      </c>
      <c r="E1488" s="65" t="inlineStr">
        <is>
          <t>7 días</t>
        </is>
      </c>
      <c r="F1488" s="65" t="n"/>
      <c r="G1488" s="65" t="n"/>
      <c r="H1488" s="65" t="inlineStr">
        <is>
          <t>[0779] SINOCO SAE 20W-50 (1x12)</t>
        </is>
      </c>
      <c r="I1488" s="65" t="n">
        <v>779</v>
      </c>
      <c r="J1488" s="63" t="inlineStr">
        <is>
          <t>1,00</t>
        </is>
      </c>
      <c r="K1488" s="63" t="inlineStr">
        <is>
          <t>51,72</t>
        </is>
      </c>
      <c r="L1488" s="63" t="inlineStr">
        <is>
          <t>7,75</t>
        </is>
      </c>
      <c r="M1488" s="63" t="inlineStr">
        <is>
          <t>47,71</t>
        </is>
      </c>
      <c r="N1488" s="63" t="inlineStr">
        <is>
          <t>55,34</t>
        </is>
      </c>
      <c r="O1488" s="63" t="inlineStr">
        <is>
          <t>47,71</t>
        </is>
      </c>
      <c r="P1488" s="63" t="inlineStr">
        <is>
          <t>55,34</t>
        </is>
      </c>
      <c r="Q1488" s="63" t="inlineStr">
        <is>
          <t>474,53</t>
        </is>
      </c>
      <c r="R1488" s="66" t="n">
        <v>46181</v>
      </c>
      <c r="S1488" s="65" t="n">
        <v>124</v>
      </c>
      <c r="T1488" s="65" t="inlineStr">
        <is>
          <t>00-00000531</t>
        </is>
      </c>
      <c r="U1488" s="63" t="inlineStr">
        <is>
          <t>47,99</t>
        </is>
      </c>
      <c r="V1488" s="63" t="inlineStr">
        <is>
          <t>48,00</t>
        </is>
      </c>
    </row>
    <row r="1489">
      <c r="A1489" s="65" t="inlineStr">
        <is>
          <t>S00044</t>
        </is>
      </c>
      <c r="B1489" s="62" t="n">
        <v>46087.68325231481</v>
      </c>
      <c r="C1489" s="65" t="inlineStr">
        <is>
          <t>Comercializadora Garabote</t>
        </is>
      </c>
      <c r="D1489" s="65" t="inlineStr">
        <is>
          <t>PEREZ DIAZ ANGEL DE DIOS</t>
        </is>
      </c>
      <c r="E1489" s="65" t="inlineStr">
        <is>
          <t>45 días</t>
        </is>
      </c>
      <c r="F1489" s="65" t="n"/>
      <c r="G1489" s="65" t="n"/>
      <c r="H1489" s="65" t="inlineStr">
        <is>
          <t>[0603] SINOCO SAE 50 (Tambor)</t>
        </is>
      </c>
      <c r="I1489" s="65" t="n">
        <v>603</v>
      </c>
      <c r="J1489" s="63" t="inlineStr">
        <is>
          <t>3,00</t>
        </is>
      </c>
      <c r="K1489" s="63" t="inlineStr">
        <is>
          <t>695,95</t>
        </is>
      </c>
      <c r="L1489" s="63" t="inlineStr">
        <is>
          <t>0,00</t>
        </is>
      </c>
      <c r="M1489" s="63" t="inlineStr">
        <is>
          <t>2.087,84</t>
        </is>
      </c>
      <c r="N1489" s="63" t="inlineStr">
        <is>
          <t>2.421,89</t>
        </is>
      </c>
      <c r="O1489" s="63" t="inlineStr">
        <is>
          <t>2.087,84</t>
        </is>
      </c>
      <c r="P1489" s="63" t="inlineStr">
        <is>
          <t>2.421,89</t>
        </is>
      </c>
      <c r="Q1489" s="63" t="inlineStr">
        <is>
          <t>474,53</t>
        </is>
      </c>
      <c r="R1489" s="66" t="n">
        <v>46182</v>
      </c>
      <c r="S1489" s="65" t="n">
        <v>129</v>
      </c>
      <c r="T1489" s="65" t="inlineStr">
        <is>
          <t>00-00000542</t>
        </is>
      </c>
      <c r="U1489" s="63" t="inlineStr">
        <is>
          <t>1.847,90</t>
        </is>
      </c>
      <c r="V1489" s="63" t="inlineStr">
        <is>
          <t>0,00</t>
        </is>
      </c>
    </row>
    <row r="1490">
      <c r="A1490" s="65" t="inlineStr">
        <is>
          <t>S00042</t>
        </is>
      </c>
      <c r="B1490" s="62" t="n">
        <v>46087.58636574074</v>
      </c>
      <c r="C1490" s="65" t="inlineStr">
        <is>
          <t>ALIPLUS TRASPORTE Y EQUIPOS, CA</t>
        </is>
      </c>
      <c r="D1490" s="65" t="inlineStr">
        <is>
          <t>Marco Romero</t>
        </is>
      </c>
      <c r="E1490" s="65" t="inlineStr">
        <is>
          <t>7 días</t>
        </is>
      </c>
      <c r="F1490" s="65" t="n"/>
      <c r="G1490" s="65" t="n"/>
      <c r="H1490" s="65" t="inlineStr">
        <is>
          <t>[0886] TRANSMATIC DEXRON VI (1x12)</t>
        </is>
      </c>
      <c r="I1490" s="65" t="n">
        <v>886</v>
      </c>
      <c r="J1490" s="63" t="inlineStr">
        <is>
          <t>1,00</t>
        </is>
      </c>
      <c r="K1490" s="63" t="inlineStr">
        <is>
          <t>131,00</t>
        </is>
      </c>
      <c r="L1490" s="63" t="inlineStr">
        <is>
          <t>0,00</t>
        </is>
      </c>
      <c r="M1490" s="63" t="inlineStr">
        <is>
          <t>131,00</t>
        </is>
      </c>
      <c r="N1490" s="63" t="inlineStr">
        <is>
          <t>151,96</t>
        </is>
      </c>
      <c r="O1490" s="63" t="inlineStr">
        <is>
          <t>131,00</t>
        </is>
      </c>
      <c r="P1490" s="63" t="inlineStr">
        <is>
          <t>151,96</t>
        </is>
      </c>
      <c r="Q1490" s="63" t="inlineStr">
        <is>
          <t>431,01</t>
        </is>
      </c>
      <c r="R1490" s="66" t="n">
        <v>46087</v>
      </c>
      <c r="S1490" s="65" t="n">
        <v>1</v>
      </c>
      <c r="T1490" s="65" t="inlineStr">
        <is>
          <t>00-00000001</t>
        </is>
      </c>
      <c r="U1490" s="63" t="inlineStr">
        <is>
          <t>151,95</t>
        </is>
      </c>
      <c r="V1490" s="63" t="inlineStr">
        <is>
          <t>0,00</t>
        </is>
      </c>
    </row>
    <row r="1491">
      <c r="A1491" s="65" t="inlineStr">
        <is>
          <t>S00028</t>
        </is>
      </c>
      <c r="B1491" s="62" t="n">
        <v>46085.5878125</v>
      </c>
      <c r="C1491" s="65" t="inlineStr">
        <is>
          <t>Ricardo A. Fernandez.</t>
        </is>
      </c>
      <c r="D1491" s="65" t="inlineStr">
        <is>
          <t>MARTINEZ MONTES JEFFREY ENRIQUE</t>
        </is>
      </c>
      <c r="E1491" s="65" t="inlineStr">
        <is>
          <t>15 días</t>
        </is>
      </c>
      <c r="F1491" s="65" t="n"/>
      <c r="G1491" s="65" t="n"/>
      <c r="H1491" s="65" t="inlineStr">
        <is>
          <t>[0779] SINOCO SAE 20W-50 (1x12)</t>
        </is>
      </c>
      <c r="I1491" s="65" t="n">
        <v>779</v>
      </c>
      <c r="J1491" s="63" t="inlineStr">
        <is>
          <t>1,00</t>
        </is>
      </c>
      <c r="K1491" s="63" t="inlineStr">
        <is>
          <t>59,72</t>
        </is>
      </c>
      <c r="L1491" s="63" t="inlineStr">
        <is>
          <t>0,00</t>
        </is>
      </c>
      <c r="M1491" s="63" t="inlineStr">
        <is>
          <t>59,72</t>
        </is>
      </c>
      <c r="N1491" s="63" t="inlineStr">
        <is>
          <t>69,28</t>
        </is>
      </c>
      <c r="O1491" s="63" t="inlineStr">
        <is>
          <t>59,72</t>
        </is>
      </c>
      <c r="P1491" s="63" t="inlineStr">
        <is>
          <t>69,28</t>
        </is>
      </c>
      <c r="Q1491" s="63" t="inlineStr">
        <is>
          <t>474,53</t>
        </is>
      </c>
      <c r="R1491" s="66" t="n">
        <v>46154</v>
      </c>
      <c r="S1491" s="65" t="n">
        <v>42</v>
      </c>
      <c r="T1491" s="65" t="inlineStr">
        <is>
          <t>00-00000316</t>
        </is>
      </c>
      <c r="U1491" s="63" t="inlineStr">
        <is>
          <t>62,14</t>
        </is>
      </c>
      <c r="V1491" s="63" t="inlineStr">
        <is>
          <t>0,00</t>
        </is>
      </c>
    </row>
    <row r="1492">
      <c r="A1492" s="65" t="inlineStr">
        <is>
          <t>S00009</t>
        </is>
      </c>
      <c r="B1492" s="62" t="n">
        <v>46079.50851851852</v>
      </c>
      <c r="C1492" s="65" t="inlineStr">
        <is>
          <t>E&amp;M CAR SHOP C.A</t>
        </is>
      </c>
      <c r="D1492" s="65" t="inlineStr">
        <is>
          <t>CALDERON TERAN ARGIMIRO ANTONIO</t>
        </is>
      </c>
      <c r="E1492" s="65" t="n"/>
      <c r="F1492" s="65" t="n"/>
      <c r="G1492" s="65" t="n"/>
      <c r="H1492" s="65" t="inlineStr">
        <is>
          <t>[0602] SINOCO SAE 50 (PAILA)</t>
        </is>
      </c>
      <c r="I1492" s="65" t="n">
        <v>602</v>
      </c>
      <c r="J1492" s="63" t="inlineStr">
        <is>
          <t>4,00</t>
        </is>
      </c>
      <c r="K1492" s="63" t="inlineStr">
        <is>
          <t>72,41</t>
        </is>
      </c>
      <c r="L1492" s="63" t="inlineStr">
        <is>
          <t>0,00</t>
        </is>
      </c>
      <c r="M1492" s="63" t="inlineStr">
        <is>
          <t>289,64</t>
        </is>
      </c>
      <c r="N1492" s="63" t="inlineStr">
        <is>
          <t>335,98</t>
        </is>
      </c>
      <c r="O1492" s="63" t="inlineStr">
        <is>
          <t>289,64</t>
        </is>
      </c>
      <c r="P1492" s="63" t="inlineStr">
        <is>
          <t>335,98</t>
        </is>
      </c>
      <c r="Q1492" s="63" t="inlineStr">
        <is>
          <t>459,45</t>
        </is>
      </c>
      <c r="R1492" s="66" t="n">
        <v>46105</v>
      </c>
      <c r="S1492" s="65" t="n">
        <v>6</v>
      </c>
      <c r="T1492" s="65" t="inlineStr">
        <is>
          <t>00-00000089</t>
        </is>
      </c>
      <c r="U1492" s="63" t="inlineStr">
        <is>
          <t>396,44</t>
        </is>
      </c>
      <c r="V1492" s="63" t="inlineStr">
        <is>
          <t>362,39</t>
        </is>
      </c>
    </row>
    <row r="1493">
      <c r="A1493" s="65" t="n"/>
      <c r="B1493" s="65" t="n"/>
      <c r="C1493" s="65" t="n"/>
      <c r="D1493" s="65" t="n"/>
      <c r="E1493" s="65" t="n"/>
      <c r="F1493" s="65" t="n"/>
      <c r="G1493" s="65" t="n"/>
      <c r="H1493" s="65" t="n"/>
      <c r="I1493" s="65" t="n"/>
      <c r="J1493" s="65" t="n"/>
      <c r="K1493" s="65" t="n"/>
      <c r="L1493" s="65" t="n"/>
      <c r="M1493" s="65" t="n"/>
      <c r="N1493" s="65" t="n"/>
      <c r="O1493" s="65" t="n"/>
      <c r="P1493" s="65" t="n"/>
      <c r="Q1493" s="63" t="inlineStr">
        <is>
          <t>459,45</t>
        </is>
      </c>
      <c r="R1493" s="66" t="n">
        <v>46105</v>
      </c>
      <c r="S1493" s="65" t="n">
        <v>5</v>
      </c>
      <c r="T1493" s="65" t="inlineStr">
        <is>
          <t>00-00000086</t>
        </is>
      </c>
      <c r="U1493" s="63" t="inlineStr">
        <is>
          <t>302,77</t>
        </is>
      </c>
      <c r="V1493" s="63" t="inlineStr">
        <is>
          <t>0,00</t>
        </is>
      </c>
    </row>
    <row r="1494">
      <c r="A1494" s="65" t="n"/>
      <c r="B1494" s="65" t="n"/>
      <c r="C1494" s="65" t="n"/>
      <c r="D1494" s="65" t="n"/>
      <c r="E1494" s="65" t="n"/>
      <c r="F1494" s="65" t="n"/>
      <c r="G1494" s="65" t="n"/>
      <c r="H1494" s="65" t="n"/>
      <c r="I1494" s="65" t="n"/>
      <c r="J1494" s="65" t="n"/>
      <c r="K1494" s="65" t="n"/>
      <c r="L1494" s="65" t="n"/>
      <c r="M1494" s="65" t="n"/>
      <c r="N1494" s="65" t="n"/>
      <c r="O1494" s="65" t="n"/>
      <c r="P1494" s="65" t="n"/>
      <c r="Q1494" s="63" t="inlineStr">
        <is>
          <t>459,45</t>
        </is>
      </c>
      <c r="R1494" s="66" t="n">
        <v>46105</v>
      </c>
      <c r="S1494" s="65" t="n">
        <v>1</v>
      </c>
      <c r="T1494" s="65" t="inlineStr">
        <is>
          <t>00-00000087</t>
        </is>
      </c>
      <c r="U1494" s="63" t="inlineStr">
        <is>
          <t>-302,77</t>
        </is>
      </c>
      <c r="V1494" s="63" t="inlineStr">
        <is>
          <t>0,00</t>
        </is>
      </c>
    </row>
    <row r="1495">
      <c r="A1495" s="65" t="inlineStr">
        <is>
          <t>S00008</t>
        </is>
      </c>
      <c r="B1495" s="62" t="n">
        <v>46079.5028125</v>
      </c>
      <c r="C1495" s="65" t="inlineStr">
        <is>
          <t>ZIP MARKET, CA</t>
        </is>
      </c>
      <c r="D1495" s="65" t="inlineStr">
        <is>
          <t>CALDERON TERAN ARGIMIRO ANTONIO</t>
        </is>
      </c>
      <c r="E1495" s="65" t="n"/>
      <c r="F1495" s="65" t="n"/>
      <c r="G1495" s="65" t="n"/>
      <c r="H1495" s="65" t="inlineStr">
        <is>
          <t>[0163] CARIBE FUERA DE BORDA TC-W3 2 TIEMPOS (1x6)</t>
        </is>
      </c>
      <c r="I1495" s="65" t="n">
        <v>163</v>
      </c>
      <c r="J1495" s="63" t="inlineStr">
        <is>
          <t>1,00</t>
        </is>
      </c>
      <c r="K1495" s="63" t="inlineStr">
        <is>
          <t>30,46</t>
        </is>
      </c>
      <c r="L1495" s="63" t="inlineStr">
        <is>
          <t>0,00</t>
        </is>
      </c>
      <c r="M1495" s="63" t="inlineStr">
        <is>
          <t>30,46</t>
        </is>
      </c>
      <c r="N1495" s="63" t="inlineStr">
        <is>
          <t>35,33</t>
        </is>
      </c>
      <c r="O1495" s="63" t="inlineStr">
        <is>
          <t>30,46</t>
        </is>
      </c>
      <c r="P1495" s="63" t="inlineStr">
        <is>
          <t>35,33</t>
        </is>
      </c>
      <c r="Q1495" s="63" t="inlineStr">
        <is>
          <t>474,53</t>
        </is>
      </c>
      <c r="R1495" s="66" t="n">
        <v>46175</v>
      </c>
      <c r="S1495" s="65" t="n">
        <v>113</v>
      </c>
      <c r="T1495" s="65" t="inlineStr">
        <is>
          <t>00-00000485</t>
        </is>
      </c>
      <c r="U1495" s="63" t="inlineStr">
        <is>
          <t>35,32</t>
        </is>
      </c>
      <c r="V1495" s="63" t="inlineStr">
        <is>
          <t>0,00</t>
        </is>
      </c>
    </row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Q1402"/>
  <sheetViews>
    <sheetView workbookViewId="0">
      <selection activeCell="A1" sqref="A1"/>
    </sheetView>
  </sheetViews>
  <sheetFormatPr baseColWidth="8" defaultColWidth="14.43" defaultRowHeight="15" customHeight="1"/>
  <cols>
    <col width="21" customWidth="1" style="83" min="16" max="16"/>
  </cols>
  <sheetData>
    <row r="1">
      <c r="A1" s="60" t="inlineStr">
        <is>
          <t>Fecha de la factura</t>
        </is>
      </c>
      <c r="B1" s="60" t="inlineStr">
        <is>
          <t>Número de Documento</t>
        </is>
      </c>
      <c r="C1" s="60" t="inlineStr">
        <is>
          <t>Número de Control</t>
        </is>
      </c>
      <c r="D1" s="60" t="inlineStr">
        <is>
          <t>Origen</t>
        </is>
      </c>
      <c r="E1" s="60" t="inlineStr">
        <is>
          <t>Nombre del contacto a mostrar en la factura</t>
        </is>
      </c>
      <c r="F1" s="60" t="inlineStr">
        <is>
          <t>Subtotal</t>
        </is>
      </c>
      <c r="G1" s="60" t="inlineStr">
        <is>
          <t>Total en moneda firmado</t>
        </is>
      </c>
      <c r="H1" s="60" t="inlineStr">
        <is>
          <t>Total Signed Ref.</t>
        </is>
      </c>
      <c r="I1" s="60" t="inlineStr">
        <is>
          <t>Tasa</t>
        </is>
      </c>
      <c r="J1" s="60" t="inlineStr">
        <is>
          <t>Pagos conciliados/ID</t>
        </is>
      </c>
      <c r="K1" s="60" t="inlineStr">
        <is>
          <t>Líneas de factura/Producto/Referencia interna</t>
        </is>
      </c>
      <c r="L1" s="60" t="inlineStr">
        <is>
          <t>Líneas de factura/Producto/Nombre en pantalla</t>
        </is>
      </c>
      <c r="M1" s="60" t="inlineStr">
        <is>
          <t>Líneas de factura/Precio $</t>
        </is>
      </c>
      <c r="N1" s="60" t="inlineStr">
        <is>
          <t>Líneas de factura/Cantidad</t>
        </is>
      </c>
      <c r="O1" s="60" t="inlineStr">
        <is>
          <t>Líneas de factura/Descuento (%)</t>
        </is>
      </c>
      <c r="P1" s="60" t="inlineStr">
        <is>
          <t>Líneas de factura/SubTotal $</t>
        </is>
      </c>
      <c r="Q1" s="60" t="inlineStr">
        <is>
          <t>Líneas de factura/Total $</t>
        </is>
      </c>
    </row>
    <row r="2">
      <c r="A2" s="66" t="n">
        <v>46219</v>
      </c>
      <c r="B2" s="65" t="n">
        <v>515</v>
      </c>
      <c r="C2" s="65" t="inlineStr">
        <is>
          <t>00-00001068</t>
        </is>
      </c>
      <c r="D2" s="65" t="inlineStr">
        <is>
          <t>S00336</t>
        </is>
      </c>
      <c r="E2" s="65" t="inlineStr">
        <is>
          <t>Asociación Cooperativa la Esquina del Lubricante 9999 R.L</t>
        </is>
      </c>
      <c r="F2" s="63" t="inlineStr">
        <is>
          <t>195.687,30</t>
        </is>
      </c>
      <c r="G2" s="63" t="inlineStr">
        <is>
          <t>226.997,26</t>
        </is>
      </c>
      <c r="H2" s="63" t="inlineStr">
        <is>
          <t>312,03</t>
        </is>
      </c>
      <c r="I2" s="63" t="inlineStr">
        <is>
          <t>727,45</t>
        </is>
      </c>
      <c r="J2" s="65" t="n">
        <v>721</v>
      </c>
      <c r="K2" s="65" t="n">
        <v>877</v>
      </c>
      <c r="L2" s="65" t="inlineStr">
        <is>
          <t>[0877] SS EXTRA PROTECCION API SN SAE 15W-40 (1X12)</t>
        </is>
      </c>
      <c r="M2" s="63" t="inlineStr">
        <is>
          <t>100,80</t>
        </is>
      </c>
      <c r="N2" s="63" t="inlineStr">
        <is>
          <t>2,00</t>
        </is>
      </c>
      <c r="O2" s="63" t="inlineStr">
        <is>
          <t>0,79</t>
        </is>
      </c>
      <c r="P2" s="63" t="inlineStr">
        <is>
          <t>200,01</t>
        </is>
      </c>
      <c r="Q2" s="63" t="inlineStr">
        <is>
          <t>232,01</t>
        </is>
      </c>
    </row>
    <row r="3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>
        <v>749</v>
      </c>
      <c r="K3" s="65" t="n"/>
      <c r="L3" s="65" t="n"/>
      <c r="M3" s="65" t="n"/>
      <c r="N3" s="65" t="n"/>
      <c r="O3" s="65" t="n"/>
      <c r="P3" s="65" t="n"/>
      <c r="Q3" s="65" t="n"/>
    </row>
    <row r="4">
      <c r="A4" s="65" t="n"/>
      <c r="B4" s="65" t="n"/>
      <c r="C4" s="65" t="n"/>
      <c r="D4" s="65" t="n"/>
      <c r="E4" s="65" t="n"/>
      <c r="F4" s="65" t="n"/>
      <c r="G4" s="65" t="n"/>
      <c r="H4" s="65" t="n"/>
      <c r="I4" s="65" t="n"/>
      <c r="J4" s="65" t="n">
        <v>1016</v>
      </c>
      <c r="K4" s="65" t="n"/>
      <c r="L4" s="65" t="n"/>
      <c r="M4" s="65" t="n"/>
      <c r="N4" s="65" t="n"/>
      <c r="O4" s="65" t="n"/>
      <c r="P4" s="65" t="n"/>
      <c r="Q4" s="65" t="n"/>
    </row>
    <row r="5">
      <c r="A5" s="65" t="n"/>
      <c r="B5" s="65" t="n"/>
      <c r="C5" s="65" t="n"/>
      <c r="D5" s="65" t="n"/>
      <c r="E5" s="65" t="n"/>
      <c r="F5" s="65" t="n"/>
      <c r="G5" s="65" t="n"/>
      <c r="H5" s="65" t="n"/>
      <c r="I5" s="65" t="n"/>
      <c r="J5" s="65" t="n"/>
      <c r="K5" s="65" t="n">
        <v>915</v>
      </c>
      <c r="L5" s="65" t="inlineStr">
        <is>
          <t>[0915] SINOCO SAE 50 (1x12)</t>
        </is>
      </c>
      <c r="M5" s="63" t="inlineStr">
        <is>
          <t>70,29</t>
        </is>
      </c>
      <c r="N5" s="63" t="inlineStr">
        <is>
          <t>1,00</t>
        </is>
      </c>
      <c r="O5" s="63" t="inlineStr">
        <is>
          <t>1,84</t>
        </is>
      </c>
      <c r="P5" s="63" t="inlineStr">
        <is>
          <t>69,00</t>
        </is>
      </c>
      <c r="Q5" s="63" t="inlineStr">
        <is>
          <t>80,04</t>
        </is>
      </c>
    </row>
    <row r="6">
      <c r="A6" s="66" t="n">
        <v>46219</v>
      </c>
      <c r="B6" s="65" t="n">
        <v>514</v>
      </c>
      <c r="C6" s="65" t="inlineStr">
        <is>
          <t>00-00001067</t>
        </is>
      </c>
      <c r="D6" s="65" t="inlineStr">
        <is>
          <t>S00472</t>
        </is>
      </c>
      <c r="E6" s="65" t="inlineStr">
        <is>
          <t>Antonio Terán</t>
        </is>
      </c>
      <c r="F6" s="63" t="inlineStr">
        <is>
          <t>1.022.650,89</t>
        </is>
      </c>
      <c r="G6" s="63" t="inlineStr">
        <is>
          <t>1.186.275,04</t>
        </is>
      </c>
      <c r="H6" s="63" t="inlineStr">
        <is>
          <t>1.630,70</t>
        </is>
      </c>
      <c r="I6" s="63" t="inlineStr">
        <is>
          <t>727,45</t>
        </is>
      </c>
      <c r="J6" s="65" t="n">
        <v>766</v>
      </c>
      <c r="K6" s="65" t="n">
        <v>779</v>
      </c>
      <c r="L6" s="65" t="inlineStr">
        <is>
          <t>[0779] SINOCO SAE 20W-50 (1x12)</t>
        </is>
      </c>
      <c r="M6" s="63" t="inlineStr">
        <is>
          <t>70,29</t>
        </is>
      </c>
      <c r="N6" s="63" t="inlineStr">
        <is>
          <t>19,00</t>
        </is>
      </c>
      <c r="O6" s="63" t="inlineStr">
        <is>
          <t>0,00</t>
        </is>
      </c>
      <c r="P6" s="63" t="inlineStr">
        <is>
          <t>1.335,51</t>
        </is>
      </c>
      <c r="Q6" s="63" t="inlineStr">
        <is>
          <t>1.549,19</t>
        </is>
      </c>
    </row>
    <row r="7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5" t="n">
        <v>809</v>
      </c>
      <c r="K7" s="65" t="n"/>
      <c r="L7" s="65" t="n"/>
      <c r="M7" s="65" t="n"/>
      <c r="N7" s="65" t="n"/>
      <c r="O7" s="65" t="n"/>
      <c r="P7" s="65" t="n"/>
      <c r="Q7" s="65" t="n"/>
    </row>
    <row r="8">
      <c r="A8" s="65" t="n"/>
      <c r="B8" s="65" t="n"/>
      <c r="C8" s="65" t="n"/>
      <c r="D8" s="65" t="n"/>
      <c r="E8" s="65" t="n"/>
      <c r="F8" s="65" t="n"/>
      <c r="G8" s="65" t="n"/>
      <c r="H8" s="65" t="n"/>
      <c r="I8" s="65" t="n"/>
      <c r="J8" s="65" t="n">
        <v>849</v>
      </c>
      <c r="K8" s="65" t="n"/>
      <c r="L8" s="65" t="n"/>
      <c r="M8" s="65" t="n"/>
      <c r="N8" s="65" t="n"/>
      <c r="O8" s="65" t="n"/>
      <c r="P8" s="65" t="n"/>
      <c r="Q8" s="65" t="n"/>
    </row>
    <row r="9">
      <c r="A9" s="65" t="n"/>
      <c r="B9" s="65" t="n"/>
      <c r="C9" s="65" t="n"/>
      <c r="D9" s="65" t="n"/>
      <c r="E9" s="65" t="n"/>
      <c r="F9" s="65" t="n"/>
      <c r="G9" s="65" t="n"/>
      <c r="H9" s="65" t="n"/>
      <c r="I9" s="65" t="n"/>
      <c r="J9" s="65" t="n">
        <v>876</v>
      </c>
      <c r="K9" s="65" t="n"/>
      <c r="L9" s="65" t="n"/>
      <c r="M9" s="65" t="n"/>
      <c r="N9" s="65" t="n"/>
      <c r="O9" s="65" t="n"/>
      <c r="P9" s="65" t="n"/>
      <c r="Q9" s="65" t="n"/>
    </row>
    <row r="10">
      <c r="A10" s="65" t="n"/>
      <c r="B10" s="65" t="n"/>
      <c r="C10" s="65" t="n"/>
      <c r="D10" s="65" t="n"/>
      <c r="E10" s="65" t="n"/>
      <c r="F10" s="65" t="n"/>
      <c r="G10" s="65" t="n"/>
      <c r="H10" s="65" t="n"/>
      <c r="I10" s="65" t="n"/>
      <c r="J10" s="65" t="n">
        <v>1017</v>
      </c>
      <c r="K10" s="65" t="n"/>
      <c r="L10" s="65" t="n"/>
      <c r="M10" s="65" t="n"/>
      <c r="N10" s="65" t="n"/>
      <c r="O10" s="65" t="n"/>
      <c r="P10" s="65" t="n"/>
      <c r="Q10" s="65" t="n"/>
    </row>
    <row r="11">
      <c r="A11" s="65" t="n"/>
      <c r="B11" s="65" t="n"/>
      <c r="C11" s="65" t="n"/>
      <c r="D11" s="65" t="n"/>
      <c r="E11" s="65" t="n"/>
      <c r="F11" s="65" t="n"/>
      <c r="G11" s="65" t="n"/>
      <c r="H11" s="65" t="n"/>
      <c r="I11" s="65" t="n"/>
      <c r="J11" s="65" t="n"/>
      <c r="K11" s="65" t="n">
        <v>915</v>
      </c>
      <c r="L11" s="65" t="inlineStr">
        <is>
          <t>[0915] SINOCO SAE 50 (1x12)</t>
        </is>
      </c>
      <c r="M11" s="63" t="inlineStr">
        <is>
          <t>70,29</t>
        </is>
      </c>
      <c r="N11" s="63" t="inlineStr">
        <is>
          <t>1,00</t>
        </is>
      </c>
      <c r="O11" s="63" t="inlineStr">
        <is>
          <t>0,00</t>
        </is>
      </c>
      <c r="P11" s="63" t="inlineStr">
        <is>
          <t>70,29</t>
        </is>
      </c>
      <c r="Q11" s="63" t="inlineStr">
        <is>
          <t>81,54</t>
        </is>
      </c>
    </row>
    <row r="12">
      <c r="A12" s="66" t="n">
        <v>46219</v>
      </c>
      <c r="B12" s="65" t="n">
        <v>513</v>
      </c>
      <c r="C12" s="65" t="inlineStr">
        <is>
          <t>00-00001066</t>
        </is>
      </c>
      <c r="D12" s="65" t="inlineStr">
        <is>
          <t>S00542</t>
        </is>
      </c>
      <c r="E12" s="65" t="inlineStr">
        <is>
          <t>Alexander Quiroz</t>
        </is>
      </c>
      <c r="F12" s="63" t="inlineStr">
        <is>
          <t>1.285.026,53</t>
        </is>
      </c>
      <c r="G12" s="63" t="inlineStr">
        <is>
          <t>1.490.630,77</t>
        </is>
      </c>
      <c r="H12" s="63" t="inlineStr">
        <is>
          <t>2.049,10</t>
        </is>
      </c>
      <c r="I12" s="63" t="inlineStr">
        <is>
          <t>727,45</t>
        </is>
      </c>
      <c r="J12" s="65" t="n">
        <v>807</v>
      </c>
      <c r="K12" s="65" t="n">
        <v>603</v>
      </c>
      <c r="L12" s="65" t="inlineStr">
        <is>
          <t>[0603] SINOCO SAE 50 (Tambor)</t>
        </is>
      </c>
      <c r="M12" s="63" t="inlineStr">
        <is>
          <t>925,73</t>
        </is>
      </c>
      <c r="N12" s="63" t="inlineStr">
        <is>
          <t>2,00</t>
        </is>
      </c>
      <c r="O12" s="63" t="inlineStr">
        <is>
          <t>4,59</t>
        </is>
      </c>
      <c r="P12" s="63" t="inlineStr">
        <is>
          <t>1.766,48</t>
        </is>
      </c>
      <c r="Q12" s="63" t="inlineStr">
        <is>
          <t>2.049,11</t>
        </is>
      </c>
    </row>
    <row r="13">
      <c r="A13" s="65" t="n"/>
      <c r="B13" s="65" t="n"/>
      <c r="C13" s="65" t="n"/>
      <c r="D13" s="65" t="n"/>
      <c r="E13" s="65" t="n"/>
      <c r="F13" s="65" t="n"/>
      <c r="G13" s="65" t="n"/>
      <c r="H13" s="65" t="n"/>
      <c r="I13" s="65" t="n"/>
      <c r="J13" s="65" t="n">
        <v>869</v>
      </c>
      <c r="K13" s="65" t="n"/>
      <c r="L13" s="65" t="n"/>
      <c r="M13" s="65" t="n"/>
      <c r="N13" s="65" t="n"/>
      <c r="O13" s="65" t="n"/>
      <c r="P13" s="65" t="n"/>
      <c r="Q13" s="65" t="n"/>
    </row>
    <row r="14">
      <c r="A14" s="66" t="n">
        <v>46219</v>
      </c>
      <c r="B14" s="65" t="n">
        <v>512</v>
      </c>
      <c r="C14" s="65" t="inlineStr">
        <is>
          <t>00-00001065</t>
        </is>
      </c>
      <c r="D14" s="65" t="inlineStr">
        <is>
          <t>S00449</t>
        </is>
      </c>
      <c r="E14" s="65" t="inlineStr">
        <is>
          <t>Alexander Quiroz</t>
        </is>
      </c>
      <c r="F14" s="63" t="inlineStr">
        <is>
          <t>875.449,89</t>
        </is>
      </c>
      <c r="G14" s="63" t="inlineStr">
        <is>
          <t>1.015.521,87</t>
        </is>
      </c>
      <c r="H14" s="63" t="inlineStr">
        <is>
          <t>1.395,99</t>
        </is>
      </c>
      <c r="I14" s="63" t="inlineStr">
        <is>
          <t>727,45</t>
        </is>
      </c>
      <c r="J14" s="65" t="n">
        <v>589</v>
      </c>
      <c r="K14" s="65" t="n">
        <v>603</v>
      </c>
      <c r="L14" s="65" t="inlineStr">
        <is>
          <t>[0603] SINOCO SAE 50 (Tambor)</t>
        </is>
      </c>
      <c r="M14" s="63" t="inlineStr">
        <is>
          <t>601,72</t>
        </is>
      </c>
      <c r="N14" s="63" t="inlineStr">
        <is>
          <t>2,00</t>
        </is>
      </c>
      <c r="O14" s="63" t="inlineStr">
        <is>
          <t>0,00</t>
        </is>
      </c>
      <c r="P14" s="63" t="inlineStr">
        <is>
          <t>1.203,45</t>
        </is>
      </c>
      <c r="Q14" s="63" t="inlineStr">
        <is>
          <t>1.396,00</t>
        </is>
      </c>
    </row>
    <row r="15">
      <c r="A15" s="65" t="n"/>
      <c r="B15" s="65" t="n"/>
      <c r="C15" s="65" t="n"/>
      <c r="D15" s="65" t="n"/>
      <c r="E15" s="65" t="n"/>
      <c r="F15" s="65" t="n"/>
      <c r="G15" s="65" t="n"/>
      <c r="H15" s="65" t="n"/>
      <c r="I15" s="65" t="n"/>
      <c r="J15" s="65" t="n">
        <v>696</v>
      </c>
      <c r="K15" s="65" t="n"/>
      <c r="L15" s="65" t="n"/>
      <c r="M15" s="65" t="n"/>
      <c r="N15" s="65" t="n"/>
      <c r="O15" s="65" t="n"/>
      <c r="P15" s="65" t="n"/>
      <c r="Q15" s="65" t="n"/>
    </row>
    <row r="16">
      <c r="A16" s="65" t="n"/>
      <c r="B16" s="65" t="n"/>
      <c r="C16" s="65" t="n"/>
      <c r="D16" s="65" t="n"/>
      <c r="E16" s="65" t="n"/>
      <c r="F16" s="65" t="n"/>
      <c r="G16" s="65" t="n"/>
      <c r="H16" s="65" t="n"/>
      <c r="I16" s="65" t="n"/>
      <c r="J16" s="65" t="n">
        <v>807</v>
      </c>
      <c r="K16" s="65" t="n"/>
      <c r="L16" s="65" t="n"/>
      <c r="M16" s="65" t="n"/>
      <c r="N16" s="65" t="n"/>
      <c r="O16" s="65" t="n"/>
      <c r="P16" s="65" t="n"/>
      <c r="Q16" s="65" t="n"/>
    </row>
    <row r="17">
      <c r="A17" s="66" t="n">
        <v>46217</v>
      </c>
      <c r="B17" s="65" t="n">
        <v>511</v>
      </c>
      <c r="C17" s="65" t="inlineStr">
        <is>
          <t>00-00001055</t>
        </is>
      </c>
      <c r="D17" s="65" t="inlineStr">
        <is>
          <t>S00654</t>
        </is>
      </c>
      <c r="E17" s="65" t="inlineStr">
        <is>
          <t>MOTOREPUESTOS EL GUANÁBANO YRM C.A.</t>
        </is>
      </c>
      <c r="F17" s="63" t="inlineStr">
        <is>
          <t>156.521,34</t>
        </is>
      </c>
      <c r="G17" s="63" t="inlineStr">
        <is>
          <t>181.564,75</t>
        </is>
      </c>
      <c r="H17" s="63" t="inlineStr">
        <is>
          <t>250,77</t>
        </is>
      </c>
      <c r="I17" s="63" t="inlineStr">
        <is>
          <t>724,00</t>
        </is>
      </c>
      <c r="J17" s="65" t="n"/>
      <c r="K17" s="65" t="n">
        <v>887</v>
      </c>
      <c r="L17" s="65" t="inlineStr">
        <is>
          <t>[0887] MOTOCLASICO 4T SAE 20W-50 (1x12)</t>
        </is>
      </c>
      <c r="M17" s="63" t="inlineStr">
        <is>
          <t>90,19</t>
        </is>
      </c>
      <c r="N17" s="63" t="inlineStr">
        <is>
          <t>2,00</t>
        </is>
      </c>
      <c r="O17" s="63" t="inlineStr">
        <is>
          <t>0,00</t>
        </is>
      </c>
      <c r="P17" s="63" t="inlineStr">
        <is>
          <t>180,38</t>
        </is>
      </c>
      <c r="Q17" s="63" t="inlineStr">
        <is>
          <t>209,24</t>
        </is>
      </c>
    </row>
    <row r="18">
      <c r="A18" s="65" t="n"/>
      <c r="B18" s="65" t="n"/>
      <c r="C18" s="65" t="n"/>
      <c r="D18" s="65" t="n"/>
      <c r="E18" s="65" t="n"/>
      <c r="F18" s="65" t="n"/>
      <c r="G18" s="65" t="n"/>
      <c r="H18" s="65" t="n"/>
      <c r="I18" s="65" t="n"/>
      <c r="J18" s="65" t="n"/>
      <c r="K18" s="65" t="n">
        <v>761</v>
      </c>
      <c r="L18" s="65" t="inlineStr">
        <is>
          <t>[0761] LIGA PARA FRENOS DOT-3 (1x12)</t>
        </is>
      </c>
      <c r="M18" s="63" t="inlineStr">
        <is>
          <t>35,81</t>
        </is>
      </c>
      <c r="N18" s="63" t="inlineStr">
        <is>
          <t>1,00</t>
        </is>
      </c>
      <c r="O18" s="63" t="inlineStr">
        <is>
          <t>0,00</t>
        </is>
      </c>
      <c r="P18" s="63" t="inlineStr">
        <is>
          <t>35,81</t>
        </is>
      </c>
      <c r="Q18" s="63" t="inlineStr">
        <is>
          <t>41,54</t>
        </is>
      </c>
    </row>
    <row r="19">
      <c r="A19" s="66" t="n">
        <v>46217</v>
      </c>
      <c r="B19" s="65" t="n">
        <v>510</v>
      </c>
      <c r="C19" s="65" t="inlineStr">
        <is>
          <t>00-00001054</t>
        </is>
      </c>
      <c r="D19" s="65" t="inlineStr">
        <is>
          <t>S00658</t>
        </is>
      </c>
      <c r="E19" s="65" t="inlineStr">
        <is>
          <t>Inversiones Mirelkys C.A</t>
        </is>
      </c>
      <c r="F19" s="63" t="inlineStr">
        <is>
          <t>231.411,79</t>
        </is>
      </c>
      <c r="G19" s="63" t="inlineStr">
        <is>
          <t>268.437,67</t>
        </is>
      </c>
      <c r="H19" s="63" t="inlineStr">
        <is>
          <t>370,74</t>
        </is>
      </c>
      <c r="I19" s="63" t="inlineStr">
        <is>
          <t>724,00</t>
        </is>
      </c>
      <c r="J19" s="65" t="n"/>
      <c r="K19" s="65" t="n">
        <v>602</v>
      </c>
      <c r="L19" s="65" t="inlineStr">
        <is>
          <t>[0602] SINOCO SAE 50 (PAILA)</t>
        </is>
      </c>
      <c r="M19" s="63" t="inlineStr">
        <is>
          <t>96,82</t>
        </is>
      </c>
      <c r="N19" s="63" t="inlineStr">
        <is>
          <t>1,00</t>
        </is>
      </c>
      <c r="O19" s="63" t="inlineStr">
        <is>
          <t>0,00</t>
        </is>
      </c>
      <c r="P19" s="63" t="inlineStr">
        <is>
          <t>96,82</t>
        </is>
      </c>
      <c r="Q19" s="63" t="inlineStr">
        <is>
          <t>112,31</t>
        </is>
      </c>
    </row>
    <row r="20">
      <c r="A20" s="65" t="n"/>
      <c r="B20" s="65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65" t="n">
        <v>605</v>
      </c>
      <c r="L20" s="65" t="inlineStr">
        <is>
          <t>[0605] SINOCO SAE 20W-50 (PAILA)</t>
        </is>
      </c>
      <c r="M20" s="63" t="inlineStr">
        <is>
          <t>96,82</t>
        </is>
      </c>
      <c r="N20" s="63" t="inlineStr">
        <is>
          <t>1,00</t>
        </is>
      </c>
      <c r="O20" s="63" t="inlineStr">
        <is>
          <t>0,00</t>
        </is>
      </c>
      <c r="P20" s="63" t="inlineStr">
        <is>
          <t>96,82</t>
        </is>
      </c>
      <c r="Q20" s="63" t="inlineStr">
        <is>
          <t>112,31</t>
        </is>
      </c>
    </row>
    <row r="21">
      <c r="A21" s="65" t="n"/>
      <c r="B21" s="65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65" t="n">
        <v>107</v>
      </c>
      <c r="L21" s="65" t="inlineStr">
        <is>
          <t>[0107] TRANSMATIC ATF DEXRON III (PAILA)</t>
        </is>
      </c>
      <c r="M21" s="63" t="inlineStr">
        <is>
          <t>125,99</t>
        </is>
      </c>
      <c r="N21" s="63" t="inlineStr">
        <is>
          <t>1,00</t>
        </is>
      </c>
      <c r="O21" s="63" t="inlineStr">
        <is>
          <t>0,00</t>
        </is>
      </c>
      <c r="P21" s="63" t="inlineStr">
        <is>
          <t>125,99</t>
        </is>
      </c>
      <c r="Q21" s="63" t="inlineStr">
        <is>
          <t>146,15</t>
        </is>
      </c>
    </row>
    <row r="22">
      <c r="A22" s="66" t="n">
        <v>46217</v>
      </c>
      <c r="B22" s="65" t="n">
        <v>509</v>
      </c>
      <c r="C22" s="65" t="inlineStr">
        <is>
          <t>00-00001053</t>
        </is>
      </c>
      <c r="D22" s="65" t="inlineStr">
        <is>
          <t>S00655</t>
        </is>
      </c>
      <c r="E22" s="65" t="inlineStr">
        <is>
          <t>REPRESENTACIONES LAGUS MEL, C. A</t>
        </is>
      </c>
      <c r="F22" s="63" t="inlineStr">
        <is>
          <t>72.979,10</t>
        </is>
      </c>
      <c r="G22" s="63" t="inlineStr">
        <is>
          <t>84.655,76</t>
        </is>
      </c>
      <c r="H22" s="63" t="inlineStr">
        <is>
          <t>116,92</t>
        </is>
      </c>
      <c r="I22" s="63" t="inlineStr">
        <is>
          <t>724,00</t>
        </is>
      </c>
      <c r="J22" s="65" t="n"/>
      <c r="K22" s="65" t="n">
        <v>877</v>
      </c>
      <c r="L22" s="65" t="inlineStr">
        <is>
          <t>[0877] SS EXTRA PROTECCION API SN SAE 15W-40 (1X12)</t>
        </is>
      </c>
      <c r="M22" s="63" t="inlineStr">
        <is>
          <t>100,80</t>
        </is>
      </c>
      <c r="N22" s="63" t="inlineStr">
        <is>
          <t>1,00</t>
        </is>
      </c>
      <c r="O22" s="63" t="inlineStr">
        <is>
          <t>0,00</t>
        </is>
      </c>
      <c r="P22" s="63" t="inlineStr">
        <is>
          <t>100,80</t>
        </is>
      </c>
      <c r="Q22" s="63" t="inlineStr">
        <is>
          <t>116,93</t>
        </is>
      </c>
    </row>
    <row r="23">
      <c r="A23" s="66" t="n">
        <v>46217</v>
      </c>
      <c r="B23" s="65" t="n">
        <v>508</v>
      </c>
      <c r="C23" s="65" t="inlineStr">
        <is>
          <t>00-00001052</t>
        </is>
      </c>
      <c r="D23" s="65" t="inlineStr">
        <is>
          <t>S00659</t>
        </is>
      </c>
      <c r="E23" s="65" t="inlineStr">
        <is>
          <t>Yesenia luna</t>
        </is>
      </c>
      <c r="F23" s="63" t="inlineStr">
        <is>
          <t>362.006,74</t>
        </is>
      </c>
      <c r="G23" s="63" t="inlineStr">
        <is>
          <t>419.927,83</t>
        </is>
      </c>
      <c r="H23" s="63" t="inlineStr">
        <is>
          <t>580,00</t>
        </is>
      </c>
      <c r="I23" s="63" t="inlineStr">
        <is>
          <t>724,00</t>
        </is>
      </c>
      <c r="J23" s="65" t="n"/>
      <c r="K23" s="65" t="n">
        <v>877</v>
      </c>
      <c r="L23" s="65" t="inlineStr">
        <is>
          <t>[0877] SS EXTRA PROTECCION API SN SAE 15W-40 (1X12)</t>
        </is>
      </c>
      <c r="M23" s="63" t="inlineStr">
        <is>
          <t>100,80</t>
        </is>
      </c>
      <c r="N23" s="63" t="inlineStr">
        <is>
          <t>1,00</t>
        </is>
      </c>
      <c r="O23" s="63" t="inlineStr">
        <is>
          <t>0,00</t>
        </is>
      </c>
      <c r="P23" s="63" t="inlineStr">
        <is>
          <t>100,80</t>
        </is>
      </c>
      <c r="Q23" s="63" t="inlineStr">
        <is>
          <t>116,93</t>
        </is>
      </c>
    </row>
    <row r="24">
      <c r="A24" s="65" t="n"/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3" t="inlineStr">
        <is>
          <t>0,00</t>
        </is>
      </c>
      <c r="N24" s="63" t="inlineStr">
        <is>
          <t>0,00</t>
        </is>
      </c>
      <c r="O24" s="63" t="inlineStr">
        <is>
          <t>0,00</t>
        </is>
      </c>
      <c r="P24" s="63" t="inlineStr">
        <is>
          <t>0,00</t>
        </is>
      </c>
      <c r="Q24" s="63" t="inlineStr">
        <is>
          <t>0,00</t>
        </is>
      </c>
    </row>
    <row r="25">
      <c r="A25" s="65" t="n"/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>
        <v>878</v>
      </c>
      <c r="L25" s="65" t="inlineStr">
        <is>
          <t>[0878] SS EXTRA PROTECCION API SN SAE 20W-50 (1x12)</t>
        </is>
      </c>
      <c r="M25" s="63" t="inlineStr">
        <is>
          <t>100,80</t>
        </is>
      </c>
      <c r="N25" s="63" t="inlineStr">
        <is>
          <t>1,00</t>
        </is>
      </c>
      <c r="O25" s="63" t="inlineStr">
        <is>
          <t>0,00</t>
        </is>
      </c>
      <c r="P25" s="63" t="inlineStr">
        <is>
          <t>100,80</t>
        </is>
      </c>
      <c r="Q25" s="63" t="inlineStr">
        <is>
          <t>116,93</t>
        </is>
      </c>
    </row>
    <row r="26">
      <c r="A26" s="65" t="n"/>
      <c r="B26" s="65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>
        <v>121</v>
      </c>
      <c r="L26" s="65" t="inlineStr">
        <is>
          <t>[0121] TRANSGLOB API GL-5 SAE 80W-90 (1x6)</t>
        </is>
      </c>
      <c r="M26" s="63" t="inlineStr">
        <is>
          <t>51,72</t>
        </is>
      </c>
      <c r="N26" s="63" t="inlineStr">
        <is>
          <t>1,00</t>
        </is>
      </c>
      <c r="O26" s="63" t="inlineStr">
        <is>
          <t>0,00</t>
        </is>
      </c>
      <c r="P26" s="63" t="inlineStr">
        <is>
          <t>51,72</t>
        </is>
      </c>
      <c r="Q26" s="63" t="inlineStr">
        <is>
          <t>60,00</t>
        </is>
      </c>
    </row>
    <row r="27">
      <c r="A27" s="65" t="n"/>
      <c r="B27" s="65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>
        <v>887</v>
      </c>
      <c r="L27" s="65" t="inlineStr">
        <is>
          <t>[0887] MOTOCLASICO 4T SAE 20W-50 (1x12)</t>
        </is>
      </c>
      <c r="M27" s="63" t="inlineStr">
        <is>
          <t>90,19</t>
        </is>
      </c>
      <c r="N27" s="63" t="inlineStr">
        <is>
          <t>1,00</t>
        </is>
      </c>
      <c r="O27" s="63" t="inlineStr">
        <is>
          <t>0,00</t>
        </is>
      </c>
      <c r="P27" s="63" t="inlineStr">
        <is>
          <t>90,19</t>
        </is>
      </c>
      <c r="Q27" s="63" t="inlineStr">
        <is>
          <t>104,62</t>
        </is>
      </c>
    </row>
    <row r="28">
      <c r="A28" s="65" t="n"/>
      <c r="B28" s="65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>
        <v>880</v>
      </c>
      <c r="L28" s="65" t="inlineStr">
        <is>
          <t>[0880] CLASICO API SL SAE 15W-40 (1x12)</t>
        </is>
      </c>
      <c r="M28" s="63" t="inlineStr">
        <is>
          <t>86,21</t>
        </is>
      </c>
      <c r="N28" s="63" t="inlineStr">
        <is>
          <t>1,00</t>
        </is>
      </c>
      <c r="O28" s="63" t="inlineStr">
        <is>
          <t>0,00</t>
        </is>
      </c>
      <c r="P28" s="63" t="inlineStr">
        <is>
          <t>86,21</t>
        </is>
      </c>
      <c r="Q28" s="63" t="inlineStr">
        <is>
          <t>100,00</t>
        </is>
      </c>
    </row>
    <row r="29">
      <c r="A29" s="65" t="n"/>
      <c r="B29" s="65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65" t="n">
        <v>915</v>
      </c>
      <c r="L29" s="65" t="inlineStr">
        <is>
          <t>[0915] SINOCO SAE 50 (1x12)</t>
        </is>
      </c>
      <c r="M29" s="63" t="inlineStr">
        <is>
          <t>70,29</t>
        </is>
      </c>
      <c r="N29" s="63" t="inlineStr">
        <is>
          <t>1,00</t>
        </is>
      </c>
      <c r="O29" s="63" t="inlineStr">
        <is>
          <t>0,00</t>
        </is>
      </c>
      <c r="P29" s="63" t="inlineStr">
        <is>
          <t>70,29</t>
        </is>
      </c>
      <c r="Q29" s="63" t="inlineStr">
        <is>
          <t>81,54</t>
        </is>
      </c>
    </row>
    <row r="30">
      <c r="A30" s="66" t="n">
        <v>46217</v>
      </c>
      <c r="B30" s="65" t="n">
        <v>507</v>
      </c>
      <c r="C30" s="65" t="inlineStr">
        <is>
          <t>00-00001051</t>
        </is>
      </c>
      <c r="D30" s="65" t="inlineStr">
        <is>
          <t>S00662</t>
        </is>
      </c>
      <c r="E30" s="65" t="inlineStr">
        <is>
          <t>Emprendimiento Eduardo Pérez 6</t>
        </is>
      </c>
      <c r="F30" s="63" t="inlineStr">
        <is>
          <t>84.497,92</t>
        </is>
      </c>
      <c r="G30" s="63" t="inlineStr">
        <is>
          <t>98.017,58</t>
        </is>
      </c>
      <c r="H30" s="63" t="inlineStr">
        <is>
          <t>135,37</t>
        </is>
      </c>
      <c r="I30" s="63" t="inlineStr">
        <is>
          <t>724,00</t>
        </is>
      </c>
      <c r="J30" s="65" t="n"/>
      <c r="K30" s="65" t="n">
        <v>779</v>
      </c>
      <c r="L30" s="65" t="inlineStr">
        <is>
          <t>[0779] SINOCO SAE 20W-50 (1x12)</t>
        </is>
      </c>
      <c r="M30" s="63" t="inlineStr">
        <is>
          <t>70,29</t>
        </is>
      </c>
      <c r="N30" s="63" t="inlineStr">
        <is>
          <t>1,00</t>
        </is>
      </c>
      <c r="O30" s="63" t="inlineStr">
        <is>
          <t>0,00</t>
        </is>
      </c>
      <c r="P30" s="63" t="inlineStr">
        <is>
          <t>70,29</t>
        </is>
      </c>
      <c r="Q30" s="63" t="inlineStr">
        <is>
          <t>81,54</t>
        </is>
      </c>
    </row>
    <row r="31">
      <c r="A31" s="65" t="n"/>
      <c r="B31" s="65" t="n"/>
      <c r="C31" s="65" t="n"/>
      <c r="D31" s="65" t="n"/>
      <c r="E31" s="65" t="n"/>
      <c r="F31" s="65" t="n"/>
      <c r="G31" s="65" t="n"/>
      <c r="H31" s="65" t="n"/>
      <c r="I31" s="65" t="n"/>
      <c r="J31" s="65" t="n"/>
      <c r="K31" s="65" t="n">
        <v>93</v>
      </c>
      <c r="L31" s="65" t="inlineStr">
        <is>
          <t>[0093] ALTA CILINDRADA SS API SN SAE 15W-40 (1x6)</t>
        </is>
      </c>
      <c r="M31" s="63" t="inlineStr">
        <is>
          <t>46,42</t>
        </is>
      </c>
      <c r="N31" s="63" t="inlineStr">
        <is>
          <t>1,00</t>
        </is>
      </c>
      <c r="O31" s="63" t="inlineStr">
        <is>
          <t>0,00</t>
        </is>
      </c>
      <c r="P31" s="63" t="inlineStr">
        <is>
          <t>46,42</t>
        </is>
      </c>
      <c r="Q31" s="63" t="inlineStr">
        <is>
          <t>53,85</t>
        </is>
      </c>
    </row>
    <row r="32">
      <c r="A32" s="66" t="n">
        <v>46217</v>
      </c>
      <c r="B32" s="65" t="n">
        <v>506</v>
      </c>
      <c r="C32" s="65" t="inlineStr">
        <is>
          <t>00-00001050</t>
        </is>
      </c>
      <c r="D32" s="65" t="inlineStr">
        <is>
          <t>S00480</t>
        </is>
      </c>
      <c r="E32" s="65" t="inlineStr">
        <is>
          <t>Alejandro Zorrilla</t>
        </is>
      </c>
      <c r="F32" s="63" t="inlineStr">
        <is>
          <t>72.979,10</t>
        </is>
      </c>
      <c r="G32" s="63" t="inlineStr">
        <is>
          <t>84.655,76</t>
        </is>
      </c>
      <c r="H32" s="63" t="inlineStr">
        <is>
          <t>116,92</t>
        </is>
      </c>
      <c r="I32" s="63" t="inlineStr">
        <is>
          <t>724,00</t>
        </is>
      </c>
      <c r="J32" s="65" t="n"/>
      <c r="K32" s="65" t="n">
        <v>877</v>
      </c>
      <c r="L32" s="65" t="inlineStr">
        <is>
          <t>[0877] SS EXTRA PROTECCION API SN SAE 15W-40 (1X12)</t>
        </is>
      </c>
      <c r="M32" s="63" t="inlineStr">
        <is>
          <t>100,80</t>
        </is>
      </c>
      <c r="N32" s="63" t="inlineStr">
        <is>
          <t>1,00</t>
        </is>
      </c>
      <c r="O32" s="63" t="inlineStr">
        <is>
          <t>0,00</t>
        </is>
      </c>
      <c r="P32" s="63" t="inlineStr">
        <is>
          <t>100,80</t>
        </is>
      </c>
      <c r="Q32" s="63" t="inlineStr">
        <is>
          <t>116,93</t>
        </is>
      </c>
    </row>
    <row r="33">
      <c r="A33" s="66" t="n">
        <v>46217</v>
      </c>
      <c r="B33" s="65" t="n">
        <v>505</v>
      </c>
      <c r="C33" s="65" t="inlineStr">
        <is>
          <t>00-00001049</t>
        </is>
      </c>
      <c r="D33" s="65" t="inlineStr">
        <is>
          <t>S00665</t>
        </is>
      </c>
      <c r="E33" s="65" t="inlineStr">
        <is>
          <t>COMERCIALIZADORA VV 77 C.A</t>
        </is>
      </c>
      <c r="F33" s="63" t="inlineStr">
        <is>
          <t>36.489,55</t>
        </is>
      </c>
      <c r="G33" s="63" t="inlineStr">
        <is>
          <t>42.327,88</t>
        </is>
      </c>
      <c r="H33" s="63" t="inlineStr">
        <is>
          <t>58,46</t>
        </is>
      </c>
      <c r="I33" s="63" t="inlineStr">
        <is>
          <t>724,00</t>
        </is>
      </c>
      <c r="J33" s="65" t="n"/>
      <c r="K33" s="65" t="n">
        <v>25</v>
      </c>
      <c r="L33" s="65" t="inlineStr">
        <is>
          <t>[0025] SS EXTRA PROTECCION API SN SAE 10W-30 (Gasolina) (1x6)</t>
        </is>
      </c>
      <c r="M33" s="63" t="inlineStr">
        <is>
          <t>50,40</t>
        </is>
      </c>
      <c r="N33" s="63" t="inlineStr">
        <is>
          <t>1,00</t>
        </is>
      </c>
      <c r="O33" s="63" t="inlineStr">
        <is>
          <t>0,00</t>
        </is>
      </c>
      <c r="P33" s="63" t="inlineStr">
        <is>
          <t>50,40</t>
        </is>
      </c>
      <c r="Q33" s="63" t="inlineStr">
        <is>
          <t>58,46</t>
        </is>
      </c>
    </row>
    <row r="34">
      <c r="A34" s="66" t="n">
        <v>46217</v>
      </c>
      <c r="B34" s="65" t="n">
        <v>504</v>
      </c>
      <c r="C34" s="65" t="inlineStr">
        <is>
          <t>00-00001048</t>
        </is>
      </c>
      <c r="D34" s="65" t="inlineStr">
        <is>
          <t>S00668</t>
        </is>
      </c>
      <c r="E34" s="65" t="inlineStr">
        <is>
          <t>Auto Partes Y Repuestos Encava Express,c.a.</t>
        </is>
      </c>
      <c r="F34" s="63" t="inlineStr">
        <is>
          <t>107.542,81</t>
        </is>
      </c>
      <c r="G34" s="63" t="inlineStr">
        <is>
          <t>124.749,66</t>
        </is>
      </c>
      <c r="H34" s="63" t="inlineStr">
        <is>
          <t>172,29</t>
        </is>
      </c>
      <c r="I34" s="63" t="inlineStr">
        <is>
          <t>724,00</t>
        </is>
      </c>
      <c r="J34" s="65" t="n"/>
      <c r="K34" s="65" t="n">
        <v>884</v>
      </c>
      <c r="L34" s="65" t="inlineStr">
        <is>
          <t>[0884] TRANSMATIC ATF DEXRON III (1x12)</t>
        </is>
      </c>
      <c r="M34" s="63" t="inlineStr">
        <is>
          <t>95,49</t>
        </is>
      </c>
      <c r="N34" s="63" t="inlineStr">
        <is>
          <t>1,00</t>
        </is>
      </c>
      <c r="O34" s="63" t="inlineStr">
        <is>
          <t>0,00</t>
        </is>
      </c>
      <c r="P34" s="63" t="inlineStr">
        <is>
          <t>95,49</t>
        </is>
      </c>
      <c r="Q34" s="63" t="inlineStr">
        <is>
          <t>110,77</t>
        </is>
      </c>
    </row>
    <row r="35">
      <c r="A35" s="65" t="n"/>
      <c r="B35" s="65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65" t="n">
        <v>127</v>
      </c>
      <c r="L35" s="65" t="inlineStr">
        <is>
          <t>[0127] TRANSGLOB API GL-5 SAE 85W-140 (1x6)</t>
        </is>
      </c>
      <c r="M35" s="63" t="inlineStr">
        <is>
          <t>53,05</t>
        </is>
      </c>
      <c r="N35" s="63" t="inlineStr">
        <is>
          <t>1,00</t>
        </is>
      </c>
      <c r="O35" s="63" t="inlineStr">
        <is>
          <t>0,00</t>
        </is>
      </c>
      <c r="P35" s="63" t="inlineStr">
        <is>
          <t>53,05</t>
        </is>
      </c>
      <c r="Q35" s="63" t="inlineStr">
        <is>
          <t>61,54</t>
        </is>
      </c>
    </row>
    <row r="36">
      <c r="A36" s="66" t="n">
        <v>46217</v>
      </c>
      <c r="B36" s="65" t="n">
        <v>503</v>
      </c>
      <c r="C36" s="65" t="inlineStr">
        <is>
          <t>00-00001047</t>
        </is>
      </c>
      <c r="D36" s="65" t="inlineStr">
        <is>
          <t>S00667</t>
        </is>
      </c>
      <c r="E36" s="65" t="inlineStr">
        <is>
          <t>Emprendimiento Jorge camacaro 8</t>
        </is>
      </c>
      <c r="F36" s="63" t="inlineStr">
        <is>
          <t>175.721,79</t>
        </is>
      </c>
      <c r="G36" s="63" t="inlineStr">
        <is>
          <t>203.837,27</t>
        </is>
      </c>
      <c r="H36" s="63" t="inlineStr">
        <is>
          <t>281,52</t>
        </is>
      </c>
      <c r="I36" s="63" t="inlineStr">
        <is>
          <t>724,00</t>
        </is>
      </c>
      <c r="J36" s="65" t="n"/>
      <c r="K36" s="65" t="n">
        <v>93</v>
      </c>
      <c r="L36" s="65" t="inlineStr">
        <is>
          <t>[0093] ALTA CILINDRADA SS API SN SAE 15W-40 (1x6)</t>
        </is>
      </c>
      <c r="M36" s="63" t="inlineStr">
        <is>
          <t>46,42</t>
        </is>
      </c>
      <c r="N36" s="63" t="inlineStr">
        <is>
          <t>1,00</t>
        </is>
      </c>
      <c r="O36" s="63" t="inlineStr">
        <is>
          <t>0,00</t>
        </is>
      </c>
      <c r="P36" s="63" t="inlineStr">
        <is>
          <t>46,42</t>
        </is>
      </c>
      <c r="Q36" s="63" t="inlineStr">
        <is>
          <t>53,85</t>
        </is>
      </c>
    </row>
    <row r="37">
      <c r="A37" s="65" t="n"/>
      <c r="B37" s="65" t="n"/>
      <c r="C37" s="65" t="n"/>
      <c r="D37" s="65" t="n"/>
      <c r="E37" s="65" t="n"/>
      <c r="F37" s="65" t="n"/>
      <c r="G37" s="65" t="n"/>
      <c r="H37" s="65" t="n"/>
      <c r="I37" s="65" t="n"/>
      <c r="J37" s="65" t="n"/>
      <c r="K37" s="65" t="n">
        <v>887</v>
      </c>
      <c r="L37" s="65" t="inlineStr">
        <is>
          <t>[0887] MOTOCLASICO 4T SAE 20W-50 (1x12)</t>
        </is>
      </c>
      <c r="M37" s="63" t="inlineStr">
        <is>
          <t>90,19</t>
        </is>
      </c>
      <c r="N37" s="63" t="inlineStr">
        <is>
          <t>1,00</t>
        </is>
      </c>
      <c r="O37" s="63" t="inlineStr">
        <is>
          <t>0,00</t>
        </is>
      </c>
      <c r="P37" s="63" t="inlineStr">
        <is>
          <t>90,19</t>
        </is>
      </c>
      <c r="Q37" s="63" t="inlineStr">
        <is>
          <t>104,62</t>
        </is>
      </c>
    </row>
    <row r="38">
      <c r="A38" s="65" t="n"/>
      <c r="B38" s="65" t="n"/>
      <c r="C38" s="65" t="n"/>
      <c r="D38" s="65" t="n"/>
      <c r="E38" s="65" t="n"/>
      <c r="F38" s="65" t="n"/>
      <c r="G38" s="65" t="n"/>
      <c r="H38" s="65" t="n"/>
      <c r="I38" s="65" t="n"/>
      <c r="J38" s="65" t="n"/>
      <c r="K38" s="65" t="n">
        <v>779</v>
      </c>
      <c r="L38" s="65" t="inlineStr">
        <is>
          <t>[0779] SINOCO SAE 20W-50 (1x12)</t>
        </is>
      </c>
      <c r="M38" s="63" t="inlineStr">
        <is>
          <t>70,29</t>
        </is>
      </c>
      <c r="N38" s="63" t="inlineStr">
        <is>
          <t>1,00</t>
        </is>
      </c>
      <c r="O38" s="63" t="inlineStr">
        <is>
          <t>0,00</t>
        </is>
      </c>
      <c r="P38" s="63" t="inlineStr">
        <is>
          <t>70,29</t>
        </is>
      </c>
      <c r="Q38" s="63" t="inlineStr">
        <is>
          <t>81,54</t>
        </is>
      </c>
    </row>
    <row r="39">
      <c r="A39" s="65" t="n"/>
      <c r="B39" s="65" t="n"/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>
        <v>761</v>
      </c>
      <c r="L39" s="65" t="inlineStr">
        <is>
          <t>[0761] LIGA PARA FRENOS DOT-3 (1x12)</t>
        </is>
      </c>
      <c r="M39" s="63" t="inlineStr">
        <is>
          <t>35,81</t>
        </is>
      </c>
      <c r="N39" s="63" t="inlineStr">
        <is>
          <t>1,00</t>
        </is>
      </c>
      <c r="O39" s="63" t="inlineStr">
        <is>
          <t>0,00</t>
        </is>
      </c>
      <c r="P39" s="63" t="inlineStr">
        <is>
          <t>35,81</t>
        </is>
      </c>
      <c r="Q39" s="63" t="inlineStr">
        <is>
          <t>41,54</t>
        </is>
      </c>
    </row>
    <row r="40">
      <c r="A40" s="66" t="n">
        <v>46217</v>
      </c>
      <c r="B40" s="65" t="n">
        <v>502</v>
      </c>
      <c r="C40" s="65" t="inlineStr">
        <is>
          <t>00-00001046</t>
        </is>
      </c>
      <c r="D40" s="65" t="inlineStr">
        <is>
          <t>S00666</t>
        </is>
      </c>
      <c r="E40" s="65" t="inlineStr">
        <is>
          <t>Inversiones maxgad &amp; ef</t>
        </is>
      </c>
      <c r="F40" s="63" t="inlineStr">
        <is>
          <t>134.432,13</t>
        </is>
      </c>
      <c r="G40" s="63" t="inlineStr">
        <is>
          <t>155.941,27</t>
        </is>
      </c>
      <c r="H40" s="63" t="inlineStr">
        <is>
          <t>215,36</t>
        </is>
      </c>
      <c r="I40" s="63" t="inlineStr">
        <is>
          <t>724,00</t>
        </is>
      </c>
      <c r="J40" s="65" t="n"/>
      <c r="K40" s="65" t="n">
        <v>880</v>
      </c>
      <c r="L40" s="65" t="inlineStr">
        <is>
          <t>[0880] CLASICO API SL SAE 15W-40 (1x12)</t>
        </is>
      </c>
      <c r="M40" s="63" t="inlineStr">
        <is>
          <t>86,21</t>
        </is>
      </c>
      <c r="N40" s="63" t="inlineStr">
        <is>
          <t>1,00</t>
        </is>
      </c>
      <c r="O40" s="63" t="inlineStr">
        <is>
          <t>0,00</t>
        </is>
      </c>
      <c r="P40" s="63" t="inlineStr">
        <is>
          <t>86,21</t>
        </is>
      </c>
      <c r="Q40" s="63" t="inlineStr">
        <is>
          <t>100,00</t>
        </is>
      </c>
    </row>
    <row r="41">
      <c r="A41" s="65" t="n"/>
      <c r="B41" s="65" t="n"/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>
        <v>888</v>
      </c>
      <c r="L41" s="65" t="inlineStr">
        <is>
          <t>[0888] ENDUROGLOB 2T AIRE (1x12)</t>
        </is>
      </c>
      <c r="M41" s="63" t="inlineStr">
        <is>
          <t>99,47</t>
        </is>
      </c>
      <c r="N41" s="63" t="inlineStr">
        <is>
          <t>1,00</t>
        </is>
      </c>
      <c r="O41" s="63" t="inlineStr">
        <is>
          <t>0,00</t>
        </is>
      </c>
      <c r="P41" s="63" t="inlineStr">
        <is>
          <t>99,47</t>
        </is>
      </c>
      <c r="Q41" s="63" t="inlineStr">
        <is>
          <t>115,39</t>
        </is>
      </c>
    </row>
    <row r="42">
      <c r="A42" s="66" t="n">
        <v>46217</v>
      </c>
      <c r="B42" s="65" t="n">
        <v>501</v>
      </c>
      <c r="C42" s="65" t="inlineStr">
        <is>
          <t>00-00001045</t>
        </is>
      </c>
      <c r="D42" s="65" t="inlineStr">
        <is>
          <t>S00464</t>
        </is>
      </c>
      <c r="E42" s="65" t="inlineStr">
        <is>
          <t>Repuestos González peña 31 c.a</t>
        </is>
      </c>
      <c r="F42" s="63" t="inlineStr">
        <is>
          <t>200.692,52</t>
        </is>
      </c>
      <c r="G42" s="63" t="inlineStr">
        <is>
          <t>232.803,33</t>
        </is>
      </c>
      <c r="H42" s="63" t="inlineStr">
        <is>
          <t>321,54</t>
        </is>
      </c>
      <c r="I42" s="63" t="inlineStr">
        <is>
          <t>724,00</t>
        </is>
      </c>
      <c r="J42" s="65" t="n"/>
      <c r="K42" s="65" t="n">
        <v>877</v>
      </c>
      <c r="L42" s="65" t="inlineStr">
        <is>
          <t>[0877] SS EXTRA PROTECCION API SN SAE 15W-40 (1X12)</t>
        </is>
      </c>
      <c r="M42" s="63" t="inlineStr">
        <is>
          <t>100,80</t>
        </is>
      </c>
      <c r="N42" s="63" t="inlineStr">
        <is>
          <t>1,00</t>
        </is>
      </c>
      <c r="O42" s="63" t="inlineStr">
        <is>
          <t>0,00</t>
        </is>
      </c>
      <c r="P42" s="63" t="inlineStr">
        <is>
          <t>100,80</t>
        </is>
      </c>
      <c r="Q42" s="63" t="inlineStr">
        <is>
          <t>116,93</t>
        </is>
      </c>
    </row>
    <row r="43">
      <c r="A43" s="65" t="n"/>
      <c r="B43" s="65" t="n"/>
      <c r="C43" s="65" t="n"/>
      <c r="D43" s="65" t="n"/>
      <c r="E43" s="65" t="n"/>
      <c r="F43" s="65" t="n"/>
      <c r="G43" s="65" t="n"/>
      <c r="H43" s="65" t="n"/>
      <c r="I43" s="65" t="n"/>
      <c r="J43" s="65" t="n"/>
      <c r="K43" s="65" t="n"/>
      <c r="L43" s="65" t="n"/>
      <c r="M43" s="63" t="inlineStr">
        <is>
          <t>0,00</t>
        </is>
      </c>
      <c r="N43" s="63" t="inlineStr">
        <is>
          <t>0,00</t>
        </is>
      </c>
      <c r="O43" s="63" t="inlineStr">
        <is>
          <t>0,00</t>
        </is>
      </c>
      <c r="P43" s="63" t="inlineStr">
        <is>
          <t>0,00</t>
        </is>
      </c>
      <c r="Q43" s="63" t="inlineStr">
        <is>
          <t>0,00</t>
        </is>
      </c>
    </row>
    <row r="44">
      <c r="A44" s="65" t="n"/>
      <c r="B44" s="65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65" t="n">
        <v>887</v>
      </c>
      <c r="L44" s="65" t="inlineStr">
        <is>
          <t>[0887] MOTOCLASICO 4T SAE 20W-50 (1x12)</t>
        </is>
      </c>
      <c r="M44" s="63" t="inlineStr">
        <is>
          <t>90,19</t>
        </is>
      </c>
      <c r="N44" s="63" t="inlineStr">
        <is>
          <t>1,00</t>
        </is>
      </c>
      <c r="O44" s="63" t="inlineStr">
        <is>
          <t>0,00</t>
        </is>
      </c>
      <c r="P44" s="63" t="inlineStr">
        <is>
          <t>90,19</t>
        </is>
      </c>
      <c r="Q44" s="63" t="inlineStr">
        <is>
          <t>104,62</t>
        </is>
      </c>
    </row>
    <row r="45">
      <c r="A45" s="65" t="n"/>
      <c r="B45" s="65" t="n"/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>
        <v>881</v>
      </c>
      <c r="L45" s="65" t="inlineStr">
        <is>
          <t>[0881] CLASICO API SL SAE 20W-50 (1x12)</t>
        </is>
      </c>
      <c r="M45" s="63" t="inlineStr">
        <is>
          <t>86,21</t>
        </is>
      </c>
      <c r="N45" s="63" t="inlineStr">
        <is>
          <t>1,00</t>
        </is>
      </c>
      <c r="O45" s="63" t="inlineStr">
        <is>
          <t>0,00</t>
        </is>
      </c>
      <c r="P45" s="63" t="inlineStr">
        <is>
          <t>86,21</t>
        </is>
      </c>
      <c r="Q45" s="63" t="inlineStr">
        <is>
          <t>100,00</t>
        </is>
      </c>
    </row>
    <row r="46">
      <c r="A46" s="66" t="n">
        <v>46217</v>
      </c>
      <c r="B46" s="65" t="n">
        <v>500</v>
      </c>
      <c r="C46" s="65" t="inlineStr">
        <is>
          <t>00-00001044</t>
        </is>
      </c>
      <c r="D46" s="65" t="inlineStr">
        <is>
          <t>S00469</t>
        </is>
      </c>
      <c r="E46" s="65" t="inlineStr">
        <is>
          <t>AUTOPERIQUITOS LA CAMPIÑA C.A.</t>
        </is>
      </c>
      <c r="F46" s="63" t="inlineStr">
        <is>
          <t>62.415,95</t>
        </is>
      </c>
      <c r="G46" s="63" t="inlineStr">
        <is>
          <t>72.402,50</t>
        </is>
      </c>
      <c r="H46" s="63" t="inlineStr">
        <is>
          <t>99,99</t>
        </is>
      </c>
      <c r="I46" s="63" t="inlineStr">
        <is>
          <t>724,00</t>
        </is>
      </c>
      <c r="J46" s="65" t="n">
        <v>934</v>
      </c>
      <c r="K46" s="65" t="n">
        <v>881</v>
      </c>
      <c r="L46" s="65" t="inlineStr">
        <is>
          <t>[0881] CLASICO API SL SAE 20W-50 (1x12)</t>
        </is>
      </c>
      <c r="M46" s="63" t="inlineStr">
        <is>
          <t>86,21</t>
        </is>
      </c>
      <c r="N46" s="63" t="inlineStr">
        <is>
          <t>1,00</t>
        </is>
      </c>
      <c r="O46" s="63" t="inlineStr">
        <is>
          <t>0,00</t>
        </is>
      </c>
      <c r="P46" s="63" t="inlineStr">
        <is>
          <t>86,21</t>
        </is>
      </c>
      <c r="Q46" s="63" t="inlineStr">
        <is>
          <t>100,00</t>
        </is>
      </c>
    </row>
    <row r="47">
      <c r="A47" s="65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>
        <v>1015</v>
      </c>
      <c r="K47" s="65" t="n"/>
      <c r="L47" s="65" t="n"/>
      <c r="M47" s="65" t="n"/>
      <c r="N47" s="65" t="n"/>
      <c r="O47" s="65" t="n"/>
      <c r="P47" s="65" t="n"/>
      <c r="Q47" s="65" t="n"/>
    </row>
    <row r="48">
      <c r="A48" s="66" t="n">
        <v>46217</v>
      </c>
      <c r="B48" s="65" t="n">
        <v>499</v>
      </c>
      <c r="C48" s="65" t="inlineStr">
        <is>
          <t>00-00001043</t>
        </is>
      </c>
      <c r="D48" s="65" t="inlineStr">
        <is>
          <t>S00661</t>
        </is>
      </c>
      <c r="E48" s="65" t="inlineStr">
        <is>
          <t>En ascenso 2011,c.a.</t>
        </is>
      </c>
      <c r="F48" s="63" t="inlineStr">
        <is>
          <t>154.595,51</t>
        </is>
      </c>
      <c r="G48" s="63" t="inlineStr">
        <is>
          <t>179.330,80</t>
        </is>
      </c>
      <c r="H48" s="63" t="inlineStr">
        <is>
          <t>247,69</t>
        </is>
      </c>
      <c r="I48" s="63" t="inlineStr">
        <is>
          <t>724,00</t>
        </is>
      </c>
      <c r="J48" s="65" t="n"/>
      <c r="K48" s="65" t="n">
        <v>83</v>
      </c>
      <c r="L48" s="65" t="inlineStr">
        <is>
          <t>[0083] MAXIMO API CF SAE 50 (PAILA)</t>
        </is>
      </c>
      <c r="M48" s="63" t="inlineStr">
        <is>
          <t>112,73</t>
        </is>
      </c>
      <c r="N48" s="63" t="inlineStr">
        <is>
          <t>1,00</t>
        </is>
      </c>
      <c r="O48" s="63" t="inlineStr">
        <is>
          <t>0,00</t>
        </is>
      </c>
      <c r="P48" s="63" t="inlineStr">
        <is>
          <t>112,73</t>
        </is>
      </c>
      <c r="Q48" s="63" t="inlineStr">
        <is>
          <t>130,77</t>
        </is>
      </c>
    </row>
    <row r="49">
      <c r="A49" s="65" t="n"/>
      <c r="B49" s="65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>
        <v>877</v>
      </c>
      <c r="L49" s="65" t="inlineStr">
        <is>
          <t>[0877] SS EXTRA PROTECCION API SN SAE 15W-40 (1X12)</t>
        </is>
      </c>
      <c r="M49" s="63" t="inlineStr">
        <is>
          <t>100,80</t>
        </is>
      </c>
      <c r="N49" s="63" t="inlineStr">
        <is>
          <t>1,00</t>
        </is>
      </c>
      <c r="O49" s="63" t="inlineStr">
        <is>
          <t>0,00</t>
        </is>
      </c>
      <c r="P49" s="63" t="inlineStr">
        <is>
          <t>100,80</t>
        </is>
      </c>
      <c r="Q49" s="63" t="inlineStr">
        <is>
          <t>116,93</t>
        </is>
      </c>
    </row>
    <row r="50">
      <c r="A50" s="65" t="n"/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3" t="inlineStr">
        <is>
          <t>0,00</t>
        </is>
      </c>
      <c r="N50" s="63" t="inlineStr">
        <is>
          <t>0,00</t>
        </is>
      </c>
      <c r="O50" s="63" t="inlineStr">
        <is>
          <t>0,00</t>
        </is>
      </c>
      <c r="P50" s="63" t="inlineStr">
        <is>
          <t>0,00</t>
        </is>
      </c>
      <c r="Q50" s="63" t="inlineStr">
        <is>
          <t>0,00</t>
        </is>
      </c>
    </row>
    <row r="51">
      <c r="A51" s="66" t="n">
        <v>46217</v>
      </c>
      <c r="B51" s="65" t="n">
        <v>498</v>
      </c>
      <c r="C51" s="65" t="inlineStr">
        <is>
          <t>00-00001042</t>
        </is>
      </c>
      <c r="D51" s="65" t="inlineStr">
        <is>
          <t>S00669</t>
        </is>
      </c>
      <c r="E51" s="65" t="inlineStr">
        <is>
          <t>En ascenso 2011,c.a.</t>
        </is>
      </c>
      <c r="F51" s="63" t="inlineStr">
        <is>
          <t>81.616,41</t>
        </is>
      </c>
      <c r="G51" s="63" t="inlineStr">
        <is>
          <t>94.675,04</t>
        </is>
      </c>
      <c r="H51" s="63" t="inlineStr">
        <is>
          <t>130,76</t>
        </is>
      </c>
      <c r="I51" s="63" t="inlineStr">
        <is>
          <t>724,00</t>
        </is>
      </c>
      <c r="J51" s="65" t="n"/>
      <c r="K51" s="65" t="n">
        <v>83</v>
      </c>
      <c r="L51" s="65" t="inlineStr">
        <is>
          <t>[0083] MAXIMO API CF SAE 50 (PAILA)</t>
        </is>
      </c>
      <c r="M51" s="63" t="inlineStr">
        <is>
          <t>112,73</t>
        </is>
      </c>
      <c r="N51" s="63" t="inlineStr">
        <is>
          <t>1,00</t>
        </is>
      </c>
      <c r="O51" s="63" t="inlineStr">
        <is>
          <t>0,00</t>
        </is>
      </c>
      <c r="P51" s="63" t="inlineStr">
        <is>
          <t>112,73</t>
        </is>
      </c>
      <c r="Q51" s="63" t="inlineStr">
        <is>
          <t>130,77</t>
        </is>
      </c>
    </row>
    <row r="52">
      <c r="A52" s="65" t="n"/>
      <c r="B52" s="65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3" t="inlineStr">
        <is>
          <t>0,00</t>
        </is>
      </c>
      <c r="N52" s="63" t="inlineStr">
        <is>
          <t>0,00</t>
        </is>
      </c>
      <c r="O52" s="63" t="inlineStr">
        <is>
          <t>0,00</t>
        </is>
      </c>
      <c r="P52" s="63" t="inlineStr">
        <is>
          <t>0,00</t>
        </is>
      </c>
      <c r="Q52" s="63" t="inlineStr">
        <is>
          <t>0,00</t>
        </is>
      </c>
    </row>
    <row r="53">
      <c r="A53" s="66" t="n">
        <v>46217</v>
      </c>
      <c r="B53" s="65" t="n">
        <v>497</v>
      </c>
      <c r="C53" s="65" t="inlineStr">
        <is>
          <t>00-00001041</t>
        </is>
      </c>
      <c r="D53" s="65" t="inlineStr">
        <is>
          <t>S00585</t>
        </is>
      </c>
      <c r="E53" s="65" t="inlineStr">
        <is>
          <t>E&amp;M CAR SHOP C.A</t>
        </is>
      </c>
      <c r="F53" s="63" t="inlineStr">
        <is>
          <t>243.408,72</t>
        </is>
      </c>
      <c r="G53" s="63" t="inlineStr">
        <is>
          <t>282.354,11</t>
        </is>
      </c>
      <c r="H53" s="63" t="inlineStr">
        <is>
          <t>389,99</t>
        </is>
      </c>
      <c r="I53" s="63" t="inlineStr">
        <is>
          <t>724,00</t>
        </is>
      </c>
      <c r="J53" s="65" t="n"/>
      <c r="K53" s="65" t="n">
        <v>1035</v>
      </c>
      <c r="L53" s="65" t="inlineStr">
        <is>
          <t>[1035] SINOCO HIDRAULICO ISO 68 (PAILA)</t>
        </is>
      </c>
      <c r="M53" s="63" t="inlineStr">
        <is>
          <t>56,03</t>
        </is>
      </c>
      <c r="N53" s="63" t="inlineStr">
        <is>
          <t>4,00</t>
        </is>
      </c>
      <c r="O53" s="63" t="inlineStr">
        <is>
          <t>10,14</t>
        </is>
      </c>
      <c r="P53" s="63" t="inlineStr">
        <is>
          <t>201,41</t>
        </is>
      </c>
      <c r="Q53" s="63" t="inlineStr">
        <is>
          <t>233,64</t>
        </is>
      </c>
    </row>
    <row r="54">
      <c r="A54" s="65" t="n"/>
      <c r="B54" s="65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>
        <v>883</v>
      </c>
      <c r="L54" s="65" t="inlineStr">
        <is>
          <t>[0883] GRASA GLOBAL AZUL AZ 95 (PAILA)</t>
        </is>
      </c>
      <c r="M54" s="63" t="inlineStr">
        <is>
          <t>75,00</t>
        </is>
      </c>
      <c r="N54" s="63" t="inlineStr">
        <is>
          <t>2,00</t>
        </is>
      </c>
      <c r="O54" s="63" t="inlineStr">
        <is>
          <t>10,14</t>
        </is>
      </c>
      <c r="P54" s="63" t="inlineStr">
        <is>
          <t>134,79</t>
        </is>
      </c>
      <c r="Q54" s="63" t="inlineStr">
        <is>
          <t>156,36</t>
        </is>
      </c>
    </row>
    <row r="55">
      <c r="A55" s="66" t="n">
        <v>46217</v>
      </c>
      <c r="B55" s="65" t="n">
        <v>496</v>
      </c>
      <c r="C55" s="65" t="inlineStr">
        <is>
          <t>00-00001040</t>
        </is>
      </c>
      <c r="D55" s="65" t="inlineStr">
        <is>
          <t>S00587</t>
        </is>
      </c>
      <c r="E55" s="65" t="inlineStr">
        <is>
          <t>Abraham almenar</t>
        </is>
      </c>
      <c r="F55" s="63" t="inlineStr">
        <is>
          <t>16.851,70</t>
        </is>
      </c>
      <c r="G55" s="63" t="inlineStr">
        <is>
          <t>19.547,97</t>
        </is>
      </c>
      <c r="H55" s="63" t="inlineStr">
        <is>
          <t>26,99</t>
        </is>
      </c>
      <c r="I55" s="63" t="inlineStr">
        <is>
          <t>724,00</t>
        </is>
      </c>
      <c r="J55" s="65" t="n"/>
      <c r="K55" s="65" t="n">
        <v>761</v>
      </c>
      <c r="L55" s="65" t="inlineStr">
        <is>
          <t>[0761] LIGA PARA FRENOS DOT-3 (1x12)</t>
        </is>
      </c>
      <c r="M55" s="63" t="inlineStr">
        <is>
          <t>23,28</t>
        </is>
      </c>
      <c r="N55" s="63" t="inlineStr">
        <is>
          <t>1,00</t>
        </is>
      </c>
      <c r="O55" s="63" t="inlineStr">
        <is>
          <t>0,00</t>
        </is>
      </c>
      <c r="P55" s="63" t="inlineStr">
        <is>
          <t>23,28</t>
        </is>
      </c>
      <c r="Q55" s="63" t="inlineStr">
        <is>
          <t>27,00</t>
        </is>
      </c>
    </row>
    <row r="56">
      <c r="A56" s="66" t="n">
        <v>46217</v>
      </c>
      <c r="B56" s="65" t="n">
        <v>495</v>
      </c>
      <c r="C56" s="65" t="inlineStr">
        <is>
          <t>00-00001039</t>
        </is>
      </c>
      <c r="D56" s="65" t="inlineStr">
        <is>
          <t>S00605</t>
        </is>
      </c>
      <c r="E56" s="65" t="inlineStr">
        <is>
          <t>GASOLVEN DISTRIBUIDORA, C.A</t>
        </is>
      </c>
      <c r="F56" s="63" t="inlineStr">
        <is>
          <t>527.739,23</t>
        </is>
      </c>
      <c r="G56" s="63" t="inlineStr">
        <is>
          <t>612.177,51</t>
        </is>
      </c>
      <c r="H56" s="63" t="inlineStr">
        <is>
          <t>845,51</t>
        </is>
      </c>
      <c r="I56" s="63" t="inlineStr">
        <is>
          <t>724,00</t>
        </is>
      </c>
      <c r="J56" s="65" t="n"/>
      <c r="K56" s="65" t="n">
        <v>73</v>
      </c>
      <c r="L56" s="65" t="inlineStr">
        <is>
          <t>[0073] SUPREMO API CI-4 SAE 15W-40 (PAILA)</t>
        </is>
      </c>
      <c r="M56" s="63" t="inlineStr">
        <is>
          <t>82,76</t>
        </is>
      </c>
      <c r="N56" s="63" t="inlineStr">
        <is>
          <t>3,00</t>
        </is>
      </c>
      <c r="O56" s="63" t="inlineStr">
        <is>
          <t>9,47</t>
        </is>
      </c>
      <c r="P56" s="63" t="inlineStr">
        <is>
          <t>224,76</t>
        </is>
      </c>
      <c r="Q56" s="63" t="inlineStr">
        <is>
          <t>260,73</t>
        </is>
      </c>
    </row>
    <row r="57">
      <c r="A57" s="65" t="n"/>
      <c r="B57" s="65" t="n"/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>
        <v>83</v>
      </c>
      <c r="L57" s="65" t="inlineStr">
        <is>
          <t>[0083] MAXIMO API CF SAE 50 (PAILA)</t>
        </is>
      </c>
      <c r="M57" s="63" t="inlineStr">
        <is>
          <t>73,28</t>
        </is>
      </c>
      <c r="N57" s="63" t="inlineStr">
        <is>
          <t>3,00</t>
        </is>
      </c>
      <c r="O57" s="63" t="inlineStr">
        <is>
          <t>9,47</t>
        </is>
      </c>
      <c r="P57" s="63" t="inlineStr">
        <is>
          <t>199,01</t>
        </is>
      </c>
      <c r="Q57" s="63" t="inlineStr">
        <is>
          <t>230,85</t>
        </is>
      </c>
    </row>
    <row r="58">
      <c r="A58" s="65" t="n"/>
      <c r="B58" s="65" t="n"/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>
        <v>123</v>
      </c>
      <c r="L58" s="65" t="inlineStr">
        <is>
          <t>[0123] TRANSGLOB API GL-5 SAE 80W-90 (Paila)</t>
        </is>
      </c>
      <c r="M58" s="63" t="inlineStr">
        <is>
          <t>80,17</t>
        </is>
      </c>
      <c r="N58" s="63" t="inlineStr">
        <is>
          <t>1,00</t>
        </is>
      </c>
      <c r="O58" s="63" t="inlineStr">
        <is>
          <t>9,47</t>
        </is>
      </c>
      <c r="P58" s="63" t="inlineStr">
        <is>
          <t>72,58</t>
        </is>
      </c>
      <c r="Q58" s="63" t="inlineStr">
        <is>
          <t>84,19</t>
        </is>
      </c>
    </row>
    <row r="59">
      <c r="A59" s="65" t="n"/>
      <c r="B59" s="65" t="n"/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>
        <v>25</v>
      </c>
      <c r="L59" s="65" t="inlineStr">
        <is>
          <t>[0025] SS EXTRA PROTECCION API SN SAE 10W-30 (Gasolina) (1x6)</t>
        </is>
      </c>
      <c r="M59" s="63" t="inlineStr">
        <is>
          <t>32,76</t>
        </is>
      </c>
      <c r="N59" s="63" t="inlineStr">
        <is>
          <t>1,00</t>
        </is>
      </c>
      <c r="O59" s="63" t="inlineStr">
        <is>
          <t>9,47</t>
        </is>
      </c>
      <c r="P59" s="63" t="inlineStr">
        <is>
          <t>29,66</t>
        </is>
      </c>
      <c r="Q59" s="63" t="inlineStr">
        <is>
          <t>34,40</t>
        </is>
      </c>
    </row>
    <row r="60">
      <c r="A60" s="65" t="n"/>
      <c r="B60" s="65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>
        <v>882</v>
      </c>
      <c r="L60" s="65" t="inlineStr">
        <is>
          <t>[0882] GRASA MULTIPLE EP 200 (PAILA)</t>
        </is>
      </c>
      <c r="M60" s="63" t="inlineStr">
        <is>
          <t>158,62</t>
        </is>
      </c>
      <c r="N60" s="63" t="inlineStr">
        <is>
          <t>1,00</t>
        </is>
      </c>
      <c r="O60" s="63" t="inlineStr">
        <is>
          <t>9,47</t>
        </is>
      </c>
      <c r="P60" s="63" t="inlineStr">
        <is>
          <t>143,60</t>
        </is>
      </c>
      <c r="Q60" s="63" t="inlineStr">
        <is>
          <t>166,58</t>
        </is>
      </c>
    </row>
    <row r="61">
      <c r="A61" s="65" t="n"/>
      <c r="B61" s="65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>
        <v>877</v>
      </c>
      <c r="L61" s="65" t="inlineStr">
        <is>
          <t>[0877] SS EXTRA PROTECCION API SN SAE 15W-40 (1X12)</t>
        </is>
      </c>
      <c r="M61" s="63" t="inlineStr">
        <is>
          <t>65,52</t>
        </is>
      </c>
      <c r="N61" s="63" t="inlineStr">
        <is>
          <t>1,00</t>
        </is>
      </c>
      <c r="O61" s="63" t="inlineStr">
        <is>
          <t>9,47</t>
        </is>
      </c>
      <c r="P61" s="63" t="inlineStr">
        <is>
          <t>59,31</t>
        </is>
      </c>
      <c r="Q61" s="63" t="inlineStr">
        <is>
          <t>68,80</t>
        </is>
      </c>
    </row>
    <row r="62">
      <c r="A62" s="66" t="n">
        <v>46217</v>
      </c>
      <c r="B62" s="65" t="n">
        <v>494</v>
      </c>
      <c r="C62" s="65" t="inlineStr">
        <is>
          <t>00-00001038</t>
        </is>
      </c>
      <c r="D62" s="65" t="inlineStr">
        <is>
          <t>S00594</t>
        </is>
      </c>
      <c r="E62" s="65" t="inlineStr">
        <is>
          <t>Junior Bermudez</t>
        </is>
      </c>
      <c r="F62" s="63" t="inlineStr">
        <is>
          <t>47.434,42</t>
        </is>
      </c>
      <c r="G62" s="63" t="inlineStr">
        <is>
          <t>55.023,93</t>
        </is>
      </c>
      <c r="H62" s="63" t="inlineStr">
        <is>
          <t>75,99</t>
        </is>
      </c>
      <c r="I62" s="63" t="inlineStr">
        <is>
          <t>724,00</t>
        </is>
      </c>
      <c r="J62" s="65" t="n"/>
      <c r="K62" s="65" t="n">
        <v>877</v>
      </c>
      <c r="L62" s="65" t="inlineStr">
        <is>
          <t>[0877] SS EXTRA PROTECCION API SN SAE 15W-40 (1X12)</t>
        </is>
      </c>
      <c r="M62" s="63" t="inlineStr">
        <is>
          <t>65,52</t>
        </is>
      </c>
      <c r="N62" s="63" t="inlineStr">
        <is>
          <t>1,00</t>
        </is>
      </c>
      <c r="O62" s="63" t="inlineStr">
        <is>
          <t>0,00</t>
        </is>
      </c>
      <c r="P62" s="63" t="inlineStr">
        <is>
          <t>65,52</t>
        </is>
      </c>
      <c r="Q62" s="63" t="inlineStr">
        <is>
          <t>76,00</t>
        </is>
      </c>
    </row>
    <row r="63">
      <c r="A63" s="66" t="n">
        <v>46217</v>
      </c>
      <c r="B63" s="65" t="n">
        <v>493</v>
      </c>
      <c r="C63" s="65" t="inlineStr">
        <is>
          <t>00-00001037</t>
        </is>
      </c>
      <c r="D63" s="65" t="inlineStr">
        <is>
          <t>S00430</t>
        </is>
      </c>
      <c r="E63" s="65" t="inlineStr">
        <is>
          <t>Dimas Ortíz</t>
        </is>
      </c>
      <c r="F63" s="63" t="inlineStr">
        <is>
          <t>677.188,71</t>
        </is>
      </c>
      <c r="G63" s="63" t="inlineStr">
        <is>
          <t>785.538,90</t>
        </is>
      </c>
      <c r="H63" s="63" t="inlineStr">
        <is>
          <t>1.084,96</t>
        </is>
      </c>
      <c r="I63" s="63" t="inlineStr">
        <is>
          <t>724,00</t>
        </is>
      </c>
      <c r="J63" s="65" t="n"/>
      <c r="K63" s="65" t="n">
        <v>605</v>
      </c>
      <c r="L63" s="65" t="inlineStr">
        <is>
          <t>[0605] SINOCO SAE 20W-50 (PAILA)</t>
        </is>
      </c>
      <c r="M63" s="63" t="inlineStr">
        <is>
          <t>62,93</t>
        </is>
      </c>
      <c r="N63" s="63" t="inlineStr">
        <is>
          <t>8,00</t>
        </is>
      </c>
      <c r="O63" s="63" t="inlineStr">
        <is>
          <t>0,00</t>
        </is>
      </c>
      <c r="P63" s="63" t="inlineStr">
        <is>
          <t>503,45</t>
        </is>
      </c>
      <c r="Q63" s="63" t="inlineStr">
        <is>
          <t>584,00</t>
        </is>
      </c>
    </row>
    <row r="64">
      <c r="A64" s="65" t="n"/>
      <c r="B64" s="65" t="n"/>
      <c r="C64" s="65" t="n"/>
      <c r="D64" s="65" t="n"/>
      <c r="E64" s="65" t="n"/>
      <c r="F64" s="65" t="n"/>
      <c r="G64" s="65" t="n"/>
      <c r="H64" s="65" t="n"/>
      <c r="I64" s="65" t="n"/>
      <c r="J64" s="65" t="n"/>
      <c r="K64" s="65" t="n">
        <v>602</v>
      </c>
      <c r="L64" s="65" t="inlineStr">
        <is>
          <t>[0602] SINOCO SAE 50 (PAILA)</t>
        </is>
      </c>
      <c r="M64" s="63" t="inlineStr">
        <is>
          <t>62,93</t>
        </is>
      </c>
      <c r="N64" s="63" t="inlineStr">
        <is>
          <t>2,00</t>
        </is>
      </c>
      <c r="O64" s="63" t="inlineStr">
        <is>
          <t>0,00</t>
        </is>
      </c>
      <c r="P64" s="63" t="inlineStr">
        <is>
          <t>125,86</t>
        </is>
      </c>
      <c r="Q64" s="63" t="inlineStr">
        <is>
          <t>146,00</t>
        </is>
      </c>
    </row>
    <row r="65">
      <c r="A65" s="65" t="n"/>
      <c r="B65" s="65" t="n"/>
      <c r="C65" s="65" t="n"/>
      <c r="D65" s="65" t="n"/>
      <c r="E65" s="65" t="n"/>
      <c r="F65" s="65" t="n"/>
      <c r="G65" s="65" t="n"/>
      <c r="H65" s="65" t="n"/>
      <c r="I65" s="65" t="n"/>
      <c r="J65" s="65" t="n"/>
      <c r="K65" s="65" t="n">
        <v>877</v>
      </c>
      <c r="L65" s="65" t="inlineStr">
        <is>
          <t>[0877] SS EXTRA PROTECCION API SN SAE 15W-40 (1X12)</t>
        </is>
      </c>
      <c r="M65" s="63" t="inlineStr">
        <is>
          <t>65,52</t>
        </is>
      </c>
      <c r="N65" s="63" t="inlineStr">
        <is>
          <t>2,00</t>
        </is>
      </c>
      <c r="O65" s="63" t="inlineStr">
        <is>
          <t>0,00</t>
        </is>
      </c>
      <c r="P65" s="63" t="inlineStr">
        <is>
          <t>131,03</t>
        </is>
      </c>
      <c r="Q65" s="63" t="inlineStr">
        <is>
          <t>152,00</t>
        </is>
      </c>
    </row>
    <row r="66">
      <c r="A66" s="65" t="n"/>
      <c r="B66" s="65" t="n"/>
      <c r="C66" s="65" t="n"/>
      <c r="D66" s="65" t="n"/>
      <c r="E66" s="65" t="n"/>
      <c r="F66" s="65" t="n"/>
      <c r="G66" s="65" t="n"/>
      <c r="H66" s="65" t="n"/>
      <c r="I66" s="65" t="n"/>
      <c r="J66" s="65" t="n"/>
      <c r="K66" s="65" t="n">
        <v>121</v>
      </c>
      <c r="L66" s="65" t="inlineStr">
        <is>
          <t>[0121] TRANSGLOB API GL-5 SAE 80W-90 (1x6)</t>
        </is>
      </c>
      <c r="M66" s="63" t="inlineStr">
        <is>
          <t>33,62</t>
        </is>
      </c>
      <c r="N66" s="63" t="inlineStr">
        <is>
          <t>2,00</t>
        </is>
      </c>
      <c r="O66" s="63" t="inlineStr">
        <is>
          <t>0,00</t>
        </is>
      </c>
      <c r="P66" s="63" t="inlineStr">
        <is>
          <t>67,24</t>
        </is>
      </c>
      <c r="Q66" s="63" t="inlineStr">
        <is>
          <t>78,00</t>
        </is>
      </c>
    </row>
    <row r="67">
      <c r="A67" s="65" t="n"/>
      <c r="B67" s="65" t="n"/>
      <c r="C67" s="65" t="n"/>
      <c r="D67" s="65" t="n"/>
      <c r="E67" s="65" t="n"/>
      <c r="F67" s="65" t="n"/>
      <c r="G67" s="65" t="n"/>
      <c r="H67" s="65" t="n"/>
      <c r="I67" s="65" t="n"/>
      <c r="J67" s="65" t="n"/>
      <c r="K67" s="65" t="n">
        <v>884</v>
      </c>
      <c r="L67" s="65" t="inlineStr">
        <is>
          <t>[0884] TRANSMATIC ATF DEXRON III (1x12)</t>
        </is>
      </c>
      <c r="M67" s="63" t="inlineStr">
        <is>
          <t>62,07</t>
        </is>
      </c>
      <c r="N67" s="63" t="inlineStr">
        <is>
          <t>1,00</t>
        </is>
      </c>
      <c r="O67" s="63" t="inlineStr">
        <is>
          <t>0,00</t>
        </is>
      </c>
      <c r="P67" s="63" t="inlineStr">
        <is>
          <t>62,07</t>
        </is>
      </c>
      <c r="Q67" s="63" t="inlineStr">
        <is>
          <t>72,00</t>
        </is>
      </c>
    </row>
    <row r="68">
      <c r="A68" s="65" t="n"/>
      <c r="B68" s="65" t="n"/>
      <c r="C68" s="65" t="n"/>
      <c r="D68" s="65" t="n"/>
      <c r="E68" s="65" t="n"/>
      <c r="F68" s="65" t="n"/>
      <c r="G68" s="65" t="n"/>
      <c r="H68" s="65" t="n"/>
      <c r="I68" s="65" t="n"/>
      <c r="J68" s="65" t="n"/>
      <c r="K68" s="65" t="n">
        <v>779</v>
      </c>
      <c r="L68" s="65" t="inlineStr">
        <is>
          <t>[0779] SINOCO SAE 20W-50 (1x12)</t>
        </is>
      </c>
      <c r="M68" s="63" t="inlineStr">
        <is>
          <t>45,69</t>
        </is>
      </c>
      <c r="N68" s="63" t="inlineStr">
        <is>
          <t>1,00</t>
        </is>
      </c>
      <c r="O68" s="63" t="inlineStr">
        <is>
          <t>0,00</t>
        </is>
      </c>
      <c r="P68" s="63" t="inlineStr">
        <is>
          <t>45,69</t>
        </is>
      </c>
      <c r="Q68" s="63" t="inlineStr">
        <is>
          <t>53,00</t>
        </is>
      </c>
    </row>
    <row r="69">
      <c r="A69" s="66" t="n">
        <v>46217</v>
      </c>
      <c r="B69" s="65" t="n">
        <v>492</v>
      </c>
      <c r="C69" s="65" t="inlineStr">
        <is>
          <t>00-00001036</t>
        </is>
      </c>
      <c r="D69" s="65" t="inlineStr">
        <is>
          <t>S00609</t>
        </is>
      </c>
      <c r="E69" s="65" t="inlineStr">
        <is>
          <t>GRIMAN DIAZ HECTOR EDUARDO</t>
        </is>
      </c>
      <c r="F69" s="63" t="inlineStr">
        <is>
          <t>44.313,23</t>
        </is>
      </c>
      <c r="G69" s="63" t="inlineStr">
        <is>
          <t>51.403,35</t>
        </is>
      </c>
      <c r="H69" s="63" t="inlineStr">
        <is>
          <t>70,99</t>
        </is>
      </c>
      <c r="I69" s="63" t="inlineStr">
        <is>
          <t>724,00</t>
        </is>
      </c>
      <c r="J69" s="65" t="n"/>
      <c r="K69" s="65" t="n">
        <v>877</v>
      </c>
      <c r="L69" s="65" t="inlineStr">
        <is>
          <t>[0877] SS EXTRA PROTECCION API SN SAE 15W-40 (1X12)</t>
        </is>
      </c>
      <c r="M69" s="63" t="inlineStr">
        <is>
          <t>65,52</t>
        </is>
      </c>
      <c r="N69" s="63" t="inlineStr">
        <is>
          <t>1,00</t>
        </is>
      </c>
      <c r="O69" s="63" t="inlineStr">
        <is>
          <t>6,58</t>
        </is>
      </c>
      <c r="P69" s="63" t="inlineStr">
        <is>
          <t>61,21</t>
        </is>
      </c>
      <c r="Q69" s="63" t="inlineStr">
        <is>
          <t>71,00</t>
        </is>
      </c>
    </row>
    <row r="70">
      <c r="A70" s="66" t="n">
        <v>46217</v>
      </c>
      <c r="B70" s="65" t="n">
        <v>491</v>
      </c>
      <c r="C70" s="65" t="inlineStr">
        <is>
          <t>00-00001035</t>
        </is>
      </c>
      <c r="D70" s="65" t="inlineStr">
        <is>
          <t>S00615</t>
        </is>
      </c>
      <c r="E70" s="65" t="inlineStr">
        <is>
          <t>Luis Eduardo Piñero Calcurian</t>
        </is>
      </c>
      <c r="F70" s="63" t="inlineStr">
        <is>
          <t>62.189,02</t>
        </is>
      </c>
      <c r="G70" s="63" t="inlineStr">
        <is>
          <t>72.139,26</t>
        </is>
      </c>
      <c r="H70" s="63" t="inlineStr">
        <is>
          <t>99,63</t>
        </is>
      </c>
      <c r="I70" s="63" t="inlineStr">
        <is>
          <t>724,00</t>
        </is>
      </c>
      <c r="J70" s="65" t="n"/>
      <c r="K70" s="65" t="n">
        <v>779</v>
      </c>
      <c r="L70" s="65" t="inlineStr">
        <is>
          <t>[0779] SINOCO SAE 20W-50 (1x12)</t>
        </is>
      </c>
      <c r="M70" s="63" t="inlineStr">
        <is>
          <t>45,69</t>
        </is>
      </c>
      <c r="N70" s="63" t="inlineStr">
        <is>
          <t>2,00</t>
        </is>
      </c>
      <c r="O70" s="63" t="inlineStr">
        <is>
          <t>6,00</t>
        </is>
      </c>
      <c r="P70" s="63" t="inlineStr">
        <is>
          <t>85,90</t>
        </is>
      </c>
      <c r="Q70" s="63" t="inlineStr">
        <is>
          <t>99,64</t>
        </is>
      </c>
    </row>
    <row r="71">
      <c r="A71" s="66" t="n">
        <v>46217</v>
      </c>
      <c r="B71" s="65" t="n">
        <v>490</v>
      </c>
      <c r="C71" s="65" t="inlineStr">
        <is>
          <t>00-00001034</t>
        </is>
      </c>
      <c r="D71" s="65" t="inlineStr">
        <is>
          <t>S00623</t>
        </is>
      </c>
      <c r="E71" s="65" t="inlineStr">
        <is>
          <t>José Gabriel Pérez Mendez</t>
        </is>
      </c>
      <c r="F71" s="63" t="inlineStr">
        <is>
          <t>33.079,26</t>
        </is>
      </c>
      <c r="G71" s="63" t="inlineStr">
        <is>
          <t>38.371,94</t>
        </is>
      </c>
      <c r="H71" s="63" t="inlineStr">
        <is>
          <t>52,99</t>
        </is>
      </c>
      <c r="I71" s="63" t="inlineStr">
        <is>
          <t>724,00</t>
        </is>
      </c>
      <c r="J71" s="65" t="n"/>
      <c r="K71" s="65" t="n">
        <v>779</v>
      </c>
      <c r="L71" s="65" t="inlineStr">
        <is>
          <t>[0779] SINOCO SAE 20W-50 (1x12)</t>
        </is>
      </c>
      <c r="M71" s="63" t="inlineStr">
        <is>
          <t>45,69</t>
        </is>
      </c>
      <c r="N71" s="63" t="inlineStr">
        <is>
          <t>1,00</t>
        </is>
      </c>
      <c r="O71" s="63" t="inlineStr">
        <is>
          <t>0,00</t>
        </is>
      </c>
      <c r="P71" s="63" t="inlineStr">
        <is>
          <t>45,69</t>
        </is>
      </c>
      <c r="Q71" s="63" t="inlineStr">
        <is>
          <t>53,00</t>
        </is>
      </c>
    </row>
    <row r="72">
      <c r="A72" s="66" t="n">
        <v>46217</v>
      </c>
      <c r="B72" s="65" t="n">
        <v>489</v>
      </c>
      <c r="C72" s="65" t="inlineStr">
        <is>
          <t>00-00001033</t>
        </is>
      </c>
      <c r="D72" s="65" t="inlineStr">
        <is>
          <t>S00624</t>
        </is>
      </c>
      <c r="E72" s="65" t="inlineStr">
        <is>
          <t>Ramón Muñoz</t>
        </is>
      </c>
      <c r="F72" s="63" t="inlineStr">
        <is>
          <t>46.186,14</t>
        </is>
      </c>
      <c r="G72" s="63" t="inlineStr">
        <is>
          <t>53.575,92</t>
        </is>
      </c>
      <c r="H72" s="63" t="inlineStr">
        <is>
          <t>73,99</t>
        </is>
      </c>
      <c r="I72" s="63" t="inlineStr">
        <is>
          <t>724,00</t>
        </is>
      </c>
      <c r="J72" s="65" t="n"/>
      <c r="K72" s="65" t="n">
        <v>879</v>
      </c>
      <c r="L72" s="65" t="inlineStr">
        <is>
          <t>[0879] CARIBE FUERA DE BORDA TC-W3 2 TIEMPOS (1x12)</t>
        </is>
      </c>
      <c r="M72" s="63" t="inlineStr">
        <is>
          <t>63,79</t>
        </is>
      </c>
      <c r="N72" s="63" t="inlineStr">
        <is>
          <t>1,00</t>
        </is>
      </c>
      <c r="O72" s="63" t="inlineStr">
        <is>
          <t>0,00</t>
        </is>
      </c>
      <c r="P72" s="63" t="inlineStr">
        <is>
          <t>63,79</t>
        </is>
      </c>
      <c r="Q72" s="63" t="inlineStr">
        <is>
          <t>74,00</t>
        </is>
      </c>
    </row>
    <row r="73">
      <c r="A73" s="66" t="n">
        <v>46217</v>
      </c>
      <c r="B73" s="65" t="n">
        <v>488</v>
      </c>
      <c r="C73" s="65" t="inlineStr">
        <is>
          <t>00-00001032</t>
        </is>
      </c>
      <c r="D73" s="65" t="inlineStr">
        <is>
          <t>S00642</t>
        </is>
      </c>
      <c r="E73" s="65" t="inlineStr">
        <is>
          <t>HP Repuestos 2007 C.A</t>
        </is>
      </c>
      <c r="F73" s="63" t="inlineStr">
        <is>
          <t>43.687,10</t>
        </is>
      </c>
      <c r="G73" s="63" t="inlineStr">
        <is>
          <t>50.677,04</t>
        </is>
      </c>
      <c r="H73" s="63" t="inlineStr">
        <is>
          <t>69,99</t>
        </is>
      </c>
      <c r="I73" s="63" t="inlineStr">
        <is>
          <t>724,00</t>
        </is>
      </c>
      <c r="J73" s="65" t="n"/>
      <c r="K73" s="65" t="n">
        <v>878</v>
      </c>
      <c r="L73" s="65" t="inlineStr">
        <is>
          <t>[0878] SS EXTRA PROTECCION API SN SAE 20W-50 (1x12)</t>
        </is>
      </c>
      <c r="M73" s="63" t="inlineStr">
        <is>
          <t>65,52</t>
        </is>
      </c>
      <c r="N73" s="63" t="inlineStr">
        <is>
          <t>1,00</t>
        </is>
      </c>
      <c r="O73" s="63" t="inlineStr">
        <is>
          <t>7,90</t>
        </is>
      </c>
      <c r="P73" s="63" t="inlineStr">
        <is>
          <t>60,34</t>
        </is>
      </c>
      <c r="Q73" s="63" t="inlineStr">
        <is>
          <t>70,00</t>
        </is>
      </c>
    </row>
    <row r="74">
      <c r="A74" s="66" t="n">
        <v>46217</v>
      </c>
      <c r="B74" s="65" t="n">
        <v>487</v>
      </c>
      <c r="C74" s="65" t="inlineStr">
        <is>
          <t>00-00001031</t>
        </is>
      </c>
      <c r="D74" s="65" t="inlineStr">
        <is>
          <t>S00645</t>
        </is>
      </c>
      <c r="E74" s="65" t="inlineStr">
        <is>
          <t>Inversiones Brayan CT C.A</t>
        </is>
      </c>
      <c r="F74" s="63" t="inlineStr">
        <is>
          <t>141.054,98</t>
        </is>
      </c>
      <c r="G74" s="63" t="inlineStr">
        <is>
          <t>163.623,78</t>
        </is>
      </c>
      <c r="H74" s="63" t="inlineStr">
        <is>
          <t>225,99</t>
        </is>
      </c>
      <c r="I74" s="63" t="inlineStr">
        <is>
          <t>724,00</t>
        </is>
      </c>
      <c r="J74" s="65" t="n"/>
      <c r="K74" s="65" t="n">
        <v>121</v>
      </c>
      <c r="L74" s="65" t="inlineStr">
        <is>
          <t>[0121] TRANSGLOB API GL-5 SAE 80W-90 (1x6)</t>
        </is>
      </c>
      <c r="M74" s="63" t="inlineStr">
        <is>
          <t>33,62</t>
        </is>
      </c>
      <c r="N74" s="63" t="inlineStr">
        <is>
          <t>2,00</t>
        </is>
      </c>
      <c r="O74" s="63" t="inlineStr">
        <is>
          <t>0,00</t>
        </is>
      </c>
      <c r="P74" s="63" t="inlineStr">
        <is>
          <t>67,24</t>
        </is>
      </c>
      <c r="Q74" s="63" t="inlineStr">
        <is>
          <t>78,00</t>
        </is>
      </c>
    </row>
    <row r="75">
      <c r="A75" s="65" t="n"/>
      <c r="B75" s="65" t="n"/>
      <c r="C75" s="65" t="n"/>
      <c r="D75" s="65" t="n"/>
      <c r="E75" s="65" t="n"/>
      <c r="F75" s="65" t="n"/>
      <c r="G75" s="65" t="n"/>
      <c r="H75" s="65" t="n"/>
      <c r="I75" s="65" t="n"/>
      <c r="J75" s="65" t="n"/>
      <c r="K75" s="65" t="n">
        <v>887</v>
      </c>
      <c r="L75" s="65" t="inlineStr">
        <is>
          <t>[0887] MOTOCLASICO 4T SAE 20W-50 (1x12)</t>
        </is>
      </c>
      <c r="M75" s="63" t="inlineStr">
        <is>
          <t>58,62</t>
        </is>
      </c>
      <c r="N75" s="63" t="inlineStr">
        <is>
          <t>1,00</t>
        </is>
      </c>
      <c r="O75" s="63" t="inlineStr">
        <is>
          <t>0,00</t>
        </is>
      </c>
      <c r="P75" s="63" t="inlineStr">
        <is>
          <t>58,62</t>
        </is>
      </c>
      <c r="Q75" s="63" t="inlineStr">
        <is>
          <t>68,00</t>
        </is>
      </c>
    </row>
    <row r="76">
      <c r="A76" s="65" t="n"/>
      <c r="B76" s="65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65" t="n">
        <v>127</v>
      </c>
      <c r="L76" s="65" t="inlineStr">
        <is>
          <t>[0127] TRANSGLOB API GL-5 SAE 85W-140 (1x6)</t>
        </is>
      </c>
      <c r="M76" s="63" t="inlineStr">
        <is>
          <t>34,48</t>
        </is>
      </c>
      <c r="N76" s="63" t="inlineStr">
        <is>
          <t>2,00</t>
        </is>
      </c>
      <c r="O76" s="63" t="inlineStr">
        <is>
          <t>0,00</t>
        </is>
      </c>
      <c r="P76" s="63" t="inlineStr">
        <is>
          <t>68,97</t>
        </is>
      </c>
      <c r="Q76" s="63" t="inlineStr">
        <is>
          <t>80,00</t>
        </is>
      </c>
    </row>
    <row r="77">
      <c r="A77" s="66" t="n">
        <v>46217</v>
      </c>
      <c r="B77" s="65" t="n">
        <v>486</v>
      </c>
      <c r="C77" s="65" t="inlineStr">
        <is>
          <t>00-00001030</t>
        </is>
      </c>
      <c r="D77" s="65" t="inlineStr">
        <is>
          <t>S00651</t>
        </is>
      </c>
      <c r="E77" s="65" t="inlineStr">
        <is>
          <t>Auto repuestos Fontalvo</t>
        </is>
      </c>
      <c r="F77" s="63" t="inlineStr">
        <is>
          <t>47.434,42</t>
        </is>
      </c>
      <c r="G77" s="63" t="inlineStr">
        <is>
          <t>55.023,93</t>
        </is>
      </c>
      <c r="H77" s="63" t="inlineStr">
        <is>
          <t>75,99</t>
        </is>
      </c>
      <c r="I77" s="63" t="inlineStr">
        <is>
          <t>724,00</t>
        </is>
      </c>
      <c r="J77" s="65" t="n">
        <v>674</v>
      </c>
      <c r="K77" s="65" t="n">
        <v>25</v>
      </c>
      <c r="L77" s="65" t="inlineStr">
        <is>
          <t>[0025] SS EXTRA PROTECCION API SN SAE 10W-30 (Gasolina) (1x6)</t>
        </is>
      </c>
      <c r="M77" s="63" t="inlineStr">
        <is>
          <t>32,76</t>
        </is>
      </c>
      <c r="N77" s="63" t="inlineStr">
        <is>
          <t>2,00</t>
        </is>
      </c>
      <c r="O77" s="63" t="inlineStr">
        <is>
          <t>0,00</t>
        </is>
      </c>
      <c r="P77" s="63" t="inlineStr">
        <is>
          <t>65,52</t>
        </is>
      </c>
      <c r="Q77" s="63" t="inlineStr">
        <is>
          <t>76,00</t>
        </is>
      </c>
    </row>
    <row r="78">
      <c r="A78" s="65" t="n"/>
      <c r="B78" s="65" t="n"/>
      <c r="C78" s="65" t="n"/>
      <c r="D78" s="65" t="n"/>
      <c r="E78" s="65" t="n"/>
      <c r="F78" s="65" t="n"/>
      <c r="G78" s="65" t="n"/>
      <c r="H78" s="65" t="n"/>
      <c r="I78" s="65" t="n"/>
      <c r="J78" s="65" t="n">
        <v>914</v>
      </c>
      <c r="K78" s="65" t="n"/>
      <c r="L78" s="65" t="n"/>
      <c r="M78" s="65" t="n"/>
      <c r="N78" s="65" t="n"/>
      <c r="O78" s="65" t="n"/>
      <c r="P78" s="65" t="n"/>
      <c r="Q78" s="65" t="n"/>
    </row>
    <row r="79">
      <c r="A79" s="65" t="n"/>
      <c r="B79" s="65" t="n"/>
      <c r="C79" s="65" t="n"/>
      <c r="D79" s="65" t="n"/>
      <c r="E79" s="65" t="n"/>
      <c r="F79" s="65" t="n"/>
      <c r="G79" s="65" t="n"/>
      <c r="H79" s="65" t="n"/>
      <c r="I79" s="65" t="n"/>
      <c r="J79" s="65" t="n">
        <v>915</v>
      </c>
      <c r="K79" s="65" t="n"/>
      <c r="L79" s="65" t="n"/>
      <c r="M79" s="65" t="n"/>
      <c r="N79" s="65" t="n"/>
      <c r="O79" s="65" t="n"/>
      <c r="P79" s="65" t="n"/>
      <c r="Q79" s="65" t="n"/>
    </row>
    <row r="80">
      <c r="A80" s="66" t="n">
        <v>46217</v>
      </c>
      <c r="B80" s="65" t="n">
        <v>485</v>
      </c>
      <c r="C80" s="65" t="inlineStr">
        <is>
          <t>00-00001029</t>
        </is>
      </c>
      <c r="D80" s="65" t="inlineStr">
        <is>
          <t>S00553</t>
        </is>
      </c>
      <c r="E80" s="65" t="inlineStr">
        <is>
          <t>Autolavado Artico</t>
        </is>
      </c>
      <c r="F80" s="63" t="inlineStr">
        <is>
          <t>145.423,94</t>
        </is>
      </c>
      <c r="G80" s="63" t="inlineStr">
        <is>
          <t>168.691,78</t>
        </is>
      </c>
      <c r="H80" s="63" t="inlineStr">
        <is>
          <t>232,97</t>
        </is>
      </c>
      <c r="I80" s="63" t="inlineStr">
        <is>
          <t>724,00</t>
        </is>
      </c>
      <c r="J80" s="65" t="n"/>
      <c r="K80" s="65" t="n">
        <v>880</v>
      </c>
      <c r="L80" s="65" t="inlineStr">
        <is>
          <t>[0880] CLASICO API SL SAE 15W-40 (1x12)</t>
        </is>
      </c>
      <c r="M80" s="63" t="inlineStr">
        <is>
          <t>56,03</t>
        </is>
      </c>
      <c r="N80" s="63" t="inlineStr">
        <is>
          <t>1,00</t>
        </is>
      </c>
      <c r="O80" s="63" t="inlineStr">
        <is>
          <t>0,00</t>
        </is>
      </c>
      <c r="P80" s="63" t="inlineStr">
        <is>
          <t>56,03</t>
        </is>
      </c>
      <c r="Q80" s="63" t="inlineStr">
        <is>
          <t>65,00</t>
        </is>
      </c>
    </row>
    <row r="81">
      <c r="A81" s="65" t="n"/>
      <c r="B81" s="65" t="n"/>
      <c r="C81" s="65" t="n"/>
      <c r="D81" s="65" t="n"/>
      <c r="E81" s="65" t="n"/>
      <c r="F81" s="65" t="n"/>
      <c r="G81" s="65" t="n"/>
      <c r="H81" s="65" t="n"/>
      <c r="I81" s="65" t="n"/>
      <c r="J81" s="65" t="n"/>
      <c r="K81" s="65" t="n"/>
      <c r="L81" s="65" t="n"/>
      <c r="M81" s="63" t="inlineStr">
        <is>
          <t>0,00</t>
        </is>
      </c>
      <c r="N81" s="63" t="inlineStr">
        <is>
          <t>0,00</t>
        </is>
      </c>
      <c r="O81" s="63" t="inlineStr">
        <is>
          <t>0,00</t>
        </is>
      </c>
      <c r="P81" s="63" t="inlineStr">
        <is>
          <t>0,00</t>
        </is>
      </c>
      <c r="Q81" s="63" t="inlineStr">
        <is>
          <t>0,00</t>
        </is>
      </c>
    </row>
    <row r="82">
      <c r="A82" s="65" t="n"/>
      <c r="B82" s="65" t="n"/>
      <c r="C82" s="65" t="n"/>
      <c r="D82" s="65" t="n"/>
      <c r="E82" s="65" t="n"/>
      <c r="F82" s="65" t="n"/>
      <c r="G82" s="65" t="n"/>
      <c r="H82" s="65" t="n"/>
      <c r="I82" s="65" t="n"/>
      <c r="J82" s="65" t="n"/>
      <c r="K82" s="65" t="n">
        <v>881</v>
      </c>
      <c r="L82" s="65" t="inlineStr">
        <is>
          <t>[0881] CLASICO API SL SAE 20W-50 (1x12)</t>
        </is>
      </c>
      <c r="M82" s="63" t="inlineStr">
        <is>
          <t>56,03</t>
        </is>
      </c>
      <c r="N82" s="63" t="inlineStr">
        <is>
          <t>1,00</t>
        </is>
      </c>
      <c r="O82" s="63" t="inlineStr">
        <is>
          <t>0,00</t>
        </is>
      </c>
      <c r="P82" s="63" t="inlineStr">
        <is>
          <t>56,03</t>
        </is>
      </c>
      <c r="Q82" s="63" t="inlineStr">
        <is>
          <t>65,00</t>
        </is>
      </c>
    </row>
    <row r="83">
      <c r="A83" s="65" t="n"/>
      <c r="B83" s="65" t="n"/>
      <c r="C83" s="65" t="n"/>
      <c r="D83" s="65" t="n"/>
      <c r="E83" s="65" t="n"/>
      <c r="F83" s="65" t="n"/>
      <c r="G83" s="65" t="n"/>
      <c r="H83" s="65" t="n"/>
      <c r="I83" s="65" t="n"/>
      <c r="J83" s="65" t="n"/>
      <c r="K83" s="65" t="n">
        <v>877</v>
      </c>
      <c r="L83" s="65" t="inlineStr">
        <is>
          <t>[0877] SS EXTRA PROTECCION API SN SAE 15W-40 (1X12)</t>
        </is>
      </c>
      <c r="M83" s="63" t="inlineStr">
        <is>
          <t>65,52</t>
        </is>
      </c>
      <c r="N83" s="63" t="inlineStr">
        <is>
          <t>1,00</t>
        </is>
      </c>
      <c r="O83" s="63" t="inlineStr">
        <is>
          <t>0,00</t>
        </is>
      </c>
      <c r="P83" s="63" t="inlineStr">
        <is>
          <t>65,52</t>
        </is>
      </c>
      <c r="Q83" s="63" t="inlineStr">
        <is>
          <t>76,00</t>
        </is>
      </c>
    </row>
    <row r="84">
      <c r="A84" s="65" t="n"/>
      <c r="B84" s="65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65" t="n">
        <v>761</v>
      </c>
      <c r="L84" s="65" t="inlineStr">
        <is>
          <t>[0761] LIGA PARA FRENOS DOT-3 (1x12)</t>
        </is>
      </c>
      <c r="M84" s="63" t="inlineStr">
        <is>
          <t>23,28</t>
        </is>
      </c>
      <c r="N84" s="63" t="inlineStr">
        <is>
          <t>1,00</t>
        </is>
      </c>
      <c r="O84" s="63" t="inlineStr">
        <is>
          <t>0,00</t>
        </is>
      </c>
      <c r="P84" s="63" t="inlineStr">
        <is>
          <t>23,28</t>
        </is>
      </c>
      <c r="Q84" s="63" t="inlineStr">
        <is>
          <t>27,00</t>
        </is>
      </c>
    </row>
    <row r="85">
      <c r="A85" s="66" t="n">
        <v>46217</v>
      </c>
      <c r="B85" s="65" t="n">
        <v>484</v>
      </c>
      <c r="C85" s="65" t="inlineStr">
        <is>
          <t>00-00001028</t>
        </is>
      </c>
      <c r="D85" s="65" t="inlineStr">
        <is>
          <t>S00568</t>
        </is>
      </c>
      <c r="E85" s="65" t="inlineStr">
        <is>
          <t>Jefferson Navone</t>
        </is>
      </c>
      <c r="F85" s="63" t="inlineStr">
        <is>
          <t>216.381,54</t>
        </is>
      </c>
      <c r="G85" s="63" t="inlineStr">
        <is>
          <t>251.002,59</t>
        </is>
      </c>
      <c r="H85" s="63" t="inlineStr">
        <is>
          <t>346,67</t>
        </is>
      </c>
      <c r="I85" s="63" t="inlineStr">
        <is>
          <t>724,00</t>
        </is>
      </c>
      <c r="J85" s="65" t="n"/>
      <c r="K85" s="65" t="n">
        <v>887</v>
      </c>
      <c r="L85" s="65" t="inlineStr">
        <is>
          <t>[0887] MOTOCLASICO 4T SAE 20W-50 (1x12)</t>
        </is>
      </c>
      <c r="M85" s="63" t="inlineStr">
        <is>
          <t>90,19</t>
        </is>
      </c>
      <c r="N85" s="63" t="inlineStr">
        <is>
          <t>3,00</t>
        </is>
      </c>
      <c r="O85" s="63" t="inlineStr">
        <is>
          <t>4,11</t>
        </is>
      </c>
      <c r="P85" s="63" t="inlineStr">
        <is>
          <t>259,45</t>
        </is>
      </c>
      <c r="Q85" s="63" t="inlineStr">
        <is>
          <t>300,96</t>
        </is>
      </c>
    </row>
    <row r="86">
      <c r="A86" s="65" t="n"/>
      <c r="B86" s="65" t="n"/>
      <c r="C86" s="65" t="n"/>
      <c r="D86" s="65" t="n"/>
      <c r="E86" s="65" t="n"/>
      <c r="F86" s="65" t="n"/>
      <c r="G86" s="65" t="n"/>
      <c r="H86" s="65" t="n"/>
      <c r="I86" s="65" t="n"/>
      <c r="J86" s="65" t="n"/>
      <c r="K86" s="65" t="n"/>
      <c r="L86" s="65" t="n"/>
      <c r="M86" s="63" t="inlineStr">
        <is>
          <t>0,00</t>
        </is>
      </c>
      <c r="N86" s="63" t="inlineStr">
        <is>
          <t>0,00</t>
        </is>
      </c>
      <c r="O86" s="63" t="inlineStr">
        <is>
          <t>0,00</t>
        </is>
      </c>
      <c r="P86" s="63" t="inlineStr">
        <is>
          <t>0,00</t>
        </is>
      </c>
      <c r="Q86" s="63" t="inlineStr">
        <is>
          <t>0,00</t>
        </is>
      </c>
    </row>
    <row r="87">
      <c r="A87" s="65" t="n"/>
      <c r="B87" s="65" t="n"/>
      <c r="C87" s="65" t="n"/>
      <c r="D87" s="65" t="n"/>
      <c r="E87" s="65" t="n"/>
      <c r="F87" s="65" t="n"/>
      <c r="G87" s="65" t="n"/>
      <c r="H87" s="65" t="n"/>
      <c r="I87" s="65" t="n"/>
      <c r="J87" s="65" t="n"/>
      <c r="K87" s="65" t="n">
        <v>775</v>
      </c>
      <c r="L87" s="65" t="inlineStr">
        <is>
          <t>[0775] LIGA PARA FRENOS DOT-4 (1X12)</t>
        </is>
      </c>
      <c r="M87" s="63" t="inlineStr">
        <is>
          <t>41,11</t>
        </is>
      </c>
      <c r="N87" s="63" t="inlineStr">
        <is>
          <t>1,00</t>
        </is>
      </c>
      <c r="O87" s="63" t="inlineStr">
        <is>
          <t>4,11</t>
        </is>
      </c>
      <c r="P87" s="63" t="inlineStr">
        <is>
          <t>39,42</t>
        </is>
      </c>
      <c r="Q87" s="63" t="inlineStr">
        <is>
          <t>45,73</t>
        </is>
      </c>
    </row>
    <row r="88">
      <c r="A88" s="66" t="n">
        <v>46217</v>
      </c>
      <c r="B88" s="65" t="n">
        <v>483</v>
      </c>
      <c r="C88" s="65" t="inlineStr">
        <is>
          <t>00-00001027</t>
        </is>
      </c>
      <c r="D88" s="65" t="inlineStr">
        <is>
          <t>S00572</t>
        </is>
      </c>
      <c r="E88" s="65" t="inlineStr">
        <is>
          <t>AUTO REPUESTOS EL DUO 2013, C.A.</t>
        </is>
      </c>
      <c r="F88" s="63" t="inlineStr">
        <is>
          <t>279.335,17</t>
        </is>
      </c>
      <c r="G88" s="63" t="inlineStr">
        <is>
          <t>324.028,80</t>
        </is>
      </c>
      <c r="H88" s="63" t="inlineStr">
        <is>
          <t>447,54</t>
        </is>
      </c>
      <c r="I88" s="63" t="inlineStr">
        <is>
          <t>724,00</t>
        </is>
      </c>
      <c r="J88" s="65" t="n">
        <v>923</v>
      </c>
      <c r="K88" s="65" t="n">
        <v>779</v>
      </c>
      <c r="L88" s="65" t="inlineStr">
        <is>
          <t>[0779] SINOCO SAE 20W-50 (1x12)</t>
        </is>
      </c>
      <c r="M88" s="63" t="inlineStr">
        <is>
          <t>70,29</t>
        </is>
      </c>
      <c r="N88" s="63" t="inlineStr">
        <is>
          <t>1,00</t>
        </is>
      </c>
      <c r="O88" s="63" t="inlineStr">
        <is>
          <t>4,93</t>
        </is>
      </c>
      <c r="P88" s="63" t="inlineStr">
        <is>
          <t>66,82</t>
        </is>
      </c>
      <c r="Q88" s="63" t="inlineStr">
        <is>
          <t>77,52</t>
        </is>
      </c>
    </row>
    <row r="89">
      <c r="A89" s="65" t="n"/>
      <c r="B89" s="65" t="n"/>
      <c r="C89" s="65" t="n"/>
      <c r="D89" s="65" t="n"/>
      <c r="E89" s="65" t="n"/>
      <c r="F89" s="65" t="n"/>
      <c r="G89" s="65" t="n"/>
      <c r="H89" s="65" t="n"/>
      <c r="I89" s="65" t="n"/>
      <c r="J89" s="65" t="n">
        <v>1005</v>
      </c>
      <c r="K89" s="65" t="n"/>
      <c r="L89" s="65" t="n"/>
      <c r="M89" s="65" t="n"/>
      <c r="N89" s="65" t="n"/>
      <c r="O89" s="65" t="n"/>
      <c r="P89" s="65" t="n"/>
      <c r="Q89" s="65" t="n"/>
    </row>
    <row r="90">
      <c r="A90" s="65" t="n"/>
      <c r="B90" s="65" t="n"/>
      <c r="C90" s="65" t="n"/>
      <c r="D90" s="65" t="n"/>
      <c r="E90" s="65" t="n"/>
      <c r="F90" s="65" t="n"/>
      <c r="G90" s="65" t="n"/>
      <c r="H90" s="65" t="n"/>
      <c r="I90" s="65" t="n"/>
      <c r="J90" s="65" t="n">
        <v>1020</v>
      </c>
      <c r="K90" s="65" t="n"/>
      <c r="L90" s="65" t="n"/>
      <c r="M90" s="65" t="n"/>
      <c r="N90" s="65" t="n"/>
      <c r="O90" s="65" t="n"/>
      <c r="P90" s="65" t="n"/>
      <c r="Q90" s="65" t="n"/>
    </row>
    <row r="91">
      <c r="A91" s="65" t="n"/>
      <c r="B91" s="65" t="n"/>
      <c r="C91" s="65" t="n"/>
      <c r="D91" s="65" t="n"/>
      <c r="E91" s="65" t="n"/>
      <c r="F91" s="65" t="n"/>
      <c r="G91" s="65" t="n"/>
      <c r="H91" s="65" t="n"/>
      <c r="I91" s="65" t="n"/>
      <c r="J91" s="65" t="n">
        <v>1025</v>
      </c>
      <c r="K91" s="65" t="n"/>
      <c r="L91" s="65" t="n"/>
      <c r="M91" s="65" t="n"/>
      <c r="N91" s="65" t="n"/>
      <c r="O91" s="65" t="n"/>
      <c r="P91" s="65" t="n"/>
      <c r="Q91" s="65" t="n"/>
    </row>
    <row r="92">
      <c r="A92" s="65" t="n"/>
      <c r="B92" s="65" t="n"/>
      <c r="C92" s="65" t="n"/>
      <c r="D92" s="65" t="n"/>
      <c r="E92" s="65" t="n"/>
      <c r="F92" s="65" t="n"/>
      <c r="G92" s="65" t="n"/>
      <c r="H92" s="65" t="n"/>
      <c r="I92" s="65" t="n"/>
      <c r="J92" s="65" t="n"/>
      <c r="K92" s="65" t="n">
        <v>884</v>
      </c>
      <c r="L92" s="65" t="inlineStr">
        <is>
          <t>[0884] TRANSMATIC ATF DEXRON III (1x12)</t>
        </is>
      </c>
      <c r="M92" s="63" t="inlineStr">
        <is>
          <t>95,49</t>
        </is>
      </c>
      <c r="N92" s="63" t="inlineStr">
        <is>
          <t>1,00</t>
        </is>
      </c>
      <c r="O92" s="63" t="inlineStr">
        <is>
          <t>4,93</t>
        </is>
      </c>
      <c r="P92" s="63" t="inlineStr">
        <is>
          <t>90,78</t>
        </is>
      </c>
      <c r="Q92" s="63" t="inlineStr">
        <is>
          <t>105,31</t>
        </is>
      </c>
    </row>
    <row r="93">
      <c r="A93" s="65" t="n"/>
      <c r="B93" s="65" t="n"/>
      <c r="C93" s="65" t="n"/>
      <c r="D93" s="65" t="n"/>
      <c r="E93" s="65" t="n"/>
      <c r="F93" s="65" t="n"/>
      <c r="G93" s="65" t="n"/>
      <c r="H93" s="65" t="n"/>
      <c r="I93" s="65" t="n"/>
      <c r="J93" s="65" t="n"/>
      <c r="K93" s="65" t="n">
        <v>877</v>
      </c>
      <c r="L93" s="65" t="inlineStr">
        <is>
          <t>[0877] SS EXTRA PROTECCION API SN SAE 15W-40 (1X12)</t>
        </is>
      </c>
      <c r="M93" s="63" t="inlineStr">
        <is>
          <t>100,80</t>
        </is>
      </c>
      <c r="N93" s="63" t="inlineStr">
        <is>
          <t>1,00</t>
        </is>
      </c>
      <c r="O93" s="63" t="inlineStr">
        <is>
          <t>4,93</t>
        </is>
      </c>
      <c r="P93" s="63" t="inlineStr">
        <is>
          <t>95,83</t>
        </is>
      </c>
      <c r="Q93" s="63" t="inlineStr">
        <is>
          <t>111,16</t>
        </is>
      </c>
    </row>
    <row r="94">
      <c r="A94" s="65" t="n"/>
      <c r="B94" s="65" t="n"/>
      <c r="C94" s="65" t="n"/>
      <c r="D94" s="65" t="n"/>
      <c r="E94" s="65" t="n"/>
      <c r="F94" s="65" t="n"/>
      <c r="G94" s="65" t="n"/>
      <c r="H94" s="65" t="n"/>
      <c r="I94" s="65" t="n"/>
      <c r="J94" s="65" t="n"/>
      <c r="K94" s="65" t="n">
        <v>121</v>
      </c>
      <c r="L94" s="65" t="inlineStr">
        <is>
          <t>[0121] TRANSGLOB API GL-5 SAE 80W-90 (1x6)</t>
        </is>
      </c>
      <c r="M94" s="63" t="inlineStr">
        <is>
          <t>51,72</t>
        </is>
      </c>
      <c r="N94" s="63" t="inlineStr">
        <is>
          <t>2,00</t>
        </is>
      </c>
      <c r="O94" s="63" t="inlineStr">
        <is>
          <t>4,93</t>
        </is>
      </c>
      <c r="P94" s="63" t="inlineStr">
        <is>
          <t>98,34</t>
        </is>
      </c>
      <c r="Q94" s="63" t="inlineStr">
        <is>
          <t>114,07</t>
        </is>
      </c>
    </row>
    <row r="95">
      <c r="A95" s="65" t="n"/>
      <c r="B95" s="65" t="n"/>
      <c r="C95" s="65" t="n"/>
      <c r="D95" s="65" t="n"/>
      <c r="E95" s="65" t="n"/>
      <c r="F95" s="65" t="n"/>
      <c r="G95" s="65" t="n"/>
      <c r="H95" s="65" t="n"/>
      <c r="I95" s="65" t="n"/>
      <c r="J95" s="65" t="n"/>
      <c r="K95" s="65" t="n">
        <v>761</v>
      </c>
      <c r="L95" s="65" t="inlineStr">
        <is>
          <t>[0761] LIGA PARA FRENOS DOT-3 (1x12)</t>
        </is>
      </c>
      <c r="M95" s="63" t="inlineStr">
        <is>
          <t>35,81</t>
        </is>
      </c>
      <c r="N95" s="63" t="inlineStr">
        <is>
          <t>1,00</t>
        </is>
      </c>
      <c r="O95" s="63" t="inlineStr">
        <is>
          <t>4,93</t>
        </is>
      </c>
      <c r="P95" s="63" t="inlineStr">
        <is>
          <t>34,04</t>
        </is>
      </c>
      <c r="Q95" s="63" t="inlineStr">
        <is>
          <t>39,49</t>
        </is>
      </c>
    </row>
    <row r="96">
      <c r="A96" s="66" t="n">
        <v>46217</v>
      </c>
      <c r="B96" s="65" t="n">
        <v>482</v>
      </c>
      <c r="C96" s="65" t="inlineStr">
        <is>
          <t>00-00001026</t>
        </is>
      </c>
      <c r="D96" s="65" t="inlineStr">
        <is>
          <t>S00577</t>
        </is>
      </c>
      <c r="E96" s="65" t="inlineStr">
        <is>
          <t>Jose Gregorio Lopez</t>
        </is>
      </c>
      <c r="F96" s="63" t="inlineStr">
        <is>
          <t>108.391,55</t>
        </is>
      </c>
      <c r="G96" s="63" t="inlineStr">
        <is>
          <t>125.734,20</t>
        </is>
      </c>
      <c r="H96" s="63" t="inlineStr">
        <is>
          <t>173,66</t>
        </is>
      </c>
      <c r="I96" s="63" t="inlineStr">
        <is>
          <t>724,00</t>
        </is>
      </c>
      <c r="J96" s="65" t="n"/>
      <c r="K96" s="65" t="n">
        <v>880</v>
      </c>
      <c r="L96" s="65" t="inlineStr">
        <is>
          <t>[0880] CLASICO API SL SAE 15W-40 (1x12)</t>
        </is>
      </c>
      <c r="M96" s="63" t="inlineStr">
        <is>
          <t>86,21</t>
        </is>
      </c>
      <c r="N96" s="63" t="inlineStr">
        <is>
          <t>2,00</t>
        </is>
      </c>
      <c r="O96" s="63" t="inlineStr">
        <is>
          <t>13,17</t>
        </is>
      </c>
      <c r="P96" s="63" t="inlineStr">
        <is>
          <t>149,71</t>
        </is>
      </c>
      <c r="Q96" s="63" t="inlineStr">
        <is>
          <t>173,67</t>
        </is>
      </c>
    </row>
    <row r="97">
      <c r="A97" s="66" t="n">
        <v>46217</v>
      </c>
      <c r="B97" s="65" t="n">
        <v>481</v>
      </c>
      <c r="C97" s="65" t="inlineStr">
        <is>
          <t>00-00001025</t>
        </is>
      </c>
      <c r="D97" s="65" t="inlineStr">
        <is>
          <t>S00578</t>
        </is>
      </c>
      <c r="E97" s="65" t="inlineStr">
        <is>
          <t>AUTOLAVADO ANDRES BELLO C.A</t>
        </is>
      </c>
      <c r="F97" s="63" t="inlineStr">
        <is>
          <t>206.655,63</t>
        </is>
      </c>
      <c r="G97" s="63" t="inlineStr">
        <is>
          <t>239.720,54</t>
        </is>
      </c>
      <c r="H97" s="63" t="inlineStr">
        <is>
          <t>331,09</t>
        </is>
      </c>
      <c r="I97" s="63" t="inlineStr">
        <is>
          <t>724,00</t>
        </is>
      </c>
      <c r="J97" s="65" t="n">
        <v>928</v>
      </c>
      <c r="K97" s="65" t="n">
        <v>877</v>
      </c>
      <c r="L97" s="65" t="inlineStr">
        <is>
          <t>[0877] SS EXTRA PROTECCION API SN SAE 15W-40 (1X12)</t>
        </is>
      </c>
      <c r="M97" s="63" t="inlineStr">
        <is>
          <t>100,80</t>
        </is>
      </c>
      <c r="N97" s="63" t="inlineStr">
        <is>
          <t>2,00</t>
        </is>
      </c>
      <c r="O97" s="63" t="inlineStr">
        <is>
          <t>5,61</t>
        </is>
      </c>
      <c r="P97" s="63" t="inlineStr">
        <is>
          <t>190,29</t>
        </is>
      </c>
      <c r="Q97" s="63" t="inlineStr">
        <is>
          <t>220,74</t>
        </is>
      </c>
    </row>
    <row r="98">
      <c r="A98" s="65" t="n"/>
      <c r="B98" s="65" t="n"/>
      <c r="C98" s="65" t="n"/>
      <c r="D98" s="65" t="n"/>
      <c r="E98" s="65" t="n"/>
      <c r="F98" s="65" t="n"/>
      <c r="G98" s="65" t="n"/>
      <c r="H98" s="65" t="n"/>
      <c r="I98" s="65" t="n"/>
      <c r="J98" s="65" t="n"/>
      <c r="K98" s="65" t="n">
        <v>878</v>
      </c>
      <c r="L98" s="65" t="inlineStr">
        <is>
          <t>[0878] SS EXTRA PROTECCION API SN SAE 20W-50 (1x12)</t>
        </is>
      </c>
      <c r="M98" s="63" t="inlineStr">
        <is>
          <t>100,80</t>
        </is>
      </c>
      <c r="N98" s="63" t="inlineStr">
        <is>
          <t>1,00</t>
        </is>
      </c>
      <c r="O98" s="63" t="inlineStr">
        <is>
          <t>5,61</t>
        </is>
      </c>
      <c r="P98" s="63" t="inlineStr">
        <is>
          <t>95,15</t>
        </is>
      </c>
      <c r="Q98" s="63" t="inlineStr">
        <is>
          <t>110,37</t>
        </is>
      </c>
    </row>
    <row r="99">
      <c r="A99" s="65" t="n"/>
      <c r="B99" s="65" t="n"/>
      <c r="C99" s="65" t="n"/>
      <c r="D99" s="65" t="n"/>
      <c r="E99" s="65" t="n"/>
      <c r="F99" s="65" t="n"/>
      <c r="G99" s="65" t="n"/>
      <c r="H99" s="65" t="n"/>
      <c r="I99" s="65" t="n"/>
      <c r="J99" s="65" t="n"/>
      <c r="K99" s="65" t="n">
        <v>561</v>
      </c>
      <c r="L99" s="65" t="inlineStr">
        <is>
          <t>[0561] MEJORADOR DE OCTANAJE GLOBAL OIL PACK (1X12)</t>
        </is>
      </c>
      <c r="M99" s="63" t="inlineStr">
        <is>
          <t>0,00</t>
        </is>
      </c>
      <c r="N99" s="63" t="inlineStr">
        <is>
          <t>1,00</t>
        </is>
      </c>
      <c r="O99" s="63" t="inlineStr">
        <is>
          <t>0,00</t>
        </is>
      </c>
      <c r="P99" s="63" t="inlineStr">
        <is>
          <t>0,00</t>
        </is>
      </c>
      <c r="Q99" s="63" t="inlineStr">
        <is>
          <t>0,00</t>
        </is>
      </c>
    </row>
    <row r="100">
      <c r="A100" s="66" t="n">
        <v>46217</v>
      </c>
      <c r="B100" s="65" t="n">
        <v>480</v>
      </c>
      <c r="C100" s="65" t="inlineStr">
        <is>
          <t>00-00001024</t>
        </is>
      </c>
      <c r="D100" s="65" t="inlineStr">
        <is>
          <t>S00576</t>
        </is>
      </c>
      <c r="E100" s="65" t="inlineStr">
        <is>
          <t>INVERSIONES F-250, C.A</t>
        </is>
      </c>
      <c r="F100" s="63" t="inlineStr">
        <is>
          <t>92.448,00</t>
        </is>
      </c>
      <c r="G100" s="63" t="inlineStr">
        <is>
          <t>107.239,68</t>
        </is>
      </c>
      <c r="H100" s="63" t="inlineStr">
        <is>
          <t>148,11</t>
        </is>
      </c>
      <c r="I100" s="63" t="inlineStr">
        <is>
          <t>724,00</t>
        </is>
      </c>
      <c r="J100" s="65" t="n"/>
      <c r="K100" s="65" t="n">
        <v>877</v>
      </c>
      <c r="L100" s="65" t="inlineStr">
        <is>
          <t>[0877] SS EXTRA PROTECCION API SN SAE 15W-40 (1X12)</t>
        </is>
      </c>
      <c r="M100" s="63" t="inlineStr">
        <is>
          <t>100,80</t>
        </is>
      </c>
      <c r="N100" s="63" t="inlineStr">
        <is>
          <t>1,00</t>
        </is>
      </c>
      <c r="O100" s="63" t="inlineStr">
        <is>
          <t>5,61</t>
        </is>
      </c>
      <c r="P100" s="63" t="inlineStr">
        <is>
          <t>95,15</t>
        </is>
      </c>
      <c r="Q100" s="63" t="inlineStr">
        <is>
          <t>110,37</t>
        </is>
      </c>
    </row>
    <row r="101">
      <c r="A101" s="65" t="n"/>
      <c r="B101" s="65" t="n"/>
      <c r="C101" s="65" t="n"/>
      <c r="D101" s="65" t="n"/>
      <c r="E101" s="65" t="n"/>
      <c r="F101" s="65" t="n"/>
      <c r="G101" s="65" t="n"/>
      <c r="H101" s="65" t="n"/>
      <c r="I101" s="65" t="n"/>
      <c r="J101" s="65" t="n"/>
      <c r="K101" s="65" t="n">
        <v>792</v>
      </c>
      <c r="L101" s="65" t="inlineStr">
        <is>
          <t>[0792] REFRIGERANTE GLOBAL ROJO (1X3)</t>
        </is>
      </c>
      <c r="M101" s="63" t="inlineStr">
        <is>
          <t>34,48</t>
        </is>
      </c>
      <c r="N101" s="63" t="inlineStr">
        <is>
          <t>1,00</t>
        </is>
      </c>
      <c r="O101" s="63" t="inlineStr">
        <is>
          <t>5,61</t>
        </is>
      </c>
      <c r="P101" s="63" t="inlineStr">
        <is>
          <t>32,55</t>
        </is>
      </c>
      <c r="Q101" s="63" t="inlineStr">
        <is>
          <t>37,75</t>
        </is>
      </c>
    </row>
    <row r="102">
      <c r="A102" s="66" t="n">
        <v>46217</v>
      </c>
      <c r="B102" s="65" t="n">
        <v>479</v>
      </c>
      <c r="C102" s="65" t="inlineStr">
        <is>
          <t>00-00001023</t>
        </is>
      </c>
      <c r="D102" s="65" t="inlineStr">
        <is>
          <t>S00579</t>
        </is>
      </c>
      <c r="E102" s="65" t="inlineStr">
        <is>
          <t>CAUCHOS Y ACCESORIOS LA CAMPIÑA, C.A.</t>
        </is>
      </c>
      <c r="F102" s="63" t="inlineStr">
        <is>
          <t>68.250,05</t>
        </is>
      </c>
      <c r="G102" s="63" t="inlineStr">
        <is>
          <t>79.170,06</t>
        </is>
      </c>
      <c r="H102" s="63" t="inlineStr">
        <is>
          <t>109,34</t>
        </is>
      </c>
      <c r="I102" s="63" t="inlineStr">
        <is>
          <t>724,00</t>
        </is>
      </c>
      <c r="J102" s="65" t="n"/>
      <c r="K102" s="65" t="n">
        <v>877</v>
      </c>
      <c r="L102" s="65" t="inlineStr">
        <is>
          <t>[0877] SS EXTRA PROTECCION API SN SAE 15W-40 (1X12)</t>
        </is>
      </c>
      <c r="M102" s="63" t="inlineStr">
        <is>
          <t>100,80</t>
        </is>
      </c>
      <c r="N102" s="63" t="inlineStr">
        <is>
          <t>1,00</t>
        </is>
      </c>
      <c r="O102" s="63" t="inlineStr">
        <is>
          <t>6,48</t>
        </is>
      </c>
      <c r="P102" s="63" t="inlineStr">
        <is>
          <t>94,27</t>
        </is>
      </c>
      <c r="Q102" s="63" t="inlineStr">
        <is>
          <t>109,35</t>
        </is>
      </c>
    </row>
    <row r="103">
      <c r="A103" s="66" t="n">
        <v>46217</v>
      </c>
      <c r="B103" s="65" t="n">
        <v>478</v>
      </c>
      <c r="C103" s="65" t="inlineStr">
        <is>
          <t>00-00001022</t>
        </is>
      </c>
      <c r="D103" s="65" t="inlineStr">
        <is>
          <t>S00580</t>
        </is>
      </c>
      <c r="E103" s="65" t="inlineStr">
        <is>
          <t>Sandra Katherine Quintero Crespo</t>
        </is>
      </c>
      <c r="F103" s="63" t="inlineStr">
        <is>
          <t>371.958,35</t>
        </is>
      </c>
      <c r="G103" s="63" t="inlineStr">
        <is>
          <t>431.471,68</t>
        </is>
      </c>
      <c r="H103" s="63" t="inlineStr">
        <is>
          <t>595,92</t>
        </is>
      </c>
      <c r="I103" s="63" t="inlineStr">
        <is>
          <t>724,00</t>
        </is>
      </c>
      <c r="J103" s="65" t="n"/>
      <c r="K103" s="65" t="n">
        <v>880</v>
      </c>
      <c r="L103" s="65" t="inlineStr">
        <is>
          <t>[0880] CLASICO API SL SAE 15W-40 (1x12)</t>
        </is>
      </c>
      <c r="M103" s="63" t="inlineStr">
        <is>
          <t>86,21</t>
        </is>
      </c>
      <c r="N103" s="63" t="inlineStr">
        <is>
          <t>1,00</t>
        </is>
      </c>
      <c r="O103" s="63" t="inlineStr">
        <is>
          <t>9,28</t>
        </is>
      </c>
      <c r="P103" s="63" t="inlineStr">
        <is>
          <t>78,21</t>
        </is>
      </c>
      <c r="Q103" s="63" t="inlineStr">
        <is>
          <t>90,72</t>
        </is>
      </c>
    </row>
    <row r="104">
      <c r="A104" s="65" t="n"/>
      <c r="B104" s="65" t="n"/>
      <c r="C104" s="65" t="n"/>
      <c r="D104" s="65" t="n"/>
      <c r="E104" s="65" t="n"/>
      <c r="F104" s="65" t="n"/>
      <c r="G104" s="65" t="n"/>
      <c r="H104" s="65" t="n"/>
      <c r="I104" s="65" t="n"/>
      <c r="J104" s="65" t="n"/>
      <c r="K104" s="65" t="n">
        <v>881</v>
      </c>
      <c r="L104" s="65" t="inlineStr">
        <is>
          <t>[0881] CLASICO API SL SAE 20W-50 (1x12)</t>
        </is>
      </c>
      <c r="M104" s="63" t="inlineStr">
        <is>
          <t>86,21</t>
        </is>
      </c>
      <c r="N104" s="63" t="inlineStr">
        <is>
          <t>1,00</t>
        </is>
      </c>
      <c r="O104" s="63" t="inlineStr">
        <is>
          <t>9,28</t>
        </is>
      </c>
      <c r="P104" s="63" t="inlineStr">
        <is>
          <t>78,21</t>
        </is>
      </c>
      <c r="Q104" s="63" t="inlineStr">
        <is>
          <t>90,72</t>
        </is>
      </c>
    </row>
    <row r="105">
      <c r="A105" s="65" t="n"/>
      <c r="B105" s="65" t="n"/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65" t="n">
        <v>877</v>
      </c>
      <c r="L105" s="65" t="inlineStr">
        <is>
          <t>[0877] SS EXTRA PROTECCION API SN SAE 15W-40 (1X12)</t>
        </is>
      </c>
      <c r="M105" s="63" t="inlineStr">
        <is>
          <t>100,80</t>
        </is>
      </c>
      <c r="N105" s="63" t="inlineStr">
        <is>
          <t>2,00</t>
        </is>
      </c>
      <c r="O105" s="63" t="inlineStr">
        <is>
          <t>9,28</t>
        </is>
      </c>
      <c r="P105" s="63" t="inlineStr">
        <is>
          <t>182,89</t>
        </is>
      </c>
      <c r="Q105" s="63" t="inlineStr">
        <is>
          <t>212,15</t>
        </is>
      </c>
    </row>
    <row r="106">
      <c r="A106" s="65" t="n"/>
      <c r="B106" s="65" t="n"/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65" t="n">
        <v>884</v>
      </c>
      <c r="L106" s="65" t="inlineStr">
        <is>
          <t>[0884] TRANSMATIC ATF DEXRON III (1x12)</t>
        </is>
      </c>
      <c r="M106" s="63" t="inlineStr">
        <is>
          <t>95,49</t>
        </is>
      </c>
      <c r="N106" s="63" t="inlineStr">
        <is>
          <t>1,00</t>
        </is>
      </c>
      <c r="O106" s="63" t="inlineStr">
        <is>
          <t>9,29</t>
        </is>
      </c>
      <c r="P106" s="63" t="inlineStr">
        <is>
          <t>86,62</t>
        </is>
      </c>
      <c r="Q106" s="63" t="inlineStr">
        <is>
          <t>100,48</t>
        </is>
      </c>
    </row>
    <row r="107">
      <c r="A107" s="65" t="n"/>
      <c r="B107" s="65" t="n"/>
      <c r="C107" s="65" t="n"/>
      <c r="D107" s="65" t="n"/>
      <c r="E107" s="65" t="n"/>
      <c r="F107" s="65" t="n"/>
      <c r="G107" s="65" t="n"/>
      <c r="H107" s="65" t="n"/>
      <c r="I107" s="65" t="n"/>
      <c r="J107" s="65" t="n"/>
      <c r="K107" s="65" t="n">
        <v>605</v>
      </c>
      <c r="L107" s="65" t="inlineStr">
        <is>
          <t>[0605] SINOCO SAE 20W-50 (PAILA)</t>
        </is>
      </c>
      <c r="M107" s="63" t="inlineStr">
        <is>
          <t>96,82</t>
        </is>
      </c>
      <c r="N107" s="63" t="inlineStr">
        <is>
          <t>1,00</t>
        </is>
      </c>
      <c r="O107" s="63" t="inlineStr">
        <is>
          <t>9,29</t>
        </is>
      </c>
      <c r="P107" s="63" t="inlineStr">
        <is>
          <t>87,83</t>
        </is>
      </c>
      <c r="Q107" s="63" t="inlineStr">
        <is>
          <t>101,88</t>
        </is>
      </c>
    </row>
    <row r="108">
      <c r="A108" s="66" t="n">
        <v>46217</v>
      </c>
      <c r="B108" s="65" t="n">
        <v>477</v>
      </c>
      <c r="C108" s="65" t="inlineStr">
        <is>
          <t>00-00001021</t>
        </is>
      </c>
      <c r="D108" s="65" t="inlineStr">
        <is>
          <t>S00581</t>
        </is>
      </c>
      <c r="E108" s="65" t="inlineStr">
        <is>
          <t>Inversiones Repuestos Flash 3141, C.A</t>
        </is>
      </c>
      <c r="F108" s="63" t="inlineStr">
        <is>
          <t>211.033,50</t>
        </is>
      </c>
      <c r="G108" s="63" t="inlineStr">
        <is>
          <t>244.798,86</t>
        </is>
      </c>
      <c r="H108" s="63" t="inlineStr">
        <is>
          <t>338,10</t>
        </is>
      </c>
      <c r="I108" s="63" t="inlineStr">
        <is>
          <t>724,00</t>
        </is>
      </c>
      <c r="J108" s="65" t="n"/>
      <c r="K108" s="65" t="n">
        <v>887</v>
      </c>
      <c r="L108" s="65" t="inlineStr">
        <is>
          <t>[0887] MOTOCLASICO 4T SAE 20W-50 (1x12)</t>
        </is>
      </c>
      <c r="M108" s="63" t="inlineStr">
        <is>
          <t>90,19</t>
        </is>
      </c>
      <c r="N108" s="63" t="inlineStr">
        <is>
          <t>2,00</t>
        </is>
      </c>
      <c r="O108" s="63" t="inlineStr">
        <is>
          <t>6,48</t>
        </is>
      </c>
      <c r="P108" s="63" t="inlineStr">
        <is>
          <t>168,69</t>
        </is>
      </c>
      <c r="Q108" s="63" t="inlineStr">
        <is>
          <t>195,68</t>
        </is>
      </c>
    </row>
    <row r="109">
      <c r="A109" s="65" t="n"/>
      <c r="B109" s="65" t="n"/>
      <c r="C109" s="65" t="n"/>
      <c r="D109" s="65" t="n"/>
      <c r="E109" s="65" t="n"/>
      <c r="F109" s="65" t="n"/>
      <c r="G109" s="65" t="n"/>
      <c r="H109" s="65" t="n"/>
      <c r="I109" s="65" t="n"/>
      <c r="J109" s="65" t="n"/>
      <c r="K109" s="65" t="n"/>
      <c r="L109" s="65" t="n"/>
      <c r="M109" s="63" t="inlineStr">
        <is>
          <t>0,00</t>
        </is>
      </c>
      <c r="N109" s="63" t="inlineStr">
        <is>
          <t>0,00</t>
        </is>
      </c>
      <c r="O109" s="63" t="inlineStr">
        <is>
          <t>0,00</t>
        </is>
      </c>
      <c r="P109" s="63" t="inlineStr">
        <is>
          <t>0,00</t>
        </is>
      </c>
      <c r="Q109" s="63" t="inlineStr">
        <is>
          <t>0,00</t>
        </is>
      </c>
    </row>
    <row r="110">
      <c r="A110" s="65" t="n"/>
      <c r="B110" s="65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65" t="n">
        <v>884</v>
      </c>
      <c r="L110" s="65" t="inlineStr">
        <is>
          <t>[0884] TRANSMATIC ATF DEXRON III (1x12)</t>
        </is>
      </c>
      <c r="M110" s="63" t="inlineStr">
        <is>
          <t>95,49</t>
        </is>
      </c>
      <c r="N110" s="63" t="inlineStr">
        <is>
          <t>1,00</t>
        </is>
      </c>
      <c r="O110" s="63" t="inlineStr">
        <is>
          <t>6,48</t>
        </is>
      </c>
      <c r="P110" s="63" t="inlineStr">
        <is>
          <t>89,30</t>
        </is>
      </c>
      <c r="Q110" s="63" t="inlineStr">
        <is>
          <t>103,59</t>
        </is>
      </c>
    </row>
    <row r="111">
      <c r="A111" s="65" t="n"/>
      <c r="B111" s="65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65" t="n">
        <v>761</v>
      </c>
      <c r="L111" s="65" t="inlineStr">
        <is>
          <t>[0761] LIGA PARA FRENOS DOT-3 (1x12)</t>
        </is>
      </c>
      <c r="M111" s="63" t="inlineStr">
        <is>
          <t>35,81</t>
        </is>
      </c>
      <c r="N111" s="63" t="inlineStr">
        <is>
          <t>1,00</t>
        </is>
      </c>
      <c r="O111" s="63" t="inlineStr">
        <is>
          <t>6,48</t>
        </is>
      </c>
      <c r="P111" s="63" t="inlineStr">
        <is>
          <t>33,49</t>
        </is>
      </c>
      <c r="Q111" s="63" t="inlineStr">
        <is>
          <t>38,85</t>
        </is>
      </c>
    </row>
    <row r="112">
      <c r="A112" s="66" t="n">
        <v>46217</v>
      </c>
      <c r="B112" s="65" t="n">
        <v>476</v>
      </c>
      <c r="C112" s="65" t="inlineStr">
        <is>
          <t>00-00001020</t>
        </is>
      </c>
      <c r="D112" s="65" t="inlineStr">
        <is>
          <t>S00582</t>
        </is>
      </c>
      <c r="E112" s="65" t="inlineStr">
        <is>
          <t>York Dick Mujica Andarcia</t>
        </is>
      </c>
      <c r="F112" s="63" t="inlineStr">
        <is>
          <t>33.840,41</t>
        </is>
      </c>
      <c r="G112" s="63" t="inlineStr">
        <is>
          <t>39.254,88</t>
        </is>
      </c>
      <c r="H112" s="63" t="inlineStr">
        <is>
          <t>54,21</t>
        </is>
      </c>
      <c r="I112" s="63" t="inlineStr">
        <is>
          <t>724,00</t>
        </is>
      </c>
      <c r="J112" s="65" t="n"/>
      <c r="K112" s="65" t="n">
        <v>25</v>
      </c>
      <c r="L112" s="65" t="inlineStr">
        <is>
          <t>[0025] SS EXTRA PROTECCION API SN SAE 10W-30 (Gasolina) (1x6)</t>
        </is>
      </c>
      <c r="M112" s="63" t="inlineStr">
        <is>
          <t>50,40</t>
        </is>
      </c>
      <c r="N112" s="63" t="inlineStr">
        <is>
          <t>1,00</t>
        </is>
      </c>
      <c r="O112" s="63" t="inlineStr">
        <is>
          <t>7,26</t>
        </is>
      </c>
      <c r="P112" s="63" t="inlineStr">
        <is>
          <t>46,74</t>
        </is>
      </c>
      <c r="Q112" s="63" t="inlineStr">
        <is>
          <t>54,22</t>
        </is>
      </c>
    </row>
    <row r="113">
      <c r="A113" s="66" t="n">
        <v>46217</v>
      </c>
      <c r="B113" s="65" t="n">
        <v>475</v>
      </c>
      <c r="C113" s="65" t="inlineStr">
        <is>
          <t>00-00001019</t>
        </is>
      </c>
      <c r="D113" s="65" t="inlineStr">
        <is>
          <t>S00583</t>
        </is>
      </c>
      <c r="E113" s="65" t="inlineStr">
        <is>
          <t>UBAG Services,c.a.</t>
        </is>
      </c>
      <c r="F113" s="63" t="inlineStr">
        <is>
          <t>203.029,02</t>
        </is>
      </c>
      <c r="G113" s="63" t="inlineStr">
        <is>
          <t>235.513,66</t>
        </is>
      </c>
      <c r="H113" s="63" t="inlineStr">
        <is>
          <t>325,28</t>
        </is>
      </c>
      <c r="I113" s="63" t="inlineStr">
        <is>
          <t>724,00</t>
        </is>
      </c>
      <c r="J113" s="65" t="n"/>
      <c r="K113" s="65" t="n">
        <v>307</v>
      </c>
      <c r="L113" s="65" t="inlineStr">
        <is>
          <t>[0307] TERMOGLOB ISO 32 (Paila)</t>
        </is>
      </c>
      <c r="M113" s="63" t="inlineStr">
        <is>
          <t>151,19</t>
        </is>
      </c>
      <c r="N113" s="63" t="inlineStr">
        <is>
          <t>2,00</t>
        </is>
      </c>
      <c r="O113" s="63" t="inlineStr">
        <is>
          <t>7,26</t>
        </is>
      </c>
      <c r="P113" s="63" t="inlineStr">
        <is>
          <t>280,43</t>
        </is>
      </c>
      <c r="Q113" s="63" t="inlineStr">
        <is>
          <t>325,30</t>
        </is>
      </c>
    </row>
    <row r="114">
      <c r="A114" s="66" t="n">
        <v>46217</v>
      </c>
      <c r="B114" s="65" t="n">
        <v>474</v>
      </c>
      <c r="C114" s="65" t="inlineStr">
        <is>
          <t>00-00001018</t>
        </is>
      </c>
      <c r="D114" s="65" t="inlineStr">
        <is>
          <t>S00588</t>
        </is>
      </c>
      <c r="E114" s="65" t="inlineStr">
        <is>
          <t>Comercial los de faria,c.a.</t>
        </is>
      </c>
      <c r="F114" s="63" t="inlineStr">
        <is>
          <t>310.774,46</t>
        </is>
      </c>
      <c r="G114" s="63" t="inlineStr">
        <is>
          <t>360.498,37</t>
        </is>
      </c>
      <c r="H114" s="63" t="inlineStr">
        <is>
          <t>497,88</t>
        </is>
      </c>
      <c r="I114" s="63" t="inlineStr">
        <is>
          <t>724,00</t>
        </is>
      </c>
      <c r="J114" s="65" t="n"/>
      <c r="K114" s="65" t="n">
        <v>78</v>
      </c>
      <c r="L114" s="65" t="inlineStr">
        <is>
          <t>[0078] SUPREMO API CI-4 SAE 20W-50 (Paila)</t>
        </is>
      </c>
      <c r="M114" s="63" t="inlineStr">
        <is>
          <t>141,91</t>
        </is>
      </c>
      <c r="N114" s="63" t="inlineStr">
        <is>
          <t>1,00</t>
        </is>
      </c>
      <c r="O114" s="63" t="inlineStr">
        <is>
          <t>7,26</t>
        </is>
      </c>
      <c r="P114" s="63" t="inlineStr">
        <is>
          <t>131,61</t>
        </is>
      </c>
      <c r="Q114" s="63" t="inlineStr">
        <is>
          <t>152,66</t>
        </is>
      </c>
    </row>
    <row r="115">
      <c r="A115" s="65" t="n"/>
      <c r="B115" s="65" t="n"/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65" t="n">
        <v>915</v>
      </c>
      <c r="L115" s="65" t="inlineStr">
        <is>
          <t>[0915] SINOCO SAE 50 (1x12)</t>
        </is>
      </c>
      <c r="M115" s="63" t="inlineStr">
        <is>
          <t>70,29</t>
        </is>
      </c>
      <c r="N115" s="63" t="inlineStr">
        <is>
          <t>1,00</t>
        </is>
      </c>
      <c r="O115" s="63" t="inlineStr">
        <is>
          <t>7,26</t>
        </is>
      </c>
      <c r="P115" s="63" t="inlineStr">
        <is>
          <t>65,19</t>
        </is>
      </c>
      <c r="Q115" s="63" t="inlineStr">
        <is>
          <t>75,62</t>
        </is>
      </c>
    </row>
    <row r="116">
      <c r="A116" s="65" t="n"/>
      <c r="B116" s="65" t="n"/>
      <c r="C116" s="65" t="n"/>
      <c r="D116" s="65" t="n"/>
      <c r="E116" s="65" t="n"/>
      <c r="F116" s="65" t="n"/>
      <c r="G116" s="65" t="n"/>
      <c r="H116" s="65" t="n"/>
      <c r="I116" s="65" t="n"/>
      <c r="J116" s="65" t="n"/>
      <c r="K116" s="65" t="n">
        <v>19</v>
      </c>
      <c r="L116" s="65" t="inlineStr">
        <is>
          <t>[0019] ELITE API SN SAE 5W-40 (1x6)</t>
        </is>
      </c>
      <c r="M116" s="63" t="inlineStr">
        <is>
          <t>72,94</t>
        </is>
      </c>
      <c r="N116" s="63" t="inlineStr">
        <is>
          <t>2,00</t>
        </is>
      </c>
      <c r="O116" s="63" t="inlineStr">
        <is>
          <t>7,26</t>
        </is>
      </c>
      <c r="P116" s="63" t="inlineStr">
        <is>
          <t>135,29</t>
        </is>
      </c>
      <c r="Q116" s="63" t="inlineStr">
        <is>
          <t>156,94</t>
        </is>
      </c>
    </row>
    <row r="117">
      <c r="A117" s="65" t="n"/>
      <c r="B117" s="65" t="n"/>
      <c r="C117" s="65" t="n"/>
      <c r="D117" s="65" t="n"/>
      <c r="E117" s="65" t="n"/>
      <c r="F117" s="65" t="n"/>
      <c r="G117" s="65" t="n"/>
      <c r="H117" s="65" t="n"/>
      <c r="I117" s="65" t="n"/>
      <c r="J117" s="65" t="n"/>
      <c r="K117" s="65" t="n">
        <v>121</v>
      </c>
      <c r="L117" s="65" t="inlineStr">
        <is>
          <t>[0121] TRANSGLOB API GL-5 SAE 80W-90 (1x6)</t>
        </is>
      </c>
      <c r="M117" s="63" t="inlineStr">
        <is>
          <t>51,72</t>
        </is>
      </c>
      <c r="N117" s="63" t="inlineStr">
        <is>
          <t>1,00</t>
        </is>
      </c>
      <c r="O117" s="63" t="inlineStr">
        <is>
          <t>7,26</t>
        </is>
      </c>
      <c r="P117" s="63" t="inlineStr">
        <is>
          <t>47,97</t>
        </is>
      </c>
      <c r="Q117" s="63" t="inlineStr">
        <is>
          <t>55,64</t>
        </is>
      </c>
    </row>
    <row r="118">
      <c r="A118" s="65" t="n"/>
      <c r="B118" s="65" t="n"/>
      <c r="C118" s="65" t="n"/>
      <c r="D118" s="65" t="n"/>
      <c r="E118" s="65" t="n"/>
      <c r="F118" s="65" t="n"/>
      <c r="G118" s="65" t="n"/>
      <c r="H118" s="65" t="n"/>
      <c r="I118" s="65" t="n"/>
      <c r="J118" s="65" t="n"/>
      <c r="K118" s="65" t="n">
        <v>127</v>
      </c>
      <c r="L118" s="65" t="inlineStr">
        <is>
          <t>[0127] TRANSGLOB API GL-5 SAE 85W-140 (1x6)</t>
        </is>
      </c>
      <c r="M118" s="63" t="inlineStr">
        <is>
          <t>53,05</t>
        </is>
      </c>
      <c r="N118" s="63" t="inlineStr">
        <is>
          <t>1,00</t>
        </is>
      </c>
      <c r="O118" s="63" t="inlineStr">
        <is>
          <t>7,26</t>
        </is>
      </c>
      <c r="P118" s="63" t="inlineStr">
        <is>
          <t>49,20</t>
        </is>
      </c>
      <c r="Q118" s="63" t="inlineStr">
        <is>
          <t>57,07</t>
        </is>
      </c>
    </row>
    <row r="119">
      <c r="A119" s="66" t="n">
        <v>46217</v>
      </c>
      <c r="B119" s="65" t="n">
        <v>473</v>
      </c>
      <c r="C119" s="65" t="inlineStr">
        <is>
          <t>00-00001017</t>
        </is>
      </c>
      <c r="D119" s="65" t="inlineStr">
        <is>
          <t>S00586</t>
        </is>
      </c>
      <c r="E119" s="65" t="inlineStr">
        <is>
          <t>July villasana</t>
        </is>
      </c>
      <c r="F119" s="63" t="inlineStr">
        <is>
          <t>141.585,85</t>
        </is>
      </c>
      <c r="G119" s="63" t="inlineStr">
        <is>
          <t>164.239,59</t>
        </is>
      </c>
      <c r="H119" s="63" t="inlineStr">
        <is>
          <t>226,84</t>
        </is>
      </c>
      <c r="I119" s="63" t="inlineStr">
        <is>
          <t>724,00</t>
        </is>
      </c>
      <c r="J119" s="65" t="n"/>
      <c r="K119" s="65" t="n">
        <v>779</v>
      </c>
      <c r="L119" s="65" t="inlineStr">
        <is>
          <t>[0779] SINOCO SAE 20W-50 (1x12)</t>
        </is>
      </c>
      <c r="M119" s="63" t="inlineStr">
        <is>
          <t>70,29</t>
        </is>
      </c>
      <c r="N119" s="63" t="inlineStr">
        <is>
          <t>3,00</t>
        </is>
      </c>
      <c r="O119" s="63" t="inlineStr">
        <is>
          <t>7,26</t>
        </is>
      </c>
      <c r="P119" s="63" t="inlineStr">
        <is>
          <t>195,56</t>
        </is>
      </c>
      <c r="Q119" s="63" t="inlineStr">
        <is>
          <t>226,85</t>
        </is>
      </c>
    </row>
    <row r="120">
      <c r="A120" s="66" t="n">
        <v>46217</v>
      </c>
      <c r="B120" s="65" t="n">
        <v>472</v>
      </c>
      <c r="C120" s="65" t="inlineStr">
        <is>
          <t>00-00001016</t>
        </is>
      </c>
      <c r="D120" s="65" t="inlineStr">
        <is>
          <t>S00589</t>
        </is>
      </c>
      <c r="E120" s="65" t="inlineStr">
        <is>
          <t>SUKAY MOTORS V.I.P C.A</t>
        </is>
      </c>
      <c r="F120" s="63" t="inlineStr">
        <is>
          <t>561.905,21</t>
        </is>
      </c>
      <c r="G120" s="63" t="inlineStr">
        <is>
          <t>651.810,04</t>
        </is>
      </c>
      <c r="H120" s="63" t="inlineStr">
        <is>
          <t>900,26</t>
        </is>
      </c>
      <c r="I120" s="63" t="inlineStr">
        <is>
          <t>724,00</t>
        </is>
      </c>
      <c r="J120" s="65" t="n"/>
      <c r="K120" s="65" t="n">
        <v>877</v>
      </c>
      <c r="L120" s="65" t="inlineStr">
        <is>
          <t>[0877] SS EXTRA PROTECCION API SN SAE 15W-40 (1X12)</t>
        </is>
      </c>
      <c r="M120" s="63" t="inlineStr">
        <is>
          <t>100,80</t>
        </is>
      </c>
      <c r="N120" s="63" t="inlineStr">
        <is>
          <t>2,00</t>
        </is>
      </c>
      <c r="O120" s="63" t="inlineStr">
        <is>
          <t>7,26</t>
        </is>
      </c>
      <c r="P120" s="63" t="inlineStr">
        <is>
          <t>186,96</t>
        </is>
      </c>
      <c r="Q120" s="63" t="inlineStr">
        <is>
          <t>216,88</t>
        </is>
      </c>
    </row>
    <row r="121">
      <c r="A121" s="65" t="n"/>
      <c r="B121" s="65" t="n"/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65" t="n">
        <v>878</v>
      </c>
      <c r="L121" s="65" t="inlineStr">
        <is>
          <t>[0878] SS EXTRA PROTECCION API SN SAE 20W-50 (1x12)</t>
        </is>
      </c>
      <c r="M121" s="63" t="inlineStr">
        <is>
          <t>100,80</t>
        </is>
      </c>
      <c r="N121" s="63" t="inlineStr">
        <is>
          <t>2,00</t>
        </is>
      </c>
      <c r="O121" s="63" t="inlineStr">
        <is>
          <t>7,26</t>
        </is>
      </c>
      <c r="P121" s="63" t="inlineStr">
        <is>
          <t>186,96</t>
        </is>
      </c>
      <c r="Q121" s="63" t="inlineStr">
        <is>
          <t>216,88</t>
        </is>
      </c>
    </row>
    <row r="122">
      <c r="A122" s="65" t="n"/>
      <c r="B122" s="65" t="n"/>
      <c r="C122" s="65" t="n"/>
      <c r="D122" s="65" t="n"/>
      <c r="E122" s="65" t="n"/>
      <c r="F122" s="65" t="n"/>
      <c r="G122" s="65" t="n"/>
      <c r="H122" s="65" t="n"/>
      <c r="I122" s="65" t="n"/>
      <c r="J122" s="65" t="n"/>
      <c r="K122" s="65" t="n">
        <v>884</v>
      </c>
      <c r="L122" s="65" t="inlineStr">
        <is>
          <t>[0884] TRANSMATIC ATF DEXRON III (1x12)</t>
        </is>
      </c>
      <c r="M122" s="63" t="inlineStr">
        <is>
          <t>95,49</t>
        </is>
      </c>
      <c r="N122" s="63" t="inlineStr">
        <is>
          <t>1,00</t>
        </is>
      </c>
      <c r="O122" s="63" t="inlineStr">
        <is>
          <t>7,26</t>
        </is>
      </c>
      <c r="P122" s="63" t="inlineStr">
        <is>
          <t>88,56</t>
        </is>
      </c>
      <c r="Q122" s="63" t="inlineStr">
        <is>
          <t>102,73</t>
        </is>
      </c>
    </row>
    <row r="123">
      <c r="A123" s="65" t="n"/>
      <c r="B123" s="65" t="n"/>
      <c r="C123" s="65" t="n"/>
      <c r="D123" s="65" t="n"/>
      <c r="E123" s="65" t="n"/>
      <c r="F123" s="65" t="n"/>
      <c r="G123" s="65" t="n"/>
      <c r="H123" s="65" t="n"/>
      <c r="I123" s="65" t="n"/>
      <c r="J123" s="65" t="n"/>
      <c r="K123" s="65" t="n">
        <v>885</v>
      </c>
      <c r="L123" s="65" t="inlineStr">
        <is>
          <t>[0885] TRANSMATIC ATF MERCON V (1x12)</t>
        </is>
      </c>
      <c r="M123" s="63" t="inlineStr">
        <is>
          <t>157,82</t>
        </is>
      </c>
      <c r="N123" s="63" t="inlineStr">
        <is>
          <t>1,00</t>
        </is>
      </c>
      <c r="O123" s="63" t="inlineStr">
        <is>
          <t>7,26</t>
        </is>
      </c>
      <c r="P123" s="63" t="inlineStr">
        <is>
          <t>146,36</t>
        </is>
      </c>
      <c r="Q123" s="63" t="inlineStr">
        <is>
          <t>169,78</t>
        </is>
      </c>
    </row>
    <row r="124">
      <c r="A124" s="65" t="n"/>
      <c r="B124" s="65" t="n"/>
      <c r="C124" s="65" t="n"/>
      <c r="D124" s="65" t="n"/>
      <c r="E124" s="65" t="n"/>
      <c r="F124" s="65" t="n"/>
      <c r="G124" s="65" t="n"/>
      <c r="H124" s="65" t="n"/>
      <c r="I124" s="65" t="n"/>
      <c r="J124" s="65" t="n"/>
      <c r="K124" s="65" t="n">
        <v>795</v>
      </c>
      <c r="L124" s="65" t="inlineStr">
        <is>
          <t>[0795] REFRIGERANTE GLOBAL ORANGE PREMIUM 50-50 CONCENTRADO (1x3)</t>
        </is>
      </c>
      <c r="M124" s="63" t="inlineStr">
        <is>
          <t>51,72</t>
        </is>
      </c>
      <c r="N124" s="63" t="inlineStr">
        <is>
          <t>2,00</t>
        </is>
      </c>
      <c r="O124" s="63" t="inlineStr">
        <is>
          <t>7,26</t>
        </is>
      </c>
      <c r="P124" s="63" t="inlineStr">
        <is>
          <t>95,93</t>
        </is>
      </c>
      <c r="Q124" s="63" t="inlineStr">
        <is>
          <t>111,28</t>
        </is>
      </c>
    </row>
    <row r="125">
      <c r="A125" s="65" t="n"/>
      <c r="B125" s="65" t="n"/>
      <c r="C125" s="65" t="n"/>
      <c r="D125" s="65" t="n"/>
      <c r="E125" s="65" t="n"/>
      <c r="F125" s="65" t="n"/>
      <c r="G125" s="65" t="n"/>
      <c r="H125" s="65" t="n"/>
      <c r="I125" s="65" t="n"/>
      <c r="J125" s="65" t="n"/>
      <c r="K125" s="65" t="n">
        <v>775</v>
      </c>
      <c r="L125" s="65" t="inlineStr">
        <is>
          <t>[0775] LIGA PARA FRENOS DOT-4 (1X12)</t>
        </is>
      </c>
      <c r="M125" s="63" t="inlineStr">
        <is>
          <t>41,11</t>
        </is>
      </c>
      <c r="N125" s="63" t="inlineStr">
        <is>
          <t>1,00</t>
        </is>
      </c>
      <c r="O125" s="63" t="inlineStr">
        <is>
          <t>7,26</t>
        </is>
      </c>
      <c r="P125" s="63" t="inlineStr">
        <is>
          <t>38,13</t>
        </is>
      </c>
      <c r="Q125" s="63" t="inlineStr">
        <is>
          <t>44,23</t>
        </is>
      </c>
    </row>
    <row r="126">
      <c r="A126" s="65" t="n"/>
      <c r="B126" s="65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65" t="n">
        <v>761</v>
      </c>
      <c r="L126" s="65" t="inlineStr">
        <is>
          <t>[0761] LIGA PARA FRENOS DOT-3 (1x12)</t>
        </is>
      </c>
      <c r="M126" s="63" t="inlineStr">
        <is>
          <t>35,81</t>
        </is>
      </c>
      <c r="N126" s="63" t="inlineStr">
        <is>
          <t>1,00</t>
        </is>
      </c>
      <c r="O126" s="63" t="inlineStr">
        <is>
          <t>7,26</t>
        </is>
      </c>
      <c r="P126" s="63" t="inlineStr">
        <is>
          <t>33,21</t>
        </is>
      </c>
      <c r="Q126" s="63" t="inlineStr">
        <is>
          <t>38,52</t>
        </is>
      </c>
    </row>
    <row r="127">
      <c r="A127" s="66" t="n">
        <v>46217</v>
      </c>
      <c r="B127" s="65" t="n">
        <v>471</v>
      </c>
      <c r="C127" s="65" t="inlineStr">
        <is>
          <t>00-00001015</t>
        </is>
      </c>
      <c r="D127" s="65" t="inlineStr">
        <is>
          <t>S00592</t>
        </is>
      </c>
      <c r="E127" s="65" t="inlineStr">
        <is>
          <t>Kevin Monsalve</t>
        </is>
      </c>
      <c r="F127" s="63" t="inlineStr">
        <is>
          <t>57.410,19</t>
        </is>
      </c>
      <c r="G127" s="63" t="inlineStr">
        <is>
          <t>66.595,82</t>
        </is>
      </c>
      <c r="H127" s="63" t="inlineStr">
        <is>
          <t>91,97</t>
        </is>
      </c>
      <c r="I127" s="63" t="inlineStr">
        <is>
          <t>724,00</t>
        </is>
      </c>
      <c r="J127" s="65" t="n"/>
      <c r="K127" s="65" t="n">
        <v>881</v>
      </c>
      <c r="L127" s="65" t="inlineStr">
        <is>
          <t>[0881] CLASICO API SL SAE 20W-50 (1x12)</t>
        </is>
      </c>
      <c r="M127" s="63" t="inlineStr">
        <is>
          <t>86,21</t>
        </is>
      </c>
      <c r="N127" s="63" t="inlineStr">
        <is>
          <t>1,00</t>
        </is>
      </c>
      <c r="O127" s="63" t="inlineStr">
        <is>
          <t>8,02</t>
        </is>
      </c>
      <c r="P127" s="63" t="inlineStr">
        <is>
          <t>79,30</t>
        </is>
      </c>
      <c r="Q127" s="63" t="inlineStr">
        <is>
          <t>91,98</t>
        </is>
      </c>
    </row>
    <row r="128">
      <c r="A128" s="66" t="n">
        <v>46217</v>
      </c>
      <c r="B128" s="65" t="n">
        <v>470</v>
      </c>
      <c r="C128" s="65" t="inlineStr">
        <is>
          <t>00-00001014</t>
        </is>
      </c>
      <c r="D128" s="65" t="inlineStr">
        <is>
          <t>S00593</t>
        </is>
      </c>
      <c r="E128" s="65" t="inlineStr">
        <is>
          <t>Comercial los de faria,c.a.</t>
        </is>
      </c>
      <c r="F128" s="63" t="inlineStr">
        <is>
          <t>168.135,50</t>
        </is>
      </c>
      <c r="G128" s="63" t="inlineStr">
        <is>
          <t>195.037,18</t>
        </is>
      </c>
      <c r="H128" s="63" t="inlineStr">
        <is>
          <t>269,38</t>
        </is>
      </c>
      <c r="I128" s="63" t="inlineStr">
        <is>
          <t>724,00</t>
        </is>
      </c>
      <c r="J128" s="65" t="n"/>
      <c r="K128" s="65" t="n">
        <v>73</v>
      </c>
      <c r="L128" s="65" t="inlineStr">
        <is>
          <t>[0073] SUPREMO API CI-4 SAE 15W-40 (PAILA)</t>
        </is>
      </c>
      <c r="M128" s="63" t="inlineStr">
        <is>
          <t>127,32</t>
        </is>
      </c>
      <c r="N128" s="63" t="inlineStr">
        <is>
          <t>2,00</t>
        </is>
      </c>
      <c r="O128" s="63" t="inlineStr">
        <is>
          <t>8,80</t>
        </is>
      </c>
      <c r="P128" s="63" t="inlineStr">
        <is>
          <t>232,23</t>
        </is>
      </c>
      <c r="Q128" s="63" t="inlineStr">
        <is>
          <t>269,39</t>
        </is>
      </c>
    </row>
    <row r="129">
      <c r="A129" s="66" t="n">
        <v>46217</v>
      </c>
      <c r="B129" s="65" t="n">
        <v>469</v>
      </c>
      <c r="C129" s="65" t="inlineStr">
        <is>
          <t>00-00001013</t>
        </is>
      </c>
      <c r="D129" s="65" t="inlineStr">
        <is>
          <t>S00595</t>
        </is>
      </c>
      <c r="E129" s="65" t="inlineStr">
        <is>
          <t>Encamotors Catia C.A</t>
        </is>
      </c>
      <c r="F129" s="63" t="inlineStr">
        <is>
          <t>42.912,06</t>
        </is>
      </c>
      <c r="G129" s="63" t="inlineStr">
        <is>
          <t>49.777,99</t>
        </is>
      </c>
      <c r="H129" s="63" t="inlineStr">
        <is>
          <t>68,75</t>
        </is>
      </c>
      <c r="I129" s="63" t="inlineStr">
        <is>
          <t>724,00</t>
        </is>
      </c>
      <c r="J129" s="65" t="n"/>
      <c r="K129" s="65" t="n">
        <v>774</v>
      </c>
      <c r="L129" s="65" t="inlineStr">
        <is>
          <t>[0774] LIGA PARA FRENOS DOT-4 (1X6)</t>
        </is>
      </c>
      <c r="M129" s="63" t="inlineStr">
        <is>
          <t>64,99</t>
        </is>
      </c>
      <c r="N129" s="63" t="inlineStr">
        <is>
          <t>1,00</t>
        </is>
      </c>
      <c r="O129" s="63" t="inlineStr">
        <is>
          <t>8,80</t>
        </is>
      </c>
      <c r="P129" s="63" t="inlineStr">
        <is>
          <t>59,27</t>
        </is>
      </c>
      <c r="Q129" s="63" t="inlineStr">
        <is>
          <t>68,75</t>
        </is>
      </c>
    </row>
    <row r="130">
      <c r="A130" s="66" t="n">
        <v>46217</v>
      </c>
      <c r="B130" s="65" t="n">
        <v>468</v>
      </c>
      <c r="C130" s="65" t="inlineStr">
        <is>
          <t>00-00001012</t>
        </is>
      </c>
      <c r="D130" s="65" t="inlineStr">
        <is>
          <t>S00596</t>
        </is>
      </c>
      <c r="E130" s="65" t="inlineStr">
        <is>
          <t>INVERSIONES JOSCAR XXI, S.A.</t>
        </is>
      </c>
      <c r="F130" s="63" t="inlineStr">
        <is>
          <t>109.462,39</t>
        </is>
      </c>
      <c r="G130" s="63" t="inlineStr">
        <is>
          <t>126.976,37</t>
        </is>
      </c>
      <c r="H130" s="63" t="inlineStr">
        <is>
          <t>175,37</t>
        </is>
      </c>
      <c r="I130" s="63" t="inlineStr">
        <is>
          <t>724,00</t>
        </is>
      </c>
      <c r="J130" s="65" t="n"/>
      <c r="K130" s="65" t="n">
        <v>884</v>
      </c>
      <c r="L130" s="65" t="inlineStr">
        <is>
          <t>[0884] TRANSMATIC ATF DEXRON III (1x12)</t>
        </is>
      </c>
      <c r="M130" s="63" t="inlineStr">
        <is>
          <t>95,49</t>
        </is>
      </c>
      <c r="N130" s="63" t="inlineStr">
        <is>
          <t>1,00</t>
        </is>
      </c>
      <c r="O130" s="63" t="inlineStr">
        <is>
          <t>8,80</t>
        </is>
      </c>
      <c r="P130" s="63" t="inlineStr">
        <is>
          <t>87,09</t>
        </is>
      </c>
      <c r="Q130" s="63" t="inlineStr">
        <is>
          <t>101,02</t>
        </is>
      </c>
    </row>
    <row r="131">
      <c r="A131" s="65" t="n"/>
      <c r="B131" s="65" t="n"/>
      <c r="C131" s="65" t="n"/>
      <c r="D131" s="65" t="n"/>
      <c r="E131" s="65" t="n"/>
      <c r="F131" s="65" t="n"/>
      <c r="G131" s="65" t="n"/>
      <c r="H131" s="65" t="n"/>
      <c r="I131" s="65" t="n"/>
      <c r="J131" s="65" t="n"/>
      <c r="K131" s="65" t="n">
        <v>779</v>
      </c>
      <c r="L131" s="65" t="inlineStr">
        <is>
          <t>[0779] SINOCO SAE 20W-50 (1x12)</t>
        </is>
      </c>
      <c r="M131" s="63" t="inlineStr">
        <is>
          <t>70,29</t>
        </is>
      </c>
      <c r="N131" s="63" t="inlineStr">
        <is>
          <t>1,00</t>
        </is>
      </c>
      <c r="O131" s="63" t="inlineStr">
        <is>
          <t>8,80</t>
        </is>
      </c>
      <c r="P131" s="63" t="inlineStr">
        <is>
          <t>64,10</t>
        </is>
      </c>
      <c r="Q131" s="63" t="inlineStr">
        <is>
          <t>74,36</t>
        </is>
      </c>
    </row>
    <row r="132">
      <c r="A132" s="66" t="n">
        <v>46217</v>
      </c>
      <c r="B132" s="65" t="n">
        <v>467</v>
      </c>
      <c r="C132" s="65" t="inlineStr">
        <is>
          <t>00-00001011</t>
        </is>
      </c>
      <c r="D132" s="65" t="inlineStr">
        <is>
          <t>S00597</t>
        </is>
      </c>
      <c r="E132" s="65" t="inlineStr">
        <is>
          <t>AUTOREPUESTOS SION C.A.</t>
        </is>
      </c>
      <c r="F132" s="63" t="inlineStr">
        <is>
          <t>133.113,88</t>
        </is>
      </c>
      <c r="G132" s="63" t="inlineStr">
        <is>
          <t>154.412,10</t>
        </is>
      </c>
      <c r="H132" s="63" t="inlineStr">
        <is>
          <t>213,26</t>
        </is>
      </c>
      <c r="I132" s="63" t="inlineStr">
        <is>
          <t>724,00</t>
        </is>
      </c>
      <c r="J132" s="65" t="n"/>
      <c r="K132" s="65" t="n">
        <v>877</v>
      </c>
      <c r="L132" s="65" t="inlineStr">
        <is>
          <t>[0877] SS EXTRA PROTECCION API SN SAE 15W-40 (1X12)</t>
        </is>
      </c>
      <c r="M132" s="63" t="inlineStr">
        <is>
          <t>100,80</t>
        </is>
      </c>
      <c r="N132" s="63" t="inlineStr">
        <is>
          <t>2,00</t>
        </is>
      </c>
      <c r="O132" s="63" t="inlineStr">
        <is>
          <t>8,80</t>
        </is>
      </c>
      <c r="P132" s="63" t="inlineStr">
        <is>
          <t>183,86</t>
        </is>
      </c>
      <c r="Q132" s="63" t="inlineStr">
        <is>
          <t>213,28</t>
        </is>
      </c>
    </row>
    <row r="133">
      <c r="A133" s="66" t="n">
        <v>46217</v>
      </c>
      <c r="B133" s="65" t="n">
        <v>466</v>
      </c>
      <c r="C133" s="65" t="inlineStr">
        <is>
          <t>00-00001010</t>
        </is>
      </c>
      <c r="D133" s="65" t="inlineStr">
        <is>
          <t>S00598</t>
        </is>
      </c>
      <c r="E133" s="65" t="inlineStr">
        <is>
          <t>Cauchera William 2018, C.A</t>
        </is>
      </c>
      <c r="F133" s="63" t="inlineStr">
        <is>
          <t>307.383,45</t>
        </is>
      </c>
      <c r="G133" s="63" t="inlineStr">
        <is>
          <t>356.564,81</t>
        </is>
      </c>
      <c r="H133" s="63" t="inlineStr">
        <is>
          <t>492,46</t>
        </is>
      </c>
      <c r="I133" s="63" t="inlineStr">
        <is>
          <t>724,00</t>
        </is>
      </c>
      <c r="J133" s="65" t="n"/>
      <c r="K133" s="65" t="n">
        <v>881</v>
      </c>
      <c r="L133" s="65" t="inlineStr">
        <is>
          <t>[0881] CLASICO API SL SAE 20W-50 (1x12)</t>
        </is>
      </c>
      <c r="M133" s="63" t="inlineStr">
        <is>
          <t>86,21</t>
        </is>
      </c>
      <c r="N133" s="63" t="inlineStr">
        <is>
          <t>1,00</t>
        </is>
      </c>
      <c r="O133" s="63" t="inlineStr">
        <is>
          <t>8,80</t>
        </is>
      </c>
      <c r="P133" s="63" t="inlineStr">
        <is>
          <t>78,62</t>
        </is>
      </c>
      <c r="Q133" s="63" t="inlineStr">
        <is>
          <t>91,20</t>
        </is>
      </c>
    </row>
    <row r="134">
      <c r="A134" s="65" t="n"/>
      <c r="B134" s="65" t="n"/>
      <c r="C134" s="65" t="n"/>
      <c r="D134" s="65" t="n"/>
      <c r="E134" s="65" t="n"/>
      <c r="F134" s="65" t="n"/>
      <c r="G134" s="65" t="n"/>
      <c r="H134" s="65" t="n"/>
      <c r="I134" s="65" t="n"/>
      <c r="J134" s="65" t="n"/>
      <c r="K134" s="65" t="n">
        <v>880</v>
      </c>
      <c r="L134" s="65" t="inlineStr">
        <is>
          <t>[0880] CLASICO API SL SAE 15W-40 (1x12)</t>
        </is>
      </c>
      <c r="M134" s="63" t="inlineStr">
        <is>
          <t>86,21</t>
        </is>
      </c>
      <c r="N134" s="63" t="inlineStr">
        <is>
          <t>1,00</t>
        </is>
      </c>
      <c r="O134" s="63" t="inlineStr">
        <is>
          <t>8,80</t>
        </is>
      </c>
      <c r="P134" s="63" t="inlineStr">
        <is>
          <t>78,62</t>
        </is>
      </c>
      <c r="Q134" s="63" t="inlineStr">
        <is>
          <t>91,20</t>
        </is>
      </c>
    </row>
    <row r="135">
      <c r="A135" s="65" t="n"/>
      <c r="B135" s="65" t="n"/>
      <c r="C135" s="65" t="n"/>
      <c r="D135" s="65" t="n"/>
      <c r="E135" s="65" t="n"/>
      <c r="F135" s="65" t="n"/>
      <c r="G135" s="65" t="n"/>
      <c r="H135" s="65" t="n"/>
      <c r="I135" s="65" t="n"/>
      <c r="J135" s="65" t="n"/>
      <c r="K135" s="65" t="n">
        <v>877</v>
      </c>
      <c r="L135" s="65" t="inlineStr">
        <is>
          <t>[0877] SS EXTRA PROTECCION API SN SAE 15W-40 (1X12)</t>
        </is>
      </c>
      <c r="M135" s="63" t="inlineStr">
        <is>
          <t>100,80</t>
        </is>
      </c>
      <c r="N135" s="63" t="inlineStr">
        <is>
          <t>1,00</t>
        </is>
      </c>
      <c r="O135" s="63" t="inlineStr">
        <is>
          <t>8,80</t>
        </is>
      </c>
      <c r="P135" s="63" t="inlineStr">
        <is>
          <t>91,93</t>
        </is>
      </c>
      <c r="Q135" s="63" t="inlineStr">
        <is>
          <t>106,64</t>
        </is>
      </c>
    </row>
    <row r="136">
      <c r="A136" s="65" t="n"/>
      <c r="B136" s="65" t="n"/>
      <c r="C136" s="65" t="n"/>
      <c r="D136" s="65" t="n"/>
      <c r="E136" s="65" t="n"/>
      <c r="F136" s="65" t="n"/>
      <c r="G136" s="65" t="n"/>
      <c r="H136" s="65" t="n"/>
      <c r="I136" s="65" t="n"/>
      <c r="J136" s="65" t="n"/>
      <c r="K136" s="65" t="n">
        <v>605</v>
      </c>
      <c r="L136" s="65" t="inlineStr">
        <is>
          <t>[0605] SINOCO SAE 20W-50 (PAILA)</t>
        </is>
      </c>
      <c r="M136" s="63" t="inlineStr">
        <is>
          <t>96,82</t>
        </is>
      </c>
      <c r="N136" s="63" t="inlineStr">
        <is>
          <t>1,00</t>
        </is>
      </c>
      <c r="O136" s="63" t="inlineStr">
        <is>
          <t>8,80</t>
        </is>
      </c>
      <c r="P136" s="63" t="inlineStr">
        <is>
          <t>88,30</t>
        </is>
      </c>
      <c r="Q136" s="63" t="inlineStr">
        <is>
          <t>102,43</t>
        </is>
      </c>
    </row>
    <row r="137">
      <c r="A137" s="65" t="n"/>
      <c r="B137" s="65" t="n"/>
      <c r="C137" s="65" t="n"/>
      <c r="D137" s="65" t="n"/>
      <c r="E137" s="65" t="n"/>
      <c r="F137" s="65" t="n"/>
      <c r="G137" s="65" t="n"/>
      <c r="H137" s="65" t="n"/>
      <c r="I137" s="65" t="n"/>
      <c r="J137" s="65" t="n"/>
      <c r="K137" s="65" t="n">
        <v>884</v>
      </c>
      <c r="L137" s="65" t="inlineStr">
        <is>
          <t>[0884] TRANSMATIC ATF DEXRON III (1x12)</t>
        </is>
      </c>
      <c r="M137" s="63" t="inlineStr">
        <is>
          <t>95,49</t>
        </is>
      </c>
      <c r="N137" s="63" t="inlineStr">
        <is>
          <t>1,00</t>
        </is>
      </c>
      <c r="O137" s="63" t="inlineStr">
        <is>
          <t>8,80</t>
        </is>
      </c>
      <c r="P137" s="63" t="inlineStr">
        <is>
          <t>87,09</t>
        </is>
      </c>
      <c r="Q137" s="63" t="inlineStr">
        <is>
          <t>101,02</t>
        </is>
      </c>
    </row>
    <row r="138">
      <c r="A138" s="66" t="n">
        <v>46217</v>
      </c>
      <c r="B138" s="65" t="n">
        <v>465</v>
      </c>
      <c r="C138" s="65" t="inlineStr">
        <is>
          <t>00-00001009</t>
        </is>
      </c>
      <c r="D138" s="65" t="inlineStr">
        <is>
          <t>S00599</t>
        </is>
      </c>
      <c r="E138" s="65" t="inlineStr">
        <is>
          <t>Lubricantes BK C.A</t>
        </is>
      </c>
      <c r="F138" s="63" t="inlineStr">
        <is>
          <t>174.269,57</t>
        </is>
      </c>
      <c r="G138" s="63" t="inlineStr">
        <is>
          <t>202.152,70</t>
        </is>
      </c>
      <c r="H138" s="63" t="inlineStr">
        <is>
          <t>279,20</t>
        </is>
      </c>
      <c r="I138" s="63" t="inlineStr">
        <is>
          <t>724,00</t>
        </is>
      </c>
      <c r="J138" s="65" t="n"/>
      <c r="K138" s="65" t="n">
        <v>602</v>
      </c>
      <c r="L138" s="65" t="inlineStr">
        <is>
          <t>[0602] SINOCO SAE 50 (PAILA)</t>
        </is>
      </c>
      <c r="M138" s="63" t="inlineStr">
        <is>
          <t>96,82</t>
        </is>
      </c>
      <c r="N138" s="63" t="inlineStr">
        <is>
          <t>2,00</t>
        </is>
      </c>
      <c r="O138" s="63" t="inlineStr">
        <is>
          <t>8,80</t>
        </is>
      </c>
      <c r="P138" s="63" t="inlineStr">
        <is>
          <t>176,60</t>
        </is>
      </c>
      <c r="Q138" s="63" t="inlineStr">
        <is>
          <t>204,86</t>
        </is>
      </c>
    </row>
    <row r="139">
      <c r="A139" s="65" t="n"/>
      <c r="B139" s="65" t="n"/>
      <c r="C139" s="65" t="n"/>
      <c r="D139" s="65" t="n"/>
      <c r="E139" s="65" t="n"/>
      <c r="F139" s="65" t="n"/>
      <c r="G139" s="65" t="n"/>
      <c r="H139" s="65" t="n"/>
      <c r="I139" s="65" t="n"/>
      <c r="J139" s="65" t="n"/>
      <c r="K139" s="65" t="n">
        <v>779</v>
      </c>
      <c r="L139" s="65" t="inlineStr">
        <is>
          <t>[0779] SINOCO SAE 20W-50 (1x12)</t>
        </is>
      </c>
      <c r="M139" s="63" t="inlineStr">
        <is>
          <t>70,29</t>
        </is>
      </c>
      <c r="N139" s="63" t="inlineStr">
        <is>
          <t>1,00</t>
        </is>
      </c>
      <c r="O139" s="63" t="inlineStr">
        <is>
          <t>8,80</t>
        </is>
      </c>
      <c r="P139" s="63" t="inlineStr">
        <is>
          <t>64,10</t>
        </is>
      </c>
      <c r="Q139" s="63" t="inlineStr">
        <is>
          <t>74,36</t>
        </is>
      </c>
    </row>
    <row r="140">
      <c r="A140" s="66" t="n">
        <v>46217</v>
      </c>
      <c r="B140" s="65" t="n">
        <v>464</v>
      </c>
      <c r="C140" s="65" t="inlineStr">
        <is>
          <t>00-00001008</t>
        </is>
      </c>
      <c r="D140" s="65" t="inlineStr">
        <is>
          <t>S00601</t>
        </is>
      </c>
      <c r="E140" s="65" t="inlineStr">
        <is>
          <t>Inversiones may Cars 2016 c.a</t>
        </is>
      </c>
      <c r="F140" s="63" t="inlineStr">
        <is>
          <t>187.402,68</t>
        </is>
      </c>
      <c r="G140" s="63" t="inlineStr">
        <is>
          <t>217.387,11</t>
        </is>
      </c>
      <c r="H140" s="63" t="inlineStr">
        <is>
          <t>300,24</t>
        </is>
      </c>
      <c r="I140" s="63" t="inlineStr">
        <is>
          <t>724,00</t>
        </is>
      </c>
      <c r="J140" s="65" t="n"/>
      <c r="K140" s="65" t="n">
        <v>887</v>
      </c>
      <c r="L140" s="65" t="inlineStr">
        <is>
          <t>[0887] MOTOCLASICO 4T SAE 20W-50 (1x12)</t>
        </is>
      </c>
      <c r="M140" s="63" t="inlineStr">
        <is>
          <t>90,19</t>
        </is>
      </c>
      <c r="N140" s="63" t="inlineStr">
        <is>
          <t>2,00</t>
        </is>
      </c>
      <c r="O140" s="63" t="inlineStr">
        <is>
          <t>8,80</t>
        </is>
      </c>
      <c r="P140" s="63" t="inlineStr">
        <is>
          <t>164,51</t>
        </is>
      </c>
      <c r="Q140" s="63" t="inlineStr">
        <is>
          <t>190,83</t>
        </is>
      </c>
    </row>
    <row r="141">
      <c r="A141" s="65" t="n"/>
      <c r="B141" s="65" t="n"/>
      <c r="C141" s="65" t="n"/>
      <c r="D141" s="65" t="n"/>
      <c r="E141" s="65" t="n"/>
      <c r="F141" s="65" t="n"/>
      <c r="G141" s="65" t="n"/>
      <c r="H141" s="65" t="n"/>
      <c r="I141" s="65" t="n"/>
      <c r="J141" s="65" t="n"/>
      <c r="K141" s="65" t="n"/>
      <c r="L141" s="65" t="n"/>
      <c r="M141" s="63" t="inlineStr">
        <is>
          <t>0,00</t>
        </is>
      </c>
      <c r="N141" s="63" t="inlineStr">
        <is>
          <t>0,00</t>
        </is>
      </c>
      <c r="O141" s="63" t="inlineStr">
        <is>
          <t>0,00</t>
        </is>
      </c>
      <c r="P141" s="63" t="inlineStr">
        <is>
          <t>0,00</t>
        </is>
      </c>
      <c r="Q141" s="63" t="inlineStr">
        <is>
          <t>0,00</t>
        </is>
      </c>
    </row>
    <row r="142">
      <c r="A142" s="65" t="n"/>
      <c r="B142" s="65" t="n"/>
      <c r="C142" s="65" t="n"/>
      <c r="D142" s="65" t="n"/>
      <c r="E142" s="65" t="n"/>
      <c r="F142" s="65" t="n"/>
      <c r="G142" s="65" t="n"/>
      <c r="H142" s="65" t="n"/>
      <c r="I142" s="65" t="n"/>
      <c r="J142" s="65" t="n"/>
      <c r="K142" s="65" t="n">
        <v>121</v>
      </c>
      <c r="L142" s="65" t="inlineStr">
        <is>
          <t>[0121] TRANSGLOB API GL-5 SAE 80W-90 (1x6)</t>
        </is>
      </c>
      <c r="M142" s="63" t="inlineStr">
        <is>
          <t>51,72</t>
        </is>
      </c>
      <c r="N142" s="63" t="inlineStr">
        <is>
          <t>2,00</t>
        </is>
      </c>
      <c r="O142" s="63" t="inlineStr">
        <is>
          <t>8,80</t>
        </is>
      </c>
      <c r="P142" s="63" t="inlineStr">
        <is>
          <t>94,34</t>
        </is>
      </c>
      <c r="Q142" s="63" t="inlineStr">
        <is>
          <t>109,43</t>
        </is>
      </c>
    </row>
    <row r="143">
      <c r="A143" s="66" t="n">
        <v>46217</v>
      </c>
      <c r="B143" s="65" t="n">
        <v>463</v>
      </c>
      <c r="C143" s="65" t="inlineStr">
        <is>
          <t>00-00001007</t>
        </is>
      </c>
      <c r="D143" s="65" t="inlineStr">
        <is>
          <t>S00607</t>
        </is>
      </c>
      <c r="E143" s="65" t="inlineStr">
        <is>
          <t>FREDI MARQUEZ</t>
        </is>
      </c>
      <c r="F143" s="63" t="inlineStr">
        <is>
          <t>249.379,16</t>
        </is>
      </c>
      <c r="G143" s="63" t="inlineStr">
        <is>
          <t>289.279,83</t>
        </is>
      </c>
      <c r="H143" s="63" t="inlineStr">
        <is>
          <t>399,55</t>
        </is>
      </c>
      <c r="I143" s="63" t="inlineStr">
        <is>
          <t>724,00</t>
        </is>
      </c>
      <c r="J143" s="65" t="n"/>
      <c r="K143" s="65" t="n">
        <v>602</v>
      </c>
      <c r="L143" s="65" t="inlineStr">
        <is>
          <t>[0602] SINOCO SAE 50 (PAILA)</t>
        </is>
      </c>
      <c r="M143" s="63" t="inlineStr">
        <is>
          <t>96,82</t>
        </is>
      </c>
      <c r="N143" s="63" t="inlineStr">
        <is>
          <t>4,00</t>
        </is>
      </c>
      <c r="O143" s="63" t="inlineStr">
        <is>
          <t>11,06</t>
        </is>
      </c>
      <c r="P143" s="63" t="inlineStr">
        <is>
          <t>344,45</t>
        </is>
      </c>
      <c r="Q143" s="63" t="inlineStr">
        <is>
          <t>399,56</t>
        </is>
      </c>
    </row>
    <row r="144">
      <c r="A144" s="66" t="n">
        <v>46217</v>
      </c>
      <c r="B144" s="65" t="n">
        <v>462</v>
      </c>
      <c r="C144" s="65" t="inlineStr">
        <is>
          <t>00-00001006</t>
        </is>
      </c>
      <c r="D144" s="65" t="inlineStr">
        <is>
          <t>S00612</t>
        </is>
      </c>
      <c r="E144" s="65" t="inlineStr">
        <is>
          <t>Ingrit Martinez</t>
        </is>
      </c>
      <c r="F144" s="63" t="inlineStr">
        <is>
          <t>579.017,10</t>
        </is>
      </c>
      <c r="G144" s="63" t="inlineStr">
        <is>
          <t>671.659,84</t>
        </is>
      </c>
      <c r="H144" s="63" t="inlineStr">
        <is>
          <t>927,68</t>
        </is>
      </c>
      <c r="I144" s="63" t="inlineStr">
        <is>
          <t>724,00</t>
        </is>
      </c>
      <c r="J144" s="65" t="n"/>
      <c r="K144" s="65" t="n">
        <v>884</v>
      </c>
      <c r="L144" s="65" t="inlineStr">
        <is>
          <t>[0884] TRANSMATIC ATF DEXRON III (1x12)</t>
        </is>
      </c>
      <c r="M144" s="63" t="inlineStr">
        <is>
          <t>95,49</t>
        </is>
      </c>
      <c r="N144" s="63" t="inlineStr">
        <is>
          <t>3,00</t>
        </is>
      </c>
      <c r="O144" s="63" t="inlineStr">
        <is>
          <t>11,06</t>
        </is>
      </c>
      <c r="P144" s="63" t="inlineStr">
        <is>
          <t>254,79</t>
        </is>
      </c>
      <c r="Q144" s="63" t="inlineStr">
        <is>
          <t>295,55</t>
        </is>
      </c>
    </row>
    <row r="145">
      <c r="A145" s="65" t="n"/>
      <c r="B145" s="65" t="n"/>
      <c r="C145" s="65" t="n"/>
      <c r="D145" s="65" t="n"/>
      <c r="E145" s="65" t="n"/>
      <c r="F145" s="65" t="n"/>
      <c r="G145" s="65" t="n"/>
      <c r="H145" s="65" t="n"/>
      <c r="I145" s="65" t="n"/>
      <c r="J145" s="65" t="n"/>
      <c r="K145" s="65" t="n">
        <v>881</v>
      </c>
      <c r="L145" s="65" t="inlineStr">
        <is>
          <t>[0881] CLASICO API SL SAE 20W-50 (1x12)</t>
        </is>
      </c>
      <c r="M145" s="63" t="inlineStr">
        <is>
          <t>86,21</t>
        </is>
      </c>
      <c r="N145" s="63" t="inlineStr">
        <is>
          <t>2,00</t>
        </is>
      </c>
      <c r="O145" s="63" t="inlineStr">
        <is>
          <t>11,06</t>
        </is>
      </c>
      <c r="P145" s="63" t="inlineStr">
        <is>
          <t>153,35</t>
        </is>
      </c>
      <c r="Q145" s="63" t="inlineStr">
        <is>
          <t>177,89</t>
        </is>
      </c>
    </row>
    <row r="146">
      <c r="A146" s="65" t="n"/>
      <c r="B146" s="65" t="n"/>
      <c r="C146" s="65" t="n"/>
      <c r="D146" s="65" t="n"/>
      <c r="E146" s="65" t="n"/>
      <c r="F146" s="65" t="n"/>
      <c r="G146" s="65" t="n"/>
      <c r="H146" s="65" t="n"/>
      <c r="I146" s="65" t="n"/>
      <c r="J146" s="65" t="n"/>
      <c r="K146" s="65" t="n">
        <v>938</v>
      </c>
      <c r="L146" s="65" t="inlineStr">
        <is>
          <t>[0938] CLASICO API SL SAE 20W-50 (1X3)</t>
        </is>
      </c>
      <c r="M146" s="63" t="inlineStr">
        <is>
          <t>94,16</t>
        </is>
      </c>
      <c r="N146" s="63" t="inlineStr">
        <is>
          <t>1,00</t>
        </is>
      </c>
      <c r="O146" s="63" t="inlineStr">
        <is>
          <t>11,06</t>
        </is>
      </c>
      <c r="P146" s="63" t="inlineStr">
        <is>
          <t>83,75</t>
        </is>
      </c>
      <c r="Q146" s="63" t="inlineStr">
        <is>
          <t>97,15</t>
        </is>
      </c>
    </row>
    <row r="147">
      <c r="A147" s="65" t="n"/>
      <c r="B147" s="65" t="n"/>
      <c r="C147" s="65" t="n"/>
      <c r="D147" s="65" t="n"/>
      <c r="E147" s="65" t="n"/>
      <c r="F147" s="65" t="n"/>
      <c r="G147" s="65" t="n"/>
      <c r="H147" s="65" t="n"/>
      <c r="I147" s="65" t="n"/>
      <c r="J147" s="65" t="n"/>
      <c r="K147" s="65" t="n">
        <v>877</v>
      </c>
      <c r="L147" s="65" t="inlineStr">
        <is>
          <t>[0877] SS EXTRA PROTECCION API SN SAE 15W-40 (1X12)</t>
        </is>
      </c>
      <c r="M147" s="63" t="inlineStr">
        <is>
          <t>100,80</t>
        </is>
      </c>
      <c r="N147" s="63" t="inlineStr">
        <is>
          <t>1,00</t>
        </is>
      </c>
      <c r="O147" s="63" t="inlineStr">
        <is>
          <t>11,06</t>
        </is>
      </c>
      <c r="P147" s="63" t="inlineStr">
        <is>
          <t>89,65</t>
        </is>
      </c>
      <c r="Q147" s="63" t="inlineStr">
        <is>
          <t>104,00</t>
        </is>
      </c>
    </row>
    <row r="148">
      <c r="A148" s="65" t="n"/>
      <c r="B148" s="65" t="n"/>
      <c r="C148" s="65" t="n"/>
      <c r="D148" s="65" t="n"/>
      <c r="E148" s="65" t="n"/>
      <c r="F148" s="65" t="n"/>
      <c r="G148" s="65" t="n"/>
      <c r="H148" s="65" t="n"/>
      <c r="I148" s="65" t="n"/>
      <c r="J148" s="65" t="n"/>
      <c r="K148" s="65" t="n">
        <v>937</v>
      </c>
      <c r="L148" s="65" t="inlineStr">
        <is>
          <t>[0937] SS EXTRA PROTECCION API SN SAE 15W-40 (1X3)</t>
        </is>
      </c>
      <c r="M148" s="63" t="inlineStr">
        <is>
          <t>104,77</t>
        </is>
      </c>
      <c r="N148" s="63" t="inlineStr">
        <is>
          <t>1,00</t>
        </is>
      </c>
      <c r="O148" s="63" t="inlineStr">
        <is>
          <t>11,06</t>
        </is>
      </c>
      <c r="P148" s="63" t="inlineStr">
        <is>
          <t>93,18</t>
        </is>
      </c>
      <c r="Q148" s="63" t="inlineStr">
        <is>
          <t>108,09</t>
        </is>
      </c>
    </row>
    <row r="149">
      <c r="A149" s="65" t="n"/>
      <c r="B149" s="65" t="n"/>
      <c r="C149" s="65" t="n"/>
      <c r="D149" s="65" t="n"/>
      <c r="E149" s="65" t="n"/>
      <c r="F149" s="65" t="n"/>
      <c r="G149" s="65" t="n"/>
      <c r="H149" s="65" t="n"/>
      <c r="I149" s="65" t="n"/>
      <c r="J149" s="65" t="n"/>
      <c r="K149" s="65" t="n">
        <v>779</v>
      </c>
      <c r="L149" s="65" t="inlineStr">
        <is>
          <t>[0779] SINOCO SAE 20W-50 (1x12)</t>
        </is>
      </c>
      <c r="M149" s="63" t="inlineStr">
        <is>
          <t>70,29</t>
        </is>
      </c>
      <c r="N149" s="63" t="inlineStr">
        <is>
          <t>2,00</t>
        </is>
      </c>
      <c r="O149" s="63" t="inlineStr">
        <is>
          <t>11,06</t>
        </is>
      </c>
      <c r="P149" s="63" t="inlineStr">
        <is>
          <t>125,03</t>
        </is>
      </c>
      <c r="Q149" s="63" t="inlineStr">
        <is>
          <t>145,04</t>
        </is>
      </c>
    </row>
    <row r="150">
      <c r="A150" s="66" t="n">
        <v>46217</v>
      </c>
      <c r="B150" s="65" t="n">
        <v>461</v>
      </c>
      <c r="C150" s="65" t="inlineStr">
        <is>
          <t>00-00001005</t>
        </is>
      </c>
      <c r="D150" s="65" t="inlineStr">
        <is>
          <t>S00616</t>
        </is>
      </c>
      <c r="E150" s="65" t="inlineStr">
        <is>
          <t>Multiservicios Sanahuja 36 C.A</t>
        </is>
      </c>
      <c r="F150" s="63" t="inlineStr">
        <is>
          <t>29.890,99</t>
        </is>
      </c>
      <c r="G150" s="63" t="inlineStr">
        <is>
          <t>34.673,55</t>
        </is>
      </c>
      <c r="H150" s="63" t="inlineStr">
        <is>
          <t>47,88</t>
        </is>
      </c>
      <c r="I150" s="63" t="inlineStr">
        <is>
          <t>724,00</t>
        </is>
      </c>
      <c r="J150" s="65" t="n"/>
      <c r="K150" s="65" t="n">
        <v>93</v>
      </c>
      <c r="L150" s="65" t="inlineStr">
        <is>
          <t>[0093] ALTA CILINDRADA SS API SN SAE 15W-40 (1x6)</t>
        </is>
      </c>
      <c r="M150" s="63" t="inlineStr">
        <is>
          <t>46,42</t>
        </is>
      </c>
      <c r="N150" s="63" t="inlineStr">
        <is>
          <t>1,00</t>
        </is>
      </c>
      <c r="O150" s="63" t="inlineStr">
        <is>
          <t>11,06</t>
        </is>
      </c>
      <c r="P150" s="63" t="inlineStr">
        <is>
          <t>41,29</t>
        </is>
      </c>
      <c r="Q150" s="63" t="inlineStr">
        <is>
          <t>47,89</t>
        </is>
      </c>
    </row>
    <row r="151">
      <c r="A151" s="66" t="n">
        <v>46217</v>
      </c>
      <c r="B151" s="65" t="n">
        <v>460</v>
      </c>
      <c r="C151" s="65" t="inlineStr">
        <is>
          <t>00-00001004</t>
        </is>
      </c>
      <c r="D151" s="65" t="inlineStr">
        <is>
          <t>S00619</t>
        </is>
      </c>
      <c r="E151" s="65" t="inlineStr">
        <is>
          <t>Cauchera El Gordo 0410,c.a.</t>
        </is>
      </c>
      <c r="F151" s="63" t="inlineStr">
        <is>
          <t>164.023,90</t>
        </is>
      </c>
      <c r="G151" s="63" t="inlineStr">
        <is>
          <t>190.267,73</t>
        </is>
      </c>
      <c r="H151" s="63" t="inlineStr">
        <is>
          <t>262,78</t>
        </is>
      </c>
      <c r="I151" s="63" t="inlineStr">
        <is>
          <t>724,00</t>
        </is>
      </c>
      <c r="J151" s="65" t="n"/>
      <c r="K151" s="65" t="n">
        <v>877</v>
      </c>
      <c r="L151" s="65" t="inlineStr">
        <is>
          <t>[0877] SS EXTRA PROTECCION API SN SAE 15W-40 (1X12)</t>
        </is>
      </c>
      <c r="M151" s="63" t="inlineStr">
        <is>
          <t>100,80</t>
        </is>
      </c>
      <c r="N151" s="63" t="inlineStr">
        <is>
          <t>1,00</t>
        </is>
      </c>
      <c r="O151" s="63" t="inlineStr">
        <is>
          <t>11,95</t>
        </is>
      </c>
      <c r="P151" s="63" t="inlineStr">
        <is>
          <t>88,75</t>
        </is>
      </c>
      <c r="Q151" s="63" t="inlineStr">
        <is>
          <t>102,96</t>
        </is>
      </c>
    </row>
    <row r="152">
      <c r="A152" s="65" t="n"/>
      <c r="B152" s="65" t="n"/>
      <c r="C152" s="65" t="n"/>
      <c r="D152" s="65" t="n"/>
      <c r="E152" s="65" t="n"/>
      <c r="F152" s="65" t="n"/>
      <c r="G152" s="65" t="n"/>
      <c r="H152" s="65" t="n"/>
      <c r="I152" s="65" t="n"/>
      <c r="J152" s="65" t="n"/>
      <c r="K152" s="65" t="n">
        <v>880</v>
      </c>
      <c r="L152" s="65" t="inlineStr">
        <is>
          <t>[0880] CLASICO API SL SAE 15W-40 (1x12)</t>
        </is>
      </c>
      <c r="M152" s="63" t="inlineStr">
        <is>
          <t>86,21</t>
        </is>
      </c>
      <c r="N152" s="63" t="inlineStr">
        <is>
          <t>1,00</t>
        </is>
      </c>
      <c r="O152" s="63" t="inlineStr">
        <is>
          <t>11,95</t>
        </is>
      </c>
      <c r="P152" s="63" t="inlineStr">
        <is>
          <t>75,91</t>
        </is>
      </c>
      <c r="Q152" s="63" t="inlineStr">
        <is>
          <t>88,05</t>
        </is>
      </c>
    </row>
    <row r="153">
      <c r="A153" s="65" t="n"/>
      <c r="B153" s="65" t="n"/>
      <c r="C153" s="65" t="n"/>
      <c r="D153" s="65" t="n"/>
      <c r="E153" s="65" t="n"/>
      <c r="F153" s="65" t="n"/>
      <c r="G153" s="65" t="n"/>
      <c r="H153" s="65" t="n"/>
      <c r="I153" s="65" t="n"/>
      <c r="J153" s="65" t="n"/>
      <c r="K153" s="65" t="n">
        <v>779</v>
      </c>
      <c r="L153" s="65" t="inlineStr">
        <is>
          <t>[0779] SINOCO SAE 20W-50 (1x12)</t>
        </is>
      </c>
      <c r="M153" s="63" t="inlineStr">
        <is>
          <t>70,29</t>
        </is>
      </c>
      <c r="N153" s="63" t="inlineStr">
        <is>
          <t>1,00</t>
        </is>
      </c>
      <c r="O153" s="63" t="inlineStr">
        <is>
          <t>11,95</t>
        </is>
      </c>
      <c r="P153" s="63" t="inlineStr">
        <is>
          <t>61,89</t>
        </is>
      </c>
      <c r="Q153" s="63" t="inlineStr">
        <is>
          <t>71,79</t>
        </is>
      </c>
    </row>
    <row r="154">
      <c r="A154" s="66" t="n">
        <v>46217</v>
      </c>
      <c r="B154" s="65" t="n">
        <v>459</v>
      </c>
      <c r="C154" s="65" t="inlineStr">
        <is>
          <t>00-00001003</t>
        </is>
      </c>
      <c r="D154" s="65" t="inlineStr">
        <is>
          <t>S00622</t>
        </is>
      </c>
      <c r="E154" s="65" t="inlineStr">
        <is>
          <t>La cámara perfecta</t>
        </is>
      </c>
      <c r="F154" s="63" t="inlineStr">
        <is>
          <t>617.209,22</t>
        </is>
      </c>
      <c r="G154" s="63" t="inlineStr">
        <is>
          <t>715.962,69</t>
        </is>
      </c>
      <c r="H154" s="63" t="inlineStr">
        <is>
          <t>988,90</t>
        </is>
      </c>
      <c r="I154" s="63" t="inlineStr">
        <is>
          <t>724,00</t>
        </is>
      </c>
      <c r="J154" s="65" t="n"/>
      <c r="K154" s="65" t="n">
        <v>602</v>
      </c>
      <c r="L154" s="65" t="inlineStr">
        <is>
          <t>[0602] SINOCO SAE 50 (PAILA)</t>
        </is>
      </c>
      <c r="M154" s="63" t="inlineStr">
        <is>
          <t>96,82</t>
        </is>
      </c>
      <c r="N154" s="63" t="inlineStr">
        <is>
          <t>4,00</t>
        </is>
      </c>
      <c r="O154" s="63" t="inlineStr">
        <is>
          <t>11,95</t>
        </is>
      </c>
      <c r="P154" s="63" t="inlineStr">
        <is>
          <t>341,00</t>
        </is>
      </c>
      <c r="Q154" s="63" t="inlineStr">
        <is>
          <t>395,56</t>
        </is>
      </c>
    </row>
    <row r="155">
      <c r="A155" s="65" t="n"/>
      <c r="B155" s="65" t="n"/>
      <c r="C155" s="65" t="n"/>
      <c r="D155" s="65" t="n"/>
      <c r="E155" s="65" t="n"/>
      <c r="F155" s="65" t="n"/>
      <c r="G155" s="65" t="n"/>
      <c r="H155" s="65" t="n"/>
      <c r="I155" s="65" t="n"/>
      <c r="J155" s="65" t="n"/>
      <c r="K155" s="65" t="n">
        <v>605</v>
      </c>
      <c r="L155" s="65" t="inlineStr">
        <is>
          <t>[0605] SINOCO SAE 20W-50 (PAILA)</t>
        </is>
      </c>
      <c r="M155" s="63" t="inlineStr">
        <is>
          <t>96,82</t>
        </is>
      </c>
      <c r="N155" s="63" t="inlineStr">
        <is>
          <t>6,00</t>
        </is>
      </c>
      <c r="O155" s="63" t="inlineStr">
        <is>
          <t>11,95</t>
        </is>
      </c>
      <c r="P155" s="63" t="inlineStr">
        <is>
          <t>511,50</t>
        </is>
      </c>
      <c r="Q155" s="63" t="inlineStr">
        <is>
          <t>593,34</t>
        </is>
      </c>
    </row>
    <row r="156">
      <c r="A156" s="66" t="n">
        <v>46217</v>
      </c>
      <c r="B156" s="65" t="n">
        <v>458</v>
      </c>
      <c r="C156" s="65" t="inlineStr">
        <is>
          <t>00-00001002</t>
        </is>
      </c>
      <c r="D156" s="65" t="inlineStr">
        <is>
          <t>S00625</t>
        </is>
      </c>
      <c r="E156" s="65" t="inlineStr">
        <is>
          <t>E&amp;M CAR SHOP C.A</t>
        </is>
      </c>
      <c r="F156" s="63" t="inlineStr">
        <is>
          <t>91.824,93</t>
        </is>
      </c>
      <c r="G156" s="63" t="inlineStr">
        <is>
          <t>106.516,92</t>
        </is>
      </c>
      <c r="H156" s="63" t="inlineStr">
        <is>
          <t>147,11</t>
        </is>
      </c>
      <c r="I156" s="63" t="inlineStr">
        <is>
          <t>724,00</t>
        </is>
      </c>
      <c r="J156" s="65" t="n"/>
      <c r="K156" s="65" t="n">
        <v>877</v>
      </c>
      <c r="L156" s="65" t="inlineStr">
        <is>
          <t>[0877] SS EXTRA PROTECCION API SN SAE 15W-40 (1X12)</t>
        </is>
      </c>
      <c r="M156" s="63" t="inlineStr">
        <is>
          <t>100,80</t>
        </is>
      </c>
      <c r="N156" s="63" t="inlineStr">
        <is>
          <t>1,00</t>
        </is>
      </c>
      <c r="O156" s="63" t="inlineStr">
        <is>
          <t>32,18</t>
        </is>
      </c>
      <c r="P156" s="63" t="inlineStr">
        <is>
          <t>68,36</t>
        </is>
      </c>
      <c r="Q156" s="63" t="inlineStr">
        <is>
          <t>79,30</t>
        </is>
      </c>
    </row>
    <row r="157">
      <c r="A157" s="65" t="n"/>
      <c r="B157" s="65" t="n"/>
      <c r="C157" s="65" t="n"/>
      <c r="D157" s="65" t="n"/>
      <c r="E157" s="65" t="n"/>
      <c r="F157" s="65" t="n"/>
      <c r="G157" s="65" t="n"/>
      <c r="H157" s="65" t="n"/>
      <c r="I157" s="65" t="n"/>
      <c r="J157" s="65" t="n"/>
      <c r="K157" s="65" t="n">
        <v>880</v>
      </c>
      <c r="L157" s="65" t="inlineStr">
        <is>
          <t>[0880] CLASICO API SL SAE 15W-40 (1x12)</t>
        </is>
      </c>
      <c r="M157" s="63" t="inlineStr">
        <is>
          <t>86,21</t>
        </is>
      </c>
      <c r="N157" s="63" t="inlineStr">
        <is>
          <t>1,00</t>
        </is>
      </c>
      <c r="O157" s="63" t="inlineStr">
        <is>
          <t>32,18</t>
        </is>
      </c>
      <c r="P157" s="63" t="inlineStr">
        <is>
          <t>58,47</t>
        </is>
      </c>
      <c r="Q157" s="63" t="inlineStr">
        <is>
          <t>67,82</t>
        </is>
      </c>
    </row>
    <row r="158">
      <c r="A158" s="66" t="n">
        <v>46217</v>
      </c>
      <c r="B158" s="65" t="n">
        <v>457</v>
      </c>
      <c r="C158" s="65" t="inlineStr">
        <is>
          <t>00-00001001</t>
        </is>
      </c>
      <c r="D158" s="65" t="inlineStr">
        <is>
          <t>S00630</t>
        </is>
      </c>
      <c r="E158" s="65" t="inlineStr">
        <is>
          <t>misaelcars 77</t>
        </is>
      </c>
      <c r="F158" s="63" t="inlineStr">
        <is>
          <t>581.682,40</t>
        </is>
      </c>
      <c r="G158" s="63" t="inlineStr">
        <is>
          <t>674.751,58</t>
        </is>
      </c>
      <c r="H158" s="63" t="inlineStr">
        <is>
          <t>931,96</t>
        </is>
      </c>
      <c r="I158" s="63" t="inlineStr">
        <is>
          <t>724,00</t>
        </is>
      </c>
      <c r="J158" s="65" t="n"/>
      <c r="K158" s="65" t="n">
        <v>606</v>
      </c>
      <c r="L158" s="65" t="inlineStr">
        <is>
          <t>[0606] SINOCO SAE 20W-50 (Tambor)</t>
        </is>
      </c>
      <c r="M158" s="63" t="inlineStr">
        <is>
          <t>912,47</t>
        </is>
      </c>
      <c r="N158" s="63" t="inlineStr">
        <is>
          <t>1,00</t>
        </is>
      </c>
      <c r="O158" s="63" t="inlineStr">
        <is>
          <t>11,95</t>
        </is>
      </c>
      <c r="P158" s="63" t="inlineStr">
        <is>
          <t>803,43</t>
        </is>
      </c>
      <c r="Q158" s="63" t="inlineStr">
        <is>
          <t>931,98</t>
        </is>
      </c>
    </row>
    <row r="159">
      <c r="A159" s="66" t="n">
        <v>46217</v>
      </c>
      <c r="B159" s="65" t="n">
        <v>456</v>
      </c>
      <c r="C159" s="65" t="inlineStr">
        <is>
          <t>00-00001000</t>
        </is>
      </c>
      <c r="D159" s="65" t="inlineStr">
        <is>
          <t>S00629</t>
        </is>
      </c>
      <c r="E159" s="65" t="inlineStr">
        <is>
          <t>emprendimiento Miguel barrolleta</t>
        </is>
      </c>
      <c r="F159" s="63" t="inlineStr">
        <is>
          <t>89.617,10</t>
        </is>
      </c>
      <c r="G159" s="63" t="inlineStr">
        <is>
          <t>103.955,84</t>
        </is>
      </c>
      <c r="H159" s="63" t="inlineStr">
        <is>
          <t>143,58</t>
        </is>
      </c>
      <c r="I159" s="63" t="inlineStr">
        <is>
          <t>724,00</t>
        </is>
      </c>
      <c r="J159" s="65" t="n"/>
      <c r="K159" s="65" t="n">
        <v>779</v>
      </c>
      <c r="L159" s="65" t="inlineStr">
        <is>
          <t>[0779] SINOCO SAE 20W-50 (1x12)</t>
        </is>
      </c>
      <c r="M159" s="63" t="inlineStr">
        <is>
          <t>70,29</t>
        </is>
      </c>
      <c r="N159" s="63" t="inlineStr">
        <is>
          <t>2,00</t>
        </is>
      </c>
      <c r="O159" s="63" t="inlineStr">
        <is>
          <t>11,95</t>
        </is>
      </c>
      <c r="P159" s="63" t="inlineStr">
        <is>
          <t>123,78</t>
        </is>
      </c>
      <c r="Q159" s="63" t="inlineStr">
        <is>
          <t>143,59</t>
        </is>
      </c>
    </row>
    <row r="160">
      <c r="A160" s="66" t="n">
        <v>46217</v>
      </c>
      <c r="B160" s="65" t="n">
        <v>455</v>
      </c>
      <c r="C160" s="65" t="inlineStr">
        <is>
          <t>00-00000999</t>
        </is>
      </c>
      <c r="D160" s="65" t="inlineStr">
        <is>
          <t>S00627</t>
        </is>
      </c>
      <c r="E160" s="65" t="inlineStr">
        <is>
          <t>Moto Repuestos Sanz 11. C.A.</t>
        </is>
      </c>
      <c r="F160" s="63" t="inlineStr">
        <is>
          <t>57.494,42</t>
        </is>
      </c>
      <c r="G160" s="63" t="inlineStr">
        <is>
          <t>66.693,53</t>
        </is>
      </c>
      <c r="H160" s="63" t="inlineStr">
        <is>
          <t>92,11</t>
        </is>
      </c>
      <c r="I160" s="63" t="inlineStr">
        <is>
          <t>724,00</t>
        </is>
      </c>
      <c r="J160" s="65" t="n"/>
      <c r="K160" s="65" t="n">
        <v>887</v>
      </c>
      <c r="L160" s="65" t="inlineStr">
        <is>
          <t>[0887] MOTOCLASICO 4T SAE 20W-50 (1x12)</t>
        </is>
      </c>
      <c r="M160" s="63" t="inlineStr">
        <is>
          <t>90,19</t>
        </is>
      </c>
      <c r="N160" s="63" t="inlineStr">
        <is>
          <t>1,00</t>
        </is>
      </c>
      <c r="O160" s="63" t="inlineStr">
        <is>
          <t>11,95</t>
        </is>
      </c>
      <c r="P160" s="63" t="inlineStr">
        <is>
          <t>79,41</t>
        </is>
      </c>
      <c r="Q160" s="63" t="inlineStr">
        <is>
          <t>92,12</t>
        </is>
      </c>
    </row>
    <row r="161">
      <c r="A161" s="66" t="n">
        <v>46217</v>
      </c>
      <c r="B161" s="65" t="n">
        <v>454</v>
      </c>
      <c r="C161" s="65" t="inlineStr">
        <is>
          <t>00-00000998</t>
        </is>
      </c>
      <c r="D161" s="65" t="inlineStr">
        <is>
          <t>S00626</t>
        </is>
      </c>
      <c r="E161" s="65" t="inlineStr">
        <is>
          <t>Martin Rafael Gil Cabello</t>
        </is>
      </c>
      <c r="F161" s="63" t="inlineStr">
        <is>
          <t>84.549,12</t>
        </is>
      </c>
      <c r="G161" s="63" t="inlineStr">
        <is>
          <t>98.076,98</t>
        </is>
      </c>
      <c r="H161" s="63" t="inlineStr">
        <is>
          <t>135,46</t>
        </is>
      </c>
      <c r="I161" s="63" t="inlineStr">
        <is>
          <t>724,00</t>
        </is>
      </c>
      <c r="J161" s="65" t="n"/>
      <c r="K161" s="65" t="n">
        <v>602</v>
      </c>
      <c r="L161" s="65" t="inlineStr">
        <is>
          <t>[0602] SINOCO SAE 50 (PAILA)</t>
        </is>
      </c>
      <c r="M161" s="63" t="inlineStr">
        <is>
          <t>96,82</t>
        </is>
      </c>
      <c r="N161" s="63" t="inlineStr">
        <is>
          <t>1,00</t>
        </is>
      </c>
      <c r="O161" s="63" t="inlineStr">
        <is>
          <t>11,95</t>
        </is>
      </c>
      <c r="P161" s="63" t="inlineStr">
        <is>
          <t>85,25</t>
        </is>
      </c>
      <c r="Q161" s="63" t="inlineStr">
        <is>
          <t>98,89</t>
        </is>
      </c>
    </row>
    <row r="162">
      <c r="A162" s="65" t="n"/>
      <c r="B162" s="65" t="n"/>
      <c r="C162" s="65" t="n"/>
      <c r="D162" s="65" t="n"/>
      <c r="E162" s="65" t="n"/>
      <c r="F162" s="65" t="n"/>
      <c r="G162" s="65" t="n"/>
      <c r="H162" s="65" t="n"/>
      <c r="I162" s="65" t="n"/>
      <c r="J162" s="65" t="n"/>
      <c r="K162" s="65" t="n">
        <v>761</v>
      </c>
      <c r="L162" s="65" t="inlineStr">
        <is>
          <t>[0761] LIGA PARA FRENOS DOT-3 (1x12)</t>
        </is>
      </c>
      <c r="M162" s="63" t="inlineStr">
        <is>
          <t>35,81</t>
        </is>
      </c>
      <c r="N162" s="63" t="inlineStr">
        <is>
          <t>1,00</t>
        </is>
      </c>
      <c r="O162" s="63" t="inlineStr">
        <is>
          <t>11,95</t>
        </is>
      </c>
      <c r="P162" s="63" t="inlineStr">
        <is>
          <t>31,53</t>
        </is>
      </c>
      <c r="Q162" s="63" t="inlineStr">
        <is>
          <t>36,58</t>
        </is>
      </c>
    </row>
    <row r="163">
      <c r="A163" s="66" t="n">
        <v>46217</v>
      </c>
      <c r="B163" s="65" t="n">
        <v>453</v>
      </c>
      <c r="C163" s="65" t="inlineStr">
        <is>
          <t>00-00000997</t>
        </is>
      </c>
      <c r="D163" s="65" t="inlineStr">
        <is>
          <t>S00634</t>
        </is>
      </c>
      <c r="E163" s="65" t="inlineStr">
        <is>
          <t>E&amp;M CAR SHOP C.A</t>
        </is>
      </c>
      <c r="F163" s="63" t="inlineStr">
        <is>
          <t>700.975,83</t>
        </is>
      </c>
      <c r="G163" s="63" t="inlineStr">
        <is>
          <t>813.131,96</t>
        </is>
      </c>
      <c r="H163" s="63" t="inlineStr">
        <is>
          <t>1.123,10</t>
        </is>
      </c>
      <c r="I163" s="63" t="inlineStr">
        <is>
          <t>724,00</t>
        </is>
      </c>
      <c r="J163" s="65" t="n"/>
      <c r="K163" s="65" t="n">
        <v>602</v>
      </c>
      <c r="L163" s="65" t="inlineStr">
        <is>
          <t>[0602] SINOCO SAE 50 (PAILA)</t>
        </is>
      </c>
      <c r="M163" s="63" t="inlineStr">
        <is>
          <t>96,82</t>
        </is>
      </c>
      <c r="N163" s="63" t="inlineStr">
        <is>
          <t>10,00</t>
        </is>
      </c>
      <c r="O163" s="63" t="inlineStr">
        <is>
          <t>0,00</t>
        </is>
      </c>
      <c r="P163" s="63" t="inlineStr">
        <is>
          <t>968,20</t>
        </is>
      </c>
      <c r="Q163" s="63" t="inlineStr">
        <is>
          <t>1.123,11</t>
        </is>
      </c>
    </row>
    <row r="164">
      <c r="A164" s="66" t="n">
        <v>46217</v>
      </c>
      <c r="B164" s="65" t="n">
        <v>452</v>
      </c>
      <c r="C164" s="65" t="inlineStr">
        <is>
          <t>00-00000996</t>
        </is>
      </c>
      <c r="D164" s="65" t="inlineStr">
        <is>
          <t>S00639</t>
        </is>
      </c>
      <c r="E164" s="65" t="inlineStr">
        <is>
          <t>MOTOS Y REPUESTOS DOS RUEDAS, C.A.</t>
        </is>
      </c>
      <c r="F164" s="63" t="inlineStr">
        <is>
          <t>55.690,00</t>
        </is>
      </c>
      <c r="G164" s="63" t="inlineStr">
        <is>
          <t>64.600,40</t>
        </is>
      </c>
      <c r="H164" s="63" t="inlineStr">
        <is>
          <t>89,21</t>
        </is>
      </c>
      <c r="I164" s="63" t="inlineStr">
        <is>
          <t>724,00</t>
        </is>
      </c>
      <c r="J164" s="65" t="n"/>
      <c r="K164" s="65" t="n">
        <v>761</v>
      </c>
      <c r="L164" s="65" t="inlineStr">
        <is>
          <t>[0761] LIGA PARA FRENOS DOT-3 (1x12)</t>
        </is>
      </c>
      <c r="M164" s="63" t="inlineStr">
        <is>
          <t>35,81</t>
        </is>
      </c>
      <c r="N164" s="63" t="inlineStr">
        <is>
          <t>1,00</t>
        </is>
      </c>
      <c r="O164" s="63" t="inlineStr">
        <is>
          <t>0,00</t>
        </is>
      </c>
      <c r="P164" s="63" t="inlineStr">
        <is>
          <t>35,81</t>
        </is>
      </c>
      <c r="Q164" s="63" t="inlineStr">
        <is>
          <t>41,54</t>
        </is>
      </c>
    </row>
    <row r="165">
      <c r="A165" s="65" t="n"/>
      <c r="B165" s="65" t="n"/>
      <c r="C165" s="65" t="n"/>
      <c r="D165" s="65" t="n"/>
      <c r="E165" s="65" t="n"/>
      <c r="F165" s="65" t="n"/>
      <c r="G165" s="65" t="n"/>
      <c r="H165" s="65" t="n"/>
      <c r="I165" s="65" t="n"/>
      <c r="J165" s="65" t="n"/>
      <c r="K165" s="65" t="n">
        <v>775</v>
      </c>
      <c r="L165" s="65" t="inlineStr">
        <is>
          <t>[0775] LIGA PARA FRENOS DOT-4 (1X12)</t>
        </is>
      </c>
      <c r="M165" s="63" t="inlineStr">
        <is>
          <t>41,11</t>
        </is>
      </c>
      <c r="N165" s="63" t="inlineStr">
        <is>
          <t>1,00</t>
        </is>
      </c>
      <c r="O165" s="63" t="inlineStr">
        <is>
          <t>0,00</t>
        </is>
      </c>
      <c r="P165" s="63" t="inlineStr">
        <is>
          <t>41,11</t>
        </is>
      </c>
      <c r="Q165" s="63" t="inlineStr">
        <is>
          <t>47,69</t>
        </is>
      </c>
    </row>
    <row r="166">
      <c r="A166" s="66" t="n">
        <v>46217</v>
      </c>
      <c r="B166" s="65" t="n">
        <v>451</v>
      </c>
      <c r="C166" s="65" t="inlineStr">
        <is>
          <t>00-00000995</t>
        </is>
      </c>
      <c r="D166" s="65" t="inlineStr">
        <is>
          <t>S00641</t>
        </is>
      </c>
      <c r="E166" s="65" t="inlineStr">
        <is>
          <t>EMPRENDIMIENTO IRMA RODRIGUEZ 6</t>
        </is>
      </c>
      <c r="F166" s="63" t="inlineStr">
        <is>
          <t>241.974,95</t>
        </is>
      </c>
      <c r="G166" s="63" t="inlineStr">
        <is>
          <t>280.690,94</t>
        </is>
      </c>
      <c r="H166" s="63" t="inlineStr">
        <is>
          <t>387,69</t>
        </is>
      </c>
      <c r="I166" s="63" t="inlineStr">
        <is>
          <t>724,00</t>
        </is>
      </c>
      <c r="J166" s="65" t="n"/>
      <c r="K166" s="65" t="n">
        <v>602</v>
      </c>
      <c r="L166" s="65" t="inlineStr">
        <is>
          <t>[0602] SINOCO SAE 50 (PAILA)</t>
        </is>
      </c>
      <c r="M166" s="63" t="inlineStr">
        <is>
          <t>96,82</t>
        </is>
      </c>
      <c r="N166" s="63" t="inlineStr">
        <is>
          <t>2,00</t>
        </is>
      </c>
      <c r="O166" s="63" t="inlineStr">
        <is>
          <t>0,00</t>
        </is>
      </c>
      <c r="P166" s="63" t="inlineStr">
        <is>
          <t>193,64</t>
        </is>
      </c>
      <c r="Q166" s="63" t="inlineStr">
        <is>
          <t>224,62</t>
        </is>
      </c>
    </row>
    <row r="167">
      <c r="A167" s="65" t="n"/>
      <c r="B167" s="65" t="n"/>
      <c r="C167" s="65" t="n"/>
      <c r="D167" s="65" t="n"/>
      <c r="E167" s="65" t="n"/>
      <c r="F167" s="65" t="n"/>
      <c r="G167" s="65" t="n"/>
      <c r="H167" s="65" t="n"/>
      <c r="I167" s="65" t="n"/>
      <c r="J167" s="65" t="n"/>
      <c r="K167" s="65" t="n">
        <v>779</v>
      </c>
      <c r="L167" s="65" t="inlineStr">
        <is>
          <t>[0779] SINOCO SAE 20W-50 (1x12)</t>
        </is>
      </c>
      <c r="M167" s="63" t="inlineStr">
        <is>
          <t>70,29</t>
        </is>
      </c>
      <c r="N167" s="63" t="inlineStr">
        <is>
          <t>2,00</t>
        </is>
      </c>
      <c r="O167" s="63" t="inlineStr">
        <is>
          <t>0,00</t>
        </is>
      </c>
      <c r="P167" s="63" t="inlineStr">
        <is>
          <t>140,58</t>
        </is>
      </c>
      <c r="Q167" s="63" t="inlineStr">
        <is>
          <t>163,07</t>
        </is>
      </c>
    </row>
    <row r="168">
      <c r="A168" s="66" t="n">
        <v>46217</v>
      </c>
      <c r="B168" s="65" t="n">
        <v>450</v>
      </c>
      <c r="C168" s="65" t="inlineStr">
        <is>
          <t>00-00000994</t>
        </is>
      </c>
      <c r="D168" s="65" t="inlineStr">
        <is>
          <t>S00640</t>
        </is>
      </c>
      <c r="E168" s="65" t="inlineStr">
        <is>
          <t>EMPRENDIMIENTO IRMA RODRIGUEZ 6</t>
        </is>
      </c>
      <c r="F168" s="63" t="inlineStr">
        <is>
          <t>309.191,01</t>
        </is>
      </c>
      <c r="G168" s="63" t="inlineStr">
        <is>
          <t>358.661,57</t>
        </is>
      </c>
      <c r="H168" s="63" t="inlineStr">
        <is>
          <t>495,37</t>
        </is>
      </c>
      <c r="I168" s="63" t="inlineStr">
        <is>
          <t>724,00</t>
        </is>
      </c>
      <c r="J168" s="65" t="n"/>
      <c r="K168" s="65" t="n">
        <v>878</v>
      </c>
      <c r="L168" s="65" t="inlineStr">
        <is>
          <t>[0878] SS EXTRA PROTECCION API SN SAE 20W-50 (1x12)</t>
        </is>
      </c>
      <c r="M168" s="63" t="inlineStr">
        <is>
          <t>100,80</t>
        </is>
      </c>
      <c r="N168" s="63" t="inlineStr">
        <is>
          <t>2,00</t>
        </is>
      </c>
      <c r="O168" s="63" t="inlineStr">
        <is>
          <t>0,00</t>
        </is>
      </c>
      <c r="P168" s="63" t="inlineStr">
        <is>
          <t>201,60</t>
        </is>
      </c>
      <c r="Q168" s="63" t="inlineStr">
        <is>
          <t>233,86</t>
        </is>
      </c>
    </row>
    <row r="169">
      <c r="A169" s="65" t="n"/>
      <c r="B169" s="65" t="n"/>
      <c r="C169" s="65" t="n"/>
      <c r="D169" s="65" t="n"/>
      <c r="E169" s="65" t="n"/>
      <c r="F169" s="65" t="n"/>
      <c r="G169" s="65" t="n"/>
      <c r="H169" s="65" t="n"/>
      <c r="I169" s="65" t="n"/>
      <c r="J169" s="65" t="n"/>
      <c r="K169" s="65" t="n">
        <v>83</v>
      </c>
      <c r="L169" s="65" t="inlineStr">
        <is>
          <t>[0083] MAXIMO API CF SAE 50 (PAILA)</t>
        </is>
      </c>
      <c r="M169" s="63" t="inlineStr">
        <is>
          <t>112,73</t>
        </is>
      </c>
      <c r="N169" s="63" t="inlineStr">
        <is>
          <t>2,00</t>
        </is>
      </c>
      <c r="O169" s="63" t="inlineStr">
        <is>
          <t>0,00</t>
        </is>
      </c>
      <c r="P169" s="63" t="inlineStr">
        <is>
          <t>225,46</t>
        </is>
      </c>
      <c r="Q169" s="63" t="inlineStr">
        <is>
          <t>261,53</t>
        </is>
      </c>
    </row>
    <row r="170">
      <c r="A170" s="66" t="n">
        <v>46217</v>
      </c>
      <c r="B170" s="65" t="n">
        <v>449</v>
      </c>
      <c r="C170" s="65" t="inlineStr">
        <is>
          <t>00-00000993</t>
        </is>
      </c>
      <c r="D170" s="65" t="inlineStr">
        <is>
          <t>S00643</t>
        </is>
      </c>
      <c r="E170" s="65" t="inlineStr">
        <is>
          <t>INVERSIONES ONASSIS XXI C.A</t>
        </is>
      </c>
      <c r="F170" s="63" t="inlineStr">
        <is>
          <t>213.174,26</t>
        </is>
      </c>
      <c r="G170" s="63" t="inlineStr">
        <is>
          <t>247.282,14</t>
        </is>
      </c>
      <c r="H170" s="63" t="inlineStr">
        <is>
          <t>341,53</t>
        </is>
      </c>
      <c r="I170" s="63" t="inlineStr">
        <is>
          <t>724,00</t>
        </is>
      </c>
      <c r="J170" s="65" t="n"/>
      <c r="K170" s="65" t="n">
        <v>880</v>
      </c>
      <c r="L170" s="65" t="inlineStr">
        <is>
          <t>[0880] CLASICO API SL SAE 15W-40 (1x12)</t>
        </is>
      </c>
      <c r="M170" s="63" t="inlineStr">
        <is>
          <t>86,21</t>
        </is>
      </c>
      <c r="N170" s="63" t="inlineStr">
        <is>
          <t>3,00</t>
        </is>
      </c>
      <c r="O170" s="63" t="inlineStr">
        <is>
          <t>0,00</t>
        </is>
      </c>
      <c r="P170" s="63" t="inlineStr">
        <is>
          <t>258,63</t>
        </is>
      </c>
      <c r="Q170" s="63" t="inlineStr">
        <is>
          <t>300,01</t>
        </is>
      </c>
    </row>
    <row r="171">
      <c r="A171" s="65" t="n"/>
      <c r="B171" s="65" t="n"/>
      <c r="C171" s="65" t="n"/>
      <c r="D171" s="65" t="n"/>
      <c r="E171" s="65" t="n"/>
      <c r="F171" s="65" t="n"/>
      <c r="G171" s="65" t="n"/>
      <c r="H171" s="65" t="n"/>
      <c r="I171" s="65" t="n"/>
      <c r="J171" s="65" t="n"/>
      <c r="K171" s="65" t="n">
        <v>761</v>
      </c>
      <c r="L171" s="65" t="inlineStr">
        <is>
          <t>[0761] LIGA PARA FRENOS DOT-3 (1x12)</t>
        </is>
      </c>
      <c r="M171" s="63" t="inlineStr">
        <is>
          <t>35,81</t>
        </is>
      </c>
      <c r="N171" s="63" t="inlineStr">
        <is>
          <t>1,00</t>
        </is>
      </c>
      <c r="O171" s="63" t="inlineStr">
        <is>
          <t>0,00</t>
        </is>
      </c>
      <c r="P171" s="63" t="inlineStr">
        <is>
          <t>35,81</t>
        </is>
      </c>
      <c r="Q171" s="63" t="inlineStr">
        <is>
          <t>41,54</t>
        </is>
      </c>
    </row>
    <row r="172">
      <c r="A172" s="66" t="n">
        <v>46217</v>
      </c>
      <c r="B172" s="65" t="n">
        <v>448</v>
      </c>
      <c r="C172" s="65" t="inlineStr">
        <is>
          <t>00-00000992</t>
        </is>
      </c>
      <c r="D172" s="65" t="inlineStr">
        <is>
          <t>S00644</t>
        </is>
      </c>
      <c r="E172" s="65" t="inlineStr">
        <is>
          <t>CONSTRUCTORA GRANO AGREGADO, C.A</t>
        </is>
      </c>
      <c r="F172" s="63" t="inlineStr">
        <is>
          <t>322.621,20</t>
        </is>
      </c>
      <c r="G172" s="63" t="inlineStr">
        <is>
          <t>374.240,60</t>
        </is>
      </c>
      <c r="H172" s="63" t="inlineStr">
        <is>
          <t>516,89</t>
        </is>
      </c>
      <c r="I172" s="63" t="inlineStr">
        <is>
          <t>724,00</t>
        </is>
      </c>
      <c r="J172" s="65" t="n"/>
      <c r="K172" s="65" t="n">
        <v>83</v>
      </c>
      <c r="L172" s="65" t="inlineStr">
        <is>
          <t>[0083] MAXIMO API CF SAE 50 (PAILA)</t>
        </is>
      </c>
      <c r="M172" s="63" t="inlineStr">
        <is>
          <t>112,73</t>
        </is>
      </c>
      <c r="N172" s="63" t="inlineStr">
        <is>
          <t>1,00</t>
        </is>
      </c>
      <c r="O172" s="63" t="inlineStr">
        <is>
          <t>0,00</t>
        </is>
      </c>
      <c r="P172" s="63" t="inlineStr">
        <is>
          <t>112,73</t>
        </is>
      </c>
      <c r="Q172" s="63" t="inlineStr">
        <is>
          <t>130,77</t>
        </is>
      </c>
    </row>
    <row r="173">
      <c r="A173" s="65" t="n"/>
      <c r="B173" s="65" t="n"/>
      <c r="C173" s="65" t="n"/>
      <c r="D173" s="65" t="n"/>
      <c r="E173" s="65" t="n"/>
      <c r="F173" s="65" t="n"/>
      <c r="G173" s="65" t="n"/>
      <c r="H173" s="65" t="n"/>
      <c r="I173" s="65" t="n"/>
      <c r="J173" s="65" t="n"/>
      <c r="K173" s="65" t="n">
        <v>144</v>
      </c>
      <c r="L173" s="65" t="inlineStr">
        <is>
          <t>[0144] HIDRAGLOB AW/ISO 68 (PAILA)</t>
        </is>
      </c>
      <c r="M173" s="63" t="inlineStr">
        <is>
          <t>94,16</t>
        </is>
      </c>
      <c r="N173" s="63" t="inlineStr">
        <is>
          <t>1,00</t>
        </is>
      </c>
      <c r="O173" s="63" t="inlineStr">
        <is>
          <t>0,00</t>
        </is>
      </c>
      <c r="P173" s="63" t="inlineStr">
        <is>
          <t>94,16</t>
        </is>
      </c>
      <c r="Q173" s="63" t="inlineStr">
        <is>
          <t>109,23</t>
        </is>
      </c>
    </row>
    <row r="174">
      <c r="A174" s="65" t="n"/>
      <c r="B174" s="65" t="n"/>
      <c r="C174" s="65" t="n"/>
      <c r="D174" s="65" t="n"/>
      <c r="E174" s="65" t="n"/>
      <c r="F174" s="65" t="n"/>
      <c r="G174" s="65" t="n"/>
      <c r="H174" s="65" t="n"/>
      <c r="I174" s="65" t="n"/>
      <c r="J174" s="65" t="n"/>
      <c r="K174" s="65" t="n">
        <v>129</v>
      </c>
      <c r="L174" s="65" t="inlineStr">
        <is>
          <t>[0129] TRANSGLOB API GL-5 SAE 85W-140 (Paila)</t>
        </is>
      </c>
      <c r="M174" s="63" t="inlineStr">
        <is>
          <t>123,34</t>
        </is>
      </c>
      <c r="N174" s="63" t="inlineStr">
        <is>
          <t>1,00</t>
        </is>
      </c>
      <c r="O174" s="63" t="inlineStr">
        <is>
          <t>0,00</t>
        </is>
      </c>
      <c r="P174" s="63" t="inlineStr">
        <is>
          <t>123,34</t>
        </is>
      </c>
      <c r="Q174" s="63" t="inlineStr">
        <is>
          <t>143,07</t>
        </is>
      </c>
    </row>
    <row r="175">
      <c r="A175" s="65" t="n"/>
      <c r="B175" s="65" t="n"/>
      <c r="C175" s="65" t="n"/>
      <c r="D175" s="65" t="n"/>
      <c r="E175" s="65" t="n"/>
      <c r="F175" s="65" t="n"/>
      <c r="G175" s="65" t="n"/>
      <c r="H175" s="65" t="n"/>
      <c r="I175" s="65" t="n"/>
      <c r="J175" s="65" t="n"/>
      <c r="K175" s="65" t="n">
        <v>883</v>
      </c>
      <c r="L175" s="65" t="inlineStr">
        <is>
          <t>[0883] GRASA GLOBAL AZUL AZ 95 (PAILA)</t>
        </is>
      </c>
      <c r="M175" s="63" t="inlineStr">
        <is>
          <t>115,38</t>
        </is>
      </c>
      <c r="N175" s="63" t="inlineStr">
        <is>
          <t>1,00</t>
        </is>
      </c>
      <c r="O175" s="63" t="inlineStr">
        <is>
          <t>0,00</t>
        </is>
      </c>
      <c r="P175" s="63" t="inlineStr">
        <is>
          <t>115,38</t>
        </is>
      </c>
      <c r="Q175" s="63" t="inlineStr">
        <is>
          <t>133,84</t>
        </is>
      </c>
    </row>
    <row r="176">
      <c r="A176" s="66" t="n">
        <v>46217</v>
      </c>
      <c r="B176" s="65" t="n">
        <v>447</v>
      </c>
      <c r="C176" s="65" t="inlineStr">
        <is>
          <t>00-00000991</t>
        </is>
      </c>
      <c r="D176" s="65" t="inlineStr">
        <is>
          <t>S00652</t>
        </is>
      </c>
      <c r="E176" s="65" t="inlineStr">
        <is>
          <t>Candy Arias</t>
        </is>
      </c>
      <c r="F176" s="63" t="inlineStr">
        <is>
          <t>231.419,04</t>
        </is>
      </c>
      <c r="G176" s="63" t="inlineStr">
        <is>
          <t>268.446,09</t>
        </is>
      </c>
      <c r="H176" s="63" t="inlineStr">
        <is>
          <t>370,77</t>
        </is>
      </c>
      <c r="I176" s="63" t="inlineStr">
        <is>
          <t>724,00</t>
        </is>
      </c>
      <c r="J176" s="65" t="n"/>
      <c r="K176" s="65" t="n">
        <v>887</v>
      </c>
      <c r="L176" s="65" t="inlineStr">
        <is>
          <t>[0887] MOTOCLASICO 4T SAE 20W-50 (1x12)</t>
        </is>
      </c>
      <c r="M176" s="63" t="inlineStr">
        <is>
          <t>90,19</t>
        </is>
      </c>
      <c r="N176" s="63" t="inlineStr">
        <is>
          <t>2,00</t>
        </is>
      </c>
      <c r="O176" s="63" t="inlineStr">
        <is>
          <t>0,00</t>
        </is>
      </c>
      <c r="P176" s="63" t="inlineStr">
        <is>
          <t>180,38</t>
        </is>
      </c>
      <c r="Q176" s="63" t="inlineStr">
        <is>
          <t>209,24</t>
        </is>
      </c>
    </row>
    <row r="177">
      <c r="A177" s="65" t="n"/>
      <c r="B177" s="65" t="n"/>
      <c r="C177" s="65" t="n"/>
      <c r="D177" s="65" t="n"/>
      <c r="E177" s="65" t="n"/>
      <c r="F177" s="65" t="n"/>
      <c r="G177" s="65" t="n"/>
      <c r="H177" s="65" t="n"/>
      <c r="I177" s="65" t="n"/>
      <c r="J177" s="65" t="n"/>
      <c r="K177" s="65" t="n">
        <v>93</v>
      </c>
      <c r="L177" s="65" t="inlineStr">
        <is>
          <t>[0093] ALTA CILINDRADA SS API SN SAE 15W-40 (1x6)</t>
        </is>
      </c>
      <c r="M177" s="63" t="inlineStr">
        <is>
          <t>46,42</t>
        </is>
      </c>
      <c r="N177" s="63" t="inlineStr">
        <is>
          <t>3,00</t>
        </is>
      </c>
      <c r="O177" s="63" t="inlineStr">
        <is>
          <t>0,00</t>
        </is>
      </c>
      <c r="P177" s="63" t="inlineStr">
        <is>
          <t>139,26</t>
        </is>
      </c>
      <c r="Q177" s="63" t="inlineStr">
        <is>
          <t>161,54</t>
        </is>
      </c>
    </row>
    <row r="178">
      <c r="A178" s="66" t="n">
        <v>46217</v>
      </c>
      <c r="B178" s="65" t="n">
        <v>446</v>
      </c>
      <c r="C178" s="65" t="inlineStr">
        <is>
          <t>00-00000990</t>
        </is>
      </c>
      <c r="D178" s="65" t="inlineStr">
        <is>
          <t>S00647</t>
        </is>
      </c>
      <c r="E178" s="65" t="inlineStr">
        <is>
          <t>E&amp;M CAR SHOP C.A</t>
        </is>
      </c>
      <c r="F178" s="63" t="inlineStr">
        <is>
          <t>96.912,95</t>
        </is>
      </c>
      <c r="G178" s="63" t="inlineStr">
        <is>
          <t>112.419,02</t>
        </is>
      </c>
      <c r="H178" s="63" t="inlineStr">
        <is>
          <t>155,26</t>
        </is>
      </c>
      <c r="I178" s="63" t="inlineStr">
        <is>
          <t>724,00</t>
        </is>
      </c>
      <c r="J178" s="65" t="n"/>
      <c r="K178" s="65" t="n">
        <v>144</v>
      </c>
      <c r="L178" s="65" t="inlineStr">
        <is>
          <t>[0144] HIDRAGLOB AW/ISO 68 (PAILA)</t>
        </is>
      </c>
      <c r="M178" s="63" t="inlineStr">
        <is>
          <t>94,16</t>
        </is>
      </c>
      <c r="N178" s="63" t="inlineStr">
        <is>
          <t>2,00</t>
        </is>
      </c>
      <c r="O178" s="63" t="inlineStr">
        <is>
          <t>28,92</t>
        </is>
      </c>
      <c r="P178" s="63" t="inlineStr">
        <is>
          <t>133,86</t>
        </is>
      </c>
      <c r="Q178" s="63" t="inlineStr">
        <is>
          <t>155,28</t>
        </is>
      </c>
    </row>
    <row r="179">
      <c r="A179" s="66" t="n">
        <v>46217</v>
      </c>
      <c r="B179" s="65" t="n">
        <v>445</v>
      </c>
      <c r="C179" s="65" t="inlineStr">
        <is>
          <t>00-00000989</t>
        </is>
      </c>
      <c r="D179" s="65" t="inlineStr">
        <is>
          <t>S00653</t>
        </is>
      </c>
      <c r="E179" s="65" t="inlineStr">
        <is>
          <t>Yeifri Alexander Marquez Zerpa</t>
        </is>
      </c>
      <c r="F179" s="63" t="inlineStr">
        <is>
          <t>227.574,61</t>
        </is>
      </c>
      <c r="G179" s="63" t="inlineStr">
        <is>
          <t>263.986,55</t>
        </is>
      </c>
      <c r="H179" s="63" t="inlineStr">
        <is>
          <t>364,61</t>
        </is>
      </c>
      <c r="I179" s="63" t="inlineStr">
        <is>
          <t>724,00</t>
        </is>
      </c>
      <c r="J179" s="65" t="n"/>
      <c r="K179" s="65" t="n">
        <v>602</v>
      </c>
      <c r="L179" s="65" t="inlineStr">
        <is>
          <t>[0602] SINOCO SAE 50 (PAILA)</t>
        </is>
      </c>
      <c r="M179" s="63" t="inlineStr">
        <is>
          <t>96,82</t>
        </is>
      </c>
      <c r="N179" s="63" t="inlineStr">
        <is>
          <t>1,00</t>
        </is>
      </c>
      <c r="O179" s="63" t="inlineStr">
        <is>
          <t>0,00</t>
        </is>
      </c>
      <c r="P179" s="63" t="inlineStr">
        <is>
          <t>96,82</t>
        </is>
      </c>
      <c r="Q179" s="63" t="inlineStr">
        <is>
          <t>112,31</t>
        </is>
      </c>
    </row>
    <row r="180">
      <c r="A180" s="65" t="n"/>
      <c r="B180" s="65" t="n"/>
      <c r="C180" s="65" t="n"/>
      <c r="D180" s="65" t="n"/>
      <c r="E180" s="65" t="n"/>
      <c r="F180" s="65" t="n"/>
      <c r="G180" s="65" t="n"/>
      <c r="H180" s="65" t="n"/>
      <c r="I180" s="65" t="n"/>
      <c r="J180" s="65" t="n"/>
      <c r="K180" s="65" t="n">
        <v>605</v>
      </c>
      <c r="L180" s="65" t="inlineStr">
        <is>
          <t>[0605] SINOCO SAE 20W-50 (PAILA)</t>
        </is>
      </c>
      <c r="M180" s="63" t="inlineStr">
        <is>
          <t>96,82</t>
        </is>
      </c>
      <c r="N180" s="63" t="inlineStr">
        <is>
          <t>2,00</t>
        </is>
      </c>
      <c r="O180" s="63" t="inlineStr">
        <is>
          <t>0,00</t>
        </is>
      </c>
      <c r="P180" s="63" t="inlineStr">
        <is>
          <t>193,64</t>
        </is>
      </c>
      <c r="Q180" s="63" t="inlineStr">
        <is>
          <t>224,62</t>
        </is>
      </c>
    </row>
    <row r="181">
      <c r="A181" s="65" t="n"/>
      <c r="B181" s="65" t="n"/>
      <c r="C181" s="65" t="n"/>
      <c r="D181" s="65" t="n"/>
      <c r="E181" s="65" t="n"/>
      <c r="F181" s="65" t="n"/>
      <c r="G181" s="65" t="n"/>
      <c r="H181" s="65" t="n"/>
      <c r="I181" s="65" t="n"/>
      <c r="J181" s="65" t="n"/>
      <c r="K181" s="65" t="n">
        <v>725</v>
      </c>
      <c r="L181" s="65" t="inlineStr">
        <is>
          <t>[0725] AGUA DESMINERALIZADA</t>
        </is>
      </c>
      <c r="M181" s="63" t="inlineStr">
        <is>
          <t>23,87</t>
        </is>
      </c>
      <c r="N181" s="63" t="inlineStr">
        <is>
          <t>1,00</t>
        </is>
      </c>
      <c r="O181" s="63" t="inlineStr">
        <is>
          <t>0,00</t>
        </is>
      </c>
      <c r="P181" s="63" t="inlineStr">
        <is>
          <t>23,87</t>
        </is>
      </c>
      <c r="Q181" s="63" t="inlineStr">
        <is>
          <t>27,69</t>
        </is>
      </c>
    </row>
    <row r="182">
      <c r="A182" s="66" t="n">
        <v>46217</v>
      </c>
      <c r="B182" s="65" t="n">
        <v>444</v>
      </c>
      <c r="C182" s="65" t="inlineStr">
        <is>
          <t>00-00000988</t>
        </is>
      </c>
      <c r="D182" s="65" t="inlineStr">
        <is>
          <t>S00563</t>
        </is>
      </c>
      <c r="E182" s="65" t="inlineStr">
        <is>
          <t>Carlos Ruiz</t>
        </is>
      </c>
      <c r="F182" s="63" t="inlineStr">
        <is>
          <t>634.906,60</t>
        </is>
      </c>
      <c r="G182" s="63" t="inlineStr">
        <is>
          <t>736.491,66</t>
        </is>
      </c>
      <c r="H182" s="63" t="inlineStr">
        <is>
          <t>1.017,25</t>
        </is>
      </c>
      <c r="I182" s="63" t="inlineStr">
        <is>
          <t>724,00</t>
        </is>
      </c>
      <c r="J182" s="65" t="n"/>
      <c r="K182" s="65" t="n">
        <v>603</v>
      </c>
      <c r="L182" s="65" t="inlineStr">
        <is>
          <t>[0603] SINOCO SAE 50 (Tambor)</t>
        </is>
      </c>
      <c r="M182" s="63" t="inlineStr">
        <is>
          <t>925,73</t>
        </is>
      </c>
      <c r="N182" s="63" t="inlineStr">
        <is>
          <t>1,00</t>
        </is>
      </c>
      <c r="O182" s="63" t="inlineStr">
        <is>
          <t>5,27</t>
        </is>
      </c>
      <c r="P182" s="63" t="inlineStr">
        <is>
          <t>876,94</t>
        </is>
      </c>
      <c r="Q182" s="63" t="inlineStr">
        <is>
          <t>1.017,26</t>
        </is>
      </c>
    </row>
    <row r="183">
      <c r="A183" s="66" t="n">
        <v>46217</v>
      </c>
      <c r="B183" s="65" t="n">
        <v>443</v>
      </c>
      <c r="C183" s="65" t="inlineStr">
        <is>
          <t>00-00000987</t>
        </is>
      </c>
      <c r="D183" s="65" t="inlineStr">
        <is>
          <t>S00520</t>
        </is>
      </c>
      <c r="E183" s="65" t="inlineStr">
        <is>
          <t>Inversiones Marfran 2025, C. A.</t>
        </is>
      </c>
      <c r="F183" s="63" t="inlineStr">
        <is>
          <t>95.004,31</t>
        </is>
      </c>
      <c r="G183" s="63" t="inlineStr">
        <is>
          <t>110.205,00</t>
        </is>
      </c>
      <c r="H183" s="63" t="inlineStr">
        <is>
          <t>152,20</t>
        </is>
      </c>
      <c r="I183" s="63" t="inlineStr">
        <is>
          <t>724,00</t>
        </is>
      </c>
      <c r="J183" s="65" t="n"/>
      <c r="K183" s="65" t="n">
        <v>789</v>
      </c>
      <c r="L183" s="65" t="inlineStr">
        <is>
          <t>[0789] REFRIGERANTE GLOBAL VERDE (1X3)</t>
        </is>
      </c>
      <c r="M183" s="63" t="inlineStr">
        <is>
          <t>34,48</t>
        </is>
      </c>
      <c r="N183" s="63" t="inlineStr">
        <is>
          <t>1,00</t>
        </is>
      </c>
      <c r="O183" s="63" t="inlineStr">
        <is>
          <t>3,00</t>
        </is>
      </c>
      <c r="P183" s="63" t="inlineStr">
        <is>
          <t>33,45</t>
        </is>
      </c>
      <c r="Q183" s="63" t="inlineStr">
        <is>
          <t>38,80</t>
        </is>
      </c>
    </row>
    <row r="184">
      <c r="A184" s="65" t="n"/>
      <c r="B184" s="65" t="n"/>
      <c r="C184" s="65" t="n"/>
      <c r="D184" s="65" t="n"/>
      <c r="E184" s="65" t="n"/>
      <c r="F184" s="65" t="n"/>
      <c r="G184" s="65" t="n"/>
      <c r="H184" s="65" t="n"/>
      <c r="I184" s="65" t="n"/>
      <c r="J184" s="65" t="n"/>
      <c r="K184" s="65" t="n">
        <v>877</v>
      </c>
      <c r="L184" s="65" t="inlineStr">
        <is>
          <t>[0877] SS EXTRA PROTECCION API SN SAE 15W-40 (1X12)</t>
        </is>
      </c>
      <c r="M184" s="63" t="inlineStr">
        <is>
          <t>100,80</t>
        </is>
      </c>
      <c r="N184" s="63" t="inlineStr">
        <is>
          <t>1,00</t>
        </is>
      </c>
      <c r="O184" s="63" t="inlineStr">
        <is>
          <t>3,00</t>
        </is>
      </c>
      <c r="P184" s="63" t="inlineStr">
        <is>
          <t>97,78</t>
        </is>
      </c>
      <c r="Q184" s="63" t="inlineStr">
        <is>
          <t>113,42</t>
        </is>
      </c>
    </row>
    <row r="185">
      <c r="A185" s="66" t="n">
        <v>46217</v>
      </c>
      <c r="B185" s="65" t="n">
        <v>442</v>
      </c>
      <c r="C185" s="65" t="inlineStr">
        <is>
          <t>00-00000986</t>
        </is>
      </c>
      <c r="D185" s="65" t="inlineStr">
        <is>
          <t>S00355</t>
        </is>
      </c>
      <c r="E185" s="65" t="inlineStr">
        <is>
          <t>DIADOMHAN AUTOMOTRIZ, C.A.</t>
        </is>
      </c>
      <c r="F185" s="63" t="inlineStr">
        <is>
          <t>403.511,73</t>
        </is>
      </c>
      <c r="G185" s="63" t="inlineStr">
        <is>
          <t>468.073,61</t>
        </is>
      </c>
      <c r="H185" s="63" t="inlineStr">
        <is>
          <t>646,47</t>
        </is>
      </c>
      <c r="I185" s="63" t="inlineStr">
        <is>
          <t>724,00</t>
        </is>
      </c>
      <c r="J185" s="65" t="n"/>
      <c r="K185" s="65" t="n">
        <v>881</v>
      </c>
      <c r="L185" s="65" t="inlineStr">
        <is>
          <t>[0881] CLASICO API SL SAE 20W-50 (1x12)</t>
        </is>
      </c>
      <c r="M185" s="63" t="inlineStr">
        <is>
          <t>86,90</t>
        </is>
      </c>
      <c r="N185" s="63" t="inlineStr">
        <is>
          <t>1,00</t>
        </is>
      </c>
      <c r="O185" s="63" t="inlineStr">
        <is>
          <t>0,00</t>
        </is>
      </c>
      <c r="P185" s="63" t="inlineStr">
        <is>
          <t>86,90</t>
        </is>
      </c>
      <c r="Q185" s="63" t="inlineStr">
        <is>
          <t>100,80</t>
        </is>
      </c>
    </row>
    <row r="186">
      <c r="A186" s="65" t="n"/>
      <c r="B186" s="65" t="n"/>
      <c r="C186" s="65" t="n"/>
      <c r="D186" s="65" t="n"/>
      <c r="E186" s="65" t="n"/>
      <c r="F186" s="65" t="n"/>
      <c r="G186" s="65" t="n"/>
      <c r="H186" s="65" t="n"/>
      <c r="I186" s="65" t="n"/>
      <c r="J186" s="65" t="n"/>
      <c r="K186" s="65" t="n">
        <v>880</v>
      </c>
      <c r="L186" s="65" t="inlineStr">
        <is>
          <t>[0880] CLASICO API SL SAE 15W-40 (1x12)</t>
        </is>
      </c>
      <c r="M186" s="63" t="inlineStr">
        <is>
          <t>86,21</t>
        </is>
      </c>
      <c r="N186" s="63" t="inlineStr">
        <is>
          <t>1,00</t>
        </is>
      </c>
      <c r="O186" s="63" t="inlineStr">
        <is>
          <t>1,52</t>
        </is>
      </c>
      <c r="P186" s="63" t="inlineStr">
        <is>
          <t>84,90</t>
        </is>
      </c>
      <c r="Q186" s="63" t="inlineStr">
        <is>
          <t>98,48</t>
        </is>
      </c>
    </row>
    <row r="187">
      <c r="A187" s="65" t="n"/>
      <c r="B187" s="65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65" t="n">
        <v>877</v>
      </c>
      <c r="L187" s="65" t="inlineStr">
        <is>
          <t>[0877] SS EXTRA PROTECCION API SN SAE 15W-40 (1X12)</t>
        </is>
      </c>
      <c r="M187" s="63" t="inlineStr">
        <is>
          <t>100,80</t>
        </is>
      </c>
      <c r="N187" s="63" t="inlineStr">
        <is>
          <t>1,00</t>
        </is>
      </c>
      <c r="O187" s="63" t="inlineStr">
        <is>
          <t>0,91</t>
        </is>
      </c>
      <c r="P187" s="63" t="inlineStr">
        <is>
          <t>99,88</t>
        </is>
      </c>
      <c r="Q187" s="63" t="inlineStr">
        <is>
          <t>115,86</t>
        </is>
      </c>
    </row>
    <row r="188">
      <c r="A188" s="65" t="n"/>
      <c r="B188" s="65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65" t="n">
        <v>878</v>
      </c>
      <c r="L188" s="65" t="inlineStr">
        <is>
          <t>[0878] SS EXTRA PROTECCION API SN SAE 20W-50 (1x12)</t>
        </is>
      </c>
      <c r="M188" s="63" t="inlineStr">
        <is>
          <t>100,80</t>
        </is>
      </c>
      <c r="N188" s="63" t="inlineStr">
        <is>
          <t>1,00</t>
        </is>
      </c>
      <c r="O188" s="63" t="inlineStr">
        <is>
          <t>0,91</t>
        </is>
      </c>
      <c r="P188" s="63" t="inlineStr">
        <is>
          <t>99,88</t>
        </is>
      </c>
      <c r="Q188" s="63" t="inlineStr">
        <is>
          <t>115,86</t>
        </is>
      </c>
    </row>
    <row r="189">
      <c r="A189" s="65" t="n"/>
      <c r="B189" s="65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65" t="n">
        <v>887</v>
      </c>
      <c r="L189" s="65" t="inlineStr">
        <is>
          <t>[0887] MOTOCLASICO 4T SAE 20W-50 (1x12)</t>
        </is>
      </c>
      <c r="M189" s="63" t="inlineStr">
        <is>
          <t>90,19</t>
        </is>
      </c>
      <c r="N189" s="63" t="inlineStr">
        <is>
          <t>1,00</t>
        </is>
      </c>
      <c r="O189" s="63" t="inlineStr">
        <is>
          <t>0,33</t>
        </is>
      </c>
      <c r="P189" s="63" t="inlineStr">
        <is>
          <t>89,89</t>
        </is>
      </c>
      <c r="Q189" s="63" t="inlineStr">
        <is>
          <t>104,28</t>
        </is>
      </c>
    </row>
    <row r="190">
      <c r="A190" s="65" t="n"/>
      <c r="B190" s="65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65" t="n">
        <v>884</v>
      </c>
      <c r="L190" s="65" t="inlineStr">
        <is>
          <t>[0884] TRANSMATIC ATF DEXRON III (1x12)</t>
        </is>
      </c>
      <c r="M190" s="63" t="inlineStr">
        <is>
          <t>95,88</t>
        </is>
      </c>
      <c r="N190" s="63" t="inlineStr">
        <is>
          <t>1,00</t>
        </is>
      </c>
      <c r="O190" s="63" t="inlineStr">
        <is>
          <t>0,00</t>
        </is>
      </c>
      <c r="P190" s="63" t="inlineStr">
        <is>
          <t>95,88</t>
        </is>
      </c>
      <c r="Q190" s="63" t="inlineStr">
        <is>
          <t>111,22</t>
        </is>
      </c>
    </row>
    <row r="191">
      <c r="A191" s="66" t="n">
        <v>46217</v>
      </c>
      <c r="B191" s="65" t="n">
        <v>441</v>
      </c>
      <c r="C191" s="65" t="inlineStr">
        <is>
          <t>00-00000985</t>
        </is>
      </c>
      <c r="D191" s="65" t="inlineStr">
        <is>
          <t>S00362</t>
        </is>
      </c>
      <c r="E191" s="65" t="inlineStr">
        <is>
          <t>AUTOSERVICIOS SPACARS, C.A.</t>
        </is>
      </c>
      <c r="F191" s="63" t="inlineStr">
        <is>
          <t>480.888,10</t>
        </is>
      </c>
      <c r="G191" s="63" t="inlineStr">
        <is>
          <t>557.830,21</t>
        </is>
      </c>
      <c r="H191" s="63" t="inlineStr">
        <is>
          <t>770,45</t>
        </is>
      </c>
      <c r="I191" s="63" t="inlineStr">
        <is>
          <t>724,00</t>
        </is>
      </c>
      <c r="J191" s="65" t="n"/>
      <c r="K191" s="65" t="n">
        <v>877</v>
      </c>
      <c r="L191" s="65" t="inlineStr">
        <is>
          <t>[0877] SS EXTRA PROTECCION API SN SAE 15W-40 (1X12)</t>
        </is>
      </c>
      <c r="M191" s="63" t="inlineStr">
        <is>
          <t>100,80</t>
        </is>
      </c>
      <c r="N191" s="63" t="inlineStr">
        <is>
          <t>2,00</t>
        </is>
      </c>
      <c r="O191" s="63" t="inlineStr">
        <is>
          <t>0,91</t>
        </is>
      </c>
      <c r="P191" s="63" t="inlineStr">
        <is>
          <t>199,77</t>
        </is>
      </c>
      <c r="Q191" s="63" t="inlineStr">
        <is>
          <t>231,73</t>
        </is>
      </c>
    </row>
    <row r="192">
      <c r="A192" s="65" t="n"/>
      <c r="B192" s="65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65" t="n">
        <v>1</v>
      </c>
      <c r="L192" s="65" t="inlineStr">
        <is>
          <t>[0001] ELITE API SP SAE 0W-20 (1x6)</t>
        </is>
      </c>
      <c r="M192" s="63" t="inlineStr">
        <is>
          <t>74,27</t>
        </is>
      </c>
      <c r="N192" s="63" t="inlineStr">
        <is>
          <t>1,00</t>
        </is>
      </c>
      <c r="O192" s="63" t="inlineStr">
        <is>
          <t>0,48</t>
        </is>
      </c>
      <c r="P192" s="63" t="inlineStr">
        <is>
          <t>73,91</t>
        </is>
      </c>
      <c r="Q192" s="63" t="inlineStr">
        <is>
          <t>85,74</t>
        </is>
      </c>
    </row>
    <row r="193">
      <c r="A193" s="65" t="n"/>
      <c r="B193" s="65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65" t="n">
        <v>7</v>
      </c>
      <c r="L193" s="65" t="inlineStr">
        <is>
          <t>[0007] ELITE API SN SAE 5W-20 (1x6)</t>
        </is>
      </c>
      <c r="M193" s="63" t="inlineStr">
        <is>
          <t>72,94</t>
        </is>
      </c>
      <c r="N193" s="63" t="inlineStr">
        <is>
          <t>1,00</t>
        </is>
      </c>
      <c r="O193" s="63" t="inlineStr">
        <is>
          <t>0,04</t>
        </is>
      </c>
      <c r="P193" s="63" t="inlineStr">
        <is>
          <t>72,91</t>
        </is>
      </c>
      <c r="Q193" s="63" t="inlineStr">
        <is>
          <t>84,58</t>
        </is>
      </c>
    </row>
    <row r="194">
      <c r="A194" s="65" t="n"/>
      <c r="B194" s="65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65" t="n">
        <v>13</v>
      </c>
      <c r="L194" s="65" t="inlineStr">
        <is>
          <t>[0013] ELITE API SN SAE 5W-30 (1x6)</t>
        </is>
      </c>
      <c r="M194" s="63" t="inlineStr">
        <is>
          <t>72,94</t>
        </is>
      </c>
      <c r="N194" s="63" t="inlineStr">
        <is>
          <t>1,00</t>
        </is>
      </c>
      <c r="O194" s="63" t="inlineStr">
        <is>
          <t>0,04</t>
        </is>
      </c>
      <c r="P194" s="63" t="inlineStr">
        <is>
          <t>72,91</t>
        </is>
      </c>
      <c r="Q194" s="63" t="inlineStr">
        <is>
          <t>84,58</t>
        </is>
      </c>
    </row>
    <row r="195">
      <c r="A195" s="65" t="n"/>
      <c r="B195" s="65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65" t="n">
        <v>19</v>
      </c>
      <c r="L195" s="65" t="inlineStr">
        <is>
          <t>[0019] ELITE API SN SAE 5W-40 (1x6)</t>
        </is>
      </c>
      <c r="M195" s="63" t="inlineStr">
        <is>
          <t>72,94</t>
        </is>
      </c>
      <c r="N195" s="63" t="inlineStr">
        <is>
          <t>1,00</t>
        </is>
      </c>
      <c r="O195" s="63" t="inlineStr">
        <is>
          <t>0,04</t>
        </is>
      </c>
      <c r="P195" s="63" t="inlineStr">
        <is>
          <t>72,91</t>
        </is>
      </c>
      <c r="Q195" s="63" t="inlineStr">
        <is>
          <t>84,58</t>
        </is>
      </c>
    </row>
    <row r="196">
      <c r="A196" s="65" t="n"/>
      <c r="B196" s="65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65" t="n">
        <v>880</v>
      </c>
      <c r="L196" s="65" t="inlineStr">
        <is>
          <t>[0880] CLASICO API SL SAE 15W-40 (1x12)</t>
        </is>
      </c>
      <c r="M196" s="63" t="inlineStr">
        <is>
          <t>86,21</t>
        </is>
      </c>
      <c r="N196" s="63" t="inlineStr">
        <is>
          <t>1,00</t>
        </is>
      </c>
      <c r="O196" s="63" t="inlineStr">
        <is>
          <t>1,52</t>
        </is>
      </c>
      <c r="P196" s="63" t="inlineStr">
        <is>
          <t>84,90</t>
        </is>
      </c>
      <c r="Q196" s="63" t="inlineStr">
        <is>
          <t>98,48</t>
        </is>
      </c>
    </row>
    <row r="197">
      <c r="A197" s="65" t="n"/>
      <c r="B197" s="65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65" t="n">
        <v>881</v>
      </c>
      <c r="L197" s="65" t="inlineStr">
        <is>
          <t>[0881] CLASICO API SL SAE 20W-50 (1x12)</t>
        </is>
      </c>
      <c r="M197" s="63" t="inlineStr">
        <is>
          <t>86,90</t>
        </is>
      </c>
      <c r="N197" s="63" t="inlineStr">
        <is>
          <t>1,00</t>
        </is>
      </c>
      <c r="O197" s="63" t="inlineStr">
        <is>
          <t>0,00</t>
        </is>
      </c>
      <c r="P197" s="63" t="inlineStr">
        <is>
          <t>86,90</t>
        </is>
      </c>
      <c r="Q197" s="63" t="inlineStr">
        <is>
          <t>100,80</t>
        </is>
      </c>
    </row>
    <row r="198">
      <c r="A198" s="66" t="n">
        <v>46216</v>
      </c>
      <c r="B198" s="65" t="n">
        <v>440</v>
      </c>
      <c r="C198" s="65" t="inlineStr">
        <is>
          <t>00-00000984</t>
        </is>
      </c>
      <c r="D198" s="65" t="inlineStr">
        <is>
          <t>S00567</t>
        </is>
      </c>
      <c r="E198" s="65" t="inlineStr">
        <is>
          <t>Yulendri Carolina Pineda Blanco</t>
        </is>
      </c>
      <c r="F198" s="63" t="inlineStr">
        <is>
          <t>223.847,41</t>
        </is>
      </c>
      <c r="G198" s="63" t="inlineStr">
        <is>
          <t>259.663,00</t>
        </is>
      </c>
      <c r="H198" s="63" t="inlineStr">
        <is>
          <t>359,95</t>
        </is>
      </c>
      <c r="I198" s="63" t="inlineStr">
        <is>
          <t>721,35</t>
        </is>
      </c>
      <c r="J198" s="65" t="n"/>
      <c r="K198" s="65" t="n">
        <v>887</v>
      </c>
      <c r="L198" s="65" t="inlineStr">
        <is>
          <t>[0887] MOTOCLASICO 4T SAE 20W-50 (1x12)</t>
        </is>
      </c>
      <c r="M198" s="63" t="inlineStr">
        <is>
          <t>90,19</t>
        </is>
      </c>
      <c r="N198" s="63" t="inlineStr">
        <is>
          <t>1,00</t>
        </is>
      </c>
      <c r="O198" s="63" t="inlineStr">
        <is>
          <t>4,11</t>
        </is>
      </c>
      <c r="P198" s="63" t="inlineStr">
        <is>
          <t>86,48</t>
        </is>
      </c>
      <c r="Q198" s="63" t="inlineStr">
        <is>
          <t>100,32</t>
        </is>
      </c>
    </row>
    <row r="199">
      <c r="A199" s="65" t="n"/>
      <c r="B199" s="65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65" t="n">
        <v>877</v>
      </c>
      <c r="L199" s="65" t="inlineStr">
        <is>
          <t>[0877] SS EXTRA PROTECCION API SN SAE 15W-40 (1X12)</t>
        </is>
      </c>
      <c r="M199" s="63" t="inlineStr">
        <is>
          <t>100,80</t>
        </is>
      </c>
      <c r="N199" s="63" t="inlineStr">
        <is>
          <t>1,00</t>
        </is>
      </c>
      <c r="O199" s="63" t="inlineStr">
        <is>
          <t>4,11</t>
        </is>
      </c>
      <c r="P199" s="63" t="inlineStr">
        <is>
          <t>96,66</t>
        </is>
      </c>
      <c r="Q199" s="63" t="inlineStr">
        <is>
          <t>112,12</t>
        </is>
      </c>
    </row>
    <row r="200">
      <c r="A200" s="65" t="n"/>
      <c r="B200" s="65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65" t="n">
        <v>605</v>
      </c>
      <c r="L200" s="65" t="inlineStr">
        <is>
          <t>[0605] SINOCO SAE 20W-50 (PAILA)</t>
        </is>
      </c>
      <c r="M200" s="63" t="inlineStr">
        <is>
          <t>96,82</t>
        </is>
      </c>
      <c r="N200" s="63" t="inlineStr">
        <is>
          <t>1,00</t>
        </is>
      </c>
      <c r="O200" s="63" t="inlineStr">
        <is>
          <t>4,11</t>
        </is>
      </c>
      <c r="P200" s="63" t="inlineStr">
        <is>
          <t>92,84</t>
        </is>
      </c>
      <c r="Q200" s="63" t="inlineStr">
        <is>
          <t>107,70</t>
        </is>
      </c>
    </row>
    <row r="201">
      <c r="A201" s="65" t="n"/>
      <c r="B201" s="65" t="n"/>
      <c r="C201" s="65" t="n"/>
      <c r="D201" s="65" t="n"/>
      <c r="E201" s="65" t="n"/>
      <c r="F201" s="65" t="n"/>
      <c r="G201" s="65" t="n"/>
      <c r="H201" s="65" t="n"/>
      <c r="I201" s="65" t="n"/>
      <c r="J201" s="65" t="n"/>
      <c r="K201" s="65" t="n">
        <v>761</v>
      </c>
      <c r="L201" s="65" t="inlineStr">
        <is>
          <t>[0761] LIGA PARA FRENOS DOT-3 (1x12)</t>
        </is>
      </c>
      <c r="M201" s="63" t="inlineStr">
        <is>
          <t>35,81</t>
        </is>
      </c>
      <c r="N201" s="63" t="inlineStr">
        <is>
          <t>1,00</t>
        </is>
      </c>
      <c r="O201" s="63" t="inlineStr">
        <is>
          <t>4,11</t>
        </is>
      </c>
      <c r="P201" s="63" t="inlineStr">
        <is>
          <t>34,34</t>
        </is>
      </c>
      <c r="Q201" s="63" t="inlineStr">
        <is>
          <t>39,83</t>
        </is>
      </c>
    </row>
    <row r="202">
      <c r="A202" s="66" t="n">
        <v>46216</v>
      </c>
      <c r="B202" s="65" t="n">
        <v>439</v>
      </c>
      <c r="C202" s="65" t="inlineStr">
        <is>
          <t>00-00000983</t>
        </is>
      </c>
      <c r="D202" s="65" t="inlineStr">
        <is>
          <t>S00546</t>
        </is>
      </c>
      <c r="E202" s="65" t="inlineStr">
        <is>
          <t>Constructora Campo Urbano,c.a.</t>
        </is>
      </c>
      <c r="F202" s="63" t="inlineStr">
        <is>
          <t>165.412,01</t>
        </is>
      </c>
      <c r="G202" s="63" t="inlineStr">
        <is>
          <t>191.877,93</t>
        </is>
      </c>
      <c r="H202" s="63" t="inlineStr">
        <is>
          <t>265,98</t>
        </is>
      </c>
      <c r="I202" s="63" t="inlineStr">
        <is>
          <t>721,35</t>
        </is>
      </c>
      <c r="J202" s="65" t="n"/>
      <c r="K202" s="65" t="n">
        <v>1035</v>
      </c>
      <c r="L202" s="65" t="inlineStr">
        <is>
          <t>[1035] SINOCO HIDRAULICO ISO 68 (PAILA)</t>
        </is>
      </c>
      <c r="M202" s="63" t="inlineStr">
        <is>
          <t>56,03</t>
        </is>
      </c>
      <c r="N202" s="63" t="inlineStr">
        <is>
          <t>2,00</t>
        </is>
      </c>
      <c r="O202" s="63" t="inlineStr">
        <is>
          <t>0,00</t>
        </is>
      </c>
      <c r="P202" s="63" t="inlineStr">
        <is>
          <t>112,07</t>
        </is>
      </c>
      <c r="Q202" s="63" t="inlineStr">
        <is>
          <t>130,00</t>
        </is>
      </c>
    </row>
    <row r="203">
      <c r="A203" s="65" t="n"/>
      <c r="B203" s="65" t="n"/>
      <c r="C203" s="65" t="n"/>
      <c r="D203" s="65" t="n"/>
      <c r="E203" s="65" t="n"/>
      <c r="F203" s="65" t="n"/>
      <c r="G203" s="65" t="n"/>
      <c r="H203" s="65" t="n"/>
      <c r="I203" s="65" t="n"/>
      <c r="J203" s="65" t="n"/>
      <c r="K203" s="65" t="n">
        <v>337</v>
      </c>
      <c r="L203" s="65" t="inlineStr">
        <is>
          <t>[0337] GLOBAL SOLUBLE ACEITE EMULSIONABLE CORTES DE METAL (PAILA)</t>
        </is>
      </c>
      <c r="M203" s="63" t="inlineStr">
        <is>
          <t>117,24</t>
        </is>
      </c>
      <c r="N203" s="63" t="inlineStr">
        <is>
          <t>1,00</t>
        </is>
      </c>
      <c r="O203" s="63" t="inlineStr">
        <is>
          <t>0,00</t>
        </is>
      </c>
      <c r="P203" s="63" t="inlineStr">
        <is>
          <t>117,24</t>
        </is>
      </c>
      <c r="Q203" s="63" t="inlineStr">
        <is>
          <t>136,00</t>
        </is>
      </c>
    </row>
    <row r="204">
      <c r="A204" s="66" t="n">
        <v>46216</v>
      </c>
      <c r="B204" s="65" t="n">
        <v>438</v>
      </c>
      <c r="C204" s="65" t="inlineStr">
        <is>
          <t>00-00000982</t>
        </is>
      </c>
      <c r="D204" s="65" t="inlineStr">
        <is>
          <t>S00550</t>
        </is>
      </c>
      <c r="E204" s="65" t="inlineStr">
        <is>
          <t>ADS SERVICE C.A</t>
        </is>
      </c>
      <c r="F204" s="63" t="inlineStr">
        <is>
          <t>198.370,04</t>
        </is>
      </c>
      <c r="G204" s="63" t="inlineStr">
        <is>
          <t>230.109,25</t>
        </is>
      </c>
      <c r="H204" s="63" t="inlineStr">
        <is>
          <t>318,97</t>
        </is>
      </c>
      <c r="I204" s="63" t="inlineStr">
        <is>
          <t>721,35</t>
        </is>
      </c>
      <c r="J204" s="65" t="n">
        <v>607</v>
      </c>
      <c r="K204" s="65" t="n">
        <v>877</v>
      </c>
      <c r="L204" s="65" t="inlineStr">
        <is>
          <t>[0877] SS EXTRA PROTECCION API SN SAE 15W-40 (1X12)</t>
        </is>
      </c>
      <c r="M204" s="63" t="inlineStr">
        <is>
          <t>65,52</t>
        </is>
      </c>
      <c r="N204" s="63" t="inlineStr">
        <is>
          <t>1,00</t>
        </is>
      </c>
      <c r="O204" s="63" t="inlineStr">
        <is>
          <t>0,00</t>
        </is>
      </c>
      <c r="P204" s="63" t="inlineStr">
        <is>
          <t>65,52</t>
        </is>
      </c>
      <c r="Q204" s="63" t="inlineStr">
        <is>
          <t>76,00</t>
        </is>
      </c>
    </row>
    <row r="205">
      <c r="A205" s="65" t="n"/>
      <c r="B205" s="65" t="n"/>
      <c r="C205" s="65" t="n"/>
      <c r="D205" s="65" t="n"/>
      <c r="E205" s="65" t="n"/>
      <c r="F205" s="65" t="n"/>
      <c r="G205" s="65" t="n"/>
      <c r="H205" s="65" t="n"/>
      <c r="I205" s="65" t="n"/>
      <c r="J205" s="65" t="n">
        <v>715</v>
      </c>
      <c r="K205" s="65" t="n"/>
      <c r="L205" s="65" t="n"/>
      <c r="M205" s="65" t="n"/>
      <c r="N205" s="65" t="n"/>
      <c r="O205" s="65" t="n"/>
      <c r="P205" s="65" t="n"/>
      <c r="Q205" s="65" t="n"/>
    </row>
    <row r="206">
      <c r="A206" s="65" t="n"/>
      <c r="B206" s="65" t="n"/>
      <c r="C206" s="65" t="n"/>
      <c r="D206" s="65" t="n"/>
      <c r="E206" s="65" t="n"/>
      <c r="F206" s="65" t="n"/>
      <c r="G206" s="65" t="n"/>
      <c r="H206" s="65" t="n"/>
      <c r="I206" s="65" t="n"/>
      <c r="J206" s="65" t="n">
        <v>961</v>
      </c>
      <c r="K206" s="65" t="n"/>
      <c r="L206" s="65" t="n"/>
      <c r="M206" s="65" t="n"/>
      <c r="N206" s="65" t="n"/>
      <c r="O206" s="65" t="n"/>
      <c r="P206" s="65" t="n"/>
      <c r="Q206" s="65" t="n"/>
    </row>
    <row r="207">
      <c r="A207" s="65" t="n"/>
      <c r="B207" s="65" t="n"/>
      <c r="C207" s="65" t="n"/>
      <c r="D207" s="65" t="n"/>
      <c r="E207" s="65" t="n"/>
      <c r="F207" s="65" t="n"/>
      <c r="G207" s="65" t="n"/>
      <c r="H207" s="65" t="n"/>
      <c r="I207" s="65" t="n"/>
      <c r="J207" s="65" t="n"/>
      <c r="K207" s="65" t="n">
        <v>779</v>
      </c>
      <c r="L207" s="65" t="inlineStr">
        <is>
          <t>[0779] SINOCO SAE 20W-50 (1x12)</t>
        </is>
      </c>
      <c r="M207" s="63" t="inlineStr">
        <is>
          <t>45,69</t>
        </is>
      </c>
      <c r="N207" s="63" t="inlineStr">
        <is>
          <t>2,00</t>
        </is>
      </c>
      <c r="O207" s="63" t="inlineStr">
        <is>
          <t>0,00</t>
        </is>
      </c>
      <c r="P207" s="63" t="inlineStr">
        <is>
          <t>91,38</t>
        </is>
      </c>
      <c r="Q207" s="63" t="inlineStr">
        <is>
          <t>106,00</t>
        </is>
      </c>
    </row>
    <row r="208">
      <c r="A208" s="65" t="n"/>
      <c r="B208" s="65" t="n"/>
      <c r="C208" s="65" t="n"/>
      <c r="D208" s="65" t="n"/>
      <c r="E208" s="65" t="n"/>
      <c r="F208" s="65" t="n"/>
      <c r="G208" s="65" t="n"/>
      <c r="H208" s="65" t="n"/>
      <c r="I208" s="65" t="n"/>
      <c r="J208" s="65" t="n"/>
      <c r="K208" s="65" t="n">
        <v>884</v>
      </c>
      <c r="L208" s="65" t="inlineStr">
        <is>
          <t>[0884] TRANSMATIC ATF DEXRON III (1x12)</t>
        </is>
      </c>
      <c r="M208" s="63" t="inlineStr">
        <is>
          <t>62,07</t>
        </is>
      </c>
      <c r="N208" s="63" t="inlineStr">
        <is>
          <t>1,00</t>
        </is>
      </c>
      <c r="O208" s="63" t="inlineStr">
        <is>
          <t>0,00</t>
        </is>
      </c>
      <c r="P208" s="63" t="inlineStr">
        <is>
          <t>62,07</t>
        </is>
      </c>
      <c r="Q208" s="63" t="inlineStr">
        <is>
          <t>72,00</t>
        </is>
      </c>
    </row>
    <row r="209">
      <c r="A209" s="65" t="n"/>
      <c r="B209" s="65" t="n"/>
      <c r="C209" s="65" t="n"/>
      <c r="D209" s="65" t="n"/>
      <c r="E209" s="65" t="n"/>
      <c r="F209" s="65" t="n"/>
      <c r="G209" s="65" t="n"/>
      <c r="H209" s="65" t="n"/>
      <c r="I209" s="65" t="n"/>
      <c r="J209" s="65" t="n"/>
      <c r="K209" s="65" t="n">
        <v>880</v>
      </c>
      <c r="L209" s="65" t="inlineStr">
        <is>
          <t>[0880] CLASICO API SL SAE 15W-40 (1x12)</t>
        </is>
      </c>
      <c r="M209" s="63" t="inlineStr">
        <is>
          <t>56,03</t>
        </is>
      </c>
      <c r="N209" s="63" t="inlineStr">
        <is>
          <t>1,00</t>
        </is>
      </c>
      <c r="O209" s="63" t="inlineStr">
        <is>
          <t>0,00</t>
        </is>
      </c>
      <c r="P209" s="63" t="inlineStr">
        <is>
          <t>56,03</t>
        </is>
      </c>
      <c r="Q209" s="63" t="inlineStr">
        <is>
          <t>65,00</t>
        </is>
      </c>
    </row>
    <row r="210">
      <c r="A210" s="66" t="n">
        <v>46216</v>
      </c>
      <c r="B210" s="65" t="n">
        <v>437</v>
      </c>
      <c r="C210" s="65" t="inlineStr">
        <is>
          <t>00-00000981</t>
        </is>
      </c>
      <c r="D210" s="65" t="inlineStr">
        <is>
          <t>S00554</t>
        </is>
      </c>
      <c r="E210" s="65" t="inlineStr">
        <is>
          <t>Inversiones Los compadres 7686, c.a.</t>
        </is>
      </c>
      <c r="F210" s="63" t="inlineStr">
        <is>
          <t>48.504,28</t>
        </is>
      </c>
      <c r="G210" s="63" t="inlineStr">
        <is>
          <t>56.264,97</t>
        </is>
      </c>
      <c r="H210" s="63" t="inlineStr">
        <is>
          <t>77,98</t>
        </is>
      </c>
      <c r="I210" s="63" t="inlineStr">
        <is>
          <t>721,35</t>
        </is>
      </c>
      <c r="J210" s="65" t="n"/>
      <c r="K210" s="65" t="n">
        <v>25</v>
      </c>
      <c r="L210" s="65" t="inlineStr">
        <is>
          <t>[0025] SS EXTRA PROTECCION API SN SAE 10W-30 (Gasolina) (1x6)</t>
        </is>
      </c>
      <c r="M210" s="63" t="inlineStr">
        <is>
          <t>32,76</t>
        </is>
      </c>
      <c r="N210" s="63" t="inlineStr">
        <is>
          <t>1,00</t>
        </is>
      </c>
      <c r="O210" s="63" t="inlineStr">
        <is>
          <t>0,00</t>
        </is>
      </c>
      <c r="P210" s="63" t="inlineStr">
        <is>
          <t>32,76</t>
        </is>
      </c>
      <c r="Q210" s="63" t="inlineStr">
        <is>
          <t>38,00</t>
        </is>
      </c>
    </row>
    <row r="211">
      <c r="A211" s="65" t="n"/>
      <c r="B211" s="65" t="n"/>
      <c r="C211" s="65" t="n"/>
      <c r="D211" s="65" t="n"/>
      <c r="E211" s="65" t="n"/>
      <c r="F211" s="65" t="n"/>
      <c r="G211" s="65" t="n"/>
      <c r="H211" s="65" t="n"/>
      <c r="I211" s="65" t="n"/>
      <c r="J211" s="65" t="n"/>
      <c r="K211" s="65" t="n">
        <v>127</v>
      </c>
      <c r="L211" s="65" t="inlineStr">
        <is>
          <t>[0127] TRANSGLOB API GL-5 SAE 85W-140 (1x6)</t>
        </is>
      </c>
      <c r="M211" s="63" t="inlineStr">
        <is>
          <t>34,48</t>
        </is>
      </c>
      <c r="N211" s="63" t="inlineStr">
        <is>
          <t>1,00</t>
        </is>
      </c>
      <c r="O211" s="63" t="inlineStr">
        <is>
          <t>0,00</t>
        </is>
      </c>
      <c r="P211" s="63" t="inlineStr">
        <is>
          <t>34,48</t>
        </is>
      </c>
      <c r="Q211" s="63" t="inlineStr">
        <is>
          <t>40,00</t>
        </is>
      </c>
    </row>
    <row r="212">
      <c r="A212" s="66" t="n">
        <v>46216</v>
      </c>
      <c r="B212" s="65" t="n">
        <v>436</v>
      </c>
      <c r="C212" s="65" t="inlineStr">
        <is>
          <t>00-00000980</t>
        </is>
      </c>
      <c r="D212" s="65" t="inlineStr">
        <is>
          <t>S00538</t>
        </is>
      </c>
      <c r="E212" s="65" t="inlineStr">
        <is>
          <t>INVERSIONES SMALUM 21, C.A.</t>
        </is>
      </c>
      <c r="F212" s="63" t="inlineStr">
        <is>
          <t>214.543,31</t>
        </is>
      </c>
      <c r="G212" s="63" t="inlineStr">
        <is>
          <t>248.870,24</t>
        </is>
      </c>
      <c r="H212" s="63" t="inlineStr">
        <is>
          <t>344,99</t>
        </is>
      </c>
      <c r="I212" s="63" t="inlineStr">
        <is>
          <t>721,35</t>
        </is>
      </c>
      <c r="J212" s="65" t="n"/>
      <c r="K212" s="65" t="n">
        <v>884</v>
      </c>
      <c r="L212" s="65" t="inlineStr">
        <is>
          <t>[0884] TRANSMATIC ATF DEXRON III (1x12)</t>
        </is>
      </c>
      <c r="M212" s="63" t="inlineStr">
        <is>
          <t>95,49</t>
        </is>
      </c>
      <c r="N212" s="63" t="inlineStr">
        <is>
          <t>1,00</t>
        </is>
      </c>
      <c r="O212" s="63" t="inlineStr">
        <is>
          <t>1,64</t>
        </is>
      </c>
      <c r="P212" s="63" t="inlineStr">
        <is>
          <t>93,92</t>
        </is>
      </c>
      <c r="Q212" s="63" t="inlineStr">
        <is>
          <t>108,95</t>
        </is>
      </c>
    </row>
    <row r="213">
      <c r="A213" s="65" t="n"/>
      <c r="B213" s="65" t="n"/>
      <c r="C213" s="65" t="n"/>
      <c r="D213" s="65" t="n"/>
      <c r="E213" s="65" t="n"/>
      <c r="F213" s="65" t="n"/>
      <c r="G213" s="65" t="n"/>
      <c r="H213" s="65" t="n"/>
      <c r="I213" s="65" t="n"/>
      <c r="J213" s="65" t="n"/>
      <c r="K213" s="65" t="n">
        <v>885</v>
      </c>
      <c r="L213" s="65" t="inlineStr">
        <is>
          <t>[0885] TRANSMATIC ATF MERCON V (1x12)</t>
        </is>
      </c>
      <c r="M213" s="63" t="inlineStr">
        <is>
          <t>157,82</t>
        </is>
      </c>
      <c r="N213" s="63" t="inlineStr">
        <is>
          <t>1,00</t>
        </is>
      </c>
      <c r="O213" s="63" t="inlineStr">
        <is>
          <t>1,64</t>
        </is>
      </c>
      <c r="P213" s="63" t="inlineStr">
        <is>
          <t>155,23</t>
        </is>
      </c>
      <c r="Q213" s="63" t="inlineStr">
        <is>
          <t>180,07</t>
        </is>
      </c>
    </row>
    <row r="214">
      <c r="A214" s="65" t="n"/>
      <c r="B214" s="65" t="n"/>
      <c r="C214" s="65" t="n"/>
      <c r="D214" s="65" t="n"/>
      <c r="E214" s="65" t="n"/>
      <c r="F214" s="65" t="n"/>
      <c r="G214" s="65" t="n"/>
      <c r="H214" s="65" t="n"/>
      <c r="I214" s="65" t="n"/>
      <c r="J214" s="65" t="n"/>
      <c r="K214" s="65" t="n">
        <v>163</v>
      </c>
      <c r="L214" s="65" t="inlineStr">
        <is>
          <t>[0163] CARIBE FUERA DE BORDA TC-W3 2 TIEMPOS (1x6)</t>
        </is>
      </c>
      <c r="M214" s="63" t="inlineStr">
        <is>
          <t>49,07</t>
        </is>
      </c>
      <c r="N214" s="63" t="inlineStr">
        <is>
          <t>1,00</t>
        </is>
      </c>
      <c r="O214" s="63" t="inlineStr">
        <is>
          <t>1,64</t>
        </is>
      </c>
      <c r="P214" s="63" t="inlineStr">
        <is>
          <t>48,27</t>
        </is>
      </c>
      <c r="Q214" s="63" t="inlineStr">
        <is>
          <t>55,99</t>
        </is>
      </c>
    </row>
    <row r="215">
      <c r="A215" s="66" t="n">
        <v>46216</v>
      </c>
      <c r="B215" s="65" t="n">
        <v>435</v>
      </c>
      <c r="C215" s="65" t="inlineStr">
        <is>
          <t>00-00000979</t>
        </is>
      </c>
      <c r="D215" s="65" t="inlineStr">
        <is>
          <t>S00541</t>
        </is>
      </c>
      <c r="E215" s="65" t="inlineStr">
        <is>
          <t>Bicicletas Repuestos Carioca C.A</t>
        </is>
      </c>
      <c r="F215" s="63" t="inlineStr">
        <is>
          <t>217.381,37</t>
        </is>
      </c>
      <c r="G215" s="63" t="inlineStr">
        <is>
          <t>252.162,39</t>
        </is>
      </c>
      <c r="H215" s="63" t="inlineStr">
        <is>
          <t>349,56</t>
        </is>
      </c>
      <c r="I215" s="63" t="inlineStr">
        <is>
          <t>721,35</t>
        </is>
      </c>
      <c r="J215" s="65" t="n"/>
      <c r="K215" s="65" t="n">
        <v>887</v>
      </c>
      <c r="L215" s="65" t="inlineStr">
        <is>
          <t>[0887] MOTOCLASICO 4T SAE 20W-50 (1x12)</t>
        </is>
      </c>
      <c r="M215" s="63" t="inlineStr">
        <is>
          <t>90,19</t>
        </is>
      </c>
      <c r="N215" s="63" t="inlineStr">
        <is>
          <t>3,00</t>
        </is>
      </c>
      <c r="O215" s="63" t="inlineStr">
        <is>
          <t>1,64</t>
        </is>
      </c>
      <c r="P215" s="63" t="inlineStr">
        <is>
          <t>266,13</t>
        </is>
      </c>
      <c r="Q215" s="63" t="inlineStr">
        <is>
          <t>308,71</t>
        </is>
      </c>
    </row>
    <row r="216">
      <c r="A216" s="65" t="n"/>
      <c r="B216" s="65" t="n"/>
      <c r="C216" s="65" t="n"/>
      <c r="D216" s="65" t="n"/>
      <c r="E216" s="65" t="n"/>
      <c r="F216" s="65" t="n"/>
      <c r="G216" s="65" t="n"/>
      <c r="H216" s="65" t="n"/>
      <c r="I216" s="65" t="n"/>
      <c r="J216" s="65" t="n"/>
      <c r="K216" s="65" t="n">
        <v>761</v>
      </c>
      <c r="L216" s="65" t="inlineStr">
        <is>
          <t>[0761] LIGA PARA FRENOS DOT-3 (1x12)</t>
        </is>
      </c>
      <c r="M216" s="63" t="inlineStr">
        <is>
          <t>35,81</t>
        </is>
      </c>
      <c r="N216" s="63" t="inlineStr">
        <is>
          <t>1,00</t>
        </is>
      </c>
      <c r="O216" s="63" t="inlineStr">
        <is>
          <t>1,64</t>
        </is>
      </c>
      <c r="P216" s="63" t="inlineStr">
        <is>
          <t>35,22</t>
        </is>
      </c>
      <c r="Q216" s="63" t="inlineStr">
        <is>
          <t>40,86</t>
        </is>
      </c>
    </row>
    <row r="217">
      <c r="A217" s="66" t="n">
        <v>46216</v>
      </c>
      <c r="B217" s="65" t="n">
        <v>434</v>
      </c>
      <c r="C217" s="65" t="inlineStr">
        <is>
          <t>00-00000978</t>
        </is>
      </c>
      <c r="D217" s="65" t="inlineStr">
        <is>
          <t>S00543</t>
        </is>
      </c>
      <c r="E217" s="65" t="inlineStr">
        <is>
          <t>Jose de Andrade</t>
        </is>
      </c>
      <c r="F217" s="63" t="inlineStr">
        <is>
          <t>49.871,85</t>
        </is>
      </c>
      <c r="G217" s="63" t="inlineStr">
        <is>
          <t>57.851,35</t>
        </is>
      </c>
      <c r="H217" s="63" t="inlineStr">
        <is>
          <t>80,19</t>
        </is>
      </c>
      <c r="I217" s="63" t="inlineStr">
        <is>
          <t>721,35</t>
        </is>
      </c>
      <c r="J217" s="65" t="n"/>
      <c r="K217" s="65" t="n">
        <v>779</v>
      </c>
      <c r="L217" s="65" t="inlineStr">
        <is>
          <t>[0779] SINOCO SAE 20W-50 (1x12)</t>
        </is>
      </c>
      <c r="M217" s="63" t="inlineStr">
        <is>
          <t>70,29</t>
        </is>
      </c>
      <c r="N217" s="63" t="inlineStr">
        <is>
          <t>1,00</t>
        </is>
      </c>
      <c r="O217" s="63" t="inlineStr">
        <is>
          <t>1,64</t>
        </is>
      </c>
      <c r="P217" s="63" t="inlineStr">
        <is>
          <t>69,14</t>
        </is>
      </c>
      <c r="Q217" s="63" t="inlineStr">
        <is>
          <t>80,20</t>
        </is>
      </c>
    </row>
    <row r="218">
      <c r="A218" s="66" t="n">
        <v>46216</v>
      </c>
      <c r="B218" s="65" t="n">
        <v>433</v>
      </c>
      <c r="C218" s="65" t="inlineStr">
        <is>
          <t>00-00000977</t>
        </is>
      </c>
      <c r="D218" s="65" t="inlineStr">
        <is>
          <t>S00544</t>
        </is>
      </c>
      <c r="E218" s="65" t="inlineStr">
        <is>
          <t>MULTIPARTES Y SERVICIOS HONDANIS,C.A.</t>
        </is>
      </c>
      <c r="F218" s="63" t="inlineStr">
        <is>
          <t>274.774,08</t>
        </is>
      </c>
      <c r="G218" s="63" t="inlineStr">
        <is>
          <t>318.737,94</t>
        </is>
      </c>
      <c r="H218" s="63" t="inlineStr">
        <is>
          <t>441,85</t>
        </is>
      </c>
      <c r="I218" s="63" t="inlineStr">
        <is>
          <t>721,35</t>
        </is>
      </c>
      <c r="J218" s="65" t="n"/>
      <c r="K218" s="65" t="n">
        <v>884</v>
      </c>
      <c r="L218" s="65" t="inlineStr">
        <is>
          <t>[0884] TRANSMATIC ATF DEXRON III (1x12)</t>
        </is>
      </c>
      <c r="M218" s="63" t="inlineStr">
        <is>
          <t>95,49</t>
        </is>
      </c>
      <c r="N218" s="63" t="inlineStr">
        <is>
          <t>3,00</t>
        </is>
      </c>
      <c r="O218" s="63" t="inlineStr">
        <is>
          <t>1,64</t>
        </is>
      </c>
      <c r="P218" s="63" t="inlineStr">
        <is>
          <t>281,77</t>
        </is>
      </c>
      <c r="Q218" s="63" t="inlineStr">
        <is>
          <t>326,86</t>
        </is>
      </c>
    </row>
    <row r="219">
      <c r="A219" s="65" t="n"/>
      <c r="B219" s="65" t="n"/>
      <c r="C219" s="65" t="n"/>
      <c r="D219" s="65" t="n"/>
      <c r="E219" s="65" t="n"/>
      <c r="F219" s="65" t="n"/>
      <c r="G219" s="65" t="n"/>
      <c r="H219" s="65" t="n"/>
      <c r="I219" s="65" t="n"/>
      <c r="J219" s="65" t="n"/>
      <c r="K219" s="65" t="n">
        <v>877</v>
      </c>
      <c r="L219" s="65" t="inlineStr">
        <is>
          <t>[0877] SS EXTRA PROTECCION API SN SAE 15W-40 (1X12)</t>
        </is>
      </c>
      <c r="M219" s="63" t="inlineStr">
        <is>
          <t>100,80</t>
        </is>
      </c>
      <c r="N219" s="63" t="inlineStr">
        <is>
          <t>1,00</t>
        </is>
      </c>
      <c r="O219" s="63" t="inlineStr">
        <is>
          <t>1,64</t>
        </is>
      </c>
      <c r="P219" s="63" t="inlineStr">
        <is>
          <t>99,15</t>
        </is>
      </c>
      <c r="Q219" s="63" t="inlineStr">
        <is>
          <t>115,01</t>
        </is>
      </c>
    </row>
    <row r="220">
      <c r="A220" s="66" t="n">
        <v>46216</v>
      </c>
      <c r="B220" s="65" t="n">
        <v>432</v>
      </c>
      <c r="C220" s="65" t="inlineStr">
        <is>
          <t>00-00000976</t>
        </is>
      </c>
      <c r="D220" s="65" t="inlineStr">
        <is>
          <t>S00545</t>
        </is>
      </c>
      <c r="E220" s="65" t="inlineStr">
        <is>
          <t>DISTRIBUIDORA PINOS 181297 C.A</t>
        </is>
      </c>
      <c r="F220" s="63" t="inlineStr">
        <is>
          <t>73.392,29</t>
        </is>
      </c>
      <c r="G220" s="63" t="inlineStr">
        <is>
          <t>85.135,06</t>
        </is>
      </c>
      <c r="H220" s="63" t="inlineStr">
        <is>
          <t>118,01</t>
        </is>
      </c>
      <c r="I220" s="63" t="inlineStr">
        <is>
          <t>721,35</t>
        </is>
      </c>
      <c r="J220" s="65" t="n"/>
      <c r="K220" s="65" t="n">
        <v>121</v>
      </c>
      <c r="L220" s="65" t="inlineStr">
        <is>
          <t>[0121] TRANSGLOB API GL-5 SAE 80W-90 (1x6)</t>
        </is>
      </c>
      <c r="M220" s="63" t="inlineStr">
        <is>
          <t>51,72</t>
        </is>
      </c>
      <c r="N220" s="63" t="inlineStr">
        <is>
          <t>2,00</t>
        </is>
      </c>
      <c r="O220" s="63" t="inlineStr">
        <is>
          <t>1,64</t>
        </is>
      </c>
      <c r="P220" s="63" t="inlineStr">
        <is>
          <t>101,74</t>
        </is>
      </c>
      <c r="Q220" s="63" t="inlineStr">
        <is>
          <t>118,02</t>
        </is>
      </c>
    </row>
    <row r="221">
      <c r="A221" s="66" t="n">
        <v>46216</v>
      </c>
      <c r="B221" s="65" t="n">
        <v>431</v>
      </c>
      <c r="C221" s="65" t="inlineStr">
        <is>
          <t>00-00000975</t>
        </is>
      </c>
      <c r="D221" s="65" t="inlineStr">
        <is>
          <t>S00547</t>
        </is>
      </c>
      <c r="E221" s="65" t="inlineStr">
        <is>
          <t>ROBERT GUILLEN</t>
        </is>
      </c>
      <c r="F221" s="63" t="inlineStr">
        <is>
          <t>70.915,66</t>
        </is>
      </c>
      <c r="G221" s="63" t="inlineStr">
        <is>
          <t>82.262,17</t>
        </is>
      </c>
      <c r="H221" s="63" t="inlineStr">
        <is>
          <t>114,03</t>
        </is>
      </c>
      <c r="I221" s="63" t="inlineStr">
        <is>
          <t>721,35</t>
        </is>
      </c>
      <c r="J221" s="65" t="n"/>
      <c r="K221" s="65" t="n">
        <v>877</v>
      </c>
      <c r="L221" s="65" t="inlineStr">
        <is>
          <t>[0877] SS EXTRA PROTECCION API SN SAE 15W-40 (1X12)</t>
        </is>
      </c>
      <c r="M221" s="63" t="inlineStr">
        <is>
          <t>100,80</t>
        </is>
      </c>
      <c r="N221" s="63" t="inlineStr">
        <is>
          <t>1,00</t>
        </is>
      </c>
      <c r="O221" s="63" t="inlineStr">
        <is>
          <t>2,47</t>
        </is>
      </c>
      <c r="P221" s="63" t="inlineStr">
        <is>
          <t>98,31</t>
        </is>
      </c>
      <c r="Q221" s="63" t="inlineStr">
        <is>
          <t>114,04</t>
        </is>
      </c>
    </row>
    <row r="222">
      <c r="A222" s="66" t="n">
        <v>46216</v>
      </c>
      <c r="B222" s="65" t="n">
        <v>430</v>
      </c>
      <c r="C222" s="65" t="inlineStr">
        <is>
          <t>00-00000974</t>
        </is>
      </c>
      <c r="D222" s="65" t="inlineStr">
        <is>
          <t>S00549</t>
        </is>
      </c>
      <c r="E222" s="65" t="inlineStr">
        <is>
          <t>Moto repuestos jj</t>
        </is>
      </c>
      <c r="F222" s="63" t="inlineStr">
        <is>
          <t>225.804,47</t>
        </is>
      </c>
      <c r="G222" s="63" t="inlineStr">
        <is>
          <t>261.933,18</t>
        </is>
      </c>
      <c r="H222" s="63" t="inlineStr">
        <is>
          <t>363,10</t>
        </is>
      </c>
      <c r="I222" s="63" t="inlineStr">
        <is>
          <t>721,35</t>
        </is>
      </c>
      <c r="J222" s="65" t="n"/>
      <c r="K222" s="65" t="n">
        <v>779</v>
      </c>
      <c r="L222" s="65" t="inlineStr">
        <is>
          <t>[0779] SINOCO SAE 20W-50 (1x12)</t>
        </is>
      </c>
      <c r="M222" s="63" t="inlineStr">
        <is>
          <t>70,29</t>
        </is>
      </c>
      <c r="N222" s="63" t="inlineStr">
        <is>
          <t>2,00</t>
        </is>
      </c>
      <c r="O222" s="63" t="inlineStr">
        <is>
          <t>2,47</t>
        </is>
      </c>
      <c r="P222" s="63" t="inlineStr">
        <is>
          <t>137,11</t>
        </is>
      </c>
      <c r="Q222" s="63" t="inlineStr">
        <is>
          <t>159,04</t>
        </is>
      </c>
    </row>
    <row r="223">
      <c r="A223" s="65" t="n"/>
      <c r="B223" s="65" t="n"/>
      <c r="C223" s="65" t="n"/>
      <c r="D223" s="65" t="n"/>
      <c r="E223" s="65" t="n"/>
      <c r="F223" s="65" t="n"/>
      <c r="G223" s="65" t="n"/>
      <c r="H223" s="65" t="n"/>
      <c r="I223" s="65" t="n"/>
      <c r="J223" s="65" t="n"/>
      <c r="K223" s="65" t="n">
        <v>887</v>
      </c>
      <c r="L223" s="65" t="inlineStr">
        <is>
          <t>[0887] MOTOCLASICO 4T SAE 20W-50 (1x12)</t>
        </is>
      </c>
      <c r="M223" s="63" t="inlineStr">
        <is>
          <t>90,19</t>
        </is>
      </c>
      <c r="N223" s="63" t="inlineStr">
        <is>
          <t>2,00</t>
        </is>
      </c>
      <c r="O223" s="63" t="inlineStr">
        <is>
          <t>2,47</t>
        </is>
      </c>
      <c r="P223" s="63" t="inlineStr">
        <is>
          <t>175,92</t>
        </is>
      </c>
      <c r="Q223" s="63" t="inlineStr">
        <is>
          <t>204,07</t>
        </is>
      </c>
    </row>
    <row r="224">
      <c r="A224" s="66" t="n">
        <v>46216</v>
      </c>
      <c r="B224" s="65" t="n">
        <v>429</v>
      </c>
      <c r="C224" s="65" t="inlineStr">
        <is>
          <t>00-00000973</t>
        </is>
      </c>
      <c r="D224" s="65" t="inlineStr">
        <is>
          <t>S00551</t>
        </is>
      </c>
      <c r="E224" s="65" t="inlineStr">
        <is>
          <t>Monkey moto Services C.A</t>
        </is>
      </c>
      <c r="F224" s="63" t="inlineStr">
        <is>
          <t>264.055,30</t>
        </is>
      </c>
      <c r="G224" s="63" t="inlineStr">
        <is>
          <t>306.304,16</t>
        </is>
      </c>
      <c r="H224" s="63" t="inlineStr">
        <is>
          <t>424,61</t>
        </is>
      </c>
      <c r="I224" s="63" t="inlineStr">
        <is>
          <t>721,35</t>
        </is>
      </c>
      <c r="J224" s="65" t="n"/>
      <c r="K224" s="65" t="n">
        <v>884</v>
      </c>
      <c r="L224" s="65" t="inlineStr">
        <is>
          <t>[0884] TRANSMATIC ATF DEXRON III (1x12)</t>
        </is>
      </c>
      <c r="M224" s="63" t="inlineStr">
        <is>
          <t>95,49</t>
        </is>
      </c>
      <c r="N224" s="63" t="inlineStr">
        <is>
          <t>1,00</t>
        </is>
      </c>
      <c r="O224" s="63" t="inlineStr">
        <is>
          <t>2,47</t>
        </is>
      </c>
      <c r="P224" s="63" t="inlineStr">
        <is>
          <t>93,13</t>
        </is>
      </c>
      <c r="Q224" s="63" t="inlineStr">
        <is>
          <t>108,03</t>
        </is>
      </c>
    </row>
    <row r="225">
      <c r="A225" s="65" t="n"/>
      <c r="B225" s="65" t="n"/>
      <c r="C225" s="65" t="n"/>
      <c r="D225" s="65" t="n"/>
      <c r="E225" s="65" t="n"/>
      <c r="F225" s="65" t="n"/>
      <c r="G225" s="65" t="n"/>
      <c r="H225" s="65" t="n"/>
      <c r="I225" s="65" t="n"/>
      <c r="J225" s="65" t="n"/>
      <c r="K225" s="65" t="n">
        <v>885</v>
      </c>
      <c r="L225" s="65" t="inlineStr">
        <is>
          <t>[0885] TRANSMATIC ATF MERCON V (1x12)</t>
        </is>
      </c>
      <c r="M225" s="63" t="inlineStr">
        <is>
          <t>157,82</t>
        </is>
      </c>
      <c r="N225" s="63" t="inlineStr">
        <is>
          <t>1,00</t>
        </is>
      </c>
      <c r="O225" s="63" t="inlineStr">
        <is>
          <t>2,47</t>
        </is>
      </c>
      <c r="P225" s="63" t="inlineStr">
        <is>
          <t>153,92</t>
        </is>
      </c>
      <c r="Q225" s="63" t="inlineStr">
        <is>
          <t>178,55</t>
        </is>
      </c>
    </row>
    <row r="226">
      <c r="A226" s="65" t="n"/>
      <c r="B226" s="65" t="n"/>
      <c r="C226" s="65" t="n"/>
      <c r="D226" s="65" t="n"/>
      <c r="E226" s="65" t="n"/>
      <c r="F226" s="65" t="n"/>
      <c r="G226" s="65" t="n"/>
      <c r="H226" s="65" t="n"/>
      <c r="I226" s="65" t="n"/>
      <c r="J226" s="65" t="n"/>
      <c r="K226" s="65" t="n">
        <v>761</v>
      </c>
      <c r="L226" s="65" t="inlineStr">
        <is>
          <t>[0761] LIGA PARA FRENOS DOT-3 (1x12)</t>
        </is>
      </c>
      <c r="M226" s="63" t="inlineStr">
        <is>
          <t>35,81</t>
        </is>
      </c>
      <c r="N226" s="63" t="inlineStr">
        <is>
          <t>1,00</t>
        </is>
      </c>
      <c r="O226" s="63" t="inlineStr">
        <is>
          <t>2,47</t>
        </is>
      </c>
      <c r="P226" s="63" t="inlineStr">
        <is>
          <t>34,93</t>
        </is>
      </c>
      <c r="Q226" s="63" t="inlineStr">
        <is>
          <t>40,51</t>
        </is>
      </c>
    </row>
    <row r="227">
      <c r="A227" s="65" t="n"/>
      <c r="B227" s="65" t="n"/>
      <c r="C227" s="65" t="n"/>
      <c r="D227" s="65" t="n"/>
      <c r="E227" s="65" t="n"/>
      <c r="F227" s="65" t="n"/>
      <c r="G227" s="65" t="n"/>
      <c r="H227" s="65" t="n"/>
      <c r="I227" s="65" t="n"/>
      <c r="J227" s="65" t="n"/>
      <c r="K227" s="65" t="n">
        <v>881</v>
      </c>
      <c r="L227" s="65" t="inlineStr">
        <is>
          <t>[0881] CLASICO API SL SAE 20W-50 (1x12)</t>
        </is>
      </c>
      <c r="M227" s="63" t="inlineStr">
        <is>
          <t>86,21</t>
        </is>
      </c>
      <c r="N227" s="63" t="inlineStr">
        <is>
          <t>1,00</t>
        </is>
      </c>
      <c r="O227" s="63" t="inlineStr">
        <is>
          <t>2,47</t>
        </is>
      </c>
      <c r="P227" s="63" t="inlineStr">
        <is>
          <t>84,08</t>
        </is>
      </c>
      <c r="Q227" s="63" t="inlineStr">
        <is>
          <t>97,53</t>
        </is>
      </c>
    </row>
    <row r="228">
      <c r="A228" s="66" t="n">
        <v>46216</v>
      </c>
      <c r="B228" s="65" t="n">
        <v>428</v>
      </c>
      <c r="C228" s="65" t="inlineStr">
        <is>
          <t>00-00000972</t>
        </is>
      </c>
      <c r="D228" s="65" t="inlineStr">
        <is>
          <t>S00552</t>
        </is>
      </c>
      <c r="E228" s="65" t="inlineStr">
        <is>
          <t>Repuestos Chevecars Gran Caracas, C.A</t>
        </is>
      </c>
      <c r="F228" s="63" t="inlineStr">
        <is>
          <t>232.326,17</t>
        </is>
      </c>
      <c r="G228" s="63" t="inlineStr">
        <is>
          <t>269.498,37</t>
        </is>
      </c>
      <c r="H228" s="63" t="inlineStr">
        <is>
          <t>373,59</t>
        </is>
      </c>
      <c r="I228" s="63" t="inlineStr">
        <is>
          <t>721,35</t>
        </is>
      </c>
      <c r="J228" s="65" t="n"/>
      <c r="K228" s="65" t="n">
        <v>884</v>
      </c>
      <c r="L228" s="65" t="inlineStr">
        <is>
          <t>[0884] TRANSMATIC ATF DEXRON III (1x12)</t>
        </is>
      </c>
      <c r="M228" s="63" t="inlineStr">
        <is>
          <t>95,49</t>
        </is>
      </c>
      <c r="N228" s="63" t="inlineStr">
        <is>
          <t>2,00</t>
        </is>
      </c>
      <c r="O228" s="63" t="inlineStr">
        <is>
          <t>2,47</t>
        </is>
      </c>
      <c r="P228" s="63" t="inlineStr">
        <is>
          <t>186,26</t>
        </is>
      </c>
      <c r="Q228" s="63" t="inlineStr">
        <is>
          <t>216,06</t>
        </is>
      </c>
    </row>
    <row r="229">
      <c r="A229" s="65" t="n"/>
      <c r="B229" s="65" t="n"/>
      <c r="C229" s="65" t="n"/>
      <c r="D229" s="65" t="n"/>
      <c r="E229" s="65" t="n"/>
      <c r="F229" s="65" t="n"/>
      <c r="G229" s="65" t="n"/>
      <c r="H229" s="65" t="n"/>
      <c r="I229" s="65" t="n"/>
      <c r="J229" s="65" t="n"/>
      <c r="K229" s="65" t="n">
        <v>121</v>
      </c>
      <c r="L229" s="65" t="inlineStr">
        <is>
          <t>[0121] TRANSGLOB API GL-5 SAE 80W-90 (1x6)</t>
        </is>
      </c>
      <c r="M229" s="63" t="inlineStr">
        <is>
          <t>51,72</t>
        </is>
      </c>
      <c r="N229" s="63" t="inlineStr">
        <is>
          <t>2,00</t>
        </is>
      </c>
      <c r="O229" s="63" t="inlineStr">
        <is>
          <t>2,47</t>
        </is>
      </c>
      <c r="P229" s="63" t="inlineStr">
        <is>
          <t>100,89</t>
        </is>
      </c>
      <c r="Q229" s="63" t="inlineStr">
        <is>
          <t>117,03</t>
        </is>
      </c>
    </row>
    <row r="230">
      <c r="A230" s="65" t="n"/>
      <c r="B230" s="65" t="n"/>
      <c r="C230" s="65" t="n"/>
      <c r="D230" s="65" t="n"/>
      <c r="E230" s="65" t="n"/>
      <c r="F230" s="65" t="n"/>
      <c r="G230" s="65" t="n"/>
      <c r="H230" s="65" t="n"/>
      <c r="I230" s="65" t="n"/>
      <c r="J230" s="65" t="n"/>
      <c r="K230" s="65" t="n">
        <v>761</v>
      </c>
      <c r="L230" s="65" t="inlineStr">
        <is>
          <t>[0761] LIGA PARA FRENOS DOT-3 (1x12)</t>
        </is>
      </c>
      <c r="M230" s="63" t="inlineStr">
        <is>
          <t>35,81</t>
        </is>
      </c>
      <c r="N230" s="63" t="inlineStr">
        <is>
          <t>1,00</t>
        </is>
      </c>
      <c r="O230" s="63" t="inlineStr">
        <is>
          <t>2,47</t>
        </is>
      </c>
      <c r="P230" s="63" t="inlineStr">
        <is>
          <t>34,93</t>
        </is>
      </c>
      <c r="Q230" s="63" t="inlineStr">
        <is>
          <t>40,51</t>
        </is>
      </c>
    </row>
    <row r="231">
      <c r="A231" s="66" t="n">
        <v>46216</v>
      </c>
      <c r="B231" s="65" t="n">
        <v>427</v>
      </c>
      <c r="C231" s="65" t="inlineStr">
        <is>
          <t>00-00000971</t>
        </is>
      </c>
      <c r="D231" s="65" t="inlineStr">
        <is>
          <t>S00557</t>
        </is>
      </c>
      <c r="E231" s="65" t="inlineStr">
        <is>
          <t>ALI ALEXANDER MORENO FIGUEREDO</t>
        </is>
      </c>
      <c r="F231" s="63" t="inlineStr">
        <is>
          <t>123.928,56</t>
        </is>
      </c>
      <c r="G231" s="63" t="inlineStr">
        <is>
          <t>143.757,12</t>
        </is>
      </c>
      <c r="H231" s="63" t="inlineStr">
        <is>
          <t>199,27</t>
        </is>
      </c>
      <c r="I231" s="63" t="inlineStr">
        <is>
          <t>721,35</t>
        </is>
      </c>
      <c r="J231" s="65" t="n"/>
      <c r="K231" s="65" t="n">
        <v>761</v>
      </c>
      <c r="L231" s="65" t="inlineStr">
        <is>
          <t>[0761] LIGA PARA FRENOS DOT-3 (1x12)</t>
        </is>
      </c>
      <c r="M231" s="63" t="inlineStr">
        <is>
          <t>35,81</t>
        </is>
      </c>
      <c r="N231" s="63" t="inlineStr">
        <is>
          <t>2,00</t>
        </is>
      </c>
      <c r="O231" s="63" t="inlineStr">
        <is>
          <t>3,33</t>
        </is>
      </c>
      <c r="P231" s="63" t="inlineStr">
        <is>
          <t>69,24</t>
        </is>
      </c>
      <c r="Q231" s="63" t="inlineStr">
        <is>
          <t>80,31</t>
        </is>
      </c>
    </row>
    <row r="232">
      <c r="A232" s="65" t="n"/>
      <c r="B232" s="65" t="n"/>
      <c r="C232" s="65" t="n"/>
      <c r="D232" s="65" t="n"/>
      <c r="E232" s="65" t="n"/>
      <c r="F232" s="65" t="n"/>
      <c r="G232" s="65" t="n"/>
      <c r="H232" s="65" t="n"/>
      <c r="I232" s="65" t="n"/>
      <c r="J232" s="65" t="n"/>
      <c r="K232" s="65" t="n">
        <v>774</v>
      </c>
      <c r="L232" s="65" t="inlineStr">
        <is>
          <t>[0774] LIGA PARA FRENOS DOT-4 (1X6)</t>
        </is>
      </c>
      <c r="M232" s="63" t="inlineStr">
        <is>
          <t>64,99</t>
        </is>
      </c>
      <c r="N232" s="63" t="inlineStr">
        <is>
          <t>1,00</t>
        </is>
      </c>
      <c r="O232" s="63" t="inlineStr">
        <is>
          <t>3,33</t>
        </is>
      </c>
      <c r="P232" s="63" t="inlineStr">
        <is>
          <t>62,83</t>
        </is>
      </c>
      <c r="Q232" s="63" t="inlineStr">
        <is>
          <t>72,88</t>
        </is>
      </c>
    </row>
    <row r="233">
      <c r="A233" s="65" t="n"/>
      <c r="B233" s="65" t="n"/>
      <c r="C233" s="65" t="n"/>
      <c r="D233" s="65" t="n"/>
      <c r="E233" s="65" t="n"/>
      <c r="F233" s="65" t="n"/>
      <c r="G233" s="65" t="n"/>
      <c r="H233" s="65" t="n"/>
      <c r="I233" s="65" t="n"/>
      <c r="J233" s="65" t="n"/>
      <c r="K233" s="65" t="n">
        <v>775</v>
      </c>
      <c r="L233" s="65" t="inlineStr">
        <is>
          <t>[0775] LIGA PARA FRENOS DOT-4 (1X12)</t>
        </is>
      </c>
      <c r="M233" s="63" t="inlineStr">
        <is>
          <t>41,11</t>
        </is>
      </c>
      <c r="N233" s="63" t="inlineStr">
        <is>
          <t>1,00</t>
        </is>
      </c>
      <c r="O233" s="63" t="inlineStr">
        <is>
          <t>3,33</t>
        </is>
      </c>
      <c r="P233" s="63" t="inlineStr">
        <is>
          <t>39,74</t>
        </is>
      </c>
      <c r="Q233" s="63" t="inlineStr">
        <is>
          <t>46,10</t>
        </is>
      </c>
    </row>
    <row r="234">
      <c r="A234" s="66" t="n">
        <v>46216</v>
      </c>
      <c r="B234" s="65" t="n">
        <v>426</v>
      </c>
      <c r="C234" s="65" t="inlineStr">
        <is>
          <t>00-00000970</t>
        </is>
      </c>
      <c r="D234" s="65" t="inlineStr">
        <is>
          <t>S00559</t>
        </is>
      </c>
      <c r="E234" s="65" t="inlineStr">
        <is>
          <t>Comercial Rio Paraguas C.A</t>
        </is>
      </c>
      <c r="F234" s="63" t="inlineStr">
        <is>
          <t>72.131,28</t>
        </is>
      </c>
      <c r="G234" s="63" t="inlineStr">
        <is>
          <t>83.672,28</t>
        </is>
      </c>
      <c r="H234" s="63" t="inlineStr">
        <is>
          <t>115,98</t>
        </is>
      </c>
      <c r="I234" s="63" t="inlineStr">
        <is>
          <t>721,35</t>
        </is>
      </c>
      <c r="J234" s="65" t="n"/>
      <c r="K234" s="65" t="n">
        <v>789</v>
      </c>
      <c r="L234" s="65" t="inlineStr">
        <is>
          <t>[0789] REFRIGERANTE GLOBAL VERDE (1X3)</t>
        </is>
      </c>
      <c r="M234" s="63" t="inlineStr">
        <is>
          <t>34,48</t>
        </is>
      </c>
      <c r="N234" s="63" t="inlineStr">
        <is>
          <t>1,00</t>
        </is>
      </c>
      <c r="O234" s="63" t="inlineStr">
        <is>
          <t>3,33</t>
        </is>
      </c>
      <c r="P234" s="63" t="inlineStr">
        <is>
          <t>33,33</t>
        </is>
      </c>
      <c r="Q234" s="63" t="inlineStr">
        <is>
          <t>38,66</t>
        </is>
      </c>
    </row>
    <row r="235">
      <c r="A235" s="65" t="n"/>
      <c r="B235" s="65" t="n"/>
      <c r="C235" s="65" t="n"/>
      <c r="D235" s="65" t="n"/>
      <c r="E235" s="65" t="n"/>
      <c r="F235" s="65" t="n"/>
      <c r="G235" s="65" t="n"/>
      <c r="H235" s="65" t="n"/>
      <c r="I235" s="65" t="n"/>
      <c r="J235" s="65" t="n"/>
      <c r="K235" s="65" t="n">
        <v>792</v>
      </c>
      <c r="L235" s="65" t="inlineStr">
        <is>
          <t>[0792] REFRIGERANTE GLOBAL ROJO (1X3)</t>
        </is>
      </c>
      <c r="M235" s="63" t="inlineStr">
        <is>
          <t>34,48</t>
        </is>
      </c>
      <c r="N235" s="63" t="inlineStr">
        <is>
          <t>2,00</t>
        </is>
      </c>
      <c r="O235" s="63" t="inlineStr">
        <is>
          <t>3,33</t>
        </is>
      </c>
      <c r="P235" s="63" t="inlineStr">
        <is>
          <t>66,66</t>
        </is>
      </c>
      <c r="Q235" s="63" t="inlineStr">
        <is>
          <t>77,33</t>
        </is>
      </c>
    </row>
    <row r="236">
      <c r="A236" s="66" t="n">
        <v>46216</v>
      </c>
      <c r="B236" s="65" t="n">
        <v>425</v>
      </c>
      <c r="C236" s="65" t="inlineStr">
        <is>
          <t>00-00000969</t>
        </is>
      </c>
      <c r="D236" s="65" t="inlineStr">
        <is>
          <t>S00560</t>
        </is>
      </c>
      <c r="E236" s="65" t="inlineStr">
        <is>
          <t>Auto Lavado Norte Sur CS, C.A</t>
        </is>
      </c>
      <c r="F236" s="63" t="inlineStr">
        <is>
          <t>140.580,68</t>
        </is>
      </c>
      <c r="G236" s="63" t="inlineStr">
        <is>
          <t>163.073,59</t>
        </is>
      </c>
      <c r="H236" s="63" t="inlineStr">
        <is>
          <t>226,06</t>
        </is>
      </c>
      <c r="I236" s="63" t="inlineStr">
        <is>
          <t>721,35</t>
        </is>
      </c>
      <c r="J236" s="65" t="n"/>
      <c r="K236" s="65" t="n">
        <v>877</v>
      </c>
      <c r="L236" s="65" t="inlineStr">
        <is>
          <t>[0877] SS EXTRA PROTECCION API SN SAE 15W-40 (1X12)</t>
        </is>
      </c>
      <c r="M236" s="63" t="inlineStr">
        <is>
          <t>100,80</t>
        </is>
      </c>
      <c r="N236" s="63" t="inlineStr">
        <is>
          <t>2,00</t>
        </is>
      </c>
      <c r="O236" s="63" t="inlineStr">
        <is>
          <t>3,33</t>
        </is>
      </c>
      <c r="P236" s="63" t="inlineStr">
        <is>
          <t>194,89</t>
        </is>
      </c>
      <c r="Q236" s="63" t="inlineStr">
        <is>
          <t>226,07</t>
        </is>
      </c>
    </row>
    <row r="237">
      <c r="A237" s="66" t="n">
        <v>46216</v>
      </c>
      <c r="B237" s="65" t="n">
        <v>424</v>
      </c>
      <c r="C237" s="65" t="inlineStr">
        <is>
          <t>00-00000968</t>
        </is>
      </c>
      <c r="D237" s="65" t="inlineStr">
        <is>
          <t>S00562</t>
        </is>
      </c>
      <c r="E237" s="65" t="inlineStr">
        <is>
          <t>Auto partes Maideirense, C.A</t>
        </is>
      </c>
      <c r="F237" s="63" t="inlineStr">
        <is>
          <t>72.131,28</t>
        </is>
      </c>
      <c r="G237" s="63" t="inlineStr">
        <is>
          <t>83.672,28</t>
        </is>
      </c>
      <c r="H237" s="63" t="inlineStr">
        <is>
          <t>115,98</t>
        </is>
      </c>
      <c r="I237" s="63" t="inlineStr">
        <is>
          <t>721,35</t>
        </is>
      </c>
      <c r="J237" s="65" t="n"/>
      <c r="K237" s="65" t="n">
        <v>121</v>
      </c>
      <c r="L237" s="65" t="inlineStr">
        <is>
          <t>[0121] TRANSGLOB API GL-5 SAE 80W-90 (1x6)</t>
        </is>
      </c>
      <c r="M237" s="63" t="inlineStr">
        <is>
          <t>51,72</t>
        </is>
      </c>
      <c r="N237" s="63" t="inlineStr">
        <is>
          <t>2,00</t>
        </is>
      </c>
      <c r="O237" s="63" t="inlineStr">
        <is>
          <t>3,33</t>
        </is>
      </c>
      <c r="P237" s="63" t="inlineStr">
        <is>
          <t>100,00</t>
        </is>
      </c>
      <c r="Q237" s="63" t="inlineStr">
        <is>
          <t>115,99</t>
        </is>
      </c>
    </row>
    <row r="238">
      <c r="A238" s="66" t="n">
        <v>46216</v>
      </c>
      <c r="B238" s="65" t="n">
        <v>423</v>
      </c>
      <c r="C238" s="65" t="inlineStr">
        <is>
          <t>00-00000967</t>
        </is>
      </c>
      <c r="D238" s="65" t="inlineStr">
        <is>
          <t>S00564</t>
        </is>
      </c>
      <c r="E238" s="65" t="inlineStr">
        <is>
          <t>Luis Francisco hernandez falcon</t>
        </is>
      </c>
      <c r="F238" s="63" t="inlineStr">
        <is>
          <t>220.103,60</t>
        </is>
      </c>
      <c r="G238" s="63" t="inlineStr">
        <is>
          <t>255.320,18</t>
        </is>
      </c>
      <c r="H238" s="63" t="inlineStr">
        <is>
          <t>353,94</t>
        </is>
      </c>
      <c r="I238" s="63" t="inlineStr">
        <is>
          <t>721,35</t>
        </is>
      </c>
      <c r="J238" s="65" t="n"/>
      <c r="K238" s="65" t="n">
        <v>886</v>
      </c>
      <c r="L238" s="65" t="inlineStr">
        <is>
          <t>[0886] TRANSMATIC DEXRON VI (1x12)</t>
        </is>
      </c>
      <c r="M238" s="63" t="inlineStr">
        <is>
          <t>157,82</t>
        </is>
      </c>
      <c r="N238" s="63" t="inlineStr">
        <is>
          <t>2,00</t>
        </is>
      </c>
      <c r="O238" s="63" t="inlineStr">
        <is>
          <t>3,33</t>
        </is>
      </c>
      <c r="P238" s="63" t="inlineStr">
        <is>
          <t>305,13</t>
        </is>
      </c>
      <c r="Q238" s="63" t="inlineStr">
        <is>
          <t>353,95</t>
        </is>
      </c>
    </row>
    <row r="239">
      <c r="A239" s="66" t="n">
        <v>46216</v>
      </c>
      <c r="B239" s="65" t="n">
        <v>422</v>
      </c>
      <c r="C239" s="65" t="inlineStr">
        <is>
          <t>00-00000966</t>
        </is>
      </c>
      <c r="D239" s="65" t="inlineStr">
        <is>
          <t>S00475</t>
        </is>
      </c>
      <c r="E239" s="65" t="inlineStr">
        <is>
          <t>Emprendimiento Eduardo Pérez 6</t>
        </is>
      </c>
      <c r="F239" s="63" t="inlineStr">
        <is>
          <t>32.958,03</t>
        </is>
      </c>
      <c r="G239" s="63" t="inlineStr">
        <is>
          <t>38.231,31</t>
        </is>
      </c>
      <c r="H239" s="63" t="inlineStr">
        <is>
          <t>52,99</t>
        </is>
      </c>
      <c r="I239" s="63" t="inlineStr">
        <is>
          <t>721,35</t>
        </is>
      </c>
      <c r="J239" s="65" t="n"/>
      <c r="K239" s="65" t="n">
        <v>779</v>
      </c>
      <c r="L239" s="65" t="inlineStr">
        <is>
          <t>[0779] SINOCO SAE 20W-50 (1x12)</t>
        </is>
      </c>
      <c r="M239" s="63" t="inlineStr">
        <is>
          <t>45,69</t>
        </is>
      </c>
      <c r="N239" s="63" t="inlineStr">
        <is>
          <t>1,00</t>
        </is>
      </c>
      <c r="O239" s="63" t="inlineStr">
        <is>
          <t>0,00</t>
        </is>
      </c>
      <c r="P239" s="63" t="inlineStr">
        <is>
          <t>45,69</t>
        </is>
      </c>
      <c r="Q239" s="63" t="inlineStr">
        <is>
          <t>53,00</t>
        </is>
      </c>
    </row>
    <row r="240">
      <c r="A240" s="66" t="n">
        <v>46216</v>
      </c>
      <c r="B240" s="65" t="n">
        <v>421</v>
      </c>
      <c r="C240" s="65" t="inlineStr">
        <is>
          <t>00-00000965</t>
        </is>
      </c>
      <c r="D240" s="65" t="inlineStr">
        <is>
          <t>S00496</t>
        </is>
      </c>
      <c r="E240" s="65" t="inlineStr">
        <is>
          <t>GASOLVEN DISTRIBUIDORA, C.A</t>
        </is>
      </c>
      <c r="F240" s="63" t="inlineStr">
        <is>
          <t>44.151,33</t>
        </is>
      </c>
      <c r="G240" s="63" t="inlineStr">
        <is>
          <t>51.215,54</t>
        </is>
      </c>
      <c r="H240" s="63" t="inlineStr">
        <is>
          <t>70,99</t>
        </is>
      </c>
      <c r="I240" s="63" t="inlineStr">
        <is>
          <t>721,35</t>
        </is>
      </c>
      <c r="J240" s="65" t="n"/>
      <c r="K240" s="65" t="n">
        <v>144</v>
      </c>
      <c r="L240" s="65" t="inlineStr">
        <is>
          <t>[0144] HIDRAGLOB AW/ISO 68 (PAILA)</t>
        </is>
      </c>
      <c r="M240" s="63" t="inlineStr">
        <is>
          <t>61,21</t>
        </is>
      </c>
      <c r="N240" s="63" t="inlineStr">
        <is>
          <t>1,00</t>
        </is>
      </c>
      <c r="O240" s="63" t="inlineStr">
        <is>
          <t>0,00</t>
        </is>
      </c>
      <c r="P240" s="63" t="inlineStr">
        <is>
          <t>61,21</t>
        </is>
      </c>
      <c r="Q240" s="63" t="inlineStr">
        <is>
          <t>71,00</t>
        </is>
      </c>
    </row>
    <row r="241">
      <c r="A241" s="66" t="n">
        <v>46216</v>
      </c>
      <c r="B241" s="65" t="n">
        <v>420</v>
      </c>
      <c r="C241" s="65" t="inlineStr">
        <is>
          <t>00-00000964</t>
        </is>
      </c>
      <c r="D241" s="65" t="inlineStr">
        <is>
          <t>S00512</t>
        </is>
      </c>
      <c r="E241" s="65" t="inlineStr">
        <is>
          <t>HIDRAULICAS CAICEDO C.A.</t>
        </is>
      </c>
      <c r="F241" s="63" t="inlineStr">
        <is>
          <t>44.773,18</t>
        </is>
      </c>
      <c r="G241" s="63" t="inlineStr">
        <is>
          <t>51.936,89</t>
        </is>
      </c>
      <c r="H241" s="63" t="inlineStr">
        <is>
          <t>71,99</t>
        </is>
      </c>
      <c r="I241" s="63" t="inlineStr">
        <is>
          <t>721,35</t>
        </is>
      </c>
      <c r="J241" s="65" t="n"/>
      <c r="K241" s="65" t="n">
        <v>884</v>
      </c>
      <c r="L241" s="65" t="inlineStr">
        <is>
          <t>[0884] TRANSMATIC ATF DEXRON III (1x12)</t>
        </is>
      </c>
      <c r="M241" s="63" t="inlineStr">
        <is>
          <t>62,07</t>
        </is>
      </c>
      <c r="N241" s="63" t="inlineStr">
        <is>
          <t>1,00</t>
        </is>
      </c>
      <c r="O241" s="63" t="inlineStr">
        <is>
          <t>0,00</t>
        </is>
      </c>
      <c r="P241" s="63" t="inlineStr">
        <is>
          <t>62,07</t>
        </is>
      </c>
      <c r="Q241" s="63" t="inlineStr">
        <is>
          <t>72,00</t>
        </is>
      </c>
    </row>
    <row r="242">
      <c r="A242" s="66" t="n">
        <v>46216</v>
      </c>
      <c r="B242" s="65" t="n">
        <v>419</v>
      </c>
      <c r="C242" s="65" t="inlineStr">
        <is>
          <t>00-00000963</t>
        </is>
      </c>
      <c r="D242" s="65" t="inlineStr">
        <is>
          <t>S00526</t>
        </is>
      </c>
      <c r="E242" s="65" t="inlineStr">
        <is>
          <t>Auto repuestos Fontalvo</t>
        </is>
      </c>
      <c r="F242" s="63" t="inlineStr">
        <is>
          <t>47.260,57</t>
        </is>
      </c>
      <c r="G242" s="63" t="inlineStr">
        <is>
          <t>54.822,26</t>
        </is>
      </c>
      <c r="H242" s="63" t="inlineStr">
        <is>
          <t>75,99</t>
        </is>
      </c>
      <c r="I242" s="63" t="inlineStr">
        <is>
          <t>721,35</t>
        </is>
      </c>
      <c r="J242" s="65" t="n">
        <v>674</v>
      </c>
      <c r="K242" s="65" t="n">
        <v>25</v>
      </c>
      <c r="L242" s="65" t="inlineStr">
        <is>
          <t>[0025] SS EXTRA PROTECCION API SN SAE 10W-30 (Gasolina) (1x6)</t>
        </is>
      </c>
      <c r="M242" s="63" t="inlineStr">
        <is>
          <t>32,76</t>
        </is>
      </c>
      <c r="N242" s="63" t="inlineStr">
        <is>
          <t>2,00</t>
        </is>
      </c>
      <c r="O242" s="63" t="inlineStr">
        <is>
          <t>0,00</t>
        </is>
      </c>
      <c r="P242" s="63" t="inlineStr">
        <is>
          <t>65,52</t>
        </is>
      </c>
      <c r="Q242" s="63" t="inlineStr">
        <is>
          <t>76,00</t>
        </is>
      </c>
    </row>
    <row r="243">
      <c r="A243" s="66" t="n">
        <v>46216</v>
      </c>
      <c r="B243" s="65" t="n">
        <v>418</v>
      </c>
      <c r="C243" s="65" t="inlineStr">
        <is>
          <t>00-00000962</t>
        </is>
      </c>
      <c r="D243" s="65" t="inlineStr">
        <is>
          <t>S00530</t>
        </is>
      </c>
      <c r="E243" s="65" t="inlineStr">
        <is>
          <t>Motolavado Yahir</t>
        </is>
      </c>
      <c r="F243" s="63" t="inlineStr">
        <is>
          <t>308.437,43</t>
        </is>
      </c>
      <c r="G243" s="63" t="inlineStr">
        <is>
          <t>357.787,42</t>
        </is>
      </c>
      <c r="H243" s="63" t="inlineStr">
        <is>
          <t>495,98</t>
        </is>
      </c>
      <c r="I243" s="63" t="inlineStr">
        <is>
          <t>721,35</t>
        </is>
      </c>
      <c r="J243" s="65" t="n"/>
      <c r="K243" s="65" t="n">
        <v>602</v>
      </c>
      <c r="L243" s="65" t="inlineStr">
        <is>
          <t>[0602] SINOCO SAE 50 (PAILA)</t>
        </is>
      </c>
      <c r="M243" s="63" t="inlineStr">
        <is>
          <t>62,93</t>
        </is>
      </c>
      <c r="N243" s="63" t="inlineStr">
        <is>
          <t>2,00</t>
        </is>
      </c>
      <c r="O243" s="63" t="inlineStr">
        <is>
          <t>0,00</t>
        </is>
      </c>
      <c r="P243" s="63" t="inlineStr">
        <is>
          <t>125,86</t>
        </is>
      </c>
      <c r="Q243" s="63" t="inlineStr">
        <is>
          <t>146,00</t>
        </is>
      </c>
    </row>
    <row r="244">
      <c r="A244" s="65" t="n"/>
      <c r="B244" s="65" t="n"/>
      <c r="C244" s="65" t="n"/>
      <c r="D244" s="65" t="n"/>
      <c r="E244" s="65" t="n"/>
      <c r="F244" s="65" t="n"/>
      <c r="G244" s="65" t="n"/>
      <c r="H244" s="65" t="n"/>
      <c r="I244" s="65" t="n"/>
      <c r="J244" s="65" t="n"/>
      <c r="K244" s="65" t="n">
        <v>605</v>
      </c>
      <c r="L244" s="65" t="inlineStr">
        <is>
          <t>[0605] SINOCO SAE 20W-50 (PAILA)</t>
        </is>
      </c>
      <c r="M244" s="63" t="inlineStr">
        <is>
          <t>62,93</t>
        </is>
      </c>
      <c r="N244" s="63" t="inlineStr">
        <is>
          <t>4,00</t>
        </is>
      </c>
      <c r="O244" s="63" t="inlineStr">
        <is>
          <t>0,00</t>
        </is>
      </c>
      <c r="P244" s="63" t="inlineStr">
        <is>
          <t>251,72</t>
        </is>
      </c>
      <c r="Q244" s="63" t="inlineStr">
        <is>
          <t>292,00</t>
        </is>
      </c>
    </row>
    <row r="245">
      <c r="A245" s="65" t="n"/>
      <c r="B245" s="65" t="n"/>
      <c r="C245" s="65" t="n"/>
      <c r="D245" s="65" t="n"/>
      <c r="E245" s="65" t="n"/>
      <c r="F245" s="65" t="n"/>
      <c r="G245" s="65" t="n"/>
      <c r="H245" s="65" t="n"/>
      <c r="I245" s="65" t="n"/>
      <c r="J245" s="65" t="n"/>
      <c r="K245" s="65" t="n">
        <v>761</v>
      </c>
      <c r="L245" s="65" t="inlineStr">
        <is>
          <t>[0761] LIGA PARA FRENOS DOT-3 (1x12)</t>
        </is>
      </c>
      <c r="M245" s="63" t="inlineStr">
        <is>
          <t>23,28</t>
        </is>
      </c>
      <c r="N245" s="63" t="inlineStr">
        <is>
          <t>1,00</t>
        </is>
      </c>
      <c r="O245" s="63" t="inlineStr">
        <is>
          <t>0,00</t>
        </is>
      </c>
      <c r="P245" s="63" t="inlineStr">
        <is>
          <t>23,28</t>
        </is>
      </c>
      <c r="Q245" s="63" t="inlineStr">
        <is>
          <t>27,00</t>
        </is>
      </c>
    </row>
    <row r="246">
      <c r="A246" s="65" t="n"/>
      <c r="B246" s="65" t="n"/>
      <c r="C246" s="65" t="n"/>
      <c r="D246" s="65" t="n"/>
      <c r="E246" s="65" t="n"/>
      <c r="F246" s="65" t="n"/>
      <c r="G246" s="65" t="n"/>
      <c r="H246" s="65" t="n"/>
      <c r="I246" s="65" t="n"/>
      <c r="J246" s="65" t="n"/>
      <c r="K246" s="65" t="n">
        <v>775</v>
      </c>
      <c r="L246" s="65" t="inlineStr">
        <is>
          <t>[0775] LIGA PARA FRENOS DOT-4 (1X12)</t>
        </is>
      </c>
      <c r="M246" s="63" t="inlineStr">
        <is>
          <t>26,72</t>
        </is>
      </c>
      <c r="N246" s="63" t="inlineStr">
        <is>
          <t>1,00</t>
        </is>
      </c>
      <c r="O246" s="63" t="inlineStr">
        <is>
          <t>0,00</t>
        </is>
      </c>
      <c r="P246" s="63" t="inlineStr">
        <is>
          <t>26,72</t>
        </is>
      </c>
      <c r="Q246" s="63" t="inlineStr">
        <is>
          <t>31,00</t>
        </is>
      </c>
    </row>
    <row r="247">
      <c r="A247" s="66" t="n">
        <v>46216</v>
      </c>
      <c r="B247" s="65" t="n">
        <v>417</v>
      </c>
      <c r="C247" s="65" t="inlineStr">
        <is>
          <t>00-00000961</t>
        </is>
      </c>
      <c r="D247" s="65" t="inlineStr">
        <is>
          <t>S00536</t>
        </is>
      </c>
      <c r="E247" s="65" t="inlineStr">
        <is>
          <t>INVERSIONES R&amp;C 1817, c.a.</t>
        </is>
      </c>
      <c r="F247" s="63" t="inlineStr">
        <is>
          <t>84.571,55</t>
        </is>
      </c>
      <c r="G247" s="63" t="inlineStr">
        <is>
          <t>98.103,00</t>
        </is>
      </c>
      <c r="H247" s="63" t="inlineStr">
        <is>
          <t>135,99</t>
        </is>
      </c>
      <c r="I247" s="63" t="inlineStr">
        <is>
          <t>721,35</t>
        </is>
      </c>
      <c r="J247" s="65" t="n"/>
      <c r="K247" s="65" t="n">
        <v>887</v>
      </c>
      <c r="L247" s="65" t="inlineStr">
        <is>
          <t>[0887] MOTOCLASICO 4T SAE 20W-50 (1x12)</t>
        </is>
      </c>
      <c r="M247" s="63" t="inlineStr">
        <is>
          <t>58,62</t>
        </is>
      </c>
      <c r="N247" s="63" t="inlineStr">
        <is>
          <t>2,00</t>
        </is>
      </c>
      <c r="O247" s="63" t="inlineStr">
        <is>
          <t>0,00</t>
        </is>
      </c>
      <c r="P247" s="63" t="inlineStr">
        <is>
          <t>117,24</t>
        </is>
      </c>
      <c r="Q247" s="63" t="inlineStr">
        <is>
          <t>136,00</t>
        </is>
      </c>
    </row>
    <row r="248">
      <c r="A248" s="66" t="n">
        <v>46216</v>
      </c>
      <c r="B248" s="65" t="n">
        <v>416</v>
      </c>
      <c r="C248" s="65" t="inlineStr">
        <is>
          <t>00-00000960</t>
        </is>
      </c>
      <c r="D248" s="65" t="inlineStr">
        <is>
          <t>S00497</t>
        </is>
      </c>
      <c r="E248" s="65" t="inlineStr">
        <is>
          <t>ELECTROMECÁNICA DANPE C.A.</t>
        </is>
      </c>
      <c r="F248" s="63" t="inlineStr">
        <is>
          <t>229.611,52</t>
        </is>
      </c>
      <c r="G248" s="63" t="inlineStr">
        <is>
          <t>266.349,36</t>
        </is>
      </c>
      <c r="H248" s="63" t="inlineStr">
        <is>
          <t>369,21</t>
        </is>
      </c>
      <c r="I248" s="63" t="inlineStr">
        <is>
          <t>721,35</t>
        </is>
      </c>
      <c r="J248" s="65" t="n"/>
      <c r="K248" s="65" t="n">
        <v>881</v>
      </c>
      <c r="L248" s="65" t="inlineStr">
        <is>
          <t>[0881] CLASICO API SL SAE 20W-50 (1x12)</t>
        </is>
      </c>
      <c r="M248" s="63" t="inlineStr">
        <is>
          <t>86,21</t>
        </is>
      </c>
      <c r="N248" s="63" t="inlineStr">
        <is>
          <t>1,00</t>
        </is>
      </c>
      <c r="O248" s="63" t="inlineStr">
        <is>
          <t>0,00</t>
        </is>
      </c>
      <c r="P248" s="63" t="inlineStr">
        <is>
          <t>86,21</t>
        </is>
      </c>
      <c r="Q248" s="63" t="inlineStr">
        <is>
          <t>100,00</t>
        </is>
      </c>
    </row>
    <row r="249">
      <c r="A249" s="65" t="n"/>
      <c r="B249" s="65" t="n"/>
      <c r="C249" s="65" t="n"/>
      <c r="D249" s="65" t="n"/>
      <c r="E249" s="65" t="n"/>
      <c r="F249" s="65" t="n"/>
      <c r="G249" s="65" t="n"/>
      <c r="H249" s="65" t="n"/>
      <c r="I249" s="65" t="n"/>
      <c r="J249" s="65" t="n"/>
      <c r="K249" s="65" t="n">
        <v>877</v>
      </c>
      <c r="L249" s="65" t="inlineStr">
        <is>
          <t>[0877] SS EXTRA PROTECCION API SN SAE 15W-40 (1X12)</t>
        </is>
      </c>
      <c r="M249" s="63" t="inlineStr">
        <is>
          <t>100,80</t>
        </is>
      </c>
      <c r="N249" s="63" t="inlineStr">
        <is>
          <t>1,00</t>
        </is>
      </c>
      <c r="O249" s="63" t="inlineStr">
        <is>
          <t>0,00</t>
        </is>
      </c>
      <c r="P249" s="63" t="inlineStr">
        <is>
          <t>100,80</t>
        </is>
      </c>
      <c r="Q249" s="63" t="inlineStr">
        <is>
          <t>116,93</t>
        </is>
      </c>
    </row>
    <row r="250">
      <c r="A250" s="65" t="n"/>
      <c r="B250" s="65" t="n"/>
      <c r="C250" s="65" t="n"/>
      <c r="D250" s="65" t="n"/>
      <c r="E250" s="65" t="n"/>
      <c r="F250" s="65" t="n"/>
      <c r="G250" s="65" t="n"/>
      <c r="H250" s="65" t="n"/>
      <c r="I250" s="65" t="n"/>
      <c r="J250" s="65" t="n"/>
      <c r="K250" s="65" t="n">
        <v>884</v>
      </c>
      <c r="L250" s="65" t="inlineStr">
        <is>
          <t>[0884] TRANSMATIC ATF DEXRON III (1x12)</t>
        </is>
      </c>
      <c r="M250" s="63" t="inlineStr">
        <is>
          <t>95,49</t>
        </is>
      </c>
      <c r="N250" s="63" t="inlineStr">
        <is>
          <t>1,00</t>
        </is>
      </c>
      <c r="O250" s="63" t="inlineStr">
        <is>
          <t>0,00</t>
        </is>
      </c>
      <c r="P250" s="63" t="inlineStr">
        <is>
          <t>95,49</t>
        </is>
      </c>
      <c r="Q250" s="63" t="inlineStr">
        <is>
          <t>110,77</t>
        </is>
      </c>
    </row>
    <row r="251">
      <c r="A251" s="65" t="n"/>
      <c r="B251" s="65" t="n"/>
      <c r="C251" s="65" t="n"/>
      <c r="D251" s="65" t="n"/>
      <c r="E251" s="65" t="n"/>
      <c r="F251" s="65" t="n"/>
      <c r="G251" s="65" t="n"/>
      <c r="H251" s="65" t="n"/>
      <c r="I251" s="65" t="n"/>
      <c r="J251" s="65" t="n"/>
      <c r="K251" s="65" t="n">
        <v>761</v>
      </c>
      <c r="L251" s="65" t="inlineStr">
        <is>
          <t>[0761] LIGA PARA FRENOS DOT-3 (1x12)</t>
        </is>
      </c>
      <c r="M251" s="63" t="inlineStr">
        <is>
          <t>35,81</t>
        </is>
      </c>
      <c r="N251" s="63" t="inlineStr">
        <is>
          <t>1,00</t>
        </is>
      </c>
      <c r="O251" s="63" t="inlineStr">
        <is>
          <t>0,00</t>
        </is>
      </c>
      <c r="P251" s="63" t="inlineStr">
        <is>
          <t>35,81</t>
        </is>
      </c>
      <c r="Q251" s="63" t="inlineStr">
        <is>
          <t>41,54</t>
        </is>
      </c>
    </row>
    <row r="252">
      <c r="A252" s="66" t="n">
        <v>46216</v>
      </c>
      <c r="B252" s="65" t="n">
        <v>415</v>
      </c>
      <c r="C252" s="65" t="inlineStr">
        <is>
          <t>00-00000959</t>
        </is>
      </c>
      <c r="D252" s="65" t="inlineStr">
        <is>
          <t>S00501</t>
        </is>
      </c>
      <c r="E252" s="65" t="inlineStr">
        <is>
          <t>Jefferson rosales</t>
        </is>
      </c>
      <c r="F252" s="63" t="inlineStr">
        <is>
          <t>75.575,38</t>
        </is>
      </c>
      <c r="G252" s="63" t="inlineStr">
        <is>
          <t>87.667,44</t>
        </is>
      </c>
      <c r="H252" s="63" t="inlineStr">
        <is>
          <t>121,53</t>
        </is>
      </c>
      <c r="I252" s="63" t="inlineStr">
        <is>
          <t>721,35</t>
        </is>
      </c>
      <c r="J252" s="65" t="n"/>
      <c r="K252" s="65" t="n">
        <v>1041</v>
      </c>
      <c r="L252" s="65" t="inlineStr">
        <is>
          <t>[1041] SINOCO API CF/SF SAE 15W-40 DIESEL (PAILA)</t>
        </is>
      </c>
      <c r="M252" s="63" t="inlineStr">
        <is>
          <t>104,77</t>
        </is>
      </c>
      <c r="N252" s="63" t="inlineStr">
        <is>
          <t>1,00</t>
        </is>
      </c>
      <c r="O252" s="63" t="inlineStr">
        <is>
          <t>0,00</t>
        </is>
      </c>
      <c r="P252" s="63" t="inlineStr">
        <is>
          <t>104,77</t>
        </is>
      </c>
      <c r="Q252" s="63" t="inlineStr">
        <is>
          <t>121,53</t>
        </is>
      </c>
    </row>
    <row r="253">
      <c r="A253" s="66" t="n">
        <v>46216</v>
      </c>
      <c r="B253" s="65" t="n">
        <v>414</v>
      </c>
      <c r="C253" s="65" t="inlineStr">
        <is>
          <t>00-00000958</t>
        </is>
      </c>
      <c r="D253" s="65" t="inlineStr">
        <is>
          <t>S00507</t>
        </is>
      </c>
      <c r="E253" s="65" t="inlineStr">
        <is>
          <t>Sandra Katherine Quintero Crespo</t>
        </is>
      </c>
      <c r="F253" s="63" t="inlineStr">
        <is>
          <t>87.703,29</t>
        </is>
      </c>
      <c r="G253" s="63" t="inlineStr">
        <is>
          <t>101.735,81</t>
        </is>
      </c>
      <c r="H253" s="63" t="inlineStr">
        <is>
          <t>141,02</t>
        </is>
      </c>
      <c r="I253" s="63" t="inlineStr">
        <is>
          <t>721,35</t>
        </is>
      </c>
      <c r="J253" s="65" t="n"/>
      <c r="K253" s="65" t="n">
        <v>887</v>
      </c>
      <c r="L253" s="65" t="inlineStr">
        <is>
          <t>[0887] MOTOCLASICO 4T SAE 20W-50 (1x12)</t>
        </is>
      </c>
      <c r="M253" s="63" t="inlineStr">
        <is>
          <t>90,19</t>
        </is>
      </c>
      <c r="N253" s="63" t="inlineStr">
        <is>
          <t>1,00</t>
        </is>
      </c>
      <c r="O253" s="63" t="inlineStr">
        <is>
          <t>11,00</t>
        </is>
      </c>
      <c r="P253" s="63" t="inlineStr">
        <is>
          <t>80,27</t>
        </is>
      </c>
      <c r="Q253" s="63" t="inlineStr">
        <is>
          <t>93,11</t>
        </is>
      </c>
    </row>
    <row r="254">
      <c r="A254" s="65" t="n"/>
      <c r="B254" s="65" t="n"/>
      <c r="C254" s="65" t="n"/>
      <c r="D254" s="65" t="n"/>
      <c r="E254" s="65" t="n"/>
      <c r="F254" s="65" t="n"/>
      <c r="G254" s="65" t="n"/>
      <c r="H254" s="65" t="n"/>
      <c r="I254" s="65" t="n"/>
      <c r="J254" s="65" t="n"/>
      <c r="K254" s="65" t="n">
        <v>93</v>
      </c>
      <c r="L254" s="65" t="inlineStr">
        <is>
          <t>[0093] ALTA CILINDRADA SS API SN SAE 15W-40 (1x6)</t>
        </is>
      </c>
      <c r="M254" s="63" t="inlineStr">
        <is>
          <t>46,42</t>
        </is>
      </c>
      <c r="N254" s="63" t="inlineStr">
        <is>
          <t>1,00</t>
        </is>
      </c>
      <c r="O254" s="63" t="inlineStr">
        <is>
          <t>11,00</t>
        </is>
      </c>
      <c r="P254" s="63" t="inlineStr">
        <is>
          <t>41,31</t>
        </is>
      </c>
      <c r="Q254" s="63" t="inlineStr">
        <is>
          <t>47,92</t>
        </is>
      </c>
    </row>
    <row r="255">
      <c r="A255" s="66" t="n">
        <v>46216</v>
      </c>
      <c r="B255" s="65" t="n">
        <v>413</v>
      </c>
      <c r="C255" s="65" t="inlineStr">
        <is>
          <t>00-00000957</t>
        </is>
      </c>
      <c r="D255" s="65" t="inlineStr">
        <is>
          <t>S00505</t>
        </is>
      </c>
      <c r="E255" s="65" t="inlineStr">
        <is>
          <t>Servimecanica Brandao</t>
        </is>
      </c>
      <c r="F255" s="63" t="inlineStr">
        <is>
          <t>46.880,25</t>
        </is>
      </c>
      <c r="G255" s="63" t="inlineStr">
        <is>
          <t>54.381,09</t>
        </is>
      </c>
      <c r="H255" s="63" t="inlineStr">
        <is>
          <t>75,37</t>
        </is>
      </c>
      <c r="I255" s="63" t="inlineStr">
        <is>
          <t>721,35</t>
        </is>
      </c>
      <c r="J255" s="65" t="n"/>
      <c r="K255" s="65" t="n">
        <v>774</v>
      </c>
      <c r="L255" s="65" t="inlineStr">
        <is>
          <t>[0774] LIGA PARA FRENOS DOT-4 (1X6)</t>
        </is>
      </c>
      <c r="M255" s="63" t="inlineStr">
        <is>
          <t>64,99</t>
        </is>
      </c>
      <c r="N255" s="63" t="inlineStr">
        <is>
          <t>1,00</t>
        </is>
      </c>
      <c r="O255" s="63" t="inlineStr">
        <is>
          <t>0,00</t>
        </is>
      </c>
      <c r="P255" s="63" t="inlineStr">
        <is>
          <t>64,99</t>
        </is>
      </c>
      <c r="Q255" s="63" t="inlineStr">
        <is>
          <t>75,39</t>
        </is>
      </c>
    </row>
    <row r="256">
      <c r="A256" s="66" t="n">
        <v>46216</v>
      </c>
      <c r="B256" s="65" t="n">
        <v>412</v>
      </c>
      <c r="C256" s="65" t="inlineStr">
        <is>
          <t>00-00000956</t>
        </is>
      </c>
      <c r="D256" s="65" t="inlineStr">
        <is>
          <t>S00508</t>
        </is>
      </c>
      <c r="E256" s="65" t="inlineStr">
        <is>
          <t>Jose Becerra</t>
        </is>
      </c>
      <c r="F256" s="63" t="inlineStr">
        <is>
          <t>190.384,74</t>
        </is>
      </c>
      <c r="G256" s="63" t="inlineStr">
        <is>
          <t>220.846,30</t>
        </is>
      </c>
      <c r="H256" s="63" t="inlineStr">
        <is>
          <t>306,13</t>
        </is>
      </c>
      <c r="I256" s="63" t="inlineStr">
        <is>
          <t>721,35</t>
        </is>
      </c>
      <c r="J256" s="65" t="n"/>
      <c r="K256" s="65" t="n">
        <v>605</v>
      </c>
      <c r="L256" s="65" t="inlineStr">
        <is>
          <t>[0605] SINOCO SAE 20W-50 (PAILA)</t>
        </is>
      </c>
      <c r="M256" s="63" t="inlineStr">
        <is>
          <t>96,82</t>
        </is>
      </c>
      <c r="N256" s="63" t="inlineStr">
        <is>
          <t>2,00</t>
        </is>
      </c>
      <c r="O256" s="63" t="inlineStr">
        <is>
          <t>0,00</t>
        </is>
      </c>
      <c r="P256" s="63" t="inlineStr">
        <is>
          <t>193,64</t>
        </is>
      </c>
      <c r="Q256" s="63" t="inlineStr">
        <is>
          <t>224,62</t>
        </is>
      </c>
    </row>
    <row r="257">
      <c r="A257" s="65" t="n"/>
      <c r="B257" s="65" t="n"/>
      <c r="C257" s="65" t="n"/>
      <c r="D257" s="65" t="n"/>
      <c r="E257" s="65" t="n"/>
      <c r="F257" s="65" t="n"/>
      <c r="G257" s="65" t="n"/>
      <c r="H257" s="65" t="n"/>
      <c r="I257" s="65" t="n"/>
      <c r="J257" s="65" t="n"/>
      <c r="K257" s="65" t="n">
        <v>779</v>
      </c>
      <c r="L257" s="65" t="inlineStr">
        <is>
          <t>[0779] SINOCO SAE 20W-50 (1x12)</t>
        </is>
      </c>
      <c r="M257" s="63" t="inlineStr">
        <is>
          <t>70,29</t>
        </is>
      </c>
      <c r="N257" s="63" t="inlineStr">
        <is>
          <t>1,00</t>
        </is>
      </c>
      <c r="O257" s="63" t="inlineStr">
        <is>
          <t>0,00</t>
        </is>
      </c>
      <c r="P257" s="63" t="inlineStr">
        <is>
          <t>70,29</t>
        </is>
      </c>
      <c r="Q257" s="63" t="inlineStr">
        <is>
          <t>81,54</t>
        </is>
      </c>
    </row>
    <row r="258">
      <c r="A258" s="66" t="n">
        <v>46216</v>
      </c>
      <c r="B258" s="65" t="n">
        <v>411</v>
      </c>
      <c r="C258" s="65" t="inlineStr">
        <is>
          <t>00-00000955</t>
        </is>
      </c>
      <c r="D258" s="65" t="inlineStr">
        <is>
          <t>S00514</t>
        </is>
      </c>
      <c r="E258" s="65" t="inlineStr">
        <is>
          <t>Ruta 8 Autopartes,c.a.</t>
        </is>
      </c>
      <c r="F258" s="63" t="inlineStr">
        <is>
          <t>74.615,99</t>
        </is>
      </c>
      <c r="G258" s="63" t="inlineStr">
        <is>
          <t>86.554,55</t>
        </is>
      </c>
      <c r="H258" s="63" t="inlineStr">
        <is>
          <t>119,99</t>
        </is>
      </c>
      <c r="I258" s="63" t="inlineStr">
        <is>
          <t>721,35</t>
        </is>
      </c>
      <c r="J258" s="65" t="n"/>
      <c r="K258" s="65" t="n">
        <v>121</v>
      </c>
      <c r="L258" s="65" t="inlineStr">
        <is>
          <t>[0121] TRANSGLOB API GL-5 SAE 80W-90 (1x6)</t>
        </is>
      </c>
      <c r="M258" s="63" t="inlineStr">
        <is>
          <t>51,72</t>
        </is>
      </c>
      <c r="N258" s="63" t="inlineStr">
        <is>
          <t>2,00</t>
        </is>
      </c>
      <c r="O258" s="63" t="inlineStr">
        <is>
          <t>0,00</t>
        </is>
      </c>
      <c r="P258" s="63" t="inlineStr">
        <is>
          <t>103,44</t>
        </is>
      </c>
      <c r="Q258" s="63" t="inlineStr">
        <is>
          <t>119,99</t>
        </is>
      </c>
    </row>
    <row r="259">
      <c r="A259" s="66" t="n">
        <v>46216</v>
      </c>
      <c r="B259" s="65" t="n">
        <v>410</v>
      </c>
      <c r="C259" s="65" t="inlineStr">
        <is>
          <t>00-00000954</t>
        </is>
      </c>
      <c r="D259" s="65" t="inlineStr">
        <is>
          <t>S00515</t>
        </is>
      </c>
      <c r="E259" s="65" t="inlineStr">
        <is>
          <t>Emprendimiento Emily Blanco 10</t>
        </is>
      </c>
      <c r="F259" s="63" t="inlineStr">
        <is>
          <t>276.477,34</t>
        </is>
      </c>
      <c r="G259" s="63" t="inlineStr">
        <is>
          <t>320.713,72</t>
        </is>
      </c>
      <c r="H259" s="63" t="inlineStr">
        <is>
          <t>444,58</t>
        </is>
      </c>
      <c r="I259" s="63" t="inlineStr">
        <is>
          <t>721,35</t>
        </is>
      </c>
      <c r="J259" s="65" t="n"/>
      <c r="K259" s="65" t="n">
        <v>13</v>
      </c>
      <c r="L259" s="65" t="inlineStr">
        <is>
          <t>[0013] ELITE API SN SAE 5W-30 (1x6)</t>
        </is>
      </c>
      <c r="M259" s="63" t="inlineStr">
        <is>
          <t>72,94</t>
        </is>
      </c>
      <c r="N259" s="63" t="inlineStr">
        <is>
          <t>2,00</t>
        </is>
      </c>
      <c r="O259" s="63" t="inlineStr">
        <is>
          <t>0,00</t>
        </is>
      </c>
      <c r="P259" s="63" t="inlineStr">
        <is>
          <t>145,88</t>
        </is>
      </c>
      <c r="Q259" s="63" t="inlineStr">
        <is>
          <t>169,22</t>
        </is>
      </c>
    </row>
    <row r="260">
      <c r="A260" s="65" t="n"/>
      <c r="B260" s="65" t="n"/>
      <c r="C260" s="65" t="n"/>
      <c r="D260" s="65" t="n"/>
      <c r="E260" s="65" t="n"/>
      <c r="F260" s="65" t="n"/>
      <c r="G260" s="65" t="n"/>
      <c r="H260" s="65" t="n"/>
      <c r="I260" s="65" t="n"/>
      <c r="J260" s="65" t="n"/>
      <c r="K260" s="65" t="n">
        <v>887</v>
      </c>
      <c r="L260" s="65" t="inlineStr">
        <is>
          <t>[0887] MOTOCLASICO 4T SAE 20W-50 (1x12)</t>
        </is>
      </c>
      <c r="M260" s="63" t="inlineStr">
        <is>
          <t>90,19</t>
        </is>
      </c>
      <c r="N260" s="63" t="inlineStr">
        <is>
          <t>1,00</t>
        </is>
      </c>
      <c r="O260" s="63" t="inlineStr">
        <is>
          <t>0,00</t>
        </is>
      </c>
      <c r="P260" s="63" t="inlineStr">
        <is>
          <t>90,19</t>
        </is>
      </c>
      <c r="Q260" s="63" t="inlineStr">
        <is>
          <t>104,62</t>
        </is>
      </c>
    </row>
    <row r="261">
      <c r="A261" s="65" t="n"/>
      <c r="B261" s="65" t="n"/>
      <c r="C261" s="65" t="n"/>
      <c r="D261" s="65" t="n"/>
      <c r="E261" s="65" t="n"/>
      <c r="F261" s="65" t="n"/>
      <c r="G261" s="65" t="n"/>
      <c r="H261" s="65" t="n"/>
      <c r="I261" s="65" t="n"/>
      <c r="J261" s="65" t="n"/>
      <c r="K261" s="65" t="n">
        <v>884</v>
      </c>
      <c r="L261" s="65" t="inlineStr">
        <is>
          <t>[0884] TRANSMATIC ATF DEXRON III (1x12)</t>
        </is>
      </c>
      <c r="M261" s="63" t="inlineStr">
        <is>
          <t>95,49</t>
        </is>
      </c>
      <c r="N261" s="63" t="inlineStr">
        <is>
          <t>1,00</t>
        </is>
      </c>
      <c r="O261" s="63" t="inlineStr">
        <is>
          <t>0,00</t>
        </is>
      </c>
      <c r="P261" s="63" t="inlineStr">
        <is>
          <t>95,49</t>
        </is>
      </c>
      <c r="Q261" s="63" t="inlineStr">
        <is>
          <t>110,77</t>
        </is>
      </c>
    </row>
    <row r="262">
      <c r="A262" s="65" t="n"/>
      <c r="B262" s="65" t="n"/>
      <c r="C262" s="65" t="n"/>
      <c r="D262" s="65" t="n"/>
      <c r="E262" s="65" t="n"/>
      <c r="F262" s="65" t="n"/>
      <c r="G262" s="65" t="n"/>
      <c r="H262" s="65" t="n"/>
      <c r="I262" s="65" t="n"/>
      <c r="J262" s="65" t="n"/>
      <c r="K262" s="65" t="n">
        <v>561</v>
      </c>
      <c r="L262" s="65" t="inlineStr">
        <is>
          <t>[0561] MEJORADOR DE OCTANAJE GLOBAL OIL PACK (1X12)</t>
        </is>
      </c>
      <c r="M262" s="63" t="inlineStr">
        <is>
          <t>51,72</t>
        </is>
      </c>
      <c r="N262" s="63" t="inlineStr">
        <is>
          <t>1,00</t>
        </is>
      </c>
      <c r="O262" s="63" t="inlineStr">
        <is>
          <t>0,00</t>
        </is>
      </c>
      <c r="P262" s="63" t="inlineStr">
        <is>
          <t>51,72</t>
        </is>
      </c>
      <c r="Q262" s="63" t="inlineStr">
        <is>
          <t>60,00</t>
        </is>
      </c>
    </row>
    <row r="263">
      <c r="A263" s="66" t="n">
        <v>46216</v>
      </c>
      <c r="B263" s="65" t="n">
        <v>409</v>
      </c>
      <c r="C263" s="65" t="inlineStr">
        <is>
          <t>00-00000953</t>
        </is>
      </c>
      <c r="D263" s="65" t="inlineStr">
        <is>
          <t>S00516</t>
        </is>
      </c>
      <c r="E263" s="65" t="inlineStr">
        <is>
          <t>MOTO REPUESTOS LA FLECHA, C.A.</t>
        </is>
      </c>
      <c r="F263" s="63" t="inlineStr">
        <is>
          <t>137.769,80</t>
        </is>
      </c>
      <c r="G263" s="63" t="inlineStr">
        <is>
          <t>159.812,97</t>
        </is>
      </c>
      <c r="H263" s="63" t="inlineStr">
        <is>
          <t>221,54</t>
        </is>
      </c>
      <c r="I263" s="63" t="inlineStr">
        <is>
          <t>721,35</t>
        </is>
      </c>
      <c r="J263" s="65" t="n"/>
      <c r="K263" s="65" t="n">
        <v>877</v>
      </c>
      <c r="L263" s="65" t="inlineStr">
        <is>
          <t>[0877] SS EXTRA PROTECCION API SN SAE 15W-40 (1X12)</t>
        </is>
      </c>
      <c r="M263" s="63" t="inlineStr">
        <is>
          <t>100,80</t>
        </is>
      </c>
      <c r="N263" s="63" t="inlineStr">
        <is>
          <t>1,00</t>
        </is>
      </c>
      <c r="O263" s="63" t="inlineStr">
        <is>
          <t>0,00</t>
        </is>
      </c>
      <c r="P263" s="63" t="inlineStr">
        <is>
          <t>100,80</t>
        </is>
      </c>
      <c r="Q263" s="63" t="inlineStr">
        <is>
          <t>116,93</t>
        </is>
      </c>
    </row>
    <row r="264">
      <c r="A264" s="65" t="n"/>
      <c r="B264" s="65" t="n"/>
      <c r="C264" s="65" t="n"/>
      <c r="D264" s="65" t="n"/>
      <c r="E264" s="65" t="n"/>
      <c r="F264" s="65" t="n"/>
      <c r="G264" s="65" t="n"/>
      <c r="H264" s="65" t="n"/>
      <c r="I264" s="65" t="n"/>
      <c r="J264" s="65" t="n"/>
      <c r="K264" s="65" t="n">
        <v>887</v>
      </c>
      <c r="L264" s="65" t="inlineStr">
        <is>
          <t>[0887] MOTOCLASICO 4T SAE 20W-50 (1x12)</t>
        </is>
      </c>
      <c r="M264" s="63" t="inlineStr">
        <is>
          <t>90,19</t>
        </is>
      </c>
      <c r="N264" s="63" t="inlineStr">
        <is>
          <t>1,00</t>
        </is>
      </c>
      <c r="O264" s="63" t="inlineStr">
        <is>
          <t>0,00</t>
        </is>
      </c>
      <c r="P264" s="63" t="inlineStr">
        <is>
          <t>90,19</t>
        </is>
      </c>
      <c r="Q264" s="63" t="inlineStr">
        <is>
          <t>104,62</t>
        </is>
      </c>
    </row>
    <row r="265">
      <c r="A265" s="66" t="n">
        <v>46216</v>
      </c>
      <c r="B265" s="65" t="n">
        <v>408</v>
      </c>
      <c r="C265" s="65" t="inlineStr">
        <is>
          <t>00-00000952</t>
        </is>
      </c>
      <c r="D265" s="65" t="inlineStr">
        <is>
          <t>S00523</t>
        </is>
      </c>
      <c r="E265" s="65" t="inlineStr">
        <is>
          <t>Miguel Antonio Chacon</t>
        </is>
      </c>
      <c r="F265" s="63" t="inlineStr">
        <is>
          <t>262.022,54</t>
        </is>
      </c>
      <c r="G265" s="63" t="inlineStr">
        <is>
          <t>303.946,16</t>
        </is>
      </c>
      <c r="H265" s="63" t="inlineStr">
        <is>
          <t>421,33</t>
        </is>
      </c>
      <c r="I265" s="63" t="inlineStr">
        <is>
          <t>721,35</t>
        </is>
      </c>
      <c r="J265" s="65" t="n"/>
      <c r="K265" s="65" t="n">
        <v>602</v>
      </c>
      <c r="L265" s="65" t="inlineStr">
        <is>
          <t>[0602] SINOCO SAE 50 (PAILA)</t>
        </is>
      </c>
      <c r="M265" s="63" t="inlineStr">
        <is>
          <t>96,82</t>
        </is>
      </c>
      <c r="N265" s="63" t="inlineStr">
        <is>
          <t>1,00</t>
        </is>
      </c>
      <c r="O265" s="63" t="inlineStr">
        <is>
          <t>0,77</t>
        </is>
      </c>
      <c r="P265" s="63" t="inlineStr">
        <is>
          <t>96,07</t>
        </is>
      </c>
      <c r="Q265" s="63" t="inlineStr">
        <is>
          <t>111,45</t>
        </is>
      </c>
    </row>
    <row r="266">
      <c r="A266" s="65" t="n"/>
      <c r="B266" s="65" t="n"/>
      <c r="C266" s="65" t="n"/>
      <c r="D266" s="65" t="n"/>
      <c r="E266" s="65" t="n"/>
      <c r="F266" s="65" t="n"/>
      <c r="G266" s="65" t="n"/>
      <c r="H266" s="65" t="n"/>
      <c r="I266" s="65" t="n"/>
      <c r="J266" s="65" t="n"/>
      <c r="K266" s="65" t="n">
        <v>605</v>
      </c>
      <c r="L266" s="65" t="inlineStr">
        <is>
          <t>[0605] SINOCO SAE 20W-50 (PAILA)</t>
        </is>
      </c>
      <c r="M266" s="63" t="inlineStr">
        <is>
          <t>96,82</t>
        </is>
      </c>
      <c r="N266" s="63" t="inlineStr">
        <is>
          <t>1,00</t>
        </is>
      </c>
      <c r="O266" s="63" t="inlineStr">
        <is>
          <t>0,77</t>
        </is>
      </c>
      <c r="P266" s="63" t="inlineStr">
        <is>
          <t>96,07</t>
        </is>
      </c>
      <c r="Q266" s="63" t="inlineStr">
        <is>
          <t>111,45</t>
        </is>
      </c>
    </row>
    <row r="267">
      <c r="A267" s="65" t="n"/>
      <c r="B267" s="65" t="n"/>
      <c r="C267" s="65" t="n"/>
      <c r="D267" s="65" t="n"/>
      <c r="E267" s="65" t="n"/>
      <c r="F267" s="65" t="n"/>
      <c r="G267" s="65" t="n"/>
      <c r="H267" s="65" t="n"/>
      <c r="I267" s="65" t="n"/>
      <c r="J267" s="65" t="n"/>
      <c r="K267" s="65" t="n">
        <v>881</v>
      </c>
      <c r="L267" s="65" t="inlineStr">
        <is>
          <t>[0881] CLASICO API SL SAE 20W-50 (1x12)</t>
        </is>
      </c>
      <c r="M267" s="63" t="inlineStr">
        <is>
          <t>86,21</t>
        </is>
      </c>
      <c r="N267" s="63" t="inlineStr">
        <is>
          <t>1,00</t>
        </is>
      </c>
      <c r="O267" s="63" t="inlineStr">
        <is>
          <t>0,77</t>
        </is>
      </c>
      <c r="P267" s="63" t="inlineStr">
        <is>
          <t>85,55</t>
        </is>
      </c>
      <c r="Q267" s="63" t="inlineStr">
        <is>
          <t>99,23</t>
        </is>
      </c>
    </row>
    <row r="268">
      <c r="A268" s="65" t="n"/>
      <c r="B268" s="65" t="n"/>
      <c r="C268" s="65" t="n"/>
      <c r="D268" s="65" t="n"/>
      <c r="E268" s="65" t="n"/>
      <c r="F268" s="65" t="n"/>
      <c r="G268" s="65" t="n"/>
      <c r="H268" s="65" t="n"/>
      <c r="I268" s="65" t="n"/>
      <c r="J268" s="65" t="n"/>
      <c r="K268" s="65" t="n">
        <v>880</v>
      </c>
      <c r="L268" s="65" t="inlineStr">
        <is>
          <t>[0880] CLASICO API SL SAE 15W-40 (1x12)</t>
        </is>
      </c>
      <c r="M268" s="63" t="inlineStr">
        <is>
          <t>86,21</t>
        </is>
      </c>
      <c r="N268" s="63" t="inlineStr">
        <is>
          <t>1,00</t>
        </is>
      </c>
      <c r="O268" s="63" t="inlineStr">
        <is>
          <t>0,77</t>
        </is>
      </c>
      <c r="P268" s="63" t="inlineStr">
        <is>
          <t>85,55</t>
        </is>
      </c>
      <c r="Q268" s="63" t="inlineStr">
        <is>
          <t>99,23</t>
        </is>
      </c>
    </row>
    <row r="269">
      <c r="A269" s="66" t="n">
        <v>46216</v>
      </c>
      <c r="B269" s="65" t="n">
        <v>407</v>
      </c>
      <c r="C269" s="65" t="inlineStr">
        <is>
          <t>00-00000951</t>
        </is>
      </c>
      <c r="D269" s="65" t="inlineStr">
        <is>
          <t>S00529</t>
        </is>
      </c>
      <c r="E269" s="65" t="inlineStr">
        <is>
          <t>Megacar2020.c.a</t>
        </is>
      </c>
      <c r="F269" s="63" t="inlineStr">
        <is>
          <t>64.557,21</t>
        </is>
      </c>
      <c r="G269" s="63" t="inlineStr">
        <is>
          <t>74.886,36</t>
        </is>
      </c>
      <c r="H269" s="63" t="inlineStr">
        <is>
          <t>103,80</t>
        </is>
      </c>
      <c r="I269" s="63" t="inlineStr">
        <is>
          <t>721,35</t>
        </is>
      </c>
      <c r="J269" s="65" t="n"/>
      <c r="K269" s="65" t="n">
        <v>887</v>
      </c>
      <c r="L269" s="65" t="inlineStr">
        <is>
          <t>[0887] MOTOCLASICO 4T SAE 20W-50 (1x12)</t>
        </is>
      </c>
      <c r="M269" s="63" t="inlineStr">
        <is>
          <t>90,19</t>
        </is>
      </c>
      <c r="N269" s="63" t="inlineStr">
        <is>
          <t>1,00</t>
        </is>
      </c>
      <c r="O269" s="63" t="inlineStr">
        <is>
          <t>0,77</t>
        </is>
      </c>
      <c r="P269" s="63" t="inlineStr">
        <is>
          <t>89,50</t>
        </is>
      </c>
      <c r="Q269" s="63" t="inlineStr">
        <is>
          <t>103,81</t>
        </is>
      </c>
    </row>
    <row r="270">
      <c r="A270" s="66" t="n">
        <v>46216</v>
      </c>
      <c r="B270" s="65" t="n">
        <v>406</v>
      </c>
      <c r="C270" s="65" t="inlineStr">
        <is>
          <t>00-00000950</t>
        </is>
      </c>
      <c r="D270" s="65" t="inlineStr">
        <is>
          <t>S00531</t>
        </is>
      </c>
      <c r="E270" s="65" t="inlineStr">
        <is>
          <t>Mazare Motors, C.A</t>
        </is>
      </c>
      <c r="F270" s="63" t="inlineStr">
        <is>
          <t>64.557,21</t>
        </is>
      </c>
      <c r="G270" s="63" t="inlineStr">
        <is>
          <t>74.886,36</t>
        </is>
      </c>
      <c r="H270" s="63" t="inlineStr">
        <is>
          <t>103,80</t>
        </is>
      </c>
      <c r="I270" s="63" t="inlineStr">
        <is>
          <t>721,35</t>
        </is>
      </c>
      <c r="J270" s="65" t="n"/>
      <c r="K270" s="65" t="n">
        <v>887</v>
      </c>
      <c r="L270" s="65" t="inlineStr">
        <is>
          <t>[0887] MOTOCLASICO 4T SAE 20W-50 (1x12)</t>
        </is>
      </c>
      <c r="M270" s="63" t="inlineStr">
        <is>
          <t>90,19</t>
        </is>
      </c>
      <c r="N270" s="63" t="inlineStr">
        <is>
          <t>1,00</t>
        </is>
      </c>
      <c r="O270" s="63" t="inlineStr">
        <is>
          <t>0,77</t>
        </is>
      </c>
      <c r="P270" s="63" t="inlineStr">
        <is>
          <t>89,50</t>
        </is>
      </c>
      <c r="Q270" s="63" t="inlineStr">
        <is>
          <t>103,81</t>
        </is>
      </c>
    </row>
    <row r="271">
      <c r="A271" s="66" t="n">
        <v>46216</v>
      </c>
      <c r="B271" s="65" t="n">
        <v>405</v>
      </c>
      <c r="C271" s="65" t="inlineStr">
        <is>
          <t>00-00000949</t>
        </is>
      </c>
      <c r="D271" s="65" t="inlineStr">
        <is>
          <t>S00533</t>
        </is>
      </c>
      <c r="E271" s="65" t="inlineStr">
        <is>
          <t>Jose Lopez Espinoza</t>
        </is>
      </c>
      <c r="F271" s="63" t="inlineStr">
        <is>
          <t>99.743,70</t>
        </is>
      </c>
      <c r="G271" s="63" t="inlineStr">
        <is>
          <t>115.702,70</t>
        </is>
      </c>
      <c r="H271" s="63" t="inlineStr">
        <is>
          <t>160,38</t>
        </is>
      </c>
      <c r="I271" s="63" t="inlineStr">
        <is>
          <t>721,35</t>
        </is>
      </c>
      <c r="J271" s="65" t="n"/>
      <c r="K271" s="65" t="n">
        <v>779</v>
      </c>
      <c r="L271" s="65" t="inlineStr">
        <is>
          <t>[0779] SINOCO SAE 20W-50 (1x12)</t>
        </is>
      </c>
      <c r="M271" s="63" t="inlineStr">
        <is>
          <t>70,29</t>
        </is>
      </c>
      <c r="N271" s="63" t="inlineStr">
        <is>
          <t>1,00</t>
        </is>
      </c>
      <c r="O271" s="63" t="inlineStr">
        <is>
          <t>1,64</t>
        </is>
      </c>
      <c r="P271" s="63" t="inlineStr">
        <is>
          <t>69,14</t>
        </is>
      </c>
      <c r="Q271" s="63" t="inlineStr">
        <is>
          <t>80,20</t>
        </is>
      </c>
    </row>
    <row r="272">
      <c r="A272" s="65" t="n"/>
      <c r="B272" s="65" t="n"/>
      <c r="C272" s="65" t="n"/>
      <c r="D272" s="65" t="n"/>
      <c r="E272" s="65" t="n"/>
      <c r="F272" s="65" t="n"/>
      <c r="G272" s="65" t="n"/>
      <c r="H272" s="65" t="n"/>
      <c r="I272" s="65" t="n"/>
      <c r="J272" s="65" t="n"/>
      <c r="K272" s="65" t="n">
        <v>915</v>
      </c>
      <c r="L272" s="65" t="inlineStr">
        <is>
          <t>[0915] SINOCO SAE 50 (1x12)</t>
        </is>
      </c>
      <c r="M272" s="63" t="inlineStr">
        <is>
          <t>70,29</t>
        </is>
      </c>
      <c r="N272" s="63" t="inlineStr">
        <is>
          <t>1,00</t>
        </is>
      </c>
      <c r="O272" s="63" t="inlineStr">
        <is>
          <t>1,64</t>
        </is>
      </c>
      <c r="P272" s="63" t="inlineStr">
        <is>
          <t>69,14</t>
        </is>
      </c>
      <c r="Q272" s="63" t="inlineStr">
        <is>
          <t>80,20</t>
        </is>
      </c>
    </row>
    <row r="273">
      <c r="A273" s="66" t="n">
        <v>46216</v>
      </c>
      <c r="B273" s="65" t="n">
        <v>404</v>
      </c>
      <c r="C273" s="65" t="inlineStr">
        <is>
          <t>00-00000948</t>
        </is>
      </c>
      <c r="D273" s="65" t="inlineStr">
        <is>
          <t>S00534</t>
        </is>
      </c>
      <c r="E273" s="65" t="inlineStr">
        <is>
          <t>Autopartes Munich PH 168 C.A.</t>
        </is>
      </c>
      <c r="F273" s="63" t="inlineStr">
        <is>
          <t>143.038,33</t>
        </is>
      </c>
      <c r="G273" s="63" t="inlineStr">
        <is>
          <t>165.924,46</t>
        </is>
      </c>
      <c r="H273" s="63" t="inlineStr">
        <is>
          <t>230,01</t>
        </is>
      </c>
      <c r="I273" s="63" t="inlineStr">
        <is>
          <t>721,35</t>
        </is>
      </c>
      <c r="J273" s="65" t="n"/>
      <c r="K273" s="65" t="n">
        <v>877</v>
      </c>
      <c r="L273" s="65" t="inlineStr">
        <is>
          <t>[0877] SS EXTRA PROTECCION API SN SAE 15W-40 (1X12)</t>
        </is>
      </c>
      <c r="M273" s="63" t="inlineStr">
        <is>
          <t>100,80</t>
        </is>
      </c>
      <c r="N273" s="63" t="inlineStr">
        <is>
          <t>2,00</t>
        </is>
      </c>
      <c r="O273" s="63" t="inlineStr">
        <is>
          <t>1,64</t>
        </is>
      </c>
      <c r="P273" s="63" t="inlineStr">
        <is>
          <t>198,29</t>
        </is>
      </c>
      <c r="Q273" s="63" t="inlineStr">
        <is>
          <t>230,02</t>
        </is>
      </c>
    </row>
    <row r="274">
      <c r="A274" s="66" t="n">
        <v>46216</v>
      </c>
      <c r="B274" s="65" t="n">
        <v>403</v>
      </c>
      <c r="C274" s="65" t="inlineStr">
        <is>
          <t>00-00000947</t>
        </is>
      </c>
      <c r="D274" s="65" t="inlineStr">
        <is>
          <t>S00537</t>
        </is>
      </c>
      <c r="E274" s="65" t="inlineStr">
        <is>
          <t>LUBRIREPUESTOS PANORAMA, C.A.</t>
        </is>
      </c>
      <c r="F274" s="63" t="inlineStr">
        <is>
          <t>99.743,70</t>
        </is>
      </c>
      <c r="G274" s="63" t="inlineStr">
        <is>
          <t>115.702,70</t>
        </is>
      </c>
      <c r="H274" s="63" t="inlineStr">
        <is>
          <t>160,38</t>
        </is>
      </c>
      <c r="I274" s="63" t="inlineStr">
        <is>
          <t>721,35</t>
        </is>
      </c>
      <c r="J274" s="65" t="n"/>
      <c r="K274" s="65" t="n">
        <v>779</v>
      </c>
      <c r="L274" s="65" t="inlineStr">
        <is>
          <t>[0779] SINOCO SAE 20W-50 (1x12)</t>
        </is>
      </c>
      <c r="M274" s="63" t="inlineStr">
        <is>
          <t>70,29</t>
        </is>
      </c>
      <c r="N274" s="63" t="inlineStr">
        <is>
          <t>1,00</t>
        </is>
      </c>
      <c r="O274" s="63" t="inlineStr">
        <is>
          <t>1,64</t>
        </is>
      </c>
      <c r="P274" s="63" t="inlineStr">
        <is>
          <t>69,14</t>
        </is>
      </c>
      <c r="Q274" s="63" t="inlineStr">
        <is>
          <t>80,20</t>
        </is>
      </c>
    </row>
    <row r="275">
      <c r="A275" s="65" t="n"/>
      <c r="B275" s="65" t="n"/>
      <c r="C275" s="65" t="n"/>
      <c r="D275" s="65" t="n"/>
      <c r="E275" s="65" t="n"/>
      <c r="F275" s="65" t="n"/>
      <c r="G275" s="65" t="n"/>
      <c r="H275" s="65" t="n"/>
      <c r="I275" s="65" t="n"/>
      <c r="J275" s="65" t="n"/>
      <c r="K275" s="65" t="n">
        <v>915</v>
      </c>
      <c r="L275" s="65" t="inlineStr">
        <is>
          <t>[0915] SINOCO SAE 50 (1x12)</t>
        </is>
      </c>
      <c r="M275" s="63" t="inlineStr">
        <is>
          <t>70,29</t>
        </is>
      </c>
      <c r="N275" s="63" t="inlineStr">
        <is>
          <t>1,00</t>
        </is>
      </c>
      <c r="O275" s="63" t="inlineStr">
        <is>
          <t>1,64</t>
        </is>
      </c>
      <c r="P275" s="63" t="inlineStr">
        <is>
          <t>69,14</t>
        </is>
      </c>
      <c r="Q275" s="63" t="inlineStr">
        <is>
          <t>80,20</t>
        </is>
      </c>
    </row>
    <row r="276">
      <c r="A276" s="66" t="n">
        <v>46216</v>
      </c>
      <c r="B276" s="65" t="n">
        <v>402</v>
      </c>
      <c r="C276" s="65" t="inlineStr">
        <is>
          <t>00-00000946</t>
        </is>
      </c>
      <c r="D276" s="65" t="inlineStr">
        <is>
          <t>S00539</t>
        </is>
      </c>
      <c r="E276" s="65" t="inlineStr">
        <is>
          <t>Diana Carolina Torres</t>
        </is>
      </c>
      <c r="F276" s="63" t="inlineStr">
        <is>
          <t>137.390,59</t>
        </is>
      </c>
      <c r="G276" s="63" t="inlineStr">
        <is>
          <t>159.373,08</t>
        </is>
      </c>
      <c r="H276" s="63" t="inlineStr">
        <is>
          <t>220,93</t>
        </is>
      </c>
      <c r="I276" s="63" t="inlineStr">
        <is>
          <t>721,35</t>
        </is>
      </c>
      <c r="J276" s="65" t="n"/>
      <c r="K276" s="65" t="n">
        <v>602</v>
      </c>
      <c r="L276" s="65" t="inlineStr">
        <is>
          <t>[0602] SINOCO SAE 50 (PAILA)</t>
        </is>
      </c>
      <c r="M276" s="63" t="inlineStr">
        <is>
          <t>96,82</t>
        </is>
      </c>
      <c r="N276" s="63" t="inlineStr">
        <is>
          <t>2,00</t>
        </is>
      </c>
      <c r="O276" s="63" t="inlineStr">
        <is>
          <t>1,64</t>
        </is>
      </c>
      <c r="P276" s="63" t="inlineStr">
        <is>
          <t>190,46</t>
        </is>
      </c>
      <c r="Q276" s="63" t="inlineStr">
        <is>
          <t>220,94</t>
        </is>
      </c>
    </row>
    <row r="277">
      <c r="A277" s="66" t="n">
        <v>46216</v>
      </c>
      <c r="B277" s="65" t="n">
        <v>401</v>
      </c>
      <c r="C277" s="65" t="inlineStr">
        <is>
          <t>00-00000945</t>
        </is>
      </c>
      <c r="D277" s="65" t="inlineStr">
        <is>
          <t>S00471</t>
        </is>
      </c>
      <c r="E277" s="65" t="inlineStr">
        <is>
          <t>José Gregorio Hernández</t>
        </is>
      </c>
      <c r="F277" s="63" t="inlineStr">
        <is>
          <t>149.623,81</t>
        </is>
      </c>
      <c r="G277" s="63" t="inlineStr">
        <is>
          <t>173.563,62</t>
        </is>
      </c>
      <c r="H277" s="63" t="inlineStr">
        <is>
          <t>240,60</t>
        </is>
      </c>
      <c r="I277" s="63" t="inlineStr">
        <is>
          <t>721,35</t>
        </is>
      </c>
      <c r="J277" s="65" t="n"/>
      <c r="K277" s="65" t="n">
        <v>83</v>
      </c>
      <c r="L277" s="65" t="inlineStr">
        <is>
          <t>[0083] MAXIMO API CF SAE 50 (PAILA)</t>
        </is>
      </c>
      <c r="M277" s="63" t="inlineStr">
        <is>
          <t>112,73</t>
        </is>
      </c>
      <c r="N277" s="63" t="inlineStr">
        <is>
          <t>2,00</t>
        </is>
      </c>
      <c r="O277" s="63" t="inlineStr">
        <is>
          <t>8,00</t>
        </is>
      </c>
      <c r="P277" s="63" t="inlineStr">
        <is>
          <t>207,42</t>
        </is>
      </c>
      <c r="Q277" s="63" t="inlineStr">
        <is>
          <t>240,61</t>
        </is>
      </c>
    </row>
    <row r="278">
      <c r="A278" s="66" t="n">
        <v>46216</v>
      </c>
      <c r="B278" s="65" t="n">
        <v>400</v>
      </c>
      <c r="C278" s="65" t="inlineStr">
        <is>
          <t>00-00000944</t>
        </is>
      </c>
      <c r="D278" s="65" t="inlineStr">
        <is>
          <t>S00474</t>
        </is>
      </c>
      <c r="E278" s="65" t="inlineStr">
        <is>
          <t>Hidromaticos La Colina, C.A</t>
        </is>
      </c>
      <c r="F278" s="63" t="inlineStr">
        <is>
          <t>46.880,25</t>
        </is>
      </c>
      <c r="G278" s="63" t="inlineStr">
        <is>
          <t>54.381,09</t>
        </is>
      </c>
      <c r="H278" s="63" t="inlineStr">
        <is>
          <t>75,37</t>
        </is>
      </c>
      <c r="I278" s="63" t="inlineStr">
        <is>
          <t>721,35</t>
        </is>
      </c>
      <c r="J278" s="65" t="n"/>
      <c r="K278" s="65" t="n">
        <v>774</v>
      </c>
      <c r="L278" s="65" t="inlineStr">
        <is>
          <t>[0774] LIGA PARA FRENOS DOT-4 (1X6)</t>
        </is>
      </c>
      <c r="M278" s="63" t="inlineStr">
        <is>
          <t>64,99</t>
        </is>
      </c>
      <c r="N278" s="63" t="inlineStr">
        <is>
          <t>1,00</t>
        </is>
      </c>
      <c r="O278" s="63" t="inlineStr">
        <is>
          <t>0,00</t>
        </is>
      </c>
      <c r="P278" s="63" t="inlineStr">
        <is>
          <t>64,99</t>
        </is>
      </c>
      <c r="Q278" s="63" t="inlineStr">
        <is>
          <t>75,39</t>
        </is>
      </c>
    </row>
    <row r="279">
      <c r="A279" s="66" t="n">
        <v>46216</v>
      </c>
      <c r="B279" s="65" t="n">
        <v>399</v>
      </c>
      <c r="C279" s="65" t="inlineStr">
        <is>
          <t>00-00000943</t>
        </is>
      </c>
      <c r="D279" s="65" t="inlineStr">
        <is>
          <t>S00473</t>
        </is>
      </c>
      <c r="E279" s="65" t="inlineStr">
        <is>
          <t>Yeifri Alexander Marquez Zerpa</t>
        </is>
      </c>
      <c r="F279" s="63" t="inlineStr">
        <is>
          <t>139.681,36</t>
        </is>
      </c>
      <c r="G279" s="63" t="inlineStr">
        <is>
          <t>162.030,38</t>
        </is>
      </c>
      <c r="H279" s="63" t="inlineStr">
        <is>
          <t>224,61</t>
        </is>
      </c>
      <c r="I279" s="63" t="inlineStr">
        <is>
          <t>721,35</t>
        </is>
      </c>
      <c r="J279" s="65" t="n"/>
      <c r="K279" s="65" t="n">
        <v>605</v>
      </c>
      <c r="L279" s="65" t="inlineStr">
        <is>
          <t>[0605] SINOCO SAE 20W-50 (PAILA)</t>
        </is>
      </c>
      <c r="M279" s="63" t="inlineStr">
        <is>
          <t>96,82</t>
        </is>
      </c>
      <c r="N279" s="63" t="inlineStr">
        <is>
          <t>2,00</t>
        </is>
      </c>
      <c r="O279" s="63" t="inlineStr">
        <is>
          <t>0,00</t>
        </is>
      </c>
      <c r="P279" s="63" t="inlineStr">
        <is>
          <t>193,64</t>
        </is>
      </c>
      <c r="Q279" s="63" t="inlineStr">
        <is>
          <t>224,62</t>
        </is>
      </c>
    </row>
    <row r="280">
      <c r="A280" s="66" t="n">
        <v>46216</v>
      </c>
      <c r="B280" s="65" t="n">
        <v>398</v>
      </c>
      <c r="C280" s="65" t="inlineStr">
        <is>
          <t>00-00000942</t>
        </is>
      </c>
      <c r="D280" s="65" t="inlineStr">
        <is>
          <t>S00476</t>
        </is>
      </c>
      <c r="E280" s="65" t="inlineStr">
        <is>
          <t>COMERCIALIZADORA J.A.N. 65, C.A</t>
        </is>
      </c>
      <c r="F280" s="63" t="inlineStr">
        <is>
          <t>161.682,41</t>
        </is>
      </c>
      <c r="G280" s="63" t="inlineStr">
        <is>
          <t>187.551,59</t>
        </is>
      </c>
      <c r="H280" s="63" t="inlineStr">
        <is>
          <t>260,00</t>
        </is>
      </c>
      <c r="I280" s="63" t="inlineStr">
        <is>
          <t>721,35</t>
        </is>
      </c>
      <c r="J280" s="65" t="n"/>
      <c r="K280" s="65" t="n">
        <v>13</v>
      </c>
      <c r="L280" s="65" t="inlineStr">
        <is>
          <t>[0013] ELITE API SN SAE 5W-30 (1x6)</t>
        </is>
      </c>
      <c r="M280" s="63" t="inlineStr">
        <is>
          <t>72,94</t>
        </is>
      </c>
      <c r="N280" s="63" t="inlineStr">
        <is>
          <t>1,00</t>
        </is>
      </c>
      <c r="O280" s="63" t="inlineStr">
        <is>
          <t>0,00</t>
        </is>
      </c>
      <c r="P280" s="63" t="inlineStr">
        <is>
          <t>72,94</t>
        </is>
      </c>
      <c r="Q280" s="63" t="inlineStr">
        <is>
          <t>84,61</t>
        </is>
      </c>
    </row>
    <row r="281">
      <c r="A281" s="65" t="n"/>
      <c r="B281" s="65" t="n"/>
      <c r="C281" s="65" t="n"/>
      <c r="D281" s="65" t="n"/>
      <c r="E281" s="65" t="n"/>
      <c r="F281" s="65" t="n"/>
      <c r="G281" s="65" t="n"/>
      <c r="H281" s="65" t="n"/>
      <c r="I281" s="65" t="n"/>
      <c r="J281" s="65" t="n"/>
      <c r="K281" s="65" t="n">
        <v>25</v>
      </c>
      <c r="L281" s="65" t="inlineStr">
        <is>
          <t>[0025] SS EXTRA PROTECCION API SN SAE 10W-30 (Gasolina) (1x6)</t>
        </is>
      </c>
      <c r="M281" s="63" t="inlineStr">
        <is>
          <t>50,40</t>
        </is>
      </c>
      <c r="N281" s="63" t="inlineStr">
        <is>
          <t>1,00</t>
        </is>
      </c>
      <c r="O281" s="63" t="inlineStr">
        <is>
          <t>0,00</t>
        </is>
      </c>
      <c r="P281" s="63" t="inlineStr">
        <is>
          <t>50,40</t>
        </is>
      </c>
      <c r="Q281" s="63" t="inlineStr">
        <is>
          <t>58,46</t>
        </is>
      </c>
    </row>
    <row r="282">
      <c r="A282" s="65" t="n"/>
      <c r="B282" s="65" t="n"/>
      <c r="C282" s="65" t="n"/>
      <c r="D282" s="65" t="n"/>
      <c r="E282" s="65" t="n"/>
      <c r="F282" s="65" t="n"/>
      <c r="G282" s="65" t="n"/>
      <c r="H282" s="65" t="n"/>
      <c r="I282" s="65" t="n"/>
      <c r="J282" s="65" t="n"/>
      <c r="K282" s="65" t="n">
        <v>878</v>
      </c>
      <c r="L282" s="65" t="inlineStr">
        <is>
          <t>[0878] SS EXTRA PROTECCION API SN SAE 20W-50 (1x12)</t>
        </is>
      </c>
      <c r="M282" s="63" t="inlineStr">
        <is>
          <t>100,80</t>
        </is>
      </c>
      <c r="N282" s="63" t="inlineStr">
        <is>
          <t>1,00</t>
        </is>
      </c>
      <c r="O282" s="63" t="inlineStr">
        <is>
          <t>0,00</t>
        </is>
      </c>
      <c r="P282" s="63" t="inlineStr">
        <is>
          <t>100,80</t>
        </is>
      </c>
      <c r="Q282" s="63" t="inlineStr">
        <is>
          <t>116,93</t>
        </is>
      </c>
    </row>
    <row r="283">
      <c r="A283" s="66" t="n">
        <v>46216</v>
      </c>
      <c r="B283" s="65" t="n">
        <v>397</v>
      </c>
      <c r="C283" s="65" t="inlineStr">
        <is>
          <t>00-00000941</t>
        </is>
      </c>
      <c r="D283" s="65" t="inlineStr">
        <is>
          <t>S00477</t>
        </is>
      </c>
      <c r="E283" s="65" t="inlineStr">
        <is>
          <t>Servi Motores 3A, C.A</t>
        </is>
      </c>
      <c r="F283" s="63" t="inlineStr">
        <is>
          <t>141.592,93</t>
        </is>
      </c>
      <c r="G283" s="63" t="inlineStr">
        <is>
          <t>164.247,80</t>
        </is>
      </c>
      <c r="H283" s="63" t="inlineStr">
        <is>
          <t>227,68</t>
        </is>
      </c>
      <c r="I283" s="63" t="inlineStr">
        <is>
          <t>721,35</t>
        </is>
      </c>
      <c r="J283" s="65" t="n"/>
      <c r="K283" s="65" t="n">
        <v>884</v>
      </c>
      <c r="L283" s="65" t="inlineStr">
        <is>
          <t>[0884] TRANSMATIC ATF DEXRON III (1x12)</t>
        </is>
      </c>
      <c r="M283" s="63" t="inlineStr">
        <is>
          <t>95,49</t>
        </is>
      </c>
      <c r="N283" s="63" t="inlineStr">
        <is>
          <t>1,00</t>
        </is>
      </c>
      <c r="O283" s="63" t="inlineStr">
        <is>
          <t>0,00</t>
        </is>
      </c>
      <c r="P283" s="63" t="inlineStr">
        <is>
          <t>95,49</t>
        </is>
      </c>
      <c r="Q283" s="63" t="inlineStr">
        <is>
          <t>110,77</t>
        </is>
      </c>
    </row>
    <row r="284">
      <c r="A284" s="65" t="n"/>
      <c r="B284" s="65" t="n"/>
      <c r="C284" s="65" t="n"/>
      <c r="D284" s="65" t="n"/>
      <c r="E284" s="65" t="n"/>
      <c r="F284" s="65" t="n"/>
      <c r="G284" s="65" t="n"/>
      <c r="H284" s="65" t="n"/>
      <c r="I284" s="65" t="n"/>
      <c r="J284" s="65" t="n"/>
      <c r="K284" s="65" t="n">
        <v>877</v>
      </c>
      <c r="L284" s="65" t="inlineStr">
        <is>
          <t>[0877] SS EXTRA PROTECCION API SN SAE 15W-40 (1X12)</t>
        </is>
      </c>
      <c r="M284" s="63" t="inlineStr">
        <is>
          <t>100,80</t>
        </is>
      </c>
      <c r="N284" s="63" t="inlineStr">
        <is>
          <t>1,00</t>
        </is>
      </c>
      <c r="O284" s="63" t="inlineStr">
        <is>
          <t>0,00</t>
        </is>
      </c>
      <c r="P284" s="63" t="inlineStr">
        <is>
          <t>100,80</t>
        </is>
      </c>
      <c r="Q284" s="63" t="inlineStr">
        <is>
          <t>116,93</t>
        </is>
      </c>
    </row>
    <row r="285">
      <c r="A285" s="66" t="n">
        <v>46216</v>
      </c>
      <c r="B285" s="65" t="n">
        <v>396</v>
      </c>
      <c r="C285" s="65" t="inlineStr">
        <is>
          <t>00-00000940</t>
        </is>
      </c>
      <c r="D285" s="65" t="inlineStr">
        <is>
          <t>S00478</t>
        </is>
      </c>
      <c r="E285" s="65" t="inlineStr">
        <is>
          <t>AUTOPERIQUITOS LA CAMPIÑA C.A.</t>
        </is>
      </c>
      <c r="F285" s="63" t="inlineStr">
        <is>
          <t>72.711,64</t>
        </is>
      </c>
      <c r="G285" s="63" t="inlineStr">
        <is>
          <t>84.345,50</t>
        </is>
      </c>
      <c r="H285" s="63" t="inlineStr">
        <is>
          <t>116,92</t>
        </is>
      </c>
      <c r="I285" s="63" t="inlineStr">
        <is>
          <t>721,35</t>
        </is>
      </c>
      <c r="J285" s="65" t="n"/>
      <c r="K285" s="65" t="n">
        <v>877</v>
      </c>
      <c r="L285" s="65" t="inlineStr">
        <is>
          <t>[0877] SS EXTRA PROTECCION API SN SAE 15W-40 (1X12)</t>
        </is>
      </c>
      <c r="M285" s="63" t="inlineStr">
        <is>
          <t>100,80</t>
        </is>
      </c>
      <c r="N285" s="63" t="inlineStr">
        <is>
          <t>1,00</t>
        </is>
      </c>
      <c r="O285" s="63" t="inlineStr">
        <is>
          <t>0,00</t>
        </is>
      </c>
      <c r="P285" s="63" t="inlineStr">
        <is>
          <t>100,80</t>
        </is>
      </c>
      <c r="Q285" s="63" t="inlineStr">
        <is>
          <t>116,93</t>
        </is>
      </c>
    </row>
    <row r="286">
      <c r="A286" s="66" t="n">
        <v>46216</v>
      </c>
      <c r="B286" s="65" t="n">
        <v>395</v>
      </c>
      <c r="C286" s="65" t="inlineStr">
        <is>
          <t>00-00000938</t>
        </is>
      </c>
      <c r="D286" s="65" t="inlineStr">
        <is>
          <t>S00479</t>
        </is>
      </c>
      <c r="E286" s="65" t="inlineStr">
        <is>
          <t>Inversiones Todo marca Oeste C.A</t>
        </is>
      </c>
      <c r="F286" s="63" t="inlineStr">
        <is>
          <t>959.591,61</t>
        </is>
      </c>
      <c r="G286" s="63" t="inlineStr">
        <is>
          <t>1.113.126,27</t>
        </is>
      </c>
      <c r="H286" s="63" t="inlineStr">
        <is>
          <t>1.543,06</t>
        </is>
      </c>
      <c r="I286" s="63" t="inlineStr">
        <is>
          <t>721,35</t>
        </is>
      </c>
      <c r="J286" s="65" t="n"/>
      <c r="K286" s="65" t="n">
        <v>602</v>
      </c>
      <c r="L286" s="65" t="inlineStr">
        <is>
          <t>[0602] SINOCO SAE 50 (PAILA)</t>
        </is>
      </c>
      <c r="M286" s="63" t="inlineStr">
        <is>
          <t>96,82</t>
        </is>
      </c>
      <c r="N286" s="63" t="inlineStr">
        <is>
          <t>4,00</t>
        </is>
      </c>
      <c r="O286" s="63" t="inlineStr">
        <is>
          <t>0,00</t>
        </is>
      </c>
      <c r="P286" s="63" t="inlineStr">
        <is>
          <t>387,28</t>
        </is>
      </c>
      <c r="Q286" s="63" t="inlineStr">
        <is>
          <t>449,24</t>
        </is>
      </c>
    </row>
    <row r="287">
      <c r="A287" s="65" t="n"/>
      <c r="B287" s="65" t="n"/>
      <c r="C287" s="65" t="n"/>
      <c r="D287" s="65" t="n"/>
      <c r="E287" s="65" t="n"/>
      <c r="F287" s="65" t="n"/>
      <c r="G287" s="65" t="n"/>
      <c r="H287" s="65" t="n"/>
      <c r="I287" s="65" t="n"/>
      <c r="J287" s="65" t="n"/>
      <c r="K287" s="65" t="n">
        <v>1035</v>
      </c>
      <c r="L287" s="65" t="inlineStr">
        <is>
          <t>[1035] SINOCO HIDRAULICO ISO 68 (PAILA)</t>
        </is>
      </c>
      <c r="M287" s="63" t="inlineStr">
        <is>
          <t>86,21</t>
        </is>
      </c>
      <c r="N287" s="63" t="inlineStr">
        <is>
          <t>2,00</t>
        </is>
      </c>
      <c r="O287" s="63" t="inlineStr">
        <is>
          <t>0,00</t>
        </is>
      </c>
      <c r="P287" s="63" t="inlineStr">
        <is>
          <t>172,42</t>
        </is>
      </c>
      <c r="Q287" s="63" t="inlineStr">
        <is>
          <t>200,01</t>
        </is>
      </c>
    </row>
    <row r="288">
      <c r="A288" s="65" t="n"/>
      <c r="B288" s="65" t="n"/>
      <c r="C288" s="65" t="n"/>
      <c r="D288" s="65" t="n"/>
      <c r="E288" s="65" t="n"/>
      <c r="F288" s="65" t="n"/>
      <c r="G288" s="65" t="n"/>
      <c r="H288" s="65" t="n"/>
      <c r="I288" s="65" t="n"/>
      <c r="J288" s="65" t="n"/>
      <c r="K288" s="65" t="n">
        <v>605</v>
      </c>
      <c r="L288" s="65" t="inlineStr">
        <is>
          <t>[0605] SINOCO SAE 20W-50 (PAILA)</t>
        </is>
      </c>
      <c r="M288" s="63" t="inlineStr">
        <is>
          <t>96,82</t>
        </is>
      </c>
      <c r="N288" s="63" t="inlineStr">
        <is>
          <t>2,00</t>
        </is>
      </c>
      <c r="O288" s="63" t="inlineStr">
        <is>
          <t>0,00</t>
        </is>
      </c>
      <c r="P288" s="63" t="inlineStr">
        <is>
          <t>193,64</t>
        </is>
      </c>
      <c r="Q288" s="63" t="inlineStr">
        <is>
          <t>224,62</t>
        </is>
      </c>
    </row>
    <row r="289">
      <c r="A289" s="65" t="n"/>
      <c r="B289" s="65" t="n"/>
      <c r="C289" s="65" t="n"/>
      <c r="D289" s="65" t="n"/>
      <c r="E289" s="65" t="n"/>
      <c r="F289" s="65" t="n"/>
      <c r="G289" s="65" t="n"/>
      <c r="H289" s="65" t="n"/>
      <c r="I289" s="65" t="n"/>
      <c r="J289" s="65" t="n"/>
      <c r="K289" s="65" t="n">
        <v>779</v>
      </c>
      <c r="L289" s="65" t="inlineStr">
        <is>
          <t>[0779] SINOCO SAE 20W-50 (1x12)</t>
        </is>
      </c>
      <c r="M289" s="63" t="inlineStr">
        <is>
          <t>70,29</t>
        </is>
      </c>
      <c r="N289" s="63" t="inlineStr">
        <is>
          <t>1,00</t>
        </is>
      </c>
      <c r="O289" s="63" t="inlineStr">
        <is>
          <t>0,00</t>
        </is>
      </c>
      <c r="P289" s="63" t="inlineStr">
        <is>
          <t>70,29</t>
        </is>
      </c>
      <c r="Q289" s="63" t="inlineStr">
        <is>
          <t>81,54</t>
        </is>
      </c>
    </row>
    <row r="290">
      <c r="A290" s="65" t="n"/>
      <c r="B290" s="65" t="n"/>
      <c r="C290" s="65" t="n"/>
      <c r="D290" s="65" t="n"/>
      <c r="E290" s="65" t="n"/>
      <c r="F290" s="65" t="n"/>
      <c r="G290" s="65" t="n"/>
      <c r="H290" s="65" t="n"/>
      <c r="I290" s="65" t="n"/>
      <c r="J290" s="65" t="n"/>
      <c r="K290" s="65" t="n">
        <v>761</v>
      </c>
      <c r="L290" s="65" t="inlineStr">
        <is>
          <t>[0761] LIGA PARA FRENOS DOT-3 (1x12)</t>
        </is>
      </c>
      <c r="M290" s="63" t="inlineStr">
        <is>
          <t>35,81</t>
        </is>
      </c>
      <c r="N290" s="63" t="inlineStr">
        <is>
          <t>2,00</t>
        </is>
      </c>
      <c r="O290" s="63" t="inlineStr">
        <is>
          <t>0,00</t>
        </is>
      </c>
      <c r="P290" s="63" t="inlineStr">
        <is>
          <t>71,62</t>
        </is>
      </c>
      <c r="Q290" s="63" t="inlineStr">
        <is>
          <t>83,08</t>
        </is>
      </c>
    </row>
    <row r="291">
      <c r="A291" s="65" t="n"/>
      <c r="B291" s="65" t="n"/>
      <c r="C291" s="65" t="n"/>
      <c r="D291" s="65" t="n"/>
      <c r="E291" s="65" t="n"/>
      <c r="F291" s="65" t="n"/>
      <c r="G291" s="65" t="n"/>
      <c r="H291" s="65" t="n"/>
      <c r="I291" s="65" t="n"/>
      <c r="J291" s="65" t="n"/>
      <c r="K291" s="65" t="n">
        <v>762</v>
      </c>
      <c r="L291" s="65" t="inlineStr">
        <is>
          <t>[0762] LIGA PARA FRENOS DOT-3 (1x6)</t>
        </is>
      </c>
      <c r="M291" s="63" t="inlineStr">
        <is>
          <t>57,03</t>
        </is>
      </c>
      <c r="N291" s="63" t="inlineStr">
        <is>
          <t>1,00</t>
        </is>
      </c>
      <c r="O291" s="63" t="inlineStr">
        <is>
          <t>0,00</t>
        </is>
      </c>
      <c r="P291" s="63" t="inlineStr">
        <is>
          <t>57,03</t>
        </is>
      </c>
      <c r="Q291" s="63" t="inlineStr">
        <is>
          <t>66,15</t>
        </is>
      </c>
    </row>
    <row r="292">
      <c r="A292" s="65" t="n"/>
      <c r="B292" s="65" t="n"/>
      <c r="C292" s="65" t="n"/>
      <c r="D292" s="65" t="n"/>
      <c r="E292" s="65" t="n"/>
      <c r="F292" s="65" t="n"/>
      <c r="G292" s="65" t="n"/>
      <c r="H292" s="65" t="n"/>
      <c r="I292" s="65" t="n"/>
      <c r="J292" s="65" t="n"/>
      <c r="K292" s="65" t="n">
        <v>887</v>
      </c>
      <c r="L292" s="65" t="inlineStr">
        <is>
          <t>[0887] MOTOCLASICO 4T SAE 20W-50 (1x12)</t>
        </is>
      </c>
      <c r="M292" s="63" t="inlineStr">
        <is>
          <t>90,19</t>
        </is>
      </c>
      <c r="N292" s="63" t="inlineStr">
        <is>
          <t>1,00</t>
        </is>
      </c>
      <c r="O292" s="63" t="inlineStr">
        <is>
          <t>0,00</t>
        </is>
      </c>
      <c r="P292" s="63" t="inlineStr">
        <is>
          <t>90,19</t>
        </is>
      </c>
      <c r="Q292" s="63" t="inlineStr">
        <is>
          <t>104,62</t>
        </is>
      </c>
    </row>
    <row r="293">
      <c r="A293" s="65" t="n"/>
      <c r="B293" s="65" t="n"/>
      <c r="C293" s="65" t="n"/>
      <c r="D293" s="65" t="n"/>
      <c r="E293" s="65" t="n"/>
      <c r="F293" s="65" t="n"/>
      <c r="G293" s="65" t="n"/>
      <c r="H293" s="65" t="n"/>
      <c r="I293" s="65" t="n"/>
      <c r="J293" s="65" t="n"/>
      <c r="K293" s="65" t="n">
        <v>877</v>
      </c>
      <c r="L293" s="65" t="inlineStr">
        <is>
          <t>[0877] SS EXTRA PROTECCION API SN SAE 15W-40 (1X12)</t>
        </is>
      </c>
      <c r="M293" s="63" t="inlineStr">
        <is>
          <t>100,80</t>
        </is>
      </c>
      <c r="N293" s="63" t="inlineStr">
        <is>
          <t>2,00</t>
        </is>
      </c>
      <c r="O293" s="63" t="inlineStr">
        <is>
          <t>0,00</t>
        </is>
      </c>
      <c r="P293" s="63" t="inlineStr">
        <is>
          <t>201,60</t>
        </is>
      </c>
      <c r="Q293" s="63" t="inlineStr">
        <is>
          <t>233,86</t>
        </is>
      </c>
    </row>
    <row r="294">
      <c r="A294" s="65" t="n"/>
      <c r="B294" s="65" t="n"/>
      <c r="C294" s="65" t="n"/>
      <c r="D294" s="65" t="n"/>
      <c r="E294" s="65" t="n"/>
      <c r="F294" s="65" t="n"/>
      <c r="G294" s="65" t="n"/>
      <c r="H294" s="65" t="n"/>
      <c r="I294" s="65" t="n"/>
      <c r="J294" s="65" t="n"/>
      <c r="K294" s="65" t="n">
        <v>880</v>
      </c>
      <c r="L294" s="65" t="inlineStr">
        <is>
          <t>[0880] CLASICO API SL SAE 15W-40 (1x12)</t>
        </is>
      </c>
      <c r="M294" s="63" t="inlineStr">
        <is>
          <t>86,21</t>
        </is>
      </c>
      <c r="N294" s="63" t="inlineStr">
        <is>
          <t>1,00</t>
        </is>
      </c>
      <c r="O294" s="63" t="inlineStr">
        <is>
          <t>0,00</t>
        </is>
      </c>
      <c r="P294" s="63" t="inlineStr">
        <is>
          <t>86,21</t>
        </is>
      </c>
      <c r="Q294" s="63" t="inlineStr">
        <is>
          <t>100,00</t>
        </is>
      </c>
    </row>
    <row r="295">
      <c r="A295" s="66" t="n">
        <v>46216</v>
      </c>
      <c r="B295" s="65" t="n">
        <v>394</v>
      </c>
      <c r="C295" s="65" t="inlineStr">
        <is>
          <t>00-00000937</t>
        </is>
      </c>
      <c r="D295" s="65" t="inlineStr">
        <is>
          <t>S00483</t>
        </is>
      </c>
      <c r="E295" s="65" t="inlineStr">
        <is>
          <t>Power Sport Servicios El Hatillo, C.A</t>
        </is>
      </c>
      <c r="F295" s="63" t="inlineStr">
        <is>
          <t>145.423,27</t>
        </is>
      </c>
      <c r="G295" s="63" t="inlineStr">
        <is>
          <t>168.690,99</t>
        </is>
      </c>
      <c r="H295" s="63" t="inlineStr">
        <is>
          <t>233,84</t>
        </is>
      </c>
      <c r="I295" s="63" t="inlineStr">
        <is>
          <t>721,35</t>
        </is>
      </c>
      <c r="J295" s="65" t="n"/>
      <c r="K295" s="65" t="n">
        <v>878</v>
      </c>
      <c r="L295" s="65" t="inlineStr">
        <is>
          <t>[0878] SS EXTRA PROTECCION API SN SAE 20W-50 (1x12)</t>
        </is>
      </c>
      <c r="M295" s="63" t="inlineStr">
        <is>
          <t>100,80</t>
        </is>
      </c>
      <c r="N295" s="63" t="inlineStr">
        <is>
          <t>2,00</t>
        </is>
      </c>
      <c r="O295" s="63" t="inlineStr">
        <is>
          <t>0,00</t>
        </is>
      </c>
      <c r="P295" s="63" t="inlineStr">
        <is>
          <t>201,60</t>
        </is>
      </c>
      <c r="Q295" s="63" t="inlineStr">
        <is>
          <t>233,86</t>
        </is>
      </c>
    </row>
    <row r="296">
      <c r="A296" s="66" t="n">
        <v>46216</v>
      </c>
      <c r="B296" s="65" t="n">
        <v>393</v>
      </c>
      <c r="C296" s="65" t="inlineStr">
        <is>
          <t>00-00000936</t>
        </is>
      </c>
      <c r="D296" s="65" t="inlineStr">
        <is>
          <t>S00485</t>
        </is>
      </c>
      <c r="E296" s="65" t="inlineStr">
        <is>
          <t>Industrias Arasia, c.a.</t>
        </is>
      </c>
      <c r="F296" s="63" t="inlineStr">
        <is>
          <t>72.711,64</t>
        </is>
      </c>
      <c r="G296" s="63" t="inlineStr">
        <is>
          <t>84.345,50</t>
        </is>
      </c>
      <c r="H296" s="63" t="inlineStr">
        <is>
          <t>116,92</t>
        </is>
      </c>
      <c r="I296" s="63" t="inlineStr">
        <is>
          <t>721,35</t>
        </is>
      </c>
      <c r="J296" s="65" t="n"/>
      <c r="K296" s="65" t="n">
        <v>877</v>
      </c>
      <c r="L296" s="65" t="inlineStr">
        <is>
          <t>[0877] SS EXTRA PROTECCION API SN SAE 15W-40 (1X12)</t>
        </is>
      </c>
      <c r="M296" s="63" t="inlineStr">
        <is>
          <t>100,80</t>
        </is>
      </c>
      <c r="N296" s="63" t="inlineStr">
        <is>
          <t>1,00</t>
        </is>
      </c>
      <c r="O296" s="63" t="inlineStr">
        <is>
          <t>0,00</t>
        </is>
      </c>
      <c r="P296" s="63" t="inlineStr">
        <is>
          <t>100,80</t>
        </is>
      </c>
      <c r="Q296" s="63" t="inlineStr">
        <is>
          <t>116,93</t>
        </is>
      </c>
    </row>
    <row r="297">
      <c r="A297" s="66" t="n">
        <v>46216</v>
      </c>
      <c r="B297" s="65" t="n">
        <v>392</v>
      </c>
      <c r="C297" s="65" t="inlineStr">
        <is>
          <t>00-00000935</t>
        </is>
      </c>
      <c r="D297" s="65" t="inlineStr">
        <is>
          <t>S00486</t>
        </is>
      </c>
      <c r="E297" s="65" t="inlineStr">
        <is>
          <t>Automotriz Danale C.A</t>
        </is>
      </c>
      <c r="F297" s="63" t="inlineStr">
        <is>
          <t>72.711,64</t>
        </is>
      </c>
      <c r="G297" s="63" t="inlineStr">
        <is>
          <t>84.345,50</t>
        </is>
      </c>
      <c r="H297" s="63" t="inlineStr">
        <is>
          <t>116,92</t>
        </is>
      </c>
      <c r="I297" s="63" t="inlineStr">
        <is>
          <t>721,35</t>
        </is>
      </c>
      <c r="J297" s="65" t="n"/>
      <c r="K297" s="65" t="n">
        <v>877</v>
      </c>
      <c r="L297" s="65" t="inlineStr">
        <is>
          <t>[0877] SS EXTRA PROTECCION API SN SAE 15W-40 (1X12)</t>
        </is>
      </c>
      <c r="M297" s="63" t="inlineStr">
        <is>
          <t>100,80</t>
        </is>
      </c>
      <c r="N297" s="63" t="inlineStr">
        <is>
          <t>1,00</t>
        </is>
      </c>
      <c r="O297" s="63" t="inlineStr">
        <is>
          <t>0,00</t>
        </is>
      </c>
      <c r="P297" s="63" t="inlineStr">
        <is>
          <t>100,80</t>
        </is>
      </c>
      <c r="Q297" s="63" t="inlineStr">
        <is>
          <t>116,93</t>
        </is>
      </c>
    </row>
    <row r="298">
      <c r="A298" s="66" t="n">
        <v>46216</v>
      </c>
      <c r="B298" s="65" t="n">
        <v>391</v>
      </c>
      <c r="C298" s="65" t="inlineStr">
        <is>
          <t>00-00000934</t>
        </is>
      </c>
      <c r="D298" s="65" t="inlineStr">
        <is>
          <t>S00488</t>
        </is>
      </c>
      <c r="E298" s="65" t="inlineStr">
        <is>
          <t>INVERSIONES IRETE SUKA, C.A</t>
        </is>
      </c>
      <c r="F298" s="63" t="inlineStr">
        <is>
          <t>185.602,22</t>
        </is>
      </c>
      <c r="G298" s="63" t="inlineStr">
        <is>
          <t>215.298,58</t>
        </is>
      </c>
      <c r="H298" s="63" t="inlineStr">
        <is>
          <t>298,44</t>
        </is>
      </c>
      <c r="I298" s="63" t="inlineStr">
        <is>
          <t>721,35</t>
        </is>
      </c>
      <c r="J298" s="65" t="n"/>
      <c r="K298" s="65" t="n">
        <v>779</v>
      </c>
      <c r="L298" s="65" t="inlineStr">
        <is>
          <t>[0779] SINOCO SAE 20W-50 (1x12)</t>
        </is>
      </c>
      <c r="M298" s="63" t="inlineStr">
        <is>
          <t>70,29</t>
        </is>
      </c>
      <c r="N298" s="63" t="inlineStr">
        <is>
          <t>1,00</t>
        </is>
      </c>
      <c r="O298" s="63" t="inlineStr">
        <is>
          <t>0,00</t>
        </is>
      </c>
      <c r="P298" s="63" t="inlineStr">
        <is>
          <t>70,29</t>
        </is>
      </c>
      <c r="Q298" s="63" t="inlineStr">
        <is>
          <t>81,54</t>
        </is>
      </c>
    </row>
    <row r="299">
      <c r="A299" s="65" t="n"/>
      <c r="B299" s="65" t="n"/>
      <c r="C299" s="65" t="n"/>
      <c r="D299" s="65" t="n"/>
      <c r="E299" s="65" t="n"/>
      <c r="F299" s="65" t="n"/>
      <c r="G299" s="65" t="n"/>
      <c r="H299" s="65" t="n"/>
      <c r="I299" s="65" t="n"/>
      <c r="J299" s="65" t="n"/>
      <c r="K299" s="65" t="n">
        <v>887</v>
      </c>
      <c r="L299" s="65" t="inlineStr">
        <is>
          <t>[0887] MOTOCLASICO 4T SAE 20W-50 (1x12)</t>
        </is>
      </c>
      <c r="M299" s="63" t="inlineStr">
        <is>
          <t>90,19</t>
        </is>
      </c>
      <c r="N299" s="63" t="inlineStr">
        <is>
          <t>1,00</t>
        </is>
      </c>
      <c r="O299" s="63" t="inlineStr">
        <is>
          <t>0,00</t>
        </is>
      </c>
      <c r="P299" s="63" t="inlineStr">
        <is>
          <t>90,19</t>
        </is>
      </c>
      <c r="Q299" s="63" t="inlineStr">
        <is>
          <t>104,62</t>
        </is>
      </c>
    </row>
    <row r="300">
      <c r="A300" s="65" t="n"/>
      <c r="B300" s="65" t="n"/>
      <c r="C300" s="65" t="n"/>
      <c r="D300" s="65" t="n"/>
      <c r="E300" s="65" t="n"/>
      <c r="F300" s="65" t="n"/>
      <c r="G300" s="65" t="n"/>
      <c r="H300" s="65" t="n"/>
      <c r="I300" s="65" t="n"/>
      <c r="J300" s="65" t="n"/>
      <c r="K300" s="65" t="n">
        <v>605</v>
      </c>
      <c r="L300" s="65" t="inlineStr">
        <is>
          <t>[0605] SINOCO SAE 20W-50 (PAILA)</t>
        </is>
      </c>
      <c r="M300" s="63" t="inlineStr">
        <is>
          <t>96,82</t>
        </is>
      </c>
      <c r="N300" s="63" t="inlineStr">
        <is>
          <t>1,00</t>
        </is>
      </c>
      <c r="O300" s="63" t="inlineStr">
        <is>
          <t>0,00</t>
        </is>
      </c>
      <c r="P300" s="63" t="inlineStr">
        <is>
          <t>96,82</t>
        </is>
      </c>
      <c r="Q300" s="63" t="inlineStr">
        <is>
          <t>112,31</t>
        </is>
      </c>
    </row>
    <row r="301">
      <c r="A301" s="66" t="n">
        <v>46216</v>
      </c>
      <c r="B301" s="65" t="n">
        <v>390</v>
      </c>
      <c r="C301" s="65" t="inlineStr">
        <is>
          <t>00-00000933</t>
        </is>
      </c>
      <c r="D301" s="65" t="inlineStr">
        <is>
          <t>S00491</t>
        </is>
      </c>
      <c r="E301" s="65" t="inlineStr">
        <is>
          <t>María Elena Hernández Rangel</t>
        </is>
      </c>
      <c r="F301" s="63" t="inlineStr">
        <is>
          <t>453.488,34</t>
        </is>
      </c>
      <c r="G301" s="63" t="inlineStr">
        <is>
          <t>526.046,47</t>
        </is>
      </c>
      <c r="H301" s="63" t="inlineStr">
        <is>
          <t>729,23</t>
        </is>
      </c>
      <c r="I301" s="63" t="inlineStr">
        <is>
          <t>721,35</t>
        </is>
      </c>
      <c r="J301" s="65" t="n"/>
      <c r="K301" s="65" t="n">
        <v>877</v>
      </c>
      <c r="L301" s="65" t="inlineStr">
        <is>
          <t>[0877] SS EXTRA PROTECCION API SN SAE 15W-40 (1X12)</t>
        </is>
      </c>
      <c r="M301" s="63" t="inlineStr">
        <is>
          <t>100,80</t>
        </is>
      </c>
      <c r="N301" s="63" t="inlineStr">
        <is>
          <t>2,00</t>
        </is>
      </c>
      <c r="O301" s="63" t="inlineStr">
        <is>
          <t>0,00</t>
        </is>
      </c>
      <c r="P301" s="63" t="inlineStr">
        <is>
          <t>201,60</t>
        </is>
      </c>
      <c r="Q301" s="63" t="inlineStr">
        <is>
          <t>233,86</t>
        </is>
      </c>
    </row>
    <row r="302">
      <c r="A302" s="65" t="n"/>
      <c r="B302" s="65" t="n"/>
      <c r="C302" s="65" t="n"/>
      <c r="D302" s="65" t="n"/>
      <c r="E302" s="65" t="n"/>
      <c r="F302" s="65" t="n"/>
      <c r="G302" s="65" t="n"/>
      <c r="H302" s="65" t="n"/>
      <c r="I302" s="65" t="n"/>
      <c r="J302" s="65" t="n"/>
      <c r="K302" s="65" t="n">
        <v>878</v>
      </c>
      <c r="L302" s="65" t="inlineStr">
        <is>
          <t>[0878] SS EXTRA PROTECCION API SN SAE 20W-50 (1x12)</t>
        </is>
      </c>
      <c r="M302" s="63" t="inlineStr">
        <is>
          <t>100,80</t>
        </is>
      </c>
      <c r="N302" s="63" t="inlineStr">
        <is>
          <t>1,00</t>
        </is>
      </c>
      <c r="O302" s="63" t="inlineStr">
        <is>
          <t>0,00</t>
        </is>
      </c>
      <c r="P302" s="63" t="inlineStr">
        <is>
          <t>100,80</t>
        </is>
      </c>
      <c r="Q302" s="63" t="inlineStr">
        <is>
          <t>116,93</t>
        </is>
      </c>
    </row>
    <row r="303">
      <c r="A303" s="65" t="n"/>
      <c r="B303" s="65" t="n"/>
      <c r="C303" s="65" t="n"/>
      <c r="D303" s="65" t="n"/>
      <c r="E303" s="65" t="n"/>
      <c r="F303" s="65" t="n"/>
      <c r="G303" s="65" t="n"/>
      <c r="H303" s="65" t="n"/>
      <c r="I303" s="65" t="n"/>
      <c r="J303" s="65" t="n"/>
      <c r="K303" s="65" t="n">
        <v>602</v>
      </c>
      <c r="L303" s="65" t="inlineStr">
        <is>
          <t>[0602] SINOCO SAE 50 (PAILA)</t>
        </is>
      </c>
      <c r="M303" s="63" t="inlineStr">
        <is>
          <t>96,82</t>
        </is>
      </c>
      <c r="N303" s="63" t="inlineStr">
        <is>
          <t>3,00</t>
        </is>
      </c>
      <c r="O303" s="63" t="inlineStr">
        <is>
          <t>0,00</t>
        </is>
      </c>
      <c r="P303" s="63" t="inlineStr">
        <is>
          <t>290,46</t>
        </is>
      </c>
      <c r="Q303" s="63" t="inlineStr">
        <is>
          <t>336,93</t>
        </is>
      </c>
    </row>
    <row r="304">
      <c r="A304" s="65" t="n"/>
      <c r="B304" s="65" t="n"/>
      <c r="C304" s="65" t="n"/>
      <c r="D304" s="65" t="n"/>
      <c r="E304" s="65" t="n"/>
      <c r="F304" s="65" t="n"/>
      <c r="G304" s="65" t="n"/>
      <c r="H304" s="65" t="n"/>
      <c r="I304" s="65" t="n"/>
      <c r="J304" s="65" t="n"/>
      <c r="K304" s="65" t="n">
        <v>761</v>
      </c>
      <c r="L304" s="65" t="inlineStr">
        <is>
          <t>[0761] LIGA PARA FRENOS DOT-3 (1x12)</t>
        </is>
      </c>
      <c r="M304" s="63" t="inlineStr">
        <is>
          <t>35,81</t>
        </is>
      </c>
      <c r="N304" s="63" t="inlineStr">
        <is>
          <t>1,00</t>
        </is>
      </c>
      <c r="O304" s="63" t="inlineStr">
        <is>
          <t>0,00</t>
        </is>
      </c>
      <c r="P304" s="63" t="inlineStr">
        <is>
          <t>35,81</t>
        </is>
      </c>
      <c r="Q304" s="63" t="inlineStr">
        <is>
          <t>41,54</t>
        </is>
      </c>
    </row>
    <row r="305">
      <c r="A305" s="66" t="n">
        <v>46216</v>
      </c>
      <c r="B305" s="65" t="n">
        <v>389</v>
      </c>
      <c r="C305" s="65" t="inlineStr">
        <is>
          <t>00-00000932</t>
        </is>
      </c>
      <c r="D305" s="65" t="inlineStr">
        <is>
          <t>S00490</t>
        </is>
      </c>
      <c r="E305" s="65" t="inlineStr">
        <is>
          <t>WDH Automotriz 0706, c.a.</t>
        </is>
      </c>
      <c r="F305" s="63" t="inlineStr">
        <is>
          <t>72.711,64</t>
        </is>
      </c>
      <c r="G305" s="63" t="inlineStr">
        <is>
          <t>84.345,50</t>
        </is>
      </c>
      <c r="H305" s="63" t="inlineStr">
        <is>
          <t>116,92</t>
        </is>
      </c>
      <c r="I305" s="63" t="inlineStr">
        <is>
          <t>721,35</t>
        </is>
      </c>
      <c r="J305" s="65" t="n"/>
      <c r="K305" s="65" t="n">
        <v>877</v>
      </c>
      <c r="L305" s="65" t="inlineStr">
        <is>
          <t>[0877] SS EXTRA PROTECCION API SN SAE 15W-40 (1X12)</t>
        </is>
      </c>
      <c r="M305" s="63" t="inlineStr">
        <is>
          <t>100,80</t>
        </is>
      </c>
      <c r="N305" s="63" t="inlineStr">
        <is>
          <t>1,00</t>
        </is>
      </c>
      <c r="O305" s="63" t="inlineStr">
        <is>
          <t>0,00</t>
        </is>
      </c>
      <c r="P305" s="63" t="inlineStr">
        <is>
          <t>100,80</t>
        </is>
      </c>
      <c r="Q305" s="63" t="inlineStr">
        <is>
          <t>116,93</t>
        </is>
      </c>
    </row>
    <row r="306">
      <c r="A306" s="66" t="n">
        <v>46216</v>
      </c>
      <c r="B306" s="65" t="n">
        <v>388</v>
      </c>
      <c r="C306" s="65" t="inlineStr">
        <is>
          <t>00-00000931</t>
        </is>
      </c>
      <c r="D306" s="65" t="inlineStr">
        <is>
          <t>S00494</t>
        </is>
      </c>
      <c r="E306" s="65" t="inlineStr">
        <is>
          <t>Inversiones García GL C.A</t>
        </is>
      </c>
      <c r="F306" s="63" t="inlineStr">
        <is>
          <t>207.610,47</t>
        </is>
      </c>
      <c r="G306" s="63" t="inlineStr">
        <is>
          <t>240.828,14</t>
        </is>
      </c>
      <c r="H306" s="63" t="inlineStr">
        <is>
          <t>333,83</t>
        </is>
      </c>
      <c r="I306" s="63" t="inlineStr">
        <is>
          <t>721,35</t>
        </is>
      </c>
      <c r="J306" s="65" t="n"/>
      <c r="K306" s="65" t="n">
        <v>881</v>
      </c>
      <c r="L306" s="65" t="inlineStr">
        <is>
          <t>[0881] CLASICO API SL SAE 20W-50 (1x12)</t>
        </is>
      </c>
      <c r="M306" s="63" t="inlineStr">
        <is>
          <t>86,21</t>
        </is>
      </c>
      <c r="N306" s="63" t="inlineStr">
        <is>
          <t>1,00</t>
        </is>
      </c>
      <c r="O306" s="63" t="inlineStr">
        <is>
          <t>0,00</t>
        </is>
      </c>
      <c r="P306" s="63" t="inlineStr">
        <is>
          <t>86,21</t>
        </is>
      </c>
      <c r="Q306" s="63" t="inlineStr">
        <is>
          <t>100,00</t>
        </is>
      </c>
    </row>
    <row r="307">
      <c r="A307" s="65" t="n"/>
      <c r="B307" s="65" t="n"/>
      <c r="C307" s="65" t="n"/>
      <c r="D307" s="65" t="n"/>
      <c r="E307" s="65" t="n"/>
      <c r="F307" s="65" t="n"/>
      <c r="G307" s="65" t="n"/>
      <c r="H307" s="65" t="n"/>
      <c r="I307" s="65" t="n"/>
      <c r="J307" s="65" t="n"/>
      <c r="K307" s="65" t="n">
        <v>877</v>
      </c>
      <c r="L307" s="65" t="inlineStr">
        <is>
          <t>[0877] SS EXTRA PROTECCION API SN SAE 15W-40 (1X12)</t>
        </is>
      </c>
      <c r="M307" s="63" t="inlineStr">
        <is>
          <t>100,80</t>
        </is>
      </c>
      <c r="N307" s="63" t="inlineStr">
        <is>
          <t>2,00</t>
        </is>
      </c>
      <c r="O307" s="63" t="inlineStr">
        <is>
          <t>0,00</t>
        </is>
      </c>
      <c r="P307" s="63" t="inlineStr">
        <is>
          <t>201,60</t>
        </is>
      </c>
      <c r="Q307" s="63" t="inlineStr">
        <is>
          <t>233,86</t>
        </is>
      </c>
    </row>
    <row r="308">
      <c r="A308" s="66" t="n">
        <v>46216</v>
      </c>
      <c r="B308" s="65" t="n">
        <v>387</v>
      </c>
      <c r="C308" s="65" t="inlineStr">
        <is>
          <t>00-00000930</t>
        </is>
      </c>
      <c r="D308" s="65" t="inlineStr">
        <is>
          <t>S00495</t>
        </is>
      </c>
      <c r="E308" s="65" t="inlineStr">
        <is>
          <t>Automotriz Danale C.A</t>
        </is>
      </c>
      <c r="F308" s="63" t="inlineStr">
        <is>
          <t>24.872,00</t>
        </is>
      </c>
      <c r="G308" s="63" t="inlineStr">
        <is>
          <t>28.851,52</t>
        </is>
      </c>
      <c r="H308" s="63" t="inlineStr">
        <is>
          <t>39,99</t>
        </is>
      </c>
      <c r="I308" s="63" t="inlineStr">
        <is>
          <t>721,35</t>
        </is>
      </c>
      <c r="J308" s="65" t="n"/>
      <c r="K308" s="65" t="n">
        <v>792</v>
      </c>
      <c r="L308" s="65" t="inlineStr">
        <is>
          <t>[0792] REFRIGERANTE GLOBAL ROJO (1X3)</t>
        </is>
      </c>
      <c r="M308" s="63" t="inlineStr">
        <is>
          <t>34,48</t>
        </is>
      </c>
      <c r="N308" s="63" t="inlineStr">
        <is>
          <t>1,00</t>
        </is>
      </c>
      <c r="O308" s="63" t="inlineStr">
        <is>
          <t>0,00</t>
        </is>
      </c>
      <c r="P308" s="63" t="inlineStr">
        <is>
          <t>34,48</t>
        </is>
      </c>
      <c r="Q308" s="63" t="inlineStr">
        <is>
          <t>40,00</t>
        </is>
      </c>
    </row>
    <row r="309">
      <c r="A309" s="66" t="n">
        <v>46216</v>
      </c>
      <c r="B309" s="65" t="n">
        <v>386</v>
      </c>
      <c r="C309" s="65" t="inlineStr">
        <is>
          <t>00-00000929</t>
        </is>
      </c>
      <c r="D309" s="65" t="inlineStr">
        <is>
          <t>S00353</t>
        </is>
      </c>
      <c r="E309" s="65" t="inlineStr">
        <is>
          <t>Emprendimiento Tomas Paz</t>
        </is>
      </c>
      <c r="F309" s="63" t="inlineStr">
        <is>
          <t>65.916,06</t>
        </is>
      </c>
      <c r="G309" s="63" t="inlineStr">
        <is>
          <t>76.462,63</t>
        </is>
      </c>
      <c r="H309" s="63" t="inlineStr">
        <is>
          <t>105,99</t>
        </is>
      </c>
      <c r="I309" s="63" t="inlineStr">
        <is>
          <t>721,35</t>
        </is>
      </c>
      <c r="J309" s="65" t="n"/>
      <c r="K309" s="65" t="n">
        <v>779</v>
      </c>
      <c r="L309" s="65" t="inlineStr">
        <is>
          <t>[0779] SINOCO SAE 20W-50 (1x12)</t>
        </is>
      </c>
      <c r="M309" s="63" t="inlineStr">
        <is>
          <t>45,69</t>
        </is>
      </c>
      <c r="N309" s="63" t="inlineStr">
        <is>
          <t>2,00</t>
        </is>
      </c>
      <c r="O309" s="63" t="inlineStr">
        <is>
          <t>0,00</t>
        </is>
      </c>
      <c r="P309" s="63" t="inlineStr">
        <is>
          <t>91,38</t>
        </is>
      </c>
      <c r="Q309" s="63" t="inlineStr">
        <is>
          <t>106,00</t>
        </is>
      </c>
    </row>
    <row r="310">
      <c r="A310" s="66" t="n">
        <v>46216</v>
      </c>
      <c r="B310" s="65" t="n">
        <v>385</v>
      </c>
      <c r="C310" s="65" t="inlineStr">
        <is>
          <t>00-00000928</t>
        </is>
      </c>
      <c r="D310" s="65" t="inlineStr">
        <is>
          <t>S00354</t>
        </is>
      </c>
      <c r="E310" s="65" t="inlineStr">
        <is>
          <t>REPRESENTACIONES LAGUS MEL, C. A</t>
        </is>
      </c>
      <c r="F310" s="63" t="inlineStr">
        <is>
          <t>134.319,53</t>
        </is>
      </c>
      <c r="G310" s="63" t="inlineStr">
        <is>
          <t>155.810,65</t>
        </is>
      </c>
      <c r="H310" s="63" t="inlineStr">
        <is>
          <t>215,99</t>
        </is>
      </c>
      <c r="I310" s="63" t="inlineStr">
        <is>
          <t>721,35</t>
        </is>
      </c>
      <c r="J310" s="65" t="n"/>
      <c r="K310" s="65" t="n">
        <v>884</v>
      </c>
      <c r="L310" s="65" t="inlineStr">
        <is>
          <t>[0884] TRANSMATIC ATF DEXRON III (1x12)</t>
        </is>
      </c>
      <c r="M310" s="63" t="inlineStr">
        <is>
          <t>62,07</t>
        </is>
      </c>
      <c r="N310" s="63" t="inlineStr">
        <is>
          <t>3,00</t>
        </is>
      </c>
      <c r="O310" s="63" t="inlineStr">
        <is>
          <t>0,00</t>
        </is>
      </c>
      <c r="P310" s="63" t="inlineStr">
        <is>
          <t>186,21</t>
        </is>
      </c>
      <c r="Q310" s="63" t="inlineStr">
        <is>
          <t>216,00</t>
        </is>
      </c>
    </row>
    <row r="311">
      <c r="A311" s="66" t="n">
        <v>46216</v>
      </c>
      <c r="B311" s="65" t="n">
        <v>384</v>
      </c>
      <c r="C311" s="65" t="inlineStr">
        <is>
          <t>00-00000927</t>
        </is>
      </c>
      <c r="D311" s="65" t="inlineStr">
        <is>
          <t>S00364</t>
        </is>
      </c>
      <c r="E311" s="65" t="inlineStr">
        <is>
          <t>CAUCHOS NUÑEZ, C.A.</t>
        </is>
      </c>
      <c r="F311" s="63" t="inlineStr">
        <is>
          <t>65.916,06</t>
        </is>
      </c>
      <c r="G311" s="63" t="inlineStr">
        <is>
          <t>76.462,63</t>
        </is>
      </c>
      <c r="H311" s="63" t="inlineStr">
        <is>
          <t>105,99</t>
        </is>
      </c>
      <c r="I311" s="63" t="inlineStr">
        <is>
          <t>721,35</t>
        </is>
      </c>
      <c r="J311" s="65" t="n"/>
      <c r="K311" s="65" t="n">
        <v>779</v>
      </c>
      <c r="L311" s="65" t="inlineStr">
        <is>
          <t>[0779] SINOCO SAE 20W-50 (1x12)</t>
        </is>
      </c>
      <c r="M311" s="63" t="inlineStr">
        <is>
          <t>45,69</t>
        </is>
      </c>
      <c r="N311" s="63" t="inlineStr">
        <is>
          <t>2,00</t>
        </is>
      </c>
      <c r="O311" s="63" t="inlineStr">
        <is>
          <t>0,00</t>
        </is>
      </c>
      <c r="P311" s="63" t="inlineStr">
        <is>
          <t>91,38</t>
        </is>
      </c>
      <c r="Q311" s="63" t="inlineStr">
        <is>
          <t>106,00</t>
        </is>
      </c>
    </row>
    <row r="312">
      <c r="A312" s="66" t="n">
        <v>46216</v>
      </c>
      <c r="B312" s="65" t="n">
        <v>383</v>
      </c>
      <c r="C312" s="65" t="inlineStr">
        <is>
          <t>00-00000926</t>
        </is>
      </c>
      <c r="D312" s="65" t="inlineStr">
        <is>
          <t>S00366</t>
        </is>
      </c>
      <c r="E312" s="65" t="inlineStr">
        <is>
          <t>Auto repuestos Fontalvo</t>
        </is>
      </c>
      <c r="F312" s="63" t="inlineStr">
        <is>
          <t>47.260,57</t>
        </is>
      </c>
      <c r="G312" s="63" t="inlineStr">
        <is>
          <t>54.822,26</t>
        </is>
      </c>
      <c r="H312" s="63" t="inlineStr">
        <is>
          <t>75,99</t>
        </is>
      </c>
      <c r="I312" s="63" t="inlineStr">
        <is>
          <t>721,35</t>
        </is>
      </c>
      <c r="J312" s="65" t="n">
        <v>914</v>
      </c>
      <c r="K312" s="65" t="n">
        <v>25</v>
      </c>
      <c r="L312" s="65" t="inlineStr">
        <is>
          <t>[0025] SS EXTRA PROTECCION API SN SAE 10W-30 (Gasolina) (1x6)</t>
        </is>
      </c>
      <c r="M312" s="63" t="inlineStr">
        <is>
          <t>32,76</t>
        </is>
      </c>
      <c r="N312" s="63" t="inlineStr">
        <is>
          <t>2,00</t>
        </is>
      </c>
      <c r="O312" s="63" t="inlineStr">
        <is>
          <t>0,00</t>
        </is>
      </c>
      <c r="P312" s="63" t="inlineStr">
        <is>
          <t>65,52</t>
        </is>
      </c>
      <c r="Q312" s="63" t="inlineStr">
        <is>
          <t>76,00</t>
        </is>
      </c>
    </row>
    <row r="313">
      <c r="A313" s="66" t="n">
        <v>46216</v>
      </c>
      <c r="B313" s="65" t="n">
        <v>382</v>
      </c>
      <c r="C313" s="65" t="inlineStr">
        <is>
          <t>00-00000925</t>
        </is>
      </c>
      <c r="D313" s="65" t="inlineStr">
        <is>
          <t>S00380</t>
        </is>
      </c>
      <c r="E313" s="65" t="inlineStr">
        <is>
          <t>Junior Marco Antonio Vivas Navas</t>
        </is>
      </c>
      <c r="F313" s="63" t="inlineStr">
        <is>
          <t>55.344,62</t>
        </is>
      </c>
      <c r="G313" s="63" t="inlineStr">
        <is>
          <t>64.199,76</t>
        </is>
      </c>
      <c r="H313" s="63" t="inlineStr">
        <is>
          <t>88,99</t>
        </is>
      </c>
      <c r="I313" s="63" t="inlineStr">
        <is>
          <t>721,35</t>
        </is>
      </c>
      <c r="J313" s="65" t="n"/>
      <c r="K313" s="65" t="n">
        <v>93</v>
      </c>
      <c r="L313" s="65" t="inlineStr">
        <is>
          <t>[0093] ALTA CILINDRADA SS API SN SAE 15W-40 (1x6)</t>
        </is>
      </c>
      <c r="M313" s="63" t="inlineStr">
        <is>
          <t>30,17</t>
        </is>
      </c>
      <c r="N313" s="63" t="inlineStr">
        <is>
          <t>1,00</t>
        </is>
      </c>
      <c r="O313" s="63" t="inlineStr">
        <is>
          <t>0,00</t>
        </is>
      </c>
      <c r="P313" s="63" t="inlineStr">
        <is>
          <t>30,17</t>
        </is>
      </c>
      <c r="Q313" s="63" t="inlineStr">
        <is>
          <t>35,00</t>
        </is>
      </c>
    </row>
    <row r="314">
      <c r="A314" s="65" t="n"/>
      <c r="B314" s="65" t="n"/>
      <c r="C314" s="65" t="n"/>
      <c r="D314" s="65" t="n"/>
      <c r="E314" s="65" t="n"/>
      <c r="F314" s="65" t="n"/>
      <c r="G314" s="65" t="n"/>
      <c r="H314" s="65" t="n"/>
      <c r="I314" s="65" t="n"/>
      <c r="J314" s="65" t="n"/>
      <c r="K314" s="65" t="n">
        <v>761</v>
      </c>
      <c r="L314" s="65" t="inlineStr">
        <is>
          <t>[0761] LIGA PARA FRENOS DOT-3 (1x12)</t>
        </is>
      </c>
      <c r="M314" s="63" t="inlineStr">
        <is>
          <t>23,28</t>
        </is>
      </c>
      <c r="N314" s="63" t="inlineStr">
        <is>
          <t>2,00</t>
        </is>
      </c>
      <c r="O314" s="63" t="inlineStr">
        <is>
          <t>0,00</t>
        </is>
      </c>
      <c r="P314" s="63" t="inlineStr">
        <is>
          <t>46,55</t>
        </is>
      </c>
      <c r="Q314" s="63" t="inlineStr">
        <is>
          <t>54,00</t>
        </is>
      </c>
    </row>
    <row r="315">
      <c r="A315" s="66" t="n">
        <v>46216</v>
      </c>
      <c r="B315" s="65" t="n">
        <v>381</v>
      </c>
      <c r="C315" s="65" t="inlineStr">
        <is>
          <t>00-00000924</t>
        </is>
      </c>
      <c r="D315" s="65" t="inlineStr">
        <is>
          <t>S00384</t>
        </is>
      </c>
      <c r="E315" s="65" t="inlineStr">
        <is>
          <t>Marco Romero</t>
        </is>
      </c>
      <c r="F315" s="63" t="inlineStr">
        <is>
          <t>21.764,74</t>
        </is>
      </c>
      <c r="G315" s="63" t="inlineStr">
        <is>
          <t>25.247,10</t>
        </is>
      </c>
      <c r="H315" s="63" t="inlineStr">
        <is>
          <t>34,99</t>
        </is>
      </c>
      <c r="I315" s="63" t="inlineStr">
        <is>
          <t>721,35</t>
        </is>
      </c>
      <c r="J315" s="65" t="n"/>
      <c r="K315" s="65" t="n">
        <v>93</v>
      </c>
      <c r="L315" s="65" t="inlineStr">
        <is>
          <t>[0093] ALTA CILINDRADA SS API SN SAE 15W-40 (1x6)</t>
        </is>
      </c>
      <c r="M315" s="63" t="inlineStr">
        <is>
          <t>30,17</t>
        </is>
      </c>
      <c r="N315" s="63" t="inlineStr">
        <is>
          <t>1,00</t>
        </is>
      </c>
      <c r="O315" s="63" t="inlineStr">
        <is>
          <t>0,00</t>
        </is>
      </c>
      <c r="P315" s="63" t="inlineStr">
        <is>
          <t>30,17</t>
        </is>
      </c>
      <c r="Q315" s="63" t="inlineStr">
        <is>
          <t>35,00</t>
        </is>
      </c>
    </row>
    <row r="316">
      <c r="A316" s="66" t="n">
        <v>46216</v>
      </c>
      <c r="B316" s="65" t="n">
        <v>380</v>
      </c>
      <c r="C316" s="65" t="inlineStr">
        <is>
          <t>00-00000923</t>
        </is>
      </c>
      <c r="D316" s="65" t="inlineStr">
        <is>
          <t>S00392</t>
        </is>
      </c>
      <c r="E316" s="65" t="inlineStr">
        <is>
          <t>CASERES GONZALEZ RONALD OSWALDO</t>
        </is>
      </c>
      <c r="F316" s="63" t="inlineStr">
        <is>
          <t>47.260,57</t>
        </is>
      </c>
      <c r="G316" s="63" t="inlineStr">
        <is>
          <t>54.822,26</t>
        </is>
      </c>
      <c r="H316" s="63" t="inlineStr">
        <is>
          <t>75,99</t>
        </is>
      </c>
      <c r="I316" s="63" t="inlineStr">
        <is>
          <t>721,35</t>
        </is>
      </c>
      <c r="J316" s="65" t="n"/>
      <c r="K316" s="65" t="n">
        <v>878</v>
      </c>
      <c r="L316" s="65" t="inlineStr">
        <is>
          <t>[0878] SS EXTRA PROTECCION API SN SAE 20W-50 (1x12)</t>
        </is>
      </c>
      <c r="M316" s="63" t="inlineStr">
        <is>
          <t>65,52</t>
        </is>
      </c>
      <c r="N316" s="63" t="inlineStr">
        <is>
          <t>1,00</t>
        </is>
      </c>
      <c r="O316" s="63" t="inlineStr">
        <is>
          <t>0,00</t>
        </is>
      </c>
      <c r="P316" s="63" t="inlineStr">
        <is>
          <t>65,52</t>
        </is>
      </c>
      <c r="Q316" s="63" t="inlineStr">
        <is>
          <t>76,00</t>
        </is>
      </c>
    </row>
    <row r="317">
      <c r="A317" s="66" t="n">
        <v>46216</v>
      </c>
      <c r="B317" s="65" t="n">
        <v>379</v>
      </c>
      <c r="C317" s="65" t="inlineStr">
        <is>
          <t>00-00000922</t>
        </is>
      </c>
      <c r="D317" s="65" t="inlineStr">
        <is>
          <t>S00402</t>
        </is>
      </c>
      <c r="E317" s="65" t="inlineStr">
        <is>
          <t>Jorge Luis camacaro</t>
        </is>
      </c>
      <c r="F317" s="63" t="inlineStr">
        <is>
          <t>42.285,78</t>
        </is>
      </c>
      <c r="G317" s="63" t="inlineStr">
        <is>
          <t>49.051,50</t>
        </is>
      </c>
      <c r="H317" s="63" t="inlineStr">
        <is>
          <t>67,99</t>
        </is>
      </c>
      <c r="I317" s="63" t="inlineStr">
        <is>
          <t>721,35</t>
        </is>
      </c>
      <c r="J317" s="65" t="n"/>
      <c r="K317" s="65" t="n">
        <v>887</v>
      </c>
      <c r="L317" s="65" t="inlineStr">
        <is>
          <t>[0887] MOTOCLASICO 4T SAE 20W-50 (1x12)</t>
        </is>
      </c>
      <c r="M317" s="63" t="inlineStr">
        <is>
          <t>58,62</t>
        </is>
      </c>
      <c r="N317" s="63" t="inlineStr">
        <is>
          <t>1,00</t>
        </is>
      </c>
      <c r="O317" s="63" t="inlineStr">
        <is>
          <t>0,00</t>
        </is>
      </c>
      <c r="P317" s="63" t="inlineStr">
        <is>
          <t>58,62</t>
        </is>
      </c>
      <c r="Q317" s="63" t="inlineStr">
        <is>
          <t>68,00</t>
        </is>
      </c>
    </row>
    <row r="318">
      <c r="A318" s="66" t="n">
        <v>46216</v>
      </c>
      <c r="B318" s="65" t="n">
        <v>378</v>
      </c>
      <c r="C318" s="65" t="inlineStr">
        <is>
          <t>00-00000921</t>
        </is>
      </c>
      <c r="D318" s="65" t="inlineStr">
        <is>
          <t>S00401</t>
        </is>
      </c>
      <c r="E318" s="65" t="inlineStr">
        <is>
          <t>Jorge Luis camacaro</t>
        </is>
      </c>
      <c r="F318" s="63" t="inlineStr">
        <is>
          <t>21.764,74</t>
        </is>
      </c>
      <c r="G318" s="63" t="inlineStr">
        <is>
          <t>25.247,10</t>
        </is>
      </c>
      <c r="H318" s="63" t="inlineStr">
        <is>
          <t>34,99</t>
        </is>
      </c>
      <c r="I318" s="63" t="inlineStr">
        <is>
          <t>721,35</t>
        </is>
      </c>
      <c r="J318" s="65" t="n"/>
      <c r="K318" s="65" t="n">
        <v>93</v>
      </c>
      <c r="L318" s="65" t="inlineStr">
        <is>
          <t>[0093] ALTA CILINDRADA SS API SN SAE 15W-40 (1x6)</t>
        </is>
      </c>
      <c r="M318" s="63" t="inlineStr">
        <is>
          <t>30,17</t>
        </is>
      </c>
      <c r="N318" s="63" t="inlineStr">
        <is>
          <t>1,00</t>
        </is>
      </c>
      <c r="O318" s="63" t="inlineStr">
        <is>
          <t>0,00</t>
        </is>
      </c>
      <c r="P318" s="63" t="inlineStr">
        <is>
          <t>30,17</t>
        </is>
      </c>
      <c r="Q318" s="63" t="inlineStr">
        <is>
          <t>35,00</t>
        </is>
      </c>
    </row>
    <row r="319">
      <c r="A319" s="66" t="n">
        <v>46216</v>
      </c>
      <c r="B319" s="65" t="n">
        <v>377</v>
      </c>
      <c r="C319" s="65" t="inlineStr">
        <is>
          <t>00-00000920</t>
        </is>
      </c>
      <c r="D319" s="65" t="inlineStr">
        <is>
          <t>S00407</t>
        </is>
      </c>
      <c r="E319" s="65" t="inlineStr">
        <is>
          <t>FREDI MARQUEZ</t>
        </is>
      </c>
      <c r="F319" s="63" t="inlineStr">
        <is>
          <t>84.959,41</t>
        </is>
      </c>
      <c r="G319" s="63" t="inlineStr">
        <is>
          <t>98.552,92</t>
        </is>
      </c>
      <c r="H319" s="63" t="inlineStr">
        <is>
          <t>136,61</t>
        </is>
      </c>
      <c r="I319" s="63" t="inlineStr">
        <is>
          <t>721,35</t>
        </is>
      </c>
      <c r="J319" s="65" t="n"/>
      <c r="K319" s="65" t="n">
        <v>602</v>
      </c>
      <c r="L319" s="65" t="inlineStr">
        <is>
          <t>[0602] SINOCO SAE 50 (PAILA)</t>
        </is>
      </c>
      <c r="M319" s="63" t="inlineStr">
        <is>
          <t>60,35</t>
        </is>
      </c>
      <c r="N319" s="63" t="inlineStr">
        <is>
          <t>2,00</t>
        </is>
      </c>
      <c r="O319" s="63" t="inlineStr">
        <is>
          <t>2,42</t>
        </is>
      </c>
      <c r="P319" s="63" t="inlineStr">
        <is>
          <t>117,78</t>
        </is>
      </c>
      <c r="Q319" s="63" t="inlineStr">
        <is>
          <t>136,62</t>
        </is>
      </c>
    </row>
    <row r="320">
      <c r="A320" s="66" t="n">
        <v>46216</v>
      </c>
      <c r="B320" s="65" t="n">
        <v>376</v>
      </c>
      <c r="C320" s="65" t="inlineStr">
        <is>
          <t>00-00000919</t>
        </is>
      </c>
      <c r="D320" s="65" t="inlineStr">
        <is>
          <t>S00425</t>
        </is>
      </c>
      <c r="E320" s="65" t="inlineStr">
        <is>
          <t>Katiuska Alejandra Curvelo</t>
        </is>
      </c>
      <c r="F320" s="63" t="inlineStr">
        <is>
          <t>129.966,58</t>
        </is>
      </c>
      <c r="G320" s="63" t="inlineStr">
        <is>
          <t>150.761,23</t>
        </is>
      </c>
      <c r="H320" s="63" t="inlineStr">
        <is>
          <t>208,98</t>
        </is>
      </c>
      <c r="I320" s="63" t="inlineStr">
        <is>
          <t>721,35</t>
        </is>
      </c>
      <c r="J320" s="65" t="n"/>
      <c r="K320" s="65" t="n">
        <v>887</v>
      </c>
      <c r="L320" s="65" t="inlineStr">
        <is>
          <t>[0887] MOTOCLASICO 4T SAE 20W-50 (1x12)</t>
        </is>
      </c>
      <c r="M320" s="63" t="inlineStr">
        <is>
          <t>58,62</t>
        </is>
      </c>
      <c r="N320" s="63" t="inlineStr">
        <is>
          <t>1,00</t>
        </is>
      </c>
      <c r="O320" s="63" t="inlineStr">
        <is>
          <t>0,00</t>
        </is>
      </c>
      <c r="P320" s="63" t="inlineStr">
        <is>
          <t>58,62</t>
        </is>
      </c>
      <c r="Q320" s="63" t="inlineStr">
        <is>
          <t>68,00</t>
        </is>
      </c>
    </row>
    <row r="321">
      <c r="A321" s="65" t="n"/>
      <c r="B321" s="65" t="n"/>
      <c r="C321" s="65" t="n"/>
      <c r="D321" s="65" t="n"/>
      <c r="E321" s="65" t="n"/>
      <c r="F321" s="65" t="n"/>
      <c r="G321" s="65" t="n"/>
      <c r="H321" s="65" t="n"/>
      <c r="I321" s="65" t="n"/>
      <c r="J321" s="65" t="n"/>
      <c r="K321" s="65" t="n">
        <v>880</v>
      </c>
      <c r="L321" s="65" t="inlineStr">
        <is>
          <t>[0880] CLASICO API SL SAE 15W-40 (1x12)</t>
        </is>
      </c>
      <c r="M321" s="63" t="inlineStr">
        <is>
          <t>56,03</t>
        </is>
      </c>
      <c r="N321" s="63" t="inlineStr">
        <is>
          <t>1,00</t>
        </is>
      </c>
      <c r="O321" s="63" t="inlineStr">
        <is>
          <t>0,00</t>
        </is>
      </c>
      <c r="P321" s="63" t="inlineStr">
        <is>
          <t>56,03</t>
        </is>
      </c>
      <c r="Q321" s="63" t="inlineStr">
        <is>
          <t>65,00</t>
        </is>
      </c>
    </row>
    <row r="322">
      <c r="A322" s="65" t="n"/>
      <c r="B322" s="65" t="n"/>
      <c r="C322" s="65" t="n"/>
      <c r="D322" s="65" t="n"/>
      <c r="E322" s="65" t="n"/>
      <c r="F322" s="65" t="n"/>
      <c r="G322" s="65" t="n"/>
      <c r="H322" s="65" t="n"/>
      <c r="I322" s="65" t="n"/>
      <c r="J322" s="65" t="n"/>
      <c r="K322" s="65" t="n">
        <v>877</v>
      </c>
      <c r="L322" s="65" t="inlineStr">
        <is>
          <t>[0877] SS EXTRA PROTECCION API SN SAE 15W-40 (1X12)</t>
        </is>
      </c>
      <c r="M322" s="63" t="inlineStr">
        <is>
          <t>65,52</t>
        </is>
      </c>
      <c r="N322" s="63" t="inlineStr">
        <is>
          <t>1,00</t>
        </is>
      </c>
      <c r="O322" s="63" t="inlineStr">
        <is>
          <t>0,00</t>
        </is>
      </c>
      <c r="P322" s="63" t="inlineStr">
        <is>
          <t>65,52</t>
        </is>
      </c>
      <c r="Q322" s="63" t="inlineStr">
        <is>
          <t>76,00</t>
        </is>
      </c>
    </row>
    <row r="323">
      <c r="A323" s="66" t="n">
        <v>46216</v>
      </c>
      <c r="B323" s="65" t="n">
        <v>375</v>
      </c>
      <c r="C323" s="65" t="inlineStr">
        <is>
          <t>00-00000918</t>
        </is>
      </c>
      <c r="D323" s="65" t="inlineStr">
        <is>
          <t>S00428</t>
        </is>
      </c>
      <c r="E323" s="65" t="inlineStr">
        <is>
          <t>Angel ARMAS</t>
        </is>
      </c>
      <c r="F323" s="63" t="inlineStr">
        <is>
          <t>87.680,80</t>
        </is>
      </c>
      <c r="G323" s="63" t="inlineStr">
        <is>
          <t>101.709,73</t>
        </is>
      </c>
      <c r="H323" s="63" t="inlineStr">
        <is>
          <t>140,98</t>
        </is>
      </c>
      <c r="I323" s="63" t="inlineStr">
        <is>
          <t>721,35</t>
        </is>
      </c>
      <c r="J323" s="65" t="n">
        <v>633</v>
      </c>
      <c r="K323" s="65" t="n">
        <v>880</v>
      </c>
      <c r="L323" s="65" t="inlineStr">
        <is>
          <t>[0880] CLASICO API SL SAE 15W-40 (1x12)</t>
        </is>
      </c>
      <c r="M323" s="63" t="inlineStr">
        <is>
          <t>56,03</t>
        </is>
      </c>
      <c r="N323" s="63" t="inlineStr">
        <is>
          <t>1,00</t>
        </is>
      </c>
      <c r="O323" s="63" t="inlineStr">
        <is>
          <t>0,00</t>
        </is>
      </c>
      <c r="P323" s="63" t="inlineStr">
        <is>
          <t>56,03</t>
        </is>
      </c>
      <c r="Q323" s="63" t="inlineStr">
        <is>
          <t>65,00</t>
        </is>
      </c>
    </row>
    <row r="324">
      <c r="A324" s="65" t="n"/>
      <c r="B324" s="65" t="n"/>
      <c r="C324" s="65" t="n"/>
      <c r="D324" s="65" t="n"/>
      <c r="E324" s="65" t="n"/>
      <c r="F324" s="65" t="n"/>
      <c r="G324" s="65" t="n"/>
      <c r="H324" s="65" t="n"/>
      <c r="I324" s="65" t="n"/>
      <c r="J324" s="65" t="n">
        <v>634</v>
      </c>
      <c r="K324" s="65" t="n"/>
      <c r="L324" s="65" t="n"/>
      <c r="M324" s="65" t="n"/>
      <c r="N324" s="65" t="n"/>
      <c r="O324" s="65" t="n"/>
      <c r="P324" s="65" t="n"/>
      <c r="Q324" s="65" t="n"/>
    </row>
    <row r="325">
      <c r="A325" s="65" t="n"/>
      <c r="B325" s="65" t="n"/>
      <c r="C325" s="65" t="n"/>
      <c r="D325" s="65" t="n"/>
      <c r="E325" s="65" t="n"/>
      <c r="F325" s="65" t="n"/>
      <c r="G325" s="65" t="n"/>
      <c r="H325" s="65" t="n"/>
      <c r="I325" s="65" t="n"/>
      <c r="J325" s="65" t="n">
        <v>635</v>
      </c>
      <c r="K325" s="65" t="n"/>
      <c r="L325" s="65" t="n"/>
      <c r="M325" s="65" t="n"/>
      <c r="N325" s="65" t="n"/>
      <c r="O325" s="65" t="n"/>
      <c r="P325" s="65" t="n"/>
      <c r="Q325" s="65" t="n"/>
    </row>
    <row r="326">
      <c r="A326" s="65" t="n"/>
      <c r="B326" s="65" t="n"/>
      <c r="C326" s="65" t="n"/>
      <c r="D326" s="65" t="n"/>
      <c r="E326" s="65" t="n"/>
      <c r="F326" s="65" t="n"/>
      <c r="G326" s="65" t="n"/>
      <c r="H326" s="65" t="n"/>
      <c r="I326" s="65" t="n"/>
      <c r="J326" s="65" t="n"/>
      <c r="K326" s="65" t="n">
        <v>877</v>
      </c>
      <c r="L326" s="65" t="inlineStr">
        <is>
          <t>[0877] SS EXTRA PROTECCION API SN SAE 15W-40 (1X12)</t>
        </is>
      </c>
      <c r="M326" s="63" t="inlineStr">
        <is>
          <t>65,52</t>
        </is>
      </c>
      <c r="N326" s="63" t="inlineStr">
        <is>
          <t>1,00</t>
        </is>
      </c>
      <c r="O326" s="63" t="inlineStr">
        <is>
          <t>0,00</t>
        </is>
      </c>
      <c r="P326" s="63" t="inlineStr">
        <is>
          <t>65,52</t>
        </is>
      </c>
      <c r="Q326" s="63" t="inlineStr">
        <is>
          <t>76,00</t>
        </is>
      </c>
    </row>
    <row r="327">
      <c r="A327" s="66" t="n">
        <v>46216</v>
      </c>
      <c r="B327" s="65" t="n">
        <v>374</v>
      </c>
      <c r="C327" s="65" t="inlineStr">
        <is>
          <t>00-00000917</t>
        </is>
      </c>
      <c r="D327" s="65" t="inlineStr">
        <is>
          <t>S00429</t>
        </is>
      </c>
      <c r="E327" s="65" t="inlineStr">
        <is>
          <t>INVERSIONES SM 2191, C.A.</t>
        </is>
      </c>
      <c r="F327" s="63" t="inlineStr">
        <is>
          <t>141.765,04</t>
        </is>
      </c>
      <c r="G327" s="63" t="inlineStr">
        <is>
          <t>164.447,45</t>
        </is>
      </c>
      <c r="H327" s="63" t="inlineStr">
        <is>
          <t>227,95</t>
        </is>
      </c>
      <c r="I327" s="63" t="inlineStr">
        <is>
          <t>721,35</t>
        </is>
      </c>
      <c r="J327" s="65" t="n"/>
      <c r="K327" s="65" t="n">
        <v>885</v>
      </c>
      <c r="L327" s="65" t="inlineStr">
        <is>
          <t>[0885] TRANSMATIC ATF MERCON V (1x12)</t>
        </is>
      </c>
      <c r="M327" s="63" t="inlineStr">
        <is>
          <t>102,59</t>
        </is>
      </c>
      <c r="N327" s="63" t="inlineStr">
        <is>
          <t>1,00</t>
        </is>
      </c>
      <c r="O327" s="63" t="inlineStr">
        <is>
          <t>0,00</t>
        </is>
      </c>
      <c r="P327" s="63" t="inlineStr">
        <is>
          <t>102,59</t>
        </is>
      </c>
      <c r="Q327" s="63" t="inlineStr">
        <is>
          <t>119,00</t>
        </is>
      </c>
    </row>
    <row r="328">
      <c r="A328" s="65" t="n"/>
      <c r="B328" s="65" t="n"/>
      <c r="C328" s="65" t="n"/>
      <c r="D328" s="65" t="n"/>
      <c r="E328" s="65" t="n"/>
      <c r="F328" s="65" t="n"/>
      <c r="G328" s="65" t="n"/>
      <c r="H328" s="65" t="n"/>
      <c r="I328" s="65" t="n"/>
      <c r="J328" s="65" t="n"/>
      <c r="K328" s="65" t="n">
        <v>884</v>
      </c>
      <c r="L328" s="65" t="inlineStr">
        <is>
          <t>[0884] TRANSMATIC ATF DEXRON III (1x12)</t>
        </is>
      </c>
      <c r="M328" s="63" t="inlineStr">
        <is>
          <t>62,07</t>
        </is>
      </c>
      <c r="N328" s="63" t="inlineStr">
        <is>
          <t>1,00</t>
        </is>
      </c>
      <c r="O328" s="63" t="inlineStr">
        <is>
          <t>0,00</t>
        </is>
      </c>
      <c r="P328" s="63" t="inlineStr">
        <is>
          <t>62,07</t>
        </is>
      </c>
      <c r="Q328" s="63" t="inlineStr">
        <is>
          <t>72,00</t>
        </is>
      </c>
    </row>
    <row r="329">
      <c r="A329" s="65" t="n"/>
      <c r="B329" s="65" t="n"/>
      <c r="C329" s="65" t="n"/>
      <c r="D329" s="65" t="n"/>
      <c r="E329" s="65" t="n"/>
      <c r="F329" s="65" t="n"/>
      <c r="G329" s="65" t="n"/>
      <c r="H329" s="65" t="n"/>
      <c r="I329" s="65" t="n"/>
      <c r="J329" s="65" t="n"/>
      <c r="K329" s="65" t="n">
        <v>795</v>
      </c>
      <c r="L329" s="65" t="inlineStr">
        <is>
          <t>[0795] REFRIGERANTE GLOBAL ORANGE PREMIUM 50-50 CONCENTRADO (1x3)</t>
        </is>
      </c>
      <c r="M329" s="63" t="inlineStr">
        <is>
          <t>33,62</t>
        </is>
      </c>
      <c r="N329" s="63" t="inlineStr">
        <is>
          <t>1,00</t>
        </is>
      </c>
      <c r="O329" s="63" t="inlineStr">
        <is>
          <t>5,20</t>
        </is>
      </c>
      <c r="P329" s="63" t="inlineStr">
        <is>
          <t>31,87</t>
        </is>
      </c>
      <c r="Q329" s="63" t="inlineStr">
        <is>
          <t>36,97</t>
        </is>
      </c>
    </row>
    <row r="330">
      <c r="A330" s="65" t="n"/>
      <c r="B330" s="65" t="n"/>
      <c r="C330" s="65" t="n"/>
      <c r="D330" s="65" t="n"/>
      <c r="E330" s="65" t="n"/>
      <c r="F330" s="65" t="n"/>
      <c r="G330" s="65" t="n"/>
      <c r="H330" s="65" t="n"/>
      <c r="I330" s="65" t="n"/>
      <c r="J330" s="65" t="n"/>
      <c r="K330" s="65" t="n">
        <v>761</v>
      </c>
      <c r="L330" s="65" t="inlineStr">
        <is>
          <t>[0761] LIGA PARA FRENOS DOT-3 (1x12)</t>
        </is>
      </c>
      <c r="M330" s="63" t="inlineStr">
        <is>
          <t>0,00</t>
        </is>
      </c>
      <c r="N330" s="63" t="inlineStr">
        <is>
          <t>1,00</t>
        </is>
      </c>
      <c r="O330" s="63" t="inlineStr">
        <is>
          <t>0,00</t>
        </is>
      </c>
      <c r="P330" s="63" t="inlineStr">
        <is>
          <t>0,00</t>
        </is>
      </c>
      <c r="Q330" s="63" t="inlineStr">
        <is>
          <t>0,00</t>
        </is>
      </c>
    </row>
    <row r="331">
      <c r="A331" s="66" t="n">
        <v>46216</v>
      </c>
      <c r="B331" s="65" t="n">
        <v>373</v>
      </c>
      <c r="C331" s="65" t="inlineStr">
        <is>
          <t>00-00000916</t>
        </is>
      </c>
      <c r="D331" s="65" t="inlineStr">
        <is>
          <t>S00433</t>
        </is>
      </c>
      <c r="E331" s="65" t="inlineStr">
        <is>
          <t>INVERSIONES JOSCAR XXI, S.A.</t>
        </is>
      </c>
      <c r="F331" s="63" t="inlineStr">
        <is>
          <t>94.521,15</t>
        </is>
      </c>
      <c r="G331" s="63" t="inlineStr">
        <is>
          <t>109.644,53</t>
        </is>
      </c>
      <c r="H331" s="63" t="inlineStr">
        <is>
          <t>151,99</t>
        </is>
      </c>
      <c r="I331" s="63" t="inlineStr">
        <is>
          <t>721,35</t>
        </is>
      </c>
      <c r="J331" s="65" t="n"/>
      <c r="K331" s="65" t="n">
        <v>877</v>
      </c>
      <c r="L331" s="65" t="inlineStr">
        <is>
          <t>[0877] SS EXTRA PROTECCION API SN SAE 15W-40 (1X12)</t>
        </is>
      </c>
      <c r="M331" s="63" t="inlineStr">
        <is>
          <t>65,52</t>
        </is>
      </c>
      <c r="N331" s="63" t="inlineStr">
        <is>
          <t>2,00</t>
        </is>
      </c>
      <c r="O331" s="63" t="inlineStr">
        <is>
          <t>0,00</t>
        </is>
      </c>
      <c r="P331" s="63" t="inlineStr">
        <is>
          <t>131,03</t>
        </is>
      </c>
      <c r="Q331" s="63" t="inlineStr">
        <is>
          <t>152,00</t>
        </is>
      </c>
    </row>
    <row r="332">
      <c r="A332" s="66" t="n">
        <v>46216</v>
      </c>
      <c r="B332" s="65" t="n">
        <v>372</v>
      </c>
      <c r="C332" s="65" t="inlineStr">
        <is>
          <t>00-00000915</t>
        </is>
      </c>
      <c r="D332" s="65" t="inlineStr">
        <is>
          <t>S00436</t>
        </is>
      </c>
      <c r="E332" s="65" t="inlineStr">
        <is>
          <t>Marco Romero</t>
        </is>
      </c>
      <c r="F332" s="63" t="inlineStr">
        <is>
          <t>23.630,29</t>
        </is>
      </c>
      <c r="G332" s="63" t="inlineStr">
        <is>
          <t>27.411,14</t>
        </is>
      </c>
      <c r="H332" s="63" t="inlineStr">
        <is>
          <t>37,99</t>
        </is>
      </c>
      <c r="I332" s="63" t="inlineStr">
        <is>
          <t>721,35</t>
        </is>
      </c>
      <c r="J332" s="65" t="n"/>
      <c r="K332" s="65" t="n">
        <v>25</v>
      </c>
      <c r="L332" s="65" t="inlineStr">
        <is>
          <t>[0025] SS EXTRA PROTECCION API SN SAE 10W-30 (Gasolina) (1x6)</t>
        </is>
      </c>
      <c r="M332" s="63" t="inlineStr">
        <is>
          <t>32,76</t>
        </is>
      </c>
      <c r="N332" s="63" t="inlineStr">
        <is>
          <t>1,00</t>
        </is>
      </c>
      <c r="O332" s="63" t="inlineStr">
        <is>
          <t>0,00</t>
        </is>
      </c>
      <c r="P332" s="63" t="inlineStr">
        <is>
          <t>32,76</t>
        </is>
      </c>
      <c r="Q332" s="63" t="inlineStr">
        <is>
          <t>38,00</t>
        </is>
      </c>
    </row>
    <row r="333">
      <c r="A333" s="66" t="n">
        <v>46216</v>
      </c>
      <c r="B333" s="65" t="n">
        <v>371</v>
      </c>
      <c r="C333" s="65" t="inlineStr">
        <is>
          <t>00-00000914</t>
        </is>
      </c>
      <c r="D333" s="65" t="inlineStr">
        <is>
          <t>S00444</t>
        </is>
      </c>
      <c r="E333" s="65" t="inlineStr">
        <is>
          <t>GASOLVEN DISTRIBUIDORA, C.A</t>
        </is>
      </c>
      <c r="F333" s="63" t="inlineStr">
        <is>
          <t>34.201,73</t>
        </is>
      </c>
      <c r="G333" s="63" t="inlineStr">
        <is>
          <t>39.674,01</t>
        </is>
      </c>
      <c r="H333" s="63" t="inlineStr">
        <is>
          <t>54,99</t>
        </is>
      </c>
      <c r="I333" s="63" t="inlineStr">
        <is>
          <t>721,35</t>
        </is>
      </c>
      <c r="J333" s="65" t="n"/>
      <c r="K333" s="65" t="n">
        <v>13</v>
      </c>
      <c r="L333" s="65" t="inlineStr">
        <is>
          <t>[0013] ELITE API SN SAE 5W-30 (1x6)</t>
        </is>
      </c>
      <c r="M333" s="63" t="inlineStr">
        <is>
          <t>47,41</t>
        </is>
      </c>
      <c r="N333" s="63" t="inlineStr">
        <is>
          <t>1,00</t>
        </is>
      </c>
      <c r="O333" s="63" t="inlineStr">
        <is>
          <t>0,00</t>
        </is>
      </c>
      <c r="P333" s="63" t="inlineStr">
        <is>
          <t>47,41</t>
        </is>
      </c>
      <c r="Q333" s="63" t="inlineStr">
        <is>
          <t>55,00</t>
        </is>
      </c>
    </row>
    <row r="334">
      <c r="A334" s="66" t="n">
        <v>46216</v>
      </c>
      <c r="B334" s="65" t="n">
        <v>370</v>
      </c>
      <c r="C334" s="65" t="inlineStr">
        <is>
          <t>00-00000913</t>
        </is>
      </c>
      <c r="D334" s="65" t="inlineStr">
        <is>
          <t>S00446</t>
        </is>
      </c>
      <c r="E334" s="65" t="inlineStr">
        <is>
          <t>JOSE RAFAEL MARTÍNEZ</t>
        </is>
      </c>
      <c r="F334" s="63" t="inlineStr">
        <is>
          <t>44.773,18</t>
        </is>
      </c>
      <c r="G334" s="63" t="inlineStr">
        <is>
          <t>51.936,89</t>
        </is>
      </c>
      <c r="H334" s="63" t="inlineStr">
        <is>
          <t>71,99</t>
        </is>
      </c>
      <c r="I334" s="63" t="inlineStr">
        <is>
          <t>721,35</t>
        </is>
      </c>
      <c r="J334" s="65" t="n"/>
      <c r="K334" s="65" t="n">
        <v>884</v>
      </c>
      <c r="L334" s="65" t="inlineStr">
        <is>
          <t>[0884] TRANSMATIC ATF DEXRON III (1x12)</t>
        </is>
      </c>
      <c r="M334" s="63" t="inlineStr">
        <is>
          <t>62,07</t>
        </is>
      </c>
      <c r="N334" s="63" t="inlineStr">
        <is>
          <t>1,00</t>
        </is>
      </c>
      <c r="O334" s="63" t="inlineStr">
        <is>
          <t>0,00</t>
        </is>
      </c>
      <c r="P334" s="63" t="inlineStr">
        <is>
          <t>62,07</t>
        </is>
      </c>
      <c r="Q334" s="63" t="inlineStr">
        <is>
          <t>72,00</t>
        </is>
      </c>
    </row>
    <row r="335">
      <c r="A335" s="66" t="n">
        <v>46216</v>
      </c>
      <c r="B335" s="65" t="n">
        <v>369</v>
      </c>
      <c r="C335" s="65" t="inlineStr">
        <is>
          <t>00-00000912</t>
        </is>
      </c>
      <c r="D335" s="65" t="inlineStr">
        <is>
          <t>S00462</t>
        </is>
      </c>
      <c r="E335" s="65" t="inlineStr">
        <is>
          <t>Edward Belén</t>
        </is>
      </c>
      <c r="F335" s="63" t="inlineStr">
        <is>
          <t>99.956,11</t>
        </is>
      </c>
      <c r="G335" s="63" t="inlineStr">
        <is>
          <t>115.949,09</t>
        </is>
      </c>
      <c r="H335" s="63" t="inlineStr">
        <is>
          <t>160,73</t>
        </is>
      </c>
      <c r="I335" s="63" t="inlineStr">
        <is>
          <t>721,35</t>
        </is>
      </c>
      <c r="J335" s="65" t="n"/>
      <c r="K335" s="65" t="n">
        <v>887</v>
      </c>
      <c r="L335" s="65" t="inlineStr">
        <is>
          <t>[0887] MOTOCLASICO 4T SAE 20W-50 (1x12)</t>
        </is>
      </c>
      <c r="M335" s="63" t="inlineStr">
        <is>
          <t>58,62</t>
        </is>
      </c>
      <c r="N335" s="63" t="inlineStr">
        <is>
          <t>2,00</t>
        </is>
      </c>
      <c r="O335" s="63" t="inlineStr">
        <is>
          <t>6,00</t>
        </is>
      </c>
      <c r="P335" s="63" t="inlineStr">
        <is>
          <t>110,21</t>
        </is>
      </c>
      <c r="Q335" s="63" t="inlineStr">
        <is>
          <t>127,84</t>
        </is>
      </c>
    </row>
    <row r="336">
      <c r="A336" s="65" t="n"/>
      <c r="B336" s="65" t="n"/>
      <c r="C336" s="65" t="n"/>
      <c r="D336" s="65" t="n"/>
      <c r="E336" s="65" t="n"/>
      <c r="F336" s="65" t="n"/>
      <c r="G336" s="65" t="n"/>
      <c r="H336" s="65" t="n"/>
      <c r="I336" s="65" t="n"/>
      <c r="J336" s="65" t="n"/>
      <c r="K336" s="65" t="n">
        <v>93</v>
      </c>
      <c r="L336" s="65" t="inlineStr">
        <is>
          <t>[0093] ALTA CILINDRADA SS API SN SAE 15W-40 (1x6)</t>
        </is>
      </c>
      <c r="M336" s="63" t="inlineStr">
        <is>
          <t>30,17</t>
        </is>
      </c>
      <c r="N336" s="63" t="inlineStr">
        <is>
          <t>1,00</t>
        </is>
      </c>
      <c r="O336" s="63" t="inlineStr">
        <is>
          <t>6,00</t>
        </is>
      </c>
      <c r="P336" s="63" t="inlineStr">
        <is>
          <t>28,36</t>
        </is>
      </c>
      <c r="Q336" s="63" t="inlineStr">
        <is>
          <t>32,90</t>
        </is>
      </c>
    </row>
    <row r="337">
      <c r="A337" s="66" t="n">
        <v>46216</v>
      </c>
      <c r="B337" s="65" t="n">
        <v>368</v>
      </c>
      <c r="C337" s="65" t="inlineStr">
        <is>
          <t>00-00000911</t>
        </is>
      </c>
      <c r="D337" s="65" t="inlineStr">
        <is>
          <t>S00359</t>
        </is>
      </c>
      <c r="E337" s="65" t="inlineStr">
        <is>
          <t>EN LA VIA 2023 C.A</t>
        </is>
      </c>
      <c r="F337" s="63" t="inlineStr">
        <is>
          <t>201.738,62</t>
        </is>
      </c>
      <c r="G337" s="63" t="inlineStr">
        <is>
          <t>234.016,80</t>
        </is>
      </c>
      <c r="H337" s="63" t="inlineStr">
        <is>
          <t>324,40</t>
        </is>
      </c>
      <c r="I337" s="63" t="inlineStr">
        <is>
          <t>721,35</t>
        </is>
      </c>
      <c r="J337" s="65" t="n"/>
      <c r="K337" s="65" t="n">
        <v>779</v>
      </c>
      <c r="L337" s="65" t="inlineStr">
        <is>
          <t>[0779] SINOCO SAE 20W-50 (1x12)</t>
        </is>
      </c>
      <c r="M337" s="63" t="inlineStr">
        <is>
          <t>70,29</t>
        </is>
      </c>
      <c r="N337" s="63" t="inlineStr">
        <is>
          <t>4,00</t>
        </is>
      </c>
      <c r="O337" s="63" t="inlineStr">
        <is>
          <t>0,53</t>
        </is>
      </c>
      <c r="P337" s="63" t="inlineStr">
        <is>
          <t>279,67</t>
        </is>
      </c>
      <c r="Q337" s="63" t="inlineStr">
        <is>
          <t>324,42</t>
        </is>
      </c>
    </row>
    <row r="338">
      <c r="A338" s="66" t="n">
        <v>46216</v>
      </c>
      <c r="B338" s="65" t="n">
        <v>367</v>
      </c>
      <c r="C338" s="65" t="inlineStr">
        <is>
          <t>00-00000910</t>
        </is>
      </c>
      <c r="D338" s="65" t="inlineStr">
        <is>
          <t>S00365</t>
        </is>
      </c>
      <c r="E338" s="65" t="inlineStr">
        <is>
          <t>Kiosco Willianny 1013, C.A</t>
        </is>
      </c>
      <c r="F338" s="63" t="inlineStr">
        <is>
          <t>62.902,06</t>
        </is>
      </c>
      <c r="G338" s="63" t="inlineStr">
        <is>
          <t>72.966,39</t>
        </is>
      </c>
      <c r="H338" s="63" t="inlineStr">
        <is>
          <t>101,15</t>
        </is>
      </c>
      <c r="I338" s="63" t="inlineStr">
        <is>
          <t>721,35</t>
        </is>
      </c>
      <c r="J338" s="65" t="n"/>
      <c r="K338" s="65" t="n">
        <v>605</v>
      </c>
      <c r="L338" s="65" t="inlineStr">
        <is>
          <t>[0605] SINOCO SAE 20W-50 (PAILA)</t>
        </is>
      </c>
      <c r="M338" s="63" t="inlineStr">
        <is>
          <t>96,89</t>
        </is>
      </c>
      <c r="N338" s="63" t="inlineStr">
        <is>
          <t>1,00</t>
        </is>
      </c>
      <c r="O338" s="63" t="inlineStr">
        <is>
          <t>10,00</t>
        </is>
      </c>
      <c r="P338" s="63" t="inlineStr">
        <is>
          <t>87,20</t>
        </is>
      </c>
      <c r="Q338" s="63" t="inlineStr">
        <is>
          <t>101,15</t>
        </is>
      </c>
    </row>
    <row r="339">
      <c r="A339" s="66" t="n">
        <v>46216</v>
      </c>
      <c r="B339" s="65" t="n">
        <v>366</v>
      </c>
      <c r="C339" s="65" t="inlineStr">
        <is>
          <t>00-00000909</t>
        </is>
      </c>
      <c r="D339" s="65" t="inlineStr">
        <is>
          <t>S00375</t>
        </is>
      </c>
      <c r="E339" s="65" t="inlineStr">
        <is>
          <t>Deyanira Carpio De Sequera</t>
        </is>
      </c>
      <c r="F339" s="63" t="inlineStr">
        <is>
          <t>155.257,84</t>
        </is>
      </c>
      <c r="G339" s="63" t="inlineStr">
        <is>
          <t>180.099,10</t>
        </is>
      </c>
      <c r="H339" s="63" t="inlineStr">
        <is>
          <t>249,65</t>
        </is>
      </c>
      <c r="I339" s="63" t="inlineStr">
        <is>
          <t>721,35</t>
        </is>
      </c>
      <c r="J339" s="65" t="n"/>
      <c r="K339" s="65" t="n">
        <v>602</v>
      </c>
      <c r="L339" s="65" t="inlineStr">
        <is>
          <t>[0602] SINOCO SAE 50 (PAILA)</t>
        </is>
      </c>
      <c r="M339" s="63" t="inlineStr">
        <is>
          <t>96,82</t>
        </is>
      </c>
      <c r="N339" s="63" t="inlineStr">
        <is>
          <t>1,00</t>
        </is>
      </c>
      <c r="O339" s="63" t="inlineStr">
        <is>
          <t>5,60</t>
        </is>
      </c>
      <c r="P339" s="63" t="inlineStr">
        <is>
          <t>91,40</t>
        </is>
      </c>
      <c r="Q339" s="63" t="inlineStr">
        <is>
          <t>106,02</t>
        </is>
      </c>
    </row>
    <row r="340">
      <c r="A340" s="65" t="n"/>
      <c r="B340" s="65" t="n"/>
      <c r="C340" s="65" t="n"/>
      <c r="D340" s="65" t="n"/>
      <c r="E340" s="65" t="n"/>
      <c r="F340" s="65" t="n"/>
      <c r="G340" s="65" t="n"/>
      <c r="H340" s="65" t="n"/>
      <c r="I340" s="65" t="n"/>
      <c r="J340" s="65" t="n"/>
      <c r="K340" s="65" t="n">
        <v>107</v>
      </c>
      <c r="L340" s="65" t="inlineStr">
        <is>
          <t>[0107] TRANSMATIC ATF DEXRON III (PAILA)</t>
        </is>
      </c>
      <c r="M340" s="63" t="inlineStr">
        <is>
          <t>125,99</t>
        </is>
      </c>
      <c r="N340" s="63" t="inlineStr">
        <is>
          <t>1,00</t>
        </is>
      </c>
      <c r="O340" s="63" t="inlineStr">
        <is>
          <t>1,71</t>
        </is>
      </c>
      <c r="P340" s="63" t="inlineStr">
        <is>
          <t>123,84</t>
        </is>
      </c>
      <c r="Q340" s="63" t="inlineStr">
        <is>
          <t>143,65</t>
        </is>
      </c>
    </row>
    <row r="341">
      <c r="A341" s="66" t="n">
        <v>46216</v>
      </c>
      <c r="B341" s="65" t="n">
        <v>365</v>
      </c>
      <c r="C341" s="65" t="inlineStr">
        <is>
          <t>00-00000908</t>
        </is>
      </c>
      <c r="D341" s="65" t="inlineStr">
        <is>
          <t>S00373</t>
        </is>
      </c>
      <c r="E341" s="65" t="inlineStr">
        <is>
          <t>INVERSIONES DA &amp; JE,</t>
        </is>
      </c>
      <c r="F341" s="63" t="inlineStr">
        <is>
          <t>293.508,72</t>
        </is>
      </c>
      <c r="G341" s="63" t="inlineStr">
        <is>
          <t>340.470,12</t>
        </is>
      </c>
      <c r="H341" s="63" t="inlineStr">
        <is>
          <t>471,95</t>
        </is>
      </c>
      <c r="I341" s="63" t="inlineStr">
        <is>
          <t>721,35</t>
        </is>
      </c>
      <c r="J341" s="65" t="n"/>
      <c r="K341" s="65" t="n">
        <v>779</v>
      </c>
      <c r="L341" s="65" t="inlineStr">
        <is>
          <t>[0779] SINOCO SAE 20W-50 (1x12)</t>
        </is>
      </c>
      <c r="M341" s="63" t="inlineStr">
        <is>
          <t>70,29</t>
        </is>
      </c>
      <c r="N341" s="63" t="inlineStr">
        <is>
          <t>1,00</t>
        </is>
      </c>
      <c r="O341" s="63" t="inlineStr">
        <is>
          <t>2,12</t>
        </is>
      </c>
      <c r="P341" s="63" t="inlineStr">
        <is>
          <t>68,80</t>
        </is>
      </c>
      <c r="Q341" s="63" t="inlineStr">
        <is>
          <t>79,81</t>
        </is>
      </c>
    </row>
    <row r="342">
      <c r="A342" s="65" t="n"/>
      <c r="B342" s="65" t="n"/>
      <c r="C342" s="65" t="n"/>
      <c r="D342" s="65" t="n"/>
      <c r="E342" s="65" t="n"/>
      <c r="F342" s="65" t="n"/>
      <c r="G342" s="65" t="n"/>
      <c r="H342" s="65" t="n"/>
      <c r="I342" s="65" t="n"/>
      <c r="J342" s="65" t="n"/>
      <c r="K342" s="65" t="n"/>
      <c r="L342" s="65" t="n"/>
      <c r="M342" s="63" t="inlineStr">
        <is>
          <t>0,00</t>
        </is>
      </c>
      <c r="N342" s="63" t="inlineStr">
        <is>
          <t>0,00</t>
        </is>
      </c>
      <c r="O342" s="63" t="inlineStr">
        <is>
          <t>0,00</t>
        </is>
      </c>
      <c r="P342" s="63" t="inlineStr">
        <is>
          <t>0,00</t>
        </is>
      </c>
      <c r="Q342" s="63" t="inlineStr">
        <is>
          <t>0,00</t>
        </is>
      </c>
    </row>
    <row r="343">
      <c r="A343" s="65" t="n"/>
      <c r="B343" s="65" t="n"/>
      <c r="C343" s="65" t="n"/>
      <c r="D343" s="65" t="n"/>
      <c r="E343" s="65" t="n"/>
      <c r="F343" s="65" t="n"/>
      <c r="G343" s="65" t="n"/>
      <c r="H343" s="65" t="n"/>
      <c r="I343" s="65" t="n"/>
      <c r="J343" s="65" t="n"/>
      <c r="K343" s="65" t="n">
        <v>884</v>
      </c>
      <c r="L343" s="65" t="inlineStr">
        <is>
          <t>[0884] TRANSMATIC ATF DEXRON III (1x12)</t>
        </is>
      </c>
      <c r="M343" s="63" t="inlineStr">
        <is>
          <t>95,49</t>
        </is>
      </c>
      <c r="N343" s="63" t="inlineStr">
        <is>
          <t>1,00</t>
        </is>
      </c>
      <c r="O343" s="63" t="inlineStr">
        <is>
          <t>1,19</t>
        </is>
      </c>
      <c r="P343" s="63" t="inlineStr">
        <is>
          <t>94,35</t>
        </is>
      </c>
      <c r="Q343" s="63" t="inlineStr">
        <is>
          <t>109,45</t>
        </is>
      </c>
    </row>
    <row r="344">
      <c r="A344" s="65" t="n"/>
      <c r="B344" s="65" t="n"/>
      <c r="C344" s="65" t="n"/>
      <c r="D344" s="65" t="n"/>
      <c r="E344" s="65" t="n"/>
      <c r="F344" s="65" t="n"/>
      <c r="G344" s="65" t="n"/>
      <c r="H344" s="65" t="n"/>
      <c r="I344" s="65" t="n"/>
      <c r="J344" s="65" t="n"/>
      <c r="K344" s="65" t="n">
        <v>121</v>
      </c>
      <c r="L344" s="65" t="inlineStr">
        <is>
          <t>[0121] TRANSGLOB API GL-5 SAE 80W-90 (1x6)</t>
        </is>
      </c>
      <c r="M344" s="63" t="inlineStr">
        <is>
          <t>51,72</t>
        </is>
      </c>
      <c r="N344" s="63" t="inlineStr">
        <is>
          <t>1,00</t>
        </is>
      </c>
      <c r="O344" s="63" t="inlineStr">
        <is>
          <t>1,19</t>
        </is>
      </c>
      <c r="P344" s="63" t="inlineStr">
        <is>
          <t>51,10</t>
        </is>
      </c>
      <c r="Q344" s="63" t="inlineStr">
        <is>
          <t>59,28</t>
        </is>
      </c>
    </row>
    <row r="345">
      <c r="A345" s="65" t="n"/>
      <c r="B345" s="65" t="n"/>
      <c r="C345" s="65" t="n"/>
      <c r="D345" s="65" t="n"/>
      <c r="E345" s="65" t="n"/>
      <c r="F345" s="65" t="n"/>
      <c r="G345" s="65" t="n"/>
      <c r="H345" s="65" t="n"/>
      <c r="I345" s="65" t="n"/>
      <c r="J345" s="65" t="n"/>
      <c r="K345" s="65" t="n">
        <v>127</v>
      </c>
      <c r="L345" s="65" t="inlineStr">
        <is>
          <t>[0127] TRANSGLOB API GL-5 SAE 85W-140 (1x6)</t>
        </is>
      </c>
      <c r="M345" s="63" t="inlineStr">
        <is>
          <t>53,05</t>
        </is>
      </c>
      <c r="N345" s="63" t="inlineStr">
        <is>
          <t>1,00</t>
        </is>
      </c>
      <c r="O345" s="63" t="inlineStr">
        <is>
          <t>1,81</t>
        </is>
      </c>
      <c r="P345" s="63" t="inlineStr">
        <is>
          <t>52,09</t>
        </is>
      </c>
      <c r="Q345" s="63" t="inlineStr">
        <is>
          <t>60,42</t>
        </is>
      </c>
    </row>
    <row r="346">
      <c r="A346" s="65" t="n"/>
      <c r="B346" s="65" t="n"/>
      <c r="C346" s="65" t="n"/>
      <c r="D346" s="65" t="n"/>
      <c r="E346" s="65" t="n"/>
      <c r="F346" s="65" t="n"/>
      <c r="G346" s="65" t="n"/>
      <c r="H346" s="65" t="n"/>
      <c r="I346" s="65" t="n"/>
      <c r="J346" s="65" t="n"/>
      <c r="K346" s="65" t="n">
        <v>762</v>
      </c>
      <c r="L346" s="65" t="inlineStr">
        <is>
          <t>[0762] LIGA PARA FRENOS DOT-3 (1x6)</t>
        </is>
      </c>
      <c r="M346" s="63" t="inlineStr">
        <is>
          <t>57,03</t>
        </is>
      </c>
      <c r="N346" s="63" t="inlineStr">
        <is>
          <t>1,00</t>
        </is>
      </c>
      <c r="O346" s="63" t="inlineStr">
        <is>
          <t>3,49</t>
        </is>
      </c>
      <c r="P346" s="63" t="inlineStr">
        <is>
          <t>55,04</t>
        </is>
      </c>
      <c r="Q346" s="63" t="inlineStr">
        <is>
          <t>63,85</t>
        </is>
      </c>
    </row>
    <row r="347">
      <c r="A347" s="65" t="n"/>
      <c r="B347" s="65" t="n"/>
      <c r="C347" s="65" t="n"/>
      <c r="D347" s="65" t="n"/>
      <c r="E347" s="65" t="n"/>
      <c r="F347" s="65" t="n"/>
      <c r="G347" s="65" t="n"/>
      <c r="H347" s="65" t="n"/>
      <c r="I347" s="65" t="n"/>
      <c r="J347" s="65" t="n"/>
      <c r="K347" s="65" t="n">
        <v>881</v>
      </c>
      <c r="L347" s="65" t="inlineStr">
        <is>
          <t>[0881] CLASICO API SL SAE 20W-50 (1x12)</t>
        </is>
      </c>
      <c r="M347" s="63" t="inlineStr">
        <is>
          <t>86,21</t>
        </is>
      </c>
      <c r="N347" s="63" t="inlineStr">
        <is>
          <t>1,00</t>
        </is>
      </c>
      <c r="O347" s="63" t="inlineStr">
        <is>
          <t>0,82</t>
        </is>
      </c>
      <c r="P347" s="63" t="inlineStr">
        <is>
          <t>85,50</t>
        </is>
      </c>
      <c r="Q347" s="63" t="inlineStr">
        <is>
          <t>99,18</t>
        </is>
      </c>
    </row>
    <row r="348">
      <c r="A348" s="66" t="n">
        <v>46216</v>
      </c>
      <c r="B348" s="65" t="n">
        <v>364</v>
      </c>
      <c r="C348" s="65" t="inlineStr">
        <is>
          <t>00-00000907</t>
        </is>
      </c>
      <c r="D348" s="65" t="inlineStr">
        <is>
          <t>S00378</t>
        </is>
      </c>
      <c r="E348" s="65" t="inlineStr">
        <is>
          <t>Multiservicios y Distribuidora Todo Carro Bedyf, C.A</t>
        </is>
      </c>
      <c r="F348" s="63" t="inlineStr">
        <is>
          <t>296.351,13</t>
        </is>
      </c>
      <c r="G348" s="63" t="inlineStr">
        <is>
          <t>343.767,31</t>
        </is>
      </c>
      <c r="H348" s="63" t="inlineStr">
        <is>
          <t>476,55</t>
        </is>
      </c>
      <c r="I348" s="63" t="inlineStr">
        <is>
          <t>721,35</t>
        </is>
      </c>
      <c r="J348" s="65" t="n"/>
      <c r="K348" s="65" t="n">
        <v>779</v>
      </c>
      <c r="L348" s="65" t="inlineStr">
        <is>
          <t>[0779] SINOCO SAE 20W-50 (1x12)</t>
        </is>
      </c>
      <c r="M348" s="63" t="inlineStr">
        <is>
          <t>70,29</t>
        </is>
      </c>
      <c r="N348" s="63" t="inlineStr">
        <is>
          <t>4,00</t>
        </is>
      </c>
      <c r="O348" s="63" t="inlineStr">
        <is>
          <t>2,12</t>
        </is>
      </c>
      <c r="P348" s="63" t="inlineStr">
        <is>
          <t>275,20</t>
        </is>
      </c>
      <c r="Q348" s="63" t="inlineStr">
        <is>
          <t>319,23</t>
        </is>
      </c>
    </row>
    <row r="349">
      <c r="A349" s="65" t="n"/>
      <c r="B349" s="65" t="n"/>
      <c r="C349" s="65" t="n"/>
      <c r="D349" s="65" t="n"/>
      <c r="E349" s="65" t="n"/>
      <c r="F349" s="65" t="n"/>
      <c r="G349" s="65" t="n"/>
      <c r="H349" s="65" t="n"/>
      <c r="I349" s="65" t="n"/>
      <c r="J349" s="65" t="n"/>
      <c r="K349" s="65" t="n">
        <v>915</v>
      </c>
      <c r="L349" s="65" t="inlineStr">
        <is>
          <t>[0915] SINOCO SAE 50 (1x12)</t>
        </is>
      </c>
      <c r="M349" s="63" t="inlineStr">
        <is>
          <t>70,29</t>
        </is>
      </c>
      <c r="N349" s="63" t="inlineStr">
        <is>
          <t>2,00</t>
        </is>
      </c>
      <c r="O349" s="63" t="inlineStr">
        <is>
          <t>3,52</t>
        </is>
      </c>
      <c r="P349" s="63" t="inlineStr">
        <is>
          <t>135,63</t>
        </is>
      </c>
      <c r="Q349" s="63" t="inlineStr">
        <is>
          <t>157,33</t>
        </is>
      </c>
    </row>
    <row r="350">
      <c r="A350" s="66" t="n">
        <v>46216</v>
      </c>
      <c r="B350" s="65" t="n">
        <v>363</v>
      </c>
      <c r="C350" s="65" t="inlineStr">
        <is>
          <t>00-00000906</t>
        </is>
      </c>
      <c r="D350" s="65" t="inlineStr">
        <is>
          <t>S00382</t>
        </is>
      </c>
      <c r="E350" s="65" t="inlineStr">
        <is>
          <t>Montura de Cauchos Biondo,c.a.</t>
        </is>
      </c>
      <c r="F350" s="63" t="inlineStr">
        <is>
          <t>125.928,39</t>
        </is>
      </c>
      <c r="G350" s="63" t="inlineStr">
        <is>
          <t>146.076,93</t>
        </is>
      </c>
      <c r="H350" s="63" t="inlineStr">
        <is>
          <t>202,50</t>
        </is>
      </c>
      <c r="I350" s="63" t="inlineStr">
        <is>
          <t>721,35</t>
        </is>
      </c>
      <c r="J350" s="65" t="n"/>
      <c r="K350" s="65" t="n">
        <v>792</v>
      </c>
      <c r="L350" s="65" t="inlineStr">
        <is>
          <t>[0792] REFRIGERANTE GLOBAL ROJO (1X3)</t>
        </is>
      </c>
      <c r="M350" s="63" t="inlineStr">
        <is>
          <t>34,48</t>
        </is>
      </c>
      <c r="N350" s="63" t="inlineStr">
        <is>
          <t>3,00</t>
        </is>
      </c>
      <c r="O350" s="63" t="inlineStr">
        <is>
          <t>14,52</t>
        </is>
      </c>
      <c r="P350" s="63" t="inlineStr">
        <is>
          <t>88,42</t>
        </is>
      </c>
      <c r="Q350" s="63" t="inlineStr">
        <is>
          <t>102,57</t>
        </is>
      </c>
    </row>
    <row r="351">
      <c r="A351" s="65" t="n"/>
      <c r="B351" s="65" t="n"/>
      <c r="C351" s="65" t="n"/>
      <c r="D351" s="65" t="n"/>
      <c r="E351" s="65" t="n"/>
      <c r="F351" s="65" t="n"/>
      <c r="G351" s="65" t="n"/>
      <c r="H351" s="65" t="n"/>
      <c r="I351" s="65" t="n"/>
      <c r="J351" s="65" t="n"/>
      <c r="K351" s="65" t="n">
        <v>877</v>
      </c>
      <c r="L351" s="65" t="inlineStr">
        <is>
          <t>[0877] SS EXTRA PROTECCION API SN SAE 15W-40 (1X12)</t>
        </is>
      </c>
      <c r="M351" s="63" t="inlineStr">
        <is>
          <t>100,80</t>
        </is>
      </c>
      <c r="N351" s="63" t="inlineStr">
        <is>
          <t>1,00</t>
        </is>
      </c>
      <c r="O351" s="63" t="inlineStr">
        <is>
          <t>14,53</t>
        </is>
      </c>
      <c r="P351" s="63" t="inlineStr">
        <is>
          <t>86,15</t>
        </is>
      </c>
      <c r="Q351" s="63" t="inlineStr">
        <is>
          <t>99,94</t>
        </is>
      </c>
    </row>
    <row r="352">
      <c r="A352" s="66" t="n">
        <v>46216</v>
      </c>
      <c r="B352" s="65" t="n">
        <v>362</v>
      </c>
      <c r="C352" s="65" t="inlineStr">
        <is>
          <t>00-00000905</t>
        </is>
      </c>
      <c r="D352" s="65" t="inlineStr">
        <is>
          <t>S00381</t>
        </is>
      </c>
      <c r="E352" s="65" t="inlineStr">
        <is>
          <t>Moto Repuestos Sanz 11. C.A.</t>
        </is>
      </c>
      <c r="F352" s="63" t="inlineStr">
        <is>
          <t>63.802,54</t>
        </is>
      </c>
      <c r="G352" s="63" t="inlineStr">
        <is>
          <t>74.010,95</t>
        </is>
      </c>
      <c r="H352" s="63" t="inlineStr">
        <is>
          <t>102,59</t>
        </is>
      </c>
      <c r="I352" s="63" t="inlineStr">
        <is>
          <t>721,35</t>
        </is>
      </c>
      <c r="J352" s="65" t="n"/>
      <c r="K352" s="65" t="n">
        <v>887</v>
      </c>
      <c r="L352" s="65" t="inlineStr">
        <is>
          <t>[0887] MOTOCLASICO 4T SAE 20W-50 (1x12)</t>
        </is>
      </c>
      <c r="M352" s="63" t="inlineStr">
        <is>
          <t>90,19</t>
        </is>
      </c>
      <c r="N352" s="63" t="inlineStr">
        <is>
          <t>1,00</t>
        </is>
      </c>
      <c r="O352" s="63" t="inlineStr">
        <is>
          <t>1,93</t>
        </is>
      </c>
      <c r="P352" s="63" t="inlineStr">
        <is>
          <t>88,45</t>
        </is>
      </c>
      <c r="Q352" s="63" t="inlineStr">
        <is>
          <t>102,60</t>
        </is>
      </c>
    </row>
    <row r="353">
      <c r="A353" s="66" t="n">
        <v>46216</v>
      </c>
      <c r="B353" s="65" t="n">
        <v>361</v>
      </c>
      <c r="C353" s="65" t="inlineStr">
        <is>
          <t>00-00000904</t>
        </is>
      </c>
      <c r="D353" s="65" t="inlineStr">
        <is>
          <t>S00386</t>
        </is>
      </c>
      <c r="E353" s="65" t="inlineStr">
        <is>
          <t>SEBASTIAN RICON MOLINA</t>
        </is>
      </c>
      <c r="F353" s="63" t="inlineStr">
        <is>
          <t>62.187,20</t>
        </is>
      </c>
      <c r="G353" s="63" t="inlineStr">
        <is>
          <t>72.137,15</t>
        </is>
      </c>
      <c r="H353" s="63" t="inlineStr">
        <is>
          <t>99,99</t>
        </is>
      </c>
      <c r="I353" s="63" t="inlineStr">
        <is>
          <t>721,35</t>
        </is>
      </c>
      <c r="J353" s="65" t="n"/>
      <c r="K353" s="65" t="n">
        <v>881</v>
      </c>
      <c r="L353" s="65" t="inlineStr">
        <is>
          <t>[0881] CLASICO API SL SAE 20W-50 (1x12)</t>
        </is>
      </c>
      <c r="M353" s="63" t="inlineStr">
        <is>
          <t>86,21</t>
        </is>
      </c>
      <c r="N353" s="63" t="inlineStr">
        <is>
          <t>1,00</t>
        </is>
      </c>
      <c r="O353" s="63" t="inlineStr">
        <is>
          <t>0,00</t>
        </is>
      </c>
      <c r="P353" s="63" t="inlineStr">
        <is>
          <t>86,21</t>
        </is>
      </c>
      <c r="Q353" s="63" t="inlineStr">
        <is>
          <t>100,00</t>
        </is>
      </c>
    </row>
    <row r="354">
      <c r="A354" s="66" t="n">
        <v>46216</v>
      </c>
      <c r="B354" s="65" t="n">
        <v>360</v>
      </c>
      <c r="C354" s="65" t="inlineStr">
        <is>
          <t>00-00000903</t>
        </is>
      </c>
      <c r="D354" s="65" t="inlineStr">
        <is>
          <t>S00388</t>
        </is>
      </c>
      <c r="E354" s="65" t="inlineStr">
        <is>
          <t>Ricardo A. Fernandez.</t>
        </is>
      </c>
      <c r="F354" s="63" t="inlineStr">
        <is>
          <t>165.512,75</t>
        </is>
      </c>
      <c r="G354" s="63" t="inlineStr">
        <is>
          <t>191.994,79</t>
        </is>
      </c>
      <c r="H354" s="63" t="inlineStr">
        <is>
          <t>266,15</t>
        </is>
      </c>
      <c r="I354" s="63" t="inlineStr">
        <is>
          <t>721,35</t>
        </is>
      </c>
      <c r="J354" s="65" t="n"/>
      <c r="K354" s="65" t="n">
        <v>605</v>
      </c>
      <c r="L354" s="65" t="inlineStr">
        <is>
          <t>[0605] SINOCO SAE 20W-50 (PAILA)</t>
        </is>
      </c>
      <c r="M354" s="63" t="inlineStr">
        <is>
          <t>96,82</t>
        </is>
      </c>
      <c r="N354" s="63" t="inlineStr">
        <is>
          <t>2,00</t>
        </is>
      </c>
      <c r="O354" s="63" t="inlineStr">
        <is>
          <t>0,00</t>
        </is>
      </c>
      <c r="P354" s="63" t="inlineStr">
        <is>
          <t>193,64</t>
        </is>
      </c>
      <c r="Q354" s="63" t="inlineStr">
        <is>
          <t>224,62</t>
        </is>
      </c>
    </row>
    <row r="355">
      <c r="A355" s="65" t="n"/>
      <c r="B355" s="65" t="n"/>
      <c r="C355" s="65" t="n"/>
      <c r="D355" s="65" t="n"/>
      <c r="E355" s="65" t="n"/>
      <c r="F355" s="65" t="n"/>
      <c r="G355" s="65" t="n"/>
      <c r="H355" s="65" t="n"/>
      <c r="I355" s="65" t="n"/>
      <c r="J355" s="65" t="n"/>
      <c r="K355" s="65" t="n">
        <v>761</v>
      </c>
      <c r="L355" s="65" t="inlineStr">
        <is>
          <t>[0761] LIGA PARA FRENOS DOT-3 (1x12)</t>
        </is>
      </c>
      <c r="M355" s="63" t="inlineStr">
        <is>
          <t>35,81</t>
        </is>
      </c>
      <c r="N355" s="63" t="inlineStr">
        <is>
          <t>1,00</t>
        </is>
      </c>
      <c r="O355" s="63" t="inlineStr">
        <is>
          <t>0,00</t>
        </is>
      </c>
      <c r="P355" s="63" t="inlineStr">
        <is>
          <t>35,81</t>
        </is>
      </c>
      <c r="Q355" s="63" t="inlineStr">
        <is>
          <t>41,54</t>
        </is>
      </c>
    </row>
    <row r="356">
      <c r="A356" s="66" t="n">
        <v>46216</v>
      </c>
      <c r="B356" s="65" t="n">
        <v>359</v>
      </c>
      <c r="C356" s="65" t="inlineStr">
        <is>
          <t>00-00000902</t>
        </is>
      </c>
      <c r="D356" s="65" t="inlineStr">
        <is>
          <t>S00393</t>
        </is>
      </c>
      <c r="E356" s="65" t="inlineStr">
        <is>
          <t>Francesco orlando Espro bolaños</t>
        </is>
      </c>
      <c r="F356" s="63" t="inlineStr">
        <is>
          <t>190.384,74</t>
        </is>
      </c>
      <c r="G356" s="63" t="inlineStr">
        <is>
          <t>220.846,30</t>
        </is>
      </c>
      <c r="H356" s="63" t="inlineStr">
        <is>
          <t>306,13</t>
        </is>
      </c>
      <c r="I356" s="63" t="inlineStr">
        <is>
          <t>721,35</t>
        </is>
      </c>
      <c r="J356" s="65" t="n"/>
      <c r="K356" s="65" t="n">
        <v>602</v>
      </c>
      <c r="L356" s="65" t="inlineStr">
        <is>
          <t>[0602] SINOCO SAE 50 (PAILA)</t>
        </is>
      </c>
      <c r="M356" s="63" t="inlineStr">
        <is>
          <t>96,82</t>
        </is>
      </c>
      <c r="N356" s="63" t="inlineStr">
        <is>
          <t>2,00</t>
        </is>
      </c>
      <c r="O356" s="63" t="inlineStr">
        <is>
          <t>0,00</t>
        </is>
      </c>
      <c r="P356" s="63" t="inlineStr">
        <is>
          <t>193,64</t>
        </is>
      </c>
      <c r="Q356" s="63" t="inlineStr">
        <is>
          <t>224,62</t>
        </is>
      </c>
    </row>
    <row r="357">
      <c r="A357" s="65" t="n"/>
      <c r="B357" s="65" t="n"/>
      <c r="C357" s="65" t="n"/>
      <c r="D357" s="65" t="n"/>
      <c r="E357" s="65" t="n"/>
      <c r="F357" s="65" t="n"/>
      <c r="G357" s="65" t="n"/>
      <c r="H357" s="65" t="n"/>
      <c r="I357" s="65" t="n"/>
      <c r="J357" s="65" t="n"/>
      <c r="K357" s="65" t="n">
        <v>779</v>
      </c>
      <c r="L357" s="65" t="inlineStr">
        <is>
          <t>[0779] SINOCO SAE 20W-50 (1x12)</t>
        </is>
      </c>
      <c r="M357" s="63" t="inlineStr">
        <is>
          <t>70,29</t>
        </is>
      </c>
      <c r="N357" s="63" t="inlineStr">
        <is>
          <t>1,00</t>
        </is>
      </c>
      <c r="O357" s="63" t="inlineStr">
        <is>
          <t>0,00</t>
        </is>
      </c>
      <c r="P357" s="63" t="inlineStr">
        <is>
          <t>70,29</t>
        </is>
      </c>
      <c r="Q357" s="63" t="inlineStr">
        <is>
          <t>81,54</t>
        </is>
      </c>
    </row>
    <row r="358">
      <c r="A358" s="66" t="n">
        <v>46216</v>
      </c>
      <c r="B358" s="65" t="n">
        <v>358</v>
      </c>
      <c r="C358" s="65" t="inlineStr">
        <is>
          <t>00-00000901</t>
        </is>
      </c>
      <c r="D358" s="65" t="inlineStr">
        <is>
          <t>S00400</t>
        </is>
      </c>
      <c r="E358" s="65" t="inlineStr">
        <is>
          <t>TALLER Y REPUESTOS CHOPPERS, C.A.</t>
        </is>
      </c>
      <c r="F358" s="63" t="inlineStr">
        <is>
          <t>133.939,45</t>
        </is>
      </c>
      <c r="G358" s="63" t="inlineStr">
        <is>
          <t>155.369,77</t>
        </is>
      </c>
      <c r="H358" s="63" t="inlineStr">
        <is>
          <t>215,37</t>
        </is>
      </c>
      <c r="I358" s="63" t="inlineStr">
        <is>
          <t>721,35</t>
        </is>
      </c>
      <c r="J358" s="65" t="n"/>
      <c r="K358" s="65" t="n">
        <v>887</v>
      </c>
      <c r="L358" s="65" t="inlineStr">
        <is>
          <t>[0887] MOTOCLASICO 4T SAE 20W-50 (1x12)</t>
        </is>
      </c>
      <c r="M358" s="63" t="inlineStr">
        <is>
          <t>90,19</t>
        </is>
      </c>
      <c r="N358" s="63" t="inlineStr">
        <is>
          <t>1,00</t>
        </is>
      </c>
      <c r="O358" s="63" t="inlineStr">
        <is>
          <t>0,00</t>
        </is>
      </c>
      <c r="P358" s="63" t="inlineStr">
        <is>
          <t>90,19</t>
        </is>
      </c>
      <c r="Q358" s="63" t="inlineStr">
        <is>
          <t>104,62</t>
        </is>
      </c>
    </row>
    <row r="359">
      <c r="A359" s="65" t="n"/>
      <c r="B359" s="65" t="n"/>
      <c r="C359" s="65" t="n"/>
      <c r="D359" s="65" t="n"/>
      <c r="E359" s="65" t="n"/>
      <c r="F359" s="65" t="n"/>
      <c r="G359" s="65" t="n"/>
      <c r="H359" s="65" t="n"/>
      <c r="I359" s="65" t="n"/>
      <c r="J359" s="65" t="n"/>
      <c r="K359" s="65" t="n">
        <v>884</v>
      </c>
      <c r="L359" s="65" t="inlineStr">
        <is>
          <t>[0884] TRANSMATIC ATF DEXRON III (1x12)</t>
        </is>
      </c>
      <c r="M359" s="63" t="inlineStr">
        <is>
          <t>95,49</t>
        </is>
      </c>
      <c r="N359" s="63" t="inlineStr">
        <is>
          <t>1,00</t>
        </is>
      </c>
      <c r="O359" s="63" t="inlineStr">
        <is>
          <t>0,00</t>
        </is>
      </c>
      <c r="P359" s="63" t="inlineStr">
        <is>
          <t>95,49</t>
        </is>
      </c>
      <c r="Q359" s="63" t="inlineStr">
        <is>
          <t>110,77</t>
        </is>
      </c>
    </row>
    <row r="360">
      <c r="A360" s="66" t="n">
        <v>46216</v>
      </c>
      <c r="B360" s="65" t="n">
        <v>357</v>
      </c>
      <c r="C360" s="65" t="inlineStr">
        <is>
          <t>00-00000900</t>
        </is>
      </c>
      <c r="D360" s="65" t="inlineStr">
        <is>
          <t>S00399</t>
        </is>
      </c>
      <c r="E360" s="65" t="inlineStr">
        <is>
          <t>Wuilliams bastidas</t>
        </is>
      </c>
      <c r="F360" s="63" t="inlineStr">
        <is>
          <t>156.892,66</t>
        </is>
      </c>
      <c r="G360" s="63" t="inlineStr">
        <is>
          <t>181.995,49</t>
        </is>
      </c>
      <c r="H360" s="63" t="inlineStr">
        <is>
          <t>252,27</t>
        </is>
      </c>
      <c r="I360" s="63" t="inlineStr">
        <is>
          <t>721,35</t>
        </is>
      </c>
      <c r="J360" s="65" t="n"/>
      <c r="K360" s="65" t="n">
        <v>884</v>
      </c>
      <c r="L360" s="65" t="inlineStr">
        <is>
          <t>[0884] TRANSMATIC ATF DEXRON III (1x12)</t>
        </is>
      </c>
      <c r="M360" s="63" t="inlineStr">
        <is>
          <t>95,49</t>
        </is>
      </c>
      <c r="N360" s="63" t="inlineStr">
        <is>
          <t>1,00</t>
        </is>
      </c>
      <c r="O360" s="63" t="inlineStr">
        <is>
          <t>0,00</t>
        </is>
      </c>
      <c r="P360" s="63" t="inlineStr">
        <is>
          <t>95,49</t>
        </is>
      </c>
      <c r="Q360" s="63" t="inlineStr">
        <is>
          <t>110,77</t>
        </is>
      </c>
    </row>
    <row r="361">
      <c r="A361" s="65" t="n"/>
      <c r="B361" s="65" t="n"/>
      <c r="C361" s="65" t="n"/>
      <c r="D361" s="65" t="n"/>
      <c r="E361" s="65" t="n"/>
      <c r="F361" s="65" t="n"/>
      <c r="G361" s="65" t="n"/>
      <c r="H361" s="65" t="n"/>
      <c r="I361" s="65" t="n"/>
      <c r="J361" s="65" t="n"/>
      <c r="K361" s="65" t="n">
        <v>121</v>
      </c>
      <c r="L361" s="65" t="inlineStr">
        <is>
          <t>[0121] TRANSGLOB API GL-5 SAE 80W-90 (1x6)</t>
        </is>
      </c>
      <c r="M361" s="63" t="inlineStr">
        <is>
          <t>51,72</t>
        </is>
      </c>
      <c r="N361" s="63" t="inlineStr">
        <is>
          <t>1,00</t>
        </is>
      </c>
      <c r="O361" s="63" t="inlineStr">
        <is>
          <t>0,00</t>
        </is>
      </c>
      <c r="P361" s="63" t="inlineStr">
        <is>
          <t>51,72</t>
        </is>
      </c>
      <c r="Q361" s="63" t="inlineStr">
        <is>
          <t>60,00</t>
        </is>
      </c>
    </row>
    <row r="362">
      <c r="A362" s="65" t="n"/>
      <c r="B362" s="65" t="n"/>
      <c r="C362" s="65" t="n"/>
      <c r="D362" s="65" t="n"/>
      <c r="E362" s="65" t="n"/>
      <c r="F362" s="65" t="n"/>
      <c r="G362" s="65" t="n"/>
      <c r="H362" s="65" t="n"/>
      <c r="I362" s="65" t="n"/>
      <c r="J362" s="65" t="n"/>
      <c r="K362" s="65" t="n">
        <v>915</v>
      </c>
      <c r="L362" s="65" t="inlineStr">
        <is>
          <t>[0915] SINOCO SAE 50 (1x12)</t>
        </is>
      </c>
      <c r="M362" s="63" t="inlineStr">
        <is>
          <t>70,29</t>
        </is>
      </c>
      <c r="N362" s="63" t="inlineStr">
        <is>
          <t>1,00</t>
        </is>
      </c>
      <c r="O362" s="63" t="inlineStr">
        <is>
          <t>0,00</t>
        </is>
      </c>
      <c r="P362" s="63" t="inlineStr">
        <is>
          <t>70,29</t>
        </is>
      </c>
      <c r="Q362" s="63" t="inlineStr">
        <is>
          <t>81,54</t>
        </is>
      </c>
    </row>
    <row r="363">
      <c r="A363" s="66" t="n">
        <v>46216</v>
      </c>
      <c r="B363" s="65" t="n">
        <v>356</v>
      </c>
      <c r="C363" s="65" t="inlineStr">
        <is>
          <t>00-00000899</t>
        </is>
      </c>
      <c r="D363" s="65" t="inlineStr">
        <is>
          <t>S00398</t>
        </is>
      </c>
      <c r="E363" s="65" t="inlineStr">
        <is>
          <t>Moto repuestos jj</t>
        </is>
      </c>
      <c r="F363" s="63" t="inlineStr">
        <is>
          <t>152.110,14</t>
        </is>
      </c>
      <c r="G363" s="63" t="inlineStr">
        <is>
          <t>176.447,76</t>
        </is>
      </c>
      <c r="H363" s="63" t="inlineStr">
        <is>
          <t>244,58</t>
        </is>
      </c>
      <c r="I363" s="63" t="inlineStr">
        <is>
          <t>721,35</t>
        </is>
      </c>
      <c r="J363" s="65" t="n"/>
      <c r="K363" s="65" t="n">
        <v>779</v>
      </c>
      <c r="L363" s="65" t="inlineStr">
        <is>
          <t>[0779] SINOCO SAE 20W-50 (1x12)</t>
        </is>
      </c>
      <c r="M363" s="63" t="inlineStr">
        <is>
          <t>70,29</t>
        </is>
      </c>
      <c r="N363" s="63" t="inlineStr">
        <is>
          <t>2,00</t>
        </is>
      </c>
      <c r="O363" s="63" t="inlineStr">
        <is>
          <t>0,00</t>
        </is>
      </c>
      <c r="P363" s="63" t="inlineStr">
        <is>
          <t>140,58</t>
        </is>
      </c>
      <c r="Q363" s="63" t="inlineStr">
        <is>
          <t>163,07</t>
        </is>
      </c>
    </row>
    <row r="364">
      <c r="A364" s="65" t="n"/>
      <c r="B364" s="65" t="n"/>
      <c r="C364" s="65" t="n"/>
      <c r="D364" s="65" t="n"/>
      <c r="E364" s="65" t="n"/>
      <c r="F364" s="65" t="n"/>
      <c r="G364" s="65" t="n"/>
      <c r="H364" s="65" t="n"/>
      <c r="I364" s="65" t="n"/>
      <c r="J364" s="65" t="n"/>
      <c r="K364" s="65" t="n">
        <v>915</v>
      </c>
      <c r="L364" s="65" t="inlineStr">
        <is>
          <t>[0915] SINOCO SAE 50 (1x12)</t>
        </is>
      </c>
      <c r="M364" s="63" t="inlineStr">
        <is>
          <t>70,29</t>
        </is>
      </c>
      <c r="N364" s="63" t="inlineStr">
        <is>
          <t>1,00</t>
        </is>
      </c>
      <c r="O364" s="63" t="inlineStr">
        <is>
          <t>0,00</t>
        </is>
      </c>
      <c r="P364" s="63" t="inlineStr">
        <is>
          <t>70,29</t>
        </is>
      </c>
      <c r="Q364" s="63" t="inlineStr">
        <is>
          <t>81,54</t>
        </is>
      </c>
    </row>
    <row r="365">
      <c r="A365" s="66" t="n">
        <v>46216</v>
      </c>
      <c r="B365" s="65" t="n">
        <v>355</v>
      </c>
      <c r="C365" s="65" t="inlineStr">
        <is>
          <t>00-00000898</t>
        </is>
      </c>
      <c r="D365" s="65" t="inlineStr">
        <is>
          <t>S00414</t>
        </is>
      </c>
      <c r="E365" s="65" t="inlineStr">
        <is>
          <t>Javier Cardenas Prato.</t>
        </is>
      </c>
      <c r="F365" s="63" t="inlineStr">
        <is>
          <t>142.545,10</t>
        </is>
      </c>
      <c r="G365" s="63" t="inlineStr">
        <is>
          <t>165.352,31</t>
        </is>
      </c>
      <c r="H365" s="63" t="inlineStr">
        <is>
          <t>229,20</t>
        </is>
      </c>
      <c r="I365" s="63" t="inlineStr">
        <is>
          <t>721,35</t>
        </is>
      </c>
      <c r="J365" s="65" t="n"/>
      <c r="K365" s="65" t="n">
        <v>880</v>
      </c>
      <c r="L365" s="65" t="inlineStr">
        <is>
          <t>[0880] CLASICO API SL SAE 15W-40 (1x12)</t>
        </is>
      </c>
      <c r="M365" s="63" t="inlineStr">
        <is>
          <t>86,21</t>
        </is>
      </c>
      <c r="N365" s="63" t="inlineStr">
        <is>
          <t>1,00</t>
        </is>
      </c>
      <c r="O365" s="63" t="inlineStr">
        <is>
          <t>0,00</t>
        </is>
      </c>
      <c r="P365" s="63" t="inlineStr">
        <is>
          <t>86,21</t>
        </is>
      </c>
      <c r="Q365" s="63" t="inlineStr">
        <is>
          <t>100,00</t>
        </is>
      </c>
    </row>
    <row r="366">
      <c r="A366" s="65" t="n"/>
      <c r="B366" s="65" t="n"/>
      <c r="C366" s="65" t="n"/>
      <c r="D366" s="65" t="n"/>
      <c r="E366" s="65" t="n"/>
      <c r="F366" s="65" t="n"/>
      <c r="G366" s="65" t="n"/>
      <c r="H366" s="65" t="n"/>
      <c r="I366" s="65" t="n"/>
      <c r="J366" s="65" t="n"/>
      <c r="K366" s="65" t="n">
        <v>779</v>
      </c>
      <c r="L366" s="65" t="inlineStr">
        <is>
          <t>[0779] SINOCO SAE 20W-50 (1x12)</t>
        </is>
      </c>
      <c r="M366" s="63" t="inlineStr">
        <is>
          <t>70,29</t>
        </is>
      </c>
      <c r="N366" s="63" t="inlineStr">
        <is>
          <t>1,00</t>
        </is>
      </c>
      <c r="O366" s="63" t="inlineStr">
        <is>
          <t>0,00</t>
        </is>
      </c>
      <c r="P366" s="63" t="inlineStr">
        <is>
          <t>70,29</t>
        </is>
      </c>
      <c r="Q366" s="63" t="inlineStr">
        <is>
          <t>81,54</t>
        </is>
      </c>
    </row>
    <row r="367">
      <c r="A367" s="65" t="n"/>
      <c r="B367" s="65" t="n"/>
      <c r="C367" s="65" t="n"/>
      <c r="D367" s="65" t="n"/>
      <c r="E367" s="65" t="n"/>
      <c r="F367" s="65" t="n"/>
      <c r="G367" s="65" t="n"/>
      <c r="H367" s="65" t="n"/>
      <c r="I367" s="65" t="n"/>
      <c r="J367" s="65" t="n"/>
      <c r="K367" s="65" t="n">
        <v>775</v>
      </c>
      <c r="L367" s="65" t="inlineStr">
        <is>
          <t>[0775] LIGA PARA FRENOS DOT-4 (1X12)</t>
        </is>
      </c>
      <c r="M367" s="63" t="inlineStr">
        <is>
          <t>41,11</t>
        </is>
      </c>
      <c r="N367" s="63" t="inlineStr">
        <is>
          <t>1,00</t>
        </is>
      </c>
      <c r="O367" s="63" t="inlineStr">
        <is>
          <t>0,00</t>
        </is>
      </c>
      <c r="P367" s="63" t="inlineStr">
        <is>
          <t>41,11</t>
        </is>
      </c>
      <c r="Q367" s="63" t="inlineStr">
        <is>
          <t>47,69</t>
        </is>
      </c>
    </row>
    <row r="368">
      <c r="A368" s="66" t="n">
        <v>46216</v>
      </c>
      <c r="B368" s="65" t="n">
        <v>354</v>
      </c>
      <c r="C368" s="65" t="inlineStr">
        <is>
          <t>00-00000897</t>
        </is>
      </c>
      <c r="D368" s="65" t="inlineStr">
        <is>
          <t>S00417</t>
        </is>
      </c>
      <c r="E368" s="65" t="inlineStr">
        <is>
          <t>Franklin J. Mijares S.</t>
        </is>
      </c>
      <c r="F368" s="63" t="inlineStr">
        <is>
          <t>72.711,64</t>
        </is>
      </c>
      <c r="G368" s="63" t="inlineStr">
        <is>
          <t>84.345,50</t>
        </is>
      </c>
      <c r="H368" s="63" t="inlineStr">
        <is>
          <t>116,92</t>
        </is>
      </c>
      <c r="I368" s="63" t="inlineStr">
        <is>
          <t>721,35</t>
        </is>
      </c>
      <c r="J368" s="65" t="n"/>
      <c r="K368" s="65" t="n">
        <v>877</v>
      </c>
      <c r="L368" s="65" t="inlineStr">
        <is>
          <t>[0877] SS EXTRA PROTECCION API SN SAE 15W-40 (1X12)</t>
        </is>
      </c>
      <c r="M368" s="63" t="inlineStr">
        <is>
          <t>100,80</t>
        </is>
      </c>
      <c r="N368" s="63" t="inlineStr">
        <is>
          <t>1,00</t>
        </is>
      </c>
      <c r="O368" s="63" t="inlineStr">
        <is>
          <t>0,00</t>
        </is>
      </c>
      <c r="P368" s="63" t="inlineStr">
        <is>
          <t>100,80</t>
        </is>
      </c>
      <c r="Q368" s="63" t="inlineStr">
        <is>
          <t>116,93</t>
        </is>
      </c>
    </row>
    <row r="369">
      <c r="A369" s="66" t="n">
        <v>46216</v>
      </c>
      <c r="B369" s="65" t="n">
        <v>353</v>
      </c>
      <c r="C369" s="65" t="inlineStr">
        <is>
          <t>00-00000896</t>
        </is>
      </c>
      <c r="D369" s="65" t="inlineStr">
        <is>
          <t>S00420</t>
        </is>
      </c>
      <c r="E369" s="65" t="inlineStr">
        <is>
          <t>DISTRIBUIDORA R. LAYA MORA,C.A.</t>
        </is>
      </c>
      <c r="F369" s="63" t="inlineStr">
        <is>
          <t>207.610,48</t>
        </is>
      </c>
      <c r="G369" s="63" t="inlineStr">
        <is>
          <t>240.828,15</t>
        </is>
      </c>
      <c r="H369" s="63" t="inlineStr">
        <is>
          <t>333,84</t>
        </is>
      </c>
      <c r="I369" s="63" t="inlineStr">
        <is>
          <t>721,35</t>
        </is>
      </c>
      <c r="J369" s="65" t="n"/>
      <c r="K369" s="65" t="n">
        <v>880</v>
      </c>
      <c r="L369" s="65" t="inlineStr">
        <is>
          <t>[0880] CLASICO API SL SAE 15W-40 (1x12)</t>
        </is>
      </c>
      <c r="M369" s="63" t="inlineStr">
        <is>
          <t>86,21</t>
        </is>
      </c>
      <c r="N369" s="63" t="inlineStr">
        <is>
          <t>1,00</t>
        </is>
      </c>
      <c r="O369" s="63" t="inlineStr">
        <is>
          <t>0,00</t>
        </is>
      </c>
      <c r="P369" s="63" t="inlineStr">
        <is>
          <t>86,21</t>
        </is>
      </c>
      <c r="Q369" s="63" t="inlineStr">
        <is>
          <t>100,00</t>
        </is>
      </c>
    </row>
    <row r="370">
      <c r="A370" s="65" t="n"/>
      <c r="B370" s="65" t="n"/>
      <c r="C370" s="65" t="n"/>
      <c r="D370" s="65" t="n"/>
      <c r="E370" s="65" t="n"/>
      <c r="F370" s="65" t="n"/>
      <c r="G370" s="65" t="n"/>
      <c r="H370" s="65" t="n"/>
      <c r="I370" s="65" t="n"/>
      <c r="J370" s="65" t="n"/>
      <c r="K370" s="65" t="n">
        <v>877</v>
      </c>
      <c r="L370" s="65" t="inlineStr">
        <is>
          <t>[0877] SS EXTRA PROTECCION API SN SAE 15W-40 (1X12)</t>
        </is>
      </c>
      <c r="M370" s="63" t="inlineStr">
        <is>
          <t>100,80</t>
        </is>
      </c>
      <c r="N370" s="63" t="inlineStr">
        <is>
          <t>1,00</t>
        </is>
      </c>
      <c r="O370" s="63" t="inlineStr">
        <is>
          <t>0,00</t>
        </is>
      </c>
      <c r="P370" s="63" t="inlineStr">
        <is>
          <t>100,80</t>
        </is>
      </c>
      <c r="Q370" s="63" t="inlineStr">
        <is>
          <t>116,93</t>
        </is>
      </c>
    </row>
    <row r="371">
      <c r="A371" s="65" t="n"/>
      <c r="B371" s="65" t="n"/>
      <c r="C371" s="65" t="n"/>
      <c r="D371" s="65" t="n"/>
      <c r="E371" s="65" t="n"/>
      <c r="F371" s="65" t="n"/>
      <c r="G371" s="65" t="n"/>
      <c r="H371" s="65" t="n"/>
      <c r="I371" s="65" t="n"/>
      <c r="J371" s="65" t="n"/>
      <c r="K371" s="65" t="n">
        <v>878</v>
      </c>
      <c r="L371" s="65" t="inlineStr">
        <is>
          <t>[0878] SS EXTRA PROTECCION API SN SAE 20W-50 (1x12)</t>
        </is>
      </c>
      <c r="M371" s="63" t="inlineStr">
        <is>
          <t>100,80</t>
        </is>
      </c>
      <c r="N371" s="63" t="inlineStr">
        <is>
          <t>1,00</t>
        </is>
      </c>
      <c r="O371" s="63" t="inlineStr">
        <is>
          <t>0,00</t>
        </is>
      </c>
      <c r="P371" s="63" t="inlineStr">
        <is>
          <t>100,80</t>
        </is>
      </c>
      <c r="Q371" s="63" t="inlineStr">
        <is>
          <t>116,93</t>
        </is>
      </c>
    </row>
    <row r="372">
      <c r="A372" s="65" t="n"/>
      <c r="B372" s="65" t="n"/>
      <c r="C372" s="65" t="n"/>
      <c r="D372" s="65" t="n"/>
      <c r="E372" s="65" t="n"/>
      <c r="F372" s="65" t="n"/>
      <c r="G372" s="65" t="n"/>
      <c r="H372" s="65" t="n"/>
      <c r="I372" s="65" t="n"/>
      <c r="J372" s="65" t="n"/>
      <c r="K372" s="65" t="n"/>
      <c r="L372" s="65" t="n"/>
      <c r="M372" s="63" t="inlineStr">
        <is>
          <t>0,00</t>
        </is>
      </c>
      <c r="N372" s="63" t="inlineStr">
        <is>
          <t>0,00</t>
        </is>
      </c>
      <c r="O372" s="63" t="inlineStr">
        <is>
          <t>0,00</t>
        </is>
      </c>
      <c r="P372" s="63" t="inlineStr">
        <is>
          <t>0,00</t>
        </is>
      </c>
      <c r="Q372" s="63" t="inlineStr">
        <is>
          <t>0,00</t>
        </is>
      </c>
    </row>
    <row r="373">
      <c r="A373" s="66" t="n">
        <v>46216</v>
      </c>
      <c r="B373" s="65" t="n">
        <v>352</v>
      </c>
      <c r="C373" s="65" t="inlineStr">
        <is>
          <t>00-00000895</t>
        </is>
      </c>
      <c r="D373" s="65" t="inlineStr">
        <is>
          <t>S00423</t>
        </is>
      </c>
      <c r="E373" s="65" t="inlineStr">
        <is>
          <t>OLIVEIRA &amp; SANTOS, C.A.(SERVICENTRO EL CUÑO, C.A.)</t>
        </is>
      </c>
      <c r="F373" s="63" t="inlineStr">
        <is>
          <t>448.684,19</t>
        </is>
      </c>
      <c r="G373" s="63" t="inlineStr">
        <is>
          <t>520.473,65</t>
        </is>
      </c>
      <c r="H373" s="63" t="inlineStr">
        <is>
          <t>721,50</t>
        </is>
      </c>
      <c r="I373" s="63" t="inlineStr">
        <is>
          <t>721,35</t>
        </is>
      </c>
      <c r="J373" s="65" t="n"/>
      <c r="K373" s="65" t="n">
        <v>877</v>
      </c>
      <c r="L373" s="65" t="inlineStr">
        <is>
          <t>[0877] SS EXTRA PROTECCION API SN SAE 15W-40 (1X12)</t>
        </is>
      </c>
      <c r="M373" s="63" t="inlineStr">
        <is>
          <t>100,80</t>
        </is>
      </c>
      <c r="N373" s="63" t="inlineStr">
        <is>
          <t>1,00</t>
        </is>
      </c>
      <c r="O373" s="63" t="inlineStr">
        <is>
          <t>0,00</t>
        </is>
      </c>
      <c r="P373" s="63" t="inlineStr">
        <is>
          <t>100,80</t>
        </is>
      </c>
      <c r="Q373" s="63" t="inlineStr">
        <is>
          <t>116,93</t>
        </is>
      </c>
    </row>
    <row r="374">
      <c r="A374" s="65" t="n"/>
      <c r="B374" s="65" t="n"/>
      <c r="C374" s="65" t="n"/>
      <c r="D374" s="65" t="n"/>
      <c r="E374" s="65" t="n"/>
      <c r="F374" s="65" t="n"/>
      <c r="G374" s="65" t="n"/>
      <c r="H374" s="65" t="n"/>
      <c r="I374" s="65" t="n"/>
      <c r="J374" s="65" t="n"/>
      <c r="K374" s="65" t="n">
        <v>878</v>
      </c>
      <c r="L374" s="65" t="inlineStr">
        <is>
          <t>[0878] SS EXTRA PROTECCION API SN SAE 20W-50 (1x12)</t>
        </is>
      </c>
      <c r="M374" s="63" t="inlineStr">
        <is>
          <t>100,80</t>
        </is>
      </c>
      <c r="N374" s="63" t="inlineStr">
        <is>
          <t>1,00</t>
        </is>
      </c>
      <c r="O374" s="63" t="inlineStr">
        <is>
          <t>0,00</t>
        </is>
      </c>
      <c r="P374" s="63" t="inlineStr">
        <is>
          <t>100,80</t>
        </is>
      </c>
      <c r="Q374" s="63" t="inlineStr">
        <is>
          <t>116,93</t>
        </is>
      </c>
    </row>
    <row r="375">
      <c r="A375" s="65" t="n"/>
      <c r="B375" s="65" t="n"/>
      <c r="C375" s="65" t="n"/>
      <c r="D375" s="65" t="n"/>
      <c r="E375" s="65" t="n"/>
      <c r="F375" s="65" t="n"/>
      <c r="G375" s="65" t="n"/>
      <c r="H375" s="65" t="n"/>
      <c r="I375" s="65" t="n"/>
      <c r="J375" s="65" t="n"/>
      <c r="K375" s="65" t="n">
        <v>775</v>
      </c>
      <c r="L375" s="65" t="inlineStr">
        <is>
          <t>[0775] LIGA PARA FRENOS DOT-4 (1X12)</t>
        </is>
      </c>
      <c r="M375" s="63" t="inlineStr">
        <is>
          <t>41,11</t>
        </is>
      </c>
      <c r="N375" s="63" t="inlineStr">
        <is>
          <t>1,00</t>
        </is>
      </c>
      <c r="O375" s="63" t="inlineStr">
        <is>
          <t>0,00</t>
        </is>
      </c>
      <c r="P375" s="63" t="inlineStr">
        <is>
          <t>41,11</t>
        </is>
      </c>
      <c r="Q375" s="63" t="inlineStr">
        <is>
          <t>47,69</t>
        </is>
      </c>
    </row>
    <row r="376">
      <c r="A376" s="65" t="n"/>
      <c r="B376" s="65" t="n"/>
      <c r="C376" s="65" t="n"/>
      <c r="D376" s="65" t="n"/>
      <c r="E376" s="65" t="n"/>
      <c r="F376" s="65" t="n"/>
      <c r="G376" s="65" t="n"/>
      <c r="H376" s="65" t="n"/>
      <c r="I376" s="65" t="n"/>
      <c r="J376" s="65" t="n"/>
      <c r="K376" s="65" t="n">
        <v>762</v>
      </c>
      <c r="L376" s="65" t="inlineStr">
        <is>
          <t>[0762] LIGA PARA FRENOS DOT-3 (1x6)</t>
        </is>
      </c>
      <c r="M376" s="63" t="inlineStr">
        <is>
          <t>57,03</t>
        </is>
      </c>
      <c r="N376" s="63" t="inlineStr">
        <is>
          <t>1,00</t>
        </is>
      </c>
      <c r="O376" s="63" t="inlineStr">
        <is>
          <t>0,00</t>
        </is>
      </c>
      <c r="P376" s="63" t="inlineStr">
        <is>
          <t>57,03</t>
        </is>
      </c>
      <c r="Q376" s="63" t="inlineStr">
        <is>
          <t>66,15</t>
        </is>
      </c>
    </row>
    <row r="377">
      <c r="A377" s="65" t="n"/>
      <c r="B377" s="65" t="n"/>
      <c r="C377" s="65" t="n"/>
      <c r="D377" s="65" t="n"/>
      <c r="E377" s="65" t="n"/>
      <c r="F377" s="65" t="n"/>
      <c r="G377" s="65" t="n"/>
      <c r="H377" s="65" t="n"/>
      <c r="I377" s="65" t="n"/>
      <c r="J377" s="65" t="n"/>
      <c r="K377" s="65" t="n">
        <v>561</v>
      </c>
      <c r="L377" s="65" t="inlineStr">
        <is>
          <t>[0561] MEJORADOR DE OCTANAJE GLOBAL OIL PACK (1X12)</t>
        </is>
      </c>
      <c r="M377" s="63" t="inlineStr">
        <is>
          <t>51,72</t>
        </is>
      </c>
      <c r="N377" s="63" t="inlineStr">
        <is>
          <t>1,00</t>
        </is>
      </c>
      <c r="O377" s="63" t="inlineStr">
        <is>
          <t>0,00</t>
        </is>
      </c>
      <c r="P377" s="63" t="inlineStr">
        <is>
          <t>51,72</t>
        </is>
      </c>
      <c r="Q377" s="63" t="inlineStr">
        <is>
          <t>60,00</t>
        </is>
      </c>
    </row>
    <row r="378">
      <c r="A378" s="65" t="n"/>
      <c r="B378" s="65" t="n"/>
      <c r="C378" s="65" t="n"/>
      <c r="D378" s="65" t="n"/>
      <c r="E378" s="65" t="n"/>
      <c r="F378" s="65" t="n"/>
      <c r="G378" s="65" t="n"/>
      <c r="H378" s="65" t="n"/>
      <c r="I378" s="65" t="n"/>
      <c r="J378" s="65" t="n"/>
      <c r="K378" s="65" t="n">
        <v>789</v>
      </c>
      <c r="L378" s="65" t="inlineStr">
        <is>
          <t>[0789] REFRIGERANTE GLOBAL VERDE (1X3)</t>
        </is>
      </c>
      <c r="M378" s="63" t="inlineStr">
        <is>
          <t>34,48</t>
        </is>
      </c>
      <c r="N378" s="63" t="inlineStr">
        <is>
          <t>1,00</t>
        </is>
      </c>
      <c r="O378" s="63" t="inlineStr">
        <is>
          <t>0,00</t>
        </is>
      </c>
      <c r="P378" s="63" t="inlineStr">
        <is>
          <t>34,48</t>
        </is>
      </c>
      <c r="Q378" s="63" t="inlineStr">
        <is>
          <t>40,00</t>
        </is>
      </c>
    </row>
    <row r="379">
      <c r="A379" s="65" t="n"/>
      <c r="B379" s="65" t="n"/>
      <c r="C379" s="65" t="n"/>
      <c r="D379" s="65" t="n"/>
      <c r="E379" s="65" t="n"/>
      <c r="F379" s="65" t="n"/>
      <c r="G379" s="65" t="n"/>
      <c r="H379" s="65" t="n"/>
      <c r="I379" s="65" t="n"/>
      <c r="J379" s="65" t="n"/>
      <c r="K379" s="65" t="n">
        <v>792</v>
      </c>
      <c r="L379" s="65" t="inlineStr">
        <is>
          <t>[0792] REFRIGERANTE GLOBAL ROJO (1X3)</t>
        </is>
      </c>
      <c r="M379" s="63" t="inlineStr">
        <is>
          <t>34,48</t>
        </is>
      </c>
      <c r="N379" s="63" t="inlineStr">
        <is>
          <t>1,00</t>
        </is>
      </c>
      <c r="O379" s="63" t="inlineStr">
        <is>
          <t>0,00</t>
        </is>
      </c>
      <c r="P379" s="63" t="inlineStr">
        <is>
          <t>34,48</t>
        </is>
      </c>
      <c r="Q379" s="63" t="inlineStr">
        <is>
          <t>40,00</t>
        </is>
      </c>
    </row>
    <row r="380">
      <c r="A380" s="65" t="n"/>
      <c r="B380" s="65" t="n"/>
      <c r="C380" s="65" t="n"/>
      <c r="D380" s="65" t="n"/>
      <c r="E380" s="65" t="n"/>
      <c r="F380" s="65" t="n"/>
      <c r="G380" s="65" t="n"/>
      <c r="H380" s="65" t="n"/>
      <c r="I380" s="65" t="n"/>
      <c r="J380" s="65" t="n"/>
      <c r="K380" s="65" t="n">
        <v>884</v>
      </c>
      <c r="L380" s="65" t="inlineStr">
        <is>
          <t>[0884] TRANSMATIC ATF DEXRON III (1x12)</t>
        </is>
      </c>
      <c r="M380" s="63" t="inlineStr">
        <is>
          <t>95,49</t>
        </is>
      </c>
      <c r="N380" s="63" t="inlineStr">
        <is>
          <t>1,00</t>
        </is>
      </c>
      <c r="O380" s="63" t="inlineStr">
        <is>
          <t>0,00</t>
        </is>
      </c>
      <c r="P380" s="63" t="inlineStr">
        <is>
          <t>95,49</t>
        </is>
      </c>
      <c r="Q380" s="63" t="inlineStr">
        <is>
          <t>110,77</t>
        </is>
      </c>
    </row>
    <row r="381">
      <c r="A381" s="65" t="n"/>
      <c r="B381" s="65" t="n"/>
      <c r="C381" s="65" t="n"/>
      <c r="D381" s="65" t="n"/>
      <c r="E381" s="65" t="n"/>
      <c r="F381" s="65" t="n"/>
      <c r="G381" s="65" t="n"/>
      <c r="H381" s="65" t="n"/>
      <c r="I381" s="65" t="n"/>
      <c r="J381" s="65" t="n"/>
      <c r="K381" s="65" t="n">
        <v>779</v>
      </c>
      <c r="L381" s="65" t="inlineStr">
        <is>
          <t>[0779] SINOCO SAE 20W-50 (1x12)</t>
        </is>
      </c>
      <c r="M381" s="63" t="inlineStr">
        <is>
          <t>70,29</t>
        </is>
      </c>
      <c r="N381" s="63" t="inlineStr">
        <is>
          <t>1,00</t>
        </is>
      </c>
      <c r="O381" s="63" t="inlineStr">
        <is>
          <t>0,00</t>
        </is>
      </c>
      <c r="P381" s="63" t="inlineStr">
        <is>
          <t>70,29</t>
        </is>
      </c>
      <c r="Q381" s="63" t="inlineStr">
        <is>
          <t>81,54</t>
        </is>
      </c>
    </row>
    <row r="382">
      <c r="A382" s="65" t="n"/>
      <c r="B382" s="65" t="n"/>
      <c r="C382" s="65" t="n"/>
      <c r="D382" s="65" t="n"/>
      <c r="E382" s="65" t="n"/>
      <c r="F382" s="65" t="n"/>
      <c r="G382" s="65" t="n"/>
      <c r="H382" s="65" t="n"/>
      <c r="I382" s="65" t="n"/>
      <c r="J382" s="65" t="n"/>
      <c r="K382" s="65" t="n">
        <v>761</v>
      </c>
      <c r="L382" s="65" t="inlineStr">
        <is>
          <t>[0761] LIGA PARA FRENOS DOT-3 (1x12)</t>
        </is>
      </c>
      <c r="M382" s="63" t="inlineStr">
        <is>
          <t>35,81</t>
        </is>
      </c>
      <c r="N382" s="63" t="inlineStr">
        <is>
          <t>1,00</t>
        </is>
      </c>
      <c r="O382" s="63" t="inlineStr">
        <is>
          <t>0,00</t>
        </is>
      </c>
      <c r="P382" s="63" t="inlineStr">
        <is>
          <t>35,81</t>
        </is>
      </c>
      <c r="Q382" s="63" t="inlineStr">
        <is>
          <t>41,54</t>
        </is>
      </c>
    </row>
    <row r="383">
      <c r="A383" s="66" t="n">
        <v>46216</v>
      </c>
      <c r="B383" s="65" t="n">
        <v>351</v>
      </c>
      <c r="C383" s="65" t="inlineStr">
        <is>
          <t>00-00000894</t>
        </is>
      </c>
      <c r="D383" s="65" t="inlineStr">
        <is>
          <t>S00424</t>
        </is>
      </c>
      <c r="E383" s="65" t="inlineStr">
        <is>
          <t>Antonio Terán</t>
        </is>
      </c>
      <c r="F383" s="63" t="inlineStr">
        <is>
          <t>811.254,12</t>
        </is>
      </c>
      <c r="G383" s="63" t="inlineStr">
        <is>
          <t>941.054,78</t>
        </is>
      </c>
      <c r="H383" s="63" t="inlineStr">
        <is>
          <t>1.304,58</t>
        </is>
      </c>
      <c r="I383" s="63" t="inlineStr">
        <is>
          <t>721,35</t>
        </is>
      </c>
      <c r="J383" s="65" t="n">
        <v>497</v>
      </c>
      <c r="K383" s="65" t="n">
        <v>779</v>
      </c>
      <c r="L383" s="65" t="inlineStr">
        <is>
          <t>[0779] SINOCO SAE 20W-50 (1x12)</t>
        </is>
      </c>
      <c r="M383" s="63" t="inlineStr">
        <is>
          <t>70,29</t>
        </is>
      </c>
      <c r="N383" s="63" t="inlineStr">
        <is>
          <t>13,00</t>
        </is>
      </c>
      <c r="O383" s="63" t="inlineStr">
        <is>
          <t>0,00</t>
        </is>
      </c>
      <c r="P383" s="63" t="inlineStr">
        <is>
          <t>913,77</t>
        </is>
      </c>
      <c r="Q383" s="63" t="inlineStr">
        <is>
          <t>1.059,97</t>
        </is>
      </c>
    </row>
    <row r="384">
      <c r="A384" s="65" t="n"/>
      <c r="B384" s="65" t="n"/>
      <c r="C384" s="65" t="n"/>
      <c r="D384" s="65" t="n"/>
      <c r="E384" s="65" t="n"/>
      <c r="F384" s="65" t="n"/>
      <c r="G384" s="65" t="n"/>
      <c r="H384" s="65" t="n"/>
      <c r="I384" s="65" t="n"/>
      <c r="J384" s="65" t="n">
        <v>556</v>
      </c>
      <c r="K384" s="65" t="n"/>
      <c r="L384" s="65" t="n"/>
      <c r="M384" s="65" t="n"/>
      <c r="N384" s="65" t="n"/>
      <c r="O384" s="65" t="n"/>
      <c r="P384" s="65" t="n"/>
      <c r="Q384" s="65" t="n"/>
    </row>
    <row r="385">
      <c r="A385" s="65" t="n"/>
      <c r="B385" s="65" t="n"/>
      <c r="C385" s="65" t="n"/>
      <c r="D385" s="65" t="n"/>
      <c r="E385" s="65" t="n"/>
      <c r="F385" s="65" t="n"/>
      <c r="G385" s="65" t="n"/>
      <c r="H385" s="65" t="n"/>
      <c r="I385" s="65" t="n"/>
      <c r="J385" s="65" t="n">
        <v>693</v>
      </c>
      <c r="K385" s="65" t="n"/>
      <c r="L385" s="65" t="n"/>
      <c r="M385" s="65" t="n"/>
      <c r="N385" s="65" t="n"/>
      <c r="O385" s="65" t="n"/>
      <c r="P385" s="65" t="n"/>
      <c r="Q385" s="65" t="n"/>
    </row>
    <row r="386">
      <c r="A386" s="65" t="n"/>
      <c r="B386" s="65" t="n"/>
      <c r="C386" s="65" t="n"/>
      <c r="D386" s="65" t="n"/>
      <c r="E386" s="65" t="n"/>
      <c r="F386" s="65" t="n"/>
      <c r="G386" s="65" t="n"/>
      <c r="H386" s="65" t="n"/>
      <c r="I386" s="65" t="n"/>
      <c r="J386" s="65" t="n">
        <v>766</v>
      </c>
      <c r="K386" s="65" t="n"/>
      <c r="L386" s="65" t="n"/>
      <c r="M386" s="65" t="n"/>
      <c r="N386" s="65" t="n"/>
      <c r="O386" s="65" t="n"/>
      <c r="P386" s="65" t="n"/>
      <c r="Q386" s="65" t="n"/>
    </row>
    <row r="387">
      <c r="A387" s="65" t="n"/>
      <c r="B387" s="65" t="n"/>
      <c r="C387" s="65" t="n"/>
      <c r="D387" s="65" t="n"/>
      <c r="E387" s="65" t="n"/>
      <c r="F387" s="65" t="n"/>
      <c r="G387" s="65" t="n"/>
      <c r="H387" s="65" t="n"/>
      <c r="I387" s="65" t="n"/>
      <c r="J387" s="65" t="n">
        <v>870</v>
      </c>
      <c r="K387" s="65" t="n"/>
      <c r="L387" s="65" t="n"/>
      <c r="M387" s="65" t="n"/>
      <c r="N387" s="65" t="n"/>
      <c r="O387" s="65" t="n"/>
      <c r="P387" s="65" t="n"/>
      <c r="Q387" s="65" t="n"/>
    </row>
    <row r="388">
      <c r="A388" s="65" t="n"/>
      <c r="B388" s="65" t="n"/>
      <c r="C388" s="65" t="n"/>
      <c r="D388" s="65" t="n"/>
      <c r="E388" s="65" t="n"/>
      <c r="F388" s="65" t="n"/>
      <c r="G388" s="65" t="n"/>
      <c r="H388" s="65" t="n"/>
      <c r="I388" s="65" t="n"/>
      <c r="J388" s="65" t="n"/>
      <c r="K388" s="65" t="n">
        <v>915</v>
      </c>
      <c r="L388" s="65" t="inlineStr">
        <is>
          <t>[0915] SINOCO SAE 50 (1x12)</t>
        </is>
      </c>
      <c r="M388" s="63" t="inlineStr">
        <is>
          <t>70,29</t>
        </is>
      </c>
      <c r="N388" s="63" t="inlineStr">
        <is>
          <t>3,00</t>
        </is>
      </c>
      <c r="O388" s="63" t="inlineStr">
        <is>
          <t>0,00</t>
        </is>
      </c>
      <c r="P388" s="63" t="inlineStr">
        <is>
          <t>210,87</t>
        </is>
      </c>
      <c r="Q388" s="63" t="inlineStr">
        <is>
          <t>244,61</t>
        </is>
      </c>
    </row>
    <row r="389">
      <c r="A389" s="66" t="n">
        <v>46216</v>
      </c>
      <c r="B389" s="65" t="n">
        <v>350</v>
      </c>
      <c r="C389" s="65" t="inlineStr">
        <is>
          <t>00-00000893</t>
        </is>
      </c>
      <c r="D389" s="65" t="inlineStr">
        <is>
          <t>S00432</t>
        </is>
      </c>
      <c r="E389" s="65" t="inlineStr">
        <is>
          <t>COMERCIAL EKAFREN,C.A.</t>
        </is>
      </c>
      <c r="F389" s="63" t="inlineStr">
        <is>
          <t>309.039,31</t>
        </is>
      </c>
      <c r="G389" s="63" t="inlineStr">
        <is>
          <t>358.485,60</t>
        </is>
      </c>
      <c r="H389" s="63" t="inlineStr">
        <is>
          <t>496,96</t>
        </is>
      </c>
      <c r="I389" s="63" t="inlineStr">
        <is>
          <t>721,35</t>
        </is>
      </c>
      <c r="J389" s="65" t="n"/>
      <c r="K389" s="65" t="n">
        <v>881</v>
      </c>
      <c r="L389" s="65" t="inlineStr">
        <is>
          <t>[0881] CLASICO API SL SAE 20W-50 (1x12)</t>
        </is>
      </c>
      <c r="M389" s="63" t="inlineStr">
        <is>
          <t>86,21</t>
        </is>
      </c>
      <c r="N389" s="63" t="inlineStr">
        <is>
          <t>5,00</t>
        </is>
      </c>
      <c r="O389" s="63" t="inlineStr">
        <is>
          <t>0,61</t>
        </is>
      </c>
      <c r="P389" s="63" t="inlineStr">
        <is>
          <t>428,42</t>
        </is>
      </c>
      <c r="Q389" s="63" t="inlineStr">
        <is>
          <t>496,97</t>
        </is>
      </c>
    </row>
    <row r="390">
      <c r="A390" s="66" t="n">
        <v>46216</v>
      </c>
      <c r="B390" s="65" t="n">
        <v>349</v>
      </c>
      <c r="C390" s="65" t="inlineStr">
        <is>
          <t>00-00000892</t>
        </is>
      </c>
      <c r="D390" s="65" t="inlineStr">
        <is>
          <t>S00437</t>
        </is>
      </c>
      <c r="E390" s="65" t="inlineStr">
        <is>
          <t>Mazare Motors, C.A</t>
        </is>
      </c>
      <c r="F390" s="63" t="inlineStr">
        <is>
          <t>72.711,64</t>
        </is>
      </c>
      <c r="G390" s="63" t="inlineStr">
        <is>
          <t>84.345,50</t>
        </is>
      </c>
      <c r="H390" s="63" t="inlineStr">
        <is>
          <t>116,92</t>
        </is>
      </c>
      <c r="I390" s="63" t="inlineStr">
        <is>
          <t>721,35</t>
        </is>
      </c>
      <c r="J390" s="65" t="n"/>
      <c r="K390" s="65" t="n">
        <v>87</v>
      </c>
      <c r="L390" s="65" t="inlineStr">
        <is>
          <t>[0087] ENDUROGLOB 2T AIRE (1x6)</t>
        </is>
      </c>
      <c r="M390" s="63" t="inlineStr">
        <is>
          <t>50,40</t>
        </is>
      </c>
      <c r="N390" s="63" t="inlineStr">
        <is>
          <t>2,00</t>
        </is>
      </c>
      <c r="O390" s="63" t="inlineStr">
        <is>
          <t>0,00</t>
        </is>
      </c>
      <c r="P390" s="63" t="inlineStr">
        <is>
          <t>100,80</t>
        </is>
      </c>
      <c r="Q390" s="63" t="inlineStr">
        <is>
          <t>116,93</t>
        </is>
      </c>
    </row>
    <row r="391">
      <c r="A391" s="66" t="n">
        <v>46216</v>
      </c>
      <c r="B391" s="65" t="n">
        <v>348</v>
      </c>
      <c r="C391" s="65" t="inlineStr">
        <is>
          <t>00-00000891</t>
        </is>
      </c>
      <c r="D391" s="65" t="inlineStr">
        <is>
          <t>S00439</t>
        </is>
      </c>
      <c r="E391" s="65" t="inlineStr">
        <is>
          <t>MOTOREPUESTOS EL GUANÁBANO YRM C.A.</t>
        </is>
      </c>
      <c r="F391" s="63" t="inlineStr">
        <is>
          <t>65.058,16</t>
        </is>
      </c>
      <c r="G391" s="63" t="inlineStr">
        <is>
          <t>75.467,47</t>
        </is>
      </c>
      <c r="H391" s="63" t="inlineStr">
        <is>
          <t>104,62</t>
        </is>
      </c>
      <c r="I391" s="63" t="inlineStr">
        <is>
          <t>721,35</t>
        </is>
      </c>
      <c r="J391" s="65" t="n"/>
      <c r="K391" s="65" t="n">
        <v>887</v>
      </c>
      <c r="L391" s="65" t="inlineStr">
        <is>
          <t>[0887] MOTOCLASICO 4T SAE 20W-50 (1x12)</t>
        </is>
      </c>
      <c r="M391" s="63" t="inlineStr">
        <is>
          <t>90,19</t>
        </is>
      </c>
      <c r="N391" s="63" t="inlineStr">
        <is>
          <t>1,00</t>
        </is>
      </c>
      <c r="O391" s="63" t="inlineStr">
        <is>
          <t>0,00</t>
        </is>
      </c>
      <c r="P391" s="63" t="inlineStr">
        <is>
          <t>90,19</t>
        </is>
      </c>
      <c r="Q391" s="63" t="inlineStr">
        <is>
          <t>104,62</t>
        </is>
      </c>
    </row>
    <row r="392">
      <c r="A392" s="66" t="n">
        <v>46216</v>
      </c>
      <c r="B392" s="65" t="n">
        <v>347</v>
      </c>
      <c r="C392" s="65" t="inlineStr">
        <is>
          <t>00-00000890</t>
        </is>
      </c>
      <c r="D392" s="65" t="inlineStr">
        <is>
          <t>S00443</t>
        </is>
      </c>
      <c r="E392" s="65" t="inlineStr">
        <is>
          <t>ZIP MARKET, CA</t>
        </is>
      </c>
      <c r="F392" s="63" t="inlineStr">
        <is>
          <t>161.682,40</t>
        </is>
      </c>
      <c r="G392" s="63" t="inlineStr">
        <is>
          <t>187.551,59</t>
        </is>
      </c>
      <c r="H392" s="63" t="inlineStr">
        <is>
          <t>259,99</t>
        </is>
      </c>
      <c r="I392" s="63" t="inlineStr">
        <is>
          <t>721,35</t>
        </is>
      </c>
      <c r="J392" s="65" t="n"/>
      <c r="K392" s="65" t="n">
        <v>121</v>
      </c>
      <c r="L392" s="65" t="inlineStr">
        <is>
          <t>[0121] TRANSGLOB API GL-5 SAE 80W-90 (1x6)</t>
        </is>
      </c>
      <c r="M392" s="63" t="inlineStr">
        <is>
          <t>51,72</t>
        </is>
      </c>
      <c r="N392" s="63" t="inlineStr">
        <is>
          <t>1,00</t>
        </is>
      </c>
      <c r="O392" s="63" t="inlineStr">
        <is>
          <t>0,00</t>
        </is>
      </c>
      <c r="P392" s="63" t="inlineStr">
        <is>
          <t>51,72</t>
        </is>
      </c>
      <c r="Q392" s="63" t="inlineStr">
        <is>
          <t>60,00</t>
        </is>
      </c>
    </row>
    <row r="393">
      <c r="A393" s="65" t="n"/>
      <c r="B393" s="65" t="n"/>
      <c r="C393" s="65" t="n"/>
      <c r="D393" s="65" t="n"/>
      <c r="E393" s="65" t="n"/>
      <c r="F393" s="65" t="n"/>
      <c r="G393" s="65" t="n"/>
      <c r="H393" s="65" t="n"/>
      <c r="I393" s="65" t="n"/>
      <c r="J393" s="65" t="n"/>
      <c r="K393" s="65" t="n">
        <v>880</v>
      </c>
      <c r="L393" s="65" t="inlineStr">
        <is>
          <t>[0880] CLASICO API SL SAE 15W-40 (1x12)</t>
        </is>
      </c>
      <c r="M393" s="63" t="inlineStr">
        <is>
          <t>86,21</t>
        </is>
      </c>
      <c r="N393" s="63" t="inlineStr">
        <is>
          <t>2,00</t>
        </is>
      </c>
      <c r="O393" s="63" t="inlineStr">
        <is>
          <t>0,00</t>
        </is>
      </c>
      <c r="P393" s="63" t="inlineStr">
        <is>
          <t>172,42</t>
        </is>
      </c>
      <c r="Q393" s="63" t="inlineStr">
        <is>
          <t>200,01</t>
        </is>
      </c>
    </row>
    <row r="394">
      <c r="A394" s="66" t="n">
        <v>46216</v>
      </c>
      <c r="B394" s="65" t="n">
        <v>346</v>
      </c>
      <c r="C394" s="65" t="inlineStr">
        <is>
          <t>00-00000889</t>
        </is>
      </c>
      <c r="D394" s="65" t="inlineStr">
        <is>
          <t>S00427</t>
        </is>
      </c>
      <c r="E394" s="65" t="inlineStr">
        <is>
          <t>CONSTRUCTORA GRANO AGREGADO, C.A</t>
        </is>
      </c>
      <c r="F394" s="63" t="inlineStr">
        <is>
          <t>5.066.630,50</t>
        </is>
      </c>
      <c r="G394" s="63" t="inlineStr">
        <is>
          <t>5.877.291,38</t>
        </is>
      </c>
      <c r="H394" s="63" t="inlineStr">
        <is>
          <t>8.147,65</t>
        </is>
      </c>
      <c r="I394" s="63" t="inlineStr">
        <is>
          <t>721,35</t>
        </is>
      </c>
      <c r="J394" s="65" t="n"/>
      <c r="K394" s="65" t="n">
        <v>146</v>
      </c>
      <c r="L394" s="65" t="inlineStr">
        <is>
          <t>[0146] HIDRAGLOB AW/ISO 68 (Tambor)</t>
        </is>
      </c>
      <c r="M394" s="63" t="inlineStr">
        <is>
          <t>1.103,45</t>
        </is>
      </c>
      <c r="N394" s="63" t="inlineStr">
        <is>
          <t>2,00</t>
        </is>
      </c>
      <c r="O394" s="63" t="inlineStr">
        <is>
          <t>0,00</t>
        </is>
      </c>
      <c r="P394" s="63" t="inlineStr">
        <is>
          <t>2.206,90</t>
        </is>
      </c>
      <c r="Q394" s="63" t="inlineStr">
        <is>
          <t>2.560,00</t>
        </is>
      </c>
    </row>
    <row r="395">
      <c r="A395" s="65" t="n"/>
      <c r="B395" s="65" t="n"/>
      <c r="C395" s="65" t="n"/>
      <c r="D395" s="65" t="n"/>
      <c r="E395" s="65" t="n"/>
      <c r="F395" s="65" t="n"/>
      <c r="G395" s="65" t="n"/>
      <c r="H395" s="65" t="n"/>
      <c r="I395" s="65" t="n"/>
      <c r="J395" s="65" t="n"/>
      <c r="K395" s="65" t="n">
        <v>85</v>
      </c>
      <c r="L395" s="65" t="inlineStr">
        <is>
          <t>[0085] MAXIMO API CF SAE 50 (Tambor)</t>
        </is>
      </c>
      <c r="M395" s="63" t="inlineStr">
        <is>
          <t>1.136,60</t>
        </is>
      </c>
      <c r="N395" s="63" t="inlineStr">
        <is>
          <t>2,00</t>
        </is>
      </c>
      <c r="O395" s="63" t="inlineStr">
        <is>
          <t>0,00</t>
        </is>
      </c>
      <c r="P395" s="63" t="inlineStr">
        <is>
          <t>2.273,20</t>
        </is>
      </c>
      <c r="Q395" s="63" t="inlineStr">
        <is>
          <t>2.636,91</t>
        </is>
      </c>
    </row>
    <row r="396">
      <c r="A396" s="65" t="n"/>
      <c r="B396" s="65" t="n"/>
      <c r="C396" s="65" t="n"/>
      <c r="D396" s="65" t="n"/>
      <c r="E396" s="65" t="n"/>
      <c r="F396" s="65" t="n"/>
      <c r="G396" s="65" t="n"/>
      <c r="H396" s="65" t="n"/>
      <c r="I396" s="65" t="n"/>
      <c r="J396" s="65" t="n"/>
      <c r="K396" s="65" t="n">
        <v>75</v>
      </c>
      <c r="L396" s="65" t="inlineStr">
        <is>
          <t>[0075] SUPREMO API CI-4 SAE 15W-40 (Tambor)</t>
        </is>
      </c>
      <c r="M396" s="63" t="inlineStr">
        <is>
          <t>1.271,88</t>
        </is>
      </c>
      <c r="N396" s="63" t="inlineStr">
        <is>
          <t>2,00</t>
        </is>
      </c>
      <c r="O396" s="63" t="inlineStr">
        <is>
          <t>0,00</t>
        </is>
      </c>
      <c r="P396" s="63" t="inlineStr">
        <is>
          <t>2.543,76</t>
        </is>
      </c>
      <c r="Q396" s="63" t="inlineStr">
        <is>
          <t>2.950,76</t>
        </is>
      </c>
    </row>
    <row r="397">
      <c r="A397" s="66" t="n">
        <v>46216</v>
      </c>
      <c r="B397" s="65" t="n">
        <v>345</v>
      </c>
      <c r="C397" s="65" t="inlineStr">
        <is>
          <t>00-00000888</t>
        </is>
      </c>
      <c r="D397" s="65" t="inlineStr">
        <is>
          <t>S00456</t>
        </is>
      </c>
      <c r="E397" s="65" t="inlineStr">
        <is>
          <t>ERICK JOSE MAIGUA GUILLEN</t>
        </is>
      </c>
      <c r="F397" s="63" t="inlineStr">
        <is>
          <t>170.288,05</t>
        </is>
      </c>
      <c r="G397" s="63" t="inlineStr">
        <is>
          <t>197.534,14</t>
        </is>
      </c>
      <c r="H397" s="63" t="inlineStr">
        <is>
          <t>273,81</t>
        </is>
      </c>
      <c r="I397" s="63" t="inlineStr">
        <is>
          <t>721,35</t>
        </is>
      </c>
      <c r="J397" s="65" t="n"/>
      <c r="K397" s="65" t="n">
        <v>915</v>
      </c>
      <c r="L397" s="65" t="inlineStr">
        <is>
          <t>[0915] SINOCO SAE 50 (1x12)</t>
        </is>
      </c>
      <c r="M397" s="63" t="inlineStr">
        <is>
          <t>70,29</t>
        </is>
      </c>
      <c r="N397" s="63" t="inlineStr">
        <is>
          <t>1,00</t>
        </is>
      </c>
      <c r="O397" s="63" t="inlineStr">
        <is>
          <t>0,00</t>
        </is>
      </c>
      <c r="P397" s="63" t="inlineStr">
        <is>
          <t>70,29</t>
        </is>
      </c>
      <c r="Q397" s="63" t="inlineStr">
        <is>
          <t>81,54</t>
        </is>
      </c>
    </row>
    <row r="398">
      <c r="A398" s="65" t="n"/>
      <c r="B398" s="65" t="n"/>
      <c r="C398" s="65" t="n"/>
      <c r="D398" s="65" t="n"/>
      <c r="E398" s="65" t="n"/>
      <c r="F398" s="65" t="n"/>
      <c r="G398" s="65" t="n"/>
      <c r="H398" s="65" t="n"/>
      <c r="I398" s="65" t="n"/>
      <c r="J398" s="65" t="n"/>
      <c r="K398" s="65" t="n">
        <v>779</v>
      </c>
      <c r="L398" s="65" t="inlineStr">
        <is>
          <t>[0779] SINOCO SAE 20W-50 (1x12)</t>
        </is>
      </c>
      <c r="M398" s="63" t="inlineStr">
        <is>
          <t>70,29</t>
        </is>
      </c>
      <c r="N398" s="63" t="inlineStr">
        <is>
          <t>1,00</t>
        </is>
      </c>
      <c r="O398" s="63" t="inlineStr">
        <is>
          <t>0,00</t>
        </is>
      </c>
      <c r="P398" s="63" t="inlineStr">
        <is>
          <t>70,29</t>
        </is>
      </c>
      <c r="Q398" s="63" t="inlineStr">
        <is>
          <t>81,54</t>
        </is>
      </c>
    </row>
    <row r="399">
      <c r="A399" s="65" t="n"/>
      <c r="B399" s="65" t="n"/>
      <c r="C399" s="65" t="n"/>
      <c r="D399" s="65" t="n"/>
      <c r="E399" s="65" t="n"/>
      <c r="F399" s="65" t="n"/>
      <c r="G399" s="65" t="n"/>
      <c r="H399" s="65" t="n"/>
      <c r="I399" s="65" t="n"/>
      <c r="J399" s="65" t="n"/>
      <c r="K399" s="65" t="n">
        <v>884</v>
      </c>
      <c r="L399" s="65" t="inlineStr">
        <is>
          <t>[0884] TRANSMATIC ATF DEXRON III (1x12)</t>
        </is>
      </c>
      <c r="M399" s="63" t="inlineStr">
        <is>
          <t>95,49</t>
        </is>
      </c>
      <c r="N399" s="63" t="inlineStr">
        <is>
          <t>1,00</t>
        </is>
      </c>
      <c r="O399" s="63" t="inlineStr">
        <is>
          <t>0,00</t>
        </is>
      </c>
      <c r="P399" s="63" t="inlineStr">
        <is>
          <t>95,49</t>
        </is>
      </c>
      <c r="Q399" s="63" t="inlineStr">
        <is>
          <t>110,77</t>
        </is>
      </c>
    </row>
    <row r="400">
      <c r="A400" s="66" t="n">
        <v>46216</v>
      </c>
      <c r="B400" s="65" t="n">
        <v>344</v>
      </c>
      <c r="C400" s="65" t="inlineStr">
        <is>
          <t>00-00000887</t>
        </is>
      </c>
      <c r="D400" s="65" t="inlineStr">
        <is>
          <t>S00465</t>
        </is>
      </c>
      <c r="E400" s="65" t="inlineStr">
        <is>
          <t>Multiservicios gochi express 2024, c.a</t>
        </is>
      </c>
      <c r="F400" s="63" t="inlineStr">
        <is>
          <t>176.029,97</t>
        </is>
      </c>
      <c r="G400" s="63" t="inlineStr">
        <is>
          <t>204.194,77</t>
        </is>
      </c>
      <c r="H400" s="63" t="inlineStr">
        <is>
          <t>283,06</t>
        </is>
      </c>
      <c r="I400" s="63" t="inlineStr">
        <is>
          <t>721,35</t>
        </is>
      </c>
      <c r="J400" s="65" t="n"/>
      <c r="K400" s="65" t="n">
        <v>1</v>
      </c>
      <c r="L400" s="65" t="inlineStr">
        <is>
          <t>[0001] ELITE API SP SAE 0W-20 (1x6)</t>
        </is>
      </c>
      <c r="M400" s="63" t="inlineStr">
        <is>
          <t>74,27</t>
        </is>
      </c>
      <c r="N400" s="63" t="inlineStr">
        <is>
          <t>2,00</t>
        </is>
      </c>
      <c r="O400" s="63" t="inlineStr">
        <is>
          <t>0,00</t>
        </is>
      </c>
      <c r="P400" s="63" t="inlineStr">
        <is>
          <t>148,54</t>
        </is>
      </c>
      <c r="Q400" s="63" t="inlineStr">
        <is>
          <t>172,31</t>
        </is>
      </c>
    </row>
    <row r="401">
      <c r="A401" s="65" t="n"/>
      <c r="B401" s="65" t="n"/>
      <c r="C401" s="65" t="n"/>
      <c r="D401" s="65" t="n"/>
      <c r="E401" s="65" t="n"/>
      <c r="F401" s="65" t="n"/>
      <c r="G401" s="65" t="n"/>
      <c r="H401" s="65" t="n"/>
      <c r="I401" s="65" t="n"/>
      <c r="J401" s="65" t="n"/>
      <c r="K401" s="65" t="n">
        <v>884</v>
      </c>
      <c r="L401" s="65" t="inlineStr">
        <is>
          <t>[0884] TRANSMATIC ATF DEXRON III (1x12)</t>
        </is>
      </c>
      <c r="M401" s="63" t="inlineStr">
        <is>
          <t>95,49</t>
        </is>
      </c>
      <c r="N401" s="63" t="inlineStr">
        <is>
          <t>1,00</t>
        </is>
      </c>
      <c r="O401" s="63" t="inlineStr">
        <is>
          <t>0,00</t>
        </is>
      </c>
      <c r="P401" s="63" t="inlineStr">
        <is>
          <t>95,49</t>
        </is>
      </c>
      <c r="Q401" s="63" t="inlineStr">
        <is>
          <t>110,77</t>
        </is>
      </c>
    </row>
    <row r="402">
      <c r="A402" s="66" t="n">
        <v>46216</v>
      </c>
      <c r="B402" s="65" t="n">
        <v>343</v>
      </c>
      <c r="C402" s="65" t="inlineStr">
        <is>
          <t>00-00000886</t>
        </is>
      </c>
      <c r="D402" s="65" t="inlineStr">
        <is>
          <t>S00027</t>
        </is>
      </c>
      <c r="E402" s="65" t="inlineStr">
        <is>
          <t>Moises Alejandro Mares</t>
        </is>
      </c>
      <c r="F402" s="63" t="inlineStr">
        <is>
          <t>230.994,98</t>
        </is>
      </c>
      <c r="G402" s="63" t="inlineStr">
        <is>
          <t>267.954,18</t>
        </is>
      </c>
      <c r="H402" s="63" t="inlineStr">
        <is>
          <t>397,01</t>
        </is>
      </c>
      <c r="I402" s="63" t="inlineStr">
        <is>
          <t>674,93</t>
        </is>
      </c>
      <c r="J402" s="65" t="n"/>
      <c r="K402" s="65" t="n">
        <v>887</v>
      </c>
      <c r="L402" s="65" t="inlineStr">
        <is>
          <t>[0887] MOTOCLASICO 4T SAE 20W-50 (1x12)</t>
        </is>
      </c>
      <c r="M402" s="63" t="inlineStr">
        <is>
          <t>56,90</t>
        </is>
      </c>
      <c r="N402" s="63" t="inlineStr">
        <is>
          <t>1,00</t>
        </is>
      </c>
      <c r="O402" s="63" t="inlineStr">
        <is>
          <t>0,00</t>
        </is>
      </c>
      <c r="P402" s="63" t="inlineStr">
        <is>
          <t>56,90</t>
        </is>
      </c>
      <c r="Q402" s="63" t="inlineStr">
        <is>
          <t>66,00</t>
        </is>
      </c>
    </row>
    <row r="403">
      <c r="A403" s="65" t="n"/>
      <c r="B403" s="65" t="n"/>
      <c r="C403" s="65" t="n"/>
      <c r="D403" s="65" t="n"/>
      <c r="E403" s="65" t="n"/>
      <c r="F403" s="65" t="n"/>
      <c r="G403" s="65" t="n"/>
      <c r="H403" s="65" t="n"/>
      <c r="I403" s="65" t="n"/>
      <c r="J403" s="65" t="n"/>
      <c r="K403" s="65" t="n">
        <v>877</v>
      </c>
      <c r="L403" s="65" t="inlineStr">
        <is>
          <t>[0877] SS EXTRA PROTECCION API SN SAE 15W-40 (1X12)</t>
        </is>
      </c>
      <c r="M403" s="63" t="inlineStr">
        <is>
          <t>62,07</t>
        </is>
      </c>
      <c r="N403" s="63" t="inlineStr">
        <is>
          <t>1,00</t>
        </is>
      </c>
      <c r="O403" s="63" t="inlineStr">
        <is>
          <t>0,00</t>
        </is>
      </c>
      <c r="P403" s="63" t="inlineStr">
        <is>
          <t>62,07</t>
        </is>
      </c>
      <c r="Q403" s="63" t="inlineStr">
        <is>
          <t>72,00</t>
        </is>
      </c>
    </row>
    <row r="404">
      <c r="A404" s="65" t="n"/>
      <c r="B404" s="65" t="n"/>
      <c r="C404" s="65" t="n"/>
      <c r="D404" s="65" t="n"/>
      <c r="E404" s="65" t="n"/>
      <c r="F404" s="65" t="n"/>
      <c r="G404" s="65" t="n"/>
      <c r="H404" s="65" t="n"/>
      <c r="I404" s="65" t="n"/>
      <c r="J404" s="65" t="n"/>
      <c r="K404" s="65" t="n">
        <v>884</v>
      </c>
      <c r="L404" s="65" t="inlineStr">
        <is>
          <t>[0884] TRANSMATIC ATF DEXRON III (1x12)</t>
        </is>
      </c>
      <c r="M404" s="63" t="inlineStr">
        <is>
          <t>57,76</t>
        </is>
      </c>
      <c r="N404" s="63" t="inlineStr">
        <is>
          <t>1,00</t>
        </is>
      </c>
      <c r="O404" s="63" t="inlineStr">
        <is>
          <t>0,00</t>
        </is>
      </c>
      <c r="P404" s="63" t="inlineStr">
        <is>
          <t>57,76</t>
        </is>
      </c>
      <c r="Q404" s="63" t="inlineStr">
        <is>
          <t>67,00</t>
        </is>
      </c>
    </row>
    <row r="405">
      <c r="A405" s="65" t="n"/>
      <c r="B405" s="65" t="n"/>
      <c r="C405" s="65" t="n"/>
      <c r="D405" s="65" t="n"/>
      <c r="E405" s="65" t="n"/>
      <c r="F405" s="65" t="n"/>
      <c r="G405" s="65" t="n"/>
      <c r="H405" s="65" t="n"/>
      <c r="I405" s="65" t="n"/>
      <c r="J405" s="65" t="n"/>
      <c r="K405" s="65" t="n">
        <v>779</v>
      </c>
      <c r="L405" s="65" t="inlineStr">
        <is>
          <t>[0779] SINOCO SAE 20W-50 (1x12)</t>
        </is>
      </c>
      <c r="M405" s="63" t="inlineStr">
        <is>
          <t>41,38</t>
        </is>
      </c>
      <c r="N405" s="63" t="inlineStr">
        <is>
          <t>4,00</t>
        </is>
      </c>
      <c r="O405" s="63" t="inlineStr">
        <is>
          <t>0,00</t>
        </is>
      </c>
      <c r="P405" s="63" t="inlineStr">
        <is>
          <t>165,52</t>
        </is>
      </c>
      <c r="Q405" s="63" t="inlineStr">
        <is>
          <t>192,00</t>
        </is>
      </c>
    </row>
    <row r="406">
      <c r="A406" s="66" t="n">
        <v>46216</v>
      </c>
      <c r="B406" s="65" t="n">
        <v>342</v>
      </c>
      <c r="C406" s="65" t="inlineStr">
        <is>
          <t>00-00000885</t>
        </is>
      </c>
      <c r="D406" s="65" t="inlineStr">
        <is>
          <t>S00493</t>
        </is>
      </c>
      <c r="E406" s="65" t="inlineStr">
        <is>
          <t>Lubristation, C.A.</t>
        </is>
      </c>
      <c r="F406" s="63" t="inlineStr">
        <is>
          <t>111.923,98</t>
        </is>
      </c>
      <c r="G406" s="63" t="inlineStr">
        <is>
          <t>129.831,82</t>
        </is>
      </c>
      <c r="H406" s="63" t="inlineStr">
        <is>
          <t>179,97</t>
        </is>
      </c>
      <c r="I406" s="63" t="inlineStr">
        <is>
          <t>721,35</t>
        </is>
      </c>
      <c r="J406" s="65" t="n"/>
      <c r="K406" s="65" t="n">
        <v>561</v>
      </c>
      <c r="L406" s="65" t="inlineStr">
        <is>
          <t>[0561] MEJORADOR DE OCTANAJE GLOBAL OIL PACK (1X12)</t>
        </is>
      </c>
      <c r="M406" s="63" t="inlineStr">
        <is>
          <t>51,72</t>
        </is>
      </c>
      <c r="N406" s="63" t="inlineStr">
        <is>
          <t>3,00</t>
        </is>
      </c>
      <c r="O406" s="63" t="inlineStr">
        <is>
          <t>0,00</t>
        </is>
      </c>
      <c r="P406" s="63" t="inlineStr">
        <is>
          <t>155,16</t>
        </is>
      </c>
      <c r="Q406" s="63" t="inlineStr">
        <is>
          <t>179,99</t>
        </is>
      </c>
    </row>
    <row r="407">
      <c r="A407" s="66" t="n">
        <v>46216</v>
      </c>
      <c r="B407" s="65" t="n">
        <v>341</v>
      </c>
      <c r="C407" s="65" t="inlineStr">
        <is>
          <t>00-00000884</t>
        </is>
      </c>
      <c r="D407" s="65" t="inlineStr">
        <is>
          <t>S00361</t>
        </is>
      </c>
      <c r="E407" s="65" t="inlineStr">
        <is>
          <t>Comercializadora Estoril 25,c.a.</t>
        </is>
      </c>
      <c r="F407" s="63" t="inlineStr">
        <is>
          <t>198.135,39</t>
        </is>
      </c>
      <c r="G407" s="63" t="inlineStr">
        <is>
          <t>229.837,05</t>
        </is>
      </c>
      <c r="H407" s="63" t="inlineStr">
        <is>
          <t>318,60</t>
        </is>
      </c>
      <c r="I407" s="63" t="inlineStr">
        <is>
          <t>721,35</t>
        </is>
      </c>
      <c r="J407" s="65" t="n">
        <v>761</v>
      </c>
      <c r="K407" s="65" t="n">
        <v>880</v>
      </c>
      <c r="L407" s="65" t="inlineStr">
        <is>
          <t>[0880] CLASICO API SL SAE 15W-40 (1x12)</t>
        </is>
      </c>
      <c r="M407" s="63" t="inlineStr">
        <is>
          <t>86,21</t>
        </is>
      </c>
      <c r="N407" s="63" t="inlineStr">
        <is>
          <t>1,00</t>
        </is>
      </c>
      <c r="O407" s="63" t="inlineStr">
        <is>
          <t>1,52</t>
        </is>
      </c>
      <c r="P407" s="63" t="inlineStr">
        <is>
          <t>84,90</t>
        </is>
      </c>
      <c r="Q407" s="63" t="inlineStr">
        <is>
          <t>98,48</t>
        </is>
      </c>
    </row>
    <row r="408">
      <c r="A408" s="65" t="n"/>
      <c r="B408" s="65" t="n"/>
      <c r="C408" s="65" t="n"/>
      <c r="D408" s="65" t="n"/>
      <c r="E408" s="65" t="n"/>
      <c r="F408" s="65" t="n"/>
      <c r="G408" s="65" t="n"/>
      <c r="H408" s="65" t="n"/>
      <c r="I408" s="65" t="n"/>
      <c r="J408" s="65" t="n"/>
      <c r="K408" s="65" t="n">
        <v>877</v>
      </c>
      <c r="L408" s="65" t="inlineStr">
        <is>
          <t>[0877] SS EXTRA PROTECCION API SN SAE 15W-40 (1X12)</t>
        </is>
      </c>
      <c r="M408" s="63" t="inlineStr">
        <is>
          <t>100,80</t>
        </is>
      </c>
      <c r="N408" s="63" t="inlineStr">
        <is>
          <t>1,00</t>
        </is>
      </c>
      <c r="O408" s="63" t="inlineStr">
        <is>
          <t>0,91</t>
        </is>
      </c>
      <c r="P408" s="63" t="inlineStr">
        <is>
          <t>99,88</t>
        </is>
      </c>
      <c r="Q408" s="63" t="inlineStr">
        <is>
          <t>115,86</t>
        </is>
      </c>
    </row>
    <row r="409">
      <c r="A409" s="65" t="n"/>
      <c r="B409" s="65" t="n"/>
      <c r="C409" s="65" t="n"/>
      <c r="D409" s="65" t="n"/>
      <c r="E409" s="65" t="n"/>
      <c r="F409" s="65" t="n"/>
      <c r="G409" s="65" t="n"/>
      <c r="H409" s="65" t="n"/>
      <c r="I409" s="65" t="n"/>
      <c r="J409" s="65" t="n"/>
      <c r="K409" s="65" t="n">
        <v>887</v>
      </c>
      <c r="L409" s="65" t="inlineStr">
        <is>
          <t>[0887] MOTOCLASICO 4T SAE 20W-50 (1x12)</t>
        </is>
      </c>
      <c r="M409" s="63" t="inlineStr">
        <is>
          <t>90,19</t>
        </is>
      </c>
      <c r="N409" s="63" t="inlineStr">
        <is>
          <t>1,00</t>
        </is>
      </c>
      <c r="O409" s="63" t="inlineStr">
        <is>
          <t>0,33</t>
        </is>
      </c>
      <c r="P409" s="63" t="inlineStr">
        <is>
          <t>89,89</t>
        </is>
      </c>
      <c r="Q409" s="63" t="inlineStr">
        <is>
          <t>104,28</t>
        </is>
      </c>
    </row>
    <row r="410">
      <c r="A410" s="66" t="n">
        <v>46215</v>
      </c>
      <c r="B410" s="65" t="n">
        <v>340</v>
      </c>
      <c r="C410" s="65" t="inlineStr">
        <is>
          <t>00-00000882</t>
        </is>
      </c>
      <c r="D410" s="65" t="inlineStr">
        <is>
          <t>S00246</t>
        </is>
      </c>
      <c r="E410" s="65" t="inlineStr">
        <is>
          <t>Luis Zambrano</t>
        </is>
      </c>
      <c r="F410" s="63" t="inlineStr">
        <is>
          <t>2.357.307,89</t>
        </is>
      </c>
      <c r="G410" s="63" t="inlineStr">
        <is>
          <t>2.734.477,16</t>
        </is>
      </c>
      <c r="H410" s="63" t="inlineStr">
        <is>
          <t>3.853,02</t>
        </is>
      </c>
      <c r="I410" s="63" t="inlineStr">
        <is>
          <t>709,69</t>
        </is>
      </c>
      <c r="J410" s="65" t="n">
        <v>979</v>
      </c>
      <c r="K410" s="65" t="n">
        <v>85</v>
      </c>
      <c r="L410" s="65" t="inlineStr">
        <is>
          <t>[0085] MAXIMO API CF SAE 50 (Tambor)</t>
        </is>
      </c>
      <c r="M410" s="63" t="inlineStr">
        <is>
          <t>1.136,60</t>
        </is>
      </c>
      <c r="N410" s="63" t="inlineStr">
        <is>
          <t>2,00</t>
        </is>
      </c>
      <c r="O410" s="63" t="inlineStr">
        <is>
          <t>0,06</t>
        </is>
      </c>
      <c r="P410" s="63" t="inlineStr">
        <is>
          <t>2.271,84</t>
        </is>
      </c>
      <c r="Q410" s="63" t="inlineStr">
        <is>
          <t>2.635,33</t>
        </is>
      </c>
    </row>
    <row r="411">
      <c r="A411" s="65" t="n"/>
      <c r="B411" s="65" t="n"/>
      <c r="C411" s="65" t="n"/>
      <c r="D411" s="65" t="n"/>
      <c r="E411" s="65" t="n"/>
      <c r="F411" s="65" t="n"/>
      <c r="G411" s="65" t="n"/>
      <c r="H411" s="65" t="n"/>
      <c r="I411" s="65" t="n"/>
      <c r="J411" s="65" t="n"/>
      <c r="K411" s="65" t="n">
        <v>144</v>
      </c>
      <c r="L411" s="65" t="inlineStr">
        <is>
          <t>[0144] HIDRAGLOB AW/ISO 68 (PAILA)</t>
        </is>
      </c>
      <c r="M411" s="63" t="inlineStr">
        <is>
          <t>94,16</t>
        </is>
      </c>
      <c r="N411" s="63" t="inlineStr">
        <is>
          <t>5,00</t>
        </is>
      </c>
      <c r="O411" s="63" t="inlineStr">
        <is>
          <t>0,06</t>
        </is>
      </c>
      <c r="P411" s="63" t="inlineStr">
        <is>
          <t>470,52</t>
        </is>
      </c>
      <c r="Q411" s="63" t="inlineStr">
        <is>
          <t>545,80</t>
        </is>
      </c>
    </row>
    <row r="412">
      <c r="A412" s="65" t="n"/>
      <c r="B412" s="65" t="n"/>
      <c r="C412" s="65" t="n"/>
      <c r="D412" s="65" t="n"/>
      <c r="E412" s="65" t="n"/>
      <c r="F412" s="65" t="n"/>
      <c r="G412" s="65" t="n"/>
      <c r="H412" s="65" t="n"/>
      <c r="I412" s="65" t="n"/>
      <c r="J412" s="65" t="n"/>
      <c r="K412" s="65" t="n">
        <v>794</v>
      </c>
      <c r="L412" s="65" t="inlineStr">
        <is>
          <t>[0794] REFRIGERANTE GLOBAL ROJO (Tambor)</t>
        </is>
      </c>
      <c r="M412" s="63" t="inlineStr">
        <is>
          <t>579,58</t>
        </is>
      </c>
      <c r="N412" s="63" t="inlineStr">
        <is>
          <t>1,00</t>
        </is>
      </c>
      <c r="O412" s="63" t="inlineStr">
        <is>
          <t>0,06</t>
        </is>
      </c>
      <c r="P412" s="63" t="inlineStr">
        <is>
          <t>579,23</t>
        </is>
      </c>
      <c r="Q412" s="63" t="inlineStr">
        <is>
          <t>671,91</t>
        </is>
      </c>
    </row>
    <row r="413">
      <c r="A413" s="66" t="n">
        <v>46215</v>
      </c>
      <c r="B413" s="65" t="n">
        <v>339</v>
      </c>
      <c r="C413" s="65" t="inlineStr">
        <is>
          <t>00-00000881</t>
        </is>
      </c>
      <c r="D413" s="65" t="inlineStr">
        <is>
          <t>S00316</t>
        </is>
      </c>
      <c r="E413" s="65" t="inlineStr">
        <is>
          <t>MOTO REPUESTO GARCIA 2023, C.A.</t>
        </is>
      </c>
      <c r="F413" s="63" t="inlineStr">
        <is>
          <t>51.097,93</t>
        </is>
      </c>
      <c r="G413" s="63" t="inlineStr">
        <is>
          <t>59.273,60</t>
        </is>
      </c>
      <c r="H413" s="63" t="inlineStr">
        <is>
          <t>83,51</t>
        </is>
      </c>
      <c r="I413" s="63" t="inlineStr">
        <is>
          <t>709,69</t>
        </is>
      </c>
      <c r="J413" s="65" t="n"/>
      <c r="K413" s="65" t="n">
        <v>761</v>
      </c>
      <c r="L413" s="65" t="inlineStr">
        <is>
          <t>[0761] LIGA PARA FRENOS DOT-3 (1x12)</t>
        </is>
      </c>
      <c r="M413" s="63" t="inlineStr">
        <is>
          <t>36,00</t>
        </is>
      </c>
      <c r="N413" s="63" t="inlineStr">
        <is>
          <t>2,00</t>
        </is>
      </c>
      <c r="O413" s="63" t="inlineStr">
        <is>
          <t>0,00</t>
        </is>
      </c>
      <c r="P413" s="63" t="inlineStr">
        <is>
          <t>72,00</t>
        </is>
      </c>
      <c r="Q413" s="63" t="inlineStr">
        <is>
          <t>83,52</t>
        </is>
      </c>
    </row>
    <row r="414">
      <c r="A414" s="66" t="n">
        <v>46215</v>
      </c>
      <c r="B414" s="65" t="n">
        <v>338</v>
      </c>
      <c r="C414" s="65" t="inlineStr">
        <is>
          <t>00-00000880</t>
        </is>
      </c>
      <c r="D414" s="65" t="inlineStr">
        <is>
          <t>S00319</t>
        </is>
      </c>
      <c r="E414" s="65" t="inlineStr">
        <is>
          <t>Angi Edimar Carvajal Peñaranda</t>
        </is>
      </c>
      <c r="F414" s="63" t="inlineStr">
        <is>
          <t>305.880,44</t>
        </is>
      </c>
      <c r="G414" s="63" t="inlineStr">
        <is>
          <t>354.821,31</t>
        </is>
      </c>
      <c r="H414" s="63" t="inlineStr">
        <is>
          <t>499,94</t>
        </is>
      </c>
      <c r="I414" s="63" t="inlineStr">
        <is>
          <t>709,69</t>
        </is>
      </c>
      <c r="J414" s="65" t="n"/>
      <c r="K414" s="65" t="n">
        <v>779</v>
      </c>
      <c r="L414" s="65" t="inlineStr">
        <is>
          <t>[0779] SINOCO SAE 20W-50 (1x12)</t>
        </is>
      </c>
      <c r="M414" s="63" t="inlineStr">
        <is>
          <t>70,29</t>
        </is>
      </c>
      <c r="N414" s="63" t="inlineStr">
        <is>
          <t>1,00</t>
        </is>
      </c>
      <c r="O414" s="63" t="inlineStr">
        <is>
          <t>0,41</t>
        </is>
      </c>
      <c r="P414" s="63" t="inlineStr">
        <is>
          <t>70,00</t>
        </is>
      </c>
      <c r="Q414" s="63" t="inlineStr">
        <is>
          <t>81,20</t>
        </is>
      </c>
    </row>
    <row r="415">
      <c r="A415" s="65" t="n"/>
      <c r="B415" s="65" t="n"/>
      <c r="C415" s="65" t="n"/>
      <c r="D415" s="65" t="n"/>
      <c r="E415" s="65" t="n"/>
      <c r="F415" s="65" t="n"/>
      <c r="G415" s="65" t="n"/>
      <c r="H415" s="65" t="n"/>
      <c r="I415" s="65" t="n"/>
      <c r="J415" s="65" t="n"/>
      <c r="K415" s="65" t="n">
        <v>915</v>
      </c>
      <c r="L415" s="65" t="inlineStr">
        <is>
          <t>[0915] SINOCO SAE 50 (1x12)</t>
        </is>
      </c>
      <c r="M415" s="63" t="inlineStr">
        <is>
          <t>70,29</t>
        </is>
      </c>
      <c r="N415" s="63" t="inlineStr">
        <is>
          <t>1,00</t>
        </is>
      </c>
      <c r="O415" s="63" t="inlineStr">
        <is>
          <t>1,84</t>
        </is>
      </c>
      <c r="P415" s="63" t="inlineStr">
        <is>
          <t>69,00</t>
        </is>
      </c>
      <c r="Q415" s="63" t="inlineStr">
        <is>
          <t>80,04</t>
        </is>
      </c>
    </row>
    <row r="416">
      <c r="A416" s="65" t="n"/>
      <c r="B416" s="65" t="n"/>
      <c r="C416" s="65" t="n"/>
      <c r="D416" s="65" t="n"/>
      <c r="E416" s="65" t="n"/>
      <c r="F416" s="65" t="n"/>
      <c r="G416" s="65" t="n"/>
      <c r="H416" s="65" t="n"/>
      <c r="I416" s="65" t="n"/>
      <c r="J416" s="65" t="n"/>
      <c r="K416" s="65" t="n">
        <v>761</v>
      </c>
      <c r="L416" s="65" t="inlineStr">
        <is>
          <t>[0761] LIGA PARA FRENOS DOT-3 (1x12)</t>
        </is>
      </c>
      <c r="M416" s="63" t="inlineStr">
        <is>
          <t>36,00</t>
        </is>
      </c>
      <c r="N416" s="63" t="inlineStr">
        <is>
          <t>1,00</t>
        </is>
      </c>
      <c r="O416" s="63" t="inlineStr">
        <is>
          <t>0,00</t>
        </is>
      </c>
      <c r="P416" s="63" t="inlineStr">
        <is>
          <t>36,00</t>
        </is>
      </c>
      <c r="Q416" s="63" t="inlineStr">
        <is>
          <t>41,76</t>
        </is>
      </c>
    </row>
    <row r="417">
      <c r="A417" s="65" t="n"/>
      <c r="B417" s="65" t="n"/>
      <c r="C417" s="65" t="n"/>
      <c r="D417" s="65" t="n"/>
      <c r="E417" s="65" t="n"/>
      <c r="F417" s="65" t="n"/>
      <c r="G417" s="65" t="n"/>
      <c r="H417" s="65" t="n"/>
      <c r="I417" s="65" t="n"/>
      <c r="J417" s="65" t="n"/>
      <c r="K417" s="65" t="n">
        <v>762</v>
      </c>
      <c r="L417" s="65" t="inlineStr">
        <is>
          <t>[0762] LIGA PARA FRENOS DOT-3 (1x6)</t>
        </is>
      </c>
      <c r="M417" s="63" t="inlineStr">
        <is>
          <t>57,03</t>
        </is>
      </c>
      <c r="N417" s="63" t="inlineStr">
        <is>
          <t>1,00</t>
        </is>
      </c>
      <c r="O417" s="63" t="inlineStr">
        <is>
          <t>1,81</t>
        </is>
      </c>
      <c r="P417" s="63" t="inlineStr">
        <is>
          <t>56,00</t>
        </is>
      </c>
      <c r="Q417" s="63" t="inlineStr">
        <is>
          <t>64,96</t>
        </is>
      </c>
    </row>
    <row r="418">
      <c r="A418" s="65" t="n"/>
      <c r="B418" s="65" t="n"/>
      <c r="C418" s="65" t="n"/>
      <c r="D418" s="65" t="n"/>
      <c r="E418" s="65" t="n"/>
      <c r="F418" s="65" t="n"/>
      <c r="G418" s="65" t="n"/>
      <c r="H418" s="65" t="n"/>
      <c r="I418" s="65" t="n"/>
      <c r="J418" s="65" t="n"/>
      <c r="K418" s="65" t="n">
        <v>878</v>
      </c>
      <c r="L418" s="65" t="inlineStr">
        <is>
          <t>[0878] SS EXTRA PROTECCION API SN SAE 20W-50 (1x12)</t>
        </is>
      </c>
      <c r="M418" s="63" t="inlineStr">
        <is>
          <t>100,80</t>
        </is>
      </c>
      <c r="N418" s="63" t="inlineStr">
        <is>
          <t>1,00</t>
        </is>
      </c>
      <c r="O418" s="63" t="inlineStr">
        <is>
          <t>0,79</t>
        </is>
      </c>
      <c r="P418" s="63" t="inlineStr">
        <is>
          <t>100,00</t>
        </is>
      </c>
      <c r="Q418" s="63" t="inlineStr">
        <is>
          <t>116,00</t>
        </is>
      </c>
    </row>
    <row r="419">
      <c r="A419" s="65" t="n"/>
      <c r="B419" s="65" t="n"/>
      <c r="C419" s="65" t="n"/>
      <c r="D419" s="65" t="n"/>
      <c r="E419" s="65" t="n"/>
      <c r="F419" s="65" t="n"/>
      <c r="G419" s="65" t="n"/>
      <c r="H419" s="65" t="n"/>
      <c r="I419" s="65" t="n"/>
      <c r="J419" s="65" t="n"/>
      <c r="K419" s="65" t="n">
        <v>877</v>
      </c>
      <c r="L419" s="65" t="inlineStr">
        <is>
          <t>[0877] SS EXTRA PROTECCION API SN SAE 15W-40 (1X12)</t>
        </is>
      </c>
      <c r="M419" s="63" t="inlineStr">
        <is>
          <t>100,80</t>
        </is>
      </c>
      <c r="N419" s="63" t="inlineStr">
        <is>
          <t>1,00</t>
        </is>
      </c>
      <c r="O419" s="63" t="inlineStr">
        <is>
          <t>0,79</t>
        </is>
      </c>
      <c r="P419" s="63" t="inlineStr">
        <is>
          <t>100,00</t>
        </is>
      </c>
      <c r="Q419" s="63" t="inlineStr">
        <is>
          <t>116,00</t>
        </is>
      </c>
    </row>
    <row r="420">
      <c r="A420" s="66" t="n">
        <v>46215</v>
      </c>
      <c r="B420" s="65" t="n">
        <v>337</v>
      </c>
      <c r="C420" s="65" t="inlineStr">
        <is>
          <t>00-00000879</t>
        </is>
      </c>
      <c r="D420" s="65" t="inlineStr">
        <is>
          <t>S00320</t>
        </is>
      </c>
      <c r="E420" s="65" t="inlineStr">
        <is>
          <t>Ideal car</t>
        </is>
      </c>
      <c r="F420" s="63" t="inlineStr">
        <is>
          <t>474.097,04</t>
        </is>
      </c>
      <c r="G420" s="63" t="inlineStr">
        <is>
          <t>549.952,57</t>
        </is>
      </c>
      <c r="H420" s="63" t="inlineStr">
        <is>
          <t>774,88</t>
        </is>
      </c>
      <c r="I420" s="63" t="inlineStr">
        <is>
          <t>709,69</t>
        </is>
      </c>
      <c r="J420" s="65" t="n"/>
      <c r="K420" s="65" t="n">
        <v>880</v>
      </c>
      <c r="L420" s="65" t="inlineStr">
        <is>
          <t>[0880] CLASICO API SL SAE 15W-40 (1x12)</t>
        </is>
      </c>
      <c r="M420" s="63" t="inlineStr">
        <is>
          <t>86,21</t>
        </is>
      </c>
      <c r="N420" s="63" t="inlineStr">
        <is>
          <t>1,00</t>
        </is>
      </c>
      <c r="O420" s="63" t="inlineStr">
        <is>
          <t>1,40</t>
        </is>
      </c>
      <c r="P420" s="63" t="inlineStr">
        <is>
          <t>85,00</t>
        </is>
      </c>
      <c r="Q420" s="63" t="inlineStr">
        <is>
          <t>98,60</t>
        </is>
      </c>
    </row>
    <row r="421">
      <c r="A421" s="65" t="n"/>
      <c r="B421" s="65" t="n"/>
      <c r="C421" s="65" t="n"/>
      <c r="D421" s="65" t="n"/>
      <c r="E421" s="65" t="n"/>
      <c r="F421" s="65" t="n"/>
      <c r="G421" s="65" t="n"/>
      <c r="H421" s="65" t="n"/>
      <c r="I421" s="65" t="n"/>
      <c r="J421" s="65" t="n"/>
      <c r="K421" s="65" t="n">
        <v>881</v>
      </c>
      <c r="L421" s="65" t="inlineStr">
        <is>
          <t>[0881] CLASICO API SL SAE 20W-50 (1x12)</t>
        </is>
      </c>
      <c r="M421" s="63" t="inlineStr">
        <is>
          <t>87,01</t>
        </is>
      </c>
      <c r="N421" s="63" t="inlineStr">
        <is>
          <t>2,00</t>
        </is>
      </c>
      <c r="O421" s="63" t="inlineStr">
        <is>
          <t>0,00</t>
        </is>
      </c>
      <c r="P421" s="63" t="inlineStr">
        <is>
          <t>174,02</t>
        </is>
      </c>
      <c r="Q421" s="63" t="inlineStr">
        <is>
          <t>201,86</t>
        </is>
      </c>
    </row>
    <row r="422">
      <c r="A422" s="65" t="n"/>
      <c r="B422" s="65" t="n"/>
      <c r="C422" s="65" t="n"/>
      <c r="D422" s="65" t="n"/>
      <c r="E422" s="65" t="n"/>
      <c r="F422" s="65" t="n"/>
      <c r="G422" s="65" t="n"/>
      <c r="H422" s="65" t="n"/>
      <c r="I422" s="65" t="n"/>
      <c r="J422" s="65" t="n"/>
      <c r="K422" s="65" t="n">
        <v>877</v>
      </c>
      <c r="L422" s="65" t="inlineStr">
        <is>
          <t>[0877] SS EXTRA PROTECCION API SN SAE 15W-40 (1X12)</t>
        </is>
      </c>
      <c r="M422" s="63" t="inlineStr">
        <is>
          <t>100,80</t>
        </is>
      </c>
      <c r="N422" s="63" t="inlineStr">
        <is>
          <t>1,00</t>
        </is>
      </c>
      <c r="O422" s="63" t="inlineStr">
        <is>
          <t>0,79</t>
        </is>
      </c>
      <c r="P422" s="63" t="inlineStr">
        <is>
          <t>100,00</t>
        </is>
      </c>
      <c r="Q422" s="63" t="inlineStr">
        <is>
          <t>116,00</t>
        </is>
      </c>
    </row>
    <row r="423">
      <c r="A423" s="65" t="n"/>
      <c r="B423" s="65" t="n"/>
      <c r="C423" s="65" t="n"/>
      <c r="D423" s="65" t="n"/>
      <c r="E423" s="65" t="n"/>
      <c r="F423" s="65" t="n"/>
      <c r="G423" s="65" t="n"/>
      <c r="H423" s="65" t="n"/>
      <c r="I423" s="65" t="n"/>
      <c r="J423" s="65" t="n"/>
      <c r="K423" s="65" t="n">
        <v>878</v>
      </c>
      <c r="L423" s="65" t="inlineStr">
        <is>
          <t>[0878] SS EXTRA PROTECCION API SN SAE 20W-50 (1x12)</t>
        </is>
      </c>
      <c r="M423" s="63" t="inlineStr">
        <is>
          <t>100,80</t>
        </is>
      </c>
      <c r="N423" s="63" t="inlineStr">
        <is>
          <t>1,00</t>
        </is>
      </c>
      <c r="O423" s="63" t="inlineStr">
        <is>
          <t>0,79</t>
        </is>
      </c>
      <c r="P423" s="63" t="inlineStr">
        <is>
          <t>100,00</t>
        </is>
      </c>
      <c r="Q423" s="63" t="inlineStr">
        <is>
          <t>116,00</t>
        </is>
      </c>
    </row>
    <row r="424">
      <c r="A424" s="65" t="n"/>
      <c r="B424" s="65" t="n"/>
      <c r="C424" s="65" t="n"/>
      <c r="D424" s="65" t="n"/>
      <c r="E424" s="65" t="n"/>
      <c r="F424" s="65" t="n"/>
      <c r="G424" s="65" t="n"/>
      <c r="H424" s="65" t="n"/>
      <c r="I424" s="65" t="n"/>
      <c r="J424" s="65" t="n"/>
      <c r="K424" s="65" t="n">
        <v>915</v>
      </c>
      <c r="L424" s="65" t="inlineStr">
        <is>
          <t>[0915] SINOCO SAE 50 (1x12)</t>
        </is>
      </c>
      <c r="M424" s="63" t="inlineStr">
        <is>
          <t>70,29</t>
        </is>
      </c>
      <c r="N424" s="63" t="inlineStr">
        <is>
          <t>1,00</t>
        </is>
      </c>
      <c r="O424" s="63" t="inlineStr">
        <is>
          <t>1,84</t>
        </is>
      </c>
      <c r="P424" s="63" t="inlineStr">
        <is>
          <t>69,00</t>
        </is>
      </c>
      <c r="Q424" s="63" t="inlineStr">
        <is>
          <t>80,04</t>
        </is>
      </c>
    </row>
    <row r="425">
      <c r="A425" s="65" t="n"/>
      <c r="B425" s="65" t="n"/>
      <c r="C425" s="65" t="n"/>
      <c r="D425" s="65" t="n"/>
      <c r="E425" s="65" t="n"/>
      <c r="F425" s="65" t="n"/>
      <c r="G425" s="65" t="n"/>
      <c r="H425" s="65" t="n"/>
      <c r="I425" s="65" t="n"/>
      <c r="J425" s="65" t="n"/>
      <c r="K425" s="65" t="n">
        <v>779</v>
      </c>
      <c r="L425" s="65" t="inlineStr">
        <is>
          <t>[0779] SINOCO SAE 20W-50 (1x12)</t>
        </is>
      </c>
      <c r="M425" s="63" t="inlineStr">
        <is>
          <t>70,29</t>
        </is>
      </c>
      <c r="N425" s="63" t="inlineStr">
        <is>
          <t>2,00</t>
        </is>
      </c>
      <c r="O425" s="63" t="inlineStr">
        <is>
          <t>0,41</t>
        </is>
      </c>
      <c r="P425" s="63" t="inlineStr">
        <is>
          <t>140,00</t>
        </is>
      </c>
      <c r="Q425" s="63" t="inlineStr">
        <is>
          <t>162,40</t>
        </is>
      </c>
    </row>
    <row r="426">
      <c r="A426" s="66" t="n">
        <v>46215</v>
      </c>
      <c r="B426" s="65" t="n">
        <v>336</v>
      </c>
      <c r="C426" s="65" t="inlineStr">
        <is>
          <t>00-00000878</t>
        </is>
      </c>
      <c r="D426" s="65" t="inlineStr">
        <is>
          <t>S00330</t>
        </is>
      </c>
      <c r="E426" s="65" t="inlineStr">
        <is>
          <t>Diana Carolina Torres</t>
        </is>
      </c>
      <c r="F426" s="63" t="inlineStr">
        <is>
          <t>171.738,00</t>
        </is>
      </c>
      <c r="G426" s="63" t="inlineStr">
        <is>
          <t>199.216,08</t>
        </is>
      </c>
      <c r="H426" s="63" t="inlineStr">
        <is>
          <t>280,69</t>
        </is>
      </c>
      <c r="I426" s="63" t="inlineStr">
        <is>
          <t>709,69</t>
        </is>
      </c>
      <c r="J426" s="65" t="n"/>
      <c r="K426" s="65" t="n">
        <v>602</v>
      </c>
      <c r="L426" s="65" t="inlineStr">
        <is>
          <t>[0602] SINOCO SAE 50 (PAILA)</t>
        </is>
      </c>
      <c r="M426" s="63" t="inlineStr">
        <is>
          <t>96,82</t>
        </is>
      </c>
      <c r="N426" s="63" t="inlineStr">
        <is>
          <t>2,00</t>
        </is>
      </c>
      <c r="O426" s="63" t="inlineStr">
        <is>
          <t>3,95</t>
        </is>
      </c>
      <c r="P426" s="63" t="inlineStr">
        <is>
          <t>185,99</t>
        </is>
      </c>
      <c r="Q426" s="63" t="inlineStr">
        <is>
          <t>215,75</t>
        </is>
      </c>
    </row>
    <row r="427">
      <c r="A427" s="65" t="n"/>
      <c r="B427" s="65" t="n"/>
      <c r="C427" s="65" t="n"/>
      <c r="D427" s="65" t="n"/>
      <c r="E427" s="65" t="n"/>
      <c r="F427" s="65" t="n"/>
      <c r="G427" s="65" t="n"/>
      <c r="H427" s="65" t="n"/>
      <c r="I427" s="65" t="n"/>
      <c r="J427" s="65" t="n"/>
      <c r="K427" s="65" t="n">
        <v>762</v>
      </c>
      <c r="L427" s="65" t="inlineStr">
        <is>
          <t>[0762] LIGA PARA FRENOS DOT-3 (1x6)</t>
        </is>
      </c>
      <c r="M427" s="63" t="inlineStr">
        <is>
          <t>57,03</t>
        </is>
      </c>
      <c r="N427" s="63" t="inlineStr">
        <is>
          <t>1,00</t>
        </is>
      </c>
      <c r="O427" s="63" t="inlineStr">
        <is>
          <t>1,81</t>
        </is>
      </c>
      <c r="P427" s="63" t="inlineStr">
        <is>
          <t>56,00</t>
        </is>
      </c>
      <c r="Q427" s="63" t="inlineStr">
        <is>
          <t>64,96</t>
        </is>
      </c>
    </row>
    <row r="428">
      <c r="A428" s="66" t="n">
        <v>46215</v>
      </c>
      <c r="B428" s="65" t="n">
        <v>335</v>
      </c>
      <c r="C428" s="65" t="inlineStr">
        <is>
          <t>00-00000877</t>
        </is>
      </c>
      <c r="D428" s="65" t="inlineStr">
        <is>
          <t>S00343</t>
        </is>
      </c>
      <c r="E428" s="65" t="inlineStr">
        <is>
          <t>Moto repuestos el casco 2050 c.a</t>
        </is>
      </c>
      <c r="F428" s="63" t="inlineStr">
        <is>
          <t>234.199,71</t>
        </is>
      </c>
      <c r="G428" s="63" t="inlineStr">
        <is>
          <t>271.671,66</t>
        </is>
      </c>
      <c r="H428" s="63" t="inlineStr">
        <is>
          <t>382,80</t>
        </is>
      </c>
      <c r="I428" s="63" t="inlineStr">
        <is>
          <t>709,69</t>
        </is>
      </c>
      <c r="J428" s="65" t="n"/>
      <c r="K428" s="65" t="n">
        <v>887</v>
      </c>
      <c r="L428" s="65" t="inlineStr">
        <is>
          <t>[0887] MOTOCLASICO 4T SAE 20W-50 (1x12)</t>
        </is>
      </c>
      <c r="M428" s="63" t="inlineStr">
        <is>
          <t>90,19</t>
        </is>
      </c>
      <c r="N428" s="63" t="inlineStr">
        <is>
          <t>2,00</t>
        </is>
      </c>
      <c r="O428" s="63" t="inlineStr">
        <is>
          <t>0,21</t>
        </is>
      </c>
      <c r="P428" s="63" t="inlineStr">
        <is>
          <t>180,00</t>
        </is>
      </c>
      <c r="Q428" s="63" t="inlineStr">
        <is>
          <t>208,80</t>
        </is>
      </c>
    </row>
    <row r="429">
      <c r="A429" s="65" t="n"/>
      <c r="B429" s="65" t="n"/>
      <c r="C429" s="65" t="n"/>
      <c r="D429" s="65" t="n"/>
      <c r="E429" s="65" t="n"/>
      <c r="F429" s="65" t="n"/>
      <c r="G429" s="65" t="n"/>
      <c r="H429" s="65" t="n"/>
      <c r="I429" s="65" t="n"/>
      <c r="J429" s="65" t="n"/>
      <c r="K429" s="65" t="n">
        <v>93</v>
      </c>
      <c r="L429" s="65" t="inlineStr">
        <is>
          <t>[0093] ALTA CILINDRADA SS API SN SAE 15W-40 (1x6)</t>
        </is>
      </c>
      <c r="M429" s="63" t="inlineStr">
        <is>
          <t>75,00</t>
        </is>
      </c>
      <c r="N429" s="63" t="inlineStr">
        <is>
          <t>2,00</t>
        </is>
      </c>
      <c r="O429" s="63" t="inlineStr">
        <is>
          <t>0,00</t>
        </is>
      </c>
      <c r="P429" s="63" t="inlineStr">
        <is>
          <t>150,00</t>
        </is>
      </c>
      <c r="Q429" s="63" t="inlineStr">
        <is>
          <t>174,00</t>
        </is>
      </c>
    </row>
    <row r="430">
      <c r="A430" s="66" t="n">
        <v>46215</v>
      </c>
      <c r="B430" s="65" t="n">
        <v>334</v>
      </c>
      <c r="C430" s="65" t="inlineStr">
        <is>
          <t>00-00000876</t>
        </is>
      </c>
      <c r="D430" s="65" t="inlineStr">
        <is>
          <t>S00347</t>
        </is>
      </c>
      <c r="E430" s="65" t="inlineStr">
        <is>
          <t>Auto Servicios HN 6972, C.A</t>
        </is>
      </c>
      <c r="F430" s="63" t="inlineStr">
        <is>
          <t>212.915,88</t>
        </is>
      </c>
      <c r="G430" s="63" t="inlineStr">
        <is>
          <t>246.982,42</t>
        </is>
      </c>
      <c r="H430" s="63" t="inlineStr">
        <is>
          <t>348,00</t>
        </is>
      </c>
      <c r="I430" s="63" t="inlineStr">
        <is>
          <t>709,69</t>
        </is>
      </c>
      <c r="J430" s="65" t="n"/>
      <c r="K430" s="65" t="n">
        <v>877</v>
      </c>
      <c r="L430" s="65" t="inlineStr">
        <is>
          <t>[0877] SS EXTRA PROTECCION API SN SAE 15W-40 (1X12)</t>
        </is>
      </c>
      <c r="M430" s="63" t="inlineStr">
        <is>
          <t>100,80</t>
        </is>
      </c>
      <c r="N430" s="63" t="inlineStr">
        <is>
          <t>2,00</t>
        </is>
      </c>
      <c r="O430" s="63" t="inlineStr">
        <is>
          <t>0,79</t>
        </is>
      </c>
      <c r="P430" s="63" t="inlineStr">
        <is>
          <t>200,01</t>
        </is>
      </c>
      <c r="Q430" s="63" t="inlineStr">
        <is>
          <t>232,01</t>
        </is>
      </c>
    </row>
    <row r="431">
      <c r="A431" s="65" t="n"/>
      <c r="B431" s="65" t="n"/>
      <c r="C431" s="65" t="n"/>
      <c r="D431" s="65" t="n"/>
      <c r="E431" s="65" t="n"/>
      <c r="F431" s="65" t="n"/>
      <c r="G431" s="65" t="n"/>
      <c r="H431" s="65" t="n"/>
      <c r="I431" s="65" t="n"/>
      <c r="J431" s="65" t="n"/>
      <c r="K431" s="65" t="n"/>
      <c r="L431" s="65" t="n"/>
      <c r="M431" s="63" t="inlineStr">
        <is>
          <t>0,00</t>
        </is>
      </c>
      <c r="N431" s="63" t="inlineStr">
        <is>
          <t>0,00</t>
        </is>
      </c>
      <c r="O431" s="63" t="inlineStr">
        <is>
          <t>0,00</t>
        </is>
      </c>
      <c r="P431" s="63" t="inlineStr">
        <is>
          <t>0,00</t>
        </is>
      </c>
      <c r="Q431" s="63" t="inlineStr">
        <is>
          <t>0,00</t>
        </is>
      </c>
    </row>
    <row r="432">
      <c r="A432" s="65" t="n"/>
      <c r="B432" s="65" t="n"/>
      <c r="C432" s="65" t="n"/>
      <c r="D432" s="65" t="n"/>
      <c r="E432" s="65" t="n"/>
      <c r="F432" s="65" t="n"/>
      <c r="G432" s="65" t="n"/>
      <c r="H432" s="65" t="n"/>
      <c r="I432" s="65" t="n"/>
      <c r="J432" s="65" t="n"/>
      <c r="K432" s="65" t="n">
        <v>25</v>
      </c>
      <c r="L432" s="65" t="inlineStr">
        <is>
          <t>[0025] SS EXTRA PROTECCION API SN SAE 10W-30 (Gasolina) (1x6)</t>
        </is>
      </c>
      <c r="M432" s="63" t="inlineStr">
        <is>
          <t>50,40</t>
        </is>
      </c>
      <c r="N432" s="63" t="inlineStr">
        <is>
          <t>2,00</t>
        </is>
      </c>
      <c r="O432" s="63" t="inlineStr">
        <is>
          <t>0,79</t>
        </is>
      </c>
      <c r="P432" s="63" t="inlineStr">
        <is>
          <t>100,00</t>
        </is>
      </c>
      <c r="Q432" s="63" t="inlineStr">
        <is>
          <t>116,00</t>
        </is>
      </c>
    </row>
    <row r="433">
      <c r="A433" s="66" t="n">
        <v>46215</v>
      </c>
      <c r="B433" s="65" t="n">
        <v>333</v>
      </c>
      <c r="C433" s="65" t="inlineStr">
        <is>
          <t>00-00000875</t>
        </is>
      </c>
      <c r="D433" s="65" t="inlineStr">
        <is>
          <t>S00317</t>
        </is>
      </c>
      <c r="E433" s="65" t="inlineStr">
        <is>
          <t>ACCESORIOS Y REPUESTOS MOTO CAR 20-11-C.A</t>
        </is>
      </c>
      <c r="F433" s="63" t="inlineStr">
        <is>
          <t>142.550,50</t>
        </is>
      </c>
      <c r="G433" s="63" t="inlineStr">
        <is>
          <t>165.358,58</t>
        </is>
      </c>
      <c r="H433" s="63" t="inlineStr">
        <is>
          <t>232,97</t>
        </is>
      </c>
      <c r="I433" s="63" t="inlineStr">
        <is>
          <t>709,69</t>
        </is>
      </c>
      <c r="J433" s="65" t="n">
        <v>757</v>
      </c>
      <c r="K433" s="65" t="n">
        <v>779</v>
      </c>
      <c r="L433" s="65" t="inlineStr">
        <is>
          <t>[0779] SINOCO SAE 20W-50 (1x12)</t>
        </is>
      </c>
      <c r="M433" s="63" t="inlineStr">
        <is>
          <t>45,69</t>
        </is>
      </c>
      <c r="N433" s="63" t="inlineStr">
        <is>
          <t>1,00</t>
        </is>
      </c>
      <c r="O433" s="63" t="inlineStr">
        <is>
          <t>0,00</t>
        </is>
      </c>
      <c r="P433" s="63" t="inlineStr">
        <is>
          <t>45,69</t>
        </is>
      </c>
      <c r="Q433" s="63" t="inlineStr">
        <is>
          <t>53,00</t>
        </is>
      </c>
    </row>
    <row r="434">
      <c r="A434" s="65" t="n"/>
      <c r="B434" s="65" t="n"/>
      <c r="C434" s="65" t="n"/>
      <c r="D434" s="65" t="n"/>
      <c r="E434" s="65" t="n"/>
      <c r="F434" s="65" t="n"/>
      <c r="G434" s="65" t="n"/>
      <c r="H434" s="65" t="n"/>
      <c r="I434" s="65" t="n"/>
      <c r="J434" s="65" t="n"/>
      <c r="K434" s="65" t="n">
        <v>878</v>
      </c>
      <c r="L434" s="65" t="inlineStr">
        <is>
          <t>[0878] SS EXTRA PROTECCION API SN SAE 20W-50 (1x12)</t>
        </is>
      </c>
      <c r="M434" s="63" t="inlineStr">
        <is>
          <t>65,52</t>
        </is>
      </c>
      <c r="N434" s="63" t="inlineStr">
        <is>
          <t>1,00</t>
        </is>
      </c>
      <c r="O434" s="63" t="inlineStr">
        <is>
          <t>0,00</t>
        </is>
      </c>
      <c r="P434" s="63" t="inlineStr">
        <is>
          <t>65,52</t>
        </is>
      </c>
      <c r="Q434" s="63" t="inlineStr">
        <is>
          <t>76,00</t>
        </is>
      </c>
    </row>
    <row r="435">
      <c r="A435" s="65" t="n"/>
      <c r="B435" s="65" t="n"/>
      <c r="C435" s="65" t="n"/>
      <c r="D435" s="65" t="n"/>
      <c r="E435" s="65" t="n"/>
      <c r="F435" s="65" t="n"/>
      <c r="G435" s="65" t="n"/>
      <c r="H435" s="65" t="n"/>
      <c r="I435" s="65" t="n"/>
      <c r="J435" s="65" t="n"/>
      <c r="K435" s="65" t="n">
        <v>881</v>
      </c>
      <c r="L435" s="65" t="inlineStr">
        <is>
          <t>[0881] CLASICO API SL SAE 20W-50 (1x12)</t>
        </is>
      </c>
      <c r="M435" s="63" t="inlineStr">
        <is>
          <t>56,03</t>
        </is>
      </c>
      <c r="N435" s="63" t="inlineStr">
        <is>
          <t>1,00</t>
        </is>
      </c>
      <c r="O435" s="63" t="inlineStr">
        <is>
          <t>0,00</t>
        </is>
      </c>
      <c r="P435" s="63" t="inlineStr">
        <is>
          <t>56,03</t>
        </is>
      </c>
      <c r="Q435" s="63" t="inlineStr">
        <is>
          <t>65,00</t>
        </is>
      </c>
    </row>
    <row r="436">
      <c r="A436" s="65" t="n"/>
      <c r="B436" s="65" t="n"/>
      <c r="C436" s="65" t="n"/>
      <c r="D436" s="65" t="n"/>
      <c r="E436" s="65" t="n"/>
      <c r="F436" s="65" t="n"/>
      <c r="G436" s="65" t="n"/>
      <c r="H436" s="65" t="n"/>
      <c r="I436" s="65" t="n"/>
      <c r="J436" s="65" t="n"/>
      <c r="K436" s="65" t="n">
        <v>561</v>
      </c>
      <c r="L436" s="65" t="inlineStr">
        <is>
          <t>[0561] MEJORADOR DE OCTANAJE GLOBAL OIL PACK (1X12)</t>
        </is>
      </c>
      <c r="M436" s="63" t="inlineStr">
        <is>
          <t>33,62</t>
        </is>
      </c>
      <c r="N436" s="63" t="inlineStr">
        <is>
          <t>1,00</t>
        </is>
      </c>
      <c r="O436" s="63" t="inlineStr">
        <is>
          <t>0,00</t>
        </is>
      </c>
      <c r="P436" s="63" t="inlineStr">
        <is>
          <t>33,62</t>
        </is>
      </c>
      <c r="Q436" s="63" t="inlineStr">
        <is>
          <t>39,00</t>
        </is>
      </c>
    </row>
    <row r="437">
      <c r="A437" s="66" t="n">
        <v>46215</v>
      </c>
      <c r="B437" s="65" t="n">
        <v>332</v>
      </c>
      <c r="C437" s="65" t="inlineStr">
        <is>
          <t>00-00000874</t>
        </is>
      </c>
      <c r="D437" s="65" t="inlineStr">
        <is>
          <t>S00318</t>
        </is>
      </c>
      <c r="E437" s="65" t="inlineStr">
        <is>
          <t>JOSE RAFAEL MARTÍNEZ</t>
        </is>
      </c>
      <c r="F437" s="63" t="inlineStr">
        <is>
          <t>32.425,65</t>
        </is>
      </c>
      <c r="G437" s="63" t="inlineStr">
        <is>
          <t>37.613,75</t>
        </is>
      </c>
      <c r="H437" s="63" t="inlineStr">
        <is>
          <t>52,99</t>
        </is>
      </c>
      <c r="I437" s="63" t="inlineStr">
        <is>
          <t>709,69</t>
        </is>
      </c>
      <c r="J437" s="65" t="n"/>
      <c r="K437" s="65" t="n">
        <v>779</v>
      </c>
      <c r="L437" s="65" t="inlineStr">
        <is>
          <t>[0779] SINOCO SAE 20W-50 (1x12)</t>
        </is>
      </c>
      <c r="M437" s="63" t="inlineStr">
        <is>
          <t>45,69</t>
        </is>
      </c>
      <c r="N437" s="63" t="inlineStr">
        <is>
          <t>1,00</t>
        </is>
      </c>
      <c r="O437" s="63" t="inlineStr">
        <is>
          <t>0,00</t>
        </is>
      </c>
      <c r="P437" s="63" t="inlineStr">
        <is>
          <t>45,69</t>
        </is>
      </c>
      <c r="Q437" s="63" t="inlineStr">
        <is>
          <t>53,00</t>
        </is>
      </c>
    </row>
    <row r="438">
      <c r="A438" s="66" t="n">
        <v>46215</v>
      </c>
      <c r="B438" s="65" t="n">
        <v>331</v>
      </c>
      <c r="C438" s="65" t="inlineStr">
        <is>
          <t>00-00000873</t>
        </is>
      </c>
      <c r="D438" s="65" t="inlineStr">
        <is>
          <t>S00323</t>
        </is>
      </c>
      <c r="E438" s="65" t="inlineStr">
        <is>
          <t>FREDI MARQUEZ</t>
        </is>
      </c>
      <c r="F438" s="63" t="inlineStr">
        <is>
          <t>82.597,43</t>
        </is>
      </c>
      <c r="G438" s="63" t="inlineStr">
        <is>
          <t>95.813,02</t>
        </is>
      </c>
      <c r="H438" s="63" t="inlineStr">
        <is>
          <t>135,00</t>
        </is>
      </c>
      <c r="I438" s="63" t="inlineStr">
        <is>
          <t>709,69</t>
        </is>
      </c>
      <c r="J438" s="65" t="n"/>
      <c r="K438" s="65" t="n">
        <v>602</v>
      </c>
      <c r="L438" s="65" t="inlineStr">
        <is>
          <t>[0602] SINOCO SAE 50 (PAILA)</t>
        </is>
      </c>
      <c r="M438" s="63" t="inlineStr">
        <is>
          <t>62,93</t>
        </is>
      </c>
      <c r="N438" s="63" t="inlineStr">
        <is>
          <t>2,00</t>
        </is>
      </c>
      <c r="O438" s="63" t="inlineStr">
        <is>
          <t>7,53</t>
        </is>
      </c>
      <c r="P438" s="63" t="inlineStr">
        <is>
          <t>116,38</t>
        </is>
      </c>
      <c r="Q438" s="63" t="inlineStr">
        <is>
          <t>135,01</t>
        </is>
      </c>
    </row>
    <row r="439">
      <c r="A439" s="66" t="n">
        <v>46215</v>
      </c>
      <c r="B439" s="65" t="n">
        <v>330</v>
      </c>
      <c r="C439" s="65" t="inlineStr">
        <is>
          <t>00-00000872</t>
        </is>
      </c>
      <c r="D439" s="65" t="inlineStr">
        <is>
          <t>S00324</t>
        </is>
      </c>
      <c r="E439" s="65" t="inlineStr">
        <is>
          <t>Nemer Bourji</t>
        </is>
      </c>
      <c r="F439" s="63" t="inlineStr">
        <is>
          <t>95.441,54</t>
        </is>
      </c>
      <c r="G439" s="63" t="inlineStr">
        <is>
          <t>110.712,19</t>
        </is>
      </c>
      <c r="H439" s="63" t="inlineStr">
        <is>
          <t>155,99</t>
        </is>
      </c>
      <c r="I439" s="63" t="inlineStr">
        <is>
          <t>709,69</t>
        </is>
      </c>
      <c r="J439" s="65" t="n"/>
      <c r="K439" s="65" t="n">
        <v>795</v>
      </c>
      <c r="L439" s="65" t="inlineStr">
        <is>
          <t>[0795] REFRIGERANTE GLOBAL ORANGE PREMIUM 50-50 CONCENTRADO (1x3)</t>
        </is>
      </c>
      <c r="M439" s="63" t="inlineStr">
        <is>
          <t>33,62</t>
        </is>
      </c>
      <c r="N439" s="63" t="inlineStr">
        <is>
          <t>4,00</t>
        </is>
      </c>
      <c r="O439" s="63" t="inlineStr">
        <is>
          <t>0,00</t>
        </is>
      </c>
      <c r="P439" s="63" t="inlineStr">
        <is>
          <t>134,48</t>
        </is>
      </c>
      <c r="Q439" s="63" t="inlineStr">
        <is>
          <t>156,00</t>
        </is>
      </c>
    </row>
    <row r="440">
      <c r="A440" s="66" t="n">
        <v>46215</v>
      </c>
      <c r="B440" s="65" t="n">
        <v>329</v>
      </c>
      <c r="C440" s="65" t="inlineStr">
        <is>
          <t>00-00000871</t>
        </is>
      </c>
      <c r="D440" s="65" t="inlineStr">
        <is>
          <t>S00334</t>
        </is>
      </c>
      <c r="E440" s="65" t="inlineStr">
        <is>
          <t>LOGISTICA Y CONSULTORIA VINCARS, C.A.</t>
        </is>
      </c>
      <c r="F440" s="63" t="inlineStr">
        <is>
          <t>119.301,92</t>
        </is>
      </c>
      <c r="G440" s="63" t="inlineStr">
        <is>
          <t>138.390,23</t>
        </is>
      </c>
      <c r="H440" s="63" t="inlineStr">
        <is>
          <t>194,98</t>
        </is>
      </c>
      <c r="I440" s="63" t="inlineStr">
        <is>
          <t>709,69</t>
        </is>
      </c>
      <c r="J440" s="65" t="n"/>
      <c r="K440" s="65" t="n">
        <v>886</v>
      </c>
      <c r="L440" s="65" t="inlineStr">
        <is>
          <t>[0886] TRANSMATIC DEXRON VI (1x12)</t>
        </is>
      </c>
      <c r="M440" s="63" t="inlineStr">
        <is>
          <t>102,59</t>
        </is>
      </c>
      <c r="N440" s="63" t="inlineStr">
        <is>
          <t>1,00</t>
        </is>
      </c>
      <c r="O440" s="63" t="inlineStr">
        <is>
          <t>0,00</t>
        </is>
      </c>
      <c r="P440" s="63" t="inlineStr">
        <is>
          <t>102,59</t>
        </is>
      </c>
      <c r="Q440" s="63" t="inlineStr">
        <is>
          <t>119,00</t>
        </is>
      </c>
    </row>
    <row r="441">
      <c r="A441" s="65" t="n"/>
      <c r="B441" s="65" t="n"/>
      <c r="C441" s="65" t="n"/>
      <c r="D441" s="65" t="n"/>
      <c r="E441" s="65" t="n"/>
      <c r="F441" s="65" t="n"/>
      <c r="G441" s="65" t="n"/>
      <c r="H441" s="65" t="n"/>
      <c r="I441" s="65" t="n"/>
      <c r="J441" s="65" t="n"/>
      <c r="K441" s="65" t="n">
        <v>877</v>
      </c>
      <c r="L441" s="65" t="inlineStr">
        <is>
          <t>[0877] SS EXTRA PROTECCION API SN SAE 15W-40 (1X12)</t>
        </is>
      </c>
      <c r="M441" s="63" t="inlineStr">
        <is>
          <t>65,52</t>
        </is>
      </c>
      <c r="N441" s="63" t="inlineStr">
        <is>
          <t>1,00</t>
        </is>
      </c>
      <c r="O441" s="63" t="inlineStr">
        <is>
          <t>0,00</t>
        </is>
      </c>
      <c r="P441" s="63" t="inlineStr">
        <is>
          <t>65,52</t>
        </is>
      </c>
      <c r="Q441" s="63" t="inlineStr">
        <is>
          <t>76,00</t>
        </is>
      </c>
    </row>
    <row r="442">
      <c r="A442" s="66" t="n">
        <v>46215</v>
      </c>
      <c r="B442" s="65" t="n">
        <v>328</v>
      </c>
      <c r="C442" s="65" t="inlineStr">
        <is>
          <t>00-00000870</t>
        </is>
      </c>
      <c r="D442" s="65" t="inlineStr">
        <is>
          <t>S00335</t>
        </is>
      </c>
      <c r="E442" s="65" t="inlineStr">
        <is>
          <t>Wili Mervin León Romero</t>
        </is>
      </c>
      <c r="F442" s="63" t="inlineStr">
        <is>
          <t>178.646,98</t>
        </is>
      </c>
      <c r="G442" s="63" t="inlineStr">
        <is>
          <t>207.230,50</t>
        </is>
      </c>
      <c r="H442" s="63" t="inlineStr">
        <is>
          <t>291,98</t>
        </is>
      </c>
      <c r="I442" s="63" t="inlineStr">
        <is>
          <t>709,69</t>
        </is>
      </c>
      <c r="J442" s="65" t="n"/>
      <c r="K442" s="65" t="n">
        <v>887</v>
      </c>
      <c r="L442" s="65" t="inlineStr">
        <is>
          <t>[0887] MOTOCLASICO 4T SAE 20W-50 (1x12)</t>
        </is>
      </c>
      <c r="M442" s="63" t="inlineStr">
        <is>
          <t>58,62</t>
        </is>
      </c>
      <c r="N442" s="63" t="inlineStr">
        <is>
          <t>1,00</t>
        </is>
      </c>
      <c r="O442" s="63" t="inlineStr">
        <is>
          <t>0,00</t>
        </is>
      </c>
      <c r="P442" s="63" t="inlineStr">
        <is>
          <t>58,62</t>
        </is>
      </c>
      <c r="Q442" s="63" t="inlineStr">
        <is>
          <t>68,00</t>
        </is>
      </c>
    </row>
    <row r="443">
      <c r="A443" s="65" t="n"/>
      <c r="B443" s="65" t="n"/>
      <c r="C443" s="65" t="n"/>
      <c r="D443" s="65" t="n"/>
      <c r="E443" s="65" t="n"/>
      <c r="F443" s="65" t="n"/>
      <c r="G443" s="65" t="n"/>
      <c r="H443" s="65" t="n"/>
      <c r="I443" s="65" t="n"/>
      <c r="J443" s="65" t="n"/>
      <c r="K443" s="65" t="n">
        <v>884</v>
      </c>
      <c r="L443" s="65" t="inlineStr">
        <is>
          <t>[0884] TRANSMATIC ATF DEXRON III (1x12)</t>
        </is>
      </c>
      <c r="M443" s="63" t="inlineStr">
        <is>
          <t>62,07</t>
        </is>
      </c>
      <c r="N443" s="63" t="inlineStr">
        <is>
          <t>1,00</t>
        </is>
      </c>
      <c r="O443" s="63" t="inlineStr">
        <is>
          <t>0,00</t>
        </is>
      </c>
      <c r="P443" s="63" t="inlineStr">
        <is>
          <t>62,07</t>
        </is>
      </c>
      <c r="Q443" s="63" t="inlineStr">
        <is>
          <t>72,00</t>
        </is>
      </c>
    </row>
    <row r="444">
      <c r="A444" s="65" t="n"/>
      <c r="B444" s="65" t="n"/>
      <c r="C444" s="65" t="n"/>
      <c r="D444" s="65" t="n"/>
      <c r="E444" s="65" t="n"/>
      <c r="F444" s="65" t="n"/>
      <c r="G444" s="65" t="n"/>
      <c r="H444" s="65" t="n"/>
      <c r="I444" s="65" t="n"/>
      <c r="J444" s="65" t="n"/>
      <c r="K444" s="65" t="n">
        <v>877</v>
      </c>
      <c r="L444" s="65" t="inlineStr">
        <is>
          <t>[0877] SS EXTRA PROTECCION API SN SAE 15W-40 (1X12)</t>
        </is>
      </c>
      <c r="M444" s="63" t="inlineStr">
        <is>
          <t>65,52</t>
        </is>
      </c>
      <c r="N444" s="63" t="inlineStr">
        <is>
          <t>2,00</t>
        </is>
      </c>
      <c r="O444" s="63" t="inlineStr">
        <is>
          <t>0,00</t>
        </is>
      </c>
      <c r="P444" s="63" t="inlineStr">
        <is>
          <t>131,03</t>
        </is>
      </c>
      <c r="Q444" s="63" t="inlineStr">
        <is>
          <t>152,00</t>
        </is>
      </c>
    </row>
    <row r="445">
      <c r="A445" s="66" t="n">
        <v>46215</v>
      </c>
      <c r="B445" s="65" t="n">
        <v>327</v>
      </c>
      <c r="C445" s="65" t="inlineStr">
        <is>
          <t>00-00000869</t>
        </is>
      </c>
      <c r="D445" s="65" t="inlineStr">
        <is>
          <t>S00339</t>
        </is>
      </c>
      <c r="E445" s="65" t="inlineStr">
        <is>
          <t>La cámara perfecta</t>
        </is>
      </c>
      <c r="F445" s="63" t="inlineStr">
        <is>
          <t>491.279,21</t>
        </is>
      </c>
      <c r="G445" s="63" t="inlineStr">
        <is>
          <t>569.883,89</t>
        </is>
      </c>
      <c r="H445" s="63" t="inlineStr">
        <is>
          <t>802,98</t>
        </is>
      </c>
      <c r="I445" s="63" t="inlineStr">
        <is>
          <t>709,69</t>
        </is>
      </c>
      <c r="J445" s="65" t="n"/>
      <c r="K445" s="65" t="n">
        <v>602</v>
      </c>
      <c r="L445" s="65" t="inlineStr">
        <is>
          <t>[0602] SINOCO SAE 50 (PAILA)</t>
        </is>
      </c>
      <c r="M445" s="63" t="inlineStr">
        <is>
          <t>62,93</t>
        </is>
      </c>
      <c r="N445" s="63" t="inlineStr">
        <is>
          <t>3,00</t>
        </is>
      </c>
      <c r="O445" s="63" t="inlineStr">
        <is>
          <t>0,00</t>
        </is>
      </c>
      <c r="P445" s="63" t="inlineStr">
        <is>
          <t>188,79</t>
        </is>
      </c>
      <c r="Q445" s="63" t="inlineStr">
        <is>
          <t>219,00</t>
        </is>
      </c>
    </row>
    <row r="446">
      <c r="A446" s="65" t="n"/>
      <c r="B446" s="65" t="n"/>
      <c r="C446" s="65" t="n"/>
      <c r="D446" s="65" t="n"/>
      <c r="E446" s="65" t="n"/>
      <c r="F446" s="65" t="n"/>
      <c r="G446" s="65" t="n"/>
      <c r="H446" s="65" t="n"/>
      <c r="I446" s="65" t="n"/>
      <c r="J446" s="65" t="n"/>
      <c r="K446" s="65" t="n">
        <v>605</v>
      </c>
      <c r="L446" s="65" t="inlineStr">
        <is>
          <t>[0605] SINOCO SAE 20W-50 (PAILA)</t>
        </is>
      </c>
      <c r="M446" s="63" t="inlineStr">
        <is>
          <t>62,93</t>
        </is>
      </c>
      <c r="N446" s="63" t="inlineStr">
        <is>
          <t>8,00</t>
        </is>
      </c>
      <c r="O446" s="63" t="inlineStr">
        <is>
          <t>0,00</t>
        </is>
      </c>
      <c r="P446" s="63" t="inlineStr">
        <is>
          <t>503,45</t>
        </is>
      </c>
      <c r="Q446" s="63" t="inlineStr">
        <is>
          <t>584,00</t>
        </is>
      </c>
    </row>
    <row r="447">
      <c r="A447" s="66" t="n">
        <v>46215</v>
      </c>
      <c r="B447" s="65" t="n">
        <v>326</v>
      </c>
      <c r="C447" s="65" t="inlineStr">
        <is>
          <t>00-00000868</t>
        </is>
      </c>
      <c r="D447" s="65" t="inlineStr">
        <is>
          <t>S00346</t>
        </is>
      </c>
      <c r="E447" s="65" t="inlineStr">
        <is>
          <t>AUTOPERIQUITO EL PEQUEÑO CHAMOY, C.A.</t>
        </is>
      </c>
      <c r="F447" s="63" t="inlineStr">
        <is>
          <t>420.921,66</t>
        </is>
      </c>
      <c r="G447" s="63" t="inlineStr">
        <is>
          <t>488.269,13</t>
        </is>
      </c>
      <c r="H447" s="63" t="inlineStr">
        <is>
          <t>687,99</t>
        </is>
      </c>
      <c r="I447" s="63" t="inlineStr">
        <is>
          <t>709,69</t>
        </is>
      </c>
      <c r="J447" s="65" t="n">
        <v>551</v>
      </c>
      <c r="K447" s="65" t="n">
        <v>606</v>
      </c>
      <c r="L447" s="65" t="inlineStr">
        <is>
          <t>[0606] SINOCO SAE 20W-50 (Tambor)</t>
        </is>
      </c>
      <c r="M447" s="63" t="inlineStr">
        <is>
          <t>593,10</t>
        </is>
      </c>
      <c r="N447" s="63" t="inlineStr">
        <is>
          <t>1,00</t>
        </is>
      </c>
      <c r="O447" s="63" t="inlineStr">
        <is>
          <t>0,00</t>
        </is>
      </c>
      <c r="P447" s="63" t="inlineStr">
        <is>
          <t>593,10</t>
        </is>
      </c>
      <c r="Q447" s="63" t="inlineStr">
        <is>
          <t>688,00</t>
        </is>
      </c>
    </row>
    <row r="448">
      <c r="A448" s="65" t="n"/>
      <c r="B448" s="65" t="n"/>
      <c r="C448" s="65" t="n"/>
      <c r="D448" s="65" t="n"/>
      <c r="E448" s="65" t="n"/>
      <c r="F448" s="65" t="n"/>
      <c r="G448" s="65" t="n"/>
      <c r="H448" s="65" t="n"/>
      <c r="I448" s="65" t="n"/>
      <c r="J448" s="65" t="n">
        <v>758</v>
      </c>
      <c r="K448" s="65" t="n"/>
      <c r="L448" s="65" t="n"/>
      <c r="M448" s="65" t="n"/>
      <c r="N448" s="65" t="n"/>
      <c r="O448" s="65" t="n"/>
      <c r="P448" s="65" t="n"/>
      <c r="Q448" s="65" t="n"/>
    </row>
    <row r="449">
      <c r="A449" s="65" t="n"/>
      <c r="B449" s="65" t="n"/>
      <c r="C449" s="65" t="n"/>
      <c r="D449" s="65" t="n"/>
      <c r="E449" s="65" t="n"/>
      <c r="F449" s="65" t="n"/>
      <c r="G449" s="65" t="n"/>
      <c r="H449" s="65" t="n"/>
      <c r="I449" s="65" t="n"/>
      <c r="J449" s="65" t="n"/>
      <c r="K449" s="65" t="n"/>
      <c r="L449" s="65" t="n"/>
      <c r="M449" s="63" t="inlineStr">
        <is>
          <t>0,00</t>
        </is>
      </c>
      <c r="N449" s="63" t="inlineStr">
        <is>
          <t>0,00</t>
        </is>
      </c>
      <c r="O449" s="63" t="inlineStr">
        <is>
          <t>0,00</t>
        </is>
      </c>
      <c r="P449" s="63" t="inlineStr">
        <is>
          <t>0,00</t>
        </is>
      </c>
      <c r="Q449" s="63" t="inlineStr">
        <is>
          <t>0,00</t>
        </is>
      </c>
    </row>
    <row r="450">
      <c r="A450" s="66" t="n">
        <v>46215</v>
      </c>
      <c r="B450" s="65" t="n">
        <v>325</v>
      </c>
      <c r="C450" s="65" t="inlineStr">
        <is>
          <t>00-00000867</t>
        </is>
      </c>
      <c r="D450" s="65" t="inlineStr">
        <is>
          <t>S00349</t>
        </is>
      </c>
      <c r="E450" s="65" t="inlineStr">
        <is>
          <t>CLUDE CARVALHO DE ACOSTA</t>
        </is>
      </c>
      <c r="F450" s="63" t="inlineStr">
        <is>
          <t>29.978,43</t>
        </is>
      </c>
      <c r="G450" s="63" t="inlineStr">
        <is>
          <t>34.774,98</t>
        </is>
      </c>
      <c r="H450" s="63" t="inlineStr">
        <is>
          <t>48,99</t>
        </is>
      </c>
      <c r="I450" s="63" t="inlineStr">
        <is>
          <t>709,69</t>
        </is>
      </c>
      <c r="J450" s="65" t="n"/>
      <c r="K450" s="65" t="n">
        <v>774</v>
      </c>
      <c r="L450" s="65" t="inlineStr">
        <is>
          <t>[0774] LIGA PARA FRENOS DOT-4 (1X6)</t>
        </is>
      </c>
      <c r="M450" s="63" t="inlineStr">
        <is>
          <t>42,24</t>
        </is>
      </c>
      <c r="N450" s="63" t="inlineStr">
        <is>
          <t>1,00</t>
        </is>
      </c>
      <c r="O450" s="63" t="inlineStr">
        <is>
          <t>0,00</t>
        </is>
      </c>
      <c r="P450" s="63" t="inlineStr">
        <is>
          <t>42,24</t>
        </is>
      </c>
      <c r="Q450" s="63" t="inlineStr">
        <is>
          <t>49,00</t>
        </is>
      </c>
    </row>
    <row r="451">
      <c r="A451" s="66" t="n">
        <v>46215</v>
      </c>
      <c r="B451" s="65" t="n">
        <v>324</v>
      </c>
      <c r="C451" s="65" t="inlineStr">
        <is>
          <t>00-00000866</t>
        </is>
      </c>
      <c r="D451" s="65" t="inlineStr">
        <is>
          <t>S00412</t>
        </is>
      </c>
      <c r="E451" s="65" t="inlineStr">
        <is>
          <t>Anthony Jose Quijada Diaz.</t>
        </is>
      </c>
      <c r="F451" s="63" t="inlineStr">
        <is>
          <t>71.581,15</t>
        </is>
      </c>
      <c r="G451" s="63" t="inlineStr">
        <is>
          <t>83.034,13</t>
        </is>
      </c>
      <c r="H451" s="63" t="inlineStr">
        <is>
          <t>116,99</t>
        </is>
      </c>
      <c r="I451" s="63" t="inlineStr">
        <is>
          <t>709,69</t>
        </is>
      </c>
      <c r="J451" s="65" t="n">
        <v>200</v>
      </c>
      <c r="K451" s="65" t="n">
        <v>795</v>
      </c>
      <c r="L451" s="65" t="inlineStr">
        <is>
          <t>[0795] REFRIGERANTE GLOBAL ORANGE PREMIUM 50-50 CONCENTRADO (1x3)</t>
        </is>
      </c>
      <c r="M451" s="63" t="inlineStr">
        <is>
          <t>33,62</t>
        </is>
      </c>
      <c r="N451" s="63" t="inlineStr">
        <is>
          <t>3,00</t>
        </is>
      </c>
      <c r="O451" s="63" t="inlineStr">
        <is>
          <t>0,00</t>
        </is>
      </c>
      <c r="P451" s="63" t="inlineStr">
        <is>
          <t>100,86</t>
        </is>
      </c>
      <c r="Q451" s="63" t="inlineStr">
        <is>
          <t>117,00</t>
        </is>
      </c>
    </row>
    <row r="452">
      <c r="A452" s="66" t="n">
        <v>46215</v>
      </c>
      <c r="B452" s="65" t="n">
        <v>323</v>
      </c>
      <c r="C452" s="65" t="inlineStr">
        <is>
          <t>00-00000865</t>
        </is>
      </c>
      <c r="D452" s="65" t="inlineStr">
        <is>
          <t>S00291</t>
        </is>
      </c>
      <c r="E452" s="65" t="inlineStr">
        <is>
          <t>AGROPECUARIA EL TORO DORADO, C.A</t>
        </is>
      </c>
      <c r="F452" s="63" t="inlineStr">
        <is>
          <t>390.352,72</t>
        </is>
      </c>
      <c r="G452" s="63" t="inlineStr">
        <is>
          <t>452.809,15</t>
        </is>
      </c>
      <c r="H452" s="63" t="inlineStr">
        <is>
          <t>638,03</t>
        </is>
      </c>
      <c r="I452" s="63" t="inlineStr">
        <is>
          <t>709,69</t>
        </is>
      </c>
      <c r="J452" s="65" t="n">
        <v>398</v>
      </c>
      <c r="K452" s="65" t="n">
        <v>144</v>
      </c>
      <c r="L452" s="65" t="inlineStr">
        <is>
          <t>[0144] HIDRAGLOB AW/ISO 68 (PAILA)</t>
        </is>
      </c>
      <c r="M452" s="63" t="inlineStr">
        <is>
          <t>61,21</t>
        </is>
      </c>
      <c r="N452" s="63" t="inlineStr">
        <is>
          <t>3,00</t>
        </is>
      </c>
      <c r="O452" s="63" t="inlineStr">
        <is>
          <t>0,00</t>
        </is>
      </c>
      <c r="P452" s="63" t="inlineStr">
        <is>
          <t>183,63</t>
        </is>
      </c>
      <c r="Q452" s="63" t="inlineStr">
        <is>
          <t>213,01</t>
        </is>
      </c>
    </row>
    <row r="453">
      <c r="A453" s="65" t="n"/>
      <c r="B453" s="65" t="n"/>
      <c r="C453" s="65" t="n"/>
      <c r="D453" s="65" t="n"/>
      <c r="E453" s="65" t="n"/>
      <c r="F453" s="65" t="n"/>
      <c r="G453" s="65" t="n"/>
      <c r="H453" s="65" t="n"/>
      <c r="I453" s="65" t="n"/>
      <c r="J453" s="65" t="n"/>
      <c r="K453" s="65" t="n">
        <v>83</v>
      </c>
      <c r="L453" s="65" t="inlineStr">
        <is>
          <t>[0083] MAXIMO API CF SAE 50 (PAILA)</t>
        </is>
      </c>
      <c r="M453" s="63" t="inlineStr">
        <is>
          <t>73,28</t>
        </is>
      </c>
      <c r="N453" s="63" t="inlineStr">
        <is>
          <t>5,00</t>
        </is>
      </c>
      <c r="O453" s="63" t="inlineStr">
        <is>
          <t>0,00</t>
        </is>
      </c>
      <c r="P453" s="63" t="inlineStr">
        <is>
          <t>366,40</t>
        </is>
      </c>
      <c r="Q453" s="63" t="inlineStr">
        <is>
          <t>425,02</t>
        </is>
      </c>
    </row>
    <row r="454">
      <c r="A454" s="66" t="n">
        <v>46215</v>
      </c>
      <c r="B454" s="65" t="n">
        <v>322</v>
      </c>
      <c r="C454" s="65" t="inlineStr">
        <is>
          <t>00-00000864</t>
        </is>
      </c>
      <c r="D454" s="65" t="inlineStr">
        <is>
          <t>S00506</t>
        </is>
      </c>
      <c r="E454" s="65" t="inlineStr">
        <is>
          <t>Angel ARMAS</t>
        </is>
      </c>
      <c r="F454" s="63" t="inlineStr">
        <is>
          <t>46.497,16</t>
        </is>
      </c>
      <c r="G454" s="63" t="inlineStr">
        <is>
          <t>53.936,71</t>
        </is>
      </c>
      <c r="H454" s="63" t="inlineStr">
        <is>
          <t>75,99</t>
        </is>
      </c>
      <c r="I454" s="63" t="inlineStr">
        <is>
          <t>709,69</t>
        </is>
      </c>
      <c r="J454" s="65" t="n">
        <v>633</v>
      </c>
      <c r="K454" s="65" t="n">
        <v>877</v>
      </c>
      <c r="L454" s="65" t="inlineStr">
        <is>
          <t>[0877] SS EXTRA PROTECCION API SN SAE 15W-40 (1X12)</t>
        </is>
      </c>
      <c r="M454" s="63" t="inlineStr">
        <is>
          <t>65,52</t>
        </is>
      </c>
      <c r="N454" s="63" t="inlineStr">
        <is>
          <t>1,00</t>
        </is>
      </c>
      <c r="O454" s="63" t="inlineStr">
        <is>
          <t>0,00</t>
        </is>
      </c>
      <c r="P454" s="63" t="inlineStr">
        <is>
          <t>65,52</t>
        </is>
      </c>
      <c r="Q454" s="63" t="inlineStr">
        <is>
          <t>76,00</t>
        </is>
      </c>
    </row>
    <row r="455">
      <c r="A455" s="66" t="n">
        <v>46215</v>
      </c>
      <c r="B455" s="65" t="n">
        <v>321</v>
      </c>
      <c r="C455" s="65" t="inlineStr">
        <is>
          <t>00-00000863</t>
        </is>
      </c>
      <c r="D455" s="65" t="inlineStr">
        <is>
          <t>S00617</t>
        </is>
      </c>
      <c r="E455" s="65" t="inlineStr">
        <is>
          <t>Anthony Jose Quijada Diaz.</t>
        </is>
      </c>
      <c r="F455" s="63" t="inlineStr">
        <is>
          <t>86.876,27</t>
        </is>
      </c>
      <c r="G455" s="63" t="inlineStr">
        <is>
          <t>100.776,47</t>
        </is>
      </c>
      <c r="H455" s="63" t="inlineStr">
        <is>
          <t>141,99</t>
        </is>
      </c>
      <c r="I455" s="63" t="inlineStr">
        <is>
          <t>709,69</t>
        </is>
      </c>
      <c r="J455" s="65" t="n">
        <v>200</v>
      </c>
      <c r="K455" s="65" t="n">
        <v>144</v>
      </c>
      <c r="L455" s="65" t="inlineStr">
        <is>
          <t>[0144] HIDRAGLOB AW/ISO 68 (PAILA)</t>
        </is>
      </c>
      <c r="M455" s="63" t="inlineStr">
        <is>
          <t>61,21</t>
        </is>
      </c>
      <c r="N455" s="63" t="inlineStr">
        <is>
          <t>2,00</t>
        </is>
      </c>
      <c r="O455" s="63" t="inlineStr">
        <is>
          <t>0,00</t>
        </is>
      </c>
      <c r="P455" s="63" t="inlineStr">
        <is>
          <t>122,41</t>
        </is>
      </c>
      <c r="Q455" s="63" t="inlineStr">
        <is>
          <t>142,00</t>
        </is>
      </c>
    </row>
    <row r="456">
      <c r="A456" s="66" t="n">
        <v>46215</v>
      </c>
      <c r="B456" s="65" t="n">
        <v>320</v>
      </c>
      <c r="C456" s="65" t="inlineStr">
        <is>
          <t>00-00000862</t>
        </is>
      </c>
      <c r="D456" s="65" t="inlineStr">
        <is>
          <t>S00638</t>
        </is>
      </c>
      <c r="E456" s="65" t="inlineStr">
        <is>
          <t>Anthony Jose Quijada Diaz.</t>
        </is>
      </c>
      <c r="F456" s="63" t="inlineStr">
        <is>
          <t>244.110,09</t>
        </is>
      </c>
      <c r="G456" s="63" t="inlineStr">
        <is>
          <t>283.167,71</t>
        </is>
      </c>
      <c r="H456" s="63" t="inlineStr">
        <is>
          <t>398,98</t>
        </is>
      </c>
      <c r="I456" s="63" t="inlineStr">
        <is>
          <t>709,69</t>
        </is>
      </c>
      <c r="J456" s="65" t="n">
        <v>910</v>
      </c>
      <c r="K456" s="65" t="n">
        <v>144</v>
      </c>
      <c r="L456" s="65" t="inlineStr">
        <is>
          <t>[0144] HIDRAGLOB AW/ISO 68 (PAILA)</t>
        </is>
      </c>
      <c r="M456" s="63" t="inlineStr">
        <is>
          <t>61,21</t>
        </is>
      </c>
      <c r="N456" s="63" t="inlineStr">
        <is>
          <t>4,00</t>
        </is>
      </c>
      <c r="O456" s="63" t="inlineStr">
        <is>
          <t>5,00</t>
        </is>
      </c>
      <c r="P456" s="63" t="inlineStr">
        <is>
          <t>232,59</t>
        </is>
      </c>
      <c r="Q456" s="63" t="inlineStr">
        <is>
          <t>269,80</t>
        </is>
      </c>
    </row>
    <row r="457">
      <c r="A457" s="65" t="n"/>
      <c r="B457" s="65" t="n"/>
      <c r="C457" s="65" t="n"/>
      <c r="D457" s="65" t="n"/>
      <c r="E457" s="65" t="n"/>
      <c r="F457" s="65" t="n"/>
      <c r="G457" s="65" t="n"/>
      <c r="H457" s="65" t="n"/>
      <c r="I457" s="65" t="n"/>
      <c r="J457" s="65" t="n"/>
      <c r="K457" s="65" t="n">
        <v>337</v>
      </c>
      <c r="L457" s="65" t="inlineStr">
        <is>
          <t>[0337] GLOBAL SOLUBLE ACEITE EMULSIONABLE CORTES DE METAL (PAILA)</t>
        </is>
      </c>
      <c r="M457" s="63" t="inlineStr">
        <is>
          <t>117,24</t>
        </is>
      </c>
      <c r="N457" s="63" t="inlineStr">
        <is>
          <t>1,00</t>
        </is>
      </c>
      <c r="O457" s="63" t="inlineStr">
        <is>
          <t>5,00</t>
        </is>
      </c>
      <c r="P457" s="63" t="inlineStr">
        <is>
          <t>111,38</t>
        </is>
      </c>
      <c r="Q457" s="63" t="inlineStr">
        <is>
          <t>129,20</t>
        </is>
      </c>
    </row>
    <row r="458">
      <c r="A458" s="66" t="n">
        <v>46215</v>
      </c>
      <c r="B458" s="65" t="n">
        <v>319</v>
      </c>
      <c r="C458" s="65" t="inlineStr">
        <is>
          <t>00-00000861</t>
        </is>
      </c>
      <c r="D458" s="65" t="inlineStr">
        <is>
          <t>S00209</t>
        </is>
      </c>
      <c r="E458" s="65" t="inlineStr">
        <is>
          <t>Inversiones Mirelkys C.A</t>
        </is>
      </c>
      <c r="F458" s="63" t="inlineStr">
        <is>
          <t>218.414,29</t>
        </is>
      </c>
      <c r="G458" s="63" t="inlineStr">
        <is>
          <t>253.360,58</t>
        </is>
      </c>
      <c r="H458" s="63" t="inlineStr">
        <is>
          <t>356,99</t>
        </is>
      </c>
      <c r="I458" s="63" t="inlineStr">
        <is>
          <t>709,69</t>
        </is>
      </c>
      <c r="J458" s="65" t="n"/>
      <c r="K458" s="65" t="n">
        <v>880</v>
      </c>
      <c r="L458" s="65" t="inlineStr">
        <is>
          <t>[0880] CLASICO API SL SAE 15W-40 (1x12)</t>
        </is>
      </c>
      <c r="M458" s="63" t="inlineStr">
        <is>
          <t>56,03</t>
        </is>
      </c>
      <c r="N458" s="63" t="inlineStr">
        <is>
          <t>1,00</t>
        </is>
      </c>
      <c r="O458" s="63" t="inlineStr">
        <is>
          <t>0,00</t>
        </is>
      </c>
      <c r="P458" s="63" t="inlineStr">
        <is>
          <t>56,03</t>
        </is>
      </c>
      <c r="Q458" s="63" t="inlineStr">
        <is>
          <t>65,00</t>
        </is>
      </c>
    </row>
    <row r="459">
      <c r="A459" s="65" t="n"/>
      <c r="B459" s="65" t="n"/>
      <c r="C459" s="65" t="n"/>
      <c r="D459" s="65" t="n"/>
      <c r="E459" s="65" t="n"/>
      <c r="F459" s="65" t="n"/>
      <c r="G459" s="65" t="n"/>
      <c r="H459" s="65" t="n"/>
      <c r="I459" s="65" t="n"/>
      <c r="J459" s="65" t="n"/>
      <c r="K459" s="65" t="n">
        <v>605</v>
      </c>
      <c r="L459" s="65" t="inlineStr">
        <is>
          <t>[0605] SINOCO SAE 20W-50 (PAILA)</t>
        </is>
      </c>
      <c r="M459" s="63" t="inlineStr">
        <is>
          <t>62,93</t>
        </is>
      </c>
      <c r="N459" s="63" t="inlineStr">
        <is>
          <t>2,00</t>
        </is>
      </c>
      <c r="O459" s="63" t="inlineStr">
        <is>
          <t>0,00</t>
        </is>
      </c>
      <c r="P459" s="63" t="inlineStr">
        <is>
          <t>125,86</t>
        </is>
      </c>
      <c r="Q459" s="63" t="inlineStr">
        <is>
          <t>146,00</t>
        </is>
      </c>
    </row>
    <row r="460">
      <c r="A460" s="65" t="n"/>
      <c r="B460" s="65" t="n"/>
      <c r="C460" s="65" t="n"/>
      <c r="D460" s="65" t="n"/>
      <c r="E460" s="65" t="n"/>
      <c r="F460" s="65" t="n"/>
      <c r="G460" s="65" t="n"/>
      <c r="H460" s="65" t="n"/>
      <c r="I460" s="65" t="n"/>
      <c r="J460" s="65" t="n"/>
      <c r="K460" s="65" t="n">
        <v>602</v>
      </c>
      <c r="L460" s="65" t="inlineStr">
        <is>
          <t>[0602] SINOCO SAE 50 (PAILA)</t>
        </is>
      </c>
      <c r="M460" s="63" t="inlineStr">
        <is>
          <t>62,93</t>
        </is>
      </c>
      <c r="N460" s="63" t="inlineStr">
        <is>
          <t>2,00</t>
        </is>
      </c>
      <c r="O460" s="63" t="inlineStr">
        <is>
          <t>0,00</t>
        </is>
      </c>
      <c r="P460" s="63" t="inlineStr">
        <is>
          <t>125,86</t>
        </is>
      </c>
      <c r="Q460" s="63" t="inlineStr">
        <is>
          <t>146,00</t>
        </is>
      </c>
    </row>
    <row r="461">
      <c r="A461" s="66" t="n">
        <v>46215</v>
      </c>
      <c r="B461" s="65" t="n">
        <v>318</v>
      </c>
      <c r="C461" s="65" t="inlineStr">
        <is>
          <t>00-00000860</t>
        </is>
      </c>
      <c r="D461" s="65" t="inlineStr">
        <is>
          <t>S00243</t>
        </is>
      </c>
      <c r="E461" s="65" t="inlineStr">
        <is>
          <t>Cauchera William 2018, C.A</t>
        </is>
      </c>
      <c r="F461" s="63" t="inlineStr">
        <is>
          <t>157.233,82</t>
        </is>
      </c>
      <c r="G461" s="63" t="inlineStr">
        <is>
          <t>182.391,23</t>
        </is>
      </c>
      <c r="H461" s="63" t="inlineStr">
        <is>
          <t>256,97</t>
        </is>
      </c>
      <c r="I461" s="63" t="inlineStr">
        <is>
          <t>709,69</t>
        </is>
      </c>
      <c r="J461" s="65" t="n"/>
      <c r="K461" s="65" t="n">
        <v>605</v>
      </c>
      <c r="L461" s="65" t="inlineStr">
        <is>
          <t>[0605] SINOCO SAE 20W-50 (PAILA)</t>
        </is>
      </c>
      <c r="M461" s="63" t="inlineStr">
        <is>
          <t>62,93</t>
        </is>
      </c>
      <c r="N461" s="63" t="inlineStr">
        <is>
          <t>1,00</t>
        </is>
      </c>
      <c r="O461" s="63" t="inlineStr">
        <is>
          <t>0,00</t>
        </is>
      </c>
      <c r="P461" s="63" t="inlineStr">
        <is>
          <t>62,93</t>
        </is>
      </c>
      <c r="Q461" s="63" t="inlineStr">
        <is>
          <t>73,00</t>
        </is>
      </c>
    </row>
    <row r="462">
      <c r="A462" s="65" t="n"/>
      <c r="B462" s="65" t="n"/>
      <c r="C462" s="65" t="n"/>
      <c r="D462" s="65" t="n"/>
      <c r="E462" s="65" t="n"/>
      <c r="F462" s="65" t="n"/>
      <c r="G462" s="65" t="n"/>
      <c r="H462" s="65" t="n"/>
      <c r="I462" s="65" t="n"/>
      <c r="J462" s="65" t="n"/>
      <c r="K462" s="65" t="n">
        <v>779</v>
      </c>
      <c r="L462" s="65" t="inlineStr">
        <is>
          <t>[0779] SINOCO SAE 20W-50 (1x12)</t>
        </is>
      </c>
      <c r="M462" s="63" t="inlineStr">
        <is>
          <t>45,69</t>
        </is>
      </c>
      <c r="N462" s="63" t="inlineStr">
        <is>
          <t>1,00</t>
        </is>
      </c>
      <c r="O462" s="63" t="inlineStr">
        <is>
          <t>0,00</t>
        </is>
      </c>
      <c r="P462" s="63" t="inlineStr">
        <is>
          <t>45,69</t>
        </is>
      </c>
      <c r="Q462" s="63" t="inlineStr">
        <is>
          <t>53,00</t>
        </is>
      </c>
    </row>
    <row r="463">
      <c r="A463" s="65" t="n"/>
      <c r="B463" s="65" t="n"/>
      <c r="C463" s="65" t="n"/>
      <c r="D463" s="65" t="n"/>
      <c r="E463" s="65" t="n"/>
      <c r="F463" s="65" t="n"/>
      <c r="G463" s="65" t="n"/>
      <c r="H463" s="65" t="n"/>
      <c r="I463" s="65" t="n"/>
      <c r="J463" s="65" t="n"/>
      <c r="K463" s="65" t="n">
        <v>880</v>
      </c>
      <c r="L463" s="65" t="inlineStr">
        <is>
          <t>[0880] CLASICO API SL SAE 15W-40 (1x12)</t>
        </is>
      </c>
      <c r="M463" s="63" t="inlineStr">
        <is>
          <t>56,03</t>
        </is>
      </c>
      <c r="N463" s="63" t="inlineStr">
        <is>
          <t>1,00</t>
        </is>
      </c>
      <c r="O463" s="63" t="inlineStr">
        <is>
          <t>0,00</t>
        </is>
      </c>
      <c r="P463" s="63" t="inlineStr">
        <is>
          <t>56,03</t>
        </is>
      </c>
      <c r="Q463" s="63" t="inlineStr">
        <is>
          <t>65,00</t>
        </is>
      </c>
    </row>
    <row r="464">
      <c r="A464" s="65" t="n"/>
      <c r="B464" s="65" t="n"/>
      <c r="C464" s="65" t="n"/>
      <c r="D464" s="65" t="n"/>
      <c r="E464" s="65" t="n"/>
      <c r="F464" s="65" t="n"/>
      <c r="G464" s="65" t="n"/>
      <c r="H464" s="65" t="n"/>
      <c r="I464" s="65" t="n"/>
      <c r="J464" s="65" t="n"/>
      <c r="K464" s="65" t="n">
        <v>121</v>
      </c>
      <c r="L464" s="65" t="inlineStr">
        <is>
          <t>[0121] TRANSGLOB API GL-5 SAE 80W-90 (1x6)</t>
        </is>
      </c>
      <c r="M464" s="63" t="inlineStr">
        <is>
          <t>33,62</t>
        </is>
      </c>
      <c r="N464" s="63" t="inlineStr">
        <is>
          <t>1,00</t>
        </is>
      </c>
      <c r="O464" s="63" t="inlineStr">
        <is>
          <t>0,00</t>
        </is>
      </c>
      <c r="P464" s="63" t="inlineStr">
        <is>
          <t>33,62</t>
        </is>
      </c>
      <c r="Q464" s="63" t="inlineStr">
        <is>
          <t>39,00</t>
        </is>
      </c>
    </row>
    <row r="465">
      <c r="A465" s="65" t="n"/>
      <c r="B465" s="65" t="n"/>
      <c r="C465" s="65" t="n"/>
      <c r="D465" s="65" t="n"/>
      <c r="E465" s="65" t="n"/>
      <c r="F465" s="65" t="n"/>
      <c r="G465" s="65" t="n"/>
      <c r="H465" s="65" t="n"/>
      <c r="I465" s="65" t="n"/>
      <c r="J465" s="65" t="n"/>
      <c r="K465" s="65" t="n">
        <v>761</v>
      </c>
      <c r="L465" s="65" t="inlineStr">
        <is>
          <t>[0761] LIGA PARA FRENOS DOT-3 (1x12)</t>
        </is>
      </c>
      <c r="M465" s="63" t="inlineStr">
        <is>
          <t>23,28</t>
        </is>
      </c>
      <c r="N465" s="63" t="inlineStr">
        <is>
          <t>1,00</t>
        </is>
      </c>
      <c r="O465" s="63" t="inlineStr">
        <is>
          <t>0,00</t>
        </is>
      </c>
      <c r="P465" s="63" t="inlineStr">
        <is>
          <t>23,28</t>
        </is>
      </c>
      <c r="Q465" s="63" t="inlineStr">
        <is>
          <t>27,00</t>
        </is>
      </c>
    </row>
    <row r="466">
      <c r="A466" s="66" t="n">
        <v>46215</v>
      </c>
      <c r="B466" s="65" t="n">
        <v>317</v>
      </c>
      <c r="C466" s="65" t="inlineStr">
        <is>
          <t>00-00000859</t>
        </is>
      </c>
      <c r="D466" s="65" t="inlineStr">
        <is>
          <t>S00242</t>
        </is>
      </c>
      <c r="E466" s="65" t="inlineStr">
        <is>
          <t>Servicios de Gruas Torgil 300, c.a.</t>
        </is>
      </c>
      <c r="F466" s="63" t="inlineStr">
        <is>
          <t>434.381,37</t>
        </is>
      </c>
      <c r="G466" s="63" t="inlineStr">
        <is>
          <t>503.882,39</t>
        </is>
      </c>
      <c r="H466" s="63" t="inlineStr">
        <is>
          <t>709,99</t>
        </is>
      </c>
      <c r="I466" s="63" t="inlineStr">
        <is>
          <t>709,69</t>
        </is>
      </c>
      <c r="J466" s="65" t="n"/>
      <c r="K466" s="65" t="n">
        <v>144</v>
      </c>
      <c r="L466" s="65" t="inlineStr">
        <is>
          <t>[0144] HIDRAGLOB AW/ISO 68 (PAILA)</t>
        </is>
      </c>
      <c r="M466" s="63" t="inlineStr">
        <is>
          <t>61,21</t>
        </is>
      </c>
      <c r="N466" s="63" t="inlineStr">
        <is>
          <t>10,00</t>
        </is>
      </c>
      <c r="O466" s="63" t="inlineStr">
        <is>
          <t>0,00</t>
        </is>
      </c>
      <c r="P466" s="63" t="inlineStr">
        <is>
          <t>612,07</t>
        </is>
      </c>
      <c r="Q466" s="63" t="inlineStr">
        <is>
          <t>710,00</t>
        </is>
      </c>
    </row>
    <row r="467">
      <c r="A467" s="66" t="n">
        <v>46215</v>
      </c>
      <c r="B467" s="65" t="n">
        <v>316</v>
      </c>
      <c r="C467" s="65" t="inlineStr">
        <is>
          <t>00-00000858</t>
        </is>
      </c>
      <c r="D467" s="65" t="inlineStr">
        <is>
          <t>S00244</t>
        </is>
      </c>
      <c r="E467" s="65" t="inlineStr">
        <is>
          <t>Lubricantes BK C.A</t>
        </is>
      </c>
      <c r="F467" s="63" t="inlineStr">
        <is>
          <t>186.600,45</t>
        </is>
      </c>
      <c r="G467" s="63" t="inlineStr">
        <is>
          <t>216.456,52</t>
        </is>
      </c>
      <c r="H467" s="63" t="inlineStr">
        <is>
          <t>304,98</t>
        </is>
      </c>
      <c r="I467" s="63" t="inlineStr">
        <is>
          <t>709,69</t>
        </is>
      </c>
      <c r="J467" s="65" t="n"/>
      <c r="K467" s="65" t="n">
        <v>602</v>
      </c>
      <c r="L467" s="65" t="inlineStr">
        <is>
          <t>[0602] SINOCO SAE 50 (PAILA)</t>
        </is>
      </c>
      <c r="M467" s="63" t="inlineStr">
        <is>
          <t>62,93</t>
        </is>
      </c>
      <c r="N467" s="63" t="inlineStr">
        <is>
          <t>1,00</t>
        </is>
      </c>
      <c r="O467" s="63" t="inlineStr">
        <is>
          <t>0,00</t>
        </is>
      </c>
      <c r="P467" s="63" t="inlineStr">
        <is>
          <t>62,93</t>
        </is>
      </c>
      <c r="Q467" s="63" t="inlineStr">
        <is>
          <t>73,00</t>
        </is>
      </c>
    </row>
    <row r="468">
      <c r="A468" s="65" t="n"/>
      <c r="B468" s="65" t="n"/>
      <c r="C468" s="65" t="n"/>
      <c r="D468" s="65" t="n"/>
      <c r="E468" s="65" t="n"/>
      <c r="F468" s="65" t="n"/>
      <c r="G468" s="65" t="n"/>
      <c r="H468" s="65" t="n"/>
      <c r="I468" s="65" t="n"/>
      <c r="J468" s="65" t="n"/>
      <c r="K468" s="65" t="n">
        <v>605</v>
      </c>
      <c r="L468" s="65" t="inlineStr">
        <is>
          <t>[0605] SINOCO SAE 20W-50 (PAILA)</t>
        </is>
      </c>
      <c r="M468" s="63" t="inlineStr">
        <is>
          <t>62,93</t>
        </is>
      </c>
      <c r="N468" s="63" t="inlineStr">
        <is>
          <t>1,00</t>
        </is>
      </c>
      <c r="O468" s="63" t="inlineStr">
        <is>
          <t>0,00</t>
        </is>
      </c>
      <c r="P468" s="63" t="inlineStr">
        <is>
          <t>62,93</t>
        </is>
      </c>
      <c r="Q468" s="63" t="inlineStr">
        <is>
          <t>73,00</t>
        </is>
      </c>
    </row>
    <row r="469">
      <c r="A469" s="65" t="n"/>
      <c r="B469" s="65" t="n"/>
      <c r="C469" s="65" t="n"/>
      <c r="D469" s="65" t="n"/>
      <c r="E469" s="65" t="n"/>
      <c r="F469" s="65" t="n"/>
      <c r="G469" s="65" t="n"/>
      <c r="H469" s="65" t="n"/>
      <c r="I469" s="65" t="n"/>
      <c r="J469" s="65" t="n"/>
      <c r="K469" s="65" t="n">
        <v>779</v>
      </c>
      <c r="L469" s="65" t="inlineStr">
        <is>
          <t>[0779] SINOCO SAE 20W-50 (1x12)</t>
        </is>
      </c>
      <c r="M469" s="63" t="inlineStr">
        <is>
          <t>45,69</t>
        </is>
      </c>
      <c r="N469" s="63" t="inlineStr">
        <is>
          <t>3,00</t>
        </is>
      </c>
      <c r="O469" s="63" t="inlineStr">
        <is>
          <t>0,00</t>
        </is>
      </c>
      <c r="P469" s="63" t="inlineStr">
        <is>
          <t>137,07</t>
        </is>
      </c>
      <c r="Q469" s="63" t="inlineStr">
        <is>
          <t>159,00</t>
        </is>
      </c>
    </row>
    <row r="470">
      <c r="A470" s="66" t="n">
        <v>46215</v>
      </c>
      <c r="B470" s="65" t="n">
        <v>315</v>
      </c>
      <c r="C470" s="65" t="inlineStr">
        <is>
          <t>00-00000857</t>
        </is>
      </c>
      <c r="D470" s="65" t="inlineStr">
        <is>
          <t>S00248</t>
        </is>
      </c>
      <c r="E470" s="65" t="inlineStr">
        <is>
          <t>Abraham almenar</t>
        </is>
      </c>
      <c r="F470" s="63" t="inlineStr">
        <is>
          <t>41.602,72</t>
        </is>
      </c>
      <c r="G470" s="63" t="inlineStr">
        <is>
          <t>48.259,16</t>
        </is>
      </c>
      <c r="H470" s="63" t="inlineStr">
        <is>
          <t>67,99</t>
        </is>
      </c>
      <c r="I470" s="63" t="inlineStr">
        <is>
          <t>709,69</t>
        </is>
      </c>
      <c r="J470" s="65" t="n">
        <v>387</v>
      </c>
      <c r="K470" s="65" t="n">
        <v>887</v>
      </c>
      <c r="L470" s="65" t="inlineStr">
        <is>
          <t>[0887] MOTOCLASICO 4T SAE 20W-50 (1x12)</t>
        </is>
      </c>
      <c r="M470" s="63" t="inlineStr">
        <is>
          <t>58,62</t>
        </is>
      </c>
      <c r="N470" s="63" t="inlineStr">
        <is>
          <t>1,00</t>
        </is>
      </c>
      <c r="O470" s="63" t="inlineStr">
        <is>
          <t>0,00</t>
        </is>
      </c>
      <c r="P470" s="63" t="inlineStr">
        <is>
          <t>58,62</t>
        </is>
      </c>
      <c r="Q470" s="63" t="inlineStr">
        <is>
          <t>68,00</t>
        </is>
      </c>
    </row>
    <row r="471">
      <c r="A471" s="65" t="n"/>
      <c r="B471" s="65" t="n"/>
      <c r="C471" s="65" t="n"/>
      <c r="D471" s="65" t="n"/>
      <c r="E471" s="65" t="n"/>
      <c r="F471" s="65" t="n"/>
      <c r="G471" s="65" t="n"/>
      <c r="H471" s="65" t="n"/>
      <c r="I471" s="65" t="n"/>
      <c r="J471" s="65" t="n">
        <v>575</v>
      </c>
      <c r="K471" s="65" t="n"/>
      <c r="L471" s="65" t="n"/>
      <c r="M471" s="65" t="n"/>
      <c r="N471" s="65" t="n"/>
      <c r="O471" s="65" t="n"/>
      <c r="P471" s="65" t="n"/>
      <c r="Q471" s="65" t="n"/>
    </row>
    <row r="472">
      <c r="A472" s="65" t="n"/>
      <c r="B472" s="65" t="n"/>
      <c r="C472" s="65" t="n"/>
      <c r="D472" s="65" t="n"/>
      <c r="E472" s="65" t="n"/>
      <c r="F472" s="65" t="n"/>
      <c r="G472" s="65" t="n"/>
      <c r="H472" s="65" t="n"/>
      <c r="I472" s="65" t="n"/>
      <c r="J472" s="65" t="n">
        <v>778</v>
      </c>
      <c r="K472" s="65" t="n"/>
      <c r="L472" s="65" t="n"/>
      <c r="M472" s="65" t="n"/>
      <c r="N472" s="65" t="n"/>
      <c r="O472" s="65" t="n"/>
      <c r="P472" s="65" t="n"/>
      <c r="Q472" s="65" t="n"/>
    </row>
    <row r="473">
      <c r="A473" s="66" t="n">
        <v>46215</v>
      </c>
      <c r="B473" s="65" t="n">
        <v>314</v>
      </c>
      <c r="C473" s="65" t="inlineStr">
        <is>
          <t>00-00000856</t>
        </is>
      </c>
      <c r="D473" s="65" t="inlineStr">
        <is>
          <t>S00249</t>
        </is>
      </c>
      <c r="E473" s="65" t="inlineStr">
        <is>
          <t>Comercializadora Dimon c.a</t>
        </is>
      </c>
      <c r="F473" s="63" t="inlineStr">
        <is>
          <t>314.467,64</t>
        </is>
      </c>
      <c r="G473" s="63" t="inlineStr">
        <is>
          <t>364.782,47</t>
        </is>
      </c>
      <c r="H473" s="63" t="inlineStr">
        <is>
          <t>513,98</t>
        </is>
      </c>
      <c r="I473" s="63" t="inlineStr">
        <is>
          <t>709,69</t>
        </is>
      </c>
      <c r="J473" s="65" t="n"/>
      <c r="K473" s="65" t="n">
        <v>602</v>
      </c>
      <c r="L473" s="65" t="inlineStr">
        <is>
          <t>[0602] SINOCO SAE 50 (PAILA)</t>
        </is>
      </c>
      <c r="M473" s="63" t="inlineStr">
        <is>
          <t>62,93</t>
        </is>
      </c>
      <c r="N473" s="63" t="inlineStr">
        <is>
          <t>3,00</t>
        </is>
      </c>
      <c r="O473" s="63" t="inlineStr">
        <is>
          <t>0,00</t>
        </is>
      </c>
      <c r="P473" s="63" t="inlineStr">
        <is>
          <t>188,79</t>
        </is>
      </c>
      <c r="Q473" s="63" t="inlineStr">
        <is>
          <t>219,00</t>
        </is>
      </c>
    </row>
    <row r="474">
      <c r="A474" s="65" t="n"/>
      <c r="B474" s="65" t="n"/>
      <c r="C474" s="65" t="n"/>
      <c r="D474" s="65" t="n"/>
      <c r="E474" s="65" t="n"/>
      <c r="F474" s="65" t="n"/>
      <c r="G474" s="65" t="n"/>
      <c r="H474" s="65" t="n"/>
      <c r="I474" s="65" t="n"/>
      <c r="J474" s="65" t="n"/>
      <c r="K474" s="65" t="n">
        <v>605</v>
      </c>
      <c r="L474" s="65" t="inlineStr">
        <is>
          <t>[0605] SINOCO SAE 20W-50 (PAILA)</t>
        </is>
      </c>
      <c r="M474" s="63" t="inlineStr">
        <is>
          <t>62,93</t>
        </is>
      </c>
      <c r="N474" s="63" t="inlineStr">
        <is>
          <t>3,00</t>
        </is>
      </c>
      <c r="O474" s="63" t="inlineStr">
        <is>
          <t>0,00</t>
        </is>
      </c>
      <c r="P474" s="63" t="inlineStr">
        <is>
          <t>188,79</t>
        </is>
      </c>
      <c r="Q474" s="63" t="inlineStr">
        <is>
          <t>219,00</t>
        </is>
      </c>
    </row>
    <row r="475">
      <c r="A475" s="65" t="n"/>
      <c r="B475" s="65" t="n"/>
      <c r="C475" s="65" t="n"/>
      <c r="D475" s="65" t="n"/>
      <c r="E475" s="65" t="n"/>
      <c r="F475" s="65" t="n"/>
      <c r="G475" s="65" t="n"/>
      <c r="H475" s="65" t="n"/>
      <c r="I475" s="65" t="n"/>
      <c r="J475" s="65" t="n"/>
      <c r="K475" s="65" t="n">
        <v>877</v>
      </c>
      <c r="L475" s="65" t="inlineStr">
        <is>
          <t>[0877] SS EXTRA PROTECCION API SN SAE 15W-40 (1X12)</t>
        </is>
      </c>
      <c r="M475" s="63" t="inlineStr">
        <is>
          <t>65,52</t>
        </is>
      </c>
      <c r="N475" s="63" t="inlineStr">
        <is>
          <t>1,00</t>
        </is>
      </c>
      <c r="O475" s="63" t="inlineStr">
        <is>
          <t>0,00</t>
        </is>
      </c>
      <c r="P475" s="63" t="inlineStr">
        <is>
          <t>65,52</t>
        </is>
      </c>
      <c r="Q475" s="63" t="inlineStr">
        <is>
          <t>76,00</t>
        </is>
      </c>
    </row>
    <row r="476">
      <c r="A476" s="66" t="n">
        <v>46215</v>
      </c>
      <c r="B476" s="65" t="n">
        <v>313</v>
      </c>
      <c r="C476" s="65" t="inlineStr">
        <is>
          <t>00-00000855</t>
        </is>
      </c>
      <c r="D476" s="65" t="inlineStr">
        <is>
          <t>S00250</t>
        </is>
      </c>
      <c r="E476" s="65" t="inlineStr">
        <is>
          <t>EMPRENDIMIENTO MANUEL GÓMEZ 6</t>
        </is>
      </c>
      <c r="F476" s="63" t="inlineStr">
        <is>
          <t>41.602,72</t>
        </is>
      </c>
      <c r="G476" s="63" t="inlineStr">
        <is>
          <t>48.259,16</t>
        </is>
      </c>
      <c r="H476" s="63" t="inlineStr">
        <is>
          <t>67,99</t>
        </is>
      </c>
      <c r="I476" s="63" t="inlineStr">
        <is>
          <t>709,69</t>
        </is>
      </c>
      <c r="J476" s="65" t="n"/>
      <c r="K476" s="65" t="n">
        <v>887</v>
      </c>
      <c r="L476" s="65" t="inlineStr">
        <is>
          <t>[0887] MOTOCLASICO 4T SAE 20W-50 (1x12)</t>
        </is>
      </c>
      <c r="M476" s="63" t="inlineStr">
        <is>
          <t>58,62</t>
        </is>
      </c>
      <c r="N476" s="63" t="inlineStr">
        <is>
          <t>1,00</t>
        </is>
      </c>
      <c r="O476" s="63" t="inlineStr">
        <is>
          <t>0,00</t>
        </is>
      </c>
      <c r="P476" s="63" t="inlineStr">
        <is>
          <t>58,62</t>
        </is>
      </c>
      <c r="Q476" s="63" t="inlineStr">
        <is>
          <t>68,00</t>
        </is>
      </c>
    </row>
    <row r="477">
      <c r="A477" s="66" t="n">
        <v>46215</v>
      </c>
      <c r="B477" s="65" t="n">
        <v>312</v>
      </c>
      <c r="C477" s="65" t="inlineStr">
        <is>
          <t>00-00000854</t>
        </is>
      </c>
      <c r="D477" s="65" t="inlineStr">
        <is>
          <t>S00257</t>
        </is>
      </c>
      <c r="E477" s="65" t="inlineStr">
        <is>
          <t>AUTOREPUESTOS SION C.A.</t>
        </is>
      </c>
      <c r="F477" s="63" t="inlineStr">
        <is>
          <t>126.031,78</t>
        </is>
      </c>
      <c r="G477" s="63" t="inlineStr">
        <is>
          <t>146.196,87</t>
        </is>
      </c>
      <c r="H477" s="63" t="inlineStr">
        <is>
          <t>205,98</t>
        </is>
      </c>
      <c r="I477" s="63" t="inlineStr">
        <is>
          <t>709,69</t>
        </is>
      </c>
      <c r="J477" s="65" t="n">
        <v>173</v>
      </c>
      <c r="K477" s="65" t="n">
        <v>881</v>
      </c>
      <c r="L477" s="65" t="inlineStr">
        <is>
          <t>[0881] CLASICO API SL SAE 20W-50 (1x12)</t>
        </is>
      </c>
      <c r="M477" s="63" t="inlineStr">
        <is>
          <t>56,03</t>
        </is>
      </c>
      <c r="N477" s="63" t="inlineStr">
        <is>
          <t>1,00</t>
        </is>
      </c>
      <c r="O477" s="63" t="inlineStr">
        <is>
          <t>0,00</t>
        </is>
      </c>
      <c r="P477" s="63" t="inlineStr">
        <is>
          <t>56,03</t>
        </is>
      </c>
      <c r="Q477" s="63" t="inlineStr">
        <is>
          <t>65,00</t>
        </is>
      </c>
    </row>
    <row r="478">
      <c r="A478" s="65" t="n"/>
      <c r="B478" s="65" t="n"/>
      <c r="C478" s="65" t="n"/>
      <c r="D478" s="65" t="n"/>
      <c r="E478" s="65" t="n"/>
      <c r="F478" s="65" t="n"/>
      <c r="G478" s="65" t="n"/>
      <c r="H478" s="65" t="n"/>
      <c r="I478" s="65" t="n"/>
      <c r="J478" s="65" t="n">
        <v>565</v>
      </c>
      <c r="K478" s="65" t="n"/>
      <c r="L478" s="65" t="n"/>
      <c r="M478" s="65" t="n"/>
      <c r="N478" s="65" t="n"/>
      <c r="O478" s="65" t="n"/>
      <c r="P478" s="65" t="n"/>
      <c r="Q478" s="65" t="n"/>
    </row>
    <row r="479">
      <c r="A479" s="65" t="n"/>
      <c r="B479" s="65" t="n"/>
      <c r="C479" s="65" t="n"/>
      <c r="D479" s="65" t="n"/>
      <c r="E479" s="65" t="n"/>
      <c r="F479" s="65" t="n"/>
      <c r="G479" s="65" t="n"/>
      <c r="H479" s="65" t="n"/>
      <c r="I479" s="65" t="n"/>
      <c r="J479" s="65" t="n">
        <v>791</v>
      </c>
      <c r="K479" s="65" t="n"/>
      <c r="L479" s="65" t="n"/>
      <c r="M479" s="65" t="n"/>
      <c r="N479" s="65" t="n"/>
      <c r="O479" s="65" t="n"/>
      <c r="P479" s="65" t="n"/>
      <c r="Q479" s="65" t="n"/>
    </row>
    <row r="480">
      <c r="A480" s="65" t="n"/>
      <c r="B480" s="65" t="n"/>
      <c r="C480" s="65" t="n"/>
      <c r="D480" s="65" t="n"/>
      <c r="E480" s="65" t="n"/>
      <c r="F480" s="65" t="n"/>
      <c r="G480" s="65" t="n"/>
      <c r="H480" s="65" t="n"/>
      <c r="I480" s="65" t="n"/>
      <c r="J480" s="65" t="n"/>
      <c r="K480" s="65" t="n">
        <v>880</v>
      </c>
      <c r="L480" s="65" t="inlineStr">
        <is>
          <t>[0880] CLASICO API SL SAE 15W-40 (1x12)</t>
        </is>
      </c>
      <c r="M480" s="63" t="inlineStr">
        <is>
          <t>56,03</t>
        </is>
      </c>
      <c r="N480" s="63" t="inlineStr">
        <is>
          <t>1,00</t>
        </is>
      </c>
      <c r="O480" s="63" t="inlineStr">
        <is>
          <t>0,00</t>
        </is>
      </c>
      <c r="P480" s="63" t="inlineStr">
        <is>
          <t>56,03</t>
        </is>
      </c>
      <c r="Q480" s="63" t="inlineStr">
        <is>
          <t>65,00</t>
        </is>
      </c>
    </row>
    <row r="481">
      <c r="A481" s="65" t="n"/>
      <c r="B481" s="65" t="n"/>
      <c r="C481" s="65" t="n"/>
      <c r="D481" s="65" t="n"/>
      <c r="E481" s="65" t="n"/>
      <c r="F481" s="65" t="n"/>
      <c r="G481" s="65" t="n"/>
      <c r="H481" s="65" t="n"/>
      <c r="I481" s="65" t="n"/>
      <c r="J481" s="65" t="n"/>
      <c r="K481" s="65" t="n">
        <v>877</v>
      </c>
      <c r="L481" s="65" t="inlineStr">
        <is>
          <t>[0877] SS EXTRA PROTECCION API SN SAE 15W-40 (1X12)</t>
        </is>
      </c>
      <c r="M481" s="63" t="inlineStr">
        <is>
          <t>65,52</t>
        </is>
      </c>
      <c r="N481" s="63" t="inlineStr">
        <is>
          <t>1,00</t>
        </is>
      </c>
      <c r="O481" s="63" t="inlineStr">
        <is>
          <t>0,00</t>
        </is>
      </c>
      <c r="P481" s="63" t="inlineStr">
        <is>
          <t>65,52</t>
        </is>
      </c>
      <c r="Q481" s="63" t="inlineStr">
        <is>
          <t>76,00</t>
        </is>
      </c>
    </row>
    <row r="482">
      <c r="A482" s="66" t="n">
        <v>46215</v>
      </c>
      <c r="B482" s="65" t="n">
        <v>311</v>
      </c>
      <c r="C482" s="65" t="inlineStr">
        <is>
          <t>00-00000853</t>
        </is>
      </c>
      <c r="D482" s="65" t="inlineStr">
        <is>
          <t>S00264</t>
        </is>
      </c>
      <c r="E482" s="65" t="inlineStr">
        <is>
          <t>Inversiones Los compadres 7686, c.a.</t>
        </is>
      </c>
      <c r="F482" s="63" t="inlineStr">
        <is>
          <t>88.099,88</t>
        </is>
      </c>
      <c r="G482" s="63" t="inlineStr">
        <is>
          <t>102.195,86</t>
        </is>
      </c>
      <c r="H482" s="63" t="inlineStr">
        <is>
          <t>143,99</t>
        </is>
      </c>
      <c r="I482" s="63" t="inlineStr">
        <is>
          <t>709,69</t>
        </is>
      </c>
      <c r="J482" s="65" t="n"/>
      <c r="K482" s="65" t="n">
        <v>884</v>
      </c>
      <c r="L482" s="65" t="inlineStr">
        <is>
          <t>[0884] TRANSMATIC ATF DEXRON III (1x12)</t>
        </is>
      </c>
      <c r="M482" s="63" t="inlineStr">
        <is>
          <t>62,07</t>
        </is>
      </c>
      <c r="N482" s="63" t="inlineStr">
        <is>
          <t>2,00</t>
        </is>
      </c>
      <c r="O482" s="63" t="inlineStr">
        <is>
          <t>0,00</t>
        </is>
      </c>
      <c r="P482" s="63" t="inlineStr">
        <is>
          <t>124,14</t>
        </is>
      </c>
      <c r="Q482" s="63" t="inlineStr">
        <is>
          <t>144,00</t>
        </is>
      </c>
    </row>
    <row r="483">
      <c r="A483" s="66" t="n">
        <v>46215</v>
      </c>
      <c r="B483" s="65" t="n">
        <v>310</v>
      </c>
      <c r="C483" s="65" t="inlineStr">
        <is>
          <t>00-00000852</t>
        </is>
      </c>
      <c r="D483" s="65" t="inlineStr">
        <is>
          <t>S00265</t>
        </is>
      </c>
      <c r="E483" s="65" t="inlineStr">
        <is>
          <t>Repuestos Guia Dios Nuestro Camino,c.a.</t>
        </is>
      </c>
      <c r="F483" s="63" t="inlineStr">
        <is>
          <t>107.677,63</t>
        </is>
      </c>
      <c r="G483" s="63" t="inlineStr">
        <is>
          <t>124.906,05</t>
        </is>
      </c>
      <c r="H483" s="63" t="inlineStr">
        <is>
          <t>175,98</t>
        </is>
      </c>
      <c r="I483" s="63" t="inlineStr">
        <is>
          <t>709,69</t>
        </is>
      </c>
      <c r="J483" s="65" t="n"/>
      <c r="K483" s="65" t="n">
        <v>881</v>
      </c>
      <c r="L483" s="65" t="inlineStr">
        <is>
          <t>[0881] CLASICO API SL SAE 20W-50 (1x12)</t>
        </is>
      </c>
      <c r="M483" s="63" t="inlineStr">
        <is>
          <t>56,03</t>
        </is>
      </c>
      <c r="N483" s="63" t="inlineStr">
        <is>
          <t>1,00</t>
        </is>
      </c>
      <c r="O483" s="63" t="inlineStr">
        <is>
          <t>0,00</t>
        </is>
      </c>
      <c r="P483" s="63" t="inlineStr">
        <is>
          <t>56,03</t>
        </is>
      </c>
      <c r="Q483" s="63" t="inlineStr">
        <is>
          <t>65,00</t>
        </is>
      </c>
    </row>
    <row r="484">
      <c r="A484" s="65" t="n"/>
      <c r="B484" s="65" t="n"/>
      <c r="C484" s="65" t="n"/>
      <c r="D484" s="65" t="n"/>
      <c r="E484" s="65" t="n"/>
      <c r="F484" s="65" t="n"/>
      <c r="G484" s="65" t="n"/>
      <c r="H484" s="65" t="n"/>
      <c r="I484" s="65" t="n"/>
      <c r="J484" s="65" t="n"/>
      <c r="K484" s="65" t="n">
        <v>884</v>
      </c>
      <c r="L484" s="65" t="inlineStr">
        <is>
          <t>[0884] TRANSMATIC ATF DEXRON III (1x12)</t>
        </is>
      </c>
      <c r="M484" s="63" t="inlineStr">
        <is>
          <t>62,07</t>
        </is>
      </c>
      <c r="N484" s="63" t="inlineStr">
        <is>
          <t>1,00</t>
        </is>
      </c>
      <c r="O484" s="63" t="inlineStr">
        <is>
          <t>0,00</t>
        </is>
      </c>
      <c r="P484" s="63" t="inlineStr">
        <is>
          <t>62,07</t>
        </is>
      </c>
      <c r="Q484" s="63" t="inlineStr">
        <is>
          <t>72,00</t>
        </is>
      </c>
    </row>
    <row r="485">
      <c r="A485" s="65" t="n"/>
      <c r="B485" s="65" t="n"/>
      <c r="C485" s="65" t="n"/>
      <c r="D485" s="65" t="n"/>
      <c r="E485" s="65" t="n"/>
      <c r="F485" s="65" t="n"/>
      <c r="G485" s="65" t="n"/>
      <c r="H485" s="65" t="n"/>
      <c r="I485" s="65" t="n"/>
      <c r="J485" s="65" t="n"/>
      <c r="K485" s="65" t="n">
        <v>121</v>
      </c>
      <c r="L485" s="65" t="inlineStr">
        <is>
          <t>[0121] TRANSGLOB API GL-5 SAE 80W-90 (1x6)</t>
        </is>
      </c>
      <c r="M485" s="63" t="inlineStr">
        <is>
          <t>33,62</t>
        </is>
      </c>
      <c r="N485" s="63" t="inlineStr">
        <is>
          <t>1,00</t>
        </is>
      </c>
      <c r="O485" s="63" t="inlineStr">
        <is>
          <t>0,00</t>
        </is>
      </c>
      <c r="P485" s="63" t="inlineStr">
        <is>
          <t>33,62</t>
        </is>
      </c>
      <c r="Q485" s="63" t="inlineStr">
        <is>
          <t>39,00</t>
        </is>
      </c>
    </row>
    <row r="486">
      <c r="A486" s="66" t="n">
        <v>46215</v>
      </c>
      <c r="B486" s="65" t="n">
        <v>309</v>
      </c>
      <c r="C486" s="65" t="inlineStr">
        <is>
          <t>00-00000851</t>
        </is>
      </c>
      <c r="D486" s="65" t="inlineStr">
        <is>
          <t>S00279</t>
        </is>
      </c>
      <c r="E486" s="65" t="inlineStr">
        <is>
          <t>Anthony Jose Quijada Diaz.</t>
        </is>
      </c>
      <c r="F486" s="63" t="inlineStr">
        <is>
          <t>85.650,71</t>
        </is>
      </c>
      <c r="G486" s="63" t="inlineStr">
        <is>
          <t>99.354,82</t>
        </is>
      </c>
      <c r="H486" s="63" t="inlineStr">
        <is>
          <t>139,98</t>
        </is>
      </c>
      <c r="I486" s="63" t="inlineStr">
        <is>
          <t>709,69</t>
        </is>
      </c>
      <c r="J486" s="65" t="n">
        <v>200</v>
      </c>
      <c r="K486" s="65" t="n">
        <v>884</v>
      </c>
      <c r="L486" s="65" t="inlineStr">
        <is>
          <t>[0884] TRANSMATIC ATF DEXRON III (1x12)</t>
        </is>
      </c>
      <c r="M486" s="63" t="inlineStr">
        <is>
          <t>62,07</t>
        </is>
      </c>
      <c r="N486" s="63" t="inlineStr">
        <is>
          <t>2,00</t>
        </is>
      </c>
      <c r="O486" s="63" t="inlineStr">
        <is>
          <t>2,78</t>
        </is>
      </c>
      <c r="P486" s="63" t="inlineStr">
        <is>
          <t>120,69</t>
        </is>
      </c>
      <c r="Q486" s="63" t="inlineStr">
        <is>
          <t>140,00</t>
        </is>
      </c>
    </row>
    <row r="487">
      <c r="A487" s="66" t="n">
        <v>46215</v>
      </c>
      <c r="B487" s="65" t="n">
        <v>308</v>
      </c>
      <c r="C487" s="65" t="inlineStr">
        <is>
          <t>00-00000850</t>
        </is>
      </c>
      <c r="D487" s="65" t="inlineStr">
        <is>
          <t>S00285</t>
        </is>
      </c>
      <c r="E487" s="65" t="inlineStr">
        <is>
          <t>Inversiones Air Brakes, C.A</t>
        </is>
      </c>
      <c r="F487" s="63" t="inlineStr">
        <is>
          <t>45.883,40</t>
        </is>
      </c>
      <c r="G487" s="63" t="inlineStr">
        <is>
          <t>53.224,75</t>
        </is>
      </c>
      <c r="H487" s="63" t="inlineStr">
        <is>
          <t>74,98</t>
        </is>
      </c>
      <c r="I487" s="63" t="inlineStr">
        <is>
          <t>709,69</t>
        </is>
      </c>
      <c r="J487" s="65" t="n"/>
      <c r="K487" s="65" t="n">
        <v>761</v>
      </c>
      <c r="L487" s="65" t="inlineStr">
        <is>
          <t>[0761] LIGA PARA FRENOS DOT-3 (1x12)</t>
        </is>
      </c>
      <c r="M487" s="63" t="inlineStr">
        <is>
          <t>23,28</t>
        </is>
      </c>
      <c r="N487" s="63" t="inlineStr">
        <is>
          <t>1,00</t>
        </is>
      </c>
      <c r="O487" s="63" t="inlineStr">
        <is>
          <t>1,32</t>
        </is>
      </c>
      <c r="P487" s="63" t="inlineStr">
        <is>
          <t>22,97</t>
        </is>
      </c>
      <c r="Q487" s="63" t="inlineStr">
        <is>
          <t>26,64</t>
        </is>
      </c>
    </row>
    <row r="488">
      <c r="A488" s="65" t="n"/>
      <c r="B488" s="65" t="n"/>
      <c r="C488" s="65" t="n"/>
      <c r="D488" s="65" t="n"/>
      <c r="E488" s="65" t="n"/>
      <c r="F488" s="65" t="n"/>
      <c r="G488" s="65" t="n"/>
      <c r="H488" s="65" t="n"/>
      <c r="I488" s="65" t="n"/>
      <c r="J488" s="65" t="n"/>
      <c r="K488" s="65" t="n">
        <v>774</v>
      </c>
      <c r="L488" s="65" t="inlineStr">
        <is>
          <t>[0774] LIGA PARA FRENOS DOT-4 (1X6)</t>
        </is>
      </c>
      <c r="M488" s="63" t="inlineStr">
        <is>
          <t>42,24</t>
        </is>
      </c>
      <c r="N488" s="63" t="inlineStr">
        <is>
          <t>1,00</t>
        </is>
      </c>
      <c r="O488" s="63" t="inlineStr">
        <is>
          <t>1,32</t>
        </is>
      </c>
      <c r="P488" s="63" t="inlineStr">
        <is>
          <t>41,68</t>
        </is>
      </c>
      <c r="Q488" s="63" t="inlineStr">
        <is>
          <t>48,35</t>
        </is>
      </c>
    </row>
    <row r="489">
      <c r="A489" s="66" t="n">
        <v>46215</v>
      </c>
      <c r="B489" s="65" t="n">
        <v>307</v>
      </c>
      <c r="C489" s="65" t="inlineStr">
        <is>
          <t>00-00000849</t>
        </is>
      </c>
      <c r="D489" s="65" t="inlineStr">
        <is>
          <t>S00292</t>
        </is>
      </c>
      <c r="E489" s="65" t="inlineStr">
        <is>
          <t>Jefferson rosales</t>
        </is>
      </c>
      <c r="F489" s="63" t="inlineStr">
        <is>
          <t>24.471,33</t>
        </is>
      </c>
      <c r="G489" s="63" t="inlineStr">
        <is>
          <t>28.386,74</t>
        </is>
      </c>
      <c r="H489" s="63" t="inlineStr">
        <is>
          <t>39,99</t>
        </is>
      </c>
      <c r="I489" s="63" t="inlineStr">
        <is>
          <t>709,69</t>
        </is>
      </c>
      <c r="J489" s="65" t="n"/>
      <c r="K489" s="65" t="n">
        <v>762</v>
      </c>
      <c r="L489" s="65" t="inlineStr">
        <is>
          <t>[0762] LIGA PARA FRENOS DOT-3 (1x6)</t>
        </is>
      </c>
      <c r="M489" s="63" t="inlineStr">
        <is>
          <t>37,07</t>
        </is>
      </c>
      <c r="N489" s="63" t="inlineStr">
        <is>
          <t>1,00</t>
        </is>
      </c>
      <c r="O489" s="63" t="inlineStr">
        <is>
          <t>6,98</t>
        </is>
      </c>
      <c r="P489" s="63" t="inlineStr">
        <is>
          <t>34,48</t>
        </is>
      </c>
      <c r="Q489" s="63" t="inlineStr">
        <is>
          <t>40,00</t>
        </is>
      </c>
    </row>
    <row r="490">
      <c r="A490" s="66" t="n">
        <v>46215</v>
      </c>
      <c r="B490" s="65" t="n">
        <v>306</v>
      </c>
      <c r="C490" s="65" t="inlineStr">
        <is>
          <t>00-00000848</t>
        </is>
      </c>
      <c r="D490" s="65" t="inlineStr">
        <is>
          <t>S00295</t>
        </is>
      </c>
      <c r="E490" s="65" t="inlineStr">
        <is>
          <t>MOTOS Y REPUESTOS DOS RUEDAS, C.A.</t>
        </is>
      </c>
      <c r="F490" s="63" t="inlineStr">
        <is>
          <t>46.497,16</t>
        </is>
      </c>
      <c r="G490" s="63" t="inlineStr">
        <is>
          <t>53.936,71</t>
        </is>
      </c>
      <c r="H490" s="63" t="inlineStr">
        <is>
          <t>75,99</t>
        </is>
      </c>
      <c r="I490" s="63" t="inlineStr">
        <is>
          <t>709,69</t>
        </is>
      </c>
      <c r="J490" s="65" t="n"/>
      <c r="K490" s="65" t="n">
        <v>761</v>
      </c>
      <c r="L490" s="65" t="inlineStr">
        <is>
          <t>[0761] LIGA PARA FRENOS DOT-3 (1x12)</t>
        </is>
      </c>
      <c r="M490" s="63" t="inlineStr">
        <is>
          <t>23,28</t>
        </is>
      </c>
      <c r="N490" s="63" t="inlineStr">
        <is>
          <t>1,00</t>
        </is>
      </c>
      <c r="O490" s="63" t="inlineStr">
        <is>
          <t>0,00</t>
        </is>
      </c>
      <c r="P490" s="63" t="inlineStr">
        <is>
          <t>23,28</t>
        </is>
      </c>
      <c r="Q490" s="63" t="inlineStr">
        <is>
          <t>27,00</t>
        </is>
      </c>
    </row>
    <row r="491">
      <c r="A491" s="65" t="n"/>
      <c r="B491" s="65" t="n"/>
      <c r="C491" s="65" t="n"/>
      <c r="D491" s="65" t="n"/>
      <c r="E491" s="65" t="n"/>
      <c r="F491" s="65" t="n"/>
      <c r="G491" s="65" t="n"/>
      <c r="H491" s="65" t="n"/>
      <c r="I491" s="65" t="n"/>
      <c r="J491" s="65" t="n"/>
      <c r="K491" s="65" t="n">
        <v>774</v>
      </c>
      <c r="L491" s="65" t="inlineStr">
        <is>
          <t>[0774] LIGA PARA FRENOS DOT-4 (1X6)</t>
        </is>
      </c>
      <c r="M491" s="63" t="inlineStr">
        <is>
          <t>42,24</t>
        </is>
      </c>
      <c r="N491" s="63" t="inlineStr">
        <is>
          <t>1,00</t>
        </is>
      </c>
      <c r="O491" s="63" t="inlineStr">
        <is>
          <t>0,00</t>
        </is>
      </c>
      <c r="P491" s="63" t="inlineStr">
        <is>
          <t>42,24</t>
        </is>
      </c>
      <c r="Q491" s="63" t="inlineStr">
        <is>
          <t>49,00</t>
        </is>
      </c>
    </row>
    <row r="492">
      <c r="A492" s="66" t="n">
        <v>46215</v>
      </c>
      <c r="B492" s="65" t="n">
        <v>305</v>
      </c>
      <c r="C492" s="65" t="inlineStr">
        <is>
          <t>00-00000847</t>
        </is>
      </c>
      <c r="D492" s="65" t="inlineStr">
        <is>
          <t>S00298</t>
        </is>
      </c>
      <c r="E492" s="65" t="inlineStr">
        <is>
          <t>Inversiones Brayan CT C.A</t>
        </is>
      </c>
      <c r="F492" s="63" t="inlineStr">
        <is>
          <t>113.183,87</t>
        </is>
      </c>
      <c r="G492" s="63" t="inlineStr">
        <is>
          <t>131.293,29</t>
        </is>
      </c>
      <c r="H492" s="63" t="inlineStr">
        <is>
          <t>184,98</t>
        </is>
      </c>
      <c r="I492" s="63" t="inlineStr">
        <is>
          <t>709,69</t>
        </is>
      </c>
      <c r="J492" s="65" t="n"/>
      <c r="K492" s="65" t="n">
        <v>121</v>
      </c>
      <c r="L492" s="65" t="inlineStr">
        <is>
          <t>[0121] TRANSGLOB API GL-5 SAE 80W-90 (1x6)</t>
        </is>
      </c>
      <c r="M492" s="63" t="inlineStr">
        <is>
          <t>33,62</t>
        </is>
      </c>
      <c r="N492" s="63" t="inlineStr">
        <is>
          <t>1,00</t>
        </is>
      </c>
      <c r="O492" s="63" t="inlineStr">
        <is>
          <t>0,00</t>
        </is>
      </c>
      <c r="P492" s="63" t="inlineStr">
        <is>
          <t>33,62</t>
        </is>
      </c>
      <c r="Q492" s="63" t="inlineStr">
        <is>
          <t>39,00</t>
        </is>
      </c>
    </row>
    <row r="493">
      <c r="A493" s="65" t="n"/>
      <c r="B493" s="65" t="n"/>
      <c r="C493" s="65" t="n"/>
      <c r="D493" s="65" t="n"/>
      <c r="E493" s="65" t="n"/>
      <c r="F493" s="65" t="n"/>
      <c r="G493" s="65" t="n"/>
      <c r="H493" s="65" t="n"/>
      <c r="I493" s="65" t="n"/>
      <c r="J493" s="65" t="n"/>
      <c r="K493" s="65" t="n">
        <v>127</v>
      </c>
      <c r="L493" s="65" t="inlineStr">
        <is>
          <t>[0127] TRANSGLOB API GL-5 SAE 85W-140 (1x6)</t>
        </is>
      </c>
      <c r="M493" s="63" t="inlineStr">
        <is>
          <t>34,48</t>
        </is>
      </c>
      <c r="N493" s="63" t="inlineStr">
        <is>
          <t>1,00</t>
        </is>
      </c>
      <c r="O493" s="63" t="inlineStr">
        <is>
          <t>0,00</t>
        </is>
      </c>
      <c r="P493" s="63" t="inlineStr">
        <is>
          <t>34,48</t>
        </is>
      </c>
      <c r="Q493" s="63" t="inlineStr">
        <is>
          <t>40,00</t>
        </is>
      </c>
    </row>
    <row r="494">
      <c r="A494" s="65" t="n"/>
      <c r="B494" s="65" t="n"/>
      <c r="C494" s="65" t="n"/>
      <c r="D494" s="65" t="n"/>
      <c r="E494" s="65" t="n"/>
      <c r="F494" s="65" t="n"/>
      <c r="G494" s="65" t="n"/>
      <c r="H494" s="65" t="n"/>
      <c r="I494" s="65" t="n"/>
      <c r="J494" s="65" t="n"/>
      <c r="K494" s="65" t="n">
        <v>779</v>
      </c>
      <c r="L494" s="65" t="inlineStr">
        <is>
          <t>[0779] SINOCO SAE 20W-50 (1x12)</t>
        </is>
      </c>
      <c r="M494" s="63" t="inlineStr">
        <is>
          <t>45,69</t>
        </is>
      </c>
      <c r="N494" s="63" t="inlineStr">
        <is>
          <t>2,00</t>
        </is>
      </c>
      <c r="O494" s="63" t="inlineStr">
        <is>
          <t>0,00</t>
        </is>
      </c>
      <c r="P494" s="63" t="inlineStr">
        <is>
          <t>91,38</t>
        </is>
      </c>
      <c r="Q494" s="63" t="inlineStr">
        <is>
          <t>106,00</t>
        </is>
      </c>
    </row>
    <row r="495">
      <c r="A495" s="66" t="n">
        <v>46215</v>
      </c>
      <c r="B495" s="65" t="n">
        <v>304</v>
      </c>
      <c r="C495" s="65" t="inlineStr">
        <is>
          <t>00-00000846</t>
        </is>
      </c>
      <c r="D495" s="65" t="inlineStr">
        <is>
          <t>S00304</t>
        </is>
      </c>
      <c r="E495" s="65" t="inlineStr">
        <is>
          <t>TALLER TNMCAR, C.A</t>
        </is>
      </c>
      <c r="F495" s="63" t="inlineStr">
        <is>
          <t>484.549,33</t>
        </is>
      </c>
      <c r="G495" s="63" t="inlineStr">
        <is>
          <t>562.077,23</t>
        </is>
      </c>
      <c r="H495" s="63" t="inlineStr">
        <is>
          <t>791,94</t>
        </is>
      </c>
      <c r="I495" s="63" t="inlineStr">
        <is>
          <t>709,69</t>
        </is>
      </c>
      <c r="J495" s="65" t="n"/>
      <c r="K495" s="65" t="n">
        <v>937</v>
      </c>
      <c r="L495" s="65" t="inlineStr">
        <is>
          <t>[0937] SS EXTRA PROTECCION API SN SAE 15W-40 (1X3)</t>
        </is>
      </c>
      <c r="M495" s="63" t="inlineStr">
        <is>
          <t>68,10</t>
        </is>
      </c>
      <c r="N495" s="63" t="inlineStr">
        <is>
          <t>1,00</t>
        </is>
      </c>
      <c r="O495" s="63" t="inlineStr">
        <is>
          <t>0,00</t>
        </is>
      </c>
      <c r="P495" s="63" t="inlineStr">
        <is>
          <t>68,10</t>
        </is>
      </c>
      <c r="Q495" s="63" t="inlineStr">
        <is>
          <t>79,00</t>
        </is>
      </c>
    </row>
    <row r="496">
      <c r="A496" s="65" t="n"/>
      <c r="B496" s="65" t="n"/>
      <c r="C496" s="65" t="n"/>
      <c r="D496" s="65" t="n"/>
      <c r="E496" s="65" t="n"/>
      <c r="F496" s="65" t="n"/>
      <c r="G496" s="65" t="n"/>
      <c r="H496" s="65" t="n"/>
      <c r="I496" s="65" t="n"/>
      <c r="J496" s="65" t="n"/>
      <c r="K496" s="65" t="n">
        <v>938</v>
      </c>
      <c r="L496" s="65" t="inlineStr">
        <is>
          <t>[0938] CLASICO API SL SAE 20W-50 (1X3)</t>
        </is>
      </c>
      <c r="M496" s="63" t="inlineStr">
        <is>
          <t>61,21</t>
        </is>
      </c>
      <c r="N496" s="63" t="inlineStr">
        <is>
          <t>1,00</t>
        </is>
      </c>
      <c r="O496" s="63" t="inlineStr">
        <is>
          <t>0,00</t>
        </is>
      </c>
      <c r="P496" s="63" t="inlineStr">
        <is>
          <t>61,21</t>
        </is>
      </c>
      <c r="Q496" s="63" t="inlineStr">
        <is>
          <t>71,00</t>
        </is>
      </c>
    </row>
    <row r="497">
      <c r="A497" s="65" t="n"/>
      <c r="B497" s="65" t="n"/>
      <c r="C497" s="65" t="n"/>
      <c r="D497" s="65" t="n"/>
      <c r="E497" s="65" t="n"/>
      <c r="F497" s="65" t="n"/>
      <c r="G497" s="65" t="n"/>
      <c r="H497" s="65" t="n"/>
      <c r="I497" s="65" t="n"/>
      <c r="J497" s="65" t="n"/>
      <c r="K497" s="65" t="n">
        <v>877</v>
      </c>
      <c r="L497" s="65" t="inlineStr">
        <is>
          <t>[0877] SS EXTRA PROTECCION API SN SAE 15W-40 (1X12)</t>
        </is>
      </c>
      <c r="M497" s="63" t="inlineStr">
        <is>
          <t>65,52</t>
        </is>
      </c>
      <c r="N497" s="63" t="inlineStr">
        <is>
          <t>1,00</t>
        </is>
      </c>
      <c r="O497" s="63" t="inlineStr">
        <is>
          <t>0,00</t>
        </is>
      </c>
      <c r="P497" s="63" t="inlineStr">
        <is>
          <t>65,52</t>
        </is>
      </c>
      <c r="Q497" s="63" t="inlineStr">
        <is>
          <t>76,00</t>
        </is>
      </c>
    </row>
    <row r="498">
      <c r="A498" s="65" t="n"/>
      <c r="B498" s="65" t="n"/>
      <c r="C498" s="65" t="n"/>
      <c r="D498" s="65" t="n"/>
      <c r="E498" s="65" t="n"/>
      <c r="F498" s="65" t="n"/>
      <c r="G498" s="65" t="n"/>
      <c r="H498" s="65" t="n"/>
      <c r="I498" s="65" t="n"/>
      <c r="J498" s="65" t="n"/>
      <c r="K498" s="65" t="n">
        <v>93</v>
      </c>
      <c r="L498" s="65" t="inlineStr">
        <is>
          <t>[0093] ALTA CILINDRADA SS API SN SAE 15W-40 (1x6)</t>
        </is>
      </c>
      <c r="M498" s="63" t="inlineStr">
        <is>
          <t>30,17</t>
        </is>
      </c>
      <c r="N498" s="63" t="inlineStr">
        <is>
          <t>1,00</t>
        </is>
      </c>
      <c r="O498" s="63" t="inlineStr">
        <is>
          <t>0,00</t>
        </is>
      </c>
      <c r="P498" s="63" t="inlineStr">
        <is>
          <t>30,17</t>
        </is>
      </c>
      <c r="Q498" s="63" t="inlineStr">
        <is>
          <t>35,00</t>
        </is>
      </c>
    </row>
    <row r="499">
      <c r="A499" s="65" t="n"/>
      <c r="B499" s="65" t="n"/>
      <c r="C499" s="65" t="n"/>
      <c r="D499" s="65" t="n"/>
      <c r="E499" s="65" t="n"/>
      <c r="F499" s="65" t="n"/>
      <c r="G499" s="65" t="n"/>
      <c r="H499" s="65" t="n"/>
      <c r="I499" s="65" t="n"/>
      <c r="J499" s="65" t="n"/>
      <c r="K499" s="65" t="n">
        <v>885</v>
      </c>
      <c r="L499" s="65" t="inlineStr">
        <is>
          <t>[0885] TRANSMATIC ATF MERCON V (1x12)</t>
        </is>
      </c>
      <c r="M499" s="63" t="inlineStr">
        <is>
          <t>102,59</t>
        </is>
      </c>
      <c r="N499" s="63" t="inlineStr">
        <is>
          <t>1,00</t>
        </is>
      </c>
      <c r="O499" s="63" t="inlineStr">
        <is>
          <t>0,00</t>
        </is>
      </c>
      <c r="P499" s="63" t="inlineStr">
        <is>
          <t>102,59</t>
        </is>
      </c>
      <c r="Q499" s="63" t="inlineStr">
        <is>
          <t>119,00</t>
        </is>
      </c>
    </row>
    <row r="500">
      <c r="A500" s="65" t="n"/>
      <c r="B500" s="65" t="n"/>
      <c r="C500" s="65" t="n"/>
      <c r="D500" s="65" t="n"/>
      <c r="E500" s="65" t="n"/>
      <c r="F500" s="65" t="n"/>
      <c r="G500" s="65" t="n"/>
      <c r="H500" s="65" t="n"/>
      <c r="I500" s="65" t="n"/>
      <c r="J500" s="65" t="n"/>
      <c r="K500" s="65" t="n">
        <v>886</v>
      </c>
      <c r="L500" s="65" t="inlineStr">
        <is>
          <t>[0886] TRANSMATIC DEXRON VI (1x12)</t>
        </is>
      </c>
      <c r="M500" s="63" t="inlineStr">
        <is>
          <t>102,59</t>
        </is>
      </c>
      <c r="N500" s="63" t="inlineStr">
        <is>
          <t>1,00</t>
        </is>
      </c>
      <c r="O500" s="63" t="inlineStr">
        <is>
          <t>0,00</t>
        </is>
      </c>
      <c r="P500" s="63" t="inlineStr">
        <is>
          <t>102,59</t>
        </is>
      </c>
      <c r="Q500" s="63" t="inlineStr">
        <is>
          <t>119,00</t>
        </is>
      </c>
    </row>
    <row r="501">
      <c r="A501" s="65" t="n"/>
      <c r="B501" s="65" t="n"/>
      <c r="C501" s="65" t="n"/>
      <c r="D501" s="65" t="n"/>
      <c r="E501" s="65" t="n"/>
      <c r="F501" s="65" t="n"/>
      <c r="G501" s="65" t="n"/>
      <c r="H501" s="65" t="n"/>
      <c r="I501" s="65" t="n"/>
      <c r="J501" s="65" t="n"/>
      <c r="K501" s="65" t="n">
        <v>121</v>
      </c>
      <c r="L501" s="65" t="inlineStr">
        <is>
          <t>[0121] TRANSGLOB API GL-5 SAE 80W-90 (1x6)</t>
        </is>
      </c>
      <c r="M501" s="63" t="inlineStr">
        <is>
          <t>33,62</t>
        </is>
      </c>
      <c r="N501" s="63" t="inlineStr">
        <is>
          <t>1,00</t>
        </is>
      </c>
      <c r="O501" s="63" t="inlineStr">
        <is>
          <t>0,00</t>
        </is>
      </c>
      <c r="P501" s="63" t="inlineStr">
        <is>
          <t>33,62</t>
        </is>
      </c>
      <c r="Q501" s="63" t="inlineStr">
        <is>
          <t>39,00</t>
        </is>
      </c>
    </row>
    <row r="502">
      <c r="A502" s="65" t="n"/>
      <c r="B502" s="65" t="n"/>
      <c r="C502" s="65" t="n"/>
      <c r="D502" s="65" t="n"/>
      <c r="E502" s="65" t="n"/>
      <c r="F502" s="65" t="n"/>
      <c r="G502" s="65" t="n"/>
      <c r="H502" s="65" t="n"/>
      <c r="I502" s="65" t="n"/>
      <c r="J502" s="65" t="n"/>
      <c r="K502" s="65" t="n">
        <v>127</v>
      </c>
      <c r="L502" s="65" t="inlineStr">
        <is>
          <t>[0127] TRANSGLOB API GL-5 SAE 85W-140 (1x6)</t>
        </is>
      </c>
      <c r="M502" s="63" t="inlineStr">
        <is>
          <t>34,48</t>
        </is>
      </c>
      <c r="N502" s="63" t="inlineStr">
        <is>
          <t>1,00</t>
        </is>
      </c>
      <c r="O502" s="63" t="inlineStr">
        <is>
          <t>0,00</t>
        </is>
      </c>
      <c r="P502" s="63" t="inlineStr">
        <is>
          <t>34,48</t>
        </is>
      </c>
      <c r="Q502" s="63" t="inlineStr">
        <is>
          <t>40,00</t>
        </is>
      </c>
    </row>
    <row r="503">
      <c r="A503" s="65" t="n"/>
      <c r="B503" s="65" t="n"/>
      <c r="C503" s="65" t="n"/>
      <c r="D503" s="65" t="n"/>
      <c r="E503" s="65" t="n"/>
      <c r="F503" s="65" t="n"/>
      <c r="G503" s="65" t="n"/>
      <c r="H503" s="65" t="n"/>
      <c r="I503" s="65" t="n"/>
      <c r="J503" s="65" t="n"/>
      <c r="K503" s="65" t="n">
        <v>775</v>
      </c>
      <c r="L503" s="65" t="inlineStr">
        <is>
          <t>[0775] LIGA PARA FRENOS DOT-4 (1X12)</t>
        </is>
      </c>
      <c r="M503" s="63" t="inlineStr">
        <is>
          <t>26,72</t>
        </is>
      </c>
      <c r="N503" s="63" t="inlineStr">
        <is>
          <t>1,00</t>
        </is>
      </c>
      <c r="O503" s="63" t="inlineStr">
        <is>
          <t>0,00</t>
        </is>
      </c>
      <c r="P503" s="63" t="inlineStr">
        <is>
          <t>26,72</t>
        </is>
      </c>
      <c r="Q503" s="63" t="inlineStr">
        <is>
          <t>31,00</t>
        </is>
      </c>
    </row>
    <row r="504">
      <c r="A504" s="65" t="n"/>
      <c r="B504" s="65" t="n"/>
      <c r="C504" s="65" t="n"/>
      <c r="D504" s="65" t="n"/>
      <c r="E504" s="65" t="n"/>
      <c r="F504" s="65" t="n"/>
      <c r="G504" s="65" t="n"/>
      <c r="H504" s="65" t="n"/>
      <c r="I504" s="65" t="n"/>
      <c r="J504" s="65" t="n"/>
      <c r="K504" s="65" t="n">
        <v>762</v>
      </c>
      <c r="L504" s="65" t="inlineStr">
        <is>
          <t>[0762] LIGA PARA FRENOS DOT-3 (1x6)</t>
        </is>
      </c>
      <c r="M504" s="63" t="inlineStr">
        <is>
          <t>37,07</t>
        </is>
      </c>
      <c r="N504" s="63" t="inlineStr">
        <is>
          <t>1,00</t>
        </is>
      </c>
      <c r="O504" s="63" t="inlineStr">
        <is>
          <t>0,00</t>
        </is>
      </c>
      <c r="P504" s="63" t="inlineStr">
        <is>
          <t>37,07</t>
        </is>
      </c>
      <c r="Q504" s="63" t="inlineStr">
        <is>
          <t>43,00</t>
        </is>
      </c>
    </row>
    <row r="505">
      <c r="A505" s="65" t="n"/>
      <c r="B505" s="65" t="n"/>
      <c r="C505" s="65" t="n"/>
      <c r="D505" s="65" t="n"/>
      <c r="E505" s="65" t="n"/>
      <c r="F505" s="65" t="n"/>
      <c r="G505" s="65" t="n"/>
      <c r="H505" s="65" t="n"/>
      <c r="I505" s="65" t="n"/>
      <c r="J505" s="65" t="n"/>
      <c r="K505" s="65" t="n">
        <v>774</v>
      </c>
      <c r="L505" s="65" t="inlineStr">
        <is>
          <t>[0774] LIGA PARA FRENOS DOT-4 (1X6)</t>
        </is>
      </c>
      <c r="M505" s="63" t="inlineStr">
        <is>
          <t>42,24</t>
        </is>
      </c>
      <c r="N505" s="63" t="inlineStr">
        <is>
          <t>1,00</t>
        </is>
      </c>
      <c r="O505" s="63" t="inlineStr">
        <is>
          <t>0,00</t>
        </is>
      </c>
      <c r="P505" s="63" t="inlineStr">
        <is>
          <t>42,24</t>
        </is>
      </c>
      <c r="Q505" s="63" t="inlineStr">
        <is>
          <t>49,00</t>
        </is>
      </c>
    </row>
    <row r="506">
      <c r="A506" s="65" t="n"/>
      <c r="B506" s="65" t="n"/>
      <c r="C506" s="65" t="n"/>
      <c r="D506" s="65" t="n"/>
      <c r="E506" s="65" t="n"/>
      <c r="F506" s="65" t="n"/>
      <c r="G506" s="65" t="n"/>
      <c r="H506" s="65" t="n"/>
      <c r="I506" s="65" t="n"/>
      <c r="J506" s="65" t="n"/>
      <c r="K506" s="65" t="n">
        <v>789</v>
      </c>
      <c r="L506" s="65" t="inlineStr">
        <is>
          <t>[0789] REFRIGERANTE GLOBAL VERDE (1X3)</t>
        </is>
      </c>
      <c r="M506" s="63" t="inlineStr">
        <is>
          <t>22,41</t>
        </is>
      </c>
      <c r="N506" s="63" t="inlineStr">
        <is>
          <t>1,00</t>
        </is>
      </c>
      <c r="O506" s="63" t="inlineStr">
        <is>
          <t>0,00</t>
        </is>
      </c>
      <c r="P506" s="63" t="inlineStr">
        <is>
          <t>22,41</t>
        </is>
      </c>
      <c r="Q506" s="63" t="inlineStr">
        <is>
          <t>26,00</t>
        </is>
      </c>
    </row>
    <row r="507">
      <c r="A507" s="65" t="n"/>
      <c r="B507" s="65" t="n"/>
      <c r="C507" s="65" t="n"/>
      <c r="D507" s="65" t="n"/>
      <c r="E507" s="65" t="n"/>
      <c r="F507" s="65" t="n"/>
      <c r="G507" s="65" t="n"/>
      <c r="H507" s="65" t="n"/>
      <c r="I507" s="65" t="n"/>
      <c r="J507" s="65" t="n"/>
      <c r="K507" s="65" t="n">
        <v>792</v>
      </c>
      <c r="L507" s="65" t="inlineStr">
        <is>
          <t>[0792] REFRIGERANTE GLOBAL ROJO (1X3)</t>
        </is>
      </c>
      <c r="M507" s="63" t="inlineStr">
        <is>
          <t>22,41</t>
        </is>
      </c>
      <c r="N507" s="63" t="inlineStr">
        <is>
          <t>1,00</t>
        </is>
      </c>
      <c r="O507" s="63" t="inlineStr">
        <is>
          <t>0,00</t>
        </is>
      </c>
      <c r="P507" s="63" t="inlineStr">
        <is>
          <t>22,41</t>
        </is>
      </c>
      <c r="Q507" s="63" t="inlineStr">
        <is>
          <t>26,00</t>
        </is>
      </c>
    </row>
    <row r="508">
      <c r="A508" s="65" t="n"/>
      <c r="B508" s="65" t="n"/>
      <c r="C508" s="65" t="n"/>
      <c r="D508" s="65" t="n"/>
      <c r="E508" s="65" t="n"/>
      <c r="F508" s="65" t="n"/>
      <c r="G508" s="65" t="n"/>
      <c r="H508" s="65" t="n"/>
      <c r="I508" s="65" t="n"/>
      <c r="J508" s="65" t="n"/>
      <c r="K508" s="65" t="n">
        <v>795</v>
      </c>
      <c r="L508" s="65" t="inlineStr">
        <is>
          <t>[0795] REFRIGERANTE GLOBAL ORANGE PREMIUM 50-50 CONCENTRADO (1x3)</t>
        </is>
      </c>
      <c r="M508" s="63" t="inlineStr">
        <is>
          <t>33,62</t>
        </is>
      </c>
      <c r="N508" s="63" t="inlineStr">
        <is>
          <t>1,00</t>
        </is>
      </c>
      <c r="O508" s="63" t="inlineStr">
        <is>
          <t>0,00</t>
        </is>
      </c>
      <c r="P508" s="63" t="inlineStr">
        <is>
          <t>33,62</t>
        </is>
      </c>
      <c r="Q508" s="63" t="inlineStr">
        <is>
          <t>39,00</t>
        </is>
      </c>
    </row>
    <row r="509">
      <c r="A509" s="66" t="n">
        <v>46215</v>
      </c>
      <c r="B509" s="65" t="n">
        <v>303</v>
      </c>
      <c r="C509" s="65" t="inlineStr">
        <is>
          <t>00-00000845</t>
        </is>
      </c>
      <c r="D509" s="65" t="inlineStr">
        <is>
          <t>S00260</t>
        </is>
      </c>
      <c r="E509" s="65" t="inlineStr">
        <is>
          <t>Jose Lopez Espinoza</t>
        </is>
      </c>
      <c r="F509" s="63" t="inlineStr">
        <is>
          <t>191.623,75</t>
        </is>
      </c>
      <c r="G509" s="63" t="inlineStr">
        <is>
          <t>222.283,55</t>
        </is>
      </c>
      <c r="H509" s="63" t="inlineStr">
        <is>
          <t>313,20</t>
        </is>
      </c>
      <c r="I509" s="63" t="inlineStr">
        <is>
          <t>709,69</t>
        </is>
      </c>
      <c r="J509" s="65" t="n"/>
      <c r="K509" s="65" t="n">
        <v>877</v>
      </c>
      <c r="L509" s="65" t="inlineStr">
        <is>
          <t>[0877] SS EXTRA PROTECCION API SN SAE 15W-40 (1X12)</t>
        </is>
      </c>
      <c r="M509" s="63" t="inlineStr">
        <is>
          <t>100,80</t>
        </is>
      </c>
      <c r="N509" s="63" t="inlineStr">
        <is>
          <t>2,00</t>
        </is>
      </c>
      <c r="O509" s="63" t="inlineStr">
        <is>
          <t>0,79</t>
        </is>
      </c>
      <c r="P509" s="63" t="inlineStr">
        <is>
          <t>200,01</t>
        </is>
      </c>
      <c r="Q509" s="63" t="inlineStr">
        <is>
          <t>232,01</t>
        </is>
      </c>
    </row>
    <row r="510">
      <c r="A510" s="65" t="n"/>
      <c r="B510" s="65" t="n"/>
      <c r="C510" s="65" t="n"/>
      <c r="D510" s="65" t="n"/>
      <c r="E510" s="65" t="n"/>
      <c r="F510" s="65" t="n"/>
      <c r="G510" s="65" t="n"/>
      <c r="H510" s="65" t="n"/>
      <c r="I510" s="65" t="n"/>
      <c r="J510" s="65" t="n"/>
      <c r="K510" s="65" t="n">
        <v>779</v>
      </c>
      <c r="L510" s="65" t="inlineStr">
        <is>
          <t>[0779] SINOCO SAE 20W-50 (1x12)</t>
        </is>
      </c>
      <c r="M510" s="63" t="inlineStr">
        <is>
          <t>70,29</t>
        </is>
      </c>
      <c r="N510" s="63" t="inlineStr">
        <is>
          <t>1,00</t>
        </is>
      </c>
      <c r="O510" s="63" t="inlineStr">
        <is>
          <t>0,41</t>
        </is>
      </c>
      <c r="P510" s="63" t="inlineStr">
        <is>
          <t>70,00</t>
        </is>
      </c>
      <c r="Q510" s="63" t="inlineStr">
        <is>
          <t>81,20</t>
        </is>
      </c>
    </row>
    <row r="511">
      <c r="A511" s="66" t="n">
        <v>46215</v>
      </c>
      <c r="B511" s="65" t="n">
        <v>302</v>
      </c>
      <c r="C511" s="65" t="inlineStr">
        <is>
          <t>00-00000844</t>
        </is>
      </c>
      <c r="D511" s="65" t="inlineStr">
        <is>
          <t>S00282</t>
        </is>
      </c>
      <c r="E511" s="65" t="inlineStr">
        <is>
          <t>Repuestos y accesorios motochiva23 c.a</t>
        </is>
      </c>
      <c r="F511" s="63" t="inlineStr">
        <is>
          <t>153.294,65</t>
        </is>
      </c>
      <c r="G511" s="63" t="inlineStr">
        <is>
          <t>177.821,80</t>
        </is>
      </c>
      <c r="H511" s="63" t="inlineStr">
        <is>
          <t>250,56</t>
        </is>
      </c>
      <c r="I511" s="63" t="inlineStr">
        <is>
          <t>709,69</t>
        </is>
      </c>
      <c r="J511" s="65" t="n"/>
      <c r="K511" s="65" t="n">
        <v>887</v>
      </c>
      <c r="L511" s="65" t="inlineStr">
        <is>
          <t>[0887] MOTOCLASICO 4T SAE 20W-50 (1x12)</t>
        </is>
      </c>
      <c r="M511" s="63" t="inlineStr">
        <is>
          <t>90,19</t>
        </is>
      </c>
      <c r="N511" s="63" t="inlineStr">
        <is>
          <t>2,00</t>
        </is>
      </c>
      <c r="O511" s="63" t="inlineStr">
        <is>
          <t>0,21</t>
        </is>
      </c>
      <c r="P511" s="63" t="inlineStr">
        <is>
          <t>180,00</t>
        </is>
      </c>
      <c r="Q511" s="63" t="inlineStr">
        <is>
          <t>208,80</t>
        </is>
      </c>
    </row>
    <row r="512">
      <c r="A512" s="65" t="n"/>
      <c r="B512" s="65" t="n"/>
      <c r="C512" s="65" t="n"/>
      <c r="D512" s="65" t="n"/>
      <c r="E512" s="65" t="n"/>
      <c r="F512" s="65" t="n"/>
      <c r="G512" s="65" t="n"/>
      <c r="H512" s="65" t="n"/>
      <c r="I512" s="65" t="n"/>
      <c r="J512" s="65" t="n"/>
      <c r="K512" s="65" t="n">
        <v>761</v>
      </c>
      <c r="L512" s="65" t="inlineStr">
        <is>
          <t>[0761] LIGA PARA FRENOS DOT-3 (1x12)</t>
        </is>
      </c>
      <c r="M512" s="63" t="inlineStr">
        <is>
          <t>36,00</t>
        </is>
      </c>
      <c r="N512" s="63" t="inlineStr">
        <is>
          <t>1,00</t>
        </is>
      </c>
      <c r="O512" s="63" t="inlineStr">
        <is>
          <t>0,00</t>
        </is>
      </c>
      <c r="P512" s="63" t="inlineStr">
        <is>
          <t>36,00</t>
        </is>
      </c>
      <c r="Q512" s="63" t="inlineStr">
        <is>
          <t>41,76</t>
        </is>
      </c>
    </row>
    <row r="513">
      <c r="A513" s="66" t="n">
        <v>46215</v>
      </c>
      <c r="B513" s="65" t="n">
        <v>301</v>
      </c>
      <c r="C513" s="65" t="inlineStr">
        <is>
          <t>00-00000843</t>
        </is>
      </c>
      <c r="D513" s="65" t="inlineStr">
        <is>
          <t>S00283</t>
        </is>
      </c>
      <c r="E513" s="65" t="inlineStr">
        <is>
          <t>LA CASA DE LAS BATERIAS</t>
        </is>
      </c>
      <c r="F513" s="63" t="inlineStr">
        <is>
          <t>129.168,41</t>
        </is>
      </c>
      <c r="G513" s="63" t="inlineStr">
        <is>
          <t>149.835,36</t>
        </is>
      </c>
      <c r="H513" s="63" t="inlineStr">
        <is>
          <t>211,12</t>
        </is>
      </c>
      <c r="I513" s="63" t="inlineStr">
        <is>
          <t>709,69</t>
        </is>
      </c>
      <c r="J513" s="65" t="n"/>
      <c r="K513" s="65" t="n">
        <v>877</v>
      </c>
      <c r="L513" s="65" t="inlineStr">
        <is>
          <t>[0877] SS EXTRA PROTECCION API SN SAE 15W-40 (1X12)</t>
        </is>
      </c>
      <c r="M513" s="63" t="inlineStr">
        <is>
          <t>100,80</t>
        </is>
      </c>
      <c r="N513" s="63" t="inlineStr">
        <is>
          <t>1,00</t>
        </is>
      </c>
      <c r="O513" s="63" t="inlineStr">
        <is>
          <t>0,79</t>
        </is>
      </c>
      <c r="P513" s="63" t="inlineStr">
        <is>
          <t>100,00</t>
        </is>
      </c>
      <c r="Q513" s="63" t="inlineStr">
        <is>
          <t>116,00</t>
        </is>
      </c>
    </row>
    <row r="514">
      <c r="A514" s="65" t="n"/>
      <c r="B514" s="65" t="n"/>
      <c r="C514" s="65" t="n"/>
      <c r="D514" s="65" t="n"/>
      <c r="E514" s="65" t="n"/>
      <c r="F514" s="65" t="n"/>
      <c r="G514" s="65" t="n"/>
      <c r="H514" s="65" t="n"/>
      <c r="I514" s="65" t="n"/>
      <c r="J514" s="65" t="n"/>
      <c r="K514" s="65" t="n">
        <v>93</v>
      </c>
      <c r="L514" s="65" t="inlineStr">
        <is>
          <t>[0093] ALTA CILINDRADA SS API SN SAE 15W-40 (1x6)</t>
        </is>
      </c>
      <c r="M514" s="63" t="inlineStr">
        <is>
          <t>46,42</t>
        </is>
      </c>
      <c r="N514" s="63" t="inlineStr">
        <is>
          <t>1,00</t>
        </is>
      </c>
      <c r="O514" s="63" t="inlineStr">
        <is>
          <t>0,90</t>
        </is>
      </c>
      <c r="P514" s="63" t="inlineStr">
        <is>
          <t>46,00</t>
        </is>
      </c>
      <c r="Q514" s="63" t="inlineStr">
        <is>
          <t>53,36</t>
        </is>
      </c>
    </row>
    <row r="515">
      <c r="A515" s="65" t="n"/>
      <c r="B515" s="65" t="n"/>
      <c r="C515" s="65" t="n"/>
      <c r="D515" s="65" t="n"/>
      <c r="E515" s="65" t="n"/>
      <c r="F515" s="65" t="n"/>
      <c r="G515" s="65" t="n"/>
      <c r="H515" s="65" t="n"/>
      <c r="I515" s="65" t="n"/>
      <c r="J515" s="65" t="n"/>
      <c r="K515" s="65" t="n">
        <v>761</v>
      </c>
      <c r="L515" s="65" t="inlineStr">
        <is>
          <t>[0761] LIGA PARA FRENOS DOT-3 (1x12)</t>
        </is>
      </c>
      <c r="M515" s="63" t="inlineStr">
        <is>
          <t>36,00</t>
        </is>
      </c>
      <c r="N515" s="63" t="inlineStr">
        <is>
          <t>1,00</t>
        </is>
      </c>
      <c r="O515" s="63" t="inlineStr">
        <is>
          <t>0,00</t>
        </is>
      </c>
      <c r="P515" s="63" t="inlineStr">
        <is>
          <t>36,00</t>
        </is>
      </c>
      <c r="Q515" s="63" t="inlineStr">
        <is>
          <t>41,76</t>
        </is>
      </c>
    </row>
    <row r="516">
      <c r="A516" s="66" t="n">
        <v>46215</v>
      </c>
      <c r="B516" s="65" t="n">
        <v>300</v>
      </c>
      <c r="C516" s="65" t="inlineStr">
        <is>
          <t>00-00000842</t>
        </is>
      </c>
      <c r="D516" s="65" t="inlineStr">
        <is>
          <t>S00306</t>
        </is>
      </c>
      <c r="E516" s="65" t="inlineStr">
        <is>
          <t>LUBRIREPUESTOS PANORAMA, C.A.</t>
        </is>
      </c>
      <c r="F516" s="63" t="inlineStr">
        <is>
          <t>48.966,48</t>
        </is>
      </c>
      <c r="G516" s="63" t="inlineStr">
        <is>
          <t>56.801,12</t>
        </is>
      </c>
      <c r="H516" s="63" t="inlineStr">
        <is>
          <t>80,02</t>
        </is>
      </c>
      <c r="I516" s="63" t="inlineStr">
        <is>
          <t>709,69</t>
        </is>
      </c>
      <c r="J516" s="65" t="n"/>
      <c r="K516" s="65" t="n">
        <v>915</v>
      </c>
      <c r="L516" s="65" t="inlineStr">
        <is>
          <t>[0915] SINOCO SAE 50 (1x12)</t>
        </is>
      </c>
      <c r="M516" s="63" t="inlineStr">
        <is>
          <t>70,29</t>
        </is>
      </c>
      <c r="N516" s="63" t="inlineStr">
        <is>
          <t>1,00</t>
        </is>
      </c>
      <c r="O516" s="63" t="inlineStr">
        <is>
          <t>1,84</t>
        </is>
      </c>
      <c r="P516" s="63" t="inlineStr">
        <is>
          <t>69,00</t>
        </is>
      </c>
      <c r="Q516" s="63" t="inlineStr">
        <is>
          <t>80,04</t>
        </is>
      </c>
    </row>
    <row r="517">
      <c r="A517" s="66" t="n">
        <v>46215</v>
      </c>
      <c r="B517" s="65" t="n">
        <v>299</v>
      </c>
      <c r="C517" s="65" t="inlineStr">
        <is>
          <t>00-00000841</t>
        </is>
      </c>
      <c r="D517" s="65" t="inlineStr">
        <is>
          <t>S00309</t>
        </is>
      </c>
      <c r="E517" s="65" t="inlineStr">
        <is>
          <t>INVERSIONES JOSCAR XXI, S.A.</t>
        </is>
      </c>
      <c r="F517" s="63" t="inlineStr">
        <is>
          <t>122.670,53</t>
        </is>
      </c>
      <c r="G517" s="63" t="inlineStr">
        <is>
          <t>142.297,82</t>
        </is>
      </c>
      <c r="H517" s="63" t="inlineStr">
        <is>
          <t>200,50</t>
        </is>
      </c>
      <c r="I517" s="63" t="inlineStr">
        <is>
          <t>709,69</t>
        </is>
      </c>
      <c r="J517" s="65" t="n"/>
      <c r="K517" s="65" t="n">
        <v>877</v>
      </c>
      <c r="L517" s="65" t="inlineStr">
        <is>
          <t>[0877] SS EXTRA PROTECCION API SN SAE 15W-40 (1X12)</t>
        </is>
      </c>
      <c r="M517" s="63" t="inlineStr">
        <is>
          <t>102,56</t>
        </is>
      </c>
      <c r="N517" s="63" t="inlineStr">
        <is>
          <t>1,00</t>
        </is>
      </c>
      <c r="O517" s="63" t="inlineStr">
        <is>
          <t>0,00</t>
        </is>
      </c>
      <c r="P517" s="63" t="inlineStr">
        <is>
          <t>102,56</t>
        </is>
      </c>
      <c r="Q517" s="63" t="inlineStr">
        <is>
          <t>118,97</t>
        </is>
      </c>
    </row>
    <row r="518">
      <c r="A518" s="65" t="n"/>
      <c r="B518" s="65" t="n"/>
      <c r="C518" s="65" t="n"/>
      <c r="D518" s="65" t="n"/>
      <c r="E518" s="65" t="n"/>
      <c r="F518" s="65" t="n"/>
      <c r="G518" s="65" t="n"/>
      <c r="H518" s="65" t="n"/>
      <c r="I518" s="65" t="n"/>
      <c r="J518" s="65" t="n"/>
      <c r="K518" s="65" t="n">
        <v>779</v>
      </c>
      <c r="L518" s="65" t="inlineStr">
        <is>
          <t>[0779] SINOCO SAE 20W-50 (1x12)</t>
        </is>
      </c>
      <c r="M518" s="63" t="inlineStr">
        <is>
          <t>70,29</t>
        </is>
      </c>
      <c r="N518" s="63" t="inlineStr">
        <is>
          <t>1,00</t>
        </is>
      </c>
      <c r="O518" s="63" t="inlineStr">
        <is>
          <t>0,00</t>
        </is>
      </c>
      <c r="P518" s="63" t="inlineStr">
        <is>
          <t>70,29</t>
        </is>
      </c>
      <c r="Q518" s="63" t="inlineStr">
        <is>
          <t>81,54</t>
        </is>
      </c>
    </row>
    <row r="519">
      <c r="A519" s="66" t="n">
        <v>46215</v>
      </c>
      <c r="B519" s="65" t="n">
        <v>298</v>
      </c>
      <c r="C519" s="65" t="inlineStr">
        <is>
          <t>00-00000840</t>
        </is>
      </c>
      <c r="D519" s="65" t="inlineStr">
        <is>
          <t>S00259</t>
        </is>
      </c>
      <c r="E519" s="65" t="inlineStr">
        <is>
          <t>Multiservicio Tocome, C.A</t>
        </is>
      </c>
      <c r="F519" s="63" t="inlineStr">
        <is>
          <t>201.553,93</t>
        </is>
      </c>
      <c r="G519" s="63" t="inlineStr">
        <is>
          <t>233.802,57</t>
        </is>
      </c>
      <c r="H519" s="63" t="inlineStr">
        <is>
          <t>329,42</t>
        </is>
      </c>
      <c r="I519" s="63" t="inlineStr">
        <is>
          <t>709,69</t>
        </is>
      </c>
      <c r="J519" s="65" t="n"/>
      <c r="K519" s="65" t="n">
        <v>779</v>
      </c>
      <c r="L519" s="65" t="inlineStr">
        <is>
          <t>[0779] SINOCO SAE 20W-50 (1x12)</t>
        </is>
      </c>
      <c r="M519" s="63" t="inlineStr">
        <is>
          <t>70,29</t>
        </is>
      </c>
      <c r="N519" s="63" t="inlineStr">
        <is>
          <t>2,00</t>
        </is>
      </c>
      <c r="O519" s="63" t="inlineStr">
        <is>
          <t>0,41</t>
        </is>
      </c>
      <c r="P519" s="63" t="inlineStr">
        <is>
          <t>140,00</t>
        </is>
      </c>
      <c r="Q519" s="63" t="inlineStr">
        <is>
          <t>162,40</t>
        </is>
      </c>
    </row>
    <row r="520">
      <c r="A520" s="65" t="n"/>
      <c r="B520" s="65" t="n"/>
      <c r="C520" s="65" t="n"/>
      <c r="D520" s="65" t="n"/>
      <c r="E520" s="65" t="n"/>
      <c r="F520" s="65" t="n"/>
      <c r="G520" s="65" t="n"/>
      <c r="H520" s="65" t="n"/>
      <c r="I520" s="65" t="n"/>
      <c r="J520" s="65" t="n"/>
      <c r="K520" s="65" t="n">
        <v>121</v>
      </c>
      <c r="L520" s="65" t="inlineStr">
        <is>
          <t>[0121] TRANSGLOB API GL-5 SAE 80W-90 (1x6)</t>
        </is>
      </c>
      <c r="M520" s="63" t="inlineStr">
        <is>
          <t>52,00</t>
        </is>
      </c>
      <c r="N520" s="63" t="inlineStr">
        <is>
          <t>1,00</t>
        </is>
      </c>
      <c r="O520" s="63" t="inlineStr">
        <is>
          <t>0,00</t>
        </is>
      </c>
      <c r="P520" s="63" t="inlineStr">
        <is>
          <t>52,00</t>
        </is>
      </c>
      <c r="Q520" s="63" t="inlineStr">
        <is>
          <t>60,32</t>
        </is>
      </c>
    </row>
    <row r="521">
      <c r="A521" s="65" t="n"/>
      <c r="B521" s="65" t="n"/>
      <c r="C521" s="65" t="n"/>
      <c r="D521" s="65" t="n"/>
      <c r="E521" s="65" t="n"/>
      <c r="F521" s="65" t="n"/>
      <c r="G521" s="65" t="n"/>
      <c r="H521" s="65" t="n"/>
      <c r="I521" s="65" t="n"/>
      <c r="J521" s="65" t="n"/>
      <c r="K521" s="65" t="n">
        <v>761</v>
      </c>
      <c r="L521" s="65" t="inlineStr">
        <is>
          <t>[0761] LIGA PARA FRENOS DOT-3 (1x12)</t>
        </is>
      </c>
      <c r="M521" s="63" t="inlineStr">
        <is>
          <t>36,00</t>
        </is>
      </c>
      <c r="N521" s="63" t="inlineStr">
        <is>
          <t>1,00</t>
        </is>
      </c>
      <c r="O521" s="63" t="inlineStr">
        <is>
          <t>0,00</t>
        </is>
      </c>
      <c r="P521" s="63" t="inlineStr">
        <is>
          <t>36,00</t>
        </is>
      </c>
      <c r="Q521" s="63" t="inlineStr">
        <is>
          <t>41,76</t>
        </is>
      </c>
    </row>
    <row r="522">
      <c r="A522" s="65" t="n"/>
      <c r="B522" s="65" t="n"/>
      <c r="C522" s="65" t="n"/>
      <c r="D522" s="65" t="n"/>
      <c r="E522" s="65" t="n"/>
      <c r="F522" s="65" t="n"/>
      <c r="G522" s="65" t="n"/>
      <c r="H522" s="65" t="n"/>
      <c r="I522" s="65" t="n"/>
      <c r="J522" s="65" t="n"/>
      <c r="K522" s="65" t="n">
        <v>762</v>
      </c>
      <c r="L522" s="65" t="inlineStr">
        <is>
          <t>[0762] LIGA PARA FRENOS DOT-3 (1x6)</t>
        </is>
      </c>
      <c r="M522" s="63" t="inlineStr">
        <is>
          <t>57,03</t>
        </is>
      </c>
      <c r="N522" s="63" t="inlineStr">
        <is>
          <t>1,00</t>
        </is>
      </c>
      <c r="O522" s="63" t="inlineStr">
        <is>
          <t>1,81</t>
        </is>
      </c>
      <c r="P522" s="63" t="inlineStr">
        <is>
          <t>56,00</t>
        </is>
      </c>
      <c r="Q522" s="63" t="inlineStr">
        <is>
          <t>64,96</t>
        </is>
      </c>
    </row>
    <row r="523">
      <c r="A523" s="66" t="n">
        <v>46215</v>
      </c>
      <c r="B523" s="65" t="n">
        <v>297</v>
      </c>
      <c r="C523" s="65" t="inlineStr">
        <is>
          <t>00-00000839</t>
        </is>
      </c>
      <c r="D523" s="65" t="inlineStr">
        <is>
          <t>S00286</t>
        </is>
      </c>
      <c r="E523" s="65" t="inlineStr">
        <is>
          <t>Inversiones tydelmarojg</t>
        </is>
      </c>
      <c r="F523" s="63" t="inlineStr">
        <is>
          <t>105.744,33</t>
        </is>
      </c>
      <c r="G523" s="63" t="inlineStr">
        <is>
          <t>122.663,42</t>
        </is>
      </c>
      <c r="H523" s="63" t="inlineStr">
        <is>
          <t>172,82</t>
        </is>
      </c>
      <c r="I523" s="63" t="inlineStr">
        <is>
          <t>709,69</t>
        </is>
      </c>
      <c r="J523" s="65" t="n"/>
      <c r="K523" s="65" t="n">
        <v>605</v>
      </c>
      <c r="L523" s="65" t="inlineStr">
        <is>
          <t>[0605] SINOCO SAE 20W-50 (PAILA)</t>
        </is>
      </c>
      <c r="M523" s="63" t="inlineStr">
        <is>
          <t>97,00</t>
        </is>
      </c>
      <c r="N523" s="63" t="inlineStr">
        <is>
          <t>1,00</t>
        </is>
      </c>
      <c r="O523" s="63" t="inlineStr">
        <is>
          <t>0,00</t>
        </is>
      </c>
      <c r="P523" s="63" t="inlineStr">
        <is>
          <t>97,00</t>
        </is>
      </c>
      <c r="Q523" s="63" t="inlineStr">
        <is>
          <t>112,52</t>
        </is>
      </c>
    </row>
    <row r="524">
      <c r="A524" s="65" t="n"/>
      <c r="B524" s="65" t="n"/>
      <c r="C524" s="65" t="n"/>
      <c r="D524" s="65" t="n"/>
      <c r="E524" s="65" t="n"/>
      <c r="F524" s="65" t="n"/>
      <c r="G524" s="65" t="n"/>
      <c r="H524" s="65" t="n"/>
      <c r="I524" s="65" t="n"/>
      <c r="J524" s="65" t="n"/>
      <c r="K524" s="65" t="n">
        <v>121</v>
      </c>
      <c r="L524" s="65" t="inlineStr">
        <is>
          <t>[0121] TRANSGLOB API GL-5 SAE 80W-90 (1x6)</t>
        </is>
      </c>
      <c r="M524" s="63" t="inlineStr">
        <is>
          <t>52,00</t>
        </is>
      </c>
      <c r="N524" s="63" t="inlineStr">
        <is>
          <t>1,00</t>
        </is>
      </c>
      <c r="O524" s="63" t="inlineStr">
        <is>
          <t>0,00</t>
        </is>
      </c>
      <c r="P524" s="63" t="inlineStr">
        <is>
          <t>52,00</t>
        </is>
      </c>
      <c r="Q524" s="63" t="inlineStr">
        <is>
          <t>60,32</t>
        </is>
      </c>
    </row>
    <row r="525">
      <c r="A525" s="66" t="n">
        <v>46214</v>
      </c>
      <c r="B525" s="65" t="n">
        <v>296</v>
      </c>
      <c r="C525" s="65" t="inlineStr">
        <is>
          <t>00-00000835</t>
        </is>
      </c>
      <c r="D525" s="65" t="inlineStr">
        <is>
          <t>S00340</t>
        </is>
      </c>
      <c r="E525" s="65" t="inlineStr">
        <is>
          <t>Yeifri Alexander Marquez Zerpa</t>
        </is>
      </c>
      <c r="F525" s="63" t="inlineStr">
        <is>
          <t>117.017,43</t>
        </is>
      </c>
      <c r="G525" s="63" t="inlineStr">
        <is>
          <t>135.740,22</t>
        </is>
      </c>
      <c r="H525" s="63" t="inlineStr">
        <is>
          <t>191,26</t>
        </is>
      </c>
      <c r="I525" s="63" t="inlineStr">
        <is>
          <t>709,69</t>
        </is>
      </c>
      <c r="J525" s="65" t="n"/>
      <c r="K525" s="65" t="n">
        <v>605</v>
      </c>
      <c r="L525" s="65" t="inlineStr">
        <is>
          <t>[0605] SINOCO SAE 20W-50 (PAILA)</t>
        </is>
      </c>
      <c r="M525" s="63" t="inlineStr">
        <is>
          <t>96,82</t>
        </is>
      </c>
      <c r="N525" s="63" t="inlineStr">
        <is>
          <t>2,00</t>
        </is>
      </c>
      <c r="O525" s="63" t="inlineStr">
        <is>
          <t>14,85</t>
        </is>
      </c>
      <c r="P525" s="63" t="inlineStr">
        <is>
          <t>164,88</t>
        </is>
      </c>
      <c r="Q525" s="63" t="inlineStr">
        <is>
          <t>191,27</t>
        </is>
      </c>
    </row>
    <row r="526">
      <c r="A526" s="66" t="n">
        <v>46214</v>
      </c>
      <c r="B526" s="65" t="n">
        <v>295</v>
      </c>
      <c r="C526" s="65" t="inlineStr">
        <is>
          <t>00-00000834</t>
        </is>
      </c>
      <c r="D526" s="65" t="inlineStr">
        <is>
          <t>S00610</t>
        </is>
      </c>
      <c r="E526" s="65" t="inlineStr">
        <is>
          <t>AGROPECUARIA EL TORO DORADO, C.A</t>
        </is>
      </c>
      <c r="F526" s="63" t="inlineStr">
        <is>
          <t>925.648,64</t>
        </is>
      </c>
      <c r="G526" s="63" t="inlineStr">
        <is>
          <t>1.073.752,43</t>
        </is>
      </c>
      <c r="H526" s="63" t="inlineStr">
        <is>
          <t>1.512,95</t>
        </is>
      </c>
      <c r="I526" s="63" t="inlineStr">
        <is>
          <t>709,69</t>
        </is>
      </c>
      <c r="J526" s="65" t="n">
        <v>981</v>
      </c>
      <c r="K526" s="65" t="n">
        <v>83</v>
      </c>
      <c r="L526" s="65" t="inlineStr">
        <is>
          <t>[0083] MAXIMO API CF SAE 50 (PAILA)</t>
        </is>
      </c>
      <c r="M526" s="63" t="inlineStr">
        <is>
          <t>73,28</t>
        </is>
      </c>
      <c r="N526" s="63" t="inlineStr">
        <is>
          <t>8,00</t>
        </is>
      </c>
      <c r="O526" s="63" t="inlineStr">
        <is>
          <t>3,20</t>
        </is>
      </c>
      <c r="P526" s="63" t="inlineStr">
        <is>
          <t>567,45</t>
        </is>
      </c>
      <c r="Q526" s="63" t="inlineStr">
        <is>
          <t>658,24</t>
        </is>
      </c>
    </row>
    <row r="527">
      <c r="A527" s="65" t="n"/>
      <c r="B527" s="65" t="n"/>
      <c r="C527" s="65" t="n"/>
      <c r="D527" s="65" t="n"/>
      <c r="E527" s="65" t="n"/>
      <c r="F527" s="65" t="n"/>
      <c r="G527" s="65" t="n"/>
      <c r="H527" s="65" t="n"/>
      <c r="I527" s="65" t="n"/>
      <c r="J527" s="65" t="n"/>
      <c r="K527" s="65" t="n">
        <v>144</v>
      </c>
      <c r="L527" s="65" t="inlineStr">
        <is>
          <t>[0144] HIDRAGLOB AW/ISO 68 (PAILA)</t>
        </is>
      </c>
      <c r="M527" s="63" t="inlineStr">
        <is>
          <t>61,21</t>
        </is>
      </c>
      <c r="N527" s="63" t="inlineStr">
        <is>
          <t>8,00</t>
        </is>
      </c>
      <c r="O527" s="63" t="inlineStr">
        <is>
          <t>3,20</t>
        </is>
      </c>
      <c r="P527" s="63" t="inlineStr">
        <is>
          <t>473,99</t>
        </is>
      </c>
      <c r="Q527" s="63" t="inlineStr">
        <is>
          <t>549,82</t>
        </is>
      </c>
    </row>
    <row r="528">
      <c r="A528" s="65" t="n"/>
      <c r="B528" s="65" t="n"/>
      <c r="C528" s="65" t="n"/>
      <c r="D528" s="65" t="n"/>
      <c r="E528" s="65" t="n"/>
      <c r="F528" s="65" t="n"/>
      <c r="G528" s="65" t="n"/>
      <c r="H528" s="65" t="n"/>
      <c r="I528" s="65" t="n"/>
      <c r="J528" s="65" t="n"/>
      <c r="K528" s="65" t="n">
        <v>881</v>
      </c>
      <c r="L528" s="65" t="inlineStr">
        <is>
          <t>[0881] CLASICO API SL SAE 20W-50 (1x12)</t>
        </is>
      </c>
      <c r="M528" s="63" t="inlineStr">
        <is>
          <t>56,03</t>
        </is>
      </c>
      <c r="N528" s="63" t="inlineStr">
        <is>
          <t>2,00</t>
        </is>
      </c>
      <c r="O528" s="63" t="inlineStr">
        <is>
          <t>3,20</t>
        </is>
      </c>
      <c r="P528" s="63" t="inlineStr">
        <is>
          <t>108,48</t>
        </is>
      </c>
      <c r="Q528" s="63" t="inlineStr">
        <is>
          <t>125,84</t>
        </is>
      </c>
    </row>
    <row r="529">
      <c r="A529" s="65" t="n"/>
      <c r="B529" s="65" t="n"/>
      <c r="C529" s="65" t="n"/>
      <c r="D529" s="65" t="n"/>
      <c r="E529" s="65" t="n"/>
      <c r="F529" s="65" t="n"/>
      <c r="G529" s="65" t="n"/>
      <c r="H529" s="65" t="n"/>
      <c r="I529" s="65" t="n"/>
      <c r="J529" s="65" t="n"/>
      <c r="K529" s="65" t="n">
        <v>888</v>
      </c>
      <c r="L529" s="65" t="inlineStr">
        <is>
          <t>[0888] ENDUROGLOB 2T AIRE (1x12)</t>
        </is>
      </c>
      <c r="M529" s="63" t="inlineStr">
        <is>
          <t>64,66</t>
        </is>
      </c>
      <c r="N529" s="63" t="inlineStr">
        <is>
          <t>2,00</t>
        </is>
      </c>
      <c r="O529" s="63" t="inlineStr">
        <is>
          <t>3,20</t>
        </is>
      </c>
      <c r="P529" s="63" t="inlineStr">
        <is>
          <t>125,17</t>
        </is>
      </c>
      <c r="Q529" s="63" t="inlineStr">
        <is>
          <t>145,20</t>
        </is>
      </c>
    </row>
    <row r="530">
      <c r="A530" s="65" t="n"/>
      <c r="B530" s="65" t="n"/>
      <c r="C530" s="65" t="n"/>
      <c r="D530" s="65" t="n"/>
      <c r="E530" s="65" t="n"/>
      <c r="F530" s="65" t="n"/>
      <c r="G530" s="65" t="n"/>
      <c r="H530" s="65" t="n"/>
      <c r="I530" s="65" t="n"/>
      <c r="J530" s="65" t="n"/>
      <c r="K530" s="65" t="n">
        <v>93</v>
      </c>
      <c r="L530" s="65" t="inlineStr">
        <is>
          <t>[0093] ALTA CILINDRADA SS API SN SAE 15W-40 (1x6)</t>
        </is>
      </c>
      <c r="M530" s="63" t="inlineStr">
        <is>
          <t>30,17</t>
        </is>
      </c>
      <c r="N530" s="63" t="inlineStr">
        <is>
          <t>1,00</t>
        </is>
      </c>
      <c r="O530" s="63" t="inlineStr">
        <is>
          <t>3,21</t>
        </is>
      </c>
      <c r="P530" s="63" t="inlineStr">
        <is>
          <t>29,20</t>
        </is>
      </c>
      <c r="Q530" s="63" t="inlineStr">
        <is>
          <t>33,88</t>
        </is>
      </c>
    </row>
    <row r="531">
      <c r="A531" s="66" t="n">
        <v>46214</v>
      </c>
      <c r="B531" s="65" t="n">
        <v>294</v>
      </c>
      <c r="C531" s="65" t="inlineStr">
        <is>
          <t>00-00000833</t>
        </is>
      </c>
      <c r="D531" s="65" t="inlineStr">
        <is>
          <t>S00240</t>
        </is>
      </c>
      <c r="E531" s="65" t="inlineStr">
        <is>
          <t>Auto repuestos Fontalvo</t>
        </is>
      </c>
      <c r="F531" s="63" t="inlineStr">
        <is>
          <t>46.497,16</t>
        </is>
      </c>
      <c r="G531" s="63" t="inlineStr">
        <is>
          <t>53.936,71</t>
        </is>
      </c>
      <c r="H531" s="63" t="inlineStr">
        <is>
          <t>75,99</t>
        </is>
      </c>
      <c r="I531" s="63" t="inlineStr">
        <is>
          <t>709,69</t>
        </is>
      </c>
      <c r="J531" s="65" t="n">
        <v>334</v>
      </c>
      <c r="K531" s="65" t="n">
        <v>25</v>
      </c>
      <c r="L531" s="65" t="inlineStr">
        <is>
          <t>[0025] SS EXTRA PROTECCION API SN SAE 10W-30 (Gasolina) (1x6)</t>
        </is>
      </c>
      <c r="M531" s="63" t="inlineStr">
        <is>
          <t>32,76</t>
        </is>
      </c>
      <c r="N531" s="63" t="inlineStr">
        <is>
          <t>2,00</t>
        </is>
      </c>
      <c r="O531" s="63" t="inlineStr">
        <is>
          <t>0,00</t>
        </is>
      </c>
      <c r="P531" s="63" t="inlineStr">
        <is>
          <t>65,52</t>
        </is>
      </c>
      <c r="Q531" s="63" t="inlineStr">
        <is>
          <t>76,00</t>
        </is>
      </c>
    </row>
    <row r="532">
      <c r="A532" s="66" t="n">
        <v>46214</v>
      </c>
      <c r="B532" s="65" t="n">
        <v>293</v>
      </c>
      <c r="C532" s="65" t="inlineStr">
        <is>
          <t>00-00000832</t>
        </is>
      </c>
      <c r="D532" s="65" t="inlineStr">
        <is>
          <t>S00228</t>
        </is>
      </c>
      <c r="E532" s="65" t="inlineStr">
        <is>
          <t>CAUCHOS Y ACCESORIOS LA CAMPIÑA, C.A.</t>
        </is>
      </c>
      <c r="F532" s="63" t="inlineStr">
        <is>
          <t>180.977,91</t>
        </is>
      </c>
      <c r="G532" s="63" t="inlineStr">
        <is>
          <t>209.934,37</t>
        </is>
      </c>
      <c r="H532" s="63" t="inlineStr">
        <is>
          <t>295,80</t>
        </is>
      </c>
      <c r="I532" s="63" t="inlineStr">
        <is>
          <t>709,69</t>
        </is>
      </c>
      <c r="J532" s="65" t="n">
        <v>437</v>
      </c>
      <c r="K532" s="65" t="n">
        <v>880</v>
      </c>
      <c r="L532" s="65" t="inlineStr">
        <is>
          <t>[0880] CLASICO API SL SAE 15W-40 (1x12)</t>
        </is>
      </c>
      <c r="M532" s="63" t="inlineStr">
        <is>
          <t>86,21</t>
        </is>
      </c>
      <c r="N532" s="63" t="inlineStr">
        <is>
          <t>1,00</t>
        </is>
      </c>
      <c r="O532" s="63" t="inlineStr">
        <is>
          <t>1,40</t>
        </is>
      </c>
      <c r="P532" s="63" t="inlineStr">
        <is>
          <t>85,00</t>
        </is>
      </c>
      <c r="Q532" s="63" t="inlineStr">
        <is>
          <t>98,60</t>
        </is>
      </c>
    </row>
    <row r="533">
      <c r="A533" s="65" t="n"/>
      <c r="B533" s="65" t="n"/>
      <c r="C533" s="65" t="n"/>
      <c r="D533" s="65" t="n"/>
      <c r="E533" s="65" t="n"/>
      <c r="F533" s="65" t="n"/>
      <c r="G533" s="65" t="n"/>
      <c r="H533" s="65" t="n"/>
      <c r="I533" s="65" t="n"/>
      <c r="J533" s="65" t="n"/>
      <c r="K533" s="65" t="n">
        <v>877</v>
      </c>
      <c r="L533" s="65" t="inlineStr">
        <is>
          <t>[0877] SS EXTRA PROTECCION API SN SAE 15W-40 (1X12)</t>
        </is>
      </c>
      <c r="M533" s="63" t="inlineStr">
        <is>
          <t>100,80</t>
        </is>
      </c>
      <c r="N533" s="63" t="inlineStr">
        <is>
          <t>1,00</t>
        </is>
      </c>
      <c r="O533" s="63" t="inlineStr">
        <is>
          <t>0,79</t>
        </is>
      </c>
      <c r="P533" s="63" t="inlineStr">
        <is>
          <t>100,00</t>
        </is>
      </c>
      <c r="Q533" s="63" t="inlineStr">
        <is>
          <t>116,00</t>
        </is>
      </c>
    </row>
    <row r="534">
      <c r="A534" s="65" t="n"/>
      <c r="B534" s="65" t="n"/>
      <c r="C534" s="65" t="n"/>
      <c r="D534" s="65" t="n"/>
      <c r="E534" s="65" t="n"/>
      <c r="F534" s="65" t="n"/>
      <c r="G534" s="65" t="n"/>
      <c r="H534" s="65" t="n"/>
      <c r="I534" s="65" t="n"/>
      <c r="J534" s="65" t="n"/>
      <c r="K534" s="65" t="n">
        <v>779</v>
      </c>
      <c r="L534" s="65" t="inlineStr">
        <is>
          <t>[0779] SINOCO SAE 20W-50 (1x12)</t>
        </is>
      </c>
      <c r="M534" s="63" t="inlineStr">
        <is>
          <t>70,29</t>
        </is>
      </c>
      <c r="N534" s="63" t="inlineStr">
        <is>
          <t>1,00</t>
        </is>
      </c>
      <c r="O534" s="63" t="inlineStr">
        <is>
          <t>0,41</t>
        </is>
      </c>
      <c r="P534" s="63" t="inlineStr">
        <is>
          <t>70,00</t>
        </is>
      </c>
      <c r="Q534" s="63" t="inlineStr">
        <is>
          <t>81,20</t>
        </is>
      </c>
    </row>
    <row r="535">
      <c r="A535" s="66" t="n">
        <v>46214</v>
      </c>
      <c r="B535" s="65" t="n">
        <v>292</v>
      </c>
      <c r="C535" s="65" t="inlineStr">
        <is>
          <t>00-00000831</t>
        </is>
      </c>
      <c r="D535" s="65" t="inlineStr">
        <is>
          <t>S00226</t>
        </is>
      </c>
      <c r="E535" s="65" t="inlineStr">
        <is>
          <t>Josefina Guevera</t>
        </is>
      </c>
      <c r="F535" s="63" t="inlineStr">
        <is>
          <t>161.516,45</t>
        </is>
      </c>
      <c r="G535" s="63" t="inlineStr">
        <is>
          <t>187.359,08</t>
        </is>
      </c>
      <c r="H535" s="63" t="inlineStr">
        <is>
          <t>263,98</t>
        </is>
      </c>
      <c r="I535" s="63" t="inlineStr">
        <is>
          <t>709,69</t>
        </is>
      </c>
      <c r="J535" s="65" t="n">
        <v>427</v>
      </c>
      <c r="K535" s="65" t="n">
        <v>884</v>
      </c>
      <c r="L535" s="65" t="inlineStr">
        <is>
          <t>[0884] TRANSMATIC ATF DEXRON III (1x12)</t>
        </is>
      </c>
      <c r="M535" s="63" t="inlineStr">
        <is>
          <t>62,07</t>
        </is>
      </c>
      <c r="N535" s="63" t="inlineStr">
        <is>
          <t>1,00</t>
        </is>
      </c>
      <c r="O535" s="63" t="inlineStr">
        <is>
          <t>0,00</t>
        </is>
      </c>
      <c r="P535" s="63" t="inlineStr">
        <is>
          <t>62,07</t>
        </is>
      </c>
      <c r="Q535" s="63" t="inlineStr">
        <is>
          <t>72,00</t>
        </is>
      </c>
    </row>
    <row r="536">
      <c r="A536" s="65" t="n"/>
      <c r="B536" s="65" t="n"/>
      <c r="C536" s="65" t="n"/>
      <c r="D536" s="65" t="n"/>
      <c r="E536" s="65" t="n"/>
      <c r="F536" s="65" t="n"/>
      <c r="G536" s="65" t="n"/>
      <c r="H536" s="65" t="n"/>
      <c r="I536" s="65" t="n"/>
      <c r="J536" s="65" t="n">
        <v>692</v>
      </c>
      <c r="K536" s="65" t="n"/>
      <c r="L536" s="65" t="n"/>
      <c r="M536" s="65" t="n"/>
      <c r="N536" s="65" t="n"/>
      <c r="O536" s="65" t="n"/>
      <c r="P536" s="65" t="n"/>
      <c r="Q536" s="65" t="n"/>
    </row>
    <row r="537">
      <c r="A537" s="65" t="n"/>
      <c r="B537" s="65" t="n"/>
      <c r="C537" s="65" t="n"/>
      <c r="D537" s="65" t="n"/>
      <c r="E537" s="65" t="n"/>
      <c r="F537" s="65" t="n"/>
      <c r="G537" s="65" t="n"/>
      <c r="H537" s="65" t="n"/>
      <c r="I537" s="65" t="n"/>
      <c r="J537" s="65" t="n"/>
      <c r="K537" s="65" t="n">
        <v>605</v>
      </c>
      <c r="L537" s="65" t="inlineStr">
        <is>
          <t>[0605] SINOCO SAE 20W-50 (PAILA)</t>
        </is>
      </c>
      <c r="M537" s="63" t="inlineStr">
        <is>
          <t>62,93</t>
        </is>
      </c>
      <c r="N537" s="63" t="inlineStr">
        <is>
          <t>1,00</t>
        </is>
      </c>
      <c r="O537" s="63" t="inlineStr">
        <is>
          <t>0,00</t>
        </is>
      </c>
      <c r="P537" s="63" t="inlineStr">
        <is>
          <t>62,93</t>
        </is>
      </c>
      <c r="Q537" s="63" t="inlineStr">
        <is>
          <t>73,00</t>
        </is>
      </c>
    </row>
    <row r="538">
      <c r="A538" s="65" t="n"/>
      <c r="B538" s="65" t="n"/>
      <c r="C538" s="65" t="n"/>
      <c r="D538" s="65" t="n"/>
      <c r="E538" s="65" t="n"/>
      <c r="F538" s="65" t="n"/>
      <c r="G538" s="65" t="n"/>
      <c r="H538" s="65" t="n"/>
      <c r="I538" s="65" t="n"/>
      <c r="J538" s="65" t="n"/>
      <c r="K538" s="65" t="n">
        <v>121</v>
      </c>
      <c r="L538" s="65" t="inlineStr">
        <is>
          <t>[0121] TRANSGLOB API GL-5 SAE 80W-90 (1x6)</t>
        </is>
      </c>
      <c r="M538" s="63" t="inlineStr">
        <is>
          <t>33,62</t>
        </is>
      </c>
      <c r="N538" s="63" t="inlineStr">
        <is>
          <t>1,00</t>
        </is>
      </c>
      <c r="O538" s="63" t="inlineStr">
        <is>
          <t>0,00</t>
        </is>
      </c>
      <c r="P538" s="63" t="inlineStr">
        <is>
          <t>33,62</t>
        </is>
      </c>
      <c r="Q538" s="63" t="inlineStr">
        <is>
          <t>39,00</t>
        </is>
      </c>
    </row>
    <row r="539">
      <c r="A539" s="65" t="n"/>
      <c r="B539" s="65" t="n"/>
      <c r="C539" s="65" t="n"/>
      <c r="D539" s="65" t="n"/>
      <c r="E539" s="65" t="n"/>
      <c r="F539" s="65" t="n"/>
      <c r="G539" s="65" t="n"/>
      <c r="H539" s="65" t="n"/>
      <c r="I539" s="65" t="n"/>
      <c r="J539" s="65" t="n"/>
      <c r="K539" s="65" t="n">
        <v>774</v>
      </c>
      <c r="L539" s="65" t="inlineStr">
        <is>
          <t>[0774] LIGA PARA FRENOS DOT-4 (1X6)</t>
        </is>
      </c>
      <c r="M539" s="63" t="inlineStr">
        <is>
          <t>42,24</t>
        </is>
      </c>
      <c r="N539" s="63" t="inlineStr">
        <is>
          <t>1,00</t>
        </is>
      </c>
      <c r="O539" s="63" t="inlineStr">
        <is>
          <t>0,00</t>
        </is>
      </c>
      <c r="P539" s="63" t="inlineStr">
        <is>
          <t>42,24</t>
        </is>
      </c>
      <c r="Q539" s="63" t="inlineStr">
        <is>
          <t>49,00</t>
        </is>
      </c>
    </row>
    <row r="540">
      <c r="A540" s="65" t="n"/>
      <c r="B540" s="65" t="n"/>
      <c r="C540" s="65" t="n"/>
      <c r="D540" s="65" t="n"/>
      <c r="E540" s="65" t="n"/>
      <c r="F540" s="65" t="n"/>
      <c r="G540" s="65" t="n"/>
      <c r="H540" s="65" t="n"/>
      <c r="I540" s="65" t="n"/>
      <c r="J540" s="65" t="n"/>
      <c r="K540" s="65" t="n">
        <v>775</v>
      </c>
      <c r="L540" s="65" t="inlineStr">
        <is>
          <t>[0775] LIGA PARA FRENOS DOT-4 (1X12)</t>
        </is>
      </c>
      <c r="M540" s="63" t="inlineStr">
        <is>
          <t>26,72</t>
        </is>
      </c>
      <c r="N540" s="63" t="inlineStr">
        <is>
          <t>1,00</t>
        </is>
      </c>
      <c r="O540" s="63" t="inlineStr">
        <is>
          <t>0,00</t>
        </is>
      </c>
      <c r="P540" s="63" t="inlineStr">
        <is>
          <t>26,72</t>
        </is>
      </c>
      <c r="Q540" s="63" t="inlineStr">
        <is>
          <t>31,00</t>
        </is>
      </c>
    </row>
    <row r="541">
      <c r="A541" s="66" t="n">
        <v>46214</v>
      </c>
      <c r="B541" s="65" t="n">
        <v>291</v>
      </c>
      <c r="C541" s="65" t="inlineStr">
        <is>
          <t>00-00000829</t>
        </is>
      </c>
      <c r="D541" s="65" t="inlineStr">
        <is>
          <t>S00221</t>
        </is>
      </c>
      <c r="E541" s="65" t="inlineStr">
        <is>
          <t>ACCESORIOS Y REPUESTOS MOTO CAR 20-11-C.A</t>
        </is>
      </c>
      <c r="F541" s="63" t="inlineStr">
        <is>
          <t>86.264,47</t>
        </is>
      </c>
      <c r="G541" s="63" t="inlineStr">
        <is>
          <t>100.066,79</t>
        </is>
      </c>
      <c r="H541" s="63" t="inlineStr">
        <is>
          <t>140,98</t>
        </is>
      </c>
      <c r="I541" s="63" t="inlineStr">
        <is>
          <t>709,69</t>
        </is>
      </c>
      <c r="J541" s="65" t="n">
        <v>267</v>
      </c>
      <c r="K541" s="65" t="n">
        <v>887</v>
      </c>
      <c r="L541" s="65" t="inlineStr">
        <is>
          <t>[0887] MOTOCLASICO 4T SAE 20W-50 (1x12)</t>
        </is>
      </c>
      <c r="M541" s="63" t="inlineStr">
        <is>
          <t>58,62</t>
        </is>
      </c>
      <c r="N541" s="63" t="inlineStr">
        <is>
          <t>1,00</t>
        </is>
      </c>
      <c r="O541" s="63" t="inlineStr">
        <is>
          <t>0,00</t>
        </is>
      </c>
      <c r="P541" s="63" t="inlineStr">
        <is>
          <t>58,62</t>
        </is>
      </c>
      <c r="Q541" s="63" t="inlineStr">
        <is>
          <t>68,00</t>
        </is>
      </c>
    </row>
    <row r="542">
      <c r="A542" s="65" t="n"/>
      <c r="B542" s="65" t="n"/>
      <c r="C542" s="65" t="n"/>
      <c r="D542" s="65" t="n"/>
      <c r="E542" s="65" t="n"/>
      <c r="F542" s="65" t="n"/>
      <c r="G542" s="65" t="n"/>
      <c r="H542" s="65" t="n"/>
      <c r="I542" s="65" t="n"/>
      <c r="J542" s="65" t="n">
        <v>757</v>
      </c>
      <c r="K542" s="65" t="n"/>
      <c r="L542" s="65" t="n"/>
      <c r="M542" s="65" t="n"/>
      <c r="N542" s="65" t="n"/>
      <c r="O542" s="65" t="n"/>
      <c r="P542" s="65" t="n"/>
      <c r="Q542" s="65" t="n"/>
    </row>
    <row r="543">
      <c r="A543" s="65" t="n"/>
      <c r="B543" s="65" t="n"/>
      <c r="C543" s="65" t="n"/>
      <c r="D543" s="65" t="n"/>
      <c r="E543" s="65" t="n"/>
      <c r="F543" s="65" t="n"/>
      <c r="G543" s="65" t="n"/>
      <c r="H543" s="65" t="n"/>
      <c r="I543" s="65" t="n"/>
      <c r="J543" s="65" t="n"/>
      <c r="K543" s="65" t="n"/>
      <c r="L543" s="65" t="n"/>
      <c r="M543" s="63" t="inlineStr">
        <is>
          <t>0,00</t>
        </is>
      </c>
      <c r="N543" s="63" t="inlineStr">
        <is>
          <t>0,00</t>
        </is>
      </c>
      <c r="O543" s="63" t="inlineStr">
        <is>
          <t>0,00</t>
        </is>
      </c>
      <c r="P543" s="63" t="inlineStr">
        <is>
          <t>0,00</t>
        </is>
      </c>
      <c r="Q543" s="63" t="inlineStr">
        <is>
          <t>0,00</t>
        </is>
      </c>
    </row>
    <row r="544">
      <c r="A544" s="65" t="n"/>
      <c r="B544" s="65" t="n"/>
      <c r="C544" s="65" t="n"/>
      <c r="D544" s="65" t="n"/>
      <c r="E544" s="65" t="n"/>
      <c r="F544" s="65" t="n"/>
      <c r="G544" s="65" t="n"/>
      <c r="H544" s="65" t="n"/>
      <c r="I544" s="65" t="n"/>
      <c r="J544" s="65" t="n"/>
      <c r="K544" s="65" t="n">
        <v>93</v>
      </c>
      <c r="L544" s="65" t="inlineStr">
        <is>
          <t>[0093] ALTA CILINDRADA SS API SN SAE 15W-40 (1x6)</t>
        </is>
      </c>
      <c r="M544" s="63" t="inlineStr">
        <is>
          <t>30,17</t>
        </is>
      </c>
      <c r="N544" s="63" t="inlineStr">
        <is>
          <t>1,00</t>
        </is>
      </c>
      <c r="O544" s="63" t="inlineStr">
        <is>
          <t>0,00</t>
        </is>
      </c>
      <c r="P544" s="63" t="inlineStr">
        <is>
          <t>30,17</t>
        </is>
      </c>
      <c r="Q544" s="63" t="inlineStr">
        <is>
          <t>35,00</t>
        </is>
      </c>
    </row>
    <row r="545">
      <c r="A545" s="65" t="n"/>
      <c r="B545" s="65" t="n"/>
      <c r="C545" s="65" t="n"/>
      <c r="D545" s="65" t="n"/>
      <c r="E545" s="65" t="n"/>
      <c r="F545" s="65" t="n"/>
      <c r="G545" s="65" t="n"/>
      <c r="H545" s="65" t="n"/>
      <c r="I545" s="65" t="n"/>
      <c r="J545" s="65" t="n"/>
      <c r="K545" s="65" t="n">
        <v>87</v>
      </c>
      <c r="L545" s="65" t="inlineStr">
        <is>
          <t>[0087] ENDUROGLOB 2T AIRE (1x6)</t>
        </is>
      </c>
      <c r="M545" s="63" t="inlineStr">
        <is>
          <t>32,76</t>
        </is>
      </c>
      <c r="N545" s="63" t="inlineStr">
        <is>
          <t>1,00</t>
        </is>
      </c>
      <c r="O545" s="63" t="inlineStr">
        <is>
          <t>0,00</t>
        </is>
      </c>
      <c r="P545" s="63" t="inlineStr">
        <is>
          <t>32,76</t>
        </is>
      </c>
      <c r="Q545" s="63" t="inlineStr">
        <is>
          <t>38,00</t>
        </is>
      </c>
    </row>
    <row r="546">
      <c r="A546" s="66" t="n">
        <v>46214</v>
      </c>
      <c r="B546" s="65" t="n">
        <v>290</v>
      </c>
      <c r="C546" s="65" t="inlineStr">
        <is>
          <t>00-00000828</t>
        </is>
      </c>
      <c r="D546" s="65" t="inlineStr">
        <is>
          <t>S00222</t>
        </is>
      </c>
      <c r="E546" s="65" t="inlineStr">
        <is>
          <t>Braulio R. Cedeño Gonzalez.</t>
        </is>
      </c>
      <c r="F546" s="63" t="inlineStr">
        <is>
          <t>198.224,73</t>
        </is>
      </c>
      <c r="G546" s="63" t="inlineStr">
        <is>
          <t>229.940,69</t>
        </is>
      </c>
      <c r="H546" s="63" t="inlineStr">
        <is>
          <t>323,97</t>
        </is>
      </c>
      <c r="I546" s="63" t="inlineStr">
        <is>
          <t>709,69</t>
        </is>
      </c>
      <c r="J546" s="65" t="n">
        <v>308</v>
      </c>
      <c r="K546" s="65" t="n">
        <v>605</v>
      </c>
      <c r="L546" s="65" t="inlineStr">
        <is>
          <t>[0605] SINOCO SAE 20W-50 (PAILA)</t>
        </is>
      </c>
      <c r="M546" s="63" t="inlineStr">
        <is>
          <t>62,93</t>
        </is>
      </c>
      <c r="N546" s="63" t="inlineStr">
        <is>
          <t>2,00</t>
        </is>
      </c>
      <c r="O546" s="63" t="inlineStr">
        <is>
          <t>0,00</t>
        </is>
      </c>
      <c r="P546" s="63" t="inlineStr">
        <is>
          <t>125,86</t>
        </is>
      </c>
      <c r="Q546" s="63" t="inlineStr">
        <is>
          <t>146,00</t>
        </is>
      </c>
    </row>
    <row r="547">
      <c r="A547" s="65" t="n"/>
      <c r="B547" s="65" t="n"/>
      <c r="C547" s="65" t="n"/>
      <c r="D547" s="65" t="n"/>
      <c r="E547" s="65" t="n"/>
      <c r="F547" s="65" t="n"/>
      <c r="G547" s="65" t="n"/>
      <c r="H547" s="65" t="n"/>
      <c r="I547" s="65" t="n"/>
      <c r="J547" s="65" t="n">
        <v>375</v>
      </c>
      <c r="K547" s="65" t="n"/>
      <c r="L547" s="65" t="n"/>
      <c r="M547" s="65" t="n"/>
      <c r="N547" s="65" t="n"/>
      <c r="O547" s="65" t="n"/>
      <c r="P547" s="65" t="n"/>
      <c r="Q547" s="65" t="n"/>
    </row>
    <row r="548">
      <c r="A548" s="65" t="n"/>
      <c r="B548" s="65" t="n"/>
      <c r="C548" s="65" t="n"/>
      <c r="D548" s="65" t="n"/>
      <c r="E548" s="65" t="n"/>
      <c r="F548" s="65" t="n"/>
      <c r="G548" s="65" t="n"/>
      <c r="H548" s="65" t="n"/>
      <c r="I548" s="65" t="n"/>
      <c r="J548" s="65" t="n">
        <v>585</v>
      </c>
      <c r="K548" s="65" t="n"/>
      <c r="L548" s="65" t="n"/>
      <c r="M548" s="65" t="n"/>
      <c r="N548" s="65" t="n"/>
      <c r="O548" s="65" t="n"/>
      <c r="P548" s="65" t="n"/>
      <c r="Q548" s="65" t="n"/>
    </row>
    <row r="549">
      <c r="A549" s="65" t="n"/>
      <c r="B549" s="65" t="n"/>
      <c r="C549" s="65" t="n"/>
      <c r="D549" s="65" t="n"/>
      <c r="E549" s="65" t="n"/>
      <c r="F549" s="65" t="n"/>
      <c r="G549" s="65" t="n"/>
      <c r="H549" s="65" t="n"/>
      <c r="I549" s="65" t="n"/>
      <c r="J549" s="65" t="n">
        <v>678</v>
      </c>
      <c r="K549" s="65" t="n"/>
      <c r="L549" s="65" t="n"/>
      <c r="M549" s="65" t="n"/>
      <c r="N549" s="65" t="n"/>
      <c r="O549" s="65" t="n"/>
      <c r="P549" s="65" t="n"/>
      <c r="Q549" s="65" t="n"/>
    </row>
    <row r="550">
      <c r="A550" s="65" t="n"/>
      <c r="B550" s="65" t="n"/>
      <c r="C550" s="65" t="n"/>
      <c r="D550" s="65" t="n"/>
      <c r="E550" s="65" t="n"/>
      <c r="F550" s="65" t="n"/>
      <c r="G550" s="65" t="n"/>
      <c r="H550" s="65" t="n"/>
      <c r="I550" s="65" t="n"/>
      <c r="J550" s="65" t="n">
        <v>827</v>
      </c>
      <c r="K550" s="65" t="n"/>
      <c r="L550" s="65" t="n"/>
      <c r="M550" s="65" t="n"/>
      <c r="N550" s="65" t="n"/>
      <c r="O550" s="65" t="n"/>
      <c r="P550" s="65" t="n"/>
      <c r="Q550" s="65" t="n"/>
    </row>
    <row r="551">
      <c r="A551" s="65" t="n"/>
      <c r="B551" s="65" t="n"/>
      <c r="C551" s="65" t="n"/>
      <c r="D551" s="65" t="n"/>
      <c r="E551" s="65" t="n"/>
      <c r="F551" s="65" t="n"/>
      <c r="G551" s="65" t="n"/>
      <c r="H551" s="65" t="n"/>
      <c r="I551" s="65" t="n"/>
      <c r="J551" s="65" t="n">
        <v>925</v>
      </c>
      <c r="K551" s="65" t="n"/>
      <c r="L551" s="65" t="n"/>
      <c r="M551" s="65" t="n"/>
      <c r="N551" s="65" t="n"/>
      <c r="O551" s="65" t="n"/>
      <c r="P551" s="65" t="n"/>
      <c r="Q551" s="65" t="n"/>
    </row>
    <row r="552">
      <c r="A552" s="65" t="n"/>
      <c r="B552" s="65" t="n"/>
      <c r="C552" s="65" t="n"/>
      <c r="D552" s="65" t="n"/>
      <c r="E552" s="65" t="n"/>
      <c r="F552" s="65" t="n"/>
      <c r="G552" s="65" t="n"/>
      <c r="H552" s="65" t="n"/>
      <c r="I552" s="65" t="n"/>
      <c r="J552" s="65" t="n"/>
      <c r="K552" s="65" t="n">
        <v>779</v>
      </c>
      <c r="L552" s="65" t="inlineStr">
        <is>
          <t>[0779] SINOCO SAE 20W-50 (1x12)</t>
        </is>
      </c>
      <c r="M552" s="63" t="inlineStr">
        <is>
          <t>45,69</t>
        </is>
      </c>
      <c r="N552" s="63" t="inlineStr">
        <is>
          <t>2,00</t>
        </is>
      </c>
      <c r="O552" s="63" t="inlineStr">
        <is>
          <t>0,00</t>
        </is>
      </c>
      <c r="P552" s="63" t="inlineStr">
        <is>
          <t>91,38</t>
        </is>
      </c>
      <c r="Q552" s="63" t="inlineStr">
        <is>
          <t>106,00</t>
        </is>
      </c>
    </row>
    <row r="553">
      <c r="A553" s="65" t="n"/>
      <c r="B553" s="65" t="n"/>
      <c r="C553" s="65" t="n"/>
      <c r="D553" s="65" t="n"/>
      <c r="E553" s="65" t="n"/>
      <c r="F553" s="65" t="n"/>
      <c r="G553" s="65" t="n"/>
      <c r="H553" s="65" t="n"/>
      <c r="I553" s="65" t="n"/>
      <c r="J553" s="65" t="n"/>
      <c r="K553" s="65" t="n">
        <v>884</v>
      </c>
      <c r="L553" s="65" t="inlineStr">
        <is>
          <t>[0884] TRANSMATIC ATF DEXRON III (1x12)</t>
        </is>
      </c>
      <c r="M553" s="63" t="inlineStr">
        <is>
          <t>62,07</t>
        </is>
      </c>
      <c r="N553" s="63" t="inlineStr">
        <is>
          <t>1,00</t>
        </is>
      </c>
      <c r="O553" s="63" t="inlineStr">
        <is>
          <t>0,00</t>
        </is>
      </c>
      <c r="P553" s="63" t="inlineStr">
        <is>
          <t>62,07</t>
        </is>
      </c>
      <c r="Q553" s="63" t="inlineStr">
        <is>
          <t>72,00</t>
        </is>
      </c>
    </row>
    <row r="554">
      <c r="A554" s="66" t="n">
        <v>46214</v>
      </c>
      <c r="B554" s="65" t="n">
        <v>289</v>
      </c>
      <c r="C554" s="65" t="inlineStr">
        <is>
          <t>00-00000827</t>
        </is>
      </c>
      <c r="D554" s="65" t="inlineStr">
        <is>
          <t>S00218</t>
        </is>
      </c>
      <c r="E554" s="65" t="inlineStr">
        <is>
          <t>Cooperativa Dios mi Amparo, R.L.</t>
        </is>
      </c>
      <c r="F554" s="63" t="inlineStr">
        <is>
          <t>176.811,57</t>
        </is>
      </c>
      <c r="G554" s="63" t="inlineStr">
        <is>
          <t>205.101,43</t>
        </is>
      </c>
      <c r="H554" s="63" t="inlineStr">
        <is>
          <t>288,97</t>
        </is>
      </c>
      <c r="I554" s="63" t="inlineStr">
        <is>
          <t>709,69</t>
        </is>
      </c>
      <c r="J554" s="65" t="n">
        <v>441</v>
      </c>
      <c r="K554" s="65" t="n">
        <v>881</v>
      </c>
      <c r="L554" s="65" t="inlineStr">
        <is>
          <t>[0881] CLASICO API SL SAE 20W-50 (1x12)</t>
        </is>
      </c>
      <c r="M554" s="63" t="inlineStr">
        <is>
          <t>56,03</t>
        </is>
      </c>
      <c r="N554" s="63" t="inlineStr">
        <is>
          <t>1,00</t>
        </is>
      </c>
      <c r="O554" s="63" t="inlineStr">
        <is>
          <t>0,00</t>
        </is>
      </c>
      <c r="P554" s="63" t="inlineStr">
        <is>
          <t>56,03</t>
        </is>
      </c>
      <c r="Q554" s="63" t="inlineStr">
        <is>
          <t>65,00</t>
        </is>
      </c>
    </row>
    <row r="555">
      <c r="A555" s="65" t="n"/>
      <c r="B555" s="65" t="n"/>
      <c r="C555" s="65" t="n"/>
      <c r="D555" s="65" t="n"/>
      <c r="E555" s="65" t="n"/>
      <c r="F555" s="65" t="n"/>
      <c r="G555" s="65" t="n"/>
      <c r="H555" s="65" t="n"/>
      <c r="I555" s="65" t="n"/>
      <c r="J555" s="65" t="n">
        <v>622</v>
      </c>
      <c r="K555" s="65" t="n"/>
      <c r="L555" s="65" t="n"/>
      <c r="M555" s="65" t="n"/>
      <c r="N555" s="65" t="n"/>
      <c r="O555" s="65" t="n"/>
      <c r="P555" s="65" t="n"/>
      <c r="Q555" s="65" t="n"/>
    </row>
    <row r="556">
      <c r="A556" s="65" t="n"/>
      <c r="B556" s="65" t="n"/>
      <c r="C556" s="65" t="n"/>
      <c r="D556" s="65" t="n"/>
      <c r="E556" s="65" t="n"/>
      <c r="F556" s="65" t="n"/>
      <c r="G556" s="65" t="n"/>
      <c r="H556" s="65" t="n"/>
      <c r="I556" s="65" t="n"/>
      <c r="J556" s="65" t="n">
        <v>752</v>
      </c>
      <c r="K556" s="65" t="n"/>
      <c r="L556" s="65" t="n"/>
      <c r="M556" s="65" t="n"/>
      <c r="N556" s="65" t="n"/>
      <c r="O556" s="65" t="n"/>
      <c r="P556" s="65" t="n"/>
      <c r="Q556" s="65" t="n"/>
    </row>
    <row r="557">
      <c r="A557" s="65" t="n"/>
      <c r="B557" s="65" t="n"/>
      <c r="C557" s="65" t="n"/>
      <c r="D557" s="65" t="n"/>
      <c r="E557" s="65" t="n"/>
      <c r="F557" s="65" t="n"/>
      <c r="G557" s="65" t="n"/>
      <c r="H557" s="65" t="n"/>
      <c r="I557" s="65" t="n"/>
      <c r="J557" s="65" t="n">
        <v>881</v>
      </c>
      <c r="K557" s="65" t="n"/>
      <c r="L557" s="65" t="n"/>
      <c r="M557" s="65" t="n"/>
      <c r="N557" s="65" t="n"/>
      <c r="O557" s="65" t="n"/>
      <c r="P557" s="65" t="n"/>
      <c r="Q557" s="65" t="n"/>
    </row>
    <row r="558">
      <c r="A558" s="65" t="n"/>
      <c r="B558" s="65" t="n"/>
      <c r="C558" s="65" t="n"/>
      <c r="D558" s="65" t="n"/>
      <c r="E558" s="65" t="n"/>
      <c r="F558" s="65" t="n"/>
      <c r="G558" s="65" t="n"/>
      <c r="H558" s="65" t="n"/>
      <c r="I558" s="65" t="n"/>
      <c r="J558" s="65" t="n"/>
      <c r="K558" s="65" t="n"/>
      <c r="L558" s="65" t="n"/>
      <c r="M558" s="63" t="inlineStr">
        <is>
          <t>0,00</t>
        </is>
      </c>
      <c r="N558" s="63" t="inlineStr">
        <is>
          <t>0,00</t>
        </is>
      </c>
      <c r="O558" s="63" t="inlineStr">
        <is>
          <t>0,00</t>
        </is>
      </c>
      <c r="P558" s="63" t="inlineStr">
        <is>
          <t>0,00</t>
        </is>
      </c>
      <c r="Q558" s="63" t="inlineStr">
        <is>
          <t>0,00</t>
        </is>
      </c>
    </row>
    <row r="559">
      <c r="A559" s="65" t="n"/>
      <c r="B559" s="65" t="n"/>
      <c r="C559" s="65" t="n"/>
      <c r="D559" s="65" t="n"/>
      <c r="E559" s="65" t="n"/>
      <c r="F559" s="65" t="n"/>
      <c r="G559" s="65" t="n"/>
      <c r="H559" s="65" t="n"/>
      <c r="I559" s="65" t="n"/>
      <c r="J559" s="65" t="n"/>
      <c r="K559" s="65" t="n">
        <v>884</v>
      </c>
      <c r="L559" s="65" t="inlineStr">
        <is>
          <t>[0884] TRANSMATIC ATF DEXRON III (1x12)</t>
        </is>
      </c>
      <c r="M559" s="63" t="inlineStr">
        <is>
          <t>62,07</t>
        </is>
      </c>
      <c r="N559" s="63" t="inlineStr">
        <is>
          <t>1,00</t>
        </is>
      </c>
      <c r="O559" s="63" t="inlineStr">
        <is>
          <t>0,00</t>
        </is>
      </c>
      <c r="P559" s="63" t="inlineStr">
        <is>
          <t>62,07</t>
        </is>
      </c>
      <c r="Q559" s="63" t="inlineStr">
        <is>
          <t>72,00</t>
        </is>
      </c>
    </row>
    <row r="560">
      <c r="A560" s="65" t="n"/>
      <c r="B560" s="65" t="n"/>
      <c r="C560" s="65" t="n"/>
      <c r="D560" s="65" t="n"/>
      <c r="E560" s="65" t="n"/>
      <c r="F560" s="65" t="n"/>
      <c r="G560" s="65" t="n"/>
      <c r="H560" s="65" t="n"/>
      <c r="I560" s="65" t="n"/>
      <c r="J560" s="65" t="n"/>
      <c r="K560" s="65" t="n">
        <v>877</v>
      </c>
      <c r="L560" s="65" t="inlineStr">
        <is>
          <t>[0877] SS EXTRA PROTECCION API SN SAE 15W-40 (1X12)</t>
        </is>
      </c>
      <c r="M560" s="63" t="inlineStr">
        <is>
          <t>65,52</t>
        </is>
      </c>
      <c r="N560" s="63" t="inlineStr">
        <is>
          <t>1,00</t>
        </is>
      </c>
      <c r="O560" s="63" t="inlineStr">
        <is>
          <t>0,00</t>
        </is>
      </c>
      <c r="P560" s="63" t="inlineStr">
        <is>
          <t>65,52</t>
        </is>
      </c>
      <c r="Q560" s="63" t="inlineStr">
        <is>
          <t>76,00</t>
        </is>
      </c>
    </row>
    <row r="561">
      <c r="A561" s="65" t="n"/>
      <c r="B561" s="65" t="n"/>
      <c r="C561" s="65" t="n"/>
      <c r="D561" s="65" t="n"/>
      <c r="E561" s="65" t="n"/>
      <c r="F561" s="65" t="n"/>
      <c r="G561" s="65" t="n"/>
      <c r="H561" s="65" t="n"/>
      <c r="I561" s="65" t="n"/>
      <c r="J561" s="65" t="n"/>
      <c r="K561" s="65" t="n">
        <v>878</v>
      </c>
      <c r="L561" s="65" t="inlineStr">
        <is>
          <t>[0878] SS EXTRA PROTECCION API SN SAE 20W-50 (1x12)</t>
        </is>
      </c>
      <c r="M561" s="63" t="inlineStr">
        <is>
          <t>65,52</t>
        </is>
      </c>
      <c r="N561" s="63" t="inlineStr">
        <is>
          <t>1,00</t>
        </is>
      </c>
      <c r="O561" s="63" t="inlineStr">
        <is>
          <t>0,00</t>
        </is>
      </c>
      <c r="P561" s="63" t="inlineStr">
        <is>
          <t>65,52</t>
        </is>
      </c>
      <c r="Q561" s="63" t="inlineStr">
        <is>
          <t>76,00</t>
        </is>
      </c>
    </row>
    <row r="562">
      <c r="A562" s="66" t="n">
        <v>46214</v>
      </c>
      <c r="B562" s="65" t="n">
        <v>288</v>
      </c>
      <c r="C562" s="65" t="inlineStr">
        <is>
          <t>00-00000826</t>
        </is>
      </c>
      <c r="D562" s="65" t="inlineStr">
        <is>
          <t>S00215</t>
        </is>
      </c>
      <c r="E562" s="65" t="inlineStr">
        <is>
          <t>Alejandro Zorrilla</t>
        </is>
      </c>
      <c r="F562" s="63" t="inlineStr">
        <is>
          <t>70.971,96</t>
        </is>
      </c>
      <c r="G562" s="63" t="inlineStr">
        <is>
          <t>82.327,47</t>
        </is>
      </c>
      <c r="H562" s="63" t="inlineStr">
        <is>
          <t>116,00</t>
        </is>
      </c>
      <c r="I562" s="63" t="inlineStr">
        <is>
          <t>709,69</t>
        </is>
      </c>
      <c r="J562" s="65" t="n">
        <v>580</v>
      </c>
      <c r="K562" s="65" t="n">
        <v>877</v>
      </c>
      <c r="L562" s="65" t="inlineStr">
        <is>
          <t>[0877] SS EXTRA PROTECCION API SN SAE 15W-40 (1X12)</t>
        </is>
      </c>
      <c r="M562" s="63" t="inlineStr">
        <is>
          <t>100,80</t>
        </is>
      </c>
      <c r="N562" s="63" t="inlineStr">
        <is>
          <t>1,00</t>
        </is>
      </c>
      <c r="O562" s="63" t="inlineStr">
        <is>
          <t>0,79</t>
        </is>
      </c>
      <c r="P562" s="63" t="inlineStr">
        <is>
          <t>100,00</t>
        </is>
      </c>
      <c r="Q562" s="63" t="inlineStr">
        <is>
          <t>116,00</t>
        </is>
      </c>
    </row>
    <row r="563">
      <c r="A563" s="66" t="n">
        <v>46214</v>
      </c>
      <c r="B563" s="65" t="n">
        <v>287</v>
      </c>
      <c r="C563" s="65" t="inlineStr">
        <is>
          <t>00-00000825</t>
        </is>
      </c>
      <c r="D563" s="65" t="inlineStr">
        <is>
          <t>S00213</t>
        </is>
      </c>
      <c r="E563" s="65" t="inlineStr">
        <is>
          <t>Angel ARMAS</t>
        </is>
      </c>
      <c r="F563" s="63" t="inlineStr">
        <is>
          <t>172.528,94</t>
        </is>
      </c>
      <c r="G563" s="63" t="inlineStr">
        <is>
          <t>200.133,57</t>
        </is>
      </c>
      <c r="H563" s="63" t="inlineStr">
        <is>
          <t>281,99</t>
        </is>
      </c>
      <c r="I563" s="63" t="inlineStr">
        <is>
          <t>709,69</t>
        </is>
      </c>
      <c r="J563" s="65" t="n">
        <v>22</v>
      </c>
      <c r="K563" s="65" t="n">
        <v>887</v>
      </c>
      <c r="L563" s="65" t="inlineStr">
        <is>
          <t>[0887] MOTOCLASICO 4T SAE 20W-50 (1x12)</t>
        </is>
      </c>
      <c r="M563" s="63" t="inlineStr">
        <is>
          <t>58,62</t>
        </is>
      </c>
      <c r="N563" s="63" t="inlineStr">
        <is>
          <t>3,00</t>
        </is>
      </c>
      <c r="O563" s="63" t="inlineStr">
        <is>
          <t>0,00</t>
        </is>
      </c>
      <c r="P563" s="63" t="inlineStr">
        <is>
          <t>175,86</t>
        </is>
      </c>
      <c r="Q563" s="63" t="inlineStr">
        <is>
          <t>204,00</t>
        </is>
      </c>
    </row>
    <row r="564">
      <c r="A564" s="65" t="n"/>
      <c r="B564" s="65" t="n"/>
      <c r="C564" s="65" t="n"/>
      <c r="D564" s="65" t="n"/>
      <c r="E564" s="65" t="n"/>
      <c r="F564" s="65" t="n"/>
      <c r="G564" s="65" t="n"/>
      <c r="H564" s="65" t="n"/>
      <c r="I564" s="65" t="n"/>
      <c r="J564" s="65" t="n">
        <v>632</v>
      </c>
      <c r="K564" s="65" t="n"/>
      <c r="L564" s="65" t="n"/>
      <c r="M564" s="65" t="n"/>
      <c r="N564" s="65" t="n"/>
      <c r="O564" s="65" t="n"/>
      <c r="P564" s="65" t="n"/>
      <c r="Q564" s="65" t="n"/>
    </row>
    <row r="565">
      <c r="A565" s="65" t="n"/>
      <c r="B565" s="65" t="n"/>
      <c r="C565" s="65" t="n"/>
      <c r="D565" s="65" t="n"/>
      <c r="E565" s="65" t="n"/>
      <c r="F565" s="65" t="n"/>
      <c r="G565" s="65" t="n"/>
      <c r="H565" s="65" t="n"/>
      <c r="I565" s="65" t="n"/>
      <c r="J565" s="65" t="n">
        <v>633</v>
      </c>
      <c r="K565" s="65" t="n"/>
      <c r="L565" s="65" t="n"/>
      <c r="M565" s="65" t="n"/>
      <c r="N565" s="65" t="n"/>
      <c r="O565" s="65" t="n"/>
      <c r="P565" s="65" t="n"/>
      <c r="Q565" s="65" t="n"/>
    </row>
    <row r="566">
      <c r="A566" s="65" t="n"/>
      <c r="B566" s="65" t="n"/>
      <c r="C566" s="65" t="n"/>
      <c r="D566" s="65" t="n"/>
      <c r="E566" s="65" t="n"/>
      <c r="F566" s="65" t="n"/>
      <c r="G566" s="65" t="n"/>
      <c r="H566" s="65" t="n"/>
      <c r="I566" s="65" t="n"/>
      <c r="J566" s="65" t="n"/>
      <c r="K566" s="65" t="n">
        <v>561</v>
      </c>
      <c r="L566" s="65" t="inlineStr">
        <is>
          <t>[0561] MEJORADOR DE OCTANAJE GLOBAL OIL PACK (1X12)</t>
        </is>
      </c>
      <c r="M566" s="63" t="inlineStr">
        <is>
          <t>33,62</t>
        </is>
      </c>
      <c r="N566" s="63" t="inlineStr">
        <is>
          <t>2,00</t>
        </is>
      </c>
      <c r="O566" s="63" t="inlineStr">
        <is>
          <t>0,00</t>
        </is>
      </c>
      <c r="P566" s="63" t="inlineStr">
        <is>
          <t>67,24</t>
        </is>
      </c>
      <c r="Q566" s="63" t="inlineStr">
        <is>
          <t>78,00</t>
        </is>
      </c>
    </row>
    <row r="567">
      <c r="A567" s="66" t="n">
        <v>46214</v>
      </c>
      <c r="B567" s="65" t="n">
        <v>286</v>
      </c>
      <c r="C567" s="65" t="inlineStr">
        <is>
          <t>00-00000824</t>
        </is>
      </c>
      <c r="D567" s="65" t="inlineStr">
        <is>
          <t>S00207</t>
        </is>
      </c>
      <c r="E567" s="65" t="inlineStr">
        <is>
          <t>Ingrit Martinez</t>
        </is>
      </c>
      <c r="F567" s="63" t="inlineStr">
        <is>
          <t>300.356,97</t>
        </is>
      </c>
      <c r="G567" s="63" t="inlineStr">
        <is>
          <t>348.414,08</t>
        </is>
      </c>
      <c r="H567" s="63" t="inlineStr">
        <is>
          <t>490,90</t>
        </is>
      </c>
      <c r="I567" s="63" t="inlineStr">
        <is>
          <t>709,69</t>
        </is>
      </c>
      <c r="J567" s="65" t="n">
        <v>371</v>
      </c>
      <c r="K567" s="65" t="n">
        <v>938</v>
      </c>
      <c r="L567" s="65" t="inlineStr">
        <is>
          <t>[0938] CLASICO API SL SAE 20W-50 (1X3)</t>
        </is>
      </c>
      <c r="M567" s="63" t="inlineStr">
        <is>
          <t>61,21</t>
        </is>
      </c>
      <c r="N567" s="63" t="inlineStr">
        <is>
          <t>2,00</t>
        </is>
      </c>
      <c r="O567" s="63" t="inlineStr">
        <is>
          <t>0,00</t>
        </is>
      </c>
      <c r="P567" s="63" t="inlineStr">
        <is>
          <t>122,41</t>
        </is>
      </c>
      <c r="Q567" s="63" t="inlineStr">
        <is>
          <t>142,00</t>
        </is>
      </c>
    </row>
    <row r="568">
      <c r="A568" s="65" t="n"/>
      <c r="B568" s="65" t="n"/>
      <c r="C568" s="65" t="n"/>
      <c r="D568" s="65" t="n"/>
      <c r="E568" s="65" t="n"/>
      <c r="F568" s="65" t="n"/>
      <c r="G568" s="65" t="n"/>
      <c r="H568" s="65" t="n"/>
      <c r="I568" s="65" t="n"/>
      <c r="J568" s="65" t="n">
        <v>669</v>
      </c>
      <c r="K568" s="65" t="n"/>
      <c r="L568" s="65" t="n"/>
      <c r="M568" s="65" t="n"/>
      <c r="N568" s="65" t="n"/>
      <c r="O568" s="65" t="n"/>
      <c r="P568" s="65" t="n"/>
      <c r="Q568" s="65" t="n"/>
    </row>
    <row r="569">
      <c r="A569" s="65" t="n"/>
      <c r="B569" s="65" t="n"/>
      <c r="C569" s="65" t="n"/>
      <c r="D569" s="65" t="n"/>
      <c r="E569" s="65" t="n"/>
      <c r="F569" s="65" t="n"/>
      <c r="G569" s="65" t="n"/>
      <c r="H569" s="65" t="n"/>
      <c r="I569" s="65" t="n"/>
      <c r="J569" s="65" t="n">
        <v>866</v>
      </c>
      <c r="K569" s="65" t="n"/>
      <c r="L569" s="65" t="n"/>
      <c r="M569" s="65" t="n"/>
      <c r="N569" s="65" t="n"/>
      <c r="O569" s="65" t="n"/>
      <c r="P569" s="65" t="n"/>
      <c r="Q569" s="65" t="n"/>
    </row>
    <row r="570">
      <c r="A570" s="65" t="n"/>
      <c r="B570" s="65" t="n"/>
      <c r="C570" s="65" t="n"/>
      <c r="D570" s="65" t="n"/>
      <c r="E570" s="65" t="n"/>
      <c r="F570" s="65" t="n"/>
      <c r="G570" s="65" t="n"/>
      <c r="H570" s="65" t="n"/>
      <c r="I570" s="65" t="n"/>
      <c r="J570" s="65" t="n"/>
      <c r="K570" s="65" t="n"/>
      <c r="L570" s="65" t="n"/>
      <c r="M570" s="63" t="inlineStr">
        <is>
          <t>0,00</t>
        </is>
      </c>
      <c r="N570" s="63" t="inlineStr">
        <is>
          <t>0,00</t>
        </is>
      </c>
      <c r="O570" s="63" t="inlineStr">
        <is>
          <t>0,00</t>
        </is>
      </c>
      <c r="P570" s="63" t="inlineStr">
        <is>
          <t>0,00</t>
        </is>
      </c>
      <c r="Q570" s="63" t="inlineStr">
        <is>
          <t>0,00</t>
        </is>
      </c>
    </row>
    <row r="571">
      <c r="A571" s="65" t="n"/>
      <c r="B571" s="65" t="n"/>
      <c r="C571" s="65" t="n"/>
      <c r="D571" s="65" t="n"/>
      <c r="E571" s="65" t="n"/>
      <c r="F571" s="65" t="n"/>
      <c r="G571" s="65" t="n"/>
      <c r="H571" s="65" t="n"/>
      <c r="I571" s="65" t="n"/>
      <c r="J571" s="65" t="n"/>
      <c r="K571" s="65" t="n">
        <v>881</v>
      </c>
      <c r="L571" s="65" t="inlineStr">
        <is>
          <t>[0881] CLASICO API SL SAE 20W-50 (1x12)</t>
        </is>
      </c>
      <c r="M571" s="63" t="inlineStr">
        <is>
          <t>56,03</t>
        </is>
      </c>
      <c r="N571" s="63" t="inlineStr">
        <is>
          <t>2,00</t>
        </is>
      </c>
      <c r="O571" s="63" t="inlineStr">
        <is>
          <t>0,00</t>
        </is>
      </c>
      <c r="P571" s="63" t="inlineStr">
        <is>
          <t>112,07</t>
        </is>
      </c>
      <c r="Q571" s="63" t="inlineStr">
        <is>
          <t>130,00</t>
        </is>
      </c>
    </row>
    <row r="572">
      <c r="A572" s="65" t="n"/>
      <c r="B572" s="65" t="n"/>
      <c r="C572" s="65" t="n"/>
      <c r="D572" s="65" t="n"/>
      <c r="E572" s="65" t="n"/>
      <c r="F572" s="65" t="n"/>
      <c r="G572" s="65" t="n"/>
      <c r="H572" s="65" t="n"/>
      <c r="I572" s="65" t="n"/>
      <c r="J572" s="65" t="n"/>
      <c r="K572" s="65" t="n">
        <v>884</v>
      </c>
      <c r="L572" s="65" t="inlineStr">
        <is>
          <t>[0884] TRANSMATIC ATF DEXRON III (1x12)</t>
        </is>
      </c>
      <c r="M572" s="63" t="inlineStr">
        <is>
          <t>62,07</t>
        </is>
      </c>
      <c r="N572" s="63" t="inlineStr">
        <is>
          <t>2,00</t>
        </is>
      </c>
      <c r="O572" s="63" t="inlineStr">
        <is>
          <t>0,00</t>
        </is>
      </c>
      <c r="P572" s="63" t="inlineStr">
        <is>
          <t>124,14</t>
        </is>
      </c>
      <c r="Q572" s="63" t="inlineStr">
        <is>
          <t>144,00</t>
        </is>
      </c>
    </row>
    <row r="573">
      <c r="A573" s="65" t="n"/>
      <c r="B573" s="65" t="n"/>
      <c r="C573" s="65" t="n"/>
      <c r="D573" s="65" t="n"/>
      <c r="E573" s="65" t="n"/>
      <c r="F573" s="65" t="n"/>
      <c r="G573" s="65" t="n"/>
      <c r="H573" s="65" t="n"/>
      <c r="I573" s="65" t="n"/>
      <c r="J573" s="65" t="n"/>
      <c r="K573" s="65" t="n">
        <v>877</v>
      </c>
      <c r="L573" s="65" t="inlineStr">
        <is>
          <t>[0877] SS EXTRA PROTECCION API SN SAE 15W-40 (1X12)</t>
        </is>
      </c>
      <c r="M573" s="63" t="inlineStr">
        <is>
          <t>65,52</t>
        </is>
      </c>
      <c r="N573" s="63" t="inlineStr">
        <is>
          <t>1,00</t>
        </is>
      </c>
      <c r="O573" s="63" t="inlineStr">
        <is>
          <t>1,40</t>
        </is>
      </c>
      <c r="P573" s="63" t="inlineStr">
        <is>
          <t>64,60</t>
        </is>
      </c>
      <c r="Q573" s="63" t="inlineStr">
        <is>
          <t>74,94</t>
        </is>
      </c>
    </row>
    <row r="574">
      <c r="A574" s="66" t="n">
        <v>46214</v>
      </c>
      <c r="B574" s="65" t="n">
        <v>285</v>
      </c>
      <c r="C574" s="65" t="inlineStr">
        <is>
          <t>00-00000823</t>
        </is>
      </c>
      <c r="D574" s="65" t="inlineStr">
        <is>
          <t>S00212</t>
        </is>
      </c>
      <c r="E574" s="65" t="inlineStr">
        <is>
          <t>Inversiones DSM 2706, c.a.</t>
        </is>
      </c>
      <c r="F574" s="63" t="inlineStr">
        <is>
          <t>227.109,73</t>
        </is>
      </c>
      <c r="G574" s="63" t="inlineStr">
        <is>
          <t>263.447,28</t>
        </is>
      </c>
      <c r="H574" s="63" t="inlineStr">
        <is>
          <t>371,20</t>
        </is>
      </c>
      <c r="I574" s="63" t="inlineStr">
        <is>
          <t>709,69</t>
        </is>
      </c>
      <c r="J574" s="65" t="n">
        <v>531</v>
      </c>
      <c r="K574" s="65" t="n">
        <v>779</v>
      </c>
      <c r="L574" s="65" t="inlineStr">
        <is>
          <t>[0779] SINOCO SAE 20W-50 (1x12)</t>
        </is>
      </c>
      <c r="M574" s="63" t="inlineStr">
        <is>
          <t>70,29</t>
        </is>
      </c>
      <c r="N574" s="63" t="inlineStr">
        <is>
          <t>1,00</t>
        </is>
      </c>
      <c r="O574" s="63" t="inlineStr">
        <is>
          <t>0,41</t>
        </is>
      </c>
      <c r="P574" s="63" t="inlineStr">
        <is>
          <t>70,00</t>
        </is>
      </c>
      <c r="Q574" s="63" t="inlineStr">
        <is>
          <t>81,20</t>
        </is>
      </c>
    </row>
    <row r="575">
      <c r="A575" s="65" t="n"/>
      <c r="B575" s="65" t="n"/>
      <c r="C575" s="65" t="n"/>
      <c r="D575" s="65" t="n"/>
      <c r="E575" s="65" t="n"/>
      <c r="F575" s="65" t="n"/>
      <c r="G575" s="65" t="n"/>
      <c r="H575" s="65" t="n"/>
      <c r="I575" s="65" t="n"/>
      <c r="J575" s="65" t="n"/>
      <c r="K575" s="65" t="n"/>
      <c r="L575" s="65" t="n"/>
      <c r="M575" s="63" t="inlineStr">
        <is>
          <t>0,00</t>
        </is>
      </c>
      <c r="N575" s="63" t="inlineStr">
        <is>
          <t>0,00</t>
        </is>
      </c>
      <c r="O575" s="63" t="inlineStr">
        <is>
          <t>0,00</t>
        </is>
      </c>
      <c r="P575" s="63" t="inlineStr">
        <is>
          <t>0,00</t>
        </is>
      </c>
      <c r="Q575" s="63" t="inlineStr">
        <is>
          <t>0,00</t>
        </is>
      </c>
    </row>
    <row r="576">
      <c r="A576" s="65" t="n"/>
      <c r="B576" s="65" t="n"/>
      <c r="C576" s="65" t="n"/>
      <c r="D576" s="65" t="n"/>
      <c r="E576" s="65" t="n"/>
      <c r="F576" s="65" t="n"/>
      <c r="G576" s="65" t="n"/>
      <c r="H576" s="65" t="n"/>
      <c r="I576" s="65" t="n"/>
      <c r="J576" s="65" t="n"/>
      <c r="K576" s="65" t="n">
        <v>877</v>
      </c>
      <c r="L576" s="65" t="inlineStr">
        <is>
          <t>[0877] SS EXTRA PROTECCION API SN SAE 15W-40 (1X12)</t>
        </is>
      </c>
      <c r="M576" s="63" t="inlineStr">
        <is>
          <t>100,80</t>
        </is>
      </c>
      <c r="N576" s="63" t="inlineStr">
        <is>
          <t>1,00</t>
        </is>
      </c>
      <c r="O576" s="63" t="inlineStr">
        <is>
          <t>0,79</t>
        </is>
      </c>
      <c r="P576" s="63" t="inlineStr">
        <is>
          <t>100,00</t>
        </is>
      </c>
      <c r="Q576" s="63" t="inlineStr">
        <is>
          <t>116,00</t>
        </is>
      </c>
    </row>
    <row r="577">
      <c r="A577" s="65" t="n"/>
      <c r="B577" s="65" t="n"/>
      <c r="C577" s="65" t="n"/>
      <c r="D577" s="65" t="n"/>
      <c r="E577" s="65" t="n"/>
      <c r="F577" s="65" t="n"/>
      <c r="G577" s="65" t="n"/>
      <c r="H577" s="65" t="n"/>
      <c r="I577" s="65" t="n"/>
      <c r="J577" s="65" t="n"/>
      <c r="K577" s="65" t="n">
        <v>878</v>
      </c>
      <c r="L577" s="65" t="inlineStr">
        <is>
          <t>[0878] SS EXTRA PROTECCION API SN SAE 20W-50 (1x12)</t>
        </is>
      </c>
      <c r="M577" s="63" t="inlineStr">
        <is>
          <t>100,80</t>
        </is>
      </c>
      <c r="N577" s="63" t="inlineStr">
        <is>
          <t>1,00</t>
        </is>
      </c>
      <c r="O577" s="63" t="inlineStr">
        <is>
          <t>0,79</t>
        </is>
      </c>
      <c r="P577" s="63" t="inlineStr">
        <is>
          <t>100,00</t>
        </is>
      </c>
      <c r="Q577" s="63" t="inlineStr">
        <is>
          <t>116,00</t>
        </is>
      </c>
    </row>
    <row r="578">
      <c r="A578" s="65" t="n"/>
      <c r="B578" s="65" t="n"/>
      <c r="C578" s="65" t="n"/>
      <c r="D578" s="65" t="n"/>
      <c r="E578" s="65" t="n"/>
      <c r="F578" s="65" t="n"/>
      <c r="G578" s="65" t="n"/>
      <c r="H578" s="65" t="n"/>
      <c r="I578" s="65" t="n"/>
      <c r="J578" s="65" t="n"/>
      <c r="K578" s="65" t="n">
        <v>25</v>
      </c>
      <c r="L578" s="65" t="inlineStr">
        <is>
          <t>[0025] SS EXTRA PROTECCION API SN SAE 10W-30 (Gasolina) (1x6)</t>
        </is>
      </c>
      <c r="M578" s="63" t="inlineStr">
        <is>
          <t>50,40</t>
        </is>
      </c>
      <c r="N578" s="63" t="inlineStr">
        <is>
          <t>1,00</t>
        </is>
      </c>
      <c r="O578" s="63" t="inlineStr">
        <is>
          <t>0,79</t>
        </is>
      </c>
      <c r="P578" s="63" t="inlineStr">
        <is>
          <t>50,00</t>
        </is>
      </c>
      <c r="Q578" s="63" t="inlineStr">
        <is>
          <t>58,00</t>
        </is>
      </c>
    </row>
    <row r="579">
      <c r="A579" s="66" t="n">
        <v>46214</v>
      </c>
      <c r="B579" s="65" t="n">
        <v>284</v>
      </c>
      <c r="C579" s="65" t="inlineStr">
        <is>
          <t>00-00000822</t>
        </is>
      </c>
      <c r="D579" s="65" t="inlineStr">
        <is>
          <t>S00211</t>
        </is>
      </c>
      <c r="E579" s="65" t="inlineStr">
        <is>
          <t>ZIP MARKET, CA</t>
        </is>
      </c>
      <c r="F579" s="63" t="inlineStr">
        <is>
          <t>60.326,12</t>
        </is>
      </c>
      <c r="G579" s="63" t="inlineStr">
        <is>
          <t>69.978,30</t>
        </is>
      </c>
      <c r="H579" s="63" t="inlineStr">
        <is>
          <t>98,60</t>
        </is>
      </c>
      <c r="I579" s="63" t="inlineStr">
        <is>
          <t>709,69</t>
        </is>
      </c>
      <c r="J579" s="65" t="n">
        <v>293</v>
      </c>
      <c r="K579" s="65" t="n">
        <v>880</v>
      </c>
      <c r="L579" s="65" t="inlineStr">
        <is>
          <t>[0880] CLASICO API SL SAE 15W-40 (1x12)</t>
        </is>
      </c>
      <c r="M579" s="63" t="inlineStr">
        <is>
          <t>86,21</t>
        </is>
      </c>
      <c r="N579" s="63" t="inlineStr">
        <is>
          <t>1,00</t>
        </is>
      </c>
      <c r="O579" s="63" t="inlineStr">
        <is>
          <t>1,40</t>
        </is>
      </c>
      <c r="P579" s="63" t="inlineStr">
        <is>
          <t>85,00</t>
        </is>
      </c>
      <c r="Q579" s="63" t="inlineStr">
        <is>
          <t>98,60</t>
        </is>
      </c>
    </row>
    <row r="580">
      <c r="A580" s="66" t="n">
        <v>46214</v>
      </c>
      <c r="B580" s="65" t="n">
        <v>283</v>
      </c>
      <c r="C580" s="65" t="inlineStr">
        <is>
          <t>00-00000821</t>
        </is>
      </c>
      <c r="D580" s="65" t="inlineStr">
        <is>
          <t>S00210</t>
        </is>
      </c>
      <c r="E580" s="65" t="inlineStr">
        <is>
          <t>Inversiones AreaElectric 2021,c.a.</t>
        </is>
      </c>
      <c r="F580" s="63" t="inlineStr">
        <is>
          <t>72.804,76</t>
        </is>
      </c>
      <c r="G580" s="63" t="inlineStr">
        <is>
          <t>84.453,52</t>
        </is>
      </c>
      <c r="H580" s="63" t="inlineStr">
        <is>
          <t>118,99</t>
        </is>
      </c>
      <c r="I580" s="63" t="inlineStr">
        <is>
          <t>709,69</t>
        </is>
      </c>
      <c r="J580" s="65" t="n">
        <v>193</v>
      </c>
      <c r="K580" s="65" t="n">
        <v>886</v>
      </c>
      <c r="L580" s="65" t="inlineStr">
        <is>
          <t>[0886] TRANSMATIC DEXRON VI (1x12)</t>
        </is>
      </c>
      <c r="M580" s="63" t="inlineStr">
        <is>
          <t>102,59</t>
        </is>
      </c>
      <c r="N580" s="63" t="inlineStr">
        <is>
          <t>1,00</t>
        </is>
      </c>
      <c r="O580" s="63" t="inlineStr">
        <is>
          <t>0,00</t>
        </is>
      </c>
      <c r="P580" s="63" t="inlineStr">
        <is>
          <t>102,59</t>
        </is>
      </c>
      <c r="Q580" s="63" t="inlineStr">
        <is>
          <t>119,00</t>
        </is>
      </c>
    </row>
    <row r="581">
      <c r="A581" s="66" t="n">
        <v>46214</v>
      </c>
      <c r="B581" s="65" t="n">
        <v>282</v>
      </c>
      <c r="C581" s="65" t="inlineStr">
        <is>
          <t>00-00000820</t>
        </is>
      </c>
      <c r="D581" s="65" t="inlineStr">
        <is>
          <t>S00203</t>
        </is>
      </c>
      <c r="E581" s="65" t="inlineStr">
        <is>
          <t>Moto Repuestos Sanz 11. C.A.</t>
        </is>
      </c>
      <c r="F581" s="63" t="inlineStr">
        <is>
          <t>41.602,72</t>
        </is>
      </c>
      <c r="G581" s="63" t="inlineStr">
        <is>
          <t>48.259,16</t>
        </is>
      </c>
      <c r="H581" s="63" t="inlineStr">
        <is>
          <t>67,99</t>
        </is>
      </c>
      <c r="I581" s="63" t="inlineStr">
        <is>
          <t>709,69</t>
        </is>
      </c>
      <c r="J581" s="65" t="n">
        <v>353</v>
      </c>
      <c r="K581" s="65" t="n">
        <v>887</v>
      </c>
      <c r="L581" s="65" t="inlineStr">
        <is>
          <t>[0887] MOTOCLASICO 4T SAE 20W-50 (1x12)</t>
        </is>
      </c>
      <c r="M581" s="63" t="inlineStr">
        <is>
          <t>58,62</t>
        </is>
      </c>
      <c r="N581" s="63" t="inlineStr">
        <is>
          <t>1,00</t>
        </is>
      </c>
      <c r="O581" s="63" t="inlineStr">
        <is>
          <t>0,00</t>
        </is>
      </c>
      <c r="P581" s="63" t="inlineStr">
        <is>
          <t>58,62</t>
        </is>
      </c>
      <c r="Q581" s="63" t="inlineStr">
        <is>
          <t>68,00</t>
        </is>
      </c>
    </row>
    <row r="582">
      <c r="A582" s="66" t="n">
        <v>46214</v>
      </c>
      <c r="B582" s="65" t="n">
        <v>281</v>
      </c>
      <c r="C582" s="65" t="inlineStr">
        <is>
          <t>00-00000819</t>
        </is>
      </c>
      <c r="D582" s="65" t="inlineStr">
        <is>
          <t>S00201</t>
        </is>
      </c>
      <c r="E582" s="65" t="inlineStr">
        <is>
          <t>Junior Marco Antonio Vivas Navas</t>
        </is>
      </c>
      <c r="F582" s="63" t="inlineStr">
        <is>
          <t>79.534,62</t>
        </is>
      </c>
      <c r="G582" s="63" t="inlineStr">
        <is>
          <t>92.260,17</t>
        </is>
      </c>
      <c r="H582" s="63" t="inlineStr">
        <is>
          <t>129,99</t>
        </is>
      </c>
      <c r="I582" s="63" t="inlineStr">
        <is>
          <t>709,69</t>
        </is>
      </c>
      <c r="J582" s="65" t="n">
        <v>347</v>
      </c>
      <c r="K582" s="65" t="n">
        <v>93</v>
      </c>
      <c r="L582" s="65" t="inlineStr">
        <is>
          <t>[0093] ALTA CILINDRADA SS API SN SAE 15W-40 (1x6)</t>
        </is>
      </c>
      <c r="M582" s="63" t="inlineStr">
        <is>
          <t>30,17</t>
        </is>
      </c>
      <c r="N582" s="63" t="inlineStr">
        <is>
          <t>1,00</t>
        </is>
      </c>
      <c r="O582" s="63" t="inlineStr">
        <is>
          <t>0,00</t>
        </is>
      </c>
      <c r="P582" s="63" t="inlineStr">
        <is>
          <t>30,17</t>
        </is>
      </c>
      <c r="Q582" s="63" t="inlineStr">
        <is>
          <t>35,00</t>
        </is>
      </c>
    </row>
    <row r="583">
      <c r="A583" s="65" t="n"/>
      <c r="B583" s="65" t="n"/>
      <c r="C583" s="65" t="n"/>
      <c r="D583" s="65" t="n"/>
      <c r="E583" s="65" t="n"/>
      <c r="F583" s="65" t="n"/>
      <c r="G583" s="65" t="n"/>
      <c r="H583" s="65" t="n"/>
      <c r="I583" s="65" t="n"/>
      <c r="J583" s="65" t="n"/>
      <c r="K583" s="65" t="n">
        <v>887</v>
      </c>
      <c r="L583" s="65" t="inlineStr">
        <is>
          <t>[0887] MOTOCLASICO 4T SAE 20W-50 (1x12)</t>
        </is>
      </c>
      <c r="M583" s="63" t="inlineStr">
        <is>
          <t>58,62</t>
        </is>
      </c>
      <c r="N583" s="63" t="inlineStr">
        <is>
          <t>1,00</t>
        </is>
      </c>
      <c r="O583" s="63" t="inlineStr">
        <is>
          <t>0,00</t>
        </is>
      </c>
      <c r="P583" s="63" t="inlineStr">
        <is>
          <t>58,62</t>
        </is>
      </c>
      <c r="Q583" s="63" t="inlineStr">
        <is>
          <t>68,00</t>
        </is>
      </c>
    </row>
    <row r="584">
      <c r="A584" s="65" t="n"/>
      <c r="B584" s="65" t="n"/>
      <c r="C584" s="65" t="n"/>
      <c r="D584" s="65" t="n"/>
      <c r="E584" s="65" t="n"/>
      <c r="F584" s="65" t="n"/>
      <c r="G584" s="65" t="n"/>
      <c r="H584" s="65" t="n"/>
      <c r="I584" s="65" t="n"/>
      <c r="J584" s="65" t="n"/>
      <c r="K584" s="65" t="n">
        <v>761</v>
      </c>
      <c r="L584" s="65" t="inlineStr">
        <is>
          <t>[0761] LIGA PARA FRENOS DOT-3 (1x12)</t>
        </is>
      </c>
      <c r="M584" s="63" t="inlineStr">
        <is>
          <t>23,28</t>
        </is>
      </c>
      <c r="N584" s="63" t="inlineStr">
        <is>
          <t>1,00</t>
        </is>
      </c>
      <c r="O584" s="63" t="inlineStr">
        <is>
          <t>0,00</t>
        </is>
      </c>
      <c r="P584" s="63" t="inlineStr">
        <is>
          <t>23,28</t>
        </is>
      </c>
      <c r="Q584" s="63" t="inlineStr">
        <is>
          <t>27,00</t>
        </is>
      </c>
    </row>
    <row r="585">
      <c r="A585" s="66" t="n">
        <v>46214</v>
      </c>
      <c r="B585" s="65" t="n">
        <v>280</v>
      </c>
      <c r="C585" s="65" t="inlineStr">
        <is>
          <t>00-00000818</t>
        </is>
      </c>
      <c r="D585" s="65" t="inlineStr">
        <is>
          <t>S00187</t>
        </is>
      </c>
      <c r="E585" s="65" t="inlineStr">
        <is>
          <t>HP Repuestos 2007 C.A</t>
        </is>
      </c>
      <c r="F585" s="63" t="inlineStr">
        <is>
          <t>71.581,15</t>
        </is>
      </c>
      <c r="G585" s="63" t="inlineStr">
        <is>
          <t>83.034,13</t>
        </is>
      </c>
      <c r="H585" s="63" t="inlineStr">
        <is>
          <t>116,99</t>
        </is>
      </c>
      <c r="I585" s="63" t="inlineStr">
        <is>
          <t>709,69</t>
        </is>
      </c>
      <c r="J585" s="65" t="n">
        <v>326</v>
      </c>
      <c r="K585" s="65" t="n">
        <v>121</v>
      </c>
      <c r="L585" s="65" t="inlineStr">
        <is>
          <t>[0121] TRANSGLOB API GL-5 SAE 80W-90 (1x6)</t>
        </is>
      </c>
      <c r="M585" s="63" t="inlineStr">
        <is>
          <t>33,62</t>
        </is>
      </c>
      <c r="N585" s="63" t="inlineStr">
        <is>
          <t>3,00</t>
        </is>
      </c>
      <c r="O585" s="63" t="inlineStr">
        <is>
          <t>0,00</t>
        </is>
      </c>
      <c r="P585" s="63" t="inlineStr">
        <is>
          <t>100,86</t>
        </is>
      </c>
      <c r="Q585" s="63" t="inlineStr">
        <is>
          <t>117,00</t>
        </is>
      </c>
    </row>
    <row r="586">
      <c r="A586" s="65" t="n"/>
      <c r="B586" s="65" t="n"/>
      <c r="C586" s="65" t="n"/>
      <c r="D586" s="65" t="n"/>
      <c r="E586" s="65" t="n"/>
      <c r="F586" s="65" t="n"/>
      <c r="G586" s="65" t="n"/>
      <c r="H586" s="65" t="n"/>
      <c r="I586" s="65" t="n"/>
      <c r="J586" s="65" t="n"/>
      <c r="K586" s="65" t="n"/>
      <c r="L586" s="65" t="n"/>
      <c r="M586" s="63" t="inlineStr">
        <is>
          <t>0,00</t>
        </is>
      </c>
      <c r="N586" s="63" t="inlineStr">
        <is>
          <t>0,00</t>
        </is>
      </c>
      <c r="O586" s="63" t="inlineStr">
        <is>
          <t>0,00</t>
        </is>
      </c>
      <c r="P586" s="63" t="inlineStr">
        <is>
          <t>0,00</t>
        </is>
      </c>
      <c r="Q586" s="63" t="inlineStr">
        <is>
          <t>0,00</t>
        </is>
      </c>
    </row>
    <row r="587">
      <c r="A587" s="66" t="n">
        <v>46214</v>
      </c>
      <c r="B587" s="65" t="n">
        <v>279</v>
      </c>
      <c r="C587" s="65" t="inlineStr">
        <is>
          <t>00-00000817</t>
        </is>
      </c>
      <c r="D587" s="65" t="inlineStr">
        <is>
          <t>S00186</t>
        </is>
      </c>
      <c r="E587" s="65" t="inlineStr">
        <is>
          <t>Cauchos y Suministros Camacho C.A</t>
        </is>
      </c>
      <c r="F587" s="63" t="inlineStr">
        <is>
          <t>66.074,91</t>
        </is>
      </c>
      <c r="G587" s="63" t="inlineStr">
        <is>
          <t>76.646,89</t>
        </is>
      </c>
      <c r="H587" s="63" t="inlineStr">
        <is>
          <t>107,98</t>
        </is>
      </c>
      <c r="I587" s="63" t="inlineStr">
        <is>
          <t>709,69</t>
        </is>
      </c>
      <c r="J587" s="65" t="n">
        <v>291</v>
      </c>
      <c r="K587" s="65" t="n">
        <v>915</v>
      </c>
      <c r="L587" s="65" t="inlineStr">
        <is>
          <t>[0915] SINOCO SAE 50 (1x12)</t>
        </is>
      </c>
      <c r="M587" s="63" t="inlineStr">
        <is>
          <t>45,69</t>
        </is>
      </c>
      <c r="N587" s="63" t="inlineStr">
        <is>
          <t>1,00</t>
        </is>
      </c>
      <c r="O587" s="63" t="inlineStr">
        <is>
          <t>0,00</t>
        </is>
      </c>
      <c r="P587" s="63" t="inlineStr">
        <is>
          <t>45,69</t>
        </is>
      </c>
      <c r="Q587" s="63" t="inlineStr">
        <is>
          <t>53,00</t>
        </is>
      </c>
    </row>
    <row r="588">
      <c r="A588" s="65" t="n"/>
      <c r="B588" s="65" t="n"/>
      <c r="C588" s="65" t="n"/>
      <c r="D588" s="65" t="n"/>
      <c r="E588" s="65" t="n"/>
      <c r="F588" s="65" t="n"/>
      <c r="G588" s="65" t="n"/>
      <c r="H588" s="65" t="n"/>
      <c r="I588" s="65" t="n"/>
      <c r="J588" s="65" t="n">
        <v>418</v>
      </c>
      <c r="K588" s="65" t="n"/>
      <c r="L588" s="65" t="n"/>
      <c r="M588" s="65" t="n"/>
      <c r="N588" s="65" t="n"/>
      <c r="O588" s="65" t="n"/>
      <c r="P588" s="65" t="n"/>
      <c r="Q588" s="65" t="n"/>
    </row>
    <row r="589">
      <c r="A589" s="65" t="n"/>
      <c r="B589" s="65" t="n"/>
      <c r="C589" s="65" t="n"/>
      <c r="D589" s="65" t="n"/>
      <c r="E589" s="65" t="n"/>
      <c r="F589" s="65" t="n"/>
      <c r="G589" s="65" t="n"/>
      <c r="H589" s="65" t="n"/>
      <c r="I589" s="65" t="n"/>
      <c r="J589" s="65" t="n"/>
      <c r="K589" s="65" t="n">
        <v>13</v>
      </c>
      <c r="L589" s="65" t="inlineStr">
        <is>
          <t>[0013] ELITE API SN SAE 5W-30 (1x6)</t>
        </is>
      </c>
      <c r="M589" s="63" t="inlineStr">
        <is>
          <t>47,41</t>
        </is>
      </c>
      <c r="N589" s="63" t="inlineStr">
        <is>
          <t>1,00</t>
        </is>
      </c>
      <c r="O589" s="63" t="inlineStr">
        <is>
          <t>0,00</t>
        </is>
      </c>
      <c r="P589" s="63" t="inlineStr">
        <is>
          <t>47,41</t>
        </is>
      </c>
      <c r="Q589" s="63" t="inlineStr">
        <is>
          <t>55,00</t>
        </is>
      </c>
    </row>
    <row r="590">
      <c r="A590" s="66" t="n">
        <v>46214</v>
      </c>
      <c r="B590" s="65" t="n">
        <v>278</v>
      </c>
      <c r="C590" s="65" t="inlineStr">
        <is>
          <t>00-00000816</t>
        </is>
      </c>
      <c r="D590" s="65" t="inlineStr">
        <is>
          <t>S00184</t>
        </is>
      </c>
      <c r="E590" s="65" t="inlineStr">
        <is>
          <t>EMPRENDIMIENTO IRMA RODRIGUEZ 6</t>
        </is>
      </c>
      <c r="F590" s="63" t="inlineStr">
        <is>
          <t>39.643,48</t>
        </is>
      </c>
      <c r="G590" s="63" t="inlineStr">
        <is>
          <t>45.986,44</t>
        </is>
      </c>
      <c r="H590" s="63" t="inlineStr">
        <is>
          <t>64,79</t>
        </is>
      </c>
      <c r="I590" s="63" t="inlineStr">
        <is>
          <t>709,69</t>
        </is>
      </c>
      <c r="J590" s="65" t="n">
        <v>330</v>
      </c>
      <c r="K590" s="65" t="n">
        <v>878</v>
      </c>
      <c r="L590" s="65" t="inlineStr">
        <is>
          <t>[0878] SS EXTRA PROTECCION API SN SAE 20W-50 (1x12)</t>
        </is>
      </c>
      <c r="M590" s="63" t="inlineStr">
        <is>
          <t>65,52</t>
        </is>
      </c>
      <c r="N590" s="63" t="inlineStr">
        <is>
          <t>1,00</t>
        </is>
      </c>
      <c r="O590" s="63" t="inlineStr">
        <is>
          <t>14,74</t>
        </is>
      </c>
      <c r="P590" s="63" t="inlineStr">
        <is>
          <t>55,86</t>
        </is>
      </c>
      <c r="Q590" s="63" t="inlineStr">
        <is>
          <t>64,80</t>
        </is>
      </c>
    </row>
    <row r="591">
      <c r="A591" s="66" t="n">
        <v>46214</v>
      </c>
      <c r="B591" s="65" t="n">
        <v>277</v>
      </c>
      <c r="C591" s="65" t="inlineStr">
        <is>
          <t>00-00000814</t>
        </is>
      </c>
      <c r="D591" s="65" t="inlineStr">
        <is>
          <t>S00181</t>
        </is>
      </c>
      <c r="E591" s="65" t="inlineStr">
        <is>
          <t>Multiservicios Sanahuja 36 C.A</t>
        </is>
      </c>
      <c r="F591" s="63" t="inlineStr">
        <is>
          <t>86.260,03</t>
        </is>
      </c>
      <c r="G591" s="63" t="inlineStr">
        <is>
          <t>100.061,63</t>
        </is>
      </c>
      <c r="H591" s="63" t="inlineStr">
        <is>
          <t>140,98</t>
        </is>
      </c>
      <c r="I591" s="63" t="inlineStr">
        <is>
          <t>709,69</t>
        </is>
      </c>
      <c r="J591" s="65" t="n">
        <v>185</v>
      </c>
      <c r="K591" s="65" t="n">
        <v>779</v>
      </c>
      <c r="L591" s="65" t="inlineStr">
        <is>
          <t>[0779] SINOCO SAE 20W-50 (1x12)</t>
        </is>
      </c>
      <c r="M591" s="63" t="inlineStr">
        <is>
          <t>41,38</t>
        </is>
      </c>
      <c r="N591" s="63" t="inlineStr">
        <is>
          <t>3,00</t>
        </is>
      </c>
      <c r="O591" s="63" t="inlineStr">
        <is>
          <t>2,09</t>
        </is>
      </c>
      <c r="P591" s="63" t="inlineStr">
        <is>
          <t>121,55</t>
        </is>
      </c>
      <c r="Q591" s="63" t="inlineStr">
        <is>
          <t>140,99</t>
        </is>
      </c>
    </row>
    <row r="592">
      <c r="A592" s="66" t="n">
        <v>46214</v>
      </c>
      <c r="B592" s="65" t="n">
        <v>276</v>
      </c>
      <c r="C592" s="65" t="inlineStr">
        <is>
          <t>00-00000813</t>
        </is>
      </c>
      <c r="D592" s="65" t="inlineStr">
        <is>
          <t>S00178</t>
        </is>
      </c>
      <c r="E592" s="65" t="inlineStr">
        <is>
          <t>Distribuidora Nesmari 2050 c.a</t>
        </is>
      </c>
      <c r="F592" s="63" t="inlineStr">
        <is>
          <t>382.802,53</t>
        </is>
      </c>
      <c r="G592" s="63" t="inlineStr">
        <is>
          <t>444.050,93</t>
        </is>
      </c>
      <c r="H592" s="63" t="inlineStr">
        <is>
          <t>625,66</t>
        </is>
      </c>
      <c r="I592" s="63" t="inlineStr">
        <is>
          <t>709,69</t>
        </is>
      </c>
      <c r="J592" s="65" t="n">
        <v>261</v>
      </c>
      <c r="K592" s="65" t="n"/>
      <c r="L592" s="65" t="n"/>
      <c r="M592" s="63" t="inlineStr">
        <is>
          <t>0,00</t>
        </is>
      </c>
      <c r="N592" s="63" t="inlineStr">
        <is>
          <t>0,00</t>
        </is>
      </c>
      <c r="O592" s="63" t="inlineStr">
        <is>
          <t>0,00</t>
        </is>
      </c>
      <c r="P592" s="63" t="inlineStr">
        <is>
          <t>0,00</t>
        </is>
      </c>
      <c r="Q592" s="63" t="inlineStr">
        <is>
          <t>0,00</t>
        </is>
      </c>
    </row>
    <row r="593">
      <c r="A593" s="65" t="n"/>
      <c r="B593" s="65" t="n"/>
      <c r="C593" s="65" t="n"/>
      <c r="D593" s="65" t="n"/>
      <c r="E593" s="65" t="n"/>
      <c r="F593" s="65" t="n"/>
      <c r="G593" s="65" t="n"/>
      <c r="H593" s="65" t="n"/>
      <c r="I593" s="65" t="n"/>
      <c r="J593" s="65" t="n">
        <v>382</v>
      </c>
      <c r="K593" s="65" t="n"/>
      <c r="L593" s="65" t="n"/>
      <c r="M593" s="65" t="n"/>
      <c r="N593" s="65" t="n"/>
      <c r="O593" s="65" t="n"/>
      <c r="P593" s="65" t="n"/>
      <c r="Q593" s="65" t="n"/>
    </row>
    <row r="594">
      <c r="A594" s="65" t="n"/>
      <c r="B594" s="65" t="n"/>
      <c r="C594" s="65" t="n"/>
      <c r="D594" s="65" t="n"/>
      <c r="E594" s="65" t="n"/>
      <c r="F594" s="65" t="n"/>
      <c r="G594" s="65" t="n"/>
      <c r="H594" s="65" t="n"/>
      <c r="I594" s="65" t="n"/>
      <c r="J594" s="65" t="n">
        <v>457</v>
      </c>
      <c r="K594" s="65" t="n"/>
      <c r="L594" s="65" t="n"/>
      <c r="M594" s="65" t="n"/>
      <c r="N594" s="65" t="n"/>
      <c r="O594" s="65" t="n"/>
      <c r="P594" s="65" t="n"/>
      <c r="Q594" s="65" t="n"/>
    </row>
    <row r="595">
      <c r="A595" s="65" t="n"/>
      <c r="B595" s="65" t="n"/>
      <c r="C595" s="65" t="n"/>
      <c r="D595" s="65" t="n"/>
      <c r="E595" s="65" t="n"/>
      <c r="F595" s="65" t="n"/>
      <c r="G595" s="65" t="n"/>
      <c r="H595" s="65" t="n"/>
      <c r="I595" s="65" t="n"/>
      <c r="J595" s="65" t="n">
        <v>564</v>
      </c>
      <c r="K595" s="65" t="n"/>
      <c r="L595" s="65" t="n"/>
      <c r="M595" s="65" t="n"/>
      <c r="N595" s="65" t="n"/>
      <c r="O595" s="65" t="n"/>
      <c r="P595" s="65" t="n"/>
      <c r="Q595" s="65" t="n"/>
    </row>
    <row r="596">
      <c r="A596" s="65" t="n"/>
      <c r="B596" s="65" t="n"/>
      <c r="C596" s="65" t="n"/>
      <c r="D596" s="65" t="n"/>
      <c r="E596" s="65" t="n"/>
      <c r="F596" s="65" t="n"/>
      <c r="G596" s="65" t="n"/>
      <c r="H596" s="65" t="n"/>
      <c r="I596" s="65" t="n"/>
      <c r="J596" s="65" t="n">
        <v>603</v>
      </c>
      <c r="K596" s="65" t="n"/>
      <c r="L596" s="65" t="n"/>
      <c r="M596" s="65" t="n"/>
      <c r="N596" s="65" t="n"/>
      <c r="O596" s="65" t="n"/>
      <c r="P596" s="65" t="n"/>
      <c r="Q596" s="65" t="n"/>
    </row>
    <row r="597">
      <c r="A597" s="65" t="n"/>
      <c r="B597" s="65" t="n"/>
      <c r="C597" s="65" t="n"/>
      <c r="D597" s="65" t="n"/>
      <c r="E597" s="65" t="n"/>
      <c r="F597" s="65" t="n"/>
      <c r="G597" s="65" t="n"/>
      <c r="H597" s="65" t="n"/>
      <c r="I597" s="65" t="n"/>
      <c r="J597" s="65" t="n">
        <v>751</v>
      </c>
      <c r="K597" s="65" t="n"/>
      <c r="L597" s="65" t="n"/>
      <c r="M597" s="65" t="n"/>
      <c r="N597" s="65" t="n"/>
      <c r="O597" s="65" t="n"/>
      <c r="P597" s="65" t="n"/>
      <c r="Q597" s="65" t="n"/>
    </row>
    <row r="598">
      <c r="A598" s="65" t="n"/>
      <c r="B598" s="65" t="n"/>
      <c r="C598" s="65" t="n"/>
      <c r="D598" s="65" t="n"/>
      <c r="E598" s="65" t="n"/>
      <c r="F598" s="65" t="n"/>
      <c r="G598" s="65" t="n"/>
      <c r="H598" s="65" t="n"/>
      <c r="I598" s="65" t="n"/>
      <c r="J598" s="65" t="n">
        <v>820</v>
      </c>
      <c r="K598" s="65" t="n"/>
      <c r="L598" s="65" t="n"/>
      <c r="M598" s="65" t="n"/>
      <c r="N598" s="65" t="n"/>
      <c r="O598" s="65" t="n"/>
      <c r="P598" s="65" t="n"/>
      <c r="Q598" s="65" t="n"/>
    </row>
    <row r="599">
      <c r="A599" s="65" t="n"/>
      <c r="B599" s="65" t="n"/>
      <c r="C599" s="65" t="n"/>
      <c r="D599" s="65" t="n"/>
      <c r="E599" s="65" t="n"/>
      <c r="F599" s="65" t="n"/>
      <c r="G599" s="65" t="n"/>
      <c r="H599" s="65" t="n"/>
      <c r="I599" s="65" t="n"/>
      <c r="J599" s="65" t="n">
        <v>944</v>
      </c>
      <c r="K599" s="65" t="n"/>
      <c r="L599" s="65" t="n"/>
      <c r="M599" s="65" t="n"/>
      <c r="N599" s="65" t="n"/>
      <c r="O599" s="65" t="n"/>
      <c r="P599" s="65" t="n"/>
      <c r="Q599" s="65" t="n"/>
    </row>
    <row r="600">
      <c r="A600" s="65" t="n"/>
      <c r="B600" s="65" t="n"/>
      <c r="C600" s="65" t="n"/>
      <c r="D600" s="65" t="n"/>
      <c r="E600" s="65" t="n"/>
      <c r="F600" s="65" t="n"/>
      <c r="G600" s="65" t="n"/>
      <c r="H600" s="65" t="n"/>
      <c r="I600" s="65" t="n"/>
      <c r="J600" s="65" t="n"/>
      <c r="K600" s="65" t="n">
        <v>877</v>
      </c>
      <c r="L600" s="65" t="inlineStr">
        <is>
          <t>[0877] SS EXTRA PROTECCION API SN SAE 15W-40 (1X12)</t>
        </is>
      </c>
      <c r="M600" s="63" t="inlineStr">
        <is>
          <t>62,07</t>
        </is>
      </c>
      <c r="N600" s="63" t="inlineStr">
        <is>
          <t>3,00</t>
        </is>
      </c>
      <c r="O600" s="63" t="inlineStr">
        <is>
          <t>0,00</t>
        </is>
      </c>
      <c r="P600" s="63" t="inlineStr">
        <is>
          <t>186,21</t>
        </is>
      </c>
      <c r="Q600" s="63" t="inlineStr">
        <is>
          <t>216,00</t>
        </is>
      </c>
    </row>
    <row r="601">
      <c r="A601" s="65" t="n"/>
      <c r="B601" s="65" t="n"/>
      <c r="C601" s="65" t="n"/>
      <c r="D601" s="65" t="n"/>
      <c r="E601" s="65" t="n"/>
      <c r="F601" s="65" t="n"/>
      <c r="G601" s="65" t="n"/>
      <c r="H601" s="65" t="n"/>
      <c r="I601" s="65" t="n"/>
      <c r="J601" s="65" t="n"/>
      <c r="K601" s="65" t="n">
        <v>878</v>
      </c>
      <c r="L601" s="65" t="inlineStr">
        <is>
          <t>[0878] SS EXTRA PROTECCION API SN SAE 20W-50 (1x12)</t>
        </is>
      </c>
      <c r="M601" s="63" t="inlineStr">
        <is>
          <t>62,07</t>
        </is>
      </c>
      <c r="N601" s="63" t="inlineStr">
        <is>
          <t>1,00</t>
        </is>
      </c>
      <c r="O601" s="63" t="inlineStr">
        <is>
          <t>3,22</t>
        </is>
      </c>
      <c r="P601" s="63" t="inlineStr">
        <is>
          <t>60,07</t>
        </is>
      </c>
      <c r="Q601" s="63" t="inlineStr">
        <is>
          <t>69,68</t>
        </is>
      </c>
    </row>
    <row r="602">
      <c r="A602" s="65" t="n"/>
      <c r="B602" s="65" t="n"/>
      <c r="C602" s="65" t="n"/>
      <c r="D602" s="65" t="n"/>
      <c r="E602" s="65" t="n"/>
      <c r="F602" s="65" t="n"/>
      <c r="G602" s="65" t="n"/>
      <c r="H602" s="65" t="n"/>
      <c r="I602" s="65" t="n"/>
      <c r="J602" s="65" t="n"/>
      <c r="K602" s="65" t="n">
        <v>884</v>
      </c>
      <c r="L602" s="65" t="inlineStr">
        <is>
          <t>[0884] TRANSMATIC ATF DEXRON III (1x12)</t>
        </is>
      </c>
      <c r="M602" s="63" t="inlineStr">
        <is>
          <t>57,76</t>
        </is>
      </c>
      <c r="N602" s="63" t="inlineStr">
        <is>
          <t>1,00</t>
        </is>
      </c>
      <c r="O602" s="63" t="inlineStr">
        <is>
          <t>0,00</t>
        </is>
      </c>
      <c r="P602" s="63" t="inlineStr">
        <is>
          <t>57,76</t>
        </is>
      </c>
      <c r="Q602" s="63" t="inlineStr">
        <is>
          <t>67,00</t>
        </is>
      </c>
    </row>
    <row r="603">
      <c r="A603" s="65" t="n"/>
      <c r="B603" s="65" t="n"/>
      <c r="C603" s="65" t="n"/>
      <c r="D603" s="65" t="n"/>
      <c r="E603" s="65" t="n"/>
      <c r="F603" s="65" t="n"/>
      <c r="G603" s="65" t="n"/>
      <c r="H603" s="65" t="n"/>
      <c r="I603" s="65" t="n"/>
      <c r="J603" s="65" t="n"/>
      <c r="K603" s="65" t="n">
        <v>881</v>
      </c>
      <c r="L603" s="65" t="inlineStr">
        <is>
          <t>[0881] CLASICO API SL SAE 20W-50 (1x12)</t>
        </is>
      </c>
      <c r="M603" s="63" t="inlineStr">
        <is>
          <t>54,31</t>
        </is>
      </c>
      <c r="N603" s="63" t="inlineStr">
        <is>
          <t>1,00</t>
        </is>
      </c>
      <c r="O603" s="63" t="inlineStr">
        <is>
          <t>0,00</t>
        </is>
      </c>
      <c r="P603" s="63" t="inlineStr">
        <is>
          <t>54,31</t>
        </is>
      </c>
      <c r="Q603" s="63" t="inlineStr">
        <is>
          <t>63,00</t>
        </is>
      </c>
    </row>
    <row r="604">
      <c r="A604" s="65" t="n"/>
      <c r="B604" s="65" t="n"/>
      <c r="C604" s="65" t="n"/>
      <c r="D604" s="65" t="n"/>
      <c r="E604" s="65" t="n"/>
      <c r="F604" s="65" t="n"/>
      <c r="G604" s="65" t="n"/>
      <c r="H604" s="65" t="n"/>
      <c r="I604" s="65" t="n"/>
      <c r="J604" s="65" t="n"/>
      <c r="K604" s="65" t="n">
        <v>779</v>
      </c>
      <c r="L604" s="65" t="inlineStr">
        <is>
          <t>[0779] SINOCO SAE 20W-50 (1x12)</t>
        </is>
      </c>
      <c r="M604" s="63" t="inlineStr">
        <is>
          <t>41,38</t>
        </is>
      </c>
      <c r="N604" s="63" t="inlineStr">
        <is>
          <t>3,00</t>
        </is>
      </c>
      <c r="O604" s="63" t="inlineStr">
        <is>
          <t>0,00</t>
        </is>
      </c>
      <c r="P604" s="63" t="inlineStr">
        <is>
          <t>124,14</t>
        </is>
      </c>
      <c r="Q604" s="63" t="inlineStr">
        <is>
          <t>144,00</t>
        </is>
      </c>
    </row>
    <row r="605">
      <c r="A605" s="65" t="n"/>
      <c r="B605" s="65" t="n"/>
      <c r="C605" s="65" t="n"/>
      <c r="D605" s="65" t="n"/>
      <c r="E605" s="65" t="n"/>
      <c r="F605" s="65" t="n"/>
      <c r="G605" s="65" t="n"/>
      <c r="H605" s="65" t="n"/>
      <c r="I605" s="65" t="n"/>
      <c r="J605" s="65" t="n"/>
      <c r="K605" s="65" t="n">
        <v>887</v>
      </c>
      <c r="L605" s="65" t="inlineStr">
        <is>
          <t>[0887] MOTOCLASICO 4T SAE 20W-50 (1x12)</t>
        </is>
      </c>
      <c r="M605" s="63" t="inlineStr">
        <is>
          <t>56,90</t>
        </is>
      </c>
      <c r="N605" s="63" t="inlineStr">
        <is>
          <t>1,00</t>
        </is>
      </c>
      <c r="O605" s="63" t="inlineStr">
        <is>
          <t>0,00</t>
        </is>
      </c>
      <c r="P605" s="63" t="inlineStr">
        <is>
          <t>56,90</t>
        </is>
      </c>
      <c r="Q605" s="63" t="inlineStr">
        <is>
          <t>66,00</t>
        </is>
      </c>
    </row>
    <row r="606">
      <c r="A606" s="66" t="n">
        <v>46214</v>
      </c>
      <c r="B606" s="65" t="n">
        <v>275</v>
      </c>
      <c r="C606" s="65" t="inlineStr">
        <is>
          <t>00-00000812</t>
        </is>
      </c>
      <c r="D606" s="65" t="inlineStr">
        <is>
          <t>S00177</t>
        </is>
      </c>
      <c r="E606" s="65" t="inlineStr">
        <is>
          <t>Jhon Morales</t>
        </is>
      </c>
      <c r="F606" s="63" t="inlineStr">
        <is>
          <t>151.732,47</t>
        </is>
      </c>
      <c r="G606" s="63" t="inlineStr">
        <is>
          <t>176.009,67</t>
        </is>
      </c>
      <c r="H606" s="63" t="inlineStr">
        <is>
          <t>247,98</t>
        </is>
      </c>
      <c r="I606" s="63" t="inlineStr">
        <is>
          <t>709,69</t>
        </is>
      </c>
      <c r="J606" s="65" t="n">
        <v>481</v>
      </c>
      <c r="K606" s="65" t="n">
        <v>887</v>
      </c>
      <c r="L606" s="65" t="inlineStr">
        <is>
          <t>[0887] MOTOCLASICO 4T SAE 20W-50 (1x12)</t>
        </is>
      </c>
      <c r="M606" s="63" t="inlineStr">
        <is>
          <t>56,90</t>
        </is>
      </c>
      <c r="N606" s="63" t="inlineStr">
        <is>
          <t>2,00</t>
        </is>
      </c>
      <c r="O606" s="63" t="inlineStr">
        <is>
          <t>0,00</t>
        </is>
      </c>
      <c r="P606" s="63" t="inlineStr">
        <is>
          <t>113,80</t>
        </is>
      </c>
      <c r="Q606" s="63" t="inlineStr">
        <is>
          <t>132,01</t>
        </is>
      </c>
    </row>
    <row r="607">
      <c r="A607" s="65" t="n"/>
      <c r="B607" s="65" t="n"/>
      <c r="C607" s="65" t="n"/>
      <c r="D607" s="65" t="n"/>
      <c r="E607" s="65" t="n"/>
      <c r="F607" s="65" t="n"/>
      <c r="G607" s="65" t="n"/>
      <c r="H607" s="65" t="n"/>
      <c r="I607" s="65" t="n"/>
      <c r="J607" s="65" t="n">
        <v>773</v>
      </c>
      <c r="K607" s="65" t="n"/>
      <c r="L607" s="65" t="n"/>
      <c r="M607" s="65" t="n"/>
      <c r="N607" s="65" t="n"/>
      <c r="O607" s="65" t="n"/>
      <c r="P607" s="65" t="n"/>
      <c r="Q607" s="65" t="n"/>
    </row>
    <row r="608">
      <c r="A608" s="65" t="n"/>
      <c r="B608" s="65" t="n"/>
      <c r="C608" s="65" t="n"/>
      <c r="D608" s="65" t="n"/>
      <c r="E608" s="65" t="n"/>
      <c r="F608" s="65" t="n"/>
      <c r="G608" s="65" t="n"/>
      <c r="H608" s="65" t="n"/>
      <c r="I608" s="65" t="n"/>
      <c r="J608" s="65" t="n"/>
      <c r="K608" s="65" t="n"/>
      <c r="L608" s="65" t="n"/>
      <c r="M608" s="63" t="inlineStr">
        <is>
          <t>0,00</t>
        </is>
      </c>
      <c r="N608" s="63" t="inlineStr">
        <is>
          <t>0,00</t>
        </is>
      </c>
      <c r="O608" s="63" t="inlineStr">
        <is>
          <t>0,00</t>
        </is>
      </c>
      <c r="P608" s="63" t="inlineStr">
        <is>
          <t>0,00</t>
        </is>
      </c>
      <c r="Q608" s="63" t="inlineStr">
        <is>
          <t>0,00</t>
        </is>
      </c>
    </row>
    <row r="609">
      <c r="A609" s="65" t="n"/>
      <c r="B609" s="65" t="n"/>
      <c r="C609" s="65" t="n"/>
      <c r="D609" s="65" t="n"/>
      <c r="E609" s="65" t="n"/>
      <c r="F609" s="65" t="n"/>
      <c r="G609" s="65" t="n"/>
      <c r="H609" s="65" t="n"/>
      <c r="I609" s="65" t="n"/>
      <c r="J609" s="65" t="n"/>
      <c r="K609" s="65" t="n">
        <v>93</v>
      </c>
      <c r="L609" s="65" t="inlineStr">
        <is>
          <t>[0093] ALTA CILINDRADA SS API SN SAE 15W-40 (1x6)</t>
        </is>
      </c>
      <c r="M609" s="63" t="inlineStr">
        <is>
          <t>29,31</t>
        </is>
      </c>
      <c r="N609" s="63" t="inlineStr">
        <is>
          <t>2,00</t>
        </is>
      </c>
      <c r="O609" s="63" t="inlineStr">
        <is>
          <t>0,00</t>
        </is>
      </c>
      <c r="P609" s="63" t="inlineStr">
        <is>
          <t>58,62</t>
        </is>
      </c>
      <c r="Q609" s="63" t="inlineStr">
        <is>
          <t>68,00</t>
        </is>
      </c>
    </row>
    <row r="610">
      <c r="A610" s="65" t="n"/>
      <c r="B610" s="65" t="n"/>
      <c r="C610" s="65" t="n"/>
      <c r="D610" s="65" t="n"/>
      <c r="E610" s="65" t="n"/>
      <c r="F610" s="65" t="n"/>
      <c r="G610" s="65" t="n"/>
      <c r="H610" s="65" t="n"/>
      <c r="I610" s="65" t="n"/>
      <c r="J610" s="65" t="n"/>
      <c r="K610" s="65" t="n">
        <v>779</v>
      </c>
      <c r="L610" s="65" t="inlineStr">
        <is>
          <t>[0779] SINOCO SAE 20W-50 (1x12)</t>
        </is>
      </c>
      <c r="M610" s="63" t="inlineStr">
        <is>
          <t>41,38</t>
        </is>
      </c>
      <c r="N610" s="63" t="inlineStr">
        <is>
          <t>1,00</t>
        </is>
      </c>
      <c r="O610" s="63" t="inlineStr">
        <is>
          <t>0,00</t>
        </is>
      </c>
      <c r="P610" s="63" t="inlineStr">
        <is>
          <t>41,38</t>
        </is>
      </c>
      <c r="Q610" s="63" t="inlineStr">
        <is>
          <t>48,00</t>
        </is>
      </c>
    </row>
    <row r="611">
      <c r="A611" s="66" t="n">
        <v>46214</v>
      </c>
      <c r="B611" s="65" t="n">
        <v>274</v>
      </c>
      <c r="C611" s="65" t="inlineStr">
        <is>
          <t>00-00000811</t>
        </is>
      </c>
      <c r="D611" s="65" t="inlineStr">
        <is>
          <t>S00174</t>
        </is>
      </c>
      <c r="E611" s="65" t="inlineStr">
        <is>
          <t>DISTRIBUIDORA E.P.L.C 2017, c.a.</t>
        </is>
      </c>
      <c r="F611" s="63" t="inlineStr">
        <is>
          <t>332.214,57</t>
        </is>
      </c>
      <c r="G611" s="63" t="inlineStr">
        <is>
          <t>385.368,91</t>
        </is>
      </c>
      <c r="H611" s="63" t="inlineStr">
        <is>
          <t>542,97</t>
        </is>
      </c>
      <c r="I611" s="63" t="inlineStr">
        <is>
          <t>709,69</t>
        </is>
      </c>
      <c r="J611" s="65" t="n">
        <v>352</v>
      </c>
      <c r="K611" s="65" t="n">
        <v>779</v>
      </c>
      <c r="L611" s="65" t="inlineStr">
        <is>
          <t>[0779] SINOCO SAE 20W-50 (1x12)</t>
        </is>
      </c>
      <c r="M611" s="63" t="inlineStr">
        <is>
          <t>70,29</t>
        </is>
      </c>
      <c r="N611" s="63" t="inlineStr">
        <is>
          <t>1,00</t>
        </is>
      </c>
      <c r="O611" s="63" t="inlineStr">
        <is>
          <t>11,69</t>
        </is>
      </c>
      <c r="P611" s="63" t="inlineStr">
        <is>
          <t>62,07</t>
        </is>
      </c>
      <c r="Q611" s="63" t="inlineStr">
        <is>
          <t>72,00</t>
        </is>
      </c>
    </row>
    <row r="612">
      <c r="A612" s="65" t="n"/>
      <c r="B612" s="65" t="n"/>
      <c r="C612" s="65" t="n"/>
      <c r="D612" s="65" t="n"/>
      <c r="E612" s="65" t="n"/>
      <c r="F612" s="65" t="n"/>
      <c r="G612" s="65" t="n"/>
      <c r="H612" s="65" t="n"/>
      <c r="I612" s="65" t="n"/>
      <c r="J612" s="65" t="n">
        <v>759</v>
      </c>
      <c r="K612" s="65" t="n"/>
      <c r="L612" s="65" t="n"/>
      <c r="M612" s="65" t="n"/>
      <c r="N612" s="65" t="n"/>
      <c r="O612" s="65" t="n"/>
      <c r="P612" s="65" t="n"/>
      <c r="Q612" s="65" t="n"/>
    </row>
    <row r="613">
      <c r="A613" s="65" t="n"/>
      <c r="B613" s="65" t="n"/>
      <c r="C613" s="65" t="n"/>
      <c r="D613" s="65" t="n"/>
      <c r="E613" s="65" t="n"/>
      <c r="F613" s="65" t="n"/>
      <c r="G613" s="65" t="n"/>
      <c r="H613" s="65" t="n"/>
      <c r="I613" s="65" t="n"/>
      <c r="J613" s="65" t="n"/>
      <c r="K613" s="65" t="n"/>
      <c r="L613" s="65" t="n"/>
      <c r="M613" s="63" t="inlineStr">
        <is>
          <t>0,00</t>
        </is>
      </c>
      <c r="N613" s="63" t="inlineStr">
        <is>
          <t>0,00</t>
        </is>
      </c>
      <c r="O613" s="63" t="inlineStr">
        <is>
          <t>0,00</t>
        </is>
      </c>
      <c r="P613" s="63" t="inlineStr">
        <is>
          <t>0,00</t>
        </is>
      </c>
      <c r="Q613" s="63" t="inlineStr">
        <is>
          <t>0,00</t>
        </is>
      </c>
    </row>
    <row r="614">
      <c r="A614" s="65" t="n"/>
      <c r="B614" s="65" t="n"/>
      <c r="C614" s="65" t="n"/>
      <c r="D614" s="65" t="n"/>
      <c r="E614" s="65" t="n"/>
      <c r="F614" s="65" t="n"/>
      <c r="G614" s="65" t="n"/>
      <c r="H614" s="65" t="n"/>
      <c r="I614" s="65" t="n"/>
      <c r="J614" s="65" t="n"/>
      <c r="K614" s="65" t="n">
        <v>877</v>
      </c>
      <c r="L614" s="65" t="inlineStr">
        <is>
          <t>[0877] SS EXTRA PROTECCION API SN SAE 15W-40 (1X12)</t>
        </is>
      </c>
      <c r="M614" s="63" t="inlineStr">
        <is>
          <t>100,80</t>
        </is>
      </c>
      <c r="N614" s="63" t="inlineStr">
        <is>
          <t>1,00</t>
        </is>
      </c>
      <c r="O614" s="63" t="inlineStr">
        <is>
          <t>7,64</t>
        </is>
      </c>
      <c r="P614" s="63" t="inlineStr">
        <is>
          <t>93,10</t>
        </is>
      </c>
      <c r="Q614" s="63" t="inlineStr">
        <is>
          <t>107,99</t>
        </is>
      </c>
    </row>
    <row r="615">
      <c r="A615" s="65" t="n"/>
      <c r="B615" s="65" t="n"/>
      <c r="C615" s="65" t="n"/>
      <c r="D615" s="65" t="n"/>
      <c r="E615" s="65" t="n"/>
      <c r="F615" s="65" t="n"/>
      <c r="G615" s="65" t="n"/>
      <c r="H615" s="65" t="n"/>
      <c r="I615" s="65" t="n"/>
      <c r="J615" s="65" t="n"/>
      <c r="K615" s="65" t="n">
        <v>881</v>
      </c>
      <c r="L615" s="65" t="inlineStr">
        <is>
          <t>[0881] CLASICO API SL SAE 20W-50 (1x12)</t>
        </is>
      </c>
      <c r="M615" s="63" t="inlineStr">
        <is>
          <t>86,21</t>
        </is>
      </c>
      <c r="N615" s="63" t="inlineStr">
        <is>
          <t>2,00</t>
        </is>
      </c>
      <c r="O615" s="63" t="inlineStr">
        <is>
          <t>5,50</t>
        </is>
      </c>
      <c r="P615" s="63" t="inlineStr">
        <is>
          <t>162,94</t>
        </is>
      </c>
      <c r="Q615" s="63" t="inlineStr">
        <is>
          <t>189,01</t>
        </is>
      </c>
    </row>
    <row r="616">
      <c r="A616" s="65" t="n"/>
      <c r="B616" s="65" t="n"/>
      <c r="C616" s="65" t="n"/>
      <c r="D616" s="65" t="n"/>
      <c r="E616" s="65" t="n"/>
      <c r="F616" s="65" t="n"/>
      <c r="G616" s="65" t="n"/>
      <c r="H616" s="65" t="n"/>
      <c r="I616" s="65" t="n"/>
      <c r="J616" s="65" t="n"/>
      <c r="K616" s="65" t="n">
        <v>884</v>
      </c>
      <c r="L616" s="65" t="inlineStr">
        <is>
          <t>[0884] TRANSMATIC ATF DEXRON III (1x12)</t>
        </is>
      </c>
      <c r="M616" s="63" t="inlineStr">
        <is>
          <t>95,49</t>
        </is>
      </c>
      <c r="N616" s="63" t="inlineStr">
        <is>
          <t>1,00</t>
        </is>
      </c>
      <c r="O616" s="63" t="inlineStr">
        <is>
          <t>9,27</t>
        </is>
      </c>
      <c r="P616" s="63" t="inlineStr">
        <is>
          <t>86,64</t>
        </is>
      </c>
      <c r="Q616" s="63" t="inlineStr">
        <is>
          <t>100,50</t>
        </is>
      </c>
    </row>
    <row r="617">
      <c r="A617" s="65" t="n"/>
      <c r="B617" s="65" t="n"/>
      <c r="C617" s="65" t="n"/>
      <c r="D617" s="65" t="n"/>
      <c r="E617" s="65" t="n"/>
      <c r="F617" s="65" t="n"/>
      <c r="G617" s="65" t="n"/>
      <c r="H617" s="65" t="n"/>
      <c r="I617" s="65" t="n"/>
      <c r="J617" s="65" t="n"/>
      <c r="K617" s="65" t="n">
        <v>13</v>
      </c>
      <c r="L617" s="65" t="inlineStr">
        <is>
          <t>[0013] ELITE API SN SAE 5W-30 (1x6)</t>
        </is>
      </c>
      <c r="M617" s="63" t="inlineStr">
        <is>
          <t>72,94</t>
        </is>
      </c>
      <c r="N617" s="63" t="inlineStr">
        <is>
          <t>1,00</t>
        </is>
      </c>
      <c r="O617" s="63" t="inlineStr">
        <is>
          <t>13,13</t>
        </is>
      </c>
      <c r="P617" s="63" t="inlineStr">
        <is>
          <t>63,36</t>
        </is>
      </c>
      <c r="Q617" s="63" t="inlineStr">
        <is>
          <t>73,50</t>
        </is>
      </c>
    </row>
    <row r="618">
      <c r="A618" s="66" t="n">
        <v>46214</v>
      </c>
      <c r="B618" s="65" t="n">
        <v>273</v>
      </c>
      <c r="C618" s="65" t="inlineStr">
        <is>
          <t>00-00000810</t>
        </is>
      </c>
      <c r="D618" s="65" t="inlineStr">
        <is>
          <t>S00167</t>
        </is>
      </c>
      <c r="E618" s="65" t="inlineStr">
        <is>
          <t>Frenos Elite, C.A</t>
        </is>
      </c>
      <c r="F618" s="63" t="inlineStr">
        <is>
          <t>100.939,26</t>
        </is>
      </c>
      <c r="G618" s="63" t="inlineStr">
        <is>
          <t>117.089,54</t>
        </is>
      </c>
      <c r="H618" s="63" t="inlineStr">
        <is>
          <t>164,97</t>
        </is>
      </c>
      <c r="I618" s="63" t="inlineStr">
        <is>
          <t>709,69</t>
        </is>
      </c>
      <c r="J618" s="65" t="n">
        <v>204</v>
      </c>
      <c r="K618" s="65" t="n">
        <v>761</v>
      </c>
      <c r="L618" s="65" t="inlineStr">
        <is>
          <t>[0761] LIGA PARA FRENOS DOT-3 (1x12)</t>
        </is>
      </c>
      <c r="M618" s="63" t="inlineStr">
        <is>
          <t>35,81</t>
        </is>
      </c>
      <c r="N618" s="63" t="inlineStr">
        <is>
          <t>1,00</t>
        </is>
      </c>
      <c r="O618" s="63" t="inlineStr">
        <is>
          <t>13,35</t>
        </is>
      </c>
      <c r="P618" s="63" t="inlineStr">
        <is>
          <t>31,03</t>
        </is>
      </c>
      <c r="Q618" s="63" t="inlineStr">
        <is>
          <t>35,99</t>
        </is>
      </c>
    </row>
    <row r="619">
      <c r="A619" s="65" t="n"/>
      <c r="B619" s="65" t="n"/>
      <c r="C619" s="65" t="n"/>
      <c r="D619" s="65" t="n"/>
      <c r="E619" s="65" t="n"/>
      <c r="F619" s="65" t="n"/>
      <c r="G619" s="65" t="n"/>
      <c r="H619" s="65" t="n"/>
      <c r="I619" s="65" t="n"/>
      <c r="J619" s="65" t="n"/>
      <c r="K619" s="65" t="n">
        <v>775</v>
      </c>
      <c r="L619" s="65" t="inlineStr">
        <is>
          <t>[0775] LIGA PARA FRENOS DOT-4 (1X12)</t>
        </is>
      </c>
      <c r="M619" s="63" t="inlineStr">
        <is>
          <t>55,60</t>
        </is>
      </c>
      <c r="N619" s="63" t="inlineStr">
        <is>
          <t>2,00</t>
        </is>
      </c>
      <c r="O619" s="63" t="inlineStr">
        <is>
          <t>0,00</t>
        </is>
      </c>
      <c r="P619" s="63" t="inlineStr">
        <is>
          <t>111,20</t>
        </is>
      </c>
      <c r="Q619" s="63" t="inlineStr">
        <is>
          <t>128,99</t>
        </is>
      </c>
    </row>
    <row r="620">
      <c r="A620" s="66" t="n">
        <v>46214</v>
      </c>
      <c r="B620" s="65" t="n">
        <v>272</v>
      </c>
      <c r="C620" s="65" t="inlineStr">
        <is>
          <t>00-00000809</t>
        </is>
      </c>
      <c r="D620" s="65" t="inlineStr">
        <is>
          <t>S00166</t>
        </is>
      </c>
      <c r="E620" s="65" t="inlineStr">
        <is>
          <t>Grupo Biker Way mm, C.A</t>
        </is>
      </c>
      <c r="F620" s="63" t="inlineStr">
        <is>
          <t>122.972,73</t>
        </is>
      </c>
      <c r="G620" s="63" t="inlineStr">
        <is>
          <t>142.648,37</t>
        </is>
      </c>
      <c r="H620" s="63" t="inlineStr">
        <is>
          <t>200,98</t>
        </is>
      </c>
      <c r="I620" s="63" t="inlineStr">
        <is>
          <t>709,69</t>
        </is>
      </c>
      <c r="J620" s="65" t="n"/>
      <c r="K620" s="65" t="n">
        <v>887</v>
      </c>
      <c r="L620" s="65" t="inlineStr">
        <is>
          <t>[0887] MOTOCLASICO 4T SAE 20W-50 (1x12)</t>
        </is>
      </c>
      <c r="M620" s="63" t="inlineStr">
        <is>
          <t>90,19</t>
        </is>
      </c>
      <c r="N620" s="63" t="inlineStr">
        <is>
          <t>1,00</t>
        </is>
      </c>
      <c r="O620" s="63" t="inlineStr">
        <is>
          <t>5,38</t>
        </is>
      </c>
      <c r="P620" s="63" t="inlineStr">
        <is>
          <t>85,34</t>
        </is>
      </c>
      <c r="Q620" s="63" t="inlineStr">
        <is>
          <t>98,99</t>
        </is>
      </c>
    </row>
    <row r="621">
      <c r="A621" s="65" t="n"/>
      <c r="B621" s="65" t="n"/>
      <c r="C621" s="65" t="n"/>
      <c r="D621" s="65" t="n"/>
      <c r="E621" s="65" t="n"/>
      <c r="F621" s="65" t="n"/>
      <c r="G621" s="65" t="n"/>
      <c r="H621" s="65" t="n"/>
      <c r="I621" s="65" t="n"/>
      <c r="J621" s="65" t="n"/>
      <c r="K621" s="65" t="n">
        <v>93</v>
      </c>
      <c r="L621" s="65" t="inlineStr">
        <is>
          <t>[0093] ALTA CILINDRADA SS API SN SAE 15W-40 (1x6)</t>
        </is>
      </c>
      <c r="M621" s="63" t="inlineStr">
        <is>
          <t>46,42</t>
        </is>
      </c>
      <c r="N621" s="63" t="inlineStr">
        <is>
          <t>2,00</t>
        </is>
      </c>
      <c r="O621" s="63" t="inlineStr">
        <is>
          <t>5,28</t>
        </is>
      </c>
      <c r="P621" s="63" t="inlineStr">
        <is>
          <t>87,94</t>
        </is>
      </c>
      <c r="Q621" s="63" t="inlineStr">
        <is>
          <t>102,01</t>
        </is>
      </c>
    </row>
    <row r="622">
      <c r="A622" s="66" t="n">
        <v>46214</v>
      </c>
      <c r="B622" s="65" t="n">
        <v>271</v>
      </c>
      <c r="C622" s="65" t="inlineStr">
        <is>
          <t>00-00000808</t>
        </is>
      </c>
      <c r="D622" s="65" t="inlineStr">
        <is>
          <t>S00165</t>
        </is>
      </c>
      <c r="E622" s="65" t="inlineStr">
        <is>
          <t>EMPRENDIMIENTO HECTOR LLAMOZA</t>
        </is>
      </c>
      <c r="F622" s="63" t="inlineStr">
        <is>
          <t>294.288,61</t>
        </is>
      </c>
      <c r="G622" s="63" t="inlineStr">
        <is>
          <t>341.374,79</t>
        </is>
      </c>
      <c r="H622" s="63" t="inlineStr">
        <is>
          <t>480,97</t>
        </is>
      </c>
      <c r="I622" s="63" t="inlineStr">
        <is>
          <t>709,69</t>
        </is>
      </c>
      <c r="J622" s="65" t="n">
        <v>107</v>
      </c>
      <c r="K622" s="65" t="n">
        <v>877</v>
      </c>
      <c r="L622" s="65" t="inlineStr">
        <is>
          <t>[0877] SS EXTRA PROTECCION API SN SAE 15W-40 (1X12)</t>
        </is>
      </c>
      <c r="M622" s="63" t="inlineStr">
        <is>
          <t>62,07</t>
        </is>
      </c>
      <c r="N622" s="63" t="inlineStr">
        <is>
          <t>2,00</t>
        </is>
      </c>
      <c r="O622" s="63" t="inlineStr">
        <is>
          <t>0,00</t>
        </is>
      </c>
      <c r="P622" s="63" t="inlineStr">
        <is>
          <t>124,14</t>
        </is>
      </c>
      <c r="Q622" s="63" t="inlineStr">
        <is>
          <t>144,00</t>
        </is>
      </c>
    </row>
    <row r="623">
      <c r="A623" s="65" t="n"/>
      <c r="B623" s="65" t="n"/>
      <c r="C623" s="65" t="n"/>
      <c r="D623" s="65" t="n"/>
      <c r="E623" s="65" t="n"/>
      <c r="F623" s="65" t="n"/>
      <c r="G623" s="65" t="n"/>
      <c r="H623" s="65" t="n"/>
      <c r="I623" s="65" t="n"/>
      <c r="J623" s="65" t="n">
        <v>208</v>
      </c>
      <c r="K623" s="65" t="n"/>
      <c r="L623" s="65" t="n"/>
      <c r="M623" s="65" t="n"/>
      <c r="N623" s="65" t="n"/>
      <c r="O623" s="65" t="n"/>
      <c r="P623" s="65" t="n"/>
      <c r="Q623" s="65" t="n"/>
    </row>
    <row r="624">
      <c r="A624" s="65" t="n"/>
      <c r="B624" s="65" t="n"/>
      <c r="C624" s="65" t="n"/>
      <c r="D624" s="65" t="n"/>
      <c r="E624" s="65" t="n"/>
      <c r="F624" s="65" t="n"/>
      <c r="G624" s="65" t="n"/>
      <c r="H624" s="65" t="n"/>
      <c r="I624" s="65" t="n"/>
      <c r="J624" s="65" t="n"/>
      <c r="K624" s="65" t="n"/>
      <c r="L624" s="65" t="n"/>
      <c r="M624" s="63" t="inlineStr">
        <is>
          <t>0,00</t>
        </is>
      </c>
      <c r="N624" s="63" t="inlineStr">
        <is>
          <t>0,00</t>
        </is>
      </c>
      <c r="O624" s="63" t="inlineStr">
        <is>
          <t>0,00</t>
        </is>
      </c>
      <c r="P624" s="63" t="inlineStr">
        <is>
          <t>0,00</t>
        </is>
      </c>
      <c r="Q624" s="63" t="inlineStr">
        <is>
          <t>0,00</t>
        </is>
      </c>
    </row>
    <row r="625">
      <c r="A625" s="65" t="n"/>
      <c r="B625" s="65" t="n"/>
      <c r="C625" s="65" t="n"/>
      <c r="D625" s="65" t="n"/>
      <c r="E625" s="65" t="n"/>
      <c r="F625" s="65" t="n"/>
      <c r="G625" s="65" t="n"/>
      <c r="H625" s="65" t="n"/>
      <c r="I625" s="65" t="n"/>
      <c r="J625" s="65" t="n"/>
      <c r="K625" s="65" t="n">
        <v>878</v>
      </c>
      <c r="L625" s="65" t="inlineStr">
        <is>
          <t>[0878] SS EXTRA PROTECCION API SN SAE 20W-50 (1x12)</t>
        </is>
      </c>
      <c r="M625" s="63" t="inlineStr">
        <is>
          <t>62,07</t>
        </is>
      </c>
      <c r="N625" s="63" t="inlineStr">
        <is>
          <t>1,00</t>
        </is>
      </c>
      <c r="O625" s="63" t="inlineStr">
        <is>
          <t>0,00</t>
        </is>
      </c>
      <c r="P625" s="63" t="inlineStr">
        <is>
          <t>62,07</t>
        </is>
      </c>
      <c r="Q625" s="63" t="inlineStr">
        <is>
          <t>72,00</t>
        </is>
      </c>
    </row>
    <row r="626">
      <c r="A626" s="65" t="n"/>
      <c r="B626" s="65" t="n"/>
      <c r="C626" s="65" t="n"/>
      <c r="D626" s="65" t="n"/>
      <c r="E626" s="65" t="n"/>
      <c r="F626" s="65" t="n"/>
      <c r="G626" s="65" t="n"/>
      <c r="H626" s="65" t="n"/>
      <c r="I626" s="65" t="n"/>
      <c r="J626" s="65" t="n"/>
      <c r="K626" s="65" t="n">
        <v>887</v>
      </c>
      <c r="L626" s="65" t="inlineStr">
        <is>
          <t>[0887] MOTOCLASICO 4T SAE 20W-50 (1x12)</t>
        </is>
      </c>
      <c r="M626" s="63" t="inlineStr">
        <is>
          <t>56,90</t>
        </is>
      </c>
      <c r="N626" s="63" t="inlineStr">
        <is>
          <t>1,00</t>
        </is>
      </c>
      <c r="O626" s="63" t="inlineStr">
        <is>
          <t>0,00</t>
        </is>
      </c>
      <c r="P626" s="63" t="inlineStr">
        <is>
          <t>56,90</t>
        </is>
      </c>
      <c r="Q626" s="63" t="inlineStr">
        <is>
          <t>66,00</t>
        </is>
      </c>
    </row>
    <row r="627">
      <c r="A627" s="65" t="n"/>
      <c r="B627" s="65" t="n"/>
      <c r="C627" s="65" t="n"/>
      <c r="D627" s="65" t="n"/>
      <c r="E627" s="65" t="n"/>
      <c r="F627" s="65" t="n"/>
      <c r="G627" s="65" t="n"/>
      <c r="H627" s="65" t="n"/>
      <c r="I627" s="65" t="n"/>
      <c r="J627" s="65" t="n"/>
      <c r="K627" s="65" t="n">
        <v>779</v>
      </c>
      <c r="L627" s="65" t="inlineStr">
        <is>
          <t>[0779] SINOCO SAE 20W-50 (1x12)</t>
        </is>
      </c>
      <c r="M627" s="63" t="inlineStr">
        <is>
          <t>41,38</t>
        </is>
      </c>
      <c r="N627" s="63" t="inlineStr">
        <is>
          <t>1,00</t>
        </is>
      </c>
      <c r="O627" s="63" t="inlineStr">
        <is>
          <t>0,00</t>
        </is>
      </c>
      <c r="P627" s="63" t="inlineStr">
        <is>
          <t>41,38</t>
        </is>
      </c>
      <c r="Q627" s="63" t="inlineStr">
        <is>
          <t>48,00</t>
        </is>
      </c>
    </row>
    <row r="628">
      <c r="A628" s="65" t="n"/>
      <c r="B628" s="65" t="n"/>
      <c r="C628" s="65" t="n"/>
      <c r="D628" s="65" t="n"/>
      <c r="E628" s="65" t="n"/>
      <c r="F628" s="65" t="n"/>
      <c r="G628" s="65" t="n"/>
      <c r="H628" s="65" t="n"/>
      <c r="I628" s="65" t="n"/>
      <c r="J628" s="65" t="n"/>
      <c r="K628" s="65" t="n">
        <v>774</v>
      </c>
      <c r="L628" s="65" t="inlineStr">
        <is>
          <t>[0774] LIGA PARA FRENOS DOT-4 (1X6)</t>
        </is>
      </c>
      <c r="M628" s="63" t="inlineStr">
        <is>
          <t>40,52</t>
        </is>
      </c>
      <c r="N628" s="63" t="inlineStr">
        <is>
          <t>1,00</t>
        </is>
      </c>
      <c r="O628" s="63" t="inlineStr">
        <is>
          <t>0,00</t>
        </is>
      </c>
      <c r="P628" s="63" t="inlineStr">
        <is>
          <t>40,52</t>
        </is>
      </c>
      <c r="Q628" s="63" t="inlineStr">
        <is>
          <t>47,00</t>
        </is>
      </c>
    </row>
    <row r="629">
      <c r="A629" s="65" t="n"/>
      <c r="B629" s="65" t="n"/>
      <c r="C629" s="65" t="n"/>
      <c r="D629" s="65" t="n"/>
      <c r="E629" s="65" t="n"/>
      <c r="F629" s="65" t="n"/>
      <c r="G629" s="65" t="n"/>
      <c r="H629" s="65" t="n"/>
      <c r="I629" s="65" t="n"/>
      <c r="J629" s="65" t="n"/>
      <c r="K629" s="65" t="n">
        <v>561</v>
      </c>
      <c r="L629" s="65" t="inlineStr">
        <is>
          <t>[0561] MEJORADOR DE OCTANAJE GLOBAL OIL PACK (1X12)</t>
        </is>
      </c>
      <c r="M629" s="63" t="inlineStr">
        <is>
          <t>31,90</t>
        </is>
      </c>
      <c r="N629" s="63" t="inlineStr">
        <is>
          <t>1,00</t>
        </is>
      </c>
      <c r="O629" s="63" t="inlineStr">
        <is>
          <t>0,00</t>
        </is>
      </c>
      <c r="P629" s="63" t="inlineStr">
        <is>
          <t>31,90</t>
        </is>
      </c>
      <c r="Q629" s="63" t="inlineStr">
        <is>
          <t>37,00</t>
        </is>
      </c>
    </row>
    <row r="630">
      <c r="A630" s="65" t="n"/>
      <c r="B630" s="65" t="n"/>
      <c r="C630" s="65" t="n"/>
      <c r="D630" s="65" t="n"/>
      <c r="E630" s="65" t="n"/>
      <c r="F630" s="65" t="n"/>
      <c r="G630" s="65" t="n"/>
      <c r="H630" s="65" t="n"/>
      <c r="I630" s="65" t="n"/>
      <c r="J630" s="65" t="n"/>
      <c r="K630" s="65" t="n">
        <v>884</v>
      </c>
      <c r="L630" s="65" t="inlineStr">
        <is>
          <t>[0884] TRANSMATIC ATF DEXRON III (1x12)</t>
        </is>
      </c>
      <c r="M630" s="63" t="inlineStr">
        <is>
          <t>57,76</t>
        </is>
      </c>
      <c r="N630" s="63" t="inlineStr">
        <is>
          <t>1,00</t>
        </is>
      </c>
      <c r="O630" s="63" t="inlineStr">
        <is>
          <t>0,00</t>
        </is>
      </c>
      <c r="P630" s="63" t="inlineStr">
        <is>
          <t>57,76</t>
        </is>
      </c>
      <c r="Q630" s="63" t="inlineStr">
        <is>
          <t>67,00</t>
        </is>
      </c>
    </row>
    <row r="631">
      <c r="A631" s="66" t="n">
        <v>46214</v>
      </c>
      <c r="B631" s="65" t="n">
        <v>270</v>
      </c>
      <c r="C631" s="65" t="inlineStr">
        <is>
          <t>00-00000807</t>
        </is>
      </c>
      <c r="D631" s="65" t="inlineStr">
        <is>
          <t>S00020</t>
        </is>
      </c>
      <c r="E631" s="65" t="inlineStr">
        <is>
          <t>EMPRENDIMIENTO TOMAS MARCANO 5</t>
        </is>
      </c>
      <c r="F631" s="63" t="inlineStr">
        <is>
          <t>369.849,67</t>
        </is>
      </c>
      <c r="G631" s="63" t="inlineStr">
        <is>
          <t>429.025,63</t>
        </is>
      </c>
      <c r="H631" s="63" t="inlineStr">
        <is>
          <t>604,49</t>
        </is>
      </c>
      <c r="I631" s="63" t="inlineStr">
        <is>
          <t>709,69</t>
        </is>
      </c>
      <c r="J631" s="65" t="n">
        <v>17</v>
      </c>
      <c r="K631" s="65" t="n">
        <v>880</v>
      </c>
      <c r="L631" s="65" t="inlineStr">
        <is>
          <t>[0880] CLASICO API SL SAE 15W-40 (1x12)</t>
        </is>
      </c>
      <c r="M631" s="63" t="inlineStr">
        <is>
          <t>80,17</t>
        </is>
      </c>
      <c r="N631" s="63" t="inlineStr">
        <is>
          <t>1,00</t>
        </is>
      </c>
      <c r="O631" s="63" t="inlineStr">
        <is>
          <t>0,00</t>
        </is>
      </c>
      <c r="P631" s="63" t="inlineStr">
        <is>
          <t>80,17</t>
        </is>
      </c>
      <c r="Q631" s="63" t="inlineStr">
        <is>
          <t>93,00</t>
        </is>
      </c>
    </row>
    <row r="632">
      <c r="A632" s="65" t="n"/>
      <c r="B632" s="65" t="n"/>
      <c r="C632" s="65" t="n"/>
      <c r="D632" s="65" t="n"/>
      <c r="E632" s="65" t="n"/>
      <c r="F632" s="65" t="n"/>
      <c r="G632" s="65" t="n"/>
      <c r="H632" s="65" t="n"/>
      <c r="I632" s="65" t="n"/>
      <c r="J632" s="65" t="n">
        <v>18</v>
      </c>
      <c r="K632" s="65" t="n"/>
      <c r="L632" s="65" t="n"/>
      <c r="M632" s="65" t="n"/>
      <c r="N632" s="65" t="n"/>
      <c r="O632" s="65" t="n"/>
      <c r="P632" s="65" t="n"/>
      <c r="Q632" s="65" t="n"/>
    </row>
    <row r="633">
      <c r="A633" s="65" t="n"/>
      <c r="B633" s="65" t="n"/>
      <c r="C633" s="65" t="n"/>
      <c r="D633" s="65" t="n"/>
      <c r="E633" s="65" t="n"/>
      <c r="F633" s="65" t="n"/>
      <c r="G633" s="65" t="n"/>
      <c r="H633" s="65" t="n"/>
      <c r="I633" s="65" t="n"/>
      <c r="J633" s="65" t="n">
        <v>49</v>
      </c>
      <c r="K633" s="65" t="n"/>
      <c r="L633" s="65" t="n"/>
      <c r="M633" s="65" t="n"/>
      <c r="N633" s="65" t="n"/>
      <c r="O633" s="65" t="n"/>
      <c r="P633" s="65" t="n"/>
      <c r="Q633" s="65" t="n"/>
    </row>
    <row r="634">
      <c r="A634" s="65" t="n"/>
      <c r="B634" s="65" t="n"/>
      <c r="C634" s="65" t="n"/>
      <c r="D634" s="65" t="n"/>
      <c r="E634" s="65" t="n"/>
      <c r="F634" s="65" t="n"/>
      <c r="G634" s="65" t="n"/>
      <c r="H634" s="65" t="n"/>
      <c r="I634" s="65" t="n"/>
      <c r="J634" s="65" t="n">
        <v>51</v>
      </c>
      <c r="K634" s="65" t="n"/>
      <c r="L634" s="65" t="n"/>
      <c r="M634" s="65" t="n"/>
      <c r="N634" s="65" t="n"/>
      <c r="O634" s="65" t="n"/>
      <c r="P634" s="65" t="n"/>
      <c r="Q634" s="65" t="n"/>
    </row>
    <row r="635">
      <c r="A635" s="65" t="n"/>
      <c r="B635" s="65" t="n"/>
      <c r="C635" s="65" t="n"/>
      <c r="D635" s="65" t="n"/>
      <c r="E635" s="65" t="n"/>
      <c r="F635" s="65" t="n"/>
      <c r="G635" s="65" t="n"/>
      <c r="H635" s="65" t="n"/>
      <c r="I635" s="65" t="n"/>
      <c r="J635" s="65" t="n">
        <v>271</v>
      </c>
      <c r="K635" s="65" t="n"/>
      <c r="L635" s="65" t="n"/>
      <c r="M635" s="65" t="n"/>
      <c r="N635" s="65" t="n"/>
      <c r="O635" s="65" t="n"/>
      <c r="P635" s="65" t="n"/>
      <c r="Q635" s="65" t="n"/>
    </row>
    <row r="636">
      <c r="A636" s="65" t="n"/>
      <c r="B636" s="65" t="n"/>
      <c r="C636" s="65" t="n"/>
      <c r="D636" s="65" t="n"/>
      <c r="E636" s="65" t="n"/>
      <c r="F636" s="65" t="n"/>
      <c r="G636" s="65" t="n"/>
      <c r="H636" s="65" t="n"/>
      <c r="I636" s="65" t="n"/>
      <c r="J636" s="65" t="n">
        <v>555</v>
      </c>
      <c r="K636" s="65" t="n"/>
      <c r="L636" s="65" t="n"/>
      <c r="M636" s="65" t="n"/>
      <c r="N636" s="65" t="n"/>
      <c r="O636" s="65" t="n"/>
      <c r="P636" s="65" t="n"/>
      <c r="Q636" s="65" t="n"/>
    </row>
    <row r="637">
      <c r="A637" s="65" t="n"/>
      <c r="B637" s="65" t="n"/>
      <c r="C637" s="65" t="n"/>
      <c r="D637" s="65" t="n"/>
      <c r="E637" s="65" t="n"/>
      <c r="F637" s="65" t="n"/>
      <c r="G637" s="65" t="n"/>
      <c r="H637" s="65" t="n"/>
      <c r="I637" s="65" t="n"/>
      <c r="J637" s="65" t="n">
        <v>608</v>
      </c>
      <c r="K637" s="65" t="n"/>
      <c r="L637" s="65" t="n"/>
      <c r="M637" s="65" t="n"/>
      <c r="N637" s="65" t="n"/>
      <c r="O637" s="65" t="n"/>
      <c r="P637" s="65" t="n"/>
      <c r="Q637" s="65" t="n"/>
    </row>
    <row r="638">
      <c r="A638" s="65" t="n"/>
      <c r="B638" s="65" t="n"/>
      <c r="C638" s="65" t="n"/>
      <c r="D638" s="65" t="n"/>
      <c r="E638" s="65" t="n"/>
      <c r="F638" s="65" t="n"/>
      <c r="G638" s="65" t="n"/>
      <c r="H638" s="65" t="n"/>
      <c r="I638" s="65" t="n"/>
      <c r="J638" s="65" t="n"/>
      <c r="K638" s="65" t="n">
        <v>121</v>
      </c>
      <c r="L638" s="65" t="inlineStr">
        <is>
          <t>[0121] TRANSGLOB API GL-5 SAE 80W-90 (1x6)</t>
        </is>
      </c>
      <c r="M638" s="63" t="inlineStr">
        <is>
          <t>46,55</t>
        </is>
      </c>
      <c r="N638" s="63" t="inlineStr">
        <is>
          <t>1,00</t>
        </is>
      </c>
      <c r="O638" s="63" t="inlineStr">
        <is>
          <t>0,00</t>
        </is>
      </c>
      <c r="P638" s="63" t="inlineStr">
        <is>
          <t>46,55</t>
        </is>
      </c>
      <c r="Q638" s="63" t="inlineStr">
        <is>
          <t>54,00</t>
        </is>
      </c>
    </row>
    <row r="639">
      <c r="A639" s="65" t="n"/>
      <c r="B639" s="65" t="n"/>
      <c r="C639" s="65" t="n"/>
      <c r="D639" s="65" t="n"/>
      <c r="E639" s="65" t="n"/>
      <c r="F639" s="65" t="n"/>
      <c r="G639" s="65" t="n"/>
      <c r="H639" s="65" t="n"/>
      <c r="I639" s="65" t="n"/>
      <c r="J639" s="65" t="n"/>
      <c r="K639" s="65" t="n">
        <v>877</v>
      </c>
      <c r="L639" s="65" t="inlineStr">
        <is>
          <t>[0877] SS EXTRA PROTECCION API SN SAE 15W-40 (1X12)</t>
        </is>
      </c>
      <c r="M639" s="63" t="inlineStr">
        <is>
          <t>93,10</t>
        </is>
      </c>
      <c r="N639" s="63" t="inlineStr">
        <is>
          <t>2,00</t>
        </is>
      </c>
      <c r="O639" s="63" t="inlineStr">
        <is>
          <t>0,00</t>
        </is>
      </c>
      <c r="P639" s="63" t="inlineStr">
        <is>
          <t>186,20</t>
        </is>
      </c>
      <c r="Q639" s="63" t="inlineStr">
        <is>
          <t>215,99</t>
        </is>
      </c>
    </row>
    <row r="640">
      <c r="A640" s="65" t="n"/>
      <c r="B640" s="65" t="n"/>
      <c r="C640" s="65" t="n"/>
      <c r="D640" s="65" t="n"/>
      <c r="E640" s="65" t="n"/>
      <c r="F640" s="65" t="n"/>
      <c r="G640" s="65" t="n"/>
      <c r="H640" s="65" t="n"/>
      <c r="I640" s="65" t="n"/>
      <c r="J640" s="65" t="n"/>
      <c r="K640" s="65" t="n">
        <v>761</v>
      </c>
      <c r="L640" s="65" t="inlineStr">
        <is>
          <t>[0761] LIGA PARA FRENOS DOT-3 (1x12)</t>
        </is>
      </c>
      <c r="M640" s="63" t="inlineStr">
        <is>
          <t>31,05</t>
        </is>
      </c>
      <c r="N640" s="63" t="inlineStr">
        <is>
          <t>2,00</t>
        </is>
      </c>
      <c r="O640" s="63" t="inlineStr">
        <is>
          <t>0,00</t>
        </is>
      </c>
      <c r="P640" s="63" t="inlineStr">
        <is>
          <t>62,10</t>
        </is>
      </c>
      <c r="Q640" s="63" t="inlineStr">
        <is>
          <t>72,04</t>
        </is>
      </c>
    </row>
    <row r="641">
      <c r="A641" s="65" t="n"/>
      <c r="B641" s="65" t="n"/>
      <c r="C641" s="65" t="n"/>
      <c r="D641" s="65" t="n"/>
      <c r="E641" s="65" t="n"/>
      <c r="F641" s="65" t="n"/>
      <c r="G641" s="65" t="n"/>
      <c r="H641" s="65" t="n"/>
      <c r="I641" s="65" t="n"/>
      <c r="J641" s="65" t="n"/>
      <c r="K641" s="65" t="n">
        <v>779</v>
      </c>
      <c r="L641" s="65" t="inlineStr">
        <is>
          <t>[0779] SINOCO SAE 20W-50 (1x12)</t>
        </is>
      </c>
      <c r="M641" s="63" t="inlineStr">
        <is>
          <t>62,07</t>
        </is>
      </c>
      <c r="N641" s="63" t="inlineStr">
        <is>
          <t>2,00</t>
        </is>
      </c>
      <c r="O641" s="63" t="inlineStr">
        <is>
          <t>0,00</t>
        </is>
      </c>
      <c r="P641" s="63" t="inlineStr">
        <is>
          <t>124,14</t>
        </is>
      </c>
      <c r="Q641" s="63" t="inlineStr">
        <is>
          <t>144,00</t>
        </is>
      </c>
    </row>
    <row r="642">
      <c r="A642" s="65" t="n"/>
      <c r="B642" s="65" t="n"/>
      <c r="C642" s="65" t="n"/>
      <c r="D642" s="65" t="n"/>
      <c r="E642" s="65" t="n"/>
      <c r="F642" s="65" t="n"/>
      <c r="G642" s="65" t="n"/>
      <c r="H642" s="65" t="n"/>
      <c r="I642" s="65" t="n"/>
      <c r="J642" s="65" t="n"/>
      <c r="K642" s="65" t="n">
        <v>725</v>
      </c>
      <c r="L642" s="65" t="inlineStr">
        <is>
          <t>[0725] AGUA DESMINERALIZADA</t>
        </is>
      </c>
      <c r="M642" s="63" t="inlineStr">
        <is>
          <t>21,98</t>
        </is>
      </c>
      <c r="N642" s="63" t="inlineStr">
        <is>
          <t>1,00</t>
        </is>
      </c>
      <c r="O642" s="63" t="inlineStr">
        <is>
          <t>0,00</t>
        </is>
      </c>
      <c r="P642" s="63" t="inlineStr">
        <is>
          <t>21,98</t>
        </is>
      </c>
      <c r="Q642" s="63" t="inlineStr">
        <is>
          <t>25,50</t>
        </is>
      </c>
    </row>
    <row r="643">
      <c r="A643" s="66" t="n">
        <v>46214</v>
      </c>
      <c r="B643" s="65" t="n">
        <v>269</v>
      </c>
      <c r="C643" s="65" t="inlineStr">
        <is>
          <t>00-00000806</t>
        </is>
      </c>
      <c r="D643" s="65" t="inlineStr">
        <is>
          <t>S00156</t>
        </is>
      </c>
      <c r="E643" s="65" t="inlineStr">
        <is>
          <t>EMPRENDIMIENTO MARTIN BASTIDAS 2</t>
        </is>
      </c>
      <c r="F643" s="63" t="inlineStr">
        <is>
          <t>23.859,90</t>
        </is>
      </c>
      <c r="G643" s="63" t="inlineStr">
        <is>
          <t>27.677,48</t>
        </is>
      </c>
      <c r="H643" s="63" t="inlineStr">
        <is>
          <t>38,99</t>
        </is>
      </c>
      <c r="I643" s="63" t="inlineStr">
        <is>
          <t>709,69</t>
        </is>
      </c>
      <c r="J643" s="65" t="n">
        <v>251</v>
      </c>
      <c r="K643" s="65" t="n">
        <v>762</v>
      </c>
      <c r="L643" s="65" t="inlineStr">
        <is>
          <t>[0762] LIGA PARA FRENOS DOT-3 (1x6)</t>
        </is>
      </c>
      <c r="M643" s="63" t="inlineStr">
        <is>
          <t>33,62</t>
        </is>
      </c>
      <c r="N643" s="63" t="inlineStr">
        <is>
          <t>1,00</t>
        </is>
      </c>
      <c r="O643" s="63" t="inlineStr">
        <is>
          <t>0,00</t>
        </is>
      </c>
      <c r="P643" s="63" t="inlineStr">
        <is>
          <t>33,62</t>
        </is>
      </c>
      <c r="Q643" s="63" t="inlineStr">
        <is>
          <t>39,00</t>
        </is>
      </c>
    </row>
    <row r="644">
      <c r="A644" s="66" t="n">
        <v>46214</v>
      </c>
      <c r="B644" s="65" t="n">
        <v>268</v>
      </c>
      <c r="C644" s="65" t="inlineStr">
        <is>
          <t>00-00000805</t>
        </is>
      </c>
      <c r="D644" s="65" t="inlineStr">
        <is>
          <t>S00157</t>
        </is>
      </c>
      <c r="E644" s="65" t="inlineStr">
        <is>
          <t>Turismo Apureño Turapca, C.A</t>
        </is>
      </c>
      <c r="F644" s="63" t="inlineStr">
        <is>
          <t>75.862,00</t>
        </is>
      </c>
      <c r="G644" s="63" t="inlineStr">
        <is>
          <t>87.999,92</t>
        </is>
      </c>
      <c r="H644" s="63" t="inlineStr">
        <is>
          <t>123,99</t>
        </is>
      </c>
      <c r="I644" s="63" t="inlineStr">
        <is>
          <t>709,69</t>
        </is>
      </c>
      <c r="J644" s="65" t="n">
        <v>67</v>
      </c>
      <c r="K644" s="65" t="n">
        <v>879</v>
      </c>
      <c r="L644" s="65" t="inlineStr">
        <is>
          <t>[0879] CARIBE FUERA DE BORDA TC-W3 2 TIEMPOS (1x12)</t>
        </is>
      </c>
      <c r="M644" s="63" t="inlineStr">
        <is>
          <t>56,03</t>
        </is>
      </c>
      <c r="N644" s="63" t="inlineStr">
        <is>
          <t>2,00</t>
        </is>
      </c>
      <c r="O644" s="63" t="inlineStr">
        <is>
          <t>4,61</t>
        </is>
      </c>
      <c r="P644" s="63" t="inlineStr">
        <is>
          <t>106,89</t>
        </is>
      </c>
      <c r="Q644" s="63" t="inlineStr">
        <is>
          <t>124,00</t>
        </is>
      </c>
    </row>
    <row r="645">
      <c r="A645" s="65" t="n"/>
      <c r="B645" s="65" t="n"/>
      <c r="C645" s="65" t="n"/>
      <c r="D645" s="65" t="n"/>
      <c r="E645" s="65" t="n"/>
      <c r="F645" s="65" t="n"/>
      <c r="G645" s="65" t="n"/>
      <c r="H645" s="65" t="n"/>
      <c r="I645" s="65" t="n"/>
      <c r="J645" s="65" t="n"/>
      <c r="K645" s="65" t="n"/>
      <c r="L645" s="65" t="n"/>
      <c r="M645" s="63" t="inlineStr">
        <is>
          <t>0,00</t>
        </is>
      </c>
      <c r="N645" s="63" t="inlineStr">
        <is>
          <t>0,00</t>
        </is>
      </c>
      <c r="O645" s="63" t="inlineStr">
        <is>
          <t>0,00</t>
        </is>
      </c>
      <c r="P645" s="63" t="inlineStr">
        <is>
          <t>0,00</t>
        </is>
      </c>
      <c r="Q645" s="63" t="inlineStr">
        <is>
          <t>0,00</t>
        </is>
      </c>
    </row>
    <row r="646">
      <c r="A646" s="66" t="n">
        <v>46214</v>
      </c>
      <c r="B646" s="65" t="n">
        <v>267</v>
      </c>
      <c r="C646" s="65" t="inlineStr">
        <is>
          <t>00-00000804</t>
        </is>
      </c>
      <c r="D646" s="65" t="inlineStr">
        <is>
          <t>S00151</t>
        </is>
      </c>
      <c r="E646" s="65" t="inlineStr">
        <is>
          <t>Distribuidora Drako 2024 c.a</t>
        </is>
      </c>
      <c r="F646" s="63" t="inlineStr">
        <is>
          <t>176.202,71</t>
        </is>
      </c>
      <c r="G646" s="63" t="inlineStr">
        <is>
          <t>204.395,14</t>
        </is>
      </c>
      <c r="H646" s="63" t="inlineStr">
        <is>
          <t>288,00</t>
        </is>
      </c>
      <c r="I646" s="63" t="inlineStr">
        <is>
          <t>709,69</t>
        </is>
      </c>
      <c r="J646" s="65" t="n"/>
      <c r="K646" s="65" t="n">
        <v>779</v>
      </c>
      <c r="L646" s="65" t="inlineStr">
        <is>
          <t>[0779] SINOCO SAE 20W-50 (1x12)</t>
        </is>
      </c>
      <c r="M646" s="63" t="inlineStr">
        <is>
          <t>62,07</t>
        </is>
      </c>
      <c r="N646" s="63" t="inlineStr">
        <is>
          <t>3,00</t>
        </is>
      </c>
      <c r="O646" s="63" t="inlineStr">
        <is>
          <t>0,00</t>
        </is>
      </c>
      <c r="P646" s="63" t="inlineStr">
        <is>
          <t>186,21</t>
        </is>
      </c>
      <c r="Q646" s="63" t="inlineStr">
        <is>
          <t>216,00</t>
        </is>
      </c>
    </row>
    <row r="647">
      <c r="A647" s="65" t="n"/>
      <c r="B647" s="65" t="n"/>
      <c r="C647" s="65" t="n"/>
      <c r="D647" s="65" t="n"/>
      <c r="E647" s="65" t="n"/>
      <c r="F647" s="65" t="n"/>
      <c r="G647" s="65" t="n"/>
      <c r="H647" s="65" t="n"/>
      <c r="I647" s="65" t="n"/>
      <c r="J647" s="65" t="n"/>
      <c r="K647" s="65" t="n">
        <v>915</v>
      </c>
      <c r="L647" s="65" t="inlineStr">
        <is>
          <t>[0915] SINOCO SAE 50 (1x12)</t>
        </is>
      </c>
      <c r="M647" s="63" t="inlineStr">
        <is>
          <t>62,07</t>
        </is>
      </c>
      <c r="N647" s="63" t="inlineStr">
        <is>
          <t>1,00</t>
        </is>
      </c>
      <c r="O647" s="63" t="inlineStr">
        <is>
          <t>0,00</t>
        </is>
      </c>
      <c r="P647" s="63" t="inlineStr">
        <is>
          <t>62,07</t>
        </is>
      </c>
      <c r="Q647" s="63" t="inlineStr">
        <is>
          <t>72,00</t>
        </is>
      </c>
    </row>
    <row r="648">
      <c r="A648" s="66" t="n">
        <v>46214</v>
      </c>
      <c r="B648" s="65" t="n">
        <v>266</v>
      </c>
      <c r="C648" s="65" t="inlineStr">
        <is>
          <t>00-00000803</t>
        </is>
      </c>
      <c r="D648" s="65" t="inlineStr">
        <is>
          <t>S00138</t>
        </is>
      </c>
      <c r="E648" s="65" t="inlineStr">
        <is>
          <t>Benefit c.a</t>
        </is>
      </c>
      <c r="F648" s="63" t="inlineStr">
        <is>
          <t>146.835,58</t>
        </is>
      </c>
      <c r="G648" s="63" t="inlineStr">
        <is>
          <t>170.329,28</t>
        </is>
      </c>
      <c r="H648" s="63" t="inlineStr">
        <is>
          <t>239,98</t>
        </is>
      </c>
      <c r="I648" s="63" t="inlineStr">
        <is>
          <t>709,69</t>
        </is>
      </c>
      <c r="J648" s="65" t="n">
        <v>147</v>
      </c>
      <c r="K648" s="65" t="n">
        <v>779</v>
      </c>
      <c r="L648" s="65" t="inlineStr">
        <is>
          <t>[0779] SINOCO SAE 20W-50 (1x12)</t>
        </is>
      </c>
      <c r="M648" s="63" t="inlineStr">
        <is>
          <t>41,38</t>
        </is>
      </c>
      <c r="N648" s="63" t="inlineStr">
        <is>
          <t>3,00</t>
        </is>
      </c>
      <c r="O648" s="63" t="inlineStr">
        <is>
          <t>0,00</t>
        </is>
      </c>
      <c r="P648" s="63" t="inlineStr">
        <is>
          <t>124,14</t>
        </is>
      </c>
      <c r="Q648" s="63" t="inlineStr">
        <is>
          <t>144,00</t>
        </is>
      </c>
    </row>
    <row r="649">
      <c r="A649" s="65" t="n"/>
      <c r="B649" s="65" t="n"/>
      <c r="C649" s="65" t="n"/>
      <c r="D649" s="65" t="n"/>
      <c r="E649" s="65" t="n"/>
      <c r="F649" s="65" t="n"/>
      <c r="G649" s="65" t="n"/>
      <c r="H649" s="65" t="n"/>
      <c r="I649" s="65" t="n"/>
      <c r="J649" s="65" t="n">
        <v>768</v>
      </c>
      <c r="K649" s="65" t="n"/>
      <c r="L649" s="65" t="n"/>
      <c r="M649" s="65" t="n"/>
      <c r="N649" s="65" t="n"/>
      <c r="O649" s="65" t="n"/>
      <c r="P649" s="65" t="n"/>
      <c r="Q649" s="65" t="n"/>
    </row>
    <row r="650">
      <c r="A650" s="65" t="n"/>
      <c r="B650" s="65" t="n"/>
      <c r="C650" s="65" t="n"/>
      <c r="D650" s="65" t="n"/>
      <c r="E650" s="65" t="n"/>
      <c r="F650" s="65" t="n"/>
      <c r="G650" s="65" t="n"/>
      <c r="H650" s="65" t="n"/>
      <c r="I650" s="65" t="n"/>
      <c r="J650" s="65" t="n"/>
      <c r="K650" s="65" t="n">
        <v>915</v>
      </c>
      <c r="L650" s="65" t="inlineStr">
        <is>
          <t>[0915] SINOCO SAE 50 (1x12)</t>
        </is>
      </c>
      <c r="M650" s="63" t="inlineStr">
        <is>
          <t>41,38</t>
        </is>
      </c>
      <c r="N650" s="63" t="inlineStr">
        <is>
          <t>2,00</t>
        </is>
      </c>
      <c r="O650" s="63" t="inlineStr">
        <is>
          <t>0,00</t>
        </is>
      </c>
      <c r="P650" s="63" t="inlineStr">
        <is>
          <t>82,76</t>
        </is>
      </c>
      <c r="Q650" s="63" t="inlineStr">
        <is>
          <t>96,00</t>
        </is>
      </c>
    </row>
    <row r="651">
      <c r="A651" s="66" t="n">
        <v>46214</v>
      </c>
      <c r="B651" s="65" t="n">
        <v>265</v>
      </c>
      <c r="C651" s="65" t="inlineStr">
        <is>
          <t>00-00000802</t>
        </is>
      </c>
      <c r="D651" s="65" t="inlineStr">
        <is>
          <t>S00136</t>
        </is>
      </c>
      <c r="E651" s="65" t="inlineStr">
        <is>
          <t>ZIP MARKET, CA</t>
        </is>
      </c>
      <c r="F651" s="63" t="inlineStr">
        <is>
          <t>56.896,13</t>
        </is>
      </c>
      <c r="G651" s="63" t="inlineStr">
        <is>
          <t>65.999,51</t>
        </is>
      </c>
      <c r="H651" s="63" t="inlineStr">
        <is>
          <t>92,99</t>
        </is>
      </c>
      <c r="I651" s="63" t="inlineStr">
        <is>
          <t>709,69</t>
        </is>
      </c>
      <c r="J651" s="65" t="n">
        <v>103</v>
      </c>
      <c r="K651" s="65" t="n">
        <v>880</v>
      </c>
      <c r="L651" s="65" t="inlineStr">
        <is>
          <t>[0880] CLASICO API SL SAE 15W-40 (1x12)</t>
        </is>
      </c>
      <c r="M651" s="63" t="inlineStr">
        <is>
          <t>80,17</t>
        </is>
      </c>
      <c r="N651" s="63" t="inlineStr">
        <is>
          <t>1,00</t>
        </is>
      </c>
      <c r="O651" s="63" t="inlineStr">
        <is>
          <t>0,00</t>
        </is>
      </c>
      <c r="P651" s="63" t="inlineStr">
        <is>
          <t>80,17</t>
        </is>
      </c>
      <c r="Q651" s="63" t="inlineStr">
        <is>
          <t>93,00</t>
        </is>
      </c>
    </row>
    <row r="652">
      <c r="A652" s="66" t="n">
        <v>46214</v>
      </c>
      <c r="B652" s="65" t="n">
        <v>264</v>
      </c>
      <c r="C652" s="65" t="inlineStr">
        <is>
          <t>00-00000801</t>
        </is>
      </c>
      <c r="D652" s="65" t="inlineStr">
        <is>
          <t>S00132</t>
        </is>
      </c>
      <c r="E652" s="65" t="inlineStr">
        <is>
          <t>Distribuidora Nesmari 2050 c.a</t>
        </is>
      </c>
      <c r="F652" s="63" t="inlineStr">
        <is>
          <t>58.734,23</t>
        </is>
      </c>
      <c r="G652" s="63" t="inlineStr">
        <is>
          <t>68.131,71</t>
        </is>
      </c>
      <c r="H652" s="63" t="inlineStr">
        <is>
          <t>95,99</t>
        </is>
      </c>
      <c r="I652" s="63" t="inlineStr">
        <is>
          <t>709,69</t>
        </is>
      </c>
      <c r="J652" s="65" t="n">
        <v>76</v>
      </c>
      <c r="K652" s="65" t="n">
        <v>779</v>
      </c>
      <c r="L652" s="65" t="inlineStr">
        <is>
          <t>[0779] SINOCO SAE 20W-50 (1x12)</t>
        </is>
      </c>
      <c r="M652" s="63" t="inlineStr">
        <is>
          <t>41,38</t>
        </is>
      </c>
      <c r="N652" s="63" t="inlineStr">
        <is>
          <t>2,00</t>
        </is>
      </c>
      <c r="O652" s="63" t="inlineStr">
        <is>
          <t>0,00</t>
        </is>
      </c>
      <c r="P652" s="63" t="inlineStr">
        <is>
          <t>82,76</t>
        </is>
      </c>
      <c r="Q652" s="63" t="inlineStr">
        <is>
          <t>96,00</t>
        </is>
      </c>
    </row>
    <row r="653">
      <c r="A653" s="65" t="n"/>
      <c r="B653" s="65" t="n"/>
      <c r="C653" s="65" t="n"/>
      <c r="D653" s="65" t="n"/>
      <c r="E653" s="65" t="n"/>
      <c r="F653" s="65" t="n"/>
      <c r="G653" s="65" t="n"/>
      <c r="H653" s="65" t="n"/>
      <c r="I653" s="65" t="n"/>
      <c r="J653" s="65" t="n">
        <v>261</v>
      </c>
      <c r="K653" s="65" t="n"/>
      <c r="L653" s="65" t="n"/>
      <c r="M653" s="65" t="n"/>
      <c r="N653" s="65" t="n"/>
      <c r="O653" s="65" t="n"/>
      <c r="P653" s="65" t="n"/>
      <c r="Q653" s="65" t="n"/>
    </row>
    <row r="654">
      <c r="A654" s="66" t="n">
        <v>46214</v>
      </c>
      <c r="B654" s="65" t="n">
        <v>263</v>
      </c>
      <c r="C654" s="65" t="inlineStr">
        <is>
          <t>00-00000800</t>
        </is>
      </c>
      <c r="D654" s="65" t="inlineStr">
        <is>
          <t>S00128</t>
        </is>
      </c>
      <c r="E654" s="65" t="inlineStr">
        <is>
          <t>Multiservicios Gre-orio2022 c.a</t>
        </is>
      </c>
      <c r="F654" s="63" t="inlineStr">
        <is>
          <t>121.144,68</t>
        </is>
      </c>
      <c r="G654" s="63" t="inlineStr">
        <is>
          <t>140.527,83</t>
        </is>
      </c>
      <c r="H654" s="63" t="inlineStr">
        <is>
          <t>198,00</t>
        </is>
      </c>
      <c r="I654" s="63" t="inlineStr">
        <is>
          <t>709,69</t>
        </is>
      </c>
      <c r="J654" s="65" t="n">
        <v>303</v>
      </c>
      <c r="K654" s="65" t="n">
        <v>887</v>
      </c>
      <c r="L654" s="65" t="inlineStr">
        <is>
          <t>[0887] MOTOCLASICO 4T SAE 20W-50 (1x12)</t>
        </is>
      </c>
      <c r="M654" s="63" t="inlineStr">
        <is>
          <t>56,90</t>
        </is>
      </c>
      <c r="N654" s="63" t="inlineStr">
        <is>
          <t>3,00</t>
        </is>
      </c>
      <c r="O654" s="63" t="inlineStr">
        <is>
          <t>0,00</t>
        </is>
      </c>
      <c r="P654" s="63" t="inlineStr">
        <is>
          <t>170,70</t>
        </is>
      </c>
      <c r="Q654" s="63" t="inlineStr">
        <is>
          <t>198,01</t>
        </is>
      </c>
    </row>
    <row r="655">
      <c r="A655" s="66" t="n">
        <v>46214</v>
      </c>
      <c r="B655" s="65" t="n">
        <v>262</v>
      </c>
      <c r="C655" s="65" t="inlineStr">
        <is>
          <t>00-00000799</t>
        </is>
      </c>
      <c r="D655" s="65" t="inlineStr">
        <is>
          <t>S00127</t>
        </is>
      </c>
      <c r="E655" s="65" t="inlineStr">
        <is>
          <t>Emprendimiento José Sánchez 203 c.a</t>
        </is>
      </c>
      <c r="F655" s="63" t="inlineStr">
        <is>
          <t>388.493,32</t>
        </is>
      </c>
      <c r="G655" s="63" t="inlineStr">
        <is>
          <t>450.652,25</t>
        </is>
      </c>
      <c r="H655" s="63" t="inlineStr">
        <is>
          <t>634,99</t>
        </is>
      </c>
      <c r="I655" s="63" t="inlineStr">
        <is>
          <t>709,69</t>
        </is>
      </c>
      <c r="J655" s="65" t="n">
        <v>187</v>
      </c>
      <c r="K655" s="65" t="n">
        <v>603</v>
      </c>
      <c r="L655" s="65" t="inlineStr">
        <is>
          <t>[0603] SINOCO SAE 50 (Tambor)</t>
        </is>
      </c>
      <c r="M655" s="63" t="inlineStr">
        <is>
          <t>547,41</t>
        </is>
      </c>
      <c r="N655" s="63" t="inlineStr">
        <is>
          <t>1,00</t>
        </is>
      </c>
      <c r="O655" s="63" t="inlineStr">
        <is>
          <t>0,00</t>
        </is>
      </c>
      <c r="P655" s="63" t="inlineStr">
        <is>
          <t>547,41</t>
        </is>
      </c>
      <c r="Q655" s="63" t="inlineStr">
        <is>
          <t>635,00</t>
        </is>
      </c>
    </row>
    <row r="656">
      <c r="A656" s="65" t="n"/>
      <c r="B656" s="65" t="n"/>
      <c r="C656" s="65" t="n"/>
      <c r="D656" s="65" t="n"/>
      <c r="E656" s="65" t="n"/>
      <c r="F656" s="65" t="n"/>
      <c r="G656" s="65" t="n"/>
      <c r="H656" s="65" t="n"/>
      <c r="I656" s="65" t="n"/>
      <c r="J656" s="65" t="n">
        <v>260</v>
      </c>
      <c r="K656" s="65" t="n"/>
      <c r="L656" s="65" t="n"/>
      <c r="M656" s="65" t="n"/>
      <c r="N656" s="65" t="n"/>
      <c r="O656" s="65" t="n"/>
      <c r="P656" s="65" t="n"/>
      <c r="Q656" s="65" t="n"/>
    </row>
    <row r="657">
      <c r="A657" s="65" t="n"/>
      <c r="B657" s="65" t="n"/>
      <c r="C657" s="65" t="n"/>
      <c r="D657" s="65" t="n"/>
      <c r="E657" s="65" t="n"/>
      <c r="F657" s="65" t="n"/>
      <c r="G657" s="65" t="n"/>
      <c r="H657" s="65" t="n"/>
      <c r="I657" s="65" t="n"/>
      <c r="J657" s="65" t="n">
        <v>360</v>
      </c>
      <c r="K657" s="65" t="n"/>
      <c r="L657" s="65" t="n"/>
      <c r="M657" s="65" t="n"/>
      <c r="N657" s="65" t="n"/>
      <c r="O657" s="65" t="n"/>
      <c r="P657" s="65" t="n"/>
      <c r="Q657" s="65" t="n"/>
    </row>
    <row r="658">
      <c r="A658" s="65" t="n"/>
      <c r="B658" s="65" t="n"/>
      <c r="C658" s="65" t="n"/>
      <c r="D658" s="65" t="n"/>
      <c r="E658" s="65" t="n"/>
      <c r="F658" s="65" t="n"/>
      <c r="G658" s="65" t="n"/>
      <c r="H658" s="65" t="n"/>
      <c r="I658" s="65" t="n"/>
      <c r="J658" s="65" t="n">
        <v>458</v>
      </c>
      <c r="K658" s="65" t="n"/>
      <c r="L658" s="65" t="n"/>
      <c r="M658" s="65" t="n"/>
      <c r="N658" s="65" t="n"/>
      <c r="O658" s="65" t="n"/>
      <c r="P658" s="65" t="n"/>
      <c r="Q658" s="65" t="n"/>
    </row>
    <row r="659">
      <c r="A659" s="65" t="n"/>
      <c r="B659" s="65" t="n"/>
      <c r="C659" s="65" t="n"/>
      <c r="D659" s="65" t="n"/>
      <c r="E659" s="65" t="n"/>
      <c r="F659" s="65" t="n"/>
      <c r="G659" s="65" t="n"/>
      <c r="H659" s="65" t="n"/>
      <c r="I659" s="65" t="n"/>
      <c r="J659" s="65" t="n">
        <v>602</v>
      </c>
      <c r="K659" s="65" t="n"/>
      <c r="L659" s="65" t="n"/>
      <c r="M659" s="65" t="n"/>
      <c r="N659" s="65" t="n"/>
      <c r="O659" s="65" t="n"/>
      <c r="P659" s="65" t="n"/>
      <c r="Q659" s="65" t="n"/>
    </row>
    <row r="660">
      <c r="A660" s="66" t="n">
        <v>46214</v>
      </c>
      <c r="B660" s="65" t="n">
        <v>261</v>
      </c>
      <c r="C660" s="65" t="inlineStr">
        <is>
          <t>00-00000798</t>
        </is>
      </c>
      <c r="D660" s="65" t="inlineStr">
        <is>
          <t>S00126</t>
        </is>
      </c>
      <c r="E660" s="65" t="inlineStr">
        <is>
          <t>Victor Ordaz</t>
        </is>
      </c>
      <c r="F660" s="63" t="inlineStr">
        <is>
          <t>923.218,99</t>
        </is>
      </c>
      <c r="G660" s="63" t="inlineStr">
        <is>
          <t>1.070.934,03</t>
        </is>
      </c>
      <c r="H660" s="63" t="inlineStr">
        <is>
          <t>1.508,98</t>
        </is>
      </c>
      <c r="I660" s="63" t="inlineStr">
        <is>
          <t>709,69</t>
        </is>
      </c>
      <c r="J660" s="65" t="n">
        <v>190</v>
      </c>
      <c r="K660" s="65" t="n">
        <v>603</v>
      </c>
      <c r="L660" s="65" t="inlineStr">
        <is>
          <t>[0603] SINOCO SAE 50 (Tambor)</t>
        </is>
      </c>
      <c r="M660" s="63" t="inlineStr">
        <is>
          <t>547,41</t>
        </is>
      </c>
      <c r="N660" s="63" t="inlineStr">
        <is>
          <t>1,00</t>
        </is>
      </c>
      <c r="O660" s="63" t="inlineStr">
        <is>
          <t>0,00</t>
        </is>
      </c>
      <c r="P660" s="63" t="inlineStr">
        <is>
          <t>547,41</t>
        </is>
      </c>
      <c r="Q660" s="63" t="inlineStr">
        <is>
          <t>635,00</t>
        </is>
      </c>
    </row>
    <row r="661">
      <c r="A661" s="65" t="n"/>
      <c r="B661" s="65" t="n"/>
      <c r="C661" s="65" t="n"/>
      <c r="D661" s="65" t="n"/>
      <c r="E661" s="65" t="n"/>
      <c r="F661" s="65" t="n"/>
      <c r="G661" s="65" t="n"/>
      <c r="H661" s="65" t="n"/>
      <c r="I661" s="65" t="n"/>
      <c r="J661" s="65" t="n">
        <v>239</v>
      </c>
      <c r="K661" s="65" t="n"/>
      <c r="L661" s="65" t="n"/>
      <c r="M661" s="65" t="n"/>
      <c r="N661" s="65" t="n"/>
      <c r="O661" s="65" t="n"/>
      <c r="P661" s="65" t="n"/>
      <c r="Q661" s="65" t="n"/>
    </row>
    <row r="662">
      <c r="A662" s="65" t="n"/>
      <c r="B662" s="65" t="n"/>
      <c r="C662" s="65" t="n"/>
      <c r="D662" s="65" t="n"/>
      <c r="E662" s="65" t="n"/>
      <c r="F662" s="65" t="n"/>
      <c r="G662" s="65" t="n"/>
      <c r="H662" s="65" t="n"/>
      <c r="I662" s="65" t="n"/>
      <c r="J662" s="65" t="n">
        <v>456</v>
      </c>
      <c r="K662" s="65" t="n"/>
      <c r="L662" s="65" t="n"/>
      <c r="M662" s="65" t="n"/>
      <c r="N662" s="65" t="n"/>
      <c r="O662" s="65" t="n"/>
      <c r="P662" s="65" t="n"/>
      <c r="Q662" s="65" t="n"/>
    </row>
    <row r="663">
      <c r="A663" s="65" t="n"/>
      <c r="B663" s="65" t="n"/>
      <c r="C663" s="65" t="n"/>
      <c r="D663" s="65" t="n"/>
      <c r="E663" s="65" t="n"/>
      <c r="F663" s="65" t="n"/>
      <c r="G663" s="65" t="n"/>
      <c r="H663" s="65" t="n"/>
      <c r="I663" s="65" t="n"/>
      <c r="J663" s="65" t="n">
        <v>772</v>
      </c>
      <c r="K663" s="65" t="n"/>
      <c r="L663" s="65" t="n"/>
      <c r="M663" s="65" t="n"/>
      <c r="N663" s="65" t="n"/>
      <c r="O663" s="65" t="n"/>
      <c r="P663" s="65" t="n"/>
      <c r="Q663" s="65" t="n"/>
    </row>
    <row r="664">
      <c r="A664" s="65" t="n"/>
      <c r="B664" s="65" t="n"/>
      <c r="C664" s="65" t="n"/>
      <c r="D664" s="65" t="n"/>
      <c r="E664" s="65" t="n"/>
      <c r="F664" s="65" t="n"/>
      <c r="G664" s="65" t="n"/>
      <c r="H664" s="65" t="n"/>
      <c r="I664" s="65" t="n"/>
      <c r="J664" s="65" t="n">
        <v>916</v>
      </c>
      <c r="K664" s="65" t="n"/>
      <c r="L664" s="65" t="n"/>
      <c r="M664" s="65" t="n"/>
      <c r="N664" s="65" t="n"/>
      <c r="O664" s="65" t="n"/>
      <c r="P664" s="65" t="n"/>
      <c r="Q664" s="65" t="n"/>
    </row>
    <row r="665">
      <c r="A665" s="65" t="n"/>
      <c r="B665" s="65" t="n"/>
      <c r="C665" s="65" t="n"/>
      <c r="D665" s="65" t="n"/>
      <c r="E665" s="65" t="n"/>
      <c r="F665" s="65" t="n"/>
      <c r="G665" s="65" t="n"/>
      <c r="H665" s="65" t="n"/>
      <c r="I665" s="65" t="n"/>
      <c r="J665" s="65" t="n"/>
      <c r="K665" s="65" t="n">
        <v>602</v>
      </c>
      <c r="L665" s="65" t="inlineStr">
        <is>
          <t>[0602] SINOCO SAE 50 (PAILA)</t>
        </is>
      </c>
      <c r="M665" s="63" t="inlineStr">
        <is>
          <t>57,76</t>
        </is>
      </c>
      <c r="N665" s="63" t="inlineStr">
        <is>
          <t>3,00</t>
        </is>
      </c>
      <c r="O665" s="63" t="inlineStr">
        <is>
          <t>0,00</t>
        </is>
      </c>
      <c r="P665" s="63" t="inlineStr">
        <is>
          <t>173,28</t>
        </is>
      </c>
      <c r="Q665" s="63" t="inlineStr">
        <is>
          <t>201,00</t>
        </is>
      </c>
    </row>
    <row r="666">
      <c r="A666" s="65" t="n"/>
      <c r="B666" s="65" t="n"/>
      <c r="C666" s="65" t="n"/>
      <c r="D666" s="65" t="n"/>
      <c r="E666" s="65" t="n"/>
      <c r="F666" s="65" t="n"/>
      <c r="G666" s="65" t="n"/>
      <c r="H666" s="65" t="n"/>
      <c r="I666" s="65" t="n"/>
      <c r="J666" s="65" t="n"/>
      <c r="K666" s="65" t="n">
        <v>915</v>
      </c>
      <c r="L666" s="65" t="inlineStr">
        <is>
          <t>[0915] SINOCO SAE 50 (1x12)</t>
        </is>
      </c>
      <c r="M666" s="63" t="inlineStr">
        <is>
          <t>41,38</t>
        </is>
      </c>
      <c r="N666" s="63" t="inlineStr">
        <is>
          <t>3,00</t>
        </is>
      </c>
      <c r="O666" s="63" t="inlineStr">
        <is>
          <t>0,00</t>
        </is>
      </c>
      <c r="P666" s="63" t="inlineStr">
        <is>
          <t>124,14</t>
        </is>
      </c>
      <c r="Q666" s="63" t="inlineStr">
        <is>
          <t>144,00</t>
        </is>
      </c>
    </row>
    <row r="667">
      <c r="A667" s="65" t="n"/>
      <c r="B667" s="65" t="n"/>
      <c r="C667" s="65" t="n"/>
      <c r="D667" s="65" t="n"/>
      <c r="E667" s="65" t="n"/>
      <c r="F667" s="65" t="n"/>
      <c r="G667" s="65" t="n"/>
      <c r="H667" s="65" t="n"/>
      <c r="I667" s="65" t="n"/>
      <c r="J667" s="65" t="n"/>
      <c r="K667" s="65" t="n">
        <v>880</v>
      </c>
      <c r="L667" s="65" t="inlineStr">
        <is>
          <t>[0880] CLASICO API SL SAE 15W-40 (1x12)</t>
        </is>
      </c>
      <c r="M667" s="63" t="inlineStr">
        <is>
          <t>53,45</t>
        </is>
      </c>
      <c r="N667" s="63" t="inlineStr">
        <is>
          <t>2,00</t>
        </is>
      </c>
      <c r="O667" s="63" t="inlineStr">
        <is>
          <t>0,00</t>
        </is>
      </c>
      <c r="P667" s="63" t="inlineStr">
        <is>
          <t>106,90</t>
        </is>
      </c>
      <c r="Q667" s="63" t="inlineStr">
        <is>
          <t>124,00</t>
        </is>
      </c>
    </row>
    <row r="668">
      <c r="A668" s="65" t="n"/>
      <c r="B668" s="65" t="n"/>
      <c r="C668" s="65" t="n"/>
      <c r="D668" s="65" t="n"/>
      <c r="E668" s="65" t="n"/>
      <c r="F668" s="65" t="n"/>
      <c r="G668" s="65" t="n"/>
      <c r="H668" s="65" t="n"/>
      <c r="I668" s="65" t="n"/>
      <c r="J668" s="65" t="n"/>
      <c r="K668" s="65" t="n">
        <v>881</v>
      </c>
      <c r="L668" s="65" t="inlineStr">
        <is>
          <t>[0881] CLASICO API SL SAE 20W-50 (1x12)</t>
        </is>
      </c>
      <c r="M668" s="63" t="inlineStr">
        <is>
          <t>54,31</t>
        </is>
      </c>
      <c r="N668" s="63" t="inlineStr">
        <is>
          <t>3,00</t>
        </is>
      </c>
      <c r="O668" s="63" t="inlineStr">
        <is>
          <t>0,00</t>
        </is>
      </c>
      <c r="P668" s="63" t="inlineStr">
        <is>
          <t>162,93</t>
        </is>
      </c>
      <c r="Q668" s="63" t="inlineStr">
        <is>
          <t>189,00</t>
        </is>
      </c>
    </row>
    <row r="669">
      <c r="A669" s="65" t="n"/>
      <c r="B669" s="65" t="n"/>
      <c r="C669" s="65" t="n"/>
      <c r="D669" s="65" t="n"/>
      <c r="E669" s="65" t="n"/>
      <c r="F669" s="65" t="n"/>
      <c r="G669" s="65" t="n"/>
      <c r="H669" s="65" t="n"/>
      <c r="I669" s="65" t="n"/>
      <c r="J669" s="65" t="n"/>
      <c r="K669" s="65" t="n">
        <v>877</v>
      </c>
      <c r="L669" s="65" t="inlineStr">
        <is>
          <t>[0877] SS EXTRA PROTECCION API SN SAE 15W-40 (1X12)</t>
        </is>
      </c>
      <c r="M669" s="63" t="inlineStr">
        <is>
          <t>62,07</t>
        </is>
      </c>
      <c r="N669" s="63" t="inlineStr">
        <is>
          <t>3,00</t>
        </is>
      </c>
      <c r="O669" s="63" t="inlineStr">
        <is>
          <t>0,00</t>
        </is>
      </c>
      <c r="P669" s="63" t="inlineStr">
        <is>
          <t>186,21</t>
        </is>
      </c>
      <c r="Q669" s="63" t="inlineStr">
        <is>
          <t>216,00</t>
        </is>
      </c>
    </row>
    <row r="670">
      <c r="A670" s="66" t="n">
        <v>46214</v>
      </c>
      <c r="B670" s="65" t="n">
        <v>260</v>
      </c>
      <c r="C670" s="65" t="inlineStr">
        <is>
          <t>00-00000797</t>
        </is>
      </c>
      <c r="D670" s="65" t="inlineStr">
        <is>
          <t>S00123</t>
        </is>
      </c>
      <c r="E670" s="65" t="inlineStr">
        <is>
          <t>Ramon Alvarez Mota</t>
        </is>
      </c>
      <c r="F670" s="63" t="inlineStr">
        <is>
          <t>46.499,12</t>
        </is>
      </c>
      <c r="G670" s="63" t="inlineStr">
        <is>
          <t>53.938,97</t>
        </is>
      </c>
      <c r="H670" s="63" t="inlineStr">
        <is>
          <t>75,99</t>
        </is>
      </c>
      <c r="I670" s="63" t="inlineStr">
        <is>
          <t>709,69</t>
        </is>
      </c>
      <c r="J670" s="65" t="n">
        <v>345</v>
      </c>
      <c r="K670" s="65" t="n">
        <v>761</v>
      </c>
      <c r="L670" s="65" t="inlineStr">
        <is>
          <t>[0761] LIGA PARA FRENOS DOT-3 (1x12)</t>
        </is>
      </c>
      <c r="M670" s="63" t="inlineStr">
        <is>
          <t>25,00</t>
        </is>
      </c>
      <c r="N670" s="63" t="inlineStr">
        <is>
          <t>1,00</t>
        </is>
      </c>
      <c r="O670" s="63" t="inlineStr">
        <is>
          <t>0,00</t>
        </is>
      </c>
      <c r="P670" s="63" t="inlineStr">
        <is>
          <t>25,00</t>
        </is>
      </c>
      <c r="Q670" s="63" t="inlineStr">
        <is>
          <t>29,00</t>
        </is>
      </c>
    </row>
    <row r="671">
      <c r="A671" s="65" t="n"/>
      <c r="B671" s="65" t="n"/>
      <c r="C671" s="65" t="n"/>
      <c r="D671" s="65" t="n"/>
      <c r="E671" s="65" t="n"/>
      <c r="F671" s="65" t="n"/>
      <c r="G671" s="65" t="n"/>
      <c r="H671" s="65" t="n"/>
      <c r="I671" s="65" t="n"/>
      <c r="J671" s="65" t="n">
        <v>433</v>
      </c>
      <c r="K671" s="65" t="n"/>
      <c r="L671" s="65" t="n"/>
      <c r="M671" s="65" t="n"/>
      <c r="N671" s="65" t="n"/>
      <c r="O671" s="65" t="n"/>
      <c r="P671" s="65" t="n"/>
      <c r="Q671" s="65" t="n"/>
    </row>
    <row r="672">
      <c r="A672" s="65" t="n"/>
      <c r="B672" s="65" t="n"/>
      <c r="C672" s="65" t="n"/>
      <c r="D672" s="65" t="n"/>
      <c r="E672" s="65" t="n"/>
      <c r="F672" s="65" t="n"/>
      <c r="G672" s="65" t="n"/>
      <c r="H672" s="65" t="n"/>
      <c r="I672" s="65" t="n"/>
      <c r="J672" s="65" t="n"/>
      <c r="K672" s="65" t="n">
        <v>774</v>
      </c>
      <c r="L672" s="65" t="inlineStr">
        <is>
          <t>[0774] LIGA PARA FRENOS DOT-4 (1X6)</t>
        </is>
      </c>
      <c r="M672" s="63" t="inlineStr">
        <is>
          <t>40,52</t>
        </is>
      </c>
      <c r="N672" s="63" t="inlineStr">
        <is>
          <t>1,00</t>
        </is>
      </c>
      <c r="O672" s="63" t="inlineStr">
        <is>
          <t>0,00</t>
        </is>
      </c>
      <c r="P672" s="63" t="inlineStr">
        <is>
          <t>40,52</t>
        </is>
      </c>
      <c r="Q672" s="63" t="inlineStr">
        <is>
          <t>47,00</t>
        </is>
      </c>
    </row>
    <row r="673">
      <c r="A673" s="66" t="n">
        <v>46214</v>
      </c>
      <c r="B673" s="65" t="n">
        <v>259</v>
      </c>
      <c r="C673" s="65" t="inlineStr">
        <is>
          <t>00-00000796</t>
        </is>
      </c>
      <c r="D673" s="65" t="inlineStr">
        <is>
          <t>S00122</t>
        </is>
      </c>
      <c r="E673" s="65" t="inlineStr">
        <is>
          <t>Emprendimiento Tomas Paz</t>
        </is>
      </c>
      <c r="F673" s="63" t="inlineStr">
        <is>
          <t>44.047,89</t>
        </is>
      </c>
      <c r="G673" s="63" t="inlineStr">
        <is>
          <t>51.095,55</t>
        </is>
      </c>
      <c r="H673" s="63" t="inlineStr">
        <is>
          <t>71,99</t>
        </is>
      </c>
      <c r="I673" s="63" t="inlineStr">
        <is>
          <t>709,69</t>
        </is>
      </c>
      <c r="J673" s="65" t="n">
        <v>109</v>
      </c>
      <c r="K673" s="65" t="n">
        <v>779</v>
      </c>
      <c r="L673" s="65" t="inlineStr">
        <is>
          <t>[0779] SINOCO SAE 20W-50 (1x12)</t>
        </is>
      </c>
      <c r="M673" s="63" t="inlineStr">
        <is>
          <t>70,29</t>
        </is>
      </c>
      <c r="N673" s="63" t="inlineStr">
        <is>
          <t>1,00</t>
        </is>
      </c>
      <c r="O673" s="63" t="inlineStr">
        <is>
          <t>11,70</t>
        </is>
      </c>
      <c r="P673" s="63" t="inlineStr">
        <is>
          <t>62,07</t>
        </is>
      </c>
      <c r="Q673" s="63" t="inlineStr">
        <is>
          <t>72,00</t>
        </is>
      </c>
    </row>
    <row r="674">
      <c r="A674" s="65" t="n"/>
      <c r="B674" s="65" t="n"/>
      <c r="C674" s="65" t="n"/>
      <c r="D674" s="65" t="n"/>
      <c r="E674" s="65" t="n"/>
      <c r="F674" s="65" t="n"/>
      <c r="G674" s="65" t="n"/>
      <c r="H674" s="65" t="n"/>
      <c r="I674" s="65" t="n"/>
      <c r="J674" s="65" t="n">
        <v>278</v>
      </c>
      <c r="K674" s="65" t="n"/>
      <c r="L674" s="65" t="n"/>
      <c r="M674" s="65" t="n"/>
      <c r="N674" s="65" t="n"/>
      <c r="O674" s="65" t="n"/>
      <c r="P674" s="65" t="n"/>
      <c r="Q674" s="65" t="n"/>
    </row>
    <row r="675">
      <c r="A675" s="65" t="n"/>
      <c r="B675" s="65" t="n"/>
      <c r="C675" s="65" t="n"/>
      <c r="D675" s="65" t="n"/>
      <c r="E675" s="65" t="n"/>
      <c r="F675" s="65" t="n"/>
      <c r="G675" s="65" t="n"/>
      <c r="H675" s="65" t="n"/>
      <c r="I675" s="65" t="n"/>
      <c r="J675" s="65" t="n">
        <v>617</v>
      </c>
      <c r="K675" s="65" t="n"/>
      <c r="L675" s="65" t="n"/>
      <c r="M675" s="65" t="n"/>
      <c r="N675" s="65" t="n"/>
      <c r="O675" s="65" t="n"/>
      <c r="P675" s="65" t="n"/>
      <c r="Q675" s="65" t="n"/>
    </row>
    <row r="676">
      <c r="A676" s="66" t="n">
        <v>46213</v>
      </c>
      <c r="B676" s="65" t="n">
        <v>258</v>
      </c>
      <c r="C676" s="65" t="inlineStr">
        <is>
          <t>00-00000795</t>
        </is>
      </c>
      <c r="D676" s="65" t="inlineStr">
        <is>
          <t>S00247</t>
        </is>
      </c>
      <c r="E676" s="65" t="inlineStr">
        <is>
          <t>Multiservicios Arizona, C.A.</t>
        </is>
      </c>
      <c r="F676" s="63" t="inlineStr">
        <is>
          <t>277.515,64</t>
        </is>
      </c>
      <c r="G676" s="63" t="inlineStr">
        <is>
          <t>321.918,13</t>
        </is>
      </c>
      <c r="H676" s="63" t="inlineStr">
        <is>
          <t>453,57</t>
        </is>
      </c>
      <c r="I676" s="63" t="inlineStr">
        <is>
          <t>709,69</t>
        </is>
      </c>
      <c r="J676" s="65" t="n">
        <v>946</v>
      </c>
      <c r="K676" s="65" t="n">
        <v>13</v>
      </c>
      <c r="L676" s="65" t="inlineStr">
        <is>
          <t>[0013] ELITE API SN SAE 5W-30 (1x6)</t>
        </is>
      </c>
      <c r="M676" s="63" t="inlineStr">
        <is>
          <t>73,00</t>
        </is>
      </c>
      <c r="N676" s="63" t="inlineStr">
        <is>
          <t>1,00</t>
        </is>
      </c>
      <c r="O676" s="63" t="inlineStr">
        <is>
          <t>0,00</t>
        </is>
      </c>
      <c r="P676" s="63" t="inlineStr">
        <is>
          <t>73,00</t>
        </is>
      </c>
      <c r="Q676" s="63" t="inlineStr">
        <is>
          <t>84,68</t>
        </is>
      </c>
    </row>
    <row r="677">
      <c r="A677" s="65" t="n"/>
      <c r="B677" s="65" t="n"/>
      <c r="C677" s="65" t="n"/>
      <c r="D677" s="65" t="n"/>
      <c r="E677" s="65" t="n"/>
      <c r="F677" s="65" t="n"/>
      <c r="G677" s="65" t="n"/>
      <c r="H677" s="65" t="n"/>
      <c r="I677" s="65" t="n"/>
      <c r="J677" s="65" t="n"/>
      <c r="K677" s="65" t="n">
        <v>877</v>
      </c>
      <c r="L677" s="65" t="inlineStr">
        <is>
          <t>[0877] SS EXTRA PROTECCION API SN SAE 15W-40 (1X12)</t>
        </is>
      </c>
      <c r="M677" s="63" t="inlineStr">
        <is>
          <t>100,80</t>
        </is>
      </c>
      <c r="N677" s="63" t="inlineStr">
        <is>
          <t>1,00</t>
        </is>
      </c>
      <c r="O677" s="63" t="inlineStr">
        <is>
          <t>0,79</t>
        </is>
      </c>
      <c r="P677" s="63" t="inlineStr">
        <is>
          <t>100,00</t>
        </is>
      </c>
      <c r="Q677" s="63" t="inlineStr">
        <is>
          <t>116,00</t>
        </is>
      </c>
    </row>
    <row r="678">
      <c r="A678" s="65" t="n"/>
      <c r="B678" s="65" t="n"/>
      <c r="C678" s="65" t="n"/>
      <c r="D678" s="65" t="n"/>
      <c r="E678" s="65" t="n"/>
      <c r="F678" s="65" t="n"/>
      <c r="G678" s="65" t="n"/>
      <c r="H678" s="65" t="n"/>
      <c r="I678" s="65" t="n"/>
      <c r="J678" s="65" t="n"/>
      <c r="K678" s="65" t="n">
        <v>25</v>
      </c>
      <c r="L678" s="65" t="inlineStr">
        <is>
          <t>[0025] SS EXTRA PROTECCION API SN SAE 10W-30 (Gasolina) (1x6)</t>
        </is>
      </c>
      <c r="M678" s="63" t="inlineStr">
        <is>
          <t>50,40</t>
        </is>
      </c>
      <c r="N678" s="63" t="inlineStr">
        <is>
          <t>2,00</t>
        </is>
      </c>
      <c r="O678" s="63" t="inlineStr">
        <is>
          <t>0,79</t>
        </is>
      </c>
      <c r="P678" s="63" t="inlineStr">
        <is>
          <t>100,00</t>
        </is>
      </c>
      <c r="Q678" s="63" t="inlineStr">
        <is>
          <t>116,00</t>
        </is>
      </c>
    </row>
    <row r="679">
      <c r="A679" s="65" t="n"/>
      <c r="B679" s="65" t="n"/>
      <c r="C679" s="65" t="n"/>
      <c r="D679" s="65" t="n"/>
      <c r="E679" s="65" t="n"/>
      <c r="F679" s="65" t="n"/>
      <c r="G679" s="65" t="n"/>
      <c r="H679" s="65" t="n"/>
      <c r="I679" s="65" t="n"/>
      <c r="J679" s="65" t="n"/>
      <c r="K679" s="65" t="n">
        <v>881</v>
      </c>
      <c r="L679" s="65" t="inlineStr">
        <is>
          <t>[0881] CLASICO API SL SAE 20W-50 (1x12)</t>
        </is>
      </c>
      <c r="M679" s="63" t="inlineStr">
        <is>
          <t>87,00</t>
        </is>
      </c>
      <c r="N679" s="63" t="inlineStr">
        <is>
          <t>1,00</t>
        </is>
      </c>
      <c r="O679" s="63" t="inlineStr">
        <is>
          <t>0,00</t>
        </is>
      </c>
      <c r="P679" s="63" t="inlineStr">
        <is>
          <t>87,00</t>
        </is>
      </c>
      <c r="Q679" s="63" t="inlineStr">
        <is>
          <t>100,92</t>
        </is>
      </c>
    </row>
    <row r="680">
      <c r="A680" s="65" t="n"/>
      <c r="B680" s="65" t="n"/>
      <c r="C680" s="65" t="n"/>
      <c r="D680" s="65" t="n"/>
      <c r="E680" s="65" t="n"/>
      <c r="F680" s="65" t="n"/>
      <c r="G680" s="65" t="n"/>
      <c r="H680" s="65" t="n"/>
      <c r="I680" s="65" t="n"/>
      <c r="J680" s="65" t="n"/>
      <c r="K680" s="65" t="n">
        <v>792</v>
      </c>
      <c r="L680" s="65" t="inlineStr">
        <is>
          <t>[0792] REFRIGERANTE GLOBAL ROJO (1X3)</t>
        </is>
      </c>
      <c r="M680" s="63" t="inlineStr">
        <is>
          <t>34,48</t>
        </is>
      </c>
      <c r="N680" s="63" t="inlineStr">
        <is>
          <t>1,00</t>
        </is>
      </c>
      <c r="O680" s="63" t="inlineStr">
        <is>
          <t>10,01</t>
        </is>
      </c>
      <c r="P680" s="63" t="inlineStr">
        <is>
          <t>31,03</t>
        </is>
      </c>
      <c r="Q680" s="63" t="inlineStr">
        <is>
          <t>35,99</t>
        </is>
      </c>
    </row>
    <row r="681">
      <c r="A681" s="66" t="n">
        <v>46211</v>
      </c>
      <c r="B681" s="65" t="n">
        <v>257</v>
      </c>
      <c r="C681" s="65" t="inlineStr">
        <is>
          <t>00-00000786</t>
        </is>
      </c>
      <c r="D681" s="65" t="inlineStr">
        <is>
          <t>S00396</t>
        </is>
      </c>
      <c r="E681" s="65" t="inlineStr">
        <is>
          <t>INVERSIONES ARCOSOL 21, C.A.</t>
        </is>
      </c>
      <c r="F681" s="63" t="inlineStr">
        <is>
          <t>96.429,82</t>
        </is>
      </c>
      <c r="G681" s="63" t="inlineStr">
        <is>
          <t>111.858,60</t>
        </is>
      </c>
      <c r="H681" s="63" t="inlineStr">
        <is>
          <t>163,05</t>
        </is>
      </c>
      <c r="I681" s="63" t="inlineStr">
        <is>
          <t>685,94</t>
        </is>
      </c>
      <c r="J681" s="65" t="n">
        <v>399</v>
      </c>
      <c r="K681" s="65" t="n">
        <v>779</v>
      </c>
      <c r="L681" s="65" t="inlineStr">
        <is>
          <t>[0779] SINOCO SAE 20W-50 (1x12)</t>
        </is>
      </c>
      <c r="M681" s="63" t="inlineStr">
        <is>
          <t>70,29</t>
        </is>
      </c>
      <c r="N681" s="63" t="inlineStr">
        <is>
          <t>1,00</t>
        </is>
      </c>
      <c r="O681" s="63" t="inlineStr">
        <is>
          <t>0,00</t>
        </is>
      </c>
      <c r="P681" s="63" t="inlineStr">
        <is>
          <t>70,29</t>
        </is>
      </c>
      <c r="Q681" s="63" t="inlineStr">
        <is>
          <t>81,54</t>
        </is>
      </c>
    </row>
    <row r="682">
      <c r="A682" s="65" t="n"/>
      <c r="B682" s="65" t="n"/>
      <c r="C682" s="65" t="n"/>
      <c r="D682" s="65" t="n"/>
      <c r="E682" s="65" t="n"/>
      <c r="F682" s="65" t="n"/>
      <c r="G682" s="65" t="n"/>
      <c r="H682" s="65" t="n"/>
      <c r="I682" s="65" t="n"/>
      <c r="J682" s="65" t="n"/>
      <c r="K682" s="65" t="n">
        <v>915</v>
      </c>
      <c r="L682" s="65" t="inlineStr">
        <is>
          <t>[0915] SINOCO SAE 50 (1x12)</t>
        </is>
      </c>
      <c r="M682" s="63" t="inlineStr">
        <is>
          <t>70,29</t>
        </is>
      </c>
      <c r="N682" s="63" t="inlineStr">
        <is>
          <t>1,00</t>
        </is>
      </c>
      <c r="O682" s="63" t="inlineStr">
        <is>
          <t>0,00</t>
        </is>
      </c>
      <c r="P682" s="63" t="inlineStr">
        <is>
          <t>70,29</t>
        </is>
      </c>
      <c r="Q682" s="63" t="inlineStr">
        <is>
          <t>81,54</t>
        </is>
      </c>
    </row>
    <row r="683">
      <c r="A683" s="66" t="n">
        <v>46211</v>
      </c>
      <c r="B683" s="65" t="n">
        <v>256</v>
      </c>
      <c r="C683" s="65" t="inlineStr">
        <is>
          <t>00-00000784</t>
        </is>
      </c>
      <c r="D683" s="65" t="inlineStr">
        <is>
          <t>S00656</t>
        </is>
      </c>
      <c r="E683" s="65" t="inlineStr">
        <is>
          <t>ELENA MEJIAS</t>
        </is>
      </c>
      <c r="F683" s="63" t="inlineStr">
        <is>
          <t>41.345,79</t>
        </is>
      </c>
      <c r="G683" s="63" t="inlineStr">
        <is>
          <t>47.961,12</t>
        </is>
      </c>
      <c r="H683" s="63" t="inlineStr">
        <is>
          <t>69,91</t>
        </is>
      </c>
      <c r="I683" s="63" t="inlineStr">
        <is>
          <t>685,94</t>
        </is>
      </c>
      <c r="J683" s="65" t="n">
        <v>924</v>
      </c>
      <c r="K683" s="65" t="n">
        <v>877</v>
      </c>
      <c r="L683" s="65" t="inlineStr">
        <is>
          <t>[0877] SS EXTRA PROTECCION API SN SAE 15W-40 (1X12)</t>
        </is>
      </c>
      <c r="M683" s="63" t="inlineStr">
        <is>
          <t>65,52</t>
        </is>
      </c>
      <c r="N683" s="63" t="inlineStr">
        <is>
          <t>1,00</t>
        </is>
      </c>
      <c r="O683" s="63" t="inlineStr">
        <is>
          <t>8,00</t>
        </is>
      </c>
      <c r="P683" s="63" t="inlineStr">
        <is>
          <t>60,28</t>
        </is>
      </c>
      <c r="Q683" s="63" t="inlineStr">
        <is>
          <t>69,92</t>
        </is>
      </c>
    </row>
    <row r="684">
      <c r="A684" s="66" t="n">
        <v>46211</v>
      </c>
      <c r="B684" s="65" t="n">
        <v>255</v>
      </c>
      <c r="C684" s="65" t="inlineStr">
        <is>
          <t>00-00000777</t>
        </is>
      </c>
      <c r="D684" s="65" t="inlineStr">
        <is>
          <t>S00120</t>
        </is>
      </c>
      <c r="E684" s="65" t="inlineStr">
        <is>
          <t>MARTIN RAMON DIAZ BOLIVAR</t>
        </is>
      </c>
      <c r="F684" s="63" t="inlineStr">
        <is>
          <t>63.861,26</t>
        </is>
      </c>
      <c r="G684" s="63" t="inlineStr">
        <is>
          <t>74.079,06</t>
        </is>
      </c>
      <c r="H684" s="63" t="inlineStr">
        <is>
          <t>107,97</t>
        </is>
      </c>
      <c r="I684" s="63" t="inlineStr">
        <is>
          <t>685,94</t>
        </is>
      </c>
      <c r="J684" s="65" t="n">
        <v>438</v>
      </c>
      <c r="K684" s="65" t="n">
        <v>779</v>
      </c>
      <c r="L684" s="65" t="inlineStr">
        <is>
          <t>[0779] SINOCO SAE 20W-50 (1x12)</t>
        </is>
      </c>
      <c r="M684" s="63" t="inlineStr">
        <is>
          <t>62,07</t>
        </is>
      </c>
      <c r="N684" s="63" t="inlineStr">
        <is>
          <t>1,00</t>
        </is>
      </c>
      <c r="O684" s="63" t="inlineStr">
        <is>
          <t>0,00</t>
        </is>
      </c>
      <c r="P684" s="63" t="inlineStr">
        <is>
          <t>62,07</t>
        </is>
      </c>
      <c r="Q684" s="63" t="inlineStr">
        <is>
          <t>72,00</t>
        </is>
      </c>
    </row>
    <row r="685">
      <c r="A685" s="65" t="n"/>
      <c r="B685" s="65" t="n"/>
      <c r="C685" s="65" t="n"/>
      <c r="D685" s="65" t="n"/>
      <c r="E685" s="65" t="n"/>
      <c r="F685" s="65" t="n"/>
      <c r="G685" s="65" t="n"/>
      <c r="H685" s="65" t="n"/>
      <c r="I685" s="65" t="n"/>
      <c r="J685" s="65" t="n"/>
      <c r="K685" s="65" t="n">
        <v>761</v>
      </c>
      <c r="L685" s="65" t="inlineStr">
        <is>
          <t>[0761] LIGA PARA FRENOS DOT-3 (1x12)</t>
        </is>
      </c>
      <c r="M685" s="63" t="inlineStr">
        <is>
          <t>31,03</t>
        </is>
      </c>
      <c r="N685" s="63" t="inlineStr">
        <is>
          <t>1,00</t>
        </is>
      </c>
      <c r="O685" s="63" t="inlineStr">
        <is>
          <t>0,00</t>
        </is>
      </c>
      <c r="P685" s="63" t="inlineStr">
        <is>
          <t>31,03</t>
        </is>
      </c>
      <c r="Q685" s="63" t="inlineStr">
        <is>
          <t>35,99</t>
        </is>
      </c>
    </row>
    <row r="686">
      <c r="A686" s="66" t="n">
        <v>46211</v>
      </c>
      <c r="B686" s="65" t="n">
        <v>254</v>
      </c>
      <c r="C686" s="65" t="inlineStr">
        <is>
          <t>00-00000776</t>
        </is>
      </c>
      <c r="D686" s="65" t="inlineStr">
        <is>
          <t>S00114</t>
        </is>
      </c>
      <c r="E686" s="65" t="inlineStr">
        <is>
          <t>Autoasesorio maxi motor</t>
        </is>
      </c>
      <c r="F686" s="63" t="inlineStr">
        <is>
          <t>117.090,42</t>
        </is>
      </c>
      <c r="G686" s="63" t="inlineStr">
        <is>
          <t>135.824,89</t>
        </is>
      </c>
      <c r="H686" s="63" t="inlineStr">
        <is>
          <t>198,01</t>
        </is>
      </c>
      <c r="I686" s="63" t="inlineStr">
        <is>
          <t>685,94</t>
        </is>
      </c>
      <c r="J686" s="65" t="n">
        <v>113</v>
      </c>
      <c r="K686" s="65" t="n">
        <v>887</v>
      </c>
      <c r="L686" s="65" t="inlineStr">
        <is>
          <t>[0887] MOTOCLASICO 4T SAE 20W-50 (1x12)</t>
        </is>
      </c>
      <c r="M686" s="63" t="inlineStr">
        <is>
          <t>56,90</t>
        </is>
      </c>
      <c r="N686" s="63" t="inlineStr">
        <is>
          <t>3,00</t>
        </is>
      </c>
      <c r="O686" s="63" t="inlineStr">
        <is>
          <t>0,00</t>
        </is>
      </c>
      <c r="P686" s="63" t="inlineStr">
        <is>
          <t>170,70</t>
        </is>
      </c>
      <c r="Q686" s="63" t="inlineStr">
        <is>
          <t>198,01</t>
        </is>
      </c>
    </row>
    <row r="687">
      <c r="A687" s="65" t="n"/>
      <c r="B687" s="65" t="n"/>
      <c r="C687" s="65" t="n"/>
      <c r="D687" s="65" t="n"/>
      <c r="E687" s="65" t="n"/>
      <c r="F687" s="65" t="n"/>
      <c r="G687" s="65" t="n"/>
      <c r="H687" s="65" t="n"/>
      <c r="I687" s="65" t="n"/>
      <c r="J687" s="65" t="n">
        <v>180</v>
      </c>
      <c r="K687" s="65" t="n"/>
      <c r="L687" s="65" t="n"/>
      <c r="M687" s="65" t="n"/>
      <c r="N687" s="65" t="n"/>
      <c r="O687" s="65" t="n"/>
      <c r="P687" s="65" t="n"/>
      <c r="Q687" s="65" t="n"/>
    </row>
    <row r="688">
      <c r="A688" s="65" t="n"/>
      <c r="B688" s="65" t="n"/>
      <c r="C688" s="65" t="n"/>
      <c r="D688" s="65" t="n"/>
      <c r="E688" s="65" t="n"/>
      <c r="F688" s="65" t="n"/>
      <c r="G688" s="65" t="n"/>
      <c r="H688" s="65" t="n"/>
      <c r="I688" s="65" t="n"/>
      <c r="J688" s="65" t="n">
        <v>691</v>
      </c>
      <c r="K688" s="65" t="n"/>
      <c r="L688" s="65" t="n"/>
      <c r="M688" s="65" t="n"/>
      <c r="N688" s="65" t="n"/>
      <c r="O688" s="65" t="n"/>
      <c r="P688" s="65" t="n"/>
      <c r="Q688" s="65" t="n"/>
    </row>
    <row r="689">
      <c r="A689" s="65" t="n"/>
      <c r="B689" s="65" t="n"/>
      <c r="C689" s="65" t="n"/>
      <c r="D689" s="65" t="n"/>
      <c r="E689" s="65" t="n"/>
      <c r="F689" s="65" t="n"/>
      <c r="G689" s="65" t="n"/>
      <c r="H689" s="65" t="n"/>
      <c r="I689" s="65" t="n"/>
      <c r="J689" s="65" t="n">
        <v>824</v>
      </c>
      <c r="K689" s="65" t="n"/>
      <c r="L689" s="65" t="n"/>
      <c r="M689" s="65" t="n"/>
      <c r="N689" s="65" t="n"/>
      <c r="O689" s="65" t="n"/>
      <c r="P689" s="65" t="n"/>
      <c r="Q689" s="65" t="n"/>
    </row>
    <row r="690">
      <c r="A690" s="65" t="n"/>
      <c r="B690" s="65" t="n"/>
      <c r="C690" s="65" t="n"/>
      <c r="D690" s="65" t="n"/>
      <c r="E690" s="65" t="n"/>
      <c r="F690" s="65" t="n"/>
      <c r="G690" s="65" t="n"/>
      <c r="H690" s="65" t="n"/>
      <c r="I690" s="65" t="n"/>
      <c r="J690" s="65" t="n">
        <v>867</v>
      </c>
      <c r="K690" s="65" t="n"/>
      <c r="L690" s="65" t="n"/>
      <c r="M690" s="65" t="n"/>
      <c r="N690" s="65" t="n"/>
      <c r="O690" s="65" t="n"/>
      <c r="P690" s="65" t="n"/>
      <c r="Q690" s="65" t="n"/>
    </row>
    <row r="691">
      <c r="A691" s="65" t="n"/>
      <c r="B691" s="65" t="n"/>
      <c r="C691" s="65" t="n"/>
      <c r="D691" s="65" t="n"/>
      <c r="E691" s="65" t="n"/>
      <c r="F691" s="65" t="n"/>
      <c r="G691" s="65" t="n"/>
      <c r="H691" s="65" t="n"/>
      <c r="I691" s="65" t="n"/>
      <c r="J691" s="65" t="n"/>
      <c r="K691" s="65" t="n"/>
      <c r="L691" s="65" t="n"/>
      <c r="M691" s="63" t="inlineStr">
        <is>
          <t>0,00</t>
        </is>
      </c>
      <c r="N691" s="63" t="inlineStr">
        <is>
          <t>0,00</t>
        </is>
      </c>
      <c r="O691" s="63" t="inlineStr">
        <is>
          <t>0,00</t>
        </is>
      </c>
      <c r="P691" s="63" t="inlineStr">
        <is>
          <t>0,00</t>
        </is>
      </c>
      <c r="Q691" s="63" t="inlineStr">
        <is>
          <t>0,00</t>
        </is>
      </c>
    </row>
    <row r="692">
      <c r="A692" s="66" t="n">
        <v>46211</v>
      </c>
      <c r="B692" s="65" t="n">
        <v>253</v>
      </c>
      <c r="C692" s="65" t="inlineStr">
        <is>
          <t>00-00000775</t>
        </is>
      </c>
      <c r="D692" s="65" t="inlineStr">
        <is>
          <t>S00105</t>
        </is>
      </c>
      <c r="E692" s="65" t="inlineStr">
        <is>
          <t>Ricardo A. Fernandez.</t>
        </is>
      </c>
      <c r="F692" s="63" t="inlineStr">
        <is>
          <t>110.580,82</t>
        </is>
      </c>
      <c r="G692" s="63" t="inlineStr">
        <is>
          <t>128.273,75</t>
        </is>
      </c>
      <c r="H692" s="63" t="inlineStr">
        <is>
          <t>186,98</t>
        </is>
      </c>
      <c r="I692" s="63" t="inlineStr">
        <is>
          <t>685,94</t>
        </is>
      </c>
      <c r="J692" s="65" t="n"/>
      <c r="K692" s="65" t="n">
        <v>779</v>
      </c>
      <c r="L692" s="65" t="inlineStr">
        <is>
          <t>[0779] SINOCO SAE 20W-50 (1x12)</t>
        </is>
      </c>
      <c r="M692" s="63" t="inlineStr">
        <is>
          <t>41,38</t>
        </is>
      </c>
      <c r="N692" s="63" t="inlineStr">
        <is>
          <t>1,00</t>
        </is>
      </c>
      <c r="O692" s="63" t="inlineStr">
        <is>
          <t>0,00</t>
        </is>
      </c>
      <c r="P692" s="63" t="inlineStr">
        <is>
          <t>41,38</t>
        </is>
      </c>
      <c r="Q692" s="63" t="inlineStr">
        <is>
          <t>48,00</t>
        </is>
      </c>
    </row>
    <row r="693">
      <c r="A693" s="65" t="n"/>
      <c r="B693" s="65" t="n"/>
      <c r="C693" s="65" t="n"/>
      <c r="D693" s="65" t="n"/>
      <c r="E693" s="65" t="n"/>
      <c r="F693" s="65" t="n"/>
      <c r="G693" s="65" t="n"/>
      <c r="H693" s="65" t="n"/>
      <c r="I693" s="65" t="n"/>
      <c r="J693" s="65" t="n"/>
      <c r="K693" s="65" t="n">
        <v>877</v>
      </c>
      <c r="L693" s="65" t="inlineStr">
        <is>
          <t>[0877] SS EXTRA PROTECCION API SN SAE 15W-40 (1X12)</t>
        </is>
      </c>
      <c r="M693" s="63" t="inlineStr">
        <is>
          <t>62,07</t>
        </is>
      </c>
      <c r="N693" s="63" t="inlineStr">
        <is>
          <t>1,00</t>
        </is>
      </c>
      <c r="O693" s="63" t="inlineStr">
        <is>
          <t>0,00</t>
        </is>
      </c>
      <c r="P693" s="63" t="inlineStr">
        <is>
          <t>62,07</t>
        </is>
      </c>
      <c r="Q693" s="63" t="inlineStr">
        <is>
          <t>72,00</t>
        </is>
      </c>
    </row>
    <row r="694">
      <c r="A694" s="65" t="n"/>
      <c r="B694" s="65" t="n"/>
      <c r="C694" s="65" t="n"/>
      <c r="D694" s="65" t="n"/>
      <c r="E694" s="65" t="n"/>
      <c r="F694" s="65" t="n"/>
      <c r="G694" s="65" t="n"/>
      <c r="H694" s="65" t="n"/>
      <c r="I694" s="65" t="n"/>
      <c r="J694" s="65" t="n"/>
      <c r="K694" s="65" t="n">
        <v>884</v>
      </c>
      <c r="L694" s="65" t="inlineStr">
        <is>
          <t>[0884] TRANSMATIC ATF DEXRON III (1x12)</t>
        </is>
      </c>
      <c r="M694" s="63" t="inlineStr">
        <is>
          <t>57,76</t>
        </is>
      </c>
      <c r="N694" s="63" t="inlineStr">
        <is>
          <t>1,00</t>
        </is>
      </c>
      <c r="O694" s="63" t="inlineStr">
        <is>
          <t>0,00</t>
        </is>
      </c>
      <c r="P694" s="63" t="inlineStr">
        <is>
          <t>57,76</t>
        </is>
      </c>
      <c r="Q694" s="63" t="inlineStr">
        <is>
          <t>67,00</t>
        </is>
      </c>
    </row>
    <row r="695">
      <c r="A695" s="66" t="n">
        <v>46211</v>
      </c>
      <c r="B695" s="65" t="n">
        <v>252</v>
      </c>
      <c r="C695" s="65" t="inlineStr">
        <is>
          <t>00-00000774</t>
        </is>
      </c>
      <c r="D695" s="65" t="inlineStr">
        <is>
          <t>S00103</t>
        </is>
      </c>
      <c r="E695" s="65" t="inlineStr">
        <is>
          <t>Alexis Rodríguez Fernández</t>
        </is>
      </c>
      <c r="F695" s="63" t="inlineStr">
        <is>
          <t>280.886,68</t>
        </is>
      </c>
      <c r="G695" s="63" t="inlineStr">
        <is>
          <t>325.828,55</t>
        </is>
      </c>
      <c r="H695" s="63" t="inlineStr">
        <is>
          <t>474,97</t>
        </is>
      </c>
      <c r="I695" s="63" t="inlineStr">
        <is>
          <t>685,94</t>
        </is>
      </c>
      <c r="J695" s="65" t="n">
        <v>339</v>
      </c>
      <c r="K695" s="65" t="n">
        <v>779</v>
      </c>
      <c r="L695" s="65" t="inlineStr">
        <is>
          <t>[0779] SINOCO SAE 20W-50 (1x12)</t>
        </is>
      </c>
      <c r="M695" s="63" t="inlineStr">
        <is>
          <t>41,38</t>
        </is>
      </c>
      <c r="N695" s="63" t="inlineStr">
        <is>
          <t>2,00</t>
        </is>
      </c>
      <c r="O695" s="63" t="inlineStr">
        <is>
          <t>0,00</t>
        </is>
      </c>
      <c r="P695" s="63" t="inlineStr">
        <is>
          <t>82,76</t>
        </is>
      </c>
      <c r="Q695" s="63" t="inlineStr">
        <is>
          <t>96,00</t>
        </is>
      </c>
    </row>
    <row r="696">
      <c r="A696" s="65" t="n"/>
      <c r="B696" s="65" t="n"/>
      <c r="C696" s="65" t="n"/>
      <c r="D696" s="65" t="n"/>
      <c r="E696" s="65" t="n"/>
      <c r="F696" s="65" t="n"/>
      <c r="G696" s="65" t="n"/>
      <c r="H696" s="65" t="n"/>
      <c r="I696" s="65" t="n"/>
      <c r="J696" s="65" t="n">
        <v>935</v>
      </c>
      <c r="K696" s="65" t="n"/>
      <c r="L696" s="65" t="n"/>
      <c r="M696" s="65" t="n"/>
      <c r="N696" s="65" t="n"/>
      <c r="O696" s="65" t="n"/>
      <c r="P696" s="65" t="n"/>
      <c r="Q696" s="65" t="n"/>
    </row>
    <row r="697">
      <c r="A697" s="65" t="n"/>
      <c r="B697" s="65" t="n"/>
      <c r="C697" s="65" t="n"/>
      <c r="D697" s="65" t="n"/>
      <c r="E697" s="65" t="n"/>
      <c r="F697" s="65" t="n"/>
      <c r="G697" s="65" t="n"/>
      <c r="H697" s="65" t="n"/>
      <c r="I697" s="65" t="n"/>
      <c r="J697" s="65" t="n"/>
      <c r="K697" s="65" t="n">
        <v>915</v>
      </c>
      <c r="L697" s="65" t="inlineStr">
        <is>
          <t>[0915] SINOCO SAE 50 (1x12)</t>
        </is>
      </c>
      <c r="M697" s="63" t="inlineStr">
        <is>
          <t>41,38</t>
        </is>
      </c>
      <c r="N697" s="63" t="inlineStr">
        <is>
          <t>1,00</t>
        </is>
      </c>
      <c r="O697" s="63" t="inlineStr">
        <is>
          <t>0,00</t>
        </is>
      </c>
      <c r="P697" s="63" t="inlineStr">
        <is>
          <t>41,38</t>
        </is>
      </c>
      <c r="Q697" s="63" t="inlineStr">
        <is>
          <t>48,00</t>
        </is>
      </c>
    </row>
    <row r="698">
      <c r="A698" s="65" t="n"/>
      <c r="B698" s="65" t="n"/>
      <c r="C698" s="65" t="n"/>
      <c r="D698" s="65" t="n"/>
      <c r="E698" s="65" t="n"/>
      <c r="F698" s="65" t="n"/>
      <c r="G698" s="65" t="n"/>
      <c r="H698" s="65" t="n"/>
      <c r="I698" s="65" t="n"/>
      <c r="J698" s="65" t="n"/>
      <c r="K698" s="65" t="n">
        <v>602</v>
      </c>
      <c r="L698" s="65" t="inlineStr">
        <is>
          <t>[0602] SINOCO SAE 50 (PAILA)</t>
        </is>
      </c>
      <c r="M698" s="63" t="inlineStr">
        <is>
          <t>57,76</t>
        </is>
      </c>
      <c r="N698" s="63" t="inlineStr">
        <is>
          <t>1,00</t>
        </is>
      </c>
      <c r="O698" s="63" t="inlineStr">
        <is>
          <t>0,00</t>
        </is>
      </c>
      <c r="P698" s="63" t="inlineStr">
        <is>
          <t>57,76</t>
        </is>
      </c>
      <c r="Q698" s="63" t="inlineStr">
        <is>
          <t>67,00</t>
        </is>
      </c>
    </row>
    <row r="699">
      <c r="A699" s="65" t="n"/>
      <c r="B699" s="65" t="n"/>
      <c r="C699" s="65" t="n"/>
      <c r="D699" s="65" t="n"/>
      <c r="E699" s="65" t="n"/>
      <c r="F699" s="65" t="n"/>
      <c r="G699" s="65" t="n"/>
      <c r="H699" s="65" t="n"/>
      <c r="I699" s="65" t="n"/>
      <c r="J699" s="65" t="n"/>
      <c r="K699" s="65" t="n">
        <v>884</v>
      </c>
      <c r="L699" s="65" t="inlineStr">
        <is>
          <t>[0884] TRANSMATIC ATF DEXRON III (1x12)</t>
        </is>
      </c>
      <c r="M699" s="63" t="inlineStr">
        <is>
          <t>57,76</t>
        </is>
      </c>
      <c r="N699" s="63" t="inlineStr">
        <is>
          <t>1,00</t>
        </is>
      </c>
      <c r="O699" s="63" t="inlineStr">
        <is>
          <t>0,00</t>
        </is>
      </c>
      <c r="P699" s="63" t="inlineStr">
        <is>
          <t>57,76</t>
        </is>
      </c>
      <c r="Q699" s="63" t="inlineStr">
        <is>
          <t>67,00</t>
        </is>
      </c>
    </row>
    <row r="700">
      <c r="A700" s="65" t="n"/>
      <c r="B700" s="65" t="n"/>
      <c r="C700" s="65" t="n"/>
      <c r="D700" s="65" t="n"/>
      <c r="E700" s="65" t="n"/>
      <c r="F700" s="65" t="n"/>
      <c r="G700" s="65" t="n"/>
      <c r="H700" s="65" t="n"/>
      <c r="I700" s="65" t="n"/>
      <c r="J700" s="65" t="n"/>
      <c r="K700" s="65" t="n">
        <v>880</v>
      </c>
      <c r="L700" s="65" t="inlineStr">
        <is>
          <t>[0880] CLASICO API SL SAE 15W-40 (1x12)</t>
        </is>
      </c>
      <c r="M700" s="63" t="inlineStr">
        <is>
          <t>53,45</t>
        </is>
      </c>
      <c r="N700" s="63" t="inlineStr">
        <is>
          <t>1,00</t>
        </is>
      </c>
      <c r="O700" s="63" t="inlineStr">
        <is>
          <t>0,00</t>
        </is>
      </c>
      <c r="P700" s="63" t="inlineStr">
        <is>
          <t>53,45</t>
        </is>
      </c>
      <c r="Q700" s="63" t="inlineStr">
        <is>
          <t>62,00</t>
        </is>
      </c>
    </row>
    <row r="701">
      <c r="A701" s="65" t="n"/>
      <c r="B701" s="65" t="n"/>
      <c r="C701" s="65" t="n"/>
      <c r="D701" s="65" t="n"/>
      <c r="E701" s="65" t="n"/>
      <c r="F701" s="65" t="n"/>
      <c r="G701" s="65" t="n"/>
      <c r="H701" s="65" t="n"/>
      <c r="I701" s="65" t="n"/>
      <c r="J701" s="65" t="n"/>
      <c r="K701" s="65" t="n">
        <v>881</v>
      </c>
      <c r="L701" s="65" t="inlineStr">
        <is>
          <t>[0881] CLASICO API SL SAE 20W-50 (1x12)</t>
        </is>
      </c>
      <c r="M701" s="63" t="inlineStr">
        <is>
          <t>54,31</t>
        </is>
      </c>
      <c r="N701" s="63" t="inlineStr">
        <is>
          <t>1,00</t>
        </is>
      </c>
      <c r="O701" s="63" t="inlineStr">
        <is>
          <t>0,00</t>
        </is>
      </c>
      <c r="P701" s="63" t="inlineStr">
        <is>
          <t>54,31</t>
        </is>
      </c>
      <c r="Q701" s="63" t="inlineStr">
        <is>
          <t>63,00</t>
        </is>
      </c>
    </row>
    <row r="702">
      <c r="A702" s="65" t="n"/>
      <c r="B702" s="65" t="n"/>
      <c r="C702" s="65" t="n"/>
      <c r="D702" s="65" t="n"/>
      <c r="E702" s="65" t="n"/>
      <c r="F702" s="65" t="n"/>
      <c r="G702" s="65" t="n"/>
      <c r="H702" s="65" t="n"/>
      <c r="I702" s="65" t="n"/>
      <c r="J702" s="65" t="n"/>
      <c r="K702" s="65" t="n">
        <v>877</v>
      </c>
      <c r="L702" s="65" t="inlineStr">
        <is>
          <t>[0877] SS EXTRA PROTECCION API SN SAE 15W-40 (1X12)</t>
        </is>
      </c>
      <c r="M702" s="63" t="inlineStr">
        <is>
          <t>62,07</t>
        </is>
      </c>
      <c r="N702" s="63" t="inlineStr">
        <is>
          <t>1,00</t>
        </is>
      </c>
      <c r="O702" s="63" t="inlineStr">
        <is>
          <t>0,00</t>
        </is>
      </c>
      <c r="P702" s="63" t="inlineStr">
        <is>
          <t>62,07</t>
        </is>
      </c>
      <c r="Q702" s="63" t="inlineStr">
        <is>
          <t>72,00</t>
        </is>
      </c>
    </row>
    <row r="703">
      <c r="A703" s="66" t="n">
        <v>46211</v>
      </c>
      <c r="B703" s="65" t="n">
        <v>251</v>
      </c>
      <c r="C703" s="65" t="inlineStr">
        <is>
          <t>00-00000773</t>
        </is>
      </c>
      <c r="D703" s="65" t="inlineStr">
        <is>
          <t>S00099</t>
        </is>
      </c>
      <c r="E703" s="65" t="inlineStr">
        <is>
          <t>ZIP MARKET, CA</t>
        </is>
      </c>
      <c r="F703" s="63" t="inlineStr">
        <is>
          <t>54.992,03</t>
        </is>
      </c>
      <c r="G703" s="63" t="inlineStr">
        <is>
          <t>63.790,75</t>
        </is>
      </c>
      <c r="H703" s="63" t="inlineStr">
        <is>
          <t>92,99</t>
        </is>
      </c>
      <c r="I703" s="63" t="inlineStr">
        <is>
          <t>685,94</t>
        </is>
      </c>
      <c r="J703" s="65" t="n">
        <v>29</v>
      </c>
      <c r="K703" s="65" t="n">
        <v>880</v>
      </c>
      <c r="L703" s="65" t="inlineStr">
        <is>
          <t>[0880] CLASICO API SL SAE 15W-40 (1x12)</t>
        </is>
      </c>
      <c r="M703" s="63" t="inlineStr">
        <is>
          <t>80,17</t>
        </is>
      </c>
      <c r="N703" s="63" t="inlineStr">
        <is>
          <t>1,00</t>
        </is>
      </c>
      <c r="O703" s="63" t="inlineStr">
        <is>
          <t>0,00</t>
        </is>
      </c>
      <c r="P703" s="63" t="inlineStr">
        <is>
          <t>80,17</t>
        </is>
      </c>
      <c r="Q703" s="63" t="inlineStr">
        <is>
          <t>93,00</t>
        </is>
      </c>
    </row>
    <row r="704">
      <c r="A704" s="65" t="n"/>
      <c r="B704" s="65" t="n"/>
      <c r="C704" s="65" t="n"/>
      <c r="D704" s="65" t="n"/>
      <c r="E704" s="65" t="n"/>
      <c r="F704" s="65" t="n"/>
      <c r="G704" s="65" t="n"/>
      <c r="H704" s="65" t="n"/>
      <c r="I704" s="65" t="n"/>
      <c r="J704" s="65" t="n">
        <v>402</v>
      </c>
      <c r="K704" s="65" t="n"/>
      <c r="L704" s="65" t="n"/>
      <c r="M704" s="65" t="n"/>
      <c r="N704" s="65" t="n"/>
      <c r="O704" s="65" t="n"/>
      <c r="P704" s="65" t="n"/>
      <c r="Q704" s="65" t="n"/>
    </row>
    <row r="705">
      <c r="A705" s="65" t="n"/>
      <c r="B705" s="65" t="n"/>
      <c r="C705" s="65" t="n"/>
      <c r="D705" s="65" t="n"/>
      <c r="E705" s="65" t="n"/>
      <c r="F705" s="65" t="n"/>
      <c r="G705" s="65" t="n"/>
      <c r="H705" s="65" t="n"/>
      <c r="I705" s="65" t="n"/>
      <c r="J705" s="65" t="n">
        <v>929</v>
      </c>
      <c r="K705" s="65" t="n"/>
      <c r="L705" s="65" t="n"/>
      <c r="M705" s="65" t="n"/>
      <c r="N705" s="65" t="n"/>
      <c r="O705" s="65" t="n"/>
      <c r="P705" s="65" t="n"/>
      <c r="Q705" s="65" t="n"/>
    </row>
    <row r="706">
      <c r="A706" s="66" t="n">
        <v>46211</v>
      </c>
      <c r="B706" s="65" t="n">
        <v>250</v>
      </c>
      <c r="C706" s="65" t="inlineStr">
        <is>
          <t>00-00000772</t>
        </is>
      </c>
      <c r="D706" s="65" t="inlineStr">
        <is>
          <t>S00097</t>
        </is>
      </c>
      <c r="E706" s="65" t="inlineStr">
        <is>
          <t>Felipe Granja</t>
        </is>
      </c>
      <c r="F706" s="63" t="inlineStr">
        <is>
          <t>313.980,70</t>
        </is>
      </c>
      <c r="G706" s="63" t="inlineStr">
        <is>
          <t>364.217,62</t>
        </is>
      </c>
      <c r="H706" s="63" t="inlineStr">
        <is>
          <t>530,94</t>
        </is>
      </c>
      <c r="I706" s="63" t="inlineStr">
        <is>
          <t>685,94</t>
        </is>
      </c>
      <c r="J706" s="65" t="n">
        <v>486</v>
      </c>
      <c r="K706" s="65" t="n">
        <v>881</v>
      </c>
      <c r="L706" s="65" t="inlineStr">
        <is>
          <t>[0881] CLASICO API SL SAE 20W-50 (1x12)</t>
        </is>
      </c>
      <c r="M706" s="63" t="inlineStr">
        <is>
          <t>81,47</t>
        </is>
      </c>
      <c r="N706" s="63" t="inlineStr">
        <is>
          <t>1,00</t>
        </is>
      </c>
      <c r="O706" s="63" t="inlineStr">
        <is>
          <t>16,41</t>
        </is>
      </c>
      <c r="P706" s="63" t="inlineStr">
        <is>
          <t>68,10</t>
        </is>
      </c>
      <c r="Q706" s="63" t="inlineStr">
        <is>
          <t>79,00</t>
        </is>
      </c>
    </row>
    <row r="707">
      <c r="A707" s="65" t="n"/>
      <c r="B707" s="65" t="n"/>
      <c r="C707" s="65" t="n"/>
      <c r="D707" s="65" t="n"/>
      <c r="E707" s="65" t="n"/>
      <c r="F707" s="65" t="n"/>
      <c r="G707" s="65" t="n"/>
      <c r="H707" s="65" t="n"/>
      <c r="I707" s="65" t="n"/>
      <c r="J707" s="65" t="n"/>
      <c r="K707" s="65" t="n"/>
      <c r="L707" s="65" t="n"/>
      <c r="M707" s="63" t="inlineStr">
        <is>
          <t>0,00</t>
        </is>
      </c>
      <c r="N707" s="63" t="inlineStr">
        <is>
          <t>0,00</t>
        </is>
      </c>
      <c r="O707" s="63" t="inlineStr">
        <is>
          <t>0,00</t>
        </is>
      </c>
      <c r="P707" s="63" t="inlineStr">
        <is>
          <t>0,00</t>
        </is>
      </c>
      <c r="Q707" s="63" t="inlineStr">
        <is>
          <t>0,00</t>
        </is>
      </c>
    </row>
    <row r="708">
      <c r="A708" s="65" t="n"/>
      <c r="B708" s="65" t="n"/>
      <c r="C708" s="65" t="n"/>
      <c r="D708" s="65" t="n"/>
      <c r="E708" s="65" t="n"/>
      <c r="F708" s="65" t="n"/>
      <c r="G708" s="65" t="n"/>
      <c r="H708" s="65" t="n"/>
      <c r="I708" s="65" t="n"/>
      <c r="J708" s="65" t="n"/>
      <c r="K708" s="65" t="n">
        <v>880</v>
      </c>
      <c r="L708" s="65" t="inlineStr">
        <is>
          <t>[0880] CLASICO API SL SAE 15W-40 (1x12)</t>
        </is>
      </c>
      <c r="M708" s="63" t="inlineStr">
        <is>
          <t>80,17</t>
        </is>
      </c>
      <c r="N708" s="63" t="inlineStr">
        <is>
          <t>1,00</t>
        </is>
      </c>
      <c r="O708" s="63" t="inlineStr">
        <is>
          <t>16,13</t>
        </is>
      </c>
      <c r="P708" s="63" t="inlineStr">
        <is>
          <t>67,24</t>
        </is>
      </c>
      <c r="Q708" s="63" t="inlineStr">
        <is>
          <t>78,00</t>
        </is>
      </c>
    </row>
    <row r="709">
      <c r="A709" s="65" t="n"/>
      <c r="B709" s="65" t="n"/>
      <c r="C709" s="65" t="n"/>
      <c r="D709" s="65" t="n"/>
      <c r="E709" s="65" t="n"/>
      <c r="F709" s="65" t="n"/>
      <c r="G709" s="65" t="n"/>
      <c r="H709" s="65" t="n"/>
      <c r="I709" s="65" t="n"/>
      <c r="J709" s="65" t="n"/>
      <c r="K709" s="65" t="n">
        <v>877</v>
      </c>
      <c r="L709" s="65" t="inlineStr">
        <is>
          <t>[0877] SS EXTRA PROTECCION API SN SAE 15W-40 (1X12)</t>
        </is>
      </c>
      <c r="M709" s="63" t="inlineStr">
        <is>
          <t>93,10</t>
        </is>
      </c>
      <c r="N709" s="63" t="inlineStr">
        <is>
          <t>1,00</t>
        </is>
      </c>
      <c r="O709" s="63" t="inlineStr">
        <is>
          <t>0,00</t>
        </is>
      </c>
      <c r="P709" s="63" t="inlineStr">
        <is>
          <t>93,10</t>
        </is>
      </c>
      <c r="Q709" s="63" t="inlineStr">
        <is>
          <t>108,00</t>
        </is>
      </c>
    </row>
    <row r="710">
      <c r="A710" s="65" t="n"/>
      <c r="B710" s="65" t="n"/>
      <c r="C710" s="65" t="n"/>
      <c r="D710" s="65" t="n"/>
      <c r="E710" s="65" t="n"/>
      <c r="F710" s="65" t="n"/>
      <c r="G710" s="65" t="n"/>
      <c r="H710" s="65" t="n"/>
      <c r="I710" s="65" t="n"/>
      <c r="J710" s="65" t="n"/>
      <c r="K710" s="65" t="n">
        <v>878</v>
      </c>
      <c r="L710" s="65" t="inlineStr">
        <is>
          <t>[0878] SS EXTRA PROTECCION API SN SAE 20W-50 (1x12)</t>
        </is>
      </c>
      <c r="M710" s="63" t="inlineStr">
        <is>
          <t>93,10</t>
        </is>
      </c>
      <c r="N710" s="63" t="inlineStr">
        <is>
          <t>1,00</t>
        </is>
      </c>
      <c r="O710" s="63" t="inlineStr">
        <is>
          <t>16,66</t>
        </is>
      </c>
      <c r="P710" s="63" t="inlineStr">
        <is>
          <t>77,59</t>
        </is>
      </c>
      <c r="Q710" s="63" t="inlineStr">
        <is>
          <t>90,00</t>
        </is>
      </c>
    </row>
    <row r="711">
      <c r="A711" s="65" t="n"/>
      <c r="B711" s="65" t="n"/>
      <c r="C711" s="65" t="n"/>
      <c r="D711" s="65" t="n"/>
      <c r="E711" s="65" t="n"/>
      <c r="F711" s="65" t="n"/>
      <c r="G711" s="65" t="n"/>
      <c r="H711" s="65" t="n"/>
      <c r="I711" s="65" t="n"/>
      <c r="J711" s="65" t="n"/>
      <c r="K711" s="65" t="n">
        <v>884</v>
      </c>
      <c r="L711" s="65" t="inlineStr">
        <is>
          <t>[0884] TRANSMATIC ATF DEXRON III (1x12)</t>
        </is>
      </c>
      <c r="M711" s="63" t="inlineStr">
        <is>
          <t>86,64</t>
        </is>
      </c>
      <c r="N711" s="63" t="inlineStr">
        <is>
          <t>1,00</t>
        </is>
      </c>
      <c r="O711" s="63" t="inlineStr">
        <is>
          <t>15,99</t>
        </is>
      </c>
      <c r="P711" s="63" t="inlineStr">
        <is>
          <t>72,79</t>
        </is>
      </c>
      <c r="Q711" s="63" t="inlineStr">
        <is>
          <t>84,43</t>
        </is>
      </c>
    </row>
    <row r="712">
      <c r="A712" s="65" t="n"/>
      <c r="B712" s="65" t="n"/>
      <c r="C712" s="65" t="n"/>
      <c r="D712" s="65" t="n"/>
      <c r="E712" s="65" t="n"/>
      <c r="F712" s="65" t="n"/>
      <c r="G712" s="65" t="n"/>
      <c r="H712" s="65" t="n"/>
      <c r="I712" s="65" t="n"/>
      <c r="J712" s="65" t="n"/>
      <c r="K712" s="65" t="n">
        <v>121</v>
      </c>
      <c r="L712" s="65" t="inlineStr">
        <is>
          <t>[0121] TRANSGLOB API GL-5 SAE 80W-90 (1x6)</t>
        </is>
      </c>
      <c r="M712" s="63" t="inlineStr">
        <is>
          <t>46,55</t>
        </is>
      </c>
      <c r="N712" s="63" t="inlineStr">
        <is>
          <t>1,00</t>
        </is>
      </c>
      <c r="O712" s="63" t="inlineStr">
        <is>
          <t>15,23</t>
        </is>
      </c>
      <c r="P712" s="63" t="inlineStr">
        <is>
          <t>39,46</t>
        </is>
      </c>
      <c r="Q712" s="63" t="inlineStr">
        <is>
          <t>45,77</t>
        </is>
      </c>
    </row>
    <row r="713">
      <c r="A713" s="65" t="n"/>
      <c r="B713" s="65" t="n"/>
      <c r="C713" s="65" t="n"/>
      <c r="D713" s="65" t="n"/>
      <c r="E713" s="65" t="n"/>
      <c r="F713" s="65" t="n"/>
      <c r="G713" s="65" t="n"/>
      <c r="H713" s="65" t="n"/>
      <c r="I713" s="65" t="n"/>
      <c r="J713" s="65" t="n"/>
      <c r="K713" s="65" t="n">
        <v>127</v>
      </c>
      <c r="L713" s="65" t="inlineStr">
        <is>
          <t>[0127] TRANSGLOB API GL-5 SAE 85W-140 (1x6)</t>
        </is>
      </c>
      <c r="M713" s="63" t="inlineStr">
        <is>
          <t>46,55</t>
        </is>
      </c>
      <c r="N713" s="63" t="inlineStr">
        <is>
          <t>1,00</t>
        </is>
      </c>
      <c r="O713" s="63" t="inlineStr">
        <is>
          <t>15,23</t>
        </is>
      </c>
      <c r="P713" s="63" t="inlineStr">
        <is>
          <t>39,46</t>
        </is>
      </c>
      <c r="Q713" s="63" t="inlineStr">
        <is>
          <t>45,77</t>
        </is>
      </c>
    </row>
    <row r="714">
      <c r="A714" s="66" t="n">
        <v>46210</v>
      </c>
      <c r="B714" s="65" t="n">
        <v>249</v>
      </c>
      <c r="C714" s="65" t="inlineStr">
        <is>
          <t>00-00000771</t>
        </is>
      </c>
      <c r="D714" s="65" t="inlineStr">
        <is>
          <t>S00007</t>
        </is>
      </c>
      <c r="E714" s="65" t="inlineStr">
        <is>
          <t>EMPRENDIMIENTO IRMA RODRIGUEZ 6</t>
        </is>
      </c>
      <c r="F714" s="63" t="inlineStr">
        <is>
          <t>163.495,17</t>
        </is>
      </c>
      <c r="G714" s="63" t="inlineStr">
        <is>
          <t>189.654,40</t>
        </is>
      </c>
      <c r="H714" s="63" t="inlineStr">
        <is>
          <t>280,97</t>
        </is>
      </c>
      <c r="I714" s="63" t="inlineStr">
        <is>
          <t>674,93</t>
        </is>
      </c>
      <c r="J714" s="65" t="n">
        <v>4</v>
      </c>
      <c r="K714" s="65" t="n">
        <v>878</v>
      </c>
      <c r="L714" s="65" t="inlineStr">
        <is>
          <t>[0878] SS EXTRA PROTECCION API SN SAE 20W-50 (1x12)</t>
        </is>
      </c>
      <c r="M714" s="63" t="inlineStr">
        <is>
          <t>62,07</t>
        </is>
      </c>
      <c r="N714" s="63" t="inlineStr">
        <is>
          <t>1,00</t>
        </is>
      </c>
      <c r="O714" s="63" t="inlineStr">
        <is>
          <t>0,00</t>
        </is>
      </c>
      <c r="P714" s="63" t="inlineStr">
        <is>
          <t>62,07</t>
        </is>
      </c>
      <c r="Q714" s="63" t="inlineStr">
        <is>
          <t>72,00</t>
        </is>
      </c>
    </row>
    <row r="715">
      <c r="A715" s="65" t="n"/>
      <c r="B715" s="65" t="n"/>
      <c r="C715" s="65" t="n"/>
      <c r="D715" s="65" t="n"/>
      <c r="E715" s="65" t="n"/>
      <c r="F715" s="65" t="n"/>
      <c r="G715" s="65" t="n"/>
      <c r="H715" s="65" t="n"/>
      <c r="I715" s="65" t="n"/>
      <c r="J715" s="65" t="n"/>
      <c r="K715" s="65" t="n">
        <v>775</v>
      </c>
      <c r="L715" s="65" t="inlineStr">
        <is>
          <t>[0775] LIGA PARA FRENOS DOT-4 (1X12)</t>
        </is>
      </c>
      <c r="M715" s="63" t="inlineStr">
        <is>
          <t>37,07</t>
        </is>
      </c>
      <c r="N715" s="63" t="inlineStr">
        <is>
          <t>1,00</t>
        </is>
      </c>
      <c r="O715" s="63" t="inlineStr">
        <is>
          <t>0,00</t>
        </is>
      </c>
      <c r="P715" s="63" t="inlineStr">
        <is>
          <t>37,07</t>
        </is>
      </c>
      <c r="Q715" s="63" t="inlineStr">
        <is>
          <t>43,00</t>
        </is>
      </c>
    </row>
    <row r="716">
      <c r="A716" s="65" t="n"/>
      <c r="B716" s="65" t="n"/>
      <c r="C716" s="65" t="n"/>
      <c r="D716" s="65" t="n"/>
      <c r="E716" s="65" t="n"/>
      <c r="F716" s="65" t="n"/>
      <c r="G716" s="65" t="n"/>
      <c r="H716" s="65" t="n"/>
      <c r="I716" s="65" t="n"/>
      <c r="J716" s="65" t="n"/>
      <c r="K716" s="65" t="n">
        <v>884</v>
      </c>
      <c r="L716" s="65" t="inlineStr">
        <is>
          <t>[0884] TRANSMATIC ATF DEXRON III (1x12)</t>
        </is>
      </c>
      <c r="M716" s="63" t="inlineStr">
        <is>
          <t>57,76</t>
        </is>
      </c>
      <c r="N716" s="63" t="inlineStr">
        <is>
          <t>1,00</t>
        </is>
      </c>
      <c r="O716" s="63" t="inlineStr">
        <is>
          <t>0,00</t>
        </is>
      </c>
      <c r="P716" s="63" t="inlineStr">
        <is>
          <t>57,76</t>
        </is>
      </c>
      <c r="Q716" s="63" t="inlineStr">
        <is>
          <t>67,00</t>
        </is>
      </c>
    </row>
    <row r="717">
      <c r="A717" s="65" t="n"/>
      <c r="B717" s="65" t="n"/>
      <c r="C717" s="65" t="n"/>
      <c r="D717" s="65" t="n"/>
      <c r="E717" s="65" t="n"/>
      <c r="F717" s="65" t="n"/>
      <c r="G717" s="65" t="n"/>
      <c r="H717" s="65" t="n"/>
      <c r="I717" s="65" t="n"/>
      <c r="J717" s="65" t="n"/>
      <c r="K717" s="65" t="n">
        <v>121</v>
      </c>
      <c r="L717" s="65" t="inlineStr">
        <is>
          <t>[0121] TRANSGLOB API GL-5 SAE 80W-90 (1x6)</t>
        </is>
      </c>
      <c r="M717" s="63" t="inlineStr">
        <is>
          <t>31,03</t>
        </is>
      </c>
      <c r="N717" s="63" t="inlineStr">
        <is>
          <t>1,00</t>
        </is>
      </c>
      <c r="O717" s="63" t="inlineStr">
        <is>
          <t>0,00</t>
        </is>
      </c>
      <c r="P717" s="63" t="inlineStr">
        <is>
          <t>31,03</t>
        </is>
      </c>
      <c r="Q717" s="63" t="inlineStr">
        <is>
          <t>35,99</t>
        </is>
      </c>
    </row>
    <row r="718">
      <c r="A718" s="65" t="n"/>
      <c r="B718" s="65" t="n"/>
      <c r="C718" s="65" t="n"/>
      <c r="D718" s="65" t="n"/>
      <c r="E718" s="65" t="n"/>
      <c r="F718" s="65" t="n"/>
      <c r="G718" s="65" t="n"/>
      <c r="H718" s="65" t="n"/>
      <c r="I718" s="65" t="n"/>
      <c r="J718" s="65" t="n"/>
      <c r="K718" s="65" t="n">
        <v>881</v>
      </c>
      <c r="L718" s="65" t="inlineStr">
        <is>
          <t>[0881] CLASICO API SL SAE 20W-50 (1x12)</t>
        </is>
      </c>
      <c r="M718" s="63" t="inlineStr">
        <is>
          <t>54,31</t>
        </is>
      </c>
      <c r="N718" s="63" t="inlineStr">
        <is>
          <t>1,00</t>
        </is>
      </c>
      <c r="O718" s="63" t="inlineStr">
        <is>
          <t>0,00</t>
        </is>
      </c>
      <c r="P718" s="63" t="inlineStr">
        <is>
          <t>54,31</t>
        </is>
      </c>
      <c r="Q718" s="63" t="inlineStr">
        <is>
          <t>63,00</t>
        </is>
      </c>
    </row>
    <row r="719">
      <c r="A719" s="66" t="n">
        <v>46210</v>
      </c>
      <c r="B719" s="65" t="n">
        <v>248</v>
      </c>
      <c r="C719" s="65" t="inlineStr">
        <is>
          <t>00-00000770</t>
        </is>
      </c>
      <c r="D719" s="65" t="inlineStr">
        <is>
          <t>S00019</t>
        </is>
      </c>
      <c r="E719" s="65" t="inlineStr">
        <is>
          <t>Ruta 8 Autopartes,c.a.</t>
        </is>
      </c>
      <c r="F719" s="63" t="inlineStr">
        <is>
          <t>53.416,91</t>
        </is>
      </c>
      <c r="G719" s="63" t="inlineStr">
        <is>
          <t>61.963,62</t>
        </is>
      </c>
      <c r="H719" s="63" t="inlineStr">
        <is>
          <t>91,80</t>
        </is>
      </c>
      <c r="I719" s="63" t="inlineStr">
        <is>
          <t>674,93</t>
        </is>
      </c>
      <c r="J719" s="65" t="n">
        <v>209</v>
      </c>
      <c r="K719" s="65" t="n">
        <v>121</v>
      </c>
      <c r="L719" s="65" t="inlineStr">
        <is>
          <t>[0121] TRANSGLOB API GL-5 SAE 80W-90 (1x6)</t>
        </is>
      </c>
      <c r="M719" s="63" t="inlineStr">
        <is>
          <t>46,55</t>
        </is>
      </c>
      <c r="N719" s="63" t="inlineStr">
        <is>
          <t>2,00</t>
        </is>
      </c>
      <c r="O719" s="63" t="inlineStr">
        <is>
          <t>14,99</t>
        </is>
      </c>
      <c r="P719" s="63" t="inlineStr">
        <is>
          <t>79,14</t>
        </is>
      </c>
      <c r="Q719" s="63" t="inlineStr">
        <is>
          <t>91,81</t>
        </is>
      </c>
    </row>
    <row r="720">
      <c r="A720" s="66" t="n">
        <v>46210</v>
      </c>
      <c r="B720" s="65" t="n">
        <v>247</v>
      </c>
      <c r="C720" s="65" t="inlineStr">
        <is>
          <t>00-00000769</t>
        </is>
      </c>
      <c r="D720" s="65" t="inlineStr">
        <is>
          <t>S00033</t>
        </is>
      </c>
      <c r="E720" s="65" t="inlineStr">
        <is>
          <t>Angel ARMAS</t>
        </is>
      </c>
      <c r="F720" s="63" t="inlineStr">
        <is>
          <t>113.449,07</t>
        </is>
      </c>
      <c r="G720" s="63" t="inlineStr">
        <is>
          <t>131.600,92</t>
        </is>
      </c>
      <c r="H720" s="63" t="inlineStr">
        <is>
          <t>194,98</t>
        </is>
      </c>
      <c r="I720" s="63" t="inlineStr">
        <is>
          <t>674,93</t>
        </is>
      </c>
      <c r="J720" s="65" t="n">
        <v>22</v>
      </c>
      <c r="K720" s="65" t="n">
        <v>879</v>
      </c>
      <c r="L720" s="65" t="inlineStr">
        <is>
          <t>[0879] CARIBE FUERA DE BORDA TC-W3 2 TIEMPOS (1x12)</t>
        </is>
      </c>
      <c r="M720" s="63" t="inlineStr">
        <is>
          <t>56,03</t>
        </is>
      </c>
      <c r="N720" s="63" t="inlineStr">
        <is>
          <t>3,00</t>
        </is>
      </c>
      <c r="O720" s="63" t="inlineStr">
        <is>
          <t>0,00</t>
        </is>
      </c>
      <c r="P720" s="63" t="inlineStr">
        <is>
          <t>168,09</t>
        </is>
      </c>
      <c r="Q720" s="63" t="inlineStr">
        <is>
          <t>194,98</t>
        </is>
      </c>
    </row>
    <row r="721">
      <c r="A721" s="66" t="n">
        <v>46210</v>
      </c>
      <c r="B721" s="65" t="n">
        <v>246</v>
      </c>
      <c r="C721" s="65" t="inlineStr">
        <is>
          <t>00-00000768</t>
        </is>
      </c>
      <c r="D721" s="65" t="inlineStr">
        <is>
          <t>S00026</t>
        </is>
      </c>
      <c r="E721" s="65" t="inlineStr">
        <is>
          <t>Joel Duque</t>
        </is>
      </c>
      <c r="F721" s="63" t="inlineStr">
        <is>
          <t>38.983,99</t>
        </is>
      </c>
      <c r="G721" s="63" t="inlineStr">
        <is>
          <t>45.221,43</t>
        </is>
      </c>
      <c r="H721" s="63" t="inlineStr">
        <is>
          <t>67,00</t>
        </is>
      </c>
      <c r="I721" s="63" t="inlineStr">
        <is>
          <t>674,93</t>
        </is>
      </c>
      <c r="J721" s="65" t="n">
        <v>571</v>
      </c>
      <c r="K721" s="65" t="n">
        <v>884</v>
      </c>
      <c r="L721" s="65" t="inlineStr">
        <is>
          <t>[0884] TRANSMATIC ATF DEXRON III (1x12)</t>
        </is>
      </c>
      <c r="M721" s="63" t="inlineStr">
        <is>
          <t>57,76</t>
        </is>
      </c>
      <c r="N721" s="63" t="inlineStr">
        <is>
          <t>1,00</t>
        </is>
      </c>
      <c r="O721" s="63" t="inlineStr">
        <is>
          <t>0,00</t>
        </is>
      </c>
      <c r="P721" s="63" t="inlineStr">
        <is>
          <t>57,76</t>
        </is>
      </c>
      <c r="Q721" s="63" t="inlineStr">
        <is>
          <t>67,00</t>
        </is>
      </c>
    </row>
    <row r="722">
      <c r="A722" s="65" t="n"/>
      <c r="B722" s="65" t="n"/>
      <c r="C722" s="65" t="n"/>
      <c r="D722" s="65" t="n"/>
      <c r="E722" s="65" t="n"/>
      <c r="F722" s="65" t="n"/>
      <c r="G722" s="65" t="n"/>
      <c r="H722" s="65" t="n"/>
      <c r="I722" s="65" t="n"/>
      <c r="J722" s="65" t="n"/>
      <c r="K722" s="65" t="n"/>
      <c r="L722" s="65" t="n"/>
      <c r="M722" s="63" t="inlineStr">
        <is>
          <t>0,00</t>
        </is>
      </c>
      <c r="N722" s="63" t="inlineStr">
        <is>
          <t>0,00</t>
        </is>
      </c>
      <c r="O722" s="63" t="inlineStr">
        <is>
          <t>0,00</t>
        </is>
      </c>
      <c r="P722" s="63" t="inlineStr">
        <is>
          <t>0,00</t>
        </is>
      </c>
      <c r="Q722" s="63" t="inlineStr">
        <is>
          <t>0,00</t>
        </is>
      </c>
    </row>
    <row r="723">
      <c r="A723" s="66" t="n">
        <v>46210</v>
      </c>
      <c r="B723" s="65" t="n">
        <v>245</v>
      </c>
      <c r="C723" s="65" t="inlineStr">
        <is>
          <t>00-00000767</t>
        </is>
      </c>
      <c r="D723" s="65" t="inlineStr">
        <is>
          <t>S00024</t>
        </is>
      </c>
      <c r="E723" s="65" t="inlineStr">
        <is>
          <t>Encamotors Catia C.A</t>
        </is>
      </c>
      <c r="F723" s="63" t="inlineStr">
        <is>
          <t>58.908,44</t>
        </is>
      </c>
      <c r="G723" s="63" t="inlineStr">
        <is>
          <t>68.333,79</t>
        </is>
      </c>
      <c r="H723" s="63" t="inlineStr">
        <is>
          <t>101,23</t>
        </is>
      </c>
      <c r="I723" s="63" t="inlineStr">
        <is>
          <t>674,93</t>
        </is>
      </c>
      <c r="J723" s="65" t="n">
        <v>159</v>
      </c>
      <c r="K723" s="65" t="n">
        <v>774</v>
      </c>
      <c r="L723" s="65" t="inlineStr">
        <is>
          <t>[0774] LIGA PARA FRENOS DOT-4 (1X6)</t>
        </is>
      </c>
      <c r="M723" s="63" t="inlineStr">
        <is>
          <t>60,78</t>
        </is>
      </c>
      <c r="N723" s="63" t="inlineStr">
        <is>
          <t>1,00</t>
        </is>
      </c>
      <c r="O723" s="63" t="inlineStr">
        <is>
          <t>18,68</t>
        </is>
      </c>
      <c r="P723" s="63" t="inlineStr">
        <is>
          <t>49,43</t>
        </is>
      </c>
      <c r="Q723" s="63" t="inlineStr">
        <is>
          <t>57,33</t>
        </is>
      </c>
    </row>
    <row r="724">
      <c r="A724" s="65" t="n"/>
      <c r="B724" s="65" t="n"/>
      <c r="C724" s="65" t="n"/>
      <c r="D724" s="65" t="n"/>
      <c r="E724" s="65" t="n"/>
      <c r="F724" s="65" t="n"/>
      <c r="G724" s="65" t="n"/>
      <c r="H724" s="65" t="n"/>
      <c r="I724" s="65" t="n"/>
      <c r="J724" s="65" t="n">
        <v>829</v>
      </c>
      <c r="K724" s="65" t="n"/>
      <c r="L724" s="65" t="n"/>
      <c r="M724" s="65" t="n"/>
      <c r="N724" s="65" t="n"/>
      <c r="O724" s="65" t="n"/>
      <c r="P724" s="65" t="n"/>
      <c r="Q724" s="65" t="n"/>
    </row>
    <row r="725">
      <c r="A725" s="65" t="n"/>
      <c r="B725" s="65" t="n"/>
      <c r="C725" s="65" t="n"/>
      <c r="D725" s="65" t="n"/>
      <c r="E725" s="65" t="n"/>
      <c r="F725" s="65" t="n"/>
      <c r="G725" s="65" t="n"/>
      <c r="H725" s="65" t="n"/>
      <c r="I725" s="65" t="n"/>
      <c r="J725" s="65" t="n"/>
      <c r="K725" s="65" t="n">
        <v>127</v>
      </c>
      <c r="L725" s="65" t="inlineStr">
        <is>
          <t>[0127] TRANSGLOB API GL-5 SAE 85W-140 (1x6)</t>
        </is>
      </c>
      <c r="M725" s="63" t="inlineStr">
        <is>
          <t>46,55</t>
        </is>
      </c>
      <c r="N725" s="63" t="inlineStr">
        <is>
          <t>1,00</t>
        </is>
      </c>
      <c r="O725" s="63" t="inlineStr">
        <is>
          <t>18,68</t>
        </is>
      </c>
      <c r="P725" s="63" t="inlineStr">
        <is>
          <t>37,85</t>
        </is>
      </c>
      <c r="Q725" s="63" t="inlineStr">
        <is>
          <t>43,91</t>
        </is>
      </c>
    </row>
    <row r="726">
      <c r="A726" s="66" t="n">
        <v>46210</v>
      </c>
      <c r="B726" s="65" t="n">
        <v>244</v>
      </c>
      <c r="C726" s="65" t="inlineStr">
        <is>
          <t>00-00000766</t>
        </is>
      </c>
      <c r="D726" s="65" t="inlineStr">
        <is>
          <t>S00048</t>
        </is>
      </c>
      <c r="E726" s="65" t="inlineStr">
        <is>
          <t>Autoelectronica Oranel, C.A.</t>
        </is>
      </c>
      <c r="F726" s="63" t="inlineStr">
        <is>
          <t>41.618,12</t>
        </is>
      </c>
      <c r="G726" s="63" t="inlineStr">
        <is>
          <t>48.277,02</t>
        </is>
      </c>
      <c r="H726" s="63" t="inlineStr">
        <is>
          <t>71,52</t>
        </is>
      </c>
      <c r="I726" s="63" t="inlineStr">
        <is>
          <t>674,93</t>
        </is>
      </c>
      <c r="J726" s="65" t="n">
        <v>63</v>
      </c>
      <c r="K726" s="65" t="n">
        <v>792</v>
      </c>
      <c r="L726" s="65" t="inlineStr">
        <is>
          <t>[0792] REFRIGERANTE GLOBAL ROJO (1X3)</t>
        </is>
      </c>
      <c r="M726" s="63" t="inlineStr">
        <is>
          <t>31,03</t>
        </is>
      </c>
      <c r="N726" s="63" t="inlineStr">
        <is>
          <t>1,00</t>
        </is>
      </c>
      <c r="O726" s="63" t="inlineStr">
        <is>
          <t>0,64</t>
        </is>
      </c>
      <c r="P726" s="63" t="inlineStr">
        <is>
          <t>30,83</t>
        </is>
      </c>
      <c r="Q726" s="63" t="inlineStr">
        <is>
          <t>35,76</t>
        </is>
      </c>
    </row>
    <row r="727">
      <c r="A727" s="65" t="n"/>
      <c r="B727" s="65" t="n"/>
      <c r="C727" s="65" t="n"/>
      <c r="D727" s="65" t="n"/>
      <c r="E727" s="65" t="n"/>
      <c r="F727" s="65" t="n"/>
      <c r="G727" s="65" t="n"/>
      <c r="H727" s="65" t="n"/>
      <c r="I727" s="65" t="n"/>
      <c r="J727" s="65" t="n"/>
      <c r="K727" s="65" t="n">
        <v>761</v>
      </c>
      <c r="L727" s="65" t="inlineStr">
        <is>
          <t>[0761] LIGA PARA FRENOS DOT-3 (1x12)</t>
        </is>
      </c>
      <c r="M727" s="63" t="inlineStr">
        <is>
          <t>31,03</t>
        </is>
      </c>
      <c r="N727" s="63" t="inlineStr">
        <is>
          <t>1,00</t>
        </is>
      </c>
      <c r="O727" s="63" t="inlineStr">
        <is>
          <t>0,64</t>
        </is>
      </c>
      <c r="P727" s="63" t="inlineStr">
        <is>
          <t>30,83</t>
        </is>
      </c>
      <c r="Q727" s="63" t="inlineStr">
        <is>
          <t>35,76</t>
        </is>
      </c>
    </row>
    <row r="728">
      <c r="A728" s="66" t="n">
        <v>46210</v>
      </c>
      <c r="B728" s="65" t="n">
        <v>243</v>
      </c>
      <c r="C728" s="65" t="inlineStr">
        <is>
          <t>00-00000765</t>
        </is>
      </c>
      <c r="D728" s="65" t="inlineStr">
        <is>
          <t>S00047</t>
        </is>
      </c>
      <c r="E728" s="65" t="inlineStr">
        <is>
          <t>Rawy Xavier Melendez Caripa</t>
        </is>
      </c>
      <c r="F728" s="63" t="inlineStr">
        <is>
          <t>1.101.441,35</t>
        </is>
      </c>
      <c r="G728" s="63" t="inlineStr">
        <is>
          <t>1.277.671,97</t>
        </is>
      </c>
      <c r="H728" s="63" t="inlineStr">
        <is>
          <t>1.893,03</t>
        </is>
      </c>
      <c r="I728" s="63" t="inlineStr">
        <is>
          <t>674,93</t>
        </is>
      </c>
      <c r="J728" s="65" t="n">
        <v>23</v>
      </c>
      <c r="K728" s="65" t="n">
        <v>83</v>
      </c>
      <c r="L728" s="65" t="inlineStr">
        <is>
          <t>[0083] MAXIMO API CF SAE 50 (PAILA)</t>
        </is>
      </c>
      <c r="M728" s="63" t="inlineStr">
        <is>
          <t>104,74</t>
        </is>
      </c>
      <c r="N728" s="63" t="inlineStr">
        <is>
          <t>16,00</t>
        </is>
      </c>
      <c r="O728" s="63" t="inlineStr">
        <is>
          <t>2,62</t>
        </is>
      </c>
      <c r="P728" s="63" t="inlineStr">
        <is>
          <t>1.631,93</t>
        </is>
      </c>
      <c r="Q728" s="63" t="inlineStr">
        <is>
          <t>1.893,04</t>
        </is>
      </c>
    </row>
    <row r="729">
      <c r="A729" s="66" t="n">
        <v>46210</v>
      </c>
      <c r="B729" s="65" t="n">
        <v>242</v>
      </c>
      <c r="C729" s="65" t="inlineStr">
        <is>
          <t>00-00000764</t>
        </is>
      </c>
      <c r="D729" s="65" t="inlineStr">
        <is>
          <t>S00031</t>
        </is>
      </c>
      <c r="E729" s="65" t="inlineStr">
        <is>
          <t>COMERCIAL REPUESTOS MUNDIALES RMS 2022 C.A.</t>
        </is>
      </c>
      <c r="F729" s="63" t="inlineStr">
        <is>
          <t>209.457,93</t>
        </is>
      </c>
      <c r="G729" s="63" t="inlineStr">
        <is>
          <t>242.971,20</t>
        </is>
      </c>
      <c r="H729" s="63" t="inlineStr">
        <is>
          <t>359,98</t>
        </is>
      </c>
      <c r="I729" s="63" t="inlineStr">
        <is>
          <t>674,93</t>
        </is>
      </c>
      <c r="J729" s="65" t="n">
        <v>700</v>
      </c>
      <c r="K729" s="65" t="n">
        <v>779</v>
      </c>
      <c r="L729" s="65" t="inlineStr">
        <is>
          <t>[0779] SINOCO SAE 20W-50 (1x12)</t>
        </is>
      </c>
      <c r="M729" s="63" t="inlineStr">
        <is>
          <t>62,07</t>
        </is>
      </c>
      <c r="N729" s="63" t="inlineStr">
        <is>
          <t>2,00</t>
        </is>
      </c>
      <c r="O729" s="63" t="inlineStr">
        <is>
          <t>0,00</t>
        </is>
      </c>
      <c r="P729" s="63" t="inlineStr">
        <is>
          <t>124,14</t>
        </is>
      </c>
      <c r="Q729" s="63" t="inlineStr">
        <is>
          <t>144,00</t>
        </is>
      </c>
    </row>
    <row r="730">
      <c r="A730" s="65" t="n"/>
      <c r="B730" s="65" t="n"/>
      <c r="C730" s="65" t="n"/>
      <c r="D730" s="65" t="n"/>
      <c r="E730" s="65" t="n"/>
      <c r="F730" s="65" t="n"/>
      <c r="G730" s="65" t="n"/>
      <c r="H730" s="65" t="n"/>
      <c r="I730" s="65" t="n"/>
      <c r="J730" s="65" t="n"/>
      <c r="K730" s="65" t="n">
        <v>877</v>
      </c>
      <c r="L730" s="65" t="inlineStr">
        <is>
          <t>[0877] SS EXTRA PROTECCION API SN SAE 15W-40 (1X12)</t>
        </is>
      </c>
      <c r="M730" s="63" t="inlineStr">
        <is>
          <t>93,10</t>
        </is>
      </c>
      <c r="N730" s="63" t="inlineStr">
        <is>
          <t>2,00</t>
        </is>
      </c>
      <c r="O730" s="63" t="inlineStr">
        <is>
          <t>0,00</t>
        </is>
      </c>
      <c r="P730" s="63" t="inlineStr">
        <is>
          <t>186,20</t>
        </is>
      </c>
      <c r="Q730" s="63" t="inlineStr">
        <is>
          <t>215,99</t>
        </is>
      </c>
    </row>
    <row r="731">
      <c r="A731" s="66" t="n">
        <v>46210</v>
      </c>
      <c r="B731" s="65" t="n">
        <v>241</v>
      </c>
      <c r="C731" s="65" t="inlineStr">
        <is>
          <t>00-00000763</t>
        </is>
      </c>
      <c r="D731" s="65" t="inlineStr">
        <is>
          <t>S00034</t>
        </is>
      </c>
      <c r="E731" s="65" t="inlineStr">
        <is>
          <t>Miguel Antonio Chacon</t>
        </is>
      </c>
      <c r="F731" s="63" t="inlineStr">
        <is>
          <t>119.265,43</t>
        </is>
      </c>
      <c r="G731" s="63" t="inlineStr">
        <is>
          <t>138.347,90</t>
        </is>
      </c>
      <c r="H731" s="63" t="inlineStr">
        <is>
          <t>204,97</t>
        </is>
      </c>
      <c r="I731" s="63" t="inlineStr">
        <is>
          <t>674,93</t>
        </is>
      </c>
      <c r="J731" s="65" t="n">
        <v>162</v>
      </c>
      <c r="K731" s="65" t="n">
        <v>602</v>
      </c>
      <c r="L731" s="65" t="inlineStr">
        <is>
          <t>[0602] SINOCO SAE 50 (PAILA)</t>
        </is>
      </c>
      <c r="M731" s="63" t="inlineStr">
        <is>
          <t>86,64</t>
        </is>
      </c>
      <c r="N731" s="63" t="inlineStr">
        <is>
          <t>1,00</t>
        </is>
      </c>
      <c r="O731" s="63" t="inlineStr">
        <is>
          <t>13,51</t>
        </is>
      </c>
      <c r="P731" s="63" t="inlineStr">
        <is>
          <t>74,93</t>
        </is>
      </c>
      <c r="Q731" s="63" t="inlineStr">
        <is>
          <t>86,92</t>
        </is>
      </c>
    </row>
    <row r="732">
      <c r="A732" s="65" t="n"/>
      <c r="B732" s="65" t="n"/>
      <c r="C732" s="65" t="n"/>
      <c r="D732" s="65" t="n"/>
      <c r="E732" s="65" t="n"/>
      <c r="F732" s="65" t="n"/>
      <c r="G732" s="65" t="n"/>
      <c r="H732" s="65" t="n"/>
      <c r="I732" s="65" t="n"/>
      <c r="J732" s="65" t="n">
        <v>217</v>
      </c>
      <c r="K732" s="65" t="n"/>
      <c r="L732" s="65" t="n"/>
      <c r="M732" s="65" t="n"/>
      <c r="N732" s="65" t="n"/>
      <c r="O732" s="65" t="n"/>
      <c r="P732" s="65" t="n"/>
      <c r="Q732" s="65" t="n"/>
    </row>
    <row r="733">
      <c r="A733" s="65" t="n"/>
      <c r="B733" s="65" t="n"/>
      <c r="C733" s="65" t="n"/>
      <c r="D733" s="65" t="n"/>
      <c r="E733" s="65" t="n"/>
      <c r="F733" s="65" t="n"/>
      <c r="G733" s="65" t="n"/>
      <c r="H733" s="65" t="n"/>
      <c r="I733" s="65" t="n"/>
      <c r="J733" s="65" t="n"/>
      <c r="K733" s="65" t="n">
        <v>107</v>
      </c>
      <c r="L733" s="65" t="inlineStr">
        <is>
          <t>[0107] TRANSMATIC ATF DEXRON III (PAILA)</t>
        </is>
      </c>
      <c r="M733" s="63" t="inlineStr">
        <is>
          <t>117,67</t>
        </is>
      </c>
      <c r="N733" s="63" t="inlineStr">
        <is>
          <t>1,00</t>
        </is>
      </c>
      <c r="O733" s="63" t="inlineStr">
        <is>
          <t>13,51</t>
        </is>
      </c>
      <c r="P733" s="63" t="inlineStr">
        <is>
          <t>101,77</t>
        </is>
      </c>
      <c r="Q733" s="63" t="inlineStr">
        <is>
          <t>118,06</t>
        </is>
      </c>
    </row>
    <row r="734">
      <c r="A734" s="66" t="n">
        <v>46210</v>
      </c>
      <c r="B734" s="65" t="n">
        <v>240</v>
      </c>
      <c r="C734" s="65" t="inlineStr">
        <is>
          <t>00-00000762</t>
        </is>
      </c>
      <c r="D734" s="65" t="inlineStr">
        <is>
          <t>S00039</t>
        </is>
      </c>
      <c r="E734" s="65" t="inlineStr">
        <is>
          <t>Moto Bestia, C.A</t>
        </is>
      </c>
      <c r="F734" s="63" t="inlineStr">
        <is>
          <t>16.968,09</t>
        </is>
      </c>
      <c r="G734" s="63" t="inlineStr">
        <is>
          <t>19.682,98</t>
        </is>
      </c>
      <c r="H734" s="63" t="inlineStr">
        <is>
          <t>29,16</t>
        </is>
      </c>
      <c r="I734" s="63" t="inlineStr">
        <is>
          <t>674,93</t>
        </is>
      </c>
      <c r="J734" s="65" t="n">
        <v>359</v>
      </c>
      <c r="K734" s="65" t="n">
        <v>761</v>
      </c>
      <c r="L734" s="65" t="inlineStr">
        <is>
          <t>[0761] LIGA PARA FRENOS DOT-3 (1x12)</t>
        </is>
      </c>
      <c r="M734" s="63" t="inlineStr">
        <is>
          <t>31,03</t>
        </is>
      </c>
      <c r="N734" s="63" t="inlineStr">
        <is>
          <t>1,00</t>
        </is>
      </c>
      <c r="O734" s="63" t="inlineStr">
        <is>
          <t>18,98</t>
        </is>
      </c>
      <c r="P734" s="63" t="inlineStr">
        <is>
          <t>25,14</t>
        </is>
      </c>
      <c r="Q734" s="63" t="inlineStr">
        <is>
          <t>29,16</t>
        </is>
      </c>
    </row>
    <row r="735">
      <c r="A735" s="66" t="n">
        <v>46210</v>
      </c>
      <c r="B735" s="65" t="n">
        <v>239</v>
      </c>
      <c r="C735" s="65" t="inlineStr">
        <is>
          <t>00-00000761</t>
        </is>
      </c>
      <c r="D735" s="65" t="inlineStr">
        <is>
          <t>S00036</t>
        </is>
      </c>
      <c r="E735" s="65" t="inlineStr">
        <is>
          <t>inversiones El Gran Charles C.A</t>
        </is>
      </c>
      <c r="F735" s="63" t="inlineStr">
        <is>
          <t>322.043,09</t>
        </is>
      </c>
      <c r="G735" s="63" t="inlineStr">
        <is>
          <t>373.569,98</t>
        </is>
      </c>
      <c r="H735" s="63" t="inlineStr">
        <is>
          <t>553,48</t>
        </is>
      </c>
      <c r="I735" s="63" t="inlineStr">
        <is>
          <t>674,93</t>
        </is>
      </c>
      <c r="J735" s="65" t="n">
        <v>296</v>
      </c>
      <c r="K735" s="65" t="n">
        <v>602</v>
      </c>
      <c r="L735" s="65" t="inlineStr">
        <is>
          <t>[0602] SINOCO SAE 50 (PAILA)</t>
        </is>
      </c>
      <c r="M735" s="63" t="inlineStr">
        <is>
          <t>86,64</t>
        </is>
      </c>
      <c r="N735" s="63" t="inlineStr">
        <is>
          <t>1,00</t>
        </is>
      </c>
      <c r="O735" s="63" t="inlineStr">
        <is>
          <t>0,00</t>
        </is>
      </c>
      <c r="P735" s="63" t="inlineStr">
        <is>
          <t>86,64</t>
        </is>
      </c>
      <c r="Q735" s="63" t="inlineStr">
        <is>
          <t>100,50</t>
        </is>
      </c>
    </row>
    <row r="736">
      <c r="A736" s="65" t="n"/>
      <c r="B736" s="65" t="n"/>
      <c r="C736" s="65" t="n"/>
      <c r="D736" s="65" t="n"/>
      <c r="E736" s="65" t="n"/>
      <c r="F736" s="65" t="n"/>
      <c r="G736" s="65" t="n"/>
      <c r="H736" s="65" t="n"/>
      <c r="I736" s="65" t="n"/>
      <c r="J736" s="65" t="n">
        <v>297</v>
      </c>
      <c r="K736" s="65" t="n"/>
      <c r="L736" s="65" t="n"/>
      <c r="M736" s="65" t="n"/>
      <c r="N736" s="65" t="n"/>
      <c r="O736" s="65" t="n"/>
      <c r="P736" s="65" t="n"/>
      <c r="Q736" s="65" t="n"/>
    </row>
    <row r="737">
      <c r="A737" s="65" t="n"/>
      <c r="B737" s="65" t="n"/>
      <c r="C737" s="65" t="n"/>
      <c r="D737" s="65" t="n"/>
      <c r="E737" s="65" t="n"/>
      <c r="F737" s="65" t="n"/>
      <c r="G737" s="65" t="n"/>
      <c r="H737" s="65" t="n"/>
      <c r="I737" s="65" t="n"/>
      <c r="J737" s="65" t="n">
        <v>374</v>
      </c>
      <c r="K737" s="65" t="n"/>
      <c r="L737" s="65" t="n"/>
      <c r="M737" s="65" t="n"/>
      <c r="N737" s="65" t="n"/>
      <c r="O737" s="65" t="n"/>
      <c r="P737" s="65" t="n"/>
      <c r="Q737" s="65" t="n"/>
    </row>
    <row r="738">
      <c r="A738" s="65" t="n"/>
      <c r="B738" s="65" t="n"/>
      <c r="C738" s="65" t="n"/>
      <c r="D738" s="65" t="n"/>
      <c r="E738" s="65" t="n"/>
      <c r="F738" s="65" t="n"/>
      <c r="G738" s="65" t="n"/>
      <c r="H738" s="65" t="n"/>
      <c r="I738" s="65" t="n"/>
      <c r="J738" s="65" t="n">
        <v>798</v>
      </c>
      <c r="K738" s="65" t="n"/>
      <c r="L738" s="65" t="n"/>
      <c r="M738" s="65" t="n"/>
      <c r="N738" s="65" t="n"/>
      <c r="O738" s="65" t="n"/>
      <c r="P738" s="65" t="n"/>
      <c r="Q738" s="65" t="n"/>
    </row>
    <row r="739">
      <c r="A739" s="65" t="n"/>
      <c r="B739" s="65" t="n"/>
      <c r="C739" s="65" t="n"/>
      <c r="D739" s="65" t="n"/>
      <c r="E739" s="65" t="n"/>
      <c r="F739" s="65" t="n"/>
      <c r="G739" s="65" t="n"/>
      <c r="H739" s="65" t="n"/>
      <c r="I739" s="65" t="n"/>
      <c r="J739" s="65" t="n">
        <v>831</v>
      </c>
      <c r="K739" s="65" t="n"/>
      <c r="L739" s="65" t="n"/>
      <c r="M739" s="65" t="n"/>
      <c r="N739" s="65" t="n"/>
      <c r="O739" s="65" t="n"/>
      <c r="P739" s="65" t="n"/>
      <c r="Q739" s="65" t="n"/>
    </row>
    <row r="740">
      <c r="A740" s="65" t="n"/>
      <c r="B740" s="65" t="n"/>
      <c r="C740" s="65" t="n"/>
      <c r="D740" s="65" t="n"/>
      <c r="E740" s="65" t="n"/>
      <c r="F740" s="65" t="n"/>
      <c r="G740" s="65" t="n"/>
      <c r="H740" s="65" t="n"/>
      <c r="I740" s="65" t="n"/>
      <c r="J740" s="65" t="n"/>
      <c r="K740" s="65" t="n">
        <v>605</v>
      </c>
      <c r="L740" s="65" t="inlineStr">
        <is>
          <t>[0605] SINOCO SAE 20W-50 (PAILA)</t>
        </is>
      </c>
      <c r="M740" s="63" t="inlineStr">
        <is>
          <t>86,64</t>
        </is>
      </c>
      <c r="N740" s="63" t="inlineStr">
        <is>
          <t>1,00</t>
        </is>
      </c>
      <c r="O740" s="63" t="inlineStr">
        <is>
          <t>0,00</t>
        </is>
      </c>
      <c r="P740" s="63" t="inlineStr">
        <is>
          <t>86,64</t>
        </is>
      </c>
      <c r="Q740" s="63" t="inlineStr">
        <is>
          <t>100,50</t>
        </is>
      </c>
    </row>
    <row r="741">
      <c r="A741" s="65" t="n"/>
      <c r="B741" s="65" t="n"/>
      <c r="C741" s="65" t="n"/>
      <c r="D741" s="65" t="n"/>
      <c r="E741" s="65" t="n"/>
      <c r="F741" s="65" t="n"/>
      <c r="G741" s="65" t="n"/>
      <c r="H741" s="65" t="n"/>
      <c r="I741" s="65" t="n"/>
      <c r="J741" s="65" t="n"/>
      <c r="K741" s="65" t="n">
        <v>884</v>
      </c>
      <c r="L741" s="65" t="inlineStr">
        <is>
          <t>[0884] TRANSMATIC ATF DEXRON III (1x12)</t>
        </is>
      </c>
      <c r="M741" s="63" t="inlineStr">
        <is>
          <t>86,64</t>
        </is>
      </c>
      <c r="N741" s="63" t="inlineStr">
        <is>
          <t>1,00</t>
        </is>
      </c>
      <c r="O741" s="63" t="inlineStr">
        <is>
          <t>0,00</t>
        </is>
      </c>
      <c r="P741" s="63" t="inlineStr">
        <is>
          <t>86,64</t>
        </is>
      </c>
      <c r="Q741" s="63" t="inlineStr">
        <is>
          <t>100,50</t>
        </is>
      </c>
    </row>
    <row r="742">
      <c r="A742" s="65" t="n"/>
      <c r="B742" s="65" t="n"/>
      <c r="C742" s="65" t="n"/>
      <c r="D742" s="65" t="n"/>
      <c r="E742" s="65" t="n"/>
      <c r="F742" s="65" t="n"/>
      <c r="G742" s="65" t="n"/>
      <c r="H742" s="65" t="n"/>
      <c r="I742" s="65" t="n"/>
      <c r="J742" s="65" t="n"/>
      <c r="K742" s="65" t="n">
        <v>121</v>
      </c>
      <c r="L742" s="65" t="inlineStr">
        <is>
          <t>[0121] TRANSGLOB API GL-5 SAE 80W-90 (1x6)</t>
        </is>
      </c>
      <c r="M742" s="63" t="inlineStr">
        <is>
          <t>46,55</t>
        </is>
      </c>
      <c r="N742" s="63" t="inlineStr">
        <is>
          <t>2,00</t>
        </is>
      </c>
      <c r="O742" s="63" t="inlineStr">
        <is>
          <t>0,00</t>
        </is>
      </c>
      <c r="P742" s="63" t="inlineStr">
        <is>
          <t>93,10</t>
        </is>
      </c>
      <c r="Q742" s="63" t="inlineStr">
        <is>
          <t>108,00</t>
        </is>
      </c>
    </row>
    <row r="743">
      <c r="A743" s="65" t="n"/>
      <c r="B743" s="65" t="n"/>
      <c r="C743" s="65" t="n"/>
      <c r="D743" s="65" t="n"/>
      <c r="E743" s="65" t="n"/>
      <c r="F743" s="65" t="n"/>
      <c r="G743" s="65" t="n"/>
      <c r="H743" s="65" t="n"/>
      <c r="I743" s="65" t="n"/>
      <c r="J743" s="65" t="n"/>
      <c r="K743" s="65" t="n">
        <v>761</v>
      </c>
      <c r="L743" s="65" t="inlineStr">
        <is>
          <t>[0761] LIGA PARA FRENOS DOT-3 (1x12)</t>
        </is>
      </c>
      <c r="M743" s="63" t="inlineStr">
        <is>
          <t>31,03</t>
        </is>
      </c>
      <c r="N743" s="63" t="inlineStr">
        <is>
          <t>1,00</t>
        </is>
      </c>
      <c r="O743" s="63" t="inlineStr">
        <is>
          <t>0,00</t>
        </is>
      </c>
      <c r="P743" s="63" t="inlineStr">
        <is>
          <t>31,03</t>
        </is>
      </c>
      <c r="Q743" s="63" t="inlineStr">
        <is>
          <t>35,99</t>
        </is>
      </c>
    </row>
    <row r="744">
      <c r="A744" s="65" t="n"/>
      <c r="B744" s="65" t="n"/>
      <c r="C744" s="65" t="n"/>
      <c r="D744" s="65" t="n"/>
      <c r="E744" s="65" t="n"/>
      <c r="F744" s="65" t="n"/>
      <c r="G744" s="65" t="n"/>
      <c r="H744" s="65" t="n"/>
      <c r="I744" s="65" t="n"/>
      <c r="J744" s="65" t="n"/>
      <c r="K744" s="65" t="n">
        <v>877</v>
      </c>
      <c r="L744" s="65" t="inlineStr">
        <is>
          <t>[0877] SS EXTRA PROTECCION API SN SAE 15W-40 (1X12)</t>
        </is>
      </c>
      <c r="M744" s="63" t="inlineStr">
        <is>
          <t>93,10</t>
        </is>
      </c>
      <c r="N744" s="63" t="inlineStr">
        <is>
          <t>1,00</t>
        </is>
      </c>
      <c r="O744" s="63" t="inlineStr">
        <is>
          <t>0,00</t>
        </is>
      </c>
      <c r="P744" s="63" t="inlineStr">
        <is>
          <t>93,10</t>
        </is>
      </c>
      <c r="Q744" s="63" t="inlineStr">
        <is>
          <t>108,00</t>
        </is>
      </c>
    </row>
    <row r="745">
      <c r="A745" s="66" t="n">
        <v>46210</v>
      </c>
      <c r="B745" s="65" t="n">
        <v>238</v>
      </c>
      <c r="C745" s="65" t="inlineStr">
        <is>
          <t>00-00000760</t>
        </is>
      </c>
      <c r="D745" s="65" t="inlineStr">
        <is>
          <t>S00023</t>
        </is>
      </c>
      <c r="E745" s="65" t="inlineStr">
        <is>
          <t>Multiservicios Sanahuja 36 C.A</t>
        </is>
      </c>
      <c r="F745" s="63" t="inlineStr">
        <is>
          <t>55.857,24</t>
        </is>
      </c>
      <c r="G745" s="63" t="inlineStr">
        <is>
          <t>64.794,40</t>
        </is>
      </c>
      <c r="H745" s="63" t="inlineStr">
        <is>
          <t>95,98</t>
        </is>
      </c>
      <c r="I745" s="63" t="inlineStr">
        <is>
          <t>674,93</t>
        </is>
      </c>
      <c r="J745" s="65" t="n">
        <v>19</v>
      </c>
      <c r="K745" s="65" t="n">
        <v>779</v>
      </c>
      <c r="L745" s="65" t="inlineStr">
        <is>
          <t>[0779] SINOCO SAE 20W-50 (1x12)</t>
        </is>
      </c>
      <c r="M745" s="63" t="inlineStr">
        <is>
          <t>41,38</t>
        </is>
      </c>
      <c r="N745" s="63" t="inlineStr">
        <is>
          <t>1,00</t>
        </is>
      </c>
      <c r="O745" s="63" t="inlineStr">
        <is>
          <t>0,00</t>
        </is>
      </c>
      <c r="P745" s="63" t="inlineStr">
        <is>
          <t>41,38</t>
        </is>
      </c>
      <c r="Q745" s="63" t="inlineStr">
        <is>
          <t>48,00</t>
        </is>
      </c>
    </row>
    <row r="746">
      <c r="A746" s="65" t="n"/>
      <c r="B746" s="65" t="n"/>
      <c r="C746" s="65" t="n"/>
      <c r="D746" s="65" t="n"/>
      <c r="E746" s="65" t="n"/>
      <c r="F746" s="65" t="n"/>
      <c r="G746" s="65" t="n"/>
      <c r="H746" s="65" t="n"/>
      <c r="I746" s="65" t="n"/>
      <c r="J746" s="65" t="n">
        <v>20</v>
      </c>
      <c r="K746" s="65" t="n"/>
      <c r="L746" s="65" t="n"/>
      <c r="M746" s="65" t="n"/>
      <c r="N746" s="65" t="n"/>
      <c r="O746" s="65" t="n"/>
      <c r="P746" s="65" t="n"/>
      <c r="Q746" s="65" t="n"/>
    </row>
    <row r="747">
      <c r="A747" s="65" t="n"/>
      <c r="B747" s="65" t="n"/>
      <c r="C747" s="65" t="n"/>
      <c r="D747" s="65" t="n"/>
      <c r="E747" s="65" t="n"/>
      <c r="F747" s="65" t="n"/>
      <c r="G747" s="65" t="n"/>
      <c r="H747" s="65" t="n"/>
      <c r="I747" s="65" t="n"/>
      <c r="J747" s="65" t="n"/>
      <c r="K747" s="65" t="n">
        <v>915</v>
      </c>
      <c r="L747" s="65" t="inlineStr">
        <is>
          <t>[0915] SINOCO SAE 50 (1x12)</t>
        </is>
      </c>
      <c r="M747" s="63" t="inlineStr">
        <is>
          <t>41,38</t>
        </is>
      </c>
      <c r="N747" s="63" t="inlineStr">
        <is>
          <t>1,00</t>
        </is>
      </c>
      <c r="O747" s="63" t="inlineStr">
        <is>
          <t>0,00</t>
        </is>
      </c>
      <c r="P747" s="63" t="inlineStr">
        <is>
          <t>41,38</t>
        </is>
      </c>
      <c r="Q747" s="63" t="inlineStr">
        <is>
          <t>48,00</t>
        </is>
      </c>
    </row>
    <row r="748">
      <c r="A748" s="66" t="n">
        <v>46210</v>
      </c>
      <c r="B748" s="65" t="n">
        <v>237</v>
      </c>
      <c r="C748" s="65" t="inlineStr">
        <is>
          <t>00-00000759</t>
        </is>
      </c>
      <c r="D748" s="65" t="inlineStr">
        <is>
          <t>S00022</t>
        </is>
      </c>
      <c r="E748" s="65" t="inlineStr">
        <is>
          <t>Autorepuestos las 24 horas</t>
        </is>
      </c>
      <c r="F748" s="63" t="inlineStr">
        <is>
          <t>55.857,25</t>
        </is>
      </c>
      <c r="G748" s="63" t="inlineStr">
        <is>
          <t>64.794,41</t>
        </is>
      </c>
      <c r="H748" s="63" t="inlineStr">
        <is>
          <t>96,00</t>
        </is>
      </c>
      <c r="I748" s="63" t="inlineStr">
        <is>
          <t>674,93</t>
        </is>
      </c>
      <c r="J748" s="65" t="n">
        <v>62</v>
      </c>
      <c r="K748" s="65" t="n">
        <v>779</v>
      </c>
      <c r="L748" s="65" t="inlineStr">
        <is>
          <t>[0779] SINOCO SAE 20W-50 (1x12)</t>
        </is>
      </c>
      <c r="M748" s="63" t="inlineStr">
        <is>
          <t>41,38</t>
        </is>
      </c>
      <c r="N748" s="63" t="inlineStr">
        <is>
          <t>2,00</t>
        </is>
      </c>
      <c r="O748" s="63" t="inlineStr">
        <is>
          <t>0,00</t>
        </is>
      </c>
      <c r="P748" s="63" t="inlineStr">
        <is>
          <t>82,76</t>
        </is>
      </c>
      <c r="Q748" s="63" t="inlineStr">
        <is>
          <t>96,00</t>
        </is>
      </c>
    </row>
    <row r="749">
      <c r="A749" s="66" t="n">
        <v>46210</v>
      </c>
      <c r="B749" s="65" t="n">
        <v>236</v>
      </c>
      <c r="C749" s="65" t="inlineStr">
        <is>
          <t>00-00000758</t>
        </is>
      </c>
      <c r="D749" s="65" t="inlineStr">
        <is>
          <t>S00043</t>
        </is>
      </c>
      <c r="E749" s="65" t="inlineStr">
        <is>
          <t>Vianney García</t>
        </is>
      </c>
      <c r="F749" s="63" t="inlineStr">
        <is>
          <t>248.154,97</t>
        </is>
      </c>
      <c r="G749" s="63" t="inlineStr">
        <is>
          <t>287.859,77</t>
        </is>
      </c>
      <c r="H749" s="63" t="inlineStr">
        <is>
          <t>426,48</t>
        </is>
      </c>
      <c r="I749" s="63" t="inlineStr">
        <is>
          <t>674,93</t>
        </is>
      </c>
      <c r="J749" s="65" t="n">
        <v>310</v>
      </c>
      <c r="K749" s="65" t="n">
        <v>602</v>
      </c>
      <c r="L749" s="65" t="inlineStr">
        <is>
          <t>[0602] SINOCO SAE 50 (PAILA)</t>
        </is>
      </c>
      <c r="M749" s="63" t="inlineStr">
        <is>
          <t>86,64</t>
        </is>
      </c>
      <c r="N749" s="63" t="inlineStr">
        <is>
          <t>2,00</t>
        </is>
      </c>
      <c r="O749" s="63" t="inlineStr">
        <is>
          <t>2,96</t>
        </is>
      </c>
      <c r="P749" s="63" t="inlineStr">
        <is>
          <t>168,15</t>
        </is>
      </c>
      <c r="Q749" s="63" t="inlineStr">
        <is>
          <t>195,06</t>
        </is>
      </c>
    </row>
    <row r="750">
      <c r="A750" s="65" t="n"/>
      <c r="B750" s="65" t="n"/>
      <c r="C750" s="65" t="n"/>
      <c r="D750" s="65" t="n"/>
      <c r="E750" s="65" t="n"/>
      <c r="F750" s="65" t="n"/>
      <c r="G750" s="65" t="n"/>
      <c r="H750" s="65" t="n"/>
      <c r="I750" s="65" t="n"/>
      <c r="J750" s="65" t="n"/>
      <c r="K750" s="65" t="n">
        <v>915</v>
      </c>
      <c r="L750" s="65" t="inlineStr">
        <is>
          <t>[0915] SINOCO SAE 50 (1x12)</t>
        </is>
      </c>
      <c r="M750" s="63" t="inlineStr">
        <is>
          <t>62,07</t>
        </is>
      </c>
      <c r="N750" s="63" t="inlineStr">
        <is>
          <t>2,00</t>
        </is>
      </c>
      <c r="O750" s="63" t="inlineStr">
        <is>
          <t>2,96</t>
        </is>
      </c>
      <c r="P750" s="63" t="inlineStr">
        <is>
          <t>120,47</t>
        </is>
      </c>
      <c r="Q750" s="63" t="inlineStr">
        <is>
          <t>139,74</t>
        </is>
      </c>
    </row>
    <row r="751">
      <c r="A751" s="65" t="n"/>
      <c r="B751" s="65" t="n"/>
      <c r="C751" s="65" t="n"/>
      <c r="D751" s="65" t="n"/>
      <c r="E751" s="65" t="n"/>
      <c r="F751" s="65" t="n"/>
      <c r="G751" s="65" t="n"/>
      <c r="H751" s="65" t="n"/>
      <c r="I751" s="65" t="n"/>
      <c r="J751" s="65" t="n"/>
      <c r="K751" s="65" t="n">
        <v>881</v>
      </c>
      <c r="L751" s="65" t="inlineStr">
        <is>
          <t>[0881] CLASICO API SL SAE 20W-50 (1x12)</t>
        </is>
      </c>
      <c r="M751" s="63" t="inlineStr">
        <is>
          <t>81,47</t>
        </is>
      </c>
      <c r="N751" s="63" t="inlineStr">
        <is>
          <t>1,00</t>
        </is>
      </c>
      <c r="O751" s="63" t="inlineStr">
        <is>
          <t>2,96</t>
        </is>
      </c>
      <c r="P751" s="63" t="inlineStr">
        <is>
          <t>79,06</t>
        </is>
      </c>
      <c r="Q751" s="63" t="inlineStr">
        <is>
          <t>91,71</t>
        </is>
      </c>
    </row>
    <row r="752">
      <c r="A752" s="66" t="n">
        <v>46210</v>
      </c>
      <c r="B752" s="65" t="n">
        <v>235</v>
      </c>
      <c r="C752" s="65" t="inlineStr">
        <is>
          <t>00-00000757</t>
        </is>
      </c>
      <c r="D752" s="65" t="inlineStr">
        <is>
          <t>S00052</t>
        </is>
      </c>
      <c r="E752" s="65" t="inlineStr">
        <is>
          <t>FREDI MARQUEZ</t>
        </is>
      </c>
      <c r="F752" s="63" t="inlineStr">
        <is>
          <t>151.273,46</t>
        </is>
      </c>
      <c r="G752" s="63" t="inlineStr">
        <is>
          <t>175.477,21</t>
        </is>
      </c>
      <c r="H752" s="63" t="inlineStr">
        <is>
          <t>259,99</t>
        </is>
      </c>
      <c r="I752" s="63" t="inlineStr">
        <is>
          <t>674,93</t>
        </is>
      </c>
      <c r="J752" s="65" t="n"/>
      <c r="K752" s="65" t="n">
        <v>602</v>
      </c>
      <c r="L752" s="65" t="inlineStr">
        <is>
          <t>[0602] SINOCO SAE 50 (PAILA)</t>
        </is>
      </c>
      <c r="M752" s="63" t="inlineStr">
        <is>
          <t>57,76</t>
        </is>
      </c>
      <c r="N752" s="63" t="inlineStr">
        <is>
          <t>4,00</t>
        </is>
      </c>
      <c r="O752" s="63" t="inlineStr">
        <is>
          <t>2,99</t>
        </is>
      </c>
      <c r="P752" s="63" t="inlineStr">
        <is>
          <t>224,13</t>
        </is>
      </c>
      <c r="Q752" s="63" t="inlineStr">
        <is>
          <t>259,99</t>
        </is>
      </c>
    </row>
    <row r="753">
      <c r="A753" s="66" t="n">
        <v>46210</v>
      </c>
      <c r="B753" s="65" t="n">
        <v>234</v>
      </c>
      <c r="C753" s="65" t="inlineStr">
        <is>
          <t>00-00000756</t>
        </is>
      </c>
      <c r="D753" s="65" t="inlineStr">
        <is>
          <t>S00049</t>
        </is>
      </c>
      <c r="E753" s="65" t="inlineStr">
        <is>
          <t>Marlene Herrera</t>
        </is>
      </c>
      <c r="F753" s="63" t="inlineStr">
        <is>
          <t>510.281,21</t>
        </is>
      </c>
      <c r="G753" s="63" t="inlineStr">
        <is>
          <t>591.926,20</t>
        </is>
      </c>
      <c r="H753" s="63" t="inlineStr">
        <is>
          <t>876,96</t>
        </is>
      </c>
      <c r="I753" s="63" t="inlineStr">
        <is>
          <t>674,93</t>
        </is>
      </c>
      <c r="J753" s="65" t="n">
        <v>312</v>
      </c>
      <c r="K753" s="65" t="n">
        <v>602</v>
      </c>
      <c r="L753" s="65" t="inlineStr">
        <is>
          <t>[0602] SINOCO SAE 50 (PAILA)</t>
        </is>
      </c>
      <c r="M753" s="63" t="inlineStr">
        <is>
          <t>57,76</t>
        </is>
      </c>
      <c r="N753" s="63" t="inlineStr">
        <is>
          <t>3,00</t>
        </is>
      </c>
      <c r="O753" s="63" t="inlineStr">
        <is>
          <t>0,00</t>
        </is>
      </c>
      <c r="P753" s="63" t="inlineStr">
        <is>
          <t>173,28</t>
        </is>
      </c>
      <c r="Q753" s="63" t="inlineStr">
        <is>
          <t>201,00</t>
        </is>
      </c>
    </row>
    <row r="754">
      <c r="A754" s="65" t="n"/>
      <c r="B754" s="65" t="n"/>
      <c r="C754" s="65" t="n"/>
      <c r="D754" s="65" t="n"/>
      <c r="E754" s="65" t="n"/>
      <c r="F754" s="65" t="n"/>
      <c r="G754" s="65" t="n"/>
      <c r="H754" s="65" t="n"/>
      <c r="I754" s="65" t="n"/>
      <c r="J754" s="65" t="n">
        <v>412</v>
      </c>
      <c r="K754" s="65" t="n"/>
      <c r="L754" s="65" t="n"/>
      <c r="M754" s="65" t="n"/>
      <c r="N754" s="65" t="n"/>
      <c r="O754" s="65" t="n"/>
      <c r="P754" s="65" t="n"/>
      <c r="Q754" s="65" t="n"/>
    </row>
    <row r="755">
      <c r="A755" s="65" t="n"/>
      <c r="B755" s="65" t="n"/>
      <c r="C755" s="65" t="n"/>
      <c r="D755" s="65" t="n"/>
      <c r="E755" s="65" t="n"/>
      <c r="F755" s="65" t="n"/>
      <c r="G755" s="65" t="n"/>
      <c r="H755" s="65" t="n"/>
      <c r="I755" s="65" t="n"/>
      <c r="J755" s="65" t="n">
        <v>473</v>
      </c>
      <c r="K755" s="65" t="n"/>
      <c r="L755" s="65" t="n"/>
      <c r="M755" s="65" t="n"/>
      <c r="N755" s="65" t="n"/>
      <c r="O755" s="65" t="n"/>
      <c r="P755" s="65" t="n"/>
      <c r="Q755" s="65" t="n"/>
    </row>
    <row r="756">
      <c r="A756" s="65" t="n"/>
      <c r="B756" s="65" t="n"/>
      <c r="C756" s="65" t="n"/>
      <c r="D756" s="65" t="n"/>
      <c r="E756" s="65" t="n"/>
      <c r="F756" s="65" t="n"/>
      <c r="G756" s="65" t="n"/>
      <c r="H756" s="65" t="n"/>
      <c r="I756" s="65" t="n"/>
      <c r="J756" s="65" t="n">
        <v>769</v>
      </c>
      <c r="K756" s="65" t="n"/>
      <c r="L756" s="65" t="n"/>
      <c r="M756" s="65" t="n"/>
      <c r="N756" s="65" t="n"/>
      <c r="O756" s="65" t="n"/>
      <c r="P756" s="65" t="n"/>
      <c r="Q756" s="65" t="n"/>
    </row>
    <row r="757">
      <c r="A757" s="65" t="n"/>
      <c r="B757" s="65" t="n"/>
      <c r="C757" s="65" t="n"/>
      <c r="D757" s="65" t="n"/>
      <c r="E757" s="65" t="n"/>
      <c r="F757" s="65" t="n"/>
      <c r="G757" s="65" t="n"/>
      <c r="H757" s="65" t="n"/>
      <c r="I757" s="65" t="n"/>
      <c r="J757" s="65" t="n">
        <v>823</v>
      </c>
      <c r="K757" s="65" t="n"/>
      <c r="L757" s="65" t="n"/>
      <c r="M757" s="65" t="n"/>
      <c r="N757" s="65" t="n"/>
      <c r="O757" s="65" t="n"/>
      <c r="P757" s="65" t="n"/>
      <c r="Q757" s="65" t="n"/>
    </row>
    <row r="758">
      <c r="A758" s="65" t="n"/>
      <c r="B758" s="65" t="n"/>
      <c r="C758" s="65" t="n"/>
      <c r="D758" s="65" t="n"/>
      <c r="E758" s="65" t="n"/>
      <c r="F758" s="65" t="n"/>
      <c r="G758" s="65" t="n"/>
      <c r="H758" s="65" t="n"/>
      <c r="I758" s="65" t="n"/>
      <c r="J758" s="65" t="n"/>
      <c r="K758" s="65" t="n">
        <v>779</v>
      </c>
      <c r="L758" s="65" t="inlineStr">
        <is>
          <t>[0779] SINOCO SAE 20W-50 (1x12)</t>
        </is>
      </c>
      <c r="M758" s="63" t="inlineStr">
        <is>
          <t>41,38</t>
        </is>
      </c>
      <c r="N758" s="63" t="inlineStr">
        <is>
          <t>3,00</t>
        </is>
      </c>
      <c r="O758" s="63" t="inlineStr">
        <is>
          <t>0,00</t>
        </is>
      </c>
      <c r="P758" s="63" t="inlineStr">
        <is>
          <t>124,14</t>
        </is>
      </c>
      <c r="Q758" s="63" t="inlineStr">
        <is>
          <t>144,00</t>
        </is>
      </c>
    </row>
    <row r="759">
      <c r="A759" s="65" t="n"/>
      <c r="B759" s="65" t="n"/>
      <c r="C759" s="65" t="n"/>
      <c r="D759" s="65" t="n"/>
      <c r="E759" s="65" t="n"/>
      <c r="F759" s="65" t="n"/>
      <c r="G759" s="65" t="n"/>
      <c r="H759" s="65" t="n"/>
      <c r="I759" s="65" t="n"/>
      <c r="J759" s="65" t="n"/>
      <c r="K759" s="65" t="n">
        <v>915</v>
      </c>
      <c r="L759" s="65" t="inlineStr">
        <is>
          <t>[0915] SINOCO SAE 50 (1x12)</t>
        </is>
      </c>
      <c r="M759" s="63" t="inlineStr">
        <is>
          <t>41,38</t>
        </is>
      </c>
      <c r="N759" s="63" t="inlineStr">
        <is>
          <t>3,00</t>
        </is>
      </c>
      <c r="O759" s="63" t="inlineStr">
        <is>
          <t>0,00</t>
        </is>
      </c>
      <c r="P759" s="63" t="inlineStr">
        <is>
          <t>124,14</t>
        </is>
      </c>
      <c r="Q759" s="63" t="inlineStr">
        <is>
          <t>144,00</t>
        </is>
      </c>
    </row>
    <row r="760">
      <c r="A760" s="65" t="n"/>
      <c r="B760" s="65" t="n"/>
      <c r="C760" s="65" t="n"/>
      <c r="D760" s="65" t="n"/>
      <c r="E760" s="65" t="n"/>
      <c r="F760" s="65" t="n"/>
      <c r="G760" s="65" t="n"/>
      <c r="H760" s="65" t="n"/>
      <c r="I760" s="65" t="n"/>
      <c r="J760" s="65" t="n"/>
      <c r="K760" s="65" t="n">
        <v>878</v>
      </c>
      <c r="L760" s="65" t="inlineStr">
        <is>
          <t>[0878] SS EXTRA PROTECCION API SN SAE 20W-50 (1x12)</t>
        </is>
      </c>
      <c r="M760" s="63" t="inlineStr">
        <is>
          <t>62,07</t>
        </is>
      </c>
      <c r="N760" s="63" t="inlineStr">
        <is>
          <t>1,00</t>
        </is>
      </c>
      <c r="O760" s="63" t="inlineStr">
        <is>
          <t>0,00</t>
        </is>
      </c>
      <c r="P760" s="63" t="inlineStr">
        <is>
          <t>62,07</t>
        </is>
      </c>
      <c r="Q760" s="63" t="inlineStr">
        <is>
          <t>72,00</t>
        </is>
      </c>
    </row>
    <row r="761">
      <c r="A761" s="65" t="n"/>
      <c r="B761" s="65" t="n"/>
      <c r="C761" s="65" t="n"/>
      <c r="D761" s="65" t="n"/>
      <c r="E761" s="65" t="n"/>
      <c r="F761" s="65" t="n"/>
      <c r="G761" s="65" t="n"/>
      <c r="H761" s="65" t="n"/>
      <c r="I761" s="65" t="n"/>
      <c r="J761" s="65" t="n"/>
      <c r="K761" s="65" t="n">
        <v>881</v>
      </c>
      <c r="L761" s="65" t="inlineStr">
        <is>
          <t>[0881] CLASICO API SL SAE 20W-50 (1x12)</t>
        </is>
      </c>
      <c r="M761" s="63" t="inlineStr">
        <is>
          <t>54,31</t>
        </is>
      </c>
      <c r="N761" s="63" t="inlineStr">
        <is>
          <t>2,00</t>
        </is>
      </c>
      <c r="O761" s="63" t="inlineStr">
        <is>
          <t>0,00</t>
        </is>
      </c>
      <c r="P761" s="63" t="inlineStr">
        <is>
          <t>108,62</t>
        </is>
      </c>
      <c r="Q761" s="63" t="inlineStr">
        <is>
          <t>126,00</t>
        </is>
      </c>
    </row>
    <row r="762">
      <c r="A762" s="65" t="n"/>
      <c r="B762" s="65" t="n"/>
      <c r="C762" s="65" t="n"/>
      <c r="D762" s="65" t="n"/>
      <c r="E762" s="65" t="n"/>
      <c r="F762" s="65" t="n"/>
      <c r="G762" s="65" t="n"/>
      <c r="H762" s="65" t="n"/>
      <c r="I762" s="65" t="n"/>
      <c r="J762" s="65" t="n"/>
      <c r="K762" s="65" t="n">
        <v>887</v>
      </c>
      <c r="L762" s="65" t="inlineStr">
        <is>
          <t>[0887] MOTOCLASICO 4T SAE 20W-50 (1x12)</t>
        </is>
      </c>
      <c r="M762" s="63" t="inlineStr">
        <is>
          <t>56,90</t>
        </is>
      </c>
      <c r="N762" s="63" t="inlineStr">
        <is>
          <t>1,00</t>
        </is>
      </c>
      <c r="O762" s="63" t="inlineStr">
        <is>
          <t>0,00</t>
        </is>
      </c>
      <c r="P762" s="63" t="inlineStr">
        <is>
          <t>56,90</t>
        </is>
      </c>
      <c r="Q762" s="63" t="inlineStr">
        <is>
          <t>66,00</t>
        </is>
      </c>
    </row>
    <row r="763">
      <c r="A763" s="65" t="n"/>
      <c r="B763" s="65" t="n"/>
      <c r="C763" s="65" t="n"/>
      <c r="D763" s="65" t="n"/>
      <c r="E763" s="65" t="n"/>
      <c r="F763" s="65" t="n"/>
      <c r="G763" s="65" t="n"/>
      <c r="H763" s="65" t="n"/>
      <c r="I763" s="65" t="n"/>
      <c r="J763" s="65" t="n"/>
      <c r="K763" s="65" t="n">
        <v>87</v>
      </c>
      <c r="L763" s="65" t="inlineStr">
        <is>
          <t>[0087] ENDUROGLOB 2T AIRE (1x6)</t>
        </is>
      </c>
      <c r="M763" s="63" t="inlineStr">
        <is>
          <t>28,45</t>
        </is>
      </c>
      <c r="N763" s="63" t="inlineStr">
        <is>
          <t>1,00</t>
        </is>
      </c>
      <c r="O763" s="63" t="inlineStr">
        <is>
          <t>0,00</t>
        </is>
      </c>
      <c r="P763" s="63" t="inlineStr">
        <is>
          <t>28,45</t>
        </is>
      </c>
      <c r="Q763" s="63" t="inlineStr">
        <is>
          <t>33,00</t>
        </is>
      </c>
    </row>
    <row r="764">
      <c r="A764" s="65" t="n"/>
      <c r="B764" s="65" t="n"/>
      <c r="C764" s="65" t="n"/>
      <c r="D764" s="65" t="n"/>
      <c r="E764" s="65" t="n"/>
      <c r="F764" s="65" t="n"/>
      <c r="G764" s="65" t="n"/>
      <c r="H764" s="65" t="n"/>
      <c r="I764" s="65" t="n"/>
      <c r="J764" s="65" t="n"/>
      <c r="K764" s="65" t="n">
        <v>884</v>
      </c>
      <c r="L764" s="65" t="inlineStr">
        <is>
          <t>[0884] TRANSMATIC ATF DEXRON III (1x12)</t>
        </is>
      </c>
      <c r="M764" s="63" t="inlineStr">
        <is>
          <t>57,76</t>
        </is>
      </c>
      <c r="N764" s="63" t="inlineStr">
        <is>
          <t>1,00</t>
        </is>
      </c>
      <c r="O764" s="63" t="inlineStr">
        <is>
          <t>0,00</t>
        </is>
      </c>
      <c r="P764" s="63" t="inlineStr">
        <is>
          <t>57,76</t>
        </is>
      </c>
      <c r="Q764" s="63" t="inlineStr">
        <is>
          <t>67,00</t>
        </is>
      </c>
    </row>
    <row r="765">
      <c r="A765" s="65" t="n"/>
      <c r="B765" s="65" t="n"/>
      <c r="C765" s="65" t="n"/>
      <c r="D765" s="65" t="n"/>
      <c r="E765" s="65" t="n"/>
      <c r="F765" s="65" t="n"/>
      <c r="G765" s="65" t="n"/>
      <c r="H765" s="65" t="n"/>
      <c r="I765" s="65" t="n"/>
      <c r="J765" s="65" t="n"/>
      <c r="K765" s="65" t="n">
        <v>761</v>
      </c>
      <c r="L765" s="65" t="inlineStr">
        <is>
          <t>[0761] LIGA PARA FRENOS DOT-3 (1x12)</t>
        </is>
      </c>
      <c r="M765" s="63" t="inlineStr">
        <is>
          <t>20,69</t>
        </is>
      </c>
      <c r="N765" s="63" t="inlineStr">
        <is>
          <t>1,00</t>
        </is>
      </c>
      <c r="O765" s="63" t="inlineStr">
        <is>
          <t>0,00</t>
        </is>
      </c>
      <c r="P765" s="63" t="inlineStr">
        <is>
          <t>20,69</t>
        </is>
      </c>
      <c r="Q765" s="63" t="inlineStr">
        <is>
          <t>24,00</t>
        </is>
      </c>
    </row>
    <row r="766">
      <c r="A766" s="66" t="n">
        <v>46210</v>
      </c>
      <c r="B766" s="65" t="n">
        <v>233</v>
      </c>
      <c r="C766" s="65" t="inlineStr">
        <is>
          <t>00-00000755</t>
        </is>
      </c>
      <c r="D766" s="65" t="inlineStr">
        <is>
          <t>S00057</t>
        </is>
      </c>
      <c r="E766" s="65" t="inlineStr">
        <is>
          <t>Comercial Rio Paraguas C.A</t>
        </is>
      </c>
      <c r="F766" s="63" t="inlineStr">
        <is>
          <t>56.645,24</t>
        </is>
      </c>
      <c r="G766" s="63" t="inlineStr">
        <is>
          <t>65.708,48</t>
        </is>
      </c>
      <c r="H766" s="63" t="inlineStr">
        <is>
          <t>97,33</t>
        </is>
      </c>
      <c r="I766" s="63" t="inlineStr">
        <is>
          <t>674,93</t>
        </is>
      </c>
      <c r="J766" s="65" t="n">
        <v>71</v>
      </c>
      <c r="K766" s="65" t="n">
        <v>775</v>
      </c>
      <c r="L766" s="65" t="inlineStr">
        <is>
          <t>[0775] LIGA PARA FRENOS DOT-4 (1X12)</t>
        </is>
      </c>
      <c r="M766" s="63" t="inlineStr">
        <is>
          <t>55,60</t>
        </is>
      </c>
      <c r="N766" s="63" t="inlineStr">
        <is>
          <t>1,00</t>
        </is>
      </c>
      <c r="O766" s="63" t="inlineStr">
        <is>
          <t>28,68</t>
        </is>
      </c>
      <c r="P766" s="63" t="inlineStr">
        <is>
          <t>39,65</t>
        </is>
      </c>
      <c r="Q766" s="63" t="inlineStr">
        <is>
          <t>46,00</t>
        </is>
      </c>
    </row>
    <row r="767">
      <c r="A767" s="65" t="n"/>
      <c r="B767" s="65" t="n"/>
      <c r="C767" s="65" t="n"/>
      <c r="D767" s="65" t="n"/>
      <c r="E767" s="65" t="n"/>
      <c r="F767" s="65" t="n"/>
      <c r="G767" s="65" t="n"/>
      <c r="H767" s="65" t="n"/>
      <c r="I767" s="65" t="n"/>
      <c r="J767" s="65" t="n"/>
      <c r="K767" s="65" t="n">
        <v>789</v>
      </c>
      <c r="L767" s="65" t="inlineStr">
        <is>
          <t>[0789] REFRIGERANTE GLOBAL VERDE (1X3)</t>
        </is>
      </c>
      <c r="M767" s="63" t="inlineStr">
        <is>
          <t>31,03</t>
        </is>
      </c>
      <c r="N767" s="63" t="inlineStr">
        <is>
          <t>1,00</t>
        </is>
      </c>
      <c r="O767" s="63" t="inlineStr">
        <is>
          <t>28,66</t>
        </is>
      </c>
      <c r="P767" s="63" t="inlineStr">
        <is>
          <t>22,14</t>
        </is>
      </c>
      <c r="Q767" s="63" t="inlineStr">
        <is>
          <t>25,68</t>
        </is>
      </c>
    </row>
    <row r="768">
      <c r="A768" s="65" t="n"/>
      <c r="B768" s="65" t="n"/>
      <c r="C768" s="65" t="n"/>
      <c r="D768" s="65" t="n"/>
      <c r="E768" s="65" t="n"/>
      <c r="F768" s="65" t="n"/>
      <c r="G768" s="65" t="n"/>
      <c r="H768" s="65" t="n"/>
      <c r="I768" s="65" t="n"/>
      <c r="J768" s="65" t="n"/>
      <c r="K768" s="65" t="n">
        <v>792</v>
      </c>
      <c r="L768" s="65" t="inlineStr">
        <is>
          <t>[0792] REFRIGERANTE GLOBAL ROJO (1X3)</t>
        </is>
      </c>
      <c r="M768" s="63" t="inlineStr">
        <is>
          <t>31,03</t>
        </is>
      </c>
      <c r="N768" s="63" t="inlineStr">
        <is>
          <t>1,00</t>
        </is>
      </c>
      <c r="O768" s="63" t="inlineStr">
        <is>
          <t>28,66</t>
        </is>
      </c>
      <c r="P768" s="63" t="inlineStr">
        <is>
          <t>22,14</t>
        </is>
      </c>
      <c r="Q768" s="63" t="inlineStr">
        <is>
          <t>25,68</t>
        </is>
      </c>
    </row>
    <row r="769">
      <c r="A769" s="66" t="n">
        <v>46210</v>
      </c>
      <c r="B769" s="65" t="n">
        <v>232</v>
      </c>
      <c r="C769" s="65" t="inlineStr">
        <is>
          <t>00-00000754</t>
        </is>
      </c>
      <c r="D769" s="65" t="inlineStr">
        <is>
          <t>S00058</t>
        </is>
      </c>
      <c r="E769" s="65" t="inlineStr">
        <is>
          <t>Repuestos y Accesorios chaustre 2024</t>
        </is>
      </c>
      <c r="F769" s="63" t="inlineStr">
        <is>
          <t>167.571,74</t>
        </is>
      </c>
      <c r="G769" s="63" t="inlineStr">
        <is>
          <t>194.383,22</t>
        </is>
      </c>
      <c r="H769" s="63" t="inlineStr">
        <is>
          <t>287,98</t>
        </is>
      </c>
      <c r="I769" s="63" t="inlineStr">
        <is>
          <t>674,93</t>
        </is>
      </c>
      <c r="J769" s="65" t="n"/>
      <c r="K769" s="65" t="n">
        <v>779</v>
      </c>
      <c r="L769" s="65" t="inlineStr">
        <is>
          <t>[0779] SINOCO SAE 20W-50 (1x12)</t>
        </is>
      </c>
      <c r="M769" s="63" t="inlineStr">
        <is>
          <t>62,07</t>
        </is>
      </c>
      <c r="N769" s="63" t="inlineStr">
        <is>
          <t>2,00</t>
        </is>
      </c>
      <c r="O769" s="63" t="inlineStr">
        <is>
          <t>0,00</t>
        </is>
      </c>
      <c r="P769" s="63" t="inlineStr">
        <is>
          <t>124,14</t>
        </is>
      </c>
      <c r="Q769" s="63" t="inlineStr">
        <is>
          <t>144,00</t>
        </is>
      </c>
    </row>
    <row r="770">
      <c r="A770" s="65" t="n"/>
      <c r="B770" s="65" t="n"/>
      <c r="C770" s="65" t="n"/>
      <c r="D770" s="65" t="n"/>
      <c r="E770" s="65" t="n"/>
      <c r="F770" s="65" t="n"/>
      <c r="G770" s="65" t="n"/>
      <c r="H770" s="65" t="n"/>
      <c r="I770" s="65" t="n"/>
      <c r="J770" s="65" t="n"/>
      <c r="K770" s="65" t="n">
        <v>915</v>
      </c>
      <c r="L770" s="65" t="inlineStr">
        <is>
          <t>[0915] SINOCO SAE 50 (1x12)</t>
        </is>
      </c>
      <c r="M770" s="63" t="inlineStr">
        <is>
          <t>62,07</t>
        </is>
      </c>
      <c r="N770" s="63" t="inlineStr">
        <is>
          <t>2,00</t>
        </is>
      </c>
      <c r="O770" s="63" t="inlineStr">
        <is>
          <t>0,00</t>
        </is>
      </c>
      <c r="P770" s="63" t="inlineStr">
        <is>
          <t>124,14</t>
        </is>
      </c>
      <c r="Q770" s="63" t="inlineStr">
        <is>
          <t>144,00</t>
        </is>
      </c>
    </row>
    <row r="771">
      <c r="A771" s="66" t="n">
        <v>46210</v>
      </c>
      <c r="B771" s="65" t="n">
        <v>231</v>
      </c>
      <c r="C771" s="65" t="inlineStr">
        <is>
          <t>00-00000753</t>
        </is>
      </c>
      <c r="D771" s="65" t="inlineStr">
        <is>
          <t>S00054</t>
        </is>
      </c>
      <c r="E771" s="65" t="inlineStr">
        <is>
          <t>Corporación Lubricantes 7ma Av.C.A</t>
        </is>
      </c>
      <c r="F771" s="63" t="inlineStr">
        <is>
          <t>452.952,61</t>
        </is>
      </c>
      <c r="G771" s="63" t="inlineStr">
        <is>
          <t>525.425,03</t>
        </is>
      </c>
      <c r="H771" s="63" t="inlineStr">
        <is>
          <t>778,46</t>
        </is>
      </c>
      <c r="I771" s="63" t="inlineStr">
        <is>
          <t>674,93</t>
        </is>
      </c>
      <c r="J771" s="65" t="n">
        <v>74</v>
      </c>
      <c r="K771" s="65" t="n">
        <v>884</v>
      </c>
      <c r="L771" s="65" t="inlineStr">
        <is>
          <t>[0884] TRANSMATIC ATF DEXRON III (1x12)</t>
        </is>
      </c>
      <c r="M771" s="63" t="inlineStr">
        <is>
          <t>86,64</t>
        </is>
      </c>
      <c r="N771" s="63" t="inlineStr">
        <is>
          <t>1,00</t>
        </is>
      </c>
      <c r="O771" s="63" t="inlineStr">
        <is>
          <t>0,00</t>
        </is>
      </c>
      <c r="P771" s="63" t="inlineStr">
        <is>
          <t>86,64</t>
        </is>
      </c>
      <c r="Q771" s="63" t="inlineStr">
        <is>
          <t>100,50</t>
        </is>
      </c>
    </row>
    <row r="772">
      <c r="A772" s="65" t="n"/>
      <c r="B772" s="65" t="n"/>
      <c r="C772" s="65" t="n"/>
      <c r="D772" s="65" t="n"/>
      <c r="E772" s="65" t="n"/>
      <c r="F772" s="65" t="n"/>
      <c r="G772" s="65" t="n"/>
      <c r="H772" s="65" t="n"/>
      <c r="I772" s="65" t="n"/>
      <c r="J772" s="65" t="n">
        <v>246</v>
      </c>
      <c r="K772" s="65" t="n"/>
      <c r="L772" s="65" t="n"/>
      <c r="M772" s="65" t="n"/>
      <c r="N772" s="65" t="n"/>
      <c r="O772" s="65" t="n"/>
      <c r="P772" s="65" t="n"/>
      <c r="Q772" s="65" t="n"/>
    </row>
    <row r="773">
      <c r="A773" s="65" t="n"/>
      <c r="B773" s="65" t="n"/>
      <c r="C773" s="65" t="n"/>
      <c r="D773" s="65" t="n"/>
      <c r="E773" s="65" t="n"/>
      <c r="F773" s="65" t="n"/>
      <c r="G773" s="65" t="n"/>
      <c r="H773" s="65" t="n"/>
      <c r="I773" s="65" t="n"/>
      <c r="J773" s="65" t="n">
        <v>453</v>
      </c>
      <c r="K773" s="65" t="n"/>
      <c r="L773" s="65" t="n"/>
      <c r="M773" s="65" t="n"/>
      <c r="N773" s="65" t="n"/>
      <c r="O773" s="65" t="n"/>
      <c r="P773" s="65" t="n"/>
      <c r="Q773" s="65" t="n"/>
    </row>
    <row r="774">
      <c r="A774" s="65" t="n"/>
      <c r="B774" s="65" t="n"/>
      <c r="C774" s="65" t="n"/>
      <c r="D774" s="65" t="n"/>
      <c r="E774" s="65" t="n"/>
      <c r="F774" s="65" t="n"/>
      <c r="G774" s="65" t="n"/>
      <c r="H774" s="65" t="n"/>
      <c r="I774" s="65" t="n"/>
      <c r="J774" s="65" t="n">
        <v>586</v>
      </c>
      <c r="K774" s="65" t="n"/>
      <c r="L774" s="65" t="n"/>
      <c r="M774" s="65" t="n"/>
      <c r="N774" s="65" t="n"/>
      <c r="O774" s="65" t="n"/>
      <c r="P774" s="65" t="n"/>
      <c r="Q774" s="65" t="n"/>
    </row>
    <row r="775">
      <c r="A775" s="65" t="n"/>
      <c r="B775" s="65" t="n"/>
      <c r="C775" s="65" t="n"/>
      <c r="D775" s="65" t="n"/>
      <c r="E775" s="65" t="n"/>
      <c r="F775" s="65" t="n"/>
      <c r="G775" s="65" t="n"/>
      <c r="H775" s="65" t="n"/>
      <c r="I775" s="65" t="n"/>
      <c r="J775" s="65" t="n"/>
      <c r="K775" s="65" t="n">
        <v>880</v>
      </c>
      <c r="L775" s="65" t="inlineStr">
        <is>
          <t>[0880] CLASICO API SL SAE 15W-40 (1x12)</t>
        </is>
      </c>
      <c r="M775" s="63" t="inlineStr">
        <is>
          <t>80,17</t>
        </is>
      </c>
      <c r="N775" s="63" t="inlineStr">
        <is>
          <t>2,00</t>
        </is>
      </c>
      <c r="O775" s="63" t="inlineStr">
        <is>
          <t>0,00</t>
        </is>
      </c>
      <c r="P775" s="63" t="inlineStr">
        <is>
          <t>160,34</t>
        </is>
      </c>
      <c r="Q775" s="63" t="inlineStr">
        <is>
          <t>185,99</t>
        </is>
      </c>
    </row>
    <row r="776">
      <c r="A776" s="65" t="n"/>
      <c r="B776" s="65" t="n"/>
      <c r="C776" s="65" t="n"/>
      <c r="D776" s="65" t="n"/>
      <c r="E776" s="65" t="n"/>
      <c r="F776" s="65" t="n"/>
      <c r="G776" s="65" t="n"/>
      <c r="H776" s="65" t="n"/>
      <c r="I776" s="65" t="n"/>
      <c r="J776" s="65" t="n"/>
      <c r="K776" s="65" t="n">
        <v>877</v>
      </c>
      <c r="L776" s="65" t="inlineStr">
        <is>
          <t>[0877] SS EXTRA PROTECCION API SN SAE 15W-40 (1X12)</t>
        </is>
      </c>
      <c r="M776" s="63" t="inlineStr">
        <is>
          <t>93,10</t>
        </is>
      </c>
      <c r="N776" s="63" t="inlineStr">
        <is>
          <t>2,00</t>
        </is>
      </c>
      <c r="O776" s="63" t="inlineStr">
        <is>
          <t>0,00</t>
        </is>
      </c>
      <c r="P776" s="63" t="inlineStr">
        <is>
          <t>186,20</t>
        </is>
      </c>
      <c r="Q776" s="63" t="inlineStr">
        <is>
          <t>215,99</t>
        </is>
      </c>
    </row>
    <row r="777">
      <c r="A777" s="65" t="n"/>
      <c r="B777" s="65" t="n"/>
      <c r="C777" s="65" t="n"/>
      <c r="D777" s="65" t="n"/>
      <c r="E777" s="65" t="n"/>
      <c r="F777" s="65" t="n"/>
      <c r="G777" s="65" t="n"/>
      <c r="H777" s="65" t="n"/>
      <c r="I777" s="65" t="n"/>
      <c r="J777" s="65" t="n"/>
      <c r="K777" s="65" t="n">
        <v>121</v>
      </c>
      <c r="L777" s="65" t="inlineStr">
        <is>
          <t>[0121] TRANSGLOB API GL-5 SAE 80W-90 (1x6)</t>
        </is>
      </c>
      <c r="M777" s="63" t="inlineStr">
        <is>
          <t>46,55</t>
        </is>
      </c>
      <c r="N777" s="63" t="inlineStr">
        <is>
          <t>1,00</t>
        </is>
      </c>
      <c r="O777" s="63" t="inlineStr">
        <is>
          <t>0,00</t>
        </is>
      </c>
      <c r="P777" s="63" t="inlineStr">
        <is>
          <t>46,55</t>
        </is>
      </c>
      <c r="Q777" s="63" t="inlineStr">
        <is>
          <t>54,00</t>
        </is>
      </c>
    </row>
    <row r="778">
      <c r="A778" s="65" t="n"/>
      <c r="B778" s="65" t="n"/>
      <c r="C778" s="65" t="n"/>
      <c r="D778" s="65" t="n"/>
      <c r="E778" s="65" t="n"/>
      <c r="F778" s="65" t="n"/>
      <c r="G778" s="65" t="n"/>
      <c r="H778" s="65" t="n"/>
      <c r="I778" s="65" t="n"/>
      <c r="J778" s="65" t="n"/>
      <c r="K778" s="65" t="n">
        <v>915</v>
      </c>
      <c r="L778" s="65" t="inlineStr">
        <is>
          <t>[0915] SINOCO SAE 50 (1x12)</t>
        </is>
      </c>
      <c r="M778" s="63" t="inlineStr">
        <is>
          <t>62,07</t>
        </is>
      </c>
      <c r="N778" s="63" t="inlineStr">
        <is>
          <t>1,00</t>
        </is>
      </c>
      <c r="O778" s="63" t="inlineStr">
        <is>
          <t>0,00</t>
        </is>
      </c>
      <c r="P778" s="63" t="inlineStr">
        <is>
          <t>62,07</t>
        </is>
      </c>
      <c r="Q778" s="63" t="inlineStr">
        <is>
          <t>72,00</t>
        </is>
      </c>
    </row>
    <row r="779">
      <c r="A779" s="65" t="n"/>
      <c r="B779" s="65" t="n"/>
      <c r="C779" s="65" t="n"/>
      <c r="D779" s="65" t="n"/>
      <c r="E779" s="65" t="n"/>
      <c r="F779" s="65" t="n"/>
      <c r="G779" s="65" t="n"/>
      <c r="H779" s="65" t="n"/>
      <c r="I779" s="65" t="n"/>
      <c r="J779" s="65" t="n"/>
      <c r="K779" s="65" t="n">
        <v>93</v>
      </c>
      <c r="L779" s="65" t="inlineStr">
        <is>
          <t>[0093] ALTA CILINDRADA SS API SN SAE 15W-40 (1x6)</t>
        </is>
      </c>
      <c r="M779" s="63" t="inlineStr">
        <is>
          <t>43,97</t>
        </is>
      </c>
      <c r="N779" s="63" t="inlineStr">
        <is>
          <t>1,00</t>
        </is>
      </c>
      <c r="O779" s="63" t="inlineStr">
        <is>
          <t>0,00</t>
        </is>
      </c>
      <c r="P779" s="63" t="inlineStr">
        <is>
          <t>43,97</t>
        </is>
      </c>
      <c r="Q779" s="63" t="inlineStr">
        <is>
          <t>51,01</t>
        </is>
      </c>
    </row>
    <row r="780">
      <c r="A780" s="65" t="n"/>
      <c r="B780" s="65" t="n"/>
      <c r="C780" s="65" t="n"/>
      <c r="D780" s="65" t="n"/>
      <c r="E780" s="65" t="n"/>
      <c r="F780" s="65" t="n"/>
      <c r="G780" s="65" t="n"/>
      <c r="H780" s="65" t="n"/>
      <c r="I780" s="65" t="n"/>
      <c r="J780" s="65" t="n"/>
      <c r="K780" s="65" t="n">
        <v>887</v>
      </c>
      <c r="L780" s="65" t="inlineStr">
        <is>
          <t>[0887] MOTOCLASICO 4T SAE 20W-50 (1x12)</t>
        </is>
      </c>
      <c r="M780" s="63" t="inlineStr">
        <is>
          <t>85,34</t>
        </is>
      </c>
      <c r="N780" s="63" t="inlineStr">
        <is>
          <t>1,00</t>
        </is>
      </c>
      <c r="O780" s="63" t="inlineStr">
        <is>
          <t>0,00</t>
        </is>
      </c>
      <c r="P780" s="63" t="inlineStr">
        <is>
          <t>85,34</t>
        </is>
      </c>
      <c r="Q780" s="63" t="inlineStr">
        <is>
          <t>98,99</t>
        </is>
      </c>
    </row>
    <row r="781">
      <c r="A781" s="66" t="n">
        <v>46210</v>
      </c>
      <c r="B781" s="65" t="n">
        <v>230</v>
      </c>
      <c r="C781" s="65" t="inlineStr">
        <is>
          <t>00-00000752</t>
        </is>
      </c>
      <c r="D781" s="65" t="inlineStr">
        <is>
          <t>S00072</t>
        </is>
      </c>
      <c r="E781" s="65" t="inlineStr">
        <is>
          <t>DISTRIBUIDORA PINOS 181297 C.A</t>
        </is>
      </c>
      <c r="F781" s="63" t="inlineStr">
        <is>
          <t>53.687,10</t>
        </is>
      </c>
      <c r="G781" s="63" t="inlineStr">
        <is>
          <t>62.277,04</t>
        </is>
      </c>
      <c r="H781" s="63" t="inlineStr">
        <is>
          <t>92,26</t>
        </is>
      </c>
      <c r="I781" s="63" t="inlineStr">
        <is>
          <t>674,93</t>
        </is>
      </c>
      <c r="J781" s="65" t="n"/>
      <c r="K781" s="65" t="n">
        <v>121</v>
      </c>
      <c r="L781" s="65" t="inlineStr">
        <is>
          <t>[0121] TRANSGLOB API GL-5 SAE 80W-90 (1x6)</t>
        </is>
      </c>
      <c r="M781" s="63" t="inlineStr">
        <is>
          <t>46,55</t>
        </is>
      </c>
      <c r="N781" s="63" t="inlineStr">
        <is>
          <t>1,00</t>
        </is>
      </c>
      <c r="O781" s="63" t="inlineStr">
        <is>
          <t>14,56</t>
        </is>
      </c>
      <c r="P781" s="63" t="inlineStr">
        <is>
          <t>39,77</t>
        </is>
      </c>
      <c r="Q781" s="63" t="inlineStr">
        <is>
          <t>46,14</t>
        </is>
      </c>
    </row>
    <row r="782">
      <c r="A782" s="65" t="n"/>
      <c r="B782" s="65" t="n"/>
      <c r="C782" s="65" t="n"/>
      <c r="D782" s="65" t="n"/>
      <c r="E782" s="65" t="n"/>
      <c r="F782" s="65" t="n"/>
      <c r="G782" s="65" t="n"/>
      <c r="H782" s="65" t="n"/>
      <c r="I782" s="65" t="n"/>
      <c r="J782" s="65" t="n"/>
      <c r="K782" s="65" t="n">
        <v>127</v>
      </c>
      <c r="L782" s="65" t="inlineStr">
        <is>
          <t>[0127] TRANSGLOB API GL-5 SAE 85W-140 (1x6)</t>
        </is>
      </c>
      <c r="M782" s="63" t="inlineStr">
        <is>
          <t>46,55</t>
        </is>
      </c>
      <c r="N782" s="63" t="inlineStr">
        <is>
          <t>1,00</t>
        </is>
      </c>
      <c r="O782" s="63" t="inlineStr">
        <is>
          <t>14,56</t>
        </is>
      </c>
      <c r="P782" s="63" t="inlineStr">
        <is>
          <t>39,77</t>
        </is>
      </c>
      <c r="Q782" s="63" t="inlineStr">
        <is>
          <t>46,14</t>
        </is>
      </c>
    </row>
    <row r="783">
      <c r="A783" s="66" t="n">
        <v>46210</v>
      </c>
      <c r="B783" s="65" t="n">
        <v>229</v>
      </c>
      <c r="C783" s="65" t="inlineStr">
        <is>
          <t>00-00000751</t>
        </is>
      </c>
      <c r="D783" s="65" t="inlineStr">
        <is>
          <t>S00069</t>
        </is>
      </c>
      <c r="E783" s="65" t="inlineStr">
        <is>
          <t>Katiuska Alejandra Curvelo</t>
        </is>
      </c>
      <c r="F783" s="63" t="inlineStr">
        <is>
          <t>292.663,38</t>
        </is>
      </c>
      <c r="G783" s="63" t="inlineStr">
        <is>
          <t>339.489,52</t>
        </is>
      </c>
      <c r="H783" s="63" t="inlineStr">
        <is>
          <t>502,96</t>
        </is>
      </c>
      <c r="I783" s="63" t="inlineStr">
        <is>
          <t>674,93</t>
        </is>
      </c>
      <c r="J783" s="65" t="n"/>
      <c r="K783" s="65" t="n">
        <v>877</v>
      </c>
      <c r="L783" s="65" t="inlineStr">
        <is>
          <t>[0877] SS EXTRA PROTECCION API SN SAE 15W-40 (1X12)</t>
        </is>
      </c>
      <c r="M783" s="63" t="inlineStr">
        <is>
          <t>62,07</t>
        </is>
      </c>
      <c r="N783" s="63" t="inlineStr">
        <is>
          <t>1,00</t>
        </is>
      </c>
      <c r="O783" s="63" t="inlineStr">
        <is>
          <t>0,00</t>
        </is>
      </c>
      <c r="P783" s="63" t="inlineStr">
        <is>
          <t>62,07</t>
        </is>
      </c>
      <c r="Q783" s="63" t="inlineStr">
        <is>
          <t>72,00</t>
        </is>
      </c>
    </row>
    <row r="784">
      <c r="A784" s="65" t="n"/>
      <c r="B784" s="65" t="n"/>
      <c r="C784" s="65" t="n"/>
      <c r="D784" s="65" t="n"/>
      <c r="E784" s="65" t="n"/>
      <c r="F784" s="65" t="n"/>
      <c r="G784" s="65" t="n"/>
      <c r="H784" s="65" t="n"/>
      <c r="I784" s="65" t="n"/>
      <c r="J784" s="65" t="n"/>
      <c r="K784" s="65" t="n">
        <v>884</v>
      </c>
      <c r="L784" s="65" t="inlineStr">
        <is>
          <t>[0884] TRANSMATIC ATF DEXRON III (1x12)</t>
        </is>
      </c>
      <c r="M784" s="63" t="inlineStr">
        <is>
          <t>57,76</t>
        </is>
      </c>
      <c r="N784" s="63" t="inlineStr">
        <is>
          <t>1,00</t>
        </is>
      </c>
      <c r="O784" s="63" t="inlineStr">
        <is>
          <t>0,00</t>
        </is>
      </c>
      <c r="P784" s="63" t="inlineStr">
        <is>
          <t>57,76</t>
        </is>
      </c>
      <c r="Q784" s="63" t="inlineStr">
        <is>
          <t>67,00</t>
        </is>
      </c>
    </row>
    <row r="785">
      <c r="A785" s="65" t="n"/>
      <c r="B785" s="65" t="n"/>
      <c r="C785" s="65" t="n"/>
      <c r="D785" s="65" t="n"/>
      <c r="E785" s="65" t="n"/>
      <c r="F785" s="65" t="n"/>
      <c r="G785" s="65" t="n"/>
      <c r="H785" s="65" t="n"/>
      <c r="I785" s="65" t="n"/>
      <c r="J785" s="65" t="n"/>
      <c r="K785" s="65" t="n">
        <v>887</v>
      </c>
      <c r="L785" s="65" t="inlineStr">
        <is>
          <t>[0887] MOTOCLASICO 4T SAE 20W-50 (1x12)</t>
        </is>
      </c>
      <c r="M785" s="63" t="inlineStr">
        <is>
          <t>56,90</t>
        </is>
      </c>
      <c r="N785" s="63" t="inlineStr">
        <is>
          <t>1,00</t>
        </is>
      </c>
      <c r="O785" s="63" t="inlineStr">
        <is>
          <t>0,00</t>
        </is>
      </c>
      <c r="P785" s="63" t="inlineStr">
        <is>
          <t>56,90</t>
        </is>
      </c>
      <c r="Q785" s="63" t="inlineStr">
        <is>
          <t>66,00</t>
        </is>
      </c>
    </row>
    <row r="786">
      <c r="A786" s="65" t="n"/>
      <c r="B786" s="65" t="n"/>
      <c r="C786" s="65" t="n"/>
      <c r="D786" s="65" t="n"/>
      <c r="E786" s="65" t="n"/>
      <c r="F786" s="65" t="n"/>
      <c r="G786" s="65" t="n"/>
      <c r="H786" s="65" t="n"/>
      <c r="I786" s="65" t="n"/>
      <c r="J786" s="65" t="n"/>
      <c r="K786" s="65" t="n">
        <v>881</v>
      </c>
      <c r="L786" s="65" t="inlineStr">
        <is>
          <t>[0881] CLASICO API SL SAE 20W-50 (1x12)</t>
        </is>
      </c>
      <c r="M786" s="63" t="inlineStr">
        <is>
          <t>54,31</t>
        </is>
      </c>
      <c r="N786" s="63" t="inlineStr">
        <is>
          <t>1,00</t>
        </is>
      </c>
      <c r="O786" s="63" t="inlineStr">
        <is>
          <t>0,00</t>
        </is>
      </c>
      <c r="P786" s="63" t="inlineStr">
        <is>
          <t>54,31</t>
        </is>
      </c>
      <c r="Q786" s="63" t="inlineStr">
        <is>
          <t>63,00</t>
        </is>
      </c>
    </row>
    <row r="787">
      <c r="A787" s="65" t="n"/>
      <c r="B787" s="65" t="n"/>
      <c r="C787" s="65" t="n"/>
      <c r="D787" s="65" t="n"/>
      <c r="E787" s="65" t="n"/>
      <c r="F787" s="65" t="n"/>
      <c r="G787" s="65" t="n"/>
      <c r="H787" s="65" t="n"/>
      <c r="I787" s="65" t="n"/>
      <c r="J787" s="65" t="n"/>
      <c r="K787" s="65" t="n">
        <v>878</v>
      </c>
      <c r="L787" s="65" t="inlineStr">
        <is>
          <t>[0878] SS EXTRA PROTECCION API SN SAE 20W-50 (1x12)</t>
        </is>
      </c>
      <c r="M787" s="63" t="inlineStr">
        <is>
          <t>62,07</t>
        </is>
      </c>
      <c r="N787" s="63" t="inlineStr">
        <is>
          <t>1,00</t>
        </is>
      </c>
      <c r="O787" s="63" t="inlineStr">
        <is>
          <t>0,00</t>
        </is>
      </c>
      <c r="P787" s="63" t="inlineStr">
        <is>
          <t>62,07</t>
        </is>
      </c>
      <c r="Q787" s="63" t="inlineStr">
        <is>
          <t>72,00</t>
        </is>
      </c>
    </row>
    <row r="788">
      <c r="A788" s="65" t="n"/>
      <c r="B788" s="65" t="n"/>
      <c r="C788" s="65" t="n"/>
      <c r="D788" s="65" t="n"/>
      <c r="E788" s="65" t="n"/>
      <c r="F788" s="65" t="n"/>
      <c r="G788" s="65" t="n"/>
      <c r="H788" s="65" t="n"/>
      <c r="I788" s="65" t="n"/>
      <c r="J788" s="65" t="n"/>
      <c r="K788" s="65" t="n">
        <v>121</v>
      </c>
      <c r="L788" s="65" t="inlineStr">
        <is>
          <t>[0121] TRANSGLOB API GL-5 SAE 80W-90 (1x6)</t>
        </is>
      </c>
      <c r="M788" s="63" t="inlineStr">
        <is>
          <t>31,03</t>
        </is>
      </c>
      <c r="N788" s="63" t="inlineStr">
        <is>
          <t>1,00</t>
        </is>
      </c>
      <c r="O788" s="63" t="inlineStr">
        <is>
          <t>0,00</t>
        </is>
      </c>
      <c r="P788" s="63" t="inlineStr">
        <is>
          <t>31,03</t>
        </is>
      </c>
      <c r="Q788" s="63" t="inlineStr">
        <is>
          <t>35,99</t>
        </is>
      </c>
    </row>
    <row r="789">
      <c r="A789" s="65" t="n"/>
      <c r="B789" s="65" t="n"/>
      <c r="C789" s="65" t="n"/>
      <c r="D789" s="65" t="n"/>
      <c r="E789" s="65" t="n"/>
      <c r="F789" s="65" t="n"/>
      <c r="G789" s="65" t="n"/>
      <c r="H789" s="65" t="n"/>
      <c r="I789" s="65" t="n"/>
      <c r="J789" s="65" t="n"/>
      <c r="K789" s="65" t="n">
        <v>127</v>
      </c>
      <c r="L789" s="65" t="inlineStr">
        <is>
          <t>[0127] TRANSGLOB API GL-5 SAE 85W-140 (1x6)</t>
        </is>
      </c>
      <c r="M789" s="63" t="inlineStr">
        <is>
          <t>31,03</t>
        </is>
      </c>
      <c r="N789" s="63" t="inlineStr">
        <is>
          <t>1,00</t>
        </is>
      </c>
      <c r="O789" s="63" t="inlineStr">
        <is>
          <t>0,00</t>
        </is>
      </c>
      <c r="P789" s="63" t="inlineStr">
        <is>
          <t>31,03</t>
        </is>
      </c>
      <c r="Q789" s="63" t="inlineStr">
        <is>
          <t>35,99</t>
        </is>
      </c>
    </row>
    <row r="790">
      <c r="A790" s="65" t="n"/>
      <c r="B790" s="65" t="n"/>
      <c r="C790" s="65" t="n"/>
      <c r="D790" s="65" t="n"/>
      <c r="E790" s="65" t="n"/>
      <c r="F790" s="65" t="n"/>
      <c r="G790" s="65" t="n"/>
      <c r="H790" s="65" t="n"/>
      <c r="I790" s="65" t="n"/>
      <c r="J790" s="65" t="n"/>
      <c r="K790" s="65" t="n">
        <v>789</v>
      </c>
      <c r="L790" s="65" t="inlineStr">
        <is>
          <t>[0789] REFRIGERANTE GLOBAL VERDE (1X3)</t>
        </is>
      </c>
      <c r="M790" s="63" t="inlineStr">
        <is>
          <t>20,69</t>
        </is>
      </c>
      <c r="N790" s="63" t="inlineStr">
        <is>
          <t>1,00</t>
        </is>
      </c>
      <c r="O790" s="63" t="inlineStr">
        <is>
          <t>0,00</t>
        </is>
      </c>
      <c r="P790" s="63" t="inlineStr">
        <is>
          <t>20,69</t>
        </is>
      </c>
      <c r="Q790" s="63" t="inlineStr">
        <is>
          <t>24,00</t>
        </is>
      </c>
    </row>
    <row r="791">
      <c r="A791" s="65" t="n"/>
      <c r="B791" s="65" t="n"/>
      <c r="C791" s="65" t="n"/>
      <c r="D791" s="65" t="n"/>
      <c r="E791" s="65" t="n"/>
      <c r="F791" s="65" t="n"/>
      <c r="G791" s="65" t="n"/>
      <c r="H791" s="65" t="n"/>
      <c r="I791" s="65" t="n"/>
      <c r="J791" s="65" t="n"/>
      <c r="K791" s="65" t="n">
        <v>605</v>
      </c>
      <c r="L791" s="65" t="inlineStr">
        <is>
          <t>[0605] SINOCO SAE 20W-50 (PAILA)</t>
        </is>
      </c>
      <c r="M791" s="63" t="inlineStr">
        <is>
          <t>57,76</t>
        </is>
      </c>
      <c r="N791" s="63" t="inlineStr">
        <is>
          <t>1,00</t>
        </is>
      </c>
      <c r="O791" s="63" t="inlineStr">
        <is>
          <t>0,00</t>
        </is>
      </c>
      <c r="P791" s="63" t="inlineStr">
        <is>
          <t>57,76</t>
        </is>
      </c>
      <c r="Q791" s="63" t="inlineStr">
        <is>
          <t>67,00</t>
        </is>
      </c>
    </row>
    <row r="792">
      <c r="A792" s="66" t="n">
        <v>46210</v>
      </c>
      <c r="B792" s="65" t="n">
        <v>228</v>
      </c>
      <c r="C792" s="65" t="inlineStr">
        <is>
          <t>00-00000750</t>
        </is>
      </c>
      <c r="D792" s="65" t="inlineStr">
        <is>
          <t>S00063</t>
        </is>
      </c>
      <c r="E792" s="65" t="inlineStr">
        <is>
          <t>TorniRepuesto BA 2015, C.A</t>
        </is>
      </c>
      <c r="F792" s="63" t="inlineStr">
        <is>
          <t>48.947,26</t>
        </is>
      </c>
      <c r="G792" s="63" t="inlineStr">
        <is>
          <t>56.778,82</t>
        </is>
      </c>
      <c r="H792" s="63" t="inlineStr">
        <is>
          <t>84,12</t>
        </is>
      </c>
      <c r="I792" s="63" t="inlineStr">
        <is>
          <t>674,93</t>
        </is>
      </c>
      <c r="J792" s="65" t="n">
        <v>89</v>
      </c>
      <c r="K792" s="65" t="n">
        <v>887</v>
      </c>
      <c r="L792" s="65" t="inlineStr">
        <is>
          <t>[0887] MOTOCLASICO 4T SAE 20W-50 (1x12)</t>
        </is>
      </c>
      <c r="M792" s="63" t="inlineStr">
        <is>
          <t>85,34</t>
        </is>
      </c>
      <c r="N792" s="63" t="inlineStr">
        <is>
          <t>1,00</t>
        </is>
      </c>
      <c r="O792" s="63" t="inlineStr">
        <is>
          <t>15,02</t>
        </is>
      </c>
      <c r="P792" s="63" t="inlineStr">
        <is>
          <t>72,52</t>
        </is>
      </c>
      <c r="Q792" s="63" t="inlineStr">
        <is>
          <t>84,13</t>
        </is>
      </c>
    </row>
    <row r="793">
      <c r="A793" s="66" t="n">
        <v>46210</v>
      </c>
      <c r="B793" s="65" t="n">
        <v>227</v>
      </c>
      <c r="C793" s="65" t="inlineStr">
        <is>
          <t>00-00000749</t>
        </is>
      </c>
      <c r="D793" s="65" t="inlineStr">
        <is>
          <t>S00065</t>
        </is>
      </c>
      <c r="E793" s="65" t="inlineStr">
        <is>
          <t>Auto Servicios HN 6972, C.A</t>
        </is>
      </c>
      <c r="F793" s="63" t="inlineStr">
        <is>
          <t>253.677,52</t>
        </is>
      </c>
      <c r="G793" s="63" t="inlineStr">
        <is>
          <t>294.265,93</t>
        </is>
      </c>
      <c r="H793" s="63" t="inlineStr">
        <is>
          <t>435,96</t>
        </is>
      </c>
      <c r="I793" s="63" t="inlineStr">
        <is>
          <t>674,93</t>
        </is>
      </c>
      <c r="J793" s="65" t="n">
        <v>197</v>
      </c>
      <c r="K793" s="65" t="n">
        <v>880</v>
      </c>
      <c r="L793" s="65" t="inlineStr">
        <is>
          <t>[0880] CLASICO API SL SAE 15W-40 (1x12)</t>
        </is>
      </c>
      <c r="M793" s="63" t="inlineStr">
        <is>
          <t>80,17</t>
        </is>
      </c>
      <c r="N793" s="63" t="inlineStr">
        <is>
          <t>1,00</t>
        </is>
      </c>
      <c r="O793" s="63" t="inlineStr">
        <is>
          <t>14,76</t>
        </is>
      </c>
      <c r="P793" s="63" t="inlineStr">
        <is>
          <t>68,34</t>
        </is>
      </c>
      <c r="Q793" s="63" t="inlineStr">
        <is>
          <t>79,27</t>
        </is>
      </c>
    </row>
    <row r="794">
      <c r="A794" s="65" t="n"/>
      <c r="B794" s="65" t="n"/>
      <c r="C794" s="65" t="n"/>
      <c r="D794" s="65" t="n"/>
      <c r="E794" s="65" t="n"/>
      <c r="F794" s="65" t="n"/>
      <c r="G794" s="65" t="n"/>
      <c r="H794" s="65" t="n"/>
      <c r="I794" s="65" t="n"/>
      <c r="J794" s="65" t="n">
        <v>203</v>
      </c>
      <c r="K794" s="65" t="n"/>
      <c r="L794" s="65" t="n"/>
      <c r="M794" s="65" t="n"/>
      <c r="N794" s="65" t="n"/>
      <c r="O794" s="65" t="n"/>
      <c r="P794" s="65" t="n"/>
      <c r="Q794" s="65" t="n"/>
    </row>
    <row r="795">
      <c r="A795" s="65" t="n"/>
      <c r="B795" s="65" t="n"/>
      <c r="C795" s="65" t="n"/>
      <c r="D795" s="65" t="n"/>
      <c r="E795" s="65" t="n"/>
      <c r="F795" s="65" t="n"/>
      <c r="G795" s="65" t="n"/>
      <c r="H795" s="65" t="n"/>
      <c r="I795" s="65" t="n"/>
      <c r="J795" s="65" t="n"/>
      <c r="K795" s="65" t="n">
        <v>877</v>
      </c>
      <c r="L795" s="65" t="inlineStr">
        <is>
          <t>[0877] SS EXTRA PROTECCION API SN SAE 15W-40 (1X12)</t>
        </is>
      </c>
      <c r="M795" s="63" t="inlineStr">
        <is>
          <t>93,10</t>
        </is>
      </c>
      <c r="N795" s="63" t="inlineStr">
        <is>
          <t>2,00</t>
        </is>
      </c>
      <c r="O795" s="63" t="inlineStr">
        <is>
          <t>14,76</t>
        </is>
      </c>
      <c r="P795" s="63" t="inlineStr">
        <is>
          <t>158,72</t>
        </is>
      </c>
      <c r="Q795" s="63" t="inlineStr">
        <is>
          <t>184,11</t>
        </is>
      </c>
    </row>
    <row r="796">
      <c r="A796" s="65" t="n"/>
      <c r="B796" s="65" t="n"/>
      <c r="C796" s="65" t="n"/>
      <c r="D796" s="65" t="n"/>
      <c r="E796" s="65" t="n"/>
      <c r="F796" s="65" t="n"/>
      <c r="G796" s="65" t="n"/>
      <c r="H796" s="65" t="n"/>
      <c r="I796" s="65" t="n"/>
      <c r="J796" s="65" t="n"/>
      <c r="K796" s="65" t="n">
        <v>878</v>
      </c>
      <c r="L796" s="65" t="inlineStr">
        <is>
          <t>[0878] SS EXTRA PROTECCION API SN SAE 20W-50 (1x12)</t>
        </is>
      </c>
      <c r="M796" s="63" t="inlineStr">
        <is>
          <t>93,10</t>
        </is>
      </c>
      <c r="N796" s="63" t="inlineStr">
        <is>
          <t>1,00</t>
        </is>
      </c>
      <c r="O796" s="63" t="inlineStr">
        <is>
          <t>14,76</t>
        </is>
      </c>
      <c r="P796" s="63" t="inlineStr">
        <is>
          <t>79,36</t>
        </is>
      </c>
      <c r="Q796" s="63" t="inlineStr">
        <is>
          <t>92,06</t>
        </is>
      </c>
    </row>
    <row r="797">
      <c r="A797" s="65" t="n"/>
      <c r="B797" s="65" t="n"/>
      <c r="C797" s="65" t="n"/>
      <c r="D797" s="65" t="n"/>
      <c r="E797" s="65" t="n"/>
      <c r="F797" s="65" t="n"/>
      <c r="G797" s="65" t="n"/>
      <c r="H797" s="65" t="n"/>
      <c r="I797" s="65" t="n"/>
      <c r="J797" s="65" t="n"/>
      <c r="K797" s="65" t="n">
        <v>881</v>
      </c>
      <c r="L797" s="65" t="inlineStr">
        <is>
          <t>[0881] CLASICO API SL SAE 20W-50 (1x12)</t>
        </is>
      </c>
      <c r="M797" s="63" t="inlineStr">
        <is>
          <t>81,47</t>
        </is>
      </c>
      <c r="N797" s="63" t="inlineStr">
        <is>
          <t>1,00</t>
        </is>
      </c>
      <c r="O797" s="63" t="inlineStr">
        <is>
          <t>14,76</t>
        </is>
      </c>
      <c r="P797" s="63" t="inlineStr">
        <is>
          <t>69,45</t>
        </is>
      </c>
      <c r="Q797" s="63" t="inlineStr">
        <is>
          <t>80,56</t>
        </is>
      </c>
    </row>
    <row r="798">
      <c r="A798" s="66" t="n">
        <v>46210</v>
      </c>
      <c r="B798" s="65" t="n">
        <v>226</v>
      </c>
      <c r="C798" s="65" t="inlineStr">
        <is>
          <t>00-00000748</t>
        </is>
      </c>
      <c r="D798" s="65" t="inlineStr">
        <is>
          <t>S00073</t>
        </is>
      </c>
      <c r="E798" s="65" t="inlineStr">
        <is>
          <t>Remodelaciones Ivanro, C.A</t>
        </is>
      </c>
      <c r="F798" s="63" t="inlineStr">
        <is>
          <t>343.856,83</t>
        </is>
      </c>
      <c r="G798" s="63" t="inlineStr">
        <is>
          <t>398.873,92</t>
        </is>
      </c>
      <c r="H798" s="63" t="inlineStr">
        <is>
          <t>590,94</t>
        </is>
      </c>
      <c r="I798" s="63" t="inlineStr">
        <is>
          <t>674,93</t>
        </is>
      </c>
      <c r="J798" s="65" t="n"/>
      <c r="K798" s="65" t="n">
        <v>884</v>
      </c>
      <c r="L798" s="65" t="inlineStr">
        <is>
          <t>[0884] TRANSMATIC ATF DEXRON III (1x12)</t>
        </is>
      </c>
      <c r="M798" s="63" t="inlineStr">
        <is>
          <t>86,64</t>
        </is>
      </c>
      <c r="N798" s="63" t="inlineStr">
        <is>
          <t>1,00</t>
        </is>
      </c>
      <c r="O798" s="63" t="inlineStr">
        <is>
          <t>0,00</t>
        </is>
      </c>
      <c r="P798" s="63" t="inlineStr">
        <is>
          <t>86,64</t>
        </is>
      </c>
      <c r="Q798" s="63" t="inlineStr">
        <is>
          <t>100,50</t>
        </is>
      </c>
    </row>
    <row r="799">
      <c r="A799" s="65" t="n"/>
      <c r="B799" s="65" t="n"/>
      <c r="C799" s="65" t="n"/>
      <c r="D799" s="65" t="n"/>
      <c r="E799" s="65" t="n"/>
      <c r="F799" s="65" t="n"/>
      <c r="G799" s="65" t="n"/>
      <c r="H799" s="65" t="n"/>
      <c r="I799" s="65" t="n"/>
      <c r="J799" s="65" t="n"/>
      <c r="K799" s="65" t="n">
        <v>7</v>
      </c>
      <c r="L799" s="65" t="inlineStr">
        <is>
          <t>[0007] ELITE API SN SAE 5W-20 (1x6)</t>
        </is>
      </c>
      <c r="M799" s="63" t="inlineStr">
        <is>
          <t>63,36</t>
        </is>
      </c>
      <c r="N799" s="63" t="inlineStr">
        <is>
          <t>2,00</t>
        </is>
      </c>
      <c r="O799" s="63" t="inlineStr">
        <is>
          <t>0,00</t>
        </is>
      </c>
      <c r="P799" s="63" t="inlineStr">
        <is>
          <t>126,72</t>
        </is>
      </c>
      <c r="Q799" s="63" t="inlineStr">
        <is>
          <t>147,00</t>
        </is>
      </c>
    </row>
    <row r="800">
      <c r="A800" s="65" t="n"/>
      <c r="B800" s="65" t="n"/>
      <c r="C800" s="65" t="n"/>
      <c r="D800" s="65" t="n"/>
      <c r="E800" s="65" t="n"/>
      <c r="F800" s="65" t="n"/>
      <c r="G800" s="65" t="n"/>
      <c r="H800" s="65" t="n"/>
      <c r="I800" s="65" t="n"/>
      <c r="J800" s="65" t="n"/>
      <c r="K800" s="65" t="n">
        <v>13</v>
      </c>
      <c r="L800" s="65" t="inlineStr">
        <is>
          <t>[0013] ELITE API SN SAE 5W-30 (1x6)</t>
        </is>
      </c>
      <c r="M800" s="63" t="inlineStr">
        <is>
          <t>63,36</t>
        </is>
      </c>
      <c r="N800" s="63" t="inlineStr">
        <is>
          <t>2,00</t>
        </is>
      </c>
      <c r="O800" s="63" t="inlineStr">
        <is>
          <t>0,00</t>
        </is>
      </c>
      <c r="P800" s="63" t="inlineStr">
        <is>
          <t>126,72</t>
        </is>
      </c>
      <c r="Q800" s="63" t="inlineStr">
        <is>
          <t>147,00</t>
        </is>
      </c>
    </row>
    <row r="801">
      <c r="A801" s="65" t="n"/>
      <c r="B801" s="65" t="n"/>
      <c r="C801" s="65" t="n"/>
      <c r="D801" s="65" t="n"/>
      <c r="E801" s="65" t="n"/>
      <c r="F801" s="65" t="n"/>
      <c r="G801" s="65" t="n"/>
      <c r="H801" s="65" t="n"/>
      <c r="I801" s="65" t="n"/>
      <c r="J801" s="65" t="n"/>
      <c r="K801" s="65" t="n">
        <v>885</v>
      </c>
      <c r="L801" s="65" t="inlineStr">
        <is>
          <t>[0885] TRANSMATIC ATF MERCON V (1x12)</t>
        </is>
      </c>
      <c r="M801" s="63" t="inlineStr">
        <is>
          <t>138,36</t>
        </is>
      </c>
      <c r="N801" s="63" t="inlineStr">
        <is>
          <t>1,00</t>
        </is>
      </c>
      <c r="O801" s="63" t="inlineStr">
        <is>
          <t>0,00</t>
        </is>
      </c>
      <c r="P801" s="63" t="inlineStr">
        <is>
          <t>138,36</t>
        </is>
      </c>
      <c r="Q801" s="63" t="inlineStr">
        <is>
          <t>160,50</t>
        </is>
      </c>
    </row>
    <row r="802">
      <c r="A802" s="65" t="n"/>
      <c r="B802" s="65" t="n"/>
      <c r="C802" s="65" t="n"/>
      <c r="D802" s="65" t="n"/>
      <c r="E802" s="65" t="n"/>
      <c r="F802" s="65" t="n"/>
      <c r="G802" s="65" t="n"/>
      <c r="H802" s="65" t="n"/>
      <c r="I802" s="65" t="n"/>
      <c r="J802" s="65" t="n"/>
      <c r="K802" s="65" t="n">
        <v>761</v>
      </c>
      <c r="L802" s="65" t="inlineStr">
        <is>
          <t>[0761] LIGA PARA FRENOS DOT-3 (1x12)</t>
        </is>
      </c>
      <c r="M802" s="63" t="inlineStr">
        <is>
          <t>31,03</t>
        </is>
      </c>
      <c r="N802" s="63" t="inlineStr">
        <is>
          <t>1,00</t>
        </is>
      </c>
      <c r="O802" s="63" t="inlineStr">
        <is>
          <t>0,00</t>
        </is>
      </c>
      <c r="P802" s="63" t="inlineStr">
        <is>
          <t>31,03</t>
        </is>
      </c>
      <c r="Q802" s="63" t="inlineStr">
        <is>
          <t>35,99</t>
        </is>
      </c>
    </row>
    <row r="803">
      <c r="A803" s="66" t="n">
        <v>46210</v>
      </c>
      <c r="B803" s="65" t="n">
        <v>225</v>
      </c>
      <c r="C803" s="65" t="inlineStr">
        <is>
          <t>00-00000747</t>
        </is>
      </c>
      <c r="D803" s="65" t="inlineStr">
        <is>
          <t>S00096</t>
        </is>
      </c>
      <c r="E803" s="65" t="inlineStr">
        <is>
          <t>Video Electrónica Fermat, C.A</t>
        </is>
      </c>
      <c r="F803" s="63" t="inlineStr">
        <is>
          <t>253.056,14</t>
        </is>
      </c>
      <c r="G803" s="63" t="inlineStr">
        <is>
          <t>293.545,13</t>
        </is>
      </c>
      <c r="H803" s="63" t="inlineStr">
        <is>
          <t>434,90</t>
        </is>
      </c>
      <c r="I803" s="63" t="inlineStr">
        <is>
          <t>674,93</t>
        </is>
      </c>
      <c r="J803" s="65" t="n">
        <v>726</v>
      </c>
      <c r="K803" s="65" t="n">
        <v>884</v>
      </c>
      <c r="L803" s="65" t="inlineStr">
        <is>
          <t>[0884] TRANSMATIC ATF DEXRON III (1x12)</t>
        </is>
      </c>
      <c r="M803" s="63" t="inlineStr">
        <is>
          <t>86,64</t>
        </is>
      </c>
      <c r="N803" s="63" t="inlineStr">
        <is>
          <t>1,00</t>
        </is>
      </c>
      <c r="O803" s="63" t="inlineStr">
        <is>
          <t>15,99</t>
        </is>
      </c>
      <c r="P803" s="63" t="inlineStr">
        <is>
          <t>72,79</t>
        </is>
      </c>
      <c r="Q803" s="63" t="inlineStr">
        <is>
          <t>84,43</t>
        </is>
      </c>
    </row>
    <row r="804">
      <c r="A804" s="65" t="n"/>
      <c r="B804" s="65" t="n"/>
      <c r="C804" s="65" t="n"/>
      <c r="D804" s="65" t="n"/>
      <c r="E804" s="65" t="n"/>
      <c r="F804" s="65" t="n"/>
      <c r="G804" s="65" t="n"/>
      <c r="H804" s="65" t="n"/>
      <c r="I804" s="65" t="n"/>
      <c r="J804" s="65" t="n"/>
      <c r="K804" s="65" t="n">
        <v>881</v>
      </c>
      <c r="L804" s="65" t="inlineStr">
        <is>
          <t>[0881] CLASICO API SL SAE 20W-50 (1x12)</t>
        </is>
      </c>
      <c r="M804" s="63" t="inlineStr">
        <is>
          <t>81,47</t>
        </is>
      </c>
      <c r="N804" s="63" t="inlineStr">
        <is>
          <t>1,00</t>
        </is>
      </c>
      <c r="O804" s="63" t="inlineStr">
        <is>
          <t>16,41</t>
        </is>
      </c>
      <c r="P804" s="63" t="inlineStr">
        <is>
          <t>68,10</t>
        </is>
      </c>
      <c r="Q804" s="63" t="inlineStr">
        <is>
          <t>79,00</t>
        </is>
      </c>
    </row>
    <row r="805">
      <c r="A805" s="65" t="n"/>
      <c r="B805" s="65" t="n"/>
      <c r="C805" s="65" t="n"/>
      <c r="D805" s="65" t="n"/>
      <c r="E805" s="65" t="n"/>
      <c r="F805" s="65" t="n"/>
      <c r="G805" s="65" t="n"/>
      <c r="H805" s="65" t="n"/>
      <c r="I805" s="65" t="n"/>
      <c r="J805" s="65" t="n"/>
      <c r="K805" s="65" t="n">
        <v>877</v>
      </c>
      <c r="L805" s="65" t="inlineStr">
        <is>
          <t>[0877] SS EXTRA PROTECCION API SN SAE 15W-40 (1X12)</t>
        </is>
      </c>
      <c r="M805" s="63" t="inlineStr">
        <is>
          <t>93,10</t>
        </is>
      </c>
      <c r="N805" s="63" t="inlineStr">
        <is>
          <t>1,00</t>
        </is>
      </c>
      <c r="O805" s="63" t="inlineStr">
        <is>
          <t>0,00</t>
        </is>
      </c>
      <c r="P805" s="63" t="inlineStr">
        <is>
          <t>93,10</t>
        </is>
      </c>
      <c r="Q805" s="63" t="inlineStr">
        <is>
          <t>108,00</t>
        </is>
      </c>
    </row>
    <row r="806">
      <c r="A806" s="65" t="n"/>
      <c r="B806" s="65" t="n"/>
      <c r="C806" s="65" t="n"/>
      <c r="D806" s="65" t="n"/>
      <c r="E806" s="65" t="n"/>
      <c r="F806" s="65" t="n"/>
      <c r="G806" s="65" t="n"/>
      <c r="H806" s="65" t="n"/>
      <c r="I806" s="65" t="n"/>
      <c r="J806" s="65" t="n"/>
      <c r="K806" s="65" t="n">
        <v>878</v>
      </c>
      <c r="L806" s="65" t="inlineStr">
        <is>
          <t>[0878] SS EXTRA PROTECCION API SN SAE 20W-50 (1x12)</t>
        </is>
      </c>
      <c r="M806" s="63" t="inlineStr">
        <is>
          <t>93,10</t>
        </is>
      </c>
      <c r="N806" s="63" t="inlineStr">
        <is>
          <t>1,00</t>
        </is>
      </c>
      <c r="O806" s="63" t="inlineStr">
        <is>
          <t>16,66</t>
        </is>
      </c>
      <c r="P806" s="63" t="inlineStr">
        <is>
          <t>77,59</t>
        </is>
      </c>
      <c r="Q806" s="63" t="inlineStr">
        <is>
          <t>90,00</t>
        </is>
      </c>
    </row>
    <row r="807">
      <c r="A807" s="65" t="n"/>
      <c r="B807" s="65" t="n"/>
      <c r="C807" s="65" t="n"/>
      <c r="D807" s="65" t="n"/>
      <c r="E807" s="65" t="n"/>
      <c r="F807" s="65" t="n"/>
      <c r="G807" s="65" t="n"/>
      <c r="H807" s="65" t="n"/>
      <c r="I807" s="65" t="n"/>
      <c r="J807" s="65" t="n"/>
      <c r="K807" s="65" t="n">
        <v>7</v>
      </c>
      <c r="L807" s="65" t="inlineStr">
        <is>
          <t>[0007] ELITE API SN SAE 5W-20 (1x6)</t>
        </is>
      </c>
      <c r="M807" s="63" t="inlineStr">
        <is>
          <t>63,36</t>
        </is>
      </c>
      <c r="N807" s="63" t="inlineStr">
        <is>
          <t>1,00</t>
        </is>
      </c>
      <c r="O807" s="63" t="inlineStr">
        <is>
          <t>0,00</t>
        </is>
      </c>
      <c r="P807" s="63" t="inlineStr">
        <is>
          <t>63,36</t>
        </is>
      </c>
      <c r="Q807" s="63" t="inlineStr">
        <is>
          <t>73,50</t>
        </is>
      </c>
    </row>
    <row r="808">
      <c r="A808" s="66" t="n">
        <v>46210</v>
      </c>
      <c r="B808" s="65" t="n">
        <v>224</v>
      </c>
      <c r="C808" s="65" t="inlineStr">
        <is>
          <t>00-00000746</t>
        </is>
      </c>
      <c r="D808" s="65" t="inlineStr">
        <is>
          <t>S00078</t>
        </is>
      </c>
      <c r="E808" s="65" t="inlineStr">
        <is>
          <t>MULTISERVICIOS RECAM13, C.A.</t>
        </is>
      </c>
      <c r="F808" s="63" t="inlineStr">
        <is>
          <t>236.502,39</t>
        </is>
      </c>
      <c r="G808" s="63" t="inlineStr">
        <is>
          <t>274.342,76</t>
        </is>
      </c>
      <c r="H808" s="63" t="inlineStr">
        <is>
          <t>406,44</t>
        </is>
      </c>
      <c r="I808" s="63" t="inlineStr">
        <is>
          <t>674,93</t>
        </is>
      </c>
      <c r="J808" s="65" t="n">
        <v>264</v>
      </c>
      <c r="K808" s="65" t="n">
        <v>792</v>
      </c>
      <c r="L808" s="65" t="inlineStr">
        <is>
          <t>[0792] REFRIGERANTE GLOBAL ROJO (1X3)</t>
        </is>
      </c>
      <c r="M808" s="63" t="inlineStr">
        <is>
          <t>31,03</t>
        </is>
      </c>
      <c r="N808" s="63" t="inlineStr">
        <is>
          <t>1,00</t>
        </is>
      </c>
      <c r="O808" s="63" t="inlineStr">
        <is>
          <t>0,00</t>
        </is>
      </c>
      <c r="P808" s="63" t="inlineStr">
        <is>
          <t>31,03</t>
        </is>
      </c>
      <c r="Q808" s="63" t="inlineStr">
        <is>
          <t>35,99</t>
        </is>
      </c>
    </row>
    <row r="809">
      <c r="A809" s="65" t="n"/>
      <c r="B809" s="65" t="n"/>
      <c r="C809" s="65" t="n"/>
      <c r="D809" s="65" t="n"/>
      <c r="E809" s="65" t="n"/>
      <c r="F809" s="65" t="n"/>
      <c r="G809" s="65" t="n"/>
      <c r="H809" s="65" t="n"/>
      <c r="I809" s="65" t="n"/>
      <c r="J809" s="65" t="n">
        <v>459</v>
      </c>
      <c r="K809" s="65" t="n"/>
      <c r="L809" s="65" t="n"/>
      <c r="M809" s="65" t="n"/>
      <c r="N809" s="65" t="n"/>
      <c r="O809" s="65" t="n"/>
      <c r="P809" s="65" t="n"/>
      <c r="Q809" s="65" t="n"/>
    </row>
    <row r="810">
      <c r="A810" s="65" t="n"/>
      <c r="B810" s="65" t="n"/>
      <c r="C810" s="65" t="n"/>
      <c r="D810" s="65" t="n"/>
      <c r="E810" s="65" t="n"/>
      <c r="F810" s="65" t="n"/>
      <c r="G810" s="65" t="n"/>
      <c r="H810" s="65" t="n"/>
      <c r="I810" s="65" t="n"/>
      <c r="J810" s="65" t="n">
        <v>645</v>
      </c>
      <c r="K810" s="65" t="n"/>
      <c r="L810" s="65" t="n"/>
      <c r="M810" s="65" t="n"/>
      <c r="N810" s="65" t="n"/>
      <c r="O810" s="65" t="n"/>
      <c r="P810" s="65" t="n"/>
      <c r="Q810" s="65" t="n"/>
    </row>
    <row r="811">
      <c r="A811" s="65" t="n"/>
      <c r="B811" s="65" t="n"/>
      <c r="C811" s="65" t="n"/>
      <c r="D811" s="65" t="n"/>
      <c r="E811" s="65" t="n"/>
      <c r="F811" s="65" t="n"/>
      <c r="G811" s="65" t="n"/>
      <c r="H811" s="65" t="n"/>
      <c r="I811" s="65" t="n"/>
      <c r="J811" s="65" t="n">
        <v>821</v>
      </c>
      <c r="K811" s="65" t="n"/>
      <c r="L811" s="65" t="n"/>
      <c r="M811" s="65" t="n"/>
      <c r="N811" s="65" t="n"/>
      <c r="O811" s="65" t="n"/>
      <c r="P811" s="65" t="n"/>
      <c r="Q811" s="65" t="n"/>
    </row>
    <row r="812">
      <c r="A812" s="65" t="n"/>
      <c r="B812" s="65" t="n"/>
      <c r="C812" s="65" t="n"/>
      <c r="D812" s="65" t="n"/>
      <c r="E812" s="65" t="n"/>
      <c r="F812" s="65" t="n"/>
      <c r="G812" s="65" t="n"/>
      <c r="H812" s="65" t="n"/>
      <c r="I812" s="65" t="n"/>
      <c r="J812" s="65" t="n"/>
      <c r="K812" s="65" t="n">
        <v>789</v>
      </c>
      <c r="L812" s="65" t="inlineStr">
        <is>
          <t>[0789] REFRIGERANTE GLOBAL VERDE (1X3)</t>
        </is>
      </c>
      <c r="M812" s="63" t="inlineStr">
        <is>
          <t>31,03</t>
        </is>
      </c>
      <c r="N812" s="63" t="inlineStr">
        <is>
          <t>2,00</t>
        </is>
      </c>
      <c r="O812" s="63" t="inlineStr">
        <is>
          <t>0,00</t>
        </is>
      </c>
      <c r="P812" s="63" t="inlineStr">
        <is>
          <t>62,06</t>
        </is>
      </c>
      <c r="Q812" s="63" t="inlineStr">
        <is>
          <t>71,99</t>
        </is>
      </c>
    </row>
    <row r="813">
      <c r="A813" s="65" t="n"/>
      <c r="B813" s="65" t="n"/>
      <c r="C813" s="65" t="n"/>
      <c r="D813" s="65" t="n"/>
      <c r="E813" s="65" t="n"/>
      <c r="F813" s="65" t="n"/>
      <c r="G813" s="65" t="n"/>
      <c r="H813" s="65" t="n"/>
      <c r="I813" s="65" t="n"/>
      <c r="J813" s="65" t="n"/>
      <c r="K813" s="65" t="n">
        <v>884</v>
      </c>
      <c r="L813" s="65" t="inlineStr">
        <is>
          <t>[0884] TRANSMATIC ATF DEXRON III (1x12)</t>
        </is>
      </c>
      <c r="M813" s="63" t="inlineStr">
        <is>
          <t>86,64</t>
        </is>
      </c>
      <c r="N813" s="63" t="inlineStr">
        <is>
          <t>1,00</t>
        </is>
      </c>
      <c r="O813" s="63" t="inlineStr">
        <is>
          <t>0,00</t>
        </is>
      </c>
      <c r="P813" s="63" t="inlineStr">
        <is>
          <t>86,64</t>
        </is>
      </c>
      <c r="Q813" s="63" t="inlineStr">
        <is>
          <t>100,50</t>
        </is>
      </c>
    </row>
    <row r="814">
      <c r="A814" s="65" t="n"/>
      <c r="B814" s="65" t="n"/>
      <c r="C814" s="65" t="n"/>
      <c r="D814" s="65" t="n"/>
      <c r="E814" s="65" t="n"/>
      <c r="F814" s="65" t="n"/>
      <c r="G814" s="65" t="n"/>
      <c r="H814" s="65" t="n"/>
      <c r="I814" s="65" t="n"/>
      <c r="J814" s="65" t="n"/>
      <c r="K814" s="65" t="n">
        <v>127</v>
      </c>
      <c r="L814" s="65" t="inlineStr">
        <is>
          <t>[0127] TRANSGLOB API GL-5 SAE 85W-140 (1x6)</t>
        </is>
      </c>
      <c r="M814" s="63" t="inlineStr">
        <is>
          <t>46,55</t>
        </is>
      </c>
      <c r="N814" s="63" t="inlineStr">
        <is>
          <t>1,00</t>
        </is>
      </c>
      <c r="O814" s="63" t="inlineStr">
        <is>
          <t>0,00</t>
        </is>
      </c>
      <c r="P814" s="63" t="inlineStr">
        <is>
          <t>46,55</t>
        </is>
      </c>
      <c r="Q814" s="63" t="inlineStr">
        <is>
          <t>54,00</t>
        </is>
      </c>
    </row>
    <row r="815">
      <c r="A815" s="65" t="n"/>
      <c r="B815" s="65" t="n"/>
      <c r="C815" s="65" t="n"/>
      <c r="D815" s="65" t="n"/>
      <c r="E815" s="65" t="n"/>
      <c r="F815" s="65" t="n"/>
      <c r="G815" s="65" t="n"/>
      <c r="H815" s="65" t="n"/>
      <c r="I815" s="65" t="n"/>
      <c r="J815" s="65" t="n"/>
      <c r="K815" s="65" t="n">
        <v>877</v>
      </c>
      <c r="L815" s="65" t="inlineStr">
        <is>
          <t>[0877] SS EXTRA PROTECCION API SN SAE 15W-40 (1X12)</t>
        </is>
      </c>
      <c r="M815" s="63" t="inlineStr">
        <is>
          <t>93,10</t>
        </is>
      </c>
      <c r="N815" s="63" t="inlineStr">
        <is>
          <t>1,00</t>
        </is>
      </c>
      <c r="O815" s="63" t="inlineStr">
        <is>
          <t>0,00</t>
        </is>
      </c>
      <c r="P815" s="63" t="inlineStr">
        <is>
          <t>93,10</t>
        </is>
      </c>
      <c r="Q815" s="63" t="inlineStr">
        <is>
          <t>108,00</t>
        </is>
      </c>
    </row>
    <row r="816">
      <c r="A816" s="65" t="n"/>
      <c r="B816" s="65" t="n"/>
      <c r="C816" s="65" t="n"/>
      <c r="D816" s="65" t="n"/>
      <c r="E816" s="65" t="n"/>
      <c r="F816" s="65" t="n"/>
      <c r="G816" s="65" t="n"/>
      <c r="H816" s="65" t="n"/>
      <c r="I816" s="65" t="n"/>
      <c r="J816" s="65" t="n"/>
      <c r="K816" s="65" t="n">
        <v>761</v>
      </c>
      <c r="L816" s="65" t="inlineStr">
        <is>
          <t>[0761] LIGA PARA FRENOS DOT-3 (1x12)</t>
        </is>
      </c>
      <c r="M816" s="63" t="inlineStr">
        <is>
          <t>31,03</t>
        </is>
      </c>
      <c r="N816" s="63" t="inlineStr">
        <is>
          <t>1,00</t>
        </is>
      </c>
      <c r="O816" s="63" t="inlineStr">
        <is>
          <t>0,00</t>
        </is>
      </c>
      <c r="P816" s="63" t="inlineStr">
        <is>
          <t>31,03</t>
        </is>
      </c>
      <c r="Q816" s="63" t="inlineStr">
        <is>
          <t>35,99</t>
        </is>
      </c>
    </row>
    <row r="817">
      <c r="A817" s="66" t="n">
        <v>46210</v>
      </c>
      <c r="B817" s="65" t="n">
        <v>223</v>
      </c>
      <c r="C817" s="65" t="inlineStr">
        <is>
          <t>00-00000745</t>
        </is>
      </c>
      <c r="D817" s="65" t="inlineStr">
        <is>
          <t>S00081</t>
        </is>
      </c>
      <c r="E817" s="65" t="inlineStr">
        <is>
          <t>Coffee Party, C.A.</t>
        </is>
      </c>
      <c r="F817" s="63" t="inlineStr">
        <is>
          <t>41.892,78</t>
        </is>
      </c>
      <c r="G817" s="63" t="inlineStr">
        <is>
          <t>48.595,62</t>
        </is>
      </c>
      <c r="H817" s="63" t="inlineStr">
        <is>
          <t>71,99</t>
        </is>
      </c>
      <c r="I817" s="63" t="inlineStr">
        <is>
          <t>674,93</t>
        </is>
      </c>
      <c r="J817" s="65" t="n">
        <v>65</v>
      </c>
      <c r="K817" s="65" t="n">
        <v>121</v>
      </c>
      <c r="L817" s="65" t="inlineStr">
        <is>
          <t>[0121] TRANSGLOB API GL-5 SAE 80W-90 (1x6)</t>
        </is>
      </c>
      <c r="M817" s="63" t="inlineStr">
        <is>
          <t>46,55</t>
        </is>
      </c>
      <c r="N817" s="63" t="inlineStr">
        <is>
          <t>2,00</t>
        </is>
      </c>
      <c r="O817" s="63" t="inlineStr">
        <is>
          <t>33,33</t>
        </is>
      </c>
      <c r="P817" s="63" t="inlineStr">
        <is>
          <t>62,07</t>
        </is>
      </c>
      <c r="Q817" s="63" t="inlineStr">
        <is>
          <t>72,00</t>
        </is>
      </c>
    </row>
    <row r="818">
      <c r="A818" s="66" t="n">
        <v>46210</v>
      </c>
      <c r="B818" s="65" t="n">
        <v>222</v>
      </c>
      <c r="C818" s="65" t="inlineStr">
        <is>
          <t>00-00000744</t>
        </is>
      </c>
      <c r="D818" s="65" t="inlineStr">
        <is>
          <t>S00086</t>
        </is>
      </c>
      <c r="E818" s="65" t="inlineStr">
        <is>
          <t>Wuilliams bastidas</t>
        </is>
      </c>
      <c r="F818" s="63" t="inlineStr">
        <is>
          <t>100.896,07</t>
        </is>
      </c>
      <c r="G818" s="63" t="inlineStr">
        <is>
          <t>117.039,44</t>
        </is>
      </c>
      <c r="H818" s="63" t="inlineStr">
        <is>
          <t>173,39</t>
        </is>
      </c>
      <c r="I818" s="63" t="inlineStr">
        <is>
          <t>674,93</t>
        </is>
      </c>
      <c r="J818" s="65" t="n"/>
      <c r="K818" s="65" t="n">
        <v>884</v>
      </c>
      <c r="L818" s="65" t="inlineStr">
        <is>
          <t>[0884] TRANSMATIC ATF DEXRON III (1x12)</t>
        </is>
      </c>
      <c r="M818" s="63" t="inlineStr">
        <is>
          <t>86,64</t>
        </is>
      </c>
      <c r="N818" s="63" t="inlineStr">
        <is>
          <t>1,00</t>
        </is>
      </c>
      <c r="O818" s="63" t="inlineStr">
        <is>
          <t>23,44</t>
        </is>
      </c>
      <c r="P818" s="63" t="inlineStr">
        <is>
          <t>66,33</t>
        </is>
      </c>
      <c r="Q818" s="63" t="inlineStr">
        <is>
          <t>76,94</t>
        </is>
      </c>
    </row>
    <row r="819">
      <c r="A819" s="65" t="n"/>
      <c r="B819" s="65" t="n"/>
      <c r="C819" s="65" t="n"/>
      <c r="D819" s="65" t="n"/>
      <c r="E819" s="65" t="n"/>
      <c r="F819" s="65" t="n"/>
      <c r="G819" s="65" t="n"/>
      <c r="H819" s="65" t="n"/>
      <c r="I819" s="65" t="n"/>
      <c r="J819" s="65" t="n"/>
      <c r="K819" s="65" t="n">
        <v>121</v>
      </c>
      <c r="L819" s="65" t="inlineStr">
        <is>
          <t>[0121] TRANSGLOB API GL-5 SAE 80W-90 (1x6)</t>
        </is>
      </c>
      <c r="M819" s="63" t="inlineStr">
        <is>
          <t>46,55</t>
        </is>
      </c>
      <c r="N819" s="63" t="inlineStr">
        <is>
          <t>1,00</t>
        </is>
      </c>
      <c r="O819" s="63" t="inlineStr">
        <is>
          <t>23,44</t>
        </is>
      </c>
      <c r="P819" s="63" t="inlineStr">
        <is>
          <t>35,64</t>
        </is>
      </c>
      <c r="Q819" s="63" t="inlineStr">
        <is>
          <t>41,34</t>
        </is>
      </c>
    </row>
    <row r="820">
      <c r="A820" s="65" t="n"/>
      <c r="B820" s="65" t="n"/>
      <c r="C820" s="65" t="n"/>
      <c r="D820" s="65" t="n"/>
      <c r="E820" s="65" t="n"/>
      <c r="F820" s="65" t="n"/>
      <c r="G820" s="65" t="n"/>
      <c r="H820" s="65" t="n"/>
      <c r="I820" s="65" t="n"/>
      <c r="J820" s="65" t="n"/>
      <c r="K820" s="65" t="n">
        <v>915</v>
      </c>
      <c r="L820" s="65" t="inlineStr">
        <is>
          <t>[0915] SINOCO SAE 50 (1x12)</t>
        </is>
      </c>
      <c r="M820" s="63" t="inlineStr">
        <is>
          <t>62,07</t>
        </is>
      </c>
      <c r="N820" s="63" t="inlineStr">
        <is>
          <t>1,00</t>
        </is>
      </c>
      <c r="O820" s="63" t="inlineStr">
        <is>
          <t>23,44</t>
        </is>
      </c>
      <c r="P820" s="63" t="inlineStr">
        <is>
          <t>47,52</t>
        </is>
      </c>
      <c r="Q820" s="63" t="inlineStr">
        <is>
          <t>55,12</t>
        </is>
      </c>
    </row>
    <row r="821">
      <c r="A821" s="66" t="n">
        <v>46210</v>
      </c>
      <c r="B821" s="65" t="n">
        <v>221</v>
      </c>
      <c r="C821" s="65" t="inlineStr">
        <is>
          <t>00-00000743</t>
        </is>
      </c>
      <c r="D821" s="65" t="inlineStr">
        <is>
          <t>S00092</t>
        </is>
      </c>
      <c r="E821" s="65" t="inlineStr">
        <is>
          <t>EMPRENDIMIENTO IRMA RODRIGUEZ 6</t>
        </is>
      </c>
      <c r="F821" s="63" t="inlineStr">
        <is>
          <t>73.306,87</t>
        </is>
      </c>
      <c r="G821" s="63" t="inlineStr">
        <is>
          <t>85.035,96</t>
        </is>
      </c>
      <c r="H821" s="63" t="inlineStr">
        <is>
          <t>125,97</t>
        </is>
      </c>
      <c r="I821" s="63" t="inlineStr">
        <is>
          <t>674,93</t>
        </is>
      </c>
      <c r="J821" s="65" t="n"/>
      <c r="K821" s="65" t="n">
        <v>775</v>
      </c>
      <c r="L821" s="65" t="inlineStr">
        <is>
          <t>[0775] LIGA PARA FRENOS DOT-4 (1X12)</t>
        </is>
      </c>
      <c r="M821" s="63" t="inlineStr">
        <is>
          <t>37,07</t>
        </is>
      </c>
      <c r="N821" s="63" t="inlineStr">
        <is>
          <t>1,00</t>
        </is>
      </c>
      <c r="O821" s="63" t="inlineStr">
        <is>
          <t>8,04</t>
        </is>
      </c>
      <c r="P821" s="63" t="inlineStr">
        <is>
          <t>34,09</t>
        </is>
      </c>
      <c r="Q821" s="63" t="inlineStr">
        <is>
          <t>39,54</t>
        </is>
      </c>
    </row>
    <row r="822">
      <c r="A822" s="65" t="n"/>
      <c r="B822" s="65" t="n"/>
      <c r="C822" s="65" t="n"/>
      <c r="D822" s="65" t="n"/>
      <c r="E822" s="65" t="n"/>
      <c r="F822" s="65" t="n"/>
      <c r="G822" s="65" t="n"/>
      <c r="H822" s="65" t="n"/>
      <c r="I822" s="65" t="n"/>
      <c r="J822" s="65" t="n"/>
      <c r="K822" s="65" t="n">
        <v>774</v>
      </c>
      <c r="L822" s="65" t="inlineStr">
        <is>
          <t>[0774] LIGA PARA FRENOS DOT-4 (1X6)</t>
        </is>
      </c>
      <c r="M822" s="63" t="inlineStr">
        <is>
          <t>40,52</t>
        </is>
      </c>
      <c r="N822" s="63" t="inlineStr">
        <is>
          <t>2,00</t>
        </is>
      </c>
      <c r="O822" s="63" t="inlineStr">
        <is>
          <t>8,04</t>
        </is>
      </c>
      <c r="P822" s="63" t="inlineStr">
        <is>
          <t>74,52</t>
        </is>
      </c>
      <c r="Q822" s="63" t="inlineStr">
        <is>
          <t>86,45</t>
        </is>
      </c>
    </row>
    <row r="823">
      <c r="A823" s="66" t="n">
        <v>46210</v>
      </c>
      <c r="B823" s="65" t="n">
        <v>220</v>
      </c>
      <c r="C823" s="65" t="inlineStr">
        <is>
          <t>00-00000742</t>
        </is>
      </c>
      <c r="D823" s="65" t="inlineStr">
        <is>
          <t>S00011</t>
        </is>
      </c>
      <c r="E823" s="65" t="inlineStr">
        <is>
          <t>MOTO MARCE 21, CA</t>
        </is>
      </c>
      <c r="F823" s="63" t="inlineStr">
        <is>
          <t>43.236,08</t>
        </is>
      </c>
      <c r="G823" s="63" t="inlineStr">
        <is>
          <t>50.153,85</t>
        </is>
      </c>
      <c r="H823" s="63" t="inlineStr">
        <is>
          <t>74,29</t>
        </is>
      </c>
      <c r="I823" s="63" t="inlineStr">
        <is>
          <t>674,93</t>
        </is>
      </c>
      <c r="J823" s="65" t="n">
        <v>537</v>
      </c>
      <c r="K823" s="65" t="n">
        <v>761</v>
      </c>
      <c r="L823" s="65" t="inlineStr">
        <is>
          <t>[0761] LIGA PARA FRENOS DOT-3 (1x12)</t>
        </is>
      </c>
      <c r="M823" s="63" t="inlineStr">
        <is>
          <t>31,03</t>
        </is>
      </c>
      <c r="N823" s="63" t="inlineStr">
        <is>
          <t>1,00</t>
        </is>
      </c>
      <c r="O823" s="63" t="inlineStr">
        <is>
          <t>13,08</t>
        </is>
      </c>
      <c r="P823" s="63" t="inlineStr">
        <is>
          <t>26,97</t>
        </is>
      </c>
      <c r="Q823" s="63" t="inlineStr">
        <is>
          <t>31,29</t>
        </is>
      </c>
    </row>
    <row r="824">
      <c r="A824" s="65" t="n"/>
      <c r="B824" s="65" t="n"/>
      <c r="C824" s="65" t="n"/>
      <c r="D824" s="65" t="n"/>
      <c r="E824" s="65" t="n"/>
      <c r="F824" s="65" t="n"/>
      <c r="G824" s="65" t="n"/>
      <c r="H824" s="65" t="n"/>
      <c r="I824" s="65" t="n"/>
      <c r="J824" s="65" t="n"/>
      <c r="K824" s="65" t="n">
        <v>87</v>
      </c>
      <c r="L824" s="65" t="inlineStr">
        <is>
          <t>[0087] ENDUROGLOB 2T AIRE (1x6)</t>
        </is>
      </c>
      <c r="M824" s="63" t="inlineStr">
        <is>
          <t>42,67</t>
        </is>
      </c>
      <c r="N824" s="63" t="inlineStr">
        <is>
          <t>1,00</t>
        </is>
      </c>
      <c r="O824" s="63" t="inlineStr">
        <is>
          <t>13,08</t>
        </is>
      </c>
      <c r="P824" s="63" t="inlineStr">
        <is>
          <t>37,09</t>
        </is>
      </c>
      <c r="Q824" s="63" t="inlineStr">
        <is>
          <t>43,02</t>
        </is>
      </c>
    </row>
    <row r="825">
      <c r="A825" s="66" t="n">
        <v>46205</v>
      </c>
      <c r="B825" s="65" t="n">
        <v>219</v>
      </c>
      <c r="C825" s="65" t="inlineStr">
        <is>
          <t>00-00000725</t>
        </is>
      </c>
      <c r="D825" s="65" t="inlineStr">
        <is>
          <t>S00145</t>
        </is>
      </c>
      <c r="E825" s="65" t="inlineStr">
        <is>
          <t>La cámara perfecta</t>
        </is>
      </c>
      <c r="F825" s="63" t="inlineStr">
        <is>
          <t>370.039,44</t>
        </is>
      </c>
      <c r="G825" s="63" t="inlineStr">
        <is>
          <t>429.245,75</t>
        </is>
      </c>
      <c r="H825" s="63" t="inlineStr">
        <is>
          <t>863,95</t>
        </is>
      </c>
      <c r="I825" s="63" t="inlineStr">
        <is>
          <t>496,83</t>
        </is>
      </c>
      <c r="J825" s="65" t="n">
        <v>157</v>
      </c>
      <c r="K825" s="65" t="n">
        <v>602</v>
      </c>
      <c r="L825" s="65" t="inlineStr">
        <is>
          <t>[0602] SINOCO SAE 50 (PAILA)</t>
        </is>
      </c>
      <c r="M825" s="63" t="inlineStr">
        <is>
          <t>86,64</t>
        </is>
      </c>
      <c r="N825" s="63" t="inlineStr">
        <is>
          <t>4,00</t>
        </is>
      </c>
      <c r="O825" s="63" t="inlineStr">
        <is>
          <t>21,85</t>
        </is>
      </c>
      <c r="P825" s="63" t="inlineStr">
        <is>
          <t>270,84</t>
        </is>
      </c>
      <c r="Q825" s="63" t="inlineStr">
        <is>
          <t>314,17</t>
        </is>
      </c>
    </row>
    <row r="826">
      <c r="A826" s="65" t="n"/>
      <c r="B826" s="65" t="n"/>
      <c r="C826" s="65" t="n"/>
      <c r="D826" s="65" t="n"/>
      <c r="E826" s="65" t="n"/>
      <c r="F826" s="65" t="n"/>
      <c r="G826" s="65" t="n"/>
      <c r="H826" s="65" t="n"/>
      <c r="I826" s="65" t="n"/>
      <c r="J826" s="65" t="n">
        <v>210</v>
      </c>
      <c r="K826" s="65" t="n"/>
      <c r="L826" s="65" t="n"/>
      <c r="M826" s="65" t="n"/>
      <c r="N826" s="65" t="n"/>
      <c r="O826" s="65" t="n"/>
      <c r="P826" s="65" t="n"/>
      <c r="Q826" s="65" t="n"/>
    </row>
    <row r="827">
      <c r="A827" s="65" t="n"/>
      <c r="B827" s="65" t="n"/>
      <c r="C827" s="65" t="n"/>
      <c r="D827" s="65" t="n"/>
      <c r="E827" s="65" t="n"/>
      <c r="F827" s="65" t="n"/>
      <c r="G827" s="65" t="n"/>
      <c r="H827" s="65" t="n"/>
      <c r="I827" s="65" t="n"/>
      <c r="J827" s="65" t="n">
        <v>295</v>
      </c>
      <c r="K827" s="65" t="n"/>
      <c r="L827" s="65" t="n"/>
      <c r="M827" s="65" t="n"/>
      <c r="N827" s="65" t="n"/>
      <c r="O827" s="65" t="n"/>
      <c r="P827" s="65" t="n"/>
      <c r="Q827" s="65" t="n"/>
    </row>
    <row r="828">
      <c r="A828" s="65" t="n"/>
      <c r="B828" s="65" t="n"/>
      <c r="C828" s="65" t="n"/>
      <c r="D828" s="65" t="n"/>
      <c r="E828" s="65" t="n"/>
      <c r="F828" s="65" t="n"/>
      <c r="G828" s="65" t="n"/>
      <c r="H828" s="65" t="n"/>
      <c r="I828" s="65" t="n"/>
      <c r="J828" s="65" t="n">
        <v>305</v>
      </c>
      <c r="K828" s="65" t="n"/>
      <c r="L828" s="65" t="n"/>
      <c r="M828" s="65" t="n"/>
      <c r="N828" s="65" t="n"/>
      <c r="O828" s="65" t="n"/>
      <c r="P828" s="65" t="n"/>
      <c r="Q828" s="65" t="n"/>
    </row>
    <row r="829">
      <c r="A829" s="65" t="n"/>
      <c r="B829" s="65" t="n"/>
      <c r="C829" s="65" t="n"/>
      <c r="D829" s="65" t="n"/>
      <c r="E829" s="65" t="n"/>
      <c r="F829" s="65" t="n"/>
      <c r="G829" s="65" t="n"/>
      <c r="H829" s="65" t="n"/>
      <c r="I829" s="65" t="n"/>
      <c r="J829" s="65" t="n">
        <v>313</v>
      </c>
      <c r="K829" s="65" t="n"/>
      <c r="L829" s="65" t="n"/>
      <c r="M829" s="65" t="n"/>
      <c r="N829" s="65" t="n"/>
      <c r="O829" s="65" t="n"/>
      <c r="P829" s="65" t="n"/>
      <c r="Q829" s="65" t="n"/>
    </row>
    <row r="830">
      <c r="A830" s="65" t="n"/>
      <c r="B830" s="65" t="n"/>
      <c r="C830" s="65" t="n"/>
      <c r="D830" s="65" t="n"/>
      <c r="E830" s="65" t="n"/>
      <c r="F830" s="65" t="n"/>
      <c r="G830" s="65" t="n"/>
      <c r="H830" s="65" t="n"/>
      <c r="I830" s="65" t="n"/>
      <c r="J830" s="65" t="n"/>
      <c r="K830" s="65" t="n">
        <v>605</v>
      </c>
      <c r="L830" s="65" t="inlineStr">
        <is>
          <t>[0605] SINOCO SAE 20W-50 (PAILA)</t>
        </is>
      </c>
      <c r="M830" s="63" t="inlineStr">
        <is>
          <t>86,64</t>
        </is>
      </c>
      <c r="N830" s="63" t="inlineStr">
        <is>
          <t>7,00</t>
        </is>
      </c>
      <c r="O830" s="63" t="inlineStr">
        <is>
          <t>21,85</t>
        </is>
      </c>
      <c r="P830" s="63" t="inlineStr">
        <is>
          <t>473,96</t>
        </is>
      </c>
      <c r="Q830" s="63" t="inlineStr">
        <is>
          <t>549,80</t>
        </is>
      </c>
    </row>
    <row r="831">
      <c r="A831" s="66" t="n">
        <v>46205</v>
      </c>
      <c r="B831" s="65" t="n">
        <v>218</v>
      </c>
      <c r="C831" s="65" t="inlineStr">
        <is>
          <t>00-00000722</t>
        </is>
      </c>
      <c r="D831" s="65" t="inlineStr">
        <is>
          <t>S00143</t>
        </is>
      </c>
      <c r="E831" s="65" t="inlineStr">
        <is>
          <t>MOTOREPUESTOS EL GUANÁBANO YRM C.A.</t>
        </is>
      </c>
      <c r="F831" s="63" t="inlineStr">
        <is>
          <t>82.516,28</t>
        </is>
      </c>
      <c r="G831" s="63" t="inlineStr">
        <is>
          <t>95.718,88</t>
        </is>
      </c>
      <c r="H831" s="63" t="inlineStr">
        <is>
          <t>201,97</t>
        </is>
      </c>
      <c r="I831" s="63" t="inlineStr">
        <is>
          <t>473,87</t>
        </is>
      </c>
      <c r="J831" s="65" t="n">
        <v>152</v>
      </c>
      <c r="K831" s="65" t="n">
        <v>87</v>
      </c>
      <c r="L831" s="65" t="inlineStr">
        <is>
          <t>[0087] ENDUROGLOB 2T AIRE (1x6)</t>
        </is>
      </c>
      <c r="M831" s="63" t="inlineStr">
        <is>
          <t>42,67</t>
        </is>
      </c>
      <c r="N831" s="63" t="inlineStr">
        <is>
          <t>1,00</t>
        </is>
      </c>
      <c r="O831" s="63" t="inlineStr">
        <is>
          <t>34,63</t>
        </is>
      </c>
      <c r="P831" s="63" t="inlineStr">
        <is>
          <t>27,89</t>
        </is>
      </c>
      <c r="Q831" s="63" t="inlineStr">
        <is>
          <t>32,36</t>
        </is>
      </c>
    </row>
    <row r="832">
      <c r="A832" s="65" t="n"/>
      <c r="B832" s="65" t="n"/>
      <c r="C832" s="65" t="n"/>
      <c r="D832" s="65" t="n"/>
      <c r="E832" s="65" t="n"/>
      <c r="F832" s="65" t="n"/>
      <c r="G832" s="65" t="n"/>
      <c r="H832" s="65" t="n"/>
      <c r="I832" s="65" t="n"/>
      <c r="J832" s="65" t="n">
        <v>302</v>
      </c>
      <c r="K832" s="65" t="n"/>
      <c r="L832" s="65" t="n"/>
      <c r="M832" s="65" t="n"/>
      <c r="N832" s="65" t="n"/>
      <c r="O832" s="65" t="n"/>
      <c r="P832" s="65" t="n"/>
      <c r="Q832" s="65" t="n"/>
    </row>
    <row r="833">
      <c r="A833" s="65" t="n"/>
      <c r="B833" s="65" t="n"/>
      <c r="C833" s="65" t="n"/>
      <c r="D833" s="65" t="n"/>
      <c r="E833" s="65" t="n"/>
      <c r="F833" s="65" t="n"/>
      <c r="G833" s="65" t="n"/>
      <c r="H833" s="65" t="n"/>
      <c r="I833" s="65" t="n"/>
      <c r="J833" s="65" t="n">
        <v>445</v>
      </c>
      <c r="K833" s="65" t="n"/>
      <c r="L833" s="65" t="n"/>
      <c r="M833" s="65" t="n"/>
      <c r="N833" s="65" t="n"/>
      <c r="O833" s="65" t="n"/>
      <c r="P833" s="65" t="n"/>
      <c r="Q833" s="65" t="n"/>
    </row>
    <row r="834">
      <c r="A834" s="65" t="n"/>
      <c r="B834" s="65" t="n"/>
      <c r="C834" s="65" t="n"/>
      <c r="D834" s="65" t="n"/>
      <c r="E834" s="65" t="n"/>
      <c r="F834" s="65" t="n"/>
      <c r="G834" s="65" t="n"/>
      <c r="H834" s="65" t="n"/>
      <c r="I834" s="65" t="n"/>
      <c r="J834" s="65" t="n"/>
      <c r="K834" s="65" t="n">
        <v>93</v>
      </c>
      <c r="L834" s="65" t="inlineStr">
        <is>
          <t>[0093] ALTA CILINDRADA SS API SN SAE 15W-40 (1x6)</t>
        </is>
      </c>
      <c r="M834" s="63" t="inlineStr">
        <is>
          <t>43,97</t>
        </is>
      </c>
      <c r="N834" s="63" t="inlineStr">
        <is>
          <t>2,00</t>
        </is>
      </c>
      <c r="O834" s="63" t="inlineStr">
        <is>
          <t>34,63</t>
        </is>
      </c>
      <c r="P834" s="63" t="inlineStr">
        <is>
          <t>57,49</t>
        </is>
      </c>
      <c r="Q834" s="63" t="inlineStr">
        <is>
          <t>66,68</t>
        </is>
      </c>
    </row>
    <row r="835">
      <c r="A835" s="65" t="n"/>
      <c r="B835" s="65" t="n"/>
      <c r="C835" s="65" t="n"/>
      <c r="D835" s="65" t="n"/>
      <c r="E835" s="65" t="n"/>
      <c r="F835" s="65" t="n"/>
      <c r="G835" s="65" t="n"/>
      <c r="H835" s="65" t="n"/>
      <c r="I835" s="65" t="n"/>
      <c r="J835" s="65" t="n"/>
      <c r="K835" s="65" t="n">
        <v>887</v>
      </c>
      <c r="L835" s="65" t="inlineStr">
        <is>
          <t>[0887] MOTOCLASICO 4T SAE 20W-50 (1x12)</t>
        </is>
      </c>
      <c r="M835" s="63" t="inlineStr">
        <is>
          <t>85,34</t>
        </is>
      </c>
      <c r="N835" s="63" t="inlineStr">
        <is>
          <t>1,00</t>
        </is>
      </c>
      <c r="O835" s="63" t="inlineStr">
        <is>
          <t>34,63</t>
        </is>
      </c>
      <c r="P835" s="63" t="inlineStr">
        <is>
          <t>55,79</t>
        </is>
      </c>
      <c r="Q835" s="63" t="inlineStr">
        <is>
          <t>64,71</t>
        </is>
      </c>
    </row>
    <row r="836">
      <c r="A836" s="65" t="n"/>
      <c r="B836" s="65" t="n"/>
      <c r="C836" s="65" t="n"/>
      <c r="D836" s="65" t="n"/>
      <c r="E836" s="65" t="n"/>
      <c r="F836" s="65" t="n"/>
      <c r="G836" s="65" t="n"/>
      <c r="H836" s="65" t="n"/>
      <c r="I836" s="65" t="n"/>
      <c r="J836" s="65" t="n"/>
      <c r="K836" s="65" t="n">
        <v>762</v>
      </c>
      <c r="L836" s="65" t="inlineStr">
        <is>
          <t>[0762] LIGA PARA FRENOS DOT-3 (1x6)</t>
        </is>
      </c>
      <c r="M836" s="63" t="inlineStr">
        <is>
          <t>50,43</t>
        </is>
      </c>
      <c r="N836" s="63" t="inlineStr">
        <is>
          <t>1,00</t>
        </is>
      </c>
      <c r="O836" s="63" t="inlineStr">
        <is>
          <t>34,63</t>
        </is>
      </c>
      <c r="P836" s="63" t="inlineStr">
        <is>
          <t>32,97</t>
        </is>
      </c>
      <c r="Q836" s="63" t="inlineStr">
        <is>
          <t>38,24</t>
        </is>
      </c>
    </row>
    <row r="837">
      <c r="A837" s="66" t="n">
        <v>46205</v>
      </c>
      <c r="B837" s="65" t="n">
        <v>217</v>
      </c>
      <c r="C837" s="65" t="inlineStr">
        <is>
          <t>00-00000721</t>
        </is>
      </c>
      <c r="D837" s="65" t="inlineStr">
        <is>
          <t>S00518</t>
        </is>
      </c>
      <c r="E837" s="65" t="inlineStr">
        <is>
          <t>EMPRENDIMIENTO IRMA RODRIGUEZ 6</t>
        </is>
      </c>
      <c r="F837" s="63" t="inlineStr">
        <is>
          <t>51.280,51</t>
        </is>
      </c>
      <c r="G837" s="63" t="inlineStr">
        <is>
          <t>59.485,39</t>
        </is>
      </c>
      <c r="H837" s="63" t="inlineStr">
        <is>
          <t>102,99</t>
        </is>
      </c>
      <c r="I837" s="63" t="inlineStr">
        <is>
          <t>577,55</t>
        </is>
      </c>
      <c r="J837" s="65" t="n">
        <v>671</v>
      </c>
      <c r="K837" s="65" t="n">
        <v>779</v>
      </c>
      <c r="L837" s="65" t="inlineStr">
        <is>
          <t>[0779] SINOCO SAE 20W-50 (1x12)</t>
        </is>
      </c>
      <c r="M837" s="63" t="inlineStr">
        <is>
          <t>70,29</t>
        </is>
      </c>
      <c r="N837" s="63" t="inlineStr">
        <is>
          <t>2,00</t>
        </is>
      </c>
      <c r="O837" s="63" t="inlineStr">
        <is>
          <t>36,84</t>
        </is>
      </c>
      <c r="P837" s="63" t="inlineStr">
        <is>
          <t>88,79</t>
        </is>
      </c>
      <c r="Q837" s="63" t="inlineStr">
        <is>
          <t>103,00</t>
        </is>
      </c>
    </row>
    <row r="838">
      <c r="A838" s="66" t="n">
        <v>46205</v>
      </c>
      <c r="B838" s="65" t="n">
        <v>216</v>
      </c>
      <c r="C838" s="65" t="inlineStr">
        <is>
          <t>00-00000720</t>
        </is>
      </c>
      <c r="D838" s="65" t="inlineStr">
        <is>
          <t>S00451</t>
        </is>
      </c>
      <c r="E838" s="65" t="inlineStr">
        <is>
          <t>EMPRENDIMIENTO IRMA RODRIGUEZ 6</t>
        </is>
      </c>
      <c r="F838" s="63" t="inlineStr">
        <is>
          <t>138.018,19</t>
        </is>
      </c>
      <c r="G838" s="63" t="inlineStr">
        <is>
          <t>160.101,10</t>
        </is>
      </c>
      <c r="H838" s="63" t="inlineStr">
        <is>
          <t>293,98</t>
        </is>
      </c>
      <c r="I838" s="63" t="inlineStr">
        <is>
          <t>544,58</t>
        </is>
      </c>
      <c r="J838" s="65" t="n">
        <v>508</v>
      </c>
      <c r="K838" s="65" t="n">
        <v>877</v>
      </c>
      <c r="L838" s="65" t="inlineStr">
        <is>
          <t>[0877] SS EXTRA PROTECCION API SN SAE 15W-40 (1X12)</t>
        </is>
      </c>
      <c r="M838" s="63" t="inlineStr">
        <is>
          <t>100,80</t>
        </is>
      </c>
      <c r="N838" s="63" t="inlineStr">
        <is>
          <t>2,00</t>
        </is>
      </c>
      <c r="O838" s="63" t="inlineStr">
        <is>
          <t>40,66</t>
        </is>
      </c>
      <c r="P838" s="63" t="inlineStr">
        <is>
          <t>119,63</t>
        </is>
      </c>
      <c r="Q838" s="63" t="inlineStr">
        <is>
          <t>138,77</t>
        </is>
      </c>
    </row>
    <row r="839">
      <c r="A839" s="65" t="n"/>
      <c r="B839" s="65" t="n"/>
      <c r="C839" s="65" t="n"/>
      <c r="D839" s="65" t="n"/>
      <c r="E839" s="65" t="n"/>
      <c r="F839" s="65" t="n"/>
      <c r="G839" s="65" t="n"/>
      <c r="H839" s="65" t="n"/>
      <c r="I839" s="65" t="n"/>
      <c r="J839" s="65" t="n"/>
      <c r="K839" s="65" t="n">
        <v>83</v>
      </c>
      <c r="L839" s="65" t="inlineStr">
        <is>
          <t>[0083] MAXIMO API CF SAE 50 (PAILA)</t>
        </is>
      </c>
      <c r="M839" s="63" t="inlineStr">
        <is>
          <t>112,73</t>
        </is>
      </c>
      <c r="N839" s="63" t="inlineStr">
        <is>
          <t>2,00</t>
        </is>
      </c>
      <c r="O839" s="63" t="inlineStr">
        <is>
          <t>40,65</t>
        </is>
      </c>
      <c r="P839" s="63" t="inlineStr">
        <is>
          <t>133,81</t>
        </is>
      </c>
      <c r="Q839" s="63" t="inlineStr">
        <is>
          <t>155,22</t>
        </is>
      </c>
    </row>
    <row r="840">
      <c r="A840" s="66" t="n">
        <v>46205</v>
      </c>
      <c r="B840" s="65" t="n">
        <v>215</v>
      </c>
      <c r="C840" s="65" t="inlineStr">
        <is>
          <t>00-00000719</t>
        </is>
      </c>
      <c r="D840" s="65" t="inlineStr">
        <is>
          <t>S00434</t>
        </is>
      </c>
      <c r="E840" s="65" t="inlineStr">
        <is>
          <t>EMPRENDIMIENTO FRANCISCO VEGAS 3</t>
        </is>
      </c>
      <c r="F840" s="63" t="inlineStr">
        <is>
          <t>31.925,15</t>
        </is>
      </c>
      <c r="G840" s="63" t="inlineStr">
        <is>
          <t>37.033,17</t>
        </is>
      </c>
      <c r="H840" s="63" t="inlineStr">
        <is>
          <t>67,99</t>
        </is>
      </c>
      <c r="I840" s="63" t="inlineStr">
        <is>
          <t>544,58</t>
        </is>
      </c>
      <c r="J840" s="65" t="n">
        <v>785</v>
      </c>
      <c r="K840" s="65" t="n">
        <v>887</v>
      </c>
      <c r="L840" s="65" t="inlineStr">
        <is>
          <t>[0887] MOTOCLASICO 4T SAE 20W-50 (1x12)</t>
        </is>
      </c>
      <c r="M840" s="63" t="inlineStr">
        <is>
          <t>90,19</t>
        </is>
      </c>
      <c r="N840" s="63" t="inlineStr">
        <is>
          <t>1,00</t>
        </is>
      </c>
      <c r="O840" s="63" t="inlineStr">
        <is>
          <t>35,00</t>
        </is>
      </c>
      <c r="P840" s="63" t="inlineStr">
        <is>
          <t>58,62</t>
        </is>
      </c>
      <c r="Q840" s="63" t="inlineStr">
        <is>
          <t>68,00</t>
        </is>
      </c>
    </row>
    <row r="841">
      <c r="A841" s="66" t="n">
        <v>46205</v>
      </c>
      <c r="B841" s="65" t="n">
        <v>214</v>
      </c>
      <c r="C841" s="65" t="inlineStr">
        <is>
          <t>00-00000718</t>
        </is>
      </c>
      <c r="D841" s="65" t="inlineStr">
        <is>
          <t>S00301</t>
        </is>
      </c>
      <c r="E841" s="65" t="inlineStr">
        <is>
          <t>CENTRO MOTRIZ GUADALUPE, C.A.</t>
        </is>
      </c>
      <c r="F841" s="63" t="inlineStr">
        <is>
          <t>22.770,64</t>
        </is>
      </c>
      <c r="G841" s="63" t="inlineStr">
        <is>
          <t>26.413,94</t>
        </is>
      </c>
      <c r="H841" s="63" t="inlineStr">
        <is>
          <t>50,99</t>
        </is>
      </c>
      <c r="I841" s="63" t="inlineStr">
        <is>
          <t>517,96</t>
        </is>
      </c>
      <c r="J841" s="65" t="n">
        <v>446</v>
      </c>
      <c r="K841" s="65" t="n">
        <v>789</v>
      </c>
      <c r="L841" s="65" t="inlineStr">
        <is>
          <t>[0789] REFRIGERANTE GLOBAL VERDE (1X3)</t>
        </is>
      </c>
      <c r="M841" s="63" t="inlineStr">
        <is>
          <t>34,48</t>
        </is>
      </c>
      <c r="N841" s="63" t="inlineStr">
        <is>
          <t>1,00</t>
        </is>
      </c>
      <c r="O841" s="63" t="inlineStr">
        <is>
          <t>36,25</t>
        </is>
      </c>
      <c r="P841" s="63" t="inlineStr">
        <is>
          <t>21,98</t>
        </is>
      </c>
      <c r="Q841" s="63" t="inlineStr">
        <is>
          <t>25,50</t>
        </is>
      </c>
    </row>
    <row r="842">
      <c r="A842" s="65" t="n"/>
      <c r="B842" s="65" t="n"/>
      <c r="C842" s="65" t="n"/>
      <c r="D842" s="65" t="n"/>
      <c r="E842" s="65" t="n"/>
      <c r="F842" s="65" t="n"/>
      <c r="G842" s="65" t="n"/>
      <c r="H842" s="65" t="n"/>
      <c r="I842" s="65" t="n"/>
      <c r="J842" s="65" t="n"/>
      <c r="K842" s="65" t="n">
        <v>792</v>
      </c>
      <c r="L842" s="65" t="inlineStr">
        <is>
          <t>[0792] REFRIGERANTE GLOBAL ROJO (1X3)</t>
        </is>
      </c>
      <c r="M842" s="63" t="inlineStr">
        <is>
          <t>34,48</t>
        </is>
      </c>
      <c r="N842" s="63" t="inlineStr">
        <is>
          <t>1,00</t>
        </is>
      </c>
      <c r="O842" s="63" t="inlineStr">
        <is>
          <t>36,25</t>
        </is>
      </c>
      <c r="P842" s="63" t="inlineStr">
        <is>
          <t>21,98</t>
        </is>
      </c>
      <c r="Q842" s="63" t="inlineStr">
        <is>
          <t>25,50</t>
        </is>
      </c>
    </row>
    <row r="843">
      <c r="A843" s="66" t="n">
        <v>46205</v>
      </c>
      <c r="B843" s="65" t="n">
        <v>213</v>
      </c>
      <c r="C843" s="65" t="inlineStr">
        <is>
          <t>00-00000717</t>
        </is>
      </c>
      <c r="D843" s="65" t="inlineStr">
        <is>
          <t>S00245</t>
        </is>
      </c>
      <c r="E843" s="65" t="inlineStr">
        <is>
          <t>Barrios Rodríguez Marlon Enrique</t>
        </is>
      </c>
      <c r="F843" s="63" t="inlineStr">
        <is>
          <t>30.835,26</t>
        </is>
      </c>
      <c r="G843" s="63" t="inlineStr">
        <is>
          <t>35.768,90</t>
        </is>
      </c>
      <c r="H843" s="63" t="inlineStr">
        <is>
          <t>71,99</t>
        </is>
      </c>
      <c r="I843" s="63" t="inlineStr">
        <is>
          <t>496,83</t>
        </is>
      </c>
      <c r="J843" s="65" t="n">
        <v>839</v>
      </c>
      <c r="K843" s="65" t="n">
        <v>884</v>
      </c>
      <c r="L843" s="65" t="inlineStr">
        <is>
          <t>[0884] TRANSMATIC ATF DEXRON III (1x12)</t>
        </is>
      </c>
      <c r="M843" s="63" t="inlineStr">
        <is>
          <t>96,00</t>
        </is>
      </c>
      <c r="N843" s="63" t="inlineStr">
        <is>
          <t>1,00</t>
        </is>
      </c>
      <c r="O843" s="63" t="inlineStr">
        <is>
          <t>35,35</t>
        </is>
      </c>
      <c r="P843" s="63" t="inlineStr">
        <is>
          <t>62,06</t>
        </is>
      </c>
      <c r="Q843" s="63" t="inlineStr">
        <is>
          <t>71,99</t>
        </is>
      </c>
    </row>
    <row r="844">
      <c r="A844" s="66" t="n">
        <v>46205</v>
      </c>
      <c r="B844" s="65" t="n">
        <v>212</v>
      </c>
      <c r="C844" s="65" t="inlineStr">
        <is>
          <t>00-00000716</t>
        </is>
      </c>
      <c r="D844" s="65" t="inlineStr">
        <is>
          <t>S00261</t>
        </is>
      </c>
      <c r="E844" s="65" t="inlineStr">
        <is>
          <t>Autopartes Munich PH 168 C.A.</t>
        </is>
      </c>
      <c r="F844" s="63" t="inlineStr">
        <is>
          <t>62.741,86</t>
        </is>
      </c>
      <c r="G844" s="63" t="inlineStr">
        <is>
          <t>72.780,56</t>
        </is>
      </c>
      <c r="H844" s="63" t="inlineStr">
        <is>
          <t>149,98</t>
        </is>
      </c>
      <c r="I844" s="63" t="inlineStr">
        <is>
          <t>485,23</t>
        </is>
      </c>
      <c r="J844" s="65" t="n">
        <v>698</v>
      </c>
      <c r="K844" s="65" t="n">
        <v>877</v>
      </c>
      <c r="L844" s="65" t="inlineStr">
        <is>
          <t>[0877] SS EXTRA PROTECCION API SN SAE 15W-40 (1X12)</t>
        </is>
      </c>
      <c r="M844" s="63" t="inlineStr">
        <is>
          <t>99,88</t>
        </is>
      </c>
      <c r="N844" s="63" t="inlineStr">
        <is>
          <t>1,00</t>
        </is>
      </c>
      <c r="O844" s="63" t="inlineStr">
        <is>
          <t>35,27</t>
        </is>
      </c>
      <c r="P844" s="63" t="inlineStr">
        <is>
          <t>64,65</t>
        </is>
      </c>
      <c r="Q844" s="63" t="inlineStr">
        <is>
          <t>75,00</t>
        </is>
      </c>
    </row>
    <row r="845">
      <c r="A845" s="65" t="n"/>
      <c r="B845" s="65" t="n"/>
      <c r="C845" s="65" t="n"/>
      <c r="D845" s="65" t="n"/>
      <c r="E845" s="65" t="n"/>
      <c r="F845" s="65" t="n"/>
      <c r="G845" s="65" t="n"/>
      <c r="H845" s="65" t="n"/>
      <c r="I845" s="65" t="n"/>
      <c r="J845" s="65" t="n"/>
      <c r="K845" s="65" t="n">
        <v>878</v>
      </c>
      <c r="L845" s="65" t="inlineStr">
        <is>
          <t>[0878] SS EXTRA PROTECCION API SN SAE 20W-50 (1x12)</t>
        </is>
      </c>
      <c r="M845" s="63" t="inlineStr">
        <is>
          <t>99,88</t>
        </is>
      </c>
      <c r="N845" s="63" t="inlineStr">
        <is>
          <t>1,00</t>
        </is>
      </c>
      <c r="O845" s="63" t="inlineStr">
        <is>
          <t>35,27</t>
        </is>
      </c>
      <c r="P845" s="63" t="inlineStr">
        <is>
          <t>64,65</t>
        </is>
      </c>
      <c r="Q845" s="63" t="inlineStr">
        <is>
          <t>75,00</t>
        </is>
      </c>
    </row>
    <row r="846">
      <c r="A846" s="66" t="n">
        <v>46205</v>
      </c>
      <c r="B846" s="65" t="n">
        <v>211</v>
      </c>
      <c r="C846" s="65" t="inlineStr">
        <is>
          <t>00-00000715</t>
        </is>
      </c>
      <c r="D846" s="65" t="inlineStr">
        <is>
          <t>S00169</t>
        </is>
      </c>
      <c r="E846" s="65" t="inlineStr">
        <is>
          <t>ALI ALEXANDER MORENO FIGUEREDO</t>
        </is>
      </c>
      <c r="F846" s="63" t="inlineStr">
        <is>
          <t>9.801,82</t>
        </is>
      </c>
      <c r="G846" s="63" t="inlineStr">
        <is>
          <t>11.370,11</t>
        </is>
      </c>
      <c r="H846" s="63" t="inlineStr">
        <is>
          <t>23,98</t>
        </is>
      </c>
      <c r="I846" s="63" t="inlineStr">
        <is>
          <t>473,87</t>
        </is>
      </c>
      <c r="J846" s="65" t="n">
        <v>145</v>
      </c>
      <c r="K846" s="65" t="n">
        <v>761</v>
      </c>
      <c r="L846" s="65" t="inlineStr">
        <is>
          <t>[0761] LIGA PARA FRENOS DOT-3 (1x12)</t>
        </is>
      </c>
      <c r="M846" s="63" t="inlineStr">
        <is>
          <t>31,03</t>
        </is>
      </c>
      <c r="N846" s="63" t="inlineStr">
        <is>
          <t>1,00</t>
        </is>
      </c>
      <c r="O846" s="63" t="inlineStr">
        <is>
          <t>33,34</t>
        </is>
      </c>
      <c r="P846" s="63" t="inlineStr">
        <is>
          <t>20,68</t>
        </is>
      </c>
      <c r="Q846" s="63" t="inlineStr">
        <is>
          <t>23,99</t>
        </is>
      </c>
    </row>
    <row r="847">
      <c r="A847" s="66" t="n">
        <v>46205</v>
      </c>
      <c r="B847" s="65" t="n">
        <v>210</v>
      </c>
      <c r="C847" s="65" t="inlineStr">
        <is>
          <t>00-00000713</t>
        </is>
      </c>
      <c r="D847" s="65" t="inlineStr">
        <is>
          <t>S00238</t>
        </is>
      </c>
      <c r="E847" s="65" t="inlineStr">
        <is>
          <t>José Brea</t>
        </is>
      </c>
      <c r="F847" s="63" t="inlineStr">
        <is>
          <t>32.120,07</t>
        </is>
      </c>
      <c r="G847" s="63" t="inlineStr">
        <is>
          <t>37.259,28</t>
        </is>
      </c>
      <c r="H847" s="63" t="inlineStr">
        <is>
          <t>74,99</t>
        </is>
      </c>
      <c r="I847" s="63" t="inlineStr">
        <is>
          <t>496,83</t>
        </is>
      </c>
      <c r="J847" s="65" t="n">
        <v>875</v>
      </c>
      <c r="K847" s="65" t="n">
        <v>877</v>
      </c>
      <c r="L847" s="65" t="inlineStr">
        <is>
          <t>[0877] SS EXTRA PROTECCION API SN SAE 15W-40 (1X12)</t>
        </is>
      </c>
      <c r="M847" s="63" t="inlineStr">
        <is>
          <t>100,00</t>
        </is>
      </c>
      <c r="N847" s="63" t="inlineStr">
        <is>
          <t>1,00</t>
        </is>
      </c>
      <c r="O847" s="63" t="inlineStr">
        <is>
          <t>35,35</t>
        </is>
      </c>
      <c r="P847" s="63" t="inlineStr">
        <is>
          <t>64,65</t>
        </is>
      </c>
      <c r="Q847" s="63" t="inlineStr">
        <is>
          <t>74,99</t>
        </is>
      </c>
    </row>
    <row r="848">
      <c r="A848" s="66" t="n">
        <v>46205</v>
      </c>
      <c r="B848" s="65" t="n">
        <v>209</v>
      </c>
      <c r="C848" s="65" t="inlineStr">
        <is>
          <t>00-00000710</t>
        </is>
      </c>
      <c r="D848" s="65" t="inlineStr">
        <is>
          <t>S00141</t>
        </is>
      </c>
      <c r="E848" s="65" t="inlineStr">
        <is>
          <t>Yulendri Carolina Pineda Blanco</t>
        </is>
      </c>
      <c r="F848" s="63" t="inlineStr">
        <is>
          <t>110.293,47</t>
        </is>
      </c>
      <c r="G848" s="63" t="inlineStr">
        <is>
          <t>127.940,43</t>
        </is>
      </c>
      <c r="H848" s="63" t="inlineStr">
        <is>
          <t>199,99</t>
        </is>
      </c>
      <c r="I848" s="63" t="inlineStr">
        <is>
          <t>639,70</t>
        </is>
      </c>
      <c r="J848" s="65" t="n">
        <v>137</v>
      </c>
      <c r="K848" s="65" t="n">
        <v>602</v>
      </c>
      <c r="L848" s="65" t="inlineStr">
        <is>
          <t>[0602] SINOCO SAE 50 (PAILA)</t>
        </is>
      </c>
      <c r="M848" s="63" t="inlineStr">
        <is>
          <t>57,76</t>
        </is>
      </c>
      <c r="N848" s="63" t="inlineStr">
        <is>
          <t>1,00</t>
        </is>
      </c>
      <c r="O848" s="63" t="inlineStr">
        <is>
          <t>0,50</t>
        </is>
      </c>
      <c r="P848" s="63" t="inlineStr">
        <is>
          <t>57,47</t>
        </is>
      </c>
      <c r="Q848" s="63" t="inlineStr">
        <is>
          <t>66,67</t>
        </is>
      </c>
    </row>
    <row r="849">
      <c r="A849" s="65" t="n"/>
      <c r="B849" s="65" t="n"/>
      <c r="C849" s="65" t="n"/>
      <c r="D849" s="65" t="n"/>
      <c r="E849" s="65" t="n"/>
      <c r="F849" s="65" t="n"/>
      <c r="G849" s="65" t="n"/>
      <c r="H849" s="65" t="n"/>
      <c r="I849" s="65" t="n"/>
      <c r="J849" s="65" t="n">
        <v>229</v>
      </c>
      <c r="K849" s="65" t="n"/>
      <c r="L849" s="65" t="n"/>
      <c r="M849" s="65" t="n"/>
      <c r="N849" s="65" t="n"/>
      <c r="O849" s="65" t="n"/>
      <c r="P849" s="65" t="n"/>
      <c r="Q849" s="65" t="n"/>
    </row>
    <row r="850">
      <c r="A850" s="65" t="n"/>
      <c r="B850" s="65" t="n"/>
      <c r="C850" s="65" t="n"/>
      <c r="D850" s="65" t="n"/>
      <c r="E850" s="65" t="n"/>
      <c r="F850" s="65" t="n"/>
      <c r="G850" s="65" t="n"/>
      <c r="H850" s="65" t="n"/>
      <c r="I850" s="65" t="n"/>
      <c r="J850" s="65" t="n">
        <v>284</v>
      </c>
      <c r="K850" s="65" t="n"/>
      <c r="L850" s="65" t="n"/>
      <c r="M850" s="65" t="n"/>
      <c r="N850" s="65" t="n"/>
      <c r="O850" s="65" t="n"/>
      <c r="P850" s="65" t="n"/>
      <c r="Q850" s="65" t="n"/>
    </row>
    <row r="851">
      <c r="A851" s="65" t="n"/>
      <c r="B851" s="65" t="n"/>
      <c r="C851" s="65" t="n"/>
      <c r="D851" s="65" t="n"/>
      <c r="E851" s="65" t="n"/>
      <c r="F851" s="65" t="n"/>
      <c r="G851" s="65" t="n"/>
      <c r="H851" s="65" t="n"/>
      <c r="I851" s="65" t="n"/>
      <c r="J851" s="65" t="n"/>
      <c r="K851" s="65" t="n">
        <v>605</v>
      </c>
      <c r="L851" s="65" t="inlineStr">
        <is>
          <t>[0605] SINOCO SAE 20W-50 (PAILA)</t>
        </is>
      </c>
      <c r="M851" s="63" t="inlineStr">
        <is>
          <t>57,76</t>
        </is>
      </c>
      <c r="N851" s="63" t="inlineStr">
        <is>
          <t>1,00</t>
        </is>
      </c>
      <c r="O851" s="63" t="inlineStr">
        <is>
          <t>0,50</t>
        </is>
      </c>
      <c r="P851" s="63" t="inlineStr">
        <is>
          <t>57,47</t>
        </is>
      </c>
      <c r="Q851" s="63" t="inlineStr">
        <is>
          <t>66,67</t>
        </is>
      </c>
    </row>
    <row r="852">
      <c r="A852" s="65" t="n"/>
      <c r="B852" s="65" t="n"/>
      <c r="C852" s="65" t="n"/>
      <c r="D852" s="65" t="n"/>
      <c r="E852" s="65" t="n"/>
      <c r="F852" s="65" t="n"/>
      <c r="G852" s="65" t="n"/>
      <c r="H852" s="65" t="n"/>
      <c r="I852" s="65" t="n"/>
      <c r="J852" s="65" t="n"/>
      <c r="K852" s="65" t="n">
        <v>884</v>
      </c>
      <c r="L852" s="65" t="inlineStr">
        <is>
          <t>[0884] TRANSMATIC ATF DEXRON III (1x12)</t>
        </is>
      </c>
      <c r="M852" s="63" t="inlineStr">
        <is>
          <t>57,76</t>
        </is>
      </c>
      <c r="N852" s="63" t="inlineStr">
        <is>
          <t>1,00</t>
        </is>
      </c>
      <c r="O852" s="63" t="inlineStr">
        <is>
          <t>0,50</t>
        </is>
      </c>
      <c r="P852" s="63" t="inlineStr">
        <is>
          <t>57,47</t>
        </is>
      </c>
      <c r="Q852" s="63" t="inlineStr">
        <is>
          <t>66,67</t>
        </is>
      </c>
    </row>
    <row r="853">
      <c r="A853" s="66" t="n">
        <v>46204</v>
      </c>
      <c r="B853" s="65" t="n">
        <v>208</v>
      </c>
      <c r="C853" s="65" t="inlineStr">
        <is>
          <t>00-00000705</t>
        </is>
      </c>
      <c r="D853" s="65" t="inlineStr">
        <is>
          <t>S00104</t>
        </is>
      </c>
      <c r="E853" s="65" t="inlineStr">
        <is>
          <t>Inversiones Brayan CT C.A</t>
        </is>
      </c>
      <c r="F853" s="63" t="inlineStr">
        <is>
          <t>84.799,52</t>
        </is>
      </c>
      <c r="G853" s="63" t="inlineStr">
        <is>
          <t>98.367,44</t>
        </is>
      </c>
      <c r="H853" s="63" t="inlineStr">
        <is>
          <t>197,98</t>
        </is>
      </c>
      <c r="I853" s="63" t="inlineStr">
        <is>
          <t>496,83</t>
        </is>
      </c>
      <c r="J853" s="65" t="n">
        <v>81</v>
      </c>
      <c r="K853" s="65" t="n">
        <v>887</v>
      </c>
      <c r="L853" s="65" t="inlineStr">
        <is>
          <t>[0887] MOTOCLASICO 4T SAE 20W-50 (1x12)</t>
        </is>
      </c>
      <c r="M853" s="63" t="inlineStr">
        <is>
          <t>85,35</t>
        </is>
      </c>
      <c r="N853" s="63" t="inlineStr">
        <is>
          <t>3,00</t>
        </is>
      </c>
      <c r="O853" s="63" t="inlineStr">
        <is>
          <t>33,34</t>
        </is>
      </c>
      <c r="P853" s="63" t="inlineStr">
        <is>
          <t>170,68</t>
        </is>
      </c>
      <c r="Q853" s="63" t="inlineStr">
        <is>
          <t>197,99</t>
        </is>
      </c>
    </row>
    <row r="854">
      <c r="A854" s="65" t="n"/>
      <c r="B854" s="65" t="n"/>
      <c r="C854" s="65" t="n"/>
      <c r="D854" s="65" t="n"/>
      <c r="E854" s="65" t="n"/>
      <c r="F854" s="65" t="n"/>
      <c r="G854" s="65" t="n"/>
      <c r="H854" s="65" t="n"/>
      <c r="I854" s="65" t="n"/>
      <c r="J854" s="65" t="n">
        <v>101</v>
      </c>
      <c r="K854" s="65" t="n"/>
      <c r="L854" s="65" t="n"/>
      <c r="M854" s="65" t="n"/>
      <c r="N854" s="65" t="n"/>
      <c r="O854" s="65" t="n"/>
      <c r="P854" s="65" t="n"/>
      <c r="Q854" s="65" t="n"/>
    </row>
    <row r="855">
      <c r="A855" s="65" t="n"/>
      <c r="B855" s="65" t="n"/>
      <c r="C855" s="65" t="n"/>
      <c r="D855" s="65" t="n"/>
      <c r="E855" s="65" t="n"/>
      <c r="F855" s="65" t="n"/>
      <c r="G855" s="65" t="n"/>
      <c r="H855" s="65" t="n"/>
      <c r="I855" s="65" t="n"/>
      <c r="J855" s="65" t="n">
        <v>158</v>
      </c>
      <c r="K855" s="65" t="n"/>
      <c r="L855" s="65" t="n"/>
      <c r="M855" s="65" t="n"/>
      <c r="N855" s="65" t="n"/>
      <c r="O855" s="65" t="n"/>
      <c r="P855" s="65" t="n"/>
      <c r="Q855" s="65" t="n"/>
    </row>
    <row r="856">
      <c r="A856" s="65" t="n"/>
      <c r="B856" s="65" t="n"/>
      <c r="C856" s="65" t="n"/>
      <c r="D856" s="65" t="n"/>
      <c r="E856" s="65" t="n"/>
      <c r="F856" s="65" t="n"/>
      <c r="G856" s="65" t="n"/>
      <c r="H856" s="65" t="n"/>
      <c r="I856" s="65" t="n"/>
      <c r="J856" s="65" t="n">
        <v>218</v>
      </c>
      <c r="K856" s="65" t="n"/>
      <c r="L856" s="65" t="n"/>
      <c r="M856" s="65" t="n"/>
      <c r="N856" s="65" t="n"/>
      <c r="O856" s="65" t="n"/>
      <c r="P856" s="65" t="n"/>
      <c r="Q856" s="65" t="n"/>
    </row>
    <row r="857">
      <c r="A857" s="66" t="n">
        <v>46204</v>
      </c>
      <c r="B857" s="65" t="n">
        <v>207</v>
      </c>
      <c r="C857" s="65" t="inlineStr">
        <is>
          <t>00-00000704</t>
        </is>
      </c>
      <c r="D857" s="65" t="inlineStr">
        <is>
          <t>S00018</t>
        </is>
      </c>
      <c r="E857" s="65" t="inlineStr">
        <is>
          <t>AUTO ACCESORIOS VZLA, C.A.</t>
        </is>
      </c>
      <c r="F857" s="63" t="inlineStr">
        <is>
          <t>41.121,63</t>
        </is>
      </c>
      <c r="G857" s="63" t="inlineStr">
        <is>
          <t>47.701,09</t>
        </is>
      </c>
      <c r="H857" s="63" t="inlineStr">
        <is>
          <t>96,00</t>
        </is>
      </c>
      <c r="I857" s="63" t="inlineStr">
        <is>
          <t>496,83</t>
        </is>
      </c>
      <c r="J857" s="65" t="n">
        <v>68</v>
      </c>
      <c r="K857" s="65" t="n">
        <v>779</v>
      </c>
      <c r="L857" s="65" t="inlineStr">
        <is>
          <t>[0779] SINOCO SAE 20W-50 (1x12)</t>
        </is>
      </c>
      <c r="M857" s="63" t="inlineStr">
        <is>
          <t>51,73</t>
        </is>
      </c>
      <c r="N857" s="63" t="inlineStr">
        <is>
          <t>2,00</t>
        </is>
      </c>
      <c r="O857" s="63" t="inlineStr">
        <is>
          <t>20,00</t>
        </is>
      </c>
      <c r="P857" s="63" t="inlineStr">
        <is>
          <t>82,77</t>
        </is>
      </c>
      <c r="Q857" s="63" t="inlineStr">
        <is>
          <t>96,01</t>
        </is>
      </c>
    </row>
    <row r="858">
      <c r="A858" s="65" t="n"/>
      <c r="B858" s="65" t="n"/>
      <c r="C858" s="65" t="n"/>
      <c r="D858" s="65" t="n"/>
      <c r="E858" s="65" t="n"/>
      <c r="F858" s="65" t="n"/>
      <c r="G858" s="65" t="n"/>
      <c r="H858" s="65" t="n"/>
      <c r="I858" s="65" t="n"/>
      <c r="J858" s="65" t="n">
        <v>100</v>
      </c>
      <c r="K858" s="65" t="n"/>
      <c r="L858" s="65" t="n"/>
      <c r="M858" s="65" t="n"/>
      <c r="N858" s="65" t="n"/>
      <c r="O858" s="65" t="n"/>
      <c r="P858" s="65" t="n"/>
      <c r="Q858" s="65" t="n"/>
    </row>
    <row r="859">
      <c r="A859" s="66" t="n">
        <v>46204</v>
      </c>
      <c r="B859" s="65" t="n">
        <v>206</v>
      </c>
      <c r="C859" s="65" t="inlineStr">
        <is>
          <t>00-00000703</t>
        </is>
      </c>
      <c r="D859" s="65" t="inlineStr">
        <is>
          <t>S00056</t>
        </is>
      </c>
      <c r="E859" s="65" t="inlineStr">
        <is>
          <t>Motolavado Yahir</t>
        </is>
      </c>
      <c r="F859" s="63" t="inlineStr">
        <is>
          <t>57.388,79</t>
        </is>
      </c>
      <c r="G859" s="63" t="inlineStr">
        <is>
          <t>66.571,00</t>
        </is>
      </c>
      <c r="H859" s="63" t="inlineStr">
        <is>
          <t>133,98</t>
        </is>
      </c>
      <c r="I859" s="63" t="inlineStr">
        <is>
          <t>496,83</t>
        </is>
      </c>
      <c r="J859" s="65" t="n">
        <v>64</v>
      </c>
      <c r="K859" s="65" t="n">
        <v>605</v>
      </c>
      <c r="L859" s="65" t="inlineStr">
        <is>
          <t>[0605] SINOCO SAE 20W-50 (PAILA)</t>
        </is>
      </c>
      <c r="M859" s="63" t="inlineStr">
        <is>
          <t>72,42</t>
        </is>
      </c>
      <c r="N859" s="63" t="inlineStr">
        <is>
          <t>2,00</t>
        </is>
      </c>
      <c r="O859" s="63" t="inlineStr">
        <is>
          <t>20,25</t>
        </is>
      </c>
      <c r="P859" s="63" t="inlineStr">
        <is>
          <t>115,51</t>
        </is>
      </c>
      <c r="Q859" s="63" t="inlineStr">
        <is>
          <t>133,99</t>
        </is>
      </c>
    </row>
    <row r="860">
      <c r="A860" s="65" t="n"/>
      <c r="B860" s="65" t="n"/>
      <c r="C860" s="65" t="n"/>
      <c r="D860" s="65" t="n"/>
      <c r="E860" s="65" t="n"/>
      <c r="F860" s="65" t="n"/>
      <c r="G860" s="65" t="n"/>
      <c r="H860" s="65" t="n"/>
      <c r="I860" s="65" t="n"/>
      <c r="J860" s="65" t="n">
        <v>75</v>
      </c>
      <c r="K860" s="65" t="n"/>
      <c r="L860" s="65" t="n"/>
      <c r="M860" s="65" t="n"/>
      <c r="N860" s="65" t="n"/>
      <c r="O860" s="65" t="n"/>
      <c r="P860" s="65" t="n"/>
      <c r="Q860" s="65" t="n"/>
    </row>
    <row r="861">
      <c r="A861" s="65" t="n"/>
      <c r="B861" s="65" t="n"/>
      <c r="C861" s="65" t="n"/>
      <c r="D861" s="65" t="n"/>
      <c r="E861" s="65" t="n"/>
      <c r="F861" s="65" t="n"/>
      <c r="G861" s="65" t="n"/>
      <c r="H861" s="65" t="n"/>
      <c r="I861" s="65" t="n"/>
      <c r="J861" s="65" t="n">
        <v>85</v>
      </c>
      <c r="K861" s="65" t="n"/>
      <c r="L861" s="65" t="n"/>
      <c r="M861" s="65" t="n"/>
      <c r="N861" s="65" t="n"/>
      <c r="O861" s="65" t="n"/>
      <c r="P861" s="65" t="n"/>
      <c r="Q861" s="65" t="n"/>
    </row>
    <row r="862">
      <c r="A862" s="66" t="n">
        <v>46204</v>
      </c>
      <c r="B862" s="65" t="n">
        <v>205</v>
      </c>
      <c r="C862" s="65" t="inlineStr">
        <is>
          <t>00-00000702</t>
        </is>
      </c>
      <c r="D862" s="65" t="inlineStr">
        <is>
          <t>S00190</t>
        </is>
      </c>
      <c r="E862" s="65" t="inlineStr">
        <is>
          <t>Anthony Jose Quijada Diaz.</t>
        </is>
      </c>
      <c r="F862" s="63" t="inlineStr">
        <is>
          <t>142.586,53</t>
        </is>
      </c>
      <c r="G862" s="63" t="inlineStr">
        <is>
          <t>165.400,37</t>
        </is>
      </c>
      <c r="H862" s="63" t="inlineStr">
        <is>
          <t>345,59</t>
        </is>
      </c>
      <c r="I862" s="63" t="inlineStr">
        <is>
          <t>478,58</t>
        </is>
      </c>
      <c r="J862" s="65" t="n">
        <v>872</v>
      </c>
      <c r="K862" s="65" t="n">
        <v>73</v>
      </c>
      <c r="L862" s="65" t="inlineStr">
        <is>
          <t>[0073] SUPREMO API CI-4 SAE 15W-40 (PAILA)</t>
        </is>
      </c>
      <c r="M862" s="63" t="inlineStr">
        <is>
          <t>82,76</t>
        </is>
      </c>
      <c r="N862" s="63" t="inlineStr">
        <is>
          <t>4,00</t>
        </is>
      </c>
      <c r="O862" s="63" t="inlineStr">
        <is>
          <t>10,00</t>
        </is>
      </c>
      <c r="P862" s="63" t="inlineStr">
        <is>
          <t>297,94</t>
        </is>
      </c>
      <c r="Q862" s="63" t="inlineStr">
        <is>
          <t>345,61</t>
        </is>
      </c>
    </row>
    <row r="863">
      <c r="A863" s="65" t="n"/>
      <c r="B863" s="65" t="n"/>
      <c r="C863" s="65" t="n"/>
      <c r="D863" s="65" t="n"/>
      <c r="E863" s="65" t="n"/>
      <c r="F863" s="65" t="n"/>
      <c r="G863" s="65" t="n"/>
      <c r="H863" s="65" t="n"/>
      <c r="I863" s="65" t="n"/>
      <c r="J863" s="65" t="n">
        <v>873</v>
      </c>
      <c r="K863" s="65" t="n"/>
      <c r="L863" s="65" t="n"/>
      <c r="M863" s="65" t="n"/>
      <c r="N863" s="65" t="n"/>
      <c r="O863" s="65" t="n"/>
      <c r="P863" s="65" t="n"/>
      <c r="Q863" s="65" t="n"/>
    </row>
    <row r="864">
      <c r="A864" s="65" t="n"/>
      <c r="B864" s="65" t="n"/>
      <c r="C864" s="65" t="n"/>
      <c r="D864" s="65" t="n"/>
      <c r="E864" s="65" t="n"/>
      <c r="F864" s="65" t="n"/>
      <c r="G864" s="65" t="n"/>
      <c r="H864" s="65" t="n"/>
      <c r="I864" s="65" t="n"/>
      <c r="J864" s="65" t="n"/>
      <c r="K864" s="65" t="n"/>
      <c r="L864" s="65" t="n"/>
      <c r="M864" s="63" t="inlineStr">
        <is>
          <t>0,00</t>
        </is>
      </c>
      <c r="N864" s="63" t="inlineStr">
        <is>
          <t>0,00</t>
        </is>
      </c>
      <c r="O864" s="63" t="inlineStr">
        <is>
          <t>0,00</t>
        </is>
      </c>
      <c r="P864" s="63" t="inlineStr">
        <is>
          <t>0,00</t>
        </is>
      </c>
      <c r="Q864" s="63" t="inlineStr">
        <is>
          <t>0,00</t>
        </is>
      </c>
    </row>
    <row r="865">
      <c r="A865" s="66" t="n">
        <v>46204</v>
      </c>
      <c r="B865" s="65" t="n">
        <v>204</v>
      </c>
      <c r="C865" s="65" t="inlineStr">
        <is>
          <t>00-00000701</t>
        </is>
      </c>
      <c r="D865" s="65" t="inlineStr">
        <is>
          <t>S00090</t>
        </is>
      </c>
      <c r="E865" s="65" t="inlineStr">
        <is>
          <t>ACCESORIOS Y REPUESTOS MOTO CAR 20-11-C.A</t>
        </is>
      </c>
      <c r="F865" s="63" t="inlineStr">
        <is>
          <t>73.241,16</t>
        </is>
      </c>
      <c r="G865" s="63" t="inlineStr">
        <is>
          <t>84.959,75</t>
        </is>
      </c>
      <c r="H865" s="63" t="inlineStr">
        <is>
          <t>170,98</t>
        </is>
      </c>
      <c r="I865" s="63" t="inlineStr">
        <is>
          <t>496,83</t>
        </is>
      </c>
      <c r="J865" s="65" t="n">
        <v>78</v>
      </c>
      <c r="K865" s="65" t="n">
        <v>877</v>
      </c>
      <c r="L865" s="65" t="inlineStr">
        <is>
          <t>[0877] SS EXTRA PROTECCION API SN SAE 15W-40 (1X12)</t>
        </is>
      </c>
      <c r="M865" s="63" t="inlineStr">
        <is>
          <t>90,48</t>
        </is>
      </c>
      <c r="N865" s="63" t="inlineStr">
        <is>
          <t>1,00</t>
        </is>
      </c>
      <c r="O865" s="63" t="inlineStr">
        <is>
          <t>41,16</t>
        </is>
      </c>
      <c r="P865" s="63" t="inlineStr">
        <is>
          <t>67,87</t>
        </is>
      </c>
      <c r="Q865" s="63" t="inlineStr">
        <is>
          <t>78,73</t>
        </is>
      </c>
    </row>
    <row r="866">
      <c r="A866" s="65" t="n"/>
      <c r="B866" s="65" t="n"/>
      <c r="C866" s="65" t="n"/>
      <c r="D866" s="65" t="n"/>
      <c r="E866" s="65" t="n"/>
      <c r="F866" s="65" t="n"/>
      <c r="G866" s="65" t="n"/>
      <c r="H866" s="65" t="n"/>
      <c r="I866" s="65" t="n"/>
      <c r="J866" s="65" t="n">
        <v>122</v>
      </c>
      <c r="K866" s="65" t="n"/>
      <c r="L866" s="65" t="n"/>
      <c r="M866" s="65" t="n"/>
      <c r="N866" s="65" t="n"/>
      <c r="O866" s="65" t="n"/>
      <c r="P866" s="65" t="n"/>
      <c r="Q866" s="65" t="n"/>
    </row>
    <row r="867">
      <c r="A867" s="65" t="n"/>
      <c r="B867" s="65" t="n"/>
      <c r="C867" s="65" t="n"/>
      <c r="D867" s="65" t="n"/>
      <c r="E867" s="65" t="n"/>
      <c r="F867" s="65" t="n"/>
      <c r="G867" s="65" t="n"/>
      <c r="H867" s="65" t="n"/>
      <c r="I867" s="65" t="n"/>
      <c r="J867" s="65" t="n"/>
      <c r="K867" s="65" t="n">
        <v>880</v>
      </c>
      <c r="L867" s="65" t="inlineStr">
        <is>
          <t>[0880] CLASICO API SL SAE 15W-40 (1x12)</t>
        </is>
      </c>
      <c r="M867" s="63" t="inlineStr">
        <is>
          <t>67,25</t>
        </is>
      </c>
      <c r="N867" s="63" t="inlineStr">
        <is>
          <t>1,00</t>
        </is>
      </c>
      <c r="O867" s="63" t="inlineStr">
        <is>
          <t>41,16</t>
        </is>
      </c>
      <c r="P867" s="63" t="inlineStr">
        <is>
          <t>50,44</t>
        </is>
      </c>
      <c r="Q867" s="63" t="inlineStr">
        <is>
          <t>58,52</t>
        </is>
      </c>
    </row>
    <row r="868">
      <c r="A868" s="65" t="n"/>
      <c r="B868" s="65" t="n"/>
      <c r="C868" s="65" t="n"/>
      <c r="D868" s="65" t="n"/>
      <c r="E868" s="65" t="n"/>
      <c r="F868" s="65" t="n"/>
      <c r="G868" s="65" t="n"/>
      <c r="H868" s="65" t="n"/>
      <c r="I868" s="65" t="n"/>
      <c r="J868" s="65" t="n"/>
      <c r="K868" s="65" t="n">
        <v>121</v>
      </c>
      <c r="L868" s="65" t="inlineStr">
        <is>
          <t>[0121] TRANSGLOB API GL-5 SAE 80W-90 (1x6)</t>
        </is>
      </c>
      <c r="M868" s="63" t="inlineStr">
        <is>
          <t>38,80</t>
        </is>
      </c>
      <c r="N868" s="63" t="inlineStr">
        <is>
          <t>1,00</t>
        </is>
      </c>
      <c r="O868" s="63" t="inlineStr">
        <is>
          <t>41,16</t>
        </is>
      </c>
      <c r="P868" s="63" t="inlineStr">
        <is>
          <t>29,10</t>
        </is>
      </c>
      <c r="Q868" s="63" t="inlineStr">
        <is>
          <t>33,76</t>
        </is>
      </c>
    </row>
    <row r="869">
      <c r="A869" s="66" t="n">
        <v>46204</v>
      </c>
      <c r="B869" s="65" t="n">
        <v>203</v>
      </c>
      <c r="C869" s="65" t="inlineStr">
        <is>
          <t>00-00000697</t>
        </is>
      </c>
      <c r="D869" s="65" t="inlineStr">
        <is>
          <t>S00171</t>
        </is>
      </c>
      <c r="E869" s="65" t="inlineStr">
        <is>
          <t>FREDI MARQUEZ</t>
        </is>
      </c>
      <c r="F869" s="63" t="inlineStr">
        <is>
          <t>141.949,85</t>
        </is>
      </c>
      <c r="G869" s="63" t="inlineStr">
        <is>
          <t>164.661,83</t>
        </is>
      </c>
      <c r="H869" s="63" t="inlineStr">
        <is>
          <t>259,97</t>
        </is>
      </c>
      <c r="I869" s="63" t="inlineStr">
        <is>
          <t>633,36</t>
        </is>
      </c>
      <c r="J869" s="65" t="n">
        <v>6</v>
      </c>
      <c r="K869" s="65" t="n">
        <v>602</v>
      </c>
      <c r="L869" s="65" t="inlineStr">
        <is>
          <t>[0602] SINOCO SAE 50 (PAILA)</t>
        </is>
      </c>
      <c r="M869" s="63" t="inlineStr">
        <is>
          <t>86,64</t>
        </is>
      </c>
      <c r="N869" s="63" t="inlineStr">
        <is>
          <t>4,00</t>
        </is>
      </c>
      <c r="O869" s="63" t="inlineStr">
        <is>
          <t>35,33</t>
        </is>
      </c>
      <c r="P869" s="63" t="inlineStr">
        <is>
          <t>224,12</t>
        </is>
      </c>
      <c r="Q869" s="63" t="inlineStr">
        <is>
          <t>259,98</t>
        </is>
      </c>
    </row>
    <row r="870">
      <c r="A870" s="66" t="n">
        <v>46204</v>
      </c>
      <c r="B870" s="65" t="n">
        <v>202</v>
      </c>
      <c r="C870" s="65" t="inlineStr">
        <is>
          <t>00-00000695</t>
        </is>
      </c>
      <c r="D870" s="65" t="inlineStr">
        <is>
          <t>S00431</t>
        </is>
      </c>
      <c r="E870" s="65" t="inlineStr">
        <is>
          <t>Carlos Eduardo Ascension Matos</t>
        </is>
      </c>
      <c r="F870" s="63" t="inlineStr">
        <is>
          <t>123.660,05</t>
        </is>
      </c>
      <c r="G870" s="63" t="inlineStr">
        <is>
          <t>143.445,66</t>
        </is>
      </c>
      <c r="H870" s="63" t="inlineStr">
        <is>
          <t>273,91</t>
        </is>
      </c>
      <c r="I870" s="63" t="inlineStr">
        <is>
          <t>523,68</t>
        </is>
      </c>
      <c r="J870" s="65" t="n">
        <v>815</v>
      </c>
      <c r="K870" s="65" t="n">
        <v>881</v>
      </c>
      <c r="L870" s="65" t="inlineStr">
        <is>
          <t>[0881] CLASICO API SL SAE 20W-50 (1x12)</t>
        </is>
      </c>
      <c r="M870" s="63" t="inlineStr">
        <is>
          <t>86,21</t>
        </is>
      </c>
      <c r="N870" s="63" t="inlineStr">
        <is>
          <t>2,00</t>
        </is>
      </c>
      <c r="O870" s="63" t="inlineStr">
        <is>
          <t>10,08</t>
        </is>
      </c>
      <c r="P870" s="63" t="inlineStr">
        <is>
          <t>155,04</t>
        </is>
      </c>
      <c r="Q870" s="63" t="inlineStr">
        <is>
          <t>179,85</t>
        </is>
      </c>
    </row>
    <row r="871">
      <c r="A871" s="65" t="n"/>
      <c r="B871" s="65" t="n"/>
      <c r="C871" s="65" t="n"/>
      <c r="D871" s="65" t="n"/>
      <c r="E871" s="65" t="n"/>
      <c r="F871" s="65" t="n"/>
      <c r="G871" s="65" t="n"/>
      <c r="H871" s="65" t="n"/>
      <c r="I871" s="65" t="n"/>
      <c r="J871" s="65" t="n"/>
      <c r="K871" s="65" t="n">
        <v>887</v>
      </c>
      <c r="L871" s="65" t="inlineStr">
        <is>
          <t>[0887] MOTOCLASICO 4T SAE 20W-50 (1x12)</t>
        </is>
      </c>
      <c r="M871" s="63" t="inlineStr">
        <is>
          <t>90,19</t>
        </is>
      </c>
      <c r="N871" s="63" t="inlineStr">
        <is>
          <t>1,00</t>
        </is>
      </c>
      <c r="O871" s="63" t="inlineStr">
        <is>
          <t>10,08</t>
        </is>
      </c>
      <c r="P871" s="63" t="inlineStr">
        <is>
          <t>81,10</t>
        </is>
      </c>
      <c r="Q871" s="63" t="inlineStr">
        <is>
          <t>94,07</t>
        </is>
      </c>
    </row>
    <row r="872">
      <c r="A872" s="66" t="n">
        <v>46203</v>
      </c>
      <c r="B872" s="65" t="n">
        <v>201</v>
      </c>
      <c r="C872" s="65" t="inlineStr">
        <is>
          <t>00-00000691</t>
        </is>
      </c>
      <c r="D872" s="65" t="inlineStr">
        <is>
          <t>S00311</t>
        </is>
      </c>
      <c r="E872" s="65" t="inlineStr">
        <is>
          <t>Carlos Bravo</t>
        </is>
      </c>
      <c r="F872" s="63" t="inlineStr">
        <is>
          <t>26.270,53</t>
        </is>
      </c>
      <c r="G872" s="63" t="inlineStr">
        <is>
          <t>30.473,81</t>
        </is>
      </c>
      <c r="H872" s="63" t="inlineStr">
        <is>
          <t>62,55</t>
        </is>
      </c>
      <c r="I872" s="63" t="inlineStr">
        <is>
          <t>487,12</t>
        </is>
      </c>
      <c r="J872" s="65" t="n">
        <v>861</v>
      </c>
      <c r="K872" s="65" t="n">
        <v>887</v>
      </c>
      <c r="L872" s="65" t="inlineStr">
        <is>
          <t>[0887] MOTOCLASICO 4T SAE 20W-50 (1x12)</t>
        </is>
      </c>
      <c r="M872" s="63" t="inlineStr">
        <is>
          <t>58,62</t>
        </is>
      </c>
      <c r="N872" s="63" t="inlineStr">
        <is>
          <t>1,00</t>
        </is>
      </c>
      <c r="O872" s="63" t="inlineStr">
        <is>
          <t>8,00</t>
        </is>
      </c>
      <c r="P872" s="63" t="inlineStr">
        <is>
          <t>53,93</t>
        </is>
      </c>
      <c r="Q872" s="63" t="inlineStr">
        <is>
          <t>62,56</t>
        </is>
      </c>
    </row>
    <row r="873">
      <c r="A873" s="66" t="n">
        <v>46196</v>
      </c>
      <c r="B873" s="65" t="n">
        <v>200</v>
      </c>
      <c r="C873" s="65" t="inlineStr">
        <is>
          <t>00-00000689</t>
        </is>
      </c>
      <c r="D873" s="65" t="inlineStr">
        <is>
          <t>S00308</t>
        </is>
      </c>
      <c r="E873" s="65" t="inlineStr">
        <is>
          <t>Jose Alzolay</t>
        </is>
      </c>
      <c r="F873" s="63" t="inlineStr">
        <is>
          <t>27.837,39</t>
        </is>
      </c>
      <c r="G873" s="63" t="inlineStr">
        <is>
          <t>32.291,37</t>
        </is>
      </c>
      <c r="H873" s="63" t="inlineStr">
        <is>
          <t>64,98</t>
        </is>
      </c>
      <c r="I873" s="63" t="inlineStr">
        <is>
          <t>496,83</t>
        </is>
      </c>
      <c r="J873" s="65" t="n">
        <v>862</v>
      </c>
      <c r="K873" s="65" t="n">
        <v>880</v>
      </c>
      <c r="L873" s="65" t="inlineStr">
        <is>
          <t>[0880] CLASICO API SL SAE 15W-40 (1x12)</t>
        </is>
      </c>
      <c r="M873" s="63" t="inlineStr">
        <is>
          <t>56,03</t>
        </is>
      </c>
      <c r="N873" s="63" t="inlineStr">
        <is>
          <t>1,00</t>
        </is>
      </c>
      <c r="O873" s="63" t="inlineStr">
        <is>
          <t>0,00</t>
        </is>
      </c>
      <c r="P873" s="63" t="inlineStr">
        <is>
          <t>56,03</t>
        </is>
      </c>
      <c r="Q873" s="63" t="inlineStr">
        <is>
          <t>64,99</t>
        </is>
      </c>
    </row>
    <row r="874">
      <c r="A874" s="66" t="n">
        <v>46196</v>
      </c>
      <c r="B874" s="65" t="n">
        <v>199</v>
      </c>
      <c r="C874" s="65" t="inlineStr">
        <is>
          <t>00-00000688</t>
        </is>
      </c>
      <c r="D874" s="65" t="inlineStr">
        <is>
          <t>S00311</t>
        </is>
      </c>
      <c r="E874" s="65" t="inlineStr">
        <is>
          <t>Carlos Bravo</t>
        </is>
      </c>
      <c r="F874" s="63" t="inlineStr">
        <is>
          <t>29.123,54</t>
        </is>
      </c>
      <c r="G874" s="63" t="inlineStr">
        <is>
          <t>33.783,31</t>
        </is>
      </c>
      <c r="H874" s="63" t="inlineStr">
        <is>
          <t>67,98</t>
        </is>
      </c>
      <c r="I874" s="63" t="inlineStr">
        <is>
          <t>496,83</t>
        </is>
      </c>
      <c r="J874" s="65" t="n"/>
      <c r="K874" s="65" t="n">
        <v>887</v>
      </c>
      <c r="L874" s="65" t="inlineStr">
        <is>
          <t>[0887] MOTOCLASICO 4T SAE 20W-50 (1x12)</t>
        </is>
      </c>
      <c r="M874" s="63" t="inlineStr">
        <is>
          <t>56,90</t>
        </is>
      </c>
      <c r="N874" s="63" t="inlineStr">
        <is>
          <t>1,00</t>
        </is>
      </c>
      <c r="O874" s="63" t="inlineStr">
        <is>
          <t>17,13</t>
        </is>
      </c>
      <c r="P874" s="63" t="inlineStr">
        <is>
          <t>58,62</t>
        </is>
      </c>
      <c r="Q874" s="63" t="inlineStr">
        <is>
          <t>68,00</t>
        </is>
      </c>
    </row>
    <row r="875">
      <c r="A875" s="66" t="n">
        <v>46196</v>
      </c>
      <c r="B875" s="65" t="n">
        <v>198</v>
      </c>
      <c r="C875" s="65" t="inlineStr">
        <is>
          <t>00-00000686</t>
        </is>
      </c>
      <c r="D875" s="65" t="inlineStr">
        <is>
          <t>S00326</t>
        </is>
      </c>
      <c r="E875" s="65" t="inlineStr">
        <is>
          <t>Encamotors Catia C.A</t>
        </is>
      </c>
      <c r="F875" s="63" t="inlineStr">
        <is>
          <t>20.986,10</t>
        </is>
      </c>
      <c r="G875" s="63" t="inlineStr">
        <is>
          <t>24.343,88</t>
        </is>
      </c>
      <c r="H875" s="63" t="inlineStr">
        <is>
          <t>48,98</t>
        </is>
      </c>
      <c r="I875" s="63" t="inlineStr">
        <is>
          <t>496,83</t>
        </is>
      </c>
      <c r="J875" s="65" t="n">
        <v>829</v>
      </c>
      <c r="K875" s="65" t="n">
        <v>774</v>
      </c>
      <c r="L875" s="65" t="inlineStr">
        <is>
          <t>[0774] LIGA PARA FRENOS DOT-4 (1X6)</t>
        </is>
      </c>
      <c r="M875" s="63" t="inlineStr">
        <is>
          <t>42,24</t>
        </is>
      </c>
      <c r="N875" s="63" t="inlineStr">
        <is>
          <t>1,00</t>
        </is>
      </c>
      <c r="O875" s="63" t="inlineStr">
        <is>
          <t>0,00</t>
        </is>
      </c>
      <c r="P875" s="63" t="inlineStr">
        <is>
          <t>42,24</t>
        </is>
      </c>
      <c r="Q875" s="63" t="inlineStr">
        <is>
          <t>49,00</t>
        </is>
      </c>
    </row>
    <row r="876">
      <c r="A876" s="66" t="n">
        <v>46195</v>
      </c>
      <c r="B876" s="65" t="n">
        <v>197</v>
      </c>
      <c r="C876" s="65" t="inlineStr">
        <is>
          <t>00-00000685</t>
        </is>
      </c>
      <c r="D876" s="65" t="inlineStr">
        <is>
          <t>S00431</t>
        </is>
      </c>
      <c r="E876" s="65" t="inlineStr">
        <is>
          <t>Carlos Eduardo Ascension Matos</t>
        </is>
      </c>
      <c r="F876" s="63" t="inlineStr">
        <is>
          <t>144.624,83</t>
        </is>
      </c>
      <c r="G876" s="63" t="inlineStr">
        <is>
          <t>167.764,80</t>
        </is>
      </c>
      <c r="H876" s="63" t="inlineStr">
        <is>
          <t>308,05</t>
        </is>
      </c>
      <c r="I876" s="63" t="inlineStr">
        <is>
          <t>544,58</t>
        </is>
      </c>
      <c r="J876" s="65" t="n"/>
      <c r="K876" s="65" t="n">
        <v>881</v>
      </c>
      <c r="L876" s="65" t="inlineStr">
        <is>
          <t>[0881] CLASICO API SL SAE 20W-50 (1x12)</t>
        </is>
      </c>
      <c r="M876" s="63" t="inlineStr">
        <is>
          <t>96,95</t>
        </is>
      </c>
      <c r="N876" s="63" t="inlineStr">
        <is>
          <t>2,00</t>
        </is>
      </c>
      <c r="O876" s="63" t="inlineStr">
        <is>
          <t>10,08</t>
        </is>
      </c>
      <c r="P876" s="63" t="inlineStr">
        <is>
          <t>174,36</t>
        </is>
      </c>
      <c r="Q876" s="63" t="inlineStr">
        <is>
          <t>202,26</t>
        </is>
      </c>
    </row>
    <row r="877">
      <c r="A877" s="65" t="n"/>
      <c r="B877" s="65" t="n"/>
      <c r="C877" s="65" t="n"/>
      <c r="D877" s="65" t="n"/>
      <c r="E877" s="65" t="n"/>
      <c r="F877" s="65" t="n"/>
      <c r="G877" s="65" t="n"/>
      <c r="H877" s="65" t="n"/>
      <c r="I877" s="65" t="n"/>
      <c r="J877" s="65" t="n"/>
      <c r="K877" s="65" t="n">
        <v>887</v>
      </c>
      <c r="L877" s="65" t="inlineStr">
        <is>
          <t>[0887] MOTOCLASICO 4T SAE 20W-50 (1x12)</t>
        </is>
      </c>
      <c r="M877" s="63" t="inlineStr">
        <is>
          <t>101,43</t>
        </is>
      </c>
      <c r="N877" s="63" t="inlineStr">
        <is>
          <t>1,00</t>
        </is>
      </c>
      <c r="O877" s="63" t="inlineStr">
        <is>
          <t>10,07</t>
        </is>
      </c>
      <c r="P877" s="63" t="inlineStr">
        <is>
          <t>91,21</t>
        </is>
      </c>
      <c r="Q877" s="63" t="inlineStr">
        <is>
          <t>105,81</t>
        </is>
      </c>
    </row>
    <row r="878">
      <c r="A878" s="66" t="n">
        <v>46195</v>
      </c>
      <c r="B878" s="65" t="n">
        <v>196</v>
      </c>
      <c r="C878" s="65" t="inlineStr">
        <is>
          <t>00-00000684</t>
        </is>
      </c>
      <c r="D878" s="65" t="inlineStr">
        <is>
          <t>S00492</t>
        </is>
      </c>
      <c r="E878" s="65" t="inlineStr">
        <is>
          <t>Luis Eduardo Piñero Calcurian</t>
        </is>
      </c>
      <c r="F878" s="63" t="inlineStr">
        <is>
          <t>35.447,79</t>
        </is>
      </c>
      <c r="G878" s="63" t="inlineStr">
        <is>
          <t>41.119,44</t>
        </is>
      </c>
      <c r="H878" s="63" t="inlineStr">
        <is>
          <t>72,99</t>
        </is>
      </c>
      <c r="I878" s="63" t="inlineStr">
        <is>
          <t>563,29</t>
        </is>
      </c>
      <c r="J878" s="65" t="n"/>
      <c r="K878" s="65" t="n">
        <v>602</v>
      </c>
      <c r="L878" s="65" t="inlineStr">
        <is>
          <t>[0602] SINOCO SAE 50 (PAILA)</t>
        </is>
      </c>
      <c r="M878" s="63" t="inlineStr">
        <is>
          <t>62,93</t>
        </is>
      </c>
      <c r="N878" s="63" t="inlineStr">
        <is>
          <t>1,00</t>
        </is>
      </c>
      <c r="O878" s="63" t="inlineStr">
        <is>
          <t>0,00</t>
        </is>
      </c>
      <c r="P878" s="63" t="inlineStr">
        <is>
          <t>62,93</t>
        </is>
      </c>
      <c r="Q878" s="63" t="inlineStr">
        <is>
          <t>73,00</t>
        </is>
      </c>
    </row>
    <row r="879">
      <c r="A879" s="66" t="n">
        <v>46195</v>
      </c>
      <c r="B879" s="65" t="n">
        <v>195</v>
      </c>
      <c r="C879" s="65" t="inlineStr">
        <is>
          <t>00-00000671</t>
        </is>
      </c>
      <c r="D879" s="65" t="inlineStr">
        <is>
          <t>S00591</t>
        </is>
      </c>
      <c r="E879" s="65" t="inlineStr">
        <is>
          <t>Chaquiro Arteaga</t>
        </is>
      </c>
      <c r="F879" s="63" t="inlineStr">
        <is>
          <t>36.957,81</t>
        </is>
      </c>
      <c r="G879" s="63" t="inlineStr">
        <is>
          <t>42.871,06</t>
        </is>
      </c>
      <c r="H879" s="63" t="inlineStr">
        <is>
          <t>69,99</t>
        </is>
      </c>
      <c r="I879" s="63" t="inlineStr">
        <is>
          <t>612,43</t>
        </is>
      </c>
      <c r="J879" s="65" t="n">
        <v>808</v>
      </c>
      <c r="K879" s="65" t="n">
        <v>877</v>
      </c>
      <c r="L879" s="65" t="inlineStr">
        <is>
          <t>[0877] SS EXTRA PROTECCION API SN SAE 15W-40 (1X12)</t>
        </is>
      </c>
      <c r="M879" s="63" t="inlineStr">
        <is>
          <t>92,71</t>
        </is>
      </c>
      <c r="N879" s="63" t="inlineStr">
        <is>
          <t>1,00</t>
        </is>
      </c>
      <c r="O879" s="63" t="inlineStr">
        <is>
          <t>34,91</t>
        </is>
      </c>
      <c r="P879" s="63" t="inlineStr">
        <is>
          <t>60,35</t>
        </is>
      </c>
      <c r="Q879" s="63" t="inlineStr">
        <is>
          <t>70,00</t>
        </is>
      </c>
    </row>
    <row r="880">
      <c r="A880" s="66" t="n">
        <v>46195</v>
      </c>
      <c r="B880" s="65" t="n">
        <v>194</v>
      </c>
      <c r="C880" s="65" t="inlineStr">
        <is>
          <t>00-00000670</t>
        </is>
      </c>
      <c r="D880" s="65" t="inlineStr">
        <is>
          <t>S00503</t>
        </is>
      </c>
      <c r="E880" s="65" t="inlineStr">
        <is>
          <t>Inversiones maxgad &amp; ef</t>
        </is>
      </c>
      <c r="F880" s="63" t="inlineStr">
        <is>
          <t>52.922,86</t>
        </is>
      </c>
      <c r="G880" s="63" t="inlineStr">
        <is>
          <t>61.390,52</t>
        </is>
      </c>
      <c r="H880" s="63" t="inlineStr">
        <is>
          <t>108,98</t>
        </is>
      </c>
      <c r="I880" s="63" t="inlineStr">
        <is>
          <t>563,29</t>
        </is>
      </c>
      <c r="J880" s="65" t="n">
        <v>797</v>
      </c>
      <c r="K880" s="65" t="n">
        <v>877</v>
      </c>
      <c r="L880" s="65" t="inlineStr">
        <is>
          <t>[0877] SS EXTRA PROTECCION API SN SAE 15W-40 (1X12)</t>
        </is>
      </c>
      <c r="M880" s="63" t="inlineStr">
        <is>
          <t>118,18</t>
        </is>
      </c>
      <c r="N880" s="63" t="inlineStr">
        <is>
          <t>1,00</t>
        </is>
      </c>
      <c r="O880" s="63" t="inlineStr">
        <is>
          <t>20,50</t>
        </is>
      </c>
      <c r="P880" s="63" t="inlineStr">
        <is>
          <t>93,95</t>
        </is>
      </c>
      <c r="Q880" s="63" t="inlineStr">
        <is>
          <t>108,99</t>
        </is>
      </c>
    </row>
    <row r="881">
      <c r="A881" s="66" t="n">
        <v>46195</v>
      </c>
      <c r="B881" s="65" t="n">
        <v>193</v>
      </c>
      <c r="C881" s="65" t="inlineStr">
        <is>
          <t>00-00000669</t>
        </is>
      </c>
      <c r="D881" s="65" t="inlineStr">
        <is>
          <t>S00154</t>
        </is>
      </c>
      <c r="E881" s="65" t="inlineStr">
        <is>
          <t>SERVICIOS Y MANTENIMIENTO SPACARS, C.A</t>
        </is>
      </c>
      <c r="F881" s="63" t="inlineStr">
        <is>
          <t>624.675,86</t>
        </is>
      </c>
      <c r="G881" s="63" t="inlineStr">
        <is>
          <t>724.623,99</t>
        </is>
      </c>
      <c r="H881" s="63" t="inlineStr">
        <is>
          <t>1.183,13</t>
        </is>
      </c>
      <c r="I881" s="63" t="inlineStr">
        <is>
          <t>612,43</t>
        </is>
      </c>
      <c r="J881" s="65" t="n"/>
      <c r="K881" s="65" t="n">
        <v>1</v>
      </c>
      <c r="L881" s="65" t="inlineStr">
        <is>
          <t>[0001] ELITE API SP SAE 0W-20 (1x6)</t>
        </is>
      </c>
      <c r="M881" s="63" t="inlineStr">
        <is>
          <t>62,83</t>
        </is>
      </c>
      <c r="N881" s="63" t="inlineStr">
        <is>
          <t>2,00</t>
        </is>
      </c>
      <c r="O881" s="63" t="inlineStr">
        <is>
          <t>3,75</t>
        </is>
      </c>
      <c r="P881" s="63" t="inlineStr">
        <is>
          <t>120,95</t>
        </is>
      </c>
      <c r="Q881" s="63" t="inlineStr">
        <is>
          <t>140,30</t>
        </is>
      </c>
    </row>
    <row r="882">
      <c r="A882" s="65" t="n"/>
      <c r="B882" s="65" t="n"/>
      <c r="C882" s="65" t="n"/>
      <c r="D882" s="65" t="n"/>
      <c r="E882" s="65" t="n"/>
      <c r="F882" s="65" t="n"/>
      <c r="G882" s="65" t="n"/>
      <c r="H882" s="65" t="n"/>
      <c r="I882" s="65" t="n"/>
      <c r="J882" s="65" t="n"/>
      <c r="K882" s="65" t="n">
        <v>7</v>
      </c>
      <c r="L882" s="65" t="inlineStr">
        <is>
          <t>[0007] ELITE API SN SAE 5W-20 (1x6)</t>
        </is>
      </c>
      <c r="M882" s="63" t="inlineStr">
        <is>
          <t>62,83</t>
        </is>
      </c>
      <c r="N882" s="63" t="inlineStr">
        <is>
          <t>4,00</t>
        </is>
      </c>
      <c r="O882" s="63" t="inlineStr">
        <is>
          <t>3,75</t>
        </is>
      </c>
      <c r="P882" s="63" t="inlineStr">
        <is>
          <t>241,90</t>
        </is>
      </c>
      <c r="Q882" s="63" t="inlineStr">
        <is>
          <t>280,60</t>
        </is>
      </c>
    </row>
    <row r="883">
      <c r="A883" s="65" t="n"/>
      <c r="B883" s="65" t="n"/>
      <c r="C883" s="65" t="n"/>
      <c r="D883" s="65" t="n"/>
      <c r="E883" s="65" t="n"/>
      <c r="F883" s="65" t="n"/>
      <c r="G883" s="65" t="n"/>
      <c r="H883" s="65" t="n"/>
      <c r="I883" s="65" t="n"/>
      <c r="J883" s="65" t="n"/>
      <c r="K883" s="65" t="n">
        <v>13</v>
      </c>
      <c r="L883" s="65" t="inlineStr">
        <is>
          <t>[0013] ELITE API SN SAE 5W-30 (1x6)</t>
        </is>
      </c>
      <c r="M883" s="63" t="inlineStr">
        <is>
          <t>63,36</t>
        </is>
      </c>
      <c r="N883" s="63" t="inlineStr">
        <is>
          <t>2,00</t>
        </is>
      </c>
      <c r="O883" s="63" t="inlineStr">
        <is>
          <t>3,75</t>
        </is>
      </c>
      <c r="P883" s="63" t="inlineStr">
        <is>
          <t>121,97</t>
        </is>
      </c>
      <c r="Q883" s="63" t="inlineStr">
        <is>
          <t>141,48</t>
        </is>
      </c>
    </row>
    <row r="884">
      <c r="A884" s="65" t="n"/>
      <c r="B884" s="65" t="n"/>
      <c r="C884" s="65" t="n"/>
      <c r="D884" s="65" t="n"/>
      <c r="E884" s="65" t="n"/>
      <c r="F884" s="65" t="n"/>
      <c r="G884" s="65" t="n"/>
      <c r="H884" s="65" t="n"/>
      <c r="I884" s="65" t="n"/>
      <c r="J884" s="65" t="n"/>
      <c r="K884" s="65" t="n">
        <v>19</v>
      </c>
      <c r="L884" s="65" t="inlineStr">
        <is>
          <t>[0019] ELITE API SN SAE 5W-40 (1x6)</t>
        </is>
      </c>
      <c r="M884" s="63" t="inlineStr">
        <is>
          <t>63,36</t>
        </is>
      </c>
      <c r="N884" s="63" t="inlineStr">
        <is>
          <t>2,00</t>
        </is>
      </c>
      <c r="O884" s="63" t="inlineStr">
        <is>
          <t>3,75</t>
        </is>
      </c>
      <c r="P884" s="63" t="inlineStr">
        <is>
          <t>121,97</t>
        </is>
      </c>
      <c r="Q884" s="63" t="inlineStr">
        <is>
          <t>141,48</t>
        </is>
      </c>
    </row>
    <row r="885">
      <c r="A885" s="65" t="n"/>
      <c r="B885" s="65" t="n"/>
      <c r="C885" s="65" t="n"/>
      <c r="D885" s="65" t="n"/>
      <c r="E885" s="65" t="n"/>
      <c r="F885" s="65" t="n"/>
      <c r="G885" s="65" t="n"/>
      <c r="H885" s="65" t="n"/>
      <c r="I885" s="65" t="n"/>
      <c r="J885" s="65" t="n"/>
      <c r="K885" s="65" t="n">
        <v>877</v>
      </c>
      <c r="L885" s="65" t="inlineStr">
        <is>
          <t>[0877] SS EXTRA PROTECCION API SN SAE 15W-40 (1X12)</t>
        </is>
      </c>
      <c r="M885" s="63" t="inlineStr">
        <is>
          <t>93,10</t>
        </is>
      </c>
      <c r="N885" s="63" t="inlineStr">
        <is>
          <t>2,00</t>
        </is>
      </c>
      <c r="O885" s="63" t="inlineStr">
        <is>
          <t>3,75</t>
        </is>
      </c>
      <c r="P885" s="63" t="inlineStr">
        <is>
          <t>179,22</t>
        </is>
      </c>
      <c r="Q885" s="63" t="inlineStr">
        <is>
          <t>207,89</t>
        </is>
      </c>
    </row>
    <row r="886">
      <c r="A886" s="65" t="n"/>
      <c r="B886" s="65" t="n"/>
      <c r="C886" s="65" t="n"/>
      <c r="D886" s="65" t="n"/>
      <c r="E886" s="65" t="n"/>
      <c r="F886" s="65" t="n"/>
      <c r="G886" s="65" t="n"/>
      <c r="H886" s="65" t="n"/>
      <c r="I886" s="65" t="n"/>
      <c r="J886" s="65" t="n"/>
      <c r="K886" s="65" t="n">
        <v>880</v>
      </c>
      <c r="L886" s="65" t="inlineStr">
        <is>
          <t>[0880] CLASICO API SL SAE 15W-40 (1x12)</t>
        </is>
      </c>
      <c r="M886" s="63" t="inlineStr">
        <is>
          <t>80,17</t>
        </is>
      </c>
      <c r="N886" s="63" t="inlineStr">
        <is>
          <t>1,00</t>
        </is>
      </c>
      <c r="O886" s="63" t="inlineStr">
        <is>
          <t>3,75</t>
        </is>
      </c>
      <c r="P886" s="63" t="inlineStr">
        <is>
          <t>77,16</t>
        </is>
      </c>
      <c r="Q886" s="63" t="inlineStr">
        <is>
          <t>89,51</t>
        </is>
      </c>
    </row>
    <row r="887">
      <c r="A887" s="65" t="n"/>
      <c r="B887" s="65" t="n"/>
      <c r="C887" s="65" t="n"/>
      <c r="D887" s="65" t="n"/>
      <c r="E887" s="65" t="n"/>
      <c r="F887" s="65" t="n"/>
      <c r="G887" s="65" t="n"/>
      <c r="H887" s="65" t="n"/>
      <c r="I887" s="65" t="n"/>
      <c r="J887" s="65" t="n"/>
      <c r="K887" s="65" t="n">
        <v>881</v>
      </c>
      <c r="L887" s="65" t="inlineStr">
        <is>
          <t>[0881] CLASICO API SL SAE 20W-50 (1x12)</t>
        </is>
      </c>
      <c r="M887" s="63" t="inlineStr">
        <is>
          <t>81,47</t>
        </is>
      </c>
      <c r="N887" s="63" t="inlineStr">
        <is>
          <t>2,00</t>
        </is>
      </c>
      <c r="O887" s="63" t="inlineStr">
        <is>
          <t>3,75</t>
        </is>
      </c>
      <c r="P887" s="63" t="inlineStr">
        <is>
          <t>156,83</t>
        </is>
      </c>
      <c r="Q887" s="63" t="inlineStr">
        <is>
          <t>181,92</t>
        </is>
      </c>
    </row>
    <row r="888">
      <c r="A888" s="66" t="n">
        <v>46192</v>
      </c>
      <c r="B888" s="65" t="n">
        <v>192</v>
      </c>
      <c r="C888" s="65" t="inlineStr">
        <is>
          <t>00-00000663</t>
        </is>
      </c>
      <c r="D888" s="65" t="inlineStr">
        <is>
          <t>S00555</t>
        </is>
      </c>
      <c r="E888" s="65" t="inlineStr">
        <is>
          <t>AGROPECUARIA LECHE Y MIEL, C.A</t>
        </is>
      </c>
      <c r="F888" s="63" t="inlineStr">
        <is>
          <t>10.743.128,67</t>
        </is>
      </c>
      <c r="G888" s="63" t="inlineStr">
        <is>
          <t>12.462.029,26</t>
        </is>
      </c>
      <c r="H888" s="63" t="inlineStr">
        <is>
          <t>20.517,24</t>
        </is>
      </c>
      <c r="I888" s="63" t="inlineStr">
        <is>
          <t>607,39</t>
        </is>
      </c>
      <c r="J888" s="65" t="n"/>
      <c r="K888" s="65" t="n">
        <v>85</v>
      </c>
      <c r="L888" s="65" t="inlineStr">
        <is>
          <t>[0085] MAXIMO API CF SAE 50 (Tambor)</t>
        </is>
      </c>
      <c r="M888" s="63" t="inlineStr">
        <is>
          <t>1.108,54</t>
        </is>
      </c>
      <c r="N888" s="63" t="inlineStr">
        <is>
          <t>3,00</t>
        </is>
      </c>
      <c r="O888" s="63" t="inlineStr">
        <is>
          <t>0,00</t>
        </is>
      </c>
      <c r="P888" s="63" t="inlineStr">
        <is>
          <t>3.162,21</t>
        </is>
      </c>
      <c r="Q888" s="63" t="inlineStr">
        <is>
          <t>3.668,17</t>
        </is>
      </c>
    </row>
    <row r="889">
      <c r="A889" s="65" t="n"/>
      <c r="B889" s="65" t="n"/>
      <c r="C889" s="65" t="n"/>
      <c r="D889" s="65" t="n"/>
      <c r="E889" s="65" t="n"/>
      <c r="F889" s="65" t="n"/>
      <c r="G889" s="65" t="n"/>
      <c r="H889" s="65" t="n"/>
      <c r="I889" s="65" t="n"/>
      <c r="J889" s="65" t="n"/>
      <c r="K889" s="65" t="n">
        <v>75</v>
      </c>
      <c r="L889" s="65" t="inlineStr">
        <is>
          <t>[0075] SUPREMO API CI-4 SAE 15W-40 (Tambor)</t>
        </is>
      </c>
      <c r="M889" s="63" t="inlineStr">
        <is>
          <t>1.240,48</t>
        </is>
      </c>
      <c r="N889" s="63" t="inlineStr">
        <is>
          <t>3,00</t>
        </is>
      </c>
      <c r="O889" s="63" t="inlineStr">
        <is>
          <t>0,00</t>
        </is>
      </c>
      <c r="P889" s="63" t="inlineStr">
        <is>
          <t>3.538,59</t>
        </is>
      </c>
      <c r="Q889" s="63" t="inlineStr">
        <is>
          <t>4.104,76</t>
        </is>
      </c>
    </row>
    <row r="890">
      <c r="A890" s="65" t="n"/>
      <c r="B890" s="65" t="n"/>
      <c r="C890" s="65" t="n"/>
      <c r="D890" s="65" t="n"/>
      <c r="E890" s="65" t="n"/>
      <c r="F890" s="65" t="n"/>
      <c r="G890" s="65" t="n"/>
      <c r="H890" s="65" t="n"/>
      <c r="I890" s="65" t="n"/>
      <c r="J890" s="65" t="n"/>
      <c r="K890" s="65" t="n">
        <v>146</v>
      </c>
      <c r="L890" s="65" t="inlineStr">
        <is>
          <t>[0146] HIDRAGLOB AW/ISO 68 (Tambor)</t>
        </is>
      </c>
      <c r="M890" s="63" t="inlineStr">
        <is>
          <t>1.076,21</t>
        </is>
      </c>
      <c r="N890" s="63" t="inlineStr">
        <is>
          <t>4,00</t>
        </is>
      </c>
      <c r="O890" s="63" t="inlineStr">
        <is>
          <t>0,00</t>
        </is>
      </c>
      <c r="P890" s="63" t="inlineStr">
        <is>
          <t>4.093,31</t>
        </is>
      </c>
      <c r="Q890" s="63" t="inlineStr">
        <is>
          <t>4.748,24</t>
        </is>
      </c>
    </row>
    <row r="891">
      <c r="A891" s="65" t="n"/>
      <c r="B891" s="65" t="n"/>
      <c r="C891" s="65" t="n"/>
      <c r="D891" s="65" t="n"/>
      <c r="E891" s="65" t="n"/>
      <c r="F891" s="65" t="n"/>
      <c r="G891" s="65" t="n"/>
      <c r="H891" s="65" t="n"/>
      <c r="I891" s="65" t="n"/>
      <c r="J891" s="65" t="n"/>
      <c r="K891" s="65" t="n">
        <v>794</v>
      </c>
      <c r="L891" s="65" t="inlineStr">
        <is>
          <t>[0794] REFRIGERANTE GLOBAL ROJO (Tambor)</t>
        </is>
      </c>
      <c r="M891" s="63" t="inlineStr">
        <is>
          <t>565,27</t>
        </is>
      </c>
      <c r="N891" s="63" t="inlineStr">
        <is>
          <t>3,00</t>
        </is>
      </c>
      <c r="O891" s="63" t="inlineStr">
        <is>
          <t>0,00</t>
        </is>
      </c>
      <c r="P891" s="63" t="inlineStr">
        <is>
          <t>1.612,49</t>
        </is>
      </c>
      <c r="Q891" s="63" t="inlineStr">
        <is>
          <t>1.870,49</t>
        </is>
      </c>
    </row>
    <row r="892">
      <c r="A892" s="65" t="n"/>
      <c r="B892" s="65" t="n"/>
      <c r="C892" s="65" t="n"/>
      <c r="D892" s="65" t="n"/>
      <c r="E892" s="65" t="n"/>
      <c r="F892" s="65" t="n"/>
      <c r="G892" s="65" t="n"/>
      <c r="H892" s="65" t="n"/>
      <c r="I892" s="65" t="n"/>
      <c r="J892" s="65" t="n"/>
      <c r="K892" s="65" t="n">
        <v>131</v>
      </c>
      <c r="L892" s="65" t="inlineStr">
        <is>
          <t>[0131] TRANSGLOB API GL-5 SAE 85W-140 (Tambor)</t>
        </is>
      </c>
      <c r="M892" s="63" t="inlineStr">
        <is>
          <t>1.287,05</t>
        </is>
      </c>
      <c r="N892" s="63" t="inlineStr">
        <is>
          <t>3,00</t>
        </is>
      </c>
      <c r="O892" s="63" t="inlineStr">
        <is>
          <t>0,00</t>
        </is>
      </c>
      <c r="P892" s="63" t="inlineStr">
        <is>
          <t>3.671,44</t>
        </is>
      </c>
      <c r="Q892" s="63" t="inlineStr">
        <is>
          <t>4.258,86</t>
        </is>
      </c>
    </row>
    <row r="893">
      <c r="A893" s="65" t="n"/>
      <c r="B893" s="65" t="n"/>
      <c r="C893" s="65" t="n"/>
      <c r="D893" s="65" t="n"/>
      <c r="E893" s="65" t="n"/>
      <c r="F893" s="65" t="n"/>
      <c r="G893" s="65" t="n"/>
      <c r="H893" s="65" t="n"/>
      <c r="I893" s="65" t="n"/>
      <c r="J893" s="65" t="n"/>
      <c r="K893" s="65" t="n">
        <v>606</v>
      </c>
      <c r="L893" s="65" t="inlineStr">
        <is>
          <t>[0606] SINOCO SAE 20W-50 (Tambor)</t>
        </is>
      </c>
      <c r="M893" s="63" t="inlineStr">
        <is>
          <t>846,22</t>
        </is>
      </c>
      <c r="N893" s="63" t="inlineStr">
        <is>
          <t>2,00</t>
        </is>
      </c>
      <c r="O893" s="63" t="inlineStr">
        <is>
          <t>0,00</t>
        </is>
      </c>
      <c r="P893" s="63" t="inlineStr">
        <is>
          <t>1.609,27</t>
        </is>
      </c>
      <c r="Q893" s="63" t="inlineStr">
        <is>
          <t>1.866,75</t>
        </is>
      </c>
    </row>
    <row r="894">
      <c r="A894" s="66" t="n">
        <v>46190</v>
      </c>
      <c r="B894" s="65" t="n">
        <v>191</v>
      </c>
      <c r="C894" s="65" t="inlineStr">
        <is>
          <t>00-00000653</t>
        </is>
      </c>
      <c r="D894" s="65" t="inlineStr">
        <is>
          <t>S00422</t>
        </is>
      </c>
      <c r="E894" s="65" t="inlineStr">
        <is>
          <t>INVERSIONES R&amp;C 1817, c.a.</t>
        </is>
      </c>
      <c r="F894" s="63" t="inlineStr">
        <is>
          <t>56.580,14</t>
        </is>
      </c>
      <c r="G894" s="63" t="inlineStr">
        <is>
          <t>65.632,96</t>
        </is>
      </c>
      <c r="H894" s="63" t="inlineStr">
        <is>
          <t>125,98</t>
        </is>
      </c>
      <c r="I894" s="63" t="inlineStr">
        <is>
          <t>520,91</t>
        </is>
      </c>
      <c r="J894" s="65" t="n">
        <v>699</v>
      </c>
      <c r="K894" s="65" t="n">
        <v>761</v>
      </c>
      <c r="L894" s="65" t="inlineStr">
        <is>
          <t>[0761] LIGA PARA FRENOS DOT-3 (1x12)</t>
        </is>
      </c>
      <c r="M894" s="63" t="inlineStr">
        <is>
          <t>41,03</t>
        </is>
      </c>
      <c r="N894" s="63" t="inlineStr">
        <is>
          <t>2,00</t>
        </is>
      </c>
      <c r="O894" s="63" t="inlineStr">
        <is>
          <t>43,26</t>
        </is>
      </c>
      <c r="P894" s="63" t="inlineStr">
        <is>
          <t>46,56</t>
        </is>
      </c>
      <c r="Q894" s="63" t="inlineStr">
        <is>
          <t>54,00</t>
        </is>
      </c>
    </row>
    <row r="895">
      <c r="A895" s="65" t="n"/>
      <c r="B895" s="65" t="n"/>
      <c r="C895" s="65" t="n"/>
      <c r="D895" s="65" t="n"/>
      <c r="E895" s="65" t="n"/>
      <c r="F895" s="65" t="n"/>
      <c r="G895" s="65" t="n"/>
      <c r="H895" s="65" t="n"/>
      <c r="I895" s="65" t="n"/>
      <c r="J895" s="65" t="n">
        <v>782</v>
      </c>
      <c r="K895" s="65" t="n"/>
      <c r="L895" s="65" t="n"/>
      <c r="M895" s="65" t="n"/>
      <c r="N895" s="65" t="n"/>
      <c r="O895" s="65" t="n"/>
      <c r="P895" s="65" t="n"/>
      <c r="Q895" s="65" t="n"/>
    </row>
    <row r="896">
      <c r="A896" s="65" t="n"/>
      <c r="B896" s="65" t="n"/>
      <c r="C896" s="65" t="n"/>
      <c r="D896" s="65" t="n"/>
      <c r="E896" s="65" t="n"/>
      <c r="F896" s="65" t="n"/>
      <c r="G896" s="65" t="n"/>
      <c r="H896" s="65" t="n"/>
      <c r="I896" s="65" t="n"/>
      <c r="J896" s="65" t="n"/>
      <c r="K896" s="65" t="n">
        <v>884</v>
      </c>
      <c r="L896" s="65" t="inlineStr">
        <is>
          <t>[0884] TRANSMATIC ATF DEXRON III (1x12)</t>
        </is>
      </c>
      <c r="M896" s="63" t="inlineStr">
        <is>
          <t>109,40</t>
        </is>
      </c>
      <c r="N896" s="63" t="inlineStr">
        <is>
          <t>1,00</t>
        </is>
      </c>
      <c r="O896" s="63" t="inlineStr">
        <is>
          <t>43,27</t>
        </is>
      </c>
      <c r="P896" s="63" t="inlineStr">
        <is>
          <t>62,06</t>
        </is>
      </c>
      <c r="Q896" s="63" t="inlineStr">
        <is>
          <t>71,99</t>
        </is>
      </c>
    </row>
    <row r="897">
      <c r="A897" s="66" t="n">
        <v>46190</v>
      </c>
      <c r="B897" s="65" t="n">
        <v>190</v>
      </c>
      <c r="C897" s="65" t="inlineStr">
        <is>
          <t>00-00000652</t>
        </is>
      </c>
      <c r="D897" s="65" t="inlineStr">
        <is>
          <t>S00574</t>
        </is>
      </c>
      <c r="E897" s="65" t="inlineStr">
        <is>
          <t>Katiuska Alejandra Curvelo</t>
        </is>
      </c>
      <c r="F897" s="63" t="inlineStr">
        <is>
          <t>72.024,86</t>
        </is>
      </c>
      <c r="G897" s="63" t="inlineStr">
        <is>
          <t>83.548,83</t>
        </is>
      </c>
      <c r="H897" s="63" t="inlineStr">
        <is>
          <t>139,98</t>
        </is>
      </c>
      <c r="I897" s="63" t="inlineStr">
        <is>
          <t>596,78</t>
        </is>
      </c>
      <c r="J897" s="65" t="n">
        <v>781</v>
      </c>
      <c r="K897" s="65" t="n">
        <v>878</v>
      </c>
      <c r="L897" s="65" t="inlineStr">
        <is>
          <t>[0878] SS EXTRA PROTECCION API SN SAE 20W-50 (1x12)</t>
        </is>
      </c>
      <c r="M897" s="63" t="inlineStr">
        <is>
          <t>95,83</t>
        </is>
      </c>
      <c r="N897" s="63" t="inlineStr">
        <is>
          <t>1,00</t>
        </is>
      </c>
      <c r="O897" s="63" t="inlineStr">
        <is>
          <t>36,58</t>
        </is>
      </c>
      <c r="P897" s="63" t="inlineStr">
        <is>
          <t>60,34</t>
        </is>
      </c>
      <c r="Q897" s="63" t="inlineStr">
        <is>
          <t>69,99</t>
        </is>
      </c>
    </row>
    <row r="898">
      <c r="A898" s="65" t="n"/>
      <c r="B898" s="65" t="n"/>
      <c r="C898" s="65" t="n"/>
      <c r="D898" s="65" t="n"/>
      <c r="E898" s="65" t="n"/>
      <c r="F898" s="65" t="n"/>
      <c r="G898" s="65" t="n"/>
      <c r="H898" s="65" t="n"/>
      <c r="I898" s="65" t="n"/>
      <c r="J898" s="65" t="n"/>
      <c r="K898" s="65" t="n">
        <v>877</v>
      </c>
      <c r="L898" s="65" t="inlineStr">
        <is>
          <t>[0877] SS EXTRA PROTECCION API SN SAE 15W-40 (1X12)</t>
        </is>
      </c>
      <c r="M898" s="63" t="inlineStr">
        <is>
          <t>95,83</t>
        </is>
      </c>
      <c r="N898" s="63" t="inlineStr">
        <is>
          <t>1,00</t>
        </is>
      </c>
      <c r="O898" s="63" t="inlineStr">
        <is>
          <t>36,57</t>
        </is>
      </c>
      <c r="P898" s="63" t="inlineStr">
        <is>
          <t>60,35</t>
        </is>
      </c>
      <c r="Q898" s="63" t="inlineStr">
        <is>
          <t>70,00</t>
        </is>
      </c>
    </row>
    <row r="899">
      <c r="A899" s="66" t="n">
        <v>46190</v>
      </c>
      <c r="B899" s="65" t="n">
        <v>189</v>
      </c>
      <c r="C899" s="65" t="inlineStr">
        <is>
          <t>00-00000651</t>
        </is>
      </c>
      <c r="D899" s="65" t="inlineStr">
        <is>
          <t>S00527</t>
        </is>
      </c>
      <c r="E899" s="65" t="inlineStr">
        <is>
          <t>Fluidtack Soluciones, c.a.</t>
        </is>
      </c>
      <c r="F899" s="63" t="inlineStr">
        <is>
          <t>72.667,99</t>
        </is>
      </c>
      <c r="G899" s="63" t="inlineStr">
        <is>
          <t>84.294,87</t>
        </is>
      </c>
      <c r="H899" s="63" t="inlineStr">
        <is>
          <t>141,24</t>
        </is>
      </c>
      <c r="I899" s="63" t="inlineStr">
        <is>
          <t>596,78</t>
        </is>
      </c>
      <c r="J899" s="65" t="n">
        <v>786</v>
      </c>
      <c r="K899" s="65" t="n">
        <v>139</v>
      </c>
      <c r="L899" s="65" t="inlineStr">
        <is>
          <t>[0139] HIDRAGLOB AW/ISO 46 (PAILA)</t>
        </is>
      </c>
      <c r="M899" s="63" t="inlineStr">
        <is>
          <t>121,77</t>
        </is>
      </c>
      <c r="N899" s="63" t="inlineStr">
        <is>
          <t>1,00</t>
        </is>
      </c>
      <c r="O899" s="63" t="inlineStr">
        <is>
          <t>0,00</t>
        </is>
      </c>
      <c r="P899" s="63" t="inlineStr">
        <is>
          <t>121,77</t>
        </is>
      </c>
      <c r="Q899" s="63" t="inlineStr">
        <is>
          <t>141,25</t>
        </is>
      </c>
    </row>
    <row r="900">
      <c r="A900" s="66" t="n">
        <v>46190</v>
      </c>
      <c r="B900" s="65" t="n">
        <v>187</v>
      </c>
      <c r="C900" s="65" t="inlineStr">
        <is>
          <t>00-00000649</t>
        </is>
      </c>
      <c r="D900" s="65" t="inlineStr">
        <is>
          <t>S00470</t>
        </is>
      </c>
      <c r="E900" s="65" t="inlineStr">
        <is>
          <t>Luis Zambrano</t>
        </is>
      </c>
      <c r="F900" s="63" t="inlineStr">
        <is>
          <t>429.747,05</t>
        </is>
      </c>
      <c r="G900" s="63" t="inlineStr">
        <is>
          <t>498.506,58</t>
        </is>
      </c>
      <c r="H900" s="63" t="inlineStr">
        <is>
          <t>884,98</t>
        </is>
      </c>
      <c r="I900" s="63" t="inlineStr">
        <is>
          <t>563,29</t>
        </is>
      </c>
      <c r="J900" s="65" t="n"/>
      <c r="K900" s="65" t="n">
        <v>797</v>
      </c>
      <c r="L900" s="65" t="inlineStr">
        <is>
          <t>[0797] REFRIGERANTE GLOBAL ORANGE PREMIUM 50-50 CONCENTRADO (Tambor)</t>
        </is>
      </c>
      <c r="M900" s="63" t="inlineStr">
        <is>
          <t>907,70</t>
        </is>
      </c>
      <c r="N900" s="63" t="inlineStr">
        <is>
          <t>1,00</t>
        </is>
      </c>
      <c r="O900" s="63" t="inlineStr">
        <is>
          <t>15,95</t>
        </is>
      </c>
      <c r="P900" s="63" t="inlineStr">
        <is>
          <t>762,92</t>
        </is>
      </c>
      <c r="Q900" s="63" t="inlineStr">
        <is>
          <t>884,99</t>
        </is>
      </c>
    </row>
    <row r="901">
      <c r="A901" s="66" t="n">
        <v>46190</v>
      </c>
      <c r="B901" s="65" t="n">
        <v>186</v>
      </c>
      <c r="C901" s="65" t="inlineStr">
        <is>
          <t>00-00000648</t>
        </is>
      </c>
      <c r="D901" s="65" t="inlineStr">
        <is>
          <t>S00575</t>
        </is>
      </c>
      <c r="E901" s="65" t="inlineStr">
        <is>
          <t>Grupo KACAOIL,C.A.</t>
        </is>
      </c>
      <c r="F901" s="63" t="inlineStr">
        <is>
          <t>51.446,54</t>
        </is>
      </c>
      <c r="G901" s="63" t="inlineStr">
        <is>
          <t>59.677,99</t>
        </is>
      </c>
      <c r="H901" s="63" t="inlineStr">
        <is>
          <t>99,99</t>
        </is>
      </c>
      <c r="I901" s="63" t="inlineStr">
        <is>
          <t>596,78</t>
        </is>
      </c>
      <c r="J901" s="65" t="n"/>
      <c r="K901" s="65" t="n">
        <v>881</v>
      </c>
      <c r="L901" s="65" t="inlineStr">
        <is>
          <t>[0881] CLASICO API SL SAE 20W-50 (1x12)</t>
        </is>
      </c>
      <c r="M901" s="63" t="inlineStr">
        <is>
          <t>86,21</t>
        </is>
      </c>
      <c r="N901" s="63" t="inlineStr">
        <is>
          <t>1,00</t>
        </is>
      </c>
      <c r="O901" s="63" t="inlineStr">
        <is>
          <t>0,00</t>
        </is>
      </c>
      <c r="P901" s="63" t="inlineStr">
        <is>
          <t>86,21</t>
        </is>
      </c>
      <c r="Q901" s="63" t="inlineStr">
        <is>
          <t>100,00</t>
        </is>
      </c>
    </row>
    <row r="902">
      <c r="A902" s="66" t="n">
        <v>46190</v>
      </c>
      <c r="B902" s="65" t="n">
        <v>184</v>
      </c>
      <c r="C902" s="65" t="inlineStr">
        <is>
          <t>00-00000645</t>
        </is>
      </c>
      <c r="D902" s="65" t="inlineStr">
        <is>
          <t>S00404</t>
        </is>
      </c>
      <c r="E902" s="65" t="inlineStr">
        <is>
          <t>Edgar salas</t>
        </is>
      </c>
      <c r="F902" s="63" t="inlineStr">
        <is>
          <t>30.199,76</t>
        </is>
      </c>
      <c r="G902" s="63" t="inlineStr">
        <is>
          <t>35.031,72</t>
        </is>
      </c>
      <c r="H902" s="63" t="inlineStr">
        <is>
          <t>67,98</t>
        </is>
      </c>
      <c r="I902" s="63" t="inlineStr">
        <is>
          <t>515,18</t>
        </is>
      </c>
      <c r="J902" s="65" t="n">
        <v>381</v>
      </c>
      <c r="K902" s="65" t="n">
        <v>887</v>
      </c>
      <c r="L902" s="65" t="inlineStr">
        <is>
          <t>[0887] MOTOCLASICO 4T SAE 20W-50 (1x12)</t>
        </is>
      </c>
      <c r="M902" s="63" t="inlineStr">
        <is>
          <t>68,35</t>
        </is>
      </c>
      <c r="N902" s="63" t="inlineStr">
        <is>
          <t>1,00</t>
        </is>
      </c>
      <c r="O902" s="63" t="inlineStr">
        <is>
          <t>14,23</t>
        </is>
      </c>
      <c r="P902" s="63" t="inlineStr">
        <is>
          <t>58,62</t>
        </is>
      </c>
      <c r="Q902" s="63" t="inlineStr">
        <is>
          <t>68,00</t>
        </is>
      </c>
    </row>
    <row r="903">
      <c r="A903" s="65" t="n"/>
      <c r="B903" s="65" t="n"/>
      <c r="C903" s="65" t="n"/>
      <c r="D903" s="65" t="n"/>
      <c r="E903" s="65" t="n"/>
      <c r="F903" s="65" t="n"/>
      <c r="G903" s="65" t="n"/>
      <c r="H903" s="65" t="n"/>
      <c r="I903" s="65" t="n"/>
      <c r="J903" s="65" t="n">
        <v>422</v>
      </c>
      <c r="K903" s="65" t="n"/>
      <c r="L903" s="65" t="n"/>
      <c r="M903" s="65" t="n"/>
      <c r="N903" s="65" t="n"/>
      <c r="O903" s="65" t="n"/>
      <c r="P903" s="65" t="n"/>
      <c r="Q903" s="65" t="n"/>
    </row>
    <row r="904">
      <c r="A904" s="65" t="n"/>
      <c r="B904" s="65" t="n"/>
      <c r="C904" s="65" t="n"/>
      <c r="D904" s="65" t="n"/>
      <c r="E904" s="65" t="n"/>
      <c r="F904" s="65" t="n"/>
      <c r="G904" s="65" t="n"/>
      <c r="H904" s="65" t="n"/>
      <c r="I904" s="65" t="n"/>
      <c r="J904" s="65" t="n">
        <v>547</v>
      </c>
      <c r="K904" s="65" t="n"/>
      <c r="L904" s="65" t="n"/>
      <c r="M904" s="65" t="n"/>
      <c r="N904" s="65" t="n"/>
      <c r="O904" s="65" t="n"/>
      <c r="P904" s="65" t="n"/>
      <c r="Q904" s="65" t="n"/>
    </row>
    <row r="905">
      <c r="A905" s="66" t="n">
        <v>46190</v>
      </c>
      <c r="B905" s="65" t="n">
        <v>183</v>
      </c>
      <c r="C905" s="65" t="inlineStr">
        <is>
          <t>00-00000644</t>
        </is>
      </c>
      <c r="D905" s="65" t="inlineStr">
        <is>
          <t>S00466</t>
        </is>
      </c>
      <c r="E905" s="65" t="inlineStr">
        <is>
          <t>Edgar salas</t>
        </is>
      </c>
      <c r="F905" s="63" t="inlineStr">
        <is>
          <t>25.735,00</t>
        </is>
      </c>
      <c r="G905" s="63" t="inlineStr">
        <is>
          <t>29.852,60</t>
        </is>
      </c>
      <c r="H905" s="63" t="inlineStr">
        <is>
          <t>52,98</t>
        </is>
      </c>
      <c r="I905" s="63" t="inlineStr">
        <is>
          <t>563,29</t>
        </is>
      </c>
      <c r="J905" s="65" t="n">
        <v>548</v>
      </c>
      <c r="K905" s="65" t="n">
        <v>779</v>
      </c>
      <c r="L905" s="65" t="inlineStr">
        <is>
          <t>[0779] SINOCO SAE 20W-50 (1x12)</t>
        </is>
      </c>
      <c r="M905" s="63" t="inlineStr">
        <is>
          <t>74,47</t>
        </is>
      </c>
      <c r="N905" s="63" t="inlineStr">
        <is>
          <t>1,00</t>
        </is>
      </c>
      <c r="O905" s="63" t="inlineStr">
        <is>
          <t>38,65</t>
        </is>
      </c>
      <c r="P905" s="63" t="inlineStr">
        <is>
          <t>45,69</t>
        </is>
      </c>
      <c r="Q905" s="63" t="inlineStr">
        <is>
          <t>53,00</t>
        </is>
      </c>
    </row>
    <row r="906">
      <c r="A906" s="65" t="n"/>
      <c r="B906" s="65" t="n"/>
      <c r="C906" s="65" t="n"/>
      <c r="D906" s="65" t="n"/>
      <c r="E906" s="65" t="n"/>
      <c r="F906" s="65" t="n"/>
      <c r="G906" s="65" t="n"/>
      <c r="H906" s="65" t="n"/>
      <c r="I906" s="65" t="n"/>
      <c r="J906" s="65" t="n">
        <v>762</v>
      </c>
      <c r="K906" s="65" t="n"/>
      <c r="L906" s="65" t="n"/>
      <c r="M906" s="65" t="n"/>
      <c r="N906" s="65" t="n"/>
      <c r="O906" s="65" t="n"/>
      <c r="P906" s="65" t="n"/>
      <c r="Q906" s="65" t="n"/>
    </row>
    <row r="907">
      <c r="A907" s="65" t="n"/>
      <c r="B907" s="65" t="n"/>
      <c r="C907" s="65" t="n"/>
      <c r="D907" s="65" t="n"/>
      <c r="E907" s="65" t="n"/>
      <c r="F907" s="65" t="n"/>
      <c r="G907" s="65" t="n"/>
      <c r="H907" s="65" t="n"/>
      <c r="I907" s="65" t="n"/>
      <c r="J907" s="65" t="n">
        <v>775</v>
      </c>
      <c r="K907" s="65" t="n"/>
      <c r="L907" s="65" t="n"/>
      <c r="M907" s="65" t="n"/>
      <c r="N907" s="65" t="n"/>
      <c r="O907" s="65" t="n"/>
      <c r="P907" s="65" t="n"/>
      <c r="Q907" s="65" t="n"/>
    </row>
    <row r="908">
      <c r="A908" s="66" t="n">
        <v>46190</v>
      </c>
      <c r="B908" s="65" t="n">
        <v>182</v>
      </c>
      <c r="C908" s="65" t="inlineStr">
        <is>
          <t>00-00000643</t>
        </is>
      </c>
      <c r="D908" s="65" t="inlineStr">
        <is>
          <t>S00426</t>
        </is>
      </c>
      <c r="E908" s="65" t="inlineStr">
        <is>
          <t>MULTIPARTES Y SERVICIOS HONDANIS,C.A.</t>
        </is>
      </c>
      <c r="F908" s="63" t="inlineStr">
        <is>
          <t>120.311,26</t>
        </is>
      </c>
      <c r="G908" s="63" t="inlineStr">
        <is>
          <t>139.561,06</t>
        </is>
      </c>
      <c r="H908" s="63" t="inlineStr">
        <is>
          <t>256,26</t>
        </is>
      </c>
      <c r="I908" s="63" t="inlineStr">
        <is>
          <t>544,58</t>
        </is>
      </c>
      <c r="J908" s="65" t="n">
        <v>783</v>
      </c>
      <c r="K908" s="65" t="n">
        <v>877</v>
      </c>
      <c r="L908" s="65" t="inlineStr">
        <is>
          <t>[0877] SS EXTRA PROTECCION API SN SAE 15W-40 (1X12)</t>
        </is>
      </c>
      <c r="M908" s="63" t="inlineStr">
        <is>
          <t>110,46</t>
        </is>
      </c>
      <c r="N908" s="63" t="inlineStr">
        <is>
          <t>2,00</t>
        </is>
      </c>
      <c r="O908" s="63" t="inlineStr">
        <is>
          <t>0,00</t>
        </is>
      </c>
      <c r="P908" s="63" t="inlineStr">
        <is>
          <t>220,93</t>
        </is>
      </c>
      <c r="Q908" s="63" t="inlineStr">
        <is>
          <t>256,27</t>
        </is>
      </c>
    </row>
    <row r="909">
      <c r="A909" s="66" t="n">
        <v>46190</v>
      </c>
      <c r="B909" s="65" t="n">
        <v>181</v>
      </c>
      <c r="C909" s="65" t="inlineStr">
        <is>
          <t>00-00000642</t>
        </is>
      </c>
      <c r="D909" s="65" t="inlineStr">
        <is>
          <t>S00489</t>
        </is>
      </c>
      <c r="E909" s="65" t="inlineStr">
        <is>
          <t>Cauchera El Gordo 0410,c.a.</t>
        </is>
      </c>
      <c r="F909" s="63" t="inlineStr">
        <is>
          <t>228.746,81</t>
        </is>
      </c>
      <c r="G909" s="63" t="inlineStr">
        <is>
          <t>265.346,30</t>
        </is>
      </c>
      <c r="H909" s="63" t="inlineStr">
        <is>
          <t>471,03</t>
        </is>
      </c>
      <c r="I909" s="63" t="inlineStr">
        <is>
          <t>563,29</t>
        </is>
      </c>
      <c r="J909" s="65" t="n">
        <v>784</v>
      </c>
      <c r="K909" s="65" t="n">
        <v>881</v>
      </c>
      <c r="L909" s="65" t="inlineStr">
        <is>
          <t>[0881] CLASICO API SL SAE 20W-50 (1x12)</t>
        </is>
      </c>
      <c r="M909" s="63" t="inlineStr">
        <is>
          <t>91,34</t>
        </is>
      </c>
      <c r="N909" s="63" t="inlineStr">
        <is>
          <t>1,00</t>
        </is>
      </c>
      <c r="O909" s="63" t="inlineStr">
        <is>
          <t>0,00</t>
        </is>
      </c>
      <c r="P909" s="63" t="inlineStr">
        <is>
          <t>91,34</t>
        </is>
      </c>
      <c r="Q909" s="63" t="inlineStr">
        <is>
          <t>105,95</t>
        </is>
      </c>
    </row>
    <row r="910">
      <c r="A910" s="65" t="n"/>
      <c r="B910" s="65" t="n"/>
      <c r="C910" s="65" t="n"/>
      <c r="D910" s="65" t="n"/>
      <c r="E910" s="65" t="n"/>
      <c r="F910" s="65" t="n"/>
      <c r="G910" s="65" t="n"/>
      <c r="H910" s="65" t="n"/>
      <c r="I910" s="65" t="n"/>
      <c r="J910" s="65" t="n"/>
      <c r="K910" s="65" t="n">
        <v>887</v>
      </c>
      <c r="L910" s="65" t="inlineStr">
        <is>
          <t>[0887] MOTOCLASICO 4T SAE 20W-50 (1x12)</t>
        </is>
      </c>
      <c r="M910" s="63" t="inlineStr">
        <is>
          <t>95,55</t>
        </is>
      </c>
      <c r="N910" s="63" t="inlineStr">
        <is>
          <t>1,00</t>
        </is>
      </c>
      <c r="O910" s="63" t="inlineStr">
        <is>
          <t>0,00</t>
        </is>
      </c>
      <c r="P910" s="63" t="inlineStr">
        <is>
          <t>95,55</t>
        </is>
      </c>
      <c r="Q910" s="63" t="inlineStr">
        <is>
          <t>110,84</t>
        </is>
      </c>
    </row>
    <row r="911">
      <c r="A911" s="65" t="n"/>
      <c r="B911" s="65" t="n"/>
      <c r="C911" s="65" t="n"/>
      <c r="D911" s="65" t="n"/>
      <c r="E911" s="65" t="n"/>
      <c r="F911" s="65" t="n"/>
      <c r="G911" s="65" t="n"/>
      <c r="H911" s="65" t="n"/>
      <c r="I911" s="65" t="n"/>
      <c r="J911" s="65" t="n"/>
      <c r="K911" s="65" t="n">
        <v>877</v>
      </c>
      <c r="L911" s="65" t="inlineStr">
        <is>
          <t>[0877] SS EXTRA PROTECCION API SN SAE 15W-40 (1X12)</t>
        </is>
      </c>
      <c r="M911" s="63" t="inlineStr">
        <is>
          <t>106,79</t>
        </is>
      </c>
      <c r="N911" s="63" t="inlineStr">
        <is>
          <t>1,00</t>
        </is>
      </c>
      <c r="O911" s="63" t="inlineStr">
        <is>
          <t>0,00</t>
        </is>
      </c>
      <c r="P911" s="63" t="inlineStr">
        <is>
          <t>106,79</t>
        </is>
      </c>
      <c r="Q911" s="63" t="inlineStr">
        <is>
          <t>123,88</t>
        </is>
      </c>
    </row>
    <row r="912">
      <c r="A912" s="65" t="n"/>
      <c r="B912" s="65" t="n"/>
      <c r="C912" s="65" t="n"/>
      <c r="D912" s="65" t="n"/>
      <c r="E912" s="65" t="n"/>
      <c r="F912" s="65" t="n"/>
      <c r="G912" s="65" t="n"/>
      <c r="H912" s="65" t="n"/>
      <c r="I912" s="65" t="n"/>
      <c r="J912" s="65" t="n"/>
      <c r="K912" s="65" t="n">
        <v>779</v>
      </c>
      <c r="L912" s="65" t="inlineStr">
        <is>
          <t>[0779] SINOCO SAE 20W-50 (1x12)</t>
        </is>
      </c>
      <c r="M912" s="63" t="inlineStr">
        <is>
          <t>74,47</t>
        </is>
      </c>
      <c r="N912" s="63" t="inlineStr">
        <is>
          <t>1,00</t>
        </is>
      </c>
      <c r="O912" s="63" t="inlineStr">
        <is>
          <t>0,00</t>
        </is>
      </c>
      <c r="P912" s="63" t="inlineStr">
        <is>
          <t>74,47</t>
        </is>
      </c>
      <c r="Q912" s="63" t="inlineStr">
        <is>
          <t>86,38</t>
        </is>
      </c>
    </row>
    <row r="913">
      <c r="A913" s="65" t="n"/>
      <c r="B913" s="65" t="n"/>
      <c r="C913" s="65" t="n"/>
      <c r="D913" s="65" t="n"/>
      <c r="E913" s="65" t="n"/>
      <c r="F913" s="65" t="n"/>
      <c r="G913" s="65" t="n"/>
      <c r="H913" s="65" t="n"/>
      <c r="I913" s="65" t="n"/>
      <c r="J913" s="65" t="n"/>
      <c r="K913" s="65" t="n">
        <v>761</v>
      </c>
      <c r="L913" s="65" t="inlineStr">
        <is>
          <t>[0761] LIGA PARA FRENOS DOT-3 (1x12)</t>
        </is>
      </c>
      <c r="M913" s="63" t="inlineStr">
        <is>
          <t>37,94</t>
        </is>
      </c>
      <c r="N913" s="63" t="inlineStr">
        <is>
          <t>1,00</t>
        </is>
      </c>
      <c r="O913" s="63" t="inlineStr">
        <is>
          <t>0,00</t>
        </is>
      </c>
      <c r="P913" s="63" t="inlineStr">
        <is>
          <t>37,94</t>
        </is>
      </c>
      <c r="Q913" s="63" t="inlineStr">
        <is>
          <t>44,01</t>
        </is>
      </c>
    </row>
    <row r="914">
      <c r="A914" s="66" t="n">
        <v>46189</v>
      </c>
      <c r="B914" s="65" t="n">
        <v>188</v>
      </c>
      <c r="C914" s="65" t="inlineStr">
        <is>
          <t>00-00000650</t>
        </is>
      </c>
      <c r="D914" s="65" t="inlineStr">
        <is>
          <t>S00457</t>
        </is>
      </c>
      <c r="E914" s="65" t="inlineStr">
        <is>
          <t>Anthony Jose Quijada Diaz.</t>
        </is>
      </c>
      <c r="F914" s="63" t="inlineStr">
        <is>
          <t>415.469,97</t>
        </is>
      </c>
      <c r="G914" s="63" t="inlineStr">
        <is>
          <t>481.945,17</t>
        </is>
      </c>
      <c r="H914" s="63" t="inlineStr">
        <is>
          <t>884,97</t>
        </is>
      </c>
      <c r="I914" s="63" t="inlineStr">
        <is>
          <t>544,58</t>
        </is>
      </c>
      <c r="J914" s="65" t="n">
        <v>765</v>
      </c>
      <c r="K914" s="65" t="n">
        <v>73</v>
      </c>
      <c r="L914" s="65" t="inlineStr">
        <is>
          <t>[0073] SUPREMO API CI-4 SAE 15W-40 (PAILA)</t>
        </is>
      </c>
      <c r="M914" s="63" t="inlineStr">
        <is>
          <t>138,53</t>
        </is>
      </c>
      <c r="N914" s="63" t="inlineStr">
        <is>
          <t>8,00</t>
        </is>
      </c>
      <c r="O914" s="63" t="inlineStr">
        <is>
          <t>40,26</t>
        </is>
      </c>
      <c r="P914" s="63" t="inlineStr">
        <is>
          <t>662,05</t>
        </is>
      </c>
      <c r="Q914" s="63" t="inlineStr">
        <is>
          <t>767,98</t>
        </is>
      </c>
    </row>
    <row r="915">
      <c r="A915" s="65" t="n"/>
      <c r="B915" s="65" t="n"/>
      <c r="C915" s="65" t="n"/>
      <c r="D915" s="65" t="n"/>
      <c r="E915" s="65" t="n"/>
      <c r="F915" s="65" t="n"/>
      <c r="G915" s="65" t="n"/>
      <c r="H915" s="65" t="n"/>
      <c r="I915" s="65" t="n"/>
      <c r="J915" s="65" t="n"/>
      <c r="K915" s="65" t="n">
        <v>795</v>
      </c>
      <c r="L915" s="65" t="inlineStr">
        <is>
          <t>[0795] REFRIGERANTE GLOBAL ORANGE PREMIUM 50-50 CONCENTRADO (1x3)</t>
        </is>
      </c>
      <c r="M915" s="63" t="inlineStr">
        <is>
          <t>56,27</t>
        </is>
      </c>
      <c r="N915" s="63" t="inlineStr">
        <is>
          <t>3,00</t>
        </is>
      </c>
      <c r="O915" s="63" t="inlineStr">
        <is>
          <t>40,25</t>
        </is>
      </c>
      <c r="P915" s="63" t="inlineStr">
        <is>
          <t>100,87</t>
        </is>
      </c>
      <c r="Q915" s="63" t="inlineStr">
        <is>
          <t>117,01</t>
        </is>
      </c>
    </row>
    <row r="916">
      <c r="A916" s="66" t="n">
        <v>46189</v>
      </c>
      <c r="B916" s="65" t="n">
        <v>185</v>
      </c>
      <c r="C916" s="65" t="inlineStr">
        <is>
          <t>00-00000646</t>
        </is>
      </c>
      <c r="D916" s="65" t="inlineStr">
        <is>
          <t>S00540</t>
        </is>
      </c>
      <c r="E916" s="65" t="inlineStr">
        <is>
          <t>GARAJE Y TALLERES FRIDELBA, C.A</t>
        </is>
      </c>
      <c r="F916" s="63" t="inlineStr">
        <is>
          <t>140.089,25</t>
        </is>
      </c>
      <c r="G916" s="63" t="inlineStr">
        <is>
          <t>162.503,52</t>
        </is>
      </c>
      <c r="H916" s="63" t="inlineStr">
        <is>
          <t>281,35</t>
        </is>
      </c>
      <c r="I916" s="63" t="inlineStr">
        <is>
          <t>577,55</t>
        </is>
      </c>
      <c r="J916" s="65" t="n">
        <v>276</v>
      </c>
      <c r="K916" s="65" t="n">
        <v>877</v>
      </c>
      <c r="L916" s="65" t="inlineStr">
        <is>
          <t>[0877] SS EXTRA PROTECCION API SN SAE 15W-40 (1X12)</t>
        </is>
      </c>
      <c r="M916" s="63" t="inlineStr">
        <is>
          <t>101,72</t>
        </is>
      </c>
      <c r="N916" s="63" t="inlineStr">
        <is>
          <t>1,00</t>
        </is>
      </c>
      <c r="O916" s="63" t="inlineStr">
        <is>
          <t>8,00</t>
        </is>
      </c>
      <c r="P916" s="63" t="inlineStr">
        <is>
          <t>93,58</t>
        </is>
      </c>
      <c r="Q916" s="63" t="inlineStr">
        <is>
          <t>108,56</t>
        </is>
      </c>
    </row>
    <row r="917">
      <c r="A917" s="65" t="n"/>
      <c r="B917" s="65" t="n"/>
      <c r="C917" s="65" t="n"/>
      <c r="D917" s="65" t="n"/>
      <c r="E917" s="65" t="n"/>
      <c r="F917" s="65" t="n"/>
      <c r="G917" s="65" t="n"/>
      <c r="H917" s="65" t="n"/>
      <c r="I917" s="65" t="n"/>
      <c r="J917" s="65" t="n">
        <v>763</v>
      </c>
      <c r="K917" s="65" t="n"/>
      <c r="L917" s="65" t="n"/>
      <c r="M917" s="65" t="n"/>
      <c r="N917" s="65" t="n"/>
      <c r="O917" s="65" t="n"/>
      <c r="P917" s="65" t="n"/>
      <c r="Q917" s="65" t="n"/>
    </row>
    <row r="918">
      <c r="A918" s="65" t="n"/>
      <c r="B918" s="65" t="n"/>
      <c r="C918" s="65" t="n"/>
      <c r="D918" s="65" t="n"/>
      <c r="E918" s="65" t="n"/>
      <c r="F918" s="65" t="n"/>
      <c r="G918" s="65" t="n"/>
      <c r="H918" s="65" t="n"/>
      <c r="I918" s="65" t="n"/>
      <c r="J918" s="65" t="n"/>
      <c r="K918" s="65" t="n">
        <v>884</v>
      </c>
      <c r="L918" s="65" t="inlineStr">
        <is>
          <t>[0884] TRANSMATIC ATF DEXRON III (1x12)</t>
        </is>
      </c>
      <c r="M918" s="63" t="inlineStr">
        <is>
          <t>96,35</t>
        </is>
      </c>
      <c r="N918" s="63" t="inlineStr">
        <is>
          <t>1,00</t>
        </is>
      </c>
      <c r="O918" s="63" t="inlineStr">
        <is>
          <t>8,00</t>
        </is>
      </c>
      <c r="P918" s="63" t="inlineStr">
        <is>
          <t>88,65</t>
        </is>
      </c>
      <c r="Q918" s="63" t="inlineStr">
        <is>
          <t>102,83</t>
        </is>
      </c>
    </row>
    <row r="919">
      <c r="A919" s="65" t="n"/>
      <c r="B919" s="65" t="n"/>
      <c r="C919" s="65" t="n"/>
      <c r="D919" s="65" t="n"/>
      <c r="E919" s="65" t="n"/>
      <c r="F919" s="65" t="n"/>
      <c r="G919" s="65" t="n"/>
      <c r="H919" s="65" t="n"/>
      <c r="I919" s="65" t="n"/>
      <c r="J919" s="65" t="n"/>
      <c r="K919" s="65" t="n">
        <v>774</v>
      </c>
      <c r="L919" s="65" t="inlineStr">
        <is>
          <t>[0774] LIGA PARA FRENOS DOT-4 (1X6)</t>
        </is>
      </c>
      <c r="M919" s="63" t="inlineStr">
        <is>
          <t>65,58</t>
        </is>
      </c>
      <c r="N919" s="63" t="inlineStr">
        <is>
          <t>1,00</t>
        </is>
      </c>
      <c r="O919" s="63" t="inlineStr">
        <is>
          <t>8,00</t>
        </is>
      </c>
      <c r="P919" s="63" t="inlineStr">
        <is>
          <t>60,33</t>
        </is>
      </c>
      <c r="Q919" s="63" t="inlineStr">
        <is>
          <t>69,98</t>
        </is>
      </c>
    </row>
    <row r="920">
      <c r="A920" s="66" t="n">
        <v>46189</v>
      </c>
      <c r="B920" s="65" t="n">
        <v>180</v>
      </c>
      <c r="C920" s="65" t="inlineStr">
        <is>
          <t>00-00000636</t>
        </is>
      </c>
      <c r="D920" s="65" t="inlineStr">
        <is>
          <t>S00570</t>
        </is>
      </c>
      <c r="E920" s="65" t="inlineStr">
        <is>
          <t>ELENA MEJIAS</t>
        </is>
      </c>
      <c r="F920" s="63" t="inlineStr">
        <is>
          <t>18.725,56</t>
        </is>
      </c>
      <c r="G920" s="63" t="inlineStr">
        <is>
          <t>21.721,65</t>
        </is>
      </c>
      <c r="H920" s="63" t="inlineStr">
        <is>
          <t>36,65</t>
        </is>
      </c>
      <c r="I920" s="63" t="inlineStr">
        <is>
          <t>592,52</t>
        </is>
      </c>
      <c r="J920" s="65" t="n">
        <v>776</v>
      </c>
      <c r="K920" s="65" t="n">
        <v>561</v>
      </c>
      <c r="L920" s="65" t="inlineStr">
        <is>
          <t>[0561] MEJORADOR DE OCTANAJE GLOBAL OIL PACK (1X12)</t>
        </is>
      </c>
      <c r="M920" s="63" t="inlineStr">
        <is>
          <t>33,62</t>
        </is>
      </c>
      <c r="N920" s="63" t="inlineStr">
        <is>
          <t>1,00</t>
        </is>
      </c>
      <c r="O920" s="63" t="inlineStr">
        <is>
          <t>6,00</t>
        </is>
      </c>
      <c r="P920" s="63" t="inlineStr">
        <is>
          <t>31,60</t>
        </is>
      </c>
      <c r="Q920" s="63" t="inlineStr">
        <is>
          <t>36,66</t>
        </is>
      </c>
    </row>
    <row r="921">
      <c r="A921" s="66" t="n">
        <v>46188</v>
      </c>
      <c r="B921" s="65" t="n">
        <v>179</v>
      </c>
      <c r="C921" s="65" t="inlineStr">
        <is>
          <t>00-00000630</t>
        </is>
      </c>
      <c r="D921" s="65" t="inlineStr">
        <is>
          <t>S00351</t>
        </is>
      </c>
      <c r="E921" s="65" t="inlineStr">
        <is>
          <t>INVERSIONES BECLA PARTS C.A.</t>
        </is>
      </c>
      <c r="F921" s="63" t="inlineStr">
        <is>
          <t>72.927,62</t>
        </is>
      </c>
      <c r="G921" s="63" t="inlineStr">
        <is>
          <t>84.596,04</t>
        </is>
      </c>
      <c r="H921" s="63" t="inlineStr">
        <is>
          <t>162,38</t>
        </is>
      </c>
      <c r="I921" s="63" t="inlineStr">
        <is>
          <t>520,91</t>
        </is>
      </c>
      <c r="J921" s="65" t="n">
        <v>536</v>
      </c>
      <c r="K921" s="65" t="n">
        <v>779</v>
      </c>
      <c r="L921" s="65" t="inlineStr">
        <is>
          <t>[0779] SINOCO SAE 20W-50 (1x12)</t>
        </is>
      </c>
      <c r="M921" s="63" t="inlineStr">
        <is>
          <t>78,94</t>
        </is>
      </c>
      <c r="N921" s="63" t="inlineStr">
        <is>
          <t>2,00</t>
        </is>
      </c>
      <c r="O921" s="63" t="inlineStr">
        <is>
          <t>11,32</t>
        </is>
      </c>
      <c r="P921" s="63" t="inlineStr">
        <is>
          <t>140,00</t>
        </is>
      </c>
      <c r="Q921" s="63" t="inlineStr">
        <is>
          <t>162,40</t>
        </is>
      </c>
    </row>
    <row r="922">
      <c r="A922" s="65" t="n"/>
      <c r="B922" s="65" t="n"/>
      <c r="C922" s="65" t="n"/>
      <c r="D922" s="65" t="n"/>
      <c r="E922" s="65" t="n"/>
      <c r="F922" s="65" t="n"/>
      <c r="G922" s="65" t="n"/>
      <c r="H922" s="65" t="n"/>
      <c r="I922" s="65" t="n"/>
      <c r="J922" s="65" t="n">
        <v>760</v>
      </c>
      <c r="K922" s="65" t="n"/>
      <c r="L922" s="65" t="n"/>
      <c r="M922" s="65" t="n"/>
      <c r="N922" s="65" t="n"/>
      <c r="O922" s="65" t="n"/>
      <c r="P922" s="65" t="n"/>
      <c r="Q922" s="65" t="n"/>
    </row>
    <row r="923">
      <c r="A923" s="66" t="n">
        <v>46188</v>
      </c>
      <c r="B923" s="65" t="n">
        <v>178</v>
      </c>
      <c r="C923" s="65" t="inlineStr">
        <is>
          <t>00-00000629</t>
        </is>
      </c>
      <c r="D923" s="65" t="inlineStr">
        <is>
          <t>S00149</t>
        </is>
      </c>
      <c r="E923" s="65" t="inlineStr">
        <is>
          <t>Emprendimiento ilaris cancelo</t>
        </is>
      </c>
      <c r="F923" s="63" t="inlineStr">
        <is>
          <t>714.899,24</t>
        </is>
      </c>
      <c r="G923" s="63" t="inlineStr">
        <is>
          <t>829.283,11</t>
        </is>
      </c>
      <c r="H923" s="63" t="inlineStr">
        <is>
          <t>1.750,00</t>
        </is>
      </c>
      <c r="I923" s="63" t="inlineStr">
        <is>
          <t>473,87</t>
        </is>
      </c>
      <c r="J923" s="65" t="n">
        <v>228</v>
      </c>
      <c r="K923" s="65" t="n">
        <v>603</v>
      </c>
      <c r="L923" s="65" t="inlineStr">
        <is>
          <t>[0603] SINOCO SAE 50 (Tambor)</t>
        </is>
      </c>
      <c r="M923" s="63" t="inlineStr">
        <is>
          <t>547,42</t>
        </is>
      </c>
      <c r="N923" s="63" t="inlineStr">
        <is>
          <t>2,00</t>
        </is>
      </c>
      <c r="O923" s="63" t="inlineStr">
        <is>
          <t>0,00</t>
        </is>
      </c>
      <c r="P923" s="63" t="inlineStr">
        <is>
          <t>1.094,84</t>
        </is>
      </c>
      <c r="Q923" s="63" t="inlineStr">
        <is>
          <t>1.270,01</t>
        </is>
      </c>
    </row>
    <row r="924">
      <c r="A924" s="65" t="n"/>
      <c r="B924" s="65" t="n"/>
      <c r="C924" s="65" t="n"/>
      <c r="D924" s="65" t="n"/>
      <c r="E924" s="65" t="n"/>
      <c r="F924" s="65" t="n"/>
      <c r="G924" s="65" t="n"/>
      <c r="H924" s="65" t="n"/>
      <c r="I924" s="65" t="n"/>
      <c r="J924" s="65" t="n">
        <v>373</v>
      </c>
      <c r="K924" s="65" t="n"/>
      <c r="L924" s="65" t="n"/>
      <c r="M924" s="65" t="n"/>
      <c r="N924" s="65" t="n"/>
      <c r="O924" s="65" t="n"/>
      <c r="P924" s="65" t="n"/>
      <c r="Q924" s="65" t="n"/>
    </row>
    <row r="925">
      <c r="A925" s="65" t="n"/>
      <c r="B925" s="65" t="n"/>
      <c r="C925" s="65" t="n"/>
      <c r="D925" s="65" t="n"/>
      <c r="E925" s="65" t="n"/>
      <c r="F925" s="65" t="n"/>
      <c r="G925" s="65" t="n"/>
      <c r="H925" s="65" t="n"/>
      <c r="I925" s="65" t="n"/>
      <c r="J925" s="65" t="n">
        <v>469</v>
      </c>
      <c r="K925" s="65" t="n"/>
      <c r="L925" s="65" t="n"/>
      <c r="M925" s="65" t="n"/>
      <c r="N925" s="65" t="n"/>
      <c r="O925" s="65" t="n"/>
      <c r="P925" s="65" t="n"/>
      <c r="Q925" s="65" t="n"/>
    </row>
    <row r="926">
      <c r="A926" s="65" t="n"/>
      <c r="B926" s="65" t="n"/>
      <c r="C926" s="65" t="n"/>
      <c r="D926" s="65" t="n"/>
      <c r="E926" s="65" t="n"/>
      <c r="F926" s="65" t="n"/>
      <c r="G926" s="65" t="n"/>
      <c r="H926" s="65" t="n"/>
      <c r="I926" s="65" t="n"/>
      <c r="J926" s="65" t="n"/>
      <c r="K926" s="65" t="n">
        <v>779</v>
      </c>
      <c r="L926" s="65" t="inlineStr">
        <is>
          <t>[0779] SINOCO SAE 20W-50 (1x12)</t>
        </is>
      </c>
      <c r="M926" s="63" t="inlineStr">
        <is>
          <t>41,38</t>
        </is>
      </c>
      <c r="N926" s="63" t="inlineStr">
        <is>
          <t>10,00</t>
        </is>
      </c>
      <c r="O926" s="63" t="inlineStr">
        <is>
          <t>0,00</t>
        </is>
      </c>
      <c r="P926" s="63" t="inlineStr">
        <is>
          <t>413,80</t>
        </is>
      </c>
      <c r="Q926" s="63" t="inlineStr">
        <is>
          <t>480,01</t>
        </is>
      </c>
    </row>
    <row r="927">
      <c r="A927" s="66" t="n">
        <v>46188</v>
      </c>
      <c r="B927" s="65" t="n">
        <v>177</v>
      </c>
      <c r="C927" s="65" t="inlineStr">
        <is>
          <t>00-00000627</t>
        </is>
      </c>
      <c r="D927" s="65" t="inlineStr">
        <is>
          <t>S00565</t>
        </is>
      </c>
      <c r="E927" s="65" t="inlineStr">
        <is>
          <t>Larry Herrera</t>
        </is>
      </c>
      <c r="F927" s="63" t="inlineStr">
        <is>
          <t>38.485,21</t>
        </is>
      </c>
      <c r="G927" s="63" t="inlineStr">
        <is>
          <t>44.642,84</t>
        </is>
      </c>
      <c r="H927" s="63" t="inlineStr">
        <is>
          <t>75,99</t>
        </is>
      </c>
      <c r="I927" s="63" t="inlineStr">
        <is>
          <t>587,41</t>
        </is>
      </c>
      <c r="J927" s="65" t="n">
        <v>753</v>
      </c>
      <c r="K927" s="65" t="n">
        <v>877</v>
      </c>
      <c r="L927" s="65" t="inlineStr">
        <is>
          <t>[0877] SS EXTRA PROTECCION API SN SAE 15W-40 (1X12)</t>
        </is>
      </c>
      <c r="M927" s="63" t="inlineStr">
        <is>
          <t>65,52</t>
        </is>
      </c>
      <c r="N927" s="63" t="inlineStr">
        <is>
          <t>1,00</t>
        </is>
      </c>
      <c r="O927" s="63" t="inlineStr">
        <is>
          <t>0,00</t>
        </is>
      </c>
      <c r="P927" s="63" t="inlineStr">
        <is>
          <t>65,52</t>
        </is>
      </c>
      <c r="Q927" s="63" t="inlineStr">
        <is>
          <t>76,00</t>
        </is>
      </c>
    </row>
    <row r="928">
      <c r="A928" s="66" t="n">
        <v>46185</v>
      </c>
      <c r="B928" s="65" t="n">
        <v>176</v>
      </c>
      <c r="C928" s="65" t="inlineStr">
        <is>
          <t>00-00000619</t>
        </is>
      </c>
      <c r="D928" s="65" t="inlineStr">
        <is>
          <t>S00053</t>
        </is>
      </c>
      <c r="E928" s="65" t="inlineStr">
        <is>
          <t>INVERSIONES MI LINDA YEMAIRE 2019, C.A</t>
        </is>
      </c>
      <c r="F928" s="63" t="inlineStr">
        <is>
          <t>283.095,96</t>
        </is>
      </c>
      <c r="G928" s="63" t="inlineStr">
        <is>
          <t>328.391,31</t>
        </is>
      </c>
      <c r="H928" s="63" t="inlineStr">
        <is>
          <t>692,02</t>
        </is>
      </c>
      <c r="I928" s="63" t="inlineStr">
        <is>
          <t>474,53</t>
        </is>
      </c>
      <c r="J928" s="65" t="n">
        <v>269</v>
      </c>
      <c r="K928" s="65" t="n">
        <v>603</v>
      </c>
      <c r="L928" s="65" t="inlineStr">
        <is>
          <t>[0603] SINOCO SAE 50 (Tambor)</t>
        </is>
      </c>
      <c r="M928" s="63" t="inlineStr">
        <is>
          <t>838,71</t>
        </is>
      </c>
      <c r="N928" s="63" t="inlineStr">
        <is>
          <t>1,00</t>
        </is>
      </c>
      <c r="O928" s="63" t="inlineStr">
        <is>
          <t>28,87</t>
        </is>
      </c>
      <c r="P928" s="63" t="inlineStr">
        <is>
          <t>596,58</t>
        </is>
      </c>
      <c r="Q928" s="63" t="inlineStr">
        <is>
          <t>692,03</t>
        </is>
      </c>
    </row>
    <row r="929">
      <c r="A929" s="65" t="n"/>
      <c r="B929" s="65" t="n"/>
      <c r="C929" s="65" t="n"/>
      <c r="D929" s="65" t="n"/>
      <c r="E929" s="65" t="n"/>
      <c r="F929" s="65" t="n"/>
      <c r="G929" s="65" t="n"/>
      <c r="H929" s="65" t="n"/>
      <c r="I929" s="65" t="n"/>
      <c r="J929" s="65" t="n">
        <v>328</v>
      </c>
      <c r="K929" s="65" t="n"/>
      <c r="L929" s="65" t="n"/>
      <c r="M929" s="65" t="n"/>
      <c r="N929" s="65" t="n"/>
      <c r="O929" s="65" t="n"/>
      <c r="P929" s="65" t="n"/>
      <c r="Q929" s="65" t="n"/>
    </row>
    <row r="930">
      <c r="A930" s="65" t="n"/>
      <c r="B930" s="65" t="n"/>
      <c r="C930" s="65" t="n"/>
      <c r="D930" s="65" t="n"/>
      <c r="E930" s="65" t="n"/>
      <c r="F930" s="65" t="n"/>
      <c r="G930" s="65" t="n"/>
      <c r="H930" s="65" t="n"/>
      <c r="I930" s="65" t="n"/>
      <c r="J930" s="65" t="n">
        <v>480</v>
      </c>
      <c r="K930" s="65" t="n"/>
      <c r="L930" s="65" t="n"/>
      <c r="M930" s="65" t="n"/>
      <c r="N930" s="65" t="n"/>
      <c r="O930" s="65" t="n"/>
      <c r="P930" s="65" t="n"/>
      <c r="Q930" s="65" t="n"/>
    </row>
    <row r="931">
      <c r="A931" s="65" t="n"/>
      <c r="B931" s="65" t="n"/>
      <c r="C931" s="65" t="n"/>
      <c r="D931" s="65" t="n"/>
      <c r="E931" s="65" t="n"/>
      <c r="F931" s="65" t="n"/>
      <c r="G931" s="65" t="n"/>
      <c r="H931" s="65" t="n"/>
      <c r="I931" s="65" t="n"/>
      <c r="J931" s="65" t="n">
        <v>553</v>
      </c>
      <c r="K931" s="65" t="n"/>
      <c r="L931" s="65" t="n"/>
      <c r="M931" s="65" t="n"/>
      <c r="N931" s="65" t="n"/>
      <c r="O931" s="65" t="n"/>
      <c r="P931" s="65" t="n"/>
      <c r="Q931" s="65" t="n"/>
    </row>
    <row r="932">
      <c r="A932" s="66" t="n">
        <v>46185</v>
      </c>
      <c r="B932" s="65" t="n">
        <v>175</v>
      </c>
      <c r="C932" s="65" t="inlineStr">
        <is>
          <t>00-00000618</t>
        </is>
      </c>
      <c r="D932" s="65" t="inlineStr">
        <is>
          <t>S00118</t>
        </is>
      </c>
      <c r="E932" s="65" t="inlineStr">
        <is>
          <t>ELIVAN2025, C.A</t>
        </is>
      </c>
      <c r="F932" s="63" t="inlineStr">
        <is>
          <t>13.889,13</t>
        </is>
      </c>
      <c r="G932" s="63" t="inlineStr">
        <is>
          <t>16.111,39</t>
        </is>
      </c>
      <c r="H932" s="63" t="inlineStr">
        <is>
          <t>33,98</t>
        </is>
      </c>
      <c r="I932" s="63" t="inlineStr">
        <is>
          <t>473,87</t>
        </is>
      </c>
      <c r="J932" s="65" t="n">
        <v>309</v>
      </c>
      <c r="K932" s="65" t="n">
        <v>93</v>
      </c>
      <c r="L932" s="65" t="inlineStr">
        <is>
          <t>[0093] ALTA CILINDRADA SS API SN SAE 15W-40 (1x6)</t>
        </is>
      </c>
      <c r="M932" s="63" t="inlineStr">
        <is>
          <t>29,31</t>
        </is>
      </c>
      <c r="N932" s="63" t="inlineStr">
        <is>
          <t>1,00</t>
        </is>
      </c>
      <c r="O932" s="63" t="inlineStr">
        <is>
          <t>0,00</t>
        </is>
      </c>
      <c r="P932" s="63" t="inlineStr">
        <is>
          <t>29,31</t>
        </is>
      </c>
      <c r="Q932" s="63" t="inlineStr">
        <is>
          <t>34,00</t>
        </is>
      </c>
    </row>
    <row r="933">
      <c r="A933" s="65" t="n"/>
      <c r="B933" s="65" t="n"/>
      <c r="C933" s="65" t="n"/>
      <c r="D933" s="65" t="n"/>
      <c r="E933" s="65" t="n"/>
      <c r="F933" s="65" t="n"/>
      <c r="G933" s="65" t="n"/>
      <c r="H933" s="65" t="n"/>
      <c r="I933" s="65" t="n"/>
      <c r="J933" s="65" t="n">
        <v>577</v>
      </c>
      <c r="K933" s="65" t="n"/>
      <c r="L933" s="65" t="n"/>
      <c r="M933" s="65" t="n"/>
      <c r="N933" s="65" t="n"/>
      <c r="O933" s="65" t="n"/>
      <c r="P933" s="65" t="n"/>
      <c r="Q933" s="65" t="n"/>
    </row>
    <row r="934">
      <c r="A934" s="66" t="n">
        <v>46185</v>
      </c>
      <c r="B934" s="65" t="n">
        <v>174</v>
      </c>
      <c r="C934" s="65" t="inlineStr">
        <is>
          <t>00-00000617</t>
        </is>
      </c>
      <c r="D934" s="65" t="inlineStr">
        <is>
          <t>S00394</t>
        </is>
      </c>
      <c r="E934" s="65" t="inlineStr">
        <is>
          <t>Sandra Katherine Quintero Crespo</t>
        </is>
      </c>
      <c r="F934" s="63" t="inlineStr">
        <is>
          <t>153.380,11</t>
        </is>
      </c>
      <c r="G934" s="63" t="inlineStr">
        <is>
          <t>177.920,93</t>
        </is>
      </c>
      <c r="H934" s="63" t="inlineStr">
        <is>
          <t>341,55</t>
        </is>
      </c>
      <c r="I934" s="63" t="inlineStr">
        <is>
          <t>520,91</t>
        </is>
      </c>
      <c r="J934" s="65" t="n"/>
      <c r="K934" s="65" t="n">
        <v>605</v>
      </c>
      <c r="L934" s="65" t="inlineStr">
        <is>
          <t>[0605] SINOCO SAE 20W-50 (PAILA)</t>
        </is>
      </c>
      <c r="M934" s="63" t="inlineStr">
        <is>
          <t>108,30</t>
        </is>
      </c>
      <c r="N934" s="63" t="inlineStr">
        <is>
          <t>2,00</t>
        </is>
      </c>
      <c r="O934" s="63" t="inlineStr">
        <is>
          <t>10,60</t>
        </is>
      </c>
      <c r="P934" s="63" t="inlineStr">
        <is>
          <t>193,64</t>
        </is>
      </c>
      <c r="Q934" s="63" t="inlineStr">
        <is>
          <t>224,63</t>
        </is>
      </c>
    </row>
    <row r="935">
      <c r="A935" s="65" t="n"/>
      <c r="B935" s="65" t="n"/>
      <c r="C935" s="65" t="n"/>
      <c r="D935" s="65" t="n"/>
      <c r="E935" s="65" t="n"/>
      <c r="F935" s="65" t="n"/>
      <c r="G935" s="65" t="n"/>
      <c r="H935" s="65" t="n"/>
      <c r="I935" s="65" t="n"/>
      <c r="J935" s="65" t="n"/>
      <c r="K935" s="65" t="n">
        <v>877</v>
      </c>
      <c r="L935" s="65" t="inlineStr">
        <is>
          <t>[0877] SS EXTRA PROTECCION API SN SAE 15W-40 (1X12)</t>
        </is>
      </c>
      <c r="M935" s="63" t="inlineStr">
        <is>
          <t>112,75</t>
        </is>
      </c>
      <c r="N935" s="63" t="inlineStr">
        <is>
          <t>1,00</t>
        </is>
      </c>
      <c r="O935" s="63" t="inlineStr">
        <is>
          <t>10,60</t>
        </is>
      </c>
      <c r="P935" s="63" t="inlineStr">
        <is>
          <t>100,80</t>
        </is>
      </c>
      <c r="Q935" s="63" t="inlineStr">
        <is>
          <t>116,93</t>
        </is>
      </c>
    </row>
    <row r="936">
      <c r="A936" s="66" t="n">
        <v>46185</v>
      </c>
      <c r="B936" s="65" t="n">
        <v>173</v>
      </c>
      <c r="C936" s="65" t="inlineStr">
        <is>
          <t>00-00000616</t>
        </is>
      </c>
      <c r="D936" s="65" t="inlineStr">
        <is>
          <t>S00164</t>
        </is>
      </c>
      <c r="E936" s="65" t="inlineStr">
        <is>
          <t>INVERSIONES IRETE SUKA, C.A</t>
        </is>
      </c>
      <c r="F936" s="63" t="inlineStr">
        <is>
          <t>98.859,13</t>
        </is>
      </c>
      <c r="G936" s="63" t="inlineStr">
        <is>
          <t>114.676,59</t>
        </is>
      </c>
      <c r="H936" s="63" t="inlineStr">
        <is>
          <t>241,98</t>
        </is>
      </c>
      <c r="I936" s="63" t="inlineStr">
        <is>
          <t>473,87</t>
        </is>
      </c>
      <c r="J936" s="65" t="n">
        <v>234</v>
      </c>
      <c r="K936" s="65" t="n">
        <v>877</v>
      </c>
      <c r="L936" s="65" t="inlineStr">
        <is>
          <t>[0877] SS EXTRA PROTECCION API SN SAE 15W-40 (1X12)</t>
        </is>
      </c>
      <c r="M936" s="63" t="inlineStr">
        <is>
          <t>92,05</t>
        </is>
      </c>
      <c r="N936" s="63" t="inlineStr">
        <is>
          <t>1,00</t>
        </is>
      </c>
      <c r="O936" s="63" t="inlineStr">
        <is>
          <t>31,00</t>
        </is>
      </c>
      <c r="P936" s="63" t="inlineStr">
        <is>
          <t>63,51</t>
        </is>
      </c>
      <c r="Q936" s="63" t="inlineStr">
        <is>
          <t>73,68</t>
        </is>
      </c>
    </row>
    <row r="937">
      <c r="A937" s="65" t="n"/>
      <c r="B937" s="65" t="n"/>
      <c r="C937" s="65" t="n"/>
      <c r="D937" s="65" t="n"/>
      <c r="E937" s="65" t="n"/>
      <c r="F937" s="65" t="n"/>
      <c r="G937" s="65" t="n"/>
      <c r="H937" s="65" t="n"/>
      <c r="I937" s="65" t="n"/>
      <c r="J937" s="65" t="n">
        <v>592</v>
      </c>
      <c r="K937" s="65" t="n"/>
      <c r="L937" s="65" t="n"/>
      <c r="M937" s="65" t="n"/>
      <c r="N937" s="65" t="n"/>
      <c r="O937" s="65" t="n"/>
      <c r="P937" s="65" t="n"/>
      <c r="Q937" s="65" t="n"/>
    </row>
    <row r="938">
      <c r="A938" s="65" t="n"/>
      <c r="B938" s="65" t="n"/>
      <c r="C938" s="65" t="n"/>
      <c r="D938" s="65" t="n"/>
      <c r="E938" s="65" t="n"/>
      <c r="F938" s="65" t="n"/>
      <c r="G938" s="65" t="n"/>
      <c r="H938" s="65" t="n"/>
      <c r="I938" s="65" t="n"/>
      <c r="J938" s="65" t="n"/>
      <c r="K938" s="65" t="n"/>
      <c r="L938" s="65" t="n"/>
      <c r="M938" s="63" t="inlineStr">
        <is>
          <t>0,00</t>
        </is>
      </c>
      <c r="N938" s="63" t="inlineStr">
        <is>
          <t>0,00</t>
        </is>
      </c>
      <c r="O938" s="63" t="inlineStr">
        <is>
          <t>0,00</t>
        </is>
      </c>
      <c r="P938" s="63" t="inlineStr">
        <is>
          <t>0,00</t>
        </is>
      </c>
      <c r="Q938" s="63" t="inlineStr">
        <is>
          <t>0,00</t>
        </is>
      </c>
    </row>
    <row r="939">
      <c r="A939" s="65" t="n"/>
      <c r="B939" s="65" t="n"/>
      <c r="C939" s="65" t="n"/>
      <c r="D939" s="65" t="n"/>
      <c r="E939" s="65" t="n"/>
      <c r="F939" s="65" t="n"/>
      <c r="G939" s="65" t="n"/>
      <c r="H939" s="65" t="n"/>
      <c r="I939" s="65" t="n"/>
      <c r="J939" s="65" t="n"/>
      <c r="K939" s="65" t="n">
        <v>880</v>
      </c>
      <c r="L939" s="65" t="inlineStr">
        <is>
          <t>[0880] CLASICO API SL SAE 15W-40 (1x12)</t>
        </is>
      </c>
      <c r="M939" s="63" t="inlineStr">
        <is>
          <t>79,26</t>
        </is>
      </c>
      <c r="N939" s="63" t="inlineStr">
        <is>
          <t>1,00</t>
        </is>
      </c>
      <c r="O939" s="63" t="inlineStr">
        <is>
          <t>31,00</t>
        </is>
      </c>
      <c r="P939" s="63" t="inlineStr">
        <is>
          <t>54,69</t>
        </is>
      </c>
      <c r="Q939" s="63" t="inlineStr">
        <is>
          <t>63,44</t>
        </is>
      </c>
    </row>
    <row r="940">
      <c r="A940" s="65" t="n"/>
      <c r="B940" s="65" t="n"/>
      <c r="C940" s="65" t="n"/>
      <c r="D940" s="65" t="n"/>
      <c r="E940" s="65" t="n"/>
      <c r="F940" s="65" t="n"/>
      <c r="G940" s="65" t="n"/>
      <c r="H940" s="65" t="n"/>
      <c r="I940" s="65" t="n"/>
      <c r="J940" s="65" t="n"/>
      <c r="K940" s="65" t="n">
        <v>878</v>
      </c>
      <c r="L940" s="65" t="inlineStr">
        <is>
          <t>[0878] SS EXTRA PROTECCION API SN SAE 20W-50 (1x12)</t>
        </is>
      </c>
      <c r="M940" s="63" t="inlineStr">
        <is>
          <t>92,05</t>
        </is>
      </c>
      <c r="N940" s="63" t="inlineStr">
        <is>
          <t>1,00</t>
        </is>
      </c>
      <c r="O940" s="63" t="inlineStr">
        <is>
          <t>31,01</t>
        </is>
      </c>
      <c r="P940" s="63" t="inlineStr">
        <is>
          <t>63,50</t>
        </is>
      </c>
      <c r="Q940" s="63" t="inlineStr">
        <is>
          <t>73,66</t>
        </is>
      </c>
    </row>
    <row r="941">
      <c r="A941" s="65" t="n"/>
      <c r="B941" s="65" t="n"/>
      <c r="C941" s="65" t="n"/>
      <c r="D941" s="65" t="n"/>
      <c r="E941" s="65" t="n"/>
      <c r="F941" s="65" t="n"/>
      <c r="G941" s="65" t="n"/>
      <c r="H941" s="65" t="n"/>
      <c r="I941" s="65" t="n"/>
      <c r="J941" s="65" t="n"/>
      <c r="K941" s="65" t="n">
        <v>121</v>
      </c>
      <c r="L941" s="65" t="inlineStr">
        <is>
          <t>[0121] TRANSGLOB API GL-5 SAE 80W-90 (1x6)</t>
        </is>
      </c>
      <c r="M941" s="63" t="inlineStr">
        <is>
          <t>39,01</t>
        </is>
      </c>
      <c r="N941" s="63" t="inlineStr">
        <is>
          <t>1,00</t>
        </is>
      </c>
      <c r="O941" s="63" t="inlineStr">
        <is>
          <t>31,02</t>
        </is>
      </c>
      <c r="P941" s="63" t="inlineStr">
        <is>
          <t>26,91</t>
        </is>
      </c>
      <c r="Q941" s="63" t="inlineStr">
        <is>
          <t>31,22</t>
        </is>
      </c>
    </row>
    <row r="942">
      <c r="A942" s="66" t="n">
        <v>46185</v>
      </c>
      <c r="B942" s="65" t="n">
        <v>172</v>
      </c>
      <c r="C942" s="65" t="inlineStr">
        <is>
          <t>00-00000615</t>
        </is>
      </c>
      <c r="D942" s="65" t="inlineStr">
        <is>
          <t>S00358</t>
        </is>
      </c>
      <c r="E942" s="65" t="inlineStr">
        <is>
          <t>E&amp;M CAR SHOP C.A</t>
        </is>
      </c>
      <c r="F942" s="63" t="inlineStr">
        <is>
          <t>465.060,30</t>
        </is>
      </c>
      <c r="G942" s="63" t="inlineStr">
        <is>
          <t>539.469,95</t>
        </is>
      </c>
      <c r="H942" s="63" t="inlineStr">
        <is>
          <t>1.035,61</t>
        </is>
      </c>
      <c r="I942" s="63" t="inlineStr">
        <is>
          <t>520,91</t>
        </is>
      </c>
      <c r="J942" s="65" t="n">
        <v>601</v>
      </c>
      <c r="K942" s="65" t="n">
        <v>602</v>
      </c>
      <c r="L942" s="65" t="inlineStr">
        <is>
          <t>[0602] SINOCO SAE 50 (PAILA)</t>
        </is>
      </c>
      <c r="M942" s="63" t="inlineStr">
        <is>
          <t>89,28</t>
        </is>
      </c>
      <c r="N942" s="63" t="inlineStr">
        <is>
          <t>10,00</t>
        </is>
      </c>
      <c r="O942" s="63" t="inlineStr">
        <is>
          <t>0,00</t>
        </is>
      </c>
      <c r="P942" s="63" t="inlineStr">
        <is>
          <t>892,78</t>
        </is>
      </c>
      <c r="Q942" s="63" t="inlineStr">
        <is>
          <t>1.035,62</t>
        </is>
      </c>
    </row>
    <row r="943">
      <c r="A943" s="66" t="n">
        <v>46185</v>
      </c>
      <c r="B943" s="65" t="n">
        <v>171</v>
      </c>
      <c r="C943" s="65" t="inlineStr">
        <is>
          <t>00-00000614</t>
        </is>
      </c>
      <c r="D943" s="65" t="inlineStr">
        <is>
          <t>S00502</t>
        </is>
      </c>
      <c r="E943" s="65" t="inlineStr">
        <is>
          <t>GRIMAN DIAZ HECTOR EDUARDO</t>
        </is>
      </c>
      <c r="F943" s="63" t="inlineStr">
        <is>
          <t>33.989,81</t>
        </is>
      </c>
      <c r="G943" s="63" t="inlineStr">
        <is>
          <t>39.428,18</t>
        </is>
      </c>
      <c r="H943" s="63" t="inlineStr">
        <is>
          <t>69,99</t>
        </is>
      </c>
      <c r="I943" s="63" t="inlineStr">
        <is>
          <t>563,29</t>
        </is>
      </c>
      <c r="J943" s="65" t="n">
        <v>623</v>
      </c>
      <c r="K943" s="65" t="n">
        <v>878</v>
      </c>
      <c r="L943" s="65" t="inlineStr">
        <is>
          <t>[0878] SS EXTRA PROTECCION API SN SAE 20W-50 (1x12)</t>
        </is>
      </c>
      <c r="M943" s="63" t="inlineStr">
        <is>
          <t>104,27</t>
        </is>
      </c>
      <c r="N943" s="63" t="inlineStr">
        <is>
          <t>1,00</t>
        </is>
      </c>
      <c r="O943" s="63" t="inlineStr">
        <is>
          <t>42,13</t>
        </is>
      </c>
      <c r="P943" s="63" t="inlineStr">
        <is>
          <t>60,34</t>
        </is>
      </c>
      <c r="Q943" s="63" t="inlineStr">
        <is>
          <t>70,00</t>
        </is>
      </c>
    </row>
    <row r="944">
      <c r="A944" s="66" t="n">
        <v>46185</v>
      </c>
      <c r="B944" s="65" t="n">
        <v>170</v>
      </c>
      <c r="C944" s="65" t="inlineStr">
        <is>
          <t>00-00000613</t>
        </is>
      </c>
      <c r="D944" s="65" t="inlineStr">
        <is>
          <t>S00348</t>
        </is>
      </c>
      <c r="E944" s="65" t="inlineStr">
        <is>
          <t>Comercial Rio Paraguas C.A</t>
        </is>
      </c>
      <c r="F944" s="63" t="inlineStr">
        <is>
          <t>212.220,45</t>
        </is>
      </c>
      <c r="G944" s="63" t="inlineStr">
        <is>
          <t>246.175,72</t>
        </is>
      </c>
      <c r="H944" s="63" t="inlineStr">
        <is>
          <t>472,58</t>
        </is>
      </c>
      <c r="I944" s="63" t="inlineStr">
        <is>
          <t>520,91</t>
        </is>
      </c>
      <c r="J944" s="65" t="n"/>
      <c r="K944" s="65" t="n">
        <v>779</v>
      </c>
      <c r="L944" s="65" t="inlineStr">
        <is>
          <t>[0779] SINOCO SAE 20W-50 (1x12)</t>
        </is>
      </c>
      <c r="M944" s="63" t="inlineStr">
        <is>
          <t>70,00</t>
        </is>
      </c>
      <c r="N944" s="63" t="inlineStr">
        <is>
          <t>6,00</t>
        </is>
      </c>
      <c r="O944" s="63" t="inlineStr">
        <is>
          <t>3,00</t>
        </is>
      </c>
      <c r="P944" s="63" t="inlineStr">
        <is>
          <t>407,40</t>
        </is>
      </c>
      <c r="Q944" s="63" t="inlineStr">
        <is>
          <t>472,58</t>
        </is>
      </c>
    </row>
    <row r="945">
      <c r="A945" s="66" t="n">
        <v>46185</v>
      </c>
      <c r="B945" s="65" t="n">
        <v>169</v>
      </c>
      <c r="C945" s="65" t="inlineStr">
        <is>
          <t>00-00000612</t>
        </is>
      </c>
      <c r="D945" s="65" t="inlineStr">
        <is>
          <t>S00441</t>
        </is>
      </c>
      <c r="E945" s="65" t="inlineStr">
        <is>
          <t>GASOLVEN DISTRIBUIDORA, C.A</t>
        </is>
      </c>
      <c r="F945" s="63" t="inlineStr">
        <is>
          <t>564.767,45</t>
        </is>
      </c>
      <c r="G945" s="63" t="inlineStr">
        <is>
          <t>655.130,24</t>
        </is>
      </c>
      <c r="H945" s="63" t="inlineStr">
        <is>
          <t>1.202,99</t>
        </is>
      </c>
      <c r="I945" s="63" t="inlineStr">
        <is>
          <t>544,58</t>
        </is>
      </c>
      <c r="J945" s="65" t="n">
        <v>658</v>
      </c>
      <c r="K945" s="65" t="n">
        <v>73</v>
      </c>
      <c r="L945" s="65" t="inlineStr">
        <is>
          <t>[0073] SUPREMO API CI-4 SAE 15W-40 (PAILA)</t>
        </is>
      </c>
      <c r="M945" s="63" t="inlineStr">
        <is>
          <t>136,23</t>
        </is>
      </c>
      <c r="N945" s="63" t="inlineStr">
        <is>
          <t>10,00</t>
        </is>
      </c>
      <c r="O945" s="63" t="inlineStr">
        <is>
          <t>39,25</t>
        </is>
      </c>
      <c r="P945" s="63" t="inlineStr">
        <is>
          <t>827,59</t>
        </is>
      </c>
      <c r="Q945" s="63" t="inlineStr">
        <is>
          <t>960,01</t>
        </is>
      </c>
    </row>
    <row r="946">
      <c r="A946" s="65" t="n"/>
      <c r="B946" s="65" t="n"/>
      <c r="C946" s="65" t="n"/>
      <c r="D946" s="65" t="n"/>
      <c r="E946" s="65" t="n"/>
      <c r="F946" s="65" t="n"/>
      <c r="G946" s="65" t="n"/>
      <c r="H946" s="65" t="n"/>
      <c r="I946" s="65" t="n"/>
      <c r="J946" s="65" t="n"/>
      <c r="K946" s="65" t="n">
        <v>107</v>
      </c>
      <c r="L946" s="65" t="inlineStr">
        <is>
          <t>[0107] TRANSMATIC ATF DEXRON III (PAILA)</t>
        </is>
      </c>
      <c r="M946" s="63" t="inlineStr">
        <is>
          <t>134,81</t>
        </is>
      </c>
      <c r="N946" s="63" t="inlineStr">
        <is>
          <t>1,00</t>
        </is>
      </c>
      <c r="O946" s="63" t="inlineStr">
        <is>
          <t>39,25</t>
        </is>
      </c>
      <c r="P946" s="63" t="inlineStr">
        <is>
          <t>81,89</t>
        </is>
      </c>
      <c r="Q946" s="63" t="inlineStr">
        <is>
          <t>95,00</t>
        </is>
      </c>
    </row>
    <row r="947">
      <c r="A947" s="65" t="n"/>
      <c r="B947" s="65" t="n"/>
      <c r="C947" s="65" t="n"/>
      <c r="D947" s="65" t="n"/>
      <c r="E947" s="65" t="n"/>
      <c r="F947" s="65" t="n"/>
      <c r="G947" s="65" t="n"/>
      <c r="H947" s="65" t="n"/>
      <c r="I947" s="65" t="n"/>
      <c r="J947" s="65" t="n"/>
      <c r="K947" s="65" t="n">
        <v>123</v>
      </c>
      <c r="L947" s="65" t="inlineStr">
        <is>
          <t>[0123] TRANSGLOB API GL-5 SAE 80W-90 (Paila)</t>
        </is>
      </c>
      <c r="M947" s="63" t="inlineStr">
        <is>
          <t>131,97</t>
        </is>
      </c>
      <c r="N947" s="63" t="inlineStr">
        <is>
          <t>1,00</t>
        </is>
      </c>
      <c r="O947" s="63" t="inlineStr">
        <is>
          <t>39,25</t>
        </is>
      </c>
      <c r="P947" s="63" t="inlineStr">
        <is>
          <t>80,17</t>
        </is>
      </c>
      <c r="Q947" s="63" t="inlineStr">
        <is>
          <t>93,00</t>
        </is>
      </c>
    </row>
    <row r="948">
      <c r="A948" s="65" t="n"/>
      <c r="B948" s="65" t="n"/>
      <c r="C948" s="65" t="n"/>
      <c r="D948" s="65" t="n"/>
      <c r="E948" s="65" t="n"/>
      <c r="F948" s="65" t="n"/>
      <c r="G948" s="65" t="n"/>
      <c r="H948" s="65" t="n"/>
      <c r="I948" s="65" t="n"/>
      <c r="J948" s="65" t="n"/>
      <c r="K948" s="65" t="n">
        <v>13</v>
      </c>
      <c r="L948" s="65" t="inlineStr">
        <is>
          <t>[0013] ELITE API SN SAE 5W-30 (1x6)</t>
        </is>
      </c>
      <c r="M948" s="63" t="inlineStr">
        <is>
          <t>78,04</t>
        </is>
      </c>
      <c r="N948" s="63" t="inlineStr">
        <is>
          <t>1,00</t>
        </is>
      </c>
      <c r="O948" s="63" t="inlineStr">
        <is>
          <t>39,25</t>
        </is>
      </c>
      <c r="P948" s="63" t="inlineStr">
        <is>
          <t>47,41</t>
        </is>
      </c>
      <c r="Q948" s="63" t="inlineStr">
        <is>
          <t>55,00</t>
        </is>
      </c>
    </row>
    <row r="949">
      <c r="A949" s="66" t="n">
        <v>46185</v>
      </c>
      <c r="B949" s="65" t="n">
        <v>168</v>
      </c>
      <c r="C949" s="65" t="inlineStr">
        <is>
          <t>00-00000611</t>
        </is>
      </c>
      <c r="D949" s="65" t="inlineStr">
        <is>
          <t>S00159</t>
        </is>
      </c>
      <c r="E949" s="65" t="inlineStr">
        <is>
          <t>Grupo 3030, C.A</t>
        </is>
      </c>
      <c r="F949" s="63" t="inlineStr">
        <is>
          <t>613.766,92</t>
        </is>
      </c>
      <c r="G949" s="63" t="inlineStr">
        <is>
          <t>711.969,63</t>
        </is>
      </c>
      <c r="H949" s="63" t="inlineStr">
        <is>
          <t>1.432,99</t>
        </is>
      </c>
      <c r="I949" s="63" t="inlineStr">
        <is>
          <t>496,83</t>
        </is>
      </c>
      <c r="J949" s="65" t="n">
        <v>90</v>
      </c>
      <c r="K949" s="65" t="n">
        <v>779</v>
      </c>
      <c r="L949" s="65" t="inlineStr">
        <is>
          <t>[0779] SINOCO SAE 20W-50 (1x12)</t>
        </is>
      </c>
      <c r="M949" s="63" t="inlineStr">
        <is>
          <t>72,80</t>
        </is>
      </c>
      <c r="N949" s="63" t="inlineStr">
        <is>
          <t>12,00</t>
        </is>
      </c>
      <c r="O949" s="63" t="inlineStr">
        <is>
          <t>42,35</t>
        </is>
      </c>
      <c r="P949" s="63" t="inlineStr">
        <is>
          <t>503,60</t>
        </is>
      </c>
      <c r="Q949" s="63" t="inlineStr">
        <is>
          <t>584,18</t>
        </is>
      </c>
    </row>
    <row r="950">
      <c r="A950" s="65" t="n"/>
      <c r="B950" s="65" t="n"/>
      <c r="C950" s="65" t="n"/>
      <c r="D950" s="65" t="n"/>
      <c r="E950" s="65" t="n"/>
      <c r="F950" s="65" t="n"/>
      <c r="G950" s="65" t="n"/>
      <c r="H950" s="65" t="n"/>
      <c r="I950" s="65" t="n"/>
      <c r="J950" s="65" t="n">
        <v>112</v>
      </c>
      <c r="K950" s="65" t="n"/>
      <c r="L950" s="65" t="n"/>
      <c r="M950" s="65" t="n"/>
      <c r="N950" s="65" t="n"/>
      <c r="O950" s="65" t="n"/>
      <c r="P950" s="65" t="n"/>
      <c r="Q950" s="65" t="n"/>
    </row>
    <row r="951">
      <c r="A951" s="65" t="n"/>
      <c r="B951" s="65" t="n"/>
      <c r="C951" s="65" t="n"/>
      <c r="D951" s="65" t="n"/>
      <c r="E951" s="65" t="n"/>
      <c r="F951" s="65" t="n"/>
      <c r="G951" s="65" t="n"/>
      <c r="H951" s="65" t="n"/>
      <c r="I951" s="65" t="n"/>
      <c r="J951" s="65" t="n">
        <v>120</v>
      </c>
      <c r="K951" s="65" t="n"/>
      <c r="L951" s="65" t="n"/>
      <c r="M951" s="65" t="n"/>
      <c r="N951" s="65" t="n"/>
      <c r="O951" s="65" t="n"/>
      <c r="P951" s="65" t="n"/>
      <c r="Q951" s="65" t="n"/>
    </row>
    <row r="952">
      <c r="A952" s="65" t="n"/>
      <c r="B952" s="65" t="n"/>
      <c r="C952" s="65" t="n"/>
      <c r="D952" s="65" t="n"/>
      <c r="E952" s="65" t="n"/>
      <c r="F952" s="65" t="n"/>
      <c r="G952" s="65" t="n"/>
      <c r="H952" s="65" t="n"/>
      <c r="I952" s="65" t="n"/>
      <c r="J952" s="65" t="n">
        <v>619</v>
      </c>
      <c r="K952" s="65" t="n"/>
      <c r="L952" s="65" t="n"/>
      <c r="M952" s="65" t="n"/>
      <c r="N952" s="65" t="n"/>
      <c r="O952" s="65" t="n"/>
      <c r="P952" s="65" t="n"/>
      <c r="Q952" s="65" t="n"/>
    </row>
    <row r="953">
      <c r="A953" s="65" t="n"/>
      <c r="B953" s="65" t="n"/>
      <c r="C953" s="65" t="n"/>
      <c r="D953" s="65" t="n"/>
      <c r="E953" s="65" t="n"/>
      <c r="F953" s="65" t="n"/>
      <c r="G953" s="65" t="n"/>
      <c r="H953" s="65" t="n"/>
      <c r="I953" s="65" t="n"/>
      <c r="J953" s="65" t="n">
        <v>643</v>
      </c>
      <c r="K953" s="65" t="n"/>
      <c r="L953" s="65" t="n"/>
      <c r="M953" s="65" t="n"/>
      <c r="N953" s="65" t="n"/>
      <c r="O953" s="65" t="n"/>
      <c r="P953" s="65" t="n"/>
      <c r="Q953" s="65" t="n"/>
    </row>
    <row r="954">
      <c r="A954" s="65" t="n"/>
      <c r="B954" s="65" t="n"/>
      <c r="C954" s="65" t="n"/>
      <c r="D954" s="65" t="n"/>
      <c r="E954" s="65" t="n"/>
      <c r="F954" s="65" t="n"/>
      <c r="G954" s="65" t="n"/>
      <c r="H954" s="65" t="n"/>
      <c r="I954" s="65" t="n"/>
      <c r="J954" s="65" t="n"/>
      <c r="K954" s="65" t="n">
        <v>25</v>
      </c>
      <c r="L954" s="65" t="inlineStr">
        <is>
          <t>[0025] SS EXTRA PROTECCION API SN SAE 10W-30 (Gasolina) (1x6)</t>
        </is>
      </c>
      <c r="M954" s="63" t="inlineStr">
        <is>
          <t>54,59</t>
        </is>
      </c>
      <c r="N954" s="63" t="inlineStr">
        <is>
          <t>3,00</t>
        </is>
      </c>
      <c r="O954" s="63" t="inlineStr">
        <is>
          <t>42,35</t>
        </is>
      </c>
      <c r="P954" s="63" t="inlineStr">
        <is>
          <t>94,42</t>
        </is>
      </c>
      <c r="Q954" s="63" t="inlineStr">
        <is>
          <t>109,53</t>
        </is>
      </c>
    </row>
    <row r="955">
      <c r="A955" s="65" t="n"/>
      <c r="B955" s="65" t="n"/>
      <c r="C955" s="65" t="n"/>
      <c r="D955" s="65" t="n"/>
      <c r="E955" s="65" t="n"/>
      <c r="F955" s="65" t="n"/>
      <c r="G955" s="65" t="n"/>
      <c r="H955" s="65" t="n"/>
      <c r="I955" s="65" t="n"/>
      <c r="J955" s="65" t="n"/>
      <c r="K955" s="65" t="n">
        <v>877</v>
      </c>
      <c r="L955" s="65" t="inlineStr">
        <is>
          <t>[0877] SS EXTRA PROTECCION API SN SAE 15W-40 (1X12)</t>
        </is>
      </c>
      <c r="M955" s="63" t="inlineStr">
        <is>
          <t>109,19</t>
        </is>
      </c>
      <c r="N955" s="63" t="inlineStr">
        <is>
          <t>3,00</t>
        </is>
      </c>
      <c r="O955" s="63" t="inlineStr">
        <is>
          <t>42,35</t>
        </is>
      </c>
      <c r="P955" s="63" t="inlineStr">
        <is>
          <t>188,84</t>
        </is>
      </c>
      <c r="Q955" s="63" t="inlineStr">
        <is>
          <t>219,06</t>
        </is>
      </c>
    </row>
    <row r="956">
      <c r="A956" s="65" t="n"/>
      <c r="B956" s="65" t="n"/>
      <c r="C956" s="65" t="n"/>
      <c r="D956" s="65" t="n"/>
      <c r="E956" s="65" t="n"/>
      <c r="F956" s="65" t="n"/>
      <c r="G956" s="65" t="n"/>
      <c r="H956" s="65" t="n"/>
      <c r="I956" s="65" t="n"/>
      <c r="J956" s="65" t="n"/>
      <c r="K956" s="65" t="n">
        <v>121</v>
      </c>
      <c r="L956" s="65" t="inlineStr">
        <is>
          <t>[0121] TRANSGLOB API GL-5 SAE 80W-90 (1x6)</t>
        </is>
      </c>
      <c r="M956" s="63" t="inlineStr">
        <is>
          <t>54,59</t>
        </is>
      </c>
      <c r="N956" s="63" t="inlineStr">
        <is>
          <t>4,00</t>
        </is>
      </c>
      <c r="O956" s="63" t="inlineStr">
        <is>
          <t>42,35</t>
        </is>
      </c>
      <c r="P956" s="63" t="inlineStr">
        <is>
          <t>125,89</t>
        </is>
      </c>
      <c r="Q956" s="63" t="inlineStr">
        <is>
          <t>146,04</t>
        </is>
      </c>
    </row>
    <row r="957">
      <c r="A957" s="65" t="n"/>
      <c r="B957" s="65" t="n"/>
      <c r="C957" s="65" t="n"/>
      <c r="D957" s="65" t="n"/>
      <c r="E957" s="65" t="n"/>
      <c r="F957" s="65" t="n"/>
      <c r="G957" s="65" t="n"/>
      <c r="H957" s="65" t="n"/>
      <c r="I957" s="65" t="n"/>
      <c r="J957" s="65" t="n"/>
      <c r="K957" s="65" t="n">
        <v>761</v>
      </c>
      <c r="L957" s="65" t="inlineStr">
        <is>
          <t>[0761] LIGA PARA FRENOS DOT-3 (1x12)</t>
        </is>
      </c>
      <c r="M957" s="63" t="inlineStr">
        <is>
          <t>36,39</t>
        </is>
      </c>
      <c r="N957" s="63" t="inlineStr">
        <is>
          <t>1,00</t>
        </is>
      </c>
      <c r="O957" s="63" t="inlineStr">
        <is>
          <t>42,35</t>
        </is>
      </c>
      <c r="P957" s="63" t="inlineStr">
        <is>
          <t>20,98</t>
        </is>
      </c>
      <c r="Q957" s="63" t="inlineStr">
        <is>
          <t>24,34</t>
        </is>
      </c>
    </row>
    <row r="958">
      <c r="A958" s="65" t="n"/>
      <c r="B958" s="65" t="n"/>
      <c r="C958" s="65" t="n"/>
      <c r="D958" s="65" t="n"/>
      <c r="E958" s="65" t="n"/>
      <c r="F958" s="65" t="n"/>
      <c r="G958" s="65" t="n"/>
      <c r="H958" s="65" t="n"/>
      <c r="I958" s="65" t="n"/>
      <c r="J958" s="65" t="n"/>
      <c r="K958" s="65" t="n">
        <v>762</v>
      </c>
      <c r="L958" s="65" t="inlineStr">
        <is>
          <t>[0762] LIGA PARA FRENOS DOT-3 (1x6)</t>
        </is>
      </c>
      <c r="M958" s="63" t="inlineStr">
        <is>
          <t>59,14</t>
        </is>
      </c>
      <c r="N958" s="63" t="inlineStr">
        <is>
          <t>1,00</t>
        </is>
      </c>
      <c r="O958" s="63" t="inlineStr">
        <is>
          <t>42,35</t>
        </is>
      </c>
      <c r="P958" s="63" t="inlineStr">
        <is>
          <t>34,10</t>
        </is>
      </c>
      <c r="Q958" s="63" t="inlineStr">
        <is>
          <t>39,55</t>
        </is>
      </c>
    </row>
    <row r="959">
      <c r="A959" s="65" t="n"/>
      <c r="B959" s="65" t="n"/>
      <c r="C959" s="65" t="n"/>
      <c r="D959" s="65" t="n"/>
      <c r="E959" s="65" t="n"/>
      <c r="F959" s="65" t="n"/>
      <c r="G959" s="65" t="n"/>
      <c r="H959" s="65" t="n"/>
      <c r="I959" s="65" t="n"/>
      <c r="J959" s="65" t="n"/>
      <c r="K959" s="65" t="n">
        <v>774</v>
      </c>
      <c r="L959" s="65" t="inlineStr">
        <is>
          <t>[0774] LIGA PARA FRENOS DOT-4 (1X6)</t>
        </is>
      </c>
      <c r="M959" s="63" t="inlineStr">
        <is>
          <t>71,28</t>
        </is>
      </c>
      <c r="N959" s="63" t="inlineStr">
        <is>
          <t>1,00</t>
        </is>
      </c>
      <c r="O959" s="63" t="inlineStr">
        <is>
          <t>42,35</t>
        </is>
      </c>
      <c r="P959" s="63" t="inlineStr">
        <is>
          <t>41,09</t>
        </is>
      </c>
      <c r="Q959" s="63" t="inlineStr">
        <is>
          <t>47,67</t>
        </is>
      </c>
    </row>
    <row r="960">
      <c r="A960" s="65" t="n"/>
      <c r="B960" s="65" t="n"/>
      <c r="C960" s="65" t="n"/>
      <c r="D960" s="65" t="n"/>
      <c r="E960" s="65" t="n"/>
      <c r="F960" s="65" t="n"/>
      <c r="G960" s="65" t="n"/>
      <c r="H960" s="65" t="n"/>
      <c r="I960" s="65" t="n"/>
      <c r="J960" s="65" t="n"/>
      <c r="K960" s="65" t="n">
        <v>775</v>
      </c>
      <c r="L960" s="65" t="inlineStr">
        <is>
          <t>[0775] LIGA PARA FRENOS DOT-4 (1X12)</t>
        </is>
      </c>
      <c r="M960" s="63" t="inlineStr">
        <is>
          <t>65,21</t>
        </is>
      </c>
      <c r="N960" s="63" t="inlineStr">
        <is>
          <t>1,00</t>
        </is>
      </c>
      <c r="O960" s="63" t="inlineStr">
        <is>
          <t>42,35</t>
        </is>
      </c>
      <c r="P960" s="63" t="inlineStr">
        <is>
          <t>37,59</t>
        </is>
      </c>
      <c r="Q960" s="63" t="inlineStr">
        <is>
          <t>43,61</t>
        </is>
      </c>
    </row>
    <row r="961">
      <c r="A961" s="65" t="n"/>
      <c r="B961" s="65" t="n"/>
      <c r="C961" s="65" t="n"/>
      <c r="D961" s="65" t="n"/>
      <c r="E961" s="65" t="n"/>
      <c r="F961" s="65" t="n"/>
      <c r="G961" s="65" t="n"/>
      <c r="H961" s="65" t="n"/>
      <c r="I961" s="65" t="n"/>
      <c r="J961" s="65" t="n"/>
      <c r="K961" s="65" t="n">
        <v>878</v>
      </c>
      <c r="L961" s="65" t="inlineStr">
        <is>
          <t>[0878] SS EXTRA PROTECCION API SN SAE 20W-50 (1x12)</t>
        </is>
      </c>
      <c r="M961" s="63" t="inlineStr">
        <is>
          <t>109,19</t>
        </is>
      </c>
      <c r="N961" s="63" t="inlineStr">
        <is>
          <t>3,00</t>
        </is>
      </c>
      <c r="O961" s="63" t="inlineStr">
        <is>
          <t>42,35</t>
        </is>
      </c>
      <c r="P961" s="63" t="inlineStr">
        <is>
          <t>188,84</t>
        </is>
      </c>
      <c r="Q961" s="63" t="inlineStr">
        <is>
          <t>219,06</t>
        </is>
      </c>
    </row>
    <row r="962">
      <c r="A962" s="66" t="n">
        <v>46185</v>
      </c>
      <c r="B962" s="65" t="n">
        <v>167</v>
      </c>
      <c r="C962" s="65" t="inlineStr">
        <is>
          <t>00-00000610</t>
        </is>
      </c>
      <c r="D962" s="65" t="inlineStr">
        <is>
          <t>S00010</t>
        </is>
      </c>
      <c r="E962" s="65" t="inlineStr">
        <is>
          <t>TERA INGENIERIA Y SERVICIOS INDUSTRIALES, C.A</t>
        </is>
      </c>
      <c r="F962" s="63" t="inlineStr">
        <is>
          <t>11.348.620,88</t>
        </is>
      </c>
      <c r="G962" s="63" t="inlineStr">
        <is>
          <t>13.164.400,22</t>
        </is>
      </c>
      <c r="H962" s="63" t="inlineStr">
        <is>
          <t>27.780,56</t>
        </is>
      </c>
      <c r="I962" s="63" t="inlineStr">
        <is>
          <t>473,87</t>
        </is>
      </c>
      <c r="J962" s="65" t="n"/>
      <c r="K962" s="65" t="n">
        <v>75</v>
      </c>
      <c r="L962" s="65" t="inlineStr">
        <is>
          <t>[0075] SUPREMO API CI-4 SAE 15W-40 (Tambor)</t>
        </is>
      </c>
      <c r="M962" s="63" t="inlineStr">
        <is>
          <t>1.096,14</t>
        </is>
      </c>
      <c r="N962" s="63" t="inlineStr">
        <is>
          <t>5,00</t>
        </is>
      </c>
      <c r="O962" s="63" t="inlineStr">
        <is>
          <t>18,68</t>
        </is>
      </c>
      <c r="P962" s="63" t="inlineStr">
        <is>
          <t>4.456,92</t>
        </is>
      </c>
      <c r="Q962" s="63" t="inlineStr">
        <is>
          <t>5.170,03</t>
        </is>
      </c>
    </row>
    <row r="963">
      <c r="A963" s="65" t="n"/>
      <c r="B963" s="65" t="n"/>
      <c r="C963" s="65" t="n"/>
      <c r="D963" s="65" t="n"/>
      <c r="E963" s="65" t="n"/>
      <c r="F963" s="65" t="n"/>
      <c r="G963" s="65" t="n"/>
      <c r="H963" s="65" t="n"/>
      <c r="I963" s="65" t="n"/>
      <c r="J963" s="65" t="n"/>
      <c r="K963" s="65" t="n">
        <v>125</v>
      </c>
      <c r="L963" s="65" t="inlineStr">
        <is>
          <t>[0125] TRANSGLOB API GL-5 SAE 80W-90 (Tambor)</t>
        </is>
      </c>
      <c r="M963" s="63" t="inlineStr">
        <is>
          <t>1.136,44</t>
        </is>
      </c>
      <c r="N963" s="63" t="inlineStr">
        <is>
          <t>2,00</t>
        </is>
      </c>
      <c r="O963" s="63" t="inlineStr">
        <is>
          <t>18,68</t>
        </is>
      </c>
      <c r="P963" s="63" t="inlineStr">
        <is>
          <t>1.848,30</t>
        </is>
      </c>
      <c r="Q963" s="63" t="inlineStr">
        <is>
          <t>2.144,03</t>
        </is>
      </c>
    </row>
    <row r="964">
      <c r="A964" s="65" t="n"/>
      <c r="B964" s="65" t="n"/>
      <c r="C964" s="65" t="n"/>
      <c r="D964" s="65" t="n"/>
      <c r="E964" s="65" t="n"/>
      <c r="F964" s="65" t="n"/>
      <c r="G964" s="65" t="n"/>
      <c r="H964" s="65" t="n"/>
      <c r="I964" s="65" t="n"/>
      <c r="J964" s="65" t="n"/>
      <c r="K964" s="65" t="n">
        <v>131</v>
      </c>
      <c r="L964" s="65" t="inlineStr">
        <is>
          <t>[0131] TRANSGLOB API GL-5 SAE 85W-140 (Tambor)</t>
        </is>
      </c>
      <c r="M964" s="63" t="inlineStr">
        <is>
          <t>1.136,44</t>
        </is>
      </c>
      <c r="N964" s="63" t="inlineStr">
        <is>
          <t>1,00</t>
        </is>
      </c>
      <c r="O964" s="63" t="inlineStr">
        <is>
          <t>18,68</t>
        </is>
      </c>
      <c r="P964" s="63" t="inlineStr">
        <is>
          <t>924,15</t>
        </is>
      </c>
      <c r="Q964" s="63" t="inlineStr">
        <is>
          <t>1.072,02</t>
        </is>
      </c>
    </row>
    <row r="965">
      <c r="A965" s="65" t="n"/>
      <c r="B965" s="65" t="n"/>
      <c r="C965" s="65" t="n"/>
      <c r="D965" s="65" t="n"/>
      <c r="E965" s="65" t="n"/>
      <c r="F965" s="65" t="n"/>
      <c r="G965" s="65" t="n"/>
      <c r="H965" s="65" t="n"/>
      <c r="I965" s="65" t="n"/>
      <c r="J965" s="65" t="n"/>
      <c r="K965" s="65" t="n">
        <v>146</v>
      </c>
      <c r="L965" s="65" t="inlineStr">
        <is>
          <t>[0146] HIDRAGLOB AW/ISO 68 (Tambor)</t>
        </is>
      </c>
      <c r="M965" s="63" t="inlineStr">
        <is>
          <t>954,42</t>
        </is>
      </c>
      <c r="N965" s="63" t="inlineStr">
        <is>
          <t>10,00</t>
        </is>
      </c>
      <c r="O965" s="63" t="inlineStr">
        <is>
          <t>18,68</t>
        </is>
      </c>
      <c r="P965" s="63" t="inlineStr">
        <is>
          <t>7.761,31</t>
        </is>
      </c>
      <c r="Q965" s="63" t="inlineStr">
        <is>
          <t>9.003,12</t>
        </is>
      </c>
    </row>
    <row r="966">
      <c r="A966" s="65" t="n"/>
      <c r="B966" s="65" t="n"/>
      <c r="C966" s="65" t="n"/>
      <c r="D966" s="65" t="n"/>
      <c r="E966" s="65" t="n"/>
      <c r="F966" s="65" t="n"/>
      <c r="G966" s="65" t="n"/>
      <c r="H966" s="65" t="n"/>
      <c r="I966" s="65" t="n"/>
      <c r="J966" s="65" t="n"/>
      <c r="K966" s="65" t="n">
        <v>797</v>
      </c>
      <c r="L966" s="65" t="inlineStr">
        <is>
          <t>[0797] REFRIGERANTE GLOBAL ORANGE PREMIUM 50-50 CONCENTRADO (Tambor)</t>
        </is>
      </c>
      <c r="M966" s="63" t="inlineStr">
        <is>
          <t>746,52</t>
        </is>
      </c>
      <c r="N966" s="63" t="inlineStr">
        <is>
          <t>2,00</t>
        </is>
      </c>
      <c r="O966" s="63" t="inlineStr">
        <is>
          <t>18,67</t>
        </is>
      </c>
      <c r="P966" s="63" t="inlineStr">
        <is>
          <t>1.214,29</t>
        </is>
      </c>
      <c r="Q966" s="63" t="inlineStr">
        <is>
          <t>1.408,58</t>
        </is>
      </c>
    </row>
    <row r="967">
      <c r="A967" s="65" t="n"/>
      <c r="B967" s="65" t="n"/>
      <c r="C967" s="65" t="n"/>
      <c r="D967" s="65" t="n"/>
      <c r="E967" s="65" t="n"/>
      <c r="F967" s="65" t="n"/>
      <c r="G967" s="65" t="n"/>
      <c r="H967" s="65" t="n"/>
      <c r="I967" s="65" t="n"/>
      <c r="J967" s="65" t="n"/>
      <c r="K967" s="65" t="n">
        <v>970</v>
      </c>
      <c r="L967" s="65" t="inlineStr">
        <is>
          <t>[0970] GRASA GLOBAL AT 250 AR-EP (PAILA)</t>
        </is>
      </c>
      <c r="M967" s="63" t="inlineStr">
        <is>
          <t>240,23</t>
        </is>
      </c>
      <c r="N967" s="63" t="inlineStr">
        <is>
          <t>5,00</t>
        </is>
      </c>
      <c r="O967" s="63" t="inlineStr">
        <is>
          <t>18,67</t>
        </is>
      </c>
      <c r="P967" s="63" t="inlineStr">
        <is>
          <t>976,91</t>
        </is>
      </c>
      <c r="Q967" s="63" t="inlineStr">
        <is>
          <t>1.133,21</t>
        </is>
      </c>
    </row>
    <row r="968">
      <c r="A968" s="65" t="n"/>
      <c r="B968" s="65" t="n"/>
      <c r="C968" s="65" t="n"/>
      <c r="D968" s="65" t="n"/>
      <c r="E968" s="65" t="n"/>
      <c r="F968" s="65" t="n"/>
      <c r="G968" s="65" t="n"/>
      <c r="H968" s="65" t="n"/>
      <c r="I968" s="65" t="n"/>
      <c r="J968" s="65" t="n"/>
      <c r="K968" s="65" t="n">
        <v>603</v>
      </c>
      <c r="L968" s="65" t="inlineStr">
        <is>
          <t>[0603] SINOCO SAE 50 (Tambor)</t>
        </is>
      </c>
      <c r="M968" s="63" t="inlineStr">
        <is>
          <t>832,03</t>
        </is>
      </c>
      <c r="N968" s="63" t="inlineStr">
        <is>
          <t>10,00</t>
        </is>
      </c>
      <c r="O968" s="63" t="inlineStr">
        <is>
          <t>18,67</t>
        </is>
      </c>
      <c r="P968" s="63" t="inlineStr">
        <is>
          <t>6.766,91</t>
        </is>
      </c>
      <c r="Q968" s="63" t="inlineStr">
        <is>
          <t>7.849,61</t>
        </is>
      </c>
    </row>
    <row r="969">
      <c r="A969" s="66" t="n">
        <v>46185</v>
      </c>
      <c r="B969" s="65" t="n">
        <v>166</v>
      </c>
      <c r="C969" s="65" t="inlineStr">
        <is>
          <t>00-00000609</t>
        </is>
      </c>
      <c r="D969" s="65" t="inlineStr">
        <is>
          <t>S00376</t>
        </is>
      </c>
      <c r="E969" s="65" t="inlineStr">
        <is>
          <t>CLUDE CARVALHO DE ACOSTA</t>
        </is>
      </c>
      <c r="F969" s="63" t="inlineStr">
        <is>
          <t>30.536,42</t>
        </is>
      </c>
      <c r="G969" s="63" t="inlineStr">
        <is>
          <t>35.422,25</t>
        </is>
      </c>
      <c r="H969" s="63" t="inlineStr">
        <is>
          <t>67,99</t>
        </is>
      </c>
      <c r="I969" s="63" t="inlineStr">
        <is>
          <t>520,91</t>
        </is>
      </c>
      <c r="J969" s="65" t="n">
        <v>502</v>
      </c>
      <c r="K969" s="65" t="n">
        <v>887</v>
      </c>
      <c r="L969" s="65" t="inlineStr">
        <is>
          <t>[0887] MOTOCLASICO 4T SAE 20W-50 (1x12)</t>
        </is>
      </c>
      <c r="M969" s="63" t="inlineStr">
        <is>
          <t>58,62</t>
        </is>
      </c>
      <c r="N969" s="63" t="inlineStr">
        <is>
          <t>1,00</t>
        </is>
      </c>
      <c r="O969" s="63" t="inlineStr">
        <is>
          <t>10,60</t>
        </is>
      </c>
      <c r="P969" s="63" t="inlineStr">
        <is>
          <t>58,62</t>
        </is>
      </c>
      <c r="Q969" s="63" t="inlineStr">
        <is>
          <t>68,00</t>
        </is>
      </c>
    </row>
    <row r="970">
      <c r="A970" s="65" t="n"/>
      <c r="B970" s="65" t="n"/>
      <c r="C970" s="65" t="n"/>
      <c r="D970" s="65" t="n"/>
      <c r="E970" s="65" t="n"/>
      <c r="F970" s="65" t="n"/>
      <c r="G970" s="65" t="n"/>
      <c r="H970" s="65" t="n"/>
      <c r="I970" s="65" t="n"/>
      <c r="J970" s="65" t="n">
        <v>648</v>
      </c>
      <c r="K970" s="65" t="n"/>
      <c r="L970" s="65" t="n"/>
      <c r="M970" s="65" t="n"/>
      <c r="N970" s="65" t="n"/>
      <c r="O970" s="65" t="n"/>
      <c r="P970" s="65" t="n"/>
      <c r="Q970" s="65" t="n"/>
    </row>
    <row r="971">
      <c r="A971" s="66" t="n">
        <v>46185</v>
      </c>
      <c r="B971" s="65" t="n">
        <v>165</v>
      </c>
      <c r="C971" s="65" t="inlineStr">
        <is>
          <t>00-00000608</t>
        </is>
      </c>
      <c r="D971" s="65" t="inlineStr">
        <is>
          <t>S00338</t>
        </is>
      </c>
      <c r="E971" s="65" t="inlineStr">
        <is>
          <t>TorniRepuesto BA 2015, C.A</t>
        </is>
      </c>
      <c r="F971" s="63" t="inlineStr">
        <is>
          <t>29.619,82</t>
        </is>
      </c>
      <c r="G971" s="63" t="inlineStr">
        <is>
          <t>34.358,99</t>
        </is>
      </c>
      <c r="H971" s="63" t="inlineStr">
        <is>
          <t>65,95</t>
        </is>
      </c>
      <c r="I971" s="63" t="inlineStr">
        <is>
          <t>520,91</t>
        </is>
      </c>
      <c r="J971" s="65" t="n">
        <v>89</v>
      </c>
      <c r="K971" s="65" t="n">
        <v>887</v>
      </c>
      <c r="L971" s="65" t="inlineStr">
        <is>
          <t>[0887] MOTOCLASICO 4T SAE 20W-50 (1x12)</t>
        </is>
      </c>
      <c r="M971" s="63" t="inlineStr">
        <is>
          <t>58,62</t>
        </is>
      </c>
      <c r="N971" s="63" t="inlineStr">
        <is>
          <t>1,00</t>
        </is>
      </c>
      <c r="O971" s="63" t="inlineStr">
        <is>
          <t>3,00</t>
        </is>
      </c>
      <c r="P971" s="63" t="inlineStr">
        <is>
          <t>56,86</t>
        </is>
      </c>
      <c r="Q971" s="63" t="inlineStr">
        <is>
          <t>65,96</t>
        </is>
      </c>
    </row>
    <row r="972">
      <c r="A972" s="66" t="n">
        <v>46185</v>
      </c>
      <c r="B972" s="65" t="n">
        <v>164</v>
      </c>
      <c r="C972" s="65" t="inlineStr">
        <is>
          <t>00-00000607</t>
        </is>
      </c>
      <c r="D972" s="65" t="inlineStr">
        <is>
          <t>S00233</t>
        </is>
      </c>
      <c r="E972" s="65" t="inlineStr">
        <is>
          <t>Auto Partes Y Repuestos Encava Express,c.a.</t>
        </is>
      </c>
      <c r="F972" s="63" t="inlineStr">
        <is>
          <t>70.669,47</t>
        </is>
      </c>
      <c r="G972" s="63" t="inlineStr">
        <is>
          <t>81.976,58</t>
        </is>
      </c>
      <c r="H972" s="63" t="inlineStr">
        <is>
          <t>164,98</t>
        </is>
      </c>
      <c r="I972" s="63" t="inlineStr">
        <is>
          <t>496,83</t>
        </is>
      </c>
      <c r="J972" s="65" t="n">
        <v>455</v>
      </c>
      <c r="K972" s="65" t="n">
        <v>121</v>
      </c>
      <c r="L972" s="65" t="inlineStr">
        <is>
          <t>[0121] TRANSGLOB API GL-5 SAE 80W-90 (1x6)</t>
        </is>
      </c>
      <c r="M972" s="63" t="inlineStr">
        <is>
          <t>60,99</t>
        </is>
      </c>
      <c r="N972" s="63" t="inlineStr">
        <is>
          <t>1,00</t>
        </is>
      </c>
      <c r="O972" s="63" t="inlineStr">
        <is>
          <t>14,59</t>
        </is>
      </c>
      <c r="P972" s="63" t="inlineStr">
        <is>
          <t>52,09</t>
        </is>
      </c>
      <c r="Q972" s="63" t="inlineStr">
        <is>
          <t>60,42</t>
        </is>
      </c>
    </row>
    <row r="973">
      <c r="A973" s="65" t="n"/>
      <c r="B973" s="65" t="n"/>
      <c r="C973" s="65" t="n"/>
      <c r="D973" s="65" t="n"/>
      <c r="E973" s="65" t="n"/>
      <c r="F973" s="65" t="n"/>
      <c r="G973" s="65" t="n"/>
      <c r="H973" s="65" t="n"/>
      <c r="I973" s="65" t="n"/>
      <c r="J973" s="65" t="n">
        <v>560</v>
      </c>
      <c r="K973" s="65" t="n"/>
      <c r="L973" s="65" t="n"/>
      <c r="M973" s="65" t="n"/>
      <c r="N973" s="65" t="n"/>
      <c r="O973" s="65" t="n"/>
      <c r="P973" s="65" t="n"/>
      <c r="Q973" s="65" t="n"/>
    </row>
    <row r="974">
      <c r="A974" s="65" t="n"/>
      <c r="B974" s="65" t="n"/>
      <c r="C974" s="65" t="n"/>
      <c r="D974" s="65" t="n"/>
      <c r="E974" s="65" t="n"/>
      <c r="F974" s="65" t="n"/>
      <c r="G974" s="65" t="n"/>
      <c r="H974" s="65" t="n"/>
      <c r="I974" s="65" t="n"/>
      <c r="J974" s="65" t="n">
        <v>653</v>
      </c>
      <c r="K974" s="65" t="n"/>
      <c r="L974" s="65" t="n"/>
      <c r="M974" s="65" t="n"/>
      <c r="N974" s="65" t="n"/>
      <c r="O974" s="65" t="n"/>
      <c r="P974" s="65" t="n"/>
      <c r="Q974" s="65" t="n"/>
    </row>
    <row r="975">
      <c r="A975" s="65" t="n"/>
      <c r="B975" s="65" t="n"/>
      <c r="C975" s="65" t="n"/>
      <c r="D975" s="65" t="n"/>
      <c r="E975" s="65" t="n"/>
      <c r="F975" s="65" t="n"/>
      <c r="G975" s="65" t="n"/>
      <c r="H975" s="65" t="n"/>
      <c r="I975" s="65" t="n"/>
      <c r="J975" s="65" t="n"/>
      <c r="K975" s="65" t="n">
        <v>887</v>
      </c>
      <c r="L975" s="65" t="inlineStr">
        <is>
          <t>[0887] MOTOCLASICO 4T SAE 20W-50 (1x12)</t>
        </is>
      </c>
      <c r="M975" s="63" t="inlineStr">
        <is>
          <t>105,55</t>
        </is>
      </c>
      <c r="N975" s="63" t="inlineStr">
        <is>
          <t>1,00</t>
        </is>
      </c>
      <c r="O975" s="63" t="inlineStr">
        <is>
          <t>14,59</t>
        </is>
      </c>
      <c r="P975" s="63" t="inlineStr">
        <is>
          <t>90,15</t>
        </is>
      </c>
      <c r="Q975" s="63" t="inlineStr">
        <is>
          <t>104,58</t>
        </is>
      </c>
    </row>
    <row r="976">
      <c r="A976" s="66" t="n">
        <v>46185</v>
      </c>
      <c r="B976" s="65" t="n">
        <v>163</v>
      </c>
      <c r="C976" s="65" t="inlineStr">
        <is>
          <t>00-00000606</t>
        </is>
      </c>
      <c r="D976" s="65" t="inlineStr">
        <is>
          <t>S00522</t>
        </is>
      </c>
      <c r="E976" s="65" t="inlineStr">
        <is>
          <t>Agustin Pedro Rodriguez Carro</t>
        </is>
      </c>
      <c r="F976" s="63" t="inlineStr">
        <is>
          <t>699.435,59</t>
        </is>
      </c>
      <c r="G976" s="63" t="inlineStr">
        <is>
          <t>811.345,28</t>
        </is>
      </c>
      <c r="H976" s="63" t="inlineStr">
        <is>
          <t>1.404,80</t>
        </is>
      </c>
      <c r="I976" s="63" t="inlineStr">
        <is>
          <t>577,55</t>
        </is>
      </c>
      <c r="J976" s="65" t="n">
        <v>996</v>
      </c>
      <c r="K976" s="65" t="n">
        <v>141</v>
      </c>
      <c r="L976" s="65" t="inlineStr">
        <is>
          <t>[0141] HIDRAGLOB AW/ISO 46 (Tambor)</t>
        </is>
      </c>
      <c r="M976" s="63" t="inlineStr">
        <is>
          <t>1.211,05</t>
        </is>
      </c>
      <c r="N976" s="63" t="inlineStr">
        <is>
          <t>1,00</t>
        </is>
      </c>
      <c r="O976" s="63" t="inlineStr">
        <is>
          <t>0,00</t>
        </is>
      </c>
      <c r="P976" s="63" t="inlineStr">
        <is>
          <t>1.211,05</t>
        </is>
      </c>
      <c r="Q976" s="63" t="inlineStr">
        <is>
          <t>1.404,81</t>
        </is>
      </c>
    </row>
    <row r="977">
      <c r="A977" s="66" t="n">
        <v>46185</v>
      </c>
      <c r="B977" s="65" t="n">
        <v>162</v>
      </c>
      <c r="C977" s="65" t="inlineStr">
        <is>
          <t>00-00000605</t>
        </is>
      </c>
      <c r="D977" s="65" t="inlineStr">
        <is>
          <t>S00499</t>
        </is>
      </c>
      <c r="E977" s="65" t="inlineStr">
        <is>
          <t>INVERSIONES ARCOSOL 21, C.A.</t>
        </is>
      </c>
      <c r="F977" s="63" t="inlineStr">
        <is>
          <t>72.849,00</t>
        </is>
      </c>
      <c r="G977" s="63" t="inlineStr">
        <is>
          <t>84.504,84</t>
        </is>
      </c>
      <c r="H977" s="63" t="inlineStr">
        <is>
          <t>150,01</t>
        </is>
      </c>
      <c r="I977" s="63" t="inlineStr">
        <is>
          <t>563,29</t>
        </is>
      </c>
      <c r="J977" s="65" t="n">
        <v>670</v>
      </c>
      <c r="K977" s="65" t="n">
        <v>779</v>
      </c>
      <c r="L977" s="65" t="inlineStr">
        <is>
          <t>[0779] SINOCO SAE 20W-50 (1x12)</t>
        </is>
      </c>
      <c r="M977" s="63" t="inlineStr">
        <is>
          <t>64,66</t>
        </is>
      </c>
      <c r="N977" s="63" t="inlineStr">
        <is>
          <t>2,00</t>
        </is>
      </c>
      <c r="O977" s="63" t="inlineStr">
        <is>
          <t>0,00</t>
        </is>
      </c>
      <c r="P977" s="63" t="inlineStr">
        <is>
          <t>129,33</t>
        </is>
      </c>
      <c r="Q977" s="63" t="inlineStr">
        <is>
          <t>150,02</t>
        </is>
      </c>
    </row>
    <row r="978">
      <c r="A978" s="66" t="n">
        <v>46185</v>
      </c>
      <c r="B978" s="65" t="n">
        <v>161</v>
      </c>
      <c r="C978" s="65" t="inlineStr">
        <is>
          <t>00-00000604</t>
        </is>
      </c>
      <c r="D978" s="65" t="inlineStr">
        <is>
          <t>S00310</t>
        </is>
      </c>
      <c r="E978" s="65" t="inlineStr">
        <is>
          <t>Multiservicio SOS Cars, C.A</t>
        </is>
      </c>
      <c r="F978" s="63" t="inlineStr">
        <is>
          <t>27.838,87</t>
        </is>
      </c>
      <c r="G978" s="63" t="inlineStr">
        <is>
          <t>32.293,09</t>
        </is>
      </c>
      <c r="H978" s="63" t="inlineStr">
        <is>
          <t>64,99</t>
        </is>
      </c>
      <c r="I978" s="63" t="inlineStr">
        <is>
          <t>496,83</t>
        </is>
      </c>
      <c r="J978" s="65" t="n">
        <v>685</v>
      </c>
      <c r="K978" s="65" t="n">
        <v>881</v>
      </c>
      <c r="L978" s="65" t="inlineStr">
        <is>
          <t>[0881] CLASICO API SL SAE 20W-50 (1x12)</t>
        </is>
      </c>
      <c r="M978" s="63" t="inlineStr">
        <is>
          <t>56,03</t>
        </is>
      </c>
      <c r="N978" s="63" t="inlineStr">
        <is>
          <t>1,00</t>
        </is>
      </c>
      <c r="O978" s="63" t="inlineStr">
        <is>
          <t>14,73</t>
        </is>
      </c>
      <c r="P978" s="63" t="inlineStr">
        <is>
          <t>56,03</t>
        </is>
      </c>
      <c r="Q978" s="63" t="inlineStr">
        <is>
          <t>65,00</t>
        </is>
      </c>
    </row>
    <row r="979">
      <c r="A979" s="66" t="n">
        <v>46185</v>
      </c>
      <c r="B979" s="65" t="n">
        <v>160</v>
      </c>
      <c r="C979" s="65" t="inlineStr">
        <is>
          <t>00-00000603</t>
        </is>
      </c>
      <c r="D979" s="65" t="inlineStr">
        <is>
          <t>S00517</t>
        </is>
      </c>
      <c r="E979" s="65" t="inlineStr">
        <is>
          <t>Industrias Arasia, c.a.</t>
        </is>
      </c>
      <c r="F979" s="63" t="inlineStr">
        <is>
          <t>114.446,24</t>
        </is>
      </c>
      <c r="G979" s="63" t="inlineStr">
        <is>
          <t>132.757,64</t>
        </is>
      </c>
      <c r="H979" s="63" t="inlineStr">
        <is>
          <t>233,85</t>
        </is>
      </c>
      <c r="I979" s="63" t="inlineStr">
        <is>
          <t>567,68</t>
        </is>
      </c>
      <c r="J979" s="65" t="n"/>
      <c r="K979" s="65" t="n">
        <v>25</v>
      </c>
      <c r="L979" s="65" t="inlineStr">
        <is>
          <t>[0025] SS EXTRA PROTECCION API SN SAE 10W-30 (Gasolina) (1x6)</t>
        </is>
      </c>
      <c r="M979" s="63" t="inlineStr">
        <is>
          <t>50,40</t>
        </is>
      </c>
      <c r="N979" s="63" t="inlineStr">
        <is>
          <t>4,00</t>
        </is>
      </c>
      <c r="O979" s="63" t="inlineStr">
        <is>
          <t>0,00</t>
        </is>
      </c>
      <c r="P979" s="63" t="inlineStr">
        <is>
          <t>201,60</t>
        </is>
      </c>
      <c r="Q979" s="63" t="inlineStr">
        <is>
          <t>233,86</t>
        </is>
      </c>
    </row>
    <row r="980">
      <c r="A980" s="66" t="n">
        <v>46185</v>
      </c>
      <c r="B980" s="65" t="n">
        <v>159</v>
      </c>
      <c r="C980" s="65" t="inlineStr">
        <is>
          <t>00-00000602</t>
        </is>
      </c>
      <c r="D980" s="65" t="inlineStr">
        <is>
          <t>S00556</t>
        </is>
      </c>
      <c r="E980" s="65" t="inlineStr">
        <is>
          <t>Agustin Pedro Rodriguez Carro</t>
        </is>
      </c>
      <c r="F980" s="63" t="inlineStr">
        <is>
          <t>215.149,98</t>
        </is>
      </c>
      <c r="G980" s="63" t="inlineStr">
        <is>
          <t>249.573,98</t>
        </is>
      </c>
      <c r="H980" s="63" t="inlineStr">
        <is>
          <t>428,30</t>
        </is>
      </c>
      <c r="I980" s="63" t="inlineStr">
        <is>
          <t>582,69</t>
        </is>
      </c>
      <c r="J980" s="65" t="n">
        <v>999</v>
      </c>
      <c r="K980" s="65" t="n">
        <v>73</v>
      </c>
      <c r="L980" s="65" t="inlineStr">
        <is>
          <t>[0073] SUPREMO API CI-4 SAE 15W-40 (PAILA)</t>
        </is>
      </c>
      <c r="M980" s="63" t="inlineStr">
        <is>
          <t>123,08</t>
        </is>
      </c>
      <c r="N980" s="63" t="inlineStr">
        <is>
          <t>3,00</t>
        </is>
      </c>
      <c r="O980" s="63" t="inlineStr">
        <is>
          <t>0,00</t>
        </is>
      </c>
      <c r="P980" s="63" t="inlineStr">
        <is>
          <t>369,24</t>
        </is>
      </c>
      <c r="Q980" s="63" t="inlineStr">
        <is>
          <t>428,32</t>
        </is>
      </c>
    </row>
    <row r="981">
      <c r="A981" s="66" t="n">
        <v>46185</v>
      </c>
      <c r="B981" s="65" t="n">
        <v>158</v>
      </c>
      <c r="C981" s="65" t="inlineStr">
        <is>
          <t>00-00000601</t>
        </is>
      </c>
      <c r="D981" s="65" t="inlineStr">
        <is>
          <t>S00331</t>
        </is>
      </c>
      <c r="E981" s="65" t="inlineStr">
        <is>
          <t>ALI ALEXANDER MORENO FIGUEREDO</t>
        </is>
      </c>
      <c r="F981" s="63" t="inlineStr">
        <is>
          <t>27.408,09</t>
        </is>
      </c>
      <c r="G981" s="63" t="inlineStr">
        <is>
          <t>31.793,39</t>
        </is>
      </c>
      <c r="H981" s="63" t="inlineStr">
        <is>
          <t>63,98</t>
        </is>
      </c>
      <c r="I981" s="63" t="inlineStr">
        <is>
          <t>496,83</t>
        </is>
      </c>
      <c r="J981" s="65" t="n">
        <v>741</v>
      </c>
      <c r="K981" s="65" t="n">
        <v>761</v>
      </c>
      <c r="L981" s="65" t="inlineStr">
        <is>
          <t>[0761] LIGA PARA FRENOS DOT-3 (1x12)</t>
        </is>
      </c>
      <c r="M981" s="63" t="inlineStr">
        <is>
          <t>23,28</t>
        </is>
      </c>
      <c r="N981" s="63" t="inlineStr">
        <is>
          <t>1,00</t>
        </is>
      </c>
      <c r="O981" s="63" t="inlineStr">
        <is>
          <t>8,59</t>
        </is>
      </c>
      <c r="P981" s="63" t="inlineStr">
        <is>
          <t>21,28</t>
        </is>
      </c>
      <c r="Q981" s="63" t="inlineStr">
        <is>
          <t>24,69</t>
        </is>
      </c>
    </row>
    <row r="982">
      <c r="A982" s="65" t="n"/>
      <c r="B982" s="65" t="n"/>
      <c r="C982" s="65" t="n"/>
      <c r="D982" s="65" t="n"/>
      <c r="E982" s="65" t="n"/>
      <c r="F982" s="65" t="n"/>
      <c r="G982" s="65" t="n"/>
      <c r="H982" s="65" t="n"/>
      <c r="I982" s="65" t="n"/>
      <c r="J982" s="65" t="n"/>
      <c r="K982" s="65" t="n">
        <v>762</v>
      </c>
      <c r="L982" s="65" t="inlineStr">
        <is>
          <t>[0762] LIGA PARA FRENOS DOT-3 (1x6)</t>
        </is>
      </c>
      <c r="M982" s="63" t="inlineStr">
        <is>
          <t>37,07</t>
        </is>
      </c>
      <c r="N982" s="63" t="inlineStr">
        <is>
          <t>1,00</t>
        </is>
      </c>
      <c r="O982" s="63" t="inlineStr">
        <is>
          <t>8,59</t>
        </is>
      </c>
      <c r="P982" s="63" t="inlineStr">
        <is>
          <t>33,89</t>
        </is>
      </c>
      <c r="Q982" s="63" t="inlineStr">
        <is>
          <t>39,31</t>
        </is>
      </c>
    </row>
    <row r="983">
      <c r="A983" s="66" t="n">
        <v>46185</v>
      </c>
      <c r="B983" s="65" t="n">
        <v>157</v>
      </c>
      <c r="C983" s="65" t="inlineStr">
        <is>
          <t>00-00000600</t>
        </is>
      </c>
      <c r="D983" s="65" t="inlineStr">
        <is>
          <t>S00379</t>
        </is>
      </c>
      <c r="E983" s="65" t="inlineStr">
        <is>
          <t>DISTRIBUIDORA PINOS 181297 C.A</t>
        </is>
      </c>
      <c r="F983" s="63" t="inlineStr">
        <is>
          <t>76.785,65</t>
        </is>
      </c>
      <c r="G983" s="63" t="inlineStr">
        <is>
          <t>89.071,35</t>
        </is>
      </c>
      <c r="H983" s="63" t="inlineStr">
        <is>
          <t>170,98</t>
        </is>
      </c>
      <c r="I983" s="63" t="inlineStr">
        <is>
          <t>520,91</t>
        </is>
      </c>
      <c r="J983" s="65" t="n">
        <v>737</v>
      </c>
      <c r="K983" s="65" t="n">
        <v>127</v>
      </c>
      <c r="L983" s="65" t="inlineStr">
        <is>
          <t>[0127] TRANSGLOB API GL-5 SAE 85W-140 (1x6)</t>
        </is>
      </c>
      <c r="M983" s="63" t="inlineStr">
        <is>
          <t>58,27</t>
        </is>
      </c>
      <c r="N983" s="63" t="inlineStr">
        <is>
          <t>1,00</t>
        </is>
      </c>
      <c r="O983" s="63" t="inlineStr">
        <is>
          <t>10,61</t>
        </is>
      </c>
      <c r="P983" s="63" t="inlineStr">
        <is>
          <t>52,08</t>
        </is>
      </c>
      <c r="Q983" s="63" t="inlineStr">
        <is>
          <t>60,42</t>
        </is>
      </c>
    </row>
    <row r="984">
      <c r="A984" s="65" t="n"/>
      <c r="B984" s="65" t="n"/>
      <c r="C984" s="65" t="n"/>
      <c r="D984" s="65" t="n"/>
      <c r="E984" s="65" t="n"/>
      <c r="F984" s="65" t="n"/>
      <c r="G984" s="65" t="n"/>
      <c r="H984" s="65" t="n"/>
      <c r="I984" s="65" t="n"/>
      <c r="J984" s="65" t="n"/>
      <c r="K984" s="65" t="n">
        <v>605</v>
      </c>
      <c r="L984" s="65" t="inlineStr">
        <is>
          <t>[0605] SINOCO SAE 20W-50 (PAILA)</t>
        </is>
      </c>
      <c r="M984" s="63" t="inlineStr">
        <is>
          <t>106,63</t>
        </is>
      </c>
      <c r="N984" s="63" t="inlineStr">
        <is>
          <t>1,00</t>
        </is>
      </c>
      <c r="O984" s="63" t="inlineStr">
        <is>
          <t>10,61</t>
        </is>
      </c>
      <c r="P984" s="63" t="inlineStr">
        <is>
          <t>95,32</t>
        </is>
      </c>
      <c r="Q984" s="63" t="inlineStr">
        <is>
          <t>110,57</t>
        </is>
      </c>
    </row>
    <row r="985">
      <c r="A985" s="66" t="n">
        <v>46185</v>
      </c>
      <c r="B985" s="65" t="n">
        <v>156</v>
      </c>
      <c r="C985" s="65" t="inlineStr">
        <is>
          <t>00-00000599</t>
        </is>
      </c>
      <c r="D985" s="65" t="inlineStr">
        <is>
          <t>S00093</t>
        </is>
      </c>
      <c r="E985" s="65" t="inlineStr">
        <is>
          <t>Emprendimiento YSKRA</t>
        </is>
      </c>
      <c r="F985" s="63" t="inlineStr">
        <is>
          <t>72.807,54</t>
        </is>
      </c>
      <c r="G985" s="63" t="inlineStr">
        <is>
          <t>84.456,75</t>
        </is>
      </c>
      <c r="H985" s="63" t="inlineStr">
        <is>
          <t>169,98</t>
        </is>
      </c>
      <c r="I985" s="63" t="inlineStr">
        <is>
          <t>496,83</t>
        </is>
      </c>
      <c r="J985" s="65" t="n">
        <v>140</v>
      </c>
      <c r="K985" s="65" t="n">
        <v>887</v>
      </c>
      <c r="L985" s="65" t="inlineStr">
        <is>
          <t>[0887] MOTOCLASICO 4T SAE 20W-50 (1x12)</t>
        </is>
      </c>
      <c r="M985" s="63" t="inlineStr">
        <is>
          <t>58,62</t>
        </is>
      </c>
      <c r="N985" s="63" t="inlineStr">
        <is>
          <t>3,00</t>
        </is>
      </c>
      <c r="O985" s="63" t="inlineStr">
        <is>
          <t>16,67</t>
        </is>
      </c>
      <c r="P985" s="63" t="inlineStr">
        <is>
          <t>146,54</t>
        </is>
      </c>
      <c r="Q985" s="63" t="inlineStr">
        <is>
          <t>169,99</t>
        </is>
      </c>
    </row>
    <row r="986">
      <c r="A986" s="65" t="n"/>
      <c r="B986" s="65" t="n"/>
      <c r="C986" s="65" t="n"/>
      <c r="D986" s="65" t="n"/>
      <c r="E986" s="65" t="n"/>
      <c r="F986" s="65" t="n"/>
      <c r="G986" s="65" t="n"/>
      <c r="H986" s="65" t="n"/>
      <c r="I986" s="65" t="n"/>
      <c r="J986" s="65" t="n">
        <v>194</v>
      </c>
      <c r="K986" s="65" t="n"/>
      <c r="L986" s="65" t="n"/>
      <c r="M986" s="65" t="n"/>
      <c r="N986" s="65" t="n"/>
      <c r="O986" s="65" t="n"/>
      <c r="P986" s="65" t="n"/>
      <c r="Q986" s="65" t="n"/>
    </row>
    <row r="987">
      <c r="A987" s="65" t="n"/>
      <c r="B987" s="65" t="n"/>
      <c r="C987" s="65" t="n"/>
      <c r="D987" s="65" t="n"/>
      <c r="E987" s="65" t="n"/>
      <c r="F987" s="65" t="n"/>
      <c r="G987" s="65" t="n"/>
      <c r="H987" s="65" t="n"/>
      <c r="I987" s="65" t="n"/>
      <c r="J987" s="65" t="n">
        <v>550</v>
      </c>
      <c r="K987" s="65" t="n"/>
      <c r="L987" s="65" t="n"/>
      <c r="M987" s="65" t="n"/>
      <c r="N987" s="65" t="n"/>
      <c r="O987" s="65" t="n"/>
      <c r="P987" s="65" t="n"/>
      <c r="Q987" s="65" t="n"/>
    </row>
    <row r="988">
      <c r="A988" s="65" t="n"/>
      <c r="B988" s="65" t="n"/>
      <c r="C988" s="65" t="n"/>
      <c r="D988" s="65" t="n"/>
      <c r="E988" s="65" t="n"/>
      <c r="F988" s="65" t="n"/>
      <c r="G988" s="65" t="n"/>
      <c r="H988" s="65" t="n"/>
      <c r="I988" s="65" t="n"/>
      <c r="J988" s="65" t="n">
        <v>609</v>
      </c>
      <c r="K988" s="65" t="n"/>
      <c r="L988" s="65" t="n"/>
      <c r="M988" s="65" t="n"/>
      <c r="N988" s="65" t="n"/>
      <c r="O988" s="65" t="n"/>
      <c r="P988" s="65" t="n"/>
      <c r="Q988" s="65" t="n"/>
    </row>
    <row r="989">
      <c r="A989" s="65" t="n"/>
      <c r="B989" s="65" t="n"/>
      <c r="C989" s="65" t="n"/>
      <c r="D989" s="65" t="n"/>
      <c r="E989" s="65" t="n"/>
      <c r="F989" s="65" t="n"/>
      <c r="G989" s="65" t="n"/>
      <c r="H989" s="65" t="n"/>
      <c r="I989" s="65" t="n"/>
      <c r="J989" s="65" t="n"/>
      <c r="K989" s="65" t="n"/>
      <c r="L989" s="65" t="n"/>
      <c r="M989" s="63" t="inlineStr">
        <is>
          <t>0,00</t>
        </is>
      </c>
      <c r="N989" s="63" t="inlineStr">
        <is>
          <t>0,00</t>
        </is>
      </c>
      <c r="O989" s="63" t="inlineStr">
        <is>
          <t>0,00</t>
        </is>
      </c>
      <c r="P989" s="63" t="inlineStr">
        <is>
          <t>0,00</t>
        </is>
      </c>
      <c r="Q989" s="63" t="inlineStr">
        <is>
          <t>0,00</t>
        </is>
      </c>
    </row>
    <row r="990">
      <c r="A990" s="66" t="n">
        <v>46185</v>
      </c>
      <c r="B990" s="65" t="n">
        <v>155</v>
      </c>
      <c r="C990" s="65" t="inlineStr">
        <is>
          <t>00-00000598</t>
        </is>
      </c>
      <c r="D990" s="65" t="inlineStr">
        <is>
          <t>S00450</t>
        </is>
      </c>
      <c r="E990" s="65" t="inlineStr">
        <is>
          <t>AGROPECUARIA EL TORO DORADO, C.A</t>
        </is>
      </c>
      <c r="F990" s="63" t="inlineStr">
        <is>
          <t>105.630,81</t>
        </is>
      </c>
      <c r="G990" s="63" t="inlineStr">
        <is>
          <t>122.531,74</t>
        </is>
      </c>
      <c r="H990" s="63" t="inlineStr">
        <is>
          <t>224,99</t>
        </is>
      </c>
      <c r="I990" s="63" t="inlineStr">
        <is>
          <t>544,58</t>
        </is>
      </c>
      <c r="J990" s="65" t="n">
        <v>988</v>
      </c>
      <c r="K990" s="65" t="n">
        <v>87</v>
      </c>
      <c r="L990" s="65" t="inlineStr">
        <is>
          <t>[0087] ENDUROGLOB 2T AIRE (1x6)</t>
        </is>
      </c>
      <c r="M990" s="63" t="inlineStr">
        <is>
          <t>35,05</t>
        </is>
      </c>
      <c r="N990" s="63" t="inlineStr">
        <is>
          <t>2,00</t>
        </is>
      </c>
      <c r="O990" s="63" t="inlineStr">
        <is>
          <t>13,10</t>
        </is>
      </c>
      <c r="P990" s="63" t="inlineStr">
        <is>
          <t>60,92</t>
        </is>
      </c>
      <c r="Q990" s="63" t="inlineStr">
        <is>
          <t>70,67</t>
        </is>
      </c>
    </row>
    <row r="991">
      <c r="A991" s="65" t="n"/>
      <c r="B991" s="65" t="n"/>
      <c r="C991" s="65" t="n"/>
      <c r="D991" s="65" t="n"/>
      <c r="E991" s="65" t="n"/>
      <c r="F991" s="65" t="n"/>
      <c r="G991" s="65" t="n"/>
      <c r="H991" s="65" t="n"/>
      <c r="I991" s="65" t="n"/>
      <c r="J991" s="65" t="n"/>
      <c r="K991" s="65" t="n">
        <v>93</v>
      </c>
      <c r="L991" s="65" t="inlineStr">
        <is>
          <t>[0093] ALTA CILINDRADA SS API SN SAE 15W-40 (1x6)</t>
        </is>
      </c>
      <c r="M991" s="63" t="inlineStr">
        <is>
          <t>32,28</t>
        </is>
      </c>
      <c r="N991" s="63" t="inlineStr">
        <is>
          <t>2,00</t>
        </is>
      </c>
      <c r="O991" s="63" t="inlineStr">
        <is>
          <t>13,10</t>
        </is>
      </c>
      <c r="P991" s="63" t="inlineStr">
        <is>
          <t>56,10</t>
        </is>
      </c>
      <c r="Q991" s="63" t="inlineStr">
        <is>
          <t>65,08</t>
        </is>
      </c>
    </row>
    <row r="992">
      <c r="A992" s="65" t="n"/>
      <c r="B992" s="65" t="n"/>
      <c r="C992" s="65" t="n"/>
      <c r="D992" s="65" t="n"/>
      <c r="E992" s="65" t="n"/>
      <c r="F992" s="65" t="n"/>
      <c r="G992" s="65" t="n"/>
      <c r="H992" s="65" t="n"/>
      <c r="I992" s="65" t="n"/>
      <c r="J992" s="65" t="n"/>
      <c r="K992" s="65" t="n">
        <v>73</v>
      </c>
      <c r="L992" s="65" t="inlineStr">
        <is>
          <t>[0073] SUPREMO API CI-4 SAE 15W-40 (PAILA)</t>
        </is>
      </c>
      <c r="M992" s="63" t="inlineStr">
        <is>
          <t>88,55</t>
        </is>
      </c>
      <c r="N992" s="63" t="inlineStr">
        <is>
          <t>1,00</t>
        </is>
      </c>
      <c r="O992" s="63" t="inlineStr">
        <is>
          <t>13,11</t>
        </is>
      </c>
      <c r="P992" s="63" t="inlineStr">
        <is>
          <t>76,94</t>
        </is>
      </c>
      <c r="Q992" s="63" t="inlineStr">
        <is>
          <t>89,25</t>
        </is>
      </c>
    </row>
    <row r="993">
      <c r="A993" s="66" t="n">
        <v>46185</v>
      </c>
      <c r="B993" s="65" t="n">
        <v>154</v>
      </c>
      <c r="C993" s="65" t="inlineStr">
        <is>
          <t>00-00000597</t>
        </is>
      </c>
      <c r="D993" s="65" t="inlineStr">
        <is>
          <t>S00408</t>
        </is>
      </c>
      <c r="E993" s="65" t="inlineStr">
        <is>
          <t>HIDRAULICAS CAICEDO C.A.</t>
        </is>
      </c>
      <c r="F993" s="63" t="inlineStr">
        <is>
          <t>54.696,60</t>
        </is>
      </c>
      <c r="G993" s="63" t="inlineStr">
        <is>
          <t>63.448,06</t>
        </is>
      </c>
      <c r="H993" s="63" t="inlineStr">
        <is>
          <t>121,80</t>
        </is>
      </c>
      <c r="I993" s="63" t="inlineStr">
        <is>
          <t>520,91</t>
        </is>
      </c>
      <c r="J993" s="65" t="n">
        <v>640</v>
      </c>
      <c r="K993" s="65" t="n">
        <v>779</v>
      </c>
      <c r="L993" s="65" t="inlineStr">
        <is>
          <t>[0779] SINOCO SAE 20W-50 (1x12)</t>
        </is>
      </c>
      <c r="M993" s="63" t="inlineStr">
        <is>
          <t>45,69</t>
        </is>
      </c>
      <c r="N993" s="63" t="inlineStr">
        <is>
          <t>1,00</t>
        </is>
      </c>
      <c r="O993" s="63" t="inlineStr">
        <is>
          <t>12,89</t>
        </is>
      </c>
      <c r="P993" s="63" t="inlineStr">
        <is>
          <t>44,52</t>
        </is>
      </c>
      <c r="Q993" s="63" t="inlineStr">
        <is>
          <t>51,64</t>
        </is>
      </c>
    </row>
    <row r="994">
      <c r="A994" s="65" t="n"/>
      <c r="B994" s="65" t="n"/>
      <c r="C994" s="65" t="n"/>
      <c r="D994" s="65" t="n"/>
      <c r="E994" s="65" t="n"/>
      <c r="F994" s="65" t="n"/>
      <c r="G994" s="65" t="n"/>
      <c r="H994" s="65" t="n"/>
      <c r="I994" s="65" t="n"/>
      <c r="J994" s="65" t="n"/>
      <c r="K994" s="65" t="n">
        <v>884</v>
      </c>
      <c r="L994" s="65" t="inlineStr">
        <is>
          <t>[0884] TRANSMATIC ATF DEXRON III (1x12)</t>
        </is>
      </c>
      <c r="M994" s="63" t="inlineStr">
        <is>
          <t>62,07</t>
        </is>
      </c>
      <c r="N994" s="63" t="inlineStr">
        <is>
          <t>1,00</t>
        </is>
      </c>
      <c r="O994" s="63" t="inlineStr">
        <is>
          <t>12,89</t>
        </is>
      </c>
      <c r="P994" s="63" t="inlineStr">
        <is>
          <t>60,48</t>
        </is>
      </c>
      <c r="Q994" s="63" t="inlineStr">
        <is>
          <t>70,16</t>
        </is>
      </c>
    </row>
    <row r="995">
      <c r="A995" s="66" t="n">
        <v>46185</v>
      </c>
      <c r="B995" s="65" t="n">
        <v>153</v>
      </c>
      <c r="C995" s="65" t="inlineStr">
        <is>
          <t>00-00000596</t>
        </is>
      </c>
      <c r="D995" s="65" t="inlineStr">
        <is>
          <t>S00405</t>
        </is>
      </c>
      <c r="E995" s="65" t="inlineStr">
        <is>
          <t>Anthony Jose Quijada Diaz.</t>
        </is>
      </c>
      <c r="F995" s="63" t="inlineStr">
        <is>
          <t>30.536,08</t>
        </is>
      </c>
      <c r="G995" s="63" t="inlineStr">
        <is>
          <t>35.421,85</t>
        </is>
      </c>
      <c r="H995" s="63" t="inlineStr">
        <is>
          <t>67,99</t>
        </is>
      </c>
      <c r="I995" s="63" t="inlineStr">
        <is>
          <t>520,91</t>
        </is>
      </c>
      <c r="J995" s="65" t="n">
        <v>385</v>
      </c>
      <c r="K995" s="65" t="n">
        <v>884</v>
      </c>
      <c r="L995" s="65" t="inlineStr">
        <is>
          <t>[0884] TRANSMATIC ATF DEXRON III (1x12)</t>
        </is>
      </c>
      <c r="M995" s="63" t="inlineStr">
        <is>
          <t>62,07</t>
        </is>
      </c>
      <c r="N995" s="63" t="inlineStr">
        <is>
          <t>1,00</t>
        </is>
      </c>
      <c r="O995" s="63" t="inlineStr">
        <is>
          <t>15,57</t>
        </is>
      </c>
      <c r="P995" s="63" t="inlineStr">
        <is>
          <t>58,62</t>
        </is>
      </c>
      <c r="Q995" s="63" t="inlineStr">
        <is>
          <t>68,00</t>
        </is>
      </c>
    </row>
    <row r="996">
      <c r="A996" s="66" t="n">
        <v>46185</v>
      </c>
      <c r="B996" s="65" t="n">
        <v>152</v>
      </c>
      <c r="C996" s="65" t="inlineStr">
        <is>
          <t>00-00000595</t>
        </is>
      </c>
      <c r="D996" s="65" t="inlineStr">
        <is>
          <t>S00395</t>
        </is>
      </c>
      <c r="E996" s="65" t="inlineStr">
        <is>
          <t>Emprendimiento Eduardo Pérez 6</t>
        </is>
      </c>
      <c r="F996" s="63" t="inlineStr">
        <is>
          <t>23.324,56</t>
        </is>
      </c>
      <c r="G996" s="63" t="inlineStr">
        <is>
          <t>27.056,49</t>
        </is>
      </c>
      <c r="H996" s="63" t="inlineStr">
        <is>
          <t>51,93</t>
        </is>
      </c>
      <c r="I996" s="63" t="inlineStr">
        <is>
          <t>520,91</t>
        </is>
      </c>
      <c r="J996" s="65" t="n"/>
      <c r="K996" s="65" t="n">
        <v>779</v>
      </c>
      <c r="L996" s="65" t="inlineStr">
        <is>
          <t>[0779] SINOCO SAE 20W-50 (1x12)</t>
        </is>
      </c>
      <c r="M996" s="63" t="inlineStr">
        <is>
          <t>45,69</t>
        </is>
      </c>
      <c r="N996" s="63" t="inlineStr">
        <is>
          <t>1,00</t>
        </is>
      </c>
      <c r="O996" s="63" t="inlineStr">
        <is>
          <t>2,00</t>
        </is>
      </c>
      <c r="P996" s="63" t="inlineStr">
        <is>
          <t>44,78</t>
        </is>
      </c>
      <c r="Q996" s="63" t="inlineStr">
        <is>
          <t>51,94</t>
        </is>
      </c>
    </row>
    <row r="997">
      <c r="A997" s="66" t="n">
        <v>46185</v>
      </c>
      <c r="B997" s="65" t="n">
        <v>151</v>
      </c>
      <c r="C997" s="65" t="inlineStr">
        <is>
          <t>00-00000594</t>
        </is>
      </c>
      <c r="D997" s="65" t="inlineStr">
        <is>
          <t>S00332</t>
        </is>
      </c>
      <c r="E997" s="65" t="inlineStr">
        <is>
          <t>Inversiones García GL C.A</t>
        </is>
      </c>
      <c r="F997" s="63" t="inlineStr">
        <is>
          <t>47.113,11</t>
        </is>
      </c>
      <c r="G997" s="63" t="inlineStr">
        <is>
          <t>54.651,20</t>
        </is>
      </c>
      <c r="H997" s="63" t="inlineStr">
        <is>
          <t>109,98</t>
        </is>
      </c>
      <c r="I997" s="63" t="inlineStr">
        <is>
          <t>496,83</t>
        </is>
      </c>
      <c r="J997" s="65" t="n"/>
      <c r="K997" s="65" t="n">
        <v>121</v>
      </c>
      <c r="L997" s="65" t="inlineStr">
        <is>
          <t>[0121] TRANSGLOB API GL-5 SAE 80W-90 (1x6)</t>
        </is>
      </c>
      <c r="M997" s="63" t="inlineStr">
        <is>
          <t>33,62</t>
        </is>
      </c>
      <c r="N997" s="63" t="inlineStr">
        <is>
          <t>1,00</t>
        </is>
      </c>
      <c r="O997" s="63" t="inlineStr">
        <is>
          <t>4,35</t>
        </is>
      </c>
      <c r="P997" s="63" t="inlineStr">
        <is>
          <t>32,16</t>
        </is>
      </c>
      <c r="Q997" s="63" t="inlineStr">
        <is>
          <t>37,30</t>
        </is>
      </c>
    </row>
    <row r="998">
      <c r="A998" s="65" t="n"/>
      <c r="B998" s="65" t="n"/>
      <c r="C998" s="65" t="n"/>
      <c r="D998" s="65" t="n"/>
      <c r="E998" s="65" t="n"/>
      <c r="F998" s="65" t="n"/>
      <c r="G998" s="65" t="n"/>
      <c r="H998" s="65" t="n"/>
      <c r="I998" s="65" t="n"/>
      <c r="J998" s="65" t="n"/>
      <c r="K998" s="65" t="n">
        <v>877</v>
      </c>
      <c r="L998" s="65" t="inlineStr">
        <is>
          <t>[0877] SS EXTRA PROTECCION API SN SAE 15W-40 (1X12)</t>
        </is>
      </c>
      <c r="M998" s="63" t="inlineStr">
        <is>
          <t>65,52</t>
        </is>
      </c>
      <c r="N998" s="63" t="inlineStr">
        <is>
          <t>1,00</t>
        </is>
      </c>
      <c r="O998" s="63" t="inlineStr">
        <is>
          <t>4,35</t>
        </is>
      </c>
      <c r="P998" s="63" t="inlineStr">
        <is>
          <t>62,67</t>
        </is>
      </c>
      <c r="Q998" s="63" t="inlineStr">
        <is>
          <t>72,70</t>
        </is>
      </c>
    </row>
    <row r="999">
      <c r="A999" s="66" t="n">
        <v>46185</v>
      </c>
      <c r="B999" s="65" t="n">
        <v>150</v>
      </c>
      <c r="C999" s="65" t="inlineStr">
        <is>
          <t>00-00000593</t>
        </is>
      </c>
      <c r="D999" s="65" t="inlineStr">
        <is>
          <t>S00327</t>
        </is>
      </c>
      <c r="E999" s="65" t="inlineStr">
        <is>
          <t>Kervin baez</t>
        </is>
      </c>
      <c r="F999" s="63" t="inlineStr">
        <is>
          <t>257.834,41</t>
        </is>
      </c>
      <c r="G999" s="63" t="inlineStr">
        <is>
          <t>299.087,90</t>
        </is>
      </c>
      <c r="H999" s="63" t="inlineStr">
        <is>
          <t>601,95</t>
        </is>
      </c>
      <c r="I999" s="63" t="inlineStr">
        <is>
          <t>496,83</t>
        </is>
      </c>
      <c r="J999" s="65" t="n">
        <v>383</v>
      </c>
      <c r="K999" s="65" t="n">
        <v>25</v>
      </c>
      <c r="L999" s="65" t="inlineStr">
        <is>
          <t>[0025] SS EXTRA PROTECCION API SN SAE 10W-30 (Gasolina) (1x6)</t>
        </is>
      </c>
      <c r="M999" s="63" t="inlineStr">
        <is>
          <t>58,64</t>
        </is>
      </c>
      <c r="N999" s="63" t="inlineStr">
        <is>
          <t>2,00</t>
        </is>
      </c>
      <c r="O999" s="63" t="inlineStr">
        <is>
          <t>46,24</t>
        </is>
      </c>
      <c r="P999" s="63" t="inlineStr">
        <is>
          <t>63,05</t>
        </is>
      </c>
      <c r="Q999" s="63" t="inlineStr">
        <is>
          <t>73,14</t>
        </is>
      </c>
    </row>
    <row r="1000">
      <c r="A1000" s="65" t="n"/>
      <c r="B1000" s="65" t="n"/>
      <c r="C1000" s="65" t="n"/>
      <c r="D1000" s="65" t="n"/>
      <c r="E1000" s="65" t="n"/>
      <c r="F1000" s="65" t="n"/>
      <c r="G1000" s="65" t="n"/>
      <c r="H1000" s="65" t="n"/>
      <c r="I1000" s="65" t="n"/>
      <c r="J1000" s="65" t="n">
        <v>590</v>
      </c>
      <c r="K1000" s="65" t="n"/>
      <c r="L1000" s="65" t="n"/>
      <c r="M1000" s="65" t="n"/>
      <c r="N1000" s="65" t="n"/>
      <c r="O1000" s="65" t="n"/>
      <c r="P1000" s="65" t="n"/>
      <c r="Q1000" s="65" t="n"/>
    </row>
    <row r="1001">
      <c r="A1001" s="65" t="n"/>
      <c r="B1001" s="65" t="n"/>
      <c r="C1001" s="65" t="n"/>
      <c r="D1001" s="65" t="n"/>
      <c r="E1001" s="65" t="n"/>
      <c r="F1001" s="65" t="n"/>
      <c r="G1001" s="65" t="n"/>
      <c r="H1001" s="65" t="n"/>
      <c r="I1001" s="65" t="n"/>
      <c r="J1001" s="65" t="n"/>
      <c r="K1001" s="65" t="n">
        <v>884</v>
      </c>
      <c r="L1001" s="65" t="inlineStr">
        <is>
          <t>[0884] TRANSMATIC ATF DEXRON III (1x12)</t>
        </is>
      </c>
      <c r="M1001" s="63" t="inlineStr">
        <is>
          <t>112,59</t>
        </is>
      </c>
      <c r="N1001" s="63" t="inlineStr">
        <is>
          <t>1,00</t>
        </is>
      </c>
      <c r="O1001" s="63" t="inlineStr">
        <is>
          <t>46,24</t>
        </is>
      </c>
      <c r="P1001" s="63" t="inlineStr">
        <is>
          <t>60,53</t>
        </is>
      </c>
      <c r="Q1001" s="63" t="inlineStr">
        <is>
          <t>70,21</t>
        </is>
      </c>
    </row>
    <row r="1002">
      <c r="A1002" s="65" t="n"/>
      <c r="B1002" s="65" t="n"/>
      <c r="C1002" s="65" t="n"/>
      <c r="D1002" s="65" t="n"/>
      <c r="E1002" s="65" t="n"/>
      <c r="F1002" s="65" t="n"/>
      <c r="G1002" s="65" t="n"/>
      <c r="H1002" s="65" t="n"/>
      <c r="I1002" s="65" t="n"/>
      <c r="J1002" s="65" t="n"/>
      <c r="K1002" s="65" t="n">
        <v>881</v>
      </c>
      <c r="L1002" s="65" t="inlineStr">
        <is>
          <t>[0881] CLASICO API SL SAE 20W-50 (1x12)</t>
        </is>
      </c>
      <c r="M1002" s="63" t="inlineStr">
        <is>
          <t>102,03</t>
        </is>
      </c>
      <c r="N1002" s="63" t="inlineStr">
        <is>
          <t>2,00</t>
        </is>
      </c>
      <c r="O1002" s="63" t="inlineStr">
        <is>
          <t>46,24</t>
        </is>
      </c>
      <c r="P1002" s="63" t="inlineStr">
        <is>
          <t>109,71</t>
        </is>
      </c>
      <c r="Q1002" s="63" t="inlineStr">
        <is>
          <t>127,26</t>
        </is>
      </c>
    </row>
    <row r="1003">
      <c r="A1003" s="65" t="n"/>
      <c r="B1003" s="65" t="n"/>
      <c r="C1003" s="65" t="n"/>
      <c r="D1003" s="65" t="n"/>
      <c r="E1003" s="65" t="n"/>
      <c r="F1003" s="65" t="n"/>
      <c r="G1003" s="65" t="n"/>
      <c r="H1003" s="65" t="n"/>
      <c r="I1003" s="65" t="n"/>
      <c r="J1003" s="65" t="n"/>
      <c r="K1003" s="65" t="n">
        <v>792</v>
      </c>
      <c r="L1003" s="65" t="inlineStr">
        <is>
          <t>[0792] REFRIGERANTE GLOBAL ROJO (1X3)</t>
        </is>
      </c>
      <c r="M1003" s="63" t="inlineStr">
        <is>
          <t>36,39</t>
        </is>
      </c>
      <c r="N1003" s="63" t="inlineStr">
        <is>
          <t>1,00</t>
        </is>
      </c>
      <c r="O1003" s="63" t="inlineStr">
        <is>
          <t>46,24</t>
        </is>
      </c>
      <c r="P1003" s="63" t="inlineStr">
        <is>
          <t>19,56</t>
        </is>
      </c>
      <c r="Q1003" s="63" t="inlineStr">
        <is>
          <t>22,69</t>
        </is>
      </c>
    </row>
    <row r="1004">
      <c r="A1004" s="65" t="n"/>
      <c r="B1004" s="65" t="n"/>
      <c r="C1004" s="65" t="n"/>
      <c r="D1004" s="65" t="n"/>
      <c r="E1004" s="65" t="n"/>
      <c r="F1004" s="65" t="n"/>
      <c r="G1004" s="65" t="n"/>
      <c r="H1004" s="65" t="n"/>
      <c r="I1004" s="65" t="n"/>
      <c r="J1004" s="65" t="n"/>
      <c r="K1004" s="65" t="n">
        <v>789</v>
      </c>
      <c r="L1004" s="65" t="inlineStr">
        <is>
          <t>[0789] REFRIGERANTE GLOBAL VERDE (1X3)</t>
        </is>
      </c>
      <c r="M1004" s="63" t="inlineStr">
        <is>
          <t>39,88</t>
        </is>
      </c>
      <c r="N1004" s="63" t="inlineStr">
        <is>
          <t>1,00</t>
        </is>
      </c>
      <c r="O1004" s="63" t="inlineStr">
        <is>
          <t>46,24</t>
        </is>
      </c>
      <c r="P1004" s="63" t="inlineStr">
        <is>
          <t>21,44</t>
        </is>
      </c>
      <c r="Q1004" s="63" t="inlineStr">
        <is>
          <t>24,87</t>
        </is>
      </c>
    </row>
    <row r="1005">
      <c r="A1005" s="65" t="n"/>
      <c r="B1005" s="65" t="n"/>
      <c r="C1005" s="65" t="n"/>
      <c r="D1005" s="65" t="n"/>
      <c r="E1005" s="65" t="n"/>
      <c r="F1005" s="65" t="n"/>
      <c r="G1005" s="65" t="n"/>
      <c r="H1005" s="65" t="n"/>
      <c r="I1005" s="65" t="n"/>
      <c r="J1005" s="65" t="n"/>
      <c r="K1005" s="65" t="n">
        <v>779</v>
      </c>
      <c r="L1005" s="65" t="inlineStr">
        <is>
          <t>[0779] SINOCO SAE 20W-50 (1x12)</t>
        </is>
      </c>
      <c r="M1005" s="63" t="inlineStr">
        <is>
          <t>82,10</t>
        </is>
      </c>
      <c r="N1005" s="63" t="inlineStr">
        <is>
          <t>1,00</t>
        </is>
      </c>
      <c r="O1005" s="63" t="inlineStr">
        <is>
          <t>46,24</t>
        </is>
      </c>
      <c r="P1005" s="63" t="inlineStr">
        <is>
          <t>44,14</t>
        </is>
      </c>
      <c r="Q1005" s="63" t="inlineStr">
        <is>
          <t>51,20</t>
        </is>
      </c>
    </row>
    <row r="1006">
      <c r="A1006" s="65" t="n"/>
      <c r="B1006" s="65" t="n"/>
      <c r="C1006" s="65" t="n"/>
      <c r="D1006" s="65" t="n"/>
      <c r="E1006" s="65" t="n"/>
      <c r="F1006" s="65" t="n"/>
      <c r="G1006" s="65" t="n"/>
      <c r="H1006" s="65" t="n"/>
      <c r="I1006" s="65" t="n"/>
      <c r="J1006" s="65" t="n"/>
      <c r="K1006" s="65" t="n">
        <v>1041</v>
      </c>
      <c r="L1006" s="65" t="inlineStr">
        <is>
          <t>[1041] SINOCO API CF/SF SAE 15W-40 DIESEL (PAILA)</t>
        </is>
      </c>
      <c r="M1006" s="63" t="inlineStr">
        <is>
          <t>124,32</t>
        </is>
      </c>
      <c r="N1006" s="63" t="inlineStr">
        <is>
          <t>3,00</t>
        </is>
      </c>
      <c r="O1006" s="63" t="inlineStr">
        <is>
          <t>46,23</t>
        </is>
      </c>
      <c r="P1006" s="63" t="inlineStr">
        <is>
          <t>200,54</t>
        </is>
      </c>
      <c r="Q1006" s="63" t="inlineStr">
        <is>
          <t>232,62</t>
        </is>
      </c>
    </row>
    <row r="1007">
      <c r="A1007" s="66" t="n">
        <v>46185</v>
      </c>
      <c r="B1007" s="65" t="n">
        <v>149</v>
      </c>
      <c r="C1007" s="65" t="inlineStr">
        <is>
          <t>00-00000592</t>
        </is>
      </c>
      <c r="D1007" s="65" t="inlineStr">
        <is>
          <t>S00321</t>
        </is>
      </c>
      <c r="E1007" s="65" t="inlineStr">
        <is>
          <t>ANGEL LEON GALARRAGA</t>
        </is>
      </c>
      <c r="F1007" s="63" t="inlineStr">
        <is>
          <t>62.596,58</t>
        </is>
      </c>
      <c r="G1007" s="63" t="inlineStr">
        <is>
          <t>72.612,03</t>
        </is>
      </c>
      <c r="H1007" s="63" t="inlineStr">
        <is>
          <t>146,14</t>
        </is>
      </c>
      <c r="I1007" s="63" t="inlineStr">
        <is>
          <t>496,83</t>
        </is>
      </c>
      <c r="J1007" s="65" t="n">
        <v>280</v>
      </c>
      <c r="K1007" s="65" t="n">
        <v>107</v>
      </c>
      <c r="L1007" s="65" t="inlineStr">
        <is>
          <t>[0107] TRANSMATIC ATF DEXRON III (PAILA)</t>
        </is>
      </c>
      <c r="M1007" s="63" t="inlineStr">
        <is>
          <t>147,77</t>
        </is>
      </c>
      <c r="N1007" s="63" t="inlineStr">
        <is>
          <t>1,00</t>
        </is>
      </c>
      <c r="O1007" s="63" t="inlineStr">
        <is>
          <t>14,74</t>
        </is>
      </c>
      <c r="P1007" s="63" t="inlineStr">
        <is>
          <t>125,99</t>
        </is>
      </c>
      <c r="Q1007" s="63" t="inlineStr">
        <is>
          <t>146,15</t>
        </is>
      </c>
    </row>
    <row r="1008">
      <c r="A1008" s="66" t="n">
        <v>46185</v>
      </c>
      <c r="B1008" s="65" t="n">
        <v>148</v>
      </c>
      <c r="C1008" s="65" t="inlineStr">
        <is>
          <t>00-00000591</t>
        </is>
      </c>
      <c r="D1008" s="65" t="inlineStr">
        <is>
          <t>S00293</t>
        </is>
      </c>
      <c r="E1008" s="65" t="inlineStr">
        <is>
          <t>Jose Becerra</t>
        </is>
      </c>
      <c r="F1008" s="63" t="inlineStr">
        <is>
          <t>82.744,70</t>
        </is>
      </c>
      <c r="G1008" s="63" t="inlineStr">
        <is>
          <t>95.983,85</t>
        </is>
      </c>
      <c r="H1008" s="63" t="inlineStr">
        <is>
          <t>198,00</t>
        </is>
      </c>
      <c r="I1008" s="63" t="inlineStr">
        <is>
          <t>484,74</t>
        </is>
      </c>
      <c r="J1008" s="65" t="n">
        <v>593</v>
      </c>
      <c r="K1008" s="65" t="n">
        <v>779</v>
      </c>
      <c r="L1008" s="65" t="inlineStr">
        <is>
          <t>[0779] SINOCO SAE 20W-50 (1x12)</t>
        </is>
      </c>
      <c r="M1008" s="63" t="inlineStr">
        <is>
          <t>84,14</t>
        </is>
      </c>
      <c r="N1008" s="63" t="inlineStr">
        <is>
          <t>1,00</t>
        </is>
      </c>
      <c r="O1008" s="63" t="inlineStr">
        <is>
          <t>46,21</t>
        </is>
      </c>
      <c r="P1008" s="63" t="inlineStr">
        <is>
          <t>45,26</t>
        </is>
      </c>
      <c r="Q1008" s="63" t="inlineStr">
        <is>
          <t>52,50</t>
        </is>
      </c>
    </row>
    <row r="1009">
      <c r="A1009" s="65" t="n"/>
      <c r="B1009" s="65" t="n"/>
      <c r="C1009" s="65" t="n"/>
      <c r="D1009" s="65" t="n"/>
      <c r="E1009" s="65" t="n"/>
      <c r="F1009" s="65" t="n"/>
      <c r="G1009" s="65" t="n"/>
      <c r="H1009" s="65" t="n"/>
      <c r="I1009" s="65" t="n"/>
      <c r="J1009" s="65" t="n"/>
      <c r="K1009" s="65" t="n">
        <v>605</v>
      </c>
      <c r="L1009" s="65" t="inlineStr">
        <is>
          <t>[0605] SINOCO SAE 20W-50 (PAILA)</t>
        </is>
      </c>
      <c r="M1009" s="63" t="inlineStr">
        <is>
          <t>116,60</t>
        </is>
      </c>
      <c r="N1009" s="63" t="inlineStr">
        <is>
          <t>2,00</t>
        </is>
      </c>
      <c r="O1009" s="63" t="inlineStr">
        <is>
          <t>46,21</t>
        </is>
      </c>
      <c r="P1009" s="63" t="inlineStr">
        <is>
          <t>125,44</t>
        </is>
      </c>
      <c r="Q1009" s="63" t="inlineStr">
        <is>
          <t>145,51</t>
        </is>
      </c>
    </row>
    <row r="1010">
      <c r="A1010" s="66" t="n">
        <v>46185</v>
      </c>
      <c r="B1010" s="65" t="n">
        <v>147</v>
      </c>
      <c r="C1010" s="65" t="inlineStr">
        <is>
          <t>00-00000590</t>
        </is>
      </c>
      <c r="D1010" s="65" t="inlineStr">
        <is>
          <t>S00234</t>
        </is>
      </c>
      <c r="E1010" s="65" t="inlineStr">
        <is>
          <t>Cauchos California, C.A</t>
        </is>
      </c>
      <c r="F1010" s="63" t="inlineStr">
        <is>
          <t>107.927,96</t>
        </is>
      </c>
      <c r="G1010" s="63" t="inlineStr">
        <is>
          <t>125.196,43</t>
        </is>
      </c>
      <c r="H1010" s="63" t="inlineStr">
        <is>
          <t>251,98</t>
        </is>
      </c>
      <c r="I1010" s="63" t="inlineStr">
        <is>
          <t>496,83</t>
        </is>
      </c>
      <c r="J1010" s="65" t="n">
        <v>148</v>
      </c>
      <c r="K1010" s="65" t="n">
        <v>779</v>
      </c>
      <c r="L1010" s="65" t="inlineStr">
        <is>
          <t>[0779] SINOCO SAE 20W-50 (1x12)</t>
        </is>
      </c>
      <c r="M1010" s="63" t="inlineStr">
        <is>
          <t>45,69</t>
        </is>
      </c>
      <c r="N1010" s="63" t="inlineStr">
        <is>
          <t>5,00</t>
        </is>
      </c>
      <c r="O1010" s="63" t="inlineStr">
        <is>
          <t>4,91</t>
        </is>
      </c>
      <c r="P1010" s="63" t="inlineStr">
        <is>
          <t>217,23</t>
        </is>
      </c>
      <c r="Q1010" s="63" t="inlineStr">
        <is>
          <t>251,99</t>
        </is>
      </c>
    </row>
    <row r="1011">
      <c r="A1011" s="66" t="n">
        <v>46185</v>
      </c>
      <c r="B1011" s="65" t="n">
        <v>146</v>
      </c>
      <c r="C1011" s="65" t="inlineStr">
        <is>
          <t>00-00000589</t>
        </is>
      </c>
      <c r="D1011" s="65" t="inlineStr">
        <is>
          <t>S00223</t>
        </is>
      </c>
      <c r="E1011" s="65" t="inlineStr">
        <is>
          <t>Autorepuestos el Florin,c.a.</t>
        </is>
      </c>
      <c r="F1011" s="63" t="inlineStr">
        <is>
          <t>113.730,84</t>
        </is>
      </c>
      <c r="G1011" s="63" t="inlineStr">
        <is>
          <t>131.927,77</t>
        </is>
      </c>
      <c r="H1011" s="63" t="inlineStr">
        <is>
          <t>274,96</t>
        </is>
      </c>
      <c r="I1011" s="63" t="inlineStr">
        <is>
          <t>479,78</t>
        </is>
      </c>
      <c r="J1011" s="65" t="n"/>
      <c r="K1011" s="65" t="n">
        <v>602</v>
      </c>
      <c r="L1011" s="65" t="inlineStr">
        <is>
          <t>[0602] SINOCO SAE 50 (PAILA)</t>
        </is>
      </c>
      <c r="M1011" s="63" t="inlineStr">
        <is>
          <t>62,93</t>
        </is>
      </c>
      <c r="N1011" s="63" t="inlineStr">
        <is>
          <t>4,00</t>
        </is>
      </c>
      <c r="O1011" s="63" t="inlineStr">
        <is>
          <t>22,46</t>
        </is>
      </c>
      <c r="P1011" s="63" t="inlineStr">
        <is>
          <t>237,05</t>
        </is>
      </c>
      <c r="Q1011" s="63" t="inlineStr">
        <is>
          <t>274,98</t>
        </is>
      </c>
    </row>
    <row r="1012">
      <c r="A1012" s="66" t="n">
        <v>46185</v>
      </c>
      <c r="B1012" s="65" t="n">
        <v>145</v>
      </c>
      <c r="C1012" s="65" t="inlineStr">
        <is>
          <t>00-00000588</t>
        </is>
      </c>
      <c r="D1012" s="65" t="inlineStr">
        <is>
          <t>S00219</t>
        </is>
      </c>
      <c r="E1012" s="65" t="inlineStr">
        <is>
          <t>Montura de Cauchos Biondo,c.a.</t>
        </is>
      </c>
      <c r="F1012" s="63" t="inlineStr">
        <is>
          <t>85.659,50</t>
        </is>
      </c>
      <c r="G1012" s="63" t="inlineStr">
        <is>
          <t>99.365,02</t>
        </is>
      </c>
      <c r="H1012" s="63" t="inlineStr">
        <is>
          <t>199,99</t>
        </is>
      </c>
      <c r="I1012" s="63" t="inlineStr">
        <is>
          <t>496,83</t>
        </is>
      </c>
      <c r="J1012" s="65" t="n">
        <v>115</v>
      </c>
      <c r="K1012" s="65" t="n">
        <v>877</v>
      </c>
      <c r="L1012" s="65" t="inlineStr">
        <is>
          <t>[0877] SS EXTRA PROTECCION API SN SAE 15W-40 (1X12)</t>
        </is>
      </c>
      <c r="M1012" s="63" t="inlineStr">
        <is>
          <t>71,56</t>
        </is>
      </c>
      <c r="N1012" s="63" t="inlineStr">
        <is>
          <t>2,00</t>
        </is>
      </c>
      <c r="O1012" s="63" t="inlineStr">
        <is>
          <t>15,97</t>
        </is>
      </c>
      <c r="P1012" s="63" t="inlineStr">
        <is>
          <t>120,26</t>
        </is>
      </c>
      <c r="Q1012" s="63" t="inlineStr">
        <is>
          <t>139,50</t>
        </is>
      </c>
    </row>
    <row r="1013">
      <c r="A1013" s="65" t="n"/>
      <c r="B1013" s="65" t="n"/>
      <c r="C1013" s="65" t="n"/>
      <c r="D1013" s="65" t="n"/>
      <c r="E1013" s="65" t="n"/>
      <c r="F1013" s="65" t="n"/>
      <c r="G1013" s="65" t="n"/>
      <c r="H1013" s="65" t="n"/>
      <c r="I1013" s="65" t="n"/>
      <c r="J1013" s="65" t="n"/>
      <c r="K1013" s="65" t="n"/>
      <c r="L1013" s="65" t="n"/>
      <c r="M1013" s="63" t="inlineStr">
        <is>
          <t>0,00</t>
        </is>
      </c>
      <c r="N1013" s="63" t="inlineStr">
        <is>
          <t>0,00</t>
        </is>
      </c>
      <c r="O1013" s="63" t="inlineStr">
        <is>
          <t>0,00</t>
        </is>
      </c>
      <c r="P1013" s="63" t="inlineStr">
        <is>
          <t>0,00</t>
        </is>
      </c>
      <c r="Q1013" s="63" t="inlineStr">
        <is>
          <t>0,00</t>
        </is>
      </c>
    </row>
    <row r="1014">
      <c r="A1014" s="65" t="n"/>
      <c r="B1014" s="65" t="n"/>
      <c r="C1014" s="65" t="n"/>
      <c r="D1014" s="65" t="n"/>
      <c r="E1014" s="65" t="n"/>
      <c r="F1014" s="65" t="n"/>
      <c r="G1014" s="65" t="n"/>
      <c r="H1014" s="65" t="n"/>
      <c r="I1014" s="65" t="n"/>
      <c r="J1014" s="65" t="n"/>
      <c r="K1014" s="65" t="n">
        <v>884</v>
      </c>
      <c r="L1014" s="65" t="inlineStr">
        <is>
          <t>[0884] TRANSMATIC ATF DEXRON III (1x12)</t>
        </is>
      </c>
      <c r="M1014" s="63" t="inlineStr">
        <is>
          <t>62,07</t>
        </is>
      </c>
      <c r="N1014" s="63" t="inlineStr">
        <is>
          <t>1,00</t>
        </is>
      </c>
      <c r="O1014" s="63" t="inlineStr">
        <is>
          <t>15,98</t>
        </is>
      </c>
      <c r="P1014" s="63" t="inlineStr">
        <is>
          <t>52,15</t>
        </is>
      </c>
      <c r="Q1014" s="63" t="inlineStr">
        <is>
          <t>60,50</t>
        </is>
      </c>
    </row>
    <row r="1015">
      <c r="A1015" s="66" t="n">
        <v>46185</v>
      </c>
      <c r="B1015" s="65" t="n">
        <v>144</v>
      </c>
      <c r="C1015" s="65" t="inlineStr">
        <is>
          <t>00-00000587</t>
        </is>
      </c>
      <c r="D1015" s="65" t="inlineStr">
        <is>
          <t>S00198</t>
        </is>
      </c>
      <c r="E1015" s="65" t="inlineStr">
        <is>
          <t>Autorepuestos Pitstop,c.a.</t>
        </is>
      </c>
      <c r="F1015" s="63" t="inlineStr">
        <is>
          <t>82.922,30</t>
        </is>
      </c>
      <c r="G1015" s="63" t="inlineStr">
        <is>
          <t>96.189,87</t>
        </is>
      </c>
      <c r="H1015" s="63" t="inlineStr">
        <is>
          <t>200,97</t>
        </is>
      </c>
      <c r="I1015" s="63" t="inlineStr">
        <is>
          <t>478,58</t>
        </is>
      </c>
      <c r="J1015" s="65" t="n">
        <v>366</v>
      </c>
      <c r="K1015" s="65" t="n"/>
      <c r="L1015" s="65" t="n"/>
      <c r="M1015" s="63" t="inlineStr">
        <is>
          <t>0,00</t>
        </is>
      </c>
      <c r="N1015" s="63" t="inlineStr">
        <is>
          <t>0,00</t>
        </is>
      </c>
      <c r="O1015" s="63" t="inlineStr">
        <is>
          <t>0,00</t>
        </is>
      </c>
      <c r="P1015" s="63" t="inlineStr">
        <is>
          <t>0,00</t>
        </is>
      </c>
      <c r="Q1015" s="63" t="inlineStr">
        <is>
          <t>0,00</t>
        </is>
      </c>
    </row>
    <row r="1016">
      <c r="A1016" s="65" t="n"/>
      <c r="B1016" s="65" t="n"/>
      <c r="C1016" s="65" t="n"/>
      <c r="D1016" s="65" t="n"/>
      <c r="E1016" s="65" t="n"/>
      <c r="F1016" s="65" t="n"/>
      <c r="G1016" s="65" t="n"/>
      <c r="H1016" s="65" t="n"/>
      <c r="I1016" s="65" t="n"/>
      <c r="J1016" s="65" t="n"/>
      <c r="K1016" s="65" t="n">
        <v>881</v>
      </c>
      <c r="L1016" s="65" t="inlineStr">
        <is>
          <t>[0881] CLASICO API SL SAE 20W-50 (1x12)</t>
        </is>
      </c>
      <c r="M1016" s="63" t="inlineStr">
        <is>
          <t>105,92</t>
        </is>
      </c>
      <c r="N1016" s="63" t="inlineStr">
        <is>
          <t>1,00</t>
        </is>
      </c>
      <c r="O1016" s="63" t="inlineStr">
        <is>
          <t>47,68</t>
        </is>
      </c>
      <c r="P1016" s="63" t="inlineStr">
        <is>
          <t>55,42</t>
        </is>
      </c>
      <c r="Q1016" s="63" t="inlineStr">
        <is>
          <t>64,29</t>
        </is>
      </c>
    </row>
    <row r="1017">
      <c r="A1017" s="65" t="n"/>
      <c r="B1017" s="65" t="n"/>
      <c r="C1017" s="65" t="n"/>
      <c r="D1017" s="65" t="n"/>
      <c r="E1017" s="65" t="n"/>
      <c r="F1017" s="65" t="n"/>
      <c r="G1017" s="65" t="n"/>
      <c r="H1017" s="65" t="n"/>
      <c r="I1017" s="65" t="n"/>
      <c r="J1017" s="65" t="n"/>
      <c r="K1017" s="65" t="n">
        <v>877</v>
      </c>
      <c r="L1017" s="65" t="inlineStr">
        <is>
          <t>[0877] SS EXTRA PROTECCION API SN SAE 15W-40 (1X12)</t>
        </is>
      </c>
      <c r="M1017" s="63" t="inlineStr">
        <is>
          <t>121,75</t>
        </is>
      </c>
      <c r="N1017" s="63" t="inlineStr">
        <is>
          <t>1,00</t>
        </is>
      </c>
      <c r="O1017" s="63" t="inlineStr">
        <is>
          <t>47,68</t>
        </is>
      </c>
      <c r="P1017" s="63" t="inlineStr">
        <is>
          <t>63,70</t>
        </is>
      </c>
      <c r="Q1017" s="63" t="inlineStr">
        <is>
          <t>73,89</t>
        </is>
      </c>
    </row>
    <row r="1018">
      <c r="A1018" s="65" t="n"/>
      <c r="B1018" s="65" t="n"/>
      <c r="C1018" s="65" t="n"/>
      <c r="D1018" s="65" t="n"/>
      <c r="E1018" s="65" t="n"/>
      <c r="F1018" s="65" t="n"/>
      <c r="G1018" s="65" t="n"/>
      <c r="H1018" s="65" t="n"/>
      <c r="I1018" s="65" t="n"/>
      <c r="J1018" s="65" t="n"/>
      <c r="K1018" s="65" t="n">
        <v>880</v>
      </c>
      <c r="L1018" s="65" t="inlineStr">
        <is>
          <t>[0880] CLASICO API SL SAE 15W-40 (1x12)</t>
        </is>
      </c>
      <c r="M1018" s="63" t="inlineStr">
        <is>
          <t>103,49</t>
        </is>
      </c>
      <c r="N1018" s="63" t="inlineStr">
        <is>
          <t>1,00</t>
        </is>
      </c>
      <c r="O1018" s="63" t="inlineStr">
        <is>
          <t>47,68</t>
        </is>
      </c>
      <c r="P1018" s="63" t="inlineStr">
        <is>
          <t>54,15</t>
        </is>
      </c>
      <c r="Q1018" s="63" t="inlineStr">
        <is>
          <t>62,81</t>
        </is>
      </c>
    </row>
    <row r="1019">
      <c r="A1019" s="66" t="n">
        <v>46185</v>
      </c>
      <c r="B1019" s="65" t="n">
        <v>143</v>
      </c>
      <c r="C1019" s="65" t="inlineStr">
        <is>
          <t>00-00000586</t>
        </is>
      </c>
      <c r="D1019" s="65" t="inlineStr">
        <is>
          <t>S00192</t>
        </is>
      </c>
      <c r="E1019" s="65" t="inlineStr">
        <is>
          <t>Global Ferre 888 C.A</t>
        </is>
      </c>
      <c r="F1019" s="63" t="inlineStr">
        <is>
          <t>28.880,45</t>
        </is>
      </c>
      <c r="G1019" s="63" t="inlineStr">
        <is>
          <t>33.501,32</t>
        </is>
      </c>
      <c r="H1019" s="63" t="inlineStr">
        <is>
          <t>69,99</t>
        </is>
      </c>
      <c r="I1019" s="63" t="inlineStr">
        <is>
          <t>478,58</t>
        </is>
      </c>
      <c r="J1019" s="65" t="n">
        <v>324</v>
      </c>
      <c r="K1019" s="65" t="n">
        <v>605</v>
      </c>
      <c r="L1019" s="65" t="inlineStr">
        <is>
          <t>[0605] SINOCO SAE 20W-50 (PAILA)</t>
        </is>
      </c>
      <c r="M1019" s="63" t="inlineStr">
        <is>
          <t>62,83</t>
        </is>
      </c>
      <c r="N1019" s="63" t="inlineStr">
        <is>
          <t>1,00</t>
        </is>
      </c>
      <c r="O1019" s="63" t="inlineStr">
        <is>
          <t>57,95</t>
        </is>
      </c>
      <c r="P1019" s="63" t="inlineStr">
        <is>
          <t>60,35</t>
        </is>
      </c>
      <c r="Q1019" s="63" t="inlineStr">
        <is>
          <t>70,00</t>
        </is>
      </c>
    </row>
    <row r="1020">
      <c r="A1020" s="65" t="n"/>
      <c r="B1020" s="65" t="n"/>
      <c r="C1020" s="65" t="n"/>
      <c r="D1020" s="65" t="n"/>
      <c r="E1020" s="65" t="n"/>
      <c r="F1020" s="65" t="n"/>
      <c r="G1020" s="65" t="n"/>
      <c r="H1020" s="65" t="n"/>
      <c r="I1020" s="65" t="n"/>
      <c r="J1020" s="65" t="n">
        <v>557</v>
      </c>
      <c r="K1020" s="65" t="n"/>
      <c r="L1020" s="65" t="n"/>
      <c r="M1020" s="65" t="n"/>
      <c r="N1020" s="65" t="n"/>
      <c r="O1020" s="65" t="n"/>
      <c r="P1020" s="65" t="n"/>
      <c r="Q1020" s="65" t="n"/>
    </row>
    <row r="1021">
      <c r="A1021" s="66" t="n">
        <v>46185</v>
      </c>
      <c r="B1021" s="65" t="n">
        <v>142</v>
      </c>
      <c r="C1021" s="65" t="inlineStr">
        <is>
          <t>00-00000585</t>
        </is>
      </c>
      <c r="D1021" s="65" t="inlineStr">
        <is>
          <t>S00325</t>
        </is>
      </c>
      <c r="E1021" s="65" t="inlineStr">
        <is>
          <t>Comercializadora El Fénix de Catia</t>
        </is>
      </c>
      <c r="F1021" s="63" t="inlineStr">
        <is>
          <t>22.271,25</t>
        </is>
      </c>
      <c r="G1021" s="63" t="inlineStr">
        <is>
          <t>25.834,65</t>
        </is>
      </c>
      <c r="H1021" s="63" t="inlineStr">
        <is>
          <t>51,99</t>
        </is>
      </c>
      <c r="I1021" s="63" t="inlineStr">
        <is>
          <t>496,83</t>
        </is>
      </c>
      <c r="J1021" s="65" t="n">
        <v>745</v>
      </c>
      <c r="K1021" s="65" t="n">
        <v>915</v>
      </c>
      <c r="L1021" s="65" t="inlineStr">
        <is>
          <t>[0915] SINOCO SAE 50 (1x12)</t>
        </is>
      </c>
      <c r="M1021" s="63" t="inlineStr">
        <is>
          <t>80,84</t>
        </is>
      </c>
      <c r="N1021" s="63" t="inlineStr">
        <is>
          <t>1,00</t>
        </is>
      </c>
      <c r="O1021" s="63" t="inlineStr">
        <is>
          <t>44,55</t>
        </is>
      </c>
      <c r="P1021" s="63" t="inlineStr">
        <is>
          <t>44,83</t>
        </is>
      </c>
      <c r="Q1021" s="63" t="inlineStr">
        <is>
          <t>52,00</t>
        </is>
      </c>
    </row>
    <row r="1022">
      <c r="A1022" s="66" t="n">
        <v>46185</v>
      </c>
      <c r="B1022" s="65" t="n">
        <v>141</v>
      </c>
      <c r="C1022" s="65" t="inlineStr">
        <is>
          <t>00-00000584</t>
        </is>
      </c>
      <c r="D1022" s="65" t="inlineStr">
        <is>
          <t>S00356</t>
        </is>
      </c>
      <c r="E1022" s="65" t="inlineStr">
        <is>
          <t>Asociación Cooperativa la Esquina del Lubricante 9999 R.L</t>
        </is>
      </c>
      <c r="F1022" s="63" t="inlineStr">
        <is>
          <t>33.679,59</t>
        </is>
      </c>
      <c r="G1022" s="63" t="inlineStr">
        <is>
          <t>39.068,32</t>
        </is>
      </c>
      <c r="H1022" s="63" t="inlineStr">
        <is>
          <t>74,99</t>
        </is>
      </c>
      <c r="I1022" s="63" t="inlineStr">
        <is>
          <t>520,91</t>
        </is>
      </c>
      <c r="J1022" s="65" t="n">
        <v>721</v>
      </c>
      <c r="K1022" s="65" t="n">
        <v>878</v>
      </c>
      <c r="L1022" s="65" t="inlineStr">
        <is>
          <t>[0878] SS EXTRA PROTECCION API SN SAE 20W-50 (1x12)</t>
        </is>
      </c>
      <c r="M1022" s="63" t="inlineStr">
        <is>
          <t>111,72</t>
        </is>
      </c>
      <c r="N1022" s="63" t="inlineStr">
        <is>
          <t>1,00</t>
        </is>
      </c>
      <c r="O1022" s="63" t="inlineStr">
        <is>
          <t>42,13</t>
        </is>
      </c>
      <c r="P1022" s="63" t="inlineStr">
        <is>
          <t>64,65</t>
        </is>
      </c>
      <c r="Q1022" s="63" t="inlineStr">
        <is>
          <t>75,00</t>
        </is>
      </c>
    </row>
    <row r="1023">
      <c r="A1023" s="66" t="n">
        <v>46185</v>
      </c>
      <c r="B1023" s="65" t="n">
        <v>140</v>
      </c>
      <c r="C1023" s="65" t="inlineStr">
        <is>
          <t>00-00000583</t>
        </is>
      </c>
      <c r="D1023" s="65" t="inlineStr">
        <is>
          <t>S00413</t>
        </is>
      </c>
      <c r="E1023" s="65" t="inlineStr">
        <is>
          <t>ERICH GILBERTO CASERES MELENDEZ</t>
        </is>
      </c>
      <c r="F1023" s="63" t="inlineStr">
        <is>
          <t>23.800,12</t>
        </is>
      </c>
      <c r="G1023" s="63" t="inlineStr">
        <is>
          <t>27.608,14</t>
        </is>
      </c>
      <c r="H1023" s="63" t="inlineStr">
        <is>
          <t>52,99</t>
        </is>
      </c>
      <c r="I1023" s="63" t="inlineStr">
        <is>
          <t>520,91</t>
        </is>
      </c>
      <c r="J1023" s="65" t="n">
        <v>424</v>
      </c>
      <c r="K1023" s="65" t="n">
        <v>915</v>
      </c>
      <c r="L1023" s="65" t="inlineStr">
        <is>
          <t>[0915] SINOCO SAE 50 (1x12)</t>
        </is>
      </c>
      <c r="M1023" s="63" t="inlineStr">
        <is>
          <t>78,63</t>
        </is>
      </c>
      <c r="N1023" s="63" t="inlineStr">
        <is>
          <t>1,00</t>
        </is>
      </c>
      <c r="O1023" s="63" t="inlineStr">
        <is>
          <t>41,89</t>
        </is>
      </c>
      <c r="P1023" s="63" t="inlineStr">
        <is>
          <t>45,69</t>
        </is>
      </c>
      <c r="Q1023" s="63" t="inlineStr">
        <is>
          <t>53,00</t>
        </is>
      </c>
    </row>
    <row r="1024">
      <c r="A1024" s="65" t="n"/>
      <c r="B1024" s="65" t="n"/>
      <c r="C1024" s="65" t="n"/>
      <c r="D1024" s="65" t="n"/>
      <c r="E1024" s="65" t="n"/>
      <c r="F1024" s="65" t="n"/>
      <c r="G1024" s="65" t="n"/>
      <c r="H1024" s="65" t="n"/>
      <c r="I1024" s="65" t="n"/>
      <c r="J1024" s="65" t="n">
        <v>744</v>
      </c>
      <c r="K1024" s="65" t="n"/>
      <c r="L1024" s="65" t="n"/>
      <c r="M1024" s="65" t="n"/>
      <c r="N1024" s="65" t="n"/>
      <c r="O1024" s="65" t="n"/>
      <c r="P1024" s="65" t="n"/>
      <c r="Q1024" s="65" t="n"/>
    </row>
    <row r="1025">
      <c r="A1025" s="66" t="n">
        <v>46185</v>
      </c>
      <c r="B1025" s="65" t="n">
        <v>139</v>
      </c>
      <c r="C1025" s="65" t="inlineStr">
        <is>
          <t>00-00000581</t>
        </is>
      </c>
      <c r="D1025" s="65" t="inlineStr">
        <is>
          <t>S00558</t>
        </is>
      </c>
      <c r="E1025" s="65" t="inlineStr">
        <is>
          <t>Carlos Bravo</t>
        </is>
      </c>
      <c r="F1025" s="63" t="inlineStr">
        <is>
          <t>68.314,94</t>
        </is>
      </c>
      <c r="G1025" s="63" t="inlineStr">
        <is>
          <t>79.245,33</t>
        </is>
      </c>
      <c r="H1025" s="63" t="inlineStr">
        <is>
          <t>135,99</t>
        </is>
      </c>
      <c r="I1025" s="63" t="inlineStr">
        <is>
          <t>582,69</t>
        </is>
      </c>
      <c r="J1025" s="65" t="n">
        <v>730</v>
      </c>
      <c r="K1025" s="65" t="n">
        <v>887</v>
      </c>
      <c r="L1025" s="65" t="inlineStr">
        <is>
          <t>[0887] MOTOCLASICO 4T SAE 20W-50 (1x12)</t>
        </is>
      </c>
      <c r="M1025" s="63" t="inlineStr">
        <is>
          <t>58,62</t>
        </is>
      </c>
      <c r="N1025" s="63" t="inlineStr">
        <is>
          <t>2,00</t>
        </is>
      </c>
      <c r="O1025" s="63" t="inlineStr">
        <is>
          <t>0,00</t>
        </is>
      </c>
      <c r="P1025" s="63" t="inlineStr">
        <is>
          <t>117,24</t>
        </is>
      </c>
      <c r="Q1025" s="63" t="inlineStr">
        <is>
          <t>136,00</t>
        </is>
      </c>
    </row>
    <row r="1026">
      <c r="A1026" s="66" t="n">
        <v>46184</v>
      </c>
      <c r="B1026" s="65" t="n">
        <v>138</v>
      </c>
      <c r="C1026" s="65" t="inlineStr">
        <is>
          <t>00-00000571</t>
        </is>
      </c>
      <c r="D1026" s="65" t="inlineStr">
        <is>
          <t>S00341</t>
        </is>
      </c>
      <c r="E1026" s="65" t="inlineStr">
        <is>
          <t>Automecanica Marilu 2014, C.A</t>
        </is>
      </c>
      <c r="F1026" s="63" t="inlineStr">
        <is>
          <t>33.006,76</t>
        </is>
      </c>
      <c r="G1026" s="63" t="inlineStr">
        <is>
          <t>38.287,84</t>
        </is>
      </c>
      <c r="H1026" s="63" t="inlineStr">
        <is>
          <t>73,49</t>
        </is>
      </c>
      <c r="I1026" s="63" t="inlineStr">
        <is>
          <t>520,91</t>
        </is>
      </c>
      <c r="J1026" s="65" t="n">
        <v>724</v>
      </c>
      <c r="K1026" s="65" t="n">
        <v>877</v>
      </c>
      <c r="L1026" s="65" t="inlineStr">
        <is>
          <t>[0877] SS EXTRA PROTECCION API SN SAE 15W-40 (1X12)</t>
        </is>
      </c>
      <c r="M1026" s="63" t="inlineStr">
        <is>
          <t>110,87</t>
        </is>
      </c>
      <c r="N1026" s="63" t="inlineStr">
        <is>
          <t>1,00</t>
        </is>
      </c>
      <c r="O1026" s="63" t="inlineStr">
        <is>
          <t>42,85</t>
        </is>
      </c>
      <c r="P1026" s="63" t="inlineStr">
        <is>
          <t>63,36</t>
        </is>
      </c>
      <c r="Q1026" s="63" t="inlineStr">
        <is>
          <t>73,50</t>
        </is>
      </c>
    </row>
    <row r="1027">
      <c r="A1027" s="66" t="n">
        <v>46184</v>
      </c>
      <c r="B1027" s="65" t="n">
        <v>137</v>
      </c>
      <c r="C1027" s="65" t="inlineStr">
        <is>
          <t>00-00000570</t>
        </is>
      </c>
      <c r="D1027" s="65" t="inlineStr">
        <is>
          <t>S00231</t>
        </is>
      </c>
      <c r="E1027" s="65" t="inlineStr">
        <is>
          <t>Constructora Campo Urbano,c.a.</t>
        </is>
      </c>
      <c r="F1027" s="63" t="inlineStr">
        <is>
          <t>288.643,68</t>
        </is>
      </c>
      <c r="G1027" s="63" t="inlineStr">
        <is>
          <t>334.826,67</t>
        </is>
      </c>
      <c r="H1027" s="63" t="inlineStr">
        <is>
          <t>673,92</t>
        </is>
      </c>
      <c r="I1027" s="63" t="inlineStr">
        <is>
          <t>496,83</t>
        </is>
      </c>
      <c r="J1027" s="65" t="n">
        <v>294</v>
      </c>
      <c r="K1027" s="65" t="n">
        <v>606</v>
      </c>
      <c r="L1027" s="65" t="inlineStr">
        <is>
          <t>[0606] SINOCO SAE 20W-50 (Tambor)</t>
        </is>
      </c>
      <c r="M1027" s="63" t="inlineStr">
        <is>
          <t>1.060,17</t>
        </is>
      </c>
      <c r="N1027" s="63" t="inlineStr">
        <is>
          <t>1,00</t>
        </is>
      </c>
      <c r="O1027" s="63" t="inlineStr">
        <is>
          <t>45,20</t>
        </is>
      </c>
      <c r="P1027" s="63" t="inlineStr">
        <is>
          <t>580,97</t>
        </is>
      </c>
      <c r="Q1027" s="63" t="inlineStr">
        <is>
          <t>673,93</t>
        </is>
      </c>
    </row>
    <row r="1028">
      <c r="A1028" s="65" t="n"/>
      <c r="B1028" s="65" t="n"/>
      <c r="C1028" s="65" t="n"/>
      <c r="D1028" s="65" t="n"/>
      <c r="E1028" s="65" t="n"/>
      <c r="F1028" s="65" t="n"/>
      <c r="G1028" s="65" t="n"/>
      <c r="H1028" s="65" t="n"/>
      <c r="I1028" s="65" t="n"/>
      <c r="J1028" s="65" t="n">
        <v>430</v>
      </c>
      <c r="K1028" s="65" t="n"/>
      <c r="L1028" s="65" t="n"/>
      <c r="M1028" s="65" t="n"/>
      <c r="N1028" s="65" t="n"/>
      <c r="O1028" s="65" t="n"/>
      <c r="P1028" s="65" t="n"/>
      <c r="Q1028" s="65" t="n"/>
    </row>
    <row r="1029">
      <c r="A1029" s="65" t="n"/>
      <c r="B1029" s="65" t="n"/>
      <c r="C1029" s="65" t="n"/>
      <c r="D1029" s="65" t="n"/>
      <c r="E1029" s="65" t="n"/>
      <c r="F1029" s="65" t="n"/>
      <c r="G1029" s="65" t="n"/>
      <c r="H1029" s="65" t="n"/>
      <c r="I1029" s="65" t="n"/>
      <c r="J1029" s="65" t="n">
        <v>516</v>
      </c>
      <c r="K1029" s="65" t="n"/>
      <c r="L1029" s="65" t="n"/>
      <c r="M1029" s="65" t="n"/>
      <c r="N1029" s="65" t="n"/>
      <c r="O1029" s="65" t="n"/>
      <c r="P1029" s="65" t="n"/>
      <c r="Q1029" s="65" t="n"/>
    </row>
    <row r="1030">
      <c r="A1030" s="65" t="n"/>
      <c r="B1030" s="65" t="n"/>
      <c r="C1030" s="65" t="n"/>
      <c r="D1030" s="65" t="n"/>
      <c r="E1030" s="65" t="n"/>
      <c r="F1030" s="65" t="n"/>
      <c r="G1030" s="65" t="n"/>
      <c r="H1030" s="65" t="n"/>
      <c r="I1030" s="65" t="n"/>
      <c r="J1030" s="65" t="n">
        <v>722</v>
      </c>
      <c r="K1030" s="65" t="n"/>
      <c r="L1030" s="65" t="n"/>
      <c r="M1030" s="65" t="n"/>
      <c r="N1030" s="65" t="n"/>
      <c r="O1030" s="65" t="n"/>
      <c r="P1030" s="65" t="n"/>
      <c r="Q1030" s="65" t="n"/>
    </row>
    <row r="1031">
      <c r="A1031" s="66" t="n">
        <v>46184</v>
      </c>
      <c r="B1031" s="65" t="n">
        <v>136</v>
      </c>
      <c r="C1031" s="65" t="inlineStr">
        <is>
          <t>00-00000569</t>
        </is>
      </c>
      <c r="D1031" s="65" t="inlineStr">
        <is>
          <t>S00274</t>
        </is>
      </c>
      <c r="E1031" s="65" t="inlineStr">
        <is>
          <t>ADS SERVICE C.A</t>
        </is>
      </c>
      <c r="F1031" s="63" t="inlineStr">
        <is>
          <t>114.614,91</t>
        </is>
      </c>
      <c r="G1031" s="63" t="inlineStr">
        <is>
          <t>132.953,30</t>
        </is>
      </c>
      <c r="H1031" s="63" t="inlineStr">
        <is>
          <t>273,99</t>
        </is>
      </c>
      <c r="I1031" s="63" t="inlineStr">
        <is>
          <t>485,23</t>
        </is>
      </c>
      <c r="J1031" s="65" t="n">
        <v>181</v>
      </c>
      <c r="K1031" s="65" t="n">
        <v>877</v>
      </c>
      <c r="L1031" s="65" t="inlineStr">
        <is>
          <t>[0877] SS EXTRA PROTECCION API SN SAE 15W-40 (1X12)</t>
        </is>
      </c>
      <c r="M1031" s="63" t="inlineStr">
        <is>
          <t>119,03</t>
        </is>
      </c>
      <c r="N1031" s="63" t="inlineStr">
        <is>
          <t>2,00</t>
        </is>
      </c>
      <c r="O1031" s="63" t="inlineStr">
        <is>
          <t>46,51</t>
        </is>
      </c>
      <c r="P1031" s="63" t="inlineStr">
        <is>
          <t>127,33</t>
        </is>
      </c>
      <c r="Q1031" s="63" t="inlineStr">
        <is>
          <t>147,71</t>
        </is>
      </c>
    </row>
    <row r="1032">
      <c r="A1032" s="65" t="n"/>
      <c r="B1032" s="65" t="n"/>
      <c r="C1032" s="65" t="n"/>
      <c r="D1032" s="65" t="n"/>
      <c r="E1032" s="65" t="n"/>
      <c r="F1032" s="65" t="n"/>
      <c r="G1032" s="65" t="n"/>
      <c r="H1032" s="65" t="n"/>
      <c r="I1032" s="65" t="n"/>
      <c r="J1032" s="65" t="n">
        <v>450</v>
      </c>
      <c r="K1032" s="65" t="n"/>
      <c r="L1032" s="65" t="n"/>
      <c r="M1032" s="65" t="n"/>
      <c r="N1032" s="65" t="n"/>
      <c r="O1032" s="65" t="n"/>
      <c r="P1032" s="65" t="n"/>
      <c r="Q1032" s="65" t="n"/>
    </row>
    <row r="1033">
      <c r="A1033" s="65" t="n"/>
      <c r="B1033" s="65" t="n"/>
      <c r="C1033" s="65" t="n"/>
      <c r="D1033" s="65" t="n"/>
      <c r="E1033" s="65" t="n"/>
      <c r="F1033" s="65" t="n"/>
      <c r="G1033" s="65" t="n"/>
      <c r="H1033" s="65" t="n"/>
      <c r="I1033" s="65" t="n"/>
      <c r="J1033" s="65" t="n">
        <v>544</v>
      </c>
      <c r="K1033" s="65" t="n"/>
      <c r="L1033" s="65" t="n"/>
      <c r="M1033" s="65" t="n"/>
      <c r="N1033" s="65" t="n"/>
      <c r="O1033" s="65" t="n"/>
      <c r="P1033" s="65" t="n"/>
      <c r="Q1033" s="65" t="n"/>
    </row>
    <row r="1034">
      <c r="A1034" s="65" t="n"/>
      <c r="B1034" s="65" t="n"/>
      <c r="C1034" s="65" t="n"/>
      <c r="D1034" s="65" t="n"/>
      <c r="E1034" s="65" t="n"/>
      <c r="F1034" s="65" t="n"/>
      <c r="G1034" s="65" t="n"/>
      <c r="H1034" s="65" t="n"/>
      <c r="I1034" s="65" t="n"/>
      <c r="J1034" s="65" t="n">
        <v>607</v>
      </c>
      <c r="K1034" s="65" t="n"/>
      <c r="L1034" s="65" t="n"/>
      <c r="M1034" s="65" t="n"/>
      <c r="N1034" s="65" t="n"/>
      <c r="O1034" s="65" t="n"/>
      <c r="P1034" s="65" t="n"/>
      <c r="Q1034" s="65" t="n"/>
    </row>
    <row r="1035">
      <c r="A1035" s="65" t="n"/>
      <c r="B1035" s="65" t="n"/>
      <c r="C1035" s="65" t="n"/>
      <c r="D1035" s="65" t="n"/>
      <c r="E1035" s="65" t="n"/>
      <c r="F1035" s="65" t="n"/>
      <c r="G1035" s="65" t="n"/>
      <c r="H1035" s="65" t="n"/>
      <c r="I1035" s="65" t="n"/>
      <c r="J1035" s="65" t="n"/>
      <c r="K1035" s="65" t="n">
        <v>779</v>
      </c>
      <c r="L1035" s="65" t="inlineStr">
        <is>
          <t>[0779] SINOCO SAE 20W-50 (1x12)</t>
        </is>
      </c>
      <c r="M1035" s="63" t="inlineStr">
        <is>
          <t>83,32</t>
        </is>
      </c>
      <c r="N1035" s="63" t="inlineStr">
        <is>
          <t>2,00</t>
        </is>
      </c>
      <c r="O1035" s="63" t="inlineStr">
        <is>
          <t>46,51</t>
        </is>
      </c>
      <c r="P1035" s="63" t="inlineStr">
        <is>
          <t>89,13</t>
        </is>
      </c>
      <c r="Q1035" s="63" t="inlineStr">
        <is>
          <t>103,40</t>
        </is>
      </c>
    </row>
    <row r="1036">
      <c r="A1036" s="65" t="n"/>
      <c r="B1036" s="65" t="n"/>
      <c r="C1036" s="65" t="n"/>
      <c r="D1036" s="65" t="n"/>
      <c r="E1036" s="65" t="n"/>
      <c r="F1036" s="65" t="n"/>
      <c r="G1036" s="65" t="n"/>
      <c r="H1036" s="65" t="n"/>
      <c r="I1036" s="65" t="n"/>
      <c r="J1036" s="65" t="n"/>
      <c r="K1036" s="65" t="n">
        <v>792</v>
      </c>
      <c r="L1036" s="65" t="inlineStr">
        <is>
          <t>[0792] REFRIGERANTE GLOBAL ROJO (1X3)</t>
        </is>
      </c>
      <c r="M1036" s="63" t="inlineStr">
        <is>
          <t>36,93</t>
        </is>
      </c>
      <c r="N1036" s="63" t="inlineStr">
        <is>
          <t>1,00</t>
        </is>
      </c>
      <c r="O1036" s="63" t="inlineStr">
        <is>
          <t>46,55</t>
        </is>
      </c>
      <c r="P1036" s="63" t="inlineStr">
        <is>
          <t>19,74</t>
        </is>
      </c>
      <c r="Q1036" s="63" t="inlineStr">
        <is>
          <t>22,90</t>
        </is>
      </c>
    </row>
    <row r="1037">
      <c r="A1037" s="66" t="n">
        <v>46184</v>
      </c>
      <c r="B1037" s="65" t="n">
        <v>134</v>
      </c>
      <c r="C1037" s="65" t="inlineStr">
        <is>
          <t>00-00000567</t>
        </is>
      </c>
      <c r="D1037" s="65" t="inlineStr">
        <is>
          <t>S00528</t>
        </is>
      </c>
      <c r="E1037" s="65" t="inlineStr">
        <is>
          <t>Angel ARMAS</t>
        </is>
      </c>
      <c r="F1037" s="63" t="inlineStr">
        <is>
          <t>26.915,99</t>
        </is>
      </c>
      <c r="G1037" s="63" t="inlineStr">
        <is>
          <t>31.222,55</t>
        </is>
      </c>
      <c r="H1037" s="63" t="inlineStr">
        <is>
          <t>54,05</t>
        </is>
      </c>
      <c r="I1037" s="63" t="inlineStr">
        <is>
          <t>577,55</t>
        </is>
      </c>
      <c r="J1037" s="65" t="n">
        <v>661</v>
      </c>
      <c r="K1037" s="65" t="n">
        <v>7</v>
      </c>
      <c r="L1037" s="65" t="inlineStr">
        <is>
          <t>[0007] ELITE API SN SAE 5W-20 (1x6)</t>
        </is>
      </c>
      <c r="M1037" s="63" t="inlineStr">
        <is>
          <t>47,41</t>
        </is>
      </c>
      <c r="N1037" s="63" t="inlineStr">
        <is>
          <t>1,00</t>
        </is>
      </c>
      <c r="O1037" s="63" t="inlineStr">
        <is>
          <t>0,00</t>
        </is>
      </c>
      <c r="P1037" s="63" t="inlineStr">
        <is>
          <t>46,60</t>
        </is>
      </c>
      <c r="Q1037" s="63" t="inlineStr">
        <is>
          <t>54,06</t>
        </is>
      </c>
    </row>
    <row r="1038">
      <c r="A1038" s="66" t="n">
        <v>46183</v>
      </c>
      <c r="B1038" s="65" t="n">
        <v>133</v>
      </c>
      <c r="C1038" s="65" t="inlineStr">
        <is>
          <t>00-00000552</t>
        </is>
      </c>
      <c r="D1038" s="65" t="inlineStr">
        <is>
          <t>S00535</t>
        </is>
      </c>
      <c r="E1038" s="65" t="inlineStr">
        <is>
          <t>En ascenso 2011,c.a.</t>
        </is>
      </c>
      <c r="F1038" s="63" t="inlineStr">
        <is>
          <t>165.854,87</t>
        </is>
      </c>
      <c r="G1038" s="63" t="inlineStr">
        <is>
          <t>192.391,65</t>
        </is>
      </c>
      <c r="H1038" s="63" t="inlineStr">
        <is>
          <t>335,93</t>
        </is>
      </c>
      <c r="I1038" s="63" t="inlineStr">
        <is>
          <t>572,68</t>
        </is>
      </c>
      <c r="J1038" s="65" t="n"/>
      <c r="K1038" s="65" t="n">
        <v>602</v>
      </c>
      <c r="L1038" s="65" t="inlineStr">
        <is>
          <t>[0602] SINOCO SAE 50 (PAILA)</t>
        </is>
      </c>
      <c r="M1038" s="63" t="inlineStr">
        <is>
          <t>95,23</t>
        </is>
      </c>
      <c r="N1038" s="63" t="inlineStr">
        <is>
          <t>2,00</t>
        </is>
      </c>
      <c r="O1038" s="63" t="inlineStr">
        <is>
          <t>0,00</t>
        </is>
      </c>
      <c r="P1038" s="63" t="inlineStr">
        <is>
          <t>190,47</t>
        </is>
      </c>
      <c r="Q1038" s="63" t="inlineStr">
        <is>
          <t>220,94</t>
        </is>
      </c>
    </row>
    <row r="1039">
      <c r="A1039" s="65" t="n"/>
      <c r="B1039" s="65" t="n"/>
      <c r="C1039" s="65" t="n"/>
      <c r="D1039" s="65" t="n"/>
      <c r="E1039" s="65" t="n"/>
      <c r="F1039" s="65" t="n"/>
      <c r="G1039" s="65" t="n"/>
      <c r="H1039" s="65" t="n"/>
      <c r="I1039" s="65" t="n"/>
      <c r="J1039" s="65" t="n"/>
      <c r="K1039" s="65" t="n">
        <v>877</v>
      </c>
      <c r="L1039" s="65" t="inlineStr">
        <is>
          <t>[0877] SS EXTRA PROTECCION API SN SAE 15W-40 (1X12)</t>
        </is>
      </c>
      <c r="M1039" s="63" t="inlineStr">
        <is>
          <t>99,15</t>
        </is>
      </c>
      <c r="N1039" s="63" t="inlineStr">
        <is>
          <t>1,00</t>
        </is>
      </c>
      <c r="O1039" s="63" t="inlineStr">
        <is>
          <t>0,00</t>
        </is>
      </c>
      <c r="P1039" s="63" t="inlineStr">
        <is>
          <t>99,15</t>
        </is>
      </c>
      <c r="Q1039" s="63" t="inlineStr">
        <is>
          <t>115,01</t>
        </is>
      </c>
    </row>
    <row r="1040">
      <c r="A1040" s="66" t="n">
        <v>46183</v>
      </c>
      <c r="B1040" s="65" t="n">
        <v>132</v>
      </c>
      <c r="C1040" s="65" t="inlineStr">
        <is>
          <t>00-00000551</t>
        </is>
      </c>
      <c r="D1040" s="65" t="inlineStr">
        <is>
          <t>S00204</t>
        </is>
      </c>
      <c r="E1040" s="65" t="inlineStr">
        <is>
          <t>Motolavado Yahir</t>
        </is>
      </c>
      <c r="F1040" s="63" t="inlineStr">
        <is>
          <t>189.786,54</t>
        </is>
      </c>
      <c r="G1040" s="63" t="inlineStr">
        <is>
          <t>220.152,39</t>
        </is>
      </c>
      <c r="H1040" s="63" t="inlineStr">
        <is>
          <t>459,97</t>
        </is>
      </c>
      <c r="I1040" s="63" t="inlineStr">
        <is>
          <t>478,58</t>
        </is>
      </c>
      <c r="J1040" s="65" t="n">
        <v>219</v>
      </c>
      <c r="K1040" s="65" t="n">
        <v>602</v>
      </c>
      <c r="L1040" s="65" t="inlineStr">
        <is>
          <t>[0602] SINOCO SAE 50 (PAILA)</t>
        </is>
      </c>
      <c r="M1040" s="63" t="inlineStr">
        <is>
          <t>62,93</t>
        </is>
      </c>
      <c r="N1040" s="63" t="inlineStr">
        <is>
          <t>2,00</t>
        </is>
      </c>
      <c r="O1040" s="63" t="inlineStr">
        <is>
          <t>46,72</t>
        </is>
      </c>
      <c r="P1040" s="63" t="inlineStr">
        <is>
          <t>118,59</t>
        </is>
      </c>
      <c r="Q1040" s="63" t="inlineStr">
        <is>
          <t>137,56</t>
        </is>
      </c>
    </row>
    <row r="1041">
      <c r="A1041" s="65" t="n"/>
      <c r="B1041" s="65" t="n"/>
      <c r="C1041" s="65" t="n"/>
      <c r="D1041" s="65" t="n"/>
      <c r="E1041" s="65" t="n"/>
      <c r="F1041" s="65" t="n"/>
      <c r="G1041" s="65" t="n"/>
      <c r="H1041" s="65" t="n"/>
      <c r="I1041" s="65" t="n"/>
      <c r="J1041" s="65" t="n">
        <v>331</v>
      </c>
      <c r="K1041" s="65" t="n"/>
      <c r="L1041" s="65" t="n"/>
      <c r="M1041" s="65" t="n"/>
      <c r="N1041" s="65" t="n"/>
      <c r="O1041" s="65" t="n"/>
      <c r="P1041" s="65" t="n"/>
      <c r="Q1041" s="65" t="n"/>
    </row>
    <row r="1042">
      <c r="A1042" s="65" t="n"/>
      <c r="B1042" s="65" t="n"/>
      <c r="C1042" s="65" t="n"/>
      <c r="D1042" s="65" t="n"/>
      <c r="E1042" s="65" t="n"/>
      <c r="F1042" s="65" t="n"/>
      <c r="G1042" s="65" t="n"/>
      <c r="H1042" s="65" t="n"/>
      <c r="I1042" s="65" t="n"/>
      <c r="J1042" s="65" t="n">
        <v>477</v>
      </c>
      <c r="K1042" s="65" t="n"/>
      <c r="L1042" s="65" t="n"/>
      <c r="M1042" s="65" t="n"/>
      <c r="N1042" s="65" t="n"/>
      <c r="O1042" s="65" t="n"/>
      <c r="P1042" s="65" t="n"/>
      <c r="Q1042" s="65" t="n"/>
    </row>
    <row r="1043">
      <c r="A1043" s="65" t="n"/>
      <c r="B1043" s="65" t="n"/>
      <c r="C1043" s="65" t="n"/>
      <c r="D1043" s="65" t="n"/>
      <c r="E1043" s="65" t="n"/>
      <c r="F1043" s="65" t="n"/>
      <c r="G1043" s="65" t="n"/>
      <c r="H1043" s="65" t="n"/>
      <c r="I1043" s="65" t="n"/>
      <c r="J1043" s="65" t="n">
        <v>584</v>
      </c>
      <c r="K1043" s="65" t="n"/>
      <c r="L1043" s="65" t="n"/>
      <c r="M1043" s="65" t="n"/>
      <c r="N1043" s="65" t="n"/>
      <c r="O1043" s="65" t="n"/>
      <c r="P1043" s="65" t="n"/>
      <c r="Q1043" s="65" t="n"/>
    </row>
    <row r="1044">
      <c r="A1044" s="65" t="n"/>
      <c r="B1044" s="65" t="n"/>
      <c r="C1044" s="65" t="n"/>
      <c r="D1044" s="65" t="n"/>
      <c r="E1044" s="65" t="n"/>
      <c r="F1044" s="65" t="n"/>
      <c r="G1044" s="65" t="n"/>
      <c r="H1044" s="65" t="n"/>
      <c r="I1044" s="65" t="n"/>
      <c r="J1044" s="65" t="n">
        <v>677</v>
      </c>
      <c r="K1044" s="65" t="n"/>
      <c r="L1044" s="65" t="n"/>
      <c r="M1044" s="65" t="n"/>
      <c r="N1044" s="65" t="n"/>
      <c r="O1044" s="65" t="n"/>
      <c r="P1044" s="65" t="n"/>
      <c r="Q1044" s="65" t="n"/>
    </row>
    <row r="1045">
      <c r="A1045" s="65" t="n"/>
      <c r="B1045" s="65" t="n"/>
      <c r="C1045" s="65" t="n"/>
      <c r="D1045" s="65" t="n"/>
      <c r="E1045" s="65" t="n"/>
      <c r="F1045" s="65" t="n"/>
      <c r="G1045" s="65" t="n"/>
      <c r="H1045" s="65" t="n"/>
      <c r="I1045" s="65" t="n"/>
      <c r="J1045" s="65" t="n"/>
      <c r="K1045" s="65" t="n">
        <v>605</v>
      </c>
      <c r="L1045" s="65" t="inlineStr">
        <is>
          <t>[0605] SINOCO SAE 20W-50 (PAILA)</t>
        </is>
      </c>
      <c r="M1045" s="63" t="inlineStr">
        <is>
          <t>62,93</t>
        </is>
      </c>
      <c r="N1045" s="63" t="inlineStr">
        <is>
          <t>2,00</t>
        </is>
      </c>
      <c r="O1045" s="63" t="inlineStr">
        <is>
          <t>46,72</t>
        </is>
      </c>
      <c r="P1045" s="63" t="inlineStr">
        <is>
          <t>123,69</t>
        </is>
      </c>
      <c r="Q1045" s="63" t="inlineStr">
        <is>
          <t>143,48</t>
        </is>
      </c>
    </row>
    <row r="1046">
      <c r="A1046" s="65" t="n"/>
      <c r="B1046" s="65" t="n"/>
      <c r="C1046" s="65" t="n"/>
      <c r="D1046" s="65" t="n"/>
      <c r="E1046" s="65" t="n"/>
      <c r="F1046" s="65" t="n"/>
      <c r="G1046" s="65" t="n"/>
      <c r="H1046" s="65" t="n"/>
      <c r="I1046" s="65" t="n"/>
      <c r="J1046" s="65" t="n"/>
      <c r="K1046" s="65" t="n">
        <v>884</v>
      </c>
      <c r="L1046" s="65" t="inlineStr">
        <is>
          <t>[0884] TRANSMATIC ATF DEXRON III (1x12)</t>
        </is>
      </c>
      <c r="M1046" s="63" t="inlineStr">
        <is>
          <t>62,07</t>
        </is>
      </c>
      <c r="N1046" s="63" t="inlineStr">
        <is>
          <t>1,00</t>
        </is>
      </c>
      <c r="O1046" s="63" t="inlineStr">
        <is>
          <t>46,72</t>
        </is>
      </c>
      <c r="P1046" s="63" t="inlineStr">
        <is>
          <t>61,21</t>
        </is>
      </c>
      <c r="Q1046" s="63" t="inlineStr">
        <is>
          <t>71,00</t>
        </is>
      </c>
    </row>
    <row r="1047">
      <c r="A1047" s="65" t="n"/>
      <c r="B1047" s="65" t="n"/>
      <c r="C1047" s="65" t="n"/>
      <c r="D1047" s="65" t="n"/>
      <c r="E1047" s="65" t="n"/>
      <c r="F1047" s="65" t="n"/>
      <c r="G1047" s="65" t="n"/>
      <c r="H1047" s="65" t="n"/>
      <c r="I1047" s="65" t="n"/>
      <c r="J1047" s="65" t="n"/>
      <c r="K1047" s="65" t="n">
        <v>877</v>
      </c>
      <c r="L1047" s="65" t="inlineStr">
        <is>
          <t>[0877] SS EXTRA PROTECCION API SN SAE 15W-40 (1X12)</t>
        </is>
      </c>
      <c r="M1047" s="63" t="inlineStr">
        <is>
          <t>65,52</t>
        </is>
      </c>
      <c r="N1047" s="63" t="inlineStr">
        <is>
          <t>1,00</t>
        </is>
      </c>
      <c r="O1047" s="63" t="inlineStr">
        <is>
          <t>46,72</t>
        </is>
      </c>
      <c r="P1047" s="63" t="inlineStr">
        <is>
          <t>63,76</t>
        </is>
      </c>
      <c r="Q1047" s="63" t="inlineStr">
        <is>
          <t>73,96</t>
        </is>
      </c>
    </row>
    <row r="1048">
      <c r="A1048" s="65" t="n"/>
      <c r="B1048" s="65" t="n"/>
      <c r="C1048" s="65" t="n"/>
      <c r="D1048" s="65" t="n"/>
      <c r="E1048" s="65" t="n"/>
      <c r="F1048" s="65" t="n"/>
      <c r="G1048" s="65" t="n"/>
      <c r="H1048" s="65" t="n"/>
      <c r="I1048" s="65" t="n"/>
      <c r="J1048" s="65" t="n"/>
      <c r="K1048" s="65" t="n">
        <v>93</v>
      </c>
      <c r="L1048" s="65" t="inlineStr">
        <is>
          <t>[0093] ALTA CILINDRADA SS API SN SAE 15W-40 (1x6)</t>
        </is>
      </c>
      <c r="M1048" s="63" t="inlineStr">
        <is>
          <t>30,17</t>
        </is>
      </c>
      <c r="N1048" s="63" t="inlineStr">
        <is>
          <t>1,00</t>
        </is>
      </c>
      <c r="O1048" s="63" t="inlineStr">
        <is>
          <t>46,72</t>
        </is>
      </c>
      <c r="P1048" s="63" t="inlineStr">
        <is>
          <t>29,33</t>
        </is>
      </c>
      <c r="Q1048" s="63" t="inlineStr">
        <is>
          <t>34,02</t>
        </is>
      </c>
    </row>
    <row r="1049">
      <c r="A1049" s="66" t="n">
        <v>46182</v>
      </c>
      <c r="B1049" s="65" t="n">
        <v>135</v>
      </c>
      <c r="C1049" s="65" t="inlineStr">
        <is>
          <t>00-00000568</t>
        </is>
      </c>
      <c r="D1049" s="65" t="inlineStr">
        <is>
          <t>S00125</t>
        </is>
      </c>
      <c r="E1049" s="65" t="inlineStr">
        <is>
          <t>Megacar2020.c.a</t>
        </is>
      </c>
      <c r="F1049" s="63" t="inlineStr">
        <is>
          <t>32.297,20</t>
        </is>
      </c>
      <c r="G1049" s="63" t="inlineStr">
        <is>
          <t>37.464,75</t>
        </is>
      </c>
      <c r="H1049" s="63" t="inlineStr">
        <is>
          <t>65,99</t>
        </is>
      </c>
      <c r="I1049" s="63" t="inlineStr">
        <is>
          <t>567,68</t>
        </is>
      </c>
      <c r="J1049" s="65" t="n">
        <v>141</v>
      </c>
      <c r="K1049" s="65" t="n">
        <v>887</v>
      </c>
      <c r="L1049" s="65" t="inlineStr">
        <is>
          <t>[0887] MOTOCLASICO 4T SAE 20W-50 (1x12)</t>
        </is>
      </c>
      <c r="M1049" s="63" t="inlineStr">
        <is>
          <t>85,34</t>
        </is>
      </c>
      <c r="N1049" s="63" t="inlineStr">
        <is>
          <t>1,00</t>
        </is>
      </c>
      <c r="O1049" s="63" t="inlineStr">
        <is>
          <t>16,18</t>
        </is>
      </c>
      <c r="P1049" s="63" t="inlineStr">
        <is>
          <t>56,89</t>
        </is>
      </c>
      <c r="Q1049" s="63" t="inlineStr">
        <is>
          <t>66,00</t>
        </is>
      </c>
    </row>
    <row r="1050">
      <c r="A1050" s="65" t="n"/>
      <c r="B1050" s="65" t="n"/>
      <c r="C1050" s="65" t="n"/>
      <c r="D1050" s="65" t="n"/>
      <c r="E1050" s="65" t="n"/>
      <c r="F1050" s="65" t="n"/>
      <c r="G1050" s="65" t="n"/>
      <c r="H1050" s="65" t="n"/>
      <c r="I1050" s="65" t="n"/>
      <c r="J1050" s="65" t="n">
        <v>665</v>
      </c>
      <c r="K1050" s="65" t="n"/>
      <c r="L1050" s="65" t="n"/>
      <c r="M1050" s="65" t="n"/>
      <c r="N1050" s="65" t="n"/>
      <c r="O1050" s="65" t="n"/>
      <c r="P1050" s="65" t="n"/>
      <c r="Q1050" s="65" t="n"/>
    </row>
    <row r="1051">
      <c r="A1051" s="65" t="n"/>
      <c r="B1051" s="65" t="n"/>
      <c r="C1051" s="65" t="n"/>
      <c r="D1051" s="65" t="n"/>
      <c r="E1051" s="65" t="n"/>
      <c r="F1051" s="65" t="n"/>
      <c r="G1051" s="65" t="n"/>
      <c r="H1051" s="65" t="n"/>
      <c r="I1051" s="65" t="n"/>
      <c r="J1051" s="65" t="n">
        <v>667</v>
      </c>
      <c r="K1051" s="65" t="n"/>
      <c r="L1051" s="65" t="n"/>
      <c r="M1051" s="65" t="n"/>
      <c r="N1051" s="65" t="n"/>
      <c r="O1051" s="65" t="n"/>
      <c r="P1051" s="65" t="n"/>
      <c r="Q1051" s="65" t="n"/>
    </row>
    <row r="1052">
      <c r="A1052" s="65" t="n"/>
      <c r="B1052" s="65" t="n"/>
      <c r="C1052" s="65" t="n"/>
      <c r="D1052" s="65" t="n"/>
      <c r="E1052" s="65" t="n"/>
      <c r="F1052" s="65" t="n"/>
      <c r="G1052" s="65" t="n"/>
      <c r="H1052" s="65" t="n"/>
      <c r="I1052" s="65" t="n"/>
      <c r="J1052" s="65" t="n">
        <v>719</v>
      </c>
      <c r="K1052" s="65" t="n"/>
      <c r="L1052" s="65" t="n"/>
      <c r="M1052" s="65" t="n"/>
      <c r="N1052" s="65" t="n"/>
      <c r="O1052" s="65" t="n"/>
      <c r="P1052" s="65" t="n"/>
      <c r="Q1052" s="65" t="n"/>
    </row>
    <row r="1053">
      <c r="A1053" s="66" t="n">
        <v>46182</v>
      </c>
      <c r="B1053" s="65" t="n">
        <v>131</v>
      </c>
      <c r="C1053" s="65" t="inlineStr">
        <is>
          <t>00-00000544</t>
        </is>
      </c>
      <c r="D1053" s="65" t="inlineStr">
        <is>
          <t>S00205</t>
        </is>
      </c>
      <c r="E1053" s="65" t="inlineStr">
        <is>
          <t>Inversiones Marfran 2025, C. A.</t>
        </is>
      </c>
      <c r="F1053" s="63" t="inlineStr">
        <is>
          <t>114.688,96</t>
        </is>
      </c>
      <c r="G1053" s="63" t="inlineStr">
        <is>
          <t>133.039,20</t>
        </is>
      </c>
      <c r="H1053" s="63" t="inlineStr">
        <is>
          <t>277,97</t>
        </is>
      </c>
      <c r="I1053" s="63" t="inlineStr">
        <is>
          <t>478,58</t>
        </is>
      </c>
      <c r="J1053" s="65" t="n">
        <v>644</v>
      </c>
      <c r="K1053" s="65" t="n">
        <v>887</v>
      </c>
      <c r="L1053" s="65" t="inlineStr">
        <is>
          <t>[0887] MOTOCLASICO 4T SAE 20W-50 (1x12)</t>
        </is>
      </c>
      <c r="M1053" s="63" t="inlineStr">
        <is>
          <t>59,00</t>
        </is>
      </c>
      <c r="N1053" s="63" t="inlineStr">
        <is>
          <t>3,00</t>
        </is>
      </c>
      <c r="O1053" s="63" t="inlineStr">
        <is>
          <t>45,40</t>
        </is>
      </c>
      <c r="P1053" s="63" t="inlineStr">
        <is>
          <t>174,87</t>
        </is>
      </c>
      <c r="Q1053" s="63" t="inlineStr">
        <is>
          <t>202,85</t>
        </is>
      </c>
    </row>
    <row r="1054">
      <c r="A1054" s="65" t="n"/>
      <c r="B1054" s="65" t="n"/>
      <c r="C1054" s="65" t="n"/>
      <c r="D1054" s="65" t="n"/>
      <c r="E1054" s="65" t="n"/>
      <c r="F1054" s="65" t="n"/>
      <c r="G1054" s="65" t="n"/>
      <c r="H1054" s="65" t="n"/>
      <c r="I1054" s="65" t="n"/>
      <c r="J1054" s="65" t="n"/>
      <c r="K1054" s="65" t="n"/>
      <c r="L1054" s="65" t="n"/>
      <c r="M1054" s="63" t="inlineStr">
        <is>
          <t>0,00</t>
        </is>
      </c>
      <c r="N1054" s="63" t="inlineStr">
        <is>
          <t>0,00</t>
        </is>
      </c>
      <c r="O1054" s="63" t="inlineStr">
        <is>
          <t>0,00</t>
        </is>
      </c>
      <c r="P1054" s="63" t="inlineStr">
        <is>
          <t>0,00</t>
        </is>
      </c>
      <c r="Q1054" s="63" t="inlineStr">
        <is>
          <t>0,00</t>
        </is>
      </c>
    </row>
    <row r="1055">
      <c r="A1055" s="65" t="n"/>
      <c r="B1055" s="65" t="n"/>
      <c r="C1055" s="65" t="n"/>
      <c r="D1055" s="65" t="n"/>
      <c r="E1055" s="65" t="n"/>
      <c r="F1055" s="65" t="n"/>
      <c r="G1055" s="65" t="n"/>
      <c r="H1055" s="65" t="n"/>
      <c r="I1055" s="65" t="n"/>
      <c r="J1055" s="65" t="n"/>
      <c r="K1055" s="65" t="n">
        <v>877</v>
      </c>
      <c r="L1055" s="65" t="inlineStr">
        <is>
          <t>[0877] SS EXTRA PROTECCION API SN SAE 15W-40 (1X12)</t>
        </is>
      </c>
      <c r="M1055" s="63" t="inlineStr">
        <is>
          <t>65,00</t>
        </is>
      </c>
      <c r="N1055" s="63" t="inlineStr">
        <is>
          <t>1,00</t>
        </is>
      </c>
      <c r="O1055" s="63" t="inlineStr">
        <is>
          <t>45,39</t>
        </is>
      </c>
      <c r="P1055" s="63" t="inlineStr">
        <is>
          <t>64,78</t>
        </is>
      </c>
      <c r="Q1055" s="63" t="inlineStr">
        <is>
          <t>75,14</t>
        </is>
      </c>
    </row>
    <row r="1056">
      <c r="A1056" s="66" t="n">
        <v>46182</v>
      </c>
      <c r="B1056" s="65" t="n">
        <v>130</v>
      </c>
      <c r="C1056" s="65" t="inlineStr">
        <is>
          <t>00-00000543</t>
        </is>
      </c>
      <c r="D1056" s="65" t="inlineStr">
        <is>
          <t>S00513</t>
        </is>
      </c>
      <c r="E1056" s="65" t="inlineStr">
        <is>
          <t>ELENA MEJIAS</t>
        </is>
      </c>
      <c r="F1056" s="63" t="inlineStr">
        <is>
          <t>34.219,01</t>
        </is>
      </c>
      <c r="G1056" s="63" t="inlineStr">
        <is>
          <t>39.694,05</t>
        </is>
      </c>
      <c r="H1056" s="63" t="inlineStr">
        <is>
          <t>70,45</t>
        </is>
      </c>
      <c r="I1056" s="63" t="inlineStr">
        <is>
          <t>563,29</t>
        </is>
      </c>
      <c r="J1056" s="65" t="n">
        <v>659</v>
      </c>
      <c r="K1056" s="65" t="n">
        <v>877</v>
      </c>
      <c r="L1056" s="65" t="inlineStr">
        <is>
          <t>[0877] SS EXTRA PROTECCION API SN SAE 15W-40 (1X12)</t>
        </is>
      </c>
      <c r="M1056" s="63" t="inlineStr">
        <is>
          <t>66,03</t>
        </is>
      </c>
      <c r="N1056" s="63" t="inlineStr">
        <is>
          <t>1,00</t>
        </is>
      </c>
      <c r="O1056" s="63" t="inlineStr">
        <is>
          <t>8,00</t>
        </is>
      </c>
      <c r="P1056" s="63" t="inlineStr">
        <is>
          <t>60,75</t>
        </is>
      </c>
      <c r="Q1056" s="63" t="inlineStr">
        <is>
          <t>70,47</t>
        </is>
      </c>
    </row>
    <row r="1057">
      <c r="A1057" s="65" t="n"/>
      <c r="B1057" s="65" t="n"/>
      <c r="C1057" s="65" t="n"/>
      <c r="D1057" s="65" t="n"/>
      <c r="E1057" s="65" t="n"/>
      <c r="F1057" s="65" t="n"/>
      <c r="G1057" s="65" t="n"/>
      <c r="H1057" s="65" t="n"/>
      <c r="I1057" s="65" t="n"/>
      <c r="J1057" s="65" t="n">
        <v>664</v>
      </c>
      <c r="K1057" s="65" t="n"/>
      <c r="L1057" s="65" t="n"/>
      <c r="M1057" s="65" t="n"/>
      <c r="N1057" s="65" t="n"/>
      <c r="O1057" s="65" t="n"/>
      <c r="P1057" s="65" t="n"/>
      <c r="Q1057" s="65" t="n"/>
    </row>
    <row r="1058">
      <c r="A1058" s="65" t="n"/>
      <c r="B1058" s="65" t="n"/>
      <c r="C1058" s="65" t="n"/>
      <c r="D1058" s="65" t="n"/>
      <c r="E1058" s="65" t="n"/>
      <c r="F1058" s="65" t="n"/>
      <c r="G1058" s="65" t="n"/>
      <c r="H1058" s="65" t="n"/>
      <c r="I1058" s="65" t="n"/>
      <c r="J1058" s="65" t="n">
        <v>776</v>
      </c>
      <c r="K1058" s="65" t="n"/>
      <c r="L1058" s="65" t="n"/>
      <c r="M1058" s="65" t="n"/>
      <c r="N1058" s="65" t="n"/>
      <c r="O1058" s="65" t="n"/>
      <c r="P1058" s="65" t="n"/>
      <c r="Q1058" s="65" t="n"/>
    </row>
    <row r="1059">
      <c r="A1059" s="66" t="n">
        <v>46182</v>
      </c>
      <c r="B1059" s="65" t="n">
        <v>129</v>
      </c>
      <c r="C1059" s="65" t="inlineStr">
        <is>
          <t>00-00000542</t>
        </is>
      </c>
      <c r="D1059" s="65" t="inlineStr">
        <is>
          <t>S00044</t>
        </is>
      </c>
      <c r="E1059" s="65" t="inlineStr">
        <is>
          <t>Comercializadora Garabote</t>
        </is>
      </c>
      <c r="F1059" s="63" t="inlineStr">
        <is>
          <t>755.943,86</t>
        </is>
      </c>
      <c r="G1059" s="63" t="inlineStr">
        <is>
          <t>876.894,88</t>
        </is>
      </c>
      <c r="H1059" s="63" t="inlineStr">
        <is>
          <t>1.847,90</t>
        </is>
      </c>
      <c r="I1059" s="63" t="inlineStr">
        <is>
          <t>474,53</t>
        </is>
      </c>
      <c r="J1059" s="65" t="n">
        <v>205</v>
      </c>
      <c r="K1059" s="65" t="n">
        <v>603</v>
      </c>
      <c r="L1059" s="65" t="inlineStr">
        <is>
          <t>[0603] SINOCO SAE 50 (Tambor)</t>
        </is>
      </c>
      <c r="M1059" s="63" t="inlineStr">
        <is>
          <t>832,56</t>
        </is>
      </c>
      <c r="N1059" s="63" t="inlineStr">
        <is>
          <t>3,00</t>
        </is>
      </c>
      <c r="O1059" s="63" t="inlineStr">
        <is>
          <t>36,22</t>
        </is>
      </c>
      <c r="P1059" s="63" t="inlineStr">
        <is>
          <t>1.593,02</t>
        </is>
      </c>
      <c r="Q1059" s="63" t="inlineStr">
        <is>
          <t>1.847,91</t>
        </is>
      </c>
    </row>
    <row r="1060">
      <c r="A1060" s="65" t="n"/>
      <c r="B1060" s="65" t="n"/>
      <c r="C1060" s="65" t="n"/>
      <c r="D1060" s="65" t="n"/>
      <c r="E1060" s="65" t="n"/>
      <c r="F1060" s="65" t="n"/>
      <c r="G1060" s="65" t="n"/>
      <c r="H1060" s="65" t="n"/>
      <c r="I1060" s="65" t="n"/>
      <c r="J1060" s="65" t="n">
        <v>314</v>
      </c>
      <c r="K1060" s="65" t="n"/>
      <c r="L1060" s="65" t="n"/>
      <c r="M1060" s="65" t="n"/>
      <c r="N1060" s="65" t="n"/>
      <c r="O1060" s="65" t="n"/>
      <c r="P1060" s="65" t="n"/>
      <c r="Q1060" s="65" t="n"/>
    </row>
    <row r="1061">
      <c r="A1061" s="65" t="n"/>
      <c r="B1061" s="65" t="n"/>
      <c r="C1061" s="65" t="n"/>
      <c r="D1061" s="65" t="n"/>
      <c r="E1061" s="65" t="n"/>
      <c r="F1061" s="65" t="n"/>
      <c r="G1061" s="65" t="n"/>
      <c r="H1061" s="65" t="n"/>
      <c r="I1061" s="65" t="n"/>
      <c r="J1061" s="65" t="n">
        <v>361</v>
      </c>
      <c r="K1061" s="65" t="n"/>
      <c r="L1061" s="65" t="n"/>
      <c r="M1061" s="65" t="n"/>
      <c r="N1061" s="65" t="n"/>
      <c r="O1061" s="65" t="n"/>
      <c r="P1061" s="65" t="n"/>
      <c r="Q1061" s="65" t="n"/>
    </row>
    <row r="1062">
      <c r="A1062" s="65" t="n"/>
      <c r="B1062" s="65" t="n"/>
      <c r="C1062" s="65" t="n"/>
      <c r="D1062" s="65" t="n"/>
      <c r="E1062" s="65" t="n"/>
      <c r="F1062" s="65" t="n"/>
      <c r="G1062" s="65" t="n"/>
      <c r="H1062" s="65" t="n"/>
      <c r="I1062" s="65" t="n"/>
      <c r="J1062" s="65" t="n">
        <v>411</v>
      </c>
      <c r="K1062" s="65" t="n"/>
      <c r="L1062" s="65" t="n"/>
      <c r="M1062" s="65" t="n"/>
      <c r="N1062" s="65" t="n"/>
      <c r="O1062" s="65" t="n"/>
      <c r="P1062" s="65" t="n"/>
      <c r="Q1062" s="65" t="n"/>
    </row>
    <row r="1063">
      <c r="A1063" s="65" t="n"/>
      <c r="B1063" s="65" t="n"/>
      <c r="C1063" s="65" t="n"/>
      <c r="D1063" s="65" t="n"/>
      <c r="E1063" s="65" t="n"/>
      <c r="F1063" s="65" t="n"/>
      <c r="G1063" s="65" t="n"/>
      <c r="H1063" s="65" t="n"/>
      <c r="I1063" s="65" t="n"/>
      <c r="J1063" s="65" t="n">
        <v>449</v>
      </c>
      <c r="K1063" s="65" t="n"/>
      <c r="L1063" s="65" t="n"/>
      <c r="M1063" s="65" t="n"/>
      <c r="N1063" s="65" t="n"/>
      <c r="O1063" s="65" t="n"/>
      <c r="P1063" s="65" t="n"/>
      <c r="Q1063" s="65" t="n"/>
    </row>
    <row r="1064">
      <c r="A1064" s="65" t="n"/>
      <c r="B1064" s="65" t="n"/>
      <c r="C1064" s="65" t="n"/>
      <c r="D1064" s="65" t="n"/>
      <c r="E1064" s="65" t="n"/>
      <c r="F1064" s="65" t="n"/>
      <c r="G1064" s="65" t="n"/>
      <c r="H1064" s="65" t="n"/>
      <c r="I1064" s="65" t="n"/>
      <c r="J1064" s="65" t="n">
        <v>462</v>
      </c>
      <c r="K1064" s="65" t="n"/>
      <c r="L1064" s="65" t="n"/>
      <c r="M1064" s="65" t="n"/>
      <c r="N1064" s="65" t="n"/>
      <c r="O1064" s="65" t="n"/>
      <c r="P1064" s="65" t="n"/>
      <c r="Q1064" s="65" t="n"/>
    </row>
    <row r="1065">
      <c r="A1065" s="65" t="n"/>
      <c r="B1065" s="65" t="n"/>
      <c r="C1065" s="65" t="n"/>
      <c r="D1065" s="65" t="n"/>
      <c r="E1065" s="65" t="n"/>
      <c r="F1065" s="65" t="n"/>
      <c r="G1065" s="65" t="n"/>
      <c r="H1065" s="65" t="n"/>
      <c r="I1065" s="65" t="n"/>
      <c r="J1065" s="65" t="n">
        <v>574</v>
      </c>
      <c r="K1065" s="65" t="n"/>
      <c r="L1065" s="65" t="n"/>
      <c r="M1065" s="65" t="n"/>
      <c r="N1065" s="65" t="n"/>
      <c r="O1065" s="65" t="n"/>
      <c r="P1065" s="65" t="n"/>
      <c r="Q1065" s="65" t="n"/>
    </row>
    <row r="1066">
      <c r="A1066" s="65" t="n"/>
      <c r="B1066" s="65" t="n"/>
      <c r="C1066" s="65" t="n"/>
      <c r="D1066" s="65" t="n"/>
      <c r="E1066" s="65" t="n"/>
      <c r="F1066" s="65" t="n"/>
      <c r="G1066" s="65" t="n"/>
      <c r="H1066" s="65" t="n"/>
      <c r="I1066" s="65" t="n"/>
      <c r="J1066" s="65" t="n">
        <v>642</v>
      </c>
      <c r="K1066" s="65" t="n"/>
      <c r="L1066" s="65" t="n"/>
      <c r="M1066" s="65" t="n"/>
      <c r="N1066" s="65" t="n"/>
      <c r="O1066" s="65" t="n"/>
      <c r="P1066" s="65" t="n"/>
      <c r="Q1066" s="65" t="n"/>
    </row>
    <row r="1067">
      <c r="A1067" s="65" t="n"/>
      <c r="B1067" s="65" t="n"/>
      <c r="C1067" s="65" t="n"/>
      <c r="D1067" s="65" t="n"/>
      <c r="E1067" s="65" t="n"/>
      <c r="F1067" s="65" t="n"/>
      <c r="G1067" s="65" t="n"/>
      <c r="H1067" s="65" t="n"/>
      <c r="I1067" s="65" t="n"/>
      <c r="J1067" s="65" t="n">
        <v>649</v>
      </c>
      <c r="K1067" s="65" t="n"/>
      <c r="L1067" s="65" t="n"/>
      <c r="M1067" s="65" t="n"/>
      <c r="N1067" s="65" t="n"/>
      <c r="O1067" s="65" t="n"/>
      <c r="P1067" s="65" t="n"/>
      <c r="Q1067" s="65" t="n"/>
    </row>
    <row r="1068">
      <c r="A1068" s="65" t="n"/>
      <c r="B1068" s="65" t="n"/>
      <c r="C1068" s="65" t="n"/>
      <c r="D1068" s="65" t="n"/>
      <c r="E1068" s="65" t="n"/>
      <c r="F1068" s="65" t="n"/>
      <c r="G1068" s="65" t="n"/>
      <c r="H1068" s="65" t="n"/>
      <c r="I1068" s="65" t="n"/>
      <c r="J1068" s="65" t="n">
        <v>662</v>
      </c>
      <c r="K1068" s="65" t="n"/>
      <c r="L1068" s="65" t="n"/>
      <c r="M1068" s="65" t="n"/>
      <c r="N1068" s="65" t="n"/>
      <c r="O1068" s="65" t="n"/>
      <c r="P1068" s="65" t="n"/>
      <c r="Q1068" s="65" t="n"/>
    </row>
    <row r="1069">
      <c r="A1069" s="65" t="n"/>
      <c r="B1069" s="65" t="n"/>
      <c r="C1069" s="65" t="n"/>
      <c r="D1069" s="65" t="n"/>
      <c r="E1069" s="65" t="n"/>
      <c r="F1069" s="65" t="n"/>
      <c r="G1069" s="65" t="n"/>
      <c r="H1069" s="65" t="n"/>
      <c r="I1069" s="65" t="n"/>
      <c r="J1069" s="65" t="n">
        <v>666</v>
      </c>
      <c r="K1069" s="65" t="n"/>
      <c r="L1069" s="65" t="n"/>
      <c r="M1069" s="65" t="n"/>
      <c r="N1069" s="65" t="n"/>
      <c r="O1069" s="65" t="n"/>
      <c r="P1069" s="65" t="n"/>
      <c r="Q1069" s="65" t="n"/>
    </row>
    <row r="1070">
      <c r="A1070" s="66" t="n">
        <v>46182</v>
      </c>
      <c r="B1070" s="65" t="n">
        <v>128</v>
      </c>
      <c r="C1070" s="65" t="inlineStr">
        <is>
          <t>00-00000541</t>
        </is>
      </c>
      <c r="D1070" s="65" t="inlineStr">
        <is>
          <t>S00369</t>
        </is>
      </c>
      <c r="E1070" s="65" t="inlineStr">
        <is>
          <t>ELENA MEJIAS</t>
        </is>
      </c>
      <c r="F1070" s="63" t="inlineStr">
        <is>
          <t>34.126,02</t>
        </is>
      </c>
      <c r="G1070" s="63" t="inlineStr">
        <is>
          <t>39.586,18</t>
        </is>
      </c>
      <c r="H1070" s="63" t="inlineStr">
        <is>
          <t>75,99</t>
        </is>
      </c>
      <c r="I1070" s="63" t="inlineStr">
        <is>
          <t>520,91</t>
        </is>
      </c>
      <c r="J1070" s="65" t="n">
        <v>664</v>
      </c>
      <c r="K1070" s="65" t="n">
        <v>877</v>
      </c>
      <c r="L1070" s="65" t="inlineStr">
        <is>
          <t>[0877] SS EXTRA PROTECCION API SN SAE 15W-40 (1X12)</t>
        </is>
      </c>
      <c r="M1070" s="63" t="inlineStr">
        <is>
          <t>71,40</t>
        </is>
      </c>
      <c r="N1070" s="63" t="inlineStr">
        <is>
          <t>1,00</t>
        </is>
      </c>
      <c r="O1070" s="63" t="inlineStr">
        <is>
          <t>8,25</t>
        </is>
      </c>
      <c r="P1070" s="63" t="inlineStr">
        <is>
          <t>65,51</t>
        </is>
      </c>
      <c r="Q1070" s="63" t="inlineStr">
        <is>
          <t>75,99</t>
        </is>
      </c>
    </row>
    <row r="1071">
      <c r="A1071" s="66" t="n">
        <v>46182</v>
      </c>
      <c r="B1071" s="65" t="n">
        <v>127</v>
      </c>
      <c r="C1071" s="65" t="inlineStr">
        <is>
          <t>00-00000540</t>
        </is>
      </c>
      <c r="D1071" s="65" t="inlineStr">
        <is>
          <t>S00230</t>
        </is>
      </c>
      <c r="E1071" s="65" t="inlineStr">
        <is>
          <t>E&amp;M CAR SHOP C.A</t>
        </is>
      </c>
      <c r="F1071" s="63" t="inlineStr">
        <is>
          <t>561.725,53</t>
        </is>
      </c>
      <c r="G1071" s="63" t="inlineStr">
        <is>
          <t>651.601,61</t>
        </is>
      </c>
      <c r="H1071" s="63" t="inlineStr">
        <is>
          <t>1.311,49</t>
        </is>
      </c>
      <c r="I1071" s="63" t="inlineStr">
        <is>
          <t>496,83</t>
        </is>
      </c>
      <c r="J1071" s="65" t="n">
        <v>242</v>
      </c>
      <c r="K1071" s="65" t="n">
        <v>877</v>
      </c>
      <c r="L1071" s="65" t="inlineStr">
        <is>
          <t>[0877] SS EXTRA PROTECCION API SN SAE 15W-40 (1X12)</t>
        </is>
      </c>
      <c r="M1071" s="63" t="inlineStr">
        <is>
          <t>114,26</t>
        </is>
      </c>
      <c r="N1071" s="63" t="inlineStr">
        <is>
          <t>1,00</t>
        </is>
      </c>
      <c r="O1071" s="63" t="inlineStr">
        <is>
          <t>18,56</t>
        </is>
      </c>
      <c r="P1071" s="63" t="inlineStr">
        <is>
          <t>93,05</t>
        </is>
      </c>
      <c r="Q1071" s="63" t="inlineStr">
        <is>
          <t>107,94</t>
        </is>
      </c>
    </row>
    <row r="1072">
      <c r="A1072" s="65" t="n"/>
      <c r="B1072" s="65" t="n"/>
      <c r="C1072" s="65" t="n"/>
      <c r="D1072" s="65" t="n"/>
      <c r="E1072" s="65" t="n"/>
      <c r="F1072" s="65" t="n"/>
      <c r="G1072" s="65" t="n"/>
      <c r="H1072" s="65" t="n"/>
      <c r="I1072" s="65" t="n"/>
      <c r="J1072" s="65" t="n">
        <v>315</v>
      </c>
      <c r="K1072" s="65" t="n"/>
      <c r="L1072" s="65" t="n"/>
      <c r="M1072" s="65" t="n"/>
      <c r="N1072" s="65" t="n"/>
      <c r="O1072" s="65" t="n"/>
      <c r="P1072" s="65" t="n"/>
      <c r="Q1072" s="65" t="n"/>
    </row>
    <row r="1073">
      <c r="A1073" s="65" t="n"/>
      <c r="B1073" s="65" t="n"/>
      <c r="C1073" s="65" t="n"/>
      <c r="D1073" s="65" t="n"/>
      <c r="E1073" s="65" t="n"/>
      <c r="F1073" s="65" t="n"/>
      <c r="G1073" s="65" t="n"/>
      <c r="H1073" s="65" t="n"/>
      <c r="I1073" s="65" t="n"/>
      <c r="J1073" s="65" t="n"/>
      <c r="K1073" s="65" t="n"/>
      <c r="L1073" s="65" t="n"/>
      <c r="M1073" s="63" t="inlineStr">
        <is>
          <t>0,00</t>
        </is>
      </c>
      <c r="N1073" s="63" t="inlineStr">
        <is>
          <t>0,00</t>
        </is>
      </c>
      <c r="O1073" s="63" t="inlineStr">
        <is>
          <t>0,00</t>
        </is>
      </c>
      <c r="P1073" s="63" t="inlineStr">
        <is>
          <t>0,00</t>
        </is>
      </c>
      <c r="Q1073" s="63" t="inlineStr">
        <is>
          <t>0,00</t>
        </is>
      </c>
    </row>
    <row r="1074">
      <c r="A1074" s="65" t="n"/>
      <c r="B1074" s="65" t="n"/>
      <c r="C1074" s="65" t="n"/>
      <c r="D1074" s="65" t="n"/>
      <c r="E1074" s="65" t="n"/>
      <c r="F1074" s="65" t="n"/>
      <c r="G1074" s="65" t="n"/>
      <c r="H1074" s="65" t="n"/>
      <c r="I1074" s="65" t="n"/>
      <c r="J1074" s="65" t="n"/>
      <c r="K1074" s="65" t="n">
        <v>878</v>
      </c>
      <c r="L1074" s="65" t="inlineStr">
        <is>
          <t>[0878] SS EXTRA PROTECCION API SN SAE 20W-50 (1x12)</t>
        </is>
      </c>
      <c r="M1074" s="63" t="inlineStr">
        <is>
          <t>114,26</t>
        </is>
      </c>
      <c r="N1074" s="63" t="inlineStr">
        <is>
          <t>1,00</t>
        </is>
      </c>
      <c r="O1074" s="63" t="inlineStr">
        <is>
          <t>18,55</t>
        </is>
      </c>
      <c r="P1074" s="63" t="inlineStr">
        <is>
          <t>93,07</t>
        </is>
      </c>
      <c r="Q1074" s="63" t="inlineStr">
        <is>
          <t>107,96</t>
        </is>
      </c>
    </row>
    <row r="1075">
      <c r="A1075" s="65" t="n"/>
      <c r="B1075" s="65" t="n"/>
      <c r="C1075" s="65" t="n"/>
      <c r="D1075" s="65" t="n"/>
      <c r="E1075" s="65" t="n"/>
      <c r="F1075" s="65" t="n"/>
      <c r="G1075" s="65" t="n"/>
      <c r="H1075" s="65" t="n"/>
      <c r="I1075" s="65" t="n"/>
      <c r="J1075" s="65" t="n"/>
      <c r="K1075" s="65" t="n">
        <v>880</v>
      </c>
      <c r="L1075" s="65" t="inlineStr">
        <is>
          <t>[0880] CLASICO API SL SAE 15W-40 (1x12)</t>
        </is>
      </c>
      <c r="M1075" s="63" t="inlineStr">
        <is>
          <t>97,12</t>
        </is>
      </c>
      <c r="N1075" s="63" t="inlineStr">
        <is>
          <t>1,00</t>
        </is>
      </c>
      <c r="O1075" s="63" t="inlineStr">
        <is>
          <t>18,56</t>
        </is>
      </c>
      <c r="P1075" s="63" t="inlineStr">
        <is>
          <t>79,10</t>
        </is>
      </c>
      <c r="Q1075" s="63" t="inlineStr">
        <is>
          <t>91,75</t>
        </is>
      </c>
    </row>
    <row r="1076">
      <c r="A1076" s="65" t="n"/>
      <c r="B1076" s="65" t="n"/>
      <c r="C1076" s="65" t="n"/>
      <c r="D1076" s="65" t="n"/>
      <c r="E1076" s="65" t="n"/>
      <c r="F1076" s="65" t="n"/>
      <c r="G1076" s="65" t="n"/>
      <c r="H1076" s="65" t="n"/>
      <c r="I1076" s="65" t="n"/>
      <c r="J1076" s="65" t="n"/>
      <c r="K1076" s="65" t="n">
        <v>602</v>
      </c>
      <c r="L1076" s="65" t="inlineStr">
        <is>
          <t>[0602] SINOCO SAE 50 (PAILA)</t>
        </is>
      </c>
      <c r="M1076" s="63" t="inlineStr">
        <is>
          <t>106,26</t>
        </is>
      </c>
      <c r="N1076" s="63" t="inlineStr">
        <is>
          <t>10,00</t>
        </is>
      </c>
      <c r="O1076" s="63" t="inlineStr">
        <is>
          <t>18,56</t>
        </is>
      </c>
      <c r="P1076" s="63" t="inlineStr">
        <is>
          <t>865,40</t>
        </is>
      </c>
      <c r="Q1076" s="63" t="inlineStr">
        <is>
          <t>1.003,87</t>
        </is>
      </c>
    </row>
    <row r="1077">
      <c r="A1077" s="66" t="n">
        <v>46182</v>
      </c>
      <c r="B1077" s="65" t="n">
        <v>126</v>
      </c>
      <c r="C1077" s="65" t="inlineStr">
        <is>
          <t>00-00000538</t>
        </is>
      </c>
      <c r="D1077" s="65" t="inlineStr">
        <is>
          <t>S00106</t>
        </is>
      </c>
      <c r="E1077" s="65" t="inlineStr">
        <is>
          <t>E&amp;M CAR SHOP C.A</t>
        </is>
      </c>
      <c r="F1077" s="63" t="inlineStr">
        <is>
          <t>404.948,92</t>
        </is>
      </c>
      <c r="G1077" s="63" t="inlineStr">
        <is>
          <t>469.740,75</t>
        </is>
      </c>
      <c r="H1077" s="63" t="inlineStr">
        <is>
          <t>991,27</t>
        </is>
      </c>
      <c r="I1077" s="63" t="inlineStr">
        <is>
          <t>473,87</t>
        </is>
      </c>
      <c r="J1077" s="65" t="n">
        <v>44</v>
      </c>
      <c r="K1077" s="65" t="n">
        <v>602</v>
      </c>
      <c r="L1077" s="65" t="inlineStr">
        <is>
          <t>[0602] SINOCO SAE 50 (PAILA)</t>
        </is>
      </c>
      <c r="M1077" s="63" t="inlineStr">
        <is>
          <t>102,37</t>
        </is>
      </c>
      <c r="N1077" s="63" t="inlineStr">
        <is>
          <t>10,00</t>
        </is>
      </c>
      <c r="O1077" s="63" t="inlineStr">
        <is>
          <t>16,52</t>
        </is>
      </c>
      <c r="P1077" s="63" t="inlineStr">
        <is>
          <t>854,56</t>
        </is>
      </c>
      <c r="Q1077" s="63" t="inlineStr">
        <is>
          <t>991,29</t>
        </is>
      </c>
    </row>
    <row r="1078">
      <c r="A1078" s="65" t="n"/>
      <c r="B1078" s="65" t="n"/>
      <c r="C1078" s="65" t="n"/>
      <c r="D1078" s="65" t="n"/>
      <c r="E1078" s="65" t="n"/>
      <c r="F1078" s="65" t="n"/>
      <c r="G1078" s="65" t="n"/>
      <c r="H1078" s="65" t="n"/>
      <c r="I1078" s="65" t="n"/>
      <c r="J1078" s="65" t="n">
        <v>93</v>
      </c>
      <c r="K1078" s="65" t="n"/>
      <c r="L1078" s="65" t="n"/>
      <c r="M1078" s="65" t="n"/>
      <c r="N1078" s="65" t="n"/>
      <c r="O1078" s="65" t="n"/>
      <c r="P1078" s="65" t="n"/>
      <c r="Q1078" s="65" t="n"/>
    </row>
    <row r="1079">
      <c r="A1079" s="66" t="n">
        <v>46182</v>
      </c>
      <c r="B1079" s="65" t="n">
        <v>125</v>
      </c>
      <c r="C1079" s="65" t="inlineStr">
        <is>
          <t>00-00000536</t>
        </is>
      </c>
      <c r="D1079" s="65" t="inlineStr">
        <is>
          <t>S00525</t>
        </is>
      </c>
      <c r="E1079" s="65" t="inlineStr">
        <is>
          <t>Juan antonio salaverria herrera</t>
        </is>
      </c>
      <c r="F1079" s="63" t="inlineStr">
        <is>
          <t>27.407,73</t>
        </is>
      </c>
      <c r="G1079" s="63" t="inlineStr">
        <is>
          <t>31.792,97</t>
        </is>
      </c>
      <c r="H1079" s="63" t="inlineStr">
        <is>
          <t>56,00</t>
        </is>
      </c>
      <c r="I1079" s="63" t="inlineStr">
        <is>
          <t>567,68</t>
        </is>
      </c>
      <c r="J1079" s="65" t="n">
        <v>657</v>
      </c>
      <c r="K1079" s="65" t="n">
        <v>881</v>
      </c>
      <c r="L1079" s="65" t="inlineStr">
        <is>
          <t>[0881] CLASICO API SL SAE 20W-50 (1x12)</t>
        </is>
      </c>
      <c r="M1079" s="63" t="inlineStr">
        <is>
          <t>48,28</t>
        </is>
      </c>
      <c r="N1079" s="63" t="inlineStr">
        <is>
          <t>1,00</t>
        </is>
      </c>
      <c r="O1079" s="63" t="inlineStr">
        <is>
          <t>0,00</t>
        </is>
      </c>
      <c r="P1079" s="63" t="inlineStr">
        <is>
          <t>48,28</t>
        </is>
      </c>
      <c r="Q1079" s="63" t="inlineStr">
        <is>
          <t>56,00</t>
        </is>
      </c>
    </row>
    <row r="1080">
      <c r="A1080" s="66" t="n">
        <v>46181</v>
      </c>
      <c r="B1080" s="65" t="n">
        <v>124</v>
      </c>
      <c r="C1080" s="65" t="inlineStr">
        <is>
          <t>00-00000531</t>
        </is>
      </c>
      <c r="D1080" s="65" t="inlineStr">
        <is>
          <t>S00045</t>
        </is>
      </c>
      <c r="E1080" s="65" t="inlineStr">
        <is>
          <t>INVERSIONES IRETE SUKA, C.A</t>
        </is>
      </c>
      <c r="F1080" s="63" t="inlineStr">
        <is>
          <t>19.635,86</t>
        </is>
      </c>
      <c r="G1080" s="63" t="inlineStr">
        <is>
          <t>22.777,60</t>
        </is>
      </c>
      <c r="H1080" s="63" t="inlineStr">
        <is>
          <t>47,99</t>
        </is>
      </c>
      <c r="I1080" s="63" t="inlineStr">
        <is>
          <t>474,53</t>
        </is>
      </c>
      <c r="J1080" s="65" t="n"/>
      <c r="K1080" s="65" t="n">
        <v>779</v>
      </c>
      <c r="L1080" s="65" t="inlineStr">
        <is>
          <t>[0779] SINOCO SAE 20W-50 (1x12)</t>
        </is>
      </c>
      <c r="M1080" s="63" t="inlineStr">
        <is>
          <t>41,38</t>
        </is>
      </c>
      <c r="N1080" s="63" t="inlineStr">
        <is>
          <t>1,00</t>
        </is>
      </c>
      <c r="O1080" s="63" t="inlineStr">
        <is>
          <t>32,60</t>
        </is>
      </c>
      <c r="P1080" s="63" t="inlineStr">
        <is>
          <t>41,38</t>
        </is>
      </c>
      <c r="Q1080" s="63" t="inlineStr">
        <is>
          <t>48,00</t>
        </is>
      </c>
    </row>
    <row r="1081">
      <c r="A1081" s="66" t="n">
        <v>46178</v>
      </c>
      <c r="B1081" s="65" t="n">
        <v>121</v>
      </c>
      <c r="C1081" s="65" t="inlineStr">
        <is>
          <t>00-00000521</t>
        </is>
      </c>
      <c r="D1081" s="65" t="inlineStr">
        <is>
          <t>S00509</t>
        </is>
      </c>
      <c r="E1081" s="65" t="inlineStr">
        <is>
          <t>GRIMAN DIAZ HECTOR EDUARDO</t>
        </is>
      </c>
      <c r="F1081" s="63" t="inlineStr">
        <is>
          <t>35.447,79</t>
        </is>
      </c>
      <c r="G1081" s="63" t="inlineStr">
        <is>
          <t>41.119,44</t>
        </is>
      </c>
      <c r="H1081" s="63" t="inlineStr">
        <is>
          <t>72,99</t>
        </is>
      </c>
      <c r="I1081" s="63" t="inlineStr">
        <is>
          <t>563,29</t>
        </is>
      </c>
      <c r="J1081" s="65" t="n">
        <v>911</v>
      </c>
      <c r="K1081" s="65" t="n">
        <v>602</v>
      </c>
      <c r="L1081" s="65" t="inlineStr">
        <is>
          <t>[0602] SINOCO SAE 50 (PAILA)</t>
        </is>
      </c>
      <c r="M1081" s="63" t="inlineStr">
        <is>
          <t>62,93</t>
        </is>
      </c>
      <c r="N1081" s="63" t="inlineStr">
        <is>
          <t>1,00</t>
        </is>
      </c>
      <c r="O1081" s="63" t="inlineStr">
        <is>
          <t>0,00</t>
        </is>
      </c>
      <c r="P1081" s="63" t="inlineStr">
        <is>
          <t>62,93</t>
        </is>
      </c>
      <c r="Q1081" s="63" t="inlineStr">
        <is>
          <t>73,00</t>
        </is>
      </c>
    </row>
    <row r="1082">
      <c r="A1082" s="66" t="n">
        <v>46177</v>
      </c>
      <c r="B1082" s="65" t="n">
        <v>120</v>
      </c>
      <c r="C1082" s="65" t="inlineStr">
        <is>
          <t>00-00000509</t>
        </is>
      </c>
      <c r="D1082" s="65" t="inlineStr">
        <is>
          <t>S00500</t>
        </is>
      </c>
      <c r="E1082" s="65" t="inlineStr">
        <is>
          <t>Gabriel Martinez</t>
        </is>
      </c>
      <c r="F1082" s="63" t="inlineStr">
        <is>
          <t>188.402,04</t>
        </is>
      </c>
      <c r="G1082" s="63" t="inlineStr">
        <is>
          <t>218.546,37</t>
        </is>
      </c>
      <c r="H1082" s="63" t="inlineStr">
        <is>
          <t>389,99</t>
        </is>
      </c>
      <c r="I1082" s="63" t="inlineStr">
        <is>
          <t>560,38</t>
        </is>
      </c>
      <c r="J1082" s="65" t="n"/>
      <c r="K1082" s="65" t="n">
        <v>881</v>
      </c>
      <c r="L1082" s="65" t="inlineStr">
        <is>
          <t>[0881] CLASICO API SL SAE 20W-50 (1x12)</t>
        </is>
      </c>
      <c r="M1082" s="63" t="inlineStr">
        <is>
          <t>56,03</t>
        </is>
      </c>
      <c r="N1082" s="63" t="inlineStr">
        <is>
          <t>6,00</t>
        </is>
      </c>
      <c r="O1082" s="63" t="inlineStr">
        <is>
          <t>0,00</t>
        </is>
      </c>
      <c r="P1082" s="63" t="inlineStr">
        <is>
          <t>336,21</t>
        </is>
      </c>
      <c r="Q1082" s="63" t="inlineStr">
        <is>
          <t>390,00</t>
        </is>
      </c>
    </row>
    <row r="1083">
      <c r="A1083" s="66" t="n">
        <v>46175</v>
      </c>
      <c r="B1083" s="65" t="n">
        <v>123</v>
      </c>
      <c r="C1083" s="65" t="inlineStr">
        <is>
          <t>00-00000526</t>
        </is>
      </c>
      <c r="D1083" s="65" t="inlineStr">
        <is>
          <t>S00280</t>
        </is>
      </c>
      <c r="E1083" s="65" t="inlineStr">
        <is>
          <t>Lubristation, C.A.</t>
        </is>
      </c>
      <c r="F1083" s="63" t="inlineStr">
        <is>
          <t>88.787,81</t>
        </is>
      </c>
      <c r="G1083" s="63" t="inlineStr">
        <is>
          <t>102.993,86</t>
        </is>
      </c>
      <c r="H1083" s="63" t="inlineStr">
        <is>
          <t>212,25</t>
        </is>
      </c>
      <c r="I1083" s="63" t="inlineStr">
        <is>
          <t>485,23</t>
        </is>
      </c>
      <c r="J1083" s="65" t="n"/>
      <c r="K1083" s="65" t="n">
        <v>561</v>
      </c>
      <c r="L1083" s="65" t="inlineStr">
        <is>
          <t>[0561] MEJORADOR DE OCTANAJE GLOBAL OIL PACK (1X12)</t>
        </is>
      </c>
      <c r="M1083" s="63" t="inlineStr">
        <is>
          <t>51,00</t>
        </is>
      </c>
      <c r="N1083" s="63" t="inlineStr">
        <is>
          <t>3,00</t>
        </is>
      </c>
      <c r="O1083" s="63" t="inlineStr">
        <is>
          <t>9,67</t>
        </is>
      </c>
      <c r="P1083" s="63" t="inlineStr">
        <is>
          <t>182,98</t>
        </is>
      </c>
      <c r="Q1083" s="63" t="inlineStr">
        <is>
          <t>212,26</t>
        </is>
      </c>
    </row>
    <row r="1084">
      <c r="A1084" s="66" t="n">
        <v>46175</v>
      </c>
      <c r="B1084" s="65" t="n">
        <v>119</v>
      </c>
      <c r="C1084" s="65" t="inlineStr">
        <is>
          <t>00-00000491</t>
        </is>
      </c>
      <c r="D1084" s="65" t="inlineStr">
        <is>
          <t>S00410</t>
        </is>
      </c>
      <c r="E1084" s="65" t="inlineStr">
        <is>
          <t>Multiservicios gochi express 2024, c.a</t>
        </is>
      </c>
      <c r="F1084" s="63" t="inlineStr">
        <is>
          <t>182.392,25</t>
        </is>
      </c>
      <c r="G1084" s="63" t="inlineStr">
        <is>
          <t>211.575,02</t>
        </is>
      </c>
      <c r="H1084" s="63" t="inlineStr">
        <is>
          <t>406,14</t>
        </is>
      </c>
      <c r="I1084" s="63" t="inlineStr">
        <is>
          <t>520,91</t>
        </is>
      </c>
      <c r="J1084" s="65" t="n"/>
      <c r="K1084" s="65" t="n">
        <v>880</v>
      </c>
      <c r="L1084" s="65" t="inlineStr">
        <is>
          <t>[0880] CLASICO API SL SAE 15W-40 (1x12)</t>
        </is>
      </c>
      <c r="M1084" s="63" t="inlineStr">
        <is>
          <t>92,34</t>
        </is>
      </c>
      <c r="N1084" s="63" t="inlineStr">
        <is>
          <t>1,00</t>
        </is>
      </c>
      <c r="O1084" s="63" t="inlineStr">
        <is>
          <t>6,64</t>
        </is>
      </c>
      <c r="P1084" s="63" t="inlineStr">
        <is>
          <t>86,21</t>
        </is>
      </c>
      <c r="Q1084" s="63" t="inlineStr">
        <is>
          <t>100,01</t>
        </is>
      </c>
    </row>
    <row r="1085">
      <c r="A1085" s="65" t="n"/>
      <c r="B1085" s="65" t="n"/>
      <c r="C1085" s="65" t="n"/>
      <c r="D1085" s="65" t="n"/>
      <c r="E1085" s="65" t="n"/>
      <c r="F1085" s="65" t="n"/>
      <c r="G1085" s="65" t="n"/>
      <c r="H1085" s="65" t="n"/>
      <c r="I1085" s="65" t="n"/>
      <c r="J1085" s="65" t="n"/>
      <c r="K1085" s="65" t="n">
        <v>881</v>
      </c>
      <c r="L1085" s="65" t="inlineStr">
        <is>
          <t>[0881] CLASICO API SL SAE 20W-50 (1x12)</t>
        </is>
      </c>
      <c r="M1085" s="63" t="inlineStr">
        <is>
          <t>92,34</t>
        </is>
      </c>
      <c r="N1085" s="63" t="inlineStr">
        <is>
          <t>1,00</t>
        </is>
      </c>
      <c r="O1085" s="63" t="inlineStr">
        <is>
          <t>6,64</t>
        </is>
      </c>
      <c r="P1085" s="63" t="inlineStr">
        <is>
          <t>86,21</t>
        </is>
      </c>
      <c r="Q1085" s="63" t="inlineStr">
        <is>
          <t>100,01</t>
        </is>
      </c>
    </row>
    <row r="1086">
      <c r="A1086" s="65" t="n"/>
      <c r="B1086" s="65" t="n"/>
      <c r="C1086" s="65" t="n"/>
      <c r="D1086" s="65" t="n"/>
      <c r="E1086" s="65" t="n"/>
      <c r="F1086" s="65" t="n"/>
      <c r="G1086" s="65" t="n"/>
      <c r="H1086" s="65" t="n"/>
      <c r="I1086" s="65" t="n"/>
      <c r="J1086" s="65" t="n"/>
      <c r="K1086" s="65" t="n">
        <v>878</v>
      </c>
      <c r="L1086" s="65" t="inlineStr">
        <is>
          <t>[0878] SS EXTRA PROTECCION API SN SAE 20W-50 (1x12)</t>
        </is>
      </c>
      <c r="M1086" s="63" t="inlineStr">
        <is>
          <t>107,97</t>
        </is>
      </c>
      <c r="N1086" s="63" t="inlineStr">
        <is>
          <t>1,00</t>
        </is>
      </c>
      <c r="O1086" s="63" t="inlineStr">
        <is>
          <t>6,64</t>
        </is>
      </c>
      <c r="P1086" s="63" t="inlineStr">
        <is>
          <t>100,80</t>
        </is>
      </c>
      <c r="Q1086" s="63" t="inlineStr">
        <is>
          <t>116,93</t>
        </is>
      </c>
    </row>
    <row r="1087">
      <c r="A1087" s="65" t="n"/>
      <c r="B1087" s="65" t="n"/>
      <c r="C1087" s="65" t="n"/>
      <c r="D1087" s="65" t="n"/>
      <c r="E1087" s="65" t="n"/>
      <c r="F1087" s="65" t="n"/>
      <c r="G1087" s="65" t="n"/>
      <c r="H1087" s="65" t="n"/>
      <c r="I1087" s="65" t="n"/>
      <c r="J1087" s="65" t="n"/>
      <c r="K1087" s="65" t="n">
        <v>761</v>
      </c>
      <c r="L1087" s="65" t="inlineStr">
        <is>
          <t>[0761] LIGA PARA FRENOS DOT-3 (1x12)</t>
        </is>
      </c>
      <c r="M1087" s="63" t="inlineStr">
        <is>
          <t>38,36</t>
        </is>
      </c>
      <c r="N1087" s="63" t="inlineStr">
        <is>
          <t>1,00</t>
        </is>
      </c>
      <c r="O1087" s="63" t="inlineStr">
        <is>
          <t>6,65</t>
        </is>
      </c>
      <c r="P1087" s="63" t="inlineStr">
        <is>
          <t>35,81</t>
        </is>
      </c>
      <c r="Q1087" s="63" t="inlineStr">
        <is>
          <t>41,54</t>
        </is>
      </c>
    </row>
    <row r="1088">
      <c r="A1088" s="65" t="n"/>
      <c r="B1088" s="65" t="n"/>
      <c r="C1088" s="65" t="n"/>
      <c r="D1088" s="65" t="n"/>
      <c r="E1088" s="65" t="n"/>
      <c r="F1088" s="65" t="n"/>
      <c r="G1088" s="65" t="n"/>
      <c r="H1088" s="65" t="n"/>
      <c r="I1088" s="65" t="n"/>
      <c r="J1088" s="65" t="n"/>
      <c r="K1088" s="65" t="n">
        <v>775</v>
      </c>
      <c r="L1088" s="65" t="inlineStr">
        <is>
          <t>[0775] LIGA PARA FRENOS DOT-4 (1X12)</t>
        </is>
      </c>
      <c r="M1088" s="63" t="inlineStr">
        <is>
          <t>44,03</t>
        </is>
      </c>
      <c r="N1088" s="63" t="inlineStr">
        <is>
          <t>1,00</t>
        </is>
      </c>
      <c r="O1088" s="63" t="inlineStr">
        <is>
          <t>6,65</t>
        </is>
      </c>
      <c r="P1088" s="63" t="inlineStr">
        <is>
          <t>41,11</t>
        </is>
      </c>
      <c r="Q1088" s="63" t="inlineStr">
        <is>
          <t>47,68</t>
        </is>
      </c>
    </row>
    <row r="1089">
      <c r="A1089" s="66" t="n">
        <v>46175</v>
      </c>
      <c r="B1089" s="65" t="n">
        <v>118</v>
      </c>
      <c r="C1089" s="65" t="inlineStr">
        <is>
          <t>00-00000490</t>
        </is>
      </c>
      <c r="D1089" s="65" t="inlineStr">
        <is>
          <t>S00131</t>
        </is>
      </c>
      <c r="E1089" s="65" t="inlineStr">
        <is>
          <t>Neykel Quevedo</t>
        </is>
      </c>
      <c r="F1089" s="63" t="inlineStr">
        <is>
          <t>13.888,77</t>
        </is>
      </c>
      <c r="G1089" s="63" t="inlineStr">
        <is>
          <t>16.110,97</t>
        </is>
      </c>
      <c r="H1089" s="63" t="inlineStr">
        <is>
          <t>33,98</t>
        </is>
      </c>
      <c r="I1089" s="63" t="inlineStr">
        <is>
          <t>473,87</t>
        </is>
      </c>
      <c r="J1089" s="65" t="n">
        <v>367</v>
      </c>
      <c r="K1089" s="65" t="n">
        <v>93</v>
      </c>
      <c r="L1089" s="65" t="inlineStr">
        <is>
          <t>[0093] ALTA CILINDRADA SS API SN SAE 15W-40 (1x6)</t>
        </is>
      </c>
      <c r="M1089" s="63" t="inlineStr">
        <is>
          <t>29,31</t>
        </is>
      </c>
      <c r="N1089" s="63" t="inlineStr">
        <is>
          <t>1,00</t>
        </is>
      </c>
      <c r="O1089" s="63" t="inlineStr">
        <is>
          <t>43,39</t>
        </is>
      </c>
      <c r="P1089" s="63" t="inlineStr">
        <is>
          <t>29,31</t>
        </is>
      </c>
      <c r="Q1089" s="63" t="inlineStr">
        <is>
          <t>34,00</t>
        </is>
      </c>
    </row>
    <row r="1090">
      <c r="A1090" s="65" t="n"/>
      <c r="B1090" s="65" t="n"/>
      <c r="C1090" s="65" t="n"/>
      <c r="D1090" s="65" t="n"/>
      <c r="E1090" s="65" t="n"/>
      <c r="F1090" s="65" t="n"/>
      <c r="G1090" s="65" t="n"/>
      <c r="H1090" s="65" t="n"/>
      <c r="I1090" s="65" t="n"/>
      <c r="J1090" s="65" t="n">
        <v>401</v>
      </c>
      <c r="K1090" s="65" t="n"/>
      <c r="L1090" s="65" t="n"/>
      <c r="M1090" s="65" t="n"/>
      <c r="N1090" s="65" t="n"/>
      <c r="O1090" s="65" t="n"/>
      <c r="P1090" s="65" t="n"/>
      <c r="Q1090" s="65" t="n"/>
    </row>
    <row r="1091">
      <c r="A1091" s="65" t="n"/>
      <c r="B1091" s="65" t="n"/>
      <c r="C1091" s="65" t="n"/>
      <c r="D1091" s="65" t="n"/>
      <c r="E1091" s="65" t="n"/>
      <c r="F1091" s="65" t="n"/>
      <c r="G1091" s="65" t="n"/>
      <c r="H1091" s="65" t="n"/>
      <c r="I1091" s="65" t="n"/>
      <c r="J1091" s="65" t="n">
        <v>573</v>
      </c>
      <c r="K1091" s="65" t="n"/>
      <c r="L1091" s="65" t="n"/>
      <c r="M1091" s="65" t="n"/>
      <c r="N1091" s="65" t="n"/>
      <c r="O1091" s="65" t="n"/>
      <c r="P1091" s="65" t="n"/>
      <c r="Q1091" s="65" t="n"/>
    </row>
    <row r="1092">
      <c r="A1092" s="66" t="n">
        <v>46175</v>
      </c>
      <c r="B1092" s="65" t="n">
        <v>117</v>
      </c>
      <c r="C1092" s="65" t="inlineStr">
        <is>
          <t>00-00000489</t>
        </is>
      </c>
      <c r="D1092" s="65" t="inlineStr">
        <is>
          <t>S00199</t>
        </is>
      </c>
      <c r="E1092" s="65" t="inlineStr">
        <is>
          <t>PROYECTO MAQUIVEIRO 21 C.A.</t>
        </is>
      </c>
      <c r="F1092" s="63" t="inlineStr">
        <is>
          <t>156.775,10</t>
        </is>
      </c>
      <c r="G1092" s="63" t="inlineStr">
        <is>
          <t>181.859,12</t>
        </is>
      </c>
      <c r="H1092" s="63" t="inlineStr">
        <is>
          <t>379,99</t>
        </is>
      </c>
      <c r="I1092" s="63" t="inlineStr">
        <is>
          <t>478,58</t>
        </is>
      </c>
      <c r="J1092" s="65" t="n">
        <v>340</v>
      </c>
      <c r="K1092" s="65" t="n">
        <v>87</v>
      </c>
      <c r="L1092" s="65" t="inlineStr">
        <is>
          <t>[0087] ENDUROGLOB 2T AIRE (1x6)</t>
        </is>
      </c>
      <c r="M1092" s="63" t="inlineStr">
        <is>
          <t>38,00</t>
        </is>
      </c>
      <c r="N1092" s="63" t="inlineStr">
        <is>
          <t>10,00</t>
        </is>
      </c>
      <c r="O1092" s="63" t="inlineStr">
        <is>
          <t>26,06</t>
        </is>
      </c>
      <c r="P1092" s="63" t="inlineStr">
        <is>
          <t>327,58</t>
        </is>
      </c>
      <c r="Q1092" s="63" t="inlineStr">
        <is>
          <t>380,00</t>
        </is>
      </c>
    </row>
    <row r="1093">
      <c r="A1093" s="65" t="n"/>
      <c r="B1093" s="65" t="n"/>
      <c r="C1093" s="65" t="n"/>
      <c r="D1093" s="65" t="n"/>
      <c r="E1093" s="65" t="n"/>
      <c r="F1093" s="65" t="n"/>
      <c r="G1093" s="65" t="n"/>
      <c r="H1093" s="65" t="n"/>
      <c r="I1093" s="65" t="n"/>
      <c r="J1093" s="65" t="n">
        <v>454</v>
      </c>
      <c r="K1093" s="65" t="n"/>
      <c r="L1093" s="65" t="n"/>
      <c r="M1093" s="65" t="n"/>
      <c r="N1093" s="65" t="n"/>
      <c r="O1093" s="65" t="n"/>
      <c r="P1093" s="65" t="n"/>
      <c r="Q1093" s="65" t="n"/>
    </row>
    <row r="1094">
      <c r="A1094" s="65" t="n"/>
      <c r="B1094" s="65" t="n"/>
      <c r="C1094" s="65" t="n"/>
      <c r="D1094" s="65" t="n"/>
      <c r="E1094" s="65" t="n"/>
      <c r="F1094" s="65" t="n"/>
      <c r="G1094" s="65" t="n"/>
      <c r="H1094" s="65" t="n"/>
      <c r="I1094" s="65" t="n"/>
      <c r="J1094" s="65" t="n">
        <v>518</v>
      </c>
      <c r="K1094" s="65" t="n"/>
      <c r="L1094" s="65" t="n"/>
      <c r="M1094" s="65" t="n"/>
      <c r="N1094" s="65" t="n"/>
      <c r="O1094" s="65" t="n"/>
      <c r="P1094" s="65" t="n"/>
      <c r="Q1094" s="65" t="n"/>
    </row>
    <row r="1095">
      <c r="A1095" s="66" t="n">
        <v>46175</v>
      </c>
      <c r="B1095" s="65" t="n">
        <v>116</v>
      </c>
      <c r="C1095" s="65" t="inlineStr">
        <is>
          <t>00-00000488</t>
        </is>
      </c>
      <c r="D1095" s="65" t="inlineStr">
        <is>
          <t>S00302</t>
        </is>
      </c>
      <c r="E1095" s="65" t="inlineStr">
        <is>
          <t>Sergio Ibrain Rumbo Mundaray</t>
        </is>
      </c>
      <c r="F1095" s="63" t="inlineStr">
        <is>
          <t>29.124,74</t>
        </is>
      </c>
      <c r="G1095" s="63" t="inlineStr">
        <is>
          <t>33.784,70</t>
        </is>
      </c>
      <c r="H1095" s="63" t="inlineStr">
        <is>
          <t>67,99</t>
        </is>
      </c>
      <c r="I1095" s="63" t="inlineStr">
        <is>
          <t>496,83</t>
        </is>
      </c>
      <c r="J1095" s="65" t="n">
        <v>417</v>
      </c>
      <c r="K1095" s="65" t="n">
        <v>887</v>
      </c>
      <c r="L1095" s="65" t="inlineStr">
        <is>
          <t>[0887] MOTOCLASICO 4T SAE 20W-50 (1x12)</t>
        </is>
      </c>
      <c r="M1095" s="63" t="inlineStr">
        <is>
          <t>59,00</t>
        </is>
      </c>
      <c r="N1095" s="63" t="inlineStr">
        <is>
          <t>1,00</t>
        </is>
      </c>
      <c r="O1095" s="63" t="inlineStr">
        <is>
          <t>11,53</t>
        </is>
      </c>
      <c r="P1095" s="63" t="inlineStr">
        <is>
          <t>58,62</t>
        </is>
      </c>
      <c r="Q1095" s="63" t="inlineStr">
        <is>
          <t>68,00</t>
        </is>
      </c>
    </row>
    <row r="1096">
      <c r="A1096" s="66" t="n">
        <v>46175</v>
      </c>
      <c r="B1096" s="65" t="n">
        <v>115</v>
      </c>
      <c r="C1096" s="65" t="inlineStr">
        <is>
          <t>00-00000487</t>
        </is>
      </c>
      <c r="D1096" s="65" t="inlineStr">
        <is>
          <t>S00074</t>
        </is>
      </c>
      <c r="E1096" s="65" t="inlineStr">
        <is>
          <t>Servicios Nicolazzo 97, C.A</t>
        </is>
      </c>
      <c r="F1096" s="63" t="inlineStr">
        <is>
          <t>63.948,66</t>
        </is>
      </c>
      <c r="G1096" s="63" t="inlineStr">
        <is>
          <t>74.180,45</t>
        </is>
      </c>
      <c r="H1096" s="63" t="inlineStr">
        <is>
          <t>154,97</t>
        </is>
      </c>
      <c r="I1096" s="63" t="inlineStr">
        <is>
          <t>478,58</t>
        </is>
      </c>
      <c r="J1096" s="65" t="n">
        <v>199</v>
      </c>
      <c r="K1096" s="65" t="n">
        <v>93</v>
      </c>
      <c r="L1096" s="65" t="inlineStr">
        <is>
          <t>[0093] ALTA CILINDRADA SS API SN SAE 15W-40 (1x6)</t>
        </is>
      </c>
      <c r="M1096" s="63" t="inlineStr">
        <is>
          <t>36,89</t>
        </is>
      </c>
      <c r="N1096" s="63" t="inlineStr">
        <is>
          <t>2,00</t>
        </is>
      </c>
      <c r="O1096" s="63" t="inlineStr">
        <is>
          <t>27,55</t>
        </is>
      </c>
      <c r="P1096" s="63" t="inlineStr">
        <is>
          <t>53,45</t>
        </is>
      </c>
      <c r="Q1096" s="63" t="inlineStr">
        <is>
          <t>62,00</t>
        </is>
      </c>
    </row>
    <row r="1097">
      <c r="A1097" s="65" t="n"/>
      <c r="B1097" s="65" t="n"/>
      <c r="C1097" s="65" t="n"/>
      <c r="D1097" s="65" t="n"/>
      <c r="E1097" s="65" t="n"/>
      <c r="F1097" s="65" t="n"/>
      <c r="G1097" s="65" t="n"/>
      <c r="H1097" s="65" t="n"/>
      <c r="I1097" s="65" t="n"/>
      <c r="J1097" s="65" t="n"/>
      <c r="K1097" s="65" t="n">
        <v>884</v>
      </c>
      <c r="L1097" s="65" t="inlineStr">
        <is>
          <t>[0884] TRANSMATIC ATF DEXRON III (1x12)</t>
        </is>
      </c>
      <c r="M1097" s="63" t="inlineStr">
        <is>
          <t>72,89</t>
        </is>
      </c>
      <c r="N1097" s="63" t="inlineStr">
        <is>
          <t>1,00</t>
        </is>
      </c>
      <c r="O1097" s="63" t="inlineStr">
        <is>
          <t>27,55</t>
        </is>
      </c>
      <c r="P1097" s="63" t="inlineStr">
        <is>
          <t>52,81</t>
        </is>
      </c>
      <c r="Q1097" s="63" t="inlineStr">
        <is>
          <t>61,26</t>
        </is>
      </c>
    </row>
    <row r="1098">
      <c r="A1098" s="65" t="n"/>
      <c r="B1098" s="65" t="n"/>
      <c r="C1098" s="65" t="n"/>
      <c r="D1098" s="65" t="n"/>
      <c r="E1098" s="65" t="n"/>
      <c r="F1098" s="65" t="n"/>
      <c r="G1098" s="65" t="n"/>
      <c r="H1098" s="65" t="n"/>
      <c r="I1098" s="65" t="n"/>
      <c r="J1098" s="65" t="n"/>
      <c r="K1098" s="65" t="n">
        <v>561</v>
      </c>
      <c r="L1098" s="65" t="inlineStr">
        <is>
          <t>[0561] MEJORADOR DE OCTANAJE GLOBAL OIL PACK (1X12)</t>
        </is>
      </c>
      <c r="M1098" s="63" t="inlineStr">
        <is>
          <t>37,76</t>
        </is>
      </c>
      <c r="N1098" s="63" t="inlineStr">
        <is>
          <t>1,00</t>
        </is>
      </c>
      <c r="O1098" s="63" t="inlineStr">
        <is>
          <t>27,55</t>
        </is>
      </c>
      <c r="P1098" s="63" t="inlineStr">
        <is>
          <t>27,36</t>
        </is>
      </c>
      <c r="Q1098" s="63" t="inlineStr">
        <is>
          <t>31,74</t>
        </is>
      </c>
    </row>
    <row r="1099">
      <c r="A1099" s="66" t="n">
        <v>46175</v>
      </c>
      <c r="B1099" s="65" t="n">
        <v>114</v>
      </c>
      <c r="C1099" s="65" t="inlineStr">
        <is>
          <t>00-00000486</t>
        </is>
      </c>
      <c r="D1099" s="65" t="inlineStr">
        <is>
          <t>S00322</t>
        </is>
      </c>
      <c r="E1099" s="65" t="inlineStr">
        <is>
          <t>ZIP MARKET, CA</t>
        </is>
      </c>
      <c r="F1099" s="63" t="inlineStr">
        <is>
          <t>41.651,09</t>
        </is>
      </c>
      <c r="G1099" s="63" t="inlineStr">
        <is>
          <t>48.315,26</t>
        </is>
      </c>
      <c r="H1099" s="63" t="inlineStr">
        <is>
          <t>97,24</t>
        </is>
      </c>
      <c r="I1099" s="63" t="inlineStr">
        <is>
          <t>496,83</t>
        </is>
      </c>
      <c r="J1099" s="65" t="n">
        <v>116</v>
      </c>
      <c r="K1099" s="65" t="n">
        <v>880</v>
      </c>
      <c r="L1099" s="65" t="inlineStr">
        <is>
          <t>[0880] CLASICO API SL SAE 15W-40 (1x12)</t>
        </is>
      </c>
      <c r="M1099" s="63" t="inlineStr">
        <is>
          <t>95,46</t>
        </is>
      </c>
      <c r="N1099" s="63" t="inlineStr">
        <is>
          <t>1,00</t>
        </is>
      </c>
      <c r="O1099" s="63" t="inlineStr">
        <is>
          <t>12,18</t>
        </is>
      </c>
      <c r="P1099" s="63" t="inlineStr">
        <is>
          <t>83,83</t>
        </is>
      </c>
      <c r="Q1099" s="63" t="inlineStr">
        <is>
          <t>97,25</t>
        </is>
      </c>
    </row>
    <row r="1100">
      <c r="A1100" s="66" t="n">
        <v>46175</v>
      </c>
      <c r="B1100" s="65" t="n">
        <v>113</v>
      </c>
      <c r="C1100" s="65" t="inlineStr">
        <is>
          <t>00-00000485</t>
        </is>
      </c>
      <c r="D1100" s="65" t="inlineStr">
        <is>
          <t>S00008</t>
        </is>
      </c>
      <c r="E1100" s="65" t="inlineStr">
        <is>
          <t>ZIP MARKET, CA</t>
        </is>
      </c>
      <c r="F1100" s="63" t="inlineStr">
        <is>
          <t>14.451,61</t>
        </is>
      </c>
      <c r="G1100" s="63" t="inlineStr">
        <is>
          <t>16.763,87</t>
        </is>
      </c>
      <c r="H1100" s="63" t="inlineStr">
        <is>
          <t>35,32</t>
        </is>
      </c>
      <c r="I1100" s="63" t="inlineStr">
        <is>
          <t>474,53</t>
        </is>
      </c>
      <c r="J1100" s="65" t="n">
        <v>929</v>
      </c>
      <c r="K1100" s="65" t="n">
        <v>163</v>
      </c>
      <c r="L1100" s="65" t="inlineStr">
        <is>
          <t>[0163] CARIBE FUERA DE BORDA TC-W3 2 TIEMPOS (1x6)</t>
        </is>
      </c>
      <c r="M1100" s="63" t="inlineStr">
        <is>
          <t>35,82</t>
        </is>
      </c>
      <c r="N1100" s="63" t="inlineStr">
        <is>
          <t>1,00</t>
        </is>
      </c>
      <c r="O1100" s="63" t="inlineStr">
        <is>
          <t>14,97</t>
        </is>
      </c>
      <c r="P1100" s="63" t="inlineStr">
        <is>
          <t>30,45</t>
        </is>
      </c>
      <c r="Q1100" s="63" t="inlineStr">
        <is>
          <t>35,33</t>
        </is>
      </c>
    </row>
    <row r="1101">
      <c r="A1101" s="66" t="n">
        <v>46175</v>
      </c>
      <c r="B1101" s="65" t="n">
        <v>112</v>
      </c>
      <c r="C1101" s="65" t="inlineStr">
        <is>
          <t>00-00000484</t>
        </is>
      </c>
      <c r="D1101" s="65" t="inlineStr">
        <is>
          <t>S00419</t>
        </is>
      </c>
      <c r="E1101" s="65" t="inlineStr">
        <is>
          <t>EMPRENDIMIENTO IRMA RODRIGUEZ 6</t>
        </is>
      </c>
      <c r="F1101" s="63" t="inlineStr">
        <is>
          <t>95.653,22</t>
        </is>
      </c>
      <c r="G1101" s="63" t="inlineStr">
        <is>
          <t>110.957,74</t>
        </is>
      </c>
      <c r="H1101" s="63" t="inlineStr">
        <is>
          <t>213,00</t>
        </is>
      </c>
      <c r="I1101" s="63" t="inlineStr">
        <is>
          <t>520,91</t>
        </is>
      </c>
      <c r="J1101" s="65" t="n">
        <v>436</v>
      </c>
      <c r="K1101" s="65" t="n">
        <v>602</v>
      </c>
      <c r="L1101" s="65" t="inlineStr">
        <is>
          <t>[0602] SINOCO SAE 50 (PAILA)</t>
        </is>
      </c>
      <c r="M1101" s="63" t="inlineStr">
        <is>
          <t>103,71</t>
        </is>
      </c>
      <c r="N1101" s="63" t="inlineStr">
        <is>
          <t>3,00</t>
        </is>
      </c>
      <c r="O1101" s="63" t="inlineStr">
        <is>
          <t>40,98</t>
        </is>
      </c>
      <c r="P1101" s="63" t="inlineStr">
        <is>
          <t>183,63</t>
        </is>
      </c>
      <c r="Q1101" s="63" t="inlineStr">
        <is>
          <t>213,01</t>
        </is>
      </c>
    </row>
    <row r="1102">
      <c r="A1102" s="66" t="n">
        <v>46175</v>
      </c>
      <c r="B1102" s="65" t="n">
        <v>111</v>
      </c>
      <c r="C1102" s="65" t="inlineStr">
        <is>
          <t>00-00000483</t>
        </is>
      </c>
      <c r="D1102" s="65" t="inlineStr">
        <is>
          <t>S00344</t>
        </is>
      </c>
      <c r="E1102" s="65" t="inlineStr">
        <is>
          <t>EMPRENDIMIENTO IRMA RODRIGUEZ 6</t>
        </is>
      </c>
      <c r="F1102" s="63" t="inlineStr">
        <is>
          <t>40.866,92</t>
        </is>
      </c>
      <c r="G1102" s="63" t="inlineStr">
        <is>
          <t>47.405,63</t>
        </is>
      </c>
      <c r="H1102" s="63" t="inlineStr">
        <is>
          <t>91,00</t>
        </is>
      </c>
      <c r="I1102" s="63" t="inlineStr">
        <is>
          <t>520,91</t>
        </is>
      </c>
      <c r="J1102" s="65" t="n">
        <v>318</v>
      </c>
      <c r="K1102" s="65" t="n">
        <v>774</v>
      </c>
      <c r="L1102" s="65" t="inlineStr">
        <is>
          <t>[0774] LIGA PARA FRENOS DOT-4 (1X6)</t>
        </is>
      </c>
      <c r="M1102" s="63" t="inlineStr">
        <is>
          <t>68,55</t>
        </is>
      </c>
      <c r="N1102" s="63" t="inlineStr">
        <is>
          <t>2,00</t>
        </is>
      </c>
      <c r="O1102" s="63" t="inlineStr">
        <is>
          <t>42,78</t>
        </is>
      </c>
      <c r="P1102" s="63" t="inlineStr">
        <is>
          <t>78,45</t>
        </is>
      </c>
      <c r="Q1102" s="63" t="inlineStr">
        <is>
          <t>91,00</t>
        </is>
      </c>
    </row>
    <row r="1103">
      <c r="A1103" s="65" t="n"/>
      <c r="B1103" s="65" t="n"/>
      <c r="C1103" s="65" t="n"/>
      <c r="D1103" s="65" t="n"/>
      <c r="E1103" s="65" t="n"/>
      <c r="F1103" s="65" t="n"/>
      <c r="G1103" s="65" t="n"/>
      <c r="H1103" s="65" t="n"/>
      <c r="I1103" s="65" t="n"/>
      <c r="J1103" s="65" t="n">
        <v>319</v>
      </c>
      <c r="K1103" s="65" t="n"/>
      <c r="L1103" s="65" t="n"/>
      <c r="M1103" s="65" t="n"/>
      <c r="N1103" s="65" t="n"/>
      <c r="O1103" s="65" t="n"/>
      <c r="P1103" s="65" t="n"/>
      <c r="Q1103" s="65" t="n"/>
    </row>
    <row r="1104">
      <c r="A1104" s="66" t="n">
        <v>46175</v>
      </c>
      <c r="B1104" s="65" t="n">
        <v>110</v>
      </c>
      <c r="C1104" s="65" t="inlineStr">
        <is>
          <t>00-00000482</t>
        </is>
      </c>
      <c r="D1104" s="65" t="inlineStr">
        <is>
          <t>S00314</t>
        </is>
      </c>
      <c r="E1104" s="65" t="inlineStr">
        <is>
          <t>EMPRENDIMIENTO IRMA RODRIGUEZ 6</t>
        </is>
      </c>
      <c r="F1104" s="63" t="inlineStr">
        <is>
          <t>96.789,92</t>
        </is>
      </c>
      <c r="G1104" s="63" t="inlineStr">
        <is>
          <t>112.276,31</t>
        </is>
      </c>
      <c r="H1104" s="63" t="inlineStr">
        <is>
          <t>225,98</t>
        </is>
      </c>
      <c r="I1104" s="63" t="inlineStr">
        <is>
          <t>496,83</t>
        </is>
      </c>
      <c r="J1104" s="65" t="n">
        <v>283</v>
      </c>
      <c r="K1104" s="65" t="n">
        <v>774</v>
      </c>
      <c r="L1104" s="65" t="inlineStr">
        <is>
          <t>[0774] LIGA PARA FRENOS DOT-4 (1X6)</t>
        </is>
      </c>
      <c r="M1104" s="63" t="inlineStr">
        <is>
          <t>71,52</t>
        </is>
      </c>
      <c r="N1104" s="63" t="inlineStr">
        <is>
          <t>2,00</t>
        </is>
      </c>
      <c r="O1104" s="63" t="inlineStr">
        <is>
          <t>44,48</t>
        </is>
      </c>
      <c r="P1104" s="63" t="inlineStr">
        <is>
          <t>79,41</t>
        </is>
      </c>
      <c r="Q1104" s="63" t="inlineStr">
        <is>
          <t>92,12</t>
        </is>
      </c>
    </row>
    <row r="1105">
      <c r="A1105" s="65" t="n"/>
      <c r="B1105" s="65" t="n"/>
      <c r="C1105" s="65" t="n"/>
      <c r="D1105" s="65" t="n"/>
      <c r="E1105" s="65" t="n"/>
      <c r="F1105" s="65" t="n"/>
      <c r="G1105" s="65" t="n"/>
      <c r="H1105" s="65" t="n"/>
      <c r="I1105" s="65" t="n"/>
      <c r="J1105" s="65" t="n"/>
      <c r="K1105" s="65" t="n">
        <v>602</v>
      </c>
      <c r="L1105" s="65" t="inlineStr">
        <is>
          <t>[0602] SINOCO SAE 50 (PAILA)</t>
        </is>
      </c>
      <c r="M1105" s="63" t="inlineStr">
        <is>
          <t>103,93</t>
        </is>
      </c>
      <c r="N1105" s="63" t="inlineStr">
        <is>
          <t>2,00</t>
        </is>
      </c>
      <c r="O1105" s="63" t="inlineStr">
        <is>
          <t>44,48</t>
        </is>
      </c>
      <c r="P1105" s="63" t="inlineStr">
        <is>
          <t>115,40</t>
        </is>
      </c>
      <c r="Q1105" s="63" t="inlineStr">
        <is>
          <t>133,87</t>
        </is>
      </c>
    </row>
    <row r="1106">
      <c r="A1106" s="66" t="n">
        <v>46175</v>
      </c>
      <c r="B1106" s="65" t="n">
        <v>109</v>
      </c>
      <c r="C1106" s="65" t="inlineStr">
        <is>
          <t>00-00000481</t>
        </is>
      </c>
      <c r="D1106" s="65" t="inlineStr">
        <is>
          <t>S00303</t>
        </is>
      </c>
      <c r="E1106" s="65" t="inlineStr">
        <is>
          <t>EMPRENDIMIENTO IRMA RODRIGUEZ 6</t>
        </is>
      </c>
      <c r="F1106" s="63" t="inlineStr">
        <is>
          <t>80.516,83</t>
        </is>
      </c>
      <c r="G1106" s="63" t="inlineStr">
        <is>
          <t>93.399,52</t>
        </is>
      </c>
      <c r="H1106" s="63" t="inlineStr">
        <is>
          <t>187,98</t>
        </is>
      </c>
      <c r="I1106" s="63" t="inlineStr">
        <is>
          <t>496,83</t>
        </is>
      </c>
      <c r="J1106" s="65" t="n">
        <v>247</v>
      </c>
      <c r="K1106" s="65" t="n">
        <v>602</v>
      </c>
      <c r="L1106" s="65" t="inlineStr">
        <is>
          <t>[0602] SINOCO SAE 50 (PAILA)</t>
        </is>
      </c>
      <c r="M1106" s="63" t="inlineStr">
        <is>
          <t>104,23</t>
        </is>
      </c>
      <c r="N1106" s="63" t="inlineStr">
        <is>
          <t>2,00</t>
        </is>
      </c>
      <c r="O1106" s="63" t="inlineStr">
        <is>
          <t>43,52</t>
        </is>
      </c>
      <c r="P1106" s="63" t="inlineStr">
        <is>
          <t>117,74</t>
        </is>
      </c>
      <c r="Q1106" s="63" t="inlineStr">
        <is>
          <t>136,58</t>
        </is>
      </c>
    </row>
    <row r="1107">
      <c r="A1107" s="65" t="n"/>
      <c r="B1107" s="65" t="n"/>
      <c r="C1107" s="65" t="n"/>
      <c r="D1107" s="65" t="n"/>
      <c r="E1107" s="65" t="n"/>
      <c r="F1107" s="65" t="n"/>
      <c r="G1107" s="65" t="n"/>
      <c r="H1107" s="65" t="n"/>
      <c r="I1107" s="65" t="n"/>
      <c r="J1107" s="65" t="n"/>
      <c r="K1107" s="65" t="n">
        <v>779</v>
      </c>
      <c r="L1107" s="65" t="inlineStr">
        <is>
          <t>[0779] SINOCO SAE 20W-50 (1x12)</t>
        </is>
      </c>
      <c r="M1107" s="63" t="inlineStr">
        <is>
          <t>78,46</t>
        </is>
      </c>
      <c r="N1107" s="63" t="inlineStr">
        <is>
          <t>1,00</t>
        </is>
      </c>
      <c r="O1107" s="63" t="inlineStr">
        <is>
          <t>43,51</t>
        </is>
      </c>
      <c r="P1107" s="63" t="inlineStr">
        <is>
          <t>44,32</t>
        </is>
      </c>
      <c r="Q1107" s="63" t="inlineStr">
        <is>
          <t>51,41</t>
        </is>
      </c>
    </row>
    <row r="1108">
      <c r="A1108" s="66" t="n">
        <v>46175</v>
      </c>
      <c r="B1108" s="65" t="n">
        <v>108</v>
      </c>
      <c r="C1108" s="65" t="inlineStr">
        <is>
          <t>00-00000480</t>
        </is>
      </c>
      <c r="D1108" s="65" t="inlineStr">
        <is>
          <t>S00170</t>
        </is>
      </c>
      <c r="E1108" s="65" t="inlineStr">
        <is>
          <t>EMPRENDIMIENTO IRMA RODRIGUEZ 6</t>
        </is>
      </c>
      <c r="F1108" s="63" t="inlineStr">
        <is>
          <t>106.220,71</t>
        </is>
      </c>
      <c r="G1108" s="63" t="inlineStr">
        <is>
          <t>123.216,02</t>
        </is>
      </c>
      <c r="H1108" s="63" t="inlineStr">
        <is>
          <t>247,98</t>
        </is>
      </c>
      <c r="I1108" s="63" t="inlineStr">
        <is>
          <t>496,83</t>
        </is>
      </c>
      <c r="J1108" s="65" t="n">
        <v>45</v>
      </c>
      <c r="K1108" s="65" t="n">
        <v>779</v>
      </c>
      <c r="L1108" s="65" t="inlineStr">
        <is>
          <t>[0779] SINOCO SAE 20W-50 (1x12)</t>
        </is>
      </c>
      <c r="M1108" s="63" t="inlineStr">
        <is>
          <t>69,71</t>
        </is>
      </c>
      <c r="N1108" s="63" t="inlineStr">
        <is>
          <t>2,00</t>
        </is>
      </c>
      <c r="O1108" s="63" t="inlineStr">
        <is>
          <t>43,16</t>
        </is>
      </c>
      <c r="P1108" s="63" t="inlineStr">
        <is>
          <t>79,25</t>
        </is>
      </c>
      <c r="Q1108" s="63" t="inlineStr">
        <is>
          <t>91,92</t>
        </is>
      </c>
    </row>
    <row r="1109">
      <c r="A1109" s="65" t="n"/>
      <c r="B1109" s="65" t="n"/>
      <c r="C1109" s="65" t="n"/>
      <c r="D1109" s="65" t="n"/>
      <c r="E1109" s="65" t="n"/>
      <c r="F1109" s="65" t="n"/>
      <c r="G1109" s="65" t="n"/>
      <c r="H1109" s="65" t="n"/>
      <c r="I1109" s="65" t="n"/>
      <c r="J1109" s="65" t="n"/>
      <c r="K1109" s="65" t="n">
        <v>915</v>
      </c>
      <c r="L1109" s="65" t="inlineStr">
        <is>
          <t>[0915] SINOCO SAE 50 (1x12)</t>
        </is>
      </c>
      <c r="M1109" s="63" t="inlineStr">
        <is>
          <t>69,71</t>
        </is>
      </c>
      <c r="N1109" s="63" t="inlineStr">
        <is>
          <t>2,00</t>
        </is>
      </c>
      <c r="O1109" s="63" t="inlineStr">
        <is>
          <t>43,16</t>
        </is>
      </c>
      <c r="P1109" s="63" t="inlineStr">
        <is>
          <t>79,25</t>
        </is>
      </c>
      <c r="Q1109" s="63" t="inlineStr">
        <is>
          <t>91,92</t>
        </is>
      </c>
    </row>
    <row r="1110">
      <c r="A1110" s="65" t="n"/>
      <c r="B1110" s="65" t="n"/>
      <c r="C1110" s="65" t="n"/>
      <c r="D1110" s="65" t="n"/>
      <c r="E1110" s="65" t="n"/>
      <c r="F1110" s="65" t="n"/>
      <c r="G1110" s="65" t="n"/>
      <c r="H1110" s="65" t="n"/>
      <c r="I1110" s="65" t="n"/>
      <c r="J1110" s="65" t="n"/>
      <c r="K1110" s="65" t="n">
        <v>884</v>
      </c>
      <c r="L1110" s="65" t="inlineStr">
        <is>
          <t>[0884] TRANSMATIC ATF DEXRON III (1x12)</t>
        </is>
      </c>
      <c r="M1110" s="63" t="inlineStr">
        <is>
          <t>97,30</t>
        </is>
      </c>
      <c r="N1110" s="63" t="inlineStr">
        <is>
          <t>1,00</t>
        </is>
      </c>
      <c r="O1110" s="63" t="inlineStr">
        <is>
          <t>43,16</t>
        </is>
      </c>
      <c r="P1110" s="63" t="inlineStr">
        <is>
          <t>55,31</t>
        </is>
      </c>
      <c r="Q1110" s="63" t="inlineStr">
        <is>
          <t>64,16</t>
        </is>
      </c>
    </row>
    <row r="1111">
      <c r="A1111" s="66" t="n">
        <v>46175</v>
      </c>
      <c r="B1111" s="65" t="n">
        <v>107</v>
      </c>
      <c r="C1111" s="65" t="inlineStr">
        <is>
          <t>00-00000479</t>
        </is>
      </c>
      <c r="D1111" s="65" t="inlineStr">
        <is>
          <t>S00066</t>
        </is>
      </c>
      <c r="E1111" s="65" t="inlineStr">
        <is>
          <t>EMPRENDIMIENTO IRMA RODRIGUEZ 6</t>
        </is>
      </c>
      <c r="F1111" s="63" t="inlineStr">
        <is>
          <t>56.533,66</t>
        </is>
      </c>
      <c r="G1111" s="63" t="inlineStr">
        <is>
          <t>65.579,05</t>
        </is>
      </c>
      <c r="H1111" s="63" t="inlineStr">
        <is>
          <t>131,98</t>
        </is>
      </c>
      <c r="I1111" s="63" t="inlineStr">
        <is>
          <t>496,83</t>
        </is>
      </c>
      <c r="J1111" s="65" t="n"/>
      <c r="K1111" s="65" t="n">
        <v>877</v>
      </c>
      <c r="L1111" s="65" t="inlineStr">
        <is>
          <t>[0877] SS EXTRA PROTECCION API SN SAE 15W-40 (1X12)</t>
        </is>
      </c>
      <c r="M1111" s="63" t="inlineStr">
        <is>
          <t>101,62</t>
        </is>
      </c>
      <c r="N1111" s="63" t="inlineStr">
        <is>
          <t>2,00</t>
        </is>
      </c>
      <c r="O1111" s="63" t="inlineStr">
        <is>
          <t>44,01</t>
        </is>
      </c>
      <c r="P1111" s="63" t="inlineStr">
        <is>
          <t>113,79</t>
        </is>
      </c>
      <c r="Q1111" s="63" t="inlineStr">
        <is>
          <t>131,99</t>
        </is>
      </c>
    </row>
    <row r="1112">
      <c r="A1112" s="66" t="n">
        <v>46175</v>
      </c>
      <c r="B1112" s="65" t="n">
        <v>106</v>
      </c>
      <c r="C1112" s="65" t="inlineStr">
        <is>
          <t>00-00000478</t>
        </is>
      </c>
      <c r="D1112" s="65" t="inlineStr">
        <is>
          <t>S00050</t>
        </is>
      </c>
      <c r="E1112" s="65" t="inlineStr">
        <is>
          <t>FREDI MARQUEZ</t>
        </is>
      </c>
      <c r="F1112" s="63" t="inlineStr">
        <is>
          <t>27.837,40</t>
        </is>
      </c>
      <c r="G1112" s="63" t="inlineStr">
        <is>
          <t>32.291,38</t>
        </is>
      </c>
      <c r="H1112" s="63" t="inlineStr">
        <is>
          <t>64,99</t>
        </is>
      </c>
      <c r="I1112" s="63" t="inlineStr">
        <is>
          <t>496,83</t>
        </is>
      </c>
      <c r="J1112" s="65" t="n">
        <v>12</v>
      </c>
      <c r="K1112" s="65" t="n">
        <v>602</v>
      </c>
      <c r="L1112" s="65" t="inlineStr">
        <is>
          <t>[0602] SINOCO SAE 50 (PAILA)</t>
        </is>
      </c>
      <c r="M1112" s="63" t="inlineStr">
        <is>
          <t>81,33</t>
        </is>
      </c>
      <c r="N1112" s="63" t="inlineStr">
        <is>
          <t>1,00</t>
        </is>
      </c>
      <c r="O1112" s="63" t="inlineStr">
        <is>
          <t>31,11</t>
        </is>
      </c>
      <c r="P1112" s="63" t="inlineStr">
        <is>
          <t>56,03</t>
        </is>
      </c>
      <c r="Q1112" s="63" t="inlineStr">
        <is>
          <t>64,99</t>
        </is>
      </c>
    </row>
    <row r="1113">
      <c r="A1113" s="66" t="n">
        <v>46175</v>
      </c>
      <c r="B1113" s="65" t="n">
        <v>105</v>
      </c>
      <c r="C1113" s="65" t="inlineStr">
        <is>
          <t>00-00000477</t>
        </is>
      </c>
      <c r="D1113" s="65" t="inlineStr">
        <is>
          <t>S00046</t>
        </is>
      </c>
      <c r="E1113" s="65" t="inlineStr">
        <is>
          <t>EMPRENDIMIENTO IRMA RODRIGUEZ 6</t>
        </is>
      </c>
      <c r="F1113" s="63" t="inlineStr">
        <is>
          <t>62.117,98</t>
        </is>
      </c>
      <c r="G1113" s="63" t="inlineStr">
        <is>
          <t>72.056,86</t>
        </is>
      </c>
      <c r="H1113" s="63" t="inlineStr">
        <is>
          <t>129,96</t>
        </is>
      </c>
      <c r="I1113" s="63" t="inlineStr">
        <is>
          <t>554,43</t>
        </is>
      </c>
      <c r="J1113" s="65" t="n"/>
      <c r="K1113" s="65" t="n">
        <v>602</v>
      </c>
      <c r="L1113" s="65" t="inlineStr">
        <is>
          <t>[0602] SINOCO SAE 50 (PAILA)</t>
        </is>
      </c>
      <c r="M1113" s="63" t="inlineStr">
        <is>
          <t>81,33</t>
        </is>
      </c>
      <c r="N1113" s="63" t="inlineStr">
        <is>
          <t>2,00</t>
        </is>
      </c>
      <c r="O1113" s="63" t="inlineStr">
        <is>
          <t>31,12</t>
        </is>
      </c>
      <c r="P1113" s="63" t="inlineStr">
        <is>
          <t>112,04</t>
        </is>
      </c>
      <c r="Q1113" s="63" t="inlineStr">
        <is>
          <t>129,97</t>
        </is>
      </c>
    </row>
    <row r="1114">
      <c r="A1114" s="66" t="n">
        <v>46174</v>
      </c>
      <c r="B1114" s="65" t="n">
        <v>122</v>
      </c>
      <c r="C1114" s="65" t="inlineStr">
        <is>
          <t>00-00000523</t>
        </is>
      </c>
      <c r="D1114" s="65" t="inlineStr">
        <is>
          <t>S00510</t>
        </is>
      </c>
      <c r="E1114" s="65" t="inlineStr">
        <is>
          <t>Daniela Sanobria</t>
        </is>
      </c>
      <c r="F1114" s="63" t="inlineStr">
        <is>
          <t>43.017,34</t>
        </is>
      </c>
      <c r="G1114" s="63" t="inlineStr">
        <is>
          <t>49.900,11</t>
        </is>
      </c>
      <c r="H1114" s="63" t="inlineStr">
        <is>
          <t>88,57</t>
        </is>
      </c>
      <c r="I1114" s="63" t="inlineStr">
        <is>
          <t>563,29</t>
        </is>
      </c>
      <c r="J1114" s="65" t="n"/>
      <c r="K1114" s="65" t="n">
        <v>880</v>
      </c>
      <c r="L1114" s="65" t="inlineStr">
        <is>
          <t>[0880] CLASICO API SL SAE 15W-40 (1x12)</t>
        </is>
      </c>
      <c r="M1114" s="63" t="inlineStr">
        <is>
          <t>84,85</t>
        </is>
      </c>
      <c r="N1114" s="63" t="inlineStr">
        <is>
          <t>1,00</t>
        </is>
      </c>
      <c r="O1114" s="63" t="inlineStr">
        <is>
          <t>10,00</t>
        </is>
      </c>
      <c r="P1114" s="63" t="inlineStr">
        <is>
          <t>76,37</t>
        </is>
      </c>
      <c r="Q1114" s="63" t="inlineStr">
        <is>
          <t>88,59</t>
        </is>
      </c>
    </row>
    <row r="1115">
      <c r="A1115" s="66" t="n">
        <v>46171</v>
      </c>
      <c r="B1115" s="65" t="n">
        <v>104</v>
      </c>
      <c r="C1115" s="65" t="inlineStr">
        <is>
          <t>00-00000463</t>
        </is>
      </c>
      <c r="D1115" s="65" t="inlineStr">
        <is>
          <t>S00415</t>
        </is>
      </c>
      <c r="E1115" s="65" t="inlineStr">
        <is>
          <t>Almacenadora X7, C.A</t>
        </is>
      </c>
      <c r="F1115" s="63" t="inlineStr">
        <is>
          <t>122.405,49</t>
        </is>
      </c>
      <c r="G1115" s="63" t="inlineStr">
        <is>
          <t>141.990,37</t>
        </is>
      </c>
      <c r="H1115" s="63" t="inlineStr">
        <is>
          <t>258,45</t>
        </is>
      </c>
      <c r="I1115" s="63" t="inlineStr">
        <is>
          <t>549,37</t>
        </is>
      </c>
      <c r="J1115" s="65" t="n">
        <v>985</v>
      </c>
      <c r="K1115" s="65" t="n">
        <v>605</v>
      </c>
      <c r="L1115" s="65" t="inlineStr">
        <is>
          <t>[0605] SINOCO SAE 20W-50 (PAILA)</t>
        </is>
      </c>
      <c r="M1115" s="63" t="inlineStr">
        <is>
          <t>96,82</t>
        </is>
      </c>
      <c r="N1115" s="63" t="inlineStr">
        <is>
          <t>1,00</t>
        </is>
      </c>
      <c r="O1115" s="63" t="inlineStr">
        <is>
          <t>0,00</t>
        </is>
      </c>
      <c r="P1115" s="63" t="inlineStr">
        <is>
          <t>96,82</t>
        </is>
      </c>
      <c r="Q1115" s="63" t="inlineStr">
        <is>
          <t>112,31</t>
        </is>
      </c>
    </row>
    <row r="1116">
      <c r="A1116" s="65" t="n"/>
      <c r="B1116" s="65" t="n"/>
      <c r="C1116" s="65" t="n"/>
      <c r="D1116" s="65" t="n"/>
      <c r="E1116" s="65" t="n"/>
      <c r="F1116" s="65" t="n"/>
      <c r="G1116" s="65" t="n"/>
      <c r="H1116" s="65" t="n"/>
      <c r="I1116" s="65" t="n"/>
      <c r="J1116" s="65" t="n"/>
      <c r="K1116" s="65" t="n">
        <v>107</v>
      </c>
      <c r="L1116" s="65" t="inlineStr">
        <is>
          <t>[0107] TRANSMATIC ATF DEXRON III (PAILA)</t>
        </is>
      </c>
      <c r="M1116" s="63" t="inlineStr">
        <is>
          <t>125,99</t>
        </is>
      </c>
      <c r="N1116" s="63" t="inlineStr">
        <is>
          <t>1,00</t>
        </is>
      </c>
      <c r="O1116" s="63" t="inlineStr">
        <is>
          <t>0,00</t>
        </is>
      </c>
      <c r="P1116" s="63" t="inlineStr">
        <is>
          <t>125,99</t>
        </is>
      </c>
      <c r="Q1116" s="63" t="inlineStr">
        <is>
          <t>146,15</t>
        </is>
      </c>
    </row>
    <row r="1117">
      <c r="A1117" s="66" t="n">
        <v>46170</v>
      </c>
      <c r="B1117" s="65" t="n">
        <v>103</v>
      </c>
      <c r="C1117" s="65" t="inlineStr">
        <is>
          <t>00-00000461</t>
        </is>
      </c>
      <c r="D1117" s="65" t="inlineStr">
        <is>
          <t>S00442</t>
        </is>
      </c>
      <c r="E1117" s="65" t="inlineStr">
        <is>
          <t>Jhoe Zamora</t>
        </is>
      </c>
      <c r="F1117" s="63" t="inlineStr">
        <is>
          <t>46.982,76</t>
        </is>
      </c>
      <c r="G1117" s="63" t="inlineStr">
        <is>
          <t>54.500,00</t>
        </is>
      </c>
      <c r="H1117" s="63" t="inlineStr">
        <is>
          <t>99,20</t>
        </is>
      </c>
      <c r="I1117" s="63" t="inlineStr">
        <is>
          <t>549,37</t>
        </is>
      </c>
      <c r="J1117" s="65" t="n"/>
      <c r="K1117" s="65" t="n">
        <v>881</v>
      </c>
      <c r="L1117" s="65" t="inlineStr">
        <is>
          <t>[0881] CLASICO API SL SAE 20W-50 (1x12)</t>
        </is>
      </c>
      <c r="M1117" s="63" t="inlineStr">
        <is>
          <t>85,52</t>
        </is>
      </c>
      <c r="N1117" s="63" t="inlineStr">
        <is>
          <t>1,00</t>
        </is>
      </c>
      <c r="O1117" s="63" t="inlineStr">
        <is>
          <t>0,00</t>
        </is>
      </c>
      <c r="P1117" s="63" t="inlineStr">
        <is>
          <t>85,52</t>
        </is>
      </c>
      <c r="Q1117" s="63" t="inlineStr">
        <is>
          <t>99,20</t>
        </is>
      </c>
    </row>
    <row r="1118">
      <c r="A1118" s="66" t="n">
        <v>46170</v>
      </c>
      <c r="B1118" s="65" t="n">
        <v>102</v>
      </c>
      <c r="C1118" s="65" t="inlineStr">
        <is>
          <t>00-00000458</t>
        </is>
      </c>
      <c r="D1118" s="65" t="inlineStr">
        <is>
          <t>S00214</t>
        </is>
      </c>
      <c r="E1118" s="65" t="inlineStr">
        <is>
          <t>CONSTRUCTORA GRANO AGREGADO, C.A</t>
        </is>
      </c>
      <c r="F1118" s="63" t="inlineStr">
        <is>
          <t>4.149.355,90</t>
        </is>
      </c>
      <c r="G1118" s="63" t="inlineStr">
        <is>
          <t>4.813.252,85</t>
        </is>
      </c>
      <c r="H1118" s="63" t="inlineStr">
        <is>
          <t>10.077,43</t>
        </is>
      </c>
      <c r="I1118" s="63" t="inlineStr">
        <is>
          <t>477,63</t>
        </is>
      </c>
      <c r="J1118" s="65" t="n">
        <v>490</v>
      </c>
      <c r="K1118" s="65" t="n">
        <v>85</v>
      </c>
      <c r="L1118" s="65" t="inlineStr">
        <is>
          <t>[0085] MAXIMO API CF SAE 50 (Tambor)</t>
        </is>
      </c>
      <c r="M1118" s="63" t="inlineStr">
        <is>
          <t>1.193,10</t>
        </is>
      </c>
      <c r="N1118" s="63" t="inlineStr">
        <is>
          <t>2,00</t>
        </is>
      </c>
      <c r="O1118" s="63" t="inlineStr">
        <is>
          <t>0,00</t>
        </is>
      </c>
      <c r="P1118" s="63" t="inlineStr">
        <is>
          <t>2.386,20</t>
        </is>
      </c>
      <c r="Q1118" s="63" t="inlineStr">
        <is>
          <t>2.767,99</t>
        </is>
      </c>
    </row>
    <row r="1119">
      <c r="A1119" s="65" t="n"/>
      <c r="B1119" s="65" t="n"/>
      <c r="C1119" s="65" t="n"/>
      <c r="D1119" s="65" t="n"/>
      <c r="E1119" s="65" t="n"/>
      <c r="F1119" s="65" t="n"/>
      <c r="G1119" s="65" t="n"/>
      <c r="H1119" s="65" t="n"/>
      <c r="I1119" s="65" t="n"/>
      <c r="J1119" s="65" t="n">
        <v>491</v>
      </c>
      <c r="K1119" s="65" t="n"/>
      <c r="L1119" s="65" t="n"/>
      <c r="M1119" s="65" t="n"/>
      <c r="N1119" s="65" t="n"/>
      <c r="O1119" s="65" t="n"/>
      <c r="P1119" s="65" t="n"/>
      <c r="Q1119" s="65" t="n"/>
    </row>
    <row r="1120">
      <c r="A1120" s="65" t="n"/>
      <c r="B1120" s="65" t="n"/>
      <c r="C1120" s="65" t="n"/>
      <c r="D1120" s="65" t="n"/>
      <c r="E1120" s="65" t="n"/>
      <c r="F1120" s="65" t="n"/>
      <c r="G1120" s="65" t="n"/>
      <c r="H1120" s="65" t="n"/>
      <c r="I1120" s="65" t="n"/>
      <c r="J1120" s="65" t="n">
        <v>493</v>
      </c>
      <c r="K1120" s="65" t="n"/>
      <c r="L1120" s="65" t="n"/>
      <c r="M1120" s="65" t="n"/>
      <c r="N1120" s="65" t="n"/>
      <c r="O1120" s="65" t="n"/>
      <c r="P1120" s="65" t="n"/>
      <c r="Q1120" s="65" t="n"/>
    </row>
    <row r="1121">
      <c r="A1121" s="65" t="n"/>
      <c r="B1121" s="65" t="n"/>
      <c r="C1121" s="65" t="n"/>
      <c r="D1121" s="65" t="n"/>
      <c r="E1121" s="65" t="n"/>
      <c r="F1121" s="65" t="n"/>
      <c r="G1121" s="65" t="n"/>
      <c r="H1121" s="65" t="n"/>
      <c r="I1121" s="65" t="n"/>
      <c r="J1121" s="65" t="n">
        <v>513</v>
      </c>
      <c r="K1121" s="65" t="n"/>
      <c r="L1121" s="65" t="n"/>
      <c r="M1121" s="65" t="n"/>
      <c r="N1121" s="65" t="n"/>
      <c r="O1121" s="65" t="n"/>
      <c r="P1121" s="65" t="n"/>
      <c r="Q1121" s="65" t="n"/>
    </row>
    <row r="1122">
      <c r="A1122" s="65" t="n"/>
      <c r="B1122" s="65" t="n"/>
      <c r="C1122" s="65" t="n"/>
      <c r="D1122" s="65" t="n"/>
      <c r="E1122" s="65" t="n"/>
      <c r="F1122" s="65" t="n"/>
      <c r="G1122" s="65" t="n"/>
      <c r="H1122" s="65" t="n"/>
      <c r="I1122" s="65" t="n"/>
      <c r="J1122" s="65" t="n">
        <v>514</v>
      </c>
      <c r="K1122" s="65" t="n"/>
      <c r="L1122" s="65" t="n"/>
      <c r="M1122" s="65" t="n"/>
      <c r="N1122" s="65" t="n"/>
      <c r="O1122" s="65" t="n"/>
      <c r="P1122" s="65" t="n"/>
      <c r="Q1122" s="65" t="n"/>
    </row>
    <row r="1123">
      <c r="A1123" s="65" t="n"/>
      <c r="B1123" s="65" t="n"/>
      <c r="C1123" s="65" t="n"/>
      <c r="D1123" s="65" t="n"/>
      <c r="E1123" s="65" t="n"/>
      <c r="F1123" s="65" t="n"/>
      <c r="G1123" s="65" t="n"/>
      <c r="H1123" s="65" t="n"/>
      <c r="I1123" s="65" t="n"/>
      <c r="J1123" s="65" t="n">
        <v>515</v>
      </c>
      <c r="K1123" s="65" t="n"/>
      <c r="L1123" s="65" t="n"/>
      <c r="M1123" s="65" t="n"/>
      <c r="N1123" s="65" t="n"/>
      <c r="O1123" s="65" t="n"/>
      <c r="P1123" s="65" t="n"/>
      <c r="Q1123" s="65" t="n"/>
    </row>
    <row r="1124">
      <c r="A1124" s="65" t="n"/>
      <c r="B1124" s="65" t="n"/>
      <c r="C1124" s="65" t="n"/>
      <c r="D1124" s="65" t="n"/>
      <c r="E1124" s="65" t="n"/>
      <c r="F1124" s="65" t="n"/>
      <c r="G1124" s="65" t="n"/>
      <c r="H1124" s="65" t="n"/>
      <c r="I1124" s="65" t="n"/>
      <c r="J1124" s="65" t="n"/>
      <c r="K1124" s="65" t="n">
        <v>75</v>
      </c>
      <c r="L1124" s="65" t="inlineStr">
        <is>
          <t>[0075] SUPREMO API CI-4 SAE 15W-40 (Tambor)</t>
        </is>
      </c>
      <c r="M1124" s="63" t="inlineStr">
        <is>
          <t>1.334,22</t>
        </is>
      </c>
      <c r="N1124" s="63" t="inlineStr">
        <is>
          <t>2,00</t>
        </is>
      </c>
      <c r="O1124" s="63" t="inlineStr">
        <is>
          <t>0,00</t>
        </is>
      </c>
      <c r="P1124" s="63" t="inlineStr">
        <is>
          <t>2.668,44</t>
        </is>
      </c>
      <c r="Q1124" s="63" t="inlineStr">
        <is>
          <t>3.095,39</t>
        </is>
      </c>
    </row>
    <row r="1125">
      <c r="A1125" s="65" t="n"/>
      <c r="B1125" s="65" t="n"/>
      <c r="C1125" s="65" t="n"/>
      <c r="D1125" s="65" t="n"/>
      <c r="E1125" s="65" t="n"/>
      <c r="F1125" s="65" t="n"/>
      <c r="G1125" s="65" t="n"/>
      <c r="H1125" s="65" t="n"/>
      <c r="I1125" s="65" t="n"/>
      <c r="J1125" s="65" t="n"/>
      <c r="K1125" s="65" t="n">
        <v>146</v>
      </c>
      <c r="L1125" s="65" t="inlineStr">
        <is>
          <t>[0146] HIDRAGLOB AW/ISO 68 (Tambor)</t>
        </is>
      </c>
      <c r="M1125" s="63" t="inlineStr">
        <is>
          <t>1.157,70</t>
        </is>
      </c>
      <c r="N1125" s="63" t="inlineStr">
        <is>
          <t>2,00</t>
        </is>
      </c>
      <c r="O1125" s="63" t="inlineStr">
        <is>
          <t>0,00</t>
        </is>
      </c>
      <c r="P1125" s="63" t="inlineStr">
        <is>
          <t>2.315,40</t>
        </is>
      </c>
      <c r="Q1125" s="63" t="inlineStr">
        <is>
          <t>2.685,86</t>
        </is>
      </c>
    </row>
    <row r="1126">
      <c r="A1126" s="65" t="n"/>
      <c r="B1126" s="65" t="n"/>
      <c r="C1126" s="65" t="n"/>
      <c r="D1126" s="65" t="n"/>
      <c r="E1126" s="65" t="n"/>
      <c r="F1126" s="65" t="n"/>
      <c r="G1126" s="65" t="n"/>
      <c r="H1126" s="65" t="n"/>
      <c r="I1126" s="65" t="n"/>
      <c r="J1126" s="65" t="n"/>
      <c r="K1126" s="65" t="n">
        <v>125</v>
      </c>
      <c r="L1126" s="65" t="inlineStr">
        <is>
          <t>[0125] TRANSGLOB API GL-5 SAE 80W-90 (Tambor)</t>
        </is>
      </c>
      <c r="M1126" s="63" t="inlineStr">
        <is>
          <t>1.317,42</t>
        </is>
      </c>
      <c r="N1126" s="63" t="inlineStr">
        <is>
          <t>1,00</t>
        </is>
      </c>
      <c r="O1126" s="63" t="inlineStr">
        <is>
          <t>0,00</t>
        </is>
      </c>
      <c r="P1126" s="63" t="inlineStr">
        <is>
          <t>1.317,42</t>
        </is>
      </c>
      <c r="Q1126" s="63" t="inlineStr">
        <is>
          <t>1.528,21</t>
        </is>
      </c>
    </row>
    <row r="1127">
      <c r="A1127" s="66" t="n">
        <v>46169</v>
      </c>
      <c r="B1127" s="65" t="n">
        <v>101</v>
      </c>
      <c r="C1127" s="65" t="inlineStr">
        <is>
          <t>00-00000455</t>
        </is>
      </c>
      <c r="D1127" s="65" t="inlineStr">
        <is>
          <t>S00094</t>
        </is>
      </c>
      <c r="E1127" s="65" t="inlineStr">
        <is>
          <t>Moto repuestos jj</t>
        </is>
      </c>
      <c r="F1127" s="63" t="inlineStr">
        <is>
          <t>70.904,53</t>
        </is>
      </c>
      <c r="G1127" s="63" t="inlineStr">
        <is>
          <t>82.249,26</t>
        </is>
      </c>
      <c r="H1127" s="63" t="inlineStr">
        <is>
          <t>173,52</t>
        </is>
      </c>
      <c r="I1127" s="63" t="inlineStr">
        <is>
          <t>473,92</t>
        </is>
      </c>
      <c r="J1127" s="65" t="n">
        <v>50</v>
      </c>
      <c r="K1127" s="65" t="n">
        <v>779</v>
      </c>
      <c r="L1127" s="65" t="inlineStr">
        <is>
          <t>[0779] SINOCO SAE 20W-50 (1x12)</t>
        </is>
      </c>
      <c r="M1127" s="63" t="inlineStr">
        <is>
          <t>68,05</t>
        </is>
      </c>
      <c r="N1127" s="63" t="inlineStr">
        <is>
          <t>1,00</t>
        </is>
      </c>
      <c r="O1127" s="63" t="inlineStr">
        <is>
          <t>20,30</t>
        </is>
      </c>
      <c r="P1127" s="63" t="inlineStr">
        <is>
          <t>54,24</t>
        </is>
      </c>
      <c r="Q1127" s="63" t="inlineStr">
        <is>
          <t>62,92</t>
        </is>
      </c>
    </row>
    <row r="1128">
      <c r="A1128" s="65" t="n"/>
      <c r="B1128" s="65" t="n"/>
      <c r="C1128" s="65" t="n"/>
      <c r="D1128" s="65" t="n"/>
      <c r="E1128" s="65" t="n"/>
      <c r="F1128" s="65" t="n"/>
      <c r="G1128" s="65" t="n"/>
      <c r="H1128" s="65" t="n"/>
      <c r="I1128" s="65" t="n"/>
      <c r="J1128" s="65" t="n">
        <v>53</v>
      </c>
      <c r="K1128" s="65" t="n"/>
      <c r="L1128" s="65" t="n"/>
      <c r="M1128" s="65" t="n"/>
      <c r="N1128" s="65" t="n"/>
      <c r="O1128" s="65" t="n"/>
      <c r="P1128" s="65" t="n"/>
      <c r="Q1128" s="65" t="n"/>
    </row>
    <row r="1129">
      <c r="A1129" s="65" t="n"/>
      <c r="B1129" s="65" t="n"/>
      <c r="C1129" s="65" t="n"/>
      <c r="D1129" s="65" t="n"/>
      <c r="E1129" s="65" t="n"/>
      <c r="F1129" s="65" t="n"/>
      <c r="G1129" s="65" t="n"/>
      <c r="H1129" s="65" t="n"/>
      <c r="I1129" s="65" t="n"/>
      <c r="J1129" s="65" t="n">
        <v>84</v>
      </c>
      <c r="K1129" s="65" t="n"/>
      <c r="L1129" s="65" t="n"/>
      <c r="M1129" s="65" t="n"/>
      <c r="N1129" s="65" t="n"/>
      <c r="O1129" s="65" t="n"/>
      <c r="P1129" s="65" t="n"/>
      <c r="Q1129" s="65" t="n"/>
    </row>
    <row r="1130">
      <c r="A1130" s="65" t="n"/>
      <c r="B1130" s="65" t="n"/>
      <c r="C1130" s="65" t="n"/>
      <c r="D1130" s="65" t="n"/>
      <c r="E1130" s="65" t="n"/>
      <c r="F1130" s="65" t="n"/>
      <c r="G1130" s="65" t="n"/>
      <c r="H1130" s="65" t="n"/>
      <c r="I1130" s="65" t="n"/>
      <c r="J1130" s="65" t="n"/>
      <c r="K1130" s="65" t="n">
        <v>915</v>
      </c>
      <c r="L1130" s="65" t="inlineStr">
        <is>
          <t>[0915] SINOCO SAE 50 (1x12)</t>
        </is>
      </c>
      <c r="M1130" s="63" t="inlineStr">
        <is>
          <t>69,56</t>
        </is>
      </c>
      <c r="N1130" s="63" t="inlineStr">
        <is>
          <t>1,00</t>
        </is>
      </c>
      <c r="O1130" s="63" t="inlineStr">
        <is>
          <t>20,30</t>
        </is>
      </c>
      <c r="P1130" s="63" t="inlineStr">
        <is>
          <t>55,44</t>
        </is>
      </c>
      <c r="Q1130" s="63" t="inlineStr">
        <is>
          <t>64,31</t>
        </is>
      </c>
    </row>
    <row r="1131">
      <c r="A1131" s="65" t="n"/>
      <c r="B1131" s="65" t="n"/>
      <c r="C1131" s="65" t="n"/>
      <c r="D1131" s="65" t="n"/>
      <c r="E1131" s="65" t="n"/>
      <c r="F1131" s="65" t="n"/>
      <c r="G1131" s="65" t="n"/>
      <c r="H1131" s="65" t="n"/>
      <c r="I1131" s="65" t="n"/>
      <c r="J1131" s="65" t="n"/>
      <c r="K1131" s="65" t="n">
        <v>93</v>
      </c>
      <c r="L1131" s="65" t="inlineStr">
        <is>
          <t>[0093] ALTA CILINDRADA SS API SN SAE 15W-40 (1x6)</t>
        </is>
      </c>
      <c r="M1131" s="63" t="inlineStr">
        <is>
          <t>50,11</t>
        </is>
      </c>
      <c r="N1131" s="63" t="inlineStr">
        <is>
          <t>1,00</t>
        </is>
      </c>
      <c r="O1131" s="63" t="inlineStr">
        <is>
          <t>20,29</t>
        </is>
      </c>
      <c r="P1131" s="63" t="inlineStr">
        <is>
          <t>39,94</t>
        </is>
      </c>
      <c r="Q1131" s="63" t="inlineStr">
        <is>
          <t>46,33</t>
        </is>
      </c>
    </row>
    <row r="1132">
      <c r="A1132" s="66" t="n">
        <v>46169</v>
      </c>
      <c r="B1132" s="65" t="n">
        <v>97</v>
      </c>
      <c r="C1132" s="65" t="inlineStr">
        <is>
          <t>00-00000451</t>
        </is>
      </c>
      <c r="D1132" s="65" t="inlineStr">
        <is>
          <t>S00146</t>
        </is>
      </c>
      <c r="E1132" s="65" t="inlineStr">
        <is>
          <t>Alexander Quiroz</t>
        </is>
      </c>
      <c r="F1132" s="63" t="inlineStr">
        <is>
          <t>567.963,33</t>
        </is>
      </c>
      <c r="G1132" s="63" t="inlineStr">
        <is>
          <t>658.837,47</t>
        </is>
      </c>
      <c r="H1132" s="63" t="inlineStr">
        <is>
          <t>1.390,32</t>
        </is>
      </c>
      <c r="I1132" s="63" t="inlineStr">
        <is>
          <t>473,87</t>
        </is>
      </c>
      <c r="J1132" s="65" t="n">
        <v>304</v>
      </c>
      <c r="K1132" s="65" t="n">
        <v>602</v>
      </c>
      <c r="L1132" s="65" t="inlineStr">
        <is>
          <t>[0602] SINOCO SAE 50 (PAILA)</t>
        </is>
      </c>
      <c r="M1132" s="63" t="inlineStr">
        <is>
          <t>52,59</t>
        </is>
      </c>
      <c r="N1132" s="63" t="inlineStr">
        <is>
          <t>10,00</t>
        </is>
      </c>
      <c r="O1132" s="63" t="inlineStr">
        <is>
          <t>0,00</t>
        </is>
      </c>
      <c r="P1132" s="63" t="inlineStr">
        <is>
          <t>599,34</t>
        </is>
      </c>
      <c r="Q1132" s="63" t="inlineStr">
        <is>
          <t>695,23</t>
        </is>
      </c>
    </row>
    <row r="1133">
      <c r="A1133" s="65" t="n"/>
      <c r="B1133" s="65" t="n"/>
      <c r="C1133" s="65" t="n"/>
      <c r="D1133" s="65" t="n"/>
      <c r="E1133" s="65" t="n"/>
      <c r="F1133" s="65" t="n"/>
      <c r="G1133" s="65" t="n"/>
      <c r="H1133" s="65" t="n"/>
      <c r="I1133" s="65" t="n"/>
      <c r="J1133" s="65" t="n">
        <v>470</v>
      </c>
      <c r="K1133" s="65" t="n"/>
      <c r="L1133" s="65" t="n"/>
      <c r="M1133" s="65" t="n"/>
      <c r="N1133" s="65" t="n"/>
      <c r="O1133" s="65" t="n"/>
      <c r="P1133" s="65" t="n"/>
      <c r="Q1133" s="65" t="n"/>
    </row>
    <row r="1134">
      <c r="A1134" s="65" t="n"/>
      <c r="B1134" s="65" t="n"/>
      <c r="C1134" s="65" t="n"/>
      <c r="D1134" s="65" t="n"/>
      <c r="E1134" s="65" t="n"/>
      <c r="F1134" s="65" t="n"/>
      <c r="G1134" s="65" t="n"/>
      <c r="H1134" s="65" t="n"/>
      <c r="I1134" s="65" t="n"/>
      <c r="J1134" s="65" t="n">
        <v>589</v>
      </c>
      <c r="K1134" s="65" t="n"/>
      <c r="L1134" s="65" t="n"/>
      <c r="M1134" s="65" t="n"/>
      <c r="N1134" s="65" t="n"/>
      <c r="O1134" s="65" t="n"/>
      <c r="P1134" s="65" t="n"/>
      <c r="Q1134" s="65" t="n"/>
    </row>
    <row r="1135">
      <c r="A1135" s="65" t="n"/>
      <c r="B1135" s="65" t="n"/>
      <c r="C1135" s="65" t="n"/>
      <c r="D1135" s="65" t="n"/>
      <c r="E1135" s="65" t="n"/>
      <c r="F1135" s="65" t="n"/>
      <c r="G1135" s="65" t="n"/>
      <c r="H1135" s="65" t="n"/>
      <c r="I1135" s="65" t="n"/>
      <c r="J1135" s="65" t="n"/>
      <c r="K1135" s="65" t="n">
        <v>605</v>
      </c>
      <c r="L1135" s="65" t="inlineStr">
        <is>
          <t>[0605] SINOCO SAE 20W-50 (PAILA)</t>
        </is>
      </c>
      <c r="M1135" s="63" t="inlineStr">
        <is>
          <t>52,58</t>
        </is>
      </c>
      <c r="N1135" s="63" t="inlineStr">
        <is>
          <t>10,00</t>
        </is>
      </c>
      <c r="O1135" s="63" t="inlineStr">
        <is>
          <t>0,00</t>
        </is>
      </c>
      <c r="P1135" s="63" t="inlineStr">
        <is>
          <t>599,22</t>
        </is>
      </c>
      <c r="Q1135" s="63" t="inlineStr">
        <is>
          <t>695,10</t>
        </is>
      </c>
    </row>
    <row r="1136">
      <c r="A1136" s="66" t="n">
        <v>46168</v>
      </c>
      <c r="B1136" s="65" t="n">
        <v>99</v>
      </c>
      <c r="C1136" s="65" t="inlineStr">
        <is>
          <t>00-00000453</t>
        </is>
      </c>
      <c r="D1136" s="65" t="inlineStr">
        <is>
          <t>S00452</t>
        </is>
      </c>
      <c r="E1136" s="65" t="inlineStr">
        <is>
          <t>NAUDY MARTINEZ</t>
        </is>
      </c>
      <c r="F1136" s="63" t="inlineStr">
        <is>
          <t>148.979,73</t>
        </is>
      </c>
      <c r="G1136" s="63" t="inlineStr">
        <is>
          <t>172.816,49</t>
        </is>
      </c>
      <c r="H1136" s="63" t="inlineStr">
        <is>
          <t>319,98</t>
        </is>
      </c>
      <c r="I1136" s="63" t="inlineStr">
        <is>
          <t>540,04</t>
        </is>
      </c>
      <c r="J1136" s="65" t="n"/>
      <c r="K1136" s="65" t="n">
        <v>73</v>
      </c>
      <c r="L1136" s="65" t="inlineStr">
        <is>
          <t>[0073] SUPREMO API CI-4 SAE 15W-40 (PAILA)</t>
        </is>
      </c>
      <c r="M1136" s="63" t="inlineStr">
        <is>
          <t>82,76</t>
        </is>
      </c>
      <c r="N1136" s="63" t="inlineStr">
        <is>
          <t>2,00</t>
        </is>
      </c>
      <c r="O1136" s="63" t="inlineStr">
        <is>
          <t>6,31</t>
        </is>
      </c>
      <c r="P1136" s="63" t="inlineStr">
        <is>
          <t>153,74</t>
        </is>
      </c>
      <c r="Q1136" s="63" t="inlineStr">
        <is>
          <t>178,34</t>
        </is>
      </c>
    </row>
    <row r="1137">
      <c r="A1137" s="65" t="n"/>
      <c r="B1137" s="65" t="n"/>
      <c r="C1137" s="65" t="n"/>
      <c r="D1137" s="65" t="n"/>
      <c r="E1137" s="65" t="n"/>
      <c r="F1137" s="65" t="n"/>
      <c r="G1137" s="65" t="n"/>
      <c r="H1137" s="65" t="n"/>
      <c r="I1137" s="65" t="n"/>
      <c r="J1137" s="65" t="n"/>
      <c r="K1137" s="65" t="n">
        <v>796</v>
      </c>
      <c r="L1137" s="65" t="inlineStr">
        <is>
          <t>[0796] REFRIGERANTE GLOBAL ORANGE PREMIUM 50-50 CONCENTRADO (Carboya)</t>
        </is>
      </c>
      <c r="M1137" s="63" t="inlineStr">
        <is>
          <t>65,52</t>
        </is>
      </c>
      <c r="N1137" s="63" t="inlineStr">
        <is>
          <t>2,00</t>
        </is>
      </c>
      <c r="O1137" s="63" t="inlineStr">
        <is>
          <t>5,99</t>
        </is>
      </c>
      <c r="P1137" s="63" t="inlineStr">
        <is>
          <t>122,13</t>
        </is>
      </c>
      <c r="Q1137" s="63" t="inlineStr">
        <is>
          <t>141,67</t>
        </is>
      </c>
    </row>
    <row r="1138">
      <c r="A1138" s="66" t="n">
        <v>46168</v>
      </c>
      <c r="B1138" s="65" t="n">
        <v>98</v>
      </c>
      <c r="C1138" s="65" t="inlineStr">
        <is>
          <t>00-00000452</t>
        </is>
      </c>
      <c r="D1138" s="65" t="inlineStr">
        <is>
          <t>S00440</t>
        </is>
      </c>
      <c r="E1138" s="65" t="inlineStr">
        <is>
          <t>FREDI MARQUEZ</t>
        </is>
      </c>
      <c r="F1138" s="63" t="inlineStr">
        <is>
          <t>62.848,68</t>
        </is>
      </c>
      <c r="G1138" s="63" t="inlineStr">
        <is>
          <t>72.904,47</t>
        </is>
      </c>
      <c r="H1138" s="63" t="inlineStr">
        <is>
          <t>134,99</t>
        </is>
      </c>
      <c r="I1138" s="63" t="inlineStr">
        <is>
          <t>540,04</t>
        </is>
      </c>
      <c r="J1138" s="65" t="n">
        <v>281</v>
      </c>
      <c r="K1138" s="65" t="n">
        <v>602</v>
      </c>
      <c r="L1138" s="65" t="inlineStr">
        <is>
          <t>[0602] SINOCO SAE 50 (PAILA)</t>
        </is>
      </c>
      <c r="M1138" s="63" t="inlineStr">
        <is>
          <t>62,93</t>
        </is>
      </c>
      <c r="N1138" s="63" t="inlineStr">
        <is>
          <t>2,00</t>
        </is>
      </c>
      <c r="O1138" s="63" t="inlineStr">
        <is>
          <t>6,73</t>
        </is>
      </c>
      <c r="P1138" s="63" t="inlineStr">
        <is>
          <t>116,38</t>
        </is>
      </c>
      <c r="Q1138" s="63" t="inlineStr">
        <is>
          <t>135,00</t>
        </is>
      </c>
    </row>
    <row r="1139">
      <c r="A1139" s="66" t="n">
        <v>46168</v>
      </c>
      <c r="B1139" s="65" t="n">
        <v>96</v>
      </c>
      <c r="C1139" s="65" t="inlineStr">
        <is>
          <t>00-00000446</t>
        </is>
      </c>
      <c r="D1139" s="65" t="inlineStr">
        <is>
          <t>S00447</t>
        </is>
      </c>
      <c r="E1139" s="65" t="inlineStr">
        <is>
          <t>Inversiones Pronautica, C.A.</t>
        </is>
      </c>
      <c r="F1139" s="63" t="inlineStr">
        <is>
          <t>66.746,49</t>
        </is>
      </c>
      <c r="G1139" s="63" t="inlineStr">
        <is>
          <t>77.425,93</t>
        </is>
      </c>
      <c r="H1139" s="63" t="inlineStr">
        <is>
          <t>144,61</t>
        </is>
      </c>
      <c r="I1139" s="63" t="inlineStr">
        <is>
          <t>535,39</t>
        </is>
      </c>
      <c r="J1139" s="65" t="n">
        <v>487</v>
      </c>
      <c r="K1139" s="65" t="n">
        <v>139</v>
      </c>
      <c r="L1139" s="65" t="inlineStr">
        <is>
          <t>[0139] HIDRAGLOB AW/ISO 46 (PAILA)</t>
        </is>
      </c>
      <c r="M1139" s="63" t="inlineStr">
        <is>
          <t>124,67</t>
        </is>
      </c>
      <c r="N1139" s="63" t="inlineStr">
        <is>
          <t>1,00</t>
        </is>
      </c>
      <c r="O1139" s="63" t="inlineStr">
        <is>
          <t>0,00</t>
        </is>
      </c>
      <c r="P1139" s="63" t="inlineStr">
        <is>
          <t>124,67</t>
        </is>
      </c>
      <c r="Q1139" s="63" t="inlineStr">
        <is>
          <t>144,62</t>
        </is>
      </c>
    </row>
    <row r="1140">
      <c r="A1140" s="66" t="n">
        <v>46168</v>
      </c>
      <c r="B1140" s="65" t="n">
        <v>95</v>
      </c>
      <c r="C1140" s="65" t="inlineStr">
        <is>
          <t>00-00000445</t>
        </is>
      </c>
      <c r="D1140" s="65" t="inlineStr">
        <is>
          <t>S00454</t>
        </is>
      </c>
      <c r="E1140" s="65" t="inlineStr">
        <is>
          <t>NAUDY MARTINEZ</t>
        </is>
      </c>
      <c r="F1140" s="63" t="inlineStr">
        <is>
          <t>11.075,34</t>
        </is>
      </c>
      <c r="G1140" s="63" t="inlineStr">
        <is>
          <t>12.847,39</t>
        </is>
      </c>
      <c r="H1140" s="63" t="inlineStr">
        <is>
          <t>23,98</t>
        </is>
      </c>
      <c r="I1140" s="63" t="inlineStr">
        <is>
          <t>535,39</t>
        </is>
      </c>
      <c r="J1140" s="65" t="n">
        <v>494</v>
      </c>
      <c r="K1140" s="65" t="n">
        <v>792</v>
      </c>
      <c r="L1140" s="65" t="inlineStr">
        <is>
          <t>[0792] REFRIGERANTE GLOBAL ROJO (1X3)</t>
        </is>
      </c>
      <c r="M1140" s="63" t="inlineStr">
        <is>
          <t>22,41</t>
        </is>
      </c>
      <c r="N1140" s="63" t="inlineStr">
        <is>
          <t>1,00</t>
        </is>
      </c>
      <c r="O1140" s="63" t="inlineStr">
        <is>
          <t>7,69</t>
        </is>
      </c>
      <c r="P1140" s="63" t="inlineStr">
        <is>
          <t>20,69</t>
        </is>
      </c>
      <c r="Q1140" s="63" t="inlineStr">
        <is>
          <t>24,00</t>
        </is>
      </c>
    </row>
    <row r="1141">
      <c r="A1141" s="65" t="n"/>
      <c r="B1141" s="65" t="n"/>
      <c r="C1141" s="65" t="n"/>
      <c r="D1141" s="65" t="n"/>
      <c r="E1141" s="65" t="n"/>
      <c r="F1141" s="65" t="n"/>
      <c r="G1141" s="65" t="n"/>
      <c r="H1141" s="65" t="n"/>
      <c r="I1141" s="65" t="n"/>
      <c r="J1141" s="65" t="n">
        <v>495</v>
      </c>
      <c r="K1141" s="65" t="n"/>
      <c r="L1141" s="65" t="n"/>
      <c r="M1141" s="65" t="n"/>
      <c r="N1141" s="65" t="n"/>
      <c r="O1141" s="65" t="n"/>
      <c r="P1141" s="65" t="n"/>
      <c r="Q1141" s="65" t="n"/>
    </row>
    <row r="1142">
      <c r="A1142" s="66" t="n">
        <v>46168</v>
      </c>
      <c r="B1142" s="65" t="n">
        <v>94</v>
      </c>
      <c r="C1142" s="65" t="inlineStr">
        <is>
          <t>00-00000441</t>
        </is>
      </c>
      <c r="D1142" s="65" t="inlineStr">
        <is>
          <t>S00196</t>
        </is>
      </c>
      <c r="E1142" s="65" t="inlineStr">
        <is>
          <t>Comercial los de faria,c.a.</t>
        </is>
      </c>
      <c r="F1142" s="63" t="inlineStr">
        <is>
          <t>99.046,28</t>
        </is>
      </c>
      <c r="G1142" s="63" t="inlineStr">
        <is>
          <t>114.893,69</t>
        </is>
      </c>
      <c r="H1142" s="63" t="inlineStr">
        <is>
          <t>214,58</t>
        </is>
      </c>
      <c r="I1142" s="63" t="inlineStr">
        <is>
          <t>535,39</t>
        </is>
      </c>
      <c r="J1142" s="65" t="n">
        <v>189</v>
      </c>
      <c r="K1142" s="65" t="n">
        <v>779</v>
      </c>
      <c r="L1142" s="65" t="inlineStr">
        <is>
          <t>[0779] SINOCO SAE 20W-50 (1x12)</t>
        </is>
      </c>
      <c r="M1142" s="63" t="inlineStr">
        <is>
          <t>70,00</t>
        </is>
      </c>
      <c r="N1142" s="63" t="inlineStr">
        <is>
          <t>1,00</t>
        </is>
      </c>
      <c r="O1142" s="63" t="inlineStr">
        <is>
          <t>0,00</t>
        </is>
      </c>
      <c r="P1142" s="63" t="inlineStr">
        <is>
          <t>70,00</t>
        </is>
      </c>
      <c r="Q1142" s="63" t="inlineStr">
        <is>
          <t>81,20</t>
        </is>
      </c>
    </row>
    <row r="1143">
      <c r="A1143" s="65" t="n"/>
      <c r="B1143" s="65" t="n"/>
      <c r="C1143" s="65" t="n"/>
      <c r="D1143" s="65" t="n"/>
      <c r="E1143" s="65" t="n"/>
      <c r="F1143" s="65" t="n"/>
      <c r="G1143" s="65" t="n"/>
      <c r="H1143" s="65" t="n"/>
      <c r="I1143" s="65" t="n"/>
      <c r="J1143" s="65" t="n"/>
      <c r="K1143" s="65" t="n">
        <v>915</v>
      </c>
      <c r="L1143" s="65" t="inlineStr">
        <is>
          <t>[0915] SINOCO SAE 50 (1x12)</t>
        </is>
      </c>
      <c r="M1143" s="63" t="inlineStr">
        <is>
          <t>69,00</t>
        </is>
      </c>
      <c r="N1143" s="63" t="inlineStr">
        <is>
          <t>1,00</t>
        </is>
      </c>
      <c r="O1143" s="63" t="inlineStr">
        <is>
          <t>0,00</t>
        </is>
      </c>
      <c r="P1143" s="63" t="inlineStr">
        <is>
          <t>69,00</t>
        </is>
      </c>
      <c r="Q1143" s="63" t="inlineStr">
        <is>
          <t>80,04</t>
        </is>
      </c>
    </row>
    <row r="1144">
      <c r="A1144" s="65" t="n"/>
      <c r="B1144" s="65" t="n"/>
      <c r="C1144" s="65" t="n"/>
      <c r="D1144" s="65" t="n"/>
      <c r="E1144" s="65" t="n"/>
      <c r="F1144" s="65" t="n"/>
      <c r="G1144" s="65" t="n"/>
      <c r="H1144" s="65" t="n"/>
      <c r="I1144" s="65" t="n"/>
      <c r="J1144" s="65" t="n"/>
      <c r="K1144" s="65" t="n">
        <v>93</v>
      </c>
      <c r="L1144" s="65" t="inlineStr">
        <is>
          <t>[0093] ALTA CILINDRADA SS API SN SAE 15W-40 (1x6)</t>
        </is>
      </c>
      <c r="M1144" s="63" t="inlineStr">
        <is>
          <t>46,00</t>
        </is>
      </c>
      <c r="N1144" s="63" t="inlineStr">
        <is>
          <t>1,00</t>
        </is>
      </c>
      <c r="O1144" s="63" t="inlineStr">
        <is>
          <t>0,00</t>
        </is>
      </c>
      <c r="P1144" s="63" t="inlineStr">
        <is>
          <t>46,00</t>
        </is>
      </c>
      <c r="Q1144" s="63" t="inlineStr">
        <is>
          <t>53,36</t>
        </is>
      </c>
    </row>
    <row r="1145">
      <c r="A1145" s="66" t="n">
        <v>46168</v>
      </c>
      <c r="B1145" s="65" t="n">
        <v>93</v>
      </c>
      <c r="C1145" s="65" t="inlineStr">
        <is>
          <t>00-00000440</t>
        </is>
      </c>
      <c r="D1145" s="65" t="inlineStr">
        <is>
          <t>S00237</t>
        </is>
      </c>
      <c r="E1145" s="65" t="inlineStr">
        <is>
          <t>Comercial los de faria,c.a.</t>
        </is>
      </c>
      <c r="F1145" s="63" t="inlineStr">
        <is>
          <t>128.937,70</t>
        </is>
      </c>
      <c r="G1145" s="63" t="inlineStr">
        <is>
          <t>149.567,73</t>
        </is>
      </c>
      <c r="H1145" s="63" t="inlineStr">
        <is>
          <t>279,36</t>
        </is>
      </c>
      <c r="I1145" s="63" t="inlineStr">
        <is>
          <t>535,39</t>
        </is>
      </c>
      <c r="J1145" s="65" t="n"/>
      <c r="K1145" s="65" t="n">
        <v>73</v>
      </c>
      <c r="L1145" s="65" t="inlineStr">
        <is>
          <t>[0073] SUPREMO API CI-4 SAE 15W-40 (PAILA)</t>
        </is>
      </c>
      <c r="M1145" s="63" t="inlineStr">
        <is>
          <t>82,76</t>
        </is>
      </c>
      <c r="N1145" s="63" t="inlineStr">
        <is>
          <t>3,00</t>
        </is>
      </c>
      <c r="O1145" s="63" t="inlineStr">
        <is>
          <t>3,00</t>
        </is>
      </c>
      <c r="P1145" s="63" t="inlineStr">
        <is>
          <t>240,83</t>
        </is>
      </c>
      <c r="Q1145" s="63" t="inlineStr">
        <is>
          <t>279,36</t>
        </is>
      </c>
    </row>
    <row r="1146">
      <c r="A1146" s="66" t="n">
        <v>46168</v>
      </c>
      <c r="B1146" s="65" t="n">
        <v>92</v>
      </c>
      <c r="C1146" s="65" t="inlineStr">
        <is>
          <t>00-00000439</t>
        </is>
      </c>
      <c r="D1146" s="65" t="inlineStr">
        <is>
          <t>S00258</t>
        </is>
      </c>
      <c r="E1146" s="65" t="inlineStr">
        <is>
          <t>Distribuidora El Frenazo</t>
        </is>
      </c>
      <c r="F1146" s="63" t="inlineStr">
        <is>
          <t>68.415,97</t>
        </is>
      </c>
      <c r="G1146" s="63" t="inlineStr">
        <is>
          <t>79.362,52</t>
        </is>
      </c>
      <c r="H1146" s="63" t="inlineStr">
        <is>
          <t>163,53</t>
        </is>
      </c>
      <c r="I1146" s="63" t="inlineStr">
        <is>
          <t>485,23</t>
        </is>
      </c>
      <c r="J1146" s="65" t="n">
        <v>525</v>
      </c>
      <c r="K1146" s="65" t="n">
        <v>561</v>
      </c>
      <c r="L1146" s="65" t="inlineStr">
        <is>
          <t>[0561] MEJORADOR DE OCTANAJE GLOBAL OIL PACK (1X12)</t>
        </is>
      </c>
      <c r="M1146" s="63" t="inlineStr">
        <is>
          <t>56,27</t>
        </is>
      </c>
      <c r="N1146" s="63" t="inlineStr">
        <is>
          <t>1,00</t>
        </is>
      </c>
      <c r="O1146" s="63" t="inlineStr">
        <is>
          <t>9,37</t>
        </is>
      </c>
      <c r="P1146" s="63" t="inlineStr">
        <is>
          <t>51,00</t>
        </is>
      </c>
      <c r="Q1146" s="63" t="inlineStr">
        <is>
          <t>59,16</t>
        </is>
      </c>
    </row>
    <row r="1147">
      <c r="A1147" s="65" t="n"/>
      <c r="B1147" s="65" t="n"/>
      <c r="C1147" s="65" t="n"/>
      <c r="D1147" s="65" t="n"/>
      <c r="E1147" s="65" t="n"/>
      <c r="F1147" s="65" t="n"/>
      <c r="G1147" s="65" t="n"/>
      <c r="H1147" s="65" t="n"/>
      <c r="I1147" s="65" t="n"/>
      <c r="J1147" s="65" t="n"/>
      <c r="K1147" s="65" t="n">
        <v>887</v>
      </c>
      <c r="L1147" s="65" t="inlineStr">
        <is>
          <t>[0887] MOTOCLASICO 4T SAE 20W-50 (1x12)</t>
        </is>
      </c>
      <c r="M1147" s="63" t="inlineStr">
        <is>
          <t>99,30</t>
        </is>
      </c>
      <c r="N1147" s="63" t="inlineStr">
        <is>
          <t>1,00</t>
        </is>
      </c>
      <c r="O1147" s="63" t="inlineStr">
        <is>
          <t>9,37</t>
        </is>
      </c>
      <c r="P1147" s="63" t="inlineStr">
        <is>
          <t>90,00</t>
        </is>
      </c>
      <c r="Q1147" s="63" t="inlineStr">
        <is>
          <t>104,40</t>
        </is>
      </c>
    </row>
    <row r="1148">
      <c r="A1148" s="66" t="n">
        <v>46167</v>
      </c>
      <c r="B1148" s="65" t="n">
        <v>91</v>
      </c>
      <c r="C1148" s="65" t="inlineStr">
        <is>
          <t>00-00000437</t>
        </is>
      </c>
      <c r="D1148" s="65" t="inlineStr">
        <is>
          <t>S00305</t>
        </is>
      </c>
      <c r="E1148" s="65" t="inlineStr">
        <is>
          <t>INVERSIONES F-250, C.A</t>
        </is>
      </c>
      <c r="F1148" s="63" t="inlineStr">
        <is>
          <t>53.050,00</t>
        </is>
      </c>
      <c r="G1148" s="63" t="inlineStr">
        <is>
          <t>61.538,00</t>
        </is>
      </c>
      <c r="H1148" s="63" t="inlineStr">
        <is>
          <t>123,85</t>
        </is>
      </c>
      <c r="I1148" s="63" t="inlineStr">
        <is>
          <t>496,83</t>
        </is>
      </c>
      <c r="J1148" s="65" t="n">
        <v>460</v>
      </c>
      <c r="K1148" s="65" t="n">
        <v>877</v>
      </c>
      <c r="L1148" s="65" t="inlineStr">
        <is>
          <t>[0877] SS EXTRA PROTECCION API SN SAE 15W-40 (1X12)</t>
        </is>
      </c>
      <c r="M1148" s="63" t="inlineStr">
        <is>
          <t>106,78</t>
        </is>
      </c>
      <c r="N1148" s="63" t="inlineStr">
        <is>
          <t>1,00</t>
        </is>
      </c>
      <c r="O1148" s="63" t="inlineStr">
        <is>
          <t>0,00</t>
        </is>
      </c>
      <c r="P1148" s="63" t="inlineStr">
        <is>
          <t>106,78</t>
        </is>
      </c>
      <c r="Q1148" s="63" t="inlineStr">
        <is>
          <t>123,86</t>
        </is>
      </c>
    </row>
    <row r="1149">
      <c r="A1149" s="66" t="n">
        <v>46164</v>
      </c>
      <c r="B1149" s="65" t="n">
        <v>90</v>
      </c>
      <c r="C1149" s="65" t="inlineStr">
        <is>
          <t>00-00000425</t>
        </is>
      </c>
      <c r="D1149" s="65" t="inlineStr">
        <is>
          <t>S00435</t>
        </is>
      </c>
      <c r="E1149" s="65" t="inlineStr">
        <is>
          <t>PROYECTOS Y DESARROLLO TOMTOM,C.A.</t>
        </is>
      </c>
      <c r="F1149" s="63" t="inlineStr">
        <is>
          <t>1.298.311,58</t>
        </is>
      </c>
      <c r="G1149" s="63" t="inlineStr">
        <is>
          <t>1.506.041,43</t>
        </is>
      </c>
      <c r="H1149" s="63" t="inlineStr">
        <is>
          <t>2.858,47</t>
        </is>
      </c>
      <c r="I1149" s="63" t="inlineStr">
        <is>
          <t>526,87</t>
        </is>
      </c>
      <c r="J1149" s="65" t="n">
        <v>448</v>
      </c>
      <c r="K1149" s="65" t="n">
        <v>141</v>
      </c>
      <c r="L1149" s="65" t="inlineStr">
        <is>
          <t>[0141] HIDRAGLOB AW/ISO 46 (Tambor)</t>
        </is>
      </c>
      <c r="M1149" s="63" t="inlineStr">
        <is>
          <t>1.232,10</t>
        </is>
      </c>
      <c r="N1149" s="63" t="inlineStr">
        <is>
          <t>2,00</t>
        </is>
      </c>
      <c r="O1149" s="63" t="inlineStr">
        <is>
          <t>0,00</t>
        </is>
      </c>
      <c r="P1149" s="63" t="inlineStr">
        <is>
          <t>2.464,20</t>
        </is>
      </c>
      <c r="Q1149" s="63" t="inlineStr">
        <is>
          <t>2.858,47</t>
        </is>
      </c>
    </row>
    <row r="1150">
      <c r="A1150" s="66" t="n">
        <v>46164</v>
      </c>
      <c r="B1150" s="65" t="n">
        <v>89</v>
      </c>
      <c r="C1150" s="65" t="inlineStr">
        <is>
          <t>00-00000424</t>
        </is>
      </c>
      <c r="D1150" s="65" t="inlineStr">
        <is>
          <t>S00113</t>
        </is>
      </c>
      <c r="E1150" s="65" t="inlineStr">
        <is>
          <t>Franklin J. Mijares S.</t>
        </is>
      </c>
      <c r="F1150" s="63" t="inlineStr">
        <is>
          <t>29.411,30</t>
        </is>
      </c>
      <c r="G1150" s="63" t="inlineStr">
        <is>
          <t>34.117,11</t>
        </is>
      </c>
      <c r="H1150" s="63" t="inlineStr">
        <is>
          <t>71,99</t>
        </is>
      </c>
      <c r="I1150" s="63" t="inlineStr">
        <is>
          <t>473,87</t>
        </is>
      </c>
      <c r="J1150" s="65" t="n">
        <v>363</v>
      </c>
      <c r="K1150" s="65" t="n">
        <v>877</v>
      </c>
      <c r="L1150" s="65" t="inlineStr">
        <is>
          <t>[0877] SS EXTRA PROTECCION API SN SAE 15W-40 (1X12)</t>
        </is>
      </c>
      <c r="M1150" s="63" t="inlineStr">
        <is>
          <t>93,10</t>
        </is>
      </c>
      <c r="N1150" s="63" t="inlineStr">
        <is>
          <t>1,00</t>
        </is>
      </c>
      <c r="O1150" s="63" t="inlineStr">
        <is>
          <t>40,04</t>
        </is>
      </c>
      <c r="P1150" s="63" t="inlineStr">
        <is>
          <t>62,07</t>
        </is>
      </c>
      <c r="Q1150" s="63" t="inlineStr">
        <is>
          <t>72,00</t>
        </is>
      </c>
    </row>
    <row r="1151">
      <c r="A1151" s="66" t="n">
        <v>46164</v>
      </c>
      <c r="B1151" s="65" t="n">
        <v>88</v>
      </c>
      <c r="C1151" s="65" t="inlineStr">
        <is>
          <t>00-00000423</t>
        </is>
      </c>
      <c r="D1151" s="65" t="inlineStr">
        <is>
          <t>S00087</t>
        </is>
      </c>
      <c r="E1151" s="65" t="inlineStr">
        <is>
          <t>Javier Cardenas Prato.</t>
        </is>
      </c>
      <c r="F1151" s="63" t="inlineStr">
        <is>
          <t>136.041,79</t>
        </is>
      </c>
      <c r="G1151" s="63" t="inlineStr">
        <is>
          <t>157.808,48</t>
        </is>
      </c>
      <c r="H1151" s="63" t="inlineStr">
        <is>
          <t>332,95</t>
        </is>
      </c>
      <c r="I1151" s="63" t="inlineStr">
        <is>
          <t>473,92</t>
        </is>
      </c>
      <c r="J1151" s="65" t="n">
        <v>202</v>
      </c>
      <c r="K1151" s="65" t="n">
        <v>877</v>
      </c>
      <c r="L1151" s="65" t="inlineStr">
        <is>
          <t>[0877] SS EXTRA PROTECCION API SN SAE 15W-40 (1X12)</t>
        </is>
      </c>
      <c r="M1151" s="63" t="inlineStr">
        <is>
          <t>89,41</t>
        </is>
      </c>
      <c r="N1151" s="63" t="inlineStr">
        <is>
          <t>1,00</t>
        </is>
      </c>
      <c r="O1151" s="63" t="inlineStr">
        <is>
          <t>23,72</t>
        </is>
      </c>
      <c r="P1151" s="63" t="inlineStr">
        <is>
          <t>68,20</t>
        </is>
      </c>
      <c r="Q1151" s="63" t="inlineStr">
        <is>
          <t>79,11</t>
        </is>
      </c>
    </row>
    <row r="1152">
      <c r="A1152" s="65" t="n"/>
      <c r="B1152" s="65" t="n"/>
      <c r="C1152" s="65" t="n"/>
      <c r="D1152" s="65" t="n"/>
      <c r="E1152" s="65" t="n"/>
      <c r="F1152" s="65" t="n"/>
      <c r="G1152" s="65" t="n"/>
      <c r="H1152" s="65" t="n"/>
      <c r="I1152" s="65" t="n"/>
      <c r="J1152" s="65" t="n">
        <v>341</v>
      </c>
      <c r="K1152" s="65" t="n"/>
      <c r="L1152" s="65" t="n"/>
      <c r="M1152" s="65" t="n"/>
      <c r="N1152" s="65" t="n"/>
      <c r="O1152" s="65" t="n"/>
      <c r="P1152" s="65" t="n"/>
      <c r="Q1152" s="65" t="n"/>
    </row>
    <row r="1153">
      <c r="A1153" s="65" t="n"/>
      <c r="B1153" s="65" t="n"/>
      <c r="C1153" s="65" t="n"/>
      <c r="D1153" s="65" t="n"/>
      <c r="E1153" s="65" t="n"/>
      <c r="F1153" s="65" t="n"/>
      <c r="G1153" s="65" t="n"/>
      <c r="H1153" s="65" t="n"/>
      <c r="I1153" s="65" t="n"/>
      <c r="J1153" s="65" t="n">
        <v>404</v>
      </c>
      <c r="K1153" s="65" t="n"/>
      <c r="L1153" s="65" t="n"/>
      <c r="M1153" s="65" t="n"/>
      <c r="N1153" s="65" t="n"/>
      <c r="O1153" s="65" t="n"/>
      <c r="P1153" s="65" t="n"/>
      <c r="Q1153" s="65" t="n"/>
    </row>
    <row r="1154">
      <c r="A1154" s="65" t="n"/>
      <c r="B1154" s="65" t="n"/>
      <c r="C1154" s="65" t="n"/>
      <c r="D1154" s="65" t="n"/>
      <c r="E1154" s="65" t="n"/>
      <c r="F1154" s="65" t="n"/>
      <c r="G1154" s="65" t="n"/>
      <c r="H1154" s="65" t="n"/>
      <c r="I1154" s="65" t="n"/>
      <c r="J1154" s="65" t="n"/>
      <c r="K1154" s="65" t="n">
        <v>878</v>
      </c>
      <c r="L1154" s="65" t="inlineStr">
        <is>
          <t>[0878] SS EXTRA PROTECCION API SN SAE 20W-50 (1x12)</t>
        </is>
      </c>
      <c r="M1154" s="63" t="inlineStr">
        <is>
          <t>74,51</t>
        </is>
      </c>
      <c r="N1154" s="63" t="inlineStr">
        <is>
          <t>1,00</t>
        </is>
      </c>
      <c r="O1154" s="63" t="inlineStr">
        <is>
          <t>23,72</t>
        </is>
      </c>
      <c r="P1154" s="63" t="inlineStr">
        <is>
          <t>56,83</t>
        </is>
      </c>
      <c r="Q1154" s="63" t="inlineStr">
        <is>
          <t>65,93</t>
        </is>
      </c>
    </row>
    <row r="1155">
      <c r="A1155" s="65" t="n"/>
      <c r="B1155" s="65" t="n"/>
      <c r="C1155" s="65" t="n"/>
      <c r="D1155" s="65" t="n"/>
      <c r="E1155" s="65" t="n"/>
      <c r="F1155" s="65" t="n"/>
      <c r="G1155" s="65" t="n"/>
      <c r="H1155" s="65" t="n"/>
      <c r="I1155" s="65" t="n"/>
      <c r="J1155" s="65" t="n"/>
      <c r="K1155" s="65" t="n">
        <v>779</v>
      </c>
      <c r="L1155" s="65" t="inlineStr">
        <is>
          <t>[0779] SINOCO SAE 20W-50 (1x12)</t>
        </is>
      </c>
      <c r="M1155" s="63" t="inlineStr">
        <is>
          <t>57,35</t>
        </is>
      </c>
      <c r="N1155" s="63" t="inlineStr">
        <is>
          <t>2,00</t>
        </is>
      </c>
      <c r="O1155" s="63" t="inlineStr">
        <is>
          <t>23,72</t>
        </is>
      </c>
      <c r="P1155" s="63" t="inlineStr">
        <is>
          <t>87,50</t>
        </is>
      </c>
      <c r="Q1155" s="63" t="inlineStr">
        <is>
          <t>101,50</t>
        </is>
      </c>
    </row>
    <row r="1156">
      <c r="A1156" s="65" t="n"/>
      <c r="B1156" s="65" t="n"/>
      <c r="C1156" s="65" t="n"/>
      <c r="D1156" s="65" t="n"/>
      <c r="E1156" s="65" t="n"/>
      <c r="F1156" s="65" t="n"/>
      <c r="G1156" s="65" t="n"/>
      <c r="H1156" s="65" t="n"/>
      <c r="I1156" s="65" t="n"/>
      <c r="J1156" s="65" t="n"/>
      <c r="K1156" s="65" t="n">
        <v>884</v>
      </c>
      <c r="L1156" s="65" t="inlineStr">
        <is>
          <t>[0884] TRANSMATIC ATF DEXRON III (1x12)</t>
        </is>
      </c>
      <c r="M1156" s="63" t="inlineStr">
        <is>
          <t>69,91</t>
        </is>
      </c>
      <c r="N1156" s="63" t="inlineStr">
        <is>
          <t>1,00</t>
        </is>
      </c>
      <c r="O1156" s="63" t="inlineStr">
        <is>
          <t>23,72</t>
        </is>
      </c>
      <c r="P1156" s="63" t="inlineStr">
        <is>
          <t>53,32</t>
        </is>
      </c>
      <c r="Q1156" s="63" t="inlineStr">
        <is>
          <t>61,86</t>
        </is>
      </c>
    </row>
    <row r="1157">
      <c r="A1157" s="65" t="n"/>
      <c r="B1157" s="65" t="n"/>
      <c r="C1157" s="65" t="n"/>
      <c r="D1157" s="65" t="n"/>
      <c r="E1157" s="65" t="n"/>
      <c r="F1157" s="65" t="n"/>
      <c r="G1157" s="65" t="n"/>
      <c r="H1157" s="65" t="n"/>
      <c r="I1157" s="65" t="n"/>
      <c r="J1157" s="65" t="n"/>
      <c r="K1157" s="65" t="n">
        <v>761</v>
      </c>
      <c r="L1157" s="65" t="inlineStr">
        <is>
          <t>[0761] LIGA PARA FRENOS DOT-3 (1x12)</t>
        </is>
      </c>
      <c r="M1157" s="63" t="inlineStr">
        <is>
          <t>27,79</t>
        </is>
      </c>
      <c r="N1157" s="63" t="inlineStr">
        <is>
          <t>1,00</t>
        </is>
      </c>
      <c r="O1157" s="63" t="inlineStr">
        <is>
          <t>23,72</t>
        </is>
      </c>
      <c r="P1157" s="63" t="inlineStr">
        <is>
          <t>21,20</t>
        </is>
      </c>
      <c r="Q1157" s="63" t="inlineStr">
        <is>
          <t>24,59</t>
        </is>
      </c>
    </row>
    <row r="1158">
      <c r="A1158" s="66" t="n">
        <v>46163</v>
      </c>
      <c r="B1158" s="65" t="n">
        <v>100</v>
      </c>
      <c r="C1158" s="65" t="inlineStr">
        <is>
          <t>00-00000454</t>
        </is>
      </c>
      <c r="D1158" s="65" t="inlineStr">
        <is>
          <t>S00158</t>
        </is>
      </c>
      <c r="E1158" s="65" t="inlineStr">
        <is>
          <t>Dimas Ortíz</t>
        </is>
      </c>
      <c r="F1158" s="63" t="inlineStr">
        <is>
          <t>291.257,10</t>
        </is>
      </c>
      <c r="G1158" s="63" t="inlineStr">
        <is>
          <t>337.858,24</t>
        </is>
      </c>
      <c r="H1158" s="63" t="inlineStr">
        <is>
          <t>679,99</t>
        </is>
      </c>
      <c r="I1158" s="63" t="inlineStr">
        <is>
          <t>496,83</t>
        </is>
      </c>
      <c r="J1158" s="65" t="n">
        <v>86</v>
      </c>
      <c r="K1158" s="65" t="n">
        <v>605</v>
      </c>
      <c r="L1158" s="65" t="inlineStr">
        <is>
          <t>[0605] SINOCO SAE 20W-50 (PAILA)</t>
        </is>
      </c>
      <c r="M1158" s="63" t="inlineStr">
        <is>
          <t>60,88</t>
        </is>
      </c>
      <c r="N1158" s="63" t="inlineStr">
        <is>
          <t>5,00</t>
        </is>
      </c>
      <c r="O1158" s="63" t="inlineStr">
        <is>
          <t>11,38</t>
        </is>
      </c>
      <c r="P1158" s="63" t="inlineStr">
        <is>
          <t>269,76</t>
        </is>
      </c>
      <c r="Q1158" s="63" t="inlineStr">
        <is>
          <t>312,93</t>
        </is>
      </c>
    </row>
    <row r="1159">
      <c r="A1159" s="65" t="n"/>
      <c r="B1159" s="65" t="n"/>
      <c r="C1159" s="65" t="n"/>
      <c r="D1159" s="65" t="n"/>
      <c r="E1159" s="65" t="n"/>
      <c r="F1159" s="65" t="n"/>
      <c r="G1159" s="65" t="n"/>
      <c r="H1159" s="65" t="n"/>
      <c r="I1159" s="65" t="n"/>
      <c r="J1159" s="65" t="n">
        <v>316</v>
      </c>
      <c r="K1159" s="65" t="n"/>
      <c r="L1159" s="65" t="n"/>
      <c r="M1159" s="65" t="n"/>
      <c r="N1159" s="65" t="n"/>
      <c r="O1159" s="65" t="n"/>
      <c r="P1159" s="65" t="n"/>
      <c r="Q1159" s="65" t="n"/>
    </row>
    <row r="1160">
      <c r="A1160" s="65" t="n"/>
      <c r="B1160" s="65" t="n"/>
      <c r="C1160" s="65" t="n"/>
      <c r="D1160" s="65" t="n"/>
      <c r="E1160" s="65" t="n"/>
      <c r="F1160" s="65" t="n"/>
      <c r="G1160" s="65" t="n"/>
      <c r="H1160" s="65" t="n"/>
      <c r="I1160" s="65" t="n"/>
      <c r="J1160" s="65" t="n">
        <v>408</v>
      </c>
      <c r="K1160" s="65" t="n"/>
      <c r="L1160" s="65" t="n"/>
      <c r="M1160" s="65" t="n"/>
      <c r="N1160" s="65" t="n"/>
      <c r="O1160" s="65" t="n"/>
      <c r="P1160" s="65" t="n"/>
      <c r="Q1160" s="65" t="n"/>
    </row>
    <row r="1161">
      <c r="A1161" s="65" t="n"/>
      <c r="B1161" s="65" t="n"/>
      <c r="C1161" s="65" t="n"/>
      <c r="D1161" s="65" t="n"/>
      <c r="E1161" s="65" t="n"/>
      <c r="F1161" s="65" t="n"/>
      <c r="G1161" s="65" t="n"/>
      <c r="H1161" s="65" t="n"/>
      <c r="I1161" s="65" t="n"/>
      <c r="J1161" s="65" t="n">
        <v>428</v>
      </c>
      <c r="K1161" s="65" t="n"/>
      <c r="L1161" s="65" t="n"/>
      <c r="M1161" s="65" t="n"/>
      <c r="N1161" s="65" t="n"/>
      <c r="O1161" s="65" t="n"/>
      <c r="P1161" s="65" t="n"/>
      <c r="Q1161" s="65" t="n"/>
    </row>
    <row r="1162">
      <c r="A1162" s="65" t="n"/>
      <c r="B1162" s="65" t="n"/>
      <c r="C1162" s="65" t="n"/>
      <c r="D1162" s="65" t="n"/>
      <c r="E1162" s="65" t="n"/>
      <c r="F1162" s="65" t="n"/>
      <c r="G1162" s="65" t="n"/>
      <c r="H1162" s="65" t="n"/>
      <c r="I1162" s="65" t="n"/>
      <c r="J1162" s="65" t="n"/>
      <c r="K1162" s="65" t="n"/>
      <c r="L1162" s="65" t="n"/>
      <c r="M1162" s="63" t="inlineStr">
        <is>
          <t>0,00</t>
        </is>
      </c>
      <c r="N1162" s="63" t="inlineStr">
        <is>
          <t>0,00</t>
        </is>
      </c>
      <c r="O1162" s="63" t="inlineStr">
        <is>
          <t>0,00</t>
        </is>
      </c>
      <c r="P1162" s="63" t="inlineStr">
        <is>
          <t>0,00</t>
        </is>
      </c>
      <c r="Q1162" s="63" t="inlineStr">
        <is>
          <t>0,00</t>
        </is>
      </c>
    </row>
    <row r="1163">
      <c r="A1163" s="65" t="n"/>
      <c r="B1163" s="65" t="n"/>
      <c r="C1163" s="65" t="n"/>
      <c r="D1163" s="65" t="n"/>
      <c r="E1163" s="65" t="n"/>
      <c r="F1163" s="65" t="n"/>
      <c r="G1163" s="65" t="n"/>
      <c r="H1163" s="65" t="n"/>
      <c r="I1163" s="65" t="n"/>
      <c r="J1163" s="65" t="n"/>
      <c r="K1163" s="65" t="n">
        <v>779</v>
      </c>
      <c r="L1163" s="65" t="inlineStr">
        <is>
          <t>[0779] SINOCO SAE 20W-50 (1x12)</t>
        </is>
      </c>
      <c r="M1163" s="63" t="inlineStr">
        <is>
          <t>43,62</t>
        </is>
      </c>
      <c r="N1163" s="63" t="inlineStr">
        <is>
          <t>1,00</t>
        </is>
      </c>
      <c r="O1163" s="63" t="inlineStr">
        <is>
          <t>11,38</t>
        </is>
      </c>
      <c r="P1163" s="63" t="inlineStr">
        <is>
          <t>38,65</t>
        </is>
      </c>
      <c r="Q1163" s="63" t="inlineStr">
        <is>
          <t>44,84</t>
        </is>
      </c>
    </row>
    <row r="1164">
      <c r="A1164" s="65" t="n"/>
      <c r="B1164" s="65" t="n"/>
      <c r="C1164" s="65" t="n"/>
      <c r="D1164" s="65" t="n"/>
      <c r="E1164" s="65" t="n"/>
      <c r="F1164" s="65" t="n"/>
      <c r="G1164" s="65" t="n"/>
      <c r="H1164" s="65" t="n"/>
      <c r="I1164" s="65" t="n"/>
      <c r="J1164" s="65" t="n"/>
      <c r="K1164" s="65" t="n">
        <v>877</v>
      </c>
      <c r="L1164" s="65" t="inlineStr">
        <is>
          <t>[0877] SS EXTRA PROTECCION API SN SAE 15W-40 (1X12)</t>
        </is>
      </c>
      <c r="M1164" s="63" t="inlineStr">
        <is>
          <t>65,42</t>
        </is>
      </c>
      <c r="N1164" s="63" t="inlineStr">
        <is>
          <t>2,00</t>
        </is>
      </c>
      <c r="O1164" s="63" t="inlineStr">
        <is>
          <t>11,38</t>
        </is>
      </c>
      <c r="P1164" s="63" t="inlineStr">
        <is>
          <t>115,96</t>
        </is>
      </c>
      <c r="Q1164" s="63" t="inlineStr">
        <is>
          <t>134,51</t>
        </is>
      </c>
    </row>
    <row r="1165">
      <c r="A1165" s="65" t="n"/>
      <c r="B1165" s="65" t="n"/>
      <c r="C1165" s="65" t="n"/>
      <c r="D1165" s="65" t="n"/>
      <c r="E1165" s="65" t="n"/>
      <c r="F1165" s="65" t="n"/>
      <c r="G1165" s="65" t="n"/>
      <c r="H1165" s="65" t="n"/>
      <c r="I1165" s="65" t="n"/>
      <c r="J1165" s="65" t="n"/>
      <c r="K1165" s="65" t="n">
        <v>878</v>
      </c>
      <c r="L1165" s="65" t="inlineStr">
        <is>
          <t>[0878] SS EXTRA PROTECCION API SN SAE 20W-50 (1x12)</t>
        </is>
      </c>
      <c r="M1165" s="63" t="inlineStr">
        <is>
          <t>65,42</t>
        </is>
      </c>
      <c r="N1165" s="63" t="inlineStr">
        <is>
          <t>1,00</t>
        </is>
      </c>
      <c r="O1165" s="63" t="inlineStr">
        <is>
          <t>11,38</t>
        </is>
      </c>
      <c r="P1165" s="63" t="inlineStr">
        <is>
          <t>57,98</t>
        </is>
      </c>
      <c r="Q1165" s="63" t="inlineStr">
        <is>
          <t>67,26</t>
        </is>
      </c>
    </row>
    <row r="1166">
      <c r="A1166" s="65" t="n"/>
      <c r="B1166" s="65" t="n"/>
      <c r="C1166" s="65" t="n"/>
      <c r="D1166" s="65" t="n"/>
      <c r="E1166" s="65" t="n"/>
      <c r="F1166" s="65" t="n"/>
      <c r="G1166" s="65" t="n"/>
      <c r="H1166" s="65" t="n"/>
      <c r="I1166" s="65" t="n"/>
      <c r="J1166" s="65" t="n"/>
      <c r="K1166" s="65" t="n">
        <v>880</v>
      </c>
      <c r="L1166" s="65" t="inlineStr">
        <is>
          <t>[0880] CLASICO API SL SAE 15W-40 (1x12)</t>
        </is>
      </c>
      <c r="M1166" s="63" t="inlineStr">
        <is>
          <t>56,34</t>
        </is>
      </c>
      <c r="N1166" s="63" t="inlineStr">
        <is>
          <t>1,00</t>
        </is>
      </c>
      <c r="O1166" s="63" t="inlineStr">
        <is>
          <t>11,38</t>
        </is>
      </c>
      <c r="P1166" s="63" t="inlineStr">
        <is>
          <t>49,93</t>
        </is>
      </c>
      <c r="Q1166" s="63" t="inlineStr">
        <is>
          <t>57,92</t>
        </is>
      </c>
    </row>
    <row r="1167">
      <c r="A1167" s="65" t="n"/>
      <c r="B1167" s="65" t="n"/>
      <c r="C1167" s="65" t="n"/>
      <c r="D1167" s="65" t="n"/>
      <c r="E1167" s="65" t="n"/>
      <c r="F1167" s="65" t="n"/>
      <c r="G1167" s="65" t="n"/>
      <c r="H1167" s="65" t="n"/>
      <c r="I1167" s="65" t="n"/>
      <c r="J1167" s="65" t="n"/>
      <c r="K1167" s="65" t="n">
        <v>884</v>
      </c>
      <c r="L1167" s="65" t="inlineStr">
        <is>
          <t>[0884] TRANSMATIC ATF DEXRON III (1x12)</t>
        </is>
      </c>
      <c r="M1167" s="63" t="inlineStr">
        <is>
          <t>60,88</t>
        </is>
      </c>
      <c r="N1167" s="63" t="inlineStr">
        <is>
          <t>1,00</t>
        </is>
      </c>
      <c r="O1167" s="63" t="inlineStr">
        <is>
          <t>11,38</t>
        </is>
      </c>
      <c r="P1167" s="63" t="inlineStr">
        <is>
          <t>53,95</t>
        </is>
      </c>
      <c r="Q1167" s="63" t="inlineStr">
        <is>
          <t>62,59</t>
        </is>
      </c>
    </row>
    <row r="1168">
      <c r="A1168" s="66" t="n">
        <v>46163</v>
      </c>
      <c r="B1168" s="65" t="n">
        <v>87</v>
      </c>
      <c r="C1168" s="65" t="inlineStr">
        <is>
          <t>00-00000417</t>
        </is>
      </c>
      <c r="D1168" s="65" t="inlineStr">
        <is>
          <t>S00062</t>
        </is>
      </c>
      <c r="E1168" s="65" t="inlineStr">
        <is>
          <t>SJMG 2012 C.A</t>
        </is>
      </c>
      <c r="F1168" s="63" t="inlineStr">
        <is>
          <t>1.104.827,69</t>
        </is>
      </c>
      <c r="G1168" s="63" t="inlineStr">
        <is>
          <t>1.281.600,11</t>
        </is>
      </c>
      <c r="H1168" s="63" t="inlineStr">
        <is>
          <t>2.579,49</t>
        </is>
      </c>
      <c r="I1168" s="63" t="inlineStr">
        <is>
          <t>496,83</t>
        </is>
      </c>
      <c r="J1168" s="65" t="n">
        <v>138</v>
      </c>
      <c r="K1168" s="65" t="n">
        <v>878</v>
      </c>
      <c r="L1168" s="65" t="inlineStr">
        <is>
          <t>[0878] SS EXTRA PROTECCION API SN SAE 20W-50 (1x12)</t>
        </is>
      </c>
      <c r="M1168" s="63" t="inlineStr">
        <is>
          <t>81,78</t>
        </is>
      </c>
      <c r="N1168" s="63" t="inlineStr">
        <is>
          <t>4,00</t>
        </is>
      </c>
      <c r="O1168" s="63" t="inlineStr">
        <is>
          <t>27,89</t>
        </is>
      </c>
      <c r="P1168" s="63" t="inlineStr">
        <is>
          <t>235,89</t>
        </is>
      </c>
      <c r="Q1168" s="63" t="inlineStr">
        <is>
          <t>273,64</t>
        </is>
      </c>
    </row>
    <row r="1169">
      <c r="A1169" s="65" t="n"/>
      <c r="B1169" s="65" t="n"/>
      <c r="C1169" s="65" t="n"/>
      <c r="D1169" s="65" t="n"/>
      <c r="E1169" s="65" t="n"/>
      <c r="F1169" s="65" t="n"/>
      <c r="G1169" s="65" t="n"/>
      <c r="H1169" s="65" t="n"/>
      <c r="I1169" s="65" t="n"/>
      <c r="J1169" s="65" t="n">
        <v>149</v>
      </c>
      <c r="K1169" s="65" t="n"/>
      <c r="L1169" s="65" t="n"/>
      <c r="M1169" s="65" t="n"/>
      <c r="N1169" s="65" t="n"/>
      <c r="O1169" s="65" t="n"/>
      <c r="P1169" s="65" t="n"/>
      <c r="Q1169" s="65" t="n"/>
    </row>
    <row r="1170">
      <c r="A1170" s="65" t="n"/>
      <c r="B1170" s="65" t="n"/>
      <c r="C1170" s="65" t="n"/>
      <c r="D1170" s="65" t="n"/>
      <c r="E1170" s="65" t="n"/>
      <c r="F1170" s="65" t="n"/>
      <c r="G1170" s="65" t="n"/>
      <c r="H1170" s="65" t="n"/>
      <c r="I1170" s="65" t="n"/>
      <c r="J1170" s="65" t="n">
        <v>184</v>
      </c>
      <c r="K1170" s="65" t="n"/>
      <c r="L1170" s="65" t="n"/>
      <c r="M1170" s="65" t="n"/>
      <c r="N1170" s="65" t="n"/>
      <c r="O1170" s="65" t="n"/>
      <c r="P1170" s="65" t="n"/>
      <c r="Q1170" s="65" t="n"/>
    </row>
    <row r="1171">
      <c r="A1171" s="65" t="n"/>
      <c r="B1171" s="65" t="n"/>
      <c r="C1171" s="65" t="n"/>
      <c r="D1171" s="65" t="n"/>
      <c r="E1171" s="65" t="n"/>
      <c r="F1171" s="65" t="n"/>
      <c r="G1171" s="65" t="n"/>
      <c r="H1171" s="65" t="n"/>
      <c r="I1171" s="65" t="n"/>
      <c r="J1171" s="65" t="n">
        <v>230</v>
      </c>
      <c r="K1171" s="65" t="n"/>
      <c r="L1171" s="65" t="n"/>
      <c r="M1171" s="65" t="n"/>
      <c r="N1171" s="65" t="n"/>
      <c r="O1171" s="65" t="n"/>
      <c r="P1171" s="65" t="n"/>
      <c r="Q1171" s="65" t="n"/>
    </row>
    <row r="1172">
      <c r="A1172" s="65" t="n"/>
      <c r="B1172" s="65" t="n"/>
      <c r="C1172" s="65" t="n"/>
      <c r="D1172" s="65" t="n"/>
      <c r="E1172" s="65" t="n"/>
      <c r="F1172" s="65" t="n"/>
      <c r="G1172" s="65" t="n"/>
      <c r="H1172" s="65" t="n"/>
      <c r="I1172" s="65" t="n"/>
      <c r="J1172" s="65" t="n">
        <v>259</v>
      </c>
      <c r="K1172" s="65" t="n"/>
      <c r="L1172" s="65" t="n"/>
      <c r="M1172" s="65" t="n"/>
      <c r="N1172" s="65" t="n"/>
      <c r="O1172" s="65" t="n"/>
      <c r="P1172" s="65" t="n"/>
      <c r="Q1172" s="65" t="n"/>
    </row>
    <row r="1173">
      <c r="A1173" s="65" t="n"/>
      <c r="B1173" s="65" t="n"/>
      <c r="C1173" s="65" t="n"/>
      <c r="D1173" s="65" t="n"/>
      <c r="E1173" s="65" t="n"/>
      <c r="F1173" s="65" t="n"/>
      <c r="G1173" s="65" t="n"/>
      <c r="H1173" s="65" t="n"/>
      <c r="I1173" s="65" t="n"/>
      <c r="J1173" s="65" t="n">
        <v>272</v>
      </c>
      <c r="K1173" s="65" t="n"/>
      <c r="L1173" s="65" t="n"/>
      <c r="M1173" s="65" t="n"/>
      <c r="N1173" s="65" t="n"/>
      <c r="O1173" s="65" t="n"/>
      <c r="P1173" s="65" t="n"/>
      <c r="Q1173" s="65" t="n"/>
    </row>
    <row r="1174">
      <c r="A1174" s="65" t="n"/>
      <c r="B1174" s="65" t="n"/>
      <c r="C1174" s="65" t="n"/>
      <c r="D1174" s="65" t="n"/>
      <c r="E1174" s="65" t="n"/>
      <c r="F1174" s="65" t="n"/>
      <c r="G1174" s="65" t="n"/>
      <c r="H1174" s="65" t="n"/>
      <c r="I1174" s="65" t="n"/>
      <c r="J1174" s="65" t="n">
        <v>273</v>
      </c>
      <c r="K1174" s="65" t="n"/>
      <c r="L1174" s="65" t="n"/>
      <c r="M1174" s="65" t="n"/>
      <c r="N1174" s="65" t="n"/>
      <c r="O1174" s="65" t="n"/>
      <c r="P1174" s="65" t="n"/>
      <c r="Q1174" s="65" t="n"/>
    </row>
    <row r="1175">
      <c r="A1175" s="65" t="n"/>
      <c r="B1175" s="65" t="n"/>
      <c r="C1175" s="65" t="n"/>
      <c r="D1175" s="65" t="n"/>
      <c r="E1175" s="65" t="n"/>
      <c r="F1175" s="65" t="n"/>
      <c r="G1175" s="65" t="n"/>
      <c r="H1175" s="65" t="n"/>
      <c r="I1175" s="65" t="n"/>
      <c r="J1175" s="65" t="n"/>
      <c r="K1175" s="65" t="n">
        <v>881</v>
      </c>
      <c r="L1175" s="65" t="inlineStr">
        <is>
          <t>[0881] CLASICO API SL SAE 20W-50 (1x12)</t>
        </is>
      </c>
      <c r="M1175" s="63" t="inlineStr">
        <is>
          <t>71,79</t>
        </is>
      </c>
      <c r="N1175" s="63" t="inlineStr">
        <is>
          <t>6,00</t>
        </is>
      </c>
      <c r="O1175" s="63" t="inlineStr">
        <is>
          <t>27,89</t>
        </is>
      </c>
      <c r="P1175" s="63" t="inlineStr">
        <is>
          <t>310,61</t>
        </is>
      </c>
      <c r="Q1175" s="63" t="inlineStr">
        <is>
          <t>360,30</t>
        </is>
      </c>
    </row>
    <row r="1176">
      <c r="A1176" s="65" t="n"/>
      <c r="B1176" s="65" t="n"/>
      <c r="C1176" s="65" t="n"/>
      <c r="D1176" s="65" t="n"/>
      <c r="E1176" s="65" t="n"/>
      <c r="F1176" s="65" t="n"/>
      <c r="G1176" s="65" t="n"/>
      <c r="H1176" s="65" t="n"/>
      <c r="I1176" s="65" t="n"/>
      <c r="J1176" s="65" t="n"/>
      <c r="K1176" s="65" t="n">
        <v>887</v>
      </c>
      <c r="L1176" s="65" t="inlineStr">
        <is>
          <t>[0887] MOTOCLASICO 4T SAE 20W-50 (1x12)</t>
        </is>
      </c>
      <c r="M1176" s="63" t="inlineStr">
        <is>
          <t>74,51</t>
        </is>
      </c>
      <c r="N1176" s="63" t="inlineStr">
        <is>
          <t>11,00</t>
        </is>
      </c>
      <c r="O1176" s="63" t="inlineStr">
        <is>
          <t>27,89</t>
        </is>
      </c>
      <c r="P1176" s="63" t="inlineStr">
        <is>
          <t>591,02</t>
        </is>
      </c>
      <c r="Q1176" s="63" t="inlineStr">
        <is>
          <t>685,58</t>
        </is>
      </c>
    </row>
    <row r="1177">
      <c r="A1177" s="65" t="n"/>
      <c r="B1177" s="65" t="n"/>
      <c r="C1177" s="65" t="n"/>
      <c r="D1177" s="65" t="n"/>
      <c r="E1177" s="65" t="n"/>
      <c r="F1177" s="65" t="n"/>
      <c r="G1177" s="65" t="n"/>
      <c r="H1177" s="65" t="n"/>
      <c r="I1177" s="65" t="n"/>
      <c r="J1177" s="65" t="n"/>
      <c r="K1177" s="65" t="n">
        <v>877</v>
      </c>
      <c r="L1177" s="65" t="inlineStr">
        <is>
          <t>[0877] SS EXTRA PROTECCION API SN SAE 15W-40 (1X12)</t>
        </is>
      </c>
      <c r="M1177" s="63" t="inlineStr">
        <is>
          <t>95,37</t>
        </is>
      </c>
      <c r="N1177" s="63" t="inlineStr">
        <is>
          <t>7,00</t>
        </is>
      </c>
      <c r="O1177" s="63" t="inlineStr">
        <is>
          <t>27,89</t>
        </is>
      </c>
      <c r="P1177" s="63" t="inlineStr">
        <is>
          <t>481,39</t>
        </is>
      </c>
      <c r="Q1177" s="63" t="inlineStr">
        <is>
          <t>558,42</t>
        </is>
      </c>
    </row>
    <row r="1178">
      <c r="A1178" s="65" t="n"/>
      <c r="B1178" s="65" t="n"/>
      <c r="C1178" s="65" t="n"/>
      <c r="D1178" s="65" t="n"/>
      <c r="E1178" s="65" t="n"/>
      <c r="F1178" s="65" t="n"/>
      <c r="G1178" s="65" t="n"/>
      <c r="H1178" s="65" t="n"/>
      <c r="I1178" s="65" t="n"/>
      <c r="J1178" s="65" t="n"/>
      <c r="K1178" s="65" t="n">
        <v>880</v>
      </c>
      <c r="L1178" s="65" t="inlineStr">
        <is>
          <t>[0880] CLASICO API SL SAE 15W-40 (1x12)</t>
        </is>
      </c>
      <c r="M1178" s="63" t="inlineStr">
        <is>
          <t>70,88</t>
        </is>
      </c>
      <c r="N1178" s="63" t="inlineStr">
        <is>
          <t>3,00</t>
        </is>
      </c>
      <c r="O1178" s="63" t="inlineStr">
        <is>
          <t>27,89</t>
        </is>
      </c>
      <c r="P1178" s="63" t="inlineStr">
        <is>
          <t>153,34</t>
        </is>
      </c>
      <c r="Q1178" s="63" t="inlineStr">
        <is>
          <t>177,88</t>
        </is>
      </c>
    </row>
    <row r="1179">
      <c r="A1179" s="65" t="n"/>
      <c r="B1179" s="65" t="n"/>
      <c r="C1179" s="65" t="n"/>
      <c r="D1179" s="65" t="n"/>
      <c r="E1179" s="65" t="n"/>
      <c r="F1179" s="65" t="n"/>
      <c r="G1179" s="65" t="n"/>
      <c r="H1179" s="65" t="n"/>
      <c r="I1179" s="65" t="n"/>
      <c r="J1179" s="65" t="n"/>
      <c r="K1179" s="65" t="n">
        <v>888</v>
      </c>
      <c r="L1179" s="65" t="inlineStr">
        <is>
          <t>[0888] ENDUROGLOB 2T AIRE (1x12)</t>
        </is>
      </c>
      <c r="M1179" s="63" t="inlineStr">
        <is>
          <t>74,51</t>
        </is>
      </c>
      <c r="N1179" s="63" t="inlineStr">
        <is>
          <t>1,00</t>
        </is>
      </c>
      <c r="O1179" s="63" t="inlineStr">
        <is>
          <t>27,89</t>
        </is>
      </c>
      <c r="P1179" s="63" t="inlineStr">
        <is>
          <t>53,73</t>
        </is>
      </c>
      <c r="Q1179" s="63" t="inlineStr">
        <is>
          <t>62,33</t>
        </is>
      </c>
    </row>
    <row r="1180">
      <c r="A1180" s="65" t="n"/>
      <c r="B1180" s="65" t="n"/>
      <c r="C1180" s="65" t="n"/>
      <c r="D1180" s="65" t="n"/>
      <c r="E1180" s="65" t="n"/>
      <c r="F1180" s="65" t="n"/>
      <c r="G1180" s="65" t="n"/>
      <c r="H1180" s="65" t="n"/>
      <c r="I1180" s="65" t="n"/>
      <c r="J1180" s="65" t="n"/>
      <c r="K1180" s="65" t="n">
        <v>884</v>
      </c>
      <c r="L1180" s="65" t="inlineStr">
        <is>
          <t>[0884] TRANSMATIC ATF DEXRON III (1x12)</t>
        </is>
      </c>
      <c r="M1180" s="63" t="inlineStr">
        <is>
          <t>75,43</t>
        </is>
      </c>
      <c r="N1180" s="63" t="inlineStr">
        <is>
          <t>3,00</t>
        </is>
      </c>
      <c r="O1180" s="63" t="inlineStr">
        <is>
          <t>27,89</t>
        </is>
      </c>
      <c r="P1180" s="63" t="inlineStr">
        <is>
          <t>163,17</t>
        </is>
      </c>
      <c r="Q1180" s="63" t="inlineStr">
        <is>
          <t>189,28</t>
        </is>
      </c>
    </row>
    <row r="1181">
      <c r="A1181" s="65" t="n"/>
      <c r="B1181" s="65" t="n"/>
      <c r="C1181" s="65" t="n"/>
      <c r="D1181" s="65" t="n"/>
      <c r="E1181" s="65" t="n"/>
      <c r="F1181" s="65" t="n"/>
      <c r="G1181" s="65" t="n"/>
      <c r="H1181" s="65" t="n"/>
      <c r="I1181" s="65" t="n"/>
      <c r="J1181" s="65" t="n"/>
      <c r="K1181" s="65" t="n">
        <v>761</v>
      </c>
      <c r="L1181" s="65" t="inlineStr">
        <is>
          <t>[0761] LIGA PARA FRENOS DOT-3 (1x12)</t>
        </is>
      </c>
      <c r="M1181" s="63" t="inlineStr">
        <is>
          <t>29,99</t>
        </is>
      </c>
      <c r="N1181" s="63" t="inlineStr">
        <is>
          <t>2,00</t>
        </is>
      </c>
      <c r="O1181" s="63" t="inlineStr">
        <is>
          <t>27,89</t>
        </is>
      </c>
      <c r="P1181" s="63" t="inlineStr">
        <is>
          <t>43,25</t>
        </is>
      </c>
      <c r="Q1181" s="63" t="inlineStr">
        <is>
          <t>50,17</t>
        </is>
      </c>
    </row>
    <row r="1182">
      <c r="A1182" s="65" t="n"/>
      <c r="B1182" s="65" t="n"/>
      <c r="C1182" s="65" t="n"/>
      <c r="D1182" s="65" t="n"/>
      <c r="E1182" s="65" t="n"/>
      <c r="F1182" s="65" t="n"/>
      <c r="G1182" s="65" t="n"/>
      <c r="H1182" s="65" t="n"/>
      <c r="I1182" s="65" t="n"/>
      <c r="J1182" s="65" t="n"/>
      <c r="K1182" s="65" t="n">
        <v>762</v>
      </c>
      <c r="L1182" s="65" t="inlineStr">
        <is>
          <t>[0762] LIGA PARA FRENOS DOT-3 (1x6)</t>
        </is>
      </c>
      <c r="M1182" s="63" t="inlineStr">
        <is>
          <t>44,53</t>
        </is>
      </c>
      <c r="N1182" s="63" t="inlineStr">
        <is>
          <t>2,00</t>
        </is>
      </c>
      <c r="O1182" s="63" t="inlineStr">
        <is>
          <t>27,89</t>
        </is>
      </c>
      <c r="P1182" s="63" t="inlineStr">
        <is>
          <t>64,23</t>
        </is>
      </c>
      <c r="Q1182" s="63" t="inlineStr">
        <is>
          <t>74,50</t>
        </is>
      </c>
    </row>
    <row r="1183">
      <c r="A1183" s="65" t="n"/>
      <c r="B1183" s="65" t="n"/>
      <c r="C1183" s="65" t="n"/>
      <c r="D1183" s="65" t="n"/>
      <c r="E1183" s="65" t="n"/>
      <c r="F1183" s="65" t="n"/>
      <c r="G1183" s="65" t="n"/>
      <c r="H1183" s="65" t="n"/>
      <c r="I1183" s="65" t="n"/>
      <c r="J1183" s="65" t="n"/>
      <c r="K1183" s="65" t="n">
        <v>775</v>
      </c>
      <c r="L1183" s="65" t="inlineStr">
        <is>
          <t>[0775] LIGA PARA FRENOS DOT-4 (1X12)</t>
        </is>
      </c>
      <c r="M1183" s="63" t="inlineStr">
        <is>
          <t>34,53</t>
        </is>
      </c>
      <c r="N1183" s="63" t="inlineStr">
        <is>
          <t>2,00</t>
        </is>
      </c>
      <c r="O1183" s="63" t="inlineStr">
        <is>
          <t>27,89</t>
        </is>
      </c>
      <c r="P1183" s="63" t="inlineStr">
        <is>
          <t>49,80</t>
        </is>
      </c>
      <c r="Q1183" s="63" t="inlineStr">
        <is>
          <t>57,77</t>
        </is>
      </c>
    </row>
    <row r="1184">
      <c r="A1184" s="65" t="n"/>
      <c r="B1184" s="65" t="n"/>
      <c r="C1184" s="65" t="n"/>
      <c r="D1184" s="65" t="n"/>
      <c r="E1184" s="65" t="n"/>
      <c r="F1184" s="65" t="n"/>
      <c r="G1184" s="65" t="n"/>
      <c r="H1184" s="65" t="n"/>
      <c r="I1184" s="65" t="n"/>
      <c r="J1184" s="65" t="n"/>
      <c r="K1184" s="65" t="n">
        <v>774</v>
      </c>
      <c r="L1184" s="65" t="inlineStr">
        <is>
          <t>[0774] LIGA PARA FRENOS DOT-4 (1X6)</t>
        </is>
      </c>
      <c r="M1184" s="63" t="inlineStr">
        <is>
          <t>53,62</t>
        </is>
      </c>
      <c r="N1184" s="63" t="inlineStr">
        <is>
          <t>2,00</t>
        </is>
      </c>
      <c r="O1184" s="63" t="inlineStr">
        <is>
          <t>27,89</t>
        </is>
      </c>
      <c r="P1184" s="63" t="inlineStr">
        <is>
          <t>77,33</t>
        </is>
      </c>
      <c r="Q1184" s="63" t="inlineStr">
        <is>
          <t>89,70</t>
        </is>
      </c>
    </row>
    <row r="1185">
      <c r="A1185" s="66" t="n">
        <v>46163</v>
      </c>
      <c r="B1185" s="65" t="n">
        <v>86</v>
      </c>
      <c r="C1185" s="65" t="inlineStr">
        <is>
          <t>00-00000414</t>
        </is>
      </c>
      <c r="D1185" s="65" t="inlineStr">
        <is>
          <t>S00142</t>
        </is>
      </c>
      <c r="E1185" s="65" t="inlineStr">
        <is>
          <t>LOGISTICA Y CONSULTORIA VINCARS, C.A.</t>
        </is>
      </c>
      <c r="F1185" s="63" t="inlineStr">
        <is>
          <t>56.779,59</t>
        </is>
      </c>
      <c r="G1185" s="63" t="inlineStr">
        <is>
          <t>65.864,33</t>
        </is>
      </c>
      <c r="H1185" s="63" t="inlineStr">
        <is>
          <t>138,98</t>
        </is>
      </c>
      <c r="I1185" s="63" t="inlineStr">
        <is>
          <t>473,87</t>
        </is>
      </c>
      <c r="J1185" s="65" t="n">
        <v>286</v>
      </c>
      <c r="K1185" s="65" t="n">
        <v>121</v>
      </c>
      <c r="L1185" s="65" t="inlineStr">
        <is>
          <t>[0121] TRANSGLOB API GL-5 SAE 80W-90 (1x6)</t>
        </is>
      </c>
      <c r="M1185" s="63" t="inlineStr">
        <is>
          <t>43,61</t>
        </is>
      </c>
      <c r="N1185" s="63" t="inlineStr">
        <is>
          <t>2,00</t>
        </is>
      </c>
      <c r="O1185" s="63" t="inlineStr">
        <is>
          <t>34,51</t>
        </is>
      </c>
      <c r="P1185" s="63" t="inlineStr">
        <is>
          <t>57,12</t>
        </is>
      </c>
      <c r="Q1185" s="63" t="inlineStr">
        <is>
          <t>66,26</t>
        </is>
      </c>
    </row>
    <row r="1186">
      <c r="A1186" s="65" t="n"/>
      <c r="B1186" s="65" t="n"/>
      <c r="C1186" s="65" t="n"/>
      <c r="D1186" s="65" t="n"/>
      <c r="E1186" s="65" t="n"/>
      <c r="F1186" s="65" t="n"/>
      <c r="G1186" s="65" t="n"/>
      <c r="H1186" s="65" t="n"/>
      <c r="I1186" s="65" t="n"/>
      <c r="J1186" s="65" t="n">
        <v>287</v>
      </c>
      <c r="K1186" s="65" t="n"/>
      <c r="L1186" s="65" t="n"/>
      <c r="M1186" s="65" t="n"/>
      <c r="N1186" s="65" t="n"/>
      <c r="O1186" s="65" t="n"/>
      <c r="P1186" s="65" t="n"/>
      <c r="Q1186" s="65" t="n"/>
    </row>
    <row r="1187">
      <c r="A1187" s="65" t="n"/>
      <c r="B1187" s="65" t="n"/>
      <c r="C1187" s="65" t="n"/>
      <c r="D1187" s="65" t="n"/>
      <c r="E1187" s="65" t="n"/>
      <c r="F1187" s="65" t="n"/>
      <c r="G1187" s="65" t="n"/>
      <c r="H1187" s="65" t="n"/>
      <c r="I1187" s="65" t="n"/>
      <c r="J1187" s="65" t="n"/>
      <c r="K1187" s="65" t="n">
        <v>884</v>
      </c>
      <c r="L1187" s="65" t="inlineStr">
        <is>
          <t>[0884] TRANSMATIC ATF DEXRON III (1x12)</t>
        </is>
      </c>
      <c r="M1187" s="63" t="inlineStr">
        <is>
          <t>95,75</t>
        </is>
      </c>
      <c r="N1187" s="63" t="inlineStr">
        <is>
          <t>1,00</t>
        </is>
      </c>
      <c r="O1187" s="63" t="inlineStr">
        <is>
          <t>34,51</t>
        </is>
      </c>
      <c r="P1187" s="63" t="inlineStr">
        <is>
          <t>62,70</t>
        </is>
      </c>
      <c r="Q1187" s="63" t="inlineStr">
        <is>
          <t>72,74</t>
        </is>
      </c>
    </row>
    <row r="1188">
      <c r="A1188" s="66" t="n">
        <v>46163</v>
      </c>
      <c r="B1188" s="65" t="n">
        <v>85</v>
      </c>
      <c r="C1188" s="65" t="inlineStr">
        <is>
          <t>00-00000413</t>
        </is>
      </c>
      <c r="D1188" s="65" t="inlineStr">
        <is>
          <t>S00082</t>
        </is>
      </c>
      <c r="E1188" s="65" t="inlineStr">
        <is>
          <t>Pedro Castro</t>
        </is>
      </c>
      <c r="F1188" s="63" t="inlineStr">
        <is>
          <t>535.383,78</t>
        </is>
      </c>
      <c r="G1188" s="63" t="inlineStr">
        <is>
          <t>621.045,18</t>
        </is>
      </c>
      <c r="H1188" s="63" t="inlineStr">
        <is>
          <t>1.250,00</t>
        </is>
      </c>
      <c r="I1188" s="63" t="inlineStr">
        <is>
          <t>496,83</t>
        </is>
      </c>
      <c r="J1188" s="65" t="n">
        <v>97</v>
      </c>
      <c r="K1188" s="65" t="n">
        <v>602</v>
      </c>
      <c r="L1188" s="65" t="inlineStr">
        <is>
          <t>[0602] SINOCO SAE 50 (PAILA)</t>
        </is>
      </c>
      <c r="M1188" s="63" t="inlineStr">
        <is>
          <t>76,33</t>
        </is>
      </c>
      <c r="N1188" s="63" t="inlineStr">
        <is>
          <t>10,00</t>
        </is>
      </c>
      <c r="O1188" s="63" t="inlineStr">
        <is>
          <t>27,38</t>
        </is>
      </c>
      <c r="P1188" s="63" t="inlineStr">
        <is>
          <t>554,33</t>
        </is>
      </c>
      <c r="Q1188" s="63" t="inlineStr">
        <is>
          <t>643,02</t>
        </is>
      </c>
    </row>
    <row r="1189">
      <c r="A1189" s="65" t="n"/>
      <c r="B1189" s="65" t="n"/>
      <c r="C1189" s="65" t="n"/>
      <c r="D1189" s="65" t="n"/>
      <c r="E1189" s="65" t="n"/>
      <c r="F1189" s="65" t="n"/>
      <c r="G1189" s="65" t="n"/>
      <c r="H1189" s="65" t="n"/>
      <c r="I1189" s="65" t="n"/>
      <c r="J1189" s="65" t="n">
        <v>191</v>
      </c>
      <c r="K1189" s="65" t="n"/>
      <c r="L1189" s="65" t="n"/>
      <c r="M1189" s="65" t="n"/>
      <c r="N1189" s="65" t="n"/>
      <c r="O1189" s="65" t="n"/>
      <c r="P1189" s="65" t="n"/>
      <c r="Q1189" s="65" t="n"/>
    </row>
    <row r="1190">
      <c r="A1190" s="65" t="n"/>
      <c r="B1190" s="65" t="n"/>
      <c r="C1190" s="65" t="n"/>
      <c r="D1190" s="65" t="n"/>
      <c r="E1190" s="65" t="n"/>
      <c r="F1190" s="65" t="n"/>
      <c r="G1190" s="65" t="n"/>
      <c r="H1190" s="65" t="n"/>
      <c r="I1190" s="65" t="n"/>
      <c r="J1190" s="65" t="n">
        <v>240</v>
      </c>
      <c r="K1190" s="65" t="n"/>
      <c r="L1190" s="65" t="n"/>
      <c r="M1190" s="65" t="n"/>
      <c r="N1190" s="65" t="n"/>
      <c r="O1190" s="65" t="n"/>
      <c r="P1190" s="65" t="n"/>
      <c r="Q1190" s="65" t="n"/>
    </row>
    <row r="1191">
      <c r="A1191" s="65" t="n"/>
      <c r="B1191" s="65" t="n"/>
      <c r="C1191" s="65" t="n"/>
      <c r="D1191" s="65" t="n"/>
      <c r="E1191" s="65" t="n"/>
      <c r="F1191" s="65" t="n"/>
      <c r="G1191" s="65" t="n"/>
      <c r="H1191" s="65" t="n"/>
      <c r="I1191" s="65" t="n"/>
      <c r="J1191" s="65" t="n">
        <v>289</v>
      </c>
      <c r="K1191" s="65" t="n"/>
      <c r="L1191" s="65" t="n"/>
      <c r="M1191" s="65" t="n"/>
      <c r="N1191" s="65" t="n"/>
      <c r="O1191" s="65" t="n"/>
      <c r="P1191" s="65" t="n"/>
      <c r="Q1191" s="65" t="n"/>
    </row>
    <row r="1192">
      <c r="A1192" s="65" t="n"/>
      <c r="B1192" s="65" t="n"/>
      <c r="C1192" s="65" t="n"/>
      <c r="D1192" s="65" t="n"/>
      <c r="E1192" s="65" t="n"/>
      <c r="F1192" s="65" t="n"/>
      <c r="G1192" s="65" t="n"/>
      <c r="H1192" s="65" t="n"/>
      <c r="I1192" s="65" t="n"/>
      <c r="J1192" s="65" t="n">
        <v>323</v>
      </c>
      <c r="K1192" s="65" t="n"/>
      <c r="L1192" s="65" t="n"/>
      <c r="M1192" s="65" t="n"/>
      <c r="N1192" s="65" t="n"/>
      <c r="O1192" s="65" t="n"/>
      <c r="P1192" s="65" t="n"/>
      <c r="Q1192" s="65" t="n"/>
    </row>
    <row r="1193">
      <c r="A1193" s="65" t="n"/>
      <c r="B1193" s="65" t="n"/>
      <c r="C1193" s="65" t="n"/>
      <c r="D1193" s="65" t="n"/>
      <c r="E1193" s="65" t="n"/>
      <c r="F1193" s="65" t="n"/>
      <c r="G1193" s="65" t="n"/>
      <c r="H1193" s="65" t="n"/>
      <c r="I1193" s="65" t="n"/>
      <c r="J1193" s="65" t="n">
        <v>397</v>
      </c>
      <c r="K1193" s="65" t="n"/>
      <c r="L1193" s="65" t="n"/>
      <c r="M1193" s="65" t="n"/>
      <c r="N1193" s="65" t="n"/>
      <c r="O1193" s="65" t="n"/>
      <c r="P1193" s="65" t="n"/>
      <c r="Q1193" s="65" t="n"/>
    </row>
    <row r="1194">
      <c r="A1194" s="65" t="n"/>
      <c r="B1194" s="65" t="n"/>
      <c r="C1194" s="65" t="n"/>
      <c r="D1194" s="65" t="n"/>
      <c r="E1194" s="65" t="n"/>
      <c r="F1194" s="65" t="n"/>
      <c r="G1194" s="65" t="n"/>
      <c r="H1194" s="65" t="n"/>
      <c r="I1194" s="65" t="n"/>
      <c r="J1194" s="65" t="n"/>
      <c r="K1194" s="65" t="n">
        <v>603</v>
      </c>
      <c r="L1194" s="65" t="inlineStr">
        <is>
          <t>[0603] SINOCO SAE 50 (Tambor)</t>
        </is>
      </c>
      <c r="M1194" s="63" t="inlineStr">
        <is>
          <t>720,56</t>
        </is>
      </c>
      <c r="N1194" s="63" t="inlineStr">
        <is>
          <t>1,00</t>
        </is>
      </c>
      <c r="O1194" s="63" t="inlineStr">
        <is>
          <t>27,38</t>
        </is>
      </c>
      <c r="P1194" s="63" t="inlineStr">
        <is>
          <t>523,27</t>
        </is>
      </c>
      <c r="Q1194" s="63" t="inlineStr">
        <is>
          <t>606,99</t>
        </is>
      </c>
    </row>
    <row r="1195">
      <c r="A1195" s="66" t="n">
        <v>46163</v>
      </c>
      <c r="B1195" s="65" t="n">
        <v>84</v>
      </c>
      <c r="C1195" s="65" t="inlineStr">
        <is>
          <t>00-00000412</t>
        </is>
      </c>
      <c r="D1195" s="65" t="inlineStr">
        <is>
          <t>S00130</t>
        </is>
      </c>
      <c r="E1195" s="65" t="inlineStr">
        <is>
          <t>TALLER TNMCAR, C.A</t>
        </is>
      </c>
      <c r="F1195" s="63" t="inlineStr">
        <is>
          <t>230.798,82</t>
        </is>
      </c>
      <c r="G1195" s="63" t="inlineStr">
        <is>
          <t>267.726,64</t>
        </is>
      </c>
      <c r="H1195" s="63" t="inlineStr">
        <is>
          <t>564,92</t>
        </is>
      </c>
      <c r="I1195" s="63" t="inlineStr">
        <is>
          <t>473,87</t>
        </is>
      </c>
      <c r="J1195" s="65" t="n">
        <v>235</v>
      </c>
      <c r="K1195" s="65" t="n">
        <v>877</v>
      </c>
      <c r="L1195" s="65" t="inlineStr">
        <is>
          <t>[0877] SS EXTRA PROTECCION API SN SAE 15W-40 (1X12)</t>
        </is>
      </c>
      <c r="M1195" s="63" t="inlineStr">
        <is>
          <t>79,57</t>
        </is>
      </c>
      <c r="N1195" s="63" t="inlineStr">
        <is>
          <t>1,00</t>
        </is>
      </c>
      <c r="O1195" s="63" t="inlineStr">
        <is>
          <t>22,27</t>
        </is>
      </c>
      <c r="P1195" s="63" t="inlineStr">
        <is>
          <t>61,85</t>
        </is>
      </c>
      <c r="Q1195" s="63" t="inlineStr">
        <is>
          <t>71,74</t>
        </is>
      </c>
    </row>
    <row r="1196">
      <c r="A1196" s="65" t="n"/>
      <c r="B1196" s="65" t="n"/>
      <c r="C1196" s="65" t="n"/>
      <c r="D1196" s="65" t="n"/>
      <c r="E1196" s="65" t="n"/>
      <c r="F1196" s="65" t="n"/>
      <c r="G1196" s="65" t="n"/>
      <c r="H1196" s="65" t="n"/>
      <c r="I1196" s="65" t="n"/>
      <c r="J1196" s="65" t="n"/>
      <c r="K1196" s="65" t="n"/>
      <c r="L1196" s="65" t="n"/>
      <c r="M1196" s="63" t="inlineStr">
        <is>
          <t>0,00</t>
        </is>
      </c>
      <c r="N1196" s="63" t="inlineStr">
        <is>
          <t>0,00</t>
        </is>
      </c>
      <c r="O1196" s="63" t="inlineStr">
        <is>
          <t>0,00</t>
        </is>
      </c>
      <c r="P1196" s="63" t="inlineStr">
        <is>
          <t>0,00</t>
        </is>
      </c>
      <c r="Q1196" s="63" t="inlineStr">
        <is>
          <t>0,00</t>
        </is>
      </c>
    </row>
    <row r="1197">
      <c r="A1197" s="65" t="n"/>
      <c r="B1197" s="65" t="n"/>
      <c r="C1197" s="65" t="n"/>
      <c r="D1197" s="65" t="n"/>
      <c r="E1197" s="65" t="n"/>
      <c r="F1197" s="65" t="n"/>
      <c r="G1197" s="65" t="n"/>
      <c r="H1197" s="65" t="n"/>
      <c r="I1197" s="65" t="n"/>
      <c r="J1197" s="65" t="n"/>
      <c r="K1197" s="65" t="n">
        <v>880</v>
      </c>
      <c r="L1197" s="65" t="inlineStr">
        <is>
          <t>[0880] CLASICO API SL SAE 15W-40 (1x12)</t>
        </is>
      </c>
      <c r="M1197" s="63" t="inlineStr">
        <is>
          <t>68,52</t>
        </is>
      </c>
      <c r="N1197" s="63" t="inlineStr">
        <is>
          <t>1,00</t>
        </is>
      </c>
      <c r="O1197" s="63" t="inlineStr">
        <is>
          <t>22,27</t>
        </is>
      </c>
      <c r="P1197" s="63" t="inlineStr">
        <is>
          <t>53,26</t>
        </is>
      </c>
      <c r="Q1197" s="63" t="inlineStr">
        <is>
          <t>61,78</t>
        </is>
      </c>
    </row>
    <row r="1198">
      <c r="A1198" s="65" t="n"/>
      <c r="B1198" s="65" t="n"/>
      <c r="C1198" s="65" t="n"/>
      <c r="D1198" s="65" t="n"/>
      <c r="E1198" s="65" t="n"/>
      <c r="F1198" s="65" t="n"/>
      <c r="G1198" s="65" t="n"/>
      <c r="H1198" s="65" t="n"/>
      <c r="I1198" s="65" t="n"/>
      <c r="J1198" s="65" t="n"/>
      <c r="K1198" s="65" t="n">
        <v>878</v>
      </c>
      <c r="L1198" s="65" t="inlineStr">
        <is>
          <t>[0878] SS EXTRA PROTECCION API SN SAE 20W-50 (1x12)</t>
        </is>
      </c>
      <c r="M1198" s="63" t="inlineStr">
        <is>
          <t>79,57</t>
        </is>
      </c>
      <c r="N1198" s="63" t="inlineStr">
        <is>
          <t>1,00</t>
        </is>
      </c>
      <c r="O1198" s="63" t="inlineStr">
        <is>
          <t>22,27</t>
        </is>
      </c>
      <c r="P1198" s="63" t="inlineStr">
        <is>
          <t>61,85</t>
        </is>
      </c>
      <c r="Q1198" s="63" t="inlineStr">
        <is>
          <t>71,74</t>
        </is>
      </c>
    </row>
    <row r="1199">
      <c r="A1199" s="65" t="n"/>
      <c r="B1199" s="65" t="n"/>
      <c r="C1199" s="65" t="n"/>
      <c r="D1199" s="65" t="n"/>
      <c r="E1199" s="65" t="n"/>
      <c r="F1199" s="65" t="n"/>
      <c r="G1199" s="65" t="n"/>
      <c r="H1199" s="65" t="n"/>
      <c r="I1199" s="65" t="n"/>
      <c r="J1199" s="65" t="n"/>
      <c r="K1199" s="65" t="n">
        <v>881</v>
      </c>
      <c r="L1199" s="65" t="inlineStr">
        <is>
          <t>[0881] CLASICO API SL SAE 20W-50 (1x12)</t>
        </is>
      </c>
      <c r="M1199" s="63" t="inlineStr">
        <is>
          <t>69,62</t>
        </is>
      </c>
      <c r="N1199" s="63" t="inlineStr">
        <is>
          <t>1,00</t>
        </is>
      </c>
      <c r="O1199" s="63" t="inlineStr">
        <is>
          <t>22,27</t>
        </is>
      </c>
      <c r="P1199" s="63" t="inlineStr">
        <is>
          <t>54,12</t>
        </is>
      </c>
      <c r="Q1199" s="63" t="inlineStr">
        <is>
          <t>62,78</t>
        </is>
      </c>
    </row>
    <row r="1200">
      <c r="A1200" s="65" t="n"/>
      <c r="B1200" s="65" t="n"/>
      <c r="C1200" s="65" t="n"/>
      <c r="D1200" s="65" t="n"/>
      <c r="E1200" s="65" t="n"/>
      <c r="F1200" s="65" t="n"/>
      <c r="G1200" s="65" t="n"/>
      <c r="H1200" s="65" t="n"/>
      <c r="I1200" s="65" t="n"/>
      <c r="J1200" s="65" t="n"/>
      <c r="K1200" s="65" t="n">
        <v>887</v>
      </c>
      <c r="L1200" s="65" t="inlineStr">
        <is>
          <t>[0887] MOTOCLASICO 4T SAE 20W-50 (1x12)</t>
        </is>
      </c>
      <c r="M1200" s="63" t="inlineStr">
        <is>
          <t>72,94</t>
        </is>
      </c>
      <c r="N1200" s="63" t="inlineStr">
        <is>
          <t>1,00</t>
        </is>
      </c>
      <c r="O1200" s="63" t="inlineStr">
        <is>
          <t>22,27</t>
        </is>
      </c>
      <c r="P1200" s="63" t="inlineStr">
        <is>
          <t>56,69</t>
        </is>
      </c>
      <c r="Q1200" s="63" t="inlineStr">
        <is>
          <t>65,76</t>
        </is>
      </c>
    </row>
    <row r="1201">
      <c r="A1201" s="65" t="n"/>
      <c r="B1201" s="65" t="n"/>
      <c r="C1201" s="65" t="n"/>
      <c r="D1201" s="65" t="n"/>
      <c r="E1201" s="65" t="n"/>
      <c r="F1201" s="65" t="n"/>
      <c r="G1201" s="65" t="n"/>
      <c r="H1201" s="65" t="n"/>
      <c r="I1201" s="65" t="n"/>
      <c r="J1201" s="65" t="n"/>
      <c r="K1201" s="65" t="n">
        <v>779</v>
      </c>
      <c r="L1201" s="65" t="inlineStr">
        <is>
          <t>[0779] SINOCO SAE 20W-50 (1x12)</t>
        </is>
      </c>
      <c r="M1201" s="63" t="inlineStr">
        <is>
          <t>53,04</t>
        </is>
      </c>
      <c r="N1201" s="63" t="inlineStr">
        <is>
          <t>2,00</t>
        </is>
      </c>
      <c r="O1201" s="63" t="inlineStr">
        <is>
          <t>22,27</t>
        </is>
      </c>
      <c r="P1201" s="63" t="inlineStr">
        <is>
          <t>82,46</t>
        </is>
      </c>
      <c r="Q1201" s="63" t="inlineStr">
        <is>
          <t>95,66</t>
        </is>
      </c>
    </row>
    <row r="1202">
      <c r="A1202" s="65" t="n"/>
      <c r="B1202" s="65" t="n"/>
      <c r="C1202" s="65" t="n"/>
      <c r="D1202" s="65" t="n"/>
      <c r="E1202" s="65" t="n"/>
      <c r="F1202" s="65" t="n"/>
      <c r="G1202" s="65" t="n"/>
      <c r="H1202" s="65" t="n"/>
      <c r="I1202" s="65" t="n"/>
      <c r="J1202" s="65" t="n"/>
      <c r="K1202" s="65" t="n">
        <v>884</v>
      </c>
      <c r="L1202" s="65" t="inlineStr">
        <is>
          <t>[0884] TRANSMATIC ATF DEXRON III (1x12)</t>
        </is>
      </c>
      <c r="M1202" s="63" t="inlineStr">
        <is>
          <t>74,04</t>
        </is>
      </c>
      <c r="N1202" s="63" t="inlineStr">
        <is>
          <t>1,00</t>
        </is>
      </c>
      <c r="O1202" s="63" t="inlineStr">
        <is>
          <t>22,27</t>
        </is>
      </c>
      <c r="P1202" s="63" t="inlineStr">
        <is>
          <t>57,55</t>
        </is>
      </c>
      <c r="Q1202" s="63" t="inlineStr">
        <is>
          <t>66,76</t>
        </is>
      </c>
    </row>
    <row r="1203">
      <c r="A1203" s="65" t="n"/>
      <c r="B1203" s="65" t="n"/>
      <c r="C1203" s="65" t="n"/>
      <c r="D1203" s="65" t="n"/>
      <c r="E1203" s="65" t="n"/>
      <c r="F1203" s="65" t="n"/>
      <c r="G1203" s="65" t="n"/>
      <c r="H1203" s="65" t="n"/>
      <c r="I1203" s="65" t="n"/>
      <c r="J1203" s="65" t="n"/>
      <c r="K1203" s="65" t="n">
        <v>25</v>
      </c>
      <c r="L1203" s="65" t="inlineStr">
        <is>
          <t>[0025] SS EXTRA PROTECCION API SN SAE 10W-30 (Gasolina) (1x6)</t>
        </is>
      </c>
      <c r="M1203" s="63" t="inlineStr">
        <is>
          <t>39,78</t>
        </is>
      </c>
      <c r="N1203" s="63" t="inlineStr">
        <is>
          <t>1,00</t>
        </is>
      </c>
      <c r="O1203" s="63" t="inlineStr">
        <is>
          <t>22,27</t>
        </is>
      </c>
      <c r="P1203" s="63" t="inlineStr">
        <is>
          <t>30,92</t>
        </is>
      </c>
      <c r="Q1203" s="63" t="inlineStr">
        <is>
          <t>35,87</t>
        </is>
      </c>
    </row>
    <row r="1204">
      <c r="A1204" s="65" t="n"/>
      <c r="B1204" s="65" t="n"/>
      <c r="C1204" s="65" t="n"/>
      <c r="D1204" s="65" t="n"/>
      <c r="E1204" s="65" t="n"/>
      <c r="F1204" s="65" t="n"/>
      <c r="G1204" s="65" t="n"/>
      <c r="H1204" s="65" t="n"/>
      <c r="I1204" s="65" t="n"/>
      <c r="J1204" s="65" t="n"/>
      <c r="K1204" s="65" t="n">
        <v>87</v>
      </c>
      <c r="L1204" s="65" t="inlineStr">
        <is>
          <t>[0087] ENDUROGLOB 2T AIRE (1x6)</t>
        </is>
      </c>
      <c r="M1204" s="63" t="inlineStr">
        <is>
          <t>36,47</t>
        </is>
      </c>
      <c r="N1204" s="63" t="inlineStr">
        <is>
          <t>1,00</t>
        </is>
      </c>
      <c r="O1204" s="63" t="inlineStr">
        <is>
          <t>22,27</t>
        </is>
      </c>
      <c r="P1204" s="63" t="inlineStr">
        <is>
          <t>28,35</t>
        </is>
      </c>
      <c r="Q1204" s="63" t="inlineStr">
        <is>
          <t>32,88</t>
        </is>
      </c>
    </row>
    <row r="1205">
      <c r="A1205" s="66" t="n">
        <v>46163</v>
      </c>
      <c r="B1205" s="65" t="n">
        <v>83</v>
      </c>
      <c r="C1205" s="65" t="inlineStr">
        <is>
          <t>00-00000410</t>
        </is>
      </c>
      <c r="D1205" s="65" t="inlineStr">
        <is>
          <t>S00121</t>
        </is>
      </c>
      <c r="E1205" s="65" t="inlineStr">
        <is>
          <t>Jose Lopez Espinoza</t>
        </is>
      </c>
      <c r="F1205" s="63" t="inlineStr">
        <is>
          <t>152.259,81</t>
        </is>
      </c>
      <c r="G1205" s="63" t="inlineStr">
        <is>
          <t>176.621,37</t>
        </is>
      </c>
      <c r="H1205" s="63" t="inlineStr">
        <is>
          <t>372,69</t>
        </is>
      </c>
      <c r="I1205" s="63" t="inlineStr">
        <is>
          <t>473,87</t>
        </is>
      </c>
      <c r="J1205" s="65" t="n">
        <v>48</v>
      </c>
      <c r="K1205" s="65" t="n">
        <v>779</v>
      </c>
      <c r="L1205" s="65" t="inlineStr">
        <is>
          <t>[0779] SINOCO SAE 20W-50 (1x12)</t>
        </is>
      </c>
      <c r="M1205" s="63" t="inlineStr">
        <is>
          <t>68,59</t>
        </is>
      </c>
      <c r="N1205" s="63" t="inlineStr">
        <is>
          <t>2,00</t>
        </is>
      </c>
      <c r="O1205" s="63" t="inlineStr">
        <is>
          <t>13,69</t>
        </is>
      </c>
      <c r="P1205" s="63" t="inlineStr">
        <is>
          <t>118,41</t>
        </is>
      </c>
      <c r="Q1205" s="63" t="inlineStr">
        <is>
          <t>137,35</t>
        </is>
      </c>
    </row>
    <row r="1206">
      <c r="A1206" s="65" t="n"/>
      <c r="B1206" s="65" t="n"/>
      <c r="C1206" s="65" t="n"/>
      <c r="D1206" s="65" t="n"/>
      <c r="E1206" s="65" t="n"/>
      <c r="F1206" s="65" t="n"/>
      <c r="G1206" s="65" t="n"/>
      <c r="H1206" s="65" t="n"/>
      <c r="I1206" s="65" t="n"/>
      <c r="J1206" s="65" t="n">
        <v>105</v>
      </c>
      <c r="K1206" s="65" t="n"/>
      <c r="L1206" s="65" t="n"/>
      <c r="M1206" s="65" t="n"/>
      <c r="N1206" s="65" t="n"/>
      <c r="O1206" s="65" t="n"/>
      <c r="P1206" s="65" t="n"/>
      <c r="Q1206" s="65" t="n"/>
    </row>
    <row r="1207">
      <c r="A1207" s="65" t="n"/>
      <c r="B1207" s="65" t="n"/>
      <c r="C1207" s="65" t="n"/>
      <c r="D1207" s="65" t="n"/>
      <c r="E1207" s="65" t="n"/>
      <c r="F1207" s="65" t="n"/>
      <c r="G1207" s="65" t="n"/>
      <c r="H1207" s="65" t="n"/>
      <c r="I1207" s="65" t="n"/>
      <c r="J1207" s="65" t="n">
        <v>121</v>
      </c>
      <c r="K1207" s="65" t="n"/>
      <c r="L1207" s="65" t="n"/>
      <c r="M1207" s="65" t="n"/>
      <c r="N1207" s="65" t="n"/>
      <c r="O1207" s="65" t="n"/>
      <c r="P1207" s="65" t="n"/>
      <c r="Q1207" s="65" t="n"/>
    </row>
    <row r="1208">
      <c r="A1208" s="65" t="n"/>
      <c r="B1208" s="65" t="n"/>
      <c r="C1208" s="65" t="n"/>
      <c r="D1208" s="65" t="n"/>
      <c r="E1208" s="65" t="n"/>
      <c r="F1208" s="65" t="n"/>
      <c r="G1208" s="65" t="n"/>
      <c r="H1208" s="65" t="n"/>
      <c r="I1208" s="65" t="n"/>
      <c r="J1208" s="65" t="n">
        <v>179</v>
      </c>
      <c r="K1208" s="65" t="n"/>
      <c r="L1208" s="65" t="n"/>
      <c r="M1208" s="65" t="n"/>
      <c r="N1208" s="65" t="n"/>
      <c r="O1208" s="65" t="n"/>
      <c r="P1208" s="65" t="n"/>
      <c r="Q1208" s="65" t="n"/>
    </row>
    <row r="1209">
      <c r="A1209" s="65" t="n"/>
      <c r="B1209" s="65" t="n"/>
      <c r="C1209" s="65" t="n"/>
      <c r="D1209" s="65" t="n"/>
      <c r="E1209" s="65" t="n"/>
      <c r="F1209" s="65" t="n"/>
      <c r="G1209" s="65" t="n"/>
      <c r="H1209" s="65" t="n"/>
      <c r="I1209" s="65" t="n"/>
      <c r="J1209" s="65" t="n"/>
      <c r="K1209" s="65" t="n"/>
      <c r="L1209" s="65" t="n"/>
      <c r="M1209" s="63" t="inlineStr">
        <is>
          <t>0,00</t>
        </is>
      </c>
      <c r="N1209" s="63" t="inlineStr">
        <is>
          <t>0,00</t>
        </is>
      </c>
      <c r="O1209" s="63" t="inlineStr">
        <is>
          <t>0,00</t>
        </is>
      </c>
      <c r="P1209" s="63" t="inlineStr">
        <is>
          <t>0,00</t>
        </is>
      </c>
      <c r="Q1209" s="63" t="inlineStr">
        <is>
          <t>0,00</t>
        </is>
      </c>
    </row>
    <row r="1210">
      <c r="A1210" s="65" t="n"/>
      <c r="B1210" s="65" t="n"/>
      <c r="C1210" s="65" t="n"/>
      <c r="D1210" s="65" t="n"/>
      <c r="E1210" s="65" t="n"/>
      <c r="F1210" s="65" t="n"/>
      <c r="G1210" s="65" t="n"/>
      <c r="H1210" s="65" t="n"/>
      <c r="I1210" s="65" t="n"/>
      <c r="J1210" s="65" t="n"/>
      <c r="K1210" s="65" t="n">
        <v>877</v>
      </c>
      <c r="L1210" s="65" t="inlineStr">
        <is>
          <t>[0877] SS EXTRA PROTECCION API SN SAE 15W-40 (1X12)</t>
        </is>
      </c>
      <c r="M1210" s="63" t="inlineStr">
        <is>
          <t>102,89</t>
        </is>
      </c>
      <c r="N1210" s="63" t="inlineStr">
        <is>
          <t>1,00</t>
        </is>
      </c>
      <c r="O1210" s="63" t="inlineStr">
        <is>
          <t>13,69</t>
        </is>
      </c>
      <c r="P1210" s="63" t="inlineStr">
        <is>
          <t>88,80</t>
        </is>
      </c>
      <c r="Q1210" s="63" t="inlineStr">
        <is>
          <t>103,01</t>
        </is>
      </c>
    </row>
    <row r="1211">
      <c r="A1211" s="65" t="n"/>
      <c r="B1211" s="65" t="n"/>
      <c r="C1211" s="65" t="n"/>
      <c r="D1211" s="65" t="n"/>
      <c r="E1211" s="65" t="n"/>
      <c r="F1211" s="65" t="n"/>
      <c r="G1211" s="65" t="n"/>
      <c r="H1211" s="65" t="n"/>
      <c r="I1211" s="65" t="n"/>
      <c r="J1211" s="65" t="n"/>
      <c r="K1211" s="65" t="n">
        <v>880</v>
      </c>
      <c r="L1211" s="65" t="inlineStr">
        <is>
          <t>[0880] CLASICO API SL SAE 15W-40 (1x12)</t>
        </is>
      </c>
      <c r="M1211" s="63" t="inlineStr">
        <is>
          <t>88,60</t>
        </is>
      </c>
      <c r="N1211" s="63" t="inlineStr">
        <is>
          <t>1,00</t>
        </is>
      </c>
      <c r="O1211" s="63" t="inlineStr">
        <is>
          <t>13,69</t>
        </is>
      </c>
      <c r="P1211" s="63" t="inlineStr">
        <is>
          <t>76,47</t>
        </is>
      </c>
      <c r="Q1211" s="63" t="inlineStr">
        <is>
          <t>88,70</t>
        </is>
      </c>
    </row>
    <row r="1212">
      <c r="A1212" s="65" t="n"/>
      <c r="B1212" s="65" t="n"/>
      <c r="C1212" s="65" t="n"/>
      <c r="D1212" s="65" t="n"/>
      <c r="E1212" s="65" t="n"/>
      <c r="F1212" s="65" t="n"/>
      <c r="G1212" s="65" t="n"/>
      <c r="H1212" s="65" t="n"/>
      <c r="I1212" s="65" t="n"/>
      <c r="J1212" s="65" t="n"/>
      <c r="K1212" s="65" t="n">
        <v>121</v>
      </c>
      <c r="L1212" s="65" t="inlineStr">
        <is>
          <t>[0121] TRANSGLOB API GL-5 SAE 80W-90 (1x6)</t>
        </is>
      </c>
      <c r="M1212" s="63" t="inlineStr">
        <is>
          <t>43,61</t>
        </is>
      </c>
      <c r="N1212" s="63" t="inlineStr">
        <is>
          <t>1,00</t>
        </is>
      </c>
      <c r="O1212" s="63" t="inlineStr">
        <is>
          <t>13,69</t>
        </is>
      </c>
      <c r="P1212" s="63" t="inlineStr">
        <is>
          <t>37,64</t>
        </is>
      </c>
      <c r="Q1212" s="63" t="inlineStr">
        <is>
          <t>43,66</t>
        </is>
      </c>
    </row>
    <row r="1213">
      <c r="A1213" s="66" t="n">
        <v>46163</v>
      </c>
      <c r="B1213" s="65" t="n">
        <v>82</v>
      </c>
      <c r="C1213" s="65" t="inlineStr">
        <is>
          <t>00-00000409</t>
        </is>
      </c>
      <c r="D1213" s="65" t="inlineStr">
        <is>
          <t>S00117</t>
        </is>
      </c>
      <c r="E1213" s="65" t="inlineStr">
        <is>
          <t>Jose Becerra</t>
        </is>
      </c>
      <c r="F1213" s="63" t="inlineStr">
        <is>
          <t>57.193,14</t>
        </is>
      </c>
      <c r="G1213" s="63" t="inlineStr">
        <is>
          <t>66.344,04</t>
        </is>
      </c>
      <c r="H1213" s="63" t="inlineStr">
        <is>
          <t>139,99</t>
        </is>
      </c>
      <c r="I1213" s="63" t="inlineStr">
        <is>
          <t>473,87</t>
        </is>
      </c>
      <c r="J1213" s="65" t="n">
        <v>188</v>
      </c>
      <c r="K1213" s="65" t="n">
        <v>605</v>
      </c>
      <c r="L1213" s="65" t="inlineStr">
        <is>
          <t>[0605] SINOCO SAE 20W-50 (PAILA)</t>
        </is>
      </c>
      <c r="M1213" s="63" t="inlineStr">
        <is>
          <t>57,76</t>
        </is>
      </c>
      <c r="N1213" s="63" t="inlineStr">
        <is>
          <t>1,00</t>
        </is>
      </c>
      <c r="O1213" s="63" t="inlineStr">
        <is>
          <t>38,81</t>
        </is>
      </c>
      <c r="P1213" s="63" t="inlineStr">
        <is>
          <t>58,18</t>
        </is>
      </c>
      <c r="Q1213" s="63" t="inlineStr">
        <is>
          <t>67,49</t>
        </is>
      </c>
    </row>
    <row r="1214">
      <c r="A1214" s="65" t="n"/>
      <c r="B1214" s="65" t="n"/>
      <c r="C1214" s="65" t="n"/>
      <c r="D1214" s="65" t="n"/>
      <c r="E1214" s="65" t="n"/>
      <c r="F1214" s="65" t="n"/>
      <c r="G1214" s="65" t="n"/>
      <c r="H1214" s="65" t="n"/>
      <c r="I1214" s="65" t="n"/>
      <c r="J1214" s="65" t="n"/>
      <c r="K1214" s="65" t="n">
        <v>779</v>
      </c>
      <c r="L1214" s="65" t="inlineStr">
        <is>
          <t>[0779] SINOCO SAE 20W-50 (1x12)</t>
        </is>
      </c>
      <c r="M1214" s="63" t="inlineStr">
        <is>
          <t>41,38</t>
        </is>
      </c>
      <c r="N1214" s="63" t="inlineStr">
        <is>
          <t>1,00</t>
        </is>
      </c>
      <c r="O1214" s="63" t="inlineStr">
        <is>
          <t>38,82</t>
        </is>
      </c>
      <c r="P1214" s="63" t="inlineStr">
        <is>
          <t>41,67</t>
        </is>
      </c>
      <c r="Q1214" s="63" t="inlineStr">
        <is>
          <t>48,34</t>
        </is>
      </c>
    </row>
    <row r="1215">
      <c r="A1215" s="65" t="n"/>
      <c r="B1215" s="65" t="n"/>
      <c r="C1215" s="65" t="n"/>
      <c r="D1215" s="65" t="n"/>
      <c r="E1215" s="65" t="n"/>
      <c r="F1215" s="65" t="n"/>
      <c r="G1215" s="65" t="n"/>
      <c r="H1215" s="65" t="n"/>
      <c r="I1215" s="65" t="n"/>
      <c r="J1215" s="65" t="n"/>
      <c r="K1215" s="65" t="n">
        <v>761</v>
      </c>
      <c r="L1215" s="65" t="inlineStr">
        <is>
          <t>[0761] LIGA PARA FRENOS DOT-3 (1x12)</t>
        </is>
      </c>
      <c r="M1215" s="63" t="inlineStr">
        <is>
          <t>20,69</t>
        </is>
      </c>
      <c r="N1215" s="63" t="inlineStr">
        <is>
          <t>1,00</t>
        </is>
      </c>
      <c r="O1215" s="63" t="inlineStr">
        <is>
          <t>38,80</t>
        </is>
      </c>
      <c r="P1215" s="63" t="inlineStr">
        <is>
          <t>20,84</t>
        </is>
      </c>
      <c r="Q1215" s="63" t="inlineStr">
        <is>
          <t>24,17</t>
        </is>
      </c>
    </row>
    <row r="1216">
      <c r="A1216" s="66" t="n">
        <v>46162</v>
      </c>
      <c r="B1216" s="65" t="n">
        <v>81</v>
      </c>
      <c r="C1216" s="65" t="inlineStr">
        <is>
          <t>00-00000408</t>
        </is>
      </c>
      <c r="D1216" s="65" t="inlineStr">
        <is>
          <t>S00100</t>
        </is>
      </c>
      <c r="E1216" s="65" t="inlineStr">
        <is>
          <t>Diana Carolina Torres</t>
        </is>
      </c>
      <c r="F1216" s="63" t="inlineStr">
        <is>
          <t>80.701,02</t>
        </is>
      </c>
      <c r="G1216" s="63" t="inlineStr">
        <is>
          <t>93.613,18</t>
        </is>
      </c>
      <c r="H1216" s="63" t="inlineStr">
        <is>
          <t>197,54</t>
        </is>
      </c>
      <c r="I1216" s="63" t="inlineStr">
        <is>
          <t>473,87</t>
        </is>
      </c>
      <c r="J1216" s="65" t="n">
        <v>72</v>
      </c>
      <c r="K1216" s="65" t="n">
        <v>602</v>
      </c>
      <c r="L1216" s="65" t="inlineStr">
        <is>
          <t>[0602] SINOCO SAE 50 (PAILA)</t>
        </is>
      </c>
      <c r="M1216" s="63" t="inlineStr">
        <is>
          <t>93,60</t>
        </is>
      </c>
      <c r="N1216" s="63" t="inlineStr">
        <is>
          <t>2,00</t>
        </is>
      </c>
      <c r="O1216" s="63" t="inlineStr">
        <is>
          <t>9,03</t>
        </is>
      </c>
      <c r="P1216" s="63" t="inlineStr">
        <is>
          <t>170,30</t>
        </is>
      </c>
      <c r="Q1216" s="63" t="inlineStr">
        <is>
          <t>197,55</t>
        </is>
      </c>
    </row>
    <row r="1217">
      <c r="A1217" s="65" t="n"/>
      <c r="B1217" s="65" t="n"/>
      <c r="C1217" s="65" t="n"/>
      <c r="D1217" s="65" t="n"/>
      <c r="E1217" s="65" t="n"/>
      <c r="F1217" s="65" t="n"/>
      <c r="G1217" s="65" t="n"/>
      <c r="H1217" s="65" t="n"/>
      <c r="I1217" s="65" t="n"/>
      <c r="J1217" s="65" t="n">
        <v>186</v>
      </c>
      <c r="K1217" s="65" t="n"/>
      <c r="L1217" s="65" t="n"/>
      <c r="M1217" s="65" t="n"/>
      <c r="N1217" s="65" t="n"/>
      <c r="O1217" s="65" t="n"/>
      <c r="P1217" s="65" t="n"/>
      <c r="Q1217" s="65" t="n"/>
    </row>
    <row r="1218">
      <c r="A1218" s="66" t="n">
        <v>46162</v>
      </c>
      <c r="B1218" s="65" t="n">
        <v>80</v>
      </c>
      <c r="C1218" s="65" t="inlineStr">
        <is>
          <t>00-00000400</t>
        </is>
      </c>
      <c r="D1218" s="65" t="inlineStr">
        <is>
          <t>S00101</t>
        </is>
      </c>
      <c r="E1218" s="65" t="inlineStr">
        <is>
          <t>INVERSIONES JOSCAR XXI, S.A.</t>
        </is>
      </c>
      <c r="F1218" s="63" t="inlineStr">
        <is>
          <t>51.643,43</t>
        </is>
      </c>
      <c r="G1218" s="63" t="inlineStr">
        <is>
          <t>59.906,38</t>
        </is>
      </c>
      <c r="H1218" s="63" t="inlineStr">
        <is>
          <t>120,56</t>
        </is>
      </c>
      <c r="I1218" s="63" t="inlineStr">
        <is>
          <t>496,83</t>
        </is>
      </c>
      <c r="J1218" s="65" t="n">
        <v>92</v>
      </c>
      <c r="K1218" s="65" t="n">
        <v>779</v>
      </c>
      <c r="L1218" s="65" t="inlineStr">
        <is>
          <t>[0779] SINOCO SAE 20W-50 (1x12)</t>
        </is>
      </c>
      <c r="M1218" s="63" t="inlineStr">
        <is>
          <t>41,38</t>
        </is>
      </c>
      <c r="N1218" s="63" t="inlineStr">
        <is>
          <t>1,00</t>
        </is>
      </c>
      <c r="O1218" s="63" t="inlineStr">
        <is>
          <t>0,00</t>
        </is>
      </c>
      <c r="P1218" s="63" t="inlineStr">
        <is>
          <t>43,39</t>
        </is>
      </c>
      <c r="Q1218" s="63" t="inlineStr">
        <is>
          <t>50,33</t>
        </is>
      </c>
    </row>
    <row r="1219">
      <c r="A1219" s="65" t="n"/>
      <c r="B1219" s="65" t="n"/>
      <c r="C1219" s="65" t="n"/>
      <c r="D1219" s="65" t="n"/>
      <c r="E1219" s="65" t="n"/>
      <c r="F1219" s="65" t="n"/>
      <c r="G1219" s="65" t="n"/>
      <c r="H1219" s="65" t="n"/>
      <c r="I1219" s="65" t="n"/>
      <c r="J1219" s="65" t="n">
        <v>236</v>
      </c>
      <c r="K1219" s="65" t="n"/>
      <c r="L1219" s="65" t="n"/>
      <c r="M1219" s="65" t="n"/>
      <c r="N1219" s="65" t="n"/>
      <c r="O1219" s="65" t="n"/>
      <c r="P1219" s="65" t="n"/>
      <c r="Q1219" s="65" t="n"/>
    </row>
    <row r="1220">
      <c r="A1220" s="65" t="n"/>
      <c r="B1220" s="65" t="n"/>
      <c r="C1220" s="65" t="n"/>
      <c r="D1220" s="65" t="n"/>
      <c r="E1220" s="65" t="n"/>
      <c r="F1220" s="65" t="n"/>
      <c r="G1220" s="65" t="n"/>
      <c r="H1220" s="65" t="n"/>
      <c r="I1220" s="65" t="n"/>
      <c r="J1220" s="65" t="n">
        <v>244</v>
      </c>
      <c r="K1220" s="65" t="n"/>
      <c r="L1220" s="65" t="n"/>
      <c r="M1220" s="65" t="n"/>
      <c r="N1220" s="65" t="n"/>
      <c r="O1220" s="65" t="n"/>
      <c r="P1220" s="65" t="n"/>
      <c r="Q1220" s="65" t="n"/>
    </row>
    <row r="1221">
      <c r="A1221" s="65" t="n"/>
      <c r="B1221" s="65" t="n"/>
      <c r="C1221" s="65" t="n"/>
      <c r="D1221" s="65" t="n"/>
      <c r="E1221" s="65" t="n"/>
      <c r="F1221" s="65" t="n"/>
      <c r="G1221" s="65" t="n"/>
      <c r="H1221" s="65" t="n"/>
      <c r="I1221" s="65" t="n"/>
      <c r="J1221" s="65" t="n"/>
      <c r="K1221" s="65" t="n">
        <v>884</v>
      </c>
      <c r="L1221" s="65" t="inlineStr">
        <is>
          <t>[0884] TRANSMATIC ATF DEXRON III (1x12)</t>
        </is>
      </c>
      <c r="M1221" s="63" t="inlineStr">
        <is>
          <t>57,76</t>
        </is>
      </c>
      <c r="N1221" s="63" t="inlineStr">
        <is>
          <t>1,00</t>
        </is>
      </c>
      <c r="O1221" s="63" t="inlineStr">
        <is>
          <t>0,00</t>
        </is>
      </c>
      <c r="P1221" s="63" t="inlineStr">
        <is>
          <t>60,56</t>
        </is>
      </c>
      <c r="Q1221" s="63" t="inlineStr">
        <is>
          <t>70,25</t>
        </is>
      </c>
    </row>
    <row r="1222">
      <c r="A1222" s="66" t="n">
        <v>46162</v>
      </c>
      <c r="B1222" s="65" t="n">
        <v>79</v>
      </c>
      <c r="C1222" s="65" t="inlineStr">
        <is>
          <t>00-00000399</t>
        </is>
      </c>
      <c r="D1222" s="65" t="inlineStr">
        <is>
          <t>S00168</t>
        </is>
      </c>
      <c r="E1222" s="65" t="inlineStr">
        <is>
          <t>ADS SERVICE C.A</t>
        </is>
      </c>
      <c r="F1222" s="63" t="inlineStr">
        <is>
          <t>102.131,80</t>
        </is>
      </c>
      <c r="G1222" s="63" t="inlineStr">
        <is>
          <t>118.472,89</t>
        </is>
      </c>
      <c r="H1222" s="63" t="inlineStr">
        <is>
          <t>249,99</t>
        </is>
      </c>
      <c r="I1222" s="63" t="inlineStr">
        <is>
          <t>473,87</t>
        </is>
      </c>
      <c r="J1222" s="65" t="n">
        <v>181</v>
      </c>
      <c r="K1222" s="65" t="n">
        <v>884</v>
      </c>
      <c r="L1222" s="65" t="inlineStr">
        <is>
          <t>[0884] TRANSMATIC ATF DEXRON III (1x12)</t>
        </is>
      </c>
      <c r="M1222" s="63" t="inlineStr">
        <is>
          <t>67,00</t>
        </is>
      </c>
      <c r="N1222" s="63" t="inlineStr">
        <is>
          <t>1,00</t>
        </is>
      </c>
      <c r="O1222" s="63" t="inlineStr">
        <is>
          <t>21,26</t>
        </is>
      </c>
      <c r="P1222" s="63" t="inlineStr">
        <is>
          <t>57,99</t>
        </is>
      </c>
      <c r="Q1222" s="63" t="inlineStr">
        <is>
          <t>67,27</t>
        </is>
      </c>
    </row>
    <row r="1223">
      <c r="A1223" s="65" t="n"/>
      <c r="B1223" s="65" t="n"/>
      <c r="C1223" s="65" t="n"/>
      <c r="D1223" s="65" t="n"/>
      <c r="E1223" s="65" t="n"/>
      <c r="F1223" s="65" t="n"/>
      <c r="G1223" s="65" t="n"/>
      <c r="H1223" s="65" t="n"/>
      <c r="I1223" s="65" t="n"/>
      <c r="J1223" s="65" t="n">
        <v>607</v>
      </c>
      <c r="K1223" s="65" t="n"/>
      <c r="L1223" s="65" t="n"/>
      <c r="M1223" s="65" t="n"/>
      <c r="N1223" s="65" t="n"/>
      <c r="O1223" s="65" t="n"/>
      <c r="P1223" s="65" t="n"/>
      <c r="Q1223" s="65" t="n"/>
    </row>
    <row r="1224">
      <c r="A1224" s="65" t="n"/>
      <c r="B1224" s="65" t="n"/>
      <c r="C1224" s="65" t="n"/>
      <c r="D1224" s="65" t="n"/>
      <c r="E1224" s="65" t="n"/>
      <c r="F1224" s="65" t="n"/>
      <c r="G1224" s="65" t="n"/>
      <c r="H1224" s="65" t="n"/>
      <c r="I1224" s="65" t="n"/>
      <c r="J1224" s="65" t="n"/>
      <c r="K1224" s="65" t="n">
        <v>877</v>
      </c>
      <c r="L1224" s="65" t="inlineStr">
        <is>
          <t>[0877] SS EXTRA PROTECCION API SN SAE 15W-40 (1X12)</t>
        </is>
      </c>
      <c r="M1224" s="63" t="inlineStr">
        <is>
          <t>72,00</t>
        </is>
      </c>
      <c r="N1224" s="63" t="inlineStr">
        <is>
          <t>1,00</t>
        </is>
      </c>
      <c r="O1224" s="63" t="inlineStr">
        <is>
          <t>21,26</t>
        </is>
      </c>
      <c r="P1224" s="63" t="inlineStr">
        <is>
          <t>62,32</t>
        </is>
      </c>
      <c r="Q1224" s="63" t="inlineStr">
        <is>
          <t>72,29</t>
        </is>
      </c>
    </row>
    <row r="1225">
      <c r="A1225" s="65" t="n"/>
      <c r="B1225" s="65" t="n"/>
      <c r="C1225" s="65" t="n"/>
      <c r="D1225" s="65" t="n"/>
      <c r="E1225" s="65" t="n"/>
      <c r="F1225" s="65" t="n"/>
      <c r="G1225" s="65" t="n"/>
      <c r="H1225" s="65" t="n"/>
      <c r="I1225" s="65" t="n"/>
      <c r="J1225" s="65" t="n"/>
      <c r="K1225" s="65" t="n">
        <v>880</v>
      </c>
      <c r="L1225" s="65" t="inlineStr">
        <is>
          <t>[0880] CLASICO API SL SAE 15W-40 (1x12)</t>
        </is>
      </c>
      <c r="M1225" s="63" t="inlineStr">
        <is>
          <t>62,00</t>
        </is>
      </c>
      <c r="N1225" s="63" t="inlineStr">
        <is>
          <t>1,00</t>
        </is>
      </c>
      <c r="O1225" s="63" t="inlineStr">
        <is>
          <t>21,26</t>
        </is>
      </c>
      <c r="P1225" s="63" t="inlineStr">
        <is>
          <t>53,67</t>
        </is>
      </c>
      <c r="Q1225" s="63" t="inlineStr">
        <is>
          <t>62,25</t>
        </is>
      </c>
    </row>
    <row r="1226">
      <c r="A1226" s="65" t="n"/>
      <c r="B1226" s="65" t="n"/>
      <c r="C1226" s="65" t="n"/>
      <c r="D1226" s="65" t="n"/>
      <c r="E1226" s="65" t="n"/>
      <c r="F1226" s="65" t="n"/>
      <c r="G1226" s="65" t="n"/>
      <c r="H1226" s="65" t="n"/>
      <c r="I1226" s="65" t="n"/>
      <c r="J1226" s="65" t="n"/>
      <c r="K1226" s="65" t="n">
        <v>779</v>
      </c>
      <c r="L1226" s="65" t="inlineStr">
        <is>
          <t>[0779] SINOCO SAE 20W-50 (1x12)</t>
        </is>
      </c>
      <c r="M1226" s="63" t="inlineStr">
        <is>
          <t>48,00</t>
        </is>
      </c>
      <c r="N1226" s="63" t="inlineStr">
        <is>
          <t>1,00</t>
        </is>
      </c>
      <c r="O1226" s="63" t="inlineStr">
        <is>
          <t>21,26</t>
        </is>
      </c>
      <c r="P1226" s="63" t="inlineStr">
        <is>
          <t>41,55</t>
        </is>
      </c>
      <c r="Q1226" s="63" t="inlineStr">
        <is>
          <t>48,19</t>
        </is>
      </c>
    </row>
    <row r="1227">
      <c r="A1227" s="66" t="n">
        <v>46162</v>
      </c>
      <c r="B1227" s="65" t="n">
        <v>78</v>
      </c>
      <c r="C1227" s="65" t="inlineStr">
        <is>
          <t>00-00000398</t>
        </is>
      </c>
      <c r="D1227" s="65" t="inlineStr">
        <is>
          <t>S00084</t>
        </is>
      </c>
      <c r="E1227" s="65" t="inlineStr">
        <is>
          <t>Inversiones maxgad &amp; ef</t>
        </is>
      </c>
      <c r="F1227" s="63" t="inlineStr">
        <is>
          <t>27.712,77</t>
        </is>
      </c>
      <c r="G1227" s="63" t="inlineStr">
        <is>
          <t>32.146,81</t>
        </is>
      </c>
      <c r="H1227" s="63" t="inlineStr">
        <is>
          <t>67,82</t>
        </is>
      </c>
      <c r="I1227" s="63" t="inlineStr">
        <is>
          <t>473,92</t>
        </is>
      </c>
      <c r="J1227" s="65" t="n"/>
      <c r="K1227" s="65" t="n">
        <v>880</v>
      </c>
      <c r="L1227" s="65" t="inlineStr">
        <is>
          <t>[0880] CLASICO API SL SAE 15W-40 (1x12)</t>
        </is>
      </c>
      <c r="M1227" s="63" t="inlineStr">
        <is>
          <t>68,15</t>
        </is>
      </c>
      <c r="N1227" s="63" t="inlineStr">
        <is>
          <t>1,00</t>
        </is>
      </c>
      <c r="O1227" s="63" t="inlineStr">
        <is>
          <t>14,19</t>
        </is>
      </c>
      <c r="P1227" s="63" t="inlineStr">
        <is>
          <t>58,48</t>
        </is>
      </c>
      <c r="Q1227" s="63" t="inlineStr">
        <is>
          <t>67,83</t>
        </is>
      </c>
    </row>
    <row r="1228">
      <c r="A1228" s="66" t="n">
        <v>46162</v>
      </c>
      <c r="B1228" s="65" t="n">
        <v>77</v>
      </c>
      <c r="C1228" s="65" t="inlineStr">
        <is>
          <t>00-00000395</t>
        </is>
      </c>
      <c r="D1228" s="65" t="inlineStr">
        <is>
          <t>S00041</t>
        </is>
      </c>
      <c r="E1228" s="65" t="inlineStr">
        <is>
          <t>Inversiones Trip K, c.a.</t>
        </is>
      </c>
      <c r="F1228" s="63" t="inlineStr">
        <is>
          <t>68.957,25</t>
        </is>
      </c>
      <c r="G1228" s="63" t="inlineStr">
        <is>
          <t>79.990,41</t>
        </is>
      </c>
      <c r="H1228" s="63" t="inlineStr">
        <is>
          <t>160,99</t>
        </is>
      </c>
      <c r="I1228" s="63" t="inlineStr">
        <is>
          <t>496,83</t>
        </is>
      </c>
      <c r="J1228" s="65" t="n">
        <v>174</v>
      </c>
      <c r="K1228" s="65" t="n">
        <v>882</v>
      </c>
      <c r="L1228" s="65" t="inlineStr">
        <is>
          <t>[0882] GRASA MULTIPLE EP 200 (PAILA)</t>
        </is>
      </c>
      <c r="M1228" s="63" t="inlineStr">
        <is>
          <t>173,28</t>
        </is>
      </c>
      <c r="N1228" s="63" t="inlineStr">
        <is>
          <t>1,00</t>
        </is>
      </c>
      <c r="O1228" s="63" t="inlineStr">
        <is>
          <t>7,67</t>
        </is>
      </c>
      <c r="P1228" s="63" t="inlineStr">
        <is>
          <t>138,79</t>
        </is>
      </c>
      <c r="Q1228" s="63" t="inlineStr">
        <is>
          <t>161,00</t>
        </is>
      </c>
    </row>
    <row r="1229">
      <c r="A1229" s="65" t="n"/>
      <c r="B1229" s="65" t="n"/>
      <c r="C1229" s="65" t="n"/>
      <c r="D1229" s="65" t="n"/>
      <c r="E1229" s="65" t="n"/>
      <c r="F1229" s="65" t="n"/>
      <c r="G1229" s="65" t="n"/>
      <c r="H1229" s="65" t="n"/>
      <c r="I1229" s="65" t="n"/>
      <c r="J1229" s="65" t="n">
        <v>175</v>
      </c>
      <c r="K1229" s="65" t="n"/>
      <c r="L1229" s="65" t="n"/>
      <c r="M1229" s="65" t="n"/>
      <c r="N1229" s="65" t="n"/>
      <c r="O1229" s="65" t="n"/>
      <c r="P1229" s="65" t="n"/>
      <c r="Q1229" s="65" t="n"/>
    </row>
    <row r="1230">
      <c r="A1230" s="66" t="n">
        <v>46162</v>
      </c>
      <c r="B1230" s="65" t="n">
        <v>76</v>
      </c>
      <c r="C1230" s="65" t="inlineStr">
        <is>
          <t>00-00000394</t>
        </is>
      </c>
      <c r="D1230" s="65" t="inlineStr">
        <is>
          <t>S00095</t>
        </is>
      </c>
      <c r="E1230" s="65" t="inlineStr">
        <is>
          <t>Multiservicios Arizona, C.A.</t>
        </is>
      </c>
      <c r="F1230" s="63" t="inlineStr">
        <is>
          <t>153.023,08</t>
        </is>
      </c>
      <c r="G1230" s="63" t="inlineStr">
        <is>
          <t>177.506,76</t>
        </is>
      </c>
      <c r="H1230" s="63" t="inlineStr">
        <is>
          <t>374,55</t>
        </is>
      </c>
      <c r="I1230" s="63" t="inlineStr">
        <is>
          <t>473,87</t>
        </is>
      </c>
      <c r="J1230" s="65" t="n">
        <v>156</v>
      </c>
      <c r="K1230" s="65" t="n">
        <v>13</v>
      </c>
      <c r="L1230" s="65" t="inlineStr">
        <is>
          <t>[0013] ELITE API SN SAE 5W-30 (1x6)</t>
        </is>
      </c>
      <c r="M1230" s="63" t="inlineStr">
        <is>
          <t>69,65</t>
        </is>
      </c>
      <c r="N1230" s="63" t="inlineStr">
        <is>
          <t>1,00</t>
        </is>
      </c>
      <c r="O1230" s="63" t="inlineStr">
        <is>
          <t>7,53</t>
        </is>
      </c>
      <c r="P1230" s="63" t="inlineStr">
        <is>
          <t>64,41</t>
        </is>
      </c>
      <c r="Q1230" s="63" t="inlineStr">
        <is>
          <t>74,71</t>
        </is>
      </c>
    </row>
    <row r="1231">
      <c r="A1231" s="65" t="n"/>
      <c r="B1231" s="65" t="n"/>
      <c r="C1231" s="65" t="n"/>
      <c r="D1231" s="65" t="n"/>
      <c r="E1231" s="65" t="n"/>
      <c r="F1231" s="65" t="n"/>
      <c r="G1231" s="65" t="n"/>
      <c r="H1231" s="65" t="n"/>
      <c r="I1231" s="65" t="n"/>
      <c r="J1231" s="65" t="n"/>
      <c r="K1231" s="65" t="n">
        <v>19</v>
      </c>
      <c r="L1231" s="65" t="inlineStr">
        <is>
          <t>[0019] ELITE API SN SAE 5W-40 (1x6)</t>
        </is>
      </c>
      <c r="M1231" s="63" t="inlineStr">
        <is>
          <t>69,65</t>
        </is>
      </c>
      <c r="N1231" s="63" t="inlineStr">
        <is>
          <t>1,00</t>
        </is>
      </c>
      <c r="O1231" s="63" t="inlineStr">
        <is>
          <t>7,53</t>
        </is>
      </c>
      <c r="P1231" s="63" t="inlineStr">
        <is>
          <t>64,41</t>
        </is>
      </c>
      <c r="Q1231" s="63" t="inlineStr">
        <is>
          <t>74,71</t>
        </is>
      </c>
    </row>
    <row r="1232">
      <c r="A1232" s="65" t="n"/>
      <c r="B1232" s="65" t="n"/>
      <c r="C1232" s="65" t="n"/>
      <c r="D1232" s="65" t="n"/>
      <c r="E1232" s="65" t="n"/>
      <c r="F1232" s="65" t="n"/>
      <c r="G1232" s="65" t="n"/>
      <c r="H1232" s="65" t="n"/>
      <c r="I1232" s="65" t="n"/>
      <c r="J1232" s="65" t="n"/>
      <c r="K1232" s="65" t="n">
        <v>880</v>
      </c>
      <c r="L1232" s="65" t="inlineStr">
        <is>
          <t>[0880] CLASICO API SL SAE 15W-40 (1x12)</t>
        </is>
      </c>
      <c r="M1232" s="63" t="inlineStr">
        <is>
          <t>73,92</t>
        </is>
      </c>
      <c r="N1232" s="63" t="inlineStr">
        <is>
          <t>1,00</t>
        </is>
      </c>
      <c r="O1232" s="63" t="inlineStr">
        <is>
          <t>7,53</t>
        </is>
      </c>
      <c r="P1232" s="63" t="inlineStr">
        <is>
          <t>68,35</t>
        </is>
      </c>
      <c r="Q1232" s="63" t="inlineStr">
        <is>
          <t>79,29</t>
        </is>
      </c>
    </row>
    <row r="1233">
      <c r="A1233" s="65" t="n"/>
      <c r="B1233" s="65" t="n"/>
      <c r="C1233" s="65" t="n"/>
      <c r="D1233" s="65" t="n"/>
      <c r="E1233" s="65" t="n"/>
      <c r="F1233" s="65" t="n"/>
      <c r="G1233" s="65" t="n"/>
      <c r="H1233" s="65" t="n"/>
      <c r="I1233" s="65" t="n"/>
      <c r="J1233" s="65" t="n"/>
      <c r="K1233" s="65" t="n">
        <v>25</v>
      </c>
      <c r="L1233" s="65" t="inlineStr">
        <is>
          <t>[0025] SS EXTRA PROTECCION API SN SAE 10W-30 (Gasolina) (1x6)</t>
        </is>
      </c>
      <c r="M1233" s="63" t="inlineStr">
        <is>
          <t>51,17</t>
        </is>
      </c>
      <c r="N1233" s="63" t="inlineStr">
        <is>
          <t>1,00</t>
        </is>
      </c>
      <c r="O1233" s="63" t="inlineStr">
        <is>
          <t>7,53</t>
        </is>
      </c>
      <c r="P1233" s="63" t="inlineStr">
        <is>
          <t>47,32</t>
        </is>
      </c>
      <c r="Q1233" s="63" t="inlineStr">
        <is>
          <t>54,89</t>
        </is>
      </c>
    </row>
    <row r="1234">
      <c r="A1234" s="65" t="n"/>
      <c r="B1234" s="65" t="n"/>
      <c r="C1234" s="65" t="n"/>
      <c r="D1234" s="65" t="n"/>
      <c r="E1234" s="65" t="n"/>
      <c r="F1234" s="65" t="n"/>
      <c r="G1234" s="65" t="n"/>
      <c r="H1234" s="65" t="n"/>
      <c r="I1234" s="65" t="n"/>
      <c r="J1234" s="65" t="n"/>
      <c r="K1234" s="65" t="n">
        <v>795</v>
      </c>
      <c r="L1234" s="65" t="inlineStr">
        <is>
          <t>[0795] REFRIGERANTE GLOBAL ORANGE PREMIUM 50-50 CONCENTRADO (1x3)</t>
        </is>
      </c>
      <c r="M1234" s="63" t="inlineStr">
        <is>
          <t>41,45</t>
        </is>
      </c>
      <c r="N1234" s="63" t="inlineStr">
        <is>
          <t>1,00</t>
        </is>
      </c>
      <c r="O1234" s="63" t="inlineStr">
        <is>
          <t>7,53</t>
        </is>
      </c>
      <c r="P1234" s="63" t="inlineStr">
        <is>
          <t>38,33</t>
        </is>
      </c>
      <c r="Q1234" s="63" t="inlineStr">
        <is>
          <t>44,47</t>
        </is>
      </c>
    </row>
    <row r="1235">
      <c r="A1235" s="65" t="n"/>
      <c r="B1235" s="65" t="n"/>
      <c r="C1235" s="65" t="n"/>
      <c r="D1235" s="65" t="n"/>
      <c r="E1235" s="65" t="n"/>
      <c r="F1235" s="65" t="n"/>
      <c r="G1235" s="65" t="n"/>
      <c r="H1235" s="65" t="n"/>
      <c r="I1235" s="65" t="n"/>
      <c r="J1235" s="65" t="n"/>
      <c r="K1235" s="65" t="n">
        <v>121</v>
      </c>
      <c r="L1235" s="65" t="inlineStr">
        <is>
          <t>[0121] TRANSGLOB API GL-5 SAE 80W-90 (1x6)</t>
        </is>
      </c>
      <c r="M1235" s="63" t="inlineStr">
        <is>
          <t>43,38</t>
        </is>
      </c>
      <c r="N1235" s="63" t="inlineStr">
        <is>
          <t>1,00</t>
        </is>
      </c>
      <c r="O1235" s="63" t="inlineStr">
        <is>
          <t>7,53</t>
        </is>
      </c>
      <c r="P1235" s="63" t="inlineStr">
        <is>
          <t>40,11</t>
        </is>
      </c>
      <c r="Q1235" s="63" t="inlineStr">
        <is>
          <t>46,53</t>
        </is>
      </c>
    </row>
    <row r="1236">
      <c r="A1236" s="66" t="n">
        <v>46162</v>
      </c>
      <c r="B1236" s="65" t="n">
        <v>75</v>
      </c>
      <c r="C1236" s="65" t="inlineStr">
        <is>
          <t>00-00000389</t>
        </is>
      </c>
      <c r="D1236" s="65" t="inlineStr">
        <is>
          <t>S00418</t>
        </is>
      </c>
      <c r="E1236" s="65" t="inlineStr">
        <is>
          <t>Edgar salas</t>
        </is>
      </c>
      <c r="F1236" s="63" t="inlineStr">
        <is>
          <t>23.800,57</t>
        </is>
      </c>
      <c r="G1236" s="63" t="inlineStr">
        <is>
          <t>27.608,66</t>
        </is>
      </c>
      <c r="H1236" s="63" t="inlineStr">
        <is>
          <t>53,00</t>
        </is>
      </c>
      <c r="I1236" s="63" t="inlineStr">
        <is>
          <t>520,91</t>
        </is>
      </c>
      <c r="J1236" s="65" t="n">
        <v>420</v>
      </c>
      <c r="K1236" s="65" t="n">
        <v>915</v>
      </c>
      <c r="L1236" s="65" t="inlineStr">
        <is>
          <t>[0915] SINOCO SAE 50 (1x12)</t>
        </is>
      </c>
      <c r="M1236" s="63" t="inlineStr">
        <is>
          <t>45,69</t>
        </is>
      </c>
      <c r="N1236" s="63" t="inlineStr">
        <is>
          <t>1,00</t>
        </is>
      </c>
      <c r="O1236" s="63" t="inlineStr">
        <is>
          <t>0,00</t>
        </is>
      </c>
      <c r="P1236" s="63" t="inlineStr">
        <is>
          <t>45,69</t>
        </is>
      </c>
      <c r="Q1236" s="63" t="inlineStr">
        <is>
          <t>53,00</t>
        </is>
      </c>
    </row>
    <row r="1237">
      <c r="A1237" s="66" t="n">
        <v>46162</v>
      </c>
      <c r="B1237" s="65" t="n">
        <v>74</v>
      </c>
      <c r="C1237" s="65" t="inlineStr">
        <is>
          <t>00-00000388</t>
        </is>
      </c>
      <c r="D1237" s="65" t="inlineStr">
        <is>
          <t>S00220</t>
        </is>
      </c>
      <c r="E1237" s="65" t="inlineStr">
        <is>
          <t>HIDRAULICAS CAICEDO C.A.</t>
        </is>
      </c>
      <c r="F1237" s="63" t="inlineStr">
        <is>
          <t>57.821,48</t>
        </is>
      </c>
      <c r="G1237" s="63" t="inlineStr">
        <is>
          <t>67.072,91</t>
        </is>
      </c>
      <c r="H1237" s="63" t="inlineStr">
        <is>
          <t>128,74</t>
        </is>
      </c>
      <c r="I1237" s="63" t="inlineStr">
        <is>
          <t>520,91</t>
        </is>
      </c>
      <c r="J1237" s="65" t="n"/>
      <c r="K1237" s="65" t="n">
        <v>779</v>
      </c>
      <c r="L1237" s="65" t="inlineStr">
        <is>
          <t>[0779] SINOCO SAE 20W-50 (1x12)</t>
        </is>
      </c>
      <c r="M1237" s="63" t="inlineStr">
        <is>
          <t>56,00</t>
        </is>
      </c>
      <c r="N1237" s="63" t="inlineStr">
        <is>
          <t>1,00</t>
        </is>
      </c>
      <c r="O1237" s="63" t="inlineStr">
        <is>
          <t>0,00</t>
        </is>
      </c>
      <c r="P1237" s="63" t="inlineStr">
        <is>
          <t>56,00</t>
        </is>
      </c>
      <c r="Q1237" s="63" t="inlineStr">
        <is>
          <t>64,96</t>
        </is>
      </c>
    </row>
    <row r="1238">
      <c r="A1238" s="65" t="n"/>
      <c r="B1238" s="65" t="n"/>
      <c r="C1238" s="65" t="n"/>
      <c r="D1238" s="65" t="n"/>
      <c r="E1238" s="65" t="n"/>
      <c r="F1238" s="65" t="n"/>
      <c r="G1238" s="65" t="n"/>
      <c r="H1238" s="65" t="n"/>
      <c r="I1238" s="65" t="n"/>
      <c r="J1238" s="65" t="n"/>
      <c r="K1238" s="65" t="n">
        <v>884</v>
      </c>
      <c r="L1238" s="65" t="inlineStr">
        <is>
          <t>[0884] TRANSMATIC ATF DEXRON III (1x12)</t>
        </is>
      </c>
      <c r="M1238" s="63" t="inlineStr">
        <is>
          <t>55,00</t>
        </is>
      </c>
      <c r="N1238" s="63" t="inlineStr">
        <is>
          <t>1,00</t>
        </is>
      </c>
      <c r="O1238" s="63" t="inlineStr">
        <is>
          <t>0,00</t>
        </is>
      </c>
      <c r="P1238" s="63" t="inlineStr">
        <is>
          <t>55,00</t>
        </is>
      </c>
      <c r="Q1238" s="63" t="inlineStr">
        <is>
          <t>63,80</t>
        </is>
      </c>
    </row>
    <row r="1239">
      <c r="A1239" s="66" t="n">
        <v>46162</v>
      </c>
      <c r="B1239" s="65" t="n">
        <v>72</v>
      </c>
      <c r="C1239" s="65" t="inlineStr">
        <is>
          <t>00-00000386</t>
        </is>
      </c>
      <c r="D1239" s="65" t="inlineStr">
        <is>
          <t>S00220</t>
        </is>
      </c>
      <c r="E1239" s="65" t="inlineStr">
        <is>
          <t>HIDRAULICAS CAICEDO C.A.</t>
        </is>
      </c>
      <c r="F1239" s="63" t="inlineStr">
        <is>
          <t>79.285,90</t>
        </is>
      </c>
      <c r="G1239" s="63" t="inlineStr">
        <is>
          <t>91.971,64</t>
        </is>
      </c>
      <c r="H1239" s="63" t="inlineStr">
        <is>
          <t>191,68</t>
        </is>
      </c>
      <c r="I1239" s="63" t="inlineStr">
        <is>
          <t>479,78</t>
        </is>
      </c>
      <c r="J1239" s="65" t="n"/>
      <c r="K1239" s="65" t="n">
        <v>779</v>
      </c>
      <c r="L1239" s="65" t="inlineStr">
        <is>
          <t>[0779] SINOCO SAE 20W-50 (1x12)</t>
        </is>
      </c>
      <c r="M1239" s="63" t="inlineStr">
        <is>
          <t>70,00</t>
        </is>
      </c>
      <c r="N1239" s="63" t="inlineStr">
        <is>
          <t>1,00</t>
        </is>
      </c>
      <c r="O1239" s="63" t="inlineStr">
        <is>
          <t>0,00</t>
        </is>
      </c>
      <c r="P1239" s="63" t="inlineStr">
        <is>
          <t>69,69</t>
        </is>
      </c>
      <c r="Q1239" s="63" t="inlineStr">
        <is>
          <t>80,84</t>
        </is>
      </c>
    </row>
    <row r="1240">
      <c r="A1240" s="65" t="n"/>
      <c r="B1240" s="65" t="n"/>
      <c r="C1240" s="65" t="n"/>
      <c r="D1240" s="65" t="n"/>
      <c r="E1240" s="65" t="n"/>
      <c r="F1240" s="65" t="n"/>
      <c r="G1240" s="65" t="n"/>
      <c r="H1240" s="65" t="n"/>
      <c r="I1240" s="65" t="n"/>
      <c r="J1240" s="65" t="n"/>
      <c r="K1240" s="65" t="n">
        <v>884</v>
      </c>
      <c r="L1240" s="65" t="inlineStr">
        <is>
          <t>[0884] TRANSMATIC ATF DEXRON III (1x12)</t>
        </is>
      </c>
      <c r="M1240" s="63" t="inlineStr">
        <is>
          <t>96,00</t>
        </is>
      </c>
      <c r="N1240" s="63" t="inlineStr">
        <is>
          <t>1,00</t>
        </is>
      </c>
      <c r="O1240" s="63" t="inlineStr">
        <is>
          <t>0,00</t>
        </is>
      </c>
      <c r="P1240" s="63" t="inlineStr">
        <is>
          <t>95,57</t>
        </is>
      </c>
      <c r="Q1240" s="63" t="inlineStr">
        <is>
          <t>110,86</t>
        </is>
      </c>
    </row>
    <row r="1241">
      <c r="A1241" s="66" t="n">
        <v>46162</v>
      </c>
      <c r="B1241" s="65" t="n">
        <v>71</v>
      </c>
      <c r="C1241" s="65" t="inlineStr">
        <is>
          <t>00-00000385</t>
        </is>
      </c>
      <c r="D1241" s="65" t="inlineStr">
        <is>
          <t>S00197</t>
        </is>
      </c>
      <c r="E1241" s="65" t="inlineStr">
        <is>
          <t>Auto Repuestos Acal C.A</t>
        </is>
      </c>
      <c r="F1241" s="63" t="inlineStr">
        <is>
          <t>71.520,79</t>
        </is>
      </c>
      <c r="G1241" s="63" t="inlineStr">
        <is>
          <t>82.964,12</t>
        </is>
      </c>
      <c r="H1241" s="63" t="inlineStr">
        <is>
          <t>166,98</t>
        </is>
      </c>
      <c r="I1241" s="63" t="inlineStr">
        <is>
          <t>496,83</t>
        </is>
      </c>
      <c r="J1241" s="65" t="n">
        <v>183</v>
      </c>
      <c r="K1241" s="65" t="n">
        <v>779</v>
      </c>
      <c r="L1241" s="65" t="inlineStr">
        <is>
          <t>[0779] SINOCO SAE 20W-50 (1x12)</t>
        </is>
      </c>
      <c r="M1241" s="63" t="inlineStr">
        <is>
          <t>70,69</t>
        </is>
      </c>
      <c r="N1241" s="63" t="inlineStr">
        <is>
          <t>1,00</t>
        </is>
      </c>
      <c r="O1241" s="63" t="inlineStr">
        <is>
          <t>32,44</t>
        </is>
      </c>
      <c r="P1241" s="63" t="inlineStr">
        <is>
          <t>45,75</t>
        </is>
      </c>
      <c r="Q1241" s="63" t="inlineStr">
        <is>
          <t>53,07</t>
        </is>
      </c>
    </row>
    <row r="1242">
      <c r="A1242" s="65" t="n"/>
      <c r="B1242" s="65" t="n"/>
      <c r="C1242" s="65" t="n"/>
      <c r="D1242" s="65" t="n"/>
      <c r="E1242" s="65" t="n"/>
      <c r="F1242" s="65" t="n"/>
      <c r="G1242" s="65" t="n"/>
      <c r="H1242" s="65" t="n"/>
      <c r="I1242" s="65" t="n"/>
      <c r="J1242" s="65" t="n">
        <v>306</v>
      </c>
      <c r="K1242" s="65" t="n"/>
      <c r="L1242" s="65" t="n"/>
      <c r="M1242" s="65" t="n"/>
      <c r="N1242" s="65" t="n"/>
      <c r="O1242" s="65" t="n"/>
      <c r="P1242" s="65" t="n"/>
      <c r="Q1242" s="65" t="n"/>
    </row>
    <row r="1243">
      <c r="A1243" s="65" t="n"/>
      <c r="B1243" s="65" t="n"/>
      <c r="C1243" s="65" t="n"/>
      <c r="D1243" s="65" t="n"/>
      <c r="E1243" s="65" t="n"/>
      <c r="F1243" s="65" t="n"/>
      <c r="G1243" s="65" t="n"/>
      <c r="H1243" s="65" t="n"/>
      <c r="I1243" s="65" t="n"/>
      <c r="J1243" s="65" t="n">
        <v>396</v>
      </c>
      <c r="K1243" s="65" t="n"/>
      <c r="L1243" s="65" t="n"/>
      <c r="M1243" s="65" t="n"/>
      <c r="N1243" s="65" t="n"/>
      <c r="O1243" s="65" t="n"/>
      <c r="P1243" s="65" t="n"/>
      <c r="Q1243" s="65" t="n"/>
    </row>
    <row r="1244">
      <c r="A1244" s="65" t="n"/>
      <c r="B1244" s="65" t="n"/>
      <c r="C1244" s="65" t="n"/>
      <c r="D1244" s="65" t="n"/>
      <c r="E1244" s="65" t="n"/>
      <c r="F1244" s="65" t="n"/>
      <c r="G1244" s="65" t="n"/>
      <c r="H1244" s="65" t="n"/>
      <c r="I1244" s="65" t="n"/>
      <c r="J1244" s="65" t="n"/>
      <c r="K1244" s="65" t="n">
        <v>121</v>
      </c>
      <c r="L1244" s="65" t="inlineStr">
        <is>
          <t>[0121] TRANSGLOB API GL-5 SAE 80W-90 (1x6)</t>
        </is>
      </c>
      <c r="M1244" s="63" t="inlineStr">
        <is>
          <t>51,73</t>
        </is>
      </c>
      <c r="N1244" s="63" t="inlineStr">
        <is>
          <t>1,00</t>
        </is>
      </c>
      <c r="O1244" s="63" t="inlineStr">
        <is>
          <t>32,44</t>
        </is>
      </c>
      <c r="P1244" s="63" t="inlineStr">
        <is>
          <t>33,48</t>
        </is>
      </c>
      <c r="Q1244" s="63" t="inlineStr">
        <is>
          <t>38,84</t>
        </is>
      </c>
    </row>
    <row r="1245">
      <c r="A1245" s="65" t="n"/>
      <c r="B1245" s="65" t="n"/>
      <c r="C1245" s="65" t="n"/>
      <c r="D1245" s="65" t="n"/>
      <c r="E1245" s="65" t="n"/>
      <c r="F1245" s="65" t="n"/>
      <c r="G1245" s="65" t="n"/>
      <c r="H1245" s="65" t="n"/>
      <c r="I1245" s="65" t="n"/>
      <c r="J1245" s="65" t="n"/>
      <c r="K1245" s="65" t="n">
        <v>877</v>
      </c>
      <c r="L1245" s="65" t="inlineStr">
        <is>
          <t>[0877] SS EXTRA PROTECCION API SN SAE 15W-40 (1X12)</t>
        </is>
      </c>
      <c r="M1245" s="63" t="inlineStr">
        <is>
          <t>100,00</t>
        </is>
      </c>
      <c r="N1245" s="63" t="inlineStr">
        <is>
          <t>1,00</t>
        </is>
      </c>
      <c r="O1245" s="63" t="inlineStr">
        <is>
          <t>32,44</t>
        </is>
      </c>
      <c r="P1245" s="63" t="inlineStr">
        <is>
          <t>64,72</t>
        </is>
      </c>
      <c r="Q1245" s="63" t="inlineStr">
        <is>
          <t>75,08</t>
        </is>
      </c>
    </row>
    <row r="1246">
      <c r="A1246" s="66" t="n">
        <v>46161</v>
      </c>
      <c r="B1246" s="65" t="n">
        <v>70</v>
      </c>
      <c r="C1246" s="65" t="inlineStr">
        <is>
          <t>00-00000384</t>
        </is>
      </c>
      <c r="D1246" s="65" t="inlineStr">
        <is>
          <t>S00202</t>
        </is>
      </c>
      <c r="E1246" s="65" t="inlineStr">
        <is>
          <t>Motorepuestos HD 94, C.A</t>
        </is>
      </c>
      <c r="F1246" s="63" t="inlineStr">
        <is>
          <t>45.826,43</t>
        </is>
      </c>
      <c r="G1246" s="63" t="inlineStr">
        <is>
          <t>53.158,66</t>
        </is>
      </c>
      <c r="H1246" s="63" t="inlineStr">
        <is>
          <t>106,98</t>
        </is>
      </c>
      <c r="I1246" s="63" t="inlineStr">
        <is>
          <t>496,83</t>
        </is>
      </c>
      <c r="J1246" s="65" t="n">
        <v>91</v>
      </c>
      <c r="K1246" s="65" t="n">
        <v>886</v>
      </c>
      <c r="L1246" s="65" t="inlineStr">
        <is>
          <t>[0886] TRANSMATIC DEXRON VI (1x12)</t>
        </is>
      </c>
      <c r="M1246" s="63" t="inlineStr">
        <is>
          <t>157,76</t>
        </is>
      </c>
      <c r="N1246" s="63" t="inlineStr">
        <is>
          <t>1,00</t>
        </is>
      </c>
      <c r="O1246" s="63" t="inlineStr">
        <is>
          <t>39,03</t>
        </is>
      </c>
      <c r="P1246" s="63" t="inlineStr">
        <is>
          <t>92,24</t>
        </is>
      </c>
      <c r="Q1246" s="63" t="inlineStr">
        <is>
          <t>107,00</t>
        </is>
      </c>
    </row>
    <row r="1247">
      <c r="A1247" s="66" t="n">
        <v>46161</v>
      </c>
      <c r="B1247" s="65" t="n">
        <v>69</v>
      </c>
      <c r="C1247" s="65" t="inlineStr">
        <is>
          <t>00-00000383</t>
        </is>
      </c>
      <c r="D1247" s="65" t="inlineStr">
        <is>
          <t>S00185</t>
        </is>
      </c>
      <c r="E1247" s="65" t="inlineStr">
        <is>
          <t>Pidelo Y Punto,c.a.</t>
        </is>
      </c>
      <c r="F1247" s="63" t="inlineStr">
        <is>
          <t>64.601,13</t>
        </is>
      </c>
      <c r="G1247" s="63" t="inlineStr">
        <is>
          <t>74.937,31</t>
        </is>
      </c>
      <c r="H1247" s="63" t="inlineStr">
        <is>
          <t>156,56</t>
        </is>
      </c>
      <c r="I1247" s="63" t="inlineStr">
        <is>
          <t>478,58</t>
        </is>
      </c>
      <c r="J1247" s="65" t="n">
        <v>52</v>
      </c>
      <c r="K1247" s="65" t="n">
        <v>887</v>
      </c>
      <c r="L1247" s="65" t="inlineStr">
        <is>
          <t>[0887] MOTOCLASICO 4T SAE 20W-50 (1x12)</t>
        </is>
      </c>
      <c r="M1247" s="63" t="inlineStr">
        <is>
          <t>90,00</t>
        </is>
      </c>
      <c r="N1247" s="63" t="inlineStr">
        <is>
          <t>1,00</t>
        </is>
      </c>
      <c r="O1247" s="63" t="inlineStr">
        <is>
          <t>0,00</t>
        </is>
      </c>
      <c r="P1247" s="63" t="inlineStr">
        <is>
          <t>89,15</t>
        </is>
      </c>
      <c r="Q1247" s="63" t="inlineStr">
        <is>
          <t>103,41</t>
        </is>
      </c>
    </row>
    <row r="1248">
      <c r="A1248" s="65" t="n"/>
      <c r="B1248" s="65" t="n"/>
      <c r="C1248" s="65" t="n"/>
      <c r="D1248" s="65" t="n"/>
      <c r="E1248" s="65" t="n"/>
      <c r="F1248" s="65" t="n"/>
      <c r="G1248" s="65" t="n"/>
      <c r="H1248" s="65" t="n"/>
      <c r="I1248" s="65" t="n"/>
      <c r="J1248" s="65" t="n"/>
      <c r="K1248" s="65" t="n">
        <v>93</v>
      </c>
      <c r="L1248" s="65" t="inlineStr">
        <is>
          <t>[0093] ALTA CILINDRADA SS API SN SAE 15W-40 (1x6)</t>
        </is>
      </c>
      <c r="M1248" s="63" t="inlineStr">
        <is>
          <t>45,83</t>
        </is>
      </c>
      <c r="N1248" s="63" t="inlineStr">
        <is>
          <t>1,00</t>
        </is>
      </c>
      <c r="O1248" s="63" t="inlineStr">
        <is>
          <t>0,00</t>
        </is>
      </c>
      <c r="P1248" s="63" t="inlineStr">
        <is>
          <t>45,83</t>
        </is>
      </c>
      <c r="Q1248" s="63" t="inlineStr">
        <is>
          <t>53,17</t>
        </is>
      </c>
    </row>
    <row r="1249">
      <c r="A1249" s="66" t="n">
        <v>46161</v>
      </c>
      <c r="B1249" s="65" t="n">
        <v>68</v>
      </c>
      <c r="C1249" s="65" t="inlineStr">
        <is>
          <t>00-00000382</t>
        </is>
      </c>
      <c r="D1249" s="65" t="inlineStr">
        <is>
          <t>S00176</t>
        </is>
      </c>
      <c r="E1249" s="65" t="inlineStr">
        <is>
          <t>Jose Angel Gutierrez Rodriguez</t>
        </is>
      </c>
      <c r="F1249" s="63" t="inlineStr">
        <is>
          <t>68.526,22</t>
        </is>
      </c>
      <c r="G1249" s="63" t="inlineStr">
        <is>
          <t>79.490,41</t>
        </is>
      </c>
      <c r="H1249" s="63" t="inlineStr">
        <is>
          <t>159,98</t>
        </is>
      </c>
      <c r="I1249" s="63" t="inlineStr">
        <is>
          <t>496,83</t>
        </is>
      </c>
      <c r="J1249" s="65" t="n">
        <v>47</v>
      </c>
      <c r="K1249" s="65" t="n">
        <v>887</v>
      </c>
      <c r="L1249" s="65" t="inlineStr">
        <is>
          <t>[0887] MOTOCLASICO 4T SAE 20W-50 (1x12)</t>
        </is>
      </c>
      <c r="M1249" s="63" t="inlineStr">
        <is>
          <t>85,34</t>
        </is>
      </c>
      <c r="N1249" s="63" t="inlineStr">
        <is>
          <t>2,00</t>
        </is>
      </c>
      <c r="O1249" s="63" t="inlineStr">
        <is>
          <t>32,63</t>
        </is>
      </c>
      <c r="P1249" s="63" t="inlineStr">
        <is>
          <t>109,67</t>
        </is>
      </c>
      <c r="Q1249" s="63" t="inlineStr">
        <is>
          <t>127,22</t>
        </is>
      </c>
    </row>
    <row r="1250">
      <c r="A1250" s="65" t="n"/>
      <c r="B1250" s="65" t="n"/>
      <c r="C1250" s="65" t="n"/>
      <c r="D1250" s="65" t="n"/>
      <c r="E1250" s="65" t="n"/>
      <c r="F1250" s="65" t="n"/>
      <c r="G1250" s="65" t="n"/>
      <c r="H1250" s="65" t="n"/>
      <c r="I1250" s="65" t="n"/>
      <c r="J1250" s="65" t="n">
        <v>61</v>
      </c>
      <c r="K1250" s="65" t="n"/>
      <c r="L1250" s="65" t="n"/>
      <c r="M1250" s="65" t="n"/>
      <c r="N1250" s="65" t="n"/>
      <c r="O1250" s="65" t="n"/>
      <c r="P1250" s="65" t="n"/>
      <c r="Q1250" s="65" t="n"/>
    </row>
    <row r="1251">
      <c r="A1251" s="65" t="n"/>
      <c r="B1251" s="65" t="n"/>
      <c r="C1251" s="65" t="n"/>
      <c r="D1251" s="65" t="n"/>
      <c r="E1251" s="65" t="n"/>
      <c r="F1251" s="65" t="n"/>
      <c r="G1251" s="65" t="n"/>
      <c r="H1251" s="65" t="n"/>
      <c r="I1251" s="65" t="n"/>
      <c r="J1251" s="65" t="n"/>
      <c r="K1251" s="65" t="n"/>
      <c r="L1251" s="65" t="n"/>
      <c r="M1251" s="63" t="inlineStr">
        <is>
          <t>0,00</t>
        </is>
      </c>
      <c r="N1251" s="63" t="inlineStr">
        <is>
          <t>0,00</t>
        </is>
      </c>
      <c r="O1251" s="63" t="inlineStr">
        <is>
          <t>0,00</t>
        </is>
      </c>
      <c r="P1251" s="63" t="inlineStr">
        <is>
          <t>0,00</t>
        </is>
      </c>
      <c r="Q1251" s="63" t="inlineStr">
        <is>
          <t>0,00</t>
        </is>
      </c>
    </row>
    <row r="1252">
      <c r="A1252" s="65" t="n"/>
      <c r="B1252" s="65" t="n"/>
      <c r="C1252" s="65" t="n"/>
      <c r="D1252" s="65" t="n"/>
      <c r="E1252" s="65" t="n"/>
      <c r="F1252" s="65" t="n"/>
      <c r="G1252" s="65" t="n"/>
      <c r="H1252" s="65" t="n"/>
      <c r="I1252" s="65" t="n"/>
      <c r="J1252" s="65" t="n"/>
      <c r="K1252" s="65" t="n">
        <v>93</v>
      </c>
      <c r="L1252" s="65" t="inlineStr">
        <is>
          <t>[0093] ALTA CILINDRADA SS API SN SAE 15W-40 (1x6)</t>
        </is>
      </c>
      <c r="M1252" s="63" t="inlineStr">
        <is>
          <t>43,97</t>
        </is>
      </c>
      <c r="N1252" s="63" t="inlineStr">
        <is>
          <t>1,00</t>
        </is>
      </c>
      <c r="O1252" s="63" t="inlineStr">
        <is>
          <t>32,63</t>
        </is>
      </c>
      <c r="P1252" s="63" t="inlineStr">
        <is>
          <t>28,25</t>
        </is>
      </c>
      <c r="Q1252" s="63" t="inlineStr">
        <is>
          <t>32,77</t>
        </is>
      </c>
    </row>
    <row r="1253">
      <c r="A1253" s="66" t="n">
        <v>46161</v>
      </c>
      <c r="B1253" s="65" t="n">
        <v>67</v>
      </c>
      <c r="C1253" s="65" t="inlineStr">
        <is>
          <t>00-00000381</t>
        </is>
      </c>
      <c r="D1253" s="65" t="inlineStr">
        <is>
          <t>S00077</t>
        </is>
      </c>
      <c r="E1253" s="65" t="inlineStr">
        <is>
          <t>Ruben Dario Fernandez</t>
        </is>
      </c>
      <c r="F1253" s="63" t="inlineStr">
        <is>
          <t>15.417,34</t>
        </is>
      </c>
      <c r="G1253" s="63" t="inlineStr">
        <is>
          <t>17.884,11</t>
        </is>
      </c>
      <c r="H1253" s="63" t="inlineStr">
        <is>
          <t>35,99</t>
        </is>
      </c>
      <c r="I1253" s="63" t="inlineStr">
        <is>
          <t>496,83</t>
        </is>
      </c>
      <c r="J1253" s="65" t="n">
        <v>25</v>
      </c>
      <c r="K1253" s="65" t="n">
        <v>25</v>
      </c>
      <c r="L1253" s="65" t="inlineStr">
        <is>
          <t>[0025] SS EXTRA PROTECCION API SN SAE 10W-30 (Gasolina) (1x6)</t>
        </is>
      </c>
      <c r="M1253" s="63" t="inlineStr">
        <is>
          <t>38,80</t>
        </is>
      </c>
      <c r="N1253" s="63" t="inlineStr">
        <is>
          <t>1,00</t>
        </is>
      </c>
      <c r="O1253" s="63" t="inlineStr">
        <is>
          <t>9,89</t>
        </is>
      </c>
      <c r="P1253" s="63" t="inlineStr">
        <is>
          <t>31,03</t>
        </is>
      </c>
      <c r="Q1253" s="63" t="inlineStr">
        <is>
          <t>36,00</t>
        </is>
      </c>
    </row>
    <row r="1254">
      <c r="A1254" s="66" t="n">
        <v>46161</v>
      </c>
      <c r="B1254" s="65" t="n">
        <v>66</v>
      </c>
      <c r="C1254" s="65" t="inlineStr">
        <is>
          <t>00-00000380</t>
        </is>
      </c>
      <c r="D1254" s="65" t="inlineStr">
        <is>
          <t>S00089</t>
        </is>
      </c>
      <c r="E1254" s="65" t="inlineStr">
        <is>
          <t>Moto Repuestos Sanz 11. C.A.</t>
        </is>
      </c>
      <c r="F1254" s="63" t="inlineStr">
        <is>
          <t>38.548,26</t>
        </is>
      </c>
      <c r="G1254" s="63" t="inlineStr">
        <is>
          <t>44.715,98</t>
        </is>
      </c>
      <c r="H1254" s="63" t="inlineStr">
        <is>
          <t>89,99</t>
        </is>
      </c>
      <c r="I1254" s="63" t="inlineStr">
        <is>
          <t>496,83</t>
        </is>
      </c>
      <c r="J1254" s="65" t="n">
        <v>58</v>
      </c>
      <c r="K1254" s="65" t="n">
        <v>887</v>
      </c>
      <c r="L1254" s="65" t="inlineStr">
        <is>
          <t>[0887] MOTOCLASICO 4T SAE 20W-50 (1x12)</t>
        </is>
      </c>
      <c r="M1254" s="63" t="inlineStr">
        <is>
          <t>70,69</t>
        </is>
      </c>
      <c r="N1254" s="63" t="inlineStr">
        <is>
          <t>1,00</t>
        </is>
      </c>
      <c r="O1254" s="63" t="inlineStr">
        <is>
          <t>12,28</t>
        </is>
      </c>
      <c r="P1254" s="63" t="inlineStr">
        <is>
          <t>55,32</t>
        </is>
      </c>
      <c r="Q1254" s="63" t="inlineStr">
        <is>
          <t>64,17</t>
        </is>
      </c>
    </row>
    <row r="1255">
      <c r="A1255" s="65" t="n"/>
      <c r="B1255" s="65" t="n"/>
      <c r="C1255" s="65" t="n"/>
      <c r="D1255" s="65" t="n"/>
      <c r="E1255" s="65" t="n"/>
      <c r="F1255" s="65" t="n"/>
      <c r="G1255" s="65" t="n"/>
      <c r="H1255" s="65" t="n"/>
      <c r="I1255" s="65" t="n"/>
      <c r="J1255" s="65" t="n"/>
      <c r="K1255" s="65" t="n">
        <v>761</v>
      </c>
      <c r="L1255" s="65" t="inlineStr">
        <is>
          <t>[0761] LIGA PARA FRENOS DOT-3 (1x12)</t>
        </is>
      </c>
      <c r="M1255" s="63" t="inlineStr">
        <is>
          <t>28,45</t>
        </is>
      </c>
      <c r="N1255" s="63" t="inlineStr">
        <is>
          <t>1,00</t>
        </is>
      </c>
      <c r="O1255" s="63" t="inlineStr">
        <is>
          <t>12,28</t>
        </is>
      </c>
      <c r="P1255" s="63" t="inlineStr">
        <is>
          <t>22,27</t>
        </is>
      </c>
      <c r="Q1255" s="63" t="inlineStr">
        <is>
          <t>25,83</t>
        </is>
      </c>
    </row>
    <row r="1256">
      <c r="A1256" s="66" t="n">
        <v>46161</v>
      </c>
      <c r="B1256" s="65" t="n">
        <v>65</v>
      </c>
      <c r="C1256" s="65" t="inlineStr">
        <is>
          <t>00-00000379</t>
        </is>
      </c>
      <c r="D1256" s="65" t="inlineStr">
        <is>
          <t>S00067</t>
        </is>
      </c>
      <c r="E1256" s="65" t="inlineStr">
        <is>
          <t>Jesus luciani Russiani.</t>
        </is>
      </c>
      <c r="F1256" s="63" t="inlineStr">
        <is>
          <t>60.441,38</t>
        </is>
      </c>
      <c r="G1256" s="63" t="inlineStr">
        <is>
          <t>70.112,00</t>
        </is>
      </c>
      <c r="H1256" s="63" t="inlineStr">
        <is>
          <t>146,49</t>
        </is>
      </c>
      <c r="I1256" s="63" t="inlineStr">
        <is>
          <t>478,58</t>
        </is>
      </c>
      <c r="J1256" s="65" t="n">
        <v>24</v>
      </c>
      <c r="K1256" s="65" t="n">
        <v>886</v>
      </c>
      <c r="L1256" s="65" t="inlineStr">
        <is>
          <t>[0886] TRANSMATIC DEXRON VI (1x12)</t>
        </is>
      </c>
      <c r="M1256" s="63" t="inlineStr">
        <is>
          <t>126,29</t>
        </is>
      </c>
      <c r="N1256" s="63" t="inlineStr">
        <is>
          <t>1,00</t>
        </is>
      </c>
      <c r="O1256" s="63" t="inlineStr">
        <is>
          <t>0,00</t>
        </is>
      </c>
      <c r="P1256" s="63" t="inlineStr">
        <is>
          <t>126,29</t>
        </is>
      </c>
      <c r="Q1256" s="63" t="inlineStr">
        <is>
          <t>146,50</t>
        </is>
      </c>
    </row>
    <row r="1257">
      <c r="A1257" s="66" t="n">
        <v>46161</v>
      </c>
      <c r="B1257" s="65" t="n">
        <v>64</v>
      </c>
      <c r="C1257" s="65" t="inlineStr">
        <is>
          <t>00-00000378</t>
        </is>
      </c>
      <c r="D1257" s="65" t="inlineStr">
        <is>
          <t>S00038</t>
        </is>
      </c>
      <c r="E1257" s="65" t="inlineStr">
        <is>
          <t>Auto repuestos Fontalvo</t>
        </is>
      </c>
      <c r="F1257" s="63" t="inlineStr">
        <is>
          <t>30.839,69</t>
        </is>
      </c>
      <c r="G1257" s="63" t="inlineStr">
        <is>
          <t>35.774,04</t>
        </is>
      </c>
      <c r="H1257" s="63" t="inlineStr">
        <is>
          <t>72,00</t>
        </is>
      </c>
      <c r="I1257" s="63" t="inlineStr">
        <is>
          <t>496,83</t>
        </is>
      </c>
      <c r="J1257" s="65" t="n">
        <v>26</v>
      </c>
      <c r="K1257" s="65" t="n">
        <v>25</v>
      </c>
      <c r="L1257" s="65" t="inlineStr">
        <is>
          <t>[0025] SS EXTRA PROTECCION API SN SAE 10W-30 (Gasolina) (1x6)</t>
        </is>
      </c>
      <c r="M1257" s="63" t="inlineStr">
        <is>
          <t>38,80</t>
        </is>
      </c>
      <c r="N1257" s="63" t="inlineStr">
        <is>
          <t>2,00</t>
        </is>
      </c>
      <c r="O1257" s="63" t="inlineStr">
        <is>
          <t>7,13</t>
        </is>
      </c>
      <c r="P1257" s="63" t="inlineStr">
        <is>
          <t>62,07</t>
        </is>
      </c>
      <c r="Q1257" s="63" t="inlineStr">
        <is>
          <t>72,00</t>
        </is>
      </c>
    </row>
    <row r="1258">
      <c r="A1258" s="65" t="n"/>
      <c r="B1258" s="65" t="n"/>
      <c r="C1258" s="65" t="n"/>
      <c r="D1258" s="65" t="n"/>
      <c r="E1258" s="65" t="n"/>
      <c r="F1258" s="65" t="n"/>
      <c r="G1258" s="65" t="n"/>
      <c r="H1258" s="65" t="n"/>
      <c r="I1258" s="65" t="n"/>
      <c r="J1258" s="65" t="n">
        <v>142</v>
      </c>
      <c r="K1258" s="65" t="n"/>
      <c r="L1258" s="65" t="n"/>
      <c r="M1258" s="65" t="n"/>
      <c r="N1258" s="65" t="n"/>
      <c r="O1258" s="65" t="n"/>
      <c r="P1258" s="65" t="n"/>
      <c r="Q1258" s="65" t="n"/>
    </row>
    <row r="1259">
      <c r="A1259" s="66" t="n">
        <v>46161</v>
      </c>
      <c r="B1259" s="65" t="n">
        <v>63</v>
      </c>
      <c r="C1259" s="65" t="inlineStr">
        <is>
          <t>00-00000376</t>
        </is>
      </c>
      <c r="D1259" s="65" t="inlineStr">
        <is>
          <t>S00051</t>
        </is>
      </c>
      <c r="E1259" s="65" t="inlineStr">
        <is>
          <t>Auto Repuestos Acal C.A</t>
        </is>
      </c>
      <c r="F1259" s="63" t="inlineStr">
        <is>
          <t>41.117,66</t>
        </is>
      </c>
      <c r="G1259" s="63" t="inlineStr">
        <is>
          <t>47.696,49</t>
        </is>
      </c>
      <c r="H1259" s="63" t="inlineStr">
        <is>
          <t>95,99</t>
        </is>
      </c>
      <c r="I1259" s="63" t="inlineStr">
        <is>
          <t>496,83</t>
        </is>
      </c>
      <c r="J1259" s="65" t="n">
        <v>70</v>
      </c>
      <c r="K1259" s="65" t="n">
        <v>915</v>
      </c>
      <c r="L1259" s="65" t="inlineStr">
        <is>
          <t>[0915] SINOCO SAE 50 (1x12)</t>
        </is>
      </c>
      <c r="M1259" s="63" t="inlineStr">
        <is>
          <t>38,00</t>
        </is>
      </c>
      <c r="N1259" s="63" t="inlineStr">
        <is>
          <t>1,00</t>
        </is>
      </c>
      <c r="O1259" s="63" t="inlineStr">
        <is>
          <t>0,00</t>
        </is>
      </c>
      <c r="P1259" s="63" t="inlineStr">
        <is>
          <t>38,00</t>
        </is>
      </c>
      <c r="Q1259" s="63" t="inlineStr">
        <is>
          <t>44,08</t>
        </is>
      </c>
    </row>
    <row r="1260">
      <c r="A1260" s="65" t="n"/>
      <c r="B1260" s="65" t="n"/>
      <c r="C1260" s="65" t="n"/>
      <c r="D1260" s="65" t="n"/>
      <c r="E1260" s="65" t="n"/>
      <c r="F1260" s="65" t="n"/>
      <c r="G1260" s="65" t="n"/>
      <c r="H1260" s="65" t="n"/>
      <c r="I1260" s="65" t="n"/>
      <c r="J1260" s="65" t="n">
        <v>400</v>
      </c>
      <c r="K1260" s="65" t="n"/>
      <c r="L1260" s="65" t="n"/>
      <c r="M1260" s="65" t="n"/>
      <c r="N1260" s="65" t="n"/>
      <c r="O1260" s="65" t="n"/>
      <c r="P1260" s="65" t="n"/>
      <c r="Q1260" s="65" t="n"/>
    </row>
    <row r="1261">
      <c r="A1261" s="65" t="n"/>
      <c r="B1261" s="65" t="n"/>
      <c r="C1261" s="65" t="n"/>
      <c r="D1261" s="65" t="n"/>
      <c r="E1261" s="65" t="n"/>
      <c r="F1261" s="65" t="n"/>
      <c r="G1261" s="65" t="n"/>
      <c r="H1261" s="65" t="n"/>
      <c r="I1261" s="65" t="n"/>
      <c r="J1261" s="65" t="n"/>
      <c r="K1261" s="65" t="n">
        <v>779</v>
      </c>
      <c r="L1261" s="65" t="inlineStr">
        <is>
          <t>[0779] SINOCO SAE 20W-50 (1x12)</t>
        </is>
      </c>
      <c r="M1261" s="63" t="inlineStr">
        <is>
          <t>44,76</t>
        </is>
      </c>
      <c r="N1261" s="63" t="inlineStr">
        <is>
          <t>1,00</t>
        </is>
      </c>
      <c r="O1261" s="63" t="inlineStr">
        <is>
          <t>0,00</t>
        </is>
      </c>
      <c r="P1261" s="63" t="inlineStr">
        <is>
          <t>44,76</t>
        </is>
      </c>
      <c r="Q1261" s="63" t="inlineStr">
        <is>
          <t>51,92</t>
        </is>
      </c>
    </row>
    <row r="1262">
      <c r="A1262" s="66" t="n">
        <v>46161</v>
      </c>
      <c r="B1262" s="65" t="n">
        <v>62</v>
      </c>
      <c r="C1262" s="65" t="inlineStr">
        <is>
          <t>00-00000374</t>
        </is>
      </c>
      <c r="D1262" s="65" t="inlineStr">
        <is>
          <t>S00051</t>
        </is>
      </c>
      <c r="E1262" s="65" t="inlineStr">
        <is>
          <t>Auto Repuestos Acal C.A</t>
        </is>
      </c>
      <c r="F1262" s="63" t="inlineStr">
        <is>
          <t>44.815,40</t>
        </is>
      </c>
      <c r="G1262" s="63" t="inlineStr">
        <is>
          <t>51.985,86</t>
        </is>
      </c>
      <c r="H1262" s="63" t="inlineStr">
        <is>
          <t>104,63</t>
        </is>
      </c>
      <c r="I1262" s="63" t="inlineStr">
        <is>
          <t>496,83</t>
        </is>
      </c>
      <c r="J1262" s="65" t="n"/>
      <c r="K1262" s="65" t="n">
        <v>915</v>
      </c>
      <c r="L1262" s="65" t="inlineStr">
        <is>
          <t>[0915] SINOCO SAE 50 (1x12)</t>
        </is>
      </c>
      <c r="M1262" s="63" t="inlineStr">
        <is>
          <t>51,73</t>
        </is>
      </c>
      <c r="N1262" s="63" t="inlineStr">
        <is>
          <t>1,00</t>
        </is>
      </c>
      <c r="O1262" s="63" t="inlineStr">
        <is>
          <t>0,00</t>
        </is>
      </c>
      <c r="P1262" s="63" t="inlineStr">
        <is>
          <t>45,10</t>
        </is>
      </c>
      <c r="Q1262" s="63" t="inlineStr">
        <is>
          <t>52,32</t>
        </is>
      </c>
    </row>
    <row r="1263">
      <c r="A1263" s="65" t="n"/>
      <c r="B1263" s="65" t="n"/>
      <c r="C1263" s="65" t="n"/>
      <c r="D1263" s="65" t="n"/>
      <c r="E1263" s="65" t="n"/>
      <c r="F1263" s="65" t="n"/>
      <c r="G1263" s="65" t="n"/>
      <c r="H1263" s="65" t="n"/>
      <c r="I1263" s="65" t="n"/>
      <c r="J1263" s="65" t="n"/>
      <c r="K1263" s="65" t="n">
        <v>779</v>
      </c>
      <c r="L1263" s="65" t="inlineStr">
        <is>
          <t>[0779] SINOCO SAE 20W-50 (1x12)</t>
        </is>
      </c>
      <c r="M1263" s="63" t="inlineStr">
        <is>
          <t>51,73</t>
        </is>
      </c>
      <c r="N1263" s="63" t="inlineStr">
        <is>
          <t>1,00</t>
        </is>
      </c>
      <c r="O1263" s="63" t="inlineStr">
        <is>
          <t>0,00</t>
        </is>
      </c>
      <c r="P1263" s="63" t="inlineStr">
        <is>
          <t>45,10</t>
        </is>
      </c>
      <c r="Q1263" s="63" t="inlineStr">
        <is>
          <t>52,32</t>
        </is>
      </c>
    </row>
    <row r="1264">
      <c r="A1264" s="66" t="n">
        <v>46157</v>
      </c>
      <c r="B1264" s="65" t="n">
        <v>61</v>
      </c>
      <c r="C1264" s="65" t="inlineStr">
        <is>
          <t>00-00000361</t>
        </is>
      </c>
      <c r="D1264" s="65" t="inlineStr">
        <is>
          <t>S00289</t>
        </is>
      </c>
      <c r="E1264" s="65" t="inlineStr">
        <is>
          <t>Paola M. Aguilera Z.</t>
        </is>
      </c>
      <c r="F1264" s="63" t="inlineStr">
        <is>
          <t>33.882,30</t>
        </is>
      </c>
      <c r="G1264" s="63" t="inlineStr">
        <is>
          <t>39.303,47</t>
        </is>
      </c>
      <c r="H1264" s="63" t="inlineStr">
        <is>
          <t>80,99</t>
        </is>
      </c>
      <c r="I1264" s="63" t="inlineStr">
        <is>
          <t>485,23</t>
        </is>
      </c>
      <c r="J1264" s="65" t="n">
        <v>201</v>
      </c>
      <c r="K1264" s="65" t="n">
        <v>83</v>
      </c>
      <c r="L1264" s="65" t="inlineStr">
        <is>
          <t>[0083] MAXIMO API CF SAE 50 (PAILA)</t>
        </is>
      </c>
      <c r="M1264" s="63" t="inlineStr">
        <is>
          <t>75,90</t>
        </is>
      </c>
      <c r="N1264" s="63" t="inlineStr">
        <is>
          <t>1,00</t>
        </is>
      </c>
      <c r="O1264" s="63" t="inlineStr">
        <is>
          <t>8,00</t>
        </is>
      </c>
      <c r="P1264" s="63" t="inlineStr">
        <is>
          <t>69,83</t>
        </is>
      </c>
      <c r="Q1264" s="63" t="inlineStr">
        <is>
          <t>81,00</t>
        </is>
      </c>
    </row>
    <row r="1265">
      <c r="A1265" s="66" t="n">
        <v>46157</v>
      </c>
      <c r="B1265" s="65" t="n">
        <v>60</v>
      </c>
      <c r="C1265" s="65" t="inlineStr">
        <is>
          <t>00-00000360</t>
        </is>
      </c>
      <c r="D1265" s="65" t="inlineStr">
        <is>
          <t>S00206</t>
        </is>
      </c>
      <c r="E1265" s="65" t="inlineStr">
        <is>
          <t>Paola M. Aguilera Z.</t>
        </is>
      </c>
      <c r="F1265" s="63" t="inlineStr">
        <is>
          <t>84.381,62</t>
        </is>
      </c>
      <c r="G1265" s="63" t="inlineStr">
        <is>
          <t>97.882,68</t>
        </is>
      </c>
      <c r="H1265" s="63" t="inlineStr">
        <is>
          <t>197,00</t>
        </is>
      </c>
      <c r="I1265" s="63" t="inlineStr">
        <is>
          <t>496,83</t>
        </is>
      </c>
      <c r="J1265" s="65" t="n">
        <v>98</v>
      </c>
      <c r="K1265" s="65" t="n">
        <v>536</v>
      </c>
      <c r="L1265" s="65" t="inlineStr">
        <is>
          <t>[0536] MAXIMO API CF SAE 20W-50 (PAILA)</t>
        </is>
      </c>
      <c r="M1265" s="63" t="inlineStr">
        <is>
          <t>84,92</t>
        </is>
      </c>
      <c r="N1265" s="63" t="inlineStr">
        <is>
          <t>2,00</t>
        </is>
      </c>
      <c r="O1265" s="63" t="inlineStr">
        <is>
          <t>0,00</t>
        </is>
      </c>
      <c r="P1265" s="63" t="inlineStr">
        <is>
          <t>169,84</t>
        </is>
      </c>
      <c r="Q1265" s="63" t="inlineStr">
        <is>
          <t>197,01</t>
        </is>
      </c>
    </row>
    <row r="1266">
      <c r="A1266" s="65" t="n"/>
      <c r="B1266" s="65" t="n"/>
      <c r="C1266" s="65" t="n"/>
      <c r="D1266" s="65" t="n"/>
      <c r="E1266" s="65" t="n"/>
      <c r="F1266" s="65" t="n"/>
      <c r="G1266" s="65" t="n"/>
      <c r="H1266" s="65" t="n"/>
      <c r="I1266" s="65" t="n"/>
      <c r="J1266" s="65" t="n">
        <v>370</v>
      </c>
      <c r="K1266" s="65" t="n"/>
      <c r="L1266" s="65" t="n"/>
      <c r="M1266" s="65" t="n"/>
      <c r="N1266" s="65" t="n"/>
      <c r="O1266" s="65" t="n"/>
      <c r="P1266" s="65" t="n"/>
      <c r="Q1266" s="65" t="n"/>
    </row>
    <row r="1267">
      <c r="A1267" s="66" t="n">
        <v>46157</v>
      </c>
      <c r="B1267" s="65" t="n">
        <v>59</v>
      </c>
      <c r="C1267" s="65" t="inlineStr">
        <is>
          <t>00-00000359</t>
        </is>
      </c>
      <c r="D1267" s="65" t="inlineStr">
        <is>
          <t>S00397</t>
        </is>
      </c>
      <c r="E1267" s="65" t="inlineStr">
        <is>
          <t>Paola M. Aguilera Z.</t>
        </is>
      </c>
      <c r="F1267" s="63" t="inlineStr">
        <is>
          <t>37.752,39</t>
        </is>
      </c>
      <c r="G1267" s="63" t="inlineStr">
        <is>
          <t>43.792,77</t>
        </is>
      </c>
      <c r="H1267" s="63" t="inlineStr">
        <is>
          <t>84,99</t>
        </is>
      </c>
      <c r="I1267" s="63" t="inlineStr">
        <is>
          <t>515,18</t>
        </is>
      </c>
      <c r="J1267" s="65" t="n">
        <v>369</v>
      </c>
      <c r="K1267" s="65" t="n">
        <v>83</v>
      </c>
      <c r="L1267" s="65" t="inlineStr">
        <is>
          <t>[0083] MAXIMO API CF SAE 50 (PAILA)</t>
        </is>
      </c>
      <c r="M1267" s="63" t="inlineStr">
        <is>
          <t>73,28</t>
        </is>
      </c>
      <c r="N1267" s="63" t="inlineStr">
        <is>
          <t>1,00</t>
        </is>
      </c>
      <c r="O1267" s="63" t="inlineStr">
        <is>
          <t>0,00</t>
        </is>
      </c>
      <c r="P1267" s="63" t="inlineStr">
        <is>
          <t>73,28</t>
        </is>
      </c>
      <c r="Q1267" s="63" t="inlineStr">
        <is>
          <t>85,00</t>
        </is>
      </c>
    </row>
    <row r="1268">
      <c r="A1268" s="66" t="n">
        <v>46157</v>
      </c>
      <c r="B1268" s="65" t="n">
        <v>58</v>
      </c>
      <c r="C1268" s="65" t="inlineStr">
        <is>
          <t>00-00000357</t>
        </is>
      </c>
      <c r="D1268" s="65" t="inlineStr">
        <is>
          <t>S00313</t>
        </is>
      </c>
      <c r="E1268" s="65" t="inlineStr">
        <is>
          <t>Edgar salas</t>
        </is>
      </c>
      <c r="F1268" s="63" t="inlineStr">
        <is>
          <t>27.842,36</t>
        </is>
      </c>
      <c r="G1268" s="63" t="inlineStr">
        <is>
          <t>32.297,14</t>
        </is>
      </c>
      <c r="H1268" s="63" t="inlineStr">
        <is>
          <t>65,00</t>
        </is>
      </c>
      <c r="I1268" s="63" t="inlineStr">
        <is>
          <t>496,83</t>
        </is>
      </c>
      <c r="J1268" s="65" t="n">
        <v>262</v>
      </c>
      <c r="K1268" s="65" t="n">
        <v>881</v>
      </c>
      <c r="L1268" s="65" t="inlineStr">
        <is>
          <t>[0881] CLASICO API SL SAE 20W-50 (1x12)</t>
        </is>
      </c>
      <c r="M1268" s="63" t="inlineStr">
        <is>
          <t>56,04</t>
        </is>
      </c>
      <c r="N1268" s="63" t="inlineStr">
        <is>
          <t>1,00</t>
        </is>
      </c>
      <c r="O1268" s="63" t="inlineStr">
        <is>
          <t>0,00</t>
        </is>
      </c>
      <c r="P1268" s="63" t="inlineStr">
        <is>
          <t>56,04</t>
        </is>
      </c>
      <c r="Q1268" s="63" t="inlineStr">
        <is>
          <t>65,01</t>
        </is>
      </c>
    </row>
    <row r="1269">
      <c r="A1269" s="65" t="n"/>
      <c r="B1269" s="65" t="n"/>
      <c r="C1269" s="65" t="n"/>
      <c r="D1269" s="65" t="n"/>
      <c r="E1269" s="65" t="n"/>
      <c r="F1269" s="65" t="n"/>
      <c r="G1269" s="65" t="n"/>
      <c r="H1269" s="65" t="n"/>
      <c r="I1269" s="65" t="n"/>
      <c r="J1269" s="65" t="n">
        <v>368</v>
      </c>
      <c r="K1269" s="65" t="n"/>
      <c r="L1269" s="65" t="n"/>
      <c r="M1269" s="65" t="n"/>
      <c r="N1269" s="65" t="n"/>
      <c r="O1269" s="65" t="n"/>
      <c r="P1269" s="65" t="n"/>
      <c r="Q1269" s="65" t="n"/>
    </row>
    <row r="1270">
      <c r="A1270" s="66" t="n">
        <v>46156</v>
      </c>
      <c r="B1270" s="65" t="n">
        <v>57</v>
      </c>
      <c r="C1270" s="65" t="inlineStr">
        <is>
          <t>00-00000346</t>
        </is>
      </c>
      <c r="D1270" s="65" t="inlineStr">
        <is>
          <t>S00389</t>
        </is>
      </c>
      <c r="E1270" s="65" t="inlineStr">
        <is>
          <t>Greicy Moncada</t>
        </is>
      </c>
      <c r="F1270" s="63" t="inlineStr">
        <is>
          <t>110.013,63</t>
        </is>
      </c>
      <c r="G1270" s="63" t="inlineStr">
        <is>
          <t>127.615,81</t>
        </is>
      </c>
      <c r="H1270" s="63" t="inlineStr">
        <is>
          <t>249,84</t>
        </is>
      </c>
      <c r="I1270" s="63" t="inlineStr">
        <is>
          <t>510,79</t>
        </is>
      </c>
      <c r="J1270" s="65" t="n"/>
      <c r="K1270" s="65" t="n">
        <v>602</v>
      </c>
      <c r="L1270" s="65" t="inlineStr">
        <is>
          <t>[0602] SINOCO SAE 50 (PAILA)</t>
        </is>
      </c>
      <c r="M1270" s="63" t="inlineStr">
        <is>
          <t>73,28</t>
        </is>
      </c>
      <c r="N1270" s="63" t="inlineStr">
        <is>
          <t>3,00</t>
        </is>
      </c>
      <c r="O1270" s="63" t="inlineStr">
        <is>
          <t>0,00</t>
        </is>
      </c>
      <c r="P1270" s="63" t="inlineStr">
        <is>
          <t>215,38</t>
        </is>
      </c>
      <c r="Q1270" s="63" t="inlineStr">
        <is>
          <t>249,84</t>
        </is>
      </c>
    </row>
    <row r="1271">
      <c r="A1271" s="66" t="n">
        <v>46156</v>
      </c>
      <c r="B1271" s="65" t="n">
        <v>56</v>
      </c>
      <c r="C1271" s="65" t="inlineStr">
        <is>
          <t>00-00000345</t>
        </is>
      </c>
      <c r="D1271" s="65" t="inlineStr">
        <is>
          <t>S00014</t>
        </is>
      </c>
      <c r="E1271" s="65" t="inlineStr">
        <is>
          <t>SPEED RACING, CA</t>
        </is>
      </c>
      <c r="F1271" s="63" t="inlineStr">
        <is>
          <t>40.030,54</t>
        </is>
      </c>
      <c r="G1271" s="63" t="inlineStr">
        <is>
          <t>46.435,43</t>
        </is>
      </c>
      <c r="H1271" s="63" t="inlineStr">
        <is>
          <t>97,84</t>
        </is>
      </c>
      <c r="I1271" s="63" t="inlineStr">
        <is>
          <t>474,53</t>
        </is>
      </c>
      <c r="J1271" s="65" t="n">
        <v>356</v>
      </c>
      <c r="K1271" s="65" t="n">
        <v>883</v>
      </c>
      <c r="L1271" s="65" t="inlineStr">
        <is>
          <t>[0883] GRASA GLOBAL AZUL AZ 95 (PAILA)</t>
        </is>
      </c>
      <c r="M1271" s="63" t="inlineStr">
        <is>
          <t>84,36</t>
        </is>
      </c>
      <c r="N1271" s="63" t="inlineStr">
        <is>
          <t>1,00</t>
        </is>
      </c>
      <c r="O1271" s="63" t="inlineStr">
        <is>
          <t>0,00</t>
        </is>
      </c>
      <c r="P1271" s="63" t="inlineStr">
        <is>
          <t>84,36</t>
        </is>
      </c>
      <c r="Q1271" s="63" t="inlineStr">
        <is>
          <t>97,85</t>
        </is>
      </c>
    </row>
    <row r="1272">
      <c r="A1272" s="65" t="n"/>
      <c r="B1272" s="65" t="n"/>
      <c r="C1272" s="65" t="n"/>
      <c r="D1272" s="65" t="n"/>
      <c r="E1272" s="65" t="n"/>
      <c r="F1272" s="65" t="n"/>
      <c r="G1272" s="65" t="n"/>
      <c r="H1272" s="65" t="n"/>
      <c r="I1272" s="65" t="n"/>
      <c r="J1272" s="65" t="n">
        <v>357</v>
      </c>
      <c r="K1272" s="65" t="n"/>
      <c r="L1272" s="65" t="n"/>
      <c r="M1272" s="65" t="n"/>
      <c r="N1272" s="65" t="n"/>
      <c r="O1272" s="65" t="n"/>
      <c r="P1272" s="65" t="n"/>
      <c r="Q1272" s="65" t="n"/>
    </row>
    <row r="1273">
      <c r="A1273" s="66" t="n">
        <v>46156</v>
      </c>
      <c r="B1273" s="65" t="n">
        <v>55</v>
      </c>
      <c r="C1273" s="65" t="inlineStr">
        <is>
          <t>00-00000344</t>
        </is>
      </c>
      <c r="D1273" s="65" t="inlineStr">
        <is>
          <t>S00387</t>
        </is>
      </c>
      <c r="E1273" s="65" t="inlineStr">
        <is>
          <t>FRANCISCO MONCADA</t>
        </is>
      </c>
      <c r="F1273" s="63" t="inlineStr">
        <is>
          <t>183.356,05</t>
        </is>
      </c>
      <c r="G1273" s="63" t="inlineStr">
        <is>
          <t>212.693,02</t>
        </is>
      </c>
      <c r="H1273" s="63" t="inlineStr">
        <is>
          <t>416,39</t>
        </is>
      </c>
      <c r="I1273" s="63" t="inlineStr">
        <is>
          <t>510,79</t>
        </is>
      </c>
      <c r="J1273" s="65" t="n"/>
      <c r="K1273" s="65" t="n">
        <v>602</v>
      </c>
      <c r="L1273" s="65" t="inlineStr">
        <is>
          <t>[0602] SINOCO SAE 50 (PAILA)</t>
        </is>
      </c>
      <c r="M1273" s="63" t="inlineStr">
        <is>
          <t>73,28</t>
        </is>
      </c>
      <c r="N1273" s="63" t="inlineStr">
        <is>
          <t>5,00</t>
        </is>
      </c>
      <c r="O1273" s="63" t="inlineStr">
        <is>
          <t>0,00</t>
        </is>
      </c>
      <c r="P1273" s="63" t="inlineStr">
        <is>
          <t>358,97</t>
        </is>
      </c>
      <c r="Q1273" s="63" t="inlineStr">
        <is>
          <t>416,40</t>
        </is>
      </c>
    </row>
    <row r="1274">
      <c r="A1274" s="66" t="n">
        <v>46156</v>
      </c>
      <c r="B1274" s="65" t="n">
        <v>54</v>
      </c>
      <c r="C1274" s="65" t="inlineStr">
        <is>
          <t>00-00000342</t>
        </is>
      </c>
      <c r="D1274" s="65" t="inlineStr">
        <is>
          <t>S00263</t>
        </is>
      </c>
      <c r="E1274" s="65" t="inlineStr">
        <is>
          <t>Katiuska Alejandra Curvelo</t>
        </is>
      </c>
      <c r="F1274" s="63" t="inlineStr">
        <is>
          <t>106.665,09</t>
        </is>
      </c>
      <c r="G1274" s="63" t="inlineStr">
        <is>
          <t>123.731,51</t>
        </is>
      </c>
      <c r="H1274" s="63" t="inlineStr">
        <is>
          <t>254,97</t>
        </is>
      </c>
      <c r="I1274" s="63" t="inlineStr">
        <is>
          <t>485,23</t>
        </is>
      </c>
      <c r="J1274" s="65" t="n">
        <v>195</v>
      </c>
      <c r="K1274" s="65" t="n">
        <v>121</v>
      </c>
      <c r="L1274" s="65" t="inlineStr">
        <is>
          <t>[0121] TRANSGLOB API GL-5 SAE 80W-90 (1x6)</t>
        </is>
      </c>
      <c r="M1274" s="63" t="inlineStr">
        <is>
          <t>34,00</t>
        </is>
      </c>
      <c r="N1274" s="63" t="inlineStr">
        <is>
          <t>1,00</t>
        </is>
      </c>
      <c r="O1274" s="63" t="inlineStr">
        <is>
          <t>8,00</t>
        </is>
      </c>
      <c r="P1274" s="63" t="inlineStr">
        <is>
          <t>31,28</t>
        </is>
      </c>
      <c r="Q1274" s="63" t="inlineStr">
        <is>
          <t>36,28</t>
        </is>
      </c>
    </row>
    <row r="1275">
      <c r="A1275" s="65" t="n"/>
      <c r="B1275" s="65" t="n"/>
      <c r="C1275" s="65" t="n"/>
      <c r="D1275" s="65" t="n"/>
      <c r="E1275" s="65" t="n"/>
      <c r="F1275" s="65" t="n"/>
      <c r="G1275" s="65" t="n"/>
      <c r="H1275" s="65" t="n"/>
      <c r="I1275" s="65" t="n"/>
      <c r="J1275" s="65" t="n"/>
      <c r="K1275" s="65" t="n">
        <v>761</v>
      </c>
      <c r="L1275" s="65" t="inlineStr">
        <is>
          <t>[0761] LIGA PARA FRENOS DOT-3 (1x12)</t>
        </is>
      </c>
      <c r="M1275" s="63" t="inlineStr">
        <is>
          <t>23,00</t>
        </is>
      </c>
      <c r="N1275" s="63" t="inlineStr">
        <is>
          <t>1,00</t>
        </is>
      </c>
      <c r="O1275" s="63" t="inlineStr">
        <is>
          <t>8,00</t>
        </is>
      </c>
      <c r="P1275" s="63" t="inlineStr">
        <is>
          <t>21,16</t>
        </is>
      </c>
      <c r="Q1275" s="63" t="inlineStr">
        <is>
          <t>24,55</t>
        </is>
      </c>
    </row>
    <row r="1276">
      <c r="A1276" s="65" t="n"/>
      <c r="B1276" s="65" t="n"/>
      <c r="C1276" s="65" t="n"/>
      <c r="D1276" s="65" t="n"/>
      <c r="E1276" s="65" t="n"/>
      <c r="F1276" s="65" t="n"/>
      <c r="G1276" s="65" t="n"/>
      <c r="H1276" s="65" t="n"/>
      <c r="I1276" s="65" t="n"/>
      <c r="J1276" s="65" t="n"/>
      <c r="K1276" s="65" t="n">
        <v>881</v>
      </c>
      <c r="L1276" s="65" t="inlineStr">
        <is>
          <t>[0881] CLASICO API SL SAE 20W-50 (1x12)</t>
        </is>
      </c>
      <c r="M1276" s="63" t="inlineStr">
        <is>
          <t>56,00</t>
        </is>
      </c>
      <c r="N1276" s="63" t="inlineStr">
        <is>
          <t>1,00</t>
        </is>
      </c>
      <c r="O1276" s="63" t="inlineStr">
        <is>
          <t>8,00</t>
        </is>
      </c>
      <c r="P1276" s="63" t="inlineStr">
        <is>
          <t>51,52</t>
        </is>
      </c>
      <c r="Q1276" s="63" t="inlineStr">
        <is>
          <t>59,76</t>
        </is>
      </c>
    </row>
    <row r="1277">
      <c r="A1277" s="65" t="n"/>
      <c r="B1277" s="65" t="n"/>
      <c r="C1277" s="65" t="n"/>
      <c r="D1277" s="65" t="n"/>
      <c r="E1277" s="65" t="n"/>
      <c r="F1277" s="65" t="n"/>
      <c r="G1277" s="65" t="n"/>
      <c r="H1277" s="65" t="n"/>
      <c r="I1277" s="65" t="n"/>
      <c r="J1277" s="65" t="n"/>
      <c r="K1277" s="65" t="n">
        <v>877</v>
      </c>
      <c r="L1277" s="65" t="inlineStr">
        <is>
          <t>[0877] SS EXTRA PROTECCION API SN SAE 15W-40 (1X12)</t>
        </is>
      </c>
      <c r="M1277" s="63" t="inlineStr">
        <is>
          <t>65,00</t>
        </is>
      </c>
      <c r="N1277" s="63" t="inlineStr">
        <is>
          <t>1,00</t>
        </is>
      </c>
      <c r="O1277" s="63" t="inlineStr">
        <is>
          <t>10,00</t>
        </is>
      </c>
      <c r="P1277" s="63" t="inlineStr">
        <is>
          <t>58,50</t>
        </is>
      </c>
      <c r="Q1277" s="63" t="inlineStr">
        <is>
          <t>67,86</t>
        </is>
      </c>
    </row>
    <row r="1278">
      <c r="A1278" s="65" t="n"/>
      <c r="B1278" s="65" t="n"/>
      <c r="C1278" s="65" t="n"/>
      <c r="D1278" s="65" t="n"/>
      <c r="E1278" s="65" t="n"/>
      <c r="F1278" s="65" t="n"/>
      <c r="G1278" s="65" t="n"/>
      <c r="H1278" s="65" t="n"/>
      <c r="I1278" s="65" t="n"/>
      <c r="J1278" s="65" t="n"/>
      <c r="K1278" s="65" t="n">
        <v>878</v>
      </c>
      <c r="L1278" s="65" t="inlineStr">
        <is>
          <t>[0878] SS EXTRA PROTECCION API SN SAE 20W-50 (1x12)</t>
        </is>
      </c>
      <c r="M1278" s="63" t="inlineStr">
        <is>
          <t>63,74</t>
        </is>
      </c>
      <c r="N1278" s="63" t="inlineStr">
        <is>
          <t>1,00</t>
        </is>
      </c>
      <c r="O1278" s="63" t="inlineStr">
        <is>
          <t>10,00</t>
        </is>
      </c>
      <c r="P1278" s="63" t="inlineStr">
        <is>
          <t>57,37</t>
        </is>
      </c>
      <c r="Q1278" s="63" t="inlineStr">
        <is>
          <t>66,54</t>
        </is>
      </c>
    </row>
    <row r="1279">
      <c r="A1279" s="66" t="n">
        <v>46156</v>
      </c>
      <c r="B1279" s="65" t="n">
        <v>53</v>
      </c>
      <c r="C1279" s="65" t="inlineStr">
        <is>
          <t>00-00000340</t>
        </is>
      </c>
      <c r="D1279" s="65" t="inlineStr">
        <is>
          <t>S00328</t>
        </is>
      </c>
      <c r="E1279" s="65" t="inlineStr">
        <is>
          <t>AGROPECUARIA LECHE Y MIEL, C.A</t>
        </is>
      </c>
      <c r="F1279" s="63" t="inlineStr">
        <is>
          <t>2.669.663,63</t>
        </is>
      </c>
      <c r="G1279" s="63" t="inlineStr">
        <is>
          <t>3.096.809,81</t>
        </is>
      </c>
      <c r="H1279" s="63" t="inlineStr">
        <is>
          <t>6.062,79</t>
        </is>
      </c>
      <c r="I1279" s="63" t="inlineStr">
        <is>
          <t>510,79</t>
        </is>
      </c>
      <c r="J1279" s="65" t="n"/>
      <c r="K1279" s="65" t="n">
        <v>146</v>
      </c>
      <c r="L1279" s="65" t="inlineStr">
        <is>
          <t>[0146] HIDRAGLOB AW/ISO 68 (Tambor)</t>
        </is>
      </c>
      <c r="M1279" s="63" t="inlineStr">
        <is>
          <t>1.082,33</t>
        </is>
      </c>
      <c r="N1279" s="63" t="inlineStr">
        <is>
          <t>2,00</t>
        </is>
      </c>
      <c r="O1279" s="63" t="inlineStr">
        <is>
          <t>0,00</t>
        </is>
      </c>
      <c r="P1279" s="63" t="inlineStr">
        <is>
          <t>1.929,32</t>
        </is>
      </c>
      <c r="Q1279" s="63" t="inlineStr">
        <is>
          <t>2.238,01</t>
        </is>
      </c>
    </row>
    <row r="1280">
      <c r="A1280" s="65" t="n"/>
      <c r="B1280" s="65" t="n"/>
      <c r="C1280" s="65" t="n"/>
      <c r="D1280" s="65" t="n"/>
      <c r="E1280" s="65" t="n"/>
      <c r="F1280" s="65" t="n"/>
      <c r="G1280" s="65" t="n"/>
      <c r="H1280" s="65" t="n"/>
      <c r="I1280" s="65" t="n"/>
      <c r="J1280" s="65" t="n"/>
      <c r="K1280" s="65" t="n">
        <v>75</v>
      </c>
      <c r="L1280" s="65" t="inlineStr">
        <is>
          <t>[0075] SUPREMO API CI-4 SAE 15W-40 (Tambor)</t>
        </is>
      </c>
      <c r="M1280" s="63" t="inlineStr">
        <is>
          <t>1.247,84</t>
        </is>
      </c>
      <c r="N1280" s="63" t="inlineStr">
        <is>
          <t>1,00</t>
        </is>
      </c>
      <c r="O1280" s="63" t="inlineStr">
        <is>
          <t>0,00</t>
        </is>
      </c>
      <c r="P1280" s="63" t="inlineStr">
        <is>
          <t>1.112,18</t>
        </is>
      </c>
      <c r="Q1280" s="63" t="inlineStr">
        <is>
          <t>1.290,12</t>
        </is>
      </c>
    </row>
    <row r="1281">
      <c r="A1281" s="65" t="n"/>
      <c r="B1281" s="65" t="n"/>
      <c r="C1281" s="65" t="n"/>
      <c r="D1281" s="65" t="n"/>
      <c r="E1281" s="65" t="n"/>
      <c r="F1281" s="65" t="n"/>
      <c r="G1281" s="65" t="n"/>
      <c r="H1281" s="65" t="n"/>
      <c r="I1281" s="65" t="n"/>
      <c r="J1281" s="65" t="n"/>
      <c r="K1281" s="65" t="n">
        <v>85</v>
      </c>
      <c r="L1281" s="65" t="inlineStr">
        <is>
          <t>[0085] MAXIMO API CF SAE 50 (Tambor)</t>
        </is>
      </c>
      <c r="M1281" s="63" t="inlineStr">
        <is>
          <t>1.115,95</t>
        </is>
      </c>
      <c r="N1281" s="63" t="inlineStr">
        <is>
          <t>1,00</t>
        </is>
      </c>
      <c r="O1281" s="63" t="inlineStr">
        <is>
          <t>0,00</t>
        </is>
      </c>
      <c r="P1281" s="63" t="inlineStr">
        <is>
          <t>994,62</t>
        </is>
      </c>
      <c r="Q1281" s="63" t="inlineStr">
        <is>
          <t>1.153,76</t>
        </is>
      </c>
    </row>
    <row r="1282">
      <c r="A1282" s="65" t="n"/>
      <c r="B1282" s="65" t="n"/>
      <c r="C1282" s="65" t="n"/>
      <c r="D1282" s="65" t="n"/>
      <c r="E1282" s="65" t="n"/>
      <c r="F1282" s="65" t="n"/>
      <c r="G1282" s="65" t="n"/>
      <c r="H1282" s="65" t="n"/>
      <c r="I1282" s="65" t="n"/>
      <c r="J1282" s="65" t="n"/>
      <c r="K1282" s="65" t="n">
        <v>91</v>
      </c>
      <c r="L1282" s="65" t="inlineStr">
        <is>
          <t>[0091] ENDUROGLOB 2T AIRE (Tambor)</t>
        </is>
      </c>
      <c r="M1282" s="63" t="inlineStr">
        <is>
          <t>1.335,66</t>
        </is>
      </c>
      <c r="N1282" s="63" t="inlineStr">
        <is>
          <t>1,00</t>
        </is>
      </c>
      <c r="O1282" s="63" t="inlineStr">
        <is>
          <t>0,00</t>
        </is>
      </c>
      <c r="P1282" s="63" t="inlineStr">
        <is>
          <t>1.190,45</t>
        </is>
      </c>
      <c r="Q1282" s="63" t="inlineStr">
        <is>
          <t>1.380,92</t>
        </is>
      </c>
    </row>
    <row r="1283">
      <c r="A1283" s="66" t="n">
        <v>46156</v>
      </c>
      <c r="B1283" s="65" t="n">
        <v>52</v>
      </c>
      <c r="C1283" s="65" t="inlineStr">
        <is>
          <t>00-00000339</t>
        </is>
      </c>
      <c r="D1283" s="65" t="inlineStr">
        <is>
          <t>S00357</t>
        </is>
      </c>
      <c r="E1283" s="65" t="inlineStr">
        <is>
          <t>AGROPECUARIA LECHE Y MIEL, C.A</t>
        </is>
      </c>
      <c r="F1283" s="63" t="inlineStr">
        <is>
          <t>1.357.114,22</t>
        </is>
      </c>
      <c r="G1283" s="63" t="inlineStr">
        <is>
          <t>1.574.252,50</t>
        </is>
      </c>
      <c r="H1283" s="63" t="inlineStr">
        <is>
          <t>3.082,00</t>
        </is>
      </c>
      <c r="I1283" s="63" t="inlineStr">
        <is>
          <t>510,79</t>
        </is>
      </c>
      <c r="J1283" s="65" t="n"/>
      <c r="K1283" s="65" t="n">
        <v>970</v>
      </c>
      <c r="L1283" s="65" t="inlineStr">
        <is>
          <t>[0970] GRASA GLOBAL AT 250 AR-EP (PAILA)</t>
        </is>
      </c>
      <c r="M1283" s="63" t="inlineStr">
        <is>
          <t>271,00</t>
        </is>
      </c>
      <c r="N1283" s="63" t="inlineStr">
        <is>
          <t>11,00</t>
        </is>
      </c>
      <c r="O1283" s="63" t="inlineStr">
        <is>
          <t>0,00</t>
        </is>
      </c>
      <c r="P1283" s="63" t="inlineStr">
        <is>
          <t>2.656,91</t>
        </is>
      </c>
      <c r="Q1283" s="63" t="inlineStr">
        <is>
          <t>3.082,01</t>
        </is>
      </c>
    </row>
    <row r="1284">
      <c r="A1284" s="66" t="n">
        <v>46155</v>
      </c>
      <c r="B1284" s="65" t="n">
        <v>51</v>
      </c>
      <c r="C1284" s="65" t="inlineStr">
        <is>
          <t>00-00000331</t>
        </is>
      </c>
      <c r="D1284" s="65" t="inlineStr">
        <is>
          <t>S00037</t>
        </is>
      </c>
      <c r="E1284" s="65" t="inlineStr">
        <is>
          <t>Junior Marco Antonio Vivas Navas</t>
        </is>
      </c>
      <c r="F1284" s="63" t="inlineStr">
        <is>
          <t>24.842,09</t>
        </is>
      </c>
      <c r="G1284" s="63" t="inlineStr">
        <is>
          <t>28.816,83</t>
        </is>
      </c>
      <c r="H1284" s="63" t="inlineStr">
        <is>
          <t>58,00</t>
        </is>
      </c>
      <c r="I1284" s="63" t="inlineStr">
        <is>
          <t>496,83</t>
        </is>
      </c>
      <c r="J1284" s="65" t="n">
        <v>57</v>
      </c>
      <c r="K1284" s="65" t="n">
        <v>93</v>
      </c>
      <c r="L1284" s="65" t="inlineStr">
        <is>
          <t>[0093] ALTA CILINDRADA SS API SN SAE 15W-40 (1x6)</t>
        </is>
      </c>
      <c r="M1284" s="63" t="inlineStr">
        <is>
          <t>36,21</t>
        </is>
      </c>
      <c r="N1284" s="63" t="inlineStr">
        <is>
          <t>1,00</t>
        </is>
      </c>
      <c r="O1284" s="63" t="inlineStr">
        <is>
          <t>10,22</t>
        </is>
      </c>
      <c r="P1284" s="63" t="inlineStr">
        <is>
          <t>28,00</t>
        </is>
      </c>
      <c r="Q1284" s="63" t="inlineStr">
        <is>
          <t>32,48</t>
        </is>
      </c>
    </row>
    <row r="1285">
      <c r="A1285" s="65" t="n"/>
      <c r="B1285" s="65" t="n"/>
      <c r="C1285" s="65" t="n"/>
      <c r="D1285" s="65" t="n"/>
      <c r="E1285" s="65" t="n"/>
      <c r="F1285" s="65" t="n"/>
      <c r="G1285" s="65" t="n"/>
      <c r="H1285" s="65" t="n"/>
      <c r="I1285" s="65" t="n"/>
      <c r="J1285" s="65" t="n">
        <v>104</v>
      </c>
      <c r="K1285" s="65" t="n"/>
      <c r="L1285" s="65" t="n"/>
      <c r="M1285" s="65" t="n"/>
      <c r="N1285" s="65" t="n"/>
      <c r="O1285" s="65" t="n"/>
      <c r="P1285" s="65" t="n"/>
      <c r="Q1285" s="65" t="n"/>
    </row>
    <row r="1286">
      <c r="A1286" s="65" t="n"/>
      <c r="B1286" s="65" t="n"/>
      <c r="C1286" s="65" t="n"/>
      <c r="D1286" s="65" t="n"/>
      <c r="E1286" s="65" t="n"/>
      <c r="F1286" s="65" t="n"/>
      <c r="G1286" s="65" t="n"/>
      <c r="H1286" s="65" t="n"/>
      <c r="I1286" s="65" t="n"/>
      <c r="J1286" s="65" t="n"/>
      <c r="K1286" s="65" t="n">
        <v>761</v>
      </c>
      <c r="L1286" s="65" t="inlineStr">
        <is>
          <t>[0761] LIGA PARA FRENOS DOT-3 (1x12)</t>
        </is>
      </c>
      <c r="M1286" s="63" t="inlineStr">
        <is>
          <t>28,45</t>
        </is>
      </c>
      <c r="N1286" s="63" t="inlineStr">
        <is>
          <t>1,00</t>
        </is>
      </c>
      <c r="O1286" s="63" t="inlineStr">
        <is>
          <t>10,22</t>
        </is>
      </c>
      <c r="P1286" s="63" t="inlineStr">
        <is>
          <t>22,00</t>
        </is>
      </c>
      <c r="Q1286" s="63" t="inlineStr">
        <is>
          <t>25,52</t>
        </is>
      </c>
    </row>
    <row r="1287">
      <c r="A1287" s="66" t="n">
        <v>46155</v>
      </c>
      <c r="B1287" s="65" t="n">
        <v>50</v>
      </c>
      <c r="C1287" s="65" t="inlineStr">
        <is>
          <t>00-00000330</t>
        </is>
      </c>
      <c r="D1287" s="65" t="inlineStr">
        <is>
          <t>S00175</t>
        </is>
      </c>
      <c r="E1287" s="65" t="inlineStr">
        <is>
          <t>ESTACIONAMIENTO CIACORE 2000 c.a</t>
        </is>
      </c>
      <c r="F1287" s="63" t="inlineStr">
        <is>
          <t>46.257,01</t>
        </is>
      </c>
      <c r="G1287" s="63" t="inlineStr">
        <is>
          <t>53.658,13</t>
        </is>
      </c>
      <c r="H1287" s="63" t="inlineStr">
        <is>
          <t>107,98</t>
        </is>
      </c>
      <c r="I1287" s="63" t="inlineStr">
        <is>
          <t>496,83</t>
        </is>
      </c>
      <c r="J1287" s="65" t="n">
        <v>153</v>
      </c>
      <c r="K1287" s="65" t="n">
        <v>121</v>
      </c>
      <c r="L1287" s="65" t="inlineStr">
        <is>
          <t>[0121] TRANSGLOB API GL-5 SAE 80W-90 (1x6)</t>
        </is>
      </c>
      <c r="M1287" s="63" t="inlineStr">
        <is>
          <t>46,55</t>
        </is>
      </c>
      <c r="N1287" s="63" t="inlineStr">
        <is>
          <t>2,00</t>
        </is>
      </c>
      <c r="O1287" s="63" t="inlineStr">
        <is>
          <t>30,10</t>
        </is>
      </c>
      <c r="P1287" s="63" t="inlineStr">
        <is>
          <t>62,07</t>
        </is>
      </c>
      <c r="Q1287" s="63" t="inlineStr">
        <is>
          <t>72,00</t>
        </is>
      </c>
    </row>
    <row r="1288">
      <c r="A1288" s="65" t="n"/>
      <c r="B1288" s="65" t="n"/>
      <c r="C1288" s="65" t="n"/>
      <c r="D1288" s="65" t="n"/>
      <c r="E1288" s="65" t="n"/>
      <c r="F1288" s="65" t="n"/>
      <c r="G1288" s="65" t="n"/>
      <c r="H1288" s="65" t="n"/>
      <c r="I1288" s="65" t="n"/>
      <c r="J1288" s="65" t="n"/>
      <c r="K1288" s="65" t="n"/>
      <c r="L1288" s="65" t="n"/>
      <c r="M1288" s="63" t="inlineStr">
        <is>
          <t>0,00</t>
        </is>
      </c>
      <c r="N1288" s="63" t="inlineStr">
        <is>
          <t>0,00</t>
        </is>
      </c>
      <c r="O1288" s="63" t="inlineStr">
        <is>
          <t>0,00</t>
        </is>
      </c>
      <c r="P1288" s="63" t="inlineStr">
        <is>
          <t>0,00</t>
        </is>
      </c>
      <c r="Q1288" s="63" t="inlineStr">
        <is>
          <t>0,00</t>
        </is>
      </c>
    </row>
    <row r="1289">
      <c r="A1289" s="65" t="n"/>
      <c r="B1289" s="65" t="n"/>
      <c r="C1289" s="65" t="n"/>
      <c r="D1289" s="65" t="n"/>
      <c r="E1289" s="65" t="n"/>
      <c r="F1289" s="65" t="n"/>
      <c r="G1289" s="65" t="n"/>
      <c r="H1289" s="65" t="n"/>
      <c r="I1289" s="65" t="n"/>
      <c r="J1289" s="65" t="n"/>
      <c r="K1289" s="65" t="n">
        <v>127</v>
      </c>
      <c r="L1289" s="65" t="inlineStr">
        <is>
          <t>[0127] TRANSGLOB API GL-5 SAE 85W-140 (1x6)</t>
        </is>
      </c>
      <c r="M1289" s="63" t="inlineStr">
        <is>
          <t>46,55</t>
        </is>
      </c>
      <c r="N1289" s="63" t="inlineStr">
        <is>
          <t>1,00</t>
        </is>
      </c>
      <c r="O1289" s="63" t="inlineStr">
        <is>
          <t>30,10</t>
        </is>
      </c>
      <c r="P1289" s="63" t="inlineStr">
        <is>
          <t>31,03</t>
        </is>
      </c>
      <c r="Q1289" s="63" t="inlineStr">
        <is>
          <t>36,00</t>
        </is>
      </c>
    </row>
    <row r="1290">
      <c r="A1290" s="66" t="n">
        <v>46155</v>
      </c>
      <c r="B1290" s="65" t="n">
        <v>49</v>
      </c>
      <c r="C1290" s="65" t="inlineStr">
        <is>
          <t>00-00000325</t>
        </is>
      </c>
      <c r="D1290" s="65" t="inlineStr">
        <is>
          <t>S00372</t>
        </is>
      </c>
      <c r="E1290" s="65" t="inlineStr">
        <is>
          <t>En ascenso 2011,c.a.</t>
        </is>
      </c>
      <c r="F1290" s="63" t="inlineStr">
        <is>
          <t>282.421,33</t>
        </is>
      </c>
      <c r="G1290" s="63" t="inlineStr">
        <is>
          <t>327.608,74</t>
        </is>
      </c>
      <c r="H1290" s="63" t="inlineStr">
        <is>
          <t>644,12</t>
        </is>
      </c>
      <c r="I1290" s="63" t="inlineStr">
        <is>
          <t>508,60</t>
        </is>
      </c>
      <c r="J1290" s="65" t="n">
        <v>354</v>
      </c>
      <c r="K1290" s="65" t="n">
        <v>602</v>
      </c>
      <c r="L1290" s="65" t="inlineStr">
        <is>
          <t>[0602] SINOCO SAE 50 (PAILA)</t>
        </is>
      </c>
      <c r="M1290" s="63" t="inlineStr">
        <is>
          <t>91,40</t>
        </is>
      </c>
      <c r="N1290" s="63" t="inlineStr">
        <is>
          <t>5,00</t>
        </is>
      </c>
      <c r="O1290" s="63" t="inlineStr">
        <is>
          <t>0,00</t>
        </is>
      </c>
      <c r="P1290" s="63" t="inlineStr">
        <is>
          <t>457,01</t>
        </is>
      </c>
      <c r="Q1290" s="63" t="inlineStr">
        <is>
          <t>530,13</t>
        </is>
      </c>
    </row>
    <row r="1291">
      <c r="A1291" s="65" t="n"/>
      <c r="B1291" s="65" t="n"/>
      <c r="C1291" s="65" t="n"/>
      <c r="D1291" s="65" t="n"/>
      <c r="E1291" s="65" t="n"/>
      <c r="F1291" s="65" t="n"/>
      <c r="G1291" s="65" t="n"/>
      <c r="H1291" s="65" t="n"/>
      <c r="I1291" s="65" t="n"/>
      <c r="J1291" s="65" t="n"/>
      <c r="K1291" s="65" t="n">
        <v>877</v>
      </c>
      <c r="L1291" s="65" t="inlineStr">
        <is>
          <t>[0877] SS EXTRA PROTECCION API SN SAE 15W-40 (1X12)</t>
        </is>
      </c>
      <c r="M1291" s="63" t="inlineStr">
        <is>
          <t>98,28</t>
        </is>
      </c>
      <c r="N1291" s="63" t="inlineStr">
        <is>
          <t>1,00</t>
        </is>
      </c>
      <c r="O1291" s="63" t="inlineStr">
        <is>
          <t>0,00</t>
        </is>
      </c>
      <c r="P1291" s="63" t="inlineStr">
        <is>
          <t>98,28</t>
        </is>
      </c>
      <c r="Q1291" s="63" t="inlineStr">
        <is>
          <t>114,01</t>
        </is>
      </c>
    </row>
    <row r="1292">
      <c r="A1292" s="66" t="n">
        <v>46155</v>
      </c>
      <c r="B1292" s="65" t="n">
        <v>48</v>
      </c>
      <c r="C1292" s="65" t="inlineStr">
        <is>
          <t>00-00000324</t>
        </is>
      </c>
      <c r="D1292" s="65" t="inlineStr">
        <is>
          <t>S00152</t>
        </is>
      </c>
      <c r="E1292" s="65" t="inlineStr">
        <is>
          <t>ESTACIONAMIENTO CIACORE 2000 c.a</t>
        </is>
      </c>
      <c r="F1292" s="63" t="inlineStr">
        <is>
          <t>14.989,91</t>
        </is>
      </c>
      <c r="G1292" s="63" t="inlineStr">
        <is>
          <t>17.388,30</t>
        </is>
      </c>
      <c r="H1292" s="63" t="inlineStr">
        <is>
          <t>34,99</t>
        </is>
      </c>
      <c r="I1292" s="63" t="inlineStr">
        <is>
          <t>496,83</t>
        </is>
      </c>
      <c r="J1292" s="65" t="n">
        <v>77</v>
      </c>
      <c r="K1292" s="65" t="n">
        <v>121</v>
      </c>
      <c r="L1292" s="65" t="inlineStr">
        <is>
          <t>[0121] TRANSGLOB API GL-5 SAE 80W-90 (1x6)</t>
        </is>
      </c>
      <c r="M1292" s="63" t="inlineStr">
        <is>
          <t>46,55</t>
        </is>
      </c>
      <c r="N1292" s="63" t="inlineStr">
        <is>
          <t>1,00</t>
        </is>
      </c>
      <c r="O1292" s="63" t="inlineStr">
        <is>
          <t>30,40</t>
        </is>
      </c>
      <c r="P1292" s="63" t="inlineStr">
        <is>
          <t>30,17</t>
        </is>
      </c>
      <c r="Q1292" s="63" t="inlineStr">
        <is>
          <t>35,00</t>
        </is>
      </c>
    </row>
    <row r="1293">
      <c r="A1293" s="66" t="n">
        <v>46155</v>
      </c>
      <c r="B1293" s="65" t="n">
        <v>47</v>
      </c>
      <c r="C1293" s="65" t="inlineStr">
        <is>
          <t>00-00000323</t>
        </is>
      </c>
      <c r="D1293" s="65" t="inlineStr">
        <is>
          <t>S00208</t>
        </is>
      </c>
      <c r="E1293" s="65" t="inlineStr">
        <is>
          <t>GARAJE Y TALLERES FRIDELBA, C.A</t>
        </is>
      </c>
      <c r="F1293" s="63" t="inlineStr">
        <is>
          <t>60.652,30</t>
        </is>
      </c>
      <c r="G1293" s="63" t="inlineStr">
        <is>
          <t>70.356,67</t>
        </is>
      </c>
      <c r="H1293" s="63" t="inlineStr">
        <is>
          <t>146,99</t>
        </is>
      </c>
      <c r="I1293" s="63" t="inlineStr">
        <is>
          <t>478,58</t>
        </is>
      </c>
      <c r="J1293" s="65" t="n">
        <v>27</v>
      </c>
      <c r="K1293" s="65" t="n">
        <v>877</v>
      </c>
      <c r="L1293" s="65" t="inlineStr">
        <is>
          <t>[0877] SS EXTRA PROTECCION API SN SAE 15W-40 (1X12)</t>
        </is>
      </c>
      <c r="M1293" s="63" t="inlineStr">
        <is>
          <t>100,00</t>
        </is>
      </c>
      <c r="N1293" s="63" t="inlineStr">
        <is>
          <t>1,00</t>
        </is>
      </c>
      <c r="O1293" s="63" t="inlineStr">
        <is>
          <t>35,34</t>
        </is>
      </c>
      <c r="P1293" s="63" t="inlineStr">
        <is>
          <t>64,66</t>
        </is>
      </c>
      <c r="Q1293" s="63" t="inlineStr">
        <is>
          <t>75,01</t>
        </is>
      </c>
    </row>
    <row r="1294">
      <c r="A1294" s="65" t="n"/>
      <c r="B1294" s="65" t="n"/>
      <c r="C1294" s="65" t="n"/>
      <c r="D1294" s="65" t="n"/>
      <c r="E1294" s="65" t="n"/>
      <c r="F1294" s="65" t="n"/>
      <c r="G1294" s="65" t="n"/>
      <c r="H1294" s="65" t="n"/>
      <c r="I1294" s="65" t="n"/>
      <c r="J1294" s="65" t="n">
        <v>275</v>
      </c>
      <c r="K1294" s="65" t="n"/>
      <c r="L1294" s="65" t="n"/>
      <c r="M1294" s="65" t="n"/>
      <c r="N1294" s="65" t="n"/>
      <c r="O1294" s="65" t="n"/>
      <c r="P1294" s="65" t="n"/>
      <c r="Q1294" s="65" t="n"/>
    </row>
    <row r="1295">
      <c r="A1295" s="65" t="n"/>
      <c r="B1295" s="65" t="n"/>
      <c r="C1295" s="65" t="n"/>
      <c r="D1295" s="65" t="n"/>
      <c r="E1295" s="65" t="n"/>
      <c r="F1295" s="65" t="n"/>
      <c r="G1295" s="65" t="n"/>
      <c r="H1295" s="65" t="n"/>
      <c r="I1295" s="65" t="n"/>
      <c r="J1295" s="65" t="n"/>
      <c r="K1295" s="65" t="n">
        <v>884</v>
      </c>
      <c r="L1295" s="65" t="inlineStr">
        <is>
          <t>[0884] TRANSMATIC ATF DEXRON III (1x12)</t>
        </is>
      </c>
      <c r="M1295" s="63" t="inlineStr">
        <is>
          <t>96,00</t>
        </is>
      </c>
      <c r="N1295" s="63" t="inlineStr">
        <is>
          <t>1,00</t>
        </is>
      </c>
      <c r="O1295" s="63" t="inlineStr">
        <is>
          <t>35,34</t>
        </is>
      </c>
      <c r="P1295" s="63" t="inlineStr">
        <is>
          <t>62,07</t>
        </is>
      </c>
      <c r="Q1295" s="63" t="inlineStr">
        <is>
          <t>72,01</t>
        </is>
      </c>
    </row>
    <row r="1296">
      <c r="A1296" s="66" t="n">
        <v>46155</v>
      </c>
      <c r="B1296" s="65" t="n">
        <v>46</v>
      </c>
      <c r="C1296" s="65" t="inlineStr">
        <is>
          <t>00-00000322</t>
        </is>
      </c>
      <c r="D1296" s="65" t="inlineStr">
        <is>
          <t>S00004</t>
        </is>
      </c>
      <c r="E1296" s="65" t="inlineStr">
        <is>
          <t>GARAJE Y TALLERES FRIDELBA, C.A</t>
        </is>
      </c>
      <c r="F1296" s="63" t="inlineStr">
        <is>
          <t>73.923,42</t>
        </is>
      </c>
      <c r="G1296" s="63" t="inlineStr">
        <is>
          <t>85.751,16</t>
        </is>
      </c>
      <c r="H1296" s="63" t="inlineStr">
        <is>
          <t>174,96</t>
        </is>
      </c>
      <c r="I1296" s="63" t="inlineStr">
        <is>
          <t>490,04</t>
        </is>
      </c>
      <c r="J1296" s="65" t="n">
        <v>27</v>
      </c>
      <c r="K1296" s="65" t="n">
        <v>884</v>
      </c>
      <c r="L1296" s="65" t="inlineStr">
        <is>
          <t>[0884] TRANSMATIC ATF DEXRON III (1x12)</t>
        </is>
      </c>
      <c r="M1296" s="63" t="inlineStr">
        <is>
          <t>62,00</t>
        </is>
      </c>
      <c r="N1296" s="63" t="inlineStr">
        <is>
          <t>1,00</t>
        </is>
      </c>
      <c r="O1296" s="63" t="inlineStr">
        <is>
          <t>6,30</t>
        </is>
      </c>
      <c r="P1296" s="63" t="inlineStr">
        <is>
          <t>58,09</t>
        </is>
      </c>
      <c r="Q1296" s="63" t="inlineStr">
        <is>
          <t>67,39</t>
        </is>
      </c>
    </row>
    <row r="1297">
      <c r="A1297" s="65" t="n"/>
      <c r="B1297" s="65" t="n"/>
      <c r="C1297" s="65" t="n"/>
      <c r="D1297" s="65" t="n"/>
      <c r="E1297" s="65" t="n"/>
      <c r="F1297" s="65" t="n"/>
      <c r="G1297" s="65" t="n"/>
      <c r="H1297" s="65" t="n"/>
      <c r="I1297" s="65" t="n"/>
      <c r="J1297" s="65" t="n"/>
      <c r="K1297" s="65" t="n">
        <v>121</v>
      </c>
      <c r="L1297" s="65" t="inlineStr">
        <is>
          <t>[0121] TRANSGLOB API GL-5 SAE 80W-90 (1x6)</t>
        </is>
      </c>
      <c r="M1297" s="63" t="inlineStr">
        <is>
          <t>34,00</t>
        </is>
      </c>
      <c r="N1297" s="63" t="inlineStr">
        <is>
          <t>1,00</t>
        </is>
      </c>
      <c r="O1297" s="63" t="inlineStr">
        <is>
          <t>6,30</t>
        </is>
      </c>
      <c r="P1297" s="63" t="inlineStr">
        <is>
          <t>31,86</t>
        </is>
      </c>
      <c r="Q1297" s="63" t="inlineStr">
        <is>
          <t>36,96</t>
        </is>
      </c>
    </row>
    <row r="1298">
      <c r="A1298" s="65" t="n"/>
      <c r="B1298" s="65" t="n"/>
      <c r="C1298" s="65" t="n"/>
      <c r="D1298" s="65" t="n"/>
      <c r="E1298" s="65" t="n"/>
      <c r="F1298" s="65" t="n"/>
      <c r="G1298" s="65" t="n"/>
      <c r="H1298" s="65" t="n"/>
      <c r="I1298" s="65" t="n"/>
      <c r="J1298" s="65" t="n"/>
      <c r="K1298" s="65" t="n">
        <v>877</v>
      </c>
      <c r="L1298" s="65" t="inlineStr">
        <is>
          <t>[0877] SS EXTRA PROTECCION API SN SAE 15W-40 (1X12)</t>
        </is>
      </c>
      <c r="M1298" s="63" t="inlineStr">
        <is>
          <t>65,00</t>
        </is>
      </c>
      <c r="N1298" s="63" t="inlineStr">
        <is>
          <t>1,00</t>
        </is>
      </c>
      <c r="O1298" s="63" t="inlineStr">
        <is>
          <t>6,31</t>
        </is>
      </c>
      <c r="P1298" s="63" t="inlineStr">
        <is>
          <t>60,90</t>
        </is>
      </c>
      <c r="Q1298" s="63" t="inlineStr">
        <is>
          <t>70,64</t>
        </is>
      </c>
    </row>
    <row r="1299">
      <c r="A1299" s="66" t="n">
        <v>46155</v>
      </c>
      <c r="B1299" s="65" t="n">
        <v>45</v>
      </c>
      <c r="C1299" s="65" t="inlineStr">
        <is>
          <t>00-00000321</t>
        </is>
      </c>
      <c r="D1299" s="65" t="inlineStr">
        <is>
          <t>S00029</t>
        </is>
      </c>
      <c r="E1299" s="65" t="inlineStr">
        <is>
          <t>AUTOREPUESTOS SION C.A.</t>
        </is>
      </c>
      <c r="F1299" s="63" t="inlineStr">
        <is>
          <t>84.802,92</t>
        </is>
      </c>
      <c r="G1299" s="63" t="inlineStr">
        <is>
          <t>98.371,39</t>
        </is>
      </c>
      <c r="H1299" s="63" t="inlineStr">
        <is>
          <t>197,98</t>
        </is>
      </c>
      <c r="I1299" s="63" t="inlineStr">
        <is>
          <t>496,83</t>
        </is>
      </c>
      <c r="J1299" s="65" t="n">
        <v>82</v>
      </c>
      <c r="K1299" s="65" t="n">
        <v>877</v>
      </c>
      <c r="L1299" s="65" t="inlineStr">
        <is>
          <t>[0877] SS EXTRA PROTECCION API SN SAE 15W-40 (1X12)</t>
        </is>
      </c>
      <c r="M1299" s="63" t="inlineStr">
        <is>
          <t>90,48</t>
        </is>
      </c>
      <c r="N1299" s="63" t="inlineStr">
        <is>
          <t>1,00</t>
        </is>
      </c>
      <c r="O1299" s="63" t="inlineStr">
        <is>
          <t>11,78</t>
        </is>
      </c>
      <c r="P1299" s="63" t="inlineStr">
        <is>
          <t>68,39</t>
        </is>
      </c>
      <c r="Q1299" s="63" t="inlineStr">
        <is>
          <t>79,33</t>
        </is>
      </c>
    </row>
    <row r="1300">
      <c r="A1300" s="65" t="n"/>
      <c r="B1300" s="65" t="n"/>
      <c r="C1300" s="65" t="n"/>
      <c r="D1300" s="65" t="n"/>
      <c r="E1300" s="65" t="n"/>
      <c r="F1300" s="65" t="n"/>
      <c r="G1300" s="65" t="n"/>
      <c r="H1300" s="65" t="n"/>
      <c r="I1300" s="65" t="n"/>
      <c r="J1300" s="65" t="n">
        <v>173</v>
      </c>
      <c r="K1300" s="65" t="n"/>
      <c r="L1300" s="65" t="n"/>
      <c r="M1300" s="65" t="n"/>
      <c r="N1300" s="65" t="n"/>
      <c r="O1300" s="65" t="n"/>
      <c r="P1300" s="65" t="n"/>
      <c r="Q1300" s="65" t="n"/>
    </row>
    <row r="1301">
      <c r="A1301" s="65" t="n"/>
      <c r="B1301" s="65" t="n"/>
      <c r="C1301" s="65" t="n"/>
      <c r="D1301" s="65" t="n"/>
      <c r="E1301" s="65" t="n"/>
      <c r="F1301" s="65" t="n"/>
      <c r="G1301" s="65" t="n"/>
      <c r="H1301" s="65" t="n"/>
      <c r="I1301" s="65" t="n"/>
      <c r="J1301" s="65" t="n"/>
      <c r="K1301" s="65" t="n">
        <v>880</v>
      </c>
      <c r="L1301" s="65" t="inlineStr">
        <is>
          <t>[0880] CLASICO API SL SAE 15W-40 (1x12)</t>
        </is>
      </c>
      <c r="M1301" s="63" t="inlineStr">
        <is>
          <t>67,25</t>
        </is>
      </c>
      <c r="N1301" s="63" t="inlineStr">
        <is>
          <t>1,00</t>
        </is>
      </c>
      <c r="O1301" s="63" t="inlineStr">
        <is>
          <t>11,78</t>
        </is>
      </c>
      <c r="P1301" s="63" t="inlineStr">
        <is>
          <t>50,83</t>
        </is>
      </c>
      <c r="Q1301" s="63" t="inlineStr">
        <is>
          <t>58,96</t>
        </is>
      </c>
    </row>
    <row r="1302">
      <c r="A1302" s="65" t="n"/>
      <c r="B1302" s="65" t="n"/>
      <c r="C1302" s="65" t="n"/>
      <c r="D1302" s="65" t="n"/>
      <c r="E1302" s="65" t="n"/>
      <c r="F1302" s="65" t="n"/>
      <c r="G1302" s="65" t="n"/>
      <c r="H1302" s="65" t="n"/>
      <c r="I1302" s="65" t="n"/>
      <c r="J1302" s="65" t="n"/>
      <c r="K1302" s="65" t="n">
        <v>881</v>
      </c>
      <c r="L1302" s="65" t="inlineStr">
        <is>
          <t>[0881] CLASICO API SL SAE 20W-50 (1x12)</t>
        </is>
      </c>
      <c r="M1302" s="63" t="inlineStr">
        <is>
          <t>58,34</t>
        </is>
      </c>
      <c r="N1302" s="63" t="inlineStr">
        <is>
          <t>1,00</t>
        </is>
      </c>
      <c r="O1302" s="63" t="inlineStr">
        <is>
          <t>11,78</t>
        </is>
      </c>
      <c r="P1302" s="63" t="inlineStr">
        <is>
          <t>51,47</t>
        </is>
      </c>
      <c r="Q1302" s="63" t="inlineStr">
        <is>
          <t>59,70</t>
        </is>
      </c>
    </row>
    <row r="1303">
      <c r="A1303" s="66" t="n">
        <v>46155</v>
      </c>
      <c r="B1303" s="65" t="n">
        <v>44</v>
      </c>
      <c r="C1303" s="65" t="inlineStr">
        <is>
          <t>00-00000320</t>
        </is>
      </c>
      <c r="D1303" s="65" t="inlineStr">
        <is>
          <t>S00150</t>
        </is>
      </c>
      <c r="E1303" s="65" t="inlineStr">
        <is>
          <t>Inversiones Dekamalbaz, C.A</t>
        </is>
      </c>
      <c r="F1303" s="63" t="inlineStr">
        <is>
          <t>71.488,05</t>
        </is>
      </c>
      <c r="G1303" s="63" t="inlineStr">
        <is>
          <t>82.926,14</t>
        </is>
      </c>
      <c r="H1303" s="63" t="inlineStr">
        <is>
          <t>174,97</t>
        </is>
      </c>
      <c r="I1303" s="63" t="inlineStr">
        <is>
          <t>473,87</t>
        </is>
      </c>
      <c r="J1303" s="65" t="n"/>
      <c r="K1303" s="65" t="n">
        <v>887</v>
      </c>
      <c r="L1303" s="65" t="inlineStr">
        <is>
          <t>[0887] MOTOCLASICO 4T SAE 20W-50 (1x12)</t>
        </is>
      </c>
      <c r="M1303" s="63" t="inlineStr">
        <is>
          <t>59,00</t>
        </is>
      </c>
      <c r="N1303" s="63" t="inlineStr">
        <is>
          <t>2,00</t>
        </is>
      </c>
      <c r="O1303" s="63" t="inlineStr">
        <is>
          <t>0,00</t>
        </is>
      </c>
      <c r="P1303" s="63" t="inlineStr">
        <is>
          <t>118,00</t>
        </is>
      </c>
      <c r="Q1303" s="63" t="inlineStr">
        <is>
          <t>136,88</t>
        </is>
      </c>
    </row>
    <row r="1304">
      <c r="A1304" s="65" t="n"/>
      <c r="B1304" s="65" t="n"/>
      <c r="C1304" s="65" t="n"/>
      <c r="D1304" s="65" t="n"/>
      <c r="E1304" s="65" t="n"/>
      <c r="F1304" s="65" t="n"/>
      <c r="G1304" s="65" t="n"/>
      <c r="H1304" s="65" t="n"/>
      <c r="I1304" s="65" t="n"/>
      <c r="J1304" s="65" t="n"/>
      <c r="K1304" s="65" t="n">
        <v>93</v>
      </c>
      <c r="L1304" s="65" t="inlineStr">
        <is>
          <t>[0093] ALTA CILINDRADA SS API SN SAE 15W-40 (1x6)</t>
        </is>
      </c>
      <c r="M1304" s="63" t="inlineStr">
        <is>
          <t>32,86</t>
        </is>
      </c>
      <c r="N1304" s="63" t="inlineStr">
        <is>
          <t>1,00</t>
        </is>
      </c>
      <c r="O1304" s="63" t="inlineStr">
        <is>
          <t>0,00</t>
        </is>
      </c>
      <c r="P1304" s="63" t="inlineStr">
        <is>
          <t>32,86</t>
        </is>
      </c>
      <c r="Q1304" s="63" t="inlineStr">
        <is>
          <t>38,12</t>
        </is>
      </c>
    </row>
    <row r="1305">
      <c r="A1305" s="65" t="n"/>
      <c r="B1305" s="65" t="n"/>
      <c r="C1305" s="65" t="n"/>
      <c r="D1305" s="65" t="n"/>
      <c r="E1305" s="65" t="n"/>
      <c r="F1305" s="65" t="n"/>
      <c r="G1305" s="65" t="n"/>
      <c r="H1305" s="65" t="n"/>
      <c r="I1305" s="65" t="n"/>
      <c r="J1305" s="65" t="n"/>
      <c r="K1305" s="65" t="n"/>
      <c r="L1305" s="65" t="n"/>
      <c r="M1305" s="63" t="inlineStr">
        <is>
          <t>0,00</t>
        </is>
      </c>
      <c r="N1305" s="63" t="inlineStr">
        <is>
          <t>0,00</t>
        </is>
      </c>
      <c r="O1305" s="63" t="inlineStr">
        <is>
          <t>0,00</t>
        </is>
      </c>
      <c r="P1305" s="63" t="inlineStr">
        <is>
          <t>0,00</t>
        </is>
      </c>
      <c r="Q1305" s="63" t="inlineStr">
        <is>
          <t>0,00</t>
        </is>
      </c>
    </row>
    <row r="1306">
      <c r="A1306" s="66" t="n">
        <v>46155</v>
      </c>
      <c r="B1306" s="65" t="n">
        <v>43</v>
      </c>
      <c r="C1306" s="65" t="inlineStr">
        <is>
          <t>00-00000319</t>
        </is>
      </c>
      <c r="D1306" s="65" t="inlineStr">
        <is>
          <t>S00021</t>
        </is>
      </c>
      <c r="E1306" s="65" t="inlineStr">
        <is>
          <t>INVERSIONES SMALUM 21, C.A.</t>
        </is>
      </c>
      <c r="F1306" s="63" t="inlineStr">
        <is>
          <t>102.960,63</t>
        </is>
      </c>
      <c r="G1306" s="63" t="inlineStr">
        <is>
          <t>119.434,33</t>
        </is>
      </c>
      <c r="H1306" s="63" t="inlineStr">
        <is>
          <t>251,66</t>
        </is>
      </c>
      <c r="I1306" s="63" t="inlineStr">
        <is>
          <t>474,53</t>
        </is>
      </c>
      <c r="J1306" s="65" t="n"/>
      <c r="K1306" s="65" t="n">
        <v>779</v>
      </c>
      <c r="L1306" s="65" t="inlineStr">
        <is>
          <t>[0779] SINOCO SAE 20W-50 (1x12)</t>
        </is>
      </c>
      <c r="M1306" s="63" t="inlineStr">
        <is>
          <t>64,80</t>
        </is>
      </c>
      <c r="N1306" s="63" t="inlineStr">
        <is>
          <t>1,00</t>
        </is>
      </c>
      <c r="O1306" s="63" t="inlineStr">
        <is>
          <t>0,00</t>
        </is>
      </c>
      <c r="P1306" s="63" t="inlineStr">
        <is>
          <t>64,80</t>
        </is>
      </c>
      <c r="Q1306" s="63" t="inlineStr">
        <is>
          <t>75,16</t>
        </is>
      </c>
    </row>
    <row r="1307">
      <c r="A1307" s="65" t="n"/>
      <c r="B1307" s="65" t="n"/>
      <c r="C1307" s="65" t="n"/>
      <c r="D1307" s="65" t="n"/>
      <c r="E1307" s="65" t="n"/>
      <c r="F1307" s="65" t="n"/>
      <c r="G1307" s="65" t="n"/>
      <c r="H1307" s="65" t="n"/>
      <c r="I1307" s="65" t="n"/>
      <c r="J1307" s="65" t="n"/>
      <c r="K1307" s="65" t="n">
        <v>877</v>
      </c>
      <c r="L1307" s="65" t="inlineStr">
        <is>
          <t>[0877] SS EXTRA PROTECCION API SN SAE 15W-40 (1X12)</t>
        </is>
      </c>
      <c r="M1307" s="63" t="inlineStr">
        <is>
          <t>89,36</t>
        </is>
      </c>
      <c r="N1307" s="63" t="inlineStr">
        <is>
          <t>1,00</t>
        </is>
      </c>
      <c r="O1307" s="63" t="inlineStr">
        <is>
          <t>0,00</t>
        </is>
      </c>
      <c r="P1307" s="63" t="inlineStr">
        <is>
          <t>89,36</t>
        </is>
      </c>
      <c r="Q1307" s="63" t="inlineStr">
        <is>
          <t>103,66</t>
        </is>
      </c>
    </row>
    <row r="1308">
      <c r="A1308" s="65" t="n"/>
      <c r="B1308" s="65" t="n"/>
      <c r="C1308" s="65" t="n"/>
      <c r="D1308" s="65" t="n"/>
      <c r="E1308" s="65" t="n"/>
      <c r="F1308" s="65" t="n"/>
      <c r="G1308" s="65" t="n"/>
      <c r="H1308" s="65" t="n"/>
      <c r="I1308" s="65" t="n"/>
      <c r="J1308" s="65" t="n"/>
      <c r="K1308" s="65" t="n">
        <v>881</v>
      </c>
      <c r="L1308" s="65" t="inlineStr">
        <is>
          <t>[0881] CLASICO API SL SAE 20W-50 (1x12)</t>
        </is>
      </c>
      <c r="M1308" s="63" t="inlineStr">
        <is>
          <t>62,82</t>
        </is>
      </c>
      <c r="N1308" s="63" t="inlineStr">
        <is>
          <t>1,00</t>
        </is>
      </c>
      <c r="O1308" s="63" t="inlineStr">
        <is>
          <t>0,00</t>
        </is>
      </c>
      <c r="P1308" s="63" t="inlineStr">
        <is>
          <t>62,82</t>
        </is>
      </c>
      <c r="Q1308" s="63" t="inlineStr">
        <is>
          <t>72,87</t>
        </is>
      </c>
    </row>
    <row r="1309">
      <c r="A1309" s="66" t="n">
        <v>46154</v>
      </c>
      <c r="B1309" s="65" t="n">
        <v>73</v>
      </c>
      <c r="C1309" s="65" t="inlineStr">
        <is>
          <t>00-00000387</t>
        </is>
      </c>
      <c r="D1309" s="65" t="inlineStr">
        <is>
          <t>S00296</t>
        </is>
      </c>
      <c r="E1309" s="65" t="inlineStr">
        <is>
          <t>CONSTRUCTORA GRANO AGREGADO, C.A</t>
        </is>
      </c>
      <c r="F1309" s="63" t="inlineStr">
        <is>
          <t>189.847,89</t>
        </is>
      </c>
      <c r="G1309" s="63" t="inlineStr">
        <is>
          <t>220.223,55</t>
        </is>
      </c>
      <c r="H1309" s="63" t="inlineStr">
        <is>
          <t>454,30</t>
        </is>
      </c>
      <c r="I1309" s="63" t="inlineStr">
        <is>
          <t>484,74</t>
        </is>
      </c>
      <c r="J1309" s="65" t="n">
        <v>333</v>
      </c>
      <c r="K1309" s="65" t="n">
        <v>144</v>
      </c>
      <c r="L1309" s="65" t="inlineStr">
        <is>
          <t>[0144] HIDRAGLOB AW/ISO 68 (PAILA)</t>
        </is>
      </c>
      <c r="M1309" s="63" t="inlineStr">
        <is>
          <t>97,91</t>
        </is>
      </c>
      <c r="N1309" s="63" t="inlineStr">
        <is>
          <t>4,00</t>
        </is>
      </c>
      <c r="O1309" s="63" t="inlineStr">
        <is>
          <t>0,00</t>
        </is>
      </c>
      <c r="P1309" s="63" t="inlineStr">
        <is>
          <t>391,65</t>
        </is>
      </c>
      <c r="Q1309" s="63" t="inlineStr">
        <is>
          <t>454,31</t>
        </is>
      </c>
    </row>
    <row r="1310">
      <c r="A1310" s="66" t="n">
        <v>46154</v>
      </c>
      <c r="B1310" s="65" t="n">
        <v>42</v>
      </c>
      <c r="C1310" s="65" t="inlineStr">
        <is>
          <t>00-00000316</t>
        </is>
      </c>
      <c r="D1310" s="65" t="inlineStr">
        <is>
          <t>S00028</t>
        </is>
      </c>
      <c r="E1310" s="65" t="inlineStr">
        <is>
          <t>Ricardo A. Fernandez.</t>
        </is>
      </c>
      <c r="F1310" s="63" t="inlineStr">
        <is>
          <t>25.421,26</t>
        </is>
      </c>
      <c r="G1310" s="63" t="inlineStr">
        <is>
          <t>29.488,66</t>
        </is>
      </c>
      <c r="H1310" s="63" t="inlineStr">
        <is>
          <t>62,14</t>
        </is>
      </c>
      <c r="I1310" s="63" t="inlineStr">
        <is>
          <t>474,53</t>
        </is>
      </c>
      <c r="J1310" s="65" t="n">
        <v>59</v>
      </c>
      <c r="K1310" s="65" t="n">
        <v>779</v>
      </c>
      <c r="L1310" s="65" t="inlineStr">
        <is>
          <t>[0779] SINOCO SAE 20W-50 (1x12)</t>
        </is>
      </c>
      <c r="M1310" s="63" t="inlineStr">
        <is>
          <t>59,72</t>
        </is>
      </c>
      <c r="N1310" s="63" t="inlineStr">
        <is>
          <t>1,00</t>
        </is>
      </c>
      <c r="O1310" s="63" t="inlineStr">
        <is>
          <t>0,00</t>
        </is>
      </c>
      <c r="P1310" s="63" t="inlineStr">
        <is>
          <t>53,57</t>
        </is>
      </c>
      <c r="Q1310" s="63" t="inlineStr">
        <is>
          <t>62,14</t>
        </is>
      </c>
    </row>
    <row r="1311">
      <c r="A1311" s="66" t="n">
        <v>46154</v>
      </c>
      <c r="B1311" s="65" t="n">
        <v>41</v>
      </c>
      <c r="C1311" s="65" t="inlineStr">
        <is>
          <t>00-00000310</t>
        </is>
      </c>
      <c r="D1311" s="65" t="inlineStr">
        <is>
          <t>S00241</t>
        </is>
      </c>
      <c r="E1311" s="65" t="inlineStr">
        <is>
          <t>EMPRENDIMIENTO IRMA RODRIGUEZ 6</t>
        </is>
      </c>
      <c r="F1311" s="63" t="inlineStr">
        <is>
          <t>68.953,43</t>
        </is>
      </c>
      <c r="G1311" s="63" t="inlineStr">
        <is>
          <t>79.985,98</t>
        </is>
      </c>
      <c r="H1311" s="63" t="inlineStr">
        <is>
          <t>160,97</t>
        </is>
      </c>
      <c r="I1311" s="63" t="inlineStr">
        <is>
          <t>496,83</t>
        </is>
      </c>
      <c r="J1311" s="65" t="n">
        <v>165</v>
      </c>
      <c r="K1311" s="65" t="n">
        <v>605</v>
      </c>
      <c r="L1311" s="65" t="inlineStr">
        <is>
          <t>[0605] SINOCO SAE 20W-50 (PAILA)</t>
        </is>
      </c>
      <c r="M1311" s="63" t="inlineStr">
        <is>
          <t>97,42</t>
        </is>
      </c>
      <c r="N1311" s="63" t="inlineStr">
        <is>
          <t>1,00</t>
        </is>
      </c>
      <c r="O1311" s="63" t="inlineStr">
        <is>
          <t>38,79</t>
        </is>
      </c>
      <c r="P1311" s="63" t="inlineStr">
        <is>
          <t>57,76</t>
        </is>
      </c>
      <c r="Q1311" s="63" t="inlineStr">
        <is>
          <t>67,00</t>
        </is>
      </c>
    </row>
    <row r="1312">
      <c r="A1312" s="65" t="n"/>
      <c r="B1312" s="65" t="n"/>
      <c r="C1312" s="65" t="n"/>
      <c r="D1312" s="65" t="n"/>
      <c r="E1312" s="65" t="n"/>
      <c r="F1312" s="65" t="n"/>
      <c r="G1312" s="65" t="n"/>
      <c r="H1312" s="65" t="n"/>
      <c r="I1312" s="65" t="n"/>
      <c r="J1312" s="65" t="n"/>
      <c r="K1312" s="65" t="n">
        <v>774</v>
      </c>
      <c r="L1312" s="65" t="inlineStr">
        <is>
          <t>[0774] LIGA PARA FRENOS DOT-4 (1X6)</t>
        </is>
      </c>
      <c r="M1312" s="63" t="inlineStr">
        <is>
          <t>66,19</t>
        </is>
      </c>
      <c r="N1312" s="63" t="inlineStr">
        <is>
          <t>2,00</t>
        </is>
      </c>
      <c r="O1312" s="63" t="inlineStr">
        <is>
          <t>38,79</t>
        </is>
      </c>
      <c r="P1312" s="63" t="inlineStr">
        <is>
          <t>81,03</t>
        </is>
      </c>
      <c r="Q1312" s="63" t="inlineStr">
        <is>
          <t>93,99</t>
        </is>
      </c>
    </row>
    <row r="1313">
      <c r="A1313" s="66" t="n">
        <v>46154</v>
      </c>
      <c r="B1313" s="65" t="n">
        <v>40</v>
      </c>
      <c r="C1313" s="65" t="inlineStr">
        <is>
          <t>00-00000309</t>
        </is>
      </c>
      <c r="D1313" s="65" t="inlineStr">
        <is>
          <t>S00189</t>
        </is>
      </c>
      <c r="E1313" s="65" t="inlineStr">
        <is>
          <t>Manuel Emilio Reyes</t>
        </is>
      </c>
      <c r="F1313" s="63" t="inlineStr">
        <is>
          <t>57.760,74</t>
        </is>
      </c>
      <c r="G1313" s="63" t="inlineStr">
        <is>
          <t>67.002,46</t>
        </is>
      </c>
      <c r="H1313" s="63" t="inlineStr">
        <is>
          <t>139,99</t>
        </is>
      </c>
      <c r="I1313" s="63" t="inlineStr">
        <is>
          <t>478,58</t>
        </is>
      </c>
      <c r="J1313" s="65" t="n">
        <v>327</v>
      </c>
      <c r="K1313" s="65" t="n">
        <v>877</v>
      </c>
      <c r="L1313" s="65" t="inlineStr">
        <is>
          <t>[0877] SS EXTRA PROTECCION API SN SAE 15W-40 (1X12)</t>
        </is>
      </c>
      <c r="M1313" s="63" t="inlineStr">
        <is>
          <t>65,07</t>
        </is>
      </c>
      <c r="N1313" s="63" t="inlineStr">
        <is>
          <t>1,00</t>
        </is>
      </c>
      <c r="O1313" s="63" t="inlineStr">
        <is>
          <t>0,00</t>
        </is>
      </c>
      <c r="P1313" s="63" t="inlineStr">
        <is>
          <t>65,07</t>
        </is>
      </c>
      <c r="Q1313" s="63" t="inlineStr">
        <is>
          <t>75,48</t>
        </is>
      </c>
    </row>
    <row r="1314">
      <c r="A1314" s="65" t="n"/>
      <c r="B1314" s="65" t="n"/>
      <c r="C1314" s="65" t="n"/>
      <c r="D1314" s="65" t="n"/>
      <c r="E1314" s="65" t="n"/>
      <c r="F1314" s="65" t="n"/>
      <c r="G1314" s="65" t="n"/>
      <c r="H1314" s="65" t="n"/>
      <c r="I1314" s="65" t="n"/>
      <c r="J1314" s="65" t="n"/>
      <c r="K1314" s="65" t="n">
        <v>881</v>
      </c>
      <c r="L1314" s="65" t="inlineStr">
        <is>
          <t>[0881] CLASICO API SL SAE 20W-50 (1x12)</t>
        </is>
      </c>
      <c r="M1314" s="63" t="inlineStr">
        <is>
          <t>56,04</t>
        </is>
      </c>
      <c r="N1314" s="63" t="inlineStr">
        <is>
          <t>1,00</t>
        </is>
      </c>
      <c r="O1314" s="63" t="inlineStr">
        <is>
          <t>0,00</t>
        </is>
      </c>
      <c r="P1314" s="63" t="inlineStr">
        <is>
          <t>55,62</t>
        </is>
      </c>
      <c r="Q1314" s="63" t="inlineStr">
        <is>
          <t>64,52</t>
        </is>
      </c>
    </row>
    <row r="1315">
      <c r="A1315" s="66" t="n">
        <v>46154</v>
      </c>
      <c r="B1315" s="65" t="n">
        <v>39</v>
      </c>
      <c r="C1315" s="65" t="inlineStr">
        <is>
          <t>00-00000308</t>
        </is>
      </c>
      <c r="D1315" s="65" t="inlineStr">
        <is>
          <t>S00182</t>
        </is>
      </c>
      <c r="E1315" s="65" t="inlineStr">
        <is>
          <t>EMPRENDIMIENTO IRMA RODRIGUEZ 6</t>
        </is>
      </c>
      <c r="F1315" s="63" t="inlineStr">
        <is>
          <t>49.650,40</t>
        </is>
      </c>
      <c r="G1315" s="63" t="inlineStr">
        <is>
          <t>57.594,46</t>
        </is>
      </c>
      <c r="H1315" s="63" t="inlineStr">
        <is>
          <t>115,91</t>
        </is>
      </c>
      <c r="I1315" s="63" t="inlineStr">
        <is>
          <t>496,83</t>
        </is>
      </c>
      <c r="J1315" s="65" t="n">
        <v>28</v>
      </c>
      <c r="K1315" s="65" t="n">
        <v>881</v>
      </c>
      <c r="L1315" s="65" t="inlineStr">
        <is>
          <t>[0881] CLASICO API SL SAE 20W-50 (1x12)</t>
        </is>
      </c>
      <c r="M1315" s="63" t="inlineStr">
        <is>
          <t>52,47</t>
        </is>
      </c>
      <c r="N1315" s="63" t="inlineStr">
        <is>
          <t>2,00</t>
        </is>
      </c>
      <c r="O1315" s="63" t="inlineStr">
        <is>
          <t>4,77</t>
        </is>
      </c>
      <c r="P1315" s="63" t="inlineStr">
        <is>
          <t>99,93</t>
        </is>
      </c>
      <c r="Q1315" s="63" t="inlineStr">
        <is>
          <t>115,92</t>
        </is>
      </c>
    </row>
    <row r="1316">
      <c r="A1316" s="66" t="n">
        <v>46154</v>
      </c>
      <c r="B1316" s="65" t="n">
        <v>38</v>
      </c>
      <c r="C1316" s="65" t="inlineStr">
        <is>
          <t>00-00000307</t>
        </is>
      </c>
      <c r="D1316" s="65" t="inlineStr">
        <is>
          <t>S00184</t>
        </is>
      </c>
      <c r="E1316" s="65" t="inlineStr">
        <is>
          <t>EMPRENDIMIENTO IRMA RODRIGUEZ 6</t>
        </is>
      </c>
      <c r="F1316" s="63" t="inlineStr">
        <is>
          <t>27.955,73</t>
        </is>
      </c>
      <c r="G1316" s="63" t="inlineStr">
        <is>
          <t>32.428,65</t>
        </is>
      </c>
      <c r="H1316" s="63" t="inlineStr">
        <is>
          <t>64,79</t>
        </is>
      </c>
      <c r="I1316" s="63" t="inlineStr">
        <is>
          <t>500,46</t>
        </is>
      </c>
      <c r="J1316" s="65" t="n"/>
      <c r="K1316" s="65" t="n">
        <v>1</v>
      </c>
      <c r="L1316" s="65" t="inlineStr">
        <is>
          <t>[0001] ELITE API SP SAE 0W-20 (1x6)</t>
        </is>
      </c>
      <c r="M1316" s="63" t="inlineStr">
        <is>
          <t>55,86</t>
        </is>
      </c>
      <c r="N1316" s="63" t="inlineStr">
        <is>
          <t>1,00</t>
        </is>
      </c>
      <c r="O1316" s="63" t="inlineStr">
        <is>
          <t>0,00</t>
        </is>
      </c>
      <c r="P1316" s="63" t="inlineStr">
        <is>
          <t>55,86</t>
        </is>
      </c>
      <c r="Q1316" s="63" t="inlineStr">
        <is>
          <t>64,80</t>
        </is>
      </c>
    </row>
    <row r="1317">
      <c r="A1317" s="66" t="n">
        <v>46153</v>
      </c>
      <c r="B1317" s="65" t="n">
        <v>37</v>
      </c>
      <c r="C1317" s="65" t="inlineStr">
        <is>
          <t>00-00000302</t>
        </is>
      </c>
      <c r="D1317" s="65" t="inlineStr">
        <is>
          <t>S00294</t>
        </is>
      </c>
      <c r="E1317" s="65" t="inlineStr">
        <is>
          <t>CONSTRUCTORA GRANO AGREGADO, C.A</t>
        </is>
      </c>
      <c r="F1317" s="63" t="inlineStr">
        <is>
          <t>1.398.094,79</t>
        </is>
      </c>
      <c r="G1317" s="63" t="inlineStr">
        <is>
          <t>1.621.789,96</t>
        </is>
      </c>
      <c r="H1317" s="63" t="inlineStr">
        <is>
          <t>3.240,55</t>
        </is>
      </c>
      <c r="I1317" s="63" t="inlineStr">
        <is>
          <t>500,46</t>
        </is>
      </c>
      <c r="J1317" s="65" t="n"/>
      <c r="K1317" s="65" t="n">
        <v>146</v>
      </c>
      <c r="L1317" s="65" t="inlineStr">
        <is>
          <t>[0146] HIDRAGLOB AW/ISO 68 (Tambor)</t>
        </is>
      </c>
      <c r="M1317" s="63" t="inlineStr">
        <is>
          <t>1.103,00</t>
        </is>
      </c>
      <c r="N1317" s="63" t="inlineStr">
        <is>
          <t>1,00</t>
        </is>
      </c>
      <c r="O1317" s="63" t="inlineStr">
        <is>
          <t>0,00</t>
        </is>
      </c>
      <c r="P1317" s="63" t="inlineStr">
        <is>
          <t>1.103,00</t>
        </is>
      </c>
      <c r="Q1317" s="63" t="inlineStr">
        <is>
          <t>1.279,48</t>
        </is>
      </c>
    </row>
    <row r="1318">
      <c r="A1318" s="65" t="n"/>
      <c r="B1318" s="65" t="n"/>
      <c r="C1318" s="65" t="n"/>
      <c r="D1318" s="65" t="n"/>
      <c r="E1318" s="65" t="n"/>
      <c r="F1318" s="65" t="n"/>
      <c r="G1318" s="65" t="n"/>
      <c r="H1318" s="65" t="n"/>
      <c r="I1318" s="65" t="n"/>
      <c r="J1318" s="65" t="n"/>
      <c r="K1318" s="65" t="n">
        <v>85</v>
      </c>
      <c r="L1318" s="65" t="inlineStr">
        <is>
          <t>[0085] MAXIMO API CF SAE 50 (Tambor)</t>
        </is>
      </c>
      <c r="M1318" s="63" t="inlineStr">
        <is>
          <t>1.089,24</t>
        </is>
      </c>
      <c r="N1318" s="63" t="inlineStr">
        <is>
          <t>1,00</t>
        </is>
      </c>
      <c r="O1318" s="63" t="inlineStr">
        <is>
          <t>0,00</t>
        </is>
      </c>
      <c r="P1318" s="63" t="inlineStr">
        <is>
          <t>1.089,24</t>
        </is>
      </c>
      <c r="Q1318" s="63" t="inlineStr">
        <is>
          <t>1.263,51</t>
        </is>
      </c>
    </row>
    <row r="1319">
      <c r="A1319" s="65" t="n"/>
      <c r="B1319" s="65" t="n"/>
      <c r="C1319" s="65" t="n"/>
      <c r="D1319" s="65" t="n"/>
      <c r="E1319" s="65" t="n"/>
      <c r="F1319" s="65" t="n"/>
      <c r="G1319" s="65" t="n"/>
      <c r="H1319" s="65" t="n"/>
      <c r="I1319" s="65" t="n"/>
      <c r="J1319" s="65" t="n"/>
      <c r="K1319" s="65" t="n">
        <v>123</v>
      </c>
      <c r="L1319" s="65" t="inlineStr">
        <is>
          <t>[0123] TRANSGLOB API GL-5 SAE 80W-90 (Paila)</t>
        </is>
      </c>
      <c r="M1319" s="63" t="inlineStr">
        <is>
          <t>123,78</t>
        </is>
      </c>
      <c r="N1319" s="63" t="inlineStr">
        <is>
          <t>2,00</t>
        </is>
      </c>
      <c r="O1319" s="63" t="inlineStr">
        <is>
          <t>0,00</t>
        </is>
      </c>
      <c r="P1319" s="63" t="inlineStr">
        <is>
          <t>239,78</t>
        </is>
      </c>
      <c r="Q1319" s="63" t="inlineStr">
        <is>
          <t>278,14</t>
        </is>
      </c>
    </row>
    <row r="1320">
      <c r="A1320" s="65" t="n"/>
      <c r="B1320" s="65" t="n"/>
      <c r="C1320" s="65" t="n"/>
      <c r="D1320" s="65" t="n"/>
      <c r="E1320" s="65" t="n"/>
      <c r="F1320" s="65" t="n"/>
      <c r="G1320" s="65" t="n"/>
      <c r="H1320" s="65" t="n"/>
      <c r="I1320" s="65" t="n"/>
      <c r="J1320" s="65" t="n"/>
      <c r="K1320" s="65" t="n">
        <v>129</v>
      </c>
      <c r="L1320" s="65" t="inlineStr">
        <is>
          <t>[0129] TRANSGLOB API GL-5 SAE 85W-140 (Paila)</t>
        </is>
      </c>
      <c r="M1320" s="63" t="inlineStr">
        <is>
          <t>123,78</t>
        </is>
      </c>
      <c r="N1320" s="63" t="inlineStr">
        <is>
          <t>2,00</t>
        </is>
      </c>
      <c r="O1320" s="63" t="inlineStr">
        <is>
          <t>0,00</t>
        </is>
      </c>
      <c r="P1320" s="63" t="inlineStr">
        <is>
          <t>239,78</t>
        </is>
      </c>
      <c r="Q1320" s="63" t="inlineStr">
        <is>
          <t>278,14</t>
        </is>
      </c>
    </row>
    <row r="1321">
      <c r="A1321" s="65" t="n"/>
      <c r="B1321" s="65" t="n"/>
      <c r="C1321" s="65" t="n"/>
      <c r="D1321" s="65" t="n"/>
      <c r="E1321" s="65" t="n"/>
      <c r="F1321" s="65" t="n"/>
      <c r="G1321" s="65" t="n"/>
      <c r="H1321" s="65" t="n"/>
      <c r="I1321" s="65" t="n"/>
      <c r="J1321" s="65" t="n"/>
      <c r="K1321" s="65" t="n">
        <v>107</v>
      </c>
      <c r="L1321" s="65" t="inlineStr">
        <is>
          <t>[0107] TRANSMATIC ATF DEXRON III (PAILA)</t>
        </is>
      </c>
      <c r="M1321" s="63" t="inlineStr">
        <is>
          <t>125,77</t>
        </is>
      </c>
      <c r="N1321" s="63" t="inlineStr">
        <is>
          <t>1,00</t>
        </is>
      </c>
      <c r="O1321" s="63" t="inlineStr">
        <is>
          <t>0,00</t>
        </is>
      </c>
      <c r="P1321" s="63" t="inlineStr">
        <is>
          <t>121,82</t>
        </is>
      </c>
      <c r="Q1321" s="63" t="inlineStr">
        <is>
          <t>141,31</t>
        </is>
      </c>
    </row>
    <row r="1322">
      <c r="A1322" s="66" t="n">
        <v>46150</v>
      </c>
      <c r="B1322" s="65" t="n">
        <v>36</v>
      </c>
      <c r="C1322" s="65" t="inlineStr">
        <is>
          <t>00-00000289</t>
        </is>
      </c>
      <c r="D1322" s="65" t="inlineStr">
        <is>
          <t>S00337</t>
        </is>
      </c>
      <c r="E1322" s="65" t="inlineStr">
        <is>
          <t>JOSE RUBIO ESPINEL</t>
        </is>
      </c>
      <c r="F1322" s="63" t="inlineStr">
        <is>
          <t>15.081,50</t>
        </is>
      </c>
      <c r="G1322" s="63" t="inlineStr">
        <is>
          <t>17.494,54</t>
        </is>
      </c>
      <c r="H1322" s="63" t="inlineStr">
        <is>
          <t>34,99</t>
        </is>
      </c>
      <c r="I1322" s="63" t="inlineStr">
        <is>
          <t>499,86</t>
        </is>
      </c>
      <c r="J1322" s="65" t="n"/>
      <c r="K1322" s="65" t="n">
        <v>93</v>
      </c>
      <c r="L1322" s="65" t="inlineStr">
        <is>
          <t>[0093] ALTA CILINDRADA SS API SN SAE 15W-40 (1x6)</t>
        </is>
      </c>
      <c r="M1322" s="63" t="inlineStr">
        <is>
          <t>46,00</t>
        </is>
      </c>
      <c r="N1322" s="63" t="inlineStr">
        <is>
          <t>1,00</t>
        </is>
      </c>
      <c r="O1322" s="63" t="inlineStr">
        <is>
          <t>34,41</t>
        </is>
      </c>
      <c r="P1322" s="63" t="inlineStr">
        <is>
          <t>30,17</t>
        </is>
      </c>
      <c r="Q1322" s="63" t="inlineStr">
        <is>
          <t>35,00</t>
        </is>
      </c>
    </row>
    <row r="1323">
      <c r="A1323" s="66" t="n">
        <v>46150</v>
      </c>
      <c r="B1323" s="65" t="n">
        <v>35</v>
      </c>
      <c r="C1323" s="65" t="inlineStr">
        <is>
          <t>00-00000287</t>
        </is>
      </c>
      <c r="D1323" s="65" t="inlineStr">
        <is>
          <t>S00060</t>
        </is>
      </c>
      <c r="E1323" s="65" t="inlineStr">
        <is>
          <t>INVERSIONES R&amp;C 1817, c.a.</t>
        </is>
      </c>
      <c r="F1323" s="63" t="inlineStr">
        <is>
          <t>78.392,36</t>
        </is>
      </c>
      <c r="G1323" s="63" t="inlineStr">
        <is>
          <t>90.935,14</t>
        </is>
      </c>
      <c r="H1323" s="63" t="inlineStr">
        <is>
          <t>189,98</t>
        </is>
      </c>
      <c r="I1323" s="63" t="inlineStr">
        <is>
          <t>478,58</t>
        </is>
      </c>
      <c r="J1323" s="65" t="n">
        <v>282</v>
      </c>
      <c r="K1323" s="65" t="n">
        <v>887</v>
      </c>
      <c r="L1323" s="65" t="inlineStr">
        <is>
          <t>[0887] MOTOCLASICO 4T SAE 20W-50 (1x12)</t>
        </is>
      </c>
      <c r="M1323" s="63" t="inlineStr">
        <is>
          <t>56,58</t>
        </is>
      </c>
      <c r="N1323" s="63" t="inlineStr">
        <is>
          <t>2,00</t>
        </is>
      </c>
      <c r="O1323" s="63" t="inlineStr">
        <is>
          <t>0,67</t>
        </is>
      </c>
      <c r="P1323" s="63" t="inlineStr">
        <is>
          <t>112,40</t>
        </is>
      </c>
      <c r="Q1323" s="63" t="inlineStr">
        <is>
          <t>130,38</t>
        </is>
      </c>
    </row>
    <row r="1324">
      <c r="A1324" s="65" t="n"/>
      <c r="B1324" s="65" t="n"/>
      <c r="C1324" s="65" t="n"/>
      <c r="D1324" s="65" t="n"/>
      <c r="E1324" s="65" t="n"/>
      <c r="F1324" s="65" t="n"/>
      <c r="G1324" s="65" t="n"/>
      <c r="H1324" s="65" t="n"/>
      <c r="I1324" s="65" t="n"/>
      <c r="J1324" s="65" t="n"/>
      <c r="K1324" s="65" t="n">
        <v>93</v>
      </c>
      <c r="L1324" s="65" t="inlineStr">
        <is>
          <t>[0093] ALTA CILINDRADA SS API SN SAE 15W-40 (1x6)</t>
        </is>
      </c>
      <c r="M1324" s="63" t="inlineStr">
        <is>
          <t>28,98</t>
        </is>
      </c>
      <c r="N1324" s="63" t="inlineStr">
        <is>
          <t>1,00</t>
        </is>
      </c>
      <c r="O1324" s="63" t="inlineStr">
        <is>
          <t>0,67</t>
        </is>
      </c>
      <c r="P1324" s="63" t="inlineStr">
        <is>
          <t>28,79</t>
        </is>
      </c>
      <c r="Q1324" s="63" t="inlineStr">
        <is>
          <t>33,40</t>
        </is>
      </c>
    </row>
    <row r="1325">
      <c r="A1325" s="65" t="n"/>
      <c r="B1325" s="65" t="n"/>
      <c r="C1325" s="65" t="n"/>
      <c r="D1325" s="65" t="n"/>
      <c r="E1325" s="65" t="n"/>
      <c r="F1325" s="65" t="n"/>
      <c r="G1325" s="65" t="n"/>
      <c r="H1325" s="65" t="n"/>
      <c r="I1325" s="65" t="n"/>
      <c r="J1325" s="65" t="n"/>
      <c r="K1325" s="65" t="n">
        <v>761</v>
      </c>
      <c r="L1325" s="65" t="inlineStr">
        <is>
          <t>[0761] LIGA PARA FRENOS DOT-3 (1x12)</t>
        </is>
      </c>
      <c r="M1325" s="63" t="inlineStr">
        <is>
          <t>24,98</t>
        </is>
      </c>
      <c r="N1325" s="63" t="inlineStr">
        <is>
          <t>1,00</t>
        </is>
      </c>
      <c r="O1325" s="63" t="inlineStr">
        <is>
          <t>0,67</t>
        </is>
      </c>
      <c r="P1325" s="63" t="inlineStr">
        <is>
          <t>22,62</t>
        </is>
      </c>
      <c r="Q1325" s="63" t="inlineStr">
        <is>
          <t>26,24</t>
        </is>
      </c>
    </row>
    <row r="1326">
      <c r="A1326" s="66" t="n">
        <v>46150</v>
      </c>
      <c r="B1326" s="65" t="n">
        <v>34</v>
      </c>
      <c r="C1326" s="65" t="inlineStr">
        <is>
          <t>00-00000286</t>
        </is>
      </c>
      <c r="D1326" s="65" t="inlineStr">
        <is>
          <t>S00055</t>
        </is>
      </c>
      <c r="E1326" s="65" t="inlineStr">
        <is>
          <t>Barrios Rodríguez Marlon Enrique</t>
        </is>
      </c>
      <c r="F1326" s="63" t="inlineStr">
        <is>
          <t>30.838,13</t>
        </is>
      </c>
      <c r="G1326" s="63" t="inlineStr">
        <is>
          <t>35.772,23</t>
        </is>
      </c>
      <c r="H1326" s="63" t="inlineStr">
        <is>
          <t>71,99</t>
        </is>
      </c>
      <c r="I1326" s="63" t="inlineStr">
        <is>
          <t>496,83</t>
        </is>
      </c>
      <c r="J1326" s="65" t="n">
        <v>144</v>
      </c>
      <c r="K1326" s="65" t="n">
        <v>877</v>
      </c>
      <c r="L1326" s="65" t="inlineStr">
        <is>
          <t>[0877] SS EXTRA PROTECCION API SN SAE 15W-40 (1X12)</t>
        </is>
      </c>
      <c r="M1326" s="63" t="inlineStr">
        <is>
          <t>93,10</t>
        </is>
      </c>
      <c r="N1326" s="63" t="inlineStr">
        <is>
          <t>1,00</t>
        </is>
      </c>
      <c r="O1326" s="63" t="inlineStr">
        <is>
          <t>33,33</t>
        </is>
      </c>
      <c r="P1326" s="63" t="inlineStr">
        <is>
          <t>62,07</t>
        </is>
      </c>
      <c r="Q1326" s="63" t="inlineStr">
        <is>
          <t>72,00</t>
        </is>
      </c>
    </row>
    <row r="1327">
      <c r="A1327" s="66" t="n">
        <v>46150</v>
      </c>
      <c r="B1327" s="65" t="n">
        <v>33</v>
      </c>
      <c r="C1327" s="65" t="inlineStr">
        <is>
          <t>00-00000285</t>
        </is>
      </c>
      <c r="D1327" s="65" t="inlineStr">
        <is>
          <t>S00294</t>
        </is>
      </c>
      <c r="E1327" s="65" t="inlineStr">
        <is>
          <t>CONSTRUCTORA GRANO AGREGADO, C.A</t>
        </is>
      </c>
      <c r="F1327" s="63" t="inlineStr">
        <is>
          <t>1.384.350,65</t>
        </is>
      </c>
      <c r="G1327" s="63" t="inlineStr">
        <is>
          <t>1.605.846,75</t>
        </is>
      </c>
      <c r="H1327" s="63" t="inlineStr">
        <is>
          <t>3.312,76</t>
        </is>
      </c>
      <c r="I1327" s="63" t="inlineStr">
        <is>
          <t>484,74</t>
        </is>
      </c>
      <c r="J1327" s="65" t="n"/>
      <c r="K1327" s="65" t="n">
        <v>146</v>
      </c>
      <c r="L1327" s="65" t="inlineStr">
        <is>
          <t>[0146] HIDRAGLOB AW/ISO 68 (Tambor)</t>
        </is>
      </c>
      <c r="M1327" s="63" t="inlineStr">
        <is>
          <t>1.101,02</t>
        </is>
      </c>
      <c r="N1327" s="63" t="inlineStr">
        <is>
          <t>1,00</t>
        </is>
      </c>
      <c r="O1327" s="63" t="inlineStr">
        <is>
          <t>0,00</t>
        </is>
      </c>
      <c r="P1327" s="63" t="inlineStr">
        <is>
          <t>1.101,02</t>
        </is>
      </c>
      <c r="Q1327" s="63" t="inlineStr">
        <is>
          <t>1.277,18</t>
        </is>
      </c>
    </row>
    <row r="1328">
      <c r="A1328" s="65" t="n"/>
      <c r="B1328" s="65" t="n"/>
      <c r="C1328" s="65" t="n"/>
      <c r="D1328" s="65" t="n"/>
      <c r="E1328" s="65" t="n"/>
      <c r="F1328" s="65" t="n"/>
      <c r="G1328" s="65" t="n"/>
      <c r="H1328" s="65" t="n"/>
      <c r="I1328" s="65" t="n"/>
      <c r="J1328" s="65" t="n"/>
      <c r="K1328" s="65" t="n">
        <v>85</v>
      </c>
      <c r="L1328" s="65" t="inlineStr">
        <is>
          <t>[0085] MAXIMO API CF SAE 50 (Tambor)</t>
        </is>
      </c>
      <c r="M1328" s="63" t="inlineStr">
        <is>
          <t>1.133,96</t>
        </is>
      </c>
      <c r="N1328" s="63" t="inlineStr">
        <is>
          <t>1,00</t>
        </is>
      </c>
      <c r="O1328" s="63" t="inlineStr">
        <is>
          <t>0,00</t>
        </is>
      </c>
      <c r="P1328" s="63" t="inlineStr">
        <is>
          <t>1.133,96</t>
        </is>
      </c>
      <c r="Q1328" s="63" t="inlineStr">
        <is>
          <t>1.315,39</t>
        </is>
      </c>
    </row>
    <row r="1329">
      <c r="A1329" s="65" t="n"/>
      <c r="B1329" s="65" t="n"/>
      <c r="C1329" s="65" t="n"/>
      <c r="D1329" s="65" t="n"/>
      <c r="E1329" s="65" t="n"/>
      <c r="F1329" s="65" t="n"/>
      <c r="G1329" s="65" t="n"/>
      <c r="H1329" s="65" t="n"/>
      <c r="I1329" s="65" t="n"/>
      <c r="J1329" s="65" t="n"/>
      <c r="K1329" s="65" t="n">
        <v>123</v>
      </c>
      <c r="L1329" s="65" t="inlineStr">
        <is>
          <t>[0123] TRANSGLOB API GL-5 SAE 80W-90 (Paila)</t>
        </is>
      </c>
      <c r="M1329" s="63" t="inlineStr">
        <is>
          <t>123,78</t>
        </is>
      </c>
      <c r="N1329" s="63" t="inlineStr">
        <is>
          <t>2,00</t>
        </is>
      </c>
      <c r="O1329" s="63" t="inlineStr">
        <is>
          <t>0,00</t>
        </is>
      </c>
      <c r="P1329" s="63" t="inlineStr">
        <is>
          <t>247,55</t>
        </is>
      </c>
      <c r="Q1329" s="63" t="inlineStr">
        <is>
          <t>287,16</t>
        </is>
      </c>
    </row>
    <row r="1330">
      <c r="A1330" s="65" t="n"/>
      <c r="B1330" s="65" t="n"/>
      <c r="C1330" s="65" t="n"/>
      <c r="D1330" s="65" t="n"/>
      <c r="E1330" s="65" t="n"/>
      <c r="F1330" s="65" t="n"/>
      <c r="G1330" s="65" t="n"/>
      <c r="H1330" s="65" t="n"/>
      <c r="I1330" s="65" t="n"/>
      <c r="J1330" s="65" t="n"/>
      <c r="K1330" s="65" t="n">
        <v>129</v>
      </c>
      <c r="L1330" s="65" t="inlineStr">
        <is>
          <t>[0129] TRANSGLOB API GL-5 SAE 85W-140 (Paila)</t>
        </is>
      </c>
      <c r="M1330" s="63" t="inlineStr">
        <is>
          <t>123,78</t>
        </is>
      </c>
      <c r="N1330" s="63" t="inlineStr">
        <is>
          <t>2,00</t>
        </is>
      </c>
      <c r="O1330" s="63" t="inlineStr">
        <is>
          <t>0,00</t>
        </is>
      </c>
      <c r="P1330" s="63" t="inlineStr">
        <is>
          <t>247,55</t>
        </is>
      </c>
      <c r="Q1330" s="63" t="inlineStr">
        <is>
          <t>287,16</t>
        </is>
      </c>
    </row>
    <row r="1331">
      <c r="A1331" s="65" t="n"/>
      <c r="B1331" s="65" t="n"/>
      <c r="C1331" s="65" t="n"/>
      <c r="D1331" s="65" t="n"/>
      <c r="E1331" s="65" t="n"/>
      <c r="F1331" s="65" t="n"/>
      <c r="G1331" s="65" t="n"/>
      <c r="H1331" s="65" t="n"/>
      <c r="I1331" s="65" t="n"/>
      <c r="J1331" s="65" t="n"/>
      <c r="K1331" s="65" t="n">
        <v>107</v>
      </c>
      <c r="L1331" s="65" t="inlineStr">
        <is>
          <t>[0107] TRANSMATIC ATF DEXRON III (PAILA)</t>
        </is>
      </c>
      <c r="M1331" s="63" t="inlineStr">
        <is>
          <t>125,77</t>
        </is>
      </c>
      <c r="N1331" s="63" t="inlineStr">
        <is>
          <t>1,00</t>
        </is>
      </c>
      <c r="O1331" s="63" t="inlineStr">
        <is>
          <t>0,00</t>
        </is>
      </c>
      <c r="P1331" s="63" t="inlineStr">
        <is>
          <t>125,77</t>
        </is>
      </c>
      <c r="Q1331" s="63" t="inlineStr">
        <is>
          <t>145,90</t>
        </is>
      </c>
    </row>
    <row r="1332">
      <c r="A1332" s="66" t="n">
        <v>46149</v>
      </c>
      <c r="B1332" s="65" t="n">
        <v>32</v>
      </c>
      <c r="C1332" s="65" t="inlineStr">
        <is>
          <t>00-00000275</t>
        </is>
      </c>
      <c r="D1332" s="65" t="inlineStr">
        <is>
          <t>S00163</t>
        </is>
      </c>
      <c r="E1332" s="65" t="inlineStr">
        <is>
          <t>DISTRIBUIDORA MULTIAHORRO C.A.</t>
        </is>
      </c>
      <c r="F1332" s="63" t="inlineStr">
        <is>
          <t>139.378,51</t>
        </is>
      </c>
      <c r="G1332" s="63" t="inlineStr">
        <is>
          <t>161.679,06</t>
        </is>
      </c>
      <c r="H1332" s="63" t="inlineStr">
        <is>
          <t>341,17</t>
        </is>
      </c>
      <c r="I1332" s="63" t="inlineStr">
        <is>
          <t>473,87</t>
        </is>
      </c>
      <c r="J1332" s="65" t="n">
        <v>255</v>
      </c>
      <c r="K1332" s="65" t="n">
        <v>779</v>
      </c>
      <c r="L1332" s="65" t="inlineStr">
        <is>
          <t>[0779] SINOCO SAE 20W-50 (1x12)</t>
        </is>
      </c>
      <c r="M1332" s="63" t="inlineStr">
        <is>
          <t>61,82</t>
        </is>
      </c>
      <c r="N1332" s="63" t="inlineStr">
        <is>
          <t>1,00</t>
        </is>
      </c>
      <c r="O1332" s="63" t="inlineStr">
        <is>
          <t>0,00</t>
        </is>
      </c>
      <c r="P1332" s="63" t="inlineStr">
        <is>
          <t>61,12</t>
        </is>
      </c>
      <c r="Q1332" s="63" t="inlineStr">
        <is>
          <t>70,90</t>
        </is>
      </c>
    </row>
    <row r="1333">
      <c r="A1333" s="65" t="n"/>
      <c r="B1333" s="65" t="n"/>
      <c r="C1333" s="65" t="n"/>
      <c r="D1333" s="65" t="n"/>
      <c r="E1333" s="65" t="n"/>
      <c r="F1333" s="65" t="n"/>
      <c r="G1333" s="65" t="n"/>
      <c r="H1333" s="65" t="n"/>
      <c r="I1333" s="65" t="n"/>
      <c r="J1333" s="65" t="n"/>
      <c r="K1333" s="65" t="n">
        <v>915</v>
      </c>
      <c r="L1333" s="65" t="inlineStr">
        <is>
          <t>[0915] SINOCO SAE 50 (1x12)</t>
        </is>
      </c>
      <c r="M1333" s="63" t="inlineStr">
        <is>
          <t>61,82</t>
        </is>
      </c>
      <c r="N1333" s="63" t="inlineStr">
        <is>
          <t>1,00</t>
        </is>
      </c>
      <c r="O1333" s="63" t="inlineStr">
        <is>
          <t>0,00</t>
        </is>
      </c>
      <c r="P1333" s="63" t="inlineStr">
        <is>
          <t>61,12</t>
        </is>
      </c>
      <c r="Q1333" s="63" t="inlineStr">
        <is>
          <t>70,90</t>
        </is>
      </c>
    </row>
    <row r="1334">
      <c r="A1334" s="65" t="n"/>
      <c r="B1334" s="65" t="n"/>
      <c r="C1334" s="65" t="n"/>
      <c r="D1334" s="65" t="n"/>
      <c r="E1334" s="65" t="n"/>
      <c r="F1334" s="65" t="n"/>
      <c r="G1334" s="65" t="n"/>
      <c r="H1334" s="65" t="n"/>
      <c r="I1334" s="65" t="n"/>
      <c r="J1334" s="65" t="n"/>
      <c r="K1334" s="65" t="n">
        <v>877</v>
      </c>
      <c r="L1334" s="65" t="inlineStr">
        <is>
          <t>[0877] SS EXTRA PROTECCION API SN SAE 15W-40 (1X12)</t>
        </is>
      </c>
      <c r="M1334" s="63" t="inlineStr">
        <is>
          <t>92,72</t>
        </is>
      </c>
      <c r="N1334" s="63" t="inlineStr">
        <is>
          <t>1,00</t>
        </is>
      </c>
      <c r="O1334" s="63" t="inlineStr">
        <is>
          <t>0,00</t>
        </is>
      </c>
      <c r="P1334" s="63" t="inlineStr">
        <is>
          <t>91,67</t>
        </is>
      </c>
      <c r="Q1334" s="63" t="inlineStr">
        <is>
          <t>106,34</t>
        </is>
      </c>
    </row>
    <row r="1335">
      <c r="A1335" s="65" t="n"/>
      <c r="B1335" s="65" t="n"/>
      <c r="C1335" s="65" t="n"/>
      <c r="D1335" s="65" t="n"/>
      <c r="E1335" s="65" t="n"/>
      <c r="F1335" s="65" t="n"/>
      <c r="G1335" s="65" t="n"/>
      <c r="H1335" s="65" t="n"/>
      <c r="I1335" s="65" t="n"/>
      <c r="J1335" s="65" t="n"/>
      <c r="K1335" s="65" t="n">
        <v>881</v>
      </c>
      <c r="L1335" s="65" t="inlineStr">
        <is>
          <t>[0881] CLASICO API SL SAE 20W-50 (1x12)</t>
        </is>
      </c>
      <c r="M1335" s="63" t="inlineStr">
        <is>
          <t>81,14</t>
        </is>
      </c>
      <c r="N1335" s="63" t="inlineStr">
        <is>
          <t>1,00</t>
        </is>
      </c>
      <c r="O1335" s="63" t="inlineStr">
        <is>
          <t>0,00</t>
        </is>
      </c>
      <c r="P1335" s="63" t="inlineStr">
        <is>
          <t>80,22</t>
        </is>
      </c>
      <c r="Q1335" s="63" t="inlineStr">
        <is>
          <t>93,06</t>
        </is>
      </c>
    </row>
    <row r="1336">
      <c r="A1336" s="66" t="n">
        <v>46149</v>
      </c>
      <c r="B1336" s="65" t="n">
        <v>31</v>
      </c>
      <c r="C1336" s="65" t="inlineStr">
        <is>
          <t>00-00000274</t>
        </is>
      </c>
      <c r="D1336" s="65" t="inlineStr">
        <is>
          <t>S00153</t>
        </is>
      </c>
      <c r="E1336" s="65" t="inlineStr">
        <is>
          <t>Emprendimiento Yeizon Villaroel</t>
        </is>
      </c>
      <c r="F1336" s="63" t="inlineStr">
        <is>
          <t>61.538,57</t>
        </is>
      </c>
      <c r="G1336" s="63" t="inlineStr">
        <is>
          <t>71.384,74</t>
        </is>
      </c>
      <c r="H1336" s="63" t="inlineStr">
        <is>
          <t>143,66</t>
        </is>
      </c>
      <c r="I1336" s="63" t="inlineStr">
        <is>
          <t>496,83</t>
        </is>
      </c>
      <c r="J1336" s="65" t="n">
        <v>60</v>
      </c>
      <c r="K1336" s="65" t="n">
        <v>83</v>
      </c>
      <c r="L1336" s="65" t="inlineStr">
        <is>
          <t>[0083] MAXIMO API CF SAE 50 (PAILA)</t>
        </is>
      </c>
      <c r="M1336" s="63" t="inlineStr">
        <is>
          <t>104,75</t>
        </is>
      </c>
      <c r="N1336" s="63" t="inlineStr">
        <is>
          <t>1,00</t>
        </is>
      </c>
      <c r="O1336" s="63" t="inlineStr">
        <is>
          <t>33,34</t>
        </is>
      </c>
      <c r="P1336" s="63" t="inlineStr">
        <is>
          <t>65,58</t>
        </is>
      </c>
      <c r="Q1336" s="63" t="inlineStr">
        <is>
          <t>76,07</t>
        </is>
      </c>
    </row>
    <row r="1337">
      <c r="A1337" s="65" t="n"/>
      <c r="B1337" s="65" t="n"/>
      <c r="C1337" s="65" t="n"/>
      <c r="D1337" s="65" t="n"/>
      <c r="E1337" s="65" t="n"/>
      <c r="F1337" s="65" t="n"/>
      <c r="G1337" s="65" t="n"/>
      <c r="H1337" s="65" t="n"/>
      <c r="I1337" s="65" t="n"/>
      <c r="J1337" s="65" t="n">
        <v>238</v>
      </c>
      <c r="K1337" s="65" t="n"/>
      <c r="L1337" s="65" t="n"/>
      <c r="M1337" s="65" t="n"/>
      <c r="N1337" s="65" t="n"/>
      <c r="O1337" s="65" t="n"/>
      <c r="P1337" s="65" t="n"/>
      <c r="Q1337" s="65" t="n"/>
    </row>
    <row r="1338">
      <c r="A1338" s="65" t="n"/>
      <c r="B1338" s="65" t="n"/>
      <c r="C1338" s="65" t="n"/>
      <c r="D1338" s="65" t="n"/>
      <c r="E1338" s="65" t="n"/>
      <c r="F1338" s="65" t="n"/>
      <c r="G1338" s="65" t="n"/>
      <c r="H1338" s="65" t="n"/>
      <c r="I1338" s="65" t="n"/>
      <c r="J1338" s="65" t="n"/>
      <c r="K1338" s="65" t="n">
        <v>877</v>
      </c>
      <c r="L1338" s="65" t="inlineStr">
        <is>
          <t>[0877] SS EXTRA PROTECCION API SN SAE 15W-40 (1X12)</t>
        </is>
      </c>
      <c r="M1338" s="63" t="inlineStr">
        <is>
          <t>93,10</t>
        </is>
      </c>
      <c r="N1338" s="63" t="inlineStr">
        <is>
          <t>1,00</t>
        </is>
      </c>
      <c r="O1338" s="63" t="inlineStr">
        <is>
          <t>33,34</t>
        </is>
      </c>
      <c r="P1338" s="63" t="inlineStr">
        <is>
          <t>58,28</t>
        </is>
      </c>
      <c r="Q1338" s="63" t="inlineStr">
        <is>
          <t>67,61</t>
        </is>
      </c>
    </row>
    <row r="1339">
      <c r="A1339" s="66" t="n">
        <v>46146</v>
      </c>
      <c r="B1339" s="65" t="n">
        <v>29</v>
      </c>
      <c r="C1339" s="65" t="inlineStr">
        <is>
          <t>00-00000261</t>
        </is>
      </c>
      <c r="D1339" s="65" t="inlineStr">
        <is>
          <t>S00017</t>
        </is>
      </c>
      <c r="E1339" s="65" t="inlineStr">
        <is>
          <t>MOTO REPUESTOS LA FLECHA, C.A.</t>
        </is>
      </c>
      <c r="F1339" s="63" t="inlineStr">
        <is>
          <t>40.909,56</t>
        </is>
      </c>
      <c r="G1339" s="63" t="inlineStr">
        <is>
          <t>47.455,08</t>
        </is>
      </c>
      <c r="H1339" s="63" t="inlineStr">
        <is>
          <t>99,99</t>
        </is>
      </c>
      <c r="I1339" s="63" t="inlineStr">
        <is>
          <t>474,53</t>
        </is>
      </c>
      <c r="J1339" s="65" t="n"/>
      <c r="K1339" s="65" t="n">
        <v>887</v>
      </c>
      <c r="L1339" s="65" t="inlineStr">
        <is>
          <t>[0887] MOTOCLASICO 4T SAE 20W-50 (1x12)</t>
        </is>
      </c>
      <c r="M1339" s="63" t="inlineStr">
        <is>
          <t>58,39</t>
        </is>
      </c>
      <c r="N1339" s="63" t="inlineStr">
        <is>
          <t>1,00</t>
        </is>
      </c>
      <c r="O1339" s="63" t="inlineStr">
        <is>
          <t>0,00</t>
        </is>
      </c>
      <c r="P1339" s="63" t="inlineStr">
        <is>
          <t>58,39</t>
        </is>
      </c>
      <c r="Q1339" s="63" t="inlineStr">
        <is>
          <t>67,73</t>
        </is>
      </c>
    </row>
    <row r="1340">
      <c r="A1340" s="65" t="n"/>
      <c r="B1340" s="65" t="n"/>
      <c r="C1340" s="65" t="n"/>
      <c r="D1340" s="65" t="n"/>
      <c r="E1340" s="65" t="n"/>
      <c r="F1340" s="65" t="n"/>
      <c r="G1340" s="65" t="n"/>
      <c r="H1340" s="65" t="n"/>
      <c r="I1340" s="65" t="n"/>
      <c r="J1340" s="65" t="n"/>
      <c r="K1340" s="65" t="n">
        <v>775</v>
      </c>
      <c r="L1340" s="65" t="inlineStr">
        <is>
          <t>[0775] LIGA PARA FRENOS DOT-4 (1X12)</t>
        </is>
      </c>
      <c r="M1340" s="63" t="inlineStr">
        <is>
          <t>27,82</t>
        </is>
      </c>
      <c r="N1340" s="63" t="inlineStr">
        <is>
          <t>1,00</t>
        </is>
      </c>
      <c r="O1340" s="63" t="inlineStr">
        <is>
          <t>0,00</t>
        </is>
      </c>
      <c r="P1340" s="63" t="inlineStr">
        <is>
          <t>27,82</t>
        </is>
      </c>
      <c r="Q1340" s="63" t="inlineStr">
        <is>
          <t>32,27</t>
        </is>
      </c>
    </row>
    <row r="1341">
      <c r="A1341" s="66" t="n">
        <v>46142</v>
      </c>
      <c r="B1341" s="65" t="n">
        <v>30</v>
      </c>
      <c r="C1341" s="65" t="inlineStr">
        <is>
          <t>00-00000266</t>
        </is>
      </c>
      <c r="D1341" s="65" t="inlineStr">
        <is>
          <t>S00017</t>
        </is>
      </c>
      <c r="E1341" s="65" t="inlineStr">
        <is>
          <t>MOTO REPUESTOS LA FLECHA, C.A.</t>
        </is>
      </c>
      <c r="F1341" s="63" t="inlineStr">
        <is>
          <t>48.509,49</t>
        </is>
      </c>
      <c r="G1341" s="63" t="inlineStr">
        <is>
          <t>56.271,00</t>
        </is>
      </c>
      <c r="H1341" s="63" t="inlineStr">
        <is>
          <t>114,81</t>
        </is>
      </c>
      <c r="I1341" s="63" t="inlineStr">
        <is>
          <t>490,04</t>
        </is>
      </c>
      <c r="J1341" s="65" t="n">
        <v>163</v>
      </c>
      <c r="K1341" s="65" t="n">
        <v>887</v>
      </c>
      <c r="L1341" s="65" t="inlineStr">
        <is>
          <t>[0887] MOTOCLASICO 4T SAE 20W-50 (1x12)</t>
        </is>
      </c>
      <c r="M1341" s="63" t="inlineStr">
        <is>
          <t>67,64</t>
        </is>
      </c>
      <c r="N1341" s="63" t="inlineStr">
        <is>
          <t>1,00</t>
        </is>
      </c>
      <c r="O1341" s="63" t="inlineStr">
        <is>
          <t>0,00</t>
        </is>
      </c>
      <c r="P1341" s="63" t="inlineStr">
        <is>
          <t>67,64</t>
        </is>
      </c>
      <c r="Q1341" s="63" t="inlineStr">
        <is>
          <t>78,46</t>
        </is>
      </c>
    </row>
    <row r="1342">
      <c r="A1342" s="65" t="n"/>
      <c r="B1342" s="65" t="n"/>
      <c r="C1342" s="65" t="n"/>
      <c r="D1342" s="65" t="n"/>
      <c r="E1342" s="65" t="n"/>
      <c r="F1342" s="65" t="n"/>
      <c r="G1342" s="65" t="n"/>
      <c r="H1342" s="65" t="n"/>
      <c r="I1342" s="65" t="n"/>
      <c r="J1342" s="65" t="n"/>
      <c r="K1342" s="65" t="n">
        <v>775</v>
      </c>
      <c r="L1342" s="65" t="inlineStr">
        <is>
          <t>[0775] LIGA PARA FRENOS DOT-4 (1X12)</t>
        </is>
      </c>
      <c r="M1342" s="63" t="inlineStr">
        <is>
          <t>31,35</t>
        </is>
      </c>
      <c r="N1342" s="63" t="inlineStr">
        <is>
          <t>1,00</t>
        </is>
      </c>
      <c r="O1342" s="63" t="inlineStr">
        <is>
          <t>0,00</t>
        </is>
      </c>
      <c r="P1342" s="63" t="inlineStr">
        <is>
          <t>31,35</t>
        </is>
      </c>
      <c r="Q1342" s="63" t="inlineStr">
        <is>
          <t>36,36</t>
        </is>
      </c>
    </row>
    <row r="1343">
      <c r="A1343" s="66" t="n">
        <v>46141</v>
      </c>
      <c r="B1343" s="65" t="n">
        <v>28</v>
      </c>
      <c r="C1343" s="65" t="inlineStr">
        <is>
          <t>00-00000241</t>
        </is>
      </c>
      <c r="D1343" s="65" t="inlineStr">
        <is>
          <t>S00144</t>
        </is>
      </c>
      <c r="E1343" s="65" t="inlineStr">
        <is>
          <t>HIDRAULICAS CAICEDO C.A.</t>
        </is>
      </c>
      <c r="F1343" s="63" t="inlineStr">
        <is>
          <t>42.775,03</t>
        </is>
      </c>
      <c r="G1343" s="63" t="inlineStr">
        <is>
          <t>49.619,03</t>
        </is>
      </c>
      <c r="H1343" s="63" t="inlineStr">
        <is>
          <t>104,70</t>
        </is>
      </c>
      <c r="I1343" s="63" t="inlineStr">
        <is>
          <t>473,87</t>
        </is>
      </c>
      <c r="J1343" s="65" t="n"/>
      <c r="K1343" s="65" t="n">
        <v>877</v>
      </c>
      <c r="L1343" s="65" t="inlineStr">
        <is>
          <t>[0877] SS EXTRA PROTECCION API SN SAE 15W-40 (1X12)</t>
        </is>
      </c>
      <c r="M1343" s="63" t="inlineStr">
        <is>
          <t>93,10</t>
        </is>
      </c>
      <c r="N1343" s="63" t="inlineStr">
        <is>
          <t>1,00</t>
        </is>
      </c>
      <c r="O1343" s="63" t="inlineStr">
        <is>
          <t>0,00</t>
        </is>
      </c>
      <c r="P1343" s="63" t="inlineStr">
        <is>
          <t>90,27</t>
        </is>
      </c>
      <c r="Q1343" s="63" t="inlineStr">
        <is>
          <t>104,71</t>
        </is>
      </c>
    </row>
    <row r="1344">
      <c r="A1344" s="65" t="n"/>
      <c r="B1344" s="65" t="n"/>
      <c r="C1344" s="65" t="n"/>
      <c r="D1344" s="65" t="n"/>
      <c r="E1344" s="65" t="n"/>
      <c r="F1344" s="65" t="n"/>
      <c r="G1344" s="65" t="n"/>
      <c r="H1344" s="65" t="n"/>
      <c r="I1344" s="65" t="n"/>
      <c r="J1344" s="65" t="n"/>
      <c r="K1344" s="65" t="n"/>
      <c r="L1344" s="65" t="n"/>
      <c r="M1344" s="63" t="inlineStr">
        <is>
          <t>0,00</t>
        </is>
      </c>
      <c r="N1344" s="63" t="inlineStr">
        <is>
          <t>0,00</t>
        </is>
      </c>
      <c r="O1344" s="63" t="inlineStr">
        <is>
          <t>0,00</t>
        </is>
      </c>
      <c r="P1344" s="63" t="inlineStr">
        <is>
          <t>0,00</t>
        </is>
      </c>
      <c r="Q1344" s="63" t="inlineStr">
        <is>
          <t>0,00</t>
        </is>
      </c>
    </row>
    <row r="1345">
      <c r="A1345" s="66" t="n">
        <v>46141</v>
      </c>
      <c r="B1345" s="65" t="n">
        <v>27</v>
      </c>
      <c r="C1345" s="65" t="inlineStr">
        <is>
          <t>00-00000240</t>
        </is>
      </c>
      <c r="D1345" s="65" t="inlineStr">
        <is>
          <t>S00227</t>
        </is>
      </c>
      <c r="E1345" s="65" t="inlineStr">
        <is>
          <t>EN LA VIA 2023 C.A</t>
        </is>
      </c>
      <c r="F1345" s="63" t="inlineStr">
        <is>
          <t>279.710,29</t>
        </is>
      </c>
      <c r="G1345" s="63" t="inlineStr">
        <is>
          <t>324.463,93</t>
        </is>
      </c>
      <c r="H1345" s="63" t="inlineStr">
        <is>
          <t>667,30</t>
        </is>
      </c>
      <c r="I1345" s="63" t="inlineStr">
        <is>
          <t>486,20</t>
        </is>
      </c>
      <c r="J1345" s="65" t="n"/>
      <c r="K1345" s="65" t="n">
        <v>25</v>
      </c>
      <c r="L1345" s="65" t="inlineStr">
        <is>
          <t>[0025] SS EXTRA PROTECCION API SN SAE 10W-30 (Gasolina) (1x6)</t>
        </is>
      </c>
      <c r="M1345" s="63" t="inlineStr">
        <is>
          <t>50,00</t>
        </is>
      </c>
      <c r="N1345" s="63" t="inlineStr">
        <is>
          <t>2,00</t>
        </is>
      </c>
      <c r="O1345" s="63" t="inlineStr">
        <is>
          <t>0,00</t>
        </is>
      </c>
      <c r="P1345" s="63" t="inlineStr">
        <is>
          <t>98,68</t>
        </is>
      </c>
      <c r="Q1345" s="63" t="inlineStr">
        <is>
          <t>114,47</t>
        </is>
      </c>
    </row>
    <row r="1346">
      <c r="A1346" s="65" t="n"/>
      <c r="B1346" s="65" t="n"/>
      <c r="C1346" s="65" t="n"/>
      <c r="D1346" s="65" t="n"/>
      <c r="E1346" s="65" t="n"/>
      <c r="F1346" s="65" t="n"/>
      <c r="G1346" s="65" t="n"/>
      <c r="H1346" s="65" t="n"/>
      <c r="I1346" s="65" t="n"/>
      <c r="J1346" s="65" t="n"/>
      <c r="K1346" s="65" t="n"/>
      <c r="L1346" s="65" t="n"/>
      <c r="M1346" s="63" t="inlineStr">
        <is>
          <t>0,00</t>
        </is>
      </c>
      <c r="N1346" s="63" t="inlineStr">
        <is>
          <t>0,00</t>
        </is>
      </c>
      <c r="O1346" s="63" t="inlineStr">
        <is>
          <t>0,00</t>
        </is>
      </c>
      <c r="P1346" s="63" t="inlineStr">
        <is>
          <t>0,00</t>
        </is>
      </c>
      <c r="Q1346" s="63" t="inlineStr">
        <is>
          <t>0,00</t>
        </is>
      </c>
    </row>
    <row r="1347">
      <c r="A1347" s="65" t="n"/>
      <c r="B1347" s="65" t="n"/>
      <c r="C1347" s="65" t="n"/>
      <c r="D1347" s="65" t="n"/>
      <c r="E1347" s="65" t="n"/>
      <c r="F1347" s="65" t="n"/>
      <c r="G1347" s="65" t="n"/>
      <c r="H1347" s="65" t="n"/>
      <c r="I1347" s="65" t="n"/>
      <c r="J1347" s="65" t="n"/>
      <c r="K1347" s="65" t="n">
        <v>877</v>
      </c>
      <c r="L1347" s="65" t="inlineStr">
        <is>
          <t>[0877] SS EXTRA PROTECCION API SN SAE 15W-40 (1X12)</t>
        </is>
      </c>
      <c r="M1347" s="63" t="inlineStr">
        <is>
          <t>100,00</t>
        </is>
      </c>
      <c r="N1347" s="63" t="inlineStr">
        <is>
          <t>1,00</t>
        </is>
      </c>
      <c r="O1347" s="63" t="inlineStr">
        <is>
          <t>0,00</t>
        </is>
      </c>
      <c r="P1347" s="63" t="inlineStr">
        <is>
          <t>98,68</t>
        </is>
      </c>
      <c r="Q1347" s="63" t="inlineStr">
        <is>
          <t>114,47</t>
        </is>
      </c>
    </row>
    <row r="1348">
      <c r="A1348" s="65" t="n"/>
      <c r="B1348" s="65" t="n"/>
      <c r="C1348" s="65" t="n"/>
      <c r="D1348" s="65" t="n"/>
      <c r="E1348" s="65" t="n"/>
      <c r="F1348" s="65" t="n"/>
      <c r="G1348" s="65" t="n"/>
      <c r="H1348" s="65" t="n"/>
      <c r="I1348" s="65" t="n"/>
      <c r="J1348" s="65" t="n"/>
      <c r="K1348" s="65" t="n">
        <v>878</v>
      </c>
      <c r="L1348" s="65" t="inlineStr">
        <is>
          <t>[0878] SS EXTRA PROTECCION API SN SAE 20W-50 (1x12)</t>
        </is>
      </c>
      <c r="M1348" s="63" t="inlineStr">
        <is>
          <t>100,00</t>
        </is>
      </c>
      <c r="N1348" s="63" t="inlineStr">
        <is>
          <t>1,00</t>
        </is>
      </c>
      <c r="O1348" s="63" t="inlineStr">
        <is>
          <t>0,00</t>
        </is>
      </c>
      <c r="P1348" s="63" t="inlineStr">
        <is>
          <t>98,68</t>
        </is>
      </c>
      <c r="Q1348" s="63" t="inlineStr">
        <is>
          <t>114,47</t>
        </is>
      </c>
    </row>
    <row r="1349">
      <c r="A1349" s="65" t="n"/>
      <c r="B1349" s="65" t="n"/>
      <c r="C1349" s="65" t="n"/>
      <c r="D1349" s="65" t="n"/>
      <c r="E1349" s="65" t="n"/>
      <c r="F1349" s="65" t="n"/>
      <c r="G1349" s="65" t="n"/>
      <c r="H1349" s="65" t="n"/>
      <c r="I1349" s="65" t="n"/>
      <c r="J1349" s="65" t="n"/>
      <c r="K1349" s="65" t="n">
        <v>881</v>
      </c>
      <c r="L1349" s="65" t="inlineStr">
        <is>
          <t>[0881] CLASICO API SL SAE 20W-50 (1x12)</t>
        </is>
      </c>
      <c r="M1349" s="63" t="inlineStr">
        <is>
          <t>87,00</t>
        </is>
      </c>
      <c r="N1349" s="63" t="inlineStr">
        <is>
          <t>1,00</t>
        </is>
      </c>
      <c r="O1349" s="63" t="inlineStr">
        <is>
          <t>0,00</t>
        </is>
      </c>
      <c r="P1349" s="63" t="inlineStr">
        <is>
          <t>85,85</t>
        </is>
      </c>
      <c r="Q1349" s="63" t="inlineStr">
        <is>
          <t>99,59</t>
        </is>
      </c>
    </row>
    <row r="1350">
      <c r="A1350" s="65" t="n"/>
      <c r="B1350" s="65" t="n"/>
      <c r="C1350" s="65" t="n"/>
      <c r="D1350" s="65" t="n"/>
      <c r="E1350" s="65" t="n"/>
      <c r="F1350" s="65" t="n"/>
      <c r="G1350" s="65" t="n"/>
      <c r="H1350" s="65" t="n"/>
      <c r="I1350" s="65" t="n"/>
      <c r="J1350" s="65" t="n"/>
      <c r="K1350" s="65" t="n">
        <v>884</v>
      </c>
      <c r="L1350" s="65" t="inlineStr">
        <is>
          <t>[0884] TRANSMATIC ATF DEXRON III (1x12)</t>
        </is>
      </c>
      <c r="M1350" s="63" t="inlineStr">
        <is>
          <t>96,00</t>
        </is>
      </c>
      <c r="N1350" s="63" t="inlineStr">
        <is>
          <t>1,00</t>
        </is>
      </c>
      <c r="O1350" s="63" t="inlineStr">
        <is>
          <t>0,00</t>
        </is>
      </c>
      <c r="P1350" s="63" t="inlineStr">
        <is>
          <t>94,73</t>
        </is>
      </c>
      <c r="Q1350" s="63" t="inlineStr">
        <is>
          <t>109,89</t>
        </is>
      </c>
    </row>
    <row r="1351">
      <c r="A1351" s="65" t="n"/>
      <c r="B1351" s="65" t="n"/>
      <c r="C1351" s="65" t="n"/>
      <c r="D1351" s="65" t="n"/>
      <c r="E1351" s="65" t="n"/>
      <c r="F1351" s="65" t="n"/>
      <c r="G1351" s="65" t="n"/>
      <c r="H1351" s="65" t="n"/>
      <c r="I1351" s="65" t="n"/>
      <c r="J1351" s="65" t="n"/>
      <c r="K1351" s="65" t="n">
        <v>888</v>
      </c>
      <c r="L1351" s="65" t="inlineStr">
        <is>
          <t>[0888] ENDUROGLOB 2T AIRE (1x12)</t>
        </is>
      </c>
      <c r="M1351" s="63" t="inlineStr">
        <is>
          <t>100,00</t>
        </is>
      </c>
      <c r="N1351" s="63" t="inlineStr">
        <is>
          <t>1,00</t>
        </is>
      </c>
      <c r="O1351" s="63" t="inlineStr">
        <is>
          <t>0,00</t>
        </is>
      </c>
      <c r="P1351" s="63" t="inlineStr">
        <is>
          <t>98,68</t>
        </is>
      </c>
      <c r="Q1351" s="63" t="inlineStr">
        <is>
          <t>114,47</t>
        </is>
      </c>
    </row>
    <row r="1352">
      <c r="A1352" s="66" t="n">
        <v>46141</v>
      </c>
      <c r="B1352" s="65" t="n">
        <v>26</v>
      </c>
      <c r="C1352" s="65" t="inlineStr">
        <is>
          <t>00-00000239</t>
        </is>
      </c>
      <c r="D1352" s="65" t="inlineStr">
        <is>
          <t>S00300</t>
        </is>
      </c>
      <c r="E1352" s="65" t="inlineStr">
        <is>
          <t>INVERSIONES ARCOSOL 21, C.A.</t>
        </is>
      </c>
      <c r="F1352" s="63" t="inlineStr">
        <is>
          <t>68.532,60</t>
        </is>
      </c>
      <c r="G1352" s="63" t="inlineStr">
        <is>
          <t>79.497,82</t>
        </is>
      </c>
      <c r="H1352" s="63" t="inlineStr">
        <is>
          <t>163,49</t>
        </is>
      </c>
      <c r="I1352" s="63" t="inlineStr">
        <is>
          <t>486,20</t>
        </is>
      </c>
      <c r="J1352" s="65" t="n">
        <v>212</v>
      </c>
      <c r="K1352" s="65" t="n">
        <v>915</v>
      </c>
      <c r="L1352" s="65" t="inlineStr">
        <is>
          <t>[0915] SINOCO SAE 50 (1x12)</t>
        </is>
      </c>
      <c r="M1352" s="63" t="inlineStr">
        <is>
          <t>70,69</t>
        </is>
      </c>
      <c r="N1352" s="63" t="inlineStr">
        <is>
          <t>1,00</t>
        </is>
      </c>
      <c r="O1352" s="63" t="inlineStr">
        <is>
          <t>0,00</t>
        </is>
      </c>
      <c r="P1352" s="63" t="inlineStr">
        <is>
          <t>70,48</t>
        </is>
      </c>
      <c r="Q1352" s="63" t="inlineStr">
        <is>
          <t>81,75</t>
        </is>
      </c>
    </row>
    <row r="1353">
      <c r="A1353" s="65" t="n"/>
      <c r="B1353" s="65" t="n"/>
      <c r="C1353" s="65" t="n"/>
      <c r="D1353" s="65" t="n"/>
      <c r="E1353" s="65" t="n"/>
      <c r="F1353" s="65" t="n"/>
      <c r="G1353" s="65" t="n"/>
      <c r="H1353" s="65" t="n"/>
      <c r="I1353" s="65" t="n"/>
      <c r="J1353" s="65" t="n">
        <v>399</v>
      </c>
      <c r="K1353" s="65" t="n"/>
      <c r="L1353" s="65" t="n"/>
      <c r="M1353" s="65" t="n"/>
      <c r="N1353" s="65" t="n"/>
      <c r="O1353" s="65" t="n"/>
      <c r="P1353" s="65" t="n"/>
      <c r="Q1353" s="65" t="n"/>
    </row>
    <row r="1354">
      <c r="A1354" s="65" t="n"/>
      <c r="B1354" s="65" t="n"/>
      <c r="C1354" s="65" t="n"/>
      <c r="D1354" s="65" t="n"/>
      <c r="E1354" s="65" t="n"/>
      <c r="F1354" s="65" t="n"/>
      <c r="G1354" s="65" t="n"/>
      <c r="H1354" s="65" t="n"/>
      <c r="I1354" s="65" t="n"/>
      <c r="J1354" s="65" t="n"/>
      <c r="K1354" s="65" t="n">
        <v>779</v>
      </c>
      <c r="L1354" s="65" t="inlineStr">
        <is>
          <t>[0779] SINOCO SAE 20W-50 (1x12)</t>
        </is>
      </c>
      <c r="M1354" s="63" t="inlineStr">
        <is>
          <t>70,69</t>
        </is>
      </c>
      <c r="N1354" s="63" t="inlineStr">
        <is>
          <t>1,00</t>
        </is>
      </c>
      <c r="O1354" s="63" t="inlineStr">
        <is>
          <t>0,00</t>
        </is>
      </c>
      <c r="P1354" s="63" t="inlineStr">
        <is>
          <t>70,48</t>
        </is>
      </c>
      <c r="Q1354" s="63" t="inlineStr">
        <is>
          <t>81,75</t>
        </is>
      </c>
    </row>
    <row r="1355">
      <c r="A1355" s="66" t="n">
        <v>46141</v>
      </c>
      <c r="B1355" s="65" t="n">
        <v>25</v>
      </c>
      <c r="C1355" s="65" t="inlineStr">
        <is>
          <t>00-00000238</t>
        </is>
      </c>
      <c r="D1355" s="65" t="inlineStr">
        <is>
          <t>S00284</t>
        </is>
      </c>
      <c r="E1355" s="65" t="inlineStr">
        <is>
          <t>SUPLIPARTES PARAISO, C.A</t>
        </is>
      </c>
      <c r="F1355" s="63" t="inlineStr">
        <is>
          <t>24.677,34</t>
        </is>
      </c>
      <c r="G1355" s="63" t="inlineStr">
        <is>
          <t>28.625,71</t>
        </is>
      </c>
      <c r="H1355" s="63" t="inlineStr">
        <is>
          <t>58,98</t>
        </is>
      </c>
      <c r="I1355" s="63" t="inlineStr">
        <is>
          <t>485,23</t>
        </is>
      </c>
      <c r="J1355" s="65" t="n">
        <v>206</v>
      </c>
      <c r="K1355" s="65" t="n">
        <v>561</v>
      </c>
      <c r="L1355" s="65" t="inlineStr">
        <is>
          <t>[0561] MEJORADOR DE OCTANAJE GLOBAL OIL PACK (1X12)</t>
        </is>
      </c>
      <c r="M1355" s="63" t="inlineStr">
        <is>
          <t>51,00</t>
        </is>
      </c>
      <c r="N1355" s="63" t="inlineStr">
        <is>
          <t>1,00</t>
        </is>
      </c>
      <c r="O1355" s="63" t="inlineStr">
        <is>
          <t>0,00</t>
        </is>
      </c>
      <c r="P1355" s="63" t="inlineStr">
        <is>
          <t>50,86</t>
        </is>
      </c>
      <c r="Q1355" s="63" t="inlineStr">
        <is>
          <t>58,99</t>
        </is>
      </c>
    </row>
    <row r="1356">
      <c r="A1356" s="66" t="n">
        <v>46140</v>
      </c>
      <c r="B1356" s="65" t="n">
        <v>24</v>
      </c>
      <c r="C1356" s="65" t="inlineStr">
        <is>
          <t>00-00000235</t>
        </is>
      </c>
      <c r="D1356" s="65" t="inlineStr">
        <is>
          <t>S00032</t>
        </is>
      </c>
      <c r="E1356" s="65" t="inlineStr">
        <is>
          <t>Ferretería JJ Martins c.a</t>
        </is>
      </c>
      <c r="F1356" s="63" t="inlineStr">
        <is>
          <t>37.257,80</t>
        </is>
      </c>
      <c r="G1356" s="63" t="inlineStr">
        <is>
          <t>43.219,05</t>
        </is>
      </c>
      <c r="H1356" s="63" t="inlineStr">
        <is>
          <t>91,07</t>
        </is>
      </c>
      <c r="I1356" s="63" t="inlineStr">
        <is>
          <t>474,53</t>
        </is>
      </c>
      <c r="J1356" s="65" t="n"/>
      <c r="K1356" s="65" t="n">
        <v>19</v>
      </c>
      <c r="L1356" s="65" t="inlineStr">
        <is>
          <t>[0019] ELITE API SN SAE 5W-40 (1x6)</t>
        </is>
      </c>
      <c r="M1356" s="63" t="inlineStr">
        <is>
          <t>43,53</t>
        </is>
      </c>
      <c r="N1356" s="63" t="inlineStr">
        <is>
          <t>2,00</t>
        </is>
      </c>
      <c r="O1356" s="63" t="inlineStr">
        <is>
          <t>0,00</t>
        </is>
      </c>
      <c r="P1356" s="63" t="inlineStr">
        <is>
          <t>78,51</t>
        </is>
      </c>
      <c r="Q1356" s="63" t="inlineStr">
        <is>
          <t>91,08</t>
        </is>
      </c>
    </row>
    <row r="1357">
      <c r="A1357" s="66" t="n">
        <v>46140</v>
      </c>
      <c r="B1357" s="65" t="n">
        <v>23</v>
      </c>
      <c r="C1357" s="65" t="inlineStr">
        <is>
          <t>00-00000234</t>
        </is>
      </c>
      <c r="D1357" s="65" t="inlineStr">
        <is>
          <t>S00262</t>
        </is>
      </c>
      <c r="E1357" s="65" t="inlineStr">
        <is>
          <t>Desarrollo Agrario Integral DAI Los Pucheros 13, C. A.</t>
        </is>
      </c>
      <c r="F1357" s="63" t="inlineStr">
        <is>
          <t>2.146.520,07</t>
        </is>
      </c>
      <c r="G1357" s="63" t="inlineStr">
        <is>
          <t>2.489.963,29</t>
        </is>
      </c>
      <c r="H1357" s="63" t="inlineStr">
        <is>
          <t>5.131,55</t>
        </is>
      </c>
      <c r="I1357" s="63" t="inlineStr">
        <is>
          <t>485,23</t>
        </is>
      </c>
      <c r="J1357" s="65" t="n">
        <v>243</v>
      </c>
      <c r="K1357" s="65" t="n">
        <v>146</v>
      </c>
      <c r="L1357" s="65" t="inlineStr">
        <is>
          <t>[0146] HIDRAGLOB AW/ISO 68 (Tambor)</t>
        </is>
      </c>
      <c r="M1357" s="63" t="inlineStr">
        <is>
          <t>1.101,68</t>
        </is>
      </c>
      <c r="N1357" s="63" t="inlineStr">
        <is>
          <t>3,00</t>
        </is>
      </c>
      <c r="O1357" s="63" t="inlineStr">
        <is>
          <t>0,00</t>
        </is>
      </c>
      <c r="P1357" s="63" t="inlineStr">
        <is>
          <t>3.292,18</t>
        </is>
      </c>
      <c r="Q1357" s="63" t="inlineStr">
        <is>
          <t>3.818,93</t>
        </is>
      </c>
    </row>
    <row r="1358">
      <c r="A1358" s="65" t="n"/>
      <c r="B1358" s="65" t="n"/>
      <c r="C1358" s="65" t="n"/>
      <c r="D1358" s="65" t="n"/>
      <c r="E1358" s="65" t="n"/>
      <c r="F1358" s="65" t="n"/>
      <c r="G1358" s="65" t="n"/>
      <c r="H1358" s="65" t="n"/>
      <c r="I1358" s="65" t="n"/>
      <c r="J1358" s="65" t="n"/>
      <c r="K1358" s="65" t="n">
        <v>85</v>
      </c>
      <c r="L1358" s="65" t="inlineStr">
        <is>
          <t>[0085] MAXIMO API CF SAE 50 (Tambor)</t>
        </is>
      </c>
      <c r="M1358" s="63" t="inlineStr">
        <is>
          <t>1.136,00</t>
        </is>
      </c>
      <c r="N1358" s="63" t="inlineStr">
        <is>
          <t>1,00</t>
        </is>
      </c>
      <c r="O1358" s="63" t="inlineStr">
        <is>
          <t>0,00</t>
        </is>
      </c>
      <c r="P1358" s="63" t="inlineStr">
        <is>
          <t>1.131,58</t>
        </is>
      </c>
      <c r="Q1358" s="63" t="inlineStr">
        <is>
          <t>1.312,63</t>
        </is>
      </c>
    </row>
    <row r="1359">
      <c r="A1359" s="66" t="n">
        <v>46129</v>
      </c>
      <c r="B1359" s="65" t="n">
        <v>22</v>
      </c>
      <c r="C1359" s="65" t="inlineStr">
        <is>
          <t>00-00000193</t>
        </is>
      </c>
      <c r="D1359" s="65" t="inlineStr">
        <is>
          <t>S00229</t>
        </is>
      </c>
      <c r="E1359" s="65" t="inlineStr">
        <is>
          <t>Devenalsa Deshidratadora Venezolana de Alimentos, S.A.</t>
        </is>
      </c>
      <c r="F1359" s="63" t="inlineStr">
        <is>
          <t>213.189,12</t>
        </is>
      </c>
      <c r="G1359" s="63" t="inlineStr">
        <is>
          <t>247.299,38</t>
        </is>
      </c>
      <c r="H1359" s="63" t="inlineStr">
        <is>
          <t>514,91</t>
        </is>
      </c>
      <c r="I1359" s="63" t="inlineStr">
        <is>
          <t>480,26</t>
        </is>
      </c>
      <c r="J1359" s="65" t="n">
        <v>139</v>
      </c>
      <c r="K1359" s="65" t="n">
        <v>73</v>
      </c>
      <c r="L1359" s="65" t="inlineStr">
        <is>
          <t>[0073] SUPREMO API CI-4 SAE 15W-40 (PAILA)</t>
        </is>
      </c>
      <c r="M1359" s="63" t="inlineStr">
        <is>
          <t>79,36</t>
        </is>
      </c>
      <c r="N1359" s="63" t="inlineStr">
        <is>
          <t>2,00</t>
        </is>
      </c>
      <c r="O1359" s="63" t="inlineStr">
        <is>
          <t>0,00</t>
        </is>
      </c>
      <c r="P1359" s="63" t="inlineStr">
        <is>
          <t>158,56</t>
        </is>
      </c>
      <c r="Q1359" s="63" t="inlineStr">
        <is>
          <t>183,93</t>
        </is>
      </c>
    </row>
    <row r="1360">
      <c r="A1360" s="65" t="n"/>
      <c r="B1360" s="65" t="n"/>
      <c r="C1360" s="65" t="n"/>
      <c r="D1360" s="65" t="n"/>
      <c r="E1360" s="65" t="n"/>
      <c r="F1360" s="65" t="n"/>
      <c r="G1360" s="65" t="n"/>
      <c r="H1360" s="65" t="n"/>
      <c r="I1360" s="65" t="n"/>
      <c r="J1360" s="65" t="n"/>
      <c r="K1360" s="65" t="n">
        <v>144</v>
      </c>
      <c r="L1360" s="65" t="inlineStr">
        <is>
          <t>[0144] HIDRAGLOB AW/ISO 68 (PAILA)</t>
        </is>
      </c>
      <c r="M1360" s="63" t="inlineStr">
        <is>
          <t>58,28</t>
        </is>
      </c>
      <c r="N1360" s="63" t="inlineStr">
        <is>
          <t>2,00</t>
        </is>
      </c>
      <c r="O1360" s="63" t="inlineStr">
        <is>
          <t>0,00</t>
        </is>
      </c>
      <c r="P1360" s="63" t="inlineStr">
        <is>
          <t>116,44</t>
        </is>
      </c>
      <c r="Q1360" s="63" t="inlineStr">
        <is>
          <t>135,07</t>
        </is>
      </c>
    </row>
    <row r="1361">
      <c r="A1361" s="65" t="n"/>
      <c r="B1361" s="65" t="n"/>
      <c r="C1361" s="65" t="n"/>
      <c r="D1361" s="65" t="n"/>
      <c r="E1361" s="65" t="n"/>
      <c r="F1361" s="65" t="n"/>
      <c r="G1361" s="65" t="n"/>
      <c r="H1361" s="65" t="n"/>
      <c r="I1361" s="65" t="n"/>
      <c r="J1361" s="65" t="n"/>
      <c r="K1361" s="65" t="n">
        <v>877</v>
      </c>
      <c r="L1361" s="65" t="inlineStr">
        <is>
          <t>[0877] SS EXTRA PROTECCION API SN SAE 15W-40 (1X12)</t>
        </is>
      </c>
      <c r="M1361" s="63" t="inlineStr">
        <is>
          <t>61,93</t>
        </is>
      </c>
      <c r="N1361" s="63" t="inlineStr">
        <is>
          <t>2,00</t>
        </is>
      </c>
      <c r="O1361" s="63" t="inlineStr">
        <is>
          <t>0,00</t>
        </is>
      </c>
      <c r="P1361" s="63" t="inlineStr">
        <is>
          <t>123,74</t>
        </is>
      </c>
      <c r="Q1361" s="63" t="inlineStr">
        <is>
          <t>143,53</t>
        </is>
      </c>
    </row>
    <row r="1362">
      <c r="A1362" s="65" t="n"/>
      <c r="B1362" s="65" t="n"/>
      <c r="C1362" s="65" t="n"/>
      <c r="D1362" s="65" t="n"/>
      <c r="E1362" s="65" t="n"/>
      <c r="F1362" s="65" t="n"/>
      <c r="G1362" s="65" t="n"/>
      <c r="H1362" s="65" t="n"/>
      <c r="I1362" s="65" t="n"/>
      <c r="J1362" s="65" t="n"/>
      <c r="K1362" s="65" t="n">
        <v>7</v>
      </c>
      <c r="L1362" s="65" t="inlineStr">
        <is>
          <t>[0007] ELITE API SN SAE 5W-20 (1x6)</t>
        </is>
      </c>
      <c r="M1362" s="63" t="inlineStr">
        <is>
          <t>45,21</t>
        </is>
      </c>
      <c r="N1362" s="63" t="inlineStr">
        <is>
          <t>1,00</t>
        </is>
      </c>
      <c r="O1362" s="63" t="inlineStr">
        <is>
          <t>0,00</t>
        </is>
      </c>
      <c r="P1362" s="63" t="inlineStr">
        <is>
          <t>45,16</t>
        </is>
      </c>
      <c r="Q1362" s="63" t="inlineStr">
        <is>
          <t>52,39</t>
        </is>
      </c>
    </row>
    <row r="1363">
      <c r="A1363" s="66" t="n">
        <v>46129</v>
      </c>
      <c r="B1363" s="65" t="n">
        <v>21</v>
      </c>
      <c r="C1363" s="65" t="inlineStr">
        <is>
          <t>00-00000191</t>
        </is>
      </c>
      <c r="D1363" s="65" t="inlineStr">
        <is>
          <t>S00239</t>
        </is>
      </c>
      <c r="E1363" s="65" t="inlineStr">
        <is>
          <t>JONNY DAVID BOLIVAR</t>
        </is>
      </c>
      <c r="F1363" s="63" t="inlineStr">
        <is>
          <t>26.908,81</t>
        </is>
      </c>
      <c r="G1363" s="63" t="inlineStr">
        <is>
          <t>31.214,22</t>
        </is>
      </c>
      <c r="H1363" s="63" t="inlineStr">
        <is>
          <t>64,98</t>
        </is>
      </c>
      <c r="I1363" s="63" t="inlineStr">
        <is>
          <t>480,26</t>
        </is>
      </c>
      <c r="J1363" s="65" t="n">
        <v>133</v>
      </c>
      <c r="K1363" s="65" t="n">
        <v>881</v>
      </c>
      <c r="L1363" s="65" t="inlineStr">
        <is>
          <t>[0881] CLASICO API SL SAE 20W-50 (1x12)</t>
        </is>
      </c>
      <c r="M1363" s="63" t="inlineStr">
        <is>
          <t>56,03</t>
        </is>
      </c>
      <c r="N1363" s="63" t="inlineStr">
        <is>
          <t>1,00</t>
        </is>
      </c>
      <c r="O1363" s="63" t="inlineStr">
        <is>
          <t>0,00</t>
        </is>
      </c>
      <c r="P1363" s="63" t="inlineStr">
        <is>
          <t>56,03</t>
        </is>
      </c>
      <c r="Q1363" s="63" t="inlineStr">
        <is>
          <t>64,99</t>
        </is>
      </c>
    </row>
    <row r="1364">
      <c r="A1364" s="66" t="n">
        <v>46129</v>
      </c>
      <c r="B1364" s="65" t="n">
        <v>20</v>
      </c>
      <c r="C1364" s="65" t="inlineStr">
        <is>
          <t>00-00000188</t>
        </is>
      </c>
      <c r="D1364" s="65" t="inlineStr">
        <is>
          <t>S00015</t>
        </is>
      </c>
      <c r="E1364" s="65" t="inlineStr">
        <is>
          <t>SERVICIOS Y MANTENIMIENTO SPACARS, C.A</t>
        </is>
      </c>
      <c r="F1364" s="63" t="inlineStr">
        <is>
          <t>333.348,59</t>
        </is>
      </c>
      <c r="G1364" s="63" t="inlineStr">
        <is>
          <t>386.684,37</t>
        </is>
      </c>
      <c r="H1364" s="63" t="inlineStr">
        <is>
          <t>814,85</t>
        </is>
      </c>
      <c r="I1364" s="63" t="inlineStr">
        <is>
          <t>474,53</t>
        </is>
      </c>
      <c r="J1364" s="65" t="n">
        <v>132</v>
      </c>
      <c r="K1364" s="65" t="n">
        <v>13</v>
      </c>
      <c r="L1364" s="65" t="inlineStr">
        <is>
          <t>[0013] ELITE API SN SAE 5W-30 (1x6)</t>
        </is>
      </c>
      <c r="M1364" s="63" t="inlineStr">
        <is>
          <t>36,95</t>
        </is>
      </c>
      <c r="N1364" s="63" t="inlineStr">
        <is>
          <t>4,00</t>
        </is>
      </c>
      <c r="O1364" s="63" t="inlineStr">
        <is>
          <t>0,00</t>
        </is>
      </c>
      <c r="P1364" s="63" t="inlineStr">
        <is>
          <t>147,78</t>
        </is>
      </c>
      <c r="Q1364" s="63" t="inlineStr">
        <is>
          <t>171,43</t>
        </is>
      </c>
    </row>
    <row r="1365">
      <c r="A1365" s="65" t="n"/>
      <c r="B1365" s="65" t="n"/>
      <c r="C1365" s="65" t="n"/>
      <c r="D1365" s="65" t="n"/>
      <c r="E1365" s="65" t="n"/>
      <c r="F1365" s="65" t="n"/>
      <c r="G1365" s="65" t="n"/>
      <c r="H1365" s="65" t="n"/>
      <c r="I1365" s="65" t="n"/>
      <c r="J1365" s="65" t="n"/>
      <c r="K1365" s="65" t="n">
        <v>7</v>
      </c>
      <c r="L1365" s="65" t="inlineStr">
        <is>
          <t>[0007] ELITE API SN SAE 5W-20 (1x6)</t>
        </is>
      </c>
      <c r="M1365" s="63" t="inlineStr">
        <is>
          <t>36,95</t>
        </is>
      </c>
      <c r="N1365" s="63" t="inlineStr">
        <is>
          <t>4,00</t>
        </is>
      </c>
      <c r="O1365" s="63" t="inlineStr">
        <is>
          <t>0,00</t>
        </is>
      </c>
      <c r="P1365" s="63" t="inlineStr">
        <is>
          <t>147,78</t>
        </is>
      </c>
      <c r="Q1365" s="63" t="inlineStr">
        <is>
          <t>171,43</t>
        </is>
      </c>
    </row>
    <row r="1366">
      <c r="A1366" s="65" t="n"/>
      <c r="B1366" s="65" t="n"/>
      <c r="C1366" s="65" t="n"/>
      <c r="D1366" s="65" t="n"/>
      <c r="E1366" s="65" t="n"/>
      <c r="F1366" s="65" t="n"/>
      <c r="G1366" s="65" t="n"/>
      <c r="H1366" s="65" t="n"/>
      <c r="I1366" s="65" t="n"/>
      <c r="J1366" s="65" t="n"/>
      <c r="K1366" s="65" t="n">
        <v>877</v>
      </c>
      <c r="L1366" s="65" t="inlineStr">
        <is>
          <t>[0877] SS EXTRA PROTECCION API SN SAE 15W-40 (1X12)</t>
        </is>
      </c>
      <c r="M1366" s="63" t="inlineStr">
        <is>
          <t>61,42</t>
        </is>
      </c>
      <c r="N1366" s="63" t="inlineStr">
        <is>
          <t>5,00</t>
        </is>
      </c>
      <c r="O1366" s="63" t="inlineStr">
        <is>
          <t>0,00</t>
        </is>
      </c>
      <c r="P1366" s="63" t="inlineStr">
        <is>
          <t>307,10</t>
        </is>
      </c>
      <c r="Q1366" s="63" t="inlineStr">
        <is>
          <t>356,24</t>
        </is>
      </c>
    </row>
    <row r="1367">
      <c r="A1367" s="65" t="n"/>
      <c r="B1367" s="65" t="n"/>
      <c r="C1367" s="65" t="n"/>
      <c r="D1367" s="65" t="n"/>
      <c r="E1367" s="65" t="n"/>
      <c r="F1367" s="65" t="n"/>
      <c r="G1367" s="65" t="n"/>
      <c r="H1367" s="65" t="n"/>
      <c r="I1367" s="65" t="n"/>
      <c r="J1367" s="65" t="n"/>
      <c r="K1367" s="65" t="n">
        <v>880</v>
      </c>
      <c r="L1367" s="65" t="inlineStr">
        <is>
          <t>[0880] CLASICO API SL SAE 15W-40 (1x12)</t>
        </is>
      </c>
      <c r="M1367" s="63" t="inlineStr">
        <is>
          <t>49,90</t>
        </is>
      </c>
      <c r="N1367" s="63" t="inlineStr">
        <is>
          <t>2,00</t>
        </is>
      </c>
      <c r="O1367" s="63" t="inlineStr">
        <is>
          <t>0,00</t>
        </is>
      </c>
      <c r="P1367" s="63" t="inlineStr">
        <is>
          <t>99,80</t>
        </is>
      </c>
      <c r="Q1367" s="63" t="inlineStr">
        <is>
          <t>115,77</t>
        </is>
      </c>
    </row>
    <row r="1368">
      <c r="A1368" s="66" t="n">
        <v>46127</v>
      </c>
      <c r="B1368" s="65" t="n">
        <v>19</v>
      </c>
      <c r="C1368" s="65" t="inlineStr">
        <is>
          <t>00-00000179</t>
        </is>
      </c>
      <c r="D1368" s="65" t="inlineStr">
        <is>
          <t>S00225</t>
        </is>
      </c>
      <c r="E1368" s="65" t="inlineStr">
        <is>
          <t>CONSTRUCTORA GRANO AGREGADO, C.A</t>
        </is>
      </c>
      <c r="F1368" s="63" t="inlineStr">
        <is>
          <t>1.646.797,53</t>
        </is>
      </c>
      <c r="G1368" s="63" t="inlineStr">
        <is>
          <t>1.910.285,13</t>
        </is>
      </c>
      <c r="H1368" s="63" t="inlineStr">
        <is>
          <t>3.991,54</t>
        </is>
      </c>
      <c r="I1368" s="63" t="inlineStr">
        <is>
          <t>478,58</t>
        </is>
      </c>
      <c r="J1368" s="65" t="n">
        <v>493</v>
      </c>
      <c r="K1368" s="65" t="n">
        <v>144</v>
      </c>
      <c r="L1368" s="65" t="inlineStr">
        <is>
          <t>[0144] HIDRAGLOB AW/ISO 68 (PAILA)</t>
        </is>
      </c>
      <c r="M1368" s="63" t="inlineStr">
        <is>
          <t>94,00</t>
        </is>
      </c>
      <c r="N1368" s="63" t="inlineStr">
        <is>
          <t>11,00</t>
        </is>
      </c>
      <c r="O1368" s="63" t="inlineStr">
        <is>
          <t>0,00</t>
        </is>
      </c>
      <c r="P1368" s="63" t="inlineStr">
        <is>
          <t>1.034,00</t>
        </is>
      </c>
      <c r="Q1368" s="63" t="inlineStr">
        <is>
          <t>1.199,44</t>
        </is>
      </c>
    </row>
    <row r="1369">
      <c r="A1369" s="65" t="n"/>
      <c r="B1369" s="65" t="n"/>
      <c r="C1369" s="65" t="n"/>
      <c r="D1369" s="65" t="n"/>
      <c r="E1369" s="65" t="n"/>
      <c r="F1369" s="65" t="n"/>
      <c r="G1369" s="65" t="n"/>
      <c r="H1369" s="65" t="n"/>
      <c r="I1369" s="65" t="n"/>
      <c r="J1369" s="65" t="n"/>
      <c r="K1369" s="65" t="n">
        <v>85</v>
      </c>
      <c r="L1369" s="65" t="inlineStr">
        <is>
          <t>[0085] MAXIMO API CF SAE 50 (Tambor)</t>
        </is>
      </c>
      <c r="M1369" s="63" t="inlineStr">
        <is>
          <t>1.136,00</t>
        </is>
      </c>
      <c r="N1369" s="63" t="inlineStr">
        <is>
          <t>1,00</t>
        </is>
      </c>
      <c r="O1369" s="63" t="inlineStr">
        <is>
          <t>0,00</t>
        </is>
      </c>
      <c r="P1369" s="63" t="inlineStr">
        <is>
          <t>1.136,00</t>
        </is>
      </c>
      <c r="Q1369" s="63" t="inlineStr">
        <is>
          <t>1.317,76</t>
        </is>
      </c>
    </row>
    <row r="1370">
      <c r="A1370" s="65" t="n"/>
      <c r="B1370" s="65" t="n"/>
      <c r="C1370" s="65" t="n"/>
      <c r="D1370" s="65" t="n"/>
      <c r="E1370" s="65" t="n"/>
      <c r="F1370" s="65" t="n"/>
      <c r="G1370" s="65" t="n"/>
      <c r="H1370" s="65" t="n"/>
      <c r="I1370" s="65" t="n"/>
      <c r="J1370" s="65" t="n"/>
      <c r="K1370" s="65" t="n">
        <v>75</v>
      </c>
      <c r="L1370" s="65" t="inlineStr">
        <is>
          <t>[0075] SUPREMO API CI-4 SAE 15W-40 (Tambor)</t>
        </is>
      </c>
      <c r="M1370" s="63" t="inlineStr">
        <is>
          <t>1.271,00</t>
        </is>
      </c>
      <c r="N1370" s="63" t="inlineStr">
        <is>
          <t>1,00</t>
        </is>
      </c>
      <c r="O1370" s="63" t="inlineStr">
        <is>
          <t>0,00</t>
        </is>
      </c>
      <c r="P1370" s="63" t="inlineStr">
        <is>
          <t>1.271,00</t>
        </is>
      </c>
      <c r="Q1370" s="63" t="inlineStr">
        <is>
          <t>1.474,36</t>
        </is>
      </c>
    </row>
    <row r="1371">
      <c r="A1371" s="66" t="n">
        <v>46127</v>
      </c>
      <c r="B1371" s="65" t="n">
        <v>18</v>
      </c>
      <c r="C1371" s="65" t="inlineStr">
        <is>
          <t>00-00000173</t>
        </is>
      </c>
      <c r="D1371" s="65" t="inlineStr">
        <is>
          <t>S00064</t>
        </is>
      </c>
      <c r="E1371" s="65" t="inlineStr">
        <is>
          <t>VAL VAL 16 C.A</t>
        </is>
      </c>
      <c r="F1371" s="63" t="inlineStr">
        <is>
          <t>64.063,62</t>
        </is>
      </c>
      <c r="G1371" s="63" t="inlineStr">
        <is>
          <t>74.313,80</t>
        </is>
      </c>
      <c r="H1371" s="63" t="inlineStr">
        <is>
          <t>155,26</t>
        </is>
      </c>
      <c r="I1371" s="63" t="inlineStr">
        <is>
          <t>478,58</t>
        </is>
      </c>
      <c r="J1371" s="65" t="n"/>
      <c r="K1371" s="65" t="n">
        <v>775</v>
      </c>
      <c r="L1371" s="65" t="inlineStr">
        <is>
          <t>[0775] LIGA PARA FRENOS DOT-4 (1X12)</t>
        </is>
      </c>
      <c r="M1371" s="63" t="inlineStr">
        <is>
          <t>28,77</t>
        </is>
      </c>
      <c r="N1371" s="63" t="inlineStr">
        <is>
          <t>2,00</t>
        </is>
      </c>
      <c r="O1371" s="63" t="inlineStr">
        <is>
          <t>0,00</t>
        </is>
      </c>
      <c r="P1371" s="63" t="inlineStr">
        <is>
          <t>52,45</t>
        </is>
      </c>
      <c r="Q1371" s="63" t="inlineStr">
        <is>
          <t>60,84</t>
        </is>
      </c>
    </row>
    <row r="1372">
      <c r="A1372" s="65" t="n"/>
      <c r="B1372" s="65" t="n"/>
      <c r="C1372" s="65" t="n"/>
      <c r="D1372" s="65" t="n"/>
      <c r="E1372" s="65" t="n"/>
      <c r="F1372" s="65" t="n"/>
      <c r="G1372" s="65" t="n"/>
      <c r="H1372" s="65" t="n"/>
      <c r="I1372" s="65" t="n"/>
      <c r="J1372" s="65" t="n"/>
      <c r="K1372" s="65" t="n">
        <v>774</v>
      </c>
      <c r="L1372" s="65" t="inlineStr">
        <is>
          <t>[0774] LIGA PARA FRENOS DOT-4 (1X6)</t>
        </is>
      </c>
      <c r="M1372" s="63" t="inlineStr">
        <is>
          <t>44,66</t>
        </is>
      </c>
      <c r="N1372" s="63" t="inlineStr">
        <is>
          <t>2,00</t>
        </is>
      </c>
      <c r="O1372" s="63" t="inlineStr">
        <is>
          <t>0,00</t>
        </is>
      </c>
      <c r="P1372" s="63" t="inlineStr">
        <is>
          <t>81,42</t>
        </is>
      </c>
      <c r="Q1372" s="63" t="inlineStr">
        <is>
          <t>94,44</t>
        </is>
      </c>
    </row>
    <row r="1373">
      <c r="A1373" s="66" t="n">
        <v>46122</v>
      </c>
      <c r="B1373" s="65" t="n">
        <v>17</v>
      </c>
      <c r="C1373" s="65" t="inlineStr">
        <is>
          <t>00-00000153</t>
        </is>
      </c>
      <c r="D1373" s="65" t="inlineStr">
        <is>
          <t>S00183</t>
        </is>
      </c>
      <c r="E1373" s="65" t="inlineStr">
        <is>
          <t>AREA58 2022, C.A.</t>
        </is>
      </c>
      <c r="F1373" s="63" t="inlineStr">
        <is>
          <t>481.026,35</t>
        </is>
      </c>
      <c r="G1373" s="63" t="inlineStr">
        <is>
          <t>557.990,57</t>
        </is>
      </c>
      <c r="H1373" s="63" t="inlineStr">
        <is>
          <t>1.171,17</t>
        </is>
      </c>
      <c r="I1373" s="63" t="inlineStr">
        <is>
          <t>476,43</t>
        </is>
      </c>
      <c r="J1373" s="65" t="n">
        <v>496</v>
      </c>
      <c r="K1373" s="65" t="n">
        <v>139</v>
      </c>
      <c r="L1373" s="65" t="inlineStr">
        <is>
          <t>[0139] HIDRAGLOB AW/ISO 46 (PAILA)</t>
        </is>
      </c>
      <c r="M1373" s="63" t="inlineStr">
        <is>
          <t>145,00</t>
        </is>
      </c>
      <c r="N1373" s="63" t="inlineStr">
        <is>
          <t>7,00</t>
        </is>
      </c>
      <c r="O1373" s="63" t="inlineStr">
        <is>
          <t>0,00</t>
        </is>
      </c>
      <c r="P1373" s="63" t="inlineStr">
        <is>
          <t>1.009,64</t>
        </is>
      </c>
      <c r="Q1373" s="63" t="inlineStr">
        <is>
          <t>1.171,18</t>
        </is>
      </c>
    </row>
    <row r="1374">
      <c r="A1374" s="66" t="n">
        <v>46121</v>
      </c>
      <c r="B1374" s="65" t="n">
        <v>16</v>
      </c>
      <c r="C1374" s="65" t="inlineStr">
        <is>
          <t>00-00000149</t>
        </is>
      </c>
      <c r="D1374" s="65" t="inlineStr">
        <is>
          <t>S00195</t>
        </is>
      </c>
      <c r="E1374" s="65" t="inlineStr">
        <is>
          <t>Paola M. Aguilera Z.</t>
        </is>
      </c>
      <c r="F1374" s="63" t="inlineStr">
        <is>
          <t>279.335,16</t>
        </is>
      </c>
      <c r="G1374" s="63" t="inlineStr">
        <is>
          <t>324.028,79</t>
        </is>
      </c>
      <c r="H1374" s="63" t="inlineStr">
        <is>
          <t>680,77</t>
        </is>
      </c>
      <c r="I1374" s="63" t="inlineStr">
        <is>
          <t>475,96</t>
        </is>
      </c>
      <c r="J1374" s="65" t="n">
        <v>370</v>
      </c>
      <c r="K1374" s="65" t="n">
        <v>144</v>
      </c>
      <c r="L1374" s="65" t="inlineStr">
        <is>
          <t>[0144] HIDRAGLOB AW/ISO 68 (PAILA)</t>
        </is>
      </c>
      <c r="M1374" s="63" t="inlineStr">
        <is>
          <t>56,31</t>
        </is>
      </c>
      <c r="N1374" s="63" t="inlineStr">
        <is>
          <t>8,00</t>
        </is>
      </c>
      <c r="O1374" s="63" t="inlineStr">
        <is>
          <t>0,00</t>
        </is>
      </c>
      <c r="P1374" s="63" t="inlineStr">
        <is>
          <t>450,48</t>
        </is>
      </c>
      <c r="Q1374" s="63" t="inlineStr">
        <is>
          <t>522,56</t>
        </is>
      </c>
    </row>
    <row r="1375">
      <c r="A1375" s="65" t="n"/>
      <c r="B1375" s="65" t="n"/>
      <c r="C1375" s="65" t="n"/>
      <c r="D1375" s="65" t="n"/>
      <c r="E1375" s="65" t="n"/>
      <c r="F1375" s="65" t="n"/>
      <c r="G1375" s="65" t="n"/>
      <c r="H1375" s="65" t="n"/>
      <c r="I1375" s="65" t="n"/>
      <c r="J1375" s="65" t="n"/>
      <c r="K1375" s="65" t="n">
        <v>83</v>
      </c>
      <c r="L1375" s="65" t="inlineStr">
        <is>
          <t>[0083] MAXIMO API CF SAE 50 (PAILA)</t>
        </is>
      </c>
      <c r="M1375" s="63" t="inlineStr">
        <is>
          <t>67,41</t>
        </is>
      </c>
      <c r="N1375" s="63" t="inlineStr">
        <is>
          <t>1,00</t>
        </is>
      </c>
      <c r="O1375" s="63" t="inlineStr">
        <is>
          <t>0,00</t>
        </is>
      </c>
      <c r="P1375" s="63" t="inlineStr">
        <is>
          <t>67,41</t>
        </is>
      </c>
      <c r="Q1375" s="63" t="inlineStr">
        <is>
          <t>78,20</t>
        </is>
      </c>
    </row>
    <row r="1376">
      <c r="A1376" s="65" t="n"/>
      <c r="B1376" s="65" t="n"/>
      <c r="C1376" s="65" t="n"/>
      <c r="D1376" s="65" t="n"/>
      <c r="E1376" s="65" t="n"/>
      <c r="F1376" s="65" t="n"/>
      <c r="G1376" s="65" t="n"/>
      <c r="H1376" s="65" t="n"/>
      <c r="I1376" s="65" t="n"/>
      <c r="J1376" s="65" t="n"/>
      <c r="K1376" s="65" t="n">
        <v>883</v>
      </c>
      <c r="L1376" s="65" t="inlineStr">
        <is>
          <t>[0883] GRASA GLOBAL AZUL AZ 95 (PAILA)</t>
        </is>
      </c>
      <c r="M1376" s="63" t="inlineStr">
        <is>
          <t>69,00</t>
        </is>
      </c>
      <c r="N1376" s="63" t="inlineStr">
        <is>
          <t>1,00</t>
        </is>
      </c>
      <c r="O1376" s="63" t="inlineStr">
        <is>
          <t>0,00</t>
        </is>
      </c>
      <c r="P1376" s="63" t="inlineStr">
        <is>
          <t>69,00</t>
        </is>
      </c>
      <c r="Q1376" s="63" t="inlineStr">
        <is>
          <t>80,04</t>
        </is>
      </c>
    </row>
    <row r="1377">
      <c r="A1377" s="66" t="n">
        <v>46121</v>
      </c>
      <c r="B1377" s="65" t="n">
        <v>15</v>
      </c>
      <c r="C1377" s="65" t="inlineStr">
        <is>
          <t>00-00000148</t>
        </is>
      </c>
      <c r="D1377" s="65" t="inlineStr">
        <is>
          <t>S00188</t>
        </is>
      </c>
      <c r="E1377" s="65" t="inlineStr">
        <is>
          <t>EMPRENDIMIENTO IRMA RODRIGUEZ 6</t>
        </is>
      </c>
      <c r="F1377" s="63" t="inlineStr">
        <is>
          <t>58.709,32</t>
        </is>
      </c>
      <c r="G1377" s="63" t="inlineStr">
        <is>
          <t>68.102,81</t>
        </is>
      </c>
      <c r="H1377" s="63" t="inlineStr">
        <is>
          <t>143,07</t>
        </is>
      </c>
      <c r="I1377" s="63" t="inlineStr">
        <is>
          <t>475,96</t>
        </is>
      </c>
      <c r="J1377" s="65" t="n">
        <v>55</v>
      </c>
      <c r="K1377" s="65" t="n">
        <v>121</v>
      </c>
      <c r="L1377" s="65" t="inlineStr">
        <is>
          <t>[0121] TRANSGLOB API GL-5 SAE 80W-90 (1x6)</t>
        </is>
      </c>
      <c r="M1377" s="63" t="inlineStr">
        <is>
          <t>30,93</t>
        </is>
      </c>
      <c r="N1377" s="63" t="inlineStr">
        <is>
          <t>4,00</t>
        </is>
      </c>
      <c r="O1377" s="63" t="inlineStr">
        <is>
          <t>0,00</t>
        </is>
      </c>
      <c r="P1377" s="63" t="inlineStr">
        <is>
          <t>123,35</t>
        </is>
      </c>
      <c r="Q1377" s="63" t="inlineStr">
        <is>
          <t>143,09</t>
        </is>
      </c>
    </row>
    <row r="1378">
      <c r="A1378" s="66" t="n">
        <v>46108</v>
      </c>
      <c r="B1378" s="65" t="n">
        <v>14</v>
      </c>
      <c r="C1378" s="65" t="inlineStr">
        <is>
          <t>00-00000121</t>
        </is>
      </c>
      <c r="D1378" s="65" t="inlineStr">
        <is>
          <t>S00137</t>
        </is>
      </c>
      <c r="E1378" s="65" t="inlineStr">
        <is>
          <t>FREDI MARQUEZ</t>
        </is>
      </c>
      <c r="F1378" s="63" t="inlineStr">
        <is>
          <t>52.473,62</t>
        </is>
      </c>
      <c r="G1378" s="63" t="inlineStr">
        <is>
          <t>60.869,40</t>
        </is>
      </c>
      <c r="H1378" s="63" t="inlineStr">
        <is>
          <t>129,91</t>
        </is>
      </c>
      <c r="I1378" s="63" t="inlineStr">
        <is>
          <t>468,51</t>
        </is>
      </c>
      <c r="J1378" s="65" t="n"/>
      <c r="K1378" s="65" t="n">
        <v>602</v>
      </c>
      <c r="L1378" s="65" t="inlineStr">
        <is>
          <t>[0602] SINOCO SAE 50 (PAILA)</t>
        </is>
      </c>
      <c r="M1378" s="63" t="inlineStr">
        <is>
          <t>56,00</t>
        </is>
      </c>
      <c r="N1378" s="63" t="inlineStr">
        <is>
          <t>2,00</t>
        </is>
      </c>
      <c r="O1378" s="63" t="inlineStr">
        <is>
          <t>0,00</t>
        </is>
      </c>
      <c r="P1378" s="63" t="inlineStr">
        <is>
          <t>112,00</t>
        </is>
      </c>
      <c r="Q1378" s="63" t="inlineStr">
        <is>
          <t>129,92</t>
        </is>
      </c>
    </row>
    <row r="1379">
      <c r="A1379" s="65" t="n"/>
      <c r="B1379" s="65" t="n"/>
      <c r="C1379" s="65" t="n"/>
      <c r="D1379" s="65" t="n"/>
      <c r="E1379" s="65" t="n"/>
      <c r="F1379" s="65" t="n"/>
      <c r="G1379" s="65" t="n"/>
      <c r="H1379" s="65" t="n"/>
      <c r="I1379" s="65" t="n"/>
      <c r="J1379" s="65" t="n"/>
      <c r="K1379" s="65" t="n"/>
      <c r="L1379" s="65" t="n"/>
      <c r="M1379" s="63" t="inlineStr">
        <is>
          <t>0,00</t>
        </is>
      </c>
      <c r="N1379" s="63" t="inlineStr">
        <is>
          <t>0,00</t>
        </is>
      </c>
      <c r="O1379" s="63" t="inlineStr">
        <is>
          <t>0,00</t>
        </is>
      </c>
      <c r="P1379" s="63" t="inlineStr">
        <is>
          <t>0,00</t>
        </is>
      </c>
      <c r="Q1379" s="63" t="inlineStr">
        <is>
          <t>0,00</t>
        </is>
      </c>
    </row>
    <row r="1380">
      <c r="A1380" s="66" t="n">
        <v>46106</v>
      </c>
      <c r="B1380" s="65" t="n">
        <v>13</v>
      </c>
      <c r="C1380" s="65" t="inlineStr">
        <is>
          <t>00-00000105</t>
        </is>
      </c>
      <c r="D1380" s="65" t="inlineStr">
        <is>
          <t>S00119</t>
        </is>
      </c>
      <c r="E1380" s="65" t="inlineStr">
        <is>
          <t>EMPRENDIMIENTO IRMA RODRIGUEZ 6</t>
        </is>
      </c>
      <c r="F1380" s="63" t="inlineStr">
        <is>
          <t>78.570,40</t>
        </is>
      </c>
      <c r="G1380" s="63" t="inlineStr">
        <is>
          <t>91.141,67</t>
        </is>
      </c>
      <c r="H1380" s="63" t="inlineStr">
        <is>
          <t>196,98</t>
        </is>
      </c>
      <c r="I1380" s="63" t="inlineStr">
        <is>
          <t>462,67</t>
        </is>
      </c>
      <c r="J1380" s="65" t="n"/>
      <c r="K1380" s="65" t="n">
        <v>121</v>
      </c>
      <c r="L1380" s="65" t="inlineStr">
        <is>
          <t>[0121] TRANSGLOB API GL-5 SAE 80W-90 (1x6)</t>
        </is>
      </c>
      <c r="M1380" s="63" t="inlineStr">
        <is>
          <t>25,91</t>
        </is>
      </c>
      <c r="N1380" s="63" t="inlineStr">
        <is>
          <t>2,00</t>
        </is>
      </c>
      <c r="O1380" s="63" t="inlineStr">
        <is>
          <t>0,00</t>
        </is>
      </c>
      <c r="P1380" s="63" t="inlineStr">
        <is>
          <t>51,82</t>
        </is>
      </c>
      <c r="Q1380" s="63" t="inlineStr">
        <is>
          <t>60,11</t>
        </is>
      </c>
    </row>
    <row r="1381">
      <c r="A1381" s="65" t="n"/>
      <c r="B1381" s="65" t="n"/>
      <c r="C1381" s="65" t="n"/>
      <c r="D1381" s="65" t="n"/>
      <c r="E1381" s="65" t="n"/>
      <c r="F1381" s="65" t="n"/>
      <c r="G1381" s="65" t="n"/>
      <c r="H1381" s="65" t="n"/>
      <c r="I1381" s="65" t="n"/>
      <c r="J1381" s="65" t="n"/>
      <c r="K1381" s="65" t="n">
        <v>602</v>
      </c>
      <c r="L1381" s="65" t="inlineStr">
        <is>
          <t>[0602] SINOCO SAE 50 (PAILA)</t>
        </is>
      </c>
      <c r="M1381" s="63" t="inlineStr">
        <is>
          <t>59,00</t>
        </is>
      </c>
      <c r="N1381" s="63" t="inlineStr">
        <is>
          <t>2,00</t>
        </is>
      </c>
      <c r="O1381" s="63" t="inlineStr">
        <is>
          <t>0,00</t>
        </is>
      </c>
      <c r="P1381" s="63" t="inlineStr">
        <is>
          <t>118,00</t>
        </is>
      </c>
      <c r="Q1381" s="63" t="inlineStr">
        <is>
          <t>136,88</t>
        </is>
      </c>
    </row>
    <row r="1382">
      <c r="A1382" s="66" t="n">
        <v>46106</v>
      </c>
      <c r="B1382" s="65" t="n">
        <v>12</v>
      </c>
      <c r="C1382" s="65" t="inlineStr">
        <is>
          <t>00-00000104</t>
        </is>
      </c>
      <c r="D1382" s="65" t="inlineStr">
        <is>
          <t>S00030</t>
        </is>
      </c>
      <c r="E1382" s="65" t="inlineStr">
        <is>
          <t>HIDRAULICAS CAICEDO C.A.</t>
        </is>
      </c>
      <c r="F1382" s="63" t="inlineStr">
        <is>
          <t>58.232,21</t>
        </is>
      </c>
      <c r="G1382" s="63" t="inlineStr">
        <is>
          <t>67.549,37</t>
        </is>
      </c>
      <c r="H1382" s="63" t="inlineStr">
        <is>
          <t>145,98</t>
        </is>
      </c>
      <c r="I1382" s="63" t="inlineStr">
        <is>
          <t>462,67</t>
        </is>
      </c>
      <c r="J1382" s="65" t="n"/>
      <c r="K1382" s="65" t="n">
        <v>775</v>
      </c>
      <c r="L1382" s="65" t="inlineStr">
        <is>
          <t>[0775] LIGA PARA FRENOS DOT-4 (1X12)</t>
        </is>
      </c>
      <c r="M1382" s="63" t="inlineStr">
        <is>
          <t>25,00</t>
        </is>
      </c>
      <c r="N1382" s="63" t="inlineStr">
        <is>
          <t>1,00</t>
        </is>
      </c>
      <c r="O1382" s="63" t="inlineStr">
        <is>
          <t>0,00</t>
        </is>
      </c>
      <c r="P1382" s="63" t="inlineStr">
        <is>
          <t>25,00</t>
        </is>
      </c>
      <c r="Q1382" s="63" t="inlineStr">
        <is>
          <t>29,00</t>
        </is>
      </c>
    </row>
    <row r="1383">
      <c r="A1383" s="65" t="n"/>
      <c r="B1383" s="65" t="n"/>
      <c r="C1383" s="65" t="n"/>
      <c r="D1383" s="65" t="n"/>
      <c r="E1383" s="65" t="n"/>
      <c r="F1383" s="65" t="n"/>
      <c r="G1383" s="65" t="n"/>
      <c r="H1383" s="65" t="n"/>
      <c r="I1383" s="65" t="n"/>
      <c r="J1383" s="65" t="n"/>
      <c r="K1383" s="65" t="n"/>
      <c r="L1383" s="65" t="n"/>
      <c r="M1383" s="63" t="inlineStr">
        <is>
          <t>0,00</t>
        </is>
      </c>
      <c r="N1383" s="63" t="inlineStr">
        <is>
          <t>0,00</t>
        </is>
      </c>
      <c r="O1383" s="63" t="inlineStr">
        <is>
          <t>0,00</t>
        </is>
      </c>
      <c r="P1383" s="63" t="inlineStr">
        <is>
          <t>0,00</t>
        </is>
      </c>
      <c r="Q1383" s="63" t="inlineStr">
        <is>
          <t>0,00</t>
        </is>
      </c>
    </row>
    <row r="1384">
      <c r="A1384" s="65" t="n"/>
      <c r="B1384" s="65" t="n"/>
      <c r="C1384" s="65" t="n"/>
      <c r="D1384" s="65" t="n"/>
      <c r="E1384" s="65" t="n"/>
      <c r="F1384" s="65" t="n"/>
      <c r="G1384" s="65" t="n"/>
      <c r="H1384" s="65" t="n"/>
      <c r="I1384" s="65" t="n"/>
      <c r="J1384" s="65" t="n"/>
      <c r="K1384" s="65" t="n">
        <v>779</v>
      </c>
      <c r="L1384" s="65" t="inlineStr">
        <is>
          <t>[0779] SINOCO SAE 20W-50 (1x12)</t>
        </is>
      </c>
      <c r="M1384" s="63" t="inlineStr">
        <is>
          <t>42,86</t>
        </is>
      </c>
      <c r="N1384" s="63" t="inlineStr">
        <is>
          <t>1,00</t>
        </is>
      </c>
      <c r="O1384" s="63" t="inlineStr">
        <is>
          <t>0,00</t>
        </is>
      </c>
      <c r="P1384" s="63" t="inlineStr">
        <is>
          <t>42,86</t>
        </is>
      </c>
      <c r="Q1384" s="63" t="inlineStr">
        <is>
          <t>49,72</t>
        </is>
      </c>
    </row>
    <row r="1385">
      <c r="A1385" s="65" t="n"/>
      <c r="B1385" s="65" t="n"/>
      <c r="C1385" s="65" t="n"/>
      <c r="D1385" s="65" t="n"/>
      <c r="E1385" s="65" t="n"/>
      <c r="F1385" s="65" t="n"/>
      <c r="G1385" s="65" t="n"/>
      <c r="H1385" s="65" t="n"/>
      <c r="I1385" s="65" t="n"/>
      <c r="J1385" s="65" t="n"/>
      <c r="K1385" s="65" t="n">
        <v>884</v>
      </c>
      <c r="L1385" s="65" t="inlineStr">
        <is>
          <t>[0884] TRANSMATIC ATF DEXRON III (1x12)</t>
        </is>
      </c>
      <c r="M1385" s="63" t="inlineStr">
        <is>
          <t>63,04</t>
        </is>
      </c>
      <c r="N1385" s="63" t="inlineStr">
        <is>
          <t>1,00</t>
        </is>
      </c>
      <c r="O1385" s="63" t="inlineStr">
        <is>
          <t>0,00</t>
        </is>
      </c>
      <c r="P1385" s="63" t="inlineStr">
        <is>
          <t>58,00</t>
        </is>
      </c>
      <c r="Q1385" s="63" t="inlineStr">
        <is>
          <t>67,28</t>
        </is>
      </c>
    </row>
    <row r="1386">
      <c r="A1386" s="66" t="n">
        <v>46106</v>
      </c>
      <c r="B1386" s="65" t="n">
        <v>11</v>
      </c>
      <c r="C1386" s="65" t="inlineStr">
        <is>
          <t>00-00000103</t>
        </is>
      </c>
      <c r="D1386" s="65" t="inlineStr">
        <is>
          <t>S00108</t>
        </is>
      </c>
      <c r="E1386" s="65" t="inlineStr">
        <is>
          <t>HIDRAULICAS CAICEDO C.A.</t>
        </is>
      </c>
      <c r="F1386" s="63" t="inlineStr">
        <is>
          <t>43.884,13</t>
        </is>
      </c>
      <c r="G1386" s="63" t="inlineStr">
        <is>
          <t>50.905,59</t>
        </is>
      </c>
      <c r="H1386" s="63" t="inlineStr">
        <is>
          <t>110,02</t>
        </is>
      </c>
      <c r="I1386" s="63" t="inlineStr">
        <is>
          <t>462,67</t>
        </is>
      </c>
      <c r="J1386" s="65" t="n"/>
      <c r="K1386" s="65" t="n">
        <v>884</v>
      </c>
      <c r="L1386" s="65" t="inlineStr">
        <is>
          <t>[0884] TRANSMATIC ATF DEXRON III (1x12)</t>
        </is>
      </c>
      <c r="M1386" s="63" t="inlineStr">
        <is>
          <t>70,00</t>
        </is>
      </c>
      <c r="N1386" s="63" t="inlineStr">
        <is>
          <t>1,00</t>
        </is>
      </c>
      <c r="O1386" s="63" t="inlineStr">
        <is>
          <t>0,00</t>
        </is>
      </c>
      <c r="P1386" s="63" t="inlineStr">
        <is>
          <t>70,00</t>
        </is>
      </c>
      <c r="Q1386" s="63" t="inlineStr">
        <is>
          <t>81,20</t>
        </is>
      </c>
    </row>
    <row r="1387">
      <c r="A1387" s="65" t="n"/>
      <c r="B1387" s="65" t="n"/>
      <c r="C1387" s="65" t="n"/>
      <c r="D1387" s="65" t="n"/>
      <c r="E1387" s="65" t="n"/>
      <c r="F1387" s="65" t="n"/>
      <c r="G1387" s="65" t="n"/>
      <c r="H1387" s="65" t="n"/>
      <c r="I1387" s="65" t="n"/>
      <c r="J1387" s="65" t="n"/>
      <c r="K1387" s="65" t="n"/>
      <c r="L1387" s="65" t="n"/>
      <c r="M1387" s="63" t="inlineStr">
        <is>
          <t>0,00</t>
        </is>
      </c>
      <c r="N1387" s="63" t="inlineStr">
        <is>
          <t>0,00</t>
        </is>
      </c>
      <c r="O1387" s="63" t="inlineStr">
        <is>
          <t>0,00</t>
        </is>
      </c>
      <c r="P1387" s="63" t="inlineStr">
        <is>
          <t>0,00</t>
        </is>
      </c>
      <c r="Q1387" s="63" t="inlineStr">
        <is>
          <t>0,00</t>
        </is>
      </c>
    </row>
    <row r="1388">
      <c r="A1388" s="65" t="n"/>
      <c r="B1388" s="65" t="n"/>
      <c r="C1388" s="65" t="n"/>
      <c r="D1388" s="65" t="n"/>
      <c r="E1388" s="65" t="n"/>
      <c r="F1388" s="65" t="n"/>
      <c r="G1388" s="65" t="n"/>
      <c r="H1388" s="65" t="n"/>
      <c r="I1388" s="65" t="n"/>
      <c r="J1388" s="65" t="n"/>
      <c r="K1388" s="65" t="n">
        <v>775</v>
      </c>
      <c r="L1388" s="65" t="inlineStr">
        <is>
          <t>[0775] LIGA PARA FRENOS DOT-4 (1X12)</t>
        </is>
      </c>
      <c r="M1388" s="63" t="inlineStr">
        <is>
          <t>24,85</t>
        </is>
      </c>
      <c r="N1388" s="63" t="inlineStr">
        <is>
          <t>1,00</t>
        </is>
      </c>
      <c r="O1388" s="63" t="inlineStr">
        <is>
          <t>0,00</t>
        </is>
      </c>
      <c r="P1388" s="63" t="inlineStr">
        <is>
          <t>24,85</t>
        </is>
      </c>
      <c r="Q1388" s="63" t="inlineStr">
        <is>
          <t>28,83</t>
        </is>
      </c>
    </row>
    <row r="1389">
      <c r="A1389" s="66" t="n">
        <v>46106</v>
      </c>
      <c r="B1389" s="65" t="n">
        <v>10</v>
      </c>
      <c r="C1389" s="65" t="inlineStr">
        <is>
          <t>00-00000102</t>
        </is>
      </c>
      <c r="D1389" s="65" t="inlineStr">
        <is>
          <t>S00139</t>
        </is>
      </c>
      <c r="E1389" s="65" t="inlineStr">
        <is>
          <t>AGROPECUARIA EL TORO DORADO, C.A</t>
        </is>
      </c>
      <c r="F1389" s="63" t="inlineStr">
        <is>
          <t>387.697,86</t>
        </is>
      </c>
      <c r="G1389" s="63" t="inlineStr">
        <is>
          <t>449.729,52</t>
        </is>
      </c>
      <c r="H1389" s="63" t="inlineStr">
        <is>
          <t>972,02</t>
        </is>
      </c>
      <c r="I1389" s="63" t="inlineStr">
        <is>
          <t>462,67</t>
        </is>
      </c>
      <c r="J1389" s="65" t="n">
        <v>34</v>
      </c>
      <c r="K1389" s="65" t="n">
        <v>83</v>
      </c>
      <c r="L1389" s="65" t="inlineStr">
        <is>
          <t>[0083] MAXIMO API CF SAE 50 (PAILA)</t>
        </is>
      </c>
      <c r="M1389" s="63" t="inlineStr">
        <is>
          <t>69,83</t>
        </is>
      </c>
      <c r="N1389" s="63" t="inlineStr">
        <is>
          <t>12,00</t>
        </is>
      </c>
      <c r="O1389" s="63" t="inlineStr">
        <is>
          <t>0,00</t>
        </is>
      </c>
      <c r="P1389" s="63" t="inlineStr">
        <is>
          <t>837,96</t>
        </is>
      </c>
      <c r="Q1389" s="63" t="inlineStr">
        <is>
          <t>972,03</t>
        </is>
      </c>
    </row>
    <row r="1390">
      <c r="A1390" s="66" t="n">
        <v>46106</v>
      </c>
      <c r="B1390" s="65" t="n">
        <v>9</v>
      </c>
      <c r="C1390" s="65" t="inlineStr">
        <is>
          <t>00-00000101</t>
        </is>
      </c>
      <c r="D1390" s="65" t="inlineStr">
        <is>
          <t>S00116</t>
        </is>
      </c>
      <c r="E1390" s="65" t="inlineStr">
        <is>
          <t>AGROPECUARIA EL TORO DORADO, C.A</t>
        </is>
      </c>
      <c r="F1390" s="63" t="inlineStr">
        <is>
          <t>39.489,48</t>
        </is>
      </c>
      <c r="G1390" s="63" t="inlineStr">
        <is>
          <t>45.807,80</t>
        </is>
      </c>
      <c r="H1390" s="63" t="inlineStr">
        <is>
          <t>98,99</t>
        </is>
      </c>
      <c r="I1390" s="63" t="inlineStr">
        <is>
          <t>462,67</t>
        </is>
      </c>
      <c r="J1390" s="65" t="n">
        <v>36</v>
      </c>
      <c r="K1390" s="65" t="n">
        <v>881</v>
      </c>
      <c r="L1390" s="65" t="inlineStr">
        <is>
          <t>[0881] CLASICO API SL SAE 20W-50 (1x12)</t>
        </is>
      </c>
      <c r="M1390" s="63" t="inlineStr">
        <is>
          <t>50,22</t>
        </is>
      </c>
      <c r="N1390" s="63" t="inlineStr">
        <is>
          <t>1,00</t>
        </is>
      </c>
      <c r="O1390" s="63" t="inlineStr">
        <is>
          <t>0,00</t>
        </is>
      </c>
      <c r="P1390" s="63" t="inlineStr">
        <is>
          <t>50,22</t>
        </is>
      </c>
      <c r="Q1390" s="63" t="inlineStr">
        <is>
          <t>58,26</t>
        </is>
      </c>
    </row>
    <row r="1391">
      <c r="A1391" s="65" t="n"/>
      <c r="B1391" s="65" t="n"/>
      <c r="C1391" s="65" t="n"/>
      <c r="D1391" s="65" t="n"/>
      <c r="E1391" s="65" t="n"/>
      <c r="F1391" s="65" t="n"/>
      <c r="G1391" s="65" t="n"/>
      <c r="H1391" s="65" t="n"/>
      <c r="I1391" s="65" t="n"/>
      <c r="J1391" s="65" t="n"/>
      <c r="K1391" s="65" t="n">
        <v>127</v>
      </c>
      <c r="L1391" s="65" t="inlineStr">
        <is>
          <t>[0127] TRANSGLOB API GL-5 SAE 85W-140 (1x6)</t>
        </is>
      </c>
      <c r="M1391" s="63" t="inlineStr">
        <is>
          <t>36,00</t>
        </is>
      </c>
      <c r="N1391" s="63" t="inlineStr">
        <is>
          <t>1,00</t>
        </is>
      </c>
      <c r="O1391" s="63" t="inlineStr">
        <is>
          <t>0,00</t>
        </is>
      </c>
      <c r="P1391" s="63" t="inlineStr">
        <is>
          <t>35,13</t>
        </is>
      </c>
      <c r="Q1391" s="63" t="inlineStr">
        <is>
          <t>40,75</t>
        </is>
      </c>
    </row>
    <row r="1392">
      <c r="A1392" s="66" t="n">
        <v>46106</v>
      </c>
      <c r="B1392" s="65" t="n">
        <v>8</v>
      </c>
      <c r="C1392" s="65" t="inlineStr">
        <is>
          <t>00-00000100</t>
        </is>
      </c>
      <c r="D1392" s="65" t="inlineStr">
        <is>
          <t>S00148</t>
        </is>
      </c>
      <c r="E1392" s="65" t="inlineStr">
        <is>
          <t>AGROPECUARIA EL TORO DORADO, C.A</t>
        </is>
      </c>
      <c r="F1392" s="63" t="inlineStr">
        <is>
          <t>14.389,00</t>
        </is>
      </c>
      <c r="G1392" s="63" t="inlineStr">
        <is>
          <t>16.691,24</t>
        </is>
      </c>
      <c r="H1392" s="63" t="inlineStr">
        <is>
          <t>36,07</t>
        </is>
      </c>
      <c r="I1392" s="63" t="inlineStr">
        <is>
          <t>462,67</t>
        </is>
      </c>
      <c r="J1392" s="65" t="n">
        <v>35</v>
      </c>
      <c r="K1392" s="65" t="n">
        <v>127</v>
      </c>
      <c r="L1392" s="65" t="inlineStr">
        <is>
          <t>[0127] TRANSGLOB API GL-5 SAE 85W-140 (1x6)</t>
        </is>
      </c>
      <c r="M1392" s="63" t="inlineStr">
        <is>
          <t>31,10</t>
        </is>
      </c>
      <c r="N1392" s="63" t="inlineStr">
        <is>
          <t>1,00</t>
        </is>
      </c>
      <c r="O1392" s="63" t="inlineStr">
        <is>
          <t>0,00</t>
        </is>
      </c>
      <c r="P1392" s="63" t="inlineStr">
        <is>
          <t>31,10</t>
        </is>
      </c>
      <c r="Q1392" s="63" t="inlineStr">
        <is>
          <t>36,08</t>
        </is>
      </c>
    </row>
    <row r="1393">
      <c r="A1393" s="66" t="n">
        <v>46105</v>
      </c>
      <c r="B1393" s="65" t="n">
        <v>7</v>
      </c>
      <c r="C1393" s="65" t="inlineStr">
        <is>
          <t>00-00000090</t>
        </is>
      </c>
      <c r="D1393" s="65" t="inlineStr">
        <is>
          <t>S00079</t>
        </is>
      </c>
      <c r="E1393" s="65" t="inlineStr">
        <is>
          <t>E&amp;M CAR SHOP C.A</t>
        </is>
      </c>
      <c r="F1393" s="63" t="inlineStr">
        <is>
          <t>181.943,19</t>
        </is>
      </c>
      <c r="G1393" s="63" t="inlineStr">
        <is>
          <t>211.054,10</t>
        </is>
      </c>
      <c r="H1393" s="63" t="inlineStr">
        <is>
          <t>459,35</t>
        </is>
      </c>
      <c r="I1393" s="63" t="inlineStr">
        <is>
          <t>459,45</t>
        </is>
      </c>
      <c r="J1393" s="65" t="n"/>
      <c r="K1393" s="65" t="n">
        <v>602</v>
      </c>
      <c r="L1393" s="65" t="inlineStr">
        <is>
          <t>[0602] SINOCO SAE 50 (PAILA)</t>
        </is>
      </c>
      <c r="M1393" s="63" t="inlineStr">
        <is>
          <t>85,00</t>
        </is>
      </c>
      <c r="N1393" s="63" t="inlineStr">
        <is>
          <t>4,00</t>
        </is>
      </c>
      <c r="O1393" s="63" t="inlineStr">
        <is>
          <t>0,00</t>
        </is>
      </c>
      <c r="P1393" s="63" t="inlineStr">
        <is>
          <t>340,00</t>
        </is>
      </c>
      <c r="Q1393" s="63" t="inlineStr">
        <is>
          <t>394,40</t>
        </is>
      </c>
    </row>
    <row r="1394">
      <c r="A1394" s="65" t="n"/>
      <c r="B1394" s="65" t="n"/>
      <c r="C1394" s="65" t="n"/>
      <c r="D1394" s="65" t="n"/>
      <c r="E1394" s="65" t="n"/>
      <c r="F1394" s="65" t="n"/>
      <c r="G1394" s="65" t="n"/>
      <c r="H1394" s="65" t="n"/>
      <c r="I1394" s="65" t="n"/>
      <c r="J1394" s="65" t="n"/>
      <c r="K1394" s="65" t="n">
        <v>779</v>
      </c>
      <c r="L1394" s="65" t="inlineStr">
        <is>
          <t>[0779] SINOCO SAE 20W-50 (1x12)</t>
        </is>
      </c>
      <c r="M1394" s="63" t="inlineStr">
        <is>
          <t>56,00</t>
        </is>
      </c>
      <c r="N1394" s="63" t="inlineStr">
        <is>
          <t>1,00</t>
        </is>
      </c>
      <c r="O1394" s="63" t="inlineStr">
        <is>
          <t>0,00</t>
        </is>
      </c>
      <c r="P1394" s="63" t="inlineStr">
        <is>
          <t>56,00</t>
        </is>
      </c>
      <c r="Q1394" s="63" t="inlineStr">
        <is>
          <t>64,96</t>
        </is>
      </c>
    </row>
    <row r="1395">
      <c r="A1395" s="66" t="n">
        <v>46105</v>
      </c>
      <c r="B1395" s="65" t="n">
        <v>6</v>
      </c>
      <c r="C1395" s="65" t="inlineStr">
        <is>
          <t>00-00000089</t>
        </is>
      </c>
      <c r="D1395" s="65" t="inlineStr">
        <is>
          <t>S00009</t>
        </is>
      </c>
      <c r="E1395" s="65" t="inlineStr">
        <is>
          <t>E&amp;M CAR SHOP C.A</t>
        </is>
      </c>
      <c r="F1395" s="63" t="inlineStr">
        <is>
          <t>157.022,49</t>
        </is>
      </c>
      <c r="G1395" s="63" t="inlineStr">
        <is>
          <t>182.146,09</t>
        </is>
      </c>
      <c r="H1395" s="63" t="inlineStr">
        <is>
          <t>396,44</t>
        </is>
      </c>
      <c r="I1395" s="63" t="inlineStr">
        <is>
          <t>459,45</t>
        </is>
      </c>
      <c r="J1395" s="65" t="n"/>
      <c r="K1395" s="65" t="n">
        <v>602</v>
      </c>
      <c r="L1395" s="65" t="inlineStr">
        <is>
          <t>[0602] SINOCO SAE 50 (PAILA)</t>
        </is>
      </c>
      <c r="M1395" s="63" t="inlineStr">
        <is>
          <t>85,44</t>
        </is>
      </c>
      <c r="N1395" s="63" t="inlineStr">
        <is>
          <t>4,00</t>
        </is>
      </c>
      <c r="O1395" s="63" t="inlineStr">
        <is>
          <t>0,00</t>
        </is>
      </c>
      <c r="P1395" s="63" t="inlineStr">
        <is>
          <t>341,76</t>
        </is>
      </c>
      <c r="Q1395" s="63" t="inlineStr">
        <is>
          <t>396,44</t>
        </is>
      </c>
    </row>
    <row r="1396">
      <c r="A1396" s="66" t="n">
        <v>46105</v>
      </c>
      <c r="B1396" s="65" t="n">
        <v>5</v>
      </c>
      <c r="C1396" s="65" t="inlineStr">
        <is>
          <t>00-00000086</t>
        </is>
      </c>
      <c r="D1396" s="65" t="inlineStr">
        <is>
          <t>S00009</t>
        </is>
      </c>
      <c r="E1396" s="65" t="inlineStr">
        <is>
          <t>E&amp;M CAR SHOP C.A</t>
        </is>
      </c>
      <c r="F1396" s="63" t="inlineStr">
        <is>
          <t>119.925,72</t>
        </is>
      </c>
      <c r="G1396" s="63" t="inlineStr">
        <is>
          <t>139.113,84</t>
        </is>
      </c>
      <c r="H1396" s="63" t="inlineStr">
        <is>
          <t>302,77</t>
        </is>
      </c>
      <c r="I1396" s="63" t="inlineStr">
        <is>
          <t>459,45</t>
        </is>
      </c>
      <c r="J1396" s="65" t="n"/>
      <c r="K1396" s="65" t="n">
        <v>602</v>
      </c>
      <c r="L1396" s="65" t="inlineStr">
        <is>
          <t>[0602] SINOCO SAE 50 (PAILA)</t>
        </is>
      </c>
      <c r="M1396" s="63" t="inlineStr">
        <is>
          <t>72,41</t>
        </is>
      </c>
      <c r="N1396" s="63" t="inlineStr">
        <is>
          <t>4,00</t>
        </is>
      </c>
      <c r="O1396" s="63" t="inlineStr">
        <is>
          <t>0,00</t>
        </is>
      </c>
      <c r="P1396" s="63" t="inlineStr">
        <is>
          <t>261,02</t>
        </is>
      </c>
      <c r="Q1396" s="63" t="inlineStr">
        <is>
          <t>302,78</t>
        </is>
      </c>
    </row>
    <row r="1397">
      <c r="A1397" s="66" t="n">
        <v>46105</v>
      </c>
      <c r="B1397" s="65" t="n">
        <v>4</v>
      </c>
      <c r="C1397" s="65" t="inlineStr">
        <is>
          <t>00-00000085</t>
        </is>
      </c>
      <c r="D1397" s="65" t="inlineStr">
        <is>
          <t>S00079</t>
        </is>
      </c>
      <c r="E1397" s="65" t="inlineStr">
        <is>
          <t>E&amp;M CAR SHOP C.A</t>
        </is>
      </c>
      <c r="F1397" s="63" t="inlineStr">
        <is>
          <t>211.256,26</t>
        </is>
      </c>
      <c r="G1397" s="63" t="inlineStr">
        <is>
          <t>245.057,27</t>
        </is>
      </c>
      <c r="H1397" s="63" t="inlineStr">
        <is>
          <t>548,45</t>
        </is>
      </c>
      <c r="I1397" s="63" t="inlineStr">
        <is>
          <t>446,80</t>
        </is>
      </c>
      <c r="J1397" s="65" t="n"/>
      <c r="K1397" s="65" t="n">
        <v>602</v>
      </c>
      <c r="L1397" s="65" t="inlineStr">
        <is>
          <t>[0602] SINOCO SAE 50 (PAILA)</t>
        </is>
      </c>
      <c r="M1397" s="63" t="inlineStr">
        <is>
          <t>97,49</t>
        </is>
      </c>
      <c r="N1397" s="63" t="inlineStr">
        <is>
          <t>4,00</t>
        </is>
      </c>
      <c r="O1397" s="63" t="inlineStr">
        <is>
          <t>0,00</t>
        </is>
      </c>
      <c r="P1397" s="63" t="inlineStr">
        <is>
          <t>401,00</t>
        </is>
      </c>
      <c r="Q1397" s="63" t="inlineStr">
        <is>
          <t>465,16</t>
        </is>
      </c>
    </row>
    <row r="1398">
      <c r="A1398" s="65" t="n"/>
      <c r="B1398" s="65" t="n"/>
      <c r="C1398" s="65" t="n"/>
      <c r="D1398" s="65" t="n"/>
      <c r="E1398" s="65" t="n"/>
      <c r="F1398" s="65" t="n"/>
      <c r="G1398" s="65" t="n"/>
      <c r="H1398" s="65" t="n"/>
      <c r="I1398" s="65" t="n"/>
      <c r="J1398" s="65" t="n"/>
      <c r="K1398" s="65" t="n">
        <v>779</v>
      </c>
      <c r="L1398" s="65" t="inlineStr">
        <is>
          <t>[0779] SINOCO SAE 20W-50 (1x12)</t>
        </is>
      </c>
      <c r="M1398" s="63" t="inlineStr">
        <is>
          <t>69,84</t>
        </is>
      </c>
      <c r="N1398" s="63" t="inlineStr">
        <is>
          <t>1,00</t>
        </is>
      </c>
      <c r="O1398" s="63" t="inlineStr">
        <is>
          <t>0,00</t>
        </is>
      </c>
      <c r="P1398" s="63" t="inlineStr">
        <is>
          <t>71,82</t>
        </is>
      </c>
      <c r="Q1398" s="63" t="inlineStr">
        <is>
          <t>83,31</t>
        </is>
      </c>
    </row>
    <row r="1399">
      <c r="A1399" s="66" t="n">
        <v>46104</v>
      </c>
      <c r="B1399" s="65" t="n">
        <v>3</v>
      </c>
      <c r="C1399" s="65" t="inlineStr">
        <is>
          <t>00-00000083</t>
        </is>
      </c>
      <c r="D1399" s="65" t="inlineStr">
        <is>
          <t>S00140</t>
        </is>
      </c>
      <c r="E1399" s="65" t="inlineStr">
        <is>
          <t>JOSE STURCHIO CAPPELLANIA</t>
        </is>
      </c>
      <c r="F1399" s="63" t="inlineStr">
        <is>
          <t>21.139,75</t>
        </is>
      </c>
      <c r="G1399" s="63" t="inlineStr">
        <is>
          <t>24.522,11</t>
        </is>
      </c>
      <c r="H1399" s="63" t="inlineStr">
        <is>
          <t>53,63</t>
        </is>
      </c>
      <c r="I1399" s="63" t="inlineStr">
        <is>
          <t>457,08</t>
        </is>
      </c>
      <c r="J1399" s="65" t="n">
        <v>30</v>
      </c>
      <c r="K1399" s="65" t="n">
        <v>19</v>
      </c>
      <c r="L1399" s="65" t="inlineStr">
        <is>
          <t>[0019] ELITE API SN SAE 5W-40 (1x6)</t>
        </is>
      </c>
      <c r="M1399" s="63" t="inlineStr">
        <is>
          <t>46,25</t>
        </is>
      </c>
      <c r="N1399" s="63" t="inlineStr">
        <is>
          <t>1,00</t>
        </is>
      </c>
      <c r="O1399" s="63" t="inlineStr">
        <is>
          <t>0,00</t>
        </is>
      </c>
      <c r="P1399" s="63" t="inlineStr">
        <is>
          <t>46,25</t>
        </is>
      </c>
      <c r="Q1399" s="63" t="inlineStr">
        <is>
          <t>53,65</t>
        </is>
      </c>
    </row>
    <row r="1400">
      <c r="A1400" s="66" t="n">
        <v>46094</v>
      </c>
      <c r="B1400" s="65" t="n">
        <v>2</v>
      </c>
      <c r="C1400" s="65" t="inlineStr">
        <is>
          <t>00-00000002</t>
        </is>
      </c>
      <c r="D1400" s="65" t="inlineStr">
        <is>
          <t>S00088</t>
        </is>
      </c>
      <c r="E1400" s="65" t="inlineStr">
        <is>
          <t>ALIPLUS TRASPORTE Y EQUIPOS, CA</t>
        </is>
      </c>
      <c r="F1400" s="63" t="inlineStr">
        <is>
          <t>106.455,68</t>
        </is>
      </c>
      <c r="G1400" s="63" t="inlineStr">
        <is>
          <t>123.488,59</t>
        </is>
      </c>
      <c r="H1400" s="63" t="inlineStr">
        <is>
          <t>278,58</t>
        </is>
      </c>
      <c r="I1400" s="63" t="inlineStr">
        <is>
          <t>443,26</t>
        </is>
      </c>
      <c r="J1400" s="65" t="n">
        <v>16</v>
      </c>
      <c r="K1400" s="65" t="n">
        <v>83</v>
      </c>
      <c r="L1400" s="65" t="inlineStr">
        <is>
          <t>[0083] MAXIMO API CF SAE 50 (PAILA)</t>
        </is>
      </c>
      <c r="M1400" s="63" t="inlineStr">
        <is>
          <t>76,37</t>
        </is>
      </c>
      <c r="N1400" s="63" t="inlineStr">
        <is>
          <t>1,00</t>
        </is>
      </c>
      <c r="O1400" s="63" t="inlineStr">
        <is>
          <t>0,00</t>
        </is>
      </c>
      <c r="P1400" s="63" t="inlineStr">
        <is>
          <t>74,26</t>
        </is>
      </c>
      <c r="Q1400" s="63" t="inlineStr">
        <is>
          <t>86,14</t>
        </is>
      </c>
    </row>
    <row r="1401">
      <c r="A1401" s="65" t="n"/>
      <c r="B1401" s="65" t="n"/>
      <c r="C1401" s="65" t="n"/>
      <c r="D1401" s="65" t="n"/>
      <c r="E1401" s="65" t="n"/>
      <c r="F1401" s="65" t="n"/>
      <c r="G1401" s="65" t="n"/>
      <c r="H1401" s="65" t="n"/>
      <c r="I1401" s="65" t="n"/>
      <c r="J1401" s="65" t="n"/>
      <c r="K1401" s="65" t="n">
        <v>970</v>
      </c>
      <c r="L1401" s="65" t="inlineStr">
        <is>
          <t>[0970] GRASA GLOBAL AT 250 AR-EP (PAILA)</t>
        </is>
      </c>
      <c r="M1401" s="63" t="inlineStr">
        <is>
          <t>170,62</t>
        </is>
      </c>
      <c r="N1401" s="63" t="inlineStr">
        <is>
          <t>1,00</t>
        </is>
      </c>
      <c r="O1401" s="63" t="inlineStr">
        <is>
          <t>0,00</t>
        </is>
      </c>
      <c r="P1401" s="63" t="inlineStr">
        <is>
          <t>165,90</t>
        </is>
      </c>
      <c r="Q1401" s="63" t="inlineStr">
        <is>
          <t>192,45</t>
        </is>
      </c>
    </row>
    <row r="1402">
      <c r="A1402" s="66" t="n">
        <v>46087</v>
      </c>
      <c r="B1402" s="65" t="n">
        <v>1</v>
      </c>
      <c r="C1402" s="65" t="inlineStr">
        <is>
          <t>00-00000001</t>
        </is>
      </c>
      <c r="D1402" s="65" t="inlineStr">
        <is>
          <t>S00042</t>
        </is>
      </c>
      <c r="E1402" s="65" t="inlineStr">
        <is>
          <t>ALIPLUS TRASPORTE Y EQUIPOS, CA</t>
        </is>
      </c>
      <c r="F1402" s="63" t="inlineStr">
        <is>
          <t>56.462,48</t>
        </is>
      </c>
      <c r="G1402" s="63" t="inlineStr">
        <is>
          <t>65.496,48</t>
        </is>
      </c>
      <c r="H1402" s="63" t="inlineStr">
        <is>
          <t>151,95</t>
        </is>
      </c>
      <c r="I1402" s="63" t="inlineStr">
        <is>
          <t>431,01</t>
        </is>
      </c>
      <c r="J1402" s="65" t="n">
        <v>11</v>
      </c>
      <c r="K1402" s="65" t="n">
        <v>886</v>
      </c>
      <c r="L1402" s="65" t="inlineStr">
        <is>
          <t>[0886] TRANSMATIC DEXRON VI (1x12)</t>
        </is>
      </c>
      <c r="M1402" s="63" t="inlineStr">
        <is>
          <t>131,00</t>
        </is>
      </c>
      <c r="N1402" s="63" t="inlineStr">
        <is>
          <t>1,00</t>
        </is>
      </c>
      <c r="O1402" s="63" t="inlineStr">
        <is>
          <t>0,00</t>
        </is>
      </c>
      <c r="P1402" s="63" t="inlineStr">
        <is>
          <t>131,00</t>
        </is>
      </c>
      <c r="Q1402" s="63" t="inlineStr">
        <is>
          <t>151,96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816"/>
  <sheetViews>
    <sheetView workbookViewId="0">
      <selection activeCell="A1" sqref="A1"/>
    </sheetView>
  </sheetViews>
  <sheetFormatPr baseColWidth="8" defaultColWidth="14.43" defaultRowHeight="15" customHeight="1"/>
  <cols>
    <col width="35.43" customWidth="1" style="83" min="12" max="12"/>
  </cols>
  <sheetData>
    <row r="1">
      <c r="A1" s="60" t="inlineStr">
        <is>
          <t>Fecha</t>
        </is>
      </c>
      <c r="B1" s="60" t="inlineStr">
        <is>
          <t>Número</t>
        </is>
      </c>
      <c r="C1" s="60" t="inlineStr">
        <is>
          <t>ID</t>
        </is>
      </c>
      <c r="D1" s="60" t="inlineStr">
        <is>
          <t>Cliente/proveedor</t>
        </is>
      </c>
      <c r="E1" s="60" t="inlineStr">
        <is>
          <t>Importe firmado</t>
        </is>
      </c>
      <c r="F1" s="60" t="inlineStr">
        <is>
          <t>Moneda</t>
        </is>
      </c>
      <c r="G1" s="60" t="inlineStr">
        <is>
          <t>Diario</t>
        </is>
      </c>
      <c r="H1" s="60" t="inlineStr">
        <is>
          <t>Importe referencia</t>
        </is>
      </c>
      <c r="I1" s="60" t="inlineStr">
        <is>
          <t>Facturas conciliadas/Número de Documento</t>
        </is>
      </c>
      <c r="J1" s="60" t="inlineStr">
        <is>
          <t>Facturas conciliadas/Número de Control</t>
        </is>
      </c>
      <c r="K1" s="60" t="inlineStr">
        <is>
          <t>Facturas conciliadas/Fecha</t>
        </is>
      </c>
      <c r="L1" s="60" t="inlineStr">
        <is>
          <t>Facturas conciliadas/Importe adeudado Ref.</t>
        </is>
      </c>
      <c r="M1" s="60" t="inlineStr">
        <is>
          <t>Facturas conciliadas/Importe pagado</t>
        </is>
      </c>
    </row>
    <row r="2">
      <c r="A2" s="66" t="n">
        <v>46219</v>
      </c>
      <c r="B2" s="65" t="inlineStr">
        <is>
          <t>PUSD1/2026/00510</t>
        </is>
      </c>
      <c r="C2" s="65" t="n">
        <v>1035</v>
      </c>
      <c r="D2" s="65" t="inlineStr">
        <is>
          <t>PROYECTO MAQUIVEIRO 21 C.A.</t>
        </is>
      </c>
      <c r="E2" s="63" t="inlineStr">
        <is>
          <t>100,00</t>
        </is>
      </c>
      <c r="F2" s="65" t="inlineStr">
        <is>
          <t>USD</t>
        </is>
      </c>
      <c r="G2" s="65" t="inlineStr">
        <is>
          <t>Efectivo moneda extrajera (USD)</t>
        </is>
      </c>
      <c r="H2" s="63" t="inlineStr">
        <is>
          <t>100,00</t>
        </is>
      </c>
      <c r="I2" s="65" t="n"/>
      <c r="J2" s="65" t="n"/>
      <c r="K2" s="65" t="n"/>
      <c r="L2" s="65" t="n"/>
      <c r="M2" s="65" t="n"/>
    </row>
    <row r="3">
      <c r="A3" s="66" t="n">
        <v>46219</v>
      </c>
      <c r="B3" s="65" t="inlineStr">
        <is>
          <t>PUSD1/2026/00509</t>
        </is>
      </c>
      <c r="C3" s="65" t="n">
        <v>1034</v>
      </c>
      <c r="D3" s="65" t="inlineStr">
        <is>
          <t>Autoasesorio maxi motor</t>
        </is>
      </c>
      <c r="E3" s="63" t="inlineStr">
        <is>
          <t>30,00</t>
        </is>
      </c>
      <c r="F3" s="65" t="inlineStr">
        <is>
          <t>USD</t>
        </is>
      </c>
      <c r="G3" s="65" t="inlineStr">
        <is>
          <t>Efectivo moneda extrajera (USD)</t>
        </is>
      </c>
      <c r="H3" s="63" t="inlineStr">
        <is>
          <t>30,00</t>
        </is>
      </c>
      <c r="I3" s="65" t="n"/>
      <c r="J3" s="65" t="n"/>
      <c r="K3" s="65" t="n"/>
      <c r="L3" s="65" t="n"/>
      <c r="M3" s="65" t="n"/>
    </row>
    <row r="4">
      <c r="A4" s="66" t="n">
        <v>46219</v>
      </c>
      <c r="B4" s="65" t="inlineStr">
        <is>
          <t>PBAMI/2026/00281</t>
        </is>
      </c>
      <c r="C4" s="65" t="n">
        <v>1031</v>
      </c>
      <c r="D4" s="65" t="inlineStr">
        <is>
          <t>AUTOPERIQUITOS LA CAMPIÑA C.A.</t>
        </is>
      </c>
      <c r="E4" s="63" t="inlineStr">
        <is>
          <t>14.550,00</t>
        </is>
      </c>
      <c r="F4" s="65" t="inlineStr">
        <is>
          <t>VES</t>
        </is>
      </c>
      <c r="G4" s="65" t="inlineStr">
        <is>
          <t>Banco Bancamiga 7806</t>
        </is>
      </c>
      <c r="H4" s="63" t="inlineStr">
        <is>
          <t>20,00</t>
        </is>
      </c>
      <c r="I4" s="65" t="n"/>
      <c r="J4" s="65" t="n"/>
      <c r="K4" s="65" t="n"/>
      <c r="L4" s="65" t="n"/>
      <c r="M4" s="65" t="n"/>
    </row>
    <row r="5">
      <c r="A5" s="66" t="n">
        <v>46219</v>
      </c>
      <c r="B5" s="65" t="inlineStr">
        <is>
          <t>PBAMI/2026/00280</t>
        </is>
      </c>
      <c r="C5" s="65" t="n">
        <v>1033</v>
      </c>
      <c r="D5" s="65" t="inlineStr">
        <is>
          <t>Moto repuestos jj</t>
        </is>
      </c>
      <c r="E5" s="63" t="inlineStr">
        <is>
          <t>56.352,96</t>
        </is>
      </c>
      <c r="F5" s="65" t="inlineStr">
        <is>
          <t>VES</t>
        </is>
      </c>
      <c r="G5" s="65" t="inlineStr">
        <is>
          <t>Banco Bancamiga 7806</t>
        </is>
      </c>
      <c r="H5" s="63" t="inlineStr">
        <is>
          <t>77,47</t>
        </is>
      </c>
      <c r="I5" s="65" t="n"/>
      <c r="J5" s="65" t="n"/>
      <c r="K5" s="65" t="n"/>
      <c r="L5" s="65" t="n"/>
      <c r="M5" s="65" t="n"/>
    </row>
    <row r="6">
      <c r="A6" s="66" t="n">
        <v>46218</v>
      </c>
      <c r="B6" s="65" t="inlineStr">
        <is>
          <t>PUSD1/2026/00508</t>
        </is>
      </c>
      <c r="C6" s="65" t="n">
        <v>1030</v>
      </c>
      <c r="D6" s="65" t="inlineStr">
        <is>
          <t>Grupo 3030, C.A</t>
        </is>
      </c>
      <c r="E6" s="63" t="inlineStr">
        <is>
          <t>300,00</t>
        </is>
      </c>
      <c r="F6" s="65" t="inlineStr">
        <is>
          <t>USD</t>
        </is>
      </c>
      <c r="G6" s="65" t="inlineStr">
        <is>
          <t>Efectivo moneda extrajera (USD)</t>
        </is>
      </c>
      <c r="H6" s="63" t="inlineStr">
        <is>
          <t>300,00</t>
        </is>
      </c>
      <c r="I6" s="65" t="n"/>
      <c r="J6" s="65" t="n"/>
      <c r="K6" s="65" t="n"/>
      <c r="L6" s="65" t="n"/>
      <c r="M6" s="65" t="n"/>
    </row>
    <row r="7">
      <c r="A7" s="66" t="n">
        <v>46218</v>
      </c>
      <c r="B7" s="65" t="inlineStr">
        <is>
          <t>PUSD1/2026/00507</t>
        </is>
      </c>
      <c r="C7" s="65" t="n">
        <v>1023</v>
      </c>
      <c r="D7" s="65" t="inlineStr">
        <is>
          <t>Constructora Campo Urbano,c.a.</t>
        </is>
      </c>
      <c r="E7" s="63" t="inlineStr">
        <is>
          <t>30,00</t>
        </is>
      </c>
      <c r="F7" s="65" t="inlineStr">
        <is>
          <t>USD</t>
        </is>
      </c>
      <c r="G7" s="65" t="inlineStr">
        <is>
          <t>Efectivo moneda extrajera (USD)</t>
        </is>
      </c>
      <c r="H7" s="63" t="inlineStr">
        <is>
          <t>30,00</t>
        </is>
      </c>
      <c r="I7" s="65" t="n"/>
      <c r="J7" s="65" t="n"/>
      <c r="K7" s="65" t="n"/>
      <c r="L7" s="65" t="n"/>
      <c r="M7" s="65" t="n"/>
    </row>
    <row r="8">
      <c r="A8" s="66" t="n">
        <v>46218</v>
      </c>
      <c r="B8" s="65" t="inlineStr">
        <is>
          <t>PUSD1/2026/00506</t>
        </is>
      </c>
      <c r="C8" s="65" t="n">
        <v>1022</v>
      </c>
      <c r="D8" s="65" t="inlineStr">
        <is>
          <t>Marlene Herrera</t>
        </is>
      </c>
      <c r="E8" s="63" t="inlineStr">
        <is>
          <t>100,00</t>
        </is>
      </c>
      <c r="F8" s="65" t="inlineStr">
        <is>
          <t>USD</t>
        </is>
      </c>
      <c r="G8" s="65" t="inlineStr">
        <is>
          <t>Efectivo moneda extrajera (USD)</t>
        </is>
      </c>
      <c r="H8" s="63" t="inlineStr">
        <is>
          <t>100,00</t>
        </is>
      </c>
      <c r="I8" s="65" t="n"/>
      <c r="J8" s="65" t="n"/>
      <c r="K8" s="65" t="n"/>
      <c r="L8" s="65" t="n"/>
      <c r="M8" s="65" t="n"/>
    </row>
    <row r="9">
      <c r="A9" s="66" t="n">
        <v>46218</v>
      </c>
      <c r="B9" s="65" t="inlineStr">
        <is>
          <t>PUSD1/2026/00505</t>
        </is>
      </c>
      <c r="C9" s="65" t="n">
        <v>1024</v>
      </c>
      <c r="D9" s="65" t="inlineStr">
        <is>
          <t>Jose Lopez Espinoza</t>
        </is>
      </c>
      <c r="E9" s="63" t="inlineStr">
        <is>
          <t>106,00</t>
        </is>
      </c>
      <c r="F9" s="65" t="inlineStr">
        <is>
          <t>USD</t>
        </is>
      </c>
      <c r="G9" s="65" t="inlineStr">
        <is>
          <t>Efectivo moneda extrajera (USD)</t>
        </is>
      </c>
      <c r="H9" s="63" t="inlineStr">
        <is>
          <t>106,00</t>
        </is>
      </c>
      <c r="I9" s="65" t="n"/>
      <c r="J9" s="65" t="n"/>
      <c r="K9" s="65" t="n"/>
      <c r="L9" s="65" t="n"/>
      <c r="M9" s="65" t="n"/>
    </row>
    <row r="10">
      <c r="A10" s="66" t="n">
        <v>46218</v>
      </c>
      <c r="B10" s="65" t="inlineStr">
        <is>
          <t>PBAMI/2026/00277</t>
        </is>
      </c>
      <c r="C10" s="65" t="n">
        <v>1028</v>
      </c>
      <c r="D10" s="65" t="inlineStr">
        <is>
          <t>TALLER Y REPUESTOS CHOPPERS, C.A.</t>
        </is>
      </c>
      <c r="E10" s="63" t="inlineStr">
        <is>
          <t>36.287,35</t>
        </is>
      </c>
      <c r="F10" s="65" t="inlineStr">
        <is>
          <t>VES</t>
        </is>
      </c>
      <c r="G10" s="65" t="inlineStr">
        <is>
          <t>Banco Bancamiga 7806</t>
        </is>
      </c>
      <c r="H10" s="63" t="inlineStr">
        <is>
          <t>50,00</t>
        </is>
      </c>
      <c r="I10" s="65" t="n"/>
      <c r="J10" s="65" t="n"/>
      <c r="K10" s="65" t="n"/>
      <c r="L10" s="65" t="n"/>
      <c r="M10" s="65" t="n"/>
    </row>
    <row r="11">
      <c r="A11" s="66" t="n">
        <v>46218</v>
      </c>
      <c r="B11" s="65" t="inlineStr">
        <is>
          <t>PBAMI/2026/00275</t>
        </is>
      </c>
      <c r="C11" s="65" t="n">
        <v>1021</v>
      </c>
      <c r="D11" s="65" t="inlineStr">
        <is>
          <t>Melany Madrid</t>
        </is>
      </c>
      <c r="E11" s="63" t="inlineStr">
        <is>
          <t>172.060,00</t>
        </is>
      </c>
      <c r="F11" s="65" t="inlineStr">
        <is>
          <t>VES</t>
        </is>
      </c>
      <c r="G11" s="65" t="inlineStr">
        <is>
          <t>Banco Bancamiga 7806</t>
        </is>
      </c>
      <c r="H11" s="63" t="inlineStr">
        <is>
          <t>237,08</t>
        </is>
      </c>
      <c r="I11" s="65" t="n"/>
      <c r="J11" s="65" t="n"/>
      <c r="K11" s="65" t="n"/>
      <c r="L11" s="65" t="n"/>
      <c r="M11" s="65" t="n"/>
    </row>
    <row r="12">
      <c r="A12" s="66" t="n">
        <v>46217</v>
      </c>
      <c r="B12" s="65" t="inlineStr">
        <is>
          <t>PZEFLU/2026/00010</t>
        </is>
      </c>
      <c r="C12" s="65" t="n">
        <v>1019</v>
      </c>
      <c r="D12" s="65" t="inlineStr">
        <is>
          <t>Multiservicios Gre-orio2022 c.a</t>
        </is>
      </c>
      <c r="E12" s="63" t="inlineStr">
        <is>
          <t>100,00</t>
        </is>
      </c>
      <c r="F12" s="65" t="inlineStr">
        <is>
          <t>USD</t>
        </is>
      </c>
      <c r="G12" s="65" t="inlineStr">
        <is>
          <t>Zelle Fluasa (USD)</t>
        </is>
      </c>
      <c r="H12" s="63" t="inlineStr">
        <is>
          <t>100,00</t>
        </is>
      </c>
      <c r="I12" s="65" t="n"/>
      <c r="J12" s="65" t="n"/>
      <c r="K12" s="65" t="n"/>
      <c r="L12" s="65" t="n"/>
      <c r="M12" s="65" t="n"/>
    </row>
    <row r="13">
      <c r="A13" s="66" t="n">
        <v>46217</v>
      </c>
      <c r="B13" s="65" t="inlineStr">
        <is>
          <t>PUSD1/2026/00504</t>
        </is>
      </c>
      <c r="C13" s="65" t="n">
        <v>1016</v>
      </c>
      <c r="D13" s="65" t="inlineStr">
        <is>
          <t>Asociación Cooperativa la Esquina del Lubricante 9999 R.L</t>
        </is>
      </c>
      <c r="E13" s="63" t="inlineStr">
        <is>
          <t>136,00</t>
        </is>
      </c>
      <c r="F13" s="65" t="inlineStr">
        <is>
          <t>USD</t>
        </is>
      </c>
      <c r="G13" s="65" t="inlineStr">
        <is>
          <t>Efectivo moneda extrajera (USD)</t>
        </is>
      </c>
      <c r="H13" s="63" t="inlineStr">
        <is>
          <t>136,00</t>
        </is>
      </c>
      <c r="I13" s="65" t="n">
        <v>515</v>
      </c>
      <c r="J13" s="65" t="inlineStr">
        <is>
          <t>00-00001068</t>
        </is>
      </c>
      <c r="K13" s="66" t="n">
        <v>46219</v>
      </c>
      <c r="L13" s="63" t="inlineStr">
        <is>
          <t>0,00</t>
        </is>
      </c>
      <c r="M13" s="63" t="inlineStr">
        <is>
          <t>0,00</t>
        </is>
      </c>
    </row>
    <row r="14">
      <c r="A14" s="66" t="n">
        <v>46217</v>
      </c>
      <c r="B14" s="65" t="inlineStr">
        <is>
          <t>PBDV/2026/00049</t>
        </is>
      </c>
      <c r="C14" s="65" t="n">
        <v>1018</v>
      </c>
      <c r="D14" s="65" t="inlineStr">
        <is>
          <t>Jose de Andrade</t>
        </is>
      </c>
      <c r="E14" s="63" t="inlineStr">
        <is>
          <t>12.718,35</t>
        </is>
      </c>
      <c r="F14" s="65" t="inlineStr">
        <is>
          <t>VES</t>
        </is>
      </c>
      <c r="G14" s="65" t="inlineStr">
        <is>
          <t>Banco de Venezuela 6891</t>
        </is>
      </c>
      <c r="H14" s="63" t="inlineStr">
        <is>
          <t>17,57</t>
        </is>
      </c>
      <c r="I14" s="65" t="n"/>
      <c r="J14" s="65" t="n"/>
      <c r="K14" s="65" t="n"/>
      <c r="L14" s="65" t="n"/>
      <c r="M14" s="65" t="n"/>
    </row>
    <row r="15">
      <c r="A15" s="66" t="n">
        <v>46217</v>
      </c>
      <c r="B15" s="65" t="inlineStr">
        <is>
          <t>PBAMI/2026/00278</t>
        </is>
      </c>
      <c r="C15" s="65" t="n">
        <v>1017</v>
      </c>
      <c r="D15" s="65" t="inlineStr">
        <is>
          <t>Antonio Terán</t>
        </is>
      </c>
      <c r="E15" s="63" t="inlineStr">
        <is>
          <t>338.564,00</t>
        </is>
      </c>
      <c r="F15" s="65" t="inlineStr">
        <is>
          <t>VES</t>
        </is>
      </c>
      <c r="G15" s="65" t="inlineStr">
        <is>
          <t>Banco Bancamiga 7806</t>
        </is>
      </c>
      <c r="H15" s="63" t="inlineStr">
        <is>
          <t>467,63</t>
        </is>
      </c>
      <c r="I15" s="65" t="n">
        <v>514</v>
      </c>
      <c r="J15" s="65" t="inlineStr">
        <is>
          <t>00-00001067</t>
        </is>
      </c>
      <c r="K15" s="66" t="n">
        <v>46219</v>
      </c>
      <c r="L15" s="63" t="inlineStr">
        <is>
          <t>110,12</t>
        </is>
      </c>
      <c r="M15" s="63" t="inlineStr">
        <is>
          <t>0,00</t>
        </is>
      </c>
    </row>
    <row r="16">
      <c r="A16" s="66" t="n">
        <v>46217</v>
      </c>
      <c r="B16" s="65" t="inlineStr">
        <is>
          <t>PBAMI/2026/00273</t>
        </is>
      </c>
      <c r="C16" s="65" t="n">
        <v>1027</v>
      </c>
      <c r="D16" s="65" t="inlineStr">
        <is>
          <t>En ascenso 2011,c.a.</t>
        </is>
      </c>
      <c r="E16" s="63" t="inlineStr">
        <is>
          <t>81.616,41</t>
        </is>
      </c>
      <c r="F16" s="65" t="inlineStr">
        <is>
          <t>VES</t>
        </is>
      </c>
      <c r="G16" s="65" t="inlineStr">
        <is>
          <t>Banco Bancamiga 7806</t>
        </is>
      </c>
      <c r="H16" s="63" t="inlineStr">
        <is>
          <t>112,73</t>
        </is>
      </c>
      <c r="I16" s="65" t="n"/>
      <c r="J16" s="65" t="n"/>
      <c r="K16" s="65" t="n"/>
      <c r="L16" s="65" t="n"/>
      <c r="M16" s="65" t="n"/>
    </row>
    <row r="17">
      <c r="A17" s="66" t="n">
        <v>46217</v>
      </c>
      <c r="B17" s="65" t="inlineStr">
        <is>
          <t>PBAMI/2026/00272</t>
        </is>
      </c>
      <c r="C17" s="65" t="n">
        <v>1026</v>
      </c>
      <c r="D17" s="65" t="inlineStr">
        <is>
          <t>En ascenso 2011,c.a.</t>
        </is>
      </c>
      <c r="E17" s="63" t="inlineStr">
        <is>
          <t>154.595,51</t>
        </is>
      </c>
      <c r="F17" s="65" t="inlineStr">
        <is>
          <t>VES</t>
        </is>
      </c>
      <c r="G17" s="65" t="inlineStr">
        <is>
          <t>Banco Bancamiga 7806</t>
        </is>
      </c>
      <c r="H17" s="63" t="inlineStr">
        <is>
          <t>213,53</t>
        </is>
      </c>
      <c r="I17" s="65" t="n"/>
      <c r="J17" s="65" t="n"/>
      <c r="K17" s="65" t="n"/>
      <c r="L17" s="65" t="n"/>
      <c r="M17" s="65" t="n"/>
    </row>
    <row r="18">
      <c r="A18" s="66" t="n">
        <v>46217</v>
      </c>
      <c r="B18" s="65" t="inlineStr">
        <is>
          <t>PBAMI/2026/00271</t>
        </is>
      </c>
      <c r="C18" s="65" t="n">
        <v>1015</v>
      </c>
      <c r="D18" s="65" t="inlineStr">
        <is>
          <t>AUTOPERIQUITOS LA CAMPIÑA C.A.</t>
        </is>
      </c>
      <c r="E18" s="63" t="inlineStr">
        <is>
          <t>14.480,00</t>
        </is>
      </c>
      <c r="F18" s="65" t="inlineStr">
        <is>
          <t>VES</t>
        </is>
      </c>
      <c r="G18" s="65" t="inlineStr">
        <is>
          <t>Banco Bancamiga 7806</t>
        </is>
      </c>
      <c r="H18" s="63" t="inlineStr">
        <is>
          <t>20,00</t>
        </is>
      </c>
      <c r="I18" s="65" t="n">
        <v>500</v>
      </c>
      <c r="J18" s="65" t="inlineStr">
        <is>
          <t>00-00001044</t>
        </is>
      </c>
      <c r="K18" s="66" t="n">
        <v>46217</v>
      </c>
      <c r="L18" s="63" t="inlineStr">
        <is>
          <t>60,01</t>
        </is>
      </c>
      <c r="M18" s="63" t="inlineStr">
        <is>
          <t>0,00</t>
        </is>
      </c>
    </row>
    <row r="19">
      <c r="A19" s="66" t="n">
        <v>46217</v>
      </c>
      <c r="B19" s="65" t="inlineStr">
        <is>
          <t>PBAMI/2026/00270</t>
        </is>
      </c>
      <c r="C19" s="65" t="n">
        <v>1013</v>
      </c>
      <c r="D19" s="65" t="inlineStr">
        <is>
          <t>Emprendimiento Tomas Paz</t>
        </is>
      </c>
      <c r="E19" s="63" t="inlineStr">
        <is>
          <t>13.712,00</t>
        </is>
      </c>
      <c r="F19" s="65" t="inlineStr">
        <is>
          <t>VES</t>
        </is>
      </c>
      <c r="G19" s="65" t="inlineStr">
        <is>
          <t>Banco Bancamiga 7806</t>
        </is>
      </c>
      <c r="H19" s="63" t="inlineStr">
        <is>
          <t>18,94</t>
        </is>
      </c>
      <c r="I19" s="65" t="n"/>
      <c r="J19" s="65" t="n"/>
      <c r="K19" s="65" t="n"/>
      <c r="L19" s="65" t="n"/>
      <c r="M19" s="65" t="n"/>
    </row>
    <row r="20">
      <c r="A20" s="66" t="n">
        <v>46216</v>
      </c>
      <c r="B20" s="65" t="inlineStr">
        <is>
          <t>PZEFLU/2026/00009</t>
        </is>
      </c>
      <c r="C20" s="65" t="n">
        <v>1012</v>
      </c>
      <c r="D20" s="65" t="inlineStr">
        <is>
          <t>Dimas Ortíz</t>
        </is>
      </c>
      <c r="E20" s="63" t="inlineStr">
        <is>
          <t>100,00</t>
        </is>
      </c>
      <c r="F20" s="65" t="inlineStr">
        <is>
          <t>USD</t>
        </is>
      </c>
      <c r="G20" s="65" t="inlineStr">
        <is>
          <t>Zelle Fluasa (USD)</t>
        </is>
      </c>
      <c r="H20" s="63" t="inlineStr">
        <is>
          <t>100,00</t>
        </is>
      </c>
      <c r="I20" s="65" t="n"/>
      <c r="J20" s="65" t="n"/>
      <c r="K20" s="65" t="n"/>
      <c r="L20" s="65" t="n"/>
      <c r="M20" s="65" t="n"/>
    </row>
    <row r="21">
      <c r="A21" s="66" t="n">
        <v>46216</v>
      </c>
      <c r="B21" s="65" t="inlineStr">
        <is>
          <t>PUSD1/2026/00503</t>
        </is>
      </c>
      <c r="C21" s="65" t="n">
        <v>1008</v>
      </c>
      <c r="D21" s="65" t="inlineStr">
        <is>
          <t>Victor Ordaz</t>
        </is>
      </c>
      <c r="E21" s="63" t="inlineStr">
        <is>
          <t>180,00</t>
        </is>
      </c>
      <c r="F21" s="65" t="inlineStr">
        <is>
          <t>USD</t>
        </is>
      </c>
      <c r="G21" s="65" t="inlineStr">
        <is>
          <t>Efectivo moneda extrajera (USD)</t>
        </is>
      </c>
      <c r="H21" s="63" t="inlineStr">
        <is>
          <t>180,00</t>
        </is>
      </c>
      <c r="I21" s="65" t="n"/>
      <c r="J21" s="65" t="n"/>
      <c r="K21" s="65" t="n"/>
      <c r="L21" s="65" t="n"/>
      <c r="M21" s="65" t="n"/>
    </row>
    <row r="22">
      <c r="A22" s="66" t="n">
        <v>46216</v>
      </c>
      <c r="B22" s="65" t="inlineStr">
        <is>
          <t>PUSD1/2026/00502</t>
        </is>
      </c>
      <c r="C22" s="65" t="n">
        <v>1007</v>
      </c>
      <c r="D22" s="65" t="inlineStr">
        <is>
          <t>Autolavado Artico</t>
        </is>
      </c>
      <c r="E22" s="63" t="inlineStr">
        <is>
          <t>100,00</t>
        </is>
      </c>
      <c r="F22" s="65" t="inlineStr">
        <is>
          <t>USD</t>
        </is>
      </c>
      <c r="G22" s="65" t="inlineStr">
        <is>
          <t>Efectivo moneda extrajera (USD)</t>
        </is>
      </c>
      <c r="H22" s="63" t="inlineStr">
        <is>
          <t>100,00</t>
        </is>
      </c>
      <c r="I22" s="65" t="n"/>
      <c r="J22" s="65" t="n"/>
      <c r="K22" s="65" t="n"/>
      <c r="L22" s="65" t="n"/>
      <c r="M22" s="65" t="n"/>
    </row>
    <row r="23">
      <c r="A23" s="66" t="n">
        <v>46216</v>
      </c>
      <c r="B23" s="65" t="inlineStr">
        <is>
          <t>PBAMI/2026/00279</t>
        </is>
      </c>
      <c r="C23" s="65" t="n">
        <v>1020</v>
      </c>
      <c r="D23" s="65" t="inlineStr">
        <is>
          <t>AUTO REPUESTOS EL DUO 2013, C.A.</t>
        </is>
      </c>
      <c r="E23" s="63" t="inlineStr">
        <is>
          <t>34.826,30</t>
        </is>
      </c>
      <c r="F23" s="65" t="inlineStr">
        <is>
          <t>VES</t>
        </is>
      </c>
      <c r="G23" s="65" t="inlineStr">
        <is>
          <t>Banco Bancamiga 7806</t>
        </is>
      </c>
      <c r="H23" s="63" t="inlineStr">
        <is>
          <t>48,28</t>
        </is>
      </c>
      <c r="I23" s="65" t="n">
        <v>483</v>
      </c>
      <c r="J23" s="65" t="inlineStr">
        <is>
          <t>00-00001027</t>
        </is>
      </c>
      <c r="K23" s="66" t="n">
        <v>46217</v>
      </c>
      <c r="L23" s="63" t="inlineStr">
        <is>
          <t>60,13</t>
        </is>
      </c>
      <c r="M23" s="63" t="inlineStr">
        <is>
          <t>0,00</t>
        </is>
      </c>
    </row>
    <row r="24">
      <c r="A24" s="66" t="n">
        <v>46216</v>
      </c>
      <c r="B24" s="65" t="inlineStr">
        <is>
          <t>PBAMI/2026/00274</t>
        </is>
      </c>
      <c r="C24" s="65" t="n">
        <v>1029</v>
      </c>
      <c r="D24" s="65" t="inlineStr">
        <is>
          <t>CONSTRUCTORA GRANO AGREGADO, C.A</t>
        </is>
      </c>
      <c r="E24" s="63" t="inlineStr">
        <is>
          <t>2.436.828,07</t>
        </is>
      </c>
      <c r="F24" s="65" t="inlineStr">
        <is>
          <t>VES</t>
        </is>
      </c>
      <c r="G24" s="65" t="inlineStr">
        <is>
          <t>Banco Bancamiga 7806</t>
        </is>
      </c>
      <c r="H24" s="63" t="inlineStr">
        <is>
          <t>3.378,17</t>
        </is>
      </c>
      <c r="I24" s="65" t="n"/>
      <c r="J24" s="65" t="n"/>
      <c r="K24" s="65" t="n"/>
      <c r="L24" s="65" t="n"/>
      <c r="M24" s="65" t="n"/>
    </row>
    <row r="25">
      <c r="A25" s="66" t="n">
        <v>46216</v>
      </c>
      <c r="B25" s="65" t="inlineStr">
        <is>
          <t>PBAMI/2026/00269</t>
        </is>
      </c>
      <c r="C25" s="65" t="n">
        <v>1006</v>
      </c>
      <c r="D25" s="65" t="inlineStr">
        <is>
          <t>MULTISERVICIOS RECAM13, C.A.</t>
        </is>
      </c>
      <c r="E25" s="63" t="inlineStr">
        <is>
          <t>28.854,00</t>
        </is>
      </c>
      <c r="F25" s="65" t="inlineStr">
        <is>
          <t>VES</t>
        </is>
      </c>
      <c r="G25" s="65" t="inlineStr">
        <is>
          <t>Banco Bancamiga 7806</t>
        </is>
      </c>
      <c r="H25" s="63" t="inlineStr">
        <is>
          <t>40,00</t>
        </is>
      </c>
      <c r="I25" s="65" t="n"/>
      <c r="J25" s="65" t="n"/>
      <c r="K25" s="65" t="n"/>
      <c r="L25" s="65" t="n"/>
      <c r="M25" s="65" t="n"/>
    </row>
    <row r="26">
      <c r="A26" s="66" t="n">
        <v>46214</v>
      </c>
      <c r="B26" s="65" t="inlineStr">
        <is>
          <t>PBAMI/2026/00268</t>
        </is>
      </c>
      <c r="C26" s="65" t="n">
        <v>1005</v>
      </c>
      <c r="D26" s="65" t="inlineStr">
        <is>
          <t>AUTO REPUESTOS EL DUO 2013, C.A.</t>
        </is>
      </c>
      <c r="E26" s="63" t="inlineStr">
        <is>
          <t>72.134,00</t>
        </is>
      </c>
      <c r="F26" s="65" t="inlineStr">
        <is>
          <t>VES</t>
        </is>
      </c>
      <c r="G26" s="65" t="inlineStr">
        <is>
          <t>Banco Bancamiga 7806</t>
        </is>
      </c>
      <c r="H26" s="63" t="inlineStr">
        <is>
          <t>101,64</t>
        </is>
      </c>
      <c r="I26" s="65" t="n">
        <v>483</v>
      </c>
      <c r="J26" s="65" t="inlineStr">
        <is>
          <t>00-00001027</t>
        </is>
      </c>
      <c r="K26" s="66" t="n">
        <v>46217</v>
      </c>
      <c r="L26" s="63" t="inlineStr">
        <is>
          <t>60,13</t>
        </is>
      </c>
      <c r="M26" s="63" t="inlineStr">
        <is>
          <t>0,00</t>
        </is>
      </c>
    </row>
    <row r="27">
      <c r="A27" s="66" t="n">
        <v>46213</v>
      </c>
      <c r="B27" s="65" t="inlineStr">
        <is>
          <t>PZEFLU/2026/00006</t>
        </is>
      </c>
      <c r="C27" s="65" t="n">
        <v>970</v>
      </c>
      <c r="D27" s="65" t="inlineStr">
        <is>
          <t>PROYECTO MAQUIVEIRO 21 C.A.</t>
        </is>
      </c>
      <c r="E27" s="63" t="inlineStr">
        <is>
          <t>230,00</t>
        </is>
      </c>
      <c r="F27" s="65" t="inlineStr">
        <is>
          <t>USD</t>
        </is>
      </c>
      <c r="G27" s="65" t="inlineStr">
        <is>
          <t>Zelle Fluasa (USD)</t>
        </is>
      </c>
      <c r="H27" s="63" t="inlineStr">
        <is>
          <t>230,00</t>
        </is>
      </c>
      <c r="I27" s="65" t="n"/>
      <c r="J27" s="65" t="n"/>
      <c r="K27" s="65" t="n"/>
      <c r="L27" s="65" t="n"/>
      <c r="M27" s="65" t="n"/>
    </row>
    <row r="28">
      <c r="A28" s="66" t="n">
        <v>46213</v>
      </c>
      <c r="B28" s="65" t="inlineStr">
        <is>
          <t>PUSD1/2026/00491</t>
        </is>
      </c>
      <c r="C28" s="65" t="n">
        <v>964</v>
      </c>
      <c r="D28" s="65" t="inlineStr">
        <is>
          <t>Jefferson Navone</t>
        </is>
      </c>
      <c r="E28" s="63" t="inlineStr">
        <is>
          <t>35,00</t>
        </is>
      </c>
      <c r="F28" s="65" t="inlineStr">
        <is>
          <t>USD</t>
        </is>
      </c>
      <c r="G28" s="65" t="inlineStr">
        <is>
          <t>Efectivo moneda extrajera (USD)</t>
        </is>
      </c>
      <c r="H28" s="63" t="inlineStr">
        <is>
          <t>35,00</t>
        </is>
      </c>
      <c r="I28" s="65" t="n"/>
      <c r="J28" s="65" t="n"/>
      <c r="K28" s="65" t="n"/>
      <c r="L28" s="65" t="n"/>
      <c r="M28" s="65" t="n"/>
    </row>
    <row r="29">
      <c r="A29" s="66" t="n">
        <v>46213</v>
      </c>
      <c r="B29" s="65" t="inlineStr">
        <is>
          <t>PUSD1/2026/00484</t>
        </is>
      </c>
      <c r="C29" s="65" t="n">
        <v>974</v>
      </c>
      <c r="D29" s="65" t="inlineStr">
        <is>
          <t>Inversiones La Bendición del Nazareno, C.A</t>
        </is>
      </c>
      <c r="E29" s="63" t="inlineStr">
        <is>
          <t>500,00</t>
        </is>
      </c>
      <c r="F29" s="65" t="inlineStr">
        <is>
          <t>USD</t>
        </is>
      </c>
      <c r="G29" s="65" t="inlineStr">
        <is>
          <t>Efectivo moneda extrajera (USD)</t>
        </is>
      </c>
      <c r="H29" s="63" t="inlineStr">
        <is>
          <t>500,00</t>
        </is>
      </c>
      <c r="I29" s="65" t="n"/>
      <c r="J29" s="65" t="n"/>
      <c r="K29" s="65" t="n"/>
      <c r="L29" s="65" t="n"/>
      <c r="M29" s="65" t="n"/>
    </row>
    <row r="30">
      <c r="A30" s="66" t="n">
        <v>46213</v>
      </c>
      <c r="B30" s="65" t="inlineStr">
        <is>
          <t>PUSD1/2026/00483</t>
        </is>
      </c>
      <c r="C30" s="65" t="n">
        <v>975</v>
      </c>
      <c r="D30" s="65" t="inlineStr">
        <is>
          <t>Emprendimiento Jordy Valencia</t>
        </is>
      </c>
      <c r="E30" s="63" t="inlineStr">
        <is>
          <t>50,00</t>
        </is>
      </c>
      <c r="F30" s="65" t="inlineStr">
        <is>
          <t>USD</t>
        </is>
      </c>
      <c r="G30" s="65" t="inlineStr">
        <is>
          <t>Efectivo moneda extrajera (USD)</t>
        </is>
      </c>
      <c r="H30" s="63" t="inlineStr">
        <is>
          <t>50,00</t>
        </is>
      </c>
      <c r="I30" s="65" t="n"/>
      <c r="J30" s="65" t="n"/>
      <c r="K30" s="65" t="n"/>
      <c r="L30" s="65" t="n"/>
      <c r="M30" s="65" t="n"/>
    </row>
    <row r="31">
      <c r="A31" s="66" t="n">
        <v>46213</v>
      </c>
      <c r="B31" s="65" t="inlineStr">
        <is>
          <t>PUSD1/2026/00482</t>
        </is>
      </c>
      <c r="C31" s="65" t="n">
        <v>968</v>
      </c>
      <c r="D31" s="65" t="inlineStr">
        <is>
          <t>M.L.P Repuestos y Otros, C.A</t>
        </is>
      </c>
      <c r="E31" s="63" t="inlineStr">
        <is>
          <t>200,00</t>
        </is>
      </c>
      <c r="F31" s="65" t="inlineStr">
        <is>
          <t>USD</t>
        </is>
      </c>
      <c r="G31" s="65" t="inlineStr">
        <is>
          <t>Efectivo moneda extrajera (USD)</t>
        </is>
      </c>
      <c r="H31" s="63" t="inlineStr">
        <is>
          <t>200,00</t>
        </is>
      </c>
      <c r="I31" s="65" t="n"/>
      <c r="J31" s="65" t="n"/>
      <c r="K31" s="65" t="n"/>
      <c r="L31" s="65" t="n"/>
      <c r="M31" s="65" t="n"/>
    </row>
    <row r="32">
      <c r="A32" s="66" t="n">
        <v>46213</v>
      </c>
      <c r="B32" s="65" t="inlineStr">
        <is>
          <t>PUSD1/2026/00481</t>
        </is>
      </c>
      <c r="C32" s="65" t="n">
        <v>963</v>
      </c>
      <c r="D32" s="65" t="inlineStr">
        <is>
          <t>Jorge Luis camacaro</t>
        </is>
      </c>
      <c r="E32" s="63" t="inlineStr">
        <is>
          <t>18,00</t>
        </is>
      </c>
      <c r="F32" s="65" t="inlineStr">
        <is>
          <t>USD</t>
        </is>
      </c>
      <c r="G32" s="65" t="inlineStr">
        <is>
          <t>Efectivo moneda extrajera (USD)</t>
        </is>
      </c>
      <c r="H32" s="63" t="inlineStr">
        <is>
          <t>18,00</t>
        </is>
      </c>
      <c r="I32" s="65" t="n"/>
      <c r="J32" s="65" t="n"/>
      <c r="K32" s="65" t="n"/>
      <c r="L32" s="65" t="n"/>
      <c r="M32" s="65" t="n"/>
    </row>
    <row r="33">
      <c r="A33" s="66" t="n">
        <v>46213</v>
      </c>
      <c r="B33" s="65" t="inlineStr">
        <is>
          <t>PUSD1/2026/00480</t>
        </is>
      </c>
      <c r="C33" s="65" t="n">
        <v>949</v>
      </c>
      <c r="D33" s="65" t="inlineStr">
        <is>
          <t>JOSE RAFAEL MARTÍNEZ</t>
        </is>
      </c>
      <c r="E33" s="63" t="inlineStr">
        <is>
          <t>72,00</t>
        </is>
      </c>
      <c r="F33" s="65" t="inlineStr">
        <is>
          <t>USD</t>
        </is>
      </c>
      <c r="G33" s="65" t="inlineStr">
        <is>
          <t>Efectivo moneda extrajera (USD)</t>
        </is>
      </c>
      <c r="H33" s="63" t="inlineStr">
        <is>
          <t>72,00</t>
        </is>
      </c>
      <c r="I33" s="65" t="n"/>
      <c r="J33" s="65" t="n"/>
      <c r="K33" s="65" t="n"/>
      <c r="L33" s="65" t="n"/>
      <c r="M33" s="65" t="n"/>
    </row>
    <row r="34">
      <c r="A34" s="66" t="n">
        <v>46213</v>
      </c>
      <c r="B34" s="65" t="inlineStr">
        <is>
          <t>PUSD1/2026/00479</t>
        </is>
      </c>
      <c r="C34" s="65" t="n">
        <v>953</v>
      </c>
      <c r="D34" s="65" t="inlineStr">
        <is>
          <t>SJMG 2012 C.A</t>
        </is>
      </c>
      <c r="E34" s="63" t="inlineStr">
        <is>
          <t>250,00</t>
        </is>
      </c>
      <c r="F34" s="65" t="inlineStr">
        <is>
          <t>USD</t>
        </is>
      </c>
      <c r="G34" s="65" t="inlineStr">
        <is>
          <t>Efectivo moneda extrajera (USD)</t>
        </is>
      </c>
      <c r="H34" s="63" t="inlineStr">
        <is>
          <t>250,00</t>
        </is>
      </c>
      <c r="I34" s="65" t="n"/>
      <c r="J34" s="65" t="n"/>
      <c r="K34" s="65" t="n"/>
      <c r="L34" s="65" t="n"/>
      <c r="M34" s="65" t="n"/>
    </row>
    <row r="35">
      <c r="A35" s="66" t="n">
        <v>46213</v>
      </c>
      <c r="B35" s="65" t="inlineStr">
        <is>
          <t>PUSD1/2026/00478</t>
        </is>
      </c>
      <c r="C35" s="65" t="n">
        <v>951</v>
      </c>
      <c r="D35" s="65" t="inlineStr">
        <is>
          <t>Inversiones Vercris 17 C.A</t>
        </is>
      </c>
      <c r="E35" s="63" t="inlineStr">
        <is>
          <t>40,00</t>
        </is>
      </c>
      <c r="F35" s="65" t="inlineStr">
        <is>
          <t>USD</t>
        </is>
      </c>
      <c r="G35" s="65" t="inlineStr">
        <is>
          <t>Efectivo moneda extrajera (USD)</t>
        </is>
      </c>
      <c r="H35" s="63" t="inlineStr">
        <is>
          <t>40,00</t>
        </is>
      </c>
      <c r="I35" s="65" t="n"/>
      <c r="J35" s="65" t="n"/>
      <c r="K35" s="65" t="n"/>
      <c r="L35" s="65" t="n"/>
      <c r="M35" s="65" t="n"/>
    </row>
    <row r="36">
      <c r="A36" s="66" t="n">
        <v>46213</v>
      </c>
      <c r="B36" s="65" t="inlineStr">
        <is>
          <t>PBNB/2026/00007</t>
        </is>
      </c>
      <c r="C36" s="65" t="n">
        <v>961</v>
      </c>
      <c r="D36" s="65" t="inlineStr">
        <is>
          <t>ADS SERVICE C.A</t>
        </is>
      </c>
      <c r="E36" s="63" t="inlineStr">
        <is>
          <t>150,00</t>
        </is>
      </c>
      <c r="F36" s="65" t="inlineStr">
        <is>
          <t>USD</t>
        </is>
      </c>
      <c r="G36" s="65" t="inlineStr">
        <is>
          <t>Binance (USD)</t>
        </is>
      </c>
      <c r="H36" s="63" t="inlineStr">
        <is>
          <t>150,00</t>
        </is>
      </c>
      <c r="I36" s="65" t="n">
        <v>438</v>
      </c>
      <c r="J36" s="65" t="inlineStr">
        <is>
          <t>00-00000982</t>
        </is>
      </c>
      <c r="K36" s="66" t="n">
        <v>46216</v>
      </c>
      <c r="L36" s="63" t="inlineStr">
        <is>
          <t>128,25</t>
        </is>
      </c>
      <c r="M36" s="63" t="inlineStr">
        <is>
          <t>0,00</t>
        </is>
      </c>
    </row>
    <row r="37">
      <c r="A37" s="66" t="n">
        <v>46213</v>
      </c>
      <c r="B37" s="65" t="inlineStr">
        <is>
          <t>PBAMI/2026/00276</t>
        </is>
      </c>
      <c r="C37" s="65" t="n">
        <v>1025</v>
      </c>
      <c r="D37" s="65" t="inlineStr">
        <is>
          <t>AUTO REPUESTOS EL DUO 2013, C.A.</t>
        </is>
      </c>
      <c r="E37" s="63" t="inlineStr">
        <is>
          <t>70.969,00</t>
        </is>
      </c>
      <c r="F37" s="65" t="inlineStr">
        <is>
          <t>VES</t>
        </is>
      </c>
      <c r="G37" s="65" t="inlineStr">
        <is>
          <t>Banco Bancamiga 7806</t>
        </is>
      </c>
      <c r="H37" s="63" t="inlineStr">
        <is>
          <t>100,00</t>
        </is>
      </c>
      <c r="I37" s="65" t="n">
        <v>483</v>
      </c>
      <c r="J37" s="65" t="inlineStr">
        <is>
          <t>00-00001027</t>
        </is>
      </c>
      <c r="K37" s="66" t="n">
        <v>46217</v>
      </c>
      <c r="L37" s="63" t="inlineStr">
        <is>
          <t>60,13</t>
        </is>
      </c>
      <c r="M37" s="63" t="inlineStr">
        <is>
          <t>0,00</t>
        </is>
      </c>
    </row>
    <row r="38">
      <c r="A38" s="66" t="n">
        <v>46213</v>
      </c>
      <c r="B38" s="65" t="inlineStr">
        <is>
          <t>PBAMI/2026/00237</t>
        </is>
      </c>
      <c r="C38" s="65" t="n">
        <v>973</v>
      </c>
      <c r="D38" s="65" t="inlineStr">
        <is>
          <t>Cauchera El Gordo 0410,c.a.</t>
        </is>
      </c>
      <c r="E38" s="63" t="inlineStr">
        <is>
          <t>186.515,63</t>
        </is>
      </c>
      <c r="F38" s="65" t="inlineStr">
        <is>
          <t>VES</t>
        </is>
      </c>
      <c r="G38" s="65" t="inlineStr">
        <is>
          <t>Banco Bancamiga 7806</t>
        </is>
      </c>
      <c r="H38" s="63" t="inlineStr">
        <is>
          <t>262,81</t>
        </is>
      </c>
      <c r="I38" s="65" t="n"/>
      <c r="J38" s="65" t="n"/>
      <c r="K38" s="65" t="n"/>
      <c r="L38" s="65" t="n"/>
      <c r="M38" s="65" t="n"/>
    </row>
    <row r="39">
      <c r="A39" s="66" t="n">
        <v>46213</v>
      </c>
      <c r="B39" s="65" t="inlineStr">
        <is>
          <t>PBAMI/2026/00236</t>
        </is>
      </c>
      <c r="C39" s="65" t="n">
        <v>962</v>
      </c>
      <c r="D39" s="65" t="inlineStr">
        <is>
          <t>Moto repuestos jj</t>
        </is>
      </c>
      <c r="E39" s="63" t="inlineStr">
        <is>
          <t>43.940,18</t>
        </is>
      </c>
      <c r="F39" s="65" t="inlineStr">
        <is>
          <t>VES</t>
        </is>
      </c>
      <c r="G39" s="65" t="inlineStr">
        <is>
          <t>Banco Bancamiga 7806</t>
        </is>
      </c>
      <c r="H39" s="63" t="inlineStr">
        <is>
          <t>61,91</t>
        </is>
      </c>
      <c r="I39" s="65" t="n"/>
      <c r="J39" s="65" t="n"/>
      <c r="K39" s="65" t="n"/>
      <c r="L39" s="65" t="n"/>
      <c r="M39" s="65" t="n"/>
    </row>
    <row r="40">
      <c r="A40" s="66" t="n">
        <v>46213</v>
      </c>
      <c r="B40" s="65" t="inlineStr">
        <is>
          <t>PBAMI/2026/00235</t>
        </is>
      </c>
      <c r="C40" s="65" t="n">
        <v>950</v>
      </c>
      <c r="D40" s="65" t="inlineStr">
        <is>
          <t>Rhino Toyo Parts, C.A.</t>
        </is>
      </c>
      <c r="E40" s="63" t="inlineStr">
        <is>
          <t>164.800,00</t>
        </is>
      </c>
      <c r="F40" s="65" t="inlineStr">
        <is>
          <t>VES</t>
        </is>
      </c>
      <c r="G40" s="65" t="inlineStr">
        <is>
          <t>Banco Bancamiga 7806</t>
        </is>
      </c>
      <c r="H40" s="63" t="inlineStr">
        <is>
          <t>232,21</t>
        </is>
      </c>
      <c r="I40" s="65" t="n"/>
      <c r="J40" s="65" t="n"/>
      <c r="K40" s="65" t="n"/>
      <c r="L40" s="65" t="n"/>
      <c r="M40" s="65" t="n"/>
    </row>
    <row r="41">
      <c r="A41" s="66" t="n">
        <v>46213</v>
      </c>
      <c r="B41" s="65" t="inlineStr">
        <is>
          <t>PBAMI/2026/00234</t>
        </is>
      </c>
      <c r="C41" s="65" t="n">
        <v>954</v>
      </c>
      <c r="D41" s="65" t="inlineStr">
        <is>
          <t>Corporación Lubricantes 7ma Av.C.A</t>
        </is>
      </c>
      <c r="E41" s="63" t="inlineStr">
        <is>
          <t>32.458,00</t>
        </is>
      </c>
      <c r="F41" s="65" t="inlineStr">
        <is>
          <t>VES</t>
        </is>
      </c>
      <c r="G41" s="65" t="inlineStr">
        <is>
          <t>Banco Bancamiga 7806</t>
        </is>
      </c>
      <c r="H41" s="63" t="inlineStr">
        <is>
          <t>45,74</t>
        </is>
      </c>
      <c r="I41" s="65" t="n"/>
      <c r="J41" s="65" t="n"/>
      <c r="K41" s="65" t="n"/>
      <c r="L41" s="65" t="n"/>
      <c r="M41" s="65" t="n"/>
    </row>
    <row r="42">
      <c r="A42" s="66" t="n">
        <v>46212</v>
      </c>
      <c r="B42" s="65" t="inlineStr">
        <is>
          <t>PZEFLU/2026/00007</t>
        </is>
      </c>
      <c r="C42" s="65" t="n">
        <v>933</v>
      </c>
      <c r="D42" s="65" t="inlineStr">
        <is>
          <t>SJMG 2012 C.A</t>
        </is>
      </c>
      <c r="E42" s="63" t="inlineStr">
        <is>
          <t>550,00</t>
        </is>
      </c>
      <c r="F42" s="65" t="inlineStr">
        <is>
          <t>USD</t>
        </is>
      </c>
      <c r="G42" s="65" t="inlineStr">
        <is>
          <t>Zelle Fluasa (USD)</t>
        </is>
      </c>
      <c r="H42" s="63" t="inlineStr">
        <is>
          <t>550,00</t>
        </is>
      </c>
      <c r="I42" s="65" t="n"/>
      <c r="J42" s="65" t="n"/>
      <c r="K42" s="65" t="n"/>
      <c r="L42" s="65" t="n"/>
      <c r="M42" s="65" t="n"/>
    </row>
    <row r="43">
      <c r="A43" s="66" t="n">
        <v>46212</v>
      </c>
      <c r="B43" s="65" t="inlineStr">
        <is>
          <t>PZEFLU/2026/00004</t>
        </is>
      </c>
      <c r="C43" s="65" t="n">
        <v>943</v>
      </c>
      <c r="D43" s="65" t="inlineStr">
        <is>
          <t>Dimas Ortíz</t>
        </is>
      </c>
      <c r="E43" s="63" t="inlineStr">
        <is>
          <t>70,00</t>
        </is>
      </c>
      <c r="F43" s="65" t="inlineStr">
        <is>
          <t>USD</t>
        </is>
      </c>
      <c r="G43" s="65" t="inlineStr">
        <is>
          <t>Zelle Fluasa (USD)</t>
        </is>
      </c>
      <c r="H43" s="63" t="inlineStr">
        <is>
          <t>70,00</t>
        </is>
      </c>
      <c r="I43" s="65" t="n"/>
      <c r="J43" s="65" t="n"/>
      <c r="K43" s="65" t="n"/>
      <c r="L43" s="65" t="n"/>
      <c r="M43" s="65" t="n"/>
    </row>
    <row r="44">
      <c r="A44" s="66" t="n">
        <v>46212</v>
      </c>
      <c r="B44" s="65" t="inlineStr">
        <is>
          <t>PUSD1/2026/00490</t>
        </is>
      </c>
      <c r="C44" s="65" t="n">
        <v>944</v>
      </c>
      <c r="D44" s="65" t="inlineStr">
        <is>
          <t>Distribuidora Nesmari 2050 c.a</t>
        </is>
      </c>
      <c r="E44" s="63" t="inlineStr">
        <is>
          <t>70,00</t>
        </is>
      </c>
      <c r="F44" s="65" t="inlineStr">
        <is>
          <t>USD</t>
        </is>
      </c>
      <c r="G44" s="65" t="inlineStr">
        <is>
          <t>Efectivo moneda extrajera (USD)</t>
        </is>
      </c>
      <c r="H44" s="63" t="inlineStr">
        <is>
          <t>70,00</t>
        </is>
      </c>
      <c r="I44" s="65" t="n">
        <v>276</v>
      </c>
      <c r="J44" s="65" t="inlineStr">
        <is>
          <t>00-00000813</t>
        </is>
      </c>
      <c r="K44" s="66" t="n">
        <v>46214</v>
      </c>
      <c r="L44" s="63" t="inlineStr">
        <is>
          <t>83,81</t>
        </is>
      </c>
      <c r="M44" s="63" t="inlineStr">
        <is>
          <t>0,00</t>
        </is>
      </c>
    </row>
    <row r="45">
      <c r="A45" s="66" t="n">
        <v>46212</v>
      </c>
      <c r="B45" s="65" t="inlineStr">
        <is>
          <t>PUSD1/2026/00489</t>
        </is>
      </c>
      <c r="C45" s="65" t="n">
        <v>940</v>
      </c>
      <c r="D45" s="65" t="inlineStr">
        <is>
          <t>Repuestos Guia Dios Nuestro Camino,c.a.</t>
        </is>
      </c>
      <c r="E45" s="63" t="inlineStr">
        <is>
          <t>20,00</t>
        </is>
      </c>
      <c r="F45" s="65" t="inlineStr">
        <is>
          <t>USD</t>
        </is>
      </c>
      <c r="G45" s="65" t="inlineStr">
        <is>
          <t>Efectivo moneda extrajera (USD)</t>
        </is>
      </c>
      <c r="H45" s="63" t="inlineStr">
        <is>
          <t>20,00</t>
        </is>
      </c>
      <c r="I45" s="65" t="n"/>
      <c r="J45" s="65" t="n"/>
      <c r="K45" s="65" t="n"/>
      <c r="L45" s="65" t="n"/>
      <c r="M45" s="65" t="n"/>
    </row>
    <row r="46">
      <c r="A46" s="66" t="n">
        <v>46212</v>
      </c>
      <c r="B46" s="65" t="inlineStr">
        <is>
          <t>PUSD1/2026/00488</t>
        </is>
      </c>
      <c r="C46" s="65" t="n">
        <v>938</v>
      </c>
      <c r="D46" s="65" t="inlineStr">
        <is>
          <t>Emprendimiento Eduardo Pérez 6</t>
        </is>
      </c>
      <c r="E46" s="63" t="inlineStr">
        <is>
          <t>25,00</t>
        </is>
      </c>
      <c r="F46" s="65" t="inlineStr">
        <is>
          <t>USD</t>
        </is>
      </c>
      <c r="G46" s="65" t="inlineStr">
        <is>
          <t>Efectivo moneda extrajera (USD)</t>
        </is>
      </c>
      <c r="H46" s="63" t="inlineStr">
        <is>
          <t>25,00</t>
        </is>
      </c>
      <c r="I46" s="65" t="n"/>
      <c r="J46" s="65" t="n"/>
      <c r="K46" s="65" t="n"/>
      <c r="L46" s="65" t="n"/>
      <c r="M46" s="65" t="n"/>
    </row>
    <row r="47">
      <c r="A47" s="66" t="n">
        <v>46212</v>
      </c>
      <c r="B47" s="65" t="inlineStr">
        <is>
          <t>PUSD1/2026/00487</t>
        </is>
      </c>
      <c r="C47" s="65" t="n">
        <v>937</v>
      </c>
      <c r="D47" s="65" t="inlineStr">
        <is>
          <t>REPRESENTACIONES LAGUS MEL, C. A</t>
        </is>
      </c>
      <c r="E47" s="63" t="inlineStr">
        <is>
          <t>116,00</t>
        </is>
      </c>
      <c r="F47" s="65" t="inlineStr">
        <is>
          <t>USD</t>
        </is>
      </c>
      <c r="G47" s="65" t="inlineStr">
        <is>
          <t>Efectivo moneda extrajera (USD)</t>
        </is>
      </c>
      <c r="H47" s="63" t="inlineStr">
        <is>
          <t>116,00</t>
        </is>
      </c>
      <c r="I47" s="65" t="n"/>
      <c r="J47" s="65" t="n"/>
      <c r="K47" s="65" t="n"/>
      <c r="L47" s="65" t="n"/>
      <c r="M47" s="65" t="n"/>
    </row>
    <row r="48">
      <c r="A48" s="66" t="n">
        <v>46212</v>
      </c>
      <c r="B48" s="65" t="inlineStr">
        <is>
          <t>PUSD1/2026/00486</t>
        </is>
      </c>
      <c r="C48" s="65" t="n">
        <v>936</v>
      </c>
      <c r="D48" s="65" t="inlineStr">
        <is>
          <t>INVERSIONES R&amp;C 1817, c.a.</t>
        </is>
      </c>
      <c r="E48" s="63" t="inlineStr">
        <is>
          <t>136,00</t>
        </is>
      </c>
      <c r="F48" s="65" t="inlineStr">
        <is>
          <t>USD</t>
        </is>
      </c>
      <c r="G48" s="65" t="inlineStr">
        <is>
          <t>Efectivo moneda extrajera (USD)</t>
        </is>
      </c>
      <c r="H48" s="63" t="inlineStr">
        <is>
          <t>136,00</t>
        </is>
      </c>
      <c r="I48" s="65" t="n"/>
      <c r="J48" s="65" t="n"/>
      <c r="K48" s="65" t="n"/>
      <c r="L48" s="65" t="n"/>
      <c r="M48" s="65" t="n"/>
    </row>
    <row r="49">
      <c r="A49" s="66" t="n">
        <v>46212</v>
      </c>
      <c r="B49" s="65" t="inlineStr">
        <is>
          <t>PBNB/2026/00008</t>
        </is>
      </c>
      <c r="C49" s="65" t="n">
        <v>942</v>
      </c>
      <c r="D49" s="65" t="inlineStr">
        <is>
          <t>Multiservicio Tocome, C.A</t>
        </is>
      </c>
      <c r="E49" s="63" t="inlineStr">
        <is>
          <t>13,00</t>
        </is>
      </c>
      <c r="F49" s="65" t="inlineStr">
        <is>
          <t>USD</t>
        </is>
      </c>
      <c r="G49" s="65" t="inlineStr">
        <is>
          <t>Binance (USD)</t>
        </is>
      </c>
      <c r="H49" s="63" t="inlineStr">
        <is>
          <t>13,00</t>
        </is>
      </c>
      <c r="I49" s="65" t="n"/>
      <c r="J49" s="65" t="n"/>
      <c r="K49" s="65" t="n"/>
      <c r="L49" s="65" t="n"/>
      <c r="M49" s="65" t="n"/>
    </row>
    <row r="50">
      <c r="A50" s="66" t="n">
        <v>46212</v>
      </c>
      <c r="B50" s="65" t="inlineStr">
        <is>
          <t>PBAMI/2026/00251</t>
        </is>
      </c>
      <c r="C50" s="65" t="n">
        <v>945</v>
      </c>
      <c r="D50" s="65" t="inlineStr">
        <is>
          <t>Moto repuestos el casco 2050 c.a</t>
        </is>
      </c>
      <c r="E50" s="63" t="inlineStr">
        <is>
          <t>105.033,00</t>
        </is>
      </c>
      <c r="F50" s="65" t="inlineStr">
        <is>
          <t>VES</t>
        </is>
      </c>
      <c r="G50" s="65" t="inlineStr">
        <is>
          <t>Banco Bancamiga 7806</t>
        </is>
      </c>
      <c r="H50" s="63" t="inlineStr">
        <is>
          <t>150,00</t>
        </is>
      </c>
      <c r="I50" s="65" t="n"/>
      <c r="J50" s="65" t="n"/>
      <c r="K50" s="65" t="n"/>
      <c r="L50" s="65" t="n"/>
      <c r="M50" s="65" t="n"/>
    </row>
    <row r="51">
      <c r="A51" s="66" t="n">
        <v>46212</v>
      </c>
      <c r="B51" s="65" t="inlineStr">
        <is>
          <t>PBAMI/2026/00250</t>
        </is>
      </c>
      <c r="C51" s="65" t="n">
        <v>935</v>
      </c>
      <c r="D51" s="65" t="inlineStr">
        <is>
          <t>Alexis Rodríguez Fernández</t>
        </is>
      </c>
      <c r="E51" s="63" t="inlineStr">
        <is>
          <t>82.610,00</t>
        </is>
      </c>
      <c r="F51" s="65" t="inlineStr">
        <is>
          <t>VES</t>
        </is>
      </c>
      <c r="G51" s="65" t="inlineStr">
        <is>
          <t>Banco Bancamiga 7806</t>
        </is>
      </c>
      <c r="H51" s="63" t="inlineStr">
        <is>
          <t>117,98</t>
        </is>
      </c>
      <c r="I51" s="65" t="n">
        <v>252</v>
      </c>
      <c r="J51" s="65" t="inlineStr">
        <is>
          <t>00-00000774</t>
        </is>
      </c>
      <c r="K51" s="66" t="n">
        <v>46211</v>
      </c>
      <c r="L51" s="63" t="inlineStr">
        <is>
          <t>257,04</t>
        </is>
      </c>
      <c r="M51" s="63" t="inlineStr">
        <is>
          <t>0,00</t>
        </is>
      </c>
    </row>
    <row r="52">
      <c r="A52" s="66" t="n">
        <v>46212</v>
      </c>
      <c r="B52" s="65" t="inlineStr">
        <is>
          <t>PBAMI/2026/00249</t>
        </is>
      </c>
      <c r="C52" s="65" t="n">
        <v>934</v>
      </c>
      <c r="D52" s="65" t="inlineStr">
        <is>
          <t>AUTOPERIQUITOS LA CAMPIÑA C.A.</t>
        </is>
      </c>
      <c r="E52" s="63" t="inlineStr">
        <is>
          <t>14.004,00</t>
        </is>
      </c>
      <c r="F52" s="65" t="inlineStr">
        <is>
          <t>VES</t>
        </is>
      </c>
      <c r="G52" s="65" t="inlineStr">
        <is>
          <t>Banco Bancamiga 7806</t>
        </is>
      </c>
      <c r="H52" s="63" t="inlineStr">
        <is>
          <t>20,00</t>
        </is>
      </c>
      <c r="I52" s="65" t="n">
        <v>500</v>
      </c>
      <c r="J52" s="65" t="inlineStr">
        <is>
          <t>00-00001044</t>
        </is>
      </c>
      <c r="K52" s="66" t="n">
        <v>46217</v>
      </c>
      <c r="L52" s="63" t="inlineStr">
        <is>
          <t>60,01</t>
        </is>
      </c>
      <c r="M52" s="63" t="inlineStr">
        <is>
          <t>0,00</t>
        </is>
      </c>
    </row>
    <row r="53">
      <c r="A53" s="66" t="n">
        <v>46211</v>
      </c>
      <c r="B53" s="65" t="inlineStr">
        <is>
          <t>PUSD1/2026/00485</t>
        </is>
      </c>
      <c r="C53" s="65" t="n">
        <v>926</v>
      </c>
      <c r="D53" s="65" t="inlineStr">
        <is>
          <t>EMPRENDIMIENTO IRMA RODRIGUEZ 6</t>
        </is>
      </c>
      <c r="E53" s="63" t="inlineStr">
        <is>
          <t>144,00</t>
        </is>
      </c>
      <c r="F53" s="65" t="inlineStr">
        <is>
          <t>USD</t>
        </is>
      </c>
      <c r="G53" s="65" t="inlineStr">
        <is>
          <t>Efectivo moneda extrajera (USD)</t>
        </is>
      </c>
      <c r="H53" s="63" t="inlineStr">
        <is>
          <t>144,00</t>
        </is>
      </c>
      <c r="I53" s="65" t="n"/>
      <c r="J53" s="65" t="n"/>
      <c r="K53" s="65" t="n"/>
      <c r="L53" s="65" t="n"/>
      <c r="M53" s="65" t="n"/>
    </row>
    <row r="54">
      <c r="A54" s="66" t="n">
        <v>46211</v>
      </c>
      <c r="B54" s="65" t="inlineStr">
        <is>
          <t>PUSD1/2026/00473</t>
        </is>
      </c>
      <c r="C54" s="65" t="n">
        <v>925</v>
      </c>
      <c r="D54" s="65" t="inlineStr">
        <is>
          <t>Braulio R. Cedeño Gonzalez.</t>
        </is>
      </c>
      <c r="E54" s="63" t="inlineStr">
        <is>
          <t>75,00</t>
        </is>
      </c>
      <c r="F54" s="65" t="inlineStr">
        <is>
          <t>USD</t>
        </is>
      </c>
      <c r="G54" s="65" t="inlineStr">
        <is>
          <t>Efectivo moneda extrajera (USD)</t>
        </is>
      </c>
      <c r="H54" s="63" t="inlineStr">
        <is>
          <t>75,00</t>
        </is>
      </c>
      <c r="I54" s="65" t="n">
        <v>290</v>
      </c>
      <c r="J54" s="65" t="inlineStr">
        <is>
          <t>00-00000828</t>
        </is>
      </c>
      <c r="K54" s="66" t="n">
        <v>46214</v>
      </c>
      <c r="L54" s="63" t="inlineStr">
        <is>
          <t>9,00</t>
        </is>
      </c>
      <c r="M54" s="63" t="inlineStr">
        <is>
          <t>0,00</t>
        </is>
      </c>
    </row>
    <row r="55">
      <c r="A55" s="66" t="n">
        <v>46211</v>
      </c>
      <c r="B55" s="65" t="inlineStr">
        <is>
          <t>PUSD1/2026/00472</t>
        </is>
      </c>
      <c r="C55" s="65" t="n">
        <v>924</v>
      </c>
      <c r="D55" s="65" t="inlineStr">
        <is>
          <t>ELENA MEJIAS</t>
        </is>
      </c>
      <c r="E55" s="63" t="inlineStr">
        <is>
          <t>70,00</t>
        </is>
      </c>
      <c r="F55" s="65" t="inlineStr">
        <is>
          <t>USD</t>
        </is>
      </c>
      <c r="G55" s="65" t="inlineStr">
        <is>
          <t>Efectivo moneda extrajera (USD)</t>
        </is>
      </c>
      <c r="H55" s="63" t="inlineStr">
        <is>
          <t>70,00</t>
        </is>
      </c>
      <c r="I55" s="65" t="n">
        <v>256</v>
      </c>
      <c r="J55" s="65" t="inlineStr">
        <is>
          <t>00-00000784</t>
        </is>
      </c>
      <c r="K55" s="66" t="n">
        <v>46211</v>
      </c>
      <c r="L55" s="63" t="inlineStr">
        <is>
          <t>0,00</t>
        </is>
      </c>
      <c r="M55" s="63" t="inlineStr">
        <is>
          <t>0,00</t>
        </is>
      </c>
    </row>
    <row r="56">
      <c r="A56" s="66" t="n">
        <v>46211</v>
      </c>
      <c r="B56" s="65" t="inlineStr">
        <is>
          <t>PBDV/2026/00048</t>
        </is>
      </c>
      <c r="C56" s="65" t="n">
        <v>920</v>
      </c>
      <c r="D56" s="65" t="inlineStr">
        <is>
          <t>MOTOREPUESTOS EL GUANÁBANO YRM C.A.</t>
        </is>
      </c>
      <c r="E56" s="63" t="inlineStr">
        <is>
          <t>22.139,04</t>
        </is>
      </c>
      <c r="F56" s="65" t="inlineStr">
        <is>
          <t>VES</t>
        </is>
      </c>
      <c r="G56" s="65" t="inlineStr">
        <is>
          <t>Banco de Venezuela 6891</t>
        </is>
      </c>
      <c r="H56" s="63" t="inlineStr">
        <is>
          <t>32,28</t>
        </is>
      </c>
      <c r="I56" s="65" t="n"/>
      <c r="J56" s="65" t="n"/>
      <c r="K56" s="65" t="n"/>
      <c r="L56" s="65" t="n"/>
      <c r="M56" s="65" t="n"/>
    </row>
    <row r="57">
      <c r="A57" s="66" t="n">
        <v>46211</v>
      </c>
      <c r="B57" s="65" t="inlineStr">
        <is>
          <t>PBAMI/2026/00248</t>
        </is>
      </c>
      <c r="C57" s="65" t="n">
        <v>921</v>
      </c>
      <c r="D57" s="65" t="inlineStr">
        <is>
          <t>EMPRENDIMIENTO IRMA RODRIGUEZ 6</t>
        </is>
      </c>
      <c r="E57" s="63" t="inlineStr">
        <is>
          <t>318.000,00</t>
        </is>
      </c>
      <c r="F57" s="65" t="inlineStr">
        <is>
          <t>VES</t>
        </is>
      </c>
      <c r="G57" s="65" t="inlineStr">
        <is>
          <t>Banco Bancamiga 7806</t>
        </is>
      </c>
      <c r="H57" s="63" t="inlineStr">
        <is>
          <t>463,60</t>
        </is>
      </c>
      <c r="I57" s="65" t="n"/>
      <c r="J57" s="65" t="n"/>
      <c r="K57" s="65" t="n"/>
      <c r="L57" s="65" t="n"/>
      <c r="M57" s="65" t="n"/>
    </row>
    <row r="58">
      <c r="A58" s="66" t="n">
        <v>46211</v>
      </c>
      <c r="B58" s="65" t="inlineStr">
        <is>
          <t>PBAMI/2026/00247</t>
        </is>
      </c>
      <c r="C58" s="65" t="n">
        <v>923</v>
      </c>
      <c r="D58" s="65" t="inlineStr">
        <is>
          <t>AUTO REPUESTOS EL DUO 2013, C.A.</t>
        </is>
      </c>
      <c r="E58" s="63" t="inlineStr">
        <is>
          <t>94.337,33</t>
        </is>
      </c>
      <c r="F58" s="65" t="inlineStr">
        <is>
          <t>VES</t>
        </is>
      </c>
      <c r="G58" s="65" t="inlineStr">
        <is>
          <t>Banco Bancamiga 7806</t>
        </is>
      </c>
      <c r="H58" s="63" t="inlineStr">
        <is>
          <t>137,53</t>
        </is>
      </c>
      <c r="I58" s="65" t="n">
        <v>483</v>
      </c>
      <c r="J58" s="65" t="inlineStr">
        <is>
          <t>00-00001027</t>
        </is>
      </c>
      <c r="K58" s="66" t="n">
        <v>46217</v>
      </c>
      <c r="L58" s="63" t="inlineStr">
        <is>
          <t>60,13</t>
        </is>
      </c>
      <c r="M58" s="63" t="inlineStr">
        <is>
          <t>0,00</t>
        </is>
      </c>
    </row>
    <row r="59">
      <c r="A59" s="66" t="n">
        <v>46211</v>
      </c>
      <c r="B59" s="65" t="inlineStr">
        <is>
          <t>PBAMI/2026/00246</t>
        </is>
      </c>
      <c r="C59" s="65" t="n">
        <v>930</v>
      </c>
      <c r="D59" s="65" t="inlineStr">
        <is>
          <t>E&amp;M CAR SHOP C.A</t>
        </is>
      </c>
      <c r="E59" s="63" t="inlineStr">
        <is>
          <t>106.517,04</t>
        </is>
      </c>
      <c r="F59" s="65" t="inlineStr">
        <is>
          <t>VES</t>
        </is>
      </c>
      <c r="G59" s="65" t="inlineStr">
        <is>
          <t>Banco Bancamiga 7806</t>
        </is>
      </c>
      <c r="H59" s="63" t="inlineStr">
        <is>
          <t>155,29</t>
        </is>
      </c>
      <c r="I59" s="65" t="n"/>
      <c r="J59" s="65" t="n"/>
      <c r="K59" s="65" t="n"/>
      <c r="L59" s="65" t="n"/>
      <c r="M59" s="65" t="n"/>
    </row>
    <row r="60">
      <c r="A60" s="66" t="n">
        <v>46211</v>
      </c>
      <c r="B60" s="65" t="inlineStr">
        <is>
          <t>PBAMI/2026/00245</t>
        </is>
      </c>
      <c r="C60" s="65" t="n">
        <v>919</v>
      </c>
      <c r="D60" s="65" t="inlineStr">
        <is>
          <t>Javier Cardenas Prato.</t>
        </is>
      </c>
      <c r="E60" s="63" t="inlineStr">
        <is>
          <t>37.500,00</t>
        </is>
      </c>
      <c r="F60" s="65" t="inlineStr">
        <is>
          <t>VES</t>
        </is>
      </c>
      <c r="G60" s="65" t="inlineStr">
        <is>
          <t>Banco Bancamiga 7806</t>
        </is>
      </c>
      <c r="H60" s="63" t="inlineStr">
        <is>
          <t>54,67</t>
        </is>
      </c>
      <c r="I60" s="65" t="n"/>
      <c r="J60" s="65" t="n"/>
      <c r="K60" s="65" t="n"/>
      <c r="L60" s="65" t="n"/>
      <c r="M60" s="65" t="n"/>
    </row>
    <row r="61">
      <c r="A61" s="66" t="n">
        <v>46210</v>
      </c>
      <c r="B61" s="65" t="inlineStr">
        <is>
          <t>PUSD1/2026/00471</t>
        </is>
      </c>
      <c r="C61" s="65" t="n">
        <v>910</v>
      </c>
      <c r="D61" s="65" t="inlineStr">
        <is>
          <t>Anthony Jose Quijada Diaz.</t>
        </is>
      </c>
      <c r="E61" s="63" t="inlineStr">
        <is>
          <t>399,00</t>
        </is>
      </c>
      <c r="F61" s="65" t="inlineStr">
        <is>
          <t>USD</t>
        </is>
      </c>
      <c r="G61" s="65" t="inlineStr">
        <is>
          <t>Efectivo moneda extrajera (USD)</t>
        </is>
      </c>
      <c r="H61" s="63" t="inlineStr">
        <is>
          <t>399,00</t>
        </is>
      </c>
      <c r="I61" s="65" t="n">
        <v>320</v>
      </c>
      <c r="J61" s="65" t="inlineStr">
        <is>
          <t>00-00000862</t>
        </is>
      </c>
      <c r="K61" s="66" t="n">
        <v>46215</v>
      </c>
      <c r="L61" s="63" t="inlineStr">
        <is>
          <t>0,00</t>
        </is>
      </c>
      <c r="M61" s="63" t="inlineStr">
        <is>
          <t>0,00</t>
        </is>
      </c>
    </row>
    <row r="62">
      <c r="A62" s="66" t="n">
        <v>46210</v>
      </c>
      <c r="B62" s="65" t="inlineStr">
        <is>
          <t>PUSD1/2026/00470</t>
        </is>
      </c>
      <c r="C62" s="65" t="n">
        <v>916</v>
      </c>
      <c r="D62" s="65" t="inlineStr">
        <is>
          <t>Victor Ordaz</t>
        </is>
      </c>
      <c r="E62" s="63" t="inlineStr">
        <is>
          <t>200,00</t>
        </is>
      </c>
      <c r="F62" s="65" t="inlineStr">
        <is>
          <t>USD</t>
        </is>
      </c>
      <c r="G62" s="65" t="inlineStr">
        <is>
          <t>Efectivo moneda extrajera (USD)</t>
        </is>
      </c>
      <c r="H62" s="63" t="inlineStr">
        <is>
          <t>200,00</t>
        </is>
      </c>
      <c r="I62" s="65" t="n">
        <v>261</v>
      </c>
      <c r="J62" s="65" t="inlineStr">
        <is>
          <t>00-00000798</t>
        </is>
      </c>
      <c r="K62" s="66" t="n">
        <v>46214</v>
      </c>
      <c r="L62" s="63" t="inlineStr">
        <is>
          <t>249,01</t>
        </is>
      </c>
      <c r="M62" s="63" t="inlineStr">
        <is>
          <t>0,00</t>
        </is>
      </c>
    </row>
    <row r="63">
      <c r="A63" s="66" t="n">
        <v>46210</v>
      </c>
      <c r="B63" s="65" t="inlineStr">
        <is>
          <t>PUSD1/2026/00469</t>
        </is>
      </c>
      <c r="C63" s="65" t="n">
        <v>917</v>
      </c>
      <c r="D63" s="65" t="inlineStr">
        <is>
          <t>Pedro Castro</t>
        </is>
      </c>
      <c r="E63" s="63" t="inlineStr">
        <is>
          <t>100,00</t>
        </is>
      </c>
      <c r="F63" s="65" t="inlineStr">
        <is>
          <t>USD</t>
        </is>
      </c>
      <c r="G63" s="65" t="inlineStr">
        <is>
          <t>Efectivo moneda extrajera (USD)</t>
        </is>
      </c>
      <c r="H63" s="63" t="inlineStr">
        <is>
          <t>100,00</t>
        </is>
      </c>
      <c r="I63" s="65" t="n"/>
      <c r="J63" s="65" t="n"/>
      <c r="K63" s="65" t="n"/>
      <c r="L63" s="65" t="n"/>
      <c r="M63" s="65" t="n"/>
    </row>
    <row r="64">
      <c r="A64" s="66" t="n">
        <v>46210</v>
      </c>
      <c r="B64" s="65" t="inlineStr">
        <is>
          <t>PUSD1/2026/00468</t>
        </is>
      </c>
      <c r="C64" s="65" t="n">
        <v>918</v>
      </c>
      <c r="D64" s="65" t="inlineStr">
        <is>
          <t>Inversiones Mirelkys C.A</t>
        </is>
      </c>
      <c r="E64" s="63" t="inlineStr">
        <is>
          <t>45,00</t>
        </is>
      </c>
      <c r="F64" s="65" t="inlineStr">
        <is>
          <t>USD</t>
        </is>
      </c>
      <c r="G64" s="65" t="inlineStr">
        <is>
          <t>Efectivo moneda extrajera (USD)</t>
        </is>
      </c>
      <c r="H64" s="63" t="inlineStr">
        <is>
          <t>45,00</t>
        </is>
      </c>
      <c r="I64" s="65" t="n"/>
      <c r="J64" s="65" t="n"/>
      <c r="K64" s="65" t="n"/>
      <c r="L64" s="65" t="n"/>
      <c r="M64" s="65" t="n"/>
    </row>
    <row r="65">
      <c r="A65" s="66" t="n">
        <v>46210</v>
      </c>
      <c r="B65" s="65" t="inlineStr">
        <is>
          <t>PUSD1/2026/00467</t>
        </is>
      </c>
      <c r="C65" s="65" t="n">
        <v>915</v>
      </c>
      <c r="D65" s="65" t="inlineStr">
        <is>
          <t>Auto repuestos Fontalvo</t>
        </is>
      </c>
      <c r="E65" s="63" t="inlineStr">
        <is>
          <t>4,00</t>
        </is>
      </c>
      <c r="F65" s="65" t="inlineStr">
        <is>
          <t>USD</t>
        </is>
      </c>
      <c r="G65" s="65" t="inlineStr">
        <is>
          <t>Efectivo moneda extrajera (USD)</t>
        </is>
      </c>
      <c r="H65" s="63" t="inlineStr">
        <is>
          <t>4,00</t>
        </is>
      </c>
      <c r="I65" s="65" t="n">
        <v>486</v>
      </c>
      <c r="J65" s="65" t="inlineStr">
        <is>
          <t>00-00001030</t>
        </is>
      </c>
      <c r="K65" s="66" t="n">
        <v>46217</v>
      </c>
      <c r="L65" s="63" t="inlineStr">
        <is>
          <t>71,98</t>
        </is>
      </c>
      <c r="M65" s="63" t="inlineStr">
        <is>
          <t>0,00</t>
        </is>
      </c>
    </row>
    <row r="66">
      <c r="A66" s="66" t="n">
        <v>46210</v>
      </c>
      <c r="B66" s="65" t="inlineStr">
        <is>
          <t>PUSD1/2026/00466</t>
        </is>
      </c>
      <c r="C66" s="65" t="n">
        <v>914</v>
      </c>
      <c r="D66" s="65" t="inlineStr">
        <is>
          <t>Auto repuestos Fontalvo</t>
        </is>
      </c>
      <c r="E66" s="63" t="inlineStr">
        <is>
          <t>76,00</t>
        </is>
      </c>
      <c r="F66" s="65" t="inlineStr">
        <is>
          <t>USD</t>
        </is>
      </c>
      <c r="G66" s="65" t="inlineStr">
        <is>
          <t>Efectivo moneda extrajera (USD)</t>
        </is>
      </c>
      <c r="H66" s="63" t="inlineStr">
        <is>
          <t>76,00</t>
        </is>
      </c>
      <c r="I66" s="65" t="n">
        <v>383</v>
      </c>
      <c r="J66" s="65" t="inlineStr">
        <is>
          <t>00-00000926</t>
        </is>
      </c>
      <c r="K66" s="66" t="n">
        <v>46216</v>
      </c>
      <c r="L66" s="63" t="inlineStr">
        <is>
          <t>0,00</t>
        </is>
      </c>
      <c r="M66" s="63" t="inlineStr">
        <is>
          <t>0,00</t>
        </is>
      </c>
    </row>
    <row r="67">
      <c r="A67" s="65" t="n"/>
      <c r="B67" s="65" t="n"/>
      <c r="C67" s="65" t="n"/>
      <c r="D67" s="65" t="n"/>
      <c r="E67" s="65" t="n"/>
      <c r="F67" s="65" t="n"/>
      <c r="G67" s="65" t="n"/>
      <c r="H67" s="65" t="n"/>
      <c r="I67" s="65" t="n">
        <v>486</v>
      </c>
      <c r="J67" s="65" t="inlineStr">
        <is>
          <t>00-00001030</t>
        </is>
      </c>
      <c r="K67" s="66" t="n">
        <v>46217</v>
      </c>
      <c r="L67" s="63" t="inlineStr">
        <is>
          <t>71,98</t>
        </is>
      </c>
      <c r="M67" s="63" t="inlineStr">
        <is>
          <t>0,00</t>
        </is>
      </c>
    </row>
    <row r="68">
      <c r="A68" s="66" t="n">
        <v>46210</v>
      </c>
      <c r="B68" s="65" t="inlineStr">
        <is>
          <t>PBAMI/2026/00244</t>
        </is>
      </c>
      <c r="C68" s="65" t="n">
        <v>927</v>
      </c>
      <c r="D68" s="65" t="inlineStr">
        <is>
          <t>Sandra Katherine Quintero Crespo</t>
        </is>
      </c>
      <c r="E68" s="63" t="inlineStr">
        <is>
          <t>69.850,00</t>
        </is>
      </c>
      <c r="F68" s="65" t="inlineStr">
        <is>
          <t>VES</t>
        </is>
      </c>
      <c r="G68" s="65" t="inlineStr">
        <is>
          <t>Banco Bancamiga 7806</t>
        </is>
      </c>
      <c r="H68" s="63" t="inlineStr">
        <is>
          <t>103,49</t>
        </is>
      </c>
      <c r="I68" s="65" t="n"/>
      <c r="J68" s="65" t="n"/>
      <c r="K68" s="65" t="n"/>
      <c r="L68" s="65" t="n"/>
      <c r="M68" s="65" t="n"/>
    </row>
    <row r="69">
      <c r="A69" s="66" t="n">
        <v>46210</v>
      </c>
      <c r="B69" s="65" t="inlineStr">
        <is>
          <t>PBAMI/2026/00243</t>
        </is>
      </c>
      <c r="C69" s="65" t="n">
        <v>928</v>
      </c>
      <c r="D69" s="65" t="inlineStr">
        <is>
          <t>AUTOLAVADO ANDRES BELLO C.A</t>
        </is>
      </c>
      <c r="E69" s="63" t="inlineStr">
        <is>
          <t>228.740,52</t>
        </is>
      </c>
      <c r="F69" s="65" t="inlineStr">
        <is>
          <t>VES</t>
        </is>
      </c>
      <c r="G69" s="65" t="inlineStr">
        <is>
          <t>Banco Bancamiga 7806</t>
        </is>
      </c>
      <c r="H69" s="63" t="inlineStr">
        <is>
          <t>338,91</t>
        </is>
      </c>
      <c r="I69" s="65" t="n">
        <v>481</v>
      </c>
      <c r="J69" s="65" t="inlineStr">
        <is>
          <t>00-00001025</t>
        </is>
      </c>
      <c r="K69" s="66" t="n">
        <v>46217</v>
      </c>
      <c r="L69" s="63" t="inlineStr">
        <is>
          <t>0,00</t>
        </is>
      </c>
      <c r="M69" s="63" t="inlineStr">
        <is>
          <t>0,00</t>
        </is>
      </c>
    </row>
    <row r="70">
      <c r="A70" s="66" t="n">
        <v>46210</v>
      </c>
      <c r="B70" s="65" t="inlineStr">
        <is>
          <t>PBAMI/2026/00226</t>
        </is>
      </c>
      <c r="C70" s="65" t="n">
        <v>913</v>
      </c>
      <c r="D70" s="65" t="inlineStr">
        <is>
          <t>Melany Madrid</t>
        </is>
      </c>
      <c r="E70" s="63" t="inlineStr">
        <is>
          <t>166.440,00</t>
        </is>
      </c>
      <c r="F70" s="65" t="inlineStr">
        <is>
          <t>VES</t>
        </is>
      </c>
      <c r="G70" s="65" t="inlineStr">
        <is>
          <t>Banco Bancamiga 7806</t>
        </is>
      </c>
      <c r="H70" s="63" t="inlineStr">
        <is>
          <t>246,60</t>
        </is>
      </c>
      <c r="I70" s="65" t="n"/>
      <c r="J70" s="65" t="n"/>
      <c r="K70" s="65" t="n"/>
      <c r="L70" s="65" t="n"/>
      <c r="M70" s="65" t="n"/>
    </row>
    <row r="71">
      <c r="A71" s="66" t="n">
        <v>46209</v>
      </c>
      <c r="B71" s="65" t="inlineStr">
        <is>
          <t>PZEFLU/2026/00002</t>
        </is>
      </c>
      <c r="C71" s="65" t="n">
        <v>908</v>
      </c>
      <c r="D71" s="65" t="inlineStr">
        <is>
          <t>Dimas Ortíz</t>
        </is>
      </c>
      <c r="E71" s="63" t="inlineStr">
        <is>
          <t>230,00</t>
        </is>
      </c>
      <c r="F71" s="65" t="inlineStr">
        <is>
          <t>USD</t>
        </is>
      </c>
      <c r="G71" s="65" t="inlineStr">
        <is>
          <t>Zelle Fluasa (USD)</t>
        </is>
      </c>
      <c r="H71" s="63" t="inlineStr">
        <is>
          <t>230,00</t>
        </is>
      </c>
      <c r="I71" s="65" t="n"/>
      <c r="J71" s="65" t="n"/>
      <c r="K71" s="65" t="n"/>
      <c r="L71" s="65" t="n"/>
      <c r="M71" s="65" t="n"/>
    </row>
    <row r="72">
      <c r="A72" s="66" t="n">
        <v>46209</v>
      </c>
      <c r="B72" s="65" t="inlineStr">
        <is>
          <t>PUSD1/2026/00464</t>
        </is>
      </c>
      <c r="C72" s="65" t="n">
        <v>907</v>
      </c>
      <c r="D72" s="65" t="inlineStr">
        <is>
          <t>HP Repuestos 2007 C.A</t>
        </is>
      </c>
      <c r="E72" s="63" t="inlineStr">
        <is>
          <t>70,00</t>
        </is>
      </c>
      <c r="F72" s="65" t="inlineStr">
        <is>
          <t>USD</t>
        </is>
      </c>
      <c r="G72" s="65" t="inlineStr">
        <is>
          <t>Efectivo moneda extrajera (USD)</t>
        </is>
      </c>
      <c r="H72" s="63" t="inlineStr">
        <is>
          <t>70,00</t>
        </is>
      </c>
      <c r="I72" s="65" t="n"/>
      <c r="J72" s="65" t="n"/>
      <c r="K72" s="65" t="n"/>
      <c r="L72" s="65" t="n"/>
      <c r="M72" s="65" t="n"/>
    </row>
    <row r="73">
      <c r="A73" s="66" t="n">
        <v>46209</v>
      </c>
      <c r="B73" s="65" t="inlineStr">
        <is>
          <t>PUSD1/2026/00463</t>
        </is>
      </c>
      <c r="C73" s="65" t="n">
        <v>909</v>
      </c>
      <c r="D73" s="65" t="inlineStr">
        <is>
          <t>Carlos Ruiz</t>
        </is>
      </c>
      <c r="E73" s="63" t="inlineStr">
        <is>
          <t>200,00</t>
        </is>
      </c>
      <c r="F73" s="65" t="inlineStr">
        <is>
          <t>USD</t>
        </is>
      </c>
      <c r="G73" s="65" t="inlineStr">
        <is>
          <t>Efectivo moneda extrajera (USD)</t>
        </is>
      </c>
      <c r="H73" s="63" t="inlineStr">
        <is>
          <t>200,00</t>
        </is>
      </c>
      <c r="I73" s="65" t="n"/>
      <c r="J73" s="65" t="n"/>
      <c r="K73" s="65" t="n"/>
      <c r="L73" s="65" t="n"/>
      <c r="M73" s="65" t="n"/>
    </row>
    <row r="74">
      <c r="A74" s="66" t="n">
        <v>46209</v>
      </c>
      <c r="B74" s="65" t="inlineStr">
        <is>
          <t>PBNB/2026/00006</t>
        </is>
      </c>
      <c r="C74" s="65" t="n">
        <v>905</v>
      </c>
      <c r="D74" s="65" t="inlineStr">
        <is>
          <t>SJMG 2012 C.A</t>
        </is>
      </c>
      <c r="E74" s="63" t="inlineStr">
        <is>
          <t>130,00</t>
        </is>
      </c>
      <c r="F74" s="65" t="inlineStr">
        <is>
          <t>USD</t>
        </is>
      </c>
      <c r="G74" s="65" t="inlineStr">
        <is>
          <t>Binance (USD)</t>
        </is>
      </c>
      <c r="H74" s="63" t="inlineStr">
        <is>
          <t>130,00</t>
        </is>
      </c>
      <c r="I74" s="65" t="n"/>
      <c r="J74" s="65" t="n"/>
      <c r="K74" s="65" t="n"/>
      <c r="L74" s="65" t="n"/>
      <c r="M74" s="65" t="n"/>
    </row>
    <row r="75">
      <c r="A75" s="66" t="n">
        <v>46209</v>
      </c>
      <c r="B75" s="65" t="inlineStr">
        <is>
          <t>PBDV/2026/00041</t>
        </is>
      </c>
      <c r="C75" s="65" t="n">
        <v>904</v>
      </c>
      <c r="D75" s="65" t="inlineStr">
        <is>
          <t>SJMG 2012 C.A</t>
        </is>
      </c>
      <c r="E75" s="63" t="inlineStr">
        <is>
          <t>369.000,00</t>
        </is>
      </c>
      <c r="F75" s="65" t="inlineStr">
        <is>
          <t>VES</t>
        </is>
      </c>
      <c r="G75" s="65" t="inlineStr">
        <is>
          <t>Banco de Venezuela 6891</t>
        </is>
      </c>
      <c r="H75" s="63" t="inlineStr">
        <is>
          <t>553,18</t>
        </is>
      </c>
      <c r="I75" s="65" t="n"/>
      <c r="J75" s="65" t="n"/>
      <c r="K75" s="65" t="n"/>
      <c r="L75" s="65" t="n"/>
      <c r="M75" s="65" t="n"/>
    </row>
    <row r="76">
      <c r="A76" s="66" t="n">
        <v>46209</v>
      </c>
      <c r="B76" s="65" t="inlineStr">
        <is>
          <t>PBAMI/2026/00225</t>
        </is>
      </c>
      <c r="C76" s="65" t="n">
        <v>912</v>
      </c>
      <c r="D76" s="65" t="inlineStr">
        <is>
          <t>Lubristation, C.A.</t>
        </is>
      </c>
      <c r="E76" s="63" t="inlineStr">
        <is>
          <t>126.918,26</t>
        </is>
      </c>
      <c r="F76" s="65" t="inlineStr">
        <is>
          <t>VES</t>
        </is>
      </c>
      <c r="G76" s="65" t="inlineStr">
        <is>
          <t>Banco Bancamiga 7806</t>
        </is>
      </c>
      <c r="H76" s="63" t="inlineStr">
        <is>
          <t>190,27</t>
        </is>
      </c>
      <c r="I76" s="65" t="n"/>
      <c r="J76" s="65" t="n"/>
      <c r="K76" s="65" t="n"/>
      <c r="L76" s="65" t="n"/>
      <c r="M76" s="65" t="n"/>
    </row>
    <row r="77">
      <c r="A77" s="66" t="n">
        <v>46209</v>
      </c>
      <c r="B77" s="65" t="inlineStr">
        <is>
          <t>PBAMI/2026/00224</t>
        </is>
      </c>
      <c r="C77" s="65" t="n">
        <v>906</v>
      </c>
      <c r="D77" s="65" t="inlineStr">
        <is>
          <t>SERVICIOS Y MANTENIMIENTO SPACARS, C.A</t>
        </is>
      </c>
      <c r="E77" s="63" t="inlineStr">
        <is>
          <t>113.925,46</t>
        </is>
      </c>
      <c r="F77" s="65" t="inlineStr">
        <is>
          <t>VES</t>
        </is>
      </c>
      <c r="G77" s="65" t="inlineStr">
        <is>
          <t>Banco Bancamiga 7806</t>
        </is>
      </c>
      <c r="H77" s="63" t="inlineStr">
        <is>
          <t>170,79</t>
        </is>
      </c>
      <c r="I77" s="65" t="n"/>
      <c r="J77" s="65" t="n"/>
      <c r="K77" s="65" t="n"/>
      <c r="L77" s="65" t="n"/>
      <c r="M77" s="65" t="n"/>
    </row>
    <row r="78">
      <c r="A78" s="66" t="n">
        <v>46206</v>
      </c>
      <c r="B78" s="65" t="inlineStr">
        <is>
          <t>PZEFLU/2026/00005</t>
        </is>
      </c>
      <c r="C78" s="65" t="n">
        <v>965</v>
      </c>
      <c r="D78" s="65" t="inlineStr">
        <is>
          <t>ELISA ALEJANDRA JIMÉNEZ SUÁREZ</t>
        </is>
      </c>
      <c r="E78" s="63" t="inlineStr">
        <is>
          <t>70,00</t>
        </is>
      </c>
      <c r="F78" s="65" t="inlineStr">
        <is>
          <t>USD</t>
        </is>
      </c>
      <c r="G78" s="65" t="inlineStr">
        <is>
          <t>Zelle Fluasa (USD)</t>
        </is>
      </c>
      <c r="H78" s="63" t="inlineStr">
        <is>
          <t>70,00</t>
        </is>
      </c>
      <c r="I78" s="65" t="n"/>
      <c r="J78" s="65" t="n"/>
      <c r="K78" s="65" t="n"/>
      <c r="L78" s="65" t="n"/>
      <c r="M78" s="65" t="n"/>
    </row>
    <row r="79">
      <c r="A79" s="66" t="n">
        <v>46206</v>
      </c>
      <c r="B79" s="65" t="inlineStr">
        <is>
          <t>PZEFLU/2026/00001</t>
        </is>
      </c>
      <c r="C79" s="65" t="n">
        <v>901</v>
      </c>
      <c r="D79" s="65" t="inlineStr">
        <is>
          <t>Dimas Ortíz</t>
        </is>
      </c>
      <c r="E79" s="63" t="inlineStr">
        <is>
          <t>120,00</t>
        </is>
      </c>
      <c r="F79" s="65" t="inlineStr">
        <is>
          <t>USD</t>
        </is>
      </c>
      <c r="G79" s="65" t="inlineStr">
        <is>
          <t>Zelle Fluasa (USD)</t>
        </is>
      </c>
      <c r="H79" s="63" t="inlineStr">
        <is>
          <t>120,00</t>
        </is>
      </c>
      <c r="I79" s="65" t="n"/>
      <c r="J79" s="65" t="n"/>
      <c r="K79" s="65" t="n"/>
      <c r="L79" s="65" t="n"/>
      <c r="M79" s="65" t="n"/>
    </row>
    <row r="80">
      <c r="A80" s="66" t="n">
        <v>46206</v>
      </c>
      <c r="B80" s="65" t="inlineStr">
        <is>
          <t>PUSD1/2026/00461</t>
        </is>
      </c>
      <c r="C80" s="65" t="n">
        <v>895</v>
      </c>
      <c r="D80" s="65" t="inlineStr">
        <is>
          <t>Wili Mervin León Romero</t>
        </is>
      </c>
      <c r="E80" s="63" t="inlineStr">
        <is>
          <t>70,00</t>
        </is>
      </c>
      <c r="F80" s="65" t="inlineStr">
        <is>
          <t>USD</t>
        </is>
      </c>
      <c r="G80" s="65" t="inlineStr">
        <is>
          <t>Efectivo moneda extrajera (USD)</t>
        </is>
      </c>
      <c r="H80" s="63" t="inlineStr">
        <is>
          <t>70,00</t>
        </is>
      </c>
      <c r="I80" s="65" t="n"/>
      <c r="J80" s="65" t="n"/>
      <c r="K80" s="65" t="n"/>
      <c r="L80" s="65" t="n"/>
      <c r="M80" s="65" t="n"/>
    </row>
    <row r="81">
      <c r="A81" s="66" t="n">
        <v>46206</v>
      </c>
      <c r="B81" s="65" t="inlineStr">
        <is>
          <t>PUSD1/2026/00460</t>
        </is>
      </c>
      <c r="C81" s="65" t="n">
        <v>894</v>
      </c>
      <c r="D81" s="65" t="inlineStr">
        <is>
          <t>Luis Eduardo Piñero Calcurian</t>
        </is>
      </c>
      <c r="E81" s="63" t="inlineStr">
        <is>
          <t>100,00</t>
        </is>
      </c>
      <c r="F81" s="65" t="inlineStr">
        <is>
          <t>USD</t>
        </is>
      </c>
      <c r="G81" s="65" t="inlineStr">
        <is>
          <t>Efectivo moneda extrajera (USD)</t>
        </is>
      </c>
      <c r="H81" s="63" t="inlineStr">
        <is>
          <t>100,00</t>
        </is>
      </c>
      <c r="I81" s="65" t="n"/>
      <c r="J81" s="65" t="n"/>
      <c r="K81" s="65" t="n"/>
      <c r="L81" s="65" t="n"/>
      <c r="M81" s="65" t="n"/>
    </row>
    <row r="82">
      <c r="A82" s="66" t="n">
        <v>46206</v>
      </c>
      <c r="B82" s="65" t="inlineStr">
        <is>
          <t>PUSD1/2026/00459</t>
        </is>
      </c>
      <c r="C82" s="65" t="n">
        <v>893</v>
      </c>
      <c r="D82" s="65" t="inlineStr">
        <is>
          <t>Inversiones Vercris 17 C.A</t>
        </is>
      </c>
      <c r="E82" s="63" t="inlineStr">
        <is>
          <t>30,00</t>
        </is>
      </c>
      <c r="F82" s="65" t="inlineStr">
        <is>
          <t>USD</t>
        </is>
      </c>
      <c r="G82" s="65" t="inlineStr">
        <is>
          <t>Efectivo moneda extrajera (USD)</t>
        </is>
      </c>
      <c r="H82" s="63" t="inlineStr">
        <is>
          <t>30,00</t>
        </is>
      </c>
      <c r="I82" s="65" t="n"/>
      <c r="J82" s="65" t="n"/>
      <c r="K82" s="65" t="n"/>
      <c r="L82" s="65" t="n"/>
      <c r="M82" s="65" t="n"/>
    </row>
    <row r="83">
      <c r="A83" s="66" t="n">
        <v>46206</v>
      </c>
      <c r="B83" s="65" t="inlineStr">
        <is>
          <t>PUSD1/2026/00457</t>
        </is>
      </c>
      <c r="C83" s="65" t="n">
        <v>886</v>
      </c>
      <c r="D83" s="65" t="inlineStr">
        <is>
          <t>INVERSIONES JOSCAR XXI, S.A.</t>
        </is>
      </c>
      <c r="E83" s="63" t="inlineStr">
        <is>
          <t>3,00</t>
        </is>
      </c>
      <c r="F83" s="65" t="inlineStr">
        <is>
          <t>USD</t>
        </is>
      </c>
      <c r="G83" s="65" t="inlineStr">
        <is>
          <t>Efectivo moneda extrajera (USD)</t>
        </is>
      </c>
      <c r="H83" s="63" t="inlineStr">
        <is>
          <t>3,00</t>
        </is>
      </c>
      <c r="I83" s="65" t="n"/>
      <c r="J83" s="65" t="n"/>
      <c r="K83" s="65" t="n"/>
      <c r="L83" s="65" t="n"/>
      <c r="M83" s="65" t="n"/>
    </row>
    <row r="84">
      <c r="A84" s="66" t="n">
        <v>46206</v>
      </c>
      <c r="B84" s="65" t="inlineStr">
        <is>
          <t>PUSD1/2026/00456</t>
        </is>
      </c>
      <c r="C84" s="65" t="n">
        <v>885</v>
      </c>
      <c r="D84" s="65" t="inlineStr">
        <is>
          <t>INVERSIONES JOSCAR XXI, S.A.</t>
        </is>
      </c>
      <c r="E84" s="63" t="inlineStr">
        <is>
          <t>52,00</t>
        </is>
      </c>
      <c r="F84" s="65" t="inlineStr">
        <is>
          <t>USD</t>
        </is>
      </c>
      <c r="G84" s="65" t="inlineStr">
        <is>
          <t>Efectivo moneda extrajera (USD)</t>
        </is>
      </c>
      <c r="H84" s="63" t="inlineStr">
        <is>
          <t>52,00</t>
        </is>
      </c>
      <c r="I84" s="65" t="n"/>
      <c r="J84" s="65" t="n"/>
      <c r="K84" s="65" t="n"/>
      <c r="L84" s="65" t="n"/>
      <c r="M84" s="65" t="n"/>
    </row>
    <row r="85">
      <c r="A85" s="66" t="n">
        <v>46206</v>
      </c>
      <c r="B85" s="65" t="inlineStr">
        <is>
          <t>PBAMI/2026/00223</t>
        </is>
      </c>
      <c r="C85" s="65" t="n">
        <v>902</v>
      </c>
      <c r="D85" s="65" t="inlineStr">
        <is>
          <t>E&amp;M CAR SHOP C.A</t>
        </is>
      </c>
      <c r="E85" s="63" t="inlineStr">
        <is>
          <t>96.070,00</t>
        </is>
      </c>
      <c r="F85" s="65" t="inlineStr">
        <is>
          <t>VES</t>
        </is>
      </c>
      <c r="G85" s="65" t="inlineStr">
        <is>
          <t>Banco Bancamiga 7806</t>
        </is>
      </c>
      <c r="H85" s="63" t="inlineStr">
        <is>
          <t>147,13</t>
        </is>
      </c>
      <c r="I85" s="65" t="n"/>
      <c r="J85" s="65" t="n"/>
      <c r="K85" s="65" t="n"/>
      <c r="L85" s="65" t="n"/>
      <c r="M85" s="65" t="n"/>
    </row>
    <row r="86">
      <c r="A86" s="66" t="n">
        <v>46206</v>
      </c>
      <c r="B86" s="65" t="inlineStr">
        <is>
          <t>PBAMI/2026/00222</t>
        </is>
      </c>
      <c r="C86" s="65" t="n">
        <v>890</v>
      </c>
      <c r="D86" s="65" t="inlineStr">
        <is>
          <t>Ricardo A. Fernandez.</t>
        </is>
      </c>
      <c r="E86" s="63" t="inlineStr">
        <is>
          <t>30.000,00</t>
        </is>
      </c>
      <c r="F86" s="65" t="inlineStr">
        <is>
          <t>VES</t>
        </is>
      </c>
      <c r="G86" s="65" t="inlineStr">
        <is>
          <t>Banco Bancamiga 7806</t>
        </is>
      </c>
      <c r="H86" s="63" t="inlineStr">
        <is>
          <t>45,94</t>
        </is>
      </c>
      <c r="I86" s="65" t="n"/>
      <c r="J86" s="65" t="n"/>
      <c r="K86" s="65" t="n"/>
      <c r="L86" s="65" t="n"/>
      <c r="M86" s="65" t="n"/>
    </row>
    <row r="87">
      <c r="A87" s="66" t="n">
        <v>46206</v>
      </c>
      <c r="B87" s="65" t="inlineStr">
        <is>
          <t>PBAMI/2026/00221</t>
        </is>
      </c>
      <c r="C87" s="65" t="n">
        <v>889</v>
      </c>
      <c r="D87" s="65" t="inlineStr">
        <is>
          <t>Inversiones Famasa, C.A</t>
        </is>
      </c>
      <c r="E87" s="63" t="inlineStr">
        <is>
          <t>55.860,00</t>
        </is>
      </c>
      <c r="F87" s="65" t="inlineStr">
        <is>
          <t>VES</t>
        </is>
      </c>
      <c r="G87" s="65" t="inlineStr">
        <is>
          <t>Banco Bancamiga 7806</t>
        </is>
      </c>
      <c r="H87" s="63" t="inlineStr">
        <is>
          <t>85,55</t>
        </is>
      </c>
      <c r="I87" s="65" t="n"/>
      <c r="J87" s="65" t="n"/>
      <c r="K87" s="65" t="n"/>
      <c r="L87" s="65" t="n"/>
      <c r="M87" s="65" t="n"/>
    </row>
    <row r="88">
      <c r="A88" s="66" t="n">
        <v>46206</v>
      </c>
      <c r="B88" s="65" t="inlineStr">
        <is>
          <t>PBAMI/2026/00220</t>
        </is>
      </c>
      <c r="C88" s="65" t="n">
        <v>888</v>
      </c>
      <c r="D88" s="65" t="inlineStr">
        <is>
          <t>Inversiones Famasa, C.A</t>
        </is>
      </c>
      <c r="E88" s="63" t="inlineStr">
        <is>
          <t>73.500,00</t>
        </is>
      </c>
      <c r="F88" s="65" t="inlineStr">
        <is>
          <t>VES</t>
        </is>
      </c>
      <c r="G88" s="65" t="inlineStr">
        <is>
          <t>Banco Bancamiga 7806</t>
        </is>
      </c>
      <c r="H88" s="63" t="inlineStr">
        <is>
          <t>112,56</t>
        </is>
      </c>
      <c r="I88" s="65" t="n"/>
      <c r="J88" s="65" t="n"/>
      <c r="K88" s="65" t="n"/>
      <c r="L88" s="65" t="n"/>
      <c r="M88" s="65" t="n"/>
    </row>
    <row r="89">
      <c r="A89" s="66" t="n">
        <v>46206</v>
      </c>
      <c r="B89" s="65" t="inlineStr">
        <is>
          <t>PBAMI/2026/00219</t>
        </is>
      </c>
      <c r="C89" s="65" t="n">
        <v>887</v>
      </c>
      <c r="D89" s="65" t="inlineStr">
        <is>
          <t>Melany Madrid</t>
        </is>
      </c>
      <c r="E89" s="63" t="inlineStr">
        <is>
          <t>222.000,00</t>
        </is>
      </c>
      <c r="F89" s="65" t="inlineStr">
        <is>
          <t>VES</t>
        </is>
      </c>
      <c r="G89" s="65" t="inlineStr">
        <is>
          <t>Banco Bancamiga 7806</t>
        </is>
      </c>
      <c r="H89" s="63" t="inlineStr">
        <is>
          <t>339,98</t>
        </is>
      </c>
      <c r="I89" s="65" t="n"/>
      <c r="J89" s="65" t="n"/>
      <c r="K89" s="65" t="n"/>
      <c r="L89" s="65" t="n"/>
      <c r="M89" s="65" t="n"/>
    </row>
    <row r="90">
      <c r="A90" s="66" t="n">
        <v>46206</v>
      </c>
      <c r="B90" s="65" t="inlineStr">
        <is>
          <t>PAY00006</t>
        </is>
      </c>
      <c r="C90" s="65" t="n">
        <v>903</v>
      </c>
      <c r="D90" s="65" t="inlineStr">
        <is>
          <t>INVERSIONES SM 2191, C.A.</t>
        </is>
      </c>
      <c r="E90" s="63" t="inlineStr">
        <is>
          <t>73,00</t>
        </is>
      </c>
      <c r="F90" s="65" t="inlineStr">
        <is>
          <t>USD</t>
        </is>
      </c>
      <c r="G90" s="65" t="inlineStr">
        <is>
          <t>Zelle Fluasa (USD)</t>
        </is>
      </c>
      <c r="H90" s="63" t="inlineStr">
        <is>
          <t>73,00</t>
        </is>
      </c>
      <c r="I90" s="65" t="n"/>
      <c r="J90" s="65" t="n"/>
      <c r="K90" s="65" t="n"/>
      <c r="L90" s="65" t="n"/>
      <c r="M90" s="65" t="n"/>
    </row>
    <row r="91">
      <c r="A91" s="66" t="n">
        <v>46205</v>
      </c>
      <c r="B91" s="65" t="inlineStr">
        <is>
          <t>PUSD1/2026/00458</t>
        </is>
      </c>
      <c r="C91" s="65" t="n">
        <v>878</v>
      </c>
      <c r="D91" s="65" t="inlineStr">
        <is>
          <t>Anthony Jose Quijada Diaz.</t>
        </is>
      </c>
      <c r="E91" s="63" t="inlineStr">
        <is>
          <t>133,48</t>
        </is>
      </c>
      <c r="F91" s="65" t="inlineStr">
        <is>
          <t>USD</t>
        </is>
      </c>
      <c r="G91" s="65" t="inlineStr">
        <is>
          <t>Efectivo moneda extrajera (USD)</t>
        </is>
      </c>
      <c r="H91" s="63" t="inlineStr">
        <is>
          <t>133,48</t>
        </is>
      </c>
      <c r="I91" s="65" t="n"/>
      <c r="J91" s="65" t="n"/>
      <c r="K91" s="65" t="n"/>
      <c r="L91" s="65" t="n"/>
      <c r="M91" s="65" t="n"/>
    </row>
    <row r="92">
      <c r="A92" s="66" t="n">
        <v>46205</v>
      </c>
      <c r="B92" s="65" t="inlineStr">
        <is>
          <t>PUSD1/2026/00455</t>
        </is>
      </c>
      <c r="C92" s="65" t="n">
        <v>881</v>
      </c>
      <c r="D92" s="65" t="inlineStr">
        <is>
          <t>Cooperativa Dios mi Amparo, R.L.</t>
        </is>
      </c>
      <c r="E92" s="63" t="inlineStr">
        <is>
          <t>50,00</t>
        </is>
      </c>
      <c r="F92" s="65" t="inlineStr">
        <is>
          <t>USD</t>
        </is>
      </c>
      <c r="G92" s="65" t="inlineStr">
        <is>
          <t>Efectivo moneda extrajera (USD)</t>
        </is>
      </c>
      <c r="H92" s="63" t="inlineStr">
        <is>
          <t>50,00</t>
        </is>
      </c>
      <c r="I92" s="65" t="n">
        <v>289</v>
      </c>
      <c r="J92" s="65" t="inlineStr">
        <is>
          <t>00-00000827</t>
        </is>
      </c>
      <c r="K92" s="66" t="n">
        <v>46214</v>
      </c>
      <c r="L92" s="63" t="inlineStr">
        <is>
          <t>69,00</t>
        </is>
      </c>
      <c r="M92" s="63" t="inlineStr">
        <is>
          <t>0,00</t>
        </is>
      </c>
    </row>
    <row r="93">
      <c r="A93" s="66" t="n">
        <v>46205</v>
      </c>
      <c r="B93" s="65" t="inlineStr">
        <is>
          <t>PUSD1/2026/00454</t>
        </is>
      </c>
      <c r="C93" s="65" t="n">
        <v>879</v>
      </c>
      <c r="D93" s="65" t="inlineStr">
        <is>
          <t>Ramón Muñoz</t>
        </is>
      </c>
      <c r="E93" s="63" t="inlineStr">
        <is>
          <t>74,00</t>
        </is>
      </c>
      <c r="F93" s="65" t="inlineStr">
        <is>
          <t>USD</t>
        </is>
      </c>
      <c r="G93" s="65" t="inlineStr">
        <is>
          <t>Efectivo moneda extrajera (USD)</t>
        </is>
      </c>
      <c r="H93" s="63" t="inlineStr">
        <is>
          <t>74,00</t>
        </is>
      </c>
      <c r="I93" s="65" t="n"/>
      <c r="J93" s="65" t="n"/>
      <c r="K93" s="65" t="n"/>
      <c r="L93" s="65" t="n"/>
      <c r="M93" s="65" t="n"/>
    </row>
    <row r="94">
      <c r="A94" s="66" t="n">
        <v>46205</v>
      </c>
      <c r="B94" s="65" t="inlineStr">
        <is>
          <t>PUSD1/2026/00453</t>
        </is>
      </c>
      <c r="C94" s="65" t="n">
        <v>880</v>
      </c>
      <c r="D94" s="65" t="inlineStr">
        <is>
          <t>José Gabriel Pérez Mendez</t>
        </is>
      </c>
      <c r="E94" s="63" t="inlineStr">
        <is>
          <t>53,00</t>
        </is>
      </c>
      <c r="F94" s="65" t="inlineStr">
        <is>
          <t>USD</t>
        </is>
      </c>
      <c r="G94" s="65" t="inlineStr">
        <is>
          <t>Efectivo moneda extrajera (USD)</t>
        </is>
      </c>
      <c r="H94" s="63" t="inlineStr">
        <is>
          <t>53,00</t>
        </is>
      </c>
      <c r="I94" s="65" t="n"/>
      <c r="J94" s="65" t="n"/>
      <c r="K94" s="65" t="n"/>
      <c r="L94" s="65" t="n"/>
      <c r="M94" s="65" t="n"/>
    </row>
    <row r="95">
      <c r="A95" s="66" t="n">
        <v>46205</v>
      </c>
      <c r="B95" s="65" t="inlineStr">
        <is>
          <t>PUSD1/2026/00452</t>
        </is>
      </c>
      <c r="C95" s="65" t="n">
        <v>877</v>
      </c>
      <c r="D95" s="65" t="inlineStr">
        <is>
          <t>La cámara perfecta</t>
        </is>
      </c>
      <c r="E95" s="63" t="inlineStr">
        <is>
          <t>150,00</t>
        </is>
      </c>
      <c r="F95" s="65" t="inlineStr">
        <is>
          <t>USD</t>
        </is>
      </c>
      <c r="G95" s="65" t="inlineStr">
        <is>
          <t>Efectivo moneda extrajera (USD)</t>
        </is>
      </c>
      <c r="H95" s="63" t="inlineStr">
        <is>
          <t>150,00</t>
        </is>
      </c>
      <c r="I95" s="65" t="n"/>
      <c r="J95" s="65" t="n"/>
      <c r="K95" s="65" t="n"/>
      <c r="L95" s="65" t="n"/>
      <c r="M95" s="65" t="n"/>
    </row>
    <row r="96">
      <c r="A96" s="66" t="n">
        <v>46205</v>
      </c>
      <c r="B96" s="65" t="inlineStr">
        <is>
          <t>PBAMI/2026/00217</t>
        </is>
      </c>
      <c r="C96" s="65" t="n">
        <v>876</v>
      </c>
      <c r="D96" s="65" t="inlineStr">
        <is>
          <t>Antonio Terán</t>
        </is>
      </c>
      <c r="E96" s="63" t="inlineStr">
        <is>
          <t>138.813,56</t>
        </is>
      </c>
      <c r="F96" s="65" t="inlineStr">
        <is>
          <t>VES</t>
        </is>
      </c>
      <c r="G96" s="65" t="inlineStr">
        <is>
          <t>Banco Bancamiga 7806</t>
        </is>
      </c>
      <c r="H96" s="63" t="inlineStr">
        <is>
          <t>217,00</t>
        </is>
      </c>
      <c r="I96" s="65" t="n">
        <v>514</v>
      </c>
      <c r="J96" s="65" t="inlineStr">
        <is>
          <t>00-00001067</t>
        </is>
      </c>
      <c r="K96" s="66" t="n">
        <v>46219</v>
      </c>
      <c r="L96" s="63" t="inlineStr">
        <is>
          <t>110,12</t>
        </is>
      </c>
      <c r="M96" s="63" t="inlineStr">
        <is>
          <t>0,00</t>
        </is>
      </c>
    </row>
    <row r="97">
      <c r="A97" s="66" t="n">
        <v>46204</v>
      </c>
      <c r="B97" s="65" t="inlineStr">
        <is>
          <t>PUSD1/2026/00448</t>
        </is>
      </c>
      <c r="C97" s="65" t="n">
        <v>869</v>
      </c>
      <c r="D97" s="65" t="inlineStr">
        <is>
          <t>Alexander Quiroz</t>
        </is>
      </c>
      <c r="E97" s="63" t="inlineStr">
        <is>
          <t>386,00</t>
        </is>
      </c>
      <c r="F97" s="65" t="inlineStr">
        <is>
          <t>USD</t>
        </is>
      </c>
      <c r="G97" s="65" t="inlineStr">
        <is>
          <t>Efectivo moneda extrajera (USD)</t>
        </is>
      </c>
      <c r="H97" s="63" t="inlineStr">
        <is>
          <t>386,00</t>
        </is>
      </c>
      <c r="I97" s="65" t="n">
        <v>513</v>
      </c>
      <c r="J97" s="65" t="inlineStr">
        <is>
          <t>00-00001066</t>
        </is>
      </c>
      <c r="K97" s="66" t="n">
        <v>46219</v>
      </c>
      <c r="L97" s="63" t="inlineStr">
        <is>
          <t>1.175,43</t>
        </is>
      </c>
      <c r="M97" s="63" t="inlineStr">
        <is>
          <t>0,00</t>
        </is>
      </c>
    </row>
    <row r="98">
      <c r="A98" s="66" t="n">
        <v>46204</v>
      </c>
      <c r="B98" s="65" t="inlineStr">
        <is>
          <t>PUSD1/2026/00447</t>
        </is>
      </c>
      <c r="C98" s="65" t="n">
        <v>866</v>
      </c>
      <c r="D98" s="65" t="inlineStr">
        <is>
          <t>Ingrit Martinez</t>
        </is>
      </c>
      <c r="E98" s="63" t="inlineStr">
        <is>
          <t>91,00</t>
        </is>
      </c>
      <c r="F98" s="65" t="inlineStr">
        <is>
          <t>USD</t>
        </is>
      </c>
      <c r="G98" s="65" t="inlineStr">
        <is>
          <t>Efectivo moneda extrajera (USD)</t>
        </is>
      </c>
      <c r="H98" s="63" t="inlineStr">
        <is>
          <t>91,00</t>
        </is>
      </c>
      <c r="I98" s="65" t="n">
        <v>286</v>
      </c>
      <c r="J98" s="65" t="inlineStr">
        <is>
          <t>00-00000824</t>
        </is>
      </c>
      <c r="K98" s="66" t="n">
        <v>46214</v>
      </c>
      <c r="L98" s="63" t="inlineStr">
        <is>
          <t>0,00</t>
        </is>
      </c>
      <c r="M98" s="63" t="inlineStr">
        <is>
          <t>0,00</t>
        </is>
      </c>
    </row>
    <row r="99">
      <c r="A99" s="66" t="n">
        <v>46204</v>
      </c>
      <c r="B99" s="65" t="inlineStr">
        <is>
          <t>PBNB/2026/00010</t>
        </is>
      </c>
      <c r="C99" s="65" t="n">
        <v>981</v>
      </c>
      <c r="D99" s="65" t="inlineStr">
        <is>
          <t>AGROPECUARIA EL TORO DORADO, C.A</t>
        </is>
      </c>
      <c r="E99" s="63" t="inlineStr">
        <is>
          <t>1.512,98</t>
        </is>
      </c>
      <c r="F99" s="65" t="inlineStr">
        <is>
          <t>USD</t>
        </is>
      </c>
      <c r="G99" s="65" t="inlineStr">
        <is>
          <t>Binance (USD)</t>
        </is>
      </c>
      <c r="H99" s="63" t="inlineStr">
        <is>
          <t>1.512,98</t>
        </is>
      </c>
      <c r="I99" s="65" t="n">
        <v>295</v>
      </c>
      <c r="J99" s="65" t="inlineStr">
        <is>
          <t>00-00000834</t>
        </is>
      </c>
      <c r="K99" s="66" t="n">
        <v>46214</v>
      </c>
      <c r="L99" s="63" t="inlineStr">
        <is>
          <t>0,00</t>
        </is>
      </c>
      <c r="M99" s="63" t="inlineStr">
        <is>
          <t>0,00</t>
        </is>
      </c>
    </row>
    <row r="100">
      <c r="A100" s="66" t="n">
        <v>46204</v>
      </c>
      <c r="B100" s="65" t="inlineStr">
        <is>
          <t>PBAMI/2026/00218</t>
        </is>
      </c>
      <c r="C100" s="65" t="n">
        <v>871</v>
      </c>
      <c r="D100" s="65" t="inlineStr">
        <is>
          <t>Emprendimiento Tomas Paz</t>
        </is>
      </c>
      <c r="E100" s="63" t="inlineStr">
        <is>
          <t>37.025,00</t>
        </is>
      </c>
      <c r="F100" s="65" t="inlineStr">
        <is>
          <t>VES</t>
        </is>
      </c>
      <c r="G100" s="65" t="inlineStr">
        <is>
          <t>Banco Bancamiga 7806</t>
        </is>
      </c>
      <c r="H100" s="63" t="inlineStr">
        <is>
          <t>58,46</t>
        </is>
      </c>
      <c r="I100" s="65" t="n"/>
      <c r="J100" s="65" t="n"/>
      <c r="K100" s="65" t="n"/>
      <c r="L100" s="65" t="n"/>
      <c r="M100" s="65" t="n"/>
    </row>
    <row r="101">
      <c r="A101" s="66" t="n">
        <v>46204</v>
      </c>
      <c r="B101" s="65" t="inlineStr">
        <is>
          <t>PBAMI/2026/00215</t>
        </is>
      </c>
      <c r="C101" s="65" t="n">
        <v>865</v>
      </c>
      <c r="D101" s="65" t="inlineStr">
        <is>
          <t>FREDI MARQUEZ</t>
        </is>
      </c>
      <c r="E101" s="63" t="inlineStr">
        <is>
          <t>53.792,24</t>
        </is>
      </c>
      <c r="F101" s="65" t="inlineStr">
        <is>
          <t>VES</t>
        </is>
      </c>
      <c r="G101" s="65" t="inlineStr">
        <is>
          <t>Banco Bancamiga 7806</t>
        </is>
      </c>
      <c r="H101" s="63" t="inlineStr">
        <is>
          <t>84,93</t>
        </is>
      </c>
      <c r="I101" s="65" t="n"/>
      <c r="J101" s="65" t="n"/>
      <c r="K101" s="65" t="n"/>
      <c r="L101" s="65" t="n"/>
      <c r="M101" s="65" t="n"/>
    </row>
    <row r="102">
      <c r="A102" s="66" t="n">
        <v>46203</v>
      </c>
      <c r="B102" s="65" t="inlineStr">
        <is>
          <t>PUSD1/2026/00499</t>
        </is>
      </c>
      <c r="C102" s="65" t="n">
        <v>1004</v>
      </c>
      <c r="D102" s="65" t="inlineStr">
        <is>
          <t>GRIMAN DIAZ HECTOR EDUARDO</t>
        </is>
      </c>
      <c r="E102" s="63" t="inlineStr">
        <is>
          <t>71,00</t>
        </is>
      </c>
      <c r="F102" s="65" t="inlineStr">
        <is>
          <t>USD</t>
        </is>
      </c>
      <c r="G102" s="65" t="inlineStr">
        <is>
          <t>Efectivo moneda extrajera (USD)</t>
        </is>
      </c>
      <c r="H102" s="63" t="inlineStr">
        <is>
          <t>71,00</t>
        </is>
      </c>
      <c r="I102" s="65" t="n"/>
      <c r="J102" s="65" t="n"/>
      <c r="K102" s="65" t="n"/>
      <c r="L102" s="65" t="n"/>
      <c r="M102" s="65" t="n"/>
    </row>
    <row r="103">
      <c r="A103" s="66" t="n">
        <v>46203</v>
      </c>
      <c r="B103" s="65" t="inlineStr">
        <is>
          <t>PUSD1/2026/00449</t>
        </is>
      </c>
      <c r="C103" s="65" t="n">
        <v>857</v>
      </c>
      <c r="D103" s="65" t="inlineStr">
        <is>
          <t>Motolavado Yahir</t>
        </is>
      </c>
      <c r="E103" s="63" t="inlineStr">
        <is>
          <t>200,00</t>
        </is>
      </c>
      <c r="F103" s="65" t="inlineStr">
        <is>
          <t>USD</t>
        </is>
      </c>
      <c r="G103" s="65" t="inlineStr">
        <is>
          <t>Efectivo moneda extrajera (USD)</t>
        </is>
      </c>
      <c r="H103" s="63" t="inlineStr">
        <is>
          <t>200,00</t>
        </is>
      </c>
      <c r="I103" s="65" t="n"/>
      <c r="J103" s="65" t="n"/>
      <c r="K103" s="65" t="n"/>
      <c r="L103" s="65" t="n"/>
      <c r="M103" s="65" t="n"/>
    </row>
    <row r="104">
      <c r="A104" s="66" t="n">
        <v>46203</v>
      </c>
      <c r="B104" s="65" t="inlineStr">
        <is>
          <t>PUSD1/2026/00443</t>
        </is>
      </c>
      <c r="C104" s="65" t="n">
        <v>854</v>
      </c>
      <c r="D104" s="65" t="inlineStr">
        <is>
          <t>Pedro Castro</t>
        </is>
      </c>
      <c r="E104" s="63" t="inlineStr">
        <is>
          <t>160,00</t>
        </is>
      </c>
      <c r="F104" s="65" t="inlineStr">
        <is>
          <t>USD</t>
        </is>
      </c>
      <c r="G104" s="65" t="inlineStr">
        <is>
          <t>Efectivo moneda extrajera (USD)</t>
        </is>
      </c>
      <c r="H104" s="63" t="inlineStr">
        <is>
          <t>160,00</t>
        </is>
      </c>
      <c r="I104" s="65" t="n"/>
      <c r="J104" s="65" t="n"/>
      <c r="K104" s="65" t="n"/>
      <c r="L104" s="65" t="n"/>
      <c r="M104" s="65" t="n"/>
    </row>
    <row r="105">
      <c r="A105" s="66" t="n">
        <v>46203</v>
      </c>
      <c r="B105" s="65" t="inlineStr">
        <is>
          <t>PBAMI/2026/00213</t>
        </is>
      </c>
      <c r="C105" s="65" t="n">
        <v>855</v>
      </c>
      <c r="D105" s="65" t="inlineStr">
        <is>
          <t>Sandra Katherine Quintero Crespo</t>
        </is>
      </c>
      <c r="E105" s="63" t="inlineStr">
        <is>
          <t>62.302,23</t>
        </is>
      </c>
      <c r="F105" s="65" t="inlineStr">
        <is>
          <t>VES</t>
        </is>
      </c>
      <c r="G105" s="65" t="inlineStr">
        <is>
          <t>Banco Bancamiga 7806</t>
        </is>
      </c>
      <c r="H105" s="63" t="inlineStr">
        <is>
          <t>100,00</t>
        </is>
      </c>
      <c r="I105" s="65" t="n"/>
      <c r="J105" s="65" t="n"/>
      <c r="K105" s="65" t="n"/>
      <c r="L105" s="65" t="n"/>
      <c r="M105" s="65" t="n"/>
    </row>
    <row r="106">
      <c r="A106" s="66" t="n">
        <v>46203</v>
      </c>
      <c r="B106" s="65" t="inlineStr">
        <is>
          <t>PBAMI/2026/00212</t>
        </is>
      </c>
      <c r="C106" s="65" t="n">
        <v>853</v>
      </c>
      <c r="D106" s="65" t="inlineStr">
        <is>
          <t>Yeifri Alexander Marquez Zerpa</t>
        </is>
      </c>
      <c r="E106" s="63" t="inlineStr">
        <is>
          <t>105.083,00</t>
        </is>
      </c>
      <c r="F106" s="65" t="inlineStr">
        <is>
          <t>VES</t>
        </is>
      </c>
      <c r="G106" s="65" t="inlineStr">
        <is>
          <t>Banco Bancamiga 7806</t>
        </is>
      </c>
      <c r="H106" s="63" t="inlineStr">
        <is>
          <t>168,67</t>
        </is>
      </c>
      <c r="I106" s="65" t="n"/>
      <c r="J106" s="65" t="n"/>
      <c r="K106" s="65" t="n"/>
      <c r="L106" s="65" t="n"/>
      <c r="M106" s="65" t="n"/>
    </row>
    <row r="107">
      <c r="A107" s="66" t="n">
        <v>46202</v>
      </c>
      <c r="B107" s="65" t="inlineStr">
        <is>
          <t>PUSD1/2026/00442</t>
        </is>
      </c>
      <c r="C107" s="65" t="n">
        <v>845</v>
      </c>
      <c r="D107" s="65" t="inlineStr">
        <is>
          <t>Dimas Ortíz</t>
        </is>
      </c>
      <c r="E107" s="63" t="inlineStr">
        <is>
          <t>585,00</t>
        </is>
      </c>
      <c r="F107" s="65" t="inlineStr">
        <is>
          <t>USD</t>
        </is>
      </c>
      <c r="G107" s="65" t="inlineStr">
        <is>
          <t>Efectivo moneda extrajera (USD)</t>
        </is>
      </c>
      <c r="H107" s="63" t="inlineStr">
        <is>
          <t>585,00</t>
        </is>
      </c>
      <c r="I107" s="65" t="n"/>
      <c r="J107" s="65" t="n"/>
      <c r="K107" s="65" t="n"/>
      <c r="L107" s="65" t="n"/>
      <c r="M107" s="65" t="n"/>
    </row>
    <row r="108">
      <c r="A108" s="66" t="n">
        <v>46202</v>
      </c>
      <c r="B108" s="65" t="inlineStr">
        <is>
          <t>PUSD1/2026/00426</t>
        </is>
      </c>
      <c r="C108" s="65" t="n">
        <v>851</v>
      </c>
      <c r="D108" s="65" t="inlineStr">
        <is>
          <t>FREDI MARQUEZ</t>
        </is>
      </c>
      <c r="E108" s="63" t="inlineStr">
        <is>
          <t>120,00</t>
        </is>
      </c>
      <c r="F108" s="65" t="inlineStr">
        <is>
          <t>USD</t>
        </is>
      </c>
      <c r="G108" s="65" t="inlineStr">
        <is>
          <t>Efectivo moneda extrajera (USD)</t>
        </is>
      </c>
      <c r="H108" s="63" t="inlineStr">
        <is>
          <t>120,00</t>
        </is>
      </c>
      <c r="I108" s="65" t="n"/>
      <c r="J108" s="65" t="n"/>
      <c r="K108" s="65" t="n"/>
      <c r="L108" s="65" t="n"/>
      <c r="M108" s="65" t="n"/>
    </row>
    <row r="109">
      <c r="A109" s="66" t="n">
        <v>46202</v>
      </c>
      <c r="B109" s="65" t="inlineStr">
        <is>
          <t>PBAMI/2026/00211</t>
        </is>
      </c>
      <c r="C109" s="65" t="n">
        <v>849</v>
      </c>
      <c r="D109" s="65" t="inlineStr">
        <is>
          <t>Antonio Terán</t>
        </is>
      </c>
      <c r="E109" s="63" t="inlineStr">
        <is>
          <t>153.424,00</t>
        </is>
      </c>
      <c r="F109" s="65" t="inlineStr">
        <is>
          <t>VES</t>
        </is>
      </c>
      <c r="G109" s="65" t="inlineStr">
        <is>
          <t>Banco Bancamiga 7806</t>
        </is>
      </c>
      <c r="H109" s="63" t="inlineStr">
        <is>
          <t>246,58</t>
        </is>
      </c>
      <c r="I109" s="65" t="n">
        <v>514</v>
      </c>
      <c r="J109" s="65" t="inlineStr">
        <is>
          <t>00-00001067</t>
        </is>
      </c>
      <c r="K109" s="66" t="n">
        <v>46219</v>
      </c>
      <c r="L109" s="63" t="inlineStr">
        <is>
          <t>110,12</t>
        </is>
      </c>
      <c r="M109" s="63" t="inlineStr">
        <is>
          <t>0,00</t>
        </is>
      </c>
    </row>
    <row r="110">
      <c r="A110" s="66" t="n">
        <v>46202</v>
      </c>
      <c r="B110" s="65" t="inlineStr">
        <is>
          <t>PBAMI/2026/00210</t>
        </is>
      </c>
      <c r="C110" s="65" t="n">
        <v>850</v>
      </c>
      <c r="D110" s="65" t="inlineStr">
        <is>
          <t>FREDI MARQUEZ</t>
        </is>
      </c>
      <c r="E110" s="63" t="inlineStr">
        <is>
          <t>68.302,16</t>
        </is>
      </c>
      <c r="F110" s="65" t="inlineStr">
        <is>
          <t>VES</t>
        </is>
      </c>
      <c r="G110" s="65" t="inlineStr">
        <is>
          <t>Banco Bancamiga 7806</t>
        </is>
      </c>
      <c r="H110" s="63" t="inlineStr">
        <is>
          <t>109,77</t>
        </is>
      </c>
      <c r="I110" s="65" t="n"/>
      <c r="J110" s="65" t="n"/>
      <c r="K110" s="65" t="n"/>
      <c r="L110" s="65" t="n"/>
      <c r="M110" s="65" t="n"/>
    </row>
    <row r="111">
      <c r="A111" s="66" t="n">
        <v>46202</v>
      </c>
      <c r="B111" s="65" t="inlineStr">
        <is>
          <t>PBAMI/2026/00209</t>
        </is>
      </c>
      <c r="C111" s="65" t="n">
        <v>848</v>
      </c>
      <c r="D111" s="65" t="inlineStr">
        <is>
          <t>La cámara perfecta</t>
        </is>
      </c>
      <c r="E111" s="63" t="inlineStr">
        <is>
          <t>232.352,52</t>
        </is>
      </c>
      <c r="F111" s="65" t="inlineStr">
        <is>
          <t>VES</t>
        </is>
      </c>
      <c r="G111" s="65" t="inlineStr">
        <is>
          <t>Banco Bancamiga 7806</t>
        </is>
      </c>
      <c r="H111" s="63" t="inlineStr">
        <is>
          <t>373,43</t>
        </is>
      </c>
      <c r="I111" s="65" t="n"/>
      <c r="J111" s="65" t="n"/>
      <c r="K111" s="65" t="n"/>
      <c r="L111" s="65" t="n"/>
      <c r="M111" s="65" t="n"/>
    </row>
    <row r="112">
      <c r="A112" s="66" t="n">
        <v>46196</v>
      </c>
      <c r="B112" s="65" t="inlineStr">
        <is>
          <t>PUSD1/2026/00496</t>
        </is>
      </c>
      <c r="C112" s="65" t="n">
        <v>982</v>
      </c>
      <c r="D112" s="65" t="inlineStr">
        <is>
          <t>AGROPECUARIA LECHE Y MIEL, C.A</t>
        </is>
      </c>
      <c r="E112" s="63" t="inlineStr">
        <is>
          <t>21.577,54</t>
        </is>
      </c>
      <c r="F112" s="65" t="inlineStr">
        <is>
          <t>USD</t>
        </is>
      </c>
      <c r="G112" s="65" t="inlineStr">
        <is>
          <t>Efectivo moneda extrajera (USD)</t>
        </is>
      </c>
      <c r="H112" s="63" t="inlineStr">
        <is>
          <t>21.577,54</t>
        </is>
      </c>
      <c r="I112" s="65" t="n"/>
      <c r="J112" s="65" t="n"/>
      <c r="K112" s="65" t="n"/>
      <c r="L112" s="65" t="n"/>
      <c r="M112" s="65" t="n"/>
    </row>
    <row r="113">
      <c r="A113" s="66" t="n">
        <v>46196</v>
      </c>
      <c r="B113" s="65" t="inlineStr">
        <is>
          <t>PUSD1/2026/00425</t>
        </is>
      </c>
      <c r="C113" s="65" t="n">
        <v>829</v>
      </c>
      <c r="D113" s="65" t="inlineStr">
        <is>
          <t>Encamotors Catia C.A</t>
        </is>
      </c>
      <c r="E113" s="63" t="inlineStr">
        <is>
          <t>49,00</t>
        </is>
      </c>
      <c r="F113" s="65" t="inlineStr">
        <is>
          <t>USD</t>
        </is>
      </c>
      <c r="G113" s="65" t="inlineStr">
        <is>
          <t>Efectivo moneda extrajera (USD)</t>
        </is>
      </c>
      <c r="H113" s="63" t="inlineStr">
        <is>
          <t>49,00</t>
        </is>
      </c>
      <c r="I113" s="65" t="n">
        <v>198</v>
      </c>
      <c r="J113" s="65" t="inlineStr">
        <is>
          <t>00-00000686</t>
        </is>
      </c>
      <c r="K113" s="66" t="n">
        <v>46196</v>
      </c>
      <c r="L113" s="63" t="inlineStr">
        <is>
          <t>0,00</t>
        </is>
      </c>
      <c r="M113" s="63" t="inlineStr">
        <is>
          <t>0,00</t>
        </is>
      </c>
    </row>
    <row r="114">
      <c r="A114" s="65" t="n"/>
      <c r="B114" s="65" t="n"/>
      <c r="C114" s="65" t="n"/>
      <c r="D114" s="65" t="n"/>
      <c r="E114" s="65" t="n"/>
      <c r="F114" s="65" t="n"/>
      <c r="G114" s="65" t="n"/>
      <c r="H114" s="65" t="n"/>
      <c r="I114" s="65" t="n">
        <v>245</v>
      </c>
      <c r="J114" s="65" t="inlineStr">
        <is>
          <t>00-00000767</t>
        </is>
      </c>
      <c r="K114" s="66" t="n">
        <v>46210</v>
      </c>
      <c r="L114" s="63" t="inlineStr">
        <is>
          <t>0,00</t>
        </is>
      </c>
      <c r="M114" s="63" t="inlineStr">
        <is>
          <t>0,00</t>
        </is>
      </c>
    </row>
    <row r="115">
      <c r="A115" s="66" t="n">
        <v>46196</v>
      </c>
      <c r="B115" s="65" t="inlineStr">
        <is>
          <t>PUSD1/2026/00424</t>
        </is>
      </c>
      <c r="C115" s="65" t="n">
        <v>827</v>
      </c>
      <c r="D115" s="65" t="inlineStr">
        <is>
          <t>Braulio R. Cedeño Gonzalez.</t>
        </is>
      </c>
      <c r="E115" s="63" t="inlineStr">
        <is>
          <t>40,00</t>
        </is>
      </c>
      <c r="F115" s="65" t="inlineStr">
        <is>
          <t>USD</t>
        </is>
      </c>
      <c r="G115" s="65" t="inlineStr">
        <is>
          <t>Efectivo moneda extrajera (USD)</t>
        </is>
      </c>
      <c r="H115" s="63" t="inlineStr">
        <is>
          <t>40,00</t>
        </is>
      </c>
      <c r="I115" s="65" t="n">
        <v>290</v>
      </c>
      <c r="J115" s="65" t="inlineStr">
        <is>
          <t>00-00000828</t>
        </is>
      </c>
      <c r="K115" s="66" t="n">
        <v>46214</v>
      </c>
      <c r="L115" s="63" t="inlineStr">
        <is>
          <t>9,00</t>
        </is>
      </c>
      <c r="M115" s="63" t="inlineStr">
        <is>
          <t>0,00</t>
        </is>
      </c>
    </row>
    <row r="116">
      <c r="A116" s="66" t="n">
        <v>46196</v>
      </c>
      <c r="B116" s="65" t="inlineStr">
        <is>
          <t>PUSD1/2026/00423</t>
        </is>
      </c>
      <c r="C116" s="65" t="n">
        <v>836</v>
      </c>
      <c r="D116" s="65" t="inlineStr">
        <is>
          <t>INVERSIONES JOSCAR XXI, S.A.</t>
        </is>
      </c>
      <c r="E116" s="63" t="inlineStr">
        <is>
          <t>100,00</t>
        </is>
      </c>
      <c r="F116" s="65" t="inlineStr">
        <is>
          <t>USD</t>
        </is>
      </c>
      <c r="G116" s="65" t="inlineStr">
        <is>
          <t>Efectivo moneda extrajera (USD)</t>
        </is>
      </c>
      <c r="H116" s="63" t="inlineStr">
        <is>
          <t>100,00</t>
        </is>
      </c>
      <c r="I116" s="65" t="n"/>
      <c r="J116" s="65" t="n"/>
      <c r="K116" s="65" t="n"/>
      <c r="L116" s="65" t="n"/>
      <c r="M116" s="65" t="n"/>
    </row>
    <row r="117">
      <c r="A117" s="66" t="n">
        <v>46196</v>
      </c>
      <c r="B117" s="65" t="inlineStr">
        <is>
          <t>PUSD1/2026/00422</t>
        </is>
      </c>
      <c r="C117" s="65" t="n">
        <v>839</v>
      </c>
      <c r="D117" s="65" t="inlineStr">
        <is>
          <t>Barrios Rodríguez Marlon Enrique</t>
        </is>
      </c>
      <c r="E117" s="63" t="inlineStr">
        <is>
          <t>72,00</t>
        </is>
      </c>
      <c r="F117" s="65" t="inlineStr">
        <is>
          <t>USD</t>
        </is>
      </c>
      <c r="G117" s="65" t="inlineStr">
        <is>
          <t>Efectivo moneda extrajera (USD)</t>
        </is>
      </c>
      <c r="H117" s="63" t="inlineStr">
        <is>
          <t>72,00</t>
        </is>
      </c>
      <c r="I117" s="65" t="n">
        <v>213</v>
      </c>
      <c r="J117" s="65" t="inlineStr">
        <is>
          <t>00-00000717</t>
        </is>
      </c>
      <c r="K117" s="66" t="n">
        <v>46205</v>
      </c>
      <c r="L117" s="63" t="inlineStr">
        <is>
          <t>0,00</t>
        </is>
      </c>
      <c r="M117" s="63" t="inlineStr">
        <is>
          <t>0,00</t>
        </is>
      </c>
    </row>
    <row r="118">
      <c r="A118" s="66" t="n">
        <v>46196</v>
      </c>
      <c r="B118" s="65" t="inlineStr">
        <is>
          <t>PUSD1/2026/00421</t>
        </is>
      </c>
      <c r="C118" s="65" t="n">
        <v>832</v>
      </c>
      <c r="D118" s="65" t="inlineStr">
        <is>
          <t>Nemer Bourji</t>
        </is>
      </c>
      <c r="E118" s="63" t="inlineStr">
        <is>
          <t>40,00</t>
        </is>
      </c>
      <c r="F118" s="65" t="inlineStr">
        <is>
          <t>USD</t>
        </is>
      </c>
      <c r="G118" s="65" t="inlineStr">
        <is>
          <t>Efectivo moneda extrajera (USD)</t>
        </is>
      </c>
      <c r="H118" s="63" t="inlineStr">
        <is>
          <t>40,00</t>
        </is>
      </c>
      <c r="I118" s="65" t="n"/>
      <c r="J118" s="65" t="n"/>
      <c r="K118" s="65" t="n"/>
      <c r="L118" s="65" t="n"/>
      <c r="M118" s="65" t="n"/>
    </row>
    <row r="119">
      <c r="A119" s="66" t="n">
        <v>46196</v>
      </c>
      <c r="B119" s="65" t="inlineStr">
        <is>
          <t>PUSD1/2026/00420</t>
        </is>
      </c>
      <c r="C119" s="65" t="n">
        <v>843</v>
      </c>
      <c r="D119" s="65" t="inlineStr">
        <is>
          <t>PROYECTO MAQUIVEIRO 21 C.A.</t>
        </is>
      </c>
      <c r="E119" s="63" t="inlineStr">
        <is>
          <t>150,00</t>
        </is>
      </c>
      <c r="F119" s="65" t="inlineStr">
        <is>
          <t>USD</t>
        </is>
      </c>
      <c r="G119" s="65" t="inlineStr">
        <is>
          <t>Efectivo moneda extrajera (USD)</t>
        </is>
      </c>
      <c r="H119" s="63" t="inlineStr">
        <is>
          <t>150,00</t>
        </is>
      </c>
      <c r="I119" s="65" t="n"/>
      <c r="J119" s="65" t="n"/>
      <c r="K119" s="65" t="n"/>
      <c r="L119" s="65" t="n"/>
      <c r="M119" s="65" t="n"/>
    </row>
    <row r="120">
      <c r="A120" s="66" t="n">
        <v>46196</v>
      </c>
      <c r="B120" s="65" t="inlineStr">
        <is>
          <t>PUSD1/2026/00419</t>
        </is>
      </c>
      <c r="C120" s="65" t="n">
        <v>828</v>
      </c>
      <c r="D120" s="65" t="inlineStr">
        <is>
          <t>Inversiones Vercris 17 C.A</t>
        </is>
      </c>
      <c r="E120" s="63" t="inlineStr">
        <is>
          <t>120,00</t>
        </is>
      </c>
      <c r="F120" s="65" t="inlineStr">
        <is>
          <t>USD</t>
        </is>
      </c>
      <c r="G120" s="65" t="inlineStr">
        <is>
          <t>Efectivo moneda extrajera (USD)</t>
        </is>
      </c>
      <c r="H120" s="63" t="inlineStr">
        <is>
          <t>120,00</t>
        </is>
      </c>
      <c r="I120" s="65" t="n"/>
      <c r="J120" s="65" t="n"/>
      <c r="K120" s="65" t="n"/>
      <c r="L120" s="65" t="n"/>
      <c r="M120" s="65" t="n"/>
    </row>
    <row r="121">
      <c r="A121" s="66" t="n">
        <v>46196</v>
      </c>
      <c r="B121" s="65" t="inlineStr">
        <is>
          <t>PUSD1/2026/00418</t>
        </is>
      </c>
      <c r="C121" s="65" t="n">
        <v>842</v>
      </c>
      <c r="D121" s="65" t="inlineStr">
        <is>
          <t>Cauchera William 2018, C.A</t>
        </is>
      </c>
      <c r="E121" s="63" t="inlineStr">
        <is>
          <t>20,00</t>
        </is>
      </c>
      <c r="F121" s="65" t="inlineStr">
        <is>
          <t>USD</t>
        </is>
      </c>
      <c r="G121" s="65" t="inlineStr">
        <is>
          <t>Efectivo moneda extrajera (USD)</t>
        </is>
      </c>
      <c r="H121" s="63" t="inlineStr">
        <is>
          <t>20,00</t>
        </is>
      </c>
      <c r="I121" s="65" t="n"/>
      <c r="J121" s="65" t="n"/>
      <c r="K121" s="65" t="n"/>
      <c r="L121" s="65" t="n"/>
      <c r="M121" s="65" t="n"/>
    </row>
    <row r="122">
      <c r="A122" s="66" t="n">
        <v>46196</v>
      </c>
      <c r="B122" s="65" t="inlineStr">
        <is>
          <t>PUSD1/2026/00417</t>
        </is>
      </c>
      <c r="C122" s="65" t="n">
        <v>825</v>
      </c>
      <c r="D122" s="65" t="inlineStr">
        <is>
          <t>Junior Bermudez</t>
        </is>
      </c>
      <c r="E122" s="63" t="inlineStr">
        <is>
          <t>20,00</t>
        </is>
      </c>
      <c r="F122" s="65" t="inlineStr">
        <is>
          <t>USD</t>
        </is>
      </c>
      <c r="G122" s="65" t="inlineStr">
        <is>
          <t>Efectivo moneda extrajera (USD)</t>
        </is>
      </c>
      <c r="H122" s="63" t="inlineStr">
        <is>
          <t>20,00</t>
        </is>
      </c>
      <c r="I122" s="65" t="n"/>
      <c r="J122" s="65" t="n"/>
      <c r="K122" s="65" t="n"/>
      <c r="L122" s="65" t="n"/>
      <c r="M122" s="65" t="n"/>
    </row>
    <row r="123">
      <c r="A123" s="66" t="n">
        <v>46196</v>
      </c>
      <c r="B123" s="65" t="inlineStr">
        <is>
          <t>PUSD1/2026/00416</t>
        </is>
      </c>
      <c r="C123" s="65" t="n">
        <v>824</v>
      </c>
      <c r="D123" s="65" t="inlineStr">
        <is>
          <t>Autoasesorio maxi motor</t>
        </is>
      </c>
      <c r="E123" s="63" t="inlineStr">
        <is>
          <t>20,00</t>
        </is>
      </c>
      <c r="F123" s="65" t="inlineStr">
        <is>
          <t>USD</t>
        </is>
      </c>
      <c r="G123" s="65" t="inlineStr">
        <is>
          <t>Efectivo moneda extrajera (USD)</t>
        </is>
      </c>
      <c r="H123" s="63" t="inlineStr">
        <is>
          <t>20,00</t>
        </is>
      </c>
      <c r="I123" s="65" t="n">
        <v>254</v>
      </c>
      <c r="J123" s="65" t="inlineStr">
        <is>
          <t>00-00000776</t>
        </is>
      </c>
      <c r="K123" s="66" t="n">
        <v>46211</v>
      </c>
      <c r="L123" s="63" t="inlineStr">
        <is>
          <t>48,01</t>
        </is>
      </c>
      <c r="M123" s="63" t="inlineStr">
        <is>
          <t>0,00</t>
        </is>
      </c>
    </row>
    <row r="124">
      <c r="A124" s="66" t="n">
        <v>46196</v>
      </c>
      <c r="B124" s="65" t="inlineStr">
        <is>
          <t>PUSD1/2026/00415</t>
        </is>
      </c>
      <c r="C124" s="65" t="n">
        <v>823</v>
      </c>
      <c r="D124" s="65" t="inlineStr">
        <is>
          <t>Marlene Herrera</t>
        </is>
      </c>
      <c r="E124" s="63" t="inlineStr">
        <is>
          <t>80,00</t>
        </is>
      </c>
      <c r="F124" s="65" t="inlineStr">
        <is>
          <t>USD</t>
        </is>
      </c>
      <c r="G124" s="65" t="inlineStr">
        <is>
          <t>Efectivo moneda extrajera (USD)</t>
        </is>
      </c>
      <c r="H124" s="63" t="inlineStr">
        <is>
          <t>80,00</t>
        </is>
      </c>
      <c r="I124" s="65" t="n">
        <v>234</v>
      </c>
      <c r="J124" s="65" t="inlineStr">
        <is>
          <t>00-00000756</t>
        </is>
      </c>
      <c r="K124" s="66" t="n">
        <v>46210</v>
      </c>
      <c r="L124" s="63" t="inlineStr">
        <is>
          <t>447,02</t>
        </is>
      </c>
      <c r="M124" s="63" t="inlineStr">
        <is>
          <t>0,00</t>
        </is>
      </c>
    </row>
    <row r="125">
      <c r="A125" s="66" t="n">
        <v>46196</v>
      </c>
      <c r="B125" s="65" t="inlineStr">
        <is>
          <t>PUSD1/2026/00414</t>
        </is>
      </c>
      <c r="C125" s="65" t="n">
        <v>822</v>
      </c>
      <c r="D125" s="65" t="inlineStr">
        <is>
          <t>Comercializadora Garabote</t>
        </is>
      </c>
      <c r="E125" s="63" t="inlineStr">
        <is>
          <t>200,00</t>
        </is>
      </c>
      <c r="F125" s="65" t="inlineStr">
        <is>
          <t>USD</t>
        </is>
      </c>
      <c r="G125" s="65" t="inlineStr">
        <is>
          <t>Efectivo moneda extrajera (USD)</t>
        </is>
      </c>
      <c r="H125" s="63" t="inlineStr">
        <is>
          <t>200,00</t>
        </is>
      </c>
      <c r="I125" s="65" t="n"/>
      <c r="J125" s="65" t="n"/>
      <c r="K125" s="65" t="n"/>
      <c r="L125" s="65" t="n"/>
      <c r="M125" s="65" t="n"/>
    </row>
    <row r="126">
      <c r="A126" s="66" t="n">
        <v>46196</v>
      </c>
      <c r="B126" s="65" t="inlineStr">
        <is>
          <t>PBAMI/2026/00242</t>
        </is>
      </c>
      <c r="C126" s="65" t="n">
        <v>884</v>
      </c>
      <c r="D126" s="65" t="inlineStr">
        <is>
          <t>Sandra Katherine Quintero Crespo</t>
        </is>
      </c>
      <c r="E126" s="63" t="inlineStr">
        <is>
          <t>242.396,70</t>
        </is>
      </c>
      <c r="F126" s="65" t="inlineStr">
        <is>
          <t>VES</t>
        </is>
      </c>
      <c r="G126" s="65" t="inlineStr">
        <is>
          <t>Banco Bancamiga 7806</t>
        </is>
      </c>
      <c r="H126" s="63" t="inlineStr">
        <is>
          <t>392,46</t>
        </is>
      </c>
      <c r="I126" s="65" t="n"/>
      <c r="J126" s="65" t="n"/>
      <c r="K126" s="65" t="n"/>
      <c r="L126" s="65" t="n"/>
      <c r="M126" s="65" t="n"/>
    </row>
    <row r="127">
      <c r="A127" s="66" t="n">
        <v>46196</v>
      </c>
      <c r="B127" s="65" t="inlineStr">
        <is>
          <t>PBAMI/2026/00207</t>
        </is>
      </c>
      <c r="C127" s="65" t="n">
        <v>844</v>
      </c>
      <c r="D127" s="65" t="inlineStr">
        <is>
          <t>SERVICIOS Y MANTENIMIENTO SPACARS, C.A</t>
        </is>
      </c>
      <c r="E127" s="63" t="inlineStr">
        <is>
          <t>549.717,40</t>
        </is>
      </c>
      <c r="F127" s="65" t="inlineStr">
        <is>
          <t>VES</t>
        </is>
      </c>
      <c r="G127" s="65" t="inlineStr">
        <is>
          <t>Banco Bancamiga 7806</t>
        </is>
      </c>
      <c r="H127" s="63" t="inlineStr">
        <is>
          <t>890,03</t>
        </is>
      </c>
      <c r="I127" s="65" t="n"/>
      <c r="J127" s="65" t="n"/>
      <c r="K127" s="65" t="n"/>
      <c r="L127" s="65" t="n"/>
      <c r="M127" s="65" t="n"/>
    </row>
    <row r="128">
      <c r="A128" s="66" t="n">
        <v>46196</v>
      </c>
      <c r="B128" s="65" t="inlineStr">
        <is>
          <t>PBAMI/2026/00206</t>
        </is>
      </c>
      <c r="C128" s="65" t="n">
        <v>831</v>
      </c>
      <c r="D128" s="65" t="inlineStr">
        <is>
          <t>inversiones El Gran Charles C.A</t>
        </is>
      </c>
      <c r="E128" s="63" t="inlineStr">
        <is>
          <t>28.276,74</t>
        </is>
      </c>
      <c r="F128" s="65" t="inlineStr">
        <is>
          <t>VES</t>
        </is>
      </c>
      <c r="G128" s="65" t="inlineStr">
        <is>
          <t>Banco Bancamiga 7806</t>
        </is>
      </c>
      <c r="H128" s="63" t="inlineStr">
        <is>
          <t>45,78</t>
        </is>
      </c>
      <c r="I128" s="65" t="n">
        <v>239</v>
      </c>
      <c r="J128" s="65" t="inlineStr">
        <is>
          <t>00-00000761</t>
        </is>
      </c>
      <c r="K128" s="66" t="n">
        <v>46210</v>
      </c>
      <c r="L128" s="63" t="inlineStr">
        <is>
          <t>344,63</t>
        </is>
      </c>
      <c r="M128" s="63" t="inlineStr">
        <is>
          <t>0,00</t>
        </is>
      </c>
    </row>
    <row r="129">
      <c r="A129" s="66" t="n">
        <v>46196</v>
      </c>
      <c r="B129" s="65" t="inlineStr">
        <is>
          <t>PBAMI/2026/00205</t>
        </is>
      </c>
      <c r="C129" s="65" t="n">
        <v>841</v>
      </c>
      <c r="D129" s="65" t="inlineStr">
        <is>
          <t>Cauchera William 2018, C.A</t>
        </is>
      </c>
      <c r="E129" s="63" t="inlineStr">
        <is>
          <t>30.000,00</t>
        </is>
      </c>
      <c r="F129" s="65" t="inlineStr">
        <is>
          <t>VES</t>
        </is>
      </c>
      <c r="G129" s="65" t="inlineStr">
        <is>
          <t>Banco Bancamiga 7806</t>
        </is>
      </c>
      <c r="H129" s="63" t="inlineStr">
        <is>
          <t>48,57</t>
        </is>
      </c>
      <c r="I129" s="65" t="n"/>
      <c r="J129" s="65" t="n"/>
      <c r="K129" s="65" t="n"/>
      <c r="L129" s="65" t="n"/>
      <c r="M129" s="65" t="n"/>
    </row>
    <row r="130">
      <c r="A130" s="66" t="n">
        <v>46195</v>
      </c>
      <c r="B130" s="65" t="inlineStr">
        <is>
          <t>PUSD1/2026/00434</t>
        </is>
      </c>
      <c r="C130" s="65" t="n">
        <v>816</v>
      </c>
      <c r="D130" s="65" t="inlineStr">
        <is>
          <t>INVERSIONES DA &amp; JE,</t>
        </is>
      </c>
      <c r="E130" s="63" t="inlineStr">
        <is>
          <t>20,00</t>
        </is>
      </c>
      <c r="F130" s="65" t="inlineStr">
        <is>
          <t>USD</t>
        </is>
      </c>
      <c r="G130" s="65" t="inlineStr">
        <is>
          <t>Efectivo moneda extrajera (USD)</t>
        </is>
      </c>
      <c r="H130" s="63" t="inlineStr">
        <is>
          <t>20,00</t>
        </is>
      </c>
      <c r="I130" s="65" t="n"/>
      <c r="J130" s="65" t="n"/>
      <c r="K130" s="65" t="n"/>
      <c r="L130" s="65" t="n"/>
      <c r="M130" s="65" t="n"/>
    </row>
    <row r="131">
      <c r="A131" s="66" t="n">
        <v>46195</v>
      </c>
      <c r="B131" s="65" t="inlineStr">
        <is>
          <t>PUSD1/2026/00413</t>
        </is>
      </c>
      <c r="C131" s="65" t="n">
        <v>818</v>
      </c>
      <c r="D131" s="65" t="inlineStr">
        <is>
          <t>Carlos Ruiz</t>
        </is>
      </c>
      <c r="E131" s="63" t="inlineStr">
        <is>
          <t>100,00</t>
        </is>
      </c>
      <c r="F131" s="65" t="inlineStr">
        <is>
          <t>USD</t>
        </is>
      </c>
      <c r="G131" s="65" t="inlineStr">
        <is>
          <t>Efectivo moneda extrajera (USD)</t>
        </is>
      </c>
      <c r="H131" s="63" t="inlineStr">
        <is>
          <t>100,00</t>
        </is>
      </c>
      <c r="I131" s="65" t="n"/>
      <c r="J131" s="65" t="n"/>
      <c r="K131" s="65" t="n"/>
      <c r="L131" s="65" t="n"/>
      <c r="M131" s="65" t="n"/>
    </row>
    <row r="132">
      <c r="A132" s="66" t="n">
        <v>46195</v>
      </c>
      <c r="B132" s="65" t="inlineStr">
        <is>
          <t>PUSD1/2026/00412</t>
        </is>
      </c>
      <c r="C132" s="65" t="n">
        <v>812</v>
      </c>
      <c r="D132" s="65" t="inlineStr">
        <is>
          <t>Lubricantes BK C.A</t>
        </is>
      </c>
      <c r="E132" s="63" t="inlineStr">
        <is>
          <t>100,00</t>
        </is>
      </c>
      <c r="F132" s="65" t="inlineStr">
        <is>
          <t>USD</t>
        </is>
      </c>
      <c r="G132" s="65" t="inlineStr">
        <is>
          <t>Efectivo moneda extrajera (USD)</t>
        </is>
      </c>
      <c r="H132" s="63" t="inlineStr">
        <is>
          <t>100,00</t>
        </is>
      </c>
      <c r="I132" s="65" t="n"/>
      <c r="J132" s="65" t="n"/>
      <c r="K132" s="65" t="n"/>
      <c r="L132" s="65" t="n"/>
      <c r="M132" s="65" t="n"/>
    </row>
    <row r="133">
      <c r="A133" s="66" t="n">
        <v>46195</v>
      </c>
      <c r="B133" s="65" t="inlineStr">
        <is>
          <t>PUSD1/2026/00411</t>
        </is>
      </c>
      <c r="C133" s="65" t="n">
        <v>810</v>
      </c>
      <c r="D133" s="65" t="inlineStr">
        <is>
          <t>Luis Eduardo Piñero Calcurian</t>
        </is>
      </c>
      <c r="E133" s="63" t="inlineStr">
        <is>
          <t>73,00</t>
        </is>
      </c>
      <c r="F133" s="65" t="inlineStr">
        <is>
          <t>USD</t>
        </is>
      </c>
      <c r="G133" s="65" t="inlineStr">
        <is>
          <t>Efectivo moneda extrajera (USD)</t>
        </is>
      </c>
      <c r="H133" s="63" t="inlineStr">
        <is>
          <t>73,00</t>
        </is>
      </c>
      <c r="I133" s="65" t="n"/>
      <c r="J133" s="65" t="n"/>
      <c r="K133" s="65" t="n"/>
      <c r="L133" s="65" t="n"/>
      <c r="M133" s="65" t="n"/>
    </row>
    <row r="134">
      <c r="A134" s="66" t="n">
        <v>46195</v>
      </c>
      <c r="B134" s="65" t="inlineStr">
        <is>
          <t>PUSD1/2026/00410</t>
        </is>
      </c>
      <c r="C134" s="65" t="n">
        <v>808</v>
      </c>
      <c r="D134" s="65" t="inlineStr">
        <is>
          <t>Chaquiro Arteaga</t>
        </is>
      </c>
      <c r="E134" s="63" t="inlineStr">
        <is>
          <t>70,00</t>
        </is>
      </c>
      <c r="F134" s="65" t="inlineStr">
        <is>
          <t>USD</t>
        </is>
      </c>
      <c r="G134" s="65" t="inlineStr">
        <is>
          <t>Efectivo moneda extrajera (USD)</t>
        </is>
      </c>
      <c r="H134" s="63" t="inlineStr">
        <is>
          <t>70,00</t>
        </is>
      </c>
      <c r="I134" s="65" t="n">
        <v>195</v>
      </c>
      <c r="J134" s="65" t="inlineStr">
        <is>
          <t>00-00000671</t>
        </is>
      </c>
      <c r="K134" s="66" t="n">
        <v>46195</v>
      </c>
      <c r="L134" s="63" t="inlineStr">
        <is>
          <t>0,00</t>
        </is>
      </c>
      <c r="M134" s="63" t="inlineStr">
        <is>
          <t>0,00</t>
        </is>
      </c>
    </row>
    <row r="135">
      <c r="A135" s="66" t="n">
        <v>46195</v>
      </c>
      <c r="B135" s="65" t="inlineStr">
        <is>
          <t>PBAMI/2026/00264</t>
        </is>
      </c>
      <c r="C135" s="65" t="n">
        <v>998</v>
      </c>
      <c r="D135" s="65" t="inlineStr">
        <is>
          <t>CONSTRUCTORA GRANO AGREGADO, C.A</t>
        </is>
      </c>
      <c r="E135" s="63" t="inlineStr">
        <is>
          <t>1.663.301,20</t>
        </is>
      </c>
      <c r="F135" s="65" t="inlineStr">
        <is>
          <t>VES</t>
        </is>
      </c>
      <c r="G135" s="65" t="inlineStr">
        <is>
          <t>Banco Bancamiga 7806</t>
        </is>
      </c>
      <c r="H135" s="63" t="inlineStr">
        <is>
          <t>2.715,89</t>
        </is>
      </c>
      <c r="I135" s="65" t="n"/>
      <c r="J135" s="65" t="n"/>
      <c r="K135" s="65" t="n"/>
      <c r="L135" s="65" t="n"/>
      <c r="M135" s="65" t="n"/>
    </row>
    <row r="136">
      <c r="A136" s="66" t="n">
        <v>46195</v>
      </c>
      <c r="B136" s="65" t="inlineStr">
        <is>
          <t>PBAMI/2026/00208</t>
        </is>
      </c>
      <c r="C136" s="65" t="n">
        <v>821</v>
      </c>
      <c r="D136" s="65" t="inlineStr">
        <is>
          <t>MULTISERVICIOS RECAM13, C.A.</t>
        </is>
      </c>
      <c r="E136" s="63" t="inlineStr">
        <is>
          <t>24.500,00</t>
        </is>
      </c>
      <c r="F136" s="65" t="inlineStr">
        <is>
          <t>VES</t>
        </is>
      </c>
      <c r="G136" s="65" t="inlineStr">
        <is>
          <t>Banco Bancamiga 7806</t>
        </is>
      </c>
      <c r="H136" s="63" t="inlineStr">
        <is>
          <t>40,00</t>
        </is>
      </c>
      <c r="I136" s="65" t="n">
        <v>224</v>
      </c>
      <c r="J136" s="65" t="inlineStr">
        <is>
          <t>00-00000746</t>
        </is>
      </c>
      <c r="K136" s="66" t="n">
        <v>46210</v>
      </c>
      <c r="L136" s="63" t="inlineStr">
        <is>
          <t>226,19</t>
        </is>
      </c>
      <c r="M136" s="63" t="inlineStr">
        <is>
          <t>0,00</t>
        </is>
      </c>
    </row>
    <row r="137">
      <c r="A137" s="66" t="n">
        <v>46195</v>
      </c>
      <c r="B137" s="65" t="inlineStr">
        <is>
          <t>PBAMI/2026/00204</t>
        </is>
      </c>
      <c r="C137" s="65" t="n">
        <v>819</v>
      </c>
      <c r="D137" s="65" t="inlineStr">
        <is>
          <t>Carlos Ruiz</t>
        </is>
      </c>
      <c r="E137" s="63" t="inlineStr">
        <is>
          <t>79.600,00</t>
        </is>
      </c>
      <c r="F137" s="65" t="inlineStr">
        <is>
          <t>VES</t>
        </is>
      </c>
      <c r="G137" s="65" t="inlineStr">
        <is>
          <t>Banco Bancamiga 7806</t>
        </is>
      </c>
      <c r="H137" s="63" t="inlineStr">
        <is>
          <t>129,97</t>
        </is>
      </c>
      <c r="I137" s="65" t="n"/>
      <c r="J137" s="65" t="n"/>
      <c r="K137" s="65" t="n"/>
      <c r="L137" s="65" t="n"/>
      <c r="M137" s="65" t="n"/>
    </row>
    <row r="138">
      <c r="A138" s="66" t="n">
        <v>46195</v>
      </c>
      <c r="B138" s="65" t="inlineStr">
        <is>
          <t>PBAMI/2026/00203</t>
        </is>
      </c>
      <c r="C138" s="65" t="n">
        <v>820</v>
      </c>
      <c r="D138" s="65" t="inlineStr">
        <is>
          <t>Distribuidora Nesmari 2050 c.a</t>
        </is>
      </c>
      <c r="E138" s="63" t="inlineStr">
        <is>
          <t>45.000,00</t>
        </is>
      </c>
      <c r="F138" s="65" t="inlineStr">
        <is>
          <t>VES</t>
        </is>
      </c>
      <c r="G138" s="65" t="inlineStr">
        <is>
          <t>Banco Bancamiga 7806</t>
        </is>
      </c>
      <c r="H138" s="63" t="inlineStr">
        <is>
          <t>73,48</t>
        </is>
      </c>
      <c r="I138" s="65" t="n">
        <v>276</v>
      </c>
      <c r="J138" s="65" t="inlineStr">
        <is>
          <t>00-00000813</t>
        </is>
      </c>
      <c r="K138" s="66" t="n">
        <v>46214</v>
      </c>
      <c r="L138" s="63" t="inlineStr">
        <is>
          <t>83,81</t>
        </is>
      </c>
      <c r="M138" s="63" t="inlineStr">
        <is>
          <t>0,00</t>
        </is>
      </c>
    </row>
    <row r="139">
      <c r="A139" s="66" t="n">
        <v>46195</v>
      </c>
      <c r="B139" s="65" t="inlineStr">
        <is>
          <t>PBAMI/2026/00202</t>
        </is>
      </c>
      <c r="C139" s="65" t="n">
        <v>814</v>
      </c>
      <c r="D139" s="65" t="inlineStr">
        <is>
          <t>LA CASA DE LAS BATERIAS</t>
        </is>
      </c>
      <c r="E139" s="63" t="inlineStr">
        <is>
          <t>18.372,90</t>
        </is>
      </c>
      <c r="F139" s="65" t="inlineStr">
        <is>
          <t>VES</t>
        </is>
      </c>
      <c r="G139" s="65" t="inlineStr">
        <is>
          <t>Banco Bancamiga 7806</t>
        </is>
      </c>
      <c r="H139" s="63" t="inlineStr">
        <is>
          <t>30,00</t>
        </is>
      </c>
      <c r="I139" s="65" t="n"/>
      <c r="J139" s="65" t="n"/>
      <c r="K139" s="65" t="n"/>
      <c r="L139" s="65" t="n"/>
      <c r="M139" s="65" t="n"/>
    </row>
    <row r="140">
      <c r="A140" s="66" t="n">
        <v>46195</v>
      </c>
      <c r="B140" s="65" t="inlineStr">
        <is>
          <t>PBAMI/2026/00201</t>
        </is>
      </c>
      <c r="C140" s="65" t="n">
        <v>815</v>
      </c>
      <c r="D140" s="65" t="inlineStr">
        <is>
          <t>Carlos Eduardo Ascension Matos</t>
        </is>
      </c>
      <c r="E140" s="63" t="inlineStr">
        <is>
          <t>167.763,83</t>
        </is>
      </c>
      <c r="F140" s="65" t="inlineStr">
        <is>
          <t>VES</t>
        </is>
      </c>
      <c r="G140" s="65" t="inlineStr">
        <is>
          <t>Banco Bancamiga 7806</t>
        </is>
      </c>
      <c r="H140" s="63" t="inlineStr">
        <is>
          <t>273,93</t>
        </is>
      </c>
      <c r="I140" s="65" t="n">
        <v>202</v>
      </c>
      <c r="J140" s="65" t="inlineStr">
        <is>
          <t>00-00000695</t>
        </is>
      </c>
      <c r="K140" s="66" t="n">
        <v>46204</v>
      </c>
      <c r="L140" s="63" t="inlineStr">
        <is>
          <t>0,00</t>
        </is>
      </c>
      <c r="M140" s="63" t="inlineStr">
        <is>
          <t>0,00</t>
        </is>
      </c>
    </row>
    <row r="141">
      <c r="A141" s="66" t="n">
        <v>46195</v>
      </c>
      <c r="B141" s="65" t="inlineStr">
        <is>
          <t>PBAMI/2026/00200</t>
        </is>
      </c>
      <c r="C141" s="65" t="n">
        <v>809</v>
      </c>
      <c r="D141" s="65" t="inlineStr">
        <is>
          <t>Antonio Terán</t>
        </is>
      </c>
      <c r="E141" s="63" t="inlineStr">
        <is>
          <t>240.537,00</t>
        </is>
      </c>
      <c r="F141" s="65" t="inlineStr">
        <is>
          <t>VES</t>
        </is>
      </c>
      <c r="G141" s="65" t="inlineStr">
        <is>
          <t>Banco Bancamiga 7806</t>
        </is>
      </c>
      <c r="H141" s="63" t="inlineStr">
        <is>
          <t>392,76</t>
        </is>
      </c>
      <c r="I141" s="65" t="n">
        <v>514</v>
      </c>
      <c r="J141" s="65" t="inlineStr">
        <is>
          <t>00-00001067</t>
        </is>
      </c>
      <c r="K141" s="66" t="n">
        <v>46219</v>
      </c>
      <c r="L141" s="63" t="inlineStr">
        <is>
          <t>110,12</t>
        </is>
      </c>
      <c r="M141" s="63" t="inlineStr">
        <is>
          <t>0,00</t>
        </is>
      </c>
    </row>
    <row r="142">
      <c r="A142" s="66" t="n">
        <v>46192</v>
      </c>
      <c r="B142" s="65" t="inlineStr">
        <is>
          <t>PUSD1/2026/00409</t>
        </is>
      </c>
      <c r="C142" s="65" t="n">
        <v>807</v>
      </c>
      <c r="D142" s="65" t="inlineStr">
        <is>
          <t>Alexander Quiroz</t>
        </is>
      </c>
      <c r="E142" s="63" t="inlineStr">
        <is>
          <t>700,00</t>
        </is>
      </c>
      <c r="F142" s="65" t="inlineStr">
        <is>
          <t>USD</t>
        </is>
      </c>
      <c r="G142" s="65" t="inlineStr">
        <is>
          <t>Efectivo moneda extrajera (USD)</t>
        </is>
      </c>
      <c r="H142" s="63" t="inlineStr">
        <is>
          <t>700,00</t>
        </is>
      </c>
      <c r="I142" s="65" t="n">
        <v>512</v>
      </c>
      <c r="J142" s="65" t="inlineStr">
        <is>
          <t>00-00001065</t>
        </is>
      </c>
      <c r="K142" s="66" t="n">
        <v>46219</v>
      </c>
      <c r="L142" s="63" t="inlineStr">
        <is>
          <t>0,00</t>
        </is>
      </c>
      <c r="M142" s="63" t="inlineStr">
        <is>
          <t>0,00</t>
        </is>
      </c>
    </row>
    <row r="143">
      <c r="A143" s="65" t="n"/>
      <c r="B143" s="65" t="n"/>
      <c r="C143" s="65" t="n"/>
      <c r="D143" s="65" t="n"/>
      <c r="E143" s="65" t="n"/>
      <c r="F143" s="65" t="n"/>
      <c r="G143" s="65" t="n"/>
      <c r="H143" s="65" t="n"/>
      <c r="I143" s="65" t="n">
        <v>513</v>
      </c>
      <c r="J143" s="65" t="inlineStr">
        <is>
          <t>00-00001066</t>
        </is>
      </c>
      <c r="K143" s="66" t="n">
        <v>46219</v>
      </c>
      <c r="L143" s="63" t="inlineStr">
        <is>
          <t>1.175,43</t>
        </is>
      </c>
      <c r="M143" s="63" t="inlineStr">
        <is>
          <t>0,00</t>
        </is>
      </c>
    </row>
    <row r="144">
      <c r="A144" s="66" t="n">
        <v>46192</v>
      </c>
      <c r="B144" s="65" t="inlineStr">
        <is>
          <t>PUSD1/2026/00408</t>
        </is>
      </c>
      <c r="C144" s="65" t="n">
        <v>803</v>
      </c>
      <c r="D144" s="65" t="inlineStr">
        <is>
          <t>Inversiones La Bendición del Nazareno, C.A</t>
        </is>
      </c>
      <c r="E144" s="63" t="inlineStr">
        <is>
          <t>500,00</t>
        </is>
      </c>
      <c r="F144" s="65" t="inlineStr">
        <is>
          <t>USD</t>
        </is>
      </c>
      <c r="G144" s="65" t="inlineStr">
        <is>
          <t>Efectivo moneda extrajera (USD)</t>
        </is>
      </c>
      <c r="H144" s="63" t="inlineStr">
        <is>
          <t>500,00</t>
        </is>
      </c>
      <c r="I144" s="65" t="n"/>
      <c r="J144" s="65" t="n"/>
      <c r="K144" s="65" t="n"/>
      <c r="L144" s="65" t="n"/>
      <c r="M144" s="65" t="n"/>
    </row>
    <row r="145">
      <c r="A145" s="66" t="n">
        <v>46192</v>
      </c>
      <c r="B145" s="65" t="inlineStr">
        <is>
          <t>PUSD1/2026/00407</t>
        </is>
      </c>
      <c r="C145" s="65" t="n">
        <v>800</v>
      </c>
      <c r="D145" s="65" t="inlineStr">
        <is>
          <t>Inversiones Mirelkys C.A</t>
        </is>
      </c>
      <c r="E145" s="63" t="inlineStr">
        <is>
          <t>50,00</t>
        </is>
      </c>
      <c r="F145" s="65" t="inlineStr">
        <is>
          <t>USD</t>
        </is>
      </c>
      <c r="G145" s="65" t="inlineStr">
        <is>
          <t>Efectivo moneda extrajera (USD)</t>
        </is>
      </c>
      <c r="H145" s="63" t="inlineStr">
        <is>
          <t>50,00</t>
        </is>
      </c>
      <c r="I145" s="65" t="n"/>
      <c r="J145" s="65" t="n"/>
      <c r="K145" s="65" t="n"/>
      <c r="L145" s="65" t="n"/>
      <c r="M145" s="65" t="n"/>
    </row>
    <row r="146">
      <c r="A146" s="66" t="n">
        <v>46192</v>
      </c>
      <c r="B146" s="65" t="inlineStr">
        <is>
          <t>PUSD1/2026/00406</t>
        </is>
      </c>
      <c r="C146" s="65" t="n">
        <v>802</v>
      </c>
      <c r="D146" s="65" t="inlineStr">
        <is>
          <t>MOTOREPUESTOS EL GUANÁBANO YRM C.A.</t>
        </is>
      </c>
      <c r="E146" s="63" t="inlineStr">
        <is>
          <t>40,00</t>
        </is>
      </c>
      <c r="F146" s="65" t="inlineStr">
        <is>
          <t>USD</t>
        </is>
      </c>
      <c r="G146" s="65" t="inlineStr">
        <is>
          <t>Efectivo moneda extrajera (USD)</t>
        </is>
      </c>
      <c r="H146" s="63" t="inlineStr">
        <is>
          <t>40,00</t>
        </is>
      </c>
      <c r="I146" s="65" t="n"/>
      <c r="J146" s="65" t="n"/>
      <c r="K146" s="65" t="n"/>
      <c r="L146" s="65" t="n"/>
      <c r="M146" s="65" t="n"/>
    </row>
    <row r="147">
      <c r="A147" s="66" t="n">
        <v>46192</v>
      </c>
      <c r="B147" s="65" t="inlineStr">
        <is>
          <t>PUSD1/2026/00405</t>
        </is>
      </c>
      <c r="C147" s="65" t="n">
        <v>805</v>
      </c>
      <c r="D147" s="65" t="inlineStr">
        <is>
          <t>Emprendimiento Jordy Valencia</t>
        </is>
      </c>
      <c r="E147" s="63" t="inlineStr">
        <is>
          <t>80,00</t>
        </is>
      </c>
      <c r="F147" s="65" t="inlineStr">
        <is>
          <t>USD</t>
        </is>
      </c>
      <c r="G147" s="65" t="inlineStr">
        <is>
          <t>Efectivo moneda extrajera (USD)</t>
        </is>
      </c>
      <c r="H147" s="63" t="inlineStr">
        <is>
          <t>80,00</t>
        </is>
      </c>
      <c r="I147" s="65" t="n"/>
      <c r="J147" s="65" t="n"/>
      <c r="K147" s="65" t="n"/>
      <c r="L147" s="65" t="n"/>
      <c r="M147" s="65" t="n"/>
    </row>
    <row r="148">
      <c r="A148" s="66" t="n">
        <v>46192</v>
      </c>
      <c r="B148" s="65" t="inlineStr">
        <is>
          <t>PUSD1/2026/00404</t>
        </is>
      </c>
      <c r="C148" s="65" t="n">
        <v>806</v>
      </c>
      <c r="D148" s="65" t="inlineStr">
        <is>
          <t>E&amp;M CAR SHOP C.A</t>
        </is>
      </c>
      <c r="E148" s="63" t="inlineStr">
        <is>
          <t>390,00</t>
        </is>
      </c>
      <c r="F148" s="65" t="inlineStr">
        <is>
          <t>USD</t>
        </is>
      </c>
      <c r="G148" s="65" t="inlineStr">
        <is>
          <t>Efectivo moneda extrajera (USD)</t>
        </is>
      </c>
      <c r="H148" s="63" t="inlineStr">
        <is>
          <t>390,00</t>
        </is>
      </c>
      <c r="I148" s="65" t="n"/>
      <c r="J148" s="65" t="n"/>
      <c r="K148" s="65" t="n"/>
      <c r="L148" s="65" t="n"/>
      <c r="M148" s="65" t="n"/>
    </row>
    <row r="149">
      <c r="A149" s="66" t="n">
        <v>46192</v>
      </c>
      <c r="B149" s="65" t="inlineStr">
        <is>
          <t>PUSD1/2026/00403</t>
        </is>
      </c>
      <c r="C149" s="65" t="n">
        <v>804</v>
      </c>
      <c r="D149" s="65" t="inlineStr">
        <is>
          <t>Junior Marco Antonio Vivas Navas</t>
        </is>
      </c>
      <c r="E149" s="63" t="inlineStr">
        <is>
          <t>39,00</t>
        </is>
      </c>
      <c r="F149" s="65" t="inlineStr">
        <is>
          <t>USD</t>
        </is>
      </c>
      <c r="G149" s="65" t="inlineStr">
        <is>
          <t>Efectivo moneda extrajera (USD)</t>
        </is>
      </c>
      <c r="H149" s="63" t="inlineStr">
        <is>
          <t>39,00</t>
        </is>
      </c>
      <c r="I149" s="65" t="n"/>
      <c r="J149" s="65" t="n"/>
      <c r="K149" s="65" t="n"/>
      <c r="L149" s="65" t="n"/>
      <c r="M149" s="65" t="n"/>
    </row>
    <row r="150">
      <c r="A150" s="66" t="n">
        <v>46192</v>
      </c>
      <c r="B150" s="65" t="inlineStr">
        <is>
          <t>PUSD1/2026/00402</t>
        </is>
      </c>
      <c r="C150" s="65" t="n">
        <v>801</v>
      </c>
      <c r="D150" s="65" t="inlineStr">
        <is>
          <t>INVERSIONES SM 2191, C.A.</t>
        </is>
      </c>
      <c r="E150" s="63" t="inlineStr">
        <is>
          <t>100,00</t>
        </is>
      </c>
      <c r="F150" s="65" t="inlineStr">
        <is>
          <t>USD</t>
        </is>
      </c>
      <c r="G150" s="65" t="inlineStr">
        <is>
          <t>Efectivo moneda extrajera (USD)</t>
        </is>
      </c>
      <c r="H150" s="63" t="inlineStr">
        <is>
          <t>100,00</t>
        </is>
      </c>
      <c r="I150" s="65" t="n"/>
      <c r="J150" s="65" t="n"/>
      <c r="K150" s="65" t="n"/>
      <c r="L150" s="65" t="n"/>
      <c r="M150" s="65" t="n"/>
    </row>
    <row r="151">
      <c r="A151" s="66" t="n">
        <v>46192</v>
      </c>
      <c r="B151" s="65" t="inlineStr">
        <is>
          <t>PUSD1/2026/00401</t>
        </is>
      </c>
      <c r="C151" s="65" t="n">
        <v>799</v>
      </c>
      <c r="D151" s="65" t="inlineStr">
        <is>
          <t>Moises Alejandro Mares</t>
        </is>
      </c>
      <c r="E151" s="63" t="inlineStr">
        <is>
          <t>20,00</t>
        </is>
      </c>
      <c r="F151" s="65" t="inlineStr">
        <is>
          <t>USD</t>
        </is>
      </c>
      <c r="G151" s="65" t="inlineStr">
        <is>
          <t>Efectivo moneda extrajera (USD)</t>
        </is>
      </c>
      <c r="H151" s="63" t="inlineStr">
        <is>
          <t>20,00</t>
        </is>
      </c>
      <c r="I151" s="65" t="n"/>
      <c r="J151" s="65" t="n"/>
      <c r="K151" s="65" t="n"/>
      <c r="L151" s="65" t="n"/>
      <c r="M151" s="65" t="n"/>
    </row>
    <row r="152">
      <c r="A152" s="66" t="n">
        <v>46192</v>
      </c>
      <c r="B152" s="65" t="inlineStr">
        <is>
          <t>PUSD1/2026/00400</t>
        </is>
      </c>
      <c r="C152" s="65" t="n">
        <v>794</v>
      </c>
      <c r="D152" s="65" t="inlineStr">
        <is>
          <t>Comercializadora Garabote</t>
        </is>
      </c>
      <c r="E152" s="63" t="inlineStr">
        <is>
          <t>100,00</t>
        </is>
      </c>
      <c r="F152" s="65" t="inlineStr">
        <is>
          <t>USD</t>
        </is>
      </c>
      <c r="G152" s="65" t="inlineStr">
        <is>
          <t>Efectivo moneda extrajera (USD)</t>
        </is>
      </c>
      <c r="H152" s="63" t="inlineStr">
        <is>
          <t>100,00</t>
        </is>
      </c>
      <c r="I152" s="65" t="n"/>
      <c r="J152" s="65" t="n"/>
      <c r="K152" s="65" t="n"/>
      <c r="L152" s="65" t="n"/>
      <c r="M152" s="65" t="n"/>
    </row>
    <row r="153">
      <c r="A153" s="66" t="n">
        <v>46192</v>
      </c>
      <c r="B153" s="65" t="inlineStr">
        <is>
          <t>PBAMI/2026/00262</t>
        </is>
      </c>
      <c r="C153" s="65" t="n">
        <v>980</v>
      </c>
      <c r="D153" s="65" t="inlineStr">
        <is>
          <t>Diana Carolina Torres</t>
        </is>
      </c>
      <c r="E153" s="63" t="inlineStr">
        <is>
          <t>24.320,00</t>
        </is>
      </c>
      <c r="F153" s="65" t="inlineStr">
        <is>
          <t>VES</t>
        </is>
      </c>
      <c r="G153" s="65" t="inlineStr">
        <is>
          <t>Banco Bancamiga 7806</t>
        </is>
      </c>
      <c r="H153" s="63" t="inlineStr">
        <is>
          <t>40,04</t>
        </is>
      </c>
      <c r="I153" s="65" t="n"/>
      <c r="J153" s="65" t="n"/>
      <c r="K153" s="65" t="n"/>
      <c r="L153" s="65" t="n"/>
      <c r="M153" s="65" t="n"/>
    </row>
    <row r="154">
      <c r="A154" s="66" t="n">
        <v>46192</v>
      </c>
      <c r="B154" s="65" t="inlineStr">
        <is>
          <t>PBAMI/2026/00254</t>
        </is>
      </c>
      <c r="C154" s="65" t="n">
        <v>792</v>
      </c>
      <c r="D154" s="65" t="inlineStr">
        <is>
          <t>UBAG Services,c.a.</t>
        </is>
      </c>
      <c r="E154" s="63" t="inlineStr">
        <is>
          <t>197.577,99</t>
        </is>
      </c>
      <c r="F154" s="65" t="inlineStr">
        <is>
          <t>VES</t>
        </is>
      </c>
      <c r="G154" s="65" t="inlineStr">
        <is>
          <t>Banco Bancamiga 7806</t>
        </is>
      </c>
      <c r="H154" s="63" t="inlineStr">
        <is>
          <t>325,29</t>
        </is>
      </c>
      <c r="I154" s="65" t="n"/>
      <c r="J154" s="65" t="n"/>
      <c r="K154" s="65" t="n"/>
      <c r="L154" s="65" t="n"/>
      <c r="M154" s="65" t="n"/>
    </row>
    <row r="155">
      <c r="A155" s="66" t="n">
        <v>46192</v>
      </c>
      <c r="B155" s="65" t="inlineStr">
        <is>
          <t>PBAMI/2026/00253</t>
        </is>
      </c>
      <c r="C155" s="65" t="n">
        <v>793</v>
      </c>
      <c r="D155" s="65" t="inlineStr">
        <is>
          <t>York Dick Mujica Andarcia</t>
        </is>
      </c>
      <c r="E155" s="63" t="inlineStr">
        <is>
          <t>18.221,70</t>
        </is>
      </c>
      <c r="F155" s="65" t="inlineStr">
        <is>
          <t>VES</t>
        </is>
      </c>
      <c r="G155" s="65" t="inlineStr">
        <is>
          <t>Banco Bancamiga 7806</t>
        </is>
      </c>
      <c r="H155" s="63" t="inlineStr">
        <is>
          <t>30,00</t>
        </is>
      </c>
      <c r="I155" s="65" t="n"/>
      <c r="J155" s="65" t="n"/>
      <c r="K155" s="65" t="n"/>
      <c r="L155" s="65" t="n"/>
      <c r="M155" s="65" t="n"/>
    </row>
    <row r="156">
      <c r="A156" s="66" t="n">
        <v>46192</v>
      </c>
      <c r="B156" s="65" t="inlineStr">
        <is>
          <t>PBAMI/2026/00199</t>
        </is>
      </c>
      <c r="C156" s="65" t="n">
        <v>798</v>
      </c>
      <c r="D156" s="65" t="inlineStr">
        <is>
          <t>inversiones El Gran Charles C.A</t>
        </is>
      </c>
      <c r="E156" s="63" t="inlineStr">
        <is>
          <t>27.928,95</t>
        </is>
      </c>
      <c r="F156" s="65" t="inlineStr">
        <is>
          <t>VES</t>
        </is>
      </c>
      <c r="G156" s="65" t="inlineStr">
        <is>
          <t>Banco Bancamiga 7806</t>
        </is>
      </c>
      <c r="H156" s="63" t="inlineStr">
        <is>
          <t>45,98</t>
        </is>
      </c>
      <c r="I156" s="65" t="n">
        <v>239</v>
      </c>
      <c r="J156" s="65" t="inlineStr">
        <is>
          <t>00-00000761</t>
        </is>
      </c>
      <c r="K156" s="66" t="n">
        <v>46210</v>
      </c>
      <c r="L156" s="63" t="inlineStr">
        <is>
          <t>344,63</t>
        </is>
      </c>
      <c r="M156" s="63" t="inlineStr">
        <is>
          <t>0,00</t>
        </is>
      </c>
    </row>
    <row r="157">
      <c r="A157" s="66" t="n">
        <v>46192</v>
      </c>
      <c r="B157" s="65" t="inlineStr">
        <is>
          <t>PBAMI/2026/00198</t>
        </is>
      </c>
      <c r="C157" s="65" t="n">
        <v>797</v>
      </c>
      <c r="D157" s="65" t="inlineStr">
        <is>
          <t>Inversiones maxgad &amp; ef</t>
        </is>
      </c>
      <c r="E157" s="63" t="inlineStr">
        <is>
          <t>61.390,52</t>
        </is>
      </c>
      <c r="F157" s="65" t="inlineStr">
        <is>
          <t>VES</t>
        </is>
      </c>
      <c r="G157" s="65" t="inlineStr">
        <is>
          <t>Banco Bancamiga 7806</t>
        </is>
      </c>
      <c r="H157" s="63" t="inlineStr">
        <is>
          <t>101,07</t>
        </is>
      </c>
      <c r="I157" s="65" t="n">
        <v>194</v>
      </c>
      <c r="J157" s="65" t="inlineStr">
        <is>
          <t>00-00000670</t>
        </is>
      </c>
      <c r="K157" s="66" t="n">
        <v>46195</v>
      </c>
      <c r="L157" s="63" t="inlineStr">
        <is>
          <t>7,92</t>
        </is>
      </c>
      <c r="M157" s="63" t="inlineStr">
        <is>
          <t>0,00</t>
        </is>
      </c>
    </row>
    <row r="158">
      <c r="A158" s="66" t="n">
        <v>46191</v>
      </c>
      <c r="B158" s="65" t="inlineStr">
        <is>
          <t>PUSD1/2026/00432</t>
        </is>
      </c>
      <c r="C158" s="65" t="n">
        <v>791</v>
      </c>
      <c r="D158" s="65" t="inlineStr">
        <is>
          <t>AUTOREPUESTOS SION C.A.</t>
        </is>
      </c>
      <c r="E158" s="63" t="inlineStr">
        <is>
          <t>100,00</t>
        </is>
      </c>
      <c r="F158" s="65" t="inlineStr">
        <is>
          <t>USD</t>
        </is>
      </c>
      <c r="G158" s="65" t="inlineStr">
        <is>
          <t>Efectivo moneda extrajera (USD)</t>
        </is>
      </c>
      <c r="H158" s="63" t="inlineStr">
        <is>
          <t>100,00</t>
        </is>
      </c>
      <c r="I158" s="65" t="n">
        <v>312</v>
      </c>
      <c r="J158" s="65" t="inlineStr">
        <is>
          <t>00-00000854</t>
        </is>
      </c>
      <c r="K158" s="66" t="n">
        <v>46215</v>
      </c>
      <c r="L158" s="63" t="inlineStr">
        <is>
          <t>0,00</t>
        </is>
      </c>
      <c r="M158" s="63" t="inlineStr">
        <is>
          <t>0,00</t>
        </is>
      </c>
    </row>
    <row r="159">
      <c r="A159" s="66" t="n">
        <v>46191</v>
      </c>
      <c r="B159" s="65" t="inlineStr">
        <is>
          <t>PUSD1/2026/00399</t>
        </is>
      </c>
      <c r="C159" s="65" t="n">
        <v>788</v>
      </c>
      <c r="D159" s="65" t="inlineStr">
        <is>
          <t>Inversiones Los compadres 7686, c.a.</t>
        </is>
      </c>
      <c r="E159" s="63" t="inlineStr">
        <is>
          <t>20,00</t>
        </is>
      </c>
      <c r="F159" s="65" t="inlineStr">
        <is>
          <t>USD</t>
        </is>
      </c>
      <c r="G159" s="65" t="inlineStr">
        <is>
          <t>Efectivo moneda extrajera (USD)</t>
        </is>
      </c>
      <c r="H159" s="63" t="inlineStr">
        <is>
          <t>20,00</t>
        </is>
      </c>
      <c r="I159" s="65" t="n"/>
      <c r="J159" s="65" t="n"/>
      <c r="K159" s="65" t="n"/>
      <c r="L159" s="65" t="n"/>
      <c r="M159" s="65" t="n"/>
    </row>
    <row r="160">
      <c r="A160" s="66" t="n">
        <v>46191</v>
      </c>
      <c r="B160" s="65" t="inlineStr">
        <is>
          <t>PUSD1/2026/00398</t>
        </is>
      </c>
      <c r="C160" s="65" t="n">
        <v>790</v>
      </c>
      <c r="D160" s="65" t="inlineStr">
        <is>
          <t>Repuestos Guia Dios Nuestro Camino,c.a.</t>
        </is>
      </c>
      <c r="E160" s="63" t="inlineStr">
        <is>
          <t>15,00</t>
        </is>
      </c>
      <c r="F160" s="65" t="inlineStr">
        <is>
          <t>USD</t>
        </is>
      </c>
      <c r="G160" s="65" t="inlineStr">
        <is>
          <t>Efectivo moneda extrajera (USD)</t>
        </is>
      </c>
      <c r="H160" s="63" t="inlineStr">
        <is>
          <t>15,00</t>
        </is>
      </c>
      <c r="I160" s="65" t="n"/>
      <c r="J160" s="65" t="n"/>
      <c r="K160" s="65" t="n"/>
      <c r="L160" s="65" t="n"/>
      <c r="M160" s="65" t="n"/>
    </row>
    <row r="161">
      <c r="A161" s="66" t="n">
        <v>46191</v>
      </c>
      <c r="B161" s="65" t="inlineStr">
        <is>
          <t>PUSD1/2026/00397</t>
        </is>
      </c>
      <c r="C161" s="65" t="n">
        <v>789</v>
      </c>
      <c r="D161" s="65" t="inlineStr">
        <is>
          <t>Emprendimiento Eduardo Pérez 6</t>
        </is>
      </c>
      <c r="E161" s="63" t="inlineStr">
        <is>
          <t>20,00</t>
        </is>
      </c>
      <c r="F161" s="65" t="inlineStr">
        <is>
          <t>USD</t>
        </is>
      </c>
      <c r="G161" s="65" t="inlineStr">
        <is>
          <t>Efectivo moneda extrajera (USD)</t>
        </is>
      </c>
      <c r="H161" s="63" t="inlineStr">
        <is>
          <t>20,00</t>
        </is>
      </c>
      <c r="I161" s="65" t="n"/>
      <c r="J161" s="65" t="n"/>
      <c r="K161" s="65" t="n"/>
      <c r="L161" s="65" t="n"/>
      <c r="M161" s="65" t="n"/>
    </row>
    <row r="162">
      <c r="A162" s="66" t="n">
        <v>46191</v>
      </c>
      <c r="B162" s="65" t="inlineStr">
        <is>
          <t>PUSD1/2026/00396</t>
        </is>
      </c>
      <c r="C162" s="65" t="n">
        <v>785</v>
      </c>
      <c r="D162" s="65" t="inlineStr">
        <is>
          <t>EMPRENDIMIENTO FRANCISCO VEGAS 3</t>
        </is>
      </c>
      <c r="E162" s="63" t="inlineStr">
        <is>
          <t>68,00</t>
        </is>
      </c>
      <c r="F162" s="65" t="inlineStr">
        <is>
          <t>USD</t>
        </is>
      </c>
      <c r="G162" s="65" t="inlineStr">
        <is>
          <t>Efectivo moneda extrajera (USD)</t>
        </is>
      </c>
      <c r="H162" s="63" t="inlineStr">
        <is>
          <t>68,00</t>
        </is>
      </c>
      <c r="I162" s="65" t="n">
        <v>215</v>
      </c>
      <c r="J162" s="65" t="inlineStr">
        <is>
          <t>00-00000719</t>
        </is>
      </c>
      <c r="K162" s="66" t="n">
        <v>46205</v>
      </c>
      <c r="L162" s="63" t="inlineStr">
        <is>
          <t>0,00</t>
        </is>
      </c>
      <c r="M162" s="63" t="inlineStr">
        <is>
          <t>0,00</t>
        </is>
      </c>
    </row>
    <row r="163">
      <c r="A163" s="66" t="n">
        <v>46191</v>
      </c>
      <c r="B163" s="65" t="inlineStr">
        <is>
          <t>PBDV/2026/00037</t>
        </is>
      </c>
      <c r="C163" s="65" t="n">
        <v>786</v>
      </c>
      <c r="D163" s="65" t="inlineStr">
        <is>
          <t>Fluidtack Soluciones, c.a.</t>
        </is>
      </c>
      <c r="E163" s="63" t="inlineStr">
        <is>
          <t>72.667,99</t>
        </is>
      </c>
      <c r="F163" s="65" t="inlineStr">
        <is>
          <t>VES</t>
        </is>
      </c>
      <c r="G163" s="65" t="inlineStr">
        <is>
          <t>Banco de Venezuela 6891</t>
        </is>
      </c>
      <c r="H163" s="63" t="inlineStr">
        <is>
          <t>120,64</t>
        </is>
      </c>
      <c r="I163" s="65" t="n">
        <v>189</v>
      </c>
      <c r="J163" s="65" t="inlineStr">
        <is>
          <t>00-00000651</t>
        </is>
      </c>
      <c r="K163" s="66" t="n">
        <v>46190</v>
      </c>
      <c r="L163" s="63" t="inlineStr">
        <is>
          <t>20,61</t>
        </is>
      </c>
      <c r="M163" s="63" t="inlineStr">
        <is>
          <t>0,00</t>
        </is>
      </c>
    </row>
    <row r="164">
      <c r="A164" s="66" t="n">
        <v>46191</v>
      </c>
      <c r="B164" s="65" t="inlineStr">
        <is>
          <t>PBAMI/2026/00256</t>
        </is>
      </c>
      <c r="C164" s="65" t="n">
        <v>983</v>
      </c>
      <c r="D164" s="65" t="inlineStr">
        <is>
          <t>Diana Carolina Torres</t>
        </is>
      </c>
      <c r="E164" s="63" t="inlineStr">
        <is>
          <t>60.300,00</t>
        </is>
      </c>
      <c r="F164" s="65" t="inlineStr">
        <is>
          <t>VES</t>
        </is>
      </c>
      <c r="G164" s="65" t="inlineStr">
        <is>
          <t>Banco Bancamiga 7806</t>
        </is>
      </c>
      <c r="H164" s="63" t="inlineStr">
        <is>
          <t>100,11</t>
        </is>
      </c>
      <c r="I164" s="65" t="n"/>
      <c r="J164" s="65" t="n"/>
      <c r="K164" s="65" t="n"/>
      <c r="L164" s="65" t="n"/>
      <c r="M164" s="65" t="n"/>
    </row>
    <row r="165">
      <c r="A165" s="66" t="n">
        <v>46191</v>
      </c>
      <c r="B165" s="65" t="inlineStr">
        <is>
          <t>PBAMI/2026/00195</t>
        </is>
      </c>
      <c r="C165" s="65" t="n">
        <v>787</v>
      </c>
      <c r="D165" s="65" t="inlineStr">
        <is>
          <t>Cauchera William 2018, C.A</t>
        </is>
      </c>
      <c r="E165" s="63" t="inlineStr">
        <is>
          <t>30.000,00</t>
        </is>
      </c>
      <c r="F165" s="65" t="inlineStr">
        <is>
          <t>VES</t>
        </is>
      </c>
      <c r="G165" s="65" t="inlineStr">
        <is>
          <t>Banco Bancamiga 7806</t>
        </is>
      </c>
      <c r="H165" s="63" t="inlineStr">
        <is>
          <t>49,81</t>
        </is>
      </c>
      <c r="I165" s="65" t="n"/>
      <c r="J165" s="65" t="n"/>
      <c r="K165" s="65" t="n"/>
      <c r="L165" s="65" t="n"/>
      <c r="M165" s="65" t="n"/>
    </row>
    <row r="166">
      <c r="A166" s="66" t="n">
        <v>46190</v>
      </c>
      <c r="B166" s="65" t="inlineStr">
        <is>
          <t>PUSD1/2026/00395</t>
        </is>
      </c>
      <c r="C166" s="65" t="n">
        <v>780</v>
      </c>
      <c r="D166" s="65" t="inlineStr">
        <is>
          <t>DIADOMHAN AUTOMOTRIZ, C.A.</t>
        </is>
      </c>
      <c r="E166" s="63" t="inlineStr">
        <is>
          <t>120,00</t>
        </is>
      </c>
      <c r="F166" s="65" t="inlineStr">
        <is>
          <t>USD</t>
        </is>
      </c>
      <c r="G166" s="65" t="inlineStr">
        <is>
          <t>Efectivo moneda extrajera (USD)</t>
        </is>
      </c>
      <c r="H166" s="63" t="inlineStr">
        <is>
          <t>120,00</t>
        </is>
      </c>
      <c r="I166" s="65" t="n"/>
      <c r="J166" s="65" t="n"/>
      <c r="K166" s="65" t="n"/>
      <c r="L166" s="65" t="n"/>
      <c r="M166" s="65" t="n"/>
    </row>
    <row r="167">
      <c r="A167" s="66" t="n">
        <v>46190</v>
      </c>
      <c r="B167" s="65" t="inlineStr">
        <is>
          <t>PUSD1/2026/00394</t>
        </is>
      </c>
      <c r="C167" s="65" t="n">
        <v>782</v>
      </c>
      <c r="D167" s="65" t="inlineStr">
        <is>
          <t>INVERSIONES R&amp;C 1817, c.a.</t>
        </is>
      </c>
      <c r="E167" s="63" t="inlineStr">
        <is>
          <t>66,00</t>
        </is>
      </c>
      <c r="F167" s="65" t="inlineStr">
        <is>
          <t>USD</t>
        </is>
      </c>
      <c r="G167" s="65" t="inlineStr">
        <is>
          <t>Efectivo moneda extrajera (USD)</t>
        </is>
      </c>
      <c r="H167" s="63" t="inlineStr">
        <is>
          <t>66,00</t>
        </is>
      </c>
      <c r="I167" s="65" t="n">
        <v>191</v>
      </c>
      <c r="J167" s="65" t="inlineStr">
        <is>
          <t>00-00000653</t>
        </is>
      </c>
      <c r="K167" s="66" t="n">
        <v>46190</v>
      </c>
      <c r="L167" s="63" t="inlineStr">
        <is>
          <t>0,00</t>
        </is>
      </c>
      <c r="M167" s="63" t="inlineStr">
        <is>
          <t>0,00</t>
        </is>
      </c>
    </row>
    <row r="168">
      <c r="A168" s="66" t="n">
        <v>46190</v>
      </c>
      <c r="B168" s="65" t="inlineStr">
        <is>
          <t>PUSD1/2026/00393</t>
        </is>
      </c>
      <c r="C168" s="65" t="n">
        <v>781</v>
      </c>
      <c r="D168" s="65" t="inlineStr">
        <is>
          <t>Katiuska Alejandra Curvelo</t>
        </is>
      </c>
      <c r="E168" s="63" t="inlineStr">
        <is>
          <t>140,00</t>
        </is>
      </c>
      <c r="F168" s="65" t="inlineStr">
        <is>
          <t>USD</t>
        </is>
      </c>
      <c r="G168" s="65" t="inlineStr">
        <is>
          <t>Efectivo moneda extrajera (USD)</t>
        </is>
      </c>
      <c r="H168" s="63" t="inlineStr">
        <is>
          <t>140,00</t>
        </is>
      </c>
      <c r="I168" s="65" t="n">
        <v>190</v>
      </c>
      <c r="J168" s="65" t="inlineStr">
        <is>
          <t>00-00000652</t>
        </is>
      </c>
      <c r="K168" s="66" t="n">
        <v>46190</v>
      </c>
      <c r="L168" s="63" t="inlineStr">
        <is>
          <t>0,01</t>
        </is>
      </c>
      <c r="M168" s="63" t="inlineStr">
        <is>
          <t>0,00</t>
        </is>
      </c>
    </row>
    <row r="169">
      <c r="A169" s="66" t="n">
        <v>46190</v>
      </c>
      <c r="B169" s="65" t="inlineStr">
        <is>
          <t>PUSD1/2026/00392</t>
        </is>
      </c>
      <c r="C169" s="65" t="n">
        <v>778</v>
      </c>
      <c r="D169" s="65" t="inlineStr">
        <is>
          <t>Abraham almenar</t>
        </is>
      </c>
      <c r="E169" s="63" t="inlineStr">
        <is>
          <t>32,00</t>
        </is>
      </c>
      <c r="F169" s="65" t="inlineStr">
        <is>
          <t>USD</t>
        </is>
      </c>
      <c r="G169" s="65" t="inlineStr">
        <is>
          <t>Efectivo moneda extrajera (USD)</t>
        </is>
      </c>
      <c r="H169" s="63" t="inlineStr">
        <is>
          <t>32,00</t>
        </is>
      </c>
      <c r="I169" s="65" t="n">
        <v>315</v>
      </c>
      <c r="J169" s="65" t="inlineStr">
        <is>
          <t>00-00000857</t>
        </is>
      </c>
      <c r="K169" s="66" t="n">
        <v>46215</v>
      </c>
      <c r="L169" s="63" t="inlineStr">
        <is>
          <t>1,00</t>
        </is>
      </c>
      <c r="M169" s="63" t="inlineStr">
        <is>
          <t>0,00</t>
        </is>
      </c>
    </row>
    <row r="170">
      <c r="A170" s="66" t="n">
        <v>46190</v>
      </c>
      <c r="B170" s="65" t="inlineStr">
        <is>
          <t>PUSD1/2026/00391</t>
        </is>
      </c>
      <c r="C170" s="65" t="n">
        <v>777</v>
      </c>
      <c r="D170" s="65" t="inlineStr">
        <is>
          <t>Emprendimiento YSKRA</t>
        </is>
      </c>
      <c r="E170" s="63" t="inlineStr">
        <is>
          <t>28,00</t>
        </is>
      </c>
      <c r="F170" s="65" t="inlineStr">
        <is>
          <t>USD</t>
        </is>
      </c>
      <c r="G170" s="65" t="inlineStr">
        <is>
          <t>Efectivo moneda extrajera (USD)</t>
        </is>
      </c>
      <c r="H170" s="63" t="inlineStr">
        <is>
          <t>28,00</t>
        </is>
      </c>
      <c r="I170" s="65" t="n"/>
      <c r="J170" s="65" t="n"/>
      <c r="K170" s="65" t="n"/>
      <c r="L170" s="65" t="n"/>
      <c r="M170" s="65" t="n"/>
    </row>
    <row r="171">
      <c r="A171" s="66" t="n">
        <v>46190</v>
      </c>
      <c r="B171" s="65" t="inlineStr">
        <is>
          <t>PUSD1/2026/00390</t>
        </is>
      </c>
      <c r="C171" s="65" t="n">
        <v>776</v>
      </c>
      <c r="D171" s="65" t="inlineStr">
        <is>
          <t>ELENA MEJIAS</t>
        </is>
      </c>
      <c r="E171" s="63" t="inlineStr">
        <is>
          <t>37,00</t>
        </is>
      </c>
      <c r="F171" s="65" t="inlineStr">
        <is>
          <t>USD</t>
        </is>
      </c>
      <c r="G171" s="65" t="inlineStr">
        <is>
          <t>Efectivo moneda extrajera (USD)</t>
        </is>
      </c>
      <c r="H171" s="63" t="inlineStr">
        <is>
          <t>37,00</t>
        </is>
      </c>
      <c r="I171" s="65" t="n">
        <v>130</v>
      </c>
      <c r="J171" s="65" t="inlineStr">
        <is>
          <t>00-00000543</t>
        </is>
      </c>
      <c r="K171" s="66" t="n">
        <v>46182</v>
      </c>
      <c r="L171" s="63" t="inlineStr">
        <is>
          <t>0,12</t>
        </is>
      </c>
      <c r="M171" s="63" t="inlineStr">
        <is>
          <t>0,00</t>
        </is>
      </c>
    </row>
    <row r="172">
      <c r="A172" s="65" t="n"/>
      <c r="B172" s="65" t="n"/>
      <c r="C172" s="65" t="n"/>
      <c r="D172" s="65" t="n"/>
      <c r="E172" s="65" t="n"/>
      <c r="F172" s="65" t="n"/>
      <c r="G172" s="65" t="n"/>
      <c r="H172" s="65" t="n"/>
      <c r="I172" s="65" t="n">
        <v>180</v>
      </c>
      <c r="J172" s="65" t="inlineStr">
        <is>
          <t>00-00000636</t>
        </is>
      </c>
      <c r="K172" s="66" t="n">
        <v>46189</v>
      </c>
      <c r="L172" s="63" t="inlineStr">
        <is>
          <t>0,00</t>
        </is>
      </c>
      <c r="M172" s="63" t="inlineStr">
        <is>
          <t>0,00</t>
        </is>
      </c>
    </row>
    <row r="173">
      <c r="A173" s="66" t="n">
        <v>46190</v>
      </c>
      <c r="B173" s="65" t="inlineStr">
        <is>
          <t>PUSD1/2026/00382</t>
        </is>
      </c>
      <c r="C173" s="65" t="n">
        <v>775</v>
      </c>
      <c r="D173" s="65" t="inlineStr">
        <is>
          <t>Edgar salas</t>
        </is>
      </c>
      <c r="E173" s="63" t="inlineStr">
        <is>
          <t>3,00</t>
        </is>
      </c>
      <c r="F173" s="65" t="inlineStr">
        <is>
          <t>USD</t>
        </is>
      </c>
      <c r="G173" s="65" t="inlineStr">
        <is>
          <t>Efectivo moneda extrajera (USD)</t>
        </is>
      </c>
      <c r="H173" s="63" t="inlineStr">
        <is>
          <t>3,00</t>
        </is>
      </c>
      <c r="I173" s="65" t="n">
        <v>183</v>
      </c>
      <c r="J173" s="65" t="inlineStr">
        <is>
          <t>00-00000644</t>
        </is>
      </c>
      <c r="K173" s="66" t="n">
        <v>46190</v>
      </c>
      <c r="L173" s="63" t="inlineStr">
        <is>
          <t>0,00</t>
        </is>
      </c>
      <c r="M173" s="63" t="inlineStr">
        <is>
          <t>0,00</t>
        </is>
      </c>
    </row>
    <row r="174">
      <c r="A174" s="66" t="n">
        <v>46190</v>
      </c>
      <c r="B174" s="65" t="inlineStr">
        <is>
          <t>PBAMI/2026/00255</t>
        </is>
      </c>
      <c r="C174" s="65" t="n">
        <v>774</v>
      </c>
      <c r="D174" s="65" t="inlineStr">
        <is>
          <t>Grupo KACAOIL,C.A.</t>
        </is>
      </c>
      <c r="E174" s="63" t="inlineStr">
        <is>
          <t>59.678,00</t>
        </is>
      </c>
      <c r="F174" s="65" t="inlineStr">
        <is>
          <t>VES</t>
        </is>
      </c>
      <c r="G174" s="65" t="inlineStr">
        <is>
          <t>Banco Bancamiga 7806</t>
        </is>
      </c>
      <c r="H174" s="63" t="inlineStr">
        <is>
          <t>100,00</t>
        </is>
      </c>
      <c r="I174" s="65" t="n"/>
      <c r="J174" s="65" t="n"/>
      <c r="K174" s="65" t="n"/>
      <c r="L174" s="65" t="n"/>
      <c r="M174" s="65" t="n"/>
    </row>
    <row r="175">
      <c r="A175" s="66" t="n">
        <v>46190</v>
      </c>
      <c r="B175" s="65" t="inlineStr">
        <is>
          <t>PBAMI/2026/00197</t>
        </is>
      </c>
      <c r="C175" s="65" t="n">
        <v>783</v>
      </c>
      <c r="D175" s="65" t="inlineStr">
        <is>
          <t>MULTIPARTES Y SERVICIOS HONDANIS,C.A.</t>
        </is>
      </c>
      <c r="E175" s="63" t="inlineStr">
        <is>
          <t>120.311,26</t>
        </is>
      </c>
      <c r="F175" s="65" t="inlineStr">
        <is>
          <t>VES</t>
        </is>
      </c>
      <c r="G175" s="65" t="inlineStr">
        <is>
          <t>Banco Bancamiga 7806</t>
        </is>
      </c>
      <c r="H175" s="63" t="inlineStr">
        <is>
          <t>201,60</t>
        </is>
      </c>
      <c r="I175" s="65" t="n">
        <v>182</v>
      </c>
      <c r="J175" s="65" t="inlineStr">
        <is>
          <t>00-00000643</t>
        </is>
      </c>
      <c r="K175" s="66" t="n">
        <v>46190</v>
      </c>
      <c r="L175" s="63" t="inlineStr">
        <is>
          <t>54,68</t>
        </is>
      </c>
      <c r="M175" s="63" t="inlineStr">
        <is>
          <t>0,00</t>
        </is>
      </c>
    </row>
    <row r="176">
      <c r="A176" s="66" t="n">
        <v>46190</v>
      </c>
      <c r="B176" s="65" t="inlineStr">
        <is>
          <t>PBAMI/2026/00196</t>
        </is>
      </c>
      <c r="C176" s="65" t="n">
        <v>784</v>
      </c>
      <c r="D176" s="65" t="inlineStr">
        <is>
          <t>Cauchera El Gordo 0410,c.a.</t>
        </is>
      </c>
      <c r="E176" s="63" t="inlineStr">
        <is>
          <t>265.346,29</t>
        </is>
      </c>
      <c r="F176" s="65" t="inlineStr">
        <is>
          <t>VES</t>
        </is>
      </c>
      <c r="G176" s="65" t="inlineStr">
        <is>
          <t>Banco Bancamiga 7806</t>
        </is>
      </c>
      <c r="H176" s="63" t="inlineStr">
        <is>
          <t>444,63</t>
        </is>
      </c>
      <c r="I176" s="65" t="n">
        <v>181</v>
      </c>
      <c r="J176" s="65" t="inlineStr">
        <is>
          <t>00-00000642</t>
        </is>
      </c>
      <c r="K176" s="66" t="n">
        <v>46190</v>
      </c>
      <c r="L176" s="63" t="inlineStr">
        <is>
          <t>26,45</t>
        </is>
      </c>
      <c r="M176" s="63" t="inlineStr">
        <is>
          <t>0,00</t>
        </is>
      </c>
    </row>
    <row r="177">
      <c r="A177" s="66" t="n">
        <v>46189</v>
      </c>
      <c r="B177" s="65" t="inlineStr">
        <is>
          <t>PUSD1/2026/00435</t>
        </is>
      </c>
      <c r="C177" s="65" t="n">
        <v>765</v>
      </c>
      <c r="D177" s="65" t="inlineStr">
        <is>
          <t>Anthony Jose Quijada Diaz.</t>
        </is>
      </c>
      <c r="E177" s="63" t="inlineStr">
        <is>
          <t>885,00</t>
        </is>
      </c>
      <c r="F177" s="65" t="inlineStr">
        <is>
          <t>USD</t>
        </is>
      </c>
      <c r="G177" s="65" t="inlineStr">
        <is>
          <t>Efectivo moneda extrajera (USD)</t>
        </is>
      </c>
      <c r="H177" s="63" t="inlineStr">
        <is>
          <t>885,00</t>
        </is>
      </c>
      <c r="I177" s="65" t="n">
        <v>188</v>
      </c>
      <c r="J177" s="65" t="inlineStr">
        <is>
          <t>00-00000650</t>
        </is>
      </c>
      <c r="K177" s="66" t="n">
        <v>46189</v>
      </c>
      <c r="L177" s="63" t="inlineStr">
        <is>
          <t>0,00</t>
        </is>
      </c>
      <c r="M177" s="63" t="inlineStr">
        <is>
          <t>0,00</t>
        </is>
      </c>
    </row>
    <row r="178">
      <c r="A178" s="66" t="n">
        <v>46189</v>
      </c>
      <c r="B178" s="65" t="inlineStr">
        <is>
          <t>PUSD1/2026/00389</t>
        </is>
      </c>
      <c r="C178" s="65" t="n">
        <v>767</v>
      </c>
      <c r="D178" s="65" t="inlineStr">
        <is>
          <t>Melany Madrid</t>
        </is>
      </c>
      <c r="E178" s="63" t="inlineStr">
        <is>
          <t>200,00</t>
        </is>
      </c>
      <c r="F178" s="65" t="inlineStr">
        <is>
          <t>USD</t>
        </is>
      </c>
      <c r="G178" s="65" t="inlineStr">
        <is>
          <t>Efectivo moneda extrajera (USD)</t>
        </is>
      </c>
      <c r="H178" s="63" t="inlineStr">
        <is>
          <t>200,00</t>
        </is>
      </c>
      <c r="I178" s="65" t="n"/>
      <c r="J178" s="65" t="n"/>
      <c r="K178" s="65" t="n"/>
      <c r="L178" s="65" t="n"/>
      <c r="M178" s="65" t="n"/>
    </row>
    <row r="179">
      <c r="A179" s="66" t="n">
        <v>46189</v>
      </c>
      <c r="B179" s="65" t="inlineStr">
        <is>
          <t>PUSD1/2026/00388</t>
        </is>
      </c>
      <c r="C179" s="65" t="n">
        <v>769</v>
      </c>
      <c r="D179" s="65" t="inlineStr">
        <is>
          <t>Marlene Herrera</t>
        </is>
      </c>
      <c r="E179" s="63" t="inlineStr">
        <is>
          <t>100,00</t>
        </is>
      </c>
      <c r="F179" s="65" t="inlineStr">
        <is>
          <t>USD</t>
        </is>
      </c>
      <c r="G179" s="65" t="inlineStr">
        <is>
          <t>Efectivo moneda extrajera (USD)</t>
        </is>
      </c>
      <c r="H179" s="63" t="inlineStr">
        <is>
          <t>100,00</t>
        </is>
      </c>
      <c r="I179" s="65" t="n">
        <v>234</v>
      </c>
      <c r="J179" s="65" t="inlineStr">
        <is>
          <t>00-00000756</t>
        </is>
      </c>
      <c r="K179" s="66" t="n">
        <v>46210</v>
      </c>
      <c r="L179" s="63" t="inlineStr">
        <is>
          <t>447,02</t>
        </is>
      </c>
      <c r="M179" s="63" t="inlineStr">
        <is>
          <t>0,00</t>
        </is>
      </c>
    </row>
    <row r="180">
      <c r="A180" s="66" t="n">
        <v>46189</v>
      </c>
      <c r="B180" s="65" t="inlineStr">
        <is>
          <t>PUSD1/2026/00387</t>
        </is>
      </c>
      <c r="C180" s="65" t="n">
        <v>771</v>
      </c>
      <c r="D180" s="65" t="inlineStr">
        <is>
          <t>REPRESENTACIONES LAGUS MEL, C. A</t>
        </is>
      </c>
      <c r="E180" s="63" t="inlineStr">
        <is>
          <t>100,00</t>
        </is>
      </c>
      <c r="F180" s="65" t="inlineStr">
        <is>
          <t>USD</t>
        </is>
      </c>
      <c r="G180" s="65" t="inlineStr">
        <is>
          <t>Efectivo moneda extrajera (USD)</t>
        </is>
      </c>
      <c r="H180" s="63" t="inlineStr">
        <is>
          <t>100,00</t>
        </is>
      </c>
      <c r="I180" s="65" t="n"/>
      <c r="J180" s="65" t="n"/>
      <c r="K180" s="65" t="n"/>
      <c r="L180" s="65" t="n"/>
      <c r="M180" s="65" t="n"/>
    </row>
    <row r="181">
      <c r="A181" s="66" t="n">
        <v>46189</v>
      </c>
      <c r="B181" s="65" t="inlineStr">
        <is>
          <t>PUSD1/2026/00386</t>
        </is>
      </c>
      <c r="C181" s="65" t="n">
        <v>770</v>
      </c>
      <c r="D181" s="65" t="inlineStr">
        <is>
          <t>SJMG 2012 C.A</t>
        </is>
      </c>
      <c r="E181" s="63" t="inlineStr">
        <is>
          <t>100,00</t>
        </is>
      </c>
      <c r="F181" s="65" t="inlineStr">
        <is>
          <t>USD</t>
        </is>
      </c>
      <c r="G181" s="65" t="inlineStr">
        <is>
          <t>Efectivo moneda extrajera (USD)</t>
        </is>
      </c>
      <c r="H181" s="63" t="inlineStr">
        <is>
          <t>100,00</t>
        </is>
      </c>
      <c r="I181" s="65" t="n"/>
      <c r="J181" s="65" t="n"/>
      <c r="K181" s="65" t="n"/>
      <c r="L181" s="65" t="n"/>
      <c r="M181" s="65" t="n"/>
    </row>
    <row r="182">
      <c r="A182" s="66" t="n">
        <v>46189</v>
      </c>
      <c r="B182" s="65" t="inlineStr">
        <is>
          <t>PUSD1/2026/00385</t>
        </is>
      </c>
      <c r="C182" s="65" t="n">
        <v>768</v>
      </c>
      <c r="D182" s="65" t="inlineStr">
        <is>
          <t>Benefit c.a</t>
        </is>
      </c>
      <c r="E182" s="63" t="inlineStr">
        <is>
          <t>100,00</t>
        </is>
      </c>
      <c r="F182" s="65" t="inlineStr">
        <is>
          <t>USD</t>
        </is>
      </c>
      <c r="G182" s="65" t="inlineStr">
        <is>
          <t>Efectivo moneda extrajera (USD)</t>
        </is>
      </c>
      <c r="H182" s="63" t="inlineStr">
        <is>
          <t>100,00</t>
        </is>
      </c>
      <c r="I182" s="65" t="n">
        <v>266</v>
      </c>
      <c r="J182" s="65" t="inlineStr">
        <is>
          <t>00-00000803</t>
        </is>
      </c>
      <c r="K182" s="66" t="n">
        <v>46214</v>
      </c>
      <c r="L182" s="63" t="inlineStr">
        <is>
          <t>80,00</t>
        </is>
      </c>
      <c r="M182" s="63" t="inlineStr">
        <is>
          <t>0,00</t>
        </is>
      </c>
    </row>
    <row r="183">
      <c r="A183" s="66" t="n">
        <v>46189</v>
      </c>
      <c r="B183" s="65" t="inlineStr">
        <is>
          <t>PUSD1/2026/00384</t>
        </is>
      </c>
      <c r="C183" s="65" t="n">
        <v>772</v>
      </c>
      <c r="D183" s="65" t="inlineStr">
        <is>
          <t>Victor Ordaz</t>
        </is>
      </c>
      <c r="E183" s="63" t="inlineStr">
        <is>
          <t>360,00</t>
        </is>
      </c>
      <c r="F183" s="65" t="inlineStr">
        <is>
          <t>USD</t>
        </is>
      </c>
      <c r="G183" s="65" t="inlineStr">
        <is>
          <t>Efectivo moneda extrajera (USD)</t>
        </is>
      </c>
      <c r="H183" s="63" t="inlineStr">
        <is>
          <t>360,00</t>
        </is>
      </c>
      <c r="I183" s="65" t="n">
        <v>261</v>
      </c>
      <c r="J183" s="65" t="inlineStr">
        <is>
          <t>00-00000798</t>
        </is>
      </c>
      <c r="K183" s="66" t="n">
        <v>46214</v>
      </c>
      <c r="L183" s="63" t="inlineStr">
        <is>
          <t>249,01</t>
        </is>
      </c>
      <c r="M183" s="63" t="inlineStr">
        <is>
          <t>0,00</t>
        </is>
      </c>
    </row>
    <row r="184">
      <c r="A184" s="66" t="n">
        <v>46189</v>
      </c>
      <c r="B184" s="65" t="inlineStr">
        <is>
          <t>PUSD1/2026/00383</t>
        </is>
      </c>
      <c r="C184" s="65" t="n">
        <v>773</v>
      </c>
      <c r="D184" s="65" t="inlineStr">
        <is>
          <t>Jhon Morales</t>
        </is>
      </c>
      <c r="E184" s="63" t="inlineStr">
        <is>
          <t>50,00</t>
        </is>
      </c>
      <c r="F184" s="65" t="inlineStr">
        <is>
          <t>USD</t>
        </is>
      </c>
      <c r="G184" s="65" t="inlineStr">
        <is>
          <t>Efectivo moneda extrajera (USD)</t>
        </is>
      </c>
      <c r="H184" s="63" t="inlineStr">
        <is>
          <t>50,00</t>
        </is>
      </c>
      <c r="I184" s="65" t="n">
        <v>275</v>
      </c>
      <c r="J184" s="65" t="inlineStr">
        <is>
          <t>00-00000812</t>
        </is>
      </c>
      <c r="K184" s="66" t="n">
        <v>46214</v>
      </c>
      <c r="L184" s="63" t="inlineStr">
        <is>
          <t>148,01</t>
        </is>
      </c>
      <c r="M184" s="63" t="inlineStr">
        <is>
          <t>0,00</t>
        </is>
      </c>
    </row>
    <row r="185">
      <c r="A185" s="66" t="n">
        <v>46189</v>
      </c>
      <c r="B185" s="65" t="inlineStr">
        <is>
          <t>PBAMI/2026/00194</t>
        </is>
      </c>
      <c r="C185" s="65" t="n">
        <v>779</v>
      </c>
      <c r="D185" s="65" t="inlineStr">
        <is>
          <t>Sandra Katherine Quintero Crespo</t>
        </is>
      </c>
      <c r="E185" s="63" t="inlineStr">
        <is>
          <t>83.567,00</t>
        </is>
      </c>
      <c r="F185" s="65" t="inlineStr">
        <is>
          <t>VES</t>
        </is>
      </c>
      <c r="G185" s="65" t="inlineStr">
        <is>
          <t>Banco Bancamiga 7806</t>
        </is>
      </c>
      <c r="H185" s="63" t="inlineStr">
        <is>
          <t>141,04</t>
        </is>
      </c>
      <c r="I185" s="65" t="n"/>
      <c r="J185" s="65" t="n"/>
      <c r="K185" s="65" t="n"/>
      <c r="L185" s="65" t="n"/>
      <c r="M185" s="65" t="n"/>
    </row>
    <row r="186">
      <c r="A186" s="66" t="n">
        <v>46189</v>
      </c>
      <c r="B186" s="65" t="inlineStr">
        <is>
          <t>PBAMI/2026/00193</t>
        </is>
      </c>
      <c r="C186" s="65" t="n">
        <v>766</v>
      </c>
      <c r="D186" s="65" t="inlineStr">
        <is>
          <t>Antonio Terán</t>
        </is>
      </c>
      <c r="E186" s="63" t="inlineStr">
        <is>
          <t>191.167,20</t>
        </is>
      </c>
      <c r="F186" s="65" t="inlineStr">
        <is>
          <t>VES</t>
        </is>
      </c>
      <c r="G186" s="65" t="inlineStr">
        <is>
          <t>Banco Bancamiga 7806</t>
        </is>
      </c>
      <c r="H186" s="63" t="inlineStr">
        <is>
          <t>322,64</t>
        </is>
      </c>
      <c r="I186" s="65" t="n">
        <v>351</v>
      </c>
      <c r="J186" s="65" t="inlineStr">
        <is>
          <t>00-00000894</t>
        </is>
      </c>
      <c r="K186" s="66" t="n">
        <v>46216</v>
      </c>
      <c r="L186" s="63" t="inlineStr">
        <is>
          <t>0,00</t>
        </is>
      </c>
      <c r="M186" s="63" t="inlineStr">
        <is>
          <t>0,00</t>
        </is>
      </c>
    </row>
    <row r="187">
      <c r="A187" s="65" t="n"/>
      <c r="B187" s="65" t="n"/>
      <c r="C187" s="65" t="n"/>
      <c r="D187" s="65" t="n"/>
      <c r="E187" s="65" t="n"/>
      <c r="F187" s="65" t="n"/>
      <c r="G187" s="65" t="n"/>
      <c r="H187" s="65" t="n"/>
      <c r="I187" s="65" t="n">
        <v>514</v>
      </c>
      <c r="J187" s="65" t="inlineStr">
        <is>
          <t>00-00001067</t>
        </is>
      </c>
      <c r="K187" s="66" t="n">
        <v>46219</v>
      </c>
      <c r="L187" s="63" t="inlineStr">
        <is>
          <t>110,12</t>
        </is>
      </c>
      <c r="M187" s="63" t="inlineStr">
        <is>
          <t>0,00</t>
        </is>
      </c>
    </row>
    <row r="188">
      <c r="A188" s="66" t="n">
        <v>46189</v>
      </c>
      <c r="B188" s="65" t="inlineStr">
        <is>
          <t>PBAMI/2026/00192</t>
        </is>
      </c>
      <c r="C188" s="65" t="n">
        <v>764</v>
      </c>
      <c r="D188" s="65" t="inlineStr">
        <is>
          <t>Javier Cardenas Prato.</t>
        </is>
      </c>
      <c r="E188" s="63" t="inlineStr">
        <is>
          <t>59.300,00</t>
        </is>
      </c>
      <c r="F188" s="65" t="inlineStr">
        <is>
          <t>VES</t>
        </is>
      </c>
      <c r="G188" s="65" t="inlineStr">
        <is>
          <t>Banco Bancamiga 7806</t>
        </is>
      </c>
      <c r="H188" s="63" t="inlineStr">
        <is>
          <t>100,08</t>
        </is>
      </c>
      <c r="I188" s="65" t="n"/>
      <c r="J188" s="65" t="n"/>
      <c r="K188" s="65" t="n"/>
      <c r="L188" s="65" t="n"/>
      <c r="M188" s="65" t="n"/>
    </row>
    <row r="189">
      <c r="A189" s="66" t="n">
        <v>46189</v>
      </c>
      <c r="B189" s="65" t="inlineStr">
        <is>
          <t>PBAMI/2026/00191</t>
        </is>
      </c>
      <c r="C189" s="65" t="n">
        <v>763</v>
      </c>
      <c r="D189" s="65" t="inlineStr">
        <is>
          <t>GARAJE Y TALLERES FRIDELBA, C.A</t>
        </is>
      </c>
      <c r="E189" s="63" t="inlineStr">
        <is>
          <t>162.503,52</t>
        </is>
      </c>
      <c r="F189" s="65" t="inlineStr">
        <is>
          <t>VES</t>
        </is>
      </c>
      <c r="G189" s="65" t="inlineStr">
        <is>
          <t>Banco Bancamiga 7806</t>
        </is>
      </c>
      <c r="H189" s="63" t="inlineStr">
        <is>
          <t>274,26</t>
        </is>
      </c>
      <c r="I189" s="65" t="n">
        <v>185</v>
      </c>
      <c r="J189" s="65" t="inlineStr">
        <is>
          <t>00-00000646</t>
        </is>
      </c>
      <c r="K189" s="66" t="n">
        <v>46189</v>
      </c>
      <c r="L189" s="63" t="inlineStr">
        <is>
          <t>4,12</t>
        </is>
      </c>
      <c r="M189" s="63" t="inlineStr">
        <is>
          <t>0,00</t>
        </is>
      </c>
    </row>
    <row r="190">
      <c r="A190" s="66" t="n">
        <v>46188</v>
      </c>
      <c r="B190" s="65" t="inlineStr">
        <is>
          <t>PUSD1/2026/00381</t>
        </is>
      </c>
      <c r="C190" s="65" t="n">
        <v>757</v>
      </c>
      <c r="D190" s="65" t="inlineStr">
        <is>
          <t>ACCESORIOS Y REPUESTOS MOTO CAR 20-11-C.A</t>
        </is>
      </c>
      <c r="E190" s="63" t="inlineStr">
        <is>
          <t>100,00</t>
        </is>
      </c>
      <c r="F190" s="65" t="inlineStr">
        <is>
          <t>USD</t>
        </is>
      </c>
      <c r="G190" s="65" t="inlineStr">
        <is>
          <t>Efectivo moneda extrajera (USD)</t>
        </is>
      </c>
      <c r="H190" s="63" t="inlineStr">
        <is>
          <t>100,00</t>
        </is>
      </c>
      <c r="I190" s="65" t="n">
        <v>291</v>
      </c>
      <c r="J190" s="65" t="inlineStr">
        <is>
          <t>00-00000829</t>
        </is>
      </c>
      <c r="K190" s="66" t="n">
        <v>46214</v>
      </c>
      <c r="L190" s="63" t="inlineStr">
        <is>
          <t>0,00</t>
        </is>
      </c>
      <c r="M190" s="63" t="inlineStr">
        <is>
          <t>0,00</t>
        </is>
      </c>
    </row>
    <row r="191">
      <c r="A191" s="65" t="n"/>
      <c r="B191" s="65" t="n"/>
      <c r="C191" s="65" t="n"/>
      <c r="D191" s="65" t="n"/>
      <c r="E191" s="65" t="n"/>
      <c r="F191" s="65" t="n"/>
      <c r="G191" s="65" t="n"/>
      <c r="H191" s="65" t="n"/>
      <c r="I191" s="65" t="n">
        <v>333</v>
      </c>
      <c r="J191" s="65" t="inlineStr">
        <is>
          <t>00-00000875</t>
        </is>
      </c>
      <c r="K191" s="66" t="n">
        <v>46215</v>
      </c>
      <c r="L191" s="63" t="inlineStr">
        <is>
          <t>141,00</t>
        </is>
      </c>
      <c r="M191" s="63" t="inlineStr">
        <is>
          <t>0,00</t>
        </is>
      </c>
    </row>
    <row r="192">
      <c r="A192" s="66" t="n">
        <v>46188</v>
      </c>
      <c r="B192" s="65" t="inlineStr">
        <is>
          <t>PUSD1/2026/00380</t>
        </is>
      </c>
      <c r="C192" s="65" t="n">
        <v>758</v>
      </c>
      <c r="D192" s="65" t="inlineStr">
        <is>
          <t>AUTOPERIQUITO EL PEQUEÑO CHAMOY, C.A.</t>
        </is>
      </c>
      <c r="E192" s="63" t="inlineStr">
        <is>
          <t>100,00</t>
        </is>
      </c>
      <c r="F192" s="65" t="inlineStr">
        <is>
          <t>USD</t>
        </is>
      </c>
      <c r="G192" s="65" t="inlineStr">
        <is>
          <t>Efectivo moneda extrajera (USD)</t>
        </is>
      </c>
      <c r="H192" s="63" t="inlineStr">
        <is>
          <t>100,00</t>
        </is>
      </c>
      <c r="I192" s="65" t="n">
        <v>326</v>
      </c>
      <c r="J192" s="65" t="inlineStr">
        <is>
          <t>00-00000868</t>
        </is>
      </c>
      <c r="K192" s="66" t="n">
        <v>46215</v>
      </c>
      <c r="L192" s="63" t="inlineStr">
        <is>
          <t>448,00</t>
        </is>
      </c>
      <c r="M192" s="63" t="inlineStr">
        <is>
          <t>0,00</t>
        </is>
      </c>
    </row>
    <row r="193">
      <c r="A193" s="66" t="n">
        <v>46188</v>
      </c>
      <c r="B193" s="65" t="inlineStr">
        <is>
          <t>PUSD1/2026/00379</t>
        </is>
      </c>
      <c r="C193" s="65" t="n">
        <v>762</v>
      </c>
      <c r="D193" s="65" t="inlineStr">
        <is>
          <t>Edgar salas</t>
        </is>
      </c>
      <c r="E193" s="63" t="inlineStr">
        <is>
          <t>20,00</t>
        </is>
      </c>
      <c r="F193" s="65" t="inlineStr">
        <is>
          <t>USD</t>
        </is>
      </c>
      <c r="G193" s="65" t="inlineStr">
        <is>
          <t>Efectivo moneda extrajera (USD)</t>
        </is>
      </c>
      <c r="H193" s="63" t="inlineStr">
        <is>
          <t>20,00</t>
        </is>
      </c>
      <c r="I193" s="65" t="n">
        <v>183</v>
      </c>
      <c r="J193" s="65" t="inlineStr">
        <is>
          <t>00-00000644</t>
        </is>
      </c>
      <c r="K193" s="66" t="n">
        <v>46190</v>
      </c>
      <c r="L193" s="63" t="inlineStr">
        <is>
          <t>0,00</t>
        </is>
      </c>
      <c r="M193" s="63" t="inlineStr">
        <is>
          <t>0,00</t>
        </is>
      </c>
    </row>
    <row r="194">
      <c r="A194" s="66" t="n">
        <v>46188</v>
      </c>
      <c r="B194" s="65" t="inlineStr">
        <is>
          <t>PUSD1/2026/00378</t>
        </is>
      </c>
      <c r="C194" s="65" t="n">
        <v>755</v>
      </c>
      <c r="D194" s="65" t="inlineStr">
        <is>
          <t>La cámara perfecta</t>
        </is>
      </c>
      <c r="E194" s="63" t="inlineStr">
        <is>
          <t>100,00</t>
        </is>
      </c>
      <c r="F194" s="65" t="inlineStr">
        <is>
          <t>USD</t>
        </is>
      </c>
      <c r="G194" s="65" t="inlineStr">
        <is>
          <t>Efectivo moneda extrajera (USD)</t>
        </is>
      </c>
      <c r="H194" s="63" t="inlineStr">
        <is>
          <t>100,00</t>
        </is>
      </c>
      <c r="I194" s="65" t="n"/>
      <c r="J194" s="65" t="n"/>
      <c r="K194" s="65" t="n"/>
      <c r="L194" s="65" t="n"/>
      <c r="M194" s="65" t="n"/>
    </row>
    <row r="195">
      <c r="A195" s="66" t="n">
        <v>46188</v>
      </c>
      <c r="B195" s="65" t="inlineStr">
        <is>
          <t>PUSD1/2026/00376</t>
        </is>
      </c>
      <c r="C195" s="65" t="n">
        <v>753</v>
      </c>
      <c r="D195" s="65" t="inlineStr">
        <is>
          <t>Larry Herrera</t>
        </is>
      </c>
      <c r="E195" s="63" t="inlineStr">
        <is>
          <t>76,00</t>
        </is>
      </c>
      <c r="F195" s="65" t="inlineStr">
        <is>
          <t>USD</t>
        </is>
      </c>
      <c r="G195" s="65" t="inlineStr">
        <is>
          <t>Efectivo moneda extrajera (USD)</t>
        </is>
      </c>
      <c r="H195" s="63" t="inlineStr">
        <is>
          <t>76,00</t>
        </is>
      </c>
      <c r="I195" s="65" t="n">
        <v>177</v>
      </c>
      <c r="J195" s="65" t="inlineStr">
        <is>
          <t>00-00000627</t>
        </is>
      </c>
      <c r="K195" s="66" t="n">
        <v>46188</v>
      </c>
      <c r="L195" s="63" t="inlineStr">
        <is>
          <t>0,01</t>
        </is>
      </c>
      <c r="M195" s="63" t="inlineStr">
        <is>
          <t>0,00</t>
        </is>
      </c>
    </row>
    <row r="196">
      <c r="A196" s="66" t="n">
        <v>46188</v>
      </c>
      <c r="B196" s="65" t="inlineStr">
        <is>
          <t>PBNB/2026/00003</t>
        </is>
      </c>
      <c r="C196" s="65" t="n">
        <v>754</v>
      </c>
      <c r="D196" s="65" t="inlineStr">
        <is>
          <t>Emprendimiento ilaris cancelo</t>
        </is>
      </c>
      <c r="E196" s="63" t="inlineStr">
        <is>
          <t>650,00</t>
        </is>
      </c>
      <c r="F196" s="65" t="inlineStr">
        <is>
          <t>USD</t>
        </is>
      </c>
      <c r="G196" s="65" t="inlineStr">
        <is>
          <t>Binance (USD)</t>
        </is>
      </c>
      <c r="H196" s="63" t="inlineStr">
        <is>
          <t>650,00</t>
        </is>
      </c>
      <c r="I196" s="65" t="n"/>
      <c r="J196" s="65" t="n"/>
      <c r="K196" s="65" t="n"/>
      <c r="L196" s="65" t="n"/>
      <c r="M196" s="65" t="n"/>
    </row>
    <row r="197">
      <c r="A197" s="66" t="n">
        <v>46188</v>
      </c>
      <c r="B197" s="65" t="inlineStr">
        <is>
          <t>PBAMI/2026/00232</t>
        </is>
      </c>
      <c r="C197" s="65" t="n">
        <v>947</v>
      </c>
      <c r="D197" s="65" t="inlineStr">
        <is>
          <t>CONSTRUCTORA GRANO AGREGADO, C.A</t>
        </is>
      </c>
      <c r="E197" s="63" t="inlineStr">
        <is>
          <t>1.595.329,81</t>
        </is>
      </c>
      <c r="F197" s="65" t="inlineStr">
        <is>
          <t>VES</t>
        </is>
      </c>
      <c r="G197" s="65" t="inlineStr">
        <is>
          <t>Banco Bancamiga 7806</t>
        </is>
      </c>
      <c r="H197" s="63" t="inlineStr">
        <is>
          <t>2.715,89</t>
        </is>
      </c>
      <c r="I197" s="65" t="n"/>
      <c r="J197" s="65" t="n"/>
      <c r="K197" s="65" t="n"/>
      <c r="L197" s="65" t="n"/>
      <c r="M197" s="65" t="n"/>
    </row>
    <row r="198">
      <c r="A198" s="66" t="n">
        <v>46188</v>
      </c>
      <c r="B198" s="65" t="inlineStr">
        <is>
          <t>PBAMI/2026/00190</t>
        </is>
      </c>
      <c r="C198" s="65" t="n">
        <v>760</v>
      </c>
      <c r="D198" s="65" t="inlineStr">
        <is>
          <t>INVERSIONES BECLA PARTS C.A.</t>
        </is>
      </c>
      <c r="E198" s="63" t="inlineStr">
        <is>
          <t>36.654,40</t>
        </is>
      </c>
      <c r="F198" s="65" t="inlineStr">
        <is>
          <t>VES</t>
        </is>
      </c>
      <c r="G198" s="65" t="inlineStr">
        <is>
          <t>Banco Bancamiga 7806</t>
        </is>
      </c>
      <c r="H198" s="63" t="inlineStr">
        <is>
          <t>62,40</t>
        </is>
      </c>
      <c r="I198" s="65" t="n">
        <v>179</v>
      </c>
      <c r="J198" s="65" t="inlineStr">
        <is>
          <t>00-00000630</t>
        </is>
      </c>
      <c r="K198" s="66" t="n">
        <v>46188</v>
      </c>
      <c r="L198" s="63" t="inlineStr">
        <is>
          <t>0,00</t>
        </is>
      </c>
      <c r="M198" s="63" t="inlineStr">
        <is>
          <t>0,00</t>
        </is>
      </c>
    </row>
    <row r="199">
      <c r="A199" s="66" t="n">
        <v>46186</v>
      </c>
      <c r="B199" s="65" t="inlineStr">
        <is>
          <t>PBAMI/2026/00189</t>
        </is>
      </c>
      <c r="C199" s="65" t="n">
        <v>759</v>
      </c>
      <c r="D199" s="65" t="inlineStr">
        <is>
          <t>DISTRIBUIDORA E.P.L.C 2017, c.a.</t>
        </is>
      </c>
      <c r="E199" s="63" t="inlineStr">
        <is>
          <t>47.040,00</t>
        </is>
      </c>
      <c r="F199" s="65" t="inlineStr">
        <is>
          <t>VES</t>
        </is>
      </c>
      <c r="G199" s="65" t="inlineStr">
        <is>
          <t>Banco Bancamiga 7806</t>
        </is>
      </c>
      <c r="H199" s="63" t="inlineStr">
        <is>
          <t>80,73</t>
        </is>
      </c>
      <c r="I199" s="65" t="n">
        <v>274</v>
      </c>
      <c r="J199" s="65" t="inlineStr">
        <is>
          <t>00-00000811</t>
        </is>
      </c>
      <c r="K199" s="66" t="n">
        <v>46214</v>
      </c>
      <c r="L199" s="63" t="inlineStr">
        <is>
          <t>362,30</t>
        </is>
      </c>
      <c r="M199" s="63" t="inlineStr">
        <is>
          <t>0,00</t>
        </is>
      </c>
    </row>
    <row r="200">
      <c r="A200" s="66" t="n">
        <v>46185</v>
      </c>
      <c r="B200" s="65" t="inlineStr">
        <is>
          <t>PUSD1/2026/00375</t>
        </is>
      </c>
      <c r="C200" s="65" t="n">
        <v>750</v>
      </c>
      <c r="D200" s="65" t="inlineStr">
        <is>
          <t>Comercializadora Dimon c.a</t>
        </is>
      </c>
      <c r="E200" s="63" t="inlineStr">
        <is>
          <t>100,00</t>
        </is>
      </c>
      <c r="F200" s="65" t="inlineStr">
        <is>
          <t>USD</t>
        </is>
      </c>
      <c r="G200" s="65" t="inlineStr">
        <is>
          <t>Efectivo moneda extrajera (USD)</t>
        </is>
      </c>
      <c r="H200" s="63" t="inlineStr">
        <is>
          <t>100,00</t>
        </is>
      </c>
      <c r="I200" s="65" t="n"/>
      <c r="J200" s="65" t="n"/>
      <c r="K200" s="65" t="n"/>
      <c r="L200" s="65" t="n"/>
      <c r="M200" s="65" t="n"/>
    </row>
    <row r="201">
      <c r="A201" s="66" t="n">
        <v>46185</v>
      </c>
      <c r="B201" s="65" t="inlineStr">
        <is>
          <t>PUSD1/2026/00374</t>
        </is>
      </c>
      <c r="C201" s="65" t="n">
        <v>751</v>
      </c>
      <c r="D201" s="65" t="inlineStr">
        <is>
          <t>Distribuidora Nesmari 2050 c.a</t>
        </is>
      </c>
      <c r="E201" s="63" t="inlineStr">
        <is>
          <t>80,00</t>
        </is>
      </c>
      <c r="F201" s="65" t="inlineStr">
        <is>
          <t>USD</t>
        </is>
      </c>
      <c r="G201" s="65" t="inlineStr">
        <is>
          <t>Efectivo moneda extrajera (USD)</t>
        </is>
      </c>
      <c r="H201" s="63" t="inlineStr">
        <is>
          <t>80,00</t>
        </is>
      </c>
      <c r="I201" s="65" t="n">
        <v>276</v>
      </c>
      <c r="J201" s="65" t="inlineStr">
        <is>
          <t>00-00000813</t>
        </is>
      </c>
      <c r="K201" s="66" t="n">
        <v>46214</v>
      </c>
      <c r="L201" s="63" t="inlineStr">
        <is>
          <t>83,81</t>
        </is>
      </c>
      <c r="M201" s="63" t="inlineStr">
        <is>
          <t>0,00</t>
        </is>
      </c>
    </row>
    <row r="202">
      <c r="A202" s="66" t="n">
        <v>46185</v>
      </c>
      <c r="B202" s="65" t="inlineStr">
        <is>
          <t>PUSD1/2026/00373</t>
        </is>
      </c>
      <c r="C202" s="65" t="n">
        <v>752</v>
      </c>
      <c r="D202" s="65" t="inlineStr">
        <is>
          <t>Cooperativa Dios mi Amparo, R.L.</t>
        </is>
      </c>
      <c r="E202" s="63" t="inlineStr">
        <is>
          <t>40,00</t>
        </is>
      </c>
      <c r="F202" s="65" t="inlineStr">
        <is>
          <t>USD</t>
        </is>
      </c>
      <c r="G202" s="65" t="inlineStr">
        <is>
          <t>Efectivo moneda extrajera (USD)</t>
        </is>
      </c>
      <c r="H202" s="63" t="inlineStr">
        <is>
          <t>40,00</t>
        </is>
      </c>
      <c r="I202" s="65" t="n">
        <v>289</v>
      </c>
      <c r="J202" s="65" t="inlineStr">
        <is>
          <t>00-00000827</t>
        </is>
      </c>
      <c r="K202" s="66" t="n">
        <v>46214</v>
      </c>
      <c r="L202" s="63" t="inlineStr">
        <is>
          <t>69,00</t>
        </is>
      </c>
      <c r="M202" s="63" t="inlineStr">
        <is>
          <t>0,00</t>
        </is>
      </c>
    </row>
    <row r="203">
      <c r="A203" s="66" t="n">
        <v>46185</v>
      </c>
      <c r="B203" s="65" t="inlineStr">
        <is>
          <t>PUSD1/2026/00371</t>
        </is>
      </c>
      <c r="C203" s="65" t="n">
        <v>746</v>
      </c>
      <c r="D203" s="65" t="inlineStr">
        <is>
          <t>Inversiones Brayan CT C.A</t>
        </is>
      </c>
      <c r="E203" s="63" t="inlineStr">
        <is>
          <t>30,00</t>
        </is>
      </c>
      <c r="F203" s="65" t="inlineStr">
        <is>
          <t>USD</t>
        </is>
      </c>
      <c r="G203" s="65" t="inlineStr">
        <is>
          <t>Efectivo moneda extrajera (USD)</t>
        </is>
      </c>
      <c r="H203" s="63" t="inlineStr">
        <is>
          <t>30,00</t>
        </is>
      </c>
      <c r="I203" s="65" t="n"/>
      <c r="J203" s="65" t="n"/>
      <c r="K203" s="65" t="n"/>
      <c r="L203" s="65" t="n"/>
      <c r="M203" s="65" t="n"/>
    </row>
    <row r="204">
      <c r="A204" s="66" t="n">
        <v>46185</v>
      </c>
      <c r="B204" s="65" t="inlineStr">
        <is>
          <t>PUSD1/2026/00370</t>
        </is>
      </c>
      <c r="C204" s="65" t="n">
        <v>745</v>
      </c>
      <c r="D204" s="65" t="inlineStr">
        <is>
          <t>Comercializadora El Fénix de Catia</t>
        </is>
      </c>
      <c r="E204" s="63" t="inlineStr">
        <is>
          <t>52,00</t>
        </is>
      </c>
      <c r="F204" s="65" t="inlineStr">
        <is>
          <t>USD</t>
        </is>
      </c>
      <c r="G204" s="65" t="inlineStr">
        <is>
          <t>Efectivo moneda extrajera (USD)</t>
        </is>
      </c>
      <c r="H204" s="63" t="inlineStr">
        <is>
          <t>52,00</t>
        </is>
      </c>
      <c r="I204" s="65" t="n">
        <v>142</v>
      </c>
      <c r="J204" s="65" t="inlineStr">
        <is>
          <t>00-00000585</t>
        </is>
      </c>
      <c r="K204" s="66" t="n">
        <v>46185</v>
      </c>
      <c r="L204" s="63" t="inlineStr">
        <is>
          <t>0,00</t>
        </is>
      </c>
      <c r="M204" s="63" t="inlineStr">
        <is>
          <t>0,00</t>
        </is>
      </c>
    </row>
    <row r="205">
      <c r="A205" s="66" t="n">
        <v>46185</v>
      </c>
      <c r="B205" s="65" t="inlineStr">
        <is>
          <t>PUSD1/2026/00369</t>
        </is>
      </c>
      <c r="C205" s="65" t="n">
        <v>748</v>
      </c>
      <c r="D205" s="65" t="inlineStr">
        <is>
          <t>Inversiones Mirelkys C.A</t>
        </is>
      </c>
      <c r="E205" s="63" t="inlineStr">
        <is>
          <t>50,00</t>
        </is>
      </c>
      <c r="F205" s="65" t="inlineStr">
        <is>
          <t>USD</t>
        </is>
      </c>
      <c r="G205" s="65" t="inlineStr">
        <is>
          <t>Efectivo moneda extrajera (USD)</t>
        </is>
      </c>
      <c r="H205" s="63" t="inlineStr">
        <is>
          <t>50,00</t>
        </is>
      </c>
      <c r="I205" s="65" t="n"/>
      <c r="J205" s="65" t="n"/>
      <c r="K205" s="65" t="n"/>
      <c r="L205" s="65" t="n"/>
      <c r="M205" s="65" t="n"/>
    </row>
    <row r="206">
      <c r="A206" s="66" t="n">
        <v>46185</v>
      </c>
      <c r="B206" s="65" t="inlineStr">
        <is>
          <t>PUSD1/2026/00368</t>
        </is>
      </c>
      <c r="C206" s="65" t="n">
        <v>747</v>
      </c>
      <c r="D206" s="65" t="inlineStr">
        <is>
          <t>Inversiones Vercris 17 C.A</t>
        </is>
      </c>
      <c r="E206" s="63" t="inlineStr">
        <is>
          <t>160,00</t>
        </is>
      </c>
      <c r="F206" s="65" t="inlineStr">
        <is>
          <t>USD</t>
        </is>
      </c>
      <c r="G206" s="65" t="inlineStr">
        <is>
          <t>Efectivo moneda extrajera (USD)</t>
        </is>
      </c>
      <c r="H206" s="63" t="inlineStr">
        <is>
          <t>160,00</t>
        </is>
      </c>
      <c r="I206" s="65" t="n"/>
      <c r="J206" s="65" t="n"/>
      <c r="K206" s="65" t="n"/>
      <c r="L206" s="65" t="n"/>
      <c r="M206" s="65" t="n"/>
    </row>
    <row r="207">
      <c r="A207" s="66" t="n">
        <v>46185</v>
      </c>
      <c r="B207" s="65" t="inlineStr">
        <is>
          <t>PUSD1/2026/00367</t>
        </is>
      </c>
      <c r="C207" s="65" t="n">
        <v>749</v>
      </c>
      <c r="D207" s="65" t="inlineStr">
        <is>
          <t>Asociación Cooperativa la Esquina del Lubricante 9999 R.L</t>
        </is>
      </c>
      <c r="E207" s="63" t="inlineStr">
        <is>
          <t>60,00</t>
        </is>
      </c>
      <c r="F207" s="65" t="inlineStr">
        <is>
          <t>USD</t>
        </is>
      </c>
      <c r="G207" s="65" t="inlineStr">
        <is>
          <t>Efectivo moneda extrajera (USD)</t>
        </is>
      </c>
      <c r="H207" s="63" t="inlineStr">
        <is>
          <t>60,00</t>
        </is>
      </c>
      <c r="I207" s="65" t="n">
        <v>515</v>
      </c>
      <c r="J207" s="65" t="inlineStr">
        <is>
          <t>00-00001068</t>
        </is>
      </c>
      <c r="K207" s="66" t="n">
        <v>46219</v>
      </c>
      <c r="L207" s="63" t="inlineStr">
        <is>
          <t>0,00</t>
        </is>
      </c>
      <c r="M207" s="63" t="inlineStr">
        <is>
          <t>0,00</t>
        </is>
      </c>
    </row>
    <row r="208">
      <c r="A208" s="66" t="n">
        <v>46185</v>
      </c>
      <c r="B208" s="65" t="inlineStr">
        <is>
          <t>PUSD1/2026/00366</t>
        </is>
      </c>
      <c r="C208" s="65" t="n">
        <v>741</v>
      </c>
      <c r="D208" s="65" t="inlineStr">
        <is>
          <t>ALI ALEXANDER MORENO FIGUEREDO</t>
        </is>
      </c>
      <c r="E208" s="63" t="inlineStr">
        <is>
          <t>64,00</t>
        </is>
      </c>
      <c r="F208" s="65" t="inlineStr">
        <is>
          <t>USD</t>
        </is>
      </c>
      <c r="G208" s="65" t="inlineStr">
        <is>
          <t>Efectivo moneda extrajera (USD)</t>
        </is>
      </c>
      <c r="H208" s="63" t="inlineStr">
        <is>
          <t>64,00</t>
        </is>
      </c>
      <c r="I208" s="65" t="n">
        <v>158</v>
      </c>
      <c r="J208" s="65" t="inlineStr">
        <is>
          <t>00-00000601</t>
        </is>
      </c>
      <c r="K208" s="66" t="n">
        <v>46185</v>
      </c>
      <c r="L208" s="63" t="inlineStr">
        <is>
          <t>0,00</t>
        </is>
      </c>
      <c r="M208" s="63" t="inlineStr">
        <is>
          <t>0,00</t>
        </is>
      </c>
    </row>
    <row r="209">
      <c r="A209" s="66" t="n">
        <v>46185</v>
      </c>
      <c r="B209" s="65" t="inlineStr">
        <is>
          <t>PUSD1/2026/00365</t>
        </is>
      </c>
      <c r="C209" s="65" t="n">
        <v>744</v>
      </c>
      <c r="D209" s="65" t="inlineStr">
        <is>
          <t>ERICH GILBERTO CASERES MELENDEZ</t>
        </is>
      </c>
      <c r="E209" s="63" t="inlineStr">
        <is>
          <t>23,00</t>
        </is>
      </c>
      <c r="F209" s="65" t="inlineStr">
        <is>
          <t>USD</t>
        </is>
      </c>
      <c r="G209" s="65" t="inlineStr">
        <is>
          <t>Efectivo moneda extrajera (USD)</t>
        </is>
      </c>
      <c r="H209" s="63" t="inlineStr">
        <is>
          <t>23,00</t>
        </is>
      </c>
      <c r="I209" s="65" t="n">
        <v>140</v>
      </c>
      <c r="J209" s="65" t="inlineStr">
        <is>
          <t>00-00000583</t>
        </is>
      </c>
      <c r="K209" s="66" t="n">
        <v>46185</v>
      </c>
      <c r="L209" s="63" t="inlineStr">
        <is>
          <t>0,00</t>
        </is>
      </c>
      <c r="M209" s="63" t="inlineStr">
        <is>
          <t>0,00</t>
        </is>
      </c>
    </row>
    <row r="210">
      <c r="A210" s="66" t="n">
        <v>46185</v>
      </c>
      <c r="B210" s="65" t="inlineStr">
        <is>
          <t>PUSD1/2026/00364</t>
        </is>
      </c>
      <c r="C210" s="65" t="n">
        <v>743</v>
      </c>
      <c r="D210" s="65" t="inlineStr">
        <is>
          <t>INVERSIONES SM 2191, C.A.</t>
        </is>
      </c>
      <c r="E210" s="63" t="inlineStr">
        <is>
          <t>55,00</t>
        </is>
      </c>
      <c r="F210" s="65" t="inlineStr">
        <is>
          <t>USD</t>
        </is>
      </c>
      <c r="G210" s="65" t="inlineStr">
        <is>
          <t>Efectivo moneda extrajera (USD)</t>
        </is>
      </c>
      <c r="H210" s="63" t="inlineStr">
        <is>
          <t>55,00</t>
        </is>
      </c>
      <c r="I210" s="65" t="n"/>
      <c r="J210" s="65" t="n"/>
      <c r="K210" s="65" t="n"/>
      <c r="L210" s="65" t="n"/>
      <c r="M210" s="65" t="n"/>
    </row>
    <row r="211">
      <c r="A211" s="66" t="n">
        <v>46185</v>
      </c>
      <c r="B211" s="65" t="inlineStr">
        <is>
          <t>PUSD1/2026/00363</t>
        </is>
      </c>
      <c r="C211" s="65" t="n">
        <v>742</v>
      </c>
      <c r="D211" s="65" t="inlineStr">
        <is>
          <t>Emprendimiento YSKRA</t>
        </is>
      </c>
      <c r="E211" s="63" t="inlineStr">
        <is>
          <t>20,00</t>
        </is>
      </c>
      <c r="F211" s="65" t="inlineStr">
        <is>
          <t>USD</t>
        </is>
      </c>
      <c r="G211" s="65" t="inlineStr">
        <is>
          <t>Efectivo moneda extrajera (USD)</t>
        </is>
      </c>
      <c r="H211" s="63" t="inlineStr">
        <is>
          <t>20,00</t>
        </is>
      </c>
      <c r="I211" s="65" t="n"/>
      <c r="J211" s="65" t="n"/>
      <c r="K211" s="65" t="n"/>
      <c r="L211" s="65" t="n"/>
      <c r="M211" s="65" t="n"/>
    </row>
    <row r="212">
      <c r="A212" s="66" t="n">
        <v>46185</v>
      </c>
      <c r="B212" s="65" t="inlineStr">
        <is>
          <t>PUSD1/2026/00362</t>
        </is>
      </c>
      <c r="C212" s="65" t="n">
        <v>730</v>
      </c>
      <c r="D212" s="65" t="inlineStr">
        <is>
          <t>Carlos Bravo</t>
        </is>
      </c>
      <c r="E212" s="63" t="inlineStr">
        <is>
          <t>136,00</t>
        </is>
      </c>
      <c r="F212" s="65" t="inlineStr">
        <is>
          <t>USD</t>
        </is>
      </c>
      <c r="G212" s="65" t="inlineStr">
        <is>
          <t>Efectivo moneda extrajera (USD)</t>
        </is>
      </c>
      <c r="H212" s="63" t="inlineStr">
        <is>
          <t>136,00</t>
        </is>
      </c>
      <c r="I212" s="65" t="n">
        <v>139</v>
      </c>
      <c r="J212" s="65" t="inlineStr">
        <is>
          <t>00-00000581</t>
        </is>
      </c>
      <c r="K212" s="66" t="n">
        <v>46185</v>
      </c>
      <c r="L212" s="63" t="inlineStr">
        <is>
          <t>0,00</t>
        </is>
      </c>
      <c r="M212" s="63" t="inlineStr">
        <is>
          <t>0,00</t>
        </is>
      </c>
    </row>
    <row r="213">
      <c r="A213" s="66" t="n">
        <v>46185</v>
      </c>
      <c r="B213" s="65" t="inlineStr">
        <is>
          <t>PBAMI/2026/00265</t>
        </is>
      </c>
      <c r="C213" s="65" t="n">
        <v>999</v>
      </c>
      <c r="D213" s="65" t="inlineStr">
        <is>
          <t>Agustin Pedro Rodriguez Carro</t>
        </is>
      </c>
      <c r="E213" s="63" t="inlineStr">
        <is>
          <t>249.574,00</t>
        </is>
      </c>
      <c r="F213" s="65" t="inlineStr">
        <is>
          <t>VES</t>
        </is>
      </c>
      <c r="G213" s="65" t="inlineStr">
        <is>
          <t>Banco Bancamiga 7806</t>
        </is>
      </c>
      <c r="H213" s="63" t="inlineStr">
        <is>
          <t>428,32</t>
        </is>
      </c>
      <c r="I213" s="65" t="n">
        <v>159</v>
      </c>
      <c r="J213" s="65" t="inlineStr">
        <is>
          <t>00-00000602</t>
        </is>
      </c>
      <c r="K213" s="66" t="n">
        <v>46185</v>
      </c>
      <c r="L213" s="63" t="inlineStr">
        <is>
          <t>0,00</t>
        </is>
      </c>
      <c r="M213" s="63" t="inlineStr">
        <is>
          <t>0,00</t>
        </is>
      </c>
    </row>
    <row r="214">
      <c r="A214" s="66" t="n">
        <v>46184</v>
      </c>
      <c r="B214" s="65" t="inlineStr">
        <is>
          <t>PUSD1/2026/00372</t>
        </is>
      </c>
      <c r="C214" s="65" t="n">
        <v>721</v>
      </c>
      <c r="D214" s="65" t="inlineStr">
        <is>
          <t>Asociación Cooperativa la Esquina del Lubricante 9999 R.L</t>
        </is>
      </c>
      <c r="E214" s="63" t="inlineStr">
        <is>
          <t>75,00</t>
        </is>
      </c>
      <c r="F214" s="65" t="inlineStr">
        <is>
          <t>USD</t>
        </is>
      </c>
      <c r="G214" s="65" t="inlineStr">
        <is>
          <t>Efectivo moneda extrajera (USD)</t>
        </is>
      </c>
      <c r="H214" s="63" t="inlineStr">
        <is>
          <t>75,00</t>
        </is>
      </c>
      <c r="I214" s="65" t="n">
        <v>141</v>
      </c>
      <c r="J214" s="65" t="inlineStr">
        <is>
          <t>00-00000584</t>
        </is>
      </c>
      <c r="K214" s="66" t="n">
        <v>46185</v>
      </c>
      <c r="L214" s="63" t="inlineStr">
        <is>
          <t>0,00</t>
        </is>
      </c>
      <c r="M214" s="63" t="inlineStr">
        <is>
          <t>0,00</t>
        </is>
      </c>
    </row>
    <row r="215">
      <c r="A215" s="65" t="n"/>
      <c r="B215" s="65" t="n"/>
      <c r="C215" s="65" t="n"/>
      <c r="D215" s="65" t="n"/>
      <c r="E215" s="65" t="n"/>
      <c r="F215" s="65" t="n"/>
      <c r="G215" s="65" t="n"/>
      <c r="H215" s="65" t="n"/>
      <c r="I215" s="65" t="n">
        <v>515</v>
      </c>
      <c r="J215" s="65" t="inlineStr">
        <is>
          <t>00-00001068</t>
        </is>
      </c>
      <c r="K215" s="66" t="n">
        <v>46219</v>
      </c>
      <c r="L215" s="63" t="inlineStr">
        <is>
          <t>0,00</t>
        </is>
      </c>
      <c r="M215" s="63" t="inlineStr">
        <is>
          <t>0,00</t>
        </is>
      </c>
    </row>
    <row r="216">
      <c r="A216" s="66" t="n">
        <v>46184</v>
      </c>
      <c r="B216" s="65" t="inlineStr">
        <is>
          <t>PUSD1/2026/00361</t>
        </is>
      </c>
      <c r="C216" s="65" t="n">
        <v>720</v>
      </c>
      <c r="D216" s="65" t="inlineStr">
        <is>
          <t>Cauchera William 2018, C.A</t>
        </is>
      </c>
      <c r="E216" s="63" t="inlineStr">
        <is>
          <t>38,00</t>
        </is>
      </c>
      <c r="F216" s="65" t="inlineStr">
        <is>
          <t>USD</t>
        </is>
      </c>
      <c r="G216" s="65" t="inlineStr">
        <is>
          <t>Efectivo moneda extrajera (USD)</t>
        </is>
      </c>
      <c r="H216" s="63" t="inlineStr">
        <is>
          <t>38,00</t>
        </is>
      </c>
      <c r="I216" s="65" t="n"/>
      <c r="J216" s="65" t="n"/>
      <c r="K216" s="65" t="n"/>
      <c r="L216" s="65" t="n"/>
      <c r="M216" s="65" t="n"/>
    </row>
    <row r="217">
      <c r="A217" s="66" t="n">
        <v>46184</v>
      </c>
      <c r="B217" s="65" t="inlineStr">
        <is>
          <t>PUSD1/2026/00360</t>
        </is>
      </c>
      <c r="C217" s="65" t="n">
        <v>724</v>
      </c>
      <c r="D217" s="65" t="inlineStr">
        <is>
          <t>Automecanica Marilu 2014, C.A</t>
        </is>
      </c>
      <c r="E217" s="63" t="inlineStr">
        <is>
          <t>33,50</t>
        </is>
      </c>
      <c r="F217" s="65" t="inlineStr">
        <is>
          <t>USD</t>
        </is>
      </c>
      <c r="G217" s="65" t="inlineStr">
        <is>
          <t>Efectivo moneda extrajera (USD)</t>
        </is>
      </c>
      <c r="H217" s="63" t="inlineStr">
        <is>
          <t>33,50</t>
        </is>
      </c>
      <c r="I217" s="65" t="n">
        <v>138</v>
      </c>
      <c r="J217" s="65" t="inlineStr">
        <is>
          <t>00-00000571</t>
        </is>
      </c>
      <c r="K217" s="66" t="n">
        <v>46184</v>
      </c>
      <c r="L217" s="63" t="inlineStr">
        <is>
          <t>40,00</t>
        </is>
      </c>
      <c r="M217" s="63" t="inlineStr">
        <is>
          <t>0,00</t>
        </is>
      </c>
    </row>
    <row r="218">
      <c r="A218" s="66" t="n">
        <v>46184</v>
      </c>
      <c r="B218" s="65" t="inlineStr">
        <is>
          <t>PUSD1/2026/00359</t>
        </is>
      </c>
      <c r="C218" s="65" t="n">
        <v>719</v>
      </c>
      <c r="D218" s="65" t="inlineStr">
        <is>
          <t>Megacar2020.c.a</t>
        </is>
      </c>
      <c r="E218" s="63" t="inlineStr">
        <is>
          <t>1,00</t>
        </is>
      </c>
      <c r="F218" s="65" t="inlineStr">
        <is>
          <t>USD</t>
        </is>
      </c>
      <c r="G218" s="65" t="inlineStr">
        <is>
          <t>Efectivo moneda extrajera (USD)</t>
        </is>
      </c>
      <c r="H218" s="63" t="inlineStr">
        <is>
          <t>1,00</t>
        </is>
      </c>
      <c r="I218" s="65" t="n">
        <v>135</v>
      </c>
      <c r="J218" s="65" t="inlineStr">
        <is>
          <t>00-00000568</t>
        </is>
      </c>
      <c r="K218" s="66" t="n">
        <v>46182</v>
      </c>
      <c r="L218" s="63" t="inlineStr">
        <is>
          <t>0,00</t>
        </is>
      </c>
      <c r="M218" s="63" t="inlineStr">
        <is>
          <t>0,00</t>
        </is>
      </c>
    </row>
    <row r="219">
      <c r="A219" s="66" t="n">
        <v>46184</v>
      </c>
      <c r="B219" s="65" t="inlineStr">
        <is>
          <t>PUSD1/2026/00358</t>
        </is>
      </c>
      <c r="C219" s="65" t="n">
        <v>722</v>
      </c>
      <c r="D219" s="65" t="inlineStr">
        <is>
          <t>Constructora Campo Urbano,c.a.</t>
        </is>
      </c>
      <c r="E219" s="63" t="inlineStr">
        <is>
          <t>174,00</t>
        </is>
      </c>
      <c r="F219" s="65" t="inlineStr">
        <is>
          <t>USD</t>
        </is>
      </c>
      <c r="G219" s="65" t="inlineStr">
        <is>
          <t>Efectivo moneda extrajera (USD)</t>
        </is>
      </c>
      <c r="H219" s="63" t="inlineStr">
        <is>
          <t>174,00</t>
        </is>
      </c>
      <c r="I219" s="65" t="n">
        <v>137</v>
      </c>
      <c r="J219" s="65" t="inlineStr">
        <is>
          <t>00-00000570</t>
        </is>
      </c>
      <c r="K219" s="66" t="n">
        <v>46184</v>
      </c>
      <c r="L219" s="63" t="inlineStr">
        <is>
          <t>0,01</t>
        </is>
      </c>
      <c r="M219" s="63" t="inlineStr">
        <is>
          <t>0,00</t>
        </is>
      </c>
    </row>
    <row r="220">
      <c r="A220" s="66" t="n">
        <v>46184</v>
      </c>
      <c r="B220" s="65" t="inlineStr">
        <is>
          <t>PUSD1/2026/00357</t>
        </is>
      </c>
      <c r="C220" s="65" t="n">
        <v>723</v>
      </c>
      <c r="D220" s="65" t="inlineStr">
        <is>
          <t>SJMG 2012 C.A</t>
        </is>
      </c>
      <c r="E220" s="63" t="inlineStr">
        <is>
          <t>400,00</t>
        </is>
      </c>
      <c r="F220" s="65" t="inlineStr">
        <is>
          <t>USD</t>
        </is>
      </c>
      <c r="G220" s="65" t="inlineStr">
        <is>
          <t>Efectivo moneda extrajera (USD)</t>
        </is>
      </c>
      <c r="H220" s="63" t="inlineStr">
        <is>
          <t>400,00</t>
        </is>
      </c>
      <c r="I220" s="65" t="n"/>
      <c r="J220" s="65" t="n"/>
      <c r="K220" s="65" t="n"/>
      <c r="L220" s="65" t="n"/>
      <c r="M220" s="65" t="n"/>
    </row>
    <row r="221">
      <c r="A221" s="66" t="n">
        <v>46184</v>
      </c>
      <c r="B221" s="65" t="inlineStr">
        <is>
          <t>PUSD1/2026/00356</t>
        </is>
      </c>
      <c r="C221" s="65" t="n">
        <v>715</v>
      </c>
      <c r="D221" s="65" t="inlineStr">
        <is>
          <t>ADS SERVICE C.A</t>
        </is>
      </c>
      <c r="E221" s="63" t="inlineStr">
        <is>
          <t>34,00</t>
        </is>
      </c>
      <c r="F221" s="65" t="inlineStr">
        <is>
          <t>USD</t>
        </is>
      </c>
      <c r="G221" s="65" t="inlineStr">
        <is>
          <t>Efectivo moneda extrajera (USD)</t>
        </is>
      </c>
      <c r="H221" s="63" t="inlineStr">
        <is>
          <t>34,00</t>
        </is>
      </c>
      <c r="I221" s="65" t="n">
        <v>438</v>
      </c>
      <c r="J221" s="65" t="inlineStr">
        <is>
          <t>00-00000982</t>
        </is>
      </c>
      <c r="K221" s="66" t="n">
        <v>46216</v>
      </c>
      <c r="L221" s="63" t="inlineStr">
        <is>
          <t>128,25</t>
        </is>
      </c>
      <c r="M221" s="63" t="inlineStr">
        <is>
          <t>0,00</t>
        </is>
      </c>
    </row>
    <row r="222">
      <c r="A222" s="66" t="n">
        <v>46184</v>
      </c>
      <c r="B222" s="65" t="inlineStr">
        <is>
          <t>PBDV/2026/00034</t>
        </is>
      </c>
      <c r="C222" s="65" t="n">
        <v>737</v>
      </c>
      <c r="D222" s="65" t="inlineStr">
        <is>
          <t>DISTRIBUIDORA PINOS 181297 C.A</t>
        </is>
      </c>
      <c r="E222" s="63" t="inlineStr">
        <is>
          <t>40.428,23</t>
        </is>
      </c>
      <c r="F222" s="65" t="inlineStr">
        <is>
          <t>VES</t>
        </is>
      </c>
      <c r="G222" s="65" t="inlineStr">
        <is>
          <t>Banco de Venezuela 6891</t>
        </is>
      </c>
      <c r="H222" s="63" t="inlineStr">
        <is>
          <t>70,00</t>
        </is>
      </c>
      <c r="I222" s="65" t="n">
        <v>157</v>
      </c>
      <c r="J222" s="65" t="inlineStr">
        <is>
          <t>00-00000600</t>
        </is>
      </c>
      <c r="K222" s="66" t="n">
        <v>46185</v>
      </c>
      <c r="L222" s="63" t="inlineStr">
        <is>
          <t>100,99</t>
        </is>
      </c>
      <c r="M222" s="63" t="inlineStr">
        <is>
          <t>0,00</t>
        </is>
      </c>
    </row>
    <row r="223">
      <c r="A223" s="66" t="n">
        <v>46184</v>
      </c>
      <c r="B223" s="65" t="inlineStr">
        <is>
          <t>PBAMI/2026/00178</t>
        </is>
      </c>
      <c r="C223" s="65" t="n">
        <v>726</v>
      </c>
      <c r="D223" s="65" t="inlineStr">
        <is>
          <t>Video Electrónica Fermat, C.A</t>
        </is>
      </c>
      <c r="E223" s="63" t="inlineStr">
        <is>
          <t>68.000,00</t>
        </is>
      </c>
      <c r="F223" s="65" t="inlineStr">
        <is>
          <t>VES</t>
        </is>
      </c>
      <c r="G223" s="65" t="inlineStr">
        <is>
          <t>Banco Bancamiga 7806</t>
        </is>
      </c>
      <c r="H223" s="63" t="inlineStr">
        <is>
          <t>117,74</t>
        </is>
      </c>
      <c r="I223" s="65" t="n">
        <v>225</v>
      </c>
      <c r="J223" s="65" t="inlineStr">
        <is>
          <t>00-00000747</t>
        </is>
      </c>
      <c r="K223" s="66" t="n">
        <v>46210</v>
      </c>
      <c r="L223" s="63" t="inlineStr">
        <is>
          <t>317,20</t>
        </is>
      </c>
      <c r="M223" s="63" t="inlineStr">
        <is>
          <t>0,00</t>
        </is>
      </c>
    </row>
    <row r="224">
      <c r="A224" s="66" t="n">
        <v>46183</v>
      </c>
      <c r="B224" s="65" t="inlineStr">
        <is>
          <t>PUSD1/2026/00433</t>
        </is>
      </c>
      <c r="C224" s="65" t="n">
        <v>701</v>
      </c>
      <c r="D224" s="65" t="inlineStr">
        <is>
          <t>Inversiones La Bendición del Nazareno, C.A</t>
        </is>
      </c>
      <c r="E224" s="63" t="inlineStr">
        <is>
          <t>500,00</t>
        </is>
      </c>
      <c r="F224" s="65" t="inlineStr">
        <is>
          <t>USD</t>
        </is>
      </c>
      <c r="G224" s="65" t="inlineStr">
        <is>
          <t>Efectivo moneda extrajera (USD)</t>
        </is>
      </c>
      <c r="H224" s="63" t="inlineStr">
        <is>
          <t>500,00</t>
        </is>
      </c>
      <c r="I224" s="65" t="n"/>
      <c r="J224" s="65" t="n"/>
      <c r="K224" s="65" t="n"/>
      <c r="L224" s="65" t="n"/>
      <c r="M224" s="65" t="n"/>
    </row>
    <row r="225">
      <c r="A225" s="66" t="n">
        <v>46183</v>
      </c>
      <c r="B225" s="65" t="inlineStr">
        <is>
          <t>PUSD1/2026/00350</t>
        </is>
      </c>
      <c r="C225" s="65" t="n">
        <v>691</v>
      </c>
      <c r="D225" s="65" t="inlineStr">
        <is>
          <t>Autoasesorio maxi motor</t>
        </is>
      </c>
      <c r="E225" s="63" t="inlineStr">
        <is>
          <t>20,00</t>
        </is>
      </c>
      <c r="F225" s="65" t="inlineStr">
        <is>
          <t>USD</t>
        </is>
      </c>
      <c r="G225" s="65" t="inlineStr">
        <is>
          <t>Efectivo moneda extrajera (USD)</t>
        </is>
      </c>
      <c r="H225" s="63" t="inlineStr">
        <is>
          <t>20,00</t>
        </is>
      </c>
      <c r="I225" s="65" t="n">
        <v>254</v>
      </c>
      <c r="J225" s="65" t="inlineStr">
        <is>
          <t>00-00000776</t>
        </is>
      </c>
      <c r="K225" s="66" t="n">
        <v>46211</v>
      </c>
      <c r="L225" s="63" t="inlineStr">
        <is>
          <t>48,01</t>
        </is>
      </c>
      <c r="M225" s="63" t="inlineStr">
        <is>
          <t>0,00</t>
        </is>
      </c>
    </row>
    <row r="226">
      <c r="A226" s="66" t="n">
        <v>46183</v>
      </c>
      <c r="B226" s="65" t="inlineStr">
        <is>
          <t>PUSD1/2026/00349</t>
        </is>
      </c>
      <c r="C226" s="65" t="n">
        <v>692</v>
      </c>
      <c r="D226" s="65" t="inlineStr">
        <is>
          <t>Josefina Guevera</t>
        </is>
      </c>
      <c r="E226" s="63" t="inlineStr">
        <is>
          <t>30,00</t>
        </is>
      </c>
      <c r="F226" s="65" t="inlineStr">
        <is>
          <t>USD</t>
        </is>
      </c>
      <c r="G226" s="65" t="inlineStr">
        <is>
          <t>Efectivo moneda extrajera (USD)</t>
        </is>
      </c>
      <c r="H226" s="63" t="inlineStr">
        <is>
          <t>30,00</t>
        </is>
      </c>
      <c r="I226" s="65" t="n">
        <v>292</v>
      </c>
      <c r="J226" s="65" t="inlineStr">
        <is>
          <t>00-00000831</t>
        </is>
      </c>
      <c r="K226" s="66" t="n">
        <v>46214</v>
      </c>
      <c r="L226" s="63" t="inlineStr">
        <is>
          <t>176,00</t>
        </is>
      </c>
      <c r="M226" s="63" t="inlineStr">
        <is>
          <t>0,00</t>
        </is>
      </c>
    </row>
    <row r="227">
      <c r="A227" s="66" t="n">
        <v>46183</v>
      </c>
      <c r="B227" s="65" t="inlineStr">
        <is>
          <t>PUSD1/2026/00347</t>
        </is>
      </c>
      <c r="C227" s="65" t="n">
        <v>697</v>
      </c>
      <c r="D227" s="65" t="inlineStr">
        <is>
          <t>INVERSIONES DA &amp; JE,</t>
        </is>
      </c>
      <c r="E227" s="63" t="inlineStr">
        <is>
          <t>80,00</t>
        </is>
      </c>
      <c r="F227" s="65" t="inlineStr">
        <is>
          <t>USD</t>
        </is>
      </c>
      <c r="G227" s="65" t="inlineStr">
        <is>
          <t>Efectivo moneda extrajera (USD)</t>
        </is>
      </c>
      <c r="H227" s="63" t="inlineStr">
        <is>
          <t>80,00</t>
        </is>
      </c>
      <c r="I227" s="65" t="n"/>
      <c r="J227" s="65" t="n"/>
      <c r="K227" s="65" t="n"/>
      <c r="L227" s="65" t="n"/>
      <c r="M227" s="65" t="n"/>
    </row>
    <row r="228">
      <c r="A228" s="66" t="n">
        <v>46183</v>
      </c>
      <c r="B228" s="65" t="inlineStr">
        <is>
          <t>PUSD1/2026/00346</t>
        </is>
      </c>
      <c r="C228" s="65" t="n">
        <v>696</v>
      </c>
      <c r="D228" s="65" t="inlineStr">
        <is>
          <t>Alexander Quiroz</t>
        </is>
      </c>
      <c r="E228" s="63" t="inlineStr">
        <is>
          <t>354,00</t>
        </is>
      </c>
      <c r="F228" s="65" t="inlineStr">
        <is>
          <t>USD</t>
        </is>
      </c>
      <c r="G228" s="65" t="inlineStr">
        <is>
          <t>Efectivo moneda extrajera (USD)</t>
        </is>
      </c>
      <c r="H228" s="63" t="inlineStr">
        <is>
          <t>354,00</t>
        </is>
      </c>
      <c r="I228" s="65" t="n">
        <v>512</v>
      </c>
      <c r="J228" s="65" t="inlineStr">
        <is>
          <t>00-00001065</t>
        </is>
      </c>
      <c r="K228" s="66" t="n">
        <v>46219</v>
      </c>
      <c r="L228" s="63" t="inlineStr">
        <is>
          <t>0,00</t>
        </is>
      </c>
      <c r="M228" s="63" t="inlineStr">
        <is>
          <t>0,00</t>
        </is>
      </c>
    </row>
    <row r="229">
      <c r="A229" s="66" t="n">
        <v>46183</v>
      </c>
      <c r="B229" s="65" t="inlineStr">
        <is>
          <t>PUSD1/2026/00345</t>
        </is>
      </c>
      <c r="C229" s="65" t="n">
        <v>699</v>
      </c>
      <c r="D229" s="65" t="inlineStr">
        <is>
          <t>INVERSIONES R&amp;C 1817, c.a.</t>
        </is>
      </c>
      <c r="E229" s="63" t="inlineStr">
        <is>
          <t>60,00</t>
        </is>
      </c>
      <c r="F229" s="65" t="inlineStr">
        <is>
          <t>USD</t>
        </is>
      </c>
      <c r="G229" s="65" t="inlineStr">
        <is>
          <t>Efectivo moneda extrajera (USD)</t>
        </is>
      </c>
      <c r="H229" s="63" t="inlineStr">
        <is>
          <t>60,00</t>
        </is>
      </c>
      <c r="I229" s="65" t="n">
        <v>191</v>
      </c>
      <c r="J229" s="65" t="inlineStr">
        <is>
          <t>00-00000653</t>
        </is>
      </c>
      <c r="K229" s="66" t="n">
        <v>46190</v>
      </c>
      <c r="L229" s="63" t="inlineStr">
        <is>
          <t>0,00</t>
        </is>
      </c>
      <c r="M229" s="63" t="inlineStr">
        <is>
          <t>0,00</t>
        </is>
      </c>
    </row>
    <row r="230">
      <c r="A230" s="66" t="n">
        <v>46183</v>
      </c>
      <c r="B230" s="65" t="inlineStr">
        <is>
          <t>PUSD1/2026/00344</t>
        </is>
      </c>
      <c r="C230" s="65" t="n">
        <v>698</v>
      </c>
      <c r="D230" s="65" t="inlineStr">
        <is>
          <t>Autopartes Munich PH 168 C.A.</t>
        </is>
      </c>
      <c r="E230" s="63" t="inlineStr">
        <is>
          <t>150,00</t>
        </is>
      </c>
      <c r="F230" s="65" t="inlineStr">
        <is>
          <t>USD</t>
        </is>
      </c>
      <c r="G230" s="65" t="inlineStr">
        <is>
          <t>Efectivo moneda extrajera (USD)</t>
        </is>
      </c>
      <c r="H230" s="63" t="inlineStr">
        <is>
          <t>150,00</t>
        </is>
      </c>
      <c r="I230" s="65" t="n">
        <v>212</v>
      </c>
      <c r="J230" s="65" t="inlineStr">
        <is>
          <t>00-00000716</t>
        </is>
      </c>
      <c r="K230" s="66" t="n">
        <v>46205</v>
      </c>
      <c r="L230" s="63" t="inlineStr">
        <is>
          <t>0,00</t>
        </is>
      </c>
      <c r="M230" s="63" t="inlineStr">
        <is>
          <t>0,00</t>
        </is>
      </c>
    </row>
    <row r="231">
      <c r="A231" s="66" t="n">
        <v>46183</v>
      </c>
      <c r="B231" s="65" t="inlineStr">
        <is>
          <t>PBAMI/2026/00257</t>
        </is>
      </c>
      <c r="C231" s="65" t="n">
        <v>984</v>
      </c>
      <c r="D231" s="65" t="inlineStr">
        <is>
          <t>En ascenso 2011,c.a.</t>
        </is>
      </c>
      <c r="E231" s="63" t="inlineStr">
        <is>
          <t>165.854,87</t>
        </is>
      </c>
      <c r="F231" s="65" t="inlineStr">
        <is>
          <t>VES</t>
        </is>
      </c>
      <c r="G231" s="65" t="inlineStr">
        <is>
          <t>Banco Bancamiga 7806</t>
        </is>
      </c>
      <c r="H231" s="63" t="inlineStr">
        <is>
          <t>289,61</t>
        </is>
      </c>
      <c r="I231" s="65" t="n"/>
      <c r="J231" s="65" t="n"/>
      <c r="K231" s="65" t="n"/>
      <c r="L231" s="65" t="n"/>
      <c r="M231" s="65" t="n"/>
    </row>
    <row r="232">
      <c r="A232" s="66" t="n">
        <v>46183</v>
      </c>
      <c r="B232" s="65" t="inlineStr">
        <is>
          <t>PBAMI/2026/00241</t>
        </is>
      </c>
      <c r="C232" s="65" t="n">
        <v>761</v>
      </c>
      <c r="D232" s="65" t="inlineStr">
        <is>
          <t>Comercializadora Estoril 25,c.a.</t>
        </is>
      </c>
      <c r="E232" s="63" t="inlineStr">
        <is>
          <t>182.471,00</t>
        </is>
      </c>
      <c r="F232" s="65" t="inlineStr">
        <is>
          <t>VES</t>
        </is>
      </c>
      <c r="G232" s="65" t="inlineStr">
        <is>
          <t>Banco Bancamiga 7806</t>
        </is>
      </c>
      <c r="H232" s="63" t="inlineStr">
        <is>
          <t>318,63</t>
        </is>
      </c>
      <c r="I232" s="65" t="n">
        <v>341</v>
      </c>
      <c r="J232" s="65" t="inlineStr">
        <is>
          <t>00-00000884</t>
        </is>
      </c>
      <c r="K232" s="66" t="n">
        <v>46216</v>
      </c>
      <c r="L232" s="63" t="inlineStr">
        <is>
          <t>0,00</t>
        </is>
      </c>
      <c r="M232" s="63" t="inlineStr">
        <is>
          <t>0,00</t>
        </is>
      </c>
    </row>
    <row r="233">
      <c r="A233" s="66" t="n">
        <v>46183</v>
      </c>
      <c r="B233" s="65" t="inlineStr">
        <is>
          <t>PBAMI/2026/00157</t>
        </is>
      </c>
      <c r="C233" s="65" t="n">
        <v>693</v>
      </c>
      <c r="D233" s="65" t="inlineStr">
        <is>
          <t>Antonio Terán</t>
        </is>
      </c>
      <c r="E233" s="63" t="inlineStr">
        <is>
          <t>94.080,00</t>
        </is>
      </c>
      <c r="F233" s="65" t="inlineStr">
        <is>
          <t>VES</t>
        </is>
      </c>
      <c r="G233" s="65" t="inlineStr">
        <is>
          <t>Banco Bancamiga 7806</t>
        </is>
      </c>
      <c r="H233" s="63" t="inlineStr">
        <is>
          <t>164,28</t>
        </is>
      </c>
      <c r="I233" s="65" t="n">
        <v>351</v>
      </c>
      <c r="J233" s="65" t="inlineStr">
        <is>
          <t>00-00000894</t>
        </is>
      </c>
      <c r="K233" s="66" t="n">
        <v>46216</v>
      </c>
      <c r="L233" s="63" t="inlineStr">
        <is>
          <t>0,00</t>
        </is>
      </c>
      <c r="M233" s="63" t="inlineStr">
        <is>
          <t>0,00</t>
        </is>
      </c>
    </row>
    <row r="234">
      <c r="A234" s="66" t="n">
        <v>46183</v>
      </c>
      <c r="B234" s="65" t="inlineStr">
        <is>
          <t>PBAMI/2026/00156</t>
        </is>
      </c>
      <c r="C234" s="65" t="n">
        <v>695</v>
      </c>
      <c r="D234" s="65" t="inlineStr">
        <is>
          <t>Diana Carolina Torres</t>
        </is>
      </c>
      <c r="E234" s="63" t="inlineStr">
        <is>
          <t>10.465,00</t>
        </is>
      </c>
      <c r="F234" s="65" t="inlineStr">
        <is>
          <t>VES</t>
        </is>
      </c>
      <c r="G234" s="65" t="inlineStr">
        <is>
          <t>Banco Bancamiga 7806</t>
        </is>
      </c>
      <c r="H234" s="63" t="inlineStr">
        <is>
          <t>18,27</t>
        </is>
      </c>
      <c r="I234" s="65" t="n"/>
      <c r="J234" s="65" t="n"/>
      <c r="K234" s="65" t="n"/>
      <c r="L234" s="65" t="n"/>
      <c r="M234" s="65" t="n"/>
    </row>
    <row r="235">
      <c r="A235" s="66" t="n">
        <v>46183</v>
      </c>
      <c r="B235" s="65" t="inlineStr">
        <is>
          <t>PBAMI/2026/00154</t>
        </is>
      </c>
      <c r="C235" s="65" t="n">
        <v>700</v>
      </c>
      <c r="D235" s="65" t="inlineStr">
        <is>
          <t>COMERCIAL REPUESTOS MUNDIALES RMS 2022 C.A.</t>
        </is>
      </c>
      <c r="E235" s="63" t="inlineStr">
        <is>
          <t>28.633,92</t>
        </is>
      </c>
      <c r="F235" s="65" t="inlineStr">
        <is>
          <t>VES</t>
        </is>
      </c>
      <c r="G235" s="65" t="inlineStr">
        <is>
          <t>Banco Bancamiga 7806</t>
        </is>
      </c>
      <c r="H235" s="63" t="inlineStr">
        <is>
          <t>50,00</t>
        </is>
      </c>
      <c r="I235" s="65" t="n">
        <v>242</v>
      </c>
      <c r="J235" s="65" t="inlineStr">
        <is>
          <t>00-00000764</t>
        </is>
      </c>
      <c r="K235" s="66" t="n">
        <v>46210</v>
      </c>
      <c r="L235" s="63" t="inlineStr">
        <is>
          <t>310,00</t>
        </is>
      </c>
      <c r="M235" s="63" t="inlineStr">
        <is>
          <t>0,00</t>
        </is>
      </c>
    </row>
    <row r="236">
      <c r="A236" s="66" t="n">
        <v>46182</v>
      </c>
      <c r="B236" s="65" t="inlineStr">
        <is>
          <t>PZEFLU/2026/00008</t>
        </is>
      </c>
      <c r="C236" s="65" t="n">
        <v>672</v>
      </c>
      <c r="D236" s="65" t="inlineStr">
        <is>
          <t>LOGISTICA Y CONSULTORIA VINCARS, C.A.</t>
        </is>
      </c>
      <c r="E236" s="63" t="inlineStr">
        <is>
          <t>195,00</t>
        </is>
      </c>
      <c r="F236" s="65" t="inlineStr">
        <is>
          <t>USD</t>
        </is>
      </c>
      <c r="G236" s="65" t="inlineStr">
        <is>
          <t>Zelle Fluasa (USD)</t>
        </is>
      </c>
      <c r="H236" s="63" t="inlineStr">
        <is>
          <t>195,00</t>
        </is>
      </c>
      <c r="I236" s="65" t="n"/>
      <c r="J236" s="65" t="n"/>
      <c r="K236" s="65" t="n"/>
      <c r="L236" s="65" t="n"/>
      <c r="M236" s="65" t="n"/>
    </row>
    <row r="237">
      <c r="A237" s="66" t="n">
        <v>46182</v>
      </c>
      <c r="B237" s="65" t="inlineStr">
        <is>
          <t>PUSD1/2026/00501</t>
        </is>
      </c>
      <c r="C237" s="65" t="n">
        <v>1011</v>
      </c>
      <c r="D237" s="65" t="inlineStr">
        <is>
          <t>AGROPECUARIA LECHE Y MIEL, C.A</t>
        </is>
      </c>
      <c r="E237" s="63" t="inlineStr">
        <is>
          <t>6.802,37</t>
        </is>
      </c>
      <c r="F237" s="65" t="inlineStr">
        <is>
          <t>USD</t>
        </is>
      </c>
      <c r="G237" s="65" t="inlineStr">
        <is>
          <t>Efectivo moneda extrajera (USD)</t>
        </is>
      </c>
      <c r="H237" s="63" t="inlineStr">
        <is>
          <t>6.802,37</t>
        </is>
      </c>
      <c r="I237" s="65" t="n"/>
      <c r="J237" s="65" t="n"/>
      <c r="K237" s="65" t="n"/>
      <c r="L237" s="65" t="n"/>
      <c r="M237" s="65" t="n"/>
    </row>
    <row r="238">
      <c r="A238" s="66" t="n">
        <v>46182</v>
      </c>
      <c r="B238" s="65" t="inlineStr">
        <is>
          <t>PUSD1/2026/00500</t>
        </is>
      </c>
      <c r="C238" s="65" t="n">
        <v>1010</v>
      </c>
      <c r="D238" s="65" t="inlineStr">
        <is>
          <t>AGROPECUARIA LECHE Y MIEL, C.A</t>
        </is>
      </c>
      <c r="E238" s="63" t="inlineStr">
        <is>
          <t>3.457,96</t>
        </is>
      </c>
      <c r="F238" s="65" t="inlineStr">
        <is>
          <t>USD</t>
        </is>
      </c>
      <c r="G238" s="65" t="inlineStr">
        <is>
          <t>Efectivo moneda extrajera (USD)</t>
        </is>
      </c>
      <c r="H238" s="63" t="inlineStr">
        <is>
          <t>3.457,96</t>
        </is>
      </c>
      <c r="I238" s="65" t="n"/>
      <c r="J238" s="65" t="n"/>
      <c r="K238" s="65" t="n"/>
      <c r="L238" s="65" t="n"/>
      <c r="M238" s="65" t="n"/>
    </row>
    <row r="239">
      <c r="A239" s="66" t="n">
        <v>46182</v>
      </c>
      <c r="B239" s="65" t="inlineStr">
        <is>
          <t>PUSD1/2026/00348</t>
        </is>
      </c>
      <c r="C239" s="65" t="n">
        <v>685</v>
      </c>
      <c r="D239" s="65" t="inlineStr">
        <is>
          <t>Multiservicio SOS Cars, C.A</t>
        </is>
      </c>
      <c r="E239" s="63" t="inlineStr">
        <is>
          <t>35,00</t>
        </is>
      </c>
      <c r="F239" s="65" t="inlineStr">
        <is>
          <t>USD</t>
        </is>
      </c>
      <c r="G239" s="65" t="inlineStr">
        <is>
          <t>Efectivo moneda extrajera (USD)</t>
        </is>
      </c>
      <c r="H239" s="63" t="inlineStr">
        <is>
          <t>35,00</t>
        </is>
      </c>
      <c r="I239" s="65" t="n">
        <v>161</v>
      </c>
      <c r="J239" s="65" t="inlineStr">
        <is>
          <t>00-00000604</t>
        </is>
      </c>
      <c r="K239" s="66" t="n">
        <v>46185</v>
      </c>
      <c r="L239" s="63" t="inlineStr">
        <is>
          <t>30,00</t>
        </is>
      </c>
      <c r="M239" s="63" t="inlineStr">
        <is>
          <t>0,00</t>
        </is>
      </c>
    </row>
    <row r="240">
      <c r="A240" s="66" t="n">
        <v>46182</v>
      </c>
      <c r="B240" s="65" t="inlineStr">
        <is>
          <t>PUSD1/2026/00343</t>
        </is>
      </c>
      <c r="C240" s="65" t="n">
        <v>674</v>
      </c>
      <c r="D240" s="65" t="inlineStr">
        <is>
          <t>Auto repuestos Fontalvo</t>
        </is>
      </c>
      <c r="E240" s="63" t="inlineStr">
        <is>
          <t>76,00</t>
        </is>
      </c>
      <c r="F240" s="65" t="inlineStr">
        <is>
          <t>USD</t>
        </is>
      </c>
      <c r="G240" s="65" t="inlineStr">
        <is>
          <t>Efectivo moneda extrajera (USD)</t>
        </is>
      </c>
      <c r="H240" s="63" t="inlineStr">
        <is>
          <t>76,00</t>
        </is>
      </c>
      <c r="I240" s="65" t="n">
        <v>419</v>
      </c>
      <c r="J240" s="65" t="inlineStr">
        <is>
          <t>00-00000963</t>
        </is>
      </c>
      <c r="K240" s="66" t="n">
        <v>46216</v>
      </c>
      <c r="L240" s="63" t="inlineStr">
        <is>
          <t>0,00</t>
        </is>
      </c>
      <c r="M240" s="63" t="inlineStr">
        <is>
          <t>0,00</t>
        </is>
      </c>
    </row>
    <row r="241">
      <c r="A241" s="65" t="n"/>
      <c r="B241" s="65" t="n"/>
      <c r="C241" s="65" t="n"/>
      <c r="D241" s="65" t="n"/>
      <c r="E241" s="65" t="n"/>
      <c r="F241" s="65" t="n"/>
      <c r="G241" s="65" t="n"/>
      <c r="H241" s="65" t="n"/>
      <c r="I241" s="65" t="n">
        <v>486</v>
      </c>
      <c r="J241" s="65" t="inlineStr">
        <is>
          <t>00-00001030</t>
        </is>
      </c>
      <c r="K241" s="66" t="n">
        <v>46217</v>
      </c>
      <c r="L241" s="63" t="inlineStr">
        <is>
          <t>71,98</t>
        </is>
      </c>
      <c r="M241" s="63" t="inlineStr">
        <is>
          <t>0,00</t>
        </is>
      </c>
    </row>
    <row r="242">
      <c r="A242" s="66" t="n">
        <v>46182</v>
      </c>
      <c r="B242" s="65" t="inlineStr">
        <is>
          <t>PUSD1/2026/00342</t>
        </is>
      </c>
      <c r="C242" s="65" t="n">
        <v>682</v>
      </c>
      <c r="D242" s="65" t="inlineStr">
        <is>
          <t>Moises Alejandro Mares</t>
        </is>
      </c>
      <c r="E242" s="63" t="inlineStr">
        <is>
          <t>20,00</t>
        </is>
      </c>
      <c r="F242" s="65" t="inlineStr">
        <is>
          <t>USD</t>
        </is>
      </c>
      <c r="G242" s="65" t="inlineStr">
        <is>
          <t>Efectivo moneda extrajera (USD)</t>
        </is>
      </c>
      <c r="H242" s="63" t="inlineStr">
        <is>
          <t>20,00</t>
        </is>
      </c>
      <c r="I242" s="65" t="n"/>
      <c r="J242" s="65" t="n"/>
      <c r="K242" s="65" t="n"/>
      <c r="L242" s="65" t="n"/>
      <c r="M242" s="65" t="n"/>
    </row>
    <row r="243">
      <c r="A243" s="66" t="n">
        <v>46182</v>
      </c>
      <c r="B243" s="65" t="inlineStr">
        <is>
          <t>PUSD1/2026/00341</t>
        </is>
      </c>
      <c r="C243" s="65" t="n">
        <v>668</v>
      </c>
      <c r="D243" s="65" t="inlineStr">
        <is>
          <t>CAUCHOS NUÑEZ, C.A.</t>
        </is>
      </c>
      <c r="E243" s="63" t="inlineStr">
        <is>
          <t>106,00</t>
        </is>
      </c>
      <c r="F243" s="65" t="inlineStr">
        <is>
          <t>USD</t>
        </is>
      </c>
      <c r="G243" s="65" t="inlineStr">
        <is>
          <t>Efectivo moneda extrajera (USD)</t>
        </is>
      </c>
      <c r="H243" s="63" t="inlineStr">
        <is>
          <t>106,00</t>
        </is>
      </c>
      <c r="I243" s="65" t="n"/>
      <c r="J243" s="65" t="n"/>
      <c r="K243" s="65" t="n"/>
      <c r="L243" s="65" t="n"/>
      <c r="M243" s="65" t="n"/>
    </row>
    <row r="244">
      <c r="A244" s="66" t="n">
        <v>46182</v>
      </c>
      <c r="B244" s="65" t="inlineStr">
        <is>
          <t>PUSD1/2026/00340</t>
        </is>
      </c>
      <c r="C244" s="65" t="n">
        <v>678</v>
      </c>
      <c r="D244" s="65" t="inlineStr">
        <is>
          <t>Braulio R. Cedeño Gonzalez.</t>
        </is>
      </c>
      <c r="E244" s="63" t="inlineStr">
        <is>
          <t>80,00</t>
        </is>
      </c>
      <c r="F244" s="65" t="inlineStr">
        <is>
          <t>USD</t>
        </is>
      </c>
      <c r="G244" s="65" t="inlineStr">
        <is>
          <t>Efectivo moneda extrajera (USD)</t>
        </is>
      </c>
      <c r="H244" s="63" t="inlineStr">
        <is>
          <t>80,00</t>
        </is>
      </c>
      <c r="I244" s="65" t="n">
        <v>290</v>
      </c>
      <c r="J244" s="65" t="inlineStr">
        <is>
          <t>00-00000828</t>
        </is>
      </c>
      <c r="K244" s="66" t="n">
        <v>46214</v>
      </c>
      <c r="L244" s="63" t="inlineStr">
        <is>
          <t>9,00</t>
        </is>
      </c>
      <c r="M244" s="63" t="inlineStr">
        <is>
          <t>0,00</t>
        </is>
      </c>
    </row>
    <row r="245">
      <c r="A245" s="66" t="n">
        <v>46182</v>
      </c>
      <c r="B245" s="65" t="inlineStr">
        <is>
          <t>PUSD1/2026/00338</t>
        </is>
      </c>
      <c r="C245" s="65" t="n">
        <v>680</v>
      </c>
      <c r="D245" s="65" t="inlineStr">
        <is>
          <t>Wili Mervin León Romero</t>
        </is>
      </c>
      <c r="E245" s="63" t="inlineStr">
        <is>
          <t>50,00</t>
        </is>
      </c>
      <c r="F245" s="65" t="inlineStr">
        <is>
          <t>USD</t>
        </is>
      </c>
      <c r="G245" s="65" t="inlineStr">
        <is>
          <t>Efectivo moneda extrajera (USD)</t>
        </is>
      </c>
      <c r="H245" s="63" t="inlineStr">
        <is>
          <t>50,00</t>
        </is>
      </c>
      <c r="I245" s="65" t="n"/>
      <c r="J245" s="65" t="n"/>
      <c r="K245" s="65" t="n"/>
      <c r="L245" s="65" t="n"/>
      <c r="M245" s="65" t="n"/>
    </row>
    <row r="246">
      <c r="A246" s="66" t="n">
        <v>46182</v>
      </c>
      <c r="B246" s="65" t="inlineStr">
        <is>
          <t>PUSD1/2026/00337</t>
        </is>
      </c>
      <c r="C246" s="65" t="n">
        <v>669</v>
      </c>
      <c r="D246" s="65" t="inlineStr">
        <is>
          <t>Ingrit Martinez</t>
        </is>
      </c>
      <c r="E246" s="63" t="inlineStr">
        <is>
          <t>200,00</t>
        </is>
      </c>
      <c r="F246" s="65" t="inlineStr">
        <is>
          <t>USD</t>
        </is>
      </c>
      <c r="G246" s="65" t="inlineStr">
        <is>
          <t>Efectivo moneda extrajera (USD)</t>
        </is>
      </c>
      <c r="H246" s="63" t="inlineStr">
        <is>
          <t>200,00</t>
        </is>
      </c>
      <c r="I246" s="65" t="n">
        <v>286</v>
      </c>
      <c r="J246" s="65" t="inlineStr">
        <is>
          <t>00-00000824</t>
        </is>
      </c>
      <c r="K246" s="66" t="n">
        <v>46214</v>
      </c>
      <c r="L246" s="63" t="inlineStr">
        <is>
          <t>0,00</t>
        </is>
      </c>
      <c r="M246" s="63" t="inlineStr">
        <is>
          <t>0,00</t>
        </is>
      </c>
    </row>
    <row r="247">
      <c r="A247" s="66" t="n">
        <v>46182</v>
      </c>
      <c r="B247" s="65" t="inlineStr">
        <is>
          <t>PUSD1/2026/00336</t>
        </is>
      </c>
      <c r="C247" s="65" t="n">
        <v>679</v>
      </c>
      <c r="D247" s="65" t="inlineStr">
        <is>
          <t>Inversiones Brayan CT C.A</t>
        </is>
      </c>
      <c r="E247" s="63" t="inlineStr">
        <is>
          <t>30,00</t>
        </is>
      </c>
      <c r="F247" s="65" t="inlineStr">
        <is>
          <t>USD</t>
        </is>
      </c>
      <c r="G247" s="65" t="inlineStr">
        <is>
          <t>Efectivo moneda extrajera (USD)</t>
        </is>
      </c>
      <c r="H247" s="63" t="inlineStr">
        <is>
          <t>30,00</t>
        </is>
      </c>
      <c r="I247" s="65" t="n"/>
      <c r="J247" s="65" t="n"/>
      <c r="K247" s="65" t="n"/>
      <c r="L247" s="65" t="n"/>
      <c r="M247" s="65" t="n"/>
    </row>
    <row r="248">
      <c r="A248" s="66" t="n">
        <v>46182</v>
      </c>
      <c r="B248" s="65" t="inlineStr">
        <is>
          <t>PUSD1/2026/00335</t>
        </is>
      </c>
      <c r="C248" s="65" t="n">
        <v>677</v>
      </c>
      <c r="D248" s="65" t="inlineStr">
        <is>
          <t>Motolavado Yahir</t>
        </is>
      </c>
      <c r="E248" s="63" t="inlineStr">
        <is>
          <t>120,00</t>
        </is>
      </c>
      <c r="F248" s="65" t="inlineStr">
        <is>
          <t>USD</t>
        </is>
      </c>
      <c r="G248" s="65" t="inlineStr">
        <is>
          <t>Efectivo moneda extrajera (USD)</t>
        </is>
      </c>
      <c r="H248" s="63" t="inlineStr">
        <is>
          <t>120,00</t>
        </is>
      </c>
      <c r="I248" s="65" t="n">
        <v>132</v>
      </c>
      <c r="J248" s="65" t="inlineStr">
        <is>
          <t>00-00000551</t>
        </is>
      </c>
      <c r="K248" s="66" t="n">
        <v>46183</v>
      </c>
      <c r="L248" s="63" t="inlineStr">
        <is>
          <t>0,01</t>
        </is>
      </c>
      <c r="M248" s="63" t="inlineStr">
        <is>
          <t>0,00</t>
        </is>
      </c>
    </row>
    <row r="249">
      <c r="A249" s="66" t="n">
        <v>46182</v>
      </c>
      <c r="B249" s="65" t="inlineStr">
        <is>
          <t>PUSD1/2026/00334</t>
        </is>
      </c>
      <c r="C249" s="65" t="n">
        <v>684</v>
      </c>
      <c r="D249" s="65" t="inlineStr">
        <is>
          <t>Rhino Toyo Parts, C.A.</t>
        </is>
      </c>
      <c r="E249" s="63" t="inlineStr">
        <is>
          <t>200,00</t>
        </is>
      </c>
      <c r="F249" s="65" t="inlineStr">
        <is>
          <t>USD</t>
        </is>
      </c>
      <c r="G249" s="65" t="inlineStr">
        <is>
          <t>Efectivo moneda extrajera (USD)</t>
        </is>
      </c>
      <c r="H249" s="63" t="inlineStr">
        <is>
          <t>200,00</t>
        </is>
      </c>
      <c r="I249" s="65" t="n"/>
      <c r="J249" s="65" t="n"/>
      <c r="K249" s="65" t="n"/>
      <c r="L249" s="65" t="n"/>
      <c r="M249" s="65" t="n"/>
    </row>
    <row r="250">
      <c r="A250" s="66" t="n">
        <v>46182</v>
      </c>
      <c r="B250" s="65" t="inlineStr">
        <is>
          <t>PUSD1/2026/00333</t>
        </is>
      </c>
      <c r="C250" s="65" t="n">
        <v>671</v>
      </c>
      <c r="D250" s="65" t="inlineStr">
        <is>
          <t>EMPRENDIMIENTO IRMA RODRIGUEZ 6</t>
        </is>
      </c>
      <c r="E250" s="63" t="inlineStr">
        <is>
          <t>103,00</t>
        </is>
      </c>
      <c r="F250" s="65" t="inlineStr">
        <is>
          <t>USD</t>
        </is>
      </c>
      <c r="G250" s="65" t="inlineStr">
        <is>
          <t>Efectivo moneda extrajera (USD)</t>
        </is>
      </c>
      <c r="H250" s="63" t="inlineStr">
        <is>
          <t>103,00</t>
        </is>
      </c>
      <c r="I250" s="65" t="n">
        <v>217</v>
      </c>
      <c r="J250" s="65" t="inlineStr">
        <is>
          <t>00-00000721</t>
        </is>
      </c>
      <c r="K250" s="66" t="n">
        <v>46205</v>
      </c>
      <c r="L250" s="63" t="inlineStr">
        <is>
          <t>0,00</t>
        </is>
      </c>
      <c r="M250" s="63" t="inlineStr">
        <is>
          <t>0,00</t>
        </is>
      </c>
    </row>
    <row r="251">
      <c r="A251" s="66" t="n">
        <v>46182</v>
      </c>
      <c r="B251" s="65" t="inlineStr">
        <is>
          <t>PUSD1/2026/00332</t>
        </is>
      </c>
      <c r="C251" s="65" t="n">
        <v>683</v>
      </c>
      <c r="D251" s="65" t="inlineStr">
        <is>
          <t>SJMG 2012 C.A</t>
        </is>
      </c>
      <c r="E251" s="63" t="inlineStr">
        <is>
          <t>150,00</t>
        </is>
      </c>
      <c r="F251" s="65" t="inlineStr">
        <is>
          <t>USD</t>
        </is>
      </c>
      <c r="G251" s="65" t="inlineStr">
        <is>
          <t>Efectivo moneda extrajera (USD)</t>
        </is>
      </c>
      <c r="H251" s="63" t="inlineStr">
        <is>
          <t>150,00</t>
        </is>
      </c>
      <c r="I251" s="65" t="n"/>
      <c r="J251" s="65" t="n"/>
      <c r="K251" s="65" t="n"/>
      <c r="L251" s="65" t="n"/>
      <c r="M251" s="65" t="n"/>
    </row>
    <row r="252">
      <c r="A252" s="66" t="n">
        <v>46182</v>
      </c>
      <c r="B252" s="65" t="inlineStr">
        <is>
          <t>PUSD1/2026/00331</t>
        </is>
      </c>
      <c r="C252" s="65" t="n">
        <v>681</v>
      </c>
      <c r="D252" s="65" t="inlineStr">
        <is>
          <t>Nemer Bourji</t>
        </is>
      </c>
      <c r="E252" s="63" t="inlineStr">
        <is>
          <t>40,00</t>
        </is>
      </c>
      <c r="F252" s="65" t="inlineStr">
        <is>
          <t>USD</t>
        </is>
      </c>
      <c r="G252" s="65" t="inlineStr">
        <is>
          <t>Efectivo moneda extrajera (USD)</t>
        </is>
      </c>
      <c r="H252" s="63" t="inlineStr">
        <is>
          <t>40,00</t>
        </is>
      </c>
      <c r="I252" s="65" t="n"/>
      <c r="J252" s="65" t="n"/>
      <c r="K252" s="65" t="n"/>
      <c r="L252" s="65" t="n"/>
      <c r="M252" s="65" t="n"/>
    </row>
    <row r="253">
      <c r="A253" s="66" t="n">
        <v>46182</v>
      </c>
      <c r="B253" s="65" t="inlineStr">
        <is>
          <t>PUSD1/2026/00329</t>
        </is>
      </c>
      <c r="C253" s="65" t="n">
        <v>666</v>
      </c>
      <c r="D253" s="65" t="inlineStr">
        <is>
          <t>Comercializadora Garabote</t>
        </is>
      </c>
      <c r="E253" s="63" t="inlineStr">
        <is>
          <t>2,15</t>
        </is>
      </c>
      <c r="F253" s="65" t="inlineStr">
        <is>
          <t>USD</t>
        </is>
      </c>
      <c r="G253" s="65" t="inlineStr">
        <is>
          <t>Efectivo moneda extrajera (USD)</t>
        </is>
      </c>
      <c r="H253" s="63" t="inlineStr">
        <is>
          <t>2,15</t>
        </is>
      </c>
      <c r="I253" s="65" t="n">
        <v>129</v>
      </c>
      <c r="J253" s="65" t="inlineStr">
        <is>
          <t>00-00000542</t>
        </is>
      </c>
      <c r="K253" s="66" t="n">
        <v>46182</v>
      </c>
      <c r="L253" s="63" t="inlineStr">
        <is>
          <t>0,00</t>
        </is>
      </c>
      <c r="M253" s="63" t="inlineStr">
        <is>
          <t>0,00</t>
        </is>
      </c>
    </row>
    <row r="254">
      <c r="A254" s="66" t="n">
        <v>46182</v>
      </c>
      <c r="B254" s="65" t="inlineStr">
        <is>
          <t>PUSD1/2026/00328</t>
        </is>
      </c>
      <c r="C254" s="65" t="n">
        <v>665</v>
      </c>
      <c r="D254" s="65" t="inlineStr">
        <is>
          <t>Megacar2020.c.a</t>
        </is>
      </c>
      <c r="E254" s="63" t="inlineStr">
        <is>
          <t>15,00</t>
        </is>
      </c>
      <c r="F254" s="65" t="inlineStr">
        <is>
          <t>USD</t>
        </is>
      </c>
      <c r="G254" s="65" t="inlineStr">
        <is>
          <t>Efectivo moneda extrajera (USD)</t>
        </is>
      </c>
      <c r="H254" s="63" t="inlineStr">
        <is>
          <t>15,00</t>
        </is>
      </c>
      <c r="I254" s="65" t="n">
        <v>135</v>
      </c>
      <c r="J254" s="65" t="inlineStr">
        <is>
          <t>00-00000568</t>
        </is>
      </c>
      <c r="K254" s="66" t="n">
        <v>46182</v>
      </c>
      <c r="L254" s="63" t="inlineStr">
        <is>
          <t>0,00</t>
        </is>
      </c>
      <c r="M254" s="63" t="inlineStr">
        <is>
          <t>0,00</t>
        </is>
      </c>
    </row>
    <row r="255">
      <c r="A255" s="66" t="n">
        <v>46182</v>
      </c>
      <c r="B255" s="65" t="inlineStr">
        <is>
          <t>PUSD1/2026/00325</t>
        </is>
      </c>
      <c r="C255" s="65" t="n">
        <v>662</v>
      </c>
      <c r="D255" s="65" t="inlineStr">
        <is>
          <t>Comercializadora Garabote</t>
        </is>
      </c>
      <c r="E255" s="63" t="inlineStr">
        <is>
          <t>207,00</t>
        </is>
      </c>
      <c r="F255" s="65" t="inlineStr">
        <is>
          <t>USD</t>
        </is>
      </c>
      <c r="G255" s="65" t="inlineStr">
        <is>
          <t>Efectivo moneda extrajera (USD)</t>
        </is>
      </c>
      <c r="H255" s="63" t="inlineStr">
        <is>
          <t>207,00</t>
        </is>
      </c>
      <c r="I255" s="65" t="n">
        <v>129</v>
      </c>
      <c r="J255" s="65" t="inlineStr">
        <is>
          <t>00-00000542</t>
        </is>
      </c>
      <c r="K255" s="66" t="n">
        <v>46182</v>
      </c>
      <c r="L255" s="63" t="inlineStr">
        <is>
          <t>0,00</t>
        </is>
      </c>
      <c r="M255" s="63" t="inlineStr">
        <is>
          <t>0,00</t>
        </is>
      </c>
    </row>
    <row r="256">
      <c r="A256" s="66" t="n">
        <v>46182</v>
      </c>
      <c r="B256" s="65" t="inlineStr">
        <is>
          <t>PUSD1/2026/00324</t>
        </is>
      </c>
      <c r="C256" s="65" t="n">
        <v>661</v>
      </c>
      <c r="D256" s="65" t="inlineStr">
        <is>
          <t>Angel ARMAS</t>
        </is>
      </c>
      <c r="E256" s="63" t="inlineStr">
        <is>
          <t>55,00</t>
        </is>
      </c>
      <c r="F256" s="65" t="inlineStr">
        <is>
          <t>USD</t>
        </is>
      </c>
      <c r="G256" s="65" t="inlineStr">
        <is>
          <t>Efectivo moneda extrajera (USD)</t>
        </is>
      </c>
      <c r="H256" s="63" t="inlineStr">
        <is>
          <t>55,00</t>
        </is>
      </c>
      <c r="I256" s="65" t="n">
        <v>134</v>
      </c>
      <c r="J256" s="65" t="inlineStr">
        <is>
          <t>00-00000567</t>
        </is>
      </c>
      <c r="K256" s="66" t="n">
        <v>46184</v>
      </c>
      <c r="L256" s="63" t="inlineStr">
        <is>
          <t>0,00</t>
        </is>
      </c>
      <c r="M256" s="63" t="inlineStr">
        <is>
          <t>0,00</t>
        </is>
      </c>
    </row>
    <row r="257">
      <c r="A257" s="66" t="n">
        <v>46182</v>
      </c>
      <c r="B257" s="65" t="inlineStr">
        <is>
          <t>PUSD1/2026/00323</t>
        </is>
      </c>
      <c r="C257" s="65" t="n">
        <v>659</v>
      </c>
      <c r="D257" s="65" t="inlineStr">
        <is>
          <t>ELENA MEJIAS</t>
        </is>
      </c>
      <c r="E257" s="63" t="inlineStr">
        <is>
          <t>70,00</t>
        </is>
      </c>
      <c r="F257" s="65" t="inlineStr">
        <is>
          <t>USD</t>
        </is>
      </c>
      <c r="G257" s="65" t="inlineStr">
        <is>
          <t>Efectivo moneda extrajera (USD)</t>
        </is>
      </c>
      <c r="H257" s="63" t="inlineStr">
        <is>
          <t>70,00</t>
        </is>
      </c>
      <c r="I257" s="65" t="n">
        <v>130</v>
      </c>
      <c r="J257" s="65" t="inlineStr">
        <is>
          <t>00-00000543</t>
        </is>
      </c>
      <c r="K257" s="66" t="n">
        <v>46182</v>
      </c>
      <c r="L257" s="63" t="inlineStr">
        <is>
          <t>0,12</t>
        </is>
      </c>
      <c r="M257" s="63" t="inlineStr">
        <is>
          <t>0,00</t>
        </is>
      </c>
    </row>
    <row r="258">
      <c r="A258" s="66" t="n">
        <v>46182</v>
      </c>
      <c r="B258" s="65" t="inlineStr">
        <is>
          <t>PUSD1/2026/00321</t>
        </is>
      </c>
      <c r="C258" s="65" t="n">
        <v>657</v>
      </c>
      <c r="D258" s="65" t="inlineStr">
        <is>
          <t>Juan antonio salaverria herrera</t>
        </is>
      </c>
      <c r="E258" s="63" t="inlineStr">
        <is>
          <t>56,00</t>
        </is>
      </c>
      <c r="F258" s="65" t="inlineStr">
        <is>
          <t>USD</t>
        </is>
      </c>
      <c r="G258" s="65" t="inlineStr">
        <is>
          <t>Efectivo moneda extrajera (USD)</t>
        </is>
      </c>
      <c r="H258" s="63" t="inlineStr">
        <is>
          <t>56,00</t>
        </is>
      </c>
      <c r="I258" s="65" t="n">
        <v>125</v>
      </c>
      <c r="J258" s="65" t="inlineStr">
        <is>
          <t>00-00000536</t>
        </is>
      </c>
      <c r="K258" s="66" t="n">
        <v>46182</v>
      </c>
      <c r="L258" s="63" t="inlineStr">
        <is>
          <t>0,00</t>
        </is>
      </c>
      <c r="M258" s="63" t="inlineStr">
        <is>
          <t>0,00</t>
        </is>
      </c>
    </row>
    <row r="259">
      <c r="A259" s="66" t="n">
        <v>46182</v>
      </c>
      <c r="B259" s="65" t="inlineStr">
        <is>
          <t>PBNB/2026/00002</t>
        </is>
      </c>
      <c r="C259" s="65" t="n">
        <v>663</v>
      </c>
      <c r="D259" s="65" t="inlineStr">
        <is>
          <t>Emprendimiento ilaris cancelo</t>
        </is>
      </c>
      <c r="E259" s="63" t="inlineStr">
        <is>
          <t>300,00</t>
        </is>
      </c>
      <c r="F259" s="65" t="inlineStr">
        <is>
          <t>USD</t>
        </is>
      </c>
      <c r="G259" s="65" t="inlineStr">
        <is>
          <t>Binance (USD)</t>
        </is>
      </c>
      <c r="H259" s="63" t="inlineStr">
        <is>
          <t>300,00</t>
        </is>
      </c>
      <c r="I259" s="65" t="n"/>
      <c r="J259" s="65" t="n"/>
      <c r="K259" s="65" t="n"/>
      <c r="L259" s="65" t="n"/>
      <c r="M259" s="65" t="n"/>
    </row>
    <row r="260">
      <c r="A260" s="66" t="n">
        <v>46182</v>
      </c>
      <c r="B260" s="65" t="inlineStr">
        <is>
          <t>PBAMI/2026/00159</t>
        </is>
      </c>
      <c r="C260" s="65" t="n">
        <v>686</v>
      </c>
      <c r="D260" s="65" t="inlineStr">
        <is>
          <t>Multiservicio SOS Cars, C.A</t>
        </is>
      </c>
      <c r="E260" s="63" t="inlineStr">
        <is>
          <t>23.340,00</t>
        </is>
      </c>
      <c r="F260" s="65" t="inlineStr">
        <is>
          <t>VES</t>
        </is>
      </c>
      <c r="G260" s="65" t="inlineStr">
        <is>
          <t>Banco Bancamiga 7806</t>
        </is>
      </c>
      <c r="H260" s="63" t="inlineStr">
        <is>
          <t>41,11</t>
        </is>
      </c>
      <c r="I260" s="65" t="n"/>
      <c r="J260" s="65" t="n"/>
      <c r="K260" s="65" t="n"/>
      <c r="L260" s="65" t="n"/>
      <c r="M260" s="65" t="n"/>
    </row>
    <row r="261">
      <c r="A261" s="66" t="n">
        <v>46182</v>
      </c>
      <c r="B261" s="65" t="inlineStr">
        <is>
          <t>PBAMI/2026/00158</t>
        </is>
      </c>
      <c r="C261" s="65" t="n">
        <v>687</v>
      </c>
      <c r="D261" s="65" t="inlineStr">
        <is>
          <t>Moto Repuestos Sanz 11. C.A.</t>
        </is>
      </c>
      <c r="E261" s="63" t="inlineStr">
        <is>
          <t>7.969,00</t>
        </is>
      </c>
      <c r="F261" s="65" t="inlineStr">
        <is>
          <t>VES</t>
        </is>
      </c>
      <c r="G261" s="65" t="inlineStr">
        <is>
          <t>Banco Bancamiga 7806</t>
        </is>
      </c>
      <c r="H261" s="63" t="inlineStr">
        <is>
          <t>14,04</t>
        </is>
      </c>
      <c r="I261" s="65" t="n"/>
      <c r="J261" s="65" t="n"/>
      <c r="K261" s="65" t="n"/>
      <c r="L261" s="65" t="n"/>
      <c r="M261" s="65" t="n"/>
    </row>
    <row r="262">
      <c r="A262" s="66" t="n">
        <v>46182</v>
      </c>
      <c r="B262" s="65" t="inlineStr">
        <is>
          <t>PBAMI/2026/00155</t>
        </is>
      </c>
      <c r="C262" s="65" t="n">
        <v>694</v>
      </c>
      <c r="D262" s="65" t="inlineStr">
        <is>
          <t>Diana Carolina Torres</t>
        </is>
      </c>
      <c r="E262" s="63" t="inlineStr">
        <is>
          <t>19.880,00</t>
        </is>
      </c>
      <c r="F262" s="65" t="inlineStr">
        <is>
          <t>VES</t>
        </is>
      </c>
      <c r="G262" s="65" t="inlineStr">
        <is>
          <t>Banco Bancamiga 7806</t>
        </is>
      </c>
      <c r="H262" s="63" t="inlineStr">
        <is>
          <t>35,02</t>
        </is>
      </c>
      <c r="I262" s="65" t="n"/>
      <c r="J262" s="65" t="n"/>
      <c r="K262" s="65" t="n"/>
      <c r="L262" s="65" t="n"/>
      <c r="M262" s="65" t="n"/>
    </row>
    <row r="263">
      <c r="A263" s="66" t="n">
        <v>46181</v>
      </c>
      <c r="B263" s="65" t="inlineStr">
        <is>
          <t>PUSD1/2026/00320</t>
        </is>
      </c>
      <c r="C263" s="65" t="n">
        <v>655</v>
      </c>
      <c r="D263" s="65" t="inlineStr">
        <is>
          <t>M.L.P Repuestos y Otros, C.A</t>
        </is>
      </c>
      <c r="E263" s="63" t="inlineStr">
        <is>
          <t>300,00</t>
        </is>
      </c>
      <c r="F263" s="65" t="inlineStr">
        <is>
          <t>USD</t>
        </is>
      </c>
      <c r="G263" s="65" t="inlineStr">
        <is>
          <t>Efectivo moneda extrajera (USD)</t>
        </is>
      </c>
      <c r="H263" s="63" t="inlineStr">
        <is>
          <t>300,00</t>
        </is>
      </c>
      <c r="I263" s="65" t="n"/>
      <c r="J263" s="65" t="n"/>
      <c r="K263" s="65" t="n"/>
      <c r="L263" s="65" t="n"/>
      <c r="M263" s="65" t="n"/>
    </row>
    <row r="264">
      <c r="A264" s="66" t="n">
        <v>46181</v>
      </c>
      <c r="B264" s="65" t="inlineStr">
        <is>
          <t>PUSD1/2026/00318</t>
        </is>
      </c>
      <c r="C264" s="65" t="n">
        <v>644</v>
      </c>
      <c r="D264" s="65" t="inlineStr">
        <is>
          <t>Inversiones Marfran 2025, C. A.</t>
        </is>
      </c>
      <c r="E264" s="63" t="inlineStr">
        <is>
          <t>278,00</t>
        </is>
      </c>
      <c r="F264" s="65" t="inlineStr">
        <is>
          <t>USD</t>
        </is>
      </c>
      <c r="G264" s="65" t="inlineStr">
        <is>
          <t>Efectivo moneda extrajera (USD)</t>
        </is>
      </c>
      <c r="H264" s="63" t="inlineStr">
        <is>
          <t>278,00</t>
        </is>
      </c>
      <c r="I264" s="65" t="n">
        <v>131</v>
      </c>
      <c r="J264" s="65" t="inlineStr">
        <is>
          <t>00-00000544</t>
        </is>
      </c>
      <c r="K264" s="66" t="n">
        <v>46182</v>
      </c>
      <c r="L264" s="63" t="inlineStr">
        <is>
          <t>0,00</t>
        </is>
      </c>
      <c r="M264" s="63" t="inlineStr">
        <is>
          <t>0,00</t>
        </is>
      </c>
    </row>
    <row r="265">
      <c r="A265" s="66" t="n">
        <v>46181</v>
      </c>
      <c r="B265" s="65" t="inlineStr">
        <is>
          <t>PUSD1/2026/00316</t>
        </is>
      </c>
      <c r="C265" s="65" t="n">
        <v>648</v>
      </c>
      <c r="D265" s="65" t="inlineStr">
        <is>
          <t>CLUDE CARVALHO DE ACOSTA</t>
        </is>
      </c>
      <c r="E265" s="63" t="inlineStr">
        <is>
          <t>67,00</t>
        </is>
      </c>
      <c r="F265" s="65" t="inlineStr">
        <is>
          <t>USD</t>
        </is>
      </c>
      <c r="G265" s="65" t="inlineStr">
        <is>
          <t>Efectivo moneda extrajera (USD)</t>
        </is>
      </c>
      <c r="H265" s="63" t="inlineStr">
        <is>
          <t>67,00</t>
        </is>
      </c>
      <c r="I265" s="65" t="n">
        <v>166</v>
      </c>
      <c r="J265" s="65" t="inlineStr">
        <is>
          <t>00-00000609</t>
        </is>
      </c>
      <c r="K265" s="66" t="n">
        <v>46185</v>
      </c>
      <c r="L265" s="63" t="inlineStr">
        <is>
          <t>0,00</t>
        </is>
      </c>
      <c r="M265" s="63" t="inlineStr">
        <is>
          <t>0,00</t>
        </is>
      </c>
    </row>
    <row r="266">
      <c r="A266" s="66" t="n">
        <v>46181</v>
      </c>
      <c r="B266" s="65" t="inlineStr">
        <is>
          <t>PUSD1/2026/00313</t>
        </is>
      </c>
      <c r="C266" s="65" t="n">
        <v>649</v>
      </c>
      <c r="D266" s="65" t="inlineStr">
        <is>
          <t>Comercializadora Garabote</t>
        </is>
      </c>
      <c r="E266" s="63" t="inlineStr">
        <is>
          <t>300,00</t>
        </is>
      </c>
      <c r="F266" s="65" t="inlineStr">
        <is>
          <t>USD</t>
        </is>
      </c>
      <c r="G266" s="65" t="inlineStr">
        <is>
          <t>Efectivo moneda extrajera (USD)</t>
        </is>
      </c>
      <c r="H266" s="63" t="inlineStr">
        <is>
          <t>300,00</t>
        </is>
      </c>
      <c r="I266" s="65" t="n">
        <v>129</v>
      </c>
      <c r="J266" s="65" t="inlineStr">
        <is>
          <t>00-00000542</t>
        </is>
      </c>
      <c r="K266" s="66" t="n">
        <v>46182</v>
      </c>
      <c r="L266" s="63" t="inlineStr">
        <is>
          <t>0,00</t>
        </is>
      </c>
      <c r="M266" s="63" t="inlineStr">
        <is>
          <t>0,00</t>
        </is>
      </c>
    </row>
    <row r="267">
      <c r="A267" s="66" t="n">
        <v>46181</v>
      </c>
      <c r="B267" s="65" t="inlineStr">
        <is>
          <t>PUSD1/2026/00312</t>
        </is>
      </c>
      <c r="C267" s="65" t="n">
        <v>647</v>
      </c>
      <c r="D267" s="65" t="inlineStr">
        <is>
          <t>LA CASA DE LAS BATERIAS</t>
        </is>
      </c>
      <c r="E267" s="63" t="inlineStr">
        <is>
          <t>63,00</t>
        </is>
      </c>
      <c r="F267" s="65" t="inlineStr">
        <is>
          <t>USD</t>
        </is>
      </c>
      <c r="G267" s="65" t="inlineStr">
        <is>
          <t>Efectivo moneda extrajera (USD)</t>
        </is>
      </c>
      <c r="H267" s="63" t="inlineStr">
        <is>
          <t>63,00</t>
        </is>
      </c>
      <c r="I267" s="65" t="n"/>
      <c r="J267" s="65" t="n"/>
      <c r="K267" s="65" t="n"/>
      <c r="L267" s="65" t="n"/>
      <c r="M267" s="65" t="n"/>
    </row>
    <row r="268">
      <c r="A268" s="66" t="n">
        <v>46181</v>
      </c>
      <c r="B268" s="65" t="inlineStr">
        <is>
          <t>PBNB/2026/00005</t>
        </is>
      </c>
      <c r="C268" s="65" t="n">
        <v>650</v>
      </c>
      <c r="D268" s="65" t="inlineStr">
        <is>
          <t>TERA INGENIERIA Y SERVICIOS INDUSTRIALES, C.A</t>
        </is>
      </c>
      <c r="E268" s="63" t="inlineStr">
        <is>
          <t>27.781,08</t>
        </is>
      </c>
      <c r="F268" s="65" t="inlineStr">
        <is>
          <t>USD</t>
        </is>
      </c>
      <c r="G268" s="65" t="inlineStr">
        <is>
          <t>Binance (USD)</t>
        </is>
      </c>
      <c r="H268" s="63" t="inlineStr">
        <is>
          <t>27.781,08</t>
        </is>
      </c>
      <c r="I268" s="65" t="n"/>
      <c r="J268" s="65" t="n"/>
      <c r="K268" s="65" t="n"/>
      <c r="L268" s="65" t="n"/>
      <c r="M268" s="65" t="n"/>
    </row>
    <row r="269">
      <c r="A269" s="66" t="n">
        <v>46181</v>
      </c>
      <c r="B269" s="65" t="inlineStr">
        <is>
          <t>PBBAN/2026/00001</t>
        </is>
      </c>
      <c r="C269" s="65" t="n">
        <v>996</v>
      </c>
      <c r="D269" s="65" t="inlineStr">
        <is>
          <t>Agustin Pedro Rodriguez Carro</t>
        </is>
      </c>
      <c r="E269" s="63" t="inlineStr">
        <is>
          <t>811.345,28</t>
        </is>
      </c>
      <c r="F269" s="65" t="inlineStr">
        <is>
          <t>VES</t>
        </is>
      </c>
      <c r="G269" s="65" t="inlineStr">
        <is>
          <t>Banco Banesco</t>
        </is>
      </c>
      <c r="H269" s="63" t="inlineStr">
        <is>
          <t>1.440,37</t>
        </is>
      </c>
      <c r="I269" s="65" t="n">
        <v>163</v>
      </c>
      <c r="J269" s="65" t="inlineStr">
        <is>
          <t>00-00000606</t>
        </is>
      </c>
      <c r="K269" s="66" t="n">
        <v>46185</v>
      </c>
      <c r="L269" s="63" t="inlineStr">
        <is>
          <t>0,00</t>
        </is>
      </c>
      <c r="M269" s="63" t="inlineStr">
        <is>
          <t>0,00</t>
        </is>
      </c>
    </row>
    <row r="270">
      <c r="A270" s="66" t="n">
        <v>46181</v>
      </c>
      <c r="B270" s="65" t="inlineStr">
        <is>
          <t>PBAMI/2026/00263</t>
        </is>
      </c>
      <c r="C270" s="65" t="n">
        <v>997</v>
      </c>
      <c r="D270" s="65" t="inlineStr">
        <is>
          <t>Industrias Arasia, c.a.</t>
        </is>
      </c>
      <c r="E270" s="63" t="inlineStr">
        <is>
          <t>132.757,65</t>
        </is>
      </c>
      <c r="F270" s="65" t="inlineStr">
        <is>
          <t>VES</t>
        </is>
      </c>
      <c r="G270" s="65" t="inlineStr">
        <is>
          <t>Banco Bancamiga 7806</t>
        </is>
      </c>
      <c r="H270" s="63" t="inlineStr">
        <is>
          <t>235,68</t>
        </is>
      </c>
      <c r="I270" s="65" t="n"/>
      <c r="J270" s="65" t="n"/>
      <c r="K270" s="65" t="n"/>
      <c r="L270" s="65" t="n"/>
      <c r="M270" s="65" t="n"/>
    </row>
    <row r="271">
      <c r="A271" s="66" t="n">
        <v>46181</v>
      </c>
      <c r="B271" s="65" t="inlineStr">
        <is>
          <t>PBAMI/2026/00162</t>
        </is>
      </c>
      <c r="C271" s="65" t="n">
        <v>651</v>
      </c>
      <c r="D271" s="65" t="inlineStr">
        <is>
          <t>Moto Repuestos Sanz 11. C.A.</t>
        </is>
      </c>
      <c r="E271" s="63" t="inlineStr">
        <is>
          <t>49.825,00</t>
        </is>
      </c>
      <c r="F271" s="65" t="inlineStr">
        <is>
          <t>VES</t>
        </is>
      </c>
      <c r="G271" s="65" t="inlineStr">
        <is>
          <t>Banco Bancamiga 7806</t>
        </is>
      </c>
      <c r="H271" s="63" t="inlineStr">
        <is>
          <t>88,45</t>
        </is>
      </c>
      <c r="I271" s="65" t="n"/>
      <c r="J271" s="65" t="n"/>
      <c r="K271" s="65" t="n"/>
      <c r="L271" s="65" t="n"/>
      <c r="M271" s="65" t="n"/>
    </row>
    <row r="272">
      <c r="A272" s="66" t="n">
        <v>46181</v>
      </c>
      <c r="B272" s="65" t="inlineStr">
        <is>
          <t>PBAMI/2026/00151</t>
        </is>
      </c>
      <c r="C272" s="65" t="n">
        <v>688</v>
      </c>
      <c r="D272" s="65" t="inlineStr">
        <is>
          <t>CONSTRUCTORA GRANO AGREGADO, C.A</t>
        </is>
      </c>
      <c r="E272" s="63" t="inlineStr">
        <is>
          <t>1.541.764,04</t>
        </is>
      </c>
      <c r="F272" s="65" t="inlineStr">
        <is>
          <t>VES</t>
        </is>
      </c>
      <c r="G272" s="65" t="inlineStr">
        <is>
          <t>Banco Bancamiga 7806</t>
        </is>
      </c>
      <c r="H272" s="63" t="inlineStr">
        <is>
          <t>2.737,07</t>
        </is>
      </c>
      <c r="I272" s="65" t="n"/>
      <c r="J272" s="65" t="n"/>
      <c r="K272" s="65" t="n"/>
      <c r="L272" s="65" t="n"/>
      <c r="M272" s="65" t="n"/>
    </row>
    <row r="273">
      <c r="A273" s="66" t="n">
        <v>46181</v>
      </c>
      <c r="B273" s="65" t="inlineStr">
        <is>
          <t>PBAMI/2026/00148</t>
        </is>
      </c>
      <c r="C273" s="65" t="n">
        <v>653</v>
      </c>
      <c r="D273" s="65" t="inlineStr">
        <is>
          <t>Auto Partes Y Repuestos Encava Express,c.a.</t>
        </is>
      </c>
      <c r="E273" s="63" t="inlineStr">
        <is>
          <t>28.384,00</t>
        </is>
      </c>
      <c r="F273" s="65" t="inlineStr">
        <is>
          <t>VES</t>
        </is>
      </c>
      <c r="G273" s="65" t="inlineStr">
        <is>
          <t>Banco Bancamiga 7806</t>
        </is>
      </c>
      <c r="H273" s="63" t="inlineStr">
        <is>
          <t>50,39</t>
        </is>
      </c>
      <c r="I273" s="65" t="n">
        <v>164</v>
      </c>
      <c r="J273" s="65" t="inlineStr">
        <is>
          <t>00-00000607</t>
        </is>
      </c>
      <c r="K273" s="66" t="n">
        <v>46185</v>
      </c>
      <c r="L273" s="63" t="inlineStr">
        <is>
          <t>0,00</t>
        </is>
      </c>
      <c r="M273" s="63" t="inlineStr">
        <is>
          <t>0,00</t>
        </is>
      </c>
    </row>
    <row r="274">
      <c r="A274" s="66" t="n">
        <v>46181</v>
      </c>
      <c r="B274" s="65" t="inlineStr">
        <is>
          <t>PBAMI/2026/00147</t>
        </is>
      </c>
      <c r="C274" s="65" t="n">
        <v>646</v>
      </c>
      <c r="D274" s="65" t="inlineStr">
        <is>
          <t>TALLER Y REPUESTOS CHOPPERS, C.A.</t>
        </is>
      </c>
      <c r="E274" s="63" t="inlineStr">
        <is>
          <t>16.898,68</t>
        </is>
      </c>
      <c r="F274" s="65" t="inlineStr">
        <is>
          <t>VES</t>
        </is>
      </c>
      <c r="G274" s="65" t="inlineStr">
        <is>
          <t>Banco Bancamiga 7806</t>
        </is>
      </c>
      <c r="H274" s="63" t="inlineStr">
        <is>
          <t>30,00</t>
        </is>
      </c>
      <c r="I274" s="65" t="n"/>
      <c r="J274" s="65" t="n"/>
      <c r="K274" s="65" t="n"/>
      <c r="L274" s="65" t="n"/>
      <c r="M274" s="65" t="n"/>
    </row>
    <row r="275">
      <c r="A275" s="66" t="n">
        <v>46180</v>
      </c>
      <c r="B275" s="65" t="inlineStr">
        <is>
          <t>PBAMI/2026/00146</t>
        </is>
      </c>
      <c r="C275" s="65" t="n">
        <v>645</v>
      </c>
      <c r="D275" s="65" t="inlineStr">
        <is>
          <t>MULTISERVICIOS RECAM13, C.A.</t>
        </is>
      </c>
      <c r="E275" s="63" t="inlineStr">
        <is>
          <t>22.708,00</t>
        </is>
      </c>
      <c r="F275" s="65" t="inlineStr">
        <is>
          <t>VES</t>
        </is>
      </c>
      <c r="G275" s="65" t="inlineStr">
        <is>
          <t>Banco Bancamiga 7806</t>
        </is>
      </c>
      <c r="H275" s="63" t="inlineStr">
        <is>
          <t>40,31</t>
        </is>
      </c>
      <c r="I275" s="65" t="n">
        <v>224</v>
      </c>
      <c r="J275" s="65" t="inlineStr">
        <is>
          <t>00-00000746</t>
        </is>
      </c>
      <c r="K275" s="66" t="n">
        <v>46210</v>
      </c>
      <c r="L275" s="63" t="inlineStr">
        <is>
          <t>226,19</t>
        </is>
      </c>
      <c r="M275" s="63" t="inlineStr">
        <is>
          <t>0,00</t>
        </is>
      </c>
    </row>
    <row r="276">
      <c r="A276" s="66" t="n">
        <v>46178</v>
      </c>
      <c r="B276" s="65" t="inlineStr">
        <is>
          <t>PUSD1/2026/00317</t>
        </is>
      </c>
      <c r="C276" s="65" t="n">
        <v>643</v>
      </c>
      <c r="D276" s="65" t="inlineStr">
        <is>
          <t>Grupo 3030, C.A</t>
        </is>
      </c>
      <c r="E276" s="63" t="inlineStr">
        <is>
          <t>223,00</t>
        </is>
      </c>
      <c r="F276" s="65" t="inlineStr">
        <is>
          <t>USD</t>
        </is>
      </c>
      <c r="G276" s="65" t="inlineStr">
        <is>
          <t>Efectivo moneda extrajera (USD)</t>
        </is>
      </c>
      <c r="H276" s="63" t="inlineStr">
        <is>
          <t>223,00</t>
        </is>
      </c>
      <c r="I276" s="65" t="n">
        <v>168</v>
      </c>
      <c r="J276" s="65" t="inlineStr">
        <is>
          <t>00-00000611</t>
        </is>
      </c>
      <c r="K276" s="66" t="n">
        <v>46185</v>
      </c>
      <c r="L276" s="63" t="inlineStr">
        <is>
          <t>86,72</t>
        </is>
      </c>
      <c r="M276" s="63" t="inlineStr">
        <is>
          <t>0,00</t>
        </is>
      </c>
    </row>
    <row r="277">
      <c r="A277" s="66" t="n">
        <v>46178</v>
      </c>
      <c r="B277" s="65" t="inlineStr">
        <is>
          <t>PUSD1/2026/00310</t>
        </is>
      </c>
      <c r="C277" s="65" t="n">
        <v>641</v>
      </c>
      <c r="D277" s="65" t="inlineStr">
        <is>
          <t>Comercializadora Dimon c.a</t>
        </is>
      </c>
      <c r="E277" s="63" t="inlineStr">
        <is>
          <t>200,00</t>
        </is>
      </c>
      <c r="F277" s="65" t="inlineStr">
        <is>
          <t>USD</t>
        </is>
      </c>
      <c r="G277" s="65" t="inlineStr">
        <is>
          <t>Efectivo moneda extrajera (USD)</t>
        </is>
      </c>
      <c r="H277" s="63" t="inlineStr">
        <is>
          <t>200,00</t>
        </is>
      </c>
      <c r="I277" s="65" t="n"/>
      <c r="J277" s="65" t="n"/>
      <c r="K277" s="65" t="n"/>
      <c r="L277" s="65" t="n"/>
      <c r="M277" s="65" t="n"/>
    </row>
    <row r="278">
      <c r="A278" s="66" t="n">
        <v>46178</v>
      </c>
      <c r="B278" s="65" t="inlineStr">
        <is>
          <t>PUSD1/2026/00309</t>
        </is>
      </c>
      <c r="C278" s="65" t="n">
        <v>642</v>
      </c>
      <c r="D278" s="65" t="inlineStr">
        <is>
          <t>Comercializadora Garabote</t>
        </is>
      </c>
      <c r="E278" s="63" t="inlineStr">
        <is>
          <t>100,00</t>
        </is>
      </c>
      <c r="F278" s="65" t="inlineStr">
        <is>
          <t>USD</t>
        </is>
      </c>
      <c r="G278" s="65" t="inlineStr">
        <is>
          <t>Efectivo moneda extrajera (USD)</t>
        </is>
      </c>
      <c r="H278" s="63" t="inlineStr">
        <is>
          <t>100,00</t>
        </is>
      </c>
      <c r="I278" s="65" t="n">
        <v>129</v>
      </c>
      <c r="J278" s="65" t="inlineStr">
        <is>
          <t>00-00000542</t>
        </is>
      </c>
      <c r="K278" s="66" t="n">
        <v>46182</v>
      </c>
      <c r="L278" s="63" t="inlineStr">
        <is>
          <t>0,00</t>
        </is>
      </c>
      <c r="M278" s="63" t="inlineStr">
        <is>
          <t>0,00</t>
        </is>
      </c>
    </row>
    <row r="279">
      <c r="A279" s="66" t="n">
        <v>46178</v>
      </c>
      <c r="B279" s="65" t="inlineStr">
        <is>
          <t>PUSD1/2026/00308</t>
        </is>
      </c>
      <c r="C279" s="65" t="n">
        <v>640</v>
      </c>
      <c r="D279" s="65" t="inlineStr">
        <is>
          <t>HIDRAULICAS CAICEDO C.A.</t>
        </is>
      </c>
      <c r="E279" s="63" t="inlineStr">
        <is>
          <t>105,00</t>
        </is>
      </c>
      <c r="F279" s="65" t="inlineStr">
        <is>
          <t>USD</t>
        </is>
      </c>
      <c r="G279" s="65" t="inlineStr">
        <is>
          <t>Efectivo moneda extrajera (USD)</t>
        </is>
      </c>
      <c r="H279" s="63" t="inlineStr">
        <is>
          <t>105,00</t>
        </is>
      </c>
      <c r="I279" s="65" t="n">
        <v>154</v>
      </c>
      <c r="J279" s="65" t="inlineStr">
        <is>
          <t>00-00000597</t>
        </is>
      </c>
      <c r="K279" s="66" t="n">
        <v>46185</v>
      </c>
      <c r="L279" s="63" t="inlineStr">
        <is>
          <t>16,80</t>
        </is>
      </c>
      <c r="M279" s="63" t="inlineStr">
        <is>
          <t>0,00</t>
        </is>
      </c>
    </row>
    <row r="280">
      <c r="A280" s="66" t="n">
        <v>46178</v>
      </c>
      <c r="B280" s="65" t="inlineStr">
        <is>
          <t>PUSD1/2026/00307</t>
        </is>
      </c>
      <c r="C280" s="65" t="n">
        <v>638</v>
      </c>
      <c r="D280" s="65" t="inlineStr">
        <is>
          <t>Inversiones Brayan CT C.A</t>
        </is>
      </c>
      <c r="E280" s="63" t="inlineStr">
        <is>
          <t>40,00</t>
        </is>
      </c>
      <c r="F280" s="65" t="inlineStr">
        <is>
          <t>USD</t>
        </is>
      </c>
      <c r="G280" s="65" t="inlineStr">
        <is>
          <t>Efectivo moneda extrajera (USD)</t>
        </is>
      </c>
      <c r="H280" s="63" t="inlineStr">
        <is>
          <t>40,00</t>
        </is>
      </c>
      <c r="I280" s="65" t="n"/>
      <c r="J280" s="65" t="n"/>
      <c r="K280" s="65" t="n"/>
      <c r="L280" s="65" t="n"/>
      <c r="M280" s="65" t="n"/>
    </row>
    <row r="281">
      <c r="A281" s="66" t="n">
        <v>46178</v>
      </c>
      <c r="B281" s="65" t="inlineStr">
        <is>
          <t>PUSD1/2026/00306</t>
        </is>
      </c>
      <c r="C281" s="65" t="n">
        <v>637</v>
      </c>
      <c r="D281" s="65" t="inlineStr">
        <is>
          <t>Inversiones Mirelkys C.A</t>
        </is>
      </c>
      <c r="E281" s="63" t="inlineStr">
        <is>
          <t>60,00</t>
        </is>
      </c>
      <c r="F281" s="65" t="inlineStr">
        <is>
          <t>USD</t>
        </is>
      </c>
      <c r="G281" s="65" t="inlineStr">
        <is>
          <t>Efectivo moneda extrajera (USD)</t>
        </is>
      </c>
      <c r="H281" s="63" t="inlineStr">
        <is>
          <t>60,00</t>
        </is>
      </c>
      <c r="I281" s="65" t="n"/>
      <c r="J281" s="65" t="n"/>
      <c r="K281" s="65" t="n"/>
      <c r="L281" s="65" t="n"/>
      <c r="M281" s="65" t="n"/>
    </row>
    <row r="282">
      <c r="A282" s="66" t="n">
        <v>46178</v>
      </c>
      <c r="B282" s="65" t="inlineStr">
        <is>
          <t>PUSD1/2026/00305</t>
        </is>
      </c>
      <c r="C282" s="65" t="n">
        <v>636</v>
      </c>
      <c r="D282" s="65" t="inlineStr">
        <is>
          <t>SJMG 2012 C.A</t>
        </is>
      </c>
      <c r="E282" s="63" t="inlineStr">
        <is>
          <t>250,00</t>
        </is>
      </c>
      <c r="F282" s="65" t="inlineStr">
        <is>
          <t>USD</t>
        </is>
      </c>
      <c r="G282" s="65" t="inlineStr">
        <is>
          <t>Efectivo moneda extrajera (USD)</t>
        </is>
      </c>
      <c r="H282" s="63" t="inlineStr">
        <is>
          <t>250,00</t>
        </is>
      </c>
      <c r="I282" s="65" t="n"/>
      <c r="J282" s="65" t="n"/>
      <c r="K282" s="65" t="n"/>
      <c r="L282" s="65" t="n"/>
      <c r="M282" s="65" t="n"/>
    </row>
    <row r="283">
      <c r="A283" s="66" t="n">
        <v>46178</v>
      </c>
      <c r="B283" s="65" t="inlineStr">
        <is>
          <t>PUSD1/2026/00303</t>
        </is>
      </c>
      <c r="C283" s="65" t="n">
        <v>635</v>
      </c>
      <c r="D283" s="65" t="inlineStr">
        <is>
          <t>Angel ARMAS</t>
        </is>
      </c>
      <c r="E283" s="63" t="inlineStr">
        <is>
          <t>75,00</t>
        </is>
      </c>
      <c r="F283" s="65" t="inlineStr">
        <is>
          <t>USD</t>
        </is>
      </c>
      <c r="G283" s="65" t="inlineStr">
        <is>
          <t>Efectivo moneda extrajera (USD)</t>
        </is>
      </c>
      <c r="H283" s="63" t="inlineStr">
        <is>
          <t>75,00</t>
        </is>
      </c>
      <c r="I283" s="65" t="n">
        <v>375</v>
      </c>
      <c r="J283" s="65" t="inlineStr">
        <is>
          <t>00-00000918</t>
        </is>
      </c>
      <c r="K283" s="66" t="n">
        <v>46216</v>
      </c>
      <c r="L283" s="63" t="inlineStr">
        <is>
          <t>0,00</t>
        </is>
      </c>
      <c r="M283" s="63" t="inlineStr">
        <is>
          <t>0,00</t>
        </is>
      </c>
    </row>
    <row r="284">
      <c r="A284" s="66" t="n">
        <v>46178</v>
      </c>
      <c r="B284" s="65" t="inlineStr">
        <is>
          <t>PUSD1/2026/00302</t>
        </is>
      </c>
      <c r="C284" s="65" t="n">
        <v>634</v>
      </c>
      <c r="D284" s="65" t="inlineStr">
        <is>
          <t>Angel ARMAS</t>
        </is>
      </c>
      <c r="E284" s="63" t="inlineStr">
        <is>
          <t>75,00</t>
        </is>
      </c>
      <c r="F284" s="65" t="inlineStr">
        <is>
          <t>USD</t>
        </is>
      </c>
      <c r="G284" s="65" t="inlineStr">
        <is>
          <t>Efectivo moneda extrajera (USD)</t>
        </is>
      </c>
      <c r="H284" s="63" t="inlineStr">
        <is>
          <t>75,00</t>
        </is>
      </c>
      <c r="I284" s="65" t="n">
        <v>375</v>
      </c>
      <c r="J284" s="65" t="inlineStr">
        <is>
          <t>00-00000918</t>
        </is>
      </c>
      <c r="K284" s="66" t="n">
        <v>46216</v>
      </c>
      <c r="L284" s="63" t="inlineStr">
        <is>
          <t>0,00</t>
        </is>
      </c>
      <c r="M284" s="63" t="inlineStr">
        <is>
          <t>0,00</t>
        </is>
      </c>
    </row>
    <row r="285">
      <c r="A285" s="66" t="n">
        <v>46178</v>
      </c>
      <c r="B285" s="65" t="inlineStr">
        <is>
          <t>PUSD1/2026/00301</t>
        </is>
      </c>
      <c r="C285" s="65" t="n">
        <v>633</v>
      </c>
      <c r="D285" s="65" t="inlineStr">
        <is>
          <t>Angel ARMAS</t>
        </is>
      </c>
      <c r="E285" s="63" t="inlineStr">
        <is>
          <t>282,00</t>
        </is>
      </c>
      <c r="F285" s="65" t="inlineStr">
        <is>
          <t>USD</t>
        </is>
      </c>
      <c r="G285" s="65" t="inlineStr">
        <is>
          <t>Efectivo moneda extrajera (USD)</t>
        </is>
      </c>
      <c r="H285" s="63" t="inlineStr">
        <is>
          <t>282,00</t>
        </is>
      </c>
      <c r="I285" s="65" t="n">
        <v>287</v>
      </c>
      <c r="J285" s="65" t="inlineStr">
        <is>
          <t>00-00000825</t>
        </is>
      </c>
      <c r="K285" s="66" t="n">
        <v>46214</v>
      </c>
      <c r="L285" s="63" t="inlineStr">
        <is>
          <t>0,00</t>
        </is>
      </c>
      <c r="M285" s="63" t="inlineStr">
        <is>
          <t>0,00</t>
        </is>
      </c>
    </row>
    <row r="286">
      <c r="A286" s="65" t="n"/>
      <c r="B286" s="65" t="n"/>
      <c r="C286" s="65" t="n"/>
      <c r="D286" s="65" t="n"/>
      <c r="E286" s="65" t="n"/>
      <c r="F286" s="65" t="n"/>
      <c r="G286" s="65" t="n"/>
      <c r="H286" s="65" t="n"/>
      <c r="I286" s="65" t="n">
        <v>322</v>
      </c>
      <c r="J286" s="65" t="inlineStr">
        <is>
          <t>00-00000864</t>
        </is>
      </c>
      <c r="K286" s="66" t="n">
        <v>46215</v>
      </c>
      <c r="L286" s="63" t="inlineStr">
        <is>
          <t>0,00</t>
        </is>
      </c>
      <c r="M286" s="63" t="inlineStr">
        <is>
          <t>0,00</t>
        </is>
      </c>
    </row>
    <row r="287">
      <c r="A287" s="65" t="n"/>
      <c r="B287" s="65" t="n"/>
      <c r="C287" s="65" t="n"/>
      <c r="D287" s="65" t="n"/>
      <c r="E287" s="65" t="n"/>
      <c r="F287" s="65" t="n"/>
      <c r="G287" s="65" t="n"/>
      <c r="H287" s="65" t="n"/>
      <c r="I287" s="65" t="n">
        <v>375</v>
      </c>
      <c r="J287" s="65" t="inlineStr">
        <is>
          <t>00-00000918</t>
        </is>
      </c>
      <c r="K287" s="66" t="n">
        <v>46216</v>
      </c>
      <c r="L287" s="63" t="inlineStr">
        <is>
          <t>0,00</t>
        </is>
      </c>
      <c r="M287" s="63" t="inlineStr">
        <is>
          <t>0,00</t>
        </is>
      </c>
    </row>
    <row r="288">
      <c r="A288" s="66" t="n">
        <v>46178</v>
      </c>
      <c r="B288" s="65" t="inlineStr">
        <is>
          <t>PBAMI/2026/00161</t>
        </is>
      </c>
      <c r="C288" s="65" t="n">
        <v>670</v>
      </c>
      <c r="D288" s="65" t="inlineStr">
        <is>
          <t>INVERSIONES ARCOSOL 21, C.A.</t>
        </is>
      </c>
      <c r="E288" s="63" t="inlineStr">
        <is>
          <t>72.849,00</t>
        </is>
      </c>
      <c r="F288" s="65" t="inlineStr">
        <is>
          <t>VES</t>
        </is>
      </c>
      <c r="G288" s="65" t="inlineStr">
        <is>
          <t>Banco Bancamiga 7806</t>
        </is>
      </c>
      <c r="H288" s="63" t="inlineStr">
        <is>
          <t>129,33</t>
        </is>
      </c>
      <c r="I288" s="65" t="n">
        <v>162</v>
      </c>
      <c r="J288" s="65" t="inlineStr">
        <is>
          <t>00-00000605</t>
        </is>
      </c>
      <c r="K288" s="66" t="n">
        <v>46185</v>
      </c>
      <c r="L288" s="63" t="inlineStr">
        <is>
          <t>0,00</t>
        </is>
      </c>
      <c r="M288" s="63" t="inlineStr">
        <is>
          <t>0,00</t>
        </is>
      </c>
    </row>
    <row r="289">
      <c r="A289" s="66" t="n">
        <v>46178</v>
      </c>
      <c r="B289" s="65" t="inlineStr">
        <is>
          <t>PBAMI/2026/00145</t>
        </is>
      </c>
      <c r="C289" s="65" t="n">
        <v>639</v>
      </c>
      <c r="D289" s="65" t="inlineStr">
        <is>
          <t>Diana Carolina Torres</t>
        </is>
      </c>
      <c r="E289" s="63" t="inlineStr">
        <is>
          <t>19.670,00</t>
        </is>
      </c>
      <c r="F289" s="65" t="inlineStr">
        <is>
          <t>VES</t>
        </is>
      </c>
      <c r="G289" s="65" t="inlineStr">
        <is>
          <t>Banco Bancamiga 7806</t>
        </is>
      </c>
      <c r="H289" s="63" t="inlineStr">
        <is>
          <t>34,92</t>
        </is>
      </c>
      <c r="I289" s="65" t="n"/>
      <c r="J289" s="65" t="n"/>
      <c r="K289" s="65" t="n"/>
      <c r="L289" s="65" t="n"/>
      <c r="M289" s="65" t="n"/>
    </row>
    <row r="290">
      <c r="A290" s="66" t="n">
        <v>46177</v>
      </c>
      <c r="B290" s="65" t="inlineStr">
        <is>
          <t>PUSD1/2026/00498</t>
        </is>
      </c>
      <c r="C290" s="65" t="n">
        <v>1003</v>
      </c>
      <c r="D290" s="65" t="inlineStr">
        <is>
          <t>Gabriel Martinez</t>
        </is>
      </c>
      <c r="E290" s="63" t="inlineStr">
        <is>
          <t>390,00</t>
        </is>
      </c>
      <c r="F290" s="65" t="inlineStr">
        <is>
          <t>USD</t>
        </is>
      </c>
      <c r="G290" s="65" t="inlineStr">
        <is>
          <t>Efectivo moneda extrajera (USD)</t>
        </is>
      </c>
      <c r="H290" s="63" t="inlineStr">
        <is>
          <t>390,00</t>
        </is>
      </c>
      <c r="I290" s="65" t="n"/>
      <c r="J290" s="65" t="n"/>
      <c r="K290" s="65" t="n"/>
      <c r="L290" s="65" t="n"/>
      <c r="M290" s="65" t="n"/>
    </row>
    <row r="291">
      <c r="A291" s="66" t="n">
        <v>46177</v>
      </c>
      <c r="B291" s="65" t="inlineStr">
        <is>
          <t>PUSD1/2026/00438</t>
        </is>
      </c>
      <c r="C291" s="65" t="n">
        <v>626</v>
      </c>
      <c r="D291" s="65" t="inlineStr">
        <is>
          <t>Emprendimiento Eduardo Pérez 6</t>
        </is>
      </c>
      <c r="E291" s="63" t="inlineStr">
        <is>
          <t>8,06</t>
        </is>
      </c>
      <c r="F291" s="65" t="inlineStr">
        <is>
          <t>USD</t>
        </is>
      </c>
      <c r="G291" s="65" t="inlineStr">
        <is>
          <t>Efectivo moneda extrajera (USD)</t>
        </is>
      </c>
      <c r="H291" s="63" t="inlineStr">
        <is>
          <t>8,06</t>
        </is>
      </c>
      <c r="I291" s="65" t="n"/>
      <c r="J291" s="65" t="n"/>
      <c r="K291" s="65" t="n"/>
      <c r="L291" s="65" t="n"/>
      <c r="M291" s="65" t="n"/>
    </row>
    <row r="292">
      <c r="A292" s="66" t="n">
        <v>46177</v>
      </c>
      <c r="B292" s="65" t="inlineStr">
        <is>
          <t>PUSD1/2026/00437</t>
        </is>
      </c>
      <c r="C292" s="65" t="n">
        <v>631</v>
      </c>
      <c r="D292" s="65" t="inlineStr">
        <is>
          <t>Inversiones Los compadres 7686, c.a.</t>
        </is>
      </c>
      <c r="E292" s="63" t="inlineStr">
        <is>
          <t>40,00</t>
        </is>
      </c>
      <c r="F292" s="65" t="inlineStr">
        <is>
          <t>USD</t>
        </is>
      </c>
      <c r="G292" s="65" t="inlineStr">
        <is>
          <t>Efectivo moneda extrajera (USD)</t>
        </is>
      </c>
      <c r="H292" s="63" t="inlineStr">
        <is>
          <t>40,00</t>
        </is>
      </c>
      <c r="I292" s="65" t="n"/>
      <c r="J292" s="65" t="n"/>
      <c r="K292" s="65" t="n"/>
      <c r="L292" s="65" t="n"/>
      <c r="M292" s="65" t="n"/>
    </row>
    <row r="293">
      <c r="A293" s="66" t="n">
        <v>46177</v>
      </c>
      <c r="B293" s="65" t="inlineStr">
        <is>
          <t>PUSD1/2026/00429</t>
        </is>
      </c>
      <c r="C293" s="65" t="n">
        <v>628</v>
      </c>
      <c r="D293" s="65" t="inlineStr">
        <is>
          <t>Repuestos Guia Dios Nuestro Camino,c.a.</t>
        </is>
      </c>
      <c r="E293" s="63" t="inlineStr">
        <is>
          <t>20,00</t>
        </is>
      </c>
      <c r="F293" s="65" t="inlineStr">
        <is>
          <t>USD</t>
        </is>
      </c>
      <c r="G293" s="65" t="inlineStr">
        <is>
          <t>Efectivo moneda extrajera (USD)</t>
        </is>
      </c>
      <c r="H293" s="63" t="inlineStr">
        <is>
          <t>20,00</t>
        </is>
      </c>
      <c r="I293" s="65" t="n"/>
      <c r="J293" s="65" t="n"/>
      <c r="K293" s="65" t="n"/>
      <c r="L293" s="65" t="n"/>
      <c r="M293" s="65" t="n"/>
    </row>
    <row r="294">
      <c r="A294" s="66" t="n">
        <v>46177</v>
      </c>
      <c r="B294" s="65" t="inlineStr">
        <is>
          <t>PUSD1/2026/00299</t>
        </is>
      </c>
      <c r="C294" s="65" t="n">
        <v>625</v>
      </c>
      <c r="D294" s="65" t="inlineStr">
        <is>
          <t>Emprendimiento Eduardo Pérez 6</t>
        </is>
      </c>
      <c r="E294" s="63" t="inlineStr">
        <is>
          <t>11,94</t>
        </is>
      </c>
      <c r="F294" s="65" t="inlineStr">
        <is>
          <t>USD</t>
        </is>
      </c>
      <c r="G294" s="65" t="inlineStr">
        <is>
          <t>Efectivo moneda extrajera (USD)</t>
        </is>
      </c>
      <c r="H294" s="63" t="inlineStr">
        <is>
          <t>11,94</t>
        </is>
      </c>
      <c r="I294" s="65" t="n"/>
      <c r="J294" s="65" t="n"/>
      <c r="K294" s="65" t="n"/>
      <c r="L294" s="65" t="n"/>
      <c r="M294" s="65" t="n"/>
    </row>
    <row r="295">
      <c r="A295" s="66" t="n">
        <v>46177</v>
      </c>
      <c r="B295" s="65" t="inlineStr">
        <is>
          <t>PUSD1/2026/00298</t>
        </is>
      </c>
      <c r="C295" s="65" t="n">
        <v>622</v>
      </c>
      <c r="D295" s="65" t="inlineStr">
        <is>
          <t>Cooperativa Dios mi Amparo, R.L.</t>
        </is>
      </c>
      <c r="E295" s="63" t="inlineStr">
        <is>
          <t>70,00</t>
        </is>
      </c>
      <c r="F295" s="65" t="inlineStr">
        <is>
          <t>USD</t>
        </is>
      </c>
      <c r="G295" s="65" t="inlineStr">
        <is>
          <t>Efectivo moneda extrajera (USD)</t>
        </is>
      </c>
      <c r="H295" s="63" t="inlineStr">
        <is>
          <t>70,00</t>
        </is>
      </c>
      <c r="I295" s="65" t="n">
        <v>289</v>
      </c>
      <c r="J295" s="65" t="inlineStr">
        <is>
          <t>00-00000827</t>
        </is>
      </c>
      <c r="K295" s="66" t="n">
        <v>46214</v>
      </c>
      <c r="L295" s="63" t="inlineStr">
        <is>
          <t>69,00</t>
        </is>
      </c>
      <c r="M295" s="63" t="inlineStr">
        <is>
          <t>0,00</t>
        </is>
      </c>
    </row>
    <row r="296">
      <c r="A296" s="66" t="n">
        <v>46177</v>
      </c>
      <c r="B296" s="65" t="inlineStr">
        <is>
          <t>PUSD1/2026/00297</t>
        </is>
      </c>
      <c r="C296" s="65" t="n">
        <v>623</v>
      </c>
      <c r="D296" s="65" t="inlineStr">
        <is>
          <t>GRIMAN DIAZ HECTOR EDUARDO</t>
        </is>
      </c>
      <c r="E296" s="63" t="inlineStr">
        <is>
          <t>70,00</t>
        </is>
      </c>
      <c r="F296" s="65" t="inlineStr">
        <is>
          <t>USD</t>
        </is>
      </c>
      <c r="G296" s="65" t="inlineStr">
        <is>
          <t>Efectivo moneda extrajera (USD)</t>
        </is>
      </c>
      <c r="H296" s="63" t="inlineStr">
        <is>
          <t>70,00</t>
        </is>
      </c>
      <c r="I296" s="65" t="n">
        <v>171</v>
      </c>
      <c r="J296" s="65" t="inlineStr">
        <is>
          <t>00-00000614</t>
        </is>
      </c>
      <c r="K296" s="66" t="n">
        <v>46185</v>
      </c>
      <c r="L296" s="63" t="inlineStr">
        <is>
          <t>0,00</t>
        </is>
      </c>
      <c r="M296" s="63" t="inlineStr">
        <is>
          <t>0,00</t>
        </is>
      </c>
    </row>
    <row r="297">
      <c r="A297" s="66" t="n">
        <v>46177</v>
      </c>
      <c r="B297" s="65" t="inlineStr">
        <is>
          <t>PUSD1/2026/00296</t>
        </is>
      </c>
      <c r="C297" s="65" t="n">
        <v>617</v>
      </c>
      <c r="D297" s="65" t="inlineStr">
        <is>
          <t>Emprendimiento Tomas Paz</t>
        </is>
      </c>
      <c r="E297" s="63" t="inlineStr">
        <is>
          <t>40,00</t>
        </is>
      </c>
      <c r="F297" s="65" t="inlineStr">
        <is>
          <t>USD</t>
        </is>
      </c>
      <c r="G297" s="65" t="inlineStr">
        <is>
          <t>Efectivo moneda extrajera (USD)</t>
        </is>
      </c>
      <c r="H297" s="63" t="inlineStr">
        <is>
          <t>40,00</t>
        </is>
      </c>
      <c r="I297" s="65" t="n">
        <v>259</v>
      </c>
      <c r="J297" s="65" t="inlineStr">
        <is>
          <t>00-00000796</t>
        </is>
      </c>
      <c r="K297" s="66" t="n">
        <v>46214</v>
      </c>
      <c r="L297" s="63" t="inlineStr">
        <is>
          <t>0,00</t>
        </is>
      </c>
      <c r="M297" s="63" t="inlineStr">
        <is>
          <t>0,00</t>
        </is>
      </c>
    </row>
    <row r="298">
      <c r="A298" s="66" t="n">
        <v>46177</v>
      </c>
      <c r="B298" s="65" t="inlineStr">
        <is>
          <t>PUSD1/2026/00295</t>
        </is>
      </c>
      <c r="C298" s="65" t="n">
        <v>619</v>
      </c>
      <c r="D298" s="65" t="inlineStr">
        <is>
          <t>Grupo 3030, C.A</t>
        </is>
      </c>
      <c r="E298" s="63" t="inlineStr">
        <is>
          <t>200,00</t>
        </is>
      </c>
      <c r="F298" s="65" t="inlineStr">
        <is>
          <t>USD</t>
        </is>
      </c>
      <c r="G298" s="65" t="inlineStr">
        <is>
          <t>Efectivo moneda extrajera (USD)</t>
        </is>
      </c>
      <c r="H298" s="63" t="inlineStr">
        <is>
          <t>200,00</t>
        </is>
      </c>
      <c r="I298" s="65" t="n">
        <v>168</v>
      </c>
      <c r="J298" s="65" t="inlineStr">
        <is>
          <t>00-00000611</t>
        </is>
      </c>
      <c r="K298" s="66" t="n">
        <v>46185</v>
      </c>
      <c r="L298" s="63" t="inlineStr">
        <is>
          <t>86,72</t>
        </is>
      </c>
      <c r="M298" s="63" t="inlineStr">
        <is>
          <t>0,00</t>
        </is>
      </c>
    </row>
    <row r="299">
      <c r="A299" s="66" t="n">
        <v>46177</v>
      </c>
      <c r="B299" s="65" t="inlineStr">
        <is>
          <t>PUSD1/2026/00294</t>
        </is>
      </c>
      <c r="C299" s="65" t="n">
        <v>609</v>
      </c>
      <c r="D299" s="65" t="inlineStr">
        <is>
          <t>Emprendimiento YSKRA</t>
        </is>
      </c>
      <c r="E299" s="63" t="inlineStr">
        <is>
          <t>20,00</t>
        </is>
      </c>
      <c r="F299" s="65" t="inlineStr">
        <is>
          <t>USD</t>
        </is>
      </c>
      <c r="G299" s="65" t="inlineStr">
        <is>
          <t>Efectivo moneda extrajera (USD)</t>
        </is>
      </c>
      <c r="H299" s="63" t="inlineStr">
        <is>
          <t>20,00</t>
        </is>
      </c>
      <c r="I299" s="65" t="n">
        <v>156</v>
      </c>
      <c r="J299" s="65" t="inlineStr">
        <is>
          <t>00-00000599</t>
        </is>
      </c>
      <c r="K299" s="66" t="n">
        <v>46185</v>
      </c>
      <c r="L299" s="63" t="inlineStr">
        <is>
          <t>0,00</t>
        </is>
      </c>
      <c r="M299" s="63" t="inlineStr">
        <is>
          <t>0,00</t>
        </is>
      </c>
    </row>
    <row r="300">
      <c r="A300" s="66" t="n">
        <v>46177</v>
      </c>
      <c r="B300" s="65" t="inlineStr">
        <is>
          <t>PUSD1/2026/00293</t>
        </is>
      </c>
      <c r="C300" s="65" t="n">
        <v>607</v>
      </c>
      <c r="D300" s="65" t="inlineStr">
        <is>
          <t>ADS SERVICE C.A</t>
        </is>
      </c>
      <c r="E300" s="63" t="inlineStr">
        <is>
          <t>40,00</t>
        </is>
      </c>
      <c r="F300" s="65" t="inlineStr">
        <is>
          <t>USD</t>
        </is>
      </c>
      <c r="G300" s="65" t="inlineStr">
        <is>
          <t>Efectivo moneda extrajera (USD)</t>
        </is>
      </c>
      <c r="H300" s="63" t="inlineStr">
        <is>
          <t>40,00</t>
        </is>
      </c>
      <c r="I300" s="65" t="n">
        <v>79</v>
      </c>
      <c r="J300" s="65" t="inlineStr">
        <is>
          <t>00-00000399</t>
        </is>
      </c>
      <c r="K300" s="66" t="n">
        <v>46162</v>
      </c>
      <c r="L300" s="63" t="inlineStr">
        <is>
          <t>0,00</t>
        </is>
      </c>
      <c r="M300" s="63" t="inlineStr">
        <is>
          <t>0,00</t>
        </is>
      </c>
    </row>
    <row r="301">
      <c r="A301" s="65" t="n"/>
      <c r="B301" s="65" t="n"/>
      <c r="C301" s="65" t="n"/>
      <c r="D301" s="65" t="n"/>
      <c r="E301" s="65" t="n"/>
      <c r="F301" s="65" t="n"/>
      <c r="G301" s="65" t="n"/>
      <c r="H301" s="65" t="n"/>
      <c r="I301" s="65" t="n">
        <v>136</v>
      </c>
      <c r="J301" s="65" t="inlineStr">
        <is>
          <t>00-00000569</t>
        </is>
      </c>
      <c r="K301" s="66" t="n">
        <v>46184</v>
      </c>
      <c r="L301" s="63" t="inlineStr">
        <is>
          <t>0,00</t>
        </is>
      </c>
      <c r="M301" s="63" t="inlineStr">
        <is>
          <t>0,00</t>
        </is>
      </c>
    </row>
    <row r="302">
      <c r="A302" s="65" t="n"/>
      <c r="B302" s="65" t="n"/>
      <c r="C302" s="65" t="n"/>
      <c r="D302" s="65" t="n"/>
      <c r="E302" s="65" t="n"/>
      <c r="F302" s="65" t="n"/>
      <c r="G302" s="65" t="n"/>
      <c r="H302" s="65" t="n"/>
      <c r="I302" s="65" t="n">
        <v>438</v>
      </c>
      <c r="J302" s="65" t="inlineStr">
        <is>
          <t>00-00000982</t>
        </is>
      </c>
      <c r="K302" s="66" t="n">
        <v>46216</v>
      </c>
      <c r="L302" s="63" t="inlineStr">
        <is>
          <t>128,25</t>
        </is>
      </c>
      <c r="M302" s="63" t="inlineStr">
        <is>
          <t>0,00</t>
        </is>
      </c>
    </row>
    <row r="303">
      <c r="A303" s="66" t="n">
        <v>46177</v>
      </c>
      <c r="B303" s="65" t="inlineStr">
        <is>
          <t>PBDV/2026/00043</t>
        </is>
      </c>
      <c r="C303" s="65" t="n">
        <v>606</v>
      </c>
      <c r="D303" s="65" t="inlineStr">
        <is>
          <t>Moto repuestos jj</t>
        </is>
      </c>
      <c r="E303" s="63" t="inlineStr">
        <is>
          <t>39.686,00</t>
        </is>
      </c>
      <c r="F303" s="65" t="inlineStr">
        <is>
          <t>VES</t>
        </is>
      </c>
      <c r="G303" s="65" t="inlineStr">
        <is>
          <t>Banco de Venezuela 6891</t>
        </is>
      </c>
      <c r="H303" s="63" t="inlineStr">
        <is>
          <t>70,82</t>
        </is>
      </c>
      <c r="I303" s="65" t="n"/>
      <c r="J303" s="65" t="n"/>
      <c r="K303" s="65" t="n"/>
      <c r="L303" s="65" t="n"/>
      <c r="M303" s="65" t="n"/>
    </row>
    <row r="304">
      <c r="A304" s="66" t="n">
        <v>46177</v>
      </c>
      <c r="B304" s="65" t="inlineStr">
        <is>
          <t>PBAMI/2026/00144</t>
        </is>
      </c>
      <c r="C304" s="65" t="n">
        <v>620</v>
      </c>
      <c r="D304" s="65" t="inlineStr">
        <is>
          <t>Comercial Rio Paraguas C.A</t>
        </is>
      </c>
      <c r="E304" s="63" t="inlineStr">
        <is>
          <t>152.745,65</t>
        </is>
      </c>
      <c r="F304" s="65" t="inlineStr">
        <is>
          <t>VES</t>
        </is>
      </c>
      <c r="G304" s="65" t="inlineStr">
        <is>
          <t>Banco Bancamiga 7806</t>
        </is>
      </c>
      <c r="H304" s="63" t="inlineStr">
        <is>
          <t>272,58</t>
        </is>
      </c>
      <c r="I304" s="65" t="n"/>
      <c r="J304" s="65" t="n"/>
      <c r="K304" s="65" t="n"/>
      <c r="L304" s="65" t="n"/>
      <c r="M304" s="65" t="n"/>
    </row>
    <row r="305">
      <c r="A305" s="66" t="n">
        <v>46177</v>
      </c>
      <c r="B305" s="65" t="inlineStr">
        <is>
          <t>PBAMI/2026/00142</t>
        </is>
      </c>
      <c r="C305" s="65" t="n">
        <v>608</v>
      </c>
      <c r="D305" s="65" t="inlineStr">
        <is>
          <t>EMPRENDIMIENTO TOMAS MARCANO 5</t>
        </is>
      </c>
      <c r="E305" s="63" t="inlineStr">
        <is>
          <t>13.010,00</t>
        </is>
      </c>
      <c r="F305" s="65" t="inlineStr">
        <is>
          <t>VES</t>
        </is>
      </c>
      <c r="G305" s="65" t="inlineStr">
        <is>
          <t>Banco Bancamiga 7806</t>
        </is>
      </c>
      <c r="H305" s="63" t="inlineStr">
        <is>
          <t>23,22</t>
        </is>
      </c>
      <c r="I305" s="65" t="n">
        <v>270</v>
      </c>
      <c r="J305" s="65" t="inlineStr">
        <is>
          <t>00-00000807</t>
        </is>
      </c>
      <c r="K305" s="66" t="n">
        <v>46214</v>
      </c>
      <c r="L305" s="63" t="inlineStr">
        <is>
          <t>442,07</t>
        </is>
      </c>
      <c r="M305" s="63" t="inlineStr">
        <is>
          <t>0,00</t>
        </is>
      </c>
    </row>
    <row r="306">
      <c r="A306" s="66" t="n">
        <v>46176</v>
      </c>
      <c r="B306" s="65" t="inlineStr">
        <is>
          <t>PUSD1/2026/00436</t>
        </is>
      </c>
      <c r="C306" s="65" t="n">
        <v>600</v>
      </c>
      <c r="D306" s="65" t="inlineStr">
        <is>
          <t>Autorepuestos el Florin,c.a.</t>
        </is>
      </c>
      <c r="E306" s="63" t="inlineStr">
        <is>
          <t>275,00</t>
        </is>
      </c>
      <c r="F306" s="65" t="inlineStr">
        <is>
          <t>USD</t>
        </is>
      </c>
      <c r="G306" s="65" t="inlineStr">
        <is>
          <t>Efectivo moneda extrajera (USD)</t>
        </is>
      </c>
      <c r="H306" s="63" t="inlineStr">
        <is>
          <t>275,00</t>
        </is>
      </c>
      <c r="I306" s="65" t="n"/>
      <c r="J306" s="65" t="n"/>
      <c r="K306" s="65" t="n"/>
      <c r="L306" s="65" t="n"/>
      <c r="M306" s="65" t="n"/>
    </row>
    <row r="307">
      <c r="A307" s="66" t="n">
        <v>46176</v>
      </c>
      <c r="B307" s="65" t="inlineStr">
        <is>
          <t>PUSD1/2026/00354</t>
        </is>
      </c>
      <c r="C307" s="65" t="n">
        <v>594</v>
      </c>
      <c r="D307" s="65" t="inlineStr">
        <is>
          <t>SJMG 2012 C.A</t>
        </is>
      </c>
      <c r="E307" s="63" t="inlineStr">
        <is>
          <t>190,00</t>
        </is>
      </c>
      <c r="F307" s="65" t="inlineStr">
        <is>
          <t>USD</t>
        </is>
      </c>
      <c r="G307" s="65" t="inlineStr">
        <is>
          <t>Efectivo moneda extrajera (USD)</t>
        </is>
      </c>
      <c r="H307" s="63" t="inlineStr">
        <is>
          <t>190,00</t>
        </is>
      </c>
      <c r="I307" s="65" t="n"/>
      <c r="J307" s="65" t="n"/>
      <c r="K307" s="65" t="n"/>
      <c r="L307" s="65" t="n"/>
      <c r="M307" s="65" t="n"/>
    </row>
    <row r="308">
      <c r="A308" s="66" t="n">
        <v>46176</v>
      </c>
      <c r="B308" s="65" t="inlineStr">
        <is>
          <t>PUSD1/2026/00353</t>
        </is>
      </c>
      <c r="C308" s="65" t="n">
        <v>602</v>
      </c>
      <c r="D308" s="65" t="inlineStr">
        <is>
          <t>Emprendimiento José Sánchez 203 c.a</t>
        </is>
      </c>
      <c r="E308" s="63" t="inlineStr">
        <is>
          <t>50,00</t>
        </is>
      </c>
      <c r="F308" s="65" t="inlineStr">
        <is>
          <t>USD</t>
        </is>
      </c>
      <c r="G308" s="65" t="inlineStr">
        <is>
          <t>Efectivo moneda extrajera (USD)</t>
        </is>
      </c>
      <c r="H308" s="63" t="inlineStr">
        <is>
          <t>50,00</t>
        </is>
      </c>
      <c r="I308" s="65" t="n">
        <v>262</v>
      </c>
      <c r="J308" s="65" t="inlineStr">
        <is>
          <t>00-00000799</t>
        </is>
      </c>
      <c r="K308" s="66" t="n">
        <v>46214</v>
      </c>
      <c r="L308" s="63" t="inlineStr">
        <is>
          <t>200,00</t>
        </is>
      </c>
      <c r="M308" s="63" t="inlineStr">
        <is>
          <t>0,00</t>
        </is>
      </c>
    </row>
    <row r="309">
      <c r="A309" s="66" t="n">
        <v>46176</v>
      </c>
      <c r="B309" s="65" t="inlineStr">
        <is>
          <t>PUSD1/2026/00351</t>
        </is>
      </c>
      <c r="C309" s="65" t="n">
        <v>592</v>
      </c>
      <c r="D309" s="65" t="inlineStr">
        <is>
          <t>INVERSIONES IRETE SUKA, C.A</t>
        </is>
      </c>
      <c r="E309" s="63" t="inlineStr">
        <is>
          <t>62,00</t>
        </is>
      </c>
      <c r="F309" s="65" t="inlineStr">
        <is>
          <t>USD</t>
        </is>
      </c>
      <c r="G309" s="65" t="inlineStr">
        <is>
          <t>Efectivo moneda extrajera (USD)</t>
        </is>
      </c>
      <c r="H309" s="63" t="inlineStr">
        <is>
          <t>62,00</t>
        </is>
      </c>
      <c r="I309" s="65" t="n">
        <v>173</v>
      </c>
      <c r="J309" s="65" t="inlineStr">
        <is>
          <t>00-00000616</t>
        </is>
      </c>
      <c r="K309" s="66" t="n">
        <v>46185</v>
      </c>
      <c r="L309" s="63" t="inlineStr">
        <is>
          <t>0,00</t>
        </is>
      </c>
      <c r="M309" s="63" t="inlineStr">
        <is>
          <t>0,00</t>
        </is>
      </c>
    </row>
    <row r="310">
      <c r="A310" s="66" t="n">
        <v>46176</v>
      </c>
      <c r="B310" s="65" t="inlineStr">
        <is>
          <t>PUSD1/2026/00330</t>
        </is>
      </c>
      <c r="C310" s="65" t="n">
        <v>595</v>
      </c>
      <c r="D310" s="65" t="inlineStr">
        <is>
          <t>Multiservicio Tocome, C.A</t>
        </is>
      </c>
      <c r="E310" s="63" t="inlineStr">
        <is>
          <t>20,00</t>
        </is>
      </c>
      <c r="F310" s="65" t="inlineStr">
        <is>
          <t>USD</t>
        </is>
      </c>
      <c r="G310" s="65" t="inlineStr">
        <is>
          <t>Efectivo moneda extrajera (USD)</t>
        </is>
      </c>
      <c r="H310" s="63" t="inlineStr">
        <is>
          <t>20,00</t>
        </is>
      </c>
      <c r="I310" s="65" t="n"/>
      <c r="J310" s="65" t="n"/>
      <c r="K310" s="65" t="n"/>
      <c r="L310" s="65" t="n"/>
      <c r="M310" s="65" t="n"/>
    </row>
    <row r="311">
      <c r="A311" s="66" t="n">
        <v>46176</v>
      </c>
      <c r="B311" s="65" t="inlineStr">
        <is>
          <t>PUSD1/2026/00314</t>
        </is>
      </c>
      <c r="C311" s="65" t="n">
        <v>593</v>
      </c>
      <c r="D311" s="65" t="inlineStr">
        <is>
          <t>Jose Becerra</t>
        </is>
      </c>
      <c r="E311" s="63" t="inlineStr">
        <is>
          <t>198,00</t>
        </is>
      </c>
      <c r="F311" s="65" t="inlineStr">
        <is>
          <t>USD</t>
        </is>
      </c>
      <c r="G311" s="65" t="inlineStr">
        <is>
          <t>Efectivo moneda extrajera (USD)</t>
        </is>
      </c>
      <c r="H311" s="63" t="inlineStr">
        <is>
          <t>198,00</t>
        </is>
      </c>
      <c r="I311" s="65" t="n">
        <v>148</v>
      </c>
      <c r="J311" s="65" t="inlineStr">
        <is>
          <t>00-00000591</t>
        </is>
      </c>
      <c r="K311" s="66" t="n">
        <v>46185</v>
      </c>
      <c r="L311" s="63" t="inlineStr">
        <is>
          <t>0,01</t>
        </is>
      </c>
      <c r="M311" s="63" t="inlineStr">
        <is>
          <t>0,00</t>
        </is>
      </c>
    </row>
    <row r="312">
      <c r="A312" s="66" t="n">
        <v>46176</v>
      </c>
      <c r="B312" s="65" t="inlineStr">
        <is>
          <t>PBAMI/2026/00230</t>
        </is>
      </c>
      <c r="C312" s="65" t="n">
        <v>603</v>
      </c>
      <c r="D312" s="65" t="inlineStr">
        <is>
          <t>Distribuidora Nesmari 2050 c.a</t>
        </is>
      </c>
      <c r="E312" s="63" t="inlineStr">
        <is>
          <t>29.560,00</t>
        </is>
      </c>
      <c r="F312" s="65" t="inlineStr">
        <is>
          <t>VES</t>
        </is>
      </c>
      <c r="G312" s="65" t="inlineStr">
        <is>
          <t>Banco Bancamiga 7806</t>
        </is>
      </c>
      <c r="H312" s="63" t="inlineStr">
        <is>
          <t>52,91</t>
        </is>
      </c>
      <c r="I312" s="65" t="n">
        <v>276</v>
      </c>
      <c r="J312" s="65" t="inlineStr">
        <is>
          <t>00-00000813</t>
        </is>
      </c>
      <c r="K312" s="66" t="n">
        <v>46214</v>
      </c>
      <c r="L312" s="63" t="inlineStr">
        <is>
          <t>83,81</t>
        </is>
      </c>
      <c r="M312" s="63" t="inlineStr">
        <is>
          <t>0,00</t>
        </is>
      </c>
    </row>
    <row r="313">
      <c r="A313" s="66" t="n">
        <v>46176</v>
      </c>
      <c r="B313" s="65" t="inlineStr">
        <is>
          <t>PBAMI/2026/00163</t>
        </is>
      </c>
      <c r="C313" s="65" t="n">
        <v>601</v>
      </c>
      <c r="D313" s="65" t="inlineStr">
        <is>
          <t>E&amp;M CAR SHOP C.A</t>
        </is>
      </c>
      <c r="E313" s="63" t="inlineStr">
        <is>
          <t>539.470,00</t>
        </is>
      </c>
      <c r="F313" s="65" t="inlineStr">
        <is>
          <t>VES</t>
        </is>
      </c>
      <c r="G313" s="65" t="inlineStr">
        <is>
          <t>Banco Bancamiga 7806</t>
        </is>
      </c>
      <c r="H313" s="63" t="inlineStr">
        <is>
          <t>965,68</t>
        </is>
      </c>
      <c r="I313" s="65" t="n">
        <v>172</v>
      </c>
      <c r="J313" s="65" t="inlineStr">
        <is>
          <t>00-00000615</t>
        </is>
      </c>
      <c r="K313" s="66" t="n">
        <v>46185</v>
      </c>
      <c r="L313" s="63" t="inlineStr">
        <is>
          <t>69,95</t>
        </is>
      </c>
      <c r="M313" s="63" t="inlineStr">
        <is>
          <t>0,00</t>
        </is>
      </c>
    </row>
    <row r="314">
      <c r="A314" s="66" t="n">
        <v>46176</v>
      </c>
      <c r="B314" s="65" t="inlineStr">
        <is>
          <t>PBAMI/2026/00160</t>
        </is>
      </c>
      <c r="C314" s="65" t="n">
        <v>596</v>
      </c>
      <c r="D314" s="65" t="inlineStr">
        <is>
          <t>Diana Carolina Torres</t>
        </is>
      </c>
      <c r="E314" s="63" t="inlineStr">
        <is>
          <t>19.565,00</t>
        </is>
      </c>
      <c r="F314" s="65" t="inlineStr">
        <is>
          <t>VES</t>
        </is>
      </c>
      <c r="G314" s="65" t="inlineStr">
        <is>
          <t>Banco Bancamiga 7806</t>
        </is>
      </c>
      <c r="H314" s="63" t="inlineStr">
        <is>
          <t>35,02</t>
        </is>
      </c>
      <c r="I314" s="65" t="n"/>
      <c r="J314" s="65" t="n"/>
      <c r="K314" s="65" t="n"/>
      <c r="L314" s="65" t="n"/>
      <c r="M314" s="65" t="n"/>
    </row>
    <row r="315">
      <c r="A315" s="66" t="n">
        <v>46176</v>
      </c>
      <c r="B315" s="65" t="inlineStr">
        <is>
          <t>PBAMI/2026/00143</t>
        </is>
      </c>
      <c r="C315" s="65" t="n">
        <v>613</v>
      </c>
      <c r="D315" s="65" t="inlineStr">
        <is>
          <t>Inversiones García GL C.A</t>
        </is>
      </c>
      <c r="E315" s="63" t="inlineStr">
        <is>
          <t>960,87</t>
        </is>
      </c>
      <c r="F315" s="65" t="inlineStr">
        <is>
          <t>VES</t>
        </is>
      </c>
      <c r="G315" s="65" t="inlineStr">
        <is>
          <t>Banco Bancamiga 7806</t>
        </is>
      </c>
      <c r="H315" s="63" t="inlineStr">
        <is>
          <t>1,72</t>
        </is>
      </c>
      <c r="I315" s="65" t="n"/>
      <c r="J315" s="65" t="n"/>
      <c r="K315" s="65" t="n"/>
      <c r="L315" s="65" t="n"/>
      <c r="M315" s="65" t="n"/>
    </row>
    <row r="316">
      <c r="A316" s="66" t="n">
        <v>46175</v>
      </c>
      <c r="B316" s="65" t="inlineStr">
        <is>
          <t>PUSD1/2026/00304</t>
        </is>
      </c>
      <c r="C316" s="65" t="n">
        <v>577</v>
      </c>
      <c r="D316" s="65" t="inlineStr">
        <is>
          <t>ELIVAN2025, C.A</t>
        </is>
      </c>
      <c r="E316" s="63" t="inlineStr">
        <is>
          <t>14,00</t>
        </is>
      </c>
      <c r="F316" s="65" t="inlineStr">
        <is>
          <t>USD</t>
        </is>
      </c>
      <c r="G316" s="65" t="inlineStr">
        <is>
          <t>Efectivo moneda extrajera (USD)</t>
        </is>
      </c>
      <c r="H316" s="63" t="inlineStr">
        <is>
          <t>14,00</t>
        </is>
      </c>
      <c r="I316" s="65" t="n">
        <v>175</v>
      </c>
      <c r="J316" s="65" t="inlineStr">
        <is>
          <t>00-00000618</t>
        </is>
      </c>
      <c r="K316" s="66" t="n">
        <v>46185</v>
      </c>
      <c r="L316" s="63" t="inlineStr">
        <is>
          <t>0,00</t>
        </is>
      </c>
      <c r="M316" s="63" t="inlineStr">
        <is>
          <t>0,00</t>
        </is>
      </c>
    </row>
    <row r="317">
      <c r="A317" s="66" t="n">
        <v>46175</v>
      </c>
      <c r="B317" s="65" t="inlineStr">
        <is>
          <t>PUSD1/2026/00292</t>
        </is>
      </c>
      <c r="C317" s="65" t="n">
        <v>575</v>
      </c>
      <c r="D317" s="65" t="inlineStr">
        <is>
          <t>Abraham almenar</t>
        </is>
      </c>
      <c r="E317" s="63" t="inlineStr">
        <is>
          <t>15,00</t>
        </is>
      </c>
      <c r="F317" s="65" t="inlineStr">
        <is>
          <t>USD</t>
        </is>
      </c>
      <c r="G317" s="65" t="inlineStr">
        <is>
          <t>Efectivo moneda extrajera (USD)</t>
        </is>
      </c>
      <c r="H317" s="63" t="inlineStr">
        <is>
          <t>15,00</t>
        </is>
      </c>
      <c r="I317" s="65" t="n">
        <v>315</v>
      </c>
      <c r="J317" s="65" t="inlineStr">
        <is>
          <t>00-00000857</t>
        </is>
      </c>
      <c r="K317" s="66" t="n">
        <v>46215</v>
      </c>
      <c r="L317" s="63" t="inlineStr">
        <is>
          <t>1,00</t>
        </is>
      </c>
      <c r="M317" s="63" t="inlineStr">
        <is>
          <t>0,00</t>
        </is>
      </c>
    </row>
    <row r="318">
      <c r="A318" s="66" t="n">
        <v>46175</v>
      </c>
      <c r="B318" s="65" t="inlineStr">
        <is>
          <t>PUSD1/2026/00291</t>
        </is>
      </c>
      <c r="C318" s="65" t="n">
        <v>583</v>
      </c>
      <c r="D318" s="65" t="inlineStr">
        <is>
          <t>Moises Alejandro Mares</t>
        </is>
      </c>
      <c r="E318" s="63" t="inlineStr">
        <is>
          <t>20,00</t>
        </is>
      </c>
      <c r="F318" s="65" t="inlineStr">
        <is>
          <t>USD</t>
        </is>
      </c>
      <c r="G318" s="65" t="inlineStr">
        <is>
          <t>Efectivo moneda extrajera (USD)</t>
        </is>
      </c>
      <c r="H318" s="63" t="inlineStr">
        <is>
          <t>20,00</t>
        </is>
      </c>
      <c r="I318" s="65" t="n"/>
      <c r="J318" s="65" t="n"/>
      <c r="K318" s="65" t="n"/>
      <c r="L318" s="65" t="n"/>
      <c r="M318" s="65" t="n"/>
    </row>
    <row r="319">
      <c r="A319" s="66" t="n">
        <v>46175</v>
      </c>
      <c r="B319" s="65" t="inlineStr">
        <is>
          <t>PUSD1/2026/00290</t>
        </is>
      </c>
      <c r="C319" s="65" t="n">
        <v>585</v>
      </c>
      <c r="D319" s="65" t="inlineStr">
        <is>
          <t>Braulio R. Cedeño Gonzalez.</t>
        </is>
      </c>
      <c r="E319" s="63" t="inlineStr">
        <is>
          <t>40,00</t>
        </is>
      </c>
      <c r="F319" s="65" t="inlineStr">
        <is>
          <t>USD</t>
        </is>
      </c>
      <c r="G319" s="65" t="inlineStr">
        <is>
          <t>Efectivo moneda extrajera (USD)</t>
        </is>
      </c>
      <c r="H319" s="63" t="inlineStr">
        <is>
          <t>40,00</t>
        </is>
      </c>
      <c r="I319" s="65" t="n">
        <v>290</v>
      </c>
      <c r="J319" s="65" t="inlineStr">
        <is>
          <t>00-00000828</t>
        </is>
      </c>
      <c r="K319" s="66" t="n">
        <v>46214</v>
      </c>
      <c r="L319" s="63" t="inlineStr">
        <is>
          <t>9,00</t>
        </is>
      </c>
      <c r="M319" s="63" t="inlineStr">
        <is>
          <t>0,00</t>
        </is>
      </c>
    </row>
    <row r="320">
      <c r="A320" s="66" t="n">
        <v>46175</v>
      </c>
      <c r="B320" s="65" t="inlineStr">
        <is>
          <t>PUSD1/2026/00289</t>
        </is>
      </c>
      <c r="C320" s="65" t="n">
        <v>584</v>
      </c>
      <c r="D320" s="65" t="inlineStr">
        <is>
          <t>Motolavado Yahir</t>
        </is>
      </c>
      <c r="E320" s="63" t="inlineStr">
        <is>
          <t>100,00</t>
        </is>
      </c>
      <c r="F320" s="65" t="inlineStr">
        <is>
          <t>USD</t>
        </is>
      </c>
      <c r="G320" s="65" t="inlineStr">
        <is>
          <t>Efectivo moneda extrajera (USD)</t>
        </is>
      </c>
      <c r="H320" s="63" t="inlineStr">
        <is>
          <t>100,00</t>
        </is>
      </c>
      <c r="I320" s="65" t="n">
        <v>132</v>
      </c>
      <c r="J320" s="65" t="inlineStr">
        <is>
          <t>00-00000551</t>
        </is>
      </c>
      <c r="K320" s="66" t="n">
        <v>46183</v>
      </c>
      <c r="L320" s="63" t="inlineStr">
        <is>
          <t>0,01</t>
        </is>
      </c>
      <c r="M320" s="63" t="inlineStr">
        <is>
          <t>0,00</t>
        </is>
      </c>
    </row>
    <row r="321">
      <c r="A321" s="66" t="n">
        <v>46175</v>
      </c>
      <c r="B321" s="65" t="inlineStr">
        <is>
          <t>PUSD1/2026/00288</t>
        </is>
      </c>
      <c r="C321" s="65" t="n">
        <v>590</v>
      </c>
      <c r="D321" s="65" t="inlineStr">
        <is>
          <t>Kervin baez</t>
        </is>
      </c>
      <c r="E321" s="63" t="inlineStr">
        <is>
          <t>302,00</t>
        </is>
      </c>
      <c r="F321" s="65" t="inlineStr">
        <is>
          <t>USD</t>
        </is>
      </c>
      <c r="G321" s="65" t="inlineStr">
        <is>
          <t>Efectivo moneda extrajera (USD)</t>
        </is>
      </c>
      <c r="H321" s="63" t="inlineStr">
        <is>
          <t>302,00</t>
        </is>
      </c>
      <c r="I321" s="65" t="n">
        <v>150</v>
      </c>
      <c r="J321" s="65" t="inlineStr">
        <is>
          <t>00-00000593</t>
        </is>
      </c>
      <c r="K321" s="66" t="n">
        <v>46185</v>
      </c>
      <c r="L321" s="63" t="inlineStr">
        <is>
          <t>0,00</t>
        </is>
      </c>
      <c r="M321" s="63" t="inlineStr">
        <is>
          <t>0,00</t>
        </is>
      </c>
    </row>
    <row r="322">
      <c r="A322" s="66" t="n">
        <v>46175</v>
      </c>
      <c r="B322" s="65" t="inlineStr">
        <is>
          <t>PUSD1/2026/00287</t>
        </is>
      </c>
      <c r="C322" s="65" t="n">
        <v>591</v>
      </c>
      <c r="D322" s="65" t="inlineStr">
        <is>
          <t>Pedro Castro</t>
        </is>
      </c>
      <c r="E322" s="63" t="inlineStr">
        <is>
          <t>150,00</t>
        </is>
      </c>
      <c r="F322" s="65" t="inlineStr">
        <is>
          <t>USD</t>
        </is>
      </c>
      <c r="G322" s="65" t="inlineStr">
        <is>
          <t>Efectivo moneda extrajera (USD)</t>
        </is>
      </c>
      <c r="H322" s="63" t="inlineStr">
        <is>
          <t>150,00</t>
        </is>
      </c>
      <c r="I322" s="65" t="n"/>
      <c r="J322" s="65" t="n"/>
      <c r="K322" s="65" t="n"/>
      <c r="L322" s="65" t="n"/>
      <c r="M322" s="65" t="n"/>
    </row>
    <row r="323">
      <c r="A323" s="66" t="n">
        <v>46175</v>
      </c>
      <c r="B323" s="65" t="inlineStr">
        <is>
          <t>PUSD1/2026/00286</t>
        </is>
      </c>
      <c r="C323" s="65" t="n">
        <v>589</v>
      </c>
      <c r="D323" s="65" t="inlineStr">
        <is>
          <t>Alexander Quiroz</t>
        </is>
      </c>
      <c r="E323" s="63" t="inlineStr">
        <is>
          <t>1.000,00</t>
        </is>
      </c>
      <c r="F323" s="65" t="inlineStr">
        <is>
          <t>USD</t>
        </is>
      </c>
      <c r="G323" s="65" t="inlineStr">
        <is>
          <t>Efectivo moneda extrajera (USD)</t>
        </is>
      </c>
      <c r="H323" s="63" t="inlineStr">
        <is>
          <t>1.000,00</t>
        </is>
      </c>
      <c r="I323" s="65" t="n">
        <v>97</v>
      </c>
      <c r="J323" s="65" t="inlineStr">
        <is>
          <t>00-00000451</t>
        </is>
      </c>
      <c r="K323" s="66" t="n">
        <v>46169</v>
      </c>
      <c r="L323" s="63" t="inlineStr">
        <is>
          <t>0,00</t>
        </is>
      </c>
      <c r="M323" s="63" t="inlineStr">
        <is>
          <t>0,00</t>
        </is>
      </c>
    </row>
    <row r="324">
      <c r="A324" s="65" t="n"/>
      <c r="B324" s="65" t="n"/>
      <c r="C324" s="65" t="n"/>
      <c r="D324" s="65" t="n"/>
      <c r="E324" s="65" t="n"/>
      <c r="F324" s="65" t="n"/>
      <c r="G324" s="65" t="n"/>
      <c r="H324" s="65" t="n"/>
      <c r="I324" s="65" t="n">
        <v>512</v>
      </c>
      <c r="J324" s="65" t="inlineStr">
        <is>
          <t>00-00001065</t>
        </is>
      </c>
      <c r="K324" s="66" t="n">
        <v>46219</v>
      </c>
      <c r="L324" s="63" t="inlineStr">
        <is>
          <t>0,00</t>
        </is>
      </c>
      <c r="M324" s="63" t="inlineStr">
        <is>
          <t>0,00</t>
        </is>
      </c>
    </row>
    <row r="325">
      <c r="A325" s="66" t="n">
        <v>46175</v>
      </c>
      <c r="B325" s="65" t="inlineStr">
        <is>
          <t>PUSD1/2026/00285</t>
        </is>
      </c>
      <c r="C325" s="65" t="n">
        <v>588</v>
      </c>
      <c r="D325" s="65" t="inlineStr">
        <is>
          <t>Inversiones Famasa, C.A</t>
        </is>
      </c>
      <c r="E325" s="63" t="inlineStr">
        <is>
          <t>35,00</t>
        </is>
      </c>
      <c r="F325" s="65" t="inlineStr">
        <is>
          <t>USD</t>
        </is>
      </c>
      <c r="G325" s="65" t="inlineStr">
        <is>
          <t>Efectivo moneda extrajera (USD)</t>
        </is>
      </c>
      <c r="H325" s="63" t="inlineStr">
        <is>
          <t>35,00</t>
        </is>
      </c>
      <c r="I325" s="65" t="n"/>
      <c r="J325" s="65" t="n"/>
      <c r="K325" s="65" t="n"/>
      <c r="L325" s="65" t="n"/>
      <c r="M325" s="65" t="n"/>
    </row>
    <row r="326">
      <c r="A326" s="66" t="n">
        <v>46175</v>
      </c>
      <c r="B326" s="65" t="inlineStr">
        <is>
          <t>PUSD1/2026/00284</t>
        </is>
      </c>
      <c r="C326" s="65" t="n">
        <v>572</v>
      </c>
      <c r="D326" s="65" t="inlineStr">
        <is>
          <t>Nemer Bourji</t>
        </is>
      </c>
      <c r="E326" s="63" t="inlineStr">
        <is>
          <t>40,00</t>
        </is>
      </c>
      <c r="F326" s="65" t="inlineStr">
        <is>
          <t>USD</t>
        </is>
      </c>
      <c r="G326" s="65" t="inlineStr">
        <is>
          <t>Efectivo moneda extrajera (USD)</t>
        </is>
      </c>
      <c r="H326" s="63" t="inlineStr">
        <is>
          <t>40,00</t>
        </is>
      </c>
      <c r="I326" s="65" t="n"/>
      <c r="J326" s="65" t="n"/>
      <c r="K326" s="65" t="n"/>
      <c r="L326" s="65" t="n"/>
      <c r="M326" s="65" t="n"/>
    </row>
    <row r="327">
      <c r="A327" s="66" t="n">
        <v>46175</v>
      </c>
      <c r="B327" s="65" t="inlineStr">
        <is>
          <t>PUSD1/2026/00282</t>
        </is>
      </c>
      <c r="C327" s="65" t="n">
        <v>574</v>
      </c>
      <c r="D327" s="65" t="inlineStr">
        <is>
          <t>Comercializadora Garabote</t>
        </is>
      </c>
      <c r="E327" s="63" t="inlineStr">
        <is>
          <t>200,00</t>
        </is>
      </c>
      <c r="F327" s="65" t="inlineStr">
        <is>
          <t>USD</t>
        </is>
      </c>
      <c r="G327" s="65" t="inlineStr">
        <is>
          <t>Efectivo moneda extrajera (USD)</t>
        </is>
      </c>
      <c r="H327" s="63" t="inlineStr">
        <is>
          <t>200,00</t>
        </is>
      </c>
      <c r="I327" s="65" t="n">
        <v>129</v>
      </c>
      <c r="J327" s="65" t="inlineStr">
        <is>
          <t>00-00000542</t>
        </is>
      </c>
      <c r="K327" s="66" t="n">
        <v>46182</v>
      </c>
      <c r="L327" s="63" t="inlineStr">
        <is>
          <t>0,00</t>
        </is>
      </c>
      <c r="M327" s="63" t="inlineStr">
        <is>
          <t>0,00</t>
        </is>
      </c>
    </row>
    <row r="328">
      <c r="A328" s="66" t="n">
        <v>46175</v>
      </c>
      <c r="B328" s="65" t="inlineStr">
        <is>
          <t>PUSD1/2026/00280</t>
        </is>
      </c>
      <c r="C328" s="65" t="n">
        <v>571</v>
      </c>
      <c r="D328" s="65" t="inlineStr">
        <is>
          <t>Joel Duque</t>
        </is>
      </c>
      <c r="E328" s="63" t="inlineStr">
        <is>
          <t>30,00</t>
        </is>
      </c>
      <c r="F328" s="65" t="inlineStr">
        <is>
          <t>USD</t>
        </is>
      </c>
      <c r="G328" s="65" t="inlineStr">
        <is>
          <t>Efectivo moneda extrajera (USD)</t>
        </is>
      </c>
      <c r="H328" s="63" t="inlineStr">
        <is>
          <t>30,00</t>
        </is>
      </c>
      <c r="I328" s="65" t="n">
        <v>246</v>
      </c>
      <c r="J328" s="65" t="inlineStr">
        <is>
          <t>00-00000768</t>
        </is>
      </c>
      <c r="K328" s="66" t="n">
        <v>46210</v>
      </c>
      <c r="L328" s="63" t="inlineStr">
        <is>
          <t>37,00</t>
        </is>
      </c>
      <c r="M328" s="63" t="inlineStr">
        <is>
          <t>0,00</t>
        </is>
      </c>
    </row>
    <row r="329">
      <c r="A329" s="66" t="n">
        <v>46175</v>
      </c>
      <c r="B329" s="65" t="inlineStr">
        <is>
          <t>PBPRO/2026/00001</t>
        </is>
      </c>
      <c r="C329" s="65" t="n">
        <v>580</v>
      </c>
      <c r="D329" s="65" t="inlineStr">
        <is>
          <t>Alejandro Zorrilla</t>
        </is>
      </c>
      <c r="E329" s="63" t="inlineStr">
        <is>
          <t>64.725,00</t>
        </is>
      </c>
      <c r="F329" s="65" t="inlineStr">
        <is>
          <t>VES</t>
        </is>
      </c>
      <c r="G329" s="65" t="inlineStr">
        <is>
          <t>Banco Provincial</t>
        </is>
      </c>
      <c r="H329" s="63" t="inlineStr">
        <is>
          <t>116,00</t>
        </is>
      </c>
      <c r="I329" s="65" t="n">
        <v>288</v>
      </c>
      <c r="J329" s="65" t="inlineStr">
        <is>
          <t>00-00000826</t>
        </is>
      </c>
      <c r="K329" s="66" t="n">
        <v>46214</v>
      </c>
      <c r="L329" s="63" t="inlineStr">
        <is>
          <t>0,00</t>
        </is>
      </c>
      <c r="M329" s="63" t="inlineStr">
        <is>
          <t>0,00</t>
        </is>
      </c>
    </row>
    <row r="330">
      <c r="A330" s="66" t="n">
        <v>46175</v>
      </c>
      <c r="B330" s="65" t="inlineStr">
        <is>
          <t>PBAMI/2026/00240</t>
        </is>
      </c>
      <c r="C330" s="65" t="n">
        <v>597</v>
      </c>
      <c r="D330" s="65" t="inlineStr">
        <is>
          <t>Lubristation, C.A.</t>
        </is>
      </c>
      <c r="E330" s="63" t="inlineStr">
        <is>
          <t>88.784,19</t>
        </is>
      </c>
      <c r="F330" s="65" t="inlineStr">
        <is>
          <t>VES</t>
        </is>
      </c>
      <c r="G330" s="65" t="inlineStr">
        <is>
          <t>Banco Bancamiga 7806</t>
        </is>
      </c>
      <c r="H330" s="63" t="inlineStr">
        <is>
          <t>159,12</t>
        </is>
      </c>
      <c r="I330" s="65" t="n"/>
      <c r="J330" s="65" t="n"/>
      <c r="K330" s="65" t="n"/>
      <c r="L330" s="65" t="n"/>
      <c r="M330" s="65" t="n"/>
    </row>
    <row r="331">
      <c r="A331" s="66" t="n">
        <v>46175</v>
      </c>
      <c r="B331" s="65" t="inlineStr">
        <is>
          <t>PBAMI/2026/00140</t>
        </is>
      </c>
      <c r="C331" s="65" t="n">
        <v>578</v>
      </c>
      <c r="D331" s="65" t="inlineStr">
        <is>
          <t>Diana Carolina Torres</t>
        </is>
      </c>
      <c r="E331" s="63" t="inlineStr">
        <is>
          <t>16.740,00</t>
        </is>
      </c>
      <c r="F331" s="65" t="inlineStr">
        <is>
          <t>VES</t>
        </is>
      </c>
      <c r="G331" s="65" t="inlineStr">
        <is>
          <t>Banco Bancamiga 7806</t>
        </is>
      </c>
      <c r="H331" s="63" t="inlineStr">
        <is>
          <t>30,00</t>
        </is>
      </c>
      <c r="I331" s="65" t="n"/>
      <c r="J331" s="65" t="n"/>
      <c r="K331" s="65" t="n"/>
      <c r="L331" s="65" t="n"/>
      <c r="M331" s="65" t="n"/>
    </row>
    <row r="332">
      <c r="A332" s="66" t="n">
        <v>46175</v>
      </c>
      <c r="B332" s="65" t="inlineStr">
        <is>
          <t>PBAMI/2026/00139</t>
        </is>
      </c>
      <c r="C332" s="65" t="n">
        <v>586</v>
      </c>
      <c r="D332" s="65" t="inlineStr">
        <is>
          <t>Corporación Lubricantes 7ma Av.C.A</t>
        </is>
      </c>
      <c r="E332" s="63" t="inlineStr">
        <is>
          <t>32.412,00</t>
        </is>
      </c>
      <c r="F332" s="65" t="inlineStr">
        <is>
          <t>VES</t>
        </is>
      </c>
      <c r="G332" s="65" t="inlineStr">
        <is>
          <t>Banco Bancamiga 7806</t>
        </is>
      </c>
      <c r="H332" s="63" t="inlineStr">
        <is>
          <t>58,09</t>
        </is>
      </c>
      <c r="I332" s="65" t="n">
        <v>231</v>
      </c>
      <c r="J332" s="65" t="inlineStr">
        <is>
          <t>00-00000753</t>
        </is>
      </c>
      <c r="K332" s="66" t="n">
        <v>46210</v>
      </c>
      <c r="L332" s="63" t="inlineStr">
        <is>
          <t>575,72</t>
        </is>
      </c>
      <c r="M332" s="63" t="inlineStr">
        <is>
          <t>0,00</t>
        </is>
      </c>
    </row>
    <row r="333">
      <c r="A333" s="66" t="n">
        <v>46174</v>
      </c>
      <c r="B333" s="65" t="inlineStr">
        <is>
          <t>PUSD1/2026/00465</t>
        </is>
      </c>
      <c r="C333" s="65" t="n">
        <v>911</v>
      </c>
      <c r="D333" s="65" t="inlineStr">
        <is>
          <t>GRIMAN DIAZ HECTOR EDUARDO</t>
        </is>
      </c>
      <c r="E333" s="63" t="inlineStr">
        <is>
          <t>73,00</t>
        </is>
      </c>
      <c r="F333" s="65" t="inlineStr">
        <is>
          <t>USD</t>
        </is>
      </c>
      <c r="G333" s="65" t="inlineStr">
        <is>
          <t>Efectivo moneda extrajera (USD)</t>
        </is>
      </c>
      <c r="H333" s="63" t="inlineStr">
        <is>
          <t>73,00</t>
        </is>
      </c>
      <c r="I333" s="65" t="n">
        <v>121</v>
      </c>
      <c r="J333" s="65" t="inlineStr">
        <is>
          <t>00-00000521</t>
        </is>
      </c>
      <c r="K333" s="66" t="n">
        <v>46178</v>
      </c>
      <c r="L333" s="63" t="inlineStr">
        <is>
          <t>0,01</t>
        </is>
      </c>
      <c r="M333" s="63" t="inlineStr">
        <is>
          <t>0,00</t>
        </is>
      </c>
    </row>
    <row r="334">
      <c r="A334" s="66" t="n">
        <v>46174</v>
      </c>
      <c r="B334" s="65" t="inlineStr">
        <is>
          <t>PUSD1/2026/00283</t>
        </is>
      </c>
      <c r="C334" s="65" t="n">
        <v>570</v>
      </c>
      <c r="D334" s="65" t="inlineStr">
        <is>
          <t>José Gregorio Hernández</t>
        </is>
      </c>
      <c r="E334" s="63" t="inlineStr">
        <is>
          <t>80,00</t>
        </is>
      </c>
      <c r="F334" s="65" t="inlineStr">
        <is>
          <t>USD</t>
        </is>
      </c>
      <c r="G334" s="65" t="inlineStr">
        <is>
          <t>Efectivo moneda extrajera (USD)</t>
        </is>
      </c>
      <c r="H334" s="63" t="inlineStr">
        <is>
          <t>80,00</t>
        </is>
      </c>
      <c r="I334" s="65" t="n"/>
      <c r="J334" s="65" t="n"/>
      <c r="K334" s="65" t="n"/>
      <c r="L334" s="65" t="n"/>
      <c r="M334" s="65" t="n"/>
    </row>
    <row r="335">
      <c r="A335" s="66" t="n">
        <v>46174</v>
      </c>
      <c r="B335" s="65" t="inlineStr">
        <is>
          <t>PUSD1/2026/00279</t>
        </is>
      </c>
      <c r="C335" s="65" t="n">
        <v>568</v>
      </c>
      <c r="D335" s="65" t="inlineStr">
        <is>
          <t>Cauchera William 2018, C.A</t>
        </is>
      </c>
      <c r="E335" s="63" t="inlineStr">
        <is>
          <t>65,00</t>
        </is>
      </c>
      <c r="F335" s="65" t="inlineStr">
        <is>
          <t>USD</t>
        </is>
      </c>
      <c r="G335" s="65" t="inlineStr">
        <is>
          <t>Efectivo moneda extrajera (USD)</t>
        </is>
      </c>
      <c r="H335" s="63" t="inlineStr">
        <is>
          <t>65,00</t>
        </is>
      </c>
      <c r="I335" s="65" t="n"/>
      <c r="J335" s="65" t="n"/>
      <c r="K335" s="65" t="n"/>
      <c r="L335" s="65" t="n"/>
      <c r="M335" s="65" t="n"/>
    </row>
    <row r="336">
      <c r="A336" s="66" t="n">
        <v>46174</v>
      </c>
      <c r="B336" s="65" t="inlineStr">
        <is>
          <t>PUSD1/2026/00278</t>
        </is>
      </c>
      <c r="C336" s="65" t="n">
        <v>567</v>
      </c>
      <c r="D336" s="65" t="inlineStr">
        <is>
          <t>Inversiones tydelmarojg</t>
        </is>
      </c>
      <c r="E336" s="63" t="inlineStr">
        <is>
          <t>30,00</t>
        </is>
      </c>
      <c r="F336" s="65" t="inlineStr">
        <is>
          <t>USD</t>
        </is>
      </c>
      <c r="G336" s="65" t="inlineStr">
        <is>
          <t>Efectivo moneda extrajera (USD)</t>
        </is>
      </c>
      <c r="H336" s="63" t="inlineStr">
        <is>
          <t>30,00</t>
        </is>
      </c>
      <c r="I336" s="65" t="n"/>
      <c r="J336" s="65" t="n"/>
      <c r="K336" s="65" t="n"/>
      <c r="L336" s="65" t="n"/>
      <c r="M336" s="65" t="n"/>
    </row>
    <row r="337">
      <c r="A337" s="66" t="n">
        <v>46174</v>
      </c>
      <c r="B337" s="65" t="inlineStr">
        <is>
          <t>PUSD1/2026/00277</t>
        </is>
      </c>
      <c r="C337" s="65" t="n">
        <v>565</v>
      </c>
      <c r="D337" s="65" t="inlineStr">
        <is>
          <t>AUTOREPUESTOS SION C.A.</t>
        </is>
      </c>
      <c r="E337" s="63" t="inlineStr">
        <is>
          <t>105,00</t>
        </is>
      </c>
      <c r="F337" s="65" t="inlineStr">
        <is>
          <t>USD</t>
        </is>
      </c>
      <c r="G337" s="65" t="inlineStr">
        <is>
          <t>Efectivo moneda extrajera (USD)</t>
        </is>
      </c>
      <c r="H337" s="63" t="inlineStr">
        <is>
          <t>105,00</t>
        </is>
      </c>
      <c r="I337" s="65" t="n">
        <v>312</v>
      </c>
      <c r="J337" s="65" t="inlineStr">
        <is>
          <t>00-00000854</t>
        </is>
      </c>
      <c r="K337" s="66" t="n">
        <v>46215</v>
      </c>
      <c r="L337" s="63" t="inlineStr">
        <is>
          <t>0,00</t>
        </is>
      </c>
      <c r="M337" s="63" t="inlineStr">
        <is>
          <t>0,00</t>
        </is>
      </c>
    </row>
    <row r="338">
      <c r="A338" s="66" t="n">
        <v>46174</v>
      </c>
      <c r="B338" s="65" t="inlineStr">
        <is>
          <t>PUSD1/2026/00276</t>
        </is>
      </c>
      <c r="C338" s="65" t="n">
        <v>566</v>
      </c>
      <c r="D338" s="65" t="inlineStr">
        <is>
          <t>Junior Marco Antonio Vivas Navas</t>
        </is>
      </c>
      <c r="E338" s="63" t="inlineStr">
        <is>
          <t>50,00</t>
        </is>
      </c>
      <c r="F338" s="65" t="inlineStr">
        <is>
          <t>USD</t>
        </is>
      </c>
      <c r="G338" s="65" t="inlineStr">
        <is>
          <t>Efectivo moneda extrajera (USD)</t>
        </is>
      </c>
      <c r="H338" s="63" t="inlineStr">
        <is>
          <t>50,00</t>
        </is>
      </c>
      <c r="I338" s="65" t="n"/>
      <c r="J338" s="65" t="n"/>
      <c r="K338" s="65" t="n"/>
      <c r="L338" s="65" t="n"/>
      <c r="M338" s="65" t="n"/>
    </row>
    <row r="339">
      <c r="A339" s="66" t="n">
        <v>46174</v>
      </c>
      <c r="B339" s="65" t="inlineStr">
        <is>
          <t>PUSD1/2026/00275</t>
        </is>
      </c>
      <c r="C339" s="65" t="n">
        <v>561</v>
      </c>
      <c r="D339" s="65" t="inlineStr">
        <is>
          <t>SJMG 2012 C.A</t>
        </is>
      </c>
      <c r="E339" s="63" t="inlineStr">
        <is>
          <t>330,00</t>
        </is>
      </c>
      <c r="F339" s="65" t="inlineStr">
        <is>
          <t>USD</t>
        </is>
      </c>
      <c r="G339" s="65" t="inlineStr">
        <is>
          <t>Efectivo moneda extrajera (USD)</t>
        </is>
      </c>
      <c r="H339" s="63" t="inlineStr">
        <is>
          <t>330,00</t>
        </is>
      </c>
      <c r="I339" s="65" t="n"/>
      <c r="J339" s="65" t="n"/>
      <c r="K339" s="65" t="n"/>
      <c r="L339" s="65" t="n"/>
      <c r="M339" s="65" t="n"/>
    </row>
    <row r="340">
      <c r="A340" s="66" t="n">
        <v>46174</v>
      </c>
      <c r="B340" s="65" t="inlineStr">
        <is>
          <t>PUSD1/2026/00274</t>
        </is>
      </c>
      <c r="C340" s="65" t="n">
        <v>564</v>
      </c>
      <c r="D340" s="65" t="inlineStr">
        <is>
          <t>Distribuidora Nesmari 2050 c.a</t>
        </is>
      </c>
      <c r="E340" s="63" t="inlineStr">
        <is>
          <t>60,00</t>
        </is>
      </c>
      <c r="F340" s="65" t="inlineStr">
        <is>
          <t>USD</t>
        </is>
      </c>
      <c r="G340" s="65" t="inlineStr">
        <is>
          <t>Efectivo moneda extrajera (USD)</t>
        </is>
      </c>
      <c r="H340" s="63" t="inlineStr">
        <is>
          <t>60,00</t>
        </is>
      </c>
      <c r="I340" s="65" t="n">
        <v>276</v>
      </c>
      <c r="J340" s="65" t="inlineStr">
        <is>
          <t>00-00000813</t>
        </is>
      </c>
      <c r="K340" s="66" t="n">
        <v>46214</v>
      </c>
      <c r="L340" s="63" t="inlineStr">
        <is>
          <t>83,81</t>
        </is>
      </c>
      <c r="M340" s="63" t="inlineStr">
        <is>
          <t>0,00</t>
        </is>
      </c>
    </row>
    <row r="341">
      <c r="A341" s="66" t="n">
        <v>46174</v>
      </c>
      <c r="B341" s="65" t="inlineStr">
        <is>
          <t>PUSD1/2026/00273</t>
        </is>
      </c>
      <c r="C341" s="65" t="n">
        <v>557</v>
      </c>
      <c r="D341" s="65" t="inlineStr">
        <is>
          <t>Global Ferre 888 C.A</t>
        </is>
      </c>
      <c r="E341" s="63" t="inlineStr">
        <is>
          <t>30,00</t>
        </is>
      </c>
      <c r="F341" s="65" t="inlineStr">
        <is>
          <t>USD</t>
        </is>
      </c>
      <c r="G341" s="65" t="inlineStr">
        <is>
          <t>Efectivo moneda extrajera (USD)</t>
        </is>
      </c>
      <c r="H341" s="63" t="inlineStr">
        <is>
          <t>30,00</t>
        </is>
      </c>
      <c r="I341" s="65" t="n">
        <v>143</v>
      </c>
      <c r="J341" s="65" t="inlineStr">
        <is>
          <t>00-00000586</t>
        </is>
      </c>
      <c r="K341" s="66" t="n">
        <v>46185</v>
      </c>
      <c r="L341" s="63" t="inlineStr">
        <is>
          <t>0,00</t>
        </is>
      </c>
      <c r="M341" s="63" t="inlineStr">
        <is>
          <t>0,00</t>
        </is>
      </c>
    </row>
    <row r="342">
      <c r="A342" s="66" t="n">
        <v>46174</v>
      </c>
      <c r="B342" s="65" t="inlineStr">
        <is>
          <t>PUSD1/2026/00272</t>
        </is>
      </c>
      <c r="C342" s="65" t="n">
        <v>559</v>
      </c>
      <c r="D342" s="65" t="inlineStr">
        <is>
          <t>Lubricantes BK C.A</t>
        </is>
      </c>
      <c r="E342" s="63" t="inlineStr">
        <is>
          <t>100,00</t>
        </is>
      </c>
      <c r="F342" s="65" t="inlineStr">
        <is>
          <t>USD</t>
        </is>
      </c>
      <c r="G342" s="65" t="inlineStr">
        <is>
          <t>Efectivo moneda extrajera (USD)</t>
        </is>
      </c>
      <c r="H342" s="63" t="inlineStr">
        <is>
          <t>100,00</t>
        </is>
      </c>
      <c r="I342" s="65" t="n"/>
      <c r="J342" s="65" t="n"/>
      <c r="K342" s="65" t="n"/>
      <c r="L342" s="65" t="n"/>
      <c r="M342" s="65" t="n"/>
    </row>
    <row r="343">
      <c r="A343" s="66" t="n">
        <v>46174</v>
      </c>
      <c r="B343" s="65" t="inlineStr">
        <is>
          <t>PUSD1/2026/00271</t>
        </is>
      </c>
      <c r="C343" s="65" t="n">
        <v>550</v>
      </c>
      <c r="D343" s="65" t="inlineStr">
        <is>
          <t>Emprendimiento YSKRA</t>
        </is>
      </c>
      <c r="E343" s="63" t="inlineStr">
        <is>
          <t>60,00</t>
        </is>
      </c>
      <c r="F343" s="65" t="inlineStr">
        <is>
          <t>USD</t>
        </is>
      </c>
      <c r="G343" s="65" t="inlineStr">
        <is>
          <t>Efectivo moneda extrajera (USD)</t>
        </is>
      </c>
      <c r="H343" s="63" t="inlineStr">
        <is>
          <t>60,00</t>
        </is>
      </c>
      <c r="I343" s="65" t="n">
        <v>156</v>
      </c>
      <c r="J343" s="65" t="inlineStr">
        <is>
          <t>00-00000599</t>
        </is>
      </c>
      <c r="K343" s="66" t="n">
        <v>46185</v>
      </c>
      <c r="L343" s="63" t="inlineStr">
        <is>
          <t>0,00</t>
        </is>
      </c>
      <c r="M343" s="63" t="inlineStr">
        <is>
          <t>0,00</t>
        </is>
      </c>
    </row>
    <row r="344">
      <c r="A344" s="66" t="n">
        <v>46174</v>
      </c>
      <c r="B344" s="65" t="inlineStr">
        <is>
          <t>PUSD1/2026/00270</t>
        </is>
      </c>
      <c r="C344" s="65" t="n">
        <v>551</v>
      </c>
      <c r="D344" s="65" t="inlineStr">
        <is>
          <t>AUTOPERIQUITO EL PEQUEÑO CHAMOY, C.A.</t>
        </is>
      </c>
      <c r="E344" s="63" t="inlineStr">
        <is>
          <t>140,00</t>
        </is>
      </c>
      <c r="F344" s="65" t="inlineStr">
        <is>
          <t>USD</t>
        </is>
      </c>
      <c r="G344" s="65" t="inlineStr">
        <is>
          <t>Efectivo moneda extrajera (USD)</t>
        </is>
      </c>
      <c r="H344" s="63" t="inlineStr">
        <is>
          <t>140,00</t>
        </is>
      </c>
      <c r="I344" s="65" t="n">
        <v>326</v>
      </c>
      <c r="J344" s="65" t="inlineStr">
        <is>
          <t>00-00000868</t>
        </is>
      </c>
      <c r="K344" s="66" t="n">
        <v>46215</v>
      </c>
      <c r="L344" s="63" t="inlineStr">
        <is>
          <t>448,00</t>
        </is>
      </c>
      <c r="M344" s="63" t="inlineStr">
        <is>
          <t>0,00</t>
        </is>
      </c>
    </row>
    <row r="345">
      <c r="A345" s="66" t="n">
        <v>46174</v>
      </c>
      <c r="B345" s="65" t="inlineStr">
        <is>
          <t>PUSD1/2026/00269</t>
        </is>
      </c>
      <c r="C345" s="65" t="n">
        <v>548</v>
      </c>
      <c r="D345" s="65" t="inlineStr">
        <is>
          <t>Edgar salas</t>
        </is>
      </c>
      <c r="E345" s="63" t="inlineStr">
        <is>
          <t>30,00</t>
        </is>
      </c>
      <c r="F345" s="65" t="inlineStr">
        <is>
          <t>USD</t>
        </is>
      </c>
      <c r="G345" s="65" t="inlineStr">
        <is>
          <t>Efectivo moneda extrajera (USD)</t>
        </is>
      </c>
      <c r="H345" s="63" t="inlineStr">
        <is>
          <t>30,00</t>
        </is>
      </c>
      <c r="I345" s="65" t="n">
        <v>183</v>
      </c>
      <c r="J345" s="65" t="inlineStr">
        <is>
          <t>00-00000644</t>
        </is>
      </c>
      <c r="K345" s="66" t="n">
        <v>46190</v>
      </c>
      <c r="L345" s="63" t="inlineStr">
        <is>
          <t>0,00</t>
        </is>
      </c>
      <c r="M345" s="63" t="inlineStr">
        <is>
          <t>0,00</t>
        </is>
      </c>
    </row>
    <row r="346">
      <c r="A346" s="66" t="n">
        <v>46174</v>
      </c>
      <c r="B346" s="65" t="inlineStr">
        <is>
          <t>PUSD1/2026/00268</t>
        </is>
      </c>
      <c r="C346" s="65" t="n">
        <v>547</v>
      </c>
      <c r="D346" s="65" t="inlineStr">
        <is>
          <t>Edgar salas</t>
        </is>
      </c>
      <c r="E346" s="63" t="inlineStr">
        <is>
          <t>25,00</t>
        </is>
      </c>
      <c r="F346" s="65" t="inlineStr">
        <is>
          <t>USD</t>
        </is>
      </c>
      <c r="G346" s="65" t="inlineStr">
        <is>
          <t>Efectivo moneda extrajera (USD)</t>
        </is>
      </c>
      <c r="H346" s="63" t="inlineStr">
        <is>
          <t>25,00</t>
        </is>
      </c>
      <c r="I346" s="65" t="n">
        <v>184</v>
      </c>
      <c r="J346" s="65" t="inlineStr">
        <is>
          <t>00-00000645</t>
        </is>
      </c>
      <c r="K346" s="66" t="n">
        <v>46190</v>
      </c>
      <c r="L346" s="63" t="inlineStr">
        <is>
          <t>0,00</t>
        </is>
      </c>
      <c r="M346" s="63" t="inlineStr">
        <is>
          <t>0,00</t>
        </is>
      </c>
    </row>
    <row r="347">
      <c r="A347" s="66" t="n">
        <v>46174</v>
      </c>
      <c r="B347" s="65" t="inlineStr">
        <is>
          <t>PBDV/2026/00047</t>
        </is>
      </c>
      <c r="C347" s="65" t="n">
        <v>569</v>
      </c>
      <c r="D347" s="65" t="inlineStr">
        <is>
          <t>José Gregorio Hernández</t>
        </is>
      </c>
      <c r="E347" s="63" t="inlineStr">
        <is>
          <t>67.086,00</t>
        </is>
      </c>
      <c r="F347" s="65" t="inlineStr">
        <is>
          <t>VES</t>
        </is>
      </c>
      <c r="G347" s="65" t="inlineStr">
        <is>
          <t>Banco de Venezuela 6891</t>
        </is>
      </c>
      <c r="H347" s="63" t="inlineStr">
        <is>
          <t>121,00</t>
        </is>
      </c>
      <c r="I347" s="65" t="n"/>
      <c r="J347" s="65" t="n"/>
      <c r="K347" s="65" t="n"/>
      <c r="L347" s="65" t="n"/>
      <c r="M347" s="65" t="n"/>
    </row>
    <row r="348">
      <c r="A348" s="66" t="n">
        <v>46174</v>
      </c>
      <c r="B348" s="65" t="inlineStr">
        <is>
          <t>PBDV/2026/00044</t>
        </is>
      </c>
      <c r="C348" s="65" t="n">
        <v>978</v>
      </c>
      <c r="D348" s="65" t="inlineStr">
        <is>
          <t>Moto repuestos jj</t>
        </is>
      </c>
      <c r="E348" s="63" t="inlineStr">
        <is>
          <t>39.376,00</t>
        </is>
      </c>
      <c r="F348" s="65" t="inlineStr">
        <is>
          <t>VES</t>
        </is>
      </c>
      <c r="G348" s="65" t="inlineStr">
        <is>
          <t>Banco de Venezuela 6891</t>
        </is>
      </c>
      <c r="H348" s="63" t="inlineStr">
        <is>
          <t>71,02</t>
        </is>
      </c>
      <c r="I348" s="65" t="n"/>
      <c r="J348" s="65" t="n"/>
      <c r="K348" s="65" t="n"/>
      <c r="L348" s="65" t="n"/>
      <c r="M348" s="65" t="n"/>
    </row>
    <row r="349">
      <c r="A349" s="66" t="n">
        <v>46174</v>
      </c>
      <c r="B349" s="65" t="inlineStr">
        <is>
          <t>PBDV/2026/00028</t>
        </is>
      </c>
      <c r="C349" s="65" t="n">
        <v>576</v>
      </c>
      <c r="D349" s="65" t="inlineStr">
        <is>
          <t>Sandra Katherine Quintero Crespo</t>
        </is>
      </c>
      <c r="E349" s="63" t="inlineStr">
        <is>
          <t>189.364,13</t>
        </is>
      </c>
      <c r="F349" s="65" t="inlineStr">
        <is>
          <t>VES</t>
        </is>
      </c>
      <c r="G349" s="65" t="inlineStr">
        <is>
          <t>Banco de Venezuela 6891</t>
        </is>
      </c>
      <c r="H349" s="63" t="inlineStr">
        <is>
          <t>341,55</t>
        </is>
      </c>
      <c r="I349" s="65" t="n"/>
      <c r="J349" s="65" t="n"/>
      <c r="K349" s="65" t="n"/>
      <c r="L349" s="65" t="n"/>
      <c r="M349" s="65" t="n"/>
    </row>
    <row r="350">
      <c r="A350" s="66" t="n">
        <v>46174</v>
      </c>
      <c r="B350" s="65" t="inlineStr">
        <is>
          <t>PBDV/2026/00026</t>
        </is>
      </c>
      <c r="C350" s="65" t="n">
        <v>562</v>
      </c>
      <c r="D350" s="65" t="inlineStr">
        <is>
          <t>Comercial Rio Paraguas C.A</t>
        </is>
      </c>
      <c r="E350" s="63" t="inlineStr">
        <is>
          <t>151,12</t>
        </is>
      </c>
      <c r="F350" s="65" t="inlineStr">
        <is>
          <t>VES</t>
        </is>
      </c>
      <c r="G350" s="65" t="inlineStr">
        <is>
          <t>Banco de Venezuela 6891</t>
        </is>
      </c>
      <c r="H350" s="63" t="inlineStr">
        <is>
          <t>0,27</t>
        </is>
      </c>
      <c r="I350" s="65" t="n"/>
      <c r="J350" s="65" t="n"/>
      <c r="K350" s="65" t="n"/>
      <c r="L350" s="65" t="n"/>
      <c r="M350" s="65" t="n"/>
    </row>
    <row r="351">
      <c r="A351" s="66" t="n">
        <v>46174</v>
      </c>
      <c r="B351" s="65" t="inlineStr">
        <is>
          <t>PBAMI/2026/00137</t>
        </is>
      </c>
      <c r="C351" s="65" t="n">
        <v>556</v>
      </c>
      <c r="D351" s="65" t="inlineStr">
        <is>
          <t>Antonio Terán</t>
        </is>
      </c>
      <c r="E351" s="63" t="inlineStr">
        <is>
          <t>187.425,00</t>
        </is>
      </c>
      <c r="F351" s="65" t="inlineStr">
        <is>
          <t>VES</t>
        </is>
      </c>
      <c r="G351" s="65" t="inlineStr">
        <is>
          <t>Banco Bancamiga 7806</t>
        </is>
      </c>
      <c r="H351" s="63" t="inlineStr">
        <is>
          <t>338,05</t>
        </is>
      </c>
      <c r="I351" s="65" t="n">
        <v>351</v>
      </c>
      <c r="J351" s="65" t="inlineStr">
        <is>
          <t>00-00000894</t>
        </is>
      </c>
      <c r="K351" s="66" t="n">
        <v>46216</v>
      </c>
      <c r="L351" s="63" t="inlineStr">
        <is>
          <t>0,00</t>
        </is>
      </c>
      <c r="M351" s="63" t="inlineStr">
        <is>
          <t>0,00</t>
        </is>
      </c>
    </row>
    <row r="352">
      <c r="A352" s="66" t="n">
        <v>46174</v>
      </c>
      <c r="B352" s="65" t="inlineStr">
        <is>
          <t>PBAMI/2026/00136</t>
        </is>
      </c>
      <c r="C352" s="65" t="n">
        <v>553</v>
      </c>
      <c r="D352" s="65" t="inlineStr">
        <is>
          <t>INVERSIONES MI LINDA YEMAIRE 2019, C.A</t>
        </is>
      </c>
      <c r="E352" s="63" t="inlineStr">
        <is>
          <t>64.567,87</t>
        </is>
      </c>
      <c r="F352" s="65" t="inlineStr">
        <is>
          <t>VES</t>
        </is>
      </c>
      <c r="G352" s="65" t="inlineStr">
        <is>
          <t>Banco Bancamiga 7806</t>
        </is>
      </c>
      <c r="H352" s="63" t="inlineStr">
        <is>
          <t>116,46</t>
        </is>
      </c>
      <c r="I352" s="65" t="n">
        <v>176</v>
      </c>
      <c r="J352" s="65" t="inlineStr">
        <is>
          <t>00-00000619</t>
        </is>
      </c>
      <c r="K352" s="66" t="n">
        <v>46185</v>
      </c>
      <c r="L352" s="63" t="inlineStr">
        <is>
          <t>0,00</t>
        </is>
      </c>
      <c r="M352" s="63" t="inlineStr">
        <is>
          <t>0,00</t>
        </is>
      </c>
    </row>
    <row r="353">
      <c r="A353" s="66" t="n">
        <v>46173</v>
      </c>
      <c r="B353" s="65" t="inlineStr">
        <is>
          <t>PUSD1/2026/00281</t>
        </is>
      </c>
      <c r="C353" s="65" t="n">
        <v>573</v>
      </c>
      <c r="D353" s="65" t="inlineStr">
        <is>
          <t>Neykel Quevedo</t>
        </is>
      </c>
      <c r="E353" s="63" t="inlineStr">
        <is>
          <t>10,00</t>
        </is>
      </c>
      <c r="F353" s="65" t="inlineStr">
        <is>
          <t>USD</t>
        </is>
      </c>
      <c r="G353" s="65" t="inlineStr">
        <is>
          <t>Efectivo moneda extrajera (USD)</t>
        </is>
      </c>
      <c r="H353" s="63" t="inlineStr">
        <is>
          <t>10,00</t>
        </is>
      </c>
      <c r="I353" s="65" t="n">
        <v>118</v>
      </c>
      <c r="J353" s="65" t="inlineStr">
        <is>
          <t>00-00000490</t>
        </is>
      </c>
      <c r="K353" s="66" t="n">
        <v>46175</v>
      </c>
      <c r="L353" s="63" t="inlineStr">
        <is>
          <t>0,00</t>
        </is>
      </c>
      <c r="M353" s="63" t="inlineStr">
        <is>
          <t>0,00</t>
        </is>
      </c>
    </row>
    <row r="354">
      <c r="A354" s="66" t="n">
        <v>46172</v>
      </c>
      <c r="B354" s="65" t="inlineStr">
        <is>
          <t>PBDV/2026/00027</t>
        </is>
      </c>
      <c r="C354" s="65" t="n">
        <v>560</v>
      </c>
      <c r="D354" s="65" t="inlineStr">
        <is>
          <t>Auto Partes Y Repuestos Encava Express,c.a.</t>
        </is>
      </c>
      <c r="E354" s="63" t="inlineStr">
        <is>
          <t>27.721,00</t>
        </is>
      </c>
      <c r="F354" s="65" t="inlineStr">
        <is>
          <t>VES</t>
        </is>
      </c>
      <c r="G354" s="65" t="inlineStr">
        <is>
          <t>Banco de Venezuela 6891</t>
        </is>
      </c>
      <c r="H354" s="63" t="inlineStr">
        <is>
          <t>50,46</t>
        </is>
      </c>
      <c r="I354" s="65" t="n">
        <v>164</v>
      </c>
      <c r="J354" s="65" t="inlineStr">
        <is>
          <t>00-00000607</t>
        </is>
      </c>
      <c r="K354" s="66" t="n">
        <v>46185</v>
      </c>
      <c r="L354" s="63" t="inlineStr">
        <is>
          <t>0,00</t>
        </is>
      </c>
      <c r="M354" s="63" t="inlineStr">
        <is>
          <t>0,00</t>
        </is>
      </c>
    </row>
    <row r="355">
      <c r="A355" s="66" t="n">
        <v>46172</v>
      </c>
      <c r="B355" s="65" t="inlineStr">
        <is>
          <t>PBAMI/2026/00233</t>
        </is>
      </c>
      <c r="C355" s="65" t="n">
        <v>948</v>
      </c>
      <c r="D355" s="65" t="inlineStr">
        <is>
          <t>Daniela Sanobria</t>
        </is>
      </c>
      <c r="E355" s="63" t="inlineStr">
        <is>
          <t>49.898,70</t>
        </is>
      </c>
      <c r="F355" s="65" t="inlineStr">
        <is>
          <t>VES</t>
        </is>
      </c>
      <c r="G355" s="65" t="inlineStr">
        <is>
          <t>Banco Bancamiga 7806</t>
        </is>
      </c>
      <c r="H355" s="63" t="inlineStr">
        <is>
          <t>90,83</t>
        </is>
      </c>
      <c r="I355" s="65" t="n"/>
      <c r="J355" s="65" t="n"/>
      <c r="K355" s="65" t="n"/>
      <c r="L355" s="65" t="n"/>
      <c r="M355" s="65" t="n"/>
    </row>
    <row r="356">
      <c r="A356" s="66" t="n">
        <v>46171</v>
      </c>
      <c r="B356" s="65" t="inlineStr">
        <is>
          <t>PUSD1/2026/00492</t>
        </is>
      </c>
      <c r="C356" s="65" t="n">
        <v>986</v>
      </c>
      <c r="D356" s="65" t="inlineStr">
        <is>
          <t>Emprendimiento YSKRA</t>
        </is>
      </c>
      <c r="E356" s="63" t="inlineStr">
        <is>
          <t>40,00</t>
        </is>
      </c>
      <c r="F356" s="65" t="inlineStr">
        <is>
          <t>USD</t>
        </is>
      </c>
      <c r="G356" s="65" t="inlineStr">
        <is>
          <t>Efectivo moneda extrajera (USD)</t>
        </is>
      </c>
      <c r="H356" s="63" t="inlineStr">
        <is>
          <t>40,00</t>
        </is>
      </c>
      <c r="I356" s="65" t="n"/>
      <c r="J356" s="65" t="n"/>
      <c r="K356" s="65" t="n"/>
      <c r="L356" s="65" t="n"/>
      <c r="M356" s="65" t="n"/>
    </row>
    <row r="357">
      <c r="A357" s="66" t="n">
        <v>46171</v>
      </c>
      <c r="B357" s="65" t="inlineStr">
        <is>
          <t>PUSD1/2026/00446</t>
        </is>
      </c>
      <c r="C357" s="65" t="n">
        <v>867</v>
      </c>
      <c r="D357" s="65" t="inlineStr">
        <is>
          <t>Autoasesorio maxi motor</t>
        </is>
      </c>
      <c r="E357" s="63" t="inlineStr">
        <is>
          <t>40,00</t>
        </is>
      </c>
      <c r="F357" s="65" t="inlineStr">
        <is>
          <t>USD</t>
        </is>
      </c>
      <c r="G357" s="65" t="inlineStr">
        <is>
          <t>Efectivo moneda extrajera (USD)</t>
        </is>
      </c>
      <c r="H357" s="63" t="inlineStr">
        <is>
          <t>40,00</t>
        </is>
      </c>
      <c r="I357" s="65" t="n">
        <v>254</v>
      </c>
      <c r="J357" s="65" t="inlineStr">
        <is>
          <t>00-00000776</t>
        </is>
      </c>
      <c r="K357" s="66" t="n">
        <v>46211</v>
      </c>
      <c r="L357" s="63" t="inlineStr">
        <is>
          <t>48,01</t>
        </is>
      </c>
      <c r="M357" s="63" t="inlineStr">
        <is>
          <t>0,00</t>
        </is>
      </c>
    </row>
    <row r="358">
      <c r="A358" s="66" t="n">
        <v>46171</v>
      </c>
      <c r="B358" s="65" t="inlineStr">
        <is>
          <t>PUSD1/2026/00355</t>
        </is>
      </c>
      <c r="C358" s="65" t="n">
        <v>667</v>
      </c>
      <c r="D358" s="65" t="inlineStr">
        <is>
          <t>Megacar2020.c.a</t>
        </is>
      </c>
      <c r="E358" s="63" t="inlineStr">
        <is>
          <t>20,00</t>
        </is>
      </c>
      <c r="F358" s="65" t="inlineStr">
        <is>
          <t>USD</t>
        </is>
      </c>
      <c r="G358" s="65" t="inlineStr">
        <is>
          <t>Efectivo moneda extrajera (USD)</t>
        </is>
      </c>
      <c r="H358" s="63" t="inlineStr">
        <is>
          <t>20,00</t>
        </is>
      </c>
      <c r="I358" s="65" t="n">
        <v>135</v>
      </c>
      <c r="J358" s="65" t="inlineStr">
        <is>
          <t>00-00000568</t>
        </is>
      </c>
      <c r="K358" s="66" t="n">
        <v>46182</v>
      </c>
      <c r="L358" s="63" t="inlineStr">
        <is>
          <t>0,00</t>
        </is>
      </c>
      <c r="M358" s="63" t="inlineStr">
        <is>
          <t>0,00</t>
        </is>
      </c>
    </row>
    <row r="359">
      <c r="A359" s="66" t="n">
        <v>46171</v>
      </c>
      <c r="B359" s="65" t="inlineStr">
        <is>
          <t>PUSD1/2026/00267</t>
        </is>
      </c>
      <c r="C359" s="65" t="n">
        <v>540</v>
      </c>
      <c r="D359" s="65" t="inlineStr">
        <is>
          <t>Inversiones Vercris 17 C.A</t>
        </is>
      </c>
      <c r="E359" s="63" t="inlineStr">
        <is>
          <t>60,00</t>
        </is>
      </c>
      <c r="F359" s="65" t="inlineStr">
        <is>
          <t>USD</t>
        </is>
      </c>
      <c r="G359" s="65" t="inlineStr">
        <is>
          <t>Efectivo moneda extrajera (USD)</t>
        </is>
      </c>
      <c r="H359" s="63" t="inlineStr">
        <is>
          <t>60,00</t>
        </is>
      </c>
      <c r="I359" s="65" t="n"/>
      <c r="J359" s="65" t="n"/>
      <c r="K359" s="65" t="n"/>
      <c r="L359" s="65" t="n"/>
      <c r="M359" s="65" t="n"/>
    </row>
    <row r="360">
      <c r="A360" s="66" t="n">
        <v>46171</v>
      </c>
      <c r="B360" s="65" t="inlineStr">
        <is>
          <t>PUSD1/2026/00266</t>
        </is>
      </c>
      <c r="C360" s="65" t="n">
        <v>539</v>
      </c>
      <c r="D360" s="65" t="inlineStr">
        <is>
          <t>Wili Mervin León Romero</t>
        </is>
      </c>
      <c r="E360" s="63" t="inlineStr">
        <is>
          <t>40,00</t>
        </is>
      </c>
      <c r="F360" s="65" t="inlineStr">
        <is>
          <t>USD</t>
        </is>
      </c>
      <c r="G360" s="65" t="inlineStr">
        <is>
          <t>Efectivo moneda extrajera (USD)</t>
        </is>
      </c>
      <c r="H360" s="63" t="inlineStr">
        <is>
          <t>40,00</t>
        </is>
      </c>
      <c r="I360" s="65" t="n"/>
      <c r="J360" s="65" t="n"/>
      <c r="K360" s="65" t="n"/>
      <c r="L360" s="65" t="n"/>
      <c r="M360" s="65" t="n"/>
    </row>
    <row r="361">
      <c r="A361" s="66" t="n">
        <v>46171</v>
      </c>
      <c r="B361" s="65" t="inlineStr">
        <is>
          <t>PUSD1/2026/00265</t>
        </is>
      </c>
      <c r="C361" s="65" t="n">
        <v>541</v>
      </c>
      <c r="D361" s="65" t="inlineStr">
        <is>
          <t>Inversiones Brayan CT C.A</t>
        </is>
      </c>
      <c r="E361" s="63" t="inlineStr">
        <is>
          <t>40,00</t>
        </is>
      </c>
      <c r="F361" s="65" t="inlineStr">
        <is>
          <t>USD</t>
        </is>
      </c>
      <c r="G361" s="65" t="inlineStr">
        <is>
          <t>Efectivo moneda extrajera (USD)</t>
        </is>
      </c>
      <c r="H361" s="63" t="inlineStr">
        <is>
          <t>40,00</t>
        </is>
      </c>
      <c r="I361" s="65" t="n"/>
      <c r="J361" s="65" t="n"/>
      <c r="K361" s="65" t="n"/>
      <c r="L361" s="65" t="n"/>
      <c r="M361" s="65" t="n"/>
    </row>
    <row r="362">
      <c r="A362" s="66" t="n">
        <v>46171</v>
      </c>
      <c r="B362" s="65" t="inlineStr">
        <is>
          <t>PUSD1/2026/00264</t>
        </is>
      </c>
      <c r="C362" s="65" t="n">
        <v>538</v>
      </c>
      <c r="D362" s="65" t="inlineStr">
        <is>
          <t>SJMG 2012 C.A</t>
        </is>
      </c>
      <c r="E362" s="63" t="inlineStr">
        <is>
          <t>310,00</t>
        </is>
      </c>
      <c r="F362" s="65" t="inlineStr">
        <is>
          <t>USD</t>
        </is>
      </c>
      <c r="G362" s="65" t="inlineStr">
        <is>
          <t>Efectivo moneda extrajera (USD)</t>
        </is>
      </c>
      <c r="H362" s="63" t="inlineStr">
        <is>
          <t>310,00</t>
        </is>
      </c>
      <c r="I362" s="65" t="n"/>
      <c r="J362" s="65" t="n"/>
      <c r="K362" s="65" t="n"/>
      <c r="L362" s="65" t="n"/>
      <c r="M362" s="65" t="n"/>
    </row>
    <row r="363">
      <c r="A363" s="66" t="n">
        <v>46171</v>
      </c>
      <c r="B363" s="65" t="inlineStr">
        <is>
          <t>PBAMI/2026/00258</t>
        </is>
      </c>
      <c r="C363" s="65" t="n">
        <v>985</v>
      </c>
      <c r="D363" s="65" t="inlineStr">
        <is>
          <t>Almacenadora X7, C.A</t>
        </is>
      </c>
      <c r="E363" s="63" t="inlineStr">
        <is>
          <t>141.990,37</t>
        </is>
      </c>
      <c r="F363" s="65" t="inlineStr">
        <is>
          <t>VES</t>
        </is>
      </c>
      <c r="G363" s="65" t="inlineStr">
        <is>
          <t>Banco Bancamiga 7806</t>
        </is>
      </c>
      <c r="H363" s="63" t="inlineStr">
        <is>
          <t>258,46</t>
        </is>
      </c>
      <c r="I363" s="65" t="n">
        <v>104</v>
      </c>
      <c r="J363" s="65" t="inlineStr">
        <is>
          <t>00-00000463</t>
        </is>
      </c>
      <c r="K363" s="66" t="n">
        <v>46171</v>
      </c>
      <c r="L363" s="63" t="inlineStr">
        <is>
          <t>0,00</t>
        </is>
      </c>
      <c r="M363" s="63" t="inlineStr">
        <is>
          <t>0,00</t>
        </is>
      </c>
    </row>
    <row r="364">
      <c r="A364" s="66" t="n">
        <v>46171</v>
      </c>
      <c r="B364" s="65" t="inlineStr">
        <is>
          <t>PBAMI/2026/00252</t>
        </is>
      </c>
      <c r="C364" s="65" t="n">
        <v>543</v>
      </c>
      <c r="D364" s="65" t="inlineStr">
        <is>
          <t>Yeifri Alexander Marquez Zerpa</t>
        </is>
      </c>
      <c r="E364" s="63" t="inlineStr">
        <is>
          <t>105.163,80</t>
        </is>
      </c>
      <c r="F364" s="65" t="inlineStr">
        <is>
          <t>VES</t>
        </is>
      </c>
      <c r="G364" s="65" t="inlineStr">
        <is>
          <t>Banco Bancamiga 7806</t>
        </is>
      </c>
      <c r="H364" s="63" t="inlineStr">
        <is>
          <t>191,43</t>
        </is>
      </c>
      <c r="I364" s="65" t="n"/>
      <c r="J364" s="65" t="n"/>
      <c r="K364" s="65" t="n"/>
      <c r="L364" s="65" t="n"/>
      <c r="M364" s="65" t="n"/>
    </row>
    <row r="365">
      <c r="A365" s="66" t="n">
        <v>46171</v>
      </c>
      <c r="B365" s="65" t="inlineStr">
        <is>
          <t>PBAMI/2026/00214</t>
        </is>
      </c>
      <c r="C365" s="65" t="n">
        <v>870</v>
      </c>
      <c r="D365" s="65" t="inlineStr">
        <is>
          <t>Antonio Terán</t>
        </is>
      </c>
      <c r="E365" s="63" t="inlineStr">
        <is>
          <t>147.680,00</t>
        </is>
      </c>
      <c r="F365" s="65" t="inlineStr">
        <is>
          <t>VES</t>
        </is>
      </c>
      <c r="G365" s="65" t="inlineStr">
        <is>
          <t>Banco Bancamiga 7806</t>
        </is>
      </c>
      <c r="H365" s="63" t="inlineStr">
        <is>
          <t>268,82</t>
        </is>
      </c>
      <c r="I365" s="65" t="n">
        <v>351</v>
      </c>
      <c r="J365" s="65" t="inlineStr">
        <is>
          <t>00-00000894</t>
        </is>
      </c>
      <c r="K365" s="66" t="n">
        <v>46216</v>
      </c>
      <c r="L365" s="63" t="inlineStr">
        <is>
          <t>0,00</t>
        </is>
      </c>
      <c r="M365" s="63" t="inlineStr">
        <is>
          <t>0,00</t>
        </is>
      </c>
    </row>
    <row r="366">
      <c r="A366" s="66" t="n">
        <v>46171</v>
      </c>
      <c r="B366" s="65" t="inlineStr">
        <is>
          <t>PBAMI/2026/00134</t>
        </is>
      </c>
      <c r="C366" s="65" t="n">
        <v>555</v>
      </c>
      <c r="D366" s="65" t="inlineStr">
        <is>
          <t>EMPRENDIMIENTO TOMAS MARCANO 5</t>
        </is>
      </c>
      <c r="E366" s="63" t="inlineStr">
        <is>
          <t>12.803,00</t>
        </is>
      </c>
      <c r="F366" s="65" t="inlineStr">
        <is>
          <t>VES</t>
        </is>
      </c>
      <c r="G366" s="65" t="inlineStr">
        <is>
          <t>Banco Bancamiga 7806</t>
        </is>
      </c>
      <c r="H366" s="63" t="inlineStr">
        <is>
          <t>23,30</t>
        </is>
      </c>
      <c r="I366" s="65" t="n">
        <v>270</v>
      </c>
      <c r="J366" s="65" t="inlineStr">
        <is>
          <t>00-00000807</t>
        </is>
      </c>
      <c r="K366" s="66" t="n">
        <v>46214</v>
      </c>
      <c r="L366" s="63" t="inlineStr">
        <is>
          <t>442,07</t>
        </is>
      </c>
      <c r="M366" s="63" t="inlineStr">
        <is>
          <t>0,00</t>
        </is>
      </c>
    </row>
    <row r="367">
      <c r="A367" s="66" t="n">
        <v>46171</v>
      </c>
      <c r="B367" s="65" t="inlineStr">
        <is>
          <t>PBAMI/2026/00133</t>
        </is>
      </c>
      <c r="C367" s="65" t="n">
        <v>535</v>
      </c>
      <c r="D367" s="65" t="inlineStr">
        <is>
          <t>Multiservicios gochi express 2024, c.a</t>
        </is>
      </c>
      <c r="E367" s="63" t="inlineStr">
        <is>
          <t>223.133,00</t>
        </is>
      </c>
      <c r="F367" s="65" t="inlineStr">
        <is>
          <t>VES</t>
        </is>
      </c>
      <c r="G367" s="65" t="inlineStr">
        <is>
          <t>Banco Bancamiga 7806</t>
        </is>
      </c>
      <c r="H367" s="63" t="inlineStr">
        <is>
          <t>406,16</t>
        </is>
      </c>
      <c r="I367" s="65" t="n"/>
      <c r="J367" s="65" t="n"/>
      <c r="K367" s="65" t="n"/>
      <c r="L367" s="65" t="n"/>
      <c r="M367" s="65" t="n"/>
    </row>
    <row r="368">
      <c r="A368" s="66" t="n">
        <v>46171</v>
      </c>
      <c r="B368" s="65" t="inlineStr">
        <is>
          <t>PBAMI/2026/00132</t>
        </is>
      </c>
      <c r="C368" s="65" t="n">
        <v>536</v>
      </c>
      <c r="D368" s="65" t="inlineStr">
        <is>
          <t>INVERSIONES BECLA PARTS C.A.</t>
        </is>
      </c>
      <c r="E368" s="63" t="inlineStr">
        <is>
          <t>54.937,00</t>
        </is>
      </c>
      <c r="F368" s="65" t="inlineStr">
        <is>
          <t>VES</t>
        </is>
      </c>
      <c r="G368" s="65" t="inlineStr">
        <is>
          <t>Banco Bancamiga 7806</t>
        </is>
      </c>
      <c r="H368" s="63" t="inlineStr">
        <is>
          <t>100,00</t>
        </is>
      </c>
      <c r="I368" s="65" t="n">
        <v>179</v>
      </c>
      <c r="J368" s="65" t="inlineStr">
        <is>
          <t>00-00000630</t>
        </is>
      </c>
      <c r="K368" s="66" t="n">
        <v>46188</v>
      </c>
      <c r="L368" s="63" t="inlineStr">
        <is>
          <t>0,00</t>
        </is>
      </c>
      <c r="M368" s="63" t="inlineStr">
        <is>
          <t>0,00</t>
        </is>
      </c>
    </row>
    <row r="369">
      <c r="A369" s="66" t="n">
        <v>46171</v>
      </c>
      <c r="B369" s="65" t="inlineStr">
        <is>
          <t>PBAMI/2026/00131</t>
        </is>
      </c>
      <c r="C369" s="65" t="n">
        <v>544</v>
      </c>
      <c r="D369" s="65" t="inlineStr">
        <is>
          <t>ADS SERVICE C.A</t>
        </is>
      </c>
      <c r="E369" s="63" t="inlineStr">
        <is>
          <t>74.639,00</t>
        </is>
      </c>
      <c r="F369" s="65" t="inlineStr">
        <is>
          <t>VES</t>
        </is>
      </c>
      <c r="G369" s="65" t="inlineStr">
        <is>
          <t>Banco Bancamiga 7806</t>
        </is>
      </c>
      <c r="H369" s="63" t="inlineStr">
        <is>
          <t>135,86</t>
        </is>
      </c>
      <c r="I369" s="65" t="n">
        <v>136</v>
      </c>
      <c r="J369" s="65" t="inlineStr">
        <is>
          <t>00-00000569</t>
        </is>
      </c>
      <c r="K369" s="66" t="n">
        <v>46184</v>
      </c>
      <c r="L369" s="63" t="inlineStr">
        <is>
          <t>0,00</t>
        </is>
      </c>
      <c r="M369" s="63" t="inlineStr">
        <is>
          <t>0,00</t>
        </is>
      </c>
    </row>
    <row r="370">
      <c r="A370" s="66" t="n">
        <v>46171</v>
      </c>
      <c r="B370" s="65" t="inlineStr">
        <is>
          <t>PBAMI/2026/00130</t>
        </is>
      </c>
      <c r="C370" s="65" t="n">
        <v>537</v>
      </c>
      <c r="D370" s="65" t="inlineStr">
        <is>
          <t>MOTO MARCE 21, CA</t>
        </is>
      </c>
      <c r="E370" s="63" t="inlineStr">
        <is>
          <t>40.821,72</t>
        </is>
      </c>
      <c r="F370" s="65" t="inlineStr">
        <is>
          <t>VES</t>
        </is>
      </c>
      <c r="G370" s="65" t="inlineStr">
        <is>
          <t>Banco Bancamiga 7806</t>
        </is>
      </c>
      <c r="H370" s="63" t="inlineStr">
        <is>
          <t>74,31</t>
        </is>
      </c>
      <c r="I370" s="65" t="n">
        <v>220</v>
      </c>
      <c r="J370" s="65" t="inlineStr">
        <is>
          <t>00-00000742</t>
        </is>
      </c>
      <c r="K370" s="66" t="n">
        <v>46210</v>
      </c>
      <c r="L370" s="63" t="inlineStr">
        <is>
          <t>0,00</t>
        </is>
      </c>
      <c r="M370" s="63" t="inlineStr">
        <is>
          <t>0,00</t>
        </is>
      </c>
    </row>
    <row r="371">
      <c r="A371" s="66" t="n">
        <v>46171</v>
      </c>
      <c r="B371" s="65" t="inlineStr">
        <is>
          <t>PBAMI/2026/00129</t>
        </is>
      </c>
      <c r="C371" s="65" t="n">
        <v>534</v>
      </c>
      <c r="D371" s="65" t="inlineStr">
        <is>
          <t>LA CASA DE LAS BATERIAS</t>
        </is>
      </c>
      <c r="E371" s="63" t="inlineStr">
        <is>
          <t>25.271,02</t>
        </is>
      </c>
      <c r="F371" s="65" t="inlineStr">
        <is>
          <t>VES</t>
        </is>
      </c>
      <c r="G371" s="65" t="inlineStr">
        <is>
          <t>Banco Bancamiga 7806</t>
        </is>
      </c>
      <c r="H371" s="63" t="inlineStr">
        <is>
          <t>46,00</t>
        </is>
      </c>
      <c r="I371" s="65" t="n"/>
      <c r="J371" s="65" t="n"/>
      <c r="K371" s="65" t="n"/>
      <c r="L371" s="65" t="n"/>
      <c r="M371" s="65" t="n"/>
    </row>
    <row r="372">
      <c r="A372" s="66" t="n">
        <v>46170</v>
      </c>
      <c r="B372" s="65" t="inlineStr">
        <is>
          <t>PUSD1/2026/00441</t>
        </is>
      </c>
      <c r="C372" s="65" t="n">
        <v>521</v>
      </c>
      <c r="D372" s="65" t="inlineStr">
        <is>
          <t>Automecanica Marilu 2014, C.A</t>
        </is>
      </c>
      <c r="E372" s="63" t="inlineStr">
        <is>
          <t>40,00</t>
        </is>
      </c>
      <c r="F372" s="65" t="inlineStr">
        <is>
          <t>USD</t>
        </is>
      </c>
      <c r="G372" s="65" t="inlineStr">
        <is>
          <t>Efectivo moneda extrajera (USD)</t>
        </is>
      </c>
      <c r="H372" s="63" t="inlineStr">
        <is>
          <t>40,00</t>
        </is>
      </c>
      <c r="I372" s="65" t="n"/>
      <c r="J372" s="65" t="n"/>
      <c r="K372" s="65" t="n"/>
      <c r="L372" s="65" t="n"/>
      <c r="M372" s="65" t="n"/>
    </row>
    <row r="373">
      <c r="A373" s="66" t="n">
        <v>46170</v>
      </c>
      <c r="B373" s="65" t="inlineStr">
        <is>
          <t>PUSD1/2026/00440</t>
        </is>
      </c>
      <c r="C373" s="65" t="n">
        <v>520</v>
      </c>
      <c r="D373" s="65" t="inlineStr">
        <is>
          <t>Autorepuestos Pitstop,c.a.</t>
        </is>
      </c>
      <c r="E373" s="63" t="inlineStr">
        <is>
          <t>100,00</t>
        </is>
      </c>
      <c r="F373" s="65" t="inlineStr">
        <is>
          <t>USD</t>
        </is>
      </c>
      <c r="G373" s="65" t="inlineStr">
        <is>
          <t>Efectivo moneda extrajera (USD)</t>
        </is>
      </c>
      <c r="H373" s="63" t="inlineStr">
        <is>
          <t>100,00</t>
        </is>
      </c>
      <c r="I373" s="65" t="n"/>
      <c r="J373" s="65" t="n"/>
      <c r="K373" s="65" t="n"/>
      <c r="L373" s="65" t="n"/>
      <c r="M373" s="65" t="n"/>
    </row>
    <row r="374">
      <c r="A374" s="66" t="n">
        <v>46170</v>
      </c>
      <c r="B374" s="65" t="inlineStr">
        <is>
          <t>PUSD1/2026/00439</t>
        </is>
      </c>
      <c r="C374" s="65" t="n">
        <v>522</v>
      </c>
      <c r="D374" s="65" t="inlineStr">
        <is>
          <t>Emprendimiento Eduardo Pérez 6</t>
        </is>
      </c>
      <c r="E374" s="63" t="inlineStr">
        <is>
          <t>40,00</t>
        </is>
      </c>
      <c r="F374" s="65" t="inlineStr">
        <is>
          <t>USD</t>
        </is>
      </c>
      <c r="G374" s="65" t="inlineStr">
        <is>
          <t>Efectivo moneda extrajera (USD)</t>
        </is>
      </c>
      <c r="H374" s="63" t="inlineStr">
        <is>
          <t>40,00</t>
        </is>
      </c>
      <c r="I374" s="65" t="n"/>
      <c r="J374" s="65" t="n"/>
      <c r="K374" s="65" t="n"/>
      <c r="L374" s="65" t="n"/>
      <c r="M374" s="65" t="n"/>
    </row>
    <row r="375">
      <c r="A375" s="66" t="n">
        <v>46170</v>
      </c>
      <c r="B375" s="65" t="inlineStr">
        <is>
          <t>PUSD1/2026/00263</t>
        </is>
      </c>
      <c r="C375" s="65" t="n">
        <v>529</v>
      </c>
      <c r="D375" s="65" t="inlineStr">
        <is>
          <t>Edward Belén</t>
        </is>
      </c>
      <c r="E375" s="63" t="inlineStr">
        <is>
          <t>161,00</t>
        </is>
      </c>
      <c r="F375" s="65" t="inlineStr">
        <is>
          <t>USD</t>
        </is>
      </c>
      <c r="G375" s="65" t="inlineStr">
        <is>
          <t>Efectivo moneda extrajera (USD)</t>
        </is>
      </c>
      <c r="H375" s="63" t="inlineStr">
        <is>
          <t>161,00</t>
        </is>
      </c>
      <c r="I375" s="65" t="n"/>
      <c r="J375" s="65" t="n"/>
      <c r="K375" s="65" t="n"/>
      <c r="L375" s="65" t="n"/>
      <c r="M375" s="65" t="n"/>
    </row>
    <row r="376">
      <c r="A376" s="66" t="n">
        <v>46170</v>
      </c>
      <c r="B376" s="65" t="inlineStr">
        <is>
          <t>PUSD1/2026/00262</t>
        </is>
      </c>
      <c r="C376" s="65" t="n">
        <v>528</v>
      </c>
      <c r="D376" s="65" t="inlineStr">
        <is>
          <t>Jefferson rosales</t>
        </is>
      </c>
      <c r="E376" s="63" t="inlineStr">
        <is>
          <t>40,00</t>
        </is>
      </c>
      <c r="F376" s="65" t="inlineStr">
        <is>
          <t>USD</t>
        </is>
      </c>
      <c r="G376" s="65" t="inlineStr">
        <is>
          <t>Efectivo moneda extrajera (USD)</t>
        </is>
      </c>
      <c r="H376" s="63" t="inlineStr">
        <is>
          <t>40,00</t>
        </is>
      </c>
      <c r="I376" s="65" t="n"/>
      <c r="J376" s="65" t="n"/>
      <c r="K376" s="65" t="n"/>
      <c r="L376" s="65" t="n"/>
      <c r="M376" s="65" t="n"/>
    </row>
    <row r="377">
      <c r="A377" s="66" t="n">
        <v>46170</v>
      </c>
      <c r="B377" s="65" t="inlineStr">
        <is>
          <t>PUSD1/2026/00261</t>
        </is>
      </c>
      <c r="C377" s="65" t="n">
        <v>527</v>
      </c>
      <c r="D377" s="65" t="inlineStr">
        <is>
          <t>Jorge Luis camacaro</t>
        </is>
      </c>
      <c r="E377" s="63" t="inlineStr">
        <is>
          <t>30,00</t>
        </is>
      </c>
      <c r="F377" s="65" t="inlineStr">
        <is>
          <t>USD</t>
        </is>
      </c>
      <c r="G377" s="65" t="inlineStr">
        <is>
          <t>Efectivo moneda extrajera (USD)</t>
        </is>
      </c>
      <c r="H377" s="63" t="inlineStr">
        <is>
          <t>30,00</t>
        </is>
      </c>
      <c r="I377" s="65" t="n"/>
      <c r="J377" s="65" t="n"/>
      <c r="K377" s="65" t="n"/>
      <c r="L377" s="65" t="n"/>
      <c r="M377" s="65" t="n"/>
    </row>
    <row r="378">
      <c r="A378" s="66" t="n">
        <v>46170</v>
      </c>
      <c r="B378" s="65" t="inlineStr">
        <is>
          <t>PUSD1/2026/00260</t>
        </is>
      </c>
      <c r="C378" s="65" t="n">
        <v>516</v>
      </c>
      <c r="D378" s="65" t="inlineStr">
        <is>
          <t>Constructora Campo Urbano,c.a.</t>
        </is>
      </c>
      <c r="E378" s="63" t="inlineStr">
        <is>
          <t>200,00</t>
        </is>
      </c>
      <c r="F378" s="65" t="inlineStr">
        <is>
          <t>USD</t>
        </is>
      </c>
      <c r="G378" s="65" t="inlineStr">
        <is>
          <t>Efectivo moneda extrajera (USD)</t>
        </is>
      </c>
      <c r="H378" s="63" t="inlineStr">
        <is>
          <t>200,00</t>
        </is>
      </c>
      <c r="I378" s="65" t="n">
        <v>137</v>
      </c>
      <c r="J378" s="65" t="inlineStr">
        <is>
          <t>00-00000570</t>
        </is>
      </c>
      <c r="K378" s="66" t="n">
        <v>46184</v>
      </c>
      <c r="L378" s="63" t="inlineStr">
        <is>
          <t>0,01</t>
        </is>
      </c>
      <c r="M378" s="63" t="inlineStr">
        <is>
          <t>0,00</t>
        </is>
      </c>
    </row>
    <row r="379">
      <c r="A379" s="66" t="n">
        <v>46170</v>
      </c>
      <c r="B379" s="65" t="inlineStr">
        <is>
          <t>PBDV/2026/00045</t>
        </is>
      </c>
      <c r="C379" s="65" t="n">
        <v>545</v>
      </c>
      <c r="D379" s="65" t="inlineStr">
        <is>
          <t>DISTRIBUIDORA PINOS 181297 C.A</t>
        </is>
      </c>
      <c r="E379" s="63" t="inlineStr">
        <is>
          <t>42.246,55</t>
        </is>
      </c>
      <c r="F379" s="65" t="inlineStr">
        <is>
          <t>VES</t>
        </is>
      </c>
      <c r="G379" s="65" t="inlineStr">
        <is>
          <t>Banco de Venezuela 6891</t>
        </is>
      </c>
      <c r="H379" s="63" t="inlineStr">
        <is>
          <t>77,58</t>
        </is>
      </c>
      <c r="I379" s="65" t="n"/>
      <c r="J379" s="65" t="n"/>
      <c r="K379" s="65" t="n"/>
      <c r="L379" s="65" t="n"/>
      <c r="M379" s="65" t="n"/>
    </row>
    <row r="380">
      <c r="A380" s="66" t="n">
        <v>46170</v>
      </c>
      <c r="B380" s="65" t="inlineStr">
        <is>
          <t>PBDV/2026/00042</t>
        </is>
      </c>
      <c r="C380" s="65" t="n">
        <v>526</v>
      </c>
      <c r="D380" s="65" t="inlineStr">
        <is>
          <t>Moto repuestos jj</t>
        </is>
      </c>
      <c r="E380" s="63" t="inlineStr">
        <is>
          <t>39.737,81</t>
        </is>
      </c>
      <c r="F380" s="65" t="inlineStr">
        <is>
          <t>VES</t>
        </is>
      </c>
      <c r="G380" s="65" t="inlineStr">
        <is>
          <t>Banco de Venezuela 6891</t>
        </is>
      </c>
      <c r="H380" s="63" t="inlineStr">
        <is>
          <t>72,97</t>
        </is>
      </c>
      <c r="I380" s="65" t="n"/>
      <c r="J380" s="65" t="n"/>
      <c r="K380" s="65" t="n"/>
      <c r="L380" s="65" t="n"/>
      <c r="M380" s="65" t="n"/>
    </row>
    <row r="381">
      <c r="A381" s="66" t="n">
        <v>46170</v>
      </c>
      <c r="B381" s="65" t="inlineStr">
        <is>
          <t>PBAMI/2026/00267</t>
        </is>
      </c>
      <c r="C381" s="65" t="n">
        <v>1000</v>
      </c>
      <c r="D381" s="65" t="inlineStr">
        <is>
          <t>Jhoe Zamora</t>
        </is>
      </c>
      <c r="E381" s="63" t="inlineStr">
        <is>
          <t>54.500,00</t>
        </is>
      </c>
      <c r="F381" s="65" t="inlineStr">
        <is>
          <t>VES</t>
        </is>
      </c>
      <c r="G381" s="65" t="inlineStr">
        <is>
          <t>Banco Bancamiga 7806</t>
        </is>
      </c>
      <c r="H381" s="63" t="inlineStr">
        <is>
          <t>100,08</t>
        </is>
      </c>
      <c r="I381" s="65" t="n"/>
      <c r="J381" s="65" t="n"/>
      <c r="K381" s="65" t="n"/>
      <c r="L381" s="65" t="n"/>
      <c r="M381" s="65" t="n"/>
    </row>
    <row r="382">
      <c r="A382" s="66" t="n">
        <v>46170</v>
      </c>
      <c r="B382" s="65" t="inlineStr">
        <is>
          <t>PBAMI/2026/00259</t>
        </is>
      </c>
      <c r="C382" s="65" t="n">
        <v>987</v>
      </c>
      <c r="D382" s="65" t="inlineStr">
        <is>
          <t>Jefferson rosales</t>
        </is>
      </c>
      <c r="E382" s="63" t="inlineStr">
        <is>
          <t>1.633,54</t>
        </is>
      </c>
      <c r="F382" s="65" t="inlineStr">
        <is>
          <t>VES</t>
        </is>
      </c>
      <c r="G382" s="65" t="inlineStr">
        <is>
          <t>Banco Bancamiga 7806</t>
        </is>
      </c>
      <c r="H382" s="63" t="inlineStr">
        <is>
          <t>3,00</t>
        </is>
      </c>
      <c r="I382" s="65" t="n"/>
      <c r="J382" s="65" t="n"/>
      <c r="K382" s="65" t="n"/>
      <c r="L382" s="65" t="n"/>
      <c r="M382" s="65" t="n"/>
    </row>
    <row r="383">
      <c r="A383" s="66" t="n">
        <v>46170</v>
      </c>
      <c r="B383" s="65" t="inlineStr">
        <is>
          <t>PBAMI/2026/00135</t>
        </is>
      </c>
      <c r="C383" s="65" t="n">
        <v>531</v>
      </c>
      <c r="D383" s="65" t="inlineStr">
        <is>
          <t>Inversiones DSM 2706, c.a.</t>
        </is>
      </c>
      <c r="E383" s="63" t="inlineStr">
        <is>
          <t>27.228,50</t>
        </is>
      </c>
      <c r="F383" s="65" t="inlineStr">
        <is>
          <t>VES</t>
        </is>
      </c>
      <c r="G383" s="65" t="inlineStr">
        <is>
          <t>Banco Bancamiga 7806</t>
        </is>
      </c>
      <c r="H383" s="63" t="inlineStr">
        <is>
          <t>50,00</t>
        </is>
      </c>
      <c r="I383" s="65" t="n">
        <v>285</v>
      </c>
      <c r="J383" s="65" t="inlineStr">
        <is>
          <t>00-00000823</t>
        </is>
      </c>
      <c r="K383" s="66" t="n">
        <v>46214</v>
      </c>
      <c r="L383" s="63" t="inlineStr">
        <is>
          <t>321,22</t>
        </is>
      </c>
      <c r="M383" s="63" t="inlineStr">
        <is>
          <t>0,00</t>
        </is>
      </c>
    </row>
    <row r="384">
      <c r="A384" s="66" t="n">
        <v>46170</v>
      </c>
      <c r="B384" s="65" t="inlineStr">
        <is>
          <t>PBAMI/2026/00128</t>
        </is>
      </c>
      <c r="C384" s="65" t="n">
        <v>533</v>
      </c>
      <c r="D384" s="65" t="n"/>
      <c r="E384" s="63" t="inlineStr">
        <is>
          <t>54.500,00</t>
        </is>
      </c>
      <c r="F384" s="65" t="inlineStr">
        <is>
          <t>VES</t>
        </is>
      </c>
      <c r="G384" s="65" t="inlineStr">
        <is>
          <t>Banco Bancamiga 7806</t>
        </is>
      </c>
      <c r="H384" s="63" t="inlineStr">
        <is>
          <t>100,08</t>
        </is>
      </c>
      <c r="I384" s="65" t="n"/>
      <c r="J384" s="65" t="n"/>
      <c r="K384" s="65" t="n"/>
      <c r="L384" s="65" t="n"/>
      <c r="M384" s="65" t="n"/>
    </row>
    <row r="385">
      <c r="A385" s="66" t="n">
        <v>46170</v>
      </c>
      <c r="B385" s="65" t="inlineStr">
        <is>
          <t>PBAMI/2026/00126</t>
        </is>
      </c>
      <c r="C385" s="65" t="n">
        <v>518</v>
      </c>
      <c r="D385" s="65" t="inlineStr">
        <is>
          <t>PROYECTO MAQUIVEIRO 21 C.A.</t>
        </is>
      </c>
      <c r="E385" s="63" t="inlineStr">
        <is>
          <t>103.550,00</t>
        </is>
      </c>
      <c r="F385" s="65" t="inlineStr">
        <is>
          <t>VES</t>
        </is>
      </c>
      <c r="G385" s="65" t="inlineStr">
        <is>
          <t>Banco Bancamiga 7806</t>
        </is>
      </c>
      <c r="H385" s="63" t="inlineStr">
        <is>
          <t>190,15</t>
        </is>
      </c>
      <c r="I385" s="65" t="n">
        <v>117</v>
      </c>
      <c r="J385" s="65" t="inlineStr">
        <is>
          <t>00-00000489</t>
        </is>
      </c>
      <c r="K385" s="66" t="n">
        <v>46175</v>
      </c>
      <c r="L385" s="63" t="inlineStr">
        <is>
          <t>0,00</t>
        </is>
      </c>
      <c r="M385" s="63" t="inlineStr">
        <is>
          <t>0,00</t>
        </is>
      </c>
    </row>
    <row r="386">
      <c r="A386" s="66" t="n">
        <v>46170</v>
      </c>
      <c r="B386" s="65" t="inlineStr">
        <is>
          <t>PBAMI/2026/00125</t>
        </is>
      </c>
      <c r="C386" s="65" t="n">
        <v>525</v>
      </c>
      <c r="D386" s="65" t="inlineStr">
        <is>
          <t>Distribuidora El Frenazo</t>
        </is>
      </c>
      <c r="E386" s="63" t="inlineStr">
        <is>
          <t>68.415,98</t>
        </is>
      </c>
      <c r="F386" s="65" t="inlineStr">
        <is>
          <t>VES</t>
        </is>
      </c>
      <c r="G386" s="65" t="inlineStr">
        <is>
          <t>Banco Bancamiga 7806</t>
        </is>
      </c>
      <c r="H386" s="63" t="inlineStr">
        <is>
          <t>125,63</t>
        </is>
      </c>
      <c r="I386" s="65" t="n">
        <v>92</v>
      </c>
      <c r="J386" s="65" t="inlineStr">
        <is>
          <t>00-00000439</t>
        </is>
      </c>
      <c r="K386" s="66" t="n">
        <v>46168</v>
      </c>
      <c r="L386" s="63" t="inlineStr">
        <is>
          <t>15,37</t>
        </is>
      </c>
      <c r="M386" s="63" t="inlineStr">
        <is>
          <t>0,00</t>
        </is>
      </c>
    </row>
    <row r="387">
      <c r="A387" s="66" t="n">
        <v>46170</v>
      </c>
      <c r="B387" s="65" t="inlineStr">
        <is>
          <t>PBAMI/2026/00124</t>
        </is>
      </c>
      <c r="C387" s="65" t="n">
        <v>517</v>
      </c>
      <c r="D387" s="65" t="inlineStr">
        <is>
          <t>Jose Lopez Espinoza</t>
        </is>
      </c>
      <c r="E387" s="63" t="inlineStr">
        <is>
          <t>61.537,47</t>
        </is>
      </c>
      <c r="F387" s="65" t="inlineStr">
        <is>
          <t>VES</t>
        </is>
      </c>
      <c r="G387" s="65" t="inlineStr">
        <is>
          <t>Banco Bancamiga 7806</t>
        </is>
      </c>
      <c r="H387" s="63" t="inlineStr">
        <is>
          <t>113,00</t>
        </is>
      </c>
      <c r="I387" s="65" t="n"/>
      <c r="J387" s="65" t="n"/>
      <c r="K387" s="65" t="n"/>
      <c r="L387" s="65" t="n"/>
      <c r="M387" s="65" t="n"/>
    </row>
    <row r="388">
      <c r="A388" s="66" t="n">
        <v>46170</v>
      </c>
      <c r="B388" s="65" t="inlineStr">
        <is>
          <t>PBAMI/2026/00123</t>
        </is>
      </c>
      <c r="C388" s="65" t="n">
        <v>519</v>
      </c>
      <c r="D388" s="65" t="inlineStr">
        <is>
          <t>Diana Carolina Torres</t>
        </is>
      </c>
      <c r="E388" s="63" t="inlineStr">
        <is>
          <t>32.675,00</t>
        </is>
      </c>
      <c r="F388" s="65" t="inlineStr">
        <is>
          <t>VES</t>
        </is>
      </c>
      <c r="G388" s="65" t="inlineStr">
        <is>
          <t>Banco Bancamiga 7806</t>
        </is>
      </c>
      <c r="H388" s="63" t="inlineStr">
        <is>
          <t>60,00</t>
        </is>
      </c>
      <c r="I388" s="65" t="n"/>
      <c r="J388" s="65" t="n"/>
      <c r="K388" s="65" t="n"/>
      <c r="L388" s="65" t="n"/>
      <c r="M388" s="65" t="n"/>
    </row>
    <row r="389">
      <c r="A389" s="66" t="n">
        <v>46169</v>
      </c>
      <c r="B389" s="65" t="inlineStr">
        <is>
          <t>PUSD1/2026/00493</t>
        </is>
      </c>
      <c r="C389" s="65" t="n">
        <v>988</v>
      </c>
      <c r="D389" s="65" t="inlineStr">
        <is>
          <t>AGROPECUARIA EL TORO DORADO, C.A</t>
        </is>
      </c>
      <c r="E389" s="63" t="inlineStr">
        <is>
          <t>225,00</t>
        </is>
      </c>
      <c r="F389" s="65" t="inlineStr">
        <is>
          <t>USD</t>
        </is>
      </c>
      <c r="G389" s="65" t="inlineStr">
        <is>
          <t>Efectivo moneda extrajera (USD)</t>
        </is>
      </c>
      <c r="H389" s="63" t="inlineStr">
        <is>
          <t>225,00</t>
        </is>
      </c>
      <c r="I389" s="65" t="n">
        <v>155</v>
      </c>
      <c r="J389" s="65" t="inlineStr">
        <is>
          <t>00-00000598</t>
        </is>
      </c>
      <c r="K389" s="66" t="n">
        <v>46185</v>
      </c>
      <c r="L389" s="63" t="inlineStr">
        <is>
          <t>0,00</t>
        </is>
      </c>
      <c r="M389" s="63" t="inlineStr">
        <is>
          <t>0,00</t>
        </is>
      </c>
    </row>
    <row r="390">
      <c r="A390" s="66" t="n">
        <v>46169</v>
      </c>
      <c r="B390" s="65" t="inlineStr">
        <is>
          <t>PUSD1/2026/00477</t>
        </is>
      </c>
      <c r="C390" s="65" t="n">
        <v>507</v>
      </c>
      <c r="D390" s="65" t="inlineStr">
        <is>
          <t>Inversiones García GL C.A</t>
        </is>
      </c>
      <c r="E390" s="63" t="inlineStr">
        <is>
          <t>110,00</t>
        </is>
      </c>
      <c r="F390" s="65" t="inlineStr">
        <is>
          <t>USD</t>
        </is>
      </c>
      <c r="G390" s="65" t="inlineStr">
        <is>
          <t>Efectivo moneda extrajera (USD)</t>
        </is>
      </c>
      <c r="H390" s="63" t="inlineStr">
        <is>
          <t>110,00</t>
        </is>
      </c>
      <c r="I390" s="65" t="n"/>
      <c r="J390" s="65" t="n"/>
      <c r="K390" s="65" t="n"/>
      <c r="L390" s="65" t="n"/>
      <c r="M390" s="65" t="n"/>
    </row>
    <row r="391">
      <c r="A391" s="66" t="n">
        <v>46169</v>
      </c>
      <c r="B391" s="65" t="inlineStr">
        <is>
          <t>PUSD1/2026/00315</t>
        </is>
      </c>
      <c r="C391" s="65" t="n">
        <v>502</v>
      </c>
      <c r="D391" s="65" t="inlineStr">
        <is>
          <t>CLUDE CARVALHO DE ACOSTA</t>
        </is>
      </c>
      <c r="E391" s="63" t="inlineStr">
        <is>
          <t>1,00</t>
        </is>
      </c>
      <c r="F391" s="65" t="inlineStr">
        <is>
          <t>USD</t>
        </is>
      </c>
      <c r="G391" s="65" t="inlineStr">
        <is>
          <t>Efectivo moneda extrajera (USD)</t>
        </is>
      </c>
      <c r="H391" s="63" t="inlineStr">
        <is>
          <t>1,00</t>
        </is>
      </c>
      <c r="I391" s="65" t="n">
        <v>166</v>
      </c>
      <c r="J391" s="65" t="inlineStr">
        <is>
          <t>00-00000609</t>
        </is>
      </c>
      <c r="K391" s="66" t="n">
        <v>46185</v>
      </c>
      <c r="L391" s="63" t="inlineStr">
        <is>
          <t>0,00</t>
        </is>
      </c>
      <c r="M391" s="63" t="inlineStr">
        <is>
          <t>0,00</t>
        </is>
      </c>
    </row>
    <row r="392">
      <c r="A392" s="66" t="n">
        <v>46169</v>
      </c>
      <c r="B392" s="65" t="inlineStr">
        <is>
          <t>PUSD1/2026/00258</t>
        </is>
      </c>
      <c r="C392" s="65" t="n">
        <v>501</v>
      </c>
      <c r="D392" s="65" t="inlineStr">
        <is>
          <t>CLUDE CARVALHO DE ACOSTA</t>
        </is>
      </c>
      <c r="E392" s="63" t="inlineStr">
        <is>
          <t>49,00</t>
        </is>
      </c>
      <c r="F392" s="65" t="inlineStr">
        <is>
          <t>USD</t>
        </is>
      </c>
      <c r="G392" s="65" t="inlineStr">
        <is>
          <t>Efectivo moneda extrajera (USD)</t>
        </is>
      </c>
      <c r="H392" s="63" t="inlineStr">
        <is>
          <t>49,00</t>
        </is>
      </c>
      <c r="I392" s="65" t="n"/>
      <c r="J392" s="65" t="n"/>
      <c r="K392" s="65" t="n"/>
      <c r="L392" s="65" t="n"/>
      <c r="M392" s="65" t="n"/>
    </row>
    <row r="393">
      <c r="A393" s="66" t="n">
        <v>46169</v>
      </c>
      <c r="B393" s="65" t="inlineStr">
        <is>
          <t>PUSD1/2026/00257</t>
        </is>
      </c>
      <c r="C393" s="65" t="n">
        <v>508</v>
      </c>
      <c r="D393" s="65" t="inlineStr">
        <is>
          <t>EMPRENDIMIENTO IRMA RODRIGUEZ 6</t>
        </is>
      </c>
      <c r="E393" s="63" t="inlineStr">
        <is>
          <t>294,00</t>
        </is>
      </c>
      <c r="F393" s="65" t="inlineStr">
        <is>
          <t>USD</t>
        </is>
      </c>
      <c r="G393" s="65" t="inlineStr">
        <is>
          <t>Efectivo moneda extrajera (USD)</t>
        </is>
      </c>
      <c r="H393" s="63" t="inlineStr">
        <is>
          <t>294,00</t>
        </is>
      </c>
      <c r="I393" s="65" t="n">
        <v>216</v>
      </c>
      <c r="J393" s="65" t="inlineStr">
        <is>
          <t>00-00000720</t>
        </is>
      </c>
      <c r="K393" s="66" t="n">
        <v>46205</v>
      </c>
      <c r="L393" s="63" t="inlineStr">
        <is>
          <t>0,00</t>
        </is>
      </c>
      <c r="M393" s="63" t="inlineStr">
        <is>
          <t>0,00</t>
        </is>
      </c>
    </row>
    <row r="394">
      <c r="A394" s="66" t="n">
        <v>46169</v>
      </c>
      <c r="B394" s="65" t="inlineStr">
        <is>
          <t>PUSD1/2026/00256</t>
        </is>
      </c>
      <c r="C394" s="65" t="n">
        <v>500</v>
      </c>
      <c r="D394" s="65" t="inlineStr">
        <is>
          <t>Cauchera William 2018, C.A</t>
        </is>
      </c>
      <c r="E394" s="63" t="inlineStr">
        <is>
          <t>15,00</t>
        </is>
      </c>
      <c r="F394" s="65" t="inlineStr">
        <is>
          <t>USD</t>
        </is>
      </c>
      <c r="G394" s="65" t="inlineStr">
        <is>
          <t>Efectivo moneda extrajera (USD)</t>
        </is>
      </c>
      <c r="H394" s="63" t="inlineStr">
        <is>
          <t>15,00</t>
        </is>
      </c>
      <c r="I394" s="65" t="n"/>
      <c r="J394" s="65" t="n"/>
      <c r="K394" s="65" t="n"/>
      <c r="L394" s="65" t="n"/>
      <c r="M394" s="65" t="n"/>
    </row>
    <row r="395">
      <c r="A395" s="66" t="n">
        <v>46169</v>
      </c>
      <c r="B395" s="65" t="inlineStr">
        <is>
          <t>PUSD1/2026/00255</t>
        </is>
      </c>
      <c r="C395" s="65" t="n">
        <v>499</v>
      </c>
      <c r="D395" s="65" t="inlineStr">
        <is>
          <t>EMPRENDIMIENTO MANUEL GÓMEZ 6</t>
        </is>
      </c>
      <c r="E395" s="63" t="inlineStr">
        <is>
          <t>20,00</t>
        </is>
      </c>
      <c r="F395" s="65" t="inlineStr">
        <is>
          <t>USD</t>
        </is>
      </c>
      <c r="G395" s="65" t="inlineStr">
        <is>
          <t>Efectivo moneda extrajera (USD)</t>
        </is>
      </c>
      <c r="H395" s="63" t="inlineStr">
        <is>
          <t>20,00</t>
        </is>
      </c>
      <c r="I395" s="65" t="n"/>
      <c r="J395" s="65" t="n"/>
      <c r="K395" s="65" t="n"/>
      <c r="L395" s="65" t="n"/>
      <c r="M395" s="65" t="n"/>
    </row>
    <row r="396">
      <c r="A396" s="66" t="n">
        <v>46169</v>
      </c>
      <c r="B396" s="65" t="inlineStr">
        <is>
          <t>PUSD1/2026/00254</t>
        </is>
      </c>
      <c r="C396" s="65" t="n">
        <v>498</v>
      </c>
      <c r="D396" s="65" t="inlineStr">
        <is>
          <t>Inversiones Mirelkys C.A</t>
        </is>
      </c>
      <c r="E396" s="63" t="inlineStr">
        <is>
          <t>41,00</t>
        </is>
      </c>
      <c r="F396" s="65" t="inlineStr">
        <is>
          <t>USD</t>
        </is>
      </c>
      <c r="G396" s="65" t="inlineStr">
        <is>
          <t>Efectivo moneda extrajera (USD)</t>
        </is>
      </c>
      <c r="H396" s="63" t="inlineStr">
        <is>
          <t>41,00</t>
        </is>
      </c>
      <c r="I396" s="65" t="n"/>
      <c r="J396" s="65" t="n"/>
      <c r="K396" s="65" t="n"/>
      <c r="L396" s="65" t="n"/>
      <c r="M396" s="65" t="n"/>
    </row>
    <row r="397">
      <c r="A397" s="66" t="n">
        <v>46169</v>
      </c>
      <c r="B397" s="65" t="inlineStr">
        <is>
          <t>PBAMI/2026/00228</t>
        </is>
      </c>
      <c r="C397" s="65" t="n">
        <v>509</v>
      </c>
      <c r="D397" s="65" t="inlineStr">
        <is>
          <t>Servicios Nicolazzo 97, C.A</t>
        </is>
      </c>
      <c r="E397" s="63" t="inlineStr">
        <is>
          <t>45.822,10</t>
        </is>
      </c>
      <c r="F397" s="65" t="inlineStr">
        <is>
          <t>VES</t>
        </is>
      </c>
      <c r="G397" s="65" t="inlineStr">
        <is>
          <t>Banco Bancamiga 7806</t>
        </is>
      </c>
      <c r="H397" s="63" t="inlineStr">
        <is>
          <t>84,85</t>
        </is>
      </c>
      <c r="I397" s="65" t="n"/>
      <c r="J397" s="65" t="n"/>
      <c r="K397" s="65" t="n"/>
      <c r="L397" s="65" t="n"/>
      <c r="M397" s="65" t="n"/>
    </row>
    <row r="398">
      <c r="A398" s="66" t="n">
        <v>46169</v>
      </c>
      <c r="B398" s="65" t="inlineStr">
        <is>
          <t>PBAMI/2026/00117</t>
        </is>
      </c>
      <c r="C398" s="65" t="n">
        <v>510</v>
      </c>
      <c r="D398" s="65" t="inlineStr">
        <is>
          <t>LUBRIREPUESTOS PANORAMA, C.A.</t>
        </is>
      </c>
      <c r="E398" s="63" t="inlineStr">
        <is>
          <t>5.963,00</t>
        </is>
      </c>
      <c r="F398" s="65" t="inlineStr">
        <is>
          <t>VES</t>
        </is>
      </c>
      <c r="G398" s="65" t="inlineStr">
        <is>
          <t>Banco Bancamiga 7806</t>
        </is>
      </c>
      <c r="H398" s="63" t="inlineStr">
        <is>
          <t>11,04</t>
        </is>
      </c>
      <c r="I398" s="65" t="n"/>
      <c r="J398" s="65" t="n"/>
      <c r="K398" s="65" t="n"/>
      <c r="L398" s="65" t="n"/>
      <c r="M398" s="65" t="n"/>
    </row>
    <row r="399">
      <c r="A399" s="66" t="n">
        <v>46169</v>
      </c>
      <c r="B399" s="65" t="inlineStr">
        <is>
          <t>PBAMI/2026/00116</t>
        </is>
      </c>
      <c r="C399" s="65" t="n">
        <v>504</v>
      </c>
      <c r="D399" s="65" t="inlineStr">
        <is>
          <t>Cauchera William 2018, C.A</t>
        </is>
      </c>
      <c r="E399" s="63" t="inlineStr">
        <is>
          <t>22.200,00</t>
        </is>
      </c>
      <c r="F399" s="65" t="inlineStr">
        <is>
          <t>VES</t>
        </is>
      </c>
      <c r="G399" s="65" t="inlineStr">
        <is>
          <t>Banco Bancamiga 7806</t>
        </is>
      </c>
      <c r="H399" s="63" t="inlineStr">
        <is>
          <t>41,11</t>
        </is>
      </c>
      <c r="I399" s="65" t="n"/>
      <c r="J399" s="65" t="n"/>
      <c r="K399" s="65" t="n"/>
      <c r="L399" s="65" t="n"/>
      <c r="M399" s="65" t="n"/>
    </row>
    <row r="400">
      <c r="A400" s="66" t="n">
        <v>46169</v>
      </c>
      <c r="B400" s="65" t="inlineStr">
        <is>
          <t>PBAMI/2026/00115</t>
        </is>
      </c>
      <c r="C400" s="65" t="n">
        <v>497</v>
      </c>
      <c r="D400" s="65" t="inlineStr">
        <is>
          <t>Antonio Terán</t>
        </is>
      </c>
      <c r="E400" s="63" t="inlineStr">
        <is>
          <t>220.059,00</t>
        </is>
      </c>
      <c r="F400" s="65" t="inlineStr">
        <is>
          <t>VES</t>
        </is>
      </c>
      <c r="G400" s="65" t="inlineStr">
        <is>
          <t>Banco Bancamiga 7806</t>
        </is>
      </c>
      <c r="H400" s="63" t="inlineStr">
        <is>
          <t>407,48</t>
        </is>
      </c>
      <c r="I400" s="65" t="n">
        <v>351</v>
      </c>
      <c r="J400" s="65" t="inlineStr">
        <is>
          <t>00-00000894</t>
        </is>
      </c>
      <c r="K400" s="66" t="n">
        <v>46216</v>
      </c>
      <c r="L400" s="63" t="inlineStr">
        <is>
          <t>0,00</t>
        </is>
      </c>
      <c r="M400" s="63" t="inlineStr">
        <is>
          <t>0,00</t>
        </is>
      </c>
    </row>
    <row r="401">
      <c r="A401" s="66" t="n">
        <v>46168</v>
      </c>
      <c r="B401" s="65" t="inlineStr">
        <is>
          <t>PUSD1/2026/00253</t>
        </is>
      </c>
      <c r="C401" s="65" t="n">
        <v>494</v>
      </c>
      <c r="D401" s="65" t="inlineStr">
        <is>
          <t>NAUDY MARTINEZ</t>
        </is>
      </c>
      <c r="E401" s="63" t="inlineStr">
        <is>
          <t>20,00</t>
        </is>
      </c>
      <c r="F401" s="65" t="inlineStr">
        <is>
          <t>USD</t>
        </is>
      </c>
      <c r="G401" s="65" t="inlineStr">
        <is>
          <t>Efectivo moneda extrajera (USD)</t>
        </is>
      </c>
      <c r="H401" s="63" t="inlineStr">
        <is>
          <t>20,00</t>
        </is>
      </c>
      <c r="I401" s="65" t="n">
        <v>95</v>
      </c>
      <c r="J401" s="65" t="inlineStr">
        <is>
          <t>00-00000445</t>
        </is>
      </c>
      <c r="K401" s="66" t="n">
        <v>46168</v>
      </c>
      <c r="L401" s="63" t="inlineStr">
        <is>
          <t>0,00</t>
        </is>
      </c>
      <c r="M401" s="63" t="inlineStr">
        <is>
          <t>0,00</t>
        </is>
      </c>
    </row>
    <row r="402">
      <c r="A402" s="66" t="n">
        <v>46168</v>
      </c>
      <c r="B402" s="65" t="inlineStr">
        <is>
          <t>PUSD1/2026/00246</t>
        </is>
      </c>
      <c r="C402" s="65" t="n">
        <v>488</v>
      </c>
      <c r="D402" s="65" t="inlineStr">
        <is>
          <t>NAUDY MARTINEZ</t>
        </is>
      </c>
      <c r="E402" s="63" t="inlineStr">
        <is>
          <t>320,00</t>
        </is>
      </c>
      <c r="F402" s="65" t="inlineStr">
        <is>
          <t>USD</t>
        </is>
      </c>
      <c r="G402" s="65" t="inlineStr">
        <is>
          <t>Efectivo moneda extrajera (USD)</t>
        </is>
      </c>
      <c r="H402" s="63" t="inlineStr">
        <is>
          <t>320,00</t>
        </is>
      </c>
      <c r="I402" s="65" t="n"/>
      <c r="J402" s="65" t="n"/>
      <c r="K402" s="65" t="n"/>
      <c r="L402" s="65" t="n"/>
      <c r="M402" s="65" t="n"/>
    </row>
    <row r="403">
      <c r="A403" s="66" t="n">
        <v>46168</v>
      </c>
      <c r="B403" s="65" t="inlineStr">
        <is>
          <t>PUSD1/2026/00245</t>
        </is>
      </c>
      <c r="C403" s="65" t="n">
        <v>485</v>
      </c>
      <c r="D403" s="65" t="inlineStr">
        <is>
          <t>Javier gregorio Espinoza</t>
        </is>
      </c>
      <c r="E403" s="63" t="inlineStr">
        <is>
          <t>40,00</t>
        </is>
      </c>
      <c r="F403" s="65" t="inlineStr">
        <is>
          <t>USD</t>
        </is>
      </c>
      <c r="G403" s="65" t="inlineStr">
        <is>
          <t>Efectivo moneda extrajera (USD)</t>
        </is>
      </c>
      <c r="H403" s="63" t="inlineStr">
        <is>
          <t>40,00</t>
        </is>
      </c>
      <c r="I403" s="65" t="n"/>
      <c r="J403" s="65" t="n"/>
      <c r="K403" s="65" t="n"/>
      <c r="L403" s="65" t="n"/>
      <c r="M403" s="65" t="n"/>
    </row>
    <row r="404">
      <c r="A404" s="66" t="n">
        <v>46168</v>
      </c>
      <c r="B404" s="65" t="inlineStr">
        <is>
          <t>PUSD1/2026/00244</t>
        </is>
      </c>
      <c r="C404" s="65" t="n">
        <v>481</v>
      </c>
      <c r="D404" s="65" t="inlineStr">
        <is>
          <t>Jhon Morales</t>
        </is>
      </c>
      <c r="E404" s="63" t="inlineStr">
        <is>
          <t>50,00</t>
        </is>
      </c>
      <c r="F404" s="65" t="inlineStr">
        <is>
          <t>USD</t>
        </is>
      </c>
      <c r="G404" s="65" t="inlineStr">
        <is>
          <t>Efectivo moneda extrajera (USD)</t>
        </is>
      </c>
      <c r="H404" s="63" t="inlineStr">
        <is>
          <t>50,00</t>
        </is>
      </c>
      <c r="I404" s="65" t="n">
        <v>275</v>
      </c>
      <c r="J404" s="65" t="inlineStr">
        <is>
          <t>00-00000812</t>
        </is>
      </c>
      <c r="K404" s="66" t="n">
        <v>46214</v>
      </c>
      <c r="L404" s="63" t="inlineStr">
        <is>
          <t>148,01</t>
        </is>
      </c>
      <c r="M404" s="63" t="inlineStr">
        <is>
          <t>0,00</t>
        </is>
      </c>
    </row>
    <row r="405">
      <c r="A405" s="66" t="n">
        <v>46168</v>
      </c>
      <c r="B405" s="65" t="inlineStr">
        <is>
          <t>PUSD1/2026/00243</t>
        </is>
      </c>
      <c r="C405" s="65" t="n">
        <v>479</v>
      </c>
      <c r="D405" s="65" t="inlineStr">
        <is>
          <t>JOSE RAFAEL MARTÍNEZ</t>
        </is>
      </c>
      <c r="E405" s="63" t="inlineStr">
        <is>
          <t>53,00</t>
        </is>
      </c>
      <c r="F405" s="65" t="inlineStr">
        <is>
          <t>USD</t>
        </is>
      </c>
      <c r="G405" s="65" t="inlineStr">
        <is>
          <t>Efectivo moneda extrajera (USD)</t>
        </is>
      </c>
      <c r="H405" s="63" t="inlineStr">
        <is>
          <t>53,00</t>
        </is>
      </c>
      <c r="I405" s="65" t="n"/>
      <c r="J405" s="65" t="n"/>
      <c r="K405" s="65" t="n"/>
      <c r="L405" s="65" t="n"/>
      <c r="M405" s="65" t="n"/>
    </row>
    <row r="406">
      <c r="A406" s="66" t="n">
        <v>46168</v>
      </c>
      <c r="B406" s="65" t="inlineStr">
        <is>
          <t>PUSD1/2026/00242</t>
        </is>
      </c>
      <c r="C406" s="65" t="n">
        <v>478</v>
      </c>
      <c r="D406" s="65" t="inlineStr">
        <is>
          <t>SJMG 2012 C.A</t>
        </is>
      </c>
      <c r="E406" s="63" t="inlineStr">
        <is>
          <t>410,00</t>
        </is>
      </c>
      <c r="F406" s="65" t="inlineStr">
        <is>
          <t>USD</t>
        </is>
      </c>
      <c r="G406" s="65" t="inlineStr">
        <is>
          <t>Efectivo moneda extrajera (USD)</t>
        </is>
      </c>
      <c r="H406" s="63" t="inlineStr">
        <is>
          <t>410,00</t>
        </is>
      </c>
      <c r="I406" s="65" t="n"/>
      <c r="J406" s="65" t="n"/>
      <c r="K406" s="65" t="n"/>
      <c r="L406" s="65" t="n"/>
      <c r="M406" s="65" t="n"/>
    </row>
    <row r="407">
      <c r="A407" s="66" t="n">
        <v>46168</v>
      </c>
      <c r="B407" s="65" t="inlineStr">
        <is>
          <t>PUSD1/2026/00241</t>
        </is>
      </c>
      <c r="C407" s="65" t="n">
        <v>477</v>
      </c>
      <c r="D407" s="65" t="inlineStr">
        <is>
          <t>Motolavado Yahir</t>
        </is>
      </c>
      <c r="E407" s="63" t="inlineStr">
        <is>
          <t>100,00</t>
        </is>
      </c>
      <c r="F407" s="65" t="inlineStr">
        <is>
          <t>USD</t>
        </is>
      </c>
      <c r="G407" s="65" t="inlineStr">
        <is>
          <t>Efectivo moneda extrajera (USD)</t>
        </is>
      </c>
      <c r="H407" s="63" t="inlineStr">
        <is>
          <t>100,00</t>
        </is>
      </c>
      <c r="I407" s="65" t="n">
        <v>132</v>
      </c>
      <c r="J407" s="65" t="inlineStr">
        <is>
          <t>00-00000551</t>
        </is>
      </c>
      <c r="K407" s="66" t="n">
        <v>46183</v>
      </c>
      <c r="L407" s="63" t="inlineStr">
        <is>
          <t>0,01</t>
        </is>
      </c>
      <c r="M407" s="63" t="inlineStr">
        <is>
          <t>0,00</t>
        </is>
      </c>
    </row>
    <row r="408">
      <c r="A408" s="66" t="n">
        <v>46168</v>
      </c>
      <c r="B408" s="65" t="inlineStr">
        <is>
          <t>PUSD1/2026/00240</t>
        </is>
      </c>
      <c r="C408" s="65" t="n">
        <v>474</v>
      </c>
      <c r="D408" s="65" t="inlineStr">
        <is>
          <t>FREDI MARQUEZ</t>
        </is>
      </c>
      <c r="E408" s="63" t="inlineStr">
        <is>
          <t>135,00</t>
        </is>
      </c>
      <c r="F408" s="65" t="inlineStr">
        <is>
          <t>USD</t>
        </is>
      </c>
      <c r="G408" s="65" t="inlineStr">
        <is>
          <t>Efectivo moneda extrajera (USD)</t>
        </is>
      </c>
      <c r="H408" s="63" t="inlineStr">
        <is>
          <t>135,00</t>
        </is>
      </c>
      <c r="I408" s="65" t="n"/>
      <c r="J408" s="65" t="n"/>
      <c r="K408" s="65" t="n"/>
      <c r="L408" s="65" t="n"/>
      <c r="M408" s="65" t="n"/>
    </row>
    <row r="409">
      <c r="A409" s="66" t="n">
        <v>46168</v>
      </c>
      <c r="B409" s="65" t="inlineStr">
        <is>
          <t>PUSD1/2026/00239</t>
        </is>
      </c>
      <c r="C409" s="65" t="n">
        <v>472</v>
      </c>
      <c r="D409" s="65" t="inlineStr">
        <is>
          <t>La cámara perfecta</t>
        </is>
      </c>
      <c r="E409" s="63" t="inlineStr">
        <is>
          <t>250,00</t>
        </is>
      </c>
      <c r="F409" s="65" t="inlineStr">
        <is>
          <t>USD</t>
        </is>
      </c>
      <c r="G409" s="65" t="inlineStr">
        <is>
          <t>Efectivo moneda extrajera (USD)</t>
        </is>
      </c>
      <c r="H409" s="63" t="inlineStr">
        <is>
          <t>250,00</t>
        </is>
      </c>
      <c r="I409" s="65" t="n"/>
      <c r="J409" s="65" t="n"/>
      <c r="K409" s="65" t="n"/>
      <c r="L409" s="65" t="n"/>
      <c r="M409" s="65" t="n"/>
    </row>
    <row r="410">
      <c r="A410" s="66" t="n">
        <v>46168</v>
      </c>
      <c r="B410" s="65" t="inlineStr">
        <is>
          <t>PUSD1/2026/00238</t>
        </is>
      </c>
      <c r="C410" s="65" t="n">
        <v>473</v>
      </c>
      <c r="D410" s="65" t="inlineStr">
        <is>
          <t>Marlene Herrera</t>
        </is>
      </c>
      <c r="E410" s="63" t="inlineStr">
        <is>
          <t>50,00</t>
        </is>
      </c>
      <c r="F410" s="65" t="inlineStr">
        <is>
          <t>USD</t>
        </is>
      </c>
      <c r="G410" s="65" t="inlineStr">
        <is>
          <t>Efectivo moneda extrajera (USD)</t>
        </is>
      </c>
      <c r="H410" s="63" t="inlineStr">
        <is>
          <t>50,00</t>
        </is>
      </c>
      <c r="I410" s="65" t="n">
        <v>234</v>
      </c>
      <c r="J410" s="65" t="inlineStr">
        <is>
          <t>00-00000756</t>
        </is>
      </c>
      <c r="K410" s="66" t="n">
        <v>46210</v>
      </c>
      <c r="L410" s="63" t="inlineStr">
        <is>
          <t>447,02</t>
        </is>
      </c>
      <c r="M410" s="63" t="inlineStr">
        <is>
          <t>0,00</t>
        </is>
      </c>
    </row>
    <row r="411">
      <c r="A411" s="66" t="n">
        <v>46168</v>
      </c>
      <c r="B411" s="65" t="inlineStr">
        <is>
          <t>PUSD1/2026/00237</t>
        </is>
      </c>
      <c r="C411" s="65" t="n">
        <v>470</v>
      </c>
      <c r="D411" s="65" t="inlineStr">
        <is>
          <t>Alexander Quiroz</t>
        </is>
      </c>
      <c r="E411" s="63" t="inlineStr">
        <is>
          <t>320,00</t>
        </is>
      </c>
      <c r="F411" s="65" t="inlineStr">
        <is>
          <t>USD</t>
        </is>
      </c>
      <c r="G411" s="65" t="inlineStr">
        <is>
          <t>Efectivo moneda extrajera (USD)</t>
        </is>
      </c>
      <c r="H411" s="63" t="inlineStr">
        <is>
          <t>320,00</t>
        </is>
      </c>
      <c r="I411" s="65" t="n">
        <v>97</v>
      </c>
      <c r="J411" s="65" t="inlineStr">
        <is>
          <t>00-00000451</t>
        </is>
      </c>
      <c r="K411" s="66" t="n">
        <v>46169</v>
      </c>
      <c r="L411" s="63" t="inlineStr">
        <is>
          <t>0,00</t>
        </is>
      </c>
      <c r="M411" s="63" t="inlineStr">
        <is>
          <t>0,00</t>
        </is>
      </c>
    </row>
    <row r="412">
      <c r="A412" s="66" t="n">
        <v>46168</v>
      </c>
      <c r="B412" s="65" t="inlineStr">
        <is>
          <t>PBDV/2026/00032</t>
        </is>
      </c>
      <c r="C412" s="65" t="n">
        <v>505</v>
      </c>
      <c r="D412" s="65" t="inlineStr">
        <is>
          <t>ZIP MARKET, CA</t>
        </is>
      </c>
      <c r="E412" s="63" t="inlineStr">
        <is>
          <t>139.208,18</t>
        </is>
      </c>
      <c r="F412" s="65" t="inlineStr">
        <is>
          <t>VES</t>
        </is>
      </c>
      <c r="G412" s="65" t="inlineStr">
        <is>
          <t>Banco de Venezuela 6891</t>
        </is>
      </c>
      <c r="H412" s="63" t="inlineStr">
        <is>
          <t>260,01</t>
        </is>
      </c>
      <c r="I412" s="65" t="n"/>
      <c r="J412" s="65" t="n"/>
      <c r="K412" s="65" t="n"/>
      <c r="L412" s="65" t="n"/>
      <c r="M412" s="65" t="n"/>
    </row>
    <row r="413">
      <c r="A413" s="66" t="n">
        <v>46168</v>
      </c>
      <c r="B413" s="65" t="inlineStr">
        <is>
          <t>PBDV/2026/00018</t>
        </is>
      </c>
      <c r="C413" s="65" t="n">
        <v>482</v>
      </c>
      <c r="D413" s="65" t="inlineStr">
        <is>
          <t>Comercial Rio Paraguas C.A</t>
        </is>
      </c>
      <c r="E413" s="63" t="inlineStr">
        <is>
          <t>107.076,00</t>
        </is>
      </c>
      <c r="F413" s="65" t="inlineStr">
        <is>
          <t>VES</t>
        </is>
      </c>
      <c r="G413" s="65" t="inlineStr">
        <is>
          <t>Banco de Venezuela 6891</t>
        </is>
      </c>
      <c r="H413" s="63" t="inlineStr">
        <is>
          <t>200,00</t>
        </is>
      </c>
      <c r="I413" s="65" t="n"/>
      <c r="J413" s="65" t="n"/>
      <c r="K413" s="65" t="n"/>
      <c r="L413" s="65" t="n"/>
      <c r="M413" s="65" t="n"/>
    </row>
    <row r="414">
      <c r="A414" s="66" t="n">
        <v>46168</v>
      </c>
      <c r="B414" s="65" t="inlineStr">
        <is>
          <t>PBDV/2026/00017</t>
        </is>
      </c>
      <c r="C414" s="65" t="n">
        <v>483</v>
      </c>
      <c r="D414" s="65" t="inlineStr">
        <is>
          <t>Comercial los de faria,c.a.</t>
        </is>
      </c>
      <c r="E414" s="63" t="inlineStr">
        <is>
          <t>206.706,40</t>
        </is>
      </c>
      <c r="F414" s="65" t="inlineStr">
        <is>
          <t>VES</t>
        </is>
      </c>
      <c r="G414" s="65" t="inlineStr">
        <is>
          <t>Banco de Venezuela 6891</t>
        </is>
      </c>
      <c r="H414" s="63" t="inlineStr">
        <is>
          <t>386,09</t>
        </is>
      </c>
      <c r="I414" s="65" t="n"/>
      <c r="J414" s="65" t="n"/>
      <c r="K414" s="65" t="n"/>
      <c r="L414" s="65" t="n"/>
      <c r="M414" s="65" t="n"/>
    </row>
    <row r="415">
      <c r="A415" s="66" t="n">
        <v>46168</v>
      </c>
      <c r="B415" s="65" t="inlineStr">
        <is>
          <t>PBAMI/2026/00113</t>
        </is>
      </c>
      <c r="C415" s="65" t="n">
        <v>495</v>
      </c>
      <c r="D415" s="65" t="inlineStr">
        <is>
          <t>NAUDY MARTINEZ</t>
        </is>
      </c>
      <c r="E415" s="63" t="inlineStr">
        <is>
          <t>2.200,00</t>
        </is>
      </c>
      <c r="F415" s="65" t="inlineStr">
        <is>
          <t>VES</t>
        </is>
      </c>
      <c r="G415" s="65" t="inlineStr">
        <is>
          <t>Banco Bancamiga 7806</t>
        </is>
      </c>
      <c r="H415" s="63" t="inlineStr">
        <is>
          <t>4,11</t>
        </is>
      </c>
      <c r="I415" s="65" t="n">
        <v>95</v>
      </c>
      <c r="J415" s="65" t="inlineStr">
        <is>
          <t>00-00000445</t>
        </is>
      </c>
      <c r="K415" s="66" t="n">
        <v>46168</v>
      </c>
      <c r="L415" s="63" t="inlineStr">
        <is>
          <t>0,00</t>
        </is>
      </c>
      <c r="M415" s="63" t="inlineStr">
        <is>
          <t>0,00</t>
        </is>
      </c>
    </row>
    <row r="416">
      <c r="A416" s="66" t="n">
        <v>46168</v>
      </c>
      <c r="B416" s="65" t="inlineStr">
        <is>
          <t>PBAMI/2026/00105</t>
        </is>
      </c>
      <c r="C416" s="65" t="n">
        <v>484</v>
      </c>
      <c r="D416" s="65" t="inlineStr">
        <is>
          <t>MOTO REPUESTO GARCIA 2023, C.A.</t>
        </is>
      </c>
      <c r="E416" s="63" t="inlineStr">
        <is>
          <t>44.715,77</t>
        </is>
      </c>
      <c r="F416" s="65" t="inlineStr">
        <is>
          <t>VES</t>
        </is>
      </c>
      <c r="G416" s="65" t="inlineStr">
        <is>
          <t>Banco Bancamiga 7806</t>
        </is>
      </c>
      <c r="H416" s="63" t="inlineStr">
        <is>
          <t>83,52</t>
        </is>
      </c>
      <c r="I416" s="65" t="n"/>
      <c r="J416" s="65" t="n"/>
      <c r="K416" s="65" t="n"/>
      <c r="L416" s="65" t="n"/>
      <c r="M416" s="65" t="n"/>
    </row>
    <row r="417">
      <c r="A417" s="66" t="n">
        <v>46168</v>
      </c>
      <c r="B417" s="65" t="inlineStr">
        <is>
          <t>PBAMI/2026/00104</t>
        </is>
      </c>
      <c r="C417" s="65" t="n">
        <v>486</v>
      </c>
      <c r="D417" s="65" t="inlineStr">
        <is>
          <t>Felipe Granja</t>
        </is>
      </c>
      <c r="E417" s="63" t="inlineStr">
        <is>
          <t>69.599,00</t>
        </is>
      </c>
      <c r="F417" s="65" t="inlineStr">
        <is>
          <t>VES</t>
        </is>
      </c>
      <c r="G417" s="65" t="inlineStr">
        <is>
          <t>Banco Bancamiga 7806</t>
        </is>
      </c>
      <c r="H417" s="63" t="inlineStr">
        <is>
          <t>130,00</t>
        </is>
      </c>
      <c r="I417" s="65" t="n">
        <v>250</v>
      </c>
      <c r="J417" s="65" t="inlineStr">
        <is>
          <t>00-00000772</t>
        </is>
      </c>
      <c r="K417" s="66" t="n">
        <v>46211</v>
      </c>
      <c r="L417" s="63" t="inlineStr">
        <is>
          <t>400,98</t>
        </is>
      </c>
      <c r="M417" s="63" t="inlineStr">
        <is>
          <t>0,00</t>
        </is>
      </c>
    </row>
    <row r="418">
      <c r="A418" s="66" t="n">
        <v>46168</v>
      </c>
      <c r="B418" s="65" t="inlineStr">
        <is>
          <t>PBAMI/2026/00103</t>
        </is>
      </c>
      <c r="C418" s="65" t="n">
        <v>480</v>
      </c>
      <c r="D418" s="65" t="inlineStr">
        <is>
          <t>INVERSIONES MI LINDA YEMAIRE 2019, C.A</t>
        </is>
      </c>
      <c r="E418" s="63" t="inlineStr">
        <is>
          <t>44.931,66</t>
        </is>
      </c>
      <c r="F418" s="65" t="inlineStr">
        <is>
          <t>VES</t>
        </is>
      </c>
      <c r="G418" s="65" t="inlineStr">
        <is>
          <t>Banco Bancamiga 7806</t>
        </is>
      </c>
      <c r="H418" s="63" t="inlineStr">
        <is>
          <t>83,92</t>
        </is>
      </c>
      <c r="I418" s="65" t="n">
        <v>176</v>
      </c>
      <c r="J418" s="65" t="inlineStr">
        <is>
          <t>00-00000619</t>
        </is>
      </c>
      <c r="K418" s="66" t="n">
        <v>46185</v>
      </c>
      <c r="L418" s="63" t="inlineStr">
        <is>
          <t>0,00</t>
        </is>
      </c>
      <c r="M418" s="63" t="inlineStr">
        <is>
          <t>0,00</t>
        </is>
      </c>
    </row>
    <row r="419">
      <c r="A419" s="66" t="n">
        <v>46168</v>
      </c>
      <c r="B419" s="65" t="inlineStr">
        <is>
          <t>PBAMI/2026/00102</t>
        </is>
      </c>
      <c r="C419" s="65" t="n">
        <v>469</v>
      </c>
      <c r="D419" s="65" t="inlineStr">
        <is>
          <t>Emprendimiento ilaris cancelo</t>
        </is>
      </c>
      <c r="E419" s="63" t="inlineStr">
        <is>
          <t>220.500,00</t>
        </is>
      </c>
      <c r="F419" s="65" t="inlineStr">
        <is>
          <t>VES</t>
        </is>
      </c>
      <c r="G419" s="65" t="inlineStr">
        <is>
          <t>Banco Bancamiga 7806</t>
        </is>
      </c>
      <c r="H419" s="63" t="inlineStr">
        <is>
          <t>411,85</t>
        </is>
      </c>
      <c r="I419" s="65" t="n">
        <v>178</v>
      </c>
      <c r="J419" s="65" t="inlineStr">
        <is>
          <t>00-00000629</t>
        </is>
      </c>
      <c r="K419" s="66" t="n">
        <v>46188</v>
      </c>
      <c r="L419" s="63" t="inlineStr">
        <is>
          <t>950,00</t>
        </is>
      </c>
      <c r="M419" s="63" t="inlineStr">
        <is>
          <t>0,00</t>
        </is>
      </c>
    </row>
    <row r="420">
      <c r="A420" s="66" t="n">
        <v>46168</v>
      </c>
      <c r="B420" s="65" t="inlineStr">
        <is>
          <t>PBAMI/2026/00101</t>
        </is>
      </c>
      <c r="C420" s="65" t="n">
        <v>487</v>
      </c>
      <c r="D420" s="65" t="inlineStr">
        <is>
          <t>Inversiones Pronautica, C.A.</t>
        </is>
      </c>
      <c r="E420" s="63" t="inlineStr">
        <is>
          <t>74.776,52</t>
        </is>
      </c>
      <c r="F420" s="65" t="inlineStr">
        <is>
          <t>VES</t>
        </is>
      </c>
      <c r="G420" s="65" t="inlineStr">
        <is>
          <t>Banco Bancamiga 7806</t>
        </is>
      </c>
      <c r="H420" s="63" t="inlineStr">
        <is>
          <t>139,67</t>
        </is>
      </c>
      <c r="I420" s="65" t="n">
        <v>96</v>
      </c>
      <c r="J420" s="65" t="inlineStr">
        <is>
          <t>00-00000446</t>
        </is>
      </c>
      <c r="K420" s="66" t="n">
        <v>46168</v>
      </c>
      <c r="L420" s="63" t="inlineStr">
        <is>
          <t>0,00</t>
        </is>
      </c>
      <c r="M420" s="63" t="inlineStr">
        <is>
          <t>0,00</t>
        </is>
      </c>
    </row>
    <row r="421">
      <c r="A421" s="66" t="n">
        <v>46167</v>
      </c>
      <c r="B421" s="65" t="inlineStr">
        <is>
          <t>PUSD1/2026/00236</t>
        </is>
      </c>
      <c r="C421" s="65" t="n">
        <v>463</v>
      </c>
      <c r="D421" s="65" t="inlineStr">
        <is>
          <t>Inversiones La Bendición del Nazareno, C.A</t>
        </is>
      </c>
      <c r="E421" s="63" t="inlineStr">
        <is>
          <t>500,00</t>
        </is>
      </c>
      <c r="F421" s="65" t="inlineStr">
        <is>
          <t>USD</t>
        </is>
      </c>
      <c r="G421" s="65" t="inlineStr">
        <is>
          <t>Efectivo moneda extrajera (USD)</t>
        </is>
      </c>
      <c r="H421" s="63" t="inlineStr">
        <is>
          <t>500,00</t>
        </is>
      </c>
      <c r="I421" s="65" t="n"/>
      <c r="J421" s="65" t="n"/>
      <c r="K421" s="65" t="n"/>
      <c r="L421" s="65" t="n"/>
      <c r="M421" s="65" t="n"/>
    </row>
    <row r="422">
      <c r="A422" s="66" t="n">
        <v>46167</v>
      </c>
      <c r="B422" s="65" t="inlineStr">
        <is>
          <t>PUSD1/2026/00235</t>
        </is>
      </c>
      <c r="C422" s="65" t="n">
        <v>464</v>
      </c>
      <c r="D422" s="65" t="inlineStr">
        <is>
          <t>Multiservicio Tocome, C.A</t>
        </is>
      </c>
      <c r="E422" s="63" t="inlineStr">
        <is>
          <t>20,00</t>
        </is>
      </c>
      <c r="F422" s="65" t="inlineStr">
        <is>
          <t>USD</t>
        </is>
      </c>
      <c r="G422" s="65" t="inlineStr">
        <is>
          <t>Efectivo moneda extrajera (USD)</t>
        </is>
      </c>
      <c r="H422" s="63" t="inlineStr">
        <is>
          <t>20,00</t>
        </is>
      </c>
      <c r="I422" s="65" t="n"/>
      <c r="J422" s="65" t="n"/>
      <c r="K422" s="65" t="n"/>
      <c r="L422" s="65" t="n"/>
      <c r="M422" s="65" t="n"/>
    </row>
    <row r="423">
      <c r="A423" s="66" t="n">
        <v>46167</v>
      </c>
      <c r="B423" s="65" t="inlineStr">
        <is>
          <t>PUSD1/2026/00234</t>
        </is>
      </c>
      <c r="C423" s="65" t="n">
        <v>462</v>
      </c>
      <c r="D423" s="65" t="inlineStr">
        <is>
          <t>Comercializadora Garabote</t>
        </is>
      </c>
      <c r="E423" s="63" t="inlineStr">
        <is>
          <t>100,00</t>
        </is>
      </c>
      <c r="F423" s="65" t="inlineStr">
        <is>
          <t>USD</t>
        </is>
      </c>
      <c r="G423" s="65" t="inlineStr">
        <is>
          <t>Efectivo moneda extrajera (USD)</t>
        </is>
      </c>
      <c r="H423" s="63" t="inlineStr">
        <is>
          <t>100,00</t>
        </is>
      </c>
      <c r="I423" s="65" t="n">
        <v>129</v>
      </c>
      <c r="J423" s="65" t="inlineStr">
        <is>
          <t>00-00000542</t>
        </is>
      </c>
      <c r="K423" s="66" t="n">
        <v>46182</v>
      </c>
      <c r="L423" s="63" t="inlineStr">
        <is>
          <t>0,00</t>
        </is>
      </c>
      <c r="M423" s="63" t="inlineStr">
        <is>
          <t>0,00</t>
        </is>
      </c>
    </row>
    <row r="424">
      <c r="A424" s="66" t="n">
        <v>46167</v>
      </c>
      <c r="B424" s="65" t="inlineStr">
        <is>
          <t>PBAMI/2026/00119</t>
        </is>
      </c>
      <c r="C424" s="65" t="n">
        <v>513</v>
      </c>
      <c r="D424" s="65" t="inlineStr">
        <is>
          <t>CONSTRUCTORA GRANO AGREGADO, C.A</t>
        </is>
      </c>
      <c r="E424" s="63" t="inlineStr">
        <is>
          <t>1.782.044,86</t>
        </is>
      </c>
      <c r="F424" s="65" t="inlineStr">
        <is>
          <t>VES</t>
        </is>
      </c>
      <c r="G424" s="65" t="inlineStr">
        <is>
          <t>Banco Bancamiga 7806</t>
        </is>
      </c>
      <c r="H424" s="63" t="inlineStr">
        <is>
          <t>3.359,15</t>
        </is>
      </c>
      <c r="I424" s="65" t="n">
        <v>102</v>
      </c>
      <c r="J424" s="65" t="inlineStr">
        <is>
          <t>00-00000458</t>
        </is>
      </c>
      <c r="K424" s="66" t="n">
        <v>46170</v>
      </c>
      <c r="L424" s="63" t="inlineStr">
        <is>
          <t>68,88</t>
        </is>
      </c>
      <c r="M424" s="63" t="inlineStr">
        <is>
          <t>0,00</t>
        </is>
      </c>
    </row>
    <row r="425">
      <c r="A425" s="66" t="n">
        <v>46167</v>
      </c>
      <c r="B425" s="65" t="inlineStr">
        <is>
          <t>PBAMI/2026/00107</t>
        </is>
      </c>
      <c r="C425" s="65" t="n">
        <v>467</v>
      </c>
      <c r="D425" s="65" t="inlineStr">
        <is>
          <t>LUBRIREPUESTOS PANORAMA, C.A.</t>
        </is>
      </c>
      <c r="E425" s="63" t="inlineStr">
        <is>
          <t>4.779,00</t>
        </is>
      </c>
      <c r="F425" s="65" t="inlineStr">
        <is>
          <t>VES</t>
        </is>
      </c>
      <c r="G425" s="65" t="inlineStr">
        <is>
          <t>Banco Bancamiga 7806</t>
        </is>
      </c>
      <c r="H425" s="63" t="inlineStr">
        <is>
          <t>9,01</t>
        </is>
      </c>
      <c r="I425" s="65" t="n"/>
      <c r="J425" s="65" t="n"/>
      <c r="K425" s="65" t="n"/>
      <c r="L425" s="65" t="n"/>
      <c r="M425" s="65" t="n"/>
    </row>
    <row r="426">
      <c r="A426" s="66" t="n">
        <v>46167</v>
      </c>
      <c r="B426" s="65" t="inlineStr">
        <is>
          <t>PBAMI/2026/00106</t>
        </is>
      </c>
      <c r="C426" s="65" t="n">
        <v>465</v>
      </c>
      <c r="D426" s="65" t="inlineStr">
        <is>
          <t>LUBRIREPUESTOS PANORAMA, C.A.</t>
        </is>
      </c>
      <c r="E426" s="63" t="inlineStr">
        <is>
          <t>31.860,00</t>
        </is>
      </c>
      <c r="F426" s="65" t="inlineStr">
        <is>
          <t>VES</t>
        </is>
      </c>
      <c r="G426" s="65" t="inlineStr">
        <is>
          <t>Banco Bancamiga 7806</t>
        </is>
      </c>
      <c r="H426" s="63" t="inlineStr">
        <is>
          <t>60,06</t>
        </is>
      </c>
      <c r="I426" s="65" t="n"/>
      <c r="J426" s="65" t="n"/>
      <c r="K426" s="65" t="n"/>
      <c r="L426" s="65" t="n"/>
      <c r="M426" s="65" t="n"/>
    </row>
    <row r="427">
      <c r="A427" s="66" t="n">
        <v>46167</v>
      </c>
      <c r="B427" s="65" t="inlineStr">
        <is>
          <t>PBAMI/2026/00100</t>
        </is>
      </c>
      <c r="C427" s="65" t="n">
        <v>459</v>
      </c>
      <c r="D427" s="65" t="inlineStr">
        <is>
          <t>MULTISERVICIOS RECAM13, C.A.</t>
        </is>
      </c>
      <c r="E427" s="63" t="inlineStr">
        <is>
          <t>31.830,00</t>
        </is>
      </c>
      <c r="F427" s="65" t="inlineStr">
        <is>
          <t>VES</t>
        </is>
      </c>
      <c r="G427" s="65" t="inlineStr">
        <is>
          <t>Banco Bancamiga 7806</t>
        </is>
      </c>
      <c r="H427" s="63" t="inlineStr">
        <is>
          <t>60,00</t>
        </is>
      </c>
      <c r="I427" s="65" t="n">
        <v>224</v>
      </c>
      <c r="J427" s="65" t="inlineStr">
        <is>
          <t>00-00000746</t>
        </is>
      </c>
      <c r="K427" s="66" t="n">
        <v>46210</v>
      </c>
      <c r="L427" s="63" t="inlineStr">
        <is>
          <t>226,19</t>
        </is>
      </c>
      <c r="M427" s="63" t="inlineStr">
        <is>
          <t>0,00</t>
        </is>
      </c>
    </row>
    <row r="428">
      <c r="A428" s="66" t="n">
        <v>46167</v>
      </c>
      <c r="B428" s="65" t="inlineStr">
        <is>
          <t>PBAMI/2026/00099</t>
        </is>
      </c>
      <c r="C428" s="65" t="n">
        <v>460</v>
      </c>
      <c r="D428" s="65" t="inlineStr">
        <is>
          <t>INVERSIONES F-250, C.A</t>
        </is>
      </c>
      <c r="E428" s="63" t="inlineStr">
        <is>
          <t>61.538,00</t>
        </is>
      </c>
      <c r="F428" s="65" t="inlineStr">
        <is>
          <t>VES</t>
        </is>
      </c>
      <c r="G428" s="65" t="inlineStr">
        <is>
          <t>Banco Bancamiga 7806</t>
        </is>
      </c>
      <c r="H428" s="63" t="inlineStr">
        <is>
          <t>116,00</t>
        </is>
      </c>
      <c r="I428" s="65" t="n">
        <v>91</v>
      </c>
      <c r="J428" s="65" t="inlineStr">
        <is>
          <t>00-00000437</t>
        </is>
      </c>
      <c r="K428" s="66" t="n">
        <v>46167</v>
      </c>
      <c r="L428" s="63" t="inlineStr">
        <is>
          <t>7,87</t>
        </is>
      </c>
      <c r="M428" s="63" t="inlineStr">
        <is>
          <t>0,00</t>
        </is>
      </c>
    </row>
    <row r="429">
      <c r="A429" s="66" t="n">
        <v>46167</v>
      </c>
      <c r="B429" s="65" t="inlineStr">
        <is>
          <t>PBAMI/2026/00098</t>
        </is>
      </c>
      <c r="C429" s="65" t="n">
        <v>461</v>
      </c>
      <c r="D429" s="65" t="inlineStr">
        <is>
          <t>Diana Carolina Torres</t>
        </is>
      </c>
      <c r="E429" s="63" t="inlineStr">
        <is>
          <t>23.895,00</t>
        </is>
      </c>
      <c r="F429" s="65" t="inlineStr">
        <is>
          <t>VES</t>
        </is>
      </c>
      <c r="G429" s="65" t="inlineStr">
        <is>
          <t>Banco Bancamiga 7806</t>
        </is>
      </c>
      <c r="H429" s="63" t="inlineStr">
        <is>
          <t>45,04</t>
        </is>
      </c>
      <c r="I429" s="65" t="n"/>
      <c r="J429" s="65" t="n"/>
      <c r="K429" s="65" t="n"/>
      <c r="L429" s="65" t="n"/>
      <c r="M429" s="65" t="n"/>
    </row>
    <row r="430">
      <c r="A430" s="66" t="n">
        <v>46165</v>
      </c>
      <c r="B430" s="65" t="inlineStr">
        <is>
          <t>PBAMI/2026/00231</t>
        </is>
      </c>
      <c r="C430" s="65" t="n">
        <v>946</v>
      </c>
      <c r="D430" s="65" t="inlineStr">
        <is>
          <t>Multiservicios Arizona, C.A.</t>
        </is>
      </c>
      <c r="E430" s="63" t="inlineStr">
        <is>
          <t>238.978,43</t>
        </is>
      </c>
      <c r="F430" s="65" t="inlineStr">
        <is>
          <t>VES</t>
        </is>
      </c>
      <c r="G430" s="65" t="inlineStr">
        <is>
          <t>Banco Bancamiga 7806</t>
        </is>
      </c>
      <c r="H430" s="63" t="inlineStr">
        <is>
          <t>453,58</t>
        </is>
      </c>
      <c r="I430" s="65" t="n">
        <v>258</v>
      </c>
      <c r="J430" s="65" t="inlineStr">
        <is>
          <t>00-00000795</t>
        </is>
      </c>
      <c r="K430" s="66" t="n">
        <v>46213</v>
      </c>
      <c r="L430" s="63" t="inlineStr">
        <is>
          <t>0,02</t>
        </is>
      </c>
      <c r="M430" s="63" t="inlineStr">
        <is>
          <t>0,00</t>
        </is>
      </c>
    </row>
    <row r="431">
      <c r="A431" s="66" t="n">
        <v>46164</v>
      </c>
      <c r="B431" s="65" t="inlineStr">
        <is>
          <t>PUSD1/2026/00249</t>
        </is>
      </c>
      <c r="C431" s="65" t="n">
        <v>458</v>
      </c>
      <c r="D431" s="65" t="inlineStr">
        <is>
          <t>Emprendimiento José Sánchez 203 c.a</t>
        </is>
      </c>
      <c r="E431" s="63" t="inlineStr">
        <is>
          <t>50,00</t>
        </is>
      </c>
      <c r="F431" s="65" t="inlineStr">
        <is>
          <t>USD</t>
        </is>
      </c>
      <c r="G431" s="65" t="inlineStr">
        <is>
          <t>Efectivo moneda extrajera (USD)</t>
        </is>
      </c>
      <c r="H431" s="63" t="inlineStr">
        <is>
          <t>50,00</t>
        </is>
      </c>
      <c r="I431" s="65" t="n">
        <v>262</v>
      </c>
      <c r="J431" s="65" t="inlineStr">
        <is>
          <t>00-00000799</t>
        </is>
      </c>
      <c r="K431" s="66" t="n">
        <v>46214</v>
      </c>
      <c r="L431" s="63" t="inlineStr">
        <is>
          <t>200,00</t>
        </is>
      </c>
      <c r="M431" s="63" t="inlineStr">
        <is>
          <t>0,00</t>
        </is>
      </c>
    </row>
    <row r="432">
      <c r="A432" s="66" t="n">
        <v>46164</v>
      </c>
      <c r="B432" s="65" t="inlineStr">
        <is>
          <t>PUSD1/2026/00247</t>
        </is>
      </c>
      <c r="C432" s="65" t="n">
        <v>456</v>
      </c>
      <c r="D432" s="65" t="inlineStr">
        <is>
          <t>Victor Ordaz</t>
        </is>
      </c>
      <c r="E432" s="63" t="inlineStr">
        <is>
          <t>250,00</t>
        </is>
      </c>
      <c r="F432" s="65" t="inlineStr">
        <is>
          <t>USD</t>
        </is>
      </c>
      <c r="G432" s="65" t="inlineStr">
        <is>
          <t>Efectivo moneda extrajera (USD)</t>
        </is>
      </c>
      <c r="H432" s="63" t="inlineStr">
        <is>
          <t>250,00</t>
        </is>
      </c>
      <c r="I432" s="65" t="n">
        <v>261</v>
      </c>
      <c r="J432" s="65" t="inlineStr">
        <is>
          <t>00-00000798</t>
        </is>
      </c>
      <c r="K432" s="66" t="n">
        <v>46214</v>
      </c>
      <c r="L432" s="63" t="inlineStr">
        <is>
          <t>249,01</t>
        </is>
      </c>
      <c r="M432" s="63" t="inlineStr">
        <is>
          <t>0,00</t>
        </is>
      </c>
    </row>
    <row r="433">
      <c r="A433" s="66" t="n">
        <v>46164</v>
      </c>
      <c r="B433" s="65" t="inlineStr">
        <is>
          <t>PUSD1/2026/00233</t>
        </is>
      </c>
      <c r="C433" s="65" t="n">
        <v>454</v>
      </c>
      <c r="D433" s="65" t="inlineStr">
        <is>
          <t>PROYECTO MAQUIVEIRO 21 C.A.</t>
        </is>
      </c>
      <c r="E433" s="63" t="inlineStr">
        <is>
          <t>100,00</t>
        </is>
      </c>
      <c r="F433" s="65" t="inlineStr">
        <is>
          <t>USD</t>
        </is>
      </c>
      <c r="G433" s="65" t="inlineStr">
        <is>
          <t>Efectivo moneda extrajera (USD)</t>
        </is>
      </c>
      <c r="H433" s="63" t="inlineStr">
        <is>
          <t>100,00</t>
        </is>
      </c>
      <c r="I433" s="65" t="n">
        <v>117</v>
      </c>
      <c r="J433" s="65" t="inlineStr">
        <is>
          <t>00-00000489</t>
        </is>
      </c>
      <c r="K433" s="66" t="n">
        <v>46175</v>
      </c>
      <c r="L433" s="63" t="inlineStr">
        <is>
          <t>0,00</t>
        </is>
      </c>
      <c r="M433" s="63" t="inlineStr">
        <is>
          <t>0,00</t>
        </is>
      </c>
    </row>
    <row r="434">
      <c r="A434" s="66" t="n">
        <v>46164</v>
      </c>
      <c r="B434" s="65" t="inlineStr">
        <is>
          <t>PUSD1/2026/00232</t>
        </is>
      </c>
      <c r="C434" s="65" t="n">
        <v>446</v>
      </c>
      <c r="D434" s="65" t="inlineStr">
        <is>
          <t>CENTRO MOTRIZ GUADALUPE, C.A.</t>
        </is>
      </c>
      <c r="E434" s="63" t="inlineStr">
        <is>
          <t>51,00</t>
        </is>
      </c>
      <c r="F434" s="65" t="inlineStr">
        <is>
          <t>USD</t>
        </is>
      </c>
      <c r="G434" s="65" t="inlineStr">
        <is>
          <t>Efectivo moneda extrajera (USD)</t>
        </is>
      </c>
      <c r="H434" s="63" t="inlineStr">
        <is>
          <t>51,00</t>
        </is>
      </c>
      <c r="I434" s="65" t="n">
        <v>214</v>
      </c>
      <c r="J434" s="65" t="inlineStr">
        <is>
          <t>00-00000718</t>
        </is>
      </c>
      <c r="K434" s="66" t="n">
        <v>46205</v>
      </c>
      <c r="L434" s="63" t="inlineStr">
        <is>
          <t>0,00</t>
        </is>
      </c>
      <c r="M434" s="63" t="inlineStr">
        <is>
          <t>0,00</t>
        </is>
      </c>
    </row>
    <row r="435">
      <c r="A435" s="66" t="n">
        <v>46164</v>
      </c>
      <c r="B435" s="65" t="inlineStr">
        <is>
          <t>PUSD1/2026/00231</t>
        </is>
      </c>
      <c r="C435" s="65" t="n">
        <v>445</v>
      </c>
      <c r="D435" s="65" t="inlineStr">
        <is>
          <t>MOTOREPUESTOS EL GUANÁBANO YRM C.A.</t>
        </is>
      </c>
      <c r="E435" s="63" t="inlineStr">
        <is>
          <t>52,00</t>
        </is>
      </c>
      <c r="F435" s="65" t="inlineStr">
        <is>
          <t>USD</t>
        </is>
      </c>
      <c r="G435" s="65" t="inlineStr">
        <is>
          <t>Efectivo moneda extrajera (USD)</t>
        </is>
      </c>
      <c r="H435" s="63" t="inlineStr">
        <is>
          <t>52,00</t>
        </is>
      </c>
      <c r="I435" s="65" t="n">
        <v>218</v>
      </c>
      <c r="J435" s="65" t="inlineStr">
        <is>
          <t>00-00000722</t>
        </is>
      </c>
      <c r="K435" s="66" t="n">
        <v>46205</v>
      </c>
      <c r="L435" s="63" t="inlineStr">
        <is>
          <t>0,00</t>
        </is>
      </c>
      <c r="M435" s="63" t="inlineStr">
        <is>
          <t>0,00</t>
        </is>
      </c>
    </row>
    <row r="436">
      <c r="A436" s="66" t="n">
        <v>46164</v>
      </c>
      <c r="B436" s="65" t="inlineStr">
        <is>
          <t>PUSD1/2026/00230</t>
        </is>
      </c>
      <c r="C436" s="65" t="n">
        <v>452</v>
      </c>
      <c r="D436" s="65" t="inlineStr">
        <is>
          <t>Moises Alejandro Mares</t>
        </is>
      </c>
      <c r="E436" s="63" t="inlineStr">
        <is>
          <t>20,00</t>
        </is>
      </c>
      <c r="F436" s="65" t="inlineStr">
        <is>
          <t>USD</t>
        </is>
      </c>
      <c r="G436" s="65" t="inlineStr">
        <is>
          <t>Efectivo moneda extrajera (USD)</t>
        </is>
      </c>
      <c r="H436" s="63" t="inlineStr">
        <is>
          <t>20,00</t>
        </is>
      </c>
      <c r="I436" s="65" t="n"/>
      <c r="J436" s="65" t="n"/>
      <c r="K436" s="65" t="n"/>
      <c r="L436" s="65" t="n"/>
      <c r="M436" s="65" t="n"/>
    </row>
    <row r="437">
      <c r="A437" s="66" t="n">
        <v>46164</v>
      </c>
      <c r="B437" s="65" t="inlineStr">
        <is>
          <t>PUSD1/2026/00229</t>
        </is>
      </c>
      <c r="C437" s="65" t="n">
        <v>450</v>
      </c>
      <c r="D437" s="65" t="inlineStr">
        <is>
          <t>ADS SERVICE C.A</t>
        </is>
      </c>
      <c r="E437" s="63" t="inlineStr">
        <is>
          <t>100,00</t>
        </is>
      </c>
      <c r="F437" s="65" t="inlineStr">
        <is>
          <t>USD</t>
        </is>
      </c>
      <c r="G437" s="65" t="inlineStr">
        <is>
          <t>Efectivo moneda extrajera (USD)</t>
        </is>
      </c>
      <c r="H437" s="63" t="inlineStr">
        <is>
          <t>100,00</t>
        </is>
      </c>
      <c r="I437" s="65" t="n">
        <v>136</v>
      </c>
      <c r="J437" s="65" t="inlineStr">
        <is>
          <t>00-00000569</t>
        </is>
      </c>
      <c r="K437" s="66" t="n">
        <v>46184</v>
      </c>
      <c r="L437" s="63" t="inlineStr">
        <is>
          <t>0,00</t>
        </is>
      </c>
      <c r="M437" s="63" t="inlineStr">
        <is>
          <t>0,00</t>
        </is>
      </c>
    </row>
    <row r="438">
      <c r="A438" s="66" t="n">
        <v>46164</v>
      </c>
      <c r="B438" s="65" t="inlineStr">
        <is>
          <t>PUSD1/2026/00228</t>
        </is>
      </c>
      <c r="C438" s="65" t="n">
        <v>449</v>
      </c>
      <c r="D438" s="65" t="inlineStr">
        <is>
          <t>Comercializadora Garabote</t>
        </is>
      </c>
      <c r="E438" s="63" t="inlineStr">
        <is>
          <t>150,00</t>
        </is>
      </c>
      <c r="F438" s="65" t="inlineStr">
        <is>
          <t>USD</t>
        </is>
      </c>
      <c r="G438" s="65" t="inlineStr">
        <is>
          <t>Efectivo moneda extrajera (USD)</t>
        </is>
      </c>
      <c r="H438" s="63" t="inlineStr">
        <is>
          <t>150,00</t>
        </is>
      </c>
      <c r="I438" s="65" t="n">
        <v>129</v>
      </c>
      <c r="J438" s="65" t="inlineStr">
        <is>
          <t>00-00000542</t>
        </is>
      </c>
      <c r="K438" s="66" t="n">
        <v>46182</v>
      </c>
      <c r="L438" s="63" t="inlineStr">
        <is>
          <t>0,00</t>
        </is>
      </c>
      <c r="M438" s="63" t="inlineStr">
        <is>
          <t>0,00</t>
        </is>
      </c>
    </row>
    <row r="439">
      <c r="A439" s="66" t="n">
        <v>46164</v>
      </c>
      <c r="B439" s="65" t="inlineStr">
        <is>
          <t>PBDV/2026/00019</t>
        </is>
      </c>
      <c r="C439" s="65" t="n">
        <v>455</v>
      </c>
      <c r="D439" s="65" t="inlineStr">
        <is>
          <t>Auto Partes Y Repuestos Encava Express,c.a.</t>
        </is>
      </c>
      <c r="E439" s="63" t="inlineStr">
        <is>
          <t>34.098,99</t>
        </is>
      </c>
      <c r="F439" s="65" t="inlineStr">
        <is>
          <t>VES</t>
        </is>
      </c>
      <c r="G439" s="65" t="inlineStr">
        <is>
          <t>Banco de Venezuela 6891</t>
        </is>
      </c>
      <c r="H439" s="63" t="inlineStr">
        <is>
          <t>64,72</t>
        </is>
      </c>
      <c r="I439" s="65" t="n">
        <v>164</v>
      </c>
      <c r="J439" s="65" t="inlineStr">
        <is>
          <t>00-00000607</t>
        </is>
      </c>
      <c r="K439" s="66" t="n">
        <v>46185</v>
      </c>
      <c r="L439" s="63" t="inlineStr">
        <is>
          <t>0,00</t>
        </is>
      </c>
      <c r="M439" s="63" t="inlineStr">
        <is>
          <t>0,00</t>
        </is>
      </c>
    </row>
    <row r="440">
      <c r="A440" s="66" t="n">
        <v>46164</v>
      </c>
      <c r="B440" s="65" t="inlineStr">
        <is>
          <t>PBAMI/2026/00260</t>
        </is>
      </c>
      <c r="C440" s="65" t="n">
        <v>989</v>
      </c>
      <c r="D440" s="65" t="inlineStr">
        <is>
          <t>Emprendimiento José Sánchez 203 c.a</t>
        </is>
      </c>
      <c r="E440" s="63" t="inlineStr">
        <is>
          <t>35.850,00</t>
        </is>
      </c>
      <c r="F440" s="65" t="inlineStr">
        <is>
          <t>VES</t>
        </is>
      </c>
      <c r="G440" s="65" t="inlineStr">
        <is>
          <t>Banco Bancamiga 7806</t>
        </is>
      </c>
      <c r="H440" s="63" t="inlineStr">
        <is>
          <t>68,04</t>
        </is>
      </c>
      <c r="I440" s="65" t="n"/>
      <c r="J440" s="65" t="n"/>
      <c r="K440" s="65" t="n"/>
      <c r="L440" s="65" t="n"/>
      <c r="M440" s="65" t="n"/>
    </row>
    <row r="441">
      <c r="A441" s="66" t="n">
        <v>46164</v>
      </c>
      <c r="B441" s="65" t="inlineStr">
        <is>
          <t>PBAMI/2026/00227</t>
        </is>
      </c>
      <c r="C441" s="65" t="n">
        <v>457</v>
      </c>
      <c r="D441" s="65" t="inlineStr">
        <is>
          <t>Distribuidora Nesmari 2050 c.a</t>
        </is>
      </c>
      <c r="E441" s="63" t="inlineStr">
        <is>
          <t>40.000,00</t>
        </is>
      </c>
      <c r="F441" s="65" t="inlineStr">
        <is>
          <t>VES</t>
        </is>
      </c>
      <c r="G441" s="65" t="inlineStr">
        <is>
          <t>Banco Bancamiga 7806</t>
        </is>
      </c>
      <c r="H441" s="63" t="inlineStr">
        <is>
          <t>75,92</t>
        </is>
      </c>
      <c r="I441" s="65" t="n">
        <v>276</v>
      </c>
      <c r="J441" s="65" t="inlineStr">
        <is>
          <t>00-00000813</t>
        </is>
      </c>
      <c r="K441" s="66" t="n">
        <v>46214</v>
      </c>
      <c r="L441" s="63" t="inlineStr">
        <is>
          <t>83,81</t>
        </is>
      </c>
      <c r="M441" s="63" t="inlineStr">
        <is>
          <t>0,00</t>
        </is>
      </c>
    </row>
    <row r="442">
      <c r="A442" s="66" t="n">
        <v>46164</v>
      </c>
      <c r="B442" s="65" t="inlineStr">
        <is>
          <t>PBAMI/2026/00097</t>
        </is>
      </c>
      <c r="C442" s="65" t="n">
        <v>453</v>
      </c>
      <c r="D442" s="65" t="inlineStr">
        <is>
          <t>Corporación Lubricantes 7ma Av.C.A</t>
        </is>
      </c>
      <c r="E442" s="63" t="inlineStr">
        <is>
          <t>30.519,00</t>
        </is>
      </c>
      <c r="F442" s="65" t="inlineStr">
        <is>
          <t>VES</t>
        </is>
      </c>
      <c r="G442" s="65" t="inlineStr">
        <is>
          <t>Banco Bancamiga 7806</t>
        </is>
      </c>
      <c r="H442" s="63" t="inlineStr">
        <is>
          <t>57,93</t>
        </is>
      </c>
      <c r="I442" s="65" t="n">
        <v>231</v>
      </c>
      <c r="J442" s="65" t="inlineStr">
        <is>
          <t>00-00000753</t>
        </is>
      </c>
      <c r="K442" s="66" t="n">
        <v>46210</v>
      </c>
      <c r="L442" s="63" t="inlineStr">
        <is>
          <t>575,72</t>
        </is>
      </c>
      <c r="M442" s="63" t="inlineStr">
        <is>
          <t>0,00</t>
        </is>
      </c>
    </row>
    <row r="443">
      <c r="A443" s="66" t="n">
        <v>46164</v>
      </c>
      <c r="B443" s="65" t="inlineStr">
        <is>
          <t>PBAMI/2026/00096</t>
        </is>
      </c>
      <c r="C443" s="65" t="n">
        <v>448</v>
      </c>
      <c r="D443" s="65" t="inlineStr">
        <is>
          <t>PROYECTOS Y DESARROLLO TOMTOM,C.A.</t>
        </is>
      </c>
      <c r="E443" s="63" t="inlineStr">
        <is>
          <t>1.298.311,58</t>
        </is>
      </c>
      <c r="F443" s="65" t="inlineStr">
        <is>
          <t>VES</t>
        </is>
      </c>
      <c r="G443" s="65" t="inlineStr">
        <is>
          <t>Banco Bancamiga 7806</t>
        </is>
      </c>
      <c r="H443" s="63" t="inlineStr">
        <is>
          <t>2.464,20</t>
        </is>
      </c>
      <c r="I443" s="65" t="n">
        <v>90</v>
      </c>
      <c r="J443" s="65" t="inlineStr">
        <is>
          <t>00-00000425</t>
        </is>
      </c>
      <c r="K443" s="66" t="n">
        <v>46164</v>
      </c>
      <c r="L443" s="63" t="inlineStr">
        <is>
          <t>0,00</t>
        </is>
      </c>
      <c r="M443" s="63" t="inlineStr">
        <is>
          <t>0,00</t>
        </is>
      </c>
    </row>
    <row r="444">
      <c r="A444" s="66" t="n">
        <v>46163</v>
      </c>
      <c r="B444" s="65" t="inlineStr">
        <is>
          <t>PUSD1/2026/00476</t>
        </is>
      </c>
      <c r="C444" s="65" t="n">
        <v>431</v>
      </c>
      <c r="D444" s="65" t="inlineStr">
        <is>
          <t>Inversiones Los compadres 7686, c.a.</t>
        </is>
      </c>
      <c r="E444" s="63" t="inlineStr">
        <is>
          <t>71,00</t>
        </is>
      </c>
      <c r="F444" s="65" t="inlineStr">
        <is>
          <t>USD</t>
        </is>
      </c>
      <c r="G444" s="65" t="inlineStr">
        <is>
          <t>Efectivo moneda extrajera (USD)</t>
        </is>
      </c>
      <c r="H444" s="63" t="inlineStr">
        <is>
          <t>71,00</t>
        </is>
      </c>
      <c r="I444" s="65" t="n"/>
      <c r="J444" s="65" t="n"/>
      <c r="K444" s="65" t="n"/>
      <c r="L444" s="65" t="n"/>
      <c r="M444" s="65" t="n"/>
    </row>
    <row r="445">
      <c r="A445" s="66" t="n">
        <v>46163</v>
      </c>
      <c r="B445" s="65" t="inlineStr">
        <is>
          <t>PUSD1/2026/00300</t>
        </is>
      </c>
      <c r="C445" s="65" t="n">
        <v>632</v>
      </c>
      <c r="D445" s="65" t="inlineStr">
        <is>
          <t>Angel ARMAS</t>
        </is>
      </c>
      <c r="E445" s="63" t="inlineStr">
        <is>
          <t>76,00</t>
        </is>
      </c>
      <c r="F445" s="65" t="inlineStr">
        <is>
          <t>USD</t>
        </is>
      </c>
      <c r="G445" s="65" t="inlineStr">
        <is>
          <t>Efectivo moneda extrajera (USD)</t>
        </is>
      </c>
      <c r="H445" s="63" t="inlineStr">
        <is>
          <t>76,00</t>
        </is>
      </c>
      <c r="I445" s="65" t="n">
        <v>287</v>
      </c>
      <c r="J445" s="65" t="inlineStr">
        <is>
          <t>00-00000825</t>
        </is>
      </c>
      <c r="K445" s="66" t="n">
        <v>46214</v>
      </c>
      <c r="L445" s="63" t="inlineStr">
        <is>
          <t>0,00</t>
        </is>
      </c>
      <c r="M445" s="63" t="inlineStr">
        <is>
          <t>0,00</t>
        </is>
      </c>
    </row>
    <row r="446">
      <c r="A446" s="66" t="n">
        <v>46163</v>
      </c>
      <c r="B446" s="65" t="inlineStr">
        <is>
          <t>PUSD1/2026/00226</t>
        </is>
      </c>
      <c r="C446" s="65" t="n">
        <v>428</v>
      </c>
      <c r="D446" s="65" t="inlineStr">
        <is>
          <t>Dimas Ortíz</t>
        </is>
      </c>
      <c r="E446" s="63" t="inlineStr">
        <is>
          <t>110,00</t>
        </is>
      </c>
      <c r="F446" s="65" t="inlineStr">
        <is>
          <t>USD</t>
        </is>
      </c>
      <c r="G446" s="65" t="inlineStr">
        <is>
          <t>Efectivo moneda extrajera (USD)</t>
        </is>
      </c>
      <c r="H446" s="63" t="inlineStr">
        <is>
          <t>110,00</t>
        </is>
      </c>
      <c r="I446" s="65" t="n">
        <v>100</v>
      </c>
      <c r="J446" s="65" t="inlineStr">
        <is>
          <t>00-00000454</t>
        </is>
      </c>
      <c r="K446" s="66" t="n">
        <v>46163</v>
      </c>
      <c r="L446" s="63" t="inlineStr">
        <is>
          <t>0,03</t>
        </is>
      </c>
      <c r="M446" s="63" t="inlineStr">
        <is>
          <t>0,00</t>
        </is>
      </c>
    </row>
    <row r="447">
      <c r="A447" s="66" t="n">
        <v>46163</v>
      </c>
      <c r="B447" s="65" t="inlineStr">
        <is>
          <t>PUSD1/2026/00225</t>
        </is>
      </c>
      <c r="C447" s="65" t="n">
        <v>441</v>
      </c>
      <c r="D447" s="65" t="inlineStr">
        <is>
          <t>Cooperativa Dios mi Amparo, R.L.</t>
        </is>
      </c>
      <c r="E447" s="63" t="inlineStr">
        <is>
          <t>60,00</t>
        </is>
      </c>
      <c r="F447" s="65" t="inlineStr">
        <is>
          <t>USD</t>
        </is>
      </c>
      <c r="G447" s="65" t="inlineStr">
        <is>
          <t>Efectivo moneda extrajera (USD)</t>
        </is>
      </c>
      <c r="H447" s="63" t="inlineStr">
        <is>
          <t>60,00</t>
        </is>
      </c>
      <c r="I447" s="65" t="n">
        <v>289</v>
      </c>
      <c r="J447" s="65" t="inlineStr">
        <is>
          <t>00-00000827</t>
        </is>
      </c>
      <c r="K447" s="66" t="n">
        <v>46214</v>
      </c>
      <c r="L447" s="63" t="inlineStr">
        <is>
          <t>69,00</t>
        </is>
      </c>
      <c r="M447" s="63" t="inlineStr">
        <is>
          <t>0,00</t>
        </is>
      </c>
    </row>
    <row r="448">
      <c r="A448" s="66" t="n">
        <v>46163</v>
      </c>
      <c r="B448" s="65" t="inlineStr">
        <is>
          <t>PUSD1/2026/00224</t>
        </is>
      </c>
      <c r="C448" s="65" t="n">
        <v>440</v>
      </c>
      <c r="D448" s="65" t="inlineStr">
        <is>
          <t>Javier gregorio Espinoza</t>
        </is>
      </c>
      <c r="E448" s="63" t="inlineStr">
        <is>
          <t>50,00</t>
        </is>
      </c>
      <c r="F448" s="65" t="inlineStr">
        <is>
          <t>USD</t>
        </is>
      </c>
      <c r="G448" s="65" t="inlineStr">
        <is>
          <t>Efectivo moneda extrajera (USD)</t>
        </is>
      </c>
      <c r="H448" s="63" t="inlineStr">
        <is>
          <t>50,00</t>
        </is>
      </c>
      <c r="I448" s="65" t="n"/>
      <c r="J448" s="65" t="n"/>
      <c r="K448" s="65" t="n"/>
      <c r="L448" s="65" t="n"/>
      <c r="M448" s="65" t="n"/>
    </row>
    <row r="449">
      <c r="A449" s="66" t="n">
        <v>46163</v>
      </c>
      <c r="B449" s="65" t="inlineStr">
        <is>
          <t>PUSD1/2026/00223</t>
        </is>
      </c>
      <c r="C449" s="65" t="n">
        <v>436</v>
      </c>
      <c r="D449" s="65" t="inlineStr">
        <is>
          <t>EMPRENDIMIENTO IRMA RODRIGUEZ 6</t>
        </is>
      </c>
      <c r="E449" s="63" t="inlineStr">
        <is>
          <t>213,00</t>
        </is>
      </c>
      <c r="F449" s="65" t="inlineStr">
        <is>
          <t>USD</t>
        </is>
      </c>
      <c r="G449" s="65" t="inlineStr">
        <is>
          <t>Efectivo moneda extrajera (USD)</t>
        </is>
      </c>
      <c r="H449" s="63" t="inlineStr">
        <is>
          <t>213,00</t>
        </is>
      </c>
      <c r="I449" s="65" t="n">
        <v>112</v>
      </c>
      <c r="J449" s="65" t="inlineStr">
        <is>
          <t>00-00000484</t>
        </is>
      </c>
      <c r="K449" s="66" t="n">
        <v>46175</v>
      </c>
      <c r="L449" s="63" t="inlineStr">
        <is>
          <t>0,00</t>
        </is>
      </c>
      <c r="M449" s="63" t="inlineStr">
        <is>
          <t>0,00</t>
        </is>
      </c>
    </row>
    <row r="450">
      <c r="A450" s="66" t="n">
        <v>46163</v>
      </c>
      <c r="B450" s="65" t="inlineStr">
        <is>
          <t>PUSD1/2026/00222</t>
        </is>
      </c>
      <c r="C450" s="65" t="n">
        <v>434</v>
      </c>
      <c r="D450" s="65" t="inlineStr">
        <is>
          <t>Nemer Bourji</t>
        </is>
      </c>
      <c r="E450" s="63" t="inlineStr">
        <is>
          <t>4,00</t>
        </is>
      </c>
      <c r="F450" s="65" t="inlineStr">
        <is>
          <t>USD</t>
        </is>
      </c>
      <c r="G450" s="65" t="inlineStr">
        <is>
          <t>Efectivo moneda extrajera (USD)</t>
        </is>
      </c>
      <c r="H450" s="63" t="inlineStr">
        <is>
          <t>4,00</t>
        </is>
      </c>
      <c r="I450" s="65" t="n"/>
      <c r="J450" s="65" t="n"/>
      <c r="K450" s="65" t="n"/>
      <c r="L450" s="65" t="n"/>
      <c r="M450" s="65" t="n"/>
    </row>
    <row r="451">
      <c r="A451" s="66" t="n">
        <v>46163</v>
      </c>
      <c r="B451" s="65" t="inlineStr">
        <is>
          <t>PUSD1/2026/00221</t>
        </is>
      </c>
      <c r="C451" s="65" t="n">
        <v>433</v>
      </c>
      <c r="D451" s="65" t="inlineStr">
        <is>
          <t>Ramon Alvarez Mota</t>
        </is>
      </c>
      <c r="E451" s="63" t="inlineStr">
        <is>
          <t>36,00</t>
        </is>
      </c>
      <c r="F451" s="65" t="inlineStr">
        <is>
          <t>USD</t>
        </is>
      </c>
      <c r="G451" s="65" t="inlineStr">
        <is>
          <t>Efectivo moneda extrajera (USD)</t>
        </is>
      </c>
      <c r="H451" s="63" t="inlineStr">
        <is>
          <t>36,00</t>
        </is>
      </c>
      <c r="I451" s="65" t="n">
        <v>260</v>
      </c>
      <c r="J451" s="65" t="inlineStr">
        <is>
          <t>00-00000797</t>
        </is>
      </c>
      <c r="K451" s="66" t="n">
        <v>46214</v>
      </c>
      <c r="L451" s="63" t="inlineStr">
        <is>
          <t>0,00</t>
        </is>
      </c>
      <c r="M451" s="63" t="inlineStr">
        <is>
          <t>0,00</t>
        </is>
      </c>
    </row>
    <row r="452">
      <c r="A452" s="66" t="n">
        <v>46163</v>
      </c>
      <c r="B452" s="65" t="inlineStr">
        <is>
          <t>PUSD1/2026/00220</t>
        </is>
      </c>
      <c r="C452" s="65" t="n">
        <v>435</v>
      </c>
      <c r="D452" s="65" t="inlineStr">
        <is>
          <t>Katiuska Alejandra Curvelo</t>
        </is>
      </c>
      <c r="E452" s="63" t="inlineStr">
        <is>
          <t>4,00</t>
        </is>
      </c>
      <c r="F452" s="65" t="inlineStr">
        <is>
          <t>USD</t>
        </is>
      </c>
      <c r="G452" s="65" t="inlineStr">
        <is>
          <t>Efectivo moneda extrajera (USD)</t>
        </is>
      </c>
      <c r="H452" s="63" t="inlineStr">
        <is>
          <t>4,00</t>
        </is>
      </c>
      <c r="I452" s="65" t="n"/>
      <c r="J452" s="65" t="n"/>
      <c r="K452" s="65" t="n"/>
      <c r="L452" s="65" t="n"/>
      <c r="M452" s="65" t="n"/>
    </row>
    <row r="453">
      <c r="A453" s="66" t="n">
        <v>46163</v>
      </c>
      <c r="B453" s="65" t="inlineStr">
        <is>
          <t>PUSD1/2026/00219</t>
        </is>
      </c>
      <c r="C453" s="65" t="n">
        <v>430</v>
      </c>
      <c r="D453" s="65" t="inlineStr">
        <is>
          <t>Constructora Campo Urbano,c.a.</t>
        </is>
      </c>
      <c r="E453" s="63" t="inlineStr">
        <is>
          <t>200,00</t>
        </is>
      </c>
      <c r="F453" s="65" t="inlineStr">
        <is>
          <t>USD</t>
        </is>
      </c>
      <c r="G453" s="65" t="inlineStr">
        <is>
          <t>Efectivo moneda extrajera (USD)</t>
        </is>
      </c>
      <c r="H453" s="63" t="inlineStr">
        <is>
          <t>200,00</t>
        </is>
      </c>
      <c r="I453" s="65" t="n">
        <v>137</v>
      </c>
      <c r="J453" s="65" t="inlineStr">
        <is>
          <t>00-00000570</t>
        </is>
      </c>
      <c r="K453" s="66" t="n">
        <v>46184</v>
      </c>
      <c r="L453" s="63" t="inlineStr">
        <is>
          <t>0,01</t>
        </is>
      </c>
      <c r="M453" s="63" t="inlineStr">
        <is>
          <t>0,00</t>
        </is>
      </c>
    </row>
    <row r="454">
      <c r="A454" s="66" t="n">
        <v>46163</v>
      </c>
      <c r="B454" s="65" t="inlineStr">
        <is>
          <t>PUSD1/2026/00218</t>
        </is>
      </c>
      <c r="C454" s="65" t="n">
        <v>429</v>
      </c>
      <c r="D454" s="65" t="inlineStr">
        <is>
          <t>Katiuska Alejandra Curvelo</t>
        </is>
      </c>
      <c r="E454" s="63" t="inlineStr">
        <is>
          <t>191,00</t>
        </is>
      </c>
      <c r="F454" s="65" t="inlineStr">
        <is>
          <t>USD</t>
        </is>
      </c>
      <c r="G454" s="65" t="inlineStr">
        <is>
          <t>Efectivo moneda extrajera (USD)</t>
        </is>
      </c>
      <c r="H454" s="63" t="inlineStr">
        <is>
          <t>191,00</t>
        </is>
      </c>
      <c r="I454" s="65" t="n"/>
      <c r="J454" s="65" t="n"/>
      <c r="K454" s="65" t="n"/>
      <c r="L454" s="65" t="n"/>
      <c r="M454" s="65" t="n"/>
    </row>
    <row r="455">
      <c r="A455" s="66" t="n">
        <v>46163</v>
      </c>
      <c r="B455" s="65" t="inlineStr">
        <is>
          <t>PBAMI/2026/00108</t>
        </is>
      </c>
      <c r="C455" s="65" t="n">
        <v>443</v>
      </c>
      <c r="D455" s="65" t="inlineStr">
        <is>
          <t>INVERSIONES JOSCAR XXI, S.A.</t>
        </is>
      </c>
      <c r="E455" s="63" t="inlineStr">
        <is>
          <t>105.000,00</t>
        </is>
      </c>
      <c r="F455" s="65" t="inlineStr">
        <is>
          <t>VES</t>
        </is>
      </c>
      <c r="G455" s="65" t="inlineStr">
        <is>
          <t>Banco Bancamiga 7806</t>
        </is>
      </c>
      <c r="H455" s="63" t="inlineStr">
        <is>
          <t>200,51</t>
        </is>
      </c>
      <c r="I455" s="65" t="n"/>
      <c r="J455" s="65" t="n"/>
      <c r="K455" s="65" t="n"/>
      <c r="L455" s="65" t="n"/>
      <c r="M455" s="65" t="n"/>
    </row>
    <row r="456">
      <c r="A456" s="66" t="n">
        <v>46163</v>
      </c>
      <c r="B456" s="65" t="inlineStr">
        <is>
          <t>PBAMI/2026/00095</t>
        </is>
      </c>
      <c r="C456" s="65" t="n">
        <v>438</v>
      </c>
      <c r="D456" s="65" t="inlineStr">
        <is>
          <t>MARTIN RAMON DIAZ BOLIVAR</t>
        </is>
      </c>
      <c r="E456" s="63" t="inlineStr">
        <is>
          <t>26.183,50</t>
        </is>
      </c>
      <c r="F456" s="65" t="inlineStr">
        <is>
          <t>VES</t>
        </is>
      </c>
      <c r="G456" s="65" t="inlineStr">
        <is>
          <t>Banco Bancamiga 7806</t>
        </is>
      </c>
      <c r="H456" s="63" t="inlineStr">
        <is>
          <t>50,00</t>
        </is>
      </c>
      <c r="I456" s="65" t="n">
        <v>255</v>
      </c>
      <c r="J456" s="65" t="inlineStr">
        <is>
          <t>00-00000777</t>
        </is>
      </c>
      <c r="K456" s="66" t="n">
        <v>46211</v>
      </c>
      <c r="L456" s="63" t="inlineStr">
        <is>
          <t>58,01</t>
        </is>
      </c>
      <c r="M456" s="63" t="inlineStr">
        <is>
          <t>0,00</t>
        </is>
      </c>
    </row>
    <row r="457">
      <c r="A457" s="66" t="n">
        <v>46163</v>
      </c>
      <c r="B457" s="65" t="inlineStr">
        <is>
          <t>PBAMI/2026/00094</t>
        </is>
      </c>
      <c r="C457" s="65" t="n">
        <v>437</v>
      </c>
      <c r="D457" s="65" t="inlineStr">
        <is>
          <t>CAUCHOS Y ACCESORIOS LA CAMPIÑA, C.A.</t>
        </is>
      </c>
      <c r="E457" s="63" t="inlineStr">
        <is>
          <t>154.901,58</t>
        </is>
      </c>
      <c r="F457" s="65" t="inlineStr">
        <is>
          <t>VES</t>
        </is>
      </c>
      <c r="G457" s="65" t="inlineStr">
        <is>
          <t>Banco Bancamiga 7806</t>
        </is>
      </c>
      <c r="H457" s="63" t="inlineStr">
        <is>
          <t>295,80</t>
        </is>
      </c>
      <c r="I457" s="65" t="n">
        <v>293</v>
      </c>
      <c r="J457" s="65" t="inlineStr">
        <is>
          <t>00-00000832</t>
        </is>
      </c>
      <c r="K457" s="66" t="n">
        <v>46214</v>
      </c>
      <c r="L457" s="63" t="inlineStr">
        <is>
          <t>0,02</t>
        </is>
      </c>
      <c r="M457" s="63" t="inlineStr">
        <is>
          <t>0,00</t>
        </is>
      </c>
    </row>
    <row r="458">
      <c r="A458" s="66" t="n">
        <v>46162</v>
      </c>
      <c r="B458" s="65" t="inlineStr">
        <is>
          <t>PUSD1/2026/00217</t>
        </is>
      </c>
      <c r="C458" s="65" t="n">
        <v>427</v>
      </c>
      <c r="D458" s="65" t="inlineStr">
        <is>
          <t>Josefina Guevera</t>
        </is>
      </c>
      <c r="E458" s="63" t="inlineStr">
        <is>
          <t>58,00</t>
        </is>
      </c>
      <c r="F458" s="65" t="inlineStr">
        <is>
          <t>USD</t>
        </is>
      </c>
      <c r="G458" s="65" t="inlineStr">
        <is>
          <t>Efectivo moneda extrajera (USD)</t>
        </is>
      </c>
      <c r="H458" s="63" t="inlineStr">
        <is>
          <t>58,00</t>
        </is>
      </c>
      <c r="I458" s="65" t="n">
        <v>292</v>
      </c>
      <c r="J458" s="65" t="inlineStr">
        <is>
          <t>00-00000831</t>
        </is>
      </c>
      <c r="K458" s="66" t="n">
        <v>46214</v>
      </c>
      <c r="L458" s="63" t="inlineStr">
        <is>
          <t>176,00</t>
        </is>
      </c>
      <c r="M458" s="63" t="inlineStr">
        <is>
          <t>0,00</t>
        </is>
      </c>
    </row>
    <row r="459">
      <c r="A459" s="66" t="n">
        <v>46162</v>
      </c>
      <c r="B459" s="65" t="inlineStr">
        <is>
          <t>PUSD1/2026/00216</t>
        </is>
      </c>
      <c r="C459" s="65" t="n">
        <v>425</v>
      </c>
      <c r="D459" s="65" t="inlineStr">
        <is>
          <t>Emprendimiento Jordy Valencia</t>
        </is>
      </c>
      <c r="E459" s="63" t="inlineStr">
        <is>
          <t>150,00</t>
        </is>
      </c>
      <c r="F459" s="65" t="inlineStr">
        <is>
          <t>USD</t>
        </is>
      </c>
      <c r="G459" s="65" t="inlineStr">
        <is>
          <t>Efectivo moneda extrajera (USD)</t>
        </is>
      </c>
      <c r="H459" s="63" t="inlineStr">
        <is>
          <t>150,00</t>
        </is>
      </c>
      <c r="I459" s="65" t="n"/>
      <c r="J459" s="65" t="n"/>
      <c r="K459" s="65" t="n"/>
      <c r="L459" s="65" t="n"/>
      <c r="M459" s="65" t="n"/>
    </row>
    <row r="460">
      <c r="A460" s="66" t="n">
        <v>46162</v>
      </c>
      <c r="B460" s="65" t="inlineStr">
        <is>
          <t>PUSD1/2026/00215</t>
        </is>
      </c>
      <c r="C460" s="65" t="n">
        <v>423</v>
      </c>
      <c r="D460" s="65" t="inlineStr">
        <is>
          <t>Wili Mervin León Romero</t>
        </is>
      </c>
      <c r="E460" s="63" t="inlineStr">
        <is>
          <t>50,00</t>
        </is>
      </c>
      <c r="F460" s="65" t="inlineStr">
        <is>
          <t>USD</t>
        </is>
      </c>
      <c r="G460" s="65" t="inlineStr">
        <is>
          <t>Efectivo moneda extrajera (USD)</t>
        </is>
      </c>
      <c r="H460" s="63" t="inlineStr">
        <is>
          <t>50,00</t>
        </is>
      </c>
      <c r="I460" s="65" t="n"/>
      <c r="J460" s="65" t="n"/>
      <c r="K460" s="65" t="n"/>
      <c r="L460" s="65" t="n"/>
      <c r="M460" s="65" t="n"/>
    </row>
    <row r="461">
      <c r="A461" s="66" t="n">
        <v>46162</v>
      </c>
      <c r="B461" s="65" t="inlineStr">
        <is>
          <t>PUSD1/2026/00214</t>
        </is>
      </c>
      <c r="C461" s="65" t="n">
        <v>424</v>
      </c>
      <c r="D461" s="65" t="inlineStr">
        <is>
          <t>ERICH GILBERTO CASERES MELENDEZ</t>
        </is>
      </c>
      <c r="E461" s="63" t="inlineStr">
        <is>
          <t>30,00</t>
        </is>
      </c>
      <c r="F461" s="65" t="inlineStr">
        <is>
          <t>USD</t>
        </is>
      </c>
      <c r="G461" s="65" t="inlineStr">
        <is>
          <t>Efectivo moneda extrajera (USD)</t>
        </is>
      </c>
      <c r="H461" s="63" t="inlineStr">
        <is>
          <t>30,00</t>
        </is>
      </c>
      <c r="I461" s="65" t="n">
        <v>140</v>
      </c>
      <c r="J461" s="65" t="inlineStr">
        <is>
          <t>00-00000583</t>
        </is>
      </c>
      <c r="K461" s="66" t="n">
        <v>46185</v>
      </c>
      <c r="L461" s="63" t="inlineStr">
        <is>
          <t>0,00</t>
        </is>
      </c>
      <c r="M461" s="63" t="inlineStr">
        <is>
          <t>0,00</t>
        </is>
      </c>
    </row>
    <row r="462">
      <c r="A462" s="66" t="n">
        <v>46162</v>
      </c>
      <c r="B462" s="65" t="inlineStr">
        <is>
          <t>PUSD1/2026/00213</t>
        </is>
      </c>
      <c r="C462" s="65" t="n">
        <v>422</v>
      </c>
      <c r="D462" s="65" t="inlineStr">
        <is>
          <t>Edgar salas</t>
        </is>
      </c>
      <c r="E462" s="63" t="inlineStr">
        <is>
          <t>3,00</t>
        </is>
      </c>
      <c r="F462" s="65" t="inlineStr">
        <is>
          <t>USD</t>
        </is>
      </c>
      <c r="G462" s="65" t="inlineStr">
        <is>
          <t>Efectivo moneda extrajera (USD)</t>
        </is>
      </c>
      <c r="H462" s="63" t="inlineStr">
        <is>
          <t>3,00</t>
        </is>
      </c>
      <c r="I462" s="65" t="n">
        <v>184</v>
      </c>
      <c r="J462" s="65" t="inlineStr">
        <is>
          <t>00-00000645</t>
        </is>
      </c>
      <c r="K462" s="66" t="n">
        <v>46190</v>
      </c>
      <c r="L462" s="63" t="inlineStr">
        <is>
          <t>0,00</t>
        </is>
      </c>
      <c r="M462" s="63" t="inlineStr">
        <is>
          <t>0,00</t>
        </is>
      </c>
    </row>
    <row r="463">
      <c r="A463" s="66" t="n">
        <v>46162</v>
      </c>
      <c r="B463" s="65" t="inlineStr">
        <is>
          <t>PUSD1/2026/00212</t>
        </is>
      </c>
      <c r="C463" s="65" t="n">
        <v>420</v>
      </c>
      <c r="D463" s="65" t="inlineStr">
        <is>
          <t>Edgar salas</t>
        </is>
      </c>
      <c r="E463" s="63" t="inlineStr">
        <is>
          <t>53,00</t>
        </is>
      </c>
      <c r="F463" s="65" t="inlineStr">
        <is>
          <t>USD</t>
        </is>
      </c>
      <c r="G463" s="65" t="inlineStr">
        <is>
          <t>Efectivo moneda extrajera (USD)</t>
        </is>
      </c>
      <c r="H463" s="63" t="inlineStr">
        <is>
          <t>53,00</t>
        </is>
      </c>
      <c r="I463" s="65" t="n">
        <v>75</v>
      </c>
      <c r="J463" s="65" t="inlineStr">
        <is>
          <t>00-00000389</t>
        </is>
      </c>
      <c r="K463" s="66" t="n">
        <v>46162</v>
      </c>
      <c r="L463" s="63" t="inlineStr">
        <is>
          <t>0,00</t>
        </is>
      </c>
      <c r="M463" s="63" t="inlineStr">
        <is>
          <t>0,00</t>
        </is>
      </c>
    </row>
    <row r="464">
      <c r="A464" s="66" t="n">
        <v>46161</v>
      </c>
      <c r="B464" s="65" t="inlineStr">
        <is>
          <t>PUSD1/2026/00252</t>
        </is>
      </c>
      <c r="C464" s="65" t="n">
        <v>405</v>
      </c>
      <c r="D464" s="65" t="inlineStr">
        <is>
          <t>Javier Cardenas Prato.</t>
        </is>
      </c>
      <c r="E464" s="63" t="inlineStr">
        <is>
          <t>7,00</t>
        </is>
      </c>
      <c r="F464" s="65" t="inlineStr">
        <is>
          <t>USD</t>
        </is>
      </c>
      <c r="G464" s="65" t="inlineStr">
        <is>
          <t>Efectivo moneda extrajera (USD)</t>
        </is>
      </c>
      <c r="H464" s="63" t="inlineStr">
        <is>
          <t>7,00</t>
        </is>
      </c>
      <c r="I464" s="65" t="n"/>
      <c r="J464" s="65" t="n"/>
      <c r="K464" s="65" t="n"/>
      <c r="L464" s="65" t="n"/>
      <c r="M464" s="65" t="n"/>
    </row>
    <row r="465">
      <c r="A465" s="66" t="n">
        <v>46161</v>
      </c>
      <c r="B465" s="65" t="inlineStr">
        <is>
          <t>PUSD1/2026/00251</t>
        </is>
      </c>
      <c r="C465" s="65" t="n">
        <v>413</v>
      </c>
      <c r="D465" s="65" t="inlineStr">
        <is>
          <t>Jorge Luis camacaro</t>
        </is>
      </c>
      <c r="E465" s="63" t="inlineStr">
        <is>
          <t>32,00</t>
        </is>
      </c>
      <c r="F465" s="65" t="inlineStr">
        <is>
          <t>USD</t>
        </is>
      </c>
      <c r="G465" s="65" t="inlineStr">
        <is>
          <t>Efectivo moneda extrajera (USD)</t>
        </is>
      </c>
      <c r="H465" s="63" t="inlineStr">
        <is>
          <t>32,00</t>
        </is>
      </c>
      <c r="I465" s="65" t="n"/>
      <c r="J465" s="65" t="n"/>
      <c r="K465" s="65" t="n"/>
      <c r="L465" s="65" t="n"/>
      <c r="M465" s="65" t="n"/>
    </row>
    <row r="466">
      <c r="A466" s="66" t="n">
        <v>46161</v>
      </c>
      <c r="B466" s="65" t="inlineStr">
        <is>
          <t>PUSD1/2026/00250</t>
        </is>
      </c>
      <c r="C466" s="65" t="n">
        <v>414</v>
      </c>
      <c r="D466" s="65" t="inlineStr">
        <is>
          <t>Jorge Luis camacaro</t>
        </is>
      </c>
      <c r="E466" s="63" t="inlineStr">
        <is>
          <t>20,00</t>
        </is>
      </c>
      <c r="F466" s="65" t="inlineStr">
        <is>
          <t>USD</t>
        </is>
      </c>
      <c r="G466" s="65" t="inlineStr">
        <is>
          <t>Efectivo moneda extrajera (USD)</t>
        </is>
      </c>
      <c r="H466" s="63" t="inlineStr">
        <is>
          <t>20,00</t>
        </is>
      </c>
      <c r="I466" s="65" t="n"/>
      <c r="J466" s="65" t="n"/>
      <c r="K466" s="65" t="n"/>
      <c r="L466" s="65" t="n"/>
      <c r="M466" s="65" t="n"/>
    </row>
    <row r="467">
      <c r="A467" s="66" t="n">
        <v>46161</v>
      </c>
      <c r="B467" s="65" t="inlineStr">
        <is>
          <t>PUSD1/2026/00211</t>
        </is>
      </c>
      <c r="C467" s="65" t="n">
        <v>417</v>
      </c>
      <c r="D467" s="65" t="inlineStr">
        <is>
          <t>Sergio Ibrain Rumbo Mundaray</t>
        </is>
      </c>
      <c r="E467" s="63" t="inlineStr">
        <is>
          <t>68,00</t>
        </is>
      </c>
      <c r="F467" s="65" t="inlineStr">
        <is>
          <t>USD</t>
        </is>
      </c>
      <c r="G467" s="65" t="inlineStr">
        <is>
          <t>Efectivo moneda extrajera (USD)</t>
        </is>
      </c>
      <c r="H467" s="63" t="inlineStr">
        <is>
          <t>68,00</t>
        </is>
      </c>
      <c r="I467" s="65" t="n">
        <v>116</v>
      </c>
      <c r="J467" s="65" t="inlineStr">
        <is>
          <t>00-00000488</t>
        </is>
      </c>
      <c r="K467" s="66" t="n">
        <v>46175</v>
      </c>
      <c r="L467" s="63" t="inlineStr">
        <is>
          <t>0,00</t>
        </is>
      </c>
      <c r="M467" s="63" t="inlineStr">
        <is>
          <t>0,00</t>
        </is>
      </c>
    </row>
    <row r="468">
      <c r="A468" s="66" t="n">
        <v>46161</v>
      </c>
      <c r="B468" s="65" t="inlineStr">
        <is>
          <t>PUSD1/2026/00210</t>
        </is>
      </c>
      <c r="C468" s="65" t="n">
        <v>409</v>
      </c>
      <c r="D468" s="65" t="inlineStr">
        <is>
          <t>Javier gregorio Espinoza</t>
        </is>
      </c>
      <c r="E468" s="63" t="inlineStr">
        <is>
          <t>30,00</t>
        </is>
      </c>
      <c r="F468" s="65" t="inlineStr">
        <is>
          <t>USD</t>
        </is>
      </c>
      <c r="G468" s="65" t="inlineStr">
        <is>
          <t>Efectivo moneda extrajera (USD)</t>
        </is>
      </c>
      <c r="H468" s="63" t="inlineStr">
        <is>
          <t>30,00</t>
        </is>
      </c>
      <c r="I468" s="65" t="n"/>
      <c r="J468" s="65" t="n"/>
      <c r="K468" s="65" t="n"/>
      <c r="L468" s="65" t="n"/>
      <c r="M468" s="65" t="n"/>
    </row>
    <row r="469">
      <c r="A469" s="66" t="n">
        <v>46161</v>
      </c>
      <c r="B469" s="65" t="inlineStr">
        <is>
          <t>PUSD1/2026/00209</t>
        </is>
      </c>
      <c r="C469" s="65" t="n">
        <v>411</v>
      </c>
      <c r="D469" s="65" t="inlineStr">
        <is>
          <t>Comercializadora Garabote</t>
        </is>
      </c>
      <c r="E469" s="63" t="inlineStr">
        <is>
          <t>250,00</t>
        </is>
      </c>
      <c r="F469" s="65" t="inlineStr">
        <is>
          <t>USD</t>
        </is>
      </c>
      <c r="G469" s="65" t="inlineStr">
        <is>
          <t>Efectivo moneda extrajera (USD)</t>
        </is>
      </c>
      <c r="H469" s="63" t="inlineStr">
        <is>
          <t>250,00</t>
        </is>
      </c>
      <c r="I469" s="65" t="n">
        <v>129</v>
      </c>
      <c r="J469" s="65" t="inlineStr">
        <is>
          <t>00-00000542</t>
        </is>
      </c>
      <c r="K469" s="66" t="n">
        <v>46182</v>
      </c>
      <c r="L469" s="63" t="inlineStr">
        <is>
          <t>0,00</t>
        </is>
      </c>
      <c r="M469" s="63" t="inlineStr">
        <is>
          <t>0,00</t>
        </is>
      </c>
    </row>
    <row r="470">
      <c r="A470" s="66" t="n">
        <v>46161</v>
      </c>
      <c r="B470" s="65" t="inlineStr">
        <is>
          <t>PUSD1/2026/00208</t>
        </is>
      </c>
      <c r="C470" s="65" t="n">
        <v>412</v>
      </c>
      <c r="D470" s="65" t="inlineStr">
        <is>
          <t>Marlene Herrera</t>
        </is>
      </c>
      <c r="E470" s="63" t="inlineStr">
        <is>
          <t>100,00</t>
        </is>
      </c>
      <c r="F470" s="65" t="inlineStr">
        <is>
          <t>USD</t>
        </is>
      </c>
      <c r="G470" s="65" t="inlineStr">
        <is>
          <t>Efectivo moneda extrajera (USD)</t>
        </is>
      </c>
      <c r="H470" s="63" t="inlineStr">
        <is>
          <t>100,00</t>
        </is>
      </c>
      <c r="I470" s="65" t="n">
        <v>234</v>
      </c>
      <c r="J470" s="65" t="inlineStr">
        <is>
          <t>00-00000756</t>
        </is>
      </c>
      <c r="K470" s="66" t="n">
        <v>46210</v>
      </c>
      <c r="L470" s="63" t="inlineStr">
        <is>
          <t>447,02</t>
        </is>
      </c>
      <c r="M470" s="63" t="inlineStr">
        <is>
          <t>0,00</t>
        </is>
      </c>
    </row>
    <row r="471">
      <c r="A471" s="66" t="n">
        <v>46161</v>
      </c>
      <c r="B471" s="65" t="inlineStr">
        <is>
          <t>PUSD1/2026/00207</t>
        </is>
      </c>
      <c r="C471" s="65" t="n">
        <v>408</v>
      </c>
      <c r="D471" s="65" t="inlineStr">
        <is>
          <t>Dimas Ortíz</t>
        </is>
      </c>
      <c r="E471" s="63" t="inlineStr">
        <is>
          <t>120,00</t>
        </is>
      </c>
      <c r="F471" s="65" t="inlineStr">
        <is>
          <t>USD</t>
        </is>
      </c>
      <c r="G471" s="65" t="inlineStr">
        <is>
          <t>Efectivo moneda extrajera (USD)</t>
        </is>
      </c>
      <c r="H471" s="63" t="inlineStr">
        <is>
          <t>120,00</t>
        </is>
      </c>
      <c r="I471" s="65" t="n">
        <v>100</v>
      </c>
      <c r="J471" s="65" t="inlineStr">
        <is>
          <t>00-00000454</t>
        </is>
      </c>
      <c r="K471" s="66" t="n">
        <v>46163</v>
      </c>
      <c r="L471" s="63" t="inlineStr">
        <is>
          <t>0,03</t>
        </is>
      </c>
      <c r="M471" s="63" t="inlineStr">
        <is>
          <t>0,00</t>
        </is>
      </c>
    </row>
    <row r="472">
      <c r="A472" s="66" t="n">
        <v>46161</v>
      </c>
      <c r="B472" s="65" t="inlineStr">
        <is>
          <t>PUSD1/2026/00206</t>
        </is>
      </c>
      <c r="C472" s="65" t="n">
        <v>404</v>
      </c>
      <c r="D472" s="65" t="inlineStr">
        <is>
          <t>Javier Cardenas Prato.</t>
        </is>
      </c>
      <c r="E472" s="63" t="inlineStr">
        <is>
          <t>113,00</t>
        </is>
      </c>
      <c r="F472" s="65" t="inlineStr">
        <is>
          <t>USD</t>
        </is>
      </c>
      <c r="G472" s="65" t="inlineStr">
        <is>
          <t>Efectivo moneda extrajera (USD)</t>
        </is>
      </c>
      <c r="H472" s="63" t="inlineStr">
        <is>
          <t>113,00</t>
        </is>
      </c>
      <c r="I472" s="65" t="n">
        <v>88</v>
      </c>
      <c r="J472" s="65" t="inlineStr">
        <is>
          <t>00-00000423</t>
        </is>
      </c>
      <c r="K472" s="66" t="n">
        <v>46164</v>
      </c>
      <c r="L472" s="63" t="inlineStr">
        <is>
          <t>0,00</t>
        </is>
      </c>
      <c r="M472" s="63" t="inlineStr">
        <is>
          <t>0,00</t>
        </is>
      </c>
    </row>
    <row r="473">
      <c r="A473" s="66" t="n">
        <v>46161</v>
      </c>
      <c r="B473" s="65" t="inlineStr">
        <is>
          <t>PUSD1/2026/00205</t>
        </is>
      </c>
      <c r="C473" s="65" t="n">
        <v>419</v>
      </c>
      <c r="D473" s="65" t="inlineStr">
        <is>
          <t>Inversiones Brayan CT C.A</t>
        </is>
      </c>
      <c r="E473" s="63" t="inlineStr">
        <is>
          <t>40,00</t>
        </is>
      </c>
      <c r="F473" s="65" t="inlineStr">
        <is>
          <t>USD</t>
        </is>
      </c>
      <c r="G473" s="65" t="inlineStr">
        <is>
          <t>Efectivo moneda extrajera (USD)</t>
        </is>
      </c>
      <c r="H473" s="63" t="inlineStr">
        <is>
          <t>40,00</t>
        </is>
      </c>
      <c r="I473" s="65" t="n"/>
      <c r="J473" s="65" t="n"/>
      <c r="K473" s="65" t="n"/>
      <c r="L473" s="65" t="n"/>
      <c r="M473" s="65" t="n"/>
    </row>
    <row r="474">
      <c r="A474" s="66" t="n">
        <v>46161</v>
      </c>
      <c r="B474" s="65" t="inlineStr">
        <is>
          <t>PUSD1/2026/00204</t>
        </is>
      </c>
      <c r="C474" s="65" t="n">
        <v>418</v>
      </c>
      <c r="D474" s="65" t="inlineStr">
        <is>
          <t>Cauchos y Suministros Camacho C.A</t>
        </is>
      </c>
      <c r="E474" s="63" t="inlineStr">
        <is>
          <t>56,00</t>
        </is>
      </c>
      <c r="F474" s="65" t="inlineStr">
        <is>
          <t>USD</t>
        </is>
      </c>
      <c r="G474" s="65" t="inlineStr">
        <is>
          <t>Efectivo moneda extrajera (USD)</t>
        </is>
      </c>
      <c r="H474" s="63" t="inlineStr">
        <is>
          <t>56,00</t>
        </is>
      </c>
      <c r="I474" s="65" t="n">
        <v>279</v>
      </c>
      <c r="J474" s="65" t="inlineStr">
        <is>
          <t>00-00000817</t>
        </is>
      </c>
      <c r="K474" s="66" t="n">
        <v>46214</v>
      </c>
      <c r="L474" s="63" t="inlineStr">
        <is>
          <t>12,00</t>
        </is>
      </c>
      <c r="M474" s="63" t="inlineStr">
        <is>
          <t>0,00</t>
        </is>
      </c>
    </row>
    <row r="475">
      <c r="A475" s="66" t="n">
        <v>46161</v>
      </c>
      <c r="B475" s="65" t="inlineStr">
        <is>
          <t>PBNB/2026/00004</t>
        </is>
      </c>
      <c r="C475" s="65" t="n">
        <v>410</v>
      </c>
      <c r="D475" s="65" t="inlineStr">
        <is>
          <t>Anthony Jose Quijada Diaz.</t>
        </is>
      </c>
      <c r="E475" s="63" t="inlineStr">
        <is>
          <t>109,00</t>
        </is>
      </c>
      <c r="F475" s="65" t="inlineStr">
        <is>
          <t>USD</t>
        </is>
      </c>
      <c r="G475" s="65" t="inlineStr">
        <is>
          <t>Binance (USD)</t>
        </is>
      </c>
      <c r="H475" s="63" t="inlineStr">
        <is>
          <t>109,00</t>
        </is>
      </c>
      <c r="I475" s="65" t="n"/>
      <c r="J475" s="65" t="n"/>
      <c r="K475" s="65" t="n"/>
      <c r="L475" s="65" t="n"/>
      <c r="M475" s="65" t="n"/>
    </row>
    <row r="476">
      <c r="A476" s="66" t="n">
        <v>46161</v>
      </c>
      <c r="B476" s="65" t="inlineStr">
        <is>
          <t>PBAMI/2026/00120</t>
        </is>
      </c>
      <c r="C476" s="65" t="n">
        <v>514</v>
      </c>
      <c r="D476" s="65" t="inlineStr">
        <is>
          <t>CONSTRUCTORA GRANO AGREGADO, C.A</t>
        </is>
      </c>
      <c r="E476" s="63" t="inlineStr">
        <is>
          <t>1.000.000,00</t>
        </is>
      </c>
      <c r="F476" s="65" t="inlineStr">
        <is>
          <t>VES</t>
        </is>
      </c>
      <c r="G476" s="65" t="inlineStr">
        <is>
          <t>Banco Bancamiga 7806</t>
        </is>
      </c>
      <c r="H476" s="63" t="inlineStr">
        <is>
          <t>1.930,64</t>
        </is>
      </c>
      <c r="I476" s="65" t="n">
        <v>102</v>
      </c>
      <c r="J476" s="65" t="inlineStr">
        <is>
          <t>00-00000458</t>
        </is>
      </c>
      <c r="K476" s="66" t="n">
        <v>46170</v>
      </c>
      <c r="L476" s="63" t="inlineStr">
        <is>
          <t>68,88</t>
        </is>
      </c>
      <c r="M476" s="63" t="inlineStr">
        <is>
          <t>0,00</t>
        </is>
      </c>
    </row>
    <row r="477">
      <c r="A477" s="66" t="n">
        <v>46161</v>
      </c>
      <c r="B477" s="65" t="inlineStr">
        <is>
          <t>PBAMI/2026/00110</t>
        </is>
      </c>
      <c r="C477" s="65" t="n">
        <v>491</v>
      </c>
      <c r="D477" s="65" t="inlineStr">
        <is>
          <t>CONSTRUCTORA GRANO AGREGADO, C.A</t>
        </is>
      </c>
      <c r="E477" s="63" t="inlineStr">
        <is>
          <t>739.911,72</t>
        </is>
      </c>
      <c r="F477" s="65" t="inlineStr">
        <is>
          <t>VES</t>
        </is>
      </c>
      <c r="G477" s="65" t="inlineStr">
        <is>
          <t>Banco Bancamiga 7806</t>
        </is>
      </c>
      <c r="H477" s="63" t="inlineStr">
        <is>
          <t>1.428,51</t>
        </is>
      </c>
      <c r="I477" s="65" t="n">
        <v>102</v>
      </c>
      <c r="J477" s="65" t="inlineStr">
        <is>
          <t>00-00000458</t>
        </is>
      </c>
      <c r="K477" s="66" t="n">
        <v>46170</v>
      </c>
      <c r="L477" s="63" t="inlineStr">
        <is>
          <t>68,88</t>
        </is>
      </c>
      <c r="M477" s="63" t="inlineStr">
        <is>
          <t>0,00</t>
        </is>
      </c>
    </row>
    <row r="478">
      <c r="A478" s="66" t="n">
        <v>46161</v>
      </c>
      <c r="B478" s="65" t="inlineStr">
        <is>
          <t>PBAMI/2026/00093</t>
        </is>
      </c>
      <c r="C478" s="65" t="n">
        <v>407</v>
      </c>
      <c r="D478" s="65" t="inlineStr">
        <is>
          <t>Jose Lopez Espinoza</t>
        </is>
      </c>
      <c r="E478" s="63" t="inlineStr">
        <is>
          <t>51.796,19</t>
        </is>
      </c>
      <c r="F478" s="65" t="inlineStr">
        <is>
          <t>VES</t>
        </is>
      </c>
      <c r="G478" s="65" t="inlineStr">
        <is>
          <t>Banco Bancamiga 7806</t>
        </is>
      </c>
      <c r="H478" s="63" t="inlineStr">
        <is>
          <t>100,00</t>
        </is>
      </c>
      <c r="I478" s="65" t="n"/>
      <c r="J478" s="65" t="n"/>
      <c r="K478" s="65" t="n"/>
      <c r="L478" s="65" t="n"/>
      <c r="M478" s="65" t="n"/>
    </row>
    <row r="479">
      <c r="A479" s="66" t="n">
        <v>46160</v>
      </c>
      <c r="B479" s="65" t="inlineStr">
        <is>
          <t>PUSD1/2026/00475</t>
        </is>
      </c>
      <c r="C479" s="65" t="n">
        <v>398</v>
      </c>
      <c r="D479" s="65" t="inlineStr">
        <is>
          <t>AGROPECUARIA EL TORO DORADO, C.A</t>
        </is>
      </c>
      <c r="E479" s="63" t="inlineStr">
        <is>
          <t>600,00</t>
        </is>
      </c>
      <c r="F479" s="65" t="inlineStr">
        <is>
          <t>USD</t>
        </is>
      </c>
      <c r="G479" s="65" t="inlineStr">
        <is>
          <t>Efectivo moneda extrajera (USD)</t>
        </is>
      </c>
      <c r="H479" s="63" t="inlineStr">
        <is>
          <t>600,00</t>
        </is>
      </c>
      <c r="I479" s="65" t="n">
        <v>323</v>
      </c>
      <c r="J479" s="65" t="inlineStr">
        <is>
          <t>00-00000865</t>
        </is>
      </c>
      <c r="K479" s="66" t="n">
        <v>46215</v>
      </c>
      <c r="L479" s="63" t="inlineStr">
        <is>
          <t>38,03</t>
        </is>
      </c>
      <c r="M479" s="63" t="inlineStr">
        <is>
          <t>0,00</t>
        </is>
      </c>
    </row>
    <row r="480">
      <c r="A480" s="66" t="n">
        <v>46160</v>
      </c>
      <c r="B480" s="65" t="inlineStr">
        <is>
          <t>PUSD1/2026/00431</t>
        </is>
      </c>
      <c r="C480" s="65" t="n">
        <v>396</v>
      </c>
      <c r="D480" s="65" t="inlineStr">
        <is>
          <t>Auto Repuestos Acal C.A</t>
        </is>
      </c>
      <c r="E480" s="63" t="inlineStr">
        <is>
          <t>17,00</t>
        </is>
      </c>
      <c r="F480" s="65" t="inlineStr">
        <is>
          <t>USD</t>
        </is>
      </c>
      <c r="G480" s="65" t="inlineStr">
        <is>
          <t>Efectivo moneda extrajera (USD)</t>
        </is>
      </c>
      <c r="H480" s="63" t="inlineStr">
        <is>
          <t>17,00</t>
        </is>
      </c>
      <c r="I480" s="65" t="n">
        <v>71</v>
      </c>
      <c r="J480" s="65" t="inlineStr">
        <is>
          <t>00-00000385</t>
        </is>
      </c>
      <c r="K480" s="66" t="n">
        <v>46162</v>
      </c>
      <c r="L480" s="63" t="inlineStr">
        <is>
          <t>0,00</t>
        </is>
      </c>
      <c r="M480" s="63" t="inlineStr">
        <is>
          <t>0,00</t>
        </is>
      </c>
    </row>
    <row r="481">
      <c r="A481" s="66" t="n">
        <v>46160</v>
      </c>
      <c r="B481" s="65" t="inlineStr">
        <is>
          <t>PUSD1/2026/00200</t>
        </is>
      </c>
      <c r="C481" s="65" t="n">
        <v>387</v>
      </c>
      <c r="D481" s="65" t="inlineStr">
        <is>
          <t>Abraham almenar</t>
        </is>
      </c>
      <c r="E481" s="63" t="inlineStr">
        <is>
          <t>20,00</t>
        </is>
      </c>
      <c r="F481" s="65" t="inlineStr">
        <is>
          <t>USD</t>
        </is>
      </c>
      <c r="G481" s="65" t="inlineStr">
        <is>
          <t>Efectivo moneda extrajera (USD)</t>
        </is>
      </c>
      <c r="H481" s="63" t="inlineStr">
        <is>
          <t>20,00</t>
        </is>
      </c>
      <c r="I481" s="65" t="n">
        <v>315</v>
      </c>
      <c r="J481" s="65" t="inlineStr">
        <is>
          <t>00-00000857</t>
        </is>
      </c>
      <c r="K481" s="66" t="n">
        <v>46215</v>
      </c>
      <c r="L481" s="63" t="inlineStr">
        <is>
          <t>1,00</t>
        </is>
      </c>
      <c r="M481" s="63" t="inlineStr">
        <is>
          <t>0,00</t>
        </is>
      </c>
    </row>
    <row r="482">
      <c r="A482" s="66" t="n">
        <v>46160</v>
      </c>
      <c r="B482" s="65" t="inlineStr">
        <is>
          <t>PUSD1/2026/00199</t>
        </is>
      </c>
      <c r="C482" s="65" t="n">
        <v>397</v>
      </c>
      <c r="D482" s="65" t="inlineStr">
        <is>
          <t>Pedro Castro</t>
        </is>
      </c>
      <c r="E482" s="63" t="inlineStr">
        <is>
          <t>225,00</t>
        </is>
      </c>
      <c r="F482" s="65" t="inlineStr">
        <is>
          <t>USD</t>
        </is>
      </c>
      <c r="G482" s="65" t="inlineStr">
        <is>
          <t>Efectivo moneda extrajera (USD)</t>
        </is>
      </c>
      <c r="H482" s="63" t="inlineStr">
        <is>
          <t>225,00</t>
        </is>
      </c>
      <c r="I482" s="65" t="n">
        <v>85</v>
      </c>
      <c r="J482" s="65" t="inlineStr">
        <is>
          <t>00-00000413</t>
        </is>
      </c>
      <c r="K482" s="66" t="n">
        <v>46163</v>
      </c>
      <c r="L482" s="63" t="inlineStr">
        <is>
          <t>0,02</t>
        </is>
      </c>
      <c r="M482" s="63" t="inlineStr">
        <is>
          <t>0,00</t>
        </is>
      </c>
    </row>
    <row r="483">
      <c r="A483" s="66" t="n">
        <v>46160</v>
      </c>
      <c r="B483" s="65" t="inlineStr">
        <is>
          <t>PUSD1/2026/00198</t>
        </is>
      </c>
      <c r="C483" s="65" t="n">
        <v>391</v>
      </c>
      <c r="D483" s="65" t="inlineStr">
        <is>
          <t>M.L.P Repuestos y Otros, C.A</t>
        </is>
      </c>
      <c r="E483" s="63" t="inlineStr">
        <is>
          <t>300,00</t>
        </is>
      </c>
      <c r="F483" s="65" t="inlineStr">
        <is>
          <t>USD</t>
        </is>
      </c>
      <c r="G483" s="65" t="inlineStr">
        <is>
          <t>Efectivo moneda extrajera (USD)</t>
        </is>
      </c>
      <c r="H483" s="63" t="inlineStr">
        <is>
          <t>300,00</t>
        </is>
      </c>
      <c r="I483" s="65" t="n"/>
      <c r="J483" s="65" t="n"/>
      <c r="K483" s="65" t="n"/>
      <c r="L483" s="65" t="n"/>
      <c r="M483" s="65" t="n"/>
    </row>
    <row r="484">
      <c r="A484" s="66" t="n">
        <v>46160</v>
      </c>
      <c r="B484" s="65" t="inlineStr">
        <is>
          <t>PUSD1/2026/00197</t>
        </is>
      </c>
      <c r="C484" s="65" t="n">
        <v>388</v>
      </c>
      <c r="D484" s="65" t="inlineStr">
        <is>
          <t>FREDI MARQUEZ</t>
        </is>
      </c>
      <c r="E484" s="63" t="inlineStr">
        <is>
          <t>135,00</t>
        </is>
      </c>
      <c r="F484" s="65" t="inlineStr">
        <is>
          <t>USD</t>
        </is>
      </c>
      <c r="G484" s="65" t="inlineStr">
        <is>
          <t>Efectivo moneda extrajera (USD)</t>
        </is>
      </c>
      <c r="H484" s="63" t="inlineStr">
        <is>
          <t>135,00</t>
        </is>
      </c>
      <c r="I484" s="65" t="n"/>
      <c r="J484" s="65" t="n"/>
      <c r="K484" s="65" t="n"/>
      <c r="L484" s="65" t="n"/>
      <c r="M484" s="65" t="n"/>
    </row>
    <row r="485">
      <c r="A485" s="66" t="n">
        <v>46160</v>
      </c>
      <c r="B485" s="65" t="inlineStr">
        <is>
          <t>PUSD1/2026/00196</t>
        </is>
      </c>
      <c r="C485" s="65" t="n">
        <v>386</v>
      </c>
      <c r="D485" s="65" t="inlineStr">
        <is>
          <t>SJMG 2012 C.A</t>
        </is>
      </c>
      <c r="E485" s="63" t="inlineStr">
        <is>
          <t>480,00</t>
        </is>
      </c>
      <c r="F485" s="65" t="inlineStr">
        <is>
          <t>USD</t>
        </is>
      </c>
      <c r="G485" s="65" t="inlineStr">
        <is>
          <t>Efectivo moneda extrajera (USD)</t>
        </is>
      </c>
      <c r="H485" s="63" t="inlineStr">
        <is>
          <t>480,00</t>
        </is>
      </c>
      <c r="I485" s="65" t="n"/>
      <c r="J485" s="65" t="n"/>
      <c r="K485" s="65" t="n"/>
      <c r="L485" s="65" t="n"/>
      <c r="M485" s="65" t="n"/>
    </row>
    <row r="486">
      <c r="A486" s="66" t="n">
        <v>46160</v>
      </c>
      <c r="B486" s="65" t="inlineStr">
        <is>
          <t>PUSD1/2026/00195</t>
        </is>
      </c>
      <c r="C486" s="65" t="n">
        <v>385</v>
      </c>
      <c r="D486" s="65" t="inlineStr">
        <is>
          <t>Anthony Jose Quijada Diaz.</t>
        </is>
      </c>
      <c r="E486" s="63" t="inlineStr">
        <is>
          <t>68,00</t>
        </is>
      </c>
      <c r="F486" s="65" t="inlineStr">
        <is>
          <t>USD</t>
        </is>
      </c>
      <c r="G486" s="65" t="inlineStr">
        <is>
          <t>Efectivo moneda extrajera (USD)</t>
        </is>
      </c>
      <c r="H486" s="63" t="inlineStr">
        <is>
          <t>68,00</t>
        </is>
      </c>
      <c r="I486" s="65" t="n">
        <v>153</v>
      </c>
      <c r="J486" s="65" t="inlineStr">
        <is>
          <t>00-00000596</t>
        </is>
      </c>
      <c r="K486" s="66" t="n">
        <v>46185</v>
      </c>
      <c r="L486" s="63" t="inlineStr">
        <is>
          <t>0,00</t>
        </is>
      </c>
      <c r="M486" s="63" t="inlineStr">
        <is>
          <t>0,00</t>
        </is>
      </c>
    </row>
    <row r="487">
      <c r="A487" s="66" t="n">
        <v>46160</v>
      </c>
      <c r="B487" s="65" t="inlineStr">
        <is>
          <t>PBAMI/2026/00091</t>
        </is>
      </c>
      <c r="C487" s="65" t="n">
        <v>399</v>
      </c>
      <c r="D487" s="65" t="inlineStr">
        <is>
          <t>INVERSIONES ARCOSOL 21, C.A.</t>
        </is>
      </c>
      <c r="E487" s="63" t="inlineStr">
        <is>
          <t>66.987,76</t>
        </is>
      </c>
      <c r="F487" s="65" t="inlineStr">
        <is>
          <t>VES</t>
        </is>
      </c>
      <c r="G487" s="65" t="inlineStr">
        <is>
          <t>Banco Bancamiga 7806</t>
        </is>
      </c>
      <c r="H487" s="63" t="inlineStr">
        <is>
          <t>130,03</t>
        </is>
      </c>
      <c r="I487" s="65" t="n">
        <v>26</v>
      </c>
      <c r="J487" s="65" t="inlineStr">
        <is>
          <t>00-00000239</t>
        </is>
      </c>
      <c r="K487" s="66" t="n">
        <v>46141</v>
      </c>
      <c r="L487" s="63" t="inlineStr">
        <is>
          <t>0,00</t>
        </is>
      </c>
      <c r="M487" s="63" t="inlineStr">
        <is>
          <t>0,00</t>
        </is>
      </c>
    </row>
    <row r="488">
      <c r="A488" s="65" t="n"/>
      <c r="B488" s="65" t="n"/>
      <c r="C488" s="65" t="n"/>
      <c r="D488" s="65" t="n"/>
      <c r="E488" s="65" t="n"/>
      <c r="F488" s="65" t="n"/>
      <c r="G488" s="65" t="n"/>
      <c r="H488" s="65" t="n"/>
      <c r="I488" s="65" t="n">
        <v>257</v>
      </c>
      <c r="J488" s="65" t="inlineStr">
        <is>
          <t>00-00000786</t>
        </is>
      </c>
      <c r="K488" s="66" t="n">
        <v>46211</v>
      </c>
      <c r="L488" s="63" t="inlineStr">
        <is>
          <t>46,77</t>
        </is>
      </c>
      <c r="M488" s="63" t="inlineStr">
        <is>
          <t>0,00</t>
        </is>
      </c>
    </row>
    <row r="489">
      <c r="A489" s="66" t="n">
        <v>46160</v>
      </c>
      <c r="B489" s="65" t="inlineStr">
        <is>
          <t>PBAMI/2026/00090</t>
        </is>
      </c>
      <c r="C489" s="65" t="n">
        <v>392</v>
      </c>
      <c r="D489" s="65" t="inlineStr">
        <is>
          <t>EN LA VIA 2023 C.A</t>
        </is>
      </c>
      <c r="E489" s="63" t="inlineStr">
        <is>
          <t>150.647,92</t>
        </is>
      </c>
      <c r="F489" s="65" t="inlineStr">
        <is>
          <t>VES</t>
        </is>
      </c>
      <c r="G489" s="65" t="inlineStr">
        <is>
          <t>Banco Bancamiga 7806</t>
        </is>
      </c>
      <c r="H489" s="63" t="inlineStr">
        <is>
          <t>292,42</t>
        </is>
      </c>
      <c r="I489" s="65" t="n"/>
      <c r="J489" s="65" t="n"/>
      <c r="K489" s="65" t="n"/>
      <c r="L489" s="65" t="n"/>
      <c r="M489" s="65" t="n"/>
    </row>
    <row r="490">
      <c r="A490" s="66" t="n">
        <v>46158</v>
      </c>
      <c r="B490" s="65" t="inlineStr">
        <is>
          <t>PBAMI/2026/00092</t>
        </is>
      </c>
      <c r="C490" s="65" t="n">
        <v>402</v>
      </c>
      <c r="D490" s="65" t="inlineStr">
        <is>
          <t>ZIP MARKET, CA</t>
        </is>
      </c>
      <c r="E490" s="63" t="inlineStr">
        <is>
          <t>6.609,75</t>
        </is>
      </c>
      <c r="F490" s="65" t="inlineStr">
        <is>
          <t>VES</t>
        </is>
      </c>
      <c r="G490" s="65" t="inlineStr">
        <is>
          <t>Banco Bancamiga 7806</t>
        </is>
      </c>
      <c r="H490" s="63" t="inlineStr">
        <is>
          <t>12,83</t>
        </is>
      </c>
      <c r="I490" s="65" t="n">
        <v>251</v>
      </c>
      <c r="J490" s="65" t="inlineStr">
        <is>
          <t>00-00000773</t>
        </is>
      </c>
      <c r="K490" s="66" t="n">
        <v>46211</v>
      </c>
      <c r="L490" s="63" t="inlineStr">
        <is>
          <t>0,00</t>
        </is>
      </c>
      <c r="M490" s="63" t="inlineStr">
        <is>
          <t>0,00</t>
        </is>
      </c>
    </row>
    <row r="491">
      <c r="A491" s="66" t="n">
        <v>46157</v>
      </c>
      <c r="B491" s="65" t="inlineStr">
        <is>
          <t>PUSD1/2026/00194</t>
        </is>
      </c>
      <c r="C491" s="65" t="n">
        <v>382</v>
      </c>
      <c r="D491" s="65" t="inlineStr">
        <is>
          <t>Distribuidora Nesmari 2050 c.a</t>
        </is>
      </c>
      <c r="E491" s="63" t="inlineStr">
        <is>
          <t>70,00</t>
        </is>
      </c>
      <c r="F491" s="65" t="inlineStr">
        <is>
          <t>USD</t>
        </is>
      </c>
      <c r="G491" s="65" t="inlineStr">
        <is>
          <t>Efectivo moneda extrajera (USD)</t>
        </is>
      </c>
      <c r="H491" s="63" t="inlineStr">
        <is>
          <t>70,00</t>
        </is>
      </c>
      <c r="I491" s="65" t="n">
        <v>276</v>
      </c>
      <c r="J491" s="65" t="inlineStr">
        <is>
          <t>00-00000813</t>
        </is>
      </c>
      <c r="K491" s="66" t="n">
        <v>46214</v>
      </c>
      <c r="L491" s="63" t="inlineStr">
        <is>
          <t>83,81</t>
        </is>
      </c>
      <c r="M491" s="63" t="inlineStr">
        <is>
          <t>0,00</t>
        </is>
      </c>
    </row>
    <row r="492">
      <c r="A492" s="66" t="n">
        <v>46157</v>
      </c>
      <c r="B492" s="65" t="inlineStr">
        <is>
          <t>PUSD1/2026/00193</t>
        </is>
      </c>
      <c r="C492" s="65" t="n">
        <v>383</v>
      </c>
      <c r="D492" s="65" t="inlineStr">
        <is>
          <t>Kervin baez</t>
        </is>
      </c>
      <c r="E492" s="63" t="inlineStr">
        <is>
          <t>300,00</t>
        </is>
      </c>
      <c r="F492" s="65" t="inlineStr">
        <is>
          <t>USD</t>
        </is>
      </c>
      <c r="G492" s="65" t="inlineStr">
        <is>
          <t>Efectivo moneda extrajera (USD)</t>
        </is>
      </c>
      <c r="H492" s="63" t="inlineStr">
        <is>
          <t>300,00</t>
        </is>
      </c>
      <c r="I492" s="65" t="n">
        <v>150</v>
      </c>
      <c r="J492" s="65" t="inlineStr">
        <is>
          <t>00-00000593</t>
        </is>
      </c>
      <c r="K492" s="66" t="n">
        <v>46185</v>
      </c>
      <c r="L492" s="63" t="inlineStr">
        <is>
          <t>0,00</t>
        </is>
      </c>
      <c r="M492" s="63" t="inlineStr">
        <is>
          <t>0,00</t>
        </is>
      </c>
    </row>
    <row r="493">
      <c r="A493" s="66" t="n">
        <v>46157</v>
      </c>
      <c r="B493" s="65" t="inlineStr">
        <is>
          <t>PUSD1/2026/00192</t>
        </is>
      </c>
      <c r="C493" s="65" t="n">
        <v>378</v>
      </c>
      <c r="D493" s="65" t="inlineStr">
        <is>
          <t>Inversiones Mirelkys C.A</t>
        </is>
      </c>
      <c r="E493" s="63" t="inlineStr">
        <is>
          <t>100,00</t>
        </is>
      </c>
      <c r="F493" s="65" t="inlineStr">
        <is>
          <t>USD</t>
        </is>
      </c>
      <c r="G493" s="65" t="inlineStr">
        <is>
          <t>Efectivo moneda extrajera (USD)</t>
        </is>
      </c>
      <c r="H493" s="63" t="inlineStr">
        <is>
          <t>100,00</t>
        </is>
      </c>
      <c r="I493" s="65" t="n"/>
      <c r="J493" s="65" t="n"/>
      <c r="K493" s="65" t="n"/>
      <c r="L493" s="65" t="n"/>
      <c r="M493" s="65" t="n"/>
    </row>
    <row r="494">
      <c r="A494" s="66" t="n">
        <v>46157</v>
      </c>
      <c r="B494" s="65" t="inlineStr">
        <is>
          <t>PUSD1/2026/00191</t>
        </is>
      </c>
      <c r="C494" s="65" t="n">
        <v>376</v>
      </c>
      <c r="D494" s="65" t="inlineStr">
        <is>
          <t>Moises Alejandro Mares</t>
        </is>
      </c>
      <c r="E494" s="63" t="inlineStr">
        <is>
          <t>10,00</t>
        </is>
      </c>
      <c r="F494" s="65" t="inlineStr">
        <is>
          <t>USD</t>
        </is>
      </c>
      <c r="G494" s="65" t="inlineStr">
        <is>
          <t>Efectivo moneda extrajera (USD)</t>
        </is>
      </c>
      <c r="H494" s="63" t="inlineStr">
        <is>
          <t>10,00</t>
        </is>
      </c>
      <c r="I494" s="65" t="n"/>
      <c r="J494" s="65" t="n"/>
      <c r="K494" s="65" t="n"/>
      <c r="L494" s="65" t="n"/>
      <c r="M494" s="65" t="n"/>
    </row>
    <row r="495">
      <c r="A495" s="66" t="n">
        <v>46157</v>
      </c>
      <c r="B495" s="65" t="inlineStr">
        <is>
          <t>PUSD1/2026/00190</t>
        </is>
      </c>
      <c r="C495" s="65" t="n">
        <v>375</v>
      </c>
      <c r="D495" s="65" t="inlineStr">
        <is>
          <t>Braulio R. Cedeño Gonzalez.</t>
        </is>
      </c>
      <c r="E495" s="63" t="inlineStr">
        <is>
          <t>40,00</t>
        </is>
      </c>
      <c r="F495" s="65" t="inlineStr">
        <is>
          <t>USD</t>
        </is>
      </c>
      <c r="G495" s="65" t="inlineStr">
        <is>
          <t>Efectivo moneda extrajera (USD)</t>
        </is>
      </c>
      <c r="H495" s="63" t="inlineStr">
        <is>
          <t>40,00</t>
        </is>
      </c>
      <c r="I495" s="65" t="n">
        <v>290</v>
      </c>
      <c r="J495" s="65" t="inlineStr">
        <is>
          <t>00-00000828</t>
        </is>
      </c>
      <c r="K495" s="66" t="n">
        <v>46214</v>
      </c>
      <c r="L495" s="63" t="inlineStr">
        <is>
          <t>9,00</t>
        </is>
      </c>
      <c r="M495" s="63" t="inlineStr">
        <is>
          <t>0,00</t>
        </is>
      </c>
    </row>
    <row r="496">
      <c r="A496" s="66" t="n">
        <v>46157</v>
      </c>
      <c r="B496" s="65" t="inlineStr">
        <is>
          <t>PUSD1/2026/00189</t>
        </is>
      </c>
      <c r="C496" s="65" t="n">
        <v>373</v>
      </c>
      <c r="D496" s="65" t="inlineStr">
        <is>
          <t>Emprendimiento ilaris cancelo</t>
        </is>
      </c>
      <c r="E496" s="63" t="inlineStr">
        <is>
          <t>200,00</t>
        </is>
      </c>
      <c r="F496" s="65" t="inlineStr">
        <is>
          <t>USD</t>
        </is>
      </c>
      <c r="G496" s="65" t="inlineStr">
        <is>
          <t>Efectivo moneda extrajera (USD)</t>
        </is>
      </c>
      <c r="H496" s="63" t="inlineStr">
        <is>
          <t>200,00</t>
        </is>
      </c>
      <c r="I496" s="65" t="n">
        <v>178</v>
      </c>
      <c r="J496" s="65" t="inlineStr">
        <is>
          <t>00-00000629</t>
        </is>
      </c>
      <c r="K496" s="66" t="n">
        <v>46188</v>
      </c>
      <c r="L496" s="63" t="inlineStr">
        <is>
          <t>950,00</t>
        </is>
      </c>
      <c r="M496" s="63" t="inlineStr">
        <is>
          <t>0,00</t>
        </is>
      </c>
    </row>
    <row r="497">
      <c r="A497" s="66" t="n">
        <v>46157</v>
      </c>
      <c r="B497" s="65" t="inlineStr">
        <is>
          <t>PUSD1/2026/00188</t>
        </is>
      </c>
      <c r="C497" s="65" t="n">
        <v>371</v>
      </c>
      <c r="D497" s="65" t="inlineStr">
        <is>
          <t>Ingrit Martinez</t>
        </is>
      </c>
      <c r="E497" s="63" t="inlineStr">
        <is>
          <t>200,00</t>
        </is>
      </c>
      <c r="F497" s="65" t="inlineStr">
        <is>
          <t>USD</t>
        </is>
      </c>
      <c r="G497" s="65" t="inlineStr">
        <is>
          <t>Efectivo moneda extrajera (USD)</t>
        </is>
      </c>
      <c r="H497" s="63" t="inlineStr">
        <is>
          <t>200,00</t>
        </is>
      </c>
      <c r="I497" s="65" t="n">
        <v>286</v>
      </c>
      <c r="J497" s="65" t="inlineStr">
        <is>
          <t>00-00000824</t>
        </is>
      </c>
      <c r="K497" s="66" t="n">
        <v>46214</v>
      </c>
      <c r="L497" s="63" t="inlineStr">
        <is>
          <t>0,00</t>
        </is>
      </c>
      <c r="M497" s="63" t="inlineStr">
        <is>
          <t>0,00</t>
        </is>
      </c>
    </row>
    <row r="498">
      <c r="A498" s="66" t="n">
        <v>46157</v>
      </c>
      <c r="B498" s="65" t="inlineStr">
        <is>
          <t>PUSD1/2026/00187</t>
        </is>
      </c>
      <c r="C498" s="65" t="n">
        <v>372</v>
      </c>
      <c r="D498" s="65" t="inlineStr">
        <is>
          <t>EMPRENDIMIENTO MANUEL GÓMEZ 6</t>
        </is>
      </c>
      <c r="E498" s="63" t="inlineStr">
        <is>
          <t>20,00</t>
        </is>
      </c>
      <c r="F498" s="65" t="inlineStr">
        <is>
          <t>USD</t>
        </is>
      </c>
      <c r="G498" s="65" t="inlineStr">
        <is>
          <t>Efectivo moneda extrajera (USD)</t>
        </is>
      </c>
      <c r="H498" s="63" t="inlineStr">
        <is>
          <t>20,00</t>
        </is>
      </c>
      <c r="I498" s="65" t="n"/>
      <c r="J498" s="65" t="n"/>
      <c r="K498" s="65" t="n"/>
      <c r="L498" s="65" t="n"/>
      <c r="M498" s="65" t="n"/>
    </row>
    <row r="499">
      <c r="A499" s="66" t="n">
        <v>46157</v>
      </c>
      <c r="B499" s="65" t="inlineStr">
        <is>
          <t>PUSD1/2026/00186</t>
        </is>
      </c>
      <c r="C499" s="65" t="n">
        <v>381</v>
      </c>
      <c r="D499" s="65" t="inlineStr">
        <is>
          <t>Edgar salas</t>
        </is>
      </c>
      <c r="E499" s="63" t="inlineStr">
        <is>
          <t>40,00</t>
        </is>
      </c>
      <c r="F499" s="65" t="inlineStr">
        <is>
          <t>USD</t>
        </is>
      </c>
      <c r="G499" s="65" t="inlineStr">
        <is>
          <t>Efectivo moneda extrajera (USD)</t>
        </is>
      </c>
      <c r="H499" s="63" t="inlineStr">
        <is>
          <t>40,00</t>
        </is>
      </c>
      <c r="I499" s="65" t="n">
        <v>184</v>
      </c>
      <c r="J499" s="65" t="inlineStr">
        <is>
          <t>00-00000645</t>
        </is>
      </c>
      <c r="K499" s="66" t="n">
        <v>46190</v>
      </c>
      <c r="L499" s="63" t="inlineStr">
        <is>
          <t>0,00</t>
        </is>
      </c>
      <c r="M499" s="63" t="inlineStr">
        <is>
          <t>0,00</t>
        </is>
      </c>
    </row>
    <row r="500">
      <c r="A500" s="66" t="n">
        <v>46157</v>
      </c>
      <c r="B500" s="65" t="inlineStr">
        <is>
          <t>PUSD1/2026/00183</t>
        </is>
      </c>
      <c r="C500" s="65" t="n">
        <v>368</v>
      </c>
      <c r="D500" s="65" t="inlineStr">
        <is>
          <t>Edgar salas</t>
        </is>
      </c>
      <c r="E500" s="63" t="inlineStr">
        <is>
          <t>25,00</t>
        </is>
      </c>
      <c r="F500" s="65" t="inlineStr">
        <is>
          <t>USD</t>
        </is>
      </c>
      <c r="G500" s="65" t="inlineStr">
        <is>
          <t>Efectivo moneda extrajera (USD)</t>
        </is>
      </c>
      <c r="H500" s="63" t="inlineStr">
        <is>
          <t>25,00</t>
        </is>
      </c>
      <c r="I500" s="65" t="n">
        <v>58</v>
      </c>
      <c r="J500" s="65" t="inlineStr">
        <is>
          <t>00-00000357</t>
        </is>
      </c>
      <c r="K500" s="66" t="n">
        <v>46157</v>
      </c>
      <c r="L500" s="63" t="inlineStr">
        <is>
          <t>0,00</t>
        </is>
      </c>
      <c r="M500" s="63" t="inlineStr">
        <is>
          <t>0,00</t>
        </is>
      </c>
    </row>
    <row r="501">
      <c r="A501" s="66" t="n">
        <v>46156</v>
      </c>
      <c r="B501" s="65" t="inlineStr">
        <is>
          <t>PUSD1/2026/00201</t>
        </is>
      </c>
      <c r="C501" s="65" t="n">
        <v>360</v>
      </c>
      <c r="D501" s="65" t="inlineStr">
        <is>
          <t>Emprendimiento José Sánchez 203 c.a</t>
        </is>
      </c>
      <c r="E501" s="63" t="inlineStr">
        <is>
          <t>100,00</t>
        </is>
      </c>
      <c r="F501" s="65" t="inlineStr">
        <is>
          <t>USD</t>
        </is>
      </c>
      <c r="G501" s="65" t="inlineStr">
        <is>
          <t>Efectivo moneda extrajera (USD)</t>
        </is>
      </c>
      <c r="H501" s="63" t="inlineStr">
        <is>
          <t>100,00</t>
        </is>
      </c>
      <c r="I501" s="65" t="n">
        <v>262</v>
      </c>
      <c r="J501" s="65" t="inlineStr">
        <is>
          <t>00-00000799</t>
        </is>
      </c>
      <c r="K501" s="66" t="n">
        <v>46214</v>
      </c>
      <c r="L501" s="63" t="inlineStr">
        <is>
          <t>200,00</t>
        </is>
      </c>
      <c r="M501" s="63" t="inlineStr">
        <is>
          <t>0,00</t>
        </is>
      </c>
    </row>
    <row r="502">
      <c r="A502" s="66" t="n">
        <v>46156</v>
      </c>
      <c r="B502" s="65" t="inlineStr">
        <is>
          <t>PUSD1/2026/00181</t>
        </is>
      </c>
      <c r="C502" s="65" t="n">
        <v>366</v>
      </c>
      <c r="D502" s="65" t="inlineStr">
        <is>
          <t>Autorepuestos Pitstop,c.a.</t>
        </is>
      </c>
      <c r="E502" s="63" t="inlineStr">
        <is>
          <t>101,00</t>
        </is>
      </c>
      <c r="F502" s="65" t="inlineStr">
        <is>
          <t>USD</t>
        </is>
      </c>
      <c r="G502" s="65" t="inlineStr">
        <is>
          <t>Efectivo moneda extrajera (USD)</t>
        </is>
      </c>
      <c r="H502" s="63" t="inlineStr">
        <is>
          <t>101,00</t>
        </is>
      </c>
      <c r="I502" s="65" t="n">
        <v>144</v>
      </c>
      <c r="J502" s="65" t="inlineStr">
        <is>
          <t>00-00000587</t>
        </is>
      </c>
      <c r="K502" s="66" t="n">
        <v>46185</v>
      </c>
      <c r="L502" s="63" t="inlineStr">
        <is>
          <t>99,99</t>
        </is>
      </c>
      <c r="M502" s="63" t="inlineStr">
        <is>
          <t>0,00</t>
        </is>
      </c>
    </row>
    <row r="503">
      <c r="A503" s="66" t="n">
        <v>46156</v>
      </c>
      <c r="B503" s="65" t="inlineStr">
        <is>
          <t>PUSD1/2026/00180</t>
        </is>
      </c>
      <c r="C503" s="65" t="n">
        <v>365</v>
      </c>
      <c r="D503" s="65" t="inlineStr">
        <is>
          <t>Repuestos Guia Dios Nuestro Camino,c.a.</t>
        </is>
      </c>
      <c r="E503" s="63" t="inlineStr">
        <is>
          <t>20,00</t>
        </is>
      </c>
      <c r="F503" s="65" t="inlineStr">
        <is>
          <t>USD</t>
        </is>
      </c>
      <c r="G503" s="65" t="inlineStr">
        <is>
          <t>Efectivo moneda extrajera (USD)</t>
        </is>
      </c>
      <c r="H503" s="63" t="inlineStr">
        <is>
          <t>20,00</t>
        </is>
      </c>
      <c r="I503" s="65" t="n"/>
      <c r="J503" s="65" t="n"/>
      <c r="K503" s="65" t="n"/>
      <c r="L503" s="65" t="n"/>
      <c r="M503" s="65" t="n"/>
    </row>
    <row r="504">
      <c r="A504" s="66" t="n">
        <v>46156</v>
      </c>
      <c r="B504" s="65" t="inlineStr">
        <is>
          <t>PUSD1/2026/00179</t>
        </is>
      </c>
      <c r="C504" s="65" t="n">
        <v>358</v>
      </c>
      <c r="D504" s="65" t="inlineStr">
        <is>
          <t>Cauchera William 2018, C.A</t>
        </is>
      </c>
      <c r="E504" s="63" t="inlineStr">
        <is>
          <t>15,00</t>
        </is>
      </c>
      <c r="F504" s="65" t="inlineStr">
        <is>
          <t>USD</t>
        </is>
      </c>
      <c r="G504" s="65" t="inlineStr">
        <is>
          <t>Efectivo moneda extrajera (USD)</t>
        </is>
      </c>
      <c r="H504" s="63" t="inlineStr">
        <is>
          <t>15,00</t>
        </is>
      </c>
      <c r="I504" s="65" t="n"/>
      <c r="J504" s="65" t="n"/>
      <c r="K504" s="65" t="n"/>
      <c r="L504" s="65" t="n"/>
      <c r="M504" s="65" t="n"/>
    </row>
    <row r="505">
      <c r="A505" s="66" t="n">
        <v>46156</v>
      </c>
      <c r="B505" s="65" t="inlineStr">
        <is>
          <t>PUSD1/2026/00178</t>
        </is>
      </c>
      <c r="C505" s="65" t="n">
        <v>361</v>
      </c>
      <c r="D505" s="65" t="inlineStr">
        <is>
          <t>Comercializadora Garabote</t>
        </is>
      </c>
      <c r="E505" s="63" t="inlineStr">
        <is>
          <t>300,00</t>
        </is>
      </c>
      <c r="F505" s="65" t="inlineStr">
        <is>
          <t>USD</t>
        </is>
      </c>
      <c r="G505" s="65" t="inlineStr">
        <is>
          <t>Efectivo moneda extrajera (USD)</t>
        </is>
      </c>
      <c r="H505" s="63" t="inlineStr">
        <is>
          <t>300,00</t>
        </is>
      </c>
      <c r="I505" s="65" t="n">
        <v>129</v>
      </c>
      <c r="J505" s="65" t="inlineStr">
        <is>
          <t>00-00000542</t>
        </is>
      </c>
      <c r="K505" s="66" t="n">
        <v>46182</v>
      </c>
      <c r="L505" s="63" t="inlineStr">
        <is>
          <t>0,00</t>
        </is>
      </c>
      <c r="M505" s="63" t="inlineStr">
        <is>
          <t>0,00</t>
        </is>
      </c>
    </row>
    <row r="506">
      <c r="A506" s="66" t="n">
        <v>46156</v>
      </c>
      <c r="B506" s="65" t="inlineStr">
        <is>
          <t>PUSD1/2026/00177</t>
        </is>
      </c>
      <c r="C506" s="65" t="n">
        <v>362</v>
      </c>
      <c r="D506" s="65" t="inlineStr">
        <is>
          <t>WILLY MOTOR CAR REPUESTOS Y SERVICIOS, C.A.</t>
        </is>
      </c>
      <c r="E506" s="63" t="inlineStr">
        <is>
          <t>120,00</t>
        </is>
      </c>
      <c r="F506" s="65" t="inlineStr">
        <is>
          <t>USD</t>
        </is>
      </c>
      <c r="G506" s="65" t="inlineStr">
        <is>
          <t>Efectivo moneda extrajera (USD)</t>
        </is>
      </c>
      <c r="H506" s="63" t="inlineStr">
        <is>
          <t>120,00</t>
        </is>
      </c>
      <c r="I506" s="65" t="n"/>
      <c r="J506" s="65" t="n"/>
      <c r="K506" s="65" t="n"/>
      <c r="L506" s="65" t="n"/>
      <c r="M506" s="65" t="n"/>
    </row>
    <row r="507">
      <c r="A507" s="66" t="n">
        <v>46156</v>
      </c>
      <c r="B507" s="65" t="inlineStr">
        <is>
          <t>PUSD1/2026/00176</t>
        </is>
      </c>
      <c r="C507" s="65" t="n">
        <v>363</v>
      </c>
      <c r="D507" s="65" t="inlineStr">
        <is>
          <t>Franklin J. Mijares S.</t>
        </is>
      </c>
      <c r="E507" s="63" t="inlineStr">
        <is>
          <t>72,00</t>
        </is>
      </c>
      <c r="F507" s="65" t="inlineStr">
        <is>
          <t>USD</t>
        </is>
      </c>
      <c r="G507" s="65" t="inlineStr">
        <is>
          <t>Efectivo moneda extrajera (USD)</t>
        </is>
      </c>
      <c r="H507" s="63" t="inlineStr">
        <is>
          <t>72,00</t>
        </is>
      </c>
      <c r="I507" s="65" t="n">
        <v>89</v>
      </c>
      <c r="J507" s="65" t="inlineStr">
        <is>
          <t>00-00000424</t>
        </is>
      </c>
      <c r="K507" s="66" t="n">
        <v>46164</v>
      </c>
      <c r="L507" s="63" t="inlineStr">
        <is>
          <t>0,00</t>
        </is>
      </c>
      <c r="M507" s="63" t="inlineStr">
        <is>
          <t>0,00</t>
        </is>
      </c>
    </row>
    <row r="508">
      <c r="A508" s="66" t="n">
        <v>46156</v>
      </c>
      <c r="B508" s="65" t="inlineStr">
        <is>
          <t>PBAMI/2026/00239</t>
        </is>
      </c>
      <c r="C508" s="65" t="n">
        <v>977</v>
      </c>
      <c r="D508" s="65" t="inlineStr">
        <is>
          <t>FRANCISCO MONCADA</t>
        </is>
      </c>
      <c r="E508" s="63" t="inlineStr">
        <is>
          <t>212.693,02</t>
        </is>
      </c>
      <c r="F508" s="65" t="inlineStr">
        <is>
          <t>VES</t>
        </is>
      </c>
      <c r="G508" s="65" t="inlineStr">
        <is>
          <t>Banco Bancamiga 7806</t>
        </is>
      </c>
      <c r="H508" s="63" t="inlineStr">
        <is>
          <t>416,40</t>
        </is>
      </c>
      <c r="I508" s="65" t="n"/>
      <c r="J508" s="65" t="n"/>
      <c r="K508" s="65" t="n"/>
      <c r="L508" s="65" t="n"/>
      <c r="M508" s="65" t="n"/>
    </row>
    <row r="509">
      <c r="A509" s="66" t="n">
        <v>46156</v>
      </c>
      <c r="B509" s="65" t="inlineStr">
        <is>
          <t>PBAMI/2026/00238</t>
        </is>
      </c>
      <c r="C509" s="65" t="n">
        <v>976</v>
      </c>
      <c r="D509" s="65" t="inlineStr">
        <is>
          <t>Greicy Moncada</t>
        </is>
      </c>
      <c r="E509" s="63" t="inlineStr">
        <is>
          <t>127.615,81</t>
        </is>
      </c>
      <c r="F509" s="65" t="inlineStr">
        <is>
          <t>VES</t>
        </is>
      </c>
      <c r="G509" s="65" t="inlineStr">
        <is>
          <t>Banco Bancamiga 7806</t>
        </is>
      </c>
      <c r="H509" s="63" t="inlineStr">
        <is>
          <t>249,84</t>
        </is>
      </c>
      <c r="I509" s="65" t="n"/>
      <c r="J509" s="65" t="n"/>
      <c r="K509" s="65" t="n"/>
      <c r="L509" s="65" t="n"/>
      <c r="M509" s="65" t="n"/>
    </row>
    <row r="510">
      <c r="A510" s="66" t="n">
        <v>46156</v>
      </c>
      <c r="B510" s="65" t="inlineStr">
        <is>
          <t>PBAMI/2026/00089</t>
        </is>
      </c>
      <c r="C510" s="65" t="n">
        <v>374</v>
      </c>
      <c r="D510" s="65" t="inlineStr">
        <is>
          <t>inversiones El Gran Charles C.A</t>
        </is>
      </c>
      <c r="E510" s="63" t="inlineStr">
        <is>
          <t>29.906,09</t>
        </is>
      </c>
      <c r="F510" s="65" t="inlineStr">
        <is>
          <t>VES</t>
        </is>
      </c>
      <c r="G510" s="65" t="inlineStr">
        <is>
          <t>Banco Bancamiga 7806</t>
        </is>
      </c>
      <c r="H510" s="63" t="inlineStr">
        <is>
          <t>58,55</t>
        </is>
      </c>
      <c r="I510" s="65" t="n">
        <v>239</v>
      </c>
      <c r="J510" s="65" t="inlineStr">
        <is>
          <t>00-00000761</t>
        </is>
      </c>
      <c r="K510" s="66" t="n">
        <v>46210</v>
      </c>
      <c r="L510" s="63" t="inlineStr">
        <is>
          <t>344,63</t>
        </is>
      </c>
      <c r="M510" s="63" t="inlineStr">
        <is>
          <t>0,00</t>
        </is>
      </c>
    </row>
    <row r="511">
      <c r="A511" s="66" t="n">
        <v>46156</v>
      </c>
      <c r="B511" s="65" t="inlineStr">
        <is>
          <t>PBAMI/2026/00088</t>
        </is>
      </c>
      <c r="C511" s="65" t="n">
        <v>364</v>
      </c>
      <c r="D511" s="65" t="inlineStr">
        <is>
          <t>Ricardo A. Fernandez.</t>
        </is>
      </c>
      <c r="E511" s="63" t="inlineStr">
        <is>
          <t>53.400,00</t>
        </is>
      </c>
      <c r="F511" s="65" t="inlineStr">
        <is>
          <t>VES</t>
        </is>
      </c>
      <c r="G511" s="65" t="inlineStr">
        <is>
          <t>Banco Bancamiga 7806</t>
        </is>
      </c>
      <c r="H511" s="63" t="inlineStr">
        <is>
          <t>104,54</t>
        </is>
      </c>
      <c r="I511" s="65" t="n"/>
      <c r="J511" s="65" t="n"/>
      <c r="K511" s="65" t="n"/>
      <c r="L511" s="65" t="n"/>
      <c r="M511" s="65" t="n"/>
    </row>
    <row r="512">
      <c r="A512" s="66" t="n">
        <v>46156</v>
      </c>
      <c r="B512" s="65" t="inlineStr">
        <is>
          <t>PBAMI/2026/00087</t>
        </is>
      </c>
      <c r="C512" s="65" t="n">
        <v>355</v>
      </c>
      <c r="D512" s="65" t="inlineStr">
        <is>
          <t>Montura de Cauchos Biondo,c.a.</t>
        </is>
      </c>
      <c r="E512" s="63" t="inlineStr">
        <is>
          <t>103.438,00</t>
        </is>
      </c>
      <c r="F512" s="65" t="inlineStr">
        <is>
          <t>VES</t>
        </is>
      </c>
      <c r="G512" s="65" t="inlineStr">
        <is>
          <t>Banco Bancamiga 7806</t>
        </is>
      </c>
      <c r="H512" s="63" t="inlineStr">
        <is>
          <t>202,51</t>
        </is>
      </c>
      <c r="I512" s="65" t="n"/>
      <c r="J512" s="65" t="n"/>
      <c r="K512" s="65" t="n"/>
      <c r="L512" s="65" t="n"/>
      <c r="M512" s="65" t="n"/>
    </row>
    <row r="513">
      <c r="A513" s="66" t="n">
        <v>46156</v>
      </c>
      <c r="B513" s="65" t="inlineStr">
        <is>
          <t>PBAMI/2026/00086</t>
        </is>
      </c>
      <c r="C513" s="65" t="n">
        <v>359</v>
      </c>
      <c r="D513" s="65" t="inlineStr">
        <is>
          <t>Moto Bestia, C.A</t>
        </is>
      </c>
      <c r="E513" s="63" t="inlineStr">
        <is>
          <t>14.893,18</t>
        </is>
      </c>
      <c r="F513" s="65" t="inlineStr">
        <is>
          <t>VES</t>
        </is>
      </c>
      <c r="G513" s="65" t="inlineStr">
        <is>
          <t>Banco Bancamiga 7806</t>
        </is>
      </c>
      <c r="H513" s="63" t="inlineStr">
        <is>
          <t>29,16</t>
        </is>
      </c>
      <c r="I513" s="65" t="n">
        <v>240</v>
      </c>
      <c r="J513" s="65" t="inlineStr">
        <is>
          <t>00-00000762</t>
        </is>
      </c>
      <c r="K513" s="66" t="n">
        <v>46210</v>
      </c>
      <c r="L513" s="63" t="inlineStr">
        <is>
          <t>0,01</t>
        </is>
      </c>
      <c r="M513" s="63" t="inlineStr">
        <is>
          <t>0,00</t>
        </is>
      </c>
    </row>
    <row r="514">
      <c r="A514" s="66" t="n">
        <v>46156</v>
      </c>
      <c r="B514" s="65" t="inlineStr">
        <is>
          <t>PBAMI/2026/00085</t>
        </is>
      </c>
      <c r="C514" s="65" t="n">
        <v>357</v>
      </c>
      <c r="D514" s="65" t="inlineStr">
        <is>
          <t>SPEED RACING, CA</t>
        </is>
      </c>
      <c r="E514" s="63" t="inlineStr">
        <is>
          <t>9.761,32</t>
        </is>
      </c>
      <c r="F514" s="65" t="inlineStr">
        <is>
          <t>VES</t>
        </is>
      </c>
      <c r="G514" s="65" t="inlineStr">
        <is>
          <t>Banco Bancamiga 7806</t>
        </is>
      </c>
      <c r="H514" s="63" t="inlineStr">
        <is>
          <t>19,11</t>
        </is>
      </c>
      <c r="I514" s="65" t="n">
        <v>56</v>
      </c>
      <c r="J514" s="65" t="inlineStr">
        <is>
          <t>00-00000345</t>
        </is>
      </c>
      <c r="K514" s="66" t="n">
        <v>46156</v>
      </c>
      <c r="L514" s="63" t="inlineStr">
        <is>
          <t>30,59</t>
        </is>
      </c>
      <c r="M514" s="63" t="inlineStr">
        <is>
          <t>0,00</t>
        </is>
      </c>
    </row>
    <row r="515">
      <c r="A515" s="66" t="n">
        <v>46156</v>
      </c>
      <c r="B515" s="65" t="inlineStr">
        <is>
          <t>PBAMI/2026/00084</t>
        </is>
      </c>
      <c r="C515" s="65" t="n">
        <v>356</v>
      </c>
      <c r="D515" s="65" t="inlineStr">
        <is>
          <t>SPEED RACING, CA</t>
        </is>
      </c>
      <c r="E515" s="63" t="inlineStr">
        <is>
          <t>24.594,69</t>
        </is>
      </c>
      <c r="F515" s="65" t="inlineStr">
        <is>
          <t>VES</t>
        </is>
      </c>
      <c r="G515" s="65" t="inlineStr">
        <is>
          <t>Banco Bancamiga 7806</t>
        </is>
      </c>
      <c r="H515" s="63" t="inlineStr">
        <is>
          <t>48,15</t>
        </is>
      </c>
      <c r="I515" s="65" t="n">
        <v>56</v>
      </c>
      <c r="J515" s="65" t="inlineStr">
        <is>
          <t>00-00000345</t>
        </is>
      </c>
      <c r="K515" s="66" t="n">
        <v>46156</v>
      </c>
      <c r="L515" s="63" t="inlineStr">
        <is>
          <t>30,59</t>
        </is>
      </c>
      <c r="M515" s="63" t="inlineStr">
        <is>
          <t>0,00</t>
        </is>
      </c>
    </row>
    <row r="516">
      <c r="A516" s="66" t="n">
        <v>46155</v>
      </c>
      <c r="B516" s="65" t="inlineStr">
        <is>
          <t>PUSD1/2026/00474</t>
        </is>
      </c>
      <c r="C516" s="65" t="n">
        <v>348</v>
      </c>
      <c r="D516" s="65" t="inlineStr">
        <is>
          <t>Servicios de Gruas Torgil 300, c.a.</t>
        </is>
      </c>
      <c r="E516" s="63" t="inlineStr">
        <is>
          <t>675,00</t>
        </is>
      </c>
      <c r="F516" s="65" t="inlineStr">
        <is>
          <t>USD</t>
        </is>
      </c>
      <c r="G516" s="65" t="inlineStr">
        <is>
          <t>Efectivo moneda extrajera (USD)</t>
        </is>
      </c>
      <c r="H516" s="63" t="inlineStr">
        <is>
          <t>675,00</t>
        </is>
      </c>
      <c r="I516" s="65" t="n"/>
      <c r="J516" s="65" t="n"/>
      <c r="K516" s="65" t="n"/>
      <c r="L516" s="65" t="n"/>
      <c r="M516" s="65" t="n"/>
    </row>
    <row r="517">
      <c r="A517" s="66" t="n">
        <v>46155</v>
      </c>
      <c r="B517" s="65" t="inlineStr">
        <is>
          <t>PUSD1/2026/00175</t>
        </is>
      </c>
      <c r="C517" s="65" t="n">
        <v>353</v>
      </c>
      <c r="D517" s="65" t="inlineStr">
        <is>
          <t>Moto Repuestos Sanz 11. C.A.</t>
        </is>
      </c>
      <c r="E517" s="63" t="inlineStr">
        <is>
          <t>68,00</t>
        </is>
      </c>
      <c r="F517" s="65" t="inlineStr">
        <is>
          <t>USD</t>
        </is>
      </c>
      <c r="G517" s="65" t="inlineStr">
        <is>
          <t>Efectivo moneda extrajera (USD)</t>
        </is>
      </c>
      <c r="H517" s="63" t="inlineStr">
        <is>
          <t>68,00</t>
        </is>
      </c>
      <c r="I517" s="65" t="n">
        <v>282</v>
      </c>
      <c r="J517" s="65" t="inlineStr">
        <is>
          <t>00-00000820</t>
        </is>
      </c>
      <c r="K517" s="66" t="n">
        <v>46214</v>
      </c>
      <c r="L517" s="63" t="inlineStr">
        <is>
          <t>0,00</t>
        </is>
      </c>
      <c r="M517" s="63" t="inlineStr">
        <is>
          <t>0,00</t>
        </is>
      </c>
    </row>
    <row r="518">
      <c r="A518" s="66" t="n">
        <v>46155</v>
      </c>
      <c r="B518" s="65" t="inlineStr">
        <is>
          <t>PUSD1/2026/00174</t>
        </is>
      </c>
      <c r="C518" s="65" t="n">
        <v>349</v>
      </c>
      <c r="D518" s="65" t="inlineStr">
        <is>
          <t>Junior Marco Antonio Vivas Navas</t>
        </is>
      </c>
      <c r="E518" s="63" t="inlineStr">
        <is>
          <t>10,00</t>
        </is>
      </c>
      <c r="F518" s="65" t="inlineStr">
        <is>
          <t>USD</t>
        </is>
      </c>
      <c r="G518" s="65" t="inlineStr">
        <is>
          <t>Efectivo moneda extrajera (USD)</t>
        </is>
      </c>
      <c r="H518" s="63" t="inlineStr">
        <is>
          <t>10,00</t>
        </is>
      </c>
      <c r="I518" s="65" t="n"/>
      <c r="J518" s="65" t="n"/>
      <c r="K518" s="65" t="n"/>
      <c r="L518" s="65" t="n"/>
      <c r="M518" s="65" t="n"/>
    </row>
    <row r="519">
      <c r="A519" s="66" t="n">
        <v>46155</v>
      </c>
      <c r="B519" s="65" t="inlineStr">
        <is>
          <t>PUSD1/2026/00173</t>
        </is>
      </c>
      <c r="C519" s="65" t="n">
        <v>347</v>
      </c>
      <c r="D519" s="65" t="inlineStr">
        <is>
          <t>Junior Marco Antonio Vivas Navas</t>
        </is>
      </c>
      <c r="E519" s="63" t="inlineStr">
        <is>
          <t>130,00</t>
        </is>
      </c>
      <c r="F519" s="65" t="inlineStr">
        <is>
          <t>USD</t>
        </is>
      </c>
      <c r="G519" s="65" t="inlineStr">
        <is>
          <t>Efectivo moneda extrajera (USD)</t>
        </is>
      </c>
      <c r="H519" s="63" t="inlineStr">
        <is>
          <t>130,00</t>
        </is>
      </c>
      <c r="I519" s="65" t="n">
        <v>281</v>
      </c>
      <c r="J519" s="65" t="inlineStr">
        <is>
          <t>00-00000819</t>
        </is>
      </c>
      <c r="K519" s="66" t="n">
        <v>46214</v>
      </c>
      <c r="L519" s="63" t="inlineStr">
        <is>
          <t>0,00</t>
        </is>
      </c>
      <c r="M519" s="63" t="inlineStr">
        <is>
          <t>0,00</t>
        </is>
      </c>
    </row>
    <row r="520">
      <c r="A520" s="66" t="n">
        <v>46155</v>
      </c>
      <c r="B520" s="65" t="inlineStr">
        <is>
          <t>PUSD1/2026/00172</t>
        </is>
      </c>
      <c r="C520" s="65" t="n">
        <v>346</v>
      </c>
      <c r="D520" s="65" t="inlineStr">
        <is>
          <t>SJMG 2012 C.A</t>
        </is>
      </c>
      <c r="E520" s="63" t="inlineStr">
        <is>
          <t>600,00</t>
        </is>
      </c>
      <c r="F520" s="65" t="inlineStr">
        <is>
          <t>USD</t>
        </is>
      </c>
      <c r="G520" s="65" t="inlineStr">
        <is>
          <t>Efectivo moneda extrajera (USD)</t>
        </is>
      </c>
      <c r="H520" s="63" t="inlineStr">
        <is>
          <t>600,00</t>
        </is>
      </c>
      <c r="I520" s="65" t="n"/>
      <c r="J520" s="65" t="n"/>
      <c r="K520" s="65" t="n"/>
      <c r="L520" s="65" t="n"/>
      <c r="M520" s="65" t="n"/>
    </row>
    <row r="521">
      <c r="A521" s="66" t="n">
        <v>46155</v>
      </c>
      <c r="B521" s="65" t="inlineStr">
        <is>
          <t>PBDV/2026/00011</t>
        </is>
      </c>
      <c r="C521" s="65" t="n">
        <v>350</v>
      </c>
      <c r="D521" s="65" t="inlineStr">
        <is>
          <t>Kiosco Willianny 1013, C.A</t>
        </is>
      </c>
      <c r="E521" s="63" t="inlineStr">
        <is>
          <t>51.725,00</t>
        </is>
      </c>
      <c r="F521" s="65" t="inlineStr">
        <is>
          <t>VES</t>
        </is>
      </c>
      <c r="G521" s="65" t="inlineStr">
        <is>
          <t>Banco de Venezuela 6891</t>
        </is>
      </c>
      <c r="H521" s="63" t="inlineStr">
        <is>
          <t>101,70</t>
        </is>
      </c>
      <c r="I521" s="65" t="n"/>
      <c r="J521" s="65" t="n"/>
      <c r="K521" s="65" t="n"/>
      <c r="L521" s="65" t="n"/>
      <c r="M521" s="65" t="n"/>
    </row>
    <row r="522">
      <c r="A522" s="66" t="n">
        <v>46155</v>
      </c>
      <c r="B522" s="65" t="inlineStr">
        <is>
          <t>PBAMI/2026/00083</t>
        </is>
      </c>
      <c r="C522" s="65" t="n">
        <v>354</v>
      </c>
      <c r="D522" s="65" t="inlineStr">
        <is>
          <t>En ascenso 2011,c.a.</t>
        </is>
      </c>
      <c r="E522" s="63" t="inlineStr">
        <is>
          <t>282.421,33</t>
        </is>
      </c>
      <c r="F522" s="65" t="inlineStr">
        <is>
          <t>VES</t>
        </is>
      </c>
      <c r="G522" s="65" t="inlineStr">
        <is>
          <t>Banco Bancamiga 7806</t>
        </is>
      </c>
      <c r="H522" s="63" t="inlineStr">
        <is>
          <t>555,29</t>
        </is>
      </c>
      <c r="I522" s="65" t="n">
        <v>49</v>
      </c>
      <c r="J522" s="65" t="inlineStr">
        <is>
          <t>00-00000325</t>
        </is>
      </c>
      <c r="K522" s="66" t="n">
        <v>46155</v>
      </c>
      <c r="L522" s="63" t="inlineStr">
        <is>
          <t>0,01</t>
        </is>
      </c>
      <c r="M522" s="63" t="inlineStr">
        <is>
          <t>0,00</t>
        </is>
      </c>
    </row>
    <row r="523">
      <c r="A523" s="66" t="n">
        <v>46155</v>
      </c>
      <c r="B523" s="65" t="inlineStr">
        <is>
          <t>PBAMI/2026/00082</t>
        </is>
      </c>
      <c r="C523" s="65" t="n">
        <v>352</v>
      </c>
      <c r="D523" s="65" t="inlineStr">
        <is>
          <t>DISTRIBUIDORA E.P.L.C 2017, c.a.</t>
        </is>
      </c>
      <c r="E523" s="63" t="inlineStr">
        <is>
          <t>50.860,00</t>
        </is>
      </c>
      <c r="F523" s="65" t="inlineStr">
        <is>
          <t>VES</t>
        </is>
      </c>
      <c r="G523" s="65" t="inlineStr">
        <is>
          <t>Banco Bancamiga 7806</t>
        </is>
      </c>
      <c r="H523" s="63" t="inlineStr">
        <is>
          <t>100,00</t>
        </is>
      </c>
      <c r="I523" s="65" t="n">
        <v>274</v>
      </c>
      <c r="J523" s="65" t="inlineStr">
        <is>
          <t>00-00000811</t>
        </is>
      </c>
      <c r="K523" s="66" t="n">
        <v>46214</v>
      </c>
      <c r="L523" s="63" t="inlineStr">
        <is>
          <t>362,30</t>
        </is>
      </c>
      <c r="M523" s="63" t="inlineStr">
        <is>
          <t>0,00</t>
        </is>
      </c>
    </row>
    <row r="524">
      <c r="A524" s="66" t="n">
        <v>46154</v>
      </c>
      <c r="B524" s="65" t="inlineStr">
        <is>
          <t>PUSD1/2026/00327</t>
        </is>
      </c>
      <c r="C524" s="65" t="n">
        <v>664</v>
      </c>
      <c r="D524" s="65" t="inlineStr">
        <is>
          <t>ELENA MEJIAS</t>
        </is>
      </c>
      <c r="E524" s="63" t="inlineStr">
        <is>
          <t>76,00</t>
        </is>
      </c>
      <c r="F524" s="65" t="inlineStr">
        <is>
          <t>USD</t>
        </is>
      </c>
      <c r="G524" s="65" t="inlineStr">
        <is>
          <t>Efectivo moneda extrajera (USD)</t>
        </is>
      </c>
      <c r="H524" s="63" t="inlineStr">
        <is>
          <t>76,00</t>
        </is>
      </c>
      <c r="I524" s="65" t="n">
        <v>128</v>
      </c>
      <c r="J524" s="65" t="inlineStr">
        <is>
          <t>00-00000541</t>
        </is>
      </c>
      <c r="K524" s="66" t="n">
        <v>46182</v>
      </c>
      <c r="L524" s="63" t="inlineStr">
        <is>
          <t>0,00</t>
        </is>
      </c>
      <c r="M524" s="63" t="inlineStr">
        <is>
          <t>0,00</t>
        </is>
      </c>
    </row>
    <row r="525">
      <c r="A525" s="65" t="n"/>
      <c r="B525" s="65" t="n"/>
      <c r="C525" s="65" t="n"/>
      <c r="D525" s="65" t="n"/>
      <c r="E525" s="65" t="n"/>
      <c r="F525" s="65" t="n"/>
      <c r="G525" s="65" t="n"/>
      <c r="H525" s="65" t="n"/>
      <c r="I525" s="65" t="n">
        <v>130</v>
      </c>
      <c r="J525" s="65" t="inlineStr">
        <is>
          <t>00-00000543</t>
        </is>
      </c>
      <c r="K525" s="66" t="n">
        <v>46182</v>
      </c>
      <c r="L525" s="63" t="inlineStr">
        <is>
          <t>0,12</t>
        </is>
      </c>
      <c r="M525" s="63" t="inlineStr">
        <is>
          <t>0,00</t>
        </is>
      </c>
    </row>
    <row r="526">
      <c r="A526" s="66" t="n">
        <v>46154</v>
      </c>
      <c r="B526" s="65" t="inlineStr">
        <is>
          <t>PUSD1/2026/00171</t>
        </is>
      </c>
      <c r="C526" s="65" t="n">
        <v>344</v>
      </c>
      <c r="D526" s="65" t="inlineStr">
        <is>
          <t>Javier gregorio Espinoza</t>
        </is>
      </c>
      <c r="E526" s="63" t="inlineStr">
        <is>
          <t>20,00</t>
        </is>
      </c>
      <c r="F526" s="65" t="inlineStr">
        <is>
          <t>USD</t>
        </is>
      </c>
      <c r="G526" s="65" t="inlineStr">
        <is>
          <t>Efectivo moneda extrajera (USD)</t>
        </is>
      </c>
      <c r="H526" s="63" t="inlineStr">
        <is>
          <t>20,00</t>
        </is>
      </c>
      <c r="I526" s="65" t="n"/>
      <c r="J526" s="65" t="n"/>
      <c r="K526" s="65" t="n"/>
      <c r="L526" s="65" t="n"/>
      <c r="M526" s="65" t="n"/>
    </row>
    <row r="527">
      <c r="A527" s="66" t="n">
        <v>46154</v>
      </c>
      <c r="B527" s="65" t="inlineStr">
        <is>
          <t>PUSD1/2026/00170</t>
        </is>
      </c>
      <c r="C527" s="65" t="n">
        <v>340</v>
      </c>
      <c r="D527" s="65" t="inlineStr">
        <is>
          <t>PROYECTO MAQUIVEIRO 21 C.A.</t>
        </is>
      </c>
      <c r="E527" s="63" t="inlineStr">
        <is>
          <t>140,00</t>
        </is>
      </c>
      <c r="F527" s="65" t="inlineStr">
        <is>
          <t>USD</t>
        </is>
      </c>
      <c r="G527" s="65" t="inlineStr">
        <is>
          <t>Efectivo moneda extrajera (USD)</t>
        </is>
      </c>
      <c r="H527" s="63" t="inlineStr">
        <is>
          <t>140,00</t>
        </is>
      </c>
      <c r="I527" s="65" t="n">
        <v>117</v>
      </c>
      <c r="J527" s="65" t="inlineStr">
        <is>
          <t>00-00000489</t>
        </is>
      </c>
      <c r="K527" s="66" t="n">
        <v>46175</v>
      </c>
      <c r="L527" s="63" t="inlineStr">
        <is>
          <t>0,00</t>
        </is>
      </c>
      <c r="M527" s="63" t="inlineStr">
        <is>
          <t>0,00</t>
        </is>
      </c>
    </row>
    <row r="528">
      <c r="A528" s="66" t="n">
        <v>46154</v>
      </c>
      <c r="B528" s="65" t="inlineStr">
        <is>
          <t>PUSD1/2026/00169</t>
        </is>
      </c>
      <c r="C528" s="65" t="n">
        <v>339</v>
      </c>
      <c r="D528" s="65" t="inlineStr">
        <is>
          <t>Alexis Rodríguez Fernández</t>
        </is>
      </c>
      <c r="E528" s="63" t="inlineStr">
        <is>
          <t>100,00</t>
        </is>
      </c>
      <c r="F528" s="65" t="inlineStr">
        <is>
          <t>USD</t>
        </is>
      </c>
      <c r="G528" s="65" t="inlineStr">
        <is>
          <t>Efectivo moneda extrajera (USD)</t>
        </is>
      </c>
      <c r="H528" s="63" t="inlineStr">
        <is>
          <t>100,00</t>
        </is>
      </c>
      <c r="I528" s="65" t="n">
        <v>252</v>
      </c>
      <c r="J528" s="65" t="inlineStr">
        <is>
          <t>00-00000774</t>
        </is>
      </c>
      <c r="K528" s="66" t="n">
        <v>46211</v>
      </c>
      <c r="L528" s="63" t="inlineStr">
        <is>
          <t>257,04</t>
        </is>
      </c>
      <c r="M528" s="63" t="inlineStr">
        <is>
          <t>0,00</t>
        </is>
      </c>
    </row>
    <row r="529">
      <c r="A529" s="66" t="n">
        <v>46154</v>
      </c>
      <c r="B529" s="65" t="inlineStr">
        <is>
          <t>PUSD1/2026/00168</t>
        </is>
      </c>
      <c r="C529" s="65" t="n">
        <v>331</v>
      </c>
      <c r="D529" s="65" t="inlineStr">
        <is>
          <t>Motolavado Yahir</t>
        </is>
      </c>
      <c r="E529" s="63" t="inlineStr">
        <is>
          <t>40,00</t>
        </is>
      </c>
      <c r="F529" s="65" t="inlineStr">
        <is>
          <t>USD</t>
        </is>
      </c>
      <c r="G529" s="65" t="inlineStr">
        <is>
          <t>Efectivo moneda extrajera (USD)</t>
        </is>
      </c>
      <c r="H529" s="63" t="inlineStr">
        <is>
          <t>40,00</t>
        </is>
      </c>
      <c r="I529" s="65" t="n">
        <v>132</v>
      </c>
      <c r="J529" s="65" t="inlineStr">
        <is>
          <t>00-00000551</t>
        </is>
      </c>
      <c r="K529" s="66" t="n">
        <v>46183</v>
      </c>
      <c r="L529" s="63" t="inlineStr">
        <is>
          <t>0,01</t>
        </is>
      </c>
      <c r="M529" s="63" t="inlineStr">
        <is>
          <t>0,00</t>
        </is>
      </c>
    </row>
    <row r="530">
      <c r="A530" s="66" t="n">
        <v>46154</v>
      </c>
      <c r="B530" s="65" t="inlineStr">
        <is>
          <t>PUSD1/2026/00167</t>
        </is>
      </c>
      <c r="C530" s="65" t="n">
        <v>326</v>
      </c>
      <c r="D530" s="65" t="inlineStr">
        <is>
          <t>HP Repuestos 2007 C.A</t>
        </is>
      </c>
      <c r="E530" s="63" t="inlineStr">
        <is>
          <t>117,00</t>
        </is>
      </c>
      <c r="F530" s="65" t="inlineStr">
        <is>
          <t>USD</t>
        </is>
      </c>
      <c r="G530" s="65" t="inlineStr">
        <is>
          <t>Efectivo moneda extrajera (USD)</t>
        </is>
      </c>
      <c r="H530" s="63" t="inlineStr">
        <is>
          <t>117,00</t>
        </is>
      </c>
      <c r="I530" s="65" t="n">
        <v>280</v>
      </c>
      <c r="J530" s="65" t="inlineStr">
        <is>
          <t>00-00000818</t>
        </is>
      </c>
      <c r="K530" s="66" t="n">
        <v>46214</v>
      </c>
      <c r="L530" s="63" t="inlineStr">
        <is>
          <t>0,00</t>
        </is>
      </c>
      <c r="M530" s="63" t="inlineStr">
        <is>
          <t>0,00</t>
        </is>
      </c>
    </row>
    <row r="531">
      <c r="A531" s="66" t="n">
        <v>46154</v>
      </c>
      <c r="B531" s="65" t="inlineStr">
        <is>
          <t>PUSD1/2026/00166</t>
        </is>
      </c>
      <c r="C531" s="65" t="n">
        <v>345</v>
      </c>
      <c r="D531" s="65" t="inlineStr">
        <is>
          <t>Ramon Alvarez Mota</t>
        </is>
      </c>
      <c r="E531" s="63" t="inlineStr">
        <is>
          <t>40,00</t>
        </is>
      </c>
      <c r="F531" s="65" t="inlineStr">
        <is>
          <t>USD</t>
        </is>
      </c>
      <c r="G531" s="65" t="inlineStr">
        <is>
          <t>Efectivo moneda extrajera (USD)</t>
        </is>
      </c>
      <c r="H531" s="63" t="inlineStr">
        <is>
          <t>40,00</t>
        </is>
      </c>
      <c r="I531" s="65" t="n">
        <v>260</v>
      </c>
      <c r="J531" s="65" t="inlineStr">
        <is>
          <t>00-00000797</t>
        </is>
      </c>
      <c r="K531" s="66" t="n">
        <v>46214</v>
      </c>
      <c r="L531" s="63" t="inlineStr">
        <is>
          <t>0,00</t>
        </is>
      </c>
      <c r="M531" s="63" t="inlineStr">
        <is>
          <t>0,00</t>
        </is>
      </c>
    </row>
    <row r="532">
      <c r="A532" s="66" t="n">
        <v>46154</v>
      </c>
      <c r="B532" s="65" t="inlineStr">
        <is>
          <t>PUSD1/2026/00165</t>
        </is>
      </c>
      <c r="C532" s="65" t="n">
        <v>334</v>
      </c>
      <c r="D532" s="65" t="inlineStr">
        <is>
          <t>Auto repuestos Fontalvo</t>
        </is>
      </c>
      <c r="E532" s="63" t="inlineStr">
        <is>
          <t>76,00</t>
        </is>
      </c>
      <c r="F532" s="65" t="inlineStr">
        <is>
          <t>USD</t>
        </is>
      </c>
      <c r="G532" s="65" t="inlineStr">
        <is>
          <t>Efectivo moneda extrajera (USD)</t>
        </is>
      </c>
      <c r="H532" s="63" t="inlineStr">
        <is>
          <t>76,00</t>
        </is>
      </c>
      <c r="I532" s="65" t="n">
        <v>294</v>
      </c>
      <c r="J532" s="65" t="inlineStr">
        <is>
          <t>00-00000833</t>
        </is>
      </c>
      <c r="K532" s="66" t="n">
        <v>46214</v>
      </c>
      <c r="L532" s="63" t="inlineStr">
        <is>
          <t>0,00</t>
        </is>
      </c>
      <c r="M532" s="63" t="inlineStr">
        <is>
          <t>0,00</t>
        </is>
      </c>
    </row>
    <row r="533">
      <c r="A533" s="66" t="n">
        <v>46154</v>
      </c>
      <c r="B533" s="65" t="inlineStr">
        <is>
          <t>PUSD1/2026/00164</t>
        </is>
      </c>
      <c r="C533" s="65" t="n">
        <v>341</v>
      </c>
      <c r="D533" s="65" t="inlineStr">
        <is>
          <t>Javier Cardenas Prato.</t>
        </is>
      </c>
      <c r="E533" s="63" t="inlineStr">
        <is>
          <t>70,00</t>
        </is>
      </c>
      <c r="F533" s="65" t="inlineStr">
        <is>
          <t>USD</t>
        </is>
      </c>
      <c r="G533" s="65" t="inlineStr">
        <is>
          <t>Efectivo moneda extrajera (USD)</t>
        </is>
      </c>
      <c r="H533" s="63" t="inlineStr">
        <is>
          <t>70,00</t>
        </is>
      </c>
      <c r="I533" s="65" t="n">
        <v>88</v>
      </c>
      <c r="J533" s="65" t="inlineStr">
        <is>
          <t>00-00000423</t>
        </is>
      </c>
      <c r="K533" s="66" t="n">
        <v>46164</v>
      </c>
      <c r="L533" s="63" t="inlineStr">
        <is>
          <t>0,00</t>
        </is>
      </c>
      <c r="M533" s="63" t="inlineStr">
        <is>
          <t>0,00</t>
        </is>
      </c>
    </row>
    <row r="534">
      <c r="A534" s="66" t="n">
        <v>46154</v>
      </c>
      <c r="B534" s="65" t="inlineStr">
        <is>
          <t>PUSD1/2026/00161</t>
        </is>
      </c>
      <c r="C534" s="65" t="n">
        <v>327</v>
      </c>
      <c r="D534" s="65" t="inlineStr">
        <is>
          <t>Manuel Emilio Reyes</t>
        </is>
      </c>
      <c r="E534" s="63" t="inlineStr">
        <is>
          <t>140,00</t>
        </is>
      </c>
      <c r="F534" s="65" t="inlineStr">
        <is>
          <t>USD</t>
        </is>
      </c>
      <c r="G534" s="65" t="inlineStr">
        <is>
          <t>Efectivo moneda extrajera (USD)</t>
        </is>
      </c>
      <c r="H534" s="63" t="inlineStr">
        <is>
          <t>140,00</t>
        </is>
      </c>
      <c r="I534" s="65" t="n">
        <v>40</v>
      </c>
      <c r="J534" s="65" t="inlineStr">
        <is>
          <t>00-00000309</t>
        </is>
      </c>
      <c r="K534" s="66" t="n">
        <v>46154</v>
      </c>
      <c r="L534" s="63" t="inlineStr">
        <is>
          <t>0,00</t>
        </is>
      </c>
      <c r="M534" s="63" t="inlineStr">
        <is>
          <t>0,00</t>
        </is>
      </c>
    </row>
    <row r="535">
      <c r="A535" s="66" t="n">
        <v>46154</v>
      </c>
      <c r="B535" s="65" t="inlineStr">
        <is>
          <t>PBNB/2026/00009</t>
        </is>
      </c>
      <c r="C535" s="65" t="n">
        <v>979</v>
      </c>
      <c r="D535" s="65" t="inlineStr">
        <is>
          <t>Luis Zambrano</t>
        </is>
      </c>
      <c r="E535" s="63" t="inlineStr">
        <is>
          <t>3.853,00</t>
        </is>
      </c>
      <c r="F535" s="65" t="inlineStr">
        <is>
          <t>USD</t>
        </is>
      </c>
      <c r="G535" s="65" t="inlineStr">
        <is>
          <t>Binance (USD)</t>
        </is>
      </c>
      <c r="H535" s="63" t="inlineStr">
        <is>
          <t>3.853,00</t>
        </is>
      </c>
      <c r="I535" s="65" t="n">
        <v>340</v>
      </c>
      <c r="J535" s="65" t="inlineStr">
        <is>
          <t>00-00000882</t>
        </is>
      </c>
      <c r="K535" s="66" t="n">
        <v>46215</v>
      </c>
      <c r="L535" s="63" t="inlineStr">
        <is>
          <t>0,04</t>
        </is>
      </c>
      <c r="M535" s="63" t="inlineStr">
        <is>
          <t>0,00</t>
        </is>
      </c>
    </row>
    <row r="536">
      <c r="A536" s="66" t="n">
        <v>46154</v>
      </c>
      <c r="B536" s="65" t="inlineStr">
        <is>
          <t>PBAMI/2026/00121</t>
        </is>
      </c>
      <c r="C536" s="65" t="n">
        <v>515</v>
      </c>
      <c r="D536" s="65" t="inlineStr">
        <is>
          <t>CONSTRUCTORA GRANO AGREGADO, C.A</t>
        </is>
      </c>
      <c r="E536" s="63" t="inlineStr">
        <is>
          <t>696.083,88</t>
        </is>
      </c>
      <c r="F536" s="65" t="inlineStr">
        <is>
          <t>VES</t>
        </is>
      </c>
      <c r="G536" s="65" t="inlineStr">
        <is>
          <t>Banco Bancamiga 7806</t>
        </is>
      </c>
      <c r="H536" s="63" t="inlineStr">
        <is>
          <t>1.378,62</t>
        </is>
      </c>
      <c r="I536" s="65" t="n">
        <v>102</v>
      </c>
      <c r="J536" s="65" t="inlineStr">
        <is>
          <t>00-00000458</t>
        </is>
      </c>
      <c r="K536" s="66" t="n">
        <v>46170</v>
      </c>
      <c r="L536" s="63" t="inlineStr">
        <is>
          <t>68,88</t>
        </is>
      </c>
      <c r="M536" s="63" t="inlineStr">
        <is>
          <t>0,00</t>
        </is>
      </c>
    </row>
    <row r="537">
      <c r="A537" s="66" t="n">
        <v>46154</v>
      </c>
      <c r="B537" s="65" t="inlineStr">
        <is>
          <t>PBAMI/2026/00109</t>
        </is>
      </c>
      <c r="C537" s="65" t="n">
        <v>490</v>
      </c>
      <c r="D537" s="65" t="inlineStr">
        <is>
          <t>CONSTRUCTORA GRANO AGREGADO, C.A</t>
        </is>
      </c>
      <c r="E537" s="63" t="inlineStr">
        <is>
          <t>1.000.000,00</t>
        </is>
      </c>
      <c r="F537" s="65" t="inlineStr">
        <is>
          <t>VES</t>
        </is>
      </c>
      <c r="G537" s="65" t="inlineStr">
        <is>
          <t>Banco Bancamiga 7806</t>
        </is>
      </c>
      <c r="H537" s="63" t="inlineStr">
        <is>
          <t>1.980,53</t>
        </is>
      </c>
      <c r="I537" s="65" t="n">
        <v>102</v>
      </c>
      <c r="J537" s="65" t="inlineStr">
        <is>
          <t>00-00000458</t>
        </is>
      </c>
      <c r="K537" s="66" t="n">
        <v>46170</v>
      </c>
      <c r="L537" s="63" t="inlineStr">
        <is>
          <t>68,88</t>
        </is>
      </c>
      <c r="M537" s="63" t="inlineStr">
        <is>
          <t>0,00</t>
        </is>
      </c>
    </row>
    <row r="538">
      <c r="A538" s="66" t="n">
        <v>46154</v>
      </c>
      <c r="B538" s="65" t="inlineStr">
        <is>
          <t>PBAMI/2026/00081</t>
        </is>
      </c>
      <c r="C538" s="65" t="n">
        <v>328</v>
      </c>
      <c r="D538" s="65" t="inlineStr">
        <is>
          <t>INVERSIONES MI LINDA YEMAIRE 2019, C.A</t>
        </is>
      </c>
      <c r="E538" s="63" t="inlineStr">
        <is>
          <t>119.010,40</t>
        </is>
      </c>
      <c r="F538" s="65" t="inlineStr">
        <is>
          <t>VES</t>
        </is>
      </c>
      <c r="G538" s="65" t="inlineStr">
        <is>
          <t>Banco Bancamiga 7806</t>
        </is>
      </c>
      <c r="H538" s="63" t="inlineStr">
        <is>
          <t>237,80</t>
        </is>
      </c>
      <c r="I538" s="65" t="n">
        <v>176</v>
      </c>
      <c r="J538" s="65" t="inlineStr">
        <is>
          <t>00-00000619</t>
        </is>
      </c>
      <c r="K538" s="66" t="n">
        <v>46185</v>
      </c>
      <c r="L538" s="63" t="inlineStr">
        <is>
          <t>0,00</t>
        </is>
      </c>
      <c r="M538" s="63" t="inlineStr">
        <is>
          <t>0,00</t>
        </is>
      </c>
    </row>
    <row r="539">
      <c r="A539" s="66" t="n">
        <v>46154</v>
      </c>
      <c r="B539" s="65" t="inlineStr">
        <is>
          <t>PBAMI/2026/00080</t>
        </is>
      </c>
      <c r="C539" s="65" t="n">
        <v>333</v>
      </c>
      <c r="D539" s="65" t="inlineStr">
        <is>
          <t>CONSTRUCTORA GRANO AGREGADO, C.A</t>
        </is>
      </c>
      <c r="E539" s="63" t="inlineStr">
        <is>
          <t>220.223,55</t>
        </is>
      </c>
      <c r="F539" s="65" t="inlineStr">
        <is>
          <t>VES</t>
        </is>
      </c>
      <c r="G539" s="65" t="inlineStr">
        <is>
          <t>Banco Bancamiga 7806</t>
        </is>
      </c>
      <c r="H539" s="63" t="inlineStr">
        <is>
          <t>440,04</t>
        </is>
      </c>
      <c r="I539" s="65" t="n">
        <v>73</v>
      </c>
      <c r="J539" s="65" t="inlineStr">
        <is>
          <t>00-00000387</t>
        </is>
      </c>
      <c r="K539" s="66" t="n">
        <v>46154</v>
      </c>
      <c r="L539" s="63" t="inlineStr">
        <is>
          <t>14,27</t>
        </is>
      </c>
      <c r="M539" s="63" t="inlineStr">
        <is>
          <t>0,00</t>
        </is>
      </c>
    </row>
    <row r="540">
      <c r="A540" s="66" t="n">
        <v>46153</v>
      </c>
      <c r="B540" s="65" t="inlineStr">
        <is>
          <t>PUSD1/2026/00160</t>
        </is>
      </c>
      <c r="C540" s="65" t="n">
        <v>319</v>
      </c>
      <c r="D540" s="65" t="inlineStr">
        <is>
          <t>EMPRENDIMIENTO IRMA RODRIGUEZ 6</t>
        </is>
      </c>
      <c r="E540" s="63" t="inlineStr">
        <is>
          <t>0,84</t>
        </is>
      </c>
      <c r="F540" s="65" t="inlineStr">
        <is>
          <t>USD</t>
        </is>
      </c>
      <c r="G540" s="65" t="inlineStr">
        <is>
          <t>Efectivo moneda extrajera (USD)</t>
        </is>
      </c>
      <c r="H540" s="63" t="inlineStr">
        <is>
          <t>0,84</t>
        </is>
      </c>
      <c r="I540" s="65" t="n">
        <v>111</v>
      </c>
      <c r="J540" s="65" t="inlineStr">
        <is>
          <t>00-00000483</t>
        </is>
      </c>
      <c r="K540" s="66" t="n">
        <v>46175</v>
      </c>
      <c r="L540" s="63" t="inlineStr">
        <is>
          <t>0,00</t>
        </is>
      </c>
      <c r="M540" s="63" t="inlineStr">
        <is>
          <t>0,00</t>
        </is>
      </c>
    </row>
    <row r="541">
      <c r="A541" s="66" t="n">
        <v>46153</v>
      </c>
      <c r="B541" s="65" t="inlineStr">
        <is>
          <t>PUSD1/2026/00159</t>
        </is>
      </c>
      <c r="C541" s="65" t="n">
        <v>318</v>
      </c>
      <c r="D541" s="65" t="inlineStr">
        <is>
          <t>EMPRENDIMIENTO IRMA RODRIGUEZ 6</t>
        </is>
      </c>
      <c r="E541" s="63" t="inlineStr">
        <is>
          <t>90,16</t>
        </is>
      </c>
      <c r="F541" s="65" t="inlineStr">
        <is>
          <t>USD</t>
        </is>
      </c>
      <c r="G541" s="65" t="inlineStr">
        <is>
          <t>Efectivo moneda extrajera (USD)</t>
        </is>
      </c>
      <c r="H541" s="63" t="inlineStr">
        <is>
          <t>90,16</t>
        </is>
      </c>
      <c r="I541" s="65" t="n">
        <v>111</v>
      </c>
      <c r="J541" s="65" t="inlineStr">
        <is>
          <t>00-00000483</t>
        </is>
      </c>
      <c r="K541" s="66" t="n">
        <v>46175</v>
      </c>
      <c r="L541" s="63" t="inlineStr">
        <is>
          <t>0,00</t>
        </is>
      </c>
      <c r="M541" s="63" t="inlineStr">
        <is>
          <t>0,00</t>
        </is>
      </c>
    </row>
    <row r="542">
      <c r="A542" s="66" t="n">
        <v>46153</v>
      </c>
      <c r="B542" s="65" t="inlineStr">
        <is>
          <t>PUSD1/2026/00158</t>
        </is>
      </c>
      <c r="C542" s="65" t="n">
        <v>323</v>
      </c>
      <c r="D542" s="65" t="inlineStr">
        <is>
          <t>Pedro Castro</t>
        </is>
      </c>
      <c r="E542" s="63" t="inlineStr">
        <is>
          <t>185,00</t>
        </is>
      </c>
      <c r="F542" s="65" t="inlineStr">
        <is>
          <t>USD</t>
        </is>
      </c>
      <c r="G542" s="65" t="inlineStr">
        <is>
          <t>Efectivo moneda extrajera (USD)</t>
        </is>
      </c>
      <c r="H542" s="63" t="inlineStr">
        <is>
          <t>185,00</t>
        </is>
      </c>
      <c r="I542" s="65" t="n">
        <v>85</v>
      </c>
      <c r="J542" s="65" t="inlineStr">
        <is>
          <t>00-00000413</t>
        </is>
      </c>
      <c r="K542" s="66" t="n">
        <v>46163</v>
      </c>
      <c r="L542" s="63" t="inlineStr">
        <is>
          <t>0,02</t>
        </is>
      </c>
      <c r="M542" s="63" t="inlineStr">
        <is>
          <t>0,00</t>
        </is>
      </c>
    </row>
    <row r="543">
      <c r="A543" s="66" t="n">
        <v>46153</v>
      </c>
      <c r="B543" s="65" t="inlineStr">
        <is>
          <t>PUSD1/2026/00157</t>
        </is>
      </c>
      <c r="C543" s="65" t="n">
        <v>324</v>
      </c>
      <c r="D543" s="65" t="inlineStr">
        <is>
          <t>Global Ferre 888 C.A</t>
        </is>
      </c>
      <c r="E543" s="63" t="inlineStr">
        <is>
          <t>40,00</t>
        </is>
      </c>
      <c r="F543" s="65" t="inlineStr">
        <is>
          <t>USD</t>
        </is>
      </c>
      <c r="G543" s="65" t="inlineStr">
        <is>
          <t>Efectivo moneda extrajera (USD)</t>
        </is>
      </c>
      <c r="H543" s="63" t="inlineStr">
        <is>
          <t>40,00</t>
        </is>
      </c>
      <c r="I543" s="65" t="n">
        <v>143</v>
      </c>
      <c r="J543" s="65" t="inlineStr">
        <is>
          <t>00-00000586</t>
        </is>
      </c>
      <c r="K543" s="66" t="n">
        <v>46185</v>
      </c>
      <c r="L543" s="63" t="inlineStr">
        <is>
          <t>0,00</t>
        </is>
      </c>
      <c r="M543" s="63" t="inlineStr">
        <is>
          <t>0,00</t>
        </is>
      </c>
    </row>
    <row r="544">
      <c r="A544" s="66" t="n">
        <v>46153</v>
      </c>
      <c r="B544" s="65" t="inlineStr">
        <is>
          <t>PBNB/2026/00001</t>
        </is>
      </c>
      <c r="C544" s="65" t="n">
        <v>317</v>
      </c>
      <c r="D544" s="65" t="inlineStr">
        <is>
          <t>Inversiones Dekamalbaz, C.A</t>
        </is>
      </c>
      <c r="E544" s="63" t="inlineStr">
        <is>
          <t>175,00</t>
        </is>
      </c>
      <c r="F544" s="65" t="inlineStr">
        <is>
          <t>USD</t>
        </is>
      </c>
      <c r="G544" s="65" t="inlineStr">
        <is>
          <t>Binance (USD)</t>
        </is>
      </c>
      <c r="H544" s="63" t="inlineStr">
        <is>
          <t>175,00</t>
        </is>
      </c>
      <c r="I544" s="65" t="n"/>
      <c r="J544" s="65" t="n"/>
      <c r="K544" s="65" t="n"/>
      <c r="L544" s="65" t="n"/>
      <c r="M544" s="65" t="n"/>
    </row>
    <row r="545">
      <c r="A545" s="66" t="n">
        <v>46153</v>
      </c>
      <c r="B545" s="65" t="inlineStr">
        <is>
          <t>PBAMI/2026/00079</t>
        </is>
      </c>
      <c r="C545" s="65" t="n">
        <v>322</v>
      </c>
      <c r="D545" s="65" t="inlineStr">
        <is>
          <t>INVERSIONES SMALUM 21, C.A.</t>
        </is>
      </c>
      <c r="E545" s="63" t="inlineStr">
        <is>
          <t>589,27</t>
        </is>
      </c>
      <c r="F545" s="65" t="inlineStr">
        <is>
          <t>VES</t>
        </is>
      </c>
      <c r="G545" s="65" t="inlineStr">
        <is>
          <t>Banco Bancamiga 7806</t>
        </is>
      </c>
      <c r="H545" s="63" t="inlineStr">
        <is>
          <t>1,18</t>
        </is>
      </c>
      <c r="I545" s="65" t="n"/>
      <c r="J545" s="65" t="n"/>
      <c r="K545" s="65" t="n"/>
      <c r="L545" s="65" t="n"/>
      <c r="M545" s="65" t="n"/>
    </row>
    <row r="546">
      <c r="A546" s="66" t="n">
        <v>46153</v>
      </c>
      <c r="B546" s="65" t="inlineStr">
        <is>
          <t>PBAMI/2026/00078</t>
        </is>
      </c>
      <c r="C546" s="65" t="n">
        <v>321</v>
      </c>
      <c r="D546" s="65" t="inlineStr">
        <is>
          <t>INVERSIONES SMALUM 21, C.A.</t>
        </is>
      </c>
      <c r="E546" s="63" t="inlineStr">
        <is>
          <t>118.845,06</t>
        </is>
      </c>
      <c r="F546" s="65" t="inlineStr">
        <is>
          <t>VES</t>
        </is>
      </c>
      <c r="G546" s="65" t="inlineStr">
        <is>
          <t>Banco Bancamiga 7806</t>
        </is>
      </c>
      <c r="H546" s="63" t="inlineStr">
        <is>
          <t>237,47</t>
        </is>
      </c>
      <c r="I546" s="65" t="n"/>
      <c r="J546" s="65" t="n"/>
      <c r="K546" s="65" t="n"/>
      <c r="L546" s="65" t="n"/>
      <c r="M546" s="65" t="n"/>
    </row>
    <row r="547">
      <c r="A547" s="66" t="n">
        <v>46153</v>
      </c>
      <c r="B547" s="65" t="inlineStr">
        <is>
          <t>PBAMI/2026/00077</t>
        </is>
      </c>
      <c r="C547" s="65" t="n">
        <v>320</v>
      </c>
      <c r="D547" s="65" t="inlineStr">
        <is>
          <t>Jose Lopez Espinoza</t>
        </is>
      </c>
      <c r="E547" s="63" t="inlineStr">
        <is>
          <t>50.046,06</t>
        </is>
      </c>
      <c r="F547" s="65" t="inlineStr">
        <is>
          <t>VES</t>
        </is>
      </c>
      <c r="G547" s="65" t="inlineStr">
        <is>
          <t>Banco Bancamiga 7806</t>
        </is>
      </c>
      <c r="H547" s="63" t="inlineStr">
        <is>
          <t>100,00</t>
        </is>
      </c>
      <c r="I547" s="65" t="n"/>
      <c r="J547" s="65" t="n"/>
      <c r="K547" s="65" t="n"/>
      <c r="L547" s="65" t="n"/>
      <c r="M547" s="65" t="n"/>
    </row>
    <row r="548">
      <c r="A548" s="66" t="n">
        <v>46151</v>
      </c>
      <c r="B548" s="65" t="inlineStr">
        <is>
          <t>PUSD1/2026/00156</t>
        </is>
      </c>
      <c r="C548" s="65" t="n">
        <v>316</v>
      </c>
      <c r="D548" s="65" t="inlineStr">
        <is>
          <t>Dimas Ortíz</t>
        </is>
      </c>
      <c r="E548" s="63" t="inlineStr">
        <is>
          <t>230,00</t>
        </is>
      </c>
      <c r="F548" s="65" t="inlineStr">
        <is>
          <t>USD</t>
        </is>
      </c>
      <c r="G548" s="65" t="inlineStr">
        <is>
          <t>Efectivo moneda extrajera (USD)</t>
        </is>
      </c>
      <c r="H548" s="63" t="inlineStr">
        <is>
          <t>230,00</t>
        </is>
      </c>
      <c r="I548" s="65" t="n">
        <v>100</v>
      </c>
      <c r="J548" s="65" t="inlineStr">
        <is>
          <t>00-00000454</t>
        </is>
      </c>
      <c r="K548" s="66" t="n">
        <v>46163</v>
      </c>
      <c r="L548" s="63" t="inlineStr">
        <is>
          <t>0,03</t>
        </is>
      </c>
      <c r="M548" s="63" t="inlineStr">
        <is>
          <t>0,00</t>
        </is>
      </c>
    </row>
    <row r="549">
      <c r="A549" s="66" t="n">
        <v>46151</v>
      </c>
      <c r="B549" s="65" t="inlineStr">
        <is>
          <t>PBAMI/2026/00076</t>
        </is>
      </c>
      <c r="C549" s="65" t="n">
        <v>315</v>
      </c>
      <c r="D549" s="65" t="inlineStr">
        <is>
          <t>E&amp;M CAR SHOP C.A</t>
        </is>
      </c>
      <c r="E549" s="63" t="inlineStr">
        <is>
          <t>391.495,00</t>
        </is>
      </c>
      <c r="F549" s="65" t="inlineStr">
        <is>
          <t>VES</t>
        </is>
      </c>
      <c r="G549" s="65" t="inlineStr">
        <is>
          <t>Banco Bancamiga 7806</t>
        </is>
      </c>
      <c r="H549" s="63" t="inlineStr">
        <is>
          <t>783,21</t>
        </is>
      </c>
      <c r="I549" s="65" t="n">
        <v>127</v>
      </c>
      <c r="J549" s="65" t="inlineStr">
        <is>
          <t>00-00000540</t>
        </is>
      </c>
      <c r="K549" s="66" t="n">
        <v>46182</v>
      </c>
      <c r="L549" s="63" t="inlineStr">
        <is>
          <t>0,00</t>
        </is>
      </c>
      <c r="M549" s="63" t="inlineStr">
        <is>
          <t>0,00</t>
        </is>
      </c>
    </row>
    <row r="550">
      <c r="A550" s="66" t="n">
        <v>46150</v>
      </c>
      <c r="B550" s="65" t="inlineStr">
        <is>
          <t>PUSD1/2026/00494</t>
        </is>
      </c>
      <c r="C550" s="65" t="n">
        <v>992</v>
      </c>
      <c r="D550" s="65" t="inlineStr">
        <is>
          <t>Inversiones Air Brakes, C.A</t>
        </is>
      </c>
      <c r="E550" s="63" t="inlineStr">
        <is>
          <t>75,00</t>
        </is>
      </c>
      <c r="F550" s="65" t="inlineStr">
        <is>
          <t>USD</t>
        </is>
      </c>
      <c r="G550" s="65" t="inlineStr">
        <is>
          <t>Efectivo moneda extrajera (USD)</t>
        </is>
      </c>
      <c r="H550" s="63" t="inlineStr">
        <is>
          <t>75,00</t>
        </is>
      </c>
      <c r="I550" s="65" t="n"/>
      <c r="J550" s="65" t="n"/>
      <c r="K550" s="65" t="n"/>
      <c r="L550" s="65" t="n"/>
      <c r="M550" s="65" t="n"/>
    </row>
    <row r="551">
      <c r="A551" s="66" t="n">
        <v>46150</v>
      </c>
      <c r="B551" s="65" t="inlineStr">
        <is>
          <t>PUSD1/2026/00430</t>
        </is>
      </c>
      <c r="C551" s="65" t="n">
        <v>306</v>
      </c>
      <c r="D551" s="65" t="inlineStr">
        <is>
          <t>Auto Repuestos Acal C.A</t>
        </is>
      </c>
      <c r="E551" s="63" t="inlineStr">
        <is>
          <t>100,00</t>
        </is>
      </c>
      <c r="F551" s="65" t="inlineStr">
        <is>
          <t>USD</t>
        </is>
      </c>
      <c r="G551" s="65" t="inlineStr">
        <is>
          <t>Efectivo moneda extrajera (USD)</t>
        </is>
      </c>
      <c r="H551" s="63" t="inlineStr">
        <is>
          <t>100,00</t>
        </is>
      </c>
      <c r="I551" s="65" t="n">
        <v>71</v>
      </c>
      <c r="J551" s="65" t="inlineStr">
        <is>
          <t>00-00000385</t>
        </is>
      </c>
      <c r="K551" s="66" t="n">
        <v>46162</v>
      </c>
      <c r="L551" s="63" t="inlineStr">
        <is>
          <t>0,00</t>
        </is>
      </c>
      <c r="M551" s="63" t="inlineStr">
        <is>
          <t>0,00</t>
        </is>
      </c>
    </row>
    <row r="552">
      <c r="A552" s="66" t="n">
        <v>46150</v>
      </c>
      <c r="B552" s="65" t="inlineStr">
        <is>
          <t>PUSD1/2026/00227</t>
        </is>
      </c>
      <c r="C552" s="65" t="n">
        <v>444</v>
      </c>
      <c r="D552" s="65" t="inlineStr">
        <is>
          <t>Inversiones La Bendición del Nazareno, C.A</t>
        </is>
      </c>
      <c r="E552" s="63" t="inlineStr">
        <is>
          <t>500,00</t>
        </is>
      </c>
      <c r="F552" s="65" t="inlineStr">
        <is>
          <t>USD</t>
        </is>
      </c>
      <c r="G552" s="65" t="inlineStr">
        <is>
          <t>Efectivo moneda extrajera (USD)</t>
        </is>
      </c>
      <c r="H552" s="63" t="inlineStr">
        <is>
          <t>500,00</t>
        </is>
      </c>
      <c r="I552" s="65" t="n"/>
      <c r="J552" s="65" t="n"/>
      <c r="K552" s="65" t="n"/>
      <c r="L552" s="65" t="n"/>
      <c r="M552" s="65" t="n"/>
    </row>
    <row r="553">
      <c r="A553" s="66" t="n">
        <v>46150</v>
      </c>
      <c r="B553" s="65" t="inlineStr">
        <is>
          <t>PUSD1/2026/00155</t>
        </is>
      </c>
      <c r="C553" s="65" t="n">
        <v>309</v>
      </c>
      <c r="D553" s="65" t="inlineStr">
        <is>
          <t>ELIVAN2025, C.A</t>
        </is>
      </c>
      <c r="E553" s="63" t="inlineStr">
        <is>
          <t>20,00</t>
        </is>
      </c>
      <c r="F553" s="65" t="inlineStr">
        <is>
          <t>USD</t>
        </is>
      </c>
      <c r="G553" s="65" t="inlineStr">
        <is>
          <t>Efectivo moneda extrajera (USD)</t>
        </is>
      </c>
      <c r="H553" s="63" t="inlineStr">
        <is>
          <t>20,00</t>
        </is>
      </c>
      <c r="I553" s="65" t="n">
        <v>175</v>
      </c>
      <c r="J553" s="65" t="inlineStr">
        <is>
          <t>00-00000618</t>
        </is>
      </c>
      <c r="K553" s="66" t="n">
        <v>46185</v>
      </c>
      <c r="L553" s="63" t="inlineStr">
        <is>
          <t>0,00</t>
        </is>
      </c>
      <c r="M553" s="63" t="inlineStr">
        <is>
          <t>0,00</t>
        </is>
      </c>
    </row>
    <row r="554">
      <c r="A554" s="66" t="n">
        <v>46150</v>
      </c>
      <c r="B554" s="65" t="inlineStr">
        <is>
          <t>PUSD1/2026/00154</t>
        </is>
      </c>
      <c r="C554" s="65" t="n">
        <v>313</v>
      </c>
      <c r="D554" s="65" t="inlineStr">
        <is>
          <t>La cámara perfecta</t>
        </is>
      </c>
      <c r="E554" s="63" t="inlineStr">
        <is>
          <t>100,00</t>
        </is>
      </c>
      <c r="F554" s="65" t="inlineStr">
        <is>
          <t>USD</t>
        </is>
      </c>
      <c r="G554" s="65" t="inlineStr">
        <is>
          <t>Efectivo moneda extrajera (USD)</t>
        </is>
      </c>
      <c r="H554" s="63" t="inlineStr">
        <is>
          <t>100,00</t>
        </is>
      </c>
      <c r="I554" s="65" t="n">
        <v>219</v>
      </c>
      <c r="J554" s="65" t="inlineStr">
        <is>
          <t>00-00000725</t>
        </is>
      </c>
      <c r="K554" s="66" t="n">
        <v>46205</v>
      </c>
      <c r="L554" s="63" t="inlineStr">
        <is>
          <t>0,00</t>
        </is>
      </c>
      <c r="M554" s="63" t="inlineStr">
        <is>
          <t>0,00</t>
        </is>
      </c>
    </row>
    <row r="555">
      <c r="A555" s="66" t="n">
        <v>46150</v>
      </c>
      <c r="B555" s="65" t="inlineStr">
        <is>
          <t>PUSD1/2026/00153</t>
        </is>
      </c>
      <c r="C555" s="65" t="n">
        <v>311</v>
      </c>
      <c r="D555" s="65" t="inlineStr">
        <is>
          <t>M.L.P Repuestos y Otros, C.A</t>
        </is>
      </c>
      <c r="E555" s="63" t="inlineStr">
        <is>
          <t>160,00</t>
        </is>
      </c>
      <c r="F555" s="65" t="inlineStr">
        <is>
          <t>USD</t>
        </is>
      </c>
      <c r="G555" s="65" t="inlineStr">
        <is>
          <t>Efectivo moneda extrajera (USD)</t>
        </is>
      </c>
      <c r="H555" s="63" t="inlineStr">
        <is>
          <t>160,00</t>
        </is>
      </c>
      <c r="I555" s="65" t="n"/>
      <c r="J555" s="65" t="n"/>
      <c r="K555" s="65" t="n"/>
      <c r="L555" s="65" t="n"/>
      <c r="M555" s="65" t="n"/>
    </row>
    <row r="556">
      <c r="A556" s="66" t="n">
        <v>46150</v>
      </c>
      <c r="B556" s="65" t="inlineStr">
        <is>
          <t>PUSD1/2026/00152</t>
        </is>
      </c>
      <c r="C556" s="65" t="n">
        <v>308</v>
      </c>
      <c r="D556" s="65" t="inlineStr">
        <is>
          <t>Braulio R. Cedeño Gonzalez.</t>
        </is>
      </c>
      <c r="E556" s="63" t="inlineStr">
        <is>
          <t>40,00</t>
        </is>
      </c>
      <c r="F556" s="65" t="inlineStr">
        <is>
          <t>USD</t>
        </is>
      </c>
      <c r="G556" s="65" t="inlineStr">
        <is>
          <t>Efectivo moneda extrajera (USD)</t>
        </is>
      </c>
      <c r="H556" s="63" t="inlineStr">
        <is>
          <t>40,00</t>
        </is>
      </c>
      <c r="I556" s="65" t="n">
        <v>290</v>
      </c>
      <c r="J556" s="65" t="inlineStr">
        <is>
          <t>00-00000828</t>
        </is>
      </c>
      <c r="K556" s="66" t="n">
        <v>46214</v>
      </c>
      <c r="L556" s="63" t="inlineStr">
        <is>
          <t>9,00</t>
        </is>
      </c>
      <c r="M556" s="63" t="inlineStr">
        <is>
          <t>0,00</t>
        </is>
      </c>
    </row>
    <row r="557">
      <c r="A557" s="66" t="n">
        <v>46150</v>
      </c>
      <c r="B557" s="65" t="inlineStr">
        <is>
          <t>PUSD1/2026/00151</t>
        </is>
      </c>
      <c r="C557" s="65" t="n">
        <v>312</v>
      </c>
      <c r="D557" s="65" t="inlineStr">
        <is>
          <t>Marlene Herrera</t>
        </is>
      </c>
      <c r="E557" s="63" t="inlineStr">
        <is>
          <t>100,00</t>
        </is>
      </c>
      <c r="F557" s="65" t="inlineStr">
        <is>
          <t>USD</t>
        </is>
      </c>
      <c r="G557" s="65" t="inlineStr">
        <is>
          <t>Efectivo moneda extrajera (USD)</t>
        </is>
      </c>
      <c r="H557" s="63" t="inlineStr">
        <is>
          <t>100,00</t>
        </is>
      </c>
      <c r="I557" s="65" t="n">
        <v>234</v>
      </c>
      <c r="J557" s="65" t="inlineStr">
        <is>
          <t>00-00000756</t>
        </is>
      </c>
      <c r="K557" s="66" t="n">
        <v>46210</v>
      </c>
      <c r="L557" s="63" t="inlineStr">
        <is>
          <t>447,02</t>
        </is>
      </c>
      <c r="M557" s="63" t="inlineStr">
        <is>
          <t>0,00</t>
        </is>
      </c>
    </row>
    <row r="558">
      <c r="A558" s="66" t="n">
        <v>46150</v>
      </c>
      <c r="B558" s="65" t="inlineStr">
        <is>
          <t>PUSD1/2026/00150</t>
        </is>
      </c>
      <c r="C558" s="65" t="n">
        <v>314</v>
      </c>
      <c r="D558" s="65" t="inlineStr">
        <is>
          <t>Comercializadora Garabote</t>
        </is>
      </c>
      <c r="E558" s="63" t="inlineStr">
        <is>
          <t>140,00</t>
        </is>
      </c>
      <c r="F558" s="65" t="inlineStr">
        <is>
          <t>USD</t>
        </is>
      </c>
      <c r="G558" s="65" t="inlineStr">
        <is>
          <t>Efectivo moneda extrajera (USD)</t>
        </is>
      </c>
      <c r="H558" s="63" t="inlineStr">
        <is>
          <t>140,00</t>
        </is>
      </c>
      <c r="I558" s="65" t="n">
        <v>129</v>
      </c>
      <c r="J558" s="65" t="inlineStr">
        <is>
          <t>00-00000542</t>
        </is>
      </c>
      <c r="K558" s="66" t="n">
        <v>46182</v>
      </c>
      <c r="L558" s="63" t="inlineStr">
        <is>
          <t>0,00</t>
        </is>
      </c>
      <c r="M558" s="63" t="inlineStr">
        <is>
          <t>0,00</t>
        </is>
      </c>
    </row>
    <row r="559">
      <c r="A559" s="66" t="n">
        <v>46150</v>
      </c>
      <c r="B559" s="65" t="inlineStr">
        <is>
          <t>PUSD1/2026/00149</t>
        </is>
      </c>
      <c r="C559" s="65" t="n">
        <v>307</v>
      </c>
      <c r="D559" s="65" t="inlineStr">
        <is>
          <t>SJMG 2012 C.A</t>
        </is>
      </c>
      <c r="E559" s="63" t="inlineStr">
        <is>
          <t>250,00</t>
        </is>
      </c>
      <c r="F559" s="65" t="inlineStr">
        <is>
          <t>USD</t>
        </is>
      </c>
      <c r="G559" s="65" t="inlineStr">
        <is>
          <t>Efectivo moneda extrajera (USD)</t>
        </is>
      </c>
      <c r="H559" s="63" t="inlineStr">
        <is>
          <t>250,00</t>
        </is>
      </c>
      <c r="I559" s="65" t="n"/>
      <c r="J559" s="65" t="n"/>
      <c r="K559" s="65" t="n"/>
      <c r="L559" s="65" t="n"/>
      <c r="M559" s="65" t="n"/>
    </row>
    <row r="560">
      <c r="A560" s="66" t="n">
        <v>46150</v>
      </c>
      <c r="B560" s="65" t="inlineStr">
        <is>
          <t>PBAMI/2026/00261</t>
        </is>
      </c>
      <c r="C560" s="65" t="n">
        <v>991</v>
      </c>
      <c r="D560" s="65" t="inlineStr">
        <is>
          <t>Inversiones DSM 2706, c.a.</t>
        </is>
      </c>
      <c r="E560" s="63" t="inlineStr">
        <is>
          <t>14.995,80</t>
        </is>
      </c>
      <c r="F560" s="65" t="inlineStr">
        <is>
          <t>VES</t>
        </is>
      </c>
      <c r="G560" s="65" t="inlineStr">
        <is>
          <t>Banco Bancamiga 7806</t>
        </is>
      </c>
      <c r="H560" s="63" t="inlineStr">
        <is>
          <t>30,00</t>
        </is>
      </c>
      <c r="I560" s="65" t="n"/>
      <c r="J560" s="65" t="n"/>
      <c r="K560" s="65" t="n"/>
      <c r="L560" s="65" t="n"/>
      <c r="M560" s="65" t="n"/>
    </row>
    <row r="561">
      <c r="A561" s="66" t="n">
        <v>46150</v>
      </c>
      <c r="B561" s="65" t="inlineStr">
        <is>
          <t>PBAMI/2026/00118</t>
        </is>
      </c>
      <c r="C561" s="65" t="n">
        <v>511</v>
      </c>
      <c r="D561" s="65" t="n"/>
      <c r="E561" s="63" t="inlineStr">
        <is>
          <t>14.995,80</t>
        </is>
      </c>
      <c r="F561" s="65" t="inlineStr">
        <is>
          <t>VES</t>
        </is>
      </c>
      <c r="G561" s="65" t="inlineStr">
        <is>
          <t>Banco Bancamiga 7806</t>
        </is>
      </c>
      <c r="H561" s="63" t="inlineStr">
        <is>
          <t>30,00</t>
        </is>
      </c>
      <c r="I561" s="65" t="n"/>
      <c r="J561" s="65" t="n"/>
      <c r="K561" s="65" t="n"/>
      <c r="L561" s="65" t="n"/>
      <c r="M561" s="65" t="n"/>
    </row>
    <row r="562">
      <c r="A562" s="66" t="n">
        <v>46150</v>
      </c>
      <c r="B562" s="65" t="inlineStr">
        <is>
          <t>PBAMI/2026/00075</t>
        </is>
      </c>
      <c r="C562" s="65" t="n">
        <v>310</v>
      </c>
      <c r="D562" s="65" t="inlineStr">
        <is>
          <t>Vianney García</t>
        </is>
      </c>
      <c r="E562" s="63" t="inlineStr">
        <is>
          <t>213.194,38</t>
        </is>
      </c>
      <c r="F562" s="65" t="inlineStr">
        <is>
          <t>VES</t>
        </is>
      </c>
      <c r="G562" s="65" t="inlineStr">
        <is>
          <t>Banco Bancamiga 7806</t>
        </is>
      </c>
      <c r="H562" s="63" t="inlineStr">
        <is>
          <t>426,51</t>
        </is>
      </c>
      <c r="I562" s="65" t="n">
        <v>236</v>
      </c>
      <c r="J562" s="65" t="inlineStr">
        <is>
          <t>00-00000758</t>
        </is>
      </c>
      <c r="K562" s="66" t="n">
        <v>46210</v>
      </c>
      <c r="L562" s="63" t="inlineStr">
        <is>
          <t>0,00</t>
        </is>
      </c>
      <c r="M562" s="63" t="inlineStr">
        <is>
          <t>0,00</t>
        </is>
      </c>
    </row>
    <row r="563">
      <c r="A563" s="66" t="n">
        <v>46149</v>
      </c>
      <c r="B563" s="65" t="inlineStr">
        <is>
          <t>PUSD1/2026/00495</t>
        </is>
      </c>
      <c r="C563" s="65" t="n">
        <v>993</v>
      </c>
      <c r="D563" s="65" t="inlineStr">
        <is>
          <t>JOSE RUBIO ESPINEL</t>
        </is>
      </c>
      <c r="E563" s="63" t="inlineStr">
        <is>
          <t>35,00</t>
        </is>
      </c>
      <c r="F563" s="65" t="inlineStr">
        <is>
          <t>USD</t>
        </is>
      </c>
      <c r="G563" s="65" t="inlineStr">
        <is>
          <t>Efectivo moneda extrajera (USD)</t>
        </is>
      </c>
      <c r="H563" s="63" t="inlineStr">
        <is>
          <t>35,00</t>
        </is>
      </c>
      <c r="I563" s="65" t="n"/>
      <c r="J563" s="65" t="n"/>
      <c r="K563" s="65" t="n"/>
      <c r="L563" s="65" t="n"/>
      <c r="M563" s="65" t="n"/>
    </row>
    <row r="564">
      <c r="A564" s="66" t="n">
        <v>46149</v>
      </c>
      <c r="B564" s="65" t="inlineStr">
        <is>
          <t>PUSD1/2026/00428</t>
        </is>
      </c>
      <c r="C564" s="65" t="n">
        <v>300</v>
      </c>
      <c r="D564" s="65" t="inlineStr">
        <is>
          <t>Repuestos Guia Dios Nuestro Camino,c.a.</t>
        </is>
      </c>
      <c r="E564" s="63" t="inlineStr">
        <is>
          <t>30,00</t>
        </is>
      </c>
      <c r="F564" s="65" t="inlineStr">
        <is>
          <t>USD</t>
        </is>
      </c>
      <c r="G564" s="65" t="inlineStr">
        <is>
          <t>Efectivo moneda extrajera (USD)</t>
        </is>
      </c>
      <c r="H564" s="63" t="inlineStr">
        <is>
          <t>30,00</t>
        </is>
      </c>
      <c r="I564" s="65" t="n"/>
      <c r="J564" s="65" t="n"/>
      <c r="K564" s="65" t="n"/>
      <c r="L564" s="65" t="n"/>
      <c r="M564" s="65" t="n"/>
    </row>
    <row r="565">
      <c r="A565" s="66" t="n">
        <v>46149</v>
      </c>
      <c r="B565" s="65" t="inlineStr">
        <is>
          <t>PUSD1/2026/00147</t>
        </is>
      </c>
      <c r="C565" s="65" t="n">
        <v>302</v>
      </c>
      <c r="D565" s="65" t="inlineStr">
        <is>
          <t>MOTOREPUESTOS EL GUANÁBANO YRM C.A.</t>
        </is>
      </c>
      <c r="E565" s="63" t="inlineStr">
        <is>
          <t>50,00</t>
        </is>
      </c>
      <c r="F565" s="65" t="inlineStr">
        <is>
          <t>USD</t>
        </is>
      </c>
      <c r="G565" s="65" t="inlineStr">
        <is>
          <t>Efectivo moneda extrajera (USD)</t>
        </is>
      </c>
      <c r="H565" s="63" t="inlineStr">
        <is>
          <t>50,00</t>
        </is>
      </c>
      <c r="I565" s="65" t="n">
        <v>218</v>
      </c>
      <c r="J565" s="65" t="inlineStr">
        <is>
          <t>00-00000722</t>
        </is>
      </c>
      <c r="K565" s="66" t="n">
        <v>46205</v>
      </c>
      <c r="L565" s="63" t="inlineStr">
        <is>
          <t>0,00</t>
        </is>
      </c>
      <c r="M565" s="63" t="inlineStr">
        <is>
          <t>0,00</t>
        </is>
      </c>
    </row>
    <row r="566">
      <c r="A566" s="66" t="n">
        <v>46149</v>
      </c>
      <c r="B566" s="65" t="inlineStr">
        <is>
          <t>PUSD1/2026/00146</t>
        </is>
      </c>
      <c r="C566" s="65" t="n">
        <v>303</v>
      </c>
      <c r="D566" s="65" t="inlineStr">
        <is>
          <t>Multiservicios Gre-orio2022 c.a</t>
        </is>
      </c>
      <c r="E566" s="63" t="inlineStr">
        <is>
          <t>50,00</t>
        </is>
      </c>
      <c r="F566" s="65" t="inlineStr">
        <is>
          <t>USD</t>
        </is>
      </c>
      <c r="G566" s="65" t="inlineStr">
        <is>
          <t>Efectivo moneda extrajera (USD)</t>
        </is>
      </c>
      <c r="H566" s="63" t="inlineStr">
        <is>
          <t>50,00</t>
        </is>
      </c>
      <c r="I566" s="65" t="n">
        <v>263</v>
      </c>
      <c r="J566" s="65" t="inlineStr">
        <is>
          <t>00-00000800</t>
        </is>
      </c>
      <c r="K566" s="66" t="n">
        <v>46214</v>
      </c>
      <c r="L566" s="63" t="inlineStr">
        <is>
          <t>148,01</t>
        </is>
      </c>
      <c r="M566" s="63" t="inlineStr">
        <is>
          <t>0,00</t>
        </is>
      </c>
    </row>
    <row r="567">
      <c r="A567" s="66" t="n">
        <v>46149</v>
      </c>
      <c r="B567" s="65" t="inlineStr">
        <is>
          <t>PUSD1/2026/00144</t>
        </is>
      </c>
      <c r="C567" s="65" t="n">
        <v>294</v>
      </c>
      <c r="D567" s="65" t="inlineStr">
        <is>
          <t>Constructora Campo Urbano,c.a.</t>
        </is>
      </c>
      <c r="E567" s="63" t="inlineStr">
        <is>
          <t>100,00</t>
        </is>
      </c>
      <c r="F567" s="65" t="inlineStr">
        <is>
          <t>USD</t>
        </is>
      </c>
      <c r="G567" s="65" t="inlineStr">
        <is>
          <t>Efectivo moneda extrajera (USD)</t>
        </is>
      </c>
      <c r="H567" s="63" t="inlineStr">
        <is>
          <t>100,00</t>
        </is>
      </c>
      <c r="I567" s="65" t="n">
        <v>137</v>
      </c>
      <c r="J567" s="65" t="inlineStr">
        <is>
          <t>00-00000570</t>
        </is>
      </c>
      <c r="K567" s="66" t="n">
        <v>46184</v>
      </c>
      <c r="L567" s="63" t="inlineStr">
        <is>
          <t>0,01</t>
        </is>
      </c>
      <c r="M567" s="63" t="inlineStr">
        <is>
          <t>0,00</t>
        </is>
      </c>
    </row>
    <row r="568">
      <c r="A568" s="66" t="n">
        <v>46149</v>
      </c>
      <c r="B568" s="65" t="inlineStr">
        <is>
          <t>PBAMI/2026/00071</t>
        </is>
      </c>
      <c r="C568" s="65" t="n">
        <v>295</v>
      </c>
      <c r="D568" s="65" t="inlineStr">
        <is>
          <t>La cámara perfecta</t>
        </is>
      </c>
      <c r="E568" s="63" t="inlineStr">
        <is>
          <t>131.208,00</t>
        </is>
      </c>
      <c r="F568" s="65" t="inlineStr">
        <is>
          <t>VES</t>
        </is>
      </c>
      <c r="G568" s="65" t="inlineStr">
        <is>
          <t>Banco Bancamiga 7806</t>
        </is>
      </c>
      <c r="H568" s="63" t="inlineStr">
        <is>
          <t>264,09</t>
        </is>
      </c>
      <c r="I568" s="65" t="n">
        <v>219</v>
      </c>
      <c r="J568" s="65" t="inlineStr">
        <is>
          <t>00-00000725</t>
        </is>
      </c>
      <c r="K568" s="66" t="n">
        <v>46205</v>
      </c>
      <c r="L568" s="63" t="inlineStr">
        <is>
          <t>0,00</t>
        </is>
      </c>
      <c r="M568" s="63" t="inlineStr">
        <is>
          <t>0,00</t>
        </is>
      </c>
    </row>
    <row r="569">
      <c r="A569" s="66" t="n">
        <v>46148</v>
      </c>
      <c r="B569" s="65" t="inlineStr">
        <is>
          <t>PUSD1/2026/00143</t>
        </is>
      </c>
      <c r="C569" s="65" t="n">
        <v>304</v>
      </c>
      <c r="D569" s="65" t="inlineStr">
        <is>
          <t>Alexander Quiroz</t>
        </is>
      </c>
      <c r="E569" s="63" t="inlineStr">
        <is>
          <t>900,00</t>
        </is>
      </c>
      <c r="F569" s="65" t="inlineStr">
        <is>
          <t>USD</t>
        </is>
      </c>
      <c r="G569" s="65" t="inlineStr">
        <is>
          <t>Efectivo moneda extrajera (USD)</t>
        </is>
      </c>
      <c r="H569" s="63" t="inlineStr">
        <is>
          <t>900,00</t>
        </is>
      </c>
      <c r="I569" s="65" t="n">
        <v>97</v>
      </c>
      <c r="J569" s="65" t="inlineStr">
        <is>
          <t>00-00000451</t>
        </is>
      </c>
      <c r="K569" s="66" t="n">
        <v>46169</v>
      </c>
      <c r="L569" s="63" t="inlineStr">
        <is>
          <t>0,00</t>
        </is>
      </c>
      <c r="M569" s="63" t="inlineStr">
        <is>
          <t>0,00</t>
        </is>
      </c>
    </row>
    <row r="570">
      <c r="A570" s="66" t="n">
        <v>46148</v>
      </c>
      <c r="B570" s="65" t="inlineStr">
        <is>
          <t>PUSD1/2026/00142</t>
        </is>
      </c>
      <c r="C570" s="65" t="n">
        <v>291</v>
      </c>
      <c r="D570" s="65" t="inlineStr">
        <is>
          <t>Cauchos y Suministros Camacho C.A</t>
        </is>
      </c>
      <c r="E570" s="63" t="inlineStr">
        <is>
          <t>40,00</t>
        </is>
      </c>
      <c r="F570" s="65" t="inlineStr">
        <is>
          <t>USD</t>
        </is>
      </c>
      <c r="G570" s="65" t="inlineStr">
        <is>
          <t>Efectivo moneda extrajera (USD)</t>
        </is>
      </c>
      <c r="H570" s="63" t="inlineStr">
        <is>
          <t>40,00</t>
        </is>
      </c>
      <c r="I570" s="65" t="n">
        <v>279</v>
      </c>
      <c r="J570" s="65" t="inlineStr">
        <is>
          <t>00-00000817</t>
        </is>
      </c>
      <c r="K570" s="66" t="n">
        <v>46214</v>
      </c>
      <c r="L570" s="63" t="inlineStr">
        <is>
          <t>12,00</t>
        </is>
      </c>
      <c r="M570" s="63" t="inlineStr">
        <is>
          <t>0,00</t>
        </is>
      </c>
    </row>
    <row r="571">
      <c r="A571" s="66" t="n">
        <v>46147</v>
      </c>
      <c r="B571" s="65" t="inlineStr">
        <is>
          <t>PUSD1/2026/00427</t>
        </is>
      </c>
      <c r="C571" s="65" t="n">
        <v>283</v>
      </c>
      <c r="D571" s="65" t="inlineStr">
        <is>
          <t>EMPRENDIMIENTO IRMA RODRIGUEZ 6</t>
        </is>
      </c>
      <c r="E571" s="63" t="inlineStr">
        <is>
          <t>226,00</t>
        </is>
      </c>
      <c r="F571" s="65" t="inlineStr">
        <is>
          <t>USD</t>
        </is>
      </c>
      <c r="G571" s="65" t="inlineStr">
        <is>
          <t>Efectivo moneda extrajera (USD)</t>
        </is>
      </c>
      <c r="H571" s="63" t="inlineStr">
        <is>
          <t>226,00</t>
        </is>
      </c>
      <c r="I571" s="65" t="n">
        <v>110</v>
      </c>
      <c r="J571" s="65" t="inlineStr">
        <is>
          <t>00-00000482</t>
        </is>
      </c>
      <c r="K571" s="66" t="n">
        <v>46175</v>
      </c>
      <c r="L571" s="63" t="inlineStr">
        <is>
          <t>0,00</t>
        </is>
      </c>
      <c r="M571" s="63" t="inlineStr">
        <is>
          <t>0,00</t>
        </is>
      </c>
    </row>
    <row r="572">
      <c r="A572" s="66" t="n">
        <v>46147</v>
      </c>
      <c r="B572" s="65" t="inlineStr">
        <is>
          <t>PUSD1/2026/00322</t>
        </is>
      </c>
      <c r="C572" s="65" t="n">
        <v>658</v>
      </c>
      <c r="D572" s="65" t="inlineStr">
        <is>
          <t>GASOLVEN DISTRIBUIDORA, C.A</t>
        </is>
      </c>
      <c r="E572" s="63" t="inlineStr">
        <is>
          <t>1.203,00</t>
        </is>
      </c>
      <c r="F572" s="65" t="inlineStr">
        <is>
          <t>USD</t>
        </is>
      </c>
      <c r="G572" s="65" t="inlineStr">
        <is>
          <t>Efectivo moneda extrajera (USD)</t>
        </is>
      </c>
      <c r="H572" s="63" t="inlineStr">
        <is>
          <t>1.203,00</t>
        </is>
      </c>
      <c r="I572" s="65" t="n">
        <v>169</v>
      </c>
      <c r="J572" s="65" t="inlineStr">
        <is>
          <t>00-00000612</t>
        </is>
      </c>
      <c r="K572" s="66" t="n">
        <v>46185</v>
      </c>
      <c r="L572" s="63" t="inlineStr">
        <is>
          <t>0,00</t>
        </is>
      </c>
      <c r="M572" s="63" t="inlineStr">
        <is>
          <t>0,00</t>
        </is>
      </c>
    </row>
    <row r="573">
      <c r="A573" s="66" t="n">
        <v>46147</v>
      </c>
      <c r="B573" s="65" t="inlineStr">
        <is>
          <t>PUSD1/2026/00141</t>
        </is>
      </c>
      <c r="C573" s="65" t="n">
        <v>285</v>
      </c>
      <c r="D573" s="65" t="inlineStr">
        <is>
          <t>Katiuska Alejandra Curvelo</t>
        </is>
      </c>
      <c r="E573" s="63" t="inlineStr">
        <is>
          <t>100,00</t>
        </is>
      </c>
      <c r="F573" s="65" t="inlineStr">
        <is>
          <t>USD</t>
        </is>
      </c>
      <c r="G573" s="65" t="inlineStr">
        <is>
          <t>Efectivo moneda extrajera (USD)</t>
        </is>
      </c>
      <c r="H573" s="63" t="inlineStr">
        <is>
          <t>100,00</t>
        </is>
      </c>
      <c r="I573" s="65" t="n"/>
      <c r="J573" s="65" t="n"/>
      <c r="K573" s="65" t="n"/>
      <c r="L573" s="65" t="n"/>
      <c r="M573" s="65" t="n"/>
    </row>
    <row r="574">
      <c r="A574" s="66" t="n">
        <v>46147</v>
      </c>
      <c r="B574" s="65" t="inlineStr">
        <is>
          <t>PUSD1/2026/00140</t>
        </is>
      </c>
      <c r="C574" s="65" t="n">
        <v>284</v>
      </c>
      <c r="D574" s="65" t="inlineStr">
        <is>
          <t>Yulendri Carolina Pineda Blanco</t>
        </is>
      </c>
      <c r="E574" s="63" t="inlineStr">
        <is>
          <t>100,00</t>
        </is>
      </c>
      <c r="F574" s="65" t="inlineStr">
        <is>
          <t>USD</t>
        </is>
      </c>
      <c r="G574" s="65" t="inlineStr">
        <is>
          <t>Efectivo moneda extrajera (USD)</t>
        </is>
      </c>
      <c r="H574" s="63" t="inlineStr">
        <is>
          <t>100,00</t>
        </is>
      </c>
      <c r="I574" s="65" t="n">
        <v>209</v>
      </c>
      <c r="J574" s="65" t="inlineStr">
        <is>
          <t>00-00000710</t>
        </is>
      </c>
      <c r="K574" s="66" t="n">
        <v>46205</v>
      </c>
      <c r="L574" s="63" t="inlineStr">
        <is>
          <t>0,00</t>
        </is>
      </c>
      <c r="M574" s="63" t="inlineStr">
        <is>
          <t>0,00</t>
        </is>
      </c>
    </row>
    <row r="575">
      <c r="A575" s="66" t="n">
        <v>46147</v>
      </c>
      <c r="B575" s="65" t="inlineStr">
        <is>
          <t>PUSD1/2026/00139</t>
        </is>
      </c>
      <c r="C575" s="65" t="n">
        <v>289</v>
      </c>
      <c r="D575" s="65" t="inlineStr">
        <is>
          <t>Pedro Castro</t>
        </is>
      </c>
      <c r="E575" s="63" t="inlineStr">
        <is>
          <t>100,00</t>
        </is>
      </c>
      <c r="F575" s="65" t="inlineStr">
        <is>
          <t>USD</t>
        </is>
      </c>
      <c r="G575" s="65" t="inlineStr">
        <is>
          <t>Efectivo moneda extrajera (USD)</t>
        </is>
      </c>
      <c r="H575" s="63" t="inlineStr">
        <is>
          <t>100,00</t>
        </is>
      </c>
      <c r="I575" s="65" t="n">
        <v>85</v>
      </c>
      <c r="J575" s="65" t="inlineStr">
        <is>
          <t>00-00000413</t>
        </is>
      </c>
      <c r="K575" s="66" t="n">
        <v>46163</v>
      </c>
      <c r="L575" s="63" t="inlineStr">
        <is>
          <t>0,02</t>
        </is>
      </c>
      <c r="M575" s="63" t="inlineStr">
        <is>
          <t>0,00</t>
        </is>
      </c>
    </row>
    <row r="576">
      <c r="A576" s="66" t="n">
        <v>46147</v>
      </c>
      <c r="B576" s="65" t="inlineStr">
        <is>
          <t>PUSD1/2026/00138</t>
        </is>
      </c>
      <c r="C576" s="65" t="n">
        <v>287</v>
      </c>
      <c r="D576" s="65" t="inlineStr">
        <is>
          <t>LOGISTICA Y CONSULTORIA VINCARS, C.A.</t>
        </is>
      </c>
      <c r="E576" s="63" t="inlineStr">
        <is>
          <t>49,00</t>
        </is>
      </c>
      <c r="F576" s="65" t="inlineStr">
        <is>
          <t>USD</t>
        </is>
      </c>
      <c r="G576" s="65" t="inlineStr">
        <is>
          <t>Efectivo moneda extrajera (USD)</t>
        </is>
      </c>
      <c r="H576" s="63" t="inlineStr">
        <is>
          <t>49,00</t>
        </is>
      </c>
      <c r="I576" s="65" t="n">
        <v>86</v>
      </c>
      <c r="J576" s="65" t="inlineStr">
        <is>
          <t>00-00000414</t>
        </is>
      </c>
      <c r="K576" s="66" t="n">
        <v>46163</v>
      </c>
      <c r="L576" s="63" t="inlineStr">
        <is>
          <t>0,00</t>
        </is>
      </c>
      <c r="M576" s="63" t="inlineStr">
        <is>
          <t>0,00</t>
        </is>
      </c>
    </row>
    <row r="577">
      <c r="A577" s="66" t="n">
        <v>46147</v>
      </c>
      <c r="B577" s="65" t="inlineStr">
        <is>
          <t>PUSD1/2026/00137</t>
        </is>
      </c>
      <c r="C577" s="65" t="n">
        <v>286</v>
      </c>
      <c r="D577" s="65" t="inlineStr">
        <is>
          <t>LOGISTICA Y CONSULTORIA VINCARS, C.A.</t>
        </is>
      </c>
      <c r="E577" s="63" t="inlineStr">
        <is>
          <t>90,00</t>
        </is>
      </c>
      <c r="F577" s="65" t="inlineStr">
        <is>
          <t>USD</t>
        </is>
      </c>
      <c r="G577" s="65" t="inlineStr">
        <is>
          <t>Efectivo moneda extrajera (USD)</t>
        </is>
      </c>
      <c r="H577" s="63" t="inlineStr">
        <is>
          <t>90,00</t>
        </is>
      </c>
      <c r="I577" s="65" t="n">
        <v>86</v>
      </c>
      <c r="J577" s="65" t="inlineStr">
        <is>
          <t>00-00000414</t>
        </is>
      </c>
      <c r="K577" s="66" t="n">
        <v>46163</v>
      </c>
      <c r="L577" s="63" t="inlineStr">
        <is>
          <t>0,00</t>
        </is>
      </c>
      <c r="M577" s="63" t="inlineStr">
        <is>
          <t>0,00</t>
        </is>
      </c>
    </row>
    <row r="578">
      <c r="A578" s="66" t="n">
        <v>46147</v>
      </c>
      <c r="B578" s="65" t="inlineStr">
        <is>
          <t>PUSD1/2026/00136</t>
        </is>
      </c>
      <c r="C578" s="65" t="n">
        <v>282</v>
      </c>
      <c r="D578" s="65" t="inlineStr">
        <is>
          <t>INVERSIONES R&amp;C 1817, c.a.</t>
        </is>
      </c>
      <c r="E578" s="63" t="inlineStr">
        <is>
          <t>190,00</t>
        </is>
      </c>
      <c r="F578" s="65" t="inlineStr">
        <is>
          <t>USD</t>
        </is>
      </c>
      <c r="G578" s="65" t="inlineStr">
        <is>
          <t>Efectivo moneda extrajera (USD)</t>
        </is>
      </c>
      <c r="H578" s="63" t="inlineStr">
        <is>
          <t>190,00</t>
        </is>
      </c>
      <c r="I578" s="65" t="n">
        <v>35</v>
      </c>
      <c r="J578" s="65" t="inlineStr">
        <is>
          <t>00-00000287</t>
        </is>
      </c>
      <c r="K578" s="66" t="n">
        <v>46150</v>
      </c>
      <c r="L578" s="63" t="inlineStr">
        <is>
          <t>0,00</t>
        </is>
      </c>
      <c r="M578" s="63" t="inlineStr">
        <is>
          <t>0,00</t>
        </is>
      </c>
    </row>
    <row r="579">
      <c r="A579" s="66" t="n">
        <v>46147</v>
      </c>
      <c r="B579" s="65" t="inlineStr">
        <is>
          <t>PUSD1/2026/00135</t>
        </is>
      </c>
      <c r="C579" s="65" t="n">
        <v>281</v>
      </c>
      <c r="D579" s="65" t="inlineStr">
        <is>
          <t>FREDI MARQUEZ</t>
        </is>
      </c>
      <c r="E579" s="63" t="inlineStr">
        <is>
          <t>135,00</t>
        </is>
      </c>
      <c r="F579" s="65" t="inlineStr">
        <is>
          <t>USD</t>
        </is>
      </c>
      <c r="G579" s="65" t="inlineStr">
        <is>
          <t>Efectivo moneda extrajera (USD)</t>
        </is>
      </c>
      <c r="H579" s="63" t="inlineStr">
        <is>
          <t>135,00</t>
        </is>
      </c>
      <c r="I579" s="65" t="n">
        <v>98</v>
      </c>
      <c r="J579" s="65" t="inlineStr">
        <is>
          <t>00-00000452</t>
        </is>
      </c>
      <c r="K579" s="66" t="n">
        <v>46168</v>
      </c>
      <c r="L579" s="63" t="inlineStr">
        <is>
          <t>0,00</t>
        </is>
      </c>
      <c r="M579" s="63" t="inlineStr">
        <is>
          <t>0,00</t>
        </is>
      </c>
    </row>
    <row r="580">
      <c r="A580" s="66" t="n">
        <v>46147</v>
      </c>
      <c r="B580" s="65" t="inlineStr">
        <is>
          <t>PBDV/2026/00007</t>
        </is>
      </c>
      <c r="C580" s="65" t="n">
        <v>293</v>
      </c>
      <c r="D580" s="65" t="inlineStr">
        <is>
          <t>ZIP MARKET, CA</t>
        </is>
      </c>
      <c r="E580" s="63" t="inlineStr">
        <is>
          <t>48.318,36</t>
        </is>
      </c>
      <c r="F580" s="65" t="inlineStr">
        <is>
          <t>VES</t>
        </is>
      </c>
      <c r="G580" s="65" t="inlineStr">
        <is>
          <t>Banco de Venezuela 6891</t>
        </is>
      </c>
      <c r="H580" s="63" t="inlineStr">
        <is>
          <t>98,60</t>
        </is>
      </c>
      <c r="I580" s="65" t="n">
        <v>284</v>
      </c>
      <c r="J580" s="65" t="inlineStr">
        <is>
          <t>00-00000822</t>
        </is>
      </c>
      <c r="K580" s="66" t="n">
        <v>46214</v>
      </c>
      <c r="L580" s="63" t="inlineStr">
        <is>
          <t>0,00</t>
        </is>
      </c>
      <c r="M580" s="63" t="inlineStr">
        <is>
          <t>0,00</t>
        </is>
      </c>
    </row>
    <row r="581">
      <c r="A581" s="66" t="n">
        <v>46147</v>
      </c>
      <c r="B581" s="65" t="inlineStr">
        <is>
          <t>PBDV/2026/00006</t>
        </is>
      </c>
      <c r="C581" s="65" t="n">
        <v>280</v>
      </c>
      <c r="D581" s="65" t="inlineStr">
        <is>
          <t>ANGEL LEON GALARRAGA</t>
        </is>
      </c>
      <c r="E581" s="63" t="inlineStr">
        <is>
          <t>71.624,25</t>
        </is>
      </c>
      <c r="F581" s="65" t="inlineStr">
        <is>
          <t>VES</t>
        </is>
      </c>
      <c r="G581" s="65" t="inlineStr">
        <is>
          <t>Banco de Venezuela 6891</t>
        </is>
      </c>
      <c r="H581" s="63" t="inlineStr">
        <is>
          <t>146,16</t>
        </is>
      </c>
      <c r="I581" s="65" t="n">
        <v>149</v>
      </c>
      <c r="J581" s="65" t="inlineStr">
        <is>
          <t>00-00000592</t>
        </is>
      </c>
      <c r="K581" s="66" t="n">
        <v>46185</v>
      </c>
      <c r="L581" s="63" t="inlineStr">
        <is>
          <t>0,00</t>
        </is>
      </c>
      <c r="M581" s="63" t="inlineStr">
        <is>
          <t>0,00</t>
        </is>
      </c>
    </row>
    <row r="582">
      <c r="A582" s="66" t="n">
        <v>46147</v>
      </c>
      <c r="B582" s="65" t="inlineStr">
        <is>
          <t>PBAMI/2026/00073</t>
        </is>
      </c>
      <c r="C582" s="65" t="n">
        <v>297</v>
      </c>
      <c r="D582" s="65" t="inlineStr">
        <is>
          <t>inversiones El Gran Charles C.A</t>
        </is>
      </c>
      <c r="E582" s="63" t="inlineStr">
        <is>
          <t>25.831,00</t>
        </is>
      </c>
      <c r="F582" s="65" t="inlineStr">
        <is>
          <t>VES</t>
        </is>
      </c>
      <c r="G582" s="65" t="inlineStr">
        <is>
          <t>Banco Bancamiga 7806</t>
        </is>
      </c>
      <c r="H582" s="63" t="inlineStr">
        <is>
          <t>52,71</t>
        </is>
      </c>
      <c r="I582" s="65" t="n">
        <v>239</v>
      </c>
      <c r="J582" s="65" t="inlineStr">
        <is>
          <t>00-00000761</t>
        </is>
      </c>
      <c r="K582" s="66" t="n">
        <v>46210</v>
      </c>
      <c r="L582" s="63" t="inlineStr">
        <is>
          <t>344,63</t>
        </is>
      </c>
      <c r="M582" s="63" t="inlineStr">
        <is>
          <t>0,00</t>
        </is>
      </c>
    </row>
    <row r="583">
      <c r="A583" s="66" t="n">
        <v>46147</v>
      </c>
      <c r="B583" s="65" t="inlineStr">
        <is>
          <t>PBAMI/2026/00072</t>
        </is>
      </c>
      <c r="C583" s="65" t="n">
        <v>296</v>
      </c>
      <c r="D583" s="65" t="inlineStr">
        <is>
          <t>inversiones El Gran Charles C.A</t>
        </is>
      </c>
      <c r="E583" s="63" t="inlineStr">
        <is>
          <t>2.870,89</t>
        </is>
      </c>
      <c r="F583" s="65" t="inlineStr">
        <is>
          <t>VES</t>
        </is>
      </c>
      <c r="G583" s="65" t="inlineStr">
        <is>
          <t>Banco Bancamiga 7806</t>
        </is>
      </c>
      <c r="H583" s="63" t="inlineStr">
        <is>
          <t>5,86</t>
        </is>
      </c>
      <c r="I583" s="65" t="n">
        <v>239</v>
      </c>
      <c r="J583" s="65" t="inlineStr">
        <is>
          <t>00-00000761</t>
        </is>
      </c>
      <c r="K583" s="66" t="n">
        <v>46210</v>
      </c>
      <c r="L583" s="63" t="inlineStr">
        <is>
          <t>344,63</t>
        </is>
      </c>
      <c r="M583" s="63" t="inlineStr">
        <is>
          <t>0,00</t>
        </is>
      </c>
    </row>
    <row r="584">
      <c r="A584" s="66" t="n">
        <v>46146</v>
      </c>
      <c r="B584" s="65" t="inlineStr">
        <is>
          <t>PUSD1/2026/00134</t>
        </is>
      </c>
      <c r="C584" s="65" t="n">
        <v>267</v>
      </c>
      <c r="D584" s="65" t="inlineStr">
        <is>
          <t>ACCESORIOS Y REPUESTOS MOTO CAR 20-11-C.A</t>
        </is>
      </c>
      <c r="E584" s="63" t="inlineStr">
        <is>
          <t>133,00</t>
        </is>
      </c>
      <c r="F584" s="65" t="inlineStr">
        <is>
          <t>USD</t>
        </is>
      </c>
      <c r="G584" s="65" t="inlineStr">
        <is>
          <t>Efectivo moneda extrajera (USD)</t>
        </is>
      </c>
      <c r="H584" s="63" t="inlineStr">
        <is>
          <t>133,00</t>
        </is>
      </c>
      <c r="I584" s="65" t="n">
        <v>291</v>
      </c>
      <c r="J584" s="65" t="inlineStr">
        <is>
          <t>00-00000829</t>
        </is>
      </c>
      <c r="K584" s="66" t="n">
        <v>46214</v>
      </c>
      <c r="L584" s="63" t="inlineStr">
        <is>
          <t>0,00</t>
        </is>
      </c>
      <c r="M584" s="63" t="inlineStr">
        <is>
          <t>0,00</t>
        </is>
      </c>
    </row>
    <row r="585">
      <c r="A585" s="66" t="n">
        <v>46146</v>
      </c>
      <c r="B585" s="65" t="inlineStr">
        <is>
          <t>PUSD1/2026/00133</t>
        </is>
      </c>
      <c r="C585" s="65" t="n">
        <v>278</v>
      </c>
      <c r="D585" s="65" t="inlineStr">
        <is>
          <t>Emprendimiento Tomas Paz</t>
        </is>
      </c>
      <c r="E585" s="63" t="inlineStr">
        <is>
          <t>20,00</t>
        </is>
      </c>
      <c r="F585" s="65" t="inlineStr">
        <is>
          <t>USD</t>
        </is>
      </c>
      <c r="G585" s="65" t="inlineStr">
        <is>
          <t>Efectivo moneda extrajera (USD)</t>
        </is>
      </c>
      <c r="H585" s="63" t="inlineStr">
        <is>
          <t>20,00</t>
        </is>
      </c>
      <c r="I585" s="65" t="n">
        <v>259</v>
      </c>
      <c r="J585" s="65" t="inlineStr">
        <is>
          <t>00-00000796</t>
        </is>
      </c>
      <c r="K585" s="66" t="n">
        <v>46214</v>
      </c>
      <c r="L585" s="63" t="inlineStr">
        <is>
          <t>0,00</t>
        </is>
      </c>
      <c r="M585" s="63" t="inlineStr">
        <is>
          <t>0,00</t>
        </is>
      </c>
    </row>
    <row r="586">
      <c r="A586" s="66" t="n">
        <v>46146</v>
      </c>
      <c r="B586" s="65" t="inlineStr">
        <is>
          <t>PUSD1/2026/00132</t>
        </is>
      </c>
      <c r="C586" s="65" t="n">
        <v>275</v>
      </c>
      <c r="D586" s="65" t="inlineStr">
        <is>
          <t>GARAJE Y TALLERES FRIDELBA, C.A</t>
        </is>
      </c>
      <c r="E586" s="63" t="inlineStr">
        <is>
          <t>147,00</t>
        </is>
      </c>
      <c r="F586" s="65" t="inlineStr">
        <is>
          <t>USD</t>
        </is>
      </c>
      <c r="G586" s="65" t="inlineStr">
        <is>
          <t>Efectivo moneda extrajera (USD)</t>
        </is>
      </c>
      <c r="H586" s="63" t="inlineStr">
        <is>
          <t>147,00</t>
        </is>
      </c>
      <c r="I586" s="65" t="n">
        <v>47</v>
      </c>
      <c r="J586" s="65" t="inlineStr">
        <is>
          <t>00-00000323</t>
        </is>
      </c>
      <c r="K586" s="66" t="n">
        <v>46155</v>
      </c>
      <c r="L586" s="63" t="inlineStr">
        <is>
          <t>0,00</t>
        </is>
      </c>
      <c r="M586" s="63" t="inlineStr">
        <is>
          <t>0,00</t>
        </is>
      </c>
    </row>
    <row r="587">
      <c r="A587" s="66" t="n">
        <v>46146</v>
      </c>
      <c r="B587" s="65" t="inlineStr">
        <is>
          <t>PUSD1/2026/00131</t>
        </is>
      </c>
      <c r="C587" s="65" t="n">
        <v>276</v>
      </c>
      <c r="D587" s="65" t="inlineStr">
        <is>
          <t>GARAJE Y TALLERES FRIDELBA, C.A</t>
        </is>
      </c>
      <c r="E587" s="63" t="inlineStr">
        <is>
          <t>3,00</t>
        </is>
      </c>
      <c r="F587" s="65" t="inlineStr">
        <is>
          <t>USD</t>
        </is>
      </c>
      <c r="G587" s="65" t="inlineStr">
        <is>
          <t>Efectivo moneda extrajera (USD)</t>
        </is>
      </c>
      <c r="H587" s="63" t="inlineStr">
        <is>
          <t>3,00</t>
        </is>
      </c>
      <c r="I587" s="65" t="n">
        <v>185</v>
      </c>
      <c r="J587" s="65" t="inlineStr">
        <is>
          <t>00-00000646</t>
        </is>
      </c>
      <c r="K587" s="66" t="n">
        <v>46189</v>
      </c>
      <c r="L587" s="63" t="inlineStr">
        <is>
          <t>4,12</t>
        </is>
      </c>
      <c r="M587" s="63" t="inlineStr">
        <is>
          <t>0,00</t>
        </is>
      </c>
    </row>
    <row r="588">
      <c r="A588" s="66" t="n">
        <v>46146</v>
      </c>
      <c r="B588" s="65" t="inlineStr">
        <is>
          <t>PUSD1/2026/00130</t>
        </is>
      </c>
      <c r="C588" s="65" t="n">
        <v>279</v>
      </c>
      <c r="D588" s="65" t="inlineStr">
        <is>
          <t>Emprendimiento Jordy Valencia</t>
        </is>
      </c>
      <c r="E588" s="63" t="inlineStr">
        <is>
          <t>110,00</t>
        </is>
      </c>
      <c r="F588" s="65" t="inlineStr">
        <is>
          <t>USD</t>
        </is>
      </c>
      <c r="G588" s="65" t="inlineStr">
        <is>
          <t>Efectivo moneda extrajera (USD)</t>
        </is>
      </c>
      <c r="H588" s="63" t="inlineStr">
        <is>
          <t>110,00</t>
        </is>
      </c>
      <c r="I588" s="65" t="n"/>
      <c r="J588" s="65" t="n"/>
      <c r="K588" s="65" t="n"/>
      <c r="L588" s="65" t="n"/>
      <c r="M588" s="65" t="n"/>
    </row>
    <row r="589">
      <c r="A589" s="66" t="n">
        <v>46146</v>
      </c>
      <c r="B589" s="65" t="inlineStr">
        <is>
          <t>PUSD1/2026/00129</t>
        </is>
      </c>
      <c r="C589" s="65" t="n">
        <v>273</v>
      </c>
      <c r="D589" s="65" t="inlineStr">
        <is>
          <t>SJMG 2012 C.A</t>
        </is>
      </c>
      <c r="E589" s="63" t="inlineStr">
        <is>
          <t>172,00</t>
        </is>
      </c>
      <c r="F589" s="65" t="inlineStr">
        <is>
          <t>USD</t>
        </is>
      </c>
      <c r="G589" s="65" t="inlineStr">
        <is>
          <t>Efectivo moneda extrajera (USD)</t>
        </is>
      </c>
      <c r="H589" s="63" t="inlineStr">
        <is>
          <t>172,00</t>
        </is>
      </c>
      <c r="I589" s="65" t="n">
        <v>87</v>
      </c>
      <c r="J589" s="65" t="inlineStr">
        <is>
          <t>00-00000417</t>
        </is>
      </c>
      <c r="K589" s="66" t="n">
        <v>46163</v>
      </c>
      <c r="L589" s="63" t="inlineStr">
        <is>
          <t>0,00</t>
        </is>
      </c>
      <c r="M589" s="63" t="inlineStr">
        <is>
          <t>0,00</t>
        </is>
      </c>
    </row>
    <row r="590">
      <c r="A590" s="66" t="n">
        <v>46146</v>
      </c>
      <c r="B590" s="65" t="inlineStr">
        <is>
          <t>PUSD1/2026/00128</t>
        </is>
      </c>
      <c r="C590" s="65" t="n">
        <v>274</v>
      </c>
      <c r="D590" s="65" t="inlineStr">
        <is>
          <t>SJMG 2012 C.A</t>
        </is>
      </c>
      <c r="E590" s="63" t="inlineStr">
        <is>
          <t>28,00</t>
        </is>
      </c>
      <c r="F590" s="65" t="inlineStr">
        <is>
          <t>USD</t>
        </is>
      </c>
      <c r="G590" s="65" t="inlineStr">
        <is>
          <t>Efectivo moneda extrajera (USD)</t>
        </is>
      </c>
      <c r="H590" s="63" t="inlineStr">
        <is>
          <t>28,00</t>
        </is>
      </c>
      <c r="I590" s="65" t="n"/>
      <c r="J590" s="65" t="n"/>
      <c r="K590" s="65" t="n"/>
      <c r="L590" s="65" t="n"/>
      <c r="M590" s="65" t="n"/>
    </row>
    <row r="591">
      <c r="A591" s="66" t="n">
        <v>46146</v>
      </c>
      <c r="B591" s="65" t="inlineStr">
        <is>
          <t>PUSD1/2026/00127</t>
        </is>
      </c>
      <c r="C591" s="65" t="n">
        <v>270</v>
      </c>
      <c r="D591" s="65" t="inlineStr">
        <is>
          <t>MOTOS Y REPUESTOS DOS RUEDAS, C.A.</t>
        </is>
      </c>
      <c r="E591" s="63" t="inlineStr">
        <is>
          <t>76,00</t>
        </is>
      </c>
      <c r="F591" s="65" t="inlineStr">
        <is>
          <t>USD</t>
        </is>
      </c>
      <c r="G591" s="65" t="inlineStr">
        <is>
          <t>Efectivo moneda extrajera (USD)</t>
        </is>
      </c>
      <c r="H591" s="63" t="inlineStr">
        <is>
          <t>76,00</t>
        </is>
      </c>
      <c r="I591" s="65" t="n"/>
      <c r="J591" s="65" t="n"/>
      <c r="K591" s="65" t="n"/>
      <c r="L591" s="65" t="n"/>
      <c r="M591" s="65" t="n"/>
    </row>
    <row r="592">
      <c r="A592" s="66" t="n">
        <v>46146</v>
      </c>
      <c r="B592" s="65" t="inlineStr">
        <is>
          <t>PUSD1/2026/00126</t>
        </is>
      </c>
      <c r="C592" s="65" t="n">
        <v>272</v>
      </c>
      <c r="D592" s="65" t="inlineStr">
        <is>
          <t>SJMG 2012 C.A</t>
        </is>
      </c>
      <c r="E592" s="63" t="inlineStr">
        <is>
          <t>800,00</t>
        </is>
      </c>
      <c r="F592" s="65" t="inlineStr">
        <is>
          <t>USD</t>
        </is>
      </c>
      <c r="G592" s="65" t="inlineStr">
        <is>
          <t>Efectivo moneda extrajera (USD)</t>
        </is>
      </c>
      <c r="H592" s="63" t="inlineStr">
        <is>
          <t>800,00</t>
        </is>
      </c>
      <c r="I592" s="65" t="n">
        <v>87</v>
      </c>
      <c r="J592" s="65" t="inlineStr">
        <is>
          <t>00-00000417</t>
        </is>
      </c>
      <c r="K592" s="66" t="n">
        <v>46163</v>
      </c>
      <c r="L592" s="63" t="inlineStr">
        <is>
          <t>0,00</t>
        </is>
      </c>
      <c r="M592" s="63" t="inlineStr">
        <is>
          <t>0,00</t>
        </is>
      </c>
    </row>
    <row r="593">
      <c r="A593" s="66" t="n">
        <v>46146</v>
      </c>
      <c r="B593" s="65" t="inlineStr">
        <is>
          <t>PBAMI/2026/00122</t>
        </is>
      </c>
      <c r="C593" s="65" t="n">
        <v>489</v>
      </c>
      <c r="D593" s="65" t="inlineStr">
        <is>
          <t>CONSTRUCTORA GRANO AGREGADO, C.A</t>
        </is>
      </c>
      <c r="E593" s="63" t="inlineStr">
        <is>
          <t>621.789,96</t>
        </is>
      </c>
      <c r="F593" s="65" t="inlineStr">
        <is>
          <t>VES</t>
        </is>
      </c>
      <c r="G593" s="65" t="inlineStr">
        <is>
          <t>Banco Bancamiga 7806</t>
        </is>
      </c>
      <c r="H593" s="63" t="inlineStr">
        <is>
          <t>1.270,11</t>
        </is>
      </c>
      <c r="I593" s="65" t="n"/>
      <c r="J593" s="65" t="n"/>
      <c r="K593" s="65" t="n"/>
      <c r="L593" s="65" t="n"/>
      <c r="M593" s="65" t="n"/>
    </row>
    <row r="594">
      <c r="A594" s="66" t="n">
        <v>46146</v>
      </c>
      <c r="B594" s="65" t="inlineStr">
        <is>
          <t>PBAMI/2026/00111</t>
        </is>
      </c>
      <c r="C594" s="65" t="n">
        <v>492</v>
      </c>
      <c r="D594" s="65" t="inlineStr">
        <is>
          <t>CONSTRUCTORA GRANO AGREGADO, C.A</t>
        </is>
      </c>
      <c r="E594" s="63" t="inlineStr">
        <is>
          <t>1.000.000,00</t>
        </is>
      </c>
      <c r="F594" s="65" t="inlineStr">
        <is>
          <t>VES</t>
        </is>
      </c>
      <c r="G594" s="65" t="inlineStr">
        <is>
          <t>Banco Bancamiga 7806</t>
        </is>
      </c>
      <c r="H594" s="63" t="inlineStr">
        <is>
          <t>2.042,67</t>
        </is>
      </c>
      <c r="I594" s="65" t="n"/>
      <c r="J594" s="65" t="n"/>
      <c r="K594" s="65" t="n"/>
      <c r="L594" s="65" t="n"/>
      <c r="M594" s="65" t="n"/>
    </row>
    <row r="595">
      <c r="A595" s="66" t="n">
        <v>46146</v>
      </c>
      <c r="B595" s="65" t="inlineStr">
        <is>
          <t>PBAMI/2026/00070</t>
        </is>
      </c>
      <c r="C595" s="65" t="n">
        <v>263</v>
      </c>
      <c r="D595" s="65" t="inlineStr">
        <is>
          <t>Wuilliams bastidas</t>
        </is>
      </c>
      <c r="E595" s="63" t="inlineStr">
        <is>
          <t>25.126,61</t>
        </is>
      </c>
      <c r="F595" s="65" t="inlineStr">
        <is>
          <t>VES</t>
        </is>
      </c>
      <c r="G595" s="65" t="inlineStr">
        <is>
          <t>Banco Bancamiga 7806</t>
        </is>
      </c>
      <c r="H595" s="63" t="inlineStr">
        <is>
          <t>51,33</t>
        </is>
      </c>
      <c r="I595" s="65" t="n"/>
      <c r="J595" s="65" t="n"/>
      <c r="K595" s="65" t="n"/>
      <c r="L595" s="65" t="n"/>
      <c r="M595" s="65" t="n"/>
    </row>
    <row r="596">
      <c r="A596" s="66" t="n">
        <v>46146</v>
      </c>
      <c r="B596" s="65" t="inlineStr">
        <is>
          <t>PBAMI/2026/00069</t>
        </is>
      </c>
      <c r="C596" s="65" t="n">
        <v>264</v>
      </c>
      <c r="D596" s="65" t="inlineStr">
        <is>
          <t>MULTISERVICIOS RECAM13, C.A.</t>
        </is>
      </c>
      <c r="E596" s="63" t="inlineStr">
        <is>
          <t>19.582,00</t>
        </is>
      </c>
      <c r="F596" s="65" t="inlineStr">
        <is>
          <t>VES</t>
        </is>
      </c>
      <c r="G596" s="65" t="inlineStr">
        <is>
          <t>Banco Bancamiga 7806</t>
        </is>
      </c>
      <c r="H596" s="63" t="inlineStr">
        <is>
          <t>40,00</t>
        </is>
      </c>
      <c r="I596" s="65" t="n">
        <v>224</v>
      </c>
      <c r="J596" s="65" t="inlineStr">
        <is>
          <t>00-00000746</t>
        </is>
      </c>
      <c r="K596" s="66" t="n">
        <v>46210</v>
      </c>
      <c r="L596" s="63" t="inlineStr">
        <is>
          <t>226,19</t>
        </is>
      </c>
      <c r="M596" s="63" t="inlineStr">
        <is>
          <t>0,00</t>
        </is>
      </c>
    </row>
    <row r="597">
      <c r="A597" s="66" t="n">
        <v>46146</v>
      </c>
      <c r="B597" s="65" t="inlineStr">
        <is>
          <t>PBAMI/2026/00068</t>
        </is>
      </c>
      <c r="C597" s="65" t="n">
        <v>269</v>
      </c>
      <c r="D597" s="65" t="inlineStr">
        <is>
          <t>INVERSIONES MI LINDA YEMAIRE 2019, C.A</t>
        </is>
      </c>
      <c r="E597" s="63" t="inlineStr">
        <is>
          <t>126.322,64</t>
        </is>
      </c>
      <c r="F597" s="65" t="inlineStr">
        <is>
          <t>VES</t>
        </is>
      </c>
      <c r="G597" s="65" t="inlineStr">
        <is>
          <t>Banco Bancamiga 7806</t>
        </is>
      </c>
      <c r="H597" s="63" t="inlineStr">
        <is>
          <t>258,04</t>
        </is>
      </c>
      <c r="I597" s="65" t="n">
        <v>176</v>
      </c>
      <c r="J597" s="65" t="inlineStr">
        <is>
          <t>00-00000619</t>
        </is>
      </c>
      <c r="K597" s="66" t="n">
        <v>46185</v>
      </c>
      <c r="L597" s="63" t="inlineStr">
        <is>
          <t>0,00</t>
        </is>
      </c>
      <c r="M597" s="63" t="inlineStr">
        <is>
          <t>0,00</t>
        </is>
      </c>
    </row>
    <row r="598">
      <c r="A598" s="66" t="n">
        <v>46142</v>
      </c>
      <c r="B598" s="65" t="inlineStr">
        <is>
          <t>PUSD1/2026/00445</t>
        </is>
      </c>
      <c r="C598" s="65" t="n">
        <v>862</v>
      </c>
      <c r="D598" s="65" t="inlineStr">
        <is>
          <t>Jose Alzolay</t>
        </is>
      </c>
      <c r="E598" s="63" t="inlineStr">
        <is>
          <t>65,00</t>
        </is>
      </c>
      <c r="F598" s="65" t="inlineStr">
        <is>
          <t>USD</t>
        </is>
      </c>
      <c r="G598" s="65" t="inlineStr">
        <is>
          <t>Efectivo moneda extrajera (USD)</t>
        </is>
      </c>
      <c r="H598" s="63" t="inlineStr">
        <is>
          <t>65,00</t>
        </is>
      </c>
      <c r="I598" s="65" t="n">
        <v>200</v>
      </c>
      <c r="J598" s="65" t="inlineStr">
        <is>
          <t>00-00000689</t>
        </is>
      </c>
      <c r="K598" s="66" t="n">
        <v>46196</v>
      </c>
      <c r="L598" s="63" t="inlineStr">
        <is>
          <t>0,00</t>
        </is>
      </c>
      <c r="M598" s="63" t="inlineStr">
        <is>
          <t>0,00</t>
        </is>
      </c>
    </row>
    <row r="599">
      <c r="A599" s="66" t="n">
        <v>46142</v>
      </c>
      <c r="B599" s="65" t="inlineStr">
        <is>
          <t>PUSD1/2026/00444</t>
        </is>
      </c>
      <c r="C599" s="65" t="n">
        <v>861</v>
      </c>
      <c r="D599" s="65" t="inlineStr">
        <is>
          <t>Carlos Bravo</t>
        </is>
      </c>
      <c r="E599" s="63" t="inlineStr">
        <is>
          <t>63,00</t>
        </is>
      </c>
      <c r="F599" s="65" t="inlineStr">
        <is>
          <t>USD</t>
        </is>
      </c>
      <c r="G599" s="65" t="inlineStr">
        <is>
          <t>Efectivo moneda extrajera (USD)</t>
        </is>
      </c>
      <c r="H599" s="63" t="inlineStr">
        <is>
          <t>63,00</t>
        </is>
      </c>
      <c r="I599" s="65" t="n">
        <v>201</v>
      </c>
      <c r="J599" s="65" t="inlineStr">
        <is>
          <t>00-00000691</t>
        </is>
      </c>
      <c r="K599" s="66" t="n">
        <v>46203</v>
      </c>
      <c r="L599" s="63" t="inlineStr">
        <is>
          <t>0,01</t>
        </is>
      </c>
      <c r="M599" s="63" t="inlineStr">
        <is>
          <t>0,00</t>
        </is>
      </c>
    </row>
    <row r="600">
      <c r="A600" s="66" t="n">
        <v>46142</v>
      </c>
      <c r="B600" s="65" t="inlineStr">
        <is>
          <t>PUSD1/2026/00125</t>
        </is>
      </c>
      <c r="C600" s="65" t="n">
        <v>260</v>
      </c>
      <c r="D600" s="65" t="inlineStr">
        <is>
          <t>Emprendimiento José Sánchez 203 c.a</t>
        </is>
      </c>
      <c r="E600" s="63" t="inlineStr">
        <is>
          <t>150,00</t>
        </is>
      </c>
      <c r="F600" s="65" t="inlineStr">
        <is>
          <t>USD</t>
        </is>
      </c>
      <c r="G600" s="65" t="inlineStr">
        <is>
          <t>Efectivo moneda extrajera (USD)</t>
        </is>
      </c>
      <c r="H600" s="63" t="inlineStr">
        <is>
          <t>150,00</t>
        </is>
      </c>
      <c r="I600" s="65" t="n">
        <v>262</v>
      </c>
      <c r="J600" s="65" t="inlineStr">
        <is>
          <t>00-00000799</t>
        </is>
      </c>
      <c r="K600" s="66" t="n">
        <v>46214</v>
      </c>
      <c r="L600" s="63" t="inlineStr">
        <is>
          <t>200,00</t>
        </is>
      </c>
      <c r="M600" s="63" t="inlineStr">
        <is>
          <t>0,00</t>
        </is>
      </c>
    </row>
    <row r="601">
      <c r="A601" s="66" t="n">
        <v>46142</v>
      </c>
      <c r="B601" s="65" t="inlineStr">
        <is>
          <t>PUSD1/2026/00124</t>
        </is>
      </c>
      <c r="C601" s="65" t="n">
        <v>259</v>
      </c>
      <c r="D601" s="65" t="inlineStr">
        <is>
          <t>SJMG 2012 C.A</t>
        </is>
      </c>
      <c r="E601" s="63" t="inlineStr">
        <is>
          <t>360,00</t>
        </is>
      </c>
      <c r="F601" s="65" t="inlineStr">
        <is>
          <t>USD</t>
        </is>
      </c>
      <c r="G601" s="65" t="inlineStr">
        <is>
          <t>Efectivo moneda extrajera (USD)</t>
        </is>
      </c>
      <c r="H601" s="63" t="inlineStr">
        <is>
          <t>360,00</t>
        </is>
      </c>
      <c r="I601" s="65" t="n">
        <v>87</v>
      </c>
      <c r="J601" s="65" t="inlineStr">
        <is>
          <t>00-00000417</t>
        </is>
      </c>
      <c r="K601" s="66" t="n">
        <v>46163</v>
      </c>
      <c r="L601" s="63" t="inlineStr">
        <is>
          <t>0,00</t>
        </is>
      </c>
      <c r="M601" s="63" t="inlineStr">
        <is>
          <t>0,00</t>
        </is>
      </c>
    </row>
    <row r="602">
      <c r="A602" s="66" t="n">
        <v>46142</v>
      </c>
      <c r="B602" s="65" t="inlineStr">
        <is>
          <t>PUSD1/2026/00123</t>
        </is>
      </c>
      <c r="C602" s="65" t="n">
        <v>255</v>
      </c>
      <c r="D602" s="65" t="inlineStr">
        <is>
          <t>DISTRIBUIDORA MULTIAHORRO C.A.</t>
        </is>
      </c>
      <c r="E602" s="63" t="inlineStr">
        <is>
          <t>226,00</t>
        </is>
      </c>
      <c r="F602" s="65" t="inlineStr">
        <is>
          <t>USD</t>
        </is>
      </c>
      <c r="G602" s="65" t="inlineStr">
        <is>
          <t>Efectivo moneda extrajera (USD)</t>
        </is>
      </c>
      <c r="H602" s="63" t="inlineStr">
        <is>
          <t>226,00</t>
        </is>
      </c>
      <c r="I602" s="65" t="n">
        <v>32</v>
      </c>
      <c r="J602" s="65" t="inlineStr">
        <is>
          <t>00-00000275</t>
        </is>
      </c>
      <c r="K602" s="66" t="n">
        <v>46149</v>
      </c>
      <c r="L602" s="63" t="inlineStr">
        <is>
          <t>0,00</t>
        </is>
      </c>
      <c r="M602" s="63" t="inlineStr">
        <is>
          <t>0,00</t>
        </is>
      </c>
    </row>
    <row r="603">
      <c r="A603" s="66" t="n">
        <v>46142</v>
      </c>
      <c r="B603" s="65" t="inlineStr">
        <is>
          <t>PUSD1/2026/00122</t>
        </is>
      </c>
      <c r="C603" s="65" t="n">
        <v>251</v>
      </c>
      <c r="D603" s="65" t="inlineStr">
        <is>
          <t>EMPRENDIMIENTO MARTIN BASTIDAS 2</t>
        </is>
      </c>
      <c r="E603" s="63" t="inlineStr">
        <is>
          <t>39,00</t>
        </is>
      </c>
      <c r="F603" s="65" t="inlineStr">
        <is>
          <t>USD</t>
        </is>
      </c>
      <c r="G603" s="65" t="inlineStr">
        <is>
          <t>Efectivo moneda extrajera (USD)</t>
        </is>
      </c>
      <c r="H603" s="63" t="inlineStr">
        <is>
          <t>39,00</t>
        </is>
      </c>
      <c r="I603" s="65" t="n">
        <v>269</v>
      </c>
      <c r="J603" s="65" t="inlineStr">
        <is>
          <t>00-00000806</t>
        </is>
      </c>
      <c r="K603" s="66" t="n">
        <v>46214</v>
      </c>
      <c r="L603" s="63" t="inlineStr">
        <is>
          <t>0,00</t>
        </is>
      </c>
      <c r="M603" s="63" t="inlineStr">
        <is>
          <t>0,00</t>
        </is>
      </c>
    </row>
    <row r="604">
      <c r="A604" s="66" t="n">
        <v>46142</v>
      </c>
      <c r="B604" s="65" t="inlineStr">
        <is>
          <t>PUSD1/2026/00121</t>
        </is>
      </c>
      <c r="C604" s="65" t="n">
        <v>250</v>
      </c>
      <c r="D604" s="65" t="inlineStr">
        <is>
          <t>HIDRAULICAS CAICEDO C.A.</t>
        </is>
      </c>
      <c r="E604" s="63" t="inlineStr">
        <is>
          <t>111,00</t>
        </is>
      </c>
      <c r="F604" s="65" t="inlineStr">
        <is>
          <t>USD</t>
        </is>
      </c>
      <c r="G604" s="65" t="inlineStr">
        <is>
          <t>Efectivo moneda extrajera (USD)</t>
        </is>
      </c>
      <c r="H604" s="63" t="inlineStr">
        <is>
          <t>111,00</t>
        </is>
      </c>
      <c r="I604" s="65" t="n"/>
      <c r="J604" s="65" t="n"/>
      <c r="K604" s="65" t="n"/>
      <c r="L604" s="65" t="n"/>
      <c r="M604" s="65" t="n"/>
    </row>
    <row r="605">
      <c r="A605" s="66" t="n">
        <v>46142</v>
      </c>
      <c r="B605" s="65" t="inlineStr">
        <is>
          <t>PUSD1/2026/00120</t>
        </is>
      </c>
      <c r="C605" s="65" t="n">
        <v>247</v>
      </c>
      <c r="D605" s="65" t="inlineStr">
        <is>
          <t>EMPRENDIMIENTO IRMA RODRIGUEZ 6</t>
        </is>
      </c>
      <c r="E605" s="63" t="inlineStr">
        <is>
          <t>188,00</t>
        </is>
      </c>
      <c r="F605" s="65" t="inlineStr">
        <is>
          <t>USD</t>
        </is>
      </c>
      <c r="G605" s="65" t="inlineStr">
        <is>
          <t>Efectivo moneda extrajera (USD)</t>
        </is>
      </c>
      <c r="H605" s="63" t="inlineStr">
        <is>
          <t>188,00</t>
        </is>
      </c>
      <c r="I605" s="65" t="n">
        <v>109</v>
      </c>
      <c r="J605" s="65" t="inlineStr">
        <is>
          <t>00-00000481</t>
        </is>
      </c>
      <c r="K605" s="66" t="n">
        <v>46175</v>
      </c>
      <c r="L605" s="63" t="inlineStr">
        <is>
          <t>0,00</t>
        </is>
      </c>
      <c r="M605" s="63" t="inlineStr">
        <is>
          <t>0,00</t>
        </is>
      </c>
    </row>
    <row r="606">
      <c r="A606" s="66" t="n">
        <v>46142</v>
      </c>
      <c r="B606" s="65" t="inlineStr">
        <is>
          <t>PUSD1/2026/00119</t>
        </is>
      </c>
      <c r="C606" s="65" t="n">
        <v>244</v>
      </c>
      <c r="D606" s="65" t="inlineStr">
        <is>
          <t>INVERSIONES JOSCAR XXI, S.A.</t>
        </is>
      </c>
      <c r="E606" s="63" t="inlineStr">
        <is>
          <t>35,00</t>
        </is>
      </c>
      <c r="F606" s="65" t="inlineStr">
        <is>
          <t>USD</t>
        </is>
      </c>
      <c r="G606" s="65" t="inlineStr">
        <is>
          <t>Efectivo moneda extrajera (USD)</t>
        </is>
      </c>
      <c r="H606" s="63" t="inlineStr">
        <is>
          <t>35,00</t>
        </is>
      </c>
      <c r="I606" s="65" t="n">
        <v>80</v>
      </c>
      <c r="J606" s="65" t="inlineStr">
        <is>
          <t>00-00000400</t>
        </is>
      </c>
      <c r="K606" s="66" t="n">
        <v>46162</v>
      </c>
      <c r="L606" s="63" t="inlineStr">
        <is>
          <t>5,58</t>
        </is>
      </c>
      <c r="M606" s="63" t="inlineStr">
        <is>
          <t>0,00</t>
        </is>
      </c>
    </row>
    <row r="607">
      <c r="A607" s="66" t="n">
        <v>46142</v>
      </c>
      <c r="B607" s="65" t="inlineStr">
        <is>
          <t>PUSD1/2026/00118</t>
        </is>
      </c>
      <c r="C607" s="65" t="n">
        <v>262</v>
      </c>
      <c r="D607" s="65" t="inlineStr">
        <is>
          <t>Edgar salas</t>
        </is>
      </c>
      <c r="E607" s="63" t="inlineStr">
        <is>
          <t>40,00</t>
        </is>
      </c>
      <c r="F607" s="65" t="inlineStr">
        <is>
          <t>USD</t>
        </is>
      </c>
      <c r="G607" s="65" t="inlineStr">
        <is>
          <t>Efectivo moneda extrajera (USD)</t>
        </is>
      </c>
      <c r="H607" s="63" t="inlineStr">
        <is>
          <t>40,00</t>
        </is>
      </c>
      <c r="I607" s="65" t="n">
        <v>58</v>
      </c>
      <c r="J607" s="65" t="inlineStr">
        <is>
          <t>00-00000357</t>
        </is>
      </c>
      <c r="K607" s="66" t="n">
        <v>46157</v>
      </c>
      <c r="L607" s="63" t="inlineStr">
        <is>
          <t>0,00</t>
        </is>
      </c>
      <c r="M607" s="63" t="inlineStr">
        <is>
          <t>0,00</t>
        </is>
      </c>
    </row>
    <row r="608">
      <c r="A608" s="66" t="n">
        <v>46142</v>
      </c>
      <c r="B608" s="65" t="inlineStr">
        <is>
          <t>PBAMI/2026/00074</t>
        </is>
      </c>
      <c r="C608" s="65" t="n">
        <v>290</v>
      </c>
      <c r="D608" s="65" t="inlineStr">
        <is>
          <t>SPEED RACING, CA</t>
        </is>
      </c>
      <c r="E608" s="63" t="inlineStr">
        <is>
          <t>12.079,41</t>
        </is>
      </c>
      <c r="F608" s="65" t="inlineStr">
        <is>
          <t>VES</t>
        </is>
      </c>
      <c r="G608" s="65" t="inlineStr">
        <is>
          <t>Banco Bancamiga 7806</t>
        </is>
      </c>
      <c r="H608" s="63" t="inlineStr">
        <is>
          <t>24,80</t>
        </is>
      </c>
      <c r="I608" s="65" t="n"/>
      <c r="J608" s="65" t="n"/>
      <c r="K608" s="65" t="n"/>
      <c r="L608" s="65" t="n"/>
      <c r="M608" s="65" t="n"/>
    </row>
    <row r="609">
      <c r="A609" s="66" t="n">
        <v>46142</v>
      </c>
      <c r="B609" s="65" t="inlineStr">
        <is>
          <t>PBAMI/2026/00067</t>
        </is>
      </c>
      <c r="C609" s="65" t="n">
        <v>271</v>
      </c>
      <c r="D609" s="65" t="inlineStr">
        <is>
          <t>EMPRENDIMIENTO TOMAS MARCANO 5</t>
        </is>
      </c>
      <c r="E609" s="63" t="inlineStr">
        <is>
          <t>11.396,00</t>
        </is>
      </c>
      <c r="F609" s="65" t="inlineStr">
        <is>
          <t>VES</t>
        </is>
      </c>
      <c r="G609" s="65" t="inlineStr">
        <is>
          <t>Banco Bancamiga 7806</t>
        </is>
      </c>
      <c r="H609" s="63" t="inlineStr">
        <is>
          <t>23,39</t>
        </is>
      </c>
      <c r="I609" s="65" t="n">
        <v>270</v>
      </c>
      <c r="J609" s="65" t="inlineStr">
        <is>
          <t>00-00000807</t>
        </is>
      </c>
      <c r="K609" s="66" t="n">
        <v>46214</v>
      </c>
      <c r="L609" s="63" t="inlineStr">
        <is>
          <t>442,07</t>
        </is>
      </c>
      <c r="M609" s="63" t="inlineStr">
        <is>
          <t>0,00</t>
        </is>
      </c>
    </row>
    <row r="610">
      <c r="A610" s="66" t="n">
        <v>46142</v>
      </c>
      <c r="B610" s="65" t="inlineStr">
        <is>
          <t>PBAMI/2026/00066</t>
        </is>
      </c>
      <c r="C610" s="65" t="n">
        <v>261</v>
      </c>
      <c r="D610" s="65" t="inlineStr">
        <is>
          <t>Distribuidora Nesmari 2050 c.a</t>
        </is>
      </c>
      <c r="E610" s="63" t="inlineStr">
        <is>
          <t>30.000,00</t>
        </is>
      </c>
      <c r="F610" s="65" t="inlineStr">
        <is>
          <t>VES</t>
        </is>
      </c>
      <c r="G610" s="65" t="inlineStr">
        <is>
          <t>Banco Bancamiga 7806</t>
        </is>
      </c>
      <c r="H610" s="63" t="inlineStr">
        <is>
          <t>61,59</t>
        </is>
      </c>
      <c r="I610" s="65" t="n">
        <v>264</v>
      </c>
      <c r="J610" s="65" t="inlineStr">
        <is>
          <t>00-00000801</t>
        </is>
      </c>
      <c r="K610" s="66" t="n">
        <v>46214</v>
      </c>
      <c r="L610" s="63" t="inlineStr">
        <is>
          <t>0,00</t>
        </is>
      </c>
      <c r="M610" s="63" t="inlineStr">
        <is>
          <t>0,00</t>
        </is>
      </c>
    </row>
    <row r="611">
      <c r="A611" s="65" t="n"/>
      <c r="B611" s="65" t="n"/>
      <c r="C611" s="65" t="n"/>
      <c r="D611" s="65" t="n"/>
      <c r="E611" s="65" t="n"/>
      <c r="F611" s="65" t="n"/>
      <c r="G611" s="65" t="n"/>
      <c r="H611" s="65" t="n"/>
      <c r="I611" s="65" t="n">
        <v>276</v>
      </c>
      <c r="J611" s="65" t="inlineStr">
        <is>
          <t>00-00000813</t>
        </is>
      </c>
      <c r="K611" s="66" t="n">
        <v>46214</v>
      </c>
      <c r="L611" s="63" t="inlineStr">
        <is>
          <t>83,81</t>
        </is>
      </c>
      <c r="M611" s="63" t="inlineStr">
        <is>
          <t>0,00</t>
        </is>
      </c>
    </row>
    <row r="612">
      <c r="A612" s="66" t="n">
        <v>46142</v>
      </c>
      <c r="B612" s="65" t="inlineStr">
        <is>
          <t>PBAMI/2026/00065</t>
        </is>
      </c>
      <c r="C612" s="65" t="n">
        <v>256</v>
      </c>
      <c r="D612" s="65" t="inlineStr">
        <is>
          <t>INVERSIONES MI LINDA YEMAIRE 2019, C.A</t>
        </is>
      </c>
      <c r="E612" s="63" t="inlineStr">
        <is>
          <t>56.976,38</t>
        </is>
      </c>
      <c r="F612" s="65" t="inlineStr">
        <is>
          <t>VES</t>
        </is>
      </c>
      <c r="G612" s="65" t="inlineStr">
        <is>
          <t>Banco Bancamiga 7806</t>
        </is>
      </c>
      <c r="H612" s="63" t="inlineStr">
        <is>
          <t>116,97</t>
        </is>
      </c>
      <c r="I612" s="65" t="n"/>
      <c r="J612" s="65" t="n"/>
      <c r="K612" s="65" t="n"/>
      <c r="L612" s="65" t="n"/>
      <c r="M612" s="65" t="n"/>
    </row>
    <row r="613">
      <c r="A613" s="66" t="n">
        <v>46142</v>
      </c>
      <c r="B613" s="65" t="inlineStr">
        <is>
          <t>PBAMI/2026/00064</t>
        </is>
      </c>
      <c r="C613" s="65" t="n">
        <v>258</v>
      </c>
      <c r="D613" s="65" t="inlineStr">
        <is>
          <t>INVERSIONES MI LINDA YEMAIRE 2019, C.A</t>
        </is>
      </c>
      <c r="E613" s="63" t="inlineStr">
        <is>
          <t>56.976,38</t>
        </is>
      </c>
      <c r="F613" s="65" t="inlineStr">
        <is>
          <t>VES</t>
        </is>
      </c>
      <c r="G613" s="65" t="inlineStr">
        <is>
          <t>Banco Bancamiga 7806</t>
        </is>
      </c>
      <c r="H613" s="63" t="inlineStr">
        <is>
          <t>116,97</t>
        </is>
      </c>
      <c r="I613" s="65" t="n"/>
      <c r="J613" s="65" t="n"/>
      <c r="K613" s="65" t="n"/>
      <c r="L613" s="65" t="n"/>
      <c r="M613" s="65" t="n"/>
    </row>
    <row r="614">
      <c r="A614" s="66" t="n">
        <v>46142</v>
      </c>
      <c r="B614" s="65" t="inlineStr">
        <is>
          <t>PBAMI/2026/00063</t>
        </is>
      </c>
      <c r="C614" s="65" t="n">
        <v>246</v>
      </c>
      <c r="D614" s="65" t="inlineStr">
        <is>
          <t>Corporación Lubricantes 7ma Av.C.A</t>
        </is>
      </c>
      <c r="E614" s="63" t="inlineStr">
        <is>
          <t>22.790,40</t>
        </is>
      </c>
      <c r="F614" s="65" t="inlineStr">
        <is>
          <t>VES</t>
        </is>
      </c>
      <c r="G614" s="65" t="inlineStr">
        <is>
          <t>Banco Bancamiga 7806</t>
        </is>
      </c>
      <c r="H614" s="63" t="inlineStr">
        <is>
          <t>46,79</t>
        </is>
      </c>
      <c r="I614" s="65" t="n">
        <v>231</v>
      </c>
      <c r="J614" s="65" t="inlineStr">
        <is>
          <t>00-00000753</t>
        </is>
      </c>
      <c r="K614" s="66" t="n">
        <v>46210</v>
      </c>
      <c r="L614" s="63" t="inlineStr">
        <is>
          <t>575,72</t>
        </is>
      </c>
      <c r="M614" s="63" t="inlineStr">
        <is>
          <t>0,00</t>
        </is>
      </c>
    </row>
    <row r="615">
      <c r="A615" s="66" t="n">
        <v>46141</v>
      </c>
      <c r="B615" s="65" t="inlineStr">
        <is>
          <t>PUSD1/2026/00117</t>
        </is>
      </c>
      <c r="C615" s="65" t="n">
        <v>240</v>
      </c>
      <c r="D615" s="65" t="inlineStr">
        <is>
          <t>Pedro Castro</t>
        </is>
      </c>
      <c r="E615" s="63" t="inlineStr">
        <is>
          <t>140,00</t>
        </is>
      </c>
      <c r="F615" s="65" t="inlineStr">
        <is>
          <t>USD</t>
        </is>
      </c>
      <c r="G615" s="65" t="inlineStr">
        <is>
          <t>Efectivo moneda extrajera (USD)</t>
        </is>
      </c>
      <c r="H615" s="63" t="inlineStr">
        <is>
          <t>140,00</t>
        </is>
      </c>
      <c r="I615" s="65" t="n">
        <v>85</v>
      </c>
      <c r="J615" s="65" t="inlineStr">
        <is>
          <t>00-00000413</t>
        </is>
      </c>
      <c r="K615" s="66" t="n">
        <v>46163</v>
      </c>
      <c r="L615" s="63" t="inlineStr">
        <is>
          <t>0,02</t>
        </is>
      </c>
      <c r="M615" s="63" t="inlineStr">
        <is>
          <t>0,00</t>
        </is>
      </c>
    </row>
    <row r="616">
      <c r="A616" s="66" t="n">
        <v>46141</v>
      </c>
      <c r="B616" s="65" t="inlineStr">
        <is>
          <t>PUSD1/2026/00116</t>
        </is>
      </c>
      <c r="C616" s="65" t="n">
        <v>239</v>
      </c>
      <c r="D616" s="65" t="inlineStr">
        <is>
          <t>Victor Ordaz</t>
        </is>
      </c>
      <c r="E616" s="63" t="inlineStr">
        <is>
          <t>250,00</t>
        </is>
      </c>
      <c r="F616" s="65" t="inlineStr">
        <is>
          <t>USD</t>
        </is>
      </c>
      <c r="G616" s="65" t="inlineStr">
        <is>
          <t>Efectivo moneda extrajera (USD)</t>
        </is>
      </c>
      <c r="H616" s="63" t="inlineStr">
        <is>
          <t>250,00</t>
        </is>
      </c>
      <c r="I616" s="65" t="n">
        <v>261</v>
      </c>
      <c r="J616" s="65" t="inlineStr">
        <is>
          <t>00-00000798</t>
        </is>
      </c>
      <c r="K616" s="66" t="n">
        <v>46214</v>
      </c>
      <c r="L616" s="63" t="inlineStr">
        <is>
          <t>249,01</t>
        </is>
      </c>
      <c r="M616" s="63" t="inlineStr">
        <is>
          <t>0,00</t>
        </is>
      </c>
    </row>
    <row r="617">
      <c r="A617" s="66" t="n">
        <v>46141</v>
      </c>
      <c r="B617" s="65" t="inlineStr">
        <is>
          <t>PUSD1/2026/00115</t>
        </is>
      </c>
      <c r="C617" s="65" t="n">
        <v>236</v>
      </c>
      <c r="D617" s="65" t="inlineStr">
        <is>
          <t>INVERSIONES JOSCAR XXI, S.A.</t>
        </is>
      </c>
      <c r="E617" s="63" t="inlineStr">
        <is>
          <t>20,00</t>
        </is>
      </c>
      <c r="F617" s="65" t="inlineStr">
        <is>
          <t>USD</t>
        </is>
      </c>
      <c r="G617" s="65" t="inlineStr">
        <is>
          <t>Efectivo moneda extrajera (USD)</t>
        </is>
      </c>
      <c r="H617" s="63" t="inlineStr">
        <is>
          <t>20,00</t>
        </is>
      </c>
      <c r="I617" s="65" t="n">
        <v>80</v>
      </c>
      <c r="J617" s="65" t="inlineStr">
        <is>
          <t>00-00000400</t>
        </is>
      </c>
      <c r="K617" s="66" t="n">
        <v>46162</v>
      </c>
      <c r="L617" s="63" t="inlineStr">
        <is>
          <t>5,58</t>
        </is>
      </c>
      <c r="M617" s="63" t="inlineStr">
        <is>
          <t>0,00</t>
        </is>
      </c>
    </row>
    <row r="618">
      <c r="A618" s="66" t="n">
        <v>46141</v>
      </c>
      <c r="B618" s="65" t="inlineStr">
        <is>
          <t>PUSD1/2026/00114</t>
        </is>
      </c>
      <c r="C618" s="65" t="n">
        <v>238</v>
      </c>
      <c r="D618" s="65" t="inlineStr">
        <is>
          <t>Emprendimiento Yeizon Villaroel</t>
        </is>
      </c>
      <c r="E618" s="63" t="inlineStr">
        <is>
          <t>26,00</t>
        </is>
      </c>
      <c r="F618" s="65" t="inlineStr">
        <is>
          <t>USD</t>
        </is>
      </c>
      <c r="G618" s="65" t="inlineStr">
        <is>
          <t>Efectivo moneda extrajera (USD)</t>
        </is>
      </c>
      <c r="H618" s="63" t="inlineStr">
        <is>
          <t>26,00</t>
        </is>
      </c>
      <c r="I618" s="65" t="n">
        <v>31</v>
      </c>
      <c r="J618" s="65" t="inlineStr">
        <is>
          <t>00-00000274</t>
        </is>
      </c>
      <c r="K618" s="66" t="n">
        <v>46149</v>
      </c>
      <c r="L618" s="63" t="inlineStr">
        <is>
          <t>0,00</t>
        </is>
      </c>
      <c r="M618" s="63" t="inlineStr">
        <is>
          <t>0,00</t>
        </is>
      </c>
    </row>
    <row r="619">
      <c r="A619" s="66" t="n">
        <v>46141</v>
      </c>
      <c r="B619" s="65" t="inlineStr">
        <is>
          <t>PUSD1/2026/00113</t>
        </is>
      </c>
      <c r="C619" s="65" t="n">
        <v>229</v>
      </c>
      <c r="D619" s="65" t="inlineStr">
        <is>
          <t>Yulendri Carolina Pineda Blanco</t>
        </is>
      </c>
      <c r="E619" s="63" t="inlineStr">
        <is>
          <t>50,00</t>
        </is>
      </c>
      <c r="F619" s="65" t="inlineStr">
        <is>
          <t>USD</t>
        </is>
      </c>
      <c r="G619" s="65" t="inlineStr">
        <is>
          <t>Efectivo moneda extrajera (USD)</t>
        </is>
      </c>
      <c r="H619" s="63" t="inlineStr">
        <is>
          <t>50,00</t>
        </is>
      </c>
      <c r="I619" s="65" t="n">
        <v>209</v>
      </c>
      <c r="J619" s="65" t="inlineStr">
        <is>
          <t>00-00000710</t>
        </is>
      </c>
      <c r="K619" s="66" t="n">
        <v>46205</v>
      </c>
      <c r="L619" s="63" t="inlineStr">
        <is>
          <t>0,00</t>
        </is>
      </c>
      <c r="M619" s="63" t="inlineStr">
        <is>
          <t>0,00</t>
        </is>
      </c>
    </row>
    <row r="620">
      <c r="A620" s="66" t="n">
        <v>46141</v>
      </c>
      <c r="B620" s="65" t="inlineStr">
        <is>
          <t>PUSD1/2026/00112</t>
        </is>
      </c>
      <c r="C620" s="65" t="n">
        <v>235</v>
      </c>
      <c r="D620" s="65" t="inlineStr">
        <is>
          <t>TALLER TNMCAR, C.A</t>
        </is>
      </c>
      <c r="E620" s="63" t="inlineStr">
        <is>
          <t>565,00</t>
        </is>
      </c>
      <c r="F620" s="65" t="inlineStr">
        <is>
          <t>USD</t>
        </is>
      </c>
      <c r="G620" s="65" t="inlineStr">
        <is>
          <t>Efectivo moneda extrajera (USD)</t>
        </is>
      </c>
      <c r="H620" s="63" t="inlineStr">
        <is>
          <t>565,00</t>
        </is>
      </c>
      <c r="I620" s="65" t="n">
        <v>84</v>
      </c>
      <c r="J620" s="65" t="inlineStr">
        <is>
          <t>00-00000412</t>
        </is>
      </c>
      <c r="K620" s="66" t="n">
        <v>46163</v>
      </c>
      <c r="L620" s="63" t="inlineStr">
        <is>
          <t>0,00</t>
        </is>
      </c>
      <c r="M620" s="63" t="inlineStr">
        <is>
          <t>0,00</t>
        </is>
      </c>
    </row>
    <row r="621">
      <c r="A621" s="66" t="n">
        <v>46141</v>
      </c>
      <c r="B621" s="65" t="inlineStr">
        <is>
          <t>PUSD1/2026/00111</t>
        </is>
      </c>
      <c r="C621" s="65" t="n">
        <v>234</v>
      </c>
      <c r="D621" s="65" t="inlineStr">
        <is>
          <t>INVERSIONES IRETE SUKA, C.A</t>
        </is>
      </c>
      <c r="E621" s="63" t="inlineStr">
        <is>
          <t>180,00</t>
        </is>
      </c>
      <c r="F621" s="65" t="inlineStr">
        <is>
          <t>USD</t>
        </is>
      </c>
      <c r="G621" s="65" t="inlineStr">
        <is>
          <t>Efectivo moneda extrajera (USD)</t>
        </is>
      </c>
      <c r="H621" s="63" t="inlineStr">
        <is>
          <t>180,00</t>
        </is>
      </c>
      <c r="I621" s="65" t="n">
        <v>173</v>
      </c>
      <c r="J621" s="65" t="inlineStr">
        <is>
          <t>00-00000616</t>
        </is>
      </c>
      <c r="K621" s="66" t="n">
        <v>46185</v>
      </c>
      <c r="L621" s="63" t="inlineStr">
        <is>
          <t>0,00</t>
        </is>
      </c>
      <c r="M621" s="63" t="inlineStr">
        <is>
          <t>0,00</t>
        </is>
      </c>
    </row>
    <row r="622">
      <c r="A622" s="66" t="n">
        <v>46141</v>
      </c>
      <c r="B622" s="65" t="inlineStr">
        <is>
          <t>PUSD1/2026/00110</t>
        </is>
      </c>
      <c r="C622" s="65" t="n">
        <v>230</v>
      </c>
      <c r="D622" s="65" t="inlineStr">
        <is>
          <t>SJMG 2012 C.A</t>
        </is>
      </c>
      <c r="E622" s="63" t="inlineStr">
        <is>
          <t>300,00</t>
        </is>
      </c>
      <c r="F622" s="65" t="inlineStr">
        <is>
          <t>USD</t>
        </is>
      </c>
      <c r="G622" s="65" t="inlineStr">
        <is>
          <t>Efectivo moneda extrajera (USD)</t>
        </is>
      </c>
      <c r="H622" s="63" t="inlineStr">
        <is>
          <t>300,00</t>
        </is>
      </c>
      <c r="I622" s="65" t="n">
        <v>87</v>
      </c>
      <c r="J622" s="65" t="inlineStr">
        <is>
          <t>00-00000417</t>
        </is>
      </c>
      <c r="K622" s="66" t="n">
        <v>46163</v>
      </c>
      <c r="L622" s="63" t="inlineStr">
        <is>
          <t>0,00</t>
        </is>
      </c>
      <c r="M622" s="63" t="inlineStr">
        <is>
          <t>0,00</t>
        </is>
      </c>
    </row>
    <row r="623">
      <c r="A623" s="66" t="n">
        <v>46141</v>
      </c>
      <c r="B623" s="65" t="inlineStr">
        <is>
          <t>PUSD1/2026/00109</t>
        </is>
      </c>
      <c r="C623" s="65" t="n">
        <v>228</v>
      </c>
      <c r="D623" s="65" t="inlineStr">
        <is>
          <t>Emprendimiento ilaris cancelo</t>
        </is>
      </c>
      <c r="E623" s="63" t="inlineStr">
        <is>
          <t>300,00</t>
        </is>
      </c>
      <c r="F623" s="65" t="inlineStr">
        <is>
          <t>USD</t>
        </is>
      </c>
      <c r="G623" s="65" t="inlineStr">
        <is>
          <t>Efectivo moneda extrajera (USD)</t>
        </is>
      </c>
      <c r="H623" s="63" t="inlineStr">
        <is>
          <t>300,00</t>
        </is>
      </c>
      <c r="I623" s="65" t="n">
        <v>178</v>
      </c>
      <c r="J623" s="65" t="inlineStr">
        <is>
          <t>00-00000629</t>
        </is>
      </c>
      <c r="K623" s="66" t="n">
        <v>46188</v>
      </c>
      <c r="L623" s="63" t="inlineStr">
        <is>
          <t>950,00</t>
        </is>
      </c>
      <c r="M623" s="63" t="inlineStr">
        <is>
          <t>0,00</t>
        </is>
      </c>
    </row>
    <row r="624">
      <c r="A624" s="66" t="n">
        <v>46141</v>
      </c>
      <c r="B624" s="65" t="inlineStr">
        <is>
          <t>PBAMI/2026/00062</t>
        </is>
      </c>
      <c r="C624" s="65" t="n">
        <v>242</v>
      </c>
      <c r="D624" s="65" t="inlineStr">
        <is>
          <t>E&amp;M CAR SHOP C.A</t>
        </is>
      </c>
      <c r="E624" s="63" t="inlineStr">
        <is>
          <t>260.112,00</t>
        </is>
      </c>
      <c r="F624" s="65" t="inlineStr">
        <is>
          <t>VES</t>
        </is>
      </c>
      <c r="G624" s="65" t="inlineStr">
        <is>
          <t>Banco Bancamiga 7806</t>
        </is>
      </c>
      <c r="H624" s="63" t="inlineStr">
        <is>
          <t>534,99</t>
        </is>
      </c>
      <c r="I624" s="65" t="n">
        <v>127</v>
      </c>
      <c r="J624" s="65" t="inlineStr">
        <is>
          <t>00-00000540</t>
        </is>
      </c>
      <c r="K624" s="66" t="n">
        <v>46182</v>
      </c>
      <c r="L624" s="63" t="inlineStr">
        <is>
          <t>0,00</t>
        </is>
      </c>
      <c r="M624" s="63" t="inlineStr">
        <is>
          <t>0,00</t>
        </is>
      </c>
    </row>
    <row r="625">
      <c r="A625" s="66" t="n">
        <v>46140</v>
      </c>
      <c r="B625" s="65" t="inlineStr">
        <is>
          <t>PUSD1/2026/00108</t>
        </is>
      </c>
      <c r="C625" s="65" t="n">
        <v>218</v>
      </c>
      <c r="D625" s="65" t="inlineStr">
        <is>
          <t>Inversiones Brayan CT C.A</t>
        </is>
      </c>
      <c r="E625" s="63" t="inlineStr">
        <is>
          <t>48,00</t>
        </is>
      </c>
      <c r="F625" s="65" t="inlineStr">
        <is>
          <t>USD</t>
        </is>
      </c>
      <c r="G625" s="65" t="inlineStr">
        <is>
          <t>Efectivo moneda extrajera (USD)</t>
        </is>
      </c>
      <c r="H625" s="63" t="inlineStr">
        <is>
          <t>48,00</t>
        </is>
      </c>
      <c r="I625" s="65" t="n">
        <v>208</v>
      </c>
      <c r="J625" s="65" t="inlineStr">
        <is>
          <t>00-00000705</t>
        </is>
      </c>
      <c r="K625" s="66" t="n">
        <v>46204</v>
      </c>
      <c r="L625" s="63" t="inlineStr">
        <is>
          <t>0,00</t>
        </is>
      </c>
      <c r="M625" s="63" t="inlineStr">
        <is>
          <t>0,00</t>
        </is>
      </c>
    </row>
    <row r="626">
      <c r="A626" s="66" t="n">
        <v>46140</v>
      </c>
      <c r="B626" s="65" t="inlineStr">
        <is>
          <t>PUSD1/2026/00107</t>
        </is>
      </c>
      <c r="C626" s="65" t="n">
        <v>219</v>
      </c>
      <c r="D626" s="65" t="inlineStr">
        <is>
          <t>Motolavado Yahir</t>
        </is>
      </c>
      <c r="E626" s="63" t="inlineStr">
        <is>
          <t>100,00</t>
        </is>
      </c>
      <c r="F626" s="65" t="inlineStr">
        <is>
          <t>USD</t>
        </is>
      </c>
      <c r="G626" s="65" t="inlineStr">
        <is>
          <t>Efectivo moneda extrajera (USD)</t>
        </is>
      </c>
      <c r="H626" s="63" t="inlineStr">
        <is>
          <t>100,00</t>
        </is>
      </c>
      <c r="I626" s="65" t="n">
        <v>132</v>
      </c>
      <c r="J626" s="65" t="inlineStr">
        <is>
          <t>00-00000551</t>
        </is>
      </c>
      <c r="K626" s="66" t="n">
        <v>46183</v>
      </c>
      <c r="L626" s="63" t="inlineStr">
        <is>
          <t>0,01</t>
        </is>
      </c>
      <c r="M626" s="63" t="inlineStr">
        <is>
          <t>0,00</t>
        </is>
      </c>
    </row>
    <row r="627">
      <c r="A627" s="66" t="n">
        <v>46140</v>
      </c>
      <c r="B627" s="65" t="inlineStr">
        <is>
          <t>PUSD1/2026/00106</t>
        </is>
      </c>
      <c r="C627" s="65" t="n">
        <v>220</v>
      </c>
      <c r="D627" s="65" t="inlineStr">
        <is>
          <t>Inversiones Vercris 17 C.A</t>
        </is>
      </c>
      <c r="E627" s="63" t="inlineStr">
        <is>
          <t>60,00</t>
        </is>
      </c>
      <c r="F627" s="65" t="inlineStr">
        <is>
          <t>USD</t>
        </is>
      </c>
      <c r="G627" s="65" t="inlineStr">
        <is>
          <t>Efectivo moneda extrajera (USD)</t>
        </is>
      </c>
      <c r="H627" s="63" t="inlineStr">
        <is>
          <t>60,00</t>
        </is>
      </c>
      <c r="I627" s="65" t="n"/>
      <c r="J627" s="65" t="n"/>
      <c r="K627" s="65" t="n"/>
      <c r="L627" s="65" t="n"/>
      <c r="M627" s="65" t="n"/>
    </row>
    <row r="628">
      <c r="A628" s="66" t="n">
        <v>46140</v>
      </c>
      <c r="B628" s="65" t="inlineStr">
        <is>
          <t>PBDV/2026/00009</t>
        </is>
      </c>
      <c r="C628" s="65" t="n">
        <v>243</v>
      </c>
      <c r="D628" s="65" t="inlineStr">
        <is>
          <t>Desarrollo Agrario Integral DAI Los Pucheros 13, C. A.</t>
        </is>
      </c>
      <c r="E628" s="63" t="inlineStr">
        <is>
          <t>2.499.654,49</t>
        </is>
      </c>
      <c r="F628" s="65" t="inlineStr">
        <is>
          <t>VES</t>
        </is>
      </c>
      <c r="G628" s="65" t="inlineStr">
        <is>
          <t>Banco de Venezuela 6891</t>
        </is>
      </c>
      <c r="H628" s="63" t="inlineStr">
        <is>
          <t>5.151,54</t>
        </is>
      </c>
      <c r="I628" s="65" t="n">
        <v>23</v>
      </c>
      <c r="J628" s="65" t="inlineStr">
        <is>
          <t>00-00000234</t>
        </is>
      </c>
      <c r="K628" s="66" t="n">
        <v>46140</v>
      </c>
      <c r="L628" s="63" t="inlineStr">
        <is>
          <t>0,00</t>
        </is>
      </c>
      <c r="M628" s="63" t="inlineStr">
        <is>
          <t>0,00</t>
        </is>
      </c>
    </row>
    <row r="629">
      <c r="A629" s="66" t="n">
        <v>46140</v>
      </c>
      <c r="B629" s="65" t="inlineStr">
        <is>
          <t>PBAMI/2026/00058</t>
        </is>
      </c>
      <c r="C629" s="65" t="n">
        <v>217</v>
      </c>
      <c r="D629" s="65" t="inlineStr">
        <is>
          <t>Miguel Antonio Chacon</t>
        </is>
      </c>
      <c r="E629" s="63" t="inlineStr">
        <is>
          <t>50.867,00</t>
        </is>
      </c>
      <c r="F629" s="65" t="inlineStr">
        <is>
          <t>VES</t>
        </is>
      </c>
      <c r="G629" s="65" t="inlineStr">
        <is>
          <t>Banco Bancamiga 7806</t>
        </is>
      </c>
      <c r="H629" s="63" t="inlineStr">
        <is>
          <t>104,83</t>
        </is>
      </c>
      <c r="I629" s="65" t="n">
        <v>241</v>
      </c>
      <c r="J629" s="65" t="inlineStr">
        <is>
          <t>00-00000763</t>
        </is>
      </c>
      <c r="K629" s="66" t="n">
        <v>46210</v>
      </c>
      <c r="L629" s="63" t="inlineStr">
        <is>
          <t>0,00</t>
        </is>
      </c>
      <c r="M629" s="63" t="inlineStr">
        <is>
          <t>0,00</t>
        </is>
      </c>
    </row>
    <row r="630">
      <c r="A630" s="66" t="n">
        <v>46140</v>
      </c>
      <c r="B630" s="65" t="inlineStr">
        <is>
          <t>PBAMI/2026/00057</t>
        </is>
      </c>
      <c r="C630" s="65" t="n">
        <v>212</v>
      </c>
      <c r="D630" s="65" t="inlineStr">
        <is>
          <t>INVERSIONES ARCOSOL 21, C.A.</t>
        </is>
      </c>
      <c r="E630" s="63" t="inlineStr">
        <is>
          <t>61.739,40</t>
        </is>
      </c>
      <c r="F630" s="65" t="inlineStr">
        <is>
          <t>VES</t>
        </is>
      </c>
      <c r="G630" s="65" t="inlineStr">
        <is>
          <t>Banco Bancamiga 7806</t>
        </is>
      </c>
      <c r="H630" s="63" t="inlineStr">
        <is>
          <t>127,24</t>
        </is>
      </c>
      <c r="I630" s="65" t="n">
        <v>26</v>
      </c>
      <c r="J630" s="65" t="inlineStr">
        <is>
          <t>00-00000239</t>
        </is>
      </c>
      <c r="K630" s="66" t="n">
        <v>46141</v>
      </c>
      <c r="L630" s="63" t="inlineStr">
        <is>
          <t>0,00</t>
        </is>
      </c>
      <c r="M630" s="63" t="inlineStr">
        <is>
          <t>0,00</t>
        </is>
      </c>
    </row>
    <row r="631">
      <c r="A631" s="66" t="n">
        <v>46140</v>
      </c>
      <c r="B631" s="65" t="inlineStr">
        <is>
          <t>PBAMI/2026/00056</t>
        </is>
      </c>
      <c r="C631" s="65" t="n">
        <v>210</v>
      </c>
      <c r="D631" s="65" t="inlineStr">
        <is>
          <t>La cámara perfecta</t>
        </is>
      </c>
      <c r="E631" s="63" t="inlineStr">
        <is>
          <t>150.000,00</t>
        </is>
      </c>
      <c r="F631" s="65" t="inlineStr">
        <is>
          <t>VES</t>
        </is>
      </c>
      <c r="G631" s="65" t="inlineStr">
        <is>
          <t>Banco Bancamiga 7806</t>
        </is>
      </c>
      <c r="H631" s="63" t="inlineStr">
        <is>
          <t>309,13</t>
        </is>
      </c>
      <c r="I631" s="65" t="n">
        <v>219</v>
      </c>
      <c r="J631" s="65" t="inlineStr">
        <is>
          <t>00-00000725</t>
        </is>
      </c>
      <c r="K631" s="66" t="n">
        <v>46205</v>
      </c>
      <c r="L631" s="63" t="inlineStr">
        <is>
          <t>0,00</t>
        </is>
      </c>
      <c r="M631" s="63" t="inlineStr">
        <is>
          <t>0,00</t>
        </is>
      </c>
    </row>
    <row r="632">
      <c r="A632" s="66" t="n">
        <v>46140</v>
      </c>
      <c r="B632" s="65" t="inlineStr">
        <is>
          <t>PBAMI/2026/00055</t>
        </is>
      </c>
      <c r="C632" s="65" t="n">
        <v>209</v>
      </c>
      <c r="D632" s="65" t="inlineStr">
        <is>
          <t>Ruta 8 Autopartes,c.a.</t>
        </is>
      </c>
      <c r="E632" s="63" t="inlineStr">
        <is>
          <t>44.546,94</t>
        </is>
      </c>
      <c r="F632" s="65" t="inlineStr">
        <is>
          <t>VES</t>
        </is>
      </c>
      <c r="G632" s="65" t="inlineStr">
        <is>
          <t>Banco Bancamiga 7806</t>
        </is>
      </c>
      <c r="H632" s="63" t="inlineStr">
        <is>
          <t>91,81</t>
        </is>
      </c>
      <c r="I632" s="65" t="n">
        <v>248</v>
      </c>
      <c r="J632" s="65" t="inlineStr">
        <is>
          <t>00-00000770</t>
        </is>
      </c>
      <c r="K632" s="66" t="n">
        <v>46210</v>
      </c>
      <c r="L632" s="63" t="inlineStr">
        <is>
          <t>0,00</t>
        </is>
      </c>
      <c r="M632" s="63" t="inlineStr">
        <is>
          <t>0,00</t>
        </is>
      </c>
    </row>
    <row r="633">
      <c r="A633" s="66" t="n">
        <v>46139</v>
      </c>
      <c r="B633" s="65" t="inlineStr">
        <is>
          <t>PUSD1/2026/00105</t>
        </is>
      </c>
      <c r="C633" s="65" t="n">
        <v>205</v>
      </c>
      <c r="D633" s="65" t="inlineStr">
        <is>
          <t>Comercializadora Garabote</t>
        </is>
      </c>
      <c r="E633" s="63" t="inlineStr">
        <is>
          <t>100,00</t>
        </is>
      </c>
      <c r="F633" s="65" t="inlineStr">
        <is>
          <t>USD</t>
        </is>
      </c>
      <c r="G633" s="65" t="inlineStr">
        <is>
          <t>Efectivo moneda extrajera (USD)</t>
        </is>
      </c>
      <c r="H633" s="63" t="inlineStr">
        <is>
          <t>100,00</t>
        </is>
      </c>
      <c r="I633" s="65" t="n">
        <v>129</v>
      </c>
      <c r="J633" s="65" t="inlineStr">
        <is>
          <t>00-00000542</t>
        </is>
      </c>
      <c r="K633" s="66" t="n">
        <v>46182</v>
      </c>
      <c r="L633" s="63" t="inlineStr">
        <is>
          <t>0,00</t>
        </is>
      </c>
      <c r="M633" s="63" t="inlineStr">
        <is>
          <t>0,00</t>
        </is>
      </c>
    </row>
    <row r="634">
      <c r="A634" s="66" t="n">
        <v>46139</v>
      </c>
      <c r="B634" s="65" t="inlineStr">
        <is>
          <t>PUSD1/2026/00104</t>
        </is>
      </c>
      <c r="C634" s="65" t="n">
        <v>202</v>
      </c>
      <c r="D634" s="65" t="inlineStr">
        <is>
          <t>Javier Cardenas Prato.</t>
        </is>
      </c>
      <c r="E634" s="63" t="inlineStr">
        <is>
          <t>150,00</t>
        </is>
      </c>
      <c r="F634" s="65" t="inlineStr">
        <is>
          <t>USD</t>
        </is>
      </c>
      <c r="G634" s="65" t="inlineStr">
        <is>
          <t>Efectivo moneda extrajera (USD)</t>
        </is>
      </c>
      <c r="H634" s="63" t="inlineStr">
        <is>
          <t>150,00</t>
        </is>
      </c>
      <c r="I634" s="65" t="n">
        <v>88</v>
      </c>
      <c r="J634" s="65" t="inlineStr">
        <is>
          <t>00-00000423</t>
        </is>
      </c>
      <c r="K634" s="66" t="n">
        <v>46164</v>
      </c>
      <c r="L634" s="63" t="inlineStr">
        <is>
          <t>0,00</t>
        </is>
      </c>
      <c r="M634" s="63" t="inlineStr">
        <is>
          <t>0,00</t>
        </is>
      </c>
    </row>
    <row r="635">
      <c r="A635" s="66" t="n">
        <v>46139</v>
      </c>
      <c r="B635" s="65" t="inlineStr">
        <is>
          <t>PBAMI/2026/00054</t>
        </is>
      </c>
      <c r="C635" s="65" t="n">
        <v>206</v>
      </c>
      <c r="D635" s="65" t="inlineStr">
        <is>
          <t>SUPLIPARTES PARAISO, C.A</t>
        </is>
      </c>
      <c r="E635" s="63" t="inlineStr">
        <is>
          <t>24.721,74</t>
        </is>
      </c>
      <c r="F635" s="65" t="inlineStr">
        <is>
          <t>VES</t>
        </is>
      </c>
      <c r="G635" s="65" t="inlineStr">
        <is>
          <t>Banco Bancamiga 7806</t>
        </is>
      </c>
      <c r="H635" s="63" t="inlineStr">
        <is>
          <t>51,00</t>
        </is>
      </c>
      <c r="I635" s="65" t="n">
        <v>25</v>
      </c>
      <c r="J635" s="65" t="inlineStr">
        <is>
          <t>00-00000238</t>
        </is>
      </c>
      <c r="K635" s="66" t="n">
        <v>46141</v>
      </c>
      <c r="L635" s="63" t="inlineStr">
        <is>
          <t>0,00</t>
        </is>
      </c>
      <c r="M635" s="63" t="inlineStr">
        <is>
          <t>0,00</t>
        </is>
      </c>
    </row>
    <row r="636">
      <c r="A636" s="66" t="n">
        <v>46139</v>
      </c>
      <c r="B636" s="65" t="inlineStr">
        <is>
          <t>PBAMI/2026/00053</t>
        </is>
      </c>
      <c r="C636" s="65" t="n">
        <v>207</v>
      </c>
      <c r="D636" s="65" t="inlineStr">
        <is>
          <t>EN LA VIA 2023 C.A</t>
        </is>
      </c>
      <c r="E636" s="63" t="inlineStr">
        <is>
          <t>293.907,53</t>
        </is>
      </c>
      <c r="F636" s="65" t="inlineStr">
        <is>
          <t>VES</t>
        </is>
      </c>
      <c r="G636" s="65" t="inlineStr">
        <is>
          <t>Banco Bancamiga 7806</t>
        </is>
      </c>
      <c r="H636" s="63" t="inlineStr">
        <is>
          <t>606,32</t>
        </is>
      </c>
      <c r="I636" s="65" t="n"/>
      <c r="J636" s="65" t="n"/>
      <c r="K636" s="65" t="n"/>
      <c r="L636" s="65" t="n"/>
      <c r="M636" s="65" t="n"/>
    </row>
    <row r="637">
      <c r="A637" s="66" t="n">
        <v>46139</v>
      </c>
      <c r="B637" s="65" t="inlineStr">
        <is>
          <t>PBAMI/2026/00052</t>
        </is>
      </c>
      <c r="C637" s="65" t="n">
        <v>208</v>
      </c>
      <c r="D637" s="65" t="inlineStr">
        <is>
          <t>EMPRENDIMIENTO HECTOR LLAMOZA</t>
        </is>
      </c>
      <c r="E637" s="63" t="inlineStr">
        <is>
          <t>72.711,06</t>
        </is>
      </c>
      <c r="F637" s="65" t="inlineStr">
        <is>
          <t>VES</t>
        </is>
      </c>
      <c r="G637" s="65" t="inlineStr">
        <is>
          <t>Banco Bancamiga 7806</t>
        </is>
      </c>
      <c r="H637" s="63" t="inlineStr">
        <is>
          <t>150,00</t>
        </is>
      </c>
      <c r="I637" s="65" t="n">
        <v>271</v>
      </c>
      <c r="J637" s="65" t="inlineStr">
        <is>
          <t>00-00000808</t>
        </is>
      </c>
      <c r="K637" s="66" t="n">
        <v>46214</v>
      </c>
      <c r="L637" s="63" t="inlineStr">
        <is>
          <t>157,91</t>
        </is>
      </c>
      <c r="M637" s="63" t="inlineStr">
        <is>
          <t>0,00</t>
        </is>
      </c>
    </row>
    <row r="638">
      <c r="A638" s="66" t="n">
        <v>46139</v>
      </c>
      <c r="B638" s="65" t="inlineStr">
        <is>
          <t>PBAMI/2026/00051</t>
        </is>
      </c>
      <c r="C638" s="65" t="n">
        <v>204</v>
      </c>
      <c r="D638" s="65" t="inlineStr">
        <is>
          <t>Frenos Elite, C.A</t>
        </is>
      </c>
      <c r="E638" s="63" t="inlineStr">
        <is>
          <t>24.237,00</t>
        </is>
      </c>
      <c r="F638" s="65" t="inlineStr">
        <is>
          <t>VES</t>
        </is>
      </c>
      <c r="G638" s="65" t="inlineStr">
        <is>
          <t>Banco Bancamiga 7806</t>
        </is>
      </c>
      <c r="H638" s="63" t="inlineStr">
        <is>
          <t>50,00</t>
        </is>
      </c>
      <c r="I638" s="65" t="n">
        <v>273</v>
      </c>
      <c r="J638" s="65" t="inlineStr">
        <is>
          <t>00-00000810</t>
        </is>
      </c>
      <c r="K638" s="66" t="n">
        <v>46214</v>
      </c>
      <c r="L638" s="63" t="inlineStr">
        <is>
          <t>115,00</t>
        </is>
      </c>
      <c r="M638" s="63" t="inlineStr">
        <is>
          <t>0,00</t>
        </is>
      </c>
    </row>
    <row r="639">
      <c r="A639" s="66" t="n">
        <v>46139</v>
      </c>
      <c r="B639" s="65" t="inlineStr">
        <is>
          <t>PBAMI/2026/00050</t>
        </is>
      </c>
      <c r="C639" s="65" t="n">
        <v>203</v>
      </c>
      <c r="D639" s="65" t="inlineStr">
        <is>
          <t>Auto Servicios HN 6972, C.A</t>
        </is>
      </c>
      <c r="E639" s="63" t="inlineStr">
        <is>
          <t>128.940,84</t>
        </is>
      </c>
      <c r="F639" s="65" t="inlineStr">
        <is>
          <t>VES</t>
        </is>
      </c>
      <c r="G639" s="65" t="inlineStr">
        <is>
          <t>Banco Bancamiga 7806</t>
        </is>
      </c>
      <c r="H639" s="63" t="inlineStr">
        <is>
          <t>266,00</t>
        </is>
      </c>
      <c r="I639" s="65" t="n">
        <v>227</v>
      </c>
      <c r="J639" s="65" t="inlineStr">
        <is>
          <t>00-00000749</t>
        </is>
      </c>
      <c r="K639" s="66" t="n">
        <v>46210</v>
      </c>
      <c r="L639" s="63" t="inlineStr">
        <is>
          <t>0,00</t>
        </is>
      </c>
      <c r="M639" s="63" t="inlineStr">
        <is>
          <t>0,00</t>
        </is>
      </c>
    </row>
    <row r="640">
      <c r="A640" s="66" t="n">
        <v>46136</v>
      </c>
      <c r="B640" s="65" t="inlineStr">
        <is>
          <t>PUSD1/2026/00103</t>
        </is>
      </c>
      <c r="C640" s="65" t="n">
        <v>201</v>
      </c>
      <c r="D640" s="65" t="inlineStr">
        <is>
          <t>Paola M. Aguilera Z.</t>
        </is>
      </c>
      <c r="E640" s="63" t="inlineStr">
        <is>
          <t>81,00</t>
        </is>
      </c>
      <c r="F640" s="65" t="inlineStr">
        <is>
          <t>USD</t>
        </is>
      </c>
      <c r="G640" s="65" t="inlineStr">
        <is>
          <t>Efectivo moneda extrajera (USD)</t>
        </is>
      </c>
      <c r="H640" s="63" t="inlineStr">
        <is>
          <t>81,00</t>
        </is>
      </c>
      <c r="I640" s="65" t="n">
        <v>61</v>
      </c>
      <c r="J640" s="65" t="inlineStr">
        <is>
          <t>00-00000361</t>
        </is>
      </c>
      <c r="K640" s="66" t="n">
        <v>46157</v>
      </c>
      <c r="L640" s="63" t="inlineStr">
        <is>
          <t>0,00</t>
        </is>
      </c>
      <c r="M640" s="63" t="inlineStr">
        <is>
          <t>0,00</t>
        </is>
      </c>
    </row>
    <row r="641">
      <c r="A641" s="66" t="n">
        <v>46136</v>
      </c>
      <c r="B641" s="65" t="inlineStr">
        <is>
          <t>PUSD1/2026/00102</t>
        </is>
      </c>
      <c r="C641" s="65" t="n">
        <v>200</v>
      </c>
      <c r="D641" s="65" t="inlineStr">
        <is>
          <t>Anthony Jose Quijada Diaz.</t>
        </is>
      </c>
      <c r="E641" s="63" t="inlineStr">
        <is>
          <t>134,00</t>
        </is>
      </c>
      <c r="F641" s="65" t="inlineStr">
        <is>
          <t>USD</t>
        </is>
      </c>
      <c r="G641" s="65" t="inlineStr">
        <is>
          <t>Efectivo moneda extrajera (USD)</t>
        </is>
      </c>
      <c r="H641" s="63" t="inlineStr">
        <is>
          <t>134,00</t>
        </is>
      </c>
      <c r="I641" s="65" t="n">
        <v>309</v>
      </c>
      <c r="J641" s="65" t="inlineStr">
        <is>
          <t>00-00000851</t>
        </is>
      </c>
      <c r="K641" s="66" t="n">
        <v>46215</v>
      </c>
      <c r="L641" s="63" t="inlineStr">
        <is>
          <t>0,00</t>
        </is>
      </c>
      <c r="M641" s="63" t="inlineStr">
        <is>
          <t>0,00</t>
        </is>
      </c>
    </row>
    <row r="642">
      <c r="A642" s="65" t="n"/>
      <c r="B642" s="65" t="n"/>
      <c r="C642" s="65" t="n"/>
      <c r="D642" s="65" t="n"/>
      <c r="E642" s="65" t="n"/>
      <c r="F642" s="65" t="n"/>
      <c r="G642" s="65" t="n"/>
      <c r="H642" s="65" t="n"/>
      <c r="I642" s="65" t="n">
        <v>321</v>
      </c>
      <c r="J642" s="65" t="inlineStr">
        <is>
          <t>00-00000863</t>
        </is>
      </c>
      <c r="K642" s="66" t="n">
        <v>46215</v>
      </c>
      <c r="L642" s="63" t="inlineStr">
        <is>
          <t>0,00</t>
        </is>
      </c>
      <c r="M642" s="63" t="inlineStr">
        <is>
          <t>0,00</t>
        </is>
      </c>
    </row>
    <row r="643">
      <c r="A643" s="65" t="n"/>
      <c r="B643" s="65" t="n"/>
      <c r="C643" s="65" t="n"/>
      <c r="D643" s="65" t="n"/>
      <c r="E643" s="65" t="n"/>
      <c r="F643" s="65" t="n"/>
      <c r="G643" s="65" t="n"/>
      <c r="H643" s="65" t="n"/>
      <c r="I643" s="65" t="n">
        <v>324</v>
      </c>
      <c r="J643" s="65" t="inlineStr">
        <is>
          <t>00-00000866</t>
        </is>
      </c>
      <c r="K643" s="66" t="n">
        <v>46215</v>
      </c>
      <c r="L643" s="63" t="inlineStr">
        <is>
          <t>0,00</t>
        </is>
      </c>
      <c r="M643" s="63" t="inlineStr">
        <is>
          <t>0,00</t>
        </is>
      </c>
    </row>
    <row r="644">
      <c r="A644" s="66" t="n">
        <v>46136</v>
      </c>
      <c r="B644" s="65" t="inlineStr">
        <is>
          <t>PUSD1/2026/00101</t>
        </is>
      </c>
      <c r="C644" s="65" t="n">
        <v>196</v>
      </c>
      <c r="D644" s="65" t="inlineStr">
        <is>
          <t>Inversiones Famasa, C.A</t>
        </is>
      </c>
      <c r="E644" s="63" t="inlineStr">
        <is>
          <t>100,00</t>
        </is>
      </c>
      <c r="F644" s="65" t="inlineStr">
        <is>
          <t>USD</t>
        </is>
      </c>
      <c r="G644" s="65" t="inlineStr">
        <is>
          <t>Efectivo moneda extrajera (USD)</t>
        </is>
      </c>
      <c r="H644" s="63" t="inlineStr">
        <is>
          <t>100,00</t>
        </is>
      </c>
      <c r="I644" s="65" t="n"/>
      <c r="J644" s="65" t="n"/>
      <c r="K644" s="65" t="n"/>
      <c r="L644" s="65" t="n"/>
      <c r="M644" s="65" t="n"/>
    </row>
    <row r="645">
      <c r="A645" s="66" t="n">
        <v>46136</v>
      </c>
      <c r="B645" s="65" t="inlineStr">
        <is>
          <t>PUSD1/2026/00100</t>
        </is>
      </c>
      <c r="C645" s="65" t="n">
        <v>195</v>
      </c>
      <c r="D645" s="65" t="inlineStr">
        <is>
          <t>Katiuska Alejandra Curvelo</t>
        </is>
      </c>
      <c r="E645" s="63" t="inlineStr">
        <is>
          <t>255,00</t>
        </is>
      </c>
      <c r="F645" s="65" t="inlineStr">
        <is>
          <t>USD</t>
        </is>
      </c>
      <c r="G645" s="65" t="inlineStr">
        <is>
          <t>Efectivo moneda extrajera (USD)</t>
        </is>
      </c>
      <c r="H645" s="63" t="inlineStr">
        <is>
          <t>255,00</t>
        </is>
      </c>
      <c r="I645" s="65" t="n">
        <v>54</v>
      </c>
      <c r="J645" s="65" t="inlineStr">
        <is>
          <t>00-00000342</t>
        </is>
      </c>
      <c r="K645" s="66" t="n">
        <v>46156</v>
      </c>
      <c r="L645" s="63" t="inlineStr">
        <is>
          <t>0,00</t>
        </is>
      </c>
      <c r="M645" s="63" t="inlineStr">
        <is>
          <t>0,00</t>
        </is>
      </c>
    </row>
    <row r="646">
      <c r="A646" s="66" t="n">
        <v>46136</v>
      </c>
      <c r="B646" s="65" t="inlineStr">
        <is>
          <t>PUSD1/2026/00099</t>
        </is>
      </c>
      <c r="C646" s="65" t="n">
        <v>188</v>
      </c>
      <c r="D646" s="65" t="inlineStr">
        <is>
          <t>Jose Becerra</t>
        </is>
      </c>
      <c r="E646" s="63" t="inlineStr">
        <is>
          <t>140,00</t>
        </is>
      </c>
      <c r="F646" s="65" t="inlineStr">
        <is>
          <t>USD</t>
        </is>
      </c>
      <c r="G646" s="65" t="inlineStr">
        <is>
          <t>Efectivo moneda extrajera (USD)</t>
        </is>
      </c>
      <c r="H646" s="63" t="inlineStr">
        <is>
          <t>140,00</t>
        </is>
      </c>
      <c r="I646" s="65" t="n">
        <v>82</v>
      </c>
      <c r="J646" s="65" t="inlineStr">
        <is>
          <t>00-00000409</t>
        </is>
      </c>
      <c r="K646" s="66" t="n">
        <v>46163</v>
      </c>
      <c r="L646" s="63" t="inlineStr">
        <is>
          <t>0,00</t>
        </is>
      </c>
      <c r="M646" s="63" t="inlineStr">
        <is>
          <t>0,00</t>
        </is>
      </c>
    </row>
    <row r="647">
      <c r="A647" s="66" t="n">
        <v>46136</v>
      </c>
      <c r="B647" s="65" t="inlineStr">
        <is>
          <t>PUSD1/2026/00098</t>
        </is>
      </c>
      <c r="C647" s="65" t="n">
        <v>194</v>
      </c>
      <c r="D647" s="65" t="inlineStr">
        <is>
          <t>Emprendimiento YSKRA</t>
        </is>
      </c>
      <c r="E647" s="63" t="inlineStr">
        <is>
          <t>50,00</t>
        </is>
      </c>
      <c r="F647" s="65" t="inlineStr">
        <is>
          <t>USD</t>
        </is>
      </c>
      <c r="G647" s="65" t="inlineStr">
        <is>
          <t>Efectivo moneda extrajera (USD)</t>
        </is>
      </c>
      <c r="H647" s="63" t="inlineStr">
        <is>
          <t>50,00</t>
        </is>
      </c>
      <c r="I647" s="65" t="n">
        <v>156</v>
      </c>
      <c r="J647" s="65" t="inlineStr">
        <is>
          <t>00-00000599</t>
        </is>
      </c>
      <c r="K647" s="66" t="n">
        <v>46185</v>
      </c>
      <c r="L647" s="63" t="inlineStr">
        <is>
          <t>0,00</t>
        </is>
      </c>
      <c r="M647" s="63" t="inlineStr">
        <is>
          <t>0,00</t>
        </is>
      </c>
    </row>
    <row r="648">
      <c r="A648" s="66" t="n">
        <v>46136</v>
      </c>
      <c r="B648" s="65" t="inlineStr">
        <is>
          <t>PUSD1/2026/00097</t>
        </is>
      </c>
      <c r="C648" s="65" t="n">
        <v>193</v>
      </c>
      <c r="D648" s="65" t="inlineStr">
        <is>
          <t>Inversiones AreaElectric 2021,c.a.</t>
        </is>
      </c>
      <c r="E648" s="63" t="inlineStr">
        <is>
          <t>119,00</t>
        </is>
      </c>
      <c r="F648" s="65" t="inlineStr">
        <is>
          <t>USD</t>
        </is>
      </c>
      <c r="G648" s="65" t="inlineStr">
        <is>
          <t>Efectivo moneda extrajera (USD)</t>
        </is>
      </c>
      <c r="H648" s="63" t="inlineStr">
        <is>
          <t>119,00</t>
        </is>
      </c>
      <c r="I648" s="65" t="n">
        <v>283</v>
      </c>
      <c r="J648" s="65" t="inlineStr">
        <is>
          <t>00-00000821</t>
        </is>
      </c>
      <c r="K648" s="66" t="n">
        <v>46214</v>
      </c>
      <c r="L648" s="63" t="inlineStr">
        <is>
          <t>0,00</t>
        </is>
      </c>
      <c r="M648" s="63" t="inlineStr">
        <is>
          <t>0,00</t>
        </is>
      </c>
    </row>
    <row r="649">
      <c r="A649" s="66" t="n">
        <v>46136</v>
      </c>
      <c r="B649" s="65" t="inlineStr">
        <is>
          <t>PUSD1/2026/00096</t>
        </is>
      </c>
      <c r="C649" s="65" t="n">
        <v>190</v>
      </c>
      <c r="D649" s="65" t="inlineStr">
        <is>
          <t>Victor Ordaz</t>
        </is>
      </c>
      <c r="E649" s="63" t="inlineStr">
        <is>
          <t>200,00</t>
        </is>
      </c>
      <c r="F649" s="65" t="inlineStr">
        <is>
          <t>USD</t>
        </is>
      </c>
      <c r="G649" s="65" t="inlineStr">
        <is>
          <t>Efectivo moneda extrajera (USD)</t>
        </is>
      </c>
      <c r="H649" s="63" t="inlineStr">
        <is>
          <t>200,00</t>
        </is>
      </c>
      <c r="I649" s="65" t="n">
        <v>261</v>
      </c>
      <c r="J649" s="65" t="inlineStr">
        <is>
          <t>00-00000798</t>
        </is>
      </c>
      <c r="K649" s="66" t="n">
        <v>46214</v>
      </c>
      <c r="L649" s="63" t="inlineStr">
        <is>
          <t>249,01</t>
        </is>
      </c>
      <c r="M649" s="63" t="inlineStr">
        <is>
          <t>0,00</t>
        </is>
      </c>
    </row>
    <row r="650">
      <c r="A650" s="66" t="n">
        <v>46136</v>
      </c>
      <c r="B650" s="65" t="inlineStr">
        <is>
          <t>PUSD1/2026/00095</t>
        </is>
      </c>
      <c r="C650" s="65" t="n">
        <v>191</v>
      </c>
      <c r="D650" s="65" t="inlineStr">
        <is>
          <t>Pedro Castro</t>
        </is>
      </c>
      <c r="E650" s="63" t="inlineStr">
        <is>
          <t>300,00</t>
        </is>
      </c>
      <c r="F650" s="65" t="inlineStr">
        <is>
          <t>USD</t>
        </is>
      </c>
      <c r="G650" s="65" t="inlineStr">
        <is>
          <t>Efectivo moneda extrajera (USD)</t>
        </is>
      </c>
      <c r="H650" s="63" t="inlineStr">
        <is>
          <t>300,00</t>
        </is>
      </c>
      <c r="I650" s="65" t="n">
        <v>85</v>
      </c>
      <c r="J650" s="65" t="inlineStr">
        <is>
          <t>00-00000413</t>
        </is>
      </c>
      <c r="K650" s="66" t="n">
        <v>46163</v>
      </c>
      <c r="L650" s="63" t="inlineStr">
        <is>
          <t>0,02</t>
        </is>
      </c>
      <c r="M650" s="63" t="inlineStr">
        <is>
          <t>0,00</t>
        </is>
      </c>
    </row>
    <row r="651">
      <c r="A651" s="66" t="n">
        <v>46136</v>
      </c>
      <c r="B651" s="65" t="inlineStr">
        <is>
          <t>PBAMI/2026/00049</t>
        </is>
      </c>
      <c r="C651" s="65" t="n">
        <v>199</v>
      </c>
      <c r="D651" s="65" t="inlineStr">
        <is>
          <t>Servicios Nicolazzo 97, C.A</t>
        </is>
      </c>
      <c r="E651" s="63" t="inlineStr">
        <is>
          <t>39.678,80</t>
        </is>
      </c>
      <c r="F651" s="65" t="inlineStr">
        <is>
          <t>VES</t>
        </is>
      </c>
      <c r="G651" s="65" t="inlineStr">
        <is>
          <t>Banco Bancamiga 7806</t>
        </is>
      </c>
      <c r="H651" s="63" t="inlineStr">
        <is>
          <t>70,00</t>
        </is>
      </c>
      <c r="I651" s="65" t="n">
        <v>115</v>
      </c>
      <c r="J651" s="65" t="inlineStr">
        <is>
          <t>00-00000487</t>
        </is>
      </c>
      <c r="K651" s="66" t="n">
        <v>46175</v>
      </c>
      <c r="L651" s="63" t="inlineStr">
        <is>
          <t>85,00</t>
        </is>
      </c>
      <c r="M651" s="63" t="inlineStr">
        <is>
          <t>0,00</t>
        </is>
      </c>
    </row>
    <row r="652">
      <c r="A652" s="66" t="n">
        <v>46136</v>
      </c>
      <c r="B652" s="65" t="inlineStr">
        <is>
          <t>PBAMI/2026/00048</t>
        </is>
      </c>
      <c r="C652" s="65" t="n">
        <v>197</v>
      </c>
      <c r="D652" s="65" t="inlineStr">
        <is>
          <t>Auto Servicios HN 6972, C.A</t>
        </is>
      </c>
      <c r="E652" s="63" t="inlineStr">
        <is>
          <t>82.257,90</t>
        </is>
      </c>
      <c r="F652" s="65" t="inlineStr">
        <is>
          <t>VES</t>
        </is>
      </c>
      <c r="G652" s="65" t="inlineStr">
        <is>
          <t>Banco Bancamiga 7806</t>
        </is>
      </c>
      <c r="H652" s="63" t="inlineStr">
        <is>
          <t>170,00</t>
        </is>
      </c>
      <c r="I652" s="65" t="n">
        <v>227</v>
      </c>
      <c r="J652" s="65" t="inlineStr">
        <is>
          <t>00-00000749</t>
        </is>
      </c>
      <c r="K652" s="66" t="n">
        <v>46210</v>
      </c>
      <c r="L652" s="63" t="inlineStr">
        <is>
          <t>0,00</t>
        </is>
      </c>
      <c r="M652" s="63" t="inlineStr">
        <is>
          <t>0,00</t>
        </is>
      </c>
    </row>
    <row r="653">
      <c r="A653" s="66" t="n">
        <v>46136</v>
      </c>
      <c r="B653" s="65" t="inlineStr">
        <is>
          <t>PBAMI/2026/00047</t>
        </is>
      </c>
      <c r="C653" s="65" t="n">
        <v>189</v>
      </c>
      <c r="D653" s="65" t="inlineStr">
        <is>
          <t>Comercial los de faria,c.a.</t>
        </is>
      </c>
      <c r="E653" s="63" t="inlineStr">
        <is>
          <t>105.483,00</t>
        </is>
      </c>
      <c r="F653" s="65" t="inlineStr">
        <is>
          <t>VES</t>
        </is>
      </c>
      <c r="G653" s="65" t="inlineStr">
        <is>
          <t>Banco Bancamiga 7806</t>
        </is>
      </c>
      <c r="H653" s="63" t="inlineStr">
        <is>
          <t>218,00</t>
        </is>
      </c>
      <c r="I653" s="65" t="n">
        <v>94</v>
      </c>
      <c r="J653" s="65" t="inlineStr">
        <is>
          <t>00-00000441</t>
        </is>
      </c>
      <c r="K653" s="66" t="n">
        <v>46168</v>
      </c>
      <c r="L653" s="63" t="inlineStr">
        <is>
          <t>0,00</t>
        </is>
      </c>
      <c r="M653" s="63" t="inlineStr">
        <is>
          <t>0,00</t>
        </is>
      </c>
    </row>
    <row r="654">
      <c r="A654" s="66" t="n">
        <v>46135</v>
      </c>
      <c r="B654" s="65" t="inlineStr">
        <is>
          <t>PUSD1/2026/00094</t>
        </is>
      </c>
      <c r="C654" s="65" t="n">
        <v>183</v>
      </c>
      <c r="D654" s="65" t="inlineStr">
        <is>
          <t>Auto Repuestos Acal C.A</t>
        </is>
      </c>
      <c r="E654" s="63" t="inlineStr">
        <is>
          <t>50,00</t>
        </is>
      </c>
      <c r="F654" s="65" t="inlineStr">
        <is>
          <t>USD</t>
        </is>
      </c>
      <c r="G654" s="65" t="inlineStr">
        <is>
          <t>Efectivo moneda extrajera (USD)</t>
        </is>
      </c>
      <c r="H654" s="63" t="inlineStr">
        <is>
          <t>50,00</t>
        </is>
      </c>
      <c r="I654" s="65" t="n">
        <v>71</v>
      </c>
      <c r="J654" s="65" t="inlineStr">
        <is>
          <t>00-00000385</t>
        </is>
      </c>
      <c r="K654" s="66" t="n">
        <v>46162</v>
      </c>
      <c r="L654" s="63" t="inlineStr">
        <is>
          <t>0,00</t>
        </is>
      </c>
      <c r="M654" s="63" t="inlineStr">
        <is>
          <t>0,00</t>
        </is>
      </c>
    </row>
    <row r="655">
      <c r="A655" s="66" t="n">
        <v>46135</v>
      </c>
      <c r="B655" s="65" t="inlineStr">
        <is>
          <t>PUSD1/2026/00093</t>
        </is>
      </c>
      <c r="C655" s="65" t="n">
        <v>181</v>
      </c>
      <c r="D655" s="65" t="inlineStr">
        <is>
          <t>ADS SERVICE C.A</t>
        </is>
      </c>
      <c r="E655" s="63" t="inlineStr">
        <is>
          <t>250,00</t>
        </is>
      </c>
      <c r="F655" s="65" t="inlineStr">
        <is>
          <t>USD</t>
        </is>
      </c>
      <c r="G655" s="65" t="inlineStr">
        <is>
          <t>Efectivo moneda extrajera (USD)</t>
        </is>
      </c>
      <c r="H655" s="63" t="inlineStr">
        <is>
          <t>250,00</t>
        </is>
      </c>
      <c r="I655" s="65" t="n">
        <v>79</v>
      </c>
      <c r="J655" s="65" t="inlineStr">
        <is>
          <t>00-00000399</t>
        </is>
      </c>
      <c r="K655" s="66" t="n">
        <v>46162</v>
      </c>
      <c r="L655" s="63" t="inlineStr">
        <is>
          <t>0,00</t>
        </is>
      </c>
      <c r="M655" s="63" t="inlineStr">
        <is>
          <t>0,00</t>
        </is>
      </c>
    </row>
    <row r="656">
      <c r="A656" s="65" t="n"/>
      <c r="B656" s="65" t="n"/>
      <c r="C656" s="65" t="n"/>
      <c r="D656" s="65" t="n"/>
      <c r="E656" s="65" t="n"/>
      <c r="F656" s="65" t="n"/>
      <c r="G656" s="65" t="n"/>
      <c r="H656" s="65" t="n"/>
      <c r="I656" s="65" t="n">
        <v>136</v>
      </c>
      <c r="J656" s="65" t="inlineStr">
        <is>
          <t>00-00000569</t>
        </is>
      </c>
      <c r="K656" s="66" t="n">
        <v>46184</v>
      </c>
      <c r="L656" s="63" t="inlineStr">
        <is>
          <t>0,00</t>
        </is>
      </c>
      <c r="M656" s="63" t="inlineStr">
        <is>
          <t>0,00</t>
        </is>
      </c>
    </row>
    <row r="657">
      <c r="A657" s="66" t="n">
        <v>46135</v>
      </c>
      <c r="B657" s="65" t="inlineStr">
        <is>
          <t>PUSD1/2026/00092</t>
        </is>
      </c>
      <c r="C657" s="65" t="n">
        <v>185</v>
      </c>
      <c r="D657" s="65" t="inlineStr">
        <is>
          <t>Multiservicios Sanahuja 36 C.A</t>
        </is>
      </c>
      <c r="E657" s="63" t="inlineStr">
        <is>
          <t>141,00</t>
        </is>
      </c>
      <c r="F657" s="65" t="inlineStr">
        <is>
          <t>USD</t>
        </is>
      </c>
      <c r="G657" s="65" t="inlineStr">
        <is>
          <t>Efectivo moneda extrajera (USD)</t>
        </is>
      </c>
      <c r="H657" s="63" t="inlineStr">
        <is>
          <t>141,00</t>
        </is>
      </c>
      <c r="I657" s="65" t="n">
        <v>277</v>
      </c>
      <c r="J657" s="65" t="inlineStr">
        <is>
          <t>00-00000814</t>
        </is>
      </c>
      <c r="K657" s="66" t="n">
        <v>46214</v>
      </c>
      <c r="L657" s="63" t="inlineStr">
        <is>
          <t>0,00</t>
        </is>
      </c>
      <c r="M657" s="63" t="inlineStr">
        <is>
          <t>0,00</t>
        </is>
      </c>
    </row>
    <row r="658">
      <c r="A658" s="66" t="n">
        <v>46135</v>
      </c>
      <c r="B658" s="65" t="inlineStr">
        <is>
          <t>PUSD1/2026/00091</t>
        </is>
      </c>
      <c r="C658" s="65" t="n">
        <v>184</v>
      </c>
      <c r="D658" s="65" t="inlineStr">
        <is>
          <t>SJMG 2012 C.A</t>
        </is>
      </c>
      <c r="E658" s="63" t="inlineStr">
        <is>
          <t>500,00</t>
        </is>
      </c>
      <c r="F658" s="65" t="inlineStr">
        <is>
          <t>USD</t>
        </is>
      </c>
      <c r="G658" s="65" t="inlineStr">
        <is>
          <t>Efectivo moneda extrajera (USD)</t>
        </is>
      </c>
      <c r="H658" s="63" t="inlineStr">
        <is>
          <t>500,00</t>
        </is>
      </c>
      <c r="I658" s="65" t="n">
        <v>87</v>
      </c>
      <c r="J658" s="65" t="inlineStr">
        <is>
          <t>00-00000417</t>
        </is>
      </c>
      <c r="K658" s="66" t="n">
        <v>46163</v>
      </c>
      <c r="L658" s="63" t="inlineStr">
        <is>
          <t>0,00</t>
        </is>
      </c>
      <c r="M658" s="63" t="inlineStr">
        <is>
          <t>0,00</t>
        </is>
      </c>
    </row>
    <row r="659">
      <c r="A659" s="66" t="n">
        <v>46135</v>
      </c>
      <c r="B659" s="65" t="inlineStr">
        <is>
          <t>PUSD1/2026/00090</t>
        </is>
      </c>
      <c r="C659" s="65" t="n">
        <v>187</v>
      </c>
      <c r="D659" s="65" t="inlineStr">
        <is>
          <t>Emprendimiento José Sánchez 203 c.a</t>
        </is>
      </c>
      <c r="E659" s="63" t="inlineStr">
        <is>
          <t>85,00</t>
        </is>
      </c>
      <c r="F659" s="65" t="inlineStr">
        <is>
          <t>USD</t>
        </is>
      </c>
      <c r="G659" s="65" t="inlineStr">
        <is>
          <t>Efectivo moneda extrajera (USD)</t>
        </is>
      </c>
      <c r="H659" s="63" t="inlineStr">
        <is>
          <t>85,00</t>
        </is>
      </c>
      <c r="I659" s="65" t="n">
        <v>262</v>
      </c>
      <c r="J659" s="65" t="inlineStr">
        <is>
          <t>00-00000799</t>
        </is>
      </c>
      <c r="K659" s="66" t="n">
        <v>46214</v>
      </c>
      <c r="L659" s="63" t="inlineStr">
        <is>
          <t>200,00</t>
        </is>
      </c>
      <c r="M659" s="63" t="inlineStr">
        <is>
          <t>0,00</t>
        </is>
      </c>
    </row>
    <row r="660">
      <c r="A660" s="66" t="n">
        <v>46135</v>
      </c>
      <c r="B660" s="65" t="inlineStr">
        <is>
          <t>PBAMI/2026/00061</t>
        </is>
      </c>
      <c r="C660" s="65" t="n">
        <v>227</v>
      </c>
      <c r="D660" s="65" t="inlineStr">
        <is>
          <t>Wuilliams bastidas</t>
        </is>
      </c>
      <c r="E660" s="63" t="inlineStr">
        <is>
          <t>30.000,00</t>
        </is>
      </c>
      <c r="F660" s="65" t="inlineStr">
        <is>
          <t>VES</t>
        </is>
      </c>
      <c r="G660" s="65" t="inlineStr">
        <is>
          <t>Banco Bancamiga 7806</t>
        </is>
      </c>
      <c r="H660" s="63" t="inlineStr">
        <is>
          <t>62,07</t>
        </is>
      </c>
      <c r="I660" s="65" t="n"/>
      <c r="J660" s="65" t="n"/>
      <c r="K660" s="65" t="n"/>
      <c r="L660" s="65" t="n"/>
      <c r="M660" s="65" t="n"/>
    </row>
    <row r="661">
      <c r="A661" s="66" t="n">
        <v>46135</v>
      </c>
      <c r="B661" s="65" t="inlineStr">
        <is>
          <t>PBAMI/2026/00046</t>
        </is>
      </c>
      <c r="C661" s="65" t="n">
        <v>186</v>
      </c>
      <c r="D661" s="65" t="inlineStr">
        <is>
          <t>Diana Carolina Torres</t>
        </is>
      </c>
      <c r="E661" s="63" t="inlineStr">
        <is>
          <t>45.448,27</t>
        </is>
      </c>
      <c r="F661" s="65" t="inlineStr">
        <is>
          <t>VES</t>
        </is>
      </c>
      <c r="G661" s="65" t="inlineStr">
        <is>
          <t>Banco Bancamiga 7806</t>
        </is>
      </c>
      <c r="H661" s="63" t="inlineStr">
        <is>
          <t>94,03</t>
        </is>
      </c>
      <c r="I661" s="65" t="n">
        <v>81</v>
      </c>
      <c r="J661" s="65" t="inlineStr">
        <is>
          <t>00-00000408</t>
        </is>
      </c>
      <c r="K661" s="66" t="n">
        <v>46162</v>
      </c>
      <c r="L661" s="63" t="inlineStr">
        <is>
          <t>3,63</t>
        </is>
      </c>
      <c r="M661" s="63" t="inlineStr">
        <is>
          <t>0,00</t>
        </is>
      </c>
    </row>
    <row r="662">
      <c r="A662" s="66" t="n">
        <v>46134</v>
      </c>
      <c r="B662" s="65" t="inlineStr">
        <is>
          <t>PUSD1/2026/00089</t>
        </is>
      </c>
      <c r="C662" s="65" t="n">
        <v>177</v>
      </c>
      <c r="D662" s="65" t="inlineStr">
        <is>
          <t>Inversiones Famasa, C.A</t>
        </is>
      </c>
      <c r="E662" s="63" t="inlineStr">
        <is>
          <t>100,00</t>
        </is>
      </c>
      <c r="F662" s="65" t="inlineStr">
        <is>
          <t>USD</t>
        </is>
      </c>
      <c r="G662" s="65" t="inlineStr">
        <is>
          <t>Efectivo moneda extrajera (USD)</t>
        </is>
      </c>
      <c r="H662" s="63" t="inlineStr">
        <is>
          <t>100,00</t>
        </is>
      </c>
      <c r="I662" s="65" t="n"/>
      <c r="J662" s="65" t="n"/>
      <c r="K662" s="65" t="n"/>
      <c r="L662" s="65" t="n"/>
      <c r="M662" s="65" t="n"/>
    </row>
    <row r="663">
      <c r="A663" s="66" t="n">
        <v>46134</v>
      </c>
      <c r="B663" s="65" t="inlineStr">
        <is>
          <t>PUSD1/2026/00088</t>
        </is>
      </c>
      <c r="C663" s="65" t="n">
        <v>173</v>
      </c>
      <c r="D663" s="65" t="inlineStr">
        <is>
          <t>AUTOREPUESTOS SION C.A.</t>
        </is>
      </c>
      <c r="E663" s="63" t="inlineStr">
        <is>
          <t>100,00</t>
        </is>
      </c>
      <c r="F663" s="65" t="inlineStr">
        <is>
          <t>USD</t>
        </is>
      </c>
      <c r="G663" s="65" t="inlineStr">
        <is>
          <t>Efectivo moneda extrajera (USD)</t>
        </is>
      </c>
      <c r="H663" s="63" t="inlineStr">
        <is>
          <t>100,00</t>
        </is>
      </c>
      <c r="I663" s="65" t="n">
        <v>45</v>
      </c>
      <c r="J663" s="65" t="inlineStr">
        <is>
          <t>00-00000321</t>
        </is>
      </c>
      <c r="K663" s="66" t="n">
        <v>46155</v>
      </c>
      <c r="L663" s="63" t="inlineStr">
        <is>
          <t>0,00</t>
        </is>
      </c>
      <c r="M663" s="63" t="inlineStr">
        <is>
          <t>0,00</t>
        </is>
      </c>
    </row>
    <row r="664">
      <c r="A664" s="65" t="n"/>
      <c r="B664" s="65" t="n"/>
      <c r="C664" s="65" t="n"/>
      <c r="D664" s="65" t="n"/>
      <c r="E664" s="65" t="n"/>
      <c r="F664" s="65" t="n"/>
      <c r="G664" s="65" t="n"/>
      <c r="H664" s="65" t="n"/>
      <c r="I664" s="65" t="n">
        <v>312</v>
      </c>
      <c r="J664" s="65" t="inlineStr">
        <is>
          <t>00-00000854</t>
        </is>
      </c>
      <c r="K664" s="66" t="n">
        <v>46215</v>
      </c>
      <c r="L664" s="63" t="inlineStr">
        <is>
          <t>0,00</t>
        </is>
      </c>
      <c r="M664" s="63" t="inlineStr">
        <is>
          <t>0,00</t>
        </is>
      </c>
    </row>
    <row r="665">
      <c r="A665" s="66" t="n">
        <v>46134</v>
      </c>
      <c r="B665" s="65" t="inlineStr">
        <is>
          <t>PUSD1/2026/00087</t>
        </is>
      </c>
      <c r="C665" s="65" t="n">
        <v>180</v>
      </c>
      <c r="D665" s="65" t="inlineStr">
        <is>
          <t>Autoasesorio maxi motor</t>
        </is>
      </c>
      <c r="E665" s="63" t="inlineStr">
        <is>
          <t>50,00</t>
        </is>
      </c>
      <c r="F665" s="65" t="inlineStr">
        <is>
          <t>USD</t>
        </is>
      </c>
      <c r="G665" s="65" t="inlineStr">
        <is>
          <t>Efectivo moneda extrajera (USD)</t>
        </is>
      </c>
      <c r="H665" s="63" t="inlineStr">
        <is>
          <t>50,00</t>
        </is>
      </c>
      <c r="I665" s="65" t="n">
        <v>254</v>
      </c>
      <c r="J665" s="65" t="inlineStr">
        <is>
          <t>00-00000776</t>
        </is>
      </c>
      <c r="K665" s="66" t="n">
        <v>46211</v>
      </c>
      <c r="L665" s="63" t="inlineStr">
        <is>
          <t>48,01</t>
        </is>
      </c>
      <c r="M665" s="63" t="inlineStr">
        <is>
          <t>0,00</t>
        </is>
      </c>
    </row>
    <row r="666">
      <c r="A666" s="66" t="n">
        <v>46134</v>
      </c>
      <c r="B666" s="65" t="inlineStr">
        <is>
          <t>PUSD1/2026/00086</t>
        </is>
      </c>
      <c r="C666" s="65" t="n">
        <v>165</v>
      </c>
      <c r="D666" s="65" t="inlineStr">
        <is>
          <t>EMPRENDIMIENTO IRMA RODRIGUEZ 6</t>
        </is>
      </c>
      <c r="E666" s="63" t="inlineStr">
        <is>
          <t>161,00</t>
        </is>
      </c>
      <c r="F666" s="65" t="inlineStr">
        <is>
          <t>USD</t>
        </is>
      </c>
      <c r="G666" s="65" t="inlineStr">
        <is>
          <t>Efectivo moneda extrajera (USD)</t>
        </is>
      </c>
      <c r="H666" s="63" t="inlineStr">
        <is>
          <t>161,00</t>
        </is>
      </c>
      <c r="I666" s="65" t="n">
        <v>41</v>
      </c>
      <c r="J666" s="65" t="inlineStr">
        <is>
          <t>00-00000310</t>
        </is>
      </c>
      <c r="K666" s="66" t="n">
        <v>46154</v>
      </c>
      <c r="L666" s="63" t="inlineStr">
        <is>
          <t>0,00</t>
        </is>
      </c>
      <c r="M666" s="63" t="inlineStr">
        <is>
          <t>0,00</t>
        </is>
      </c>
    </row>
    <row r="667">
      <c r="A667" s="66" t="n">
        <v>46134</v>
      </c>
      <c r="B667" s="65" t="inlineStr">
        <is>
          <t>PUSD1/2026/00085</t>
        </is>
      </c>
      <c r="C667" s="65" t="n">
        <v>175</v>
      </c>
      <c r="D667" s="65" t="inlineStr">
        <is>
          <t>Inversiones Trip K, c.a.</t>
        </is>
      </c>
      <c r="E667" s="63" t="inlineStr">
        <is>
          <t>160,00</t>
        </is>
      </c>
      <c r="F667" s="65" t="inlineStr">
        <is>
          <t>USD</t>
        </is>
      </c>
      <c r="G667" s="65" t="inlineStr">
        <is>
          <t>Efectivo moneda extrajera (USD)</t>
        </is>
      </c>
      <c r="H667" s="63" t="inlineStr">
        <is>
          <t>160,00</t>
        </is>
      </c>
      <c r="I667" s="65" t="n">
        <v>77</v>
      </c>
      <c r="J667" s="65" t="inlineStr">
        <is>
          <t>00-00000395</t>
        </is>
      </c>
      <c r="K667" s="66" t="n">
        <v>46162</v>
      </c>
      <c r="L667" s="63" t="inlineStr">
        <is>
          <t>0,00</t>
        </is>
      </c>
      <c r="M667" s="63" t="inlineStr">
        <is>
          <t>0,00</t>
        </is>
      </c>
    </row>
    <row r="668">
      <c r="A668" s="66" t="n">
        <v>46134</v>
      </c>
      <c r="B668" s="65" t="inlineStr">
        <is>
          <t>PBAMI/2026/00045</t>
        </is>
      </c>
      <c r="C668" s="65" t="n">
        <v>179</v>
      </c>
      <c r="D668" s="65" t="inlineStr">
        <is>
          <t>Jose Lopez Espinoza</t>
        </is>
      </c>
      <c r="E668" s="63" t="inlineStr">
        <is>
          <t>34.386,90</t>
        </is>
      </c>
      <c r="F668" s="65" t="inlineStr">
        <is>
          <t>VES</t>
        </is>
      </c>
      <c r="G668" s="65" t="inlineStr">
        <is>
          <t>Banco Bancamiga 7806</t>
        </is>
      </c>
      <c r="H668" s="63" t="inlineStr">
        <is>
          <t>71,23</t>
        </is>
      </c>
      <c r="I668" s="65" t="n">
        <v>83</v>
      </c>
      <c r="J668" s="65" t="inlineStr">
        <is>
          <t>00-00000410</t>
        </is>
      </c>
      <c r="K668" s="66" t="n">
        <v>46163</v>
      </c>
      <c r="L668" s="63" t="inlineStr">
        <is>
          <t>1,49</t>
        </is>
      </c>
      <c r="M668" s="63" t="inlineStr">
        <is>
          <t>0,00</t>
        </is>
      </c>
    </row>
    <row r="669">
      <c r="A669" s="66" t="n">
        <v>46134</v>
      </c>
      <c r="B669" s="65" t="inlineStr">
        <is>
          <t>PBAMI/2026/00044</t>
        </is>
      </c>
      <c r="C669" s="65" t="n">
        <v>174</v>
      </c>
      <c r="D669" s="65" t="inlineStr">
        <is>
          <t>Inversiones Trip K, c.a.</t>
        </is>
      </c>
      <c r="E669" s="63" t="inlineStr">
        <is>
          <t>483,00</t>
        </is>
      </c>
      <c r="F669" s="65" t="inlineStr">
        <is>
          <t>VES</t>
        </is>
      </c>
      <c r="G669" s="65" t="inlineStr">
        <is>
          <t>Banco Bancamiga 7806</t>
        </is>
      </c>
      <c r="H669" s="63" t="inlineStr">
        <is>
          <t>1,00</t>
        </is>
      </c>
      <c r="I669" s="65" t="n">
        <v>77</v>
      </c>
      <c r="J669" s="65" t="inlineStr">
        <is>
          <t>00-00000395</t>
        </is>
      </c>
      <c r="K669" s="66" t="n">
        <v>46162</v>
      </c>
      <c r="L669" s="63" t="inlineStr">
        <is>
          <t>0,00</t>
        </is>
      </c>
      <c r="M669" s="63" t="inlineStr">
        <is>
          <t>0,00</t>
        </is>
      </c>
    </row>
    <row r="670">
      <c r="A670" s="66" t="n">
        <v>46133</v>
      </c>
      <c r="B670" s="65" t="inlineStr">
        <is>
          <t>PUSD1/2026/00163</t>
        </is>
      </c>
      <c r="C670" s="65" t="n">
        <v>336</v>
      </c>
      <c r="D670" s="65" t="inlineStr">
        <is>
          <t>Moises Alejandro Mares</t>
        </is>
      </c>
      <c r="E670" s="63" t="inlineStr">
        <is>
          <t>20,00</t>
        </is>
      </c>
      <c r="F670" s="65" t="inlineStr">
        <is>
          <t>USD</t>
        </is>
      </c>
      <c r="G670" s="65" t="inlineStr">
        <is>
          <t>Efectivo moneda extrajera (USD)</t>
        </is>
      </c>
      <c r="H670" s="63" t="inlineStr">
        <is>
          <t>20,00</t>
        </is>
      </c>
      <c r="I670" s="65" t="n"/>
      <c r="J670" s="65" t="n"/>
      <c r="K670" s="65" t="n"/>
      <c r="L670" s="65" t="n"/>
      <c r="M670" s="65" t="n"/>
    </row>
    <row r="671">
      <c r="A671" s="66" t="n">
        <v>46133</v>
      </c>
      <c r="B671" s="65" t="inlineStr">
        <is>
          <t>PUSD1/2026/00084</t>
        </is>
      </c>
      <c r="C671" s="65" t="n">
        <v>158</v>
      </c>
      <c r="D671" s="65" t="inlineStr">
        <is>
          <t>Inversiones Brayan CT C.A</t>
        </is>
      </c>
      <c r="E671" s="63" t="inlineStr">
        <is>
          <t>50,00</t>
        </is>
      </c>
      <c r="F671" s="65" t="inlineStr">
        <is>
          <t>USD</t>
        </is>
      </c>
      <c r="G671" s="65" t="inlineStr">
        <is>
          <t>Efectivo moneda extrajera (USD)</t>
        </is>
      </c>
      <c r="H671" s="63" t="inlineStr">
        <is>
          <t>50,00</t>
        </is>
      </c>
      <c r="I671" s="65" t="n">
        <v>208</v>
      </c>
      <c r="J671" s="65" t="inlineStr">
        <is>
          <t>00-00000705</t>
        </is>
      </c>
      <c r="K671" s="66" t="n">
        <v>46204</v>
      </c>
      <c r="L671" s="63" t="inlineStr">
        <is>
          <t>0,00</t>
        </is>
      </c>
      <c r="M671" s="63" t="inlineStr">
        <is>
          <t>0,00</t>
        </is>
      </c>
    </row>
    <row r="672">
      <c r="A672" s="66" t="n">
        <v>46133</v>
      </c>
      <c r="B672" s="65" t="inlineStr">
        <is>
          <t>PUSD1/2026/00083</t>
        </is>
      </c>
      <c r="C672" s="65" t="n">
        <v>157</v>
      </c>
      <c r="D672" s="65" t="inlineStr">
        <is>
          <t>La cámara perfecta</t>
        </is>
      </c>
      <c r="E672" s="63" t="inlineStr">
        <is>
          <t>100,00</t>
        </is>
      </c>
      <c r="F672" s="65" t="inlineStr">
        <is>
          <t>USD</t>
        </is>
      </c>
      <c r="G672" s="65" t="inlineStr">
        <is>
          <t>Efectivo moneda extrajera (USD)</t>
        </is>
      </c>
      <c r="H672" s="63" t="inlineStr">
        <is>
          <t>100,00</t>
        </is>
      </c>
      <c r="I672" s="65" t="n">
        <v>219</v>
      </c>
      <c r="J672" s="65" t="inlineStr">
        <is>
          <t>00-00000725</t>
        </is>
      </c>
      <c r="K672" s="66" t="n">
        <v>46205</v>
      </c>
      <c r="L672" s="63" t="inlineStr">
        <is>
          <t>0,00</t>
        </is>
      </c>
      <c r="M672" s="63" t="inlineStr">
        <is>
          <t>0,00</t>
        </is>
      </c>
    </row>
    <row r="673">
      <c r="A673" s="66" t="n">
        <v>46133</v>
      </c>
      <c r="B673" s="65" t="inlineStr">
        <is>
          <t>PUSD1/2026/00082</t>
        </is>
      </c>
      <c r="C673" s="65" t="n">
        <v>152</v>
      </c>
      <c r="D673" s="65" t="inlineStr">
        <is>
          <t>MOTOREPUESTOS EL GUANÁBANO YRM C.A.</t>
        </is>
      </c>
      <c r="E673" s="63" t="inlineStr">
        <is>
          <t>100,00</t>
        </is>
      </c>
      <c r="F673" s="65" t="inlineStr">
        <is>
          <t>USD</t>
        </is>
      </c>
      <c r="G673" s="65" t="inlineStr">
        <is>
          <t>Efectivo moneda extrajera (USD)</t>
        </is>
      </c>
      <c r="H673" s="63" t="inlineStr">
        <is>
          <t>100,00</t>
        </is>
      </c>
      <c r="I673" s="65" t="n">
        <v>218</v>
      </c>
      <c r="J673" s="65" t="inlineStr">
        <is>
          <t>00-00000722</t>
        </is>
      </c>
      <c r="K673" s="66" t="n">
        <v>46205</v>
      </c>
      <c r="L673" s="63" t="inlineStr">
        <is>
          <t>0,00</t>
        </is>
      </c>
      <c r="M673" s="63" t="inlineStr">
        <is>
          <t>0,00</t>
        </is>
      </c>
    </row>
    <row r="674">
      <c r="A674" s="66" t="n">
        <v>46133</v>
      </c>
      <c r="B674" s="65" t="inlineStr">
        <is>
          <t>PUSD1/2026/00081</t>
        </is>
      </c>
      <c r="C674" s="65" t="n">
        <v>153</v>
      </c>
      <c r="D674" s="65" t="inlineStr">
        <is>
          <t>ESTACIONAMIENTO CIACORE 2000 c.a</t>
        </is>
      </c>
      <c r="E674" s="63" t="inlineStr">
        <is>
          <t>108,00</t>
        </is>
      </c>
      <c r="F674" s="65" t="inlineStr">
        <is>
          <t>USD</t>
        </is>
      </c>
      <c r="G674" s="65" t="inlineStr">
        <is>
          <t>Efectivo moneda extrajera (USD)</t>
        </is>
      </c>
      <c r="H674" s="63" t="inlineStr">
        <is>
          <t>108,00</t>
        </is>
      </c>
      <c r="I674" s="65" t="n">
        <v>50</v>
      </c>
      <c r="J674" s="65" t="inlineStr">
        <is>
          <t>00-00000330</t>
        </is>
      </c>
      <c r="K674" s="66" t="n">
        <v>46155</v>
      </c>
      <c r="L674" s="63" t="inlineStr">
        <is>
          <t>0,00</t>
        </is>
      </c>
      <c r="M674" s="63" t="inlineStr">
        <is>
          <t>0,00</t>
        </is>
      </c>
    </row>
    <row r="675">
      <c r="A675" s="66" t="n">
        <v>46133</v>
      </c>
      <c r="B675" s="65" t="inlineStr">
        <is>
          <t>PBAMI/2026/00043</t>
        </is>
      </c>
      <c r="C675" s="65" t="n">
        <v>156</v>
      </c>
      <c r="D675" s="65" t="inlineStr">
        <is>
          <t>Multiservicios Arizona, C.A.</t>
        </is>
      </c>
      <c r="E675" s="63" t="inlineStr">
        <is>
          <t>153.023,28</t>
        </is>
      </c>
      <c r="F675" s="65" t="inlineStr">
        <is>
          <t>VES</t>
        </is>
      </c>
      <c r="G675" s="65" t="inlineStr">
        <is>
          <t>Banco Bancamiga 7806</t>
        </is>
      </c>
      <c r="H675" s="63" t="inlineStr">
        <is>
          <t>317,67</t>
        </is>
      </c>
      <c r="I675" s="65" t="n">
        <v>76</v>
      </c>
      <c r="J675" s="65" t="inlineStr">
        <is>
          <t>00-00000394</t>
        </is>
      </c>
      <c r="K675" s="66" t="n">
        <v>46162</v>
      </c>
      <c r="L675" s="63" t="inlineStr">
        <is>
          <t>56,92</t>
        </is>
      </c>
      <c r="M675" s="63" t="inlineStr">
        <is>
          <t>0,00</t>
        </is>
      </c>
    </row>
    <row r="676">
      <c r="A676" s="66" t="n">
        <v>46133</v>
      </c>
      <c r="B676" s="65" t="inlineStr">
        <is>
          <t>PBAMI/2026/00042</t>
        </is>
      </c>
      <c r="C676" s="65" t="n">
        <v>163</v>
      </c>
      <c r="D676" s="65" t="inlineStr">
        <is>
          <t>MOTO REPUESTOS LA FLECHA, C.A.</t>
        </is>
      </c>
      <c r="E676" s="63" t="inlineStr">
        <is>
          <t>56.271,01</t>
        </is>
      </c>
      <c r="F676" s="65" t="inlineStr">
        <is>
          <t>VES</t>
        </is>
      </c>
      <c r="G676" s="65" t="inlineStr">
        <is>
          <t>Banco Bancamiga 7806</t>
        </is>
      </c>
      <c r="H676" s="63" t="inlineStr">
        <is>
          <t>116,82</t>
        </is>
      </c>
      <c r="I676" s="65" t="n">
        <v>30</v>
      </c>
      <c r="J676" s="65" t="inlineStr">
        <is>
          <t>00-00000266</t>
        </is>
      </c>
      <c r="K676" s="66" t="n">
        <v>46142</v>
      </c>
      <c r="L676" s="63" t="inlineStr">
        <is>
          <t>0,00</t>
        </is>
      </c>
      <c r="M676" s="63" t="inlineStr">
        <is>
          <t>0,00</t>
        </is>
      </c>
    </row>
    <row r="677">
      <c r="A677" s="66" t="n">
        <v>46133</v>
      </c>
      <c r="B677" s="65" t="inlineStr">
        <is>
          <t>PBAMI/2026/00041</t>
        </is>
      </c>
      <c r="C677" s="65" t="n">
        <v>162</v>
      </c>
      <c r="D677" s="65" t="inlineStr">
        <is>
          <t>Miguel Antonio Chacon</t>
        </is>
      </c>
      <c r="E677" s="63" t="inlineStr">
        <is>
          <t>48.245,00</t>
        </is>
      </c>
      <c r="F677" s="65" t="inlineStr">
        <is>
          <t>VES</t>
        </is>
      </c>
      <c r="G677" s="65" t="inlineStr">
        <is>
          <t>Banco Bancamiga 7806</t>
        </is>
      </c>
      <c r="H677" s="63" t="inlineStr">
        <is>
          <t>100,16</t>
        </is>
      </c>
      <c r="I677" s="65" t="n">
        <v>241</v>
      </c>
      <c r="J677" s="65" t="inlineStr">
        <is>
          <t>00-00000763</t>
        </is>
      </c>
      <c r="K677" s="66" t="n">
        <v>46210</v>
      </c>
      <c r="L677" s="63" t="inlineStr">
        <is>
          <t>0,00</t>
        </is>
      </c>
      <c r="M677" s="63" t="inlineStr">
        <is>
          <t>0,00</t>
        </is>
      </c>
    </row>
    <row r="678">
      <c r="A678" s="66" t="n">
        <v>46133</v>
      </c>
      <c r="B678" s="65" t="inlineStr">
        <is>
          <t>PBAMI/2026/00040</t>
        </is>
      </c>
      <c r="C678" s="65" t="n">
        <v>159</v>
      </c>
      <c r="D678" s="65" t="inlineStr">
        <is>
          <t>Encamotors Catia C.A</t>
        </is>
      </c>
      <c r="E678" s="63" t="inlineStr">
        <is>
          <t>48.767,00</t>
        </is>
      </c>
      <c r="F678" s="65" t="inlineStr">
        <is>
          <t>VES</t>
        </is>
      </c>
      <c r="G678" s="65" t="inlineStr">
        <is>
          <t>Banco Bancamiga 7806</t>
        </is>
      </c>
      <c r="H678" s="63" t="inlineStr">
        <is>
          <t>101,24</t>
        </is>
      </c>
      <c r="I678" s="65" t="n">
        <v>245</v>
      </c>
      <c r="J678" s="65" t="inlineStr">
        <is>
          <t>00-00000767</t>
        </is>
      </c>
      <c r="K678" s="66" t="n">
        <v>46210</v>
      </c>
      <c r="L678" s="63" t="inlineStr">
        <is>
          <t>0,00</t>
        </is>
      </c>
      <c r="M678" s="63" t="inlineStr">
        <is>
          <t>0,00</t>
        </is>
      </c>
    </row>
    <row r="679">
      <c r="A679" s="66" t="n">
        <v>46132</v>
      </c>
      <c r="B679" s="65" t="inlineStr">
        <is>
          <t>PUSD1/2026/00080</t>
        </is>
      </c>
      <c r="C679" s="65" t="n">
        <v>148</v>
      </c>
      <c r="D679" s="65" t="inlineStr">
        <is>
          <t>Cauchos California, C.A</t>
        </is>
      </c>
      <c r="E679" s="63" t="inlineStr">
        <is>
          <t>252,00</t>
        </is>
      </c>
      <c r="F679" s="65" t="inlineStr">
        <is>
          <t>USD</t>
        </is>
      </c>
      <c r="G679" s="65" t="inlineStr">
        <is>
          <t>Efectivo moneda extrajera (USD)</t>
        </is>
      </c>
      <c r="H679" s="63" t="inlineStr">
        <is>
          <t>252,00</t>
        </is>
      </c>
      <c r="I679" s="65" t="n">
        <v>147</v>
      </c>
      <c r="J679" s="65" t="inlineStr">
        <is>
          <t>00-00000590</t>
        </is>
      </c>
      <c r="K679" s="66" t="n">
        <v>46185</v>
      </c>
      <c r="L679" s="63" t="inlineStr">
        <is>
          <t>0,00</t>
        </is>
      </c>
      <c r="M679" s="63" t="inlineStr">
        <is>
          <t>0,00</t>
        </is>
      </c>
    </row>
    <row r="680">
      <c r="A680" s="66" t="n">
        <v>46132</v>
      </c>
      <c r="B680" s="65" t="inlineStr">
        <is>
          <t>PUSD1/2026/00079</t>
        </is>
      </c>
      <c r="C680" s="65" t="n">
        <v>144</v>
      </c>
      <c r="D680" s="65" t="inlineStr">
        <is>
          <t>Barrios Rodríguez Marlon Enrique</t>
        </is>
      </c>
      <c r="E680" s="63" t="inlineStr">
        <is>
          <t>72,00</t>
        </is>
      </c>
      <c r="F680" s="65" t="inlineStr">
        <is>
          <t>USD</t>
        </is>
      </c>
      <c r="G680" s="65" t="inlineStr">
        <is>
          <t>Efectivo moneda extrajera (USD)</t>
        </is>
      </c>
      <c r="H680" s="63" t="inlineStr">
        <is>
          <t>72,00</t>
        </is>
      </c>
      <c r="I680" s="65" t="n">
        <v>34</v>
      </c>
      <c r="J680" s="65" t="inlineStr">
        <is>
          <t>00-00000286</t>
        </is>
      </c>
      <c r="K680" s="66" t="n">
        <v>46150</v>
      </c>
      <c r="L680" s="63" t="inlineStr">
        <is>
          <t>0,00</t>
        </is>
      </c>
      <c r="M680" s="63" t="inlineStr">
        <is>
          <t>0,00</t>
        </is>
      </c>
    </row>
    <row r="681">
      <c r="A681" s="66" t="n">
        <v>46132</v>
      </c>
      <c r="B681" s="65" t="inlineStr">
        <is>
          <t>PUSD1/2026/00078</t>
        </is>
      </c>
      <c r="C681" s="65" t="n">
        <v>149</v>
      </c>
      <c r="D681" s="65" t="inlineStr">
        <is>
          <t>SJMG 2012 C.A</t>
        </is>
      </c>
      <c r="E681" s="63" t="inlineStr">
        <is>
          <t>150,00</t>
        </is>
      </c>
      <c r="F681" s="65" t="inlineStr">
        <is>
          <t>USD</t>
        </is>
      </c>
      <c r="G681" s="65" t="inlineStr">
        <is>
          <t>Efectivo moneda extrajera (USD)</t>
        </is>
      </c>
      <c r="H681" s="63" t="inlineStr">
        <is>
          <t>150,00</t>
        </is>
      </c>
      <c r="I681" s="65" t="n">
        <v>87</v>
      </c>
      <c r="J681" s="65" t="inlineStr">
        <is>
          <t>00-00000417</t>
        </is>
      </c>
      <c r="K681" s="66" t="n">
        <v>46163</v>
      </c>
      <c r="L681" s="63" t="inlineStr">
        <is>
          <t>0,00</t>
        </is>
      </c>
      <c r="M681" s="63" t="inlineStr">
        <is>
          <t>0,00</t>
        </is>
      </c>
    </row>
    <row r="682">
      <c r="A682" s="66" t="n">
        <v>46132</v>
      </c>
      <c r="B682" s="65" t="inlineStr">
        <is>
          <t>PUSD1/2026/00077</t>
        </is>
      </c>
      <c r="C682" s="65" t="n">
        <v>147</v>
      </c>
      <c r="D682" s="65" t="inlineStr">
        <is>
          <t>Benefit c.a</t>
        </is>
      </c>
      <c r="E682" s="63" t="inlineStr">
        <is>
          <t>60,00</t>
        </is>
      </c>
      <c r="F682" s="65" t="inlineStr">
        <is>
          <t>USD</t>
        </is>
      </c>
      <c r="G682" s="65" t="inlineStr">
        <is>
          <t>Efectivo moneda extrajera (USD)</t>
        </is>
      </c>
      <c r="H682" s="63" t="inlineStr">
        <is>
          <t>60,00</t>
        </is>
      </c>
      <c r="I682" s="65" t="n">
        <v>266</v>
      </c>
      <c r="J682" s="65" t="inlineStr">
        <is>
          <t>00-00000803</t>
        </is>
      </c>
      <c r="K682" s="66" t="n">
        <v>46214</v>
      </c>
      <c r="L682" s="63" t="inlineStr">
        <is>
          <t>80,00</t>
        </is>
      </c>
      <c r="M682" s="63" t="inlineStr">
        <is>
          <t>0,00</t>
        </is>
      </c>
    </row>
    <row r="683">
      <c r="A683" s="66" t="n">
        <v>46132</v>
      </c>
      <c r="B683" s="65" t="inlineStr">
        <is>
          <t>PUSD1/2026/00076</t>
        </is>
      </c>
      <c r="C683" s="65" t="n">
        <v>145</v>
      </c>
      <c r="D683" s="65" t="inlineStr">
        <is>
          <t>ALI ALEXANDER MORENO FIGUEREDO</t>
        </is>
      </c>
      <c r="E683" s="63" t="inlineStr">
        <is>
          <t>24,00</t>
        </is>
      </c>
      <c r="F683" s="65" t="inlineStr">
        <is>
          <t>USD</t>
        </is>
      </c>
      <c r="G683" s="65" t="inlineStr">
        <is>
          <t>Efectivo moneda extrajera (USD)</t>
        </is>
      </c>
      <c r="H683" s="63" t="inlineStr">
        <is>
          <t>24,00</t>
        </is>
      </c>
      <c r="I683" s="65" t="n">
        <v>211</v>
      </c>
      <c r="J683" s="65" t="inlineStr">
        <is>
          <t>00-00000715</t>
        </is>
      </c>
      <c r="K683" s="66" t="n">
        <v>46205</v>
      </c>
      <c r="L683" s="63" t="inlineStr">
        <is>
          <t>0,00</t>
        </is>
      </c>
      <c r="M683" s="63" t="inlineStr">
        <is>
          <t>0,00</t>
        </is>
      </c>
    </row>
    <row r="684">
      <c r="A684" s="66" t="n">
        <v>46129</v>
      </c>
      <c r="B684" s="65" t="inlineStr">
        <is>
          <t>PUSD1/2026/00451</t>
        </is>
      </c>
      <c r="C684" s="65" t="n">
        <v>875</v>
      </c>
      <c r="D684" s="65" t="inlineStr">
        <is>
          <t>José Brea</t>
        </is>
      </c>
      <c r="E684" s="63" t="inlineStr">
        <is>
          <t>75,00</t>
        </is>
      </c>
      <c r="F684" s="65" t="inlineStr">
        <is>
          <t>USD</t>
        </is>
      </c>
      <c r="G684" s="65" t="inlineStr">
        <is>
          <t>Efectivo moneda extrajera (USD)</t>
        </is>
      </c>
      <c r="H684" s="63" t="inlineStr">
        <is>
          <t>75,00</t>
        </is>
      </c>
      <c r="I684" s="65" t="n">
        <v>210</v>
      </c>
      <c r="J684" s="65" t="inlineStr">
        <is>
          <t>00-00000713</t>
        </is>
      </c>
      <c r="K684" s="66" t="n">
        <v>46205</v>
      </c>
      <c r="L684" s="63" t="inlineStr">
        <is>
          <t>0,00</t>
        </is>
      </c>
      <c r="M684" s="63" t="inlineStr">
        <is>
          <t>0,00</t>
        </is>
      </c>
    </row>
    <row r="685">
      <c r="A685" s="66" t="n">
        <v>46129</v>
      </c>
      <c r="B685" s="65" t="inlineStr">
        <is>
          <t>PUSD1/2026/00075</t>
        </is>
      </c>
      <c r="C685" s="65" t="n">
        <v>143</v>
      </c>
      <c r="D685" s="65" t="inlineStr">
        <is>
          <t>Inversiones La Bendición del Nazareno, C.A</t>
        </is>
      </c>
      <c r="E685" s="63" t="inlineStr">
        <is>
          <t>250,00</t>
        </is>
      </c>
      <c r="F685" s="65" t="inlineStr">
        <is>
          <t>USD</t>
        </is>
      </c>
      <c r="G685" s="65" t="inlineStr">
        <is>
          <t>Efectivo moneda extrajera (USD)</t>
        </is>
      </c>
      <c r="H685" s="63" t="inlineStr">
        <is>
          <t>250,00</t>
        </is>
      </c>
      <c r="I685" s="65" t="n"/>
      <c r="J685" s="65" t="n"/>
      <c r="K685" s="65" t="n"/>
      <c r="L685" s="65" t="n"/>
      <c r="M685" s="65" t="n"/>
    </row>
    <row r="686">
      <c r="A686" s="66" t="n">
        <v>46129</v>
      </c>
      <c r="B686" s="65" t="inlineStr">
        <is>
          <t>PUSD1/2026/00074</t>
        </is>
      </c>
      <c r="C686" s="65" t="n">
        <v>142</v>
      </c>
      <c r="D686" s="65" t="inlineStr">
        <is>
          <t>Auto repuestos Fontalvo</t>
        </is>
      </c>
      <c r="E686" s="63" t="inlineStr">
        <is>
          <t>22,00</t>
        </is>
      </c>
      <c r="F686" s="65" t="inlineStr">
        <is>
          <t>USD</t>
        </is>
      </c>
      <c r="G686" s="65" t="inlineStr">
        <is>
          <t>Efectivo moneda extrajera (USD)</t>
        </is>
      </c>
      <c r="H686" s="63" t="inlineStr">
        <is>
          <t>22,00</t>
        </is>
      </c>
      <c r="I686" s="65" t="n">
        <v>64</v>
      </c>
      <c r="J686" s="65" t="inlineStr">
        <is>
          <t>00-00000378</t>
        </is>
      </c>
      <c r="K686" s="66" t="n">
        <v>46161</v>
      </c>
      <c r="L686" s="63" t="inlineStr">
        <is>
          <t>0,00</t>
        </is>
      </c>
      <c r="M686" s="63" t="inlineStr">
        <is>
          <t>0,00</t>
        </is>
      </c>
    </row>
    <row r="687">
      <c r="A687" s="66" t="n">
        <v>46129</v>
      </c>
      <c r="B687" s="65" t="inlineStr">
        <is>
          <t>PUSD1/2026/00073</t>
        </is>
      </c>
      <c r="C687" s="65" t="n">
        <v>141</v>
      </c>
      <c r="D687" s="65" t="inlineStr">
        <is>
          <t>Megacar2020.c.a</t>
        </is>
      </c>
      <c r="E687" s="63" t="inlineStr">
        <is>
          <t>30,00</t>
        </is>
      </c>
      <c r="F687" s="65" t="inlineStr">
        <is>
          <t>USD</t>
        </is>
      </c>
      <c r="G687" s="65" t="inlineStr">
        <is>
          <t>Efectivo moneda extrajera (USD)</t>
        </is>
      </c>
      <c r="H687" s="63" t="inlineStr">
        <is>
          <t>30,00</t>
        </is>
      </c>
      <c r="I687" s="65" t="n">
        <v>135</v>
      </c>
      <c r="J687" s="65" t="inlineStr">
        <is>
          <t>00-00000568</t>
        </is>
      </c>
      <c r="K687" s="66" t="n">
        <v>46182</v>
      </c>
      <c r="L687" s="63" t="inlineStr">
        <is>
          <t>0,00</t>
        </is>
      </c>
      <c r="M687" s="63" t="inlineStr">
        <is>
          <t>0,00</t>
        </is>
      </c>
    </row>
    <row r="688">
      <c r="A688" s="66" t="n">
        <v>46129</v>
      </c>
      <c r="B688" s="65" t="inlineStr">
        <is>
          <t>PUSD1/2026/00072</t>
        </is>
      </c>
      <c r="C688" s="65" t="n">
        <v>140</v>
      </c>
      <c r="D688" s="65" t="inlineStr">
        <is>
          <t>Emprendimiento YSKRA</t>
        </is>
      </c>
      <c r="E688" s="63" t="inlineStr">
        <is>
          <t>40,00</t>
        </is>
      </c>
      <c r="F688" s="65" t="inlineStr">
        <is>
          <t>USD</t>
        </is>
      </c>
      <c r="G688" s="65" t="inlineStr">
        <is>
          <t>Efectivo moneda extrajera (USD)</t>
        </is>
      </c>
      <c r="H688" s="63" t="inlineStr">
        <is>
          <t>40,00</t>
        </is>
      </c>
      <c r="I688" s="65" t="n">
        <v>156</v>
      </c>
      <c r="J688" s="65" t="inlineStr">
        <is>
          <t>00-00000599</t>
        </is>
      </c>
      <c r="K688" s="66" t="n">
        <v>46185</v>
      </c>
      <c r="L688" s="63" t="inlineStr">
        <is>
          <t>0,00</t>
        </is>
      </c>
      <c r="M688" s="63" t="inlineStr">
        <is>
          <t>0,00</t>
        </is>
      </c>
    </row>
    <row r="689">
      <c r="A689" s="66" t="n">
        <v>46129</v>
      </c>
      <c r="B689" s="65" t="inlineStr">
        <is>
          <t>PUSD1/2026/00071</t>
        </is>
      </c>
      <c r="C689" s="65" t="n">
        <v>139</v>
      </c>
      <c r="D689" s="65" t="inlineStr">
        <is>
          <t>Devenalsa Deshidratadora Venezolana de Alimentos, S.A.</t>
        </is>
      </c>
      <c r="E689" s="63" t="inlineStr">
        <is>
          <t>514,93</t>
        </is>
      </c>
      <c r="F689" s="65" t="inlineStr">
        <is>
          <t>USD</t>
        </is>
      </c>
      <c r="G689" s="65" t="inlineStr">
        <is>
          <t>Efectivo moneda extrajera (USD)</t>
        </is>
      </c>
      <c r="H689" s="63" t="inlineStr">
        <is>
          <t>514,93</t>
        </is>
      </c>
      <c r="I689" s="65" t="n">
        <v>22</v>
      </c>
      <c r="J689" s="65" t="inlineStr">
        <is>
          <t>00-00000193</t>
        </is>
      </c>
      <c r="K689" s="66" t="n">
        <v>46129</v>
      </c>
      <c r="L689" s="63" t="inlineStr">
        <is>
          <t>0,00</t>
        </is>
      </c>
      <c r="M689" s="63" t="inlineStr">
        <is>
          <t>0,00</t>
        </is>
      </c>
    </row>
    <row r="690">
      <c r="A690" s="66" t="n">
        <v>46129</v>
      </c>
      <c r="B690" s="65" t="inlineStr">
        <is>
          <t>PUSD1/2026/00070</t>
        </is>
      </c>
      <c r="C690" s="65" t="n">
        <v>138</v>
      </c>
      <c r="D690" s="65" t="inlineStr">
        <is>
          <t>SJMG 2012 C.A</t>
        </is>
      </c>
      <c r="E690" s="63" t="inlineStr">
        <is>
          <t>210,00</t>
        </is>
      </c>
      <c r="F690" s="65" t="inlineStr">
        <is>
          <t>USD</t>
        </is>
      </c>
      <c r="G690" s="65" t="inlineStr">
        <is>
          <t>Efectivo moneda extrajera (USD)</t>
        </is>
      </c>
      <c r="H690" s="63" t="inlineStr">
        <is>
          <t>210,00</t>
        </is>
      </c>
      <c r="I690" s="65" t="n">
        <v>87</v>
      </c>
      <c r="J690" s="65" t="inlineStr">
        <is>
          <t>00-00000417</t>
        </is>
      </c>
      <c r="K690" s="66" t="n">
        <v>46163</v>
      </c>
      <c r="L690" s="63" t="inlineStr">
        <is>
          <t>0,00</t>
        </is>
      </c>
      <c r="M690" s="63" t="inlineStr">
        <is>
          <t>0,00</t>
        </is>
      </c>
    </row>
    <row r="691">
      <c r="A691" s="66" t="n">
        <v>46129</v>
      </c>
      <c r="B691" s="65" t="inlineStr">
        <is>
          <t>PUSD1/2026/00069</t>
        </is>
      </c>
      <c r="C691" s="65" t="n">
        <v>137</v>
      </c>
      <c r="D691" s="65" t="inlineStr">
        <is>
          <t>Yulendri Carolina Pineda Blanco</t>
        </is>
      </c>
      <c r="E691" s="63" t="inlineStr">
        <is>
          <t>50,00</t>
        </is>
      </c>
      <c r="F691" s="65" t="inlineStr">
        <is>
          <t>USD</t>
        </is>
      </c>
      <c r="G691" s="65" t="inlineStr">
        <is>
          <t>Efectivo moneda extrajera (USD)</t>
        </is>
      </c>
      <c r="H691" s="63" t="inlineStr">
        <is>
          <t>50,00</t>
        </is>
      </c>
      <c r="I691" s="65" t="n">
        <v>209</v>
      </c>
      <c r="J691" s="65" t="inlineStr">
        <is>
          <t>00-00000710</t>
        </is>
      </c>
      <c r="K691" s="66" t="n">
        <v>46205</v>
      </c>
      <c r="L691" s="63" t="inlineStr">
        <is>
          <t>0,00</t>
        </is>
      </c>
      <c r="M691" s="63" t="inlineStr">
        <is>
          <t>0,00</t>
        </is>
      </c>
    </row>
    <row r="692">
      <c r="A692" s="66" t="n">
        <v>46129</v>
      </c>
      <c r="B692" s="65" t="inlineStr">
        <is>
          <t>PUSD1/2026/00068</t>
        </is>
      </c>
      <c r="C692" s="65" t="n">
        <v>133</v>
      </c>
      <c r="D692" s="65" t="inlineStr">
        <is>
          <t>JONNY DAVID BOLIVAR</t>
        </is>
      </c>
      <c r="E692" s="63" t="inlineStr">
        <is>
          <t>65,00</t>
        </is>
      </c>
      <c r="F692" s="65" t="inlineStr">
        <is>
          <t>USD</t>
        </is>
      </c>
      <c r="G692" s="65" t="inlineStr">
        <is>
          <t>Efectivo moneda extrajera (USD)</t>
        </is>
      </c>
      <c r="H692" s="63" t="inlineStr">
        <is>
          <t>65,00</t>
        </is>
      </c>
      <c r="I692" s="65" t="n">
        <v>21</v>
      </c>
      <c r="J692" s="65" t="inlineStr">
        <is>
          <t>00-00000191</t>
        </is>
      </c>
      <c r="K692" s="66" t="n">
        <v>46129</v>
      </c>
      <c r="L692" s="63" t="inlineStr">
        <is>
          <t>0,00</t>
        </is>
      </c>
      <c r="M692" s="63" t="inlineStr">
        <is>
          <t>0,00</t>
        </is>
      </c>
    </row>
    <row r="693">
      <c r="A693" s="66" t="n">
        <v>46129</v>
      </c>
      <c r="B693" s="65" t="inlineStr">
        <is>
          <t>PBAMI/2026/00039</t>
        </is>
      </c>
      <c r="C693" s="65" t="n">
        <v>132</v>
      </c>
      <c r="D693" s="65" t="inlineStr">
        <is>
          <t>SERVICIOS Y MANTENIMIENTO SPACARS, C.A</t>
        </is>
      </c>
      <c r="E693" s="63" t="inlineStr">
        <is>
          <t>346.682,53</t>
        </is>
      </c>
      <c r="F693" s="65" t="inlineStr">
        <is>
          <t>VES</t>
        </is>
      </c>
      <c r="G693" s="65" t="inlineStr">
        <is>
          <t>Banco Bancamiga 7806</t>
        </is>
      </c>
      <c r="H693" s="63" t="inlineStr">
        <is>
          <t>721,87</t>
        </is>
      </c>
      <c r="I693" s="65" t="n">
        <v>20</v>
      </c>
      <c r="J693" s="65" t="inlineStr">
        <is>
          <t>00-00000188</t>
        </is>
      </c>
      <c r="K693" s="66" t="n">
        <v>46129</v>
      </c>
      <c r="L693" s="63" t="inlineStr">
        <is>
          <t>0,00</t>
        </is>
      </c>
      <c r="M693" s="63" t="inlineStr">
        <is>
          <t>0,00</t>
        </is>
      </c>
    </row>
    <row r="694">
      <c r="A694" s="66" t="n">
        <v>46128</v>
      </c>
      <c r="B694" s="65" t="inlineStr">
        <is>
          <t>PUSD1/2026/00067</t>
        </is>
      </c>
      <c r="C694" s="65" t="n">
        <v>120</v>
      </c>
      <c r="D694" s="65" t="inlineStr">
        <is>
          <t>Grupo 3030, C.A</t>
        </is>
      </c>
      <c r="E694" s="63" t="inlineStr">
        <is>
          <t>200,00</t>
        </is>
      </c>
      <c r="F694" s="65" t="inlineStr">
        <is>
          <t>USD</t>
        </is>
      </c>
      <c r="G694" s="65" t="inlineStr">
        <is>
          <t>Efectivo moneda extrajera (USD)</t>
        </is>
      </c>
      <c r="H694" s="63" t="inlineStr">
        <is>
          <t>200,00</t>
        </is>
      </c>
      <c r="I694" s="65" t="n">
        <v>168</v>
      </c>
      <c r="J694" s="65" t="inlineStr">
        <is>
          <t>00-00000611</t>
        </is>
      </c>
      <c r="K694" s="66" t="n">
        <v>46185</v>
      </c>
      <c r="L694" s="63" t="inlineStr">
        <is>
          <t>86,72</t>
        </is>
      </c>
      <c r="M694" s="63" t="inlineStr">
        <is>
          <t>0,00</t>
        </is>
      </c>
    </row>
    <row r="695">
      <c r="A695" s="66" t="n">
        <v>46128</v>
      </c>
      <c r="B695" s="65" t="inlineStr">
        <is>
          <t>PBAMI/2026/00038</t>
        </is>
      </c>
      <c r="C695" s="65" t="n">
        <v>121</v>
      </c>
      <c r="D695" s="65" t="inlineStr">
        <is>
          <t>Jose Lopez Espinoza</t>
        </is>
      </c>
      <c r="E695" s="63" t="inlineStr">
        <is>
          <t>47.977,75</t>
        </is>
      </c>
      <c r="F695" s="65" t="inlineStr">
        <is>
          <t>VES</t>
        </is>
      </c>
      <c r="G695" s="65" t="inlineStr">
        <is>
          <t>Banco Bancamiga 7806</t>
        </is>
      </c>
      <c r="H695" s="63" t="inlineStr">
        <is>
          <t>100,00</t>
        </is>
      </c>
      <c r="I695" s="65" t="n">
        <v>83</v>
      </c>
      <c r="J695" s="65" t="inlineStr">
        <is>
          <t>00-00000410</t>
        </is>
      </c>
      <c r="K695" s="66" t="n">
        <v>46163</v>
      </c>
      <c r="L695" s="63" t="inlineStr">
        <is>
          <t>1,49</t>
        </is>
      </c>
      <c r="M695" s="63" t="inlineStr">
        <is>
          <t>0,00</t>
        </is>
      </c>
    </row>
    <row r="696">
      <c r="A696" s="66" t="n">
        <v>46127</v>
      </c>
      <c r="B696" s="65" t="inlineStr">
        <is>
          <t>PUSD1/2026/00259</t>
        </is>
      </c>
      <c r="C696" s="65" t="n">
        <v>122</v>
      </c>
      <c r="D696" s="65" t="inlineStr">
        <is>
          <t>ACCESORIOS Y REPUESTOS MOTO CAR 20-11-C.A</t>
        </is>
      </c>
      <c r="E696" s="63" t="inlineStr">
        <is>
          <t>71,00</t>
        </is>
      </c>
      <c r="F696" s="65" t="inlineStr">
        <is>
          <t>USD</t>
        </is>
      </c>
      <c r="G696" s="65" t="inlineStr">
        <is>
          <t>Efectivo moneda extrajera (USD)</t>
        </is>
      </c>
      <c r="H696" s="63" t="inlineStr">
        <is>
          <t>71,00</t>
        </is>
      </c>
      <c r="I696" s="65" t="n">
        <v>204</v>
      </c>
      <c r="J696" s="65" t="inlineStr">
        <is>
          <t>00-00000701</t>
        </is>
      </c>
      <c r="K696" s="66" t="n">
        <v>46204</v>
      </c>
      <c r="L696" s="63" t="inlineStr">
        <is>
          <t>0,00</t>
        </is>
      </c>
      <c r="M696" s="63" t="inlineStr">
        <is>
          <t>0,00</t>
        </is>
      </c>
    </row>
    <row r="697">
      <c r="A697" s="66" t="n">
        <v>46127</v>
      </c>
      <c r="B697" s="65" t="inlineStr">
        <is>
          <t>PUSD1/2026/00066</t>
        </is>
      </c>
      <c r="C697" s="65" t="n">
        <v>115</v>
      </c>
      <c r="D697" s="65" t="inlineStr">
        <is>
          <t>Montura de Cauchos Biondo,c.a.</t>
        </is>
      </c>
      <c r="E697" s="63" t="inlineStr">
        <is>
          <t>200,00</t>
        </is>
      </c>
      <c r="F697" s="65" t="inlineStr">
        <is>
          <t>USD</t>
        </is>
      </c>
      <c r="G697" s="65" t="inlineStr">
        <is>
          <t>Efectivo moneda extrajera (USD)</t>
        </is>
      </c>
      <c r="H697" s="63" t="inlineStr">
        <is>
          <t>200,00</t>
        </is>
      </c>
      <c r="I697" s="65" t="n">
        <v>145</v>
      </c>
      <c r="J697" s="65" t="inlineStr">
        <is>
          <t>00-00000588</t>
        </is>
      </c>
      <c r="K697" s="66" t="n">
        <v>46185</v>
      </c>
      <c r="L697" s="63" t="inlineStr">
        <is>
          <t>0,00</t>
        </is>
      </c>
      <c r="M697" s="63" t="inlineStr">
        <is>
          <t>0,00</t>
        </is>
      </c>
    </row>
    <row r="698">
      <c r="A698" s="66" t="n">
        <v>46127</v>
      </c>
      <c r="B698" s="65" t="inlineStr">
        <is>
          <t>PUSD1/2026/00064</t>
        </is>
      </c>
      <c r="C698" s="65" t="n">
        <v>111</v>
      </c>
      <c r="D698" s="65" t="inlineStr">
        <is>
          <t>HIDRAULICAS CAICEDO C.A.</t>
        </is>
      </c>
      <c r="E698" s="63" t="inlineStr">
        <is>
          <t>68,00</t>
        </is>
      </c>
      <c r="F698" s="65" t="inlineStr">
        <is>
          <t>USD</t>
        </is>
      </c>
      <c r="G698" s="65" t="inlineStr">
        <is>
          <t>Efectivo moneda extrajera (USD)</t>
        </is>
      </c>
      <c r="H698" s="63" t="inlineStr">
        <is>
          <t>68,00</t>
        </is>
      </c>
      <c r="I698" s="65" t="n"/>
      <c r="J698" s="65" t="n"/>
      <c r="K698" s="65" t="n"/>
      <c r="L698" s="65" t="n"/>
      <c r="M698" s="65" t="n"/>
    </row>
    <row r="699">
      <c r="A699" s="66" t="n">
        <v>46127</v>
      </c>
      <c r="B699" s="65" t="inlineStr">
        <is>
          <t>PUSD1/2026/00063</t>
        </is>
      </c>
      <c r="C699" s="65" t="n">
        <v>113</v>
      </c>
      <c r="D699" s="65" t="inlineStr">
        <is>
          <t>Autoasesorio maxi motor</t>
        </is>
      </c>
      <c r="E699" s="63" t="inlineStr">
        <is>
          <t>20,00</t>
        </is>
      </c>
      <c r="F699" s="65" t="inlineStr">
        <is>
          <t>USD</t>
        </is>
      </c>
      <c r="G699" s="65" t="inlineStr">
        <is>
          <t>Efectivo moneda extrajera (USD)</t>
        </is>
      </c>
      <c r="H699" s="63" t="inlineStr">
        <is>
          <t>20,00</t>
        </is>
      </c>
      <c r="I699" s="65" t="n">
        <v>254</v>
      </c>
      <c r="J699" s="65" t="inlineStr">
        <is>
          <t>00-00000776</t>
        </is>
      </c>
      <c r="K699" s="66" t="n">
        <v>46211</v>
      </c>
      <c r="L699" s="63" t="inlineStr">
        <is>
          <t>48,01</t>
        </is>
      </c>
      <c r="M699" s="63" t="inlineStr">
        <is>
          <t>0,00</t>
        </is>
      </c>
    </row>
    <row r="700">
      <c r="A700" s="66" t="n">
        <v>46127</v>
      </c>
      <c r="B700" s="65" t="inlineStr">
        <is>
          <t>PUSD1/2026/00060</t>
        </is>
      </c>
      <c r="C700" s="65" t="n">
        <v>109</v>
      </c>
      <c r="D700" s="65" t="inlineStr">
        <is>
          <t>Emprendimiento Tomas Paz</t>
        </is>
      </c>
      <c r="E700" s="63" t="inlineStr">
        <is>
          <t>20,00</t>
        </is>
      </c>
      <c r="F700" s="65" t="inlineStr">
        <is>
          <t>USD</t>
        </is>
      </c>
      <c r="G700" s="65" t="inlineStr">
        <is>
          <t>Efectivo moneda extrajera (USD)</t>
        </is>
      </c>
      <c r="H700" s="63" t="inlineStr">
        <is>
          <t>20,00</t>
        </is>
      </c>
      <c r="I700" s="65" t="n">
        <v>259</v>
      </c>
      <c r="J700" s="65" t="inlineStr">
        <is>
          <t>00-00000796</t>
        </is>
      </c>
      <c r="K700" s="66" t="n">
        <v>46214</v>
      </c>
      <c r="L700" s="63" t="inlineStr">
        <is>
          <t>0,00</t>
        </is>
      </c>
      <c r="M700" s="63" t="inlineStr">
        <is>
          <t>0,00</t>
        </is>
      </c>
    </row>
    <row r="701">
      <c r="A701" s="66" t="n">
        <v>46127</v>
      </c>
      <c r="B701" s="65" t="inlineStr">
        <is>
          <t>PUSD1/2026/00059</t>
        </is>
      </c>
      <c r="C701" s="65" t="n">
        <v>108</v>
      </c>
      <c r="D701" s="65" t="inlineStr">
        <is>
          <t>Inversiones Famasa, C.A</t>
        </is>
      </c>
      <c r="E701" s="63" t="inlineStr">
        <is>
          <t>25,00</t>
        </is>
      </c>
      <c r="F701" s="65" t="inlineStr">
        <is>
          <t>USD</t>
        </is>
      </c>
      <c r="G701" s="65" t="inlineStr">
        <is>
          <t>Efectivo moneda extrajera (USD)</t>
        </is>
      </c>
      <c r="H701" s="63" t="inlineStr">
        <is>
          <t>25,00</t>
        </is>
      </c>
      <c r="I701" s="65" t="n"/>
      <c r="J701" s="65" t="n"/>
      <c r="K701" s="65" t="n"/>
      <c r="L701" s="65" t="n"/>
      <c r="M701" s="65" t="n"/>
    </row>
    <row r="702">
      <c r="A702" s="66" t="n">
        <v>46127</v>
      </c>
      <c r="B702" s="65" t="inlineStr">
        <is>
          <t>PBAMI/2026/00112</t>
        </is>
      </c>
      <c r="C702" s="65" t="n">
        <v>493</v>
      </c>
      <c r="D702" s="65" t="inlineStr">
        <is>
          <t>CONSTRUCTORA GRANO AGREGADO, C.A</t>
        </is>
      </c>
      <c r="E702" s="63" t="inlineStr">
        <is>
          <t>1.910.285,18</t>
        </is>
      </c>
      <c r="F702" s="65" t="inlineStr">
        <is>
          <t>VES</t>
        </is>
      </c>
      <c r="G702" s="65" t="inlineStr">
        <is>
          <t>Banco Bancamiga 7806</t>
        </is>
      </c>
      <c r="H702" s="63" t="inlineStr">
        <is>
          <t>3.991,56</t>
        </is>
      </c>
      <c r="I702" s="65" t="n">
        <v>19</v>
      </c>
      <c r="J702" s="65" t="inlineStr">
        <is>
          <t>00-00000179</t>
        </is>
      </c>
      <c r="K702" s="66" t="n">
        <v>46127</v>
      </c>
      <c r="L702" s="63" t="inlineStr">
        <is>
          <t>0,01</t>
        </is>
      </c>
      <c r="M702" s="63" t="inlineStr">
        <is>
          <t>0,00</t>
        </is>
      </c>
    </row>
    <row r="703">
      <c r="A703" s="65" t="n"/>
      <c r="B703" s="65" t="n"/>
      <c r="C703" s="65" t="n"/>
      <c r="D703" s="65" t="n"/>
      <c r="E703" s="65" t="n"/>
      <c r="F703" s="65" t="n"/>
      <c r="G703" s="65" t="n"/>
      <c r="H703" s="65" t="n"/>
      <c r="I703" s="65" t="n">
        <v>102</v>
      </c>
      <c r="J703" s="65" t="inlineStr">
        <is>
          <t>00-00000458</t>
        </is>
      </c>
      <c r="K703" s="66" t="n">
        <v>46170</v>
      </c>
      <c r="L703" s="63" t="inlineStr">
        <is>
          <t>68,88</t>
        </is>
      </c>
      <c r="M703" s="63" t="inlineStr">
        <is>
          <t>0,00</t>
        </is>
      </c>
    </row>
    <row r="704">
      <c r="A704" s="66" t="n">
        <v>46127</v>
      </c>
      <c r="B704" s="65" t="inlineStr">
        <is>
          <t>PBAMI/2026/00037</t>
        </is>
      </c>
      <c r="C704" s="65" t="n">
        <v>117</v>
      </c>
      <c r="D704" s="65" t="inlineStr">
        <is>
          <t>VAL VAL 16 C.A</t>
        </is>
      </c>
      <c r="E704" s="63" t="inlineStr">
        <is>
          <t>10.250,18</t>
        </is>
      </c>
      <c r="F704" s="65" t="inlineStr">
        <is>
          <t>VES</t>
        </is>
      </c>
      <c r="G704" s="65" t="inlineStr">
        <is>
          <t>Banco Bancamiga 7806</t>
        </is>
      </c>
      <c r="H704" s="63" t="inlineStr">
        <is>
          <t>21,42</t>
        </is>
      </c>
      <c r="I704" s="65" t="n"/>
      <c r="J704" s="65" t="n"/>
      <c r="K704" s="65" t="n"/>
      <c r="L704" s="65" t="n"/>
      <c r="M704" s="65" t="n"/>
    </row>
    <row r="705">
      <c r="A705" s="66" t="n">
        <v>46127</v>
      </c>
      <c r="B705" s="65" t="inlineStr">
        <is>
          <t>PBAMI/2026/00036</t>
        </is>
      </c>
      <c r="C705" s="65" t="n">
        <v>116</v>
      </c>
      <c r="D705" s="65" t="inlineStr">
        <is>
          <t>ZIP MARKET, CA</t>
        </is>
      </c>
      <c r="E705" s="63" t="inlineStr">
        <is>
          <t>47.379,54</t>
        </is>
      </c>
      <c r="F705" s="65" t="inlineStr">
        <is>
          <t>VES</t>
        </is>
      </c>
      <c r="G705" s="65" t="inlineStr">
        <is>
          <t>Banco Bancamiga 7806</t>
        </is>
      </c>
      <c r="H705" s="63" t="inlineStr">
        <is>
          <t>99,00</t>
        </is>
      </c>
      <c r="I705" s="65" t="n">
        <v>114</v>
      </c>
      <c r="J705" s="65" t="inlineStr">
        <is>
          <t>00-00000486</t>
        </is>
      </c>
      <c r="K705" s="66" t="n">
        <v>46175</v>
      </c>
      <c r="L705" s="63" t="inlineStr">
        <is>
          <t>0,00</t>
        </is>
      </c>
      <c r="M705" s="63" t="inlineStr">
        <is>
          <t>0,00</t>
        </is>
      </c>
    </row>
    <row r="706">
      <c r="A706" s="66" t="n">
        <v>46127</v>
      </c>
      <c r="B706" s="65" t="inlineStr">
        <is>
          <t>PBAMI/2026/00035</t>
        </is>
      </c>
      <c r="C706" s="65" t="n">
        <v>107</v>
      </c>
      <c r="D706" s="65" t="inlineStr">
        <is>
          <t>EMPRENDIMIENTO HECTOR LLAMOZA</t>
        </is>
      </c>
      <c r="E706" s="63" t="inlineStr">
        <is>
          <t>71.787,16</t>
        </is>
      </c>
      <c r="F706" s="65" t="inlineStr">
        <is>
          <t>VES</t>
        </is>
      </c>
      <c r="G706" s="65" t="inlineStr">
        <is>
          <t>Banco Bancamiga 7806</t>
        </is>
      </c>
      <c r="H706" s="63" t="inlineStr">
        <is>
          <t>150,00</t>
        </is>
      </c>
      <c r="I706" s="65" t="n">
        <v>271</v>
      </c>
      <c r="J706" s="65" t="inlineStr">
        <is>
          <t>00-00000808</t>
        </is>
      </c>
      <c r="K706" s="66" t="n">
        <v>46214</v>
      </c>
      <c r="L706" s="63" t="inlineStr">
        <is>
          <t>157,91</t>
        </is>
      </c>
      <c r="M706" s="63" t="inlineStr">
        <is>
          <t>0,00</t>
        </is>
      </c>
    </row>
    <row r="707">
      <c r="A707" s="66" t="n">
        <v>46126</v>
      </c>
      <c r="B707" s="65" t="inlineStr">
        <is>
          <t>PUSD1/2026/00062</t>
        </is>
      </c>
      <c r="C707" s="65" t="n">
        <v>112</v>
      </c>
      <c r="D707" s="65" t="inlineStr">
        <is>
          <t>Grupo 3030, C.A</t>
        </is>
      </c>
      <c r="E707" s="63" t="inlineStr">
        <is>
          <t>220,00</t>
        </is>
      </c>
      <c r="F707" s="65" t="inlineStr">
        <is>
          <t>USD</t>
        </is>
      </c>
      <c r="G707" s="65" t="inlineStr">
        <is>
          <t>Efectivo moneda extrajera (USD)</t>
        </is>
      </c>
      <c r="H707" s="63" t="inlineStr">
        <is>
          <t>220,00</t>
        </is>
      </c>
      <c r="I707" s="65" t="n">
        <v>168</v>
      </c>
      <c r="J707" s="65" t="inlineStr">
        <is>
          <t>00-00000611</t>
        </is>
      </c>
      <c r="K707" s="66" t="n">
        <v>46185</v>
      </c>
      <c r="L707" s="63" t="inlineStr">
        <is>
          <t>86,72</t>
        </is>
      </c>
      <c r="M707" s="63" t="inlineStr">
        <is>
          <t>0,00</t>
        </is>
      </c>
    </row>
    <row r="708">
      <c r="A708" s="66" t="n">
        <v>46126</v>
      </c>
      <c r="B708" s="65" t="inlineStr">
        <is>
          <t>PUSD1/2026/00056</t>
        </is>
      </c>
      <c r="C708" s="65" t="n">
        <v>101</v>
      </c>
      <c r="D708" s="65" t="inlineStr">
        <is>
          <t>Inversiones Brayan CT C.A</t>
        </is>
      </c>
      <c r="E708" s="63" t="inlineStr">
        <is>
          <t>30,00</t>
        </is>
      </c>
      <c r="F708" s="65" t="inlineStr">
        <is>
          <t>USD</t>
        </is>
      </c>
      <c r="G708" s="65" t="inlineStr">
        <is>
          <t>Efectivo moneda extrajera (USD)</t>
        </is>
      </c>
      <c r="H708" s="63" t="inlineStr">
        <is>
          <t>30,00</t>
        </is>
      </c>
      <c r="I708" s="65" t="n">
        <v>208</v>
      </c>
      <c r="J708" s="65" t="inlineStr">
        <is>
          <t>00-00000705</t>
        </is>
      </c>
      <c r="K708" s="66" t="n">
        <v>46204</v>
      </c>
      <c r="L708" s="63" t="inlineStr">
        <is>
          <t>0,00</t>
        </is>
      </c>
      <c r="M708" s="63" t="inlineStr">
        <is>
          <t>0,00</t>
        </is>
      </c>
    </row>
    <row r="709">
      <c r="A709" s="66" t="n">
        <v>46126</v>
      </c>
      <c r="B709" s="65" t="inlineStr">
        <is>
          <t>PUSD1/2026/00055</t>
        </is>
      </c>
      <c r="C709" s="65" t="n">
        <v>100</v>
      </c>
      <c r="D709" s="65" t="inlineStr">
        <is>
          <t>AUTO ACCESORIOS VZLA, C.A.</t>
        </is>
      </c>
      <c r="E709" s="63" t="inlineStr">
        <is>
          <t>46,00</t>
        </is>
      </c>
      <c r="F709" s="65" t="inlineStr">
        <is>
          <t>USD</t>
        </is>
      </c>
      <c r="G709" s="65" t="inlineStr">
        <is>
          <t>Efectivo moneda extrajera (USD)</t>
        </is>
      </c>
      <c r="H709" s="63" t="inlineStr">
        <is>
          <t>46,00</t>
        </is>
      </c>
      <c r="I709" s="65" t="n">
        <v>207</v>
      </c>
      <c r="J709" s="65" t="inlineStr">
        <is>
          <t>00-00000704</t>
        </is>
      </c>
      <c r="K709" s="66" t="n">
        <v>46204</v>
      </c>
      <c r="L709" s="63" t="inlineStr">
        <is>
          <t>0,01</t>
        </is>
      </c>
      <c r="M709" s="63" t="inlineStr">
        <is>
          <t>0,00</t>
        </is>
      </c>
    </row>
    <row r="710">
      <c r="A710" s="66" t="n">
        <v>46126</v>
      </c>
      <c r="B710" s="65" t="inlineStr">
        <is>
          <t>PBAMI/2026/00032</t>
        </is>
      </c>
      <c r="C710" s="65" t="n">
        <v>99</v>
      </c>
      <c r="D710" s="65" t="inlineStr">
        <is>
          <t>Ricardo A. Fernandez.</t>
        </is>
      </c>
      <c r="E710" s="63" t="inlineStr">
        <is>
          <t>54.000,00</t>
        </is>
      </c>
      <c r="F710" s="65" t="inlineStr">
        <is>
          <t>VES</t>
        </is>
      </c>
      <c r="G710" s="65" t="inlineStr">
        <is>
          <t>Banco Bancamiga 7806</t>
        </is>
      </c>
      <c r="H710" s="63" t="inlineStr">
        <is>
          <t>113,06</t>
        </is>
      </c>
      <c r="I710" s="65" t="n"/>
      <c r="J710" s="65" t="n"/>
      <c r="K710" s="65" t="n"/>
      <c r="L710" s="65" t="n"/>
      <c r="M710" s="65" t="n"/>
    </row>
    <row r="711">
      <c r="A711" s="66" t="n">
        <v>46125</v>
      </c>
      <c r="B711" s="65" t="inlineStr">
        <is>
          <t>PUSD1/2026/00054</t>
        </is>
      </c>
      <c r="C711" s="65" t="n">
        <v>98</v>
      </c>
      <c r="D711" s="65" t="inlineStr">
        <is>
          <t>Paola M. Aguilera Z.</t>
        </is>
      </c>
      <c r="E711" s="63" t="inlineStr">
        <is>
          <t>197,00</t>
        </is>
      </c>
      <c r="F711" s="65" t="inlineStr">
        <is>
          <t>USD</t>
        </is>
      </c>
      <c r="G711" s="65" t="inlineStr">
        <is>
          <t>Efectivo moneda extrajera (USD)</t>
        </is>
      </c>
      <c r="H711" s="63" t="inlineStr">
        <is>
          <t>197,00</t>
        </is>
      </c>
      <c r="I711" s="65" t="n">
        <v>60</v>
      </c>
      <c r="J711" s="65" t="inlineStr">
        <is>
          <t>00-00000360</t>
        </is>
      </c>
      <c r="K711" s="66" t="n">
        <v>46157</v>
      </c>
      <c r="L711" s="63" t="inlineStr">
        <is>
          <t>0,00</t>
        </is>
      </c>
      <c r="M711" s="63" t="inlineStr">
        <is>
          <t>0,00</t>
        </is>
      </c>
    </row>
    <row r="712">
      <c r="A712" s="66" t="n">
        <v>46125</v>
      </c>
      <c r="B712" s="65" t="inlineStr">
        <is>
          <t>PUSD1/2026/00053</t>
        </is>
      </c>
      <c r="C712" s="65" t="n">
        <v>97</v>
      </c>
      <c r="D712" s="65" t="inlineStr">
        <is>
          <t>Pedro Castro</t>
        </is>
      </c>
      <c r="E712" s="63" t="inlineStr">
        <is>
          <t>300,00</t>
        </is>
      </c>
      <c r="F712" s="65" t="inlineStr">
        <is>
          <t>USD</t>
        </is>
      </c>
      <c r="G712" s="65" t="inlineStr">
        <is>
          <t>Efectivo moneda extrajera (USD)</t>
        </is>
      </c>
      <c r="H712" s="63" t="inlineStr">
        <is>
          <t>300,00</t>
        </is>
      </c>
      <c r="I712" s="65" t="n">
        <v>85</v>
      </c>
      <c r="J712" s="65" t="inlineStr">
        <is>
          <t>00-00000413</t>
        </is>
      </c>
      <c r="K712" s="66" t="n">
        <v>46163</v>
      </c>
      <c r="L712" s="63" t="inlineStr">
        <is>
          <t>0,02</t>
        </is>
      </c>
      <c r="M712" s="63" t="inlineStr">
        <is>
          <t>0,00</t>
        </is>
      </c>
    </row>
    <row r="713">
      <c r="A713" s="66" t="n">
        <v>46125</v>
      </c>
      <c r="B713" s="65" t="inlineStr">
        <is>
          <t>PUSD1/2026/00052</t>
        </is>
      </c>
      <c r="C713" s="65" t="n">
        <v>92</v>
      </c>
      <c r="D713" s="65" t="inlineStr">
        <is>
          <t>INVERSIONES JOSCAR XXI, S.A.</t>
        </is>
      </c>
      <c r="E713" s="63" t="inlineStr">
        <is>
          <t>60,00</t>
        </is>
      </c>
      <c r="F713" s="65" t="inlineStr">
        <is>
          <t>USD</t>
        </is>
      </c>
      <c r="G713" s="65" t="inlineStr">
        <is>
          <t>Efectivo moneda extrajera (USD)</t>
        </is>
      </c>
      <c r="H713" s="63" t="inlineStr">
        <is>
          <t>60,00</t>
        </is>
      </c>
      <c r="I713" s="65" t="n">
        <v>80</v>
      </c>
      <c r="J713" s="65" t="inlineStr">
        <is>
          <t>00-00000400</t>
        </is>
      </c>
      <c r="K713" s="66" t="n">
        <v>46162</v>
      </c>
      <c r="L713" s="63" t="inlineStr">
        <is>
          <t>5,58</t>
        </is>
      </c>
      <c r="M713" s="63" t="inlineStr">
        <is>
          <t>0,00</t>
        </is>
      </c>
    </row>
    <row r="714">
      <c r="A714" s="66" t="n">
        <v>46125</v>
      </c>
      <c r="B714" s="65" t="inlineStr">
        <is>
          <t>PBDV/2026/00046</t>
        </is>
      </c>
      <c r="C714" s="65" t="n">
        <v>94</v>
      </c>
      <c r="D714" s="65" t="inlineStr">
        <is>
          <t>DISTRIBUIDORA PINOS 181297 C.A</t>
        </is>
      </c>
      <c r="E714" s="63" t="inlineStr">
        <is>
          <t>44.031,13</t>
        </is>
      </c>
      <c r="F714" s="65" t="inlineStr">
        <is>
          <t>VES</t>
        </is>
      </c>
      <c r="G714" s="65" t="inlineStr">
        <is>
          <t>Banco de Venezuela 6891</t>
        </is>
      </c>
      <c r="H714" s="63" t="inlineStr">
        <is>
          <t>92,28</t>
        </is>
      </c>
      <c r="I714" s="65" t="n"/>
      <c r="J714" s="65" t="n"/>
      <c r="K714" s="65" t="n"/>
      <c r="L714" s="65" t="n"/>
      <c r="M714" s="65" t="n"/>
    </row>
    <row r="715">
      <c r="A715" s="66" t="n">
        <v>46125</v>
      </c>
      <c r="B715" s="65" t="inlineStr">
        <is>
          <t>PBAMI/2026/00031</t>
        </is>
      </c>
      <c r="C715" s="65" t="n">
        <v>96</v>
      </c>
      <c r="D715" s="65" t="inlineStr">
        <is>
          <t>Inversiones Famasa, C.A</t>
        </is>
      </c>
      <c r="E715" s="63" t="inlineStr">
        <is>
          <t>42.880,00</t>
        </is>
      </c>
      <c r="F715" s="65" t="inlineStr">
        <is>
          <t>VES</t>
        </is>
      </c>
      <c r="G715" s="65" t="inlineStr">
        <is>
          <t>Banco Bancamiga 7806</t>
        </is>
      </c>
      <c r="H715" s="63" t="inlineStr">
        <is>
          <t>89,87</t>
        </is>
      </c>
      <c r="I715" s="65" t="n"/>
      <c r="J715" s="65" t="n"/>
      <c r="K715" s="65" t="n"/>
      <c r="L715" s="65" t="n"/>
      <c r="M715" s="65" t="n"/>
    </row>
    <row r="716">
      <c r="A716" s="66" t="n">
        <v>46125</v>
      </c>
      <c r="B716" s="65" t="inlineStr">
        <is>
          <t>PBAMI/2026/00030</t>
        </is>
      </c>
      <c r="C716" s="65" t="n">
        <v>95</v>
      </c>
      <c r="D716" s="65" t="inlineStr">
        <is>
          <t>Inversiones maxgad &amp; ef</t>
        </is>
      </c>
      <c r="E716" s="63" t="inlineStr">
        <is>
          <t>27.712,80</t>
        </is>
      </c>
      <c r="F716" s="65" t="inlineStr">
        <is>
          <t>VES</t>
        </is>
      </c>
      <c r="G716" s="65" t="inlineStr">
        <is>
          <t>Banco Bancamiga 7806</t>
        </is>
      </c>
      <c r="H716" s="63" t="inlineStr">
        <is>
          <t>58,08</t>
        </is>
      </c>
      <c r="I716" s="65" t="n"/>
      <c r="J716" s="65" t="n"/>
      <c r="K716" s="65" t="n"/>
      <c r="L716" s="65" t="n"/>
      <c r="M716" s="65" t="n"/>
    </row>
    <row r="717">
      <c r="A717" s="66" t="n">
        <v>46125</v>
      </c>
      <c r="B717" s="65" t="inlineStr">
        <is>
          <t>PBAMI/2026/00028</t>
        </is>
      </c>
      <c r="C717" s="65" t="n">
        <v>93</v>
      </c>
      <c r="D717" s="65" t="inlineStr">
        <is>
          <t>E&amp;M CAR SHOP C.A</t>
        </is>
      </c>
      <c r="E717" s="63" t="inlineStr">
        <is>
          <t>239.762,85</t>
        </is>
      </c>
      <c r="F717" s="65" t="inlineStr">
        <is>
          <t>VES</t>
        </is>
      </c>
      <c r="G717" s="65" t="inlineStr">
        <is>
          <t>Banco Bancamiga 7806</t>
        </is>
      </c>
      <c r="H717" s="63" t="inlineStr">
        <is>
          <t>502,49</t>
        </is>
      </c>
      <c r="I717" s="65" t="n">
        <v>126</v>
      </c>
      <c r="J717" s="65" t="inlineStr">
        <is>
          <t>00-00000538</t>
        </is>
      </c>
      <c r="K717" s="66" t="n">
        <v>46182</v>
      </c>
      <c r="L717" s="63" t="inlineStr">
        <is>
          <t>0,00</t>
        </is>
      </c>
      <c r="M717" s="63" t="inlineStr">
        <is>
          <t>0,00</t>
        </is>
      </c>
    </row>
    <row r="718">
      <c r="A718" s="66" t="n">
        <v>46122</v>
      </c>
      <c r="B718" s="65" t="inlineStr">
        <is>
          <t>PUSD1/2026/00051</t>
        </is>
      </c>
      <c r="C718" s="65" t="n">
        <v>91</v>
      </c>
      <c r="D718" s="65" t="inlineStr">
        <is>
          <t>Motorepuestos HD 94, C.A</t>
        </is>
      </c>
      <c r="E718" s="63" t="inlineStr">
        <is>
          <t>107,00</t>
        </is>
      </c>
      <c r="F718" s="65" t="inlineStr">
        <is>
          <t>USD</t>
        </is>
      </c>
      <c r="G718" s="65" t="inlineStr">
        <is>
          <t>Efectivo moneda extrajera (USD)</t>
        </is>
      </c>
      <c r="H718" s="63" t="inlineStr">
        <is>
          <t>107,00</t>
        </is>
      </c>
      <c r="I718" s="65" t="n">
        <v>70</v>
      </c>
      <c r="J718" s="65" t="inlineStr">
        <is>
          <t>00-00000384</t>
        </is>
      </c>
      <c r="K718" s="66" t="n">
        <v>46161</v>
      </c>
      <c r="L718" s="63" t="inlineStr">
        <is>
          <t>0,00</t>
        </is>
      </c>
      <c r="M718" s="63" t="inlineStr">
        <is>
          <t>0,00</t>
        </is>
      </c>
    </row>
    <row r="719">
      <c r="A719" s="66" t="n">
        <v>46122</v>
      </c>
      <c r="B719" s="65" t="inlineStr">
        <is>
          <t>PUSD1/2026/00050</t>
        </is>
      </c>
      <c r="C719" s="65" t="n">
        <v>90</v>
      </c>
      <c r="D719" s="65" t="inlineStr">
        <is>
          <t>Grupo 3030, C.A</t>
        </is>
      </c>
      <c r="E719" s="63" t="inlineStr">
        <is>
          <t>500,00</t>
        </is>
      </c>
      <c r="F719" s="65" t="inlineStr">
        <is>
          <t>USD</t>
        </is>
      </c>
      <c r="G719" s="65" t="inlineStr">
        <is>
          <t>Efectivo moneda extrajera (USD)</t>
        </is>
      </c>
      <c r="H719" s="63" t="inlineStr">
        <is>
          <t>500,00</t>
        </is>
      </c>
      <c r="I719" s="65" t="n">
        <v>168</v>
      </c>
      <c r="J719" s="65" t="inlineStr">
        <is>
          <t>00-00000611</t>
        </is>
      </c>
      <c r="K719" s="66" t="n">
        <v>46185</v>
      </c>
      <c r="L719" s="63" t="inlineStr">
        <is>
          <t>86,72</t>
        </is>
      </c>
      <c r="M719" s="63" t="inlineStr">
        <is>
          <t>0,00</t>
        </is>
      </c>
    </row>
    <row r="720">
      <c r="A720" s="66" t="n">
        <v>46122</v>
      </c>
      <c r="B720" s="65" t="inlineStr">
        <is>
          <t>PUSD1/2026/00049</t>
        </is>
      </c>
      <c r="C720" s="65" t="n">
        <v>86</v>
      </c>
      <c r="D720" s="65" t="inlineStr">
        <is>
          <t>Dimas Ortíz</t>
        </is>
      </c>
      <c r="E720" s="63" t="inlineStr">
        <is>
          <t>220,00</t>
        </is>
      </c>
      <c r="F720" s="65" t="inlineStr">
        <is>
          <t>USD</t>
        </is>
      </c>
      <c r="G720" s="65" t="inlineStr">
        <is>
          <t>Efectivo moneda extrajera (USD)</t>
        </is>
      </c>
      <c r="H720" s="63" t="inlineStr">
        <is>
          <t>220,00</t>
        </is>
      </c>
      <c r="I720" s="65" t="n">
        <v>100</v>
      </c>
      <c r="J720" s="65" t="inlineStr">
        <is>
          <t>00-00000454</t>
        </is>
      </c>
      <c r="K720" s="66" t="n">
        <v>46163</v>
      </c>
      <c r="L720" s="63" t="inlineStr">
        <is>
          <t>0,03</t>
        </is>
      </c>
      <c r="M720" s="63" t="inlineStr">
        <is>
          <t>0,00</t>
        </is>
      </c>
    </row>
    <row r="721">
      <c r="A721" s="66" t="n">
        <v>46122</v>
      </c>
      <c r="B721" s="65" t="inlineStr">
        <is>
          <t>PUSD1/2026/00048</t>
        </is>
      </c>
      <c r="C721" s="65" t="n">
        <v>85</v>
      </c>
      <c r="D721" s="65" t="inlineStr">
        <is>
          <t>Motolavado Yahir</t>
        </is>
      </c>
      <c r="E721" s="63" t="inlineStr">
        <is>
          <t>60,00</t>
        </is>
      </c>
      <c r="F721" s="65" t="inlineStr">
        <is>
          <t>USD</t>
        </is>
      </c>
      <c r="G721" s="65" t="inlineStr">
        <is>
          <t>Efectivo moneda extrajera (USD)</t>
        </is>
      </c>
      <c r="H721" s="63" t="inlineStr">
        <is>
          <t>60,00</t>
        </is>
      </c>
      <c r="I721" s="65" t="n">
        <v>206</v>
      </c>
      <c r="J721" s="65" t="inlineStr">
        <is>
          <t>00-00000703</t>
        </is>
      </c>
      <c r="K721" s="66" t="n">
        <v>46204</v>
      </c>
      <c r="L721" s="63" t="inlineStr">
        <is>
          <t>0,00</t>
        </is>
      </c>
      <c r="M721" s="63" t="inlineStr">
        <is>
          <t>0,00</t>
        </is>
      </c>
    </row>
    <row r="722">
      <c r="A722" s="66" t="n">
        <v>46122</v>
      </c>
      <c r="B722" s="65" t="inlineStr">
        <is>
          <t>PBAMI/2026/00114</t>
        </is>
      </c>
      <c r="C722" s="65" t="n">
        <v>496</v>
      </c>
      <c r="D722" s="65" t="inlineStr">
        <is>
          <t>AREA58 2022, C.A.</t>
        </is>
      </c>
      <c r="E722" s="63" t="inlineStr">
        <is>
          <t>560.948,68</t>
        </is>
      </c>
      <c r="F722" s="65" t="inlineStr">
        <is>
          <t>VES</t>
        </is>
      </c>
      <c r="G722" s="65" t="inlineStr">
        <is>
          <t>Banco Bancamiga 7806</t>
        </is>
      </c>
      <c r="H722" s="63" t="inlineStr">
        <is>
          <t>1.177,39</t>
        </is>
      </c>
      <c r="I722" s="65" t="n">
        <v>17</v>
      </c>
      <c r="J722" s="65" t="inlineStr">
        <is>
          <t>00-00000153</t>
        </is>
      </c>
      <c r="K722" s="66" t="n">
        <v>46122</v>
      </c>
      <c r="L722" s="63" t="inlineStr">
        <is>
          <t>0,00</t>
        </is>
      </c>
      <c r="M722" s="63" t="inlineStr">
        <is>
          <t>0,00</t>
        </is>
      </c>
    </row>
    <row r="723">
      <c r="A723" s="66" t="n">
        <v>46122</v>
      </c>
      <c r="B723" s="65" t="inlineStr">
        <is>
          <t>PBAMI/2026/00027</t>
        </is>
      </c>
      <c r="C723" s="65" t="n">
        <v>89</v>
      </c>
      <c r="D723" s="65" t="inlineStr">
        <is>
          <t>TorniRepuesto BA 2015, C.A</t>
        </is>
      </c>
      <c r="E723" s="63" t="inlineStr">
        <is>
          <t>40.080,00</t>
        </is>
      </c>
      <c r="F723" s="65" t="inlineStr">
        <is>
          <t>VES</t>
        </is>
      </c>
      <c r="G723" s="65" t="inlineStr">
        <is>
          <t>Banco Bancamiga 7806</t>
        </is>
      </c>
      <c r="H723" s="63" t="inlineStr">
        <is>
          <t>84,12</t>
        </is>
      </c>
      <c r="I723" s="65" t="n">
        <v>165</v>
      </c>
      <c r="J723" s="65" t="inlineStr">
        <is>
          <t>00-00000608</t>
        </is>
      </c>
      <c r="K723" s="66" t="n">
        <v>46185</v>
      </c>
      <c r="L723" s="63" t="inlineStr">
        <is>
          <t>0,00</t>
        </is>
      </c>
      <c r="M723" s="63" t="inlineStr">
        <is>
          <t>0,00</t>
        </is>
      </c>
    </row>
    <row r="724">
      <c r="A724" s="65" t="n"/>
      <c r="B724" s="65" t="n"/>
      <c r="C724" s="65" t="n"/>
      <c r="D724" s="65" t="n"/>
      <c r="E724" s="65" t="n"/>
      <c r="F724" s="65" t="n"/>
      <c r="G724" s="65" t="n"/>
      <c r="H724" s="65" t="n"/>
      <c r="I724" s="65" t="n">
        <v>228</v>
      </c>
      <c r="J724" s="65" t="inlineStr">
        <is>
          <t>00-00000750</t>
        </is>
      </c>
      <c r="K724" s="66" t="n">
        <v>46210</v>
      </c>
      <c r="L724" s="63" t="inlineStr">
        <is>
          <t>65,96</t>
        </is>
      </c>
      <c r="M724" s="63" t="inlineStr">
        <is>
          <t>0,00</t>
        </is>
      </c>
    </row>
    <row r="725">
      <c r="A725" s="66" t="n">
        <v>46122</v>
      </c>
      <c r="B725" s="65" t="inlineStr">
        <is>
          <t>PBAMI/2026/00026</t>
        </is>
      </c>
      <c r="C725" s="65" t="n">
        <v>88</v>
      </c>
      <c r="D725" s="65" t="inlineStr">
        <is>
          <t>VAL VAL 16 C.A</t>
        </is>
      </c>
      <c r="E725" s="63" t="inlineStr">
        <is>
          <t>24.860,48</t>
        </is>
      </c>
      <c r="F725" s="65" t="inlineStr">
        <is>
          <t>VES</t>
        </is>
      </c>
      <c r="G725" s="65" t="inlineStr">
        <is>
          <t>Banco Bancamiga 7806</t>
        </is>
      </c>
      <c r="H725" s="63" t="inlineStr">
        <is>
          <t>52,18</t>
        </is>
      </c>
      <c r="I725" s="65" t="n"/>
      <c r="J725" s="65" t="n"/>
      <c r="K725" s="65" t="n"/>
      <c r="L725" s="65" t="n"/>
      <c r="M725" s="65" t="n"/>
    </row>
    <row r="726">
      <c r="A726" s="66" t="n">
        <v>46122</v>
      </c>
      <c r="B726" s="65" t="inlineStr">
        <is>
          <t>PBAMI/2026/00025</t>
        </is>
      </c>
      <c r="C726" s="65" t="n">
        <v>87</v>
      </c>
      <c r="D726" s="65" t="inlineStr">
        <is>
          <t>VAL VAL 16 C.A</t>
        </is>
      </c>
      <c r="E726" s="63" t="inlineStr">
        <is>
          <t>56.890,75</t>
        </is>
      </c>
      <c r="F726" s="65" t="inlineStr">
        <is>
          <t>VES</t>
        </is>
      </c>
      <c r="G726" s="65" t="inlineStr">
        <is>
          <t>Banco Bancamiga 7806</t>
        </is>
      </c>
      <c r="H726" s="63" t="inlineStr">
        <is>
          <t>119,41</t>
        </is>
      </c>
      <c r="I726" s="65" t="n"/>
      <c r="J726" s="65" t="n"/>
      <c r="K726" s="65" t="n"/>
      <c r="L726" s="65" t="n"/>
      <c r="M726" s="65" t="n"/>
    </row>
    <row r="727">
      <c r="A727" s="66" t="n">
        <v>46122</v>
      </c>
      <c r="B727" s="65" t="inlineStr">
        <is>
          <t>PBAMI/2026/00024</t>
        </is>
      </c>
      <c r="C727" s="65" t="n">
        <v>84</v>
      </c>
      <c r="D727" s="65" t="inlineStr">
        <is>
          <t>Moto repuestos jj</t>
        </is>
      </c>
      <c r="E727" s="63" t="inlineStr">
        <is>
          <t>7.020,00</t>
        </is>
      </c>
      <c r="F727" s="65" t="inlineStr">
        <is>
          <t>VES</t>
        </is>
      </c>
      <c r="G727" s="65" t="inlineStr">
        <is>
          <t>Banco Bancamiga 7806</t>
        </is>
      </c>
      <c r="H727" s="63" t="inlineStr">
        <is>
          <t>14,73</t>
        </is>
      </c>
      <c r="I727" s="65" t="n">
        <v>101</v>
      </c>
      <c r="J727" s="65" t="inlineStr">
        <is>
          <t>00-00000455</t>
        </is>
      </c>
      <c r="K727" s="66" t="n">
        <v>46169</v>
      </c>
      <c r="L727" s="63" t="inlineStr">
        <is>
          <t>58,83</t>
        </is>
      </c>
      <c r="M727" s="63" t="inlineStr">
        <is>
          <t>0,00</t>
        </is>
      </c>
    </row>
    <row r="728">
      <c r="A728" s="66" t="n">
        <v>46121</v>
      </c>
      <c r="B728" s="65" t="inlineStr">
        <is>
          <t>PUSD1/2026/00450</t>
        </is>
      </c>
      <c r="C728" s="65" t="n">
        <v>872</v>
      </c>
      <c r="D728" s="65" t="inlineStr">
        <is>
          <t>Anthony Jose Quijada Diaz.</t>
        </is>
      </c>
      <c r="E728" s="63" t="inlineStr">
        <is>
          <t>345,00</t>
        </is>
      </c>
      <c r="F728" s="65" t="inlineStr">
        <is>
          <t>USD</t>
        </is>
      </c>
      <c r="G728" s="65" t="inlineStr">
        <is>
          <t>Efectivo moneda extrajera (USD)</t>
        </is>
      </c>
      <c r="H728" s="63" t="inlineStr">
        <is>
          <t>345,00</t>
        </is>
      </c>
      <c r="I728" s="65" t="n">
        <v>205</v>
      </c>
      <c r="J728" s="65" t="inlineStr">
        <is>
          <t>00-00000702</t>
        </is>
      </c>
      <c r="K728" s="66" t="n">
        <v>46204</v>
      </c>
      <c r="L728" s="63" t="inlineStr">
        <is>
          <t>0,01</t>
        </is>
      </c>
      <c r="M728" s="63" t="inlineStr">
        <is>
          <t>0,00</t>
        </is>
      </c>
    </row>
    <row r="729">
      <c r="A729" s="66" t="n">
        <v>46121</v>
      </c>
      <c r="B729" s="65" t="inlineStr">
        <is>
          <t>PUSD1/2026/00203</t>
        </is>
      </c>
      <c r="C729" s="65" t="n">
        <v>401</v>
      </c>
      <c r="D729" s="65" t="inlineStr">
        <is>
          <t>Neykel Quevedo</t>
        </is>
      </c>
      <c r="E729" s="63" t="inlineStr">
        <is>
          <t>4,00</t>
        </is>
      </c>
      <c r="F729" s="65" t="inlineStr">
        <is>
          <t>USD</t>
        </is>
      </c>
      <c r="G729" s="65" t="inlineStr">
        <is>
          <t>Efectivo moneda extrajera (USD)</t>
        </is>
      </c>
      <c r="H729" s="63" t="inlineStr">
        <is>
          <t>4,00</t>
        </is>
      </c>
      <c r="I729" s="65" t="n">
        <v>118</v>
      </c>
      <c r="J729" s="65" t="inlineStr">
        <is>
          <t>00-00000490</t>
        </is>
      </c>
      <c r="K729" s="66" t="n">
        <v>46175</v>
      </c>
      <c r="L729" s="63" t="inlineStr">
        <is>
          <t>0,00</t>
        </is>
      </c>
      <c r="M729" s="63" t="inlineStr">
        <is>
          <t>0,00</t>
        </is>
      </c>
    </row>
    <row r="730">
      <c r="A730" s="66" t="n">
        <v>46121</v>
      </c>
      <c r="B730" s="65" t="inlineStr">
        <is>
          <t>PUSD1/2026/00202</t>
        </is>
      </c>
      <c r="C730" s="65" t="n">
        <v>400</v>
      </c>
      <c r="D730" s="65" t="inlineStr">
        <is>
          <t>Auto Repuestos Acal C.A</t>
        </is>
      </c>
      <c r="E730" s="63" t="inlineStr">
        <is>
          <t>46,00</t>
        </is>
      </c>
      <c r="F730" s="65" t="inlineStr">
        <is>
          <t>USD</t>
        </is>
      </c>
      <c r="G730" s="65" t="inlineStr">
        <is>
          <t>Efectivo moneda extrajera (USD)</t>
        </is>
      </c>
      <c r="H730" s="63" t="inlineStr">
        <is>
          <t>46,00</t>
        </is>
      </c>
      <c r="I730" s="65" t="n">
        <v>63</v>
      </c>
      <c r="J730" s="65" t="inlineStr">
        <is>
          <t>00-00000376</t>
        </is>
      </c>
      <c r="K730" s="66" t="n">
        <v>46161</v>
      </c>
      <c r="L730" s="63" t="inlineStr">
        <is>
          <t>0,00</t>
        </is>
      </c>
      <c r="M730" s="63" t="inlineStr">
        <is>
          <t>0,00</t>
        </is>
      </c>
    </row>
    <row r="731">
      <c r="A731" s="66" t="n">
        <v>46121</v>
      </c>
      <c r="B731" s="65" t="inlineStr">
        <is>
          <t>PUSD1/2026/00185</t>
        </is>
      </c>
      <c r="C731" s="65" t="n">
        <v>370</v>
      </c>
      <c r="D731" s="65" t="inlineStr">
        <is>
          <t>Paola M. Aguilera Z.</t>
        </is>
      </c>
      <c r="E731" s="63" t="inlineStr">
        <is>
          <t>681,00</t>
        </is>
      </c>
      <c r="F731" s="65" t="inlineStr">
        <is>
          <t>USD</t>
        </is>
      </c>
      <c r="G731" s="65" t="inlineStr">
        <is>
          <t>Efectivo moneda extrajera (USD)</t>
        </is>
      </c>
      <c r="H731" s="63" t="inlineStr">
        <is>
          <t>681,00</t>
        </is>
      </c>
      <c r="I731" s="65" t="n">
        <v>16</v>
      </c>
      <c r="J731" s="65" t="inlineStr">
        <is>
          <t>00-00000149</t>
        </is>
      </c>
      <c r="K731" s="66" t="n">
        <v>46121</v>
      </c>
      <c r="L731" s="63" t="inlineStr">
        <is>
          <t>0,00</t>
        </is>
      </c>
      <c r="M731" s="63" t="inlineStr">
        <is>
          <t>0,00</t>
        </is>
      </c>
    </row>
    <row r="732">
      <c r="A732" s="65" t="n"/>
      <c r="B732" s="65" t="n"/>
      <c r="C732" s="65" t="n"/>
      <c r="D732" s="65" t="n"/>
      <c r="E732" s="65" t="n"/>
      <c r="F732" s="65" t="n"/>
      <c r="G732" s="65" t="n"/>
      <c r="H732" s="65" t="n"/>
      <c r="I732" s="65" t="n">
        <v>60</v>
      </c>
      <c r="J732" s="65" t="inlineStr">
        <is>
          <t>00-00000360</t>
        </is>
      </c>
      <c r="K732" s="66" t="n">
        <v>46157</v>
      </c>
      <c r="L732" s="63" t="inlineStr">
        <is>
          <t>0,00</t>
        </is>
      </c>
      <c r="M732" s="63" t="inlineStr">
        <is>
          <t>0,00</t>
        </is>
      </c>
    </row>
    <row r="733">
      <c r="A733" s="66" t="n">
        <v>46121</v>
      </c>
      <c r="B733" s="65" t="inlineStr">
        <is>
          <t>PUSD1/2026/00030</t>
        </is>
      </c>
      <c r="C733" s="65" t="n">
        <v>61</v>
      </c>
      <c r="D733" s="65" t="inlineStr">
        <is>
          <t>Jose Angel Gutierrez Rodriguez</t>
        </is>
      </c>
      <c r="E733" s="63" t="inlineStr">
        <is>
          <t>50,00</t>
        </is>
      </c>
      <c r="F733" s="65" t="inlineStr">
        <is>
          <t>USD</t>
        </is>
      </c>
      <c r="G733" s="65" t="inlineStr">
        <is>
          <t>Efectivo moneda extrajera (USD)</t>
        </is>
      </c>
      <c r="H733" s="63" t="inlineStr">
        <is>
          <t>50,00</t>
        </is>
      </c>
      <c r="I733" s="65" t="n">
        <v>68</v>
      </c>
      <c r="J733" s="65" t="inlineStr">
        <is>
          <t>00-00000382</t>
        </is>
      </c>
      <c r="K733" s="66" t="n">
        <v>46161</v>
      </c>
      <c r="L733" s="63" t="inlineStr">
        <is>
          <t>0,00</t>
        </is>
      </c>
      <c r="M733" s="63" t="inlineStr">
        <is>
          <t>0,00</t>
        </is>
      </c>
    </row>
    <row r="734">
      <c r="A734" s="66" t="n">
        <v>46121</v>
      </c>
      <c r="B734" s="65" t="inlineStr">
        <is>
          <t>PUSD1/2026/00029</t>
        </is>
      </c>
      <c r="C734" s="65" t="n">
        <v>60</v>
      </c>
      <c r="D734" s="65" t="inlineStr">
        <is>
          <t>Emprendimiento Yeizon Villaroel</t>
        </is>
      </c>
      <c r="E734" s="63" t="inlineStr">
        <is>
          <t>128,00</t>
        </is>
      </c>
      <c r="F734" s="65" t="inlineStr">
        <is>
          <t>USD</t>
        </is>
      </c>
      <c r="G734" s="65" t="inlineStr">
        <is>
          <t>Efectivo moneda extrajera (USD)</t>
        </is>
      </c>
      <c r="H734" s="63" t="inlineStr">
        <is>
          <t>128,00</t>
        </is>
      </c>
      <c r="I734" s="65" t="n">
        <v>31</v>
      </c>
      <c r="J734" s="65" t="inlineStr">
        <is>
          <t>00-00000274</t>
        </is>
      </c>
      <c r="K734" s="66" t="n">
        <v>46149</v>
      </c>
      <c r="L734" s="63" t="inlineStr">
        <is>
          <t>0,00</t>
        </is>
      </c>
      <c r="M734" s="63" t="inlineStr">
        <is>
          <t>0,00</t>
        </is>
      </c>
    </row>
    <row r="735">
      <c r="A735" s="66" t="n">
        <v>46121</v>
      </c>
      <c r="B735" s="65" t="inlineStr">
        <is>
          <t>PUSD1/2026/00028</t>
        </is>
      </c>
      <c r="C735" s="65" t="n">
        <v>58</v>
      </c>
      <c r="D735" s="65" t="inlineStr">
        <is>
          <t>Moto Repuestos Sanz 11. C.A.</t>
        </is>
      </c>
      <c r="E735" s="63" t="inlineStr">
        <is>
          <t>90,00</t>
        </is>
      </c>
      <c r="F735" s="65" t="inlineStr">
        <is>
          <t>USD</t>
        </is>
      </c>
      <c r="G735" s="65" t="inlineStr">
        <is>
          <t>Efectivo moneda extrajera (USD)</t>
        </is>
      </c>
      <c r="H735" s="63" t="inlineStr">
        <is>
          <t>90,00</t>
        </is>
      </c>
      <c r="I735" s="65" t="n">
        <v>66</v>
      </c>
      <c r="J735" s="65" t="inlineStr">
        <is>
          <t>00-00000380</t>
        </is>
      </c>
      <c r="K735" s="66" t="n">
        <v>46161</v>
      </c>
      <c r="L735" s="63" t="inlineStr">
        <is>
          <t>0,00</t>
        </is>
      </c>
      <c r="M735" s="63" t="inlineStr">
        <is>
          <t>0,00</t>
        </is>
      </c>
    </row>
    <row r="736">
      <c r="A736" s="66" t="n">
        <v>46121</v>
      </c>
      <c r="B736" s="65" t="inlineStr">
        <is>
          <t>PUSD1/2026/00027</t>
        </is>
      </c>
      <c r="C736" s="65" t="n">
        <v>57</v>
      </c>
      <c r="D736" s="65" t="inlineStr">
        <is>
          <t>Junior Marco Antonio Vivas Navas</t>
        </is>
      </c>
      <c r="E736" s="63" t="inlineStr">
        <is>
          <t>38,00</t>
        </is>
      </c>
      <c r="F736" s="65" t="inlineStr">
        <is>
          <t>USD</t>
        </is>
      </c>
      <c r="G736" s="65" t="inlineStr">
        <is>
          <t>Efectivo moneda extrajera (USD)</t>
        </is>
      </c>
      <c r="H736" s="63" t="inlineStr">
        <is>
          <t>38,00</t>
        </is>
      </c>
      <c r="I736" s="65" t="n">
        <v>51</v>
      </c>
      <c r="J736" s="65" t="inlineStr">
        <is>
          <t>00-00000331</t>
        </is>
      </c>
      <c r="K736" s="66" t="n">
        <v>46155</v>
      </c>
      <c r="L736" s="63" t="inlineStr">
        <is>
          <t>0,00</t>
        </is>
      </c>
      <c r="M736" s="63" t="inlineStr">
        <is>
          <t>0,00</t>
        </is>
      </c>
    </row>
    <row r="737">
      <c r="A737" s="66" t="n">
        <v>46121</v>
      </c>
      <c r="B737" s="65" t="inlineStr">
        <is>
          <t>PUSD1/2026/00026</t>
        </is>
      </c>
      <c r="C737" s="65" t="n">
        <v>55</v>
      </c>
      <c r="D737" s="65" t="inlineStr">
        <is>
          <t>EMPRENDIMIENTO IRMA RODRIGUEZ 6</t>
        </is>
      </c>
      <c r="E737" s="63" t="inlineStr">
        <is>
          <t>143,00</t>
        </is>
      </c>
      <c r="F737" s="65" t="inlineStr">
        <is>
          <t>USD</t>
        </is>
      </c>
      <c r="G737" s="65" t="inlineStr">
        <is>
          <t>Efectivo moneda extrajera (USD)</t>
        </is>
      </c>
      <c r="H737" s="63" t="inlineStr">
        <is>
          <t>143,00</t>
        </is>
      </c>
      <c r="I737" s="65" t="n">
        <v>15</v>
      </c>
      <c r="J737" s="65" t="inlineStr">
        <is>
          <t>00-00000148</t>
        </is>
      </c>
      <c r="K737" s="66" t="n">
        <v>46121</v>
      </c>
      <c r="L737" s="63" t="inlineStr">
        <is>
          <t>0,09</t>
        </is>
      </c>
      <c r="M737" s="63" t="inlineStr">
        <is>
          <t>0,00</t>
        </is>
      </c>
    </row>
    <row r="738">
      <c r="A738" s="66" t="n">
        <v>46121</v>
      </c>
      <c r="B738" s="65" t="inlineStr">
        <is>
          <t>PUSD1/2026/00025</t>
        </is>
      </c>
      <c r="C738" s="65" t="n">
        <v>54</v>
      </c>
      <c r="D738" s="65" t="inlineStr">
        <is>
          <t>Paola M. Aguilera Z.</t>
        </is>
      </c>
      <c r="E738" s="63" t="inlineStr">
        <is>
          <t>681,00</t>
        </is>
      </c>
      <c r="F738" s="65" t="inlineStr">
        <is>
          <t>USD</t>
        </is>
      </c>
      <c r="G738" s="65" t="inlineStr">
        <is>
          <t>Efectivo moneda extrajera (USD)</t>
        </is>
      </c>
      <c r="H738" s="63" t="inlineStr">
        <is>
          <t>681,00</t>
        </is>
      </c>
      <c r="I738" s="65" t="n"/>
      <c r="J738" s="65" t="n"/>
      <c r="K738" s="65" t="n"/>
      <c r="L738" s="65" t="n"/>
      <c r="M738" s="65" t="n"/>
    </row>
    <row r="739">
      <c r="A739" s="66" t="n">
        <v>46121</v>
      </c>
      <c r="B739" s="65" t="inlineStr">
        <is>
          <t>PBAMI/2026/00266</t>
        </is>
      </c>
      <c r="C739" s="65" t="n">
        <v>1002</v>
      </c>
      <c r="D739" s="65" t="inlineStr">
        <is>
          <t>Jose Angel Gutierrez Rodriguez</t>
        </is>
      </c>
      <c r="E739" s="63" t="inlineStr">
        <is>
          <t>1.430,00</t>
        </is>
      </c>
      <c r="F739" s="65" t="inlineStr">
        <is>
          <t>VES</t>
        </is>
      </c>
      <c r="G739" s="65" t="inlineStr">
        <is>
          <t>Banco Bancamiga 7806</t>
        </is>
      </c>
      <c r="H739" s="63" t="inlineStr">
        <is>
          <t>3,00</t>
        </is>
      </c>
      <c r="I739" s="65" t="n"/>
      <c r="J739" s="65" t="n"/>
      <c r="K739" s="65" t="n"/>
      <c r="L739" s="65" t="n"/>
      <c r="M739" s="65" t="n"/>
    </row>
    <row r="740">
      <c r="A740" s="66" t="n">
        <v>46121</v>
      </c>
      <c r="B740" s="65" t="inlineStr">
        <is>
          <t>PBAMI/2026/00216</t>
        </is>
      </c>
      <c r="C740" s="65" t="n">
        <v>873</v>
      </c>
      <c r="D740" s="65" t="inlineStr">
        <is>
          <t>Anthony Jose Quijada Diaz.</t>
        </is>
      </c>
      <c r="E740" s="63" t="inlineStr">
        <is>
          <t>285,58</t>
        </is>
      </c>
      <c r="F740" s="65" t="inlineStr">
        <is>
          <t>VES</t>
        </is>
      </c>
      <c r="G740" s="65" t="inlineStr">
        <is>
          <t>Banco Bancamiga 7806</t>
        </is>
      </c>
      <c r="H740" s="63" t="inlineStr">
        <is>
          <t>0,60</t>
        </is>
      </c>
      <c r="I740" s="65" t="n">
        <v>205</v>
      </c>
      <c r="J740" s="65" t="inlineStr">
        <is>
          <t>00-00000702</t>
        </is>
      </c>
      <c r="K740" s="66" t="n">
        <v>46204</v>
      </c>
      <c r="L740" s="63" t="inlineStr">
        <is>
          <t>0,01</t>
        </is>
      </c>
      <c r="M740" s="63" t="inlineStr">
        <is>
          <t>0,00</t>
        </is>
      </c>
    </row>
    <row r="741">
      <c r="A741" s="66" t="n">
        <v>46121</v>
      </c>
      <c r="B741" s="65" t="inlineStr">
        <is>
          <t>PBAMI/2026/00018</t>
        </is>
      </c>
      <c r="C741" s="65" t="n">
        <v>59</v>
      </c>
      <c r="D741" s="65" t="inlineStr">
        <is>
          <t>Ricardo A. Fernandez.</t>
        </is>
      </c>
      <c r="E741" s="63" t="inlineStr">
        <is>
          <t>30.000,00</t>
        </is>
      </c>
      <c r="F741" s="65" t="inlineStr">
        <is>
          <t>VES</t>
        </is>
      </c>
      <c r="G741" s="65" t="inlineStr">
        <is>
          <t>Banco Bancamiga 7806</t>
        </is>
      </c>
      <c r="H741" s="63" t="inlineStr">
        <is>
          <t>63,03</t>
        </is>
      </c>
      <c r="I741" s="65" t="n">
        <v>42</v>
      </c>
      <c r="J741" s="65" t="inlineStr">
        <is>
          <t>00-00000316</t>
        </is>
      </c>
      <c r="K741" s="66" t="n">
        <v>46154</v>
      </c>
      <c r="L741" s="63" t="inlineStr">
        <is>
          <t>0,00</t>
        </is>
      </c>
      <c r="M741" s="63" t="inlineStr">
        <is>
          <t>0,00</t>
        </is>
      </c>
    </row>
    <row r="742">
      <c r="A742" s="66" t="n">
        <v>46121</v>
      </c>
      <c r="B742" s="65" t="inlineStr">
        <is>
          <t>PBAMI/2026/00017</t>
        </is>
      </c>
      <c r="C742" s="65" t="n">
        <v>53</v>
      </c>
      <c r="D742" s="65" t="inlineStr">
        <is>
          <t>Moto repuestos jj</t>
        </is>
      </c>
      <c r="E742" s="63" t="inlineStr">
        <is>
          <t>23.797,50</t>
        </is>
      </c>
      <c r="F742" s="65" t="inlineStr">
        <is>
          <t>VES</t>
        </is>
      </c>
      <c r="G742" s="65" t="inlineStr">
        <is>
          <t>Banco Bancamiga 7806</t>
        </is>
      </c>
      <c r="H742" s="63" t="inlineStr">
        <is>
          <t>50,00</t>
        </is>
      </c>
      <c r="I742" s="65" t="n">
        <v>101</v>
      </c>
      <c r="J742" s="65" t="inlineStr">
        <is>
          <t>00-00000455</t>
        </is>
      </c>
      <c r="K742" s="66" t="n">
        <v>46169</v>
      </c>
      <c r="L742" s="63" t="inlineStr">
        <is>
          <t>58,83</t>
        </is>
      </c>
      <c r="M742" s="63" t="inlineStr">
        <is>
          <t>0,00</t>
        </is>
      </c>
    </row>
    <row r="743">
      <c r="A743" s="66" t="n">
        <v>46120</v>
      </c>
      <c r="B743" s="65" t="inlineStr">
        <is>
          <t>PBAMI/2026/00016</t>
        </is>
      </c>
      <c r="C743" s="65" t="n">
        <v>52</v>
      </c>
      <c r="D743" s="65" t="inlineStr">
        <is>
          <t>Pidelo Y Punto,c.a.</t>
        </is>
      </c>
      <c r="E743" s="63" t="inlineStr">
        <is>
          <t>74.937,81</t>
        </is>
      </c>
      <c r="F743" s="65" t="inlineStr">
        <is>
          <t>VES</t>
        </is>
      </c>
      <c r="G743" s="65" t="inlineStr">
        <is>
          <t>Banco Bancamiga 7806</t>
        </is>
      </c>
      <c r="H743" s="63" t="inlineStr">
        <is>
          <t>157,76</t>
        </is>
      </c>
      <c r="I743" s="65" t="n">
        <v>69</v>
      </c>
      <c r="J743" s="65" t="inlineStr">
        <is>
          <t>00-00000383</t>
        </is>
      </c>
      <c r="K743" s="66" t="n">
        <v>46161</v>
      </c>
      <c r="L743" s="63" t="inlineStr">
        <is>
          <t>0,00</t>
        </is>
      </c>
      <c r="M743" s="63" t="inlineStr">
        <is>
          <t>0,00</t>
        </is>
      </c>
    </row>
    <row r="744">
      <c r="A744" s="66" t="n">
        <v>46120</v>
      </c>
      <c r="B744" s="65" t="inlineStr">
        <is>
          <t>PBAMI/2026/00015</t>
        </is>
      </c>
      <c r="C744" s="65" t="n">
        <v>51</v>
      </c>
      <c r="D744" s="65" t="inlineStr">
        <is>
          <t>EMPRENDIMIENTO TOMAS MARCANO 5</t>
        </is>
      </c>
      <c r="E744" s="63" t="inlineStr">
        <is>
          <t>10.995,00</t>
        </is>
      </c>
      <c r="F744" s="65" t="inlineStr">
        <is>
          <t>VES</t>
        </is>
      </c>
      <c r="G744" s="65" t="inlineStr">
        <is>
          <t>Banco Bancamiga 7806</t>
        </is>
      </c>
      <c r="H744" s="63" t="inlineStr">
        <is>
          <t>20,00</t>
        </is>
      </c>
      <c r="I744" s="65" t="n">
        <v>270</v>
      </c>
      <c r="J744" s="65" t="inlineStr">
        <is>
          <t>00-00000807</t>
        </is>
      </c>
      <c r="K744" s="66" t="n">
        <v>46214</v>
      </c>
      <c r="L744" s="63" t="inlineStr">
        <is>
          <t>442,07</t>
        </is>
      </c>
      <c r="M744" s="63" t="inlineStr">
        <is>
          <t>0,00</t>
        </is>
      </c>
    </row>
    <row r="745">
      <c r="A745" s="66" t="n">
        <v>46119</v>
      </c>
      <c r="B745" s="65" t="inlineStr">
        <is>
          <t>PUSD1/2026/00162</t>
        </is>
      </c>
      <c r="C745" s="65" t="n">
        <v>330</v>
      </c>
      <c r="D745" s="65" t="inlineStr">
        <is>
          <t>EMPRENDIMIENTO IRMA RODRIGUEZ 6</t>
        </is>
      </c>
      <c r="E745" s="63" t="inlineStr">
        <is>
          <t>64,80</t>
        </is>
      </c>
      <c r="F745" s="65" t="inlineStr">
        <is>
          <t>USD</t>
        </is>
      </c>
      <c r="G745" s="65" t="inlineStr">
        <is>
          <t>Efectivo moneda extrajera (USD)</t>
        </is>
      </c>
      <c r="H745" s="63" t="inlineStr">
        <is>
          <t>64,80</t>
        </is>
      </c>
      <c r="I745" s="65" t="n">
        <v>278</v>
      </c>
      <c r="J745" s="65" t="inlineStr">
        <is>
          <t>00-00000816</t>
        </is>
      </c>
      <c r="K745" s="66" t="n">
        <v>46214</v>
      </c>
      <c r="L745" s="63" t="inlineStr">
        <is>
          <t>0,00</t>
        </is>
      </c>
      <c r="M745" s="63" t="inlineStr">
        <is>
          <t>0,00</t>
        </is>
      </c>
    </row>
    <row r="746">
      <c r="A746" s="66" t="n">
        <v>46119</v>
      </c>
      <c r="B746" s="65" t="inlineStr">
        <is>
          <t>PUSD1/2026/00045</t>
        </is>
      </c>
      <c r="C746" s="65" t="n">
        <v>82</v>
      </c>
      <c r="D746" s="65" t="inlineStr">
        <is>
          <t>AUTOREPUESTOS SION C.A.</t>
        </is>
      </c>
      <c r="E746" s="63" t="inlineStr">
        <is>
          <t>100,00</t>
        </is>
      </c>
      <c r="F746" s="65" t="inlineStr">
        <is>
          <t>USD</t>
        </is>
      </c>
      <c r="G746" s="65" t="inlineStr">
        <is>
          <t>Efectivo moneda extrajera (USD)</t>
        </is>
      </c>
      <c r="H746" s="63" t="inlineStr">
        <is>
          <t>100,00</t>
        </is>
      </c>
      <c r="I746" s="65" t="n">
        <v>45</v>
      </c>
      <c r="J746" s="65" t="inlineStr">
        <is>
          <t>00-00000321</t>
        </is>
      </c>
      <c r="K746" s="66" t="n">
        <v>46155</v>
      </c>
      <c r="L746" s="63" t="inlineStr">
        <is>
          <t>0,00</t>
        </is>
      </c>
      <c r="M746" s="63" t="inlineStr">
        <is>
          <t>0,00</t>
        </is>
      </c>
    </row>
    <row r="747">
      <c r="A747" s="66" t="n">
        <v>46119</v>
      </c>
      <c r="B747" s="65" t="inlineStr">
        <is>
          <t>PUSD1/2026/00044</t>
        </is>
      </c>
      <c r="C747" s="65" t="n">
        <v>81</v>
      </c>
      <c r="D747" s="65" t="inlineStr">
        <is>
          <t>Inversiones Brayan CT C.A</t>
        </is>
      </c>
      <c r="E747" s="63" t="inlineStr">
        <is>
          <t>70,00</t>
        </is>
      </c>
      <c r="F747" s="65" t="inlineStr">
        <is>
          <t>USD</t>
        </is>
      </c>
      <c r="G747" s="65" t="inlineStr">
        <is>
          <t>Efectivo moneda extrajera (USD)</t>
        </is>
      </c>
      <c r="H747" s="63" t="inlineStr">
        <is>
          <t>70,00</t>
        </is>
      </c>
      <c r="I747" s="65" t="n">
        <v>208</v>
      </c>
      <c r="J747" s="65" t="inlineStr">
        <is>
          <t>00-00000705</t>
        </is>
      </c>
      <c r="K747" s="66" t="n">
        <v>46204</v>
      </c>
      <c r="L747" s="63" t="inlineStr">
        <is>
          <t>0,00</t>
        </is>
      </c>
      <c r="M747" s="63" t="inlineStr">
        <is>
          <t>0,00</t>
        </is>
      </c>
    </row>
    <row r="748">
      <c r="A748" s="66" t="n">
        <v>46119</v>
      </c>
      <c r="B748" s="65" t="inlineStr">
        <is>
          <t>PUSD1/2026/00043</t>
        </is>
      </c>
      <c r="C748" s="65" t="n">
        <v>80</v>
      </c>
      <c r="D748" s="65" t="inlineStr">
        <is>
          <t>Moises Alejandro Mares</t>
        </is>
      </c>
      <c r="E748" s="63" t="inlineStr">
        <is>
          <t>20,00</t>
        </is>
      </c>
      <c r="F748" s="65" t="inlineStr">
        <is>
          <t>USD</t>
        </is>
      </c>
      <c r="G748" s="65" t="inlineStr">
        <is>
          <t>Efectivo moneda extrajera (USD)</t>
        </is>
      </c>
      <c r="H748" s="63" t="inlineStr">
        <is>
          <t>20,00</t>
        </is>
      </c>
      <c r="I748" s="65" t="n"/>
      <c r="J748" s="65" t="n"/>
      <c r="K748" s="65" t="n"/>
      <c r="L748" s="65" t="n"/>
      <c r="M748" s="65" t="n"/>
    </row>
    <row r="749">
      <c r="A749" s="66" t="n">
        <v>46119</v>
      </c>
      <c r="B749" s="65" t="inlineStr">
        <is>
          <t>PUSD1/2026/00042</t>
        </is>
      </c>
      <c r="C749" s="65" t="n">
        <v>79</v>
      </c>
      <c r="D749" s="65" t="inlineStr">
        <is>
          <t>EMPRENDIMIENTO IRMA RODRIGUEZ 6</t>
        </is>
      </c>
      <c r="E749" s="63" t="inlineStr">
        <is>
          <t>115,92</t>
        </is>
      </c>
      <c r="F749" s="65" t="inlineStr">
        <is>
          <t>USD</t>
        </is>
      </c>
      <c r="G749" s="65" t="inlineStr">
        <is>
          <t>Efectivo moneda extrajera (USD)</t>
        </is>
      </c>
      <c r="H749" s="63" t="inlineStr">
        <is>
          <t>115,92</t>
        </is>
      </c>
      <c r="I749" s="65" t="n"/>
      <c r="J749" s="65" t="n"/>
      <c r="K749" s="65" t="n"/>
      <c r="L749" s="65" t="n"/>
      <c r="M749" s="65" t="n"/>
    </row>
    <row r="750">
      <c r="A750" s="66" t="n">
        <v>46119</v>
      </c>
      <c r="B750" s="65" t="inlineStr">
        <is>
          <t>PBDV/2026/00003</t>
        </is>
      </c>
      <c r="C750" s="65" t="n">
        <v>102</v>
      </c>
      <c r="D750" s="65" t="inlineStr">
        <is>
          <t>Moto repuestos jj</t>
        </is>
      </c>
      <c r="E750" s="63" t="inlineStr">
        <is>
          <t>23.726,50</t>
        </is>
      </c>
      <c r="F750" s="65" t="inlineStr">
        <is>
          <t>VES</t>
        </is>
      </c>
      <c r="G750" s="65" t="inlineStr">
        <is>
          <t>Banco de Venezuela 6891</t>
        </is>
      </c>
      <c r="H750" s="63" t="inlineStr">
        <is>
          <t>50,00</t>
        </is>
      </c>
      <c r="I750" s="65" t="n"/>
      <c r="J750" s="65" t="n"/>
      <c r="K750" s="65" t="n"/>
      <c r="L750" s="65" t="n"/>
      <c r="M750" s="65" t="n"/>
    </row>
    <row r="751">
      <c r="A751" s="66" t="n">
        <v>46118</v>
      </c>
      <c r="B751" s="65" t="inlineStr">
        <is>
          <t>PUSD1/2026/00041</t>
        </is>
      </c>
      <c r="C751" s="65" t="n">
        <v>78</v>
      </c>
      <c r="D751" s="65" t="inlineStr">
        <is>
          <t>ACCESORIOS Y REPUESTOS MOTO CAR 20-11-C.A</t>
        </is>
      </c>
      <c r="E751" s="63" t="inlineStr">
        <is>
          <t>100,00</t>
        </is>
      </c>
      <c r="F751" s="65" t="inlineStr">
        <is>
          <t>USD</t>
        </is>
      </c>
      <c r="G751" s="65" t="inlineStr">
        <is>
          <t>Efectivo moneda extrajera (USD)</t>
        </is>
      </c>
      <c r="H751" s="63" t="inlineStr">
        <is>
          <t>100,00</t>
        </is>
      </c>
      <c r="I751" s="65" t="n">
        <v>204</v>
      </c>
      <c r="J751" s="65" t="inlineStr">
        <is>
          <t>00-00000701</t>
        </is>
      </c>
      <c r="K751" s="66" t="n">
        <v>46204</v>
      </c>
      <c r="L751" s="63" t="inlineStr">
        <is>
          <t>0,00</t>
        </is>
      </c>
      <c r="M751" s="63" t="inlineStr">
        <is>
          <t>0,00</t>
        </is>
      </c>
    </row>
    <row r="752">
      <c r="A752" s="66" t="n">
        <v>46118</v>
      </c>
      <c r="B752" s="65" t="inlineStr">
        <is>
          <t>PUSD1/2026/00024</t>
        </is>
      </c>
      <c r="C752" s="65" t="n">
        <v>47</v>
      </c>
      <c r="D752" s="65" t="inlineStr">
        <is>
          <t>Jose Angel Gutierrez Rodriguez</t>
        </is>
      </c>
      <c r="E752" s="63" t="inlineStr">
        <is>
          <t>110,00</t>
        </is>
      </c>
      <c r="F752" s="65" t="inlineStr">
        <is>
          <t>USD</t>
        </is>
      </c>
      <c r="G752" s="65" t="inlineStr">
        <is>
          <t>Efectivo moneda extrajera (USD)</t>
        </is>
      </c>
      <c r="H752" s="63" t="inlineStr">
        <is>
          <t>110,00</t>
        </is>
      </c>
      <c r="I752" s="65" t="n">
        <v>68</v>
      </c>
      <c r="J752" s="65" t="inlineStr">
        <is>
          <t>00-00000382</t>
        </is>
      </c>
      <c r="K752" s="66" t="n">
        <v>46161</v>
      </c>
      <c r="L752" s="63" t="inlineStr">
        <is>
          <t>0,00</t>
        </is>
      </c>
      <c r="M752" s="63" t="inlineStr">
        <is>
          <t>0,00</t>
        </is>
      </c>
    </row>
    <row r="753">
      <c r="A753" s="66" t="n">
        <v>46118</v>
      </c>
      <c r="B753" s="65" t="inlineStr">
        <is>
          <t>PBAMI/2026/00014</t>
        </is>
      </c>
      <c r="C753" s="65" t="n">
        <v>50</v>
      </c>
      <c r="D753" s="65" t="inlineStr">
        <is>
          <t>Moto repuestos jj</t>
        </is>
      </c>
      <c r="E753" s="63" t="inlineStr">
        <is>
          <t>23.705,00</t>
        </is>
      </c>
      <c r="F753" s="65" t="inlineStr">
        <is>
          <t>VES</t>
        </is>
      </c>
      <c r="G753" s="65" t="inlineStr">
        <is>
          <t>Banco Bancamiga 7806</t>
        </is>
      </c>
      <c r="H753" s="63" t="inlineStr">
        <is>
          <t>50,00</t>
        </is>
      </c>
      <c r="I753" s="65" t="n">
        <v>101</v>
      </c>
      <c r="J753" s="65" t="inlineStr">
        <is>
          <t>00-00000455</t>
        </is>
      </c>
      <c r="K753" s="66" t="n">
        <v>46169</v>
      </c>
      <c r="L753" s="63" t="inlineStr">
        <is>
          <t>58,83</t>
        </is>
      </c>
      <c r="M753" s="63" t="inlineStr">
        <is>
          <t>0,00</t>
        </is>
      </c>
    </row>
    <row r="754">
      <c r="A754" s="66" t="n">
        <v>46118</v>
      </c>
      <c r="B754" s="65" t="inlineStr">
        <is>
          <t>PBAMI/2026/00012</t>
        </is>
      </c>
      <c r="C754" s="65" t="n">
        <v>49</v>
      </c>
      <c r="D754" s="65" t="inlineStr">
        <is>
          <t>EMPRENDIMIENTO TOMAS MARCANO 5</t>
        </is>
      </c>
      <c r="E754" s="63" t="inlineStr">
        <is>
          <t>13.775,00</t>
        </is>
      </c>
      <c r="F754" s="65" t="inlineStr">
        <is>
          <t>VES</t>
        </is>
      </c>
      <c r="G754" s="65" t="inlineStr">
        <is>
          <t>Banco Bancamiga 7806</t>
        </is>
      </c>
      <c r="H754" s="63" t="inlineStr">
        <is>
          <t>25,00</t>
        </is>
      </c>
      <c r="I754" s="65" t="n">
        <v>270</v>
      </c>
      <c r="J754" s="65" t="inlineStr">
        <is>
          <t>00-00000807</t>
        </is>
      </c>
      <c r="K754" s="66" t="n">
        <v>46214</v>
      </c>
      <c r="L754" s="63" t="inlineStr">
        <is>
          <t>442,07</t>
        </is>
      </c>
      <c r="M754" s="63" t="inlineStr">
        <is>
          <t>0,00</t>
        </is>
      </c>
    </row>
    <row r="755">
      <c r="A755" s="66" t="n">
        <v>46118</v>
      </c>
      <c r="B755" s="65" t="inlineStr">
        <is>
          <t>PBAMI/2026/00011</t>
        </is>
      </c>
      <c r="C755" s="65" t="n">
        <v>48</v>
      </c>
      <c r="D755" s="65" t="inlineStr">
        <is>
          <t>Jose Lopez Espinoza</t>
        </is>
      </c>
      <c r="E755" s="63" t="inlineStr">
        <is>
          <t>47.405,98</t>
        </is>
      </c>
      <c r="F755" s="65" t="inlineStr">
        <is>
          <t>VES</t>
        </is>
      </c>
      <c r="G755" s="65" t="inlineStr">
        <is>
          <t>Banco Bancamiga 7806</t>
        </is>
      </c>
      <c r="H755" s="63" t="inlineStr">
        <is>
          <t>100,00</t>
        </is>
      </c>
      <c r="I755" s="65" t="n">
        <v>83</v>
      </c>
      <c r="J755" s="65" t="inlineStr">
        <is>
          <t>00-00000410</t>
        </is>
      </c>
      <c r="K755" s="66" t="n">
        <v>46163</v>
      </c>
      <c r="L755" s="63" t="inlineStr">
        <is>
          <t>1,49</t>
        </is>
      </c>
      <c r="M755" s="63" t="inlineStr">
        <is>
          <t>0,00</t>
        </is>
      </c>
    </row>
    <row r="756">
      <c r="A756" s="66" t="n">
        <v>46113</v>
      </c>
      <c r="B756" s="65" t="inlineStr">
        <is>
          <t>PUSD1/2026/00023</t>
        </is>
      </c>
      <c r="C756" s="65" t="n">
        <v>46</v>
      </c>
      <c r="D756" s="65" t="inlineStr">
        <is>
          <t>Inversiones Famasa, C.A</t>
        </is>
      </c>
      <c r="E756" s="63" t="inlineStr">
        <is>
          <t>67,00</t>
        </is>
      </c>
      <c r="F756" s="65" t="inlineStr">
        <is>
          <t>USD</t>
        </is>
      </c>
      <c r="G756" s="65" t="inlineStr">
        <is>
          <t>Efectivo moneda extrajera (USD)</t>
        </is>
      </c>
      <c r="H756" s="63" t="inlineStr">
        <is>
          <t>67,00</t>
        </is>
      </c>
      <c r="I756" s="65" t="n"/>
      <c r="J756" s="65" t="n"/>
      <c r="K756" s="65" t="n"/>
      <c r="L756" s="65" t="n"/>
      <c r="M756" s="65" t="n"/>
    </row>
    <row r="757">
      <c r="A757" s="66" t="n">
        <v>46113</v>
      </c>
      <c r="B757" s="65" t="inlineStr">
        <is>
          <t>PUSD1/2026/00022</t>
        </is>
      </c>
      <c r="C757" s="65" t="n">
        <v>45</v>
      </c>
      <c r="D757" s="65" t="inlineStr">
        <is>
          <t>EMPRENDIMIENTO IRMA RODRIGUEZ 6</t>
        </is>
      </c>
      <c r="E757" s="63" t="inlineStr">
        <is>
          <t>247,88</t>
        </is>
      </c>
      <c r="F757" s="65" t="inlineStr">
        <is>
          <t>USD</t>
        </is>
      </c>
      <c r="G757" s="65" t="inlineStr">
        <is>
          <t>Efectivo moneda extrajera (USD)</t>
        </is>
      </c>
      <c r="H757" s="63" t="inlineStr">
        <is>
          <t>247,88</t>
        </is>
      </c>
      <c r="I757" s="65" t="n">
        <v>108</v>
      </c>
      <c r="J757" s="65" t="inlineStr">
        <is>
          <t>00-00000480</t>
        </is>
      </c>
      <c r="K757" s="66" t="n">
        <v>46175</v>
      </c>
      <c r="L757" s="63" t="inlineStr">
        <is>
          <t>0,12</t>
        </is>
      </c>
      <c r="M757" s="63" t="inlineStr">
        <is>
          <t>0,00</t>
        </is>
      </c>
    </row>
    <row r="758">
      <c r="A758" s="66" t="n">
        <v>46113</v>
      </c>
      <c r="B758" s="65" t="inlineStr">
        <is>
          <t>PBAMI/2026/00013</t>
        </is>
      </c>
      <c r="C758" s="65" t="n">
        <v>44</v>
      </c>
      <c r="D758" s="65" t="inlineStr">
        <is>
          <t>E&amp;M CAR SHOP C.A</t>
        </is>
      </c>
      <c r="E758" s="63" t="inlineStr">
        <is>
          <t>238.119,78</t>
        </is>
      </c>
      <c r="F758" s="65" t="inlineStr">
        <is>
          <t>VES</t>
        </is>
      </c>
      <c r="G758" s="65" t="inlineStr">
        <is>
          <t>Banco Bancamiga 7806</t>
        </is>
      </c>
      <c r="H758" s="63" t="inlineStr">
        <is>
          <t>502,45</t>
        </is>
      </c>
      <c r="I758" s="65" t="n">
        <v>126</v>
      </c>
      <c r="J758" s="65" t="inlineStr">
        <is>
          <t>00-00000538</t>
        </is>
      </c>
      <c r="K758" s="66" t="n">
        <v>46182</v>
      </c>
      <c r="L758" s="63" t="inlineStr">
        <is>
          <t>0,00</t>
        </is>
      </c>
      <c r="M758" s="63" t="inlineStr">
        <is>
          <t>0,00</t>
        </is>
      </c>
    </row>
    <row r="759">
      <c r="A759" s="66" t="n">
        <v>46112</v>
      </c>
      <c r="B759" s="65" t="inlineStr">
        <is>
          <t>PUSD1/2026/00182</t>
        </is>
      </c>
      <c r="C759" s="65" t="n">
        <v>367</v>
      </c>
      <c r="D759" s="65" t="inlineStr">
        <is>
          <t>Neykel Quevedo</t>
        </is>
      </c>
      <c r="E759" s="63" t="inlineStr">
        <is>
          <t>20,00</t>
        </is>
      </c>
      <c r="F759" s="65" t="inlineStr">
        <is>
          <t>USD</t>
        </is>
      </c>
      <c r="G759" s="65" t="inlineStr">
        <is>
          <t>Efectivo moneda extrajera (USD)</t>
        </is>
      </c>
      <c r="H759" s="63" t="inlineStr">
        <is>
          <t>20,00</t>
        </is>
      </c>
      <c r="I759" s="65" t="n">
        <v>118</v>
      </c>
      <c r="J759" s="65" t="inlineStr">
        <is>
          <t>00-00000490</t>
        </is>
      </c>
      <c r="K759" s="66" t="n">
        <v>46175</v>
      </c>
      <c r="L759" s="63" t="inlineStr">
        <is>
          <t>0,00</t>
        </is>
      </c>
      <c r="M759" s="63" t="inlineStr">
        <is>
          <t>0,00</t>
        </is>
      </c>
    </row>
    <row r="760">
      <c r="A760" s="66" t="n">
        <v>46112</v>
      </c>
      <c r="B760" s="65" t="inlineStr">
        <is>
          <t>PUSD1/2026/00040</t>
        </is>
      </c>
      <c r="C760" s="65" t="n">
        <v>77</v>
      </c>
      <c r="D760" s="65" t="inlineStr">
        <is>
          <t>ESTACIONAMIENTO CIACORE 2000 c.a</t>
        </is>
      </c>
      <c r="E760" s="63" t="inlineStr">
        <is>
          <t>35,00</t>
        </is>
      </c>
      <c r="F760" s="65" t="inlineStr">
        <is>
          <t>USD</t>
        </is>
      </c>
      <c r="G760" s="65" t="inlineStr">
        <is>
          <t>Efectivo moneda extrajera (USD)</t>
        </is>
      </c>
      <c r="H760" s="63" t="inlineStr">
        <is>
          <t>35,00</t>
        </is>
      </c>
      <c r="I760" s="65" t="n">
        <v>48</v>
      </c>
      <c r="J760" s="65" t="inlineStr">
        <is>
          <t>00-00000324</t>
        </is>
      </c>
      <c r="K760" s="66" t="n">
        <v>46155</v>
      </c>
      <c r="L760" s="63" t="inlineStr">
        <is>
          <t>0,00</t>
        </is>
      </c>
      <c r="M760" s="63" t="inlineStr">
        <is>
          <t>0,00</t>
        </is>
      </c>
    </row>
    <row r="761">
      <c r="A761" s="66" t="n">
        <v>46112</v>
      </c>
      <c r="B761" s="65" t="inlineStr">
        <is>
          <t>PUSD1/2026/00039</t>
        </is>
      </c>
      <c r="C761" s="65" t="n">
        <v>76</v>
      </c>
      <c r="D761" s="65" t="inlineStr">
        <is>
          <t>Distribuidora Nesmari 2050 c.a</t>
        </is>
      </c>
      <c r="E761" s="63" t="inlineStr">
        <is>
          <t>94,00</t>
        </is>
      </c>
      <c r="F761" s="65" t="inlineStr">
        <is>
          <t>USD</t>
        </is>
      </c>
      <c r="G761" s="65" t="inlineStr">
        <is>
          <t>Efectivo moneda extrajera (USD)</t>
        </is>
      </c>
      <c r="H761" s="63" t="inlineStr">
        <is>
          <t>94,00</t>
        </is>
      </c>
      <c r="I761" s="65" t="n">
        <v>264</v>
      </c>
      <c r="J761" s="65" t="inlineStr">
        <is>
          <t>00-00000801</t>
        </is>
      </c>
      <c r="K761" s="66" t="n">
        <v>46214</v>
      </c>
      <c r="L761" s="63" t="inlineStr">
        <is>
          <t>0,00</t>
        </is>
      </c>
      <c r="M761" s="63" t="inlineStr">
        <is>
          <t>0,00</t>
        </is>
      </c>
    </row>
    <row r="762">
      <c r="A762" s="66" t="n">
        <v>46112</v>
      </c>
      <c r="B762" s="65" t="inlineStr">
        <is>
          <t>PUSD1/2026/00038</t>
        </is>
      </c>
      <c r="C762" s="65" t="n">
        <v>75</v>
      </c>
      <c r="D762" s="65" t="inlineStr">
        <is>
          <t>Motolavado Yahir</t>
        </is>
      </c>
      <c r="E762" s="63" t="inlineStr">
        <is>
          <t>44,00</t>
        </is>
      </c>
      <c r="F762" s="65" t="inlineStr">
        <is>
          <t>USD</t>
        </is>
      </c>
      <c r="G762" s="65" t="inlineStr">
        <is>
          <t>Efectivo moneda extrajera (USD)</t>
        </is>
      </c>
      <c r="H762" s="63" t="inlineStr">
        <is>
          <t>44,00</t>
        </is>
      </c>
      <c r="I762" s="65" t="n">
        <v>206</v>
      </c>
      <c r="J762" s="65" t="inlineStr">
        <is>
          <t>00-00000703</t>
        </is>
      </c>
      <c r="K762" s="66" t="n">
        <v>46204</v>
      </c>
      <c r="L762" s="63" t="inlineStr">
        <is>
          <t>0,00</t>
        </is>
      </c>
      <c r="M762" s="63" t="inlineStr">
        <is>
          <t>0,00</t>
        </is>
      </c>
    </row>
    <row r="763">
      <c r="A763" s="66" t="n">
        <v>46112</v>
      </c>
      <c r="B763" s="65" t="inlineStr">
        <is>
          <t>PUSD1/2026/00037</t>
        </is>
      </c>
      <c r="C763" s="65" t="n">
        <v>73</v>
      </c>
      <c r="D763" s="65" t="inlineStr">
        <is>
          <t>Moises Alejandro Mares</t>
        </is>
      </c>
      <c r="E763" s="63" t="inlineStr">
        <is>
          <t>20,00</t>
        </is>
      </c>
      <c r="F763" s="65" t="inlineStr">
        <is>
          <t>USD</t>
        </is>
      </c>
      <c r="G763" s="65" t="inlineStr">
        <is>
          <t>Efectivo moneda extrajera (USD)</t>
        </is>
      </c>
      <c r="H763" s="63" t="inlineStr">
        <is>
          <t>20,00</t>
        </is>
      </c>
      <c r="I763" s="65" t="n"/>
      <c r="J763" s="65" t="n"/>
      <c r="K763" s="65" t="n"/>
      <c r="L763" s="65" t="n"/>
      <c r="M763" s="65" t="n"/>
    </row>
    <row r="764">
      <c r="A764" s="66" t="n">
        <v>46112</v>
      </c>
      <c r="B764" s="65" t="inlineStr">
        <is>
          <t>PBAMI/2026/00023</t>
        </is>
      </c>
      <c r="C764" s="65" t="n">
        <v>74</v>
      </c>
      <c r="D764" s="65" t="inlineStr">
        <is>
          <t>Corporación Lubricantes 7ma Av.C.A</t>
        </is>
      </c>
      <c r="E764" s="63" t="inlineStr">
        <is>
          <t>18.954,80</t>
        </is>
      </c>
      <c r="F764" s="65" t="inlineStr">
        <is>
          <t>VES</t>
        </is>
      </c>
      <c r="G764" s="65" t="inlineStr">
        <is>
          <t>Banco Bancamiga 7806</t>
        </is>
      </c>
      <c r="H764" s="63" t="inlineStr">
        <is>
          <t>40,00</t>
        </is>
      </c>
      <c r="I764" s="65" t="n">
        <v>231</v>
      </c>
      <c r="J764" s="65" t="inlineStr">
        <is>
          <t>00-00000753</t>
        </is>
      </c>
      <c r="K764" s="66" t="n">
        <v>46210</v>
      </c>
      <c r="L764" s="63" t="inlineStr">
        <is>
          <t>575,72</t>
        </is>
      </c>
      <c r="M764" s="63" t="inlineStr">
        <is>
          <t>0,00</t>
        </is>
      </c>
    </row>
    <row r="765">
      <c r="A765" s="66" t="n">
        <v>46111</v>
      </c>
      <c r="B765" s="65" t="inlineStr">
        <is>
          <t>PUSD1/2026/00058</t>
        </is>
      </c>
      <c r="C765" s="65" t="n">
        <v>106</v>
      </c>
      <c r="D765" s="65" t="inlineStr">
        <is>
          <t>FREDI MARQUEZ</t>
        </is>
      </c>
      <c r="E765" s="63" t="inlineStr">
        <is>
          <t>260,00</t>
        </is>
      </c>
      <c r="F765" s="65" t="inlineStr">
        <is>
          <t>USD</t>
        </is>
      </c>
      <c r="G765" s="65" t="inlineStr">
        <is>
          <t>Efectivo moneda extrajera (USD)</t>
        </is>
      </c>
      <c r="H765" s="63" t="inlineStr">
        <is>
          <t>260,00</t>
        </is>
      </c>
      <c r="I765" s="65" t="n"/>
      <c r="J765" s="65" t="n"/>
      <c r="K765" s="65" t="n"/>
      <c r="L765" s="65" t="n"/>
      <c r="M765" s="65" t="n"/>
    </row>
    <row r="766">
      <c r="A766" s="66" t="n">
        <v>46111</v>
      </c>
      <c r="B766" s="65" t="inlineStr">
        <is>
          <t>PUSD1/2026/00047</t>
        </is>
      </c>
      <c r="C766" s="65" t="n">
        <v>62</v>
      </c>
      <c r="D766" s="65" t="inlineStr">
        <is>
          <t>Autorepuestos las 24 horas</t>
        </is>
      </c>
      <c r="E766" s="63" t="inlineStr">
        <is>
          <t>96,00</t>
        </is>
      </c>
      <c r="F766" s="65" t="inlineStr">
        <is>
          <t>USD</t>
        </is>
      </c>
      <c r="G766" s="65" t="inlineStr">
        <is>
          <t>Efectivo moneda extrajera (USD)</t>
        </is>
      </c>
      <c r="H766" s="63" t="inlineStr">
        <is>
          <t>96,00</t>
        </is>
      </c>
      <c r="I766" s="65" t="n">
        <v>237</v>
      </c>
      <c r="J766" s="65" t="inlineStr">
        <is>
          <t>00-00000759</t>
        </is>
      </c>
      <c r="K766" s="66" t="n">
        <v>46210</v>
      </c>
      <c r="L766" s="63" t="inlineStr">
        <is>
          <t>0,00</t>
        </is>
      </c>
      <c r="M766" s="63" t="inlineStr">
        <is>
          <t>0,00</t>
        </is>
      </c>
    </row>
    <row r="767">
      <c r="A767" s="66" t="n">
        <v>46111</v>
      </c>
      <c r="B767" s="65" t="inlineStr">
        <is>
          <t>PUSD1/2026/00021</t>
        </is>
      </c>
      <c r="C767" s="65" t="n">
        <v>41</v>
      </c>
      <c r="D767" s="65" t="inlineStr">
        <is>
          <t>Inversiones Famasa, C.A</t>
        </is>
      </c>
      <c r="E767" s="63" t="inlineStr">
        <is>
          <t>65,00</t>
        </is>
      </c>
      <c r="F767" s="65" t="inlineStr">
        <is>
          <t>USD</t>
        </is>
      </c>
      <c r="G767" s="65" t="inlineStr">
        <is>
          <t>Efectivo moneda extrajera (USD)</t>
        </is>
      </c>
      <c r="H767" s="63" t="inlineStr">
        <is>
          <t>65,00</t>
        </is>
      </c>
      <c r="I767" s="65" t="n"/>
      <c r="J767" s="65" t="n"/>
      <c r="K767" s="65" t="n"/>
      <c r="L767" s="65" t="n"/>
      <c r="M767" s="65" t="n"/>
    </row>
    <row r="768">
      <c r="A768" s="66" t="n">
        <v>46108</v>
      </c>
      <c r="B768" s="65" t="inlineStr">
        <is>
          <t>PUSD1/2026/00036</t>
        </is>
      </c>
      <c r="C768" s="65" t="n">
        <v>70</v>
      </c>
      <c r="D768" s="65" t="inlineStr">
        <is>
          <t>Auto Repuestos Acal C.A</t>
        </is>
      </c>
      <c r="E768" s="63" t="inlineStr">
        <is>
          <t>50,00</t>
        </is>
      </c>
      <c r="F768" s="65" t="inlineStr">
        <is>
          <t>USD</t>
        </is>
      </c>
      <c r="G768" s="65" t="inlineStr">
        <is>
          <t>Efectivo moneda extrajera (USD)</t>
        </is>
      </c>
      <c r="H768" s="63" t="inlineStr">
        <is>
          <t>50,00</t>
        </is>
      </c>
      <c r="I768" s="65" t="n">
        <v>63</v>
      </c>
      <c r="J768" s="65" t="inlineStr">
        <is>
          <t>00-00000376</t>
        </is>
      </c>
      <c r="K768" s="66" t="n">
        <v>46161</v>
      </c>
      <c r="L768" s="63" t="inlineStr">
        <is>
          <t>0,00</t>
        </is>
      </c>
      <c r="M768" s="63" t="inlineStr">
        <is>
          <t>0,00</t>
        </is>
      </c>
    </row>
    <row r="769">
      <c r="A769" s="66" t="n">
        <v>46108</v>
      </c>
      <c r="B769" s="65" t="inlineStr">
        <is>
          <t>PUSD1/2026/00035</t>
        </is>
      </c>
      <c r="C769" s="65" t="n">
        <v>69</v>
      </c>
      <c r="D769" s="65" t="inlineStr">
        <is>
          <t>Moises Alejandro Mares</t>
        </is>
      </c>
      <c r="E769" s="63" t="inlineStr">
        <is>
          <t>20,00</t>
        </is>
      </c>
      <c r="F769" s="65" t="inlineStr">
        <is>
          <t>USD</t>
        </is>
      </c>
      <c r="G769" s="65" t="inlineStr">
        <is>
          <t>Efectivo moneda extrajera (USD)</t>
        </is>
      </c>
      <c r="H769" s="63" t="inlineStr">
        <is>
          <t>20,00</t>
        </is>
      </c>
      <c r="I769" s="65" t="n"/>
      <c r="J769" s="65" t="n"/>
      <c r="K769" s="65" t="n"/>
      <c r="L769" s="65" t="n"/>
      <c r="M769" s="65" t="n"/>
    </row>
    <row r="770">
      <c r="A770" s="66" t="n">
        <v>46108</v>
      </c>
      <c r="B770" s="65" t="inlineStr">
        <is>
          <t>PUSD1/2026/00034</t>
        </is>
      </c>
      <c r="C770" s="65" t="n">
        <v>68</v>
      </c>
      <c r="D770" s="65" t="inlineStr">
        <is>
          <t>AUTO ACCESORIOS VZLA, C.A.</t>
        </is>
      </c>
      <c r="E770" s="63" t="inlineStr">
        <is>
          <t>50,00</t>
        </is>
      </c>
      <c r="F770" s="65" t="inlineStr">
        <is>
          <t>USD</t>
        </is>
      </c>
      <c r="G770" s="65" t="inlineStr">
        <is>
          <t>Efectivo moneda extrajera (USD)</t>
        </is>
      </c>
      <c r="H770" s="63" t="inlineStr">
        <is>
          <t>50,00</t>
        </is>
      </c>
      <c r="I770" s="65" t="n">
        <v>207</v>
      </c>
      <c r="J770" s="65" t="inlineStr">
        <is>
          <t>00-00000704</t>
        </is>
      </c>
      <c r="K770" s="66" t="n">
        <v>46204</v>
      </c>
      <c r="L770" s="63" t="inlineStr">
        <is>
          <t>0,01</t>
        </is>
      </c>
      <c r="M770" s="63" t="inlineStr">
        <is>
          <t>0,00</t>
        </is>
      </c>
    </row>
    <row r="771">
      <c r="A771" s="66" t="n">
        <v>46108</v>
      </c>
      <c r="B771" s="65" t="inlineStr">
        <is>
          <t>PBAMI/2026/00034</t>
        </is>
      </c>
      <c r="C771" s="65" t="n">
        <v>105</v>
      </c>
      <c r="D771" s="65" t="inlineStr">
        <is>
          <t>Jose Lopez Espinoza</t>
        </is>
      </c>
      <c r="E771" s="63" t="inlineStr">
        <is>
          <t>46.851,45</t>
        </is>
      </c>
      <c r="F771" s="65" t="inlineStr">
        <is>
          <t>VES</t>
        </is>
      </c>
      <c r="G771" s="65" t="inlineStr">
        <is>
          <t>Banco Bancamiga 7806</t>
        </is>
      </c>
      <c r="H771" s="63" t="inlineStr">
        <is>
          <t>100,00</t>
        </is>
      </c>
      <c r="I771" s="65" t="n">
        <v>83</v>
      </c>
      <c r="J771" s="65" t="inlineStr">
        <is>
          <t>00-00000410</t>
        </is>
      </c>
      <c r="K771" s="66" t="n">
        <v>46163</v>
      </c>
      <c r="L771" s="63" t="inlineStr">
        <is>
          <t>1,49</t>
        </is>
      </c>
      <c r="M771" s="63" t="inlineStr">
        <is>
          <t>0,00</t>
        </is>
      </c>
    </row>
    <row r="772">
      <c r="A772" s="66" t="n">
        <v>46108</v>
      </c>
      <c r="B772" s="65" t="inlineStr">
        <is>
          <t>PBAMI/2026/00022</t>
        </is>
      </c>
      <c r="C772" s="65" t="n">
        <v>72</v>
      </c>
      <c r="D772" s="65" t="inlineStr">
        <is>
          <t>Diana Carolina Torres</t>
        </is>
      </c>
      <c r="E772" s="63" t="inlineStr">
        <is>
          <t>46.800,00</t>
        </is>
      </c>
      <c r="F772" s="65" t="inlineStr">
        <is>
          <t>VES</t>
        </is>
      </c>
      <c r="G772" s="65" t="inlineStr">
        <is>
          <t>Banco Bancamiga 7806</t>
        </is>
      </c>
      <c r="H772" s="63" t="inlineStr">
        <is>
          <t>99,89</t>
        </is>
      </c>
      <c r="I772" s="65" t="n">
        <v>81</v>
      </c>
      <c r="J772" s="65" t="inlineStr">
        <is>
          <t>00-00000408</t>
        </is>
      </c>
      <c r="K772" s="66" t="n">
        <v>46162</v>
      </c>
      <c r="L772" s="63" t="inlineStr">
        <is>
          <t>3,63</t>
        </is>
      </c>
      <c r="M772" s="63" t="inlineStr">
        <is>
          <t>0,00</t>
        </is>
      </c>
    </row>
    <row r="773">
      <c r="A773" s="66" t="n">
        <v>46108</v>
      </c>
      <c r="B773" s="65" t="inlineStr">
        <is>
          <t>PBAMI/2026/00021</t>
        </is>
      </c>
      <c r="C773" s="65" t="n">
        <v>71</v>
      </c>
      <c r="D773" s="65" t="inlineStr">
        <is>
          <t>Comercial Rio Paraguas C.A</t>
        </is>
      </c>
      <c r="E773" s="63" t="inlineStr">
        <is>
          <t>45.616,90</t>
        </is>
      </c>
      <c r="F773" s="65" t="inlineStr">
        <is>
          <t>VES</t>
        </is>
      </c>
      <c r="G773" s="65" t="inlineStr">
        <is>
          <t>Banco Bancamiga 7806</t>
        </is>
      </c>
      <c r="H773" s="63" t="inlineStr">
        <is>
          <t>97,36</t>
        </is>
      </c>
      <c r="I773" s="65" t="n">
        <v>233</v>
      </c>
      <c r="J773" s="65" t="inlineStr">
        <is>
          <t>00-00000755</t>
        </is>
      </c>
      <c r="K773" s="66" t="n">
        <v>46210</v>
      </c>
      <c r="L773" s="63" t="inlineStr">
        <is>
          <t>0,00</t>
        </is>
      </c>
      <c r="M773" s="63" t="inlineStr">
        <is>
          <t>0,00</t>
        </is>
      </c>
    </row>
    <row r="774">
      <c r="A774" s="66" t="n">
        <v>46107</v>
      </c>
      <c r="B774" s="65" t="inlineStr">
        <is>
          <t>PUSD1/2026/00057</t>
        </is>
      </c>
      <c r="C774" s="65" t="n">
        <v>104</v>
      </c>
      <c r="D774" s="65" t="inlineStr">
        <is>
          <t>Junior Marco Antonio Vivas Navas</t>
        </is>
      </c>
      <c r="E774" s="63" t="inlineStr">
        <is>
          <t>20,00</t>
        </is>
      </c>
      <c r="F774" s="65" t="inlineStr">
        <is>
          <t>USD</t>
        </is>
      </c>
      <c r="G774" s="65" t="inlineStr">
        <is>
          <t>Efectivo moneda extrajera (USD)</t>
        </is>
      </c>
      <c r="H774" s="63" t="inlineStr">
        <is>
          <t>20,00</t>
        </is>
      </c>
      <c r="I774" s="65" t="n">
        <v>51</v>
      </c>
      <c r="J774" s="65" t="inlineStr">
        <is>
          <t>00-00000331</t>
        </is>
      </c>
      <c r="K774" s="66" t="n">
        <v>46155</v>
      </c>
      <c r="L774" s="63" t="inlineStr">
        <is>
          <t>0,00</t>
        </is>
      </c>
      <c r="M774" s="63" t="inlineStr">
        <is>
          <t>0,00</t>
        </is>
      </c>
    </row>
    <row r="775">
      <c r="A775" s="66" t="n">
        <v>46107</v>
      </c>
      <c r="B775" s="65" t="inlineStr">
        <is>
          <t>PUSD1/2026/00033</t>
        </is>
      </c>
      <c r="C775" s="65" t="n">
        <v>67</v>
      </c>
      <c r="D775" s="65" t="inlineStr">
        <is>
          <t>Turismo Apureño Turapca, C.A</t>
        </is>
      </c>
      <c r="E775" s="63" t="inlineStr">
        <is>
          <t>124,00</t>
        </is>
      </c>
      <c r="F775" s="65" t="inlineStr">
        <is>
          <t>USD</t>
        </is>
      </c>
      <c r="G775" s="65" t="inlineStr">
        <is>
          <t>Efectivo moneda extrajera (USD)</t>
        </is>
      </c>
      <c r="H775" s="63" t="inlineStr">
        <is>
          <t>124,00</t>
        </is>
      </c>
      <c r="I775" s="65" t="n">
        <v>268</v>
      </c>
      <c r="J775" s="65" t="inlineStr">
        <is>
          <t>00-00000805</t>
        </is>
      </c>
      <c r="K775" s="66" t="n">
        <v>46214</v>
      </c>
      <c r="L775" s="63" t="inlineStr">
        <is>
          <t>0,00</t>
        </is>
      </c>
      <c r="M775" s="63" t="inlineStr">
        <is>
          <t>0,00</t>
        </is>
      </c>
    </row>
    <row r="776">
      <c r="A776" s="66" t="n">
        <v>46107</v>
      </c>
      <c r="B776" s="65" t="inlineStr">
        <is>
          <t>PUSD1/2026/00032</t>
        </is>
      </c>
      <c r="C776" s="65" t="n">
        <v>65</v>
      </c>
      <c r="D776" s="65" t="inlineStr">
        <is>
          <t>Coffee Party, C.A.</t>
        </is>
      </c>
      <c r="E776" s="63" t="inlineStr">
        <is>
          <t>72,00</t>
        </is>
      </c>
      <c r="F776" s="65" t="inlineStr">
        <is>
          <t>USD</t>
        </is>
      </c>
      <c r="G776" s="65" t="inlineStr">
        <is>
          <t>Efectivo moneda extrajera (USD)</t>
        </is>
      </c>
      <c r="H776" s="63" t="inlineStr">
        <is>
          <t>72,00</t>
        </is>
      </c>
      <c r="I776" s="65" t="n">
        <v>223</v>
      </c>
      <c r="J776" s="65" t="inlineStr">
        <is>
          <t>00-00000745</t>
        </is>
      </c>
      <c r="K776" s="66" t="n">
        <v>46210</v>
      </c>
      <c r="L776" s="63" t="inlineStr">
        <is>
          <t>0,00</t>
        </is>
      </c>
      <c r="M776" s="63" t="inlineStr">
        <is>
          <t>0,00</t>
        </is>
      </c>
    </row>
    <row r="777">
      <c r="A777" s="66" t="n">
        <v>46107</v>
      </c>
      <c r="B777" s="65" t="inlineStr">
        <is>
          <t>PBAMI/2026/00020</t>
        </is>
      </c>
      <c r="C777" s="65" t="n">
        <v>66</v>
      </c>
      <c r="D777" s="65" t="inlineStr">
        <is>
          <t>Wuilliams bastidas</t>
        </is>
      </c>
      <c r="E777" s="63" t="inlineStr">
        <is>
          <t>28.000,00</t>
        </is>
      </c>
      <c r="F777" s="65" t="inlineStr">
        <is>
          <t>VES</t>
        </is>
      </c>
      <c r="G777" s="65" t="inlineStr">
        <is>
          <t>Banco Bancamiga 7806</t>
        </is>
      </c>
      <c r="H777" s="63" t="inlineStr">
        <is>
          <t>60,01</t>
        </is>
      </c>
      <c r="I777" s="65" t="n"/>
      <c r="J777" s="65" t="n"/>
      <c r="K777" s="65" t="n"/>
      <c r="L777" s="65" t="n"/>
      <c r="M777" s="65" t="n"/>
    </row>
    <row r="778">
      <c r="A778" s="66" t="n">
        <v>46106</v>
      </c>
      <c r="B778" s="65" t="inlineStr">
        <is>
          <t>PUSD1/2026/00019</t>
        </is>
      </c>
      <c r="C778" s="65" t="n">
        <v>38</v>
      </c>
      <c r="D778" s="65" t="inlineStr">
        <is>
          <t>EMPRENDIMIENTO IRMA RODRIGUEZ 6</t>
        </is>
      </c>
      <c r="E778" s="63" t="inlineStr">
        <is>
          <t>197,00</t>
        </is>
      </c>
      <c r="F778" s="65" t="inlineStr">
        <is>
          <t>USD</t>
        </is>
      </c>
      <c r="G778" s="65" t="inlineStr">
        <is>
          <t>Efectivo moneda extrajera (USD)</t>
        </is>
      </c>
      <c r="H778" s="63" t="inlineStr">
        <is>
          <t>197,00</t>
        </is>
      </c>
      <c r="I778" s="65" t="n"/>
      <c r="J778" s="65" t="n"/>
      <c r="K778" s="65" t="n"/>
      <c r="L778" s="65" t="n"/>
      <c r="M778" s="65" t="n"/>
    </row>
    <row r="779">
      <c r="A779" s="66" t="n">
        <v>46106</v>
      </c>
      <c r="B779" s="65" t="inlineStr">
        <is>
          <t>PUSD1/2026/00018</t>
        </is>
      </c>
      <c r="C779" s="65" t="n">
        <v>37</v>
      </c>
      <c r="D779" s="65" t="inlineStr">
        <is>
          <t>HIDRAULICAS CAICEDO C.A.</t>
        </is>
      </c>
      <c r="E779" s="63" t="inlineStr">
        <is>
          <t>110,00</t>
        </is>
      </c>
      <c r="F779" s="65" t="inlineStr">
        <is>
          <t>USD</t>
        </is>
      </c>
      <c r="G779" s="65" t="inlineStr">
        <is>
          <t>Efectivo moneda extrajera (USD)</t>
        </is>
      </c>
      <c r="H779" s="63" t="inlineStr">
        <is>
          <t>110,00</t>
        </is>
      </c>
      <c r="I779" s="65" t="n"/>
      <c r="J779" s="65" t="n"/>
      <c r="K779" s="65" t="n"/>
      <c r="L779" s="65" t="n"/>
      <c r="M779" s="65" t="n"/>
    </row>
    <row r="780">
      <c r="A780" s="66" t="n">
        <v>46106</v>
      </c>
      <c r="B780" s="65" t="inlineStr">
        <is>
          <t>PUSD1/2026/00017</t>
        </is>
      </c>
      <c r="C780" s="65" t="n">
        <v>36</v>
      </c>
      <c r="D780" s="65" t="inlineStr">
        <is>
          <t>AGROPECUARIA EL TORO DORADO, C.A</t>
        </is>
      </c>
      <c r="E780" s="63" t="inlineStr">
        <is>
          <t>99,01</t>
        </is>
      </c>
      <c r="F780" s="65" t="inlineStr">
        <is>
          <t>USD</t>
        </is>
      </c>
      <c r="G780" s="65" t="inlineStr">
        <is>
          <t>Efectivo moneda extrajera (USD)</t>
        </is>
      </c>
      <c r="H780" s="63" t="inlineStr">
        <is>
          <t>99,01</t>
        </is>
      </c>
      <c r="I780" s="65" t="n">
        <v>9</v>
      </c>
      <c r="J780" s="65" t="inlineStr">
        <is>
          <t>00-00000101</t>
        </is>
      </c>
      <c r="K780" s="66" t="n">
        <v>46106</v>
      </c>
      <c r="L780" s="63" t="inlineStr">
        <is>
          <t>0,00</t>
        </is>
      </c>
      <c r="M780" s="63" t="inlineStr">
        <is>
          <t>0,00</t>
        </is>
      </c>
    </row>
    <row r="781">
      <c r="A781" s="66" t="n">
        <v>46106</v>
      </c>
      <c r="B781" s="65" t="inlineStr">
        <is>
          <t>PUSD1/2026/00016</t>
        </is>
      </c>
      <c r="C781" s="65" t="n">
        <v>35</v>
      </c>
      <c r="D781" s="65" t="inlineStr">
        <is>
          <t>AGROPECUARIA EL TORO DORADO, C.A</t>
        </is>
      </c>
      <c r="E781" s="63" t="inlineStr">
        <is>
          <t>36,08</t>
        </is>
      </c>
      <c r="F781" s="65" t="inlineStr">
        <is>
          <t>USD</t>
        </is>
      </c>
      <c r="G781" s="65" t="inlineStr">
        <is>
          <t>Efectivo moneda extrajera (USD)</t>
        </is>
      </c>
      <c r="H781" s="63" t="inlineStr">
        <is>
          <t>36,08</t>
        </is>
      </c>
      <c r="I781" s="65" t="n">
        <v>8</v>
      </c>
      <c r="J781" s="65" t="inlineStr">
        <is>
          <t>00-00000100</t>
        </is>
      </c>
      <c r="K781" s="66" t="n">
        <v>46106</v>
      </c>
      <c r="L781" s="63" t="inlineStr">
        <is>
          <t>0,00</t>
        </is>
      </c>
      <c r="M781" s="63" t="inlineStr">
        <is>
          <t>0,00</t>
        </is>
      </c>
    </row>
    <row r="782">
      <c r="A782" s="66" t="n">
        <v>46106</v>
      </c>
      <c r="B782" s="65" t="inlineStr">
        <is>
          <t>PUSD1/2026/00015</t>
        </is>
      </c>
      <c r="C782" s="65" t="n">
        <v>34</v>
      </c>
      <c r="D782" s="65" t="inlineStr">
        <is>
          <t>AGROPECUARIA EL TORO DORADO, C.A</t>
        </is>
      </c>
      <c r="E782" s="63" t="inlineStr">
        <is>
          <t>972,03</t>
        </is>
      </c>
      <c r="F782" s="65" t="inlineStr">
        <is>
          <t>USD</t>
        </is>
      </c>
      <c r="G782" s="65" t="inlineStr">
        <is>
          <t>Efectivo moneda extrajera (USD)</t>
        </is>
      </c>
      <c r="H782" s="63" t="inlineStr">
        <is>
          <t>972,03</t>
        </is>
      </c>
      <c r="I782" s="65" t="n">
        <v>10</v>
      </c>
      <c r="J782" s="65" t="inlineStr">
        <is>
          <t>00-00000102</t>
        </is>
      </c>
      <c r="K782" s="66" t="n">
        <v>46106</v>
      </c>
      <c r="L782" s="63" t="inlineStr">
        <is>
          <t>0,00</t>
        </is>
      </c>
      <c r="M782" s="63" t="inlineStr">
        <is>
          <t>0,00</t>
        </is>
      </c>
    </row>
    <row r="783">
      <c r="A783" s="66" t="n">
        <v>46105</v>
      </c>
      <c r="B783" s="65" t="inlineStr">
        <is>
          <t>PUSD1/2026/00031</t>
        </is>
      </c>
      <c r="C783" s="65" t="n">
        <v>64</v>
      </c>
      <c r="D783" s="65" t="inlineStr">
        <is>
          <t>Motolavado Yahir</t>
        </is>
      </c>
      <c r="E783" s="63" t="inlineStr">
        <is>
          <t>30,00</t>
        </is>
      </c>
      <c r="F783" s="65" t="inlineStr">
        <is>
          <t>USD</t>
        </is>
      </c>
      <c r="G783" s="65" t="inlineStr">
        <is>
          <t>Efectivo moneda extrajera (USD)</t>
        </is>
      </c>
      <c r="H783" s="63" t="inlineStr">
        <is>
          <t>30,00</t>
        </is>
      </c>
      <c r="I783" s="65" t="n">
        <v>206</v>
      </c>
      <c r="J783" s="65" t="inlineStr">
        <is>
          <t>00-00000703</t>
        </is>
      </c>
      <c r="K783" s="66" t="n">
        <v>46204</v>
      </c>
      <c r="L783" s="63" t="inlineStr">
        <is>
          <t>0,00</t>
        </is>
      </c>
      <c r="M783" s="63" t="inlineStr">
        <is>
          <t>0,00</t>
        </is>
      </c>
    </row>
    <row r="784">
      <c r="A784" s="66" t="n">
        <v>46105</v>
      </c>
      <c r="B784" s="65" t="inlineStr">
        <is>
          <t>PBAMI/2026/00033</t>
        </is>
      </c>
      <c r="C784" s="65" t="n">
        <v>103</v>
      </c>
      <c r="D784" s="65" t="inlineStr">
        <is>
          <t>ZIP MARKET, CA</t>
        </is>
      </c>
      <c r="E784" s="63" t="inlineStr">
        <is>
          <t>42.729,08</t>
        </is>
      </c>
      <c r="F784" s="65" t="inlineStr">
        <is>
          <t>VES</t>
        </is>
      </c>
      <c r="G784" s="65" t="inlineStr">
        <is>
          <t>Banco Bancamiga 7806</t>
        </is>
      </c>
      <c r="H784" s="63" t="inlineStr">
        <is>
          <t>93,00</t>
        </is>
      </c>
      <c r="I784" s="65" t="n">
        <v>265</v>
      </c>
      <c r="J784" s="65" t="inlineStr">
        <is>
          <t>00-00000802</t>
        </is>
      </c>
      <c r="K784" s="66" t="n">
        <v>46214</v>
      </c>
      <c r="L784" s="63" t="inlineStr">
        <is>
          <t>0,00</t>
        </is>
      </c>
      <c r="M784" s="63" t="inlineStr">
        <is>
          <t>0,00</t>
        </is>
      </c>
    </row>
    <row r="785">
      <c r="A785" s="66" t="n">
        <v>46104</v>
      </c>
      <c r="B785" s="65" t="inlineStr">
        <is>
          <t>PUSD1/2026/00020</t>
        </is>
      </c>
      <c r="C785" s="65" t="n">
        <v>40</v>
      </c>
      <c r="D785" s="65" t="inlineStr">
        <is>
          <t>FREDI MARQUEZ</t>
        </is>
      </c>
      <c r="E785" s="63" t="inlineStr">
        <is>
          <t>130,00</t>
        </is>
      </c>
      <c r="F785" s="65" t="inlineStr">
        <is>
          <t>USD</t>
        </is>
      </c>
      <c r="G785" s="65" t="inlineStr">
        <is>
          <t>Efectivo moneda extrajera (USD)</t>
        </is>
      </c>
      <c r="H785" s="63" t="inlineStr">
        <is>
          <t>130,00</t>
        </is>
      </c>
      <c r="I785" s="65" t="n"/>
      <c r="J785" s="65" t="n"/>
      <c r="K785" s="65" t="n"/>
      <c r="L785" s="65" t="n"/>
      <c r="M785" s="65" t="n"/>
    </row>
    <row r="786">
      <c r="A786" s="66" t="n">
        <v>46104</v>
      </c>
      <c r="B786" s="65" t="inlineStr">
        <is>
          <t>PBAMI/2026/00019</t>
        </is>
      </c>
      <c r="C786" s="65" t="n">
        <v>63</v>
      </c>
      <c r="D786" s="65" t="inlineStr">
        <is>
          <t>Autoelectronica Oranel, C.A.</t>
        </is>
      </c>
      <c r="E786" s="63" t="inlineStr">
        <is>
          <t>32.691,98</t>
        </is>
      </c>
      <c r="F786" s="65" t="inlineStr">
        <is>
          <t>VES</t>
        </is>
      </c>
      <c r="G786" s="65" t="inlineStr">
        <is>
          <t>Banco Bancamiga 7806</t>
        </is>
      </c>
      <c r="H786" s="63" t="inlineStr">
        <is>
          <t>71,52</t>
        </is>
      </c>
      <c r="I786" s="65" t="n">
        <v>244</v>
      </c>
      <c r="J786" s="65" t="inlineStr">
        <is>
          <t>00-00000766</t>
        </is>
      </c>
      <c r="K786" s="66" t="n">
        <v>46210</v>
      </c>
      <c r="L786" s="63" t="inlineStr">
        <is>
          <t>0,00</t>
        </is>
      </c>
      <c r="M786" s="63" t="inlineStr">
        <is>
          <t>0,00</t>
        </is>
      </c>
    </row>
    <row r="787">
      <c r="A787" s="66" t="n">
        <v>46104</v>
      </c>
      <c r="B787" s="65" t="inlineStr">
        <is>
          <t>PBAMI/2026/00010</t>
        </is>
      </c>
      <c r="C787" s="65" t="n">
        <v>30</v>
      </c>
      <c r="D787" s="65" t="inlineStr">
        <is>
          <t>JOSE STURCHIO CAPPELLANIA</t>
        </is>
      </c>
      <c r="E787" s="63" t="inlineStr">
        <is>
          <t>24.522,12</t>
        </is>
      </c>
      <c r="F787" s="65" t="inlineStr">
        <is>
          <t>VES</t>
        </is>
      </c>
      <c r="G787" s="65" t="inlineStr">
        <is>
          <t>Banco Bancamiga 7806</t>
        </is>
      </c>
      <c r="H787" s="63" t="inlineStr">
        <is>
          <t>53,65</t>
        </is>
      </c>
      <c r="I787" s="65" t="n">
        <v>3</v>
      </c>
      <c r="J787" s="65" t="inlineStr">
        <is>
          <t>00-00000083</t>
        </is>
      </c>
      <c r="K787" s="66" t="n">
        <v>46104</v>
      </c>
      <c r="L787" s="63" t="inlineStr">
        <is>
          <t>0,00</t>
        </is>
      </c>
      <c r="M787" s="63" t="inlineStr">
        <is>
          <t>0,00</t>
        </is>
      </c>
    </row>
    <row r="788">
      <c r="A788" s="66" t="n">
        <v>46100</v>
      </c>
      <c r="B788" s="65" t="inlineStr">
        <is>
          <t>PUSD1/2026/00014</t>
        </is>
      </c>
      <c r="C788" s="65" t="n">
        <v>28</v>
      </c>
      <c r="D788" s="65" t="inlineStr">
        <is>
          <t>EMPRENDIMIENTO IRMA RODRIGUEZ 6</t>
        </is>
      </c>
      <c r="E788" s="63" t="inlineStr">
        <is>
          <t>126,00</t>
        </is>
      </c>
      <c r="F788" s="65" t="inlineStr">
        <is>
          <t>USD</t>
        </is>
      </c>
      <c r="G788" s="65" t="inlineStr">
        <is>
          <t>Efectivo moneda extrajera (USD)</t>
        </is>
      </c>
      <c r="H788" s="63" t="inlineStr">
        <is>
          <t>126,00</t>
        </is>
      </c>
      <c r="I788" s="65" t="n">
        <v>39</v>
      </c>
      <c r="J788" s="65" t="inlineStr">
        <is>
          <t>00-00000308</t>
        </is>
      </c>
      <c r="K788" s="66" t="n">
        <v>46154</v>
      </c>
      <c r="L788" s="63" t="inlineStr">
        <is>
          <t>0,00</t>
        </is>
      </c>
      <c r="M788" s="63" t="inlineStr">
        <is>
          <t>0,00</t>
        </is>
      </c>
    </row>
    <row r="789">
      <c r="A789" s="66" t="n">
        <v>46100</v>
      </c>
      <c r="B789" s="65" t="inlineStr">
        <is>
          <t>PUSD1/2026/00013</t>
        </is>
      </c>
      <c r="C789" s="65" t="n">
        <v>27</v>
      </c>
      <c r="D789" s="65" t="inlineStr">
        <is>
          <t>GARAJE Y TALLERES FRIDELBA, C.A</t>
        </is>
      </c>
      <c r="E789" s="63" t="inlineStr">
        <is>
          <t>175,00</t>
        </is>
      </c>
      <c r="F789" s="65" t="inlineStr">
        <is>
          <t>USD</t>
        </is>
      </c>
      <c r="G789" s="65" t="inlineStr">
        <is>
          <t>Efectivo moneda extrajera (USD)</t>
        </is>
      </c>
      <c r="H789" s="63" t="inlineStr">
        <is>
          <t>175,00</t>
        </is>
      </c>
      <c r="I789" s="65" t="n">
        <v>47</v>
      </c>
      <c r="J789" s="65" t="inlineStr">
        <is>
          <t>00-00000323</t>
        </is>
      </c>
      <c r="K789" s="66" t="n">
        <v>46155</v>
      </c>
      <c r="L789" s="63" t="inlineStr">
        <is>
          <t>0,00</t>
        </is>
      </c>
      <c r="M789" s="63" t="inlineStr">
        <is>
          <t>0,00</t>
        </is>
      </c>
    </row>
    <row r="790">
      <c r="A790" s="65" t="n"/>
      <c r="B790" s="65" t="n"/>
      <c r="C790" s="65" t="n"/>
      <c r="D790" s="65" t="n"/>
      <c r="E790" s="65" t="n"/>
      <c r="F790" s="65" t="n"/>
      <c r="G790" s="65" t="n"/>
      <c r="H790" s="65" t="n"/>
      <c r="I790" s="65" t="n">
        <v>46</v>
      </c>
      <c r="J790" s="65" t="inlineStr">
        <is>
          <t>00-00000322</t>
        </is>
      </c>
      <c r="K790" s="66" t="n">
        <v>46155</v>
      </c>
      <c r="L790" s="63" t="inlineStr">
        <is>
          <t>0,00</t>
        </is>
      </c>
      <c r="M790" s="63" t="inlineStr">
        <is>
          <t>0,00</t>
        </is>
      </c>
    </row>
    <row r="791">
      <c r="A791" s="66" t="n">
        <v>46100</v>
      </c>
      <c r="B791" s="65" t="inlineStr">
        <is>
          <t>PUSD1/2026/00012</t>
        </is>
      </c>
      <c r="C791" s="65" t="n">
        <v>26</v>
      </c>
      <c r="D791" s="65" t="inlineStr">
        <is>
          <t>Auto repuestos Fontalvo</t>
        </is>
      </c>
      <c r="E791" s="63" t="inlineStr">
        <is>
          <t>50,00</t>
        </is>
      </c>
      <c r="F791" s="65" t="inlineStr">
        <is>
          <t>USD</t>
        </is>
      </c>
      <c r="G791" s="65" t="inlineStr">
        <is>
          <t>Efectivo moneda extrajera (USD)</t>
        </is>
      </c>
      <c r="H791" s="63" t="inlineStr">
        <is>
          <t>50,00</t>
        </is>
      </c>
      <c r="I791" s="65" t="n">
        <v>64</v>
      </c>
      <c r="J791" s="65" t="inlineStr">
        <is>
          <t>00-00000378</t>
        </is>
      </c>
      <c r="K791" s="66" t="n">
        <v>46161</v>
      </c>
      <c r="L791" s="63" t="inlineStr">
        <is>
          <t>0,00</t>
        </is>
      </c>
      <c r="M791" s="63" t="inlineStr">
        <is>
          <t>0,00</t>
        </is>
      </c>
    </row>
    <row r="792">
      <c r="A792" s="66" t="n">
        <v>46100</v>
      </c>
      <c r="B792" s="65" t="inlineStr">
        <is>
          <t>PBAMI/2026/00009</t>
        </is>
      </c>
      <c r="C792" s="65" t="n">
        <v>29</v>
      </c>
      <c r="D792" s="65" t="inlineStr">
        <is>
          <t>ZIP MARKET, CA</t>
        </is>
      </c>
      <c r="E792" s="63" t="inlineStr">
        <is>
          <t>36.196,75</t>
        </is>
      </c>
      <c r="F792" s="65" t="inlineStr">
        <is>
          <t>VES</t>
        </is>
      </c>
      <c r="G792" s="65" t="inlineStr">
        <is>
          <t>Banco Bancamiga 7806</t>
        </is>
      </c>
      <c r="H792" s="63" t="inlineStr">
        <is>
          <t>80,17</t>
        </is>
      </c>
      <c r="I792" s="65" t="n">
        <v>251</v>
      </c>
      <c r="J792" s="65" t="inlineStr">
        <is>
          <t>00-00000773</t>
        </is>
      </c>
      <c r="K792" s="66" t="n">
        <v>46211</v>
      </c>
      <c r="L792" s="63" t="inlineStr">
        <is>
          <t>0,00</t>
        </is>
      </c>
      <c r="M792" s="63" t="inlineStr">
        <is>
          <t>0,00</t>
        </is>
      </c>
    </row>
    <row r="793">
      <c r="A793" s="66" t="n">
        <v>46098</v>
      </c>
      <c r="B793" s="65" t="inlineStr">
        <is>
          <t>PUSD1/2026/00009</t>
        </is>
      </c>
      <c r="C793" s="65" t="n">
        <v>21</v>
      </c>
      <c r="D793" s="65" t="inlineStr">
        <is>
          <t>HIDRAULICAS CAICEDO C.A.</t>
        </is>
      </c>
      <c r="E793" s="63" t="inlineStr">
        <is>
          <t>146,00</t>
        </is>
      </c>
      <c r="F793" s="65" t="inlineStr">
        <is>
          <t>USD</t>
        </is>
      </c>
      <c r="G793" s="65" t="inlineStr">
        <is>
          <t>Efectivo moneda extrajera (USD)</t>
        </is>
      </c>
      <c r="H793" s="63" t="inlineStr">
        <is>
          <t>146,00</t>
        </is>
      </c>
      <c r="I793" s="65" t="n"/>
      <c r="J793" s="65" t="n"/>
      <c r="K793" s="65" t="n"/>
      <c r="L793" s="65" t="n"/>
      <c r="M793" s="65" t="n"/>
    </row>
    <row r="794">
      <c r="A794" s="66" t="n">
        <v>46098</v>
      </c>
      <c r="B794" s="65" t="inlineStr">
        <is>
          <t>PUSD1/2026/00008</t>
        </is>
      </c>
      <c r="C794" s="65" t="n">
        <v>20</v>
      </c>
      <c r="D794" s="65" t="inlineStr">
        <is>
          <t>Multiservicios Sanahuja 36 C.A</t>
        </is>
      </c>
      <c r="E794" s="63" t="inlineStr">
        <is>
          <t>30,00</t>
        </is>
      </c>
      <c r="F794" s="65" t="inlineStr">
        <is>
          <t>USD</t>
        </is>
      </c>
      <c r="G794" s="65" t="inlineStr">
        <is>
          <t>Efectivo moneda extrajera (USD)</t>
        </is>
      </c>
      <c r="H794" s="63" t="inlineStr">
        <is>
          <t>30,00</t>
        </is>
      </c>
      <c r="I794" s="65" t="n">
        <v>238</v>
      </c>
      <c r="J794" s="65" t="inlineStr">
        <is>
          <t>00-00000760</t>
        </is>
      </c>
      <c r="K794" s="66" t="n">
        <v>46210</v>
      </c>
      <c r="L794" s="63" t="inlineStr">
        <is>
          <t>0,00</t>
        </is>
      </c>
      <c r="M794" s="63" t="inlineStr">
        <is>
          <t>0,00</t>
        </is>
      </c>
    </row>
    <row r="795">
      <c r="A795" s="66" t="n">
        <v>46097</v>
      </c>
      <c r="B795" s="65" t="inlineStr">
        <is>
          <t>PBAMI/2026/00007</t>
        </is>
      </c>
      <c r="C795" s="65" t="n">
        <v>18</v>
      </c>
      <c r="D795" s="65" t="inlineStr">
        <is>
          <t>EMPRENDIMIENTO TOMAS MARCANO 5</t>
        </is>
      </c>
      <c r="E795" s="63" t="inlineStr">
        <is>
          <t>7.670,00</t>
        </is>
      </c>
      <c r="F795" s="65" t="inlineStr">
        <is>
          <t>VES</t>
        </is>
      </c>
      <c r="G795" s="65" t="inlineStr">
        <is>
          <t>Banco Bancamiga 7806</t>
        </is>
      </c>
      <c r="H795" s="63" t="inlineStr">
        <is>
          <t>15,03</t>
        </is>
      </c>
      <c r="I795" s="65" t="n">
        <v>270</v>
      </c>
      <c r="J795" s="65" t="inlineStr">
        <is>
          <t>00-00000807</t>
        </is>
      </c>
      <c r="K795" s="66" t="n">
        <v>46214</v>
      </c>
      <c r="L795" s="63" t="inlineStr">
        <is>
          <t>442,07</t>
        </is>
      </c>
      <c r="M795" s="63" t="inlineStr">
        <is>
          <t>0,00</t>
        </is>
      </c>
    </row>
    <row r="796">
      <c r="A796" s="66" t="n">
        <v>46094</v>
      </c>
      <c r="B796" s="65" t="inlineStr">
        <is>
          <t>PUSD1/2026/00007</t>
        </is>
      </c>
      <c r="C796" s="65" t="n">
        <v>19</v>
      </c>
      <c r="D796" s="65" t="inlineStr">
        <is>
          <t>Multiservicios Sanahuja 36 C.A</t>
        </is>
      </c>
      <c r="E796" s="63" t="inlineStr">
        <is>
          <t>66,00</t>
        </is>
      </c>
      <c r="F796" s="65" t="inlineStr">
        <is>
          <t>USD</t>
        </is>
      </c>
      <c r="G796" s="65" t="inlineStr">
        <is>
          <t>Efectivo moneda extrajera (USD)</t>
        </is>
      </c>
      <c r="H796" s="63" t="inlineStr">
        <is>
          <t>66,00</t>
        </is>
      </c>
      <c r="I796" s="65" t="n">
        <v>238</v>
      </c>
      <c r="J796" s="65" t="inlineStr">
        <is>
          <t>00-00000760</t>
        </is>
      </c>
      <c r="K796" s="66" t="n">
        <v>46210</v>
      </c>
      <c r="L796" s="63" t="inlineStr">
        <is>
          <t>0,00</t>
        </is>
      </c>
      <c r="M796" s="63" t="inlineStr">
        <is>
          <t>0,00</t>
        </is>
      </c>
    </row>
    <row r="797">
      <c r="A797" s="66" t="n">
        <v>46094</v>
      </c>
      <c r="B797" s="65" t="inlineStr">
        <is>
          <t>PUSD1/2026/00006</t>
        </is>
      </c>
      <c r="C797" s="65" t="n">
        <v>15</v>
      </c>
      <c r="D797" s="65" t="inlineStr">
        <is>
          <t>EMPRENDIMIENTO IRMA RODRIGUEZ 6</t>
        </is>
      </c>
      <c r="E797" s="63" t="inlineStr">
        <is>
          <t>132,00</t>
        </is>
      </c>
      <c r="F797" s="65" t="inlineStr">
        <is>
          <t>USD</t>
        </is>
      </c>
      <c r="G797" s="65" t="inlineStr">
        <is>
          <t>Efectivo moneda extrajera (USD)</t>
        </is>
      </c>
      <c r="H797" s="63" t="inlineStr">
        <is>
          <t>132,00</t>
        </is>
      </c>
      <c r="I797" s="65" t="n"/>
      <c r="J797" s="65" t="n"/>
      <c r="K797" s="65" t="n"/>
      <c r="L797" s="65" t="n"/>
      <c r="M797" s="65" t="n"/>
    </row>
    <row r="798">
      <c r="A798" s="66" t="n">
        <v>46094</v>
      </c>
      <c r="B798" s="65" t="inlineStr">
        <is>
          <t>PUSD1/2026/00005</t>
        </is>
      </c>
      <c r="C798" s="65" t="n">
        <v>14</v>
      </c>
      <c r="D798" s="65" t="inlineStr">
        <is>
          <t>EMPRENDIMIENTO IRMA RODRIGUEZ 6</t>
        </is>
      </c>
      <c r="E798" s="63" t="inlineStr">
        <is>
          <t>130,00</t>
        </is>
      </c>
      <c r="F798" s="65" t="inlineStr">
        <is>
          <t>USD</t>
        </is>
      </c>
      <c r="G798" s="65" t="inlineStr">
        <is>
          <t>Efectivo moneda extrajera (USD)</t>
        </is>
      </c>
      <c r="H798" s="63" t="inlineStr">
        <is>
          <t>130,00</t>
        </is>
      </c>
      <c r="I798" s="65" t="n"/>
      <c r="J798" s="65" t="n"/>
      <c r="K798" s="65" t="n"/>
      <c r="L798" s="65" t="n"/>
      <c r="M798" s="65" t="n"/>
    </row>
    <row r="799">
      <c r="A799" s="66" t="n">
        <v>46094</v>
      </c>
      <c r="B799" s="65" t="inlineStr">
        <is>
          <t>PBAMI/2026/00005</t>
        </is>
      </c>
      <c r="C799" s="65" t="n">
        <v>16</v>
      </c>
      <c r="D799" s="65" t="inlineStr">
        <is>
          <t>ALIPLUS TRASPORTE Y EQUIPOS, CA</t>
        </is>
      </c>
      <c r="E799" s="63" t="inlineStr">
        <is>
          <t>106.455,68</t>
        </is>
      </c>
      <c r="F799" s="65" t="inlineStr">
        <is>
          <t>VES</t>
        </is>
      </c>
      <c r="G799" s="65" t="inlineStr">
        <is>
          <t>Banco Bancamiga 7806</t>
        </is>
      </c>
      <c r="H799" s="63" t="inlineStr">
        <is>
          <t>240,17</t>
        </is>
      </c>
      <c r="I799" s="65" t="n">
        <v>2</v>
      </c>
      <c r="J799" s="65" t="inlineStr">
        <is>
          <t>00-00000002</t>
        </is>
      </c>
      <c r="K799" s="66" t="n">
        <v>46094</v>
      </c>
      <c r="L799" s="63" t="inlineStr">
        <is>
          <t>0,00</t>
        </is>
      </c>
      <c r="M799" s="63" t="inlineStr">
        <is>
          <t>0,00</t>
        </is>
      </c>
    </row>
    <row r="800">
      <c r="A800" s="66" t="n">
        <v>46094</v>
      </c>
      <c r="B800" s="65" t="inlineStr">
        <is>
          <t>PBAMI/2026/00004</t>
        </is>
      </c>
      <c r="C800" s="65" t="n">
        <v>13</v>
      </c>
      <c r="D800" s="65" t="inlineStr">
        <is>
          <t>E&amp;M CAR SHOP C.A</t>
        </is>
      </c>
      <c r="E800" s="63" t="inlineStr">
        <is>
          <t>203.899,00</t>
        </is>
      </c>
      <c r="F800" s="65" t="inlineStr">
        <is>
          <t>VES</t>
        </is>
      </c>
      <c r="G800" s="65" t="inlineStr">
        <is>
          <t>Banco Bancamiga 7806</t>
        </is>
      </c>
      <c r="H800" s="63" t="inlineStr">
        <is>
          <t>460,00</t>
        </is>
      </c>
      <c r="I800" s="65" t="n"/>
      <c r="J800" s="65" t="n"/>
      <c r="K800" s="65" t="n"/>
      <c r="L800" s="65" t="n"/>
      <c r="M800" s="65" t="n"/>
    </row>
    <row r="801">
      <c r="A801" s="66" t="n">
        <v>46093</v>
      </c>
      <c r="B801" s="65" t="inlineStr">
        <is>
          <t>PUSD1/2026/00011</t>
        </is>
      </c>
      <c r="C801" s="65" t="n">
        <v>25</v>
      </c>
      <c r="D801" s="65" t="inlineStr">
        <is>
          <t>Ruben Dario Fernandez</t>
        </is>
      </c>
      <c r="E801" s="63" t="inlineStr">
        <is>
          <t>36,00</t>
        </is>
      </c>
      <c r="F801" s="65" t="inlineStr">
        <is>
          <t>USD</t>
        </is>
      </c>
      <c r="G801" s="65" t="inlineStr">
        <is>
          <t>Efectivo moneda extrajera (USD)</t>
        </is>
      </c>
      <c r="H801" s="63" t="inlineStr">
        <is>
          <t>36,00</t>
        </is>
      </c>
      <c r="I801" s="65" t="n">
        <v>67</v>
      </c>
      <c r="J801" s="65" t="inlineStr">
        <is>
          <t>00-00000381</t>
        </is>
      </c>
      <c r="K801" s="66" t="n">
        <v>46161</v>
      </c>
      <c r="L801" s="63" t="inlineStr">
        <is>
          <t>0,00</t>
        </is>
      </c>
      <c r="M801" s="63" t="inlineStr">
        <is>
          <t>0,00</t>
        </is>
      </c>
    </row>
    <row r="802">
      <c r="A802" s="66" t="n">
        <v>46093</v>
      </c>
      <c r="B802" s="65" t="inlineStr">
        <is>
          <t>PBAMI/2026/00006</t>
        </is>
      </c>
      <c r="C802" s="65" t="n">
        <v>17</v>
      </c>
      <c r="D802" s="65" t="inlineStr">
        <is>
          <t>EMPRENDIMIENTO TOMAS MARCANO 5</t>
        </is>
      </c>
      <c r="E802" s="63" t="inlineStr">
        <is>
          <t>16.606,59</t>
        </is>
      </c>
      <c r="F802" s="65" t="inlineStr">
        <is>
          <t>VES</t>
        </is>
      </c>
      <c r="G802" s="65" t="inlineStr">
        <is>
          <t>Banco Bancamiga 7806</t>
        </is>
      </c>
      <c r="H802" s="63" t="inlineStr">
        <is>
          <t>32,53</t>
        </is>
      </c>
      <c r="I802" s="65" t="n">
        <v>270</v>
      </c>
      <c r="J802" s="65" t="inlineStr">
        <is>
          <t>00-00000807</t>
        </is>
      </c>
      <c r="K802" s="66" t="n">
        <v>46214</v>
      </c>
      <c r="L802" s="63" t="inlineStr">
        <is>
          <t>442,07</t>
        </is>
      </c>
      <c r="M802" s="63" t="inlineStr">
        <is>
          <t>0,00</t>
        </is>
      </c>
    </row>
    <row r="803">
      <c r="A803" s="66" t="n">
        <v>46092</v>
      </c>
      <c r="B803" s="65" t="inlineStr">
        <is>
          <t>PBDV/2026/00002</t>
        </is>
      </c>
      <c r="C803" s="65" t="n">
        <v>24</v>
      </c>
      <c r="D803" s="65" t="inlineStr">
        <is>
          <t>Jesus luciani Russiani.</t>
        </is>
      </c>
      <c r="E803" s="63" t="inlineStr">
        <is>
          <t>70.112,00</t>
        </is>
      </c>
      <c r="F803" s="65" t="inlineStr">
        <is>
          <t>VES</t>
        </is>
      </c>
      <c r="G803" s="65" t="inlineStr">
        <is>
          <t>Banco de Venezuela 6891</t>
        </is>
      </c>
      <c r="H803" s="63" t="inlineStr">
        <is>
          <t>160,00</t>
        </is>
      </c>
      <c r="I803" s="65" t="n">
        <v>65</v>
      </c>
      <c r="J803" s="65" t="inlineStr">
        <is>
          <t>00-00000379</t>
        </is>
      </c>
      <c r="K803" s="66" t="n">
        <v>46161</v>
      </c>
      <c r="L803" s="63" t="inlineStr">
        <is>
          <t>0,00</t>
        </is>
      </c>
      <c r="M803" s="63" t="inlineStr">
        <is>
          <t>0,00</t>
        </is>
      </c>
    </row>
    <row r="804">
      <c r="A804" s="66" t="n">
        <v>46090</v>
      </c>
      <c r="B804" s="65" t="inlineStr">
        <is>
          <t>PUSD1/2026/00004</t>
        </is>
      </c>
      <c r="C804" s="65" t="n">
        <v>12</v>
      </c>
      <c r="D804" s="65" t="inlineStr">
        <is>
          <t>FREDI MARQUEZ</t>
        </is>
      </c>
      <c r="E804" s="63" t="inlineStr">
        <is>
          <t>65,00</t>
        </is>
      </c>
      <c r="F804" s="65" t="inlineStr">
        <is>
          <t>USD</t>
        </is>
      </c>
      <c r="G804" s="65" t="inlineStr">
        <is>
          <t>Efectivo moneda extrajera (USD)</t>
        </is>
      </c>
      <c r="H804" s="63" t="inlineStr">
        <is>
          <t>65,00</t>
        </is>
      </c>
      <c r="I804" s="65" t="n">
        <v>106</v>
      </c>
      <c r="J804" s="65" t="inlineStr">
        <is>
          <t>00-00000478</t>
        </is>
      </c>
      <c r="K804" s="66" t="n">
        <v>46175</v>
      </c>
      <c r="L804" s="63" t="inlineStr">
        <is>
          <t>0,00</t>
        </is>
      </c>
      <c r="M804" s="63" t="inlineStr">
        <is>
          <t>0,00</t>
        </is>
      </c>
    </row>
    <row r="805">
      <c r="A805" s="66" t="n">
        <v>46090</v>
      </c>
      <c r="B805" s="65" t="inlineStr">
        <is>
          <t>PUSD1/2026/00003</t>
        </is>
      </c>
      <c r="C805" s="65" t="n">
        <v>9</v>
      </c>
      <c r="D805" s="65" t="inlineStr">
        <is>
          <t>INVERSIONES IRETE SUKA, C.A</t>
        </is>
      </c>
      <c r="E805" s="63" t="inlineStr">
        <is>
          <t>48,00</t>
        </is>
      </c>
      <c r="F805" s="65" t="inlineStr">
        <is>
          <t>USD</t>
        </is>
      </c>
      <c r="G805" s="65" t="inlineStr">
        <is>
          <t>Efectivo moneda extrajera (USD)</t>
        </is>
      </c>
      <c r="H805" s="63" t="inlineStr">
        <is>
          <t>48,00</t>
        </is>
      </c>
      <c r="I805" s="65" t="n"/>
      <c r="J805" s="65" t="n"/>
      <c r="K805" s="65" t="n"/>
      <c r="L805" s="65" t="n"/>
      <c r="M805" s="65" t="n"/>
    </row>
    <row r="806">
      <c r="A806" s="66" t="n">
        <v>46090</v>
      </c>
      <c r="B806" s="65" t="inlineStr">
        <is>
          <t>PBAMI/2026/00008</t>
        </is>
      </c>
      <c r="C806" s="65" t="n">
        <v>23</v>
      </c>
      <c r="D806" s="65" t="inlineStr">
        <is>
          <t>Rawy Xavier Melendez Caripa</t>
        </is>
      </c>
      <c r="E806" s="63" t="inlineStr">
        <is>
          <t>820.035,98</t>
        </is>
      </c>
      <c r="F806" s="65" t="inlineStr">
        <is>
          <t>VES</t>
        </is>
      </c>
      <c r="G806" s="65" t="inlineStr">
        <is>
          <t>Banco Bancamiga 7806</t>
        </is>
      </c>
      <c r="H806" s="63" t="inlineStr">
        <is>
          <t>1.893,12</t>
        </is>
      </c>
      <c r="I806" s="65" t="n">
        <v>243</v>
      </c>
      <c r="J806" s="65" t="inlineStr">
        <is>
          <t>00-00000765</t>
        </is>
      </c>
      <c r="K806" s="66" t="n">
        <v>46210</v>
      </c>
      <c r="L806" s="63" t="inlineStr">
        <is>
          <t>0,00</t>
        </is>
      </c>
      <c r="M806" s="63" t="inlineStr">
        <is>
          <t>0,00</t>
        </is>
      </c>
    </row>
    <row r="807">
      <c r="A807" s="66" t="n">
        <v>46087</v>
      </c>
      <c r="B807" s="65" t="inlineStr">
        <is>
          <t>PBAMI/2026/00003</t>
        </is>
      </c>
      <c r="C807" s="65" t="n">
        <v>10</v>
      </c>
      <c r="D807" s="65" t="inlineStr">
        <is>
          <t>Ferretería JJ Martins c.a</t>
        </is>
      </c>
      <c r="E807" s="63" t="inlineStr">
        <is>
          <t>43.501,00</t>
        </is>
      </c>
      <c r="F807" s="65" t="inlineStr">
        <is>
          <t>VES</t>
        </is>
      </c>
      <c r="G807" s="65" t="inlineStr">
        <is>
          <t>Banco Bancamiga 7806</t>
        </is>
      </c>
      <c r="H807" s="63" t="inlineStr">
        <is>
          <t>100,93</t>
        </is>
      </c>
      <c r="I807" s="65" t="n"/>
      <c r="J807" s="65" t="n"/>
      <c r="K807" s="65" t="n"/>
      <c r="L807" s="65" t="n"/>
      <c r="M807" s="65" t="n"/>
    </row>
    <row r="808">
      <c r="A808" s="66" t="n">
        <v>46087</v>
      </c>
      <c r="B808" s="65" t="inlineStr">
        <is>
          <t>PBAMI/2026/00001</t>
        </is>
      </c>
      <c r="C808" s="65" t="n">
        <v>11</v>
      </c>
      <c r="D808" s="65" t="inlineStr">
        <is>
          <t>ALIPLUS TRASPORTE Y EQUIPOS, CA</t>
        </is>
      </c>
      <c r="E808" s="63" t="inlineStr">
        <is>
          <t>56.462,48</t>
        </is>
      </c>
      <c r="F808" s="65" t="inlineStr">
        <is>
          <t>VES</t>
        </is>
      </c>
      <c r="G808" s="65" t="inlineStr">
        <is>
          <t>Banco Bancamiga 7806</t>
        </is>
      </c>
      <c r="H808" s="63" t="inlineStr">
        <is>
          <t>131,00</t>
        </is>
      </c>
      <c r="I808" s="65" t="n">
        <v>1</v>
      </c>
      <c r="J808" s="65" t="inlineStr">
        <is>
          <t>00-00000001</t>
        </is>
      </c>
      <c r="K808" s="66" t="n">
        <v>46087</v>
      </c>
      <c r="L808" s="63" t="inlineStr">
        <is>
          <t>0,00</t>
        </is>
      </c>
      <c r="M808" s="63" t="inlineStr">
        <is>
          <t>0,00</t>
        </is>
      </c>
    </row>
    <row r="809">
      <c r="A809" s="66" t="n">
        <v>46086</v>
      </c>
      <c r="B809" s="65" t="inlineStr">
        <is>
          <t>PUSD1/2026/00010</t>
        </is>
      </c>
      <c r="C809" s="65" t="n">
        <v>22</v>
      </c>
      <c r="D809" s="65" t="inlineStr">
        <is>
          <t>Angel ARMAS</t>
        </is>
      </c>
      <c r="E809" s="63" t="inlineStr">
        <is>
          <t>195,00</t>
        </is>
      </c>
      <c r="F809" s="65" t="inlineStr">
        <is>
          <t>USD</t>
        </is>
      </c>
      <c r="G809" s="65" t="inlineStr">
        <is>
          <t>Efectivo moneda extrajera (USD)</t>
        </is>
      </c>
      <c r="H809" s="63" t="inlineStr">
        <is>
          <t>195,00</t>
        </is>
      </c>
      <c r="I809" s="65" t="n">
        <v>247</v>
      </c>
      <c r="J809" s="65" t="inlineStr">
        <is>
          <t>00-00000769</t>
        </is>
      </c>
      <c r="K809" s="66" t="n">
        <v>46210</v>
      </c>
      <c r="L809" s="63" t="inlineStr">
        <is>
          <t>0,00</t>
        </is>
      </c>
      <c r="M809" s="63" t="inlineStr">
        <is>
          <t>0,00</t>
        </is>
      </c>
    </row>
    <row r="810">
      <c r="A810" s="65" t="n"/>
      <c r="B810" s="65" t="n"/>
      <c r="C810" s="65" t="n"/>
      <c r="D810" s="65" t="n"/>
      <c r="E810" s="65" t="n"/>
      <c r="F810" s="65" t="n"/>
      <c r="G810" s="65" t="n"/>
      <c r="H810" s="65" t="n"/>
      <c r="I810" s="65" t="n">
        <v>287</v>
      </c>
      <c r="J810" s="65" t="inlineStr">
        <is>
          <t>00-00000825</t>
        </is>
      </c>
      <c r="K810" s="66" t="n">
        <v>46214</v>
      </c>
      <c r="L810" s="63" t="inlineStr">
        <is>
          <t>0,00</t>
        </is>
      </c>
      <c r="M810" s="63" t="inlineStr">
        <is>
          <t>0,00</t>
        </is>
      </c>
    </row>
    <row r="811">
      <c r="A811" s="66" t="n">
        <v>46086</v>
      </c>
      <c r="B811" s="65" t="inlineStr">
        <is>
          <t>PBDV/2026/00001</t>
        </is>
      </c>
      <c r="C811" s="65" t="n">
        <v>3</v>
      </c>
      <c r="D811" s="65" t="inlineStr">
        <is>
          <t>Ricardo A. Fernandez.</t>
        </is>
      </c>
      <c r="E811" s="63" t="inlineStr">
        <is>
          <t>29.489,51</t>
        </is>
      </c>
      <c r="F811" s="65" t="inlineStr">
        <is>
          <t>VES</t>
        </is>
      </c>
      <c r="G811" s="65" t="inlineStr">
        <is>
          <t>Banco de Venezuela 6891</t>
        </is>
      </c>
      <c r="H811" s="63" t="inlineStr">
        <is>
          <t>68,91</t>
        </is>
      </c>
      <c r="I811" s="65" t="n"/>
      <c r="J811" s="65" t="n"/>
      <c r="K811" s="65" t="n"/>
      <c r="L811" s="65" t="n"/>
      <c r="M811" s="65" t="n"/>
    </row>
    <row r="812">
      <c r="A812" s="66" t="n">
        <v>46084</v>
      </c>
      <c r="B812" s="65" t="inlineStr">
        <is>
          <t>PUSD1/2026/00002</t>
        </is>
      </c>
      <c r="C812" s="65" t="n">
        <v>4</v>
      </c>
      <c r="D812" s="65" t="inlineStr">
        <is>
          <t>EMPRENDIMIENTO IRMA RODRIGUEZ 6</t>
        </is>
      </c>
      <c r="E812" s="63" t="inlineStr">
        <is>
          <t>246,00</t>
        </is>
      </c>
      <c r="F812" s="65" t="inlineStr">
        <is>
          <t>USD</t>
        </is>
      </c>
      <c r="G812" s="65" t="inlineStr">
        <is>
          <t>Efectivo moneda extrajera (USD)</t>
        </is>
      </c>
      <c r="H812" s="63" t="inlineStr">
        <is>
          <t>246,00</t>
        </is>
      </c>
      <c r="I812" s="65" t="n">
        <v>249</v>
      </c>
      <c r="J812" s="65" t="inlineStr">
        <is>
          <t>00-00000771</t>
        </is>
      </c>
      <c r="K812" s="66" t="n">
        <v>46210</v>
      </c>
      <c r="L812" s="63" t="inlineStr">
        <is>
          <t>0,00</t>
        </is>
      </c>
      <c r="M812" s="63" t="inlineStr">
        <is>
          <t>0,00</t>
        </is>
      </c>
    </row>
    <row r="813">
      <c r="A813" s="66" t="n">
        <v>46084</v>
      </c>
      <c r="B813" s="65" t="inlineStr">
        <is>
          <t>PBAMI/2026/00002</t>
        </is>
      </c>
      <c r="C813" s="65" t="n">
        <v>2</v>
      </c>
      <c r="D813" s="65" t="inlineStr">
        <is>
          <t>E&amp;M CAR SHOP C.A</t>
        </is>
      </c>
      <c r="E813" s="63" t="inlineStr">
        <is>
          <t>166.513,00</t>
        </is>
      </c>
      <c r="F813" s="65" t="inlineStr">
        <is>
          <t>VES</t>
        </is>
      </c>
      <c r="G813" s="65" t="inlineStr">
        <is>
          <t>Banco Bancamiga 7806</t>
        </is>
      </c>
      <c r="H813" s="63" t="inlineStr">
        <is>
          <t>394,70</t>
        </is>
      </c>
      <c r="I813" s="65" t="n"/>
      <c r="J813" s="65" t="n"/>
      <c r="K813" s="65" t="n"/>
      <c r="L813" s="65" t="n"/>
      <c r="M813" s="65" t="n"/>
    </row>
    <row r="814">
      <c r="A814" s="66" t="n">
        <v>46080</v>
      </c>
      <c r="B814" s="65" t="inlineStr">
        <is>
          <t>PZEFLU/2026/00003</t>
        </is>
      </c>
      <c r="C814" s="65" t="n">
        <v>929</v>
      </c>
      <c r="D814" s="65" t="inlineStr">
        <is>
          <t>ZIP MARKET, CA</t>
        </is>
      </c>
      <c r="E814" s="63" t="inlineStr">
        <is>
          <t>35,33</t>
        </is>
      </c>
      <c r="F814" s="65" t="inlineStr">
        <is>
          <t>USD</t>
        </is>
      </c>
      <c r="G814" s="65" t="inlineStr">
        <is>
          <t>Zelle Fluasa (USD)</t>
        </is>
      </c>
      <c r="H814" s="63" t="inlineStr">
        <is>
          <t>35,33</t>
        </is>
      </c>
      <c r="I814" s="65" t="n">
        <v>113</v>
      </c>
      <c r="J814" s="65" t="inlineStr">
        <is>
          <t>00-00000485</t>
        </is>
      </c>
      <c r="K814" s="66" t="n">
        <v>46175</v>
      </c>
      <c r="L814" s="63" t="inlineStr">
        <is>
          <t>0,00</t>
        </is>
      </c>
      <c r="M814" s="63" t="inlineStr">
        <is>
          <t>0,00</t>
        </is>
      </c>
    </row>
    <row r="815">
      <c r="A815" s="65" t="n"/>
      <c r="B815" s="65" t="n"/>
      <c r="C815" s="65" t="n"/>
      <c r="D815" s="65" t="n"/>
      <c r="E815" s="65" t="n"/>
      <c r="F815" s="65" t="n"/>
      <c r="G815" s="65" t="n"/>
      <c r="H815" s="65" t="n"/>
      <c r="I815" s="65" t="n">
        <v>251</v>
      </c>
      <c r="J815" s="65" t="inlineStr">
        <is>
          <t>00-00000773</t>
        </is>
      </c>
      <c r="K815" s="66" t="n">
        <v>46211</v>
      </c>
      <c r="L815" s="63" t="inlineStr">
        <is>
          <t>0,00</t>
        </is>
      </c>
      <c r="M815" s="63" t="inlineStr">
        <is>
          <t>0,00</t>
        </is>
      </c>
    </row>
    <row r="816">
      <c r="A816" s="66" t="n">
        <v>46079</v>
      </c>
      <c r="B816" s="65" t="inlineStr">
        <is>
          <t>PUSD1/2026/00001</t>
        </is>
      </c>
      <c r="C816" s="65" t="n">
        <v>6</v>
      </c>
      <c r="D816" s="65" t="inlineStr">
        <is>
          <t>FREDI MARQUEZ</t>
        </is>
      </c>
      <c r="E816" s="63" t="inlineStr">
        <is>
          <t>260,00</t>
        </is>
      </c>
      <c r="F816" s="65" t="inlineStr">
        <is>
          <t>USD</t>
        </is>
      </c>
      <c r="G816" s="65" t="inlineStr">
        <is>
          <t>Efectivo moneda extrajera (USD)</t>
        </is>
      </c>
      <c r="H816" s="63" t="inlineStr">
        <is>
          <t>260,00</t>
        </is>
      </c>
      <c r="I816" s="65" t="n">
        <v>203</v>
      </c>
      <c r="J816" s="65" t="inlineStr">
        <is>
          <t>00-00000697</t>
        </is>
      </c>
      <c r="K816" s="66" t="n">
        <v>46204</v>
      </c>
      <c r="L816" s="63" t="inlineStr">
        <is>
          <t>0,00</t>
        </is>
      </c>
      <c r="M816" s="63" t="inlineStr">
        <is>
          <t>0,00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321"/>
  <sheetViews>
    <sheetView workbookViewId="0">
      <selection activeCell="A1" sqref="A1"/>
    </sheetView>
  </sheetViews>
  <sheetFormatPr baseColWidth="8" defaultColWidth="14.43" defaultRowHeight="15" customHeight="1"/>
  <cols>
    <col width="58.86" customWidth="1" style="83" min="1" max="1"/>
  </cols>
  <sheetData>
    <row r="1">
      <c r="A1" s="75" t="inlineStr">
        <is>
          <t>NOMBRE</t>
        </is>
      </c>
    </row>
    <row r="2">
      <c r="A2" s="75">
        <f t="array" ref="A2:A321">SORT(UNIQUE(Ventas!C:C))</f>
        <v/>
      </c>
    </row>
    <row r="3">
      <c r="A3" s="75" t="inlineStr">
        <is>
          <t>ACCESORIOS Y REPUESTOS MOTO CAR 20-11-C.A</t>
        </is>
      </c>
    </row>
    <row r="4">
      <c r="A4" s="75" t="inlineStr">
        <is>
          <t>ADS SERVICE C.A</t>
        </is>
      </c>
    </row>
    <row r="5">
      <c r="A5" s="75" t="inlineStr">
        <is>
          <t>AGROPECUARIA EL TORO DORADO, C.A</t>
        </is>
      </c>
    </row>
    <row r="6">
      <c r="A6" s="75" t="inlineStr">
        <is>
          <t>AGROPECUARIA LECHE Y MIEL, C.A</t>
        </is>
      </c>
    </row>
    <row r="7">
      <c r="A7" s="75" t="inlineStr">
        <is>
          <t>Agustin Pedro Rodriguez Carro</t>
        </is>
      </c>
    </row>
    <row r="8">
      <c r="A8" s="75" t="inlineStr">
        <is>
          <t>Alejandro Zorrilla</t>
        </is>
      </c>
    </row>
    <row r="9">
      <c r="A9" s="75" t="inlineStr">
        <is>
          <t>Alexander Quiroz</t>
        </is>
      </c>
    </row>
    <row r="10">
      <c r="A10" s="75" t="inlineStr">
        <is>
          <t>Alexis Rodríguez Fernández</t>
        </is>
      </c>
    </row>
    <row r="11">
      <c r="A11" s="75" t="inlineStr">
        <is>
          <t>ALI ALEXANDER MORENO FIGUEREDO</t>
        </is>
      </c>
    </row>
    <row r="12">
      <c r="A12" s="75" t="inlineStr">
        <is>
          <t>ALIPLUS TRASPORTE Y EQUIPOS, CA</t>
        </is>
      </c>
    </row>
    <row r="13">
      <c r="A13" s="75" t="inlineStr">
        <is>
          <t>Almacenadora X7, C.A</t>
        </is>
      </c>
    </row>
    <row r="14">
      <c r="A14" s="75" t="inlineStr">
        <is>
          <t>Angel ARMAS</t>
        </is>
      </c>
    </row>
    <row r="15">
      <c r="A15" s="75" t="inlineStr">
        <is>
          <t>ANGEL LEON GALARRAGA</t>
        </is>
      </c>
    </row>
    <row r="16">
      <c r="A16" s="75" t="inlineStr">
        <is>
          <t>Angi Edimar Carvajal Peñaranda</t>
        </is>
      </c>
    </row>
    <row r="17">
      <c r="A17" s="75" t="inlineStr">
        <is>
          <t>Anthony Jose Quijada Diaz.</t>
        </is>
      </c>
    </row>
    <row r="18">
      <c r="A18" s="75" t="inlineStr">
        <is>
          <t>Antonio Terán</t>
        </is>
      </c>
    </row>
    <row r="19">
      <c r="A19" s="75" t="inlineStr">
        <is>
          <t>AREA58 2022, C.A.</t>
        </is>
      </c>
    </row>
    <row r="20">
      <c r="A20" s="75" t="inlineStr">
        <is>
          <t>Asociación Cooperativa la Esquina del Lubricante 9999 R.L</t>
        </is>
      </c>
    </row>
    <row r="21">
      <c r="A21" s="75" t="inlineStr">
        <is>
          <t>AUTO ACCESORIOS VZLA, C.A.</t>
        </is>
      </c>
    </row>
    <row r="22">
      <c r="A22" s="75" t="inlineStr">
        <is>
          <t>Auto Lavado Norte Sur CS, C.A</t>
        </is>
      </c>
    </row>
    <row r="23">
      <c r="A23" s="75" t="inlineStr">
        <is>
          <t>Auto partes Maideirense, C.A</t>
        </is>
      </c>
    </row>
    <row r="24">
      <c r="A24" s="75" t="inlineStr">
        <is>
          <t>Auto Partes Y Repuestos Encava Express,c.a.</t>
        </is>
      </c>
    </row>
    <row r="25">
      <c r="A25" s="75" t="inlineStr">
        <is>
          <t>Auto Repuestos Acal C.A</t>
        </is>
      </c>
    </row>
    <row r="26">
      <c r="A26" s="75" t="inlineStr">
        <is>
          <t>AUTO REPUESTOS EL DUO 2013, C.A.</t>
        </is>
      </c>
    </row>
    <row r="27">
      <c r="A27" s="75" t="inlineStr">
        <is>
          <t>Auto repuestos Fontalvo</t>
        </is>
      </c>
    </row>
    <row r="28">
      <c r="A28" s="75" t="inlineStr">
        <is>
          <t>Auto Servicios HN 6972, C.A</t>
        </is>
      </c>
    </row>
    <row r="29">
      <c r="A29" s="75" t="inlineStr">
        <is>
          <t>Autoasesorio maxi motor</t>
        </is>
      </c>
    </row>
    <row r="30">
      <c r="A30" s="75" t="inlineStr">
        <is>
          <t>Autoelectronica Oranel, C.A.</t>
        </is>
      </c>
    </row>
    <row r="31">
      <c r="A31" s="75" t="inlineStr">
        <is>
          <t>AUTOLAVADO ANDRES BELLO C.A</t>
        </is>
      </c>
    </row>
    <row r="32">
      <c r="A32" s="75" t="inlineStr">
        <is>
          <t>Autolavado Artico</t>
        </is>
      </c>
    </row>
    <row r="33">
      <c r="A33" s="75" t="inlineStr">
        <is>
          <t>Automecanica Marilu 2014, C.A</t>
        </is>
      </c>
    </row>
    <row r="34">
      <c r="A34" s="75" t="inlineStr">
        <is>
          <t>Automotriz Danale C.A</t>
        </is>
      </c>
    </row>
    <row r="35">
      <c r="A35" s="75" t="inlineStr">
        <is>
          <t>Autopartes Munich PH 168 C.A.</t>
        </is>
      </c>
    </row>
    <row r="36">
      <c r="A36" s="75" t="inlineStr">
        <is>
          <t>AUTOPERIQUITO EL PEQUEÑO CHAMOY, C.A.</t>
        </is>
      </c>
    </row>
    <row r="37">
      <c r="A37" s="75" t="inlineStr">
        <is>
          <t>AUTOPERIQUITOS LA CAMPIÑA C.A.</t>
        </is>
      </c>
    </row>
    <row r="38">
      <c r="A38" s="75" t="inlineStr">
        <is>
          <t>Autorepuestos el Florin,c.a.</t>
        </is>
      </c>
    </row>
    <row r="39">
      <c r="A39" s="75" t="inlineStr">
        <is>
          <t>Autorepuestos las 24 horas</t>
        </is>
      </c>
    </row>
    <row r="40">
      <c r="A40" s="75" t="inlineStr">
        <is>
          <t>Autorepuestos Pitstop,c.a.</t>
        </is>
      </c>
    </row>
    <row r="41">
      <c r="A41" s="75" t="inlineStr">
        <is>
          <t>AUTOREPUESTOS SION C.A.</t>
        </is>
      </c>
    </row>
    <row r="42">
      <c r="A42" s="75" t="inlineStr">
        <is>
          <t>AUTOSERVICIOS SPACARS, C.A.</t>
        </is>
      </c>
    </row>
    <row r="43">
      <c r="A43" s="75" t="inlineStr">
        <is>
          <t>Barrios Rodríguez Marlon Enrique</t>
        </is>
      </c>
    </row>
    <row r="44">
      <c r="A44" s="75" t="inlineStr">
        <is>
          <t>Benefit c.a</t>
        </is>
      </c>
    </row>
    <row r="45">
      <c r="A45" s="75" t="inlineStr">
        <is>
          <t>Bicicletas Repuestos Carioca C.A</t>
        </is>
      </c>
    </row>
    <row r="46">
      <c r="A46" s="75" t="inlineStr">
        <is>
          <t>Braulio R. Cedeño Gonzalez.</t>
        </is>
      </c>
    </row>
    <row r="47">
      <c r="A47" s="75" t="inlineStr">
        <is>
          <t>Candy Arias</t>
        </is>
      </c>
    </row>
    <row r="48">
      <c r="A48" s="75" t="inlineStr">
        <is>
          <t>Carlos Bravo</t>
        </is>
      </c>
    </row>
    <row r="49">
      <c r="A49" s="75" t="inlineStr">
        <is>
          <t>Carlos Eduardo Ascension Matos</t>
        </is>
      </c>
    </row>
    <row r="50">
      <c r="A50" s="75" t="inlineStr">
        <is>
          <t>Carlos Ruiz</t>
        </is>
      </c>
    </row>
    <row r="51">
      <c r="A51" s="75" t="inlineStr">
        <is>
          <t>CASERES GONZALEZ RONALD OSWALDO</t>
        </is>
      </c>
    </row>
    <row r="52">
      <c r="A52" s="75" t="inlineStr">
        <is>
          <t>Cauchera El Gordo 0410,c.a.</t>
        </is>
      </c>
    </row>
    <row r="53">
      <c r="A53" s="75" t="inlineStr">
        <is>
          <t>Cauchera William 2018, C.A</t>
        </is>
      </c>
    </row>
    <row r="54">
      <c r="A54" s="75" t="inlineStr">
        <is>
          <t>Cauchera William 2018, C.A, Ricardo Madrid</t>
        </is>
      </c>
    </row>
    <row r="55">
      <c r="A55" s="75" t="inlineStr">
        <is>
          <t>Cauchos California, C.A</t>
        </is>
      </c>
    </row>
    <row r="56">
      <c r="A56" s="75" t="inlineStr">
        <is>
          <t>CAUCHOS NUÑEZ, C.A.</t>
        </is>
      </c>
    </row>
    <row r="57">
      <c r="A57" s="75" t="inlineStr">
        <is>
          <t>CAUCHOS Y ACCESORIOS LA CAMPIÑA, C.A.</t>
        </is>
      </c>
    </row>
    <row r="58">
      <c r="A58" s="75" t="inlineStr">
        <is>
          <t>Cauchos y Suministros Camacho C.A</t>
        </is>
      </c>
    </row>
    <row r="59">
      <c r="A59" s="75" t="inlineStr">
        <is>
          <t>CENTRO MOTRIZ GUADALUPE, C.A.</t>
        </is>
      </c>
    </row>
    <row r="60">
      <c r="A60" s="75" t="inlineStr">
        <is>
          <t>Chaquiro Arteaga</t>
        </is>
      </c>
    </row>
    <row r="61">
      <c r="A61" s="75" t="inlineStr">
        <is>
          <t>Cliente</t>
        </is>
      </c>
    </row>
    <row r="62">
      <c r="A62" s="75" t="inlineStr">
        <is>
          <t>CLUDE CARVALHO DE ACOSTA</t>
        </is>
      </c>
    </row>
    <row r="63">
      <c r="A63" s="75" t="inlineStr">
        <is>
          <t>Coffee Party, C.A.</t>
        </is>
      </c>
    </row>
    <row r="64">
      <c r="A64" s="75" t="inlineStr">
        <is>
          <t>COMERCIAL EKAFREN,C.A.</t>
        </is>
      </c>
    </row>
    <row r="65">
      <c r="A65" s="75" t="inlineStr">
        <is>
          <t>Comercial los de faria,c.a.</t>
        </is>
      </c>
    </row>
    <row r="66">
      <c r="A66" s="75" t="inlineStr">
        <is>
          <t>COMERCIAL REPUESTOS MUNDIALES RMS 2022 C.A.</t>
        </is>
      </c>
    </row>
    <row r="67">
      <c r="A67" s="75" t="inlineStr">
        <is>
          <t>Comercial Rio Paraguas C.A</t>
        </is>
      </c>
    </row>
    <row r="68">
      <c r="A68" s="75" t="inlineStr">
        <is>
          <t>Comercializadora 1108,c.a.</t>
        </is>
      </c>
    </row>
    <row r="69">
      <c r="A69" s="75" t="inlineStr">
        <is>
          <t>Comercializadora Dimon c.a</t>
        </is>
      </c>
    </row>
    <row r="70">
      <c r="A70" s="75" t="inlineStr">
        <is>
          <t>Comercializadora El Fénix de Catia</t>
        </is>
      </c>
    </row>
    <row r="71">
      <c r="A71" s="75" t="inlineStr">
        <is>
          <t>Comercializadora Estoril 25,c.a.</t>
        </is>
      </c>
    </row>
    <row r="72">
      <c r="A72" s="75" t="inlineStr">
        <is>
          <t>Comercializadora Garabote</t>
        </is>
      </c>
    </row>
    <row r="73">
      <c r="A73" s="75" t="inlineStr">
        <is>
          <t>COMERCIALIZADORA J.A.N. 65, C.A</t>
        </is>
      </c>
    </row>
    <row r="74">
      <c r="A74" s="75" t="inlineStr">
        <is>
          <t>COMERCIALIZADORA VV 77 C.A</t>
        </is>
      </c>
    </row>
    <row r="75">
      <c r="A75" s="75" t="inlineStr">
        <is>
          <t>Constructora Campo Urbano,c.a.</t>
        </is>
      </c>
    </row>
    <row r="76">
      <c r="A76" s="75" t="inlineStr">
        <is>
          <t>CONSTRUCTORA GRANO AGREGADO, C.A</t>
        </is>
      </c>
    </row>
    <row r="77">
      <c r="A77" s="75" t="inlineStr">
        <is>
          <t>Cooperativa Dios mi Amparo, R.L.</t>
        </is>
      </c>
    </row>
    <row r="78">
      <c r="A78" s="75" t="inlineStr">
        <is>
          <t>Corporación Lubricantes 7ma Av.C.A</t>
        </is>
      </c>
    </row>
    <row r="79">
      <c r="A79" s="75" t="inlineStr">
        <is>
          <t>Daniela Sanobria</t>
        </is>
      </c>
    </row>
    <row r="80">
      <c r="A80" s="75" t="inlineStr">
        <is>
          <t>Desarrollo Agrario Integral DAI Los Pucheros 13, C. A.</t>
        </is>
      </c>
    </row>
    <row r="81">
      <c r="A81" s="75" t="inlineStr">
        <is>
          <t>Devenalsa Deshidratadora Venezolana de Alimentos, S.A.</t>
        </is>
      </c>
    </row>
    <row r="82">
      <c r="A82" s="75" t="inlineStr">
        <is>
          <t>Deyanira Carpio De Sequera</t>
        </is>
      </c>
    </row>
    <row r="83">
      <c r="A83" s="75" t="inlineStr">
        <is>
          <t>DIADOMHAN AUTOMOTRIZ, C.A.</t>
        </is>
      </c>
    </row>
    <row r="84">
      <c r="A84" s="75" t="inlineStr">
        <is>
          <t>Diana Carolina Torres</t>
        </is>
      </c>
    </row>
    <row r="85">
      <c r="A85" s="75" t="inlineStr">
        <is>
          <t>Dimas Ortíz</t>
        </is>
      </c>
    </row>
    <row r="86">
      <c r="A86" s="75" t="inlineStr">
        <is>
          <t>Distribuidora Drako 2024 c.a</t>
        </is>
      </c>
    </row>
    <row r="87">
      <c r="A87" s="75" t="inlineStr">
        <is>
          <t>DISTRIBUIDORA E.P.L.C 2017, c.a.</t>
        </is>
      </c>
    </row>
    <row r="88">
      <c r="A88" s="75" t="inlineStr">
        <is>
          <t>Distribuidora El Frenazo</t>
        </is>
      </c>
    </row>
    <row r="89">
      <c r="A89" s="75" t="inlineStr">
        <is>
          <t>DISTRIBUIDORA MULTIAHORRO C.A.</t>
        </is>
      </c>
    </row>
    <row r="90">
      <c r="A90" s="75" t="inlineStr">
        <is>
          <t>Distribuidora Nesmari 2050 c.a</t>
        </is>
      </c>
    </row>
    <row r="91">
      <c r="A91" s="75" t="inlineStr">
        <is>
          <t>DISTRIBUIDORA PINOS 181297 C.A</t>
        </is>
      </c>
    </row>
    <row r="92">
      <c r="A92" s="75" t="inlineStr">
        <is>
          <t>DISTRIBUIDORA R. LAYA MORA,C.A.</t>
        </is>
      </c>
    </row>
    <row r="93">
      <c r="A93" s="75" t="inlineStr">
        <is>
          <t>E&amp;M CAR SHOP C.A</t>
        </is>
      </c>
    </row>
    <row r="94">
      <c r="A94" s="75" t="inlineStr">
        <is>
          <t>Edgar salas</t>
        </is>
      </c>
    </row>
    <row r="95">
      <c r="A95" s="75" t="inlineStr">
        <is>
          <t>Edward Belén</t>
        </is>
      </c>
    </row>
    <row r="96">
      <c r="A96" s="75" t="inlineStr">
        <is>
          <t>ELECTROMECÁNICA DANPE C.A.</t>
        </is>
      </c>
    </row>
    <row r="97">
      <c r="A97" s="75" t="inlineStr">
        <is>
          <t>ELENA MEJIAS</t>
        </is>
      </c>
    </row>
    <row r="98">
      <c r="A98" s="75" t="inlineStr">
        <is>
          <t>Elio Ramón Moran Ramirez</t>
        </is>
      </c>
    </row>
    <row r="99">
      <c r="A99" s="75" t="inlineStr">
        <is>
          <t>ELISA ALEJANDRA JIMÉNEZ SUÁREZ</t>
        </is>
      </c>
    </row>
    <row r="100">
      <c r="A100" s="75" t="inlineStr">
        <is>
          <t>ELIVAN2025, C.A</t>
        </is>
      </c>
    </row>
    <row r="101">
      <c r="A101" s="75" t="inlineStr">
        <is>
          <t>Emprendimiento Eduardo Pérez 6</t>
        </is>
      </c>
    </row>
    <row r="102">
      <c r="A102" s="75" t="inlineStr">
        <is>
          <t>Emprendimiento Emily Blanco 10</t>
        </is>
      </c>
    </row>
    <row r="103">
      <c r="A103" s="75" t="inlineStr">
        <is>
          <t>EMPRENDIMIENTO FRANCISCO VEGAS 3</t>
        </is>
      </c>
    </row>
    <row r="104">
      <c r="A104" s="75" t="inlineStr">
        <is>
          <t>EMPRENDIMIENTO HECTOR LLAMOZA</t>
        </is>
      </c>
    </row>
    <row r="105">
      <c r="A105" s="75" t="inlineStr">
        <is>
          <t>Emprendimiento ilaris cancelo</t>
        </is>
      </c>
    </row>
    <row r="106">
      <c r="A106" s="75" t="inlineStr">
        <is>
          <t>EMPRENDIMIENTO IRMA RODRIGUEZ 6</t>
        </is>
      </c>
    </row>
    <row r="107">
      <c r="A107" s="75" t="inlineStr">
        <is>
          <t>Emprendimiento Jordy Valencia</t>
        </is>
      </c>
    </row>
    <row r="108">
      <c r="A108" s="75" t="inlineStr">
        <is>
          <t>Emprendimiento Jorge camacaro 8</t>
        </is>
      </c>
    </row>
    <row r="109">
      <c r="A109" s="75" t="inlineStr">
        <is>
          <t>Emprendimiento José Sánchez 203 c.a</t>
        </is>
      </c>
    </row>
    <row r="110">
      <c r="A110" s="75" t="inlineStr">
        <is>
          <t>EMPRENDIMIENTO MANUEL GÓMEZ 6</t>
        </is>
      </c>
    </row>
    <row r="111">
      <c r="A111" s="75" t="inlineStr">
        <is>
          <t>EMPRENDIMIENTO MARTIN BASTIDAS 2</t>
        </is>
      </c>
    </row>
    <row r="112">
      <c r="A112" s="75" t="inlineStr">
        <is>
          <t>emprendimiento Miguel barrolleta</t>
        </is>
      </c>
    </row>
    <row r="113">
      <c r="A113" s="75" t="inlineStr">
        <is>
          <t>EMPRENDIMIENTO TOMAS MARCANO 5</t>
        </is>
      </c>
    </row>
    <row r="114">
      <c r="A114" s="75" t="inlineStr">
        <is>
          <t>Emprendimiento Tomas Paz</t>
        </is>
      </c>
    </row>
    <row r="115">
      <c r="A115" s="75" t="inlineStr">
        <is>
          <t>Emprendimiento Yeizon Villaroel</t>
        </is>
      </c>
    </row>
    <row r="116">
      <c r="A116" s="75" t="inlineStr">
        <is>
          <t>Emprendimiento YSKRA</t>
        </is>
      </c>
    </row>
    <row r="117">
      <c r="A117" s="75" t="inlineStr">
        <is>
          <t>En ascenso 2011,c.a.</t>
        </is>
      </c>
    </row>
    <row r="118">
      <c r="A118" s="75" t="inlineStr">
        <is>
          <t>EN LA VIA 2023 C.A</t>
        </is>
      </c>
    </row>
    <row r="119">
      <c r="A119" s="75" t="inlineStr">
        <is>
          <t>Encamotors Catia C.A</t>
        </is>
      </c>
    </row>
    <row r="120">
      <c r="A120" s="75" t="inlineStr">
        <is>
          <t>ERICH GILBERTO CASERES MELENDEZ</t>
        </is>
      </c>
    </row>
    <row r="121">
      <c r="A121" s="75" t="inlineStr">
        <is>
          <t>ERICK JOSE MAIGUA GUILLEN</t>
        </is>
      </c>
    </row>
    <row r="122">
      <c r="A122" s="75" t="inlineStr">
        <is>
          <t>ESTACIONAMIENTO CIACORE 2000 c.a</t>
        </is>
      </c>
    </row>
    <row r="123">
      <c r="A123" s="75" t="inlineStr">
        <is>
          <t>Felipe Granja</t>
        </is>
      </c>
    </row>
    <row r="124">
      <c r="A124" s="75" t="inlineStr">
        <is>
          <t>Ferretería JJ Martins c.a</t>
        </is>
      </c>
    </row>
    <row r="125">
      <c r="A125" s="75" t="inlineStr">
        <is>
          <t>Fluidtack Soluciones, c.a.</t>
        </is>
      </c>
    </row>
    <row r="126">
      <c r="A126" s="75" t="inlineStr">
        <is>
          <t>Francesco orlando Espro bolaños</t>
        </is>
      </c>
    </row>
    <row r="127">
      <c r="A127" s="75" t="inlineStr">
        <is>
          <t>FRANCISCO MONCADA</t>
        </is>
      </c>
    </row>
    <row r="128">
      <c r="A128" s="75" t="inlineStr">
        <is>
          <t>Franklin J. Mijares S.</t>
        </is>
      </c>
    </row>
    <row r="129">
      <c r="A129" s="75" t="inlineStr">
        <is>
          <t>FREDI MARQUEZ</t>
        </is>
      </c>
    </row>
    <row r="130">
      <c r="A130" s="75" t="inlineStr">
        <is>
          <t>Frenos Elite, C.A</t>
        </is>
      </c>
    </row>
    <row r="131">
      <c r="A131" s="75" t="inlineStr">
        <is>
          <t>Gabriel Martinez</t>
        </is>
      </c>
    </row>
    <row r="132">
      <c r="A132" s="75" t="inlineStr">
        <is>
          <t>GARAJE Y TALLERES FRIDELBA, C.A</t>
        </is>
      </c>
    </row>
    <row r="133">
      <c r="A133" s="75" t="inlineStr">
        <is>
          <t>GASOLVEN DISTRIBUIDORA, C.A</t>
        </is>
      </c>
    </row>
    <row r="134">
      <c r="A134" s="75" t="inlineStr">
        <is>
          <t>Global Ferre 888 C.A</t>
        </is>
      </c>
    </row>
    <row r="135">
      <c r="A135" s="75" t="inlineStr">
        <is>
          <t>Greicy Moncada</t>
        </is>
      </c>
    </row>
    <row r="136">
      <c r="A136" s="75" t="inlineStr">
        <is>
          <t>GRIMAN DIAZ HECTOR EDUARDO</t>
        </is>
      </c>
    </row>
    <row r="137">
      <c r="A137" s="75" t="inlineStr">
        <is>
          <t>Grupo 3030, C.A</t>
        </is>
      </c>
    </row>
    <row r="138">
      <c r="A138" s="75" t="inlineStr">
        <is>
          <t>Grupo Biker Way mm, C.A</t>
        </is>
      </c>
    </row>
    <row r="139">
      <c r="A139" s="75" t="inlineStr">
        <is>
          <t>Grupo KACAOIL,C.A.</t>
        </is>
      </c>
    </row>
    <row r="140">
      <c r="A140" s="75" t="inlineStr">
        <is>
          <t>HIDRAULICAS CAICEDO C.A.</t>
        </is>
      </c>
    </row>
    <row r="141">
      <c r="A141" s="75" t="inlineStr">
        <is>
          <t>Hidromaticos La Colina, C.A</t>
        </is>
      </c>
    </row>
    <row r="142">
      <c r="A142" s="75" t="inlineStr">
        <is>
          <t>Hipermercado Petare,c.a.</t>
        </is>
      </c>
    </row>
    <row r="143">
      <c r="A143" s="75" t="inlineStr">
        <is>
          <t>HP Repuestos 2007 C.A</t>
        </is>
      </c>
    </row>
    <row r="144">
      <c r="A144" s="75" t="inlineStr">
        <is>
          <t>Ideal car</t>
        </is>
      </c>
    </row>
    <row r="145">
      <c r="A145" s="75" t="inlineStr">
        <is>
          <t>Industrias Arasia, c.a.</t>
        </is>
      </c>
    </row>
    <row r="146">
      <c r="A146" s="75" t="inlineStr">
        <is>
          <t>Ingrit Martinez</t>
        </is>
      </c>
    </row>
    <row r="147">
      <c r="A147" s="75" t="inlineStr">
        <is>
          <t>Inversiones Air Brakes, C.A</t>
        </is>
      </c>
    </row>
    <row r="148">
      <c r="A148" s="75" t="inlineStr">
        <is>
          <t>INVERSIONES ARCOSOL 21, C.A.</t>
        </is>
      </c>
    </row>
    <row r="149">
      <c r="A149" s="75" t="inlineStr">
        <is>
          <t>Inversiones AreaElectric 2021,c.a.</t>
        </is>
      </c>
    </row>
    <row r="150">
      <c r="A150" s="75" t="inlineStr">
        <is>
          <t>INVERSIONES BECLA PARTS C.A.</t>
        </is>
      </c>
    </row>
    <row r="151">
      <c r="A151" s="75" t="inlineStr">
        <is>
          <t>Inversiones Brayan CT C.A</t>
        </is>
      </c>
    </row>
    <row r="152">
      <c r="A152" s="75" t="inlineStr">
        <is>
          <t>INVERSIONES DA &amp; JE,</t>
        </is>
      </c>
    </row>
    <row r="153">
      <c r="A153" s="75" t="inlineStr">
        <is>
          <t>Inversiones Dekamalbaz, C.A</t>
        </is>
      </c>
    </row>
    <row r="154">
      <c r="A154" s="75" t="inlineStr">
        <is>
          <t>Inversiones DSM 2706, c.a.</t>
        </is>
      </c>
    </row>
    <row r="155">
      <c r="A155" s="75" t="inlineStr">
        <is>
          <t>inversiones El Gran Charles C.A</t>
        </is>
      </c>
    </row>
    <row r="156">
      <c r="A156" s="75" t="inlineStr">
        <is>
          <t>Inversiones El Rey Jesucristo 41930 C.A</t>
        </is>
      </c>
    </row>
    <row r="157">
      <c r="A157" s="75" t="inlineStr">
        <is>
          <t>INVERSIONES F-250, C.A</t>
        </is>
      </c>
    </row>
    <row r="158">
      <c r="A158" s="75" t="inlineStr">
        <is>
          <t>Inversiones Famasa, C.A</t>
        </is>
      </c>
    </row>
    <row r="159">
      <c r="A159" s="75" t="inlineStr">
        <is>
          <t>Inversiones García GL C.A</t>
        </is>
      </c>
    </row>
    <row r="160">
      <c r="A160" s="75" t="inlineStr">
        <is>
          <t>INVERSIONES IRETE SUKA, C.A</t>
        </is>
      </c>
    </row>
    <row r="161">
      <c r="A161" s="75" t="inlineStr">
        <is>
          <t>INVERSIONES JOSCAR XXI, S.A.</t>
        </is>
      </c>
    </row>
    <row r="162">
      <c r="A162" s="75" t="inlineStr">
        <is>
          <t>Inversiones La Bendición del Nazareno, C.A</t>
        </is>
      </c>
    </row>
    <row r="163">
      <c r="A163" s="75" t="inlineStr">
        <is>
          <t>Inversiones Los compadres 7686, c.a.</t>
        </is>
      </c>
    </row>
    <row r="164">
      <c r="A164" s="75" t="inlineStr">
        <is>
          <t>Inversiones Marfran 2025, C. A.</t>
        </is>
      </c>
    </row>
    <row r="165">
      <c r="A165" s="75" t="inlineStr">
        <is>
          <t>Inversiones maxgad &amp; ef</t>
        </is>
      </c>
    </row>
    <row r="166">
      <c r="A166" s="75" t="inlineStr">
        <is>
          <t>Inversiones may Cars 2016 c.a</t>
        </is>
      </c>
    </row>
    <row r="167">
      <c r="A167" s="75" t="inlineStr">
        <is>
          <t>INVERSIONES MI LINDA YEMAIRE 2019, C.A</t>
        </is>
      </c>
    </row>
    <row r="168">
      <c r="A168" s="75" t="inlineStr">
        <is>
          <t>Inversiones Mirelkys C.A</t>
        </is>
      </c>
    </row>
    <row r="169">
      <c r="A169" s="75" t="inlineStr">
        <is>
          <t>INVERSIONES ONASSIS XXI C.A</t>
        </is>
      </c>
    </row>
    <row r="170">
      <c r="A170" s="75" t="inlineStr">
        <is>
          <t>Inversiones Pronautica, C.A.</t>
        </is>
      </c>
    </row>
    <row r="171">
      <c r="A171" s="75" t="inlineStr">
        <is>
          <t>INVERSIONES R&amp;C 1817, c.a.</t>
        </is>
      </c>
    </row>
    <row r="172">
      <c r="A172" s="75" t="inlineStr">
        <is>
          <t>Inversiones Repuestos Flash 3141, C.A</t>
        </is>
      </c>
    </row>
    <row r="173">
      <c r="A173" s="75" t="inlineStr">
        <is>
          <t>INVERSIONES SM 2191, C.A.</t>
        </is>
      </c>
    </row>
    <row r="174">
      <c r="A174" s="75" t="inlineStr">
        <is>
          <t>INVERSIONES SMALUM 21, C.A.</t>
        </is>
      </c>
    </row>
    <row r="175">
      <c r="A175" s="75" t="inlineStr">
        <is>
          <t>Inversiones Todo marca Oeste C.A</t>
        </is>
      </c>
    </row>
    <row r="176">
      <c r="A176" s="75" t="inlineStr">
        <is>
          <t>Inversiones Trip K, c.a.</t>
        </is>
      </c>
    </row>
    <row r="177">
      <c r="A177" s="75" t="inlineStr">
        <is>
          <t>Inversiones tydelmarojg</t>
        </is>
      </c>
    </row>
    <row r="178">
      <c r="A178" s="75" t="inlineStr">
        <is>
          <t>Inversiones Vercris 17 C.A</t>
        </is>
      </c>
    </row>
    <row r="179">
      <c r="A179" s="75" t="inlineStr">
        <is>
          <t>Javier Cardenas Prato.</t>
        </is>
      </c>
    </row>
    <row r="180">
      <c r="A180" s="75" t="inlineStr">
        <is>
          <t>Javier gregorio Espinoza</t>
        </is>
      </c>
    </row>
    <row r="181">
      <c r="A181" s="75" t="inlineStr">
        <is>
          <t>Jefferson Navone</t>
        </is>
      </c>
      <c r="E181" s="70" t="n"/>
    </row>
    <row r="182">
      <c r="A182" s="75" t="inlineStr">
        <is>
          <t>Jefferson rosales</t>
        </is>
      </c>
    </row>
    <row r="183">
      <c r="A183" s="75" t="inlineStr">
        <is>
          <t>Jesus luciani Russiani.</t>
        </is>
      </c>
    </row>
    <row r="184">
      <c r="A184" s="75" t="inlineStr">
        <is>
          <t>Jhoe Zamora</t>
        </is>
      </c>
    </row>
    <row r="185">
      <c r="A185" s="75" t="inlineStr">
        <is>
          <t>Jhon Morales</t>
        </is>
      </c>
    </row>
    <row r="186">
      <c r="A186" s="75" t="inlineStr">
        <is>
          <t>Joel Duque</t>
        </is>
      </c>
    </row>
    <row r="187">
      <c r="A187" s="75" t="inlineStr">
        <is>
          <t>JONNY DAVID BOLIVAR</t>
        </is>
      </c>
    </row>
    <row r="188">
      <c r="A188" s="75" t="inlineStr">
        <is>
          <t>Jorge Luis camacaro</t>
        </is>
      </c>
    </row>
    <row r="189">
      <c r="A189" s="75" t="inlineStr">
        <is>
          <t>Jose Alzolay</t>
        </is>
      </c>
    </row>
    <row r="190">
      <c r="A190" s="75" t="inlineStr">
        <is>
          <t>Jose Angel Gutierrez Rodriguez</t>
        </is>
      </c>
    </row>
    <row r="191">
      <c r="A191" s="75" t="inlineStr">
        <is>
          <t>Jose Becerra</t>
        </is>
      </c>
    </row>
    <row r="192">
      <c r="A192" s="75" t="inlineStr">
        <is>
          <t>José Brea</t>
        </is>
      </c>
    </row>
    <row r="193">
      <c r="A193" s="75" t="inlineStr">
        <is>
          <t>Jose de Andrade</t>
        </is>
      </c>
    </row>
    <row r="194">
      <c r="A194" s="75" t="inlineStr">
        <is>
          <t>José Gabriel Pérez Mendez</t>
        </is>
      </c>
    </row>
    <row r="195">
      <c r="A195" s="75" t="inlineStr">
        <is>
          <t>José Gregorio Hernández</t>
        </is>
      </c>
    </row>
    <row r="196">
      <c r="A196" s="75" t="inlineStr">
        <is>
          <t>Jose Gregorio Lopez</t>
        </is>
      </c>
    </row>
    <row r="197">
      <c r="A197" s="75" t="inlineStr">
        <is>
          <t>Jose Lopez Espinoza</t>
        </is>
      </c>
    </row>
    <row r="198">
      <c r="A198" s="75" t="inlineStr">
        <is>
          <t>JOSE RAFAEL MARTÍNEZ</t>
        </is>
      </c>
    </row>
    <row r="199">
      <c r="A199" s="75" t="inlineStr">
        <is>
          <t>JOSE RUBIO ESPINEL</t>
        </is>
      </c>
    </row>
    <row r="200">
      <c r="A200" s="75" t="inlineStr">
        <is>
          <t>JOSE STURCHIO CAPPELLANIA</t>
        </is>
      </c>
    </row>
    <row r="201">
      <c r="A201" s="75" t="inlineStr">
        <is>
          <t>Josefina Guevera</t>
        </is>
      </c>
    </row>
    <row r="202">
      <c r="A202" s="75" t="inlineStr">
        <is>
          <t>Juan antonio salaverria herrera</t>
        </is>
      </c>
    </row>
    <row r="203">
      <c r="A203" s="75" t="inlineStr">
        <is>
          <t>July villasana</t>
        </is>
      </c>
    </row>
    <row r="204">
      <c r="A204" s="75" t="inlineStr">
        <is>
          <t>Junior Bermudez</t>
        </is>
      </c>
    </row>
    <row r="205">
      <c r="A205" s="75" t="inlineStr">
        <is>
          <t>Junior Marco Antonio Vivas Navas</t>
        </is>
      </c>
    </row>
    <row r="206">
      <c r="A206" s="75" t="inlineStr">
        <is>
          <t>Katiuska Alejandra Curvelo</t>
        </is>
      </c>
    </row>
    <row r="207">
      <c r="A207" s="75" t="inlineStr">
        <is>
          <t>Kervin baez</t>
        </is>
      </c>
    </row>
    <row r="208">
      <c r="A208" s="75" t="inlineStr">
        <is>
          <t>Kevin Monsalve</t>
        </is>
      </c>
    </row>
    <row r="209">
      <c r="A209" s="75" t="inlineStr">
        <is>
          <t>Kiosco Willianny 1013, C.A</t>
        </is>
      </c>
    </row>
    <row r="210">
      <c r="A210" s="75" t="inlineStr">
        <is>
          <t>La cámara perfecta</t>
        </is>
      </c>
    </row>
    <row r="211">
      <c r="A211" s="75" t="inlineStr">
        <is>
          <t>LA CASA DE LAS BATERIAS</t>
        </is>
      </c>
    </row>
    <row r="212">
      <c r="A212" s="75" t="inlineStr">
        <is>
          <t>Larry Herrera</t>
        </is>
      </c>
    </row>
    <row r="213">
      <c r="A213" s="75" t="inlineStr">
        <is>
          <t>LOGISTICA Y CONSULTORIA VINCARS, C.A.</t>
        </is>
      </c>
    </row>
    <row r="214">
      <c r="A214" s="75" t="inlineStr">
        <is>
          <t>Lubricantes BK C.A</t>
        </is>
      </c>
    </row>
    <row r="215">
      <c r="A215" s="75" t="inlineStr">
        <is>
          <t>Lubripartes Vzla, c.a.</t>
        </is>
      </c>
    </row>
    <row r="216">
      <c r="A216" s="75" t="inlineStr">
        <is>
          <t>LUBRIREPUESTOS PANORAMA, C.A.</t>
        </is>
      </c>
    </row>
    <row r="217">
      <c r="A217" s="75" t="inlineStr">
        <is>
          <t>Lubristation, C.A.</t>
        </is>
      </c>
    </row>
    <row r="218">
      <c r="A218" s="75" t="inlineStr">
        <is>
          <t>Luis Eduardo Piñero Calcurian</t>
        </is>
      </c>
    </row>
    <row r="219">
      <c r="A219" s="75" t="inlineStr">
        <is>
          <t>Luis Francisco hernandez falcon</t>
        </is>
      </c>
    </row>
    <row r="220">
      <c r="A220" s="75" t="inlineStr">
        <is>
          <t>Luis Zambrano</t>
        </is>
      </c>
    </row>
    <row r="221">
      <c r="A221" s="75" t="inlineStr">
        <is>
          <t>M.L.P Repuestos y Otros, C.A</t>
        </is>
      </c>
    </row>
    <row r="222">
      <c r="A222" s="75" t="inlineStr">
        <is>
          <t>Manuel Emilio Reyes</t>
        </is>
      </c>
    </row>
    <row r="223">
      <c r="A223" s="75" t="inlineStr">
        <is>
          <t>Marco Romero</t>
        </is>
      </c>
    </row>
    <row r="224">
      <c r="A224" s="75" t="inlineStr">
        <is>
          <t>MARIA CAROLINA CARDENAS GUEVARA</t>
        </is>
      </c>
    </row>
    <row r="225">
      <c r="A225" s="75" t="inlineStr">
        <is>
          <t>María Elena Hernández Rangel</t>
        </is>
      </c>
    </row>
    <row r="226">
      <c r="A226" s="75" t="inlineStr">
        <is>
          <t>Marlene Herrera</t>
        </is>
      </c>
    </row>
    <row r="227">
      <c r="A227" s="75" t="inlineStr">
        <is>
          <t>Martin Rafael Gil Cabello</t>
        </is>
      </c>
    </row>
    <row r="228">
      <c r="A228" s="75" t="inlineStr">
        <is>
          <t>MARTIN RAMON DIAZ BOLIVAR</t>
        </is>
      </c>
    </row>
    <row r="229">
      <c r="A229" s="75" t="inlineStr">
        <is>
          <t>MAXIAIRE ELECTROMOTRIZ, C.A</t>
        </is>
      </c>
    </row>
    <row r="230">
      <c r="A230" s="75" t="inlineStr">
        <is>
          <t>Mazare Motors, C.A</t>
        </is>
      </c>
    </row>
    <row r="231">
      <c r="A231" s="75" t="inlineStr">
        <is>
          <t>Megacar2020.c.a</t>
        </is>
      </c>
    </row>
    <row r="232">
      <c r="A232" s="75" t="inlineStr">
        <is>
          <t>Melany Madrid</t>
        </is>
      </c>
    </row>
    <row r="233">
      <c r="A233" s="75" t="inlineStr">
        <is>
          <t>Miguel Antonio Chacon</t>
        </is>
      </c>
    </row>
    <row r="234">
      <c r="A234" s="75" t="inlineStr">
        <is>
          <t>Mini Market Las Mercedes,c.a.</t>
        </is>
      </c>
    </row>
    <row r="235">
      <c r="A235" s="75" t="inlineStr">
        <is>
          <t>misaelcars 77</t>
        </is>
      </c>
    </row>
    <row r="236">
      <c r="A236" s="75" t="inlineStr">
        <is>
          <t>Moises Alejandro Mares</t>
        </is>
      </c>
    </row>
    <row r="237">
      <c r="A237" s="75" t="inlineStr">
        <is>
          <t>Monkey moto Services C.A</t>
        </is>
      </c>
    </row>
    <row r="238">
      <c r="A238" s="75" t="inlineStr">
        <is>
          <t>Montura de Cauchos Biondo,c.a.</t>
        </is>
      </c>
    </row>
    <row r="239">
      <c r="A239" s="75" t="inlineStr">
        <is>
          <t>Moto Bestia, C.A</t>
        </is>
      </c>
    </row>
    <row r="240">
      <c r="A240" s="75" t="inlineStr">
        <is>
          <t>MOTO MARCE 21, CA</t>
        </is>
      </c>
    </row>
    <row r="241">
      <c r="A241" s="75" t="inlineStr">
        <is>
          <t>MOTO REPUESTO GARCIA 2023, C.A.</t>
        </is>
      </c>
    </row>
    <row r="242">
      <c r="A242" s="75" t="inlineStr">
        <is>
          <t>Moto repuestos el casco 2050 c.a</t>
        </is>
      </c>
    </row>
    <row r="243">
      <c r="A243" s="75" t="inlineStr">
        <is>
          <t>Moto repuestos jj</t>
        </is>
      </c>
    </row>
    <row r="244">
      <c r="A244" s="75" t="inlineStr">
        <is>
          <t>MOTO REPUESTOS LA FLECHA II C.A.</t>
        </is>
      </c>
    </row>
    <row r="245">
      <c r="A245" s="75" t="inlineStr">
        <is>
          <t>MOTO REPUESTOS LA FLECHA, C.A.</t>
        </is>
      </c>
    </row>
    <row r="246">
      <c r="A246" s="75" t="inlineStr">
        <is>
          <t>Moto Repuestos Sanz 11. C.A.</t>
        </is>
      </c>
    </row>
    <row r="247">
      <c r="A247" s="75" t="inlineStr">
        <is>
          <t>Motolavado Yahir</t>
        </is>
      </c>
    </row>
    <row r="248">
      <c r="A248" s="75" t="inlineStr">
        <is>
          <t>MOTOREPUESTOS EL GUANÁBANO YRM C.A.</t>
        </is>
      </c>
    </row>
    <row r="249">
      <c r="A249" s="75" t="inlineStr">
        <is>
          <t>Motorepuestos HD 94, C.A</t>
        </is>
      </c>
    </row>
    <row r="250">
      <c r="A250" s="75" t="inlineStr">
        <is>
          <t>MOTOS Y REPUESTOS DOS RUEDAS, C.A.</t>
        </is>
      </c>
    </row>
    <row r="251">
      <c r="A251" s="75" t="inlineStr">
        <is>
          <t>MULTIPARTES Y SERVICIOS HONDANIS,C.A.</t>
        </is>
      </c>
    </row>
    <row r="252">
      <c r="A252" s="75" t="inlineStr">
        <is>
          <t>Multiservicio SOS Cars, C.A</t>
        </is>
      </c>
    </row>
    <row r="253">
      <c r="A253" s="75" t="inlineStr">
        <is>
          <t>Multiservicio Tocome, C.A</t>
        </is>
      </c>
    </row>
    <row r="254">
      <c r="A254" s="75" t="inlineStr">
        <is>
          <t>Multiservicios Arizona, C.A.</t>
        </is>
      </c>
    </row>
    <row r="255">
      <c r="A255" s="75" t="inlineStr">
        <is>
          <t>Multiservicios Diacedeg,c.a.</t>
        </is>
      </c>
    </row>
    <row r="256">
      <c r="A256" s="75" t="inlineStr">
        <is>
          <t>Multiservicios gochi express 2024, c.a</t>
        </is>
      </c>
    </row>
    <row r="257">
      <c r="A257" s="75" t="inlineStr">
        <is>
          <t>Multiservicios Gre-orio2022 c.a</t>
        </is>
      </c>
    </row>
    <row r="258">
      <c r="A258" s="75" t="inlineStr">
        <is>
          <t>MULTISERVICIOS RECAM13, C.A.</t>
        </is>
      </c>
    </row>
    <row r="259">
      <c r="A259" s="75" t="inlineStr">
        <is>
          <t>Multiservicios Sanahuja 36 C.A</t>
        </is>
      </c>
    </row>
    <row r="260">
      <c r="A260" s="75" t="inlineStr">
        <is>
          <t>Multiservicios y Distribuidora Todo Carro Bedyf, C.A</t>
        </is>
      </c>
    </row>
    <row r="261">
      <c r="A261" s="75" t="inlineStr">
        <is>
          <t>NAUDY MARTINEZ</t>
        </is>
      </c>
    </row>
    <row r="262">
      <c r="A262" s="75" t="inlineStr">
        <is>
          <t>Nemer Bourji</t>
        </is>
      </c>
    </row>
    <row r="263">
      <c r="A263" s="75" t="inlineStr">
        <is>
          <t>Neykel Quevedo</t>
        </is>
      </c>
    </row>
    <row r="264">
      <c r="A264" s="75" t="inlineStr">
        <is>
          <t>OLIVEIRA &amp; SANTOS, C.A.(SERVICENTRO EL CUÑO, C.A.)</t>
        </is>
      </c>
    </row>
    <row r="265">
      <c r="A265" s="75" t="inlineStr">
        <is>
          <t>Paola M. Aguilera Z.</t>
        </is>
      </c>
    </row>
    <row r="266">
      <c r="A266" s="75" t="inlineStr">
        <is>
          <t>Pedro Castro</t>
        </is>
      </c>
    </row>
    <row r="267">
      <c r="A267" s="75" t="inlineStr">
        <is>
          <t>Pidelo Y Punto,c.a.</t>
        </is>
      </c>
    </row>
    <row r="268">
      <c r="A268" s="75" t="inlineStr">
        <is>
          <t>Power Sport Servicios El Hatillo, C.A</t>
        </is>
      </c>
    </row>
    <row r="269">
      <c r="A269" s="75" t="inlineStr">
        <is>
          <t>PROYECTO MAQUIVEIRO 21 C.A.</t>
        </is>
      </c>
    </row>
    <row r="270">
      <c r="A270" s="75" t="inlineStr">
        <is>
          <t>PROYECTOS Y DESARROLLO TOMTOM,C.A.</t>
        </is>
      </c>
    </row>
    <row r="271">
      <c r="A271" s="75" t="inlineStr">
        <is>
          <t>Ramon Alvarez Mota</t>
        </is>
      </c>
    </row>
    <row r="272">
      <c r="A272" s="75" t="inlineStr">
        <is>
          <t>Ramón Muñoz</t>
        </is>
      </c>
    </row>
    <row r="273">
      <c r="A273" s="75" t="inlineStr">
        <is>
          <t>Rawy Xavier Melendez Caripa</t>
        </is>
      </c>
    </row>
    <row r="274">
      <c r="A274" s="75" t="inlineStr">
        <is>
          <t>Remodelaciones Ivanro, C.A</t>
        </is>
      </c>
    </row>
    <row r="275">
      <c r="A275" s="75" t="inlineStr">
        <is>
          <t>REPRESENTACIONES LAGUS MEL, C. A</t>
        </is>
      </c>
    </row>
    <row r="276">
      <c r="A276" s="75" t="inlineStr">
        <is>
          <t>Repuestos Chevecars Gran Caracas, C.A</t>
        </is>
      </c>
    </row>
    <row r="277">
      <c r="A277" s="75" t="inlineStr">
        <is>
          <t>Repuestos El Portu26 C.A</t>
        </is>
      </c>
    </row>
    <row r="278">
      <c r="A278" s="75" t="inlineStr">
        <is>
          <t>Repuestos González peña 31 c.a</t>
        </is>
      </c>
    </row>
    <row r="279">
      <c r="A279" s="75" t="inlineStr">
        <is>
          <t>Repuestos Guia Dios Nuestro Camino,c.a.</t>
        </is>
      </c>
    </row>
    <row r="280">
      <c r="A280" s="75" t="inlineStr">
        <is>
          <t>Repuestos y Accesorios chaustre 2024</t>
        </is>
      </c>
    </row>
    <row r="281">
      <c r="A281" s="75" t="inlineStr">
        <is>
          <t>Repuestos y Accesorios Mario Cars 365 C.A</t>
        </is>
      </c>
    </row>
    <row r="282">
      <c r="A282" s="75" t="inlineStr">
        <is>
          <t>Repuestos y accesorios motochiva23 c.a</t>
        </is>
      </c>
    </row>
    <row r="283">
      <c r="A283" s="75" t="inlineStr">
        <is>
          <t>Rhino Toyo Parts, C.A.</t>
        </is>
      </c>
    </row>
    <row r="284">
      <c r="A284" s="75" t="inlineStr">
        <is>
          <t>Ricardo A. Fernandez.</t>
        </is>
      </c>
    </row>
    <row r="285">
      <c r="A285" s="75" t="inlineStr">
        <is>
          <t>ROBERT GUILLEN</t>
        </is>
      </c>
    </row>
    <row r="286">
      <c r="A286" s="75" t="inlineStr">
        <is>
          <t>Ruben Dario Fernandez</t>
        </is>
      </c>
    </row>
    <row r="287">
      <c r="A287" s="75" t="inlineStr">
        <is>
          <t>Ruta 8 Autopartes,c.a.</t>
        </is>
      </c>
    </row>
    <row r="288">
      <c r="A288" s="75" t="inlineStr">
        <is>
          <t>Sandra Katherine Quintero Crespo</t>
        </is>
      </c>
    </row>
    <row r="289">
      <c r="A289" s="75" t="inlineStr">
        <is>
          <t>SEBASTIAN RICON MOLINA</t>
        </is>
      </c>
    </row>
    <row r="290">
      <c r="A290" s="75" t="inlineStr">
        <is>
          <t>Sergio Ibrain Rumbo Mundaray</t>
        </is>
      </c>
    </row>
    <row r="291">
      <c r="A291" s="75" t="inlineStr">
        <is>
          <t>Servi Motores 3A, C.A</t>
        </is>
      </c>
    </row>
    <row r="292">
      <c r="A292" s="75" t="inlineStr">
        <is>
          <t>Servicios de Gruas Torgil 300, c.a.</t>
        </is>
      </c>
    </row>
    <row r="293">
      <c r="A293" s="75" t="inlineStr">
        <is>
          <t>Servicios Nicolazzo 97, C.A</t>
        </is>
      </c>
    </row>
    <row r="294">
      <c r="A294" s="75" t="inlineStr">
        <is>
          <t>SERVICIOS Y MANTENIMIENTO SPACARS, C.A</t>
        </is>
      </c>
    </row>
    <row r="295">
      <c r="A295" s="75" t="inlineStr">
        <is>
          <t>SERVICIOS Y MANTENIMIENTO SPACARS, C.A, Henry Blanco</t>
        </is>
      </c>
    </row>
    <row r="296">
      <c r="A296" s="75" t="inlineStr">
        <is>
          <t>Servimecanica Brandao</t>
        </is>
      </c>
    </row>
    <row r="297">
      <c r="A297" s="75" t="inlineStr">
        <is>
          <t>SJMG 2012 C.A</t>
        </is>
      </c>
    </row>
    <row r="298">
      <c r="A298" s="75" t="inlineStr">
        <is>
          <t>SPEED RACING, CA</t>
        </is>
      </c>
    </row>
    <row r="299">
      <c r="A299" s="75" t="inlineStr">
        <is>
          <t>SUKAY MOTORS V.I.P C.A</t>
        </is>
      </c>
    </row>
    <row r="300">
      <c r="A300" s="75" t="inlineStr">
        <is>
          <t>SUPLIPARTES PARAISO, C.A</t>
        </is>
      </c>
    </row>
    <row r="301">
      <c r="A301" s="75" t="inlineStr">
        <is>
          <t>TALLER TNMCAR, C.A</t>
        </is>
      </c>
    </row>
    <row r="302">
      <c r="A302" s="75" t="inlineStr">
        <is>
          <t>TALLER Y REPUESTOS CHOPPERS, C.A.</t>
        </is>
      </c>
    </row>
    <row r="303">
      <c r="A303" s="75" t="inlineStr">
        <is>
          <t>TERA INGENIERIA Y SERVICIOS INDUSTRIALES, C.A</t>
        </is>
      </c>
    </row>
    <row r="304">
      <c r="A304" s="75" t="inlineStr">
        <is>
          <t>TorniRepuesto BA 2015, C.A</t>
        </is>
      </c>
    </row>
    <row r="305">
      <c r="A305" s="75" t="inlineStr">
        <is>
          <t>Turismo Apureño Turapca, C.A</t>
        </is>
      </c>
    </row>
    <row r="306">
      <c r="A306" s="75" t="inlineStr">
        <is>
          <t>UBAG Services,c.a.</t>
        </is>
      </c>
    </row>
    <row r="307">
      <c r="A307" s="75" t="inlineStr">
        <is>
          <t>VAL VAL 16 C.A</t>
        </is>
      </c>
    </row>
    <row r="308">
      <c r="A308" s="75" t="inlineStr">
        <is>
          <t>Vianney García</t>
        </is>
      </c>
    </row>
    <row r="309">
      <c r="A309" s="75" t="inlineStr">
        <is>
          <t>Victor Ordaz</t>
        </is>
      </c>
    </row>
    <row r="310">
      <c r="A310" s="75" t="inlineStr">
        <is>
          <t>Video Electrónica Fermat, C.A</t>
        </is>
      </c>
    </row>
    <row r="311">
      <c r="A311" s="75" t="inlineStr">
        <is>
          <t>WDH Automotriz 0706, c.a.</t>
        </is>
      </c>
    </row>
    <row r="312">
      <c r="A312" s="75" t="inlineStr">
        <is>
          <t>Wilfredo Antonio Herrera</t>
        </is>
      </c>
    </row>
    <row r="313">
      <c r="A313" s="75" t="inlineStr">
        <is>
          <t>Wili Mervin León Romero</t>
        </is>
      </c>
    </row>
    <row r="314">
      <c r="A314" s="75" t="inlineStr">
        <is>
          <t>WILLY MOTOR CAR REPUESTOS Y SERVICIOS, C.A.</t>
        </is>
      </c>
    </row>
    <row r="315">
      <c r="A315" s="75" t="inlineStr">
        <is>
          <t>Wuilliams bastidas</t>
        </is>
      </c>
    </row>
    <row r="316">
      <c r="A316" s="75" t="inlineStr">
        <is>
          <t>Yeifri Alexander Marquez Zerpa</t>
        </is>
      </c>
    </row>
    <row r="317">
      <c r="A317" s="75" t="inlineStr">
        <is>
          <t>Yesenia luna</t>
        </is>
      </c>
    </row>
    <row r="318">
      <c r="A318" s="75" t="inlineStr">
        <is>
          <t>York Dick Mujica Andarcia</t>
        </is>
      </c>
    </row>
    <row r="319">
      <c r="A319" s="75" t="inlineStr">
        <is>
          <t>Yulendri Carolina Pineda Blanco</t>
        </is>
      </c>
    </row>
    <row r="320">
      <c r="A320" s="75" t="inlineStr">
        <is>
          <t>ZIP MARKET, CA</t>
        </is>
      </c>
    </row>
    <row r="321">
      <c r="A321" s="7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20"/>
  <sheetViews>
    <sheetView workbookViewId="0">
      <selection activeCell="A1" sqref="A1"/>
    </sheetView>
  </sheetViews>
  <sheetFormatPr baseColWidth="8" defaultColWidth="14.43" defaultRowHeight="15" customHeight="1"/>
  <cols>
    <col width="46.71" customWidth="1" style="83" min="1" max="1"/>
  </cols>
  <sheetData>
    <row r="1">
      <c r="A1" s="75" t="inlineStr">
        <is>
          <t>NOMBRE</t>
        </is>
      </c>
    </row>
    <row r="2">
      <c r="A2" s="75">
        <f t="array" ref="A2:A20">SORT(UNIQUE(Ventas!D:D))</f>
        <v/>
      </c>
    </row>
    <row r="3">
      <c r="A3" s="75" t="inlineStr">
        <is>
          <t>CALDERON TERAN ARGIMIRO ANTONIO</t>
        </is>
      </c>
    </row>
    <row r="4">
      <c r="A4" s="75" t="inlineStr">
        <is>
          <t>CASERES GONZALEZ RONALD OSWALDO</t>
        </is>
      </c>
    </row>
    <row r="5">
      <c r="A5" s="75" t="inlineStr">
        <is>
          <t>Frank Vasquez</t>
        </is>
      </c>
    </row>
    <row r="6">
      <c r="A6" s="75" t="inlineStr">
        <is>
          <t>GRIMAN DIAZ HECTOR EDUARDO</t>
        </is>
      </c>
    </row>
    <row r="7">
      <c r="A7" s="75" t="inlineStr">
        <is>
          <t>LOPEZ ANTUNEZ ANDERSON JOSE</t>
        </is>
      </c>
    </row>
    <row r="8">
      <c r="A8" s="75" t="inlineStr">
        <is>
          <t>Marco Romero</t>
        </is>
      </c>
    </row>
    <row r="9">
      <c r="A9" s="75" t="inlineStr">
        <is>
          <t>MARTINEZ MONTES JEFFREY ENRIQUE</t>
        </is>
      </c>
    </row>
    <row r="10">
      <c r="A10" s="75" t="inlineStr">
        <is>
          <t>OCANTO ZABALA ROSALVY DEL CARMEN</t>
        </is>
      </c>
    </row>
    <row r="11">
      <c r="A11" s="75" t="inlineStr">
        <is>
          <t>PACHECO RODRIGUEZ FRANCISCO JAVIER</t>
        </is>
      </c>
    </row>
    <row r="12">
      <c r="A12" s="75" t="inlineStr">
        <is>
          <t>PEREZ DIAZ ANGEL DE DIOS</t>
        </is>
      </c>
    </row>
    <row r="13">
      <c r="A13" s="75" t="inlineStr">
        <is>
          <t>QUEVEDO BASTIDAS NEYKEL DAVID</t>
        </is>
      </c>
    </row>
    <row r="14">
      <c r="A14" s="75" t="inlineStr">
        <is>
          <t>Raúl David</t>
        </is>
      </c>
    </row>
    <row r="15">
      <c r="A15" s="75" t="inlineStr">
        <is>
          <t>REVERON DE CONTRERAS MELANI AUSMAR</t>
        </is>
      </c>
    </row>
    <row r="16">
      <c r="A16" s="75" t="inlineStr">
        <is>
          <t>TORO ARDILES DAVID JOSE</t>
        </is>
      </c>
    </row>
    <row r="17">
      <c r="A17" s="75" t="inlineStr">
        <is>
          <t>VELASCO RODRIGUEZ MARCOS LEONCIO</t>
        </is>
      </c>
    </row>
    <row r="18">
      <c r="A18" s="75" t="inlineStr">
        <is>
          <t>Vendedor</t>
        </is>
      </c>
    </row>
    <row r="19">
      <c r="A19" s="75" t="inlineStr">
        <is>
          <t>VILLABONA CORREA ALBA ESTEFANIA</t>
        </is>
      </c>
    </row>
    <row r="20">
      <c r="A20" s="7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S1556"/>
  <sheetViews>
    <sheetView workbookViewId="0">
      <selection activeCell="A1" sqref="A1"/>
    </sheetView>
  </sheetViews>
  <sheetFormatPr baseColWidth="8" defaultColWidth="14.43" defaultRowHeight="15" customHeight="1"/>
  <cols>
    <col width="16.71" customWidth="1" style="83" min="2" max="2"/>
    <col width="15.43" customWidth="1" style="83" min="3" max="3"/>
    <col width="22" customWidth="1" style="83" min="6" max="6"/>
    <col width="20.57" customWidth="1" style="83" min="12" max="12"/>
  </cols>
  <sheetData>
    <row r="1">
      <c r="A1" s="71">
        <f>IFERROR(__xludf.DUMMYFUNCTION("IMPORTRANGE(""1phBteir1JvZA_YB4eDx70bR3SALgHxGTJo0_8ZhROpA"", ""Cobranza!A:L"")"),"Fecha")</f>
        <v/>
      </c>
      <c r="B1" s="72">
        <f>IFERROR(__xludf.DUMMYFUNCTION("""COMPUTED_VALUE"""),"Nro de Orden")</f>
        <v/>
      </c>
      <c r="C1" s="75">
        <f>IFERROR(__xludf.DUMMYFUNCTION("""COMPUTED_VALUE"""),"Importe firmado")</f>
        <v/>
      </c>
      <c r="D1" s="75">
        <f>IFERROR(__xludf.DUMMYFUNCTION("""COMPUTED_VALUE"""),"Moneda")</f>
        <v/>
      </c>
      <c r="E1" s="73">
        <f>IFERROR(__xludf.DUMMYFUNCTION("""COMPUTED_VALUE"""),"Metodo de Pago")</f>
        <v/>
      </c>
      <c r="F1" s="75">
        <f>IFERROR(__xludf.DUMMYFUNCTION("""COMPUTED_VALUE"""),"Cliente")</f>
        <v/>
      </c>
      <c r="G1" s="73">
        <f>IFERROR(__xludf.DUMMYFUNCTION("""COMPUTED_VALUE"""),"Vendedor")</f>
        <v/>
      </c>
      <c r="H1" s="75">
        <f>IFERROR(__xludf.DUMMYFUNCTION("""COMPUTED_VALUE"""),"Tasa BCV")</f>
        <v/>
      </c>
      <c r="I1" s="75">
        <f>IFERROR(__xludf.DUMMYFUNCTION("""COMPUTED_VALUE"""),"Tasa  Real")</f>
        <v/>
      </c>
      <c r="J1" s="75">
        <f>IFERROR(__xludf.DUMMYFUNCTION("""COMPUTED_VALUE"""),"Monto $ BCV")</f>
        <v/>
      </c>
      <c r="K1" s="4">
        <f>IFERROR(__xludf.DUMMYFUNCTION("""COMPUTED_VALUE"""),"Monto $ Real")</f>
        <v/>
      </c>
      <c r="L1" s="75">
        <f>IFERROR(__xludf.DUMMYFUNCTION("""COMPUTED_VALUE"""),"Monto Unificado USD")</f>
        <v/>
      </c>
      <c r="N1" s="75">
        <f>IFERROR(__xludf.DUMMYFUNCTION("IMPORTRANGE(""1I5CXnP0_qpV4qGLl7lP9NfJPmVY1srOb40atau8JYc8"", ""Retenciones!A:F"")"),"Fecha")</f>
        <v/>
      </c>
      <c r="O1" s="72">
        <f>IFERROR(__xludf.DUMMYFUNCTION("""COMPUTED_VALUE"""),"Nro de Orden")</f>
        <v/>
      </c>
      <c r="P1" s="75">
        <f>IFERROR(__xludf.DUMMYFUNCTION("""COMPUTED_VALUE"""),"Monto")</f>
        <v/>
      </c>
      <c r="Q1" s="75">
        <f>IFERROR(__xludf.DUMMYFUNCTION("""COMPUTED_VALUE"""),"Cliente")</f>
        <v/>
      </c>
      <c r="R1" s="75">
        <f>IFERROR(__xludf.DUMMYFUNCTION("""COMPUTED_VALUE"""),"Tasa BCV")</f>
        <v/>
      </c>
      <c r="S1" s="4">
        <f>IFERROR(__xludf.DUMMYFUNCTION("""COMPUTED_VALUE"""),"Monto USD")</f>
        <v/>
      </c>
    </row>
    <row r="2">
      <c r="A2" s="74">
        <f>IFERROR(__xludf.DUMMYFUNCTION("""COMPUTED_VALUE"""),46083.0)</f>
        <v/>
      </c>
      <c r="B2" s="72">
        <f>IFERROR(__xludf.DUMMYFUNCTION("""COMPUTED_VALUE"""),52.0)</f>
        <v/>
      </c>
      <c r="C2" s="75">
        <f>IFERROR(__xludf.DUMMYFUNCTION("""COMPUTED_VALUE"""),260.0)</f>
        <v/>
      </c>
      <c r="D2" s="75">
        <f>IFERROR(__xludf.DUMMYFUNCTION("""COMPUTED_VALUE"""),"USD")</f>
        <v/>
      </c>
      <c r="E2" s="75">
        <f>IFERROR(__xludf.DUMMYFUNCTION("""COMPUTED_VALUE"""),"Efectivo USD")</f>
        <v/>
      </c>
      <c r="F2" s="75">
        <f>IFERROR(__xludf.DUMMYFUNCTION("""COMPUTED_VALUE"""),"FREDI MARQUEZ")</f>
        <v/>
      </c>
      <c r="G2" s="75" t="n"/>
      <c r="H2" s="76">
        <f>IFERROR(__xludf.DUMMYFUNCTION("""COMPUTED_VALUE"""),419.9873)</f>
        <v/>
      </c>
      <c r="I2" s="75" t="n"/>
      <c r="J2" s="77">
        <f>IFERROR(__xludf.DUMMYFUNCTION("""COMPUTED_VALUE"""),260.0)</f>
        <v/>
      </c>
      <c r="K2" s="4">
        <f>IFERROR(__xludf.DUMMYFUNCTION("""COMPUTED_VALUE"""),260.0)</f>
        <v/>
      </c>
      <c r="L2" s="77">
        <f>IFERROR(__xludf.DUMMYFUNCTION("""COMPUTED_VALUE"""),260.0)</f>
        <v/>
      </c>
      <c r="N2" s="74">
        <f>IFERROR(__xludf.DUMMYFUNCTION("""COMPUTED_VALUE"""),46176.0)</f>
        <v/>
      </c>
      <c r="O2" s="72">
        <f>IFERROR(__xludf.DUMMYFUNCTION("""COMPUTED_VALUE"""),42.0)</f>
        <v/>
      </c>
      <c r="P2" s="4">
        <f>IFERROR(__xludf.DUMMYFUNCTION("""COMPUTED_VALUE"""),9034.0)</f>
        <v/>
      </c>
      <c r="Q2" s="75">
        <f>IFERROR(__xludf.DUMMYFUNCTION("""COMPUTED_VALUE"""),"ALIPLUS TRASPORTE Y EQUIPOS, CA")</f>
        <v/>
      </c>
      <c r="R2" s="76">
        <f>IFERROR(__xludf.DUMMYFUNCTION("""COMPUTED_VALUE"""),431.0113)</f>
        <v/>
      </c>
      <c r="S2" s="4">
        <f>IFERROR(__xludf.DUMMYFUNCTION("""COMPUTED_VALUE"""),20.960007313033323)</f>
        <v/>
      </c>
    </row>
    <row r="3">
      <c r="A3" s="74">
        <f>IFERROR(__xludf.DUMMYFUNCTION("""COMPUTED_VALUE"""),46080.0)</f>
        <v/>
      </c>
      <c r="B3" s="72">
        <f>IFERROR(__xludf.DUMMYFUNCTION("""COMPUTED_VALUE"""),8.0)</f>
        <v/>
      </c>
      <c r="C3" s="75">
        <f>IFERROR(__xludf.DUMMYFUNCTION("""COMPUTED_VALUE"""),35.33)</f>
        <v/>
      </c>
      <c r="D3" s="75">
        <f>IFERROR(__xludf.DUMMYFUNCTION("""COMPUTED_VALUE"""),"USD")</f>
        <v/>
      </c>
      <c r="E3" s="75">
        <f>IFERROR(__xludf.DUMMYFUNCTION("""COMPUTED_VALUE"""),"Zelle")</f>
        <v/>
      </c>
      <c r="F3" s="75">
        <f>IFERROR(__xludf.DUMMYFUNCTION("""COMPUTED_VALUE"""),"ZIP MARKET, CA")</f>
        <v/>
      </c>
      <c r="G3" s="75" t="n"/>
      <c r="H3" s="76">
        <f>IFERROR(__xludf.DUMMYFUNCTION("""COMPUTED_VALUE"""),417.3579)</f>
        <v/>
      </c>
      <c r="I3" s="75" t="n"/>
      <c r="J3" s="77">
        <f>IFERROR(__xludf.DUMMYFUNCTION("""COMPUTED_VALUE"""),35.33)</f>
        <v/>
      </c>
      <c r="K3" s="4">
        <f>IFERROR(__xludf.DUMMYFUNCTION("""COMPUTED_VALUE"""),35.33)</f>
        <v/>
      </c>
      <c r="L3" s="77">
        <f>IFERROR(__xludf.DUMMYFUNCTION("""COMPUTED_VALUE"""),35.33)</f>
        <v/>
      </c>
      <c r="N3" s="74">
        <f>IFERROR(__xludf.DUMMYFUNCTION("""COMPUTED_VALUE"""),46098.0)</f>
        <v/>
      </c>
      <c r="O3" s="72">
        <f>IFERROR(__xludf.DUMMYFUNCTION("""COMPUTED_VALUE"""),88.0)</f>
        <v/>
      </c>
      <c r="P3" s="4">
        <f>IFERROR(__xludf.DUMMYFUNCTION("""COMPUTED_VALUE"""),17032.91)</f>
        <v/>
      </c>
      <c r="Q3" s="75">
        <f>IFERROR(__xludf.DUMMYFUNCTION("""COMPUTED_VALUE"""),"ALIPLUS TRASPORTE Y EQUIPOS, CA")</f>
        <v/>
      </c>
      <c r="R3" s="76">
        <f>IFERROR(__xludf.DUMMYFUNCTION("""COMPUTED_VALUE"""),448.3686)</f>
        <v/>
      </c>
      <c r="S3" s="4">
        <f>IFERROR(__xludf.DUMMYFUNCTION("""COMPUTED_VALUE"""),37.988632567044164)</f>
        <v/>
      </c>
    </row>
    <row r="4">
      <c r="A4" s="74">
        <f>IFERROR(__xludf.DUMMYFUNCTION("""COMPUTED_VALUE"""),46083.0)</f>
        <v/>
      </c>
      <c r="B4" s="72">
        <f>IFERROR(__xludf.DUMMYFUNCTION("""COMPUTED_VALUE"""),9.0)</f>
        <v/>
      </c>
      <c r="C4" s="75">
        <f>IFERROR(__xludf.DUMMYFUNCTION("""COMPUTED_VALUE"""),166513.0)</f>
        <v/>
      </c>
      <c r="D4" s="75">
        <f>IFERROR(__xludf.DUMMYFUNCTION("""COMPUTED_VALUE"""),"VES")</f>
        <v/>
      </c>
      <c r="E4" s="75">
        <f>IFERROR(__xludf.DUMMYFUNCTION("""COMPUTED_VALUE"""),"Bancamiga")</f>
        <v/>
      </c>
      <c r="F4" s="75">
        <f>IFERROR(__xludf.DUMMYFUNCTION("""COMPUTED_VALUE"""),"E&amp;M CAR SHOP C.A")</f>
        <v/>
      </c>
      <c r="G4" s="75" t="n"/>
      <c r="H4" s="76">
        <f>IFERROR(__xludf.DUMMYFUNCTION("""COMPUTED_VALUE"""),419.9873)</f>
        <v/>
      </c>
      <c r="I4" s="75" t="n"/>
      <c r="J4" s="77">
        <f>IFERROR(__xludf.DUMMYFUNCTION("""COMPUTED_VALUE"""),396.4715123528735)</f>
        <v/>
      </c>
      <c r="K4" s="4">
        <f>IFERROR(__xludf.DUMMYFUNCTION("""COMPUTED_VALUE"""),0.0)</f>
        <v/>
      </c>
      <c r="L4" s="77">
        <f>IFERROR(__xludf.DUMMYFUNCTION("""COMPUTED_VALUE"""),396.4715123528735)</f>
        <v/>
      </c>
      <c r="N4" s="75" t="n"/>
      <c r="O4" s="72" t="n"/>
      <c r="P4" s="75" t="n"/>
      <c r="Q4" s="75" t="n"/>
      <c r="R4" s="75" t="n"/>
      <c r="S4" s="4" t="n"/>
    </row>
    <row r="5">
      <c r="A5" s="74">
        <f>IFERROR(__xludf.DUMMYFUNCTION("""COMPUTED_VALUE"""),46084.0)</f>
        <v/>
      </c>
      <c r="B5" s="72">
        <f>IFERROR(__xludf.DUMMYFUNCTION("""COMPUTED_VALUE"""),7.0)</f>
        <v/>
      </c>
      <c r="C5" s="75">
        <f>IFERROR(__xludf.DUMMYFUNCTION("""COMPUTED_VALUE"""),246.0)</f>
        <v/>
      </c>
      <c r="D5" s="75">
        <f>IFERROR(__xludf.DUMMYFUNCTION("""COMPUTED_VALUE"""),"USD")</f>
        <v/>
      </c>
      <c r="E5" s="75">
        <f>IFERROR(__xludf.DUMMYFUNCTION("""COMPUTED_VALUE"""),"Efectivo USD")</f>
        <v/>
      </c>
      <c r="F5" s="75">
        <f>IFERROR(__xludf.DUMMYFUNCTION("""COMPUTED_VALUE"""),"EMPRENDIMIENTO IRMA RODRIGUEZ 6")</f>
        <v/>
      </c>
      <c r="G5" s="75" t="n"/>
      <c r="H5" s="76">
        <f>IFERROR(__xludf.DUMMYFUNCTION("""COMPUTED_VALUE"""),421.8772)</f>
        <v/>
      </c>
      <c r="I5" s="75" t="n"/>
      <c r="J5" s="77">
        <f>IFERROR(__xludf.DUMMYFUNCTION("""COMPUTED_VALUE"""),246.0)</f>
        <v/>
      </c>
      <c r="K5" s="4">
        <f>IFERROR(__xludf.DUMMYFUNCTION("""COMPUTED_VALUE"""),246.0)</f>
        <v/>
      </c>
      <c r="L5" s="77">
        <f>IFERROR(__xludf.DUMMYFUNCTION("""COMPUTED_VALUE"""),246.0)</f>
        <v/>
      </c>
      <c r="N5" s="75" t="n"/>
      <c r="O5" s="72" t="n"/>
      <c r="P5" s="75" t="n"/>
      <c r="Q5" s="75" t="n"/>
      <c r="R5" s="75" t="n"/>
      <c r="S5" s="4" t="n"/>
    </row>
    <row r="6">
      <c r="A6" s="74">
        <f>IFERROR(__xludf.DUMMYFUNCTION("""COMPUTED_VALUE"""),46086.0)</f>
        <v/>
      </c>
      <c r="B6" s="72">
        <f>IFERROR(__xludf.DUMMYFUNCTION("""COMPUTED_VALUE"""),33.0)</f>
        <v/>
      </c>
      <c r="C6" s="75">
        <f>IFERROR(__xludf.DUMMYFUNCTION("""COMPUTED_VALUE"""),195.0)</f>
        <v/>
      </c>
      <c r="D6" s="75">
        <f>IFERROR(__xludf.DUMMYFUNCTION("""COMPUTED_VALUE"""),"USD")</f>
        <v/>
      </c>
      <c r="E6" s="75">
        <f>IFERROR(__xludf.DUMMYFUNCTION("""COMPUTED_VALUE"""),"Efectivo USD")</f>
        <v/>
      </c>
      <c r="F6" s="75">
        <f>IFERROR(__xludf.DUMMYFUNCTION("""COMPUTED_VALUE"""),"Angel ARMAS")</f>
        <v/>
      </c>
      <c r="G6" s="75" t="n"/>
      <c r="H6" s="76">
        <f>IFERROR(__xludf.DUMMYFUNCTION("""COMPUTED_VALUE"""),427.9302)</f>
        <v/>
      </c>
      <c r="I6" s="75" t="n"/>
      <c r="J6" s="77">
        <f>IFERROR(__xludf.DUMMYFUNCTION("""COMPUTED_VALUE"""),195.0)</f>
        <v/>
      </c>
      <c r="K6" s="4">
        <f>IFERROR(__xludf.DUMMYFUNCTION("""COMPUTED_VALUE"""),195.0)</f>
        <v/>
      </c>
      <c r="L6" s="77">
        <f>IFERROR(__xludf.DUMMYFUNCTION("""COMPUTED_VALUE"""),195.0)</f>
        <v/>
      </c>
      <c r="N6" s="75" t="n"/>
      <c r="O6" s="72" t="n"/>
      <c r="P6" s="75" t="n"/>
      <c r="Q6" s="75" t="n"/>
      <c r="R6" s="75" t="n"/>
      <c r="S6" s="4" t="n"/>
    </row>
    <row r="7">
      <c r="A7" s="74">
        <f>IFERROR(__xludf.DUMMYFUNCTION("""COMPUTED_VALUE"""),46086.0)</f>
        <v/>
      </c>
      <c r="B7" s="72">
        <f>IFERROR(__xludf.DUMMYFUNCTION("""COMPUTED_VALUE"""),28.0)</f>
        <v/>
      </c>
      <c r="C7" s="75">
        <f>IFERROR(__xludf.DUMMYFUNCTION("""COMPUTED_VALUE"""),29489.51)</f>
        <v/>
      </c>
      <c r="D7" s="75">
        <f>IFERROR(__xludf.DUMMYFUNCTION("""COMPUTED_VALUE"""),"VES")</f>
        <v/>
      </c>
      <c r="E7" s="75">
        <f>IFERROR(__xludf.DUMMYFUNCTION("""COMPUTED_VALUE"""),"Venezuela")</f>
        <v/>
      </c>
      <c r="F7" s="75">
        <f>IFERROR(__xludf.DUMMYFUNCTION("""COMPUTED_VALUE"""),"Ricardo A. Fernandez.")</f>
        <v/>
      </c>
      <c r="G7" s="75" t="n"/>
      <c r="H7" s="76">
        <f>IFERROR(__xludf.DUMMYFUNCTION("""COMPUTED_VALUE"""),427.9302)</f>
        <v/>
      </c>
      <c r="I7" s="75" t="n"/>
      <c r="J7" s="77">
        <f>IFERROR(__xludf.DUMMYFUNCTION("""COMPUTED_VALUE"""),68.91196274532622)</f>
        <v/>
      </c>
      <c r="K7" s="4">
        <f>IFERROR(__xludf.DUMMYFUNCTION("""COMPUTED_VALUE"""),0.0)</f>
        <v/>
      </c>
      <c r="L7" s="77">
        <f>IFERROR(__xludf.DUMMYFUNCTION("""COMPUTED_VALUE"""),68.91196274532622)</f>
        <v/>
      </c>
      <c r="N7" s="75" t="n"/>
      <c r="O7" s="72" t="n"/>
      <c r="P7" s="75" t="n"/>
      <c r="Q7" s="75" t="n"/>
      <c r="R7" s="75" t="n"/>
      <c r="S7" s="4" t="n"/>
    </row>
    <row r="8">
      <c r="A8" s="74">
        <f>IFERROR(__xludf.DUMMYFUNCTION("""COMPUTED_VALUE"""),46086.0)</f>
        <v/>
      </c>
      <c r="B8" s="72">
        <f>IFERROR(__xludf.DUMMYFUNCTION("""COMPUTED_VALUE"""),32.0)</f>
        <v/>
      </c>
      <c r="C8" s="75">
        <f>IFERROR(__xludf.DUMMYFUNCTION("""COMPUTED_VALUE"""),43501.0)</f>
        <v/>
      </c>
      <c r="D8" s="75">
        <f>IFERROR(__xludf.DUMMYFUNCTION("""COMPUTED_VALUE"""),"VES")</f>
        <v/>
      </c>
      <c r="E8" s="75">
        <f>IFERROR(__xludf.DUMMYFUNCTION("""COMPUTED_VALUE"""),"Bancamiga")</f>
        <v/>
      </c>
      <c r="F8" s="75">
        <f>IFERROR(__xludf.DUMMYFUNCTION("""COMPUTED_VALUE"""),"Ferretería JJ Martins c.a")</f>
        <v/>
      </c>
      <c r="G8" s="75" t="n"/>
      <c r="H8" s="76">
        <f>IFERROR(__xludf.DUMMYFUNCTION("""COMPUTED_VALUE"""),427.9302)</f>
        <v/>
      </c>
      <c r="I8" s="75" t="n"/>
      <c r="J8" s="77">
        <f>IFERROR(__xludf.DUMMYFUNCTION("""COMPUTED_VALUE"""),101.65442868953862)</f>
        <v/>
      </c>
      <c r="K8" s="4">
        <f>IFERROR(__xludf.DUMMYFUNCTION("""COMPUTED_VALUE"""),0.0)</f>
        <v/>
      </c>
      <c r="L8" s="77">
        <f>IFERROR(__xludf.DUMMYFUNCTION("""COMPUTED_VALUE"""),101.65442868953862)</f>
        <v/>
      </c>
      <c r="N8" s="75" t="n"/>
      <c r="O8" s="72" t="n"/>
      <c r="P8" s="75" t="n"/>
      <c r="Q8" s="75" t="n"/>
      <c r="R8" s="75" t="n"/>
      <c r="S8" s="4" t="n"/>
    </row>
    <row r="9">
      <c r="A9" s="74">
        <f>IFERROR(__xludf.DUMMYFUNCTION("""COMPUTED_VALUE"""),46087.0)</f>
        <v/>
      </c>
      <c r="B9" s="72">
        <f>IFERROR(__xludf.DUMMYFUNCTION("""COMPUTED_VALUE"""),42.0)</f>
        <v/>
      </c>
      <c r="C9" s="75">
        <f>IFERROR(__xludf.DUMMYFUNCTION("""COMPUTED_VALUE"""),56462.48)</f>
        <v/>
      </c>
      <c r="D9" s="75">
        <f>IFERROR(__xludf.DUMMYFUNCTION("""COMPUTED_VALUE"""),"VES")</f>
        <v/>
      </c>
      <c r="E9" s="75">
        <f>IFERROR(__xludf.DUMMYFUNCTION("""COMPUTED_VALUE"""),"Bancamiga")</f>
        <v/>
      </c>
      <c r="F9" s="75">
        <f>IFERROR(__xludf.DUMMYFUNCTION("""COMPUTED_VALUE"""),"ALIPLUS TRASPORTE Y EQUIPOS, CA")</f>
        <v/>
      </c>
      <c r="G9" s="75" t="n"/>
      <c r="H9" s="76">
        <f>IFERROR(__xludf.DUMMYFUNCTION("""COMPUTED_VALUE"""),431.0113)</f>
        <v/>
      </c>
      <c r="I9" s="75" t="n"/>
      <c r="J9" s="77">
        <f>IFERROR(__xludf.DUMMYFUNCTION("""COMPUTED_VALUE"""),130.99999930396257)</f>
        <v/>
      </c>
      <c r="K9" s="4">
        <f>IFERROR(__xludf.DUMMYFUNCTION("""COMPUTED_VALUE"""),0.0)</f>
        <v/>
      </c>
      <c r="L9" s="77">
        <f>IFERROR(__xludf.DUMMYFUNCTION("""COMPUTED_VALUE"""),130.99999930396257)</f>
        <v/>
      </c>
      <c r="N9" s="75" t="n"/>
      <c r="O9" s="72" t="n"/>
      <c r="P9" s="75" t="n"/>
      <c r="Q9" s="75" t="n"/>
      <c r="R9" s="75" t="n"/>
      <c r="S9" s="4" t="n"/>
    </row>
    <row r="10">
      <c r="A10" s="74">
        <f>IFERROR(__xludf.DUMMYFUNCTION("""COMPUTED_VALUE"""),46090.0)</f>
        <v/>
      </c>
      <c r="B10" s="72">
        <f>IFERROR(__xludf.DUMMYFUNCTION("""COMPUTED_VALUE"""),50.0)</f>
        <v/>
      </c>
      <c r="C10" s="75">
        <f>IFERROR(__xludf.DUMMYFUNCTION("""COMPUTED_VALUE"""),65.0)</f>
        <v/>
      </c>
      <c r="D10" s="75">
        <f>IFERROR(__xludf.DUMMYFUNCTION("""COMPUTED_VALUE"""),"USD")</f>
        <v/>
      </c>
      <c r="E10" s="75">
        <f>IFERROR(__xludf.DUMMYFUNCTION("""COMPUTED_VALUE"""),"Efectivo USD")</f>
        <v/>
      </c>
      <c r="F10" s="75">
        <f>IFERROR(__xludf.DUMMYFUNCTION("""COMPUTED_VALUE"""),"FREDI MARQUEZ")</f>
        <v/>
      </c>
      <c r="G10" s="75" t="n"/>
      <c r="H10" s="76">
        <f>IFERROR(__xludf.DUMMYFUNCTION("""COMPUTED_VALUE"""),433.1664)</f>
        <v/>
      </c>
      <c r="I10" s="75" t="n"/>
      <c r="J10" s="77">
        <f>IFERROR(__xludf.DUMMYFUNCTION("""COMPUTED_VALUE"""),65.0)</f>
        <v/>
      </c>
      <c r="K10" s="4">
        <f>IFERROR(__xludf.DUMMYFUNCTION("""COMPUTED_VALUE"""),65.0)</f>
        <v/>
      </c>
      <c r="L10" s="77">
        <f>IFERROR(__xludf.DUMMYFUNCTION("""COMPUTED_VALUE"""),65.0)</f>
        <v/>
      </c>
      <c r="N10" s="75" t="n"/>
      <c r="O10" s="72" t="n"/>
      <c r="P10" s="75" t="n"/>
      <c r="Q10" s="75" t="n"/>
      <c r="R10" s="75" t="n"/>
      <c r="S10" s="4" t="n"/>
    </row>
    <row r="11">
      <c r="A11" s="74">
        <f>IFERROR(__xludf.DUMMYFUNCTION("""COMPUTED_VALUE"""),46090.0)</f>
        <v/>
      </c>
      <c r="B11" s="72">
        <f>IFERROR(__xludf.DUMMYFUNCTION("""COMPUTED_VALUE"""),164.0)</f>
        <v/>
      </c>
      <c r="C11" s="75">
        <f>IFERROR(__xludf.DUMMYFUNCTION("""COMPUTED_VALUE"""),48.0)</f>
        <v/>
      </c>
      <c r="D11" s="75">
        <f>IFERROR(__xludf.DUMMYFUNCTION("""COMPUTED_VALUE"""),"USD")</f>
        <v/>
      </c>
      <c r="E11" s="75">
        <f>IFERROR(__xludf.DUMMYFUNCTION("""COMPUTED_VALUE"""),"Efectivo USD")</f>
        <v/>
      </c>
      <c r="F11" s="75">
        <f>IFERROR(__xludf.DUMMYFUNCTION("""COMPUTED_VALUE"""),"INVERSIONES IRETE SUKA, C.A")</f>
        <v/>
      </c>
      <c r="G11" s="75" t="n"/>
      <c r="H11" s="76">
        <f>IFERROR(__xludf.DUMMYFUNCTION("""COMPUTED_VALUE"""),433.1664)</f>
        <v/>
      </c>
      <c r="I11" s="75" t="n"/>
      <c r="J11" s="77">
        <f>IFERROR(__xludf.DUMMYFUNCTION("""COMPUTED_VALUE"""),48.0)</f>
        <v/>
      </c>
      <c r="K11" s="4">
        <f>IFERROR(__xludf.DUMMYFUNCTION("""COMPUTED_VALUE"""),48.0)</f>
        <v/>
      </c>
      <c r="L11" s="77">
        <f>IFERROR(__xludf.DUMMYFUNCTION("""COMPUTED_VALUE"""),48.0)</f>
        <v/>
      </c>
      <c r="N11" s="75" t="n"/>
      <c r="O11" s="72" t="n"/>
      <c r="P11" s="75" t="n"/>
      <c r="Q11" s="75" t="n"/>
      <c r="R11" s="75" t="n"/>
      <c r="S11" s="4" t="n"/>
    </row>
    <row r="12">
      <c r="A12" s="74">
        <f>IFERROR(__xludf.DUMMYFUNCTION("""COMPUTED_VALUE"""),46090.0)</f>
        <v/>
      </c>
      <c r="B12" s="72">
        <f>IFERROR(__xludf.DUMMYFUNCTION("""COMPUTED_VALUE"""),47.0)</f>
        <v/>
      </c>
      <c r="C12" s="75">
        <f>IFERROR(__xludf.DUMMYFUNCTION("""COMPUTED_VALUE"""),820035.98)</f>
        <v/>
      </c>
      <c r="D12" s="75">
        <f>IFERROR(__xludf.DUMMYFUNCTION("""COMPUTED_VALUE"""),"VES")</f>
        <v/>
      </c>
      <c r="E12" s="75">
        <f>IFERROR(__xludf.DUMMYFUNCTION("""COMPUTED_VALUE"""),"Bancamiga")</f>
        <v/>
      </c>
      <c r="F12" s="75">
        <f>IFERROR(__xludf.DUMMYFUNCTION("""COMPUTED_VALUE"""),"Rawy Xavier Melendez Caripa")</f>
        <v/>
      </c>
      <c r="G12" s="75" t="n"/>
      <c r="H12" s="76">
        <f>IFERROR(__xludf.DUMMYFUNCTION("""COMPUTED_VALUE"""),433.1664)</f>
        <v/>
      </c>
      <c r="I12" s="75" t="n"/>
      <c r="J12" s="77">
        <f>IFERROR(__xludf.DUMMYFUNCTION("""COMPUTED_VALUE"""),1893.1200111550663)</f>
        <v/>
      </c>
      <c r="K12" s="4">
        <f>IFERROR(__xludf.DUMMYFUNCTION("""COMPUTED_VALUE"""),0.0)</f>
        <v/>
      </c>
      <c r="L12" s="77">
        <f>IFERROR(__xludf.DUMMYFUNCTION("""COMPUTED_VALUE"""),1893.1200111550663)</f>
        <v/>
      </c>
      <c r="N12" s="75" t="n"/>
      <c r="O12" s="72" t="n"/>
      <c r="P12" s="75" t="n"/>
      <c r="Q12" s="75" t="n"/>
      <c r="R12" s="75" t="n"/>
      <c r="S12" s="4" t="n"/>
    </row>
    <row r="13">
      <c r="A13" s="74">
        <f>IFERROR(__xludf.DUMMYFUNCTION("""COMPUTED_VALUE"""),46092.0)</f>
        <v/>
      </c>
      <c r="B13" s="72">
        <f>IFERROR(__xludf.DUMMYFUNCTION("""COMPUTED_VALUE"""),67.0)</f>
        <v/>
      </c>
      <c r="C13" s="75">
        <f>IFERROR(__xludf.DUMMYFUNCTION("""COMPUTED_VALUE"""),70112.0)</f>
        <v/>
      </c>
      <c r="D13" s="75">
        <f>IFERROR(__xludf.DUMMYFUNCTION("""COMPUTED_VALUE"""),"VES")</f>
        <v/>
      </c>
      <c r="E13" s="75">
        <f>IFERROR(__xludf.DUMMYFUNCTION("""COMPUTED_VALUE"""),"Venezuela")</f>
        <v/>
      </c>
      <c r="F13" s="75">
        <f>IFERROR(__xludf.DUMMYFUNCTION("""COMPUTED_VALUE"""),"Jesus luciani Russiani.")</f>
        <v/>
      </c>
      <c r="G13" s="75" t="n"/>
      <c r="H13" s="76">
        <f>IFERROR(__xludf.DUMMYFUNCTION("""COMPUTED_VALUE"""),438.205)</f>
        <v/>
      </c>
      <c r="I13" s="75" t="n"/>
      <c r="J13" s="77">
        <f>IFERROR(__xludf.DUMMYFUNCTION("""COMPUTED_VALUE"""),159.99817437044305)</f>
        <v/>
      </c>
      <c r="K13" s="4">
        <f>IFERROR(__xludf.DUMMYFUNCTION("""COMPUTED_VALUE"""),0.0)</f>
        <v/>
      </c>
      <c r="L13" s="77">
        <f>IFERROR(__xludf.DUMMYFUNCTION("""COMPUTED_VALUE"""),159.99817437044305)</f>
        <v/>
      </c>
      <c r="N13" s="75" t="n"/>
      <c r="O13" s="72" t="n"/>
      <c r="P13" s="75" t="n"/>
      <c r="Q13" s="75" t="n"/>
      <c r="R13" s="75" t="n"/>
      <c r="S13" s="4" t="n"/>
    </row>
    <row r="14">
      <c r="A14" s="74">
        <f>IFERROR(__xludf.DUMMYFUNCTION("""COMPUTED_VALUE"""),46093.0)</f>
        <v/>
      </c>
      <c r="B14" s="72">
        <f>IFERROR(__xludf.DUMMYFUNCTION("""COMPUTED_VALUE"""),77.0)</f>
        <v/>
      </c>
      <c r="C14" s="75">
        <f>IFERROR(__xludf.DUMMYFUNCTION("""COMPUTED_VALUE"""),36.0)</f>
        <v/>
      </c>
      <c r="D14" s="75">
        <f>IFERROR(__xludf.DUMMYFUNCTION("""COMPUTED_VALUE"""),"USD")</f>
        <v/>
      </c>
      <c r="E14" s="75">
        <f>IFERROR(__xludf.DUMMYFUNCTION("""COMPUTED_VALUE"""),"Efectivo USD")</f>
        <v/>
      </c>
      <c r="F14" s="75">
        <f>IFERROR(__xludf.DUMMYFUNCTION("""COMPUTED_VALUE"""),"Ruben Dario Fernandez")</f>
        <v/>
      </c>
      <c r="G14" s="75" t="n"/>
      <c r="H14" s="76">
        <f>IFERROR(__xludf.DUMMYFUNCTION("""COMPUTED_VALUE"""),440.9657)</f>
        <v/>
      </c>
      <c r="I14" s="75" t="n"/>
      <c r="J14" s="77">
        <f>IFERROR(__xludf.DUMMYFUNCTION("""COMPUTED_VALUE"""),36.0)</f>
        <v/>
      </c>
      <c r="K14" s="4">
        <f>IFERROR(__xludf.DUMMYFUNCTION("""COMPUTED_VALUE"""),36.0)</f>
        <v/>
      </c>
      <c r="L14" s="77">
        <f>IFERROR(__xludf.DUMMYFUNCTION("""COMPUTED_VALUE"""),36.0)</f>
        <v/>
      </c>
      <c r="N14" s="75" t="n"/>
      <c r="O14" s="72" t="n"/>
      <c r="P14" s="75" t="n"/>
      <c r="Q14" s="75" t="n"/>
      <c r="R14" s="75" t="n"/>
      <c r="S14" s="4" t="n"/>
    </row>
    <row r="15">
      <c r="A15" s="74">
        <f>IFERROR(__xludf.DUMMYFUNCTION("""COMPUTED_VALUE"""),46093.0)</f>
        <v/>
      </c>
      <c r="B15" s="72">
        <f>IFERROR(__xludf.DUMMYFUNCTION("""COMPUTED_VALUE"""),20.0)</f>
        <v/>
      </c>
      <c r="C15" s="75">
        <f>IFERROR(__xludf.DUMMYFUNCTION("""COMPUTED_VALUE"""),16606.59)</f>
        <v/>
      </c>
      <c r="D15" s="75">
        <f>IFERROR(__xludf.DUMMYFUNCTION("""COMPUTED_VALUE"""),"VES")</f>
        <v/>
      </c>
      <c r="E15" s="75">
        <f>IFERROR(__xludf.DUMMYFUNCTION("""COMPUTED_VALUE"""),"Bancamiga")</f>
        <v/>
      </c>
      <c r="F15" s="75">
        <f>IFERROR(__xludf.DUMMYFUNCTION("""COMPUTED_VALUE"""),"EMPRENDIMIENTO TOMAS MARCANO 5")</f>
        <v/>
      </c>
      <c r="G15" s="75" t="n"/>
      <c r="H15" s="76">
        <f>IFERROR(__xludf.DUMMYFUNCTION("""COMPUTED_VALUE"""),440.9657)</f>
        <v/>
      </c>
      <c r="I15" s="75" t="n"/>
      <c r="J15" s="77">
        <f>IFERROR(__xludf.DUMMYFUNCTION("""COMPUTED_VALUE"""),37.659595746335825)</f>
        <v/>
      </c>
      <c r="K15" s="4">
        <f>IFERROR(__xludf.DUMMYFUNCTION("""COMPUTED_VALUE"""),0.0)</f>
        <v/>
      </c>
      <c r="L15" s="77">
        <f>IFERROR(__xludf.DUMMYFUNCTION("""COMPUTED_VALUE"""),37.659595746335825)</f>
        <v/>
      </c>
      <c r="N15" s="75" t="n"/>
      <c r="O15" s="72" t="n"/>
      <c r="P15" s="75" t="n"/>
      <c r="Q15" s="75" t="n"/>
      <c r="R15" s="75" t="n"/>
      <c r="S15" s="4" t="n"/>
    </row>
    <row r="16">
      <c r="A16" s="74">
        <f>IFERROR(__xludf.DUMMYFUNCTION("""COMPUTED_VALUE"""),46094.0)</f>
        <v/>
      </c>
      <c r="B16" s="72">
        <f>IFERROR(__xludf.DUMMYFUNCTION("""COMPUTED_VALUE"""),23.0)</f>
        <v/>
      </c>
      <c r="C16" s="75">
        <f>IFERROR(__xludf.DUMMYFUNCTION("""COMPUTED_VALUE"""),66.0)</f>
        <v/>
      </c>
      <c r="D16" s="75">
        <f>IFERROR(__xludf.DUMMYFUNCTION("""COMPUTED_VALUE"""),"USD")</f>
        <v/>
      </c>
      <c r="E16" s="75">
        <f>IFERROR(__xludf.DUMMYFUNCTION("""COMPUTED_VALUE"""),"Efectivo USD")</f>
        <v/>
      </c>
      <c r="F16" s="75">
        <f>IFERROR(__xludf.DUMMYFUNCTION("""COMPUTED_VALUE"""),"Multiservicios Sanahuja 36 C.A")</f>
        <v/>
      </c>
      <c r="G16" s="75" t="n"/>
      <c r="H16" s="76">
        <f>IFERROR(__xludf.DUMMYFUNCTION("""COMPUTED_VALUE"""),443.2587)</f>
        <v/>
      </c>
      <c r="I16" s="75" t="n"/>
      <c r="J16" s="77">
        <f>IFERROR(__xludf.DUMMYFUNCTION("""COMPUTED_VALUE"""),66.0)</f>
        <v/>
      </c>
      <c r="K16" s="4">
        <f>IFERROR(__xludf.DUMMYFUNCTION("""COMPUTED_VALUE"""),66.0)</f>
        <v/>
      </c>
      <c r="L16" s="77">
        <f>IFERROR(__xludf.DUMMYFUNCTION("""COMPUTED_VALUE"""),66.0)</f>
        <v/>
      </c>
      <c r="O16" s="72" t="n"/>
      <c r="S16" s="4" t="n"/>
    </row>
    <row r="17">
      <c r="A17" s="74">
        <f>IFERROR(__xludf.DUMMYFUNCTION("""COMPUTED_VALUE"""),46094.0)</f>
        <v/>
      </c>
      <c r="B17" s="72">
        <f>IFERROR(__xludf.DUMMYFUNCTION("""COMPUTED_VALUE"""),46.0)</f>
        <v/>
      </c>
      <c r="C17" s="75">
        <f>IFERROR(__xludf.DUMMYFUNCTION("""COMPUTED_VALUE"""),130.0)</f>
        <v/>
      </c>
      <c r="D17" s="75">
        <f>IFERROR(__xludf.DUMMYFUNCTION("""COMPUTED_VALUE"""),"USD")</f>
        <v/>
      </c>
      <c r="E17" s="75">
        <f>IFERROR(__xludf.DUMMYFUNCTION("""COMPUTED_VALUE"""),"Efectivo USD")</f>
        <v/>
      </c>
      <c r="F17" s="75">
        <f>IFERROR(__xludf.DUMMYFUNCTION("""COMPUTED_VALUE"""),"EMPRENDIMIENTO IRMA RODRIGUEZ 6")</f>
        <v/>
      </c>
      <c r="G17" s="75" t="n"/>
      <c r="H17" s="76">
        <f>IFERROR(__xludf.DUMMYFUNCTION("""COMPUTED_VALUE"""),443.2587)</f>
        <v/>
      </c>
      <c r="I17" s="75" t="n"/>
      <c r="J17" s="77">
        <f>IFERROR(__xludf.DUMMYFUNCTION("""COMPUTED_VALUE"""),130.0)</f>
        <v/>
      </c>
      <c r="K17" s="4">
        <f>IFERROR(__xludf.DUMMYFUNCTION("""COMPUTED_VALUE"""),130.0)</f>
        <v/>
      </c>
      <c r="L17" s="77">
        <f>IFERROR(__xludf.DUMMYFUNCTION("""COMPUTED_VALUE"""),130.0)</f>
        <v/>
      </c>
      <c r="O17" s="72" t="n"/>
      <c r="S17" s="4" t="n"/>
    </row>
    <row r="18">
      <c r="A18" s="74">
        <f>IFERROR(__xludf.DUMMYFUNCTION("""COMPUTED_VALUE"""),46094.0)</f>
        <v/>
      </c>
      <c r="B18" s="72">
        <f>IFERROR(__xludf.DUMMYFUNCTION("""COMPUTED_VALUE"""),66.0)</f>
        <v/>
      </c>
      <c r="C18" s="75">
        <f>IFERROR(__xludf.DUMMYFUNCTION("""COMPUTED_VALUE"""),132.0)</f>
        <v/>
      </c>
      <c r="D18" s="75">
        <f>IFERROR(__xludf.DUMMYFUNCTION("""COMPUTED_VALUE"""),"USD")</f>
        <v/>
      </c>
      <c r="E18" s="75">
        <f>IFERROR(__xludf.DUMMYFUNCTION("""COMPUTED_VALUE"""),"Efectivo USD")</f>
        <v/>
      </c>
      <c r="F18" s="75">
        <f>IFERROR(__xludf.DUMMYFUNCTION("""COMPUTED_VALUE"""),"EMPRENDIMIENTO IRMA RODRIGUEZ 6")</f>
        <v/>
      </c>
      <c r="G18" s="75" t="n"/>
      <c r="H18" s="76">
        <f>IFERROR(__xludf.DUMMYFUNCTION("""COMPUTED_VALUE"""),443.2587)</f>
        <v/>
      </c>
      <c r="I18" s="75" t="n"/>
      <c r="J18" s="77">
        <f>IFERROR(__xludf.DUMMYFUNCTION("""COMPUTED_VALUE"""),132.0)</f>
        <v/>
      </c>
      <c r="K18" s="4">
        <f>IFERROR(__xludf.DUMMYFUNCTION("""COMPUTED_VALUE"""),132.0)</f>
        <v/>
      </c>
      <c r="L18" s="77">
        <f>IFERROR(__xludf.DUMMYFUNCTION("""COMPUTED_VALUE"""),132.0)</f>
        <v/>
      </c>
      <c r="O18" s="72" t="n"/>
      <c r="S18" s="4" t="n"/>
    </row>
    <row r="19">
      <c r="A19" s="74">
        <f>IFERROR(__xludf.DUMMYFUNCTION("""COMPUTED_VALUE"""),46094.0)</f>
        <v/>
      </c>
      <c r="B19" s="72">
        <f>IFERROR(__xludf.DUMMYFUNCTION("""COMPUTED_VALUE"""),88.0)</f>
        <v/>
      </c>
      <c r="C19" s="75">
        <f>IFERROR(__xludf.DUMMYFUNCTION("""COMPUTED_VALUE"""),106455.68)</f>
        <v/>
      </c>
      <c r="D19" s="75">
        <f>IFERROR(__xludf.DUMMYFUNCTION("""COMPUTED_VALUE"""),"VES")</f>
        <v/>
      </c>
      <c r="E19" s="75">
        <f>IFERROR(__xludf.DUMMYFUNCTION("""COMPUTED_VALUE"""),"Bancamiga")</f>
        <v/>
      </c>
      <c r="F19" s="75">
        <f>IFERROR(__xludf.DUMMYFUNCTION("""COMPUTED_VALUE"""),"ALIPLUS TRASPORTE Y EQUIPOS, CA")</f>
        <v/>
      </c>
      <c r="G19" s="75" t="n"/>
      <c r="H19" s="76">
        <f>IFERROR(__xludf.DUMMYFUNCTION("""COMPUTED_VALUE"""),443.2587)</f>
        <v/>
      </c>
      <c r="I19" s="75" t="n"/>
      <c r="J19" s="77">
        <f>IFERROR(__xludf.DUMMYFUNCTION("""COMPUTED_VALUE"""),240.16602494209363)</f>
        <v/>
      </c>
      <c r="K19" s="4">
        <f>IFERROR(__xludf.DUMMYFUNCTION("""COMPUTED_VALUE"""),0.0)</f>
        <v/>
      </c>
      <c r="L19" s="77">
        <f>IFERROR(__xludf.DUMMYFUNCTION("""COMPUTED_VALUE"""),240.16602494209363)</f>
        <v/>
      </c>
      <c r="O19" s="72" t="n"/>
      <c r="S19" s="4" t="n"/>
    </row>
    <row r="20">
      <c r="A20" s="74">
        <f>IFERROR(__xludf.DUMMYFUNCTION("""COMPUTED_VALUE"""),46094.0)</f>
        <v/>
      </c>
      <c r="B20" s="72">
        <f>IFERROR(__xludf.DUMMYFUNCTION("""COMPUTED_VALUE"""),79.0)</f>
        <v/>
      </c>
      <c r="C20" s="75">
        <f>IFERROR(__xludf.DUMMYFUNCTION("""COMPUTED_VALUE"""),203899.0)</f>
        <v/>
      </c>
      <c r="D20" s="75">
        <f>IFERROR(__xludf.DUMMYFUNCTION("""COMPUTED_VALUE"""),"VES")</f>
        <v/>
      </c>
      <c r="E20" s="75">
        <f>IFERROR(__xludf.DUMMYFUNCTION("""COMPUTED_VALUE"""),"Bancamiga")</f>
        <v/>
      </c>
      <c r="F20" s="75">
        <f>IFERROR(__xludf.DUMMYFUNCTION("""COMPUTED_VALUE"""),"E&amp;M CAR SHOP C.A")</f>
        <v/>
      </c>
      <c r="G20" s="75" t="n"/>
      <c r="H20" s="76">
        <f>IFERROR(__xludf.DUMMYFUNCTION("""COMPUTED_VALUE"""),443.2587)</f>
        <v/>
      </c>
      <c r="I20" s="75" t="n"/>
      <c r="J20" s="77">
        <f>IFERROR(__xludf.DUMMYFUNCTION("""COMPUTED_VALUE"""),459.9999954879622)</f>
        <v/>
      </c>
      <c r="K20" s="4">
        <f>IFERROR(__xludf.DUMMYFUNCTION("""COMPUTED_VALUE"""),0.0)</f>
        <v/>
      </c>
      <c r="L20" s="77">
        <f>IFERROR(__xludf.DUMMYFUNCTION("""COMPUTED_VALUE"""),459.9999954879622)</f>
        <v/>
      </c>
      <c r="O20" s="72" t="n"/>
      <c r="S20" s="4" t="n"/>
    </row>
    <row r="21">
      <c r="A21" s="74">
        <f>IFERROR(__xludf.DUMMYFUNCTION("""COMPUTED_VALUE"""),46097.0)</f>
        <v/>
      </c>
      <c r="B21" s="72">
        <f>IFERROR(__xludf.DUMMYFUNCTION("""COMPUTED_VALUE"""),20.0)</f>
        <v/>
      </c>
      <c r="C21" s="75">
        <f>IFERROR(__xludf.DUMMYFUNCTION("""COMPUTED_VALUE"""),7670.0)</f>
        <v/>
      </c>
      <c r="D21" s="75">
        <f>IFERROR(__xludf.DUMMYFUNCTION("""COMPUTED_VALUE"""),"VES")</f>
        <v/>
      </c>
      <c r="E21" s="75">
        <f>IFERROR(__xludf.DUMMYFUNCTION("""COMPUTED_VALUE"""),"Bancamiga")</f>
        <v/>
      </c>
      <c r="F21" s="75">
        <f>IFERROR(__xludf.DUMMYFUNCTION("""COMPUTED_VALUE"""),"EMPRENDIMIENTO TOMAS MARCANO 5")</f>
        <v/>
      </c>
      <c r="G21" s="75" t="n"/>
      <c r="H21" s="76">
        <f>IFERROR(__xludf.DUMMYFUNCTION("""COMPUTED_VALUE"""),446.8048)</f>
        <v/>
      </c>
      <c r="I21" s="75" t="n"/>
      <c r="J21" s="77">
        <f>IFERROR(__xludf.DUMMYFUNCTION("""COMPUTED_VALUE"""),17.16633303849914)</f>
        <v/>
      </c>
      <c r="K21" s="4">
        <f>IFERROR(__xludf.DUMMYFUNCTION("""COMPUTED_VALUE"""),0.0)</f>
        <v/>
      </c>
      <c r="L21" s="77">
        <f>IFERROR(__xludf.DUMMYFUNCTION("""COMPUTED_VALUE"""),17.16633303849914)</f>
        <v/>
      </c>
      <c r="O21" s="72" t="n"/>
      <c r="S21" s="4" t="n"/>
    </row>
    <row r="22">
      <c r="A22" s="74">
        <f>IFERROR(__xludf.DUMMYFUNCTION("""COMPUTED_VALUE"""),46098.0)</f>
        <v/>
      </c>
      <c r="B22" s="72">
        <f>IFERROR(__xludf.DUMMYFUNCTION("""COMPUTED_VALUE"""),30.0)</f>
        <v/>
      </c>
      <c r="C22" s="75">
        <f>IFERROR(__xludf.DUMMYFUNCTION("""COMPUTED_VALUE"""),146.0)</f>
        <v/>
      </c>
      <c r="D22" s="75">
        <f>IFERROR(__xludf.DUMMYFUNCTION("""COMPUTED_VALUE"""),"USD")</f>
        <v/>
      </c>
      <c r="E22" s="75">
        <f>IFERROR(__xludf.DUMMYFUNCTION("""COMPUTED_VALUE"""),"Efectivo USD")</f>
        <v/>
      </c>
      <c r="F22" s="75">
        <f>IFERROR(__xludf.DUMMYFUNCTION("""COMPUTED_VALUE"""),"HIDRAULICAS CAICEDO C.A.")</f>
        <v/>
      </c>
      <c r="G22" s="75" t="n"/>
      <c r="H22" s="76">
        <f>IFERROR(__xludf.DUMMYFUNCTION("""COMPUTED_VALUE"""),448.3686)</f>
        <v/>
      </c>
      <c r="I22" s="75" t="n"/>
      <c r="J22" s="77">
        <f>IFERROR(__xludf.DUMMYFUNCTION("""COMPUTED_VALUE"""),146.0)</f>
        <v/>
      </c>
      <c r="K22" s="4">
        <f>IFERROR(__xludf.DUMMYFUNCTION("""COMPUTED_VALUE"""),146.0)</f>
        <v/>
      </c>
      <c r="L22" s="77">
        <f>IFERROR(__xludf.DUMMYFUNCTION("""COMPUTED_VALUE"""),146.0)</f>
        <v/>
      </c>
      <c r="O22" s="72" t="n"/>
      <c r="S22" s="4" t="n"/>
    </row>
    <row r="23">
      <c r="A23" s="74">
        <f>IFERROR(__xludf.DUMMYFUNCTION("""COMPUTED_VALUE"""),46098.0)</f>
        <v/>
      </c>
      <c r="B23" s="72">
        <f>IFERROR(__xludf.DUMMYFUNCTION("""COMPUTED_VALUE"""),23.0)</f>
        <v/>
      </c>
      <c r="C23" s="75">
        <f>IFERROR(__xludf.DUMMYFUNCTION("""COMPUTED_VALUE"""),30.0)</f>
        <v/>
      </c>
      <c r="D23" s="75">
        <f>IFERROR(__xludf.DUMMYFUNCTION("""COMPUTED_VALUE"""),"USD")</f>
        <v/>
      </c>
      <c r="E23" s="75">
        <f>IFERROR(__xludf.DUMMYFUNCTION("""COMPUTED_VALUE"""),"Efectivo USD")</f>
        <v/>
      </c>
      <c r="F23" s="75">
        <f>IFERROR(__xludf.DUMMYFUNCTION("""COMPUTED_VALUE"""),"Multiservicios Sanahuja 36 C.A")</f>
        <v/>
      </c>
      <c r="G23" s="75" t="n"/>
      <c r="H23" s="76">
        <f>IFERROR(__xludf.DUMMYFUNCTION("""COMPUTED_VALUE"""),448.3686)</f>
        <v/>
      </c>
      <c r="I23" s="75" t="n"/>
      <c r="J23" s="77">
        <f>IFERROR(__xludf.DUMMYFUNCTION("""COMPUTED_VALUE"""),30.0)</f>
        <v/>
      </c>
      <c r="K23" s="4">
        <f>IFERROR(__xludf.DUMMYFUNCTION("""COMPUTED_VALUE"""),30.0)</f>
        <v/>
      </c>
      <c r="L23" s="77">
        <f>IFERROR(__xludf.DUMMYFUNCTION("""COMPUTED_VALUE"""),30.0)</f>
        <v/>
      </c>
      <c r="O23" s="72" t="n"/>
      <c r="S23" s="4" t="n"/>
    </row>
    <row r="24">
      <c r="A24" s="74">
        <f>IFERROR(__xludf.DUMMYFUNCTION("""COMPUTED_VALUE"""),46100.0)</f>
        <v/>
      </c>
      <c r="B24" s="72">
        <f>IFERROR(__xludf.DUMMYFUNCTION("""COMPUTED_VALUE"""),92.0)</f>
        <v/>
      </c>
      <c r="C24" s="75">
        <f>IFERROR(__xludf.DUMMYFUNCTION("""COMPUTED_VALUE"""),126.0)</f>
        <v/>
      </c>
      <c r="D24" s="75">
        <f>IFERROR(__xludf.DUMMYFUNCTION("""COMPUTED_VALUE"""),"USD")</f>
        <v/>
      </c>
      <c r="E24" s="75">
        <f>IFERROR(__xludf.DUMMYFUNCTION("""COMPUTED_VALUE"""),"Efectivo USD")</f>
        <v/>
      </c>
      <c r="F24" s="75">
        <f>IFERROR(__xludf.DUMMYFUNCTION("""COMPUTED_VALUE"""),"EMPRENDIMIENTO IRMA RODRIGUEZ 6")</f>
        <v/>
      </c>
      <c r="G24" s="75" t="n"/>
      <c r="H24" s="76">
        <f>IFERROR(__xludf.DUMMYFUNCTION("""COMPUTED_VALUE"""),451.5072)</f>
        <v/>
      </c>
      <c r="I24" s="75" t="n"/>
      <c r="J24" s="77">
        <f>IFERROR(__xludf.DUMMYFUNCTION("""COMPUTED_VALUE"""),126.0)</f>
        <v/>
      </c>
      <c r="K24" s="4">
        <f>IFERROR(__xludf.DUMMYFUNCTION("""COMPUTED_VALUE"""),126.0)</f>
        <v/>
      </c>
      <c r="L24" s="77">
        <f>IFERROR(__xludf.DUMMYFUNCTION("""COMPUTED_VALUE"""),126.0)</f>
        <v/>
      </c>
      <c r="O24" s="72" t="n"/>
      <c r="S24" s="4" t="n"/>
    </row>
    <row r="25">
      <c r="A25" s="74">
        <f>IFERROR(__xludf.DUMMYFUNCTION("""COMPUTED_VALUE"""),46100.0)</f>
        <v/>
      </c>
      <c r="B25" s="72">
        <f>IFERROR(__xludf.DUMMYFUNCTION("""COMPUTED_VALUE"""),4.0)</f>
        <v/>
      </c>
      <c r="C25" s="75">
        <f>IFERROR(__xludf.DUMMYFUNCTION("""COMPUTED_VALUE"""),175.0)</f>
        <v/>
      </c>
      <c r="D25" s="75">
        <f>IFERROR(__xludf.DUMMYFUNCTION("""COMPUTED_VALUE"""),"USD")</f>
        <v/>
      </c>
      <c r="E25" s="75">
        <f>IFERROR(__xludf.DUMMYFUNCTION("""COMPUTED_VALUE"""),"Efectivo USD")</f>
        <v/>
      </c>
      <c r="F25" s="75">
        <f>IFERROR(__xludf.DUMMYFUNCTION("""COMPUTED_VALUE"""),"GARAJE Y TALLERES FRIDELBA, C.A")</f>
        <v/>
      </c>
      <c r="G25" s="75" t="n"/>
      <c r="H25" s="76">
        <f>IFERROR(__xludf.DUMMYFUNCTION("""COMPUTED_VALUE"""),451.5072)</f>
        <v/>
      </c>
      <c r="I25" s="75" t="n"/>
      <c r="J25" s="77">
        <f>IFERROR(__xludf.DUMMYFUNCTION("""COMPUTED_VALUE"""),175.0)</f>
        <v/>
      </c>
      <c r="K25" s="4">
        <f>IFERROR(__xludf.DUMMYFUNCTION("""COMPUTED_VALUE"""),175.0)</f>
        <v/>
      </c>
      <c r="L25" s="77">
        <f>IFERROR(__xludf.DUMMYFUNCTION("""COMPUTED_VALUE"""),175.0)</f>
        <v/>
      </c>
      <c r="O25" s="72" t="n"/>
      <c r="S25" s="4" t="n"/>
    </row>
    <row r="26">
      <c r="A26" s="74">
        <f>IFERROR(__xludf.DUMMYFUNCTION("""COMPUTED_VALUE"""),46100.0)</f>
        <v/>
      </c>
      <c r="B26" s="72">
        <f>IFERROR(__xludf.DUMMYFUNCTION("""COMPUTED_VALUE"""),38.0)</f>
        <v/>
      </c>
      <c r="C26" s="75">
        <f>IFERROR(__xludf.DUMMYFUNCTION("""COMPUTED_VALUE"""),50.0)</f>
        <v/>
      </c>
      <c r="D26" s="75">
        <f>IFERROR(__xludf.DUMMYFUNCTION("""COMPUTED_VALUE"""),"USD")</f>
        <v/>
      </c>
      <c r="E26" s="75">
        <f>IFERROR(__xludf.DUMMYFUNCTION("""COMPUTED_VALUE"""),"Efectivo USD")</f>
        <v/>
      </c>
      <c r="F26" s="75">
        <f>IFERROR(__xludf.DUMMYFUNCTION("""COMPUTED_VALUE"""),"Auto repuestos Fontalvo")</f>
        <v/>
      </c>
      <c r="G26" s="75" t="n"/>
      <c r="H26" s="76">
        <f>IFERROR(__xludf.DUMMYFUNCTION("""COMPUTED_VALUE"""),451.5072)</f>
        <v/>
      </c>
      <c r="I26" s="75" t="n"/>
      <c r="J26" s="77">
        <f>IFERROR(__xludf.DUMMYFUNCTION("""COMPUTED_VALUE"""),50.0)</f>
        <v/>
      </c>
      <c r="K26" s="4">
        <f>IFERROR(__xludf.DUMMYFUNCTION("""COMPUTED_VALUE"""),50.0)</f>
        <v/>
      </c>
      <c r="L26" s="77">
        <f>IFERROR(__xludf.DUMMYFUNCTION("""COMPUTED_VALUE"""),50.0)</f>
        <v/>
      </c>
      <c r="O26" s="72" t="n"/>
      <c r="S26" s="4" t="n"/>
    </row>
    <row r="27">
      <c r="A27" s="74">
        <f>IFERROR(__xludf.DUMMYFUNCTION("""COMPUTED_VALUE"""),46100.0)</f>
        <v/>
      </c>
      <c r="B27" s="72">
        <f>IFERROR(__xludf.DUMMYFUNCTION("""COMPUTED_VALUE"""),99.0)</f>
        <v/>
      </c>
      <c r="C27" s="75">
        <f>IFERROR(__xludf.DUMMYFUNCTION("""COMPUTED_VALUE"""),36196.75)</f>
        <v/>
      </c>
      <c r="D27" s="75">
        <f>IFERROR(__xludf.DUMMYFUNCTION("""COMPUTED_VALUE"""),"VES")</f>
        <v/>
      </c>
      <c r="E27" s="75">
        <f>IFERROR(__xludf.DUMMYFUNCTION("""COMPUTED_VALUE"""),"Bancamiga")</f>
        <v/>
      </c>
      <c r="F27" s="75">
        <f>IFERROR(__xludf.DUMMYFUNCTION("""COMPUTED_VALUE"""),"ZIP MARKET, CA")</f>
        <v/>
      </c>
      <c r="G27" s="75" t="n"/>
      <c r="H27" s="76">
        <f>IFERROR(__xludf.DUMMYFUNCTION("""COMPUTED_VALUE"""),451.5072)</f>
        <v/>
      </c>
      <c r="I27" s="75" t="n"/>
      <c r="J27" s="77">
        <f>IFERROR(__xludf.DUMMYFUNCTION("""COMPUTED_VALUE"""),80.16871048789477)</f>
        <v/>
      </c>
      <c r="K27" s="4">
        <f>IFERROR(__xludf.DUMMYFUNCTION("""COMPUTED_VALUE"""),0.0)</f>
        <v/>
      </c>
      <c r="L27" s="77">
        <f>IFERROR(__xludf.DUMMYFUNCTION("""COMPUTED_VALUE"""),80.16871048789477)</f>
        <v/>
      </c>
      <c r="O27" s="72" t="n"/>
      <c r="S27" s="4" t="n"/>
    </row>
    <row r="28">
      <c r="A28" s="74">
        <f>IFERROR(__xludf.DUMMYFUNCTION("""COMPUTED_VALUE"""),46104.0)</f>
        <v/>
      </c>
      <c r="B28" s="72">
        <f>IFERROR(__xludf.DUMMYFUNCTION("""COMPUTED_VALUE"""),137.0)</f>
        <v/>
      </c>
      <c r="C28" s="75">
        <f>IFERROR(__xludf.DUMMYFUNCTION("""COMPUTED_VALUE"""),130.0)</f>
        <v/>
      </c>
      <c r="D28" s="75">
        <f>IFERROR(__xludf.DUMMYFUNCTION("""COMPUTED_VALUE"""),"USD")</f>
        <v/>
      </c>
      <c r="E28" s="75">
        <f>IFERROR(__xludf.DUMMYFUNCTION("""COMPUTED_VALUE"""),"Efectivo USD")</f>
        <v/>
      </c>
      <c r="F28" s="75">
        <f>IFERROR(__xludf.DUMMYFUNCTION("""COMPUTED_VALUE"""),"FREDI MARQUEZ")</f>
        <v/>
      </c>
      <c r="G28" s="75" t="n"/>
      <c r="H28" s="76">
        <f>IFERROR(__xludf.DUMMYFUNCTION("""COMPUTED_VALUE"""),457.0757)</f>
        <v/>
      </c>
      <c r="I28" s="75" t="n"/>
      <c r="J28" s="77">
        <f>IFERROR(__xludf.DUMMYFUNCTION("""COMPUTED_VALUE"""),130.0)</f>
        <v/>
      </c>
      <c r="K28" s="4">
        <f>IFERROR(__xludf.DUMMYFUNCTION("""COMPUTED_VALUE"""),130.0)</f>
        <v/>
      </c>
      <c r="L28" s="77">
        <f>IFERROR(__xludf.DUMMYFUNCTION("""COMPUTED_VALUE"""),130.0)</f>
        <v/>
      </c>
      <c r="O28" s="72" t="n"/>
      <c r="S28" s="4" t="n"/>
    </row>
    <row r="29">
      <c r="A29" s="74">
        <f>IFERROR(__xludf.DUMMYFUNCTION("""COMPUTED_VALUE"""),46104.0)</f>
        <v/>
      </c>
      <c r="B29" s="72">
        <f>IFERROR(__xludf.DUMMYFUNCTION("""COMPUTED_VALUE"""),48.0)</f>
        <v/>
      </c>
      <c r="C29" s="75">
        <f>IFERROR(__xludf.DUMMYFUNCTION("""COMPUTED_VALUE"""),32691.98)</f>
        <v/>
      </c>
      <c r="D29" s="75">
        <f>IFERROR(__xludf.DUMMYFUNCTION("""COMPUTED_VALUE"""),"VES")</f>
        <v/>
      </c>
      <c r="E29" s="75">
        <f>IFERROR(__xludf.DUMMYFUNCTION("""COMPUTED_VALUE"""),"Bancamiga")</f>
        <v/>
      </c>
      <c r="F29" s="75">
        <f>IFERROR(__xludf.DUMMYFUNCTION("""COMPUTED_VALUE"""),"Autoelectronica Oranel, C.A.")</f>
        <v/>
      </c>
      <c r="G29" s="75" t="n"/>
      <c r="H29" s="76">
        <f>IFERROR(__xludf.DUMMYFUNCTION("""COMPUTED_VALUE"""),457.0757)</f>
        <v/>
      </c>
      <c r="I29" s="75" t="n"/>
      <c r="J29" s="77">
        <f>IFERROR(__xludf.DUMMYFUNCTION("""COMPUTED_VALUE"""),71.52421360400477)</f>
        <v/>
      </c>
      <c r="K29" s="4">
        <f>IFERROR(__xludf.DUMMYFUNCTION("""COMPUTED_VALUE"""),0.0)</f>
        <v/>
      </c>
      <c r="L29" s="77">
        <f>IFERROR(__xludf.DUMMYFUNCTION("""COMPUTED_VALUE"""),71.52421360400477)</f>
        <v/>
      </c>
      <c r="O29" s="72" t="n"/>
      <c r="S29" s="4" t="n"/>
    </row>
    <row r="30">
      <c r="A30" s="74">
        <f>IFERROR(__xludf.DUMMYFUNCTION("""COMPUTED_VALUE"""),46104.0)</f>
        <v/>
      </c>
      <c r="B30" s="72">
        <f>IFERROR(__xludf.DUMMYFUNCTION("""COMPUTED_VALUE"""),140.0)</f>
        <v/>
      </c>
      <c r="C30" s="75">
        <f>IFERROR(__xludf.DUMMYFUNCTION("""COMPUTED_VALUE"""),24522.12)</f>
        <v/>
      </c>
      <c r="D30" s="75">
        <f>IFERROR(__xludf.DUMMYFUNCTION("""COMPUTED_VALUE"""),"VES")</f>
        <v/>
      </c>
      <c r="E30" s="75">
        <f>IFERROR(__xludf.DUMMYFUNCTION("""COMPUTED_VALUE"""),"Bancamiga")</f>
        <v/>
      </c>
      <c r="F30" s="75">
        <f>IFERROR(__xludf.DUMMYFUNCTION("""COMPUTED_VALUE"""),"JOSE STURCHIO CAPPELLANIA")</f>
        <v/>
      </c>
      <c r="G30" s="75" t="n"/>
      <c r="H30" s="76">
        <f>IFERROR(__xludf.DUMMYFUNCTION("""COMPUTED_VALUE"""),457.0757)</f>
        <v/>
      </c>
      <c r="I30" s="75" t="n"/>
      <c r="J30" s="77">
        <f>IFERROR(__xludf.DUMMYFUNCTION("""COMPUTED_VALUE"""),53.65001902310711)</f>
        <v/>
      </c>
      <c r="K30" s="4">
        <f>IFERROR(__xludf.DUMMYFUNCTION("""COMPUTED_VALUE"""),0.0)</f>
        <v/>
      </c>
      <c r="L30" s="77">
        <f>IFERROR(__xludf.DUMMYFUNCTION("""COMPUTED_VALUE"""),53.65001902310711)</f>
        <v/>
      </c>
      <c r="O30" s="72" t="n"/>
      <c r="S30" s="4" t="n"/>
    </row>
    <row r="31">
      <c r="A31" s="74">
        <f>IFERROR(__xludf.DUMMYFUNCTION("""COMPUTED_VALUE"""),46105.0)</f>
        <v/>
      </c>
      <c r="B31" s="72">
        <f>IFERROR(__xludf.DUMMYFUNCTION("""COMPUTED_VALUE"""),136.0)</f>
        <v/>
      </c>
      <c r="C31" s="75">
        <f>IFERROR(__xludf.DUMMYFUNCTION("""COMPUTED_VALUE"""),42729.08)</f>
        <v/>
      </c>
      <c r="D31" s="75">
        <f>IFERROR(__xludf.DUMMYFUNCTION("""COMPUTED_VALUE"""),"VES")</f>
        <v/>
      </c>
      <c r="E31" s="75">
        <f>IFERROR(__xludf.DUMMYFUNCTION("""COMPUTED_VALUE"""),"Bancamiga")</f>
        <v/>
      </c>
      <c r="F31" s="75">
        <f>IFERROR(__xludf.DUMMYFUNCTION("""COMPUTED_VALUE"""),"ZIP MARKET, CA")</f>
        <v/>
      </c>
      <c r="G31" s="75" t="n"/>
      <c r="H31" s="76">
        <f>IFERROR(__xludf.DUMMYFUNCTION("""COMPUTED_VALUE"""),459.4525)</f>
        <v/>
      </c>
      <c r="I31" s="75" t="n"/>
      <c r="J31" s="77">
        <f>IFERROR(__xludf.DUMMYFUNCTION("""COMPUTED_VALUE"""),92.99999455874112)</f>
        <v/>
      </c>
      <c r="K31" s="4">
        <f>IFERROR(__xludf.DUMMYFUNCTION("""COMPUTED_VALUE"""),0.0)</f>
        <v/>
      </c>
      <c r="L31" s="77">
        <f>IFERROR(__xludf.DUMMYFUNCTION("""COMPUTED_VALUE"""),92.99999455874112)</f>
        <v/>
      </c>
      <c r="O31" s="72" t="n"/>
      <c r="S31" s="4" t="n"/>
    </row>
    <row r="32">
      <c r="A32" s="74">
        <f>IFERROR(__xludf.DUMMYFUNCTION("""COMPUTED_VALUE"""),46105.0)</f>
        <v/>
      </c>
      <c r="B32" s="72">
        <f>IFERROR(__xludf.DUMMYFUNCTION("""COMPUTED_VALUE"""),56.0)</f>
        <v/>
      </c>
      <c r="C32" s="75">
        <f>IFERROR(__xludf.DUMMYFUNCTION("""COMPUTED_VALUE"""),30.0)</f>
        <v/>
      </c>
      <c r="D32" s="75">
        <f>IFERROR(__xludf.DUMMYFUNCTION("""COMPUTED_VALUE"""),"USD")</f>
        <v/>
      </c>
      <c r="E32" s="75">
        <f>IFERROR(__xludf.DUMMYFUNCTION("""COMPUTED_VALUE"""),"Efectivo USD")</f>
        <v/>
      </c>
      <c r="F32" s="75">
        <f>IFERROR(__xludf.DUMMYFUNCTION("""COMPUTED_VALUE"""),"Motolavado Yahir")</f>
        <v/>
      </c>
      <c r="G32" s="75" t="n"/>
      <c r="H32" s="76">
        <f>IFERROR(__xludf.DUMMYFUNCTION("""COMPUTED_VALUE"""),459.4525)</f>
        <v/>
      </c>
      <c r="I32" s="75" t="n"/>
      <c r="J32" s="77">
        <f>IFERROR(__xludf.DUMMYFUNCTION("""COMPUTED_VALUE"""),30.0)</f>
        <v/>
      </c>
      <c r="K32" s="4">
        <f>IFERROR(__xludf.DUMMYFUNCTION("""COMPUTED_VALUE"""),30.0)</f>
        <v/>
      </c>
      <c r="L32" s="77">
        <f>IFERROR(__xludf.DUMMYFUNCTION("""COMPUTED_VALUE"""),30.0)</f>
        <v/>
      </c>
      <c r="O32" s="72" t="n"/>
      <c r="S32" s="4" t="n"/>
    </row>
    <row r="33">
      <c r="A33" s="74">
        <f>IFERROR(__xludf.DUMMYFUNCTION("""COMPUTED_VALUE"""),46106.0)</f>
        <v/>
      </c>
      <c r="B33" s="72">
        <f>IFERROR(__xludf.DUMMYFUNCTION("""COMPUTED_VALUE"""),119.0)</f>
        <v/>
      </c>
      <c r="C33" s="75">
        <f>IFERROR(__xludf.DUMMYFUNCTION("""COMPUTED_VALUE"""),197.0)</f>
        <v/>
      </c>
      <c r="D33" s="75">
        <f>IFERROR(__xludf.DUMMYFUNCTION("""COMPUTED_VALUE"""),"USD")</f>
        <v/>
      </c>
      <c r="E33" s="75">
        <f>IFERROR(__xludf.DUMMYFUNCTION("""COMPUTED_VALUE"""),"Efectivo USD")</f>
        <v/>
      </c>
      <c r="F33" s="75">
        <f>IFERROR(__xludf.DUMMYFUNCTION("""COMPUTED_VALUE"""),"EMPRENDIMIENTO IRMA RODRIGUEZ 6")</f>
        <v/>
      </c>
      <c r="G33" s="75" t="n"/>
      <c r="H33" s="76">
        <f>IFERROR(__xludf.DUMMYFUNCTION("""COMPUTED_VALUE"""),462.6687)</f>
        <v/>
      </c>
      <c r="I33" s="75" t="n"/>
      <c r="J33" s="77">
        <f>IFERROR(__xludf.DUMMYFUNCTION("""COMPUTED_VALUE"""),197.0)</f>
        <v/>
      </c>
      <c r="K33" s="4">
        <f>IFERROR(__xludf.DUMMYFUNCTION("""COMPUTED_VALUE"""),197.0)</f>
        <v/>
      </c>
      <c r="L33" s="77">
        <f>IFERROR(__xludf.DUMMYFUNCTION("""COMPUTED_VALUE"""),197.0)</f>
        <v/>
      </c>
      <c r="O33" s="72" t="n"/>
      <c r="S33" s="4" t="n"/>
    </row>
    <row r="34">
      <c r="A34" s="74">
        <f>IFERROR(__xludf.DUMMYFUNCTION("""COMPUTED_VALUE"""),46106.0)</f>
        <v/>
      </c>
      <c r="B34" s="72">
        <f>IFERROR(__xludf.DUMMYFUNCTION("""COMPUTED_VALUE"""),108.0)</f>
        <v/>
      </c>
      <c r="C34" s="75">
        <f>IFERROR(__xludf.DUMMYFUNCTION("""COMPUTED_VALUE"""),110.0)</f>
        <v/>
      </c>
      <c r="D34" s="75">
        <f>IFERROR(__xludf.DUMMYFUNCTION("""COMPUTED_VALUE"""),"USD")</f>
        <v/>
      </c>
      <c r="E34" s="75">
        <f>IFERROR(__xludf.DUMMYFUNCTION("""COMPUTED_VALUE"""),"Efectivo USD")</f>
        <v/>
      </c>
      <c r="F34" s="75">
        <f>IFERROR(__xludf.DUMMYFUNCTION("""COMPUTED_VALUE"""),"HIDRAULICAS CAICEDO C.A.")</f>
        <v/>
      </c>
      <c r="G34" s="75" t="n"/>
      <c r="H34" s="76">
        <f>IFERROR(__xludf.DUMMYFUNCTION("""COMPUTED_VALUE"""),462.6687)</f>
        <v/>
      </c>
      <c r="I34" s="75" t="n"/>
      <c r="J34" s="77">
        <f>IFERROR(__xludf.DUMMYFUNCTION("""COMPUTED_VALUE"""),110.0)</f>
        <v/>
      </c>
      <c r="K34" s="4">
        <f>IFERROR(__xludf.DUMMYFUNCTION("""COMPUTED_VALUE"""),110.0)</f>
        <v/>
      </c>
      <c r="L34" s="77">
        <f>IFERROR(__xludf.DUMMYFUNCTION("""COMPUTED_VALUE"""),110.0)</f>
        <v/>
      </c>
      <c r="O34" s="72" t="n"/>
      <c r="S34" s="4" t="n"/>
    </row>
    <row r="35">
      <c r="A35" s="74">
        <f>IFERROR(__xludf.DUMMYFUNCTION("""COMPUTED_VALUE"""),46106.0)</f>
        <v/>
      </c>
      <c r="B35" s="72">
        <f>IFERROR(__xludf.DUMMYFUNCTION("""COMPUTED_VALUE"""),116.0)</f>
        <v/>
      </c>
      <c r="C35" s="75">
        <f>IFERROR(__xludf.DUMMYFUNCTION("""COMPUTED_VALUE"""),99.01)</f>
        <v/>
      </c>
      <c r="D35" s="75">
        <f>IFERROR(__xludf.DUMMYFUNCTION("""COMPUTED_VALUE"""),"USD")</f>
        <v/>
      </c>
      <c r="E35" s="75">
        <f>IFERROR(__xludf.DUMMYFUNCTION("""COMPUTED_VALUE"""),"Efectivo USD")</f>
        <v/>
      </c>
      <c r="F35" s="75">
        <f>IFERROR(__xludf.DUMMYFUNCTION("""COMPUTED_VALUE"""),"AGROPECUARIA EL TORO DORADO, C.A")</f>
        <v/>
      </c>
      <c r="G35" s="75" t="n"/>
      <c r="H35" s="76">
        <f>IFERROR(__xludf.DUMMYFUNCTION("""COMPUTED_VALUE"""),462.6687)</f>
        <v/>
      </c>
      <c r="I35" s="75" t="n"/>
      <c r="J35" s="77">
        <f>IFERROR(__xludf.DUMMYFUNCTION("""COMPUTED_VALUE"""),99.01)</f>
        <v/>
      </c>
      <c r="K35" s="4">
        <f>IFERROR(__xludf.DUMMYFUNCTION("""COMPUTED_VALUE"""),99.01)</f>
        <v/>
      </c>
      <c r="L35" s="77">
        <f>IFERROR(__xludf.DUMMYFUNCTION("""COMPUTED_VALUE"""),99.01)</f>
        <v/>
      </c>
      <c r="O35" s="72" t="n"/>
      <c r="S35" s="4" t="n"/>
    </row>
    <row r="36">
      <c r="A36" s="74">
        <f>IFERROR(__xludf.DUMMYFUNCTION("""COMPUTED_VALUE"""),46106.0)</f>
        <v/>
      </c>
      <c r="B36" s="72">
        <f>IFERROR(__xludf.DUMMYFUNCTION("""COMPUTED_VALUE"""),148.0)</f>
        <v/>
      </c>
      <c r="C36" s="75">
        <f>IFERROR(__xludf.DUMMYFUNCTION("""COMPUTED_VALUE"""),36.08)</f>
        <v/>
      </c>
      <c r="D36" s="75">
        <f>IFERROR(__xludf.DUMMYFUNCTION("""COMPUTED_VALUE"""),"USD")</f>
        <v/>
      </c>
      <c r="E36" s="75">
        <f>IFERROR(__xludf.DUMMYFUNCTION("""COMPUTED_VALUE"""),"Efectivo USD")</f>
        <v/>
      </c>
      <c r="F36" s="75">
        <f>IFERROR(__xludf.DUMMYFUNCTION("""COMPUTED_VALUE"""),"AGROPECUARIA EL TORO DORADO, C.A")</f>
        <v/>
      </c>
      <c r="G36" s="75" t="n"/>
      <c r="H36" s="76">
        <f>IFERROR(__xludf.DUMMYFUNCTION("""COMPUTED_VALUE"""),462.6687)</f>
        <v/>
      </c>
      <c r="I36" s="75" t="n"/>
      <c r="J36" s="77">
        <f>IFERROR(__xludf.DUMMYFUNCTION("""COMPUTED_VALUE"""),36.08)</f>
        <v/>
      </c>
      <c r="K36" s="4">
        <f>IFERROR(__xludf.DUMMYFUNCTION("""COMPUTED_VALUE"""),36.08)</f>
        <v/>
      </c>
      <c r="L36" s="77">
        <f>IFERROR(__xludf.DUMMYFUNCTION("""COMPUTED_VALUE"""),36.08)</f>
        <v/>
      </c>
      <c r="O36" s="72" t="n"/>
      <c r="S36" s="4" t="n"/>
    </row>
    <row r="37">
      <c r="A37" s="74">
        <f>IFERROR(__xludf.DUMMYFUNCTION("""COMPUTED_VALUE"""),46106.0)</f>
        <v/>
      </c>
      <c r="B37" s="72">
        <f>IFERROR(__xludf.DUMMYFUNCTION("""COMPUTED_VALUE"""),139.0)</f>
        <v/>
      </c>
      <c r="C37" s="75">
        <f>IFERROR(__xludf.DUMMYFUNCTION("""COMPUTED_VALUE"""),972.03)</f>
        <v/>
      </c>
      <c r="D37" s="75">
        <f>IFERROR(__xludf.DUMMYFUNCTION("""COMPUTED_VALUE"""),"USD")</f>
        <v/>
      </c>
      <c r="E37" s="75">
        <f>IFERROR(__xludf.DUMMYFUNCTION("""COMPUTED_VALUE"""),"Efectivo USD")</f>
        <v/>
      </c>
      <c r="F37" s="75">
        <f>IFERROR(__xludf.DUMMYFUNCTION("""COMPUTED_VALUE"""),"AGROPECUARIA EL TORO DORADO, C.A")</f>
        <v/>
      </c>
      <c r="G37" s="75" t="n"/>
      <c r="H37" s="76">
        <f>IFERROR(__xludf.DUMMYFUNCTION("""COMPUTED_VALUE"""),462.6687)</f>
        <v/>
      </c>
      <c r="I37" s="75" t="n"/>
      <c r="J37" s="77">
        <f>IFERROR(__xludf.DUMMYFUNCTION("""COMPUTED_VALUE"""),972.03)</f>
        <v/>
      </c>
      <c r="K37" s="4">
        <f>IFERROR(__xludf.DUMMYFUNCTION("""COMPUTED_VALUE"""),972.03)</f>
        <v/>
      </c>
      <c r="L37" s="77">
        <f>IFERROR(__xludf.DUMMYFUNCTION("""COMPUTED_VALUE"""),972.03)</f>
        <v/>
      </c>
      <c r="O37" s="72" t="n"/>
      <c r="S37" s="4" t="n"/>
    </row>
    <row r="38">
      <c r="A38" s="74">
        <f>IFERROR(__xludf.DUMMYFUNCTION("""COMPUTED_VALUE"""),46107.0)</f>
        <v/>
      </c>
      <c r="B38" s="72">
        <f>IFERROR(__xludf.DUMMYFUNCTION("""COMPUTED_VALUE"""),157.0)</f>
        <v/>
      </c>
      <c r="C38" s="75">
        <f>IFERROR(__xludf.DUMMYFUNCTION("""COMPUTED_VALUE"""),124.0)</f>
        <v/>
      </c>
      <c r="D38" s="75">
        <f>IFERROR(__xludf.DUMMYFUNCTION("""COMPUTED_VALUE"""),"USD")</f>
        <v/>
      </c>
      <c r="E38" s="75">
        <f>IFERROR(__xludf.DUMMYFUNCTION("""COMPUTED_VALUE"""),"Efectivo USD")</f>
        <v/>
      </c>
      <c r="F38" s="75">
        <f>IFERROR(__xludf.DUMMYFUNCTION("""COMPUTED_VALUE"""),"Turismo Apureño Turapca, C.A")</f>
        <v/>
      </c>
      <c r="G38" s="75" t="n"/>
      <c r="H38" s="76">
        <f>IFERROR(__xludf.DUMMYFUNCTION("""COMPUTED_VALUE"""),466.6014)</f>
        <v/>
      </c>
      <c r="I38" s="75" t="n"/>
      <c r="J38" s="77">
        <f>IFERROR(__xludf.DUMMYFUNCTION("""COMPUTED_VALUE"""),124.0)</f>
        <v/>
      </c>
      <c r="K38" s="4">
        <f>IFERROR(__xludf.DUMMYFUNCTION("""COMPUTED_VALUE"""),124.0)</f>
        <v/>
      </c>
      <c r="L38" s="77">
        <f>IFERROR(__xludf.DUMMYFUNCTION("""COMPUTED_VALUE"""),124.0)</f>
        <v/>
      </c>
      <c r="O38" s="72" t="n"/>
      <c r="S38" s="4" t="n"/>
    </row>
    <row r="39">
      <c r="A39" s="74">
        <f>IFERROR(__xludf.DUMMYFUNCTION("""COMPUTED_VALUE"""),46107.0)</f>
        <v/>
      </c>
      <c r="B39" s="72">
        <f>IFERROR(__xludf.DUMMYFUNCTION("""COMPUTED_VALUE"""),81.0)</f>
        <v/>
      </c>
      <c r="C39" s="75">
        <f>IFERROR(__xludf.DUMMYFUNCTION("""COMPUTED_VALUE"""),72.0)</f>
        <v/>
      </c>
      <c r="D39" s="75">
        <f>IFERROR(__xludf.DUMMYFUNCTION("""COMPUTED_VALUE"""),"USD")</f>
        <v/>
      </c>
      <c r="E39" s="75">
        <f>IFERROR(__xludf.DUMMYFUNCTION("""COMPUTED_VALUE"""),"Efectivo USD")</f>
        <v/>
      </c>
      <c r="F39" s="75">
        <f>IFERROR(__xludf.DUMMYFUNCTION("""COMPUTED_VALUE"""),"Coffee Party, C.A.")</f>
        <v/>
      </c>
      <c r="G39" s="75" t="n"/>
      <c r="H39" s="76">
        <f>IFERROR(__xludf.DUMMYFUNCTION("""COMPUTED_VALUE"""),466.6014)</f>
        <v/>
      </c>
      <c r="I39" s="75" t="n"/>
      <c r="J39" s="77">
        <f>IFERROR(__xludf.DUMMYFUNCTION("""COMPUTED_VALUE"""),72.0)</f>
        <v/>
      </c>
      <c r="K39" s="4">
        <f>IFERROR(__xludf.DUMMYFUNCTION("""COMPUTED_VALUE"""),72.0)</f>
        <v/>
      </c>
      <c r="L39" s="77">
        <f>IFERROR(__xludf.DUMMYFUNCTION("""COMPUTED_VALUE"""),72.0)</f>
        <v/>
      </c>
      <c r="O39" s="72" t="n"/>
      <c r="S39" s="4" t="n"/>
    </row>
    <row r="40">
      <c r="A40" s="74">
        <f>IFERROR(__xludf.DUMMYFUNCTION("""COMPUTED_VALUE"""),46107.0)</f>
        <v/>
      </c>
      <c r="B40" s="72">
        <f>IFERROR(__xludf.DUMMYFUNCTION("""COMPUTED_VALUE"""),86.0)</f>
        <v/>
      </c>
      <c r="C40" s="75">
        <f>IFERROR(__xludf.DUMMYFUNCTION("""COMPUTED_VALUE"""),28000.0)</f>
        <v/>
      </c>
      <c r="D40" s="75">
        <f>IFERROR(__xludf.DUMMYFUNCTION("""COMPUTED_VALUE"""),"VES")</f>
        <v/>
      </c>
      <c r="E40" s="75">
        <f>IFERROR(__xludf.DUMMYFUNCTION("""COMPUTED_VALUE"""),"Bancamiga")</f>
        <v/>
      </c>
      <c r="F40" s="75">
        <f>IFERROR(__xludf.DUMMYFUNCTION("""COMPUTED_VALUE"""),"Wuilliams bastidas")</f>
        <v/>
      </c>
      <c r="G40" s="75" t="n"/>
      <c r="H40" s="76">
        <f>IFERROR(__xludf.DUMMYFUNCTION("""COMPUTED_VALUE"""),466.6014)</f>
        <v/>
      </c>
      <c r="I40" s="75" t="n"/>
      <c r="J40" s="77">
        <f>IFERROR(__xludf.DUMMYFUNCTION("""COMPUTED_VALUE"""),60.00839260233681)</f>
        <v/>
      </c>
      <c r="K40" s="4">
        <f>IFERROR(__xludf.DUMMYFUNCTION("""COMPUTED_VALUE"""),0.0)</f>
        <v/>
      </c>
      <c r="L40" s="77">
        <f>IFERROR(__xludf.DUMMYFUNCTION("""COMPUTED_VALUE"""),60.00839260233681)</f>
        <v/>
      </c>
      <c r="O40" s="72" t="n"/>
      <c r="S40" s="4" t="n"/>
    </row>
    <row r="41">
      <c r="A41" s="74">
        <f>IFERROR(__xludf.DUMMYFUNCTION("""COMPUTED_VALUE"""),46107.0)</f>
        <v/>
      </c>
      <c r="B41" s="72">
        <f>IFERROR(__xludf.DUMMYFUNCTION("""COMPUTED_VALUE"""),37.0)</f>
        <v/>
      </c>
      <c r="C41" s="75">
        <f>IFERROR(__xludf.DUMMYFUNCTION("""COMPUTED_VALUE"""),20.0)</f>
        <v/>
      </c>
      <c r="D41" s="75">
        <f>IFERROR(__xludf.DUMMYFUNCTION("""COMPUTED_VALUE"""),"USD")</f>
        <v/>
      </c>
      <c r="E41" s="75">
        <f>IFERROR(__xludf.DUMMYFUNCTION("""COMPUTED_VALUE"""),"Efectivo USD")</f>
        <v/>
      </c>
      <c r="F41" s="75">
        <f>IFERROR(__xludf.DUMMYFUNCTION("""COMPUTED_VALUE"""),"Junior Marco Antonio Vivas Navas")</f>
        <v/>
      </c>
      <c r="G41" s="75" t="n"/>
      <c r="H41" s="76">
        <f>IFERROR(__xludf.DUMMYFUNCTION("""COMPUTED_VALUE"""),466.6014)</f>
        <v/>
      </c>
      <c r="I41" s="75" t="n"/>
      <c r="J41" s="77">
        <f>IFERROR(__xludf.DUMMYFUNCTION("""COMPUTED_VALUE"""),20.0)</f>
        <v/>
      </c>
      <c r="K41" s="4">
        <f>IFERROR(__xludf.DUMMYFUNCTION("""COMPUTED_VALUE"""),20.0)</f>
        <v/>
      </c>
      <c r="L41" s="77">
        <f>IFERROR(__xludf.DUMMYFUNCTION("""COMPUTED_VALUE"""),20.0)</f>
        <v/>
      </c>
      <c r="O41" s="72" t="n"/>
      <c r="S41" s="4" t="n"/>
    </row>
    <row r="42">
      <c r="A42" s="74">
        <f>IFERROR(__xludf.DUMMYFUNCTION("""COMPUTED_VALUE"""),46108.0)</f>
        <v/>
      </c>
      <c r="B42" s="72">
        <f>IFERROR(__xludf.DUMMYFUNCTION("""COMPUTED_VALUE"""),121.0)</f>
        <v/>
      </c>
      <c r="C42" s="75">
        <f>IFERROR(__xludf.DUMMYFUNCTION("""COMPUTED_VALUE"""),46851.45)</f>
        <v/>
      </c>
      <c r="D42" s="75">
        <f>IFERROR(__xludf.DUMMYFUNCTION("""COMPUTED_VALUE"""),"VES")</f>
        <v/>
      </c>
      <c r="E42" s="75">
        <f>IFERROR(__xludf.DUMMYFUNCTION("""COMPUTED_VALUE"""),"Bancamiga")</f>
        <v/>
      </c>
      <c r="F42" s="75">
        <f>IFERROR(__xludf.DUMMYFUNCTION("""COMPUTED_VALUE"""),"Jose Lopez Espinoza")</f>
        <v/>
      </c>
      <c r="G42" s="75" t="n"/>
      <c r="H42" s="76">
        <f>IFERROR(__xludf.DUMMYFUNCTION("""COMPUTED_VALUE"""),468.5145)</f>
        <v/>
      </c>
      <c r="I42" s="75" t="n"/>
      <c r="J42" s="77">
        <f>IFERROR(__xludf.DUMMYFUNCTION("""COMPUTED_VALUE"""),100.0)</f>
        <v/>
      </c>
      <c r="K42" s="4">
        <f>IFERROR(__xludf.DUMMYFUNCTION("""COMPUTED_VALUE"""),0.0)</f>
        <v/>
      </c>
      <c r="L42" s="77">
        <f>IFERROR(__xludf.DUMMYFUNCTION("""COMPUTED_VALUE"""),100.0)</f>
        <v/>
      </c>
      <c r="O42" s="72" t="n"/>
      <c r="S42" s="4" t="n"/>
    </row>
    <row r="43">
      <c r="A43" s="74">
        <f>IFERROR(__xludf.DUMMYFUNCTION("""COMPUTED_VALUE"""),46108.0)</f>
        <v/>
      </c>
      <c r="B43" s="72">
        <f>IFERROR(__xludf.DUMMYFUNCTION("""COMPUTED_VALUE"""),51.0)</f>
        <v/>
      </c>
      <c r="C43" s="75">
        <f>IFERROR(__xludf.DUMMYFUNCTION("""COMPUTED_VALUE"""),50.0)</f>
        <v/>
      </c>
      <c r="D43" s="75">
        <f>IFERROR(__xludf.DUMMYFUNCTION("""COMPUTED_VALUE"""),"USD")</f>
        <v/>
      </c>
      <c r="E43" s="75">
        <f>IFERROR(__xludf.DUMMYFUNCTION("""COMPUTED_VALUE"""),"Efectivo USD")</f>
        <v/>
      </c>
      <c r="F43" s="75">
        <f>IFERROR(__xludf.DUMMYFUNCTION("""COMPUTED_VALUE"""),"Auto Repuestos Acal C.A")</f>
        <v/>
      </c>
      <c r="G43" s="75" t="n"/>
      <c r="H43" s="76">
        <f>IFERROR(__xludf.DUMMYFUNCTION("""COMPUTED_VALUE"""),468.5145)</f>
        <v/>
      </c>
      <c r="I43" s="75" t="n"/>
      <c r="J43" s="77">
        <f>IFERROR(__xludf.DUMMYFUNCTION("""COMPUTED_VALUE"""),50.0)</f>
        <v/>
      </c>
      <c r="K43" s="4">
        <f>IFERROR(__xludf.DUMMYFUNCTION("""COMPUTED_VALUE"""),50.0)</f>
        <v/>
      </c>
      <c r="L43" s="77">
        <f>IFERROR(__xludf.DUMMYFUNCTION("""COMPUTED_VALUE"""),50.0)</f>
        <v/>
      </c>
      <c r="O43" s="72" t="n"/>
      <c r="S43" s="4" t="n"/>
    </row>
    <row r="44">
      <c r="A44" s="74">
        <f>IFERROR(__xludf.DUMMYFUNCTION("""COMPUTED_VALUE"""),46108.0)</f>
        <v/>
      </c>
      <c r="B44" s="72">
        <f>IFERROR(__xludf.DUMMYFUNCTION("""COMPUTED_VALUE"""),27.0)</f>
        <v/>
      </c>
      <c r="C44" s="75">
        <f>IFERROR(__xludf.DUMMYFUNCTION("""COMPUTED_VALUE"""),20.0)</f>
        <v/>
      </c>
      <c r="D44" s="75">
        <f>IFERROR(__xludf.DUMMYFUNCTION("""COMPUTED_VALUE"""),"USD")</f>
        <v/>
      </c>
      <c r="E44" s="75">
        <f>IFERROR(__xludf.DUMMYFUNCTION("""COMPUTED_VALUE"""),"Efectivo USD")</f>
        <v/>
      </c>
      <c r="F44" s="75">
        <f>IFERROR(__xludf.DUMMYFUNCTION("""COMPUTED_VALUE"""),"Moises Alejandro Mares")</f>
        <v/>
      </c>
      <c r="G44" s="75" t="n"/>
      <c r="H44" s="76">
        <f>IFERROR(__xludf.DUMMYFUNCTION("""COMPUTED_VALUE"""),468.5145)</f>
        <v/>
      </c>
      <c r="I44" s="75" t="n"/>
      <c r="J44" s="77">
        <f>IFERROR(__xludf.DUMMYFUNCTION("""COMPUTED_VALUE"""),20.0)</f>
        <v/>
      </c>
      <c r="K44" s="4">
        <f>IFERROR(__xludf.DUMMYFUNCTION("""COMPUTED_VALUE"""),20.0)</f>
        <v/>
      </c>
      <c r="L44" s="77">
        <f>IFERROR(__xludf.DUMMYFUNCTION("""COMPUTED_VALUE"""),20.0)</f>
        <v/>
      </c>
      <c r="O44" s="72" t="n"/>
      <c r="S44" s="4" t="n"/>
    </row>
    <row r="45">
      <c r="A45" s="74">
        <f>IFERROR(__xludf.DUMMYFUNCTION("""COMPUTED_VALUE"""),46108.0)</f>
        <v/>
      </c>
      <c r="B45" s="72">
        <f>IFERROR(__xludf.DUMMYFUNCTION("""COMPUTED_VALUE"""),18.0)</f>
        <v/>
      </c>
      <c r="C45" s="75">
        <f>IFERROR(__xludf.DUMMYFUNCTION("""COMPUTED_VALUE"""),50.0)</f>
        <v/>
      </c>
      <c r="D45" s="75">
        <f>IFERROR(__xludf.DUMMYFUNCTION("""COMPUTED_VALUE"""),"USD")</f>
        <v/>
      </c>
      <c r="E45" s="75">
        <f>IFERROR(__xludf.DUMMYFUNCTION("""COMPUTED_VALUE"""),"Efectivo USD")</f>
        <v/>
      </c>
      <c r="F45" s="75">
        <f>IFERROR(__xludf.DUMMYFUNCTION("""COMPUTED_VALUE"""),"AUTO ACCESORIOS VZLA, C.A.")</f>
        <v/>
      </c>
      <c r="G45" s="75" t="n"/>
      <c r="H45" s="76">
        <f>IFERROR(__xludf.DUMMYFUNCTION("""COMPUTED_VALUE"""),468.5145)</f>
        <v/>
      </c>
      <c r="I45" s="75" t="n"/>
      <c r="J45" s="77">
        <f>IFERROR(__xludf.DUMMYFUNCTION("""COMPUTED_VALUE"""),50.0)</f>
        <v/>
      </c>
      <c r="K45" s="4">
        <f>IFERROR(__xludf.DUMMYFUNCTION("""COMPUTED_VALUE"""),50.0)</f>
        <v/>
      </c>
      <c r="L45" s="77">
        <f>IFERROR(__xludf.DUMMYFUNCTION("""COMPUTED_VALUE"""),50.0)</f>
        <v/>
      </c>
      <c r="O45" s="72" t="n"/>
      <c r="S45" s="4" t="n"/>
    </row>
    <row r="46">
      <c r="A46" s="74">
        <f>IFERROR(__xludf.DUMMYFUNCTION("""COMPUTED_VALUE"""),46108.0)</f>
        <v/>
      </c>
      <c r="B46" s="72">
        <f>IFERROR(__xludf.DUMMYFUNCTION("""COMPUTED_VALUE"""),100.0)</f>
        <v/>
      </c>
      <c r="C46" s="75">
        <f>IFERROR(__xludf.DUMMYFUNCTION("""COMPUTED_VALUE"""),46800.0)</f>
        <v/>
      </c>
      <c r="D46" s="75">
        <f>IFERROR(__xludf.DUMMYFUNCTION("""COMPUTED_VALUE"""),"VES")</f>
        <v/>
      </c>
      <c r="E46" s="75">
        <f>IFERROR(__xludf.DUMMYFUNCTION("""COMPUTED_VALUE"""),"Bancamiga")</f>
        <v/>
      </c>
      <c r="F46" s="75">
        <f>IFERROR(__xludf.DUMMYFUNCTION("""COMPUTED_VALUE"""),"Diana Carolina Torres")</f>
        <v/>
      </c>
      <c r="G46" s="75" t="n"/>
      <c r="H46" s="76">
        <f>IFERROR(__xludf.DUMMYFUNCTION("""COMPUTED_VALUE"""),468.5145)</f>
        <v/>
      </c>
      <c r="I46" s="75" t="n"/>
      <c r="J46" s="77">
        <f>IFERROR(__xludf.DUMMYFUNCTION("""COMPUTED_VALUE"""),99.89018482885803)</f>
        <v/>
      </c>
      <c r="K46" s="4">
        <f>IFERROR(__xludf.DUMMYFUNCTION("""COMPUTED_VALUE"""),0.0)</f>
        <v/>
      </c>
      <c r="L46" s="77">
        <f>IFERROR(__xludf.DUMMYFUNCTION("""COMPUTED_VALUE"""),99.89018482885803)</f>
        <v/>
      </c>
      <c r="O46" s="72" t="n"/>
      <c r="S46" s="4" t="n"/>
    </row>
    <row r="47">
      <c r="A47" s="74">
        <f>IFERROR(__xludf.DUMMYFUNCTION("""COMPUTED_VALUE"""),46108.0)</f>
        <v/>
      </c>
      <c r="B47" s="72">
        <f>IFERROR(__xludf.DUMMYFUNCTION("""COMPUTED_VALUE"""),57.0)</f>
        <v/>
      </c>
      <c r="C47" s="75">
        <f>IFERROR(__xludf.DUMMYFUNCTION("""COMPUTED_VALUE"""),45616.9)</f>
        <v/>
      </c>
      <c r="D47" s="75">
        <f>IFERROR(__xludf.DUMMYFUNCTION("""COMPUTED_VALUE"""),"VES")</f>
        <v/>
      </c>
      <c r="E47" s="75">
        <f>IFERROR(__xludf.DUMMYFUNCTION("""COMPUTED_VALUE"""),"Bancamiga")</f>
        <v/>
      </c>
      <c r="F47" s="75">
        <f>IFERROR(__xludf.DUMMYFUNCTION("""COMPUTED_VALUE"""),"Comercial Rio Paraguas C.A")</f>
        <v/>
      </c>
      <c r="G47" s="75" t="n"/>
      <c r="H47" s="76">
        <f>IFERROR(__xludf.DUMMYFUNCTION("""COMPUTED_VALUE"""),468.5145)</f>
        <v/>
      </c>
      <c r="I47" s="75" t="n"/>
      <c r="J47" s="77">
        <f>IFERROR(__xludf.DUMMYFUNCTION("""COMPUTED_VALUE"""),97.36496949400713)</f>
        <v/>
      </c>
      <c r="K47" s="4">
        <f>IFERROR(__xludf.DUMMYFUNCTION("""COMPUTED_VALUE"""),0.0)</f>
        <v/>
      </c>
      <c r="L47" s="77">
        <f>IFERROR(__xludf.DUMMYFUNCTION("""COMPUTED_VALUE"""),97.36496949400713)</f>
        <v/>
      </c>
      <c r="O47" s="72" t="n"/>
      <c r="S47" s="4" t="n"/>
    </row>
    <row r="48">
      <c r="A48" s="74">
        <f>IFERROR(__xludf.DUMMYFUNCTION("""COMPUTED_VALUE"""),46111.0)</f>
        <v/>
      </c>
      <c r="B48" s="72">
        <f>IFERROR(__xludf.DUMMYFUNCTION("""COMPUTED_VALUE"""),171.0)</f>
        <v/>
      </c>
      <c r="C48" s="75">
        <f>IFERROR(__xludf.DUMMYFUNCTION("""COMPUTED_VALUE"""),260.0)</f>
        <v/>
      </c>
      <c r="D48" s="75">
        <f>IFERROR(__xludf.DUMMYFUNCTION("""COMPUTED_VALUE"""),"USD")</f>
        <v/>
      </c>
      <c r="E48" s="75">
        <f>IFERROR(__xludf.DUMMYFUNCTION("""COMPUTED_VALUE"""),"Efectivo USD")</f>
        <v/>
      </c>
      <c r="F48" s="75">
        <f>IFERROR(__xludf.DUMMYFUNCTION("""COMPUTED_VALUE"""),"FREDI MARQUEZ")</f>
        <v/>
      </c>
      <c r="G48" s="75" t="n"/>
      <c r="H48" s="76">
        <f>IFERROR(__xludf.DUMMYFUNCTION("""COMPUTED_VALUE"""),471.7004)</f>
        <v/>
      </c>
      <c r="I48" s="75" t="n"/>
      <c r="J48" s="77">
        <f>IFERROR(__xludf.DUMMYFUNCTION("""COMPUTED_VALUE"""),260.0)</f>
        <v/>
      </c>
      <c r="K48" s="4">
        <f>IFERROR(__xludf.DUMMYFUNCTION("""COMPUTED_VALUE"""),260.0)</f>
        <v/>
      </c>
      <c r="L48" s="77">
        <f>IFERROR(__xludf.DUMMYFUNCTION("""COMPUTED_VALUE"""),260.0)</f>
        <v/>
      </c>
      <c r="O48" s="72" t="n"/>
      <c r="S48" s="4" t="n"/>
    </row>
    <row r="49">
      <c r="A49" s="74">
        <f>IFERROR(__xludf.DUMMYFUNCTION("""COMPUTED_VALUE"""),46111.0)</f>
        <v/>
      </c>
      <c r="B49" s="72">
        <f>IFERROR(__xludf.DUMMYFUNCTION("""COMPUTED_VALUE"""),22.0)</f>
        <v/>
      </c>
      <c r="C49" s="75">
        <f>IFERROR(__xludf.DUMMYFUNCTION("""COMPUTED_VALUE"""),96.0)</f>
        <v/>
      </c>
      <c r="D49" s="75">
        <f>IFERROR(__xludf.DUMMYFUNCTION("""COMPUTED_VALUE"""),"USD")</f>
        <v/>
      </c>
      <c r="E49" s="75">
        <f>IFERROR(__xludf.DUMMYFUNCTION("""COMPUTED_VALUE"""),"Efectivo USD")</f>
        <v/>
      </c>
      <c r="F49" s="75">
        <f>IFERROR(__xludf.DUMMYFUNCTION("""COMPUTED_VALUE"""),"Autorepuestos las 24 horas")</f>
        <v/>
      </c>
      <c r="G49" s="75" t="n"/>
      <c r="H49" s="76">
        <f>IFERROR(__xludf.DUMMYFUNCTION("""COMPUTED_VALUE"""),471.7004)</f>
        <v/>
      </c>
      <c r="I49" s="75" t="n"/>
      <c r="J49" s="77">
        <f>IFERROR(__xludf.DUMMYFUNCTION("""COMPUTED_VALUE"""),96.0)</f>
        <v/>
      </c>
      <c r="K49" s="4">
        <f>IFERROR(__xludf.DUMMYFUNCTION("""COMPUTED_VALUE"""),96.0)</f>
        <v/>
      </c>
      <c r="L49" s="77">
        <f>IFERROR(__xludf.DUMMYFUNCTION("""COMPUTED_VALUE"""),96.0)</f>
        <v/>
      </c>
      <c r="O49" s="72" t="n"/>
      <c r="S49" s="4" t="n"/>
    </row>
    <row r="50">
      <c r="A50" s="74">
        <f>IFERROR(__xludf.DUMMYFUNCTION("""COMPUTED_VALUE"""),46111.0)</f>
        <v/>
      </c>
      <c r="B50" s="72">
        <f>IFERROR(__xludf.DUMMYFUNCTION("""COMPUTED_VALUE"""),83.0)</f>
        <v/>
      </c>
      <c r="C50" s="75">
        <f>IFERROR(__xludf.DUMMYFUNCTION("""COMPUTED_VALUE"""),65.0)</f>
        <v/>
      </c>
      <c r="D50" s="75">
        <f>IFERROR(__xludf.DUMMYFUNCTION("""COMPUTED_VALUE"""),"USD")</f>
        <v/>
      </c>
      <c r="E50" s="75">
        <f>IFERROR(__xludf.DUMMYFUNCTION("""COMPUTED_VALUE"""),"Efectivo USD")</f>
        <v/>
      </c>
      <c r="F50" s="75">
        <f>IFERROR(__xludf.DUMMYFUNCTION("""COMPUTED_VALUE"""),"Inversiones Famasa, C.A")</f>
        <v/>
      </c>
      <c r="G50" s="75" t="n"/>
      <c r="H50" s="76">
        <f>IFERROR(__xludf.DUMMYFUNCTION("""COMPUTED_VALUE"""),471.7004)</f>
        <v/>
      </c>
      <c r="I50" s="75" t="n"/>
      <c r="J50" s="77">
        <f>IFERROR(__xludf.DUMMYFUNCTION("""COMPUTED_VALUE"""),65.0)</f>
        <v/>
      </c>
      <c r="K50" s="4">
        <f>IFERROR(__xludf.DUMMYFUNCTION("""COMPUTED_VALUE"""),65.0)</f>
        <v/>
      </c>
      <c r="L50" s="77">
        <f>IFERROR(__xludf.DUMMYFUNCTION("""COMPUTED_VALUE"""),65.0)</f>
        <v/>
      </c>
      <c r="O50" s="72" t="n"/>
      <c r="S50" s="4" t="n"/>
    </row>
    <row r="51">
      <c r="A51" s="74">
        <f>IFERROR(__xludf.DUMMYFUNCTION("""COMPUTED_VALUE"""),46112.0)</f>
        <v/>
      </c>
      <c r="B51" s="72">
        <f>IFERROR(__xludf.DUMMYFUNCTION("""COMPUTED_VALUE"""),152.0)</f>
        <v/>
      </c>
      <c r="C51" s="75">
        <f>IFERROR(__xludf.DUMMYFUNCTION("""COMPUTED_VALUE"""),35.0)</f>
        <v/>
      </c>
      <c r="D51" s="75">
        <f>IFERROR(__xludf.DUMMYFUNCTION("""COMPUTED_VALUE"""),"USD")</f>
        <v/>
      </c>
      <c r="E51" s="75">
        <f>IFERROR(__xludf.DUMMYFUNCTION("""COMPUTED_VALUE"""),"Efectivo USD")</f>
        <v/>
      </c>
      <c r="F51" s="75">
        <f>IFERROR(__xludf.DUMMYFUNCTION("""COMPUTED_VALUE"""),"ESTACIONAMIENTO CIACORE 2000 c.a")</f>
        <v/>
      </c>
      <c r="G51" s="75" t="n"/>
      <c r="H51" s="76">
        <f>IFERROR(__xludf.DUMMYFUNCTION("""COMPUTED_VALUE"""),473.8702)</f>
        <v/>
      </c>
      <c r="I51" s="75" t="n"/>
      <c r="J51" s="77">
        <f>IFERROR(__xludf.DUMMYFUNCTION("""COMPUTED_VALUE"""),35.0)</f>
        <v/>
      </c>
      <c r="K51" s="4">
        <f>IFERROR(__xludf.DUMMYFUNCTION("""COMPUTED_VALUE"""),35.0)</f>
        <v/>
      </c>
      <c r="L51" s="77">
        <f>IFERROR(__xludf.DUMMYFUNCTION("""COMPUTED_VALUE"""),35.0)</f>
        <v/>
      </c>
      <c r="O51" s="72" t="n"/>
      <c r="S51" s="4" t="n"/>
    </row>
    <row r="52">
      <c r="A52" s="74">
        <f>IFERROR(__xludf.DUMMYFUNCTION("""COMPUTED_VALUE"""),46112.0)</f>
        <v/>
      </c>
      <c r="B52" s="72">
        <f>IFERROR(__xludf.DUMMYFUNCTION("""COMPUTED_VALUE"""),132.0)</f>
        <v/>
      </c>
      <c r="C52" s="75">
        <f>IFERROR(__xludf.DUMMYFUNCTION("""COMPUTED_VALUE"""),94.0)</f>
        <v/>
      </c>
      <c r="D52" s="75">
        <f>IFERROR(__xludf.DUMMYFUNCTION("""COMPUTED_VALUE"""),"USD")</f>
        <v/>
      </c>
      <c r="E52" s="75">
        <f>IFERROR(__xludf.DUMMYFUNCTION("""COMPUTED_VALUE"""),"Efectivo USD")</f>
        <v/>
      </c>
      <c r="F52" s="75">
        <f>IFERROR(__xludf.DUMMYFUNCTION("""COMPUTED_VALUE"""),"Distribuidora Nesmari 2050 c.a")</f>
        <v/>
      </c>
      <c r="G52" s="75" t="n"/>
      <c r="H52" s="76">
        <f>IFERROR(__xludf.DUMMYFUNCTION("""COMPUTED_VALUE"""),473.8702)</f>
        <v/>
      </c>
      <c r="I52" s="75" t="n"/>
      <c r="J52" s="77">
        <f>IFERROR(__xludf.DUMMYFUNCTION("""COMPUTED_VALUE"""),94.0)</f>
        <v/>
      </c>
      <c r="K52" s="4">
        <f>IFERROR(__xludf.DUMMYFUNCTION("""COMPUTED_VALUE"""),94.0)</f>
        <v/>
      </c>
      <c r="L52" s="77">
        <f>IFERROR(__xludf.DUMMYFUNCTION("""COMPUTED_VALUE"""),94.0)</f>
        <v/>
      </c>
      <c r="O52" s="72" t="n"/>
      <c r="S52" s="4" t="n"/>
    </row>
    <row r="53">
      <c r="A53" s="74">
        <f>IFERROR(__xludf.DUMMYFUNCTION("""COMPUTED_VALUE"""),46112.0)</f>
        <v/>
      </c>
      <c r="B53" s="72">
        <f>IFERROR(__xludf.DUMMYFUNCTION("""COMPUTED_VALUE"""),56.0)</f>
        <v/>
      </c>
      <c r="C53" s="75">
        <f>IFERROR(__xludf.DUMMYFUNCTION("""COMPUTED_VALUE"""),44.0)</f>
        <v/>
      </c>
      <c r="D53" s="75">
        <f>IFERROR(__xludf.DUMMYFUNCTION("""COMPUTED_VALUE"""),"USD")</f>
        <v/>
      </c>
      <c r="E53" s="75">
        <f>IFERROR(__xludf.DUMMYFUNCTION("""COMPUTED_VALUE"""),"Efectivo USD")</f>
        <v/>
      </c>
      <c r="F53" s="75">
        <f>IFERROR(__xludf.DUMMYFUNCTION("""COMPUTED_VALUE"""),"Motolavado Yahir")</f>
        <v/>
      </c>
      <c r="G53" s="75" t="n"/>
      <c r="H53" s="76">
        <f>IFERROR(__xludf.DUMMYFUNCTION("""COMPUTED_VALUE"""),473.8702)</f>
        <v/>
      </c>
      <c r="I53" s="75" t="n"/>
      <c r="J53" s="77">
        <f>IFERROR(__xludf.DUMMYFUNCTION("""COMPUTED_VALUE"""),44.0)</f>
        <v/>
      </c>
      <c r="K53" s="4">
        <f>IFERROR(__xludf.DUMMYFUNCTION("""COMPUTED_VALUE"""),44.0)</f>
        <v/>
      </c>
      <c r="L53" s="77">
        <f>IFERROR(__xludf.DUMMYFUNCTION("""COMPUTED_VALUE"""),44.0)</f>
        <v/>
      </c>
      <c r="O53" s="72" t="n"/>
      <c r="S53" s="4" t="n"/>
    </row>
    <row r="54">
      <c r="A54" s="74">
        <f>IFERROR(__xludf.DUMMYFUNCTION("""COMPUTED_VALUE"""),46112.0)</f>
        <v/>
      </c>
      <c r="B54" s="72">
        <f>IFERROR(__xludf.DUMMYFUNCTION("""COMPUTED_VALUE"""),27.0)</f>
        <v/>
      </c>
      <c r="C54" s="75">
        <f>IFERROR(__xludf.DUMMYFUNCTION("""COMPUTED_VALUE"""),20.0)</f>
        <v/>
      </c>
      <c r="D54" s="75">
        <f>IFERROR(__xludf.DUMMYFUNCTION("""COMPUTED_VALUE"""),"USD")</f>
        <v/>
      </c>
      <c r="E54" s="75">
        <f>IFERROR(__xludf.DUMMYFUNCTION("""COMPUTED_VALUE"""),"Efectivo USD")</f>
        <v/>
      </c>
      <c r="F54" s="75">
        <f>IFERROR(__xludf.DUMMYFUNCTION("""COMPUTED_VALUE"""),"Moises Alejandro Mares")</f>
        <v/>
      </c>
      <c r="G54" s="75" t="n"/>
      <c r="H54" s="76">
        <f>IFERROR(__xludf.DUMMYFUNCTION("""COMPUTED_VALUE"""),473.8702)</f>
        <v/>
      </c>
      <c r="I54" s="75" t="n"/>
      <c r="J54" s="77">
        <f>IFERROR(__xludf.DUMMYFUNCTION("""COMPUTED_VALUE"""),20.0)</f>
        <v/>
      </c>
      <c r="K54" s="4">
        <f>IFERROR(__xludf.DUMMYFUNCTION("""COMPUTED_VALUE"""),20.0)</f>
        <v/>
      </c>
      <c r="L54" s="77">
        <f>IFERROR(__xludf.DUMMYFUNCTION("""COMPUTED_VALUE"""),20.0)</f>
        <v/>
      </c>
      <c r="O54" s="72" t="n"/>
      <c r="S54" s="4" t="n"/>
    </row>
    <row r="55">
      <c r="A55" s="74">
        <f>IFERROR(__xludf.DUMMYFUNCTION("""COMPUTED_VALUE"""),46112.0)</f>
        <v/>
      </c>
      <c r="B55" s="72">
        <f>IFERROR(__xludf.DUMMYFUNCTION("""COMPUTED_VALUE"""),54.0)</f>
        <v/>
      </c>
      <c r="C55" s="75">
        <f>IFERROR(__xludf.DUMMYFUNCTION("""COMPUTED_VALUE"""),18954.8)</f>
        <v/>
      </c>
      <c r="D55" s="75">
        <f>IFERROR(__xludf.DUMMYFUNCTION("""COMPUTED_VALUE"""),"VES")</f>
        <v/>
      </c>
      <c r="E55" s="75">
        <f>IFERROR(__xludf.DUMMYFUNCTION("""COMPUTED_VALUE"""),"Bancamiga")</f>
        <v/>
      </c>
      <c r="F55" s="75">
        <f>IFERROR(__xludf.DUMMYFUNCTION("""COMPUTED_VALUE"""),"Corporación Lubricantes 7ma Av.C.A")</f>
        <v/>
      </c>
      <c r="G55" s="75" t="n"/>
      <c r="H55" s="76">
        <f>IFERROR(__xludf.DUMMYFUNCTION("""COMPUTED_VALUE"""),473.8702)</f>
        <v/>
      </c>
      <c r="I55" s="75" t="n"/>
      <c r="J55" s="77">
        <f>IFERROR(__xludf.DUMMYFUNCTION("""COMPUTED_VALUE"""),39.99998311773984)</f>
        <v/>
      </c>
      <c r="K55" s="4">
        <f>IFERROR(__xludf.DUMMYFUNCTION("""COMPUTED_VALUE"""),0.0)</f>
        <v/>
      </c>
      <c r="L55" s="77">
        <f>IFERROR(__xludf.DUMMYFUNCTION("""COMPUTED_VALUE"""),39.99998311773984)</f>
        <v/>
      </c>
      <c r="O55" s="72" t="n"/>
      <c r="S55" s="4" t="n"/>
    </row>
    <row r="56">
      <c r="A56" s="74">
        <f>IFERROR(__xludf.DUMMYFUNCTION("""COMPUTED_VALUE"""),46112.0)</f>
        <v/>
      </c>
      <c r="B56" s="72">
        <f>IFERROR(__xludf.DUMMYFUNCTION("""COMPUTED_VALUE"""),131.0)</f>
        <v/>
      </c>
      <c r="C56" s="75">
        <f>IFERROR(__xludf.DUMMYFUNCTION("""COMPUTED_VALUE"""),20.0)</f>
        <v/>
      </c>
      <c r="D56" s="75">
        <f>IFERROR(__xludf.DUMMYFUNCTION("""COMPUTED_VALUE"""),"USD")</f>
        <v/>
      </c>
      <c r="E56" s="75">
        <f>IFERROR(__xludf.DUMMYFUNCTION("""COMPUTED_VALUE"""),"Efectivo USD")</f>
        <v/>
      </c>
      <c r="F56" s="75">
        <f>IFERROR(__xludf.DUMMYFUNCTION("""COMPUTED_VALUE"""),"Neykel Quevedo")</f>
        <v/>
      </c>
      <c r="G56" s="75" t="n"/>
      <c r="H56" s="76">
        <f>IFERROR(__xludf.DUMMYFUNCTION("""COMPUTED_VALUE"""),473.8702)</f>
        <v/>
      </c>
      <c r="I56" s="75" t="n"/>
      <c r="J56" s="77">
        <f>IFERROR(__xludf.DUMMYFUNCTION("""COMPUTED_VALUE"""),20.0)</f>
        <v/>
      </c>
      <c r="K56" s="4">
        <f>IFERROR(__xludf.DUMMYFUNCTION("""COMPUTED_VALUE"""),20.0)</f>
        <v/>
      </c>
      <c r="L56" s="77">
        <f>IFERROR(__xludf.DUMMYFUNCTION("""COMPUTED_VALUE"""),20.0)</f>
        <v/>
      </c>
      <c r="O56" s="72" t="n"/>
      <c r="S56" s="4" t="n"/>
    </row>
    <row r="57">
      <c r="A57" s="74">
        <f>IFERROR(__xludf.DUMMYFUNCTION("""COMPUTED_VALUE"""),46113.0)</f>
        <v/>
      </c>
      <c r="B57" s="72">
        <f>IFERROR(__xludf.DUMMYFUNCTION("""COMPUTED_VALUE"""),83.0)</f>
        <v/>
      </c>
      <c r="C57" s="75">
        <f>IFERROR(__xludf.DUMMYFUNCTION("""COMPUTED_VALUE"""),67.0)</f>
        <v/>
      </c>
      <c r="D57" s="75">
        <f>IFERROR(__xludf.DUMMYFUNCTION("""COMPUTED_VALUE"""),"USD")</f>
        <v/>
      </c>
      <c r="E57" s="75">
        <f>IFERROR(__xludf.DUMMYFUNCTION("""COMPUTED_VALUE"""),"Efectivo USD")</f>
        <v/>
      </c>
      <c r="F57" s="75">
        <f>IFERROR(__xludf.DUMMYFUNCTION("""COMPUTED_VALUE"""),"Inversiones Famasa, C.A")</f>
        <v/>
      </c>
      <c r="G57" s="75" t="n"/>
      <c r="H57" s="76">
        <f>IFERROR(__xludf.DUMMYFUNCTION("""COMPUTED_VALUE"""),473.9176)</f>
        <v/>
      </c>
      <c r="I57" s="75" t="n"/>
      <c r="J57" s="77">
        <f>IFERROR(__xludf.DUMMYFUNCTION("""COMPUTED_VALUE"""),67.0)</f>
        <v/>
      </c>
      <c r="K57" s="4">
        <f>IFERROR(__xludf.DUMMYFUNCTION("""COMPUTED_VALUE"""),67.0)</f>
        <v/>
      </c>
      <c r="L57" s="77">
        <f>IFERROR(__xludf.DUMMYFUNCTION("""COMPUTED_VALUE"""),67.0)</f>
        <v/>
      </c>
      <c r="O57" s="72" t="n"/>
      <c r="S57" s="4" t="n"/>
    </row>
    <row r="58">
      <c r="A58" s="74">
        <f>IFERROR(__xludf.DUMMYFUNCTION("""COMPUTED_VALUE"""),46113.0)</f>
        <v/>
      </c>
      <c r="B58" s="72">
        <f>IFERROR(__xludf.DUMMYFUNCTION("""COMPUTED_VALUE"""),170.0)</f>
        <v/>
      </c>
      <c r="C58" s="75">
        <f>IFERROR(__xludf.DUMMYFUNCTION("""COMPUTED_VALUE"""),247.88)</f>
        <v/>
      </c>
      <c r="D58" s="75">
        <f>IFERROR(__xludf.DUMMYFUNCTION("""COMPUTED_VALUE"""),"USD")</f>
        <v/>
      </c>
      <c r="E58" s="75">
        <f>IFERROR(__xludf.DUMMYFUNCTION("""COMPUTED_VALUE"""),"Efectivo USD")</f>
        <v/>
      </c>
      <c r="F58" s="75">
        <f>IFERROR(__xludf.DUMMYFUNCTION("""COMPUTED_VALUE"""),"EMPRENDIMIENTO IRMA RODRIGUEZ 6")</f>
        <v/>
      </c>
      <c r="G58" s="75" t="n"/>
      <c r="H58" s="76">
        <f>IFERROR(__xludf.DUMMYFUNCTION("""COMPUTED_VALUE"""),473.9176)</f>
        <v/>
      </c>
      <c r="I58" s="75" t="n"/>
      <c r="J58" s="77">
        <f>IFERROR(__xludf.DUMMYFUNCTION("""COMPUTED_VALUE"""),247.88)</f>
        <v/>
      </c>
      <c r="K58" s="4">
        <f>IFERROR(__xludf.DUMMYFUNCTION("""COMPUTED_VALUE"""),247.88)</f>
        <v/>
      </c>
      <c r="L58" s="77">
        <f>IFERROR(__xludf.DUMMYFUNCTION("""COMPUTED_VALUE"""),247.88)</f>
        <v/>
      </c>
      <c r="O58" s="72" t="n"/>
      <c r="S58" s="4" t="n"/>
    </row>
    <row r="59">
      <c r="A59" s="74">
        <f>IFERROR(__xludf.DUMMYFUNCTION("""COMPUTED_VALUE"""),46113.0)</f>
        <v/>
      </c>
      <c r="B59" s="72">
        <f>IFERROR(__xludf.DUMMYFUNCTION("""COMPUTED_VALUE"""),106.0)</f>
        <v/>
      </c>
      <c r="C59" s="75">
        <f>IFERROR(__xludf.DUMMYFUNCTION("""COMPUTED_VALUE"""),238119.78)</f>
        <v/>
      </c>
      <c r="D59" s="75">
        <f>IFERROR(__xludf.DUMMYFUNCTION("""COMPUTED_VALUE"""),"VES")</f>
        <v/>
      </c>
      <c r="E59" s="75">
        <f>IFERROR(__xludf.DUMMYFUNCTION("""COMPUTED_VALUE"""),"Bancamiga")</f>
        <v/>
      </c>
      <c r="F59" s="75">
        <f>IFERROR(__xludf.DUMMYFUNCTION("""COMPUTED_VALUE"""),"E&amp;M CAR SHOP C.A")</f>
        <v/>
      </c>
      <c r="G59" s="75" t="n"/>
      <c r="H59" s="76">
        <f>IFERROR(__xludf.DUMMYFUNCTION("""COMPUTED_VALUE"""),473.9176)</f>
        <v/>
      </c>
      <c r="I59" s="75" t="n"/>
      <c r="J59" s="77">
        <f>IFERROR(__xludf.DUMMYFUNCTION("""COMPUTED_VALUE"""),502.4497507583597)</f>
        <v/>
      </c>
      <c r="K59" s="4">
        <f>IFERROR(__xludf.DUMMYFUNCTION("""COMPUTED_VALUE"""),0.0)</f>
        <v/>
      </c>
      <c r="L59" s="77">
        <f>IFERROR(__xludf.DUMMYFUNCTION("""COMPUTED_VALUE"""),502.4497507583597)</f>
        <v/>
      </c>
      <c r="O59" s="72" t="n"/>
      <c r="S59" s="4" t="n"/>
    </row>
    <row r="60">
      <c r="A60" s="74">
        <f>IFERROR(__xludf.DUMMYFUNCTION("""COMPUTED_VALUE"""),46118.0)</f>
        <v/>
      </c>
      <c r="B60" s="72">
        <f>IFERROR(__xludf.DUMMYFUNCTION("""COMPUTED_VALUE"""),121.0)</f>
        <v/>
      </c>
      <c r="C60" s="75">
        <f>IFERROR(__xludf.DUMMYFUNCTION("""COMPUTED_VALUE"""),47405.98)</f>
        <v/>
      </c>
      <c r="D60" s="75">
        <f>IFERROR(__xludf.DUMMYFUNCTION("""COMPUTED_VALUE"""),"VES")</f>
        <v/>
      </c>
      <c r="E60" s="75">
        <f>IFERROR(__xludf.DUMMYFUNCTION("""COMPUTED_VALUE"""),"Bancamiga")</f>
        <v/>
      </c>
      <c r="F60" s="75">
        <f>IFERROR(__xludf.DUMMYFUNCTION("""COMPUTED_VALUE"""),"Jose Lopez Espinoza")</f>
        <v/>
      </c>
      <c r="G60" s="75" t="n"/>
      <c r="H60" s="76">
        <f>IFERROR(__xludf.DUMMYFUNCTION("""COMPUTED_VALUE"""),474.0598)</f>
        <v/>
      </c>
      <c r="I60" s="75" t="n"/>
      <c r="J60" s="77">
        <f>IFERROR(__xludf.DUMMYFUNCTION("""COMPUTED_VALUE"""),100.00000000000001)</f>
        <v/>
      </c>
      <c r="K60" s="4">
        <f>IFERROR(__xludf.DUMMYFUNCTION("""COMPUTED_VALUE"""),0.0)</f>
        <v/>
      </c>
      <c r="L60" s="77">
        <f>IFERROR(__xludf.DUMMYFUNCTION("""COMPUTED_VALUE"""),100.00000000000001)</f>
        <v/>
      </c>
      <c r="O60" s="72" t="n"/>
      <c r="S60" s="4" t="n"/>
    </row>
    <row r="61">
      <c r="A61" s="74">
        <f>IFERROR(__xludf.DUMMYFUNCTION("""COMPUTED_VALUE"""),46118.0)</f>
        <v/>
      </c>
      <c r="B61" s="72">
        <f>IFERROR(__xludf.DUMMYFUNCTION("""COMPUTED_VALUE"""),90.0)</f>
        <v/>
      </c>
      <c r="C61" s="75">
        <f>IFERROR(__xludf.DUMMYFUNCTION("""COMPUTED_VALUE"""),100.0)</f>
        <v/>
      </c>
      <c r="D61" s="75">
        <f>IFERROR(__xludf.DUMMYFUNCTION("""COMPUTED_VALUE"""),"USD")</f>
        <v/>
      </c>
      <c r="E61" s="75">
        <f>IFERROR(__xludf.DUMMYFUNCTION("""COMPUTED_VALUE"""),"Efectivo USD")</f>
        <v/>
      </c>
      <c r="F61" s="75">
        <f>IFERROR(__xludf.DUMMYFUNCTION("""COMPUTED_VALUE"""),"ACCESORIOS Y REPUESTOS MOTO CAR 20-11-C.A")</f>
        <v/>
      </c>
      <c r="G61" s="75" t="n"/>
      <c r="H61" s="76">
        <f>IFERROR(__xludf.DUMMYFUNCTION("""COMPUTED_VALUE"""),474.0598)</f>
        <v/>
      </c>
      <c r="I61" s="75" t="n"/>
      <c r="J61" s="77">
        <f>IFERROR(__xludf.DUMMYFUNCTION("""COMPUTED_VALUE"""),100.0)</f>
        <v/>
      </c>
      <c r="K61" s="4">
        <f>IFERROR(__xludf.DUMMYFUNCTION("""COMPUTED_VALUE"""),100.0)</f>
        <v/>
      </c>
      <c r="L61" s="77">
        <f>IFERROR(__xludf.DUMMYFUNCTION("""COMPUTED_VALUE"""),100.0)</f>
        <v/>
      </c>
      <c r="O61" s="72" t="n"/>
      <c r="S61" s="4" t="n"/>
    </row>
    <row r="62">
      <c r="A62" s="74">
        <f>IFERROR(__xludf.DUMMYFUNCTION("""COMPUTED_VALUE"""),46118.0)</f>
        <v/>
      </c>
      <c r="B62" s="72">
        <f>IFERROR(__xludf.DUMMYFUNCTION("""COMPUTED_VALUE"""),176.0)</f>
        <v/>
      </c>
      <c r="C62" s="75">
        <f>IFERROR(__xludf.DUMMYFUNCTION("""COMPUTED_VALUE"""),110.0)</f>
        <v/>
      </c>
      <c r="D62" s="75">
        <f>IFERROR(__xludf.DUMMYFUNCTION("""COMPUTED_VALUE"""),"USD")</f>
        <v/>
      </c>
      <c r="E62" s="75">
        <f>IFERROR(__xludf.DUMMYFUNCTION("""COMPUTED_VALUE"""),"Efectivo USD")</f>
        <v/>
      </c>
      <c r="F62" s="75">
        <f>IFERROR(__xludf.DUMMYFUNCTION("""COMPUTED_VALUE"""),"Jose Angel Gutierrez Rodriguez")</f>
        <v/>
      </c>
      <c r="G62" s="75" t="n"/>
      <c r="H62" s="76">
        <f>IFERROR(__xludf.DUMMYFUNCTION("""COMPUTED_VALUE"""),474.0598)</f>
        <v/>
      </c>
      <c r="I62" s="75" t="n"/>
      <c r="J62" s="77">
        <f>IFERROR(__xludf.DUMMYFUNCTION("""COMPUTED_VALUE"""),110.0)</f>
        <v/>
      </c>
      <c r="K62" s="4">
        <f>IFERROR(__xludf.DUMMYFUNCTION("""COMPUTED_VALUE"""),110.0)</f>
        <v/>
      </c>
      <c r="L62" s="77">
        <f>IFERROR(__xludf.DUMMYFUNCTION("""COMPUTED_VALUE"""),110.0)</f>
        <v/>
      </c>
      <c r="O62" s="72" t="n"/>
      <c r="S62" s="4" t="n"/>
    </row>
    <row r="63">
      <c r="A63" s="74">
        <f>IFERROR(__xludf.DUMMYFUNCTION("""COMPUTED_VALUE"""),46118.0)</f>
        <v/>
      </c>
      <c r="B63" s="72">
        <f>IFERROR(__xludf.DUMMYFUNCTION("""COMPUTED_VALUE"""),94.0)</f>
        <v/>
      </c>
      <c r="C63" s="75">
        <f>IFERROR(__xludf.DUMMYFUNCTION("""COMPUTED_VALUE"""),23705.0)</f>
        <v/>
      </c>
      <c r="D63" s="75">
        <f>IFERROR(__xludf.DUMMYFUNCTION("""COMPUTED_VALUE"""),"VES")</f>
        <v/>
      </c>
      <c r="E63" s="75">
        <f>IFERROR(__xludf.DUMMYFUNCTION("""COMPUTED_VALUE"""),"Venezuela")</f>
        <v/>
      </c>
      <c r="F63" s="75">
        <f>IFERROR(__xludf.DUMMYFUNCTION("""COMPUTED_VALUE"""),"Moto repuestos jj")</f>
        <v/>
      </c>
      <c r="G63" s="75" t="n"/>
      <c r="H63" s="76">
        <f>IFERROR(__xludf.DUMMYFUNCTION("""COMPUTED_VALUE"""),474.0598)</f>
        <v/>
      </c>
      <c r="I63" s="75" t="n"/>
      <c r="J63" s="77">
        <f>IFERROR(__xludf.DUMMYFUNCTION("""COMPUTED_VALUE"""),50.004239971412886)</f>
        <v/>
      </c>
      <c r="K63" s="4">
        <f>IFERROR(__xludf.DUMMYFUNCTION("""COMPUTED_VALUE"""),0.0)</f>
        <v/>
      </c>
      <c r="L63" s="77">
        <f>IFERROR(__xludf.DUMMYFUNCTION("""COMPUTED_VALUE"""),50.004239971412886)</f>
        <v/>
      </c>
      <c r="O63" s="72" t="n"/>
      <c r="S63" s="4" t="n"/>
    </row>
    <row r="64">
      <c r="A64" s="74">
        <f>IFERROR(__xludf.DUMMYFUNCTION("""COMPUTED_VALUE"""),46118.0)</f>
        <v/>
      </c>
      <c r="B64" s="72">
        <f>IFERROR(__xludf.DUMMYFUNCTION("""COMPUTED_VALUE"""),20.0)</f>
        <v/>
      </c>
      <c r="C64" s="75">
        <f>IFERROR(__xludf.DUMMYFUNCTION("""COMPUTED_VALUE"""),13775.0)</f>
        <v/>
      </c>
      <c r="D64" s="75">
        <f>IFERROR(__xludf.DUMMYFUNCTION("""COMPUTED_VALUE"""),"VES")</f>
        <v/>
      </c>
      <c r="E64" s="75">
        <f>IFERROR(__xludf.DUMMYFUNCTION("""COMPUTED_VALUE"""),"Bancamiga")</f>
        <v/>
      </c>
      <c r="F64" s="75">
        <f>IFERROR(__xludf.DUMMYFUNCTION("""COMPUTED_VALUE"""),"EMPRENDIMIENTO TOMAS MARCANO 5")</f>
        <v/>
      </c>
      <c r="G64" s="75" t="n"/>
      <c r="H64" s="76">
        <f>IFERROR(__xludf.DUMMYFUNCTION("""COMPUTED_VALUE"""),474.0598)</f>
        <v/>
      </c>
      <c r="I64" s="75" t="n"/>
      <c r="J64" s="77">
        <f>IFERROR(__xludf.DUMMYFUNCTION("""COMPUTED_VALUE"""),29.05751552863162)</f>
        <v/>
      </c>
      <c r="K64" s="4">
        <f>IFERROR(__xludf.DUMMYFUNCTION("""COMPUTED_VALUE"""),0.0)</f>
        <v/>
      </c>
      <c r="L64" s="77">
        <f>IFERROR(__xludf.DUMMYFUNCTION("""COMPUTED_VALUE"""),29.05751552863162)</f>
        <v/>
      </c>
      <c r="O64" s="72" t="n"/>
      <c r="S64" s="4" t="n"/>
    </row>
    <row r="65">
      <c r="A65" s="74">
        <f>IFERROR(__xludf.DUMMYFUNCTION("""COMPUTED_VALUE"""),46118.0)</f>
        <v/>
      </c>
      <c r="B65" s="72">
        <f>IFERROR(__xludf.DUMMYFUNCTION("""COMPUTED_VALUE"""),2.0)</f>
        <v/>
      </c>
      <c r="C65" s="75">
        <f>IFERROR(__xludf.DUMMYFUNCTION("""COMPUTED_VALUE"""),47405.98)</f>
        <v/>
      </c>
      <c r="D65" s="75">
        <f>IFERROR(__xludf.DUMMYFUNCTION("""COMPUTED_VALUE"""),"VES")</f>
        <v/>
      </c>
      <c r="E65" s="75">
        <f>IFERROR(__xludf.DUMMYFUNCTION("""COMPUTED_VALUE"""),"Bancamiga")</f>
        <v/>
      </c>
      <c r="F65" s="75">
        <f>IFERROR(__xludf.DUMMYFUNCTION("""COMPUTED_VALUE"""),"Jose Lopez Espinoza")</f>
        <v/>
      </c>
      <c r="G65" s="75" t="n"/>
      <c r="H65" s="76">
        <f>IFERROR(__xludf.DUMMYFUNCTION("""COMPUTED_VALUE"""),474.0598)</f>
        <v/>
      </c>
      <c r="I65" s="75" t="n"/>
      <c r="J65" s="77">
        <f>IFERROR(__xludf.DUMMYFUNCTION("""COMPUTED_VALUE"""),100.00000000000001)</f>
        <v/>
      </c>
      <c r="K65" s="4">
        <f>IFERROR(__xludf.DUMMYFUNCTION("""COMPUTED_VALUE"""),0.0)</f>
        <v/>
      </c>
      <c r="L65" s="77">
        <f>IFERROR(__xludf.DUMMYFUNCTION("""COMPUTED_VALUE"""),100.00000000000001)</f>
        <v/>
      </c>
      <c r="O65" s="72" t="n"/>
      <c r="S65" s="4" t="n"/>
    </row>
    <row r="66">
      <c r="A66" s="74">
        <f>IFERROR(__xludf.DUMMYFUNCTION("""COMPUTED_VALUE"""),46119.0)</f>
        <v/>
      </c>
      <c r="B66" s="72">
        <f>IFERROR(__xludf.DUMMYFUNCTION("""COMPUTED_VALUE"""),29.0)</f>
        <v/>
      </c>
      <c r="C66" s="75">
        <f>IFERROR(__xludf.DUMMYFUNCTION("""COMPUTED_VALUE"""),100.0)</f>
        <v/>
      </c>
      <c r="D66" s="75">
        <f>IFERROR(__xludf.DUMMYFUNCTION("""COMPUTED_VALUE"""),"USD")</f>
        <v/>
      </c>
      <c r="E66" s="75">
        <f>IFERROR(__xludf.DUMMYFUNCTION("""COMPUTED_VALUE"""),"Efectivo USD")</f>
        <v/>
      </c>
      <c r="F66" s="75">
        <f>IFERROR(__xludf.DUMMYFUNCTION("""COMPUTED_VALUE"""),"AUTOREPUESTOS SION C.A.")</f>
        <v/>
      </c>
      <c r="G66" s="75" t="n"/>
      <c r="H66" s="76">
        <f>IFERROR(__xludf.DUMMYFUNCTION("""COMPUTED_VALUE"""),474.5338)</f>
        <v/>
      </c>
      <c r="I66" s="75" t="n"/>
      <c r="J66" s="77">
        <f>IFERROR(__xludf.DUMMYFUNCTION("""COMPUTED_VALUE"""),100.0)</f>
        <v/>
      </c>
      <c r="K66" s="4">
        <f>IFERROR(__xludf.DUMMYFUNCTION("""COMPUTED_VALUE"""),100.0)</f>
        <v/>
      </c>
      <c r="L66" s="77">
        <f>IFERROR(__xludf.DUMMYFUNCTION("""COMPUTED_VALUE"""),100.0)</f>
        <v/>
      </c>
      <c r="O66" s="72" t="n"/>
      <c r="S66" s="4" t="n"/>
    </row>
    <row r="67">
      <c r="A67" s="74">
        <f>IFERROR(__xludf.DUMMYFUNCTION("""COMPUTED_VALUE"""),46119.0)</f>
        <v/>
      </c>
      <c r="B67" s="72">
        <f>IFERROR(__xludf.DUMMYFUNCTION("""COMPUTED_VALUE"""),104.0)</f>
        <v/>
      </c>
      <c r="C67" s="75">
        <f>IFERROR(__xludf.DUMMYFUNCTION("""COMPUTED_VALUE"""),70.0)</f>
        <v/>
      </c>
      <c r="D67" s="75">
        <f>IFERROR(__xludf.DUMMYFUNCTION("""COMPUTED_VALUE"""),"USD")</f>
        <v/>
      </c>
      <c r="E67" s="75">
        <f>IFERROR(__xludf.DUMMYFUNCTION("""COMPUTED_VALUE"""),"Efectivo USD")</f>
        <v/>
      </c>
      <c r="F67" s="75">
        <f>IFERROR(__xludf.DUMMYFUNCTION("""COMPUTED_VALUE"""),"Inversiones Brayan CT C.A")</f>
        <v/>
      </c>
      <c r="G67" s="75" t="n"/>
      <c r="H67" s="76">
        <f>IFERROR(__xludf.DUMMYFUNCTION("""COMPUTED_VALUE"""),474.5338)</f>
        <v/>
      </c>
      <c r="I67" s="75" t="n"/>
      <c r="J67" s="77">
        <f>IFERROR(__xludf.DUMMYFUNCTION("""COMPUTED_VALUE"""),70.0)</f>
        <v/>
      </c>
      <c r="K67" s="4">
        <f>IFERROR(__xludf.DUMMYFUNCTION("""COMPUTED_VALUE"""),70.0)</f>
        <v/>
      </c>
      <c r="L67" s="77">
        <f>IFERROR(__xludf.DUMMYFUNCTION("""COMPUTED_VALUE"""),70.0)</f>
        <v/>
      </c>
      <c r="O67" s="72" t="n"/>
      <c r="S67" s="4" t="n"/>
    </row>
    <row r="68">
      <c r="A68" s="74">
        <f>IFERROR(__xludf.DUMMYFUNCTION("""COMPUTED_VALUE"""),46119.0)</f>
        <v/>
      </c>
      <c r="B68" s="72">
        <f>IFERROR(__xludf.DUMMYFUNCTION("""COMPUTED_VALUE"""),27.0)</f>
        <v/>
      </c>
      <c r="C68" s="75">
        <f>IFERROR(__xludf.DUMMYFUNCTION("""COMPUTED_VALUE"""),20.0)</f>
        <v/>
      </c>
      <c r="D68" s="75">
        <f>IFERROR(__xludf.DUMMYFUNCTION("""COMPUTED_VALUE"""),"USD")</f>
        <v/>
      </c>
      <c r="E68" s="75">
        <f>IFERROR(__xludf.DUMMYFUNCTION("""COMPUTED_VALUE"""),"Efectivo USD")</f>
        <v/>
      </c>
      <c r="F68" s="75">
        <f>IFERROR(__xludf.DUMMYFUNCTION("""COMPUTED_VALUE"""),"Moises Alejandro Mares")</f>
        <v/>
      </c>
      <c r="G68" s="75" t="n"/>
      <c r="H68" s="76">
        <f>IFERROR(__xludf.DUMMYFUNCTION("""COMPUTED_VALUE"""),474.5338)</f>
        <v/>
      </c>
      <c r="I68" s="75" t="n"/>
      <c r="J68" s="77">
        <f>IFERROR(__xludf.DUMMYFUNCTION("""COMPUTED_VALUE"""),20.0)</f>
        <v/>
      </c>
      <c r="K68" s="4">
        <f>IFERROR(__xludf.DUMMYFUNCTION("""COMPUTED_VALUE"""),20.0)</f>
        <v/>
      </c>
      <c r="L68" s="77">
        <f>IFERROR(__xludf.DUMMYFUNCTION("""COMPUTED_VALUE"""),20.0)</f>
        <v/>
      </c>
      <c r="O68" s="72" t="n"/>
      <c r="S68" s="4" t="n"/>
    </row>
    <row r="69">
      <c r="A69" s="74">
        <f>IFERROR(__xludf.DUMMYFUNCTION("""COMPUTED_VALUE"""),46119.0)</f>
        <v/>
      </c>
      <c r="B69" s="72">
        <f>IFERROR(__xludf.DUMMYFUNCTION("""COMPUTED_VALUE"""),182.0)</f>
        <v/>
      </c>
      <c r="C69" s="75">
        <f>IFERROR(__xludf.DUMMYFUNCTION("""COMPUTED_VALUE"""),115.92)</f>
        <v/>
      </c>
      <c r="D69" s="75">
        <f>IFERROR(__xludf.DUMMYFUNCTION("""COMPUTED_VALUE"""),"USD")</f>
        <v/>
      </c>
      <c r="E69" s="75">
        <f>IFERROR(__xludf.DUMMYFUNCTION("""COMPUTED_VALUE"""),"Efectivo USD")</f>
        <v/>
      </c>
      <c r="F69" s="75">
        <f>IFERROR(__xludf.DUMMYFUNCTION("""COMPUTED_VALUE"""),"EMPRENDIMIENTO IRMA RODRIGUEZ 6")</f>
        <v/>
      </c>
      <c r="G69" s="75" t="n"/>
      <c r="H69" s="76">
        <f>IFERROR(__xludf.DUMMYFUNCTION("""COMPUTED_VALUE"""),474.5338)</f>
        <v/>
      </c>
      <c r="I69" s="75" t="n"/>
      <c r="J69" s="77">
        <f>IFERROR(__xludf.DUMMYFUNCTION("""COMPUTED_VALUE"""),115.92)</f>
        <v/>
      </c>
      <c r="K69" s="4">
        <f>IFERROR(__xludf.DUMMYFUNCTION("""COMPUTED_VALUE"""),115.92)</f>
        <v/>
      </c>
      <c r="L69" s="77">
        <f>IFERROR(__xludf.DUMMYFUNCTION("""COMPUTED_VALUE"""),115.92)</f>
        <v/>
      </c>
      <c r="O69" s="72" t="n"/>
      <c r="S69" s="4" t="n"/>
    </row>
    <row r="70">
      <c r="A70" s="74">
        <f>IFERROR(__xludf.DUMMYFUNCTION("""COMPUTED_VALUE"""),46119.0)</f>
        <v/>
      </c>
      <c r="B70" s="72">
        <f>IFERROR(__xludf.DUMMYFUNCTION("""COMPUTED_VALUE"""),184.0)</f>
        <v/>
      </c>
      <c r="C70" s="75">
        <f>IFERROR(__xludf.DUMMYFUNCTION("""COMPUTED_VALUE"""),64.8)</f>
        <v/>
      </c>
      <c r="D70" s="75">
        <f>IFERROR(__xludf.DUMMYFUNCTION("""COMPUTED_VALUE"""),"USD")</f>
        <v/>
      </c>
      <c r="E70" s="75">
        <f>IFERROR(__xludf.DUMMYFUNCTION("""COMPUTED_VALUE"""),"Efectivo USD")</f>
        <v/>
      </c>
      <c r="F70" s="75">
        <f>IFERROR(__xludf.DUMMYFUNCTION("""COMPUTED_VALUE"""),"EMPRENDIMIENTO IRMA RODRIGUEZ 6")</f>
        <v/>
      </c>
      <c r="G70" s="75" t="n"/>
      <c r="H70" s="76">
        <f>IFERROR(__xludf.DUMMYFUNCTION("""COMPUTED_VALUE"""),474.5338)</f>
        <v/>
      </c>
      <c r="I70" s="75" t="n"/>
      <c r="J70" s="77">
        <f>IFERROR(__xludf.DUMMYFUNCTION("""COMPUTED_VALUE"""),64.8)</f>
        <v/>
      </c>
      <c r="K70" s="4">
        <f>IFERROR(__xludf.DUMMYFUNCTION("""COMPUTED_VALUE"""),64.8)</f>
        <v/>
      </c>
      <c r="L70" s="77">
        <f>IFERROR(__xludf.DUMMYFUNCTION("""COMPUTED_VALUE"""),64.8)</f>
        <v/>
      </c>
      <c r="O70" s="72" t="n"/>
      <c r="S70" s="4" t="n"/>
    </row>
    <row r="71">
      <c r="A71" s="74">
        <f>IFERROR(__xludf.DUMMYFUNCTION("""COMPUTED_VALUE"""),46119.0)</f>
        <v/>
      </c>
      <c r="B71" s="72">
        <f>IFERROR(__xludf.DUMMYFUNCTION("""COMPUTED_VALUE"""),94.0)</f>
        <v/>
      </c>
      <c r="C71" s="75">
        <f>IFERROR(__xludf.DUMMYFUNCTION("""COMPUTED_VALUE"""),23726.5)</f>
        <v/>
      </c>
      <c r="D71" s="75">
        <f>IFERROR(__xludf.DUMMYFUNCTION("""COMPUTED_VALUE"""),"VES")</f>
        <v/>
      </c>
      <c r="E71" s="75">
        <f>IFERROR(__xludf.DUMMYFUNCTION("""COMPUTED_VALUE"""),"Venezuela")</f>
        <v/>
      </c>
      <c r="F71" s="75">
        <f>IFERROR(__xludf.DUMMYFUNCTION("""COMPUTED_VALUE"""),"Moto repuestos jj")</f>
        <v/>
      </c>
      <c r="G71" s="75" t="n"/>
      <c r="H71" s="76">
        <f>IFERROR(__xludf.DUMMYFUNCTION("""COMPUTED_VALUE"""),474.5338)</f>
        <v/>
      </c>
      <c r="I71" s="75" t="n"/>
      <c r="J71" s="77">
        <f>IFERROR(__xludf.DUMMYFUNCTION("""COMPUTED_VALUE"""),49.999599607024834)</f>
        <v/>
      </c>
      <c r="K71" s="4">
        <f>IFERROR(__xludf.DUMMYFUNCTION("""COMPUTED_VALUE"""),0.0)</f>
        <v/>
      </c>
      <c r="L71" s="77">
        <f>IFERROR(__xludf.DUMMYFUNCTION("""COMPUTED_VALUE"""),49.999599607024834)</f>
        <v/>
      </c>
      <c r="O71" s="72" t="n"/>
      <c r="S71" s="4" t="n"/>
    </row>
    <row r="72">
      <c r="A72" s="74">
        <f>IFERROR(__xludf.DUMMYFUNCTION("""COMPUTED_VALUE"""),46120.0)</f>
        <v/>
      </c>
      <c r="B72" s="72">
        <f>IFERROR(__xludf.DUMMYFUNCTION("""COMPUTED_VALUE"""),185.0)</f>
        <v/>
      </c>
      <c r="C72" s="75">
        <f>IFERROR(__xludf.DUMMYFUNCTION("""COMPUTED_VALUE"""),74937.81)</f>
        <v/>
      </c>
      <c r="D72" s="75">
        <f>IFERROR(__xludf.DUMMYFUNCTION("""COMPUTED_VALUE"""),"VES")</f>
        <v/>
      </c>
      <c r="E72" s="75">
        <f>IFERROR(__xludf.DUMMYFUNCTION("""COMPUTED_VALUE"""),"Bancamiga")</f>
        <v/>
      </c>
      <c r="F72" s="75">
        <f>IFERROR(__xludf.DUMMYFUNCTION("""COMPUTED_VALUE"""),"Pidelo Y Punto,c.a.")</f>
        <v/>
      </c>
      <c r="G72" s="75" t="n"/>
      <c r="H72" s="76">
        <f>IFERROR(__xludf.DUMMYFUNCTION("""COMPUTED_VALUE"""),475.0083)</f>
        <v/>
      </c>
      <c r="I72" s="75" t="n"/>
      <c r="J72" s="77">
        <f>IFERROR(__xludf.DUMMYFUNCTION("""COMPUTED_VALUE"""),157.76105385947992)</f>
        <v/>
      </c>
      <c r="K72" s="4">
        <f>IFERROR(__xludf.DUMMYFUNCTION("""COMPUTED_VALUE"""),0.0)</f>
        <v/>
      </c>
      <c r="L72" s="77">
        <f>IFERROR(__xludf.DUMMYFUNCTION("""COMPUTED_VALUE"""),157.76105385947992)</f>
        <v/>
      </c>
      <c r="O72" s="72" t="n"/>
      <c r="S72" s="4" t="n"/>
    </row>
    <row r="73">
      <c r="A73" s="74">
        <f>IFERROR(__xludf.DUMMYFUNCTION("""COMPUTED_VALUE"""),46120.0)</f>
        <v/>
      </c>
      <c r="B73" s="72">
        <f>IFERROR(__xludf.DUMMYFUNCTION("""COMPUTED_VALUE"""),20.0)</f>
        <v/>
      </c>
      <c r="C73" s="75">
        <f>IFERROR(__xludf.DUMMYFUNCTION("""COMPUTED_VALUE"""),10995.0)</f>
        <v/>
      </c>
      <c r="D73" s="75">
        <f>IFERROR(__xludf.DUMMYFUNCTION("""COMPUTED_VALUE"""),"VES")</f>
        <v/>
      </c>
      <c r="E73" s="75">
        <f>IFERROR(__xludf.DUMMYFUNCTION("""COMPUTED_VALUE"""),"Bancamiga")</f>
        <v/>
      </c>
      <c r="F73" s="75">
        <f>IFERROR(__xludf.DUMMYFUNCTION("""COMPUTED_VALUE"""),"EMPRENDIMIENTO TOMAS MARCANO 5")</f>
        <v/>
      </c>
      <c r="G73" s="75" t="n"/>
      <c r="H73" s="76">
        <f>IFERROR(__xludf.DUMMYFUNCTION("""COMPUTED_VALUE"""),475.0083)</f>
        <v/>
      </c>
      <c r="I73" s="75" t="n"/>
      <c r="J73" s="77">
        <f>IFERROR(__xludf.DUMMYFUNCTION("""COMPUTED_VALUE"""),23.14696395831399)</f>
        <v/>
      </c>
      <c r="K73" s="4">
        <f>IFERROR(__xludf.DUMMYFUNCTION("""COMPUTED_VALUE"""),0.0)</f>
        <v/>
      </c>
      <c r="L73" s="77">
        <f>IFERROR(__xludf.DUMMYFUNCTION("""COMPUTED_VALUE"""),23.14696395831399)</f>
        <v/>
      </c>
      <c r="O73" s="72" t="n"/>
      <c r="S73" s="4" t="n"/>
    </row>
    <row r="74">
      <c r="A74" s="74">
        <f>IFERROR(__xludf.DUMMYFUNCTION("""COMPUTED_VALUE"""),46121.0)</f>
        <v/>
      </c>
      <c r="B74" s="72">
        <f>IFERROR(__xludf.DUMMYFUNCTION("""COMPUTED_VALUE"""),131.0)</f>
        <v/>
      </c>
      <c r="C74" s="75">
        <f>IFERROR(__xludf.DUMMYFUNCTION("""COMPUTED_VALUE"""),4.0)</f>
        <v/>
      </c>
      <c r="D74" s="75">
        <f>IFERROR(__xludf.DUMMYFUNCTION("""COMPUTED_VALUE"""),"USD")</f>
        <v/>
      </c>
      <c r="E74" s="75">
        <f>IFERROR(__xludf.DUMMYFUNCTION("""COMPUTED_VALUE"""),"Efectivo USD")</f>
        <v/>
      </c>
      <c r="F74" s="75">
        <f>IFERROR(__xludf.DUMMYFUNCTION("""COMPUTED_VALUE"""),"Neykel Quevedo")</f>
        <v/>
      </c>
      <c r="G74" s="75" t="n"/>
      <c r="H74" s="76">
        <f>IFERROR(__xludf.DUMMYFUNCTION("""COMPUTED_VALUE"""),475.9583)</f>
        <v/>
      </c>
      <c r="I74" s="75" t="n"/>
      <c r="J74" s="77">
        <f>IFERROR(__xludf.DUMMYFUNCTION("""COMPUTED_VALUE"""),4.0)</f>
        <v/>
      </c>
      <c r="K74" s="4">
        <f>IFERROR(__xludf.DUMMYFUNCTION("""COMPUTED_VALUE"""),4.0)</f>
        <v/>
      </c>
      <c r="L74" s="77">
        <f>IFERROR(__xludf.DUMMYFUNCTION("""COMPUTED_VALUE"""),4.0)</f>
        <v/>
      </c>
      <c r="O74" s="72" t="n"/>
      <c r="S74" s="4" t="n"/>
    </row>
    <row r="75">
      <c r="A75" s="74">
        <f>IFERROR(__xludf.DUMMYFUNCTION("""COMPUTED_VALUE"""),46121.0)</f>
        <v/>
      </c>
      <c r="B75" s="72">
        <f>IFERROR(__xludf.DUMMYFUNCTION("""COMPUTED_VALUE"""),190.0)</f>
        <v/>
      </c>
      <c r="C75" s="75">
        <f>IFERROR(__xludf.DUMMYFUNCTION("""COMPUTED_VALUE"""),345.0)</f>
        <v/>
      </c>
      <c r="D75" s="75">
        <f>IFERROR(__xludf.DUMMYFUNCTION("""COMPUTED_VALUE"""),"USD")</f>
        <v/>
      </c>
      <c r="E75" s="75">
        <f>IFERROR(__xludf.DUMMYFUNCTION("""COMPUTED_VALUE"""),"Efectivo USD")</f>
        <v/>
      </c>
      <c r="F75" s="75">
        <f>IFERROR(__xludf.DUMMYFUNCTION("""COMPUTED_VALUE"""),"Anthony Jose Quijada Diaz.")</f>
        <v/>
      </c>
      <c r="G75" s="75" t="n"/>
      <c r="H75" s="76">
        <f>IFERROR(__xludf.DUMMYFUNCTION("""COMPUTED_VALUE"""),475.9583)</f>
        <v/>
      </c>
      <c r="I75" s="75" t="n"/>
      <c r="J75" s="77">
        <f>IFERROR(__xludf.DUMMYFUNCTION("""COMPUTED_VALUE"""),345.0)</f>
        <v/>
      </c>
      <c r="K75" s="4">
        <f>IFERROR(__xludf.DUMMYFUNCTION("""COMPUTED_VALUE"""),345.0)</f>
        <v/>
      </c>
      <c r="L75" s="77">
        <f>IFERROR(__xludf.DUMMYFUNCTION("""COMPUTED_VALUE"""),345.0)</f>
        <v/>
      </c>
      <c r="O75" s="72" t="n"/>
      <c r="S75" s="4" t="n"/>
    </row>
    <row r="76">
      <c r="A76" s="74">
        <f>IFERROR(__xludf.DUMMYFUNCTION("""COMPUTED_VALUE"""),46121.0)</f>
        <v/>
      </c>
      <c r="B76" s="72">
        <f>IFERROR(__xludf.DUMMYFUNCTION("""COMPUTED_VALUE"""),190.0)</f>
        <v/>
      </c>
      <c r="C76" s="75">
        <f>IFERROR(__xludf.DUMMYFUNCTION("""COMPUTED_VALUE"""),285.58)</f>
        <v/>
      </c>
      <c r="D76" s="75">
        <f>IFERROR(__xludf.DUMMYFUNCTION("""COMPUTED_VALUE"""),"VES")</f>
        <v/>
      </c>
      <c r="E76" s="75">
        <f>IFERROR(__xludf.DUMMYFUNCTION("""COMPUTED_VALUE"""),"Bancamiga")</f>
        <v/>
      </c>
      <c r="F76" s="75">
        <f>IFERROR(__xludf.DUMMYFUNCTION("""COMPUTED_VALUE"""),"Anthony Jose Quijada Diaz.")</f>
        <v/>
      </c>
      <c r="G76" s="75" t="n"/>
      <c r="H76" s="76">
        <f>IFERROR(__xludf.DUMMYFUNCTION("""COMPUTED_VALUE"""),475.9583)</f>
        <v/>
      </c>
      <c r="I76" s="75" t="n"/>
      <c r="J76" s="77">
        <f>IFERROR(__xludf.DUMMYFUNCTION("""COMPUTED_VALUE"""),0.6000105471424703)</f>
        <v/>
      </c>
      <c r="K76" s="4">
        <f>IFERROR(__xludf.DUMMYFUNCTION("""COMPUTED_VALUE"""),0.0)</f>
        <v/>
      </c>
      <c r="L76" s="77">
        <f>IFERROR(__xludf.DUMMYFUNCTION("""COMPUTED_VALUE"""),0.6000105471424703)</f>
        <v/>
      </c>
      <c r="O76" s="72" t="n"/>
      <c r="S76" s="4" t="n"/>
    </row>
    <row r="77">
      <c r="A77" s="74">
        <f>IFERROR(__xludf.DUMMYFUNCTION("""COMPUTED_VALUE"""),46121.0)</f>
        <v/>
      </c>
      <c r="B77" s="72">
        <f>IFERROR(__xludf.DUMMYFUNCTION("""COMPUTED_VALUE"""),176.0)</f>
        <v/>
      </c>
      <c r="C77" s="75">
        <f>IFERROR(__xludf.DUMMYFUNCTION("""COMPUTED_VALUE"""),50.0)</f>
        <v/>
      </c>
      <c r="D77" s="75">
        <f>IFERROR(__xludf.DUMMYFUNCTION("""COMPUTED_VALUE"""),"USD")</f>
        <v/>
      </c>
      <c r="E77" s="75">
        <f>IFERROR(__xludf.DUMMYFUNCTION("""COMPUTED_VALUE"""),"Efectivo USD")</f>
        <v/>
      </c>
      <c r="F77" s="75">
        <f>IFERROR(__xludf.DUMMYFUNCTION("""COMPUTED_VALUE"""),"Jose Angel Gutierrez Rodriguez")</f>
        <v/>
      </c>
      <c r="G77" s="75" t="n"/>
      <c r="H77" s="76">
        <f>IFERROR(__xludf.DUMMYFUNCTION("""COMPUTED_VALUE"""),475.9583)</f>
        <v/>
      </c>
      <c r="I77" s="75" t="n"/>
      <c r="J77" s="77">
        <f>IFERROR(__xludf.DUMMYFUNCTION("""COMPUTED_VALUE"""),50.0)</f>
        <v/>
      </c>
      <c r="K77" s="4">
        <f>IFERROR(__xludf.DUMMYFUNCTION("""COMPUTED_VALUE"""),50.0)</f>
        <v/>
      </c>
      <c r="L77" s="77">
        <f>IFERROR(__xludf.DUMMYFUNCTION("""COMPUTED_VALUE"""),50.0)</f>
        <v/>
      </c>
      <c r="O77" s="72" t="n"/>
      <c r="S77" s="4" t="n"/>
    </row>
    <row r="78">
      <c r="A78" s="74">
        <f>IFERROR(__xludf.DUMMYFUNCTION("""COMPUTED_VALUE"""),46121.0)</f>
        <v/>
      </c>
      <c r="B78" s="72">
        <f>IFERROR(__xludf.DUMMYFUNCTION("""COMPUTED_VALUE"""),153.0)</f>
        <v/>
      </c>
      <c r="C78" s="75">
        <f>IFERROR(__xludf.DUMMYFUNCTION("""COMPUTED_VALUE"""),128.0)</f>
        <v/>
      </c>
      <c r="D78" s="75">
        <f>IFERROR(__xludf.DUMMYFUNCTION("""COMPUTED_VALUE"""),"USD")</f>
        <v/>
      </c>
      <c r="E78" s="75">
        <f>IFERROR(__xludf.DUMMYFUNCTION("""COMPUTED_VALUE"""),"Efectivo USD")</f>
        <v/>
      </c>
      <c r="F78" s="75">
        <f>IFERROR(__xludf.DUMMYFUNCTION("""COMPUTED_VALUE"""),"Emprendimiento Yeizon Villaroel")</f>
        <v/>
      </c>
      <c r="G78" s="75" t="n"/>
      <c r="H78" s="76">
        <f>IFERROR(__xludf.DUMMYFUNCTION("""COMPUTED_VALUE"""),475.9583)</f>
        <v/>
      </c>
      <c r="I78" s="75" t="n"/>
      <c r="J78" s="77">
        <f>IFERROR(__xludf.DUMMYFUNCTION("""COMPUTED_VALUE"""),128.0)</f>
        <v/>
      </c>
      <c r="K78" s="4">
        <f>IFERROR(__xludf.DUMMYFUNCTION("""COMPUTED_VALUE"""),128.0)</f>
        <v/>
      </c>
      <c r="L78" s="77">
        <f>IFERROR(__xludf.DUMMYFUNCTION("""COMPUTED_VALUE"""),128.0)</f>
        <v/>
      </c>
      <c r="O78" s="72" t="n"/>
      <c r="S78" s="4" t="n"/>
    </row>
    <row r="79">
      <c r="A79" s="74">
        <f>IFERROR(__xludf.DUMMYFUNCTION("""COMPUTED_VALUE"""),46121.0)</f>
        <v/>
      </c>
      <c r="B79" s="72">
        <f>IFERROR(__xludf.DUMMYFUNCTION("""COMPUTED_VALUE"""),89.0)</f>
        <v/>
      </c>
      <c r="C79" s="75">
        <f>IFERROR(__xludf.DUMMYFUNCTION("""COMPUTED_VALUE"""),90.0)</f>
        <v/>
      </c>
      <c r="D79" s="75">
        <f>IFERROR(__xludf.DUMMYFUNCTION("""COMPUTED_VALUE"""),"USD")</f>
        <v/>
      </c>
      <c r="E79" s="75">
        <f>IFERROR(__xludf.DUMMYFUNCTION("""COMPUTED_VALUE"""),"Efectivo USD")</f>
        <v/>
      </c>
      <c r="F79" s="75">
        <f>IFERROR(__xludf.DUMMYFUNCTION("""COMPUTED_VALUE"""),"Moto Repuestos Sanz 11. C.A.")</f>
        <v/>
      </c>
      <c r="G79" s="75" t="n"/>
      <c r="H79" s="76">
        <f>IFERROR(__xludf.DUMMYFUNCTION("""COMPUTED_VALUE"""),475.9583)</f>
        <v/>
      </c>
      <c r="I79" s="75" t="n"/>
      <c r="J79" s="77">
        <f>IFERROR(__xludf.DUMMYFUNCTION("""COMPUTED_VALUE"""),90.0)</f>
        <v/>
      </c>
      <c r="K79" s="4">
        <f>IFERROR(__xludf.DUMMYFUNCTION("""COMPUTED_VALUE"""),90.0)</f>
        <v/>
      </c>
      <c r="L79" s="77">
        <f>IFERROR(__xludf.DUMMYFUNCTION("""COMPUTED_VALUE"""),90.0)</f>
        <v/>
      </c>
      <c r="O79" s="72" t="n"/>
      <c r="S79" s="4" t="n"/>
    </row>
    <row r="80">
      <c r="A80" s="74">
        <f>IFERROR(__xludf.DUMMYFUNCTION("""COMPUTED_VALUE"""),46121.0)</f>
        <v/>
      </c>
      <c r="B80" s="72">
        <f>IFERROR(__xludf.DUMMYFUNCTION("""COMPUTED_VALUE"""),37.0)</f>
        <v/>
      </c>
      <c r="C80" s="75">
        <f>IFERROR(__xludf.DUMMYFUNCTION("""COMPUTED_VALUE"""),38.0)</f>
        <v/>
      </c>
      <c r="D80" s="75">
        <f>IFERROR(__xludf.DUMMYFUNCTION("""COMPUTED_VALUE"""),"USD")</f>
        <v/>
      </c>
      <c r="E80" s="75">
        <f>IFERROR(__xludf.DUMMYFUNCTION("""COMPUTED_VALUE"""),"Efectivo USD")</f>
        <v/>
      </c>
      <c r="F80" s="75">
        <f>IFERROR(__xludf.DUMMYFUNCTION("""COMPUTED_VALUE"""),"Junior Marco Antonio Vivas Navas")</f>
        <v/>
      </c>
      <c r="G80" s="75" t="n"/>
      <c r="H80" s="76">
        <f>IFERROR(__xludf.DUMMYFUNCTION("""COMPUTED_VALUE"""),475.9583)</f>
        <v/>
      </c>
      <c r="I80" s="75" t="n"/>
      <c r="J80" s="77">
        <f>IFERROR(__xludf.DUMMYFUNCTION("""COMPUTED_VALUE"""),38.0)</f>
        <v/>
      </c>
      <c r="K80" s="4">
        <f>IFERROR(__xludf.DUMMYFUNCTION("""COMPUTED_VALUE"""),38.0)</f>
        <v/>
      </c>
      <c r="L80" s="77">
        <f>IFERROR(__xludf.DUMMYFUNCTION("""COMPUTED_VALUE"""),38.0)</f>
        <v/>
      </c>
      <c r="O80" s="72" t="n"/>
      <c r="S80" s="4" t="n"/>
    </row>
    <row r="81">
      <c r="A81" s="74">
        <f>IFERROR(__xludf.DUMMYFUNCTION("""COMPUTED_VALUE"""),46121.0)</f>
        <v/>
      </c>
      <c r="B81" s="72">
        <f>IFERROR(__xludf.DUMMYFUNCTION("""COMPUTED_VALUE"""),188.0)</f>
        <v/>
      </c>
      <c r="C81" s="75">
        <f>IFERROR(__xludf.DUMMYFUNCTION("""COMPUTED_VALUE"""),143.0)</f>
        <v/>
      </c>
      <c r="D81" s="75">
        <f>IFERROR(__xludf.DUMMYFUNCTION("""COMPUTED_VALUE"""),"USD")</f>
        <v/>
      </c>
      <c r="E81" s="75">
        <f>IFERROR(__xludf.DUMMYFUNCTION("""COMPUTED_VALUE"""),"Efectivo USD")</f>
        <v/>
      </c>
      <c r="F81" s="75">
        <f>IFERROR(__xludf.DUMMYFUNCTION("""COMPUTED_VALUE"""),"EMPRENDIMIENTO IRMA RODRIGUEZ 6")</f>
        <v/>
      </c>
      <c r="G81" s="75" t="n"/>
      <c r="H81" s="76">
        <f>IFERROR(__xludf.DUMMYFUNCTION("""COMPUTED_VALUE"""),475.9583)</f>
        <v/>
      </c>
      <c r="I81" s="75" t="n"/>
      <c r="J81" s="77">
        <f>IFERROR(__xludf.DUMMYFUNCTION("""COMPUTED_VALUE"""),143.0)</f>
        <v/>
      </c>
      <c r="K81" s="4">
        <f>IFERROR(__xludf.DUMMYFUNCTION("""COMPUTED_VALUE"""),143.0)</f>
        <v/>
      </c>
      <c r="L81" s="77">
        <f>IFERROR(__xludf.DUMMYFUNCTION("""COMPUTED_VALUE"""),143.0)</f>
        <v/>
      </c>
      <c r="O81" s="72" t="n"/>
      <c r="S81" s="4" t="n"/>
    </row>
    <row r="82">
      <c r="A82" s="74">
        <f>IFERROR(__xludf.DUMMYFUNCTION("""COMPUTED_VALUE"""),46121.0)</f>
        <v/>
      </c>
      <c r="B82" s="72">
        <f>IFERROR(__xludf.DUMMYFUNCTION("""COMPUTED_VALUE"""),105.0)</f>
        <v/>
      </c>
      <c r="C82" s="75">
        <f>IFERROR(__xludf.DUMMYFUNCTION("""COMPUTED_VALUE"""),30000.0)</f>
        <v/>
      </c>
      <c r="D82" s="75">
        <f>IFERROR(__xludf.DUMMYFUNCTION("""COMPUTED_VALUE"""),"VES")</f>
        <v/>
      </c>
      <c r="E82" s="75">
        <f>IFERROR(__xludf.DUMMYFUNCTION("""COMPUTED_VALUE"""),"Bancamiga")</f>
        <v/>
      </c>
      <c r="F82" s="75">
        <f>IFERROR(__xludf.DUMMYFUNCTION("""COMPUTED_VALUE"""),"Ricardo A. Fernandez.")</f>
        <v/>
      </c>
      <c r="G82" s="75" t="n"/>
      <c r="H82" s="76">
        <f>IFERROR(__xludf.DUMMYFUNCTION("""COMPUTED_VALUE"""),475.9583)</f>
        <v/>
      </c>
      <c r="I82" s="75" t="n"/>
      <c r="J82" s="77">
        <f>IFERROR(__xludf.DUMMYFUNCTION("""COMPUTED_VALUE"""),63.03073189394953)</f>
        <v/>
      </c>
      <c r="K82" s="4">
        <f>IFERROR(__xludf.DUMMYFUNCTION("""COMPUTED_VALUE"""),0.0)</f>
        <v/>
      </c>
      <c r="L82" s="77">
        <f>IFERROR(__xludf.DUMMYFUNCTION("""COMPUTED_VALUE"""),63.03073189394953)</f>
        <v/>
      </c>
      <c r="O82" s="72" t="n"/>
      <c r="S82" s="4" t="n"/>
    </row>
    <row r="83">
      <c r="A83" s="74">
        <f>IFERROR(__xludf.DUMMYFUNCTION("""COMPUTED_VALUE"""),46121.0)</f>
        <v/>
      </c>
      <c r="B83" s="72">
        <f>IFERROR(__xludf.DUMMYFUNCTION("""COMPUTED_VALUE"""),94.0)</f>
        <v/>
      </c>
      <c r="C83" s="75">
        <f>IFERROR(__xludf.DUMMYFUNCTION("""COMPUTED_VALUE"""),23797.5)</f>
        <v/>
      </c>
      <c r="D83" s="75">
        <f>IFERROR(__xludf.DUMMYFUNCTION("""COMPUTED_VALUE"""),"VES")</f>
        <v/>
      </c>
      <c r="E83" s="75">
        <f>IFERROR(__xludf.DUMMYFUNCTION("""COMPUTED_VALUE"""),"Venezuela")</f>
        <v/>
      </c>
      <c r="F83" s="75">
        <f>IFERROR(__xludf.DUMMYFUNCTION("""COMPUTED_VALUE"""),"Moto repuestos jj")</f>
        <v/>
      </c>
      <c r="G83" s="75" t="n"/>
      <c r="H83" s="76">
        <f>IFERROR(__xludf.DUMMYFUNCTION("""COMPUTED_VALUE"""),475.9583)</f>
        <v/>
      </c>
      <c r="I83" s="75" t="n"/>
      <c r="J83" s="77">
        <f>IFERROR(__xludf.DUMMYFUNCTION("""COMPUTED_VALUE"""),49.999128074875465)</f>
        <v/>
      </c>
      <c r="K83" s="4">
        <f>IFERROR(__xludf.DUMMYFUNCTION("""COMPUTED_VALUE"""),0.0)</f>
        <v/>
      </c>
      <c r="L83" s="77">
        <f>IFERROR(__xludf.DUMMYFUNCTION("""COMPUTED_VALUE"""),49.999128074875465)</f>
        <v/>
      </c>
      <c r="O83" s="72" t="n"/>
      <c r="S83" s="4" t="n"/>
    </row>
    <row r="84">
      <c r="A84" s="74">
        <f>IFERROR(__xludf.DUMMYFUNCTION("""COMPUTED_VALUE"""),46121.0)</f>
        <v/>
      </c>
      <c r="B84" s="72">
        <f>IFERROR(__xludf.DUMMYFUNCTION("""COMPUTED_VALUE"""),195.0)</f>
        <v/>
      </c>
      <c r="C84" s="75">
        <f>IFERROR(__xludf.DUMMYFUNCTION("""COMPUTED_VALUE"""),681.0)</f>
        <v/>
      </c>
      <c r="D84" s="75">
        <f>IFERROR(__xludf.DUMMYFUNCTION("""COMPUTED_VALUE"""),"USD")</f>
        <v/>
      </c>
      <c r="E84" s="75">
        <f>IFERROR(__xludf.DUMMYFUNCTION("""COMPUTED_VALUE"""),"Efectivo USD")</f>
        <v/>
      </c>
      <c r="F84" s="75">
        <f>IFERROR(__xludf.DUMMYFUNCTION("""COMPUTED_VALUE"""),"Paola M. Aguilera Z.")</f>
        <v/>
      </c>
      <c r="G84" s="75" t="n"/>
      <c r="H84" s="76">
        <f>IFERROR(__xludf.DUMMYFUNCTION("""COMPUTED_VALUE"""),475.9583)</f>
        <v/>
      </c>
      <c r="I84" s="75" t="n"/>
      <c r="J84" s="77">
        <f>IFERROR(__xludf.DUMMYFUNCTION("""COMPUTED_VALUE"""),681.0)</f>
        <v/>
      </c>
      <c r="K84" s="4">
        <f>IFERROR(__xludf.DUMMYFUNCTION("""COMPUTED_VALUE"""),681.0)</f>
        <v/>
      </c>
      <c r="L84" s="77">
        <f>IFERROR(__xludf.DUMMYFUNCTION("""COMPUTED_VALUE"""),681.0)</f>
        <v/>
      </c>
      <c r="O84" s="72" t="n"/>
      <c r="S84" s="4" t="n"/>
    </row>
    <row r="85">
      <c r="A85" s="74">
        <f>IFERROR(__xludf.DUMMYFUNCTION("""COMPUTED_VALUE"""),46121.0)</f>
        <v/>
      </c>
      <c r="B85" s="72">
        <f>IFERROR(__xludf.DUMMYFUNCTION("""COMPUTED_VALUE"""),51.0)</f>
        <v/>
      </c>
      <c r="C85" s="75">
        <f>IFERROR(__xludf.DUMMYFUNCTION("""COMPUTED_VALUE"""),46.0)</f>
        <v/>
      </c>
      <c r="D85" s="75">
        <f>IFERROR(__xludf.DUMMYFUNCTION("""COMPUTED_VALUE"""),"USD")</f>
        <v/>
      </c>
      <c r="E85" s="75">
        <f>IFERROR(__xludf.DUMMYFUNCTION("""COMPUTED_VALUE"""),"Efectivo USD")</f>
        <v/>
      </c>
      <c r="F85" s="75">
        <f>IFERROR(__xludf.DUMMYFUNCTION("""COMPUTED_VALUE"""),"Auto Repuestos Acal C.A")</f>
        <v/>
      </c>
      <c r="G85" s="75" t="n"/>
      <c r="H85" s="76">
        <f>IFERROR(__xludf.DUMMYFUNCTION("""COMPUTED_VALUE"""),475.9583)</f>
        <v/>
      </c>
      <c r="I85" s="75" t="n"/>
      <c r="J85" s="77">
        <f>IFERROR(__xludf.DUMMYFUNCTION("""COMPUTED_VALUE"""),46.0)</f>
        <v/>
      </c>
      <c r="K85" s="4">
        <f>IFERROR(__xludf.DUMMYFUNCTION("""COMPUTED_VALUE"""),46.0)</f>
        <v/>
      </c>
      <c r="L85" s="77">
        <f>IFERROR(__xludf.DUMMYFUNCTION("""COMPUTED_VALUE"""),46.0)</f>
        <v/>
      </c>
      <c r="O85" s="72" t="n"/>
      <c r="S85" s="4" t="n"/>
    </row>
    <row r="86">
      <c r="A86" s="74">
        <f>IFERROR(__xludf.DUMMYFUNCTION("""COMPUTED_VALUE"""),46122.0)</f>
        <v/>
      </c>
      <c r="B86" s="72">
        <f>IFERROR(__xludf.DUMMYFUNCTION("""COMPUTED_VALUE"""),202.0)</f>
        <v/>
      </c>
      <c r="C86" s="75">
        <f>IFERROR(__xludf.DUMMYFUNCTION("""COMPUTED_VALUE"""),107.0)</f>
        <v/>
      </c>
      <c r="D86" s="75">
        <f>IFERROR(__xludf.DUMMYFUNCTION("""COMPUTED_VALUE"""),"USD")</f>
        <v/>
      </c>
      <c r="E86" s="75">
        <f>IFERROR(__xludf.DUMMYFUNCTION("""COMPUTED_VALUE"""),"Efectivo USD")</f>
        <v/>
      </c>
      <c r="F86" s="75">
        <f>IFERROR(__xludf.DUMMYFUNCTION("""COMPUTED_VALUE"""),"Motorepuestos HD 94, C.A")</f>
        <v/>
      </c>
      <c r="G86" s="75" t="n"/>
      <c r="H86" s="76">
        <f>IFERROR(__xludf.DUMMYFUNCTION("""COMPUTED_VALUE"""),476.4342)</f>
        <v/>
      </c>
      <c r="I86" s="75" t="n"/>
      <c r="J86" s="77">
        <f>IFERROR(__xludf.DUMMYFUNCTION("""COMPUTED_VALUE"""),107.0)</f>
        <v/>
      </c>
      <c r="K86" s="4">
        <f>IFERROR(__xludf.DUMMYFUNCTION("""COMPUTED_VALUE"""),107.0)</f>
        <v/>
      </c>
      <c r="L86" s="77">
        <f>IFERROR(__xludf.DUMMYFUNCTION("""COMPUTED_VALUE"""),107.0)</f>
        <v/>
      </c>
      <c r="O86" s="72" t="n"/>
      <c r="S86" s="4" t="n"/>
    </row>
    <row r="87">
      <c r="A87" s="74">
        <f>IFERROR(__xludf.DUMMYFUNCTION("""COMPUTED_VALUE"""),46122.0)</f>
        <v/>
      </c>
      <c r="B87" s="72">
        <f>IFERROR(__xludf.DUMMYFUNCTION("""COMPUTED_VALUE"""),159.0)</f>
        <v/>
      </c>
      <c r="C87" s="75">
        <f>IFERROR(__xludf.DUMMYFUNCTION("""COMPUTED_VALUE"""),500.0)</f>
        <v/>
      </c>
      <c r="D87" s="75">
        <f>IFERROR(__xludf.DUMMYFUNCTION("""COMPUTED_VALUE"""),"USD")</f>
        <v/>
      </c>
      <c r="E87" s="75">
        <f>IFERROR(__xludf.DUMMYFUNCTION("""COMPUTED_VALUE"""),"Efectivo USD")</f>
        <v/>
      </c>
      <c r="F87" s="75">
        <f>IFERROR(__xludf.DUMMYFUNCTION("""COMPUTED_VALUE"""),"Grupo 3030, C.A")</f>
        <v/>
      </c>
      <c r="G87" s="75" t="n"/>
      <c r="H87" s="76">
        <f>IFERROR(__xludf.DUMMYFUNCTION("""COMPUTED_VALUE"""),476.4342)</f>
        <v/>
      </c>
      <c r="I87" s="75" t="n"/>
      <c r="J87" s="77">
        <f>IFERROR(__xludf.DUMMYFUNCTION("""COMPUTED_VALUE"""),500.0)</f>
        <v/>
      </c>
      <c r="K87" s="4">
        <f>IFERROR(__xludf.DUMMYFUNCTION("""COMPUTED_VALUE"""),500.0)</f>
        <v/>
      </c>
      <c r="L87" s="77">
        <f>IFERROR(__xludf.DUMMYFUNCTION("""COMPUTED_VALUE"""),500.0)</f>
        <v/>
      </c>
      <c r="O87" s="72" t="n"/>
      <c r="S87" s="4" t="n"/>
    </row>
    <row r="88">
      <c r="A88" s="74">
        <f>IFERROR(__xludf.DUMMYFUNCTION("""COMPUTED_VALUE"""),46122.0)</f>
        <v/>
      </c>
      <c r="B88" s="72">
        <f>IFERROR(__xludf.DUMMYFUNCTION("""COMPUTED_VALUE"""),158.0)</f>
        <v/>
      </c>
      <c r="C88" s="75">
        <f>IFERROR(__xludf.DUMMYFUNCTION("""COMPUTED_VALUE"""),220.0)</f>
        <v/>
      </c>
      <c r="D88" s="75">
        <f>IFERROR(__xludf.DUMMYFUNCTION("""COMPUTED_VALUE"""),"USD")</f>
        <v/>
      </c>
      <c r="E88" s="75">
        <f>IFERROR(__xludf.DUMMYFUNCTION("""COMPUTED_VALUE"""),"Zelle")</f>
        <v/>
      </c>
      <c r="F88" s="75">
        <f>IFERROR(__xludf.DUMMYFUNCTION("""COMPUTED_VALUE"""),"Dimas Ortíz")</f>
        <v/>
      </c>
      <c r="G88" s="75" t="n"/>
      <c r="H88" s="76">
        <f>IFERROR(__xludf.DUMMYFUNCTION("""COMPUTED_VALUE"""),476.4342)</f>
        <v/>
      </c>
      <c r="I88" s="75" t="n"/>
      <c r="J88" s="77">
        <f>IFERROR(__xludf.DUMMYFUNCTION("""COMPUTED_VALUE"""),220.0)</f>
        <v/>
      </c>
      <c r="K88" s="4">
        <f>IFERROR(__xludf.DUMMYFUNCTION("""COMPUTED_VALUE"""),220.0)</f>
        <v/>
      </c>
      <c r="L88" s="77">
        <f>IFERROR(__xludf.DUMMYFUNCTION("""COMPUTED_VALUE"""),220.0)</f>
        <v/>
      </c>
      <c r="O88" s="72" t="n"/>
      <c r="S88" s="4" t="n"/>
    </row>
    <row r="89">
      <c r="A89" s="74">
        <f>IFERROR(__xludf.DUMMYFUNCTION("""COMPUTED_VALUE"""),46122.0)</f>
        <v/>
      </c>
      <c r="B89" s="72">
        <f>IFERROR(__xludf.DUMMYFUNCTION("""COMPUTED_VALUE"""),56.0)</f>
        <v/>
      </c>
      <c r="C89" s="75">
        <f>IFERROR(__xludf.DUMMYFUNCTION("""COMPUTED_VALUE"""),60.0)</f>
        <v/>
      </c>
      <c r="D89" s="75">
        <f>IFERROR(__xludf.DUMMYFUNCTION("""COMPUTED_VALUE"""),"USD")</f>
        <v/>
      </c>
      <c r="E89" s="75">
        <f>IFERROR(__xludf.DUMMYFUNCTION("""COMPUTED_VALUE"""),"Efectivo USD")</f>
        <v/>
      </c>
      <c r="F89" s="75">
        <f>IFERROR(__xludf.DUMMYFUNCTION("""COMPUTED_VALUE"""),"Motolavado Yahir")</f>
        <v/>
      </c>
      <c r="G89" s="75" t="n"/>
      <c r="H89" s="76">
        <f>IFERROR(__xludf.DUMMYFUNCTION("""COMPUTED_VALUE"""),476.4342)</f>
        <v/>
      </c>
      <c r="I89" s="75" t="n"/>
      <c r="J89" s="77">
        <f>IFERROR(__xludf.DUMMYFUNCTION("""COMPUTED_VALUE"""),60.0)</f>
        <v/>
      </c>
      <c r="K89" s="4">
        <f>IFERROR(__xludf.DUMMYFUNCTION("""COMPUTED_VALUE"""),60.0)</f>
        <v/>
      </c>
      <c r="L89" s="77">
        <f>IFERROR(__xludf.DUMMYFUNCTION("""COMPUTED_VALUE"""),60.0)</f>
        <v/>
      </c>
      <c r="O89" s="72" t="n"/>
      <c r="S89" s="4" t="n"/>
    </row>
    <row r="90">
      <c r="A90" s="74">
        <f>IFERROR(__xludf.DUMMYFUNCTION("""COMPUTED_VALUE"""),46122.0)</f>
        <v/>
      </c>
      <c r="B90" s="72">
        <f>IFERROR(__xludf.DUMMYFUNCTION("""COMPUTED_VALUE"""),64.0)</f>
        <v/>
      </c>
      <c r="C90" s="75">
        <f>IFERROR(__xludf.DUMMYFUNCTION("""COMPUTED_VALUE"""),24860.48)</f>
        <v/>
      </c>
      <c r="D90" s="75">
        <f>IFERROR(__xludf.DUMMYFUNCTION("""COMPUTED_VALUE"""),"VES")</f>
        <v/>
      </c>
      <c r="E90" s="75">
        <f>IFERROR(__xludf.DUMMYFUNCTION("""COMPUTED_VALUE"""),"Bancamiga")</f>
        <v/>
      </c>
      <c r="F90" s="75">
        <f>IFERROR(__xludf.DUMMYFUNCTION("""COMPUTED_VALUE"""),"VAL VAL 16 C.A")</f>
        <v/>
      </c>
      <c r="G90" s="75" t="n"/>
      <c r="H90" s="76">
        <f>IFERROR(__xludf.DUMMYFUNCTION("""COMPUTED_VALUE"""),476.4342)</f>
        <v/>
      </c>
      <c r="I90" s="75" t="n"/>
      <c r="J90" s="77">
        <f>IFERROR(__xludf.DUMMYFUNCTION("""COMPUTED_VALUE"""),52.18030107830211)</f>
        <v/>
      </c>
      <c r="K90" s="4">
        <f>IFERROR(__xludf.DUMMYFUNCTION("""COMPUTED_VALUE"""),0.0)</f>
        <v/>
      </c>
      <c r="L90" s="77">
        <f>IFERROR(__xludf.DUMMYFUNCTION("""COMPUTED_VALUE"""),52.18030107830211)</f>
        <v/>
      </c>
      <c r="O90" s="72" t="n"/>
      <c r="S90" s="4" t="n"/>
    </row>
    <row r="91">
      <c r="A91" s="74">
        <f>IFERROR(__xludf.DUMMYFUNCTION("""COMPUTED_VALUE"""),46122.0)</f>
        <v/>
      </c>
      <c r="B91" s="72">
        <f>IFERROR(__xludf.DUMMYFUNCTION("""COMPUTED_VALUE"""),64.0)</f>
        <v/>
      </c>
      <c r="C91" s="75">
        <f>IFERROR(__xludf.DUMMYFUNCTION("""COMPUTED_VALUE"""),56890.75)</f>
        <v/>
      </c>
      <c r="D91" s="75">
        <f>IFERROR(__xludf.DUMMYFUNCTION("""COMPUTED_VALUE"""),"VES")</f>
        <v/>
      </c>
      <c r="E91" s="75">
        <f>IFERROR(__xludf.DUMMYFUNCTION("""COMPUTED_VALUE"""),"Bancamiga")</f>
        <v/>
      </c>
      <c r="F91" s="75">
        <f>IFERROR(__xludf.DUMMYFUNCTION("""COMPUTED_VALUE"""),"VAL VAL 16 C.A")</f>
        <v/>
      </c>
      <c r="G91" s="75" t="n"/>
      <c r="H91" s="76">
        <f>IFERROR(__xludf.DUMMYFUNCTION("""COMPUTED_VALUE"""),476.4342)</f>
        <v/>
      </c>
      <c r="I91" s="75" t="n"/>
      <c r="J91" s="77">
        <f>IFERROR(__xludf.DUMMYFUNCTION("""COMPUTED_VALUE"""),119.409458850771)</f>
        <v/>
      </c>
      <c r="K91" s="4">
        <f>IFERROR(__xludf.DUMMYFUNCTION("""COMPUTED_VALUE"""),0.0)</f>
        <v/>
      </c>
      <c r="L91" s="77">
        <f>IFERROR(__xludf.DUMMYFUNCTION("""COMPUTED_VALUE"""),119.409458850771)</f>
        <v/>
      </c>
      <c r="O91" s="72" t="n"/>
      <c r="S91" s="4" t="n"/>
    </row>
    <row r="92">
      <c r="A92" s="74">
        <f>IFERROR(__xludf.DUMMYFUNCTION("""COMPUTED_VALUE"""),46122.0)</f>
        <v/>
      </c>
      <c r="B92" s="72">
        <f>IFERROR(__xludf.DUMMYFUNCTION("""COMPUTED_VALUE"""),94.0)</f>
        <v/>
      </c>
      <c r="C92" s="75">
        <f>IFERROR(__xludf.DUMMYFUNCTION("""COMPUTED_VALUE"""),7020.0)</f>
        <v/>
      </c>
      <c r="D92" s="75">
        <f>IFERROR(__xludf.DUMMYFUNCTION("""COMPUTED_VALUE"""),"VES")</f>
        <v/>
      </c>
      <c r="E92" s="75">
        <f>IFERROR(__xludf.DUMMYFUNCTION("""COMPUTED_VALUE"""),"Bancamiga")</f>
        <v/>
      </c>
      <c r="F92" s="75">
        <f>IFERROR(__xludf.DUMMYFUNCTION("""COMPUTED_VALUE"""),"Moto repuestos jj")</f>
        <v/>
      </c>
      <c r="G92" s="75" t="n"/>
      <c r="H92" s="76">
        <f>IFERROR(__xludf.DUMMYFUNCTION("""COMPUTED_VALUE"""),476.4342)</f>
        <v/>
      </c>
      <c r="I92" s="75" t="n"/>
      <c r="J92" s="77">
        <f>IFERROR(__xludf.DUMMYFUNCTION("""COMPUTED_VALUE"""),14.73445860939454)</f>
        <v/>
      </c>
      <c r="K92" s="4">
        <f>IFERROR(__xludf.DUMMYFUNCTION("""COMPUTED_VALUE"""),0.0)</f>
        <v/>
      </c>
      <c r="L92" s="77">
        <f>IFERROR(__xludf.DUMMYFUNCTION("""COMPUTED_VALUE"""),14.73445860939454)</f>
        <v/>
      </c>
      <c r="O92" s="72" t="n"/>
      <c r="S92" s="4" t="n"/>
    </row>
    <row r="93">
      <c r="A93" s="74">
        <f>IFERROR(__xludf.DUMMYFUNCTION("""COMPUTED_VALUE"""),46122.0)</f>
        <v/>
      </c>
      <c r="B93" s="72">
        <f>IFERROR(__xludf.DUMMYFUNCTION("""COMPUTED_VALUE"""),183.0)</f>
        <v/>
      </c>
      <c r="C93" s="75">
        <f>IFERROR(__xludf.DUMMYFUNCTION("""COMPUTED_VALUE"""),560948.68)</f>
        <v/>
      </c>
      <c r="D93" s="75">
        <f>IFERROR(__xludf.DUMMYFUNCTION("""COMPUTED_VALUE"""),"VES")</f>
        <v/>
      </c>
      <c r="E93" s="75">
        <f>IFERROR(__xludf.DUMMYFUNCTION("""COMPUTED_VALUE"""),"Bancamiga")</f>
        <v/>
      </c>
      <c r="F93" s="75">
        <f>IFERROR(__xludf.DUMMYFUNCTION("""COMPUTED_VALUE"""),"AREA58 2022, C.A.")</f>
        <v/>
      </c>
      <c r="G93" s="75" t="n"/>
      <c r="H93" s="76">
        <f>IFERROR(__xludf.DUMMYFUNCTION("""COMPUTED_VALUE"""),476.4342)</f>
        <v/>
      </c>
      <c r="I93" s="75" t="n"/>
      <c r="J93" s="77">
        <f>IFERROR(__xludf.DUMMYFUNCTION("""COMPUTED_VALUE"""),1177.3896164465104)</f>
        <v/>
      </c>
      <c r="K93" s="4">
        <f>IFERROR(__xludf.DUMMYFUNCTION("""COMPUTED_VALUE"""),0.0)</f>
        <v/>
      </c>
      <c r="L93" s="77">
        <f>IFERROR(__xludf.DUMMYFUNCTION("""COMPUTED_VALUE"""),1177.3896164465104)</f>
        <v/>
      </c>
      <c r="O93" s="72" t="n"/>
      <c r="S93" s="4" t="n"/>
    </row>
    <row r="94">
      <c r="A94" s="74">
        <f>IFERROR(__xludf.DUMMYFUNCTION("""COMPUTED_VALUE"""),46125.0)</f>
        <v/>
      </c>
      <c r="B94" s="72">
        <f>IFERROR(__xludf.DUMMYFUNCTION("""COMPUTED_VALUE"""),206.0)</f>
        <v/>
      </c>
      <c r="C94" s="75">
        <f>IFERROR(__xludf.DUMMYFUNCTION("""COMPUTED_VALUE"""),197.0)</f>
        <v/>
      </c>
      <c r="D94" s="75">
        <f>IFERROR(__xludf.DUMMYFUNCTION("""COMPUTED_VALUE"""),"USD")</f>
        <v/>
      </c>
      <c r="E94" s="75">
        <f>IFERROR(__xludf.DUMMYFUNCTION("""COMPUTED_VALUE"""),"Efectivo USD")</f>
        <v/>
      </c>
      <c r="F94" s="75">
        <f>IFERROR(__xludf.DUMMYFUNCTION("""COMPUTED_VALUE"""),"Paola M. Aguilera Z.")</f>
        <v/>
      </c>
      <c r="G94" s="75" t="n"/>
      <c r="H94" s="76">
        <f>IFERROR(__xludf.DUMMYFUNCTION("""COMPUTED_VALUE"""),477.1488)</f>
        <v/>
      </c>
      <c r="I94" s="75" t="n"/>
      <c r="J94" s="77">
        <f>IFERROR(__xludf.DUMMYFUNCTION("""COMPUTED_VALUE"""),197.0)</f>
        <v/>
      </c>
      <c r="K94" s="4">
        <f>IFERROR(__xludf.DUMMYFUNCTION("""COMPUTED_VALUE"""),197.0)</f>
        <v/>
      </c>
      <c r="L94" s="77">
        <f>IFERROR(__xludf.DUMMYFUNCTION("""COMPUTED_VALUE"""),197.0)</f>
        <v/>
      </c>
      <c r="O94" s="72" t="n"/>
      <c r="S94" s="4" t="n"/>
    </row>
    <row r="95">
      <c r="A95" s="74">
        <f>IFERROR(__xludf.DUMMYFUNCTION("""COMPUTED_VALUE"""),46125.0)</f>
        <v/>
      </c>
      <c r="B95" s="72">
        <f>IFERROR(__xludf.DUMMYFUNCTION("""COMPUTED_VALUE"""),82.0)</f>
        <v/>
      </c>
      <c r="C95" s="75">
        <f>IFERROR(__xludf.DUMMYFUNCTION("""COMPUTED_VALUE"""),300.0)</f>
        <v/>
      </c>
      <c r="D95" s="75">
        <f>IFERROR(__xludf.DUMMYFUNCTION("""COMPUTED_VALUE"""),"USD")</f>
        <v/>
      </c>
      <c r="E95" s="75">
        <f>IFERROR(__xludf.DUMMYFUNCTION("""COMPUTED_VALUE"""),"Efectivo USD")</f>
        <v/>
      </c>
      <c r="F95" s="75">
        <f>IFERROR(__xludf.DUMMYFUNCTION("""COMPUTED_VALUE"""),"Pedro Castro")</f>
        <v/>
      </c>
      <c r="G95" s="75" t="n"/>
      <c r="H95" s="76">
        <f>IFERROR(__xludf.DUMMYFUNCTION("""COMPUTED_VALUE"""),477.1488)</f>
        <v/>
      </c>
      <c r="I95" s="75" t="n"/>
      <c r="J95" s="77">
        <f>IFERROR(__xludf.DUMMYFUNCTION("""COMPUTED_VALUE"""),300.0)</f>
        <v/>
      </c>
      <c r="K95" s="4">
        <f>IFERROR(__xludf.DUMMYFUNCTION("""COMPUTED_VALUE"""),300.0)</f>
        <v/>
      </c>
      <c r="L95" s="77">
        <f>IFERROR(__xludf.DUMMYFUNCTION("""COMPUTED_VALUE"""),300.0)</f>
        <v/>
      </c>
      <c r="O95" s="72" t="n"/>
      <c r="S95" s="4" t="n"/>
    </row>
    <row r="96">
      <c r="A96" s="74">
        <f>IFERROR(__xludf.DUMMYFUNCTION("""COMPUTED_VALUE"""),46125.0)</f>
        <v/>
      </c>
      <c r="B96" s="72">
        <f>IFERROR(__xludf.DUMMYFUNCTION("""COMPUTED_VALUE"""),101.0)</f>
        <v/>
      </c>
      <c r="C96" s="75">
        <f>IFERROR(__xludf.DUMMYFUNCTION("""COMPUTED_VALUE"""),60.0)</f>
        <v/>
      </c>
      <c r="D96" s="75">
        <f>IFERROR(__xludf.DUMMYFUNCTION("""COMPUTED_VALUE"""),"USD")</f>
        <v/>
      </c>
      <c r="E96" s="75">
        <f>IFERROR(__xludf.DUMMYFUNCTION("""COMPUTED_VALUE"""),"Efectivo USD")</f>
        <v/>
      </c>
      <c r="F96" s="75">
        <f>IFERROR(__xludf.DUMMYFUNCTION("""COMPUTED_VALUE"""),"INVERSIONES JOSCAR XXI, S.A.")</f>
        <v/>
      </c>
      <c r="G96" s="75" t="n"/>
      <c r="H96" s="76">
        <f>IFERROR(__xludf.DUMMYFUNCTION("""COMPUTED_VALUE"""),477.1488)</f>
        <v/>
      </c>
      <c r="I96" s="75" t="n"/>
      <c r="J96" s="77">
        <f>IFERROR(__xludf.DUMMYFUNCTION("""COMPUTED_VALUE"""),60.0)</f>
        <v/>
      </c>
      <c r="K96" s="4">
        <f>IFERROR(__xludf.DUMMYFUNCTION("""COMPUTED_VALUE"""),60.0)</f>
        <v/>
      </c>
      <c r="L96" s="77">
        <f>IFERROR(__xludf.DUMMYFUNCTION("""COMPUTED_VALUE"""),60.0)</f>
        <v/>
      </c>
      <c r="O96" s="72" t="n"/>
      <c r="S96" s="4" t="n"/>
    </row>
    <row r="97">
      <c r="A97" s="74">
        <f>IFERROR(__xludf.DUMMYFUNCTION("""COMPUTED_VALUE"""),46125.0)</f>
        <v/>
      </c>
      <c r="B97" s="72">
        <f>IFERROR(__xludf.DUMMYFUNCTION("""COMPUTED_VALUE"""),83.0)</f>
        <v/>
      </c>
      <c r="C97" s="75">
        <f>IFERROR(__xludf.DUMMYFUNCTION("""COMPUTED_VALUE"""),42880.0)</f>
        <v/>
      </c>
      <c r="D97" s="75">
        <f>IFERROR(__xludf.DUMMYFUNCTION("""COMPUTED_VALUE"""),"VES")</f>
        <v/>
      </c>
      <c r="E97" s="75">
        <f>IFERROR(__xludf.DUMMYFUNCTION("""COMPUTED_VALUE"""),"Bancamiga")</f>
        <v/>
      </c>
      <c r="F97" s="75">
        <f>IFERROR(__xludf.DUMMYFUNCTION("""COMPUTED_VALUE"""),"Inversiones Famasa, C.A")</f>
        <v/>
      </c>
      <c r="G97" s="75" t="n"/>
      <c r="H97" s="76">
        <f>IFERROR(__xludf.DUMMYFUNCTION("""COMPUTED_VALUE"""),477.1488)</f>
        <v/>
      </c>
      <c r="I97" s="75" t="n"/>
      <c r="J97" s="77">
        <f>IFERROR(__xludf.DUMMYFUNCTION("""COMPUTED_VALUE"""),89.86714416970136)</f>
        <v/>
      </c>
      <c r="K97" s="4">
        <f>IFERROR(__xludf.DUMMYFUNCTION("""COMPUTED_VALUE"""),0.0)</f>
        <v/>
      </c>
      <c r="L97" s="77">
        <f>IFERROR(__xludf.DUMMYFUNCTION("""COMPUTED_VALUE"""),89.86714416970136)</f>
        <v/>
      </c>
      <c r="O97" s="72" t="n"/>
      <c r="S97" s="4" t="n"/>
    </row>
    <row r="98">
      <c r="A98" s="74">
        <f>IFERROR(__xludf.DUMMYFUNCTION("""COMPUTED_VALUE"""),46125.0)</f>
        <v/>
      </c>
      <c r="B98" s="72">
        <f>IFERROR(__xludf.DUMMYFUNCTION("""COMPUTED_VALUE"""),84.0)</f>
        <v/>
      </c>
      <c r="C98" s="75">
        <f>IFERROR(__xludf.DUMMYFUNCTION("""COMPUTED_VALUE"""),27712.8)</f>
        <v/>
      </c>
      <c r="D98" s="75">
        <f>IFERROR(__xludf.DUMMYFUNCTION("""COMPUTED_VALUE"""),"VES")</f>
        <v/>
      </c>
      <c r="E98" s="75">
        <f>IFERROR(__xludf.DUMMYFUNCTION("""COMPUTED_VALUE"""),"Bancamiga")</f>
        <v/>
      </c>
      <c r="F98" s="75">
        <f>IFERROR(__xludf.DUMMYFUNCTION("""COMPUTED_VALUE"""),"Inversiones maxgad &amp; ef")</f>
        <v/>
      </c>
      <c r="G98" s="75" t="n"/>
      <c r="H98" s="76">
        <f>IFERROR(__xludf.DUMMYFUNCTION("""COMPUTED_VALUE"""),477.1488)</f>
        <v/>
      </c>
      <c r="I98" s="75" t="n"/>
      <c r="J98" s="77">
        <f>IFERROR(__xludf.DUMMYFUNCTION("""COMPUTED_VALUE"""),58.07999517131763)</f>
        <v/>
      </c>
      <c r="K98" s="4">
        <f>IFERROR(__xludf.DUMMYFUNCTION("""COMPUTED_VALUE"""),0.0)</f>
        <v/>
      </c>
      <c r="L98" s="77">
        <f>IFERROR(__xludf.DUMMYFUNCTION("""COMPUTED_VALUE"""),58.07999517131763)</f>
        <v/>
      </c>
      <c r="O98" s="72" t="n"/>
      <c r="S98" s="4" t="n"/>
    </row>
    <row r="99">
      <c r="A99" s="74">
        <f>IFERROR(__xludf.DUMMYFUNCTION("""COMPUTED_VALUE"""),46125.0)</f>
        <v/>
      </c>
      <c r="B99" s="72">
        <f>IFERROR(__xludf.DUMMYFUNCTION("""COMPUTED_VALUE"""),72.0)</f>
        <v/>
      </c>
      <c r="C99" s="75">
        <f>IFERROR(__xludf.DUMMYFUNCTION("""COMPUTED_VALUE"""),44031.13)</f>
        <v/>
      </c>
      <c r="D99" s="75">
        <f>IFERROR(__xludf.DUMMYFUNCTION("""COMPUTED_VALUE"""),"VES")</f>
        <v/>
      </c>
      <c r="E99" s="75">
        <f>IFERROR(__xludf.DUMMYFUNCTION("""COMPUTED_VALUE"""),"Bancamiga")</f>
        <v/>
      </c>
      <c r="F99" s="75">
        <f>IFERROR(__xludf.DUMMYFUNCTION("""COMPUTED_VALUE"""),"DISTRIBUIDORA PINOS 181297 C.A")</f>
        <v/>
      </c>
      <c r="G99" s="75" t="n"/>
      <c r="H99" s="76">
        <f>IFERROR(__xludf.DUMMYFUNCTION("""COMPUTED_VALUE"""),477.1488)</f>
        <v/>
      </c>
      <c r="I99" s="75" t="n"/>
      <c r="J99" s="77">
        <f>IFERROR(__xludf.DUMMYFUNCTION("""COMPUTED_VALUE"""),92.27966202576638)</f>
        <v/>
      </c>
      <c r="K99" s="4">
        <f>IFERROR(__xludf.DUMMYFUNCTION("""COMPUTED_VALUE"""),0.0)</f>
        <v/>
      </c>
      <c r="L99" s="77">
        <f>IFERROR(__xludf.DUMMYFUNCTION("""COMPUTED_VALUE"""),92.27966202576638)</f>
        <v/>
      </c>
      <c r="O99" s="72" t="n"/>
      <c r="S99" s="4" t="n"/>
    </row>
    <row r="100">
      <c r="A100" s="74">
        <f>IFERROR(__xludf.DUMMYFUNCTION("""COMPUTED_VALUE"""),46125.0)</f>
        <v/>
      </c>
      <c r="B100" s="72">
        <f>IFERROR(__xludf.DUMMYFUNCTION("""COMPUTED_VALUE"""),106.0)</f>
        <v/>
      </c>
      <c r="C100" s="75">
        <f>IFERROR(__xludf.DUMMYFUNCTION("""COMPUTED_VALUE"""),239762.85)</f>
        <v/>
      </c>
      <c r="D100" s="75">
        <f>IFERROR(__xludf.DUMMYFUNCTION("""COMPUTED_VALUE"""),"VES")</f>
        <v/>
      </c>
      <c r="E100" s="75">
        <f>IFERROR(__xludf.DUMMYFUNCTION("""COMPUTED_VALUE"""),"Bancamiga")</f>
        <v/>
      </c>
      <c r="F100" s="75">
        <f>IFERROR(__xludf.DUMMYFUNCTION("""COMPUTED_VALUE"""),"E&amp;M CAR SHOP C.A")</f>
        <v/>
      </c>
      <c r="G100" s="75" t="n"/>
      <c r="H100" s="76">
        <f>IFERROR(__xludf.DUMMYFUNCTION("""COMPUTED_VALUE"""),477.1488)</f>
        <v/>
      </c>
      <c r="I100" s="75" t="n"/>
      <c r="J100" s="77">
        <f>IFERROR(__xludf.DUMMYFUNCTION("""COMPUTED_VALUE"""),502.4907324507575)</f>
        <v/>
      </c>
      <c r="K100" s="4">
        <f>IFERROR(__xludf.DUMMYFUNCTION("""COMPUTED_VALUE"""),0.0)</f>
        <v/>
      </c>
      <c r="L100" s="77">
        <f>IFERROR(__xludf.DUMMYFUNCTION("""COMPUTED_VALUE"""),502.4907324507575)</f>
        <v/>
      </c>
      <c r="O100" s="72" t="n"/>
      <c r="S100" s="4" t="n"/>
    </row>
    <row r="101">
      <c r="A101" s="74">
        <f>IFERROR(__xludf.DUMMYFUNCTION("""COMPUTED_VALUE"""),46126.0)</f>
        <v/>
      </c>
      <c r="B101" s="72">
        <f>IFERROR(__xludf.DUMMYFUNCTION("""COMPUTED_VALUE"""),104.0)</f>
        <v/>
      </c>
      <c r="C101" s="75">
        <f>IFERROR(__xludf.DUMMYFUNCTION("""COMPUTED_VALUE"""),30.0)</f>
        <v/>
      </c>
      <c r="D101" s="75">
        <f>IFERROR(__xludf.DUMMYFUNCTION("""COMPUTED_VALUE"""),"USD")</f>
        <v/>
      </c>
      <c r="E101" s="75">
        <f>IFERROR(__xludf.DUMMYFUNCTION("""COMPUTED_VALUE"""),"Efectivo USD")</f>
        <v/>
      </c>
      <c r="F101" s="75">
        <f>IFERROR(__xludf.DUMMYFUNCTION("""COMPUTED_VALUE"""),"Inversiones Brayan CT C.A")</f>
        <v/>
      </c>
      <c r="G101" s="75" t="n"/>
      <c r="H101" s="76">
        <f>IFERROR(__xludf.DUMMYFUNCTION("""COMPUTED_VALUE"""),477.6259)</f>
        <v/>
      </c>
      <c r="I101" s="75" t="n"/>
      <c r="J101" s="77">
        <f>IFERROR(__xludf.DUMMYFUNCTION("""COMPUTED_VALUE"""),30.0)</f>
        <v/>
      </c>
      <c r="K101" s="4">
        <f>IFERROR(__xludf.DUMMYFUNCTION("""COMPUTED_VALUE"""),30.0)</f>
        <v/>
      </c>
      <c r="L101" s="77">
        <f>IFERROR(__xludf.DUMMYFUNCTION("""COMPUTED_VALUE"""),30.0)</f>
        <v/>
      </c>
      <c r="O101" s="72" t="n"/>
      <c r="S101" s="4" t="n"/>
    </row>
    <row r="102">
      <c r="A102" s="74">
        <f>IFERROR(__xludf.DUMMYFUNCTION("""COMPUTED_VALUE"""),46126.0)</f>
        <v/>
      </c>
      <c r="B102" s="72">
        <f>IFERROR(__xludf.DUMMYFUNCTION("""COMPUTED_VALUE"""),18.0)</f>
        <v/>
      </c>
      <c r="C102" s="75">
        <f>IFERROR(__xludf.DUMMYFUNCTION("""COMPUTED_VALUE"""),46.0)</f>
        <v/>
      </c>
      <c r="D102" s="75">
        <f>IFERROR(__xludf.DUMMYFUNCTION("""COMPUTED_VALUE"""),"USD")</f>
        <v/>
      </c>
      <c r="E102" s="75">
        <f>IFERROR(__xludf.DUMMYFUNCTION("""COMPUTED_VALUE"""),"Efectivo USD")</f>
        <v/>
      </c>
      <c r="F102" s="75">
        <f>IFERROR(__xludf.DUMMYFUNCTION("""COMPUTED_VALUE"""),"AUTO ACCESORIOS VZLA, C.A.")</f>
        <v/>
      </c>
      <c r="G102" s="75" t="n"/>
      <c r="H102" s="76">
        <f>IFERROR(__xludf.DUMMYFUNCTION("""COMPUTED_VALUE"""),477.6259)</f>
        <v/>
      </c>
      <c r="I102" s="75" t="n"/>
      <c r="J102" s="77">
        <f>IFERROR(__xludf.DUMMYFUNCTION("""COMPUTED_VALUE"""),46.0)</f>
        <v/>
      </c>
      <c r="K102" s="4">
        <f>IFERROR(__xludf.DUMMYFUNCTION("""COMPUTED_VALUE"""),46.0)</f>
        <v/>
      </c>
      <c r="L102" s="77">
        <f>IFERROR(__xludf.DUMMYFUNCTION("""COMPUTED_VALUE"""),46.0)</f>
        <v/>
      </c>
      <c r="O102" s="72" t="n"/>
      <c r="S102" s="4" t="n"/>
    </row>
    <row r="103">
      <c r="A103" s="74">
        <f>IFERROR(__xludf.DUMMYFUNCTION("""COMPUTED_VALUE"""),46126.0)</f>
        <v/>
      </c>
      <c r="B103" s="72">
        <f>IFERROR(__xludf.DUMMYFUNCTION("""COMPUTED_VALUE"""),105.0)</f>
        <v/>
      </c>
      <c r="C103" s="75">
        <f>IFERROR(__xludf.DUMMYFUNCTION("""COMPUTED_VALUE"""),54000.0)</f>
        <v/>
      </c>
      <c r="D103" s="75">
        <f>IFERROR(__xludf.DUMMYFUNCTION("""COMPUTED_VALUE"""),"VES")</f>
        <v/>
      </c>
      <c r="E103" s="75">
        <f>IFERROR(__xludf.DUMMYFUNCTION("""COMPUTED_VALUE"""),"Bancamiga")</f>
        <v/>
      </c>
      <c r="F103" s="75">
        <f>IFERROR(__xludf.DUMMYFUNCTION("""COMPUTED_VALUE"""),"Ricardo A. Fernandez.")</f>
        <v/>
      </c>
      <c r="G103" s="75" t="n"/>
      <c r="H103" s="76">
        <f>IFERROR(__xludf.DUMMYFUNCTION("""COMPUTED_VALUE"""),477.6259)</f>
        <v/>
      </c>
      <c r="I103" s="75" t="n"/>
      <c r="J103" s="77">
        <f>IFERROR(__xludf.DUMMYFUNCTION("""COMPUTED_VALUE"""),113.05919549170177)</f>
        <v/>
      </c>
      <c r="K103" s="4">
        <f>IFERROR(__xludf.DUMMYFUNCTION("""COMPUTED_VALUE"""),0.0)</f>
        <v/>
      </c>
      <c r="L103" s="77">
        <f>IFERROR(__xludf.DUMMYFUNCTION("""COMPUTED_VALUE"""),113.05919549170177)</f>
        <v/>
      </c>
      <c r="O103" s="72" t="n"/>
      <c r="S103" s="4" t="n"/>
    </row>
    <row r="104">
      <c r="A104" s="74">
        <f>IFERROR(__xludf.DUMMYFUNCTION("""COMPUTED_VALUE"""),46129.0)</f>
        <v/>
      </c>
      <c r="B104" s="72">
        <f>IFERROR(__xludf.DUMMYFUNCTION("""COMPUTED_VALUE"""),239.0)</f>
        <v/>
      </c>
      <c r="C104" s="75">
        <f>IFERROR(__xludf.DUMMYFUNCTION("""COMPUTED_VALUE"""),65.0)</f>
        <v/>
      </c>
      <c r="D104" s="75">
        <f>IFERROR(__xludf.DUMMYFUNCTION("""COMPUTED_VALUE"""),"USD")</f>
        <v/>
      </c>
      <c r="E104" s="75">
        <f>IFERROR(__xludf.DUMMYFUNCTION("""COMPUTED_VALUE"""),"Efectivo USD")</f>
        <v/>
      </c>
      <c r="F104" s="75">
        <f>IFERROR(__xludf.DUMMYFUNCTION("""COMPUTED_VALUE"""),"JONNY DAVID BOLIVAR")</f>
        <v/>
      </c>
      <c r="G104" s="75" t="n"/>
      <c r="H104" s="76">
        <f>IFERROR(__xludf.DUMMYFUNCTION("""COMPUTED_VALUE"""),480.2572)</f>
        <v/>
      </c>
      <c r="I104" s="75" t="n"/>
      <c r="J104" s="77">
        <f>IFERROR(__xludf.DUMMYFUNCTION("""COMPUTED_VALUE"""),65.0)</f>
        <v/>
      </c>
      <c r="K104" s="4">
        <f>IFERROR(__xludf.DUMMYFUNCTION("""COMPUTED_VALUE"""),65.0)</f>
        <v/>
      </c>
      <c r="L104" s="77">
        <f>IFERROR(__xludf.DUMMYFUNCTION("""COMPUTED_VALUE"""),65.0)</f>
        <v/>
      </c>
      <c r="O104" s="72" t="n"/>
      <c r="S104" s="4" t="n"/>
    </row>
    <row r="105">
      <c r="A105" s="74">
        <f>IFERROR(__xludf.DUMMYFUNCTION("""COMPUTED_VALUE"""),46182.0)</f>
        <v/>
      </c>
      <c r="B105" s="72">
        <f>IFERROR(__xludf.DUMMYFUNCTION("""COMPUTED_VALUE"""),357.0)</f>
        <v/>
      </c>
      <c r="C105" s="75">
        <f>IFERROR(__xludf.DUMMYFUNCTION("""COMPUTED_VALUE"""),3457.96)</f>
        <v/>
      </c>
      <c r="D105" s="75">
        <f>IFERROR(__xludf.DUMMYFUNCTION("""COMPUTED_VALUE"""),"USD")</f>
        <v/>
      </c>
      <c r="E105" s="75">
        <f>IFERROR(__xludf.DUMMYFUNCTION("""COMPUTED_VALUE"""),"Conciliacion")</f>
        <v/>
      </c>
      <c r="F105" s="75">
        <f>IFERROR(__xludf.DUMMYFUNCTION("""COMPUTED_VALUE"""),"AGROPECUARIA LECHE Y MIEL, C.A")</f>
        <v/>
      </c>
      <c r="G105" s="76">
        <f>IFERROR(__xludf.DUMMYFUNCTION("""COMPUTED_VALUE"""),"Marco Romero")</f>
        <v/>
      </c>
      <c r="H105" s="76">
        <f>IFERROR(__xludf.DUMMYFUNCTION("""COMPUTED_VALUE"""),567.6828)</f>
        <v/>
      </c>
      <c r="I105" s="75" t="n"/>
      <c r="J105" s="77">
        <f>IFERROR(__xludf.DUMMYFUNCTION("""COMPUTED_VALUE"""),3457.96)</f>
        <v/>
      </c>
      <c r="K105" s="4">
        <f>IFERROR(__xludf.DUMMYFUNCTION("""COMPUTED_VALUE"""),3457.96)</f>
        <v/>
      </c>
      <c r="L105" s="77">
        <f>IFERROR(__xludf.DUMMYFUNCTION("""COMPUTED_VALUE"""),3457.96)</f>
        <v/>
      </c>
      <c r="O105" s="72" t="n"/>
      <c r="S105" s="4" t="n"/>
    </row>
    <row r="106">
      <c r="A106" s="74">
        <f>IFERROR(__xludf.DUMMYFUNCTION("""COMPUTED_VALUE"""),46182.0)</f>
        <v/>
      </c>
      <c r="B106" s="72">
        <f>IFERROR(__xludf.DUMMYFUNCTION("""COMPUTED_VALUE"""),328.0)</f>
        <v/>
      </c>
      <c r="C106" s="75">
        <f>IFERROR(__xludf.DUMMYFUNCTION("""COMPUTED_VALUE"""),6802.37)</f>
        <v/>
      </c>
      <c r="D106" s="75">
        <f>IFERROR(__xludf.DUMMYFUNCTION("""COMPUTED_VALUE"""),"USD")</f>
        <v/>
      </c>
      <c r="E106" s="75">
        <f>IFERROR(__xludf.DUMMYFUNCTION("""COMPUTED_VALUE"""),"Conciliacion")</f>
        <v/>
      </c>
      <c r="F106" s="75">
        <f>IFERROR(__xludf.DUMMYFUNCTION("""COMPUTED_VALUE"""),"AGROPECUARIA LECHE Y MIEL, C.A")</f>
        <v/>
      </c>
      <c r="G106" s="76">
        <f>IFERROR(__xludf.DUMMYFUNCTION("""COMPUTED_VALUE"""),"Marco Romero")</f>
        <v/>
      </c>
      <c r="H106" s="76">
        <f>IFERROR(__xludf.DUMMYFUNCTION("""COMPUTED_VALUE"""),567.6828)</f>
        <v/>
      </c>
      <c r="I106" s="75" t="n"/>
      <c r="J106" s="77">
        <f>IFERROR(__xludf.DUMMYFUNCTION("""COMPUTED_VALUE"""),6802.37)</f>
        <v/>
      </c>
      <c r="K106" s="4">
        <f>IFERROR(__xludf.DUMMYFUNCTION("""COMPUTED_VALUE"""),6802.37)</f>
        <v/>
      </c>
      <c r="L106" s="77">
        <f>IFERROR(__xludf.DUMMYFUNCTION("""COMPUTED_VALUE"""),6802.37)</f>
        <v/>
      </c>
      <c r="O106" s="72" t="n"/>
      <c r="S106" s="4" t="n"/>
    </row>
    <row r="107">
      <c r="A107" s="74">
        <f>IFERROR(__xludf.DUMMYFUNCTION("""COMPUTED_VALUE"""),46122.0)</f>
        <v/>
      </c>
      <c r="B107" s="72">
        <f>IFERROR(__xludf.DUMMYFUNCTION("""COMPUTED_VALUE"""),63.0)</f>
        <v/>
      </c>
      <c r="C107" s="75">
        <f>IFERROR(__xludf.DUMMYFUNCTION("""COMPUTED_VALUE"""),40080.0)</f>
        <v/>
      </c>
      <c r="D107" s="75">
        <f>IFERROR(__xludf.DUMMYFUNCTION("""COMPUTED_VALUE"""),"VES")</f>
        <v/>
      </c>
      <c r="E107" s="75">
        <f>IFERROR(__xludf.DUMMYFUNCTION("""COMPUTED_VALUE"""),"Bancamiga")</f>
        <v/>
      </c>
      <c r="F107" s="75">
        <f>IFERROR(__xludf.DUMMYFUNCTION("""COMPUTED_VALUE"""),"TorniRepuesto BA 2015, C.A")</f>
        <v/>
      </c>
      <c r="G107" s="75" t="n"/>
      <c r="H107" s="76">
        <f>IFERROR(__xludf.DUMMYFUNCTION("""COMPUTED_VALUE"""),476.4342)</f>
        <v/>
      </c>
      <c r="I107" s="75" t="n"/>
      <c r="J107" s="77">
        <f>IFERROR(__xludf.DUMMYFUNCTION("""COMPUTED_VALUE"""),84.12494317158593)</f>
        <v/>
      </c>
      <c r="K107" s="4">
        <f>IFERROR(__xludf.DUMMYFUNCTION("""COMPUTED_VALUE"""),0.0)</f>
        <v/>
      </c>
      <c r="L107" s="77">
        <f>IFERROR(__xludf.DUMMYFUNCTION("""COMPUTED_VALUE"""),84.12494317158593)</f>
        <v/>
      </c>
      <c r="O107" s="72" t="n"/>
      <c r="S107" s="4" t="n"/>
    </row>
    <row r="108">
      <c r="A108" s="74">
        <f>IFERROR(__xludf.DUMMYFUNCTION("""COMPUTED_VALUE"""),46121.0)</f>
        <v/>
      </c>
      <c r="B108" s="72">
        <f>IFERROR(__xludf.DUMMYFUNCTION("""COMPUTED_VALUE"""),176.0)</f>
        <v/>
      </c>
      <c r="C108" s="75">
        <f>IFERROR(__xludf.DUMMYFUNCTION("""COMPUTED_VALUE"""),1430.0)</f>
        <v/>
      </c>
      <c r="D108" s="75">
        <f>IFERROR(__xludf.DUMMYFUNCTION("""COMPUTED_VALUE"""),"VES")</f>
        <v/>
      </c>
      <c r="E108" s="75">
        <f>IFERROR(__xludf.DUMMYFUNCTION("""COMPUTED_VALUE"""),"Bancamiga")</f>
        <v/>
      </c>
      <c r="F108" s="75">
        <f>IFERROR(__xludf.DUMMYFUNCTION("""COMPUTED_VALUE"""),"Jose Angel Gutierrez Rodriguez")</f>
        <v/>
      </c>
      <c r="G108" s="75" t="n"/>
      <c r="H108" s="76">
        <f>IFERROR(__xludf.DUMMYFUNCTION("""COMPUTED_VALUE"""),475.9583)</f>
        <v/>
      </c>
      <c r="I108" s="75" t="n"/>
      <c r="J108" s="77">
        <f>IFERROR(__xludf.DUMMYFUNCTION("""COMPUTED_VALUE"""),3.0044648869449277)</f>
        <v/>
      </c>
      <c r="K108" s="4">
        <f>IFERROR(__xludf.DUMMYFUNCTION("""COMPUTED_VALUE"""),0.0)</f>
        <v/>
      </c>
      <c r="L108" s="77">
        <f>IFERROR(__xludf.DUMMYFUNCTION("""COMPUTED_VALUE"""),3.0044648869449277)</f>
        <v/>
      </c>
      <c r="O108" s="72" t="n"/>
      <c r="S108" s="4" t="n"/>
    </row>
    <row r="109">
      <c r="A109" s="74">
        <f>IFERROR(__xludf.DUMMYFUNCTION("""COMPUTED_VALUE"""),46147.0)</f>
        <v/>
      </c>
      <c r="B109" s="72">
        <f>IFERROR(__xludf.DUMMYFUNCTION("""COMPUTED_VALUE"""),321.0)</f>
        <v/>
      </c>
      <c r="C109" s="75">
        <f>IFERROR(__xludf.DUMMYFUNCTION("""COMPUTED_VALUE"""),71624.25)</f>
        <v/>
      </c>
      <c r="D109" s="75">
        <f>IFERROR(__xludf.DUMMYFUNCTION("""COMPUTED_VALUE"""),"VES")</f>
        <v/>
      </c>
      <c r="E109" s="75">
        <f>IFERROR(__xludf.DUMMYFUNCTION("""COMPUTED_VALUE"""),"Venezuela")</f>
        <v/>
      </c>
      <c r="F109" s="75">
        <f>IFERROR(__xludf.DUMMYFUNCTION("""COMPUTED_VALUE"""),"Angel Leon Galarraga")</f>
        <v/>
      </c>
      <c r="G109" s="76">
        <f>IFERROR(__xludf.DUMMYFUNCTION("""COMPUTED_VALUE"""),"Anderson Lopez")</f>
        <v/>
      </c>
      <c r="H109" s="76">
        <f>IFERROR(__xludf.DUMMYFUNCTION("""COMPUTED_VALUE"""),490.0442)</f>
        <v/>
      </c>
      <c r="I109" s="75" t="n"/>
      <c r="J109" s="77">
        <f>IFERROR(__xludf.DUMMYFUNCTION("""COMPUTED_VALUE"""),146.1587546592736)</f>
        <v/>
      </c>
      <c r="K109" s="4">
        <f>IFERROR(__xludf.DUMMYFUNCTION("""COMPUTED_VALUE"""),0.0)</f>
        <v/>
      </c>
      <c r="L109" s="77">
        <f>IFERROR(__xludf.DUMMYFUNCTION("""COMPUTED_VALUE"""),146.1587546592736)</f>
        <v/>
      </c>
      <c r="O109" s="72" t="n"/>
      <c r="S109" s="4" t="n"/>
    </row>
    <row r="110">
      <c r="A110" s="74">
        <f>IFERROR(__xludf.DUMMYFUNCTION("""COMPUTED_VALUE"""),46149.0)</f>
        <v/>
      </c>
      <c r="B110" s="72">
        <f>IFERROR(__xludf.DUMMYFUNCTION("""COMPUTED_VALUE"""),337.0)</f>
        <v/>
      </c>
      <c r="C110" s="75">
        <f>IFERROR(__xludf.DUMMYFUNCTION("""COMPUTED_VALUE"""),35.0)</f>
        <v/>
      </c>
      <c r="D110" s="75">
        <f>IFERROR(__xludf.DUMMYFUNCTION("""COMPUTED_VALUE"""),"USD")</f>
        <v/>
      </c>
      <c r="E110" s="75">
        <f>IFERROR(__xludf.DUMMYFUNCTION("""COMPUTED_VALUE"""),"Efectivo USD")</f>
        <v/>
      </c>
      <c r="F110" s="75">
        <f>IFERROR(__xludf.DUMMYFUNCTION("""COMPUTED_VALUE"""),"JOSE RUBIO ESPINEL")</f>
        <v/>
      </c>
      <c r="G110" s="76">
        <f>IFERROR(__xludf.DUMMYFUNCTION("""COMPUTED_VALUE"""),"CASERES GONZALEZ RONALD OSWALDO")</f>
        <v/>
      </c>
      <c r="H110" s="76">
        <f>IFERROR(__xludf.DUMMYFUNCTION("""COMPUTED_VALUE"""),496.8301)</f>
        <v/>
      </c>
      <c r="I110" s="75" t="n"/>
      <c r="J110" s="77">
        <f>IFERROR(__xludf.DUMMYFUNCTION("""COMPUTED_VALUE"""),35.0)</f>
        <v/>
      </c>
      <c r="K110" s="4">
        <f>IFERROR(__xludf.DUMMYFUNCTION("""COMPUTED_VALUE"""),35.0)</f>
        <v/>
      </c>
      <c r="L110" s="77">
        <f>IFERROR(__xludf.DUMMYFUNCTION("""COMPUTED_VALUE"""),35.0)</f>
        <v/>
      </c>
      <c r="O110" s="72" t="n"/>
      <c r="S110" s="4" t="n"/>
    </row>
    <row r="111">
      <c r="A111" s="74">
        <f>IFERROR(__xludf.DUMMYFUNCTION("""COMPUTED_VALUE"""),46157.0)</f>
        <v/>
      </c>
      <c r="B111" s="72">
        <f>IFERROR(__xludf.DUMMYFUNCTION("""COMPUTED_VALUE"""),404.0)</f>
        <v/>
      </c>
      <c r="C111" s="75">
        <f>IFERROR(__xludf.DUMMYFUNCTION("""COMPUTED_VALUE"""),40.0)</f>
        <v/>
      </c>
      <c r="D111" s="75">
        <f>IFERROR(__xludf.DUMMYFUNCTION("""COMPUTED_VALUE"""),"USD")</f>
        <v/>
      </c>
      <c r="E111" s="75">
        <f>IFERROR(__xludf.DUMMYFUNCTION("""COMPUTED_VALUE"""),"Efectivo USD")</f>
        <v/>
      </c>
      <c r="F111" s="75">
        <f>IFERROR(__xludf.DUMMYFUNCTION("""COMPUTED_VALUE"""),"Edgar salas")</f>
        <v/>
      </c>
      <c r="G111" s="76">
        <f>IFERROR(__xludf.DUMMYFUNCTION("""COMPUTED_VALUE"""),"REVERON DE CONTRERAS MELANI AUSMAR")</f>
        <v/>
      </c>
      <c r="H111" s="76">
        <f>IFERROR(__xludf.DUMMYFUNCTION("""COMPUTED_VALUE"""),515.18)</f>
        <v/>
      </c>
      <c r="I111" s="75" t="n"/>
      <c r="J111" s="77">
        <f>IFERROR(__xludf.DUMMYFUNCTION("""COMPUTED_VALUE"""),40.0)</f>
        <v/>
      </c>
      <c r="K111" s="4">
        <f>IFERROR(__xludf.DUMMYFUNCTION("""COMPUTED_VALUE"""),40.0)</f>
        <v/>
      </c>
      <c r="L111" s="77">
        <f>IFERROR(__xludf.DUMMYFUNCTION("""COMPUTED_VALUE"""),40.0)</f>
        <v/>
      </c>
      <c r="O111" s="72" t="n"/>
      <c r="S111" s="4" t="n"/>
    </row>
    <row r="112">
      <c r="A112" s="74">
        <f>IFERROR(__xludf.DUMMYFUNCTION("""COMPUTED_VALUE"""),46164.0)</f>
        <v/>
      </c>
      <c r="B112" s="72">
        <f>IFERROR(__xludf.DUMMYFUNCTION("""COMPUTED_VALUE"""),127.0)</f>
        <v/>
      </c>
      <c r="C112" s="75">
        <f>IFERROR(__xludf.DUMMYFUNCTION("""COMPUTED_VALUE"""),35850.0)</f>
        <v/>
      </c>
      <c r="D112" s="75">
        <f>IFERROR(__xludf.DUMMYFUNCTION("""COMPUTED_VALUE"""),"VES")</f>
        <v/>
      </c>
      <c r="E112" s="75">
        <f>IFERROR(__xludf.DUMMYFUNCTION("""COMPUTED_VALUE"""),"Bancamiga")</f>
        <v/>
      </c>
      <c r="F112" s="75">
        <f>IFERROR(__xludf.DUMMYFUNCTION("""COMPUTED_VALUE"""),"Emprendimiento José Sánchez 203 c.a")</f>
        <v/>
      </c>
      <c r="G112" s="76">
        <f>IFERROR(__xludf.DUMMYFUNCTION("""COMPUTED_VALUE"""),"BETANCOURT ROBRIGUEZ LUIS ENRRIQUE")</f>
        <v/>
      </c>
      <c r="H112" s="76">
        <f>IFERROR(__xludf.DUMMYFUNCTION("""COMPUTED_VALUE"""),526.8694)</f>
        <v/>
      </c>
      <c r="I112" s="75" t="n"/>
      <c r="J112" s="77">
        <f>IFERROR(__xludf.DUMMYFUNCTION("""COMPUTED_VALUE"""),68.04342783999222)</f>
        <v/>
      </c>
      <c r="K112" s="4">
        <f>IFERROR(__xludf.DUMMYFUNCTION("""COMPUTED_VALUE"""),0.0)</f>
        <v/>
      </c>
      <c r="L112" s="77">
        <f>IFERROR(__xludf.DUMMYFUNCTION("""COMPUTED_VALUE"""),68.04342783999222)</f>
        <v/>
      </c>
      <c r="O112" s="72" t="n"/>
      <c r="S112" s="4" t="n"/>
    </row>
    <row r="113">
      <c r="A113" s="74">
        <f>IFERROR(__xludf.DUMMYFUNCTION("""COMPUTED_VALUE"""),46168.0)</f>
        <v/>
      </c>
      <c r="B113" s="72">
        <f>IFERROR(__xludf.DUMMYFUNCTION("""COMPUTED_VALUE"""),447.0)</f>
        <v/>
      </c>
      <c r="C113" s="75">
        <f>IFERROR(__xludf.DUMMYFUNCTION("""COMPUTED_VALUE"""),74776.52)</f>
        <v/>
      </c>
      <c r="D113" s="75">
        <f>IFERROR(__xludf.DUMMYFUNCTION("""COMPUTED_VALUE"""),"VES")</f>
        <v/>
      </c>
      <c r="E113" s="75">
        <f>IFERROR(__xludf.DUMMYFUNCTION("""COMPUTED_VALUE"""),"Bancamiga")</f>
        <v/>
      </c>
      <c r="F113" s="75">
        <f>IFERROR(__xludf.DUMMYFUNCTION("""COMPUTED_VALUE"""),"Inversiones Pronautica, C.A.")</f>
        <v/>
      </c>
      <c r="G113" s="76">
        <f>IFERROR(__xludf.DUMMYFUNCTION("""COMPUTED_VALUE"""),"Marco Romero")</f>
        <v/>
      </c>
      <c r="H113" s="76">
        <f>IFERROR(__xludf.DUMMYFUNCTION("""COMPUTED_VALUE"""),535.3853)</f>
        <v/>
      </c>
      <c r="I113" s="75" t="n"/>
      <c r="J113" s="77">
        <f>IFERROR(__xludf.DUMMYFUNCTION("""COMPUTED_VALUE"""),139.66860875709511)</f>
        <v/>
      </c>
      <c r="K113" s="4">
        <f>IFERROR(__xludf.DUMMYFUNCTION("""COMPUTED_VALUE"""),0.0)</f>
        <v/>
      </c>
      <c r="L113" s="77">
        <f>IFERROR(__xludf.DUMMYFUNCTION("""COMPUTED_VALUE"""),139.66860875709511)</f>
        <v/>
      </c>
      <c r="O113" s="72" t="n"/>
      <c r="S113" s="4" t="n"/>
    </row>
    <row r="114">
      <c r="A114" s="74">
        <f>IFERROR(__xludf.DUMMYFUNCTION("""COMPUTED_VALUE"""),46170.0)</f>
        <v/>
      </c>
      <c r="B114" s="72">
        <f>IFERROR(__xludf.DUMMYFUNCTION("""COMPUTED_VALUE"""),442.0)</f>
        <v/>
      </c>
      <c r="C114" s="75">
        <f>IFERROR(__xludf.DUMMYFUNCTION("""COMPUTED_VALUE"""),54500.0)</f>
        <v/>
      </c>
      <c r="D114" s="75">
        <f>IFERROR(__xludf.DUMMYFUNCTION("""COMPUTED_VALUE"""),"VES")</f>
        <v/>
      </c>
      <c r="E114" s="75">
        <f>IFERROR(__xludf.DUMMYFUNCTION("""COMPUTED_VALUE"""),"Bancamiga")</f>
        <v/>
      </c>
      <c r="F114" s="75">
        <f>IFERROR(__xludf.DUMMYFUNCTION("""COMPUTED_VALUE"""),"Jhoe Zamora")</f>
        <v/>
      </c>
      <c r="G114" s="76">
        <f>IFERROR(__xludf.DUMMYFUNCTION("""COMPUTED_VALUE"""),"RONALD")</f>
        <v/>
      </c>
      <c r="H114" s="76">
        <f>IFERROR(__xludf.DUMMYFUNCTION("""COMPUTED_VALUE"""),544.5794)</f>
        <v/>
      </c>
      <c r="I114" s="75" t="n"/>
      <c r="J114" s="77">
        <f>IFERROR(__xludf.DUMMYFUNCTION("""COMPUTED_VALUE"""),100.07723391667038)</f>
        <v/>
      </c>
      <c r="K114" s="4">
        <f>IFERROR(__xludf.DUMMYFUNCTION("""COMPUTED_VALUE"""),0.0)</f>
        <v/>
      </c>
      <c r="L114" s="77">
        <f>IFERROR(__xludf.DUMMYFUNCTION("""COMPUTED_VALUE"""),100.07723391667038)</f>
        <v/>
      </c>
      <c r="O114" s="72" t="n"/>
      <c r="S114" s="4" t="n"/>
    </row>
    <row r="115">
      <c r="A115" s="74">
        <f>IFERROR(__xludf.DUMMYFUNCTION("""COMPUTED_VALUE"""),46170.0)</f>
        <v/>
      </c>
      <c r="B115" s="72">
        <f>IFERROR(__xludf.DUMMYFUNCTION("""COMPUTED_VALUE"""),275.0)</f>
        <v/>
      </c>
      <c r="C115" s="75">
        <f>IFERROR(__xludf.DUMMYFUNCTION("""COMPUTED_VALUE"""),39737.81)</f>
        <v/>
      </c>
      <c r="D115" s="75">
        <f>IFERROR(__xludf.DUMMYFUNCTION("""COMPUTED_VALUE"""),"VES")</f>
        <v/>
      </c>
      <c r="E115" s="75">
        <f>IFERROR(__xludf.DUMMYFUNCTION("""COMPUTED_VALUE"""),"Bancamiga")</f>
        <v/>
      </c>
      <c r="F115" s="75">
        <f>IFERROR(__xludf.DUMMYFUNCTION("""COMPUTED_VALUE"""),"Moto repuestos jj")</f>
        <v/>
      </c>
      <c r="G115" s="76">
        <f>IFERROR(__xludf.DUMMYFUNCTION("""COMPUTED_VALUE"""),"ANGEL PEREZ")</f>
        <v/>
      </c>
      <c r="H115" s="76">
        <f>IFERROR(__xludf.DUMMYFUNCTION("""COMPUTED_VALUE"""),544.5794)</f>
        <v/>
      </c>
      <c r="I115" s="75" t="n"/>
      <c r="J115" s="77">
        <f>IFERROR(__xludf.DUMMYFUNCTION("""COMPUTED_VALUE"""),72.96972672855418)</f>
        <v/>
      </c>
      <c r="K115" s="4">
        <f>IFERROR(__xludf.DUMMYFUNCTION("""COMPUTED_VALUE"""),0.0)</f>
        <v/>
      </c>
      <c r="L115" s="77">
        <f>IFERROR(__xludf.DUMMYFUNCTION("""COMPUTED_VALUE"""),72.96972672855418)</f>
        <v/>
      </c>
      <c r="O115" s="72" t="n"/>
      <c r="S115" s="4" t="n"/>
    </row>
    <row r="116">
      <c r="A116" s="74">
        <f>IFERROR(__xludf.DUMMYFUNCTION("""COMPUTED_VALUE"""),46171.0)</f>
        <v/>
      </c>
      <c r="B116" s="72">
        <f>IFERROR(__xludf.DUMMYFUNCTION("""COMPUTED_VALUE"""),415.0)</f>
        <v/>
      </c>
      <c r="C116" s="75">
        <f>IFERROR(__xludf.DUMMYFUNCTION("""COMPUTED_VALUE"""),141990.37)</f>
        <v/>
      </c>
      <c r="D116" s="75">
        <f>IFERROR(__xludf.DUMMYFUNCTION("""COMPUTED_VALUE"""),"VES")</f>
        <v/>
      </c>
      <c r="E116" s="75">
        <f>IFERROR(__xludf.DUMMYFUNCTION("""COMPUTED_VALUE"""),"Bancamiga")</f>
        <v/>
      </c>
      <c r="F116" s="75">
        <f>IFERROR(__xludf.DUMMYFUNCTION("""COMPUTED_VALUE"""),"ALMACENADORA X7 C.A.")</f>
        <v/>
      </c>
      <c r="G116" s="76">
        <f>IFERROR(__xludf.DUMMYFUNCTION("""COMPUTED_VALUE"""),"marco romero")</f>
        <v/>
      </c>
      <c r="H116" s="76">
        <f>IFERROR(__xludf.DUMMYFUNCTION("""COMPUTED_VALUE"""),549.3716)</f>
        <v/>
      </c>
      <c r="I116" s="75" t="n"/>
      <c r="J116" s="77">
        <f>IFERROR(__xludf.DUMMYFUNCTION("""COMPUTED_VALUE"""),258.45961094457743)</f>
        <v/>
      </c>
      <c r="K116" s="4">
        <f>IFERROR(__xludf.DUMMYFUNCTION("""COMPUTED_VALUE"""),0.0)</f>
        <v/>
      </c>
      <c r="L116" s="77">
        <f>IFERROR(__xludf.DUMMYFUNCTION("""COMPUTED_VALUE"""),258.45961094457743)</f>
        <v/>
      </c>
      <c r="O116" s="72" t="n"/>
      <c r="S116" s="4" t="n"/>
    </row>
    <row r="117">
      <c r="A117" s="74">
        <f>IFERROR(__xludf.DUMMYFUNCTION("""COMPUTED_VALUE"""),46172.0)</f>
        <v/>
      </c>
      <c r="B117" s="72">
        <f>IFERROR(__xludf.DUMMYFUNCTION("""COMPUTED_VALUE"""),510.0)</f>
        <v/>
      </c>
      <c r="C117" s="75">
        <f>IFERROR(__xludf.DUMMYFUNCTION("""COMPUTED_VALUE"""),49898.7)</f>
        <v/>
      </c>
      <c r="D117" s="75">
        <f>IFERROR(__xludf.DUMMYFUNCTION("""COMPUTED_VALUE"""),"VES")</f>
        <v/>
      </c>
      <c r="E117" s="75">
        <f>IFERROR(__xludf.DUMMYFUNCTION("""COMPUTED_VALUE"""),"Bancamiga")</f>
        <v/>
      </c>
      <c r="F117" s="75">
        <f>IFERROR(__xludf.DUMMYFUNCTION("""COMPUTED_VALUE"""),"Daniela Sanobria")</f>
        <v/>
      </c>
      <c r="G117" s="76">
        <f>IFERROR(__xludf.DUMMYFUNCTION("""COMPUTED_VALUE"""),"Marco Romero")</f>
        <v/>
      </c>
      <c r="H117" s="76">
        <f>IFERROR(__xludf.DUMMYFUNCTION("""COMPUTED_VALUE"""),549.3716)</f>
        <v/>
      </c>
      <c r="I117" s="75" t="n"/>
      <c r="J117" s="77">
        <f>IFERROR(__xludf.DUMMYFUNCTION("""COMPUTED_VALUE"""),90.82868499208915)</f>
        <v/>
      </c>
      <c r="K117" s="4">
        <f>IFERROR(__xludf.DUMMYFUNCTION("""COMPUTED_VALUE"""),0.0)</f>
        <v/>
      </c>
      <c r="L117" s="77">
        <f>IFERROR(__xludf.DUMMYFUNCTION("""COMPUTED_VALUE"""),90.82868499208915)</f>
        <v/>
      </c>
      <c r="O117" s="72" t="n"/>
      <c r="S117" s="4" t="n"/>
    </row>
    <row r="118">
      <c r="A118" s="74">
        <f>IFERROR(__xludf.DUMMYFUNCTION("""COMPUTED_VALUE"""),46174.0)</f>
        <v/>
      </c>
      <c r="B118" s="72">
        <f>IFERROR(__xludf.DUMMYFUNCTION("""COMPUTED_VALUE"""),243.0)</f>
        <v/>
      </c>
      <c r="C118" s="75">
        <f>IFERROR(__xludf.DUMMYFUNCTION("""COMPUTED_VALUE"""),65.0)</f>
        <v/>
      </c>
      <c r="D118" s="75">
        <f>IFERROR(__xludf.DUMMYFUNCTION("""COMPUTED_VALUE"""),"USD")</f>
        <v/>
      </c>
      <c r="E118" s="75">
        <f>IFERROR(__xludf.DUMMYFUNCTION("""COMPUTED_VALUE"""),"Efectivo USD")</f>
        <v/>
      </c>
      <c r="F118" s="75">
        <f>IFERROR(__xludf.DUMMYFUNCTION("""COMPUTED_VALUE"""),"Cauchera William 2018, C.A")</f>
        <v/>
      </c>
      <c r="G118" s="76">
        <f>IFERROR(__xludf.DUMMYFUNCTION("""COMPUTED_VALUE"""),"MARTINEZ MONTES JEFFREY ENRIQUE")</f>
        <v/>
      </c>
      <c r="H118" s="76">
        <f>IFERROR(__xludf.DUMMYFUNCTION("""COMPUTED_VALUE"""),554.4258)</f>
        <v/>
      </c>
      <c r="I118" s="75" t="n"/>
      <c r="J118" s="77">
        <f>IFERROR(__xludf.DUMMYFUNCTION("""COMPUTED_VALUE"""),65.0)</f>
        <v/>
      </c>
      <c r="K118" s="4">
        <f>IFERROR(__xludf.DUMMYFUNCTION("""COMPUTED_VALUE"""),65.0)</f>
        <v/>
      </c>
      <c r="L118" s="77">
        <f>IFERROR(__xludf.DUMMYFUNCTION("""COMPUTED_VALUE"""),65.0)</f>
        <v/>
      </c>
      <c r="O118" s="72" t="n"/>
      <c r="S118" s="4" t="n"/>
    </row>
    <row r="119">
      <c r="A119" s="74">
        <f>IFERROR(__xludf.DUMMYFUNCTION("""COMPUTED_VALUE"""),46177.0)</f>
        <v/>
      </c>
      <c r="B119" s="72">
        <f>IFERROR(__xludf.DUMMYFUNCTION("""COMPUTED_VALUE"""),500.0)</f>
        <v/>
      </c>
      <c r="C119" s="75">
        <f>IFERROR(__xludf.DUMMYFUNCTION("""COMPUTED_VALUE"""),390.0)</f>
        <v/>
      </c>
      <c r="D119" s="75">
        <f>IFERROR(__xludf.DUMMYFUNCTION("""COMPUTED_VALUE"""),"USD")</f>
        <v/>
      </c>
      <c r="E119" s="75">
        <f>IFERROR(__xludf.DUMMYFUNCTION("""COMPUTED_VALUE"""),"Efectivo USD")</f>
        <v/>
      </c>
      <c r="F119" s="75">
        <f>IFERROR(__xludf.DUMMYFUNCTION("""COMPUTED_VALUE"""),"Gabriel Martinez")</f>
        <v/>
      </c>
      <c r="G119" s="76">
        <f>IFERROR(__xludf.DUMMYFUNCTION("""COMPUTED_VALUE"""),"Marco Romero")</f>
        <v/>
      </c>
      <c r="H119" s="76">
        <f>IFERROR(__xludf.DUMMYFUNCTION("""COMPUTED_VALUE"""),560.3753)</f>
        <v/>
      </c>
      <c r="I119" s="75" t="n"/>
      <c r="J119" s="77">
        <f>IFERROR(__xludf.DUMMYFUNCTION("""COMPUTED_VALUE"""),390.0)</f>
        <v/>
      </c>
      <c r="K119" s="4">
        <f>IFERROR(__xludf.DUMMYFUNCTION("""COMPUTED_VALUE"""),390.0)</f>
        <v/>
      </c>
      <c r="L119" s="77">
        <f>IFERROR(__xludf.DUMMYFUNCTION("""COMPUTED_VALUE"""),390.0)</f>
        <v/>
      </c>
      <c r="O119" s="72" t="n"/>
      <c r="S119" s="4" t="n"/>
    </row>
    <row r="120">
      <c r="A120" s="74">
        <f>IFERROR(__xludf.DUMMYFUNCTION("""COMPUTED_VALUE"""),46181.0)</f>
        <v/>
      </c>
      <c r="B120" s="72">
        <f>IFERROR(__xludf.DUMMYFUNCTION("""COMPUTED_VALUE"""),517.0)</f>
        <v/>
      </c>
      <c r="C120" s="75">
        <f>IFERROR(__xludf.DUMMYFUNCTION("""COMPUTED_VALUE"""),132757.65)</f>
        <v/>
      </c>
      <c r="D120" s="75">
        <f>IFERROR(__xludf.DUMMYFUNCTION("""COMPUTED_VALUE"""),"VES")</f>
        <v/>
      </c>
      <c r="E120" s="75">
        <f>IFERROR(__xludf.DUMMYFUNCTION("""COMPUTED_VALUE"""),"Bancamiga")</f>
        <v/>
      </c>
      <c r="F120" s="75">
        <f>IFERROR(__xludf.DUMMYFUNCTION("""COMPUTED_VALUE"""),"Industrias Arasia, c.a.")</f>
        <v/>
      </c>
      <c r="G120" s="76">
        <f>IFERROR(__xludf.DUMMYFUNCTION("""COMPUTED_VALUE"""),"RONALD")</f>
        <v/>
      </c>
      <c r="H120" s="76">
        <f>IFERROR(__xludf.DUMMYFUNCTION("""COMPUTED_VALUE"""),563.2892)</f>
        <v/>
      </c>
      <c r="I120" s="75" t="n"/>
      <c r="J120" s="77">
        <f>IFERROR(__xludf.DUMMYFUNCTION("""COMPUTED_VALUE"""),235.6829316095533)</f>
        <v/>
      </c>
      <c r="K120" s="4">
        <f>IFERROR(__xludf.DUMMYFUNCTION("""COMPUTED_VALUE"""),0.0)</f>
        <v/>
      </c>
      <c r="L120" s="77">
        <f>IFERROR(__xludf.DUMMYFUNCTION("""COMPUTED_VALUE"""),235.6829316095533)</f>
        <v/>
      </c>
      <c r="O120" s="72" t="n"/>
      <c r="S120" s="4" t="n"/>
    </row>
    <row r="121">
      <c r="A121" s="74">
        <f>IFERROR(__xludf.DUMMYFUNCTION("""COMPUTED_VALUE"""),46181.0)</f>
        <v/>
      </c>
      <c r="B121" s="72">
        <f>IFERROR(__xludf.DUMMYFUNCTION("""COMPUTED_VALUE"""),522.0)</f>
        <v/>
      </c>
      <c r="C121" s="75">
        <f>IFERROR(__xludf.DUMMYFUNCTION("""COMPUTED_VALUE"""),811345.28)</f>
        <v/>
      </c>
      <c r="D121" s="75">
        <f>IFERROR(__xludf.DUMMYFUNCTION("""COMPUTED_VALUE"""),"VES")</f>
        <v/>
      </c>
      <c r="E121" s="75">
        <f>IFERROR(__xludf.DUMMYFUNCTION("""COMPUTED_VALUE"""),"Banesco")</f>
        <v/>
      </c>
      <c r="F121" s="75">
        <f>IFERROR(__xludf.DUMMYFUNCTION("""COMPUTED_VALUE"""),"Agustin Pedro Rodriguez Carro")</f>
        <v/>
      </c>
      <c r="G121" s="76">
        <f>IFERROR(__xludf.DUMMYFUNCTION("""COMPUTED_VALUE"""),"RONALD")</f>
        <v/>
      </c>
      <c r="H121" s="76">
        <f>IFERROR(__xludf.DUMMYFUNCTION("""COMPUTED_VALUE"""),563.2892)</f>
        <v/>
      </c>
      <c r="I121" s="75" t="n"/>
      <c r="J121" s="77">
        <f>IFERROR(__xludf.DUMMYFUNCTION("""COMPUTED_VALUE"""),1440.3707367370082)</f>
        <v/>
      </c>
      <c r="K121" s="4">
        <f>IFERROR(__xludf.DUMMYFUNCTION("""COMPUTED_VALUE"""),0.0)</f>
        <v/>
      </c>
      <c r="L121" s="77">
        <f>IFERROR(__xludf.DUMMYFUNCTION("""COMPUTED_VALUE"""),1440.3707367370082)</f>
        <v/>
      </c>
      <c r="O121" s="72" t="n"/>
      <c r="S121" s="4" t="n"/>
    </row>
    <row r="122">
      <c r="A122" s="74">
        <f>IFERROR(__xludf.DUMMYFUNCTION("""COMPUTED_VALUE"""),46182.0)</f>
        <v/>
      </c>
      <c r="B122" s="72">
        <f>IFERROR(__xludf.DUMMYFUNCTION("""COMPUTED_VALUE"""),528.0)</f>
        <v/>
      </c>
      <c r="C122" s="75">
        <f>IFERROR(__xludf.DUMMYFUNCTION("""COMPUTED_VALUE"""),55.0)</f>
        <v/>
      </c>
      <c r="D122" s="75">
        <f>IFERROR(__xludf.DUMMYFUNCTION("""COMPUTED_VALUE"""),"USD")</f>
        <v/>
      </c>
      <c r="E122" s="75">
        <f>IFERROR(__xludf.DUMMYFUNCTION("""COMPUTED_VALUE"""),"Efectivo USD")</f>
        <v/>
      </c>
      <c r="F122" s="75">
        <f>IFERROR(__xludf.DUMMYFUNCTION("""COMPUTED_VALUE"""),"ANGEL ARMAS")</f>
        <v/>
      </c>
      <c r="G122" s="76">
        <f>IFERROR(__xludf.DUMMYFUNCTION("""COMPUTED_VALUE"""),"ADMINISTRACION")</f>
        <v/>
      </c>
      <c r="H122" s="76">
        <f>IFERROR(__xludf.DUMMYFUNCTION("""COMPUTED_VALUE"""),567.6828)</f>
        <v/>
      </c>
      <c r="I122" s="75" t="n"/>
      <c r="J122" s="77">
        <f>IFERROR(__xludf.DUMMYFUNCTION("""COMPUTED_VALUE"""),55.0)</f>
        <v/>
      </c>
      <c r="K122" s="4">
        <f>IFERROR(__xludf.DUMMYFUNCTION("""COMPUTED_VALUE"""),55.0)</f>
        <v/>
      </c>
      <c r="L122" s="77">
        <f>IFERROR(__xludf.DUMMYFUNCTION("""COMPUTED_VALUE"""),55.0)</f>
        <v/>
      </c>
      <c r="O122" s="72" t="n"/>
      <c r="S122" s="4" t="n"/>
    </row>
    <row r="123">
      <c r="A123" s="74">
        <f>IFERROR(__xludf.DUMMYFUNCTION("""COMPUTED_VALUE"""),46182.0)</f>
        <v/>
      </c>
      <c r="B123" s="72">
        <f>IFERROR(__xludf.DUMMYFUNCTION("""COMPUTED_VALUE"""),310.0)</f>
        <v/>
      </c>
      <c r="C123" s="75">
        <f>IFERROR(__xludf.DUMMYFUNCTION("""COMPUTED_VALUE"""),23340.0)</f>
        <v/>
      </c>
      <c r="D123" s="75">
        <f>IFERROR(__xludf.DUMMYFUNCTION("""COMPUTED_VALUE"""),"VES")</f>
        <v/>
      </c>
      <c r="E123" s="75">
        <f>IFERROR(__xludf.DUMMYFUNCTION("""COMPUTED_VALUE"""),"Bancamiga")</f>
        <v/>
      </c>
      <c r="F123" s="75">
        <f>IFERROR(__xludf.DUMMYFUNCTION("""COMPUTED_VALUE"""),"Multiservicio SOS Cars, C.A")</f>
        <v/>
      </c>
      <c r="G123" s="76">
        <f>IFERROR(__xludf.DUMMYFUNCTION("""COMPUTED_VALUE"""),"MARTINEZ MONTES JEFFREY ENRIQUE")</f>
        <v/>
      </c>
      <c r="H123" s="76">
        <f>IFERROR(__xludf.DUMMYFUNCTION("""COMPUTED_VALUE"""),567.6828)</f>
        <v/>
      </c>
      <c r="I123" s="75" t="n"/>
      <c r="J123" s="77">
        <f>IFERROR(__xludf.DUMMYFUNCTION("""COMPUTED_VALUE"""),41.11450972268316)</f>
        <v/>
      </c>
      <c r="K123" s="4">
        <f>IFERROR(__xludf.DUMMYFUNCTION("""COMPUTED_VALUE"""),0.0)</f>
        <v/>
      </c>
      <c r="L123" s="77">
        <f>IFERROR(__xludf.DUMMYFUNCTION("""COMPUTED_VALUE"""),41.11450972268316)</f>
        <v/>
      </c>
      <c r="O123" s="72" t="n"/>
      <c r="S123" s="4" t="n"/>
    </row>
    <row r="124">
      <c r="A124" s="74">
        <f>IFERROR(__xludf.DUMMYFUNCTION("""COMPUTED_VALUE"""),46183.0)</f>
        <v/>
      </c>
      <c r="B124" s="72">
        <f>IFERROR(__xludf.DUMMYFUNCTION("""COMPUTED_VALUE"""),535.0)</f>
        <v/>
      </c>
      <c r="C124" s="75">
        <f>IFERROR(__xludf.DUMMYFUNCTION("""COMPUTED_VALUE"""),165854.87)</f>
        <v/>
      </c>
      <c r="D124" s="75">
        <f>IFERROR(__xludf.DUMMYFUNCTION("""COMPUTED_VALUE"""),"VES")</f>
        <v/>
      </c>
      <c r="E124" s="75">
        <f>IFERROR(__xludf.DUMMYFUNCTION("""COMPUTED_VALUE"""),"Bancamiga")</f>
        <v/>
      </c>
      <c r="F124" s="75">
        <f>IFERROR(__xludf.DUMMYFUNCTION("""COMPUTED_VALUE"""),"En ascenso 2011,c.a.")</f>
        <v/>
      </c>
      <c r="G124" s="76">
        <f>IFERROR(__xludf.DUMMYFUNCTION("""COMPUTED_VALUE"""),"RONALD")</f>
        <v/>
      </c>
      <c r="H124" s="76">
        <f>IFERROR(__xludf.DUMMYFUNCTION("""COMPUTED_VALUE"""),572.6784)</f>
        <v/>
      </c>
      <c r="I124" s="75" t="n"/>
      <c r="J124" s="77">
        <f>IFERROR(__xludf.DUMMYFUNCTION("""COMPUTED_VALUE"""),289.6125818609537)</f>
        <v/>
      </c>
      <c r="K124" s="4">
        <f>IFERROR(__xludf.DUMMYFUNCTION("""COMPUTED_VALUE"""),0.0)</f>
        <v/>
      </c>
      <c r="L124" s="77">
        <f>IFERROR(__xludf.DUMMYFUNCTION("""COMPUTED_VALUE"""),289.6125818609537)</f>
        <v/>
      </c>
      <c r="O124" s="72" t="n"/>
      <c r="S124" s="4" t="n"/>
    </row>
    <row r="125">
      <c r="A125" s="74">
        <f>IFERROR(__xludf.DUMMYFUNCTION("""COMPUTED_VALUE"""),46185.0)</f>
        <v/>
      </c>
      <c r="B125" s="72">
        <f>IFERROR(__xludf.DUMMYFUNCTION("""COMPUTED_VALUE"""),556.0)</f>
        <v/>
      </c>
      <c r="C125" s="75">
        <f>IFERROR(__xludf.DUMMYFUNCTION("""COMPUTED_VALUE"""),249574.0)</f>
        <v/>
      </c>
      <c r="D125" s="75">
        <f>IFERROR(__xludf.DUMMYFUNCTION("""COMPUTED_VALUE"""),"VES")</f>
        <v/>
      </c>
      <c r="E125" s="75">
        <f>IFERROR(__xludf.DUMMYFUNCTION("""COMPUTED_VALUE"""),"Bancamiga")</f>
        <v/>
      </c>
      <c r="F125" s="75">
        <f>IFERROR(__xludf.DUMMYFUNCTION("""COMPUTED_VALUE"""),"Agustin Pedro Rodriguez Carro")</f>
        <v/>
      </c>
      <c r="G125" s="76">
        <f>IFERROR(__xludf.DUMMYFUNCTION("""COMPUTED_VALUE"""),"RONALD")</f>
        <v/>
      </c>
      <c r="H125" s="76">
        <f>IFERROR(__xludf.DUMMYFUNCTION("""COMPUTED_VALUE"""),582.6862)</f>
        <v/>
      </c>
      <c r="I125" s="75" t="n"/>
      <c r="J125" s="77">
        <f>IFERROR(__xludf.DUMMYFUNCTION("""COMPUTED_VALUE"""),428.3163047279994)</f>
        <v/>
      </c>
      <c r="K125" s="4">
        <f>IFERROR(__xludf.DUMMYFUNCTION("""COMPUTED_VALUE"""),0.0)</f>
        <v/>
      </c>
      <c r="L125" s="77">
        <f>IFERROR(__xludf.DUMMYFUNCTION("""COMPUTED_VALUE"""),428.3163047279994)</f>
        <v/>
      </c>
      <c r="O125" s="72" t="n"/>
      <c r="S125" s="4" t="n"/>
    </row>
    <row r="126">
      <c r="A126" s="74">
        <f>IFERROR(__xludf.DUMMYFUNCTION("""COMPUTED_VALUE"""),46188.0)</f>
        <v/>
      </c>
      <c r="B126" s="72">
        <f>IFERROR(__xludf.DUMMYFUNCTION("""COMPUTED_VALUE"""),565.0)</f>
        <v/>
      </c>
      <c r="C126" s="75">
        <f>IFERROR(__xludf.DUMMYFUNCTION("""COMPUTED_VALUE"""),76.0)</f>
        <v/>
      </c>
      <c r="D126" s="75">
        <f>IFERROR(__xludf.DUMMYFUNCTION("""COMPUTED_VALUE"""),"USD")</f>
        <v/>
      </c>
      <c r="E126" s="75">
        <f>IFERROR(__xludf.DUMMYFUNCTION("""COMPUTED_VALUE"""),"Efectivo USD")</f>
        <v/>
      </c>
      <c r="F126" s="75">
        <f>IFERROR(__xludf.DUMMYFUNCTION("""COMPUTED_VALUE"""),"Larry Herrera")</f>
        <v/>
      </c>
      <c r="G126" s="76">
        <f>IFERROR(__xludf.DUMMYFUNCTION("""COMPUTED_VALUE"""),"REVERON DE CONTRERAS MELANI AUSMAR")</f>
        <v/>
      </c>
      <c r="H126" s="76">
        <f>IFERROR(__xludf.DUMMYFUNCTION("""COMPUTED_VALUE"""),587.4059)</f>
        <v/>
      </c>
      <c r="I126" s="75" t="n"/>
      <c r="J126" s="77">
        <f>IFERROR(__xludf.DUMMYFUNCTION("""COMPUTED_VALUE"""),76.0)</f>
        <v/>
      </c>
      <c r="K126" s="4">
        <f>IFERROR(__xludf.DUMMYFUNCTION("""COMPUTED_VALUE"""),76.0)</f>
        <v/>
      </c>
      <c r="L126" s="77">
        <f>IFERROR(__xludf.DUMMYFUNCTION("""COMPUTED_VALUE"""),76.0)</f>
        <v/>
      </c>
      <c r="O126" s="72" t="n"/>
      <c r="S126" s="4" t="n"/>
    </row>
    <row r="127">
      <c r="A127" s="74">
        <f>IFERROR(__xludf.DUMMYFUNCTION("""COMPUTED_VALUE"""),46188.0)</f>
        <v/>
      </c>
      <c r="B127" s="72">
        <f>IFERROR(__xludf.DUMMYFUNCTION("""COMPUTED_VALUE"""),466.0)</f>
        <v/>
      </c>
      <c r="C127" s="75">
        <f>IFERROR(__xludf.DUMMYFUNCTION("""COMPUTED_VALUE"""),20.0)</f>
        <v/>
      </c>
      <c r="D127" s="75">
        <f>IFERROR(__xludf.DUMMYFUNCTION("""COMPUTED_VALUE"""),"USD")</f>
        <v/>
      </c>
      <c r="E127" s="75">
        <f>IFERROR(__xludf.DUMMYFUNCTION("""COMPUTED_VALUE"""),"Efectivo USD")</f>
        <v/>
      </c>
      <c r="F127" s="75">
        <f>IFERROR(__xludf.DUMMYFUNCTION("""COMPUTED_VALUE"""),"Edgar salas")</f>
        <v/>
      </c>
      <c r="G127" s="76">
        <f>IFERROR(__xludf.DUMMYFUNCTION("""COMPUTED_VALUE"""),"ADMINISTRACION")</f>
        <v/>
      </c>
      <c r="H127" s="76">
        <f>IFERROR(__xludf.DUMMYFUNCTION("""COMPUTED_VALUE"""),587.4059)</f>
        <v/>
      </c>
      <c r="I127" s="75" t="n"/>
      <c r="J127" s="77">
        <f>IFERROR(__xludf.DUMMYFUNCTION("""COMPUTED_VALUE"""),20.0)</f>
        <v/>
      </c>
      <c r="K127" s="4">
        <f>IFERROR(__xludf.DUMMYFUNCTION("""COMPUTED_VALUE"""),20.0)</f>
        <v/>
      </c>
      <c r="L127" s="77">
        <f>IFERROR(__xludf.DUMMYFUNCTION("""COMPUTED_VALUE"""),20.0)</f>
        <v/>
      </c>
      <c r="O127" s="72" t="n"/>
      <c r="S127" s="4" t="n"/>
    </row>
    <row r="128">
      <c r="A128" s="74">
        <f>IFERROR(__xludf.DUMMYFUNCTION("""COMPUTED_VALUE"""),46188.0)</f>
        <v/>
      </c>
      <c r="B128" s="72">
        <f>IFERROR(__xludf.DUMMYFUNCTION("""COMPUTED_VALUE"""),527.0)</f>
        <v/>
      </c>
      <c r="C128" s="75">
        <f>IFERROR(__xludf.DUMMYFUNCTION("""COMPUTED_VALUE"""),72667.99)</f>
        <v/>
      </c>
      <c r="D128" s="75">
        <f>IFERROR(__xludf.DUMMYFUNCTION("""COMPUTED_VALUE"""),"VES")</f>
        <v/>
      </c>
      <c r="E128" s="75">
        <f>IFERROR(__xludf.DUMMYFUNCTION("""COMPUTED_VALUE"""),"Bancamiga")</f>
        <v/>
      </c>
      <c r="F128" s="75">
        <f>IFERROR(__xludf.DUMMYFUNCTION("""COMPUTED_VALUE"""),"Fluidtack
  Soluciones, c.a.")</f>
        <v/>
      </c>
      <c r="G128" s="76">
        <f>IFERROR(__xludf.DUMMYFUNCTION("""COMPUTED_VALUE"""),"RONALD")</f>
        <v/>
      </c>
      <c r="H128" s="76">
        <f>IFERROR(__xludf.DUMMYFUNCTION("""COMPUTED_VALUE"""),587.4059)</f>
        <v/>
      </c>
      <c r="I128" s="75" t="n"/>
      <c r="J128" s="77">
        <f>IFERROR(__xludf.DUMMYFUNCTION("""COMPUTED_VALUE"""),123.71001040336846)</f>
        <v/>
      </c>
      <c r="K128" s="4">
        <f>IFERROR(__xludf.DUMMYFUNCTION("""COMPUTED_VALUE"""),0.0)</f>
        <v/>
      </c>
      <c r="L128" s="77">
        <f>IFERROR(__xludf.DUMMYFUNCTION("""COMPUTED_VALUE"""),123.71001040336846)</f>
        <v/>
      </c>
      <c r="O128" s="72" t="n"/>
      <c r="S128" s="4" t="n"/>
    </row>
    <row r="129">
      <c r="A129" s="74">
        <f>IFERROR(__xludf.DUMMYFUNCTION("""COMPUTED_VALUE"""),46189.0)</f>
        <v/>
      </c>
      <c r="B129" s="72">
        <f>IFERROR(__xludf.DUMMYFUNCTION("""COMPUTED_VALUE"""),570.0)</f>
        <v/>
      </c>
      <c r="C129" s="75">
        <f>IFERROR(__xludf.DUMMYFUNCTION("""COMPUTED_VALUE"""),37.0)</f>
        <v/>
      </c>
      <c r="D129" s="75">
        <f>IFERROR(__xludf.DUMMYFUNCTION("""COMPUTED_VALUE"""),"USD")</f>
        <v/>
      </c>
      <c r="E129" s="75">
        <f>IFERROR(__xludf.DUMMYFUNCTION("""COMPUTED_VALUE"""),"Efectivo USD")</f>
        <v/>
      </c>
      <c r="F129" s="75">
        <f>IFERROR(__xludf.DUMMYFUNCTION("""COMPUTED_VALUE"""),"ELENA MEJIAS")</f>
        <v/>
      </c>
      <c r="G129" s="76">
        <f>IFERROR(__xludf.DUMMYFUNCTION("""COMPUTED_VALUE"""),"ADMINISTRACION")</f>
        <v/>
      </c>
      <c r="H129" s="76">
        <f>IFERROR(__xludf.DUMMYFUNCTION("""COMPUTED_VALUE"""),592.5163)</f>
        <v/>
      </c>
      <c r="I129" s="75" t="n"/>
      <c r="J129" s="77">
        <f>IFERROR(__xludf.DUMMYFUNCTION("""COMPUTED_VALUE"""),37.0)</f>
        <v/>
      </c>
      <c r="K129" s="4">
        <f>IFERROR(__xludf.DUMMYFUNCTION("""COMPUTED_VALUE"""),37.0)</f>
        <v/>
      </c>
      <c r="L129" s="77">
        <f>IFERROR(__xludf.DUMMYFUNCTION("""COMPUTED_VALUE"""),37.0)</f>
        <v/>
      </c>
      <c r="O129" s="72" t="n"/>
      <c r="S129" s="4" t="n"/>
    </row>
    <row r="130">
      <c r="A130" s="74">
        <f>IFERROR(__xludf.DUMMYFUNCTION("""COMPUTED_VALUE"""),46190.0)</f>
        <v/>
      </c>
      <c r="B130" s="72">
        <f>IFERROR(__xludf.DUMMYFUNCTION("""COMPUTED_VALUE"""),575.0)</f>
        <v/>
      </c>
      <c r="C130" s="75">
        <f>IFERROR(__xludf.DUMMYFUNCTION("""COMPUTED_VALUE"""),59678.0)</f>
        <v/>
      </c>
      <c r="D130" s="75">
        <f>IFERROR(__xludf.DUMMYFUNCTION("""COMPUTED_VALUE"""),"VES")</f>
        <v/>
      </c>
      <c r="E130" s="75">
        <f>IFERROR(__xludf.DUMMYFUNCTION("""COMPUTED_VALUE"""),"Bancamiga")</f>
        <v/>
      </c>
      <c r="F130" s="75">
        <f>IFERROR(__xludf.DUMMYFUNCTION("""COMPUTED_VALUE"""),"Grupo KACAOIL,C.A.")</f>
        <v/>
      </c>
      <c r="G130" s="76">
        <f>IFERROR(__xludf.DUMMYFUNCTION("""COMPUTED_VALUE"""),"RONALD")</f>
        <v/>
      </c>
      <c r="H130" s="76">
        <f>IFERROR(__xludf.DUMMYFUNCTION("""COMPUTED_VALUE"""),596.7824)</f>
        <v/>
      </c>
      <c r="I130" s="75" t="n"/>
      <c r="J130" s="77">
        <f>IFERROR(__xludf.DUMMYFUNCTION("""COMPUTED_VALUE"""),99.99959784336802)</f>
        <v/>
      </c>
      <c r="K130" s="4">
        <f>IFERROR(__xludf.DUMMYFUNCTION("""COMPUTED_VALUE"""),0.0)</f>
        <v/>
      </c>
      <c r="L130" s="77">
        <f>IFERROR(__xludf.DUMMYFUNCTION("""COMPUTED_VALUE"""),99.99959784336802)</f>
        <v/>
      </c>
      <c r="O130" s="72" t="n"/>
      <c r="S130" s="4" t="n"/>
    </row>
    <row r="131">
      <c r="A131" s="74">
        <f>IFERROR(__xludf.DUMMYFUNCTION("""COMPUTED_VALUE"""),46190.0)</f>
        <v/>
      </c>
      <c r="B131" s="72">
        <f>IFERROR(__xludf.DUMMYFUNCTION("""COMPUTED_VALUE"""),426.0)</f>
        <v/>
      </c>
      <c r="C131" s="75">
        <f>IFERROR(__xludf.DUMMYFUNCTION("""COMPUTED_VALUE"""),120311.26)</f>
        <v/>
      </c>
      <c r="D131" s="75">
        <f>IFERROR(__xludf.DUMMYFUNCTION("""COMPUTED_VALUE"""),"VES")</f>
        <v/>
      </c>
      <c r="E131" s="75">
        <f>IFERROR(__xludf.DUMMYFUNCTION("""COMPUTED_VALUE"""),"Bancamiga")</f>
        <v/>
      </c>
      <c r="F131" s="75">
        <f>IFERROR(__xludf.DUMMYFUNCTION("""COMPUTED_VALUE"""),"MULTIPARTES Y SERVICIOS HONDANIS,C.A.")</f>
        <v/>
      </c>
      <c r="G131" s="76">
        <f>IFERROR(__xludf.DUMMYFUNCTION("""COMPUTED_VALUE"""),"GRUPO LUBRIKCA")</f>
        <v/>
      </c>
      <c r="H131" s="76">
        <f>IFERROR(__xludf.DUMMYFUNCTION("""COMPUTED_VALUE"""),596.7824)</f>
        <v/>
      </c>
      <c r="I131" s="75" t="n"/>
      <c r="J131" s="77">
        <f>IFERROR(__xludf.DUMMYFUNCTION("""COMPUTED_VALUE"""),201.5998796211148)</f>
        <v/>
      </c>
      <c r="K131" s="4">
        <f>IFERROR(__xludf.DUMMYFUNCTION("""COMPUTED_VALUE"""),0.0)</f>
        <v/>
      </c>
      <c r="L131" s="77">
        <f>IFERROR(__xludf.DUMMYFUNCTION("""COMPUTED_VALUE"""),201.5998796211148)</f>
        <v/>
      </c>
      <c r="O131" s="72" t="n"/>
      <c r="S131" s="4" t="n"/>
    </row>
    <row r="132">
      <c r="A132" s="74">
        <f>IFERROR(__xludf.DUMMYFUNCTION("""COMPUTED_VALUE"""),46188.0)</f>
        <v/>
      </c>
      <c r="B132" s="72">
        <f>IFERROR(__xludf.DUMMYFUNCTION("""COMPUTED_VALUE"""),466.0)</f>
        <v/>
      </c>
      <c r="C132" s="75">
        <f>IFERROR(__xludf.DUMMYFUNCTION("""COMPUTED_VALUE"""),3.0)</f>
        <v/>
      </c>
      <c r="D132" s="75">
        <f>IFERROR(__xludf.DUMMYFUNCTION("""COMPUTED_VALUE"""),"USD")</f>
        <v/>
      </c>
      <c r="E132" s="75">
        <f>IFERROR(__xludf.DUMMYFUNCTION("""COMPUTED_VALUE"""),"Efectivo USD")</f>
        <v/>
      </c>
      <c r="F132" s="75">
        <f>IFERROR(__xludf.DUMMYFUNCTION("""COMPUTED_VALUE"""),"Edgar salas")</f>
        <v/>
      </c>
      <c r="G132" s="76">
        <f>IFERROR(__xludf.DUMMYFUNCTION("""COMPUTED_VALUE"""),"ADMINISTRACION")</f>
        <v/>
      </c>
      <c r="H132" s="76">
        <f>IFERROR(__xludf.DUMMYFUNCTION("""COMPUTED_VALUE"""),587.4059)</f>
        <v/>
      </c>
      <c r="I132" s="75" t="n"/>
      <c r="J132" s="77">
        <f>IFERROR(__xludf.DUMMYFUNCTION("""COMPUTED_VALUE"""),3.0)</f>
        <v/>
      </c>
      <c r="K132" s="4">
        <f>IFERROR(__xludf.DUMMYFUNCTION("""COMPUTED_VALUE"""),3.0)</f>
        <v/>
      </c>
      <c r="L132" s="77">
        <f>IFERROR(__xludf.DUMMYFUNCTION("""COMPUTED_VALUE"""),3.0)</f>
        <v/>
      </c>
      <c r="O132" s="72" t="n"/>
      <c r="S132" s="4" t="n"/>
    </row>
    <row r="133">
      <c r="A133" s="74">
        <f>IFERROR(__xludf.DUMMYFUNCTION("""COMPUTED_VALUE"""),46192.0)</f>
        <v/>
      </c>
      <c r="B133" s="72">
        <f>IFERROR(__xludf.DUMMYFUNCTION("""COMPUTED_VALUE"""),583.0)</f>
        <v/>
      </c>
      <c r="C133" s="75">
        <f>IFERROR(__xludf.DUMMYFUNCTION("""COMPUTED_VALUE"""),197577.99)</f>
        <v/>
      </c>
      <c r="D133" s="75">
        <f>IFERROR(__xludf.DUMMYFUNCTION("""COMPUTED_VALUE"""),"VES")</f>
        <v/>
      </c>
      <c r="E133" s="75">
        <f>IFERROR(__xludf.DUMMYFUNCTION("""COMPUTED_VALUE"""),"Bancamiga")</f>
        <v/>
      </c>
      <c r="F133" s="75">
        <f>IFERROR(__xludf.DUMMYFUNCTION("""COMPUTED_VALUE"""),"UBAG Services,c.a.")</f>
        <v/>
      </c>
      <c r="G133" s="76">
        <f>IFERROR(__xludf.DUMMYFUNCTION("""COMPUTED_VALUE"""),"RONALD")</f>
        <v/>
      </c>
      <c r="H133" s="76">
        <f>IFERROR(__xludf.DUMMYFUNCTION("""COMPUTED_VALUE"""),607.3919)</f>
        <v/>
      </c>
      <c r="I133" s="75" t="n"/>
      <c r="J133" s="77">
        <f>IFERROR(__xludf.DUMMYFUNCTION("""COMPUTED_VALUE"""),325.2891419855945)</f>
        <v/>
      </c>
      <c r="K133" s="4">
        <f>IFERROR(__xludf.DUMMYFUNCTION("""COMPUTED_VALUE"""),0.0)</f>
        <v/>
      </c>
      <c r="L133" s="77">
        <f>IFERROR(__xludf.DUMMYFUNCTION("""COMPUTED_VALUE"""),325.2891419855945)</f>
        <v/>
      </c>
      <c r="O133" s="72" t="n"/>
      <c r="S133" s="4" t="n"/>
    </row>
    <row r="134">
      <c r="A134" s="74">
        <f>IFERROR(__xludf.DUMMYFUNCTION("""COMPUTED_VALUE"""),46192.0)</f>
        <v/>
      </c>
      <c r="B134" s="72">
        <f>IFERROR(__xludf.DUMMYFUNCTION("""COMPUTED_VALUE"""),582.0)</f>
        <v/>
      </c>
      <c r="C134" s="75">
        <f>IFERROR(__xludf.DUMMYFUNCTION("""COMPUTED_VALUE"""),18221.7)</f>
        <v/>
      </c>
      <c r="D134" s="75">
        <f>IFERROR(__xludf.DUMMYFUNCTION("""COMPUTED_VALUE"""),"VES")</f>
        <v/>
      </c>
      <c r="E134" s="75">
        <f>IFERROR(__xludf.DUMMYFUNCTION("""COMPUTED_VALUE"""),"Bancamiga")</f>
        <v/>
      </c>
      <c r="F134" s="75">
        <f>IFERROR(__xludf.DUMMYFUNCTION("""COMPUTED_VALUE"""),"York Dick Mujica Andarcia")</f>
        <v/>
      </c>
      <c r="G134" s="76">
        <f>IFERROR(__xludf.DUMMYFUNCTION("""COMPUTED_VALUE"""),"RONALD")</f>
        <v/>
      </c>
      <c r="H134" s="76">
        <f>IFERROR(__xludf.DUMMYFUNCTION("""COMPUTED_VALUE"""),607.3919)</f>
        <v/>
      </c>
      <c r="I134" s="75" t="n"/>
      <c r="J134" s="77">
        <f>IFERROR(__xludf.DUMMYFUNCTION("""COMPUTED_VALUE"""),29.99990615614071)</f>
        <v/>
      </c>
      <c r="K134" s="4">
        <f>IFERROR(__xludf.DUMMYFUNCTION("""COMPUTED_VALUE"""),0.0)</f>
        <v/>
      </c>
      <c r="L134" s="77">
        <f>IFERROR(__xludf.DUMMYFUNCTION("""COMPUTED_VALUE"""),29.99990615614071)</f>
        <v/>
      </c>
      <c r="O134" s="72" t="n"/>
      <c r="S134" s="4" t="n"/>
    </row>
    <row r="135">
      <c r="A135" s="74">
        <f>IFERROR(__xludf.DUMMYFUNCTION("""COMPUTED_VALUE"""),46195.0)</f>
        <v/>
      </c>
      <c r="B135" s="72">
        <f>IFERROR(__xludf.DUMMYFUNCTION("""COMPUTED_VALUE"""),591.0)</f>
        <v/>
      </c>
      <c r="C135" s="75">
        <f>IFERROR(__xludf.DUMMYFUNCTION("""COMPUTED_VALUE"""),70.0)</f>
        <v/>
      </c>
      <c r="D135" s="75">
        <f>IFERROR(__xludf.DUMMYFUNCTION("""COMPUTED_VALUE"""),"USD")</f>
        <v/>
      </c>
      <c r="E135" s="75">
        <f>IFERROR(__xludf.DUMMYFUNCTION("""COMPUTED_VALUE"""),"Efectivo USD")</f>
        <v/>
      </c>
      <c r="F135" s="75">
        <f>IFERROR(__xludf.DUMMYFUNCTION("""COMPUTED_VALUE"""),"Chaquiro Arteaga")</f>
        <v/>
      </c>
      <c r="G135" s="76">
        <f>IFERROR(__xludf.DUMMYFUNCTION("""COMPUTED_VALUE"""),"ADMINISTRACION")</f>
        <v/>
      </c>
      <c r="H135" s="76">
        <f>IFERROR(__xludf.DUMMYFUNCTION("""COMPUTED_VALUE"""),612.4332)</f>
        <v/>
      </c>
      <c r="I135" s="75" t="n"/>
      <c r="J135" s="77">
        <f>IFERROR(__xludf.DUMMYFUNCTION("""COMPUTED_VALUE"""),70.0)</f>
        <v/>
      </c>
      <c r="K135" s="4">
        <f>IFERROR(__xludf.DUMMYFUNCTION("""COMPUTED_VALUE"""),70.0)</f>
        <v/>
      </c>
      <c r="L135" s="77">
        <f>IFERROR(__xludf.DUMMYFUNCTION("""COMPUTED_VALUE"""),70.0)</f>
        <v/>
      </c>
      <c r="O135" s="72" t="n"/>
      <c r="S135" s="4" t="n"/>
    </row>
    <row r="136">
      <c r="A136" s="74">
        <f>IFERROR(__xludf.DUMMYFUNCTION("""COMPUTED_VALUE"""),46195.0)</f>
        <v/>
      </c>
      <c r="B136" s="72">
        <f>IFERROR(__xludf.DUMMYFUNCTION("""COMPUTED_VALUE"""),427.0)</f>
        <v/>
      </c>
      <c r="C136" s="75">
        <f>IFERROR(__xludf.DUMMYFUNCTION("""COMPUTED_VALUE"""),1663301.2)</f>
        <v/>
      </c>
      <c r="D136" s="75">
        <f>IFERROR(__xludf.DUMMYFUNCTION("""COMPUTED_VALUE"""),"VES")</f>
        <v/>
      </c>
      <c r="E136" s="75">
        <f>IFERROR(__xludf.DUMMYFUNCTION("""COMPUTED_VALUE"""),"Bancamiga")</f>
        <v/>
      </c>
      <c r="F136" s="75">
        <f>IFERROR(__xludf.DUMMYFUNCTION("""COMPUTED_VALUE"""),"CONSTRUCTORA GRANO AGREGADO, C.A")</f>
        <v/>
      </c>
      <c r="G136" s="76">
        <f>IFERROR(__xludf.DUMMYFUNCTION("""COMPUTED_VALUE"""),"RONALD")</f>
        <v/>
      </c>
      <c r="H136" s="76">
        <f>IFERROR(__xludf.DUMMYFUNCTION("""COMPUTED_VALUE"""),612.4332)</f>
        <v/>
      </c>
      <c r="I136" s="75" t="n"/>
      <c r="J136" s="77">
        <f>IFERROR(__xludf.DUMMYFUNCTION("""COMPUTED_VALUE"""),2715.8899942067146)</f>
        <v/>
      </c>
      <c r="K136" s="4">
        <f>IFERROR(__xludf.DUMMYFUNCTION("""COMPUTED_VALUE"""),0.0)</f>
        <v/>
      </c>
      <c r="L136" s="77">
        <f>IFERROR(__xludf.DUMMYFUNCTION("""COMPUTED_VALUE"""),2715.8899942067146)</f>
        <v/>
      </c>
      <c r="O136" s="72" t="n"/>
      <c r="S136" s="4" t="n"/>
    </row>
    <row r="137">
      <c r="A137" s="74">
        <f>IFERROR(__xludf.DUMMYFUNCTION("""COMPUTED_VALUE"""),46196.0)</f>
        <v/>
      </c>
      <c r="B137" s="72">
        <f>IFERROR(__xludf.DUMMYFUNCTION("""COMPUTED_VALUE"""),594.0)</f>
        <v/>
      </c>
      <c r="C137" s="75">
        <f>IFERROR(__xludf.DUMMYFUNCTION("""COMPUTED_VALUE"""),20.0)</f>
        <v/>
      </c>
      <c r="D137" s="75">
        <f>IFERROR(__xludf.DUMMYFUNCTION("""COMPUTED_VALUE"""),"USD")</f>
        <v/>
      </c>
      <c r="E137" s="75">
        <f>IFERROR(__xludf.DUMMYFUNCTION("""COMPUTED_VALUE"""),"Efectivo USD")</f>
        <v/>
      </c>
      <c r="F137" s="75">
        <f>IFERROR(__xludf.DUMMYFUNCTION("""COMPUTED_VALUE"""),"Junior Bermudez")</f>
        <v/>
      </c>
      <c r="G137" s="76">
        <f>IFERROR(__xludf.DUMMYFUNCTION("""COMPUTED_VALUE"""),"PEREZ DIAZ ANGEL DE DIOS")</f>
        <v/>
      </c>
      <c r="H137" s="76">
        <f>IFERROR(__xludf.DUMMYFUNCTION("""COMPUTED_VALUE"""),617.6388)</f>
        <v/>
      </c>
      <c r="I137" s="75" t="n"/>
      <c r="J137" s="77">
        <f>IFERROR(__xludf.DUMMYFUNCTION("""COMPUTED_VALUE"""),20.0)</f>
        <v/>
      </c>
      <c r="K137" s="4">
        <f>IFERROR(__xludf.DUMMYFUNCTION("""COMPUTED_VALUE"""),20.0)</f>
        <v/>
      </c>
      <c r="L137" s="77">
        <f>IFERROR(__xludf.DUMMYFUNCTION("""COMPUTED_VALUE"""),20.0)</f>
        <v/>
      </c>
      <c r="O137" s="72" t="n"/>
      <c r="S137" s="4" t="n"/>
    </row>
    <row r="138">
      <c r="A138" s="74">
        <f>IFERROR(__xludf.DUMMYFUNCTION("""COMPUTED_VALUE"""),46202.0)</f>
        <v/>
      </c>
      <c r="B138" s="72">
        <f>IFERROR(__xludf.DUMMYFUNCTION("""COMPUTED_VALUE"""),580.0)</f>
        <v/>
      </c>
      <c r="C138" s="75">
        <f>IFERROR(__xludf.DUMMYFUNCTION("""COMPUTED_VALUE"""),242396.7)</f>
        <v/>
      </c>
      <c r="D138" s="75">
        <f>IFERROR(__xludf.DUMMYFUNCTION("""COMPUTED_VALUE"""),"VES")</f>
        <v/>
      </c>
      <c r="E138" s="75">
        <f>IFERROR(__xludf.DUMMYFUNCTION("""COMPUTED_VALUE"""),"Bancamiga")</f>
        <v/>
      </c>
      <c r="F138" s="75">
        <f>IFERROR(__xludf.DUMMYFUNCTION("""COMPUTED_VALUE"""),"Sandra Katherine Quintero Crespo")</f>
        <v/>
      </c>
      <c r="G138" s="76">
        <f>IFERROR(__xludf.DUMMYFUNCTION("""COMPUTED_VALUE"""),"QUEVEDO BASTIDAS NEYKEL DAVID")</f>
        <v/>
      </c>
      <c r="H138" s="76">
        <f>IFERROR(__xludf.DUMMYFUNCTION("""COMPUTED_VALUE"""),622.2135)</f>
        <v/>
      </c>
      <c r="I138" s="75" t="n"/>
      <c r="J138" s="77">
        <f>IFERROR(__xludf.DUMMYFUNCTION("""COMPUTED_VALUE"""),389.5715859588389)</f>
        <v/>
      </c>
      <c r="K138" s="4">
        <f>IFERROR(__xludf.DUMMYFUNCTION("""COMPUTED_VALUE"""),0.0)</f>
        <v/>
      </c>
      <c r="L138" s="77">
        <f>IFERROR(__xludf.DUMMYFUNCTION("""COMPUTED_VALUE"""),389.5715859588389)</f>
        <v/>
      </c>
      <c r="O138" s="72" t="n"/>
      <c r="S138" s="4" t="n"/>
    </row>
    <row r="139">
      <c r="A139" s="74">
        <f>IFERROR(__xludf.DUMMYFUNCTION("""COMPUTED_VALUE"""),46204.0)</f>
        <v/>
      </c>
      <c r="B139" s="72">
        <f>IFERROR(__xludf.DUMMYFUNCTION("""COMPUTED_VALUE"""),388.0)</f>
        <v/>
      </c>
      <c r="C139" s="75">
        <f>IFERROR(__xludf.DUMMYFUNCTION("""COMPUTED_VALUE"""),30000.0)</f>
        <v/>
      </c>
      <c r="D139" s="75">
        <f>IFERROR(__xludf.DUMMYFUNCTION("""COMPUTED_VALUE"""),"VES")</f>
        <v/>
      </c>
      <c r="E139" s="75">
        <f>IFERROR(__xludf.DUMMYFUNCTION("""COMPUTED_VALUE"""),"Bancamiga")</f>
        <v/>
      </c>
      <c r="F139" s="75">
        <f>IFERROR(__xludf.DUMMYFUNCTION("""COMPUTED_VALUE"""),"Ricardo A. Fernandez.")</f>
        <v/>
      </c>
      <c r="G139" s="76">
        <f>IFERROR(__xludf.DUMMYFUNCTION("""COMPUTED_VALUE"""),"MARTINEZ MONTES JEFFREY ENRIQUE")</f>
        <v/>
      </c>
      <c r="H139" s="76">
        <f>IFERROR(__xludf.DUMMYFUNCTION("""COMPUTED_VALUE"""),633.3644)</f>
        <v/>
      </c>
      <c r="I139" s="75" t="n"/>
      <c r="J139" s="77">
        <f>IFERROR(__xludf.DUMMYFUNCTION("""COMPUTED_VALUE"""),47.366097620895644)</f>
        <v/>
      </c>
      <c r="K139" s="4">
        <f>IFERROR(__xludf.DUMMYFUNCTION("""COMPUTED_VALUE"""),0.0)</f>
        <v/>
      </c>
      <c r="L139" s="77">
        <f>IFERROR(__xludf.DUMMYFUNCTION("""COMPUTED_VALUE"""),47.366097620895644)</f>
        <v/>
      </c>
      <c r="O139" s="72" t="n"/>
      <c r="S139" s="4" t="n"/>
    </row>
    <row r="140">
      <c r="A140" s="74">
        <f>IFERROR(__xludf.DUMMYFUNCTION("""COMPUTED_VALUE"""),46205.0)</f>
        <v/>
      </c>
      <c r="B140" s="72">
        <f>IFERROR(__xludf.DUMMYFUNCTION("""COMPUTED_VALUE"""),624.0)</f>
        <v/>
      </c>
      <c r="C140" s="75">
        <f>IFERROR(__xludf.DUMMYFUNCTION("""COMPUTED_VALUE"""),74.0)</f>
        <v/>
      </c>
      <c r="D140" s="75">
        <f>IFERROR(__xludf.DUMMYFUNCTION("""COMPUTED_VALUE"""),"USD")</f>
        <v/>
      </c>
      <c r="E140" s="75">
        <f>IFERROR(__xludf.DUMMYFUNCTION("""COMPUTED_VALUE"""),"Efectivo USD")</f>
        <v/>
      </c>
      <c r="F140" s="75">
        <f>IFERROR(__xludf.DUMMYFUNCTION("""COMPUTED_VALUE"""),"Ramon Muñoz")</f>
        <v/>
      </c>
      <c r="G140" s="76">
        <f>IFERROR(__xludf.DUMMYFUNCTION("""COMPUTED_VALUE"""),"ADMINISTRACION")</f>
        <v/>
      </c>
      <c r="H140" s="76">
        <f>IFERROR(__xludf.DUMMYFUNCTION("""COMPUTED_VALUE"""),639.7029)</f>
        <v/>
      </c>
      <c r="I140" s="75" t="n"/>
      <c r="J140" s="77">
        <f>IFERROR(__xludf.DUMMYFUNCTION("""COMPUTED_VALUE"""),74.0)</f>
        <v/>
      </c>
      <c r="K140" s="4">
        <f>IFERROR(__xludf.DUMMYFUNCTION("""COMPUTED_VALUE"""),74.0)</f>
        <v/>
      </c>
      <c r="L140" s="77">
        <f>IFERROR(__xludf.DUMMYFUNCTION("""COMPUTED_VALUE"""),74.0)</f>
        <v/>
      </c>
      <c r="O140" s="72" t="n"/>
      <c r="S140" s="4" t="n"/>
    </row>
    <row r="141">
      <c r="A141" s="74">
        <f>IFERROR(__xludf.DUMMYFUNCTION("""COMPUTED_VALUE"""),46169.0)</f>
        <v/>
      </c>
      <c r="B141" s="72">
        <f>IFERROR(__xludf.DUMMYFUNCTION("""COMPUTED_VALUE"""),376.0)</f>
        <v/>
      </c>
      <c r="C141" s="75">
        <f>IFERROR(__xludf.DUMMYFUNCTION("""COMPUTED_VALUE"""),1.0)</f>
        <v/>
      </c>
      <c r="D141" s="75">
        <f>IFERROR(__xludf.DUMMYFUNCTION("""COMPUTED_VALUE"""),"USD")</f>
        <v/>
      </c>
      <c r="E141" s="75">
        <f>IFERROR(__xludf.DUMMYFUNCTION("""COMPUTED_VALUE"""),"Efectivo USD")</f>
        <v/>
      </c>
      <c r="F141" s="75">
        <f>IFERROR(__xludf.DUMMYFUNCTION("""COMPUTED_VALUE"""),"CLUDE CARVALHO DE ACOSTA")</f>
        <v/>
      </c>
      <c r="G141" s="76">
        <f>IFERROR(__xludf.DUMMYFUNCTION("""COMPUTED_VALUE"""),"TORO ARDILES DAVID JOSE")</f>
        <v/>
      </c>
      <c r="H141" s="76">
        <f>IFERROR(__xludf.DUMMYFUNCTION("""COMPUTED_VALUE"""),540.0431)</f>
        <v/>
      </c>
      <c r="I141" s="75" t="n"/>
      <c r="J141" s="77">
        <f>IFERROR(__xludf.DUMMYFUNCTION("""COMPUTED_VALUE"""),1.0)</f>
        <v/>
      </c>
      <c r="K141" s="4">
        <f>IFERROR(__xludf.DUMMYFUNCTION("""COMPUTED_VALUE"""),1.0)</f>
        <v/>
      </c>
      <c r="L141" s="77">
        <f>IFERROR(__xludf.DUMMYFUNCTION("""COMPUTED_VALUE"""),1.0)</f>
        <v/>
      </c>
      <c r="O141" s="72" t="n"/>
      <c r="S141" s="4" t="n"/>
    </row>
    <row r="142">
      <c r="A142" s="74">
        <f>IFERROR(__xludf.DUMMYFUNCTION("""COMPUTED_VALUE"""),46170.0)</f>
        <v/>
      </c>
      <c r="B142" s="72">
        <f>IFERROR(__xludf.DUMMYFUNCTION("""COMPUTED_VALUE"""),462.0)</f>
        <v/>
      </c>
      <c r="C142" s="75">
        <f>IFERROR(__xludf.DUMMYFUNCTION("""COMPUTED_VALUE"""),161.0)</f>
        <v/>
      </c>
      <c r="D142" s="75">
        <f>IFERROR(__xludf.DUMMYFUNCTION("""COMPUTED_VALUE"""),"USD")</f>
        <v/>
      </c>
      <c r="E142" s="75">
        <f>IFERROR(__xludf.DUMMYFUNCTION("""COMPUTED_VALUE"""),"Efectivo USD")</f>
        <v/>
      </c>
      <c r="F142" s="75">
        <f>IFERROR(__xludf.DUMMYFUNCTION("""COMPUTED_VALUE"""),"Edward Belén")</f>
        <v/>
      </c>
      <c r="G142" s="75" t="n"/>
      <c r="H142" s="76">
        <f>IFERROR(__xludf.DUMMYFUNCTION("""COMPUTED_VALUE"""),544.5794)</f>
        <v/>
      </c>
      <c r="I142" s="75" t="n"/>
      <c r="J142" s="77">
        <f>IFERROR(__xludf.DUMMYFUNCTION("""COMPUTED_VALUE"""),161.0)</f>
        <v/>
      </c>
      <c r="K142" s="4">
        <f>IFERROR(__xludf.DUMMYFUNCTION("""COMPUTED_VALUE"""),161.0)</f>
        <v/>
      </c>
      <c r="L142" s="77">
        <f>IFERROR(__xludf.DUMMYFUNCTION("""COMPUTED_VALUE"""),161.0)</f>
        <v/>
      </c>
      <c r="O142" s="72" t="n"/>
      <c r="S142" s="4" t="n"/>
    </row>
    <row r="143">
      <c r="A143" s="74">
        <f>IFERROR(__xludf.DUMMYFUNCTION("""COMPUTED_VALUE"""),46167.0)</f>
        <v/>
      </c>
      <c r="B143" s="72">
        <f>IFERROR(__xludf.DUMMYFUNCTION("""COMPUTED_VALUE"""),214.0)</f>
        <v/>
      </c>
      <c r="C143" s="75">
        <f>IFERROR(__xludf.DUMMYFUNCTION("""COMPUTED_VALUE"""),1782044.86)</f>
        <v/>
      </c>
      <c r="D143" s="75">
        <f>IFERROR(__xludf.DUMMYFUNCTION("""COMPUTED_VALUE"""),"VES")</f>
        <v/>
      </c>
      <c r="E143" s="75">
        <f>IFERROR(__xludf.DUMMYFUNCTION("""COMPUTED_VALUE"""),"Bancamiga")</f>
        <v/>
      </c>
      <c r="F143" s="75">
        <f>IFERROR(__xludf.DUMMYFUNCTION("""COMPUTED_VALUE"""),"CONSTRUCTORA GRANO AGREGADO, C.A")</f>
        <v/>
      </c>
      <c r="G143" s="75" t="n"/>
      <c r="H143" s="76">
        <f>IFERROR(__xludf.DUMMYFUNCTION("""COMPUTED_VALUE"""),530.5047)</f>
        <v/>
      </c>
      <c r="I143" s="75" t="n"/>
      <c r="J143" s="77">
        <f>IFERROR(__xludf.DUMMYFUNCTION("""COMPUTED_VALUE"""),3359.149994335583)</f>
        <v/>
      </c>
      <c r="K143" s="4">
        <f>IFERROR(__xludf.DUMMYFUNCTION("""COMPUTED_VALUE"""),0.0)</f>
        <v/>
      </c>
      <c r="L143" s="77">
        <f>IFERROR(__xludf.DUMMYFUNCTION("""COMPUTED_VALUE"""),3359.149994335583)</f>
        <v/>
      </c>
      <c r="O143" s="72" t="n"/>
      <c r="S143" s="4" t="n"/>
    </row>
    <row r="144">
      <c r="A144" s="74">
        <f>IFERROR(__xludf.DUMMYFUNCTION("""COMPUTED_VALUE"""),46188.0)</f>
        <v/>
      </c>
      <c r="B144" s="72">
        <f>IFERROR(__xludf.DUMMYFUNCTION("""COMPUTED_VALUE"""),427.0)</f>
        <v/>
      </c>
      <c r="C144" s="75">
        <f>IFERROR(__xludf.DUMMYFUNCTION("""COMPUTED_VALUE"""),1595329.81)</f>
        <v/>
      </c>
      <c r="D144" s="75">
        <f>IFERROR(__xludf.DUMMYFUNCTION("""COMPUTED_VALUE"""),"VES")</f>
        <v/>
      </c>
      <c r="E144" s="75">
        <f>IFERROR(__xludf.DUMMYFUNCTION("""COMPUTED_VALUE"""),"Bancamiga")</f>
        <v/>
      </c>
      <c r="F144" s="75">
        <f>IFERROR(__xludf.DUMMYFUNCTION("""COMPUTED_VALUE"""),"CONSTRUCTORA GRANO AGREGADO, C.A")</f>
        <v/>
      </c>
      <c r="G144" s="75" t="n"/>
      <c r="H144" s="76">
        <f>IFERROR(__xludf.DUMMYFUNCTION("""COMPUTED_VALUE"""),587.4059)</f>
        <v/>
      </c>
      <c r="I144" s="75" t="n"/>
      <c r="J144" s="77">
        <f>IFERROR(__xludf.DUMMYFUNCTION("""COMPUTED_VALUE"""),2715.890000423898)</f>
        <v/>
      </c>
      <c r="K144" s="4">
        <f>IFERROR(__xludf.DUMMYFUNCTION("""COMPUTED_VALUE"""),0.0)</f>
        <v/>
      </c>
      <c r="L144" s="77">
        <f>IFERROR(__xludf.DUMMYFUNCTION("""COMPUTED_VALUE"""),2715.890000423898)</f>
        <v/>
      </c>
      <c r="O144" s="72" t="n"/>
      <c r="S144" s="4" t="n"/>
    </row>
    <row r="145">
      <c r="A145" s="74">
        <f>IFERROR(__xludf.DUMMYFUNCTION("""COMPUTED_VALUE"""),46204.0)</f>
        <v/>
      </c>
      <c r="B145" s="72">
        <f>IFERROR(__xludf.DUMMYFUNCTION("""COMPUTED_VALUE"""),610.0)</f>
        <v/>
      </c>
      <c r="C145" s="75">
        <f>IFERROR(__xludf.DUMMYFUNCTION("""COMPUTED_VALUE"""),1512.98)</f>
        <v/>
      </c>
      <c r="D145" s="75">
        <f>IFERROR(__xludf.DUMMYFUNCTION("""COMPUTED_VALUE"""),"USD")</f>
        <v/>
      </c>
      <c r="E145" s="75">
        <f>IFERROR(__xludf.DUMMYFUNCTION("""COMPUTED_VALUE"""),"Binance")</f>
        <v/>
      </c>
      <c r="F145" s="75">
        <f>IFERROR(__xludf.DUMMYFUNCTION("""COMPUTED_VALUE"""),"AGROPECUARIA EL TORO DORADO, C.A")</f>
        <v/>
      </c>
      <c r="G145" s="75" t="n"/>
      <c r="H145" s="76">
        <f>IFERROR(__xludf.DUMMYFUNCTION("""COMPUTED_VALUE"""),633.3644)</f>
        <v/>
      </c>
      <c r="I145" s="75" t="n"/>
      <c r="J145" s="77">
        <f>IFERROR(__xludf.DUMMYFUNCTION("""COMPUTED_VALUE"""),1512.98)</f>
        <v/>
      </c>
      <c r="K145" s="4">
        <f>IFERROR(__xludf.DUMMYFUNCTION("""COMPUTED_VALUE"""),1512.98)</f>
        <v/>
      </c>
      <c r="L145" s="77">
        <f>IFERROR(__xludf.DUMMYFUNCTION("""COMPUTED_VALUE"""),1512.98)</f>
        <v/>
      </c>
      <c r="O145" s="72" t="n"/>
      <c r="S145" s="4" t="n"/>
    </row>
    <row r="146">
      <c r="A146" s="74">
        <f>IFERROR(__xludf.DUMMYFUNCTION("""COMPUTED_VALUE"""),46169.0)</f>
        <v/>
      </c>
      <c r="B146" s="72">
        <f>IFERROR(__xludf.DUMMYFUNCTION("""COMPUTED_VALUE"""),450.0)</f>
        <v/>
      </c>
      <c r="C146" s="75">
        <f>IFERROR(__xludf.DUMMYFUNCTION("""COMPUTED_VALUE"""),225.0)</f>
        <v/>
      </c>
      <c r="D146" s="75">
        <f>IFERROR(__xludf.DUMMYFUNCTION("""COMPUTED_VALUE"""),"USD")</f>
        <v/>
      </c>
      <c r="E146" s="75">
        <f>IFERROR(__xludf.DUMMYFUNCTION("""COMPUTED_VALUE"""),"Efectivo USD")</f>
        <v/>
      </c>
      <c r="F146" s="75">
        <f>IFERROR(__xludf.DUMMYFUNCTION("""COMPUTED_VALUE"""),"AGROPECUARIA EL TORO DORADO, C.A")</f>
        <v/>
      </c>
      <c r="G146" s="75" t="n"/>
      <c r="H146" s="76">
        <f>IFERROR(__xludf.DUMMYFUNCTION("""COMPUTED_VALUE"""),540.0431)</f>
        <v/>
      </c>
      <c r="I146" s="75" t="n"/>
      <c r="J146" s="77">
        <f>IFERROR(__xludf.DUMMYFUNCTION("""COMPUTED_VALUE"""),225.0)</f>
        <v/>
      </c>
      <c r="K146" s="4">
        <f>IFERROR(__xludf.DUMMYFUNCTION("""COMPUTED_VALUE"""),225.0)</f>
        <v/>
      </c>
      <c r="L146" s="77">
        <f>IFERROR(__xludf.DUMMYFUNCTION("""COMPUTED_VALUE"""),225.0)</f>
        <v/>
      </c>
      <c r="O146" s="72" t="n"/>
      <c r="S146" s="4" t="n"/>
    </row>
    <row r="147">
      <c r="A147" s="74">
        <f>IFERROR(__xludf.DUMMYFUNCTION("""COMPUTED_VALUE"""),46165.0)</f>
        <v/>
      </c>
      <c r="B147" s="72">
        <f>IFERROR(__xludf.DUMMYFUNCTION("""COMPUTED_VALUE"""),247.0)</f>
        <v/>
      </c>
      <c r="C147" s="75">
        <f>IFERROR(__xludf.DUMMYFUNCTION("""COMPUTED_VALUE"""),238978.43)</f>
        <v/>
      </c>
      <c r="D147" s="75">
        <f>IFERROR(__xludf.DUMMYFUNCTION("""COMPUTED_VALUE"""),"VES")</f>
        <v/>
      </c>
      <c r="E147" s="75">
        <f>IFERROR(__xludf.DUMMYFUNCTION("""COMPUTED_VALUE"""),"Bancamiga")</f>
        <v/>
      </c>
      <c r="F147" s="75">
        <f>IFERROR(__xludf.DUMMYFUNCTION("""COMPUTED_VALUE"""),"Multiservicios Arizona, C.A.")</f>
        <v/>
      </c>
      <c r="G147" s="75" t="n"/>
      <c r="H147" s="76">
        <f>IFERROR(__xludf.DUMMYFUNCTION("""COMPUTED_VALUE"""),526.8694)</f>
        <v/>
      </c>
      <c r="I147" s="75" t="n"/>
      <c r="J147" s="77">
        <f>IFERROR(__xludf.DUMMYFUNCTION("""COMPUTED_VALUE"""),453.5819123296968)</f>
        <v/>
      </c>
      <c r="K147" s="4">
        <f>IFERROR(__xludf.DUMMYFUNCTION("""COMPUTED_VALUE"""),0.0)</f>
        <v/>
      </c>
      <c r="L147" s="77">
        <f>IFERROR(__xludf.DUMMYFUNCTION("""COMPUTED_VALUE"""),453.5819123296968)</f>
        <v/>
      </c>
      <c r="O147" s="72" t="n"/>
      <c r="S147" s="4" t="n"/>
    </row>
    <row r="148">
      <c r="A148" s="74">
        <f>IFERROR(__xludf.DUMMYFUNCTION("""COMPUTED_VALUE"""),46172.0)</f>
        <v/>
      </c>
      <c r="B148" s="72">
        <f>IFERROR(__xludf.DUMMYFUNCTION("""COMPUTED_VALUE"""),509.0)</f>
        <v/>
      </c>
      <c r="C148" s="75">
        <f>IFERROR(__xludf.DUMMYFUNCTION("""COMPUTED_VALUE"""),73.0)</f>
        <v/>
      </c>
      <c r="D148" s="75">
        <f>IFERROR(__xludf.DUMMYFUNCTION("""COMPUTED_VALUE"""),"USD")</f>
        <v/>
      </c>
      <c r="E148" s="75">
        <f>IFERROR(__xludf.DUMMYFUNCTION("""COMPUTED_VALUE"""),"Efectivo USD")</f>
        <v/>
      </c>
      <c r="F148" s="75">
        <f>IFERROR(__xludf.DUMMYFUNCTION("""COMPUTED_VALUE"""),"GRIMAN DIAZ HECTOR EDUARDO")</f>
        <v/>
      </c>
      <c r="G148" s="75" t="n"/>
      <c r="H148" s="76">
        <f>IFERROR(__xludf.DUMMYFUNCTION("""COMPUTED_VALUE"""),549.3716)</f>
        <v/>
      </c>
      <c r="I148" s="75" t="n"/>
      <c r="J148" s="77">
        <f>IFERROR(__xludf.DUMMYFUNCTION("""COMPUTED_VALUE"""),73.0)</f>
        <v/>
      </c>
      <c r="K148" s="4">
        <f>IFERROR(__xludf.DUMMYFUNCTION("""COMPUTED_VALUE"""),73.0)</f>
        <v/>
      </c>
      <c r="L148" s="77">
        <f>IFERROR(__xludf.DUMMYFUNCTION("""COMPUTED_VALUE"""),73.0)</f>
        <v/>
      </c>
      <c r="O148" s="72" t="n"/>
      <c r="S148" s="4" t="n"/>
    </row>
    <row r="149">
      <c r="A149" s="74">
        <f>IFERROR(__xludf.DUMMYFUNCTION("""COMPUTED_VALUE"""),46178.0)</f>
        <v/>
      </c>
      <c r="B149" s="72">
        <f>IFERROR(__xludf.DUMMYFUNCTION("""COMPUTED_VALUE"""),428.0)</f>
        <v/>
      </c>
      <c r="C149" s="75">
        <f>IFERROR(__xludf.DUMMYFUNCTION("""COMPUTED_VALUE"""),76.0)</f>
        <v/>
      </c>
      <c r="D149" s="75">
        <f>IFERROR(__xludf.DUMMYFUNCTION("""COMPUTED_VALUE"""),"USD")</f>
        <v/>
      </c>
      <c r="E149" s="75">
        <f>IFERROR(__xludf.DUMMYFUNCTION("""COMPUTED_VALUE"""),"Efectivo USD")</f>
        <v/>
      </c>
      <c r="F149" s="75">
        <f>IFERROR(__xludf.DUMMYFUNCTION("""COMPUTED_VALUE"""),"ANGEL ARMAS")</f>
        <v/>
      </c>
      <c r="G149" s="75" t="n"/>
      <c r="H149" s="76">
        <f>IFERROR(__xludf.DUMMYFUNCTION("""COMPUTED_VALUE"""),563.2892)</f>
        <v/>
      </c>
      <c r="I149" s="75" t="n"/>
      <c r="J149" s="77">
        <f>IFERROR(__xludf.DUMMYFUNCTION("""COMPUTED_VALUE"""),76.0)</f>
        <v/>
      </c>
      <c r="K149" s="4">
        <f>IFERROR(__xludf.DUMMYFUNCTION("""COMPUTED_VALUE"""),76.0)</f>
        <v/>
      </c>
      <c r="L149" s="77">
        <f>IFERROR(__xludf.DUMMYFUNCTION("""COMPUTED_VALUE"""),76.0)</f>
        <v/>
      </c>
      <c r="O149" s="72" t="n"/>
      <c r="S149" s="4" t="n"/>
    </row>
    <row r="150">
      <c r="A150" s="74">
        <f>IFERROR(__xludf.DUMMYFUNCTION("""COMPUTED_VALUE"""),46205.0)</f>
        <v/>
      </c>
      <c r="B150" s="72">
        <f>IFERROR(__xludf.DUMMYFUNCTION("""COMPUTED_VALUE"""),623.0)</f>
        <v/>
      </c>
      <c r="C150" s="75">
        <f>IFERROR(__xludf.DUMMYFUNCTION("""COMPUTED_VALUE"""),53.0)</f>
        <v/>
      </c>
      <c r="D150" s="75">
        <f>IFERROR(__xludf.DUMMYFUNCTION("""COMPUTED_VALUE"""),"USD")</f>
        <v/>
      </c>
      <c r="E150" s="75">
        <f>IFERROR(__xludf.DUMMYFUNCTION("""COMPUTED_VALUE"""),"Efectivo USD")</f>
        <v/>
      </c>
      <c r="F150" s="75">
        <f>IFERROR(__xludf.DUMMYFUNCTION("""COMPUTED_VALUE"""),"Jose Gabriel Perez Mendez")</f>
        <v/>
      </c>
      <c r="G150" s="76">
        <f>IFERROR(__xludf.DUMMYFUNCTION("""COMPUTED_VALUE"""),"ADMINISTRACION")</f>
        <v/>
      </c>
      <c r="H150" s="76">
        <f>IFERROR(__xludf.DUMMYFUNCTION("""COMPUTED_VALUE"""),639.7029)</f>
        <v/>
      </c>
      <c r="I150" s="75" t="n"/>
      <c r="J150" s="77">
        <f>IFERROR(__xludf.DUMMYFUNCTION("""COMPUTED_VALUE"""),53.0)</f>
        <v/>
      </c>
      <c r="K150" s="4">
        <f>IFERROR(__xludf.DUMMYFUNCTION("""COMPUTED_VALUE"""),53.0)</f>
        <v/>
      </c>
      <c r="L150" s="77">
        <f>IFERROR(__xludf.DUMMYFUNCTION("""COMPUTED_VALUE"""),53.0)</f>
        <v/>
      </c>
      <c r="O150" s="72" t="n"/>
      <c r="S150" s="4" t="n"/>
    </row>
    <row r="151">
      <c r="A151" s="74">
        <f>IFERROR(__xludf.DUMMYFUNCTION("""COMPUTED_VALUE"""),46127.0)</f>
        <v/>
      </c>
      <c r="B151" s="72">
        <f>IFERROR(__xludf.DUMMYFUNCTION("""COMPUTED_VALUE"""),165.0)</f>
        <v/>
      </c>
      <c r="C151" s="75">
        <f>IFERROR(__xludf.DUMMYFUNCTION("""COMPUTED_VALUE"""),71787.16)</f>
        <v/>
      </c>
      <c r="D151" s="75">
        <f>IFERROR(__xludf.DUMMYFUNCTION("""COMPUTED_VALUE"""),"VES")</f>
        <v/>
      </c>
      <c r="E151" s="75">
        <f>IFERROR(__xludf.DUMMYFUNCTION("""COMPUTED_VALUE"""),"Bancamiga")</f>
        <v/>
      </c>
      <c r="F151" s="75">
        <f>IFERROR(__xludf.DUMMYFUNCTION("""COMPUTED_VALUE"""),"EMPRENDIMIENTO HECTOR LLAMOZA")</f>
        <v/>
      </c>
      <c r="G151" s="76">
        <f>IFERROR(__xludf.DUMMYFUNCTION("""COMPUTED_VALUE"""),"VILLABONA CORREA ALBA ESTEFANIA")</f>
        <v/>
      </c>
      <c r="H151" s="76">
        <f>IFERROR(__xludf.DUMMYFUNCTION("""COMPUTED_VALUE"""),478.5811)</f>
        <v/>
      </c>
      <c r="I151" s="75" t="n"/>
      <c r="J151" s="77">
        <f>IFERROR(__xludf.DUMMYFUNCTION("""COMPUTED_VALUE"""),149.99998955244996)</f>
        <v/>
      </c>
      <c r="K151" s="4">
        <f>IFERROR(__xludf.DUMMYFUNCTION("""COMPUTED_VALUE"""),0.0)</f>
        <v/>
      </c>
      <c r="L151" s="77">
        <f>IFERROR(__xludf.DUMMYFUNCTION("""COMPUTED_VALUE"""),149.99998955244996)</f>
        <v/>
      </c>
      <c r="O151" s="72" t="n"/>
      <c r="S151" s="4" t="n"/>
    </row>
    <row r="152">
      <c r="A152" s="74">
        <f>IFERROR(__xludf.DUMMYFUNCTION("""COMPUTED_VALUE"""),46127.0)</f>
        <v/>
      </c>
      <c r="B152" s="72">
        <f>IFERROR(__xludf.DUMMYFUNCTION("""COMPUTED_VALUE"""),83.0)</f>
        <v/>
      </c>
      <c r="C152" s="75">
        <f>IFERROR(__xludf.DUMMYFUNCTION("""COMPUTED_VALUE"""),25.0)</f>
        <v/>
      </c>
      <c r="D152" s="75">
        <f>IFERROR(__xludf.DUMMYFUNCTION("""COMPUTED_VALUE"""),"USD")</f>
        <v/>
      </c>
      <c r="E152" s="75">
        <f>IFERROR(__xludf.DUMMYFUNCTION("""COMPUTED_VALUE"""),"Efectivo USD")</f>
        <v/>
      </c>
      <c r="F152" s="75">
        <f>IFERROR(__xludf.DUMMYFUNCTION("""COMPUTED_VALUE"""),"Inversiones Famasa, C.A")</f>
        <v/>
      </c>
      <c r="G152" s="76">
        <f>IFERROR(__xludf.DUMMYFUNCTION("""COMPUTED_VALUE"""),"MARTINEZ MONTES JEFFREY ENRIQUE")</f>
        <v/>
      </c>
      <c r="H152" s="76">
        <f>IFERROR(__xludf.DUMMYFUNCTION("""COMPUTED_VALUE"""),478.5811)</f>
        <v/>
      </c>
      <c r="I152" s="75" t="n"/>
      <c r="J152" s="77">
        <f>IFERROR(__xludf.DUMMYFUNCTION("""COMPUTED_VALUE"""),25.0)</f>
        <v/>
      </c>
      <c r="K152" s="4">
        <f>IFERROR(__xludf.DUMMYFUNCTION("""COMPUTED_VALUE"""),25.0)</f>
        <v/>
      </c>
      <c r="L152" s="77">
        <f>IFERROR(__xludf.DUMMYFUNCTION("""COMPUTED_VALUE"""),25.0)</f>
        <v/>
      </c>
      <c r="O152" s="72" t="n"/>
      <c r="S152" s="4" t="n"/>
    </row>
    <row r="153">
      <c r="A153" s="74">
        <f>IFERROR(__xludf.DUMMYFUNCTION("""COMPUTED_VALUE"""),46127.0)</f>
        <v/>
      </c>
      <c r="B153" s="72">
        <f>IFERROR(__xludf.DUMMYFUNCTION("""COMPUTED_VALUE"""),122.0)</f>
        <v/>
      </c>
      <c r="C153" s="75">
        <f>IFERROR(__xludf.DUMMYFUNCTION("""COMPUTED_VALUE"""),20.0)</f>
        <v/>
      </c>
      <c r="D153" s="75">
        <f>IFERROR(__xludf.DUMMYFUNCTION("""COMPUTED_VALUE"""),"USD")</f>
        <v/>
      </c>
      <c r="E153" s="75">
        <f>IFERROR(__xludf.DUMMYFUNCTION("""COMPUTED_VALUE"""),"Efectivo USD")</f>
        <v/>
      </c>
      <c r="F153" s="75">
        <f>IFERROR(__xludf.DUMMYFUNCTION("""COMPUTED_VALUE"""),"Emprendimiento Tomas Paz")</f>
        <v/>
      </c>
      <c r="G153" s="76">
        <f>IFERROR(__xludf.DUMMYFUNCTION("""COMPUTED_VALUE"""),"MARTINEZ MONTES JEFFREY ENRIQUE")</f>
        <v/>
      </c>
      <c r="H153" s="76">
        <f>IFERROR(__xludf.DUMMYFUNCTION("""COMPUTED_VALUE"""),478.5811)</f>
        <v/>
      </c>
      <c r="I153" s="75" t="n"/>
      <c r="J153" s="77">
        <f>IFERROR(__xludf.DUMMYFUNCTION("""COMPUTED_VALUE"""),20.0)</f>
        <v/>
      </c>
      <c r="K153" s="4">
        <f>IFERROR(__xludf.DUMMYFUNCTION("""COMPUTED_VALUE"""),20.0)</f>
        <v/>
      </c>
      <c r="L153" s="77">
        <f>IFERROR(__xludf.DUMMYFUNCTION("""COMPUTED_VALUE"""),20.0)</f>
        <v/>
      </c>
      <c r="O153" s="72" t="n"/>
      <c r="S153" s="4" t="n"/>
    </row>
    <row r="154">
      <c r="A154" s="74">
        <f>IFERROR(__xludf.DUMMYFUNCTION("""COMPUTED_VALUE"""),46126.0)</f>
        <v/>
      </c>
      <c r="B154" s="72">
        <f>IFERROR(__xludf.DUMMYFUNCTION("""COMPUTED_VALUE"""),159.0)</f>
        <v/>
      </c>
      <c r="C154" s="75">
        <f>IFERROR(__xludf.DUMMYFUNCTION("""COMPUTED_VALUE"""),220.0)</f>
        <v/>
      </c>
      <c r="D154" s="75">
        <f>IFERROR(__xludf.DUMMYFUNCTION("""COMPUTED_VALUE"""),"USD")</f>
        <v/>
      </c>
      <c r="E154" s="75">
        <f>IFERROR(__xludf.DUMMYFUNCTION("""COMPUTED_VALUE"""),"Zelle")</f>
        <v/>
      </c>
      <c r="F154" s="75">
        <f>IFERROR(__xludf.DUMMYFUNCTION("""COMPUTED_VALUE"""),"Grupo 3030, C.A")</f>
        <v/>
      </c>
      <c r="G154" s="76">
        <f>IFERROR(__xludf.DUMMYFUNCTION("""COMPUTED_VALUE"""),"MARTINEZ MONTES JEFFREY ENRIQUE")</f>
        <v/>
      </c>
      <c r="H154" s="76">
        <f>IFERROR(__xludf.DUMMYFUNCTION("""COMPUTED_VALUE"""),477.6259)</f>
        <v/>
      </c>
      <c r="I154" s="75" t="n"/>
      <c r="J154" s="77">
        <f>IFERROR(__xludf.DUMMYFUNCTION("""COMPUTED_VALUE"""),220.0)</f>
        <v/>
      </c>
      <c r="K154" s="4">
        <f>IFERROR(__xludf.DUMMYFUNCTION("""COMPUTED_VALUE"""),220.0)</f>
        <v/>
      </c>
      <c r="L154" s="77">
        <f>IFERROR(__xludf.DUMMYFUNCTION("""COMPUTED_VALUE"""),220.0)</f>
        <v/>
      </c>
      <c r="O154" s="72" t="n"/>
      <c r="S154" s="4" t="n"/>
    </row>
    <row r="155">
      <c r="A155" s="74">
        <f>IFERROR(__xludf.DUMMYFUNCTION("""COMPUTED_VALUE"""),46127.0)</f>
        <v/>
      </c>
      <c r="B155" s="72">
        <f>IFERROR(__xludf.DUMMYFUNCTION("""COMPUTED_VALUE"""),114.0)</f>
        <v/>
      </c>
      <c r="C155" s="75">
        <f>IFERROR(__xludf.DUMMYFUNCTION("""COMPUTED_VALUE"""),20.0)</f>
        <v/>
      </c>
      <c r="D155" s="75">
        <f>IFERROR(__xludf.DUMMYFUNCTION("""COMPUTED_VALUE"""),"USD")</f>
        <v/>
      </c>
      <c r="E155" s="75">
        <f>IFERROR(__xludf.DUMMYFUNCTION("""COMPUTED_VALUE"""),"Efectivo USD")</f>
        <v/>
      </c>
      <c r="F155" s="75">
        <f>IFERROR(__xludf.DUMMYFUNCTION("""COMPUTED_VALUE"""),"Autoasesorio maxi motor")</f>
        <v/>
      </c>
      <c r="G155" s="76">
        <f>IFERROR(__xludf.DUMMYFUNCTION("""COMPUTED_VALUE"""),"PEREZ DIAZ ANGEL DE DIOS")</f>
        <v/>
      </c>
      <c r="H155" s="76">
        <f>IFERROR(__xludf.DUMMYFUNCTION("""COMPUTED_VALUE"""),478.5811)</f>
        <v/>
      </c>
      <c r="I155" s="75" t="n"/>
      <c r="J155" s="77">
        <f>IFERROR(__xludf.DUMMYFUNCTION("""COMPUTED_VALUE"""),20.0)</f>
        <v/>
      </c>
      <c r="K155" s="4">
        <f>IFERROR(__xludf.DUMMYFUNCTION("""COMPUTED_VALUE"""),20.0)</f>
        <v/>
      </c>
      <c r="L155" s="77">
        <f>IFERROR(__xludf.DUMMYFUNCTION("""COMPUTED_VALUE"""),20.0)</f>
        <v/>
      </c>
      <c r="O155" s="72" t="n"/>
      <c r="S155" s="4" t="n"/>
    </row>
    <row r="156">
      <c r="A156" s="74">
        <f>IFERROR(__xludf.DUMMYFUNCTION("""COMPUTED_VALUE"""),46127.0)</f>
        <v/>
      </c>
      <c r="B156" s="72">
        <f>IFERROR(__xludf.DUMMYFUNCTION("""COMPUTED_VALUE"""),144.0)</f>
        <v/>
      </c>
      <c r="C156" s="75">
        <f>IFERROR(__xludf.DUMMYFUNCTION("""COMPUTED_VALUE"""),68.0)</f>
        <v/>
      </c>
      <c r="D156" s="75">
        <f>IFERROR(__xludf.DUMMYFUNCTION("""COMPUTED_VALUE"""),"USD")</f>
        <v/>
      </c>
      <c r="E156" s="75">
        <f>IFERROR(__xludf.DUMMYFUNCTION("""COMPUTED_VALUE"""),"Efectivo USD")</f>
        <v/>
      </c>
      <c r="F156" s="75">
        <f>IFERROR(__xludf.DUMMYFUNCTION("""COMPUTED_VALUE"""),"HIDRAULICAS CAICEDO C.A.")</f>
        <v/>
      </c>
      <c r="G156" s="76">
        <f>IFERROR(__xludf.DUMMYFUNCTION("""COMPUTED_VALUE"""),"VILLABONA CORREA ALBA ESTEFANIA")</f>
        <v/>
      </c>
      <c r="H156" s="76">
        <f>IFERROR(__xludf.DUMMYFUNCTION("""COMPUTED_VALUE"""),478.5811)</f>
        <v/>
      </c>
      <c r="I156" s="75" t="n"/>
      <c r="J156" s="77">
        <f>IFERROR(__xludf.DUMMYFUNCTION("""COMPUTED_VALUE"""),68.0)</f>
        <v/>
      </c>
      <c r="K156" s="4">
        <f>IFERROR(__xludf.DUMMYFUNCTION("""COMPUTED_VALUE"""),68.0)</f>
        <v/>
      </c>
      <c r="L156" s="77">
        <f>IFERROR(__xludf.DUMMYFUNCTION("""COMPUTED_VALUE"""),68.0)</f>
        <v/>
      </c>
      <c r="O156" s="72" t="n"/>
      <c r="S156" s="4" t="n"/>
    </row>
    <row r="157">
      <c r="A157" s="74">
        <f>IFERROR(__xludf.DUMMYFUNCTION("""COMPUTED_VALUE"""),46127.0)</f>
        <v/>
      </c>
      <c r="B157" s="72">
        <f>IFERROR(__xludf.DUMMYFUNCTION("""COMPUTED_VALUE"""),90.0)</f>
        <v/>
      </c>
      <c r="C157" s="75">
        <f>IFERROR(__xludf.DUMMYFUNCTION("""COMPUTED_VALUE"""),71.0)</f>
        <v/>
      </c>
      <c r="D157" s="75">
        <f>IFERROR(__xludf.DUMMYFUNCTION("""COMPUTED_VALUE"""),"USD")</f>
        <v/>
      </c>
      <c r="E157" s="75">
        <f>IFERROR(__xludf.DUMMYFUNCTION("""COMPUTED_VALUE"""),"Efectivo USD")</f>
        <v/>
      </c>
      <c r="F157" s="75">
        <f>IFERROR(__xludf.DUMMYFUNCTION("""COMPUTED_VALUE"""),"ACCESORIOS Y REPUESTOS MOTO CAR 20-11-C.A")</f>
        <v/>
      </c>
      <c r="G157" s="76">
        <f>IFERROR(__xludf.DUMMYFUNCTION("""COMPUTED_VALUE"""),"VILLABONA CORREA ALBA ESTEFANIA")</f>
        <v/>
      </c>
      <c r="H157" s="76">
        <f>IFERROR(__xludf.DUMMYFUNCTION("""COMPUTED_VALUE"""),478.5811)</f>
        <v/>
      </c>
      <c r="I157" s="75" t="n"/>
      <c r="J157" s="77">
        <f>IFERROR(__xludf.DUMMYFUNCTION("""COMPUTED_VALUE"""),71.0)</f>
        <v/>
      </c>
      <c r="K157" s="4">
        <f>IFERROR(__xludf.DUMMYFUNCTION("""COMPUTED_VALUE"""),71.0)</f>
        <v/>
      </c>
      <c r="L157" s="77">
        <f>IFERROR(__xludf.DUMMYFUNCTION("""COMPUTED_VALUE"""),71.0)</f>
        <v/>
      </c>
      <c r="O157" s="72" t="n"/>
      <c r="S157" s="4" t="n"/>
    </row>
    <row r="158">
      <c r="A158" s="74">
        <f>IFERROR(__xludf.DUMMYFUNCTION("""COMPUTED_VALUE"""),46127.0)</f>
        <v/>
      </c>
      <c r="B158" s="72">
        <f>IFERROR(__xludf.DUMMYFUNCTION("""COMPUTED_VALUE"""),219.0)</f>
        <v/>
      </c>
      <c r="C158" s="75">
        <f>IFERROR(__xludf.DUMMYFUNCTION("""COMPUTED_VALUE"""),200.0)</f>
        <v/>
      </c>
      <c r="D158" s="75">
        <f>IFERROR(__xludf.DUMMYFUNCTION("""COMPUTED_VALUE"""),"USD")</f>
        <v/>
      </c>
      <c r="E158" s="75">
        <f>IFERROR(__xludf.DUMMYFUNCTION("""COMPUTED_VALUE"""),"Efectivo USD")</f>
        <v/>
      </c>
      <c r="F158" s="75">
        <f>IFERROR(__xludf.DUMMYFUNCTION("""COMPUTED_VALUE"""),"Montura de Cauchos Biondo,c.a.")</f>
        <v/>
      </c>
      <c r="G158" s="76">
        <f>IFERROR(__xludf.DUMMYFUNCTION("""COMPUTED_VALUE"""),"VILLABONA CORREA ALBA ESTEFANIA")</f>
        <v/>
      </c>
      <c r="H158" s="76">
        <f>IFERROR(__xludf.DUMMYFUNCTION("""COMPUTED_VALUE"""),478.5811)</f>
        <v/>
      </c>
      <c r="I158" s="75" t="n"/>
      <c r="J158" s="77">
        <f>IFERROR(__xludf.DUMMYFUNCTION("""COMPUTED_VALUE"""),200.0)</f>
        <v/>
      </c>
      <c r="K158" s="4">
        <f>IFERROR(__xludf.DUMMYFUNCTION("""COMPUTED_VALUE"""),200.0)</f>
        <v/>
      </c>
      <c r="L158" s="77">
        <f>IFERROR(__xludf.DUMMYFUNCTION("""COMPUTED_VALUE"""),200.0)</f>
        <v/>
      </c>
      <c r="O158" s="72" t="n"/>
      <c r="S158" s="4" t="n"/>
    </row>
    <row r="159">
      <c r="A159" s="74">
        <f>IFERROR(__xludf.DUMMYFUNCTION("""COMPUTED_VALUE"""),46127.0)</f>
        <v/>
      </c>
      <c r="B159" s="72">
        <f>IFERROR(__xludf.DUMMYFUNCTION("""COMPUTED_VALUE"""),211.0)</f>
        <v/>
      </c>
      <c r="C159" s="75">
        <f>IFERROR(__xludf.DUMMYFUNCTION("""COMPUTED_VALUE"""),47379.54)</f>
        <v/>
      </c>
      <c r="D159" s="75">
        <f>IFERROR(__xludf.DUMMYFUNCTION("""COMPUTED_VALUE"""),"VES")</f>
        <v/>
      </c>
      <c r="E159" s="75">
        <f>IFERROR(__xludf.DUMMYFUNCTION("""COMPUTED_VALUE"""),"Bancamiga")</f>
        <v/>
      </c>
      <c r="F159" s="75">
        <f>IFERROR(__xludf.DUMMYFUNCTION("""COMPUTED_VALUE"""),"ZIP MARKET, CA")</f>
        <v/>
      </c>
      <c r="G159" s="76">
        <f>IFERROR(__xludf.DUMMYFUNCTION("""COMPUTED_VALUE"""),"QUEVEDO BASTIDAS NEYKEL DAVID")</f>
        <v/>
      </c>
      <c r="H159" s="76">
        <f>IFERROR(__xludf.DUMMYFUNCTION("""COMPUTED_VALUE"""),478.5811)</f>
        <v/>
      </c>
      <c r="I159" s="75" t="n"/>
      <c r="J159" s="77">
        <f>IFERROR(__xludf.DUMMYFUNCTION("""COMPUTED_VALUE"""),99.00002319356113)</f>
        <v/>
      </c>
      <c r="K159" s="4">
        <f>IFERROR(__xludf.DUMMYFUNCTION("""COMPUTED_VALUE"""),0.0)</f>
        <v/>
      </c>
      <c r="L159" s="77">
        <f>IFERROR(__xludf.DUMMYFUNCTION("""COMPUTED_VALUE"""),99.00002319356113)</f>
        <v/>
      </c>
      <c r="O159" s="72" t="n"/>
      <c r="S159" s="4" t="n"/>
    </row>
    <row r="160">
      <c r="A160" s="74">
        <f>IFERROR(__xludf.DUMMYFUNCTION("""COMPUTED_VALUE"""),46127.0)</f>
        <v/>
      </c>
      <c r="B160" s="72">
        <f>IFERROR(__xludf.DUMMYFUNCTION("""COMPUTED_VALUE"""),64.0)</f>
        <v/>
      </c>
      <c r="C160" s="75">
        <f>IFERROR(__xludf.DUMMYFUNCTION("""COMPUTED_VALUE"""),10250.18)</f>
        <v/>
      </c>
      <c r="D160" s="75">
        <f>IFERROR(__xludf.DUMMYFUNCTION("""COMPUTED_VALUE"""),"VES")</f>
        <v/>
      </c>
      <c r="E160" s="75">
        <f>IFERROR(__xludf.DUMMYFUNCTION("""COMPUTED_VALUE"""),"Bancamiga")</f>
        <v/>
      </c>
      <c r="F160" s="75">
        <f>IFERROR(__xludf.DUMMYFUNCTION("""COMPUTED_VALUE"""),"VAL VAL 16 C.A")</f>
        <v/>
      </c>
      <c r="G160" s="76">
        <f>IFERROR(__xludf.DUMMYFUNCTION("""COMPUTED_VALUE"""),"QUEVEDO BASTIDAS NEYKEL DAVID")</f>
        <v/>
      </c>
      <c r="H160" s="76">
        <f>IFERROR(__xludf.DUMMYFUNCTION("""COMPUTED_VALUE"""),478.5811)</f>
        <v/>
      </c>
      <c r="I160" s="75" t="n"/>
      <c r="J160" s="77">
        <f>IFERROR(__xludf.DUMMYFUNCTION("""COMPUTED_VALUE"""),21.417853734717063)</f>
        <v/>
      </c>
      <c r="K160" s="4">
        <f>IFERROR(__xludf.DUMMYFUNCTION("""COMPUTED_VALUE"""),0.0)</f>
        <v/>
      </c>
      <c r="L160" s="77">
        <f>IFERROR(__xludf.DUMMYFUNCTION("""COMPUTED_VALUE"""),21.417853734717063)</f>
        <v/>
      </c>
      <c r="O160" s="72" t="n"/>
      <c r="S160" s="4" t="n"/>
    </row>
    <row r="161">
      <c r="A161" s="74">
        <f>IFERROR(__xludf.DUMMYFUNCTION("""COMPUTED_VALUE"""),46128.0)</f>
        <v/>
      </c>
      <c r="B161" s="72">
        <f>IFERROR(__xludf.DUMMYFUNCTION("""COMPUTED_VALUE"""),159.0)</f>
        <v/>
      </c>
      <c r="C161" s="75">
        <f>IFERROR(__xludf.DUMMYFUNCTION("""COMPUTED_VALUE"""),200.0)</f>
        <v/>
      </c>
      <c r="D161" s="75">
        <f>IFERROR(__xludf.DUMMYFUNCTION("""COMPUTED_VALUE"""),"USD")</f>
        <v/>
      </c>
      <c r="E161" s="75">
        <f>IFERROR(__xludf.DUMMYFUNCTION("""COMPUTED_VALUE"""),"Efectivo USD")</f>
        <v/>
      </c>
      <c r="F161" s="75">
        <f>IFERROR(__xludf.DUMMYFUNCTION("""COMPUTED_VALUE"""),"Grupo 3030, C.A")</f>
        <v/>
      </c>
      <c r="G161" s="76">
        <f>IFERROR(__xludf.DUMMYFUNCTION("""COMPUTED_VALUE"""),"MARTINEZ MONTES JEFFREY ENRIQUE")</f>
        <v/>
      </c>
      <c r="H161" s="76">
        <f>IFERROR(__xludf.DUMMYFUNCTION("""COMPUTED_VALUE"""),479.7775)</f>
        <v/>
      </c>
      <c r="I161" s="75" t="n"/>
      <c r="J161" s="77">
        <f>IFERROR(__xludf.DUMMYFUNCTION("""COMPUTED_VALUE"""),200.0)</f>
        <v/>
      </c>
      <c r="K161" s="4">
        <f>IFERROR(__xludf.DUMMYFUNCTION("""COMPUTED_VALUE"""),200.0)</f>
        <v/>
      </c>
      <c r="L161" s="77">
        <f>IFERROR(__xludf.DUMMYFUNCTION("""COMPUTED_VALUE"""),200.0)</f>
        <v/>
      </c>
      <c r="O161" s="72" t="n"/>
      <c r="S161" s="4" t="n"/>
    </row>
    <row r="162">
      <c r="A162" s="74">
        <f>IFERROR(__xludf.DUMMYFUNCTION("""COMPUTED_VALUE"""),46128.0)</f>
        <v/>
      </c>
      <c r="B162" s="72">
        <f>IFERROR(__xludf.DUMMYFUNCTION("""COMPUTED_VALUE"""),121.0)</f>
        <v/>
      </c>
      <c r="C162" s="75">
        <f>IFERROR(__xludf.DUMMYFUNCTION("""COMPUTED_VALUE"""),47977.75)</f>
        <v/>
      </c>
      <c r="D162" s="75">
        <f>IFERROR(__xludf.DUMMYFUNCTION("""COMPUTED_VALUE"""),"VES")</f>
        <v/>
      </c>
      <c r="E162" s="75">
        <f>IFERROR(__xludf.DUMMYFUNCTION("""COMPUTED_VALUE"""),"Bancamiga")</f>
        <v/>
      </c>
      <c r="F162" s="75">
        <f>IFERROR(__xludf.DUMMYFUNCTION("""COMPUTED_VALUE"""),"Jose Lopez Espinoza")</f>
        <v/>
      </c>
      <c r="G162" s="76">
        <f>IFERROR(__xludf.DUMMYFUNCTION("""COMPUTED_VALUE"""),"VILLABONA CORREA ALBA ESTEFANIA")</f>
        <v/>
      </c>
      <c r="H162" s="76">
        <f>IFERROR(__xludf.DUMMYFUNCTION("""COMPUTED_VALUE"""),479.7775)</f>
        <v/>
      </c>
      <c r="I162" s="75" t="n"/>
      <c r="J162" s="77">
        <f>IFERROR(__xludf.DUMMYFUNCTION("""COMPUTED_VALUE"""),100.0)</f>
        <v/>
      </c>
      <c r="K162" s="4">
        <f>IFERROR(__xludf.DUMMYFUNCTION("""COMPUTED_VALUE"""),0.0)</f>
        <v/>
      </c>
      <c r="L162" s="77">
        <f>IFERROR(__xludf.DUMMYFUNCTION("""COMPUTED_VALUE"""),100.0)</f>
        <v/>
      </c>
      <c r="O162" s="72" t="n"/>
      <c r="S162" s="4" t="n"/>
    </row>
    <row r="163">
      <c r="A163" s="74">
        <f>IFERROR(__xludf.DUMMYFUNCTION("""COMPUTED_VALUE"""),46129.0)</f>
        <v/>
      </c>
      <c r="B163" s="72">
        <f>IFERROR(__xludf.DUMMYFUNCTION("""COMPUTED_VALUE"""),141.0)</f>
        <v/>
      </c>
      <c r="C163" s="75">
        <f>IFERROR(__xludf.DUMMYFUNCTION("""COMPUTED_VALUE"""),50.0)</f>
        <v/>
      </c>
      <c r="D163" s="75">
        <f>IFERROR(__xludf.DUMMYFUNCTION("""COMPUTED_VALUE"""),"USD")</f>
        <v/>
      </c>
      <c r="E163" s="75">
        <f>IFERROR(__xludf.DUMMYFUNCTION("""COMPUTED_VALUE"""),"Efectivo USD")</f>
        <v/>
      </c>
      <c r="F163" s="75">
        <f>IFERROR(__xludf.DUMMYFUNCTION("""COMPUTED_VALUE"""),"Yulendri Carolina Pineda Blanco")</f>
        <v/>
      </c>
      <c r="G163" s="76">
        <f>IFERROR(__xludf.DUMMYFUNCTION("""COMPUTED_VALUE"""),"GRIMAN DIAZ HECTOR EDUARDO")</f>
        <v/>
      </c>
      <c r="H163" s="76">
        <f>IFERROR(__xludf.DUMMYFUNCTION("""COMPUTED_VALUE"""),480.2572)</f>
        <v/>
      </c>
      <c r="I163" s="75" t="n"/>
      <c r="J163" s="77">
        <f>IFERROR(__xludf.DUMMYFUNCTION("""COMPUTED_VALUE"""),50.0)</f>
        <v/>
      </c>
      <c r="K163" s="4">
        <f>IFERROR(__xludf.DUMMYFUNCTION("""COMPUTED_VALUE"""),50.0)</f>
        <v/>
      </c>
      <c r="L163" s="77">
        <f>IFERROR(__xludf.DUMMYFUNCTION("""COMPUTED_VALUE"""),50.0)</f>
        <v/>
      </c>
      <c r="O163" s="72" t="n"/>
      <c r="S163" s="4" t="n"/>
    </row>
    <row r="164">
      <c r="A164" s="74">
        <f>IFERROR(__xludf.DUMMYFUNCTION("""COMPUTED_VALUE"""),46129.0)</f>
        <v/>
      </c>
      <c r="B164" s="72">
        <f>IFERROR(__xludf.DUMMYFUNCTION("""COMPUTED_VALUE"""),62.0)</f>
        <v/>
      </c>
      <c r="C164" s="75">
        <f>IFERROR(__xludf.DUMMYFUNCTION("""COMPUTED_VALUE"""),210.0)</f>
        <v/>
      </c>
      <c r="D164" s="75">
        <f>IFERROR(__xludf.DUMMYFUNCTION("""COMPUTED_VALUE"""),"USD")</f>
        <v/>
      </c>
      <c r="E164" s="75">
        <f>IFERROR(__xludf.DUMMYFUNCTION("""COMPUTED_VALUE"""),"Zelle")</f>
        <v/>
      </c>
      <c r="F164" s="75">
        <f>IFERROR(__xludf.DUMMYFUNCTION("""COMPUTED_VALUE"""),"SJMG 2012 C.A")</f>
        <v/>
      </c>
      <c r="G164" s="76">
        <f>IFERROR(__xludf.DUMMYFUNCTION("""COMPUTED_VALUE"""),"GRIMAN DIAZ HECTOR EDUARDO")</f>
        <v/>
      </c>
      <c r="H164" s="76">
        <f>IFERROR(__xludf.DUMMYFUNCTION("""COMPUTED_VALUE"""),480.2572)</f>
        <v/>
      </c>
      <c r="I164" s="75" t="n"/>
      <c r="J164" s="77">
        <f>IFERROR(__xludf.DUMMYFUNCTION("""COMPUTED_VALUE"""),210.0)</f>
        <v/>
      </c>
      <c r="K164" s="4">
        <f>IFERROR(__xludf.DUMMYFUNCTION("""COMPUTED_VALUE"""),210.0)</f>
        <v/>
      </c>
      <c r="L164" s="77">
        <f>IFERROR(__xludf.DUMMYFUNCTION("""COMPUTED_VALUE"""),210.0)</f>
        <v/>
      </c>
      <c r="O164" s="72" t="n"/>
      <c r="S164" s="4" t="n"/>
    </row>
    <row r="165">
      <c r="A165" s="74">
        <f>IFERROR(__xludf.DUMMYFUNCTION("""COMPUTED_VALUE"""),46129.0)</f>
        <v/>
      </c>
      <c r="B165" s="72">
        <f>IFERROR(__xludf.DUMMYFUNCTION("""COMPUTED_VALUE"""),229.0)</f>
        <v/>
      </c>
      <c r="C165" s="75">
        <f>IFERROR(__xludf.DUMMYFUNCTION("""COMPUTED_VALUE"""),514.93)</f>
        <v/>
      </c>
      <c r="D165" s="75">
        <f>IFERROR(__xludf.DUMMYFUNCTION("""COMPUTED_VALUE"""),"USD")</f>
        <v/>
      </c>
      <c r="E165" s="75">
        <f>IFERROR(__xludf.DUMMYFUNCTION("""COMPUTED_VALUE"""),"Zelle")</f>
        <v/>
      </c>
      <c r="F165" s="75">
        <f>IFERROR(__xludf.DUMMYFUNCTION("""COMPUTED_VALUE"""),"Devenalsa Deshidratadora Venezolana de Alimentos, S.A.")</f>
        <v/>
      </c>
      <c r="G165" s="76">
        <f>IFERROR(__xludf.DUMMYFUNCTION("""COMPUTED_VALUE"""),"CASERES GONZALEZ RONALD OSWALDO")</f>
        <v/>
      </c>
      <c r="H165" s="76">
        <f>IFERROR(__xludf.DUMMYFUNCTION("""COMPUTED_VALUE"""),480.2572)</f>
        <v/>
      </c>
      <c r="I165" s="75" t="n"/>
      <c r="J165" s="77">
        <f>IFERROR(__xludf.DUMMYFUNCTION("""COMPUTED_VALUE"""),514.93)</f>
        <v/>
      </c>
      <c r="K165" s="4">
        <f>IFERROR(__xludf.DUMMYFUNCTION("""COMPUTED_VALUE"""),514.93)</f>
        <v/>
      </c>
      <c r="L165" s="77">
        <f>IFERROR(__xludf.DUMMYFUNCTION("""COMPUTED_VALUE"""),514.93)</f>
        <v/>
      </c>
      <c r="O165" s="72" t="n"/>
      <c r="S165" s="4" t="n"/>
    </row>
    <row r="166">
      <c r="A166" s="74">
        <f>IFERROR(__xludf.DUMMYFUNCTION("""COMPUTED_VALUE"""),46129.0)</f>
        <v/>
      </c>
      <c r="B166" s="72">
        <f>IFERROR(__xludf.DUMMYFUNCTION("""COMPUTED_VALUE"""),93.0)</f>
        <v/>
      </c>
      <c r="C166" s="75">
        <f>IFERROR(__xludf.DUMMYFUNCTION("""COMPUTED_VALUE"""),40.0)</f>
        <v/>
      </c>
      <c r="D166" s="75">
        <f>IFERROR(__xludf.DUMMYFUNCTION("""COMPUTED_VALUE"""),"USD")</f>
        <v/>
      </c>
      <c r="E166" s="75">
        <f>IFERROR(__xludf.DUMMYFUNCTION("""COMPUTED_VALUE"""),"Efectivo USD")</f>
        <v/>
      </c>
      <c r="F166" s="75">
        <f>IFERROR(__xludf.DUMMYFUNCTION("""COMPUTED_VALUE"""),"Emprendimiento YSKRA")</f>
        <v/>
      </c>
      <c r="G166" s="76">
        <f>IFERROR(__xludf.DUMMYFUNCTION("""COMPUTED_VALUE"""),"PEREZ DIAZ ANGEL DE DIOS")</f>
        <v/>
      </c>
      <c r="H166" s="76">
        <f>IFERROR(__xludf.DUMMYFUNCTION("""COMPUTED_VALUE"""),480.2572)</f>
        <v/>
      </c>
      <c r="I166" s="75" t="n"/>
      <c r="J166" s="77">
        <f>IFERROR(__xludf.DUMMYFUNCTION("""COMPUTED_VALUE"""),40.0)</f>
        <v/>
      </c>
      <c r="K166" s="4">
        <f>IFERROR(__xludf.DUMMYFUNCTION("""COMPUTED_VALUE"""),40.0)</f>
        <v/>
      </c>
      <c r="L166" s="77">
        <f>IFERROR(__xludf.DUMMYFUNCTION("""COMPUTED_VALUE"""),40.0)</f>
        <v/>
      </c>
      <c r="O166" s="72" t="n"/>
      <c r="S166" s="4" t="n"/>
    </row>
    <row r="167">
      <c r="A167" s="74">
        <f>IFERROR(__xludf.DUMMYFUNCTION("""COMPUTED_VALUE"""),46129.0)</f>
        <v/>
      </c>
      <c r="B167" s="72">
        <f>IFERROR(__xludf.DUMMYFUNCTION("""COMPUTED_VALUE"""),125.0)</f>
        <v/>
      </c>
      <c r="C167" s="75">
        <f>IFERROR(__xludf.DUMMYFUNCTION("""COMPUTED_VALUE"""),30.0)</f>
        <v/>
      </c>
      <c r="D167" s="75">
        <f>IFERROR(__xludf.DUMMYFUNCTION("""COMPUTED_VALUE"""),"USD")</f>
        <v/>
      </c>
      <c r="E167" s="75">
        <f>IFERROR(__xludf.DUMMYFUNCTION("""COMPUTED_VALUE"""),"Efectivo USD")</f>
        <v/>
      </c>
      <c r="F167" s="75">
        <f>IFERROR(__xludf.DUMMYFUNCTION("""COMPUTED_VALUE"""),"Megacar2020.c.a")</f>
        <v/>
      </c>
      <c r="G167" s="76">
        <f>IFERROR(__xludf.DUMMYFUNCTION("""COMPUTED_VALUE"""),"PEREZ DIAZ ANGEL DE DIOS")</f>
        <v/>
      </c>
      <c r="H167" s="76">
        <f>IFERROR(__xludf.DUMMYFUNCTION("""COMPUTED_VALUE"""),480.2572)</f>
        <v/>
      </c>
      <c r="I167" s="75" t="n"/>
      <c r="J167" s="77">
        <f>IFERROR(__xludf.DUMMYFUNCTION("""COMPUTED_VALUE"""),30.0)</f>
        <v/>
      </c>
      <c r="K167" s="4">
        <f>IFERROR(__xludf.DUMMYFUNCTION("""COMPUTED_VALUE"""),30.0)</f>
        <v/>
      </c>
      <c r="L167" s="77">
        <f>IFERROR(__xludf.DUMMYFUNCTION("""COMPUTED_VALUE"""),30.0)</f>
        <v/>
      </c>
      <c r="O167" s="72" t="n"/>
      <c r="S167" s="4" t="n"/>
    </row>
    <row r="168">
      <c r="A168" s="74">
        <f>IFERROR(__xludf.DUMMYFUNCTION("""COMPUTED_VALUE"""),46129.0)</f>
        <v/>
      </c>
      <c r="B168" s="72">
        <f>IFERROR(__xludf.DUMMYFUNCTION("""COMPUTED_VALUE"""),38.0)</f>
        <v/>
      </c>
      <c r="C168" s="75">
        <f>IFERROR(__xludf.DUMMYFUNCTION("""COMPUTED_VALUE"""),22.0)</f>
        <v/>
      </c>
      <c r="D168" s="75">
        <f>IFERROR(__xludf.DUMMYFUNCTION("""COMPUTED_VALUE"""),"USD")</f>
        <v/>
      </c>
      <c r="E168" s="75">
        <f>IFERROR(__xludf.DUMMYFUNCTION("""COMPUTED_VALUE"""),"Efectivo USD")</f>
        <v/>
      </c>
      <c r="F168" s="75">
        <f>IFERROR(__xludf.DUMMYFUNCTION("""COMPUTED_VALUE"""),"Auto repuestos Fontalvo")</f>
        <v/>
      </c>
      <c r="G168" s="76">
        <f>IFERROR(__xludf.DUMMYFUNCTION("""COMPUTED_VALUE"""),"MARTINEZ MONTES JEFFREY ENRIQUE")</f>
        <v/>
      </c>
      <c r="H168" s="76">
        <f>IFERROR(__xludf.DUMMYFUNCTION("""COMPUTED_VALUE"""),480.2572)</f>
        <v/>
      </c>
      <c r="I168" s="75" t="n"/>
      <c r="J168" s="77">
        <f>IFERROR(__xludf.DUMMYFUNCTION("""COMPUTED_VALUE"""),22.0)</f>
        <v/>
      </c>
      <c r="K168" s="4">
        <f>IFERROR(__xludf.DUMMYFUNCTION("""COMPUTED_VALUE"""),22.0)</f>
        <v/>
      </c>
      <c r="L168" s="77">
        <f>IFERROR(__xludf.DUMMYFUNCTION("""COMPUTED_VALUE"""),22.0)</f>
        <v/>
      </c>
      <c r="O168" s="72" t="n"/>
      <c r="S168" s="4" t="n"/>
    </row>
    <row r="169">
      <c r="A169" s="74">
        <f>IFERROR(__xludf.DUMMYFUNCTION("""COMPUTED_VALUE"""),46129.0)</f>
        <v/>
      </c>
      <c r="B169" s="72">
        <f>IFERROR(__xludf.DUMMYFUNCTION("""COMPUTED_VALUE"""),133.0)</f>
        <v/>
      </c>
      <c r="C169" s="75">
        <f>IFERROR(__xludf.DUMMYFUNCTION("""COMPUTED_VALUE"""),250.0)</f>
        <v/>
      </c>
      <c r="D169" s="75">
        <f>IFERROR(__xludf.DUMMYFUNCTION("""COMPUTED_VALUE"""),"USD")</f>
        <v/>
      </c>
      <c r="E169" s="75">
        <f>IFERROR(__xludf.DUMMYFUNCTION("""COMPUTED_VALUE"""),"Efectivo USD")</f>
        <v/>
      </c>
      <c r="F169" s="75">
        <f>IFERROR(__xludf.DUMMYFUNCTION("""COMPUTED_VALUE"""),"Inversiones La Bendición del Nazareno, C.A")</f>
        <v/>
      </c>
      <c r="G169" s="76">
        <f>IFERROR(__xludf.DUMMYFUNCTION("""COMPUTED_VALUE"""),"MARTINEZ MONTES JEFFREY ENRIQUE")</f>
        <v/>
      </c>
      <c r="H169" s="76">
        <f>IFERROR(__xludf.DUMMYFUNCTION("""COMPUTED_VALUE"""),480.2572)</f>
        <v/>
      </c>
      <c r="I169" s="75" t="n"/>
      <c r="J169" s="77">
        <f>IFERROR(__xludf.DUMMYFUNCTION("""COMPUTED_VALUE"""),250.0)</f>
        <v/>
      </c>
      <c r="K169" s="4">
        <f>IFERROR(__xludf.DUMMYFUNCTION("""COMPUTED_VALUE"""),250.0)</f>
        <v/>
      </c>
      <c r="L169" s="77">
        <f>IFERROR(__xludf.DUMMYFUNCTION("""COMPUTED_VALUE"""),250.0)</f>
        <v/>
      </c>
      <c r="O169" s="72" t="n"/>
      <c r="S169" s="4" t="n"/>
    </row>
    <row r="170">
      <c r="A170" s="74">
        <f>IFERROR(__xludf.DUMMYFUNCTION("""COMPUTED_VALUE"""),46132.0)</f>
        <v/>
      </c>
      <c r="B170" s="72">
        <f>IFERROR(__xludf.DUMMYFUNCTION("""COMPUTED_VALUE"""),169.0)</f>
        <v/>
      </c>
      <c r="C170" s="75">
        <f>IFERROR(__xludf.DUMMYFUNCTION("""COMPUTED_VALUE"""),24.0)</f>
        <v/>
      </c>
      <c r="D170" s="75">
        <f>IFERROR(__xludf.DUMMYFUNCTION("""COMPUTED_VALUE"""),"USD")</f>
        <v/>
      </c>
      <c r="E170" s="75">
        <f>IFERROR(__xludf.DUMMYFUNCTION("""COMPUTED_VALUE"""),"Efectivo USD")</f>
        <v/>
      </c>
      <c r="F170" s="75">
        <f>IFERROR(__xludf.DUMMYFUNCTION("""COMPUTED_VALUE"""),"ALI ALEXANDER MORENO FIGUEREDO")</f>
        <v/>
      </c>
      <c r="G170" s="76">
        <f>IFERROR(__xludf.DUMMYFUNCTION("""COMPUTED_VALUE"""),"VILLABONA CORREA ALBA ESTEFANIA")</f>
        <v/>
      </c>
      <c r="H170" s="76">
        <f>IFERROR(__xludf.DUMMYFUNCTION("""COMPUTED_VALUE"""),481.2177)</f>
        <v/>
      </c>
      <c r="I170" s="75" t="n"/>
      <c r="J170" s="77">
        <f>IFERROR(__xludf.DUMMYFUNCTION("""COMPUTED_VALUE"""),24.0)</f>
        <v/>
      </c>
      <c r="K170" s="4">
        <f>IFERROR(__xludf.DUMMYFUNCTION("""COMPUTED_VALUE"""),24.0)</f>
        <v/>
      </c>
      <c r="L170" s="77">
        <f>IFERROR(__xludf.DUMMYFUNCTION("""COMPUTED_VALUE"""),24.0)</f>
        <v/>
      </c>
      <c r="O170" s="72" t="n"/>
      <c r="S170" s="4" t="n"/>
    </row>
    <row r="171">
      <c r="A171" s="74">
        <f>IFERROR(__xludf.DUMMYFUNCTION("""COMPUTED_VALUE"""),46132.0)</f>
        <v/>
      </c>
      <c r="B171" s="72">
        <f>IFERROR(__xludf.DUMMYFUNCTION("""COMPUTED_VALUE"""),138.0)</f>
        <v/>
      </c>
      <c r="C171" s="75">
        <f>IFERROR(__xludf.DUMMYFUNCTION("""COMPUTED_VALUE"""),60.0)</f>
        <v/>
      </c>
      <c r="D171" s="75">
        <f>IFERROR(__xludf.DUMMYFUNCTION("""COMPUTED_VALUE"""),"USD")</f>
        <v/>
      </c>
      <c r="E171" s="75">
        <f>IFERROR(__xludf.DUMMYFUNCTION("""COMPUTED_VALUE"""),"Efectivo USD")</f>
        <v/>
      </c>
      <c r="F171" s="75">
        <f>IFERROR(__xludf.DUMMYFUNCTION("""COMPUTED_VALUE"""),"Benefit c.a")</f>
        <v/>
      </c>
      <c r="G171" s="76">
        <f>IFERROR(__xludf.DUMMYFUNCTION("""COMPUTED_VALUE"""),"PEREZ DIAZ ANGEL DE DIOS")</f>
        <v/>
      </c>
      <c r="H171" s="76">
        <f>IFERROR(__xludf.DUMMYFUNCTION("""COMPUTED_VALUE"""),481.2177)</f>
        <v/>
      </c>
      <c r="I171" s="75" t="n"/>
      <c r="J171" s="77">
        <f>IFERROR(__xludf.DUMMYFUNCTION("""COMPUTED_VALUE"""),60.0)</f>
        <v/>
      </c>
      <c r="K171" s="4">
        <f>IFERROR(__xludf.DUMMYFUNCTION("""COMPUTED_VALUE"""),60.0)</f>
        <v/>
      </c>
      <c r="L171" s="77">
        <f>IFERROR(__xludf.DUMMYFUNCTION("""COMPUTED_VALUE"""),60.0)</f>
        <v/>
      </c>
      <c r="O171" s="72" t="n"/>
      <c r="S171" s="4" t="n"/>
    </row>
    <row r="172">
      <c r="A172" s="74">
        <f>IFERROR(__xludf.DUMMYFUNCTION("""COMPUTED_VALUE"""),46132.0)</f>
        <v/>
      </c>
      <c r="B172" s="72">
        <f>IFERROR(__xludf.DUMMYFUNCTION("""COMPUTED_VALUE"""),62.0)</f>
        <v/>
      </c>
      <c r="C172" s="75">
        <f>IFERROR(__xludf.DUMMYFUNCTION("""COMPUTED_VALUE"""),150.0)</f>
        <v/>
      </c>
      <c r="D172" s="75">
        <f>IFERROR(__xludf.DUMMYFUNCTION("""COMPUTED_VALUE"""),"USD")</f>
        <v/>
      </c>
      <c r="E172" s="75">
        <f>IFERROR(__xludf.DUMMYFUNCTION("""COMPUTED_VALUE"""),"Efectivo USD")</f>
        <v/>
      </c>
      <c r="F172" s="75">
        <f>IFERROR(__xludf.DUMMYFUNCTION("""COMPUTED_VALUE"""),"SJMG 2012 C.A")</f>
        <v/>
      </c>
      <c r="G172" s="76">
        <f>IFERROR(__xludf.DUMMYFUNCTION("""COMPUTED_VALUE"""),"GRIMAN DIAZ HECTOR EDUARDO")</f>
        <v/>
      </c>
      <c r="H172" s="76">
        <f>IFERROR(__xludf.DUMMYFUNCTION("""COMPUTED_VALUE"""),481.2177)</f>
        <v/>
      </c>
      <c r="I172" s="75" t="n"/>
      <c r="J172" s="77">
        <f>IFERROR(__xludf.DUMMYFUNCTION("""COMPUTED_VALUE"""),150.0)</f>
        <v/>
      </c>
      <c r="K172" s="4">
        <f>IFERROR(__xludf.DUMMYFUNCTION("""COMPUTED_VALUE"""),150.0)</f>
        <v/>
      </c>
      <c r="L172" s="77">
        <f>IFERROR(__xludf.DUMMYFUNCTION("""COMPUTED_VALUE"""),150.0)</f>
        <v/>
      </c>
      <c r="O172" s="72" t="n"/>
      <c r="S172" s="4" t="n"/>
    </row>
    <row r="173">
      <c r="A173" s="74">
        <f>IFERROR(__xludf.DUMMYFUNCTION("""COMPUTED_VALUE"""),46132.0)</f>
        <v/>
      </c>
      <c r="B173" s="72">
        <f>IFERROR(__xludf.DUMMYFUNCTION("""COMPUTED_VALUE"""),55.0)</f>
        <v/>
      </c>
      <c r="C173" s="75">
        <f>IFERROR(__xludf.DUMMYFUNCTION("""COMPUTED_VALUE"""),72.0)</f>
        <v/>
      </c>
      <c r="D173" s="75">
        <f>IFERROR(__xludf.DUMMYFUNCTION("""COMPUTED_VALUE"""),"USD")</f>
        <v/>
      </c>
      <c r="E173" s="75">
        <f>IFERROR(__xludf.DUMMYFUNCTION("""COMPUTED_VALUE"""),"Efectivo USD")</f>
        <v/>
      </c>
      <c r="F173" s="75">
        <f>IFERROR(__xludf.DUMMYFUNCTION("""COMPUTED_VALUE"""),"Barrios Rodríguez Marlon Enrique")</f>
        <v/>
      </c>
      <c r="G173" s="76">
        <f>IFERROR(__xludf.DUMMYFUNCTION("""COMPUTED_VALUE"""),"TORO ARDILES DAVID JOSE")</f>
        <v/>
      </c>
      <c r="H173" s="76">
        <f>IFERROR(__xludf.DUMMYFUNCTION("""COMPUTED_VALUE"""),481.2177)</f>
        <v/>
      </c>
      <c r="I173" s="75" t="n"/>
      <c r="J173" s="77">
        <f>IFERROR(__xludf.DUMMYFUNCTION("""COMPUTED_VALUE"""),72.0)</f>
        <v/>
      </c>
      <c r="K173" s="4">
        <f>IFERROR(__xludf.DUMMYFUNCTION("""COMPUTED_VALUE"""),72.0)</f>
        <v/>
      </c>
      <c r="L173" s="77">
        <f>IFERROR(__xludf.DUMMYFUNCTION("""COMPUTED_VALUE"""),72.0)</f>
        <v/>
      </c>
      <c r="O173" s="72" t="n"/>
      <c r="S173" s="4" t="n"/>
    </row>
    <row r="174">
      <c r="A174" s="74">
        <f>IFERROR(__xludf.DUMMYFUNCTION("""COMPUTED_VALUE"""),46132.0)</f>
        <v/>
      </c>
      <c r="B174" s="72">
        <f>IFERROR(__xludf.DUMMYFUNCTION("""COMPUTED_VALUE"""),234.0)</f>
        <v/>
      </c>
      <c r="C174" s="75">
        <f>IFERROR(__xludf.DUMMYFUNCTION("""COMPUTED_VALUE"""),252.0)</f>
        <v/>
      </c>
      <c r="D174" s="75">
        <f>IFERROR(__xludf.DUMMYFUNCTION("""COMPUTED_VALUE"""),"USD")</f>
        <v/>
      </c>
      <c r="E174" s="75">
        <f>IFERROR(__xludf.DUMMYFUNCTION("""COMPUTED_VALUE"""),"Efectivo USD")</f>
        <v/>
      </c>
      <c r="F174" s="75">
        <f>IFERROR(__xludf.DUMMYFUNCTION("""COMPUTED_VALUE"""),"Cauchos California, C.A")</f>
        <v/>
      </c>
      <c r="G174" s="76">
        <f>IFERROR(__xludf.DUMMYFUNCTION("""COMPUTED_VALUE"""),"MARTINEZ MONTES JEFFREY ENRIQUE")</f>
        <v/>
      </c>
      <c r="H174" s="76">
        <f>IFERROR(__xludf.DUMMYFUNCTION("""COMPUTED_VALUE"""),481.2177)</f>
        <v/>
      </c>
      <c r="I174" s="75" t="n"/>
      <c r="J174" s="77">
        <f>IFERROR(__xludf.DUMMYFUNCTION("""COMPUTED_VALUE"""),252.0)</f>
        <v/>
      </c>
      <c r="K174" s="4">
        <f>IFERROR(__xludf.DUMMYFUNCTION("""COMPUTED_VALUE"""),252.0)</f>
        <v/>
      </c>
      <c r="L174" s="77">
        <f>IFERROR(__xludf.DUMMYFUNCTION("""COMPUTED_VALUE"""),252.0)</f>
        <v/>
      </c>
      <c r="O174" s="72" t="n"/>
      <c r="S174" s="4" t="n"/>
    </row>
    <row r="175">
      <c r="A175" s="74">
        <f>IFERROR(__xludf.DUMMYFUNCTION("""COMPUTED_VALUE"""),46129.0)</f>
        <v/>
      </c>
      <c r="B175" s="72">
        <f>IFERROR(__xludf.DUMMYFUNCTION("""COMPUTED_VALUE"""),238.0)</f>
        <v/>
      </c>
      <c r="C175" s="75">
        <f>IFERROR(__xludf.DUMMYFUNCTION("""COMPUTED_VALUE"""),75.0)</f>
        <v/>
      </c>
      <c r="D175" s="75">
        <f>IFERROR(__xludf.DUMMYFUNCTION("""COMPUTED_VALUE"""),"USD")</f>
        <v/>
      </c>
      <c r="E175" s="75">
        <f>IFERROR(__xludf.DUMMYFUNCTION("""COMPUTED_VALUE"""),"Efectivo USD")</f>
        <v/>
      </c>
      <c r="F175" s="75">
        <f>IFERROR(__xludf.DUMMYFUNCTION("""COMPUTED_VALUE"""),"Jose Brea")</f>
        <v/>
      </c>
      <c r="G175" s="76">
        <f>IFERROR(__xludf.DUMMYFUNCTION("""COMPUTED_VALUE"""),"Marco Romero")</f>
        <v/>
      </c>
      <c r="H175" s="76">
        <f>IFERROR(__xludf.DUMMYFUNCTION("""COMPUTED_VALUE"""),480.2572)</f>
        <v/>
      </c>
      <c r="I175" s="75" t="n"/>
      <c r="J175" s="77">
        <f>IFERROR(__xludf.DUMMYFUNCTION("""COMPUTED_VALUE"""),75.0)</f>
        <v/>
      </c>
      <c r="K175" s="4">
        <f>IFERROR(__xludf.DUMMYFUNCTION("""COMPUTED_VALUE"""),75.0)</f>
        <v/>
      </c>
      <c r="L175" s="77">
        <f>IFERROR(__xludf.DUMMYFUNCTION("""COMPUTED_VALUE"""),75.0)</f>
        <v/>
      </c>
      <c r="O175" s="72" t="n"/>
      <c r="S175" s="4" t="n"/>
    </row>
    <row r="176">
      <c r="A176" s="74">
        <f>IFERROR(__xludf.DUMMYFUNCTION("""COMPUTED_VALUE"""),46127.0)</f>
        <v/>
      </c>
      <c r="B176" s="72">
        <f>IFERROR(__xludf.DUMMYFUNCTION("""COMPUTED_VALUE"""),225.0)</f>
        <v/>
      </c>
      <c r="C176" s="75">
        <f>IFERROR(__xludf.DUMMYFUNCTION("""COMPUTED_VALUE"""),1910285.18)</f>
        <v/>
      </c>
      <c r="D176" s="75">
        <f>IFERROR(__xludf.DUMMYFUNCTION("""COMPUTED_VALUE"""),"VES")</f>
        <v/>
      </c>
      <c r="E176" s="75">
        <f>IFERROR(__xludf.DUMMYFUNCTION("""COMPUTED_VALUE"""),"Bancamiga")</f>
        <v/>
      </c>
      <c r="F176" s="75">
        <f>IFERROR(__xludf.DUMMYFUNCTION("""COMPUTED_VALUE"""),"CONSTRUCTORA GRANO AGREGADO, C.A")</f>
        <v/>
      </c>
      <c r="G176" s="76">
        <f>IFERROR(__xludf.DUMMYFUNCTION("""COMPUTED_VALUE"""),"Marco Romero")</f>
        <v/>
      </c>
      <c r="H176" s="76">
        <f>IFERROR(__xludf.DUMMYFUNCTION("""COMPUTED_VALUE"""),478.5811)</f>
        <v/>
      </c>
      <c r="I176" s="75" t="n"/>
      <c r="J176" s="77">
        <f>IFERROR(__xludf.DUMMYFUNCTION("""COMPUTED_VALUE"""),3991.560009369363)</f>
        <v/>
      </c>
      <c r="K176" s="4">
        <f>IFERROR(__xludf.DUMMYFUNCTION("""COMPUTED_VALUE"""),0.0)</f>
        <v/>
      </c>
      <c r="L176" s="77">
        <f>IFERROR(__xludf.DUMMYFUNCTION("""COMPUTED_VALUE"""),3991.560009369363)</f>
        <v/>
      </c>
      <c r="O176" s="72" t="n"/>
      <c r="S176" s="4" t="n"/>
    </row>
    <row r="177">
      <c r="A177" s="74">
        <f>IFERROR(__xludf.DUMMYFUNCTION("""COMPUTED_VALUE"""),46133.0)</f>
        <v/>
      </c>
      <c r="B177" s="72">
        <f>IFERROR(__xludf.DUMMYFUNCTION("""COMPUTED_VALUE"""),175.0)</f>
        <v/>
      </c>
      <c r="C177" s="75">
        <f>IFERROR(__xludf.DUMMYFUNCTION("""COMPUTED_VALUE"""),108.0)</f>
        <v/>
      </c>
      <c r="D177" s="75">
        <f>IFERROR(__xludf.DUMMYFUNCTION("""COMPUTED_VALUE"""),"USD")</f>
        <v/>
      </c>
      <c r="E177" s="75">
        <f>IFERROR(__xludf.DUMMYFUNCTION("""COMPUTED_VALUE"""),"Efectivo USD")</f>
        <v/>
      </c>
      <c r="F177" s="75">
        <f>IFERROR(__xludf.DUMMYFUNCTION("""COMPUTED_VALUE"""),"ESTACIONAMIENTO CIACORE 2000 c.a")</f>
        <v/>
      </c>
      <c r="G177" s="76">
        <f>IFERROR(__xludf.DUMMYFUNCTION("""COMPUTED_VALUE"""),"VILLABONA CORREA ALBA ESTEFANIA")</f>
        <v/>
      </c>
      <c r="H177" s="76">
        <f>IFERROR(__xludf.DUMMYFUNCTION("""COMPUTED_VALUE"""),481.6989)</f>
        <v/>
      </c>
      <c r="I177" s="75" t="n"/>
      <c r="J177" s="77">
        <f>IFERROR(__xludf.DUMMYFUNCTION("""COMPUTED_VALUE"""),108.0)</f>
        <v/>
      </c>
      <c r="K177" s="4">
        <f>IFERROR(__xludf.DUMMYFUNCTION("""COMPUTED_VALUE"""),108.0)</f>
        <v/>
      </c>
      <c r="L177" s="77">
        <f>IFERROR(__xludf.DUMMYFUNCTION("""COMPUTED_VALUE"""),108.0)</f>
        <v/>
      </c>
      <c r="O177" s="72" t="n"/>
      <c r="S177" s="4" t="n"/>
    </row>
    <row r="178">
      <c r="A178" s="74">
        <f>IFERROR(__xludf.DUMMYFUNCTION("""COMPUTED_VALUE"""),46133.0)</f>
        <v/>
      </c>
      <c r="B178" s="72">
        <f>IFERROR(__xludf.DUMMYFUNCTION("""COMPUTED_VALUE"""),143.0)</f>
        <v/>
      </c>
      <c r="C178" s="75">
        <f>IFERROR(__xludf.DUMMYFUNCTION("""COMPUTED_VALUE"""),100.0)</f>
        <v/>
      </c>
      <c r="D178" s="75">
        <f>IFERROR(__xludf.DUMMYFUNCTION("""COMPUTED_VALUE"""),"USD")</f>
        <v/>
      </c>
      <c r="E178" s="75">
        <f>IFERROR(__xludf.DUMMYFUNCTION("""COMPUTED_VALUE"""),"Efectivo USD")</f>
        <v/>
      </c>
      <c r="F178" s="75">
        <f>IFERROR(__xludf.DUMMYFUNCTION("""COMPUTED_VALUE"""),"MOTOREPUESTOS EL GUANÁBANO YRM C.A.")</f>
        <v/>
      </c>
      <c r="G178" s="76">
        <f>IFERROR(__xludf.DUMMYFUNCTION("""COMPUTED_VALUE"""),"TORO ARDILES DAVID JOSE")</f>
        <v/>
      </c>
      <c r="H178" s="76">
        <f>IFERROR(__xludf.DUMMYFUNCTION("""COMPUTED_VALUE"""),481.6989)</f>
        <v/>
      </c>
      <c r="I178" s="75" t="n"/>
      <c r="J178" s="77">
        <f>IFERROR(__xludf.DUMMYFUNCTION("""COMPUTED_VALUE"""),100.0)</f>
        <v/>
      </c>
      <c r="K178" s="4">
        <f>IFERROR(__xludf.DUMMYFUNCTION("""COMPUTED_VALUE"""),100.0)</f>
        <v/>
      </c>
      <c r="L178" s="77">
        <f>IFERROR(__xludf.DUMMYFUNCTION("""COMPUTED_VALUE"""),100.0)</f>
        <v/>
      </c>
      <c r="O178" s="72" t="n"/>
      <c r="S178" s="4" t="n"/>
    </row>
    <row r="179">
      <c r="A179" s="74">
        <f>IFERROR(__xludf.DUMMYFUNCTION("""COMPUTED_VALUE"""),46133.0)</f>
        <v/>
      </c>
      <c r="B179" s="72">
        <f>IFERROR(__xludf.DUMMYFUNCTION("""COMPUTED_VALUE"""),95.0)</f>
        <v/>
      </c>
      <c r="C179" s="75">
        <f>IFERROR(__xludf.DUMMYFUNCTION("""COMPUTED_VALUE"""),153023.28)</f>
        <v/>
      </c>
      <c r="D179" s="75">
        <f>IFERROR(__xludf.DUMMYFUNCTION("""COMPUTED_VALUE"""),"VES")</f>
        <v/>
      </c>
      <c r="E179" s="75">
        <f>IFERROR(__xludf.DUMMYFUNCTION("""COMPUTED_VALUE"""),"Venezuela")</f>
        <v/>
      </c>
      <c r="F179" s="75">
        <f>IFERROR(__xludf.DUMMYFUNCTION("""COMPUTED_VALUE"""),"Multiservicios Arizona, C.A.")</f>
        <v/>
      </c>
      <c r="G179" s="76">
        <f>IFERROR(__xludf.DUMMYFUNCTION("""COMPUTED_VALUE"""),"PEREZ DIAZ ANGEL DE DIOS")</f>
        <v/>
      </c>
      <c r="H179" s="76">
        <f>IFERROR(__xludf.DUMMYFUNCTION("""COMPUTED_VALUE"""),481.6989)</f>
        <v/>
      </c>
      <c r="I179" s="75" t="n"/>
      <c r="J179" s="77">
        <f>IFERROR(__xludf.DUMMYFUNCTION("""COMPUTED_VALUE"""),317.6741321186326)</f>
        <v/>
      </c>
      <c r="K179" s="4">
        <f>IFERROR(__xludf.DUMMYFUNCTION("""COMPUTED_VALUE"""),0.0)</f>
        <v/>
      </c>
      <c r="L179" s="77">
        <f>IFERROR(__xludf.DUMMYFUNCTION("""COMPUTED_VALUE"""),317.6741321186326)</f>
        <v/>
      </c>
      <c r="O179" s="72" t="n"/>
      <c r="S179" s="4" t="n"/>
    </row>
    <row r="180">
      <c r="A180" s="74">
        <f>IFERROR(__xludf.DUMMYFUNCTION("""COMPUTED_VALUE"""),46133.0)</f>
        <v/>
      </c>
      <c r="B180" s="72">
        <f>IFERROR(__xludf.DUMMYFUNCTION("""COMPUTED_VALUE"""),145.0)</f>
        <v/>
      </c>
      <c r="C180" s="75">
        <f>IFERROR(__xludf.DUMMYFUNCTION("""COMPUTED_VALUE"""),100.0)</f>
        <v/>
      </c>
      <c r="D180" s="75">
        <f>IFERROR(__xludf.DUMMYFUNCTION("""COMPUTED_VALUE"""),"USD")</f>
        <v/>
      </c>
      <c r="E180" s="75">
        <f>IFERROR(__xludf.DUMMYFUNCTION("""COMPUTED_VALUE"""),"Efectivo USD")</f>
        <v/>
      </c>
      <c r="F180" s="75">
        <f>IFERROR(__xludf.DUMMYFUNCTION("""COMPUTED_VALUE"""),"La cámara perfecta")</f>
        <v/>
      </c>
      <c r="G180" s="76">
        <f>IFERROR(__xludf.DUMMYFUNCTION("""COMPUTED_VALUE"""),"PEREZ DIAZ ANGEL DE DIOS")</f>
        <v/>
      </c>
      <c r="H180" s="76">
        <f>IFERROR(__xludf.DUMMYFUNCTION("""COMPUTED_VALUE"""),481.6989)</f>
        <v/>
      </c>
      <c r="I180" s="75" t="n"/>
      <c r="J180" s="77">
        <f>IFERROR(__xludf.DUMMYFUNCTION("""COMPUTED_VALUE"""),100.0)</f>
        <v/>
      </c>
      <c r="K180" s="4">
        <f>IFERROR(__xludf.DUMMYFUNCTION("""COMPUTED_VALUE"""),100.0)</f>
        <v/>
      </c>
      <c r="L180" s="77">
        <f>IFERROR(__xludf.DUMMYFUNCTION("""COMPUTED_VALUE"""),100.0)</f>
        <v/>
      </c>
      <c r="O180" s="72" t="n"/>
      <c r="S180" s="4" t="n"/>
    </row>
    <row r="181">
      <c r="A181" s="74">
        <f>IFERROR(__xludf.DUMMYFUNCTION("""COMPUTED_VALUE"""),46133.0)</f>
        <v/>
      </c>
      <c r="B181" s="72">
        <f>IFERROR(__xludf.DUMMYFUNCTION("""COMPUTED_VALUE"""),104.0)</f>
        <v/>
      </c>
      <c r="C181" s="75">
        <f>IFERROR(__xludf.DUMMYFUNCTION("""COMPUTED_VALUE"""),50.0)</f>
        <v/>
      </c>
      <c r="D181" s="75">
        <f>IFERROR(__xludf.DUMMYFUNCTION("""COMPUTED_VALUE"""),"USD")</f>
        <v/>
      </c>
      <c r="E181" s="75">
        <f>IFERROR(__xludf.DUMMYFUNCTION("""COMPUTED_VALUE"""),"Efectivo USD")</f>
        <v/>
      </c>
      <c r="F181" s="75">
        <f>IFERROR(__xludf.DUMMYFUNCTION("""COMPUTED_VALUE"""),"Inversiones Brayan CT C.A")</f>
        <v/>
      </c>
      <c r="G181" s="76">
        <f>IFERROR(__xludf.DUMMYFUNCTION("""COMPUTED_VALUE"""),"GRIMAN DIAZ HECTOR EDUARDO")</f>
        <v/>
      </c>
      <c r="H181" s="76">
        <f>IFERROR(__xludf.DUMMYFUNCTION("""COMPUTED_VALUE"""),481.6989)</f>
        <v/>
      </c>
      <c r="I181" s="75" t="n"/>
      <c r="J181" s="77">
        <f>IFERROR(__xludf.DUMMYFUNCTION("""COMPUTED_VALUE"""),50.0)</f>
        <v/>
      </c>
      <c r="K181" s="4">
        <f>IFERROR(__xludf.DUMMYFUNCTION("""COMPUTED_VALUE"""),50.0)</f>
        <v/>
      </c>
      <c r="L181" s="77">
        <f>IFERROR(__xludf.DUMMYFUNCTION("""COMPUTED_VALUE"""),50.0)</f>
        <v/>
      </c>
      <c r="O181" s="72" t="n"/>
      <c r="S181" s="4" t="n"/>
    </row>
    <row r="182">
      <c r="A182" s="74">
        <f>IFERROR(__xludf.DUMMYFUNCTION("""COMPUTED_VALUE"""),46133.0)</f>
        <v/>
      </c>
      <c r="B182" s="72">
        <f>IFERROR(__xludf.DUMMYFUNCTION("""COMPUTED_VALUE"""),27.0)</f>
        <v/>
      </c>
      <c r="C182" s="75">
        <f>IFERROR(__xludf.DUMMYFUNCTION("""COMPUTED_VALUE"""),20.0)</f>
        <v/>
      </c>
      <c r="D182" s="75">
        <f>IFERROR(__xludf.DUMMYFUNCTION("""COMPUTED_VALUE"""),"USD")</f>
        <v/>
      </c>
      <c r="E182" s="75">
        <f>IFERROR(__xludf.DUMMYFUNCTION("""COMPUTED_VALUE"""),"Efectivo USD")</f>
        <v/>
      </c>
      <c r="F182" s="75">
        <f>IFERROR(__xludf.DUMMYFUNCTION("""COMPUTED_VALUE"""),"Moises Alejandro Mares")</f>
        <v/>
      </c>
      <c r="G182" s="76">
        <f>IFERROR(__xludf.DUMMYFUNCTION("""COMPUTED_VALUE"""),"GRIMAN DIAZ HECTOR EDUARDO")</f>
        <v/>
      </c>
      <c r="H182" s="76">
        <f>IFERROR(__xludf.DUMMYFUNCTION("""COMPUTED_VALUE"""),481.6989)</f>
        <v/>
      </c>
      <c r="I182" s="75" t="n"/>
      <c r="J182" s="77">
        <f>IFERROR(__xludf.DUMMYFUNCTION("""COMPUTED_VALUE"""),20.0)</f>
        <v/>
      </c>
      <c r="K182" s="4">
        <f>IFERROR(__xludf.DUMMYFUNCTION("""COMPUTED_VALUE"""),20.0)</f>
        <v/>
      </c>
      <c r="L182" s="77">
        <f>IFERROR(__xludf.DUMMYFUNCTION("""COMPUTED_VALUE"""),20.0)</f>
        <v/>
      </c>
      <c r="O182" s="72" t="n"/>
      <c r="S182" s="4" t="n"/>
    </row>
    <row r="183">
      <c r="A183" s="74">
        <f>IFERROR(__xludf.DUMMYFUNCTION("""COMPUTED_VALUE"""),46133.0)</f>
        <v/>
      </c>
      <c r="B183" s="72">
        <f>IFERROR(__xludf.DUMMYFUNCTION("""COMPUTED_VALUE"""),24.0)</f>
        <v/>
      </c>
      <c r="C183" s="75">
        <f>IFERROR(__xludf.DUMMYFUNCTION("""COMPUTED_VALUE"""),48767.0)</f>
        <v/>
      </c>
      <c r="D183" s="75">
        <f>IFERROR(__xludf.DUMMYFUNCTION("""COMPUTED_VALUE"""),"VES")</f>
        <v/>
      </c>
      <c r="E183" s="75">
        <f>IFERROR(__xludf.DUMMYFUNCTION("""COMPUTED_VALUE"""),"Bancamiga")</f>
        <v/>
      </c>
      <c r="F183" s="75">
        <f>IFERROR(__xludf.DUMMYFUNCTION("""COMPUTED_VALUE"""),"Encamotors Catia C.A")</f>
        <v/>
      </c>
      <c r="G183" s="76">
        <f>IFERROR(__xludf.DUMMYFUNCTION("""COMPUTED_VALUE"""),"GRIMAN DIAZ HECTOR EDUARDO")</f>
        <v/>
      </c>
      <c r="H183" s="76">
        <f>IFERROR(__xludf.DUMMYFUNCTION("""COMPUTED_VALUE"""),481.6989)</f>
        <v/>
      </c>
      <c r="I183" s="75" t="n"/>
      <c r="J183" s="77">
        <f>IFERROR(__xludf.DUMMYFUNCTION("""COMPUTED_VALUE"""),101.23959178648737)</f>
        <v/>
      </c>
      <c r="K183" s="4">
        <f>IFERROR(__xludf.DUMMYFUNCTION("""COMPUTED_VALUE"""),0.0)</f>
        <v/>
      </c>
      <c r="L183" s="77">
        <f>IFERROR(__xludf.DUMMYFUNCTION("""COMPUTED_VALUE"""),101.23959178648737)</f>
        <v/>
      </c>
      <c r="O183" s="72" t="n"/>
      <c r="S183" s="4" t="n"/>
    </row>
    <row r="184">
      <c r="A184" s="74">
        <f>IFERROR(__xludf.DUMMYFUNCTION("""COMPUTED_VALUE"""),46133.0)</f>
        <v/>
      </c>
      <c r="B184" s="72">
        <f>IFERROR(__xludf.DUMMYFUNCTION("""COMPUTED_VALUE"""),34.0)</f>
        <v/>
      </c>
      <c r="C184" s="75">
        <f>IFERROR(__xludf.DUMMYFUNCTION("""COMPUTED_VALUE"""),48245.0)</f>
        <v/>
      </c>
      <c r="D184" s="75">
        <f>IFERROR(__xludf.DUMMYFUNCTION("""COMPUTED_VALUE"""),"VES")</f>
        <v/>
      </c>
      <c r="E184" s="75">
        <f>IFERROR(__xludf.DUMMYFUNCTION("""COMPUTED_VALUE"""),"Bancamiga")</f>
        <v/>
      </c>
      <c r="F184" s="75">
        <f>IFERROR(__xludf.DUMMYFUNCTION("""COMPUTED_VALUE"""),"Miguel Antonio Chacon")</f>
        <v/>
      </c>
      <c r="G184" s="76">
        <f>IFERROR(__xludf.DUMMYFUNCTION("""COMPUTED_VALUE"""),"GRIMAN DIAZ HECTOR EDUARDO")</f>
        <v/>
      </c>
      <c r="H184" s="76">
        <f>IFERROR(__xludf.DUMMYFUNCTION("""COMPUTED_VALUE"""),481.6989)</f>
        <v/>
      </c>
      <c r="I184" s="75" t="n"/>
      <c r="J184" s="77">
        <f>IFERROR(__xludf.DUMMYFUNCTION("""COMPUTED_VALUE"""),100.15592728154455)</f>
        <v/>
      </c>
      <c r="K184" s="4">
        <f>IFERROR(__xludf.DUMMYFUNCTION("""COMPUTED_VALUE"""),0.0)</f>
        <v/>
      </c>
      <c r="L184" s="77">
        <f>IFERROR(__xludf.DUMMYFUNCTION("""COMPUTED_VALUE"""),100.15592728154455)</f>
        <v/>
      </c>
      <c r="O184" s="72" t="n"/>
      <c r="S184" s="4" t="n"/>
    </row>
    <row r="185">
      <c r="A185" s="74">
        <f>IFERROR(__xludf.DUMMYFUNCTION("""COMPUTED_VALUE"""),46133.0)</f>
        <v/>
      </c>
      <c r="B185" s="72">
        <f>IFERROR(__xludf.DUMMYFUNCTION("""COMPUTED_VALUE"""),17.0)</f>
        <v/>
      </c>
      <c r="C185" s="75">
        <f>IFERROR(__xludf.DUMMYFUNCTION("""COMPUTED_VALUE"""),56271.01)</f>
        <v/>
      </c>
      <c r="D185" s="75">
        <f>IFERROR(__xludf.DUMMYFUNCTION("""COMPUTED_VALUE"""),"VES")</f>
        <v/>
      </c>
      <c r="E185" s="75">
        <f>IFERROR(__xludf.DUMMYFUNCTION("""COMPUTED_VALUE"""),"Bancamiga")</f>
        <v/>
      </c>
      <c r="F185" s="75">
        <f>IFERROR(__xludf.DUMMYFUNCTION("""COMPUTED_VALUE"""),"MOTO REPUESTOS LA FLECHA, C.A.")</f>
        <v/>
      </c>
      <c r="G185" s="76">
        <f>IFERROR(__xludf.DUMMYFUNCTION("""COMPUTED_VALUE"""),"TORO ARDILES DAVID JOSE")</f>
        <v/>
      </c>
      <c r="H185" s="76">
        <f>IFERROR(__xludf.DUMMYFUNCTION("""COMPUTED_VALUE"""),481.6989)</f>
        <v/>
      </c>
      <c r="I185" s="75" t="n"/>
      <c r="J185" s="77">
        <f>IFERROR(__xludf.DUMMYFUNCTION("""COMPUTED_VALUE"""),116.81780880130722)</f>
        <v/>
      </c>
      <c r="K185" s="4">
        <f>IFERROR(__xludf.DUMMYFUNCTION("""COMPUTED_VALUE"""),0.0)</f>
        <v/>
      </c>
      <c r="L185" s="77">
        <f>IFERROR(__xludf.DUMMYFUNCTION("""COMPUTED_VALUE"""),116.81780880130722)</f>
        <v/>
      </c>
      <c r="O185" s="72" t="n"/>
      <c r="S185" s="4" t="n"/>
    </row>
    <row r="186">
      <c r="A186" s="74">
        <f>IFERROR(__xludf.DUMMYFUNCTION("""COMPUTED_VALUE"""),46134.0)</f>
        <v/>
      </c>
      <c r="B186" s="72">
        <f>IFERROR(__xludf.DUMMYFUNCTION("""COMPUTED_VALUE"""),41.0)</f>
        <v/>
      </c>
      <c r="C186" s="75">
        <f>IFERROR(__xludf.DUMMYFUNCTION("""COMPUTED_VALUE"""),160.0)</f>
        <v/>
      </c>
      <c r="D186" s="75">
        <f>IFERROR(__xludf.DUMMYFUNCTION("""COMPUTED_VALUE"""),"USD")</f>
        <v/>
      </c>
      <c r="E186" s="75">
        <f>IFERROR(__xludf.DUMMYFUNCTION("""COMPUTED_VALUE"""),"Efectivo USD")</f>
        <v/>
      </c>
      <c r="F186" s="75">
        <f>IFERROR(__xludf.DUMMYFUNCTION("""COMPUTED_VALUE"""),"Inversiones Trip K, c.a.")</f>
        <v/>
      </c>
      <c r="G186" s="76">
        <f>IFERROR(__xludf.DUMMYFUNCTION("""COMPUTED_VALUE"""),"VILLABONA CORREA ALBA ESTEFANIA")</f>
        <v/>
      </c>
      <c r="H186" s="76">
        <f>IFERROR(__xludf.DUMMYFUNCTION("""COMPUTED_VALUE"""),482.7586)</f>
        <v/>
      </c>
      <c r="I186" s="75" t="n"/>
      <c r="J186" s="77">
        <f>IFERROR(__xludf.DUMMYFUNCTION("""COMPUTED_VALUE"""),160.0)</f>
        <v/>
      </c>
      <c r="K186" s="4">
        <f>IFERROR(__xludf.DUMMYFUNCTION("""COMPUTED_VALUE"""),160.0)</f>
        <v/>
      </c>
      <c r="L186" s="77">
        <f>IFERROR(__xludf.DUMMYFUNCTION("""COMPUTED_VALUE"""),160.0)</f>
        <v/>
      </c>
      <c r="O186" s="72" t="n"/>
      <c r="S186" s="4" t="n"/>
    </row>
    <row r="187">
      <c r="A187" s="74">
        <f>IFERROR(__xludf.DUMMYFUNCTION("""COMPUTED_VALUE"""),46134.0)</f>
        <v/>
      </c>
      <c r="B187" s="72">
        <f>IFERROR(__xludf.DUMMYFUNCTION("""COMPUTED_VALUE"""),41.0)</f>
        <v/>
      </c>
      <c r="C187" s="75">
        <f>IFERROR(__xludf.DUMMYFUNCTION("""COMPUTED_VALUE"""),483.0)</f>
        <v/>
      </c>
      <c r="D187" s="75">
        <f>IFERROR(__xludf.DUMMYFUNCTION("""COMPUTED_VALUE"""),"VES")</f>
        <v/>
      </c>
      <c r="E187" s="75">
        <f>IFERROR(__xludf.DUMMYFUNCTION("""COMPUTED_VALUE"""),"Bancamiga")</f>
        <v/>
      </c>
      <c r="F187" s="75">
        <f>IFERROR(__xludf.DUMMYFUNCTION("""COMPUTED_VALUE"""),"Inversiones Trip K, c.a.")</f>
        <v/>
      </c>
      <c r="G187" s="76">
        <f>IFERROR(__xludf.DUMMYFUNCTION("""COMPUTED_VALUE"""),"VILLABONA CORREA ALBA ESTEFANIA")</f>
        <v/>
      </c>
      <c r="H187" s="76">
        <f>IFERROR(__xludf.DUMMYFUNCTION("""COMPUTED_VALUE"""),482.7586)</f>
        <v/>
      </c>
      <c r="I187" s="75" t="n"/>
      <c r="J187" s="77">
        <f>IFERROR(__xludf.DUMMYFUNCTION("""COMPUTED_VALUE"""),1.0005000428785733)</f>
        <v/>
      </c>
      <c r="K187" s="4">
        <f>IFERROR(__xludf.DUMMYFUNCTION("""COMPUTED_VALUE"""),0.0)</f>
        <v/>
      </c>
      <c r="L187" s="77">
        <f>IFERROR(__xludf.DUMMYFUNCTION("""COMPUTED_VALUE"""),1.0005000428785733)</f>
        <v/>
      </c>
      <c r="O187" s="72" t="n"/>
      <c r="S187" s="4" t="n"/>
    </row>
    <row r="188">
      <c r="A188" s="74">
        <f>IFERROR(__xludf.DUMMYFUNCTION("""COMPUTED_VALUE"""),46134.0)</f>
        <v/>
      </c>
      <c r="B188" s="72">
        <f>IFERROR(__xludf.DUMMYFUNCTION("""COMPUTED_VALUE"""),241.0)</f>
        <v/>
      </c>
      <c r="C188" s="75">
        <f>IFERROR(__xludf.DUMMYFUNCTION("""COMPUTED_VALUE"""),161.0)</f>
        <v/>
      </c>
      <c r="D188" s="75">
        <f>IFERROR(__xludf.DUMMYFUNCTION("""COMPUTED_VALUE"""),"USD")</f>
        <v/>
      </c>
      <c r="E188" s="75">
        <f>IFERROR(__xludf.DUMMYFUNCTION("""COMPUTED_VALUE"""),"Efectivo USD")</f>
        <v/>
      </c>
      <c r="F188" s="75">
        <f>IFERROR(__xludf.DUMMYFUNCTION("""COMPUTED_VALUE"""),"EMPRENDIMIENTO IRMA RODRIGUEZ 6")</f>
        <v/>
      </c>
      <c r="G188" s="76">
        <f>IFERROR(__xludf.DUMMYFUNCTION("""COMPUTED_VALUE"""),"TORO ARDILES DAVID JOSE")</f>
        <v/>
      </c>
      <c r="H188" s="76">
        <f>IFERROR(__xludf.DUMMYFUNCTION("""COMPUTED_VALUE"""),482.7586)</f>
        <v/>
      </c>
      <c r="I188" s="75" t="n"/>
      <c r="J188" s="77">
        <f>IFERROR(__xludf.DUMMYFUNCTION("""COMPUTED_VALUE"""),161.0)</f>
        <v/>
      </c>
      <c r="K188" s="4">
        <f>IFERROR(__xludf.DUMMYFUNCTION("""COMPUTED_VALUE"""),161.0)</f>
        <v/>
      </c>
      <c r="L188" s="77">
        <f>IFERROR(__xludf.DUMMYFUNCTION("""COMPUTED_VALUE"""),161.0)</f>
        <v/>
      </c>
      <c r="O188" s="72" t="n"/>
      <c r="S188" s="4" t="n"/>
    </row>
    <row r="189">
      <c r="A189" s="74">
        <f>IFERROR(__xludf.DUMMYFUNCTION("""COMPUTED_VALUE"""),46134.0)</f>
        <v/>
      </c>
      <c r="B189" s="72">
        <f>IFERROR(__xludf.DUMMYFUNCTION("""COMPUTED_VALUE"""),114.0)</f>
        <v/>
      </c>
      <c r="C189" s="75">
        <f>IFERROR(__xludf.DUMMYFUNCTION("""COMPUTED_VALUE"""),50.0)</f>
        <v/>
      </c>
      <c r="D189" s="75">
        <f>IFERROR(__xludf.DUMMYFUNCTION("""COMPUTED_VALUE"""),"USD")</f>
        <v/>
      </c>
      <c r="E189" s="75">
        <f>IFERROR(__xludf.DUMMYFUNCTION("""COMPUTED_VALUE"""),"Efectivo USD")</f>
        <v/>
      </c>
      <c r="F189" s="75">
        <f>IFERROR(__xludf.DUMMYFUNCTION("""COMPUTED_VALUE"""),"Autoasesorio maxi motor")</f>
        <v/>
      </c>
      <c r="G189" s="76">
        <f>IFERROR(__xludf.DUMMYFUNCTION("""COMPUTED_VALUE"""),"PEREZ DIAZ ANGEL DE DIOS")</f>
        <v/>
      </c>
      <c r="H189" s="76">
        <f>IFERROR(__xludf.DUMMYFUNCTION("""COMPUTED_VALUE"""),482.7586)</f>
        <v/>
      </c>
      <c r="I189" s="75" t="n"/>
      <c r="J189" s="77">
        <f>IFERROR(__xludf.DUMMYFUNCTION("""COMPUTED_VALUE"""),50.0)</f>
        <v/>
      </c>
      <c r="K189" s="4">
        <f>IFERROR(__xludf.DUMMYFUNCTION("""COMPUTED_VALUE"""),50.0)</f>
        <v/>
      </c>
      <c r="L189" s="77">
        <f>IFERROR(__xludf.DUMMYFUNCTION("""COMPUTED_VALUE"""),50.0)</f>
        <v/>
      </c>
      <c r="O189" s="72" t="n"/>
      <c r="S189" s="4" t="n"/>
    </row>
    <row r="190">
      <c r="A190" s="74">
        <f>IFERROR(__xludf.DUMMYFUNCTION("""COMPUTED_VALUE"""),46134.0)</f>
        <v/>
      </c>
      <c r="B190" s="72">
        <f>IFERROR(__xludf.DUMMYFUNCTION("""COMPUTED_VALUE"""),29.0)</f>
        <v/>
      </c>
      <c r="C190" s="75">
        <f>IFERROR(__xludf.DUMMYFUNCTION("""COMPUTED_VALUE"""),98.0)</f>
        <v/>
      </c>
      <c r="D190" s="75">
        <f>IFERROR(__xludf.DUMMYFUNCTION("""COMPUTED_VALUE"""),"USD")</f>
        <v/>
      </c>
      <c r="E190" s="75">
        <f>IFERROR(__xludf.DUMMYFUNCTION("""COMPUTED_VALUE"""),"Efectivo USD")</f>
        <v/>
      </c>
      <c r="F190" s="75">
        <f>IFERROR(__xludf.DUMMYFUNCTION("""COMPUTED_VALUE"""),"AUTOREPUESTOS SION C.A.")</f>
        <v/>
      </c>
      <c r="G190" s="76">
        <f>IFERROR(__xludf.DUMMYFUNCTION("""COMPUTED_VALUE"""),"TORO ARDILES DAVID JOSE")</f>
        <v/>
      </c>
      <c r="H190" s="76">
        <f>IFERROR(__xludf.DUMMYFUNCTION("""COMPUTED_VALUE"""),482.7586)</f>
        <v/>
      </c>
      <c r="I190" s="75" t="n"/>
      <c r="J190" s="77">
        <f>IFERROR(__xludf.DUMMYFUNCTION("""COMPUTED_VALUE"""),98.0)</f>
        <v/>
      </c>
      <c r="K190" s="4">
        <f>IFERROR(__xludf.DUMMYFUNCTION("""COMPUTED_VALUE"""),98.0)</f>
        <v/>
      </c>
      <c r="L190" s="77">
        <f>IFERROR(__xludf.DUMMYFUNCTION("""COMPUTED_VALUE"""),98.0)</f>
        <v/>
      </c>
      <c r="O190" s="72" t="n"/>
      <c r="S190" s="4" t="n"/>
    </row>
    <row r="191">
      <c r="A191" s="74">
        <f>IFERROR(__xludf.DUMMYFUNCTION("""COMPUTED_VALUE"""),46134.0)</f>
        <v/>
      </c>
      <c r="B191" s="72">
        <f>IFERROR(__xludf.DUMMYFUNCTION("""COMPUTED_VALUE"""),83.0)</f>
        <v/>
      </c>
      <c r="C191" s="75">
        <f>IFERROR(__xludf.DUMMYFUNCTION("""COMPUTED_VALUE"""),100.0)</f>
        <v/>
      </c>
      <c r="D191" s="75">
        <f>IFERROR(__xludf.DUMMYFUNCTION("""COMPUTED_VALUE"""),"USD")</f>
        <v/>
      </c>
      <c r="E191" s="75">
        <f>IFERROR(__xludf.DUMMYFUNCTION("""COMPUTED_VALUE"""),"Efectivo USD")</f>
        <v/>
      </c>
      <c r="F191" s="75">
        <f>IFERROR(__xludf.DUMMYFUNCTION("""COMPUTED_VALUE"""),"Inversiones Famasa, C.A")</f>
        <v/>
      </c>
      <c r="G191" s="76">
        <f>IFERROR(__xludf.DUMMYFUNCTION("""COMPUTED_VALUE"""),"MARTINEZ MONTES JEFFREY ENRIQUE")</f>
        <v/>
      </c>
      <c r="H191" s="76">
        <f>IFERROR(__xludf.DUMMYFUNCTION("""COMPUTED_VALUE"""),482.7586)</f>
        <v/>
      </c>
      <c r="I191" s="75" t="n"/>
      <c r="J191" s="77">
        <f>IFERROR(__xludf.DUMMYFUNCTION("""COMPUTED_VALUE"""),100.0)</f>
        <v/>
      </c>
      <c r="K191" s="4">
        <f>IFERROR(__xludf.DUMMYFUNCTION("""COMPUTED_VALUE"""),100.0)</f>
        <v/>
      </c>
      <c r="L191" s="77">
        <f>IFERROR(__xludf.DUMMYFUNCTION("""COMPUTED_VALUE"""),100.0)</f>
        <v/>
      </c>
      <c r="O191" s="72" t="n"/>
      <c r="S191" s="4" t="n"/>
    </row>
    <row r="192">
      <c r="A192" s="74">
        <f>IFERROR(__xludf.DUMMYFUNCTION("""COMPUTED_VALUE"""),46134.0)</f>
        <v/>
      </c>
      <c r="B192" s="72">
        <f>IFERROR(__xludf.DUMMYFUNCTION("""COMPUTED_VALUE"""),121.0)</f>
        <v/>
      </c>
      <c r="C192" s="75">
        <f>IFERROR(__xludf.DUMMYFUNCTION("""COMPUTED_VALUE"""),34386.9)</f>
        <v/>
      </c>
      <c r="D192" s="75">
        <f>IFERROR(__xludf.DUMMYFUNCTION("""COMPUTED_VALUE"""),"VES")</f>
        <v/>
      </c>
      <c r="E192" s="75">
        <f>IFERROR(__xludf.DUMMYFUNCTION("""COMPUTED_VALUE"""),"Bancamiga")</f>
        <v/>
      </c>
      <c r="F192" s="75">
        <f>IFERROR(__xludf.DUMMYFUNCTION("""COMPUTED_VALUE"""),"Jose Lopez Espinoza")</f>
        <v/>
      </c>
      <c r="G192" s="76">
        <f>IFERROR(__xludf.DUMMYFUNCTION("""COMPUTED_VALUE"""),"VILLABONA CORREA ALBA ESTEFANIA")</f>
        <v/>
      </c>
      <c r="H192" s="76">
        <f>IFERROR(__xludf.DUMMYFUNCTION("""COMPUTED_VALUE"""),482.7586)</f>
        <v/>
      </c>
      <c r="I192" s="75" t="n"/>
      <c r="J192" s="77">
        <f>IFERROR(__xludf.DUMMYFUNCTION("""COMPUTED_VALUE"""),71.23001019557186)</f>
        <v/>
      </c>
      <c r="K192" s="4">
        <f>IFERROR(__xludf.DUMMYFUNCTION("""COMPUTED_VALUE"""),0.0)</f>
        <v/>
      </c>
      <c r="L192" s="77">
        <f>IFERROR(__xludf.DUMMYFUNCTION("""COMPUTED_VALUE"""),71.23001019557186)</f>
        <v/>
      </c>
      <c r="O192" s="72" t="n"/>
      <c r="S192" s="4" t="n"/>
    </row>
    <row r="193">
      <c r="A193" s="74">
        <f>IFERROR(__xludf.DUMMYFUNCTION("""COMPUTED_VALUE"""),46135.0)</f>
        <v/>
      </c>
      <c r="B193" s="72">
        <f>IFERROR(__xludf.DUMMYFUNCTION("""COMPUTED_VALUE"""),110.0)</f>
        <v/>
      </c>
      <c r="C193" s="75">
        <f>IFERROR(__xludf.DUMMYFUNCTION("""COMPUTED_VALUE"""),85.0)</f>
        <v/>
      </c>
      <c r="D193" s="75">
        <f>IFERROR(__xludf.DUMMYFUNCTION("""COMPUTED_VALUE"""),"USD")</f>
        <v/>
      </c>
      <c r="E193" s="75">
        <f>IFERROR(__xludf.DUMMYFUNCTION("""COMPUTED_VALUE"""),"Efectivo USD")</f>
        <v/>
      </c>
      <c r="F193" s="75">
        <f>IFERROR(__xludf.DUMMYFUNCTION("""COMPUTED_VALUE"""),"Emprendimiento José Sánchez 203 c.a")</f>
        <v/>
      </c>
      <c r="G193" s="76">
        <f>IFERROR(__xludf.DUMMYFUNCTION("""COMPUTED_VALUE"""),"BETANCOURT ROBRIGUEZ LUIS ENRRIQUE")</f>
        <v/>
      </c>
      <c r="H193" s="76">
        <f>IFERROR(__xludf.DUMMYFUNCTION("""COMPUTED_VALUE"""),483.3379)</f>
        <v/>
      </c>
      <c r="I193" s="75" t="n"/>
      <c r="J193" s="77">
        <f>IFERROR(__xludf.DUMMYFUNCTION("""COMPUTED_VALUE"""),85.0)</f>
        <v/>
      </c>
      <c r="K193" s="4">
        <f>IFERROR(__xludf.DUMMYFUNCTION("""COMPUTED_VALUE"""),85.0)</f>
        <v/>
      </c>
      <c r="L193" s="77">
        <f>IFERROR(__xludf.DUMMYFUNCTION("""COMPUTED_VALUE"""),85.0)</f>
        <v/>
      </c>
      <c r="O193" s="72" t="n"/>
      <c r="S193" s="4" t="n"/>
    </row>
    <row r="194">
      <c r="A194" s="74">
        <f>IFERROR(__xludf.DUMMYFUNCTION("""COMPUTED_VALUE"""),46135.0)</f>
        <v/>
      </c>
      <c r="B194" s="72">
        <f>IFERROR(__xludf.DUMMYFUNCTION("""COMPUTED_VALUE"""),62.0)</f>
        <v/>
      </c>
      <c r="C194" s="75">
        <f>IFERROR(__xludf.DUMMYFUNCTION("""COMPUTED_VALUE"""),500.0)</f>
        <v/>
      </c>
      <c r="D194" s="75">
        <f>IFERROR(__xludf.DUMMYFUNCTION("""COMPUTED_VALUE"""),"USD")</f>
        <v/>
      </c>
      <c r="E194" s="75">
        <f>IFERROR(__xludf.DUMMYFUNCTION("""COMPUTED_VALUE"""),"Zelle")</f>
        <v/>
      </c>
      <c r="F194" s="75">
        <f>IFERROR(__xludf.DUMMYFUNCTION("""COMPUTED_VALUE"""),"SJMG 2012 C.A")</f>
        <v/>
      </c>
      <c r="G194" s="76">
        <f>IFERROR(__xludf.DUMMYFUNCTION("""COMPUTED_VALUE"""),"GRIMAN DIAZ HECTOR EDUARDO")</f>
        <v/>
      </c>
      <c r="H194" s="76">
        <f>IFERROR(__xludf.DUMMYFUNCTION("""COMPUTED_VALUE"""),483.3379)</f>
        <v/>
      </c>
      <c r="I194" s="75" t="n"/>
      <c r="J194" s="77">
        <f>IFERROR(__xludf.DUMMYFUNCTION("""COMPUTED_VALUE"""),500.0)</f>
        <v/>
      </c>
      <c r="K194" s="4">
        <f>IFERROR(__xludf.DUMMYFUNCTION("""COMPUTED_VALUE"""),500.0)</f>
        <v/>
      </c>
      <c r="L194" s="77">
        <f>IFERROR(__xludf.DUMMYFUNCTION("""COMPUTED_VALUE"""),500.0)</f>
        <v/>
      </c>
      <c r="O194" s="72" t="n"/>
      <c r="S194" s="4" t="n"/>
    </row>
    <row r="195">
      <c r="A195" s="74">
        <f>IFERROR(__xludf.DUMMYFUNCTION("""COMPUTED_VALUE"""),46135.0)</f>
        <v/>
      </c>
      <c r="B195" s="72">
        <f>IFERROR(__xludf.DUMMYFUNCTION("""COMPUTED_VALUE"""),181.0)</f>
        <v/>
      </c>
      <c r="C195" s="75">
        <f>IFERROR(__xludf.DUMMYFUNCTION("""COMPUTED_VALUE"""),141.0)</f>
        <v/>
      </c>
      <c r="D195" s="75">
        <f>IFERROR(__xludf.DUMMYFUNCTION("""COMPUTED_VALUE"""),"USD")</f>
        <v/>
      </c>
      <c r="E195" s="75">
        <f>IFERROR(__xludf.DUMMYFUNCTION("""COMPUTED_VALUE"""),"Efectivo USD")</f>
        <v/>
      </c>
      <c r="F195" s="75">
        <f>IFERROR(__xludf.DUMMYFUNCTION("""COMPUTED_VALUE"""),"Multiservicios Sanahuja 36 C.A")</f>
        <v/>
      </c>
      <c r="G195" s="76">
        <f>IFERROR(__xludf.DUMMYFUNCTION("""COMPUTED_VALUE"""),"GRIMAN DIAZ HECTOR EDUARDO")</f>
        <v/>
      </c>
      <c r="H195" s="76">
        <f>IFERROR(__xludf.DUMMYFUNCTION("""COMPUTED_VALUE"""),483.3379)</f>
        <v/>
      </c>
      <c r="I195" s="75" t="n"/>
      <c r="J195" s="77">
        <f>IFERROR(__xludf.DUMMYFUNCTION("""COMPUTED_VALUE"""),141.0)</f>
        <v/>
      </c>
      <c r="K195" s="4">
        <f>IFERROR(__xludf.DUMMYFUNCTION("""COMPUTED_VALUE"""),141.0)</f>
        <v/>
      </c>
      <c r="L195" s="77">
        <f>IFERROR(__xludf.DUMMYFUNCTION("""COMPUTED_VALUE"""),141.0)</f>
        <v/>
      </c>
      <c r="O195" s="72" t="n"/>
      <c r="S195" s="4" t="n"/>
    </row>
    <row r="196">
      <c r="A196" s="74">
        <f>IFERROR(__xludf.DUMMYFUNCTION("""COMPUTED_VALUE"""),46135.0)</f>
        <v/>
      </c>
      <c r="B196" s="72">
        <f>IFERROR(__xludf.DUMMYFUNCTION("""COMPUTED_VALUE"""),168.0)</f>
        <v/>
      </c>
      <c r="C196" s="75">
        <f>IFERROR(__xludf.DUMMYFUNCTION("""COMPUTED_VALUE"""),250.0)</f>
        <v/>
      </c>
      <c r="D196" s="75">
        <f>IFERROR(__xludf.DUMMYFUNCTION("""COMPUTED_VALUE"""),"USD")</f>
        <v/>
      </c>
      <c r="E196" s="75">
        <f>IFERROR(__xludf.DUMMYFUNCTION("""COMPUTED_VALUE"""),"Efectivo USD")</f>
        <v/>
      </c>
      <c r="F196" s="75">
        <f>IFERROR(__xludf.DUMMYFUNCTION("""COMPUTED_VALUE"""),"ADS SERVICE C.A")</f>
        <v/>
      </c>
      <c r="G196" s="76">
        <f>IFERROR(__xludf.DUMMYFUNCTION("""COMPUTED_VALUE"""),"PEREZ DIAZ ANGEL DE DIOS")</f>
        <v/>
      </c>
      <c r="H196" s="76">
        <f>IFERROR(__xludf.DUMMYFUNCTION("""COMPUTED_VALUE"""),483.3379)</f>
        <v/>
      </c>
      <c r="I196" s="75" t="n"/>
      <c r="J196" s="77">
        <f>IFERROR(__xludf.DUMMYFUNCTION("""COMPUTED_VALUE"""),250.0)</f>
        <v/>
      </c>
      <c r="K196" s="4">
        <f>IFERROR(__xludf.DUMMYFUNCTION("""COMPUTED_VALUE"""),250.0)</f>
        <v/>
      </c>
      <c r="L196" s="77">
        <f>IFERROR(__xludf.DUMMYFUNCTION("""COMPUTED_VALUE"""),250.0)</f>
        <v/>
      </c>
      <c r="O196" s="72" t="n"/>
      <c r="S196" s="4" t="n"/>
    </row>
    <row r="197">
      <c r="A197" s="74">
        <f>IFERROR(__xludf.DUMMYFUNCTION("""COMPUTED_VALUE"""),46135.0)</f>
        <v/>
      </c>
      <c r="B197" s="72">
        <f>IFERROR(__xludf.DUMMYFUNCTION("""COMPUTED_VALUE"""),86.0)</f>
        <v/>
      </c>
      <c r="C197" s="75">
        <f>IFERROR(__xludf.DUMMYFUNCTION("""COMPUTED_VALUE"""),30000.0)</f>
        <v/>
      </c>
      <c r="D197" s="75">
        <f>IFERROR(__xludf.DUMMYFUNCTION("""COMPUTED_VALUE"""),"VES")</f>
        <v/>
      </c>
      <c r="E197" s="75">
        <f>IFERROR(__xludf.DUMMYFUNCTION("""COMPUTED_VALUE"""),"Bancamiga")</f>
        <v/>
      </c>
      <c r="F197" s="75">
        <f>IFERROR(__xludf.DUMMYFUNCTION("""COMPUTED_VALUE"""),"Wuilliams bastidas")</f>
        <v/>
      </c>
      <c r="G197" s="76">
        <f>IFERROR(__xludf.DUMMYFUNCTION("""COMPUTED_VALUE"""),"PEREZ DIAZ ANGEL DE DIOS")</f>
        <v/>
      </c>
      <c r="H197" s="76">
        <f>IFERROR(__xludf.DUMMYFUNCTION("""COMPUTED_VALUE"""),483.3379)</f>
        <v/>
      </c>
      <c r="I197" s="75" t="n"/>
      <c r="J197" s="77">
        <f>IFERROR(__xludf.DUMMYFUNCTION("""COMPUTED_VALUE"""),62.06837907807354)</f>
        <v/>
      </c>
      <c r="K197" s="4">
        <f>IFERROR(__xludf.DUMMYFUNCTION("""COMPUTED_VALUE"""),0.0)</f>
        <v/>
      </c>
      <c r="L197" s="77">
        <f>IFERROR(__xludf.DUMMYFUNCTION("""COMPUTED_VALUE"""),62.06837907807354)</f>
        <v/>
      </c>
      <c r="O197" s="72" t="n"/>
      <c r="S197" s="4" t="n"/>
    </row>
    <row r="198">
      <c r="A198" s="74">
        <f>IFERROR(__xludf.DUMMYFUNCTION("""COMPUTED_VALUE"""),46135.0)</f>
        <v/>
      </c>
      <c r="B198" s="72">
        <f>IFERROR(__xludf.DUMMYFUNCTION("""COMPUTED_VALUE"""),197.0)</f>
        <v/>
      </c>
      <c r="C198" s="75">
        <f>IFERROR(__xludf.DUMMYFUNCTION("""COMPUTED_VALUE"""),50.0)</f>
        <v/>
      </c>
      <c r="D198" s="75">
        <f>IFERROR(__xludf.DUMMYFUNCTION("""COMPUTED_VALUE"""),"USD")</f>
        <v/>
      </c>
      <c r="E198" s="75">
        <f>IFERROR(__xludf.DUMMYFUNCTION("""COMPUTED_VALUE"""),"Efectivo USD")</f>
        <v/>
      </c>
      <c r="F198" s="75">
        <f>IFERROR(__xludf.DUMMYFUNCTION("""COMPUTED_VALUE"""),"Auto Repuestos Acal C.A")</f>
        <v/>
      </c>
      <c r="G198" s="76">
        <f>IFERROR(__xludf.DUMMYFUNCTION("""COMPUTED_VALUE"""),"QUEVEDO BASTIDAS NEYKEL DAVID")</f>
        <v/>
      </c>
      <c r="H198" s="76">
        <f>IFERROR(__xludf.DUMMYFUNCTION("""COMPUTED_VALUE"""),483.3379)</f>
        <v/>
      </c>
      <c r="I198" s="75" t="n"/>
      <c r="J198" s="77">
        <f>IFERROR(__xludf.DUMMYFUNCTION("""COMPUTED_VALUE"""),50.0)</f>
        <v/>
      </c>
      <c r="K198" s="4">
        <f>IFERROR(__xludf.DUMMYFUNCTION("""COMPUTED_VALUE"""),50.0)</f>
        <v/>
      </c>
      <c r="L198" s="77">
        <f>IFERROR(__xludf.DUMMYFUNCTION("""COMPUTED_VALUE"""),50.0)</f>
        <v/>
      </c>
      <c r="O198" s="72" t="n"/>
      <c r="S198" s="4" t="n"/>
    </row>
    <row r="199">
      <c r="A199" s="74">
        <f>IFERROR(__xludf.DUMMYFUNCTION("""COMPUTED_VALUE"""),46136.0)</f>
        <v/>
      </c>
      <c r="B199" s="72">
        <f>IFERROR(__xludf.DUMMYFUNCTION("""COMPUTED_VALUE"""),100.0)</f>
        <v/>
      </c>
      <c r="C199" s="75">
        <f>IFERROR(__xludf.DUMMYFUNCTION("""COMPUTED_VALUE"""),45448.27)</f>
        <v/>
      </c>
      <c r="D199" s="75">
        <f>IFERROR(__xludf.DUMMYFUNCTION("""COMPUTED_VALUE"""),"VES")</f>
        <v/>
      </c>
      <c r="E199" s="75">
        <f>IFERROR(__xludf.DUMMYFUNCTION("""COMPUTED_VALUE"""),"Bancamiga")</f>
        <v/>
      </c>
      <c r="F199" s="75">
        <f>IFERROR(__xludf.DUMMYFUNCTION("""COMPUTED_VALUE"""),"Diana Carolina Torres")</f>
        <v/>
      </c>
      <c r="G199" s="76">
        <f>IFERROR(__xludf.DUMMYFUNCTION("""COMPUTED_VALUE"""),"VILLABONA CORREA ALBA ESTEFANIA")</f>
        <v/>
      </c>
      <c r="H199" s="76">
        <f>IFERROR(__xludf.DUMMYFUNCTION("""COMPUTED_VALUE"""),483.8695)</f>
        <v/>
      </c>
      <c r="I199" s="75" t="n"/>
      <c r="J199" s="77">
        <f>IFERROR(__xludf.DUMMYFUNCTION("""COMPUTED_VALUE"""),93.92670957768571)</f>
        <v/>
      </c>
      <c r="K199" s="4">
        <f>IFERROR(__xludf.DUMMYFUNCTION("""COMPUTED_VALUE"""),0.0)</f>
        <v/>
      </c>
      <c r="L199" s="77">
        <f>IFERROR(__xludf.DUMMYFUNCTION("""COMPUTED_VALUE"""),93.92670957768571)</f>
        <v/>
      </c>
      <c r="O199" s="72" t="n"/>
      <c r="S199" s="4" t="n"/>
    </row>
    <row r="200">
      <c r="A200" s="74">
        <f>IFERROR(__xludf.DUMMYFUNCTION("""COMPUTED_VALUE"""),46136.0)</f>
        <v/>
      </c>
      <c r="B200" s="72">
        <f>IFERROR(__xludf.DUMMYFUNCTION("""COMPUTED_VALUE"""),82.0)</f>
        <v/>
      </c>
      <c r="C200" s="75">
        <f>IFERROR(__xludf.DUMMYFUNCTION("""COMPUTED_VALUE"""),300.0)</f>
        <v/>
      </c>
      <c r="D200" s="75">
        <f>IFERROR(__xludf.DUMMYFUNCTION("""COMPUTED_VALUE"""),"USD")</f>
        <v/>
      </c>
      <c r="E200" s="75">
        <f>IFERROR(__xludf.DUMMYFUNCTION("""COMPUTED_VALUE"""),"Efectivo USD")</f>
        <v/>
      </c>
      <c r="F200" s="75">
        <f>IFERROR(__xludf.DUMMYFUNCTION("""COMPUTED_VALUE"""),"Pedro Castro")</f>
        <v/>
      </c>
      <c r="G200" s="76">
        <f>IFERROR(__xludf.DUMMYFUNCTION("""COMPUTED_VALUE"""),"BETANCOURT ROBRIGUEZ LUIS ENRRIQUE")</f>
        <v/>
      </c>
      <c r="H200" s="76">
        <f>IFERROR(__xludf.DUMMYFUNCTION("""COMPUTED_VALUE"""),483.8695)</f>
        <v/>
      </c>
      <c r="I200" s="75" t="n"/>
      <c r="J200" s="77">
        <f>IFERROR(__xludf.DUMMYFUNCTION("""COMPUTED_VALUE"""),300.0)</f>
        <v/>
      </c>
      <c r="K200" s="4">
        <f>IFERROR(__xludf.DUMMYFUNCTION("""COMPUTED_VALUE"""),300.0)</f>
        <v/>
      </c>
      <c r="L200" s="77">
        <f>IFERROR(__xludf.DUMMYFUNCTION("""COMPUTED_VALUE"""),300.0)</f>
        <v/>
      </c>
      <c r="O200" s="72" t="n"/>
      <c r="S200" s="4" t="n"/>
    </row>
    <row r="201">
      <c r="A201" s="74">
        <f>IFERROR(__xludf.DUMMYFUNCTION("""COMPUTED_VALUE"""),46136.0)</f>
        <v/>
      </c>
      <c r="B201" s="72">
        <f>IFERROR(__xludf.DUMMYFUNCTION("""COMPUTED_VALUE"""),126.0)</f>
        <v/>
      </c>
      <c r="C201" s="75">
        <f>IFERROR(__xludf.DUMMYFUNCTION("""COMPUTED_VALUE"""),200.0)</f>
        <v/>
      </c>
      <c r="D201" s="75">
        <f>IFERROR(__xludf.DUMMYFUNCTION("""COMPUTED_VALUE"""),"USD")</f>
        <v/>
      </c>
      <c r="E201" s="75">
        <f>IFERROR(__xludf.DUMMYFUNCTION("""COMPUTED_VALUE"""),"Efectivo USD")</f>
        <v/>
      </c>
      <c r="F201" s="75">
        <f>IFERROR(__xludf.DUMMYFUNCTION("""COMPUTED_VALUE"""),"Victor Ordaz")</f>
        <v/>
      </c>
      <c r="G201" s="76">
        <f>IFERROR(__xludf.DUMMYFUNCTION("""COMPUTED_VALUE"""),"BETANCOURT ROBRIGUEZ LUIS ENRRIQUE")</f>
        <v/>
      </c>
      <c r="H201" s="76">
        <f>IFERROR(__xludf.DUMMYFUNCTION("""COMPUTED_VALUE"""),483.8695)</f>
        <v/>
      </c>
      <c r="I201" s="75" t="n"/>
      <c r="J201" s="77">
        <f>IFERROR(__xludf.DUMMYFUNCTION("""COMPUTED_VALUE"""),200.0)</f>
        <v/>
      </c>
      <c r="K201" s="4">
        <f>IFERROR(__xludf.DUMMYFUNCTION("""COMPUTED_VALUE"""),200.0)</f>
        <v/>
      </c>
      <c r="L201" s="77">
        <f>IFERROR(__xludf.DUMMYFUNCTION("""COMPUTED_VALUE"""),200.0)</f>
        <v/>
      </c>
      <c r="O201" s="72" t="n"/>
      <c r="S201" s="4" t="n"/>
    </row>
    <row r="202">
      <c r="A202" s="74">
        <f>IFERROR(__xludf.DUMMYFUNCTION("""COMPUTED_VALUE"""),46136.0)</f>
        <v/>
      </c>
      <c r="B202" s="72">
        <f>IFERROR(__xludf.DUMMYFUNCTION("""COMPUTED_VALUE"""),210.0)</f>
        <v/>
      </c>
      <c r="C202" s="75">
        <f>IFERROR(__xludf.DUMMYFUNCTION("""COMPUTED_VALUE"""),119.0)</f>
        <v/>
      </c>
      <c r="D202" s="75">
        <f>IFERROR(__xludf.DUMMYFUNCTION("""COMPUTED_VALUE"""),"USD")</f>
        <v/>
      </c>
      <c r="E202" s="75">
        <f>IFERROR(__xludf.DUMMYFUNCTION("""COMPUTED_VALUE"""),"Binance")</f>
        <v/>
      </c>
      <c r="F202" s="75">
        <f>IFERROR(__xludf.DUMMYFUNCTION("""COMPUTED_VALUE"""),"Inversiones AreaElectric 2021,c.a.")</f>
        <v/>
      </c>
      <c r="G202" s="76">
        <f>IFERROR(__xludf.DUMMYFUNCTION("""COMPUTED_VALUE"""),"PEREZ DIAZ ANGEL DE DIOS")</f>
        <v/>
      </c>
      <c r="H202" s="76">
        <f>IFERROR(__xludf.DUMMYFUNCTION("""COMPUTED_VALUE"""),483.8695)</f>
        <v/>
      </c>
      <c r="I202" s="75" t="n"/>
      <c r="J202" s="77">
        <f>IFERROR(__xludf.DUMMYFUNCTION("""COMPUTED_VALUE"""),119.0)</f>
        <v/>
      </c>
      <c r="K202" s="4">
        <f>IFERROR(__xludf.DUMMYFUNCTION("""COMPUTED_VALUE"""),119.0)</f>
        <v/>
      </c>
      <c r="L202" s="77">
        <f>IFERROR(__xludf.DUMMYFUNCTION("""COMPUTED_VALUE"""),119.0)</f>
        <v/>
      </c>
      <c r="O202" s="72" t="n"/>
      <c r="S202" s="4" t="n"/>
    </row>
    <row r="203">
      <c r="A203" s="74">
        <f>IFERROR(__xludf.DUMMYFUNCTION("""COMPUTED_VALUE"""),46136.0)</f>
        <v/>
      </c>
      <c r="B203" s="72">
        <f>IFERROR(__xludf.DUMMYFUNCTION("""COMPUTED_VALUE"""),93.0)</f>
        <v/>
      </c>
      <c r="C203" s="75">
        <f>IFERROR(__xludf.DUMMYFUNCTION("""COMPUTED_VALUE"""),50.0)</f>
        <v/>
      </c>
      <c r="D203" s="75">
        <f>IFERROR(__xludf.DUMMYFUNCTION("""COMPUTED_VALUE"""),"USD")</f>
        <v/>
      </c>
      <c r="E203" s="75">
        <f>IFERROR(__xludf.DUMMYFUNCTION("""COMPUTED_VALUE"""),"Efectivo USD")</f>
        <v/>
      </c>
      <c r="F203" s="75">
        <f>IFERROR(__xludf.DUMMYFUNCTION("""COMPUTED_VALUE"""),"Emprendimiento YSKRA")</f>
        <v/>
      </c>
      <c r="G203" s="76">
        <f>IFERROR(__xludf.DUMMYFUNCTION("""COMPUTED_VALUE"""),"PEREZ DIAZ ANGEL DE DIOS")</f>
        <v/>
      </c>
      <c r="H203" s="76">
        <f>IFERROR(__xludf.DUMMYFUNCTION("""COMPUTED_VALUE"""),483.8695)</f>
        <v/>
      </c>
      <c r="I203" s="75" t="n"/>
      <c r="J203" s="77">
        <f>IFERROR(__xludf.DUMMYFUNCTION("""COMPUTED_VALUE"""),50.0)</f>
        <v/>
      </c>
      <c r="K203" s="4">
        <f>IFERROR(__xludf.DUMMYFUNCTION("""COMPUTED_VALUE"""),50.0)</f>
        <v/>
      </c>
      <c r="L203" s="77">
        <f>IFERROR(__xludf.DUMMYFUNCTION("""COMPUTED_VALUE"""),50.0)</f>
        <v/>
      </c>
      <c r="O203" s="72" t="n"/>
      <c r="S203" s="4" t="n"/>
    </row>
    <row r="204">
      <c r="A204" s="74">
        <f>IFERROR(__xludf.DUMMYFUNCTION("""COMPUTED_VALUE"""),46136.0)</f>
        <v/>
      </c>
      <c r="B204" s="72">
        <f>IFERROR(__xludf.DUMMYFUNCTION("""COMPUTED_VALUE"""),196.0)</f>
        <v/>
      </c>
      <c r="C204" s="75">
        <f>IFERROR(__xludf.DUMMYFUNCTION("""COMPUTED_VALUE"""),105483.55)</f>
        <v/>
      </c>
      <c r="D204" s="75">
        <f>IFERROR(__xludf.DUMMYFUNCTION("""COMPUTED_VALUE"""),"VES")</f>
        <v/>
      </c>
      <c r="E204" s="75">
        <f>IFERROR(__xludf.DUMMYFUNCTION("""COMPUTED_VALUE"""),"Bancamiga")</f>
        <v/>
      </c>
      <c r="F204" s="75">
        <f>IFERROR(__xludf.DUMMYFUNCTION("""COMPUTED_VALUE"""),"Comercial los de faria,c.a.")</f>
        <v/>
      </c>
      <c r="G204" s="76">
        <f>IFERROR(__xludf.DUMMYFUNCTION("""COMPUTED_VALUE"""),"QUEVEDO BASTIDAS NEYKEL DAVID")</f>
        <v/>
      </c>
      <c r="H204" s="76">
        <f>IFERROR(__xludf.DUMMYFUNCTION("""COMPUTED_VALUE"""),483.8695)</f>
        <v/>
      </c>
      <c r="I204" s="75" t="n"/>
      <c r="J204" s="77">
        <f>IFERROR(__xludf.DUMMYFUNCTION("""COMPUTED_VALUE"""),217.99999793332705)</f>
        <v/>
      </c>
      <c r="K204" s="4">
        <f>IFERROR(__xludf.DUMMYFUNCTION("""COMPUTED_VALUE"""),0.0)</f>
        <v/>
      </c>
      <c r="L204" s="77">
        <f>IFERROR(__xludf.DUMMYFUNCTION("""COMPUTED_VALUE"""),217.99999793332705)</f>
        <v/>
      </c>
      <c r="O204" s="72" t="n"/>
      <c r="S204" s="4" t="n"/>
    </row>
    <row r="205">
      <c r="A205" s="74">
        <f>IFERROR(__xludf.DUMMYFUNCTION("""COMPUTED_VALUE"""),46136.0)</f>
        <v/>
      </c>
      <c r="B205" s="72">
        <f>IFERROR(__xludf.DUMMYFUNCTION("""COMPUTED_VALUE"""),117.0)</f>
        <v/>
      </c>
      <c r="C205" s="75">
        <f>IFERROR(__xludf.DUMMYFUNCTION("""COMPUTED_VALUE"""),140.0)</f>
        <v/>
      </c>
      <c r="D205" s="75">
        <f>IFERROR(__xludf.DUMMYFUNCTION("""COMPUTED_VALUE"""),"USD")</f>
        <v/>
      </c>
      <c r="E205" s="75">
        <f>IFERROR(__xludf.DUMMYFUNCTION("""COMPUTED_VALUE"""),"Efectivo USD")</f>
        <v/>
      </c>
      <c r="F205" s="75">
        <f>IFERROR(__xludf.DUMMYFUNCTION("""COMPUTED_VALUE"""),"Jose Becerra")</f>
        <v/>
      </c>
      <c r="G205" s="76">
        <f>IFERROR(__xludf.DUMMYFUNCTION("""COMPUTED_VALUE"""),"TORO ARDILES DAVID JOSE")</f>
        <v/>
      </c>
      <c r="H205" s="76">
        <f>IFERROR(__xludf.DUMMYFUNCTION("""COMPUTED_VALUE"""),483.8695)</f>
        <v/>
      </c>
      <c r="I205" s="75" t="n"/>
      <c r="J205" s="77">
        <f>IFERROR(__xludf.DUMMYFUNCTION("""COMPUTED_VALUE"""),140.0)</f>
        <v/>
      </c>
      <c r="K205" s="4">
        <f>IFERROR(__xludf.DUMMYFUNCTION("""COMPUTED_VALUE"""),140.0)</f>
        <v/>
      </c>
      <c r="L205" s="77">
        <f>IFERROR(__xludf.DUMMYFUNCTION("""COMPUTED_VALUE"""),140.0)</f>
        <v/>
      </c>
      <c r="O205" s="72" t="n"/>
      <c r="S205" s="4" t="n"/>
    </row>
    <row r="206">
      <c r="A206" s="74">
        <f>IFERROR(__xludf.DUMMYFUNCTION("""COMPUTED_VALUE"""),46136.0)</f>
        <v/>
      </c>
      <c r="B206" s="72">
        <f>IFERROR(__xludf.DUMMYFUNCTION("""COMPUTED_VALUE"""),65.0)</f>
        <v/>
      </c>
      <c r="C206" s="75">
        <f>IFERROR(__xludf.DUMMYFUNCTION("""COMPUTED_VALUE"""),82257.9)</f>
        <v/>
      </c>
      <c r="D206" s="75">
        <f>IFERROR(__xludf.DUMMYFUNCTION("""COMPUTED_VALUE"""),"VES")</f>
        <v/>
      </c>
      <c r="E206" s="75">
        <f>IFERROR(__xludf.DUMMYFUNCTION("""COMPUTED_VALUE"""),"Bancamiga")</f>
        <v/>
      </c>
      <c r="F206" s="75">
        <f>IFERROR(__xludf.DUMMYFUNCTION("""COMPUTED_VALUE"""),"Auto Servicios HN 6972, C.A")</f>
        <v/>
      </c>
      <c r="G206" s="76">
        <f>IFERROR(__xludf.DUMMYFUNCTION("""COMPUTED_VALUE"""),"QUEVEDO BASTIDAS NEYKEL DAVID")</f>
        <v/>
      </c>
      <c r="H206" s="76">
        <f>IFERROR(__xludf.DUMMYFUNCTION("""COMPUTED_VALUE"""),483.8695)</f>
        <v/>
      </c>
      <c r="I206" s="75" t="n"/>
      <c r="J206" s="77">
        <f>IFERROR(__xludf.DUMMYFUNCTION("""COMPUTED_VALUE"""),170.0001756671995)</f>
        <v/>
      </c>
      <c r="K206" s="4">
        <f>IFERROR(__xludf.DUMMYFUNCTION("""COMPUTED_VALUE"""),0.0)</f>
        <v/>
      </c>
      <c r="L206" s="77">
        <f>IFERROR(__xludf.DUMMYFUNCTION("""COMPUTED_VALUE"""),170.0001756671995)</f>
        <v/>
      </c>
      <c r="O206" s="72" t="n"/>
      <c r="S206" s="4" t="n"/>
    </row>
    <row r="207">
      <c r="A207" s="74">
        <f>IFERROR(__xludf.DUMMYFUNCTION("""COMPUTED_VALUE"""),46136.0)</f>
        <v/>
      </c>
      <c r="B207" s="72">
        <f>IFERROR(__xludf.DUMMYFUNCTION("""COMPUTED_VALUE"""),263.0)</f>
        <v/>
      </c>
      <c r="C207" s="75">
        <f>IFERROR(__xludf.DUMMYFUNCTION("""COMPUTED_VALUE"""),255.0)</f>
        <v/>
      </c>
      <c r="D207" s="75">
        <f>IFERROR(__xludf.DUMMYFUNCTION("""COMPUTED_VALUE"""),"USD")</f>
        <v/>
      </c>
      <c r="E207" s="75">
        <f>IFERROR(__xludf.DUMMYFUNCTION("""COMPUTED_VALUE"""),"Efectivo USD")</f>
        <v/>
      </c>
      <c r="F207" s="75">
        <f>IFERROR(__xludf.DUMMYFUNCTION("""COMPUTED_VALUE"""),"Katiuska Alejandra Curvelo")</f>
        <v/>
      </c>
      <c r="G207" s="76">
        <f>IFERROR(__xludf.DUMMYFUNCTION("""COMPUTED_VALUE"""),"GRIMAN DIAZ HECTOR EDUARDO")</f>
        <v/>
      </c>
      <c r="H207" s="76">
        <f>IFERROR(__xludf.DUMMYFUNCTION("""COMPUTED_VALUE"""),483.8695)</f>
        <v/>
      </c>
      <c r="I207" s="75" t="n"/>
      <c r="J207" s="77">
        <f>IFERROR(__xludf.DUMMYFUNCTION("""COMPUTED_VALUE"""),255.0)</f>
        <v/>
      </c>
      <c r="K207" s="4">
        <f>IFERROR(__xludf.DUMMYFUNCTION("""COMPUTED_VALUE"""),255.0)</f>
        <v/>
      </c>
      <c r="L207" s="77">
        <f>IFERROR(__xludf.DUMMYFUNCTION("""COMPUTED_VALUE"""),255.0)</f>
        <v/>
      </c>
      <c r="O207" s="72" t="n"/>
      <c r="S207" s="4" t="n"/>
    </row>
    <row r="208">
      <c r="A208" s="74">
        <f>IFERROR(__xludf.DUMMYFUNCTION("""COMPUTED_VALUE"""),46136.0)</f>
        <v/>
      </c>
      <c r="B208" s="72">
        <f>IFERROR(__xludf.DUMMYFUNCTION("""COMPUTED_VALUE"""),83.0)</f>
        <v/>
      </c>
      <c r="C208" s="75">
        <f>IFERROR(__xludf.DUMMYFUNCTION("""COMPUTED_VALUE"""),100.0)</f>
        <v/>
      </c>
      <c r="D208" s="75">
        <f>IFERROR(__xludf.DUMMYFUNCTION("""COMPUTED_VALUE"""),"USD")</f>
        <v/>
      </c>
      <c r="E208" s="75">
        <f>IFERROR(__xludf.DUMMYFUNCTION("""COMPUTED_VALUE"""),"Efectivo USD")</f>
        <v/>
      </c>
      <c r="F208" s="75">
        <f>IFERROR(__xludf.DUMMYFUNCTION("""COMPUTED_VALUE"""),"Inversiones Famasa, C.A")</f>
        <v/>
      </c>
      <c r="G208" s="76">
        <f>IFERROR(__xludf.DUMMYFUNCTION("""COMPUTED_VALUE"""),"MARTINEZ MONTES JEFFREY ENRIQUE")</f>
        <v/>
      </c>
      <c r="H208" s="76">
        <f>IFERROR(__xludf.DUMMYFUNCTION("""COMPUTED_VALUE"""),483.8695)</f>
        <v/>
      </c>
      <c r="I208" s="75" t="n"/>
      <c r="J208" s="77">
        <f>IFERROR(__xludf.DUMMYFUNCTION("""COMPUTED_VALUE"""),100.0)</f>
        <v/>
      </c>
      <c r="K208" s="4">
        <f>IFERROR(__xludf.DUMMYFUNCTION("""COMPUTED_VALUE"""),100.0)</f>
        <v/>
      </c>
      <c r="L208" s="77">
        <f>IFERROR(__xludf.DUMMYFUNCTION("""COMPUTED_VALUE"""),100.0)</f>
        <v/>
      </c>
      <c r="O208" s="72" t="n"/>
      <c r="S208" s="4" t="n"/>
    </row>
    <row r="209">
      <c r="A209" s="74">
        <f>IFERROR(__xludf.DUMMYFUNCTION("""COMPUTED_VALUE"""),46136.0)</f>
        <v/>
      </c>
      <c r="B209" s="72">
        <f>IFERROR(__xludf.DUMMYFUNCTION("""COMPUTED_VALUE"""),74.0)</f>
        <v/>
      </c>
      <c r="C209" s="75">
        <f>IFERROR(__xludf.DUMMYFUNCTION("""COMPUTED_VALUE"""),39678.8)</f>
        <v/>
      </c>
      <c r="D209" s="75">
        <f>IFERROR(__xludf.DUMMYFUNCTION("""COMPUTED_VALUE"""),"VES")</f>
        <v/>
      </c>
      <c r="E209" s="75">
        <f>IFERROR(__xludf.DUMMYFUNCTION("""COMPUTED_VALUE"""),"Bancamiga")</f>
        <v/>
      </c>
      <c r="F209" s="75">
        <f>IFERROR(__xludf.DUMMYFUNCTION("""COMPUTED_VALUE"""),"Servicios Nicolazzo 97, C.A")</f>
        <v/>
      </c>
      <c r="G209" s="76">
        <f>IFERROR(__xludf.DUMMYFUNCTION("""COMPUTED_VALUE"""),"QUEVEDO BASTIDAS NEYKEL DAVID")</f>
        <v/>
      </c>
      <c r="H209" s="76">
        <f>IFERROR(__xludf.DUMMYFUNCTION("""COMPUTED_VALUE"""),483.8695)</f>
        <v/>
      </c>
      <c r="I209" s="75" t="n"/>
      <c r="J209" s="77">
        <f>IFERROR(__xludf.DUMMYFUNCTION("""COMPUTED_VALUE"""),82.0031020760763)</f>
        <v/>
      </c>
      <c r="K209" s="4">
        <f>IFERROR(__xludf.DUMMYFUNCTION("""COMPUTED_VALUE"""),0.0)</f>
        <v/>
      </c>
      <c r="L209" s="77">
        <f>IFERROR(__xludf.DUMMYFUNCTION("""COMPUTED_VALUE"""),82.0031020760763)</f>
        <v/>
      </c>
      <c r="O209" s="72" t="n"/>
      <c r="S209" s="4" t="n"/>
    </row>
    <row r="210">
      <c r="A210" s="74">
        <f>IFERROR(__xludf.DUMMYFUNCTION("""COMPUTED_VALUE"""),46136.0)</f>
        <v/>
      </c>
      <c r="B210" s="72">
        <f>IFERROR(__xludf.DUMMYFUNCTION("""COMPUTED_VALUE"""),279.0)</f>
        <v/>
      </c>
      <c r="C210" s="75">
        <f>IFERROR(__xludf.DUMMYFUNCTION("""COMPUTED_VALUE"""),134.0)</f>
        <v/>
      </c>
      <c r="D210" s="75">
        <f>IFERROR(__xludf.DUMMYFUNCTION("""COMPUTED_VALUE"""),"USD")</f>
        <v/>
      </c>
      <c r="E210" s="75">
        <f>IFERROR(__xludf.DUMMYFUNCTION("""COMPUTED_VALUE"""),"Efectivo USD")</f>
        <v/>
      </c>
      <c r="F210" s="75">
        <f>IFERROR(__xludf.DUMMYFUNCTION("""COMPUTED_VALUE"""),"Anthony Jose Quijada Diaz.")</f>
        <v/>
      </c>
      <c r="G210" s="76">
        <f>IFERROR(__xludf.DUMMYFUNCTION("""COMPUTED_VALUE"""),"CASERES GONZALEZ RONALD OSWALDO")</f>
        <v/>
      </c>
      <c r="H210" s="76">
        <f>IFERROR(__xludf.DUMMYFUNCTION("""COMPUTED_VALUE"""),483.8695)</f>
        <v/>
      </c>
      <c r="I210" s="75" t="n"/>
      <c r="J210" s="77">
        <f>IFERROR(__xludf.DUMMYFUNCTION("""COMPUTED_VALUE"""),134.0)</f>
        <v/>
      </c>
      <c r="K210" s="4">
        <f>IFERROR(__xludf.DUMMYFUNCTION("""COMPUTED_VALUE"""),134.0)</f>
        <v/>
      </c>
      <c r="L210" s="77">
        <f>IFERROR(__xludf.DUMMYFUNCTION("""COMPUTED_VALUE"""),134.0)</f>
        <v/>
      </c>
      <c r="O210" s="72" t="n"/>
      <c r="S210" s="4" t="n"/>
    </row>
    <row r="211">
      <c r="A211" s="74">
        <f>IFERROR(__xludf.DUMMYFUNCTION("""COMPUTED_VALUE"""),46136.0)</f>
        <v/>
      </c>
      <c r="B211" s="72">
        <f>IFERROR(__xludf.DUMMYFUNCTION("""COMPUTED_VALUE"""),289.0)</f>
        <v/>
      </c>
      <c r="C211" s="75">
        <f>IFERROR(__xludf.DUMMYFUNCTION("""COMPUTED_VALUE"""),81.0)</f>
        <v/>
      </c>
      <c r="D211" s="75">
        <f>IFERROR(__xludf.DUMMYFUNCTION("""COMPUTED_VALUE"""),"USD")</f>
        <v/>
      </c>
      <c r="E211" s="75">
        <f>IFERROR(__xludf.DUMMYFUNCTION("""COMPUTED_VALUE"""),"Efectivo USD")</f>
        <v/>
      </c>
      <c r="F211" s="75">
        <f>IFERROR(__xludf.DUMMYFUNCTION("""COMPUTED_VALUE"""),"Paola M. Aguilera Z.")</f>
        <v/>
      </c>
      <c r="G211" s="76">
        <f>IFERROR(__xludf.DUMMYFUNCTION("""COMPUTED_VALUE"""),"CASERES GONZALEZ RONALD OSWALDO")</f>
        <v/>
      </c>
      <c r="H211" s="76">
        <f>IFERROR(__xludf.DUMMYFUNCTION("""COMPUTED_VALUE"""),483.8695)</f>
        <v/>
      </c>
      <c r="I211" s="75" t="n"/>
      <c r="J211" s="77">
        <f>IFERROR(__xludf.DUMMYFUNCTION("""COMPUTED_VALUE"""),81.0)</f>
        <v/>
      </c>
      <c r="K211" s="4">
        <f>IFERROR(__xludf.DUMMYFUNCTION("""COMPUTED_VALUE"""),81.0)</f>
        <v/>
      </c>
      <c r="L211" s="77">
        <f>IFERROR(__xludf.DUMMYFUNCTION("""COMPUTED_VALUE"""),81.0)</f>
        <v/>
      </c>
      <c r="O211" s="72" t="n"/>
      <c r="S211" s="4" t="n"/>
    </row>
    <row r="212">
      <c r="A212" s="74">
        <f>IFERROR(__xludf.DUMMYFUNCTION("""COMPUTED_VALUE"""),46139.0)</f>
        <v/>
      </c>
      <c r="B212" s="72">
        <f>IFERROR(__xludf.DUMMYFUNCTION("""COMPUTED_VALUE"""),65.0)</f>
        <v/>
      </c>
      <c r="C212" s="75">
        <f>IFERROR(__xludf.DUMMYFUNCTION("""COMPUTED_VALUE"""),128940.84)</f>
        <v/>
      </c>
      <c r="D212" s="75">
        <f>IFERROR(__xludf.DUMMYFUNCTION("""COMPUTED_VALUE"""),"VES")</f>
        <v/>
      </c>
      <c r="E212" s="75">
        <f>IFERROR(__xludf.DUMMYFUNCTION("""COMPUTED_VALUE"""),"Bancamiga")</f>
        <v/>
      </c>
      <c r="F212" s="75">
        <f>IFERROR(__xludf.DUMMYFUNCTION("""COMPUTED_VALUE"""),"Auto Servicios HN 6972, C.A")</f>
        <v/>
      </c>
      <c r="G212" s="76">
        <f>IFERROR(__xludf.DUMMYFUNCTION("""COMPUTED_VALUE"""),"QUEVEDO BASTIDAS NEYKEL DAVID")</f>
        <v/>
      </c>
      <c r="H212" s="76">
        <f>IFERROR(__xludf.DUMMYFUNCTION("""COMPUTED_VALUE"""),484.7404)</f>
        <v/>
      </c>
      <c r="I212" s="75" t="n"/>
      <c r="J212" s="77">
        <f>IFERROR(__xludf.DUMMYFUNCTION("""COMPUTED_VALUE"""),265.9997805010682)</f>
        <v/>
      </c>
      <c r="K212" s="4">
        <f>IFERROR(__xludf.DUMMYFUNCTION("""COMPUTED_VALUE"""),0.0)</f>
        <v/>
      </c>
      <c r="L212" s="77">
        <f>IFERROR(__xludf.DUMMYFUNCTION("""COMPUTED_VALUE"""),265.9997805010682)</f>
        <v/>
      </c>
      <c r="O212" s="72" t="n"/>
      <c r="S212" s="4" t="n"/>
    </row>
    <row r="213">
      <c r="A213" s="74">
        <f>IFERROR(__xludf.DUMMYFUNCTION("""COMPUTED_VALUE"""),46139.0)</f>
        <v/>
      </c>
      <c r="B213" s="72">
        <f>IFERROR(__xludf.DUMMYFUNCTION("""COMPUTED_VALUE"""),167.0)</f>
        <v/>
      </c>
      <c r="C213" s="75">
        <f>IFERROR(__xludf.DUMMYFUNCTION("""COMPUTED_VALUE"""),24237.0)</f>
        <v/>
      </c>
      <c r="D213" s="75">
        <f>IFERROR(__xludf.DUMMYFUNCTION("""COMPUTED_VALUE"""),"VES")</f>
        <v/>
      </c>
      <c r="E213" s="75">
        <f>IFERROR(__xludf.DUMMYFUNCTION("""COMPUTED_VALUE"""),"Bancamiga")</f>
        <v/>
      </c>
      <c r="F213" s="75">
        <f>IFERROR(__xludf.DUMMYFUNCTION("""COMPUTED_VALUE"""),"Frenos Elite, C.A")</f>
        <v/>
      </c>
      <c r="G213" s="76">
        <f>IFERROR(__xludf.DUMMYFUNCTION("""COMPUTED_VALUE"""),"CASERES GONZALEZ RONALD OSWALDO")</f>
        <v/>
      </c>
      <c r="H213" s="76">
        <f>IFERROR(__xludf.DUMMYFUNCTION("""COMPUTED_VALUE"""),484.7404)</f>
        <v/>
      </c>
      <c r="I213" s="75" t="n"/>
      <c r="J213" s="77">
        <f>IFERROR(__xludf.DUMMYFUNCTION("""COMPUTED_VALUE"""),49.99995874080229)</f>
        <v/>
      </c>
      <c r="K213" s="4">
        <f>IFERROR(__xludf.DUMMYFUNCTION("""COMPUTED_VALUE"""),0.0)</f>
        <v/>
      </c>
      <c r="L213" s="77">
        <f>IFERROR(__xludf.DUMMYFUNCTION("""COMPUTED_VALUE"""),49.99995874080229)</f>
        <v/>
      </c>
      <c r="O213" s="72" t="n"/>
      <c r="S213" s="4" t="n"/>
    </row>
    <row r="214">
      <c r="A214" s="74">
        <f>IFERROR(__xludf.DUMMYFUNCTION("""COMPUTED_VALUE"""),46139.0)</f>
        <v/>
      </c>
      <c r="B214" s="72">
        <f>IFERROR(__xludf.DUMMYFUNCTION("""COMPUTED_VALUE"""),165.0)</f>
        <v/>
      </c>
      <c r="C214" s="75">
        <f>IFERROR(__xludf.DUMMYFUNCTION("""COMPUTED_VALUE"""),72711.06)</f>
        <v/>
      </c>
      <c r="D214" s="75">
        <f>IFERROR(__xludf.DUMMYFUNCTION("""COMPUTED_VALUE"""),"VES")</f>
        <v/>
      </c>
      <c r="E214" s="75">
        <f>IFERROR(__xludf.DUMMYFUNCTION("""COMPUTED_VALUE"""),"Bancamiga")</f>
        <v/>
      </c>
      <c r="F214" s="75">
        <f>IFERROR(__xludf.DUMMYFUNCTION("""COMPUTED_VALUE"""),"EMPRENDIMIENTO HECTOR LLAMOZA")</f>
        <v/>
      </c>
      <c r="G214" s="76">
        <f>IFERROR(__xludf.DUMMYFUNCTION("""COMPUTED_VALUE"""),"VILLABONA CORREA ALBA ESTEFANIA")</f>
        <v/>
      </c>
      <c r="H214" s="76">
        <f>IFERROR(__xludf.DUMMYFUNCTION("""COMPUTED_VALUE"""),484.7404)</f>
        <v/>
      </c>
      <c r="I214" s="75" t="n"/>
      <c r="J214" s="77">
        <f>IFERROR(__xludf.DUMMYFUNCTION("""COMPUTED_VALUE"""),150.0)</f>
        <v/>
      </c>
      <c r="K214" s="4">
        <f>IFERROR(__xludf.DUMMYFUNCTION("""COMPUTED_VALUE"""),0.0)</f>
        <v/>
      </c>
      <c r="L214" s="77">
        <f>IFERROR(__xludf.DUMMYFUNCTION("""COMPUTED_VALUE"""),150.0)</f>
        <v/>
      </c>
      <c r="O214" s="72" t="n"/>
      <c r="S214" s="4" t="n"/>
    </row>
    <row r="215">
      <c r="A215" s="74">
        <f>IFERROR(__xludf.DUMMYFUNCTION("""COMPUTED_VALUE"""),46139.0)</f>
        <v/>
      </c>
      <c r="B215" s="72" t="n"/>
      <c r="C215" s="75">
        <f>IFERROR(__xludf.DUMMYFUNCTION("""COMPUTED_VALUE"""),100.0)</f>
        <v/>
      </c>
      <c r="D215" s="75">
        <f>IFERROR(__xludf.DUMMYFUNCTION("""COMPUTED_VALUE"""),"USD")</f>
        <v/>
      </c>
      <c r="E215" s="75">
        <f>IFERROR(__xludf.DUMMYFUNCTION("""COMPUTED_VALUE"""),"Efectivo USD")</f>
        <v/>
      </c>
      <c r="F215" s="75">
        <f>IFERROR(__xludf.DUMMYFUNCTION("""COMPUTED_VALUE"""),"Comercializadora Garabote")</f>
        <v/>
      </c>
      <c r="G215" s="76">
        <f>IFERROR(__xludf.DUMMYFUNCTION("""COMPUTED_VALUE"""),"PEREZ DIAZ ANGEL DE DIOS")</f>
        <v/>
      </c>
      <c r="H215" s="76">
        <f>IFERROR(__xludf.DUMMYFUNCTION("""COMPUTED_VALUE"""),484.7404)</f>
        <v/>
      </c>
      <c r="I215" s="75" t="n"/>
      <c r="J215" s="77">
        <f>IFERROR(__xludf.DUMMYFUNCTION("""COMPUTED_VALUE"""),100.0)</f>
        <v/>
      </c>
      <c r="K215" s="4">
        <f>IFERROR(__xludf.DUMMYFUNCTION("""COMPUTED_VALUE"""),100.0)</f>
        <v/>
      </c>
      <c r="L215" s="77">
        <f>IFERROR(__xludf.DUMMYFUNCTION("""COMPUTED_VALUE"""),100.0)</f>
        <v/>
      </c>
      <c r="O215" s="72" t="n"/>
      <c r="S215" s="4" t="n"/>
    </row>
    <row r="216">
      <c r="A216" s="74">
        <f>IFERROR(__xludf.DUMMYFUNCTION("""COMPUTED_VALUE"""),46139.0)</f>
        <v/>
      </c>
      <c r="B216" s="72">
        <f>IFERROR(__xludf.DUMMYFUNCTION("""COMPUTED_VALUE"""),227.0)</f>
        <v/>
      </c>
      <c r="C216" s="75">
        <f>IFERROR(__xludf.DUMMYFUNCTION("""COMPUTED_VALUE"""),293907.53)</f>
        <v/>
      </c>
      <c r="D216" s="75">
        <f>IFERROR(__xludf.DUMMYFUNCTION("""COMPUTED_VALUE"""),"VES")</f>
        <v/>
      </c>
      <c r="E216" s="75">
        <f>IFERROR(__xludf.DUMMYFUNCTION("""COMPUTED_VALUE"""),"Bancamiga")</f>
        <v/>
      </c>
      <c r="F216" s="75">
        <f>IFERROR(__xludf.DUMMYFUNCTION("""COMPUTED_VALUE"""),"EN LA VIA 2023 C.A")</f>
        <v/>
      </c>
      <c r="G216" s="76">
        <f>IFERROR(__xludf.DUMMYFUNCTION("""COMPUTED_VALUE"""),"VILLABONA CORREA ALBA ESTEFANIA")</f>
        <v/>
      </c>
      <c r="H216" s="76">
        <f>IFERROR(__xludf.DUMMYFUNCTION("""COMPUTED_VALUE"""),484.7404)</f>
        <v/>
      </c>
      <c r="I216" s="75" t="n"/>
      <c r="J216" s="77">
        <f>IFERROR(__xludf.DUMMYFUNCTION("""COMPUTED_VALUE"""),606.31944438714)</f>
        <v/>
      </c>
      <c r="K216" s="4">
        <f>IFERROR(__xludf.DUMMYFUNCTION("""COMPUTED_VALUE"""),0.0)</f>
        <v/>
      </c>
      <c r="L216" s="77">
        <f>IFERROR(__xludf.DUMMYFUNCTION("""COMPUTED_VALUE"""),606.31944438714)</f>
        <v/>
      </c>
      <c r="O216" s="72" t="n"/>
      <c r="S216" s="4" t="n"/>
    </row>
    <row r="217">
      <c r="A217" s="74">
        <f>IFERROR(__xludf.DUMMYFUNCTION("""COMPUTED_VALUE"""),46139.0)</f>
        <v/>
      </c>
      <c r="B217" s="72">
        <f>IFERROR(__xludf.DUMMYFUNCTION("""COMPUTED_VALUE"""),284.0)</f>
        <v/>
      </c>
      <c r="C217" s="75">
        <f>IFERROR(__xludf.DUMMYFUNCTION("""COMPUTED_VALUE"""),24721.74)</f>
        <v/>
      </c>
      <c r="D217" s="75">
        <f>IFERROR(__xludf.DUMMYFUNCTION("""COMPUTED_VALUE"""),"VES")</f>
        <v/>
      </c>
      <c r="E217" s="75">
        <f>IFERROR(__xludf.DUMMYFUNCTION("""COMPUTED_VALUE"""),"Bancamiga")</f>
        <v/>
      </c>
      <c r="F217" s="75">
        <f>IFERROR(__xludf.DUMMYFUNCTION("""COMPUTED_VALUE"""),"SUPLIPARTES PARAISO, C.A")</f>
        <v/>
      </c>
      <c r="G217" s="76">
        <f>IFERROR(__xludf.DUMMYFUNCTION("""COMPUTED_VALUE"""),"VILLABONA CORREA ALBA ESTEFANIA")</f>
        <v/>
      </c>
      <c r="H217" s="76">
        <f>IFERROR(__xludf.DUMMYFUNCTION("""COMPUTED_VALUE"""),484.7404)</f>
        <v/>
      </c>
      <c r="I217" s="75" t="n"/>
      <c r="J217" s="77">
        <f>IFERROR(__xludf.DUMMYFUNCTION("""COMPUTED_VALUE"""),50.99995791561834)</f>
        <v/>
      </c>
      <c r="K217" s="4">
        <f>IFERROR(__xludf.DUMMYFUNCTION("""COMPUTED_VALUE"""),0.0)</f>
        <v/>
      </c>
      <c r="L217" s="77">
        <f>IFERROR(__xludf.DUMMYFUNCTION("""COMPUTED_VALUE"""),50.99995791561834)</f>
        <v/>
      </c>
      <c r="O217" s="72" t="n"/>
      <c r="S217" s="4" t="n"/>
    </row>
    <row r="218">
      <c r="A218" s="74">
        <f>IFERROR(__xludf.DUMMYFUNCTION("""COMPUTED_VALUE"""),46139.0)</f>
        <v/>
      </c>
      <c r="B218" s="72">
        <f>IFERROR(__xludf.DUMMYFUNCTION("""COMPUTED_VALUE"""),87.0)</f>
        <v/>
      </c>
      <c r="C218" s="75">
        <f>IFERROR(__xludf.DUMMYFUNCTION("""COMPUTED_VALUE"""),150.0)</f>
        <v/>
      </c>
      <c r="D218" s="75">
        <f>IFERROR(__xludf.DUMMYFUNCTION("""COMPUTED_VALUE"""),"USD")</f>
        <v/>
      </c>
      <c r="E218" s="75">
        <f>IFERROR(__xludf.DUMMYFUNCTION("""COMPUTED_VALUE"""),"Efectivo USD")</f>
        <v/>
      </c>
      <c r="F218" s="75">
        <f>IFERROR(__xludf.DUMMYFUNCTION("""COMPUTED_VALUE"""),"Javier Cardenas Prato.")</f>
        <v/>
      </c>
      <c r="G218" s="76">
        <f>IFERROR(__xludf.DUMMYFUNCTION("""COMPUTED_VALUE"""),"CASERES GONZALEZ RONALD OSWALDO")</f>
        <v/>
      </c>
      <c r="H218" s="76">
        <f>IFERROR(__xludf.DUMMYFUNCTION("""COMPUTED_VALUE"""),484.7404)</f>
        <v/>
      </c>
      <c r="I218" s="75" t="n"/>
      <c r="J218" s="77">
        <f>IFERROR(__xludf.DUMMYFUNCTION("""COMPUTED_VALUE"""),150.0)</f>
        <v/>
      </c>
      <c r="K218" s="4">
        <f>IFERROR(__xludf.DUMMYFUNCTION("""COMPUTED_VALUE"""),150.0)</f>
        <v/>
      </c>
      <c r="L218" s="77">
        <f>IFERROR(__xludf.DUMMYFUNCTION("""COMPUTED_VALUE"""),150.0)</f>
        <v/>
      </c>
      <c r="O218" s="72" t="n"/>
      <c r="S218" s="4" t="n"/>
    </row>
    <row r="219">
      <c r="A219" s="74">
        <f>IFERROR(__xludf.DUMMYFUNCTION("""COMPUTED_VALUE"""),46140.0)</f>
        <v/>
      </c>
      <c r="B219" s="72">
        <f>IFERROR(__xludf.DUMMYFUNCTION("""COMPUTED_VALUE"""),19.0)</f>
        <v/>
      </c>
      <c r="C219" s="75">
        <f>IFERROR(__xludf.DUMMYFUNCTION("""COMPUTED_VALUE"""),44546.94)</f>
        <v/>
      </c>
      <c r="D219" s="75">
        <f>IFERROR(__xludf.DUMMYFUNCTION("""COMPUTED_VALUE"""),"VES")</f>
        <v/>
      </c>
      <c r="E219" s="75">
        <f>IFERROR(__xludf.DUMMYFUNCTION("""COMPUTED_VALUE"""),"Bancamiga")</f>
        <v/>
      </c>
      <c r="F219" s="75">
        <f>IFERROR(__xludf.DUMMYFUNCTION("""COMPUTED_VALUE"""),"Ruta 8 Autopartes,c.a.")</f>
        <v/>
      </c>
      <c r="G219" s="76">
        <f>IFERROR(__xludf.DUMMYFUNCTION("""COMPUTED_VALUE"""),"CASERES GONZALEZ RONALD OSWALDO")</f>
        <v/>
      </c>
      <c r="H219" s="76">
        <f>IFERROR(__xludf.DUMMYFUNCTION("""COMPUTED_VALUE"""),485.2251)</f>
        <v/>
      </c>
      <c r="I219" s="75" t="n"/>
      <c r="J219" s="77">
        <f>IFERROR(__xludf.DUMMYFUNCTION("""COMPUTED_VALUE"""),91.80675113467956)</f>
        <v/>
      </c>
      <c r="K219" s="4">
        <f>IFERROR(__xludf.DUMMYFUNCTION("""COMPUTED_VALUE"""),0.0)</f>
        <v/>
      </c>
      <c r="L219" s="77">
        <f>IFERROR(__xludf.DUMMYFUNCTION("""COMPUTED_VALUE"""),91.80675113467956)</f>
        <v/>
      </c>
      <c r="O219" s="72" t="n"/>
      <c r="S219" s="4" t="n"/>
    </row>
    <row r="220">
      <c r="A220" s="74">
        <f>IFERROR(__xludf.DUMMYFUNCTION("""COMPUTED_VALUE"""),46140.0)</f>
        <v/>
      </c>
      <c r="B220" s="72">
        <f>IFERROR(__xludf.DUMMYFUNCTION("""COMPUTED_VALUE"""),145.0)</f>
        <v/>
      </c>
      <c r="C220" s="75">
        <f>IFERROR(__xludf.DUMMYFUNCTION("""COMPUTED_VALUE"""),150000.0)</f>
        <v/>
      </c>
      <c r="D220" s="75">
        <f>IFERROR(__xludf.DUMMYFUNCTION("""COMPUTED_VALUE"""),"VES")</f>
        <v/>
      </c>
      <c r="E220" s="75">
        <f>IFERROR(__xludf.DUMMYFUNCTION("""COMPUTED_VALUE"""),"Bancamiga")</f>
        <v/>
      </c>
      <c r="F220" s="75">
        <f>IFERROR(__xludf.DUMMYFUNCTION("""COMPUTED_VALUE"""),"La cámara perfecta")</f>
        <v/>
      </c>
      <c r="G220" s="76">
        <f>IFERROR(__xludf.DUMMYFUNCTION("""COMPUTED_VALUE"""),"PEREZ DIAZ ANGEL DE DIOS")</f>
        <v/>
      </c>
      <c r="H220" s="76">
        <f>IFERROR(__xludf.DUMMYFUNCTION("""COMPUTED_VALUE"""),485.2251)</f>
        <v/>
      </c>
      <c r="I220" s="75" t="n"/>
      <c r="J220" s="77">
        <f>IFERROR(__xludf.DUMMYFUNCTION("""COMPUTED_VALUE"""),309.13487369058197)</f>
        <v/>
      </c>
      <c r="K220" s="4">
        <f>IFERROR(__xludf.DUMMYFUNCTION("""COMPUTED_VALUE"""),0.0)</f>
        <v/>
      </c>
      <c r="L220" s="77">
        <f>IFERROR(__xludf.DUMMYFUNCTION("""COMPUTED_VALUE"""),309.13487369058197)</f>
        <v/>
      </c>
      <c r="O220" s="72" t="n"/>
      <c r="S220" s="4" t="n"/>
    </row>
    <row r="221">
      <c r="A221" s="74">
        <f>IFERROR(__xludf.DUMMYFUNCTION("""COMPUTED_VALUE"""),46140.0)</f>
        <v/>
      </c>
      <c r="B221" s="72">
        <f>IFERROR(__xludf.DUMMYFUNCTION("""COMPUTED_VALUE"""),300.0)</f>
        <v/>
      </c>
      <c r="C221" s="75">
        <f>IFERROR(__xludf.DUMMYFUNCTION("""COMPUTED_VALUE"""),61739.4)</f>
        <v/>
      </c>
      <c r="D221" s="75">
        <f>IFERROR(__xludf.DUMMYFUNCTION("""COMPUTED_VALUE"""),"VES")</f>
        <v/>
      </c>
      <c r="E221" s="75">
        <f>IFERROR(__xludf.DUMMYFUNCTION("""COMPUTED_VALUE"""),"Bancamiga")</f>
        <v/>
      </c>
      <c r="F221" s="75">
        <f>IFERROR(__xludf.DUMMYFUNCTION("""COMPUTED_VALUE"""),"INVERSIONES ARCOSOL 21, C.A.")</f>
        <v/>
      </c>
      <c r="G221" s="76">
        <f>IFERROR(__xludf.DUMMYFUNCTION("""COMPUTED_VALUE"""),"VILLABONA CORREA ALBA ESTEFANIA")</f>
        <v/>
      </c>
      <c r="H221" s="76">
        <f>IFERROR(__xludf.DUMMYFUNCTION("""COMPUTED_VALUE"""),485.2251)</f>
        <v/>
      </c>
      <c r="I221" s="75" t="n"/>
      <c r="J221" s="77">
        <f>IFERROR(__xludf.DUMMYFUNCTION("""COMPUTED_VALUE"""),127.23867747154877)</f>
        <v/>
      </c>
      <c r="K221" s="4">
        <f>IFERROR(__xludf.DUMMYFUNCTION("""COMPUTED_VALUE"""),0.0)</f>
        <v/>
      </c>
      <c r="L221" s="77">
        <f>IFERROR(__xludf.DUMMYFUNCTION("""COMPUTED_VALUE"""),127.23867747154877)</f>
        <v/>
      </c>
      <c r="O221" s="72" t="n"/>
      <c r="S221" s="4" t="n"/>
    </row>
    <row r="222">
      <c r="A222" s="74">
        <f>IFERROR(__xludf.DUMMYFUNCTION("""COMPUTED_VALUE"""),46140.0)</f>
        <v/>
      </c>
      <c r="B222" s="72">
        <f>IFERROR(__xludf.DUMMYFUNCTION("""COMPUTED_VALUE"""),34.0)</f>
        <v/>
      </c>
      <c r="C222" s="75">
        <f>IFERROR(__xludf.DUMMYFUNCTION("""COMPUTED_VALUE"""),50867.0)</f>
        <v/>
      </c>
      <c r="D222" s="75">
        <f>IFERROR(__xludf.DUMMYFUNCTION("""COMPUTED_VALUE"""),"VES")</f>
        <v/>
      </c>
      <c r="E222" s="75">
        <f>IFERROR(__xludf.DUMMYFUNCTION("""COMPUTED_VALUE"""),"Bancamiga")</f>
        <v/>
      </c>
      <c r="F222" s="75">
        <f>IFERROR(__xludf.DUMMYFUNCTION("""COMPUTED_VALUE"""),"Miguel Antonio Chacon")</f>
        <v/>
      </c>
      <c r="G222" s="76">
        <f>IFERROR(__xludf.DUMMYFUNCTION("""COMPUTED_VALUE"""),"GRIMAN DIAZ HECTOR EDUARDO")</f>
        <v/>
      </c>
      <c r="H222" s="76">
        <f>IFERROR(__xludf.DUMMYFUNCTION("""COMPUTED_VALUE"""),485.2251)</f>
        <v/>
      </c>
      <c r="I222" s="75" t="n"/>
      <c r="J222" s="77">
        <f>IFERROR(__xludf.DUMMYFUNCTION("""COMPUTED_VALUE"""),104.83175746679221)</f>
        <v/>
      </c>
      <c r="K222" s="4">
        <f>IFERROR(__xludf.DUMMYFUNCTION("""COMPUTED_VALUE"""),0.0)</f>
        <v/>
      </c>
      <c r="L222" s="77">
        <f>IFERROR(__xludf.DUMMYFUNCTION("""COMPUTED_VALUE"""),104.83175746679221)</f>
        <v/>
      </c>
      <c r="O222" s="72" t="n"/>
      <c r="S222" s="4" t="n"/>
    </row>
    <row r="223">
      <c r="A223" s="74">
        <f>IFERROR(__xludf.DUMMYFUNCTION("""COMPUTED_VALUE"""),46140.0)</f>
        <v/>
      </c>
      <c r="B223" s="72">
        <f>IFERROR(__xludf.DUMMYFUNCTION("""COMPUTED_VALUE"""),179.0)</f>
        <v/>
      </c>
      <c r="C223" s="75">
        <f>IFERROR(__xludf.DUMMYFUNCTION("""COMPUTED_VALUE"""),60.0)</f>
        <v/>
      </c>
      <c r="D223" s="75">
        <f>IFERROR(__xludf.DUMMYFUNCTION("""COMPUTED_VALUE"""),"USD")</f>
        <v/>
      </c>
      <c r="E223" s="75">
        <f>IFERROR(__xludf.DUMMYFUNCTION("""COMPUTED_VALUE"""),"Efectivo USD")</f>
        <v/>
      </c>
      <c r="F223" s="75">
        <f>IFERROR(__xludf.DUMMYFUNCTION("""COMPUTED_VALUE"""),"Inversiones Vercris 17 C.A")</f>
        <v/>
      </c>
      <c r="G223" s="76">
        <f>IFERROR(__xludf.DUMMYFUNCTION("""COMPUTED_VALUE"""),"GRIMAN DIAZ HECTOR EDUARDO")</f>
        <v/>
      </c>
      <c r="H223" s="76">
        <f>IFERROR(__xludf.DUMMYFUNCTION("""COMPUTED_VALUE"""),485.2251)</f>
        <v/>
      </c>
      <c r="I223" s="75" t="n"/>
      <c r="J223" s="77">
        <f>IFERROR(__xludf.DUMMYFUNCTION("""COMPUTED_VALUE"""),60.0)</f>
        <v/>
      </c>
      <c r="K223" s="4">
        <f>IFERROR(__xludf.DUMMYFUNCTION("""COMPUTED_VALUE"""),60.0)</f>
        <v/>
      </c>
      <c r="L223" s="77">
        <f>IFERROR(__xludf.DUMMYFUNCTION("""COMPUTED_VALUE"""),60.0)</f>
        <v/>
      </c>
      <c r="O223" s="72" t="n"/>
      <c r="S223" s="4" t="n"/>
    </row>
    <row r="224">
      <c r="A224" s="74">
        <f>IFERROR(__xludf.DUMMYFUNCTION("""COMPUTED_VALUE"""),46140.0)</f>
        <v/>
      </c>
      <c r="B224" s="72">
        <f>IFERROR(__xludf.DUMMYFUNCTION("""COMPUTED_VALUE"""),204.0)</f>
        <v/>
      </c>
      <c r="C224" s="75">
        <f>IFERROR(__xludf.DUMMYFUNCTION("""COMPUTED_VALUE"""),100.0)</f>
        <v/>
      </c>
      <c r="D224" s="75">
        <f>IFERROR(__xludf.DUMMYFUNCTION("""COMPUTED_VALUE"""),"USD")</f>
        <v/>
      </c>
      <c r="E224" s="75">
        <f>IFERROR(__xludf.DUMMYFUNCTION("""COMPUTED_VALUE"""),"Efectivo USD")</f>
        <v/>
      </c>
      <c r="F224" s="75">
        <f>IFERROR(__xludf.DUMMYFUNCTION("""COMPUTED_VALUE"""),"Motolavado Yahir")</f>
        <v/>
      </c>
      <c r="G224" s="76">
        <f>IFERROR(__xludf.DUMMYFUNCTION("""COMPUTED_VALUE"""),"GRIMAN DIAZ HECTOR EDUARDO")</f>
        <v/>
      </c>
      <c r="H224" s="76">
        <f>IFERROR(__xludf.DUMMYFUNCTION("""COMPUTED_VALUE"""),485.2251)</f>
        <v/>
      </c>
      <c r="I224" s="75" t="n"/>
      <c r="J224" s="77">
        <f>IFERROR(__xludf.DUMMYFUNCTION("""COMPUTED_VALUE"""),100.0)</f>
        <v/>
      </c>
      <c r="K224" s="4">
        <f>IFERROR(__xludf.DUMMYFUNCTION("""COMPUTED_VALUE"""),100.0)</f>
        <v/>
      </c>
      <c r="L224" s="77">
        <f>IFERROR(__xludf.DUMMYFUNCTION("""COMPUTED_VALUE"""),100.0)</f>
        <v/>
      </c>
      <c r="O224" s="72" t="n"/>
      <c r="S224" s="4" t="n"/>
    </row>
    <row r="225">
      <c r="A225" s="74">
        <f>IFERROR(__xludf.DUMMYFUNCTION("""COMPUTED_VALUE"""),46140.0)</f>
        <v/>
      </c>
      <c r="B225" s="72">
        <f>IFERROR(__xludf.DUMMYFUNCTION("""COMPUTED_VALUE"""),104.0)</f>
        <v/>
      </c>
      <c r="C225" s="75">
        <f>IFERROR(__xludf.DUMMYFUNCTION("""COMPUTED_VALUE"""),48.0)</f>
        <v/>
      </c>
      <c r="D225" s="75">
        <f>IFERROR(__xludf.DUMMYFUNCTION("""COMPUTED_VALUE"""),"USD")</f>
        <v/>
      </c>
      <c r="E225" s="75">
        <f>IFERROR(__xludf.DUMMYFUNCTION("""COMPUTED_VALUE"""),"Efectivo USD")</f>
        <v/>
      </c>
      <c r="F225" s="75">
        <f>IFERROR(__xludf.DUMMYFUNCTION("""COMPUTED_VALUE"""),"Inversiones Brayan CT C.A")</f>
        <v/>
      </c>
      <c r="G225" s="76">
        <f>IFERROR(__xludf.DUMMYFUNCTION("""COMPUTED_VALUE"""),"GRIMAN DIAZ HECTOR EDUARDO")</f>
        <v/>
      </c>
      <c r="H225" s="76">
        <f>IFERROR(__xludf.DUMMYFUNCTION("""COMPUTED_VALUE"""),485.2251)</f>
        <v/>
      </c>
      <c r="I225" s="75" t="n"/>
      <c r="J225" s="77">
        <f>IFERROR(__xludf.DUMMYFUNCTION("""COMPUTED_VALUE"""),48.0)</f>
        <v/>
      </c>
      <c r="K225" s="4">
        <f>IFERROR(__xludf.DUMMYFUNCTION("""COMPUTED_VALUE"""),48.0)</f>
        <v/>
      </c>
      <c r="L225" s="77">
        <f>IFERROR(__xludf.DUMMYFUNCTION("""COMPUTED_VALUE"""),48.0)</f>
        <v/>
      </c>
      <c r="O225" s="72" t="n"/>
      <c r="S225" s="4" t="n"/>
    </row>
    <row r="226">
      <c r="A226" s="74">
        <f>IFERROR(__xludf.DUMMYFUNCTION("""COMPUTED_VALUE"""),46141.0)</f>
        <v/>
      </c>
      <c r="B226" s="72">
        <f>IFERROR(__xludf.DUMMYFUNCTION("""COMPUTED_VALUE"""),149.0)</f>
        <v/>
      </c>
      <c r="C226" s="75">
        <f>IFERROR(__xludf.DUMMYFUNCTION("""COMPUTED_VALUE"""),300.0)</f>
        <v/>
      </c>
      <c r="D226" s="75">
        <f>IFERROR(__xludf.DUMMYFUNCTION("""COMPUTED_VALUE"""),"USD")</f>
        <v/>
      </c>
      <c r="E226" s="75">
        <f>IFERROR(__xludf.DUMMYFUNCTION("""COMPUTED_VALUE"""),"Binance")</f>
        <v/>
      </c>
      <c r="F226" s="75">
        <f>IFERROR(__xludf.DUMMYFUNCTION("""COMPUTED_VALUE"""),"Emprendimiento ilaris cancelo")</f>
        <v/>
      </c>
      <c r="G226" s="76">
        <f>IFERROR(__xludf.DUMMYFUNCTION("""COMPUTED_VALUE"""),"PEREZ DIAZ ANGEL DE DIOS")</f>
        <v/>
      </c>
      <c r="H226" s="76">
        <f>IFERROR(__xludf.DUMMYFUNCTION("""COMPUTED_VALUE"""),486.1955)</f>
        <v/>
      </c>
      <c r="I226" s="75" t="n"/>
      <c r="J226" s="77">
        <f>IFERROR(__xludf.DUMMYFUNCTION("""COMPUTED_VALUE"""),300.0)</f>
        <v/>
      </c>
      <c r="K226" s="4">
        <f>IFERROR(__xludf.DUMMYFUNCTION("""COMPUTED_VALUE"""),300.0)</f>
        <v/>
      </c>
      <c r="L226" s="77">
        <f>IFERROR(__xludf.DUMMYFUNCTION("""COMPUTED_VALUE"""),300.0)</f>
        <v/>
      </c>
      <c r="O226" s="72" t="n"/>
      <c r="S226" s="4" t="n"/>
    </row>
    <row r="227">
      <c r="A227" s="74">
        <f>IFERROR(__xludf.DUMMYFUNCTION("""COMPUTED_VALUE"""),46141.0)</f>
        <v/>
      </c>
      <c r="B227" s="72">
        <f>IFERROR(__xludf.DUMMYFUNCTION("""COMPUTED_VALUE"""),62.0)</f>
        <v/>
      </c>
      <c r="C227" s="75">
        <f>IFERROR(__xludf.DUMMYFUNCTION("""COMPUTED_VALUE"""),300.0)</f>
        <v/>
      </c>
      <c r="D227" s="75">
        <f>IFERROR(__xludf.DUMMYFUNCTION("""COMPUTED_VALUE"""),"USD")</f>
        <v/>
      </c>
      <c r="E227" s="75">
        <f>IFERROR(__xludf.DUMMYFUNCTION("""COMPUTED_VALUE"""),"Zelle")</f>
        <v/>
      </c>
      <c r="F227" s="75">
        <f>IFERROR(__xludf.DUMMYFUNCTION("""COMPUTED_VALUE"""),"SJMG 2012 C.A")</f>
        <v/>
      </c>
      <c r="G227" s="76">
        <f>IFERROR(__xludf.DUMMYFUNCTION("""COMPUTED_VALUE"""),"GRIMAN DIAZ HECTOR EDUARDO")</f>
        <v/>
      </c>
      <c r="H227" s="76">
        <f>IFERROR(__xludf.DUMMYFUNCTION("""COMPUTED_VALUE"""),486.1955)</f>
        <v/>
      </c>
      <c r="I227" s="75" t="n"/>
      <c r="J227" s="77">
        <f>IFERROR(__xludf.DUMMYFUNCTION("""COMPUTED_VALUE"""),300.0)</f>
        <v/>
      </c>
      <c r="K227" s="4">
        <f>IFERROR(__xludf.DUMMYFUNCTION("""COMPUTED_VALUE"""),300.0)</f>
        <v/>
      </c>
      <c r="L227" s="77">
        <f>IFERROR(__xludf.DUMMYFUNCTION("""COMPUTED_VALUE"""),300.0)</f>
        <v/>
      </c>
      <c r="O227" s="72" t="n"/>
      <c r="S227" s="4" t="n"/>
    </row>
    <row r="228">
      <c r="A228" s="74">
        <f>IFERROR(__xludf.DUMMYFUNCTION("""COMPUTED_VALUE"""),46141.0)</f>
        <v/>
      </c>
      <c r="B228" s="72">
        <f>IFERROR(__xludf.DUMMYFUNCTION("""COMPUTED_VALUE"""),230.0)</f>
        <v/>
      </c>
      <c r="C228" s="75">
        <f>IFERROR(__xludf.DUMMYFUNCTION("""COMPUTED_VALUE"""),260112.0)</f>
        <v/>
      </c>
      <c r="D228" s="75">
        <f>IFERROR(__xludf.DUMMYFUNCTION("""COMPUTED_VALUE"""),"VES")</f>
        <v/>
      </c>
      <c r="E228" s="75">
        <f>IFERROR(__xludf.DUMMYFUNCTION("""COMPUTED_VALUE"""),"Bancamiga")</f>
        <v/>
      </c>
      <c r="F228" s="75">
        <f>IFERROR(__xludf.DUMMYFUNCTION("""COMPUTED_VALUE"""),"E&amp;M CAR SHOP C.A")</f>
        <v/>
      </c>
      <c r="G228" s="76">
        <f>IFERROR(__xludf.DUMMYFUNCTION("""COMPUTED_VALUE"""),"BETANCOURT ROBRIGUEZ LUIS ENRRIQUE")</f>
        <v/>
      </c>
      <c r="H228" s="76">
        <f>IFERROR(__xludf.DUMMYFUNCTION("""COMPUTED_VALUE"""),486.1955)</f>
        <v/>
      </c>
      <c r="I228" s="75" t="n"/>
      <c r="J228" s="77">
        <f>IFERROR(__xludf.DUMMYFUNCTION("""COMPUTED_VALUE"""),534.9946677828158)</f>
        <v/>
      </c>
      <c r="K228" s="4">
        <f>IFERROR(__xludf.DUMMYFUNCTION("""COMPUTED_VALUE"""),0.0)</f>
        <v/>
      </c>
      <c r="L228" s="77">
        <f>IFERROR(__xludf.DUMMYFUNCTION("""COMPUTED_VALUE"""),534.9946677828158)</f>
        <v/>
      </c>
      <c r="O228" s="72" t="n"/>
      <c r="S228" s="4" t="n"/>
    </row>
    <row r="229">
      <c r="A229" s="74">
        <f>IFERROR(__xludf.DUMMYFUNCTION("""COMPUTED_VALUE"""),46141.0)</f>
        <v/>
      </c>
      <c r="B229" s="72">
        <f>IFERROR(__xludf.DUMMYFUNCTION("""COMPUTED_VALUE"""),164.0)</f>
        <v/>
      </c>
      <c r="C229" s="75">
        <f>IFERROR(__xludf.DUMMYFUNCTION("""COMPUTED_VALUE"""),180.0)</f>
        <v/>
      </c>
      <c r="D229" s="75">
        <f>IFERROR(__xludf.DUMMYFUNCTION("""COMPUTED_VALUE"""),"USD")</f>
        <v/>
      </c>
      <c r="E229" s="75">
        <f>IFERROR(__xludf.DUMMYFUNCTION("""COMPUTED_VALUE"""),"Efectivo USD")</f>
        <v/>
      </c>
      <c r="F229" s="75">
        <f>IFERROR(__xludf.DUMMYFUNCTION("""COMPUTED_VALUE"""),"INVERSIONES IRETE SUKA, C.A")</f>
        <v/>
      </c>
      <c r="G229" s="76">
        <f>IFERROR(__xludf.DUMMYFUNCTION("""COMPUTED_VALUE"""),"VILLABONA CORREA ALBA ESTEFANIA")</f>
        <v/>
      </c>
      <c r="H229" s="76">
        <f>IFERROR(__xludf.DUMMYFUNCTION("""COMPUTED_VALUE"""),486.1955)</f>
        <v/>
      </c>
      <c r="I229" s="75" t="n"/>
      <c r="J229" s="77">
        <f>IFERROR(__xludf.DUMMYFUNCTION("""COMPUTED_VALUE"""),180.0)</f>
        <v/>
      </c>
      <c r="K229" s="4">
        <f>IFERROR(__xludf.DUMMYFUNCTION("""COMPUTED_VALUE"""),180.0)</f>
        <v/>
      </c>
      <c r="L229" s="77">
        <f>IFERROR(__xludf.DUMMYFUNCTION("""COMPUTED_VALUE"""),180.0)</f>
        <v/>
      </c>
      <c r="O229" s="72" t="n"/>
      <c r="S229" s="4" t="n"/>
    </row>
    <row r="230">
      <c r="A230" s="74">
        <f>IFERROR(__xludf.DUMMYFUNCTION("""COMPUTED_VALUE"""),46141.0)</f>
        <v/>
      </c>
      <c r="B230" s="72">
        <f>IFERROR(__xludf.DUMMYFUNCTION("""COMPUTED_VALUE"""),130.0)</f>
        <v/>
      </c>
      <c r="C230" s="75">
        <f>IFERROR(__xludf.DUMMYFUNCTION("""COMPUTED_VALUE"""),565.0)</f>
        <v/>
      </c>
      <c r="D230" s="75">
        <f>IFERROR(__xludf.DUMMYFUNCTION("""COMPUTED_VALUE"""),"USD")</f>
        <v/>
      </c>
      <c r="E230" s="75">
        <f>IFERROR(__xludf.DUMMYFUNCTION("""COMPUTED_VALUE"""),"Efectivo USD")</f>
        <v/>
      </c>
      <c r="F230" s="75">
        <f>IFERROR(__xludf.DUMMYFUNCTION("""COMPUTED_VALUE"""),"TALLER TNMCAR, C.A")</f>
        <v/>
      </c>
      <c r="G230" s="76">
        <f>IFERROR(__xludf.DUMMYFUNCTION("""COMPUTED_VALUE"""),"VILLABONA CORREA ALBA ESTEFANIA")</f>
        <v/>
      </c>
      <c r="H230" s="76">
        <f>IFERROR(__xludf.DUMMYFUNCTION("""COMPUTED_VALUE"""),486.1955)</f>
        <v/>
      </c>
      <c r="I230" s="75" t="n"/>
      <c r="J230" s="77">
        <f>IFERROR(__xludf.DUMMYFUNCTION("""COMPUTED_VALUE"""),565.0)</f>
        <v/>
      </c>
      <c r="K230" s="4">
        <f>IFERROR(__xludf.DUMMYFUNCTION("""COMPUTED_VALUE"""),565.0)</f>
        <v/>
      </c>
      <c r="L230" s="77">
        <f>IFERROR(__xludf.DUMMYFUNCTION("""COMPUTED_VALUE"""),565.0)</f>
        <v/>
      </c>
      <c r="O230" s="72" t="n"/>
      <c r="S230" s="4" t="n"/>
    </row>
    <row r="231">
      <c r="A231" s="74">
        <f>IFERROR(__xludf.DUMMYFUNCTION("""COMPUTED_VALUE"""),46141.0)</f>
        <v/>
      </c>
      <c r="B231" s="72">
        <f>IFERROR(__xludf.DUMMYFUNCTION("""COMPUTED_VALUE"""),141.0)</f>
        <v/>
      </c>
      <c r="C231" s="75">
        <f>IFERROR(__xludf.DUMMYFUNCTION("""COMPUTED_VALUE"""),50.0)</f>
        <v/>
      </c>
      <c r="D231" s="75">
        <f>IFERROR(__xludf.DUMMYFUNCTION("""COMPUTED_VALUE"""),"USD")</f>
        <v/>
      </c>
      <c r="E231" s="75">
        <f>IFERROR(__xludf.DUMMYFUNCTION("""COMPUTED_VALUE"""),"Efectivo USD")</f>
        <v/>
      </c>
      <c r="F231" s="75">
        <f>IFERROR(__xludf.DUMMYFUNCTION("""COMPUTED_VALUE"""),"Yulendri Carolina Pineda Blanco")</f>
        <v/>
      </c>
      <c r="G231" s="76">
        <f>IFERROR(__xludf.DUMMYFUNCTION("""COMPUTED_VALUE"""),"GRIMAN DIAZ HECTOR EDUARDO")</f>
        <v/>
      </c>
      <c r="H231" s="76">
        <f>IFERROR(__xludf.DUMMYFUNCTION("""COMPUTED_VALUE"""),486.1955)</f>
        <v/>
      </c>
      <c r="I231" s="75" t="n"/>
      <c r="J231" s="77">
        <f>IFERROR(__xludf.DUMMYFUNCTION("""COMPUTED_VALUE"""),50.0)</f>
        <v/>
      </c>
      <c r="K231" s="4">
        <f>IFERROR(__xludf.DUMMYFUNCTION("""COMPUTED_VALUE"""),50.0)</f>
        <v/>
      </c>
      <c r="L231" s="77">
        <f>IFERROR(__xludf.DUMMYFUNCTION("""COMPUTED_VALUE"""),50.0)</f>
        <v/>
      </c>
      <c r="O231" s="72" t="n"/>
      <c r="S231" s="4" t="n"/>
    </row>
    <row r="232">
      <c r="A232" s="74">
        <f>IFERROR(__xludf.DUMMYFUNCTION("""COMPUTED_VALUE"""),46141.0)</f>
        <v/>
      </c>
      <c r="B232" s="72">
        <f>IFERROR(__xludf.DUMMYFUNCTION("""COMPUTED_VALUE"""),153.0)</f>
        <v/>
      </c>
      <c r="C232" s="75">
        <f>IFERROR(__xludf.DUMMYFUNCTION("""COMPUTED_VALUE"""),26.0)</f>
        <v/>
      </c>
      <c r="D232" s="75">
        <f>IFERROR(__xludf.DUMMYFUNCTION("""COMPUTED_VALUE"""),"USD")</f>
        <v/>
      </c>
      <c r="E232" s="75">
        <f>IFERROR(__xludf.DUMMYFUNCTION("""COMPUTED_VALUE"""),"Efectivo USD")</f>
        <v/>
      </c>
      <c r="F232" s="75">
        <f>IFERROR(__xludf.DUMMYFUNCTION("""COMPUTED_VALUE"""),"Emprendimiento Yeizon Villaroel")</f>
        <v/>
      </c>
      <c r="G232" s="76">
        <f>IFERROR(__xludf.DUMMYFUNCTION("""COMPUTED_VALUE"""),"VILLABONA CORREA ALBA ESTEFANIA")</f>
        <v/>
      </c>
      <c r="H232" s="76">
        <f>IFERROR(__xludf.DUMMYFUNCTION("""COMPUTED_VALUE"""),486.1955)</f>
        <v/>
      </c>
      <c r="I232" s="75" t="n"/>
      <c r="J232" s="77">
        <f>IFERROR(__xludf.DUMMYFUNCTION("""COMPUTED_VALUE"""),26.0)</f>
        <v/>
      </c>
      <c r="K232" s="4">
        <f>IFERROR(__xludf.DUMMYFUNCTION("""COMPUTED_VALUE"""),26.0)</f>
        <v/>
      </c>
      <c r="L232" s="77">
        <f>IFERROR(__xludf.DUMMYFUNCTION("""COMPUTED_VALUE"""),26.0)</f>
        <v/>
      </c>
      <c r="O232" s="72" t="n"/>
      <c r="S232" s="4" t="n"/>
    </row>
    <row r="233">
      <c r="A233" s="74">
        <f>IFERROR(__xludf.DUMMYFUNCTION("""COMPUTED_VALUE"""),46141.0)</f>
        <v/>
      </c>
      <c r="B233" s="72">
        <f>IFERROR(__xludf.DUMMYFUNCTION("""COMPUTED_VALUE"""),101.0)</f>
        <v/>
      </c>
      <c r="C233" s="75">
        <f>IFERROR(__xludf.DUMMYFUNCTION("""COMPUTED_VALUE"""),20.0)</f>
        <v/>
      </c>
      <c r="D233" s="75">
        <f>IFERROR(__xludf.DUMMYFUNCTION("""COMPUTED_VALUE"""),"USD")</f>
        <v/>
      </c>
      <c r="E233" s="75">
        <f>IFERROR(__xludf.DUMMYFUNCTION("""COMPUTED_VALUE"""),"Efectivo USD")</f>
        <v/>
      </c>
      <c r="F233" s="75">
        <f>IFERROR(__xludf.DUMMYFUNCTION("""COMPUTED_VALUE"""),"INVERSIONES JOSCAR XXI, S.A.")</f>
        <v/>
      </c>
      <c r="G233" s="76">
        <f>IFERROR(__xludf.DUMMYFUNCTION("""COMPUTED_VALUE"""),"TORO ARDILES DAVID JOSE")</f>
        <v/>
      </c>
      <c r="H233" s="76">
        <f>IFERROR(__xludf.DUMMYFUNCTION("""COMPUTED_VALUE"""),486.1955)</f>
        <v/>
      </c>
      <c r="I233" s="75" t="n"/>
      <c r="J233" s="77">
        <f>IFERROR(__xludf.DUMMYFUNCTION("""COMPUTED_VALUE"""),20.0)</f>
        <v/>
      </c>
      <c r="K233" s="4">
        <f>IFERROR(__xludf.DUMMYFUNCTION("""COMPUTED_VALUE"""),20.0)</f>
        <v/>
      </c>
      <c r="L233" s="77">
        <f>IFERROR(__xludf.DUMMYFUNCTION("""COMPUTED_VALUE"""),20.0)</f>
        <v/>
      </c>
      <c r="O233" s="72" t="n"/>
      <c r="S233" s="4" t="n"/>
    </row>
    <row r="234">
      <c r="A234" s="74">
        <f>IFERROR(__xludf.DUMMYFUNCTION("""COMPUTED_VALUE"""),46141.0)</f>
        <v/>
      </c>
      <c r="B234" s="72">
        <f>IFERROR(__xludf.DUMMYFUNCTION("""COMPUTED_VALUE"""),126.0)</f>
        <v/>
      </c>
      <c r="C234" s="75">
        <f>IFERROR(__xludf.DUMMYFUNCTION("""COMPUTED_VALUE"""),250.0)</f>
        <v/>
      </c>
      <c r="D234" s="75">
        <f>IFERROR(__xludf.DUMMYFUNCTION("""COMPUTED_VALUE"""),"USD")</f>
        <v/>
      </c>
      <c r="E234" s="75">
        <f>IFERROR(__xludf.DUMMYFUNCTION("""COMPUTED_VALUE"""),"Efectivo USD")</f>
        <v/>
      </c>
      <c r="F234" s="75">
        <f>IFERROR(__xludf.DUMMYFUNCTION("""COMPUTED_VALUE"""),"Victor Ordaz")</f>
        <v/>
      </c>
      <c r="G234" s="76">
        <f>IFERROR(__xludf.DUMMYFUNCTION("""COMPUTED_VALUE"""),"BETANCOURT ROBRIGUEZ LUIS ENRRIQUE")</f>
        <v/>
      </c>
      <c r="H234" s="76">
        <f>IFERROR(__xludf.DUMMYFUNCTION("""COMPUTED_VALUE"""),486.1955)</f>
        <v/>
      </c>
      <c r="I234" s="75" t="n"/>
      <c r="J234" s="77">
        <f>IFERROR(__xludf.DUMMYFUNCTION("""COMPUTED_VALUE"""),250.0)</f>
        <v/>
      </c>
      <c r="K234" s="4">
        <f>IFERROR(__xludf.DUMMYFUNCTION("""COMPUTED_VALUE"""),250.0)</f>
        <v/>
      </c>
      <c r="L234" s="77">
        <f>IFERROR(__xludf.DUMMYFUNCTION("""COMPUTED_VALUE"""),250.0)</f>
        <v/>
      </c>
      <c r="O234" s="72" t="n"/>
      <c r="S234" s="4" t="n"/>
    </row>
    <row r="235">
      <c r="A235" s="74">
        <f>IFERROR(__xludf.DUMMYFUNCTION("""COMPUTED_VALUE"""),46141.0)</f>
        <v/>
      </c>
      <c r="B235" s="72">
        <f>IFERROR(__xludf.DUMMYFUNCTION("""COMPUTED_VALUE"""),82.0)</f>
        <v/>
      </c>
      <c r="C235" s="75">
        <f>IFERROR(__xludf.DUMMYFUNCTION("""COMPUTED_VALUE"""),140.0)</f>
        <v/>
      </c>
      <c r="D235" s="75">
        <f>IFERROR(__xludf.DUMMYFUNCTION("""COMPUTED_VALUE"""),"USD")</f>
        <v/>
      </c>
      <c r="E235" s="75">
        <f>IFERROR(__xludf.DUMMYFUNCTION("""COMPUTED_VALUE"""),"Efectivo USD")</f>
        <v/>
      </c>
      <c r="F235" s="75">
        <f>IFERROR(__xludf.DUMMYFUNCTION("""COMPUTED_VALUE"""),"Pedro Castro")</f>
        <v/>
      </c>
      <c r="G235" s="76">
        <f>IFERROR(__xludf.DUMMYFUNCTION("""COMPUTED_VALUE"""),"BETANCOURT ROBRIGUEZ LUIS ENRRIQUE")</f>
        <v/>
      </c>
      <c r="H235" s="76">
        <f>IFERROR(__xludf.DUMMYFUNCTION("""COMPUTED_VALUE"""),486.1955)</f>
        <v/>
      </c>
      <c r="I235" s="75" t="n"/>
      <c r="J235" s="77">
        <f>IFERROR(__xludf.DUMMYFUNCTION("""COMPUTED_VALUE"""),140.0)</f>
        <v/>
      </c>
      <c r="K235" s="4">
        <f>IFERROR(__xludf.DUMMYFUNCTION("""COMPUTED_VALUE"""),140.0)</f>
        <v/>
      </c>
      <c r="L235" s="77">
        <f>IFERROR(__xludf.DUMMYFUNCTION("""COMPUTED_VALUE"""),140.0)</f>
        <v/>
      </c>
      <c r="O235" s="72" t="n"/>
      <c r="S235" s="4" t="n"/>
    </row>
    <row r="236">
      <c r="A236" s="74">
        <f>IFERROR(__xludf.DUMMYFUNCTION("""COMPUTED_VALUE"""),46129.0)</f>
        <v/>
      </c>
      <c r="B236" s="72">
        <f>IFERROR(__xludf.DUMMYFUNCTION("""COMPUTED_VALUE"""),15.0)</f>
        <v/>
      </c>
      <c r="C236" s="75">
        <f>IFERROR(__xludf.DUMMYFUNCTION("""COMPUTED_VALUE"""),346682.53)</f>
        <v/>
      </c>
      <c r="D236" s="75">
        <f>IFERROR(__xludf.DUMMYFUNCTION("""COMPUTED_VALUE"""),"VES")</f>
        <v/>
      </c>
      <c r="E236" s="75">
        <f>IFERROR(__xludf.DUMMYFUNCTION("""COMPUTED_VALUE"""),"Bancamiga")</f>
        <v/>
      </c>
      <c r="F236" s="75">
        <f>IFERROR(__xludf.DUMMYFUNCTION("""COMPUTED_VALUE"""),"SERVICIOS Y MANTENIMIENTO SPACARS, C.A")</f>
        <v/>
      </c>
      <c r="G236" s="76">
        <f>IFERROR(__xludf.DUMMYFUNCTION("""COMPUTED_VALUE"""),"TORO ARDILES DAVID JOSE")</f>
        <v/>
      </c>
      <c r="H236" s="76">
        <f>IFERROR(__xludf.DUMMYFUNCTION("""COMPUTED_VALUE"""),480.2572)</f>
        <v/>
      </c>
      <c r="I236" s="75" t="n"/>
      <c r="J236" s="77">
        <f>IFERROR(__xludf.DUMMYFUNCTION("""COMPUTED_VALUE"""),721.8684696450152)</f>
        <v/>
      </c>
      <c r="K236" s="4">
        <f>IFERROR(__xludf.DUMMYFUNCTION("""COMPUTED_VALUE"""),0.0)</f>
        <v/>
      </c>
      <c r="L236" s="77">
        <f>IFERROR(__xludf.DUMMYFUNCTION("""COMPUTED_VALUE"""),721.8684696450152)</f>
        <v/>
      </c>
      <c r="O236" s="72" t="n"/>
      <c r="S236" s="4" t="n"/>
    </row>
    <row r="237">
      <c r="A237" s="74">
        <f>IFERROR(__xludf.DUMMYFUNCTION("""COMPUTED_VALUE"""),46142.0)</f>
        <v/>
      </c>
      <c r="B237" s="72">
        <f>IFERROR(__xludf.DUMMYFUNCTION("""COMPUTED_VALUE"""),54.0)</f>
        <v/>
      </c>
      <c r="C237" s="75">
        <f>IFERROR(__xludf.DUMMYFUNCTION("""COMPUTED_VALUE"""),22790.4)</f>
        <v/>
      </c>
      <c r="D237" s="75">
        <f>IFERROR(__xludf.DUMMYFUNCTION("""COMPUTED_VALUE"""),"VES")</f>
        <v/>
      </c>
      <c r="E237" s="75">
        <f>IFERROR(__xludf.DUMMYFUNCTION("""COMPUTED_VALUE"""),"Bancamiga")</f>
        <v/>
      </c>
      <c r="F237" s="75">
        <f>IFERROR(__xludf.DUMMYFUNCTION("""COMPUTED_VALUE"""),"Corporación Lubricantes 7ma Av.C.A")</f>
        <v/>
      </c>
      <c r="G237" s="76">
        <f>IFERROR(__xludf.DUMMYFUNCTION("""COMPUTED_VALUE"""),"GRIMAN DIAZ HECTOR EDUARDO")</f>
        <v/>
      </c>
      <c r="H237" s="76">
        <f>IFERROR(__xludf.DUMMYFUNCTION("""COMPUTED_VALUE"""),487.1192)</f>
        <v/>
      </c>
      <c r="I237" s="75" t="n"/>
      <c r="J237" s="77">
        <f>IFERROR(__xludf.DUMMYFUNCTION("""COMPUTED_VALUE"""),46.7860843916643)</f>
        <v/>
      </c>
      <c r="K237" s="4">
        <f>IFERROR(__xludf.DUMMYFUNCTION("""COMPUTED_VALUE"""),0.0)</f>
        <v/>
      </c>
      <c r="L237" s="77">
        <f>IFERROR(__xludf.DUMMYFUNCTION("""COMPUTED_VALUE"""),46.7860843916643)</f>
        <v/>
      </c>
      <c r="O237" s="72" t="n"/>
      <c r="S237" s="4" t="n"/>
    </row>
    <row r="238">
      <c r="A238" s="74">
        <f>IFERROR(__xludf.DUMMYFUNCTION("""COMPUTED_VALUE"""),46142.0)</f>
        <v/>
      </c>
      <c r="B238" s="72">
        <f>IFERROR(__xludf.DUMMYFUNCTION("""COMPUTED_VALUE"""),101.0)</f>
        <v/>
      </c>
      <c r="C238" s="75">
        <f>IFERROR(__xludf.DUMMYFUNCTION("""COMPUTED_VALUE"""),35.0)</f>
        <v/>
      </c>
      <c r="D238" s="75">
        <f>IFERROR(__xludf.DUMMYFUNCTION("""COMPUTED_VALUE"""),"USD")</f>
        <v/>
      </c>
      <c r="E238" s="75">
        <f>IFERROR(__xludf.DUMMYFUNCTION("""COMPUTED_VALUE"""),"Efectivo USD")</f>
        <v/>
      </c>
      <c r="F238" s="75">
        <f>IFERROR(__xludf.DUMMYFUNCTION("""COMPUTED_VALUE"""),"INVERSIONES JOSCAR XXI, S.A.")</f>
        <v/>
      </c>
      <c r="G238" s="76">
        <f>IFERROR(__xludf.DUMMYFUNCTION("""COMPUTED_VALUE"""),"VILLABONA CORREA ALBA ESTEFANIA")</f>
        <v/>
      </c>
      <c r="H238" s="76">
        <f>IFERROR(__xludf.DUMMYFUNCTION("""COMPUTED_VALUE"""),487.1192)</f>
        <v/>
      </c>
      <c r="I238" s="75" t="n"/>
      <c r="J238" s="77">
        <f>IFERROR(__xludf.DUMMYFUNCTION("""COMPUTED_VALUE"""),35.0)</f>
        <v/>
      </c>
      <c r="K238" s="4">
        <f>IFERROR(__xludf.DUMMYFUNCTION("""COMPUTED_VALUE"""),35.0)</f>
        <v/>
      </c>
      <c r="L238" s="77">
        <f>IFERROR(__xludf.DUMMYFUNCTION("""COMPUTED_VALUE"""),35.0)</f>
        <v/>
      </c>
      <c r="O238" s="72" t="n"/>
      <c r="S238" s="4" t="n"/>
    </row>
    <row r="239">
      <c r="A239" s="74">
        <f>IFERROR(__xludf.DUMMYFUNCTION("""COMPUTED_VALUE"""),46142.0)</f>
        <v/>
      </c>
      <c r="B239" s="72">
        <f>IFERROR(__xludf.DUMMYFUNCTION("""COMPUTED_VALUE"""),303.0)</f>
        <v/>
      </c>
      <c r="C239" s="75">
        <f>IFERROR(__xludf.DUMMYFUNCTION("""COMPUTED_VALUE"""),188.0)</f>
        <v/>
      </c>
      <c r="D239" s="75">
        <f>IFERROR(__xludf.DUMMYFUNCTION("""COMPUTED_VALUE"""),"USD")</f>
        <v/>
      </c>
      <c r="E239" s="75">
        <f>IFERROR(__xludf.DUMMYFUNCTION("""COMPUTED_VALUE"""),"Efectivo USD")</f>
        <v/>
      </c>
      <c r="F239" s="75">
        <f>IFERROR(__xludf.DUMMYFUNCTION("""COMPUTED_VALUE"""),"EMPRENDIMIENTO IRMA RODRIGUEZ 6")</f>
        <v/>
      </c>
      <c r="G239" s="76">
        <f>IFERROR(__xludf.DUMMYFUNCTION("""COMPUTED_VALUE"""),"TORO ARDILES DAVID JOSE")</f>
        <v/>
      </c>
      <c r="H239" s="76">
        <f>IFERROR(__xludf.DUMMYFUNCTION("""COMPUTED_VALUE"""),487.1192)</f>
        <v/>
      </c>
      <c r="I239" s="75" t="n"/>
      <c r="J239" s="77">
        <f>IFERROR(__xludf.DUMMYFUNCTION("""COMPUTED_VALUE"""),188.0)</f>
        <v/>
      </c>
      <c r="K239" s="4">
        <f>IFERROR(__xludf.DUMMYFUNCTION("""COMPUTED_VALUE"""),188.0)</f>
        <v/>
      </c>
      <c r="L239" s="77">
        <f>IFERROR(__xludf.DUMMYFUNCTION("""COMPUTED_VALUE"""),188.0)</f>
        <v/>
      </c>
      <c r="O239" s="72" t="n"/>
      <c r="S239" s="4" t="n"/>
    </row>
    <row r="240">
      <c r="A240" s="74">
        <f>IFERROR(__xludf.DUMMYFUNCTION("""COMPUTED_VALUE"""),46142.0)</f>
        <v/>
      </c>
      <c r="B240" s="72">
        <f>IFERROR(__xludf.DUMMYFUNCTION("""COMPUTED_VALUE"""),220.0)</f>
        <v/>
      </c>
      <c r="C240" s="75">
        <f>IFERROR(__xludf.DUMMYFUNCTION("""COMPUTED_VALUE"""),111.0)</f>
        <v/>
      </c>
      <c r="D240" s="75">
        <f>IFERROR(__xludf.DUMMYFUNCTION("""COMPUTED_VALUE"""),"USD")</f>
        <v/>
      </c>
      <c r="E240" s="75">
        <f>IFERROR(__xludf.DUMMYFUNCTION("""COMPUTED_VALUE"""),"Efectivo USD")</f>
        <v/>
      </c>
      <c r="F240" s="75">
        <f>IFERROR(__xludf.DUMMYFUNCTION("""COMPUTED_VALUE"""),"HIDRAULICAS CAICEDO C.A.")</f>
        <v/>
      </c>
      <c r="G240" s="76">
        <f>IFERROR(__xludf.DUMMYFUNCTION("""COMPUTED_VALUE"""),"VILLABONA CORREA ALBA ESTEFANIA")</f>
        <v/>
      </c>
      <c r="H240" s="76">
        <f>IFERROR(__xludf.DUMMYFUNCTION("""COMPUTED_VALUE"""),487.1192)</f>
        <v/>
      </c>
      <c r="I240" s="75" t="n"/>
      <c r="J240" s="77">
        <f>IFERROR(__xludf.DUMMYFUNCTION("""COMPUTED_VALUE"""),111.0)</f>
        <v/>
      </c>
      <c r="K240" s="4">
        <f>IFERROR(__xludf.DUMMYFUNCTION("""COMPUTED_VALUE"""),111.0)</f>
        <v/>
      </c>
      <c r="L240" s="77">
        <f>IFERROR(__xludf.DUMMYFUNCTION("""COMPUTED_VALUE"""),111.0)</f>
        <v/>
      </c>
      <c r="O240" s="72" t="n"/>
      <c r="S240" s="4" t="n"/>
    </row>
    <row r="241">
      <c r="A241" s="74">
        <f>IFERROR(__xludf.DUMMYFUNCTION("""COMPUTED_VALUE"""),46142.0)</f>
        <v/>
      </c>
      <c r="B241" s="72">
        <f>IFERROR(__xludf.DUMMYFUNCTION("""COMPUTED_VALUE"""),156.0)</f>
        <v/>
      </c>
      <c r="C241" s="75">
        <f>IFERROR(__xludf.DUMMYFUNCTION("""COMPUTED_VALUE"""),39.0)</f>
        <v/>
      </c>
      <c r="D241" s="75">
        <f>IFERROR(__xludf.DUMMYFUNCTION("""COMPUTED_VALUE"""),"USD")</f>
        <v/>
      </c>
      <c r="E241" s="75">
        <f>IFERROR(__xludf.DUMMYFUNCTION("""COMPUTED_VALUE"""),"Efectivo USD")</f>
        <v/>
      </c>
      <c r="F241" s="75">
        <f>IFERROR(__xludf.DUMMYFUNCTION("""COMPUTED_VALUE"""),"EMPRENDIMIENTO MARTIN BASTIDAS 2")</f>
        <v/>
      </c>
      <c r="G241" s="76">
        <f>IFERROR(__xludf.DUMMYFUNCTION("""COMPUTED_VALUE"""),"TORO ARDILES DAVID JOSE")</f>
        <v/>
      </c>
      <c r="H241" s="76">
        <f>IFERROR(__xludf.DUMMYFUNCTION("""COMPUTED_VALUE"""),487.1192)</f>
        <v/>
      </c>
      <c r="I241" s="75" t="n"/>
      <c r="J241" s="77">
        <f>IFERROR(__xludf.DUMMYFUNCTION("""COMPUTED_VALUE"""),39.0)</f>
        <v/>
      </c>
      <c r="K241" s="4">
        <f>IFERROR(__xludf.DUMMYFUNCTION("""COMPUTED_VALUE"""),39.0)</f>
        <v/>
      </c>
      <c r="L241" s="77">
        <f>IFERROR(__xludf.DUMMYFUNCTION("""COMPUTED_VALUE"""),39.0)</f>
        <v/>
      </c>
      <c r="O241" s="72" t="n"/>
      <c r="S241" s="4" t="n"/>
    </row>
    <row r="242">
      <c r="A242" s="74">
        <f>IFERROR(__xludf.DUMMYFUNCTION("""COMPUTED_VALUE"""),46142.0)</f>
        <v/>
      </c>
      <c r="B242" s="72">
        <f>IFERROR(__xludf.DUMMYFUNCTION("""COMPUTED_VALUE"""),163.0)</f>
        <v/>
      </c>
      <c r="C242" s="75">
        <f>IFERROR(__xludf.DUMMYFUNCTION("""COMPUTED_VALUE"""),226.0)</f>
        <v/>
      </c>
      <c r="D242" s="75">
        <f>IFERROR(__xludf.DUMMYFUNCTION("""COMPUTED_VALUE"""),"USD")</f>
        <v/>
      </c>
      <c r="E242" s="75">
        <f>IFERROR(__xludf.DUMMYFUNCTION("""COMPUTED_VALUE"""),"Efectivo USD")</f>
        <v/>
      </c>
      <c r="F242" s="75">
        <f>IFERROR(__xludf.DUMMYFUNCTION("""COMPUTED_VALUE"""),"DISTRIBUIDORA MULTIAHORRO C.A.")</f>
        <v/>
      </c>
      <c r="G242" s="76">
        <f>IFERROR(__xludf.DUMMYFUNCTION("""COMPUTED_VALUE"""),"MARTINEZ MONTES JEFFREY ENRIQUE")</f>
        <v/>
      </c>
      <c r="H242" s="76">
        <f>IFERROR(__xludf.DUMMYFUNCTION("""COMPUTED_VALUE"""),487.1192)</f>
        <v/>
      </c>
      <c r="I242" s="75" t="n"/>
      <c r="J242" s="77">
        <f>IFERROR(__xludf.DUMMYFUNCTION("""COMPUTED_VALUE"""),226.0)</f>
        <v/>
      </c>
      <c r="K242" s="4">
        <f>IFERROR(__xludf.DUMMYFUNCTION("""COMPUTED_VALUE"""),226.0)</f>
        <v/>
      </c>
      <c r="L242" s="77">
        <f>IFERROR(__xludf.DUMMYFUNCTION("""COMPUTED_VALUE"""),226.0)</f>
        <v/>
      </c>
      <c r="O242" s="72" t="n"/>
      <c r="S242" s="4" t="n"/>
    </row>
    <row r="243">
      <c r="A243" s="74">
        <f>IFERROR(__xludf.DUMMYFUNCTION("""COMPUTED_VALUE"""),46142.0)</f>
        <v/>
      </c>
      <c r="B243" s="72">
        <f>IFERROR(__xludf.DUMMYFUNCTION("""COMPUTED_VALUE"""),62.0)</f>
        <v/>
      </c>
      <c r="C243" s="75">
        <f>IFERROR(__xludf.DUMMYFUNCTION("""COMPUTED_VALUE"""),360.0)</f>
        <v/>
      </c>
      <c r="D243" s="75">
        <f>IFERROR(__xludf.DUMMYFUNCTION("""COMPUTED_VALUE"""),"USD")</f>
        <v/>
      </c>
      <c r="E243" s="75">
        <f>IFERROR(__xludf.DUMMYFUNCTION("""COMPUTED_VALUE"""),"Efectivo USD")</f>
        <v/>
      </c>
      <c r="F243" s="75">
        <f>IFERROR(__xludf.DUMMYFUNCTION("""COMPUTED_VALUE"""),"SJMG 2012 C.A")</f>
        <v/>
      </c>
      <c r="G243" s="76">
        <f>IFERROR(__xludf.DUMMYFUNCTION("""COMPUTED_VALUE"""),"GRIMAN DIAZ HECTOR EDUARDO")</f>
        <v/>
      </c>
      <c r="H243" s="76">
        <f>IFERROR(__xludf.DUMMYFUNCTION("""COMPUTED_VALUE"""),487.1192)</f>
        <v/>
      </c>
      <c r="I243" s="75" t="n"/>
      <c r="J243" s="77">
        <f>IFERROR(__xludf.DUMMYFUNCTION("""COMPUTED_VALUE"""),360.0)</f>
        <v/>
      </c>
      <c r="K243" s="4">
        <f>IFERROR(__xludf.DUMMYFUNCTION("""COMPUTED_VALUE"""),360.0)</f>
        <v/>
      </c>
      <c r="L243" s="77">
        <f>IFERROR(__xludf.DUMMYFUNCTION("""COMPUTED_VALUE"""),360.0)</f>
        <v/>
      </c>
      <c r="O243" s="72" t="n"/>
      <c r="S243" s="4" t="n"/>
    </row>
    <row r="244">
      <c r="A244" s="74">
        <f>IFERROR(__xludf.DUMMYFUNCTION("""COMPUTED_VALUE"""),46142.0)</f>
        <v/>
      </c>
      <c r="B244" s="72">
        <f>IFERROR(__xludf.DUMMYFUNCTION("""COMPUTED_VALUE"""),127.0)</f>
        <v/>
      </c>
      <c r="C244" s="75">
        <f>IFERROR(__xludf.DUMMYFUNCTION("""COMPUTED_VALUE"""),150.0)</f>
        <v/>
      </c>
      <c r="D244" s="75">
        <f>IFERROR(__xludf.DUMMYFUNCTION("""COMPUTED_VALUE"""),"USD")</f>
        <v/>
      </c>
      <c r="E244" s="75">
        <f>IFERROR(__xludf.DUMMYFUNCTION("""COMPUTED_VALUE"""),"Efectivo USD")</f>
        <v/>
      </c>
      <c r="F244" s="75">
        <f>IFERROR(__xludf.DUMMYFUNCTION("""COMPUTED_VALUE"""),"Emprendimiento José Sánchez 203 c.a")</f>
        <v/>
      </c>
      <c r="G244" s="76">
        <f>IFERROR(__xludf.DUMMYFUNCTION("""COMPUTED_VALUE"""),"BETANCOURT ROBRIGUEZ LUIS ENRRIQUE")</f>
        <v/>
      </c>
      <c r="H244" s="76">
        <f>IFERROR(__xludf.DUMMYFUNCTION("""COMPUTED_VALUE"""),487.1192)</f>
        <v/>
      </c>
      <c r="I244" s="75" t="n"/>
      <c r="J244" s="77">
        <f>IFERROR(__xludf.DUMMYFUNCTION("""COMPUTED_VALUE"""),150.0)</f>
        <v/>
      </c>
      <c r="K244" s="4">
        <f>IFERROR(__xludf.DUMMYFUNCTION("""COMPUTED_VALUE"""),150.0)</f>
        <v/>
      </c>
      <c r="L244" s="77">
        <f>IFERROR(__xludf.DUMMYFUNCTION("""COMPUTED_VALUE"""),150.0)</f>
        <v/>
      </c>
      <c r="O244" s="72" t="n"/>
      <c r="S244" s="4" t="n"/>
    </row>
    <row r="245">
      <c r="A245" s="74">
        <f>IFERROR(__xludf.DUMMYFUNCTION("""COMPUTED_VALUE"""),46142.0)</f>
        <v/>
      </c>
      <c r="B245" s="72">
        <f>IFERROR(__xludf.DUMMYFUNCTION("""COMPUTED_VALUE"""),178.0)</f>
        <v/>
      </c>
      <c r="C245" s="75">
        <f>IFERROR(__xludf.DUMMYFUNCTION("""COMPUTED_VALUE"""),30000.0)</f>
        <v/>
      </c>
      <c r="D245" s="75">
        <f>IFERROR(__xludf.DUMMYFUNCTION("""COMPUTED_VALUE"""),"VES")</f>
        <v/>
      </c>
      <c r="E245" s="75">
        <f>IFERROR(__xludf.DUMMYFUNCTION("""COMPUTED_VALUE"""),"Bancamiga")</f>
        <v/>
      </c>
      <c r="F245" s="75">
        <f>IFERROR(__xludf.DUMMYFUNCTION("""COMPUTED_VALUE"""),"Distribuidora Nesmari 2050 c.a")</f>
        <v/>
      </c>
      <c r="G245" s="76">
        <f>IFERROR(__xludf.DUMMYFUNCTION("""COMPUTED_VALUE"""),"BETANCOURT ROBRIGUEZ LUIS ENRRIQUE")</f>
        <v/>
      </c>
      <c r="H245" s="76">
        <f>IFERROR(__xludf.DUMMYFUNCTION("""COMPUTED_VALUE"""),487.1192)</f>
        <v/>
      </c>
      <c r="I245" s="75" t="n"/>
      <c r="J245" s="77">
        <f>IFERROR(__xludf.DUMMYFUNCTION("""COMPUTED_VALUE"""),61.58656854420848)</f>
        <v/>
      </c>
      <c r="K245" s="4">
        <f>IFERROR(__xludf.DUMMYFUNCTION("""COMPUTED_VALUE"""),0.0)</f>
        <v/>
      </c>
      <c r="L245" s="77">
        <f>IFERROR(__xludf.DUMMYFUNCTION("""COMPUTED_VALUE"""),61.58656854420848)</f>
        <v/>
      </c>
      <c r="O245" s="72" t="n"/>
      <c r="S245" s="4" t="n"/>
    </row>
    <row r="246">
      <c r="A246" s="74">
        <f>IFERROR(__xludf.DUMMYFUNCTION("""COMPUTED_VALUE"""),46142.0)</f>
        <v/>
      </c>
      <c r="B246" s="72">
        <f>IFERROR(__xludf.DUMMYFUNCTION("""COMPUTED_VALUE"""),53.0)</f>
        <v/>
      </c>
      <c r="C246" s="75">
        <f>IFERROR(__xludf.DUMMYFUNCTION("""COMPUTED_VALUE"""),56976.38)</f>
        <v/>
      </c>
      <c r="D246" s="75">
        <f>IFERROR(__xludf.DUMMYFUNCTION("""COMPUTED_VALUE"""),"VES")</f>
        <v/>
      </c>
      <c r="E246" s="75">
        <f>IFERROR(__xludf.DUMMYFUNCTION("""COMPUTED_VALUE"""),"Bancamiga")</f>
        <v/>
      </c>
      <c r="F246" s="75">
        <f>IFERROR(__xludf.DUMMYFUNCTION("""COMPUTED_VALUE"""),"INVERSIONES MI 'LINDA YEMAIRE 2019, C.A")</f>
        <v/>
      </c>
      <c r="G246" s="76">
        <f>IFERROR(__xludf.DUMMYFUNCTION("""COMPUTED_VALUE"""),"VILLABONA CORREA ALBA ESTEFANIA")</f>
        <v/>
      </c>
      <c r="H246" s="76">
        <f>IFERROR(__xludf.DUMMYFUNCTION("""COMPUTED_VALUE"""),487.1192)</f>
        <v/>
      </c>
      <c r="I246" s="75" t="n"/>
      <c r="J246" s="77">
        <f>IFERROR(__xludf.DUMMYFUNCTION("""COMPUTED_VALUE"""),116.96599107569564)</f>
        <v/>
      </c>
      <c r="K246" s="4">
        <f>IFERROR(__xludf.DUMMYFUNCTION("""COMPUTED_VALUE"""),0.0)</f>
        <v/>
      </c>
      <c r="L246" s="77">
        <f>IFERROR(__xludf.DUMMYFUNCTION("""COMPUTED_VALUE"""),116.96599107569564)</f>
        <v/>
      </c>
      <c r="O246" s="72" t="n"/>
      <c r="S246" s="4" t="n"/>
    </row>
    <row r="247">
      <c r="A247" s="74">
        <f>IFERROR(__xludf.DUMMYFUNCTION("""COMPUTED_VALUE"""),46146.0)</f>
        <v/>
      </c>
      <c r="B247" s="72">
        <f>IFERROR(__xludf.DUMMYFUNCTION("""COMPUTED_VALUE"""),53.0)</f>
        <v/>
      </c>
      <c r="C247" s="75">
        <f>IFERROR(__xludf.DUMMYFUNCTION("""COMPUTED_VALUE"""),126322.64)</f>
        <v/>
      </c>
      <c r="D247" s="75">
        <f>IFERROR(__xludf.DUMMYFUNCTION("""COMPUTED_VALUE"""),"VES")</f>
        <v/>
      </c>
      <c r="E247" s="75">
        <f>IFERROR(__xludf.DUMMYFUNCTION("""COMPUTED_VALUE"""),"Bancamiga")</f>
        <v/>
      </c>
      <c r="F247" s="75">
        <f>IFERROR(__xludf.DUMMYFUNCTION("""COMPUTED_VALUE"""),"INVERSIONES MI  'LINDA YEMAIRE 2019, C.A")</f>
        <v/>
      </c>
      <c r="G247" s="76">
        <f>IFERROR(__xludf.DUMMYFUNCTION("""COMPUTED_VALUE"""),"VILLABONA CORREA ALBA ESTEFANIA")</f>
        <v/>
      </c>
      <c r="H247" s="76">
        <f>IFERROR(__xludf.DUMMYFUNCTION("""COMPUTED_VALUE"""),489.5547)</f>
        <v/>
      </c>
      <c r="I247" s="75" t="n"/>
      <c r="J247" s="77">
        <f>IFERROR(__xludf.DUMMYFUNCTION("""COMPUTED_VALUE"""),258.0358027407356)</f>
        <v/>
      </c>
      <c r="K247" s="4">
        <f>IFERROR(__xludf.DUMMYFUNCTION("""COMPUTED_VALUE"""),0.0)</f>
        <v/>
      </c>
      <c r="L247" s="77">
        <f>IFERROR(__xludf.DUMMYFUNCTION("""COMPUTED_VALUE"""),258.0358027407356)</f>
        <v/>
      </c>
      <c r="O247" s="72" t="n"/>
      <c r="S247" s="4" t="n"/>
    </row>
    <row r="248">
      <c r="A248" s="74">
        <f>IFERROR(__xludf.DUMMYFUNCTION("""COMPUTED_VALUE"""),46146.0)</f>
        <v/>
      </c>
      <c r="B248" s="72">
        <f>IFERROR(__xludf.DUMMYFUNCTION("""COMPUTED_VALUE"""),20.0)</f>
        <v/>
      </c>
      <c r="C248" s="75">
        <f>IFERROR(__xludf.DUMMYFUNCTION("""COMPUTED_VALUE"""),11396.0)</f>
        <v/>
      </c>
      <c r="D248" s="75">
        <f>IFERROR(__xludf.DUMMYFUNCTION("""COMPUTED_VALUE"""),"VES")</f>
        <v/>
      </c>
      <c r="E248" s="75">
        <f>IFERROR(__xludf.DUMMYFUNCTION("""COMPUTED_VALUE"""),"Bancamiga")</f>
        <v/>
      </c>
      <c r="F248" s="75">
        <f>IFERROR(__xludf.DUMMYFUNCTION("""COMPUTED_VALUE"""),"EMPRENDIMIENTO TOMAS MARCANO 5")</f>
        <v/>
      </c>
      <c r="G248" s="76">
        <f>IFERROR(__xludf.DUMMYFUNCTION("""COMPUTED_VALUE"""),"VILLABONA CORREA ALBA ESTEFANIA")</f>
        <v/>
      </c>
      <c r="H248" s="76">
        <f>IFERROR(__xludf.DUMMYFUNCTION("""COMPUTED_VALUE"""),489.5547)</f>
        <v/>
      </c>
      <c r="I248" s="75" t="n"/>
      <c r="J248" s="77">
        <f>IFERROR(__xludf.DUMMYFUNCTION("""COMPUTED_VALUE"""),23.278297603924546)</f>
        <v/>
      </c>
      <c r="K248" s="4">
        <f>IFERROR(__xludf.DUMMYFUNCTION("""COMPUTED_VALUE"""),0.0)</f>
        <v/>
      </c>
      <c r="L248" s="77">
        <f>IFERROR(__xludf.DUMMYFUNCTION("""COMPUTED_VALUE"""),23.278297603924546)</f>
        <v/>
      </c>
      <c r="O248" s="72" t="n"/>
      <c r="S248" s="4" t="n"/>
    </row>
    <row r="249">
      <c r="A249" s="74">
        <f>IFERROR(__xludf.DUMMYFUNCTION("""COMPUTED_VALUE"""),46146.0)</f>
        <v/>
      </c>
      <c r="B249" s="72">
        <f>IFERROR(__xludf.DUMMYFUNCTION("""COMPUTED_VALUE"""),221.0)</f>
        <v/>
      </c>
      <c r="C249" s="75">
        <f>IFERROR(__xludf.DUMMYFUNCTION("""COMPUTED_VALUE"""),133.0)</f>
        <v/>
      </c>
      <c r="D249" s="75">
        <f>IFERROR(__xludf.DUMMYFUNCTION("""COMPUTED_VALUE"""),"USD")</f>
        <v/>
      </c>
      <c r="E249" s="75">
        <f>IFERROR(__xludf.DUMMYFUNCTION("""COMPUTED_VALUE"""),"Efectivo USD")</f>
        <v/>
      </c>
      <c r="F249" s="75">
        <f>IFERROR(__xludf.DUMMYFUNCTION("""COMPUTED_VALUE"""),"ACCESORIOS Y REPUESTOS MOTO CAR 20-11-C.A")</f>
        <v/>
      </c>
      <c r="G249" s="76">
        <f>IFERROR(__xludf.DUMMYFUNCTION("""COMPUTED_VALUE"""),"VILLABONA CORREA ALBA ESTEFANIA")</f>
        <v/>
      </c>
      <c r="H249" s="76">
        <f>IFERROR(__xludf.DUMMYFUNCTION("""COMPUTED_VALUE"""),489.5547)</f>
        <v/>
      </c>
      <c r="I249" s="75" t="n"/>
      <c r="J249" s="77">
        <f>IFERROR(__xludf.DUMMYFUNCTION("""COMPUTED_VALUE"""),133.0)</f>
        <v/>
      </c>
      <c r="K249" s="4">
        <f>IFERROR(__xludf.DUMMYFUNCTION("""COMPUTED_VALUE"""),133.0)</f>
        <v/>
      </c>
      <c r="L249" s="77">
        <f>IFERROR(__xludf.DUMMYFUNCTION("""COMPUTED_VALUE"""),133.0)</f>
        <v/>
      </c>
      <c r="O249" s="72" t="n"/>
      <c r="S249" s="4" t="n"/>
    </row>
    <row r="250">
      <c r="A250" s="74">
        <f>IFERROR(__xludf.DUMMYFUNCTION("""COMPUTED_VALUE"""),46146.0)</f>
        <v/>
      </c>
      <c r="B250" s="72">
        <f>IFERROR(__xludf.DUMMYFUNCTION("""COMPUTED_VALUE"""),86.0)</f>
        <v/>
      </c>
      <c r="C250" s="75">
        <f>IFERROR(__xludf.DUMMYFUNCTION("""COMPUTED_VALUE"""),25125.61)</f>
        <v/>
      </c>
      <c r="D250" s="75">
        <f>IFERROR(__xludf.DUMMYFUNCTION("""COMPUTED_VALUE"""),"VES")</f>
        <v/>
      </c>
      <c r="E250" s="75">
        <f>IFERROR(__xludf.DUMMYFUNCTION("""COMPUTED_VALUE"""),"Bancamiga")</f>
        <v/>
      </c>
      <c r="F250" s="75">
        <f>IFERROR(__xludf.DUMMYFUNCTION("""COMPUTED_VALUE"""),"Wuilliams bastidas")</f>
        <v/>
      </c>
      <c r="G250" s="76">
        <f>IFERROR(__xludf.DUMMYFUNCTION("""COMPUTED_VALUE"""),"PEREZ DIAZ ANGEL DE DIOS")</f>
        <v/>
      </c>
      <c r="H250" s="76">
        <f>IFERROR(__xludf.DUMMYFUNCTION("""COMPUTED_VALUE"""),489.5547)</f>
        <v/>
      </c>
      <c r="I250" s="75" t="n"/>
      <c r="J250" s="77">
        <f>IFERROR(__xludf.DUMMYFUNCTION("""COMPUTED_VALUE"""),51.32339654792406)</f>
        <v/>
      </c>
      <c r="K250" s="4">
        <f>IFERROR(__xludf.DUMMYFUNCTION("""COMPUTED_VALUE"""),0.0)</f>
        <v/>
      </c>
      <c r="L250" s="77">
        <f>IFERROR(__xludf.DUMMYFUNCTION("""COMPUTED_VALUE"""),51.32339654792406)</f>
        <v/>
      </c>
      <c r="O250" s="72" t="n"/>
      <c r="S250" s="4" t="n"/>
    </row>
    <row r="251">
      <c r="A251" s="74">
        <f>IFERROR(__xludf.DUMMYFUNCTION("""COMPUTED_VALUE"""),46146.0)</f>
        <v/>
      </c>
      <c r="B251" s="72">
        <f>IFERROR(__xludf.DUMMYFUNCTION("""COMPUTED_VALUE"""),78.0)</f>
        <v/>
      </c>
      <c r="C251" s="75">
        <f>IFERROR(__xludf.DUMMYFUNCTION("""COMPUTED_VALUE"""),19582.0)</f>
        <v/>
      </c>
      <c r="D251" s="75">
        <f>IFERROR(__xludf.DUMMYFUNCTION("""COMPUTED_VALUE"""),"VES")</f>
        <v/>
      </c>
      <c r="E251" s="75">
        <f>IFERROR(__xludf.DUMMYFUNCTION("""COMPUTED_VALUE"""),"Bancamiga")</f>
        <v/>
      </c>
      <c r="F251" s="75">
        <f>IFERROR(__xludf.DUMMYFUNCTION("""COMPUTED_VALUE"""),"MULTISERVICIOS RECAM13, C.A.")</f>
        <v/>
      </c>
      <c r="G251" s="76">
        <f>IFERROR(__xludf.DUMMYFUNCTION("""COMPUTED_VALUE"""),"TORO ARDILES DAVID JOSE")</f>
        <v/>
      </c>
      <c r="H251" s="76">
        <f>IFERROR(__xludf.DUMMYFUNCTION("""COMPUTED_VALUE"""),489.5547)</f>
        <v/>
      </c>
      <c r="I251" s="75" t="n"/>
      <c r="J251" s="77">
        <f>IFERROR(__xludf.DUMMYFUNCTION("""COMPUTED_VALUE"""),39.9996159775404)</f>
        <v/>
      </c>
      <c r="K251" s="4">
        <f>IFERROR(__xludf.DUMMYFUNCTION("""COMPUTED_VALUE"""),0.0)</f>
        <v/>
      </c>
      <c r="L251" s="77">
        <f>IFERROR(__xludf.DUMMYFUNCTION("""COMPUTED_VALUE"""),39.9996159775404)</f>
        <v/>
      </c>
      <c r="O251" s="72" t="n"/>
      <c r="S251" s="4" t="n"/>
    </row>
    <row r="252">
      <c r="A252" s="74">
        <f>IFERROR(__xludf.DUMMYFUNCTION("""COMPUTED_VALUE"""),46146.0)</f>
        <v/>
      </c>
      <c r="B252" s="72">
        <f>IFERROR(__xludf.DUMMYFUNCTION("""COMPUTED_VALUE"""),294.0)</f>
        <v/>
      </c>
      <c r="C252" s="75">
        <f>IFERROR(__xludf.DUMMYFUNCTION("""COMPUTED_VALUE"""),1000000.0)</f>
        <v/>
      </c>
      <c r="D252" s="75">
        <f>IFERROR(__xludf.DUMMYFUNCTION("""COMPUTED_VALUE"""),"VES")</f>
        <v/>
      </c>
      <c r="E252" s="75">
        <f>IFERROR(__xludf.DUMMYFUNCTION("""COMPUTED_VALUE"""),"Bancamiga")</f>
        <v/>
      </c>
      <c r="F252" s="75">
        <f>IFERROR(__xludf.DUMMYFUNCTION("""COMPUTED_VALUE"""),"CONSTRUCTORA GRANO AGREGADO, C.A")</f>
        <v/>
      </c>
      <c r="G252" s="76">
        <f>IFERROR(__xludf.DUMMYFUNCTION("""COMPUTED_VALUE"""),"Marco Romero")</f>
        <v/>
      </c>
      <c r="H252" s="76">
        <f>IFERROR(__xludf.DUMMYFUNCTION("""COMPUTED_VALUE"""),489.5547)</f>
        <v/>
      </c>
      <c r="I252" s="75" t="n"/>
      <c r="J252" s="77">
        <f>IFERROR(__xludf.DUMMYFUNCTION("""COMPUTED_VALUE"""),2042.6726574170361)</f>
        <v/>
      </c>
      <c r="K252" s="4">
        <f>IFERROR(__xludf.DUMMYFUNCTION("""COMPUTED_VALUE"""),0.0)</f>
        <v/>
      </c>
      <c r="L252" s="77">
        <f>IFERROR(__xludf.DUMMYFUNCTION("""COMPUTED_VALUE"""),2042.6726574170361)</f>
        <v/>
      </c>
      <c r="O252" s="72" t="n"/>
      <c r="S252" s="4" t="n"/>
    </row>
    <row r="253">
      <c r="A253" s="74">
        <f>IFERROR(__xludf.DUMMYFUNCTION("""COMPUTED_VALUE"""),46146.0)</f>
        <v/>
      </c>
      <c r="B253" s="72">
        <f>IFERROR(__xludf.DUMMYFUNCTION("""COMPUTED_VALUE"""),294.0)</f>
        <v/>
      </c>
      <c r="C253" s="75">
        <f>IFERROR(__xludf.DUMMYFUNCTION("""COMPUTED_VALUE"""),621789.96)</f>
        <v/>
      </c>
      <c r="D253" s="75">
        <f>IFERROR(__xludf.DUMMYFUNCTION("""COMPUTED_VALUE"""),"VES")</f>
        <v/>
      </c>
      <c r="E253" s="75">
        <f>IFERROR(__xludf.DUMMYFUNCTION("""COMPUTED_VALUE"""),"Bancamiga")</f>
        <v/>
      </c>
      <c r="F253" s="75">
        <f>IFERROR(__xludf.DUMMYFUNCTION("""COMPUTED_VALUE"""),"CONSTRUCTORA GRANO AGREGADO, C.A")</f>
        <v/>
      </c>
      <c r="G253" s="76">
        <f>IFERROR(__xludf.DUMMYFUNCTION("""COMPUTED_VALUE"""),"Marco Romero")</f>
        <v/>
      </c>
      <c r="H253" s="76">
        <f>IFERROR(__xludf.DUMMYFUNCTION("""COMPUTED_VALUE"""),489.5547)</f>
        <v/>
      </c>
      <c r="I253" s="75" t="n"/>
      <c r="J253" s="77">
        <f>IFERROR(__xludf.DUMMYFUNCTION("""COMPUTED_VALUE"""),1270.1133499484326)</f>
        <v/>
      </c>
      <c r="K253" s="4">
        <f>IFERROR(__xludf.DUMMYFUNCTION("""COMPUTED_VALUE"""),0.0)</f>
        <v/>
      </c>
      <c r="L253" s="77">
        <f>IFERROR(__xludf.DUMMYFUNCTION("""COMPUTED_VALUE"""),1270.1133499484326)</f>
        <v/>
      </c>
      <c r="O253" s="72" t="n"/>
      <c r="S253" s="4" t="n"/>
    </row>
    <row r="254">
      <c r="A254" s="74">
        <f>IFERROR(__xludf.DUMMYFUNCTION("""COMPUTED_VALUE"""),46146.0)</f>
        <v/>
      </c>
      <c r="B254" s="72">
        <f>IFERROR(__xludf.DUMMYFUNCTION("""COMPUTED_VALUE"""),62.0)</f>
        <v/>
      </c>
      <c r="C254" s="75">
        <f>IFERROR(__xludf.DUMMYFUNCTION("""COMPUTED_VALUE"""),800.0)</f>
        <v/>
      </c>
      <c r="D254" s="75">
        <f>IFERROR(__xludf.DUMMYFUNCTION("""COMPUTED_VALUE"""),"USD")</f>
        <v/>
      </c>
      <c r="E254" s="75">
        <f>IFERROR(__xludf.DUMMYFUNCTION("""COMPUTED_VALUE"""),"Zelle")</f>
        <v/>
      </c>
      <c r="F254" s="75">
        <f>IFERROR(__xludf.DUMMYFUNCTION("""COMPUTED_VALUE"""),"SJMG 2012 C.A")</f>
        <v/>
      </c>
      <c r="G254" s="76">
        <f>IFERROR(__xludf.DUMMYFUNCTION("""COMPUTED_VALUE"""),"GRIMAN DIAZ HECTOR EDUARDO")</f>
        <v/>
      </c>
      <c r="H254" s="76">
        <f>IFERROR(__xludf.DUMMYFUNCTION("""COMPUTED_VALUE"""),489.5547)</f>
        <v/>
      </c>
      <c r="I254" s="75" t="n"/>
      <c r="J254" s="77">
        <f>IFERROR(__xludf.DUMMYFUNCTION("""COMPUTED_VALUE"""),800.0)</f>
        <v/>
      </c>
      <c r="K254" s="4">
        <f>IFERROR(__xludf.DUMMYFUNCTION("""COMPUTED_VALUE"""),800.0)</f>
        <v/>
      </c>
      <c r="L254" s="77">
        <f>IFERROR(__xludf.DUMMYFUNCTION("""COMPUTED_VALUE"""),800.0)</f>
        <v/>
      </c>
      <c r="O254" s="72" t="n"/>
      <c r="S254" s="4" t="n"/>
    </row>
    <row r="255">
      <c r="A255" s="74">
        <f>IFERROR(__xludf.DUMMYFUNCTION("""COMPUTED_VALUE"""),46146.0)</f>
        <v/>
      </c>
      <c r="B255" s="72">
        <f>IFERROR(__xludf.DUMMYFUNCTION("""COMPUTED_VALUE"""),62.0)</f>
        <v/>
      </c>
      <c r="C255" s="75">
        <f>IFERROR(__xludf.DUMMYFUNCTION("""COMPUTED_VALUE"""),172.0)</f>
        <v/>
      </c>
      <c r="D255" s="75">
        <f>IFERROR(__xludf.DUMMYFUNCTION("""COMPUTED_VALUE"""),"USD")</f>
        <v/>
      </c>
      <c r="E255" s="75">
        <f>IFERROR(__xludf.DUMMYFUNCTION("""COMPUTED_VALUE"""),"Efectivo USD")</f>
        <v/>
      </c>
      <c r="F255" s="75">
        <f>IFERROR(__xludf.DUMMYFUNCTION("""COMPUTED_VALUE"""),"SJMG 2012 C.A")</f>
        <v/>
      </c>
      <c r="G255" s="76">
        <f>IFERROR(__xludf.DUMMYFUNCTION("""COMPUTED_VALUE"""),"GRIMAN DIAZ HECTOR EDUARDO")</f>
        <v/>
      </c>
      <c r="H255" s="76">
        <f>IFERROR(__xludf.DUMMYFUNCTION("""COMPUTED_VALUE"""),489.5547)</f>
        <v/>
      </c>
      <c r="I255" s="75" t="n"/>
      <c r="J255" s="77">
        <f>IFERROR(__xludf.DUMMYFUNCTION("""COMPUTED_VALUE"""),172.0)</f>
        <v/>
      </c>
      <c r="K255" s="4">
        <f>IFERROR(__xludf.DUMMYFUNCTION("""COMPUTED_VALUE"""),172.0)</f>
        <v/>
      </c>
      <c r="L255" s="77">
        <f>IFERROR(__xludf.DUMMYFUNCTION("""COMPUTED_VALUE"""),172.0)</f>
        <v/>
      </c>
      <c r="O255" s="72" t="n"/>
      <c r="S255" s="4" t="n"/>
    </row>
    <row r="256">
      <c r="A256" s="74">
        <f>IFERROR(__xludf.DUMMYFUNCTION("""COMPUTED_VALUE"""),46146.0)</f>
        <v/>
      </c>
      <c r="B256" s="72">
        <f>IFERROR(__xludf.DUMMYFUNCTION("""COMPUTED_VALUE"""),61.0)</f>
        <v/>
      </c>
      <c r="C256" s="75">
        <f>IFERROR(__xludf.DUMMYFUNCTION("""COMPUTED_VALUE"""),28.0)</f>
        <v/>
      </c>
      <c r="D256" s="75">
        <f>IFERROR(__xludf.DUMMYFUNCTION("""COMPUTED_VALUE"""),"USD")</f>
        <v/>
      </c>
      <c r="E256" s="75">
        <f>IFERROR(__xludf.DUMMYFUNCTION("""COMPUTED_VALUE"""),"Efectivo USD")</f>
        <v/>
      </c>
      <c r="F256" s="75">
        <f>IFERROR(__xludf.DUMMYFUNCTION("""COMPUTED_VALUE"""),"SJMG 2012 C.A")</f>
        <v/>
      </c>
      <c r="G256" s="76">
        <f>IFERROR(__xludf.DUMMYFUNCTION("""COMPUTED_VALUE"""),"GRIMAN DIAZ HECTOR EDUARDO")</f>
        <v/>
      </c>
      <c r="H256" s="76">
        <f>IFERROR(__xludf.DUMMYFUNCTION("""COMPUTED_VALUE"""),489.5547)</f>
        <v/>
      </c>
      <c r="I256" s="75" t="n"/>
      <c r="J256" s="77">
        <f>IFERROR(__xludf.DUMMYFUNCTION("""COMPUTED_VALUE"""),28.0)</f>
        <v/>
      </c>
      <c r="K256" s="4">
        <f>IFERROR(__xludf.DUMMYFUNCTION("""COMPUTED_VALUE"""),28.0)</f>
        <v/>
      </c>
      <c r="L256" s="77">
        <f>IFERROR(__xludf.DUMMYFUNCTION("""COMPUTED_VALUE"""),28.0)</f>
        <v/>
      </c>
      <c r="O256" s="72" t="n"/>
      <c r="S256" s="4" t="n"/>
    </row>
    <row r="257">
      <c r="A257" s="74">
        <f>IFERROR(__xludf.DUMMYFUNCTION("""COMPUTED_VALUE"""),46146.0)</f>
        <v/>
      </c>
      <c r="B257" s="72">
        <f>IFERROR(__xludf.DUMMYFUNCTION("""COMPUTED_VALUE"""),295.0)</f>
        <v/>
      </c>
      <c r="C257" s="75">
        <f>IFERROR(__xludf.DUMMYFUNCTION("""COMPUTED_VALUE"""),76.0)</f>
        <v/>
      </c>
      <c r="D257" s="75">
        <f>IFERROR(__xludf.DUMMYFUNCTION("""COMPUTED_VALUE"""),"USD")</f>
        <v/>
      </c>
      <c r="E257" s="75">
        <f>IFERROR(__xludf.DUMMYFUNCTION("""COMPUTED_VALUE"""),"Efectivo USD")</f>
        <v/>
      </c>
      <c r="F257" s="75">
        <f>IFERROR(__xludf.DUMMYFUNCTION("""COMPUTED_VALUE"""),"MOTOS Y REPUESTOS DOS RUEDAS, C.A.")</f>
        <v/>
      </c>
      <c r="G257" s="76">
        <f>IFERROR(__xludf.DUMMYFUNCTION("""COMPUTED_VALUE"""),"TORO ARDILES DAVID JOSE")</f>
        <v/>
      </c>
      <c r="H257" s="76">
        <f>IFERROR(__xludf.DUMMYFUNCTION("""COMPUTED_VALUE"""),489.5547)</f>
        <v/>
      </c>
      <c r="I257" s="75" t="n"/>
      <c r="J257" s="77">
        <f>IFERROR(__xludf.DUMMYFUNCTION("""COMPUTED_VALUE"""),76.0)</f>
        <v/>
      </c>
      <c r="K257" s="4">
        <f>IFERROR(__xludf.DUMMYFUNCTION("""COMPUTED_VALUE"""),76.0)</f>
        <v/>
      </c>
      <c r="L257" s="77">
        <f>IFERROR(__xludf.DUMMYFUNCTION("""COMPUTED_VALUE"""),76.0)</f>
        <v/>
      </c>
      <c r="O257" s="72" t="n"/>
      <c r="S257" s="4" t="n"/>
    </row>
    <row r="258">
      <c r="A258" s="74">
        <f>IFERROR(__xludf.DUMMYFUNCTION("""COMPUTED_VALUE"""),46146.0)</f>
        <v/>
      </c>
      <c r="B258" s="72">
        <f>IFERROR(__xludf.DUMMYFUNCTION("""COMPUTED_VALUE"""),208.0)</f>
        <v/>
      </c>
      <c r="C258" s="75">
        <f>IFERROR(__xludf.DUMMYFUNCTION("""COMPUTED_VALUE"""),147.0)</f>
        <v/>
      </c>
      <c r="D258" s="75">
        <f>IFERROR(__xludf.DUMMYFUNCTION("""COMPUTED_VALUE"""),"USD")</f>
        <v/>
      </c>
      <c r="E258" s="75">
        <f>IFERROR(__xludf.DUMMYFUNCTION("""COMPUTED_VALUE"""),"Efectivo USD")</f>
        <v/>
      </c>
      <c r="F258" s="75">
        <f>IFERROR(__xludf.DUMMYFUNCTION("""COMPUTED_VALUE"""),"GARAJE Y TALLERES FRIDELBA, C.A")</f>
        <v/>
      </c>
      <c r="G258" s="76">
        <f>IFERROR(__xludf.DUMMYFUNCTION("""COMPUTED_VALUE"""),"TORO ARDILES DAVID JOSE")</f>
        <v/>
      </c>
      <c r="H258" s="76">
        <f>IFERROR(__xludf.DUMMYFUNCTION("""COMPUTED_VALUE"""),489.5547)</f>
        <v/>
      </c>
      <c r="I258" s="75" t="n"/>
      <c r="J258" s="77">
        <f>IFERROR(__xludf.DUMMYFUNCTION("""COMPUTED_VALUE"""),147.0)</f>
        <v/>
      </c>
      <c r="K258" s="4">
        <f>IFERROR(__xludf.DUMMYFUNCTION("""COMPUTED_VALUE"""),147.0)</f>
        <v/>
      </c>
      <c r="L258" s="77">
        <f>IFERROR(__xludf.DUMMYFUNCTION("""COMPUTED_VALUE"""),147.0)</f>
        <v/>
      </c>
      <c r="O258" s="72" t="n"/>
      <c r="S258" s="4" t="n"/>
    </row>
    <row r="259">
      <c r="A259" s="74">
        <f>IFERROR(__xludf.DUMMYFUNCTION("""COMPUTED_VALUE"""),46146.0)</f>
        <v/>
      </c>
      <c r="B259" s="72">
        <f>IFERROR(__xludf.DUMMYFUNCTION("""COMPUTED_VALUE"""),122.0)</f>
        <v/>
      </c>
      <c r="C259" s="75">
        <f>IFERROR(__xludf.DUMMYFUNCTION("""COMPUTED_VALUE"""),20.0)</f>
        <v/>
      </c>
      <c r="D259" s="75">
        <f>IFERROR(__xludf.DUMMYFUNCTION("""COMPUTED_VALUE"""),"USD")</f>
        <v/>
      </c>
      <c r="E259" s="75">
        <f>IFERROR(__xludf.DUMMYFUNCTION("""COMPUTED_VALUE"""),"Efectivo USD")</f>
        <v/>
      </c>
      <c r="F259" s="75">
        <f>IFERROR(__xludf.DUMMYFUNCTION("""COMPUTED_VALUE"""),"Emprendimiento Tomas Paz")</f>
        <v/>
      </c>
      <c r="G259" s="76">
        <f>IFERROR(__xludf.DUMMYFUNCTION("""COMPUTED_VALUE"""),"MARTINEZ MONTES JEFFREY ENRIQUE")</f>
        <v/>
      </c>
      <c r="H259" s="76">
        <f>IFERROR(__xludf.DUMMYFUNCTION("""COMPUTED_VALUE"""),489.5547)</f>
        <v/>
      </c>
      <c r="I259" s="75" t="n"/>
      <c r="J259" s="77">
        <f>IFERROR(__xludf.DUMMYFUNCTION("""COMPUTED_VALUE"""),20.0)</f>
        <v/>
      </c>
      <c r="K259" s="4">
        <f>IFERROR(__xludf.DUMMYFUNCTION("""COMPUTED_VALUE"""),20.0)</f>
        <v/>
      </c>
      <c r="L259" s="77">
        <f>IFERROR(__xludf.DUMMYFUNCTION("""COMPUTED_VALUE"""),20.0)</f>
        <v/>
      </c>
      <c r="O259" s="72" t="n"/>
      <c r="S259" s="4" t="n"/>
    </row>
    <row r="260">
      <c r="A260" s="74">
        <f>IFERROR(__xludf.DUMMYFUNCTION("""COMPUTED_VALUE"""),46146.0)</f>
        <v/>
      </c>
      <c r="B260" s="72">
        <f>IFERROR(__xludf.DUMMYFUNCTION("""COMPUTED_VALUE"""),129.0)</f>
        <v/>
      </c>
      <c r="C260" s="75">
        <f>IFERROR(__xludf.DUMMYFUNCTION("""COMPUTED_VALUE"""),110.0)</f>
        <v/>
      </c>
      <c r="D260" s="75">
        <f>IFERROR(__xludf.DUMMYFUNCTION("""COMPUTED_VALUE"""),"USD")</f>
        <v/>
      </c>
      <c r="E260" s="75">
        <f>IFERROR(__xludf.DUMMYFUNCTION("""COMPUTED_VALUE"""),"Efectivo USD")</f>
        <v/>
      </c>
      <c r="F260" s="75">
        <f>IFERROR(__xludf.DUMMYFUNCTION("""COMPUTED_VALUE"""),"Emprendimiento Jordy Valencia")</f>
        <v/>
      </c>
      <c r="G260" s="76">
        <f>IFERROR(__xludf.DUMMYFUNCTION("""COMPUTED_VALUE"""),"MARTINEZ MONTES JEFFREY ENRIQUE")</f>
        <v/>
      </c>
      <c r="H260" s="76">
        <f>IFERROR(__xludf.DUMMYFUNCTION("""COMPUTED_VALUE"""),489.5547)</f>
        <v/>
      </c>
      <c r="I260" s="75" t="n"/>
      <c r="J260" s="77">
        <f>IFERROR(__xludf.DUMMYFUNCTION("""COMPUTED_VALUE"""),110.0)</f>
        <v/>
      </c>
      <c r="K260" s="4">
        <f>IFERROR(__xludf.DUMMYFUNCTION("""COMPUTED_VALUE"""),110.0)</f>
        <v/>
      </c>
      <c r="L260" s="77">
        <f>IFERROR(__xludf.DUMMYFUNCTION("""COMPUTED_VALUE"""),110.0)</f>
        <v/>
      </c>
      <c r="O260" s="72" t="n"/>
      <c r="S260" s="4" t="n"/>
    </row>
    <row r="261">
      <c r="A261" s="74">
        <f>IFERROR(__xludf.DUMMYFUNCTION("""COMPUTED_VALUE"""),46142.0)</f>
        <v/>
      </c>
      <c r="B261" s="72">
        <f>IFERROR(__xludf.DUMMYFUNCTION("""COMPUTED_VALUE"""),308.0)</f>
        <v/>
      </c>
      <c r="C261" s="75">
        <f>IFERROR(__xludf.DUMMYFUNCTION("""COMPUTED_VALUE"""),65.0)</f>
        <v/>
      </c>
      <c r="D261" s="75">
        <f>IFERROR(__xludf.DUMMYFUNCTION("""COMPUTED_VALUE"""),"USD")</f>
        <v/>
      </c>
      <c r="E261" s="75">
        <f>IFERROR(__xludf.DUMMYFUNCTION("""COMPUTED_VALUE"""),"Efectivo USD")</f>
        <v/>
      </c>
      <c r="F261" s="75">
        <f>IFERROR(__xludf.DUMMYFUNCTION("""COMPUTED_VALUE"""),"Jose Alzolay")</f>
        <v/>
      </c>
      <c r="G261" s="76">
        <f>IFERROR(__xludf.DUMMYFUNCTION("""COMPUTED_VALUE"""),"CASERES GONZALEZ RONALD OSWALDO")</f>
        <v/>
      </c>
      <c r="H261" s="76">
        <f>IFERROR(__xludf.DUMMYFUNCTION("""COMPUTED_VALUE"""),487.1192)</f>
        <v/>
      </c>
      <c r="I261" s="75" t="n"/>
      <c r="J261" s="77">
        <f>IFERROR(__xludf.DUMMYFUNCTION("""COMPUTED_VALUE"""),65.0)</f>
        <v/>
      </c>
      <c r="K261" s="4">
        <f>IFERROR(__xludf.DUMMYFUNCTION("""COMPUTED_VALUE"""),65.0)</f>
        <v/>
      </c>
      <c r="L261" s="77">
        <f>IFERROR(__xludf.DUMMYFUNCTION("""COMPUTED_VALUE"""),65.0)</f>
        <v/>
      </c>
      <c r="O261" s="72" t="n"/>
      <c r="S261" s="4" t="n"/>
    </row>
    <row r="262">
      <c r="A262" s="74">
        <f>IFERROR(__xludf.DUMMYFUNCTION("""COMPUTED_VALUE"""),46142.0)</f>
        <v/>
      </c>
      <c r="B262" s="72">
        <f>IFERROR(__xludf.DUMMYFUNCTION("""COMPUTED_VALUE"""),311.0)</f>
        <v/>
      </c>
      <c r="C262" s="75">
        <f>IFERROR(__xludf.DUMMYFUNCTION("""COMPUTED_VALUE"""),63.0)</f>
        <v/>
      </c>
      <c r="D262" s="75">
        <f>IFERROR(__xludf.DUMMYFUNCTION("""COMPUTED_VALUE"""),"USD")</f>
        <v/>
      </c>
      <c r="E262" s="75">
        <f>IFERROR(__xludf.DUMMYFUNCTION("""COMPUTED_VALUE"""),"Efectivo USD")</f>
        <v/>
      </c>
      <c r="F262" s="75">
        <f>IFERROR(__xludf.DUMMYFUNCTION("""COMPUTED_VALUE"""),"Carlos Bravo")</f>
        <v/>
      </c>
      <c r="G262" s="76">
        <f>IFERROR(__xludf.DUMMYFUNCTION("""COMPUTED_VALUE"""),"CASERES GONZALEZ RONALD OSWALDO")</f>
        <v/>
      </c>
      <c r="H262" s="76">
        <f>IFERROR(__xludf.DUMMYFUNCTION("""COMPUTED_VALUE"""),487.1192)</f>
        <v/>
      </c>
      <c r="I262" s="75" t="n"/>
      <c r="J262" s="77">
        <f>IFERROR(__xludf.DUMMYFUNCTION("""COMPUTED_VALUE"""),63.0)</f>
        <v/>
      </c>
      <c r="K262" s="4">
        <f>IFERROR(__xludf.DUMMYFUNCTION("""COMPUTED_VALUE"""),63.0)</f>
        <v/>
      </c>
      <c r="L262" s="77">
        <f>IFERROR(__xludf.DUMMYFUNCTION("""COMPUTED_VALUE"""),63.0)</f>
        <v/>
      </c>
      <c r="O262" s="72" t="n"/>
      <c r="S262" s="4" t="n"/>
    </row>
    <row r="263">
      <c r="A263" s="74">
        <f>IFERROR(__xludf.DUMMYFUNCTION("""COMPUTED_VALUE"""),46142.0)</f>
        <v/>
      </c>
      <c r="B263" s="72">
        <f>IFERROR(__xludf.DUMMYFUNCTION("""COMPUTED_VALUE"""),313.0)</f>
        <v/>
      </c>
      <c r="C263" s="75">
        <f>IFERROR(__xludf.DUMMYFUNCTION("""COMPUTED_VALUE"""),40.0)</f>
        <v/>
      </c>
      <c r="D263" s="75">
        <f>IFERROR(__xludf.DUMMYFUNCTION("""COMPUTED_VALUE"""),"USD")</f>
        <v/>
      </c>
      <c r="E263" s="75">
        <f>IFERROR(__xludf.DUMMYFUNCTION("""COMPUTED_VALUE"""),"Efectivo USD")</f>
        <v/>
      </c>
      <c r="F263" s="75">
        <f>IFERROR(__xludf.DUMMYFUNCTION("""COMPUTED_VALUE"""),"Edgar salas")</f>
        <v/>
      </c>
      <c r="G263" s="76">
        <f>IFERROR(__xludf.DUMMYFUNCTION("""COMPUTED_VALUE"""),"REVERON DE CONTRERAS MELANI AUSMAR")</f>
        <v/>
      </c>
      <c r="H263" s="76">
        <f>IFERROR(__xludf.DUMMYFUNCTION("""COMPUTED_VALUE"""),487.1192)</f>
        <v/>
      </c>
      <c r="I263" s="75" t="n"/>
      <c r="J263" s="77">
        <f>IFERROR(__xludf.DUMMYFUNCTION("""COMPUTED_VALUE"""),40.0)</f>
        <v/>
      </c>
      <c r="K263" s="4">
        <f>IFERROR(__xludf.DUMMYFUNCTION("""COMPUTED_VALUE"""),40.0)</f>
        <v/>
      </c>
      <c r="L263" s="77">
        <f>IFERROR(__xludf.DUMMYFUNCTION("""COMPUTED_VALUE"""),40.0)</f>
        <v/>
      </c>
      <c r="O263" s="72" t="n"/>
      <c r="S263" s="4" t="n"/>
    </row>
    <row r="264">
      <c r="A264" s="74">
        <f>IFERROR(__xludf.DUMMYFUNCTION("""COMPUTED_VALUE"""),46147.0)</f>
        <v/>
      </c>
      <c r="B264" s="72">
        <f>IFERROR(__xludf.DUMMYFUNCTION("""COMPUTED_VALUE"""),323.0)</f>
        <v/>
      </c>
      <c r="C264" s="75">
        <f>IFERROR(__xludf.DUMMYFUNCTION("""COMPUTED_VALUE"""),135.0)</f>
        <v/>
      </c>
      <c r="D264" s="75">
        <f>IFERROR(__xludf.DUMMYFUNCTION("""COMPUTED_VALUE"""),"USD")</f>
        <v/>
      </c>
      <c r="E264" s="75">
        <f>IFERROR(__xludf.DUMMYFUNCTION("""COMPUTED_VALUE"""),"Efectivo USD")</f>
        <v/>
      </c>
      <c r="F264" s="75">
        <f>IFERROR(__xludf.DUMMYFUNCTION("""COMPUTED_VALUE"""),"FREDI MARQUEZ")</f>
        <v/>
      </c>
      <c r="G264" s="76">
        <f>IFERROR(__xludf.DUMMYFUNCTION("""COMPUTED_VALUE"""),"PEREZ DIAZ ANGEL DE DIOS")</f>
        <v/>
      </c>
      <c r="H264" s="76">
        <f>IFERROR(__xludf.DUMMYFUNCTION("""COMPUTED_VALUE"""),490.0442)</f>
        <v/>
      </c>
      <c r="I264" s="75" t="n"/>
      <c r="J264" s="77">
        <f>IFERROR(__xludf.DUMMYFUNCTION("""COMPUTED_VALUE"""),135.0)</f>
        <v/>
      </c>
      <c r="K264" s="4">
        <f>IFERROR(__xludf.DUMMYFUNCTION("""COMPUTED_VALUE"""),135.0)</f>
        <v/>
      </c>
      <c r="L264" s="77">
        <f>IFERROR(__xludf.DUMMYFUNCTION("""COMPUTED_VALUE"""),135.0)</f>
        <v/>
      </c>
      <c r="O264" s="72" t="n"/>
      <c r="S264" s="4" t="n"/>
    </row>
    <row r="265">
      <c r="A265" s="74">
        <f>IFERROR(__xludf.DUMMYFUNCTION("""COMPUTED_VALUE"""),46147.0)</f>
        <v/>
      </c>
      <c r="B265" s="72">
        <f>IFERROR(__xludf.DUMMYFUNCTION("""COMPUTED_VALUE"""),141.0)</f>
        <v/>
      </c>
      <c r="C265" s="75">
        <f>IFERROR(__xludf.DUMMYFUNCTION("""COMPUTED_VALUE"""),100.0)</f>
        <v/>
      </c>
      <c r="D265" s="75">
        <f>IFERROR(__xludf.DUMMYFUNCTION("""COMPUTED_VALUE"""),"USD")</f>
        <v/>
      </c>
      <c r="E265" s="75">
        <f>IFERROR(__xludf.DUMMYFUNCTION("""COMPUTED_VALUE"""),"Efectivo USD")</f>
        <v/>
      </c>
      <c r="F265" s="75">
        <f>IFERROR(__xludf.DUMMYFUNCTION("""COMPUTED_VALUE"""),"Yulendri Carolina Pineda Blanco")</f>
        <v/>
      </c>
      <c r="G265" s="76">
        <f>IFERROR(__xludf.DUMMYFUNCTION("""COMPUTED_VALUE"""),"GRIMAN DIAZ HECTOR EDUARDO")</f>
        <v/>
      </c>
      <c r="H265" s="76">
        <f>IFERROR(__xludf.DUMMYFUNCTION("""COMPUTED_VALUE"""),490.0442)</f>
        <v/>
      </c>
      <c r="I265" s="75" t="n"/>
      <c r="J265" s="77">
        <f>IFERROR(__xludf.DUMMYFUNCTION("""COMPUTED_VALUE"""),100.0)</f>
        <v/>
      </c>
      <c r="K265" s="4">
        <f>IFERROR(__xludf.DUMMYFUNCTION("""COMPUTED_VALUE"""),100.0)</f>
        <v/>
      </c>
      <c r="L265" s="77">
        <f>IFERROR(__xludf.DUMMYFUNCTION("""COMPUTED_VALUE"""),100.0)</f>
        <v/>
      </c>
      <c r="O265" s="72" t="n"/>
      <c r="S265" s="4" t="n"/>
    </row>
    <row r="266">
      <c r="A266" s="74">
        <f>IFERROR(__xludf.DUMMYFUNCTION("""COMPUTED_VALUE"""),46147.0)</f>
        <v/>
      </c>
      <c r="B266" s="72">
        <f>IFERROR(__xludf.DUMMYFUNCTION("""COMPUTED_VALUE"""),69.0)</f>
        <v/>
      </c>
      <c r="C266" s="75">
        <f>IFERROR(__xludf.DUMMYFUNCTION("""COMPUTED_VALUE"""),100.0)</f>
        <v/>
      </c>
      <c r="D266" s="75">
        <f>IFERROR(__xludf.DUMMYFUNCTION("""COMPUTED_VALUE"""),"USD")</f>
        <v/>
      </c>
      <c r="E266" s="75">
        <f>IFERROR(__xludf.DUMMYFUNCTION("""COMPUTED_VALUE"""),"Efectivo USD")</f>
        <v/>
      </c>
      <c r="F266" s="75">
        <f>IFERROR(__xludf.DUMMYFUNCTION("""COMPUTED_VALUE"""),"Katiuska Alejandra Curvelo")</f>
        <v/>
      </c>
      <c r="G266" s="76">
        <f>IFERROR(__xludf.DUMMYFUNCTION("""COMPUTED_VALUE"""),"GRIMAN DIAZ HECTOR EDUARDO")</f>
        <v/>
      </c>
      <c r="H266" s="76">
        <f>IFERROR(__xludf.DUMMYFUNCTION("""COMPUTED_VALUE"""),490.0442)</f>
        <v/>
      </c>
      <c r="I266" s="75" t="n"/>
      <c r="J266" s="77">
        <f>IFERROR(__xludf.DUMMYFUNCTION("""COMPUTED_VALUE"""),100.0)</f>
        <v/>
      </c>
      <c r="K266" s="4">
        <f>IFERROR(__xludf.DUMMYFUNCTION("""COMPUTED_VALUE"""),100.0)</f>
        <v/>
      </c>
      <c r="L266" s="77">
        <f>IFERROR(__xludf.DUMMYFUNCTION("""COMPUTED_VALUE"""),100.0)</f>
        <v/>
      </c>
      <c r="O266" s="72" t="n"/>
      <c r="S266" s="4" t="n"/>
    </row>
    <row r="267">
      <c r="A267" s="74">
        <f>IFERROR(__xludf.DUMMYFUNCTION("""COMPUTED_VALUE"""),46147.0)</f>
        <v/>
      </c>
      <c r="B267" s="72">
        <f>IFERROR(__xludf.DUMMYFUNCTION("""COMPUTED_VALUE"""),314.0)</f>
        <v/>
      </c>
      <c r="C267" s="75">
        <f>IFERROR(__xludf.DUMMYFUNCTION("""COMPUTED_VALUE"""),226.0)</f>
        <v/>
      </c>
      <c r="D267" s="75">
        <f>IFERROR(__xludf.DUMMYFUNCTION("""COMPUTED_VALUE"""),"USD")</f>
        <v/>
      </c>
      <c r="E267" s="75">
        <f>IFERROR(__xludf.DUMMYFUNCTION("""COMPUTED_VALUE"""),"Efectivo USD")</f>
        <v/>
      </c>
      <c r="F267" s="75">
        <f>IFERROR(__xludf.DUMMYFUNCTION("""COMPUTED_VALUE"""),"EMPRENDIMIENTO IRMA RODRIGUEZ 6")</f>
        <v/>
      </c>
      <c r="G267" s="76">
        <f>IFERROR(__xludf.DUMMYFUNCTION("""COMPUTED_VALUE"""),"TORO ARDILES DAVID JOSE")</f>
        <v/>
      </c>
      <c r="H267" s="76">
        <f>IFERROR(__xludf.DUMMYFUNCTION("""COMPUTED_VALUE"""),490.0442)</f>
        <v/>
      </c>
      <c r="I267" s="75" t="n"/>
      <c r="J267" s="77">
        <f>IFERROR(__xludf.DUMMYFUNCTION("""COMPUTED_VALUE"""),226.0)</f>
        <v/>
      </c>
      <c r="K267" s="4">
        <f>IFERROR(__xludf.DUMMYFUNCTION("""COMPUTED_VALUE"""),226.0)</f>
        <v/>
      </c>
      <c r="L267" s="77">
        <f>IFERROR(__xludf.DUMMYFUNCTION("""COMPUTED_VALUE"""),226.0)</f>
        <v/>
      </c>
      <c r="O267" s="72" t="n"/>
      <c r="S267" s="4" t="n"/>
    </row>
    <row r="268">
      <c r="A268" s="74">
        <f>IFERROR(__xludf.DUMMYFUNCTION("""COMPUTED_VALUE"""),46147.0)</f>
        <v/>
      </c>
      <c r="B268" s="72">
        <f>IFERROR(__xludf.DUMMYFUNCTION("""COMPUTED_VALUE"""),142.0)</f>
        <v/>
      </c>
      <c r="C268" s="75">
        <f>IFERROR(__xludf.DUMMYFUNCTION("""COMPUTED_VALUE"""),90.0)</f>
        <v/>
      </c>
      <c r="D268" s="75">
        <f>IFERROR(__xludf.DUMMYFUNCTION("""COMPUTED_VALUE"""),"USD")</f>
        <v/>
      </c>
      <c r="E268" s="75">
        <f>IFERROR(__xludf.DUMMYFUNCTION("""COMPUTED_VALUE"""),"Zelle")</f>
        <v/>
      </c>
      <c r="F268" s="75">
        <f>IFERROR(__xludf.DUMMYFUNCTION("""COMPUTED_VALUE"""),"LOGISTICA Y CONSULTORIA VINCARS, C.A.")</f>
        <v/>
      </c>
      <c r="G268" s="76">
        <f>IFERROR(__xludf.DUMMYFUNCTION("""COMPUTED_VALUE"""),"TORO ARDILES DAVID JOSE")</f>
        <v/>
      </c>
      <c r="H268" s="76">
        <f>IFERROR(__xludf.DUMMYFUNCTION("""COMPUTED_VALUE"""),490.0442)</f>
        <v/>
      </c>
      <c r="I268" s="75" t="n"/>
      <c r="J268" s="77">
        <f>IFERROR(__xludf.DUMMYFUNCTION("""COMPUTED_VALUE"""),90.0)</f>
        <v/>
      </c>
      <c r="K268" s="4">
        <f>IFERROR(__xludf.DUMMYFUNCTION("""COMPUTED_VALUE"""),90.0)</f>
        <v/>
      </c>
      <c r="L268" s="77">
        <f>IFERROR(__xludf.DUMMYFUNCTION("""COMPUTED_VALUE"""),90.0)</f>
        <v/>
      </c>
      <c r="O268" s="72" t="n"/>
      <c r="S268" s="4" t="n"/>
    </row>
    <row r="269">
      <c r="A269" s="74">
        <f>IFERROR(__xludf.DUMMYFUNCTION("""COMPUTED_VALUE"""),46147.0)</f>
        <v/>
      </c>
      <c r="B269" s="72">
        <f>IFERROR(__xludf.DUMMYFUNCTION("""COMPUTED_VALUE"""),142.0)</f>
        <v/>
      </c>
      <c r="C269" s="75">
        <f>IFERROR(__xludf.DUMMYFUNCTION("""COMPUTED_VALUE"""),49.0)</f>
        <v/>
      </c>
      <c r="D269" s="75">
        <f>IFERROR(__xludf.DUMMYFUNCTION("""COMPUTED_VALUE"""),"USD")</f>
        <v/>
      </c>
      <c r="E269" s="75">
        <f>IFERROR(__xludf.DUMMYFUNCTION("""COMPUTED_VALUE"""),"Zelle")</f>
        <v/>
      </c>
      <c r="F269" s="75">
        <f>IFERROR(__xludf.DUMMYFUNCTION("""COMPUTED_VALUE"""),"LOGISTICA Y CONSULTORIA VINCARS, C.A.")</f>
        <v/>
      </c>
      <c r="G269" s="76">
        <f>IFERROR(__xludf.DUMMYFUNCTION("""COMPUTED_VALUE"""),"TORO ARDILES DAVID JOSE")</f>
        <v/>
      </c>
      <c r="H269" s="76">
        <f>IFERROR(__xludf.DUMMYFUNCTION("""COMPUTED_VALUE"""),490.0442)</f>
        <v/>
      </c>
      <c r="I269" s="75" t="n"/>
      <c r="J269" s="77">
        <f>IFERROR(__xludf.DUMMYFUNCTION("""COMPUTED_VALUE"""),49.0)</f>
        <v/>
      </c>
      <c r="K269" s="4">
        <f>IFERROR(__xludf.DUMMYFUNCTION("""COMPUTED_VALUE"""),49.0)</f>
        <v/>
      </c>
      <c r="L269" s="77">
        <f>IFERROR(__xludf.DUMMYFUNCTION("""COMPUTED_VALUE"""),49.0)</f>
        <v/>
      </c>
      <c r="O269" s="72" t="n"/>
      <c r="S269" s="4" t="n"/>
    </row>
    <row r="270">
      <c r="A270" s="74">
        <f>IFERROR(__xludf.DUMMYFUNCTION("""COMPUTED_VALUE"""),46147.0)</f>
        <v/>
      </c>
      <c r="B270" s="72">
        <f>IFERROR(__xludf.DUMMYFUNCTION("""COMPUTED_VALUE"""),60.0)</f>
        <v/>
      </c>
      <c r="C270" s="75">
        <f>IFERROR(__xludf.DUMMYFUNCTION("""COMPUTED_VALUE"""),190.0)</f>
        <v/>
      </c>
      <c r="D270" s="75">
        <f>IFERROR(__xludf.DUMMYFUNCTION("""COMPUTED_VALUE"""),"USD")</f>
        <v/>
      </c>
      <c r="E270" s="75">
        <f>IFERROR(__xludf.DUMMYFUNCTION("""COMPUTED_VALUE"""),"Efectivo USD")</f>
        <v/>
      </c>
      <c r="F270" s="75">
        <f>IFERROR(__xludf.DUMMYFUNCTION("""COMPUTED_VALUE"""),"INVERSIONES R&amp;C 1817,  c.a.")</f>
        <v/>
      </c>
      <c r="G270" s="76">
        <f>IFERROR(__xludf.DUMMYFUNCTION("""COMPUTED_VALUE"""),"VILLABONA CORREA ALBA ESTEFANIA")</f>
        <v/>
      </c>
      <c r="H270" s="76">
        <f>IFERROR(__xludf.DUMMYFUNCTION("""COMPUTED_VALUE"""),490.0442)</f>
        <v/>
      </c>
      <c r="I270" s="75" t="n"/>
      <c r="J270" s="77">
        <f>IFERROR(__xludf.DUMMYFUNCTION("""COMPUTED_VALUE"""),190.0)</f>
        <v/>
      </c>
      <c r="K270" s="4">
        <f>IFERROR(__xludf.DUMMYFUNCTION("""COMPUTED_VALUE"""),190.0)</f>
        <v/>
      </c>
      <c r="L270" s="77">
        <f>IFERROR(__xludf.DUMMYFUNCTION("""COMPUTED_VALUE"""),190.0)</f>
        <v/>
      </c>
      <c r="O270" s="72" t="n"/>
      <c r="S270" s="4" t="n"/>
    </row>
    <row r="271">
      <c r="A271" s="74">
        <f>IFERROR(__xludf.DUMMYFUNCTION("""COMPUTED_VALUE"""),46147.0)</f>
        <v/>
      </c>
      <c r="B271" s="72">
        <f>IFERROR(__xludf.DUMMYFUNCTION("""COMPUTED_VALUE"""),82.0)</f>
        <v/>
      </c>
      <c r="C271" s="75">
        <f>IFERROR(__xludf.DUMMYFUNCTION("""COMPUTED_VALUE"""),100.0)</f>
        <v/>
      </c>
      <c r="D271" s="75">
        <f>IFERROR(__xludf.DUMMYFUNCTION("""COMPUTED_VALUE"""),"USD")</f>
        <v/>
      </c>
      <c r="E271" s="75">
        <f>IFERROR(__xludf.DUMMYFUNCTION("""COMPUTED_VALUE"""),"Efectivo USD")</f>
        <v/>
      </c>
      <c r="F271" s="75">
        <f>IFERROR(__xludf.DUMMYFUNCTION("""COMPUTED_VALUE"""),"Pedro Castro")</f>
        <v/>
      </c>
      <c r="G271" s="76">
        <f>IFERROR(__xludf.DUMMYFUNCTION("""COMPUTED_VALUE"""),"BETANCOURT ROBRIGUEZ LUIS ENRRIQUE")</f>
        <v/>
      </c>
      <c r="H271" s="76">
        <f>IFERROR(__xludf.DUMMYFUNCTION("""COMPUTED_VALUE"""),490.0442)</f>
        <v/>
      </c>
      <c r="I271" s="75" t="n"/>
      <c r="J271" s="77">
        <f>IFERROR(__xludf.DUMMYFUNCTION("""COMPUTED_VALUE"""),100.0)</f>
        <v/>
      </c>
      <c r="K271" s="4">
        <f>IFERROR(__xludf.DUMMYFUNCTION("""COMPUTED_VALUE"""),100.0)</f>
        <v/>
      </c>
      <c r="L271" s="77">
        <f>IFERROR(__xludf.DUMMYFUNCTION("""COMPUTED_VALUE"""),100.0)</f>
        <v/>
      </c>
      <c r="O271" s="72" t="n"/>
      <c r="S271" s="4" t="n"/>
    </row>
    <row r="272">
      <c r="A272" s="74">
        <f>IFERROR(__xludf.DUMMYFUNCTION("""COMPUTED_VALUE"""),46148.0)</f>
        <v/>
      </c>
      <c r="B272" s="72">
        <f>IFERROR(__xludf.DUMMYFUNCTION("""COMPUTED_VALUE"""),186.0)</f>
        <v/>
      </c>
      <c r="C272" s="75">
        <f>IFERROR(__xludf.DUMMYFUNCTION("""COMPUTED_VALUE"""),40.0)</f>
        <v/>
      </c>
      <c r="D272" s="75">
        <f>IFERROR(__xludf.DUMMYFUNCTION("""COMPUTED_VALUE"""),"USD")</f>
        <v/>
      </c>
      <c r="E272" s="75">
        <f>IFERROR(__xludf.DUMMYFUNCTION("""COMPUTED_VALUE"""),"Efectivo USD")</f>
        <v/>
      </c>
      <c r="F272" s="75">
        <f>IFERROR(__xludf.DUMMYFUNCTION("""COMPUTED_VALUE"""),"Cauchos y Suministros Camacho C.A")</f>
        <v/>
      </c>
      <c r="G272" s="76">
        <f>IFERROR(__xludf.DUMMYFUNCTION("""COMPUTED_VALUE"""),"GRIMAN DIAZ HECTOR EDUARDO")</f>
        <v/>
      </c>
      <c r="H272" s="76">
        <f>IFERROR(__xludf.DUMMYFUNCTION("""COMPUTED_VALUE"""),493.3765)</f>
        <v/>
      </c>
      <c r="I272" s="75" t="n"/>
      <c r="J272" s="77">
        <f>IFERROR(__xludf.DUMMYFUNCTION("""COMPUTED_VALUE"""),40.0)</f>
        <v/>
      </c>
      <c r="K272" s="4">
        <f>IFERROR(__xludf.DUMMYFUNCTION("""COMPUTED_VALUE"""),40.0)</f>
        <v/>
      </c>
      <c r="L272" s="77">
        <f>IFERROR(__xludf.DUMMYFUNCTION("""COMPUTED_VALUE"""),40.0)</f>
        <v/>
      </c>
      <c r="O272" s="72" t="n"/>
      <c r="S272" s="4" t="n"/>
    </row>
    <row r="273">
      <c r="A273" s="74">
        <f>IFERROR(__xludf.DUMMYFUNCTION("""COMPUTED_VALUE"""),46148.0)</f>
        <v/>
      </c>
      <c r="B273" s="72">
        <f>IFERROR(__xludf.DUMMYFUNCTION("""COMPUTED_VALUE"""),145.0)</f>
        <v/>
      </c>
      <c r="C273" s="75">
        <f>IFERROR(__xludf.DUMMYFUNCTION("""COMPUTED_VALUE"""),100.0)</f>
        <v/>
      </c>
      <c r="D273" s="75">
        <f>IFERROR(__xludf.DUMMYFUNCTION("""COMPUTED_VALUE"""),"USD")</f>
        <v/>
      </c>
      <c r="E273" s="75">
        <f>IFERROR(__xludf.DUMMYFUNCTION("""COMPUTED_VALUE"""),"Efectivo")</f>
        <v/>
      </c>
      <c r="F273" s="75">
        <f>IFERROR(__xludf.DUMMYFUNCTION("""COMPUTED_VALUE"""),"La cámara perfecta")</f>
        <v/>
      </c>
      <c r="G273" s="76">
        <f>IFERROR(__xludf.DUMMYFUNCTION("""COMPUTED_VALUE"""),"PEREZ DIAZ ANGEL DE DIOS")</f>
        <v/>
      </c>
      <c r="H273" s="76">
        <f>IFERROR(__xludf.DUMMYFUNCTION("""COMPUTED_VALUE"""),493.3765)</f>
        <v/>
      </c>
      <c r="I273" s="75" t="n"/>
      <c r="J273" s="77">
        <f>IFERROR(__xludf.DUMMYFUNCTION("""COMPUTED_VALUE"""),100.0)</f>
        <v/>
      </c>
      <c r="K273" s="4">
        <f>IFERROR(__xludf.DUMMYFUNCTION("""COMPUTED_VALUE"""),100.0)</f>
        <v/>
      </c>
      <c r="L273" s="77">
        <f>IFERROR(__xludf.DUMMYFUNCTION("""COMPUTED_VALUE"""),100.0)</f>
        <v/>
      </c>
      <c r="O273" s="72" t="n"/>
      <c r="S273" s="4" t="n"/>
    </row>
    <row r="274">
      <c r="A274" s="74">
        <f>IFERROR(__xludf.DUMMYFUNCTION("""COMPUTED_VALUE"""),46148.0)</f>
        <v/>
      </c>
      <c r="B274" s="72">
        <f>IFERROR(__xludf.DUMMYFUNCTION("""COMPUTED_VALUE"""),146.0)</f>
        <v/>
      </c>
      <c r="C274" s="75">
        <f>IFERROR(__xludf.DUMMYFUNCTION("""COMPUTED_VALUE"""),900.0)</f>
        <v/>
      </c>
      <c r="D274" s="75">
        <f>IFERROR(__xludf.DUMMYFUNCTION("""COMPUTED_VALUE"""),"USD")</f>
        <v/>
      </c>
      <c r="E274" s="75">
        <f>IFERROR(__xludf.DUMMYFUNCTION("""COMPUTED_VALUE"""),"Efectivo USD")</f>
        <v/>
      </c>
      <c r="F274" s="75">
        <f>IFERROR(__xludf.DUMMYFUNCTION("""COMPUTED_VALUE"""),"Alexander Quiroz")</f>
        <v/>
      </c>
      <c r="G274" s="76">
        <f>IFERROR(__xludf.DUMMYFUNCTION("""COMPUTED_VALUE"""),"BETANCOURT ROBRIGUEZ LUIS ENRRIQUE")</f>
        <v/>
      </c>
      <c r="H274" s="76">
        <f>IFERROR(__xludf.DUMMYFUNCTION("""COMPUTED_VALUE"""),493.3765)</f>
        <v/>
      </c>
      <c r="I274" s="75" t="n"/>
      <c r="J274" s="77">
        <f>IFERROR(__xludf.DUMMYFUNCTION("""COMPUTED_VALUE"""),900.0)</f>
        <v/>
      </c>
      <c r="K274" s="4">
        <f>IFERROR(__xludf.DUMMYFUNCTION("""COMPUTED_VALUE"""),900.0)</f>
        <v/>
      </c>
      <c r="L274" s="77">
        <f>IFERROR(__xludf.DUMMYFUNCTION("""COMPUTED_VALUE"""),900.0)</f>
        <v/>
      </c>
      <c r="O274" s="72" t="n"/>
      <c r="S274" s="4" t="n"/>
    </row>
    <row r="275">
      <c r="A275" s="74">
        <f>IFERROR(__xludf.DUMMYFUNCTION("""COMPUTED_VALUE"""),46148.0)</f>
        <v/>
      </c>
      <c r="B275" s="72">
        <f>IFERROR(__xludf.DUMMYFUNCTION("""COMPUTED_VALUE"""),322.0)</f>
        <v/>
      </c>
      <c r="C275" s="75">
        <f>IFERROR(__xludf.DUMMYFUNCTION("""COMPUTED_VALUE"""),48318.36)</f>
        <v/>
      </c>
      <c r="D275" s="75">
        <f>IFERROR(__xludf.DUMMYFUNCTION("""COMPUTED_VALUE"""),"VES")</f>
        <v/>
      </c>
      <c r="E275" s="75">
        <f>IFERROR(__xludf.DUMMYFUNCTION("""COMPUTED_VALUE"""),"Bancamiga")</f>
        <v/>
      </c>
      <c r="F275" s="75">
        <f>IFERROR(__xludf.DUMMYFUNCTION("""COMPUTED_VALUE"""),"ZIP MARKET, CA")</f>
        <v/>
      </c>
      <c r="G275" s="76">
        <f>IFERROR(__xludf.DUMMYFUNCTION("""COMPUTED_VALUE"""),"QUEVEDO BASTIDAS NEYKEL DAVID")</f>
        <v/>
      </c>
      <c r="H275" s="76">
        <f>IFERROR(__xludf.DUMMYFUNCTION("""COMPUTED_VALUE"""),493.3765)</f>
        <v/>
      </c>
      <c r="I275" s="75" t="n"/>
      <c r="J275" s="77">
        <f>IFERROR(__xludf.DUMMYFUNCTION("""COMPUTED_VALUE"""),97.93405239203732)</f>
        <v/>
      </c>
      <c r="K275" s="4">
        <f>IFERROR(__xludf.DUMMYFUNCTION("""COMPUTED_VALUE"""),0.0)</f>
        <v/>
      </c>
      <c r="L275" s="77">
        <f>IFERROR(__xludf.DUMMYFUNCTION("""COMPUTED_VALUE"""),97.93405239203732)</f>
        <v/>
      </c>
      <c r="O275" s="72" t="n"/>
      <c r="S275" s="4" t="n"/>
    </row>
    <row r="276">
      <c r="A276" s="74">
        <f>IFERROR(__xludf.DUMMYFUNCTION("""COMPUTED_VALUE"""),46149.0)</f>
        <v/>
      </c>
      <c r="B276" s="72">
        <f>IFERROR(__xludf.DUMMYFUNCTION("""COMPUTED_VALUE"""),231.0)</f>
        <v/>
      </c>
      <c r="C276" s="75">
        <f>IFERROR(__xludf.DUMMYFUNCTION("""COMPUTED_VALUE"""),100.0)</f>
        <v/>
      </c>
      <c r="D276" s="75">
        <f>IFERROR(__xludf.DUMMYFUNCTION("""COMPUTED_VALUE"""),"USD")</f>
        <v/>
      </c>
      <c r="E276" s="75">
        <f>IFERROR(__xludf.DUMMYFUNCTION("""COMPUTED_VALUE"""),"Efectivo USD")</f>
        <v/>
      </c>
      <c r="F276" s="75">
        <f>IFERROR(__xludf.DUMMYFUNCTION("""COMPUTED_VALUE"""),"Constructora  Campo Urbano,c.a.")</f>
        <v/>
      </c>
      <c r="G276" s="76">
        <f>IFERROR(__xludf.DUMMYFUNCTION("""COMPUTED_VALUE"""),"GRIMAN DIAZ HECTOR EDUARDO")</f>
        <v/>
      </c>
      <c r="H276" s="76">
        <f>IFERROR(__xludf.DUMMYFUNCTION("""COMPUTED_VALUE"""),496.8301)</f>
        <v/>
      </c>
      <c r="I276" s="75" t="n"/>
      <c r="J276" s="77">
        <f>IFERROR(__xludf.DUMMYFUNCTION("""COMPUTED_VALUE"""),100.0)</f>
        <v/>
      </c>
      <c r="K276" s="4">
        <f>IFERROR(__xludf.DUMMYFUNCTION("""COMPUTED_VALUE"""),100.0)</f>
        <v/>
      </c>
      <c r="L276" s="77">
        <f>IFERROR(__xludf.DUMMYFUNCTION("""COMPUTED_VALUE"""),100.0)</f>
        <v/>
      </c>
      <c r="O276" s="72" t="n"/>
      <c r="S276" s="4" t="n"/>
    </row>
    <row r="277">
      <c r="A277" s="74">
        <f>IFERROR(__xludf.DUMMYFUNCTION("""COMPUTED_VALUE"""),46149.0)</f>
        <v/>
      </c>
      <c r="B277" s="72">
        <f>IFERROR(__xludf.DUMMYFUNCTION("""COMPUTED_VALUE"""),36.0)</f>
        <v/>
      </c>
      <c r="C277" s="75">
        <f>IFERROR(__xludf.DUMMYFUNCTION("""COMPUTED_VALUE"""),2870.89)</f>
        <v/>
      </c>
      <c r="D277" s="75">
        <f>IFERROR(__xludf.DUMMYFUNCTION("""COMPUTED_VALUE"""),"VES")</f>
        <v/>
      </c>
      <c r="E277" s="75">
        <f>IFERROR(__xludf.DUMMYFUNCTION("""COMPUTED_VALUE"""),"Bancamiga")</f>
        <v/>
      </c>
      <c r="F277" s="75">
        <f>IFERROR(__xludf.DUMMYFUNCTION("""COMPUTED_VALUE"""),"inversiones El Gran Charles C.A")</f>
        <v/>
      </c>
      <c r="G277" s="76">
        <f>IFERROR(__xludf.DUMMYFUNCTION("""COMPUTED_VALUE"""),"GRIMAN DIAZ HECTOR EDUARDO")</f>
        <v/>
      </c>
      <c r="H277" s="76">
        <f>IFERROR(__xludf.DUMMYFUNCTION("""COMPUTED_VALUE"""),496.8301)</f>
        <v/>
      </c>
      <c r="I277" s="75" t="n"/>
      <c r="J277" s="77">
        <f>IFERROR(__xludf.DUMMYFUNCTION("""COMPUTED_VALUE"""),5.778413989007509)</f>
        <v/>
      </c>
      <c r="K277" s="4">
        <f>IFERROR(__xludf.DUMMYFUNCTION("""COMPUTED_VALUE"""),0.0)</f>
        <v/>
      </c>
      <c r="L277" s="77">
        <f>IFERROR(__xludf.DUMMYFUNCTION("""COMPUTED_VALUE"""),5.778413989007509)</f>
        <v/>
      </c>
      <c r="O277" s="72" t="n"/>
      <c r="S277" s="4" t="n"/>
    </row>
    <row r="278">
      <c r="A278" s="74">
        <f>IFERROR(__xludf.DUMMYFUNCTION("""COMPUTED_VALUE"""),46149.0)</f>
        <v/>
      </c>
      <c r="B278" s="72">
        <f>IFERROR(__xludf.DUMMYFUNCTION("""COMPUTED_VALUE"""),36.0)</f>
        <v/>
      </c>
      <c r="C278" s="75">
        <f>IFERROR(__xludf.DUMMYFUNCTION("""COMPUTED_VALUE"""),25831.0)</f>
        <v/>
      </c>
      <c r="D278" s="75">
        <f>IFERROR(__xludf.DUMMYFUNCTION("""COMPUTED_VALUE"""),"VES")</f>
        <v/>
      </c>
      <c r="E278" s="75">
        <f>IFERROR(__xludf.DUMMYFUNCTION("""COMPUTED_VALUE"""),"Bancamiga")</f>
        <v/>
      </c>
      <c r="F278" s="75">
        <f>IFERROR(__xludf.DUMMYFUNCTION("""COMPUTED_VALUE"""),"inversiones El Gran Charles C.A")</f>
        <v/>
      </c>
      <c r="G278" s="76">
        <f>IFERROR(__xludf.DUMMYFUNCTION("""COMPUTED_VALUE"""),"GRIMAN DIAZ HECTOR EDUARDO")</f>
        <v/>
      </c>
      <c r="H278" s="76">
        <f>IFERROR(__xludf.DUMMYFUNCTION("""COMPUTED_VALUE"""),496.8301)</f>
        <v/>
      </c>
      <c r="I278" s="75" t="n"/>
      <c r="J278" s="77">
        <f>IFERROR(__xludf.DUMMYFUNCTION("""COMPUTED_VALUE"""),51.99161644996951)</f>
        <v/>
      </c>
      <c r="K278" s="4">
        <f>IFERROR(__xludf.DUMMYFUNCTION("""COMPUTED_VALUE"""),0.0)</f>
        <v/>
      </c>
      <c r="L278" s="77">
        <f>IFERROR(__xludf.DUMMYFUNCTION("""COMPUTED_VALUE"""),51.99161644996951)</f>
        <v/>
      </c>
      <c r="O278" s="72" t="n"/>
      <c r="S278" s="4" t="n"/>
    </row>
    <row r="279">
      <c r="A279" s="74">
        <f>IFERROR(__xludf.DUMMYFUNCTION("""COMPUTED_VALUE"""),46149.0)</f>
        <v/>
      </c>
      <c r="B279" s="72">
        <f>IFERROR(__xludf.DUMMYFUNCTION("""COMPUTED_VALUE"""),145.0)</f>
        <v/>
      </c>
      <c r="C279" s="75">
        <f>IFERROR(__xludf.DUMMYFUNCTION("""COMPUTED_VALUE"""),131208.0)</f>
        <v/>
      </c>
      <c r="D279" s="75">
        <f>IFERROR(__xludf.DUMMYFUNCTION("""COMPUTED_VALUE"""),"VES")</f>
        <v/>
      </c>
      <c r="E279" s="75">
        <f>IFERROR(__xludf.DUMMYFUNCTION("""COMPUTED_VALUE"""),"Bancamiga")</f>
        <v/>
      </c>
      <c r="F279" s="75">
        <f>IFERROR(__xludf.DUMMYFUNCTION("""COMPUTED_VALUE"""),"La cámara perfecta")</f>
        <v/>
      </c>
      <c r="G279" s="76">
        <f>IFERROR(__xludf.DUMMYFUNCTION("""COMPUTED_VALUE"""),"PEREZ DIAZ ANGEL DE DIOS")</f>
        <v/>
      </c>
      <c r="H279" s="76">
        <f>IFERROR(__xludf.DUMMYFUNCTION("""COMPUTED_VALUE"""),496.8301)</f>
        <v/>
      </c>
      <c r="I279" s="75" t="n"/>
      <c r="J279" s="77">
        <f>IFERROR(__xludf.DUMMYFUNCTION("""COMPUTED_VALUE"""),264.09027955431844)</f>
        <v/>
      </c>
      <c r="K279" s="4">
        <f>IFERROR(__xludf.DUMMYFUNCTION("""COMPUTED_VALUE"""),0.0)</f>
        <v/>
      </c>
      <c r="L279" s="77">
        <f>IFERROR(__xludf.DUMMYFUNCTION("""COMPUTED_VALUE"""),264.09027955431844)</f>
        <v/>
      </c>
      <c r="O279" s="72" t="n"/>
      <c r="S279" s="4" t="n"/>
    </row>
    <row r="280">
      <c r="A280" s="74">
        <f>IFERROR(__xludf.DUMMYFUNCTION("""COMPUTED_VALUE"""),46149.0)</f>
        <v/>
      </c>
      <c r="B280" s="72">
        <f>IFERROR(__xludf.DUMMYFUNCTION("""COMPUTED_VALUE"""),128.0)</f>
        <v/>
      </c>
      <c r="C280" s="75">
        <f>IFERROR(__xludf.DUMMYFUNCTION("""COMPUTED_VALUE"""),50.0)</f>
        <v/>
      </c>
      <c r="D280" s="75">
        <f>IFERROR(__xludf.DUMMYFUNCTION("""COMPUTED_VALUE"""),"USD")</f>
        <v/>
      </c>
      <c r="E280" s="75">
        <f>IFERROR(__xludf.DUMMYFUNCTION("""COMPUTED_VALUE"""),"Efectivo USD")</f>
        <v/>
      </c>
      <c r="F280" s="75">
        <f>IFERROR(__xludf.DUMMYFUNCTION("""COMPUTED_VALUE"""),"Multiservicios Gre-orio2022 c.a")</f>
        <v/>
      </c>
      <c r="G280" s="76">
        <f>IFERROR(__xludf.DUMMYFUNCTION("""COMPUTED_VALUE"""),"BETANCOURT ROBRIGUEZ LUIS ENRRIQUE")</f>
        <v/>
      </c>
      <c r="H280" s="76">
        <f>IFERROR(__xludf.DUMMYFUNCTION("""COMPUTED_VALUE"""),496.8301)</f>
        <v/>
      </c>
      <c r="I280" s="75" t="n"/>
      <c r="J280" s="77">
        <f>IFERROR(__xludf.DUMMYFUNCTION("""COMPUTED_VALUE"""),50.0)</f>
        <v/>
      </c>
      <c r="K280" s="4">
        <f>IFERROR(__xludf.DUMMYFUNCTION("""COMPUTED_VALUE"""),50.0)</f>
        <v/>
      </c>
      <c r="L280" s="77">
        <f>IFERROR(__xludf.DUMMYFUNCTION("""COMPUTED_VALUE"""),50.0)</f>
        <v/>
      </c>
      <c r="O280" s="72" t="n"/>
      <c r="S280" s="4" t="n"/>
    </row>
    <row r="281">
      <c r="A281" s="74">
        <f>IFERROR(__xludf.DUMMYFUNCTION("""COMPUTED_VALUE"""),46149.0)</f>
        <v/>
      </c>
      <c r="B281" s="72">
        <f>IFERROR(__xludf.DUMMYFUNCTION("""COMPUTED_VALUE"""),265.0)</f>
        <v/>
      </c>
      <c r="C281" s="75">
        <f>IFERROR(__xludf.DUMMYFUNCTION("""COMPUTED_VALUE"""),30.0)</f>
        <v/>
      </c>
      <c r="D281" s="75">
        <f>IFERROR(__xludf.DUMMYFUNCTION("""COMPUTED_VALUE"""),"USD")</f>
        <v/>
      </c>
      <c r="E281" s="75">
        <f>IFERROR(__xludf.DUMMYFUNCTION("""COMPUTED_VALUE"""),"Efectivo USD")</f>
        <v/>
      </c>
      <c r="F281" s="75">
        <f>IFERROR(__xludf.DUMMYFUNCTION("""COMPUTED_VALUE"""),"Repuestos Guia Dios Nuestro Camino,c.a.")</f>
        <v/>
      </c>
      <c r="G281" s="76">
        <f>IFERROR(__xludf.DUMMYFUNCTION("""COMPUTED_VALUE"""),"QUEVEDO BASTIDAS NEYKEL DAVID")</f>
        <v/>
      </c>
      <c r="H281" s="76">
        <f>IFERROR(__xludf.DUMMYFUNCTION("""COMPUTED_VALUE"""),496.8301)</f>
        <v/>
      </c>
      <c r="I281" s="75" t="n"/>
      <c r="J281" s="77">
        <f>IFERROR(__xludf.DUMMYFUNCTION("""COMPUTED_VALUE"""),30.0)</f>
        <v/>
      </c>
      <c r="K281" s="4">
        <f>IFERROR(__xludf.DUMMYFUNCTION("""COMPUTED_VALUE"""),30.0)</f>
        <v/>
      </c>
      <c r="L281" s="77">
        <f>IFERROR(__xludf.DUMMYFUNCTION("""COMPUTED_VALUE"""),30.0)</f>
        <v/>
      </c>
      <c r="O281" s="72" t="n"/>
      <c r="S281" s="4" t="n"/>
    </row>
    <row r="282">
      <c r="A282" s="74">
        <f>IFERROR(__xludf.DUMMYFUNCTION("""COMPUTED_VALUE"""),46149.0)</f>
        <v/>
      </c>
      <c r="B282" s="72">
        <f>IFERROR(__xludf.DUMMYFUNCTION("""COMPUTED_VALUE"""),143.0)</f>
        <v/>
      </c>
      <c r="C282" s="75">
        <f>IFERROR(__xludf.DUMMYFUNCTION("""COMPUTED_VALUE"""),50.0)</f>
        <v/>
      </c>
      <c r="D282" s="75">
        <f>IFERROR(__xludf.DUMMYFUNCTION("""COMPUTED_VALUE"""),"USD")</f>
        <v/>
      </c>
      <c r="E282" s="75">
        <f>IFERROR(__xludf.DUMMYFUNCTION("""COMPUTED_VALUE"""),"Efectivo USD")</f>
        <v/>
      </c>
      <c r="F282" s="75">
        <f>IFERROR(__xludf.DUMMYFUNCTION("""COMPUTED_VALUE"""),"MOTOREPUESTOS EL GUANÁBANO YRM C.A.")</f>
        <v/>
      </c>
      <c r="G282" s="76">
        <f>IFERROR(__xludf.DUMMYFUNCTION("""COMPUTED_VALUE"""),"TORO ARDILES DAVID JOSE")</f>
        <v/>
      </c>
      <c r="H282" s="76">
        <f>IFERROR(__xludf.DUMMYFUNCTION("""COMPUTED_VALUE"""),496.8301)</f>
        <v/>
      </c>
      <c r="I282" s="75" t="n"/>
      <c r="J282" s="77">
        <f>IFERROR(__xludf.DUMMYFUNCTION("""COMPUTED_VALUE"""),50.0)</f>
        <v/>
      </c>
      <c r="K282" s="4">
        <f>IFERROR(__xludf.DUMMYFUNCTION("""COMPUTED_VALUE"""),50.0)</f>
        <v/>
      </c>
      <c r="L282" s="77">
        <f>IFERROR(__xludf.DUMMYFUNCTION("""COMPUTED_VALUE"""),50.0)</f>
        <v/>
      </c>
      <c r="O282" s="72" t="n"/>
      <c r="S282" s="4" t="n"/>
    </row>
    <row r="283">
      <c r="A283" s="74">
        <f>IFERROR(__xludf.DUMMYFUNCTION("""COMPUTED_VALUE"""),46150.0)</f>
        <v/>
      </c>
      <c r="B283" s="72">
        <f>IFERROR(__xludf.DUMMYFUNCTION("""COMPUTED_VALUE"""),212.0)</f>
        <v/>
      </c>
      <c r="C283" s="75">
        <f>IFERROR(__xludf.DUMMYFUNCTION("""COMPUTED_VALUE"""),14995.8)</f>
        <v/>
      </c>
      <c r="D283" s="75">
        <f>IFERROR(__xludf.DUMMYFUNCTION("""COMPUTED_VALUE"""),"VES")</f>
        <v/>
      </c>
      <c r="E283" s="75">
        <f>IFERROR(__xludf.DUMMYFUNCTION("""COMPUTED_VALUE"""),"Bancamiga")</f>
        <v/>
      </c>
      <c r="F283" s="75">
        <f>IFERROR(__xludf.DUMMYFUNCTION("""COMPUTED_VALUE"""),"Inversiones DSM 2706, c.a.")</f>
        <v/>
      </c>
      <c r="G283" s="76">
        <f>IFERROR(__xludf.DUMMYFUNCTION("""COMPUTED_VALUE"""),"VILLABONA CORREA ALBA ESTEFANIA")</f>
        <v/>
      </c>
      <c r="H283" s="76">
        <f>IFERROR(__xludf.DUMMYFUNCTION("""COMPUTED_VALUE"""),499.8608)</f>
        <v/>
      </c>
      <c r="I283" s="75" t="n"/>
      <c r="J283" s="77">
        <f>IFERROR(__xludf.DUMMYFUNCTION("""COMPUTED_VALUE"""),29.99995198663308)</f>
        <v/>
      </c>
      <c r="K283" s="4">
        <f>IFERROR(__xludf.DUMMYFUNCTION("""COMPUTED_VALUE"""),0.0)</f>
        <v/>
      </c>
      <c r="L283" s="77">
        <f>IFERROR(__xludf.DUMMYFUNCTION("""COMPUTED_VALUE"""),29.99995198663308)</f>
        <v/>
      </c>
      <c r="O283" s="72" t="n"/>
      <c r="S283" s="4" t="n"/>
    </row>
    <row r="284">
      <c r="A284" s="74">
        <f>IFERROR(__xludf.DUMMYFUNCTION("""COMPUTED_VALUE"""),46150.0)</f>
        <v/>
      </c>
      <c r="B284" s="72">
        <f>IFERROR(__xludf.DUMMYFUNCTION("""COMPUTED_VALUE"""),118.0)</f>
        <v/>
      </c>
      <c r="C284" s="75">
        <f>IFERROR(__xludf.DUMMYFUNCTION("""COMPUTED_VALUE"""),20.0)</f>
        <v/>
      </c>
      <c r="D284" s="75">
        <f>IFERROR(__xludf.DUMMYFUNCTION("""COMPUTED_VALUE"""),"USD")</f>
        <v/>
      </c>
      <c r="E284" s="75">
        <f>IFERROR(__xludf.DUMMYFUNCTION("""COMPUTED_VALUE"""),"Efectivo USD")</f>
        <v/>
      </c>
      <c r="F284" s="75">
        <f>IFERROR(__xludf.DUMMYFUNCTION("""COMPUTED_VALUE"""),"ELIVAN2025, C.A")</f>
        <v/>
      </c>
      <c r="G284" s="76">
        <f>IFERROR(__xludf.DUMMYFUNCTION("""COMPUTED_VALUE"""),"VILLABONA CORREA ALBA ESTEFANIA")</f>
        <v/>
      </c>
      <c r="H284" s="76">
        <f>IFERROR(__xludf.DUMMYFUNCTION("""COMPUTED_VALUE"""),499.8608)</f>
        <v/>
      </c>
      <c r="I284" s="75" t="n"/>
      <c r="J284" s="77">
        <f>IFERROR(__xludf.DUMMYFUNCTION("""COMPUTED_VALUE"""),20.0)</f>
        <v/>
      </c>
      <c r="K284" s="4">
        <f>IFERROR(__xludf.DUMMYFUNCTION("""COMPUTED_VALUE"""),20.0)</f>
        <v/>
      </c>
      <c r="L284" s="77">
        <f>IFERROR(__xludf.DUMMYFUNCTION("""COMPUTED_VALUE"""),20.0)</f>
        <v/>
      </c>
      <c r="O284" s="72" t="n"/>
      <c r="S284" s="4" t="n"/>
    </row>
    <row r="285">
      <c r="A285" s="74">
        <f>IFERROR(__xludf.DUMMYFUNCTION("""COMPUTED_VALUE"""),46150.0)</f>
        <v/>
      </c>
      <c r="B285" s="72">
        <f>IFERROR(__xludf.DUMMYFUNCTION("""COMPUTED_VALUE"""),43.0)</f>
        <v/>
      </c>
      <c r="C285" s="75">
        <f>IFERROR(__xludf.DUMMYFUNCTION("""COMPUTED_VALUE"""),213194.38)</f>
        <v/>
      </c>
      <c r="D285" s="75">
        <f>IFERROR(__xludf.DUMMYFUNCTION("""COMPUTED_VALUE"""),"VES")</f>
        <v/>
      </c>
      <c r="E285" s="75">
        <f>IFERROR(__xludf.DUMMYFUNCTION("""COMPUTED_VALUE"""),"Bancamiga")</f>
        <v/>
      </c>
      <c r="F285" s="75">
        <f>IFERROR(__xludf.DUMMYFUNCTION("""COMPUTED_VALUE"""),"Vianney García")</f>
        <v/>
      </c>
      <c r="G285" s="76">
        <f>IFERROR(__xludf.DUMMYFUNCTION("""COMPUTED_VALUE"""),"BETANCOURT ROBRIGUEZ LUIS ENRRIQUE")</f>
        <v/>
      </c>
      <c r="H285" s="76">
        <f>IFERROR(__xludf.DUMMYFUNCTION("""COMPUTED_VALUE"""),499.8608)</f>
        <v/>
      </c>
      <c r="I285" s="75" t="n"/>
      <c r="J285" s="77">
        <f>IFERROR(__xludf.DUMMYFUNCTION("""COMPUTED_VALUE"""),426.50749968791314)</f>
        <v/>
      </c>
      <c r="K285" s="4">
        <f>IFERROR(__xludf.DUMMYFUNCTION("""COMPUTED_VALUE"""),0.0)</f>
        <v/>
      </c>
      <c r="L285" s="77">
        <f>IFERROR(__xludf.DUMMYFUNCTION("""COMPUTED_VALUE"""),426.50749968791314)</f>
        <v/>
      </c>
      <c r="O285" s="72" t="n"/>
      <c r="S285" s="4" t="n"/>
    </row>
    <row r="286">
      <c r="A286" s="74">
        <f>IFERROR(__xludf.DUMMYFUNCTION("""COMPUTED_VALUE"""),46150.0)</f>
        <v/>
      </c>
      <c r="B286" s="72">
        <f>IFERROR(__xludf.DUMMYFUNCTION("""COMPUTED_VALUE"""),197.0)</f>
        <v/>
      </c>
      <c r="C286" s="75">
        <f>IFERROR(__xludf.DUMMYFUNCTION("""COMPUTED_VALUE"""),100.0)</f>
        <v/>
      </c>
      <c r="D286" s="75">
        <f>IFERROR(__xludf.DUMMYFUNCTION("""COMPUTED_VALUE"""),"USD")</f>
        <v/>
      </c>
      <c r="E286" s="75">
        <f>IFERROR(__xludf.DUMMYFUNCTION("""COMPUTED_VALUE"""),"Efectivo USD")</f>
        <v/>
      </c>
      <c r="F286" s="75">
        <f>IFERROR(__xludf.DUMMYFUNCTION("""COMPUTED_VALUE"""),"Auto Repuestos Acal C.A")</f>
        <v/>
      </c>
      <c r="G286" s="76">
        <f>IFERROR(__xludf.DUMMYFUNCTION("""COMPUTED_VALUE"""),"QUEVEDO BASTIDAS NEYKEL DAVID")</f>
        <v/>
      </c>
      <c r="H286" s="76">
        <f>IFERROR(__xludf.DUMMYFUNCTION("""COMPUTED_VALUE"""),499.8608)</f>
        <v/>
      </c>
      <c r="I286" s="75" t="n"/>
      <c r="J286" s="77">
        <f>IFERROR(__xludf.DUMMYFUNCTION("""COMPUTED_VALUE"""),100.0)</f>
        <v/>
      </c>
      <c r="K286" s="4">
        <f>IFERROR(__xludf.DUMMYFUNCTION("""COMPUTED_VALUE"""),100.0)</f>
        <v/>
      </c>
      <c r="L286" s="77">
        <f>IFERROR(__xludf.DUMMYFUNCTION("""COMPUTED_VALUE"""),100.0)</f>
        <v/>
      </c>
      <c r="O286" s="72" t="n"/>
      <c r="S286" s="4" t="n"/>
    </row>
    <row r="287">
      <c r="A287" s="74">
        <f>IFERROR(__xludf.DUMMYFUNCTION("""COMPUTED_VALUE"""),46150.0)</f>
        <v/>
      </c>
      <c r="B287" s="72">
        <f>IFERROR(__xludf.DUMMYFUNCTION("""COMPUTED_VALUE"""),61.0)</f>
        <v/>
      </c>
      <c r="C287" s="75">
        <f>IFERROR(__xludf.DUMMYFUNCTION("""COMPUTED_VALUE"""),250.0)</f>
        <v/>
      </c>
      <c r="D287" s="75">
        <f>IFERROR(__xludf.DUMMYFUNCTION("""COMPUTED_VALUE"""),"USD")</f>
        <v/>
      </c>
      <c r="E287" s="75">
        <f>IFERROR(__xludf.DUMMYFUNCTION("""COMPUTED_VALUE"""),"Efectivo USD")</f>
        <v/>
      </c>
      <c r="F287" s="75">
        <f>IFERROR(__xludf.DUMMYFUNCTION("""COMPUTED_VALUE"""),"SJMG 2012 C.A")</f>
        <v/>
      </c>
      <c r="G287" s="76">
        <f>IFERROR(__xludf.DUMMYFUNCTION("""COMPUTED_VALUE"""),"GRIMAN DIAZ HECTOR EDUARDO")</f>
        <v/>
      </c>
      <c r="H287" s="76">
        <f>IFERROR(__xludf.DUMMYFUNCTION("""COMPUTED_VALUE"""),499.8608)</f>
        <v/>
      </c>
      <c r="I287" s="75" t="n"/>
      <c r="J287" s="77">
        <f>IFERROR(__xludf.DUMMYFUNCTION("""COMPUTED_VALUE"""),250.0)</f>
        <v/>
      </c>
      <c r="K287" s="4">
        <f>IFERROR(__xludf.DUMMYFUNCTION("""COMPUTED_VALUE"""),250.0)</f>
        <v/>
      </c>
      <c r="L287" s="77">
        <f>IFERROR(__xludf.DUMMYFUNCTION("""COMPUTED_VALUE"""),250.0)</f>
        <v/>
      </c>
      <c r="O287" s="72" t="n"/>
      <c r="S287" s="4" t="n"/>
    </row>
    <row r="288">
      <c r="A288" s="74">
        <f>IFERROR(__xludf.DUMMYFUNCTION("""COMPUTED_VALUE"""),46150.0)</f>
        <v/>
      </c>
      <c r="B288" s="72">
        <f>IFERROR(__xludf.DUMMYFUNCTION("""COMPUTED_VALUE"""),222.0)</f>
        <v/>
      </c>
      <c r="C288" s="75">
        <f>IFERROR(__xludf.DUMMYFUNCTION("""COMPUTED_VALUE"""),40.0)</f>
        <v/>
      </c>
      <c r="D288" s="75">
        <f>IFERROR(__xludf.DUMMYFUNCTION("""COMPUTED_VALUE"""),"USD")</f>
        <v/>
      </c>
      <c r="E288" s="75">
        <f>IFERROR(__xludf.DUMMYFUNCTION("""COMPUTED_VALUE"""),"Efectivo USD")</f>
        <v/>
      </c>
      <c r="F288" s="75">
        <f>IFERROR(__xludf.DUMMYFUNCTION("""COMPUTED_VALUE"""),"Braulio R. Cedeño Gonzalez.")</f>
        <v/>
      </c>
      <c r="G288" s="76">
        <f>IFERROR(__xludf.DUMMYFUNCTION("""COMPUTED_VALUE"""),"GRIMAN DIAZ HECTOR EDUARDO")</f>
        <v/>
      </c>
      <c r="H288" s="76">
        <f>IFERROR(__xludf.DUMMYFUNCTION("""COMPUTED_VALUE"""),499.8608)</f>
        <v/>
      </c>
      <c r="I288" s="75" t="n"/>
      <c r="J288" s="77">
        <f>IFERROR(__xludf.DUMMYFUNCTION("""COMPUTED_VALUE"""),40.0)</f>
        <v/>
      </c>
      <c r="K288" s="4">
        <f>IFERROR(__xludf.DUMMYFUNCTION("""COMPUTED_VALUE"""),40.0)</f>
        <v/>
      </c>
      <c r="L288" s="77">
        <f>IFERROR(__xludf.DUMMYFUNCTION("""COMPUTED_VALUE"""),40.0)</f>
        <v/>
      </c>
      <c r="O288" s="72" t="n"/>
      <c r="S288" s="4" t="n"/>
    </row>
    <row r="289">
      <c r="A289" s="74">
        <f>IFERROR(__xludf.DUMMYFUNCTION("""COMPUTED_VALUE"""),46150.0)</f>
        <v/>
      </c>
      <c r="B289" s="72">
        <f>IFERROR(__xludf.DUMMYFUNCTION("""COMPUTED_VALUE"""),145.0)</f>
        <v/>
      </c>
      <c r="C289" s="75">
        <f>IFERROR(__xludf.DUMMYFUNCTION("""COMPUTED_VALUE"""),100.0)</f>
        <v/>
      </c>
      <c r="D289" s="75">
        <f>IFERROR(__xludf.DUMMYFUNCTION("""COMPUTED_VALUE"""),"USD")</f>
        <v/>
      </c>
      <c r="E289" s="75">
        <f>IFERROR(__xludf.DUMMYFUNCTION("""COMPUTED_VALUE"""),"Efectivo USD")</f>
        <v/>
      </c>
      <c r="F289" s="75">
        <f>IFERROR(__xludf.DUMMYFUNCTION("""COMPUTED_VALUE"""),"La cámara perfecta")</f>
        <v/>
      </c>
      <c r="G289" s="76">
        <f>IFERROR(__xludf.DUMMYFUNCTION("""COMPUTED_VALUE"""),"PEREZ DIAZ ANGEL DE DIOS")</f>
        <v/>
      </c>
      <c r="H289" s="76">
        <f>IFERROR(__xludf.DUMMYFUNCTION("""COMPUTED_VALUE"""),499.8608)</f>
        <v/>
      </c>
      <c r="I289" s="75" t="n"/>
      <c r="J289" s="77">
        <f>IFERROR(__xludf.DUMMYFUNCTION("""COMPUTED_VALUE"""),100.0)</f>
        <v/>
      </c>
      <c r="K289" s="4">
        <f>IFERROR(__xludf.DUMMYFUNCTION("""COMPUTED_VALUE"""),100.0)</f>
        <v/>
      </c>
      <c r="L289" s="77">
        <f>IFERROR(__xludf.DUMMYFUNCTION("""COMPUTED_VALUE"""),100.0)</f>
        <v/>
      </c>
      <c r="O289" s="72" t="n"/>
      <c r="S289" s="4" t="n"/>
    </row>
    <row r="290">
      <c r="A290" s="74">
        <f>IFERROR(__xludf.DUMMYFUNCTION("""COMPUTED_VALUE"""),46150.0)</f>
        <v/>
      </c>
      <c r="B290" s="72">
        <f>IFERROR(__xludf.DUMMYFUNCTION("""COMPUTED_VALUE"""),44.0)</f>
        <v/>
      </c>
      <c r="C290" s="75">
        <f>IFERROR(__xludf.DUMMYFUNCTION("""COMPUTED_VALUE"""),140.0)</f>
        <v/>
      </c>
      <c r="D290" s="75">
        <f>IFERROR(__xludf.DUMMYFUNCTION("""COMPUTED_VALUE"""),"USD")</f>
        <v/>
      </c>
      <c r="E290" s="75">
        <f>IFERROR(__xludf.DUMMYFUNCTION("""COMPUTED_VALUE"""),"Efectivo USD")</f>
        <v/>
      </c>
      <c r="F290" s="75">
        <f>IFERROR(__xludf.DUMMYFUNCTION("""COMPUTED_VALUE"""),"Comercializadora Garabote")</f>
        <v/>
      </c>
      <c r="G290" s="76">
        <f>IFERROR(__xludf.DUMMYFUNCTION("""COMPUTED_VALUE"""),"PEREZ DIAZ ANGEL DE DIOS")</f>
        <v/>
      </c>
      <c r="H290" s="76">
        <f>IFERROR(__xludf.DUMMYFUNCTION("""COMPUTED_VALUE"""),499.8608)</f>
        <v/>
      </c>
      <c r="I290" s="75" t="n"/>
      <c r="J290" s="77">
        <f>IFERROR(__xludf.DUMMYFUNCTION("""COMPUTED_VALUE"""),140.0)</f>
        <v/>
      </c>
      <c r="K290" s="4">
        <f>IFERROR(__xludf.DUMMYFUNCTION("""COMPUTED_VALUE"""),140.0)</f>
        <v/>
      </c>
      <c r="L290" s="77">
        <f>IFERROR(__xludf.DUMMYFUNCTION("""COMPUTED_VALUE"""),140.0)</f>
        <v/>
      </c>
      <c r="O290" s="72" t="n"/>
      <c r="S290" s="4" t="n"/>
    </row>
    <row r="291">
      <c r="A291" s="74">
        <f>IFERROR(__xludf.DUMMYFUNCTION("""COMPUTED_VALUE"""),46150.0)</f>
        <v/>
      </c>
      <c r="B291" s="72">
        <f>IFERROR(__xludf.DUMMYFUNCTION("""COMPUTED_VALUE"""),49.0)</f>
        <v/>
      </c>
      <c r="C291" s="75">
        <f>IFERROR(__xludf.DUMMYFUNCTION("""COMPUTED_VALUE"""),100.0)</f>
        <v/>
      </c>
      <c r="D291" s="75">
        <f>IFERROR(__xludf.DUMMYFUNCTION("""COMPUTED_VALUE"""),"USD")</f>
        <v/>
      </c>
      <c r="E291" s="75">
        <f>IFERROR(__xludf.DUMMYFUNCTION("""COMPUTED_VALUE"""),"Efectivo USD")</f>
        <v/>
      </c>
      <c r="F291" s="75">
        <f>IFERROR(__xludf.DUMMYFUNCTION("""COMPUTED_VALUE"""),"Marlene Herrera")</f>
        <v/>
      </c>
      <c r="G291" s="76">
        <f>IFERROR(__xludf.DUMMYFUNCTION("""COMPUTED_VALUE"""),"GRIMAN DIAZ HECTOR EDUARDO")</f>
        <v/>
      </c>
      <c r="H291" s="76">
        <f>IFERROR(__xludf.DUMMYFUNCTION("""COMPUTED_VALUE"""),499.8608)</f>
        <v/>
      </c>
      <c r="I291" s="75" t="n"/>
      <c r="J291" s="77">
        <f>IFERROR(__xludf.DUMMYFUNCTION("""COMPUTED_VALUE"""),100.0)</f>
        <v/>
      </c>
      <c r="K291" s="4">
        <f>IFERROR(__xludf.DUMMYFUNCTION("""COMPUTED_VALUE"""),100.0)</f>
        <v/>
      </c>
      <c r="L291" s="77">
        <f>IFERROR(__xludf.DUMMYFUNCTION("""COMPUTED_VALUE"""),100.0)</f>
        <v/>
      </c>
      <c r="O291" s="72" t="n"/>
      <c r="S291" s="4" t="n"/>
    </row>
    <row r="292">
      <c r="A292" s="74">
        <f>IFERROR(__xludf.DUMMYFUNCTION("""COMPUTED_VALUE"""),46150.0)</f>
        <v/>
      </c>
      <c r="B292" s="72">
        <f>IFERROR(__xludf.DUMMYFUNCTION("""COMPUTED_VALUE"""),133.0)</f>
        <v/>
      </c>
      <c r="C292" s="75">
        <f>IFERROR(__xludf.DUMMYFUNCTION("""COMPUTED_VALUE"""),500.0)</f>
        <v/>
      </c>
      <c r="D292" s="75">
        <f>IFERROR(__xludf.DUMMYFUNCTION("""COMPUTED_VALUE"""),"USD")</f>
        <v/>
      </c>
      <c r="E292" s="75">
        <f>IFERROR(__xludf.DUMMYFUNCTION("""COMPUTED_VALUE"""),"Efectivo USD")</f>
        <v/>
      </c>
      <c r="F292" s="75">
        <f>IFERROR(__xludf.DUMMYFUNCTION("""COMPUTED_VALUE"""),"Inversiones La Bendición del Nazareno, C.A")</f>
        <v/>
      </c>
      <c r="G292" s="76">
        <f>IFERROR(__xludf.DUMMYFUNCTION("""COMPUTED_VALUE"""),"MARTINEZ MONTES JEFFREY ENRIQUE")</f>
        <v/>
      </c>
      <c r="H292" s="76">
        <f>IFERROR(__xludf.DUMMYFUNCTION("""COMPUTED_VALUE"""),499.8608)</f>
        <v/>
      </c>
      <c r="I292" s="75" t="n"/>
      <c r="J292" s="77">
        <f>IFERROR(__xludf.DUMMYFUNCTION("""COMPUTED_VALUE"""),500.0)</f>
        <v/>
      </c>
      <c r="K292" s="4">
        <f>IFERROR(__xludf.DUMMYFUNCTION("""COMPUTED_VALUE"""),500.0)</f>
        <v/>
      </c>
      <c r="L292" s="77">
        <f>IFERROR(__xludf.DUMMYFUNCTION("""COMPUTED_VALUE"""),500.0)</f>
        <v/>
      </c>
      <c r="O292" s="72" t="n"/>
      <c r="S292" s="4" t="n"/>
    </row>
    <row r="293">
      <c r="A293" s="74">
        <f>IFERROR(__xludf.DUMMYFUNCTION("""COMPUTED_VALUE"""),46150.0)</f>
        <v/>
      </c>
      <c r="B293" s="72">
        <f>IFERROR(__xludf.DUMMYFUNCTION("""COMPUTED_VALUE"""),285.0)</f>
        <v/>
      </c>
      <c r="C293" s="75">
        <f>IFERROR(__xludf.DUMMYFUNCTION("""COMPUTED_VALUE"""),75.0)</f>
        <v/>
      </c>
      <c r="D293" s="75">
        <f>IFERROR(__xludf.DUMMYFUNCTION("""COMPUTED_VALUE"""),"USD")</f>
        <v/>
      </c>
      <c r="E293" s="75">
        <f>IFERROR(__xludf.DUMMYFUNCTION("""COMPUTED_VALUE"""),"Efectivo USD")</f>
        <v/>
      </c>
      <c r="F293" s="75">
        <f>IFERROR(__xludf.DUMMYFUNCTION("""COMPUTED_VALUE"""),"Inversiones Air Brakes, C.A")</f>
        <v/>
      </c>
      <c r="G293" s="76">
        <f>IFERROR(__xludf.DUMMYFUNCTION("""COMPUTED_VALUE"""),"MARTINEZ MONTES JEFFREY ENRIQUE")</f>
        <v/>
      </c>
      <c r="H293" s="76">
        <f>IFERROR(__xludf.DUMMYFUNCTION("""COMPUTED_VALUE"""),499.8608)</f>
        <v/>
      </c>
      <c r="I293" s="75" t="n"/>
      <c r="J293" s="77">
        <f>IFERROR(__xludf.DUMMYFUNCTION("""COMPUTED_VALUE"""),75.0)</f>
        <v/>
      </c>
      <c r="K293" s="4">
        <f>IFERROR(__xludf.DUMMYFUNCTION("""COMPUTED_VALUE"""),75.0)</f>
        <v/>
      </c>
      <c r="L293" s="77">
        <f>IFERROR(__xludf.DUMMYFUNCTION("""COMPUTED_VALUE"""),75.0)</f>
        <v/>
      </c>
      <c r="O293" s="72" t="n"/>
      <c r="S293" s="4" t="n"/>
    </row>
    <row r="294">
      <c r="A294" s="74">
        <f>IFERROR(__xludf.DUMMYFUNCTION("""COMPUTED_VALUE"""),46150.0)</f>
        <v/>
      </c>
      <c r="B294" s="72">
        <f>IFERROR(__xludf.DUMMYFUNCTION("""COMPUTED_VALUE"""),124.0)</f>
        <v/>
      </c>
      <c r="C294" s="75">
        <f>IFERROR(__xludf.DUMMYFUNCTION("""COMPUTED_VALUE"""),160.0)</f>
        <v/>
      </c>
      <c r="D294" s="75">
        <f>IFERROR(__xludf.DUMMYFUNCTION("""COMPUTED_VALUE"""),"USD")</f>
        <v/>
      </c>
      <c r="E294" s="75">
        <f>IFERROR(__xludf.DUMMYFUNCTION("""COMPUTED_VALUE"""),"Efectivo USD")</f>
        <v/>
      </c>
      <c r="F294" s="75">
        <f>IFERROR(__xludf.DUMMYFUNCTION("""COMPUTED_VALUE"""),"M.L.P Repuestos y Otros, C.A")</f>
        <v/>
      </c>
      <c r="G294" s="76">
        <f>IFERROR(__xludf.DUMMYFUNCTION("""COMPUTED_VALUE"""),"TORO ARDILES DAVID JOSE")</f>
        <v/>
      </c>
      <c r="H294" s="76">
        <f>IFERROR(__xludf.DUMMYFUNCTION("""COMPUTED_VALUE"""),499.8608)</f>
        <v/>
      </c>
      <c r="I294" s="75" t="n"/>
      <c r="J294" s="77">
        <f>IFERROR(__xludf.DUMMYFUNCTION("""COMPUTED_VALUE"""),160.0)</f>
        <v/>
      </c>
      <c r="K294" s="4">
        <f>IFERROR(__xludf.DUMMYFUNCTION("""COMPUTED_VALUE"""),160.0)</f>
        <v/>
      </c>
      <c r="L294" s="77">
        <f>IFERROR(__xludf.DUMMYFUNCTION("""COMPUTED_VALUE"""),160.0)</f>
        <v/>
      </c>
      <c r="O294" s="72" t="n"/>
      <c r="S294" s="4" t="n"/>
    </row>
    <row r="295">
      <c r="A295" s="74">
        <f>IFERROR(__xludf.DUMMYFUNCTION("""COMPUTED_VALUE"""),46153.0)</f>
        <v/>
      </c>
      <c r="B295" s="72">
        <f>IFERROR(__xludf.DUMMYFUNCTION("""COMPUTED_VALUE"""),230.0)</f>
        <v/>
      </c>
      <c r="C295" s="75">
        <f>IFERROR(__xludf.DUMMYFUNCTION("""COMPUTED_VALUE"""),391495.0)</f>
        <v/>
      </c>
      <c r="D295" s="75">
        <f>IFERROR(__xludf.DUMMYFUNCTION("""COMPUTED_VALUE"""),"VES")</f>
        <v/>
      </c>
      <c r="E295" s="75">
        <f>IFERROR(__xludf.DUMMYFUNCTION("""COMPUTED_VALUE"""),"Bancamiga")</f>
        <v/>
      </c>
      <c r="F295" s="75">
        <f>IFERROR(__xludf.DUMMYFUNCTION("""COMPUTED_VALUE"""),"E&amp;M CAR SHOP C.A")</f>
        <v/>
      </c>
      <c r="G295" s="76">
        <f>IFERROR(__xludf.DUMMYFUNCTION("""COMPUTED_VALUE"""),"BETANCOURT ROBRIGUEZ LUIS ENRRIQUE")</f>
        <v/>
      </c>
      <c r="H295" s="76">
        <f>IFERROR(__xludf.DUMMYFUNCTION("""COMPUTED_VALUE"""),500.4606)</f>
        <v/>
      </c>
      <c r="I295" s="75" t="n"/>
      <c r="J295" s="77">
        <f>IFERROR(__xludf.DUMMYFUNCTION("""COMPUTED_VALUE"""),782.2693734531749)</f>
        <v/>
      </c>
      <c r="K295" s="4">
        <f>IFERROR(__xludf.DUMMYFUNCTION("""COMPUTED_VALUE"""),0.0)</f>
        <v/>
      </c>
      <c r="L295" s="77">
        <f>IFERROR(__xludf.DUMMYFUNCTION("""COMPUTED_VALUE"""),782.2693734531749)</f>
        <v/>
      </c>
      <c r="O295" s="72" t="n"/>
      <c r="S295" s="4" t="n"/>
    </row>
    <row r="296">
      <c r="A296" s="74">
        <f>IFERROR(__xludf.DUMMYFUNCTION("""COMPUTED_VALUE"""),46153.0)</f>
        <v/>
      </c>
      <c r="B296" s="72">
        <f>IFERROR(__xludf.DUMMYFUNCTION("""COMPUTED_VALUE"""),158.0)</f>
        <v/>
      </c>
      <c r="C296" s="75">
        <f>IFERROR(__xludf.DUMMYFUNCTION("""COMPUTED_VALUE"""),230.0)</f>
        <v/>
      </c>
      <c r="D296" s="75">
        <f>IFERROR(__xludf.DUMMYFUNCTION("""COMPUTED_VALUE"""),"USD")</f>
        <v/>
      </c>
      <c r="E296" s="75">
        <f>IFERROR(__xludf.DUMMYFUNCTION("""COMPUTED_VALUE"""),"Zelle")</f>
        <v/>
      </c>
      <c r="F296" s="75">
        <f>IFERROR(__xludf.DUMMYFUNCTION("""COMPUTED_VALUE"""),"Dimas Ortíz")</f>
        <v/>
      </c>
      <c r="G296" s="76">
        <f>IFERROR(__xludf.DUMMYFUNCTION("""COMPUTED_VALUE"""),"BETANCOURT ROBRIGUEZ LUIS ENRRIQUE")</f>
        <v/>
      </c>
      <c r="H296" s="76">
        <f>IFERROR(__xludf.DUMMYFUNCTION("""COMPUTED_VALUE"""),500.4606)</f>
        <v/>
      </c>
      <c r="I296" s="75" t="n"/>
      <c r="J296" s="77">
        <f>IFERROR(__xludf.DUMMYFUNCTION("""COMPUTED_VALUE"""),230.0)</f>
        <v/>
      </c>
      <c r="K296" s="4">
        <f>IFERROR(__xludf.DUMMYFUNCTION("""COMPUTED_VALUE"""),230.0)</f>
        <v/>
      </c>
      <c r="L296" s="77">
        <f>IFERROR(__xludf.DUMMYFUNCTION("""COMPUTED_VALUE"""),230.0)</f>
        <v/>
      </c>
      <c r="O296" s="72" t="n"/>
      <c r="S296" s="4" t="n"/>
    </row>
    <row r="297">
      <c r="A297" s="74">
        <f>IFERROR(__xludf.DUMMYFUNCTION("""COMPUTED_VALUE"""),46153.0)</f>
        <v/>
      </c>
      <c r="B297" s="72">
        <f>IFERROR(__xludf.DUMMYFUNCTION("""COMPUTED_VALUE"""),260.0)</f>
        <v/>
      </c>
      <c r="C297" s="75">
        <f>IFERROR(__xludf.DUMMYFUNCTION("""COMPUTED_VALUE"""),50046.06)</f>
        <v/>
      </c>
      <c r="D297" s="75">
        <f>IFERROR(__xludf.DUMMYFUNCTION("""COMPUTED_VALUE"""),"VES")</f>
        <v/>
      </c>
      <c r="E297" s="75">
        <f>IFERROR(__xludf.DUMMYFUNCTION("""COMPUTED_VALUE"""),"Bancamiga")</f>
        <v/>
      </c>
      <c r="F297" s="75">
        <f>IFERROR(__xludf.DUMMYFUNCTION("""COMPUTED_VALUE"""),"Jose Lopez Espinoza")</f>
        <v/>
      </c>
      <c r="G297" s="76">
        <f>IFERROR(__xludf.DUMMYFUNCTION("""COMPUTED_VALUE"""),"VILLABONA CORREA ALBA ESTEFANIA")</f>
        <v/>
      </c>
      <c r="H297" s="76">
        <f>IFERROR(__xludf.DUMMYFUNCTION("""COMPUTED_VALUE"""),500.4606)</f>
        <v/>
      </c>
      <c r="I297" s="75" t="n"/>
      <c r="J297" s="77">
        <f>IFERROR(__xludf.DUMMYFUNCTION("""COMPUTED_VALUE"""),100.0)</f>
        <v/>
      </c>
      <c r="K297" s="4">
        <f>IFERROR(__xludf.DUMMYFUNCTION("""COMPUTED_VALUE"""),0.0)</f>
        <v/>
      </c>
      <c r="L297" s="77">
        <f>IFERROR(__xludf.DUMMYFUNCTION("""COMPUTED_VALUE"""),100.0)</f>
        <v/>
      </c>
      <c r="O297" s="72" t="n"/>
      <c r="S297" s="4" t="n"/>
    </row>
    <row r="298">
      <c r="A298" s="74">
        <f>IFERROR(__xludf.DUMMYFUNCTION("""COMPUTED_VALUE"""),46153.0)</f>
        <v/>
      </c>
      <c r="B298" s="72">
        <f>IFERROR(__xludf.DUMMYFUNCTION("""COMPUTED_VALUE"""),344.0)</f>
        <v/>
      </c>
      <c r="C298" s="75">
        <f>IFERROR(__xludf.DUMMYFUNCTION("""COMPUTED_VALUE"""),91.0)</f>
        <v/>
      </c>
      <c r="D298" s="75">
        <f>IFERROR(__xludf.DUMMYFUNCTION("""COMPUTED_VALUE"""),"USD")</f>
        <v/>
      </c>
      <c r="E298" s="75">
        <f>IFERROR(__xludf.DUMMYFUNCTION("""COMPUTED_VALUE"""),"Efectivo USD")</f>
        <v/>
      </c>
      <c r="F298" s="75">
        <f>IFERROR(__xludf.DUMMYFUNCTION("""COMPUTED_VALUE"""),"EMPRENDIMIENTO IRMA RODRIGUEZ 6")</f>
        <v/>
      </c>
      <c r="G298" s="76">
        <f>IFERROR(__xludf.DUMMYFUNCTION("""COMPUTED_VALUE"""),"TORO ARDILES DAVID JOSE")</f>
        <v/>
      </c>
      <c r="H298" s="76">
        <f>IFERROR(__xludf.DUMMYFUNCTION("""COMPUTED_VALUE"""),500.4606)</f>
        <v/>
      </c>
      <c r="I298" s="75" t="n"/>
      <c r="J298" s="77">
        <f>IFERROR(__xludf.DUMMYFUNCTION("""COMPUTED_VALUE"""),91.0)</f>
        <v/>
      </c>
      <c r="K298" s="4">
        <f>IFERROR(__xludf.DUMMYFUNCTION("""COMPUTED_VALUE"""),91.0)</f>
        <v/>
      </c>
      <c r="L298" s="77">
        <f>IFERROR(__xludf.DUMMYFUNCTION("""COMPUTED_VALUE"""),91.0)</f>
        <v/>
      </c>
      <c r="O298" s="72" t="n"/>
      <c r="S298" s="4" t="n"/>
    </row>
    <row r="299">
      <c r="A299" s="74">
        <f>IFERROR(__xludf.DUMMYFUNCTION("""COMPUTED_VALUE"""),46153.0)</f>
        <v/>
      </c>
      <c r="B299" s="72">
        <f>IFERROR(__xludf.DUMMYFUNCTION("""COMPUTED_VALUE"""),21.0)</f>
        <v/>
      </c>
      <c r="C299" s="75">
        <f>IFERROR(__xludf.DUMMYFUNCTION("""COMPUTED_VALUE"""),118845.6)</f>
        <v/>
      </c>
      <c r="D299" s="75">
        <f>IFERROR(__xludf.DUMMYFUNCTION("""COMPUTED_VALUE"""),"VES")</f>
        <v/>
      </c>
      <c r="E299" s="75">
        <f>IFERROR(__xludf.DUMMYFUNCTION("""COMPUTED_VALUE"""),"Bancamiga")</f>
        <v/>
      </c>
      <c r="F299" s="75">
        <f>IFERROR(__xludf.DUMMYFUNCTION("""COMPUTED_VALUE"""),"INVERSIONES SMALUM 21, C.A.")</f>
        <v/>
      </c>
      <c r="G299" s="76">
        <f>IFERROR(__xludf.DUMMYFUNCTION("""COMPUTED_VALUE"""),"VILLABONA CORREA ALBA ESTEFANIA")</f>
        <v/>
      </c>
      <c r="H299" s="76">
        <f>IFERROR(__xludf.DUMMYFUNCTION("""COMPUTED_VALUE"""),500.4606)</f>
        <v/>
      </c>
      <c r="I299" s="75" t="n"/>
      <c r="J299" s="77">
        <f>IFERROR(__xludf.DUMMYFUNCTION("""COMPUTED_VALUE"""),237.47244038791467)</f>
        <v/>
      </c>
      <c r="K299" s="4">
        <f>IFERROR(__xludf.DUMMYFUNCTION("""COMPUTED_VALUE"""),0.0)</f>
        <v/>
      </c>
      <c r="L299" s="77">
        <f>IFERROR(__xludf.DUMMYFUNCTION("""COMPUTED_VALUE"""),237.47244038791467)</f>
        <v/>
      </c>
      <c r="O299" s="72" t="n"/>
      <c r="S299" s="4" t="n"/>
    </row>
    <row r="300">
      <c r="A300" s="74">
        <f>IFERROR(__xludf.DUMMYFUNCTION("""COMPUTED_VALUE"""),46153.0)</f>
        <v/>
      </c>
      <c r="B300" s="72">
        <f>IFERROR(__xludf.DUMMYFUNCTION("""COMPUTED_VALUE"""),21.0)</f>
        <v/>
      </c>
      <c r="C300" s="75">
        <f>IFERROR(__xludf.DUMMYFUNCTION("""COMPUTED_VALUE"""),589.27)</f>
        <v/>
      </c>
      <c r="D300" s="75">
        <f>IFERROR(__xludf.DUMMYFUNCTION("""COMPUTED_VALUE"""),"VES")</f>
        <v/>
      </c>
      <c r="E300" s="75">
        <f>IFERROR(__xludf.DUMMYFUNCTION("""COMPUTED_VALUE"""),"Bancamiga")</f>
        <v/>
      </c>
      <c r="F300" s="75">
        <f>IFERROR(__xludf.DUMMYFUNCTION("""COMPUTED_VALUE"""),"INVERSIONES SMALUM 21, C.A.")</f>
        <v/>
      </c>
      <c r="G300" s="76">
        <f>IFERROR(__xludf.DUMMYFUNCTION("""COMPUTED_VALUE"""),"VILLABONA CORREA ALBA ESTEFANIA")</f>
        <v/>
      </c>
      <c r="H300" s="76">
        <f>IFERROR(__xludf.DUMMYFUNCTION("""COMPUTED_VALUE"""),500.4606)</f>
        <v/>
      </c>
      <c r="I300" s="75" t="n"/>
      <c r="J300" s="77">
        <f>IFERROR(__xludf.DUMMYFUNCTION("""COMPUTED_VALUE"""),1.1774553281517066)</f>
        <v/>
      </c>
      <c r="K300" s="4">
        <f>IFERROR(__xludf.DUMMYFUNCTION("""COMPUTED_VALUE"""),0.0)</f>
        <v/>
      </c>
      <c r="L300" s="77">
        <f>IFERROR(__xludf.DUMMYFUNCTION("""COMPUTED_VALUE"""),1.1774553281517066)</f>
        <v/>
      </c>
      <c r="O300" s="72" t="n"/>
      <c r="S300" s="4" t="n"/>
    </row>
    <row r="301">
      <c r="A301" s="74">
        <f>IFERROR(__xludf.DUMMYFUNCTION("""COMPUTED_VALUE"""),46153.0)</f>
        <v/>
      </c>
      <c r="B301" s="72">
        <f>IFERROR(__xludf.DUMMYFUNCTION("""COMPUTED_VALUE"""),192.0)</f>
        <v/>
      </c>
      <c r="C301" s="75">
        <f>IFERROR(__xludf.DUMMYFUNCTION("""COMPUTED_VALUE"""),40.0)</f>
        <v/>
      </c>
      <c r="D301" s="75">
        <f>IFERROR(__xludf.DUMMYFUNCTION("""COMPUTED_VALUE"""),"USD")</f>
        <v/>
      </c>
      <c r="E301" s="75">
        <f>IFERROR(__xludf.DUMMYFUNCTION("""COMPUTED_VALUE"""),"Efectivo USD")</f>
        <v/>
      </c>
      <c r="F301" s="75">
        <f>IFERROR(__xludf.DUMMYFUNCTION("""COMPUTED_VALUE"""),"Global Ferre 888 C.A")</f>
        <v/>
      </c>
      <c r="G301" s="76">
        <f>IFERROR(__xludf.DUMMYFUNCTION("""COMPUTED_VALUE"""),"GRIMAN DIAZ HECTOR EDUARDO")</f>
        <v/>
      </c>
      <c r="H301" s="76">
        <f>IFERROR(__xludf.DUMMYFUNCTION("""COMPUTED_VALUE"""),500.4606)</f>
        <v/>
      </c>
      <c r="I301" s="75" t="n"/>
      <c r="J301" s="77">
        <f>IFERROR(__xludf.DUMMYFUNCTION("""COMPUTED_VALUE"""),40.0)</f>
        <v/>
      </c>
      <c r="K301" s="4">
        <f>IFERROR(__xludf.DUMMYFUNCTION("""COMPUTED_VALUE"""),40.0)</f>
        <v/>
      </c>
      <c r="L301" s="77">
        <f>IFERROR(__xludf.DUMMYFUNCTION("""COMPUTED_VALUE"""),40.0)</f>
        <v/>
      </c>
      <c r="O301" s="72" t="n"/>
      <c r="S301" s="4" t="n"/>
    </row>
    <row r="302">
      <c r="A302" s="74">
        <f>IFERROR(__xludf.DUMMYFUNCTION("""COMPUTED_VALUE"""),46153.0)</f>
        <v/>
      </c>
      <c r="B302" s="72">
        <f>IFERROR(__xludf.DUMMYFUNCTION("""COMPUTED_VALUE"""),82.0)</f>
        <v/>
      </c>
      <c r="C302" s="75">
        <f>IFERROR(__xludf.DUMMYFUNCTION("""COMPUTED_VALUE"""),185.0)</f>
        <v/>
      </c>
      <c r="D302" s="75">
        <f>IFERROR(__xludf.DUMMYFUNCTION("""COMPUTED_VALUE"""),"USD")</f>
        <v/>
      </c>
      <c r="E302" s="75">
        <f>IFERROR(__xludf.DUMMYFUNCTION("""COMPUTED_VALUE"""),"Efectivo USD")</f>
        <v/>
      </c>
      <c r="F302" s="75">
        <f>IFERROR(__xludf.DUMMYFUNCTION("""COMPUTED_VALUE"""),"Pedro Castro")</f>
        <v/>
      </c>
      <c r="G302" s="76">
        <f>IFERROR(__xludf.DUMMYFUNCTION("""COMPUTED_VALUE"""),"BETANCOURT ROBRIGUEZ LUIS ENRRIQUE")</f>
        <v/>
      </c>
      <c r="H302" s="76">
        <f>IFERROR(__xludf.DUMMYFUNCTION("""COMPUTED_VALUE"""),500.4606)</f>
        <v/>
      </c>
      <c r="I302" s="75" t="n"/>
      <c r="J302" s="77">
        <f>IFERROR(__xludf.DUMMYFUNCTION("""COMPUTED_VALUE"""),185.0)</f>
        <v/>
      </c>
      <c r="K302" s="4">
        <f>IFERROR(__xludf.DUMMYFUNCTION("""COMPUTED_VALUE"""),185.0)</f>
        <v/>
      </c>
      <c r="L302" s="77">
        <f>IFERROR(__xludf.DUMMYFUNCTION("""COMPUTED_VALUE"""),185.0)</f>
        <v/>
      </c>
      <c r="O302" s="72" t="n"/>
      <c r="S302" s="4" t="n"/>
    </row>
    <row r="303">
      <c r="A303" s="74">
        <f>IFERROR(__xludf.DUMMYFUNCTION("""COMPUTED_VALUE"""),46154.0)</f>
        <v/>
      </c>
      <c r="B303" s="72">
        <f>IFERROR(__xludf.DUMMYFUNCTION("""COMPUTED_VALUE"""),53.0)</f>
        <v/>
      </c>
      <c r="C303" s="75">
        <f>IFERROR(__xludf.DUMMYFUNCTION("""COMPUTED_VALUE"""),119010.4)</f>
        <v/>
      </c>
      <c r="D303" s="75">
        <f>IFERROR(__xludf.DUMMYFUNCTION("""COMPUTED_VALUE"""),"VES")</f>
        <v/>
      </c>
      <c r="E303" s="75">
        <f>IFERROR(__xludf.DUMMYFUNCTION("""COMPUTED_VALUE"""),"Bancamiga")</f>
        <v/>
      </c>
      <c r="F303" s="75">
        <f>IFERROR(__xludf.DUMMYFUNCTION("""COMPUTED_VALUE"""),"INVERSIONES MI  'LINDA YEMAIRE 2019, C.A")</f>
        <v/>
      </c>
      <c r="G303" s="76">
        <f>IFERROR(__xludf.DUMMYFUNCTION("""COMPUTED_VALUE"""),"VILLABONA CORREA ALBA ESTEFANIA")</f>
        <v/>
      </c>
      <c r="H303" s="76">
        <f>IFERROR(__xludf.DUMMYFUNCTION("""COMPUTED_VALUE"""),504.9146)</f>
        <v/>
      </c>
      <c r="I303" s="75" t="n"/>
      <c r="J303" s="77">
        <f>IFERROR(__xludf.DUMMYFUNCTION("""COMPUTED_VALUE"""),235.7040180656293)</f>
        <v/>
      </c>
      <c r="K303" s="4">
        <f>IFERROR(__xludf.DUMMYFUNCTION("""COMPUTED_VALUE"""),0.0)</f>
        <v/>
      </c>
      <c r="L303" s="77">
        <f>IFERROR(__xludf.DUMMYFUNCTION("""COMPUTED_VALUE"""),235.7040180656293)</f>
        <v/>
      </c>
      <c r="O303" s="72" t="n"/>
      <c r="S303" s="4" t="n"/>
    </row>
    <row r="304">
      <c r="A304" s="74">
        <f>IFERROR(__xludf.DUMMYFUNCTION("""COMPUTED_VALUE"""),46154.0)</f>
        <v/>
      </c>
      <c r="B304" s="72">
        <f>IFERROR(__xludf.DUMMYFUNCTION("""COMPUTED_VALUE"""),189.0)</f>
        <v/>
      </c>
      <c r="C304" s="75">
        <f>IFERROR(__xludf.DUMMYFUNCTION("""COMPUTED_VALUE"""),140.0)</f>
        <v/>
      </c>
      <c r="D304" s="75">
        <f>IFERROR(__xludf.DUMMYFUNCTION("""COMPUTED_VALUE"""),"USD")</f>
        <v/>
      </c>
      <c r="E304" s="75">
        <f>IFERROR(__xludf.DUMMYFUNCTION("""COMPUTED_VALUE"""),"Efectivo USD")</f>
        <v/>
      </c>
      <c r="F304" s="75">
        <f>IFERROR(__xludf.DUMMYFUNCTION("""COMPUTED_VALUE"""),"Manuel Emilio Reyes")</f>
        <v/>
      </c>
      <c r="G304" s="76">
        <f>IFERROR(__xludf.DUMMYFUNCTION("""COMPUTED_VALUE"""),"Marco Romero")</f>
        <v/>
      </c>
      <c r="H304" s="76">
        <f>IFERROR(__xludf.DUMMYFUNCTION("""COMPUTED_VALUE"""),504.9146)</f>
        <v/>
      </c>
      <c r="I304" s="75" t="n"/>
      <c r="J304" s="77">
        <f>IFERROR(__xludf.DUMMYFUNCTION("""COMPUTED_VALUE"""),140.0)</f>
        <v/>
      </c>
      <c r="K304" s="4">
        <f>IFERROR(__xludf.DUMMYFUNCTION("""COMPUTED_VALUE"""),140.0)</f>
        <v/>
      </c>
      <c r="L304" s="77">
        <f>IFERROR(__xludf.DUMMYFUNCTION("""COMPUTED_VALUE"""),140.0)</f>
        <v/>
      </c>
      <c r="O304" s="72" t="n"/>
      <c r="S304" s="4" t="n"/>
    </row>
    <row r="305">
      <c r="A305" s="74">
        <f>IFERROR(__xludf.DUMMYFUNCTION("""COMPUTED_VALUE"""),46154.0)</f>
        <v/>
      </c>
      <c r="B305" s="72">
        <f>IFERROR(__xludf.DUMMYFUNCTION("""COMPUTED_VALUE"""),296.0)</f>
        <v/>
      </c>
      <c r="C305" s="75">
        <f>IFERROR(__xludf.DUMMYFUNCTION("""COMPUTED_VALUE"""),220223.55)</f>
        <v/>
      </c>
      <c r="D305" s="75">
        <f>IFERROR(__xludf.DUMMYFUNCTION("""COMPUTED_VALUE"""),"VES")</f>
        <v/>
      </c>
      <c r="E305" s="75">
        <f>IFERROR(__xludf.DUMMYFUNCTION("""COMPUTED_VALUE"""),"Bancamiga")</f>
        <v/>
      </c>
      <c r="F305" s="75">
        <f>IFERROR(__xludf.DUMMYFUNCTION("""COMPUTED_VALUE"""),"CONSTRUCTORA GRANO AGREGADO, C.A")</f>
        <v/>
      </c>
      <c r="G305" s="76">
        <f>IFERROR(__xludf.DUMMYFUNCTION("""COMPUTED_VALUE"""),"Marco Romero")</f>
        <v/>
      </c>
      <c r="H305" s="76">
        <f>IFERROR(__xludf.DUMMYFUNCTION("""COMPUTED_VALUE"""),504.9146)</f>
        <v/>
      </c>
      <c r="I305" s="75" t="n"/>
      <c r="J305" s="77">
        <f>IFERROR(__xludf.DUMMYFUNCTION("""COMPUTED_VALUE"""),436.1599961656882)</f>
        <v/>
      </c>
      <c r="K305" s="4">
        <f>IFERROR(__xludf.DUMMYFUNCTION("""COMPUTED_VALUE"""),0.0)</f>
        <v/>
      </c>
      <c r="L305" s="77">
        <f>IFERROR(__xludf.DUMMYFUNCTION("""COMPUTED_VALUE"""),436.1599961656882)</f>
        <v/>
      </c>
      <c r="O305" s="72" t="n"/>
      <c r="S305" s="4" t="n"/>
    </row>
    <row r="306">
      <c r="A306" s="74">
        <f>IFERROR(__xludf.DUMMYFUNCTION("""COMPUTED_VALUE"""),46154.0)</f>
        <v/>
      </c>
      <c r="B306" s="72">
        <f>IFERROR(__xludf.DUMMYFUNCTION("""COMPUTED_VALUE"""),150.0)</f>
        <v/>
      </c>
      <c r="C306" s="75">
        <f>IFERROR(__xludf.DUMMYFUNCTION("""COMPUTED_VALUE"""),175.0)</f>
        <v/>
      </c>
      <c r="D306" s="75">
        <f>IFERROR(__xludf.DUMMYFUNCTION("""COMPUTED_VALUE"""),"USD")</f>
        <v/>
      </c>
      <c r="E306" s="75">
        <f>IFERROR(__xludf.DUMMYFUNCTION("""COMPUTED_VALUE"""),"Binance")</f>
        <v/>
      </c>
      <c r="F306" s="75">
        <f>IFERROR(__xludf.DUMMYFUNCTION("""COMPUTED_VALUE"""),"Inversiones Dekamalbaz, C.A")</f>
        <v/>
      </c>
      <c r="G306" s="76">
        <f>IFERROR(__xludf.DUMMYFUNCTION("""COMPUTED_VALUE"""),"CASERES GONZALEZ RONALD OSWALDO")</f>
        <v/>
      </c>
      <c r="H306" s="76">
        <f>IFERROR(__xludf.DUMMYFUNCTION("""COMPUTED_VALUE"""),504.9146)</f>
        <v/>
      </c>
      <c r="I306" s="75" t="n"/>
      <c r="J306" s="77">
        <f>IFERROR(__xludf.DUMMYFUNCTION("""COMPUTED_VALUE"""),175.0)</f>
        <v/>
      </c>
      <c r="K306" s="4">
        <f>IFERROR(__xludf.DUMMYFUNCTION("""COMPUTED_VALUE"""),175.0)</f>
        <v/>
      </c>
      <c r="L306" s="77">
        <f>IFERROR(__xludf.DUMMYFUNCTION("""COMPUTED_VALUE"""),175.0)</f>
        <v/>
      </c>
      <c r="O306" s="72" t="n"/>
      <c r="S306" s="4" t="n"/>
    </row>
    <row r="307">
      <c r="A307" s="74">
        <f>IFERROR(__xludf.DUMMYFUNCTION("""COMPUTED_VALUE"""),46154.0)</f>
        <v/>
      </c>
      <c r="B307" s="72">
        <f>IFERROR(__xludf.DUMMYFUNCTION("""COMPUTED_VALUE"""),87.0)</f>
        <v/>
      </c>
      <c r="C307" s="75">
        <f>IFERROR(__xludf.DUMMYFUNCTION("""COMPUTED_VALUE"""),70.0)</f>
        <v/>
      </c>
      <c r="D307" s="75">
        <f>IFERROR(__xludf.DUMMYFUNCTION("""COMPUTED_VALUE"""),"USD")</f>
        <v/>
      </c>
      <c r="E307" s="75">
        <f>IFERROR(__xludf.DUMMYFUNCTION("""COMPUTED_VALUE"""),"Efectivo USD")</f>
        <v/>
      </c>
      <c r="F307" s="75">
        <f>IFERROR(__xludf.DUMMYFUNCTION("""COMPUTED_VALUE"""),"Javier Cardenas Prato.")</f>
        <v/>
      </c>
      <c r="G307" s="76">
        <f>IFERROR(__xludf.DUMMYFUNCTION("""COMPUTED_VALUE"""),"TORO ARDILES DAVID JOSE")</f>
        <v/>
      </c>
      <c r="H307" s="76">
        <f>IFERROR(__xludf.DUMMYFUNCTION("""COMPUTED_VALUE"""),504.9146)</f>
        <v/>
      </c>
      <c r="I307" s="75" t="n"/>
      <c r="J307" s="77">
        <f>IFERROR(__xludf.DUMMYFUNCTION("""COMPUTED_VALUE"""),70.0)</f>
        <v/>
      </c>
      <c r="K307" s="4">
        <f>IFERROR(__xludf.DUMMYFUNCTION("""COMPUTED_VALUE"""),70.0)</f>
        <v/>
      </c>
      <c r="L307" s="77">
        <f>IFERROR(__xludf.DUMMYFUNCTION("""COMPUTED_VALUE"""),70.0)</f>
        <v/>
      </c>
      <c r="O307" s="72" t="n"/>
      <c r="S307" s="4" t="n"/>
    </row>
    <row r="308">
      <c r="A308" s="74">
        <f>IFERROR(__xludf.DUMMYFUNCTION("""COMPUTED_VALUE"""),46154.0)</f>
        <v/>
      </c>
      <c r="B308" s="72">
        <f>IFERROR(__xludf.DUMMYFUNCTION("""COMPUTED_VALUE"""),240.0)</f>
        <v/>
      </c>
      <c r="C308" s="75">
        <f>IFERROR(__xludf.DUMMYFUNCTION("""COMPUTED_VALUE"""),76.0)</f>
        <v/>
      </c>
      <c r="D308" s="75">
        <f>IFERROR(__xludf.DUMMYFUNCTION("""COMPUTED_VALUE"""),"USD")</f>
        <v/>
      </c>
      <c r="E308" s="75">
        <f>IFERROR(__xludf.DUMMYFUNCTION("""COMPUTED_VALUE"""),"Efectivo USD")</f>
        <v/>
      </c>
      <c r="F308" s="75">
        <f>IFERROR(__xludf.DUMMYFUNCTION("""COMPUTED_VALUE"""),"Auto repuestos Fontalvo")</f>
        <v/>
      </c>
      <c r="G308" s="76">
        <f>IFERROR(__xludf.DUMMYFUNCTION("""COMPUTED_VALUE"""),"TORO ARDILES DAVID JOSE")</f>
        <v/>
      </c>
      <c r="H308" s="76">
        <f>IFERROR(__xludf.DUMMYFUNCTION("""COMPUTED_VALUE"""),504.9146)</f>
        <v/>
      </c>
      <c r="I308" s="75" t="n"/>
      <c r="J308" s="77">
        <f>IFERROR(__xludf.DUMMYFUNCTION("""COMPUTED_VALUE"""),76.0)</f>
        <v/>
      </c>
      <c r="K308" s="4">
        <f>IFERROR(__xludf.DUMMYFUNCTION("""COMPUTED_VALUE"""),76.0)</f>
        <v/>
      </c>
      <c r="L308" s="77">
        <f>IFERROR(__xludf.DUMMYFUNCTION("""COMPUTED_VALUE"""),76.0)</f>
        <v/>
      </c>
      <c r="O308" s="72" t="n"/>
      <c r="S308" s="4" t="n"/>
    </row>
    <row r="309">
      <c r="A309" s="74">
        <f>IFERROR(__xludf.DUMMYFUNCTION("""COMPUTED_VALUE"""),46154.0)</f>
        <v/>
      </c>
      <c r="B309" s="72">
        <f>IFERROR(__xludf.DUMMYFUNCTION("""COMPUTED_VALUE"""),123.0)</f>
        <v/>
      </c>
      <c r="C309" s="75">
        <f>IFERROR(__xludf.DUMMYFUNCTION("""COMPUTED_VALUE"""),40.0)</f>
        <v/>
      </c>
      <c r="D309" s="75">
        <f>IFERROR(__xludf.DUMMYFUNCTION("""COMPUTED_VALUE"""),"USD")</f>
        <v/>
      </c>
      <c r="E309" s="75">
        <f>IFERROR(__xludf.DUMMYFUNCTION("""COMPUTED_VALUE"""),"Efectivo USD")</f>
        <v/>
      </c>
      <c r="F309" s="75">
        <f>IFERROR(__xludf.DUMMYFUNCTION("""COMPUTED_VALUE"""),"Ramon Alvarez Mota")</f>
        <v/>
      </c>
      <c r="G309" s="76">
        <f>IFERROR(__xludf.DUMMYFUNCTION("""COMPUTED_VALUE"""),"TORO ARDILES DAVID JOSE")</f>
        <v/>
      </c>
      <c r="H309" s="76">
        <f>IFERROR(__xludf.DUMMYFUNCTION("""COMPUTED_VALUE"""),504.9146)</f>
        <v/>
      </c>
      <c r="I309" s="75" t="n"/>
      <c r="J309" s="77">
        <f>IFERROR(__xludf.DUMMYFUNCTION("""COMPUTED_VALUE"""),40.0)</f>
        <v/>
      </c>
      <c r="K309" s="4">
        <f>IFERROR(__xludf.DUMMYFUNCTION("""COMPUTED_VALUE"""),40.0)</f>
        <v/>
      </c>
      <c r="L309" s="77">
        <f>IFERROR(__xludf.DUMMYFUNCTION("""COMPUTED_VALUE"""),40.0)</f>
        <v/>
      </c>
      <c r="O309" s="72" t="n"/>
      <c r="S309" s="4" t="n"/>
    </row>
    <row r="310">
      <c r="A310" s="74">
        <f>IFERROR(__xludf.DUMMYFUNCTION("""COMPUTED_VALUE"""),46154.0)</f>
        <v/>
      </c>
      <c r="B310" s="72">
        <f>IFERROR(__xludf.DUMMYFUNCTION("""COMPUTED_VALUE"""),187.0)</f>
        <v/>
      </c>
      <c r="C310" s="75">
        <f>IFERROR(__xludf.DUMMYFUNCTION("""COMPUTED_VALUE"""),117.0)</f>
        <v/>
      </c>
      <c r="D310" s="75">
        <f>IFERROR(__xludf.DUMMYFUNCTION("""COMPUTED_VALUE"""),"USD")</f>
        <v/>
      </c>
      <c r="E310" s="75">
        <f>IFERROR(__xludf.DUMMYFUNCTION("""COMPUTED_VALUE"""),"Efectivo USD")</f>
        <v/>
      </c>
      <c r="F310" s="75">
        <f>IFERROR(__xludf.DUMMYFUNCTION("""COMPUTED_VALUE"""),"HP Repuestos 2007 C.A")</f>
        <v/>
      </c>
      <c r="G310" s="76">
        <f>IFERROR(__xludf.DUMMYFUNCTION("""COMPUTED_VALUE"""),"GRIMAN DIAZ HECTOR EDUARDO")</f>
        <v/>
      </c>
      <c r="H310" s="76">
        <f>IFERROR(__xludf.DUMMYFUNCTION("""COMPUTED_VALUE"""),504.9146)</f>
        <v/>
      </c>
      <c r="I310" s="75" t="n"/>
      <c r="J310" s="77">
        <f>IFERROR(__xludf.DUMMYFUNCTION("""COMPUTED_VALUE"""),117.0)</f>
        <v/>
      </c>
      <c r="K310" s="4">
        <f>IFERROR(__xludf.DUMMYFUNCTION("""COMPUTED_VALUE"""),117.0)</f>
        <v/>
      </c>
      <c r="L310" s="77">
        <f>IFERROR(__xludf.DUMMYFUNCTION("""COMPUTED_VALUE"""),117.0)</f>
        <v/>
      </c>
      <c r="O310" s="72" t="n"/>
      <c r="S310" s="4" t="n"/>
    </row>
    <row r="311">
      <c r="A311" s="74">
        <f>IFERROR(__xludf.DUMMYFUNCTION("""COMPUTED_VALUE"""),46154.0)</f>
        <v/>
      </c>
      <c r="B311" s="72">
        <f>IFERROR(__xludf.DUMMYFUNCTION("""COMPUTED_VALUE"""),204.0)</f>
        <v/>
      </c>
      <c r="C311" s="75">
        <f>IFERROR(__xludf.DUMMYFUNCTION("""COMPUTED_VALUE"""),40.0)</f>
        <v/>
      </c>
      <c r="D311" s="75">
        <f>IFERROR(__xludf.DUMMYFUNCTION("""COMPUTED_VALUE"""),"USD")</f>
        <v/>
      </c>
      <c r="E311" s="75">
        <f>IFERROR(__xludf.DUMMYFUNCTION("""COMPUTED_VALUE"""),"Efectivo USD")</f>
        <v/>
      </c>
      <c r="F311" s="75">
        <f>IFERROR(__xludf.DUMMYFUNCTION("""COMPUTED_VALUE"""),"Motolavado Yahir")</f>
        <v/>
      </c>
      <c r="G311" s="76">
        <f>IFERROR(__xludf.DUMMYFUNCTION("""COMPUTED_VALUE"""),"GRIMAN DIAZ HECTOR EDUARDO")</f>
        <v/>
      </c>
      <c r="H311" s="76">
        <f>IFERROR(__xludf.DUMMYFUNCTION("""COMPUTED_VALUE"""),504.9146)</f>
        <v/>
      </c>
      <c r="I311" s="75" t="n"/>
      <c r="J311" s="77">
        <f>IFERROR(__xludf.DUMMYFUNCTION("""COMPUTED_VALUE"""),40.0)</f>
        <v/>
      </c>
      <c r="K311" s="4">
        <f>IFERROR(__xludf.DUMMYFUNCTION("""COMPUTED_VALUE"""),40.0)</f>
        <v/>
      </c>
      <c r="L311" s="77">
        <f>IFERROR(__xludf.DUMMYFUNCTION("""COMPUTED_VALUE"""),40.0)</f>
        <v/>
      </c>
      <c r="O311" s="72" t="n"/>
      <c r="S311" s="4" t="n"/>
    </row>
    <row r="312">
      <c r="A312" s="74">
        <f>IFERROR(__xludf.DUMMYFUNCTION("""COMPUTED_VALUE"""),46154.0)</f>
        <v/>
      </c>
      <c r="B312" s="72">
        <f>IFERROR(__xludf.DUMMYFUNCTION("""COMPUTED_VALUE"""),103.0)</f>
        <v/>
      </c>
      <c r="C312" s="75">
        <f>IFERROR(__xludf.DUMMYFUNCTION("""COMPUTED_VALUE"""),100.0)</f>
        <v/>
      </c>
      <c r="D312" s="75">
        <f>IFERROR(__xludf.DUMMYFUNCTION("""COMPUTED_VALUE"""),"USD")</f>
        <v/>
      </c>
      <c r="E312" s="75">
        <f>IFERROR(__xludf.DUMMYFUNCTION("""COMPUTED_VALUE"""),"Efectivo USD")</f>
        <v/>
      </c>
      <c r="F312" s="75">
        <f>IFERROR(__xludf.DUMMYFUNCTION("""COMPUTED_VALUE"""),"Alexis Rodríguez Fernández")</f>
        <v/>
      </c>
      <c r="G312" s="76">
        <f>IFERROR(__xludf.DUMMYFUNCTION("""COMPUTED_VALUE"""),"PEREZ DIAZ ANGEL DE DIOS")</f>
        <v/>
      </c>
      <c r="H312" s="76">
        <f>IFERROR(__xludf.DUMMYFUNCTION("""COMPUTED_VALUE"""),504.9146)</f>
        <v/>
      </c>
      <c r="I312" s="75" t="n"/>
      <c r="J312" s="77">
        <f>IFERROR(__xludf.DUMMYFUNCTION("""COMPUTED_VALUE"""),100.0)</f>
        <v/>
      </c>
      <c r="K312" s="4">
        <f>IFERROR(__xludf.DUMMYFUNCTION("""COMPUTED_VALUE"""),100.0)</f>
        <v/>
      </c>
      <c r="L312" s="77">
        <f>IFERROR(__xludf.DUMMYFUNCTION("""COMPUTED_VALUE"""),100.0)</f>
        <v/>
      </c>
      <c r="O312" s="72" t="n"/>
      <c r="S312" s="4" t="n"/>
    </row>
    <row r="313">
      <c r="A313" s="74">
        <f>IFERROR(__xludf.DUMMYFUNCTION("""COMPUTED_VALUE"""),46154.0)</f>
        <v/>
      </c>
      <c r="B313" s="72">
        <f>IFERROR(__xludf.DUMMYFUNCTION("""COMPUTED_VALUE"""),199.0)</f>
        <v/>
      </c>
      <c r="C313" s="75">
        <f>IFERROR(__xludf.DUMMYFUNCTION("""COMPUTED_VALUE"""),140.0)</f>
        <v/>
      </c>
      <c r="D313" s="75">
        <f>IFERROR(__xludf.DUMMYFUNCTION("""COMPUTED_VALUE"""),"USD")</f>
        <v/>
      </c>
      <c r="E313" s="75">
        <f>IFERROR(__xludf.DUMMYFUNCTION("""COMPUTED_VALUE"""),"Efectivo USD")</f>
        <v/>
      </c>
      <c r="F313" s="75">
        <f>IFERROR(__xludf.DUMMYFUNCTION("""COMPUTED_VALUE"""),"PROYECTO MAQUIVEIRO 21 C.A.")</f>
        <v/>
      </c>
      <c r="G313" s="76">
        <f>IFERROR(__xludf.DUMMYFUNCTION("""COMPUTED_VALUE"""),"MARTINEZ MONTES JEFFREY ENRIQUE")</f>
        <v/>
      </c>
      <c r="H313" s="76">
        <f>IFERROR(__xludf.DUMMYFUNCTION("""COMPUTED_VALUE"""),504.9146)</f>
        <v/>
      </c>
      <c r="I313" s="75" t="n"/>
      <c r="J313" s="77">
        <f>IFERROR(__xludf.DUMMYFUNCTION("""COMPUTED_VALUE"""),140.0)</f>
        <v/>
      </c>
      <c r="K313" s="4">
        <f>IFERROR(__xludf.DUMMYFUNCTION("""COMPUTED_VALUE"""),140.0)</f>
        <v/>
      </c>
      <c r="L313" s="77">
        <f>IFERROR(__xludf.DUMMYFUNCTION("""COMPUTED_VALUE"""),140.0)</f>
        <v/>
      </c>
      <c r="O313" s="72" t="n"/>
      <c r="S313" s="4" t="n"/>
    </row>
    <row r="314">
      <c r="A314" s="74">
        <f>IFERROR(__xludf.DUMMYFUNCTION("""COMPUTED_VALUE"""),46154.0)</f>
        <v/>
      </c>
      <c r="B314" s="72">
        <f>IFERROR(__xludf.DUMMYFUNCTION("""COMPUTED_VALUE"""),287.0)</f>
        <v/>
      </c>
      <c r="C314" s="75">
        <f>IFERROR(__xludf.DUMMYFUNCTION("""COMPUTED_VALUE"""),20.0)</f>
        <v/>
      </c>
      <c r="D314" s="75">
        <f>IFERROR(__xludf.DUMMYFUNCTION("""COMPUTED_VALUE"""),"USD")</f>
        <v/>
      </c>
      <c r="E314" s="75">
        <f>IFERROR(__xludf.DUMMYFUNCTION("""COMPUTED_VALUE"""),"Efectivo USD")</f>
        <v/>
      </c>
      <c r="F314" s="75">
        <f>IFERROR(__xludf.DUMMYFUNCTION("""COMPUTED_VALUE"""),"Javier gregorio Espinoza")</f>
        <v/>
      </c>
      <c r="G314" s="76">
        <f>IFERROR(__xludf.DUMMYFUNCTION("""COMPUTED_VALUE"""),"MARTINEZ MONTES JEFFREY ENRIQUE")</f>
        <v/>
      </c>
      <c r="H314" s="76">
        <f>IFERROR(__xludf.DUMMYFUNCTION("""COMPUTED_VALUE"""),504.9146)</f>
        <v/>
      </c>
      <c r="I314" s="75" t="n"/>
      <c r="J314" s="77">
        <f>IFERROR(__xludf.DUMMYFUNCTION("""COMPUTED_VALUE"""),20.0)</f>
        <v/>
      </c>
      <c r="K314" s="4">
        <f>IFERROR(__xludf.DUMMYFUNCTION("""COMPUTED_VALUE"""),20.0)</f>
        <v/>
      </c>
      <c r="L314" s="77">
        <f>IFERROR(__xludf.DUMMYFUNCTION("""COMPUTED_VALUE"""),20.0)</f>
        <v/>
      </c>
      <c r="O314" s="72" t="n"/>
      <c r="S314" s="4" t="n"/>
    </row>
    <row r="315">
      <c r="A315" s="74">
        <f>IFERROR(__xludf.DUMMYFUNCTION("""COMPUTED_VALUE"""),46155.0)</f>
        <v/>
      </c>
      <c r="B315" s="72">
        <f>IFERROR(__xludf.DUMMYFUNCTION("""COMPUTED_VALUE"""),61.0)</f>
        <v/>
      </c>
      <c r="C315" s="75">
        <f>IFERROR(__xludf.DUMMYFUNCTION("""COMPUTED_VALUE"""),600.0)</f>
        <v/>
      </c>
      <c r="D315" s="75">
        <f>IFERROR(__xludf.DUMMYFUNCTION("""COMPUTED_VALUE"""),"USD")</f>
        <v/>
      </c>
      <c r="E315" s="75">
        <f>IFERROR(__xludf.DUMMYFUNCTION("""COMPUTED_VALUE"""),"Zelle")</f>
        <v/>
      </c>
      <c r="F315" s="75">
        <f>IFERROR(__xludf.DUMMYFUNCTION("""COMPUTED_VALUE"""),"SJMG 2012 C.A")</f>
        <v/>
      </c>
      <c r="G315" s="76">
        <f>IFERROR(__xludf.DUMMYFUNCTION("""COMPUTED_VALUE"""),"GRIMAN DIAZ HECTOR EDUARDO")</f>
        <v/>
      </c>
      <c r="H315" s="76">
        <f>IFERROR(__xludf.DUMMYFUNCTION("""COMPUTED_VALUE"""),508.6004)</f>
        <v/>
      </c>
      <c r="I315" s="75" t="n"/>
      <c r="J315" s="77">
        <f>IFERROR(__xludf.DUMMYFUNCTION("""COMPUTED_VALUE"""),600.0)</f>
        <v/>
      </c>
      <c r="K315" s="4">
        <f>IFERROR(__xludf.DUMMYFUNCTION("""COMPUTED_VALUE"""),600.0)</f>
        <v/>
      </c>
      <c r="L315" s="77">
        <f>IFERROR(__xludf.DUMMYFUNCTION("""COMPUTED_VALUE"""),600.0)</f>
        <v/>
      </c>
      <c r="O315" s="72" t="n"/>
      <c r="S315" s="4" t="n"/>
    </row>
    <row r="316">
      <c r="A316" s="74">
        <f>IFERROR(__xludf.DUMMYFUNCTION("""COMPUTED_VALUE"""),46149.0)</f>
        <v/>
      </c>
      <c r="B316" s="72">
        <f>IFERROR(__xludf.DUMMYFUNCTION("""COMPUTED_VALUE"""),174.0)</f>
        <v/>
      </c>
      <c r="C316" s="75">
        <f>IFERROR(__xludf.DUMMYFUNCTION("""COMPUTED_VALUE"""),50860.0)</f>
        <v/>
      </c>
      <c r="D316" s="75">
        <f>IFERROR(__xludf.DUMMYFUNCTION("""COMPUTED_VALUE"""),"VES")</f>
        <v/>
      </c>
      <c r="E316" s="75">
        <f>IFERROR(__xludf.DUMMYFUNCTION("""COMPUTED_VALUE"""),"Bancamiga")</f>
        <v/>
      </c>
      <c r="F316" s="75">
        <f>IFERROR(__xludf.DUMMYFUNCTION("""COMPUTED_VALUE"""),"DISTRIBUIDORA E.P.L.C  2017, c.a.")</f>
        <v/>
      </c>
      <c r="G316" s="76">
        <f>IFERROR(__xludf.DUMMYFUNCTION("""COMPUTED_VALUE"""),"VILLABONA CORREA ALBA ESTEFANIA")</f>
        <v/>
      </c>
      <c r="H316" s="76">
        <f>IFERROR(__xludf.DUMMYFUNCTION("""COMPUTED_VALUE"""),496.8301)</f>
        <v/>
      </c>
      <c r="I316" s="75" t="n"/>
      <c r="J316" s="77">
        <f>IFERROR(__xludf.DUMMYFUNCTION("""COMPUTED_VALUE"""),102.3689989797317)</f>
        <v/>
      </c>
      <c r="K316" s="4">
        <f>IFERROR(__xludf.DUMMYFUNCTION("""COMPUTED_VALUE"""),0.0)</f>
        <v/>
      </c>
      <c r="L316" s="77">
        <f>IFERROR(__xludf.DUMMYFUNCTION("""COMPUTED_VALUE"""),102.3689989797317)</f>
        <v/>
      </c>
      <c r="O316" s="72" t="n"/>
      <c r="S316" s="4" t="n"/>
    </row>
    <row r="317">
      <c r="A317" s="74">
        <f>IFERROR(__xludf.DUMMYFUNCTION("""COMPUTED_VALUE"""),46155.0)</f>
        <v/>
      </c>
      <c r="B317" s="72">
        <f>IFERROR(__xludf.DUMMYFUNCTION("""COMPUTED_VALUE"""),380.0)</f>
        <v/>
      </c>
      <c r="C317" s="75">
        <f>IFERROR(__xludf.DUMMYFUNCTION("""COMPUTED_VALUE"""),10.0)</f>
        <v/>
      </c>
      <c r="D317" s="75">
        <f>IFERROR(__xludf.DUMMYFUNCTION("""COMPUTED_VALUE"""),"USD")</f>
        <v/>
      </c>
      <c r="E317" s="75">
        <f>IFERROR(__xludf.DUMMYFUNCTION("""COMPUTED_VALUE"""),"Efectivo USD")</f>
        <v/>
      </c>
      <c r="F317" s="75">
        <f>IFERROR(__xludf.DUMMYFUNCTION("""COMPUTED_VALUE"""),"Junior Marco Antonio Vivas Navas")</f>
        <v/>
      </c>
      <c r="G317" s="76">
        <f>IFERROR(__xludf.DUMMYFUNCTION("""COMPUTED_VALUE"""),"MARTINEZ MONTES JEFFREY ENRIQUE")</f>
        <v/>
      </c>
      <c r="H317" s="76">
        <f>IFERROR(__xludf.DUMMYFUNCTION("""COMPUTED_VALUE"""),508.6004)</f>
        <v/>
      </c>
      <c r="I317" s="75" t="n"/>
      <c r="J317" s="77">
        <f>IFERROR(__xludf.DUMMYFUNCTION("""COMPUTED_VALUE"""),10.0)</f>
        <v/>
      </c>
      <c r="K317" s="4">
        <f>IFERROR(__xludf.DUMMYFUNCTION("""COMPUTED_VALUE"""),10.0)</f>
        <v/>
      </c>
      <c r="L317" s="77">
        <f>IFERROR(__xludf.DUMMYFUNCTION("""COMPUTED_VALUE"""),10.0)</f>
        <v/>
      </c>
      <c r="O317" s="72" t="n"/>
      <c r="S317" s="4" t="n"/>
    </row>
    <row r="318">
      <c r="A318" s="74">
        <f>IFERROR(__xludf.DUMMYFUNCTION("""COMPUTED_VALUE"""),46156.0)</f>
        <v/>
      </c>
      <c r="B318" s="72">
        <f>IFERROR(__xludf.DUMMYFUNCTION("""COMPUTED_VALUE"""),201.0)</f>
        <v/>
      </c>
      <c r="C318" s="75">
        <f>IFERROR(__xludf.DUMMYFUNCTION("""COMPUTED_VALUE"""),130.0)</f>
        <v/>
      </c>
      <c r="D318" s="75">
        <f>IFERROR(__xludf.DUMMYFUNCTION("""COMPUTED_VALUE"""),"USD")</f>
        <v/>
      </c>
      <c r="E318" s="75">
        <f>IFERROR(__xludf.DUMMYFUNCTION("""COMPUTED_VALUE"""),"Efectivo USD")</f>
        <v/>
      </c>
      <c r="F318" s="75">
        <f>IFERROR(__xludf.DUMMYFUNCTION("""COMPUTED_VALUE"""),"Junior Marco Antonio Vivas Navas")</f>
        <v/>
      </c>
      <c r="G318" s="76">
        <f>IFERROR(__xludf.DUMMYFUNCTION("""COMPUTED_VALUE"""),"MARTINEZ MONTES JEFFREY ENRIQUE")</f>
        <v/>
      </c>
      <c r="H318" s="76">
        <f>IFERROR(__xludf.DUMMYFUNCTION("""COMPUTED_VALUE"""),510.7873)</f>
        <v/>
      </c>
      <c r="I318" s="75" t="n"/>
      <c r="J318" s="77">
        <f>IFERROR(__xludf.DUMMYFUNCTION("""COMPUTED_VALUE"""),130.0)</f>
        <v/>
      </c>
      <c r="K318" s="4">
        <f>IFERROR(__xludf.DUMMYFUNCTION("""COMPUTED_VALUE"""),130.0)</f>
        <v/>
      </c>
      <c r="L318" s="77">
        <f>IFERROR(__xludf.DUMMYFUNCTION("""COMPUTED_VALUE"""),130.0)</f>
        <v/>
      </c>
      <c r="O318" s="72" t="n"/>
      <c r="S318" s="4" t="n"/>
    </row>
    <row r="319">
      <c r="A319" s="74">
        <f>IFERROR(__xludf.DUMMYFUNCTION("""COMPUTED_VALUE"""),46155.0)</f>
        <v/>
      </c>
      <c r="B319" s="72">
        <f>IFERROR(__xludf.DUMMYFUNCTION("""COMPUTED_VALUE"""),203.0)</f>
        <v/>
      </c>
      <c r="C319" s="75">
        <f>IFERROR(__xludf.DUMMYFUNCTION("""COMPUTED_VALUE"""),68.0)</f>
        <v/>
      </c>
      <c r="D319" s="75">
        <f>IFERROR(__xludf.DUMMYFUNCTION("""COMPUTED_VALUE"""),"USD")</f>
        <v/>
      </c>
      <c r="E319" s="75">
        <f>IFERROR(__xludf.DUMMYFUNCTION("""COMPUTED_VALUE"""),"Efectivo USD")</f>
        <v/>
      </c>
      <c r="F319" s="75">
        <f>IFERROR(__xludf.DUMMYFUNCTION("""COMPUTED_VALUE"""),"Moto Repuestos Sanz 11. C.A.")</f>
        <v/>
      </c>
      <c r="G319" s="76">
        <f>IFERROR(__xludf.DUMMYFUNCTION("""COMPUTED_VALUE"""),"MARTINEZ MONTES JEFFREY ENRIQUE")</f>
        <v/>
      </c>
      <c r="H319" s="76">
        <f>IFERROR(__xludf.DUMMYFUNCTION("""COMPUTED_VALUE"""),508.6004)</f>
        <v/>
      </c>
      <c r="I319" s="75" t="n"/>
      <c r="J319" s="77">
        <f>IFERROR(__xludf.DUMMYFUNCTION("""COMPUTED_VALUE"""),68.0)</f>
        <v/>
      </c>
      <c r="K319" s="4">
        <f>IFERROR(__xludf.DUMMYFUNCTION("""COMPUTED_VALUE"""),68.0)</f>
        <v/>
      </c>
      <c r="L319" s="77">
        <f>IFERROR(__xludf.DUMMYFUNCTION("""COMPUTED_VALUE"""),68.0)</f>
        <v/>
      </c>
      <c r="O319" s="72" t="n"/>
      <c r="S319" s="4" t="n"/>
    </row>
    <row r="320">
      <c r="A320" s="74">
        <f>IFERROR(__xludf.DUMMYFUNCTION("""COMPUTED_VALUE"""),46155.0)</f>
        <v/>
      </c>
      <c r="B320" s="72">
        <f>IFERROR(__xludf.DUMMYFUNCTION("""COMPUTED_VALUE"""),365.0)</f>
        <v/>
      </c>
      <c r="C320" s="75">
        <f>IFERROR(__xludf.DUMMYFUNCTION("""COMPUTED_VALUE"""),51725.0)</f>
        <v/>
      </c>
      <c r="D320" s="75">
        <f>IFERROR(__xludf.DUMMYFUNCTION("""COMPUTED_VALUE"""),"VES")</f>
        <v/>
      </c>
      <c r="E320" s="75">
        <f>IFERROR(__xludf.DUMMYFUNCTION("""COMPUTED_VALUE"""),"Bancamiga")</f>
        <v/>
      </c>
      <c r="F320" s="75">
        <f>IFERROR(__xludf.DUMMYFUNCTION("""COMPUTED_VALUE"""),"Kiosco Willianny 1013, C.A")</f>
        <v/>
      </c>
      <c r="G320" s="76">
        <f>IFERROR(__xludf.DUMMYFUNCTION("""COMPUTED_VALUE"""),"QUEVEDO BASTIDAS NEYKEL DAVID")</f>
        <v/>
      </c>
      <c r="H320" s="76">
        <f>IFERROR(__xludf.DUMMYFUNCTION("""COMPUTED_VALUE"""),508.6004)</f>
        <v/>
      </c>
      <c r="I320" s="75" t="n"/>
      <c r="J320" s="77">
        <f>IFERROR(__xludf.DUMMYFUNCTION("""COMPUTED_VALUE"""),101.70066716424132)</f>
        <v/>
      </c>
      <c r="K320" s="4">
        <f>IFERROR(__xludf.DUMMYFUNCTION("""COMPUTED_VALUE"""),0.0)</f>
        <v/>
      </c>
      <c r="L320" s="77">
        <f>IFERROR(__xludf.DUMMYFUNCTION("""COMPUTED_VALUE"""),101.70066716424132)</f>
        <v/>
      </c>
      <c r="O320" s="72" t="n"/>
      <c r="S320" s="4" t="n"/>
    </row>
    <row r="321">
      <c r="A321" s="74">
        <f>IFERROR(__xludf.DUMMYFUNCTION("""COMPUTED_VALUE"""),46155.0)</f>
        <v/>
      </c>
      <c r="B321" s="72">
        <f>IFERROR(__xludf.DUMMYFUNCTION("""COMPUTED_VALUE"""),242.0)</f>
        <v/>
      </c>
      <c r="C321" s="75">
        <f>IFERROR(__xludf.DUMMYFUNCTION("""COMPUTED_VALUE"""),675.0)</f>
        <v/>
      </c>
      <c r="D321" s="75">
        <f>IFERROR(__xludf.DUMMYFUNCTION("""COMPUTED_VALUE"""),"USD")</f>
        <v/>
      </c>
      <c r="E321" s="75">
        <f>IFERROR(__xludf.DUMMYFUNCTION("""COMPUTED_VALUE"""),"Efectivo USD")</f>
        <v/>
      </c>
      <c r="F321" s="75">
        <f>IFERROR(__xludf.DUMMYFUNCTION("""COMPUTED_VALUE"""),"Servicios de Gruas Torgil 300, c.a.")</f>
        <v/>
      </c>
      <c r="G321" s="76">
        <f>IFERROR(__xludf.DUMMYFUNCTION("""COMPUTED_VALUE"""),"QUEVEDO BASTIDAS NEYKEL DAVID")</f>
        <v/>
      </c>
      <c r="H321" s="76">
        <f>IFERROR(__xludf.DUMMYFUNCTION("""COMPUTED_VALUE"""),508.6004)</f>
        <v/>
      </c>
      <c r="I321" s="75" t="n"/>
      <c r="J321" s="77">
        <f>IFERROR(__xludf.DUMMYFUNCTION("""COMPUTED_VALUE"""),675.0)</f>
        <v/>
      </c>
      <c r="K321" s="4">
        <f>IFERROR(__xludf.DUMMYFUNCTION("""COMPUTED_VALUE"""),675.0)</f>
        <v/>
      </c>
      <c r="L321" s="77">
        <f>IFERROR(__xludf.DUMMYFUNCTION("""COMPUTED_VALUE"""),675.0)</f>
        <v/>
      </c>
      <c r="O321" s="72" t="n"/>
      <c r="S321" s="4" t="n"/>
    </row>
    <row r="322">
      <c r="A322" s="74">
        <f>IFERROR(__xludf.DUMMYFUNCTION("""COMPUTED_VALUE"""),46155.0)</f>
        <v/>
      </c>
      <c r="B322" s="72">
        <f>IFERROR(__xludf.DUMMYFUNCTION("""COMPUTED_VALUE"""),372.0)</f>
        <v/>
      </c>
      <c r="C322" s="75">
        <f>IFERROR(__xludf.DUMMYFUNCTION("""COMPUTED_VALUE"""),282421.33)</f>
        <v/>
      </c>
      <c r="D322" s="75">
        <f>IFERROR(__xludf.DUMMYFUNCTION("""COMPUTED_VALUE"""),"VES")</f>
        <v/>
      </c>
      <c r="E322" s="75">
        <f>IFERROR(__xludf.DUMMYFUNCTION("""COMPUTED_VALUE"""),"Bancamiga")</f>
        <v/>
      </c>
      <c r="F322" s="75">
        <f>IFERROR(__xludf.DUMMYFUNCTION("""COMPUTED_VALUE"""),"En ascenso 2011,c.a.")</f>
        <v/>
      </c>
      <c r="G322" s="76">
        <f>IFERROR(__xludf.DUMMYFUNCTION("""COMPUTED_VALUE"""),"CASERES GONZALEZ RONALD OSWALDO")</f>
        <v/>
      </c>
      <c r="H322" s="76">
        <f>IFERROR(__xludf.DUMMYFUNCTION("""COMPUTED_VALUE"""),508.6004)</f>
        <v/>
      </c>
      <c r="I322" s="75" t="n"/>
      <c r="J322" s="77">
        <f>IFERROR(__xludf.DUMMYFUNCTION("""COMPUTED_VALUE"""),555.2912070065223)</f>
        <v/>
      </c>
      <c r="K322" s="4">
        <f>IFERROR(__xludf.DUMMYFUNCTION("""COMPUTED_VALUE"""),0.0)</f>
        <v/>
      </c>
      <c r="L322" s="77">
        <f>IFERROR(__xludf.DUMMYFUNCTION("""COMPUTED_VALUE"""),555.2912070065223)</f>
        <v/>
      </c>
      <c r="O322" s="72" t="n"/>
      <c r="S322" s="4" t="n"/>
    </row>
    <row r="323">
      <c r="A323" s="74">
        <f>IFERROR(__xludf.DUMMYFUNCTION("""COMPUTED_VALUE"""),46156.0)</f>
        <v/>
      </c>
      <c r="B323" s="72">
        <f>IFERROR(__xludf.DUMMYFUNCTION("""COMPUTED_VALUE"""),14.0)</f>
        <v/>
      </c>
      <c r="C323" s="75">
        <f>IFERROR(__xludf.DUMMYFUNCTION("""COMPUTED_VALUE"""),24594.69)</f>
        <v/>
      </c>
      <c r="D323" s="75">
        <f>IFERROR(__xludf.DUMMYFUNCTION("""COMPUTED_VALUE"""),"VES")</f>
        <v/>
      </c>
      <c r="E323" s="75">
        <f>IFERROR(__xludf.DUMMYFUNCTION("""COMPUTED_VALUE"""),"Bancamiga")</f>
        <v/>
      </c>
      <c r="F323" s="75">
        <f>IFERROR(__xludf.DUMMYFUNCTION("""COMPUTED_VALUE"""),"SPEED RACING, CA")</f>
        <v/>
      </c>
      <c r="G323" s="76">
        <f>IFERROR(__xludf.DUMMYFUNCTION("""COMPUTED_VALUE"""),"CASERES GONZALEZ RONALD OSWALDO")</f>
        <v/>
      </c>
      <c r="H323" s="76">
        <f>IFERROR(__xludf.DUMMYFUNCTION("""COMPUTED_VALUE"""),510.7873)</f>
        <v/>
      </c>
      <c r="I323" s="75" t="n"/>
      <c r="J323" s="77">
        <f>IFERROR(__xludf.DUMMYFUNCTION("""COMPUTED_VALUE"""),48.15055111981053)</f>
        <v/>
      </c>
      <c r="K323" s="4">
        <f>IFERROR(__xludf.DUMMYFUNCTION("""COMPUTED_VALUE"""),0.0)</f>
        <v/>
      </c>
      <c r="L323" s="77">
        <f>IFERROR(__xludf.DUMMYFUNCTION("""COMPUTED_VALUE"""),48.15055111981053)</f>
        <v/>
      </c>
      <c r="O323" s="72" t="n"/>
      <c r="S323" s="4" t="n"/>
    </row>
    <row r="324">
      <c r="A324" s="74">
        <f>IFERROR(__xludf.DUMMYFUNCTION("""COMPUTED_VALUE"""),46156.0)</f>
        <v/>
      </c>
      <c r="B324" s="72">
        <f>IFERROR(__xludf.DUMMYFUNCTION("""COMPUTED_VALUE"""),14.0)</f>
        <v/>
      </c>
      <c r="C324" s="75">
        <f>IFERROR(__xludf.DUMMYFUNCTION("""COMPUTED_VALUE"""),9761.32)</f>
        <v/>
      </c>
      <c r="D324" s="75">
        <f>IFERROR(__xludf.DUMMYFUNCTION("""COMPUTED_VALUE"""),"VES")</f>
        <v/>
      </c>
      <c r="E324" s="75">
        <f>IFERROR(__xludf.DUMMYFUNCTION("""COMPUTED_VALUE"""),"Bancamiga")</f>
        <v/>
      </c>
      <c r="F324" s="75">
        <f>IFERROR(__xludf.DUMMYFUNCTION("""COMPUTED_VALUE"""),"SPEED RACING, CA")</f>
        <v/>
      </c>
      <c r="G324" s="76">
        <f>IFERROR(__xludf.DUMMYFUNCTION("""COMPUTED_VALUE"""),"CASERES GONZALEZ RONALD OSWALDO")</f>
        <v/>
      </c>
      <c r="H324" s="76">
        <f>IFERROR(__xludf.DUMMYFUNCTION("""COMPUTED_VALUE"""),510.7873)</f>
        <v/>
      </c>
      <c r="I324" s="75" t="n"/>
      <c r="J324" s="77">
        <f>IFERROR(__xludf.DUMMYFUNCTION("""COMPUTED_VALUE"""),19.110342015159734)</f>
        <v/>
      </c>
      <c r="K324" s="4">
        <f>IFERROR(__xludf.DUMMYFUNCTION("""COMPUTED_VALUE"""),0.0)</f>
        <v/>
      </c>
      <c r="L324" s="77">
        <f>IFERROR(__xludf.DUMMYFUNCTION("""COMPUTED_VALUE"""),19.110342015159734)</f>
        <v/>
      </c>
      <c r="O324" s="72" t="n"/>
      <c r="S324" s="4" t="n"/>
    </row>
    <row r="325">
      <c r="A325" s="74">
        <f>IFERROR(__xludf.DUMMYFUNCTION("""COMPUTED_VALUE"""),46156.0)</f>
        <v/>
      </c>
      <c r="B325" s="72">
        <f>IFERROR(__xludf.DUMMYFUNCTION("""COMPUTED_VALUE"""),113.0)</f>
        <v/>
      </c>
      <c r="C325" s="75">
        <f>IFERROR(__xludf.DUMMYFUNCTION("""COMPUTED_VALUE"""),72.0)</f>
        <v/>
      </c>
      <c r="D325" s="75">
        <f>IFERROR(__xludf.DUMMYFUNCTION("""COMPUTED_VALUE"""),"USD")</f>
        <v/>
      </c>
      <c r="E325" s="75">
        <f>IFERROR(__xludf.DUMMYFUNCTION("""COMPUTED_VALUE"""),"Efectivo USD")</f>
        <v/>
      </c>
      <c r="F325" s="75">
        <f>IFERROR(__xludf.DUMMYFUNCTION("""COMPUTED_VALUE"""),"Franklin J. Mijares S.")</f>
        <v/>
      </c>
      <c r="G325" s="76">
        <f>IFERROR(__xludf.DUMMYFUNCTION("""COMPUTED_VALUE"""),"CASERES GONZALEZ RONALD OSWALDO")</f>
        <v/>
      </c>
      <c r="H325" s="76">
        <f>IFERROR(__xludf.DUMMYFUNCTION("""COMPUTED_VALUE"""),510.7873)</f>
        <v/>
      </c>
      <c r="I325" s="75" t="n"/>
      <c r="J325" s="77">
        <f>IFERROR(__xludf.DUMMYFUNCTION("""COMPUTED_VALUE"""),72.0)</f>
        <v/>
      </c>
      <c r="K325" s="4">
        <f>IFERROR(__xludf.DUMMYFUNCTION("""COMPUTED_VALUE"""),72.0)</f>
        <v/>
      </c>
      <c r="L325" s="77">
        <f>IFERROR(__xludf.DUMMYFUNCTION("""COMPUTED_VALUE"""),72.0)</f>
        <v/>
      </c>
      <c r="O325" s="72" t="n"/>
      <c r="S325" s="4" t="n"/>
    </row>
    <row r="326">
      <c r="A326" s="74">
        <f>IFERROR(__xludf.DUMMYFUNCTION("""COMPUTED_VALUE"""),46156.0)</f>
        <v/>
      </c>
      <c r="B326" s="72">
        <f>IFERROR(__xludf.DUMMYFUNCTION("""COMPUTED_VALUE"""),382.0)</f>
        <v/>
      </c>
      <c r="C326" s="75">
        <f>IFERROR(__xludf.DUMMYFUNCTION("""COMPUTED_VALUE"""),103438.0)</f>
        <v/>
      </c>
      <c r="D326" s="75">
        <f>IFERROR(__xludf.DUMMYFUNCTION("""COMPUTED_VALUE"""),"VES")</f>
        <v/>
      </c>
      <c r="E326" s="75">
        <f>IFERROR(__xludf.DUMMYFUNCTION("""COMPUTED_VALUE"""),"Bancamiga")</f>
        <v/>
      </c>
      <c r="F326" s="75">
        <f>IFERROR(__xludf.DUMMYFUNCTION("""COMPUTED_VALUE"""),"Montura de Cauchos Biondo,c.a.")</f>
        <v/>
      </c>
      <c r="G326" s="76">
        <f>IFERROR(__xludf.DUMMYFUNCTION("""COMPUTED_VALUE"""),"VILLABONA CORREA ALBA ESTEFANIA")</f>
        <v/>
      </c>
      <c r="H326" s="76">
        <f>IFERROR(__xludf.DUMMYFUNCTION("""COMPUTED_VALUE"""),510.7873)</f>
        <v/>
      </c>
      <c r="I326" s="75" t="n"/>
      <c r="J326" s="77">
        <f>IFERROR(__xludf.DUMMYFUNCTION("""COMPUTED_VALUE"""),202.5069926366611)</f>
        <v/>
      </c>
      <c r="K326" s="4">
        <f>IFERROR(__xludf.DUMMYFUNCTION("""COMPUTED_VALUE"""),0.0)</f>
        <v/>
      </c>
      <c r="L326" s="77">
        <f>IFERROR(__xludf.DUMMYFUNCTION("""COMPUTED_VALUE"""),202.5069926366611)</f>
        <v/>
      </c>
      <c r="O326" s="72" t="n"/>
      <c r="S326" s="4" t="n"/>
    </row>
    <row r="327">
      <c r="A327" s="74">
        <f>IFERROR(__xludf.DUMMYFUNCTION("""COMPUTED_VALUE"""),46156.0)</f>
        <v/>
      </c>
      <c r="B327" s="72">
        <f>IFERROR(__xludf.DUMMYFUNCTION("""COMPUTED_VALUE"""),40.0)</f>
        <v/>
      </c>
      <c r="C327" s="75">
        <f>IFERROR(__xludf.DUMMYFUNCTION("""COMPUTED_VALUE"""),120.0)</f>
        <v/>
      </c>
      <c r="D327" s="75">
        <f>IFERROR(__xludf.DUMMYFUNCTION("""COMPUTED_VALUE"""),"USD")</f>
        <v/>
      </c>
      <c r="E327" s="75">
        <f>IFERROR(__xludf.DUMMYFUNCTION("""COMPUTED_VALUE"""),"Efectivo USD")</f>
        <v/>
      </c>
      <c r="F327" s="75">
        <f>IFERROR(__xludf.DUMMYFUNCTION("""COMPUTED_VALUE"""),"WILLY MOTOR CAR REPUESTOS Y SERVICIOS, C.A.")</f>
        <v/>
      </c>
      <c r="G327" s="76">
        <f>IFERROR(__xludf.DUMMYFUNCTION("""COMPUTED_VALUE"""),"VILLABONA CORREA ALBA ESTEFANIA")</f>
        <v/>
      </c>
      <c r="H327" s="76">
        <f>IFERROR(__xludf.DUMMYFUNCTION("""COMPUTED_VALUE"""),510.7873)</f>
        <v/>
      </c>
      <c r="I327" s="75" t="n"/>
      <c r="J327" s="77">
        <f>IFERROR(__xludf.DUMMYFUNCTION("""COMPUTED_VALUE"""),120.0)</f>
        <v/>
      </c>
      <c r="K327" s="4">
        <f>IFERROR(__xludf.DUMMYFUNCTION("""COMPUTED_VALUE"""),120.0)</f>
        <v/>
      </c>
      <c r="L327" s="77">
        <f>IFERROR(__xludf.DUMMYFUNCTION("""COMPUTED_VALUE"""),120.0)</f>
        <v/>
      </c>
      <c r="O327" s="72" t="n"/>
      <c r="S327" s="4" t="n"/>
    </row>
    <row r="328">
      <c r="A328" s="74">
        <f>IFERROR(__xludf.DUMMYFUNCTION("""COMPUTED_VALUE"""),46156.0)</f>
        <v/>
      </c>
      <c r="B328" s="72">
        <f>IFERROR(__xludf.DUMMYFUNCTION("""COMPUTED_VALUE"""),105.0)</f>
        <v/>
      </c>
      <c r="C328" s="75">
        <f>IFERROR(__xludf.DUMMYFUNCTION("""COMPUTED_VALUE"""),53400.0)</f>
        <v/>
      </c>
      <c r="D328" s="75">
        <f>IFERROR(__xludf.DUMMYFUNCTION("""COMPUTED_VALUE"""),"VES")</f>
        <v/>
      </c>
      <c r="E328" s="75">
        <f>IFERROR(__xludf.DUMMYFUNCTION("""COMPUTED_VALUE"""),"Bancamiga")</f>
        <v/>
      </c>
      <c r="F328" s="75">
        <f>IFERROR(__xludf.DUMMYFUNCTION("""COMPUTED_VALUE"""),"Ricardo A. Fernandez.")</f>
        <v/>
      </c>
      <c r="G328" s="76">
        <f>IFERROR(__xludf.DUMMYFUNCTION("""COMPUTED_VALUE"""),"MARTINEZ MONTES JEFFREY ENRIQUE")</f>
        <v/>
      </c>
      <c r="H328" s="76">
        <f>IFERROR(__xludf.DUMMYFUNCTION("""COMPUTED_VALUE"""),510.7873)</f>
        <v/>
      </c>
      <c r="I328" s="75" t="n"/>
      <c r="J328" s="77">
        <f>IFERROR(__xludf.DUMMYFUNCTION("""COMPUTED_VALUE"""),104.5444943521501)</f>
        <v/>
      </c>
      <c r="K328" s="4">
        <f>IFERROR(__xludf.DUMMYFUNCTION("""COMPUTED_VALUE"""),0.0)</f>
        <v/>
      </c>
      <c r="L328" s="77">
        <f>IFERROR(__xludf.DUMMYFUNCTION("""COMPUTED_VALUE"""),104.5444943521501)</f>
        <v/>
      </c>
      <c r="O328" s="72" t="n"/>
      <c r="S328" s="4" t="n"/>
    </row>
    <row r="329">
      <c r="A329" s="74">
        <f>IFERROR(__xludf.DUMMYFUNCTION("""COMPUTED_VALUE"""),46156.0)</f>
        <v/>
      </c>
      <c r="B329" s="72">
        <f>IFERROR(__xludf.DUMMYFUNCTION("""COMPUTED_VALUE"""),44.0)</f>
        <v/>
      </c>
      <c r="C329" s="75">
        <f>IFERROR(__xludf.DUMMYFUNCTION("""COMPUTED_VALUE"""),300.0)</f>
        <v/>
      </c>
      <c r="D329" s="75">
        <f>IFERROR(__xludf.DUMMYFUNCTION("""COMPUTED_VALUE"""),"USD")</f>
        <v/>
      </c>
      <c r="E329" s="75">
        <f>IFERROR(__xludf.DUMMYFUNCTION("""COMPUTED_VALUE"""),"Efectivo USD")</f>
        <v/>
      </c>
      <c r="F329" s="75">
        <f>IFERROR(__xludf.DUMMYFUNCTION("""COMPUTED_VALUE"""),"Comercializadora Garabote")</f>
        <v/>
      </c>
      <c r="G329" s="76">
        <f>IFERROR(__xludf.DUMMYFUNCTION("""COMPUTED_VALUE"""),"PEREZ DIAZ ANGEL DE DIOS")</f>
        <v/>
      </c>
      <c r="H329" s="76">
        <f>IFERROR(__xludf.DUMMYFUNCTION("""COMPUTED_VALUE"""),510.7873)</f>
        <v/>
      </c>
      <c r="I329" s="75" t="n"/>
      <c r="J329" s="77">
        <f>IFERROR(__xludf.DUMMYFUNCTION("""COMPUTED_VALUE"""),300.0)</f>
        <v/>
      </c>
      <c r="K329" s="4">
        <f>IFERROR(__xludf.DUMMYFUNCTION("""COMPUTED_VALUE"""),300.0)</f>
        <v/>
      </c>
      <c r="L329" s="77">
        <f>IFERROR(__xludf.DUMMYFUNCTION("""COMPUTED_VALUE"""),300.0)</f>
        <v/>
      </c>
      <c r="O329" s="72" t="n"/>
      <c r="S329" s="4" t="n"/>
    </row>
    <row r="330">
      <c r="A330" s="74">
        <f>IFERROR(__xludf.DUMMYFUNCTION("""COMPUTED_VALUE"""),46156.0)</f>
        <v/>
      </c>
      <c r="B330" s="72">
        <f>IFERROR(__xludf.DUMMYFUNCTION("""COMPUTED_VALUE"""),243.0)</f>
        <v/>
      </c>
      <c r="C330" s="75">
        <f>IFERROR(__xludf.DUMMYFUNCTION("""COMPUTED_VALUE"""),15.0)</f>
        <v/>
      </c>
      <c r="D330" s="75">
        <f>IFERROR(__xludf.DUMMYFUNCTION("""COMPUTED_VALUE"""),"USD")</f>
        <v/>
      </c>
      <c r="E330" s="75">
        <f>IFERROR(__xludf.DUMMYFUNCTION("""COMPUTED_VALUE"""),"Efectivo USD")</f>
        <v/>
      </c>
      <c r="F330" s="75">
        <f>IFERROR(__xludf.DUMMYFUNCTION("""COMPUTED_VALUE"""),"Cauchera William 2018, C.A")</f>
        <v/>
      </c>
      <c r="G330" s="76">
        <f>IFERROR(__xludf.DUMMYFUNCTION("""COMPUTED_VALUE"""),"MARTINEZ MONTES JEFFREY ENRIQUE")</f>
        <v/>
      </c>
      <c r="H330" s="76">
        <f>IFERROR(__xludf.DUMMYFUNCTION("""COMPUTED_VALUE"""),510.7873)</f>
        <v/>
      </c>
      <c r="I330" s="75" t="n"/>
      <c r="J330" s="77">
        <f>IFERROR(__xludf.DUMMYFUNCTION("""COMPUTED_VALUE"""),15.0)</f>
        <v/>
      </c>
      <c r="K330" s="4">
        <f>IFERROR(__xludf.DUMMYFUNCTION("""COMPUTED_VALUE"""),15.0)</f>
        <v/>
      </c>
      <c r="L330" s="77">
        <f>IFERROR(__xludf.DUMMYFUNCTION("""COMPUTED_VALUE"""),15.0)</f>
        <v/>
      </c>
      <c r="O330" s="72" t="n"/>
      <c r="S330" s="4" t="n"/>
    </row>
    <row r="331">
      <c r="A331" s="74">
        <f>IFERROR(__xludf.DUMMYFUNCTION("""COMPUTED_VALUE"""),46156.0)</f>
        <v/>
      </c>
      <c r="B331" s="72">
        <f>IFERROR(__xludf.DUMMYFUNCTION("""COMPUTED_VALUE"""),39.0)</f>
        <v/>
      </c>
      <c r="C331" s="75">
        <f>IFERROR(__xludf.DUMMYFUNCTION("""COMPUTED_VALUE"""),14893.18)</f>
        <v/>
      </c>
      <c r="D331" s="75">
        <f>IFERROR(__xludf.DUMMYFUNCTION("""COMPUTED_VALUE"""),"VES")</f>
        <v/>
      </c>
      <c r="E331" s="75">
        <f>IFERROR(__xludf.DUMMYFUNCTION("""COMPUTED_VALUE"""),"Bancamiga")</f>
        <v/>
      </c>
      <c r="F331" s="75">
        <f>IFERROR(__xludf.DUMMYFUNCTION("""COMPUTED_VALUE"""),"Moto Bestia, C.A")</f>
        <v/>
      </c>
      <c r="G331" s="76">
        <f>IFERROR(__xludf.DUMMYFUNCTION("""COMPUTED_VALUE"""),"QUEVEDO BASTIDAS NEYKEL DAVID")</f>
        <v/>
      </c>
      <c r="H331" s="76">
        <f>IFERROR(__xludf.DUMMYFUNCTION("""COMPUTED_VALUE"""),510.7873)</f>
        <v/>
      </c>
      <c r="I331" s="75" t="n"/>
      <c r="J331" s="77">
        <f>IFERROR(__xludf.DUMMYFUNCTION("""COMPUTED_VALUE"""),29.15730285384934)</f>
        <v/>
      </c>
      <c r="K331" s="4">
        <f>IFERROR(__xludf.DUMMYFUNCTION("""COMPUTED_VALUE"""),0.0)</f>
        <v/>
      </c>
      <c r="L331" s="77">
        <f>IFERROR(__xludf.DUMMYFUNCTION("""COMPUTED_VALUE"""),29.15730285384934)</f>
        <v/>
      </c>
      <c r="O331" s="72" t="n"/>
      <c r="S331" s="4" t="n"/>
    </row>
    <row r="332">
      <c r="A332" s="74">
        <f>IFERROR(__xludf.DUMMYFUNCTION("""COMPUTED_VALUE"""),46156.0)</f>
        <v/>
      </c>
      <c r="B332" s="72">
        <f>IFERROR(__xludf.DUMMYFUNCTION("""COMPUTED_VALUE"""),265.0)</f>
        <v/>
      </c>
      <c r="C332" s="75">
        <f>IFERROR(__xludf.DUMMYFUNCTION("""COMPUTED_VALUE"""),20.0)</f>
        <v/>
      </c>
      <c r="D332" s="75">
        <f>IFERROR(__xludf.DUMMYFUNCTION("""COMPUTED_VALUE"""),"USD")</f>
        <v/>
      </c>
      <c r="E332" s="75">
        <f>IFERROR(__xludf.DUMMYFUNCTION("""COMPUTED_VALUE"""),"Efectivo USD")</f>
        <v/>
      </c>
      <c r="F332" s="75">
        <f>IFERROR(__xludf.DUMMYFUNCTION("""COMPUTED_VALUE"""),"Repuestos Guia Dios Nuestro Camino,c.a.")</f>
        <v/>
      </c>
      <c r="G332" s="76">
        <f>IFERROR(__xludf.DUMMYFUNCTION("""COMPUTED_VALUE"""),"QUEVEDO BASTIDAS NEYKEL DAVID")</f>
        <v/>
      </c>
      <c r="H332" s="76">
        <f>IFERROR(__xludf.DUMMYFUNCTION("""COMPUTED_VALUE"""),510.7873)</f>
        <v/>
      </c>
      <c r="I332" s="75" t="n"/>
      <c r="J332" s="77">
        <f>IFERROR(__xludf.DUMMYFUNCTION("""COMPUTED_VALUE"""),20.0)</f>
        <v/>
      </c>
      <c r="K332" s="4">
        <f>IFERROR(__xludf.DUMMYFUNCTION("""COMPUTED_VALUE"""),20.0)</f>
        <v/>
      </c>
      <c r="L332" s="77">
        <f>IFERROR(__xludf.DUMMYFUNCTION("""COMPUTED_VALUE"""),20.0)</f>
        <v/>
      </c>
      <c r="O332" s="72" t="n"/>
      <c r="S332" s="4" t="n"/>
    </row>
    <row r="333">
      <c r="A333" s="74">
        <f>IFERROR(__xludf.DUMMYFUNCTION("""COMPUTED_VALUE"""),46156.0)</f>
        <v/>
      </c>
      <c r="B333" s="72">
        <f>IFERROR(__xludf.DUMMYFUNCTION("""COMPUTED_VALUE"""),198.0)</f>
        <v/>
      </c>
      <c r="C333" s="75">
        <f>IFERROR(__xludf.DUMMYFUNCTION("""COMPUTED_VALUE"""),101.0)</f>
        <v/>
      </c>
      <c r="D333" s="75">
        <f>IFERROR(__xludf.DUMMYFUNCTION("""COMPUTED_VALUE"""),"USD")</f>
        <v/>
      </c>
      <c r="E333" s="75">
        <f>IFERROR(__xludf.DUMMYFUNCTION("""COMPUTED_VALUE"""),"Efectivo USD")</f>
        <v/>
      </c>
      <c r="F333" s="75">
        <f>IFERROR(__xludf.DUMMYFUNCTION("""COMPUTED_VALUE"""),"Autorepuestos Pitstop,c.a.")</f>
        <v/>
      </c>
      <c r="G333" s="76">
        <f>IFERROR(__xludf.DUMMYFUNCTION("""COMPUTED_VALUE"""),"QUEVEDO BASTIDAS NEYKEL DAVID")</f>
        <v/>
      </c>
      <c r="H333" s="76">
        <f>IFERROR(__xludf.DUMMYFUNCTION("""COMPUTED_VALUE"""),510.7873)</f>
        <v/>
      </c>
      <c r="I333" s="75" t="n"/>
      <c r="J333" s="77">
        <f>IFERROR(__xludf.DUMMYFUNCTION("""COMPUTED_VALUE"""),101.0)</f>
        <v/>
      </c>
      <c r="K333" s="4">
        <f>IFERROR(__xludf.DUMMYFUNCTION("""COMPUTED_VALUE"""),101.0)</f>
        <v/>
      </c>
      <c r="L333" s="77">
        <f>IFERROR(__xludf.DUMMYFUNCTION("""COMPUTED_VALUE"""),101.0)</f>
        <v/>
      </c>
      <c r="O333" s="72" t="n"/>
      <c r="S333" s="4" t="n"/>
    </row>
    <row r="334">
      <c r="A334" s="74">
        <f>IFERROR(__xludf.DUMMYFUNCTION("""COMPUTED_VALUE"""),46156.0)</f>
        <v/>
      </c>
      <c r="B334" s="72">
        <f>IFERROR(__xludf.DUMMYFUNCTION("""COMPUTED_VALUE"""),127.0)</f>
        <v/>
      </c>
      <c r="C334" s="75">
        <f>IFERROR(__xludf.DUMMYFUNCTION("""COMPUTED_VALUE"""),100.0)</f>
        <v/>
      </c>
      <c r="D334" s="75">
        <f>IFERROR(__xludf.DUMMYFUNCTION("""COMPUTED_VALUE"""),"USD")</f>
        <v/>
      </c>
      <c r="E334" s="75">
        <f>IFERROR(__xludf.DUMMYFUNCTION("""COMPUTED_VALUE"""),"Efectivo USD")</f>
        <v/>
      </c>
      <c r="F334" s="75">
        <f>IFERROR(__xludf.DUMMYFUNCTION("""COMPUTED_VALUE"""),"Emprendimiento José Sánchez 203 c.a")</f>
        <v/>
      </c>
      <c r="G334" s="76">
        <f>IFERROR(__xludf.DUMMYFUNCTION("""COMPUTED_VALUE"""),"BETANCOURT ROBRIGUEZ LUIS ENRRIQUE")</f>
        <v/>
      </c>
      <c r="H334" s="76">
        <f>IFERROR(__xludf.DUMMYFUNCTION("""COMPUTED_VALUE"""),510.7873)</f>
        <v/>
      </c>
      <c r="I334" s="75" t="n"/>
      <c r="J334" s="77">
        <f>IFERROR(__xludf.DUMMYFUNCTION("""COMPUTED_VALUE"""),100.0)</f>
        <v/>
      </c>
      <c r="K334" s="4">
        <f>IFERROR(__xludf.DUMMYFUNCTION("""COMPUTED_VALUE"""),100.0)</f>
        <v/>
      </c>
      <c r="L334" s="77">
        <f>IFERROR(__xludf.DUMMYFUNCTION("""COMPUTED_VALUE"""),100.0)</f>
        <v/>
      </c>
      <c r="O334" s="72" t="n"/>
      <c r="S334" s="4" t="n"/>
    </row>
    <row r="335">
      <c r="A335" s="74">
        <f>IFERROR(__xludf.DUMMYFUNCTION("""COMPUTED_VALUE"""),46157.0)</f>
        <v/>
      </c>
      <c r="B335" s="72">
        <f>IFERROR(__xludf.DUMMYFUNCTION("""COMPUTED_VALUE"""),250.0)</f>
        <v/>
      </c>
      <c r="C335" s="75">
        <f>IFERROR(__xludf.DUMMYFUNCTION("""COMPUTED_VALUE"""),20.0)</f>
        <v/>
      </c>
      <c r="D335" s="75">
        <f>IFERROR(__xludf.DUMMYFUNCTION("""COMPUTED_VALUE"""),"USD")</f>
        <v/>
      </c>
      <c r="E335" s="75">
        <f>IFERROR(__xludf.DUMMYFUNCTION("""COMPUTED_VALUE"""),"Efectivo USD")</f>
        <v/>
      </c>
      <c r="F335" s="75">
        <f>IFERROR(__xludf.DUMMYFUNCTION("""COMPUTED_VALUE"""),"EMPRENDIMIENTO MANUEL GÓMEZ 6")</f>
        <v/>
      </c>
      <c r="G335" s="76">
        <f>IFERROR(__xludf.DUMMYFUNCTION("""COMPUTED_VALUE"""),"VILLABONA CORREA ALBA ESTEFANIA")</f>
        <v/>
      </c>
      <c r="H335" s="76">
        <f>IFERROR(__xludf.DUMMYFUNCTION("""COMPUTED_VALUE"""),515.18)</f>
        <v/>
      </c>
      <c r="I335" s="75" t="n"/>
      <c r="J335" s="77">
        <f>IFERROR(__xludf.DUMMYFUNCTION("""COMPUTED_VALUE"""),20.0)</f>
        <v/>
      </c>
      <c r="K335" s="4">
        <f>IFERROR(__xludf.DUMMYFUNCTION("""COMPUTED_VALUE"""),20.0)</f>
        <v/>
      </c>
      <c r="L335" s="77">
        <f>IFERROR(__xludf.DUMMYFUNCTION("""COMPUTED_VALUE"""),20.0)</f>
        <v/>
      </c>
      <c r="O335" s="72" t="n"/>
      <c r="S335" s="4" t="n"/>
    </row>
    <row r="336">
      <c r="A336" s="74">
        <f>IFERROR(__xludf.DUMMYFUNCTION("""COMPUTED_VALUE"""),46157.0)</f>
        <v/>
      </c>
      <c r="B336" s="72">
        <f>IFERROR(__xludf.DUMMYFUNCTION("""COMPUTED_VALUE"""),207.0)</f>
        <v/>
      </c>
      <c r="C336" s="75">
        <f>IFERROR(__xludf.DUMMYFUNCTION("""COMPUTED_VALUE"""),200.0)</f>
        <v/>
      </c>
      <c r="D336" s="75">
        <f>IFERROR(__xludf.DUMMYFUNCTION("""COMPUTED_VALUE"""),"USD")</f>
        <v/>
      </c>
      <c r="E336" s="75">
        <f>IFERROR(__xludf.DUMMYFUNCTION("""COMPUTED_VALUE"""),"Efectivo USD")</f>
        <v/>
      </c>
      <c r="F336" s="75">
        <f>IFERROR(__xludf.DUMMYFUNCTION("""COMPUTED_VALUE"""),"Ingrit Martinez")</f>
        <v/>
      </c>
      <c r="G336" s="76">
        <f>IFERROR(__xludf.DUMMYFUNCTION("""COMPUTED_VALUE"""),"VILLABONA CORREA ALBA ESTEFANIA")</f>
        <v/>
      </c>
      <c r="H336" s="76">
        <f>IFERROR(__xludf.DUMMYFUNCTION("""COMPUTED_VALUE"""),515.18)</f>
        <v/>
      </c>
      <c r="I336" s="75" t="n"/>
      <c r="J336" s="77">
        <f>IFERROR(__xludf.DUMMYFUNCTION("""COMPUTED_VALUE"""),200.0)</f>
        <v/>
      </c>
      <c r="K336" s="4">
        <f>IFERROR(__xludf.DUMMYFUNCTION("""COMPUTED_VALUE"""),200.0)</f>
        <v/>
      </c>
      <c r="L336" s="77">
        <f>IFERROR(__xludf.DUMMYFUNCTION("""COMPUTED_VALUE"""),200.0)</f>
        <v/>
      </c>
      <c r="O336" s="72" t="n"/>
      <c r="S336" s="4" t="n"/>
    </row>
    <row r="337">
      <c r="A337" s="74">
        <f>IFERROR(__xludf.DUMMYFUNCTION("""COMPUTED_VALUE"""),46157.0)</f>
        <v/>
      </c>
      <c r="B337" s="72">
        <f>IFERROR(__xludf.DUMMYFUNCTION("""COMPUTED_VALUE"""),397.0)</f>
        <v/>
      </c>
      <c r="C337" s="75">
        <f>IFERROR(__xludf.DUMMYFUNCTION("""COMPUTED_VALUE"""),85.0)</f>
        <v/>
      </c>
      <c r="D337" s="75">
        <f>IFERROR(__xludf.DUMMYFUNCTION("""COMPUTED_VALUE"""),"USD")</f>
        <v/>
      </c>
      <c r="E337" s="75">
        <f>IFERROR(__xludf.DUMMYFUNCTION("""COMPUTED_VALUE"""),"Efectivo USD")</f>
        <v/>
      </c>
      <c r="F337" s="75">
        <f>IFERROR(__xludf.DUMMYFUNCTION("""COMPUTED_VALUE"""),"Paola M. Aguilera Z.")</f>
        <v/>
      </c>
      <c r="G337" s="76">
        <f>IFERROR(__xludf.DUMMYFUNCTION("""COMPUTED_VALUE"""),"CASERES GONZALEZ RONALD OSWALDO")</f>
        <v/>
      </c>
      <c r="H337" s="76">
        <f>IFERROR(__xludf.DUMMYFUNCTION("""COMPUTED_VALUE"""),515.18)</f>
        <v/>
      </c>
      <c r="I337" s="75" t="n"/>
      <c r="J337" s="77">
        <f>IFERROR(__xludf.DUMMYFUNCTION("""COMPUTED_VALUE"""),85.0)</f>
        <v/>
      </c>
      <c r="K337" s="4">
        <f>IFERROR(__xludf.DUMMYFUNCTION("""COMPUTED_VALUE"""),85.0)</f>
        <v/>
      </c>
      <c r="L337" s="77">
        <f>IFERROR(__xludf.DUMMYFUNCTION("""COMPUTED_VALUE"""),85.0)</f>
        <v/>
      </c>
      <c r="O337" s="72" t="n"/>
      <c r="S337" s="4" t="n"/>
    </row>
    <row r="338">
      <c r="A338" s="74">
        <f>IFERROR(__xludf.DUMMYFUNCTION("""COMPUTED_VALUE"""),46157.0)</f>
        <v/>
      </c>
      <c r="B338" s="72">
        <f>IFERROR(__xludf.DUMMYFUNCTION("""COMPUTED_VALUE"""),36.0)</f>
        <v/>
      </c>
      <c r="C338" s="75">
        <f>IFERROR(__xludf.DUMMYFUNCTION("""COMPUTED_VALUE"""),29906.09)</f>
        <v/>
      </c>
      <c r="D338" s="75">
        <f>IFERROR(__xludf.DUMMYFUNCTION("""COMPUTED_VALUE"""),"VES")</f>
        <v/>
      </c>
      <c r="E338" s="75">
        <f>IFERROR(__xludf.DUMMYFUNCTION("""COMPUTED_VALUE"""),"Bancamiga")</f>
        <v/>
      </c>
      <c r="F338" s="75">
        <f>IFERROR(__xludf.DUMMYFUNCTION("""COMPUTED_VALUE"""),"inversiones El Gran Charles C.A")</f>
        <v/>
      </c>
      <c r="G338" s="76">
        <f>IFERROR(__xludf.DUMMYFUNCTION("""COMPUTED_VALUE"""),"GRIMAN DIAZ HECTOR EDUARDO")</f>
        <v/>
      </c>
      <c r="H338" s="76">
        <f>IFERROR(__xludf.DUMMYFUNCTION("""COMPUTED_VALUE"""),515.18)</f>
        <v/>
      </c>
      <c r="I338" s="75" t="n"/>
      <c r="J338" s="77">
        <f>IFERROR(__xludf.DUMMYFUNCTION("""COMPUTED_VALUE"""),58.04978842346365)</f>
        <v/>
      </c>
      <c r="K338" s="4">
        <f>IFERROR(__xludf.DUMMYFUNCTION("""COMPUTED_VALUE"""),0.0)</f>
        <v/>
      </c>
      <c r="L338" s="77">
        <f>IFERROR(__xludf.DUMMYFUNCTION("""COMPUTED_VALUE"""),58.04978842346365)</f>
        <v/>
      </c>
      <c r="O338" s="72" t="n"/>
      <c r="S338" s="4" t="n"/>
    </row>
    <row r="339">
      <c r="A339" s="74">
        <f>IFERROR(__xludf.DUMMYFUNCTION("""COMPUTED_VALUE"""),46157.0)</f>
        <v/>
      </c>
      <c r="B339" s="72">
        <f>IFERROR(__xludf.DUMMYFUNCTION("""COMPUTED_VALUE"""),149.0)</f>
        <v/>
      </c>
      <c r="C339" s="75">
        <f>IFERROR(__xludf.DUMMYFUNCTION("""COMPUTED_VALUE"""),200.0)</f>
        <v/>
      </c>
      <c r="D339" s="75">
        <f>IFERROR(__xludf.DUMMYFUNCTION("""COMPUTED_VALUE"""),"USD")</f>
        <v/>
      </c>
      <c r="E339" s="75">
        <f>IFERROR(__xludf.DUMMYFUNCTION("""COMPUTED_VALUE"""),"Efectivo USD")</f>
        <v/>
      </c>
      <c r="F339" s="75">
        <f>IFERROR(__xludf.DUMMYFUNCTION("""COMPUTED_VALUE"""),"Emprendimiento ilaris cancelo")</f>
        <v/>
      </c>
      <c r="G339" s="76">
        <f>IFERROR(__xludf.DUMMYFUNCTION("""COMPUTED_VALUE"""),"PEREZ DIAZ ANGEL DE DIOS")</f>
        <v/>
      </c>
      <c r="H339" s="76">
        <f>IFERROR(__xludf.DUMMYFUNCTION("""COMPUTED_VALUE"""),515.18)</f>
        <v/>
      </c>
      <c r="I339" s="75" t="n"/>
      <c r="J339" s="77">
        <f>IFERROR(__xludf.DUMMYFUNCTION("""COMPUTED_VALUE"""),200.0)</f>
        <v/>
      </c>
      <c r="K339" s="4">
        <f>IFERROR(__xludf.DUMMYFUNCTION("""COMPUTED_VALUE"""),200.0)</f>
        <v/>
      </c>
      <c r="L339" s="77">
        <f>IFERROR(__xludf.DUMMYFUNCTION("""COMPUTED_VALUE"""),200.0)</f>
        <v/>
      </c>
      <c r="O339" s="72" t="n"/>
      <c r="S339" s="4" t="n"/>
    </row>
    <row r="340">
      <c r="A340" s="74">
        <f>IFERROR(__xludf.DUMMYFUNCTION("""COMPUTED_VALUE"""),46157.0)</f>
        <v/>
      </c>
      <c r="B340" s="72">
        <f>IFERROR(__xludf.DUMMYFUNCTION("""COMPUTED_VALUE"""),222.0)</f>
        <v/>
      </c>
      <c r="C340" s="75">
        <f>IFERROR(__xludf.DUMMYFUNCTION("""COMPUTED_VALUE"""),40.0)</f>
        <v/>
      </c>
      <c r="D340" s="75">
        <f>IFERROR(__xludf.DUMMYFUNCTION("""COMPUTED_VALUE"""),"USD")</f>
        <v/>
      </c>
      <c r="E340" s="75">
        <f>IFERROR(__xludf.DUMMYFUNCTION("""COMPUTED_VALUE"""),"Efectivo USD")</f>
        <v/>
      </c>
      <c r="F340" s="75">
        <f>IFERROR(__xludf.DUMMYFUNCTION("""COMPUTED_VALUE"""),"Braulio R. Cedeño Gonzalez.")</f>
        <v/>
      </c>
      <c r="G340" s="76">
        <f>IFERROR(__xludf.DUMMYFUNCTION("""COMPUTED_VALUE"""),"GRIMAN DIAZ HECTOR EDUARDO")</f>
        <v/>
      </c>
      <c r="H340" s="76">
        <f>IFERROR(__xludf.DUMMYFUNCTION("""COMPUTED_VALUE"""),515.18)</f>
        <v/>
      </c>
      <c r="I340" s="75" t="n"/>
      <c r="J340" s="77">
        <f>IFERROR(__xludf.DUMMYFUNCTION("""COMPUTED_VALUE"""),40.0)</f>
        <v/>
      </c>
      <c r="K340" s="4">
        <f>IFERROR(__xludf.DUMMYFUNCTION("""COMPUTED_VALUE"""),40.0)</f>
        <v/>
      </c>
      <c r="L340" s="77">
        <f>IFERROR(__xludf.DUMMYFUNCTION("""COMPUTED_VALUE"""),40.0)</f>
        <v/>
      </c>
      <c r="O340" s="72" t="n"/>
      <c r="S340" s="4" t="n"/>
    </row>
    <row r="341">
      <c r="A341" s="74">
        <f>IFERROR(__xludf.DUMMYFUNCTION("""COMPUTED_VALUE"""),46157.0)</f>
        <v/>
      </c>
      <c r="B341" s="72">
        <f>IFERROR(__xludf.DUMMYFUNCTION("""COMPUTED_VALUE"""),27.0)</f>
        <v/>
      </c>
      <c r="C341" s="75">
        <f>IFERROR(__xludf.DUMMYFUNCTION("""COMPUTED_VALUE"""),10.0)</f>
        <v/>
      </c>
      <c r="D341" s="75">
        <f>IFERROR(__xludf.DUMMYFUNCTION("""COMPUTED_VALUE"""),"USD")</f>
        <v/>
      </c>
      <c r="E341" s="75">
        <f>IFERROR(__xludf.DUMMYFUNCTION("""COMPUTED_VALUE"""),"Efectivo USD")</f>
        <v/>
      </c>
      <c r="F341" s="75">
        <f>IFERROR(__xludf.DUMMYFUNCTION("""COMPUTED_VALUE"""),"Moises Alejandro Mares")</f>
        <v/>
      </c>
      <c r="G341" s="76">
        <f>IFERROR(__xludf.DUMMYFUNCTION("""COMPUTED_VALUE"""),"GRIMAN DIAZ HECTOR EDUARDO")</f>
        <v/>
      </c>
      <c r="H341" s="76">
        <f>IFERROR(__xludf.DUMMYFUNCTION("""COMPUTED_VALUE"""),515.18)</f>
        <v/>
      </c>
      <c r="I341" s="75" t="n"/>
      <c r="J341" s="77">
        <f>IFERROR(__xludf.DUMMYFUNCTION("""COMPUTED_VALUE"""),10.0)</f>
        <v/>
      </c>
      <c r="K341" s="4">
        <f>IFERROR(__xludf.DUMMYFUNCTION("""COMPUTED_VALUE"""),10.0)</f>
        <v/>
      </c>
      <c r="L341" s="77">
        <f>IFERROR(__xludf.DUMMYFUNCTION("""COMPUTED_VALUE"""),10.0)</f>
        <v/>
      </c>
      <c r="O341" s="72" t="n"/>
      <c r="S341" s="4" t="n"/>
    </row>
    <row r="342">
      <c r="A342" s="74">
        <f>IFERROR(__xludf.DUMMYFUNCTION("""COMPUTED_VALUE"""),46157.0)</f>
        <v/>
      </c>
      <c r="B342" s="72">
        <f>IFERROR(__xludf.DUMMYFUNCTION("""COMPUTED_VALUE"""),209.0)</f>
        <v/>
      </c>
      <c r="C342" s="75">
        <f>IFERROR(__xludf.DUMMYFUNCTION("""COMPUTED_VALUE"""),100.0)</f>
        <v/>
      </c>
      <c r="D342" s="75">
        <f>IFERROR(__xludf.DUMMYFUNCTION("""COMPUTED_VALUE"""),"USD")</f>
        <v/>
      </c>
      <c r="E342" s="75">
        <f>IFERROR(__xludf.DUMMYFUNCTION("""COMPUTED_VALUE"""),"Efectivo USD")</f>
        <v/>
      </c>
      <c r="F342" s="75">
        <f>IFERROR(__xludf.DUMMYFUNCTION("""COMPUTED_VALUE"""),"Inversiones Mirelkys C.A")</f>
        <v/>
      </c>
      <c r="G342" s="76">
        <f>IFERROR(__xludf.DUMMYFUNCTION("""COMPUTED_VALUE"""),"GRIMAN DIAZ HECTOR EDUARDO")</f>
        <v/>
      </c>
      <c r="H342" s="76">
        <f>IFERROR(__xludf.DUMMYFUNCTION("""COMPUTED_VALUE"""),515.18)</f>
        <v/>
      </c>
      <c r="I342" s="75" t="n"/>
      <c r="J342" s="77">
        <f>IFERROR(__xludf.DUMMYFUNCTION("""COMPUTED_VALUE"""),100.0)</f>
        <v/>
      </c>
      <c r="K342" s="4">
        <f>IFERROR(__xludf.DUMMYFUNCTION("""COMPUTED_VALUE"""),100.0)</f>
        <v/>
      </c>
      <c r="L342" s="77">
        <f>IFERROR(__xludf.DUMMYFUNCTION("""COMPUTED_VALUE"""),100.0)</f>
        <v/>
      </c>
      <c r="O342" s="72" t="n"/>
      <c r="S342" s="4" t="n"/>
    </row>
    <row r="343">
      <c r="A343" s="74">
        <f>IFERROR(__xludf.DUMMYFUNCTION("""COMPUTED_VALUE"""),46157.0)</f>
        <v/>
      </c>
      <c r="B343" s="72">
        <f>IFERROR(__xludf.DUMMYFUNCTION("""COMPUTED_VALUE"""),327.0)</f>
        <v/>
      </c>
      <c r="C343" s="75">
        <f>IFERROR(__xludf.DUMMYFUNCTION("""COMPUTED_VALUE"""),300.0)</f>
        <v/>
      </c>
      <c r="D343" s="75">
        <f>IFERROR(__xludf.DUMMYFUNCTION("""COMPUTED_VALUE"""),"USD")</f>
        <v/>
      </c>
      <c r="E343" s="75">
        <f>IFERROR(__xludf.DUMMYFUNCTION("""COMPUTED_VALUE"""),"Efectivo USD")</f>
        <v/>
      </c>
      <c r="F343" s="75">
        <f>IFERROR(__xludf.DUMMYFUNCTION("""COMPUTED_VALUE"""),"Kervin baez")</f>
        <v/>
      </c>
      <c r="G343" s="76">
        <f>IFERROR(__xludf.DUMMYFUNCTION("""COMPUTED_VALUE"""),"BETANCOURT ROBRIGUEZ LUIS ENRRIQUE")</f>
        <v/>
      </c>
      <c r="H343" s="76">
        <f>IFERROR(__xludf.DUMMYFUNCTION("""COMPUTED_VALUE"""),515.18)</f>
        <v/>
      </c>
      <c r="I343" s="75" t="n"/>
      <c r="J343" s="77">
        <f>IFERROR(__xludf.DUMMYFUNCTION("""COMPUTED_VALUE"""),300.0)</f>
        <v/>
      </c>
      <c r="K343" s="4">
        <f>IFERROR(__xludf.DUMMYFUNCTION("""COMPUTED_VALUE"""),300.0)</f>
        <v/>
      </c>
      <c r="L343" s="77">
        <f>IFERROR(__xludf.DUMMYFUNCTION("""COMPUTED_VALUE"""),300.0)</f>
        <v/>
      </c>
      <c r="O343" s="72" t="n"/>
      <c r="S343" s="4" t="n"/>
    </row>
    <row r="344">
      <c r="A344" s="74">
        <f>IFERROR(__xludf.DUMMYFUNCTION("""COMPUTED_VALUE"""),46157.0)</f>
        <v/>
      </c>
      <c r="B344" s="72">
        <f>IFERROR(__xludf.DUMMYFUNCTION("""COMPUTED_VALUE"""),178.0)</f>
        <v/>
      </c>
      <c r="C344" s="75">
        <f>IFERROR(__xludf.DUMMYFUNCTION("""COMPUTED_VALUE"""),70.0)</f>
        <v/>
      </c>
      <c r="D344" s="75">
        <f>IFERROR(__xludf.DUMMYFUNCTION("""COMPUTED_VALUE"""),"USD")</f>
        <v/>
      </c>
      <c r="E344" s="75">
        <f>IFERROR(__xludf.DUMMYFUNCTION("""COMPUTED_VALUE"""),"Efectivo USD")</f>
        <v/>
      </c>
      <c r="F344" s="75">
        <f>IFERROR(__xludf.DUMMYFUNCTION("""COMPUTED_VALUE"""),"Distribuidora Nesmari 2050 c.a")</f>
        <v/>
      </c>
      <c r="G344" s="76">
        <f>IFERROR(__xludf.DUMMYFUNCTION("""COMPUTED_VALUE"""),"BETANCOURT ROBRIGUEZ LUIS ENRRIQUE")</f>
        <v/>
      </c>
      <c r="H344" s="76">
        <f>IFERROR(__xludf.DUMMYFUNCTION("""COMPUTED_VALUE"""),515.18)</f>
        <v/>
      </c>
      <c r="I344" s="75" t="n"/>
      <c r="J344" s="77">
        <f>IFERROR(__xludf.DUMMYFUNCTION("""COMPUTED_VALUE"""),70.0)</f>
        <v/>
      </c>
      <c r="K344" s="4">
        <f>IFERROR(__xludf.DUMMYFUNCTION("""COMPUTED_VALUE"""),70.0)</f>
        <v/>
      </c>
      <c r="L344" s="77">
        <f>IFERROR(__xludf.DUMMYFUNCTION("""COMPUTED_VALUE"""),70.0)</f>
        <v/>
      </c>
      <c r="O344" s="72" t="n"/>
      <c r="S344" s="4" t="n"/>
    </row>
    <row r="345">
      <c r="A345" s="74">
        <f>IFERROR(__xludf.DUMMYFUNCTION("""COMPUTED_VALUE"""),46160.0)</f>
        <v/>
      </c>
      <c r="B345" s="72">
        <f>IFERROR(__xludf.DUMMYFUNCTION("""COMPUTED_VALUE"""),405.0)</f>
        <v/>
      </c>
      <c r="C345" s="75">
        <f>IFERROR(__xludf.DUMMYFUNCTION("""COMPUTED_VALUE"""),68.0)</f>
        <v/>
      </c>
      <c r="D345" s="75">
        <f>IFERROR(__xludf.DUMMYFUNCTION("""COMPUTED_VALUE"""),"USD")</f>
        <v/>
      </c>
      <c r="E345" s="75">
        <f>IFERROR(__xludf.DUMMYFUNCTION("""COMPUTED_VALUE"""),"Efectivo USD")</f>
        <v/>
      </c>
      <c r="F345" s="75">
        <f>IFERROR(__xludf.DUMMYFUNCTION("""COMPUTED_VALUE"""),"Anthony Jose Quijada Diaz.")</f>
        <v/>
      </c>
      <c r="G345" s="76">
        <f>IFERROR(__xludf.DUMMYFUNCTION("""COMPUTED_VALUE"""),"CASERES GONZALEZ RONALD OSWALDO")</f>
        <v/>
      </c>
      <c r="H345" s="76">
        <f>IFERROR(__xludf.DUMMYFUNCTION("""COMPUTED_VALUE"""),515.18)</f>
        <v/>
      </c>
      <c r="I345" s="75" t="n"/>
      <c r="J345" s="77">
        <f>IFERROR(__xludf.DUMMYFUNCTION("""COMPUTED_VALUE"""),68.0)</f>
        <v/>
      </c>
      <c r="K345" s="4">
        <f>IFERROR(__xludf.DUMMYFUNCTION("""COMPUTED_VALUE"""),68.0)</f>
        <v/>
      </c>
      <c r="L345" s="77">
        <f>IFERROR(__xludf.DUMMYFUNCTION("""COMPUTED_VALUE"""),68.0)</f>
        <v/>
      </c>
      <c r="O345" s="72" t="n"/>
      <c r="S345" s="4" t="n"/>
    </row>
    <row r="346">
      <c r="A346" s="74">
        <f>IFERROR(__xludf.DUMMYFUNCTION("""COMPUTED_VALUE"""),46160.0)</f>
        <v/>
      </c>
      <c r="B346" s="72">
        <f>IFERROR(__xludf.DUMMYFUNCTION("""COMPUTED_VALUE"""),61.0)</f>
        <v/>
      </c>
      <c r="C346" s="75">
        <f>IFERROR(__xludf.DUMMYFUNCTION("""COMPUTED_VALUE"""),480.0)</f>
        <v/>
      </c>
      <c r="D346" s="75">
        <f>IFERROR(__xludf.DUMMYFUNCTION("""COMPUTED_VALUE"""),"USD")</f>
        <v/>
      </c>
      <c r="E346" s="75">
        <f>IFERROR(__xludf.DUMMYFUNCTION("""COMPUTED_VALUE"""),"Efectivo USD")</f>
        <v/>
      </c>
      <c r="F346" s="75">
        <f>IFERROR(__xludf.DUMMYFUNCTION("""COMPUTED_VALUE"""),"SJMG 2012 C.A")</f>
        <v/>
      </c>
      <c r="G346" s="76">
        <f>IFERROR(__xludf.DUMMYFUNCTION("""COMPUTED_VALUE"""),"GRIMAN DIAZ HECTOR EDUARDO")</f>
        <v/>
      </c>
      <c r="H346" s="76">
        <f>IFERROR(__xludf.DUMMYFUNCTION("""COMPUTED_VALUE"""),515.18)</f>
        <v/>
      </c>
      <c r="I346" s="75" t="n"/>
      <c r="J346" s="77">
        <f>IFERROR(__xludf.DUMMYFUNCTION("""COMPUTED_VALUE"""),480.0)</f>
        <v/>
      </c>
      <c r="K346" s="4">
        <f>IFERROR(__xludf.DUMMYFUNCTION("""COMPUTED_VALUE"""),480.0)</f>
        <v/>
      </c>
      <c r="L346" s="77">
        <f>IFERROR(__xludf.DUMMYFUNCTION("""COMPUTED_VALUE"""),480.0)</f>
        <v/>
      </c>
      <c r="O346" s="72" t="n"/>
      <c r="S346" s="4" t="n"/>
    </row>
    <row r="347">
      <c r="A347" s="74">
        <f>IFERROR(__xludf.DUMMYFUNCTION("""COMPUTED_VALUE"""),46160.0)</f>
        <v/>
      </c>
      <c r="B347" s="72">
        <f>IFERROR(__xludf.DUMMYFUNCTION("""COMPUTED_VALUE"""),407.0)</f>
        <v/>
      </c>
      <c r="C347" s="75">
        <f>IFERROR(__xludf.DUMMYFUNCTION("""COMPUTED_VALUE"""),135.0)</f>
        <v/>
      </c>
      <c r="D347" s="75">
        <f>IFERROR(__xludf.DUMMYFUNCTION("""COMPUTED_VALUE"""),"USD")</f>
        <v/>
      </c>
      <c r="E347" s="75">
        <f>IFERROR(__xludf.DUMMYFUNCTION("""COMPUTED_VALUE"""),"Efectivo USD")</f>
        <v/>
      </c>
      <c r="F347" s="75">
        <f>IFERROR(__xludf.DUMMYFUNCTION("""COMPUTED_VALUE"""),"FREDI MARQUEZ")</f>
        <v/>
      </c>
      <c r="G347" s="76">
        <f>IFERROR(__xludf.DUMMYFUNCTION("""COMPUTED_VALUE"""),"PEREZ DIAZ ANGEL DE DIOS")</f>
        <v/>
      </c>
      <c r="H347" s="76">
        <f>IFERROR(__xludf.DUMMYFUNCTION("""COMPUTED_VALUE"""),515.18)</f>
        <v/>
      </c>
      <c r="I347" s="75" t="n"/>
      <c r="J347" s="77">
        <f>IFERROR(__xludf.DUMMYFUNCTION("""COMPUTED_VALUE"""),135.0)</f>
        <v/>
      </c>
      <c r="K347" s="4">
        <f>IFERROR(__xludf.DUMMYFUNCTION("""COMPUTED_VALUE"""),135.0)</f>
        <v/>
      </c>
      <c r="L347" s="77">
        <f>IFERROR(__xludf.DUMMYFUNCTION("""COMPUTED_VALUE"""),135.0)</f>
        <v/>
      </c>
      <c r="O347" s="72" t="n"/>
      <c r="S347" s="4" t="n"/>
    </row>
    <row r="348">
      <c r="A348" s="74">
        <f>IFERROR(__xludf.DUMMYFUNCTION("""COMPUTED_VALUE"""),46160.0)</f>
        <v/>
      </c>
      <c r="B348" s="72">
        <f>IFERROR(__xludf.DUMMYFUNCTION("""COMPUTED_VALUE"""),248.0)</f>
        <v/>
      </c>
      <c r="C348" s="75">
        <f>IFERROR(__xludf.DUMMYFUNCTION("""COMPUTED_VALUE"""),20.0)</f>
        <v/>
      </c>
      <c r="D348" s="75">
        <f>IFERROR(__xludf.DUMMYFUNCTION("""COMPUTED_VALUE"""),"USD")</f>
        <v/>
      </c>
      <c r="E348" s="75">
        <f>IFERROR(__xludf.DUMMYFUNCTION("""COMPUTED_VALUE"""),"Efectivo USD")</f>
        <v/>
      </c>
      <c r="F348" s="75">
        <f>IFERROR(__xludf.DUMMYFUNCTION("""COMPUTED_VALUE"""),"Abraham almenar")</f>
        <v/>
      </c>
      <c r="G348" s="76">
        <f>IFERROR(__xludf.DUMMYFUNCTION("""COMPUTED_VALUE"""),"PEREZ DIAZ ANGEL DE DIOS")</f>
        <v/>
      </c>
      <c r="H348" s="76">
        <f>IFERROR(__xludf.DUMMYFUNCTION("""COMPUTED_VALUE"""),515.18)</f>
        <v/>
      </c>
      <c r="I348" s="75" t="n"/>
      <c r="J348" s="77">
        <f>IFERROR(__xludf.DUMMYFUNCTION("""COMPUTED_VALUE"""),20.0)</f>
        <v/>
      </c>
      <c r="K348" s="4">
        <f>IFERROR(__xludf.DUMMYFUNCTION("""COMPUTED_VALUE"""),20.0)</f>
        <v/>
      </c>
      <c r="L348" s="77">
        <f>IFERROR(__xludf.DUMMYFUNCTION("""COMPUTED_VALUE"""),20.0)</f>
        <v/>
      </c>
      <c r="O348" s="72" t="n"/>
      <c r="S348" s="4" t="n"/>
    </row>
    <row r="349">
      <c r="A349" s="74">
        <f>IFERROR(__xludf.DUMMYFUNCTION("""COMPUTED_VALUE"""),46160.0)</f>
        <v/>
      </c>
      <c r="B349" s="72">
        <f>IFERROR(__xludf.DUMMYFUNCTION("""COMPUTED_VALUE"""),359.0)</f>
        <v/>
      </c>
      <c r="C349" s="75">
        <f>IFERROR(__xludf.DUMMYFUNCTION("""COMPUTED_VALUE"""),150647.92)</f>
        <v/>
      </c>
      <c r="D349" s="75">
        <f>IFERROR(__xludf.DUMMYFUNCTION("""COMPUTED_VALUE"""),"VES")</f>
        <v/>
      </c>
      <c r="E349" s="75">
        <f>IFERROR(__xludf.DUMMYFUNCTION("""COMPUTED_VALUE"""),"Bancamiga")</f>
        <v/>
      </c>
      <c r="F349" s="75">
        <f>IFERROR(__xludf.DUMMYFUNCTION("""COMPUTED_VALUE"""),"EN LA VIA 2023 C.A")</f>
        <v/>
      </c>
      <c r="G349" s="76">
        <f>IFERROR(__xludf.DUMMYFUNCTION("""COMPUTED_VALUE"""),"VILLABONA CORREA ALBA ESTEFANIA")</f>
        <v/>
      </c>
      <c r="H349" s="76">
        <f>IFERROR(__xludf.DUMMYFUNCTION("""COMPUTED_VALUE"""),515.18)</f>
        <v/>
      </c>
      <c r="I349" s="75" t="n"/>
      <c r="J349" s="77">
        <f>IFERROR(__xludf.DUMMYFUNCTION("""COMPUTED_VALUE"""),292.4180286501806)</f>
        <v/>
      </c>
      <c r="K349" s="4">
        <f>IFERROR(__xludf.DUMMYFUNCTION("""COMPUTED_VALUE"""),0.0)</f>
        <v/>
      </c>
      <c r="L349" s="77">
        <f>IFERROR(__xludf.DUMMYFUNCTION("""COMPUTED_VALUE"""),292.4180286501806)</f>
        <v/>
      </c>
      <c r="O349" s="72" t="n"/>
      <c r="S349" s="4" t="n"/>
    </row>
    <row r="350">
      <c r="A350" s="74">
        <f>IFERROR(__xludf.DUMMYFUNCTION("""COMPUTED_VALUE"""),46160.0)</f>
        <v/>
      </c>
      <c r="B350" s="72">
        <f>IFERROR(__xludf.DUMMYFUNCTION("""COMPUTED_VALUE"""),124.0)</f>
        <v/>
      </c>
      <c r="C350" s="75">
        <f>IFERROR(__xludf.DUMMYFUNCTION("""COMPUTED_VALUE"""),300.0)</f>
        <v/>
      </c>
      <c r="D350" s="75">
        <f>IFERROR(__xludf.DUMMYFUNCTION("""COMPUTED_VALUE"""),"USD")</f>
        <v/>
      </c>
      <c r="E350" s="75">
        <f>IFERROR(__xludf.DUMMYFUNCTION("""COMPUTED_VALUE"""),"Efectivo USD")</f>
        <v/>
      </c>
      <c r="F350" s="75">
        <f>IFERROR(__xludf.DUMMYFUNCTION("""COMPUTED_VALUE"""),"M.L.P Repuestos y Otros, C.A")</f>
        <v/>
      </c>
      <c r="G350" s="76">
        <f>IFERROR(__xludf.DUMMYFUNCTION("""COMPUTED_VALUE"""),"MARTINEZ MONTES JEFFREY ENRIQUE")</f>
        <v/>
      </c>
      <c r="H350" s="76">
        <f>IFERROR(__xludf.DUMMYFUNCTION("""COMPUTED_VALUE"""),515.18)</f>
        <v/>
      </c>
      <c r="I350" s="75" t="n"/>
      <c r="J350" s="77">
        <f>IFERROR(__xludf.DUMMYFUNCTION("""COMPUTED_VALUE"""),300.0)</f>
        <v/>
      </c>
      <c r="K350" s="4">
        <f>IFERROR(__xludf.DUMMYFUNCTION("""COMPUTED_VALUE"""),300.0)</f>
        <v/>
      </c>
      <c r="L350" s="77">
        <f>IFERROR(__xludf.DUMMYFUNCTION("""COMPUTED_VALUE"""),300.0)</f>
        <v/>
      </c>
      <c r="O350" s="72" t="n"/>
      <c r="S350" s="4" t="n"/>
    </row>
    <row r="351">
      <c r="A351" s="74">
        <f>IFERROR(__xludf.DUMMYFUNCTION("""COMPUTED_VALUE"""),46160.0)</f>
        <v/>
      </c>
      <c r="B351" s="72">
        <f>IFERROR(__xludf.DUMMYFUNCTION("""COMPUTED_VALUE"""),291.0)</f>
        <v/>
      </c>
      <c r="C351" s="75">
        <f>IFERROR(__xludf.DUMMYFUNCTION("""COMPUTED_VALUE"""),600.0)</f>
        <v/>
      </c>
      <c r="D351" s="75">
        <f>IFERROR(__xludf.DUMMYFUNCTION("""COMPUTED_VALUE"""),"USD")</f>
        <v/>
      </c>
      <c r="E351" s="75">
        <f>IFERROR(__xludf.DUMMYFUNCTION("""COMPUTED_VALUE"""),"Efectivo USD")</f>
        <v/>
      </c>
      <c r="F351" s="75">
        <f>IFERROR(__xludf.DUMMYFUNCTION("""COMPUTED_VALUE"""),"AGROPECUARIA EL TORO DORADO, C.A")</f>
        <v/>
      </c>
      <c r="G351" s="76">
        <f>IFERROR(__xludf.DUMMYFUNCTION("""COMPUTED_VALUE"""),"CASERES GONZALEZ RONALD OSWALDO")</f>
        <v/>
      </c>
      <c r="H351" s="76">
        <f>IFERROR(__xludf.DUMMYFUNCTION("""COMPUTED_VALUE"""),515.18)</f>
        <v/>
      </c>
      <c r="I351" s="75" t="n"/>
      <c r="J351" s="77">
        <f>IFERROR(__xludf.DUMMYFUNCTION("""COMPUTED_VALUE"""),600.0)</f>
        <v/>
      </c>
      <c r="K351" s="4">
        <f>IFERROR(__xludf.DUMMYFUNCTION("""COMPUTED_VALUE"""),600.0)</f>
        <v/>
      </c>
      <c r="L351" s="77">
        <f>IFERROR(__xludf.DUMMYFUNCTION("""COMPUTED_VALUE"""),600.0)</f>
        <v/>
      </c>
      <c r="O351" s="72" t="n"/>
      <c r="S351" s="4" t="n"/>
    </row>
    <row r="352">
      <c r="A352" s="74">
        <f>IFERROR(__xludf.DUMMYFUNCTION("""COMPUTED_VALUE"""),46160.0)</f>
        <v/>
      </c>
      <c r="B352" s="72">
        <f>IFERROR(__xludf.DUMMYFUNCTION("""COMPUTED_VALUE"""),197.0)</f>
        <v/>
      </c>
      <c r="C352" s="75">
        <f>IFERROR(__xludf.DUMMYFUNCTION("""COMPUTED_VALUE"""),17.0)</f>
        <v/>
      </c>
      <c r="D352" s="75">
        <f>IFERROR(__xludf.DUMMYFUNCTION("""COMPUTED_VALUE"""),"USD")</f>
        <v/>
      </c>
      <c r="E352" s="75">
        <f>IFERROR(__xludf.DUMMYFUNCTION("""COMPUTED_VALUE"""),"Efectivo USD")</f>
        <v/>
      </c>
      <c r="F352" s="75">
        <f>IFERROR(__xludf.DUMMYFUNCTION("""COMPUTED_VALUE"""),"Auto Repuestos Acal C.A")</f>
        <v/>
      </c>
      <c r="G352" s="76">
        <f>IFERROR(__xludf.DUMMYFUNCTION("""COMPUTED_VALUE"""),"QUEVEDO BASTIDAS NEYKEL DAVID")</f>
        <v/>
      </c>
      <c r="H352" s="76">
        <f>IFERROR(__xludf.DUMMYFUNCTION("""COMPUTED_VALUE"""),515.18)</f>
        <v/>
      </c>
      <c r="I352" s="75" t="n"/>
      <c r="J352" s="77">
        <f>IFERROR(__xludf.DUMMYFUNCTION("""COMPUTED_VALUE"""),17.0)</f>
        <v/>
      </c>
      <c r="K352" s="4">
        <f>IFERROR(__xludf.DUMMYFUNCTION("""COMPUTED_VALUE"""),17.0)</f>
        <v/>
      </c>
      <c r="L352" s="77">
        <f>IFERROR(__xludf.DUMMYFUNCTION("""COMPUTED_VALUE"""),17.0)</f>
        <v/>
      </c>
      <c r="O352" s="72" t="n"/>
      <c r="S352" s="4" t="n"/>
    </row>
    <row r="353">
      <c r="A353" s="74">
        <f>IFERROR(__xludf.DUMMYFUNCTION("""COMPUTED_VALUE"""),46160.0)</f>
        <v/>
      </c>
      <c r="B353" s="72">
        <f>IFERROR(__xludf.DUMMYFUNCTION("""COMPUTED_VALUE"""),82.0)</f>
        <v/>
      </c>
      <c r="C353" s="75">
        <f>IFERROR(__xludf.DUMMYFUNCTION("""COMPUTED_VALUE"""),225.0)</f>
        <v/>
      </c>
      <c r="D353" s="75">
        <f>IFERROR(__xludf.DUMMYFUNCTION("""COMPUTED_VALUE"""),"USD")</f>
        <v/>
      </c>
      <c r="E353" s="75">
        <f>IFERROR(__xludf.DUMMYFUNCTION("""COMPUTED_VALUE"""),"Efectivo USD")</f>
        <v/>
      </c>
      <c r="F353" s="75">
        <f>IFERROR(__xludf.DUMMYFUNCTION("""COMPUTED_VALUE"""),"Pedro Castro")</f>
        <v/>
      </c>
      <c r="G353" s="76">
        <f>IFERROR(__xludf.DUMMYFUNCTION("""COMPUTED_VALUE"""),"BETANCOURT ROBRIGUEZ LUIS ENRRIQUE")</f>
        <v/>
      </c>
      <c r="H353" s="76">
        <f>IFERROR(__xludf.DUMMYFUNCTION("""COMPUTED_VALUE"""),515.18)</f>
        <v/>
      </c>
      <c r="I353" s="75" t="n"/>
      <c r="J353" s="77">
        <f>IFERROR(__xludf.DUMMYFUNCTION("""COMPUTED_VALUE"""),225.0)</f>
        <v/>
      </c>
      <c r="K353" s="4">
        <f>IFERROR(__xludf.DUMMYFUNCTION("""COMPUTED_VALUE"""),225.0)</f>
        <v/>
      </c>
      <c r="L353" s="77">
        <f>IFERROR(__xludf.DUMMYFUNCTION("""COMPUTED_VALUE"""),225.0)</f>
        <v/>
      </c>
      <c r="O353" s="72" t="n"/>
      <c r="S353" s="4" t="n"/>
    </row>
    <row r="354">
      <c r="A354" s="74">
        <f>IFERROR(__xludf.DUMMYFUNCTION("""COMPUTED_VALUE"""),46160.0)</f>
        <v/>
      </c>
      <c r="B354" s="72">
        <f>IFERROR(__xludf.DUMMYFUNCTION("""COMPUTED_VALUE"""),396.0)</f>
        <v/>
      </c>
      <c r="C354" s="75">
        <f>IFERROR(__xludf.DUMMYFUNCTION("""COMPUTED_VALUE"""),66987.76)</f>
        <v/>
      </c>
      <c r="D354" s="75">
        <f>IFERROR(__xludf.DUMMYFUNCTION("""COMPUTED_VALUE"""),"VES")</f>
        <v/>
      </c>
      <c r="E354" s="75">
        <f>IFERROR(__xludf.DUMMYFUNCTION("""COMPUTED_VALUE"""),"Bancamiga")</f>
        <v/>
      </c>
      <c r="F354" s="75">
        <f>IFERROR(__xludf.DUMMYFUNCTION("""COMPUTED_VALUE"""),"INVERSIONES ARCOSOL 21, C.A.")</f>
        <v/>
      </c>
      <c r="G354" s="76">
        <f>IFERROR(__xludf.DUMMYFUNCTION("""COMPUTED_VALUE"""),"VILLABONA CORREA ALBA ESTEFANIA")</f>
        <v/>
      </c>
      <c r="H354" s="76">
        <f>IFERROR(__xludf.DUMMYFUNCTION("""COMPUTED_VALUE"""),515.18)</f>
        <v/>
      </c>
      <c r="I354" s="75" t="n"/>
      <c r="J354" s="77">
        <f>IFERROR(__xludf.DUMMYFUNCTION("""COMPUTED_VALUE"""),130.0278737528631)</f>
        <v/>
      </c>
      <c r="K354" s="4">
        <f>IFERROR(__xludf.DUMMYFUNCTION("""COMPUTED_VALUE"""),0.0)</f>
        <v/>
      </c>
      <c r="L354" s="77">
        <f>IFERROR(__xludf.DUMMYFUNCTION("""COMPUTED_VALUE"""),130.0278737528631)</f>
        <v/>
      </c>
      <c r="O354" s="72" t="n"/>
      <c r="S354" s="4" t="n"/>
    </row>
    <row r="355">
      <c r="A355" s="74">
        <f>IFERROR(__xludf.DUMMYFUNCTION("""COMPUTED_VALUE"""),46157.0)</f>
        <v/>
      </c>
      <c r="B355" s="72">
        <f>IFERROR(__xludf.DUMMYFUNCTION("""COMPUTED_VALUE"""),99.0)</f>
        <v/>
      </c>
      <c r="C355" s="75">
        <f>IFERROR(__xludf.DUMMYFUNCTION("""COMPUTED_VALUE"""),6609.75)</f>
        <v/>
      </c>
      <c r="D355" s="75">
        <f>IFERROR(__xludf.DUMMYFUNCTION("""COMPUTED_VALUE"""),"VES")</f>
        <v/>
      </c>
      <c r="E355" s="75">
        <f>IFERROR(__xludf.DUMMYFUNCTION("""COMPUTED_VALUE"""),"Bancamiga")</f>
        <v/>
      </c>
      <c r="F355" s="75">
        <f>IFERROR(__xludf.DUMMYFUNCTION("""COMPUTED_VALUE"""),"ZIP MARKET, CA")</f>
        <v/>
      </c>
      <c r="G355" s="76">
        <f>IFERROR(__xludf.DUMMYFUNCTION("""COMPUTED_VALUE"""),"QUEVEDO BASTIDAS NEYKEL DAVID")</f>
        <v/>
      </c>
      <c r="H355" s="76">
        <f>IFERROR(__xludf.DUMMYFUNCTION("""COMPUTED_VALUE"""),515.18)</f>
        <v/>
      </c>
      <c r="I355" s="75" t="n"/>
      <c r="J355" s="77">
        <f>IFERROR(__xludf.DUMMYFUNCTION("""COMPUTED_VALUE"""),12.829981753950078)</f>
        <v/>
      </c>
      <c r="K355" s="4">
        <f>IFERROR(__xludf.DUMMYFUNCTION("""COMPUTED_VALUE"""),0.0)</f>
        <v/>
      </c>
      <c r="L355" s="77">
        <f>IFERROR(__xludf.DUMMYFUNCTION("""COMPUTED_VALUE"""),12.829981753950078)</f>
        <v/>
      </c>
      <c r="O355" s="72" t="n"/>
      <c r="S355" s="4" t="n"/>
    </row>
    <row r="356">
      <c r="A356" s="74">
        <f>IFERROR(__xludf.DUMMYFUNCTION("""COMPUTED_VALUE"""),46161.0)</f>
        <v/>
      </c>
      <c r="B356" s="72">
        <f>IFERROR(__xludf.DUMMYFUNCTION("""COMPUTED_VALUE"""),412.0)</f>
        <v/>
      </c>
      <c r="C356" s="75">
        <f>IFERROR(__xludf.DUMMYFUNCTION("""COMPUTED_VALUE"""),109.0)</f>
        <v/>
      </c>
      <c r="D356" s="75">
        <f>IFERROR(__xludf.DUMMYFUNCTION("""COMPUTED_VALUE"""),"USD")</f>
        <v/>
      </c>
      <c r="E356" s="75">
        <f>IFERROR(__xludf.DUMMYFUNCTION("""COMPUTED_VALUE"""),"Binance")</f>
        <v/>
      </c>
      <c r="F356" s="75">
        <f>IFERROR(__xludf.DUMMYFUNCTION("""COMPUTED_VALUE"""),"Anthony Jose Quijada Diaz.")</f>
        <v/>
      </c>
      <c r="G356" s="76">
        <f>IFERROR(__xludf.DUMMYFUNCTION("""COMPUTED_VALUE"""),"CASERES GONZALEZ RONALD OSWALDO")</f>
        <v/>
      </c>
      <c r="H356" s="76">
        <f>IFERROR(__xludf.DUMMYFUNCTION("""COMPUTED_VALUE"""),517.9619)</f>
        <v/>
      </c>
      <c r="I356" s="75" t="n"/>
      <c r="J356" s="77">
        <f>IFERROR(__xludf.DUMMYFUNCTION("""COMPUTED_VALUE"""),109.0)</f>
        <v/>
      </c>
      <c r="K356" s="4">
        <f>IFERROR(__xludf.DUMMYFUNCTION("""COMPUTED_VALUE"""),109.0)</f>
        <v/>
      </c>
      <c r="L356" s="77">
        <f>IFERROR(__xludf.DUMMYFUNCTION("""COMPUTED_VALUE"""),109.0)</f>
        <v/>
      </c>
      <c r="O356" s="72" t="n"/>
      <c r="S356" s="4" t="n"/>
    </row>
    <row r="357">
      <c r="A357" s="74">
        <f>IFERROR(__xludf.DUMMYFUNCTION("""COMPUTED_VALUE"""),46161.0)</f>
        <v/>
      </c>
      <c r="B357" s="72">
        <f>IFERROR(__xludf.DUMMYFUNCTION("""COMPUTED_VALUE"""),260.0)</f>
        <v/>
      </c>
      <c r="C357" s="75">
        <f>IFERROR(__xludf.DUMMYFUNCTION("""COMPUTED_VALUE"""),51796.19)</f>
        <v/>
      </c>
      <c r="D357" s="75">
        <f>IFERROR(__xludf.DUMMYFUNCTION("""COMPUTED_VALUE"""),"VES")</f>
        <v/>
      </c>
      <c r="E357" s="75">
        <f>IFERROR(__xludf.DUMMYFUNCTION("""COMPUTED_VALUE"""),"Bancamiga")</f>
        <v/>
      </c>
      <c r="F357" s="75">
        <f>IFERROR(__xludf.DUMMYFUNCTION("""COMPUTED_VALUE"""),"Jose Lopez Espinoza")</f>
        <v/>
      </c>
      <c r="G357" s="76">
        <f>IFERROR(__xludf.DUMMYFUNCTION("""COMPUTED_VALUE"""),"VILLABONA CORREA ALBA ESTEFANIA")</f>
        <v/>
      </c>
      <c r="H357" s="76">
        <f>IFERROR(__xludf.DUMMYFUNCTION("""COMPUTED_VALUE"""),517.9619)</f>
        <v/>
      </c>
      <c r="I357" s="75" t="n"/>
      <c r="J357" s="77">
        <f>IFERROR(__xludf.DUMMYFUNCTION("""COMPUTED_VALUE"""),100.0)</f>
        <v/>
      </c>
      <c r="K357" s="4">
        <f>IFERROR(__xludf.DUMMYFUNCTION("""COMPUTED_VALUE"""),0.0)</f>
        <v/>
      </c>
      <c r="L357" s="77">
        <f>IFERROR(__xludf.DUMMYFUNCTION("""COMPUTED_VALUE"""),100.0)</f>
        <v/>
      </c>
      <c r="O357" s="72" t="n"/>
      <c r="S357" s="4" t="n"/>
    </row>
    <row r="358">
      <c r="A358" s="74">
        <f>IFERROR(__xludf.DUMMYFUNCTION("""COMPUTED_VALUE"""),46161.0)</f>
        <v/>
      </c>
      <c r="B358" s="72">
        <f>IFERROR(__xludf.DUMMYFUNCTION("""COMPUTED_VALUE"""),186.0)</f>
        <v/>
      </c>
      <c r="C358" s="75">
        <f>IFERROR(__xludf.DUMMYFUNCTION("""COMPUTED_VALUE"""),56.0)</f>
        <v/>
      </c>
      <c r="D358" s="75">
        <f>IFERROR(__xludf.DUMMYFUNCTION("""COMPUTED_VALUE"""),"USD")</f>
        <v/>
      </c>
      <c r="E358" s="75">
        <f>IFERROR(__xludf.DUMMYFUNCTION("""COMPUTED_VALUE"""),"Efectivo USD")</f>
        <v/>
      </c>
      <c r="F358" s="75">
        <f>IFERROR(__xludf.DUMMYFUNCTION("""COMPUTED_VALUE"""),"Cauchos y Suministros Camacho C.A")</f>
        <v/>
      </c>
      <c r="G358" s="76">
        <f>IFERROR(__xludf.DUMMYFUNCTION("""COMPUTED_VALUE"""),"GRIMAN DIAZ HECTOR EDUARDO")</f>
        <v/>
      </c>
      <c r="H358" s="76">
        <f>IFERROR(__xludf.DUMMYFUNCTION("""COMPUTED_VALUE"""),517.9619)</f>
        <v/>
      </c>
      <c r="I358" s="75" t="n"/>
      <c r="J358" s="77">
        <f>IFERROR(__xludf.DUMMYFUNCTION("""COMPUTED_VALUE"""),56.0)</f>
        <v/>
      </c>
      <c r="K358" s="4">
        <f>IFERROR(__xludf.DUMMYFUNCTION("""COMPUTED_VALUE"""),56.0)</f>
        <v/>
      </c>
      <c r="L358" s="77">
        <f>IFERROR(__xludf.DUMMYFUNCTION("""COMPUTED_VALUE"""),56.0)</f>
        <v/>
      </c>
      <c r="O358" s="72" t="n"/>
      <c r="S358" s="4" t="n"/>
    </row>
    <row r="359">
      <c r="A359" s="74">
        <f>IFERROR(__xludf.DUMMYFUNCTION("""COMPUTED_VALUE"""),46161.0)</f>
        <v/>
      </c>
      <c r="B359" s="72">
        <f>IFERROR(__xludf.DUMMYFUNCTION("""COMPUTED_VALUE"""),298.0)</f>
        <v/>
      </c>
      <c r="C359" s="75">
        <f>IFERROR(__xludf.DUMMYFUNCTION("""COMPUTED_VALUE"""),40.0)</f>
        <v/>
      </c>
      <c r="D359" s="75">
        <f>IFERROR(__xludf.DUMMYFUNCTION("""COMPUTED_VALUE"""),"USD")</f>
        <v/>
      </c>
      <c r="E359" s="75">
        <f>IFERROR(__xludf.DUMMYFUNCTION("""COMPUTED_VALUE"""),"Efectivo USD")</f>
        <v/>
      </c>
      <c r="F359" s="75">
        <f>IFERROR(__xludf.DUMMYFUNCTION("""COMPUTED_VALUE"""),"Inversiones Brayan CT C.A")</f>
        <v/>
      </c>
      <c r="G359" s="76">
        <f>IFERROR(__xludf.DUMMYFUNCTION("""COMPUTED_VALUE"""),"GRIMAN DIAZ HECTOR EDUARDO")</f>
        <v/>
      </c>
      <c r="H359" s="76">
        <f>IFERROR(__xludf.DUMMYFUNCTION("""COMPUTED_VALUE"""),517.9619)</f>
        <v/>
      </c>
      <c r="I359" s="75" t="n"/>
      <c r="J359" s="77">
        <f>IFERROR(__xludf.DUMMYFUNCTION("""COMPUTED_VALUE"""),40.0)</f>
        <v/>
      </c>
      <c r="K359" s="4">
        <f>IFERROR(__xludf.DUMMYFUNCTION("""COMPUTED_VALUE"""),40.0)</f>
        <v/>
      </c>
      <c r="L359" s="77">
        <f>IFERROR(__xludf.DUMMYFUNCTION("""COMPUTED_VALUE"""),40.0)</f>
        <v/>
      </c>
      <c r="O359" s="72" t="n"/>
      <c r="S359" s="4" t="n"/>
    </row>
    <row r="360">
      <c r="A360" s="74">
        <f>IFERROR(__xludf.DUMMYFUNCTION("""COMPUTED_VALUE"""),46161.0)</f>
        <v/>
      </c>
      <c r="B360" s="72">
        <f>IFERROR(__xludf.DUMMYFUNCTION("""COMPUTED_VALUE"""),87.0)</f>
        <v/>
      </c>
      <c r="C360" s="75">
        <f>IFERROR(__xludf.DUMMYFUNCTION("""COMPUTED_VALUE"""),113.0)</f>
        <v/>
      </c>
      <c r="D360" s="75">
        <f>IFERROR(__xludf.DUMMYFUNCTION("""COMPUTED_VALUE"""),"USD")</f>
        <v/>
      </c>
      <c r="E360" s="75">
        <f>IFERROR(__xludf.DUMMYFUNCTION("""COMPUTED_VALUE"""),"Efectivo USD")</f>
        <v/>
      </c>
      <c r="F360" s="75">
        <f>IFERROR(__xludf.DUMMYFUNCTION("""COMPUTED_VALUE"""),"Javier Cardenas Prato.")</f>
        <v/>
      </c>
      <c r="G360" s="76">
        <f>IFERROR(__xludf.DUMMYFUNCTION("""COMPUTED_VALUE"""),"TORO ARDILES DAVID JOSE")</f>
        <v/>
      </c>
      <c r="H360" s="76">
        <f>IFERROR(__xludf.DUMMYFUNCTION("""COMPUTED_VALUE"""),517.9619)</f>
        <v/>
      </c>
      <c r="I360" s="75" t="n"/>
      <c r="J360" s="77">
        <f>IFERROR(__xludf.DUMMYFUNCTION("""COMPUTED_VALUE"""),113.0)</f>
        <v/>
      </c>
      <c r="K360" s="4">
        <f>IFERROR(__xludf.DUMMYFUNCTION("""COMPUTED_VALUE"""),113.0)</f>
        <v/>
      </c>
      <c r="L360" s="77">
        <f>IFERROR(__xludf.DUMMYFUNCTION("""COMPUTED_VALUE"""),113.0)</f>
        <v/>
      </c>
      <c r="O360" s="72" t="n"/>
      <c r="S360" s="4" t="n"/>
    </row>
    <row r="361">
      <c r="A361" s="74">
        <f>IFERROR(__xludf.DUMMYFUNCTION("""COMPUTED_VALUE"""),46161.0)</f>
        <v/>
      </c>
      <c r="B361" s="72">
        <f>IFERROR(__xludf.DUMMYFUNCTION("""COMPUTED_VALUE"""),158.0)</f>
        <v/>
      </c>
      <c r="C361" s="75">
        <f>IFERROR(__xludf.DUMMYFUNCTION("""COMPUTED_VALUE"""),120.0)</f>
        <v/>
      </c>
      <c r="D361" s="75">
        <f>IFERROR(__xludf.DUMMYFUNCTION("""COMPUTED_VALUE"""),"USD")</f>
        <v/>
      </c>
      <c r="E361" s="75">
        <f>IFERROR(__xludf.DUMMYFUNCTION("""COMPUTED_VALUE"""),"Zelle")</f>
        <v/>
      </c>
      <c r="F361" s="75">
        <f>IFERROR(__xludf.DUMMYFUNCTION("""COMPUTED_VALUE"""),"Dimas Ortíz")</f>
        <v/>
      </c>
      <c r="G361" s="76">
        <f>IFERROR(__xludf.DUMMYFUNCTION("""COMPUTED_VALUE"""),"BETANCOURT ROBRIGUEZ LUIS ENRRIQUE")</f>
        <v/>
      </c>
      <c r="H361" s="76">
        <f>IFERROR(__xludf.DUMMYFUNCTION("""COMPUTED_VALUE"""),517.9619)</f>
        <v/>
      </c>
      <c r="I361" s="75" t="n"/>
      <c r="J361" s="77">
        <f>IFERROR(__xludf.DUMMYFUNCTION("""COMPUTED_VALUE"""),120.0)</f>
        <v/>
      </c>
      <c r="K361" s="4">
        <f>IFERROR(__xludf.DUMMYFUNCTION("""COMPUTED_VALUE"""),120.0)</f>
        <v/>
      </c>
      <c r="L361" s="77">
        <f>IFERROR(__xludf.DUMMYFUNCTION("""COMPUTED_VALUE"""),120.0)</f>
        <v/>
      </c>
      <c r="O361" s="72" t="n"/>
      <c r="S361" s="4" t="n"/>
    </row>
    <row r="362">
      <c r="A362" s="74">
        <f>IFERROR(__xludf.DUMMYFUNCTION("""COMPUTED_VALUE"""),46161.0)</f>
        <v/>
      </c>
      <c r="B362" s="72">
        <f>IFERROR(__xludf.DUMMYFUNCTION("""COMPUTED_VALUE"""),49.0)</f>
        <v/>
      </c>
      <c r="C362" s="75">
        <f>IFERROR(__xludf.DUMMYFUNCTION("""COMPUTED_VALUE"""),100.0)</f>
        <v/>
      </c>
      <c r="D362" s="75">
        <f>IFERROR(__xludf.DUMMYFUNCTION("""COMPUTED_VALUE"""),"USD")</f>
        <v/>
      </c>
      <c r="E362" s="75">
        <f>IFERROR(__xludf.DUMMYFUNCTION("""COMPUTED_VALUE"""),"Efectivo USD")</f>
        <v/>
      </c>
      <c r="F362" s="75">
        <f>IFERROR(__xludf.DUMMYFUNCTION("""COMPUTED_VALUE"""),"Marlene Herrera")</f>
        <v/>
      </c>
      <c r="G362" s="76">
        <f>IFERROR(__xludf.DUMMYFUNCTION("""COMPUTED_VALUE"""),"PEREZ DIAZ ANGEL DE DIOS")</f>
        <v/>
      </c>
      <c r="H362" s="76">
        <f>IFERROR(__xludf.DUMMYFUNCTION("""COMPUTED_VALUE"""),517.9619)</f>
        <v/>
      </c>
      <c r="I362" s="75" t="n"/>
      <c r="J362" s="77">
        <f>IFERROR(__xludf.DUMMYFUNCTION("""COMPUTED_VALUE"""),100.0)</f>
        <v/>
      </c>
      <c r="K362" s="4">
        <f>IFERROR(__xludf.DUMMYFUNCTION("""COMPUTED_VALUE"""),100.0)</f>
        <v/>
      </c>
      <c r="L362" s="77">
        <f>IFERROR(__xludf.DUMMYFUNCTION("""COMPUTED_VALUE"""),100.0)</f>
        <v/>
      </c>
      <c r="O362" s="72" t="n"/>
      <c r="S362" s="4" t="n"/>
    </row>
    <row r="363">
      <c r="A363" s="74">
        <f>IFERROR(__xludf.DUMMYFUNCTION("""COMPUTED_VALUE"""),46161.0)</f>
        <v/>
      </c>
      <c r="B363" s="72">
        <f>IFERROR(__xludf.DUMMYFUNCTION("""COMPUTED_VALUE"""),44.0)</f>
        <v/>
      </c>
      <c r="C363" s="75">
        <f>IFERROR(__xludf.DUMMYFUNCTION("""COMPUTED_VALUE"""),250.0)</f>
        <v/>
      </c>
      <c r="D363" s="75">
        <f>IFERROR(__xludf.DUMMYFUNCTION("""COMPUTED_VALUE"""),"USD")</f>
        <v/>
      </c>
      <c r="E363" s="75">
        <f>IFERROR(__xludf.DUMMYFUNCTION("""COMPUTED_VALUE"""),"Efectivo USD")</f>
        <v/>
      </c>
      <c r="F363" s="75">
        <f>IFERROR(__xludf.DUMMYFUNCTION("""COMPUTED_VALUE"""),"Comercializadora Garabote")</f>
        <v/>
      </c>
      <c r="G363" s="76">
        <f>IFERROR(__xludf.DUMMYFUNCTION("""COMPUTED_VALUE"""),"PEREZ DIAZ ANGEL DE DIOS")</f>
        <v/>
      </c>
      <c r="H363" s="76">
        <f>IFERROR(__xludf.DUMMYFUNCTION("""COMPUTED_VALUE"""),517.9619)</f>
        <v/>
      </c>
      <c r="I363" s="75" t="n"/>
      <c r="J363" s="77">
        <f>IFERROR(__xludf.DUMMYFUNCTION("""COMPUTED_VALUE"""),250.0)</f>
        <v/>
      </c>
      <c r="K363" s="4">
        <f>IFERROR(__xludf.DUMMYFUNCTION("""COMPUTED_VALUE"""),250.0)</f>
        <v/>
      </c>
      <c r="L363" s="77">
        <f>IFERROR(__xludf.DUMMYFUNCTION("""COMPUTED_VALUE"""),250.0)</f>
        <v/>
      </c>
      <c r="O363" s="72" t="n"/>
      <c r="S363" s="4" t="n"/>
    </row>
    <row r="364">
      <c r="A364" s="74">
        <f>IFERROR(__xludf.DUMMYFUNCTION("""COMPUTED_VALUE"""),46161.0)</f>
        <v/>
      </c>
      <c r="B364" s="72">
        <f>IFERROR(__xludf.DUMMYFUNCTION("""COMPUTED_VALUE"""),287.0)</f>
        <v/>
      </c>
      <c r="C364" s="75">
        <f>IFERROR(__xludf.DUMMYFUNCTION("""COMPUTED_VALUE"""),30.0)</f>
        <v/>
      </c>
      <c r="D364" s="75">
        <f>IFERROR(__xludf.DUMMYFUNCTION("""COMPUTED_VALUE"""),"USD")</f>
        <v/>
      </c>
      <c r="E364" s="75">
        <f>IFERROR(__xludf.DUMMYFUNCTION("""COMPUTED_VALUE"""),"Efectivo USD")</f>
        <v/>
      </c>
      <c r="F364" s="75">
        <f>IFERROR(__xludf.DUMMYFUNCTION("""COMPUTED_VALUE"""),"Javier gregorio Espinoza")</f>
        <v/>
      </c>
      <c r="G364" s="76">
        <f>IFERROR(__xludf.DUMMYFUNCTION("""COMPUTED_VALUE"""),"MARTINEZ MONTES JEFFREY ENRIQUE")</f>
        <v/>
      </c>
      <c r="H364" s="76">
        <f>IFERROR(__xludf.DUMMYFUNCTION("""COMPUTED_VALUE"""),517.9619)</f>
        <v/>
      </c>
      <c r="I364" s="75" t="n"/>
      <c r="J364" s="77">
        <f>IFERROR(__xludf.DUMMYFUNCTION("""COMPUTED_VALUE"""),30.0)</f>
        <v/>
      </c>
      <c r="K364" s="4">
        <f>IFERROR(__xludf.DUMMYFUNCTION("""COMPUTED_VALUE"""),30.0)</f>
        <v/>
      </c>
      <c r="L364" s="77">
        <f>IFERROR(__xludf.DUMMYFUNCTION("""COMPUTED_VALUE"""),30.0)</f>
        <v/>
      </c>
      <c r="O364" s="72" t="n"/>
      <c r="S364" s="4" t="n"/>
    </row>
    <row r="365">
      <c r="A365" s="74">
        <f>IFERROR(__xludf.DUMMYFUNCTION("""COMPUTED_VALUE"""),46161.0)</f>
        <v/>
      </c>
      <c r="B365" s="72">
        <f>IFERROR(__xludf.DUMMYFUNCTION("""COMPUTED_VALUE"""),302.0)</f>
        <v/>
      </c>
      <c r="C365" s="75">
        <f>IFERROR(__xludf.DUMMYFUNCTION("""COMPUTED_VALUE"""),68.0)</f>
        <v/>
      </c>
      <c r="D365" s="75">
        <f>IFERROR(__xludf.DUMMYFUNCTION("""COMPUTED_VALUE"""),"USD")</f>
        <v/>
      </c>
      <c r="E365" s="75">
        <f>IFERROR(__xludf.DUMMYFUNCTION("""COMPUTED_VALUE"""),"Efectivo USD")</f>
        <v/>
      </c>
      <c r="F365" s="75">
        <f>IFERROR(__xludf.DUMMYFUNCTION("""COMPUTED_VALUE"""),"Sergio Ibrain Rumbo Mundaray")</f>
        <v/>
      </c>
      <c r="G365" s="76">
        <f>IFERROR(__xludf.DUMMYFUNCTION("""COMPUTED_VALUE"""),"MARTINEZ MONTES JEFFREY ENRIQUE")</f>
        <v/>
      </c>
      <c r="H365" s="76">
        <f>IFERROR(__xludf.DUMMYFUNCTION("""COMPUTED_VALUE"""),517.9619)</f>
        <v/>
      </c>
      <c r="I365" s="75" t="n"/>
      <c r="J365" s="77">
        <f>IFERROR(__xludf.DUMMYFUNCTION("""COMPUTED_VALUE"""),68.0)</f>
        <v/>
      </c>
      <c r="K365" s="4">
        <f>IFERROR(__xludf.DUMMYFUNCTION("""COMPUTED_VALUE"""),68.0)</f>
        <v/>
      </c>
      <c r="L365" s="77">
        <f>IFERROR(__xludf.DUMMYFUNCTION("""COMPUTED_VALUE"""),68.0)</f>
        <v/>
      </c>
      <c r="O365" s="72" t="n"/>
      <c r="S365" s="4" t="n"/>
    </row>
    <row r="366">
      <c r="A366" s="74">
        <f>IFERROR(__xludf.DUMMYFUNCTION("""COMPUTED_VALUE"""),46162.0)</f>
        <v/>
      </c>
      <c r="B366" s="72">
        <f>IFERROR(__xludf.DUMMYFUNCTION("""COMPUTED_VALUE"""),418.0)</f>
        <v/>
      </c>
      <c r="C366" s="75">
        <f>IFERROR(__xludf.DUMMYFUNCTION("""COMPUTED_VALUE"""),53.0)</f>
        <v/>
      </c>
      <c r="D366" s="75">
        <f>IFERROR(__xludf.DUMMYFUNCTION("""COMPUTED_VALUE"""),"USD")</f>
        <v/>
      </c>
      <c r="E366" s="75">
        <f>IFERROR(__xludf.DUMMYFUNCTION("""COMPUTED_VALUE"""),"Efectivo USD")</f>
        <v/>
      </c>
      <c r="F366" s="75">
        <f>IFERROR(__xludf.DUMMYFUNCTION("""COMPUTED_VALUE"""),"Edgar salas")</f>
        <v/>
      </c>
      <c r="G366" s="76">
        <f>IFERROR(__xludf.DUMMYFUNCTION("""COMPUTED_VALUE"""),"REVERON DE CONTRERAS MELANI AUSMAR")</f>
        <v/>
      </c>
      <c r="H366" s="76">
        <f>IFERROR(__xludf.DUMMYFUNCTION("""COMPUTED_VALUE"""),520.9142)</f>
        <v/>
      </c>
      <c r="I366" s="75" t="n"/>
      <c r="J366" s="77">
        <f>IFERROR(__xludf.DUMMYFUNCTION("""COMPUTED_VALUE"""),53.0)</f>
        <v/>
      </c>
      <c r="K366" s="4">
        <f>IFERROR(__xludf.DUMMYFUNCTION("""COMPUTED_VALUE"""),53.0)</f>
        <v/>
      </c>
      <c r="L366" s="77">
        <f>IFERROR(__xludf.DUMMYFUNCTION("""COMPUTED_VALUE"""),53.0)</f>
        <v/>
      </c>
      <c r="O366" s="72" t="n"/>
      <c r="S366" s="4" t="n"/>
    </row>
    <row r="367">
      <c r="A367" s="74">
        <f>IFERROR(__xludf.DUMMYFUNCTION("""COMPUTED_VALUE"""),46162.0)</f>
        <v/>
      </c>
      <c r="B367" s="72">
        <f>IFERROR(__xludf.DUMMYFUNCTION("""COMPUTED_VALUE"""),404.0)</f>
        <v/>
      </c>
      <c r="C367" s="75">
        <f>IFERROR(__xludf.DUMMYFUNCTION("""COMPUTED_VALUE"""),3.0)</f>
        <v/>
      </c>
      <c r="D367" s="75">
        <f>IFERROR(__xludf.DUMMYFUNCTION("""COMPUTED_VALUE"""),"USD")</f>
        <v/>
      </c>
      <c r="E367" s="75">
        <f>IFERROR(__xludf.DUMMYFUNCTION("""COMPUTED_VALUE"""),"Efectivo USD")</f>
        <v/>
      </c>
      <c r="F367" s="75">
        <f>IFERROR(__xludf.DUMMYFUNCTION("""COMPUTED_VALUE"""),"Edgar salas")</f>
        <v/>
      </c>
      <c r="G367" s="76">
        <f>IFERROR(__xludf.DUMMYFUNCTION("""COMPUTED_VALUE"""),"REVERON DE CONTRERAS MELANI AUSMAR")</f>
        <v/>
      </c>
      <c r="H367" s="76">
        <f>IFERROR(__xludf.DUMMYFUNCTION("""COMPUTED_VALUE"""),520.9142)</f>
        <v/>
      </c>
      <c r="I367" s="75" t="n"/>
      <c r="J367" s="77">
        <f>IFERROR(__xludf.DUMMYFUNCTION("""COMPUTED_VALUE"""),3.0)</f>
        <v/>
      </c>
      <c r="K367" s="4">
        <f>IFERROR(__xludf.DUMMYFUNCTION("""COMPUTED_VALUE"""),3.0)</f>
        <v/>
      </c>
      <c r="L367" s="77">
        <f>IFERROR(__xludf.DUMMYFUNCTION("""COMPUTED_VALUE"""),3.0)</f>
        <v/>
      </c>
      <c r="O367" s="72" t="n"/>
      <c r="S367" s="4" t="n"/>
    </row>
    <row r="368">
      <c r="A368" s="74">
        <f>IFERROR(__xludf.DUMMYFUNCTION("""COMPUTED_VALUE"""),46162.0)</f>
        <v/>
      </c>
      <c r="B368" s="72">
        <f>IFERROR(__xludf.DUMMYFUNCTION("""COMPUTED_VALUE"""),413.0)</f>
        <v/>
      </c>
      <c r="C368" s="75">
        <f>IFERROR(__xludf.DUMMYFUNCTION("""COMPUTED_VALUE"""),30.0)</f>
        <v/>
      </c>
      <c r="D368" s="75">
        <f>IFERROR(__xludf.DUMMYFUNCTION("""COMPUTED_VALUE"""),"USD")</f>
        <v/>
      </c>
      <c r="E368" s="75">
        <f>IFERROR(__xludf.DUMMYFUNCTION("""COMPUTED_VALUE"""),"Efectivo USD")</f>
        <v/>
      </c>
      <c r="F368" s="75">
        <f>IFERROR(__xludf.DUMMYFUNCTION("""COMPUTED_VALUE"""),"ERICH GILBERTO CASERES MELENDEZ")</f>
        <v/>
      </c>
      <c r="G368" s="76">
        <f>IFERROR(__xludf.DUMMYFUNCTION("""COMPUTED_VALUE"""),"Vendedor")</f>
        <v/>
      </c>
      <c r="H368" s="76">
        <f>IFERROR(__xludf.DUMMYFUNCTION("""COMPUTED_VALUE"""),520.9142)</f>
        <v/>
      </c>
      <c r="I368" s="75" t="n"/>
      <c r="J368" s="77">
        <f>IFERROR(__xludf.DUMMYFUNCTION("""COMPUTED_VALUE"""),30.0)</f>
        <v/>
      </c>
      <c r="K368" s="4">
        <f>IFERROR(__xludf.DUMMYFUNCTION("""COMPUTED_VALUE"""),30.0)</f>
        <v/>
      </c>
      <c r="L368" s="77">
        <f>IFERROR(__xludf.DUMMYFUNCTION("""COMPUTED_VALUE"""),30.0)</f>
        <v/>
      </c>
      <c r="O368" s="72" t="n"/>
      <c r="S368" s="4" t="n"/>
    </row>
    <row r="369">
      <c r="A369" s="74">
        <f>IFERROR(__xludf.DUMMYFUNCTION("""COMPUTED_VALUE"""),46162.0)</f>
        <v/>
      </c>
      <c r="B369" s="72">
        <f>IFERROR(__xludf.DUMMYFUNCTION("""COMPUTED_VALUE"""),335.0)</f>
        <v/>
      </c>
      <c r="C369" s="75">
        <f>IFERROR(__xludf.DUMMYFUNCTION("""COMPUTED_VALUE"""),50.0)</f>
        <v/>
      </c>
      <c r="D369" s="75">
        <f>IFERROR(__xludf.DUMMYFUNCTION("""COMPUTED_VALUE"""),"USD")</f>
        <v/>
      </c>
      <c r="E369" s="75">
        <f>IFERROR(__xludf.DUMMYFUNCTION("""COMPUTED_VALUE"""),"Efectivo USD")</f>
        <v/>
      </c>
      <c r="F369" s="75">
        <f>IFERROR(__xludf.DUMMYFUNCTION("""COMPUTED_VALUE"""),"Wili Mervin León Romero")</f>
        <v/>
      </c>
      <c r="G369" s="76">
        <f>IFERROR(__xludf.DUMMYFUNCTION("""COMPUTED_VALUE"""),"GRIMAN DIAZ HECTOR EDUARDO")</f>
        <v/>
      </c>
      <c r="H369" s="76">
        <f>IFERROR(__xludf.DUMMYFUNCTION("""COMPUTED_VALUE"""),520.9142)</f>
        <v/>
      </c>
      <c r="I369" s="75" t="n"/>
      <c r="J369" s="77">
        <f>IFERROR(__xludf.DUMMYFUNCTION("""COMPUTED_VALUE"""),50.0)</f>
        <v/>
      </c>
      <c r="K369" s="4">
        <f>IFERROR(__xludf.DUMMYFUNCTION("""COMPUTED_VALUE"""),50.0)</f>
        <v/>
      </c>
      <c r="L369" s="77">
        <f>IFERROR(__xludf.DUMMYFUNCTION("""COMPUTED_VALUE"""),50.0)</f>
        <v/>
      </c>
      <c r="O369" s="72" t="n"/>
      <c r="S369" s="4" t="n"/>
    </row>
    <row r="370">
      <c r="A370" s="74">
        <f>IFERROR(__xludf.DUMMYFUNCTION("""COMPUTED_VALUE"""),46162.0)</f>
        <v/>
      </c>
      <c r="B370" s="72">
        <f>IFERROR(__xludf.DUMMYFUNCTION("""COMPUTED_VALUE"""),129.0)</f>
        <v/>
      </c>
      <c r="C370" s="75">
        <f>IFERROR(__xludf.DUMMYFUNCTION("""COMPUTED_VALUE"""),150.0)</f>
        <v/>
      </c>
      <c r="D370" s="75">
        <f>IFERROR(__xludf.DUMMYFUNCTION("""COMPUTED_VALUE"""),"USD")</f>
        <v/>
      </c>
      <c r="E370" s="75">
        <f>IFERROR(__xludf.DUMMYFUNCTION("""COMPUTED_VALUE"""),"Efectivo USD")</f>
        <v/>
      </c>
      <c r="F370" s="75">
        <f>IFERROR(__xludf.DUMMYFUNCTION("""COMPUTED_VALUE"""),"Emprendimiento Jordy Valencia")</f>
        <v/>
      </c>
      <c r="G370" s="76">
        <f>IFERROR(__xludf.DUMMYFUNCTION("""COMPUTED_VALUE"""),"MARTINEZ MONTES JEFFREY ENRIQUE")</f>
        <v/>
      </c>
      <c r="H370" s="76">
        <f>IFERROR(__xludf.DUMMYFUNCTION("""COMPUTED_VALUE"""),520.9142)</f>
        <v/>
      </c>
      <c r="I370" s="75" t="n"/>
      <c r="J370" s="77">
        <f>IFERROR(__xludf.DUMMYFUNCTION("""COMPUTED_VALUE"""),150.0)</f>
        <v/>
      </c>
      <c r="K370" s="4">
        <f>IFERROR(__xludf.DUMMYFUNCTION("""COMPUTED_VALUE"""),150.0)</f>
        <v/>
      </c>
      <c r="L370" s="77">
        <f>IFERROR(__xludf.DUMMYFUNCTION("""COMPUTED_VALUE"""),150.0)</f>
        <v/>
      </c>
      <c r="O370" s="72" t="n"/>
      <c r="S370" s="4" t="n"/>
    </row>
    <row r="371">
      <c r="A371" s="74">
        <f>IFERROR(__xludf.DUMMYFUNCTION("""COMPUTED_VALUE"""),46162.0)</f>
        <v/>
      </c>
      <c r="B371" s="72">
        <f>IFERROR(__xludf.DUMMYFUNCTION("""COMPUTED_VALUE"""),226.0)</f>
        <v/>
      </c>
      <c r="C371" s="75">
        <f>IFERROR(__xludf.DUMMYFUNCTION("""COMPUTED_VALUE"""),58.0)</f>
        <v/>
      </c>
      <c r="D371" s="75">
        <f>IFERROR(__xludf.DUMMYFUNCTION("""COMPUTED_VALUE"""),"USD")</f>
        <v/>
      </c>
      <c r="E371" s="75">
        <f>IFERROR(__xludf.DUMMYFUNCTION("""COMPUTED_VALUE"""),"Efectivo USD")</f>
        <v/>
      </c>
      <c r="F371" s="75">
        <f>IFERROR(__xludf.DUMMYFUNCTION("""COMPUTED_VALUE"""),"Josefina Guevera")</f>
        <v/>
      </c>
      <c r="G371" s="76">
        <f>IFERROR(__xludf.DUMMYFUNCTION("""COMPUTED_VALUE"""),"PEREZ DIAZ ANGEL DE DIOS")</f>
        <v/>
      </c>
      <c r="H371" s="76">
        <f>IFERROR(__xludf.DUMMYFUNCTION("""COMPUTED_VALUE"""),520.9142)</f>
        <v/>
      </c>
      <c r="I371" s="75" t="n"/>
      <c r="J371" s="77">
        <f>IFERROR(__xludf.DUMMYFUNCTION("""COMPUTED_VALUE"""),58.0)</f>
        <v/>
      </c>
      <c r="K371" s="4">
        <f>IFERROR(__xludf.DUMMYFUNCTION("""COMPUTED_VALUE"""),58.0)</f>
        <v/>
      </c>
      <c r="L371" s="77">
        <f>IFERROR(__xludf.DUMMYFUNCTION("""COMPUTED_VALUE"""),58.0)</f>
        <v/>
      </c>
      <c r="O371" s="72" t="n"/>
      <c r="S371" s="4" t="n"/>
    </row>
    <row r="372">
      <c r="A372" s="74">
        <f>IFERROR(__xludf.DUMMYFUNCTION("""COMPUTED_VALUE"""),46161.0)</f>
        <v/>
      </c>
      <c r="B372" s="72">
        <f>IFERROR(__xludf.DUMMYFUNCTION("""COMPUTED_VALUE"""),401.0)</f>
        <v/>
      </c>
      <c r="C372" s="75">
        <f>IFERROR(__xludf.DUMMYFUNCTION("""COMPUTED_VALUE"""),32.0)</f>
        <v/>
      </c>
      <c r="D372" s="75">
        <f>IFERROR(__xludf.DUMMYFUNCTION("""COMPUTED_VALUE"""),"USD")</f>
        <v/>
      </c>
      <c r="E372" s="75">
        <f>IFERROR(__xludf.DUMMYFUNCTION("""COMPUTED_VALUE"""),"Efectivo USD")</f>
        <v/>
      </c>
      <c r="F372" s="75">
        <f>IFERROR(__xludf.DUMMYFUNCTION("""COMPUTED_VALUE"""),"Jorge Luis camacaro")</f>
        <v/>
      </c>
      <c r="G372" s="76">
        <f>IFERROR(__xludf.DUMMYFUNCTION("""COMPUTED_VALUE"""),"PEREZ DIAZ ANGEL DE DIOS")</f>
        <v/>
      </c>
      <c r="H372" s="76">
        <f>IFERROR(__xludf.DUMMYFUNCTION("""COMPUTED_VALUE"""),517.9619)</f>
        <v/>
      </c>
      <c r="I372" s="75" t="n"/>
      <c r="J372" s="77">
        <f>IFERROR(__xludf.DUMMYFUNCTION("""COMPUTED_VALUE"""),32.0)</f>
        <v/>
      </c>
      <c r="K372" s="4">
        <f>IFERROR(__xludf.DUMMYFUNCTION("""COMPUTED_VALUE"""),32.0)</f>
        <v/>
      </c>
      <c r="L372" s="77">
        <f>IFERROR(__xludf.DUMMYFUNCTION("""COMPUTED_VALUE"""),32.0)</f>
        <v/>
      </c>
      <c r="O372" s="72" t="n"/>
      <c r="S372" s="4" t="n"/>
    </row>
    <row r="373">
      <c r="A373" s="74">
        <f>IFERROR(__xludf.DUMMYFUNCTION("""COMPUTED_VALUE"""),46161.0)</f>
        <v/>
      </c>
      <c r="B373" s="72">
        <f>IFERROR(__xludf.DUMMYFUNCTION("""COMPUTED_VALUE"""),402.0)</f>
        <v/>
      </c>
      <c r="C373" s="75">
        <f>IFERROR(__xludf.DUMMYFUNCTION("""COMPUTED_VALUE"""),20.0)</f>
        <v/>
      </c>
      <c r="D373" s="75">
        <f>IFERROR(__xludf.DUMMYFUNCTION("""COMPUTED_VALUE"""),"USD")</f>
        <v/>
      </c>
      <c r="E373" s="75">
        <f>IFERROR(__xludf.DUMMYFUNCTION("""COMPUTED_VALUE"""),"Efectivo USD")</f>
        <v/>
      </c>
      <c r="F373" s="75">
        <f>IFERROR(__xludf.DUMMYFUNCTION("""COMPUTED_VALUE"""),"Jorge Luis camacaro")</f>
        <v/>
      </c>
      <c r="G373" s="76">
        <f>IFERROR(__xludf.DUMMYFUNCTION("""COMPUTED_VALUE"""),"PEREZ DIAZ ANGEL DE DIOS")</f>
        <v/>
      </c>
      <c r="H373" s="76">
        <f>IFERROR(__xludf.DUMMYFUNCTION("""COMPUTED_VALUE"""),517.9619)</f>
        <v/>
      </c>
      <c r="I373" s="75" t="n"/>
      <c r="J373" s="77">
        <f>IFERROR(__xludf.DUMMYFUNCTION("""COMPUTED_VALUE"""),20.0)</f>
        <v/>
      </c>
      <c r="K373" s="4">
        <f>IFERROR(__xludf.DUMMYFUNCTION("""COMPUTED_VALUE"""),20.0)</f>
        <v/>
      </c>
      <c r="L373" s="77">
        <f>IFERROR(__xludf.DUMMYFUNCTION("""COMPUTED_VALUE"""),20.0)</f>
        <v/>
      </c>
      <c r="O373" s="72" t="n"/>
      <c r="S373" s="4" t="n"/>
    </row>
    <row r="374">
      <c r="A374" s="74">
        <f>IFERROR(__xludf.DUMMYFUNCTION("""COMPUTED_VALUE"""),46154.0)</f>
        <v/>
      </c>
      <c r="B374" s="72">
        <f>IFERROR(__xludf.DUMMYFUNCTION("""COMPUTED_VALUE"""),214.0)</f>
        <v/>
      </c>
      <c r="C374" s="75">
        <f>IFERROR(__xludf.DUMMYFUNCTION("""COMPUTED_VALUE"""),1000000.0)</f>
        <v/>
      </c>
      <c r="D374" s="75">
        <f>IFERROR(__xludf.DUMMYFUNCTION("""COMPUTED_VALUE"""),"VES")</f>
        <v/>
      </c>
      <c r="E374" s="75">
        <f>IFERROR(__xludf.DUMMYFUNCTION("""COMPUTED_VALUE"""),"Bancamiga")</f>
        <v/>
      </c>
      <c r="F374" s="75">
        <f>IFERROR(__xludf.DUMMYFUNCTION("""COMPUTED_VALUE"""),"CONSTRUCTORA GRANO AGREGADO, C.A")</f>
        <v/>
      </c>
      <c r="G374" s="76">
        <f>IFERROR(__xludf.DUMMYFUNCTION("""COMPUTED_VALUE"""),"Marco Romero")</f>
        <v/>
      </c>
      <c r="H374" s="76">
        <f>IFERROR(__xludf.DUMMYFUNCTION("""COMPUTED_VALUE"""),504.9146)</f>
        <v/>
      </c>
      <c r="I374" s="75" t="n"/>
      <c r="J374" s="77">
        <f>IFERROR(__xludf.DUMMYFUNCTION("""COMPUTED_VALUE"""),1980.5329455713897)</f>
        <v/>
      </c>
      <c r="K374" s="4">
        <f>IFERROR(__xludf.DUMMYFUNCTION("""COMPUTED_VALUE"""),0.0)</f>
        <v/>
      </c>
      <c r="L374" s="77">
        <f>IFERROR(__xludf.DUMMYFUNCTION("""COMPUTED_VALUE"""),1980.5329455713897)</f>
        <v/>
      </c>
      <c r="O374" s="72" t="n"/>
      <c r="S374" s="4" t="n"/>
    </row>
    <row r="375">
      <c r="A375" s="74">
        <f>IFERROR(__xludf.DUMMYFUNCTION("""COMPUTED_VALUE"""),46154.0)</f>
        <v/>
      </c>
      <c r="B375" s="72">
        <f>IFERROR(__xludf.DUMMYFUNCTION("""COMPUTED_VALUE"""),214.0)</f>
        <v/>
      </c>
      <c r="C375" s="75">
        <f>IFERROR(__xludf.DUMMYFUNCTION("""COMPUTED_VALUE"""),696083.88)</f>
        <v/>
      </c>
      <c r="D375" s="75">
        <f>IFERROR(__xludf.DUMMYFUNCTION("""COMPUTED_VALUE"""),"VES")</f>
        <v/>
      </c>
      <c r="E375" s="75">
        <f>IFERROR(__xludf.DUMMYFUNCTION("""COMPUTED_VALUE"""),"Bancamiga")</f>
        <v/>
      </c>
      <c r="F375" s="75">
        <f>IFERROR(__xludf.DUMMYFUNCTION("""COMPUTED_VALUE"""),"CONSTRUCTORA GRANO AGREGADO, C.A")</f>
        <v/>
      </c>
      <c r="G375" s="76">
        <f>IFERROR(__xludf.DUMMYFUNCTION("""COMPUTED_VALUE"""),"Marco Romero")</f>
        <v/>
      </c>
      <c r="H375" s="76">
        <f>IFERROR(__xludf.DUMMYFUNCTION("""COMPUTED_VALUE"""),504.9146)</f>
        <v/>
      </c>
      <c r="I375" s="75" t="n"/>
      <c r="J375" s="77">
        <f>IFERROR(__xludf.DUMMYFUNCTION("""COMPUTED_VALUE"""),1378.6170572211618)</f>
        <v/>
      </c>
      <c r="K375" s="4">
        <f>IFERROR(__xludf.DUMMYFUNCTION("""COMPUTED_VALUE"""),0.0)</f>
        <v/>
      </c>
      <c r="L375" s="77">
        <f>IFERROR(__xludf.DUMMYFUNCTION("""COMPUTED_VALUE"""),1378.6170572211618)</f>
        <v/>
      </c>
      <c r="O375" s="72" t="n"/>
      <c r="S375" s="4" t="n"/>
    </row>
    <row r="376">
      <c r="A376" s="74">
        <f>IFERROR(__xludf.DUMMYFUNCTION("""COMPUTED_VALUE"""),46161.0)</f>
        <v/>
      </c>
      <c r="B376" s="72">
        <f>IFERROR(__xludf.DUMMYFUNCTION("""COMPUTED_VALUE"""),214.0)</f>
        <v/>
      </c>
      <c r="C376" s="75">
        <f>IFERROR(__xludf.DUMMYFUNCTION("""COMPUTED_VALUE"""),1000000.0)</f>
        <v/>
      </c>
      <c r="D376" s="75">
        <f>IFERROR(__xludf.DUMMYFUNCTION("""COMPUTED_VALUE"""),"VES")</f>
        <v/>
      </c>
      <c r="E376" s="75">
        <f>IFERROR(__xludf.DUMMYFUNCTION("""COMPUTED_VALUE"""),"Bancamiga")</f>
        <v/>
      </c>
      <c r="F376" s="75">
        <f>IFERROR(__xludf.DUMMYFUNCTION("""COMPUTED_VALUE"""),"CONSTRUCTORA GRANO AGREGADO, C.A")</f>
        <v/>
      </c>
      <c r="G376" s="76">
        <f>IFERROR(__xludf.DUMMYFUNCTION("""COMPUTED_VALUE"""),"Marco Romero")</f>
        <v/>
      </c>
      <c r="H376" s="76">
        <f>IFERROR(__xludf.DUMMYFUNCTION("""COMPUTED_VALUE"""),517.9619)</f>
        <v/>
      </c>
      <c r="I376" s="75" t="n"/>
      <c r="J376" s="77">
        <f>IFERROR(__xludf.DUMMYFUNCTION("""COMPUTED_VALUE"""),1930.6439334630597)</f>
        <v/>
      </c>
      <c r="K376" s="4">
        <f>IFERROR(__xludf.DUMMYFUNCTION("""COMPUTED_VALUE"""),0.0)</f>
        <v/>
      </c>
      <c r="L376" s="77">
        <f>IFERROR(__xludf.DUMMYFUNCTION("""COMPUTED_VALUE"""),1930.6439334630597)</f>
        <v/>
      </c>
      <c r="O376" s="72" t="n"/>
      <c r="S376" s="4" t="n"/>
    </row>
    <row r="377">
      <c r="A377" s="74">
        <f>IFERROR(__xludf.DUMMYFUNCTION("""COMPUTED_VALUE"""),46161.0)</f>
        <v/>
      </c>
      <c r="B377" s="72">
        <f>IFERROR(__xludf.DUMMYFUNCTION("""COMPUTED_VALUE"""),214.0)</f>
        <v/>
      </c>
      <c r="C377" s="75">
        <f>IFERROR(__xludf.DUMMYFUNCTION("""COMPUTED_VALUE"""),739911.72)</f>
        <v/>
      </c>
      <c r="D377" s="75">
        <f>IFERROR(__xludf.DUMMYFUNCTION("""COMPUTED_VALUE"""),"VES")</f>
        <v/>
      </c>
      <c r="E377" s="75">
        <f>IFERROR(__xludf.DUMMYFUNCTION("""COMPUTED_VALUE"""),"Bancamiga")</f>
        <v/>
      </c>
      <c r="F377" s="75">
        <f>IFERROR(__xludf.DUMMYFUNCTION("""COMPUTED_VALUE"""),"CONSTRUCTORA GRANO AGREGADO, C.A")</f>
        <v/>
      </c>
      <c r="G377" s="76">
        <f>IFERROR(__xludf.DUMMYFUNCTION("""COMPUTED_VALUE"""),"Marco Romero")</f>
        <v/>
      </c>
      <c r="H377" s="76">
        <f>IFERROR(__xludf.DUMMYFUNCTION("""COMPUTED_VALUE"""),517.9619)</f>
        <v/>
      </c>
      <c r="I377" s="75" t="n"/>
      <c r="J377" s="77">
        <f>IFERROR(__xludf.DUMMYFUNCTION("""COMPUTED_VALUE"""),1428.506073516218)</f>
        <v/>
      </c>
      <c r="K377" s="4">
        <f>IFERROR(__xludf.DUMMYFUNCTION("""COMPUTED_VALUE"""),0.0)</f>
        <v/>
      </c>
      <c r="L377" s="77">
        <f>IFERROR(__xludf.DUMMYFUNCTION("""COMPUTED_VALUE"""),1428.506073516218)</f>
        <v/>
      </c>
      <c r="O377" s="72" t="n"/>
      <c r="S377" s="4" t="n"/>
    </row>
    <row r="378">
      <c r="A378" s="74">
        <f>IFERROR(__xludf.DUMMYFUNCTION("""COMPUTED_VALUE"""),46163.0)</f>
        <v/>
      </c>
      <c r="B378" s="72">
        <f>IFERROR(__xludf.DUMMYFUNCTION("""COMPUTED_VALUE"""),425.0)</f>
        <v/>
      </c>
      <c r="C378" s="75">
        <f>IFERROR(__xludf.DUMMYFUNCTION("""COMPUTED_VALUE"""),191.0)</f>
        <v/>
      </c>
      <c r="D378" s="75">
        <f>IFERROR(__xludf.DUMMYFUNCTION("""COMPUTED_VALUE"""),"USD")</f>
        <v/>
      </c>
      <c r="E378" s="75">
        <f>IFERROR(__xludf.DUMMYFUNCTION("""COMPUTED_VALUE"""),"Efectivo USD")</f>
        <v/>
      </c>
      <c r="F378" s="75">
        <f>IFERROR(__xludf.DUMMYFUNCTION("""COMPUTED_VALUE"""),"Katiuska Alejandra Curvelo")</f>
        <v/>
      </c>
      <c r="G378" s="76">
        <f>IFERROR(__xludf.DUMMYFUNCTION("""COMPUTED_VALUE"""),"GRIMAN DIAZ HECTOR EDUARDO")</f>
        <v/>
      </c>
      <c r="H378" s="76">
        <f>IFERROR(__xludf.DUMMYFUNCTION("""COMPUTED_VALUE"""),523.675)</f>
        <v/>
      </c>
      <c r="I378" s="75" t="n"/>
      <c r="J378" s="77">
        <f>IFERROR(__xludf.DUMMYFUNCTION("""COMPUTED_VALUE"""),191.0)</f>
        <v/>
      </c>
      <c r="K378" s="4">
        <f>IFERROR(__xludf.DUMMYFUNCTION("""COMPUTED_VALUE"""),191.0)</f>
        <v/>
      </c>
      <c r="L378" s="77">
        <f>IFERROR(__xludf.DUMMYFUNCTION("""COMPUTED_VALUE"""),191.0)</f>
        <v/>
      </c>
      <c r="O378" s="72" t="n"/>
      <c r="S378" s="4" t="n"/>
    </row>
    <row r="379">
      <c r="A379" s="74">
        <f>IFERROR(__xludf.DUMMYFUNCTION("""COMPUTED_VALUE"""),46163.0)</f>
        <v/>
      </c>
      <c r="B379" s="72">
        <f>IFERROR(__xludf.DUMMYFUNCTION("""COMPUTED_VALUE"""),231.0)</f>
        <v/>
      </c>
      <c r="C379" s="75">
        <f>IFERROR(__xludf.DUMMYFUNCTION("""COMPUTED_VALUE"""),200.0)</f>
        <v/>
      </c>
      <c r="D379" s="75">
        <f>IFERROR(__xludf.DUMMYFUNCTION("""COMPUTED_VALUE"""),"USD")</f>
        <v/>
      </c>
      <c r="E379" s="75">
        <f>IFERROR(__xludf.DUMMYFUNCTION("""COMPUTED_VALUE"""),"Efectivo USD")</f>
        <v/>
      </c>
      <c r="F379" s="75">
        <f>IFERROR(__xludf.DUMMYFUNCTION("""COMPUTED_VALUE"""),"Constructora  Campo Urbano,c.a.")</f>
        <v/>
      </c>
      <c r="G379" s="76">
        <f>IFERROR(__xludf.DUMMYFUNCTION("""COMPUTED_VALUE"""),"GRIMAN DIAZ HECTOR EDUARDO")</f>
        <v/>
      </c>
      <c r="H379" s="76">
        <f>IFERROR(__xludf.DUMMYFUNCTION("""COMPUTED_VALUE"""),523.675)</f>
        <v/>
      </c>
      <c r="I379" s="75" t="n"/>
      <c r="J379" s="77">
        <f>IFERROR(__xludf.DUMMYFUNCTION("""COMPUTED_VALUE"""),200.0)</f>
        <v/>
      </c>
      <c r="K379" s="4">
        <f>IFERROR(__xludf.DUMMYFUNCTION("""COMPUTED_VALUE"""),200.0)</f>
        <v/>
      </c>
      <c r="L379" s="77">
        <f>IFERROR(__xludf.DUMMYFUNCTION("""COMPUTED_VALUE"""),200.0)</f>
        <v/>
      </c>
      <c r="O379" s="72" t="n"/>
      <c r="S379" s="4" t="n"/>
    </row>
    <row r="380">
      <c r="A380" s="74">
        <f>IFERROR(__xludf.DUMMYFUNCTION("""COMPUTED_VALUE"""),46163.0)</f>
        <v/>
      </c>
      <c r="B380" s="72">
        <f>IFERROR(__xludf.DUMMYFUNCTION("""COMPUTED_VALUE"""),69.0)</f>
        <v/>
      </c>
      <c r="C380" s="75">
        <f>IFERROR(__xludf.DUMMYFUNCTION("""COMPUTED_VALUE"""),4.0)</f>
        <v/>
      </c>
      <c r="D380" s="75">
        <f>IFERROR(__xludf.DUMMYFUNCTION("""COMPUTED_VALUE"""),"USD")</f>
        <v/>
      </c>
      <c r="E380" s="75">
        <f>IFERROR(__xludf.DUMMYFUNCTION("""COMPUTED_VALUE"""),"Efectivo USD")</f>
        <v/>
      </c>
      <c r="F380" s="75">
        <f>IFERROR(__xludf.DUMMYFUNCTION("""COMPUTED_VALUE"""),"Katiuska Alejandra Curvelo")</f>
        <v/>
      </c>
      <c r="G380" s="76">
        <f>IFERROR(__xludf.DUMMYFUNCTION("""COMPUTED_VALUE"""),"GRIMAN DIAZ HECTOR EDUARDO")</f>
        <v/>
      </c>
      <c r="H380" s="76">
        <f>IFERROR(__xludf.DUMMYFUNCTION("""COMPUTED_VALUE"""),523.675)</f>
        <v/>
      </c>
      <c r="I380" s="75" t="n"/>
      <c r="J380" s="77">
        <f>IFERROR(__xludf.DUMMYFUNCTION("""COMPUTED_VALUE"""),4.0)</f>
        <v/>
      </c>
      <c r="K380" s="4">
        <f>IFERROR(__xludf.DUMMYFUNCTION("""COMPUTED_VALUE"""),4.0)</f>
        <v/>
      </c>
      <c r="L380" s="77">
        <f>IFERROR(__xludf.DUMMYFUNCTION("""COMPUTED_VALUE"""),4.0)</f>
        <v/>
      </c>
      <c r="O380" s="72" t="n"/>
      <c r="S380" s="4" t="n"/>
    </row>
    <row r="381">
      <c r="A381" s="74">
        <f>IFERROR(__xludf.DUMMYFUNCTION("""COMPUTED_VALUE"""),46163.0)</f>
        <v/>
      </c>
      <c r="B381" s="72">
        <f>IFERROR(__xludf.DUMMYFUNCTION("""COMPUTED_VALUE"""),123.0)</f>
        <v/>
      </c>
      <c r="C381" s="75">
        <f>IFERROR(__xludf.DUMMYFUNCTION("""COMPUTED_VALUE"""),36.0)</f>
        <v/>
      </c>
      <c r="D381" s="75">
        <f>IFERROR(__xludf.DUMMYFUNCTION("""COMPUTED_VALUE"""),"USD")</f>
        <v/>
      </c>
      <c r="E381" s="75">
        <f>IFERROR(__xludf.DUMMYFUNCTION("""COMPUTED_VALUE"""),"Efectivo USD")</f>
        <v/>
      </c>
      <c r="F381" s="75">
        <f>IFERROR(__xludf.DUMMYFUNCTION("""COMPUTED_VALUE"""),"Ramon Alvarez Mota")</f>
        <v/>
      </c>
      <c r="G381" s="76">
        <f>IFERROR(__xludf.DUMMYFUNCTION("""COMPUTED_VALUE"""),"TORO ARDILES DAVID JOSE")</f>
        <v/>
      </c>
      <c r="H381" s="76">
        <f>IFERROR(__xludf.DUMMYFUNCTION("""COMPUTED_VALUE"""),523.675)</f>
        <v/>
      </c>
      <c r="I381" s="75" t="n"/>
      <c r="J381" s="77">
        <f>IFERROR(__xludf.DUMMYFUNCTION("""COMPUTED_VALUE"""),36.0)</f>
        <v/>
      </c>
      <c r="K381" s="4">
        <f>IFERROR(__xludf.DUMMYFUNCTION("""COMPUTED_VALUE"""),36.0)</f>
        <v/>
      </c>
      <c r="L381" s="77">
        <f>IFERROR(__xludf.DUMMYFUNCTION("""COMPUTED_VALUE"""),36.0)</f>
        <v/>
      </c>
      <c r="O381" s="72" t="n"/>
      <c r="S381" s="4" t="n"/>
    </row>
    <row r="382">
      <c r="A382" s="74">
        <f>IFERROR(__xludf.DUMMYFUNCTION("""COMPUTED_VALUE"""),46163.0)</f>
        <v/>
      </c>
      <c r="B382" s="72">
        <f>IFERROR(__xludf.DUMMYFUNCTION("""COMPUTED_VALUE"""),324.0)</f>
        <v/>
      </c>
      <c r="C382" s="75">
        <f>IFERROR(__xludf.DUMMYFUNCTION("""COMPUTED_VALUE"""),4.0)</f>
        <v/>
      </c>
      <c r="D382" s="75">
        <f>IFERROR(__xludf.DUMMYFUNCTION("""COMPUTED_VALUE"""),"USD")</f>
        <v/>
      </c>
      <c r="E382" s="75">
        <f>IFERROR(__xludf.DUMMYFUNCTION("""COMPUTED_VALUE"""),"Efectivo USD")</f>
        <v/>
      </c>
      <c r="F382" s="75">
        <f>IFERROR(__xludf.DUMMYFUNCTION("""COMPUTED_VALUE"""),"Nemer Bourji")</f>
        <v/>
      </c>
      <c r="G382" s="76">
        <f>IFERROR(__xludf.DUMMYFUNCTION("""COMPUTED_VALUE"""),"TORO ARDILES DAVID JOSE")</f>
        <v/>
      </c>
      <c r="H382" s="76">
        <f>IFERROR(__xludf.DUMMYFUNCTION("""COMPUTED_VALUE"""),523.675)</f>
        <v/>
      </c>
      <c r="I382" s="75" t="n"/>
      <c r="J382" s="77">
        <f>IFERROR(__xludf.DUMMYFUNCTION("""COMPUTED_VALUE"""),4.0)</f>
        <v/>
      </c>
      <c r="K382" s="4">
        <f>IFERROR(__xludf.DUMMYFUNCTION("""COMPUTED_VALUE"""),4.0)</f>
        <v/>
      </c>
      <c r="L382" s="77">
        <f>IFERROR(__xludf.DUMMYFUNCTION("""COMPUTED_VALUE"""),4.0)</f>
        <v/>
      </c>
      <c r="O382" s="72" t="n"/>
      <c r="S382" s="4" t="n"/>
    </row>
    <row r="383">
      <c r="A383" s="74">
        <f>IFERROR(__xludf.DUMMYFUNCTION("""COMPUTED_VALUE"""),46163.0)</f>
        <v/>
      </c>
      <c r="B383" s="72">
        <f>IFERROR(__xludf.DUMMYFUNCTION("""COMPUTED_VALUE"""),264.0)</f>
        <v/>
      </c>
      <c r="C383" s="75">
        <f>IFERROR(__xludf.DUMMYFUNCTION("""COMPUTED_VALUE"""),71.0)</f>
        <v/>
      </c>
      <c r="D383" s="75">
        <f>IFERROR(__xludf.DUMMYFUNCTION("""COMPUTED_VALUE"""),"USD")</f>
        <v/>
      </c>
      <c r="E383" s="75">
        <f>IFERROR(__xludf.DUMMYFUNCTION("""COMPUTED_VALUE"""),"Efectivo USD")</f>
        <v/>
      </c>
      <c r="F383" s="75">
        <f>IFERROR(__xludf.DUMMYFUNCTION("""COMPUTED_VALUE"""),"Inversiones Los compadres 7686, c.a.")</f>
        <v/>
      </c>
      <c r="G383" s="76">
        <f>IFERROR(__xludf.DUMMYFUNCTION("""COMPUTED_VALUE"""),"QUEVEDO BASTIDAS NEYKEL DAVID")</f>
        <v/>
      </c>
      <c r="H383" s="76">
        <f>IFERROR(__xludf.DUMMYFUNCTION("""COMPUTED_VALUE"""),523.675)</f>
        <v/>
      </c>
      <c r="I383" s="75" t="n"/>
      <c r="J383" s="77">
        <f>IFERROR(__xludf.DUMMYFUNCTION("""COMPUTED_VALUE"""),71.0)</f>
        <v/>
      </c>
      <c r="K383" s="4">
        <f>IFERROR(__xludf.DUMMYFUNCTION("""COMPUTED_VALUE"""),71.0)</f>
        <v/>
      </c>
      <c r="L383" s="77">
        <f>IFERROR(__xludf.DUMMYFUNCTION("""COMPUTED_VALUE"""),71.0)</f>
        <v/>
      </c>
      <c r="O383" s="72" t="n"/>
      <c r="S383" s="4" t="n"/>
    </row>
    <row r="384">
      <c r="A384" s="74">
        <f>IFERROR(__xludf.DUMMYFUNCTION("""COMPUTED_VALUE"""),46163.0)</f>
        <v/>
      </c>
      <c r="B384" s="72">
        <f>IFERROR(__xludf.DUMMYFUNCTION("""COMPUTED_VALUE"""),419.0)</f>
        <v/>
      </c>
      <c r="C384" s="75">
        <f>IFERROR(__xludf.DUMMYFUNCTION("""COMPUTED_VALUE"""),213.0)</f>
        <v/>
      </c>
      <c r="D384" s="75">
        <f>IFERROR(__xludf.DUMMYFUNCTION("""COMPUTED_VALUE"""),"USD")</f>
        <v/>
      </c>
      <c r="E384" s="75">
        <f>IFERROR(__xludf.DUMMYFUNCTION("""COMPUTED_VALUE"""),"Efectivo USD")</f>
        <v/>
      </c>
      <c r="F384" s="75">
        <f>IFERROR(__xludf.DUMMYFUNCTION("""COMPUTED_VALUE"""),"EMPRENDIMIENTO IRMA RODRIGUEZ 6")</f>
        <v/>
      </c>
      <c r="G384" s="76">
        <f>IFERROR(__xludf.DUMMYFUNCTION("""COMPUTED_VALUE"""),"TORO ARDILES DAVID JOSE")</f>
        <v/>
      </c>
      <c r="H384" s="76">
        <f>IFERROR(__xludf.DUMMYFUNCTION("""COMPUTED_VALUE"""),523.675)</f>
        <v/>
      </c>
      <c r="I384" s="75" t="n"/>
      <c r="J384" s="77">
        <f>IFERROR(__xludf.DUMMYFUNCTION("""COMPUTED_VALUE"""),213.0)</f>
        <v/>
      </c>
      <c r="K384" s="4">
        <f>IFERROR(__xludf.DUMMYFUNCTION("""COMPUTED_VALUE"""),213.0)</f>
        <v/>
      </c>
      <c r="L384" s="77">
        <f>IFERROR(__xludf.DUMMYFUNCTION("""COMPUTED_VALUE"""),213.0)</f>
        <v/>
      </c>
      <c r="O384" s="72" t="n"/>
      <c r="S384" s="4" t="n"/>
    </row>
    <row r="385">
      <c r="A385" s="74">
        <f>IFERROR(__xludf.DUMMYFUNCTION("""COMPUTED_VALUE"""),46163.0)</f>
        <v/>
      </c>
      <c r="B385" s="72">
        <f>IFERROR(__xludf.DUMMYFUNCTION("""COMPUTED_VALUE"""),228.0)</f>
        <v/>
      </c>
      <c r="C385" s="75">
        <f>IFERROR(__xludf.DUMMYFUNCTION("""COMPUTED_VALUE"""),154901.58)</f>
        <v/>
      </c>
      <c r="D385" s="75">
        <f>IFERROR(__xludf.DUMMYFUNCTION("""COMPUTED_VALUE"""),"VES")</f>
        <v/>
      </c>
      <c r="E385" s="75">
        <f>IFERROR(__xludf.DUMMYFUNCTION("""COMPUTED_VALUE"""),"Bancamiga")</f>
        <v/>
      </c>
      <c r="F385" s="75">
        <f>IFERROR(__xludf.DUMMYFUNCTION("""COMPUTED_VALUE"""),"CAUCHOS Y ACCESORIOS LA CAMPIÑA, C.A.")</f>
        <v/>
      </c>
      <c r="G385" s="76">
        <f>IFERROR(__xludf.DUMMYFUNCTION("""COMPUTED_VALUE"""),"TORO ARDILES DAVID JOSE")</f>
        <v/>
      </c>
      <c r="H385" s="76">
        <f>IFERROR(__xludf.DUMMYFUNCTION("""COMPUTED_VALUE"""),523.675)</f>
        <v/>
      </c>
      <c r="I385" s="75" t="n"/>
      <c r="J385" s="77">
        <f>IFERROR(__xludf.DUMMYFUNCTION("""COMPUTED_VALUE"""),295.79716427173344)</f>
        <v/>
      </c>
      <c r="K385" s="4">
        <f>IFERROR(__xludf.DUMMYFUNCTION("""COMPUTED_VALUE"""),0.0)</f>
        <v/>
      </c>
      <c r="L385" s="77">
        <f>IFERROR(__xludf.DUMMYFUNCTION("""COMPUTED_VALUE"""),295.79716427173344)</f>
        <v/>
      </c>
      <c r="O385" s="72" t="n"/>
      <c r="S385" s="4" t="n"/>
    </row>
    <row r="386">
      <c r="A386" s="74">
        <f>IFERROR(__xludf.DUMMYFUNCTION("""COMPUTED_VALUE"""),46163.0)</f>
        <v/>
      </c>
      <c r="B386" s="72">
        <f>IFERROR(__xludf.DUMMYFUNCTION("""COMPUTED_VALUE"""),120.0)</f>
        <v/>
      </c>
      <c r="C386" s="75">
        <f>IFERROR(__xludf.DUMMYFUNCTION("""COMPUTED_VALUE"""),26183.5)</f>
        <v/>
      </c>
      <c r="D386" s="75">
        <f>IFERROR(__xludf.DUMMYFUNCTION("""COMPUTED_VALUE"""),"VES")</f>
        <v/>
      </c>
      <c r="E386" s="75">
        <f>IFERROR(__xludf.DUMMYFUNCTION("""COMPUTED_VALUE"""),"Bancamiga")</f>
        <v/>
      </c>
      <c r="F386" s="75">
        <f>IFERROR(__xludf.DUMMYFUNCTION("""COMPUTED_VALUE"""),"MARTIN RAMON DIAZ BOLIVAR")</f>
        <v/>
      </c>
      <c r="G386" s="76">
        <f>IFERROR(__xludf.DUMMYFUNCTION("""COMPUTED_VALUE"""),"VILLABONA CORREA ALBA ESTEFANIA")</f>
        <v/>
      </c>
      <c r="H386" s="76">
        <f>IFERROR(__xludf.DUMMYFUNCTION("""COMPUTED_VALUE"""),523.675)</f>
        <v/>
      </c>
      <c r="I386" s="75" t="n"/>
      <c r="J386" s="77">
        <f>IFERROR(__xludf.DUMMYFUNCTION("""COMPUTED_VALUE"""),49.99952260466893)</f>
        <v/>
      </c>
      <c r="K386" s="4">
        <f>IFERROR(__xludf.DUMMYFUNCTION("""COMPUTED_VALUE"""),0.0)</f>
        <v/>
      </c>
      <c r="L386" s="77">
        <f>IFERROR(__xludf.DUMMYFUNCTION("""COMPUTED_VALUE"""),49.99952260466893)</f>
        <v/>
      </c>
      <c r="O386" s="72" t="n"/>
      <c r="S386" s="4" t="n"/>
    </row>
    <row r="387">
      <c r="A387" s="74">
        <f>IFERROR(__xludf.DUMMYFUNCTION("""COMPUTED_VALUE"""),46163.0)</f>
        <v/>
      </c>
      <c r="B387" s="72">
        <f>IFERROR(__xludf.DUMMYFUNCTION("""COMPUTED_VALUE"""),287.0)</f>
        <v/>
      </c>
      <c r="C387" s="75">
        <f>IFERROR(__xludf.DUMMYFUNCTION("""COMPUTED_VALUE"""),50.0)</f>
        <v/>
      </c>
      <c r="D387" s="75">
        <f>IFERROR(__xludf.DUMMYFUNCTION("""COMPUTED_VALUE"""),"USD")</f>
        <v/>
      </c>
      <c r="E387" s="75">
        <f>IFERROR(__xludf.DUMMYFUNCTION("""COMPUTED_VALUE"""),"Efectivo USD")</f>
        <v/>
      </c>
      <c r="F387" s="75">
        <f>IFERROR(__xludf.DUMMYFUNCTION("""COMPUTED_VALUE"""),"Javier gregorio Espinoza")</f>
        <v/>
      </c>
      <c r="G387" s="76">
        <f>IFERROR(__xludf.DUMMYFUNCTION("""COMPUTED_VALUE"""),"MARTINEZ MONTES JEFFREY ENRIQUE")</f>
        <v/>
      </c>
      <c r="H387" s="76">
        <f>IFERROR(__xludf.DUMMYFUNCTION("""COMPUTED_VALUE"""),523.675)</f>
        <v/>
      </c>
      <c r="I387" s="75" t="n"/>
      <c r="J387" s="77">
        <f>IFERROR(__xludf.DUMMYFUNCTION("""COMPUTED_VALUE"""),50.0)</f>
        <v/>
      </c>
      <c r="K387" s="4">
        <f>IFERROR(__xludf.DUMMYFUNCTION("""COMPUTED_VALUE"""),50.0)</f>
        <v/>
      </c>
      <c r="L387" s="77">
        <f>IFERROR(__xludf.DUMMYFUNCTION("""COMPUTED_VALUE"""),50.0)</f>
        <v/>
      </c>
      <c r="O387" s="72" t="n"/>
      <c r="S387" s="4" t="n"/>
    </row>
    <row r="388">
      <c r="A388" s="74">
        <f>IFERROR(__xludf.DUMMYFUNCTION("""COMPUTED_VALUE"""),46163.0)</f>
        <v/>
      </c>
      <c r="B388" s="72">
        <f>IFERROR(__xludf.DUMMYFUNCTION("""COMPUTED_VALUE"""),218.0)</f>
        <v/>
      </c>
      <c r="C388" s="75">
        <f>IFERROR(__xludf.DUMMYFUNCTION("""COMPUTED_VALUE"""),60.0)</f>
        <v/>
      </c>
      <c r="D388" s="75">
        <f>IFERROR(__xludf.DUMMYFUNCTION("""COMPUTED_VALUE"""),"USD")</f>
        <v/>
      </c>
      <c r="E388" s="75">
        <f>IFERROR(__xludf.DUMMYFUNCTION("""COMPUTED_VALUE"""),"Efectivo USD")</f>
        <v/>
      </c>
      <c r="F388" s="75">
        <f>IFERROR(__xludf.DUMMYFUNCTION("""COMPUTED_VALUE"""),"Cooperativa Dios mi Amparo, R.L.")</f>
        <v/>
      </c>
      <c r="G388" s="76">
        <f>IFERROR(__xludf.DUMMYFUNCTION("""COMPUTED_VALUE"""),"BETANCOURT ROBRIGUEZ LUIS ENRRIQUE")</f>
        <v/>
      </c>
      <c r="H388" s="76">
        <f>IFERROR(__xludf.DUMMYFUNCTION("""COMPUTED_VALUE"""),523.675)</f>
        <v/>
      </c>
      <c r="I388" s="75" t="n"/>
      <c r="J388" s="77">
        <f>IFERROR(__xludf.DUMMYFUNCTION("""COMPUTED_VALUE"""),60.0)</f>
        <v/>
      </c>
      <c r="K388" s="4">
        <f>IFERROR(__xludf.DUMMYFUNCTION("""COMPUTED_VALUE"""),60.0)</f>
        <v/>
      </c>
      <c r="L388" s="77">
        <f>IFERROR(__xludf.DUMMYFUNCTION("""COMPUTED_VALUE"""),60.0)</f>
        <v/>
      </c>
      <c r="O388" s="72" t="n"/>
      <c r="S388" s="4" t="n"/>
    </row>
    <row r="389">
      <c r="A389" s="74">
        <f>IFERROR(__xludf.DUMMYFUNCTION("""COMPUTED_VALUE"""),46163.0)</f>
        <v/>
      </c>
      <c r="B389" s="72">
        <f>IFERROR(__xludf.DUMMYFUNCTION("""COMPUTED_VALUE"""),158.0)</f>
        <v/>
      </c>
      <c r="C389" s="75">
        <f>IFERROR(__xludf.DUMMYFUNCTION("""COMPUTED_VALUE"""),110.0)</f>
        <v/>
      </c>
      <c r="D389" s="75">
        <f>IFERROR(__xludf.DUMMYFUNCTION("""COMPUTED_VALUE"""),"USD")</f>
        <v/>
      </c>
      <c r="E389" s="75">
        <f>IFERROR(__xludf.DUMMYFUNCTION("""COMPUTED_VALUE"""),"Zelle")</f>
        <v/>
      </c>
      <c r="F389" s="75">
        <f>IFERROR(__xludf.DUMMYFUNCTION("""COMPUTED_VALUE"""),"Dimas Ortíz")</f>
        <v/>
      </c>
      <c r="G389" s="76">
        <f>IFERROR(__xludf.DUMMYFUNCTION("""COMPUTED_VALUE"""),"BETANCOURT ROBRIGUEZ LUIS ENRRIQUE")</f>
        <v/>
      </c>
      <c r="H389" s="76">
        <f>IFERROR(__xludf.DUMMYFUNCTION("""COMPUTED_VALUE"""),523.675)</f>
        <v/>
      </c>
      <c r="I389" s="75" t="n"/>
      <c r="J389" s="77">
        <f>IFERROR(__xludf.DUMMYFUNCTION("""COMPUTED_VALUE"""),110.0)</f>
        <v/>
      </c>
      <c r="K389" s="4">
        <f>IFERROR(__xludf.DUMMYFUNCTION("""COMPUTED_VALUE"""),110.0)</f>
        <v/>
      </c>
      <c r="L389" s="77">
        <f>IFERROR(__xludf.DUMMYFUNCTION("""COMPUTED_VALUE"""),110.0)</f>
        <v/>
      </c>
      <c r="O389" s="72" t="n"/>
      <c r="S389" s="4" t="n"/>
    </row>
    <row r="390">
      <c r="A390" s="74">
        <f>IFERROR(__xludf.DUMMYFUNCTION("""COMPUTED_VALUE"""),46164.0)</f>
        <v/>
      </c>
      <c r="B390" s="72">
        <f>IFERROR(__xludf.DUMMYFUNCTION("""COMPUTED_VALUE"""),168.0)</f>
        <v/>
      </c>
      <c r="C390" s="75">
        <f>IFERROR(__xludf.DUMMYFUNCTION("""COMPUTED_VALUE"""),100.0)</f>
        <v/>
      </c>
      <c r="D390" s="75">
        <f>IFERROR(__xludf.DUMMYFUNCTION("""COMPUTED_VALUE"""),"USD")</f>
        <v/>
      </c>
      <c r="E390" s="75">
        <f>IFERROR(__xludf.DUMMYFUNCTION("""COMPUTED_VALUE"""),"Efectivo USD")</f>
        <v/>
      </c>
      <c r="F390" s="75">
        <f>IFERROR(__xludf.DUMMYFUNCTION("""COMPUTED_VALUE"""),"ADS SERVICE C.A")</f>
        <v/>
      </c>
      <c r="G390" s="76">
        <f>IFERROR(__xludf.DUMMYFUNCTION("""COMPUTED_VALUE"""),"PEREZ DIAZ ANGEL DE DIOS")</f>
        <v/>
      </c>
      <c r="H390" s="76">
        <f>IFERROR(__xludf.DUMMYFUNCTION("""COMPUTED_VALUE"""),526.8694)</f>
        <v/>
      </c>
      <c r="I390" s="75" t="n"/>
      <c r="J390" s="77">
        <f>IFERROR(__xludf.DUMMYFUNCTION("""COMPUTED_VALUE"""),100.0)</f>
        <v/>
      </c>
      <c r="K390" s="4">
        <f>IFERROR(__xludf.DUMMYFUNCTION("""COMPUTED_VALUE"""),100.0)</f>
        <v/>
      </c>
      <c r="L390" s="77">
        <f>IFERROR(__xludf.DUMMYFUNCTION("""COMPUTED_VALUE"""),100.0)</f>
        <v/>
      </c>
      <c r="O390" s="72" t="n"/>
      <c r="S390" s="4" t="n"/>
    </row>
    <row r="391">
      <c r="A391" s="74">
        <f>IFERROR(__xludf.DUMMYFUNCTION("""COMPUTED_VALUE"""),46164.0)</f>
        <v/>
      </c>
      <c r="B391" s="72">
        <f>IFERROR(__xludf.DUMMYFUNCTION("""COMPUTED_VALUE"""),44.0)</f>
        <v/>
      </c>
      <c r="C391" s="75">
        <f>IFERROR(__xludf.DUMMYFUNCTION("""COMPUTED_VALUE"""),150.0)</f>
        <v/>
      </c>
      <c r="D391" s="75">
        <f>IFERROR(__xludf.DUMMYFUNCTION("""COMPUTED_VALUE"""),"USD")</f>
        <v/>
      </c>
      <c r="E391" s="75">
        <f>IFERROR(__xludf.DUMMYFUNCTION("""COMPUTED_VALUE"""),"Efectivo USD")</f>
        <v/>
      </c>
      <c r="F391" s="75">
        <f>IFERROR(__xludf.DUMMYFUNCTION("""COMPUTED_VALUE"""),"Comercializadora Garabote")</f>
        <v/>
      </c>
      <c r="G391" s="76">
        <f>IFERROR(__xludf.DUMMYFUNCTION("""COMPUTED_VALUE"""),"PEREZ DIAZ ANGEL DE DIOS")</f>
        <v/>
      </c>
      <c r="H391" s="76">
        <f>IFERROR(__xludf.DUMMYFUNCTION("""COMPUTED_VALUE"""),526.8694)</f>
        <v/>
      </c>
      <c r="I391" s="75" t="n"/>
      <c r="J391" s="77">
        <f>IFERROR(__xludf.DUMMYFUNCTION("""COMPUTED_VALUE"""),150.0)</f>
        <v/>
      </c>
      <c r="K391" s="4">
        <f>IFERROR(__xludf.DUMMYFUNCTION("""COMPUTED_VALUE"""),150.0)</f>
        <v/>
      </c>
      <c r="L391" s="77">
        <f>IFERROR(__xludf.DUMMYFUNCTION("""COMPUTED_VALUE"""),150.0)</f>
        <v/>
      </c>
      <c r="O391" s="72" t="n"/>
      <c r="S391" s="4" t="n"/>
    </row>
    <row r="392">
      <c r="A392" s="74">
        <f>IFERROR(__xludf.DUMMYFUNCTION("""COMPUTED_VALUE"""),46164.0)</f>
        <v/>
      </c>
      <c r="B392" s="72">
        <f>IFERROR(__xludf.DUMMYFUNCTION("""COMPUTED_VALUE"""),27.0)</f>
        <v/>
      </c>
      <c r="C392" s="75">
        <f>IFERROR(__xludf.DUMMYFUNCTION("""COMPUTED_VALUE"""),20.0)</f>
        <v/>
      </c>
      <c r="D392" s="75">
        <f>IFERROR(__xludf.DUMMYFUNCTION("""COMPUTED_VALUE"""),"USD")</f>
        <v/>
      </c>
      <c r="E392" s="75">
        <f>IFERROR(__xludf.DUMMYFUNCTION("""COMPUTED_VALUE"""),"Efectivo USD")</f>
        <v/>
      </c>
      <c r="F392" s="75">
        <f>IFERROR(__xludf.DUMMYFUNCTION("""COMPUTED_VALUE"""),"Moises Alejandro Mares")</f>
        <v/>
      </c>
      <c r="G392" s="76">
        <f>IFERROR(__xludf.DUMMYFUNCTION("""COMPUTED_VALUE"""),"GRIMAN DIAZ HECTOR EDUARDO")</f>
        <v/>
      </c>
      <c r="H392" s="76">
        <f>IFERROR(__xludf.DUMMYFUNCTION("""COMPUTED_VALUE"""),526.8694)</f>
        <v/>
      </c>
      <c r="I392" s="75" t="n"/>
      <c r="J392" s="77">
        <f>IFERROR(__xludf.DUMMYFUNCTION("""COMPUTED_VALUE"""),20.0)</f>
        <v/>
      </c>
      <c r="K392" s="4">
        <f>IFERROR(__xludf.DUMMYFUNCTION("""COMPUTED_VALUE"""),20.0)</f>
        <v/>
      </c>
      <c r="L392" s="77">
        <f>IFERROR(__xludf.DUMMYFUNCTION("""COMPUTED_VALUE"""),20.0)</f>
        <v/>
      </c>
      <c r="O392" s="72" t="n"/>
      <c r="S392" s="4" t="n"/>
    </row>
    <row r="393">
      <c r="A393" s="74">
        <f>IFERROR(__xludf.DUMMYFUNCTION("""COMPUTED_VALUE"""),46164.0)</f>
        <v/>
      </c>
      <c r="B393" s="72">
        <f>IFERROR(__xludf.DUMMYFUNCTION("""COMPUTED_VALUE"""),54.0)</f>
        <v/>
      </c>
      <c r="C393" s="75">
        <f>IFERROR(__xludf.DUMMYFUNCTION("""COMPUTED_VALUE"""),30519.0)</f>
        <v/>
      </c>
      <c r="D393" s="75">
        <f>IFERROR(__xludf.DUMMYFUNCTION("""COMPUTED_VALUE"""),"VES")</f>
        <v/>
      </c>
      <c r="E393" s="75">
        <f>IFERROR(__xludf.DUMMYFUNCTION("""COMPUTED_VALUE"""),"Bancamiga")</f>
        <v/>
      </c>
      <c r="F393" s="75">
        <f>IFERROR(__xludf.DUMMYFUNCTION("""COMPUTED_VALUE"""),"Corporación Lubricantes 7ma Av.C.A")</f>
        <v/>
      </c>
      <c r="G393" s="76">
        <f>IFERROR(__xludf.DUMMYFUNCTION("""COMPUTED_VALUE"""),"GRIMAN DIAZ HECTOR EDUARDO")</f>
        <v/>
      </c>
      <c r="H393" s="76">
        <f>IFERROR(__xludf.DUMMYFUNCTION("""COMPUTED_VALUE"""),526.8694)</f>
        <v/>
      </c>
      <c r="I393" s="75" t="n"/>
      <c r="J393" s="77">
        <f>IFERROR(__xludf.DUMMYFUNCTION("""COMPUTED_VALUE"""),57.92517082981095)</f>
        <v/>
      </c>
      <c r="K393" s="4">
        <f>IFERROR(__xludf.DUMMYFUNCTION("""COMPUTED_VALUE"""),0.0)</f>
        <v/>
      </c>
      <c r="L393" s="77">
        <f>IFERROR(__xludf.DUMMYFUNCTION("""COMPUTED_VALUE"""),57.92517082981095)</f>
        <v/>
      </c>
      <c r="O393" s="72" t="n"/>
      <c r="S393" s="4" t="n"/>
    </row>
    <row r="394">
      <c r="A394" s="74">
        <f>IFERROR(__xludf.DUMMYFUNCTION("""COMPUTED_VALUE"""),46164.0)</f>
        <v/>
      </c>
      <c r="B394" s="72">
        <f>IFERROR(__xludf.DUMMYFUNCTION("""COMPUTED_VALUE"""),143.0)</f>
        <v/>
      </c>
      <c r="C394" s="75">
        <f>IFERROR(__xludf.DUMMYFUNCTION("""COMPUTED_VALUE"""),52.0)</f>
        <v/>
      </c>
      <c r="D394" s="75">
        <f>IFERROR(__xludf.DUMMYFUNCTION("""COMPUTED_VALUE"""),"USD")</f>
        <v/>
      </c>
      <c r="E394" s="75">
        <f>IFERROR(__xludf.DUMMYFUNCTION("""COMPUTED_VALUE"""),"Efectivo USD")</f>
        <v/>
      </c>
      <c r="F394" s="75">
        <f>IFERROR(__xludf.DUMMYFUNCTION("""COMPUTED_VALUE"""),"MOTOREPUESTOS EL GUANÁBANO YRM C.A.")</f>
        <v/>
      </c>
      <c r="G394" s="76">
        <f>IFERROR(__xludf.DUMMYFUNCTION("""COMPUTED_VALUE"""),"TORO ARDILES DAVID JOSE")</f>
        <v/>
      </c>
      <c r="H394" s="76">
        <f>IFERROR(__xludf.DUMMYFUNCTION("""COMPUTED_VALUE"""),526.8694)</f>
        <v/>
      </c>
      <c r="I394" s="75" t="n"/>
      <c r="J394" s="77">
        <f>IFERROR(__xludf.DUMMYFUNCTION("""COMPUTED_VALUE"""),52.0)</f>
        <v/>
      </c>
      <c r="K394" s="4">
        <f>IFERROR(__xludf.DUMMYFUNCTION("""COMPUTED_VALUE"""),52.0)</f>
        <v/>
      </c>
      <c r="L394" s="77">
        <f>IFERROR(__xludf.DUMMYFUNCTION("""COMPUTED_VALUE"""),52.0)</f>
        <v/>
      </c>
      <c r="O394" s="72" t="n"/>
      <c r="S394" s="4" t="n"/>
    </row>
    <row r="395">
      <c r="A395" s="74">
        <f>IFERROR(__xludf.DUMMYFUNCTION("""COMPUTED_VALUE"""),46164.0)</f>
        <v/>
      </c>
      <c r="B395" s="72">
        <f>IFERROR(__xludf.DUMMYFUNCTION("""COMPUTED_VALUE"""),301.0)</f>
        <v/>
      </c>
      <c r="C395" s="75">
        <f>IFERROR(__xludf.DUMMYFUNCTION("""COMPUTED_VALUE"""),51.0)</f>
        <v/>
      </c>
      <c r="D395" s="75">
        <f>IFERROR(__xludf.DUMMYFUNCTION("""COMPUTED_VALUE"""),"USD")</f>
        <v/>
      </c>
      <c r="E395" s="75">
        <f>IFERROR(__xludf.DUMMYFUNCTION("""COMPUTED_VALUE"""),"Efectivo USD")</f>
        <v/>
      </c>
      <c r="F395" s="75">
        <f>IFERROR(__xludf.DUMMYFUNCTION("""COMPUTED_VALUE"""),"CENTRO MOTRIZ GUADALUPE, C.A.")</f>
        <v/>
      </c>
      <c r="G395" s="76">
        <f>IFERROR(__xludf.DUMMYFUNCTION("""COMPUTED_VALUE"""),"TORO ARDILES DAVID JOSE")</f>
        <v/>
      </c>
      <c r="H395" s="76">
        <f>IFERROR(__xludf.DUMMYFUNCTION("""COMPUTED_VALUE"""),526.8694)</f>
        <v/>
      </c>
      <c r="I395" s="75" t="n"/>
      <c r="J395" s="77">
        <f>IFERROR(__xludf.DUMMYFUNCTION("""COMPUTED_VALUE"""),51.0)</f>
        <v/>
      </c>
      <c r="K395" s="4">
        <f>IFERROR(__xludf.DUMMYFUNCTION("""COMPUTED_VALUE"""),51.0)</f>
        <v/>
      </c>
      <c r="L395" s="77">
        <f>IFERROR(__xludf.DUMMYFUNCTION("""COMPUTED_VALUE"""),51.0)</f>
        <v/>
      </c>
      <c r="O395" s="72" t="n"/>
      <c r="S395" s="4" t="n"/>
    </row>
    <row r="396">
      <c r="A396" s="74">
        <f>IFERROR(__xludf.DUMMYFUNCTION("""COMPUTED_VALUE"""),46164.0)</f>
        <v/>
      </c>
      <c r="B396" s="72">
        <f>IFERROR(__xludf.DUMMYFUNCTION("""COMPUTED_VALUE"""),199.0)</f>
        <v/>
      </c>
      <c r="C396" s="75">
        <f>IFERROR(__xludf.DUMMYFUNCTION("""COMPUTED_VALUE"""),100.0)</f>
        <v/>
      </c>
      <c r="D396" s="75">
        <f>IFERROR(__xludf.DUMMYFUNCTION("""COMPUTED_VALUE"""),"USD")</f>
        <v/>
      </c>
      <c r="E396" s="75">
        <f>IFERROR(__xludf.DUMMYFUNCTION("""COMPUTED_VALUE"""),"Efectivo USD")</f>
        <v/>
      </c>
      <c r="F396" s="75">
        <f>IFERROR(__xludf.DUMMYFUNCTION("""COMPUTED_VALUE"""),"PROYECTO MAQUIVEIRO 21 C.A.")</f>
        <v/>
      </c>
      <c r="G396" s="76">
        <f>IFERROR(__xludf.DUMMYFUNCTION("""COMPUTED_VALUE"""),"MARTINEZ MONTES JEFFREY ENRIQUE")</f>
        <v/>
      </c>
      <c r="H396" s="76">
        <f>IFERROR(__xludf.DUMMYFUNCTION("""COMPUTED_VALUE"""),526.8694)</f>
        <v/>
      </c>
      <c r="I396" s="75" t="n"/>
      <c r="J396" s="77">
        <f>IFERROR(__xludf.DUMMYFUNCTION("""COMPUTED_VALUE"""),100.0)</f>
        <v/>
      </c>
      <c r="K396" s="4">
        <f>IFERROR(__xludf.DUMMYFUNCTION("""COMPUTED_VALUE"""),100.0)</f>
        <v/>
      </c>
      <c r="L396" s="77">
        <f>IFERROR(__xludf.DUMMYFUNCTION("""COMPUTED_VALUE"""),100.0)</f>
        <v/>
      </c>
      <c r="O396" s="72" t="n"/>
      <c r="S396" s="4" t="n"/>
    </row>
    <row r="397">
      <c r="A397" s="74">
        <f>IFERROR(__xludf.DUMMYFUNCTION("""COMPUTED_VALUE"""),46164.0)</f>
        <v/>
      </c>
      <c r="B397" s="72">
        <f>IFERROR(__xludf.DUMMYFUNCTION("""COMPUTED_VALUE"""),126.0)</f>
        <v/>
      </c>
      <c r="C397" s="75">
        <f>IFERROR(__xludf.DUMMYFUNCTION("""COMPUTED_VALUE"""),250.0)</f>
        <v/>
      </c>
      <c r="D397" s="75">
        <f>IFERROR(__xludf.DUMMYFUNCTION("""COMPUTED_VALUE"""),"USD")</f>
        <v/>
      </c>
      <c r="E397" s="75">
        <f>IFERROR(__xludf.DUMMYFUNCTION("""COMPUTED_VALUE"""),"Efectivo USD")</f>
        <v/>
      </c>
      <c r="F397" s="75">
        <f>IFERROR(__xludf.DUMMYFUNCTION("""COMPUTED_VALUE"""),"Victor Ordaz")</f>
        <v/>
      </c>
      <c r="G397" s="76">
        <f>IFERROR(__xludf.DUMMYFUNCTION("""COMPUTED_VALUE"""),"BETANCOURT ROBRIGUEZ LUIS ENRRIQUE")</f>
        <v/>
      </c>
      <c r="H397" s="76">
        <f>IFERROR(__xludf.DUMMYFUNCTION("""COMPUTED_VALUE"""),526.8694)</f>
        <v/>
      </c>
      <c r="I397" s="75" t="n"/>
      <c r="J397" s="77">
        <f>IFERROR(__xludf.DUMMYFUNCTION("""COMPUTED_VALUE"""),250.0)</f>
        <v/>
      </c>
      <c r="K397" s="4">
        <f>IFERROR(__xludf.DUMMYFUNCTION("""COMPUTED_VALUE"""),250.0)</f>
        <v/>
      </c>
      <c r="L397" s="77">
        <f>IFERROR(__xludf.DUMMYFUNCTION("""COMPUTED_VALUE"""),250.0)</f>
        <v/>
      </c>
      <c r="O397" s="72" t="n"/>
      <c r="S397" s="4" t="n"/>
    </row>
    <row r="398">
      <c r="A398" s="74">
        <f>IFERROR(__xludf.DUMMYFUNCTION("""COMPUTED_VALUE"""),46167.0)</f>
        <v/>
      </c>
      <c r="B398" s="72">
        <f>IFERROR(__xludf.DUMMYFUNCTION("""COMPUTED_VALUE"""),44.0)</f>
        <v/>
      </c>
      <c r="C398" s="75">
        <f>IFERROR(__xludf.DUMMYFUNCTION("""COMPUTED_VALUE"""),100.0)</f>
        <v/>
      </c>
      <c r="D398" s="75">
        <f>IFERROR(__xludf.DUMMYFUNCTION("""COMPUTED_VALUE"""),"USD")</f>
        <v/>
      </c>
      <c r="E398" s="75">
        <f>IFERROR(__xludf.DUMMYFUNCTION("""COMPUTED_VALUE"""),"Efectivo USD")</f>
        <v/>
      </c>
      <c r="F398" s="75">
        <f>IFERROR(__xludf.DUMMYFUNCTION("""COMPUTED_VALUE"""),"Comercializadora Garabote")</f>
        <v/>
      </c>
      <c r="G398" s="76">
        <f>IFERROR(__xludf.DUMMYFUNCTION("""COMPUTED_VALUE"""),"PEREZ DIAZ ANGEL DE DIOS")</f>
        <v/>
      </c>
      <c r="H398" s="76">
        <f>IFERROR(__xludf.DUMMYFUNCTION("""COMPUTED_VALUE"""),530.5047)</f>
        <v/>
      </c>
      <c r="I398" s="75" t="n"/>
      <c r="J398" s="77">
        <f>IFERROR(__xludf.DUMMYFUNCTION("""COMPUTED_VALUE"""),100.0)</f>
        <v/>
      </c>
      <c r="K398" s="4">
        <f>IFERROR(__xludf.DUMMYFUNCTION("""COMPUTED_VALUE"""),100.0)</f>
        <v/>
      </c>
      <c r="L398" s="77">
        <f>IFERROR(__xludf.DUMMYFUNCTION("""COMPUTED_VALUE"""),100.0)</f>
        <v/>
      </c>
      <c r="O398" s="72" t="n"/>
      <c r="S398" s="4" t="n"/>
    </row>
    <row r="399">
      <c r="A399" s="74">
        <f>IFERROR(__xludf.DUMMYFUNCTION("""COMPUTED_VALUE"""),46167.0)</f>
        <v/>
      </c>
      <c r="B399" s="72">
        <f>IFERROR(__xludf.DUMMYFUNCTION("""COMPUTED_VALUE"""),330.0)</f>
        <v/>
      </c>
      <c r="C399" s="75">
        <f>IFERROR(__xludf.DUMMYFUNCTION("""COMPUTED_VALUE"""),23895.0)</f>
        <v/>
      </c>
      <c r="D399" s="75">
        <f>IFERROR(__xludf.DUMMYFUNCTION("""COMPUTED_VALUE"""),"VES")</f>
        <v/>
      </c>
      <c r="E399" s="75">
        <f>IFERROR(__xludf.DUMMYFUNCTION("""COMPUTED_VALUE"""),"Bancamiga")</f>
        <v/>
      </c>
      <c r="F399" s="75">
        <f>IFERROR(__xludf.DUMMYFUNCTION("""COMPUTED_VALUE"""),"Diana Carolina Torres")</f>
        <v/>
      </c>
      <c r="G399" s="76">
        <f>IFERROR(__xludf.DUMMYFUNCTION("""COMPUTED_VALUE"""),"VILLABONA CORREA ALBA ESTEFANIA")</f>
        <v/>
      </c>
      <c r="H399" s="76">
        <f>IFERROR(__xludf.DUMMYFUNCTION("""COMPUTED_VALUE"""),530.5047)</f>
        <v/>
      </c>
      <c r="I399" s="75" t="n"/>
      <c r="J399" s="77">
        <f>IFERROR(__xludf.DUMMYFUNCTION("""COMPUTED_VALUE"""),45.042013765382286)</f>
        <v/>
      </c>
      <c r="K399" s="4">
        <f>IFERROR(__xludf.DUMMYFUNCTION("""COMPUTED_VALUE"""),0.0)</f>
        <v/>
      </c>
      <c r="L399" s="77">
        <f>IFERROR(__xludf.DUMMYFUNCTION("""COMPUTED_VALUE"""),45.042013765382286)</f>
        <v/>
      </c>
      <c r="O399" s="72" t="n"/>
      <c r="S399" s="4" t="n"/>
    </row>
    <row r="400">
      <c r="A400" s="74">
        <f>IFERROR(__xludf.DUMMYFUNCTION("""COMPUTED_VALUE"""),46167.0)</f>
        <v/>
      </c>
      <c r="B400" s="72">
        <f>IFERROR(__xludf.DUMMYFUNCTION("""COMPUTED_VALUE"""),78.0)</f>
        <v/>
      </c>
      <c r="C400" s="75">
        <f>IFERROR(__xludf.DUMMYFUNCTION("""COMPUTED_VALUE"""),31830.0)</f>
        <v/>
      </c>
      <c r="D400" s="75">
        <f>IFERROR(__xludf.DUMMYFUNCTION("""COMPUTED_VALUE"""),"VES")</f>
        <v/>
      </c>
      <c r="E400" s="75">
        <f>IFERROR(__xludf.DUMMYFUNCTION("""COMPUTED_VALUE"""),"Bancamiga")</f>
        <v/>
      </c>
      <c r="F400" s="75">
        <f>IFERROR(__xludf.DUMMYFUNCTION("""COMPUTED_VALUE"""),"MULTISERVICIOS RECAM13, C.A.")</f>
        <v/>
      </c>
      <c r="G400" s="76">
        <f>IFERROR(__xludf.DUMMYFUNCTION("""COMPUTED_VALUE"""),"TORO ARDILES DAVID JOSE")</f>
        <v/>
      </c>
      <c r="H400" s="76">
        <f>IFERROR(__xludf.DUMMYFUNCTION("""COMPUTED_VALUE"""),530.5047)</f>
        <v/>
      </c>
      <c r="I400" s="75" t="n"/>
      <c r="J400" s="77">
        <f>IFERROR(__xludf.DUMMYFUNCTION("""COMPUTED_VALUE"""),59.99946843072267)</f>
        <v/>
      </c>
      <c r="K400" s="4">
        <f>IFERROR(__xludf.DUMMYFUNCTION("""COMPUTED_VALUE"""),0.0)</f>
        <v/>
      </c>
      <c r="L400" s="77">
        <f>IFERROR(__xludf.DUMMYFUNCTION("""COMPUTED_VALUE"""),59.99946843072267)</f>
        <v/>
      </c>
      <c r="O400" s="72" t="n"/>
      <c r="S400" s="4" t="n"/>
    </row>
    <row r="401">
      <c r="A401" s="74">
        <f>IFERROR(__xludf.DUMMYFUNCTION("""COMPUTED_VALUE"""),46167.0)</f>
        <v/>
      </c>
      <c r="B401" s="72">
        <f>IFERROR(__xludf.DUMMYFUNCTION("""COMPUTED_VALUE"""),305.0)</f>
        <v/>
      </c>
      <c r="C401" s="75">
        <f>IFERROR(__xludf.DUMMYFUNCTION("""COMPUTED_VALUE"""),61538.0)</f>
        <v/>
      </c>
      <c r="D401" s="75">
        <f>IFERROR(__xludf.DUMMYFUNCTION("""COMPUTED_VALUE"""),"VES")</f>
        <v/>
      </c>
      <c r="E401" s="75">
        <f>IFERROR(__xludf.DUMMYFUNCTION("""COMPUTED_VALUE"""),"Bancamiga")</f>
        <v/>
      </c>
      <c r="F401" s="75">
        <f>IFERROR(__xludf.DUMMYFUNCTION("""COMPUTED_VALUE"""),"INVERSIONES F-250, C.A")</f>
        <v/>
      </c>
      <c r="G401" s="76">
        <f>IFERROR(__xludf.DUMMYFUNCTION("""COMPUTED_VALUE"""),"TORO ARDILES DAVID JOSE")</f>
        <v/>
      </c>
      <c r="H401" s="76">
        <f>IFERROR(__xludf.DUMMYFUNCTION("""COMPUTED_VALUE"""),530.5047)</f>
        <v/>
      </c>
      <c r="I401" s="75" t="n"/>
      <c r="J401" s="77">
        <f>IFERROR(__xludf.DUMMYFUNCTION("""COMPUTED_VALUE"""),115.99897229939717)</f>
        <v/>
      </c>
      <c r="K401" s="4">
        <f>IFERROR(__xludf.DUMMYFUNCTION("""COMPUTED_VALUE"""),0.0)</f>
        <v/>
      </c>
      <c r="L401" s="77">
        <f>IFERROR(__xludf.DUMMYFUNCTION("""COMPUTED_VALUE"""),115.99897229939717)</f>
        <v/>
      </c>
      <c r="O401" s="72" t="n"/>
      <c r="S401" s="4" t="n"/>
    </row>
    <row r="402">
      <c r="A402" s="74">
        <f>IFERROR(__xludf.DUMMYFUNCTION("""COMPUTED_VALUE"""),46167.0)</f>
        <v/>
      </c>
      <c r="B402" s="72">
        <f>IFERROR(__xludf.DUMMYFUNCTION("""COMPUTED_VALUE"""),133.0)</f>
        <v/>
      </c>
      <c r="C402" s="75">
        <f>IFERROR(__xludf.DUMMYFUNCTION("""COMPUTED_VALUE"""),500.0)</f>
        <v/>
      </c>
      <c r="D402" s="75">
        <f>IFERROR(__xludf.DUMMYFUNCTION("""COMPUTED_VALUE"""),"USD")</f>
        <v/>
      </c>
      <c r="E402" s="75">
        <f>IFERROR(__xludf.DUMMYFUNCTION("""COMPUTED_VALUE"""),"Efectivo USD")</f>
        <v/>
      </c>
      <c r="F402" s="75">
        <f>IFERROR(__xludf.DUMMYFUNCTION("""COMPUTED_VALUE"""),"Inversiones La Bendición del Nazareno, C.A")</f>
        <v/>
      </c>
      <c r="G402" s="76">
        <f>IFERROR(__xludf.DUMMYFUNCTION("""COMPUTED_VALUE"""),"MARTINEZ MONTES JEFFREY ENRIQUE")</f>
        <v/>
      </c>
      <c r="H402" s="76">
        <f>IFERROR(__xludf.DUMMYFUNCTION("""COMPUTED_VALUE"""),530.5047)</f>
        <v/>
      </c>
      <c r="I402" s="75" t="n"/>
      <c r="J402" s="77">
        <f>IFERROR(__xludf.DUMMYFUNCTION("""COMPUTED_VALUE"""),500.0)</f>
        <v/>
      </c>
      <c r="K402" s="4">
        <f>IFERROR(__xludf.DUMMYFUNCTION("""COMPUTED_VALUE"""),500.0)</f>
        <v/>
      </c>
      <c r="L402" s="77">
        <f>IFERROR(__xludf.DUMMYFUNCTION("""COMPUTED_VALUE"""),500.0)</f>
        <v/>
      </c>
      <c r="O402" s="72" t="n"/>
      <c r="S402" s="4" t="n"/>
    </row>
    <row r="403">
      <c r="A403" s="74">
        <f>IFERROR(__xludf.DUMMYFUNCTION("""COMPUTED_VALUE"""),46167.0)</f>
        <v/>
      </c>
      <c r="B403" s="72">
        <f>IFERROR(__xludf.DUMMYFUNCTION("""COMPUTED_VALUE"""),259.0)</f>
        <v/>
      </c>
      <c r="C403" s="75">
        <f>IFERROR(__xludf.DUMMYFUNCTION("""COMPUTED_VALUE"""),20.0)</f>
        <v/>
      </c>
      <c r="D403" s="75">
        <f>IFERROR(__xludf.DUMMYFUNCTION("""COMPUTED_VALUE"""),"USD")</f>
        <v/>
      </c>
      <c r="E403" s="75">
        <f>IFERROR(__xludf.DUMMYFUNCTION("""COMPUTED_VALUE"""),"Efectivo USD")</f>
        <v/>
      </c>
      <c r="F403" s="75">
        <f>IFERROR(__xludf.DUMMYFUNCTION("""COMPUTED_VALUE"""),"Multiservicio Tocome, C.A")</f>
        <v/>
      </c>
      <c r="G403" s="76">
        <f>IFERROR(__xludf.DUMMYFUNCTION("""COMPUTED_VALUE"""),"MARTINEZ MONTES JEFFREY ENRIQUE")</f>
        <v/>
      </c>
      <c r="H403" s="76">
        <f>IFERROR(__xludf.DUMMYFUNCTION("""COMPUTED_VALUE"""),530.5047)</f>
        <v/>
      </c>
      <c r="I403" s="75" t="n"/>
      <c r="J403" s="77">
        <f>IFERROR(__xludf.DUMMYFUNCTION("""COMPUTED_VALUE"""),20.0)</f>
        <v/>
      </c>
      <c r="K403" s="4">
        <f>IFERROR(__xludf.DUMMYFUNCTION("""COMPUTED_VALUE"""),20.0)</f>
        <v/>
      </c>
      <c r="L403" s="77">
        <f>IFERROR(__xludf.DUMMYFUNCTION("""COMPUTED_VALUE"""),20.0)</f>
        <v/>
      </c>
      <c r="O403" s="72" t="n"/>
      <c r="S403" s="4" t="n"/>
    </row>
    <row r="404">
      <c r="A404" s="74">
        <f>IFERROR(__xludf.DUMMYFUNCTION("""COMPUTED_VALUE"""),46168.0)</f>
        <v/>
      </c>
      <c r="B404" s="72">
        <f>IFERROR(__xludf.DUMMYFUNCTION("""COMPUTED_VALUE"""),146.0)</f>
        <v/>
      </c>
      <c r="C404" s="75">
        <f>IFERROR(__xludf.DUMMYFUNCTION("""COMPUTED_VALUE"""),320.0)</f>
        <v/>
      </c>
      <c r="D404" s="75">
        <f>IFERROR(__xludf.DUMMYFUNCTION("""COMPUTED_VALUE"""),"USD")</f>
        <v/>
      </c>
      <c r="E404" s="75">
        <f>IFERROR(__xludf.DUMMYFUNCTION("""COMPUTED_VALUE"""),"Efectivo USD")</f>
        <v/>
      </c>
      <c r="F404" s="75">
        <f>IFERROR(__xludf.DUMMYFUNCTION("""COMPUTED_VALUE"""),"Alexander Quiroz")</f>
        <v/>
      </c>
      <c r="G404" s="76">
        <f>IFERROR(__xludf.DUMMYFUNCTION("""COMPUTED_VALUE"""),"BETANCOURT ROBRIGUEZ LUIS ENRRIQUE")</f>
        <v/>
      </c>
      <c r="H404" s="76">
        <f>IFERROR(__xludf.DUMMYFUNCTION("""COMPUTED_VALUE"""),535.3853)</f>
        <v/>
      </c>
      <c r="I404" s="75" t="n"/>
      <c r="J404" s="77">
        <f>IFERROR(__xludf.DUMMYFUNCTION("""COMPUTED_VALUE"""),320.0)</f>
        <v/>
      </c>
      <c r="K404" s="4">
        <f>IFERROR(__xludf.DUMMYFUNCTION("""COMPUTED_VALUE"""),320.0)</f>
        <v/>
      </c>
      <c r="L404" s="77">
        <f>IFERROR(__xludf.DUMMYFUNCTION("""COMPUTED_VALUE"""),320.0)</f>
        <v/>
      </c>
      <c r="O404" s="72" t="n"/>
      <c r="S404" s="4" t="n"/>
    </row>
    <row r="405">
      <c r="A405" s="74">
        <f>IFERROR(__xludf.DUMMYFUNCTION("""COMPUTED_VALUE"""),46168.0)</f>
        <v/>
      </c>
      <c r="B405" s="72">
        <f>IFERROR(__xludf.DUMMYFUNCTION("""COMPUTED_VALUE"""),149.0)</f>
        <v/>
      </c>
      <c r="C405" s="75">
        <f>IFERROR(__xludf.DUMMYFUNCTION("""COMPUTED_VALUE"""),220500.0)</f>
        <v/>
      </c>
      <c r="D405" s="75">
        <f>IFERROR(__xludf.DUMMYFUNCTION("""COMPUTED_VALUE"""),"VES")</f>
        <v/>
      </c>
      <c r="E405" s="75">
        <f>IFERROR(__xludf.DUMMYFUNCTION("""COMPUTED_VALUE"""),"Bancamiga")</f>
        <v/>
      </c>
      <c r="F405" s="75">
        <f>IFERROR(__xludf.DUMMYFUNCTION("""COMPUTED_VALUE"""),"Emprendimiento ilaris cancelo")</f>
        <v/>
      </c>
      <c r="G405" s="76">
        <f>IFERROR(__xludf.DUMMYFUNCTION("""COMPUTED_VALUE"""),"PEREZ DIAZ ANGEL DE DIOS")</f>
        <v/>
      </c>
      <c r="H405" s="76">
        <f>IFERROR(__xludf.DUMMYFUNCTION("""COMPUTED_VALUE"""),535.3853)</f>
        <v/>
      </c>
      <c r="I405" s="75" t="n"/>
      <c r="J405" s="77">
        <f>IFERROR(__xludf.DUMMYFUNCTION("""COMPUTED_VALUE"""),411.8529216248559)</f>
        <v/>
      </c>
      <c r="K405" s="4">
        <f>IFERROR(__xludf.DUMMYFUNCTION("""COMPUTED_VALUE"""),0.0)</f>
        <v/>
      </c>
      <c r="L405" s="77">
        <f>IFERROR(__xludf.DUMMYFUNCTION("""COMPUTED_VALUE"""),411.8529216248559)</f>
        <v/>
      </c>
      <c r="O405" s="72" t="n"/>
      <c r="S405" s="4" t="n"/>
    </row>
    <row r="406">
      <c r="A406" s="74">
        <f>IFERROR(__xludf.DUMMYFUNCTION("""COMPUTED_VALUE"""),46168.0)</f>
        <v/>
      </c>
      <c r="B406" s="72">
        <f>IFERROR(__xludf.DUMMYFUNCTION("""COMPUTED_VALUE"""),49.0)</f>
        <v/>
      </c>
      <c r="C406" s="75">
        <f>IFERROR(__xludf.DUMMYFUNCTION("""COMPUTED_VALUE"""),50.0)</f>
        <v/>
      </c>
      <c r="D406" s="75">
        <f>IFERROR(__xludf.DUMMYFUNCTION("""COMPUTED_VALUE"""),"USD")</f>
        <v/>
      </c>
      <c r="E406" s="75">
        <f>IFERROR(__xludf.DUMMYFUNCTION("""COMPUTED_VALUE"""),"Efectivo USD")</f>
        <v/>
      </c>
      <c r="F406" s="75">
        <f>IFERROR(__xludf.DUMMYFUNCTION("""COMPUTED_VALUE"""),"Marlene Herrera")</f>
        <v/>
      </c>
      <c r="G406" s="76">
        <f>IFERROR(__xludf.DUMMYFUNCTION("""COMPUTED_VALUE"""),"PEREZ DIAZ ANGEL DE DIOS")</f>
        <v/>
      </c>
      <c r="H406" s="76">
        <f>IFERROR(__xludf.DUMMYFUNCTION("""COMPUTED_VALUE"""),535.3853)</f>
        <v/>
      </c>
      <c r="I406" s="75" t="n"/>
      <c r="J406" s="77">
        <f>IFERROR(__xludf.DUMMYFUNCTION("""COMPUTED_VALUE"""),50.0)</f>
        <v/>
      </c>
      <c r="K406" s="4">
        <f>IFERROR(__xludf.DUMMYFUNCTION("""COMPUTED_VALUE"""),50.0)</f>
        <v/>
      </c>
      <c r="L406" s="77">
        <f>IFERROR(__xludf.DUMMYFUNCTION("""COMPUTED_VALUE"""),50.0)</f>
        <v/>
      </c>
      <c r="O406" s="72" t="n"/>
      <c r="S406" s="4" t="n"/>
    </row>
    <row r="407">
      <c r="A407" s="74">
        <f>IFERROR(__xludf.DUMMYFUNCTION("""COMPUTED_VALUE"""),46168.0)</f>
        <v/>
      </c>
      <c r="B407" s="72">
        <f>IFERROR(__xludf.DUMMYFUNCTION("""COMPUTED_VALUE"""),339.0)</f>
        <v/>
      </c>
      <c r="C407" s="75">
        <f>IFERROR(__xludf.DUMMYFUNCTION("""COMPUTED_VALUE"""),250.0)</f>
        <v/>
      </c>
      <c r="D407" s="75">
        <f>IFERROR(__xludf.DUMMYFUNCTION("""COMPUTED_VALUE"""),"USD")</f>
        <v/>
      </c>
      <c r="E407" s="75">
        <f>IFERROR(__xludf.DUMMYFUNCTION("""COMPUTED_VALUE"""),"Efectivo USD")</f>
        <v/>
      </c>
      <c r="F407" s="75">
        <f>IFERROR(__xludf.DUMMYFUNCTION("""COMPUTED_VALUE"""),"La cámara perfecta")</f>
        <v/>
      </c>
      <c r="G407" s="76">
        <f>IFERROR(__xludf.DUMMYFUNCTION("""COMPUTED_VALUE"""),"PEREZ DIAZ ANGEL DE DIOS")</f>
        <v/>
      </c>
      <c r="H407" s="76">
        <f>IFERROR(__xludf.DUMMYFUNCTION("""COMPUTED_VALUE"""),535.3853)</f>
        <v/>
      </c>
      <c r="I407" s="75" t="n"/>
      <c r="J407" s="77">
        <f>IFERROR(__xludf.DUMMYFUNCTION("""COMPUTED_VALUE"""),250.0)</f>
        <v/>
      </c>
      <c r="K407" s="4">
        <f>IFERROR(__xludf.DUMMYFUNCTION("""COMPUTED_VALUE"""),250.0)</f>
        <v/>
      </c>
      <c r="L407" s="77">
        <f>IFERROR(__xludf.DUMMYFUNCTION("""COMPUTED_VALUE"""),250.0)</f>
        <v/>
      </c>
      <c r="O407" s="72" t="n"/>
      <c r="S407" s="4" t="n"/>
    </row>
    <row r="408">
      <c r="A408" s="74">
        <f>IFERROR(__xludf.DUMMYFUNCTION("""COMPUTED_VALUE"""),46168.0)</f>
        <v/>
      </c>
      <c r="B408" s="72">
        <f>IFERROR(__xludf.DUMMYFUNCTION("""COMPUTED_VALUE"""),440.0)</f>
        <v/>
      </c>
      <c r="C408" s="75">
        <f>IFERROR(__xludf.DUMMYFUNCTION("""COMPUTED_VALUE"""),135.0)</f>
        <v/>
      </c>
      <c r="D408" s="75">
        <f>IFERROR(__xludf.DUMMYFUNCTION("""COMPUTED_VALUE"""),"USD")</f>
        <v/>
      </c>
      <c r="E408" s="75">
        <f>IFERROR(__xludf.DUMMYFUNCTION("""COMPUTED_VALUE"""),"Efectivo USD")</f>
        <v/>
      </c>
      <c r="F408" s="75">
        <f>IFERROR(__xludf.DUMMYFUNCTION("""COMPUTED_VALUE"""),"FREDI MARQUEZ")</f>
        <v/>
      </c>
      <c r="G408" s="76">
        <f>IFERROR(__xludf.DUMMYFUNCTION("""COMPUTED_VALUE"""),"PEREZ DIAZ ANGEL DE DIOS")</f>
        <v/>
      </c>
      <c r="H408" s="76">
        <f>IFERROR(__xludf.DUMMYFUNCTION("""COMPUTED_VALUE"""),535.3853)</f>
        <v/>
      </c>
      <c r="I408" s="75" t="n"/>
      <c r="J408" s="77">
        <f>IFERROR(__xludf.DUMMYFUNCTION("""COMPUTED_VALUE"""),135.0)</f>
        <v/>
      </c>
      <c r="K408" s="4">
        <f>IFERROR(__xludf.DUMMYFUNCTION("""COMPUTED_VALUE"""),135.0)</f>
        <v/>
      </c>
      <c r="L408" s="77">
        <f>IFERROR(__xludf.DUMMYFUNCTION("""COMPUTED_VALUE"""),135.0)</f>
        <v/>
      </c>
      <c r="O408" s="72" t="n"/>
      <c r="S408" s="4" t="n"/>
    </row>
    <row r="409">
      <c r="A409" s="74">
        <f>IFERROR(__xludf.DUMMYFUNCTION("""COMPUTED_VALUE"""),46168.0)</f>
        <v/>
      </c>
      <c r="B409" s="72">
        <f>IFERROR(__xludf.DUMMYFUNCTION("""COMPUTED_VALUE"""),204.0)</f>
        <v/>
      </c>
      <c r="C409" s="75">
        <f>IFERROR(__xludf.DUMMYFUNCTION("""COMPUTED_VALUE"""),100.0)</f>
        <v/>
      </c>
      <c r="D409" s="75">
        <f>IFERROR(__xludf.DUMMYFUNCTION("""COMPUTED_VALUE"""),"USD")</f>
        <v/>
      </c>
      <c r="E409" s="75">
        <f>IFERROR(__xludf.DUMMYFUNCTION("""COMPUTED_VALUE"""),"Efectivo USD")</f>
        <v/>
      </c>
      <c r="F409" s="75">
        <f>IFERROR(__xludf.DUMMYFUNCTION("""COMPUTED_VALUE"""),"Motolavado Yahir")</f>
        <v/>
      </c>
      <c r="G409" s="76">
        <f>IFERROR(__xludf.DUMMYFUNCTION("""COMPUTED_VALUE"""),"GRIMAN DIAZ HECTOR EDUARDO")</f>
        <v/>
      </c>
      <c r="H409" s="76">
        <f>IFERROR(__xludf.DUMMYFUNCTION("""COMPUTED_VALUE"""),535.3853)</f>
        <v/>
      </c>
      <c r="I409" s="75" t="n"/>
      <c r="J409" s="77">
        <f>IFERROR(__xludf.DUMMYFUNCTION("""COMPUTED_VALUE"""),100.0)</f>
        <v/>
      </c>
      <c r="K409" s="4">
        <f>IFERROR(__xludf.DUMMYFUNCTION("""COMPUTED_VALUE"""),100.0)</f>
        <v/>
      </c>
      <c r="L409" s="77">
        <f>IFERROR(__xludf.DUMMYFUNCTION("""COMPUTED_VALUE"""),100.0)</f>
        <v/>
      </c>
      <c r="O409" s="72" t="n"/>
      <c r="S409" s="4" t="n"/>
    </row>
    <row r="410">
      <c r="A410" s="74">
        <f>IFERROR(__xludf.DUMMYFUNCTION("""COMPUTED_VALUE"""),46168.0)</f>
        <v/>
      </c>
      <c r="B410" s="72">
        <f>IFERROR(__xludf.DUMMYFUNCTION("""COMPUTED_VALUE"""),61.0)</f>
        <v/>
      </c>
      <c r="C410" s="75">
        <f>IFERROR(__xludf.DUMMYFUNCTION("""COMPUTED_VALUE"""),410.0)</f>
        <v/>
      </c>
      <c r="D410" s="75">
        <f>IFERROR(__xludf.DUMMYFUNCTION("""COMPUTED_VALUE"""),"USD")</f>
        <v/>
      </c>
      <c r="E410" s="75">
        <f>IFERROR(__xludf.DUMMYFUNCTION("""COMPUTED_VALUE"""),"Efectivo USD")</f>
        <v/>
      </c>
      <c r="F410" s="75">
        <f>IFERROR(__xludf.DUMMYFUNCTION("""COMPUTED_VALUE"""),"SJMG 2012 C.A")</f>
        <v/>
      </c>
      <c r="G410" s="76">
        <f>IFERROR(__xludf.DUMMYFUNCTION("""COMPUTED_VALUE"""),"GRIMAN DIAZ HECTOR EDUARDO")</f>
        <v/>
      </c>
      <c r="H410" s="76">
        <f>IFERROR(__xludf.DUMMYFUNCTION("""COMPUTED_VALUE"""),535.3853)</f>
        <v/>
      </c>
      <c r="I410" s="75" t="n"/>
      <c r="J410" s="77">
        <f>IFERROR(__xludf.DUMMYFUNCTION("""COMPUTED_VALUE"""),410.0)</f>
        <v/>
      </c>
      <c r="K410" s="4">
        <f>IFERROR(__xludf.DUMMYFUNCTION("""COMPUTED_VALUE"""),410.0)</f>
        <v/>
      </c>
      <c r="L410" s="77">
        <f>IFERROR(__xludf.DUMMYFUNCTION("""COMPUTED_VALUE"""),410.0)</f>
        <v/>
      </c>
      <c r="O410" s="72" t="n"/>
      <c r="S410" s="4" t="n"/>
    </row>
    <row r="411">
      <c r="A411" s="74">
        <f>IFERROR(__xludf.DUMMYFUNCTION("""COMPUTED_VALUE"""),46168.0)</f>
        <v/>
      </c>
      <c r="B411" s="72">
        <f>IFERROR(__xludf.DUMMYFUNCTION("""COMPUTED_VALUE"""),318.0)</f>
        <v/>
      </c>
      <c r="C411" s="75">
        <f>IFERROR(__xludf.DUMMYFUNCTION("""COMPUTED_VALUE"""),53.0)</f>
        <v/>
      </c>
      <c r="D411" s="75">
        <f>IFERROR(__xludf.DUMMYFUNCTION("""COMPUTED_VALUE"""),"USD")</f>
        <v/>
      </c>
      <c r="E411" s="75">
        <f>IFERROR(__xludf.DUMMYFUNCTION("""COMPUTED_VALUE"""),"Efectivo USD")</f>
        <v/>
      </c>
      <c r="F411" s="75">
        <f>IFERROR(__xludf.DUMMYFUNCTION("""COMPUTED_VALUE"""),"JOSE RAFAEL MARTÍNEZ")</f>
        <v/>
      </c>
      <c r="G411" s="76">
        <f>IFERROR(__xludf.DUMMYFUNCTION("""COMPUTED_VALUE"""),"TORO ARDILES DAVID JOSE")</f>
        <v/>
      </c>
      <c r="H411" s="76">
        <f>IFERROR(__xludf.DUMMYFUNCTION("""COMPUTED_VALUE"""),535.3853)</f>
        <v/>
      </c>
      <c r="I411" s="75" t="n"/>
      <c r="J411" s="77">
        <f>IFERROR(__xludf.DUMMYFUNCTION("""COMPUTED_VALUE"""),53.0)</f>
        <v/>
      </c>
      <c r="K411" s="4">
        <f>IFERROR(__xludf.DUMMYFUNCTION("""COMPUTED_VALUE"""),53.0)</f>
        <v/>
      </c>
      <c r="L411" s="77">
        <f>IFERROR(__xludf.DUMMYFUNCTION("""COMPUTED_VALUE"""),53.0)</f>
        <v/>
      </c>
      <c r="O411" s="72" t="n"/>
      <c r="S411" s="4" t="n"/>
    </row>
    <row r="412">
      <c r="A412" s="74">
        <f>IFERROR(__xludf.DUMMYFUNCTION("""COMPUTED_VALUE"""),46168.0)</f>
        <v/>
      </c>
      <c r="B412" s="72">
        <f>IFERROR(__xludf.DUMMYFUNCTION("""COMPUTED_VALUE"""),53.0)</f>
        <v/>
      </c>
      <c r="C412" s="75">
        <f>IFERROR(__xludf.DUMMYFUNCTION("""COMPUTED_VALUE"""),44931.66)</f>
        <v/>
      </c>
      <c r="D412" s="75">
        <f>IFERROR(__xludf.DUMMYFUNCTION("""COMPUTED_VALUE"""),"VES")</f>
        <v/>
      </c>
      <c r="E412" s="75">
        <f>IFERROR(__xludf.DUMMYFUNCTION("""COMPUTED_VALUE"""),"Bancamiga")</f>
        <v/>
      </c>
      <c r="F412" s="75">
        <f>IFERROR(__xludf.DUMMYFUNCTION("""COMPUTED_VALUE"""),"INVERSIONES MI  'LINDA YEMAIRE 2019, C.A")</f>
        <v/>
      </c>
      <c r="G412" s="76">
        <f>IFERROR(__xludf.DUMMYFUNCTION("""COMPUTED_VALUE"""),"VILLABONA CORREA ALBA ESTEFANIA")</f>
        <v/>
      </c>
      <c r="H412" s="76">
        <f>IFERROR(__xludf.DUMMYFUNCTION("""COMPUTED_VALUE"""),535.3853)</f>
        <v/>
      </c>
      <c r="I412" s="75" t="n"/>
      <c r="J412" s="77">
        <f>IFERROR(__xludf.DUMMYFUNCTION("""COMPUTED_VALUE"""),83.92397026963572)</f>
        <v/>
      </c>
      <c r="K412" s="4">
        <f>IFERROR(__xludf.DUMMYFUNCTION("""COMPUTED_VALUE"""),0.0)</f>
        <v/>
      </c>
      <c r="L412" s="77">
        <f>IFERROR(__xludf.DUMMYFUNCTION("""COMPUTED_VALUE"""),83.92397026963572)</f>
        <v/>
      </c>
      <c r="O412" s="72" t="n"/>
      <c r="S412" s="4" t="n"/>
    </row>
    <row r="413">
      <c r="A413" s="74">
        <f>IFERROR(__xludf.DUMMYFUNCTION("""COMPUTED_VALUE"""),46168.0)</f>
        <v/>
      </c>
      <c r="B413" s="72">
        <f>IFERROR(__xludf.DUMMYFUNCTION("""COMPUTED_VALUE"""),177.0)</f>
        <v/>
      </c>
      <c r="C413" s="75">
        <f>IFERROR(__xludf.DUMMYFUNCTION("""COMPUTED_VALUE"""),50.0)</f>
        <v/>
      </c>
      <c r="D413" s="75">
        <f>IFERROR(__xludf.DUMMYFUNCTION("""COMPUTED_VALUE"""),"USD")</f>
        <v/>
      </c>
      <c r="E413" s="75">
        <f>IFERROR(__xludf.DUMMYFUNCTION("""COMPUTED_VALUE"""),"Efectivo USD")</f>
        <v/>
      </c>
      <c r="F413" s="75">
        <f>IFERROR(__xludf.DUMMYFUNCTION("""COMPUTED_VALUE"""),"Jhon Morales")</f>
        <v/>
      </c>
      <c r="G413" s="76">
        <f>IFERROR(__xludf.DUMMYFUNCTION("""COMPUTED_VALUE"""),"BETANCOURT ROBRIGUEZ LUIS ENRRIQUE")</f>
        <v/>
      </c>
      <c r="H413" s="76">
        <f>IFERROR(__xludf.DUMMYFUNCTION("""COMPUTED_VALUE"""),535.3853)</f>
        <v/>
      </c>
      <c r="I413" s="75" t="n"/>
      <c r="J413" s="77">
        <f>IFERROR(__xludf.DUMMYFUNCTION("""COMPUTED_VALUE"""),50.0)</f>
        <v/>
      </c>
      <c r="K413" s="4">
        <f>IFERROR(__xludf.DUMMYFUNCTION("""COMPUTED_VALUE"""),50.0)</f>
        <v/>
      </c>
      <c r="L413" s="77">
        <f>IFERROR(__xludf.DUMMYFUNCTION("""COMPUTED_VALUE"""),50.0)</f>
        <v/>
      </c>
      <c r="O413" s="72" t="n"/>
      <c r="S413" s="4" t="n"/>
    </row>
    <row r="414">
      <c r="A414" s="74">
        <f>IFERROR(__xludf.DUMMYFUNCTION("""COMPUTED_VALUE"""),46168.0)</f>
        <v/>
      </c>
      <c r="B414" s="72">
        <f>IFERROR(__xludf.DUMMYFUNCTION("""COMPUTED_VALUE"""),237.0)</f>
        <v/>
      </c>
      <c r="C414" s="75">
        <f>IFERROR(__xludf.DUMMYFUNCTION("""COMPUTED_VALUE"""),206706.4)</f>
        <v/>
      </c>
      <c r="D414" s="75">
        <f>IFERROR(__xludf.DUMMYFUNCTION("""COMPUTED_VALUE"""),"VES")</f>
        <v/>
      </c>
      <c r="E414" s="75">
        <f>IFERROR(__xludf.DUMMYFUNCTION("""COMPUTED_VALUE"""),"Bancamiga")</f>
        <v/>
      </c>
      <c r="F414" s="75">
        <f>IFERROR(__xludf.DUMMYFUNCTION("""COMPUTED_VALUE"""),"Comercial los de faria,c.a.")</f>
        <v/>
      </c>
      <c r="G414" s="76">
        <f>IFERROR(__xludf.DUMMYFUNCTION("""COMPUTED_VALUE"""),"QUEVEDO BASTIDAS NEYKEL DAVID")</f>
        <v/>
      </c>
      <c r="H414" s="76">
        <f>IFERROR(__xludf.DUMMYFUNCTION("""COMPUTED_VALUE"""),535.3853)</f>
        <v/>
      </c>
      <c r="I414" s="75" t="n"/>
      <c r="J414" s="77">
        <f>IFERROR(__xludf.DUMMYFUNCTION("""COMPUTED_VALUE"""),386.08904652406403)</f>
        <v/>
      </c>
      <c r="K414" s="4">
        <f>IFERROR(__xludf.DUMMYFUNCTION("""COMPUTED_VALUE"""),0.0)</f>
        <v/>
      </c>
      <c r="L414" s="77">
        <f>IFERROR(__xludf.DUMMYFUNCTION("""COMPUTED_VALUE"""),386.08904652406403)</f>
        <v/>
      </c>
      <c r="O414" s="72" t="n"/>
      <c r="S414" s="4" t="n"/>
    </row>
    <row r="415">
      <c r="A415" s="74">
        <f>IFERROR(__xludf.DUMMYFUNCTION("""COMPUTED_VALUE"""),46168.0)</f>
        <v/>
      </c>
      <c r="B415" s="72">
        <f>IFERROR(__xludf.DUMMYFUNCTION("""COMPUTED_VALUE"""),348.0)</f>
        <v/>
      </c>
      <c r="C415" s="75">
        <f>IFERROR(__xludf.DUMMYFUNCTION("""COMPUTED_VALUE"""),107076.0)</f>
        <v/>
      </c>
      <c r="D415" s="75">
        <f>IFERROR(__xludf.DUMMYFUNCTION("""COMPUTED_VALUE"""),"VES")</f>
        <v/>
      </c>
      <c r="E415" s="75">
        <f>IFERROR(__xludf.DUMMYFUNCTION("""COMPUTED_VALUE"""),"Bancamiga")</f>
        <v/>
      </c>
      <c r="F415" s="75">
        <f>IFERROR(__xludf.DUMMYFUNCTION("""COMPUTED_VALUE"""),"Comercial Rio Paraguas C.A")</f>
        <v/>
      </c>
      <c r="G415" s="76">
        <f>IFERROR(__xludf.DUMMYFUNCTION("""COMPUTED_VALUE"""),"QUEVEDO BASTIDAS NEYKEL DAVID")</f>
        <v/>
      </c>
      <c r="H415" s="76">
        <f>IFERROR(__xludf.DUMMYFUNCTION("""COMPUTED_VALUE"""),535.3853)</f>
        <v/>
      </c>
      <c r="I415" s="75" t="n"/>
      <c r="J415" s="77">
        <f>IFERROR(__xludf.DUMMYFUNCTION("""COMPUTED_VALUE"""),199.99802011747425)</f>
        <v/>
      </c>
      <c r="K415" s="4">
        <f>IFERROR(__xludf.DUMMYFUNCTION("""COMPUTED_VALUE"""),0.0)</f>
        <v/>
      </c>
      <c r="L415" s="77">
        <f>IFERROR(__xludf.DUMMYFUNCTION("""COMPUTED_VALUE"""),199.99802011747425)</f>
        <v/>
      </c>
      <c r="O415" s="72" t="n"/>
      <c r="S415" s="4" t="n"/>
    </row>
    <row r="416">
      <c r="A416" s="74">
        <f>IFERROR(__xludf.DUMMYFUNCTION("""COMPUTED_VALUE"""),46168.0)</f>
        <v/>
      </c>
      <c r="B416" s="72">
        <f>IFERROR(__xludf.DUMMYFUNCTION("""COMPUTED_VALUE"""),287.0)</f>
        <v/>
      </c>
      <c r="C416" s="75">
        <f>IFERROR(__xludf.DUMMYFUNCTION("""COMPUTED_VALUE"""),40.0)</f>
        <v/>
      </c>
      <c r="D416" s="75">
        <f>IFERROR(__xludf.DUMMYFUNCTION("""COMPUTED_VALUE"""),"USD")</f>
        <v/>
      </c>
      <c r="E416" s="75">
        <f>IFERROR(__xludf.DUMMYFUNCTION("""COMPUTED_VALUE"""),"Efectivo USD")</f>
        <v/>
      </c>
      <c r="F416" s="75">
        <f>IFERROR(__xludf.DUMMYFUNCTION("""COMPUTED_VALUE"""),"Javier gregorio Espinoza")</f>
        <v/>
      </c>
      <c r="G416" s="76">
        <f>IFERROR(__xludf.DUMMYFUNCTION("""COMPUTED_VALUE"""),"MARTINEZ MONTES JEFFREY ENRIQUE")</f>
        <v/>
      </c>
      <c r="H416" s="76">
        <f>IFERROR(__xludf.DUMMYFUNCTION("""COMPUTED_VALUE"""),535.3853)</f>
        <v/>
      </c>
      <c r="I416" s="75" t="n"/>
      <c r="J416" s="77">
        <f>IFERROR(__xludf.DUMMYFUNCTION("""COMPUTED_VALUE"""),40.0)</f>
        <v/>
      </c>
      <c r="K416" s="4">
        <f>IFERROR(__xludf.DUMMYFUNCTION("""COMPUTED_VALUE"""),40.0)</f>
        <v/>
      </c>
      <c r="L416" s="77">
        <f>IFERROR(__xludf.DUMMYFUNCTION("""COMPUTED_VALUE"""),40.0)</f>
        <v/>
      </c>
      <c r="O416" s="72" t="n"/>
      <c r="S416" s="4" t="n"/>
    </row>
    <row r="417">
      <c r="A417" s="74">
        <f>IFERROR(__xludf.DUMMYFUNCTION("""COMPUTED_VALUE"""),46168.0)</f>
        <v/>
      </c>
      <c r="B417" s="72">
        <f>IFERROR(__xludf.DUMMYFUNCTION("""COMPUTED_VALUE"""),97.0)</f>
        <v/>
      </c>
      <c r="C417" s="75">
        <f>IFERROR(__xludf.DUMMYFUNCTION("""COMPUTED_VALUE"""),69599.0)</f>
        <v/>
      </c>
      <c r="D417" s="75">
        <f>IFERROR(__xludf.DUMMYFUNCTION("""COMPUTED_VALUE"""),"VES")</f>
        <v/>
      </c>
      <c r="E417" s="75">
        <f>IFERROR(__xludf.DUMMYFUNCTION("""COMPUTED_VALUE"""),"Bancamiga")</f>
        <v/>
      </c>
      <c r="F417" s="75">
        <f>IFERROR(__xludf.DUMMYFUNCTION("""COMPUTED_VALUE"""),"Felipe Granja")</f>
        <v/>
      </c>
      <c r="G417" s="76">
        <f>IFERROR(__xludf.DUMMYFUNCTION("""COMPUTED_VALUE"""),"MARTINEZ MONTES JEFFREY ENRIQUE")</f>
        <v/>
      </c>
      <c r="H417" s="76">
        <f>IFERROR(__xludf.DUMMYFUNCTION("""COMPUTED_VALUE"""),535.3853)</f>
        <v/>
      </c>
      <c r="I417" s="75" t="n"/>
      <c r="J417" s="77">
        <f>IFERROR(__xludf.DUMMYFUNCTION("""COMPUTED_VALUE"""),129.99796595087687)</f>
        <v/>
      </c>
      <c r="K417" s="4">
        <f>IFERROR(__xludf.DUMMYFUNCTION("""COMPUTED_VALUE"""),0.0)</f>
        <v/>
      </c>
      <c r="L417" s="77">
        <f>IFERROR(__xludf.DUMMYFUNCTION("""COMPUTED_VALUE"""),129.99796595087687)</f>
        <v/>
      </c>
      <c r="O417" s="72" t="n"/>
      <c r="S417" s="4" t="n"/>
    </row>
    <row r="418">
      <c r="A418" s="74">
        <f>IFERROR(__xludf.DUMMYFUNCTION("""COMPUTED_VALUE"""),46168.0)</f>
        <v/>
      </c>
      <c r="B418" s="72">
        <f>IFERROR(__xludf.DUMMYFUNCTION("""COMPUTED_VALUE"""),316.0)</f>
        <v/>
      </c>
      <c r="C418" s="75">
        <f>IFERROR(__xludf.DUMMYFUNCTION("""COMPUTED_VALUE"""),44715.77)</f>
        <v/>
      </c>
      <c r="D418" s="75">
        <f>IFERROR(__xludf.DUMMYFUNCTION("""COMPUTED_VALUE"""),"VES")</f>
        <v/>
      </c>
      <c r="E418" s="75">
        <f>IFERROR(__xludf.DUMMYFUNCTION("""COMPUTED_VALUE"""),"Bancamiga")</f>
        <v/>
      </c>
      <c r="F418" s="75">
        <f>IFERROR(__xludf.DUMMYFUNCTION("""COMPUTED_VALUE"""),"MOTO REPUESTO GARCIA 2023, C.A.")</f>
        <v/>
      </c>
      <c r="G418" s="76">
        <f>IFERROR(__xludf.DUMMYFUNCTION("""COMPUTED_VALUE"""),"TORO ARDILES DAVID JOSE")</f>
        <v/>
      </c>
      <c r="H418" s="76">
        <f>IFERROR(__xludf.DUMMYFUNCTION("""COMPUTED_VALUE"""),535.3853)</f>
        <v/>
      </c>
      <c r="I418" s="75" t="n"/>
      <c r="J418" s="77">
        <f>IFERROR(__xludf.DUMMYFUNCTION("""COMPUTED_VALUE"""),83.52072796918405)</f>
        <v/>
      </c>
      <c r="K418" s="4">
        <f>IFERROR(__xludf.DUMMYFUNCTION("""COMPUTED_VALUE"""),0.0)</f>
        <v/>
      </c>
      <c r="L418" s="77">
        <f>IFERROR(__xludf.DUMMYFUNCTION("""COMPUTED_VALUE"""),83.52072796918405)</f>
        <v/>
      </c>
      <c r="O418" s="72" t="n"/>
      <c r="S418" s="4" t="n"/>
    </row>
    <row r="419">
      <c r="A419" s="74">
        <f>IFERROR(__xludf.DUMMYFUNCTION("""COMPUTED_VALUE"""),46167.0)</f>
        <v/>
      </c>
      <c r="B419" s="72">
        <f>IFERROR(__xludf.DUMMYFUNCTION("""COMPUTED_VALUE"""),306.0)</f>
        <v/>
      </c>
      <c r="C419" s="75">
        <f>IFERROR(__xludf.DUMMYFUNCTION("""COMPUTED_VALUE"""),31860.0)</f>
        <v/>
      </c>
      <c r="D419" s="75">
        <f>IFERROR(__xludf.DUMMYFUNCTION("""COMPUTED_VALUE"""),"VES")</f>
        <v/>
      </c>
      <c r="E419" s="75">
        <f>IFERROR(__xludf.DUMMYFUNCTION("""COMPUTED_VALUE"""),"Bancamiga")</f>
        <v/>
      </c>
      <c r="F419" s="75">
        <f>IFERROR(__xludf.DUMMYFUNCTION("""COMPUTED_VALUE"""),"LUBRIREPUESTOS PANORAMA, C.A.")</f>
        <v/>
      </c>
      <c r="G419" s="76">
        <f>IFERROR(__xludf.DUMMYFUNCTION("""COMPUTED_VALUE"""),"TORO ARDILES DAVID JOSE")</f>
        <v/>
      </c>
      <c r="H419" s="76">
        <f>IFERROR(__xludf.DUMMYFUNCTION("""COMPUTED_VALUE"""),530.5047)</f>
        <v/>
      </c>
      <c r="I419" s="75" t="n"/>
      <c r="J419" s="77">
        <f>IFERROR(__xludf.DUMMYFUNCTION("""COMPUTED_VALUE"""),60.05601835384305)</f>
        <v/>
      </c>
      <c r="K419" s="4">
        <f>IFERROR(__xludf.DUMMYFUNCTION("""COMPUTED_VALUE"""),0.0)</f>
        <v/>
      </c>
      <c r="L419" s="77">
        <f>IFERROR(__xludf.DUMMYFUNCTION("""COMPUTED_VALUE"""),60.05601835384305)</f>
        <v/>
      </c>
      <c r="O419" s="72" t="n"/>
      <c r="S419" s="4" t="n"/>
    </row>
    <row r="420">
      <c r="A420" s="74">
        <f>IFERROR(__xludf.DUMMYFUNCTION("""COMPUTED_VALUE"""),46167.0)</f>
        <v/>
      </c>
      <c r="B420" s="72">
        <f>IFERROR(__xludf.DUMMYFUNCTION("""COMPUTED_VALUE"""),306.0)</f>
        <v/>
      </c>
      <c r="C420" s="75">
        <f>IFERROR(__xludf.DUMMYFUNCTION("""COMPUTED_VALUE"""),4779.0)</f>
        <v/>
      </c>
      <c r="D420" s="75">
        <f>IFERROR(__xludf.DUMMYFUNCTION("""COMPUTED_VALUE"""),"VES")</f>
        <v/>
      </c>
      <c r="E420" s="75">
        <f>IFERROR(__xludf.DUMMYFUNCTION("""COMPUTED_VALUE"""),"Bancamiga")</f>
        <v/>
      </c>
      <c r="F420" s="75">
        <f>IFERROR(__xludf.DUMMYFUNCTION("""COMPUTED_VALUE"""),"LUBRIREPUESTOS PANORAMA, C.A.")</f>
        <v/>
      </c>
      <c r="G420" s="76">
        <f>IFERROR(__xludf.DUMMYFUNCTION("""COMPUTED_VALUE"""),"TORO ARDILES DAVID JOSE")</f>
        <v/>
      </c>
      <c r="H420" s="76">
        <f>IFERROR(__xludf.DUMMYFUNCTION("""COMPUTED_VALUE"""),530.5047)</f>
        <v/>
      </c>
      <c r="I420" s="75" t="n"/>
      <c r="J420" s="77">
        <f>IFERROR(__xludf.DUMMYFUNCTION("""COMPUTED_VALUE"""),9.008402753076458)</f>
        <v/>
      </c>
      <c r="K420" s="4">
        <f>IFERROR(__xludf.DUMMYFUNCTION("""COMPUTED_VALUE"""),0.0)</f>
        <v/>
      </c>
      <c r="L420" s="77">
        <f>IFERROR(__xludf.DUMMYFUNCTION("""COMPUTED_VALUE"""),9.008402753076458)</f>
        <v/>
      </c>
      <c r="O420" s="72" t="n"/>
      <c r="S420" s="4" t="n"/>
    </row>
    <row r="421">
      <c r="A421" s="74">
        <f>IFERROR(__xludf.DUMMYFUNCTION("""COMPUTED_VALUE"""),46164.0)</f>
        <v/>
      </c>
      <c r="B421" s="72">
        <f>IFERROR(__xludf.DUMMYFUNCTION("""COMPUTED_VALUE"""),233.0)</f>
        <v/>
      </c>
      <c r="C421" s="75">
        <f>IFERROR(__xludf.DUMMYFUNCTION("""COMPUTED_VALUE"""),34098.99)</f>
        <v/>
      </c>
      <c r="D421" s="75">
        <f>IFERROR(__xludf.DUMMYFUNCTION("""COMPUTED_VALUE"""),"VES")</f>
        <v/>
      </c>
      <c r="E421" s="75">
        <f>IFERROR(__xludf.DUMMYFUNCTION("""COMPUTED_VALUE"""),"Bancamiga")</f>
        <v/>
      </c>
      <c r="F421" s="75">
        <f>IFERROR(__xludf.DUMMYFUNCTION("""COMPUTED_VALUE"""),"Auto Partes Y Repuestos Encava Express,c.a.")</f>
        <v/>
      </c>
      <c r="G421" s="76">
        <f>IFERROR(__xludf.DUMMYFUNCTION("""COMPUTED_VALUE"""),"QUEVEDO BASTIDAS NEYKEL DAVID")</f>
        <v/>
      </c>
      <c r="H421" s="76">
        <f>IFERROR(__xludf.DUMMYFUNCTION("""COMPUTED_VALUE"""),526.8694)</f>
        <v/>
      </c>
      <c r="I421" s="75" t="n"/>
      <c r="J421" s="77">
        <f>IFERROR(__xludf.DUMMYFUNCTION("""COMPUTED_VALUE"""),64.72000461594466)</f>
        <v/>
      </c>
      <c r="K421" s="4">
        <f>IFERROR(__xludf.DUMMYFUNCTION("""COMPUTED_VALUE"""),0.0)</f>
        <v/>
      </c>
      <c r="L421" s="77">
        <f>IFERROR(__xludf.DUMMYFUNCTION("""COMPUTED_VALUE"""),64.72000461594466)</f>
        <v/>
      </c>
      <c r="O421" s="72" t="n"/>
      <c r="S421" s="4" t="n"/>
    </row>
    <row r="422">
      <c r="A422" s="74">
        <f>IFERROR(__xludf.DUMMYFUNCTION("""COMPUTED_VALUE"""),46164.0)</f>
        <v/>
      </c>
      <c r="B422" s="72">
        <f>IFERROR(__xludf.DUMMYFUNCTION("""COMPUTED_VALUE"""),178.0)</f>
        <v/>
      </c>
      <c r="C422" s="75">
        <f>IFERROR(__xludf.DUMMYFUNCTION("""COMPUTED_VALUE"""),40000.0)</f>
        <v/>
      </c>
      <c r="D422" s="75">
        <f>IFERROR(__xludf.DUMMYFUNCTION("""COMPUTED_VALUE"""),"VES")</f>
        <v/>
      </c>
      <c r="E422" s="75">
        <f>IFERROR(__xludf.DUMMYFUNCTION("""COMPUTED_VALUE"""),"Bancamiga")</f>
        <v/>
      </c>
      <c r="F422" s="75">
        <f>IFERROR(__xludf.DUMMYFUNCTION("""COMPUTED_VALUE"""),"Distribuidora Nesmari 2050 c.a")</f>
        <v/>
      </c>
      <c r="G422" s="76">
        <f>IFERROR(__xludf.DUMMYFUNCTION("""COMPUTED_VALUE"""),"BETANCOURT ROBRIGUEZ LUIS ENRRIQUE")</f>
        <v/>
      </c>
      <c r="H422" s="76">
        <f>IFERROR(__xludf.DUMMYFUNCTION("""COMPUTED_VALUE"""),526.8694)</f>
        <v/>
      </c>
      <c r="I422" s="75" t="n"/>
      <c r="J422" s="77">
        <f>IFERROR(__xludf.DUMMYFUNCTION("""COMPUTED_VALUE"""),75.92014263876398)</f>
        <v/>
      </c>
      <c r="K422" s="4">
        <f>IFERROR(__xludf.DUMMYFUNCTION("""COMPUTED_VALUE"""),0.0)</f>
        <v/>
      </c>
      <c r="L422" s="77">
        <f>IFERROR(__xludf.DUMMYFUNCTION("""COMPUTED_VALUE"""),75.92014263876398)</f>
        <v/>
      </c>
      <c r="O422" s="72" t="n"/>
      <c r="S422" s="4" t="n"/>
    </row>
    <row r="423">
      <c r="A423" s="74">
        <f>IFERROR(__xludf.DUMMYFUNCTION("""COMPUTED_VALUE"""),46163.0)</f>
        <v/>
      </c>
      <c r="B423" s="72">
        <f>IFERROR(__xludf.DUMMYFUNCTION("""COMPUTED_VALUE"""),309.0)</f>
        <v/>
      </c>
      <c r="C423" s="75">
        <f>IFERROR(__xludf.DUMMYFUNCTION("""COMPUTED_VALUE"""),105000.0)</f>
        <v/>
      </c>
      <c r="D423" s="75">
        <f>IFERROR(__xludf.DUMMYFUNCTION("""COMPUTED_VALUE"""),"VES")</f>
        <v/>
      </c>
      <c r="E423" s="75">
        <f>IFERROR(__xludf.DUMMYFUNCTION("""COMPUTED_VALUE"""),"Bancamiga")</f>
        <v/>
      </c>
      <c r="F423" s="75">
        <f>IFERROR(__xludf.DUMMYFUNCTION("""COMPUTED_VALUE"""),"INVERSIONES JOSCAR  XXI, S.A.")</f>
        <v/>
      </c>
      <c r="G423" s="76">
        <f>IFERROR(__xludf.DUMMYFUNCTION("""COMPUTED_VALUE"""),"TORO ARDILES DAVID JOSE")</f>
        <v/>
      </c>
      <c r="H423" s="76">
        <f>IFERROR(__xludf.DUMMYFUNCTION("""COMPUTED_VALUE"""),523.675)</f>
        <v/>
      </c>
      <c r="I423" s="75" t="n"/>
      <c r="J423" s="77">
        <f>IFERROR(__xludf.DUMMYFUNCTION("""COMPUTED_VALUE"""),200.50603905093809)</f>
        <v/>
      </c>
      <c r="K423" s="4">
        <f>IFERROR(__xludf.DUMMYFUNCTION("""COMPUTED_VALUE"""),0.0)</f>
        <v/>
      </c>
      <c r="L423" s="77">
        <f>IFERROR(__xludf.DUMMYFUNCTION("""COMPUTED_VALUE"""),200.50603905093809)</f>
        <v/>
      </c>
      <c r="O423" s="72" t="n"/>
      <c r="S423" s="4" t="n"/>
    </row>
    <row r="424">
      <c r="A424" s="74">
        <f>IFERROR(__xludf.DUMMYFUNCTION("""COMPUTED_VALUE"""),46169.0)</f>
        <v/>
      </c>
      <c r="B424" s="72">
        <f>IFERROR(__xludf.DUMMYFUNCTION("""COMPUTED_VALUE"""),209.0)</f>
        <v/>
      </c>
      <c r="C424" s="75">
        <f>IFERROR(__xludf.DUMMYFUNCTION("""COMPUTED_VALUE"""),41.0)</f>
        <v/>
      </c>
      <c r="D424" s="75">
        <f>IFERROR(__xludf.DUMMYFUNCTION("""COMPUTED_VALUE"""),"USD")</f>
        <v/>
      </c>
      <c r="E424" s="75">
        <f>IFERROR(__xludf.DUMMYFUNCTION("""COMPUTED_VALUE"""),"Efectivo USD")</f>
        <v/>
      </c>
      <c r="F424" s="75">
        <f>IFERROR(__xludf.DUMMYFUNCTION("""COMPUTED_VALUE"""),"Inversiones Mirelkys C.A")</f>
        <v/>
      </c>
      <c r="G424" s="76">
        <f>IFERROR(__xludf.DUMMYFUNCTION("""COMPUTED_VALUE"""),"GRIMAN DIAZ HECTOR EDUARDO")</f>
        <v/>
      </c>
      <c r="H424" s="76">
        <f>IFERROR(__xludf.DUMMYFUNCTION("""COMPUTED_VALUE"""),540.0431)</f>
        <v/>
      </c>
      <c r="I424" s="75" t="n"/>
      <c r="J424" s="77">
        <f>IFERROR(__xludf.DUMMYFUNCTION("""COMPUTED_VALUE"""),41.0)</f>
        <v/>
      </c>
      <c r="K424" s="4">
        <f>IFERROR(__xludf.DUMMYFUNCTION("""COMPUTED_VALUE"""),41.0)</f>
        <v/>
      </c>
      <c r="L424" s="77">
        <f>IFERROR(__xludf.DUMMYFUNCTION("""COMPUTED_VALUE"""),41.0)</f>
        <v/>
      </c>
      <c r="O424" s="72" t="n"/>
      <c r="S424" s="4" t="n"/>
    </row>
    <row r="425">
      <c r="A425" s="74">
        <f>IFERROR(__xludf.DUMMYFUNCTION("""COMPUTED_VALUE"""),46169.0)</f>
        <v/>
      </c>
      <c r="B425" s="72">
        <f>IFERROR(__xludf.DUMMYFUNCTION("""COMPUTED_VALUE"""),250.0)</f>
        <v/>
      </c>
      <c r="C425" s="75">
        <f>IFERROR(__xludf.DUMMYFUNCTION("""COMPUTED_VALUE"""),20.0)</f>
        <v/>
      </c>
      <c r="D425" s="75">
        <f>IFERROR(__xludf.DUMMYFUNCTION("""COMPUTED_VALUE"""),"USD")</f>
        <v/>
      </c>
      <c r="E425" s="75">
        <f>IFERROR(__xludf.DUMMYFUNCTION("""COMPUTED_VALUE"""),"Efectivo USD")</f>
        <v/>
      </c>
      <c r="F425" s="75">
        <f>IFERROR(__xludf.DUMMYFUNCTION("""COMPUTED_VALUE"""),"EMPRENDIMIENTO MANUEL GÓMEZ 6")</f>
        <v/>
      </c>
      <c r="G425" s="76">
        <f>IFERROR(__xludf.DUMMYFUNCTION("""COMPUTED_VALUE"""),"VILLABONA CORREA ALBA ESTEFANIA")</f>
        <v/>
      </c>
      <c r="H425" s="76">
        <f>IFERROR(__xludf.DUMMYFUNCTION("""COMPUTED_VALUE"""),540.0431)</f>
        <v/>
      </c>
      <c r="I425" s="75" t="n"/>
      <c r="J425" s="77">
        <f>IFERROR(__xludf.DUMMYFUNCTION("""COMPUTED_VALUE"""),20.0)</f>
        <v/>
      </c>
      <c r="K425" s="4">
        <f>IFERROR(__xludf.DUMMYFUNCTION("""COMPUTED_VALUE"""),20.0)</f>
        <v/>
      </c>
      <c r="L425" s="77">
        <f>IFERROR(__xludf.DUMMYFUNCTION("""COMPUTED_VALUE"""),20.0)</f>
        <v/>
      </c>
      <c r="O425" s="72" t="n"/>
      <c r="S425" s="4" t="n"/>
    </row>
    <row r="426">
      <c r="A426" s="74">
        <f>IFERROR(__xludf.DUMMYFUNCTION("""COMPUTED_VALUE"""),46169.0)</f>
        <v/>
      </c>
      <c r="B426" s="72">
        <f>IFERROR(__xludf.DUMMYFUNCTION("""COMPUTED_VALUE"""),424.0)</f>
        <v/>
      </c>
      <c r="C426" s="75">
        <f>IFERROR(__xludf.DUMMYFUNCTION("""COMPUTED_VALUE"""),220059.0)</f>
        <v/>
      </c>
      <c r="D426" s="75">
        <f>IFERROR(__xludf.DUMMYFUNCTION("""COMPUTED_VALUE"""),"VES")</f>
        <v/>
      </c>
      <c r="E426" s="75">
        <f>IFERROR(__xludf.DUMMYFUNCTION("""COMPUTED_VALUE"""),"Bancamiga")</f>
        <v/>
      </c>
      <c r="F426" s="75">
        <f>IFERROR(__xludf.DUMMYFUNCTION("""COMPUTED_VALUE"""),"Antonio Terán")</f>
        <v/>
      </c>
      <c r="G426" s="76">
        <f>IFERROR(__xludf.DUMMYFUNCTION("""COMPUTED_VALUE"""),"PEREZ DIAZ ANGEL DE DIOS")</f>
        <v/>
      </c>
      <c r="H426" s="76">
        <f>IFERROR(__xludf.DUMMYFUNCTION("""COMPUTED_VALUE"""),540.0431)</f>
        <v/>
      </c>
      <c r="I426" s="75" t="n"/>
      <c r="J426" s="77">
        <f>IFERROR(__xludf.DUMMYFUNCTION("""COMPUTED_VALUE"""),407.4841433952216)</f>
        <v/>
      </c>
      <c r="K426" s="4">
        <f>IFERROR(__xludf.DUMMYFUNCTION("""COMPUTED_VALUE"""),0.0)</f>
        <v/>
      </c>
      <c r="L426" s="77">
        <f>IFERROR(__xludf.DUMMYFUNCTION("""COMPUTED_VALUE"""),407.4841433952216)</f>
        <v/>
      </c>
      <c r="O426" s="72" t="n"/>
      <c r="S426" s="4" t="n"/>
    </row>
    <row r="427">
      <c r="A427" s="74">
        <f>IFERROR(__xludf.DUMMYFUNCTION("""COMPUTED_VALUE"""),46168.0)</f>
        <v/>
      </c>
      <c r="B427" s="72">
        <f>IFERROR(__xludf.DUMMYFUNCTION("""COMPUTED_VALUE"""),452.0)</f>
        <v/>
      </c>
      <c r="C427" s="75">
        <f>IFERROR(__xludf.DUMMYFUNCTION("""COMPUTED_VALUE"""),320.0)</f>
        <v/>
      </c>
      <c r="D427" s="75">
        <f>IFERROR(__xludf.DUMMYFUNCTION("""COMPUTED_VALUE"""),"USD")</f>
        <v/>
      </c>
      <c r="E427" s="75">
        <f>IFERROR(__xludf.DUMMYFUNCTION("""COMPUTED_VALUE"""),"Efectivo USD")</f>
        <v/>
      </c>
      <c r="F427" s="75">
        <f>IFERROR(__xludf.DUMMYFUNCTION("""COMPUTED_VALUE"""),"NAUDY MARTINEZ")</f>
        <v/>
      </c>
      <c r="G427" s="76">
        <f>IFERROR(__xludf.DUMMYFUNCTION("""COMPUTED_VALUE"""),"CASERES GONZALEZ RONALD OSWALDO")</f>
        <v/>
      </c>
      <c r="H427" s="76">
        <f>IFERROR(__xludf.DUMMYFUNCTION("""COMPUTED_VALUE"""),535.3853)</f>
        <v/>
      </c>
      <c r="I427" s="75" t="n"/>
      <c r="J427" s="77">
        <f>IFERROR(__xludf.DUMMYFUNCTION("""COMPUTED_VALUE"""),320.0)</f>
        <v/>
      </c>
      <c r="K427" s="4">
        <f>IFERROR(__xludf.DUMMYFUNCTION("""COMPUTED_VALUE"""),320.0)</f>
        <v/>
      </c>
      <c r="L427" s="77">
        <f>IFERROR(__xludf.DUMMYFUNCTION("""COMPUTED_VALUE"""),320.0)</f>
        <v/>
      </c>
      <c r="O427" s="72" t="n"/>
      <c r="S427" s="4" t="n"/>
    </row>
    <row r="428">
      <c r="A428" s="74">
        <f>IFERROR(__xludf.DUMMYFUNCTION("""COMPUTED_VALUE"""),46168.0)</f>
        <v/>
      </c>
      <c r="B428" s="72">
        <f>IFERROR(__xludf.DUMMYFUNCTION("""COMPUTED_VALUE"""),454.0)</f>
        <v/>
      </c>
      <c r="C428" s="75">
        <f>IFERROR(__xludf.DUMMYFUNCTION("""COMPUTED_VALUE"""),20.0)</f>
        <v/>
      </c>
      <c r="D428" s="75">
        <f>IFERROR(__xludf.DUMMYFUNCTION("""COMPUTED_VALUE"""),"USD")</f>
        <v/>
      </c>
      <c r="E428" s="75">
        <f>IFERROR(__xludf.DUMMYFUNCTION("""COMPUTED_VALUE"""),"Efectivo USD")</f>
        <v/>
      </c>
      <c r="F428" s="75">
        <f>IFERROR(__xludf.DUMMYFUNCTION("""COMPUTED_VALUE"""),"NAUDY MARTINEZ")</f>
        <v/>
      </c>
      <c r="G428" s="76">
        <f>IFERROR(__xludf.DUMMYFUNCTION("""COMPUTED_VALUE"""),"CASERES GONZALEZ RONALD OSWALDO")</f>
        <v/>
      </c>
      <c r="H428" s="76">
        <f>IFERROR(__xludf.DUMMYFUNCTION("""COMPUTED_VALUE"""),535.3853)</f>
        <v/>
      </c>
      <c r="I428" s="75" t="n"/>
      <c r="J428" s="77">
        <f>IFERROR(__xludf.DUMMYFUNCTION("""COMPUTED_VALUE"""),20.0)</f>
        <v/>
      </c>
      <c r="K428" s="4">
        <f>IFERROR(__xludf.DUMMYFUNCTION("""COMPUTED_VALUE"""),20.0)</f>
        <v/>
      </c>
      <c r="L428" s="77">
        <f>IFERROR(__xludf.DUMMYFUNCTION("""COMPUTED_VALUE"""),20.0)</f>
        <v/>
      </c>
      <c r="O428" s="72" t="n"/>
      <c r="S428" s="4" t="n"/>
    </row>
    <row r="429">
      <c r="A429" s="74">
        <f>IFERROR(__xludf.DUMMYFUNCTION("""COMPUTED_VALUE"""),46168.0)</f>
        <v/>
      </c>
      <c r="B429" s="72">
        <f>IFERROR(__xludf.DUMMYFUNCTION("""COMPUTED_VALUE"""),454.0)</f>
        <v/>
      </c>
      <c r="C429" s="75">
        <f>IFERROR(__xludf.DUMMYFUNCTION("""COMPUTED_VALUE"""),2200.0)</f>
        <v/>
      </c>
      <c r="D429" s="75">
        <f>IFERROR(__xludf.DUMMYFUNCTION("""COMPUTED_VALUE"""),"VES")</f>
        <v/>
      </c>
      <c r="E429" s="75">
        <f>IFERROR(__xludf.DUMMYFUNCTION("""COMPUTED_VALUE"""),"Provincial")</f>
        <v/>
      </c>
      <c r="F429" s="75">
        <f>IFERROR(__xludf.DUMMYFUNCTION("""COMPUTED_VALUE"""),"NAUDY MARTINEZ")</f>
        <v/>
      </c>
      <c r="G429" s="76">
        <f>IFERROR(__xludf.DUMMYFUNCTION("""COMPUTED_VALUE"""),"CASERES GONZALEZ RONALD OSWALDO")</f>
        <v/>
      </c>
      <c r="H429" s="76">
        <f>IFERROR(__xludf.DUMMYFUNCTION("""COMPUTED_VALUE"""),535.3853)</f>
        <v/>
      </c>
      <c r="I429" s="75" t="n"/>
      <c r="J429" s="77">
        <f>IFERROR(__xludf.DUMMYFUNCTION("""COMPUTED_VALUE"""),4.109190147730989)</f>
        <v/>
      </c>
      <c r="K429" s="4">
        <f>IFERROR(__xludf.DUMMYFUNCTION("""COMPUTED_VALUE"""),0.0)</f>
        <v/>
      </c>
      <c r="L429" s="77">
        <f>IFERROR(__xludf.DUMMYFUNCTION("""COMPUTED_VALUE"""),4.109190147730989)</f>
        <v/>
      </c>
      <c r="O429" s="72" t="n"/>
      <c r="S429" s="4" t="n"/>
    </row>
    <row r="430">
      <c r="A430" s="74">
        <f>IFERROR(__xludf.DUMMYFUNCTION("""COMPUTED_VALUE"""),46169.0)</f>
        <v/>
      </c>
      <c r="B430" s="72">
        <f>IFERROR(__xludf.DUMMYFUNCTION("""COMPUTED_VALUE"""),243.0)</f>
        <v/>
      </c>
      <c r="C430" s="75">
        <f>IFERROR(__xludf.DUMMYFUNCTION("""COMPUTED_VALUE"""),22200.0)</f>
        <v/>
      </c>
      <c r="D430" s="75">
        <f>IFERROR(__xludf.DUMMYFUNCTION("""COMPUTED_VALUE"""),"VES")</f>
        <v/>
      </c>
      <c r="E430" s="75">
        <f>IFERROR(__xludf.DUMMYFUNCTION("""COMPUTED_VALUE"""),"Bancamiga")</f>
        <v/>
      </c>
      <c r="F430" s="75">
        <f>IFERROR(__xludf.DUMMYFUNCTION("""COMPUTED_VALUE"""),"Cauchera William 2018, C.A")</f>
        <v/>
      </c>
      <c r="G430" s="76">
        <f>IFERROR(__xludf.DUMMYFUNCTION("""COMPUTED_VALUE"""),"MARTINEZ MONTES JEFFREY ENRIQUE")</f>
        <v/>
      </c>
      <c r="H430" s="76">
        <f>IFERROR(__xludf.DUMMYFUNCTION("""COMPUTED_VALUE"""),540.0431)</f>
        <v/>
      </c>
      <c r="I430" s="75" t="n"/>
      <c r="J430" s="77">
        <f>IFERROR(__xludf.DUMMYFUNCTION("""COMPUTED_VALUE"""),41.10783009726446)</f>
        <v/>
      </c>
      <c r="K430" s="4">
        <f>IFERROR(__xludf.DUMMYFUNCTION("""COMPUTED_VALUE"""),0.0)</f>
        <v/>
      </c>
      <c r="L430" s="77">
        <f>IFERROR(__xludf.DUMMYFUNCTION("""COMPUTED_VALUE"""),41.10783009726446)</f>
        <v/>
      </c>
      <c r="O430" s="72" t="n"/>
      <c r="S430" s="4" t="n"/>
    </row>
    <row r="431">
      <c r="A431" s="74">
        <f>IFERROR(__xludf.DUMMYFUNCTION("""COMPUTED_VALUE"""),46169.0)</f>
        <v/>
      </c>
      <c r="B431" s="72">
        <f>IFERROR(__xludf.DUMMYFUNCTION("""COMPUTED_VALUE"""),243.0)</f>
        <v/>
      </c>
      <c r="C431" s="75">
        <f>IFERROR(__xludf.DUMMYFUNCTION("""COMPUTED_VALUE"""),15.0)</f>
        <v/>
      </c>
      <c r="D431" s="75">
        <f>IFERROR(__xludf.DUMMYFUNCTION("""COMPUTED_VALUE"""),"USD")</f>
        <v/>
      </c>
      <c r="E431" s="75">
        <f>IFERROR(__xludf.DUMMYFUNCTION("""COMPUTED_VALUE"""),"Efectivo USD")</f>
        <v/>
      </c>
      <c r="F431" s="75">
        <f>IFERROR(__xludf.DUMMYFUNCTION("""COMPUTED_VALUE"""),"Cauchera William 2018, C.A")</f>
        <v/>
      </c>
      <c r="G431" s="76">
        <f>IFERROR(__xludf.DUMMYFUNCTION("""COMPUTED_VALUE"""),"MARTINEZ MONTES JEFFREY ENRIQUE")</f>
        <v/>
      </c>
      <c r="H431" s="76">
        <f>IFERROR(__xludf.DUMMYFUNCTION("""COMPUTED_VALUE"""),540.0431)</f>
        <v/>
      </c>
      <c r="I431" s="75" t="n"/>
      <c r="J431" s="77">
        <f>IFERROR(__xludf.DUMMYFUNCTION("""COMPUTED_VALUE"""),15.0)</f>
        <v/>
      </c>
      <c r="K431" s="4">
        <f>IFERROR(__xludf.DUMMYFUNCTION("""COMPUTED_VALUE"""),15.0)</f>
        <v/>
      </c>
      <c r="L431" s="77">
        <f>IFERROR(__xludf.DUMMYFUNCTION("""COMPUTED_VALUE"""),15.0)</f>
        <v/>
      </c>
      <c r="O431" s="72" t="n"/>
      <c r="S431" s="4" t="n"/>
    </row>
    <row r="432">
      <c r="A432" s="74">
        <f>IFERROR(__xludf.DUMMYFUNCTION("""COMPUTED_VALUE"""),46169.0)</f>
        <v/>
      </c>
      <c r="B432" s="72">
        <f>IFERROR(__xludf.DUMMYFUNCTION("""COMPUTED_VALUE"""),451.0)</f>
        <v/>
      </c>
      <c r="C432" s="75">
        <f>IFERROR(__xludf.DUMMYFUNCTION("""COMPUTED_VALUE"""),294.0)</f>
        <v/>
      </c>
      <c r="D432" s="75">
        <f>IFERROR(__xludf.DUMMYFUNCTION("""COMPUTED_VALUE"""),"USD")</f>
        <v/>
      </c>
      <c r="E432" s="75">
        <f>IFERROR(__xludf.DUMMYFUNCTION("""COMPUTED_VALUE"""),"Efectivo USD")</f>
        <v/>
      </c>
      <c r="F432" s="75">
        <f>IFERROR(__xludf.DUMMYFUNCTION("""COMPUTED_VALUE"""),"EMPRENDIMIENTO IRMA RODRIGUEZ 6")</f>
        <v/>
      </c>
      <c r="G432" s="76">
        <f>IFERROR(__xludf.DUMMYFUNCTION("""COMPUTED_VALUE"""),"TORO ARDILES DAVID JOSE")</f>
        <v/>
      </c>
      <c r="H432" s="76">
        <f>IFERROR(__xludf.DUMMYFUNCTION("""COMPUTED_VALUE"""),540.0431)</f>
        <v/>
      </c>
      <c r="I432" s="75">
        <f>IFERROR(__xludf.DUMMYFUNCTION("""COMPUTED_VALUE"""),733.53)</f>
        <v/>
      </c>
      <c r="J432" s="77">
        <f>IFERROR(__xludf.DUMMYFUNCTION("""COMPUTED_VALUE"""),294.0)</f>
        <v/>
      </c>
      <c r="K432" s="4">
        <f>IFERROR(__xludf.DUMMYFUNCTION("""COMPUTED_VALUE"""),294.0)</f>
        <v/>
      </c>
      <c r="L432" s="77">
        <f>IFERROR(__xludf.DUMMYFUNCTION("""COMPUTED_VALUE"""),294.0)</f>
        <v/>
      </c>
      <c r="O432" s="72" t="n"/>
      <c r="S432" s="4" t="n"/>
    </row>
    <row r="433">
      <c r="A433" s="74">
        <f>IFERROR(__xludf.DUMMYFUNCTION("""COMPUTED_VALUE"""),46169.0)</f>
        <v/>
      </c>
      <c r="B433" s="72">
        <f>IFERROR(__xludf.DUMMYFUNCTION("""COMPUTED_VALUE"""),349.0)</f>
        <v/>
      </c>
      <c r="C433" s="75">
        <f>IFERROR(__xludf.DUMMYFUNCTION("""COMPUTED_VALUE"""),49.0)</f>
        <v/>
      </c>
      <c r="D433" s="75">
        <f>IFERROR(__xludf.DUMMYFUNCTION("""COMPUTED_VALUE"""),"USD")</f>
        <v/>
      </c>
      <c r="E433" s="75">
        <f>IFERROR(__xludf.DUMMYFUNCTION("""COMPUTED_VALUE"""),"Efectivo USD")</f>
        <v/>
      </c>
      <c r="F433" s="75">
        <f>IFERROR(__xludf.DUMMYFUNCTION("""COMPUTED_VALUE"""),"CLUDE CARVALHO DE ACOSTA")</f>
        <v/>
      </c>
      <c r="G433" s="76">
        <f>IFERROR(__xludf.DUMMYFUNCTION("""COMPUTED_VALUE"""),"TORO ARDILES DAVID JOSE")</f>
        <v/>
      </c>
      <c r="H433" s="76">
        <f>IFERROR(__xludf.DUMMYFUNCTION("""COMPUTED_VALUE"""),540.0431)</f>
        <v/>
      </c>
      <c r="I433" s="75" t="n"/>
      <c r="J433" s="77">
        <f>IFERROR(__xludf.DUMMYFUNCTION("""COMPUTED_VALUE"""),49.0)</f>
        <v/>
      </c>
      <c r="K433" s="4">
        <f>IFERROR(__xludf.DUMMYFUNCTION("""COMPUTED_VALUE"""),49.0)</f>
        <v/>
      </c>
      <c r="L433" s="77">
        <f>IFERROR(__xludf.DUMMYFUNCTION("""COMPUTED_VALUE"""),49.0)</f>
        <v/>
      </c>
      <c r="O433" s="72" t="n"/>
      <c r="S433" s="4" t="n"/>
    </row>
    <row r="434">
      <c r="A434" s="74">
        <f>IFERROR(__xludf.DUMMYFUNCTION("""COMPUTED_VALUE"""),46169.0)</f>
        <v/>
      </c>
      <c r="B434" s="72">
        <f>IFERROR(__xludf.DUMMYFUNCTION("""COMPUTED_VALUE"""),332.0)</f>
        <v/>
      </c>
      <c r="C434" s="75">
        <f>IFERROR(__xludf.DUMMYFUNCTION("""COMPUTED_VALUE"""),110.0)</f>
        <v/>
      </c>
      <c r="D434" s="75">
        <f>IFERROR(__xludf.DUMMYFUNCTION("""COMPUTED_VALUE"""),"USD")</f>
        <v/>
      </c>
      <c r="E434" s="75">
        <f>IFERROR(__xludf.DUMMYFUNCTION("""COMPUTED_VALUE"""),"Efectivo USD")</f>
        <v/>
      </c>
      <c r="F434" s="75">
        <f>IFERROR(__xludf.DUMMYFUNCTION("""COMPUTED_VALUE"""),"Inversiones García GL C.A")</f>
        <v/>
      </c>
      <c r="G434" s="76">
        <f>IFERROR(__xludf.DUMMYFUNCTION("""COMPUTED_VALUE"""),"QUEVEDO BASTIDAS NEYKEL DAVID")</f>
        <v/>
      </c>
      <c r="H434" s="76">
        <f>IFERROR(__xludf.DUMMYFUNCTION("""COMPUTED_VALUE"""),540.0431)</f>
        <v/>
      </c>
      <c r="I434" s="75" t="n"/>
      <c r="J434" s="77">
        <f>IFERROR(__xludf.DUMMYFUNCTION("""COMPUTED_VALUE"""),110.0)</f>
        <v/>
      </c>
      <c r="K434" s="4">
        <f>IFERROR(__xludf.DUMMYFUNCTION("""COMPUTED_VALUE"""),110.0)</f>
        <v/>
      </c>
      <c r="L434" s="77">
        <f>IFERROR(__xludf.DUMMYFUNCTION("""COMPUTED_VALUE"""),110.0)</f>
        <v/>
      </c>
      <c r="O434" s="72" t="n"/>
      <c r="S434" s="4" t="n"/>
    </row>
    <row r="435">
      <c r="A435" s="74">
        <f>IFERROR(__xludf.DUMMYFUNCTION("""COMPUTED_VALUE"""),46169.0)</f>
        <v/>
      </c>
      <c r="B435" s="72">
        <f>IFERROR(__xludf.DUMMYFUNCTION("""COMPUTED_VALUE"""),443.0)</f>
        <v/>
      </c>
      <c r="C435" s="75">
        <f>IFERROR(__xludf.DUMMYFUNCTION("""COMPUTED_VALUE"""),139208.18)</f>
        <v/>
      </c>
      <c r="D435" s="75">
        <f>IFERROR(__xludf.DUMMYFUNCTION("""COMPUTED_VALUE"""),"VES")</f>
        <v/>
      </c>
      <c r="E435" s="75">
        <f>IFERROR(__xludf.DUMMYFUNCTION("""COMPUTED_VALUE"""),"Bancamiga")</f>
        <v/>
      </c>
      <c r="F435" s="75">
        <f>IFERROR(__xludf.DUMMYFUNCTION("""COMPUTED_VALUE"""),"ZIP MARKET, CA")</f>
        <v/>
      </c>
      <c r="G435" s="76">
        <f>IFERROR(__xludf.DUMMYFUNCTION("""COMPUTED_VALUE"""),"QUEVEDO BASTIDAS NEYKEL DAVID")</f>
        <v/>
      </c>
      <c r="H435" s="76">
        <f>IFERROR(__xludf.DUMMYFUNCTION("""COMPUTED_VALUE"""),540.0431)</f>
        <v/>
      </c>
      <c r="I435" s="75" t="n"/>
      <c r="J435" s="77">
        <f>IFERROR(__xludf.DUMMYFUNCTION("""COMPUTED_VALUE"""),257.77235187339676)</f>
        <v/>
      </c>
      <c r="K435" s="4">
        <f>IFERROR(__xludf.DUMMYFUNCTION("""COMPUTED_VALUE"""),0.0)</f>
        <v/>
      </c>
      <c r="L435" s="77">
        <f>IFERROR(__xludf.DUMMYFUNCTION("""COMPUTED_VALUE"""),257.77235187339676)</f>
        <v/>
      </c>
      <c r="O435" s="72" t="n"/>
      <c r="S435" s="4" t="n"/>
    </row>
    <row r="436">
      <c r="A436" s="74">
        <f>IFERROR(__xludf.DUMMYFUNCTION("""COMPUTED_VALUE"""),46169.0)</f>
        <v/>
      </c>
      <c r="B436" s="72">
        <f>IFERROR(__xludf.DUMMYFUNCTION("""COMPUTED_VALUE"""),74.0)</f>
        <v/>
      </c>
      <c r="C436" s="75">
        <f>IFERROR(__xludf.DUMMYFUNCTION("""COMPUTED_VALUE"""),45822.1)</f>
        <v/>
      </c>
      <c r="D436" s="75">
        <f>IFERROR(__xludf.DUMMYFUNCTION("""COMPUTED_VALUE"""),"VES")</f>
        <v/>
      </c>
      <c r="E436" s="75">
        <f>IFERROR(__xludf.DUMMYFUNCTION("""COMPUTED_VALUE"""),"Bancamiga")</f>
        <v/>
      </c>
      <c r="F436" s="75">
        <f>IFERROR(__xludf.DUMMYFUNCTION("""COMPUTED_VALUE"""),"Servicios Nicolazzo 97, C.A")</f>
        <v/>
      </c>
      <c r="G436" s="76">
        <f>IFERROR(__xludf.DUMMYFUNCTION("""COMPUTED_VALUE"""),"QUEVEDO BASTIDAS NEYKEL DAVID")</f>
        <v/>
      </c>
      <c r="H436" s="76">
        <f>IFERROR(__xludf.DUMMYFUNCTION("""COMPUTED_VALUE"""),540.0431)</f>
        <v/>
      </c>
      <c r="I436" s="75" t="n"/>
      <c r="J436" s="77">
        <f>IFERROR(__xludf.DUMMYFUNCTION("""COMPUTED_VALUE"""),84.84896853602982)</f>
        <v/>
      </c>
      <c r="K436" s="4">
        <f>IFERROR(__xludf.DUMMYFUNCTION("""COMPUTED_VALUE"""),0.0)</f>
        <v/>
      </c>
      <c r="L436" s="77">
        <f>IFERROR(__xludf.DUMMYFUNCTION("""COMPUTED_VALUE"""),84.84896853602982)</f>
        <v/>
      </c>
      <c r="O436" s="72" t="n"/>
      <c r="S436" s="4" t="n"/>
    </row>
    <row r="437">
      <c r="A437" s="74">
        <f>IFERROR(__xludf.DUMMYFUNCTION("""COMPUTED_VALUE"""),46169.0)</f>
        <v/>
      </c>
      <c r="B437" s="72">
        <f>IFERROR(__xludf.DUMMYFUNCTION("""COMPUTED_VALUE"""),306.0)</f>
        <v/>
      </c>
      <c r="C437" s="75">
        <f>IFERROR(__xludf.DUMMYFUNCTION("""COMPUTED_VALUE"""),5963.0)</f>
        <v/>
      </c>
      <c r="D437" s="75">
        <f>IFERROR(__xludf.DUMMYFUNCTION("""COMPUTED_VALUE"""),"VES")</f>
        <v/>
      </c>
      <c r="E437" s="75">
        <f>IFERROR(__xludf.DUMMYFUNCTION("""COMPUTED_VALUE"""),"Bancamiga")</f>
        <v/>
      </c>
      <c r="F437" s="75">
        <f>IFERROR(__xludf.DUMMYFUNCTION("""COMPUTED_VALUE"""),"LUBRIREPUESTOS PANORAMA, C.A.")</f>
        <v/>
      </c>
      <c r="G437" s="76">
        <f>IFERROR(__xludf.DUMMYFUNCTION("""COMPUTED_VALUE"""),"TORO ARDILES DAVID JOSE")</f>
        <v/>
      </c>
      <c r="H437" s="76">
        <f>IFERROR(__xludf.DUMMYFUNCTION("""COMPUTED_VALUE"""),540.0431)</f>
        <v/>
      </c>
      <c r="I437" s="75" t="n"/>
      <c r="J437" s="77">
        <f>IFERROR(__xludf.DUMMYFUNCTION("""COMPUTED_VALUE"""),11.04171130044991)</f>
        <v/>
      </c>
      <c r="K437" s="4">
        <f>IFERROR(__xludf.DUMMYFUNCTION("""COMPUTED_VALUE"""),0.0)</f>
        <v/>
      </c>
      <c r="L437" s="77">
        <f>IFERROR(__xludf.DUMMYFUNCTION("""COMPUTED_VALUE"""),11.04171130044991)</f>
        <v/>
      </c>
      <c r="O437" s="72" t="n"/>
      <c r="S437" s="4" t="n"/>
    </row>
    <row r="438">
      <c r="A438" s="74">
        <f>IFERROR(__xludf.DUMMYFUNCTION("""COMPUTED_VALUE"""),46170.0)</f>
        <v/>
      </c>
      <c r="B438" s="72">
        <f>IFERROR(__xludf.DUMMYFUNCTION("""COMPUTED_VALUE"""),231.0)</f>
        <v/>
      </c>
      <c r="C438" s="75">
        <f>IFERROR(__xludf.DUMMYFUNCTION("""COMPUTED_VALUE"""),200.0)</f>
        <v/>
      </c>
      <c r="D438" s="75">
        <f>IFERROR(__xludf.DUMMYFUNCTION("""COMPUTED_VALUE"""),"USD")</f>
        <v/>
      </c>
      <c r="E438" s="75">
        <f>IFERROR(__xludf.DUMMYFUNCTION("""COMPUTED_VALUE"""),"Efectivo USD")</f>
        <v/>
      </c>
      <c r="F438" s="75">
        <f>IFERROR(__xludf.DUMMYFUNCTION("""COMPUTED_VALUE"""),"Constructora  Campo Urbano,c.a.")</f>
        <v/>
      </c>
      <c r="G438" s="76">
        <f>IFERROR(__xludf.DUMMYFUNCTION("""COMPUTED_VALUE"""),"GRIMAN DIAZ HECTOR EDUARDO")</f>
        <v/>
      </c>
      <c r="H438" s="76">
        <f>IFERROR(__xludf.DUMMYFUNCTION("""COMPUTED_VALUE"""),544.5794)</f>
        <v/>
      </c>
      <c r="I438" s="75" t="n"/>
      <c r="J438" s="77">
        <f>IFERROR(__xludf.DUMMYFUNCTION("""COMPUTED_VALUE"""),200.0)</f>
        <v/>
      </c>
      <c r="K438" s="4">
        <f>IFERROR(__xludf.DUMMYFUNCTION("""COMPUTED_VALUE"""),200.0)</f>
        <v/>
      </c>
      <c r="L438" s="77">
        <f>IFERROR(__xludf.DUMMYFUNCTION("""COMPUTED_VALUE"""),200.0)</f>
        <v/>
      </c>
      <c r="O438" s="72" t="n"/>
      <c r="S438" s="4" t="n"/>
    </row>
    <row r="439">
      <c r="A439" s="74">
        <f>IFERROR(__xludf.DUMMYFUNCTION("""COMPUTED_VALUE"""),46170.0)</f>
        <v/>
      </c>
      <c r="B439" s="72">
        <f>IFERROR(__xludf.DUMMYFUNCTION("""COMPUTED_VALUE"""),260.0)</f>
        <v/>
      </c>
      <c r="C439" s="75">
        <f>IFERROR(__xludf.DUMMYFUNCTION("""COMPUTED_VALUE"""),61537.47)</f>
        <v/>
      </c>
      <c r="D439" s="75">
        <f>IFERROR(__xludf.DUMMYFUNCTION("""COMPUTED_VALUE"""),"VES")</f>
        <v/>
      </c>
      <c r="E439" s="75">
        <f>IFERROR(__xludf.DUMMYFUNCTION("""COMPUTED_VALUE"""),"Bancamiga")</f>
        <v/>
      </c>
      <c r="F439" s="75">
        <f>IFERROR(__xludf.DUMMYFUNCTION("""COMPUTED_VALUE"""),"Jose Lopez Espinoza")</f>
        <v/>
      </c>
      <c r="G439" s="76">
        <f>IFERROR(__xludf.DUMMYFUNCTION("""COMPUTED_VALUE"""),"VILLABONA CORREA ALBA ESTEFANIA")</f>
        <v/>
      </c>
      <c r="H439" s="76">
        <f>IFERROR(__xludf.DUMMYFUNCTION("""COMPUTED_VALUE"""),544.5794)</f>
        <v/>
      </c>
      <c r="I439" s="75" t="n"/>
      <c r="J439" s="77">
        <f>IFERROR(__xludf.DUMMYFUNCTION("""COMPUTED_VALUE"""),112.99999596018506)</f>
        <v/>
      </c>
      <c r="K439" s="4">
        <f>IFERROR(__xludf.DUMMYFUNCTION("""COMPUTED_VALUE"""),0.0)</f>
        <v/>
      </c>
      <c r="L439" s="77">
        <f>IFERROR(__xludf.DUMMYFUNCTION("""COMPUTED_VALUE"""),112.99999596018506)</f>
        <v/>
      </c>
      <c r="O439" s="72" t="n"/>
      <c r="S439" s="4" t="n"/>
    </row>
    <row r="440">
      <c r="A440" s="74">
        <f>IFERROR(__xludf.DUMMYFUNCTION("""COMPUTED_VALUE"""),46170.0)</f>
        <v/>
      </c>
      <c r="B440" s="72">
        <f>IFERROR(__xludf.DUMMYFUNCTION("""COMPUTED_VALUE"""),330.0)</f>
        <v/>
      </c>
      <c r="C440" s="75">
        <f>IFERROR(__xludf.DUMMYFUNCTION("""COMPUTED_VALUE"""),32675.0)</f>
        <v/>
      </c>
      <c r="D440" s="75">
        <f>IFERROR(__xludf.DUMMYFUNCTION("""COMPUTED_VALUE"""),"VES")</f>
        <v/>
      </c>
      <c r="E440" s="75">
        <f>IFERROR(__xludf.DUMMYFUNCTION("""COMPUTED_VALUE"""),"Bancamiga")</f>
        <v/>
      </c>
      <c r="F440" s="75">
        <f>IFERROR(__xludf.DUMMYFUNCTION("""COMPUTED_VALUE"""),"Diana Carolina Torres")</f>
        <v/>
      </c>
      <c r="G440" s="76">
        <f>IFERROR(__xludf.DUMMYFUNCTION("""COMPUTED_VALUE"""),"VILLABONA CORREA ALBA ESTEFANIA")</f>
        <v/>
      </c>
      <c r="H440" s="76">
        <f>IFERROR(__xludf.DUMMYFUNCTION("""COMPUTED_VALUE"""),544.5794)</f>
        <v/>
      </c>
      <c r="I440" s="75" t="n"/>
      <c r="J440" s="77">
        <f>IFERROR(__xludf.DUMMYFUNCTION("""COMPUTED_VALUE"""),60.000433361967055)</f>
        <v/>
      </c>
      <c r="K440" s="4">
        <f>IFERROR(__xludf.DUMMYFUNCTION("""COMPUTED_VALUE"""),0.0)</f>
        <v/>
      </c>
      <c r="L440" s="77">
        <f>IFERROR(__xludf.DUMMYFUNCTION("""COMPUTED_VALUE"""),60.000433361967055)</f>
        <v/>
      </c>
      <c r="O440" s="72" t="n"/>
      <c r="S440" s="4" t="n"/>
    </row>
    <row r="441">
      <c r="A441" s="74">
        <f>IFERROR(__xludf.DUMMYFUNCTION("""COMPUTED_VALUE"""),46170.0)</f>
        <v/>
      </c>
      <c r="B441" s="72">
        <f>IFERROR(__xludf.DUMMYFUNCTION("""COMPUTED_VALUE"""),341.0)</f>
        <v/>
      </c>
      <c r="C441" s="75">
        <f>IFERROR(__xludf.DUMMYFUNCTION("""COMPUTED_VALUE"""),40.0)</f>
        <v/>
      </c>
      <c r="D441" s="75">
        <f>IFERROR(__xludf.DUMMYFUNCTION("""COMPUTED_VALUE"""),"USD")</f>
        <v/>
      </c>
      <c r="E441" s="75">
        <f>IFERROR(__xludf.DUMMYFUNCTION("""COMPUTED_VALUE"""),"Efectivo USD")</f>
        <v/>
      </c>
      <c r="F441" s="75">
        <f>IFERROR(__xludf.DUMMYFUNCTION("""COMPUTED_VALUE"""),"Automecanica Marilu 2014, C.A")</f>
        <v/>
      </c>
      <c r="G441" s="76">
        <f>IFERROR(__xludf.DUMMYFUNCTION("""COMPUTED_VALUE"""),"QUEVEDO BASTIDAS NEYKEL DAVID")</f>
        <v/>
      </c>
      <c r="H441" s="76">
        <f>IFERROR(__xludf.DUMMYFUNCTION("""COMPUTED_VALUE"""),544.5794)</f>
        <v/>
      </c>
      <c r="I441" s="75" t="n"/>
      <c r="J441" s="77">
        <f>IFERROR(__xludf.DUMMYFUNCTION("""COMPUTED_VALUE"""),40.0)</f>
        <v/>
      </c>
      <c r="K441" s="4">
        <f>IFERROR(__xludf.DUMMYFUNCTION("""COMPUTED_VALUE"""),40.0)</f>
        <v/>
      </c>
      <c r="L441" s="77">
        <f>IFERROR(__xludf.DUMMYFUNCTION("""COMPUTED_VALUE"""),40.0)</f>
        <v/>
      </c>
      <c r="O441" s="72" t="n"/>
      <c r="S441" s="4" t="n"/>
    </row>
    <row r="442">
      <c r="A442" s="74">
        <f>IFERROR(__xludf.DUMMYFUNCTION("""COMPUTED_VALUE"""),46170.0)</f>
        <v/>
      </c>
      <c r="B442" s="72">
        <f>IFERROR(__xludf.DUMMYFUNCTION("""COMPUTED_VALUE"""),198.0)</f>
        <v/>
      </c>
      <c r="C442" s="75">
        <f>IFERROR(__xludf.DUMMYFUNCTION("""COMPUTED_VALUE"""),100.0)</f>
        <v/>
      </c>
      <c r="D442" s="75">
        <f>IFERROR(__xludf.DUMMYFUNCTION("""COMPUTED_VALUE"""),"USD")</f>
        <v/>
      </c>
      <c r="E442" s="75">
        <f>IFERROR(__xludf.DUMMYFUNCTION("""COMPUTED_VALUE"""),"Efectivo USD")</f>
        <v/>
      </c>
      <c r="F442" s="75">
        <f>IFERROR(__xludf.DUMMYFUNCTION("""COMPUTED_VALUE"""),"Autorepuestos Pitstop,c.a.")</f>
        <v/>
      </c>
      <c r="G442" s="76">
        <f>IFERROR(__xludf.DUMMYFUNCTION("""COMPUTED_VALUE"""),"QUEVEDO BASTIDAS NEYKEL DAVID")</f>
        <v/>
      </c>
      <c r="H442" s="76">
        <f>IFERROR(__xludf.DUMMYFUNCTION("""COMPUTED_VALUE"""),544.5794)</f>
        <v/>
      </c>
      <c r="I442" s="75" t="n"/>
      <c r="J442" s="77">
        <f>IFERROR(__xludf.DUMMYFUNCTION("""COMPUTED_VALUE"""),100.0)</f>
        <v/>
      </c>
      <c r="K442" s="4">
        <f>IFERROR(__xludf.DUMMYFUNCTION("""COMPUTED_VALUE"""),100.0)</f>
        <v/>
      </c>
      <c r="L442" s="77">
        <f>IFERROR(__xludf.DUMMYFUNCTION("""COMPUTED_VALUE"""),100.0)</f>
        <v/>
      </c>
      <c r="O442" s="72" t="n"/>
      <c r="S442" s="4" t="n"/>
    </row>
    <row r="443">
      <c r="A443" s="74">
        <f>IFERROR(__xludf.DUMMYFUNCTION("""COMPUTED_VALUE"""),46170.0)</f>
        <v/>
      </c>
      <c r="B443" s="72">
        <f>IFERROR(__xludf.DUMMYFUNCTION("""COMPUTED_VALUE"""),395.0)</f>
        <v/>
      </c>
      <c r="C443" s="75">
        <f>IFERROR(__xludf.DUMMYFUNCTION("""COMPUTED_VALUE"""),40.0)</f>
        <v/>
      </c>
      <c r="D443" s="75">
        <f>IFERROR(__xludf.DUMMYFUNCTION("""COMPUTED_VALUE"""),"USD")</f>
        <v/>
      </c>
      <c r="E443" s="75">
        <f>IFERROR(__xludf.DUMMYFUNCTION("""COMPUTED_VALUE"""),"Efectivo USD")</f>
        <v/>
      </c>
      <c r="F443" s="75">
        <f>IFERROR(__xludf.DUMMYFUNCTION("""COMPUTED_VALUE"""),"Emprendimiento Eduardo Pérez 6")</f>
        <v/>
      </c>
      <c r="G443" s="76">
        <f>IFERROR(__xludf.DUMMYFUNCTION("""COMPUTED_VALUE"""),"PEREZ DIAZ ANGEL DE DIOS")</f>
        <v/>
      </c>
      <c r="H443" s="76">
        <f>IFERROR(__xludf.DUMMYFUNCTION("""COMPUTED_VALUE"""),544.5794)</f>
        <v/>
      </c>
      <c r="I443" s="75" t="n"/>
      <c r="J443" s="77">
        <f>IFERROR(__xludf.DUMMYFUNCTION("""COMPUTED_VALUE"""),40.0)</f>
        <v/>
      </c>
      <c r="K443" s="4">
        <f>IFERROR(__xludf.DUMMYFUNCTION("""COMPUTED_VALUE"""),40.0)</f>
        <v/>
      </c>
      <c r="L443" s="77">
        <f>IFERROR(__xludf.DUMMYFUNCTION("""COMPUTED_VALUE"""),40.0)</f>
        <v/>
      </c>
      <c r="O443" s="72" t="n"/>
      <c r="S443" s="4" t="n"/>
    </row>
    <row r="444">
      <c r="A444" s="74">
        <f>IFERROR(__xludf.DUMMYFUNCTION("""COMPUTED_VALUE"""),46170.0)</f>
        <v/>
      </c>
      <c r="B444" s="72">
        <f>IFERROR(__xludf.DUMMYFUNCTION("""COMPUTED_VALUE"""),402.0)</f>
        <v/>
      </c>
      <c r="C444" s="75">
        <f>IFERROR(__xludf.DUMMYFUNCTION("""COMPUTED_VALUE"""),30.0)</f>
        <v/>
      </c>
      <c r="D444" s="75">
        <f>IFERROR(__xludf.DUMMYFUNCTION("""COMPUTED_VALUE"""),"USD")</f>
        <v/>
      </c>
      <c r="E444" s="75">
        <f>IFERROR(__xludf.DUMMYFUNCTION("""COMPUTED_VALUE"""),"Efectivo USD")</f>
        <v/>
      </c>
      <c r="F444" s="75">
        <f>IFERROR(__xludf.DUMMYFUNCTION("""COMPUTED_VALUE"""),"Jorge Luis camacaro")</f>
        <v/>
      </c>
      <c r="G444" s="76">
        <f>IFERROR(__xludf.DUMMYFUNCTION("""COMPUTED_VALUE"""),"PEREZ DIAZ ANGEL DE DIOS")</f>
        <v/>
      </c>
      <c r="H444" s="76">
        <f>IFERROR(__xludf.DUMMYFUNCTION("""COMPUTED_VALUE"""),544.5794)</f>
        <v/>
      </c>
      <c r="I444" s="75" t="n"/>
      <c r="J444" s="77">
        <f>IFERROR(__xludf.DUMMYFUNCTION("""COMPUTED_VALUE"""),30.0)</f>
        <v/>
      </c>
      <c r="K444" s="4">
        <f>IFERROR(__xludf.DUMMYFUNCTION("""COMPUTED_VALUE"""),30.0)</f>
        <v/>
      </c>
      <c r="L444" s="77">
        <f>IFERROR(__xludf.DUMMYFUNCTION("""COMPUTED_VALUE"""),30.0)</f>
        <v/>
      </c>
      <c r="O444" s="72" t="n"/>
      <c r="S444" s="4" t="n"/>
    </row>
    <row r="445">
      <c r="A445" s="74">
        <f>IFERROR(__xludf.DUMMYFUNCTION("""COMPUTED_VALUE"""),46170.0)</f>
        <v/>
      </c>
      <c r="B445" s="72">
        <f>IFERROR(__xludf.DUMMYFUNCTION("""COMPUTED_VALUE"""),292.0)</f>
        <v/>
      </c>
      <c r="C445" s="75">
        <f>IFERROR(__xludf.DUMMYFUNCTION("""COMPUTED_VALUE"""),40.0)</f>
        <v/>
      </c>
      <c r="D445" s="75">
        <f>IFERROR(__xludf.DUMMYFUNCTION("""COMPUTED_VALUE"""),"USD")</f>
        <v/>
      </c>
      <c r="E445" s="75">
        <f>IFERROR(__xludf.DUMMYFUNCTION("""COMPUTED_VALUE"""),"Efectivo USD")</f>
        <v/>
      </c>
      <c r="F445" s="75">
        <f>IFERROR(__xludf.DUMMYFUNCTION("""COMPUTED_VALUE"""),"Jefferson rosales")</f>
        <v/>
      </c>
      <c r="G445" s="76">
        <f>IFERROR(__xludf.DUMMYFUNCTION("""COMPUTED_VALUE"""),"PEREZ DIAZ ANGEL DE DIOS")</f>
        <v/>
      </c>
      <c r="H445" s="76">
        <f>IFERROR(__xludf.DUMMYFUNCTION("""COMPUTED_VALUE"""),544.5794)</f>
        <v/>
      </c>
      <c r="I445" s="75" t="n"/>
      <c r="J445" s="77">
        <f>IFERROR(__xludf.DUMMYFUNCTION("""COMPUTED_VALUE"""),40.0)</f>
        <v/>
      </c>
      <c r="K445" s="4">
        <f>IFERROR(__xludf.DUMMYFUNCTION("""COMPUTED_VALUE"""),40.0)</f>
        <v/>
      </c>
      <c r="L445" s="77">
        <f>IFERROR(__xludf.DUMMYFUNCTION("""COMPUTED_VALUE"""),40.0)</f>
        <v/>
      </c>
      <c r="O445" s="72" t="n"/>
      <c r="S445" s="4" t="n"/>
    </row>
    <row r="446">
      <c r="A446" s="74">
        <f>IFERROR(__xludf.DUMMYFUNCTION("""COMPUTED_VALUE"""),46170.0)</f>
        <v/>
      </c>
      <c r="B446" s="72">
        <f>IFERROR(__xludf.DUMMYFUNCTION("""COMPUTED_VALUE"""),292.0)</f>
        <v/>
      </c>
      <c r="C446" s="75">
        <f>IFERROR(__xludf.DUMMYFUNCTION("""COMPUTED_VALUE"""),1633.54)</f>
        <v/>
      </c>
      <c r="D446" s="75">
        <f>IFERROR(__xludf.DUMMYFUNCTION("""COMPUTED_VALUE"""),"VES")</f>
        <v/>
      </c>
      <c r="E446" s="75">
        <f>IFERROR(__xludf.DUMMYFUNCTION("""COMPUTED_VALUE"""),"Bancamiga")</f>
        <v/>
      </c>
      <c r="F446" s="75">
        <f>IFERROR(__xludf.DUMMYFUNCTION("""COMPUTED_VALUE"""),"Jefferson rosales")</f>
        <v/>
      </c>
      <c r="G446" s="76">
        <f>IFERROR(__xludf.DUMMYFUNCTION("""COMPUTED_VALUE"""),"PEREZ DIAZ ANGEL DE DIOS")</f>
        <v/>
      </c>
      <c r="H446" s="76">
        <f>IFERROR(__xludf.DUMMYFUNCTION("""COMPUTED_VALUE"""),544.5794)</f>
        <v/>
      </c>
      <c r="I446" s="75" t="n"/>
      <c r="J446" s="77">
        <f>IFERROR(__xludf.DUMMYFUNCTION("""COMPUTED_VALUE"""),2.999636049398857)</f>
        <v/>
      </c>
      <c r="K446" s="4">
        <f>IFERROR(__xludf.DUMMYFUNCTION("""COMPUTED_VALUE"""),0.0)</f>
        <v/>
      </c>
      <c r="L446" s="77">
        <f>IFERROR(__xludf.DUMMYFUNCTION("""COMPUTED_VALUE"""),2.999636049398857)</f>
        <v/>
      </c>
      <c r="O446" s="72" t="n"/>
      <c r="S446" s="4" t="n"/>
    </row>
    <row r="447">
      <c r="A447" s="74">
        <f>IFERROR(__xludf.DUMMYFUNCTION("""COMPUTED_VALUE"""),46170.0)</f>
        <v/>
      </c>
      <c r="B447" s="72">
        <f>IFERROR(__xludf.DUMMYFUNCTION("""COMPUTED_VALUE"""),258.0)</f>
        <v/>
      </c>
      <c r="C447" s="75">
        <f>IFERROR(__xludf.DUMMYFUNCTION("""COMPUTED_VALUE"""),68415.92)</f>
        <v/>
      </c>
      <c r="D447" s="75">
        <f>IFERROR(__xludf.DUMMYFUNCTION("""COMPUTED_VALUE"""),"VES")</f>
        <v/>
      </c>
      <c r="E447" s="75">
        <f>IFERROR(__xludf.DUMMYFUNCTION("""COMPUTED_VALUE"""),"Bancamiga")</f>
        <v/>
      </c>
      <c r="F447" s="75">
        <f>IFERROR(__xludf.DUMMYFUNCTION("""COMPUTED_VALUE"""),"Distribuidora El Frenazo")</f>
        <v/>
      </c>
      <c r="G447" s="76">
        <f>IFERROR(__xludf.DUMMYFUNCTION("""COMPUTED_VALUE"""),"QUEVEDO BASTIDAS NEYKEL DAVID")</f>
        <v/>
      </c>
      <c r="H447" s="76">
        <f>IFERROR(__xludf.DUMMYFUNCTION("""COMPUTED_VALUE"""),544.5794)</f>
        <v/>
      </c>
      <c r="I447" s="75" t="n"/>
      <c r="J447" s="77">
        <f>IFERROR(__xludf.DUMMYFUNCTION("""COMPUTED_VALUE"""),125.63075283420564)</f>
        <v/>
      </c>
      <c r="K447" s="4">
        <f>IFERROR(__xludf.DUMMYFUNCTION("""COMPUTED_VALUE"""),0.0)</f>
        <v/>
      </c>
      <c r="L447" s="77">
        <f>IFERROR(__xludf.DUMMYFUNCTION("""COMPUTED_VALUE"""),125.63075283420564)</f>
        <v/>
      </c>
      <c r="O447" s="72" t="n"/>
      <c r="S447" s="4" t="n"/>
    </row>
    <row r="448">
      <c r="A448" s="74">
        <f>IFERROR(__xludf.DUMMYFUNCTION("""COMPUTED_VALUE"""),46170.0)</f>
        <v/>
      </c>
      <c r="B448" s="72">
        <f>IFERROR(__xludf.DUMMYFUNCTION("""COMPUTED_VALUE"""),199.0)</f>
        <v/>
      </c>
      <c r="C448" s="75">
        <f>IFERROR(__xludf.DUMMYFUNCTION("""COMPUTED_VALUE"""),103550.0)</f>
        <v/>
      </c>
      <c r="D448" s="75">
        <f>IFERROR(__xludf.DUMMYFUNCTION("""COMPUTED_VALUE"""),"VES")</f>
        <v/>
      </c>
      <c r="E448" s="75">
        <f>IFERROR(__xludf.DUMMYFUNCTION("""COMPUTED_VALUE"""),"Bancamiga")</f>
        <v/>
      </c>
      <c r="F448" s="75">
        <f>IFERROR(__xludf.DUMMYFUNCTION("""COMPUTED_VALUE"""),"PROYECTO MAQUIVEIRO 21 C.A.")</f>
        <v/>
      </c>
      <c r="G448" s="76">
        <f>IFERROR(__xludf.DUMMYFUNCTION("""COMPUTED_VALUE"""),"MARTINEZ MONTES JEFFREY ENRIQUE")</f>
        <v/>
      </c>
      <c r="H448" s="76">
        <f>IFERROR(__xludf.DUMMYFUNCTION("""COMPUTED_VALUE"""),544.5794)</f>
        <v/>
      </c>
      <c r="I448" s="75" t="n"/>
      <c r="J448" s="77">
        <f>IFERROR(__xludf.DUMMYFUNCTION("""COMPUTED_VALUE"""),190.14674444167372)</f>
        <v/>
      </c>
      <c r="K448" s="4">
        <f>IFERROR(__xludf.DUMMYFUNCTION("""COMPUTED_VALUE"""),0.0)</f>
        <v/>
      </c>
      <c r="L448" s="77">
        <f>IFERROR(__xludf.DUMMYFUNCTION("""COMPUTED_VALUE"""),190.14674444167372)</f>
        <v/>
      </c>
      <c r="O448" s="72" t="n"/>
      <c r="S448" s="4" t="n"/>
    </row>
    <row r="449">
      <c r="A449" s="74">
        <f>IFERROR(__xludf.DUMMYFUNCTION("""COMPUTED_VALUE"""),46171.0)</f>
        <v/>
      </c>
      <c r="B449" s="72">
        <f>IFERROR(__xludf.DUMMYFUNCTION("""COMPUTED_VALUE"""),11.0)</f>
        <v/>
      </c>
      <c r="C449" s="75">
        <f>IFERROR(__xludf.DUMMYFUNCTION("""COMPUTED_VALUE"""),40821.72)</f>
        <v/>
      </c>
      <c r="D449" s="75">
        <f>IFERROR(__xludf.DUMMYFUNCTION("""COMPUTED_VALUE"""),"VES")</f>
        <v/>
      </c>
      <c r="E449" s="75">
        <f>IFERROR(__xludf.DUMMYFUNCTION("""COMPUTED_VALUE"""),"Bancamiga")</f>
        <v/>
      </c>
      <c r="F449" s="75">
        <f>IFERROR(__xludf.DUMMYFUNCTION("""COMPUTED_VALUE"""),"MOTO MARCE 21, CA")</f>
        <v/>
      </c>
      <c r="G449" s="76">
        <f>IFERROR(__xludf.DUMMYFUNCTION("""COMPUTED_VALUE"""),"CASERES GONZALEZ RONALD OSWALDO")</f>
        <v/>
      </c>
      <c r="H449" s="76">
        <f>IFERROR(__xludf.DUMMYFUNCTION("""COMPUTED_VALUE"""),549.3716)</f>
        <v/>
      </c>
      <c r="I449" s="75" t="n"/>
      <c r="J449" s="77">
        <f>IFERROR(__xludf.DUMMYFUNCTION("""COMPUTED_VALUE"""),74.30620731031601)</f>
        <v/>
      </c>
      <c r="K449" s="4">
        <f>IFERROR(__xludf.DUMMYFUNCTION("""COMPUTED_VALUE"""),0.0)</f>
        <v/>
      </c>
      <c r="L449" s="77">
        <f>IFERROR(__xludf.DUMMYFUNCTION("""COMPUTED_VALUE"""),74.30620731031601)</f>
        <v/>
      </c>
      <c r="O449" s="72" t="n"/>
      <c r="S449" s="4" t="n"/>
    </row>
    <row r="450">
      <c r="A450" s="74">
        <f>IFERROR(__xludf.DUMMYFUNCTION("""COMPUTED_VALUE"""),46171.0)</f>
        <v/>
      </c>
      <c r="B450" s="72">
        <f>IFERROR(__xludf.DUMMYFUNCTION("""COMPUTED_VALUE"""),179.0)</f>
        <v/>
      </c>
      <c r="C450" s="75">
        <f>IFERROR(__xludf.DUMMYFUNCTION("""COMPUTED_VALUE"""),60.0)</f>
        <v/>
      </c>
      <c r="D450" s="75">
        <f>IFERROR(__xludf.DUMMYFUNCTION("""COMPUTED_VALUE"""),"USD")</f>
        <v/>
      </c>
      <c r="E450" s="75">
        <f>IFERROR(__xludf.DUMMYFUNCTION("""COMPUTED_VALUE"""),"Efectivo USD")</f>
        <v/>
      </c>
      <c r="F450" s="75">
        <f>IFERROR(__xludf.DUMMYFUNCTION("""COMPUTED_VALUE"""),"Inversiones Vercris 17 C.A")</f>
        <v/>
      </c>
      <c r="G450" s="76">
        <f>IFERROR(__xludf.DUMMYFUNCTION("""COMPUTED_VALUE"""),"GRIMAN DIAZ HECTOR EDUARDO")</f>
        <v/>
      </c>
      <c r="H450" s="76">
        <f>IFERROR(__xludf.DUMMYFUNCTION("""COMPUTED_VALUE"""),549.3716)</f>
        <v/>
      </c>
      <c r="I450" s="75" t="n"/>
      <c r="J450" s="77">
        <f>IFERROR(__xludf.DUMMYFUNCTION("""COMPUTED_VALUE"""),60.0)</f>
        <v/>
      </c>
      <c r="K450" s="4">
        <f>IFERROR(__xludf.DUMMYFUNCTION("""COMPUTED_VALUE"""),60.0)</f>
        <v/>
      </c>
      <c r="L450" s="77">
        <f>IFERROR(__xludf.DUMMYFUNCTION("""COMPUTED_VALUE"""),60.0)</f>
        <v/>
      </c>
      <c r="O450" s="72" t="n"/>
      <c r="S450" s="4" t="n"/>
    </row>
    <row r="451">
      <c r="A451" s="74">
        <f>IFERROR(__xludf.DUMMYFUNCTION("""COMPUTED_VALUE"""),46171.0)</f>
        <v/>
      </c>
      <c r="B451" s="72">
        <f>IFERROR(__xludf.DUMMYFUNCTION("""COMPUTED_VALUE"""),298.0)</f>
        <v/>
      </c>
      <c r="C451" s="75">
        <f>IFERROR(__xludf.DUMMYFUNCTION("""COMPUTED_VALUE"""),40.0)</f>
        <v/>
      </c>
      <c r="D451" s="75">
        <f>IFERROR(__xludf.DUMMYFUNCTION("""COMPUTED_VALUE"""),"USD")</f>
        <v/>
      </c>
      <c r="E451" s="75">
        <f>IFERROR(__xludf.DUMMYFUNCTION("""COMPUTED_VALUE"""),"Efectivo USD")</f>
        <v/>
      </c>
      <c r="F451" s="75">
        <f>IFERROR(__xludf.DUMMYFUNCTION("""COMPUTED_VALUE"""),"Inversiones Brayan CT C.A")</f>
        <v/>
      </c>
      <c r="G451" s="76">
        <f>IFERROR(__xludf.DUMMYFUNCTION("""COMPUTED_VALUE"""),"GRIMAN DIAZ HECTOR EDUARDO")</f>
        <v/>
      </c>
      <c r="H451" s="76">
        <f>IFERROR(__xludf.DUMMYFUNCTION("""COMPUTED_VALUE"""),549.3716)</f>
        <v/>
      </c>
      <c r="I451" s="75" t="n"/>
      <c r="J451" s="77">
        <f>IFERROR(__xludf.DUMMYFUNCTION("""COMPUTED_VALUE"""),40.0)</f>
        <v/>
      </c>
      <c r="K451" s="4">
        <f>IFERROR(__xludf.DUMMYFUNCTION("""COMPUTED_VALUE"""),40.0)</f>
        <v/>
      </c>
      <c r="L451" s="77">
        <f>IFERROR(__xludf.DUMMYFUNCTION("""COMPUTED_VALUE"""),40.0)</f>
        <v/>
      </c>
      <c r="O451" s="72" t="n"/>
      <c r="S451" s="4" t="n"/>
    </row>
    <row r="452">
      <c r="A452" s="74">
        <f>IFERROR(__xludf.DUMMYFUNCTION("""COMPUTED_VALUE"""),46171.0)</f>
        <v/>
      </c>
      <c r="B452" s="72">
        <f>IFERROR(__xludf.DUMMYFUNCTION("""COMPUTED_VALUE"""),335.0)</f>
        <v/>
      </c>
      <c r="C452" s="75">
        <f>IFERROR(__xludf.DUMMYFUNCTION("""COMPUTED_VALUE"""),40.0)</f>
        <v/>
      </c>
      <c r="D452" s="75">
        <f>IFERROR(__xludf.DUMMYFUNCTION("""COMPUTED_VALUE"""),"USD")</f>
        <v/>
      </c>
      <c r="E452" s="75">
        <f>IFERROR(__xludf.DUMMYFUNCTION("""COMPUTED_VALUE"""),"Efectivo USD")</f>
        <v/>
      </c>
      <c r="F452" s="75">
        <f>IFERROR(__xludf.DUMMYFUNCTION("""COMPUTED_VALUE"""),"Wili Mervin León Romero")</f>
        <v/>
      </c>
      <c r="G452" s="76">
        <f>IFERROR(__xludf.DUMMYFUNCTION("""COMPUTED_VALUE"""),"GRIMAN DIAZ HECTOR EDUARDO")</f>
        <v/>
      </c>
      <c r="H452" s="76">
        <f>IFERROR(__xludf.DUMMYFUNCTION("""COMPUTED_VALUE"""),549.3716)</f>
        <v/>
      </c>
      <c r="I452" s="75" t="n"/>
      <c r="J452" s="77">
        <f>IFERROR(__xludf.DUMMYFUNCTION("""COMPUTED_VALUE"""),40.0)</f>
        <v/>
      </c>
      <c r="K452" s="4">
        <f>IFERROR(__xludf.DUMMYFUNCTION("""COMPUTED_VALUE"""),40.0)</f>
        <v/>
      </c>
      <c r="L452" s="77">
        <f>IFERROR(__xludf.DUMMYFUNCTION("""COMPUTED_VALUE"""),40.0)</f>
        <v/>
      </c>
      <c r="O452" s="72" t="n"/>
      <c r="S452" s="4" t="n"/>
    </row>
    <row r="453">
      <c r="A453" s="74">
        <f>IFERROR(__xludf.DUMMYFUNCTION("""COMPUTED_VALUE"""),46171.0)</f>
        <v/>
      </c>
      <c r="B453" s="72">
        <f>IFERROR(__xludf.DUMMYFUNCTION("""COMPUTED_VALUE"""),61.0)</f>
        <v/>
      </c>
      <c r="C453" s="75">
        <f>IFERROR(__xludf.DUMMYFUNCTION("""COMPUTED_VALUE"""),310.0)</f>
        <v/>
      </c>
      <c r="D453" s="75">
        <f>IFERROR(__xludf.DUMMYFUNCTION("""COMPUTED_VALUE"""),"USD")</f>
        <v/>
      </c>
      <c r="E453" s="75">
        <f>IFERROR(__xludf.DUMMYFUNCTION("""COMPUTED_VALUE"""),"Efectivo USD")</f>
        <v/>
      </c>
      <c r="F453" s="75">
        <f>IFERROR(__xludf.DUMMYFUNCTION("""COMPUTED_VALUE"""),"SJMG 2012 C.A")</f>
        <v/>
      </c>
      <c r="G453" s="76">
        <f>IFERROR(__xludf.DUMMYFUNCTION("""COMPUTED_VALUE"""),"GRIMAN DIAZ HECTOR EDUARDO")</f>
        <v/>
      </c>
      <c r="H453" s="76">
        <f>IFERROR(__xludf.DUMMYFUNCTION("""COMPUTED_VALUE"""),549.3716)</f>
        <v/>
      </c>
      <c r="I453" s="75" t="n"/>
      <c r="J453" s="77">
        <f>IFERROR(__xludf.DUMMYFUNCTION("""COMPUTED_VALUE"""),310.0)</f>
        <v/>
      </c>
      <c r="K453" s="4">
        <f>IFERROR(__xludf.DUMMYFUNCTION("""COMPUTED_VALUE"""),310.0)</f>
        <v/>
      </c>
      <c r="L453" s="77">
        <f>IFERROR(__xludf.DUMMYFUNCTION("""COMPUTED_VALUE"""),310.0)</f>
        <v/>
      </c>
      <c r="O453" s="72" t="n"/>
      <c r="S453" s="4" t="n"/>
    </row>
    <row r="454">
      <c r="A454" s="74">
        <f>IFERROR(__xludf.DUMMYFUNCTION("""COMPUTED_VALUE"""),46171.0)</f>
        <v/>
      </c>
      <c r="B454" s="72">
        <f>IFERROR(__xludf.DUMMYFUNCTION("""COMPUTED_VALUE"""),274.0)</f>
        <v/>
      </c>
      <c r="C454" s="75">
        <f>IFERROR(__xludf.DUMMYFUNCTION("""COMPUTED_VALUE"""),74639.0)</f>
        <v/>
      </c>
      <c r="D454" s="75">
        <f>IFERROR(__xludf.DUMMYFUNCTION("""COMPUTED_VALUE"""),"VES")</f>
        <v/>
      </c>
      <c r="E454" s="75">
        <f>IFERROR(__xludf.DUMMYFUNCTION("""COMPUTED_VALUE"""),"Bancamiga")</f>
        <v/>
      </c>
      <c r="F454" s="75">
        <f>IFERROR(__xludf.DUMMYFUNCTION("""COMPUTED_VALUE"""),"ADS SERVICE C.A")</f>
        <v/>
      </c>
      <c r="G454" s="76">
        <f>IFERROR(__xludf.DUMMYFUNCTION("""COMPUTED_VALUE"""),"PEREZ DIAZ ANGEL DE DIOS")</f>
        <v/>
      </c>
      <c r="H454" s="76">
        <f>IFERROR(__xludf.DUMMYFUNCTION("""COMPUTED_VALUE"""),549.3716)</f>
        <v/>
      </c>
      <c r="I454" s="75" t="n"/>
      <c r="J454" s="77">
        <f>IFERROR(__xludf.DUMMYFUNCTION("""COMPUTED_VALUE"""),135.86250181116026)</f>
        <v/>
      </c>
      <c r="K454" s="4">
        <f>IFERROR(__xludf.DUMMYFUNCTION("""COMPUTED_VALUE"""),0.0)</f>
        <v/>
      </c>
      <c r="L454" s="77">
        <f>IFERROR(__xludf.DUMMYFUNCTION("""COMPUTED_VALUE"""),135.86250181116026)</f>
        <v/>
      </c>
      <c r="O454" s="72" t="n"/>
      <c r="S454" s="4" t="n"/>
    </row>
    <row r="455">
      <c r="A455" s="74">
        <f>IFERROR(__xludf.DUMMYFUNCTION("""COMPUTED_VALUE"""),46171.0)</f>
        <v/>
      </c>
      <c r="B455" s="72">
        <f>IFERROR(__xludf.DUMMYFUNCTION("""COMPUTED_VALUE"""),424.0)</f>
        <v/>
      </c>
      <c r="C455" s="75">
        <f>IFERROR(__xludf.DUMMYFUNCTION("""COMPUTED_VALUE"""),147680.0)</f>
        <v/>
      </c>
      <c r="D455" s="75">
        <f>IFERROR(__xludf.DUMMYFUNCTION("""COMPUTED_VALUE"""),"VES")</f>
        <v/>
      </c>
      <c r="E455" s="75">
        <f>IFERROR(__xludf.DUMMYFUNCTION("""COMPUTED_VALUE"""),"Bancamiga")</f>
        <v/>
      </c>
      <c r="F455" s="75">
        <f>IFERROR(__xludf.DUMMYFUNCTION("""COMPUTED_VALUE"""),"Antonio Terán")</f>
        <v/>
      </c>
      <c r="G455" s="76">
        <f>IFERROR(__xludf.DUMMYFUNCTION("""COMPUTED_VALUE"""),"PEREZ DIAZ ANGEL DE DIOS")</f>
        <v/>
      </c>
      <c r="H455" s="76">
        <f>IFERROR(__xludf.DUMMYFUNCTION("""COMPUTED_VALUE"""),549.3716)</f>
        <v/>
      </c>
      <c r="I455" s="75" t="n"/>
      <c r="J455" s="77">
        <f>IFERROR(__xludf.DUMMYFUNCTION("""COMPUTED_VALUE"""),268.8162256658335)</f>
        <v/>
      </c>
      <c r="K455" s="4">
        <f>IFERROR(__xludf.DUMMYFUNCTION("""COMPUTED_VALUE"""),0.0)</f>
        <v/>
      </c>
      <c r="L455" s="77">
        <f>IFERROR(__xludf.DUMMYFUNCTION("""COMPUTED_VALUE"""),268.8162256658335)</f>
        <v/>
      </c>
      <c r="O455" s="72" t="n"/>
      <c r="S455" s="4" t="n"/>
    </row>
    <row r="456">
      <c r="A456" s="74">
        <f>IFERROR(__xludf.DUMMYFUNCTION("""COMPUTED_VALUE"""),46171.0)</f>
        <v/>
      </c>
      <c r="B456" s="72">
        <f>IFERROR(__xludf.DUMMYFUNCTION("""COMPUTED_VALUE"""),114.0)</f>
        <v/>
      </c>
      <c r="C456" s="75">
        <f>IFERROR(__xludf.DUMMYFUNCTION("""COMPUTED_VALUE"""),40.0)</f>
        <v/>
      </c>
      <c r="D456" s="75">
        <f>IFERROR(__xludf.DUMMYFUNCTION("""COMPUTED_VALUE"""),"USD")</f>
        <v/>
      </c>
      <c r="E456" s="75">
        <f>IFERROR(__xludf.DUMMYFUNCTION("""COMPUTED_VALUE"""),"Efectivo USD")</f>
        <v/>
      </c>
      <c r="F456" s="75">
        <f>IFERROR(__xludf.DUMMYFUNCTION("""COMPUTED_VALUE"""),"Autoasesorio maxi motor")</f>
        <v/>
      </c>
      <c r="G456" s="76">
        <f>IFERROR(__xludf.DUMMYFUNCTION("""COMPUTED_VALUE"""),"PEREZ DIAZ ANGEL DE DIOS")</f>
        <v/>
      </c>
      <c r="H456" s="76">
        <f>IFERROR(__xludf.DUMMYFUNCTION("""COMPUTED_VALUE"""),549.3716)</f>
        <v/>
      </c>
      <c r="I456" s="75" t="n"/>
      <c r="J456" s="77">
        <f>IFERROR(__xludf.DUMMYFUNCTION("""COMPUTED_VALUE"""),40.0)</f>
        <v/>
      </c>
      <c r="K456" s="4">
        <f>IFERROR(__xludf.DUMMYFUNCTION("""COMPUTED_VALUE"""),40.0)</f>
        <v/>
      </c>
      <c r="L456" s="77">
        <f>IFERROR(__xludf.DUMMYFUNCTION("""COMPUTED_VALUE"""),40.0)</f>
        <v/>
      </c>
      <c r="O456" s="72" t="n"/>
      <c r="S456" s="4" t="n"/>
    </row>
    <row r="457">
      <c r="A457" s="74">
        <f>IFERROR(__xludf.DUMMYFUNCTION("""COMPUTED_VALUE"""),46171.0)</f>
        <v/>
      </c>
      <c r="B457" s="72">
        <f>IFERROR(__xludf.DUMMYFUNCTION("""COMPUTED_VALUE"""),93.0)</f>
        <v/>
      </c>
      <c r="C457" s="75">
        <f>IFERROR(__xludf.DUMMYFUNCTION("""COMPUTED_VALUE"""),40.0)</f>
        <v/>
      </c>
      <c r="D457" s="75">
        <f>IFERROR(__xludf.DUMMYFUNCTION("""COMPUTED_VALUE"""),"USD")</f>
        <v/>
      </c>
      <c r="E457" s="75">
        <f>IFERROR(__xludf.DUMMYFUNCTION("""COMPUTED_VALUE"""),"Efectivo USD")</f>
        <v/>
      </c>
      <c r="F457" s="75">
        <f>IFERROR(__xludf.DUMMYFUNCTION("""COMPUTED_VALUE"""),"Emprendimiento YSKRA")</f>
        <v/>
      </c>
      <c r="G457" s="76">
        <f>IFERROR(__xludf.DUMMYFUNCTION("""COMPUTED_VALUE"""),"PEREZ DIAZ ANGEL DE DIOS")</f>
        <v/>
      </c>
      <c r="H457" s="76">
        <f>IFERROR(__xludf.DUMMYFUNCTION("""COMPUTED_VALUE"""),549.3716)</f>
        <v/>
      </c>
      <c r="I457" s="75" t="n"/>
      <c r="J457" s="77">
        <f>IFERROR(__xludf.DUMMYFUNCTION("""COMPUTED_VALUE"""),40.0)</f>
        <v/>
      </c>
      <c r="K457" s="4">
        <f>IFERROR(__xludf.DUMMYFUNCTION("""COMPUTED_VALUE"""),40.0)</f>
        <v/>
      </c>
      <c r="L457" s="77">
        <f>IFERROR(__xludf.DUMMYFUNCTION("""COMPUTED_VALUE"""),40.0)</f>
        <v/>
      </c>
      <c r="O457" s="72" t="n"/>
      <c r="S457" s="4" t="n"/>
    </row>
    <row r="458">
      <c r="A458" s="74">
        <f>IFERROR(__xludf.DUMMYFUNCTION("""COMPUTED_VALUE"""),46171.0)</f>
        <v/>
      </c>
      <c r="B458" s="72">
        <f>IFERROR(__xludf.DUMMYFUNCTION("""COMPUTED_VALUE"""),125.0)</f>
        <v/>
      </c>
      <c r="C458" s="75">
        <f>IFERROR(__xludf.DUMMYFUNCTION("""COMPUTED_VALUE"""),20.0)</f>
        <v/>
      </c>
      <c r="D458" s="75">
        <f>IFERROR(__xludf.DUMMYFUNCTION("""COMPUTED_VALUE"""),"USD")</f>
        <v/>
      </c>
      <c r="E458" s="75">
        <f>IFERROR(__xludf.DUMMYFUNCTION("""COMPUTED_VALUE"""),"Efectivo USD")</f>
        <v/>
      </c>
      <c r="F458" s="75">
        <f>IFERROR(__xludf.DUMMYFUNCTION("""COMPUTED_VALUE"""),"Megacar2020.c.a")</f>
        <v/>
      </c>
      <c r="G458" s="76">
        <f>IFERROR(__xludf.DUMMYFUNCTION("""COMPUTED_VALUE"""),"PEREZ DIAZ ANGEL DE DIOS")</f>
        <v/>
      </c>
      <c r="H458" s="76">
        <f>IFERROR(__xludf.DUMMYFUNCTION("""COMPUTED_VALUE"""),549.3716)</f>
        <v/>
      </c>
      <c r="I458" s="75" t="n"/>
      <c r="J458" s="77">
        <f>IFERROR(__xludf.DUMMYFUNCTION("""COMPUTED_VALUE"""),20.0)</f>
        <v/>
      </c>
      <c r="K458" s="4">
        <f>IFERROR(__xludf.DUMMYFUNCTION("""COMPUTED_VALUE"""),20.0)</f>
        <v/>
      </c>
      <c r="L458" s="77">
        <f>IFERROR(__xludf.DUMMYFUNCTION("""COMPUTED_VALUE"""),20.0)</f>
        <v/>
      </c>
      <c r="O458" s="72" t="n"/>
      <c r="S458" s="4" t="n"/>
    </row>
    <row r="459">
      <c r="A459" s="74">
        <f>IFERROR(__xludf.DUMMYFUNCTION("""COMPUTED_VALUE"""),46171.0)</f>
        <v/>
      </c>
      <c r="B459" s="72">
        <f>IFERROR(__xludf.DUMMYFUNCTION("""COMPUTED_VALUE"""),351.0)</f>
        <v/>
      </c>
      <c r="C459" s="75">
        <f>IFERROR(__xludf.DUMMYFUNCTION("""COMPUTED_VALUE"""),54937.0)</f>
        <v/>
      </c>
      <c r="D459" s="75">
        <f>IFERROR(__xludf.DUMMYFUNCTION("""COMPUTED_VALUE"""),"VES")</f>
        <v/>
      </c>
      <c r="E459" s="75">
        <f>IFERROR(__xludf.DUMMYFUNCTION("""COMPUTED_VALUE"""),"Bancamiga")</f>
        <v/>
      </c>
      <c r="F459" s="75">
        <f>IFERROR(__xludf.DUMMYFUNCTION("""COMPUTED_VALUE"""),"INVERSIONES BECLA PARTS C.A.")</f>
        <v/>
      </c>
      <c r="G459" s="76">
        <f>IFERROR(__xludf.DUMMYFUNCTION("""COMPUTED_VALUE"""),"TORO ARDILES DAVID JOSE")</f>
        <v/>
      </c>
      <c r="H459" s="76">
        <f>IFERROR(__xludf.DUMMYFUNCTION("""COMPUTED_VALUE"""),549.3716)</f>
        <v/>
      </c>
      <c r="I459" s="75" t="n"/>
      <c r="J459" s="77">
        <f>IFERROR(__xludf.DUMMYFUNCTION("""COMPUTED_VALUE"""),99.99970875815205)</f>
        <v/>
      </c>
      <c r="K459" s="4">
        <f>IFERROR(__xludf.DUMMYFUNCTION("""COMPUTED_VALUE"""),0.0)</f>
        <v/>
      </c>
      <c r="L459" s="77">
        <f>IFERROR(__xludf.DUMMYFUNCTION("""COMPUTED_VALUE"""),99.99970875815205)</f>
        <v/>
      </c>
      <c r="O459" s="72" t="n"/>
      <c r="S459" s="4" t="n"/>
    </row>
    <row r="460">
      <c r="A460" s="74">
        <f>IFERROR(__xludf.DUMMYFUNCTION("""COMPUTED_VALUE"""),46171.0)</f>
        <v/>
      </c>
      <c r="B460" s="72">
        <f>IFERROR(__xludf.DUMMYFUNCTION("""COMPUTED_VALUE"""),340.0)</f>
        <v/>
      </c>
      <c r="C460" s="75">
        <f>IFERROR(__xludf.DUMMYFUNCTION("""COMPUTED_VALUE"""),105163.8)</f>
        <v/>
      </c>
      <c r="D460" s="75">
        <f>IFERROR(__xludf.DUMMYFUNCTION("""COMPUTED_VALUE"""),"VES")</f>
        <v/>
      </c>
      <c r="E460" s="75">
        <f>IFERROR(__xludf.DUMMYFUNCTION("""COMPUTED_VALUE"""),"Bancamiga")</f>
        <v/>
      </c>
      <c r="F460" s="75">
        <f>IFERROR(__xludf.DUMMYFUNCTION("""COMPUTED_VALUE"""),"Yeifri Alexander Marquez Zerpa")</f>
        <v/>
      </c>
      <c r="G460" s="76">
        <f>IFERROR(__xludf.DUMMYFUNCTION("""COMPUTED_VALUE"""),"QUEVEDO BASTIDAS NEYKEL DAVID")</f>
        <v/>
      </c>
      <c r="H460" s="76">
        <f>IFERROR(__xludf.DUMMYFUNCTION("""COMPUTED_VALUE"""),549.3716)</f>
        <v/>
      </c>
      <c r="I460" s="75" t="n"/>
      <c r="J460" s="77">
        <f>IFERROR(__xludf.DUMMYFUNCTION("""COMPUTED_VALUE"""),191.4256215647114)</f>
        <v/>
      </c>
      <c r="K460" s="4">
        <f>IFERROR(__xludf.DUMMYFUNCTION("""COMPUTED_VALUE"""),0.0)</f>
        <v/>
      </c>
      <c r="L460" s="77">
        <f>IFERROR(__xludf.DUMMYFUNCTION("""COMPUTED_VALUE"""),191.4256215647114)</f>
        <v/>
      </c>
      <c r="O460" s="72" t="n"/>
      <c r="S460" s="4" t="n"/>
    </row>
    <row r="461">
      <c r="A461" s="74">
        <f>IFERROR(__xludf.DUMMYFUNCTION("""COMPUTED_VALUE"""),46171.0)</f>
        <v/>
      </c>
      <c r="B461" s="72">
        <f>IFERROR(__xludf.DUMMYFUNCTION("""COMPUTED_VALUE"""),410.0)</f>
        <v/>
      </c>
      <c r="C461" s="75">
        <f>IFERROR(__xludf.DUMMYFUNCTION("""COMPUTED_VALUE"""),223133.0)</f>
        <v/>
      </c>
      <c r="D461" s="75">
        <f>IFERROR(__xludf.DUMMYFUNCTION("""COMPUTED_VALUE"""),"VES")</f>
        <v/>
      </c>
      <c r="E461" s="75">
        <f>IFERROR(__xludf.DUMMYFUNCTION("""COMPUTED_VALUE"""),"Bancamiga")</f>
        <v/>
      </c>
      <c r="F461" s="75">
        <f>IFERROR(__xludf.DUMMYFUNCTION("""COMPUTED_VALUE"""),"Multiservicios gochi express 2024, c.a")</f>
        <v/>
      </c>
      <c r="G461" s="76">
        <f>IFERROR(__xludf.DUMMYFUNCTION("""COMPUTED_VALUE"""),"BETANCOURT ROBRIGUEZ LUIS ENRRIQUE")</f>
        <v/>
      </c>
      <c r="H461" s="76">
        <f>IFERROR(__xludf.DUMMYFUNCTION("""COMPUTED_VALUE"""),549.3716)</f>
        <v/>
      </c>
      <c r="I461" s="75">
        <f>IFERROR(__xludf.DUMMYFUNCTION("""COMPUTED_VALUE"""),738.4)</f>
        <v/>
      </c>
      <c r="J461" s="77">
        <f>IFERROR(__xludf.DUMMYFUNCTION("""COMPUTED_VALUE"""),406.16042037848337)</f>
        <v/>
      </c>
      <c r="K461" s="4">
        <f>IFERROR(__xludf.DUMMYFUNCTION("""COMPUTED_VALUE"""),302.1844528710726)</f>
        <v/>
      </c>
      <c r="L461" s="77">
        <f>IFERROR(__xludf.DUMMYFUNCTION("""COMPUTED_VALUE"""),406.16042037848337)</f>
        <v/>
      </c>
      <c r="O461" s="72" t="n"/>
      <c r="S461" s="4" t="n"/>
    </row>
    <row r="462">
      <c r="A462" s="74">
        <f>IFERROR(__xludf.DUMMYFUNCTION("""COMPUTED_VALUE"""),46170.0)</f>
        <v/>
      </c>
      <c r="B462" s="72">
        <f>IFERROR(__xludf.DUMMYFUNCTION("""COMPUTED_VALUE"""),379.0)</f>
        <v/>
      </c>
      <c r="C462" s="75">
        <f>IFERROR(__xludf.DUMMYFUNCTION("""COMPUTED_VALUE"""),42246.55)</f>
        <v/>
      </c>
      <c r="D462" s="75">
        <f>IFERROR(__xludf.DUMMYFUNCTION("""COMPUTED_VALUE"""),"VES")</f>
        <v/>
      </c>
      <c r="E462" s="75">
        <f>IFERROR(__xludf.DUMMYFUNCTION("""COMPUTED_VALUE"""),"Venezuela")</f>
        <v/>
      </c>
      <c r="F462" s="75">
        <f>IFERROR(__xludf.DUMMYFUNCTION("""COMPUTED_VALUE"""),"DISTRIBUIDORA PINOS 181297 C.A")</f>
        <v/>
      </c>
      <c r="G462" s="76">
        <f>IFERROR(__xludf.DUMMYFUNCTION("""COMPUTED_VALUE"""),"QUEVEDO BASTIDAS NEYKEL DAVID")</f>
        <v/>
      </c>
      <c r="H462" s="76">
        <f>IFERROR(__xludf.DUMMYFUNCTION("""COMPUTED_VALUE"""),544.5794)</f>
        <v/>
      </c>
      <c r="I462" s="75" t="n"/>
      <c r="J462" s="77">
        <f>IFERROR(__xludf.DUMMYFUNCTION("""COMPUTED_VALUE"""),77.57647461508827)</f>
        <v/>
      </c>
      <c r="K462" s="4">
        <f>IFERROR(__xludf.DUMMYFUNCTION("""COMPUTED_VALUE"""),0.0)</f>
        <v/>
      </c>
      <c r="L462" s="77">
        <f>IFERROR(__xludf.DUMMYFUNCTION("""COMPUTED_VALUE"""),77.57647461508827)</f>
        <v/>
      </c>
      <c r="O462" s="72" t="n"/>
      <c r="S462" s="4" t="n"/>
    </row>
    <row r="463">
      <c r="A463" s="74">
        <f>IFERROR(__xludf.DUMMYFUNCTION("""COMPUTED_VALUE"""),46174.0)</f>
        <v/>
      </c>
      <c r="B463" s="72">
        <f>IFERROR(__xludf.DUMMYFUNCTION("""COMPUTED_VALUE"""),93.0)</f>
        <v/>
      </c>
      <c r="C463" s="75">
        <f>IFERROR(__xludf.DUMMYFUNCTION("""COMPUTED_VALUE"""),60.0)</f>
        <v/>
      </c>
      <c r="D463" s="75">
        <f>IFERROR(__xludf.DUMMYFUNCTION("""COMPUTED_VALUE"""),"USD")</f>
        <v/>
      </c>
      <c r="E463" s="75">
        <f>IFERROR(__xludf.DUMMYFUNCTION("""COMPUTED_VALUE"""),"Efectivo USD")</f>
        <v/>
      </c>
      <c r="F463" s="75">
        <f>IFERROR(__xludf.DUMMYFUNCTION("""COMPUTED_VALUE"""),"Emprendimiento YSKRA")</f>
        <v/>
      </c>
      <c r="G463" s="76">
        <f>IFERROR(__xludf.DUMMYFUNCTION("""COMPUTED_VALUE"""),"PEREZ DIAZ ANGEL DE DIOS")</f>
        <v/>
      </c>
      <c r="H463" s="76">
        <f>IFERROR(__xludf.DUMMYFUNCTION("""COMPUTED_VALUE"""),554.4258)</f>
        <v/>
      </c>
      <c r="I463" s="75" t="n"/>
      <c r="J463" s="77">
        <f>IFERROR(__xludf.DUMMYFUNCTION("""COMPUTED_VALUE"""),60.0)</f>
        <v/>
      </c>
      <c r="K463" s="4">
        <f>IFERROR(__xludf.DUMMYFUNCTION("""COMPUTED_VALUE"""),60.0)</f>
        <v/>
      </c>
      <c r="L463" s="77">
        <f>IFERROR(__xludf.DUMMYFUNCTION("""COMPUTED_VALUE"""),60.0)</f>
        <v/>
      </c>
      <c r="O463" s="72" t="n"/>
      <c r="S463" s="4" t="n"/>
    </row>
    <row r="464">
      <c r="A464" s="74">
        <f>IFERROR(__xludf.DUMMYFUNCTION("""COMPUTED_VALUE"""),46154.0)</f>
        <v/>
      </c>
      <c r="B464" s="72">
        <f>IFERROR(__xludf.DUMMYFUNCTION("""COMPUTED_VALUE"""),246.0)</f>
        <v/>
      </c>
      <c r="C464" s="75">
        <f>IFERROR(__xludf.DUMMYFUNCTION("""COMPUTED_VALUE"""),3853.0)</f>
        <v/>
      </c>
      <c r="D464" s="75">
        <f>IFERROR(__xludf.DUMMYFUNCTION("""COMPUTED_VALUE"""),"USD")</f>
        <v/>
      </c>
      <c r="E464" s="75">
        <f>IFERROR(__xludf.DUMMYFUNCTION("""COMPUTED_VALUE"""),"Binance")</f>
        <v/>
      </c>
      <c r="F464" s="75">
        <f>IFERROR(__xludf.DUMMYFUNCTION("""COMPUTED_VALUE"""),"Luis Zambrano")</f>
        <v/>
      </c>
      <c r="G464" s="76">
        <f>IFERROR(__xludf.DUMMYFUNCTION("""COMPUTED_VALUE"""),"Raúl David")</f>
        <v/>
      </c>
      <c r="H464" s="76">
        <f>IFERROR(__xludf.DUMMYFUNCTION("""COMPUTED_VALUE"""),504.9146)</f>
        <v/>
      </c>
      <c r="I464" s="75" t="n"/>
      <c r="J464" s="77">
        <f>IFERROR(__xludf.DUMMYFUNCTION("""COMPUTED_VALUE"""),3853.0)</f>
        <v/>
      </c>
      <c r="K464" s="4">
        <f>IFERROR(__xludf.DUMMYFUNCTION("""COMPUTED_VALUE"""),3853.0)</f>
        <v/>
      </c>
      <c r="L464" s="77">
        <f>IFERROR(__xludf.DUMMYFUNCTION("""COMPUTED_VALUE"""),3853.0)</f>
        <v/>
      </c>
      <c r="O464" s="72" t="n"/>
      <c r="S464" s="4" t="n"/>
    </row>
    <row r="465">
      <c r="A465" s="74">
        <f>IFERROR(__xludf.DUMMYFUNCTION("""COMPUTED_VALUE"""),46174.0)</f>
        <v/>
      </c>
      <c r="B465" s="72">
        <f>IFERROR(__xludf.DUMMYFUNCTION("""COMPUTED_VALUE"""),20.0)</f>
        <v/>
      </c>
      <c r="C465" s="75">
        <f>IFERROR(__xludf.DUMMYFUNCTION("""COMPUTED_VALUE"""),12803.0)</f>
        <v/>
      </c>
      <c r="D465" s="75">
        <f>IFERROR(__xludf.DUMMYFUNCTION("""COMPUTED_VALUE"""),"VES")</f>
        <v/>
      </c>
      <c r="E465" s="75">
        <f>IFERROR(__xludf.DUMMYFUNCTION("""COMPUTED_VALUE"""),"Bancamiga")</f>
        <v/>
      </c>
      <c r="F465" s="75">
        <f>IFERROR(__xludf.DUMMYFUNCTION("""COMPUTED_VALUE"""),"EMPRENDIMIENTO TOMAS MARCANO 5")</f>
        <v/>
      </c>
      <c r="G465" s="76">
        <f>IFERROR(__xludf.DUMMYFUNCTION("""COMPUTED_VALUE"""),"VILLABONA CORREA ALBA ESTEFANIA")</f>
        <v/>
      </c>
      <c r="H465" s="76">
        <f>IFERROR(__xludf.DUMMYFUNCTION("""COMPUTED_VALUE"""),554.4258)</f>
        <v/>
      </c>
      <c r="I465" s="75" t="n"/>
      <c r="J465" s="77">
        <f>IFERROR(__xludf.DUMMYFUNCTION("""COMPUTED_VALUE"""),23.092359698989476)</f>
        <v/>
      </c>
      <c r="K465" s="4">
        <f>IFERROR(__xludf.DUMMYFUNCTION("""COMPUTED_VALUE"""),0.0)</f>
        <v/>
      </c>
      <c r="L465" s="77">
        <f>IFERROR(__xludf.DUMMYFUNCTION("""COMPUTED_VALUE"""),23.092359698989476)</f>
        <v/>
      </c>
      <c r="O465" s="72" t="n"/>
      <c r="S465" s="4" t="n"/>
    </row>
    <row r="466">
      <c r="A466" s="74">
        <f>IFERROR(__xludf.DUMMYFUNCTION("""COMPUTED_VALUE"""),46174.0)</f>
        <v/>
      </c>
      <c r="B466" s="72">
        <f>IFERROR(__xludf.DUMMYFUNCTION("""COMPUTED_VALUE"""),53.0)</f>
        <v/>
      </c>
      <c r="C466" s="75">
        <f>IFERROR(__xludf.DUMMYFUNCTION("""COMPUTED_VALUE"""),64567.87)</f>
        <v/>
      </c>
      <c r="D466" s="75">
        <f>IFERROR(__xludf.DUMMYFUNCTION("""COMPUTED_VALUE"""),"VES")</f>
        <v/>
      </c>
      <c r="E466" s="75">
        <f>IFERROR(__xludf.DUMMYFUNCTION("""COMPUTED_VALUE"""),"Bancamiga")</f>
        <v/>
      </c>
      <c r="F466" s="75">
        <f>IFERROR(__xludf.DUMMYFUNCTION("""COMPUTED_VALUE"""),"INVERSIONES MI  'LINDA YEMAIRE 2019, C.A")</f>
        <v/>
      </c>
      <c r="G466" s="76">
        <f>IFERROR(__xludf.DUMMYFUNCTION("""COMPUTED_VALUE"""),"VILLABONA CORREA ALBA ESTEFANIA")</f>
        <v/>
      </c>
      <c r="H466" s="76">
        <f>IFERROR(__xludf.DUMMYFUNCTION("""COMPUTED_VALUE"""),554.4258)</f>
        <v/>
      </c>
      <c r="I466" s="75" t="n"/>
      <c r="J466" s="77">
        <f>IFERROR(__xludf.DUMMYFUNCTION("""COMPUTED_VALUE"""),116.45899234848018)</f>
        <v/>
      </c>
      <c r="K466" s="4">
        <f>IFERROR(__xludf.DUMMYFUNCTION("""COMPUTED_VALUE"""),0.0)</f>
        <v/>
      </c>
      <c r="L466" s="77">
        <f>IFERROR(__xludf.DUMMYFUNCTION("""COMPUTED_VALUE"""),116.45899234848018)</f>
        <v/>
      </c>
      <c r="O466" s="72" t="n"/>
      <c r="S466" s="4" t="n"/>
    </row>
    <row r="467">
      <c r="A467" s="74">
        <f>IFERROR(__xludf.DUMMYFUNCTION("""COMPUTED_VALUE"""),46170.0)</f>
        <v/>
      </c>
      <c r="B467" s="72">
        <f>IFERROR(__xludf.DUMMYFUNCTION("""COMPUTED_VALUE"""),212.0)</f>
        <v/>
      </c>
      <c r="C467" s="75">
        <f>IFERROR(__xludf.DUMMYFUNCTION("""COMPUTED_VALUE"""),27228.5)</f>
        <v/>
      </c>
      <c r="D467" s="75">
        <f>IFERROR(__xludf.DUMMYFUNCTION("""COMPUTED_VALUE"""),"VES")</f>
        <v/>
      </c>
      <c r="E467" s="75">
        <f>IFERROR(__xludf.DUMMYFUNCTION("""COMPUTED_VALUE"""),"Bancamiga")</f>
        <v/>
      </c>
      <c r="F467" s="75">
        <f>IFERROR(__xludf.DUMMYFUNCTION("""COMPUTED_VALUE"""),"Inversiones DSM 2706, c.a.")</f>
        <v/>
      </c>
      <c r="G467" s="76">
        <f>IFERROR(__xludf.DUMMYFUNCTION("""COMPUTED_VALUE"""),"VILLABONA CORREA ALBA ESTEFANIA")</f>
        <v/>
      </c>
      <c r="H467" s="76">
        <f>IFERROR(__xludf.DUMMYFUNCTION("""COMPUTED_VALUE"""),544.5794)</f>
        <v/>
      </c>
      <c r="I467" s="75" t="n"/>
      <c r="J467" s="77">
        <f>IFERROR(__xludf.DUMMYFUNCTION("""COMPUTED_VALUE"""),49.999136948624944)</f>
        <v/>
      </c>
      <c r="K467" s="4">
        <f>IFERROR(__xludf.DUMMYFUNCTION("""COMPUTED_VALUE"""),0.0)</f>
        <v/>
      </c>
      <c r="L467" s="77">
        <f>IFERROR(__xludf.DUMMYFUNCTION("""COMPUTED_VALUE"""),49.999136948624944)</f>
        <v/>
      </c>
      <c r="O467" s="72" t="n"/>
      <c r="S467" s="4" t="n"/>
    </row>
    <row r="468">
      <c r="A468" s="74">
        <f>IFERROR(__xludf.DUMMYFUNCTION("""COMPUTED_VALUE"""),46174.0)</f>
        <v/>
      </c>
      <c r="B468" s="72">
        <f>IFERROR(__xludf.DUMMYFUNCTION("""COMPUTED_VALUE"""),346.0)</f>
        <v/>
      </c>
      <c r="C468" s="75">
        <f>IFERROR(__xludf.DUMMYFUNCTION("""COMPUTED_VALUE"""),140.0)</f>
        <v/>
      </c>
      <c r="D468" s="75">
        <f>IFERROR(__xludf.DUMMYFUNCTION("""COMPUTED_VALUE"""),"USD")</f>
        <v/>
      </c>
      <c r="E468" s="75">
        <f>IFERROR(__xludf.DUMMYFUNCTION("""COMPUTED_VALUE"""),"Efectivo USD")</f>
        <v/>
      </c>
      <c r="F468" s="75">
        <f>IFERROR(__xludf.DUMMYFUNCTION("""COMPUTED_VALUE"""),"AUTOPERIQUITO EL PEQUEÑO CHAMOY, C.A.")</f>
        <v/>
      </c>
      <c r="G468" s="76">
        <f>IFERROR(__xludf.DUMMYFUNCTION("""COMPUTED_VALUE"""),"VILLABONA CORREA ALBA ESTEFANIA")</f>
        <v/>
      </c>
      <c r="H468" s="76">
        <f>IFERROR(__xludf.DUMMYFUNCTION("""COMPUTED_VALUE"""),554.4258)</f>
        <v/>
      </c>
      <c r="I468" s="75" t="n"/>
      <c r="J468" s="77">
        <f>IFERROR(__xludf.DUMMYFUNCTION("""COMPUTED_VALUE"""),140.0)</f>
        <v/>
      </c>
      <c r="K468" s="4">
        <f>IFERROR(__xludf.DUMMYFUNCTION("""COMPUTED_VALUE"""),140.0)</f>
        <v/>
      </c>
      <c r="L468" s="77">
        <f>IFERROR(__xludf.DUMMYFUNCTION("""COMPUTED_VALUE"""),140.0)</f>
        <v/>
      </c>
      <c r="O468" s="72" t="n"/>
      <c r="S468" s="4" t="n"/>
    </row>
    <row r="469">
      <c r="A469" s="74">
        <f>IFERROR(__xludf.DUMMYFUNCTION("""COMPUTED_VALUE"""),46174.0)</f>
        <v/>
      </c>
      <c r="B469" s="72">
        <f>IFERROR(__xludf.DUMMYFUNCTION("""COMPUTED_VALUE"""),466.0)</f>
        <v/>
      </c>
      <c r="C469" s="75">
        <f>IFERROR(__xludf.DUMMYFUNCTION("""COMPUTED_VALUE"""),30.0)</f>
        <v/>
      </c>
      <c r="D469" s="75">
        <f>IFERROR(__xludf.DUMMYFUNCTION("""COMPUTED_VALUE"""),"USD")</f>
        <v/>
      </c>
      <c r="E469" s="75">
        <f>IFERROR(__xludf.DUMMYFUNCTION("""COMPUTED_VALUE"""),"Efectivo USD")</f>
        <v/>
      </c>
      <c r="F469" s="75">
        <f>IFERROR(__xludf.DUMMYFUNCTION("""COMPUTED_VALUE"""),"Edgar salas")</f>
        <v/>
      </c>
      <c r="G469" s="76">
        <f>IFERROR(__xludf.DUMMYFUNCTION("""COMPUTED_VALUE"""),"Vendedor")</f>
        <v/>
      </c>
      <c r="H469" s="76">
        <f>IFERROR(__xludf.DUMMYFUNCTION("""COMPUTED_VALUE"""),554.4258)</f>
        <v/>
      </c>
      <c r="I469" s="75" t="n"/>
      <c r="J469" s="77">
        <f>IFERROR(__xludf.DUMMYFUNCTION("""COMPUTED_VALUE"""),30.0)</f>
        <v/>
      </c>
      <c r="K469" s="4">
        <f>IFERROR(__xludf.DUMMYFUNCTION("""COMPUTED_VALUE"""),30.0)</f>
        <v/>
      </c>
      <c r="L469" s="77">
        <f>IFERROR(__xludf.DUMMYFUNCTION("""COMPUTED_VALUE"""),30.0)</f>
        <v/>
      </c>
      <c r="O469" s="72" t="n"/>
      <c r="S469" s="4" t="n"/>
    </row>
    <row r="470">
      <c r="A470" s="74">
        <f>IFERROR(__xludf.DUMMYFUNCTION("""COMPUTED_VALUE"""),46174.0)</f>
        <v/>
      </c>
      <c r="B470" s="72">
        <f>IFERROR(__xludf.DUMMYFUNCTION("""COMPUTED_VALUE"""),418.0)</f>
        <v/>
      </c>
      <c r="C470" s="75">
        <f>IFERROR(__xludf.DUMMYFUNCTION("""COMPUTED_VALUE"""),25.0)</f>
        <v/>
      </c>
      <c r="D470" s="75">
        <f>IFERROR(__xludf.DUMMYFUNCTION("""COMPUTED_VALUE"""),"USD")</f>
        <v/>
      </c>
      <c r="E470" s="75">
        <f>IFERROR(__xludf.DUMMYFUNCTION("""COMPUTED_VALUE"""),"Efectivo USD")</f>
        <v/>
      </c>
      <c r="F470" s="75">
        <f>IFERROR(__xludf.DUMMYFUNCTION("""COMPUTED_VALUE"""),"Edgar salas")</f>
        <v/>
      </c>
      <c r="G470" s="76">
        <f>IFERROR(__xludf.DUMMYFUNCTION("""COMPUTED_VALUE"""),"Vendedor")</f>
        <v/>
      </c>
      <c r="H470" s="76">
        <f>IFERROR(__xludf.DUMMYFUNCTION("""COMPUTED_VALUE"""),554.4258)</f>
        <v/>
      </c>
      <c r="I470" s="75" t="n"/>
      <c r="J470" s="77">
        <f>IFERROR(__xludf.DUMMYFUNCTION("""COMPUTED_VALUE"""),25.0)</f>
        <v/>
      </c>
      <c r="K470" s="4">
        <f>IFERROR(__xludf.DUMMYFUNCTION("""COMPUTED_VALUE"""),25.0)</f>
        <v/>
      </c>
      <c r="L470" s="77">
        <f>IFERROR(__xludf.DUMMYFUNCTION("""COMPUTED_VALUE"""),25.0)</f>
        <v/>
      </c>
      <c r="O470" s="72" t="n"/>
      <c r="S470" s="4" t="n"/>
    </row>
    <row r="471">
      <c r="A471" s="74">
        <f>IFERROR(__xludf.DUMMYFUNCTION("""COMPUTED_VALUE"""),46174.0)</f>
        <v/>
      </c>
      <c r="B471" s="72">
        <f>IFERROR(__xludf.DUMMYFUNCTION("""COMPUTED_VALUE"""),192.0)</f>
        <v/>
      </c>
      <c r="C471" s="75">
        <f>IFERROR(__xludf.DUMMYFUNCTION("""COMPUTED_VALUE"""),30.0)</f>
        <v/>
      </c>
      <c r="D471" s="75">
        <f>IFERROR(__xludf.DUMMYFUNCTION("""COMPUTED_VALUE"""),"USD")</f>
        <v/>
      </c>
      <c r="E471" s="75">
        <f>IFERROR(__xludf.DUMMYFUNCTION("""COMPUTED_VALUE"""),"Efectivo USD")</f>
        <v/>
      </c>
      <c r="F471" s="75">
        <f>IFERROR(__xludf.DUMMYFUNCTION("""COMPUTED_VALUE"""),"Global Ferre 888 C.A")</f>
        <v/>
      </c>
      <c r="G471" s="76">
        <f>IFERROR(__xludf.DUMMYFUNCTION("""COMPUTED_VALUE"""),"GRIMAN DIAZ HECTOR EDUARDO")</f>
        <v/>
      </c>
      <c r="H471" s="76">
        <f>IFERROR(__xludf.DUMMYFUNCTION("""COMPUTED_VALUE"""),554.4258)</f>
        <v/>
      </c>
      <c r="I471" s="75" t="n"/>
      <c r="J471" s="77">
        <f>IFERROR(__xludf.DUMMYFUNCTION("""COMPUTED_VALUE"""),30.0)</f>
        <v/>
      </c>
      <c r="K471" s="4">
        <f>IFERROR(__xludf.DUMMYFUNCTION("""COMPUTED_VALUE"""),30.0)</f>
        <v/>
      </c>
      <c r="L471" s="77">
        <f>IFERROR(__xludf.DUMMYFUNCTION("""COMPUTED_VALUE"""),30.0)</f>
        <v/>
      </c>
      <c r="O471" s="72" t="n"/>
      <c r="S471" s="4" t="n"/>
    </row>
    <row r="472">
      <c r="A472" s="74">
        <f>IFERROR(__xludf.DUMMYFUNCTION("""COMPUTED_VALUE"""),46174.0)</f>
        <v/>
      </c>
      <c r="B472" s="72">
        <f>IFERROR(__xludf.DUMMYFUNCTION("""COMPUTED_VALUE"""),244.0)</f>
        <v/>
      </c>
      <c r="C472" s="75">
        <f>IFERROR(__xludf.DUMMYFUNCTION("""COMPUTED_VALUE"""),100.0)</f>
        <v/>
      </c>
      <c r="D472" s="75">
        <f>IFERROR(__xludf.DUMMYFUNCTION("""COMPUTED_VALUE"""),"USD")</f>
        <v/>
      </c>
      <c r="E472" s="75">
        <f>IFERROR(__xludf.DUMMYFUNCTION("""COMPUTED_VALUE"""),"Efectivo USD")</f>
        <v/>
      </c>
      <c r="F472" s="75">
        <f>IFERROR(__xludf.DUMMYFUNCTION("""COMPUTED_VALUE"""),"Lubricantes BK C.A")</f>
        <v/>
      </c>
      <c r="G472" s="76">
        <f>IFERROR(__xludf.DUMMYFUNCTION("""COMPUTED_VALUE"""),"GRIMAN DIAZ HECTOR EDUARDO")</f>
        <v/>
      </c>
      <c r="H472" s="76">
        <f>IFERROR(__xludf.DUMMYFUNCTION("""COMPUTED_VALUE"""),554.4258)</f>
        <v/>
      </c>
      <c r="I472" s="75" t="n"/>
      <c r="J472" s="77">
        <f>IFERROR(__xludf.DUMMYFUNCTION("""COMPUTED_VALUE"""),100.0)</f>
        <v/>
      </c>
      <c r="K472" s="4">
        <f>IFERROR(__xludf.DUMMYFUNCTION("""COMPUTED_VALUE"""),100.0)</f>
        <v/>
      </c>
      <c r="L472" s="77">
        <f>IFERROR(__xludf.DUMMYFUNCTION("""COMPUTED_VALUE"""),100.0)</f>
        <v/>
      </c>
      <c r="O472" s="72" t="n"/>
      <c r="S472" s="4" t="n"/>
    </row>
    <row r="473">
      <c r="A473" s="74">
        <f>IFERROR(__xludf.DUMMYFUNCTION("""COMPUTED_VALUE"""),46174.0)</f>
        <v/>
      </c>
      <c r="B473" s="72">
        <f>IFERROR(__xludf.DUMMYFUNCTION("""COMPUTED_VALUE"""),61.0)</f>
        <v/>
      </c>
      <c r="C473" s="75">
        <f>IFERROR(__xludf.DUMMYFUNCTION("""COMPUTED_VALUE"""),330.0)</f>
        <v/>
      </c>
      <c r="D473" s="75">
        <f>IFERROR(__xludf.DUMMYFUNCTION("""COMPUTED_VALUE"""),"USD")</f>
        <v/>
      </c>
      <c r="E473" s="75">
        <f>IFERROR(__xludf.DUMMYFUNCTION("""COMPUTED_VALUE"""),"Efectivo USD")</f>
        <v/>
      </c>
      <c r="F473" s="75">
        <f>IFERROR(__xludf.DUMMYFUNCTION("""COMPUTED_VALUE"""),"SJMG 2012 C.A")</f>
        <v/>
      </c>
      <c r="G473" s="76">
        <f>IFERROR(__xludf.DUMMYFUNCTION("""COMPUTED_VALUE"""),"GRIMAN DIAZ HECTOR EDUARDO")</f>
        <v/>
      </c>
      <c r="H473" s="76">
        <f>IFERROR(__xludf.DUMMYFUNCTION("""COMPUTED_VALUE"""),554.4258)</f>
        <v/>
      </c>
      <c r="I473" s="75" t="n"/>
      <c r="J473" s="77">
        <f>IFERROR(__xludf.DUMMYFUNCTION("""COMPUTED_VALUE"""),330.0)</f>
        <v/>
      </c>
      <c r="K473" s="4">
        <f>IFERROR(__xludf.DUMMYFUNCTION("""COMPUTED_VALUE"""),330.0)</f>
        <v/>
      </c>
      <c r="L473" s="77">
        <f>IFERROR(__xludf.DUMMYFUNCTION("""COMPUTED_VALUE"""),330.0)</f>
        <v/>
      </c>
      <c r="O473" s="72" t="n"/>
      <c r="S473" s="4" t="n"/>
    </row>
    <row r="474">
      <c r="A474" s="74">
        <f>IFERROR(__xludf.DUMMYFUNCTION("""COMPUTED_VALUE"""),46174.0)</f>
        <v/>
      </c>
      <c r="B474" s="72">
        <f>IFERROR(__xludf.DUMMYFUNCTION("""COMPUTED_VALUE"""),233.0)</f>
        <v/>
      </c>
      <c r="C474" s="75">
        <f>IFERROR(__xludf.DUMMYFUNCTION("""COMPUTED_VALUE"""),27721.0)</f>
        <v/>
      </c>
      <c r="D474" s="75">
        <f>IFERROR(__xludf.DUMMYFUNCTION("""COMPUTED_VALUE"""),"VES")</f>
        <v/>
      </c>
      <c r="E474" s="75">
        <f>IFERROR(__xludf.DUMMYFUNCTION("""COMPUTED_VALUE"""),"Bancamiga")</f>
        <v/>
      </c>
      <c r="F474" s="75">
        <f>IFERROR(__xludf.DUMMYFUNCTION("""COMPUTED_VALUE"""),"Auto Partes Y Repuestos Encava Express,c.a.")</f>
        <v/>
      </c>
      <c r="G474" s="76">
        <f>IFERROR(__xludf.DUMMYFUNCTION("""COMPUTED_VALUE"""),"QUEVEDO BASTIDAS NEYKEL DAVID")</f>
        <v/>
      </c>
      <c r="H474" s="76">
        <f>IFERROR(__xludf.DUMMYFUNCTION("""COMPUTED_VALUE"""),554.4258)</f>
        <v/>
      </c>
      <c r="I474" s="75" t="n"/>
      <c r="J474" s="77">
        <f>IFERROR(__xludf.DUMMYFUNCTION("""COMPUTED_VALUE"""),49.99947693631862)</f>
        <v/>
      </c>
      <c r="K474" s="4">
        <f>IFERROR(__xludf.DUMMYFUNCTION("""COMPUTED_VALUE"""),0.0)</f>
        <v/>
      </c>
      <c r="L474" s="77">
        <f>IFERROR(__xludf.DUMMYFUNCTION("""COMPUTED_VALUE"""),49.99947693631862)</f>
        <v/>
      </c>
      <c r="O474" s="72" t="n"/>
      <c r="S474" s="4" t="n"/>
    </row>
    <row r="475">
      <c r="A475" s="74">
        <f>IFERROR(__xludf.DUMMYFUNCTION("""COMPUTED_VALUE"""),46174.0)</f>
        <v/>
      </c>
      <c r="B475" s="72">
        <f>IFERROR(__xludf.DUMMYFUNCTION("""COMPUTED_VALUE"""),348.0)</f>
        <v/>
      </c>
      <c r="C475" s="75">
        <f>IFERROR(__xludf.DUMMYFUNCTION("""COMPUTED_VALUE"""),151.12)</f>
        <v/>
      </c>
      <c r="D475" s="75">
        <f>IFERROR(__xludf.DUMMYFUNCTION("""COMPUTED_VALUE"""),"VES")</f>
        <v/>
      </c>
      <c r="E475" s="75">
        <f>IFERROR(__xludf.DUMMYFUNCTION("""COMPUTED_VALUE"""),"Bancamiga")</f>
        <v/>
      </c>
      <c r="F475" s="75">
        <f>IFERROR(__xludf.DUMMYFUNCTION("""COMPUTED_VALUE"""),"Comercial Rio Paraguas C.A")</f>
        <v/>
      </c>
      <c r="G475" s="76">
        <f>IFERROR(__xludf.DUMMYFUNCTION("""COMPUTED_VALUE"""),"QUEVEDO BASTIDAS NEYKEL DAVID")</f>
        <v/>
      </c>
      <c r="H475" s="76">
        <f>IFERROR(__xludf.DUMMYFUNCTION("""COMPUTED_VALUE"""),554.4258)</f>
        <v/>
      </c>
      <c r="I475" s="75" t="n"/>
      <c r="J475" s="77">
        <f>IFERROR(__xludf.DUMMYFUNCTION("""COMPUTED_VALUE"""),0.2725702880349363)</f>
        <v/>
      </c>
      <c r="K475" s="4">
        <f>IFERROR(__xludf.DUMMYFUNCTION("""COMPUTED_VALUE"""),0.0)</f>
        <v/>
      </c>
      <c r="L475" s="77">
        <f>IFERROR(__xludf.DUMMYFUNCTION("""COMPUTED_VALUE"""),0.2725702880349363)</f>
        <v/>
      </c>
      <c r="O475" s="72" t="n"/>
      <c r="S475" s="4" t="n"/>
    </row>
    <row r="476">
      <c r="A476" s="74">
        <f>IFERROR(__xludf.DUMMYFUNCTION("""COMPUTED_VALUE"""),46174.0)</f>
        <v/>
      </c>
      <c r="B476" s="72">
        <f>IFERROR(__xludf.DUMMYFUNCTION("""COMPUTED_VALUE"""),178.0)</f>
        <v/>
      </c>
      <c r="C476" s="75">
        <f>IFERROR(__xludf.DUMMYFUNCTION("""COMPUTED_VALUE"""),60.0)</f>
        <v/>
      </c>
      <c r="D476" s="75">
        <f>IFERROR(__xludf.DUMMYFUNCTION("""COMPUTED_VALUE"""),"USD")</f>
        <v/>
      </c>
      <c r="E476" s="75">
        <f>IFERROR(__xludf.DUMMYFUNCTION("""COMPUTED_VALUE"""),"Efectivo USD")</f>
        <v/>
      </c>
      <c r="F476" s="75">
        <f>IFERROR(__xludf.DUMMYFUNCTION("""COMPUTED_VALUE"""),"Distribuidora Nesmari 2050 c.a")</f>
        <v/>
      </c>
      <c r="G476" s="76">
        <f>IFERROR(__xludf.DUMMYFUNCTION("""COMPUTED_VALUE"""),"BETANCOURT ROBRIGUEZ LUIS ENRRIQUE")</f>
        <v/>
      </c>
      <c r="H476" s="76">
        <f>IFERROR(__xludf.DUMMYFUNCTION("""COMPUTED_VALUE"""),554.4258)</f>
        <v/>
      </c>
      <c r="I476" s="75" t="n"/>
      <c r="J476" s="77">
        <f>IFERROR(__xludf.DUMMYFUNCTION("""COMPUTED_VALUE"""),60.0)</f>
        <v/>
      </c>
      <c r="K476" s="4">
        <f>IFERROR(__xludf.DUMMYFUNCTION("""COMPUTED_VALUE"""),60.0)</f>
        <v/>
      </c>
      <c r="L476" s="77">
        <f>IFERROR(__xludf.DUMMYFUNCTION("""COMPUTED_VALUE"""),60.0)</f>
        <v/>
      </c>
      <c r="O476" s="72" t="n"/>
      <c r="S476" s="4" t="n"/>
    </row>
    <row r="477">
      <c r="A477" s="74">
        <f>IFERROR(__xludf.DUMMYFUNCTION("""COMPUTED_VALUE"""),46174.0)</f>
        <v/>
      </c>
      <c r="B477" s="72">
        <f>IFERROR(__xludf.DUMMYFUNCTION("""COMPUTED_VALUE"""),257.0)</f>
        <v/>
      </c>
      <c r="C477" s="75">
        <f>IFERROR(__xludf.DUMMYFUNCTION("""COMPUTED_VALUE"""),105.0)</f>
        <v/>
      </c>
      <c r="D477" s="75">
        <f>IFERROR(__xludf.DUMMYFUNCTION("""COMPUTED_VALUE"""),"USD")</f>
        <v/>
      </c>
      <c r="E477" s="75">
        <f>IFERROR(__xludf.DUMMYFUNCTION("""COMPUTED_VALUE"""),"Efectivo USD")</f>
        <v/>
      </c>
      <c r="F477" s="75">
        <f>IFERROR(__xludf.DUMMYFUNCTION("""COMPUTED_VALUE"""),"AUTOREPUESTOS SION C.A.")</f>
        <v/>
      </c>
      <c r="G477" s="76">
        <f>IFERROR(__xludf.DUMMYFUNCTION("""COMPUTED_VALUE"""),"MARTINEZ MONTES JEFFREY ENRIQUE")</f>
        <v/>
      </c>
      <c r="H477" s="76">
        <f>IFERROR(__xludf.DUMMYFUNCTION("""COMPUTED_VALUE"""),554.4258)</f>
        <v/>
      </c>
      <c r="I477" s="75" t="n"/>
      <c r="J477" s="77">
        <f>IFERROR(__xludf.DUMMYFUNCTION("""COMPUTED_VALUE"""),105.0)</f>
        <v/>
      </c>
      <c r="K477" s="4">
        <f>IFERROR(__xludf.DUMMYFUNCTION("""COMPUTED_VALUE"""),105.0)</f>
        <v/>
      </c>
      <c r="L477" s="77">
        <f>IFERROR(__xludf.DUMMYFUNCTION("""COMPUTED_VALUE"""),105.0)</f>
        <v/>
      </c>
      <c r="O477" s="72" t="n"/>
      <c r="S477" s="4" t="n"/>
    </row>
    <row r="478">
      <c r="A478" s="74">
        <f>IFERROR(__xludf.DUMMYFUNCTION("""COMPUTED_VALUE"""),46174.0)</f>
        <v/>
      </c>
      <c r="B478" s="72">
        <f>IFERROR(__xludf.DUMMYFUNCTION("""COMPUTED_VALUE"""),380.0)</f>
        <v/>
      </c>
      <c r="C478" s="75">
        <f>IFERROR(__xludf.DUMMYFUNCTION("""COMPUTED_VALUE"""),50.0)</f>
        <v/>
      </c>
      <c r="D478" s="75">
        <f>IFERROR(__xludf.DUMMYFUNCTION("""COMPUTED_VALUE"""),"USD")</f>
        <v/>
      </c>
      <c r="E478" s="75">
        <f>IFERROR(__xludf.DUMMYFUNCTION("""COMPUTED_VALUE"""),"Efectivo USD")</f>
        <v/>
      </c>
      <c r="F478" s="75">
        <f>IFERROR(__xludf.DUMMYFUNCTION("""COMPUTED_VALUE"""),"Junior Marco Antonio Vivas Navas")</f>
        <v/>
      </c>
      <c r="G478" s="76">
        <f>IFERROR(__xludf.DUMMYFUNCTION("""COMPUTED_VALUE"""),"MARTINEZ MONTES JEFFREY ENRIQUE")</f>
        <v/>
      </c>
      <c r="H478" s="76">
        <f>IFERROR(__xludf.DUMMYFUNCTION("""COMPUTED_VALUE"""),554.4258)</f>
        <v/>
      </c>
      <c r="I478" s="75" t="n"/>
      <c r="J478" s="77">
        <f>IFERROR(__xludf.DUMMYFUNCTION("""COMPUTED_VALUE"""),50.0)</f>
        <v/>
      </c>
      <c r="K478" s="4">
        <f>IFERROR(__xludf.DUMMYFUNCTION("""COMPUTED_VALUE"""),50.0)</f>
        <v/>
      </c>
      <c r="L478" s="77">
        <f>IFERROR(__xludf.DUMMYFUNCTION("""COMPUTED_VALUE"""),50.0)</f>
        <v/>
      </c>
      <c r="O478" s="72" t="n"/>
      <c r="S478" s="4" t="n"/>
    </row>
    <row r="479">
      <c r="A479" s="74">
        <f>IFERROR(__xludf.DUMMYFUNCTION("""COMPUTED_VALUE"""),46174.0)</f>
        <v/>
      </c>
      <c r="B479" s="72">
        <f>IFERROR(__xludf.DUMMYFUNCTION("""COMPUTED_VALUE"""),286.0)</f>
        <v/>
      </c>
      <c r="C479" s="75">
        <f>IFERROR(__xludf.DUMMYFUNCTION("""COMPUTED_VALUE"""),30.0)</f>
        <v/>
      </c>
      <c r="D479" s="75">
        <f>IFERROR(__xludf.DUMMYFUNCTION("""COMPUTED_VALUE"""),"USD")</f>
        <v/>
      </c>
      <c r="E479" s="75">
        <f>IFERROR(__xludf.DUMMYFUNCTION("""COMPUTED_VALUE"""),"Efectivo USD")</f>
        <v/>
      </c>
      <c r="F479" s="75">
        <f>IFERROR(__xludf.DUMMYFUNCTION("""COMPUTED_VALUE"""),"Inversiones tydelmarojg")</f>
        <v/>
      </c>
      <c r="G479" s="76">
        <f>IFERROR(__xludf.DUMMYFUNCTION("""COMPUTED_VALUE"""),"MARTINEZ MONTES JEFFREY ENRIQUE")</f>
        <v/>
      </c>
      <c r="H479" s="76">
        <f>IFERROR(__xludf.DUMMYFUNCTION("""COMPUTED_VALUE"""),554.4258)</f>
        <v/>
      </c>
      <c r="I479" s="75" t="n"/>
      <c r="J479" s="77">
        <f>IFERROR(__xludf.DUMMYFUNCTION("""COMPUTED_VALUE"""),30.0)</f>
        <v/>
      </c>
      <c r="K479" s="4">
        <f>IFERROR(__xludf.DUMMYFUNCTION("""COMPUTED_VALUE"""),30.0)</f>
        <v/>
      </c>
      <c r="L479" s="77">
        <f>IFERROR(__xludf.DUMMYFUNCTION("""COMPUTED_VALUE"""),30.0)</f>
        <v/>
      </c>
      <c r="O479" s="72" t="n"/>
      <c r="S479" s="4" t="n"/>
    </row>
    <row r="480">
      <c r="A480" s="74">
        <f>IFERROR(__xludf.DUMMYFUNCTION("""COMPUTED_VALUE"""),46174.0)</f>
        <v/>
      </c>
      <c r="B480" s="72">
        <f>IFERROR(__xludf.DUMMYFUNCTION("""COMPUTED_VALUE"""),398.0)</f>
        <v/>
      </c>
      <c r="C480" s="75">
        <f>IFERROR(__xludf.DUMMYFUNCTION("""COMPUTED_VALUE"""),39376.0)</f>
        <v/>
      </c>
      <c r="D480" s="75">
        <f>IFERROR(__xludf.DUMMYFUNCTION("""COMPUTED_VALUE"""),"VES")</f>
        <v/>
      </c>
      <c r="E480" s="75">
        <f>IFERROR(__xludf.DUMMYFUNCTION("""COMPUTED_VALUE"""),"Venezuela")</f>
        <v/>
      </c>
      <c r="F480" s="75">
        <f>IFERROR(__xludf.DUMMYFUNCTION("""COMPUTED_VALUE"""),"Moto repuestos jj")</f>
        <v/>
      </c>
      <c r="G480" s="76">
        <f>IFERROR(__xludf.DUMMYFUNCTION("""COMPUTED_VALUE"""),"PEREZ DIAZ ANGEL DE DIOS")</f>
        <v/>
      </c>
      <c r="H480" s="76">
        <f>IFERROR(__xludf.DUMMYFUNCTION("""COMPUTED_VALUE"""),554.4258)</f>
        <v/>
      </c>
      <c r="I480" s="75" t="n"/>
      <c r="J480" s="77">
        <f>IFERROR(__xludf.DUMMYFUNCTION("""COMPUTED_VALUE"""),71.0212259241904)</f>
        <v/>
      </c>
      <c r="K480" s="4">
        <f>IFERROR(__xludf.DUMMYFUNCTION("""COMPUTED_VALUE"""),0.0)</f>
        <v/>
      </c>
      <c r="L480" s="77">
        <f>IFERROR(__xludf.DUMMYFUNCTION("""COMPUTED_VALUE"""),71.0212259241904)</f>
        <v/>
      </c>
      <c r="O480" s="72" t="n"/>
      <c r="S480" s="4" t="n"/>
    </row>
    <row r="481">
      <c r="A481" s="74">
        <f>IFERROR(__xludf.DUMMYFUNCTION("""COMPUTED_VALUE"""),46174.0)</f>
        <v/>
      </c>
      <c r="B481" s="72">
        <f>IFERROR(__xludf.DUMMYFUNCTION("""COMPUTED_VALUE"""),424.0)</f>
        <v/>
      </c>
      <c r="C481" s="75">
        <f>IFERROR(__xludf.DUMMYFUNCTION("""COMPUTED_VALUE"""),187425.0)</f>
        <v/>
      </c>
      <c r="D481" s="75">
        <f>IFERROR(__xludf.DUMMYFUNCTION("""COMPUTED_VALUE"""),"VES")</f>
        <v/>
      </c>
      <c r="E481" s="75">
        <f>IFERROR(__xludf.DUMMYFUNCTION("""COMPUTED_VALUE"""),"Bancamiga")</f>
        <v/>
      </c>
      <c r="F481" s="75">
        <f>IFERROR(__xludf.DUMMYFUNCTION("""COMPUTED_VALUE"""),"Antonio Terán")</f>
        <v/>
      </c>
      <c r="G481" s="76">
        <f>IFERROR(__xludf.DUMMYFUNCTION("""COMPUTED_VALUE"""),"PEREZ DIAZ ANGEL DE DIOS")</f>
        <v/>
      </c>
      <c r="H481" s="76">
        <f>IFERROR(__xludf.DUMMYFUNCTION("""COMPUTED_VALUE"""),554.4258)</f>
        <v/>
      </c>
      <c r="I481" s="75" t="n"/>
      <c r="J481" s="77">
        <f>IFERROR(__xludf.DUMMYFUNCTION("""COMPUTED_VALUE"""),338.0524499401002)</f>
        <v/>
      </c>
      <c r="K481" s="4">
        <f>IFERROR(__xludf.DUMMYFUNCTION("""COMPUTED_VALUE"""),0.0)</f>
        <v/>
      </c>
      <c r="L481" s="77">
        <f>IFERROR(__xludf.DUMMYFUNCTION("""COMPUTED_VALUE"""),338.0524499401002)</f>
        <v/>
      </c>
      <c r="O481" s="72" t="n"/>
      <c r="S481" s="4" t="n"/>
    </row>
    <row r="482">
      <c r="A482" s="74">
        <f>IFERROR(__xludf.DUMMYFUNCTION("""COMPUTED_VALUE"""),46175.0)</f>
        <v/>
      </c>
      <c r="B482" s="72">
        <f>IFERROR(__xludf.DUMMYFUNCTION("""COMPUTED_VALUE"""),26.0)</f>
        <v/>
      </c>
      <c r="C482" s="75">
        <f>IFERROR(__xludf.DUMMYFUNCTION("""COMPUTED_VALUE"""),30.0)</f>
        <v/>
      </c>
      <c r="D482" s="75">
        <f>IFERROR(__xludf.DUMMYFUNCTION("""COMPUTED_VALUE"""),"USD")</f>
        <v/>
      </c>
      <c r="E482" s="75">
        <f>IFERROR(__xludf.DUMMYFUNCTION("""COMPUTED_VALUE"""),"Efectivo USD")</f>
        <v/>
      </c>
      <c r="F482" s="75">
        <f>IFERROR(__xludf.DUMMYFUNCTION("""COMPUTED_VALUE"""),"Joel Duque")</f>
        <v/>
      </c>
      <c r="G482" s="76">
        <f>IFERROR(__xludf.DUMMYFUNCTION("""COMPUTED_VALUE"""),"CASERES GONZALEZ RONALD OSWALDO")</f>
        <v/>
      </c>
      <c r="H482" s="76">
        <f>IFERROR(__xludf.DUMMYFUNCTION("""COMPUTED_VALUE"""),557.9741)</f>
        <v/>
      </c>
      <c r="I482" s="75" t="n"/>
      <c r="J482" s="77">
        <f>IFERROR(__xludf.DUMMYFUNCTION("""COMPUTED_VALUE"""),30.0)</f>
        <v/>
      </c>
      <c r="K482" s="4">
        <f>IFERROR(__xludf.DUMMYFUNCTION("""COMPUTED_VALUE"""),30.0)</f>
        <v/>
      </c>
      <c r="L482" s="77">
        <f>IFERROR(__xludf.DUMMYFUNCTION("""COMPUTED_VALUE"""),30.0)</f>
        <v/>
      </c>
      <c r="O482" s="72" t="n"/>
      <c r="S482" s="4" t="n"/>
    </row>
    <row r="483">
      <c r="A483" s="74">
        <f>IFERROR(__xludf.DUMMYFUNCTION("""COMPUTED_VALUE"""),46164.0)</f>
        <v/>
      </c>
      <c r="B483" s="72">
        <f>IFERROR(__xludf.DUMMYFUNCTION("""COMPUTED_VALUE"""),435.0)</f>
        <v/>
      </c>
      <c r="C483" s="75">
        <f>IFERROR(__xludf.DUMMYFUNCTION("""COMPUTED_VALUE"""),1298311.58)</f>
        <v/>
      </c>
      <c r="D483" s="75">
        <f>IFERROR(__xludf.DUMMYFUNCTION("""COMPUTED_VALUE"""),"VES")</f>
        <v/>
      </c>
      <c r="E483" s="75">
        <f>IFERROR(__xludf.DUMMYFUNCTION("""COMPUTED_VALUE"""),"Bancamiga")</f>
        <v/>
      </c>
      <c r="F483" s="75">
        <f>IFERROR(__xludf.DUMMYFUNCTION("""COMPUTED_VALUE"""),"PROYECTOS Y DESARROLLO TOMTOM,C.A.")</f>
        <v/>
      </c>
      <c r="G483" s="76">
        <f>IFERROR(__xludf.DUMMYFUNCTION("""COMPUTED_VALUE"""),"CASERES GONZALEZ RONALD OSWALDO")</f>
        <v/>
      </c>
      <c r="H483" s="76">
        <f>IFERROR(__xludf.DUMMYFUNCTION("""COMPUTED_VALUE"""),526.8694)</f>
        <v/>
      </c>
      <c r="I483" s="75" t="n"/>
      <c r="J483" s="77">
        <f>IFERROR(__xludf.DUMMYFUNCTION("""COMPUTED_VALUE"""),2464.200008578976)</f>
        <v/>
      </c>
      <c r="K483" s="4">
        <f>IFERROR(__xludf.DUMMYFUNCTION("""COMPUTED_VALUE"""),0.0)</f>
        <v/>
      </c>
      <c r="L483" s="77">
        <f>IFERROR(__xludf.DUMMYFUNCTION("""COMPUTED_VALUE"""),2464.200008578976)</f>
        <v/>
      </c>
      <c r="O483" s="72" t="n"/>
      <c r="S483" s="4" t="n"/>
    </row>
    <row r="484">
      <c r="A484" s="74">
        <f>IFERROR(__xludf.DUMMYFUNCTION("""COMPUTED_VALUE"""),46173.0)</f>
        <v/>
      </c>
      <c r="B484" s="72">
        <f>IFERROR(__xludf.DUMMYFUNCTION("""COMPUTED_VALUE"""),131.0)</f>
        <v/>
      </c>
      <c r="C484" s="75">
        <f>IFERROR(__xludf.DUMMYFUNCTION("""COMPUTED_VALUE"""),10.0)</f>
        <v/>
      </c>
      <c r="D484" s="75">
        <f>IFERROR(__xludf.DUMMYFUNCTION("""COMPUTED_VALUE"""),"USD")</f>
        <v/>
      </c>
      <c r="E484" s="75">
        <f>IFERROR(__xludf.DUMMYFUNCTION("""COMPUTED_VALUE"""),"Efectivo USD")</f>
        <v/>
      </c>
      <c r="F484" s="75">
        <f>IFERROR(__xludf.DUMMYFUNCTION("""COMPUTED_VALUE"""),"Neykel Quevedo")</f>
        <v/>
      </c>
      <c r="G484" s="76">
        <f>IFERROR(__xludf.DUMMYFUNCTION("""COMPUTED_VALUE"""),"Vendedor")</f>
        <v/>
      </c>
      <c r="H484" s="76">
        <f>IFERROR(__xludf.DUMMYFUNCTION("""COMPUTED_VALUE"""),549.3716)</f>
        <v/>
      </c>
      <c r="I484" s="75" t="n"/>
      <c r="J484" s="77">
        <f>IFERROR(__xludf.DUMMYFUNCTION("""COMPUTED_VALUE"""),10.0)</f>
        <v/>
      </c>
      <c r="K484" s="4">
        <f>IFERROR(__xludf.DUMMYFUNCTION("""COMPUTED_VALUE"""),10.0)</f>
        <v/>
      </c>
      <c r="L484" s="77">
        <f>IFERROR(__xludf.DUMMYFUNCTION("""COMPUTED_VALUE"""),10.0)</f>
        <v/>
      </c>
      <c r="O484" s="72" t="n"/>
      <c r="S484" s="4" t="n"/>
    </row>
    <row r="485">
      <c r="A485" s="74">
        <f>IFERROR(__xludf.DUMMYFUNCTION("""COMPUTED_VALUE"""),46175.0)</f>
        <v/>
      </c>
      <c r="B485" s="72">
        <f>IFERROR(__xludf.DUMMYFUNCTION("""COMPUTED_VALUE"""),44.0)</f>
        <v/>
      </c>
      <c r="C485" s="75">
        <f>IFERROR(__xludf.DUMMYFUNCTION("""COMPUTED_VALUE"""),200.0)</f>
        <v/>
      </c>
      <c r="D485" s="75">
        <f>IFERROR(__xludf.DUMMYFUNCTION("""COMPUTED_VALUE"""),"USD")</f>
        <v/>
      </c>
      <c r="E485" s="75">
        <f>IFERROR(__xludf.DUMMYFUNCTION("""COMPUTED_VALUE"""),"Efectivo USD")</f>
        <v/>
      </c>
      <c r="F485" s="75">
        <f>IFERROR(__xludf.DUMMYFUNCTION("""COMPUTED_VALUE"""),"Comercializadora Garabote")</f>
        <v/>
      </c>
      <c r="G485" s="76">
        <f>IFERROR(__xludf.DUMMYFUNCTION("""COMPUTED_VALUE"""),"PEREZ DIAZ ANGEL DE DIOS")</f>
        <v/>
      </c>
      <c r="H485" s="76">
        <f>IFERROR(__xludf.DUMMYFUNCTION("""COMPUTED_VALUE"""),557.9741)</f>
        <v/>
      </c>
      <c r="I485" s="75" t="n"/>
      <c r="J485" s="77">
        <f>IFERROR(__xludf.DUMMYFUNCTION("""COMPUTED_VALUE"""),200.0)</f>
        <v/>
      </c>
      <c r="K485" s="4">
        <f>IFERROR(__xludf.DUMMYFUNCTION("""COMPUTED_VALUE"""),200.0)</f>
        <v/>
      </c>
      <c r="L485" s="77">
        <f>IFERROR(__xludf.DUMMYFUNCTION("""COMPUTED_VALUE"""),200.0)</f>
        <v/>
      </c>
      <c r="O485" s="72" t="n"/>
      <c r="S485" s="4" t="n"/>
    </row>
    <row r="486">
      <c r="A486" s="74">
        <f>IFERROR(__xludf.DUMMYFUNCTION("""COMPUTED_VALUE"""),46175.0)</f>
        <v/>
      </c>
      <c r="B486" s="72">
        <f>IFERROR(__xludf.DUMMYFUNCTION("""COMPUTED_VALUE"""),248.0)</f>
        <v/>
      </c>
      <c r="C486" s="75">
        <f>IFERROR(__xludf.DUMMYFUNCTION("""COMPUTED_VALUE"""),15.0)</f>
        <v/>
      </c>
      <c r="D486" s="75">
        <f>IFERROR(__xludf.DUMMYFUNCTION("""COMPUTED_VALUE"""),"USD")</f>
        <v/>
      </c>
      <c r="E486" s="75">
        <f>IFERROR(__xludf.DUMMYFUNCTION("""COMPUTED_VALUE"""),"Efectivo USD")</f>
        <v/>
      </c>
      <c r="F486" s="75">
        <f>IFERROR(__xludf.DUMMYFUNCTION("""COMPUTED_VALUE"""),"Abraham almenar")</f>
        <v/>
      </c>
      <c r="G486" s="76">
        <f>IFERROR(__xludf.DUMMYFUNCTION("""COMPUTED_VALUE"""),"PEREZ DIAZ ANGEL DE DIOS")</f>
        <v/>
      </c>
      <c r="H486" s="76">
        <f>IFERROR(__xludf.DUMMYFUNCTION("""COMPUTED_VALUE"""),557.9741)</f>
        <v/>
      </c>
      <c r="I486" s="75" t="n"/>
      <c r="J486" s="77">
        <f>IFERROR(__xludf.DUMMYFUNCTION("""COMPUTED_VALUE"""),15.0)</f>
        <v/>
      </c>
      <c r="K486" s="4">
        <f>IFERROR(__xludf.DUMMYFUNCTION("""COMPUTED_VALUE"""),15.0)</f>
        <v/>
      </c>
      <c r="L486" s="77">
        <f>IFERROR(__xludf.DUMMYFUNCTION("""COMPUTED_VALUE"""),15.0)</f>
        <v/>
      </c>
      <c r="O486" s="72" t="n"/>
      <c r="S486" s="4" t="n"/>
    </row>
    <row r="487">
      <c r="A487" s="74">
        <f>IFERROR(__xludf.DUMMYFUNCTION("""COMPUTED_VALUE"""),46174.0)</f>
        <v/>
      </c>
      <c r="B487" s="72">
        <f>IFERROR(__xludf.DUMMYFUNCTION("""COMPUTED_VALUE"""),471.0)</f>
        <v/>
      </c>
      <c r="C487" s="75">
        <f>IFERROR(__xludf.DUMMYFUNCTION("""COMPUTED_VALUE"""),80.0)</f>
        <v/>
      </c>
      <c r="D487" s="75">
        <f>IFERROR(__xludf.DUMMYFUNCTION("""COMPUTED_VALUE"""),"USD")</f>
        <v/>
      </c>
      <c r="E487" s="75">
        <f>IFERROR(__xludf.DUMMYFUNCTION("""COMPUTED_VALUE"""),"Efectivo USD")</f>
        <v/>
      </c>
      <c r="F487" s="75">
        <f>IFERROR(__xludf.DUMMYFUNCTION("""COMPUTED_VALUE"""),"José Gregorio Hernández")</f>
        <v/>
      </c>
      <c r="G487" s="76">
        <f>IFERROR(__xludf.DUMMYFUNCTION("""COMPUTED_VALUE"""),"VILLABONA CORREA ALBA ESTEFANIA")</f>
        <v/>
      </c>
      <c r="H487" s="76">
        <f>IFERROR(__xludf.DUMMYFUNCTION("""COMPUTED_VALUE"""),554.4258)</f>
        <v/>
      </c>
      <c r="I487" s="75">
        <f>IFERROR(__xludf.DUMMYFUNCTION("""COMPUTED_VALUE"""),732.94)</f>
        <v/>
      </c>
      <c r="J487" s="77">
        <f>IFERROR(__xludf.DUMMYFUNCTION("""COMPUTED_VALUE"""),80.0)</f>
        <v/>
      </c>
      <c r="K487" s="4">
        <f>IFERROR(__xludf.DUMMYFUNCTION("""COMPUTED_VALUE"""),80.0)</f>
        <v/>
      </c>
      <c r="L487" s="77">
        <f>IFERROR(__xludf.DUMMYFUNCTION("""COMPUTED_VALUE"""),80.0)</f>
        <v/>
      </c>
      <c r="O487" s="72" t="n"/>
      <c r="S487" s="4" t="n"/>
    </row>
    <row r="488">
      <c r="A488" s="74">
        <f>IFERROR(__xludf.DUMMYFUNCTION("""COMPUTED_VALUE"""),46174.0)</f>
        <v/>
      </c>
      <c r="B488" s="72">
        <f>IFERROR(__xludf.DUMMYFUNCTION("""COMPUTED_VALUE"""),471.0)</f>
        <v/>
      </c>
      <c r="C488" s="75">
        <f>IFERROR(__xludf.DUMMYFUNCTION("""COMPUTED_VALUE"""),67086.0)</f>
        <v/>
      </c>
      <c r="D488" s="75">
        <f>IFERROR(__xludf.DUMMYFUNCTION("""COMPUTED_VALUE"""),"VES")</f>
        <v/>
      </c>
      <c r="E488" s="75">
        <f>IFERROR(__xludf.DUMMYFUNCTION("""COMPUTED_VALUE"""),"Venezuela")</f>
        <v/>
      </c>
      <c r="F488" s="75">
        <f>IFERROR(__xludf.DUMMYFUNCTION("""COMPUTED_VALUE"""),"José Gregorio Hernández")</f>
        <v/>
      </c>
      <c r="G488" s="76">
        <f>IFERROR(__xludf.DUMMYFUNCTION("""COMPUTED_VALUE"""),"VILLABONA CORREA ALBA ESTEFANIA")</f>
        <v/>
      </c>
      <c r="H488" s="76">
        <f>IFERROR(__xludf.DUMMYFUNCTION("""COMPUTED_VALUE"""),554.4258)</f>
        <v/>
      </c>
      <c r="I488" s="75" t="n"/>
      <c r="J488" s="77">
        <f>IFERROR(__xludf.DUMMYFUNCTION("""COMPUTED_VALUE"""),121.00086251397393)</f>
        <v/>
      </c>
      <c r="K488" s="4">
        <f>IFERROR(__xludf.DUMMYFUNCTION("""COMPUTED_VALUE"""),0.0)</f>
        <v/>
      </c>
      <c r="L488" s="77">
        <f>IFERROR(__xludf.DUMMYFUNCTION("""COMPUTED_VALUE"""),121.00086251397393)</f>
        <v/>
      </c>
      <c r="O488" s="72" t="n"/>
      <c r="S488" s="4" t="n"/>
    </row>
    <row r="489">
      <c r="A489" s="74">
        <f>IFERROR(__xludf.DUMMYFUNCTION("""COMPUTED_VALUE"""),46175.0)</f>
        <v/>
      </c>
      <c r="B489" s="72">
        <f>IFERROR(__xludf.DUMMYFUNCTION("""COMPUTED_VALUE"""),215.0)</f>
        <v/>
      </c>
      <c r="C489" s="75">
        <f>IFERROR(__xludf.DUMMYFUNCTION("""COMPUTED_VALUE"""),64725.0)</f>
        <v/>
      </c>
      <c r="D489" s="75">
        <f>IFERROR(__xludf.DUMMYFUNCTION("""COMPUTED_VALUE"""),"VES")</f>
        <v/>
      </c>
      <c r="E489" s="75">
        <f>IFERROR(__xludf.DUMMYFUNCTION("""COMPUTED_VALUE"""),"Provincial")</f>
        <v/>
      </c>
      <c r="F489" s="75">
        <f>IFERROR(__xludf.DUMMYFUNCTION("""COMPUTED_VALUE"""),"Alejandro Zorrilla")</f>
        <v/>
      </c>
      <c r="G489" s="76">
        <f>IFERROR(__xludf.DUMMYFUNCTION("""COMPUTED_VALUE"""),"REVERON DE CONTRERAS MELANI AUSMAR")</f>
        <v/>
      </c>
      <c r="H489" s="76">
        <f>IFERROR(__xludf.DUMMYFUNCTION("""COMPUTED_VALUE"""),557.9741)</f>
        <v/>
      </c>
      <c r="I489" s="75" t="n"/>
      <c r="J489" s="77">
        <f>IFERROR(__xludf.DUMMYFUNCTION("""COMPUTED_VALUE"""),116.00000788567067)</f>
        <v/>
      </c>
      <c r="K489" s="4">
        <f>IFERROR(__xludf.DUMMYFUNCTION("""COMPUTED_VALUE"""),0.0)</f>
        <v/>
      </c>
      <c r="L489" s="77">
        <f>IFERROR(__xludf.DUMMYFUNCTION("""COMPUTED_VALUE"""),116.00000788567067)</f>
        <v/>
      </c>
      <c r="O489" s="72" t="n"/>
      <c r="S489" s="4" t="n"/>
    </row>
    <row r="490">
      <c r="A490" s="74">
        <f>IFERROR(__xludf.DUMMYFUNCTION("""COMPUTED_VALUE"""),46175.0)</f>
        <v/>
      </c>
      <c r="B490" s="72">
        <f>IFERROR(__xludf.DUMMYFUNCTION("""COMPUTED_VALUE"""),324.0)</f>
        <v/>
      </c>
      <c r="C490" s="75">
        <f>IFERROR(__xludf.DUMMYFUNCTION("""COMPUTED_VALUE"""),40.0)</f>
        <v/>
      </c>
      <c r="D490" s="75">
        <f>IFERROR(__xludf.DUMMYFUNCTION("""COMPUTED_VALUE"""),"USD")</f>
        <v/>
      </c>
      <c r="E490" s="75">
        <f>IFERROR(__xludf.DUMMYFUNCTION("""COMPUTED_VALUE"""),"Efectivo USD")</f>
        <v/>
      </c>
      <c r="F490" s="75">
        <f>IFERROR(__xludf.DUMMYFUNCTION("""COMPUTED_VALUE"""),"Nemer Bourji")</f>
        <v/>
      </c>
      <c r="G490" s="76">
        <f>IFERROR(__xludf.DUMMYFUNCTION("""COMPUTED_VALUE"""),"TORO ARDILES DAVID JOSE")</f>
        <v/>
      </c>
      <c r="H490" s="76">
        <f>IFERROR(__xludf.DUMMYFUNCTION("""COMPUTED_VALUE"""),557.9741)</f>
        <v/>
      </c>
      <c r="I490" s="75" t="n"/>
      <c r="J490" s="77">
        <f>IFERROR(__xludf.DUMMYFUNCTION("""COMPUTED_VALUE"""),40.0)</f>
        <v/>
      </c>
      <c r="K490" s="4">
        <f>IFERROR(__xludf.DUMMYFUNCTION("""COMPUTED_VALUE"""),40.0)</f>
        <v/>
      </c>
      <c r="L490" s="77">
        <f>IFERROR(__xludf.DUMMYFUNCTION("""COMPUTED_VALUE"""),40.0)</f>
        <v/>
      </c>
      <c r="O490" s="72" t="n"/>
      <c r="S490" s="4" t="n"/>
    </row>
    <row r="491">
      <c r="A491" s="74">
        <f>IFERROR(__xludf.DUMMYFUNCTION("""COMPUTED_VALUE"""),46175.0)</f>
        <v/>
      </c>
      <c r="B491" s="72">
        <f>IFERROR(__xludf.DUMMYFUNCTION("""COMPUTED_VALUE"""),83.0)</f>
        <v/>
      </c>
      <c r="C491" s="75">
        <f>IFERROR(__xludf.DUMMYFUNCTION("""COMPUTED_VALUE"""),35.0)</f>
        <v/>
      </c>
      <c r="D491" s="75">
        <f>IFERROR(__xludf.DUMMYFUNCTION("""COMPUTED_VALUE"""),"USD")</f>
        <v/>
      </c>
      <c r="E491" s="75">
        <f>IFERROR(__xludf.DUMMYFUNCTION("""COMPUTED_VALUE"""),"Efectivo USD")</f>
        <v/>
      </c>
      <c r="F491" s="75">
        <f>IFERROR(__xludf.DUMMYFUNCTION("""COMPUTED_VALUE"""),"Inversiones Famasa, C.A")</f>
        <v/>
      </c>
      <c r="G491" s="76">
        <f>IFERROR(__xludf.DUMMYFUNCTION("""COMPUTED_VALUE"""),"MARTINEZ MONTES JEFFREY ENRIQUE")</f>
        <v/>
      </c>
      <c r="H491" s="76">
        <f>IFERROR(__xludf.DUMMYFUNCTION("""COMPUTED_VALUE"""),557.9741)</f>
        <v/>
      </c>
      <c r="I491" s="75" t="n"/>
      <c r="J491" s="77">
        <f>IFERROR(__xludf.DUMMYFUNCTION("""COMPUTED_VALUE"""),35.0)</f>
        <v/>
      </c>
      <c r="K491" s="4">
        <f>IFERROR(__xludf.DUMMYFUNCTION("""COMPUTED_VALUE"""),35.0)</f>
        <v/>
      </c>
      <c r="L491" s="77">
        <f>IFERROR(__xludf.DUMMYFUNCTION("""COMPUTED_VALUE"""),35.0)</f>
        <v/>
      </c>
      <c r="O491" s="72" t="n"/>
      <c r="S491" s="4" t="n"/>
    </row>
    <row r="492">
      <c r="A492" s="74">
        <f>IFERROR(__xludf.DUMMYFUNCTION("""COMPUTED_VALUE"""),46175.0)</f>
        <v/>
      </c>
      <c r="B492" s="72">
        <f>IFERROR(__xludf.DUMMYFUNCTION("""COMPUTED_VALUE"""),330.0)</f>
        <v/>
      </c>
      <c r="C492" s="75">
        <f>IFERROR(__xludf.DUMMYFUNCTION("""COMPUTED_VALUE"""),16740.0)</f>
        <v/>
      </c>
      <c r="D492" s="75">
        <f>IFERROR(__xludf.DUMMYFUNCTION("""COMPUTED_VALUE"""),"VES")</f>
        <v/>
      </c>
      <c r="E492" s="75">
        <f>IFERROR(__xludf.DUMMYFUNCTION("""COMPUTED_VALUE"""),"Bancamiga")</f>
        <v/>
      </c>
      <c r="F492" s="75">
        <f>IFERROR(__xludf.DUMMYFUNCTION("""COMPUTED_VALUE"""),"Diana Carolina Torres")</f>
        <v/>
      </c>
      <c r="G492" s="76">
        <f>IFERROR(__xludf.DUMMYFUNCTION("""COMPUTED_VALUE"""),"VILLABONA CORREA ALBA ESTEFANIA")</f>
        <v/>
      </c>
      <c r="H492" s="76">
        <f>IFERROR(__xludf.DUMMYFUNCTION("""COMPUTED_VALUE"""),557.9741)</f>
        <v/>
      </c>
      <c r="I492" s="75" t="n"/>
      <c r="J492" s="77">
        <f>IFERROR(__xludf.DUMMYFUNCTION("""COMPUTED_VALUE"""),30.00139253775399)</f>
        <v/>
      </c>
      <c r="K492" s="4">
        <f>IFERROR(__xludf.DUMMYFUNCTION("""COMPUTED_VALUE"""),0.0)</f>
        <v/>
      </c>
      <c r="L492" s="77">
        <f>IFERROR(__xludf.DUMMYFUNCTION("""COMPUTED_VALUE"""),30.00139253775399)</f>
        <v/>
      </c>
      <c r="O492" s="72" t="n"/>
      <c r="S492" s="4" t="n"/>
    </row>
    <row r="493">
      <c r="A493" s="74">
        <f>IFERROR(__xludf.DUMMYFUNCTION("""COMPUTED_VALUE"""),46175.0)</f>
        <v/>
      </c>
      <c r="B493" s="72">
        <f>IFERROR(__xludf.DUMMYFUNCTION("""COMPUTED_VALUE"""),394.0)</f>
        <v/>
      </c>
      <c r="C493" s="75">
        <f>IFERROR(__xludf.DUMMYFUNCTION("""COMPUTED_VALUE"""),189364.13)</f>
        <v/>
      </c>
      <c r="D493" s="75">
        <f>IFERROR(__xludf.DUMMYFUNCTION("""COMPUTED_VALUE"""),"VES")</f>
        <v/>
      </c>
      <c r="E493" s="75">
        <f>IFERROR(__xludf.DUMMYFUNCTION("""COMPUTED_VALUE"""),"Bancamiga")</f>
        <v/>
      </c>
      <c r="F493" s="75">
        <f>IFERROR(__xludf.DUMMYFUNCTION("""COMPUTED_VALUE"""),"Sandra Katherine Quintero Crespo")</f>
        <v/>
      </c>
      <c r="G493" s="76">
        <f>IFERROR(__xludf.DUMMYFUNCTION("""COMPUTED_VALUE"""),"QUEVEDO BASTIDAS NEYKEL DAVID")</f>
        <v/>
      </c>
      <c r="H493" s="76">
        <f>IFERROR(__xludf.DUMMYFUNCTION("""COMPUTED_VALUE"""),557.9741)</f>
        <v/>
      </c>
      <c r="I493" s="75" t="n"/>
      <c r="J493" s="77">
        <f>IFERROR(__xludf.DUMMYFUNCTION("""COMPUTED_VALUE"""),339.37799263442514)</f>
        <v/>
      </c>
      <c r="K493" s="4">
        <f>IFERROR(__xludf.DUMMYFUNCTION("""COMPUTED_VALUE"""),0.0)</f>
        <v/>
      </c>
      <c r="L493" s="77">
        <f>IFERROR(__xludf.DUMMYFUNCTION("""COMPUTED_VALUE"""),339.37799263442514)</f>
        <v/>
      </c>
      <c r="O493" s="72" t="n"/>
      <c r="S493" s="4" t="n"/>
    </row>
    <row r="494">
      <c r="A494" s="74">
        <f>IFERROR(__xludf.DUMMYFUNCTION("""COMPUTED_VALUE"""),46175.0)</f>
        <v/>
      </c>
      <c r="B494" s="72">
        <f>IFERROR(__xludf.DUMMYFUNCTION("""COMPUTED_VALUE"""),27.0)</f>
        <v/>
      </c>
      <c r="C494" s="75">
        <f>IFERROR(__xludf.DUMMYFUNCTION("""COMPUTED_VALUE"""),20.0)</f>
        <v/>
      </c>
      <c r="D494" s="75">
        <f>IFERROR(__xludf.DUMMYFUNCTION("""COMPUTED_VALUE"""),"USD")</f>
        <v/>
      </c>
      <c r="E494" s="75">
        <f>IFERROR(__xludf.DUMMYFUNCTION("""COMPUTED_VALUE"""),"Efectivo USD")</f>
        <v/>
      </c>
      <c r="F494" s="75">
        <f>IFERROR(__xludf.DUMMYFUNCTION("""COMPUTED_VALUE"""),"Moises Alejandro Mares")</f>
        <v/>
      </c>
      <c r="G494" s="76">
        <f>IFERROR(__xludf.DUMMYFUNCTION("""COMPUTED_VALUE"""),"GRIMAN DIAZ HECTOR EDUARDO")</f>
        <v/>
      </c>
      <c r="H494" s="76">
        <f>IFERROR(__xludf.DUMMYFUNCTION("""COMPUTED_VALUE"""),557.9741)</f>
        <v/>
      </c>
      <c r="I494" s="75" t="n"/>
      <c r="J494" s="77">
        <f>IFERROR(__xludf.DUMMYFUNCTION("""COMPUTED_VALUE"""),20.0)</f>
        <v/>
      </c>
      <c r="K494" s="4">
        <f>IFERROR(__xludf.DUMMYFUNCTION("""COMPUTED_VALUE"""),20.0)</f>
        <v/>
      </c>
      <c r="L494" s="77">
        <f>IFERROR(__xludf.DUMMYFUNCTION("""COMPUTED_VALUE"""),20.0)</f>
        <v/>
      </c>
      <c r="O494" s="72" t="n"/>
      <c r="S494" s="4" t="n"/>
    </row>
    <row r="495">
      <c r="A495" s="74">
        <f>IFERROR(__xludf.DUMMYFUNCTION("""COMPUTED_VALUE"""),46175.0)</f>
        <v/>
      </c>
      <c r="B495" s="72">
        <f>IFERROR(__xludf.DUMMYFUNCTION("""COMPUTED_VALUE"""),118.0)</f>
        <v/>
      </c>
      <c r="C495" s="75">
        <f>IFERROR(__xludf.DUMMYFUNCTION("""COMPUTED_VALUE"""),14.0)</f>
        <v/>
      </c>
      <c r="D495" s="75">
        <f>IFERROR(__xludf.DUMMYFUNCTION("""COMPUTED_VALUE"""),"USD")</f>
        <v/>
      </c>
      <c r="E495" s="75">
        <f>IFERROR(__xludf.DUMMYFUNCTION("""COMPUTED_VALUE"""),"Efectivo USD")</f>
        <v/>
      </c>
      <c r="F495" s="75">
        <f>IFERROR(__xludf.DUMMYFUNCTION("""COMPUTED_VALUE"""),"ELIVAN2025, C.A")</f>
        <v/>
      </c>
      <c r="G495" s="76">
        <f>IFERROR(__xludf.DUMMYFUNCTION("""COMPUTED_VALUE"""),"VILLABONA CORREA ALBA ESTEFANIA")</f>
        <v/>
      </c>
      <c r="H495" s="76">
        <f>IFERROR(__xludf.DUMMYFUNCTION("""COMPUTED_VALUE"""),557.9741)</f>
        <v/>
      </c>
      <c r="I495" s="75" t="n"/>
      <c r="J495" s="77">
        <f>IFERROR(__xludf.DUMMYFUNCTION("""COMPUTED_VALUE"""),14.0)</f>
        <v/>
      </c>
      <c r="K495" s="4">
        <f>IFERROR(__xludf.DUMMYFUNCTION("""COMPUTED_VALUE"""),14.0)</f>
        <v/>
      </c>
      <c r="L495" s="77">
        <f>IFERROR(__xludf.DUMMYFUNCTION("""COMPUTED_VALUE"""),14.0)</f>
        <v/>
      </c>
      <c r="O495" s="72" t="n"/>
      <c r="S495" s="4" t="n"/>
    </row>
    <row r="496">
      <c r="A496" s="74">
        <f>IFERROR(__xludf.DUMMYFUNCTION("""COMPUTED_VALUE"""),46175.0)</f>
        <v/>
      </c>
      <c r="B496" s="72">
        <f>IFERROR(__xludf.DUMMYFUNCTION("""COMPUTED_VALUE"""),449.0)</f>
        <v/>
      </c>
      <c r="C496" s="75">
        <f>IFERROR(__xludf.DUMMYFUNCTION("""COMPUTED_VALUE"""),1000.0)</f>
        <v/>
      </c>
      <c r="D496" s="75">
        <f>IFERROR(__xludf.DUMMYFUNCTION("""COMPUTED_VALUE"""),"USD")</f>
        <v/>
      </c>
      <c r="E496" s="75">
        <f>IFERROR(__xludf.DUMMYFUNCTION("""COMPUTED_VALUE"""),"Efectivo USD")</f>
        <v/>
      </c>
      <c r="F496" s="75">
        <f>IFERROR(__xludf.DUMMYFUNCTION("""COMPUTED_VALUE"""),"Alexander Quiroz")</f>
        <v/>
      </c>
      <c r="G496" s="76">
        <f>IFERROR(__xludf.DUMMYFUNCTION("""COMPUTED_VALUE"""),"BETANCOURT ROBRIGUEZ LUIS ENRRIQUE")</f>
        <v/>
      </c>
      <c r="H496" s="76">
        <f>IFERROR(__xludf.DUMMYFUNCTION("""COMPUTED_VALUE"""),557.9741)</f>
        <v/>
      </c>
      <c r="I496" s="75" t="n"/>
      <c r="J496" s="77">
        <f>IFERROR(__xludf.DUMMYFUNCTION("""COMPUTED_VALUE"""),1000.0)</f>
        <v/>
      </c>
      <c r="K496" s="4">
        <f>IFERROR(__xludf.DUMMYFUNCTION("""COMPUTED_VALUE"""),1000.0)</f>
        <v/>
      </c>
      <c r="L496" s="77">
        <f>IFERROR(__xludf.DUMMYFUNCTION("""COMPUTED_VALUE"""),1000.0)</f>
        <v/>
      </c>
      <c r="O496" s="72" t="n"/>
      <c r="S496" s="4" t="n"/>
    </row>
    <row r="497">
      <c r="A497" s="74">
        <f>IFERROR(__xludf.DUMMYFUNCTION("""COMPUTED_VALUE"""),46175.0)</f>
        <v/>
      </c>
      <c r="B497" s="72">
        <f>IFERROR(__xludf.DUMMYFUNCTION("""COMPUTED_VALUE"""),204.0)</f>
        <v/>
      </c>
      <c r="C497" s="75">
        <f>IFERROR(__xludf.DUMMYFUNCTION("""COMPUTED_VALUE"""),100.0)</f>
        <v/>
      </c>
      <c r="D497" s="75">
        <f>IFERROR(__xludf.DUMMYFUNCTION("""COMPUTED_VALUE"""),"USD")</f>
        <v/>
      </c>
      <c r="E497" s="75">
        <f>IFERROR(__xludf.DUMMYFUNCTION("""COMPUTED_VALUE"""),"Efectivo USD")</f>
        <v/>
      </c>
      <c r="F497" s="75">
        <f>IFERROR(__xludf.DUMMYFUNCTION("""COMPUTED_VALUE"""),"Motolavado Yahir")</f>
        <v/>
      </c>
      <c r="G497" s="76">
        <f>IFERROR(__xludf.DUMMYFUNCTION("""COMPUTED_VALUE"""),"GRIMAN DIAZ HECTOR EDUARDO")</f>
        <v/>
      </c>
      <c r="H497" s="76">
        <f>IFERROR(__xludf.DUMMYFUNCTION("""COMPUTED_VALUE"""),557.9741)</f>
        <v/>
      </c>
      <c r="I497" s="75" t="n"/>
      <c r="J497" s="77">
        <f>IFERROR(__xludf.DUMMYFUNCTION("""COMPUTED_VALUE"""),100.0)</f>
        <v/>
      </c>
      <c r="K497" s="4">
        <f>IFERROR(__xludf.DUMMYFUNCTION("""COMPUTED_VALUE"""),100.0)</f>
        <v/>
      </c>
      <c r="L497" s="77">
        <f>IFERROR(__xludf.DUMMYFUNCTION("""COMPUTED_VALUE"""),100.0)</f>
        <v/>
      </c>
      <c r="O497" s="72" t="n"/>
      <c r="S497" s="4" t="n"/>
    </row>
    <row r="498">
      <c r="A498" s="74">
        <f>IFERROR(__xludf.DUMMYFUNCTION("""COMPUTED_VALUE"""),46175.0)</f>
        <v/>
      </c>
      <c r="B498" s="72">
        <f>IFERROR(__xludf.DUMMYFUNCTION("""COMPUTED_VALUE"""),327.0)</f>
        <v/>
      </c>
      <c r="C498" s="75">
        <f>IFERROR(__xludf.DUMMYFUNCTION("""COMPUTED_VALUE"""),302.0)</f>
        <v/>
      </c>
      <c r="D498" s="75">
        <f>IFERROR(__xludf.DUMMYFUNCTION("""COMPUTED_VALUE"""),"USD")</f>
        <v/>
      </c>
      <c r="E498" s="75">
        <f>IFERROR(__xludf.DUMMYFUNCTION("""COMPUTED_VALUE"""),"Efectivo USD")</f>
        <v/>
      </c>
      <c r="F498" s="75">
        <f>IFERROR(__xludf.DUMMYFUNCTION("""COMPUTED_VALUE"""),"Kervin baez")</f>
        <v/>
      </c>
      <c r="G498" s="76">
        <f>IFERROR(__xludf.DUMMYFUNCTION("""COMPUTED_VALUE"""),"BETANCOURT ROBRIGUEZ LUIS ENRRIQUE")</f>
        <v/>
      </c>
      <c r="H498" s="76">
        <f>IFERROR(__xludf.DUMMYFUNCTION("""COMPUTED_VALUE"""),557.9741)</f>
        <v/>
      </c>
      <c r="I498" s="75" t="n"/>
      <c r="J498" s="77">
        <f>IFERROR(__xludf.DUMMYFUNCTION("""COMPUTED_VALUE"""),302.0)</f>
        <v/>
      </c>
      <c r="K498" s="4">
        <f>IFERROR(__xludf.DUMMYFUNCTION("""COMPUTED_VALUE"""),302.0)</f>
        <v/>
      </c>
      <c r="L498" s="77">
        <f>IFERROR(__xludf.DUMMYFUNCTION("""COMPUTED_VALUE"""),302.0)</f>
        <v/>
      </c>
      <c r="O498" s="72" t="n"/>
      <c r="S498" s="4" t="n"/>
    </row>
    <row r="499">
      <c r="A499" s="74">
        <f>IFERROR(__xludf.DUMMYFUNCTION("""COMPUTED_VALUE"""),46175.0)</f>
        <v/>
      </c>
      <c r="B499" s="72">
        <f>IFERROR(__xludf.DUMMYFUNCTION("""COMPUTED_VALUE"""),222.0)</f>
        <v/>
      </c>
      <c r="C499" s="75">
        <f>IFERROR(__xludf.DUMMYFUNCTION("""COMPUTED_VALUE"""),40.0)</f>
        <v/>
      </c>
      <c r="D499" s="75">
        <f>IFERROR(__xludf.DUMMYFUNCTION("""COMPUTED_VALUE"""),"USD")</f>
        <v/>
      </c>
      <c r="E499" s="75">
        <f>IFERROR(__xludf.DUMMYFUNCTION("""COMPUTED_VALUE"""),"Efectivo USD")</f>
        <v/>
      </c>
      <c r="F499" s="75">
        <f>IFERROR(__xludf.DUMMYFUNCTION("""COMPUTED_VALUE"""),"Braulio R. Cedeño Gonzalez.")</f>
        <v/>
      </c>
      <c r="G499" s="76">
        <f>IFERROR(__xludf.DUMMYFUNCTION("""COMPUTED_VALUE"""),"GRIMAN DIAZ HECTOR EDUARDO")</f>
        <v/>
      </c>
      <c r="H499" s="76">
        <f>IFERROR(__xludf.DUMMYFUNCTION("""COMPUTED_VALUE"""),557.9741)</f>
        <v/>
      </c>
      <c r="I499" s="75" t="n"/>
      <c r="J499" s="77">
        <f>IFERROR(__xludf.DUMMYFUNCTION("""COMPUTED_VALUE"""),40.0)</f>
        <v/>
      </c>
      <c r="K499" s="4">
        <f>IFERROR(__xludf.DUMMYFUNCTION("""COMPUTED_VALUE"""),40.0)</f>
        <v/>
      </c>
      <c r="L499" s="77">
        <f>IFERROR(__xludf.DUMMYFUNCTION("""COMPUTED_VALUE"""),40.0)</f>
        <v/>
      </c>
      <c r="O499" s="72" t="n"/>
      <c r="S499" s="4" t="n"/>
    </row>
    <row r="500">
      <c r="A500" s="74">
        <f>IFERROR(__xludf.DUMMYFUNCTION("""COMPUTED_VALUE"""),46175.0)</f>
        <v/>
      </c>
      <c r="B500" s="72">
        <f>IFERROR(__xludf.DUMMYFUNCTION("""COMPUTED_VALUE"""),411.0)</f>
        <v/>
      </c>
      <c r="C500" s="75">
        <f>IFERROR(__xludf.DUMMYFUNCTION("""COMPUTED_VALUE"""),150.0)</f>
        <v/>
      </c>
      <c r="D500" s="75">
        <f>IFERROR(__xludf.DUMMYFUNCTION("""COMPUTED_VALUE"""),"USD")</f>
        <v/>
      </c>
      <c r="E500" s="75">
        <f>IFERROR(__xludf.DUMMYFUNCTION("""COMPUTED_VALUE"""),"Efectivo USD")</f>
        <v/>
      </c>
      <c r="F500" s="75">
        <f>IFERROR(__xludf.DUMMYFUNCTION("""COMPUTED_VALUE"""),"Pedro Castro")</f>
        <v/>
      </c>
      <c r="G500" s="76">
        <f>IFERROR(__xludf.DUMMYFUNCTION("""COMPUTED_VALUE"""),"BETANCOURT ROBRIGUEZ LUIS ENRRIQUE")</f>
        <v/>
      </c>
      <c r="H500" s="76">
        <f>IFERROR(__xludf.DUMMYFUNCTION("""COMPUTED_VALUE"""),557.9741)</f>
        <v/>
      </c>
      <c r="I500" s="75" t="n"/>
      <c r="J500" s="77">
        <f>IFERROR(__xludf.DUMMYFUNCTION("""COMPUTED_VALUE"""),150.0)</f>
        <v/>
      </c>
      <c r="K500" s="4">
        <f>IFERROR(__xludf.DUMMYFUNCTION("""COMPUTED_VALUE"""),150.0)</f>
        <v/>
      </c>
      <c r="L500" s="77">
        <f>IFERROR(__xludf.DUMMYFUNCTION("""COMPUTED_VALUE"""),150.0)</f>
        <v/>
      </c>
      <c r="O500" s="72" t="n"/>
      <c r="S500" s="4" t="n"/>
    </row>
    <row r="501">
      <c r="A501" s="74">
        <f>IFERROR(__xludf.DUMMYFUNCTION("""COMPUTED_VALUE"""),46175.0)</f>
        <v/>
      </c>
      <c r="B501" s="72">
        <f>IFERROR(__xludf.DUMMYFUNCTION("""COMPUTED_VALUE"""),54.0)</f>
        <v/>
      </c>
      <c r="C501" s="75">
        <f>IFERROR(__xludf.DUMMYFUNCTION("""COMPUTED_VALUE"""),32412.0)</f>
        <v/>
      </c>
      <c r="D501" s="75">
        <f>IFERROR(__xludf.DUMMYFUNCTION("""COMPUTED_VALUE"""),"VES")</f>
        <v/>
      </c>
      <c r="E501" s="75">
        <f>IFERROR(__xludf.DUMMYFUNCTION("""COMPUTED_VALUE"""),"Bancamiga")</f>
        <v/>
      </c>
      <c r="F501" s="75">
        <f>IFERROR(__xludf.DUMMYFUNCTION("""COMPUTED_VALUE"""),"Corporación Lubricantes 7ma Av.C.A")</f>
        <v/>
      </c>
      <c r="G501" s="76">
        <f>IFERROR(__xludf.DUMMYFUNCTION("""COMPUTED_VALUE"""),"GRIMAN DIAZ HECTOR EDUARDO")</f>
        <v/>
      </c>
      <c r="H501" s="76">
        <f>IFERROR(__xludf.DUMMYFUNCTION("""COMPUTED_VALUE"""),557.9741)</f>
        <v/>
      </c>
      <c r="I501" s="75" t="n"/>
      <c r="J501" s="77">
        <f>IFERROR(__xludf.DUMMYFUNCTION("""COMPUTED_VALUE"""),58.08871773797386)</f>
        <v/>
      </c>
      <c r="K501" s="4">
        <f>IFERROR(__xludf.DUMMYFUNCTION("""COMPUTED_VALUE"""),0.0)</f>
        <v/>
      </c>
      <c r="L501" s="77">
        <f>IFERROR(__xludf.DUMMYFUNCTION("""COMPUTED_VALUE"""),58.08871773797386)</f>
        <v/>
      </c>
      <c r="O501" s="72" t="n"/>
      <c r="S501" s="4" t="n"/>
    </row>
    <row r="502">
      <c r="A502" s="74">
        <f>IFERROR(__xludf.DUMMYFUNCTION("""COMPUTED_VALUE"""),46176.0)</f>
        <v/>
      </c>
      <c r="B502" s="72">
        <f>IFERROR(__xludf.DUMMYFUNCTION("""COMPUTED_VALUE"""),164.0)</f>
        <v/>
      </c>
      <c r="C502" s="75">
        <f>IFERROR(__xludf.DUMMYFUNCTION("""COMPUTED_VALUE"""),62.0)</f>
        <v/>
      </c>
      <c r="D502" s="75">
        <f>IFERROR(__xludf.DUMMYFUNCTION("""COMPUTED_VALUE"""),"USD")</f>
        <v/>
      </c>
      <c r="E502" s="75">
        <f>IFERROR(__xludf.DUMMYFUNCTION("""COMPUTED_VALUE"""),"Efectivo USD")</f>
        <v/>
      </c>
      <c r="F502" s="75">
        <f>IFERROR(__xludf.DUMMYFUNCTION("""COMPUTED_VALUE"""),"INVERSIONES IRETE SUKA, C.A")</f>
        <v/>
      </c>
      <c r="G502" s="76">
        <f>IFERROR(__xludf.DUMMYFUNCTION("""COMPUTED_VALUE"""),"VILLABONA CORREA ALBA ESTEFANIA")</f>
        <v/>
      </c>
      <c r="H502" s="76">
        <f>IFERROR(__xludf.DUMMYFUNCTION("""COMPUTED_VALUE"""),558.6436)</f>
        <v/>
      </c>
      <c r="I502" s="75" t="n"/>
      <c r="J502" s="77">
        <f>IFERROR(__xludf.DUMMYFUNCTION("""COMPUTED_VALUE"""),62.0)</f>
        <v/>
      </c>
      <c r="K502" s="4">
        <f>IFERROR(__xludf.DUMMYFUNCTION("""COMPUTED_VALUE"""),62.0)</f>
        <v/>
      </c>
      <c r="L502" s="77">
        <f>IFERROR(__xludf.DUMMYFUNCTION("""COMPUTED_VALUE"""),62.0)</f>
        <v/>
      </c>
      <c r="O502" s="72" t="n"/>
      <c r="S502" s="4" t="n"/>
    </row>
    <row r="503">
      <c r="A503" s="74">
        <f>IFERROR(__xludf.DUMMYFUNCTION("""COMPUTED_VALUE"""),46176.0)</f>
        <v/>
      </c>
      <c r="B503" s="72">
        <f>IFERROR(__xludf.DUMMYFUNCTION("""COMPUTED_VALUE"""),293.0)</f>
        <v/>
      </c>
      <c r="C503" s="75">
        <f>IFERROR(__xludf.DUMMYFUNCTION("""COMPUTED_VALUE"""),198.0)</f>
        <v/>
      </c>
      <c r="D503" s="75">
        <f>IFERROR(__xludf.DUMMYFUNCTION("""COMPUTED_VALUE"""),"USD")</f>
        <v/>
      </c>
      <c r="E503" s="75">
        <f>IFERROR(__xludf.DUMMYFUNCTION("""COMPUTED_VALUE"""),"Efectivo USD")</f>
        <v/>
      </c>
      <c r="F503" s="75">
        <f>IFERROR(__xludf.DUMMYFUNCTION("""COMPUTED_VALUE"""),"Jose Becerra")</f>
        <v/>
      </c>
      <c r="G503" s="76">
        <f>IFERROR(__xludf.DUMMYFUNCTION("""COMPUTED_VALUE"""),"TORO ARDILES DAVID JOSE")</f>
        <v/>
      </c>
      <c r="H503" s="76">
        <f>IFERROR(__xludf.DUMMYFUNCTION("""COMPUTED_VALUE"""),558.6436)</f>
        <v/>
      </c>
      <c r="I503" s="75" t="n"/>
      <c r="J503" s="77">
        <f>IFERROR(__xludf.DUMMYFUNCTION("""COMPUTED_VALUE"""),198.0)</f>
        <v/>
      </c>
      <c r="K503" s="4">
        <f>IFERROR(__xludf.DUMMYFUNCTION("""COMPUTED_VALUE"""),198.0)</f>
        <v/>
      </c>
      <c r="L503" s="77">
        <f>IFERROR(__xludf.DUMMYFUNCTION("""COMPUTED_VALUE"""),198.0)</f>
        <v/>
      </c>
      <c r="O503" s="72" t="n"/>
      <c r="S503" s="4" t="n"/>
    </row>
    <row r="504">
      <c r="A504" s="74">
        <f>IFERROR(__xludf.DUMMYFUNCTION("""COMPUTED_VALUE"""),46176.0)</f>
        <v/>
      </c>
      <c r="B504" s="72">
        <f>IFERROR(__xludf.DUMMYFUNCTION("""COMPUTED_VALUE"""),61.0)</f>
        <v/>
      </c>
      <c r="C504" s="75">
        <f>IFERROR(__xludf.DUMMYFUNCTION("""COMPUTED_VALUE"""),190.0)</f>
        <v/>
      </c>
      <c r="D504" s="75">
        <f>IFERROR(__xludf.DUMMYFUNCTION("""COMPUTED_VALUE"""),"USD")</f>
        <v/>
      </c>
      <c r="E504" s="75">
        <f>IFERROR(__xludf.DUMMYFUNCTION("""COMPUTED_VALUE"""),"Efectivo USD")</f>
        <v/>
      </c>
      <c r="F504" s="75">
        <f>IFERROR(__xludf.DUMMYFUNCTION("""COMPUTED_VALUE"""),"SJMG 2012 C.A")</f>
        <v/>
      </c>
      <c r="G504" s="76">
        <f>IFERROR(__xludf.DUMMYFUNCTION("""COMPUTED_VALUE"""),"GRIMAN DIAZ HECTOR EDUARDO")</f>
        <v/>
      </c>
      <c r="H504" s="76">
        <f>IFERROR(__xludf.DUMMYFUNCTION("""COMPUTED_VALUE"""),558.6436)</f>
        <v/>
      </c>
      <c r="I504" s="75" t="n"/>
      <c r="J504" s="77">
        <f>IFERROR(__xludf.DUMMYFUNCTION("""COMPUTED_VALUE"""),190.0)</f>
        <v/>
      </c>
      <c r="K504" s="4">
        <f>IFERROR(__xludf.DUMMYFUNCTION("""COMPUTED_VALUE"""),190.0)</f>
        <v/>
      </c>
      <c r="L504" s="77">
        <f>IFERROR(__xludf.DUMMYFUNCTION("""COMPUTED_VALUE"""),190.0)</f>
        <v/>
      </c>
      <c r="O504" s="72" t="n"/>
      <c r="S504" s="4" t="n"/>
    </row>
    <row r="505">
      <c r="A505" s="74">
        <f>IFERROR(__xludf.DUMMYFUNCTION("""COMPUTED_VALUE"""),46176.0)</f>
        <v/>
      </c>
      <c r="B505" s="72">
        <f>IFERROR(__xludf.DUMMYFUNCTION("""COMPUTED_VALUE"""),330.0)</f>
        <v/>
      </c>
      <c r="C505" s="75">
        <f>IFERROR(__xludf.DUMMYFUNCTION("""COMPUTED_VALUE"""),19565.0)</f>
        <v/>
      </c>
      <c r="D505" s="75">
        <f>IFERROR(__xludf.DUMMYFUNCTION("""COMPUTED_VALUE"""),"VES")</f>
        <v/>
      </c>
      <c r="E505" s="75">
        <f>IFERROR(__xludf.DUMMYFUNCTION("""COMPUTED_VALUE"""),"Bancamiga")</f>
        <v/>
      </c>
      <c r="F505" s="75">
        <f>IFERROR(__xludf.DUMMYFUNCTION("""COMPUTED_VALUE"""),"Diana Carolina Torres")</f>
        <v/>
      </c>
      <c r="G505" s="76">
        <f>IFERROR(__xludf.DUMMYFUNCTION("""COMPUTED_VALUE"""),"VILLABONA CORREA ALBA ESTEFANIA")</f>
        <v/>
      </c>
      <c r="H505" s="76">
        <f>IFERROR(__xludf.DUMMYFUNCTION("""COMPUTED_VALUE"""),558.6436)</f>
        <v/>
      </c>
      <c r="I505" s="75" t="n"/>
      <c r="J505" s="77">
        <f>IFERROR(__xludf.DUMMYFUNCTION("""COMPUTED_VALUE"""),35.02232908423188)</f>
        <v/>
      </c>
      <c r="K505" s="4">
        <f>IFERROR(__xludf.DUMMYFUNCTION("""COMPUTED_VALUE"""),0.0)</f>
        <v/>
      </c>
      <c r="L505" s="77">
        <f>IFERROR(__xludf.DUMMYFUNCTION("""COMPUTED_VALUE"""),35.02232908423188)</f>
        <v/>
      </c>
      <c r="O505" s="72" t="n"/>
      <c r="S505" s="4" t="n"/>
    </row>
    <row r="506">
      <c r="A506" s="74">
        <f>IFERROR(__xludf.DUMMYFUNCTION("""COMPUTED_VALUE"""),46176.0)</f>
        <v/>
      </c>
      <c r="B506" s="72">
        <f>IFERROR(__xludf.DUMMYFUNCTION("""COMPUTED_VALUE"""),259.0)</f>
        <v/>
      </c>
      <c r="C506" s="75">
        <f>IFERROR(__xludf.DUMMYFUNCTION("""COMPUTED_VALUE"""),20.0)</f>
        <v/>
      </c>
      <c r="D506" s="75">
        <f>IFERROR(__xludf.DUMMYFUNCTION("""COMPUTED_VALUE"""),"USD")</f>
        <v/>
      </c>
      <c r="E506" s="75">
        <f>IFERROR(__xludf.DUMMYFUNCTION("""COMPUTED_VALUE"""),"Efectivo USD")</f>
        <v/>
      </c>
      <c r="F506" s="75">
        <f>IFERROR(__xludf.DUMMYFUNCTION("""COMPUTED_VALUE"""),"Multiservicio Tocome, C.A")</f>
        <v/>
      </c>
      <c r="G506" s="76">
        <f>IFERROR(__xludf.DUMMYFUNCTION("""COMPUTED_VALUE"""),"MARTINEZ MONTES JEFFREY ENRIQUE")</f>
        <v/>
      </c>
      <c r="H506" s="76">
        <f>IFERROR(__xludf.DUMMYFUNCTION("""COMPUTED_VALUE"""),558.6436)</f>
        <v/>
      </c>
      <c r="I506" s="75" t="n"/>
      <c r="J506" s="77">
        <f>IFERROR(__xludf.DUMMYFUNCTION("""COMPUTED_VALUE"""),20.0)</f>
        <v/>
      </c>
      <c r="K506" s="4">
        <f>IFERROR(__xludf.DUMMYFUNCTION("""COMPUTED_VALUE"""),20.0)</f>
        <v/>
      </c>
      <c r="L506" s="77">
        <f>IFERROR(__xludf.DUMMYFUNCTION("""COMPUTED_VALUE"""),20.0)</f>
        <v/>
      </c>
      <c r="O506" s="72" t="n"/>
      <c r="S506" s="4" t="n"/>
    </row>
    <row r="507">
      <c r="A507" s="74">
        <f>IFERROR(__xludf.DUMMYFUNCTION("""COMPUTED_VALUE"""),46176.0)</f>
        <v/>
      </c>
      <c r="B507" s="72">
        <f>IFERROR(__xludf.DUMMYFUNCTION("""COMPUTED_VALUE"""),223.0)</f>
        <v/>
      </c>
      <c r="C507" s="75">
        <f>IFERROR(__xludf.DUMMYFUNCTION("""COMPUTED_VALUE"""),275.0)</f>
        <v/>
      </c>
      <c r="D507" s="75">
        <f>IFERROR(__xludf.DUMMYFUNCTION("""COMPUTED_VALUE"""),"USD")</f>
        <v/>
      </c>
      <c r="E507" s="75">
        <f>IFERROR(__xludf.DUMMYFUNCTION("""COMPUTED_VALUE"""),"Efectivo USD")</f>
        <v/>
      </c>
      <c r="F507" s="75">
        <f>IFERROR(__xludf.DUMMYFUNCTION("""COMPUTED_VALUE"""),"Autorepuestos el Florin,c.a.")</f>
        <v/>
      </c>
      <c r="G507" s="76">
        <f>IFERROR(__xludf.DUMMYFUNCTION("""COMPUTED_VALUE"""),"QUEVEDO BASTIDAS NEYKEL DAVID")</f>
        <v/>
      </c>
      <c r="H507" s="76">
        <f>IFERROR(__xludf.DUMMYFUNCTION("""COMPUTED_VALUE"""),558.6436)</f>
        <v/>
      </c>
      <c r="I507" s="75" t="n"/>
      <c r="J507" s="77">
        <f>IFERROR(__xludf.DUMMYFUNCTION("""COMPUTED_VALUE"""),275.0)</f>
        <v/>
      </c>
      <c r="K507" s="4">
        <f>IFERROR(__xludf.DUMMYFUNCTION("""COMPUTED_VALUE"""),275.0)</f>
        <v/>
      </c>
      <c r="L507" s="77">
        <f>IFERROR(__xludf.DUMMYFUNCTION("""COMPUTED_VALUE"""),275.0)</f>
        <v/>
      </c>
      <c r="O507" s="72" t="n"/>
      <c r="S507" s="4" t="n"/>
    </row>
    <row r="508">
      <c r="A508" s="74">
        <f>IFERROR(__xludf.DUMMYFUNCTION("""COMPUTED_VALUE"""),46176.0)</f>
        <v/>
      </c>
      <c r="B508" s="72">
        <f>IFERROR(__xludf.DUMMYFUNCTION("""COMPUTED_VALUE"""),280.0)</f>
        <v/>
      </c>
      <c r="C508" s="75">
        <f>IFERROR(__xludf.DUMMYFUNCTION("""COMPUTED_VALUE"""),88784.19)</f>
        <v/>
      </c>
      <c r="D508" s="75">
        <f>IFERROR(__xludf.DUMMYFUNCTION("""COMPUTED_VALUE"""),"VES")</f>
        <v/>
      </c>
      <c r="E508" s="75">
        <f>IFERROR(__xludf.DUMMYFUNCTION("""COMPUTED_VALUE"""),"Bancamiga")</f>
        <v/>
      </c>
      <c r="F508" s="75">
        <f>IFERROR(__xludf.DUMMYFUNCTION("""COMPUTED_VALUE"""),"Lubristation, C.A.")</f>
        <v/>
      </c>
      <c r="G508" s="76">
        <f>IFERROR(__xludf.DUMMYFUNCTION("""COMPUTED_VALUE"""),"QUEVEDO BASTIDAS NEYKEL DAVID")</f>
        <v/>
      </c>
      <c r="H508" s="76">
        <f>IFERROR(__xludf.DUMMYFUNCTION("""COMPUTED_VALUE"""),558.6436)</f>
        <v/>
      </c>
      <c r="I508" s="75" t="n"/>
      <c r="J508" s="77">
        <f>IFERROR(__xludf.DUMMYFUNCTION("""COMPUTED_VALUE"""),158.92814309516837)</f>
        <v/>
      </c>
      <c r="K508" s="4">
        <f>IFERROR(__xludf.DUMMYFUNCTION("""COMPUTED_VALUE"""),0.0)</f>
        <v/>
      </c>
      <c r="L508" s="77">
        <f>IFERROR(__xludf.DUMMYFUNCTION("""COMPUTED_VALUE"""),158.92814309516837)</f>
        <v/>
      </c>
      <c r="O508" s="72" t="n"/>
      <c r="S508" s="4" t="n"/>
    </row>
    <row r="509">
      <c r="A509" s="74">
        <f>IFERROR(__xludf.DUMMYFUNCTION("""COMPUTED_VALUE"""),46176.0)</f>
        <v/>
      </c>
      <c r="B509" s="72">
        <f>IFERROR(__xludf.DUMMYFUNCTION("""COMPUTED_VALUE"""),358.0)</f>
        <v/>
      </c>
      <c r="C509" s="75">
        <f>IFERROR(__xludf.DUMMYFUNCTION("""COMPUTED_VALUE"""),539470.0)</f>
        <v/>
      </c>
      <c r="D509" s="75">
        <f>IFERROR(__xludf.DUMMYFUNCTION("""COMPUTED_VALUE"""),"VES")</f>
        <v/>
      </c>
      <c r="E509" s="75">
        <f>IFERROR(__xludf.DUMMYFUNCTION("""COMPUTED_VALUE"""),"Bancamiga")</f>
        <v/>
      </c>
      <c r="F509" s="75">
        <f>IFERROR(__xludf.DUMMYFUNCTION("""COMPUTED_VALUE"""),"E&amp;M CAR SHOP C.A")</f>
        <v/>
      </c>
      <c r="G509" s="76">
        <f>IFERROR(__xludf.DUMMYFUNCTION("""COMPUTED_VALUE"""),"BETANCOURT ROBRIGUEZ LUIS ENRRIQUE")</f>
        <v/>
      </c>
      <c r="H509" s="76">
        <f>IFERROR(__xludf.DUMMYFUNCTION("""COMPUTED_VALUE"""),558.6436)</f>
        <v/>
      </c>
      <c r="I509" s="75" t="n"/>
      <c r="J509" s="77">
        <f>IFERROR(__xludf.DUMMYFUNCTION("""COMPUTED_VALUE"""),965.678296502457)</f>
        <v/>
      </c>
      <c r="K509" s="4">
        <f>IFERROR(__xludf.DUMMYFUNCTION("""COMPUTED_VALUE"""),0.0)</f>
        <v/>
      </c>
      <c r="L509" s="77">
        <f>IFERROR(__xludf.DUMMYFUNCTION("""COMPUTED_VALUE"""),965.678296502457)</f>
        <v/>
      </c>
      <c r="O509" s="72" t="n"/>
      <c r="S509" s="4" t="n"/>
    </row>
    <row r="510">
      <c r="A510" s="74">
        <f>IFERROR(__xludf.DUMMYFUNCTION("""COMPUTED_VALUE"""),46176.0)</f>
        <v/>
      </c>
      <c r="B510" s="72">
        <f>IFERROR(__xludf.DUMMYFUNCTION("""COMPUTED_VALUE"""),127.0)</f>
        <v/>
      </c>
      <c r="C510" s="75">
        <f>IFERROR(__xludf.DUMMYFUNCTION("""COMPUTED_VALUE"""),50.0)</f>
        <v/>
      </c>
      <c r="D510" s="75">
        <f>IFERROR(__xludf.DUMMYFUNCTION("""COMPUTED_VALUE"""),"USD")</f>
        <v/>
      </c>
      <c r="E510" s="75">
        <f>IFERROR(__xludf.DUMMYFUNCTION("""COMPUTED_VALUE"""),"Efectivo USD")</f>
        <v/>
      </c>
      <c r="F510" s="75">
        <f>IFERROR(__xludf.DUMMYFUNCTION("""COMPUTED_VALUE"""),"Emprendimiento José Sánchez 203 c.a")</f>
        <v/>
      </c>
      <c r="G510" s="76">
        <f>IFERROR(__xludf.DUMMYFUNCTION("""COMPUTED_VALUE"""),"BETANCOURT ROBRIGUEZ LUIS ENRRIQUE")</f>
        <v/>
      </c>
      <c r="H510" s="76">
        <f>IFERROR(__xludf.DUMMYFUNCTION("""COMPUTED_VALUE"""),558.6436)</f>
        <v/>
      </c>
      <c r="I510" s="75" t="n"/>
      <c r="J510" s="77">
        <f>IFERROR(__xludf.DUMMYFUNCTION("""COMPUTED_VALUE"""),50.0)</f>
        <v/>
      </c>
      <c r="K510" s="4">
        <f>IFERROR(__xludf.DUMMYFUNCTION("""COMPUTED_VALUE"""),50.0)</f>
        <v/>
      </c>
      <c r="L510" s="77">
        <f>IFERROR(__xludf.DUMMYFUNCTION("""COMPUTED_VALUE"""),50.0)</f>
        <v/>
      </c>
      <c r="O510" s="72" t="n"/>
      <c r="S510" s="4" t="n"/>
    </row>
    <row r="511">
      <c r="A511" s="74">
        <f>IFERROR(__xludf.DUMMYFUNCTION("""COMPUTED_VALUE"""),46176.0)</f>
        <v/>
      </c>
      <c r="B511" s="72">
        <f>IFERROR(__xludf.DUMMYFUNCTION("""COMPUTED_VALUE"""),178.0)</f>
        <v/>
      </c>
      <c r="C511" s="75">
        <f>IFERROR(__xludf.DUMMYFUNCTION("""COMPUTED_VALUE"""),29560.0)</f>
        <v/>
      </c>
      <c r="D511" s="75">
        <f>IFERROR(__xludf.DUMMYFUNCTION("""COMPUTED_VALUE"""),"VES")</f>
        <v/>
      </c>
      <c r="E511" s="75">
        <f>IFERROR(__xludf.DUMMYFUNCTION("""COMPUTED_VALUE"""),"Bancamiga")</f>
        <v/>
      </c>
      <c r="F511" s="75">
        <f>IFERROR(__xludf.DUMMYFUNCTION("""COMPUTED_VALUE"""),"Distribuidora Nesmari 2050 c.a")</f>
        <v/>
      </c>
      <c r="G511" s="76">
        <f>IFERROR(__xludf.DUMMYFUNCTION("""COMPUTED_VALUE"""),"BETANCOURT ROBRIGUEZ LUIS ENRRIQUE")</f>
        <v/>
      </c>
      <c r="H511" s="76">
        <f>IFERROR(__xludf.DUMMYFUNCTION("""COMPUTED_VALUE"""),558.6436)</f>
        <v/>
      </c>
      <c r="I511" s="75" t="n"/>
      <c r="J511" s="77">
        <f>IFERROR(__xludf.DUMMYFUNCTION("""COMPUTED_VALUE"""),52.913879260408606)</f>
        <v/>
      </c>
      <c r="K511" s="4">
        <f>IFERROR(__xludf.DUMMYFUNCTION("""COMPUTED_VALUE"""),0.0)</f>
        <v/>
      </c>
      <c r="L511" s="77">
        <f>IFERROR(__xludf.DUMMYFUNCTION("""COMPUTED_VALUE"""),52.913879260408606)</f>
        <v/>
      </c>
      <c r="O511" s="72" t="n"/>
      <c r="S511" s="4" t="n"/>
    </row>
    <row r="512">
      <c r="A512" s="74">
        <f>IFERROR(__xludf.DUMMYFUNCTION("""COMPUTED_VALUE"""),46177.0)</f>
        <v/>
      </c>
      <c r="B512" s="72">
        <f>IFERROR(__xludf.DUMMYFUNCTION("""COMPUTED_VALUE"""),274.0)</f>
        <v/>
      </c>
      <c r="C512" s="75">
        <f>IFERROR(__xludf.DUMMYFUNCTION("""COMPUTED_VALUE"""),40.0)</f>
        <v/>
      </c>
      <c r="D512" s="75">
        <f>IFERROR(__xludf.DUMMYFUNCTION("""COMPUTED_VALUE"""),"USD")</f>
        <v/>
      </c>
      <c r="E512" s="75">
        <f>IFERROR(__xludf.DUMMYFUNCTION("""COMPUTED_VALUE"""),"Efectivo USD")</f>
        <v/>
      </c>
      <c r="F512" s="75">
        <f>IFERROR(__xludf.DUMMYFUNCTION("""COMPUTED_VALUE"""),"ADS SERVICE C.A")</f>
        <v/>
      </c>
      <c r="G512" s="76">
        <f>IFERROR(__xludf.DUMMYFUNCTION("""COMPUTED_VALUE"""),"PEREZ DIAZ ANGEL DE DIOS")</f>
        <v/>
      </c>
      <c r="H512" s="76">
        <f>IFERROR(__xludf.DUMMYFUNCTION("""COMPUTED_VALUE"""),560.3753)</f>
        <v/>
      </c>
      <c r="I512" s="75" t="n"/>
      <c r="J512" s="77">
        <f>IFERROR(__xludf.DUMMYFUNCTION("""COMPUTED_VALUE"""),40.0)</f>
        <v/>
      </c>
      <c r="K512" s="4">
        <f>IFERROR(__xludf.DUMMYFUNCTION("""COMPUTED_VALUE"""),40.0)</f>
        <v/>
      </c>
      <c r="L512" s="77">
        <f>IFERROR(__xludf.DUMMYFUNCTION("""COMPUTED_VALUE"""),40.0)</f>
        <v/>
      </c>
      <c r="O512" s="72" t="n"/>
      <c r="S512" s="4" t="n"/>
    </row>
    <row r="513">
      <c r="A513" s="74">
        <f>IFERROR(__xludf.DUMMYFUNCTION("""COMPUTED_VALUE"""),46177.0)</f>
        <v/>
      </c>
      <c r="B513" s="72">
        <f>IFERROR(__xludf.DUMMYFUNCTION("""COMPUTED_VALUE"""),93.0)</f>
        <v/>
      </c>
      <c r="C513" s="75">
        <f>IFERROR(__xludf.DUMMYFUNCTION("""COMPUTED_VALUE"""),20.0)</f>
        <v/>
      </c>
      <c r="D513" s="75">
        <f>IFERROR(__xludf.DUMMYFUNCTION("""COMPUTED_VALUE"""),"USD")</f>
        <v/>
      </c>
      <c r="E513" s="75">
        <f>IFERROR(__xludf.DUMMYFUNCTION("""COMPUTED_VALUE"""),"Efectivo USD")</f>
        <v/>
      </c>
      <c r="F513" s="75">
        <f>IFERROR(__xludf.DUMMYFUNCTION("""COMPUTED_VALUE"""),"Emprendimiento YSKRA")</f>
        <v/>
      </c>
      <c r="G513" s="76">
        <f>IFERROR(__xludf.DUMMYFUNCTION("""COMPUTED_VALUE"""),"PEREZ DIAZ ANGEL DE DIOS")</f>
        <v/>
      </c>
      <c r="H513" s="76">
        <f>IFERROR(__xludf.DUMMYFUNCTION("""COMPUTED_VALUE"""),560.3753)</f>
        <v/>
      </c>
      <c r="I513" s="75" t="n"/>
      <c r="J513" s="77">
        <f>IFERROR(__xludf.DUMMYFUNCTION("""COMPUTED_VALUE"""),20.0)</f>
        <v/>
      </c>
      <c r="K513" s="4">
        <f>IFERROR(__xludf.DUMMYFUNCTION("""COMPUTED_VALUE"""),20.0)</f>
        <v/>
      </c>
      <c r="L513" s="77">
        <f>IFERROR(__xludf.DUMMYFUNCTION("""COMPUTED_VALUE"""),20.0)</f>
        <v/>
      </c>
      <c r="O513" s="72" t="n"/>
      <c r="S513" s="4" t="n"/>
    </row>
    <row r="514">
      <c r="A514" s="74">
        <f>IFERROR(__xludf.DUMMYFUNCTION("""COMPUTED_VALUE"""),46177.0)</f>
        <v/>
      </c>
      <c r="B514" s="72">
        <f>IFERROR(__xludf.DUMMYFUNCTION("""COMPUTED_VALUE"""),20.0)</f>
        <v/>
      </c>
      <c r="C514" s="75">
        <f>IFERROR(__xludf.DUMMYFUNCTION("""COMPUTED_VALUE"""),13010.0)</f>
        <v/>
      </c>
      <c r="D514" s="75">
        <f>IFERROR(__xludf.DUMMYFUNCTION("""COMPUTED_VALUE"""),"VES")</f>
        <v/>
      </c>
      <c r="E514" s="75">
        <f>IFERROR(__xludf.DUMMYFUNCTION("""COMPUTED_VALUE"""),"Bancamiga")</f>
        <v/>
      </c>
      <c r="F514" s="75">
        <f>IFERROR(__xludf.DUMMYFUNCTION("""COMPUTED_VALUE"""),"EMPRENDIMIENTO TOMAS MARCANO 5")</f>
        <v/>
      </c>
      <c r="G514" s="76">
        <f>IFERROR(__xludf.DUMMYFUNCTION("""COMPUTED_VALUE"""),"VILLABONA CORREA ALBA ESTEFANIA")</f>
        <v/>
      </c>
      <c r="H514" s="76">
        <f>IFERROR(__xludf.DUMMYFUNCTION("""COMPUTED_VALUE"""),560.3753)</f>
        <v/>
      </c>
      <c r="I514" s="75" t="n"/>
      <c r="J514" s="77">
        <f>IFERROR(__xludf.DUMMYFUNCTION("""COMPUTED_VALUE"""),23.216583600312145)</f>
        <v/>
      </c>
      <c r="K514" s="4">
        <f>IFERROR(__xludf.DUMMYFUNCTION("""COMPUTED_VALUE"""),0.0)</f>
        <v/>
      </c>
      <c r="L514" s="77">
        <f>IFERROR(__xludf.DUMMYFUNCTION("""COMPUTED_VALUE"""),23.216583600312145)</f>
        <v/>
      </c>
      <c r="O514" s="72" t="n"/>
      <c r="S514" s="4" t="n"/>
    </row>
    <row r="515">
      <c r="A515" s="74">
        <f>IFERROR(__xludf.DUMMYFUNCTION("""COMPUTED_VALUE"""),46177.0)</f>
        <v/>
      </c>
      <c r="B515" s="72">
        <f>IFERROR(__xludf.DUMMYFUNCTION("""COMPUTED_VALUE"""),398.0)</f>
        <v/>
      </c>
      <c r="C515" s="75">
        <f>IFERROR(__xludf.DUMMYFUNCTION("""COMPUTED_VALUE"""),39686.0)</f>
        <v/>
      </c>
      <c r="D515" s="75">
        <f>IFERROR(__xludf.DUMMYFUNCTION("""COMPUTED_VALUE"""),"VES")</f>
        <v/>
      </c>
      <c r="E515" s="75">
        <f>IFERROR(__xludf.DUMMYFUNCTION("""COMPUTED_VALUE"""),"Venezuela")</f>
        <v/>
      </c>
      <c r="F515" s="75">
        <f>IFERROR(__xludf.DUMMYFUNCTION("""COMPUTED_VALUE"""),"Moto repuestos jj")</f>
        <v/>
      </c>
      <c r="G515" s="76">
        <f>IFERROR(__xludf.DUMMYFUNCTION("""COMPUTED_VALUE"""),"PEREZ DIAZ ANGEL DE DIOS")</f>
        <v/>
      </c>
      <c r="H515" s="76">
        <f>IFERROR(__xludf.DUMMYFUNCTION("""COMPUTED_VALUE"""),560.3753)</f>
        <v/>
      </c>
      <c r="I515" s="75" t="n"/>
      <c r="J515" s="77">
        <f>IFERROR(__xludf.DUMMYFUNCTION("""COMPUTED_VALUE"""),70.82039483182074)</f>
        <v/>
      </c>
      <c r="K515" s="4">
        <f>IFERROR(__xludf.DUMMYFUNCTION("""COMPUTED_VALUE"""),0.0)</f>
        <v/>
      </c>
      <c r="L515" s="77">
        <f>IFERROR(__xludf.DUMMYFUNCTION("""COMPUTED_VALUE"""),70.82039483182074)</f>
        <v/>
      </c>
      <c r="O515" s="72" t="n"/>
      <c r="S515" s="4" t="n"/>
    </row>
    <row r="516">
      <c r="A516" s="74">
        <f>IFERROR(__xludf.DUMMYFUNCTION("""COMPUTED_VALUE"""),46176.0)</f>
        <v/>
      </c>
      <c r="B516" s="72">
        <f>IFERROR(__xludf.DUMMYFUNCTION("""COMPUTED_VALUE"""),332.0)</f>
        <v/>
      </c>
      <c r="C516" s="75">
        <f>IFERROR(__xludf.DUMMYFUNCTION("""COMPUTED_VALUE"""),960.87)</f>
        <v/>
      </c>
      <c r="D516" s="75">
        <f>IFERROR(__xludf.DUMMYFUNCTION("""COMPUTED_VALUE"""),"VES")</f>
        <v/>
      </c>
      <c r="E516" s="75">
        <f>IFERROR(__xludf.DUMMYFUNCTION("""COMPUTED_VALUE"""),"Bancamiga")</f>
        <v/>
      </c>
      <c r="F516" s="75">
        <f>IFERROR(__xludf.DUMMYFUNCTION("""COMPUTED_VALUE"""),"Inversiones García GL C.A")</f>
        <v/>
      </c>
      <c r="G516" s="76">
        <f>IFERROR(__xludf.DUMMYFUNCTION("""COMPUTED_VALUE"""),"QUEVEDO BASTIDAS NEYKEL DAVID")</f>
        <v/>
      </c>
      <c r="H516" s="76">
        <f>IFERROR(__xludf.DUMMYFUNCTION("""COMPUTED_VALUE"""),558.6436)</f>
        <v/>
      </c>
      <c r="I516" s="75" t="n"/>
      <c r="J516" s="77">
        <f>IFERROR(__xludf.DUMMYFUNCTION("""COMPUTED_VALUE"""),1.7200053844705283)</f>
        <v/>
      </c>
      <c r="K516" s="4">
        <f>IFERROR(__xludf.DUMMYFUNCTION("""COMPUTED_VALUE"""),0.0)</f>
        <v/>
      </c>
      <c r="L516" s="77">
        <f>IFERROR(__xludf.DUMMYFUNCTION("""COMPUTED_VALUE"""),1.7200053844705283)</f>
        <v/>
      </c>
      <c r="O516" s="72" t="n"/>
      <c r="S516" s="4" t="n"/>
    </row>
    <row r="517">
      <c r="A517" s="74">
        <f>IFERROR(__xludf.DUMMYFUNCTION("""COMPUTED_VALUE"""),46177.0)</f>
        <v/>
      </c>
      <c r="B517" s="72">
        <f>IFERROR(__xludf.DUMMYFUNCTION("""COMPUTED_VALUE"""),353.0)</f>
        <v/>
      </c>
      <c r="C517" s="75">
        <f>IFERROR(__xludf.DUMMYFUNCTION("""COMPUTED_VALUE"""),40.0)</f>
        <v/>
      </c>
      <c r="D517" s="75">
        <f>IFERROR(__xludf.DUMMYFUNCTION("""COMPUTED_VALUE"""),"USD")</f>
        <v/>
      </c>
      <c r="E517" s="75">
        <f>IFERROR(__xludf.DUMMYFUNCTION("""COMPUTED_VALUE"""),"Efectivo USD")</f>
        <v/>
      </c>
      <c r="F517" s="75">
        <f>IFERROR(__xludf.DUMMYFUNCTION("""COMPUTED_VALUE"""),"Emprendimiento Tomas Paz")</f>
        <v/>
      </c>
      <c r="G517" s="76">
        <f>IFERROR(__xludf.DUMMYFUNCTION("""COMPUTED_VALUE"""),"TORO ARDILES DAVID JOSE")</f>
        <v/>
      </c>
      <c r="H517" s="76">
        <f>IFERROR(__xludf.DUMMYFUNCTION("""COMPUTED_VALUE"""),560.3753)</f>
        <v/>
      </c>
      <c r="I517" s="75" t="n"/>
      <c r="J517" s="77">
        <f>IFERROR(__xludf.DUMMYFUNCTION("""COMPUTED_VALUE"""),40.0)</f>
        <v/>
      </c>
      <c r="K517" s="4">
        <f>IFERROR(__xludf.DUMMYFUNCTION("""COMPUTED_VALUE"""),40.0)</f>
        <v/>
      </c>
      <c r="L517" s="77">
        <f>IFERROR(__xludf.DUMMYFUNCTION("""COMPUTED_VALUE"""),40.0)</f>
        <v/>
      </c>
      <c r="O517" s="72" t="n"/>
      <c r="S517" s="4" t="n"/>
    </row>
    <row r="518">
      <c r="A518" s="74">
        <f>IFERROR(__xludf.DUMMYFUNCTION("""COMPUTED_VALUE"""),46177.0)</f>
        <v/>
      </c>
      <c r="B518" s="72">
        <f>IFERROR(__xludf.DUMMYFUNCTION("""COMPUTED_VALUE"""),159.0)</f>
        <v/>
      </c>
      <c r="C518" s="75">
        <f>IFERROR(__xludf.DUMMYFUNCTION("""COMPUTED_VALUE"""),200.0)</f>
        <v/>
      </c>
      <c r="D518" s="75">
        <f>IFERROR(__xludf.DUMMYFUNCTION("""COMPUTED_VALUE"""),"USD")</f>
        <v/>
      </c>
      <c r="E518" s="75">
        <f>IFERROR(__xludf.DUMMYFUNCTION("""COMPUTED_VALUE"""),"Efectivo USD")</f>
        <v/>
      </c>
      <c r="F518" s="75">
        <f>IFERROR(__xludf.DUMMYFUNCTION("""COMPUTED_VALUE"""),"Grupo 3030, C.A")</f>
        <v/>
      </c>
      <c r="G518" s="76">
        <f>IFERROR(__xludf.DUMMYFUNCTION("""COMPUTED_VALUE"""),"MARTINEZ MONTES JEFFREY ENRIQUE")</f>
        <v/>
      </c>
      <c r="H518" s="76">
        <f>IFERROR(__xludf.DUMMYFUNCTION("""COMPUTED_VALUE"""),560.3753)</f>
        <v/>
      </c>
      <c r="I518" s="75" t="n"/>
      <c r="J518" s="77">
        <f>IFERROR(__xludf.DUMMYFUNCTION("""COMPUTED_VALUE"""),200.0)</f>
        <v/>
      </c>
      <c r="K518" s="4">
        <f>IFERROR(__xludf.DUMMYFUNCTION("""COMPUTED_VALUE"""),200.0)</f>
        <v/>
      </c>
      <c r="L518" s="77">
        <f>IFERROR(__xludf.DUMMYFUNCTION("""COMPUTED_VALUE"""),200.0)</f>
        <v/>
      </c>
      <c r="O518" s="72" t="n"/>
      <c r="S518" s="4" t="n"/>
    </row>
    <row r="519">
      <c r="A519" s="74">
        <f>IFERROR(__xludf.DUMMYFUNCTION("""COMPUTED_VALUE"""),46177.0)</f>
        <v/>
      </c>
      <c r="B519" s="72">
        <f>IFERROR(__xludf.DUMMYFUNCTION("""COMPUTED_VALUE"""),348.0)</f>
        <v/>
      </c>
      <c r="C519" s="75">
        <f>IFERROR(__xludf.DUMMYFUNCTION("""COMPUTED_VALUE"""),152745.65)</f>
        <v/>
      </c>
      <c r="D519" s="75">
        <f>IFERROR(__xludf.DUMMYFUNCTION("""COMPUTED_VALUE"""),"VES")</f>
        <v/>
      </c>
      <c r="E519" s="75">
        <f>IFERROR(__xludf.DUMMYFUNCTION("""COMPUTED_VALUE"""),"Bancamiga")</f>
        <v/>
      </c>
      <c r="F519" s="75">
        <f>IFERROR(__xludf.DUMMYFUNCTION("""COMPUTED_VALUE"""),"Comercial Rio Paraguas C.A")</f>
        <v/>
      </c>
      <c r="G519" s="76">
        <f>IFERROR(__xludf.DUMMYFUNCTION("""COMPUTED_VALUE"""),"QUEVEDO BASTIDAS NEYKEL DAVID")</f>
        <v/>
      </c>
      <c r="H519" s="76">
        <f>IFERROR(__xludf.DUMMYFUNCTION("""COMPUTED_VALUE"""),560.3753)</f>
        <v/>
      </c>
      <c r="I519" s="75" t="n"/>
      <c r="J519" s="77">
        <f>IFERROR(__xludf.DUMMYFUNCTION("""COMPUTED_VALUE"""),272.5774137439676)</f>
        <v/>
      </c>
      <c r="K519" s="4">
        <f>IFERROR(__xludf.DUMMYFUNCTION("""COMPUTED_VALUE"""),0.0)</f>
        <v/>
      </c>
      <c r="L519" s="77">
        <f>IFERROR(__xludf.DUMMYFUNCTION("""COMPUTED_VALUE"""),272.5774137439676)</f>
        <v/>
      </c>
      <c r="O519" s="72" t="n"/>
      <c r="S519" s="4" t="n"/>
    </row>
    <row r="520">
      <c r="A520" s="74">
        <f>IFERROR(__xludf.DUMMYFUNCTION("""COMPUTED_VALUE"""),46177.0)</f>
        <v/>
      </c>
      <c r="B520" s="72">
        <f>IFERROR(__xludf.DUMMYFUNCTION("""COMPUTED_VALUE"""),502.0)</f>
        <v/>
      </c>
      <c r="C520" s="75">
        <f>IFERROR(__xludf.DUMMYFUNCTION("""COMPUTED_VALUE"""),70.0)</f>
        <v/>
      </c>
      <c r="D520" s="75">
        <f>IFERROR(__xludf.DUMMYFUNCTION("""COMPUTED_VALUE"""),"USD")</f>
        <v/>
      </c>
      <c r="E520" s="75">
        <f>IFERROR(__xludf.DUMMYFUNCTION("""COMPUTED_VALUE"""),"Efectivo USD")</f>
        <v/>
      </c>
      <c r="F520" s="75">
        <f>IFERROR(__xludf.DUMMYFUNCTION("""COMPUTED_VALUE"""),"GRIMAN DIAZ HECTOR EDUARDO")</f>
        <v/>
      </c>
      <c r="G520" s="76">
        <f>IFERROR(__xludf.DUMMYFUNCTION("""COMPUTED_VALUE"""),"VILLABONA CORREA ALBA ESTEFANIA")</f>
        <v/>
      </c>
      <c r="H520" s="76">
        <f>IFERROR(__xludf.DUMMYFUNCTION("""COMPUTED_VALUE"""),560.3753)</f>
        <v/>
      </c>
      <c r="I520" s="75" t="n"/>
      <c r="J520" s="77">
        <f>IFERROR(__xludf.DUMMYFUNCTION("""COMPUTED_VALUE"""),70.0)</f>
        <v/>
      </c>
      <c r="K520" s="4">
        <f>IFERROR(__xludf.DUMMYFUNCTION("""COMPUTED_VALUE"""),70.0)</f>
        <v/>
      </c>
      <c r="L520" s="77">
        <f>IFERROR(__xludf.DUMMYFUNCTION("""COMPUTED_VALUE"""),70.0)</f>
        <v/>
      </c>
      <c r="O520" s="72" t="n"/>
      <c r="S520" s="4" t="n"/>
    </row>
    <row r="521">
      <c r="A521" s="74">
        <f>IFERROR(__xludf.DUMMYFUNCTION("""COMPUTED_VALUE"""),46177.0)</f>
        <v/>
      </c>
      <c r="B521" s="72">
        <f>IFERROR(__xludf.DUMMYFUNCTION("""COMPUTED_VALUE"""),218.0)</f>
        <v/>
      </c>
      <c r="C521" s="75">
        <f>IFERROR(__xludf.DUMMYFUNCTION("""COMPUTED_VALUE"""),70.0)</f>
        <v/>
      </c>
      <c r="D521" s="75">
        <f>IFERROR(__xludf.DUMMYFUNCTION("""COMPUTED_VALUE"""),"USD")</f>
        <v/>
      </c>
      <c r="E521" s="75">
        <f>IFERROR(__xludf.DUMMYFUNCTION("""COMPUTED_VALUE"""),"Efectivo USD")</f>
        <v/>
      </c>
      <c r="F521" s="75">
        <f>IFERROR(__xludf.DUMMYFUNCTION("""COMPUTED_VALUE"""),"Cooperativa Dios mi Amparo, R.L.")</f>
        <v/>
      </c>
      <c r="G521" s="76">
        <f>IFERROR(__xludf.DUMMYFUNCTION("""COMPUTED_VALUE"""),"BETANCOURT ROBRIGUEZ LUIS ENRRIQUE")</f>
        <v/>
      </c>
      <c r="H521" s="76">
        <f>IFERROR(__xludf.DUMMYFUNCTION("""COMPUTED_VALUE"""),560.3753)</f>
        <v/>
      </c>
      <c r="I521" s="75" t="n"/>
      <c r="J521" s="77">
        <f>IFERROR(__xludf.DUMMYFUNCTION("""COMPUTED_VALUE"""),70.0)</f>
        <v/>
      </c>
      <c r="K521" s="4">
        <f>IFERROR(__xludf.DUMMYFUNCTION("""COMPUTED_VALUE"""),70.0)</f>
        <v/>
      </c>
      <c r="L521" s="77">
        <f>IFERROR(__xludf.DUMMYFUNCTION("""COMPUTED_VALUE"""),70.0)</f>
        <v/>
      </c>
      <c r="O521" s="72" t="n"/>
      <c r="S521" s="4" t="n"/>
    </row>
    <row r="522">
      <c r="A522" s="74">
        <f>IFERROR(__xludf.DUMMYFUNCTION("""COMPUTED_VALUE"""),46177.0)</f>
        <v/>
      </c>
      <c r="B522" s="72">
        <f>IFERROR(__xludf.DUMMYFUNCTION("""COMPUTED_VALUE"""),395.0)</f>
        <v/>
      </c>
      <c r="C522" s="75">
        <f>IFERROR(__xludf.DUMMYFUNCTION("""COMPUTED_VALUE"""),11.94)</f>
        <v/>
      </c>
      <c r="D522" s="75">
        <f>IFERROR(__xludf.DUMMYFUNCTION("""COMPUTED_VALUE"""),"USD")</f>
        <v/>
      </c>
      <c r="E522" s="75">
        <f>IFERROR(__xludf.DUMMYFUNCTION("""COMPUTED_VALUE"""),"Efectivo USD")</f>
        <v/>
      </c>
      <c r="F522" s="75">
        <f>IFERROR(__xludf.DUMMYFUNCTION("""COMPUTED_VALUE"""),"Emprendimiento Eduardo Pérez 6")</f>
        <v/>
      </c>
      <c r="G522" s="76">
        <f>IFERROR(__xludf.DUMMYFUNCTION("""COMPUTED_VALUE"""),"QUEVEDO BASTIDAS NEYKEL DAVID")</f>
        <v/>
      </c>
      <c r="H522" s="76">
        <f>IFERROR(__xludf.DUMMYFUNCTION("""COMPUTED_VALUE"""),560.3753)</f>
        <v/>
      </c>
      <c r="I522" s="75" t="n"/>
      <c r="J522" s="77">
        <f>IFERROR(__xludf.DUMMYFUNCTION("""COMPUTED_VALUE"""),11.94)</f>
        <v/>
      </c>
      <c r="K522" s="4">
        <f>IFERROR(__xludf.DUMMYFUNCTION("""COMPUTED_VALUE"""),11.94)</f>
        <v/>
      </c>
      <c r="L522" s="77">
        <f>IFERROR(__xludf.DUMMYFUNCTION("""COMPUTED_VALUE"""),11.94)</f>
        <v/>
      </c>
      <c r="O522" s="72" t="n"/>
      <c r="S522" s="4" t="n"/>
    </row>
    <row r="523">
      <c r="A523" s="74">
        <f>IFERROR(__xludf.DUMMYFUNCTION("""COMPUTED_VALUE"""),46177.0)</f>
        <v/>
      </c>
      <c r="B523" s="72">
        <f>IFERROR(__xludf.DUMMYFUNCTION("""COMPUTED_VALUE"""),475.0)</f>
        <v/>
      </c>
      <c r="C523" s="75">
        <f>IFERROR(__xludf.DUMMYFUNCTION("""COMPUTED_VALUE"""),8.06)</f>
        <v/>
      </c>
      <c r="D523" s="75">
        <f>IFERROR(__xludf.DUMMYFUNCTION("""COMPUTED_VALUE"""),"USD")</f>
        <v/>
      </c>
      <c r="E523" s="75">
        <f>IFERROR(__xludf.DUMMYFUNCTION("""COMPUTED_VALUE"""),"Efectivo USD")</f>
        <v/>
      </c>
      <c r="F523" s="75">
        <f>IFERROR(__xludf.DUMMYFUNCTION("""COMPUTED_VALUE"""),"Emprendimiento Eduardo Pérez 6")</f>
        <v/>
      </c>
      <c r="G523" s="76">
        <f>IFERROR(__xludf.DUMMYFUNCTION("""COMPUTED_VALUE"""),"QUEVEDO BASTIDAS NEYKEL DAVID")</f>
        <v/>
      </c>
      <c r="H523" s="76">
        <f>IFERROR(__xludf.DUMMYFUNCTION("""COMPUTED_VALUE"""),560.3753)</f>
        <v/>
      </c>
      <c r="I523" s="75" t="n"/>
      <c r="J523" s="77">
        <f>IFERROR(__xludf.DUMMYFUNCTION("""COMPUTED_VALUE"""),8.06)</f>
        <v/>
      </c>
      <c r="K523" s="4">
        <f>IFERROR(__xludf.DUMMYFUNCTION("""COMPUTED_VALUE"""),8.06)</f>
        <v/>
      </c>
      <c r="L523" s="77">
        <f>IFERROR(__xludf.DUMMYFUNCTION("""COMPUTED_VALUE"""),8.06)</f>
        <v/>
      </c>
      <c r="O523" s="72" t="n"/>
      <c r="S523" s="4" t="n"/>
    </row>
    <row r="524">
      <c r="A524" s="74">
        <f>IFERROR(__xludf.DUMMYFUNCTION("""COMPUTED_VALUE"""),46177.0)</f>
        <v/>
      </c>
      <c r="B524" s="72">
        <f>IFERROR(__xludf.DUMMYFUNCTION("""COMPUTED_VALUE"""),265.0)</f>
        <v/>
      </c>
      <c r="C524" s="75">
        <f>IFERROR(__xludf.DUMMYFUNCTION("""COMPUTED_VALUE"""),20.0)</f>
        <v/>
      </c>
      <c r="D524" s="75">
        <f>IFERROR(__xludf.DUMMYFUNCTION("""COMPUTED_VALUE"""),"USD")</f>
        <v/>
      </c>
      <c r="E524" s="75">
        <f>IFERROR(__xludf.DUMMYFUNCTION("""COMPUTED_VALUE"""),"Efectivo USD")</f>
        <v/>
      </c>
      <c r="F524" s="75">
        <f>IFERROR(__xludf.DUMMYFUNCTION("""COMPUTED_VALUE"""),"Repuestos Guia Dios Nuestro Camino,c.a.")</f>
        <v/>
      </c>
      <c r="G524" s="76">
        <f>IFERROR(__xludf.DUMMYFUNCTION("""COMPUTED_VALUE"""),"QUEVEDO BASTIDAS NEYKEL DAVID")</f>
        <v/>
      </c>
      <c r="H524" s="76">
        <f>IFERROR(__xludf.DUMMYFUNCTION("""COMPUTED_VALUE"""),560.3753)</f>
        <v/>
      </c>
      <c r="I524" s="75" t="n"/>
      <c r="J524" s="77">
        <f>IFERROR(__xludf.DUMMYFUNCTION("""COMPUTED_VALUE"""),20.0)</f>
        <v/>
      </c>
      <c r="K524" s="4">
        <f>IFERROR(__xludf.DUMMYFUNCTION("""COMPUTED_VALUE"""),20.0)</f>
        <v/>
      </c>
      <c r="L524" s="77">
        <f>IFERROR(__xludf.DUMMYFUNCTION("""COMPUTED_VALUE"""),20.0)</f>
        <v/>
      </c>
      <c r="O524" s="72" t="n"/>
      <c r="S524" s="4" t="n"/>
    </row>
    <row r="525">
      <c r="A525" s="74">
        <f>IFERROR(__xludf.DUMMYFUNCTION("""COMPUTED_VALUE"""),46177.0)</f>
        <v/>
      </c>
      <c r="B525" s="72">
        <f>IFERROR(__xludf.DUMMYFUNCTION("""COMPUTED_VALUE"""),264.0)</f>
        <v/>
      </c>
      <c r="C525" s="75">
        <f>IFERROR(__xludf.DUMMYFUNCTION("""COMPUTED_VALUE"""),40.0)</f>
        <v/>
      </c>
      <c r="D525" s="75">
        <f>IFERROR(__xludf.DUMMYFUNCTION("""COMPUTED_VALUE"""),"USD")</f>
        <v/>
      </c>
      <c r="E525" s="75">
        <f>IFERROR(__xludf.DUMMYFUNCTION("""COMPUTED_VALUE"""),"Efectivo USD")</f>
        <v/>
      </c>
      <c r="F525" s="75">
        <f>IFERROR(__xludf.DUMMYFUNCTION("""COMPUTED_VALUE"""),"Inversiones Los compadres 7686, c.a.")</f>
        <v/>
      </c>
      <c r="G525" s="76">
        <f>IFERROR(__xludf.DUMMYFUNCTION("""COMPUTED_VALUE"""),"QUEVEDO BASTIDAS NEYKEL DAVID")</f>
        <v/>
      </c>
      <c r="H525" s="76">
        <f>IFERROR(__xludf.DUMMYFUNCTION("""COMPUTED_VALUE"""),560.3753)</f>
        <v/>
      </c>
      <c r="I525" s="75" t="n"/>
      <c r="J525" s="77">
        <f>IFERROR(__xludf.DUMMYFUNCTION("""COMPUTED_VALUE"""),40.0)</f>
        <v/>
      </c>
      <c r="K525" s="4">
        <f>IFERROR(__xludf.DUMMYFUNCTION("""COMPUTED_VALUE"""),40.0)</f>
        <v/>
      </c>
      <c r="L525" s="77">
        <f>IFERROR(__xludf.DUMMYFUNCTION("""COMPUTED_VALUE"""),40.0)</f>
        <v/>
      </c>
      <c r="O525" s="72" t="n"/>
      <c r="S525" s="4" t="n"/>
    </row>
    <row r="526">
      <c r="A526" s="74">
        <f>IFERROR(__xludf.DUMMYFUNCTION("""COMPUTED_VALUE"""),46140.0)</f>
        <v/>
      </c>
      <c r="B526" s="72">
        <f>IFERROR(__xludf.DUMMYFUNCTION("""COMPUTED_VALUE"""),262.0)</f>
        <v/>
      </c>
      <c r="C526" s="75">
        <f>IFERROR(__xludf.DUMMYFUNCTION("""COMPUTED_VALUE"""),2499654.49)</f>
        <v/>
      </c>
      <c r="D526" s="75">
        <f>IFERROR(__xludf.DUMMYFUNCTION("""COMPUTED_VALUE"""),"VES")</f>
        <v/>
      </c>
      <c r="E526" s="75">
        <f>IFERROR(__xludf.DUMMYFUNCTION("""COMPUTED_VALUE"""),"Venezuela")</f>
        <v/>
      </c>
      <c r="F526" s="75">
        <f>IFERROR(__xludf.DUMMYFUNCTION("""COMPUTED_VALUE"""),"Desarrollo Agrario Integral DAI Los Pucheros 13, C. A.")</f>
        <v/>
      </c>
      <c r="G526" s="76">
        <f>IFERROR(__xludf.DUMMYFUNCTION("""COMPUTED_VALUE"""),"PACHECO RODRIGUEZ FRANCISCO JAVIER")</f>
        <v/>
      </c>
      <c r="H526" s="76">
        <f>IFERROR(__xludf.DUMMYFUNCTION("""COMPUTED_VALUE"""),485.2251)</f>
        <v/>
      </c>
      <c r="I526" s="75" t="n"/>
      <c r="J526" s="77">
        <f>IFERROR(__xludf.DUMMYFUNCTION("""COMPUTED_VALUE"""),5151.535833574974)</f>
        <v/>
      </c>
      <c r="K526" s="4">
        <f>IFERROR(__xludf.DUMMYFUNCTION("""COMPUTED_VALUE"""),0.0)</f>
        <v/>
      </c>
      <c r="L526" s="77">
        <f>IFERROR(__xludf.DUMMYFUNCTION("""COMPUTED_VALUE"""),5151.535833574974)</f>
        <v/>
      </c>
      <c r="O526" s="72" t="n"/>
      <c r="S526" s="4" t="n"/>
    </row>
    <row r="527">
      <c r="A527" s="74">
        <f>IFERROR(__xludf.DUMMYFUNCTION("""COMPUTED_VALUE"""),46163.0)</f>
        <v/>
      </c>
      <c r="B527" s="72">
        <f>IFERROR(__xludf.DUMMYFUNCTION("""COMPUTED_VALUE"""),428.0)</f>
        <v/>
      </c>
      <c r="C527" s="75">
        <f>IFERROR(__xludf.DUMMYFUNCTION("""COMPUTED_VALUE"""),76.0)</f>
        <v/>
      </c>
      <c r="D527" s="75">
        <f>IFERROR(__xludf.DUMMYFUNCTION("""COMPUTED_VALUE"""),"USD")</f>
        <v/>
      </c>
      <c r="E527" s="75">
        <f>IFERROR(__xludf.DUMMYFUNCTION("""COMPUTED_VALUE"""),"Efectivo USD")</f>
        <v/>
      </c>
      <c r="F527" s="75">
        <f>IFERROR(__xludf.DUMMYFUNCTION("""COMPUTED_VALUE"""),"Angel ARMAS")</f>
        <v/>
      </c>
      <c r="G527" s="76">
        <f>IFERROR(__xludf.DUMMYFUNCTION("""COMPUTED_VALUE"""),"REVERON DE CONTRERAS MELANI AUSMAR")</f>
        <v/>
      </c>
      <c r="H527" s="76">
        <f>IFERROR(__xludf.DUMMYFUNCTION("""COMPUTED_VALUE"""),523.675)</f>
        <v/>
      </c>
      <c r="I527" s="75" t="n"/>
      <c r="J527" s="77">
        <f>IFERROR(__xludf.DUMMYFUNCTION("""COMPUTED_VALUE"""),76.0)</f>
        <v/>
      </c>
      <c r="K527" s="4">
        <f>IFERROR(__xludf.DUMMYFUNCTION("""COMPUTED_VALUE"""),76.0)</f>
        <v/>
      </c>
      <c r="L527" s="77">
        <f>IFERROR(__xludf.DUMMYFUNCTION("""COMPUTED_VALUE"""),76.0)</f>
        <v/>
      </c>
      <c r="O527" s="72" t="n"/>
      <c r="S527" s="4" t="n"/>
    </row>
    <row r="528">
      <c r="A528" s="74">
        <f>IFERROR(__xludf.DUMMYFUNCTION("""COMPUTED_VALUE"""),46178.0)</f>
        <v/>
      </c>
      <c r="B528" s="72">
        <f>IFERROR(__xludf.DUMMYFUNCTION("""COMPUTED_VALUE"""),506.0)</f>
        <v/>
      </c>
      <c r="C528" s="75">
        <f>IFERROR(__xludf.DUMMYFUNCTION("""COMPUTED_VALUE"""),75.0)</f>
        <v/>
      </c>
      <c r="D528" s="75">
        <f>IFERROR(__xludf.DUMMYFUNCTION("""COMPUTED_VALUE"""),"USD")</f>
        <v/>
      </c>
      <c r="E528" s="75">
        <f>IFERROR(__xludf.DUMMYFUNCTION("""COMPUTED_VALUE"""),"Efectivo USD")</f>
        <v/>
      </c>
      <c r="F528" s="75">
        <f>IFERROR(__xludf.DUMMYFUNCTION("""COMPUTED_VALUE"""),"Angel ARMAS")</f>
        <v/>
      </c>
      <c r="G528" s="76">
        <f>IFERROR(__xludf.DUMMYFUNCTION("""COMPUTED_VALUE"""),"REVERON DE CONTRERAS MELANI AUSMAR")</f>
        <v/>
      </c>
      <c r="H528" s="76">
        <f>IFERROR(__xludf.DUMMYFUNCTION("""COMPUTED_VALUE"""),563.2892)</f>
        <v/>
      </c>
      <c r="I528" s="75" t="n"/>
      <c r="J528" s="77">
        <f>IFERROR(__xludf.DUMMYFUNCTION("""COMPUTED_VALUE"""),75.0)</f>
        <v/>
      </c>
      <c r="K528" s="4">
        <f>IFERROR(__xludf.DUMMYFUNCTION("""COMPUTED_VALUE"""),75.0)</f>
        <v/>
      </c>
      <c r="L528" s="77">
        <f>IFERROR(__xludf.DUMMYFUNCTION("""COMPUTED_VALUE"""),75.0)</f>
        <v/>
      </c>
      <c r="O528" s="72" t="n"/>
      <c r="S528" s="4" t="n"/>
    </row>
    <row r="529">
      <c r="A529" s="74">
        <f>IFERROR(__xludf.DUMMYFUNCTION("""COMPUTED_VALUE"""),46178.0)</f>
        <v/>
      </c>
      <c r="B529" s="72">
        <f>IFERROR(__xludf.DUMMYFUNCTION("""COMPUTED_VALUE"""),428.0)</f>
        <v/>
      </c>
      <c r="C529" s="75">
        <f>IFERROR(__xludf.DUMMYFUNCTION("""COMPUTED_VALUE"""),282.0)</f>
        <v/>
      </c>
      <c r="D529" s="75">
        <f>IFERROR(__xludf.DUMMYFUNCTION("""COMPUTED_VALUE"""),"USD")</f>
        <v/>
      </c>
      <c r="E529" s="75">
        <f>IFERROR(__xludf.DUMMYFUNCTION("""COMPUTED_VALUE"""),"Efectivo USD")</f>
        <v/>
      </c>
      <c r="F529" s="75">
        <f>IFERROR(__xludf.DUMMYFUNCTION("""COMPUTED_VALUE"""),"Angel ARMAS")</f>
        <v/>
      </c>
      <c r="G529" s="76">
        <f>IFERROR(__xludf.DUMMYFUNCTION("""COMPUTED_VALUE"""),"REVERON DE CONTRERAS MELANI AUSMAR")</f>
        <v/>
      </c>
      <c r="H529" s="76">
        <f>IFERROR(__xludf.DUMMYFUNCTION("""COMPUTED_VALUE"""),563.2892)</f>
        <v/>
      </c>
      <c r="I529" s="75" t="n"/>
      <c r="J529" s="77">
        <f>IFERROR(__xludf.DUMMYFUNCTION("""COMPUTED_VALUE"""),282.0)</f>
        <v/>
      </c>
      <c r="K529" s="4">
        <f>IFERROR(__xludf.DUMMYFUNCTION("""COMPUTED_VALUE"""),282.0)</f>
        <v/>
      </c>
      <c r="L529" s="77">
        <f>IFERROR(__xludf.DUMMYFUNCTION("""COMPUTED_VALUE"""),282.0)</f>
        <v/>
      </c>
      <c r="O529" s="72" t="n"/>
      <c r="S529" s="4" t="n"/>
    </row>
    <row r="530">
      <c r="A530" s="74">
        <f>IFERROR(__xludf.DUMMYFUNCTION("""COMPUTED_VALUE"""),46178.0)</f>
        <v/>
      </c>
      <c r="B530" s="72">
        <f>IFERROR(__xludf.DUMMYFUNCTION("""COMPUTED_VALUE"""),213.0)</f>
        <v/>
      </c>
      <c r="C530" s="75">
        <f>IFERROR(__xludf.DUMMYFUNCTION("""COMPUTED_VALUE"""),75.0)</f>
        <v/>
      </c>
      <c r="D530" s="75">
        <f>IFERROR(__xludf.DUMMYFUNCTION("""COMPUTED_VALUE"""),"USD")</f>
        <v/>
      </c>
      <c r="E530" s="75">
        <f>IFERROR(__xludf.DUMMYFUNCTION("""COMPUTED_VALUE"""),"Efectivo USD")</f>
        <v/>
      </c>
      <c r="F530" s="75">
        <f>IFERROR(__xludf.DUMMYFUNCTION("""COMPUTED_VALUE"""),"Angel ARMAS")</f>
        <v/>
      </c>
      <c r="G530" s="76">
        <f>IFERROR(__xludf.DUMMYFUNCTION("""COMPUTED_VALUE"""),"REVERON DE CONTRERAS MELANI AUSMAR")</f>
        <v/>
      </c>
      <c r="H530" s="76">
        <f>IFERROR(__xludf.DUMMYFUNCTION("""COMPUTED_VALUE"""),563.2892)</f>
        <v/>
      </c>
      <c r="I530" s="75" t="n"/>
      <c r="J530" s="77">
        <f>IFERROR(__xludf.DUMMYFUNCTION("""COMPUTED_VALUE"""),75.0)</f>
        <v/>
      </c>
      <c r="K530" s="4">
        <f>IFERROR(__xludf.DUMMYFUNCTION("""COMPUTED_VALUE"""),75.0)</f>
        <v/>
      </c>
      <c r="L530" s="77">
        <f>IFERROR(__xludf.DUMMYFUNCTION("""COMPUTED_VALUE"""),75.0)</f>
        <v/>
      </c>
      <c r="O530" s="72" t="n"/>
      <c r="S530" s="4" t="n"/>
    </row>
    <row r="531">
      <c r="A531" s="74">
        <f>IFERROR(__xludf.DUMMYFUNCTION("""COMPUTED_VALUE"""),46178.0)</f>
        <v/>
      </c>
      <c r="B531" s="72">
        <f>IFERROR(__xludf.DUMMYFUNCTION("""COMPUTED_VALUE"""),61.0)</f>
        <v/>
      </c>
      <c r="C531" s="75">
        <f>IFERROR(__xludf.DUMMYFUNCTION("""COMPUTED_VALUE"""),250.0)</f>
        <v/>
      </c>
      <c r="D531" s="75">
        <f>IFERROR(__xludf.DUMMYFUNCTION("""COMPUTED_VALUE"""),"USD")</f>
        <v/>
      </c>
      <c r="E531" s="75">
        <f>IFERROR(__xludf.DUMMYFUNCTION("""COMPUTED_VALUE"""),"Efectivo USD")</f>
        <v/>
      </c>
      <c r="F531" s="75">
        <f>IFERROR(__xludf.DUMMYFUNCTION("""COMPUTED_VALUE"""),"SJMG 2012 C.A")</f>
        <v/>
      </c>
      <c r="G531" s="76">
        <f>IFERROR(__xludf.DUMMYFUNCTION("""COMPUTED_VALUE"""),"GRIMAN DIAZ HECTOR EDUARDO")</f>
        <v/>
      </c>
      <c r="H531" s="76">
        <f>IFERROR(__xludf.DUMMYFUNCTION("""COMPUTED_VALUE"""),563.2892)</f>
        <v/>
      </c>
      <c r="I531" s="75" t="n"/>
      <c r="J531" s="77">
        <f>IFERROR(__xludf.DUMMYFUNCTION("""COMPUTED_VALUE"""),250.0)</f>
        <v/>
      </c>
      <c r="K531" s="4">
        <f>IFERROR(__xludf.DUMMYFUNCTION("""COMPUTED_VALUE"""),250.0)</f>
        <v/>
      </c>
      <c r="L531" s="77">
        <f>IFERROR(__xludf.DUMMYFUNCTION("""COMPUTED_VALUE"""),250.0)</f>
        <v/>
      </c>
      <c r="O531" s="72" t="n"/>
      <c r="S531" s="4" t="n"/>
    </row>
    <row r="532">
      <c r="A532" s="74">
        <f>IFERROR(__xludf.DUMMYFUNCTION("""COMPUTED_VALUE"""),46178.0)</f>
        <v/>
      </c>
      <c r="B532" s="72">
        <f>IFERROR(__xludf.DUMMYFUNCTION("""COMPUTED_VALUE"""),209.0)</f>
        <v/>
      </c>
      <c r="C532" s="75">
        <f>IFERROR(__xludf.DUMMYFUNCTION("""COMPUTED_VALUE"""),60.0)</f>
        <v/>
      </c>
      <c r="D532" s="75">
        <f>IFERROR(__xludf.DUMMYFUNCTION("""COMPUTED_VALUE"""),"USD")</f>
        <v/>
      </c>
      <c r="E532" s="75">
        <f>IFERROR(__xludf.DUMMYFUNCTION("""COMPUTED_VALUE"""),"Efectivo USD")</f>
        <v/>
      </c>
      <c r="F532" s="75">
        <f>IFERROR(__xludf.DUMMYFUNCTION("""COMPUTED_VALUE"""),"Inversiones Mirelkys C.A")</f>
        <v/>
      </c>
      <c r="G532" s="76">
        <f>IFERROR(__xludf.DUMMYFUNCTION("""COMPUTED_VALUE"""),"GRIMAN DIAZ HECTOR EDUARDO")</f>
        <v/>
      </c>
      <c r="H532" s="76">
        <f>IFERROR(__xludf.DUMMYFUNCTION("""COMPUTED_VALUE"""),563.2892)</f>
        <v/>
      </c>
      <c r="I532" s="75" t="n"/>
      <c r="J532" s="77">
        <f>IFERROR(__xludf.DUMMYFUNCTION("""COMPUTED_VALUE"""),60.0)</f>
        <v/>
      </c>
      <c r="K532" s="4">
        <f>IFERROR(__xludf.DUMMYFUNCTION("""COMPUTED_VALUE"""),60.0)</f>
        <v/>
      </c>
      <c r="L532" s="77">
        <f>IFERROR(__xludf.DUMMYFUNCTION("""COMPUTED_VALUE"""),60.0)</f>
        <v/>
      </c>
      <c r="O532" s="72" t="n"/>
      <c r="S532" s="4" t="n"/>
    </row>
    <row r="533">
      <c r="A533" s="74">
        <f>IFERROR(__xludf.DUMMYFUNCTION("""COMPUTED_VALUE"""),46178.0)</f>
        <v/>
      </c>
      <c r="B533" s="72">
        <f>IFERROR(__xludf.DUMMYFUNCTION("""COMPUTED_VALUE"""),298.0)</f>
        <v/>
      </c>
      <c r="C533" s="75">
        <f>IFERROR(__xludf.DUMMYFUNCTION("""COMPUTED_VALUE"""),40.0)</f>
        <v/>
      </c>
      <c r="D533" s="75">
        <f>IFERROR(__xludf.DUMMYFUNCTION("""COMPUTED_VALUE"""),"USD")</f>
        <v/>
      </c>
      <c r="E533" s="75">
        <f>IFERROR(__xludf.DUMMYFUNCTION("""COMPUTED_VALUE"""),"Efectivo USD")</f>
        <v/>
      </c>
      <c r="F533" s="75">
        <f>IFERROR(__xludf.DUMMYFUNCTION("""COMPUTED_VALUE"""),"Inversiones Brayan CT C.A")</f>
        <v/>
      </c>
      <c r="G533" s="76">
        <f>IFERROR(__xludf.DUMMYFUNCTION("""COMPUTED_VALUE"""),"GRIMAN DIAZ HECTOR EDUARDO")</f>
        <v/>
      </c>
      <c r="H533" s="76">
        <f>IFERROR(__xludf.DUMMYFUNCTION("""COMPUTED_VALUE"""),563.2892)</f>
        <v/>
      </c>
      <c r="I533" s="75" t="n"/>
      <c r="J533" s="77">
        <f>IFERROR(__xludf.DUMMYFUNCTION("""COMPUTED_VALUE"""),40.0)</f>
        <v/>
      </c>
      <c r="K533" s="4">
        <f>IFERROR(__xludf.DUMMYFUNCTION("""COMPUTED_VALUE"""),40.0)</f>
        <v/>
      </c>
      <c r="L533" s="77">
        <f>IFERROR(__xludf.DUMMYFUNCTION("""COMPUTED_VALUE"""),40.0)</f>
        <v/>
      </c>
      <c r="O533" s="72" t="n"/>
      <c r="S533" s="4" t="n"/>
    </row>
    <row r="534">
      <c r="A534" s="74">
        <f>IFERROR(__xludf.DUMMYFUNCTION("""COMPUTED_VALUE"""),46178.0)</f>
        <v/>
      </c>
      <c r="B534" s="72">
        <f>IFERROR(__xludf.DUMMYFUNCTION("""COMPUTED_VALUE"""),408.0)</f>
        <v/>
      </c>
      <c r="C534" s="75">
        <f>IFERROR(__xludf.DUMMYFUNCTION("""COMPUTED_VALUE"""),105.0)</f>
        <v/>
      </c>
      <c r="D534" s="75">
        <f>IFERROR(__xludf.DUMMYFUNCTION("""COMPUTED_VALUE"""),"USD")</f>
        <v/>
      </c>
      <c r="E534" s="75">
        <f>IFERROR(__xludf.DUMMYFUNCTION("""COMPUTED_VALUE"""),"Efectivo USD")</f>
        <v/>
      </c>
      <c r="F534" s="75">
        <f>IFERROR(__xludf.DUMMYFUNCTION("""COMPUTED_VALUE"""),"HIDRAULICAS CAICEDO C.A.")</f>
        <v/>
      </c>
      <c r="G534" s="76">
        <f>IFERROR(__xludf.DUMMYFUNCTION("""COMPUTED_VALUE"""),"VILLABONA CORREA ALBA ESTEFANIA")</f>
        <v/>
      </c>
      <c r="H534" s="76">
        <f>IFERROR(__xludf.DUMMYFUNCTION("""COMPUTED_VALUE"""),563.2892)</f>
        <v/>
      </c>
      <c r="I534" s="75" t="n"/>
      <c r="J534" s="77">
        <f>IFERROR(__xludf.DUMMYFUNCTION("""COMPUTED_VALUE"""),105.0)</f>
        <v/>
      </c>
      <c r="K534" s="4">
        <f>IFERROR(__xludf.DUMMYFUNCTION("""COMPUTED_VALUE"""),105.0)</f>
        <v/>
      </c>
      <c r="L534" s="77">
        <f>IFERROR(__xludf.DUMMYFUNCTION("""COMPUTED_VALUE"""),105.0)</f>
        <v/>
      </c>
      <c r="O534" s="72" t="n"/>
      <c r="S534" s="4" t="n"/>
    </row>
    <row r="535">
      <c r="A535" s="74">
        <f>IFERROR(__xludf.DUMMYFUNCTION("""COMPUTED_VALUE"""),46178.0)</f>
        <v/>
      </c>
      <c r="B535" s="72">
        <f>IFERROR(__xludf.DUMMYFUNCTION("""COMPUTED_VALUE"""),330.0)</f>
        <v/>
      </c>
      <c r="C535" s="75">
        <f>IFERROR(__xludf.DUMMYFUNCTION("""COMPUTED_VALUE"""),19670.0)</f>
        <v/>
      </c>
      <c r="D535" s="75">
        <f>IFERROR(__xludf.DUMMYFUNCTION("""COMPUTED_VALUE"""),"VES")</f>
        <v/>
      </c>
      <c r="E535" s="75">
        <f>IFERROR(__xludf.DUMMYFUNCTION("""COMPUTED_VALUE"""),"Bancamiga")</f>
        <v/>
      </c>
      <c r="F535" s="75">
        <f>IFERROR(__xludf.DUMMYFUNCTION("""COMPUTED_VALUE"""),"Diana Carolina Torres")</f>
        <v/>
      </c>
      <c r="G535" s="76">
        <f>IFERROR(__xludf.DUMMYFUNCTION("""COMPUTED_VALUE"""),"VILLABONA CORREA ALBA ESTEFANIA")</f>
        <v/>
      </c>
      <c r="H535" s="76">
        <f>IFERROR(__xludf.DUMMYFUNCTION("""COMPUTED_VALUE"""),563.2892)</f>
        <v/>
      </c>
      <c r="I535" s="75" t="n"/>
      <c r="J535" s="77">
        <f>IFERROR(__xludf.DUMMYFUNCTION("""COMPUTED_VALUE"""),34.9198954995054)</f>
        <v/>
      </c>
      <c r="K535" s="4">
        <f>IFERROR(__xludf.DUMMYFUNCTION("""COMPUTED_VALUE"""),0.0)</f>
        <v/>
      </c>
      <c r="L535" s="77">
        <f>IFERROR(__xludf.DUMMYFUNCTION("""COMPUTED_VALUE"""),34.9198954995054)</f>
        <v/>
      </c>
      <c r="O535" s="72" t="n"/>
      <c r="S535" s="4" t="n"/>
    </row>
    <row r="536">
      <c r="A536" s="74">
        <f>IFERROR(__xludf.DUMMYFUNCTION("""COMPUTED_VALUE"""),46178.0)</f>
        <v/>
      </c>
      <c r="B536" s="72">
        <f>IFERROR(__xludf.DUMMYFUNCTION("""COMPUTED_VALUE"""),249.0)</f>
        <v/>
      </c>
      <c r="C536" s="75">
        <f>IFERROR(__xludf.DUMMYFUNCTION("""COMPUTED_VALUE"""),200.0)</f>
        <v/>
      </c>
      <c r="D536" s="75">
        <f>IFERROR(__xludf.DUMMYFUNCTION("""COMPUTED_VALUE"""),"USD")</f>
        <v/>
      </c>
      <c r="E536" s="75">
        <f>IFERROR(__xludf.DUMMYFUNCTION("""COMPUTED_VALUE"""),"Efectivo USD")</f>
        <v/>
      </c>
      <c r="F536" s="75">
        <f>IFERROR(__xludf.DUMMYFUNCTION("""COMPUTED_VALUE"""),"Comercializadora Dimon c.a")</f>
        <v/>
      </c>
      <c r="G536" s="76">
        <f>IFERROR(__xludf.DUMMYFUNCTION("""COMPUTED_VALUE"""),"BETANCOURT ROBRIGUEZ LUIS ENRRIQUE")</f>
        <v/>
      </c>
      <c r="H536" s="76">
        <f>IFERROR(__xludf.DUMMYFUNCTION("""COMPUTED_VALUE"""),563.2892)</f>
        <v/>
      </c>
      <c r="I536" s="75" t="n"/>
      <c r="J536" s="77">
        <f>IFERROR(__xludf.DUMMYFUNCTION("""COMPUTED_VALUE"""),200.0)</f>
        <v/>
      </c>
      <c r="K536" s="4">
        <f>IFERROR(__xludf.DUMMYFUNCTION("""COMPUTED_VALUE"""),200.0)</f>
        <v/>
      </c>
      <c r="L536" s="77">
        <f>IFERROR(__xludf.DUMMYFUNCTION("""COMPUTED_VALUE"""),200.0)</f>
        <v/>
      </c>
      <c r="O536" s="72" t="n"/>
      <c r="S536" s="4" t="n"/>
    </row>
    <row r="537">
      <c r="A537" s="74">
        <f>IFERROR(__xludf.DUMMYFUNCTION("""COMPUTED_VALUE"""),46178.0)</f>
        <v/>
      </c>
      <c r="B537" s="72">
        <f>IFERROR(__xludf.DUMMYFUNCTION("""COMPUTED_VALUE"""),44.0)</f>
        <v/>
      </c>
      <c r="C537" s="75">
        <f>IFERROR(__xludf.DUMMYFUNCTION("""COMPUTED_VALUE"""),100.0)</f>
        <v/>
      </c>
      <c r="D537" s="75">
        <f>IFERROR(__xludf.DUMMYFUNCTION("""COMPUTED_VALUE"""),"USD")</f>
        <v/>
      </c>
      <c r="E537" s="75">
        <f>IFERROR(__xludf.DUMMYFUNCTION("""COMPUTED_VALUE"""),"Efectivo USD")</f>
        <v/>
      </c>
      <c r="F537" s="75">
        <f>IFERROR(__xludf.DUMMYFUNCTION("""COMPUTED_VALUE"""),"Comercializadora Garabote")</f>
        <v/>
      </c>
      <c r="G537" s="76">
        <f>IFERROR(__xludf.DUMMYFUNCTION("""COMPUTED_VALUE"""),"PEREZ DIAZ ANGEL DE DIOS")</f>
        <v/>
      </c>
      <c r="H537" s="76">
        <f>IFERROR(__xludf.DUMMYFUNCTION("""COMPUTED_VALUE"""),563.2892)</f>
        <v/>
      </c>
      <c r="I537" s="75" t="n"/>
      <c r="J537" s="77">
        <f>IFERROR(__xludf.DUMMYFUNCTION("""COMPUTED_VALUE"""),100.0)</f>
        <v/>
      </c>
      <c r="K537" s="4">
        <f>IFERROR(__xludf.DUMMYFUNCTION("""COMPUTED_VALUE"""),100.0)</f>
        <v/>
      </c>
      <c r="L537" s="77">
        <f>IFERROR(__xludf.DUMMYFUNCTION("""COMPUTED_VALUE"""),100.0)</f>
        <v/>
      </c>
      <c r="O537" s="72" t="n"/>
      <c r="S537" s="4" t="n"/>
    </row>
    <row r="538">
      <c r="A538" s="74">
        <f>IFERROR(__xludf.DUMMYFUNCTION("""COMPUTED_VALUE"""),46178.0)</f>
        <v/>
      </c>
      <c r="B538" s="72">
        <f>IFERROR(__xludf.DUMMYFUNCTION("""COMPUTED_VALUE"""),159.0)</f>
        <v/>
      </c>
      <c r="C538" s="75">
        <f>IFERROR(__xludf.DUMMYFUNCTION("""COMPUTED_VALUE"""),223.0)</f>
        <v/>
      </c>
      <c r="D538" s="75">
        <f>IFERROR(__xludf.DUMMYFUNCTION("""COMPUTED_VALUE"""),"USD")</f>
        <v/>
      </c>
      <c r="E538" s="75">
        <f>IFERROR(__xludf.DUMMYFUNCTION("""COMPUTED_VALUE"""),"Efectivo USD")</f>
        <v/>
      </c>
      <c r="F538" s="75">
        <f>IFERROR(__xludf.DUMMYFUNCTION("""COMPUTED_VALUE"""),"Grupo 3030, C.A")</f>
        <v/>
      </c>
      <c r="G538" s="76">
        <f>IFERROR(__xludf.DUMMYFUNCTION("""COMPUTED_VALUE"""),"MARTINEZ MONTES JEFFREY ENRIQUE")</f>
        <v/>
      </c>
      <c r="H538" s="76">
        <f>IFERROR(__xludf.DUMMYFUNCTION("""COMPUTED_VALUE"""),563.2892)</f>
        <v/>
      </c>
      <c r="I538" s="75" t="n"/>
      <c r="J538" s="77">
        <f>IFERROR(__xludf.DUMMYFUNCTION("""COMPUTED_VALUE"""),223.0)</f>
        <v/>
      </c>
      <c r="K538" s="4">
        <f>IFERROR(__xludf.DUMMYFUNCTION("""COMPUTED_VALUE"""),223.0)</f>
        <v/>
      </c>
      <c r="L538" s="77">
        <f>IFERROR(__xludf.DUMMYFUNCTION("""COMPUTED_VALUE"""),223.0)</f>
        <v/>
      </c>
      <c r="O538" s="72" t="n"/>
      <c r="S538" s="4" t="n"/>
    </row>
    <row r="539">
      <c r="A539" s="74">
        <f>IFERROR(__xludf.DUMMYFUNCTION("""COMPUTED_VALUE"""),46181.0)</f>
        <v/>
      </c>
      <c r="B539" s="72">
        <f>IFERROR(__xludf.DUMMYFUNCTION("""COMPUTED_VALUE"""),205.0)</f>
        <v/>
      </c>
      <c r="C539" s="75">
        <f>IFERROR(__xludf.DUMMYFUNCTION("""COMPUTED_VALUE"""),278.0)</f>
        <v/>
      </c>
      <c r="D539" s="75">
        <f>IFERROR(__xludf.DUMMYFUNCTION("""COMPUTED_VALUE"""),"USD")</f>
        <v/>
      </c>
      <c r="E539" s="75">
        <f>IFERROR(__xludf.DUMMYFUNCTION("""COMPUTED_VALUE"""),"Efectivo USD")</f>
        <v/>
      </c>
      <c r="F539" s="75">
        <f>IFERROR(__xludf.DUMMYFUNCTION("""COMPUTED_VALUE"""),"Inversiones Marfran 2025, C. A.")</f>
        <v/>
      </c>
      <c r="G539" s="76">
        <f>IFERROR(__xludf.DUMMYFUNCTION("""COMPUTED_VALUE"""),"BETANCOURT ROBRIGUEZ LUIS ENRRIQUE")</f>
        <v/>
      </c>
      <c r="H539" s="76">
        <f>IFERROR(__xludf.DUMMYFUNCTION("""COMPUTED_VALUE"""),563.2892)</f>
        <v/>
      </c>
      <c r="I539" s="75" t="n"/>
      <c r="J539" s="77">
        <f>IFERROR(__xludf.DUMMYFUNCTION("""COMPUTED_VALUE"""),278.0)</f>
        <v/>
      </c>
      <c r="K539" s="4">
        <f>IFERROR(__xludf.DUMMYFUNCTION("""COMPUTED_VALUE"""),278.0)</f>
        <v/>
      </c>
      <c r="L539" s="77">
        <f>IFERROR(__xludf.DUMMYFUNCTION("""COMPUTED_VALUE"""),278.0)</f>
        <v/>
      </c>
      <c r="O539" s="72" t="n"/>
      <c r="S539" s="4" t="n"/>
    </row>
    <row r="540">
      <c r="A540" s="74">
        <f>IFERROR(__xludf.DUMMYFUNCTION("""COMPUTED_VALUE"""),46181.0)</f>
        <v/>
      </c>
      <c r="B540" s="72">
        <f>IFERROR(__xludf.DUMMYFUNCTION("""COMPUTED_VALUE"""),44.0)</f>
        <v/>
      </c>
      <c r="C540" s="75">
        <f>IFERROR(__xludf.DUMMYFUNCTION("""COMPUTED_VALUE"""),300.0)</f>
        <v/>
      </c>
      <c r="D540" s="75">
        <f>IFERROR(__xludf.DUMMYFUNCTION("""COMPUTED_VALUE"""),"USD")</f>
        <v/>
      </c>
      <c r="E540" s="75">
        <f>IFERROR(__xludf.DUMMYFUNCTION("""COMPUTED_VALUE"""),"Efectivo USD")</f>
        <v/>
      </c>
      <c r="F540" s="75">
        <f>IFERROR(__xludf.DUMMYFUNCTION("""COMPUTED_VALUE"""),"Comercializadora Garabote")</f>
        <v/>
      </c>
      <c r="G540" s="76">
        <f>IFERROR(__xludf.DUMMYFUNCTION("""COMPUTED_VALUE"""),"PEREZ DIAZ ANGEL DE DIOS")</f>
        <v/>
      </c>
      <c r="H540" s="76">
        <f>IFERROR(__xludf.DUMMYFUNCTION("""COMPUTED_VALUE"""),563.2892)</f>
        <v/>
      </c>
      <c r="I540" s="75" t="n"/>
      <c r="J540" s="77">
        <f>IFERROR(__xludf.DUMMYFUNCTION("""COMPUTED_VALUE"""),300.0)</f>
        <v/>
      </c>
      <c r="K540" s="4">
        <f>IFERROR(__xludf.DUMMYFUNCTION("""COMPUTED_VALUE"""),300.0)</f>
        <v/>
      </c>
      <c r="L540" s="77">
        <f>IFERROR(__xludf.DUMMYFUNCTION("""COMPUTED_VALUE"""),300.0)</f>
        <v/>
      </c>
      <c r="O540" s="72" t="n"/>
      <c r="S540" s="4" t="n"/>
    </row>
    <row r="541">
      <c r="A541" s="74">
        <f>IFERROR(__xludf.DUMMYFUNCTION("""COMPUTED_VALUE"""),46181.0)</f>
        <v/>
      </c>
      <c r="B541" s="72">
        <f>IFERROR(__xludf.DUMMYFUNCTION("""COMPUTED_VALUE"""),10.0)</f>
        <v/>
      </c>
      <c r="C541" s="75">
        <f>IFERROR(__xludf.DUMMYFUNCTION("""COMPUTED_VALUE"""),27781.08)</f>
        <v/>
      </c>
      <c r="D541" s="75">
        <f>IFERROR(__xludf.DUMMYFUNCTION("""COMPUTED_VALUE"""),"USD")</f>
        <v/>
      </c>
      <c r="E541" s="75">
        <f>IFERROR(__xludf.DUMMYFUNCTION("""COMPUTED_VALUE"""),"Binance")</f>
        <v/>
      </c>
      <c r="F541" s="75">
        <f>IFERROR(__xludf.DUMMYFUNCTION("""COMPUTED_VALUE"""),"TERA INGENIERIA Y SERVICIOS INDUSTRIALES, C.A")</f>
        <v/>
      </c>
      <c r="G541" s="76">
        <f>IFERROR(__xludf.DUMMYFUNCTION("""COMPUTED_VALUE"""),"Marco Romero")</f>
        <v/>
      </c>
      <c r="H541" s="76">
        <f>IFERROR(__xludf.DUMMYFUNCTION("""COMPUTED_VALUE"""),563.2892)</f>
        <v/>
      </c>
      <c r="I541" s="75" t="n"/>
      <c r="J541" s="77">
        <f>IFERROR(__xludf.DUMMYFUNCTION("""COMPUTED_VALUE"""),27781.08)</f>
        <v/>
      </c>
      <c r="K541" s="4">
        <f>IFERROR(__xludf.DUMMYFUNCTION("""COMPUTED_VALUE"""),27781.08)</f>
        <v/>
      </c>
      <c r="L541" s="77">
        <f>IFERROR(__xludf.DUMMYFUNCTION("""COMPUTED_VALUE"""),27781.08)</f>
        <v/>
      </c>
      <c r="O541" s="72" t="n"/>
      <c r="S541" s="4" t="n"/>
    </row>
    <row r="542">
      <c r="A542" s="74">
        <f>IFERROR(__xludf.DUMMYFUNCTION("""COMPUTED_VALUE"""),46180.0)</f>
        <v/>
      </c>
      <c r="B542" s="72">
        <f>IFERROR(__xludf.DUMMYFUNCTION("""COMPUTED_VALUE"""),78.0)</f>
        <v/>
      </c>
      <c r="C542" s="75">
        <f>IFERROR(__xludf.DUMMYFUNCTION("""COMPUTED_VALUE"""),22708.0)</f>
        <v/>
      </c>
      <c r="D542" s="75">
        <f>IFERROR(__xludf.DUMMYFUNCTION("""COMPUTED_VALUE"""),"VES")</f>
        <v/>
      </c>
      <c r="E542" s="75">
        <f>IFERROR(__xludf.DUMMYFUNCTION("""COMPUTED_VALUE"""),"Bancamiga")</f>
        <v/>
      </c>
      <c r="F542" s="75">
        <f>IFERROR(__xludf.DUMMYFUNCTION("""COMPUTED_VALUE"""),"MULTISERVICIOS RECAM13, C.A.")</f>
        <v/>
      </c>
      <c r="G542" s="76">
        <f>IFERROR(__xludf.DUMMYFUNCTION("""COMPUTED_VALUE"""),"TORO ARDILES DAVID JOSE")</f>
        <v/>
      </c>
      <c r="H542" s="76">
        <f>IFERROR(__xludf.DUMMYFUNCTION("""COMPUTED_VALUE"""),563.2892)</f>
        <v/>
      </c>
      <c r="I542" s="75" t="n"/>
      <c r="J542" s="77">
        <f>IFERROR(__xludf.DUMMYFUNCTION("""COMPUTED_VALUE"""),40.31321743786317)</f>
        <v/>
      </c>
      <c r="K542" s="4">
        <f>IFERROR(__xludf.DUMMYFUNCTION("""COMPUTED_VALUE"""),0.0)</f>
        <v/>
      </c>
      <c r="L542" s="77">
        <f>IFERROR(__xludf.DUMMYFUNCTION("""COMPUTED_VALUE"""),40.31321743786317)</f>
        <v/>
      </c>
      <c r="O542" s="72" t="n"/>
      <c r="S542" s="4" t="n"/>
    </row>
    <row r="543">
      <c r="A543" s="74">
        <f>IFERROR(__xludf.DUMMYFUNCTION("""COMPUTED_VALUE"""),46181.0)</f>
        <v/>
      </c>
      <c r="B543" s="72">
        <f>IFERROR(__xludf.DUMMYFUNCTION("""COMPUTED_VALUE"""),400.0)</f>
        <v/>
      </c>
      <c r="C543" s="75">
        <f>IFERROR(__xludf.DUMMYFUNCTION("""COMPUTED_VALUE"""),16898.68)</f>
        <v/>
      </c>
      <c r="D543" s="75">
        <f>IFERROR(__xludf.DUMMYFUNCTION("""COMPUTED_VALUE"""),"VES")</f>
        <v/>
      </c>
      <c r="E543" s="75">
        <f>IFERROR(__xludf.DUMMYFUNCTION("""COMPUTED_VALUE"""),"Bancamiga")</f>
        <v/>
      </c>
      <c r="F543" s="75">
        <f>IFERROR(__xludf.DUMMYFUNCTION("""COMPUTED_VALUE"""),"TALLER Y REPUESTOS CHOPPERS, C.A.")</f>
        <v/>
      </c>
      <c r="G543" s="76">
        <f>IFERROR(__xludf.DUMMYFUNCTION("""COMPUTED_VALUE"""),"TORO ARDILES DAVID JOSE")</f>
        <v/>
      </c>
      <c r="H543" s="76">
        <f>IFERROR(__xludf.DUMMYFUNCTION("""COMPUTED_VALUE"""),563.2892)</f>
        <v/>
      </c>
      <c r="I543" s="75" t="n"/>
      <c r="J543" s="77">
        <f>IFERROR(__xludf.DUMMYFUNCTION("""COMPUTED_VALUE"""),30.00000710114804)</f>
        <v/>
      </c>
      <c r="K543" s="4">
        <f>IFERROR(__xludf.DUMMYFUNCTION("""COMPUTED_VALUE"""),0.0)</f>
        <v/>
      </c>
      <c r="L543" s="77">
        <f>IFERROR(__xludf.DUMMYFUNCTION("""COMPUTED_VALUE"""),30.00000710114804)</f>
        <v/>
      </c>
      <c r="O543" s="72" t="n"/>
      <c r="S543" s="4" t="n"/>
    </row>
    <row r="544">
      <c r="A544" s="74">
        <f>IFERROR(__xludf.DUMMYFUNCTION("""COMPUTED_VALUE"""),46181.0)</f>
        <v/>
      </c>
      <c r="B544" s="72">
        <f>IFERROR(__xludf.DUMMYFUNCTION("""COMPUTED_VALUE"""),283.0)</f>
        <v/>
      </c>
      <c r="C544" s="75">
        <f>IFERROR(__xludf.DUMMYFUNCTION("""COMPUTED_VALUE"""),63.0)</f>
        <v/>
      </c>
      <c r="D544" s="75">
        <f>IFERROR(__xludf.DUMMYFUNCTION("""COMPUTED_VALUE"""),"USD")</f>
        <v/>
      </c>
      <c r="E544" s="75">
        <f>IFERROR(__xludf.DUMMYFUNCTION("""COMPUTED_VALUE"""),"Efectivo USD")</f>
        <v/>
      </c>
      <c r="F544" s="75">
        <f>IFERROR(__xludf.DUMMYFUNCTION("""COMPUTED_VALUE"""),"LA CASA DE LAS BATERIAS")</f>
        <v/>
      </c>
      <c r="G544" s="76">
        <f>IFERROR(__xludf.DUMMYFUNCTION("""COMPUTED_VALUE"""),"TORO ARDILES DAVID JOSE")</f>
        <v/>
      </c>
      <c r="H544" s="76">
        <f>IFERROR(__xludf.DUMMYFUNCTION("""COMPUTED_VALUE"""),563.2892)</f>
        <v/>
      </c>
      <c r="I544" s="75" t="n"/>
      <c r="J544" s="77">
        <f>IFERROR(__xludf.DUMMYFUNCTION("""COMPUTED_VALUE"""),63.0)</f>
        <v/>
      </c>
      <c r="K544" s="4">
        <f>IFERROR(__xludf.DUMMYFUNCTION("""COMPUTED_VALUE"""),63.0)</f>
        <v/>
      </c>
      <c r="L544" s="77">
        <f>IFERROR(__xludf.DUMMYFUNCTION("""COMPUTED_VALUE"""),63.0)</f>
        <v/>
      </c>
      <c r="O544" s="72" t="n"/>
      <c r="S544" s="4" t="n"/>
    </row>
    <row r="545">
      <c r="A545" s="74">
        <f>IFERROR(__xludf.DUMMYFUNCTION("""COMPUTED_VALUE"""),46181.0)</f>
        <v/>
      </c>
      <c r="B545" s="72">
        <f>IFERROR(__xludf.DUMMYFUNCTION("""COMPUTED_VALUE"""),376.0)</f>
        <v/>
      </c>
      <c r="C545" s="75">
        <f>IFERROR(__xludf.DUMMYFUNCTION("""COMPUTED_VALUE"""),67.0)</f>
        <v/>
      </c>
      <c r="D545" s="75">
        <f>IFERROR(__xludf.DUMMYFUNCTION("""COMPUTED_VALUE"""),"USD")</f>
        <v/>
      </c>
      <c r="E545" s="75">
        <f>IFERROR(__xludf.DUMMYFUNCTION("""COMPUTED_VALUE"""),"Efectivo USD")</f>
        <v/>
      </c>
      <c r="F545" s="75">
        <f>IFERROR(__xludf.DUMMYFUNCTION("""COMPUTED_VALUE"""),"CLUDE CARVALHO DE ACOSTA")</f>
        <v/>
      </c>
      <c r="G545" s="76">
        <f>IFERROR(__xludf.DUMMYFUNCTION("""COMPUTED_VALUE"""),"TORO ARDILES DAVID JOSE")</f>
        <v/>
      </c>
      <c r="H545" s="76">
        <f>IFERROR(__xludf.DUMMYFUNCTION("""COMPUTED_VALUE"""),563.2892)</f>
        <v/>
      </c>
      <c r="I545" s="75" t="n"/>
      <c r="J545" s="77">
        <f>IFERROR(__xludf.DUMMYFUNCTION("""COMPUTED_VALUE"""),67.0)</f>
        <v/>
      </c>
      <c r="K545" s="4">
        <f>IFERROR(__xludf.DUMMYFUNCTION("""COMPUTED_VALUE"""),67.0)</f>
        <v/>
      </c>
      <c r="L545" s="77">
        <f>IFERROR(__xludf.DUMMYFUNCTION("""COMPUTED_VALUE"""),67.0)</f>
        <v/>
      </c>
      <c r="O545" s="72" t="n"/>
      <c r="S545" s="4" t="n"/>
    </row>
    <row r="546">
      <c r="A546" s="74">
        <f>IFERROR(__xludf.DUMMYFUNCTION("""COMPUTED_VALUE"""),46181.0)</f>
        <v/>
      </c>
      <c r="B546" s="72">
        <f>IFERROR(__xludf.DUMMYFUNCTION("""COMPUTED_VALUE"""),338.0)</f>
        <v/>
      </c>
      <c r="C546" s="75">
        <f>IFERROR(__xludf.DUMMYFUNCTION("""COMPUTED_VALUE"""),66.0)</f>
        <v/>
      </c>
      <c r="D546" s="75">
        <f>IFERROR(__xludf.DUMMYFUNCTION("""COMPUTED_VALUE"""),"USD")</f>
        <v/>
      </c>
      <c r="E546" s="75">
        <f>IFERROR(__xludf.DUMMYFUNCTION("""COMPUTED_VALUE"""),"Efectivo USD")</f>
        <v/>
      </c>
      <c r="F546" s="75">
        <f>IFERROR(__xludf.DUMMYFUNCTION("""COMPUTED_VALUE"""),"TorniRepuesto BA 2015, C.A")</f>
        <v/>
      </c>
      <c r="G546" s="76">
        <f>IFERROR(__xludf.DUMMYFUNCTION("""COMPUTED_VALUE"""),"QUEVEDO BASTIDAS NEYKEL DAVID")</f>
        <v/>
      </c>
      <c r="H546" s="76">
        <f>IFERROR(__xludf.DUMMYFUNCTION("""COMPUTED_VALUE"""),563.2892)</f>
        <v/>
      </c>
      <c r="I546" s="75" t="n"/>
      <c r="J546" s="77">
        <f>IFERROR(__xludf.DUMMYFUNCTION("""COMPUTED_VALUE"""),66.0)</f>
        <v/>
      </c>
      <c r="K546" s="4">
        <f>IFERROR(__xludf.DUMMYFUNCTION("""COMPUTED_VALUE"""),66.0)</f>
        <v/>
      </c>
      <c r="L546" s="77">
        <f>IFERROR(__xludf.DUMMYFUNCTION("""COMPUTED_VALUE"""),66.0)</f>
        <v/>
      </c>
      <c r="O546" s="72" t="n"/>
      <c r="S546" s="4" t="n"/>
    </row>
    <row r="547">
      <c r="A547" s="74">
        <f>IFERROR(__xludf.DUMMYFUNCTION("""COMPUTED_VALUE"""),46181.0)</f>
        <v/>
      </c>
      <c r="B547" s="72">
        <f>IFERROR(__xludf.DUMMYFUNCTION("""COMPUTED_VALUE"""),233.0)</f>
        <v/>
      </c>
      <c r="C547" s="75">
        <f>IFERROR(__xludf.DUMMYFUNCTION("""COMPUTED_VALUE"""),28384.0)</f>
        <v/>
      </c>
      <c r="D547" s="75">
        <f>IFERROR(__xludf.DUMMYFUNCTION("""COMPUTED_VALUE"""),"VES")</f>
        <v/>
      </c>
      <c r="E547" s="75">
        <f>IFERROR(__xludf.DUMMYFUNCTION("""COMPUTED_VALUE"""),"Bancamiga")</f>
        <v/>
      </c>
      <c r="F547" s="75">
        <f>IFERROR(__xludf.DUMMYFUNCTION("""COMPUTED_VALUE"""),"Auto Partes Y Repuestos Encava Express,c.a.")</f>
        <v/>
      </c>
      <c r="G547" s="76">
        <f>IFERROR(__xludf.DUMMYFUNCTION("""COMPUTED_VALUE"""),"QUEVEDO BASTIDAS NEYKEL DAVID")</f>
        <v/>
      </c>
      <c r="H547" s="76">
        <f>IFERROR(__xludf.DUMMYFUNCTION("""COMPUTED_VALUE"""),563.2892)</f>
        <v/>
      </c>
      <c r="I547" s="75" t="n"/>
      <c r="J547" s="77">
        <f>IFERROR(__xludf.DUMMYFUNCTION("""COMPUTED_VALUE"""),50.38974651031832)</f>
        <v/>
      </c>
      <c r="K547" s="4">
        <f>IFERROR(__xludf.DUMMYFUNCTION("""COMPUTED_VALUE"""),0.0)</f>
        <v/>
      </c>
      <c r="L547" s="77">
        <f>IFERROR(__xludf.DUMMYFUNCTION("""COMPUTED_VALUE"""),50.38974651031832)</f>
        <v/>
      </c>
      <c r="O547" s="72" t="n"/>
      <c r="S547" s="4" t="n"/>
    </row>
    <row r="548">
      <c r="A548" s="74">
        <f>IFERROR(__xludf.DUMMYFUNCTION("""COMPUTED_VALUE"""),46181.0)</f>
        <v/>
      </c>
      <c r="B548" s="72">
        <f>IFERROR(__xludf.DUMMYFUNCTION("""COMPUTED_VALUE"""),124.0)</f>
        <v/>
      </c>
      <c r="C548" s="75">
        <f>IFERROR(__xludf.DUMMYFUNCTION("""COMPUTED_VALUE"""),300.0)</f>
        <v/>
      </c>
      <c r="D548" s="75">
        <f>IFERROR(__xludf.DUMMYFUNCTION("""COMPUTED_VALUE"""),"USD")</f>
        <v/>
      </c>
      <c r="E548" s="75">
        <f>IFERROR(__xludf.DUMMYFUNCTION("""COMPUTED_VALUE"""),"Efectivo USD")</f>
        <v/>
      </c>
      <c r="F548" s="75">
        <f>IFERROR(__xludf.DUMMYFUNCTION("""COMPUTED_VALUE"""),"M.L.P Repuestos y Otros, C.A")</f>
        <v/>
      </c>
      <c r="G548" s="76">
        <f>IFERROR(__xludf.DUMMYFUNCTION("""COMPUTED_VALUE"""),"MARTINEZ MONTES JEFFREY ENRIQUE")</f>
        <v/>
      </c>
      <c r="H548" s="76">
        <f>IFERROR(__xludf.DUMMYFUNCTION("""COMPUTED_VALUE"""),563.2892)</f>
        <v/>
      </c>
      <c r="I548" s="75" t="n"/>
      <c r="J548" s="77">
        <f>IFERROR(__xludf.DUMMYFUNCTION("""COMPUTED_VALUE"""),300.0)</f>
        <v/>
      </c>
      <c r="K548" s="4">
        <f>IFERROR(__xludf.DUMMYFUNCTION("""COMPUTED_VALUE"""),300.0)</f>
        <v/>
      </c>
      <c r="L548" s="77">
        <f>IFERROR(__xludf.DUMMYFUNCTION("""COMPUTED_VALUE"""),300.0)</f>
        <v/>
      </c>
      <c r="O548" s="72" t="n"/>
      <c r="S548" s="4" t="n"/>
    </row>
    <row r="549">
      <c r="A549" s="74">
        <f>IFERROR(__xludf.DUMMYFUNCTION("""COMPUTED_VALUE"""),46147.0)</f>
        <v/>
      </c>
      <c r="B549" s="72">
        <f>IFERROR(__xludf.DUMMYFUNCTION("""COMPUTED_VALUE"""),441.0)</f>
        <v/>
      </c>
      <c r="C549" s="75">
        <f>IFERROR(__xludf.DUMMYFUNCTION("""COMPUTED_VALUE"""),1203.0)</f>
        <v/>
      </c>
      <c r="D549" s="75">
        <f>IFERROR(__xludf.DUMMYFUNCTION("""COMPUTED_VALUE"""),"USD")</f>
        <v/>
      </c>
      <c r="E549" s="75">
        <f>IFERROR(__xludf.DUMMYFUNCTION("""COMPUTED_VALUE"""),"Zelle")</f>
        <v/>
      </c>
      <c r="F549" s="75">
        <f>IFERROR(__xludf.DUMMYFUNCTION("""COMPUTED_VALUE"""),"GASOLVEN DISTRIBUIDORA, C.A")</f>
        <v/>
      </c>
      <c r="G549" s="76">
        <f>IFERROR(__xludf.DUMMYFUNCTION("""COMPUTED_VALUE"""),"Marco Romero")</f>
        <v/>
      </c>
      <c r="H549" s="76">
        <f>IFERROR(__xludf.DUMMYFUNCTION("""COMPUTED_VALUE"""),490.0442)</f>
        <v/>
      </c>
      <c r="I549" s="75" t="n"/>
      <c r="J549" s="77">
        <f>IFERROR(__xludf.DUMMYFUNCTION("""COMPUTED_VALUE"""),1203.0)</f>
        <v/>
      </c>
      <c r="K549" s="4">
        <f>IFERROR(__xludf.DUMMYFUNCTION("""COMPUTED_VALUE"""),1203.0)</f>
        <v/>
      </c>
      <c r="L549" s="77">
        <f>IFERROR(__xludf.DUMMYFUNCTION("""COMPUTED_VALUE"""),1203.0)</f>
        <v/>
      </c>
      <c r="O549" s="72" t="n"/>
      <c r="S549" s="4" t="n"/>
    </row>
    <row r="550">
      <c r="A550" s="74">
        <f>IFERROR(__xludf.DUMMYFUNCTION("""COMPUTED_VALUE"""),46182.0)</f>
        <v/>
      </c>
      <c r="B550" s="72">
        <f>IFERROR(__xludf.DUMMYFUNCTION("""COMPUTED_VALUE"""),513.0)</f>
        <v/>
      </c>
      <c r="C550" s="75">
        <f>IFERROR(__xludf.DUMMYFUNCTION("""COMPUTED_VALUE"""),70.0)</f>
        <v/>
      </c>
      <c r="D550" s="75">
        <f>IFERROR(__xludf.DUMMYFUNCTION("""COMPUTED_VALUE"""),"USD")</f>
        <v/>
      </c>
      <c r="E550" s="75">
        <f>IFERROR(__xludf.DUMMYFUNCTION("""COMPUTED_VALUE"""),"Efectivo USD")</f>
        <v/>
      </c>
      <c r="F550" s="75">
        <f>IFERROR(__xludf.DUMMYFUNCTION("""COMPUTED_VALUE"""),"ELENA MEJIAS")</f>
        <v/>
      </c>
      <c r="G550" s="76">
        <f>IFERROR(__xludf.DUMMYFUNCTION("""COMPUTED_VALUE"""),"Vendedor")</f>
        <v/>
      </c>
      <c r="H550" s="76">
        <f>IFERROR(__xludf.DUMMYFUNCTION("""COMPUTED_VALUE"""),567.6828)</f>
        <v/>
      </c>
      <c r="I550" s="75" t="n"/>
      <c r="J550" s="77">
        <f>IFERROR(__xludf.DUMMYFUNCTION("""COMPUTED_VALUE"""),70.0)</f>
        <v/>
      </c>
      <c r="K550" s="4">
        <f>IFERROR(__xludf.DUMMYFUNCTION("""COMPUTED_VALUE"""),70.0)</f>
        <v/>
      </c>
      <c r="L550" s="77">
        <f>IFERROR(__xludf.DUMMYFUNCTION("""COMPUTED_VALUE"""),70.0)</f>
        <v/>
      </c>
      <c r="O550" s="72" t="n"/>
      <c r="S550" s="4" t="n"/>
    </row>
    <row r="551">
      <c r="A551" s="74">
        <f>IFERROR(__xludf.DUMMYFUNCTION("""COMPUTED_VALUE"""),46182.0)</f>
        <v/>
      </c>
      <c r="B551" s="72">
        <f>IFERROR(__xludf.DUMMYFUNCTION("""COMPUTED_VALUE"""),44.0)</f>
        <v/>
      </c>
      <c r="C551" s="75">
        <f>IFERROR(__xludf.DUMMYFUNCTION("""COMPUTED_VALUE"""),207.0)</f>
        <v/>
      </c>
      <c r="D551" s="75">
        <f>IFERROR(__xludf.DUMMYFUNCTION("""COMPUTED_VALUE"""),"USD")</f>
        <v/>
      </c>
      <c r="E551" s="75">
        <f>IFERROR(__xludf.DUMMYFUNCTION("""COMPUTED_VALUE"""),"Efectivo USD")</f>
        <v/>
      </c>
      <c r="F551" s="75">
        <f>IFERROR(__xludf.DUMMYFUNCTION("""COMPUTED_VALUE"""),"Comercializadora Garabote")</f>
        <v/>
      </c>
      <c r="G551" s="76">
        <f>IFERROR(__xludf.DUMMYFUNCTION("""COMPUTED_VALUE"""),"PEREZ DIAZ ANGEL DE DIOS")</f>
        <v/>
      </c>
      <c r="H551" s="76">
        <f>IFERROR(__xludf.DUMMYFUNCTION("""COMPUTED_VALUE"""),567.6828)</f>
        <v/>
      </c>
      <c r="I551" s="75" t="n"/>
      <c r="J551" s="77">
        <f>IFERROR(__xludf.DUMMYFUNCTION("""COMPUTED_VALUE"""),207.0)</f>
        <v/>
      </c>
      <c r="K551" s="4">
        <f>IFERROR(__xludf.DUMMYFUNCTION("""COMPUTED_VALUE"""),207.0)</f>
        <v/>
      </c>
      <c r="L551" s="77">
        <f>IFERROR(__xludf.DUMMYFUNCTION("""COMPUTED_VALUE"""),207.0)</f>
        <v/>
      </c>
      <c r="O551" s="72" t="n"/>
      <c r="S551" s="4" t="n"/>
    </row>
    <row r="552">
      <c r="A552" s="74">
        <f>IFERROR(__xludf.DUMMYFUNCTION("""COMPUTED_VALUE"""),46182.0)</f>
        <v/>
      </c>
      <c r="B552" s="72">
        <f>IFERROR(__xludf.DUMMYFUNCTION("""COMPUTED_VALUE"""),149.0)</f>
        <v/>
      </c>
      <c r="C552" s="75">
        <f>IFERROR(__xludf.DUMMYFUNCTION("""COMPUTED_VALUE"""),300.0)</f>
        <v/>
      </c>
      <c r="D552" s="75">
        <f>IFERROR(__xludf.DUMMYFUNCTION("""COMPUTED_VALUE"""),"USD")</f>
        <v/>
      </c>
      <c r="E552" s="75">
        <f>IFERROR(__xludf.DUMMYFUNCTION("""COMPUTED_VALUE"""),"Binance")</f>
        <v/>
      </c>
      <c r="F552" s="75">
        <f>IFERROR(__xludf.DUMMYFUNCTION("""COMPUTED_VALUE"""),"Emprendimiento ilaris cancelo")</f>
        <v/>
      </c>
      <c r="G552" s="76">
        <f>IFERROR(__xludf.DUMMYFUNCTION("""COMPUTED_VALUE"""),"PEREZ DIAZ ANGEL DE DIOS")</f>
        <v/>
      </c>
      <c r="H552" s="76">
        <f>IFERROR(__xludf.DUMMYFUNCTION("""COMPUTED_VALUE"""),567.6828)</f>
        <v/>
      </c>
      <c r="I552" s="75" t="n"/>
      <c r="J552" s="77">
        <f>IFERROR(__xludf.DUMMYFUNCTION("""COMPUTED_VALUE"""),300.0)</f>
        <v/>
      </c>
      <c r="K552" s="4">
        <f>IFERROR(__xludf.DUMMYFUNCTION("""COMPUTED_VALUE"""),300.0)</f>
        <v/>
      </c>
      <c r="L552" s="77">
        <f>IFERROR(__xludf.DUMMYFUNCTION("""COMPUTED_VALUE"""),300.0)</f>
        <v/>
      </c>
      <c r="O552" s="72" t="n"/>
      <c r="S552" s="4" t="n"/>
    </row>
    <row r="553">
      <c r="A553" s="74">
        <f>IFERROR(__xludf.DUMMYFUNCTION("""COMPUTED_VALUE"""),46154.0)</f>
        <v/>
      </c>
      <c r="B553" s="72">
        <f>IFERROR(__xludf.DUMMYFUNCTION("""COMPUTED_VALUE"""),369.0)</f>
        <v/>
      </c>
      <c r="C553" s="75">
        <f>IFERROR(__xludf.DUMMYFUNCTION("""COMPUTED_VALUE"""),76.0)</f>
        <v/>
      </c>
      <c r="D553" s="75">
        <f>IFERROR(__xludf.DUMMYFUNCTION("""COMPUTED_VALUE"""),"USD")</f>
        <v/>
      </c>
      <c r="E553" s="75">
        <f>IFERROR(__xludf.DUMMYFUNCTION("""COMPUTED_VALUE"""),"Efectivo USD")</f>
        <v/>
      </c>
      <c r="F553" s="75">
        <f>IFERROR(__xludf.DUMMYFUNCTION("""COMPUTED_VALUE"""),"ELENA MEJIAS")</f>
        <v/>
      </c>
      <c r="G553" s="76">
        <f>IFERROR(__xludf.DUMMYFUNCTION("""COMPUTED_VALUE"""),"Vendedor")</f>
        <v/>
      </c>
      <c r="H553" s="76">
        <f>IFERROR(__xludf.DUMMYFUNCTION("""COMPUTED_VALUE"""),504.9146)</f>
        <v/>
      </c>
      <c r="I553" s="75" t="n"/>
      <c r="J553" s="77">
        <f>IFERROR(__xludf.DUMMYFUNCTION("""COMPUTED_VALUE"""),76.0)</f>
        <v/>
      </c>
      <c r="K553" s="4">
        <f>IFERROR(__xludf.DUMMYFUNCTION("""COMPUTED_VALUE"""),76.0)</f>
        <v/>
      </c>
      <c r="L553" s="77">
        <f>IFERROR(__xludf.DUMMYFUNCTION("""COMPUTED_VALUE"""),76.0)</f>
        <v/>
      </c>
      <c r="O553" s="72" t="n"/>
      <c r="S553" s="4" t="n"/>
    </row>
    <row r="554">
      <c r="A554" s="74">
        <f>IFERROR(__xludf.DUMMYFUNCTION("""COMPUTED_VALUE"""),46182.0)</f>
        <v/>
      </c>
      <c r="B554" s="72">
        <f>IFERROR(__xludf.DUMMYFUNCTION("""COMPUTED_VALUE"""),125.0)</f>
        <v/>
      </c>
      <c r="C554" s="75">
        <f>IFERROR(__xludf.DUMMYFUNCTION("""COMPUTED_VALUE"""),15.0)</f>
        <v/>
      </c>
      <c r="D554" s="75">
        <f>IFERROR(__xludf.DUMMYFUNCTION("""COMPUTED_VALUE"""),"USD")</f>
        <v/>
      </c>
      <c r="E554" s="75">
        <f>IFERROR(__xludf.DUMMYFUNCTION("""COMPUTED_VALUE"""),"Efectivo USD")</f>
        <v/>
      </c>
      <c r="F554" s="75">
        <f>IFERROR(__xludf.DUMMYFUNCTION("""COMPUTED_VALUE"""),"Megacar2020.c.a")</f>
        <v/>
      </c>
      <c r="G554" s="76">
        <f>IFERROR(__xludf.DUMMYFUNCTION("""COMPUTED_VALUE"""),"PEREZ DIAZ ANGEL DE DIOS")</f>
        <v/>
      </c>
      <c r="H554" s="76">
        <f>IFERROR(__xludf.DUMMYFUNCTION("""COMPUTED_VALUE"""),567.6828)</f>
        <v/>
      </c>
      <c r="I554" s="75" t="n"/>
      <c r="J554" s="77">
        <f>IFERROR(__xludf.DUMMYFUNCTION("""COMPUTED_VALUE"""),15.0)</f>
        <v/>
      </c>
      <c r="K554" s="4">
        <f>IFERROR(__xludf.DUMMYFUNCTION("""COMPUTED_VALUE"""),15.0)</f>
        <v/>
      </c>
      <c r="L554" s="77">
        <f>IFERROR(__xludf.DUMMYFUNCTION("""COMPUTED_VALUE"""),15.0)</f>
        <v/>
      </c>
      <c r="O554" s="72" t="n"/>
      <c r="S554" s="4" t="n"/>
    </row>
    <row r="555">
      <c r="A555" s="74">
        <f>IFERROR(__xludf.DUMMYFUNCTION("""COMPUTED_VALUE"""),46182.0)</f>
        <v/>
      </c>
      <c r="B555" s="72">
        <f>IFERROR(__xludf.DUMMYFUNCTION("""COMPUTED_VALUE"""),364.0)</f>
        <v/>
      </c>
      <c r="C555" s="75">
        <f>IFERROR(__xludf.DUMMYFUNCTION("""COMPUTED_VALUE"""),106.0)</f>
        <v/>
      </c>
      <c r="D555" s="75">
        <f>IFERROR(__xludf.DUMMYFUNCTION("""COMPUTED_VALUE"""),"USD")</f>
        <v/>
      </c>
      <c r="E555" s="75">
        <f>IFERROR(__xludf.DUMMYFUNCTION("""COMPUTED_VALUE"""),"Efectivo USD")</f>
        <v/>
      </c>
      <c r="F555" s="75">
        <f>IFERROR(__xludf.DUMMYFUNCTION("""COMPUTED_VALUE"""),"CAUCHOS NUÑEZ, C.A.")</f>
        <v/>
      </c>
      <c r="G555" s="76">
        <f>IFERROR(__xludf.DUMMYFUNCTION("""COMPUTED_VALUE"""),"VILLABONA CORREA ALBA ESTEFANIA")</f>
        <v/>
      </c>
      <c r="H555" s="76">
        <f>IFERROR(__xludf.DUMMYFUNCTION("""COMPUTED_VALUE"""),567.6828)</f>
        <v/>
      </c>
      <c r="I555" s="75" t="n"/>
      <c r="J555" s="77">
        <f>IFERROR(__xludf.DUMMYFUNCTION("""COMPUTED_VALUE"""),106.0)</f>
        <v/>
      </c>
      <c r="K555" s="4">
        <f>IFERROR(__xludf.DUMMYFUNCTION("""COMPUTED_VALUE"""),106.0)</f>
        <v/>
      </c>
      <c r="L555" s="77">
        <f>IFERROR(__xludf.DUMMYFUNCTION("""COMPUTED_VALUE"""),106.0)</f>
        <v/>
      </c>
      <c r="O555" s="72" t="n"/>
      <c r="S555" s="4" t="n"/>
    </row>
    <row r="556">
      <c r="A556" s="74">
        <f>IFERROR(__xludf.DUMMYFUNCTION("""COMPUTED_VALUE"""),46178.0)</f>
        <v/>
      </c>
      <c r="B556" s="72">
        <f>IFERROR(__xludf.DUMMYFUNCTION("""COMPUTED_VALUE"""),396.0)</f>
        <v/>
      </c>
      <c r="C556" s="75">
        <f>IFERROR(__xludf.DUMMYFUNCTION("""COMPUTED_VALUE"""),72849.0)</f>
        <v/>
      </c>
      <c r="D556" s="75">
        <f>IFERROR(__xludf.DUMMYFUNCTION("""COMPUTED_VALUE"""),"VES")</f>
        <v/>
      </c>
      <c r="E556" s="75">
        <f>IFERROR(__xludf.DUMMYFUNCTION("""COMPUTED_VALUE"""),"Bancamiga")</f>
        <v/>
      </c>
      <c r="F556" s="75">
        <f>IFERROR(__xludf.DUMMYFUNCTION("""COMPUTED_VALUE"""),"INVERSIONES ARCOSOL 21, C.A.")</f>
        <v/>
      </c>
      <c r="G556" s="76">
        <f>IFERROR(__xludf.DUMMYFUNCTION("""COMPUTED_VALUE"""),"VILLABONA CORREA ALBA ESTEFANIA")</f>
        <v/>
      </c>
      <c r="H556" s="76">
        <f>IFERROR(__xludf.DUMMYFUNCTION("""COMPUTED_VALUE"""),563.2892)</f>
        <v/>
      </c>
      <c r="I556" s="75" t="n"/>
      <c r="J556" s="77">
        <f>IFERROR(__xludf.DUMMYFUNCTION("""COMPUTED_VALUE"""),129.32788343891556)</f>
        <v/>
      </c>
      <c r="K556" s="4">
        <f>IFERROR(__xludf.DUMMYFUNCTION("""COMPUTED_VALUE"""),0.0)</f>
        <v/>
      </c>
      <c r="L556" s="77">
        <f>IFERROR(__xludf.DUMMYFUNCTION("""COMPUTED_VALUE"""),129.32788343891556)</f>
        <v/>
      </c>
      <c r="O556" s="72" t="n"/>
      <c r="S556" s="4" t="n"/>
    </row>
    <row r="557">
      <c r="A557" s="74">
        <f>IFERROR(__xludf.DUMMYFUNCTION("""COMPUTED_VALUE"""),46182.0)</f>
        <v/>
      </c>
      <c r="B557" s="72">
        <f>IFERROR(__xludf.DUMMYFUNCTION("""COMPUTED_VALUE"""),207.0)</f>
        <v/>
      </c>
      <c r="C557" s="75">
        <f>IFERROR(__xludf.DUMMYFUNCTION("""COMPUTED_VALUE"""),200.0)</f>
        <v/>
      </c>
      <c r="D557" s="75">
        <f>IFERROR(__xludf.DUMMYFUNCTION("""COMPUTED_VALUE"""),"USD")</f>
        <v/>
      </c>
      <c r="E557" s="75">
        <f>IFERROR(__xludf.DUMMYFUNCTION("""COMPUTED_VALUE"""),"Efectivo USD")</f>
        <v/>
      </c>
      <c r="F557" s="75">
        <f>IFERROR(__xludf.DUMMYFUNCTION("""COMPUTED_VALUE"""),"Ingrit Martinez")</f>
        <v/>
      </c>
      <c r="G557" s="76">
        <f>IFERROR(__xludf.DUMMYFUNCTION("""COMPUTED_VALUE"""),"VILLABONA CORREA ALBA ESTEFANIA")</f>
        <v/>
      </c>
      <c r="H557" s="76">
        <f>IFERROR(__xludf.DUMMYFUNCTION("""COMPUTED_VALUE"""),567.6828)</f>
        <v/>
      </c>
      <c r="I557" s="75" t="n"/>
      <c r="J557" s="77">
        <f>IFERROR(__xludf.DUMMYFUNCTION("""COMPUTED_VALUE"""),200.0)</f>
        <v/>
      </c>
      <c r="K557" s="4">
        <f>IFERROR(__xludf.DUMMYFUNCTION("""COMPUTED_VALUE"""),200.0)</f>
        <v/>
      </c>
      <c r="L557" s="77">
        <f>IFERROR(__xludf.DUMMYFUNCTION("""COMPUTED_VALUE"""),200.0)</f>
        <v/>
      </c>
      <c r="O557" s="72" t="n"/>
      <c r="S557" s="4" t="n"/>
    </row>
    <row r="558">
      <c r="A558" s="74">
        <f>IFERROR(__xludf.DUMMYFUNCTION("""COMPUTED_VALUE"""),46182.0)</f>
        <v/>
      </c>
      <c r="B558" s="72">
        <f>IFERROR(__xludf.DUMMYFUNCTION("""COMPUTED_VALUE"""),334.0)</f>
        <v/>
      </c>
      <c r="C558" s="75">
        <f>IFERROR(__xludf.DUMMYFUNCTION("""COMPUTED_VALUE"""),195.0)</f>
        <v/>
      </c>
      <c r="D558" s="75">
        <f>IFERROR(__xludf.DUMMYFUNCTION("""COMPUTED_VALUE"""),"USD")</f>
        <v/>
      </c>
      <c r="E558" s="75">
        <f>IFERROR(__xludf.DUMMYFUNCTION("""COMPUTED_VALUE"""),"Zelle")</f>
        <v/>
      </c>
      <c r="F558" s="75">
        <f>IFERROR(__xludf.DUMMYFUNCTION("""COMPUTED_VALUE"""),"LOGISTICA Y CONSULTORIA VINCARS, C.A.")</f>
        <v/>
      </c>
      <c r="G558" s="76">
        <f>IFERROR(__xludf.DUMMYFUNCTION("""COMPUTED_VALUE"""),"QUEVEDO BASTIDAS NEYKEL DAVID")</f>
        <v/>
      </c>
      <c r="H558" s="76">
        <f>IFERROR(__xludf.DUMMYFUNCTION("""COMPUTED_VALUE"""),567.6828)</f>
        <v/>
      </c>
      <c r="I558" s="75" t="n"/>
      <c r="J558" s="77">
        <f>IFERROR(__xludf.DUMMYFUNCTION("""COMPUTED_VALUE"""),195.0)</f>
        <v/>
      </c>
      <c r="K558" s="4">
        <f>IFERROR(__xludf.DUMMYFUNCTION("""COMPUTED_VALUE"""),195.0)</f>
        <v/>
      </c>
      <c r="L558" s="77">
        <f>IFERROR(__xludf.DUMMYFUNCTION("""COMPUTED_VALUE"""),195.0)</f>
        <v/>
      </c>
      <c r="O558" s="72" t="n"/>
      <c r="S558" s="4" t="n"/>
    </row>
    <row r="559">
      <c r="A559" s="74">
        <f>IFERROR(__xludf.DUMMYFUNCTION("""COMPUTED_VALUE"""),46182.0)</f>
        <v/>
      </c>
      <c r="B559" s="72">
        <f>IFERROR(__xludf.DUMMYFUNCTION("""COMPUTED_VALUE"""),59.0)</f>
        <v/>
      </c>
      <c r="C559" s="75">
        <f>IFERROR(__xludf.DUMMYFUNCTION("""COMPUTED_VALUE"""),200.0)</f>
        <v/>
      </c>
      <c r="D559" s="75">
        <f>IFERROR(__xludf.DUMMYFUNCTION("""COMPUTED_VALUE"""),"USD")</f>
        <v/>
      </c>
      <c r="E559" s="75">
        <f>IFERROR(__xludf.DUMMYFUNCTION("""COMPUTED_VALUE"""),"Efectivo USD")</f>
        <v/>
      </c>
      <c r="F559" s="75">
        <f>IFERROR(__xludf.DUMMYFUNCTION("""COMPUTED_VALUE"""),"Rhino Toyo Parts, C.A.")</f>
        <v/>
      </c>
      <c r="G559" s="76">
        <f>IFERROR(__xludf.DUMMYFUNCTION("""COMPUTED_VALUE"""),"CASERES GONZALEZ RONALD OSWALDO")</f>
        <v/>
      </c>
      <c r="H559" s="76">
        <f>IFERROR(__xludf.DUMMYFUNCTION("""COMPUTED_VALUE"""),567.6828)</f>
        <v/>
      </c>
      <c r="I559" s="75" t="n"/>
      <c r="J559" s="77">
        <f>IFERROR(__xludf.DUMMYFUNCTION("""COMPUTED_VALUE"""),200.0)</f>
        <v/>
      </c>
      <c r="K559" s="4">
        <f>IFERROR(__xludf.DUMMYFUNCTION("""COMPUTED_VALUE"""),200.0)</f>
        <v/>
      </c>
      <c r="L559" s="77">
        <f>IFERROR(__xludf.DUMMYFUNCTION("""COMPUTED_VALUE"""),200.0)</f>
        <v/>
      </c>
      <c r="O559" s="72" t="n"/>
      <c r="S559" s="4" t="n"/>
    </row>
    <row r="560">
      <c r="A560" s="74">
        <f>IFERROR(__xludf.DUMMYFUNCTION("""COMPUTED_VALUE"""),46182.0)</f>
        <v/>
      </c>
      <c r="B560" s="72">
        <f>IFERROR(__xludf.DUMMYFUNCTION("""COMPUTED_VALUE"""),204.0)</f>
        <v/>
      </c>
      <c r="C560" s="75">
        <f>IFERROR(__xludf.DUMMYFUNCTION("""COMPUTED_VALUE"""),120.0)</f>
        <v/>
      </c>
      <c r="D560" s="75">
        <f>IFERROR(__xludf.DUMMYFUNCTION("""COMPUTED_VALUE"""),"USD")</f>
        <v/>
      </c>
      <c r="E560" s="75">
        <f>IFERROR(__xludf.DUMMYFUNCTION("""COMPUTED_VALUE"""),"Efectivo USD")</f>
        <v/>
      </c>
      <c r="F560" s="75">
        <f>IFERROR(__xludf.DUMMYFUNCTION("""COMPUTED_VALUE"""),"Motolavado Yahir")</f>
        <v/>
      </c>
      <c r="G560" s="76">
        <f>IFERROR(__xludf.DUMMYFUNCTION("""COMPUTED_VALUE"""),"GRIMAN DIAZ HECTOR EDUARDO")</f>
        <v/>
      </c>
      <c r="H560" s="76">
        <f>IFERROR(__xludf.DUMMYFUNCTION("""COMPUTED_VALUE"""),567.6828)</f>
        <v/>
      </c>
      <c r="I560" s="75" t="n"/>
      <c r="J560" s="77">
        <f>IFERROR(__xludf.DUMMYFUNCTION("""COMPUTED_VALUE"""),120.0)</f>
        <v/>
      </c>
      <c r="K560" s="4">
        <f>IFERROR(__xludf.DUMMYFUNCTION("""COMPUTED_VALUE"""),120.0)</f>
        <v/>
      </c>
      <c r="L560" s="77">
        <f>IFERROR(__xludf.DUMMYFUNCTION("""COMPUTED_VALUE"""),120.0)</f>
        <v/>
      </c>
      <c r="O560" s="72" t="n"/>
      <c r="S560" s="4" t="n"/>
    </row>
    <row r="561">
      <c r="A561" s="74">
        <f>IFERROR(__xludf.DUMMYFUNCTION("""COMPUTED_VALUE"""),46182.0)</f>
        <v/>
      </c>
      <c r="B561" s="72">
        <f>IFERROR(__xludf.DUMMYFUNCTION("""COMPUTED_VALUE"""),518.0)</f>
        <v/>
      </c>
      <c r="C561" s="75">
        <f>IFERROR(__xludf.DUMMYFUNCTION("""COMPUTED_VALUE"""),103.0)</f>
        <v/>
      </c>
      <c r="D561" s="75">
        <f>IFERROR(__xludf.DUMMYFUNCTION("""COMPUTED_VALUE"""),"USD")</f>
        <v/>
      </c>
      <c r="E561" s="75">
        <f>IFERROR(__xludf.DUMMYFUNCTION("""COMPUTED_VALUE"""),"Efectivo USD")</f>
        <v/>
      </c>
      <c r="F561" s="75">
        <f>IFERROR(__xludf.DUMMYFUNCTION("""COMPUTED_VALUE"""),"EMPRENDIMIENTO IRMA RODRIGUEZ 6")</f>
        <v/>
      </c>
      <c r="G561" s="76">
        <f>IFERROR(__xludf.DUMMYFUNCTION("""COMPUTED_VALUE"""),"TORO ARDILES DAVID JOSE")</f>
        <v/>
      </c>
      <c r="H561" s="76">
        <f>IFERROR(__xludf.DUMMYFUNCTION("""COMPUTED_VALUE"""),567.6828)</f>
        <v/>
      </c>
      <c r="I561" s="75" t="n"/>
      <c r="J561" s="77">
        <f>IFERROR(__xludf.DUMMYFUNCTION("""COMPUTED_VALUE"""),103.0)</f>
        <v/>
      </c>
      <c r="K561" s="4">
        <f>IFERROR(__xludf.DUMMYFUNCTION("""COMPUTED_VALUE"""),103.0)</f>
        <v/>
      </c>
      <c r="L561" s="77">
        <f>IFERROR(__xludf.DUMMYFUNCTION("""COMPUTED_VALUE"""),103.0)</f>
        <v/>
      </c>
      <c r="O561" s="72" t="n"/>
      <c r="S561" s="4" t="n"/>
    </row>
    <row r="562">
      <c r="A562" s="74">
        <f>IFERROR(__xludf.DUMMYFUNCTION("""COMPUTED_VALUE"""),46182.0)</f>
        <v/>
      </c>
      <c r="B562" s="72">
        <f>IFERROR(__xludf.DUMMYFUNCTION("""COMPUTED_VALUE"""),222.0)</f>
        <v/>
      </c>
      <c r="C562" s="75">
        <f>IFERROR(__xludf.DUMMYFUNCTION("""COMPUTED_VALUE"""),80.0)</f>
        <v/>
      </c>
      <c r="D562" s="75">
        <f>IFERROR(__xludf.DUMMYFUNCTION("""COMPUTED_VALUE"""),"USD")</f>
        <v/>
      </c>
      <c r="E562" s="75">
        <f>IFERROR(__xludf.DUMMYFUNCTION("""COMPUTED_VALUE"""),"Efectivo USD")</f>
        <v/>
      </c>
      <c r="F562" s="75">
        <f>IFERROR(__xludf.DUMMYFUNCTION("""COMPUTED_VALUE"""),"Braulio R. Cedeño Gonzalez.")</f>
        <v/>
      </c>
      <c r="G562" s="76">
        <f>IFERROR(__xludf.DUMMYFUNCTION("""COMPUTED_VALUE"""),"GRIMAN DIAZ HECTOR EDUARDO")</f>
        <v/>
      </c>
      <c r="H562" s="76">
        <f>IFERROR(__xludf.DUMMYFUNCTION("""COMPUTED_VALUE"""),567.6828)</f>
        <v/>
      </c>
      <c r="I562" s="75" t="n"/>
      <c r="J562" s="77">
        <f>IFERROR(__xludf.DUMMYFUNCTION("""COMPUTED_VALUE"""),80.0)</f>
        <v/>
      </c>
      <c r="K562" s="4">
        <f>IFERROR(__xludf.DUMMYFUNCTION("""COMPUTED_VALUE"""),80.0)</f>
        <v/>
      </c>
      <c r="L562" s="77">
        <f>IFERROR(__xludf.DUMMYFUNCTION("""COMPUTED_VALUE"""),80.0)</f>
        <v/>
      </c>
      <c r="O562" s="72" t="n"/>
      <c r="S562" s="4" t="n"/>
    </row>
    <row r="563">
      <c r="A563" s="74">
        <f>IFERROR(__xludf.DUMMYFUNCTION("""COMPUTED_VALUE"""),46182.0)</f>
        <v/>
      </c>
      <c r="B563" s="72">
        <f>IFERROR(__xludf.DUMMYFUNCTION("""COMPUTED_VALUE"""),298.0)</f>
        <v/>
      </c>
      <c r="C563" s="75">
        <f>IFERROR(__xludf.DUMMYFUNCTION("""COMPUTED_VALUE"""),30.0)</f>
        <v/>
      </c>
      <c r="D563" s="75">
        <f>IFERROR(__xludf.DUMMYFUNCTION("""COMPUTED_VALUE"""),"USD")</f>
        <v/>
      </c>
      <c r="E563" s="75">
        <f>IFERROR(__xludf.DUMMYFUNCTION("""COMPUTED_VALUE"""),"Efectivo USD")</f>
        <v/>
      </c>
      <c r="F563" s="75">
        <f>IFERROR(__xludf.DUMMYFUNCTION("""COMPUTED_VALUE"""),"Inversiones Brayan CT C.A")</f>
        <v/>
      </c>
      <c r="G563" s="76">
        <f>IFERROR(__xludf.DUMMYFUNCTION("""COMPUTED_VALUE"""),"GRIMAN DIAZ HECTOR EDUARDO")</f>
        <v/>
      </c>
      <c r="H563" s="76">
        <f>IFERROR(__xludf.DUMMYFUNCTION("""COMPUTED_VALUE"""),567.6828)</f>
        <v/>
      </c>
      <c r="I563" s="75" t="n"/>
      <c r="J563" s="77">
        <f>IFERROR(__xludf.DUMMYFUNCTION("""COMPUTED_VALUE"""),30.0)</f>
        <v/>
      </c>
      <c r="K563" s="4">
        <f>IFERROR(__xludf.DUMMYFUNCTION("""COMPUTED_VALUE"""),30.0)</f>
        <v/>
      </c>
      <c r="L563" s="77">
        <f>IFERROR(__xludf.DUMMYFUNCTION("""COMPUTED_VALUE"""),30.0)</f>
        <v/>
      </c>
      <c r="O563" s="72" t="n"/>
      <c r="S563" s="4" t="n"/>
    </row>
    <row r="564">
      <c r="A564" s="74">
        <f>IFERROR(__xludf.DUMMYFUNCTION("""COMPUTED_VALUE"""),46182.0)</f>
        <v/>
      </c>
      <c r="B564" s="72">
        <f>IFERROR(__xludf.DUMMYFUNCTION("""COMPUTED_VALUE"""),366.0)</f>
        <v/>
      </c>
      <c r="C564" s="75">
        <f>IFERROR(__xludf.DUMMYFUNCTION("""COMPUTED_VALUE"""),76.0)</f>
        <v/>
      </c>
      <c r="D564" s="75">
        <f>IFERROR(__xludf.DUMMYFUNCTION("""COMPUTED_VALUE"""),"USD")</f>
        <v/>
      </c>
      <c r="E564" s="75">
        <f>IFERROR(__xludf.DUMMYFUNCTION("""COMPUTED_VALUE"""),"Efectivo USD")</f>
        <v/>
      </c>
      <c r="F564" s="75">
        <f>IFERROR(__xludf.DUMMYFUNCTION("""COMPUTED_VALUE"""),"Auto repuestos Fontalvo")</f>
        <v/>
      </c>
      <c r="G564" s="76">
        <f>IFERROR(__xludf.DUMMYFUNCTION("""COMPUTED_VALUE"""),"TORO ARDILES DAVID JOSE")</f>
        <v/>
      </c>
      <c r="H564" s="76">
        <f>IFERROR(__xludf.DUMMYFUNCTION("""COMPUTED_VALUE"""),567.6828)</f>
        <v/>
      </c>
      <c r="I564" s="75" t="n"/>
      <c r="J564" s="77">
        <f>IFERROR(__xludf.DUMMYFUNCTION("""COMPUTED_VALUE"""),76.0)</f>
        <v/>
      </c>
      <c r="K564" s="4">
        <f>IFERROR(__xludf.DUMMYFUNCTION("""COMPUTED_VALUE"""),76.0)</f>
        <v/>
      </c>
      <c r="L564" s="77">
        <f>IFERROR(__xludf.DUMMYFUNCTION("""COMPUTED_VALUE"""),76.0)</f>
        <v/>
      </c>
      <c r="O564" s="72" t="n"/>
      <c r="S564" s="4" t="n"/>
    </row>
    <row r="565">
      <c r="A565" s="74">
        <f>IFERROR(__xludf.DUMMYFUNCTION("""COMPUTED_VALUE"""),46182.0)</f>
        <v/>
      </c>
      <c r="B565" s="72">
        <f>IFERROR(__xludf.DUMMYFUNCTION("""COMPUTED_VALUE"""),335.0)</f>
        <v/>
      </c>
      <c r="C565" s="75">
        <f>IFERROR(__xludf.DUMMYFUNCTION("""COMPUTED_VALUE"""),50.0)</f>
        <v/>
      </c>
      <c r="D565" s="75">
        <f>IFERROR(__xludf.DUMMYFUNCTION("""COMPUTED_VALUE"""),"USD")</f>
        <v/>
      </c>
      <c r="E565" s="75">
        <f>IFERROR(__xludf.DUMMYFUNCTION("""COMPUTED_VALUE"""),"Efectivo USD")</f>
        <v/>
      </c>
      <c r="F565" s="75">
        <f>IFERROR(__xludf.DUMMYFUNCTION("""COMPUTED_VALUE"""),"Wili Mervin León Romero")</f>
        <v/>
      </c>
      <c r="G565" s="76">
        <f>IFERROR(__xludf.DUMMYFUNCTION("""COMPUTED_VALUE"""),"GRIMAN DIAZ HECTOR EDUARDO")</f>
        <v/>
      </c>
      <c r="H565" s="76">
        <f>IFERROR(__xludf.DUMMYFUNCTION("""COMPUTED_VALUE"""),567.6828)</f>
        <v/>
      </c>
      <c r="I565" s="75" t="n"/>
      <c r="J565" s="77">
        <f>IFERROR(__xludf.DUMMYFUNCTION("""COMPUTED_VALUE"""),50.0)</f>
        <v/>
      </c>
      <c r="K565" s="4">
        <f>IFERROR(__xludf.DUMMYFUNCTION("""COMPUTED_VALUE"""),50.0)</f>
        <v/>
      </c>
      <c r="L565" s="77">
        <f>IFERROR(__xludf.DUMMYFUNCTION("""COMPUTED_VALUE"""),50.0)</f>
        <v/>
      </c>
      <c r="O565" s="72" t="n"/>
      <c r="S565" s="4" t="n"/>
    </row>
    <row r="566">
      <c r="A566" s="74">
        <f>IFERROR(__xludf.DUMMYFUNCTION("""COMPUTED_VALUE"""),46182.0)</f>
        <v/>
      </c>
      <c r="B566" s="72">
        <f>IFERROR(__xludf.DUMMYFUNCTION("""COMPUTED_VALUE"""),324.0)</f>
        <v/>
      </c>
      <c r="C566" s="75">
        <f>IFERROR(__xludf.DUMMYFUNCTION("""COMPUTED_VALUE"""),40.0)</f>
        <v/>
      </c>
      <c r="D566" s="75">
        <f>IFERROR(__xludf.DUMMYFUNCTION("""COMPUTED_VALUE"""),"USD")</f>
        <v/>
      </c>
      <c r="E566" s="75">
        <f>IFERROR(__xludf.DUMMYFUNCTION("""COMPUTED_VALUE"""),"Efectivo USD")</f>
        <v/>
      </c>
      <c r="F566" s="75">
        <f>IFERROR(__xludf.DUMMYFUNCTION("""COMPUTED_VALUE"""),"Nemer Bourji")</f>
        <v/>
      </c>
      <c r="G566" s="76">
        <f>IFERROR(__xludf.DUMMYFUNCTION("""COMPUTED_VALUE"""),"TORO ARDILES DAVID JOSE")</f>
        <v/>
      </c>
      <c r="H566" s="76">
        <f>IFERROR(__xludf.DUMMYFUNCTION("""COMPUTED_VALUE"""),567.6828)</f>
        <v/>
      </c>
      <c r="I566" s="75" t="n"/>
      <c r="J566" s="77">
        <f>IFERROR(__xludf.DUMMYFUNCTION("""COMPUTED_VALUE"""),40.0)</f>
        <v/>
      </c>
      <c r="K566" s="4">
        <f>IFERROR(__xludf.DUMMYFUNCTION("""COMPUTED_VALUE"""),40.0)</f>
        <v/>
      </c>
      <c r="L566" s="77">
        <f>IFERROR(__xludf.DUMMYFUNCTION("""COMPUTED_VALUE"""),40.0)</f>
        <v/>
      </c>
      <c r="O566" s="72" t="n"/>
      <c r="S566" s="4" t="n"/>
    </row>
    <row r="567">
      <c r="A567" s="74">
        <f>IFERROR(__xludf.DUMMYFUNCTION("""COMPUTED_VALUE"""),46182.0)</f>
        <v/>
      </c>
      <c r="B567" s="72">
        <f>IFERROR(__xludf.DUMMYFUNCTION("""COMPUTED_VALUE"""),27.0)</f>
        <v/>
      </c>
      <c r="C567" s="75">
        <f>IFERROR(__xludf.DUMMYFUNCTION("""COMPUTED_VALUE"""),20.0)</f>
        <v/>
      </c>
      <c r="D567" s="75">
        <f>IFERROR(__xludf.DUMMYFUNCTION("""COMPUTED_VALUE"""),"USD")</f>
        <v/>
      </c>
      <c r="E567" s="75">
        <f>IFERROR(__xludf.DUMMYFUNCTION("""COMPUTED_VALUE"""),"Efectivo USD")</f>
        <v/>
      </c>
      <c r="F567" s="75">
        <f>IFERROR(__xludf.DUMMYFUNCTION("""COMPUTED_VALUE"""),"Moises Alejandro Mares")</f>
        <v/>
      </c>
      <c r="G567" s="76">
        <f>IFERROR(__xludf.DUMMYFUNCTION("""COMPUTED_VALUE"""),"GRIMAN DIAZ HECTOR EDUARDO")</f>
        <v/>
      </c>
      <c r="H567" s="76">
        <f>IFERROR(__xludf.DUMMYFUNCTION("""COMPUTED_VALUE"""),567.6828)</f>
        <v/>
      </c>
      <c r="I567" s="75" t="n"/>
      <c r="J567" s="77">
        <f>IFERROR(__xludf.DUMMYFUNCTION("""COMPUTED_VALUE"""),20.0)</f>
        <v/>
      </c>
      <c r="K567" s="4">
        <f>IFERROR(__xludf.DUMMYFUNCTION("""COMPUTED_VALUE"""),20.0)</f>
        <v/>
      </c>
      <c r="L567" s="77">
        <f>IFERROR(__xludf.DUMMYFUNCTION("""COMPUTED_VALUE"""),20.0)</f>
        <v/>
      </c>
      <c r="O567" s="72" t="n"/>
      <c r="S567" s="4" t="n"/>
    </row>
    <row r="568">
      <c r="A568" s="74">
        <f>IFERROR(__xludf.DUMMYFUNCTION("""COMPUTED_VALUE"""),46182.0)</f>
        <v/>
      </c>
      <c r="B568" s="72">
        <f>IFERROR(__xludf.DUMMYFUNCTION("""COMPUTED_VALUE"""),61.0)</f>
        <v/>
      </c>
      <c r="C568" s="75">
        <f>IFERROR(__xludf.DUMMYFUNCTION("""COMPUTED_VALUE"""),150.0)</f>
        <v/>
      </c>
      <c r="D568" s="75">
        <f>IFERROR(__xludf.DUMMYFUNCTION("""COMPUTED_VALUE"""),"USD")</f>
        <v/>
      </c>
      <c r="E568" s="75">
        <f>IFERROR(__xludf.DUMMYFUNCTION("""COMPUTED_VALUE"""),"Zelle")</f>
        <v/>
      </c>
      <c r="F568" s="75">
        <f>IFERROR(__xludf.DUMMYFUNCTION("""COMPUTED_VALUE"""),"SJMG 2012 C.A")</f>
        <v/>
      </c>
      <c r="G568" s="76">
        <f>IFERROR(__xludf.DUMMYFUNCTION("""COMPUTED_VALUE"""),"GRIMAN DIAZ HECTOR EDUARDO")</f>
        <v/>
      </c>
      <c r="H568" s="76">
        <f>IFERROR(__xludf.DUMMYFUNCTION("""COMPUTED_VALUE"""),567.6828)</f>
        <v/>
      </c>
      <c r="I568" s="75" t="n"/>
      <c r="J568" s="77">
        <f>IFERROR(__xludf.DUMMYFUNCTION("""COMPUTED_VALUE"""),150.0)</f>
        <v/>
      </c>
      <c r="K568" s="4">
        <f>IFERROR(__xludf.DUMMYFUNCTION("""COMPUTED_VALUE"""),150.0)</f>
        <v/>
      </c>
      <c r="L568" s="77">
        <f>IFERROR(__xludf.DUMMYFUNCTION("""COMPUTED_VALUE"""),150.0)</f>
        <v/>
      </c>
      <c r="O568" s="72" t="n"/>
      <c r="S568" s="4" t="n"/>
    </row>
    <row r="569">
      <c r="A569" s="74">
        <f>IFERROR(__xludf.DUMMYFUNCTION("""COMPUTED_VALUE"""),46182.0)</f>
        <v/>
      </c>
      <c r="B569" s="72">
        <f>IFERROR(__xludf.DUMMYFUNCTION("""COMPUTED_VALUE"""),525.0)</f>
        <v/>
      </c>
      <c r="C569" s="75">
        <f>IFERROR(__xludf.DUMMYFUNCTION("""COMPUTED_VALUE"""),56.0)</f>
        <v/>
      </c>
      <c r="D569" s="75">
        <f>IFERROR(__xludf.DUMMYFUNCTION("""COMPUTED_VALUE"""),"USD")</f>
        <v/>
      </c>
      <c r="E569" s="75">
        <f>IFERROR(__xludf.DUMMYFUNCTION("""COMPUTED_VALUE"""),"Efectivo USD")</f>
        <v/>
      </c>
      <c r="F569" s="75">
        <f>IFERROR(__xludf.DUMMYFUNCTION("""COMPUTED_VALUE"""),"Juan antonio salaverria herrera")</f>
        <v/>
      </c>
      <c r="G569" s="76">
        <f>IFERROR(__xludf.DUMMYFUNCTION("""COMPUTED_VALUE"""),"REVERON DE CONTRERAS MELANI AUSMAR")</f>
        <v/>
      </c>
      <c r="H569" s="76">
        <f>IFERROR(__xludf.DUMMYFUNCTION("""COMPUTED_VALUE"""),567.6828)</f>
        <v/>
      </c>
      <c r="I569" s="75" t="n"/>
      <c r="J569" s="77">
        <f>IFERROR(__xludf.DUMMYFUNCTION("""COMPUTED_VALUE"""),56.0)</f>
        <v/>
      </c>
      <c r="K569" s="4">
        <f>IFERROR(__xludf.DUMMYFUNCTION("""COMPUTED_VALUE"""),56.0)</f>
        <v/>
      </c>
      <c r="L569" s="77">
        <f>IFERROR(__xludf.DUMMYFUNCTION("""COMPUTED_VALUE"""),56.0)</f>
        <v/>
      </c>
      <c r="O569" s="72" t="n"/>
      <c r="S569" s="4" t="n"/>
    </row>
    <row r="570">
      <c r="A570" s="74">
        <f>IFERROR(__xludf.DUMMYFUNCTION("""COMPUTED_VALUE"""),46182.0)</f>
        <v/>
      </c>
      <c r="B570" s="72">
        <f>IFERROR(__xludf.DUMMYFUNCTION("""COMPUTED_VALUE"""),310.0)</f>
        <v/>
      </c>
      <c r="C570" s="75">
        <f>IFERROR(__xludf.DUMMYFUNCTION("""COMPUTED_VALUE"""),35.0)</f>
        <v/>
      </c>
      <c r="D570" s="75">
        <f>IFERROR(__xludf.DUMMYFUNCTION("""COMPUTED_VALUE"""),"USD")</f>
        <v/>
      </c>
      <c r="E570" s="75">
        <f>IFERROR(__xludf.DUMMYFUNCTION("""COMPUTED_VALUE"""),"Efectivo USD")</f>
        <v/>
      </c>
      <c r="F570" s="75">
        <f>IFERROR(__xludf.DUMMYFUNCTION("""COMPUTED_VALUE"""),"Multiservicio SOS Cars, C.A")</f>
        <v/>
      </c>
      <c r="G570" s="76">
        <f>IFERROR(__xludf.DUMMYFUNCTION("""COMPUTED_VALUE"""),"MARTINEZ MONTES JEFFREY ENRIQUE")</f>
        <v/>
      </c>
      <c r="H570" s="76">
        <f>IFERROR(__xludf.DUMMYFUNCTION("""COMPUTED_VALUE"""),567.6828)</f>
        <v/>
      </c>
      <c r="I570" s="75" t="n"/>
      <c r="J570" s="77">
        <f>IFERROR(__xludf.DUMMYFUNCTION("""COMPUTED_VALUE"""),35.0)</f>
        <v/>
      </c>
      <c r="K570" s="4">
        <f>IFERROR(__xludf.DUMMYFUNCTION("""COMPUTED_VALUE"""),35.0)</f>
        <v/>
      </c>
      <c r="L570" s="77">
        <f>IFERROR(__xludf.DUMMYFUNCTION("""COMPUTED_VALUE"""),35.0)</f>
        <v/>
      </c>
      <c r="O570" s="72" t="n"/>
      <c r="S570" s="4" t="n"/>
    </row>
    <row r="571">
      <c r="A571" s="74">
        <f>IFERROR(__xludf.DUMMYFUNCTION("""COMPUTED_VALUE"""),46181.0)</f>
        <v/>
      </c>
      <c r="B571" s="72">
        <f>IFERROR(__xludf.DUMMYFUNCTION("""COMPUTED_VALUE"""),427.0)</f>
        <v/>
      </c>
      <c r="C571" s="75">
        <f>IFERROR(__xludf.DUMMYFUNCTION("""COMPUTED_VALUE"""),1541764.04)</f>
        <v/>
      </c>
      <c r="D571" s="75">
        <f>IFERROR(__xludf.DUMMYFUNCTION("""COMPUTED_VALUE"""),"VES")</f>
        <v/>
      </c>
      <c r="E571" s="75">
        <f>IFERROR(__xludf.DUMMYFUNCTION("""COMPUTED_VALUE"""),"Bancamiga")</f>
        <v/>
      </c>
      <c r="F571" s="75">
        <f>IFERROR(__xludf.DUMMYFUNCTION("""COMPUTED_VALUE"""),"CONSTRUCTORA GRANO AGREGADO, C.A")</f>
        <v/>
      </c>
      <c r="G571" s="76">
        <f>IFERROR(__xludf.DUMMYFUNCTION("""COMPUTED_VALUE"""),"CASERES GONZALEZ RONALD OSWALDO")</f>
        <v/>
      </c>
      <c r="H571" s="76">
        <f>IFERROR(__xludf.DUMMYFUNCTION("""COMPUTED_VALUE"""),563.2892)</f>
        <v/>
      </c>
      <c r="I571" s="75" t="n"/>
      <c r="J571" s="77">
        <f>IFERROR(__xludf.DUMMYFUNCTION("""COMPUTED_VALUE"""),2737.073673700827)</f>
        <v/>
      </c>
      <c r="K571" s="4">
        <f>IFERROR(__xludf.DUMMYFUNCTION("""COMPUTED_VALUE"""),0.0)</f>
        <v/>
      </c>
      <c r="L571" s="77">
        <f>IFERROR(__xludf.DUMMYFUNCTION("""COMPUTED_VALUE"""),2737.073673700827)</f>
        <v/>
      </c>
      <c r="O571" s="72" t="n"/>
      <c r="S571" s="4" t="n"/>
    </row>
    <row r="572">
      <c r="A572" s="74">
        <f>IFERROR(__xludf.DUMMYFUNCTION("""COMPUTED_VALUE"""),46183.0)</f>
        <v/>
      </c>
      <c r="B572" s="72">
        <f>IFERROR(__xludf.DUMMYFUNCTION("""COMPUTED_VALUE"""),472.0)</f>
        <v/>
      </c>
      <c r="C572" s="75">
        <f>IFERROR(__xludf.DUMMYFUNCTION("""COMPUTED_VALUE"""),94080.0)</f>
        <v/>
      </c>
      <c r="D572" s="75">
        <f>IFERROR(__xludf.DUMMYFUNCTION("""COMPUTED_VALUE"""),"VES")</f>
        <v/>
      </c>
      <c r="E572" s="75">
        <f>IFERROR(__xludf.DUMMYFUNCTION("""COMPUTED_VALUE"""),"Bancamiga")</f>
        <v/>
      </c>
      <c r="F572" s="75">
        <f>IFERROR(__xludf.DUMMYFUNCTION("""COMPUTED_VALUE"""),"Antonio Terán")</f>
        <v/>
      </c>
      <c r="G572" s="76">
        <f>IFERROR(__xludf.DUMMYFUNCTION("""COMPUTED_VALUE"""),"PEREZ DIAZ ANGEL DE DIOS")</f>
        <v/>
      </c>
      <c r="H572" s="76">
        <f>IFERROR(__xludf.DUMMYFUNCTION("""COMPUTED_VALUE"""),572.6784)</f>
        <v/>
      </c>
      <c r="I572" s="75" t="n"/>
      <c r="J572" s="77">
        <f>IFERROR(__xludf.DUMMYFUNCTION("""COMPUTED_VALUE"""),164.28068528514433)</f>
        <v/>
      </c>
      <c r="K572" s="4">
        <f>IFERROR(__xludf.DUMMYFUNCTION("""COMPUTED_VALUE"""),0.0)</f>
        <v/>
      </c>
      <c r="L572" s="77">
        <f>IFERROR(__xludf.DUMMYFUNCTION("""COMPUTED_VALUE"""),164.28068528514433)</f>
        <v/>
      </c>
      <c r="O572" s="72" t="n"/>
      <c r="S572" s="4" t="n"/>
    </row>
    <row r="573">
      <c r="A573" s="74">
        <f>IFERROR(__xludf.DUMMYFUNCTION("""COMPUTED_VALUE"""),46183.0)</f>
        <v/>
      </c>
      <c r="B573" s="72">
        <f>IFERROR(__xludf.DUMMYFUNCTION("""COMPUTED_VALUE"""),114.0)</f>
        <v/>
      </c>
      <c r="C573" s="75">
        <f>IFERROR(__xludf.DUMMYFUNCTION("""COMPUTED_VALUE"""),20.0)</f>
        <v/>
      </c>
      <c r="D573" s="75">
        <f>IFERROR(__xludf.DUMMYFUNCTION("""COMPUTED_VALUE"""),"USD")</f>
        <v/>
      </c>
      <c r="E573" s="75">
        <f>IFERROR(__xludf.DUMMYFUNCTION("""COMPUTED_VALUE"""),"Efectivo USD")</f>
        <v/>
      </c>
      <c r="F573" s="75">
        <f>IFERROR(__xludf.DUMMYFUNCTION("""COMPUTED_VALUE"""),"Autoasesorio maxi motor")</f>
        <v/>
      </c>
      <c r="G573" s="76">
        <f>IFERROR(__xludf.DUMMYFUNCTION("""COMPUTED_VALUE"""),"PEREZ DIAZ ANGEL DE DIOS")</f>
        <v/>
      </c>
      <c r="H573" s="76">
        <f>IFERROR(__xludf.DUMMYFUNCTION("""COMPUTED_VALUE"""),572.6784)</f>
        <v/>
      </c>
      <c r="I573" s="75" t="n"/>
      <c r="J573" s="77">
        <f>IFERROR(__xludf.DUMMYFUNCTION("""COMPUTED_VALUE"""),20.0)</f>
        <v/>
      </c>
      <c r="K573" s="4">
        <f>IFERROR(__xludf.DUMMYFUNCTION("""COMPUTED_VALUE"""),20.0)</f>
        <v/>
      </c>
      <c r="L573" s="77">
        <f>IFERROR(__xludf.DUMMYFUNCTION("""COMPUTED_VALUE"""),20.0)</f>
        <v/>
      </c>
      <c r="O573" s="72" t="n"/>
      <c r="S573" s="4" t="n"/>
    </row>
    <row r="574">
      <c r="A574" s="74">
        <f>IFERROR(__xludf.DUMMYFUNCTION("""COMPUTED_VALUE"""),46183.0)</f>
        <v/>
      </c>
      <c r="B574" s="72">
        <f>IFERROR(__xludf.DUMMYFUNCTION("""COMPUTED_VALUE"""),226.0)</f>
        <v/>
      </c>
      <c r="C574" s="75">
        <f>IFERROR(__xludf.DUMMYFUNCTION("""COMPUTED_VALUE"""),30.0)</f>
        <v/>
      </c>
      <c r="D574" s="75">
        <f>IFERROR(__xludf.DUMMYFUNCTION("""COMPUTED_VALUE"""),"USD")</f>
        <v/>
      </c>
      <c r="E574" s="75">
        <f>IFERROR(__xludf.DUMMYFUNCTION("""COMPUTED_VALUE"""),"Efectivo USD")</f>
        <v/>
      </c>
      <c r="F574" s="75">
        <f>IFERROR(__xludf.DUMMYFUNCTION("""COMPUTED_VALUE"""),"Josefina Guevera")</f>
        <v/>
      </c>
      <c r="G574" s="76">
        <f>IFERROR(__xludf.DUMMYFUNCTION("""COMPUTED_VALUE"""),"PEREZ DIAZ ANGEL DE DIOS")</f>
        <v/>
      </c>
      <c r="H574" s="76">
        <f>IFERROR(__xludf.DUMMYFUNCTION("""COMPUTED_VALUE"""),572.6784)</f>
        <v/>
      </c>
      <c r="I574" s="75" t="n"/>
      <c r="J574" s="77">
        <f>IFERROR(__xludf.DUMMYFUNCTION("""COMPUTED_VALUE"""),30.0)</f>
        <v/>
      </c>
      <c r="K574" s="4">
        <f>IFERROR(__xludf.DUMMYFUNCTION("""COMPUTED_VALUE"""),30.0)</f>
        <v/>
      </c>
      <c r="L574" s="77">
        <f>IFERROR(__xludf.DUMMYFUNCTION("""COMPUTED_VALUE"""),30.0)</f>
        <v/>
      </c>
      <c r="O574" s="72" t="n"/>
      <c r="S574" s="4" t="n"/>
    </row>
    <row r="575">
      <c r="A575" s="74">
        <f>IFERROR(__xludf.DUMMYFUNCTION("""COMPUTED_VALUE"""),46182.0)</f>
        <v/>
      </c>
      <c r="B575" s="72">
        <f>IFERROR(__xludf.DUMMYFUNCTION("""COMPUTED_VALUE"""),330.0)</f>
        <v/>
      </c>
      <c r="C575" s="75">
        <f>IFERROR(__xludf.DUMMYFUNCTION("""COMPUTED_VALUE"""),19880.0)</f>
        <v/>
      </c>
      <c r="D575" s="75">
        <f>IFERROR(__xludf.DUMMYFUNCTION("""COMPUTED_VALUE"""),"VES")</f>
        <v/>
      </c>
      <c r="E575" s="75">
        <f>IFERROR(__xludf.DUMMYFUNCTION("""COMPUTED_VALUE"""),"Bancamiga")</f>
        <v/>
      </c>
      <c r="F575" s="75">
        <f>IFERROR(__xludf.DUMMYFUNCTION("""COMPUTED_VALUE"""),"Diana Carolina Torres")</f>
        <v/>
      </c>
      <c r="G575" s="76">
        <f>IFERROR(__xludf.DUMMYFUNCTION("""COMPUTED_VALUE"""),"VILLABONA CORREA ALBA ESTEFANIA")</f>
        <v/>
      </c>
      <c r="H575" s="76">
        <f>IFERROR(__xludf.DUMMYFUNCTION("""COMPUTED_VALUE"""),567.6828)</f>
        <v/>
      </c>
      <c r="I575" s="75" t="n"/>
      <c r="J575" s="77">
        <f>IFERROR(__xludf.DUMMYFUNCTION("""COMPUTED_VALUE"""),35.01955669609859)</f>
        <v/>
      </c>
      <c r="K575" s="4">
        <f>IFERROR(__xludf.DUMMYFUNCTION("""COMPUTED_VALUE"""),0.0)</f>
        <v/>
      </c>
      <c r="L575" s="77">
        <f>IFERROR(__xludf.DUMMYFUNCTION("""COMPUTED_VALUE"""),35.01955669609859)</f>
        <v/>
      </c>
      <c r="O575" s="72" t="n"/>
      <c r="S575" s="4" t="n"/>
    </row>
    <row r="576">
      <c r="A576" s="74">
        <f>IFERROR(__xludf.DUMMYFUNCTION("""COMPUTED_VALUE"""),46183.0)</f>
        <v/>
      </c>
      <c r="B576" s="72">
        <f>IFERROR(__xludf.DUMMYFUNCTION("""COMPUTED_VALUE"""),330.0)</f>
        <v/>
      </c>
      <c r="C576" s="75">
        <f>IFERROR(__xludf.DUMMYFUNCTION("""COMPUTED_VALUE"""),10465.0)</f>
        <v/>
      </c>
      <c r="D576" s="75">
        <f>IFERROR(__xludf.DUMMYFUNCTION("""COMPUTED_VALUE"""),"VES")</f>
        <v/>
      </c>
      <c r="E576" s="75">
        <f>IFERROR(__xludf.DUMMYFUNCTION("""COMPUTED_VALUE"""),"Bancamiga")</f>
        <v/>
      </c>
      <c r="F576" s="75">
        <f>IFERROR(__xludf.DUMMYFUNCTION("""COMPUTED_VALUE"""),"Diana Carolina Torres")</f>
        <v/>
      </c>
      <c r="G576" s="76">
        <f>IFERROR(__xludf.DUMMYFUNCTION("""COMPUTED_VALUE"""),"VILLABONA CORREA ALBA ESTEFANIA")</f>
        <v/>
      </c>
      <c r="H576" s="76">
        <f>IFERROR(__xludf.DUMMYFUNCTION("""COMPUTED_VALUE"""),572.6784)</f>
        <v/>
      </c>
      <c r="I576" s="75" t="n"/>
      <c r="J576" s="77">
        <f>IFERROR(__xludf.DUMMYFUNCTION("""COMPUTED_VALUE"""),18.27378158491747)</f>
        <v/>
      </c>
      <c r="K576" s="4">
        <f>IFERROR(__xludf.DUMMYFUNCTION("""COMPUTED_VALUE"""),0.0)</f>
        <v/>
      </c>
      <c r="L576" s="77">
        <f>IFERROR(__xludf.DUMMYFUNCTION("""COMPUTED_VALUE"""),18.27378158491747)</f>
        <v/>
      </c>
      <c r="O576" s="72" t="n"/>
      <c r="S576" s="4" t="n"/>
    </row>
    <row r="577">
      <c r="A577" s="74">
        <f>IFERROR(__xludf.DUMMYFUNCTION("""COMPUTED_VALUE"""),46183.0)</f>
        <v/>
      </c>
      <c r="B577" s="72">
        <f>IFERROR(__xludf.DUMMYFUNCTION("""COMPUTED_VALUE"""),373.0)</f>
        <v/>
      </c>
      <c r="C577" s="75">
        <f>IFERROR(__xludf.DUMMYFUNCTION("""COMPUTED_VALUE"""),80.0)</f>
        <v/>
      </c>
      <c r="D577" s="75">
        <f>IFERROR(__xludf.DUMMYFUNCTION("""COMPUTED_VALUE"""),"USD")</f>
        <v/>
      </c>
      <c r="E577" s="75">
        <f>IFERROR(__xludf.DUMMYFUNCTION("""COMPUTED_VALUE"""),"Efectivo USD")</f>
        <v/>
      </c>
      <c r="F577" s="75">
        <f>IFERROR(__xludf.DUMMYFUNCTION("""COMPUTED_VALUE"""),"INVERSIONES DA &amp; JE,")</f>
        <v/>
      </c>
      <c r="G577" s="76">
        <f>IFERROR(__xludf.DUMMYFUNCTION("""COMPUTED_VALUE"""),"VILLABONA CORREA ALBA ESTEFANIA")</f>
        <v/>
      </c>
      <c r="H577" s="76">
        <f>IFERROR(__xludf.DUMMYFUNCTION("""COMPUTED_VALUE"""),572.6784)</f>
        <v/>
      </c>
      <c r="I577" s="75">
        <f>IFERROR(__xludf.DUMMYFUNCTION("""COMPUTED_VALUE"""),784.0)</f>
        <v/>
      </c>
      <c r="J577" s="77">
        <f>IFERROR(__xludf.DUMMYFUNCTION("""COMPUTED_VALUE"""),80.0)</f>
        <v/>
      </c>
      <c r="K577" s="4">
        <f>IFERROR(__xludf.DUMMYFUNCTION("""COMPUTED_VALUE"""),80.0)</f>
        <v/>
      </c>
      <c r="L577" s="77">
        <f>IFERROR(__xludf.DUMMYFUNCTION("""COMPUTED_VALUE"""),80.0)</f>
        <v/>
      </c>
      <c r="O577" s="72" t="n"/>
      <c r="S577" s="4" t="n"/>
    </row>
    <row r="578">
      <c r="A578" s="74">
        <f>IFERROR(__xludf.DUMMYFUNCTION("""COMPUTED_VALUE"""),46183.0)</f>
        <v/>
      </c>
      <c r="B578" s="72">
        <f>IFERROR(__xludf.DUMMYFUNCTION("""COMPUTED_VALUE"""),449.0)</f>
        <v/>
      </c>
      <c r="C578" s="75">
        <f>IFERROR(__xludf.DUMMYFUNCTION("""COMPUTED_VALUE"""),354.0)</f>
        <v/>
      </c>
      <c r="D578" s="75">
        <f>IFERROR(__xludf.DUMMYFUNCTION("""COMPUTED_VALUE"""),"USD")</f>
        <v/>
      </c>
      <c r="E578" s="75">
        <f>IFERROR(__xludf.DUMMYFUNCTION("""COMPUTED_VALUE"""),"Efectivo USD")</f>
        <v/>
      </c>
      <c r="F578" s="75">
        <f>IFERROR(__xludf.DUMMYFUNCTION("""COMPUTED_VALUE"""),"Alexander Quiroz")</f>
        <v/>
      </c>
      <c r="G578" s="76">
        <f>IFERROR(__xludf.DUMMYFUNCTION("""COMPUTED_VALUE"""),"BETANCOURT ROBRIGUEZ LUIS ENRRIQUE")</f>
        <v/>
      </c>
      <c r="H578" s="76">
        <f>IFERROR(__xludf.DUMMYFUNCTION("""COMPUTED_VALUE"""),572.6784)</f>
        <v/>
      </c>
      <c r="I578" s="75" t="n"/>
      <c r="J578" s="77">
        <f>IFERROR(__xludf.DUMMYFUNCTION("""COMPUTED_VALUE"""),354.0)</f>
        <v/>
      </c>
      <c r="K578" s="4">
        <f>IFERROR(__xludf.DUMMYFUNCTION("""COMPUTED_VALUE"""),354.0)</f>
        <v/>
      </c>
      <c r="L578" s="77">
        <f>IFERROR(__xludf.DUMMYFUNCTION("""COMPUTED_VALUE"""),354.0)</f>
        <v/>
      </c>
      <c r="O578" s="72" t="n"/>
      <c r="S578" s="4" t="n"/>
    </row>
    <row r="579">
      <c r="A579" s="74">
        <f>IFERROR(__xludf.DUMMYFUNCTION("""COMPUTED_VALUE"""),46183.0)</f>
        <v/>
      </c>
      <c r="B579" s="72">
        <f>IFERROR(__xludf.DUMMYFUNCTION("""COMPUTED_VALUE"""),261.0)</f>
        <v/>
      </c>
      <c r="C579" s="75">
        <f>IFERROR(__xludf.DUMMYFUNCTION("""COMPUTED_VALUE"""),150.0)</f>
        <v/>
      </c>
      <c r="D579" s="75">
        <f>IFERROR(__xludf.DUMMYFUNCTION("""COMPUTED_VALUE"""),"USD")</f>
        <v/>
      </c>
      <c r="E579" s="75">
        <f>IFERROR(__xludf.DUMMYFUNCTION("""COMPUTED_VALUE"""),"Efectivo USD")</f>
        <v/>
      </c>
      <c r="F579" s="75">
        <f>IFERROR(__xludf.DUMMYFUNCTION("""COMPUTED_VALUE"""),"Autopartes Munich PH 168 C.A.")</f>
        <v/>
      </c>
      <c r="G579" s="76">
        <f>IFERROR(__xludf.DUMMYFUNCTION("""COMPUTED_VALUE"""),"TORO ARDILES DAVID JOSE")</f>
        <v/>
      </c>
      <c r="H579" s="76">
        <f>IFERROR(__xludf.DUMMYFUNCTION("""COMPUTED_VALUE"""),572.6784)</f>
        <v/>
      </c>
      <c r="I579" s="75" t="n"/>
      <c r="J579" s="77">
        <f>IFERROR(__xludf.DUMMYFUNCTION("""COMPUTED_VALUE"""),150.0)</f>
        <v/>
      </c>
      <c r="K579" s="4">
        <f>IFERROR(__xludf.DUMMYFUNCTION("""COMPUTED_VALUE"""),150.0)</f>
        <v/>
      </c>
      <c r="L579" s="77">
        <f>IFERROR(__xludf.DUMMYFUNCTION("""COMPUTED_VALUE"""),150.0)</f>
        <v/>
      </c>
      <c r="O579" s="72" t="n"/>
      <c r="S579" s="4" t="n"/>
    </row>
    <row r="580">
      <c r="A580" s="74">
        <f>IFERROR(__xludf.DUMMYFUNCTION("""COMPUTED_VALUE"""),46183.0)</f>
        <v/>
      </c>
      <c r="B580" s="72">
        <f>IFERROR(__xludf.DUMMYFUNCTION("""COMPUTED_VALUE"""),422.0)</f>
        <v/>
      </c>
      <c r="C580" s="75">
        <f>IFERROR(__xludf.DUMMYFUNCTION("""COMPUTED_VALUE"""),60.0)</f>
        <v/>
      </c>
      <c r="D580" s="75">
        <f>IFERROR(__xludf.DUMMYFUNCTION("""COMPUTED_VALUE"""),"USD")</f>
        <v/>
      </c>
      <c r="E580" s="75">
        <f>IFERROR(__xludf.DUMMYFUNCTION("""COMPUTED_VALUE"""),"Efectivo USD")</f>
        <v/>
      </c>
      <c r="F580" s="75">
        <f>IFERROR(__xludf.DUMMYFUNCTION("""COMPUTED_VALUE"""),"INVERSIONES R&amp;C 1817,  c.a.")</f>
        <v/>
      </c>
      <c r="G580" s="76">
        <f>IFERROR(__xludf.DUMMYFUNCTION("""COMPUTED_VALUE"""),"TORO ARDILES DAVID JOSE")</f>
        <v/>
      </c>
      <c r="H580" s="76">
        <f>IFERROR(__xludf.DUMMYFUNCTION("""COMPUTED_VALUE"""),572.6784)</f>
        <v/>
      </c>
      <c r="I580" s="75" t="n"/>
      <c r="J580" s="77">
        <f>IFERROR(__xludf.DUMMYFUNCTION("""COMPUTED_VALUE"""),60.0)</f>
        <v/>
      </c>
      <c r="K580" s="4">
        <f>IFERROR(__xludf.DUMMYFUNCTION("""COMPUTED_VALUE"""),60.0)</f>
        <v/>
      </c>
      <c r="L580" s="77">
        <f>IFERROR(__xludf.DUMMYFUNCTION("""COMPUTED_VALUE"""),60.0)</f>
        <v/>
      </c>
      <c r="O580" s="72" t="n"/>
      <c r="S580" s="4" t="n"/>
    </row>
    <row r="581">
      <c r="A581" s="74">
        <f>IFERROR(__xludf.DUMMYFUNCTION("""COMPUTED_VALUE"""),46183.0)</f>
        <v/>
      </c>
      <c r="B581" s="72">
        <f>IFERROR(__xludf.DUMMYFUNCTION("""COMPUTED_VALUE"""),31.0)</f>
        <v/>
      </c>
      <c r="C581" s="75">
        <f>IFERROR(__xludf.DUMMYFUNCTION("""COMPUTED_VALUE"""),28633.92)</f>
        <v/>
      </c>
      <c r="D581" s="75">
        <f>IFERROR(__xludf.DUMMYFUNCTION("""COMPUTED_VALUE"""),"VES")</f>
        <v/>
      </c>
      <c r="E581" s="75">
        <f>IFERROR(__xludf.DUMMYFUNCTION("""COMPUTED_VALUE"""),"Bancamiga")</f>
        <v/>
      </c>
      <c r="F581" s="75">
        <f>IFERROR(__xludf.DUMMYFUNCTION("""COMPUTED_VALUE"""),"COMERCIAL REPUESTOS MUNDIALES RMS 2022 C.A.")</f>
        <v/>
      </c>
      <c r="G581" s="76">
        <f>IFERROR(__xludf.DUMMYFUNCTION("""COMPUTED_VALUE"""),"TORO ARDILES DAVID JOSE")</f>
        <v/>
      </c>
      <c r="H581" s="76">
        <f>IFERROR(__xludf.DUMMYFUNCTION("""COMPUTED_VALUE"""),572.6784)</f>
        <v/>
      </c>
      <c r="I581" s="75" t="n"/>
      <c r="J581" s="77">
        <f>IFERROR(__xludf.DUMMYFUNCTION("""COMPUTED_VALUE"""),49.99999999999999)</f>
        <v/>
      </c>
      <c r="K581" s="4">
        <f>IFERROR(__xludf.DUMMYFUNCTION("""COMPUTED_VALUE"""),0.0)</f>
        <v/>
      </c>
      <c r="L581" s="77">
        <f>IFERROR(__xludf.DUMMYFUNCTION("""COMPUTED_VALUE"""),49.99999999999999)</f>
        <v/>
      </c>
      <c r="O581" s="72" t="n"/>
      <c r="S581" s="4" t="n"/>
    </row>
    <row r="582">
      <c r="A582" s="74">
        <f>IFERROR(__xludf.DUMMYFUNCTION("""COMPUTED_VALUE"""),46183.0)</f>
        <v/>
      </c>
      <c r="B582" s="72">
        <f>IFERROR(__xludf.DUMMYFUNCTION("""COMPUTED_VALUE"""),133.0)</f>
        <v/>
      </c>
      <c r="C582" s="75">
        <f>IFERROR(__xludf.DUMMYFUNCTION("""COMPUTED_VALUE"""),500.0)</f>
        <v/>
      </c>
      <c r="D582" s="75">
        <f>IFERROR(__xludf.DUMMYFUNCTION("""COMPUTED_VALUE"""),"USD")</f>
        <v/>
      </c>
      <c r="E582" s="75">
        <f>IFERROR(__xludf.DUMMYFUNCTION("""COMPUTED_VALUE"""),"Efectivo USD")</f>
        <v/>
      </c>
      <c r="F582" s="75">
        <f>IFERROR(__xludf.DUMMYFUNCTION("""COMPUTED_VALUE"""),"Inversiones La Bendición del Nazareno, C.A")</f>
        <v/>
      </c>
      <c r="G582" s="76">
        <f>IFERROR(__xludf.DUMMYFUNCTION("""COMPUTED_VALUE"""),"MARTINEZ MONTES JEFFREY ENRIQUE")</f>
        <v/>
      </c>
      <c r="H582" s="76">
        <f>IFERROR(__xludf.DUMMYFUNCTION("""COMPUTED_VALUE"""),572.6784)</f>
        <v/>
      </c>
      <c r="I582" s="75" t="n"/>
      <c r="J582" s="77">
        <f>IFERROR(__xludf.DUMMYFUNCTION("""COMPUTED_VALUE"""),500.0)</f>
        <v/>
      </c>
      <c r="K582" s="4">
        <f>IFERROR(__xludf.DUMMYFUNCTION("""COMPUTED_VALUE"""),500.0)</f>
        <v/>
      </c>
      <c r="L582" s="77">
        <f>IFERROR(__xludf.DUMMYFUNCTION("""COMPUTED_VALUE"""),500.0)</f>
        <v/>
      </c>
      <c r="O582" s="72" t="n"/>
      <c r="S582" s="4" t="n"/>
    </row>
    <row r="583">
      <c r="A583" s="74">
        <f>IFERROR(__xludf.DUMMYFUNCTION("""COMPUTED_VALUE"""),46184.0)</f>
        <v/>
      </c>
      <c r="B583" s="72">
        <f>IFERROR(__xludf.DUMMYFUNCTION("""COMPUTED_VALUE"""),274.0)</f>
        <v/>
      </c>
      <c r="C583" s="75">
        <f>IFERROR(__xludf.DUMMYFUNCTION("""COMPUTED_VALUE"""),34.0)</f>
        <v/>
      </c>
      <c r="D583" s="75">
        <f>IFERROR(__xludf.DUMMYFUNCTION("""COMPUTED_VALUE"""),"USD")</f>
        <v/>
      </c>
      <c r="E583" s="75">
        <f>IFERROR(__xludf.DUMMYFUNCTION("""COMPUTED_VALUE"""),"Efectivo USD")</f>
        <v/>
      </c>
      <c r="F583" s="75">
        <f>IFERROR(__xludf.DUMMYFUNCTION("""COMPUTED_VALUE"""),"ADS SERVICE C.A")</f>
        <v/>
      </c>
      <c r="G583" s="76">
        <f>IFERROR(__xludf.DUMMYFUNCTION("""COMPUTED_VALUE"""),"PEREZ DIAZ ANGEL DE DIOS")</f>
        <v/>
      </c>
      <c r="H583" s="76">
        <f>IFERROR(__xludf.DUMMYFUNCTION("""COMPUTED_VALUE"""),577.5461)</f>
        <v/>
      </c>
      <c r="I583" s="75" t="n"/>
      <c r="J583" s="77">
        <f>IFERROR(__xludf.DUMMYFUNCTION("""COMPUTED_VALUE"""),34.0)</f>
        <v/>
      </c>
      <c r="K583" s="4">
        <f>IFERROR(__xludf.DUMMYFUNCTION("""COMPUTED_VALUE"""),34.0)</f>
        <v/>
      </c>
      <c r="L583" s="77">
        <f>IFERROR(__xludf.DUMMYFUNCTION("""COMPUTED_VALUE"""),34.0)</f>
        <v/>
      </c>
      <c r="O583" s="72" t="n"/>
      <c r="S583" s="4" t="n"/>
    </row>
    <row r="584">
      <c r="A584" s="74">
        <f>IFERROR(__xludf.DUMMYFUNCTION("""COMPUTED_VALUE"""),46184.0)</f>
        <v/>
      </c>
      <c r="B584" s="72">
        <f>IFERROR(__xludf.DUMMYFUNCTION("""COMPUTED_VALUE"""),61.0)</f>
        <v/>
      </c>
      <c r="C584" s="75">
        <f>IFERROR(__xludf.DUMMYFUNCTION("""COMPUTED_VALUE"""),400.0)</f>
        <v/>
      </c>
      <c r="D584" s="75">
        <f>IFERROR(__xludf.DUMMYFUNCTION("""COMPUTED_VALUE"""),"USD")</f>
        <v/>
      </c>
      <c r="E584" s="75">
        <f>IFERROR(__xludf.DUMMYFUNCTION("""COMPUTED_VALUE"""),"Zelle")</f>
        <v/>
      </c>
      <c r="F584" s="75">
        <f>IFERROR(__xludf.DUMMYFUNCTION("""COMPUTED_VALUE"""),"SJMG 2012 C.A")</f>
        <v/>
      </c>
      <c r="G584" s="76">
        <f>IFERROR(__xludf.DUMMYFUNCTION("""COMPUTED_VALUE"""),"GRIMAN DIAZ HECTOR EDUARDO")</f>
        <v/>
      </c>
      <c r="H584" s="76">
        <f>IFERROR(__xludf.DUMMYFUNCTION("""COMPUTED_VALUE"""),577.5461)</f>
        <v/>
      </c>
      <c r="I584" s="75" t="n"/>
      <c r="J584" s="77">
        <f>IFERROR(__xludf.DUMMYFUNCTION("""COMPUTED_VALUE"""),400.0)</f>
        <v/>
      </c>
      <c r="K584" s="4">
        <f>IFERROR(__xludf.DUMMYFUNCTION("""COMPUTED_VALUE"""),400.0)</f>
        <v/>
      </c>
      <c r="L584" s="77">
        <f>IFERROR(__xludf.DUMMYFUNCTION("""COMPUTED_VALUE"""),400.0)</f>
        <v/>
      </c>
      <c r="O584" s="72" t="n"/>
      <c r="S584" s="4" t="n"/>
    </row>
    <row r="585">
      <c r="A585" s="74">
        <f>IFERROR(__xludf.DUMMYFUNCTION("""COMPUTED_VALUE"""),46184.0)</f>
        <v/>
      </c>
      <c r="B585" s="72">
        <f>IFERROR(__xludf.DUMMYFUNCTION("""COMPUTED_VALUE"""),243.0)</f>
        <v/>
      </c>
      <c r="C585" s="75">
        <f>IFERROR(__xludf.DUMMYFUNCTION("""COMPUTED_VALUE"""),38.0)</f>
        <v/>
      </c>
      <c r="D585" s="75">
        <f>IFERROR(__xludf.DUMMYFUNCTION("""COMPUTED_VALUE"""),"USD")</f>
        <v/>
      </c>
      <c r="E585" s="75">
        <f>IFERROR(__xludf.DUMMYFUNCTION("""COMPUTED_VALUE"""),"Efectivo USD")</f>
        <v/>
      </c>
      <c r="F585" s="75">
        <f>IFERROR(__xludf.DUMMYFUNCTION("""COMPUTED_VALUE"""),"Cauchera William 2018, C.A")</f>
        <v/>
      </c>
      <c r="G585" s="76">
        <f>IFERROR(__xludf.DUMMYFUNCTION("""COMPUTED_VALUE"""),"MARTINEZ MONTES JEFFREY ENRIQUE")</f>
        <v/>
      </c>
      <c r="H585" s="76">
        <f>IFERROR(__xludf.DUMMYFUNCTION("""COMPUTED_VALUE"""),577.5461)</f>
        <v/>
      </c>
      <c r="I585" s="75" t="n"/>
      <c r="J585" s="77">
        <f>IFERROR(__xludf.DUMMYFUNCTION("""COMPUTED_VALUE"""),38.0)</f>
        <v/>
      </c>
      <c r="K585" s="4">
        <f>IFERROR(__xludf.DUMMYFUNCTION("""COMPUTED_VALUE"""),38.0)</f>
        <v/>
      </c>
      <c r="L585" s="77">
        <f>IFERROR(__xludf.DUMMYFUNCTION("""COMPUTED_VALUE"""),38.0)</f>
        <v/>
      </c>
      <c r="O585" s="72" t="n"/>
      <c r="S585" s="4" t="n"/>
    </row>
    <row r="586">
      <c r="A586" s="74">
        <f>IFERROR(__xludf.DUMMYFUNCTION("""COMPUTED_VALUE"""),46184.0)</f>
        <v/>
      </c>
      <c r="B586" s="72">
        <f>IFERROR(__xludf.DUMMYFUNCTION("""COMPUTED_VALUE"""),231.0)</f>
        <v/>
      </c>
      <c r="C586" s="75">
        <f>IFERROR(__xludf.DUMMYFUNCTION("""COMPUTED_VALUE"""),174.0)</f>
        <v/>
      </c>
      <c r="D586" s="75">
        <f>IFERROR(__xludf.DUMMYFUNCTION("""COMPUTED_VALUE"""),"USD")</f>
        <v/>
      </c>
      <c r="E586" s="75">
        <f>IFERROR(__xludf.DUMMYFUNCTION("""COMPUTED_VALUE"""),"Efectivo USD")</f>
        <v/>
      </c>
      <c r="F586" s="75">
        <f>IFERROR(__xludf.DUMMYFUNCTION("""COMPUTED_VALUE"""),"Constructora  Campo Urbano,c.a.")</f>
        <v/>
      </c>
      <c r="G586" s="76">
        <f>IFERROR(__xludf.DUMMYFUNCTION("""COMPUTED_VALUE"""),"GRIMAN DIAZ HECTOR EDUARDO")</f>
        <v/>
      </c>
      <c r="H586" s="76">
        <f>IFERROR(__xludf.DUMMYFUNCTION("""COMPUTED_VALUE"""),577.5461)</f>
        <v/>
      </c>
      <c r="I586" s="75" t="n"/>
      <c r="J586" s="77">
        <f>IFERROR(__xludf.DUMMYFUNCTION("""COMPUTED_VALUE"""),174.0)</f>
        <v/>
      </c>
      <c r="K586" s="4">
        <f>IFERROR(__xludf.DUMMYFUNCTION("""COMPUTED_VALUE"""),174.0)</f>
        <v/>
      </c>
      <c r="L586" s="77">
        <f>IFERROR(__xludf.DUMMYFUNCTION("""COMPUTED_VALUE"""),174.0)</f>
        <v/>
      </c>
      <c r="O586" s="72" t="n"/>
      <c r="S586" s="4" t="n"/>
    </row>
    <row r="587">
      <c r="A587" s="74">
        <f>IFERROR(__xludf.DUMMYFUNCTION("""COMPUTED_VALUE"""),46184.0)</f>
        <v/>
      </c>
      <c r="B587" s="72">
        <f>IFERROR(__xludf.DUMMYFUNCTION("""COMPUTED_VALUE"""),341.0)</f>
        <v/>
      </c>
      <c r="C587" s="75">
        <f>IFERROR(__xludf.DUMMYFUNCTION("""COMPUTED_VALUE"""),33.5)</f>
        <v/>
      </c>
      <c r="D587" s="75">
        <f>IFERROR(__xludf.DUMMYFUNCTION("""COMPUTED_VALUE"""),"USD")</f>
        <v/>
      </c>
      <c r="E587" s="75">
        <f>IFERROR(__xludf.DUMMYFUNCTION("""COMPUTED_VALUE"""),"Efectivo USD")</f>
        <v/>
      </c>
      <c r="F587" s="75">
        <f>IFERROR(__xludf.DUMMYFUNCTION("""COMPUTED_VALUE"""),"Automecanica Marilu 2014, C.A")</f>
        <v/>
      </c>
      <c r="G587" s="76">
        <f>IFERROR(__xludf.DUMMYFUNCTION("""COMPUTED_VALUE"""),"QUEVEDO BASTIDAS NEYKEL DAVID")</f>
        <v/>
      </c>
      <c r="H587" s="76">
        <f>IFERROR(__xludf.DUMMYFUNCTION("""COMPUTED_VALUE"""),577.5461)</f>
        <v/>
      </c>
      <c r="I587" s="75" t="n"/>
      <c r="J587" s="77">
        <f>IFERROR(__xludf.DUMMYFUNCTION("""COMPUTED_VALUE"""),33.5)</f>
        <v/>
      </c>
      <c r="K587" s="4">
        <f>IFERROR(__xludf.DUMMYFUNCTION("""COMPUTED_VALUE"""),33.5)</f>
        <v/>
      </c>
      <c r="L587" s="77">
        <f>IFERROR(__xludf.DUMMYFUNCTION("""COMPUTED_VALUE"""),33.5)</f>
        <v/>
      </c>
      <c r="O587" s="72" t="n"/>
      <c r="S587" s="4" t="n"/>
    </row>
    <row r="588">
      <c r="A588" s="74">
        <f>IFERROR(__xludf.DUMMYFUNCTION("""COMPUTED_VALUE"""),46184.0)</f>
        <v/>
      </c>
      <c r="B588" s="72">
        <f>IFERROR(__xludf.DUMMYFUNCTION("""COMPUTED_VALUE"""),96.0)</f>
        <v/>
      </c>
      <c r="C588" s="75">
        <f>IFERROR(__xludf.DUMMYFUNCTION("""COMPUTED_VALUE"""),68000.0)</f>
        <v/>
      </c>
      <c r="D588" s="75">
        <f>IFERROR(__xludf.DUMMYFUNCTION("""COMPUTED_VALUE"""),"VES")</f>
        <v/>
      </c>
      <c r="E588" s="75">
        <f>IFERROR(__xludf.DUMMYFUNCTION("""COMPUTED_VALUE"""),"Bancamiga")</f>
        <v/>
      </c>
      <c r="F588" s="75">
        <f>IFERROR(__xludf.DUMMYFUNCTION("""COMPUTED_VALUE"""),"Video Electrónica Fermat, C.A")</f>
        <v/>
      </c>
      <c r="G588" s="76">
        <f>IFERROR(__xludf.DUMMYFUNCTION("""COMPUTED_VALUE"""),"MARTINEZ MONTES JEFFREY ENRIQUE")</f>
        <v/>
      </c>
      <c r="H588" s="76">
        <f>IFERROR(__xludf.DUMMYFUNCTION("""COMPUTED_VALUE"""),577.5461)</f>
        <v/>
      </c>
      <c r="I588" s="75" t="n"/>
      <c r="J588" s="77">
        <f>IFERROR(__xludf.DUMMYFUNCTION("""COMPUTED_VALUE"""),117.73951897519522)</f>
        <v/>
      </c>
      <c r="K588" s="4">
        <f>IFERROR(__xludf.DUMMYFUNCTION("""COMPUTED_VALUE"""),0.0)</f>
        <v/>
      </c>
      <c r="L588" s="77">
        <f>IFERROR(__xludf.DUMMYFUNCTION("""COMPUTED_VALUE"""),117.73951897519522)</f>
        <v/>
      </c>
      <c r="O588" s="72" t="n"/>
      <c r="S588" s="4" t="n"/>
    </row>
    <row r="589">
      <c r="A589" s="74">
        <f>IFERROR(__xludf.DUMMYFUNCTION("""COMPUTED_VALUE"""),46184.0)</f>
        <v/>
      </c>
      <c r="B589" s="72">
        <f>IFERROR(__xludf.DUMMYFUNCTION("""COMPUTED_VALUE"""),379.0)</f>
        <v/>
      </c>
      <c r="C589" s="75">
        <f>IFERROR(__xludf.DUMMYFUNCTION("""COMPUTED_VALUE"""),40428.23)</f>
        <v/>
      </c>
      <c r="D589" s="75">
        <f>IFERROR(__xludf.DUMMYFUNCTION("""COMPUTED_VALUE"""),"VES")</f>
        <v/>
      </c>
      <c r="E589" s="75">
        <f>IFERROR(__xludf.DUMMYFUNCTION("""COMPUTED_VALUE"""),"Venezuela")</f>
        <v/>
      </c>
      <c r="F589" s="75">
        <f>IFERROR(__xludf.DUMMYFUNCTION("""COMPUTED_VALUE"""),"DISTRIBUIDORA PINOS 181297 C.A")</f>
        <v/>
      </c>
      <c r="G589" s="76">
        <f>IFERROR(__xludf.DUMMYFUNCTION("""COMPUTED_VALUE"""),"QUEVEDO BASTIDAS NEYKEL DAVID")</f>
        <v/>
      </c>
      <c r="H589" s="76">
        <f>IFERROR(__xludf.DUMMYFUNCTION("""COMPUTED_VALUE"""),577.5461)</f>
        <v/>
      </c>
      <c r="I589" s="75" t="n"/>
      <c r="J589" s="77">
        <f>IFERROR(__xludf.DUMMYFUNCTION("""COMPUTED_VALUE"""),70.00000519439054)</f>
        <v/>
      </c>
      <c r="K589" s="4">
        <f>IFERROR(__xludf.DUMMYFUNCTION("""COMPUTED_VALUE"""),0.0)</f>
        <v/>
      </c>
      <c r="L589" s="77">
        <f>IFERROR(__xludf.DUMMYFUNCTION("""COMPUTED_VALUE"""),70.00000519439054)</f>
        <v/>
      </c>
      <c r="O589" s="72" t="n"/>
      <c r="S589" s="4" t="n"/>
    </row>
    <row r="590">
      <c r="A590" s="74">
        <f>IFERROR(__xludf.DUMMYFUNCTION("""COMPUTED_VALUE"""),46185.0)</f>
        <v/>
      </c>
      <c r="B590" s="72">
        <f>IFERROR(__xludf.DUMMYFUNCTION("""COMPUTED_VALUE"""),331.0)</f>
        <v/>
      </c>
      <c r="C590" s="75">
        <f>IFERROR(__xludf.DUMMYFUNCTION("""COMPUTED_VALUE"""),64.0)</f>
        <v/>
      </c>
      <c r="D590" s="75">
        <f>IFERROR(__xludf.DUMMYFUNCTION("""COMPUTED_VALUE"""),"USD")</f>
        <v/>
      </c>
      <c r="E590" s="75">
        <f>IFERROR(__xludf.DUMMYFUNCTION("""COMPUTED_VALUE"""),"Efectivo USD")</f>
        <v/>
      </c>
      <c r="F590" s="75">
        <f>IFERROR(__xludf.DUMMYFUNCTION("""COMPUTED_VALUE"""),"ALI ALEXANDER MORENO FIGUEREDO")</f>
        <v/>
      </c>
      <c r="G590" s="76">
        <f>IFERROR(__xludf.DUMMYFUNCTION("""COMPUTED_VALUE"""),"VILLABONA CORREA ALBA ESTEFANIA")</f>
        <v/>
      </c>
      <c r="H590" s="76">
        <f>IFERROR(__xludf.DUMMYFUNCTION("""COMPUTED_VALUE"""),582.6862)</f>
        <v/>
      </c>
      <c r="I590" s="75" t="n"/>
      <c r="J590" s="77">
        <f>IFERROR(__xludf.DUMMYFUNCTION("""COMPUTED_VALUE"""),64.0)</f>
        <v/>
      </c>
      <c r="K590" s="4">
        <f>IFERROR(__xludf.DUMMYFUNCTION("""COMPUTED_VALUE"""),64.0)</f>
        <v/>
      </c>
      <c r="L590" s="77">
        <f>IFERROR(__xludf.DUMMYFUNCTION("""COMPUTED_VALUE"""),64.0)</f>
        <v/>
      </c>
      <c r="O590" s="72" t="n"/>
      <c r="S590" s="4" t="n"/>
    </row>
    <row r="591">
      <c r="A591" s="74">
        <f>IFERROR(__xludf.DUMMYFUNCTION("""COMPUTED_VALUE"""),46185.0)</f>
        <v/>
      </c>
      <c r="B591" s="72">
        <f>IFERROR(__xludf.DUMMYFUNCTION("""COMPUTED_VALUE"""),93.0)</f>
        <v/>
      </c>
      <c r="C591" s="75">
        <f>IFERROR(__xludf.DUMMYFUNCTION("""COMPUTED_VALUE"""),20.0)</f>
        <v/>
      </c>
      <c r="D591" s="75">
        <f>IFERROR(__xludf.DUMMYFUNCTION("""COMPUTED_VALUE"""),"USD")</f>
        <v/>
      </c>
      <c r="E591" s="75">
        <f>IFERROR(__xludf.DUMMYFUNCTION("""COMPUTED_VALUE"""),"Efectivo USD")</f>
        <v/>
      </c>
      <c r="F591" s="75">
        <f>IFERROR(__xludf.DUMMYFUNCTION("""COMPUTED_VALUE"""),"Emprendimiento YSKRA")</f>
        <v/>
      </c>
      <c r="G591" s="76">
        <f>IFERROR(__xludf.DUMMYFUNCTION("""COMPUTED_VALUE"""),"PEREZ DIAZ ANGEL DE DIOS")</f>
        <v/>
      </c>
      <c r="H591" s="76">
        <f>IFERROR(__xludf.DUMMYFUNCTION("""COMPUTED_VALUE"""),582.6862)</f>
        <v/>
      </c>
      <c r="I591" s="75" t="n"/>
      <c r="J591" s="77">
        <f>IFERROR(__xludf.DUMMYFUNCTION("""COMPUTED_VALUE"""),20.0)</f>
        <v/>
      </c>
      <c r="K591" s="4">
        <f>IFERROR(__xludf.DUMMYFUNCTION("""COMPUTED_VALUE"""),20.0)</f>
        <v/>
      </c>
      <c r="L591" s="77">
        <f>IFERROR(__xludf.DUMMYFUNCTION("""COMPUTED_VALUE"""),20.0)</f>
        <v/>
      </c>
      <c r="O591" s="72" t="n"/>
      <c r="S591" s="4" t="n"/>
    </row>
    <row r="592">
      <c r="A592" s="74">
        <f>IFERROR(__xludf.DUMMYFUNCTION("""COMPUTED_VALUE"""),46185.0)</f>
        <v/>
      </c>
      <c r="B592" s="72">
        <f>IFERROR(__xludf.DUMMYFUNCTION("""COMPUTED_VALUE"""),429.0)</f>
        <v/>
      </c>
      <c r="C592" s="75">
        <f>IFERROR(__xludf.DUMMYFUNCTION("""COMPUTED_VALUE"""),55.0)</f>
        <v/>
      </c>
      <c r="D592" s="75">
        <f>IFERROR(__xludf.DUMMYFUNCTION("""COMPUTED_VALUE"""),"USD")</f>
        <v/>
      </c>
      <c r="E592" s="75">
        <f>IFERROR(__xludf.DUMMYFUNCTION("""COMPUTED_VALUE"""),"Efectivo USD")</f>
        <v/>
      </c>
      <c r="F592" s="75">
        <f>IFERROR(__xludf.DUMMYFUNCTION("""COMPUTED_VALUE"""),"INVERSIONES SM 2191, C.A.")</f>
        <v/>
      </c>
      <c r="G592" s="76">
        <f>IFERROR(__xludf.DUMMYFUNCTION("""COMPUTED_VALUE"""),"TORO ARDILES DAVID JOSE")</f>
        <v/>
      </c>
      <c r="H592" s="76">
        <f>IFERROR(__xludf.DUMMYFUNCTION("""COMPUTED_VALUE"""),582.6862)</f>
        <v/>
      </c>
      <c r="I592" s="75" t="n"/>
      <c r="J592" s="77">
        <f>IFERROR(__xludf.DUMMYFUNCTION("""COMPUTED_VALUE"""),55.0)</f>
        <v/>
      </c>
      <c r="K592" s="4">
        <f>IFERROR(__xludf.DUMMYFUNCTION("""COMPUTED_VALUE"""),55.0)</f>
        <v/>
      </c>
      <c r="L592" s="77">
        <f>IFERROR(__xludf.DUMMYFUNCTION("""COMPUTED_VALUE"""),55.0)</f>
        <v/>
      </c>
      <c r="O592" s="72" t="n"/>
      <c r="S592" s="4" t="n"/>
    </row>
    <row r="593">
      <c r="A593" s="74">
        <f>IFERROR(__xludf.DUMMYFUNCTION("""COMPUTED_VALUE"""),46185.0)</f>
        <v/>
      </c>
      <c r="B593" s="72">
        <f>IFERROR(__xludf.DUMMYFUNCTION("""COMPUTED_VALUE"""),413.0)</f>
        <v/>
      </c>
      <c r="C593" s="75">
        <f>IFERROR(__xludf.DUMMYFUNCTION("""COMPUTED_VALUE"""),23.0)</f>
        <v/>
      </c>
      <c r="D593" s="75">
        <f>IFERROR(__xludf.DUMMYFUNCTION("""COMPUTED_VALUE"""),"USD")</f>
        <v/>
      </c>
      <c r="E593" s="75">
        <f>IFERROR(__xludf.DUMMYFUNCTION("""COMPUTED_VALUE"""),"Efectivo USD")</f>
        <v/>
      </c>
      <c r="F593" s="75">
        <f>IFERROR(__xludf.DUMMYFUNCTION("""COMPUTED_VALUE"""),"ERICH GILBERTO CASERES MELENDEZ")</f>
        <v/>
      </c>
      <c r="G593" s="76">
        <f>IFERROR(__xludf.DUMMYFUNCTION("""COMPUTED_VALUE"""),"TORO ARDILES DAVID JOSE")</f>
        <v/>
      </c>
      <c r="H593" s="76">
        <f>IFERROR(__xludf.DUMMYFUNCTION("""COMPUTED_VALUE"""),582.6862)</f>
        <v/>
      </c>
      <c r="I593" s="75" t="n"/>
      <c r="J593" s="77">
        <f>IFERROR(__xludf.DUMMYFUNCTION("""COMPUTED_VALUE"""),23.0)</f>
        <v/>
      </c>
      <c r="K593" s="4">
        <f>IFERROR(__xludf.DUMMYFUNCTION("""COMPUTED_VALUE"""),23.0)</f>
        <v/>
      </c>
      <c r="L593" s="77">
        <f>IFERROR(__xludf.DUMMYFUNCTION("""COMPUTED_VALUE"""),23.0)</f>
        <v/>
      </c>
      <c r="O593" s="72" t="n"/>
      <c r="S593" s="4" t="n"/>
    </row>
    <row r="594">
      <c r="A594" s="74">
        <f>IFERROR(__xludf.DUMMYFUNCTION("""COMPUTED_VALUE"""),46185.0)</f>
        <v/>
      </c>
      <c r="B594" s="72">
        <f>IFERROR(__xludf.DUMMYFUNCTION("""COMPUTED_VALUE"""),325.0)</f>
        <v/>
      </c>
      <c r="C594" s="75">
        <f>IFERROR(__xludf.DUMMYFUNCTION("""COMPUTED_VALUE"""),52.0)</f>
        <v/>
      </c>
      <c r="D594" s="75">
        <f>IFERROR(__xludf.DUMMYFUNCTION("""COMPUTED_VALUE"""),"USD")</f>
        <v/>
      </c>
      <c r="E594" s="75">
        <f>IFERROR(__xludf.DUMMYFUNCTION("""COMPUTED_VALUE"""),"Efectivo USD")</f>
        <v/>
      </c>
      <c r="F594" s="75">
        <f>IFERROR(__xludf.DUMMYFUNCTION("""COMPUTED_VALUE"""),"Comercializadora El Fénix de Catia")</f>
        <v/>
      </c>
      <c r="G594" s="76">
        <f>IFERROR(__xludf.DUMMYFUNCTION("""COMPUTED_VALUE"""),"GRIMAN DIAZ HECTOR EDUARDO")</f>
        <v/>
      </c>
      <c r="H594" s="76">
        <f>IFERROR(__xludf.DUMMYFUNCTION("""COMPUTED_VALUE"""),582.6862)</f>
        <v/>
      </c>
      <c r="I594" s="75" t="n"/>
      <c r="J594" s="77">
        <f>IFERROR(__xludf.DUMMYFUNCTION("""COMPUTED_VALUE"""),52.0)</f>
        <v/>
      </c>
      <c r="K594" s="4">
        <f>IFERROR(__xludf.DUMMYFUNCTION("""COMPUTED_VALUE"""),52.0)</f>
        <v/>
      </c>
      <c r="L594" s="77">
        <f>IFERROR(__xludf.DUMMYFUNCTION("""COMPUTED_VALUE"""),52.0)</f>
        <v/>
      </c>
      <c r="O594" s="72" t="n"/>
      <c r="S594" s="4" t="n"/>
    </row>
    <row r="595">
      <c r="A595" s="74">
        <f>IFERROR(__xludf.DUMMYFUNCTION("""COMPUTED_VALUE"""),46185.0)</f>
        <v/>
      </c>
      <c r="B595" s="72">
        <f>IFERROR(__xludf.DUMMYFUNCTION("""COMPUTED_VALUE"""),356.0)</f>
        <v/>
      </c>
      <c r="C595" s="75">
        <f>IFERROR(__xludf.DUMMYFUNCTION("""COMPUTED_VALUE"""),75.0)</f>
        <v/>
      </c>
      <c r="D595" s="75">
        <f>IFERROR(__xludf.DUMMYFUNCTION("""COMPUTED_VALUE"""),"USD")</f>
        <v/>
      </c>
      <c r="E595" s="75">
        <f>IFERROR(__xludf.DUMMYFUNCTION("""COMPUTED_VALUE"""),"Efectivo USD")</f>
        <v/>
      </c>
      <c r="F595" s="75">
        <f>IFERROR(__xludf.DUMMYFUNCTION("""COMPUTED_VALUE"""),"Asociación Cooperativa la Esquina del Lubricante 9999 R.L")</f>
        <v/>
      </c>
      <c r="G595" s="76">
        <f>IFERROR(__xludf.DUMMYFUNCTION("""COMPUTED_VALUE"""),"GRIMAN DIAZ HECTOR EDUARDO")</f>
        <v/>
      </c>
      <c r="H595" s="76">
        <f>IFERROR(__xludf.DUMMYFUNCTION("""COMPUTED_VALUE"""),582.6862)</f>
        <v/>
      </c>
      <c r="I595" s="75" t="n"/>
      <c r="J595" s="77">
        <f>IFERROR(__xludf.DUMMYFUNCTION("""COMPUTED_VALUE"""),75.0)</f>
        <v/>
      </c>
      <c r="K595" s="4">
        <f>IFERROR(__xludf.DUMMYFUNCTION("""COMPUTED_VALUE"""),75.0)</f>
        <v/>
      </c>
      <c r="L595" s="77">
        <f>IFERROR(__xludf.DUMMYFUNCTION("""COMPUTED_VALUE"""),75.0)</f>
        <v/>
      </c>
      <c r="O595" s="72" t="n"/>
      <c r="S595" s="4" t="n"/>
    </row>
    <row r="596">
      <c r="A596" s="74">
        <f>IFERROR(__xludf.DUMMYFUNCTION("""COMPUTED_VALUE"""),46185.0)</f>
        <v/>
      </c>
      <c r="B596" s="72">
        <f>IFERROR(__xludf.DUMMYFUNCTION("""COMPUTED_VALUE"""),298.0)</f>
        <v/>
      </c>
      <c r="C596" s="75">
        <f>IFERROR(__xludf.DUMMYFUNCTION("""COMPUTED_VALUE"""),30.0)</f>
        <v/>
      </c>
      <c r="D596" s="75">
        <f>IFERROR(__xludf.DUMMYFUNCTION("""COMPUTED_VALUE"""),"USD")</f>
        <v/>
      </c>
      <c r="E596" s="75">
        <f>IFERROR(__xludf.DUMMYFUNCTION("""COMPUTED_VALUE"""),"Efectivo USD")</f>
        <v/>
      </c>
      <c r="F596" s="75">
        <f>IFERROR(__xludf.DUMMYFUNCTION("""COMPUTED_VALUE"""),"Inversiones Brayan CT C.A")</f>
        <v/>
      </c>
      <c r="G596" s="76">
        <f>IFERROR(__xludf.DUMMYFUNCTION("""COMPUTED_VALUE"""),"GRIMAN DIAZ HECTOR EDUARDO")</f>
        <v/>
      </c>
      <c r="H596" s="76">
        <f>IFERROR(__xludf.DUMMYFUNCTION("""COMPUTED_VALUE"""),582.6862)</f>
        <v/>
      </c>
      <c r="I596" s="75" t="n"/>
      <c r="J596" s="77">
        <f>IFERROR(__xludf.DUMMYFUNCTION("""COMPUTED_VALUE"""),30.0)</f>
        <v/>
      </c>
      <c r="K596" s="4">
        <f>IFERROR(__xludf.DUMMYFUNCTION("""COMPUTED_VALUE"""),30.0)</f>
        <v/>
      </c>
      <c r="L596" s="77">
        <f>IFERROR(__xludf.DUMMYFUNCTION("""COMPUTED_VALUE"""),30.0)</f>
        <v/>
      </c>
      <c r="O596" s="72" t="n"/>
      <c r="S596" s="4" t="n"/>
    </row>
    <row r="597">
      <c r="A597" s="74">
        <f>IFERROR(__xludf.DUMMYFUNCTION("""COMPUTED_VALUE"""),46185.0)</f>
        <v/>
      </c>
      <c r="B597" s="72">
        <f>IFERROR(__xludf.DUMMYFUNCTION("""COMPUTED_VALUE"""),179.0)</f>
        <v/>
      </c>
      <c r="C597" s="75">
        <f>IFERROR(__xludf.DUMMYFUNCTION("""COMPUTED_VALUE"""),160.0)</f>
        <v/>
      </c>
      <c r="D597" s="75">
        <f>IFERROR(__xludf.DUMMYFUNCTION("""COMPUTED_VALUE"""),"USD")</f>
        <v/>
      </c>
      <c r="E597" s="75">
        <f>IFERROR(__xludf.DUMMYFUNCTION("""COMPUTED_VALUE"""),"Efectivo USD")</f>
        <v/>
      </c>
      <c r="F597" s="75">
        <f>IFERROR(__xludf.DUMMYFUNCTION("""COMPUTED_VALUE"""),"Inversiones Vercris 17 C.A")</f>
        <v/>
      </c>
      <c r="G597" s="76">
        <f>IFERROR(__xludf.DUMMYFUNCTION("""COMPUTED_VALUE"""),"GRIMAN DIAZ HECTOR EDUARDO")</f>
        <v/>
      </c>
      <c r="H597" s="76">
        <f>IFERROR(__xludf.DUMMYFUNCTION("""COMPUTED_VALUE"""),582.6862)</f>
        <v/>
      </c>
      <c r="I597" s="75" t="n"/>
      <c r="J597" s="77">
        <f>IFERROR(__xludf.DUMMYFUNCTION("""COMPUTED_VALUE"""),160.0)</f>
        <v/>
      </c>
      <c r="K597" s="4">
        <f>IFERROR(__xludf.DUMMYFUNCTION("""COMPUTED_VALUE"""),160.0)</f>
        <v/>
      </c>
      <c r="L597" s="77">
        <f>IFERROR(__xludf.DUMMYFUNCTION("""COMPUTED_VALUE"""),160.0)</f>
        <v/>
      </c>
      <c r="O597" s="72" t="n"/>
      <c r="S597" s="4" t="n"/>
    </row>
    <row r="598">
      <c r="A598" s="74">
        <f>IFERROR(__xludf.DUMMYFUNCTION("""COMPUTED_VALUE"""),46185.0)</f>
        <v/>
      </c>
      <c r="B598" s="72">
        <f>IFERROR(__xludf.DUMMYFUNCTION("""COMPUTED_VALUE"""),209.0)</f>
        <v/>
      </c>
      <c r="C598" s="75">
        <f>IFERROR(__xludf.DUMMYFUNCTION("""COMPUTED_VALUE"""),50.0)</f>
        <v/>
      </c>
      <c r="D598" s="75">
        <f>IFERROR(__xludf.DUMMYFUNCTION("""COMPUTED_VALUE"""),"USD")</f>
        <v/>
      </c>
      <c r="E598" s="75">
        <f>IFERROR(__xludf.DUMMYFUNCTION("""COMPUTED_VALUE"""),"Efectivo USD")</f>
        <v/>
      </c>
      <c r="F598" s="75">
        <f>IFERROR(__xludf.DUMMYFUNCTION("""COMPUTED_VALUE"""),"Inversiones Mirelkys C.A")</f>
        <v/>
      </c>
      <c r="G598" s="76">
        <f>IFERROR(__xludf.DUMMYFUNCTION("""COMPUTED_VALUE"""),"GRIMAN DIAZ HECTOR EDUARDO")</f>
        <v/>
      </c>
      <c r="H598" s="76">
        <f>IFERROR(__xludf.DUMMYFUNCTION("""COMPUTED_VALUE"""),582.6862)</f>
        <v/>
      </c>
      <c r="I598" s="75" t="n"/>
      <c r="J598" s="77">
        <f>IFERROR(__xludf.DUMMYFUNCTION("""COMPUTED_VALUE"""),50.0)</f>
        <v/>
      </c>
      <c r="K598" s="4">
        <f>IFERROR(__xludf.DUMMYFUNCTION("""COMPUTED_VALUE"""),50.0)</f>
        <v/>
      </c>
      <c r="L598" s="77">
        <f>IFERROR(__xludf.DUMMYFUNCTION("""COMPUTED_VALUE"""),50.0)</f>
        <v/>
      </c>
      <c r="O598" s="72" t="n"/>
      <c r="S598" s="4" t="n"/>
    </row>
    <row r="599">
      <c r="A599" s="74">
        <f>IFERROR(__xludf.DUMMYFUNCTION("""COMPUTED_VALUE"""),46185.0)</f>
        <v/>
      </c>
      <c r="B599" s="72">
        <f>IFERROR(__xludf.DUMMYFUNCTION("""COMPUTED_VALUE"""),336.0)</f>
        <v/>
      </c>
      <c r="C599" s="75">
        <f>IFERROR(__xludf.DUMMYFUNCTION("""COMPUTED_VALUE"""),60.0)</f>
        <v/>
      </c>
      <c r="D599" s="75">
        <f>IFERROR(__xludf.DUMMYFUNCTION("""COMPUTED_VALUE"""),"USD")</f>
        <v/>
      </c>
      <c r="E599" s="75">
        <f>IFERROR(__xludf.DUMMYFUNCTION("""COMPUTED_VALUE"""),"Efectivo USD")</f>
        <v/>
      </c>
      <c r="F599" s="75">
        <f>IFERROR(__xludf.DUMMYFUNCTION("""COMPUTED_VALUE"""),"Asociación Cooperativa la Esquina del Lubricante 9999 R.L")</f>
        <v/>
      </c>
      <c r="G599" s="76">
        <f>IFERROR(__xludf.DUMMYFUNCTION("""COMPUTED_VALUE"""),"GRIMAN DIAZ HECTOR EDUARDO")</f>
        <v/>
      </c>
      <c r="H599" s="76">
        <f>IFERROR(__xludf.DUMMYFUNCTION("""COMPUTED_VALUE"""),582.6862)</f>
        <v/>
      </c>
      <c r="I599" s="75" t="n"/>
      <c r="J599" s="77">
        <f>IFERROR(__xludf.DUMMYFUNCTION("""COMPUTED_VALUE"""),60.0)</f>
        <v/>
      </c>
      <c r="K599" s="4">
        <f>IFERROR(__xludf.DUMMYFUNCTION("""COMPUTED_VALUE"""),60.0)</f>
        <v/>
      </c>
      <c r="L599" s="77">
        <f>IFERROR(__xludf.DUMMYFUNCTION("""COMPUTED_VALUE"""),60.0)</f>
        <v/>
      </c>
      <c r="O599" s="72" t="n"/>
      <c r="S599" s="4" t="n"/>
    </row>
    <row r="600">
      <c r="A600" s="74">
        <f>IFERROR(__xludf.DUMMYFUNCTION("""COMPUTED_VALUE"""),46185.0)</f>
        <v/>
      </c>
      <c r="B600" s="72">
        <f>IFERROR(__xludf.DUMMYFUNCTION("""COMPUTED_VALUE"""),218.0)</f>
        <v/>
      </c>
      <c r="C600" s="75">
        <f>IFERROR(__xludf.DUMMYFUNCTION("""COMPUTED_VALUE"""),40.0)</f>
        <v/>
      </c>
      <c r="D600" s="75">
        <f>IFERROR(__xludf.DUMMYFUNCTION("""COMPUTED_VALUE"""),"USD")</f>
        <v/>
      </c>
      <c r="E600" s="75">
        <f>IFERROR(__xludf.DUMMYFUNCTION("""COMPUTED_VALUE"""),"Efectivo USD")</f>
        <v/>
      </c>
      <c r="F600" s="75">
        <f>IFERROR(__xludf.DUMMYFUNCTION("""COMPUTED_VALUE"""),"Cooperativa Dios mi Amparo, R.L.")</f>
        <v/>
      </c>
      <c r="G600" s="76">
        <f>IFERROR(__xludf.DUMMYFUNCTION("""COMPUTED_VALUE"""),"BETANCOURT ROBRIGUEZ LUIS ENRRIQUE")</f>
        <v/>
      </c>
      <c r="H600" s="76">
        <f>IFERROR(__xludf.DUMMYFUNCTION("""COMPUTED_VALUE"""),582.6862)</f>
        <v/>
      </c>
      <c r="I600" s="75" t="n"/>
      <c r="J600" s="77">
        <f>IFERROR(__xludf.DUMMYFUNCTION("""COMPUTED_VALUE"""),40.0)</f>
        <v/>
      </c>
      <c r="K600" s="4">
        <f>IFERROR(__xludf.DUMMYFUNCTION("""COMPUTED_VALUE"""),40.0)</f>
        <v/>
      </c>
      <c r="L600" s="77">
        <f>IFERROR(__xludf.DUMMYFUNCTION("""COMPUTED_VALUE"""),40.0)</f>
        <v/>
      </c>
      <c r="O600" s="72" t="n"/>
      <c r="S600" s="4" t="n"/>
    </row>
    <row r="601">
      <c r="A601" s="74">
        <f>IFERROR(__xludf.DUMMYFUNCTION("""COMPUTED_VALUE"""),46185.0)</f>
        <v/>
      </c>
      <c r="B601" s="72">
        <f>IFERROR(__xludf.DUMMYFUNCTION("""COMPUTED_VALUE"""),178.0)</f>
        <v/>
      </c>
      <c r="C601" s="75">
        <f>IFERROR(__xludf.DUMMYFUNCTION("""COMPUTED_VALUE"""),80.0)</f>
        <v/>
      </c>
      <c r="D601" s="75">
        <f>IFERROR(__xludf.DUMMYFUNCTION("""COMPUTED_VALUE"""),"USD")</f>
        <v/>
      </c>
      <c r="E601" s="75">
        <f>IFERROR(__xludf.DUMMYFUNCTION("""COMPUTED_VALUE"""),"Efectivo USD")</f>
        <v/>
      </c>
      <c r="F601" s="75">
        <f>IFERROR(__xludf.DUMMYFUNCTION("""COMPUTED_VALUE"""),"Distribuidora Nesmari 2050 c.a")</f>
        <v/>
      </c>
      <c r="G601" s="76">
        <f>IFERROR(__xludf.DUMMYFUNCTION("""COMPUTED_VALUE"""),"BETANCOURT ROBRIGUEZ LUIS ENRRIQUE")</f>
        <v/>
      </c>
      <c r="H601" s="76">
        <f>IFERROR(__xludf.DUMMYFUNCTION("""COMPUTED_VALUE"""),582.6862)</f>
        <v/>
      </c>
      <c r="I601" s="75" t="n"/>
      <c r="J601" s="77">
        <f>IFERROR(__xludf.DUMMYFUNCTION("""COMPUTED_VALUE"""),80.0)</f>
        <v/>
      </c>
      <c r="K601" s="4">
        <f>IFERROR(__xludf.DUMMYFUNCTION("""COMPUTED_VALUE"""),80.0)</f>
        <v/>
      </c>
      <c r="L601" s="77">
        <f>IFERROR(__xludf.DUMMYFUNCTION("""COMPUTED_VALUE"""),80.0)</f>
        <v/>
      </c>
      <c r="O601" s="72" t="n"/>
      <c r="S601" s="4" t="n"/>
    </row>
    <row r="602">
      <c r="A602" s="74">
        <f>IFERROR(__xludf.DUMMYFUNCTION("""COMPUTED_VALUE"""),46185.0)</f>
        <v/>
      </c>
      <c r="B602" s="72">
        <f>IFERROR(__xludf.DUMMYFUNCTION("""COMPUTED_VALUE"""),249.0)</f>
        <v/>
      </c>
      <c r="C602" s="75">
        <f>IFERROR(__xludf.DUMMYFUNCTION("""COMPUTED_VALUE"""),100.0)</f>
        <v/>
      </c>
      <c r="D602" s="75">
        <f>IFERROR(__xludf.DUMMYFUNCTION("""COMPUTED_VALUE"""),"USD")</f>
        <v/>
      </c>
      <c r="E602" s="75">
        <f>IFERROR(__xludf.DUMMYFUNCTION("""COMPUTED_VALUE"""),"Efectivo USD")</f>
        <v/>
      </c>
      <c r="F602" s="75">
        <f>IFERROR(__xludf.DUMMYFUNCTION("""COMPUTED_VALUE"""),"Comercializadora Dimon c.a")</f>
        <v/>
      </c>
      <c r="G602" s="76">
        <f>IFERROR(__xludf.DUMMYFUNCTION("""COMPUTED_VALUE"""),"BETANCOURT ROBRIGUEZ LUIS ENRRIQUE")</f>
        <v/>
      </c>
      <c r="H602" s="76">
        <f>IFERROR(__xludf.DUMMYFUNCTION("""COMPUTED_VALUE"""),582.6862)</f>
        <v/>
      </c>
      <c r="I602" s="75" t="n"/>
      <c r="J602" s="77">
        <f>IFERROR(__xludf.DUMMYFUNCTION("""COMPUTED_VALUE"""),100.0)</f>
        <v/>
      </c>
      <c r="K602" s="4">
        <f>IFERROR(__xludf.DUMMYFUNCTION("""COMPUTED_VALUE"""),100.0)</f>
        <v/>
      </c>
      <c r="L602" s="77">
        <f>IFERROR(__xludf.DUMMYFUNCTION("""COMPUTED_VALUE"""),100.0)</f>
        <v/>
      </c>
      <c r="O602" s="72" t="n"/>
      <c r="S602" s="4" t="n"/>
    </row>
    <row r="603">
      <c r="A603" s="74">
        <f>IFERROR(__xludf.DUMMYFUNCTION("""COMPUTED_VALUE"""),46188.0)</f>
        <v/>
      </c>
      <c r="B603" s="72">
        <f>IFERROR(__xludf.DUMMYFUNCTION("""COMPUTED_VALUE"""),149.0)</f>
        <v/>
      </c>
      <c r="C603" s="75">
        <f>IFERROR(__xludf.DUMMYFUNCTION("""COMPUTED_VALUE"""),650.0)</f>
        <v/>
      </c>
      <c r="D603" s="75">
        <f>IFERROR(__xludf.DUMMYFUNCTION("""COMPUTED_VALUE"""),"USD")</f>
        <v/>
      </c>
      <c r="E603" s="75">
        <f>IFERROR(__xludf.DUMMYFUNCTION("""COMPUTED_VALUE"""),"Binance")</f>
        <v/>
      </c>
      <c r="F603" s="75">
        <f>IFERROR(__xludf.DUMMYFUNCTION("""COMPUTED_VALUE"""),"Emprendimiento ilaris cancelo")</f>
        <v/>
      </c>
      <c r="G603" s="76">
        <f>IFERROR(__xludf.DUMMYFUNCTION("""COMPUTED_VALUE"""),"PEREZ DIAZ ANGEL DE DIOS")</f>
        <v/>
      </c>
      <c r="H603" s="76">
        <f>IFERROR(__xludf.DUMMYFUNCTION("""COMPUTED_VALUE"""),587.4059)</f>
        <v/>
      </c>
      <c r="I603" s="75" t="n"/>
      <c r="J603" s="77">
        <f>IFERROR(__xludf.DUMMYFUNCTION("""COMPUTED_VALUE"""),650.0)</f>
        <v/>
      </c>
      <c r="K603" s="4">
        <f>IFERROR(__xludf.DUMMYFUNCTION("""COMPUTED_VALUE"""),650.0)</f>
        <v/>
      </c>
      <c r="L603" s="77">
        <f>IFERROR(__xludf.DUMMYFUNCTION("""COMPUTED_VALUE"""),650.0)</f>
        <v/>
      </c>
      <c r="O603" s="72" t="n"/>
      <c r="S603" s="4" t="n"/>
    </row>
    <row r="604">
      <c r="A604" s="74">
        <f>IFERROR(__xludf.DUMMYFUNCTION("""COMPUTED_VALUE"""),46188.0)</f>
        <v/>
      </c>
      <c r="B604" s="72">
        <f>IFERROR(__xludf.DUMMYFUNCTION("""COMPUTED_VALUE"""),339.0)</f>
        <v/>
      </c>
      <c r="C604" s="75">
        <f>IFERROR(__xludf.DUMMYFUNCTION("""COMPUTED_VALUE"""),100.0)</f>
        <v/>
      </c>
      <c r="D604" s="75">
        <f>IFERROR(__xludf.DUMMYFUNCTION("""COMPUTED_VALUE"""),"USD")</f>
        <v/>
      </c>
      <c r="E604" s="75">
        <f>IFERROR(__xludf.DUMMYFUNCTION("""COMPUTED_VALUE"""),"Efectivo USD")</f>
        <v/>
      </c>
      <c r="F604" s="75">
        <f>IFERROR(__xludf.DUMMYFUNCTION("""COMPUTED_VALUE"""),"La cámara perfecta")</f>
        <v/>
      </c>
      <c r="G604" s="76">
        <f>IFERROR(__xludf.DUMMYFUNCTION("""COMPUTED_VALUE"""),"PEREZ DIAZ ANGEL DE DIOS")</f>
        <v/>
      </c>
      <c r="H604" s="76">
        <f>IFERROR(__xludf.DUMMYFUNCTION("""COMPUTED_VALUE"""),587.4059)</f>
        <v/>
      </c>
      <c r="I604" s="75" t="n"/>
      <c r="J604" s="77">
        <f>IFERROR(__xludf.DUMMYFUNCTION("""COMPUTED_VALUE"""),100.0)</f>
        <v/>
      </c>
      <c r="K604" s="4">
        <f>IFERROR(__xludf.DUMMYFUNCTION("""COMPUTED_VALUE"""),100.0)</f>
        <v/>
      </c>
      <c r="L604" s="77">
        <f>IFERROR(__xludf.DUMMYFUNCTION("""COMPUTED_VALUE"""),100.0)</f>
        <v/>
      </c>
      <c r="O604" s="72" t="n"/>
      <c r="S604" s="4" t="n"/>
    </row>
    <row r="605">
      <c r="A605" s="74">
        <f>IFERROR(__xludf.DUMMYFUNCTION("""COMPUTED_VALUE"""),46188.0)</f>
        <v/>
      </c>
      <c r="B605" s="72">
        <f>IFERROR(__xludf.DUMMYFUNCTION("""COMPUTED_VALUE"""),317.0)</f>
        <v/>
      </c>
      <c r="C605" s="75">
        <f>IFERROR(__xludf.DUMMYFUNCTION("""COMPUTED_VALUE"""),100.0)</f>
        <v/>
      </c>
      <c r="D605" s="75">
        <f>IFERROR(__xludf.DUMMYFUNCTION("""COMPUTED_VALUE"""),"USD")</f>
        <v/>
      </c>
      <c r="E605" s="75">
        <f>IFERROR(__xludf.DUMMYFUNCTION("""COMPUTED_VALUE"""),"Efectivo USD")</f>
        <v/>
      </c>
      <c r="F605" s="75">
        <f>IFERROR(__xludf.DUMMYFUNCTION("""COMPUTED_VALUE"""),"ACCESORIOS Y REPUESTOS MOTO CAR 20-11-C.A")</f>
        <v/>
      </c>
      <c r="G605" s="76">
        <f>IFERROR(__xludf.DUMMYFUNCTION("""COMPUTED_VALUE"""),"VILLABONA CORREA ALBA ESTEFANIA")</f>
        <v/>
      </c>
      <c r="H605" s="76">
        <f>IFERROR(__xludf.DUMMYFUNCTION("""COMPUTED_VALUE"""),587.4059)</f>
        <v/>
      </c>
      <c r="I605" s="75" t="n"/>
      <c r="J605" s="77">
        <f>IFERROR(__xludf.DUMMYFUNCTION("""COMPUTED_VALUE"""),100.0)</f>
        <v/>
      </c>
      <c r="K605" s="4">
        <f>IFERROR(__xludf.DUMMYFUNCTION("""COMPUTED_VALUE"""),100.0)</f>
        <v/>
      </c>
      <c r="L605" s="77">
        <f>IFERROR(__xludf.DUMMYFUNCTION("""COMPUTED_VALUE"""),100.0)</f>
        <v/>
      </c>
      <c r="O605" s="72" t="n"/>
      <c r="S605" s="4" t="n"/>
    </row>
    <row r="606">
      <c r="A606" s="74">
        <f>IFERROR(__xludf.DUMMYFUNCTION("""COMPUTED_VALUE"""),46188.0)</f>
        <v/>
      </c>
      <c r="B606" s="72">
        <f>IFERROR(__xludf.DUMMYFUNCTION("""COMPUTED_VALUE"""),346.0)</f>
        <v/>
      </c>
      <c r="C606" s="75">
        <f>IFERROR(__xludf.DUMMYFUNCTION("""COMPUTED_VALUE"""),100.0)</f>
        <v/>
      </c>
      <c r="D606" s="75">
        <f>IFERROR(__xludf.DUMMYFUNCTION("""COMPUTED_VALUE"""),"USD")</f>
        <v/>
      </c>
      <c r="E606" s="75">
        <f>IFERROR(__xludf.DUMMYFUNCTION("""COMPUTED_VALUE"""),"Efectivo USD")</f>
        <v/>
      </c>
      <c r="F606" s="75">
        <f>IFERROR(__xludf.DUMMYFUNCTION("""COMPUTED_VALUE"""),"AUTOPERIQUITO EL PEQUEÑO CHAMOY, C.A.")</f>
        <v/>
      </c>
      <c r="G606" s="76">
        <f>IFERROR(__xludf.DUMMYFUNCTION("""COMPUTED_VALUE"""),"VILLABONA CORREA ALBA ESTEFANIA")</f>
        <v/>
      </c>
      <c r="H606" s="76">
        <f>IFERROR(__xludf.DUMMYFUNCTION("""COMPUTED_VALUE"""),587.4059)</f>
        <v/>
      </c>
      <c r="I606" s="75" t="n"/>
      <c r="J606" s="77">
        <f>IFERROR(__xludf.DUMMYFUNCTION("""COMPUTED_VALUE"""),100.0)</f>
        <v/>
      </c>
      <c r="K606" s="4">
        <f>IFERROR(__xludf.DUMMYFUNCTION("""COMPUTED_VALUE"""),100.0)</f>
        <v/>
      </c>
      <c r="L606" s="77">
        <f>IFERROR(__xludf.DUMMYFUNCTION("""COMPUTED_VALUE"""),100.0)</f>
        <v/>
      </c>
      <c r="O606" s="72" t="n"/>
      <c r="S606" s="4" t="n"/>
    </row>
    <row r="607">
      <c r="A607" s="74">
        <f>IFERROR(__xludf.DUMMYFUNCTION("""COMPUTED_VALUE"""),46186.0)</f>
        <v/>
      </c>
      <c r="B607" s="72">
        <f>IFERROR(__xludf.DUMMYFUNCTION("""COMPUTED_VALUE"""),174.0)</f>
        <v/>
      </c>
      <c r="C607" s="75">
        <f>IFERROR(__xludf.DUMMYFUNCTION("""COMPUTED_VALUE"""),47040.0)</f>
        <v/>
      </c>
      <c r="D607" s="75">
        <f>IFERROR(__xludf.DUMMYFUNCTION("""COMPUTED_VALUE"""),"VES")</f>
        <v/>
      </c>
      <c r="E607" s="75">
        <f>IFERROR(__xludf.DUMMYFUNCTION("""COMPUTED_VALUE"""),"Bancamiga")</f>
        <v/>
      </c>
      <c r="F607" s="75">
        <f>IFERROR(__xludf.DUMMYFUNCTION("""COMPUTED_VALUE"""),"DISTRIBUIDORA E.P.L.C  2017, c.a.")</f>
        <v/>
      </c>
      <c r="G607" s="76">
        <f>IFERROR(__xludf.DUMMYFUNCTION("""COMPUTED_VALUE"""),"VILLABONA CORREA ALBA ESTEFANIA")</f>
        <v/>
      </c>
      <c r="H607" s="76">
        <f>IFERROR(__xludf.DUMMYFUNCTION("""COMPUTED_VALUE"""),582.6862)</f>
        <v/>
      </c>
      <c r="I607" s="75" t="n"/>
      <c r="J607" s="77">
        <f>IFERROR(__xludf.DUMMYFUNCTION("""COMPUTED_VALUE"""),80.72955906626929)</f>
        <v/>
      </c>
      <c r="K607" s="4">
        <f>IFERROR(__xludf.DUMMYFUNCTION("""COMPUTED_VALUE"""),0.0)</f>
        <v/>
      </c>
      <c r="L607" s="77">
        <f>IFERROR(__xludf.DUMMYFUNCTION("""COMPUTED_VALUE"""),80.72955906626929)</f>
        <v/>
      </c>
      <c r="O607" s="72" t="n"/>
      <c r="S607" s="4" t="n"/>
    </row>
    <row r="608">
      <c r="A608" s="74">
        <f>IFERROR(__xludf.DUMMYFUNCTION("""COMPUTED_VALUE"""),46188.0)</f>
        <v/>
      </c>
      <c r="B608" s="72">
        <f>IFERROR(__xludf.DUMMYFUNCTION("""COMPUTED_VALUE"""),351.0)</f>
        <v/>
      </c>
      <c r="C608" s="75">
        <f>IFERROR(__xludf.DUMMYFUNCTION("""COMPUTED_VALUE"""),36654.4)</f>
        <v/>
      </c>
      <c r="D608" s="75">
        <f>IFERROR(__xludf.DUMMYFUNCTION("""COMPUTED_VALUE"""),"VES")</f>
        <v/>
      </c>
      <c r="E608" s="75">
        <f>IFERROR(__xludf.DUMMYFUNCTION("""COMPUTED_VALUE"""),"Bancamiga")</f>
        <v/>
      </c>
      <c r="F608" s="75">
        <f>IFERROR(__xludf.DUMMYFUNCTION("""COMPUTED_VALUE"""),"INVERSIONES BECLA PARTS C.A.")</f>
        <v/>
      </c>
      <c r="G608" s="76">
        <f>IFERROR(__xludf.DUMMYFUNCTION("""COMPUTED_VALUE"""),"TORO ARDILES DAVID JOSE")</f>
        <v/>
      </c>
      <c r="H608" s="76">
        <f>IFERROR(__xludf.DUMMYFUNCTION("""COMPUTED_VALUE"""),587.4059)</f>
        <v/>
      </c>
      <c r="I608" s="75" t="n"/>
      <c r="J608" s="77">
        <f>IFERROR(__xludf.DUMMYFUNCTION("""COMPUTED_VALUE"""),62.400462780506636)</f>
        <v/>
      </c>
      <c r="K608" s="4">
        <f>IFERROR(__xludf.DUMMYFUNCTION("""COMPUTED_VALUE"""),0.0)</f>
        <v/>
      </c>
      <c r="L608" s="77">
        <f>IFERROR(__xludf.DUMMYFUNCTION("""COMPUTED_VALUE"""),62.400462780506636)</f>
        <v/>
      </c>
      <c r="O608" s="72" t="n"/>
      <c r="S608" s="4" t="n"/>
    </row>
    <row r="609">
      <c r="A609" s="74">
        <f>IFERROR(__xludf.DUMMYFUNCTION("""COMPUTED_VALUE"""),46183.0)</f>
        <v/>
      </c>
      <c r="B609" s="72">
        <f>IFERROR(__xludf.DUMMYFUNCTION("""COMPUTED_VALUE"""),361.0)</f>
        <v/>
      </c>
      <c r="C609" s="75">
        <f>IFERROR(__xludf.DUMMYFUNCTION("""COMPUTED_VALUE"""),182461.0)</f>
        <v/>
      </c>
      <c r="D609" s="75">
        <f>IFERROR(__xludf.DUMMYFUNCTION("""COMPUTED_VALUE"""),"VES")</f>
        <v/>
      </c>
      <c r="E609" s="75">
        <f>IFERROR(__xludf.DUMMYFUNCTION("""COMPUTED_VALUE"""),"Bancamiga")</f>
        <v/>
      </c>
      <c r="F609" s="75">
        <f>IFERROR(__xludf.DUMMYFUNCTION("""COMPUTED_VALUE"""),"Comercializadora Estoril 25,c.a.")</f>
        <v/>
      </c>
      <c r="G609" s="76">
        <f>IFERROR(__xludf.DUMMYFUNCTION("""COMPUTED_VALUE"""),"LOPEZ ANTUNEZ ANDERSON JOSE")</f>
        <v/>
      </c>
      <c r="H609" s="76">
        <f>IFERROR(__xludf.DUMMYFUNCTION("""COMPUTED_VALUE"""),572.6784)</f>
        <v/>
      </c>
      <c r="I609" s="75" t="n"/>
      <c r="J609" s="77">
        <f>IFERROR(__xludf.DUMMYFUNCTION("""COMPUTED_VALUE"""),318.6098864563427)</f>
        <v/>
      </c>
      <c r="K609" s="4">
        <f>IFERROR(__xludf.DUMMYFUNCTION("""COMPUTED_VALUE"""),0.0)</f>
        <v/>
      </c>
      <c r="L609" s="77">
        <f>IFERROR(__xludf.DUMMYFUNCTION("""COMPUTED_VALUE"""),318.6098864563427)</f>
        <v/>
      </c>
      <c r="O609" s="72" t="n"/>
      <c r="S609" s="4" t="n"/>
    </row>
    <row r="610">
      <c r="A610" s="74">
        <f>IFERROR(__xludf.DUMMYFUNCTION("""COMPUTED_VALUE"""),46189.0)</f>
        <v/>
      </c>
      <c r="B610" s="72">
        <f>IFERROR(__xludf.DUMMYFUNCTION("""COMPUTED_VALUE"""),540.0)</f>
        <v/>
      </c>
      <c r="C610" s="75">
        <f>IFERROR(__xludf.DUMMYFUNCTION("""COMPUTED_VALUE"""),162503.52)</f>
        <v/>
      </c>
      <c r="D610" s="75">
        <f>IFERROR(__xludf.DUMMYFUNCTION("""COMPUTED_VALUE"""),"VES")</f>
        <v/>
      </c>
      <c r="E610" s="75">
        <f>IFERROR(__xludf.DUMMYFUNCTION("""COMPUTED_VALUE"""),"Bancamiga")</f>
        <v/>
      </c>
      <c r="F610" s="75">
        <f>IFERROR(__xludf.DUMMYFUNCTION("""COMPUTED_VALUE"""),"GARAJE Y TALLERES FRIDELBA, C.A")</f>
        <v/>
      </c>
      <c r="G610" s="76">
        <f>IFERROR(__xludf.DUMMYFUNCTION("""COMPUTED_VALUE"""),"TORO ARDILES DAVID JOSE")</f>
        <v/>
      </c>
      <c r="H610" s="76">
        <f>IFERROR(__xludf.DUMMYFUNCTION("""COMPUTED_VALUE"""),592.5163)</f>
        <v/>
      </c>
      <c r="I610" s="75" t="n"/>
      <c r="J610" s="77">
        <f>IFERROR(__xludf.DUMMYFUNCTION("""COMPUTED_VALUE"""),274.2599992607798)</f>
        <v/>
      </c>
      <c r="K610" s="4">
        <f>IFERROR(__xludf.DUMMYFUNCTION("""COMPUTED_VALUE"""),0.0)</f>
        <v/>
      </c>
      <c r="L610" s="77">
        <f>IFERROR(__xludf.DUMMYFUNCTION("""COMPUTED_VALUE"""),274.2599992607798)</f>
        <v/>
      </c>
      <c r="O610" s="72" t="n"/>
      <c r="S610" s="4" t="n"/>
    </row>
    <row r="611">
      <c r="A611" s="74">
        <f>IFERROR(__xludf.DUMMYFUNCTION("""COMPUTED_VALUE"""),46189.0)</f>
        <v/>
      </c>
      <c r="B611" s="72">
        <f>IFERROR(__xludf.DUMMYFUNCTION("""COMPUTED_VALUE"""),414.0)</f>
        <v/>
      </c>
      <c r="C611" s="75">
        <f>IFERROR(__xludf.DUMMYFUNCTION("""COMPUTED_VALUE"""),59300.0)</f>
        <v/>
      </c>
      <c r="D611" s="75">
        <f>IFERROR(__xludf.DUMMYFUNCTION("""COMPUTED_VALUE"""),"VES")</f>
        <v/>
      </c>
      <c r="E611" s="75">
        <f>IFERROR(__xludf.DUMMYFUNCTION("""COMPUTED_VALUE"""),"Bancamiga")</f>
        <v/>
      </c>
      <c r="F611" s="75">
        <f>IFERROR(__xludf.DUMMYFUNCTION("""COMPUTED_VALUE"""),"Javier Cardenas Prato.")</f>
        <v/>
      </c>
      <c r="G611" s="76">
        <f>IFERROR(__xludf.DUMMYFUNCTION("""COMPUTED_VALUE"""),"TORO ARDILES DAVID JOSE")</f>
        <v/>
      </c>
      <c r="H611" s="76">
        <f>IFERROR(__xludf.DUMMYFUNCTION("""COMPUTED_VALUE"""),592.5163)</f>
        <v/>
      </c>
      <c r="I611" s="75" t="n"/>
      <c r="J611" s="77">
        <f>IFERROR(__xludf.DUMMYFUNCTION("""COMPUTED_VALUE"""),100.08163488498123)</f>
        <v/>
      </c>
      <c r="K611" s="4">
        <f>IFERROR(__xludf.DUMMYFUNCTION("""COMPUTED_VALUE"""),0.0)</f>
        <v/>
      </c>
      <c r="L611" s="77">
        <f>IFERROR(__xludf.DUMMYFUNCTION("""COMPUTED_VALUE"""),100.08163488498123)</f>
        <v/>
      </c>
      <c r="O611" s="72" t="n"/>
      <c r="S611" s="4" t="n"/>
    </row>
    <row r="612">
      <c r="A612" s="74">
        <f>IFERROR(__xludf.DUMMYFUNCTION("""COMPUTED_VALUE"""),46189.0)</f>
        <v/>
      </c>
      <c r="B612" s="72">
        <f>IFERROR(__xludf.DUMMYFUNCTION("""COMPUTED_VALUE"""),457.0)</f>
        <v/>
      </c>
      <c r="C612" s="75">
        <f>IFERROR(__xludf.DUMMYFUNCTION("""COMPUTED_VALUE"""),885.0)</f>
        <v/>
      </c>
      <c r="D612" s="75">
        <f>IFERROR(__xludf.DUMMYFUNCTION("""COMPUTED_VALUE"""),"USD")</f>
        <v/>
      </c>
      <c r="E612" s="75">
        <f>IFERROR(__xludf.DUMMYFUNCTION("""COMPUTED_VALUE"""),"Efectivo USD")</f>
        <v/>
      </c>
      <c r="F612" s="75">
        <f>IFERROR(__xludf.DUMMYFUNCTION("""COMPUTED_VALUE"""),"Anthony Jose Quijada Diaz.")</f>
        <v/>
      </c>
      <c r="G612" s="76">
        <f>IFERROR(__xludf.DUMMYFUNCTION("""COMPUTED_VALUE"""),"CASERES GONZALEZ RONALD OSWALDO")</f>
        <v/>
      </c>
      <c r="H612" s="76">
        <f>IFERROR(__xludf.DUMMYFUNCTION("""COMPUTED_VALUE"""),592.5163)</f>
        <v/>
      </c>
      <c r="I612" s="75" t="n"/>
      <c r="J612" s="77">
        <f>IFERROR(__xludf.DUMMYFUNCTION("""COMPUTED_VALUE"""),885.0)</f>
        <v/>
      </c>
      <c r="K612" s="4">
        <f>IFERROR(__xludf.DUMMYFUNCTION("""COMPUTED_VALUE"""),885.0)</f>
        <v/>
      </c>
      <c r="L612" s="77">
        <f>IFERROR(__xludf.DUMMYFUNCTION("""COMPUTED_VALUE"""),885.0)</f>
        <v/>
      </c>
      <c r="O612" s="72" t="n"/>
      <c r="S612" s="4" t="n"/>
    </row>
    <row r="613">
      <c r="A613" s="74">
        <f>IFERROR(__xludf.DUMMYFUNCTION("""COMPUTED_VALUE"""),46189.0)</f>
        <v/>
      </c>
      <c r="B613" s="72">
        <f>IFERROR(__xludf.DUMMYFUNCTION("""COMPUTED_VALUE"""),61.0)</f>
        <v/>
      </c>
      <c r="C613" s="75">
        <f>IFERROR(__xludf.DUMMYFUNCTION("""COMPUTED_VALUE"""),100.0)</f>
        <v/>
      </c>
      <c r="D613" s="75">
        <f>IFERROR(__xludf.DUMMYFUNCTION("""COMPUTED_VALUE"""),"USD")</f>
        <v/>
      </c>
      <c r="E613" s="75">
        <f>IFERROR(__xludf.DUMMYFUNCTION("""COMPUTED_VALUE"""),"Efectivo USD")</f>
        <v/>
      </c>
      <c r="F613" s="75">
        <f>IFERROR(__xludf.DUMMYFUNCTION("""COMPUTED_VALUE"""),"SJMG 2012 C.A")</f>
        <v/>
      </c>
      <c r="G613" s="76">
        <f>IFERROR(__xludf.DUMMYFUNCTION("""COMPUTED_VALUE"""),"GRIMAN DIAZ HECTOR EDUARDO")</f>
        <v/>
      </c>
      <c r="H613" s="76">
        <f>IFERROR(__xludf.DUMMYFUNCTION("""COMPUTED_VALUE"""),592.5163)</f>
        <v/>
      </c>
      <c r="I613" s="75" t="n"/>
      <c r="J613" s="77">
        <f>IFERROR(__xludf.DUMMYFUNCTION("""COMPUTED_VALUE"""),100.0)</f>
        <v/>
      </c>
      <c r="K613" s="4">
        <f>IFERROR(__xludf.DUMMYFUNCTION("""COMPUTED_VALUE"""),100.0)</f>
        <v/>
      </c>
      <c r="L613" s="77">
        <f>IFERROR(__xludf.DUMMYFUNCTION("""COMPUTED_VALUE"""),100.0)</f>
        <v/>
      </c>
      <c r="O613" s="72" t="n"/>
      <c r="S613" s="4" t="n"/>
    </row>
    <row r="614">
      <c r="A614" s="74">
        <f>IFERROR(__xludf.DUMMYFUNCTION("""COMPUTED_VALUE"""),46189.0)</f>
        <v/>
      </c>
      <c r="B614" s="72">
        <f>IFERROR(__xludf.DUMMYFUNCTION("""COMPUTED_VALUE"""),354.0)</f>
        <v/>
      </c>
      <c r="C614" s="75">
        <f>IFERROR(__xludf.DUMMYFUNCTION("""COMPUTED_VALUE"""),100.0)</f>
        <v/>
      </c>
      <c r="D614" s="75">
        <f>IFERROR(__xludf.DUMMYFUNCTION("""COMPUTED_VALUE"""),"USD")</f>
        <v/>
      </c>
      <c r="E614" s="75">
        <f>IFERROR(__xludf.DUMMYFUNCTION("""COMPUTED_VALUE"""),"Efectivo USD")</f>
        <v/>
      </c>
      <c r="F614" s="75">
        <f>IFERROR(__xludf.DUMMYFUNCTION("""COMPUTED_VALUE"""),"REPRESENTACIONES LAGUS MEL, C. A")</f>
        <v/>
      </c>
      <c r="G614" s="76">
        <f>IFERROR(__xludf.DUMMYFUNCTION("""COMPUTED_VALUE"""),"TORO ARDILES DAVID JOSE")</f>
        <v/>
      </c>
      <c r="H614" s="76">
        <f>IFERROR(__xludf.DUMMYFUNCTION("""COMPUTED_VALUE"""),592.5163)</f>
        <v/>
      </c>
      <c r="I614" s="75" t="n"/>
      <c r="J614" s="77">
        <f>IFERROR(__xludf.DUMMYFUNCTION("""COMPUTED_VALUE"""),100.0)</f>
        <v/>
      </c>
      <c r="K614" s="4">
        <f>IFERROR(__xludf.DUMMYFUNCTION("""COMPUTED_VALUE"""),100.0)</f>
        <v/>
      </c>
      <c r="L614" s="77">
        <f>IFERROR(__xludf.DUMMYFUNCTION("""COMPUTED_VALUE"""),100.0)</f>
        <v/>
      </c>
      <c r="O614" s="72" t="n"/>
      <c r="S614" s="4" t="n"/>
    </row>
    <row r="615">
      <c r="A615" s="74">
        <f>IFERROR(__xludf.DUMMYFUNCTION("""COMPUTED_VALUE"""),46189.0)</f>
        <v/>
      </c>
      <c r="B615" s="72">
        <f>IFERROR(__xludf.DUMMYFUNCTION("""COMPUTED_VALUE"""),472.0)</f>
        <v/>
      </c>
      <c r="C615" s="75">
        <f>IFERROR(__xludf.DUMMYFUNCTION("""COMPUTED_VALUE"""),191167.2)</f>
        <v/>
      </c>
      <c r="D615" s="75">
        <f>IFERROR(__xludf.DUMMYFUNCTION("""COMPUTED_VALUE"""),"VES")</f>
        <v/>
      </c>
      <c r="E615" s="75">
        <f>IFERROR(__xludf.DUMMYFUNCTION("""COMPUTED_VALUE"""),"Bancamiga")</f>
        <v/>
      </c>
      <c r="F615" s="75">
        <f>IFERROR(__xludf.DUMMYFUNCTION("""COMPUTED_VALUE"""),"Antonio Terán")</f>
        <v/>
      </c>
      <c r="G615" s="76">
        <f>IFERROR(__xludf.DUMMYFUNCTION("""COMPUTED_VALUE"""),"PEREZ DIAZ ANGEL DE DIOS")</f>
        <v/>
      </c>
      <c r="H615" s="76">
        <f>IFERROR(__xludf.DUMMYFUNCTION("""COMPUTED_VALUE"""),592.5163)</f>
        <v/>
      </c>
      <c r="I615" s="75" t="n"/>
      <c r="J615" s="77">
        <f>IFERROR(__xludf.DUMMYFUNCTION("""COMPUTED_VALUE"""),322.63618739265064)</f>
        <v/>
      </c>
      <c r="K615" s="4">
        <f>IFERROR(__xludf.DUMMYFUNCTION("""COMPUTED_VALUE"""),0.0)</f>
        <v/>
      </c>
      <c r="L615" s="77">
        <f>IFERROR(__xludf.DUMMYFUNCTION("""COMPUTED_VALUE"""),322.63618739265064)</f>
        <v/>
      </c>
      <c r="O615" s="72" t="n"/>
      <c r="S615" s="4" t="n"/>
    </row>
    <row r="616">
      <c r="A616" s="74">
        <f>IFERROR(__xludf.DUMMYFUNCTION("""COMPUTED_VALUE"""),46189.0)</f>
        <v/>
      </c>
      <c r="B616" s="72">
        <f>IFERROR(__xludf.DUMMYFUNCTION("""COMPUTED_VALUE"""),350.0)</f>
        <v/>
      </c>
      <c r="C616" s="75">
        <f>IFERROR(__xludf.DUMMYFUNCTION("""COMPUTED_VALUE"""),200.0)</f>
        <v/>
      </c>
      <c r="D616" s="75">
        <f>IFERROR(__xludf.DUMMYFUNCTION("""COMPUTED_VALUE"""),"USD")</f>
        <v/>
      </c>
      <c r="E616" s="75">
        <f>IFERROR(__xludf.DUMMYFUNCTION("""COMPUTED_VALUE"""),"Efectivo USD")</f>
        <v/>
      </c>
      <c r="F616" s="75">
        <f>IFERROR(__xludf.DUMMYFUNCTION("""COMPUTED_VALUE"""),"Melany Madrid")</f>
        <v/>
      </c>
      <c r="G616" s="76">
        <f>IFERROR(__xludf.DUMMYFUNCTION("""COMPUTED_VALUE"""),"PEREZ DIAZ ANGEL DE DIOS")</f>
        <v/>
      </c>
      <c r="H616" s="76">
        <f>IFERROR(__xludf.DUMMYFUNCTION("""COMPUTED_VALUE"""),592.5163)</f>
        <v/>
      </c>
      <c r="I616" s="75" t="n"/>
      <c r="J616" s="77">
        <f>IFERROR(__xludf.DUMMYFUNCTION("""COMPUTED_VALUE"""),200.0)</f>
        <v/>
      </c>
      <c r="K616" s="4">
        <f>IFERROR(__xludf.DUMMYFUNCTION("""COMPUTED_VALUE"""),200.0)</f>
        <v/>
      </c>
      <c r="L616" s="77">
        <f>IFERROR(__xludf.DUMMYFUNCTION("""COMPUTED_VALUE"""),200.0)</f>
        <v/>
      </c>
      <c r="O616" s="72" t="n"/>
      <c r="S616" s="4" t="n"/>
    </row>
    <row r="617">
      <c r="A617" s="74">
        <f>IFERROR(__xludf.DUMMYFUNCTION("""COMPUTED_VALUE"""),46189.0)</f>
        <v/>
      </c>
      <c r="B617" s="72">
        <f>IFERROR(__xludf.DUMMYFUNCTION("""COMPUTED_VALUE"""),138.0)</f>
        <v/>
      </c>
      <c r="C617" s="75">
        <f>IFERROR(__xludf.DUMMYFUNCTION("""COMPUTED_VALUE"""),100.0)</f>
        <v/>
      </c>
      <c r="D617" s="75">
        <f>IFERROR(__xludf.DUMMYFUNCTION("""COMPUTED_VALUE"""),"USD")</f>
        <v/>
      </c>
      <c r="E617" s="75">
        <f>IFERROR(__xludf.DUMMYFUNCTION("""COMPUTED_VALUE"""),"Efectivo USD")</f>
        <v/>
      </c>
      <c r="F617" s="75">
        <f>IFERROR(__xludf.DUMMYFUNCTION("""COMPUTED_VALUE"""),"Benefit c.a")</f>
        <v/>
      </c>
      <c r="G617" s="76">
        <f>IFERROR(__xludf.DUMMYFUNCTION("""COMPUTED_VALUE"""),"PEREZ DIAZ ANGEL DE DIOS")</f>
        <v/>
      </c>
      <c r="H617" s="76">
        <f>IFERROR(__xludf.DUMMYFUNCTION("""COMPUTED_VALUE"""),592.5163)</f>
        <v/>
      </c>
      <c r="I617" s="75" t="n"/>
      <c r="J617" s="77">
        <f>IFERROR(__xludf.DUMMYFUNCTION("""COMPUTED_VALUE"""),100.0)</f>
        <v/>
      </c>
      <c r="K617" s="4">
        <f>IFERROR(__xludf.DUMMYFUNCTION("""COMPUTED_VALUE"""),100.0)</f>
        <v/>
      </c>
      <c r="L617" s="77">
        <f>IFERROR(__xludf.DUMMYFUNCTION("""COMPUTED_VALUE"""),100.0)</f>
        <v/>
      </c>
      <c r="O617" s="72" t="n"/>
      <c r="S617" s="4" t="n"/>
    </row>
    <row r="618">
      <c r="A618" s="74">
        <f>IFERROR(__xludf.DUMMYFUNCTION("""COMPUTED_VALUE"""),46189.0)</f>
        <v/>
      </c>
      <c r="B618" s="72">
        <f>IFERROR(__xludf.DUMMYFUNCTION("""COMPUTED_VALUE"""),49.0)</f>
        <v/>
      </c>
      <c r="C618" s="75">
        <f>IFERROR(__xludf.DUMMYFUNCTION("""COMPUTED_VALUE"""),100.0)</f>
        <v/>
      </c>
      <c r="D618" s="75">
        <f>IFERROR(__xludf.DUMMYFUNCTION("""COMPUTED_VALUE"""),"USD")</f>
        <v/>
      </c>
      <c r="E618" s="75">
        <f>IFERROR(__xludf.DUMMYFUNCTION("""COMPUTED_VALUE"""),"Efectivo USD")</f>
        <v/>
      </c>
      <c r="F618" s="75">
        <f>IFERROR(__xludf.DUMMYFUNCTION("""COMPUTED_VALUE"""),"Marlene Herrera")</f>
        <v/>
      </c>
      <c r="G618" s="76">
        <f>IFERROR(__xludf.DUMMYFUNCTION("""COMPUTED_VALUE"""),"PEREZ DIAZ ANGEL DE DIOS")</f>
        <v/>
      </c>
      <c r="H618" s="76">
        <f>IFERROR(__xludf.DUMMYFUNCTION("""COMPUTED_VALUE"""),592.5163)</f>
        <v/>
      </c>
      <c r="I618" s="75" t="n"/>
      <c r="J618" s="77">
        <f>IFERROR(__xludf.DUMMYFUNCTION("""COMPUTED_VALUE"""),100.0)</f>
        <v/>
      </c>
      <c r="K618" s="4">
        <f>IFERROR(__xludf.DUMMYFUNCTION("""COMPUTED_VALUE"""),100.0)</f>
        <v/>
      </c>
      <c r="L618" s="77">
        <f>IFERROR(__xludf.DUMMYFUNCTION("""COMPUTED_VALUE"""),100.0)</f>
        <v/>
      </c>
      <c r="O618" s="72" t="n"/>
      <c r="S618" s="4" t="n"/>
    </row>
    <row r="619">
      <c r="A619" s="74">
        <f>IFERROR(__xludf.DUMMYFUNCTION("""COMPUTED_VALUE"""),46189.0)</f>
        <v/>
      </c>
      <c r="B619" s="72">
        <f>IFERROR(__xludf.DUMMYFUNCTION("""COMPUTED_VALUE"""),126.0)</f>
        <v/>
      </c>
      <c r="C619" s="75">
        <f>IFERROR(__xludf.DUMMYFUNCTION("""COMPUTED_VALUE"""),360.0)</f>
        <v/>
      </c>
      <c r="D619" s="75">
        <f>IFERROR(__xludf.DUMMYFUNCTION("""COMPUTED_VALUE"""),"USD")</f>
        <v/>
      </c>
      <c r="E619" s="75">
        <f>IFERROR(__xludf.DUMMYFUNCTION("""COMPUTED_VALUE"""),"Efectivo USD")</f>
        <v/>
      </c>
      <c r="F619" s="75">
        <f>IFERROR(__xludf.DUMMYFUNCTION("""COMPUTED_VALUE"""),"Victor Ordaz")</f>
        <v/>
      </c>
      <c r="G619" s="76">
        <f>IFERROR(__xludf.DUMMYFUNCTION("""COMPUTED_VALUE"""),"BETANCOURT ROBRIGUEZ LUIS ENRRIQUE")</f>
        <v/>
      </c>
      <c r="H619" s="76">
        <f>IFERROR(__xludf.DUMMYFUNCTION("""COMPUTED_VALUE"""),592.5163)</f>
        <v/>
      </c>
      <c r="I619" s="75" t="n"/>
      <c r="J619" s="77">
        <f>IFERROR(__xludf.DUMMYFUNCTION("""COMPUTED_VALUE"""),360.0)</f>
        <v/>
      </c>
      <c r="K619" s="4">
        <f>IFERROR(__xludf.DUMMYFUNCTION("""COMPUTED_VALUE"""),360.0)</f>
        <v/>
      </c>
      <c r="L619" s="77">
        <f>IFERROR(__xludf.DUMMYFUNCTION("""COMPUTED_VALUE"""),360.0)</f>
        <v/>
      </c>
      <c r="O619" s="72" t="n"/>
      <c r="S619" s="4" t="n"/>
    </row>
    <row r="620">
      <c r="A620" s="74">
        <f>IFERROR(__xludf.DUMMYFUNCTION("""COMPUTED_VALUE"""),46189.0)</f>
        <v/>
      </c>
      <c r="B620" s="72">
        <f>IFERROR(__xludf.DUMMYFUNCTION("""COMPUTED_VALUE"""),177.0)</f>
        <v/>
      </c>
      <c r="C620" s="75">
        <f>IFERROR(__xludf.DUMMYFUNCTION("""COMPUTED_VALUE"""),50.0)</f>
        <v/>
      </c>
      <c r="D620" s="75">
        <f>IFERROR(__xludf.DUMMYFUNCTION("""COMPUTED_VALUE"""),"USD")</f>
        <v/>
      </c>
      <c r="E620" s="75">
        <f>IFERROR(__xludf.DUMMYFUNCTION("""COMPUTED_VALUE"""),"Efectivo USD")</f>
        <v/>
      </c>
      <c r="F620" s="75">
        <f>IFERROR(__xludf.DUMMYFUNCTION("""COMPUTED_VALUE"""),"Jhon Morales")</f>
        <v/>
      </c>
      <c r="G620" s="76">
        <f>IFERROR(__xludf.DUMMYFUNCTION("""COMPUTED_VALUE"""),"BETANCOURT ROBRIGUEZ LUIS ENRRIQUE")</f>
        <v/>
      </c>
      <c r="H620" s="76">
        <f>IFERROR(__xludf.DUMMYFUNCTION("""COMPUTED_VALUE"""),592.5163)</f>
        <v/>
      </c>
      <c r="I620" s="75">
        <f>IFERROR(__xludf.DUMMYFUNCTION("""COMPUTED_VALUE"""),796.53)</f>
        <v/>
      </c>
      <c r="J620" s="77">
        <f>IFERROR(__xludf.DUMMYFUNCTION("""COMPUTED_VALUE"""),50.0)</f>
        <v/>
      </c>
      <c r="K620" s="4">
        <f>IFERROR(__xludf.DUMMYFUNCTION("""COMPUTED_VALUE"""),50.0)</f>
        <v/>
      </c>
      <c r="L620" s="77">
        <f>IFERROR(__xludf.DUMMYFUNCTION("""COMPUTED_VALUE"""),50.0)</f>
        <v/>
      </c>
      <c r="O620" s="72" t="n"/>
      <c r="S620" s="4" t="n"/>
    </row>
    <row r="621">
      <c r="A621" s="74">
        <f>IFERROR(__xludf.DUMMYFUNCTION("""COMPUTED_VALUE"""),46190.0)</f>
        <v/>
      </c>
      <c r="B621" s="72">
        <f>IFERROR(__xludf.DUMMYFUNCTION("""COMPUTED_VALUE"""),93.0)</f>
        <v/>
      </c>
      <c r="C621" s="75">
        <f>IFERROR(__xludf.DUMMYFUNCTION("""COMPUTED_VALUE"""),28.0)</f>
        <v/>
      </c>
      <c r="D621" s="75">
        <f>IFERROR(__xludf.DUMMYFUNCTION("""COMPUTED_VALUE"""),"USD")</f>
        <v/>
      </c>
      <c r="E621" s="75">
        <f>IFERROR(__xludf.DUMMYFUNCTION("""COMPUTED_VALUE"""),"Efectivo USD")</f>
        <v/>
      </c>
      <c r="F621" s="75">
        <f>IFERROR(__xludf.DUMMYFUNCTION("""COMPUTED_VALUE"""),"Emprendimiento YSKRA")</f>
        <v/>
      </c>
      <c r="G621" s="76">
        <f>IFERROR(__xludf.DUMMYFUNCTION("""COMPUTED_VALUE"""),"PEREZ DIAZ ANGEL DE DIOS")</f>
        <v/>
      </c>
      <c r="H621" s="76">
        <f>IFERROR(__xludf.DUMMYFUNCTION("""COMPUTED_VALUE"""),596.7824)</f>
        <v/>
      </c>
      <c r="I621" s="75" t="n"/>
      <c r="J621" s="77">
        <f>IFERROR(__xludf.DUMMYFUNCTION("""COMPUTED_VALUE"""),28.0)</f>
        <v/>
      </c>
      <c r="K621" s="4">
        <f>IFERROR(__xludf.DUMMYFUNCTION("""COMPUTED_VALUE"""),28.0)</f>
        <v/>
      </c>
      <c r="L621" s="77">
        <f>IFERROR(__xludf.DUMMYFUNCTION("""COMPUTED_VALUE"""),28.0)</f>
        <v/>
      </c>
      <c r="O621" s="72" t="n"/>
      <c r="S621" s="4" t="n"/>
    </row>
    <row r="622">
      <c r="A622" s="74">
        <f>IFERROR(__xludf.DUMMYFUNCTION("""COMPUTED_VALUE"""),46190.0)</f>
        <v/>
      </c>
      <c r="B622" s="72">
        <f>IFERROR(__xludf.DUMMYFUNCTION("""COMPUTED_VALUE"""),248.0)</f>
        <v/>
      </c>
      <c r="C622" s="75">
        <f>IFERROR(__xludf.DUMMYFUNCTION("""COMPUTED_VALUE"""),32.0)</f>
        <v/>
      </c>
      <c r="D622" s="75">
        <f>IFERROR(__xludf.DUMMYFUNCTION("""COMPUTED_VALUE"""),"USD")</f>
        <v/>
      </c>
      <c r="E622" s="75">
        <f>IFERROR(__xludf.DUMMYFUNCTION("""COMPUTED_VALUE"""),"Efectivo USD")</f>
        <v/>
      </c>
      <c r="F622" s="75">
        <f>IFERROR(__xludf.DUMMYFUNCTION("""COMPUTED_VALUE"""),"Abraham almenar")</f>
        <v/>
      </c>
      <c r="G622" s="76">
        <f>IFERROR(__xludf.DUMMYFUNCTION("""COMPUTED_VALUE"""),"PEREZ DIAZ ANGEL DE DIOS")</f>
        <v/>
      </c>
      <c r="H622" s="76">
        <f>IFERROR(__xludf.DUMMYFUNCTION("""COMPUTED_VALUE"""),596.7824)</f>
        <v/>
      </c>
      <c r="I622" s="75" t="n"/>
      <c r="J622" s="77">
        <f>IFERROR(__xludf.DUMMYFUNCTION("""COMPUTED_VALUE"""),32.0)</f>
        <v/>
      </c>
      <c r="K622" s="4">
        <f>IFERROR(__xludf.DUMMYFUNCTION("""COMPUTED_VALUE"""),32.0)</f>
        <v/>
      </c>
      <c r="L622" s="77">
        <f>IFERROR(__xludf.DUMMYFUNCTION("""COMPUTED_VALUE"""),32.0)</f>
        <v/>
      </c>
      <c r="O622" s="72" t="n"/>
      <c r="S622" s="4" t="n"/>
    </row>
    <row r="623">
      <c r="A623" s="74">
        <f>IFERROR(__xludf.DUMMYFUNCTION("""COMPUTED_VALUE"""),46189.0)</f>
        <v/>
      </c>
      <c r="B623" s="72">
        <f>IFERROR(__xludf.DUMMYFUNCTION("""COMPUTED_VALUE"""),507.0)</f>
        <v/>
      </c>
      <c r="C623" s="75">
        <f>IFERROR(__xludf.DUMMYFUNCTION("""COMPUTED_VALUE"""),83567.0)</f>
        <v/>
      </c>
      <c r="D623" s="75">
        <f>IFERROR(__xludf.DUMMYFUNCTION("""COMPUTED_VALUE"""),"VES")</f>
        <v/>
      </c>
      <c r="E623" s="75">
        <f>IFERROR(__xludf.DUMMYFUNCTION("""COMPUTED_VALUE"""),"Bancamiga")</f>
        <v/>
      </c>
      <c r="F623" s="75">
        <f>IFERROR(__xludf.DUMMYFUNCTION("""COMPUTED_VALUE"""),"Sandra Katherine Quintero Crespo")</f>
        <v/>
      </c>
      <c r="G623" s="76">
        <f>IFERROR(__xludf.DUMMYFUNCTION("""COMPUTED_VALUE"""),"QUEVEDO BASTIDAS NEYKEL DAVID")</f>
        <v/>
      </c>
      <c r="H623" s="76">
        <f>IFERROR(__xludf.DUMMYFUNCTION("""COMPUTED_VALUE"""),592.5163)</f>
        <v/>
      </c>
      <c r="I623" s="75" t="n"/>
      <c r="J623" s="77">
        <f>IFERROR(__xludf.DUMMYFUNCTION("""COMPUTED_VALUE"""),141.03747019280314)</f>
        <v/>
      </c>
      <c r="K623" s="4">
        <f>IFERROR(__xludf.DUMMYFUNCTION("""COMPUTED_VALUE"""),0.0)</f>
        <v/>
      </c>
      <c r="L623" s="77">
        <f>IFERROR(__xludf.DUMMYFUNCTION("""COMPUTED_VALUE"""),141.03747019280314)</f>
        <v/>
      </c>
      <c r="O623" s="72" t="n"/>
      <c r="S623" s="4" t="n"/>
    </row>
    <row r="624">
      <c r="A624" s="74">
        <f>IFERROR(__xludf.DUMMYFUNCTION("""COMPUTED_VALUE"""),46190.0)</f>
        <v/>
      </c>
      <c r="B624" s="72">
        <f>IFERROR(__xludf.DUMMYFUNCTION("""COMPUTED_VALUE"""),574.0)</f>
        <v/>
      </c>
      <c r="C624" s="75">
        <f>IFERROR(__xludf.DUMMYFUNCTION("""COMPUTED_VALUE"""),140.0)</f>
        <v/>
      </c>
      <c r="D624" s="75">
        <f>IFERROR(__xludf.DUMMYFUNCTION("""COMPUTED_VALUE"""),"USD")</f>
        <v/>
      </c>
      <c r="E624" s="75">
        <f>IFERROR(__xludf.DUMMYFUNCTION("""COMPUTED_VALUE"""),"Efectivo USD")</f>
        <v/>
      </c>
      <c r="F624" s="75">
        <f>IFERROR(__xludf.DUMMYFUNCTION("""COMPUTED_VALUE"""),"Katiuska Alejandra Curvelo")</f>
        <v/>
      </c>
      <c r="G624" s="76">
        <f>IFERROR(__xludf.DUMMYFUNCTION("""COMPUTED_VALUE"""),"GRIMAN DIAZ HECTOR EDUARDO")</f>
        <v/>
      </c>
      <c r="H624" s="76">
        <f>IFERROR(__xludf.DUMMYFUNCTION("""COMPUTED_VALUE"""),596.7824)</f>
        <v/>
      </c>
      <c r="I624" s="75" t="n"/>
      <c r="J624" s="77">
        <f>IFERROR(__xludf.DUMMYFUNCTION("""COMPUTED_VALUE"""),140.0)</f>
        <v/>
      </c>
      <c r="K624" s="4">
        <f>IFERROR(__xludf.DUMMYFUNCTION("""COMPUTED_VALUE"""),140.0)</f>
        <v/>
      </c>
      <c r="L624" s="77">
        <f>IFERROR(__xludf.DUMMYFUNCTION("""COMPUTED_VALUE"""),140.0)</f>
        <v/>
      </c>
      <c r="O624" s="72" t="n"/>
      <c r="S624" s="4" t="n"/>
    </row>
    <row r="625">
      <c r="A625" s="74">
        <f>IFERROR(__xludf.DUMMYFUNCTION("""COMPUTED_VALUE"""),46190.0)</f>
        <v/>
      </c>
      <c r="B625" s="72">
        <f>IFERROR(__xludf.DUMMYFUNCTION("""COMPUTED_VALUE"""),355.0)</f>
        <v/>
      </c>
      <c r="C625" s="75">
        <f>IFERROR(__xludf.DUMMYFUNCTION("""COMPUTED_VALUE"""),120.0)</f>
        <v/>
      </c>
      <c r="D625" s="75">
        <f>IFERROR(__xludf.DUMMYFUNCTION("""COMPUTED_VALUE"""),"USD")</f>
        <v/>
      </c>
      <c r="E625" s="75">
        <f>IFERROR(__xludf.DUMMYFUNCTION("""COMPUTED_VALUE"""),"Efectivo USD")</f>
        <v/>
      </c>
      <c r="F625" s="75">
        <f>IFERROR(__xludf.DUMMYFUNCTION("""COMPUTED_VALUE"""),"DIADOMHAN AUTOMOTRIZ, C.A.")</f>
        <v/>
      </c>
      <c r="G625" s="76">
        <f>IFERROR(__xludf.DUMMYFUNCTION("""COMPUTED_VALUE"""),"TORO ARDILES DAVID JOSE")</f>
        <v/>
      </c>
      <c r="H625" s="76">
        <f>IFERROR(__xludf.DUMMYFUNCTION("""COMPUTED_VALUE"""),596.7824)</f>
        <v/>
      </c>
      <c r="I625" s="75" t="n"/>
      <c r="J625" s="77">
        <f>IFERROR(__xludf.DUMMYFUNCTION("""COMPUTED_VALUE"""),120.0)</f>
        <v/>
      </c>
      <c r="K625" s="4">
        <f>IFERROR(__xludf.DUMMYFUNCTION("""COMPUTED_VALUE"""),120.0)</f>
        <v/>
      </c>
      <c r="L625" s="77">
        <f>IFERROR(__xludf.DUMMYFUNCTION("""COMPUTED_VALUE"""),120.0)</f>
        <v/>
      </c>
      <c r="O625" s="72" t="n"/>
      <c r="S625" s="4" t="n"/>
    </row>
    <row r="626">
      <c r="A626" s="74">
        <f>IFERROR(__xludf.DUMMYFUNCTION("""COMPUTED_VALUE"""),46190.0)</f>
        <v/>
      </c>
      <c r="B626" s="72">
        <f>IFERROR(__xludf.DUMMYFUNCTION("""COMPUTED_VALUE"""),422.0)</f>
        <v/>
      </c>
      <c r="C626" s="75">
        <f>IFERROR(__xludf.DUMMYFUNCTION("""COMPUTED_VALUE"""),66.0)</f>
        <v/>
      </c>
      <c r="D626" s="75">
        <f>IFERROR(__xludf.DUMMYFUNCTION("""COMPUTED_VALUE"""),"USD")</f>
        <v/>
      </c>
      <c r="E626" s="75">
        <f>IFERROR(__xludf.DUMMYFUNCTION("""COMPUTED_VALUE"""),"Efectivo USD")</f>
        <v/>
      </c>
      <c r="F626" s="75">
        <f>IFERROR(__xludf.DUMMYFUNCTION("""COMPUTED_VALUE"""),"INVERSIONES R&amp;C 1817, c.a.")</f>
        <v/>
      </c>
      <c r="G626" s="76">
        <f>IFERROR(__xludf.DUMMYFUNCTION("""COMPUTED_VALUE"""),"TORO ARDILES DAVID JOSE")</f>
        <v/>
      </c>
      <c r="H626" s="76">
        <f>IFERROR(__xludf.DUMMYFUNCTION("""COMPUTED_VALUE"""),596.7824)</f>
        <v/>
      </c>
      <c r="I626" s="75" t="n"/>
      <c r="J626" s="77">
        <f>IFERROR(__xludf.DUMMYFUNCTION("""COMPUTED_VALUE"""),66.0)</f>
        <v/>
      </c>
      <c r="K626" s="4">
        <f>IFERROR(__xludf.DUMMYFUNCTION("""COMPUTED_VALUE"""),66.0)</f>
        <v/>
      </c>
      <c r="L626" s="77">
        <f>IFERROR(__xludf.DUMMYFUNCTION("""COMPUTED_VALUE"""),66.0)</f>
        <v/>
      </c>
      <c r="O626" s="72" t="n"/>
      <c r="S626" s="4" t="n"/>
    </row>
    <row r="627">
      <c r="A627" s="74">
        <f>IFERROR(__xludf.DUMMYFUNCTION("""COMPUTED_VALUE"""),46191.0)</f>
        <v/>
      </c>
      <c r="B627" s="72">
        <f>IFERROR(__xludf.DUMMYFUNCTION("""COMPUTED_VALUE"""),434.0)</f>
        <v/>
      </c>
      <c r="C627" s="75">
        <f>IFERROR(__xludf.DUMMYFUNCTION("""COMPUTED_VALUE"""),68.0)</f>
        <v/>
      </c>
      <c r="D627" s="75">
        <f>IFERROR(__xludf.DUMMYFUNCTION("""COMPUTED_VALUE"""),"USD")</f>
        <v/>
      </c>
      <c r="E627" s="75">
        <f>IFERROR(__xludf.DUMMYFUNCTION("""COMPUTED_VALUE"""),"Efectivo USD")</f>
        <v/>
      </c>
      <c r="F627" s="75">
        <f>IFERROR(__xludf.DUMMYFUNCTION("""COMPUTED_VALUE"""),"EMPRENDIMIENTO FRANCISCO VEGAS 3")</f>
        <v/>
      </c>
      <c r="G627" s="76">
        <f>IFERROR(__xludf.DUMMYFUNCTION("""COMPUTED_VALUE"""),"TORO ARDILES DAVID JOSE")</f>
        <v/>
      </c>
      <c r="H627" s="76">
        <f>IFERROR(__xludf.DUMMYFUNCTION("""COMPUTED_VALUE"""),602.3324)</f>
        <v/>
      </c>
      <c r="I627" s="75" t="n"/>
      <c r="J627" s="77">
        <f>IFERROR(__xludf.DUMMYFUNCTION("""COMPUTED_VALUE"""),68.0)</f>
        <v/>
      </c>
      <c r="K627" s="4">
        <f>IFERROR(__xludf.DUMMYFUNCTION("""COMPUTED_VALUE"""),68.0)</f>
        <v/>
      </c>
      <c r="L627" s="77">
        <f>IFERROR(__xludf.DUMMYFUNCTION("""COMPUTED_VALUE"""),68.0)</f>
        <v/>
      </c>
      <c r="O627" s="72" t="n"/>
      <c r="S627" s="4" t="n"/>
    </row>
    <row r="628">
      <c r="A628" s="74">
        <f>IFERROR(__xludf.DUMMYFUNCTION("""COMPUTED_VALUE"""),46191.0)</f>
        <v/>
      </c>
      <c r="B628" s="72">
        <f>IFERROR(__xludf.DUMMYFUNCTION("""COMPUTED_VALUE"""),257.0)</f>
        <v/>
      </c>
      <c r="C628" s="75">
        <f>IFERROR(__xludf.DUMMYFUNCTION("""COMPUTED_VALUE"""),100.0)</f>
        <v/>
      </c>
      <c r="D628" s="75">
        <f>IFERROR(__xludf.DUMMYFUNCTION("""COMPUTED_VALUE"""),"USD")</f>
        <v/>
      </c>
      <c r="E628" s="75">
        <f>IFERROR(__xludf.DUMMYFUNCTION("""COMPUTED_VALUE"""),"Efectivo USD")</f>
        <v/>
      </c>
      <c r="F628" s="75">
        <f>IFERROR(__xludf.DUMMYFUNCTION("""COMPUTED_VALUE"""),"AUTOREPUESTOS SION C.A.")</f>
        <v/>
      </c>
      <c r="G628" s="76">
        <f>IFERROR(__xludf.DUMMYFUNCTION("""COMPUTED_VALUE"""),"MARTINEZ MONTES JEFFREY ENRIQUE")</f>
        <v/>
      </c>
      <c r="H628" s="76">
        <f>IFERROR(__xludf.DUMMYFUNCTION("""COMPUTED_VALUE"""),602.3324)</f>
        <v/>
      </c>
      <c r="I628" s="75" t="n"/>
      <c r="J628" s="77">
        <f>IFERROR(__xludf.DUMMYFUNCTION("""COMPUTED_VALUE"""),100.0)</f>
        <v/>
      </c>
      <c r="K628" s="4">
        <f>IFERROR(__xludf.DUMMYFUNCTION("""COMPUTED_VALUE"""),100.0)</f>
        <v/>
      </c>
      <c r="L628" s="77">
        <f>IFERROR(__xludf.DUMMYFUNCTION("""COMPUTED_VALUE"""),100.0)</f>
        <v/>
      </c>
      <c r="O628" s="72" t="n"/>
      <c r="S628" s="4" t="n"/>
    </row>
    <row r="629">
      <c r="A629" s="74">
        <f>IFERROR(__xludf.DUMMYFUNCTION("""COMPUTED_VALUE"""),46191.0)</f>
        <v/>
      </c>
      <c r="B629" s="72">
        <f>IFERROR(__xludf.DUMMYFUNCTION("""COMPUTED_VALUE"""),243.0)</f>
        <v/>
      </c>
      <c r="C629" s="75">
        <f>IFERROR(__xludf.DUMMYFUNCTION("""COMPUTED_VALUE"""),30000.0)</f>
        <v/>
      </c>
      <c r="D629" s="75">
        <f>IFERROR(__xludf.DUMMYFUNCTION("""COMPUTED_VALUE"""),"VES")</f>
        <v/>
      </c>
      <c r="E629" s="75">
        <f>IFERROR(__xludf.DUMMYFUNCTION("""COMPUTED_VALUE"""),"Bancamiga")</f>
        <v/>
      </c>
      <c r="F629" s="75">
        <f>IFERROR(__xludf.DUMMYFUNCTION("""COMPUTED_VALUE"""),"Cauchera William 2018, C.A")</f>
        <v/>
      </c>
      <c r="G629" s="76">
        <f>IFERROR(__xludf.DUMMYFUNCTION("""COMPUTED_VALUE"""),"MARTINEZ MONTES JEFFREY ENRIQUE")</f>
        <v/>
      </c>
      <c r="H629" s="76">
        <f>IFERROR(__xludf.DUMMYFUNCTION("""COMPUTED_VALUE"""),602.3324)</f>
        <v/>
      </c>
      <c r="I629" s="75" t="n"/>
      <c r="J629" s="77">
        <f>IFERROR(__xludf.DUMMYFUNCTION("""COMPUTED_VALUE"""),49.80638597558424)</f>
        <v/>
      </c>
      <c r="K629" s="4">
        <f>IFERROR(__xludf.DUMMYFUNCTION("""COMPUTED_VALUE"""),0.0)</f>
        <v/>
      </c>
      <c r="L629" s="77">
        <f>IFERROR(__xludf.DUMMYFUNCTION("""COMPUTED_VALUE"""),49.80638597558424)</f>
        <v/>
      </c>
      <c r="O629" s="72" t="n"/>
      <c r="S629" s="4" t="n"/>
    </row>
    <row r="630">
      <c r="A630" s="74">
        <f>IFERROR(__xludf.DUMMYFUNCTION("""COMPUTED_VALUE"""),46191.0)</f>
        <v/>
      </c>
      <c r="B630" s="72">
        <f>IFERROR(__xludf.DUMMYFUNCTION("""COMPUTED_VALUE"""),265.0)</f>
        <v/>
      </c>
      <c r="C630" s="75">
        <f>IFERROR(__xludf.DUMMYFUNCTION("""COMPUTED_VALUE"""),15.0)</f>
        <v/>
      </c>
      <c r="D630" s="75">
        <f>IFERROR(__xludf.DUMMYFUNCTION("""COMPUTED_VALUE"""),"USD")</f>
        <v/>
      </c>
      <c r="E630" s="75">
        <f>IFERROR(__xludf.DUMMYFUNCTION("""COMPUTED_VALUE"""),"Efectivo USD")</f>
        <v/>
      </c>
      <c r="F630" s="75">
        <f>IFERROR(__xludf.DUMMYFUNCTION("""COMPUTED_VALUE"""),"Repuestos Guia Dios Nuestro Camino,c.a.")</f>
        <v/>
      </c>
      <c r="G630" s="76">
        <f>IFERROR(__xludf.DUMMYFUNCTION("""COMPUTED_VALUE"""),"QUEVEDO BASTIDAS NEYKEL DAVID")</f>
        <v/>
      </c>
      <c r="H630" s="76">
        <f>IFERROR(__xludf.DUMMYFUNCTION("""COMPUTED_VALUE"""),602.3324)</f>
        <v/>
      </c>
      <c r="I630" s="75" t="n"/>
      <c r="J630" s="77">
        <f>IFERROR(__xludf.DUMMYFUNCTION("""COMPUTED_VALUE"""),15.0)</f>
        <v/>
      </c>
      <c r="K630" s="4">
        <f>IFERROR(__xludf.DUMMYFUNCTION("""COMPUTED_VALUE"""),15.0)</f>
        <v/>
      </c>
      <c r="L630" s="77">
        <f>IFERROR(__xludf.DUMMYFUNCTION("""COMPUTED_VALUE"""),15.0)</f>
        <v/>
      </c>
      <c r="O630" s="72" t="n"/>
      <c r="S630" s="4" t="n"/>
    </row>
    <row r="631">
      <c r="A631" s="74">
        <f>IFERROR(__xludf.DUMMYFUNCTION("""COMPUTED_VALUE"""),46191.0)</f>
        <v/>
      </c>
      <c r="B631" s="72">
        <f>IFERROR(__xludf.DUMMYFUNCTION("""COMPUTED_VALUE"""),264.0)</f>
        <v/>
      </c>
      <c r="C631" s="75">
        <f>IFERROR(__xludf.DUMMYFUNCTION("""COMPUTED_VALUE"""),20.0)</f>
        <v/>
      </c>
      <c r="D631" s="75">
        <f>IFERROR(__xludf.DUMMYFUNCTION("""COMPUTED_VALUE"""),"USD")</f>
        <v/>
      </c>
      <c r="E631" s="75">
        <f>IFERROR(__xludf.DUMMYFUNCTION("""COMPUTED_VALUE"""),"Efectivo USD")</f>
        <v/>
      </c>
      <c r="F631" s="75">
        <f>IFERROR(__xludf.DUMMYFUNCTION("""COMPUTED_VALUE"""),"Inversiones Los compadres 7686, c.a.")</f>
        <v/>
      </c>
      <c r="G631" s="76">
        <f>IFERROR(__xludf.DUMMYFUNCTION("""COMPUTED_VALUE"""),"QUEVEDO BASTIDAS NEYKEL DAVID")</f>
        <v/>
      </c>
      <c r="H631" s="76">
        <f>IFERROR(__xludf.DUMMYFUNCTION("""COMPUTED_VALUE"""),602.3324)</f>
        <v/>
      </c>
      <c r="I631" s="75" t="n"/>
      <c r="J631" s="77">
        <f>IFERROR(__xludf.DUMMYFUNCTION("""COMPUTED_VALUE"""),20.0)</f>
        <v/>
      </c>
      <c r="K631" s="4">
        <f>IFERROR(__xludf.DUMMYFUNCTION("""COMPUTED_VALUE"""),20.0)</f>
        <v/>
      </c>
      <c r="L631" s="77">
        <f>IFERROR(__xludf.DUMMYFUNCTION("""COMPUTED_VALUE"""),20.0)</f>
        <v/>
      </c>
      <c r="O631" s="72" t="n"/>
      <c r="S631" s="4" t="n"/>
    </row>
    <row r="632">
      <c r="A632" s="74">
        <f>IFERROR(__xludf.DUMMYFUNCTION("""COMPUTED_VALUE"""),46191.0)</f>
        <v/>
      </c>
      <c r="B632" s="72">
        <f>IFERROR(__xludf.DUMMYFUNCTION("""COMPUTED_VALUE"""),475.0)</f>
        <v/>
      </c>
      <c r="C632" s="75">
        <f>IFERROR(__xludf.DUMMYFUNCTION("""COMPUTED_VALUE"""),20.0)</f>
        <v/>
      </c>
      <c r="D632" s="75">
        <f>IFERROR(__xludf.DUMMYFUNCTION("""COMPUTED_VALUE"""),"USD")</f>
        <v/>
      </c>
      <c r="E632" s="75">
        <f>IFERROR(__xludf.DUMMYFUNCTION("""COMPUTED_VALUE"""),"Efectivo USD")</f>
        <v/>
      </c>
      <c r="F632" s="75">
        <f>IFERROR(__xludf.DUMMYFUNCTION("""COMPUTED_VALUE"""),"Emprendimiento Eduardo Pérez 6")</f>
        <v/>
      </c>
      <c r="G632" s="76">
        <f>IFERROR(__xludf.DUMMYFUNCTION("""COMPUTED_VALUE"""),"QUEVEDO BASTIDAS NEYKEL DAVID")</f>
        <v/>
      </c>
      <c r="H632" s="76">
        <f>IFERROR(__xludf.DUMMYFUNCTION("""COMPUTED_VALUE"""),602.3324)</f>
        <v/>
      </c>
      <c r="I632" s="75" t="n"/>
      <c r="J632" s="77">
        <f>IFERROR(__xludf.DUMMYFUNCTION("""COMPUTED_VALUE"""),20.0)</f>
        <v/>
      </c>
      <c r="K632" s="4">
        <f>IFERROR(__xludf.DUMMYFUNCTION("""COMPUTED_VALUE"""),20.0)</f>
        <v/>
      </c>
      <c r="L632" s="77">
        <f>IFERROR(__xludf.DUMMYFUNCTION("""COMPUTED_VALUE"""),20.0)</f>
        <v/>
      </c>
      <c r="O632" s="72" t="n"/>
      <c r="S632" s="4" t="n"/>
    </row>
    <row r="633">
      <c r="A633" s="74">
        <f>IFERROR(__xludf.DUMMYFUNCTION("""COMPUTED_VALUE"""),46191.0)</f>
        <v/>
      </c>
      <c r="B633" s="72">
        <f>IFERROR(__xludf.DUMMYFUNCTION("""COMPUTED_VALUE"""),36.0)</f>
        <v/>
      </c>
      <c r="C633" s="75">
        <f>IFERROR(__xludf.DUMMYFUNCTION("""COMPUTED_VALUE"""),27928.95)</f>
        <v/>
      </c>
      <c r="D633" s="75">
        <f>IFERROR(__xludf.DUMMYFUNCTION("""COMPUTED_VALUE"""),"VES")</f>
        <v/>
      </c>
      <c r="E633" s="75">
        <f>IFERROR(__xludf.DUMMYFUNCTION("""COMPUTED_VALUE"""),"Bancamiga")</f>
        <v/>
      </c>
      <c r="F633" s="75">
        <f>IFERROR(__xludf.DUMMYFUNCTION("""COMPUTED_VALUE"""),"inversiones El Gran Charles C.A")</f>
        <v/>
      </c>
      <c r="G633" s="76">
        <f>IFERROR(__xludf.DUMMYFUNCTION("""COMPUTED_VALUE"""),"GRIMAN DIAZ HECTOR EDUARDO")</f>
        <v/>
      </c>
      <c r="H633" s="76">
        <f>IFERROR(__xludf.DUMMYFUNCTION("""COMPUTED_VALUE"""),602.3324)</f>
        <v/>
      </c>
      <c r="I633" s="75" t="n"/>
      <c r="J633" s="77">
        <f>IFERROR(__xludf.DUMMYFUNCTION("""COMPUTED_VALUE"""),46.36800211975979)</f>
        <v/>
      </c>
      <c r="K633" s="4">
        <f>IFERROR(__xludf.DUMMYFUNCTION("""COMPUTED_VALUE"""),0.0)</f>
        <v/>
      </c>
      <c r="L633" s="77">
        <f>IFERROR(__xludf.DUMMYFUNCTION("""COMPUTED_VALUE"""),46.36800211975979)</f>
        <v/>
      </c>
      <c r="O633" s="72" t="n"/>
      <c r="S633" s="4" t="n"/>
    </row>
    <row r="634">
      <c r="A634" s="74">
        <f>IFERROR(__xludf.DUMMYFUNCTION("""COMPUTED_VALUE"""),46192.0)</f>
        <v/>
      </c>
      <c r="B634" s="72">
        <f>IFERROR(__xludf.DUMMYFUNCTION("""COMPUTED_VALUE"""),209.0)</f>
        <v/>
      </c>
      <c r="C634" s="75">
        <f>IFERROR(__xludf.DUMMYFUNCTION("""COMPUTED_VALUE"""),50.0)</f>
        <v/>
      </c>
      <c r="D634" s="75">
        <f>IFERROR(__xludf.DUMMYFUNCTION("""COMPUTED_VALUE"""),"USD")</f>
        <v/>
      </c>
      <c r="E634" s="75">
        <f>IFERROR(__xludf.DUMMYFUNCTION("""COMPUTED_VALUE"""),"Efectivo USD")</f>
        <v/>
      </c>
      <c r="F634" s="75">
        <f>IFERROR(__xludf.DUMMYFUNCTION("""COMPUTED_VALUE"""),"Inversiones Mirelkys C.A")</f>
        <v/>
      </c>
      <c r="G634" s="76">
        <f>IFERROR(__xludf.DUMMYFUNCTION("""COMPUTED_VALUE"""),"GRIMAN DIAZ HECTOR EDUARDO")</f>
        <v/>
      </c>
      <c r="H634" s="76">
        <f>IFERROR(__xludf.DUMMYFUNCTION("""COMPUTED_VALUE"""),607.3919)</f>
        <v/>
      </c>
      <c r="I634" s="75" t="n"/>
      <c r="J634" s="77">
        <f>IFERROR(__xludf.DUMMYFUNCTION("""COMPUTED_VALUE"""),50.0)</f>
        <v/>
      </c>
      <c r="K634" s="4">
        <f>IFERROR(__xludf.DUMMYFUNCTION("""COMPUTED_VALUE"""),50.0)</f>
        <v/>
      </c>
      <c r="L634" s="77">
        <f>IFERROR(__xludf.DUMMYFUNCTION("""COMPUTED_VALUE"""),50.0)</f>
        <v/>
      </c>
      <c r="O634" s="72" t="n"/>
      <c r="S634" s="4" t="n"/>
    </row>
    <row r="635">
      <c r="A635" s="74">
        <f>IFERROR(__xludf.DUMMYFUNCTION("""COMPUTED_VALUE"""),46192.0)</f>
        <v/>
      </c>
      <c r="B635" s="72">
        <f>IFERROR(__xludf.DUMMYFUNCTION("""COMPUTED_VALUE"""),44.0)</f>
        <v/>
      </c>
      <c r="C635" s="75">
        <f>IFERROR(__xludf.DUMMYFUNCTION("""COMPUTED_VALUE"""),100.0)</f>
        <v/>
      </c>
      <c r="D635" s="75">
        <f>IFERROR(__xludf.DUMMYFUNCTION("""COMPUTED_VALUE"""),"USD")</f>
        <v/>
      </c>
      <c r="E635" s="75">
        <f>IFERROR(__xludf.DUMMYFUNCTION("""COMPUTED_VALUE"""),"Efectivo USD")</f>
        <v/>
      </c>
      <c r="F635" s="75">
        <f>IFERROR(__xludf.DUMMYFUNCTION("""COMPUTED_VALUE"""),"Comercializadora Garabote")</f>
        <v/>
      </c>
      <c r="G635" s="76">
        <f>IFERROR(__xludf.DUMMYFUNCTION("""COMPUTED_VALUE"""),"PEREZ DIAZ ANGEL DE DIOS")</f>
        <v/>
      </c>
      <c r="H635" s="76">
        <f>IFERROR(__xludf.DUMMYFUNCTION("""COMPUTED_VALUE"""),607.3919)</f>
        <v/>
      </c>
      <c r="I635" s="75" t="n"/>
      <c r="J635" s="77">
        <f>IFERROR(__xludf.DUMMYFUNCTION("""COMPUTED_VALUE"""),100.0)</f>
        <v/>
      </c>
      <c r="K635" s="4">
        <f>IFERROR(__xludf.DUMMYFUNCTION("""COMPUTED_VALUE"""),100.0)</f>
        <v/>
      </c>
      <c r="L635" s="77">
        <f>IFERROR(__xludf.DUMMYFUNCTION("""COMPUTED_VALUE"""),100.0)</f>
        <v/>
      </c>
      <c r="O635" s="72" t="n"/>
      <c r="S635" s="4" t="n"/>
    </row>
    <row r="636">
      <c r="A636" s="74">
        <f>IFERROR(__xludf.DUMMYFUNCTION("""COMPUTED_VALUE"""),46192.0)</f>
        <v/>
      </c>
      <c r="B636" s="72">
        <f>IFERROR(__xludf.DUMMYFUNCTION("""COMPUTED_VALUE"""),27.0)</f>
        <v/>
      </c>
      <c r="C636" s="75">
        <f>IFERROR(__xludf.DUMMYFUNCTION("""COMPUTED_VALUE"""),20.0)</f>
        <v/>
      </c>
      <c r="D636" s="75">
        <f>IFERROR(__xludf.DUMMYFUNCTION("""COMPUTED_VALUE"""),"USD")</f>
        <v/>
      </c>
      <c r="E636" s="75">
        <f>IFERROR(__xludf.DUMMYFUNCTION("""COMPUTED_VALUE"""),"Efectivo USD")</f>
        <v/>
      </c>
      <c r="F636" s="75">
        <f>IFERROR(__xludf.DUMMYFUNCTION("""COMPUTED_VALUE"""),"Moises Alejandro Mares")</f>
        <v/>
      </c>
      <c r="G636" s="76">
        <f>IFERROR(__xludf.DUMMYFUNCTION("""COMPUTED_VALUE"""),"GRIMAN DIAZ HECTOR EDUARDO")</f>
        <v/>
      </c>
      <c r="H636" s="76">
        <f>IFERROR(__xludf.DUMMYFUNCTION("""COMPUTED_VALUE"""),607.3919)</f>
        <v/>
      </c>
      <c r="I636" s="75" t="n"/>
      <c r="J636" s="77">
        <f>IFERROR(__xludf.DUMMYFUNCTION("""COMPUTED_VALUE"""),20.0)</f>
        <v/>
      </c>
      <c r="K636" s="4">
        <f>IFERROR(__xludf.DUMMYFUNCTION("""COMPUTED_VALUE"""),20.0)</f>
        <v/>
      </c>
      <c r="L636" s="77">
        <f>IFERROR(__xludf.DUMMYFUNCTION("""COMPUTED_VALUE"""),20.0)</f>
        <v/>
      </c>
      <c r="O636" s="72" t="n"/>
      <c r="S636" s="4" t="n"/>
    </row>
    <row r="637">
      <c r="A637" s="74">
        <f>IFERROR(__xludf.DUMMYFUNCTION("""COMPUTED_VALUE"""),46192.0)</f>
        <v/>
      </c>
      <c r="B637" s="72">
        <f>IFERROR(__xludf.DUMMYFUNCTION("""COMPUTED_VALUE"""),503.0)</f>
        <v/>
      </c>
      <c r="C637" s="75">
        <f>IFERROR(__xludf.DUMMYFUNCTION("""COMPUTED_VALUE"""),61390.52)</f>
        <v/>
      </c>
      <c r="D637" s="75">
        <f>IFERROR(__xludf.DUMMYFUNCTION("""COMPUTED_VALUE"""),"VES")</f>
        <v/>
      </c>
      <c r="E637" s="75">
        <f>IFERROR(__xludf.DUMMYFUNCTION("""COMPUTED_VALUE"""),"Bancamiga")</f>
        <v/>
      </c>
      <c r="F637" s="75">
        <f>IFERROR(__xludf.DUMMYFUNCTION("""COMPUTED_VALUE"""),"Inversiones maxgad &amp; ef")</f>
        <v/>
      </c>
      <c r="G637" s="76">
        <f>IFERROR(__xludf.DUMMYFUNCTION("""COMPUTED_VALUE"""),"PEREZ DIAZ ANGEL DE DIOS")</f>
        <v/>
      </c>
      <c r="H637" s="76">
        <f>IFERROR(__xludf.DUMMYFUNCTION("""COMPUTED_VALUE"""),607.3919)</f>
        <v/>
      </c>
      <c r="I637" s="75" t="n"/>
      <c r="J637" s="77">
        <f>IFERROR(__xludf.DUMMYFUNCTION("""COMPUTED_VALUE"""),101.07233896270266)</f>
        <v/>
      </c>
      <c r="K637" s="4">
        <f>IFERROR(__xludf.DUMMYFUNCTION("""COMPUTED_VALUE"""),0.0)</f>
        <v/>
      </c>
      <c r="L637" s="77">
        <f>IFERROR(__xludf.DUMMYFUNCTION("""COMPUTED_VALUE"""),101.07233896270266)</f>
        <v/>
      </c>
      <c r="O637" s="72" t="n"/>
      <c r="S637" s="4" t="n"/>
    </row>
    <row r="638">
      <c r="A638" s="74">
        <f>IFERROR(__xludf.DUMMYFUNCTION("""COMPUTED_VALUE"""),46192.0)</f>
        <v/>
      </c>
      <c r="B638" s="72">
        <f>IFERROR(__xludf.DUMMYFUNCTION("""COMPUTED_VALUE"""),429.0)</f>
        <v/>
      </c>
      <c r="C638" s="75">
        <f>IFERROR(__xludf.DUMMYFUNCTION("""COMPUTED_VALUE"""),100.0)</f>
        <v/>
      </c>
      <c r="D638" s="75">
        <f>IFERROR(__xludf.DUMMYFUNCTION("""COMPUTED_VALUE"""),"USD")</f>
        <v/>
      </c>
      <c r="E638" s="75">
        <f>IFERROR(__xludf.DUMMYFUNCTION("""COMPUTED_VALUE"""),"Efectivo USD")</f>
        <v/>
      </c>
      <c r="F638" s="75">
        <f>IFERROR(__xludf.DUMMYFUNCTION("""COMPUTED_VALUE"""),"INVERSIONES SM 2191, C.A.")</f>
        <v/>
      </c>
      <c r="G638" s="76">
        <f>IFERROR(__xludf.DUMMYFUNCTION("""COMPUTED_VALUE"""),"TORO ARDILES DAVID JOSE")</f>
        <v/>
      </c>
      <c r="H638" s="76">
        <f>IFERROR(__xludf.DUMMYFUNCTION("""COMPUTED_VALUE"""),607.3919)</f>
        <v/>
      </c>
      <c r="I638" s="75" t="n"/>
      <c r="J638" s="77">
        <f>IFERROR(__xludf.DUMMYFUNCTION("""COMPUTED_VALUE"""),100.0)</f>
        <v/>
      </c>
      <c r="K638" s="4">
        <f>IFERROR(__xludf.DUMMYFUNCTION("""COMPUTED_VALUE"""),100.0)</f>
        <v/>
      </c>
      <c r="L638" s="77">
        <f>IFERROR(__xludf.DUMMYFUNCTION("""COMPUTED_VALUE"""),100.0)</f>
        <v/>
      </c>
      <c r="O638" s="72" t="n"/>
      <c r="S638" s="4" t="n"/>
    </row>
    <row r="639">
      <c r="A639" s="74">
        <f>IFERROR(__xludf.DUMMYFUNCTION("""COMPUTED_VALUE"""),46192.0)</f>
        <v/>
      </c>
      <c r="B639" s="72">
        <f>IFERROR(__xludf.DUMMYFUNCTION("""COMPUTED_VALUE"""),439.0)</f>
        <v/>
      </c>
      <c r="C639" s="75">
        <f>IFERROR(__xludf.DUMMYFUNCTION("""COMPUTED_VALUE"""),40.0)</f>
        <v/>
      </c>
      <c r="D639" s="75">
        <f>IFERROR(__xludf.DUMMYFUNCTION("""COMPUTED_VALUE"""),"USD")</f>
        <v/>
      </c>
      <c r="E639" s="75">
        <f>IFERROR(__xludf.DUMMYFUNCTION("""COMPUTED_VALUE"""),"Efectivo USD")</f>
        <v/>
      </c>
      <c r="F639" s="75">
        <f>IFERROR(__xludf.DUMMYFUNCTION("""COMPUTED_VALUE"""),"MOTOREPUESTOS EL GUANÁBANO YRM C.A.")</f>
        <v/>
      </c>
      <c r="G639" s="76">
        <f>IFERROR(__xludf.DUMMYFUNCTION("""COMPUTED_VALUE"""),"TORO ARDILES DAVID JOSE")</f>
        <v/>
      </c>
      <c r="H639" s="76">
        <f>IFERROR(__xludf.DUMMYFUNCTION("""COMPUTED_VALUE"""),607.3919)</f>
        <v/>
      </c>
      <c r="I639" s="75" t="n"/>
      <c r="J639" s="77">
        <f>IFERROR(__xludf.DUMMYFUNCTION("""COMPUTED_VALUE"""),40.0)</f>
        <v/>
      </c>
      <c r="K639" s="4">
        <f>IFERROR(__xludf.DUMMYFUNCTION("""COMPUTED_VALUE"""),40.0)</f>
        <v/>
      </c>
      <c r="L639" s="77">
        <f>IFERROR(__xludf.DUMMYFUNCTION("""COMPUTED_VALUE"""),40.0)</f>
        <v/>
      </c>
      <c r="O639" s="72" t="n"/>
      <c r="S639" s="4" t="n"/>
    </row>
    <row r="640">
      <c r="A640" s="74">
        <f>IFERROR(__xludf.DUMMYFUNCTION("""COMPUTED_VALUE"""),46190.0)</f>
        <v/>
      </c>
      <c r="B640" s="72">
        <f>IFERROR(__xludf.DUMMYFUNCTION("""COMPUTED_VALUE"""),489.0)</f>
        <v/>
      </c>
      <c r="C640" s="75">
        <f>IFERROR(__xludf.DUMMYFUNCTION("""COMPUTED_VALUE"""),265346.29)</f>
        <v/>
      </c>
      <c r="D640" s="75">
        <f>IFERROR(__xludf.DUMMYFUNCTION("""COMPUTED_VALUE"""),"VES")</f>
        <v/>
      </c>
      <c r="E640" s="75">
        <f>IFERROR(__xludf.DUMMYFUNCTION("""COMPUTED_VALUE"""),"Bancamiga")</f>
        <v/>
      </c>
      <c r="F640" s="75">
        <f>IFERROR(__xludf.DUMMYFUNCTION("""COMPUTED_VALUE"""),"Cauchera El Gordo 0410,c.a.")</f>
        <v/>
      </c>
      <c r="G640" s="76">
        <f>IFERROR(__xludf.DUMMYFUNCTION("""COMPUTED_VALUE"""),"Frank Vasquez")</f>
        <v/>
      </c>
      <c r="H640" s="76">
        <f>IFERROR(__xludf.DUMMYFUNCTION("""COMPUTED_VALUE"""),596.7824)</f>
        <v/>
      </c>
      <c r="I640" s="75" t="n"/>
      <c r="J640" s="77">
        <f>IFERROR(__xludf.DUMMYFUNCTION("""COMPUTED_VALUE"""),444.62820954505355)</f>
        <v/>
      </c>
      <c r="K640" s="4">
        <f>IFERROR(__xludf.DUMMYFUNCTION("""COMPUTED_VALUE"""),0.0)</f>
        <v/>
      </c>
      <c r="L640" s="77">
        <f>IFERROR(__xludf.DUMMYFUNCTION("""COMPUTED_VALUE"""),444.62820954505355)</f>
        <v/>
      </c>
      <c r="O640" s="72" t="n"/>
      <c r="S640" s="4" t="n"/>
    </row>
    <row r="641">
      <c r="A641" s="74">
        <f>IFERROR(__xludf.DUMMYFUNCTION("""COMPUTED_VALUE"""),46192.0)</f>
        <v/>
      </c>
      <c r="B641" s="72">
        <f>IFERROR(__xludf.DUMMYFUNCTION("""COMPUTED_VALUE"""),380.0)</f>
        <v/>
      </c>
      <c r="C641" s="75">
        <f>IFERROR(__xludf.DUMMYFUNCTION("""COMPUTED_VALUE"""),39.0)</f>
        <v/>
      </c>
      <c r="D641" s="75">
        <f>IFERROR(__xludf.DUMMYFUNCTION("""COMPUTED_VALUE"""),"USD")</f>
        <v/>
      </c>
      <c r="E641" s="75">
        <f>IFERROR(__xludf.DUMMYFUNCTION("""COMPUTED_VALUE"""),"Efectivo USD")</f>
        <v/>
      </c>
      <c r="F641" s="75">
        <f>IFERROR(__xludf.DUMMYFUNCTION("""COMPUTED_VALUE"""),"Junior Marco Antonio Vivas Navas")</f>
        <v/>
      </c>
      <c r="G641" s="76">
        <f>IFERROR(__xludf.DUMMYFUNCTION("""COMPUTED_VALUE"""),"MARTINEZ MONTES JEFFREY ENRIQUE")</f>
        <v/>
      </c>
      <c r="H641" s="76">
        <f>IFERROR(__xludf.DUMMYFUNCTION("""COMPUTED_VALUE"""),607.3919)</f>
        <v/>
      </c>
      <c r="I641" s="75" t="n"/>
      <c r="J641" s="77">
        <f>IFERROR(__xludf.DUMMYFUNCTION("""COMPUTED_VALUE"""),39.0)</f>
        <v/>
      </c>
      <c r="K641" s="4">
        <f>IFERROR(__xludf.DUMMYFUNCTION("""COMPUTED_VALUE"""),39.0)</f>
        <v/>
      </c>
      <c r="L641" s="77">
        <f>IFERROR(__xludf.DUMMYFUNCTION("""COMPUTED_VALUE"""),39.0)</f>
        <v/>
      </c>
      <c r="O641" s="72" t="n"/>
      <c r="S641" s="4" t="n"/>
    </row>
    <row r="642">
      <c r="A642" s="74">
        <f>IFERROR(__xludf.DUMMYFUNCTION("""COMPUTED_VALUE"""),46192.0)</f>
        <v/>
      </c>
      <c r="B642" s="72">
        <f>IFERROR(__xludf.DUMMYFUNCTION("""COMPUTED_VALUE"""),133.0)</f>
        <v/>
      </c>
      <c r="C642" s="75">
        <f>IFERROR(__xludf.DUMMYFUNCTION("""COMPUTED_VALUE"""),500.0)</f>
        <v/>
      </c>
      <c r="D642" s="75">
        <f>IFERROR(__xludf.DUMMYFUNCTION("""COMPUTED_VALUE"""),"USD")</f>
        <v/>
      </c>
      <c r="E642" s="75">
        <f>IFERROR(__xludf.DUMMYFUNCTION("""COMPUTED_VALUE"""),"Efectivo USD")</f>
        <v/>
      </c>
      <c r="F642" s="75">
        <f>IFERROR(__xludf.DUMMYFUNCTION("""COMPUTED_VALUE"""),"Inversiones La Bendición del Nazareno, C.A")</f>
        <v/>
      </c>
      <c r="G642" s="76">
        <f>IFERROR(__xludf.DUMMYFUNCTION("""COMPUTED_VALUE"""),"MARTINEZ MONTES JEFFREY ENRIQUE")</f>
        <v/>
      </c>
      <c r="H642" s="76">
        <f>IFERROR(__xludf.DUMMYFUNCTION("""COMPUTED_VALUE"""),607.3919)</f>
        <v/>
      </c>
      <c r="I642" s="75" t="n"/>
      <c r="J642" s="77">
        <f>IFERROR(__xludf.DUMMYFUNCTION("""COMPUTED_VALUE"""),500.0)</f>
        <v/>
      </c>
      <c r="K642" s="4">
        <f>IFERROR(__xludf.DUMMYFUNCTION("""COMPUTED_VALUE"""),500.0)</f>
        <v/>
      </c>
      <c r="L642" s="77">
        <f>IFERROR(__xludf.DUMMYFUNCTION("""COMPUTED_VALUE"""),500.0)</f>
        <v/>
      </c>
      <c r="O642" s="72" t="n"/>
      <c r="S642" s="4" t="n"/>
    </row>
    <row r="643">
      <c r="A643" s="74">
        <f>IFERROR(__xludf.DUMMYFUNCTION("""COMPUTED_VALUE"""),46192.0)</f>
        <v/>
      </c>
      <c r="B643" s="72">
        <f>IFERROR(__xludf.DUMMYFUNCTION("""COMPUTED_VALUE"""),129.0)</f>
        <v/>
      </c>
      <c r="C643" s="75">
        <f>IFERROR(__xludf.DUMMYFUNCTION("""COMPUTED_VALUE"""),80.0)</f>
        <v/>
      </c>
      <c r="D643" s="75">
        <f>IFERROR(__xludf.DUMMYFUNCTION("""COMPUTED_VALUE"""),"USD")</f>
        <v/>
      </c>
      <c r="E643" s="75">
        <f>IFERROR(__xludf.DUMMYFUNCTION("""COMPUTED_VALUE"""),"Efectivo USD")</f>
        <v/>
      </c>
      <c r="F643" s="75">
        <f>IFERROR(__xludf.DUMMYFUNCTION("""COMPUTED_VALUE"""),"Emprendimiento Jordy Valencia")</f>
        <v/>
      </c>
      <c r="G643" s="76">
        <f>IFERROR(__xludf.DUMMYFUNCTION("""COMPUTED_VALUE"""),"MARTINEZ MONTES JEFFREY ENRIQUE")</f>
        <v/>
      </c>
      <c r="H643" s="76">
        <f>IFERROR(__xludf.DUMMYFUNCTION("""COMPUTED_VALUE"""),607.3919)</f>
        <v/>
      </c>
      <c r="I643" s="75" t="n"/>
      <c r="J643" s="77">
        <f>IFERROR(__xludf.DUMMYFUNCTION("""COMPUTED_VALUE"""),80.0)</f>
        <v/>
      </c>
      <c r="K643" s="4">
        <f>IFERROR(__xludf.DUMMYFUNCTION("""COMPUTED_VALUE"""),80.0)</f>
        <v/>
      </c>
      <c r="L643" s="77">
        <f>IFERROR(__xludf.DUMMYFUNCTION("""COMPUTED_VALUE"""),80.0)</f>
        <v/>
      </c>
      <c r="O643" s="72" t="n"/>
      <c r="S643" s="4" t="n"/>
    </row>
    <row r="644">
      <c r="A644" s="74">
        <f>IFERROR(__xludf.DUMMYFUNCTION("""COMPUTED_VALUE"""),46192.0)</f>
        <v/>
      </c>
      <c r="B644" s="72">
        <f>IFERROR(__xludf.DUMMYFUNCTION("""COMPUTED_VALUE"""),542.0)</f>
        <v/>
      </c>
      <c r="C644" s="75">
        <f>IFERROR(__xludf.DUMMYFUNCTION("""COMPUTED_VALUE"""),700.0)</f>
        <v/>
      </c>
      <c r="D644" s="75">
        <f>IFERROR(__xludf.DUMMYFUNCTION("""COMPUTED_VALUE"""),"USD")</f>
        <v/>
      </c>
      <c r="E644" s="75">
        <f>IFERROR(__xludf.DUMMYFUNCTION("""COMPUTED_VALUE"""),"Efectivo USD")</f>
        <v/>
      </c>
      <c r="F644" s="75">
        <f>IFERROR(__xludf.DUMMYFUNCTION("""COMPUTED_VALUE"""),"Alexander Quiroz")</f>
        <v/>
      </c>
      <c r="G644" s="76">
        <f>IFERROR(__xludf.DUMMYFUNCTION("""COMPUTED_VALUE"""),"BETANCOURT ROBRIGUEZ LUIS ENRRIQUE")</f>
        <v/>
      </c>
      <c r="H644" s="76">
        <f>IFERROR(__xludf.DUMMYFUNCTION("""COMPUTED_VALUE"""),607.3919)</f>
        <v/>
      </c>
      <c r="I644" s="75" t="n"/>
      <c r="J644" s="77">
        <f>IFERROR(__xludf.DUMMYFUNCTION("""COMPUTED_VALUE"""),700.0)</f>
        <v/>
      </c>
      <c r="K644" s="4">
        <f>IFERROR(__xludf.DUMMYFUNCTION("""COMPUTED_VALUE"""),700.0)</f>
        <v/>
      </c>
      <c r="L644" s="77">
        <f>IFERROR(__xludf.DUMMYFUNCTION("""COMPUTED_VALUE"""),700.0)</f>
        <v/>
      </c>
      <c r="O644" s="72" t="n"/>
      <c r="S644" s="4" t="n"/>
    </row>
    <row r="645">
      <c r="A645" s="74">
        <f>IFERROR(__xludf.DUMMYFUNCTION("""COMPUTED_VALUE"""),46192.0)</f>
        <v/>
      </c>
      <c r="B645" s="72">
        <f>IFERROR(__xludf.DUMMYFUNCTION("""COMPUTED_VALUE"""),585.0)</f>
        <v/>
      </c>
      <c r="C645" s="75">
        <f>IFERROR(__xludf.DUMMYFUNCTION("""COMPUTED_VALUE"""),390.0)</f>
        <v/>
      </c>
      <c r="D645" s="75">
        <f>IFERROR(__xludf.DUMMYFUNCTION("""COMPUTED_VALUE"""),"USD")</f>
        <v/>
      </c>
      <c r="E645" s="75">
        <f>IFERROR(__xludf.DUMMYFUNCTION("""COMPUTED_VALUE"""),"Efectivo USD")</f>
        <v/>
      </c>
      <c r="F645" s="75">
        <f>IFERROR(__xludf.DUMMYFUNCTION("""COMPUTED_VALUE"""),"E&amp;M CAR SHOP C.A")</f>
        <v/>
      </c>
      <c r="G645" s="76">
        <f>IFERROR(__xludf.DUMMYFUNCTION("""COMPUTED_VALUE"""),"BETANCOURT ROBRIGUEZ LUIS ENRRIQUE")</f>
        <v/>
      </c>
      <c r="H645" s="76">
        <f>IFERROR(__xludf.DUMMYFUNCTION("""COMPUTED_VALUE"""),607.3919)</f>
        <v/>
      </c>
      <c r="I645" s="75" t="n"/>
      <c r="J645" s="77">
        <f>IFERROR(__xludf.DUMMYFUNCTION("""COMPUTED_VALUE"""),390.0)</f>
        <v/>
      </c>
      <c r="K645" s="4">
        <f>IFERROR(__xludf.DUMMYFUNCTION("""COMPUTED_VALUE"""),390.0)</f>
        <v/>
      </c>
      <c r="L645" s="77">
        <f>IFERROR(__xludf.DUMMYFUNCTION("""COMPUTED_VALUE"""),390.0)</f>
        <v/>
      </c>
      <c r="O645" s="72" t="n"/>
      <c r="S645" s="4" t="n"/>
    </row>
    <row r="646">
      <c r="A646" s="74">
        <f>IFERROR(__xludf.DUMMYFUNCTION("""COMPUTED_VALUE"""),46195.0)</f>
        <v/>
      </c>
      <c r="B646" s="72">
        <f>IFERROR(__xludf.DUMMYFUNCTION("""COMPUTED_VALUE"""),472.0)</f>
        <v/>
      </c>
      <c r="C646" s="75">
        <f>IFERROR(__xludf.DUMMYFUNCTION("""COMPUTED_VALUE"""),240537.0)</f>
        <v/>
      </c>
      <c r="D646" s="75">
        <f>IFERROR(__xludf.DUMMYFUNCTION("""COMPUTED_VALUE"""),"VES")</f>
        <v/>
      </c>
      <c r="E646" s="75">
        <f>IFERROR(__xludf.DUMMYFUNCTION("""COMPUTED_VALUE"""),"Bancamiga")</f>
        <v/>
      </c>
      <c r="F646" s="75">
        <f>IFERROR(__xludf.DUMMYFUNCTION("""COMPUTED_VALUE"""),"Antonio Terán")</f>
        <v/>
      </c>
      <c r="G646" s="76">
        <f>IFERROR(__xludf.DUMMYFUNCTION("""COMPUTED_VALUE"""),"PEREZ DIAZ ANGEL DE DIOS")</f>
        <v/>
      </c>
      <c r="H646" s="76">
        <f>IFERROR(__xludf.DUMMYFUNCTION("""COMPUTED_VALUE"""),612.4332)</f>
        <v/>
      </c>
      <c r="I646" s="75" t="n"/>
      <c r="J646" s="77">
        <f>IFERROR(__xludf.DUMMYFUNCTION("""COMPUTED_VALUE"""),392.75630387118133)</f>
        <v/>
      </c>
      <c r="K646" s="4">
        <f>IFERROR(__xludf.DUMMYFUNCTION("""COMPUTED_VALUE"""),0.0)</f>
        <v/>
      </c>
      <c r="L646" s="77">
        <f>IFERROR(__xludf.DUMMYFUNCTION("""COMPUTED_VALUE"""),392.75630387118133)</f>
        <v/>
      </c>
      <c r="O646" s="72" t="n"/>
      <c r="S646" s="4" t="n"/>
    </row>
    <row r="647">
      <c r="A647" s="74">
        <f>IFERROR(__xludf.DUMMYFUNCTION("""COMPUTED_VALUE"""),46195.0)</f>
        <v/>
      </c>
      <c r="B647" s="72">
        <f>IFERROR(__xludf.DUMMYFUNCTION("""COMPUTED_VALUE"""),373.0)</f>
        <v/>
      </c>
      <c r="C647" s="75">
        <f>IFERROR(__xludf.DUMMYFUNCTION("""COMPUTED_VALUE"""),20.0)</f>
        <v/>
      </c>
      <c r="D647" s="75">
        <f>IFERROR(__xludf.DUMMYFUNCTION("""COMPUTED_VALUE"""),"USD")</f>
        <v/>
      </c>
      <c r="E647" s="75">
        <f>IFERROR(__xludf.DUMMYFUNCTION("""COMPUTED_VALUE"""),"Efectivo USD")</f>
        <v/>
      </c>
      <c r="F647" s="75">
        <f>IFERROR(__xludf.DUMMYFUNCTION("""COMPUTED_VALUE"""),"INVERSIONES DA &amp; JE,")</f>
        <v/>
      </c>
      <c r="G647" s="76">
        <f>IFERROR(__xludf.DUMMYFUNCTION("""COMPUTED_VALUE"""),"CASERES GONZALEZ RONALD OSWALDO")</f>
        <v/>
      </c>
      <c r="H647" s="76">
        <f>IFERROR(__xludf.DUMMYFUNCTION("""COMPUTED_VALUE"""),612.4332)</f>
        <v/>
      </c>
      <c r="I647" s="75" t="n"/>
      <c r="J647" s="77">
        <f>IFERROR(__xludf.DUMMYFUNCTION("""COMPUTED_VALUE"""),20.0)</f>
        <v/>
      </c>
      <c r="K647" s="4">
        <f>IFERROR(__xludf.DUMMYFUNCTION("""COMPUTED_VALUE"""),20.0)</f>
        <v/>
      </c>
      <c r="L647" s="77">
        <f>IFERROR(__xludf.DUMMYFUNCTION("""COMPUTED_VALUE"""),20.0)</f>
        <v/>
      </c>
      <c r="O647" s="72" t="n"/>
      <c r="S647" s="4" t="n"/>
    </row>
    <row r="648">
      <c r="A648" s="74">
        <f>IFERROR(__xludf.DUMMYFUNCTION("""COMPUTED_VALUE"""),46195.0)</f>
        <v/>
      </c>
      <c r="B648" s="72">
        <f>IFERROR(__xludf.DUMMYFUNCTION("""COMPUTED_VALUE"""),492.0)</f>
        <v/>
      </c>
      <c r="C648" s="75">
        <f>IFERROR(__xludf.DUMMYFUNCTION("""COMPUTED_VALUE"""),73.0)</f>
        <v/>
      </c>
      <c r="D648" s="75">
        <f>IFERROR(__xludf.DUMMYFUNCTION("""COMPUTED_VALUE"""),"USD")</f>
        <v/>
      </c>
      <c r="E648" s="75">
        <f>IFERROR(__xludf.DUMMYFUNCTION("""COMPUTED_VALUE"""),"Efectivo USD")</f>
        <v/>
      </c>
      <c r="F648" s="75">
        <f>IFERROR(__xludf.DUMMYFUNCTION("""COMPUTED_VALUE"""),"Luis Eduardo Piñero Calcurian")</f>
        <v/>
      </c>
      <c r="G648" s="76">
        <f>IFERROR(__xludf.DUMMYFUNCTION("""COMPUTED_VALUE"""),"GRIMAN DIAZ HECTOR EDUARDO")</f>
        <v/>
      </c>
      <c r="H648" s="76">
        <f>IFERROR(__xludf.DUMMYFUNCTION("""COMPUTED_VALUE"""),612.4332)</f>
        <v/>
      </c>
      <c r="I648" s="75" t="n"/>
      <c r="J648" s="77">
        <f>IFERROR(__xludf.DUMMYFUNCTION("""COMPUTED_VALUE"""),73.0)</f>
        <v/>
      </c>
      <c r="K648" s="4">
        <f>IFERROR(__xludf.DUMMYFUNCTION("""COMPUTED_VALUE"""),73.0)</f>
        <v/>
      </c>
      <c r="L648" s="77">
        <f>IFERROR(__xludf.DUMMYFUNCTION("""COMPUTED_VALUE"""),73.0)</f>
        <v/>
      </c>
      <c r="O648" s="72" t="n"/>
      <c r="S648" s="4" t="n"/>
    </row>
    <row r="649">
      <c r="A649" s="74">
        <f>IFERROR(__xludf.DUMMYFUNCTION("""COMPUTED_VALUE"""),46195.0)</f>
        <v/>
      </c>
      <c r="B649" s="72">
        <f>IFERROR(__xludf.DUMMYFUNCTION("""COMPUTED_VALUE"""),244.0)</f>
        <v/>
      </c>
      <c r="C649" s="75">
        <f>IFERROR(__xludf.DUMMYFUNCTION("""COMPUTED_VALUE"""),100.0)</f>
        <v/>
      </c>
      <c r="D649" s="75">
        <f>IFERROR(__xludf.DUMMYFUNCTION("""COMPUTED_VALUE"""),"USD")</f>
        <v/>
      </c>
      <c r="E649" s="75">
        <f>IFERROR(__xludf.DUMMYFUNCTION("""COMPUTED_VALUE"""),"Efectivo USD")</f>
        <v/>
      </c>
      <c r="F649" s="75">
        <f>IFERROR(__xludf.DUMMYFUNCTION("""COMPUTED_VALUE"""),"Lubricantes BK C.A")</f>
        <v/>
      </c>
      <c r="G649" s="76">
        <f>IFERROR(__xludf.DUMMYFUNCTION("""COMPUTED_VALUE"""),"GRIMAN DIAZ HECTOR EDUARDO")</f>
        <v/>
      </c>
      <c r="H649" s="76">
        <f>IFERROR(__xludf.DUMMYFUNCTION("""COMPUTED_VALUE"""),612.4332)</f>
        <v/>
      </c>
      <c r="I649" s="75" t="n"/>
      <c r="J649" s="77">
        <f>IFERROR(__xludf.DUMMYFUNCTION("""COMPUTED_VALUE"""),100.0)</f>
        <v/>
      </c>
      <c r="K649" s="4">
        <f>IFERROR(__xludf.DUMMYFUNCTION("""COMPUTED_VALUE"""),100.0)</f>
        <v/>
      </c>
      <c r="L649" s="77">
        <f>IFERROR(__xludf.DUMMYFUNCTION("""COMPUTED_VALUE"""),100.0)</f>
        <v/>
      </c>
      <c r="O649" s="72" t="n"/>
      <c r="S649" s="4" t="n"/>
    </row>
    <row r="650">
      <c r="A650" s="74">
        <f>IFERROR(__xludf.DUMMYFUNCTION("""COMPUTED_VALUE"""),46195.0)</f>
        <v/>
      </c>
      <c r="B650" s="72">
        <f>IFERROR(__xludf.DUMMYFUNCTION("""COMPUTED_VALUE"""),431.0)</f>
        <v/>
      </c>
      <c r="C650" s="75">
        <f>IFERROR(__xludf.DUMMYFUNCTION("""COMPUTED_VALUE"""),167763.83)</f>
        <v/>
      </c>
      <c r="D650" s="75">
        <f>IFERROR(__xludf.DUMMYFUNCTION("""COMPUTED_VALUE"""),"VES")</f>
        <v/>
      </c>
      <c r="E650" s="75">
        <f>IFERROR(__xludf.DUMMYFUNCTION("""COMPUTED_VALUE"""),"Bancamiga")</f>
        <v/>
      </c>
      <c r="F650" s="75">
        <f>IFERROR(__xludf.DUMMYFUNCTION("""COMPUTED_VALUE"""),"Carlos Eduardo Ascension Matos")</f>
        <v/>
      </c>
      <c r="G650" s="76">
        <f>IFERROR(__xludf.DUMMYFUNCTION("""COMPUTED_VALUE"""),"QUEVEDO BASTIDAS NEYKEL DAVID")</f>
        <v/>
      </c>
      <c r="H650" s="76">
        <f>IFERROR(__xludf.DUMMYFUNCTION("""COMPUTED_VALUE"""),612.4332)</f>
        <v/>
      </c>
      <c r="I650" s="75" t="n"/>
      <c r="J650" s="77">
        <f>IFERROR(__xludf.DUMMYFUNCTION("""COMPUTED_VALUE"""),273.9300057540969)</f>
        <v/>
      </c>
      <c r="K650" s="4">
        <f>IFERROR(__xludf.DUMMYFUNCTION("""COMPUTED_VALUE"""),0.0)</f>
        <v/>
      </c>
      <c r="L650" s="77">
        <f>IFERROR(__xludf.DUMMYFUNCTION("""COMPUTED_VALUE"""),273.9300057540969)</f>
        <v/>
      </c>
      <c r="O650" s="72" t="n"/>
      <c r="S650" s="4" t="n"/>
    </row>
    <row r="651">
      <c r="A651" s="74">
        <f>IFERROR(__xludf.DUMMYFUNCTION("""COMPUTED_VALUE"""),46195.0)</f>
        <v/>
      </c>
      <c r="B651" s="72">
        <f>IFERROR(__xludf.DUMMYFUNCTION("""COMPUTED_VALUE"""),283.0)</f>
        <v/>
      </c>
      <c r="C651" s="75">
        <f>IFERROR(__xludf.DUMMYFUNCTION("""COMPUTED_VALUE"""),18372.9)</f>
        <v/>
      </c>
      <c r="D651" s="75">
        <f>IFERROR(__xludf.DUMMYFUNCTION("""COMPUTED_VALUE"""),"VES")</f>
        <v/>
      </c>
      <c r="E651" s="75">
        <f>IFERROR(__xludf.DUMMYFUNCTION("""COMPUTED_VALUE"""),"Bancamiga")</f>
        <v/>
      </c>
      <c r="F651" s="75">
        <f>IFERROR(__xludf.DUMMYFUNCTION("""COMPUTED_VALUE"""),"LA CASA DE LAS BATERIAS")</f>
        <v/>
      </c>
      <c r="G651" s="76">
        <f>IFERROR(__xludf.DUMMYFUNCTION("""COMPUTED_VALUE"""),"TORO ARDILES DAVID JOSE")</f>
        <v/>
      </c>
      <c r="H651" s="76">
        <f>IFERROR(__xludf.DUMMYFUNCTION("""COMPUTED_VALUE"""),612.4332)</f>
        <v/>
      </c>
      <c r="I651" s="75">
        <f>IFERROR(__xludf.DUMMYFUNCTION("""COMPUTED_VALUE"""),801.76)</f>
        <v/>
      </c>
      <c r="J651" s="77">
        <f>IFERROR(__xludf.DUMMYFUNCTION("""COMPUTED_VALUE"""),29.99984324821058)</f>
        <v/>
      </c>
      <c r="K651" s="4">
        <f>IFERROR(__xludf.DUMMYFUNCTION("""COMPUTED_VALUE"""),22.915710437038516)</f>
        <v/>
      </c>
      <c r="L651" s="77">
        <f>IFERROR(__xludf.DUMMYFUNCTION("""COMPUTED_VALUE"""),29.99984324821058)</f>
        <v/>
      </c>
      <c r="O651" s="72" t="n"/>
      <c r="S651" s="4" t="n"/>
    </row>
    <row r="652">
      <c r="A652" s="74">
        <f>IFERROR(__xludf.DUMMYFUNCTION("""COMPUTED_VALUE"""),46195.0)</f>
        <v/>
      </c>
      <c r="B652" s="72">
        <f>IFERROR(__xludf.DUMMYFUNCTION("""COMPUTED_VALUE"""),563.0)</f>
        <v/>
      </c>
      <c r="C652" s="75">
        <f>IFERROR(__xludf.DUMMYFUNCTION("""COMPUTED_VALUE"""),100.0)</f>
        <v/>
      </c>
      <c r="D652" s="75">
        <f>IFERROR(__xludf.DUMMYFUNCTION("""COMPUTED_VALUE"""),"USD")</f>
        <v/>
      </c>
      <c r="E652" s="75">
        <f>IFERROR(__xludf.DUMMYFUNCTION("""COMPUTED_VALUE"""),"Efectivo USD")</f>
        <v/>
      </c>
      <c r="F652" s="75">
        <f>IFERROR(__xludf.DUMMYFUNCTION("""COMPUTED_VALUE"""),"Carlos Ruiz")</f>
        <v/>
      </c>
      <c r="G652" s="76">
        <f>IFERROR(__xludf.DUMMYFUNCTION("""COMPUTED_VALUE"""),"BETANCOURT ROBRIGUEZ LUIS ENRRIQUE")</f>
        <v/>
      </c>
      <c r="H652" s="76">
        <f>IFERROR(__xludf.DUMMYFUNCTION("""COMPUTED_VALUE"""),612.4332)</f>
        <v/>
      </c>
      <c r="I652" s="75" t="n"/>
      <c r="J652" s="77">
        <f>IFERROR(__xludf.DUMMYFUNCTION("""COMPUTED_VALUE"""),100.0)</f>
        <v/>
      </c>
      <c r="K652" s="4">
        <f>IFERROR(__xludf.DUMMYFUNCTION("""COMPUTED_VALUE"""),100.0)</f>
        <v/>
      </c>
      <c r="L652" s="77">
        <f>IFERROR(__xludf.DUMMYFUNCTION("""COMPUTED_VALUE"""),100.0)</f>
        <v/>
      </c>
      <c r="O652" s="72" t="n"/>
      <c r="S652" s="4" t="n"/>
    </row>
    <row r="653">
      <c r="A653" s="74">
        <f>IFERROR(__xludf.DUMMYFUNCTION("""COMPUTED_VALUE"""),46195.0)</f>
        <v/>
      </c>
      <c r="B653" s="72">
        <f>IFERROR(__xludf.DUMMYFUNCTION("""COMPUTED_VALUE"""),563.0)</f>
        <v/>
      </c>
      <c r="C653" s="75">
        <f>IFERROR(__xludf.DUMMYFUNCTION("""COMPUTED_VALUE"""),79600.0)</f>
        <v/>
      </c>
      <c r="D653" s="75">
        <f>IFERROR(__xludf.DUMMYFUNCTION("""COMPUTED_VALUE"""),"VES")</f>
        <v/>
      </c>
      <c r="E653" s="75">
        <f>IFERROR(__xludf.DUMMYFUNCTION("""COMPUTED_VALUE"""),"Bancamiga")</f>
        <v/>
      </c>
      <c r="F653" s="75">
        <f>IFERROR(__xludf.DUMMYFUNCTION("""COMPUTED_VALUE"""),"Carlos Ruiz")</f>
        <v/>
      </c>
      <c r="G653" s="76">
        <f>IFERROR(__xludf.DUMMYFUNCTION("""COMPUTED_VALUE"""),"BETANCOURT ROBRIGUEZ LUIS ENRRIQUE")</f>
        <v/>
      </c>
      <c r="H653" s="76">
        <f>IFERROR(__xludf.DUMMYFUNCTION("""COMPUTED_VALUE"""),612.4332)</f>
        <v/>
      </c>
      <c r="I653" s="75" t="n"/>
      <c r="J653" s="77">
        <f>IFERROR(__xludf.DUMMYFUNCTION("""COMPUTED_VALUE"""),129.9733587271232)</f>
        <v/>
      </c>
      <c r="K653" s="4">
        <f>IFERROR(__xludf.DUMMYFUNCTION("""COMPUTED_VALUE"""),0.0)</f>
        <v/>
      </c>
      <c r="L653" s="77">
        <f>IFERROR(__xludf.DUMMYFUNCTION("""COMPUTED_VALUE"""),129.9733587271232)</f>
        <v/>
      </c>
      <c r="O653" s="72" t="n"/>
      <c r="S653" s="4" t="n"/>
    </row>
    <row r="654">
      <c r="A654" s="74">
        <f>IFERROR(__xludf.DUMMYFUNCTION("""COMPUTED_VALUE"""),46195.0)</f>
        <v/>
      </c>
      <c r="B654" s="72">
        <f>IFERROR(__xludf.DUMMYFUNCTION("""COMPUTED_VALUE"""),178.0)</f>
        <v/>
      </c>
      <c r="C654" s="75">
        <f>IFERROR(__xludf.DUMMYFUNCTION("""COMPUTED_VALUE"""),45000.0)</f>
        <v/>
      </c>
      <c r="D654" s="75">
        <f>IFERROR(__xludf.DUMMYFUNCTION("""COMPUTED_VALUE"""),"VES")</f>
        <v/>
      </c>
      <c r="E654" s="75">
        <f>IFERROR(__xludf.DUMMYFUNCTION("""COMPUTED_VALUE"""),"Bancamiga")</f>
        <v/>
      </c>
      <c r="F654" s="75">
        <f>IFERROR(__xludf.DUMMYFUNCTION("""COMPUTED_VALUE"""),"Distribuidora Nesmari 2050 c.a")</f>
        <v/>
      </c>
      <c r="G654" s="76">
        <f>IFERROR(__xludf.DUMMYFUNCTION("""COMPUTED_VALUE"""),"BETANCOURT ROBRIGUEZ LUIS ENRRIQUE")</f>
        <v/>
      </c>
      <c r="H654" s="76">
        <f>IFERROR(__xludf.DUMMYFUNCTION("""COMPUTED_VALUE"""),612.4332)</f>
        <v/>
      </c>
      <c r="I654" s="75" t="n"/>
      <c r="J654" s="77">
        <f>IFERROR(__xludf.DUMMYFUNCTION("""COMPUTED_VALUE"""),73.4774012904591)</f>
        <v/>
      </c>
      <c r="K654" s="4">
        <f>IFERROR(__xludf.DUMMYFUNCTION("""COMPUTED_VALUE"""),0.0)</f>
        <v/>
      </c>
      <c r="L654" s="77">
        <f>IFERROR(__xludf.DUMMYFUNCTION("""COMPUTED_VALUE"""),73.4774012904591)</f>
        <v/>
      </c>
      <c r="O654" s="72" t="n"/>
      <c r="S654" s="4" t="n"/>
    </row>
    <row r="655">
      <c r="A655" s="74">
        <f>IFERROR(__xludf.DUMMYFUNCTION("""COMPUTED_VALUE"""),46196.0)</f>
        <v/>
      </c>
      <c r="B655" s="72">
        <f>IFERROR(__xludf.DUMMYFUNCTION("""COMPUTED_VALUE"""),78.0)</f>
        <v/>
      </c>
      <c r="C655" s="75">
        <f>IFERROR(__xludf.DUMMYFUNCTION("""COMPUTED_VALUE"""),24500.0)</f>
        <v/>
      </c>
      <c r="D655" s="75">
        <f>IFERROR(__xludf.DUMMYFUNCTION("""COMPUTED_VALUE"""),"VES")</f>
        <v/>
      </c>
      <c r="E655" s="75">
        <f>IFERROR(__xludf.DUMMYFUNCTION("""COMPUTED_VALUE"""),"Bancamiga")</f>
        <v/>
      </c>
      <c r="F655" s="75">
        <f>IFERROR(__xludf.DUMMYFUNCTION("""COMPUTED_VALUE"""),"MULTISERVICIOS RECAM13, C.A.")</f>
        <v/>
      </c>
      <c r="G655" s="76">
        <f>IFERROR(__xludf.DUMMYFUNCTION("""COMPUTED_VALUE"""),"TORO ARDILES DAVID JOSE")</f>
        <v/>
      </c>
      <c r="H655" s="76">
        <f>IFERROR(__xludf.DUMMYFUNCTION("""COMPUTED_VALUE"""),617.6388)</f>
        <v/>
      </c>
      <c r="I655" s="75" t="n"/>
      <c r="J655" s="77">
        <f>IFERROR(__xludf.DUMMYFUNCTION("""COMPUTED_VALUE"""),39.66719707375897)</f>
        <v/>
      </c>
      <c r="K655" s="4">
        <f>IFERROR(__xludf.DUMMYFUNCTION("""COMPUTED_VALUE"""),0.0)</f>
        <v/>
      </c>
      <c r="L655" s="77">
        <f>IFERROR(__xludf.DUMMYFUNCTION("""COMPUTED_VALUE"""),39.66719707375897)</f>
        <v/>
      </c>
      <c r="O655" s="72" t="n"/>
      <c r="S655" s="4" t="n"/>
    </row>
    <row r="656">
      <c r="A656" s="74">
        <f>IFERROR(__xludf.DUMMYFUNCTION("""COMPUTED_VALUE"""),46196.0)</f>
        <v/>
      </c>
      <c r="B656" s="72">
        <f>IFERROR(__xludf.DUMMYFUNCTION("""COMPUTED_VALUE"""),49.0)</f>
        <v/>
      </c>
      <c r="C656" s="75">
        <f>IFERROR(__xludf.DUMMYFUNCTION("""COMPUTED_VALUE"""),80.0)</f>
        <v/>
      </c>
      <c r="D656" s="75">
        <f>IFERROR(__xludf.DUMMYFUNCTION("""COMPUTED_VALUE"""),"USD")</f>
        <v/>
      </c>
      <c r="E656" s="75">
        <f>IFERROR(__xludf.DUMMYFUNCTION("""COMPUTED_VALUE"""),"Efectivo USD")</f>
        <v/>
      </c>
      <c r="F656" s="75">
        <f>IFERROR(__xludf.DUMMYFUNCTION("""COMPUTED_VALUE"""),"Marlene Herrera")</f>
        <v/>
      </c>
      <c r="G656" s="76">
        <f>IFERROR(__xludf.DUMMYFUNCTION("""COMPUTED_VALUE"""),"PEREZ DIAZ ANGEL DE DIOS")</f>
        <v/>
      </c>
      <c r="H656" s="76">
        <f>IFERROR(__xludf.DUMMYFUNCTION("""COMPUTED_VALUE"""),617.6388)</f>
        <v/>
      </c>
      <c r="I656" s="75" t="n"/>
      <c r="J656" s="77">
        <f>IFERROR(__xludf.DUMMYFUNCTION("""COMPUTED_VALUE"""),80.0)</f>
        <v/>
      </c>
      <c r="K656" s="4">
        <f>IFERROR(__xludf.DUMMYFUNCTION("""COMPUTED_VALUE"""),80.0)</f>
        <v/>
      </c>
      <c r="L656" s="77">
        <f>IFERROR(__xludf.DUMMYFUNCTION("""COMPUTED_VALUE"""),80.0)</f>
        <v/>
      </c>
      <c r="O656" s="72" t="n"/>
      <c r="S656" s="4" t="n"/>
    </row>
    <row r="657">
      <c r="A657" s="74">
        <f>IFERROR(__xludf.DUMMYFUNCTION("""COMPUTED_VALUE"""),46196.0)</f>
        <v/>
      </c>
      <c r="B657" s="72">
        <f>IFERROR(__xludf.DUMMYFUNCTION("""COMPUTED_VALUE"""),114.0)</f>
        <v/>
      </c>
      <c r="C657" s="75">
        <f>IFERROR(__xludf.DUMMYFUNCTION("""COMPUTED_VALUE"""),20.0)</f>
        <v/>
      </c>
      <c r="D657" s="75">
        <f>IFERROR(__xludf.DUMMYFUNCTION("""COMPUTED_VALUE"""),"USD")</f>
        <v/>
      </c>
      <c r="E657" s="75">
        <f>IFERROR(__xludf.DUMMYFUNCTION("""COMPUTED_VALUE"""),"Efectivo USD")</f>
        <v/>
      </c>
      <c r="F657" s="75">
        <f>IFERROR(__xludf.DUMMYFUNCTION("""COMPUTED_VALUE"""),"Autoasesorio maxi motor")</f>
        <v/>
      </c>
      <c r="G657" s="76">
        <f>IFERROR(__xludf.DUMMYFUNCTION("""COMPUTED_VALUE"""),"PEREZ DIAZ ANGEL DE DIOS")</f>
        <v/>
      </c>
      <c r="H657" s="76">
        <f>IFERROR(__xludf.DUMMYFUNCTION("""COMPUTED_VALUE"""),617.6388)</f>
        <v/>
      </c>
      <c r="I657" s="75" t="n"/>
      <c r="J657" s="77">
        <f>IFERROR(__xludf.DUMMYFUNCTION("""COMPUTED_VALUE"""),20.0)</f>
        <v/>
      </c>
      <c r="K657" s="4">
        <f>IFERROR(__xludf.DUMMYFUNCTION("""COMPUTED_VALUE"""),20.0)</f>
        <v/>
      </c>
      <c r="L657" s="77">
        <f>IFERROR(__xludf.DUMMYFUNCTION("""COMPUTED_VALUE"""),20.0)</f>
        <v/>
      </c>
      <c r="O657" s="72" t="n"/>
      <c r="S657" s="4" t="n"/>
    </row>
    <row r="658">
      <c r="A658" s="74">
        <f>IFERROR(__xludf.DUMMYFUNCTION("""COMPUTED_VALUE"""),46196.0)</f>
        <v/>
      </c>
      <c r="B658" s="72">
        <f>IFERROR(__xludf.DUMMYFUNCTION("""COMPUTED_VALUE"""),44.0)</f>
        <v/>
      </c>
      <c r="C658" s="75">
        <f>IFERROR(__xludf.DUMMYFUNCTION("""COMPUTED_VALUE"""),200.0)</f>
        <v/>
      </c>
      <c r="D658" s="75">
        <f>IFERROR(__xludf.DUMMYFUNCTION("""COMPUTED_VALUE"""),"USD")</f>
        <v/>
      </c>
      <c r="E658" s="75">
        <f>IFERROR(__xludf.DUMMYFUNCTION("""COMPUTED_VALUE"""),"Efectivo USD")</f>
        <v/>
      </c>
      <c r="F658" s="75">
        <f>IFERROR(__xludf.DUMMYFUNCTION("""COMPUTED_VALUE"""),"Comercializadora Garabote")</f>
        <v/>
      </c>
      <c r="G658" s="76">
        <f>IFERROR(__xludf.DUMMYFUNCTION("""COMPUTED_VALUE"""),"PEREZ DIAZ ANGEL DE DIOS")</f>
        <v/>
      </c>
      <c r="H658" s="76">
        <f>IFERROR(__xludf.DUMMYFUNCTION("""COMPUTED_VALUE"""),617.6388)</f>
        <v/>
      </c>
      <c r="I658" s="75" t="n"/>
      <c r="J658" s="77">
        <f>IFERROR(__xludf.DUMMYFUNCTION("""COMPUTED_VALUE"""),200.0)</f>
        <v/>
      </c>
      <c r="K658" s="4">
        <f>IFERROR(__xludf.DUMMYFUNCTION("""COMPUTED_VALUE"""),200.0)</f>
        <v/>
      </c>
      <c r="L658" s="77">
        <f>IFERROR(__xludf.DUMMYFUNCTION("""COMPUTED_VALUE"""),200.0)</f>
        <v/>
      </c>
      <c r="O658" s="72" t="n"/>
      <c r="S658" s="4" t="n"/>
    </row>
    <row r="659">
      <c r="A659" s="74">
        <f>IFERROR(__xludf.DUMMYFUNCTION("""COMPUTED_VALUE"""),46196.0)</f>
        <v/>
      </c>
      <c r="B659" s="72">
        <f>IFERROR(__xludf.DUMMYFUNCTION("""COMPUTED_VALUE"""),324.0)</f>
        <v/>
      </c>
      <c r="C659" s="75">
        <f>IFERROR(__xludf.DUMMYFUNCTION("""COMPUTED_VALUE"""),40.0)</f>
        <v/>
      </c>
      <c r="D659" s="75">
        <f>IFERROR(__xludf.DUMMYFUNCTION("""COMPUTED_VALUE"""),"USD")</f>
        <v/>
      </c>
      <c r="E659" s="75">
        <f>IFERROR(__xludf.DUMMYFUNCTION("""COMPUTED_VALUE"""),"Efectivo USD")</f>
        <v/>
      </c>
      <c r="F659" s="75">
        <f>IFERROR(__xludf.DUMMYFUNCTION("""COMPUTED_VALUE"""),"Nemer Bourji")</f>
        <v/>
      </c>
      <c r="G659" s="76">
        <f>IFERROR(__xludf.DUMMYFUNCTION("""COMPUTED_VALUE"""),"TORO ARDILES DAVID JOSE")</f>
        <v/>
      </c>
      <c r="H659" s="76">
        <f>IFERROR(__xludf.DUMMYFUNCTION("""COMPUTED_VALUE"""),617.6388)</f>
        <v/>
      </c>
      <c r="I659" s="75" t="n"/>
      <c r="J659" s="77">
        <f>IFERROR(__xludf.DUMMYFUNCTION("""COMPUTED_VALUE"""),40.0)</f>
        <v/>
      </c>
      <c r="K659" s="4">
        <f>IFERROR(__xludf.DUMMYFUNCTION("""COMPUTED_VALUE"""),40.0)</f>
        <v/>
      </c>
      <c r="L659" s="77">
        <f>IFERROR(__xludf.DUMMYFUNCTION("""COMPUTED_VALUE"""),40.0)</f>
        <v/>
      </c>
      <c r="O659" s="72" t="n"/>
      <c r="S659" s="4" t="n"/>
    </row>
    <row r="660">
      <c r="A660" s="74">
        <f>IFERROR(__xludf.DUMMYFUNCTION("""COMPUTED_VALUE"""),46196.0)</f>
        <v/>
      </c>
      <c r="B660" s="72">
        <f>IFERROR(__xludf.DUMMYFUNCTION("""COMPUTED_VALUE"""),433.0)</f>
        <v/>
      </c>
      <c r="C660" s="75">
        <f>IFERROR(__xludf.DUMMYFUNCTION("""COMPUTED_VALUE"""),100.0)</f>
        <v/>
      </c>
      <c r="D660" s="75">
        <f>IFERROR(__xludf.DUMMYFUNCTION("""COMPUTED_VALUE"""),"USD")</f>
        <v/>
      </c>
      <c r="E660" s="75">
        <f>IFERROR(__xludf.DUMMYFUNCTION("""COMPUTED_VALUE"""),"Efectivo USD")</f>
        <v/>
      </c>
      <c r="F660" s="75">
        <f>IFERROR(__xludf.DUMMYFUNCTION("""COMPUTED_VALUE"""),"INVERSIONES JOSCAR XXI, S.A.")</f>
        <v/>
      </c>
      <c r="G660" s="76">
        <f>IFERROR(__xludf.DUMMYFUNCTION("""COMPUTED_VALUE"""),"TORO ARDILES DAVID JOSE")</f>
        <v/>
      </c>
      <c r="H660" s="76">
        <f>IFERROR(__xludf.DUMMYFUNCTION("""COMPUTED_VALUE"""),617.6388)</f>
        <v/>
      </c>
      <c r="I660" s="75" t="n"/>
      <c r="J660" s="77">
        <f>IFERROR(__xludf.DUMMYFUNCTION("""COMPUTED_VALUE"""),100.0)</f>
        <v/>
      </c>
      <c r="K660" s="4">
        <f>IFERROR(__xludf.DUMMYFUNCTION("""COMPUTED_VALUE"""),100.0)</f>
        <v/>
      </c>
      <c r="L660" s="77">
        <f>IFERROR(__xludf.DUMMYFUNCTION("""COMPUTED_VALUE"""),100.0)</f>
        <v/>
      </c>
      <c r="O660" s="72" t="n"/>
      <c r="S660" s="4" t="n"/>
    </row>
    <row r="661">
      <c r="A661" s="74">
        <f>IFERROR(__xludf.DUMMYFUNCTION("""COMPUTED_VALUE"""),46196.0)</f>
        <v/>
      </c>
      <c r="B661" s="72">
        <f>IFERROR(__xludf.DUMMYFUNCTION("""COMPUTED_VALUE"""),326.0)</f>
        <v/>
      </c>
      <c r="C661" s="75">
        <f>IFERROR(__xludf.DUMMYFUNCTION("""COMPUTED_VALUE"""),49.0)</f>
        <v/>
      </c>
      <c r="D661" s="75">
        <f>IFERROR(__xludf.DUMMYFUNCTION("""COMPUTED_VALUE"""),"USD")</f>
        <v/>
      </c>
      <c r="E661" s="75">
        <f>IFERROR(__xludf.DUMMYFUNCTION("""COMPUTED_VALUE"""),"Efectivo USD")</f>
        <v/>
      </c>
      <c r="F661" s="75">
        <f>IFERROR(__xludf.DUMMYFUNCTION("""COMPUTED_VALUE"""),"Encamotors Catia C.A")</f>
        <v/>
      </c>
      <c r="G661" s="76">
        <f>IFERROR(__xludf.DUMMYFUNCTION("""COMPUTED_VALUE"""),"GRIMAN DIAZ HECTOR EDUARDO")</f>
        <v/>
      </c>
      <c r="H661" s="76">
        <f>IFERROR(__xludf.DUMMYFUNCTION("""COMPUTED_VALUE"""),617.6388)</f>
        <v/>
      </c>
      <c r="I661" s="75" t="n"/>
      <c r="J661" s="77">
        <f>IFERROR(__xludf.DUMMYFUNCTION("""COMPUTED_VALUE"""),49.0)</f>
        <v/>
      </c>
      <c r="K661" s="4">
        <f>IFERROR(__xludf.DUMMYFUNCTION("""COMPUTED_VALUE"""),49.0)</f>
        <v/>
      </c>
      <c r="L661" s="77">
        <f>IFERROR(__xludf.DUMMYFUNCTION("""COMPUTED_VALUE"""),49.0)</f>
        <v/>
      </c>
      <c r="O661" s="72" t="n"/>
      <c r="S661" s="4" t="n"/>
    </row>
    <row r="662">
      <c r="A662" s="74">
        <f>IFERROR(__xludf.DUMMYFUNCTION("""COMPUTED_VALUE"""),46196.0)</f>
        <v/>
      </c>
      <c r="B662" s="72">
        <f>IFERROR(__xludf.DUMMYFUNCTION("""COMPUTED_VALUE"""),245.0)</f>
        <v/>
      </c>
      <c r="C662" s="75">
        <f>IFERROR(__xludf.DUMMYFUNCTION("""COMPUTED_VALUE"""),72.0)</f>
        <v/>
      </c>
      <c r="D662" s="75">
        <f>IFERROR(__xludf.DUMMYFUNCTION("""COMPUTED_VALUE"""),"USD")</f>
        <v/>
      </c>
      <c r="E662" s="75">
        <f>IFERROR(__xludf.DUMMYFUNCTION("""COMPUTED_VALUE"""),"Efectivo USD")</f>
        <v/>
      </c>
      <c r="F662" s="75">
        <f>IFERROR(__xludf.DUMMYFUNCTION("""COMPUTED_VALUE"""),"Barrios Rodríguez Marlon Enrique")</f>
        <v/>
      </c>
      <c r="G662" s="76">
        <f>IFERROR(__xludf.DUMMYFUNCTION("""COMPUTED_VALUE"""),"TORO ARDILES DAVID JOSE")</f>
        <v/>
      </c>
      <c r="H662" s="76">
        <f>IFERROR(__xludf.DUMMYFUNCTION("""COMPUTED_VALUE"""),617.6388)</f>
        <v/>
      </c>
      <c r="I662" s="75" t="n"/>
      <c r="J662" s="77">
        <f>IFERROR(__xludf.DUMMYFUNCTION("""COMPUTED_VALUE"""),72.0)</f>
        <v/>
      </c>
      <c r="K662" s="4">
        <f>IFERROR(__xludf.DUMMYFUNCTION("""COMPUTED_VALUE"""),72.0)</f>
        <v/>
      </c>
      <c r="L662" s="77">
        <f>IFERROR(__xludf.DUMMYFUNCTION("""COMPUTED_VALUE"""),72.0)</f>
        <v/>
      </c>
      <c r="O662" s="72" t="n"/>
      <c r="S662" s="4" t="n"/>
    </row>
    <row r="663">
      <c r="A663" s="74">
        <f>IFERROR(__xludf.DUMMYFUNCTION("""COMPUTED_VALUE"""),46196.0)</f>
        <v/>
      </c>
      <c r="B663" s="72">
        <f>IFERROR(__xludf.DUMMYFUNCTION("""COMPUTED_VALUE"""),222.0)</f>
        <v/>
      </c>
      <c r="C663" s="75">
        <f>IFERROR(__xludf.DUMMYFUNCTION("""COMPUTED_VALUE"""),40.0)</f>
        <v/>
      </c>
      <c r="D663" s="75">
        <f>IFERROR(__xludf.DUMMYFUNCTION("""COMPUTED_VALUE"""),"USD")</f>
        <v/>
      </c>
      <c r="E663" s="75">
        <f>IFERROR(__xludf.DUMMYFUNCTION("""COMPUTED_VALUE"""),"Efectivo USD")</f>
        <v/>
      </c>
      <c r="F663" s="75">
        <f>IFERROR(__xludf.DUMMYFUNCTION("""COMPUTED_VALUE"""),"Braulio R. Cedeño Gonzalez.")</f>
        <v/>
      </c>
      <c r="G663" s="76">
        <f>IFERROR(__xludf.DUMMYFUNCTION("""COMPUTED_VALUE"""),"GRIMAN DIAZ HECTOR EDUARDO")</f>
        <v/>
      </c>
      <c r="H663" s="76">
        <f>IFERROR(__xludf.DUMMYFUNCTION("""COMPUTED_VALUE"""),617.6388)</f>
        <v/>
      </c>
      <c r="I663" s="75" t="n"/>
      <c r="J663" s="77">
        <f>IFERROR(__xludf.DUMMYFUNCTION("""COMPUTED_VALUE"""),40.0)</f>
        <v/>
      </c>
      <c r="K663" s="4">
        <f>IFERROR(__xludf.DUMMYFUNCTION("""COMPUTED_VALUE"""),40.0)</f>
        <v/>
      </c>
      <c r="L663" s="77">
        <f>IFERROR(__xludf.DUMMYFUNCTION("""COMPUTED_VALUE"""),40.0)</f>
        <v/>
      </c>
      <c r="O663" s="72" t="n"/>
      <c r="S663" s="4" t="n"/>
    </row>
    <row r="664">
      <c r="A664" s="74">
        <f>IFERROR(__xludf.DUMMYFUNCTION("""COMPUTED_VALUE"""),46196.0)</f>
        <v/>
      </c>
      <c r="B664" s="72">
        <f>IFERROR(__xludf.DUMMYFUNCTION("""COMPUTED_VALUE"""),243.0)</f>
        <v/>
      </c>
      <c r="C664" s="75">
        <f>IFERROR(__xludf.DUMMYFUNCTION("""COMPUTED_VALUE"""),30000.0)</f>
        <v/>
      </c>
      <c r="D664" s="75">
        <f>IFERROR(__xludf.DUMMYFUNCTION("""COMPUTED_VALUE"""),"VES")</f>
        <v/>
      </c>
      <c r="E664" s="75">
        <f>IFERROR(__xludf.DUMMYFUNCTION("""COMPUTED_VALUE"""),"Bancamiga")</f>
        <v/>
      </c>
      <c r="F664" s="75">
        <f>IFERROR(__xludf.DUMMYFUNCTION("""COMPUTED_VALUE"""),"Cauchera William 2018, C.A")</f>
        <v/>
      </c>
      <c r="G664" s="76">
        <f>IFERROR(__xludf.DUMMYFUNCTION("""COMPUTED_VALUE"""),"MARTINEZ MONTES JEFFREY ENRIQUE")</f>
        <v/>
      </c>
      <c r="H664" s="76">
        <f>IFERROR(__xludf.DUMMYFUNCTION("""COMPUTED_VALUE"""),617.6388)</f>
        <v/>
      </c>
      <c r="I664" s="75" t="n"/>
      <c r="J664" s="77">
        <f>IFERROR(__xludf.DUMMYFUNCTION("""COMPUTED_VALUE"""),48.57207804950078)</f>
        <v/>
      </c>
      <c r="K664" s="4">
        <f>IFERROR(__xludf.DUMMYFUNCTION("""COMPUTED_VALUE"""),0.0)</f>
        <v/>
      </c>
      <c r="L664" s="77">
        <f>IFERROR(__xludf.DUMMYFUNCTION("""COMPUTED_VALUE"""),48.57207804950078)</f>
        <v/>
      </c>
      <c r="O664" s="72" t="n"/>
      <c r="S664" s="4" t="n"/>
    </row>
    <row r="665">
      <c r="A665" s="74">
        <f>IFERROR(__xludf.DUMMYFUNCTION("""COMPUTED_VALUE"""),46196.0)</f>
        <v/>
      </c>
      <c r="B665" s="72">
        <f>IFERROR(__xludf.DUMMYFUNCTION("""COMPUTED_VALUE"""),179.0)</f>
        <v/>
      </c>
      <c r="C665" s="75">
        <f>IFERROR(__xludf.DUMMYFUNCTION("""COMPUTED_VALUE"""),120.0)</f>
        <v/>
      </c>
      <c r="D665" s="75">
        <f>IFERROR(__xludf.DUMMYFUNCTION("""COMPUTED_VALUE"""),"USD")</f>
        <v/>
      </c>
      <c r="E665" s="75">
        <f>IFERROR(__xludf.DUMMYFUNCTION("""COMPUTED_VALUE"""),"Efectivo USD")</f>
        <v/>
      </c>
      <c r="F665" s="75">
        <f>IFERROR(__xludf.DUMMYFUNCTION("""COMPUTED_VALUE"""),"Inversiones Vercris 17 C.A")</f>
        <v/>
      </c>
      <c r="G665" s="76">
        <f>IFERROR(__xludf.DUMMYFUNCTION("""COMPUTED_VALUE"""),"GRIMAN DIAZ HECTOR EDUARDO")</f>
        <v/>
      </c>
      <c r="H665" s="76">
        <f>IFERROR(__xludf.DUMMYFUNCTION("""COMPUTED_VALUE"""),617.6388)</f>
        <v/>
      </c>
      <c r="I665" s="75" t="n"/>
      <c r="J665" s="77">
        <f>IFERROR(__xludf.DUMMYFUNCTION("""COMPUTED_VALUE"""),120.0)</f>
        <v/>
      </c>
      <c r="K665" s="4">
        <f>IFERROR(__xludf.DUMMYFUNCTION("""COMPUTED_VALUE"""),120.0)</f>
        <v/>
      </c>
      <c r="L665" s="77">
        <f>IFERROR(__xludf.DUMMYFUNCTION("""COMPUTED_VALUE"""),120.0)</f>
        <v/>
      </c>
      <c r="O665" s="72" t="n"/>
      <c r="S665" s="4" t="n"/>
    </row>
    <row r="666">
      <c r="A666" s="74">
        <f>IFERROR(__xludf.DUMMYFUNCTION("""COMPUTED_VALUE"""),46196.0)</f>
        <v/>
      </c>
      <c r="B666" s="72">
        <f>IFERROR(__xludf.DUMMYFUNCTION("""COMPUTED_VALUE"""),243.0)</f>
        <v/>
      </c>
      <c r="C666" s="75">
        <f>IFERROR(__xludf.DUMMYFUNCTION("""COMPUTED_VALUE"""),20.0)</f>
        <v/>
      </c>
      <c r="D666" s="75">
        <f>IFERROR(__xludf.DUMMYFUNCTION("""COMPUTED_VALUE"""),"USD")</f>
        <v/>
      </c>
      <c r="E666" s="75">
        <f>IFERROR(__xludf.DUMMYFUNCTION("""COMPUTED_VALUE"""),"Efectivo USD")</f>
        <v/>
      </c>
      <c r="F666" s="75">
        <f>IFERROR(__xludf.DUMMYFUNCTION("""COMPUTED_VALUE"""),"Cauchera William 2018, C.A")</f>
        <v/>
      </c>
      <c r="G666" s="76">
        <f>IFERROR(__xludf.DUMMYFUNCTION("""COMPUTED_VALUE"""),"MARTINEZ MONTES JEFFREY ENRIQUE")</f>
        <v/>
      </c>
      <c r="H666" s="76">
        <f>IFERROR(__xludf.DUMMYFUNCTION("""COMPUTED_VALUE"""),617.6388)</f>
        <v/>
      </c>
      <c r="I666" s="75" t="n"/>
      <c r="J666" s="77">
        <f>IFERROR(__xludf.DUMMYFUNCTION("""COMPUTED_VALUE"""),20.0)</f>
        <v/>
      </c>
      <c r="K666" s="4">
        <f>IFERROR(__xludf.DUMMYFUNCTION("""COMPUTED_VALUE"""),20.0)</f>
        <v/>
      </c>
      <c r="L666" s="77">
        <f>IFERROR(__xludf.DUMMYFUNCTION("""COMPUTED_VALUE"""),20.0)</f>
        <v/>
      </c>
      <c r="O666" s="72" t="n"/>
      <c r="S666" s="4" t="n"/>
    </row>
    <row r="667">
      <c r="A667" s="74">
        <f>IFERROR(__xludf.DUMMYFUNCTION("""COMPUTED_VALUE"""),46196.0)</f>
        <v/>
      </c>
      <c r="B667" s="72">
        <f>IFERROR(__xludf.DUMMYFUNCTION("""COMPUTED_VALUE"""),467.0)</f>
        <v/>
      </c>
      <c r="C667" s="75">
        <f>IFERROR(__xludf.DUMMYFUNCTION("""COMPUTED_VALUE"""),150.0)</f>
        <v/>
      </c>
      <c r="D667" s="75">
        <f>IFERROR(__xludf.DUMMYFUNCTION("""COMPUTED_VALUE"""),"USD")</f>
        <v/>
      </c>
      <c r="E667" s="75">
        <f>IFERROR(__xludf.DUMMYFUNCTION("""COMPUTED_VALUE"""),"Efectivo USD")</f>
        <v/>
      </c>
      <c r="F667" s="75">
        <f>IFERROR(__xludf.DUMMYFUNCTION("""COMPUTED_VALUE"""),"PROYECTO MAQUIVEIRO 21 C.A.")</f>
        <v/>
      </c>
      <c r="G667" s="76">
        <f>IFERROR(__xludf.DUMMYFUNCTION("""COMPUTED_VALUE"""),"MARTINEZ MONTES JEFFREY ENRIQUE")</f>
        <v/>
      </c>
      <c r="H667" s="76">
        <f>IFERROR(__xludf.DUMMYFUNCTION("""COMPUTED_VALUE"""),617.6388)</f>
        <v/>
      </c>
      <c r="I667" s="75" t="n"/>
      <c r="J667" s="77">
        <f>IFERROR(__xludf.DUMMYFUNCTION("""COMPUTED_VALUE"""),150.0)</f>
        <v/>
      </c>
      <c r="K667" s="4">
        <f>IFERROR(__xludf.DUMMYFUNCTION("""COMPUTED_VALUE"""),150.0)</f>
        <v/>
      </c>
      <c r="L667" s="77">
        <f>IFERROR(__xludf.DUMMYFUNCTION("""COMPUTED_VALUE"""),150.0)</f>
        <v/>
      </c>
      <c r="O667" s="72" t="n"/>
      <c r="S667" s="4" t="n"/>
    </row>
    <row r="668">
      <c r="A668" s="74">
        <f>IFERROR(__xludf.DUMMYFUNCTION("""COMPUTED_VALUE"""),46196.0)</f>
        <v/>
      </c>
      <c r="B668" s="72">
        <f>IFERROR(__xludf.DUMMYFUNCTION("""COMPUTED_VALUE"""),36.0)</f>
        <v/>
      </c>
      <c r="C668" s="75">
        <f>IFERROR(__xludf.DUMMYFUNCTION("""COMPUTED_VALUE"""),28276.74)</f>
        <v/>
      </c>
      <c r="D668" s="75">
        <f>IFERROR(__xludf.DUMMYFUNCTION("""COMPUTED_VALUE"""),"VES")</f>
        <v/>
      </c>
      <c r="E668" s="75">
        <f>IFERROR(__xludf.DUMMYFUNCTION("""COMPUTED_VALUE"""),"Bancamiga")</f>
        <v/>
      </c>
      <c r="F668" s="75">
        <f>IFERROR(__xludf.DUMMYFUNCTION("""COMPUTED_VALUE"""),"inversiones El Gran Charles C.A")</f>
        <v/>
      </c>
      <c r="G668" s="76">
        <f>IFERROR(__xludf.DUMMYFUNCTION("""COMPUTED_VALUE"""),"GRIMAN DIAZ HECTOR EDUARDO")</f>
        <v/>
      </c>
      <c r="H668" s="76">
        <f>IFERROR(__xludf.DUMMYFUNCTION("""COMPUTED_VALUE"""),617.6388)</f>
        <v/>
      </c>
      <c r="I668" s="75" t="n"/>
      <c r="J668" s="77">
        <f>IFERROR(__xludf.DUMMYFUNCTION("""COMPUTED_VALUE"""),45.78200074218136)</f>
        <v/>
      </c>
      <c r="K668" s="4">
        <f>IFERROR(__xludf.DUMMYFUNCTION("""COMPUTED_VALUE"""),0.0)</f>
        <v/>
      </c>
      <c r="L668" s="77">
        <f>IFERROR(__xludf.DUMMYFUNCTION("""COMPUTED_VALUE"""),45.78200074218136)</f>
        <v/>
      </c>
      <c r="O668" s="72" t="n"/>
      <c r="S668" s="4" t="n"/>
    </row>
    <row r="669">
      <c r="A669" s="74">
        <f>IFERROR(__xludf.DUMMYFUNCTION("""COMPUTED_VALUE"""),46196.0)</f>
        <v/>
      </c>
      <c r="B669" s="72">
        <f>IFERROR(__xludf.DUMMYFUNCTION("""COMPUTED_VALUE"""),555.0)</f>
        <v/>
      </c>
      <c r="C669" s="75">
        <f>IFERROR(__xludf.DUMMYFUNCTION("""COMPUTED_VALUE"""),21577.54)</f>
        <v/>
      </c>
      <c r="D669" s="75">
        <f>IFERROR(__xludf.DUMMYFUNCTION("""COMPUTED_VALUE"""),"USD")</f>
        <v/>
      </c>
      <c r="E669" s="75">
        <f>IFERROR(__xludf.DUMMYFUNCTION("""COMPUTED_VALUE"""),"Conciliacion")</f>
        <v/>
      </c>
      <c r="F669" s="75">
        <f>IFERROR(__xludf.DUMMYFUNCTION("""COMPUTED_VALUE"""),"AGROPECUARIA LECHE Y MIEL, C.A")</f>
        <v/>
      </c>
      <c r="G669" s="76">
        <f>IFERROR(__xludf.DUMMYFUNCTION("""COMPUTED_VALUE"""),"Marco Romero")</f>
        <v/>
      </c>
      <c r="H669" s="76">
        <f>IFERROR(__xludf.DUMMYFUNCTION("""COMPUTED_VALUE"""),617.6388)</f>
        <v/>
      </c>
      <c r="I669" s="75" t="n"/>
      <c r="J669" s="77">
        <f>IFERROR(__xludf.DUMMYFUNCTION("""COMPUTED_VALUE"""),21577.54)</f>
        <v/>
      </c>
      <c r="K669" s="4">
        <f>IFERROR(__xludf.DUMMYFUNCTION("""COMPUTED_VALUE"""),21577.54)</f>
        <v/>
      </c>
      <c r="L669" s="77">
        <f>IFERROR(__xludf.DUMMYFUNCTION("""COMPUTED_VALUE"""),21577.54)</f>
        <v/>
      </c>
      <c r="O669" s="72" t="n"/>
      <c r="S669" s="4" t="n"/>
    </row>
    <row r="670">
      <c r="A670" s="74">
        <f>IFERROR(__xludf.DUMMYFUNCTION("""COMPUTED_VALUE"""),46196.0)</f>
        <v/>
      </c>
      <c r="B670" s="72">
        <f>IFERROR(__xludf.DUMMYFUNCTION("""COMPUTED_VALUE"""),154.0)</f>
        <v/>
      </c>
      <c r="C670" s="75">
        <f>IFERROR(__xludf.DUMMYFUNCTION("""COMPUTED_VALUE"""),549717.4)</f>
        <v/>
      </c>
      <c r="D670" s="75">
        <f>IFERROR(__xludf.DUMMYFUNCTION("""COMPUTED_VALUE"""),"VES")</f>
        <v/>
      </c>
      <c r="E670" s="75">
        <f>IFERROR(__xludf.DUMMYFUNCTION("""COMPUTED_VALUE"""),"Bancamiga")</f>
        <v/>
      </c>
      <c r="F670" s="75">
        <f>IFERROR(__xludf.DUMMYFUNCTION("""COMPUTED_VALUE"""),"SERVICIOS Y MANTENIMIENTO SPACARS, C.A")</f>
        <v/>
      </c>
      <c r="G670" s="76">
        <f>IFERROR(__xludf.DUMMYFUNCTION("""COMPUTED_VALUE"""),"TORO ARDILES DAVID JOSE")</f>
        <v/>
      </c>
      <c r="H670" s="76">
        <f>IFERROR(__xludf.DUMMYFUNCTION("""COMPUTED_VALUE"""),617.6388)</f>
        <v/>
      </c>
      <c r="I670" s="75" t="n"/>
      <c r="J670" s="77">
        <f>IFERROR(__xludf.DUMMYFUNCTION("""COMPUTED_VALUE"""),890.0305485989547)</f>
        <v/>
      </c>
      <c r="K670" s="4">
        <f>IFERROR(__xludf.DUMMYFUNCTION("""COMPUTED_VALUE"""),0.0)</f>
        <v/>
      </c>
      <c r="L670" s="77">
        <f>IFERROR(__xludf.DUMMYFUNCTION("""COMPUTED_VALUE"""),890.0305485989547)</f>
        <v/>
      </c>
      <c r="O670" s="72" t="n"/>
      <c r="S670" s="4" t="n"/>
    </row>
    <row r="671">
      <c r="A671" s="74">
        <f>IFERROR(__xludf.DUMMYFUNCTION("""COMPUTED_VALUE"""),46202.0)</f>
        <v/>
      </c>
      <c r="B671" s="72">
        <f>IFERROR(__xludf.DUMMYFUNCTION("""COMPUTED_VALUE"""),430.0)</f>
        <v/>
      </c>
      <c r="C671" s="75">
        <f>IFERROR(__xludf.DUMMYFUNCTION("""COMPUTED_VALUE"""),585.0)</f>
        <v/>
      </c>
      <c r="D671" s="75">
        <f>IFERROR(__xludf.DUMMYFUNCTION("""COMPUTED_VALUE"""),"USD")</f>
        <v/>
      </c>
      <c r="E671" s="75">
        <f>IFERROR(__xludf.DUMMYFUNCTION("""COMPUTED_VALUE"""),"Zelle")</f>
        <v/>
      </c>
      <c r="F671" s="75">
        <f>IFERROR(__xludf.DUMMYFUNCTION("""COMPUTED_VALUE"""),"Dimas Ortíz")</f>
        <v/>
      </c>
      <c r="G671" s="76">
        <f>IFERROR(__xludf.DUMMYFUNCTION("""COMPUTED_VALUE"""),"BETANCOURT ROBRIGUEZ LUIS ENRRIQUE")</f>
        <v/>
      </c>
      <c r="H671" s="76">
        <f>IFERROR(__xludf.DUMMYFUNCTION("""COMPUTED_VALUE"""),622.2135)</f>
        <v/>
      </c>
      <c r="I671" s="75" t="n"/>
      <c r="J671" s="77">
        <f>IFERROR(__xludf.DUMMYFUNCTION("""COMPUTED_VALUE"""),585.0)</f>
        <v/>
      </c>
      <c r="K671" s="4">
        <f>IFERROR(__xludf.DUMMYFUNCTION("""COMPUTED_VALUE"""),585.0)</f>
        <v/>
      </c>
      <c r="L671" s="77">
        <f>IFERROR(__xludf.DUMMYFUNCTION("""COMPUTED_VALUE"""),585.0)</f>
        <v/>
      </c>
      <c r="O671" s="72" t="n"/>
      <c r="S671" s="4" t="n"/>
    </row>
    <row r="672">
      <c r="A672" s="74">
        <f>IFERROR(__xludf.DUMMYFUNCTION("""COMPUTED_VALUE"""),46202.0)</f>
        <v/>
      </c>
      <c r="B672" s="72">
        <f>IFERROR(__xludf.DUMMYFUNCTION("""COMPUTED_VALUE"""),607.0)</f>
        <v/>
      </c>
      <c r="C672" s="75">
        <f>IFERROR(__xludf.DUMMYFUNCTION("""COMPUTED_VALUE"""),120.0)</f>
        <v/>
      </c>
      <c r="D672" s="75">
        <f>IFERROR(__xludf.DUMMYFUNCTION("""COMPUTED_VALUE"""),"USD")</f>
        <v/>
      </c>
      <c r="E672" s="75">
        <f>IFERROR(__xludf.DUMMYFUNCTION("""COMPUTED_VALUE"""),"Efectivo USD")</f>
        <v/>
      </c>
      <c r="F672" s="75">
        <f>IFERROR(__xludf.DUMMYFUNCTION("""COMPUTED_VALUE"""),"FREDI MARQUEZ")</f>
        <v/>
      </c>
      <c r="G672" s="76">
        <f>IFERROR(__xludf.DUMMYFUNCTION("""COMPUTED_VALUE"""),"PEREZ DIAZ ANGEL DE DIOS")</f>
        <v/>
      </c>
      <c r="H672" s="76">
        <f>IFERROR(__xludf.DUMMYFUNCTION("""COMPUTED_VALUE"""),622.2135)</f>
        <v/>
      </c>
      <c r="I672" s="75" t="n"/>
      <c r="J672" s="77">
        <f>IFERROR(__xludf.DUMMYFUNCTION("""COMPUTED_VALUE"""),120.0)</f>
        <v/>
      </c>
      <c r="K672" s="4">
        <f>IFERROR(__xludf.DUMMYFUNCTION("""COMPUTED_VALUE"""),120.0)</f>
        <v/>
      </c>
      <c r="L672" s="77">
        <f>IFERROR(__xludf.DUMMYFUNCTION("""COMPUTED_VALUE"""),120.0)</f>
        <v/>
      </c>
      <c r="O672" s="72" t="n"/>
      <c r="S672" s="4" t="n"/>
    </row>
    <row r="673">
      <c r="A673" s="74">
        <f>IFERROR(__xludf.DUMMYFUNCTION("""COMPUTED_VALUE"""),46202.0)</f>
        <v/>
      </c>
      <c r="B673" s="72">
        <f>IFERROR(__xludf.DUMMYFUNCTION("""COMPUTED_VALUE"""),607.0)</f>
        <v/>
      </c>
      <c r="C673" s="75">
        <f>IFERROR(__xludf.DUMMYFUNCTION("""COMPUTED_VALUE"""),68302.16)</f>
        <v/>
      </c>
      <c r="D673" s="75">
        <f>IFERROR(__xludf.DUMMYFUNCTION("""COMPUTED_VALUE"""),"VES")</f>
        <v/>
      </c>
      <c r="E673" s="75">
        <f>IFERROR(__xludf.DUMMYFUNCTION("""COMPUTED_VALUE"""),"Bancamiga")</f>
        <v/>
      </c>
      <c r="F673" s="75">
        <f>IFERROR(__xludf.DUMMYFUNCTION("""COMPUTED_VALUE"""),"FREDI MARQUEZ")</f>
        <v/>
      </c>
      <c r="G673" s="76">
        <f>IFERROR(__xludf.DUMMYFUNCTION("""COMPUTED_VALUE"""),"PEREZ DIAZ ANGEL DE DIOS")</f>
        <v/>
      </c>
      <c r="H673" s="76">
        <f>IFERROR(__xludf.DUMMYFUNCTION("""COMPUTED_VALUE"""),622.2135)</f>
        <v/>
      </c>
      <c r="I673" s="75" t="n"/>
      <c r="J673" s="77">
        <f>IFERROR(__xludf.DUMMYFUNCTION("""COMPUTED_VALUE"""),109.77286735180128)</f>
        <v/>
      </c>
      <c r="K673" s="4">
        <f>IFERROR(__xludf.DUMMYFUNCTION("""COMPUTED_VALUE"""),0.0)</f>
        <v/>
      </c>
      <c r="L673" s="77">
        <f>IFERROR(__xludf.DUMMYFUNCTION("""COMPUTED_VALUE"""),109.77286735180128)</f>
        <v/>
      </c>
      <c r="O673" s="72" t="n"/>
      <c r="S673" s="4" t="n"/>
    </row>
    <row r="674">
      <c r="A674" s="74">
        <f>IFERROR(__xludf.DUMMYFUNCTION("""COMPUTED_VALUE"""),46202.0)</f>
        <v/>
      </c>
      <c r="B674" s="72">
        <f>IFERROR(__xludf.DUMMYFUNCTION("""COMPUTED_VALUE"""),339.0)</f>
        <v/>
      </c>
      <c r="C674" s="75">
        <f>IFERROR(__xludf.DUMMYFUNCTION("""COMPUTED_VALUE"""),232352.52)</f>
        <v/>
      </c>
      <c r="D674" s="75">
        <f>IFERROR(__xludf.DUMMYFUNCTION("""COMPUTED_VALUE"""),"VES")</f>
        <v/>
      </c>
      <c r="E674" s="75">
        <f>IFERROR(__xludf.DUMMYFUNCTION("""COMPUTED_VALUE"""),"Bancamiga")</f>
        <v/>
      </c>
      <c r="F674" s="75">
        <f>IFERROR(__xludf.DUMMYFUNCTION("""COMPUTED_VALUE"""),"La cámara perfecta")</f>
        <v/>
      </c>
      <c r="G674" s="76">
        <f>IFERROR(__xludf.DUMMYFUNCTION("""COMPUTED_VALUE"""),"PEREZ DIAZ ANGEL DE DIOS")</f>
        <v/>
      </c>
      <c r="H674" s="76">
        <f>IFERROR(__xludf.DUMMYFUNCTION("""COMPUTED_VALUE"""),622.2135)</f>
        <v/>
      </c>
      <c r="I674" s="75" t="n"/>
      <c r="J674" s="77">
        <f>IFERROR(__xludf.DUMMYFUNCTION("""COMPUTED_VALUE"""),373.428927530502)</f>
        <v/>
      </c>
      <c r="K674" s="4">
        <f>IFERROR(__xludf.DUMMYFUNCTION("""COMPUTED_VALUE"""),0.0)</f>
        <v/>
      </c>
      <c r="L674" s="77">
        <f>IFERROR(__xludf.DUMMYFUNCTION("""COMPUTED_VALUE"""),373.428927530502)</f>
        <v/>
      </c>
      <c r="O674" s="72" t="n"/>
      <c r="S674" s="4" t="n"/>
    </row>
    <row r="675">
      <c r="A675" s="74">
        <f>IFERROR(__xludf.DUMMYFUNCTION("""COMPUTED_VALUE"""),46202.0)</f>
        <v/>
      </c>
      <c r="B675" s="72">
        <f>IFERROR(__xludf.DUMMYFUNCTION("""COMPUTED_VALUE"""),472.0)</f>
        <v/>
      </c>
      <c r="C675" s="75">
        <f>IFERROR(__xludf.DUMMYFUNCTION("""COMPUTED_VALUE"""),153424.0)</f>
        <v/>
      </c>
      <c r="D675" s="75">
        <f>IFERROR(__xludf.DUMMYFUNCTION("""COMPUTED_VALUE"""),"VES")</f>
        <v/>
      </c>
      <c r="E675" s="75">
        <f>IFERROR(__xludf.DUMMYFUNCTION("""COMPUTED_VALUE"""),"Bancamiga")</f>
        <v/>
      </c>
      <c r="F675" s="75">
        <f>IFERROR(__xludf.DUMMYFUNCTION("""COMPUTED_VALUE"""),"Antonio Terán")</f>
        <v/>
      </c>
      <c r="G675" s="76">
        <f>IFERROR(__xludf.DUMMYFUNCTION("""COMPUTED_VALUE"""),"PEREZ DIAZ ANGEL DE DIOS")</f>
        <v/>
      </c>
      <c r="H675" s="76">
        <f>IFERROR(__xludf.DUMMYFUNCTION("""COMPUTED_VALUE"""),622.2135)</f>
        <v/>
      </c>
      <c r="I675" s="75" t="n"/>
      <c r="J675" s="77">
        <f>IFERROR(__xludf.DUMMYFUNCTION("""COMPUTED_VALUE"""),246.57774220585057)</f>
        <v/>
      </c>
      <c r="K675" s="4">
        <f>IFERROR(__xludf.DUMMYFUNCTION("""COMPUTED_VALUE"""),0.0)</f>
        <v/>
      </c>
      <c r="L675" s="77">
        <f>IFERROR(__xludf.DUMMYFUNCTION("""COMPUTED_VALUE"""),246.57774220585057)</f>
        <v/>
      </c>
      <c r="O675" s="72" t="n"/>
      <c r="S675" s="4" t="n"/>
    </row>
    <row r="676">
      <c r="A676" s="74">
        <f>IFERROR(__xludf.DUMMYFUNCTION("""COMPUTED_VALUE"""),46203.0)</f>
        <v/>
      </c>
      <c r="B676" s="72">
        <f>IFERROR(__xludf.DUMMYFUNCTION("""COMPUTED_VALUE"""),473.0)</f>
        <v/>
      </c>
      <c r="C676" s="75">
        <f>IFERROR(__xludf.DUMMYFUNCTION("""COMPUTED_VALUE"""),105083.0)</f>
        <v/>
      </c>
      <c r="D676" s="75">
        <f>IFERROR(__xludf.DUMMYFUNCTION("""COMPUTED_VALUE"""),"VES")</f>
        <v/>
      </c>
      <c r="E676" s="75">
        <f>IFERROR(__xludf.DUMMYFUNCTION("""COMPUTED_VALUE"""),"Bancamiga")</f>
        <v/>
      </c>
      <c r="F676" s="75">
        <f>IFERROR(__xludf.DUMMYFUNCTION("""COMPUTED_VALUE"""),"Yeifri Alexander Marquez Zerpa")</f>
        <v/>
      </c>
      <c r="G676" s="76">
        <f>IFERROR(__xludf.DUMMYFUNCTION("""COMPUTED_VALUE"""),"QUEVEDO BASTIDAS NEYKEL DAVID")</f>
        <v/>
      </c>
      <c r="H676" s="76">
        <f>IFERROR(__xludf.DUMMYFUNCTION("""COMPUTED_VALUE"""),623.0223)</f>
        <v/>
      </c>
      <c r="I676" s="75" t="n"/>
      <c r="J676" s="77">
        <f>IFERROR(__xludf.DUMMYFUNCTION("""COMPUTED_VALUE"""),168.66651482619483)</f>
        <v/>
      </c>
      <c r="K676" s="4">
        <f>IFERROR(__xludf.DUMMYFUNCTION("""COMPUTED_VALUE"""),0.0)</f>
        <v/>
      </c>
      <c r="L676" s="77">
        <f>IFERROR(__xludf.DUMMYFUNCTION("""COMPUTED_VALUE"""),168.66651482619483)</f>
        <v/>
      </c>
      <c r="O676" s="72" t="n"/>
      <c r="S676" s="4" t="n"/>
    </row>
    <row r="677">
      <c r="A677" s="74">
        <f>IFERROR(__xludf.DUMMYFUNCTION("""COMPUTED_VALUE"""),46203.0)</f>
        <v/>
      </c>
      <c r="B677" s="72">
        <f>IFERROR(__xludf.DUMMYFUNCTION("""COMPUTED_VALUE"""),580.0)</f>
        <v/>
      </c>
      <c r="C677" s="75">
        <f>IFERROR(__xludf.DUMMYFUNCTION("""COMPUTED_VALUE"""),62302.23)</f>
        <v/>
      </c>
      <c r="D677" s="75">
        <f>IFERROR(__xludf.DUMMYFUNCTION("""COMPUTED_VALUE"""),"VES")</f>
        <v/>
      </c>
      <c r="E677" s="75">
        <f>IFERROR(__xludf.DUMMYFUNCTION("""COMPUTED_VALUE"""),"Bancamiga")</f>
        <v/>
      </c>
      <c r="F677" s="75">
        <f>IFERROR(__xludf.DUMMYFUNCTION("""COMPUTED_VALUE"""),"Sandra Katherine Quintero Crespo")</f>
        <v/>
      </c>
      <c r="G677" s="76">
        <f>IFERROR(__xludf.DUMMYFUNCTION("""COMPUTED_VALUE"""),"QUEVEDO BASTIDAS NEYKEL DAVID")</f>
        <v/>
      </c>
      <c r="H677" s="76">
        <f>IFERROR(__xludf.DUMMYFUNCTION("""COMPUTED_VALUE"""),623.0223)</f>
        <v/>
      </c>
      <c r="I677" s="75">
        <f>IFERROR(__xludf.DUMMYFUNCTION("""COMPUTED_VALUE"""),766.4)</f>
        <v/>
      </c>
      <c r="J677" s="77">
        <f>IFERROR(__xludf.DUMMYFUNCTION("""COMPUTED_VALUE"""),100.00000000000001)</f>
        <v/>
      </c>
      <c r="K677" s="4">
        <f>IFERROR(__xludf.DUMMYFUNCTION("""COMPUTED_VALUE"""),81.29205375782881)</f>
        <v/>
      </c>
      <c r="L677" s="77">
        <f>IFERROR(__xludf.DUMMYFUNCTION("""COMPUTED_VALUE"""),100.00000000000001)</f>
        <v/>
      </c>
      <c r="O677" s="72" t="n"/>
      <c r="S677" s="4" t="n"/>
    </row>
    <row r="678">
      <c r="A678" s="74">
        <f>IFERROR(__xludf.DUMMYFUNCTION("""COMPUTED_VALUE"""),46203.0)</f>
        <v/>
      </c>
      <c r="B678" s="72">
        <f>IFERROR(__xludf.DUMMYFUNCTION("""COMPUTED_VALUE"""),411.0)</f>
        <v/>
      </c>
      <c r="C678" s="75">
        <f>IFERROR(__xludf.DUMMYFUNCTION("""COMPUTED_VALUE"""),160.0)</f>
        <v/>
      </c>
      <c r="D678" s="75">
        <f>IFERROR(__xludf.DUMMYFUNCTION("""COMPUTED_VALUE"""),"USD")</f>
        <v/>
      </c>
      <c r="E678" s="75">
        <f>IFERROR(__xludf.DUMMYFUNCTION("""COMPUTED_VALUE"""),"Efectivo USD")</f>
        <v/>
      </c>
      <c r="F678" s="75">
        <f>IFERROR(__xludf.DUMMYFUNCTION("""COMPUTED_VALUE"""),"Pedro Castro")</f>
        <v/>
      </c>
      <c r="G678" s="76">
        <f>IFERROR(__xludf.DUMMYFUNCTION("""COMPUTED_VALUE"""),"BETANCOURT ROBRIGUEZ LUIS ENRRIQUE")</f>
        <v/>
      </c>
      <c r="H678" s="76">
        <f>IFERROR(__xludf.DUMMYFUNCTION("""COMPUTED_VALUE"""),623.0223)</f>
        <v/>
      </c>
      <c r="I678" s="75" t="n"/>
      <c r="J678" s="77">
        <f>IFERROR(__xludf.DUMMYFUNCTION("""COMPUTED_VALUE"""),160.0)</f>
        <v/>
      </c>
      <c r="K678" s="4">
        <f>IFERROR(__xludf.DUMMYFUNCTION("""COMPUTED_VALUE"""),160.0)</f>
        <v/>
      </c>
      <c r="L678" s="77">
        <f>IFERROR(__xludf.DUMMYFUNCTION("""COMPUTED_VALUE"""),160.0)</f>
        <v/>
      </c>
      <c r="O678" s="72" t="n"/>
      <c r="S678" s="4" t="n"/>
    </row>
    <row r="679">
      <c r="A679" s="74">
        <f>IFERROR(__xludf.DUMMYFUNCTION("""COMPUTED_VALUE"""),46203.0)</f>
        <v/>
      </c>
      <c r="B679" s="72">
        <f>IFERROR(__xludf.DUMMYFUNCTION("""COMPUTED_VALUE"""),530.0)</f>
        <v/>
      </c>
      <c r="C679" s="75">
        <f>IFERROR(__xludf.DUMMYFUNCTION("""COMPUTED_VALUE"""),200.0)</f>
        <v/>
      </c>
      <c r="D679" s="75">
        <f>IFERROR(__xludf.DUMMYFUNCTION("""COMPUTED_VALUE"""),"USD")</f>
        <v/>
      </c>
      <c r="E679" s="75">
        <f>IFERROR(__xludf.DUMMYFUNCTION("""COMPUTED_VALUE"""),"Efectivo USD")</f>
        <v/>
      </c>
      <c r="F679" s="75">
        <f>IFERROR(__xludf.DUMMYFUNCTION("""COMPUTED_VALUE"""),"Motolavado Yahir")</f>
        <v/>
      </c>
      <c r="G679" s="76">
        <f>IFERROR(__xludf.DUMMYFUNCTION("""COMPUTED_VALUE"""),"GRIMAN DIAZ HECTOR EDUARDO")</f>
        <v/>
      </c>
      <c r="H679" s="76">
        <f>IFERROR(__xludf.DUMMYFUNCTION("""COMPUTED_VALUE"""),623.0223)</f>
        <v/>
      </c>
      <c r="I679" s="75" t="n"/>
      <c r="J679" s="77">
        <f>IFERROR(__xludf.DUMMYFUNCTION("""COMPUTED_VALUE"""),200.0)</f>
        <v/>
      </c>
      <c r="K679" s="4">
        <f>IFERROR(__xludf.DUMMYFUNCTION("""COMPUTED_VALUE"""),200.0)</f>
        <v/>
      </c>
      <c r="L679" s="77">
        <f>IFERROR(__xludf.DUMMYFUNCTION("""COMPUTED_VALUE"""),200.0)</f>
        <v/>
      </c>
      <c r="O679" s="72" t="n"/>
      <c r="S679" s="4" t="n"/>
    </row>
    <row r="680">
      <c r="A680" s="74">
        <f>IFERROR(__xludf.DUMMYFUNCTION("""COMPUTED_VALUE"""),46204.0)</f>
        <v/>
      </c>
      <c r="B680" s="72">
        <f>IFERROR(__xludf.DUMMYFUNCTION("""COMPUTED_VALUE"""),607.0)</f>
        <v/>
      </c>
      <c r="C680" s="75">
        <f>IFERROR(__xludf.DUMMYFUNCTION("""COMPUTED_VALUE"""),53792.24)</f>
        <v/>
      </c>
      <c r="D680" s="75">
        <f>IFERROR(__xludf.DUMMYFUNCTION("""COMPUTED_VALUE"""),"VES")</f>
        <v/>
      </c>
      <c r="E680" s="75">
        <f>IFERROR(__xludf.DUMMYFUNCTION("""COMPUTED_VALUE"""),"Bancamiga")</f>
        <v/>
      </c>
      <c r="F680" s="75">
        <f>IFERROR(__xludf.DUMMYFUNCTION("""COMPUTED_VALUE"""),"FREDI MARQUEZ")</f>
        <v/>
      </c>
      <c r="G680" s="76">
        <f>IFERROR(__xludf.DUMMYFUNCTION("""COMPUTED_VALUE"""),"PEREZ DIAZ ANGEL DE DIOS")</f>
        <v/>
      </c>
      <c r="H680" s="76">
        <f>IFERROR(__xludf.DUMMYFUNCTION("""COMPUTED_VALUE"""),633.3644)</f>
        <v/>
      </c>
      <c r="I680" s="75">
        <f>IFERROR(__xludf.DUMMYFUNCTION("""COMPUTED_VALUE"""),767.72)</f>
        <v/>
      </c>
      <c r="J680" s="77">
        <f>IFERROR(__xludf.DUMMYFUNCTION("""COMPUTED_VALUE"""),84.93094970288824)</f>
        <v/>
      </c>
      <c r="K680" s="4">
        <f>IFERROR(__xludf.DUMMYFUNCTION("""COMPUTED_VALUE"""),70.06752461835043)</f>
        <v/>
      </c>
      <c r="L680" s="77">
        <f>IFERROR(__xludf.DUMMYFUNCTION("""COMPUTED_VALUE"""),84.93094970288824)</f>
        <v/>
      </c>
      <c r="O680" s="72" t="n"/>
      <c r="S680" s="4" t="n"/>
    </row>
    <row r="681">
      <c r="A681" s="74">
        <f>IFERROR(__xludf.DUMMYFUNCTION("""COMPUTED_VALUE"""),46204.0)</f>
        <v/>
      </c>
      <c r="B681" s="72">
        <f>IFERROR(__xludf.DUMMYFUNCTION("""COMPUTED_VALUE"""),207.0)</f>
        <v/>
      </c>
      <c r="C681" s="75">
        <f>IFERROR(__xludf.DUMMYFUNCTION("""COMPUTED_VALUE"""),91.0)</f>
        <v/>
      </c>
      <c r="D681" s="75">
        <f>IFERROR(__xludf.DUMMYFUNCTION("""COMPUTED_VALUE"""),"USD")</f>
        <v/>
      </c>
      <c r="E681" s="75">
        <f>IFERROR(__xludf.DUMMYFUNCTION("""COMPUTED_VALUE"""),"Efectivo USD")</f>
        <v/>
      </c>
      <c r="F681" s="75">
        <f>IFERROR(__xludf.DUMMYFUNCTION("""COMPUTED_VALUE"""),"Ingrit Martinez")</f>
        <v/>
      </c>
      <c r="G681" s="76">
        <f>IFERROR(__xludf.DUMMYFUNCTION("""COMPUTED_VALUE"""),"CASERES GONZALEZ RONALD OSWALDO")</f>
        <v/>
      </c>
      <c r="H681" s="76">
        <f>IFERROR(__xludf.DUMMYFUNCTION("""COMPUTED_VALUE"""),633.3644)</f>
        <v/>
      </c>
      <c r="I681" s="75" t="n"/>
      <c r="J681" s="77">
        <f>IFERROR(__xludf.DUMMYFUNCTION("""COMPUTED_VALUE"""),91.0)</f>
        <v/>
      </c>
      <c r="K681" s="4">
        <f>IFERROR(__xludf.DUMMYFUNCTION("""COMPUTED_VALUE"""),91.0)</f>
        <v/>
      </c>
      <c r="L681" s="77">
        <f>IFERROR(__xludf.DUMMYFUNCTION("""COMPUTED_VALUE"""),91.0)</f>
        <v/>
      </c>
      <c r="O681" s="72" t="n"/>
      <c r="S681" s="4" t="n"/>
    </row>
    <row r="682">
      <c r="A682" s="74">
        <f>IFERROR(__xludf.DUMMYFUNCTION("""COMPUTED_VALUE"""),46204.0)</f>
        <v/>
      </c>
      <c r="B682" s="72">
        <f>IFERROR(__xludf.DUMMYFUNCTION("""COMPUTED_VALUE"""),542.0)</f>
        <v/>
      </c>
      <c r="C682" s="75">
        <f>IFERROR(__xludf.DUMMYFUNCTION("""COMPUTED_VALUE"""),386.0)</f>
        <v/>
      </c>
      <c r="D682" s="75">
        <f>IFERROR(__xludf.DUMMYFUNCTION("""COMPUTED_VALUE"""),"USD")</f>
        <v/>
      </c>
      <c r="E682" s="75">
        <f>IFERROR(__xludf.DUMMYFUNCTION("""COMPUTED_VALUE"""),"Efectivo USD")</f>
        <v/>
      </c>
      <c r="F682" s="75">
        <f>IFERROR(__xludf.DUMMYFUNCTION("""COMPUTED_VALUE"""),"Alexander Quiroz")</f>
        <v/>
      </c>
      <c r="G682" s="76">
        <f>IFERROR(__xludf.DUMMYFUNCTION("""COMPUTED_VALUE"""),"BETANCOURT ROBRIGUEZ LUIS ENRRIQUE")</f>
        <v/>
      </c>
      <c r="H682" s="76">
        <f>IFERROR(__xludf.DUMMYFUNCTION("""COMPUTED_VALUE"""),633.3644)</f>
        <v/>
      </c>
      <c r="I682" s="75" t="n"/>
      <c r="J682" s="77">
        <f>IFERROR(__xludf.DUMMYFUNCTION("""COMPUTED_VALUE"""),386.0)</f>
        <v/>
      </c>
      <c r="K682" s="4">
        <f>IFERROR(__xludf.DUMMYFUNCTION("""COMPUTED_VALUE"""),386.0)</f>
        <v/>
      </c>
      <c r="L682" s="77">
        <f>IFERROR(__xludf.DUMMYFUNCTION("""COMPUTED_VALUE"""),386.0)</f>
        <v/>
      </c>
      <c r="O682" s="72" t="n"/>
      <c r="S682" s="4" t="n"/>
    </row>
    <row r="683">
      <c r="A683" s="74">
        <f>IFERROR(__xludf.DUMMYFUNCTION("""COMPUTED_VALUE"""),46204.0)</f>
        <v/>
      </c>
      <c r="B683" s="72">
        <f>IFERROR(__xludf.DUMMYFUNCTION("""COMPUTED_VALUE"""),353.0)</f>
        <v/>
      </c>
      <c r="C683" s="75">
        <f>IFERROR(__xludf.DUMMYFUNCTION("""COMPUTED_VALUE"""),37025.0)</f>
        <v/>
      </c>
      <c r="D683" s="75">
        <f>IFERROR(__xludf.DUMMYFUNCTION("""COMPUTED_VALUE"""),"VES")</f>
        <v/>
      </c>
      <c r="E683" s="75">
        <f>IFERROR(__xludf.DUMMYFUNCTION("""COMPUTED_VALUE"""),"Bancamiga")</f>
        <v/>
      </c>
      <c r="F683" s="75">
        <f>IFERROR(__xludf.DUMMYFUNCTION("""COMPUTED_VALUE"""),"Emprendimiento Tomas Paz")</f>
        <v/>
      </c>
      <c r="G683" s="76">
        <f>IFERROR(__xludf.DUMMYFUNCTION("""COMPUTED_VALUE"""),"TORO ARDILES DAVID JOSE")</f>
        <v/>
      </c>
      <c r="H683" s="76">
        <f>IFERROR(__xludf.DUMMYFUNCTION("""COMPUTED_VALUE"""),633.3644)</f>
        <v/>
      </c>
      <c r="I683" s="75" t="n"/>
      <c r="J683" s="77">
        <f>IFERROR(__xludf.DUMMYFUNCTION("""COMPUTED_VALUE"""),58.45765881378871)</f>
        <v/>
      </c>
      <c r="K683" s="4">
        <f>IFERROR(__xludf.DUMMYFUNCTION("""COMPUTED_VALUE"""),0.0)</f>
        <v/>
      </c>
      <c r="L683" s="77">
        <f>IFERROR(__xludf.DUMMYFUNCTION("""COMPUTED_VALUE"""),58.45765881378871)</f>
        <v/>
      </c>
      <c r="O683" s="72" t="n"/>
      <c r="S683" s="4" t="n"/>
    </row>
    <row r="684">
      <c r="A684" s="74">
        <f>IFERROR(__xludf.DUMMYFUNCTION("""COMPUTED_VALUE"""),46205.0)</f>
        <v/>
      </c>
      <c r="B684" s="72">
        <f>IFERROR(__xludf.DUMMYFUNCTION("""COMPUTED_VALUE"""),609.0)</f>
        <v/>
      </c>
      <c r="C684" s="75">
        <f>IFERROR(__xludf.DUMMYFUNCTION("""COMPUTED_VALUE"""),71.0)</f>
        <v/>
      </c>
      <c r="D684" s="75">
        <f>IFERROR(__xludf.DUMMYFUNCTION("""COMPUTED_VALUE"""),"USD")</f>
        <v/>
      </c>
      <c r="E684" s="75">
        <f>IFERROR(__xludf.DUMMYFUNCTION("""COMPUTED_VALUE"""),"Efectivo USD")</f>
        <v/>
      </c>
      <c r="F684" s="75">
        <f>IFERROR(__xludf.DUMMYFUNCTION("""COMPUTED_VALUE"""),"GRIMAN DIAZ HECTOR EDUARDO")</f>
        <v/>
      </c>
      <c r="G684" s="76">
        <f>IFERROR(__xludf.DUMMYFUNCTION("""COMPUTED_VALUE"""),"CASERES GONZALEZ RONALD OSWALDO")</f>
        <v/>
      </c>
      <c r="H684" s="76">
        <f>IFERROR(__xludf.DUMMYFUNCTION("""COMPUTED_VALUE"""),639.7029)</f>
        <v/>
      </c>
      <c r="I684" s="75" t="n"/>
      <c r="J684" s="77">
        <f>IFERROR(__xludf.DUMMYFUNCTION("""COMPUTED_VALUE"""),71.0)</f>
        <v/>
      </c>
      <c r="K684" s="4">
        <f>IFERROR(__xludf.DUMMYFUNCTION("""COMPUTED_VALUE"""),71.0)</f>
        <v/>
      </c>
      <c r="L684" s="77">
        <f>IFERROR(__xludf.DUMMYFUNCTION("""COMPUTED_VALUE"""),71.0)</f>
        <v/>
      </c>
      <c r="O684" s="72" t="n"/>
      <c r="S684" s="4" t="n"/>
    </row>
    <row r="685">
      <c r="A685" s="74">
        <f>IFERROR(__xludf.DUMMYFUNCTION("""COMPUTED_VALUE"""),46185.0)</f>
        <v/>
      </c>
      <c r="B685" s="72">
        <f>IFERROR(__xludf.DUMMYFUNCTION("""COMPUTED_VALUE"""),558.0)</f>
        <v/>
      </c>
      <c r="C685" s="75">
        <f>IFERROR(__xludf.DUMMYFUNCTION("""COMPUTED_VALUE"""),136.0)</f>
        <v/>
      </c>
      <c r="D685" s="75">
        <f>IFERROR(__xludf.DUMMYFUNCTION("""COMPUTED_VALUE"""),"USD")</f>
        <v/>
      </c>
      <c r="E685" s="75">
        <f>IFERROR(__xludf.DUMMYFUNCTION("""COMPUTED_VALUE"""),"Efectivo USD")</f>
        <v/>
      </c>
      <c r="F685" s="75">
        <f>IFERROR(__xludf.DUMMYFUNCTION("""COMPUTED_VALUE"""),"Carlos Bravo")</f>
        <v/>
      </c>
      <c r="G685" s="76">
        <f>IFERROR(__xludf.DUMMYFUNCTION("""COMPUTED_VALUE"""),"CASERES GONZALEZ RONALD OSWALDO")</f>
        <v/>
      </c>
      <c r="H685" s="76">
        <f>IFERROR(__xludf.DUMMYFUNCTION("""COMPUTED_VALUE"""),582.6862)</f>
        <v/>
      </c>
      <c r="I685" s="75" t="n"/>
      <c r="J685" s="77">
        <f>IFERROR(__xludf.DUMMYFUNCTION("""COMPUTED_VALUE"""),136.0)</f>
        <v/>
      </c>
      <c r="K685" s="4">
        <f>IFERROR(__xludf.DUMMYFUNCTION("""COMPUTED_VALUE"""),136.0)</f>
        <v/>
      </c>
      <c r="L685" s="77">
        <f>IFERROR(__xludf.DUMMYFUNCTION("""COMPUTED_VALUE"""),136.0)</f>
        <v/>
      </c>
      <c r="O685" s="72" t="n"/>
      <c r="S685" s="4" t="n"/>
    </row>
    <row r="686">
      <c r="A686" s="74">
        <f>IFERROR(__xludf.DUMMYFUNCTION("""COMPUTED_VALUE"""),46205.0)</f>
        <v/>
      </c>
      <c r="B686" s="72">
        <f>IFERROR(__xludf.DUMMYFUNCTION("""COMPUTED_VALUE"""),339.0)</f>
        <v/>
      </c>
      <c r="C686" s="75">
        <f>IFERROR(__xludf.DUMMYFUNCTION("""COMPUTED_VALUE"""),150.0)</f>
        <v/>
      </c>
      <c r="D686" s="75">
        <f>IFERROR(__xludf.DUMMYFUNCTION("""COMPUTED_VALUE"""),"USD")</f>
        <v/>
      </c>
      <c r="E686" s="75">
        <f>IFERROR(__xludf.DUMMYFUNCTION("""COMPUTED_VALUE"""),"Efectivo USD")</f>
        <v/>
      </c>
      <c r="F686" s="75">
        <f>IFERROR(__xludf.DUMMYFUNCTION("""COMPUTED_VALUE"""),"La cámara perfecta")</f>
        <v/>
      </c>
      <c r="G686" s="76">
        <f>IFERROR(__xludf.DUMMYFUNCTION("""COMPUTED_VALUE"""),"PEREZ DIAZ ANGEL DE DIOS")</f>
        <v/>
      </c>
      <c r="H686" s="76">
        <f>IFERROR(__xludf.DUMMYFUNCTION("""COMPUTED_VALUE"""),639.7029)</f>
        <v/>
      </c>
      <c r="I686" s="75" t="n"/>
      <c r="J686" s="77">
        <f>IFERROR(__xludf.DUMMYFUNCTION("""COMPUTED_VALUE"""),150.0)</f>
        <v/>
      </c>
      <c r="K686" s="4">
        <f>IFERROR(__xludf.DUMMYFUNCTION("""COMPUTED_VALUE"""),150.0)</f>
        <v/>
      </c>
      <c r="L686" s="77">
        <f>IFERROR(__xludf.DUMMYFUNCTION("""COMPUTED_VALUE"""),150.0)</f>
        <v/>
      </c>
      <c r="O686" s="72" t="n"/>
      <c r="S686" s="4" t="n"/>
    </row>
    <row r="687">
      <c r="A687" s="74">
        <f>IFERROR(__xludf.DUMMYFUNCTION("""COMPUTED_VALUE"""),46205.0)</f>
        <v/>
      </c>
      <c r="B687" s="72">
        <f>IFERROR(__xludf.DUMMYFUNCTION("""COMPUTED_VALUE"""),472.0)</f>
        <v/>
      </c>
      <c r="C687" s="75">
        <f>IFERROR(__xludf.DUMMYFUNCTION("""COMPUTED_VALUE"""),138813.56)</f>
        <v/>
      </c>
      <c r="D687" s="75">
        <f>IFERROR(__xludf.DUMMYFUNCTION("""COMPUTED_VALUE"""),"VES")</f>
        <v/>
      </c>
      <c r="E687" s="75">
        <f>IFERROR(__xludf.DUMMYFUNCTION("""COMPUTED_VALUE"""),"Bancamiga")</f>
        <v/>
      </c>
      <c r="F687" s="75">
        <f>IFERROR(__xludf.DUMMYFUNCTION("""COMPUTED_VALUE"""),"Antonio Terán")</f>
        <v/>
      </c>
      <c r="G687" s="76">
        <f>IFERROR(__xludf.DUMMYFUNCTION("""COMPUTED_VALUE"""),"PEREZ DIAZ ANGEL DE DIOS")</f>
        <v/>
      </c>
      <c r="H687" s="76">
        <f>IFERROR(__xludf.DUMMYFUNCTION("""COMPUTED_VALUE"""),639.7029)</f>
        <v/>
      </c>
      <c r="I687" s="75" t="n"/>
      <c r="J687" s="77">
        <f>IFERROR(__xludf.DUMMYFUNCTION("""COMPUTED_VALUE"""),216.99692153967098)</f>
        <v/>
      </c>
      <c r="K687" s="4">
        <f>IFERROR(__xludf.DUMMYFUNCTION("""COMPUTED_VALUE"""),0.0)</f>
        <v/>
      </c>
      <c r="L687" s="77">
        <f>IFERROR(__xludf.DUMMYFUNCTION("""COMPUTED_VALUE"""),216.99692153967098)</f>
        <v/>
      </c>
      <c r="O687" s="72" t="n"/>
      <c r="S687" s="4" t="n"/>
    </row>
    <row r="688">
      <c r="A688" s="74">
        <f>IFERROR(__xludf.DUMMYFUNCTION("""COMPUTED_VALUE"""),46205.0)</f>
        <v/>
      </c>
      <c r="B688" s="72">
        <f>IFERROR(__xludf.DUMMYFUNCTION("""COMPUTED_VALUE"""),617.0)</f>
        <v/>
      </c>
      <c r="C688" s="75">
        <f>IFERROR(__xludf.DUMMYFUNCTION("""COMPUTED_VALUE"""),133.48)</f>
        <v/>
      </c>
      <c r="D688" s="75">
        <f>IFERROR(__xludf.DUMMYFUNCTION("""COMPUTED_VALUE"""),"USD")</f>
        <v/>
      </c>
      <c r="E688" s="75">
        <f>IFERROR(__xludf.DUMMYFUNCTION("""COMPUTED_VALUE"""),"Binance")</f>
        <v/>
      </c>
      <c r="F688" s="75">
        <f>IFERROR(__xludf.DUMMYFUNCTION("""COMPUTED_VALUE"""),"Anthony Jose Quijada Diaz.")</f>
        <v/>
      </c>
      <c r="G688" s="76">
        <f>IFERROR(__xludf.DUMMYFUNCTION("""COMPUTED_VALUE"""),"CASERES GONZALEZ RONALD OSWALDO")</f>
        <v/>
      </c>
      <c r="H688" s="76">
        <f>IFERROR(__xludf.DUMMYFUNCTION("""COMPUTED_VALUE"""),639.7029)</f>
        <v/>
      </c>
      <c r="I688" s="75" t="n"/>
      <c r="J688" s="77">
        <f>IFERROR(__xludf.DUMMYFUNCTION("""COMPUTED_VALUE"""),133.48)</f>
        <v/>
      </c>
      <c r="K688" s="4">
        <f>IFERROR(__xludf.DUMMYFUNCTION("""COMPUTED_VALUE"""),133.48)</f>
        <v/>
      </c>
      <c r="L688" s="77">
        <f>IFERROR(__xludf.DUMMYFUNCTION("""COMPUTED_VALUE"""),133.48)</f>
        <v/>
      </c>
      <c r="O688" s="72" t="n"/>
      <c r="S688" s="4" t="n"/>
    </row>
    <row r="689">
      <c r="A689" s="74">
        <f>IFERROR(__xludf.DUMMYFUNCTION("""COMPUTED_VALUE"""),46161.0)</f>
        <v/>
      </c>
      <c r="B689" s="72">
        <f>IFERROR(__xludf.DUMMYFUNCTION("""COMPUTED_VALUE"""),414.0)</f>
        <v/>
      </c>
      <c r="C689" s="75">
        <f>IFERROR(__xludf.DUMMYFUNCTION("""COMPUTED_VALUE"""),7.0)</f>
        <v/>
      </c>
      <c r="D689" s="75">
        <f>IFERROR(__xludf.DUMMYFUNCTION("""COMPUTED_VALUE"""),"USD")</f>
        <v/>
      </c>
      <c r="E689" s="75">
        <f>IFERROR(__xludf.DUMMYFUNCTION("""COMPUTED_VALUE"""),"Efectivo USD")</f>
        <v/>
      </c>
      <c r="F689" s="75">
        <f>IFERROR(__xludf.DUMMYFUNCTION("""COMPUTED_VALUE"""),"Javier Cardenas Prato.")</f>
        <v/>
      </c>
      <c r="G689" s="76">
        <f>IFERROR(__xludf.DUMMYFUNCTION("""COMPUTED_VALUE"""),"TORO ARDILES DAVID JOSE")</f>
        <v/>
      </c>
      <c r="H689" s="76">
        <f>IFERROR(__xludf.DUMMYFUNCTION("""COMPUTED_VALUE"""),517.9619)</f>
        <v/>
      </c>
      <c r="I689" s="75" t="n"/>
      <c r="J689" s="77">
        <f>IFERROR(__xludf.DUMMYFUNCTION("""COMPUTED_VALUE"""),7.0)</f>
        <v/>
      </c>
      <c r="K689" s="4">
        <f>IFERROR(__xludf.DUMMYFUNCTION("""COMPUTED_VALUE"""),7.0)</f>
        <v/>
      </c>
      <c r="L689" s="77">
        <f>IFERROR(__xludf.DUMMYFUNCTION("""COMPUTED_VALUE"""),7.0)</f>
        <v/>
      </c>
      <c r="O689" s="72" t="n"/>
      <c r="S689" s="4" t="n"/>
    </row>
    <row r="690">
      <c r="A690" s="74">
        <f>IFERROR(__xludf.DUMMYFUNCTION("""COMPUTED_VALUE"""),46171.0)</f>
        <v/>
      </c>
      <c r="B690" s="72">
        <f>IFERROR(__xludf.DUMMYFUNCTION("""COMPUTED_VALUE"""),283.0)</f>
        <v/>
      </c>
      <c r="C690" s="75">
        <f>IFERROR(__xludf.DUMMYFUNCTION("""COMPUTED_VALUE"""),25271.02)</f>
        <v/>
      </c>
      <c r="D690" s="75">
        <f>IFERROR(__xludf.DUMMYFUNCTION("""COMPUTED_VALUE"""),"VES")</f>
        <v/>
      </c>
      <c r="E690" s="75">
        <f>IFERROR(__xludf.DUMMYFUNCTION("""COMPUTED_VALUE"""),"Bancamiga")</f>
        <v/>
      </c>
      <c r="F690" s="75">
        <f>IFERROR(__xludf.DUMMYFUNCTION("""COMPUTED_VALUE"""),"LA CASA DE LAS BATERIAS")</f>
        <v/>
      </c>
      <c r="G690" s="76">
        <f>IFERROR(__xludf.DUMMYFUNCTION("""COMPUTED_VALUE"""),"TORO ARDILES DAVID JOSE")</f>
        <v/>
      </c>
      <c r="H690" s="76">
        <f>IFERROR(__xludf.DUMMYFUNCTION("""COMPUTED_VALUE"""),549.3716)</f>
        <v/>
      </c>
      <c r="I690" s="75" t="n"/>
      <c r="J690" s="77">
        <f>IFERROR(__xludf.DUMMYFUNCTION("""COMPUTED_VALUE"""),45.99986602874994)</f>
        <v/>
      </c>
      <c r="K690" s="4">
        <f>IFERROR(__xludf.DUMMYFUNCTION("""COMPUTED_VALUE"""),0.0)</f>
        <v/>
      </c>
      <c r="L690" s="77">
        <f>IFERROR(__xludf.DUMMYFUNCTION("""COMPUTED_VALUE"""),45.99986602874994)</f>
        <v/>
      </c>
      <c r="O690" s="72" t="n"/>
      <c r="S690" s="4" t="n"/>
    </row>
    <row r="691">
      <c r="A691" s="74">
        <f>IFERROR(__xludf.DUMMYFUNCTION("""COMPUTED_VALUE"""),46205.0)</f>
        <v/>
      </c>
      <c r="B691" s="72">
        <f>IFERROR(__xludf.DUMMYFUNCTION("""COMPUTED_VALUE"""),218.0)</f>
        <v/>
      </c>
      <c r="C691" s="75">
        <f>IFERROR(__xludf.DUMMYFUNCTION("""COMPUTED_VALUE"""),50.0)</f>
        <v/>
      </c>
      <c r="D691" s="75">
        <f>IFERROR(__xludf.DUMMYFUNCTION("""COMPUTED_VALUE"""),"USD")</f>
        <v/>
      </c>
      <c r="E691" s="75">
        <f>IFERROR(__xludf.DUMMYFUNCTION("""COMPUTED_VALUE"""),"Efectivo USD")</f>
        <v/>
      </c>
      <c r="F691" s="75">
        <f>IFERROR(__xludf.DUMMYFUNCTION("""COMPUTED_VALUE"""),"Cooperativa Dios mi Amparo, R.L.")</f>
        <v/>
      </c>
      <c r="G691" s="76">
        <f>IFERROR(__xludf.DUMMYFUNCTION("""COMPUTED_VALUE"""),"BETANCOURT ROBRIGUEZ LUIS ENRRIQUE")</f>
        <v/>
      </c>
      <c r="H691" s="76">
        <f>IFERROR(__xludf.DUMMYFUNCTION("""COMPUTED_VALUE"""),639.7029)</f>
        <v/>
      </c>
      <c r="I691" s="75" t="n"/>
      <c r="J691" s="77">
        <f>IFERROR(__xludf.DUMMYFUNCTION("""COMPUTED_VALUE"""),50.0)</f>
        <v/>
      </c>
      <c r="K691" s="4">
        <f>IFERROR(__xludf.DUMMYFUNCTION("""COMPUTED_VALUE"""),50.0)</f>
        <v/>
      </c>
      <c r="L691" s="77">
        <f>IFERROR(__xludf.DUMMYFUNCTION("""COMPUTED_VALUE"""),50.0)</f>
        <v/>
      </c>
      <c r="O691" s="72" t="n"/>
      <c r="S691" s="4" t="n"/>
    </row>
    <row r="692">
      <c r="A692" s="74">
        <f>IFERROR(__xludf.DUMMYFUNCTION("""COMPUTED_VALUE"""),46206.0)</f>
        <v/>
      </c>
      <c r="B692" s="72">
        <f>IFERROR(__xludf.DUMMYFUNCTION("""COMPUTED_VALUE"""),433.0)</f>
        <v/>
      </c>
      <c r="C692" s="75">
        <f>IFERROR(__xludf.DUMMYFUNCTION("""COMPUTED_VALUE"""),52.0)</f>
        <v/>
      </c>
      <c r="D692" s="75">
        <f>IFERROR(__xludf.DUMMYFUNCTION("""COMPUTED_VALUE"""),"USD")</f>
        <v/>
      </c>
      <c r="E692" s="75">
        <f>IFERROR(__xludf.DUMMYFUNCTION("""COMPUTED_VALUE"""),"Efectivo USD")</f>
        <v/>
      </c>
      <c r="F692" s="75">
        <f>IFERROR(__xludf.DUMMYFUNCTION("""COMPUTED_VALUE"""),"INVERSIONES JOSCAR XXI, S.A.")</f>
        <v/>
      </c>
      <c r="G692" s="76">
        <f>IFERROR(__xludf.DUMMYFUNCTION("""COMPUTED_VALUE"""),"TORO ARDILES DAVID JOSE")</f>
        <v/>
      </c>
      <c r="H692" s="76">
        <f>IFERROR(__xludf.DUMMYFUNCTION("""COMPUTED_VALUE"""),652.9726)</f>
        <v/>
      </c>
      <c r="I692" s="75" t="n"/>
      <c r="J692" s="77">
        <f>IFERROR(__xludf.DUMMYFUNCTION("""COMPUTED_VALUE"""),52.0)</f>
        <v/>
      </c>
      <c r="K692" s="4">
        <f>IFERROR(__xludf.DUMMYFUNCTION("""COMPUTED_VALUE"""),52.0)</f>
        <v/>
      </c>
      <c r="L692" s="77">
        <f>IFERROR(__xludf.DUMMYFUNCTION("""COMPUTED_VALUE"""),52.0)</f>
        <v/>
      </c>
      <c r="O692" s="72" t="n"/>
      <c r="S692" s="4" t="n"/>
    </row>
    <row r="693">
      <c r="A693" s="74">
        <f>IFERROR(__xludf.DUMMYFUNCTION("""COMPUTED_VALUE"""),46206.0)</f>
        <v/>
      </c>
      <c r="B693" s="72">
        <f>IFERROR(__xludf.DUMMYFUNCTION("""COMPUTED_VALUE"""),596.0)</f>
        <v/>
      </c>
      <c r="C693" s="75">
        <f>IFERROR(__xludf.DUMMYFUNCTION("""COMPUTED_VALUE"""),3.0)</f>
        <v/>
      </c>
      <c r="D693" s="75">
        <f>IFERROR(__xludf.DUMMYFUNCTION("""COMPUTED_VALUE"""),"USD")</f>
        <v/>
      </c>
      <c r="E693" s="75">
        <f>IFERROR(__xludf.DUMMYFUNCTION("""COMPUTED_VALUE"""),"Efectivo USD")</f>
        <v/>
      </c>
      <c r="F693" s="75">
        <f>IFERROR(__xludf.DUMMYFUNCTION("""COMPUTED_VALUE"""),"INVERSIONES JOSCAR XXI, S.A.")</f>
        <v/>
      </c>
      <c r="G693" s="76">
        <f>IFERROR(__xludf.DUMMYFUNCTION("""COMPUTED_VALUE"""),"TORO ARDILES DAVID JOSE")</f>
        <v/>
      </c>
      <c r="H693" s="76">
        <f>IFERROR(__xludf.DUMMYFUNCTION("""COMPUTED_VALUE"""),652.9726)</f>
        <v/>
      </c>
      <c r="I693" s="75" t="n"/>
      <c r="J693" s="77">
        <f>IFERROR(__xludf.DUMMYFUNCTION("""COMPUTED_VALUE"""),3.0)</f>
        <v/>
      </c>
      <c r="K693" s="4">
        <f>IFERROR(__xludf.DUMMYFUNCTION("""COMPUTED_VALUE"""),3.0)</f>
        <v/>
      </c>
      <c r="L693" s="77">
        <f>IFERROR(__xludf.DUMMYFUNCTION("""COMPUTED_VALUE"""),3.0)</f>
        <v/>
      </c>
      <c r="O693" s="72" t="n"/>
      <c r="S693" s="4" t="n"/>
    </row>
    <row r="694">
      <c r="A694" s="74">
        <f>IFERROR(__xludf.DUMMYFUNCTION("""COMPUTED_VALUE"""),46205.0)</f>
        <v/>
      </c>
      <c r="B694" s="72">
        <f>IFERROR(__xludf.DUMMYFUNCTION("""COMPUTED_VALUE"""),83.0)</f>
        <v/>
      </c>
      <c r="C694" s="75">
        <f>IFERROR(__xludf.DUMMYFUNCTION("""COMPUTED_VALUE"""),73500.0)</f>
        <v/>
      </c>
      <c r="D694" s="75">
        <f>IFERROR(__xludf.DUMMYFUNCTION("""COMPUTED_VALUE"""),"VES")</f>
        <v/>
      </c>
      <c r="E694" s="75">
        <f>IFERROR(__xludf.DUMMYFUNCTION("""COMPUTED_VALUE"""),"Bancamiga")</f>
        <v/>
      </c>
      <c r="F694" s="75">
        <f>IFERROR(__xludf.DUMMYFUNCTION("""COMPUTED_VALUE"""),"Inversiones Famasa, C.A")</f>
        <v/>
      </c>
      <c r="G694" s="76">
        <f>IFERROR(__xludf.DUMMYFUNCTION("""COMPUTED_VALUE"""),"MARTINEZ MONTES JEFFREY ENRIQUE")</f>
        <v/>
      </c>
      <c r="H694" s="76">
        <f>IFERROR(__xludf.DUMMYFUNCTION("""COMPUTED_VALUE"""),639.7029)</f>
        <v/>
      </c>
      <c r="I694" s="75" t="n"/>
      <c r="J694" s="77">
        <f>IFERROR(__xludf.DUMMYFUNCTION("""COMPUTED_VALUE"""),114.89708738228325)</f>
        <v/>
      </c>
      <c r="K694" s="4">
        <f>IFERROR(__xludf.DUMMYFUNCTION("""COMPUTED_VALUE"""),0.0)</f>
        <v/>
      </c>
      <c r="L694" s="77">
        <f>IFERROR(__xludf.DUMMYFUNCTION("""COMPUTED_VALUE"""),114.89708738228325)</f>
        <v/>
      </c>
      <c r="O694" s="72" t="n"/>
      <c r="S694" s="4" t="n"/>
    </row>
    <row r="695">
      <c r="A695" s="74">
        <f>IFERROR(__xludf.DUMMYFUNCTION("""COMPUTED_VALUE"""),46205.0)</f>
        <v/>
      </c>
      <c r="B695" s="72">
        <f>IFERROR(__xludf.DUMMYFUNCTION("""COMPUTED_VALUE"""),83.0)</f>
        <v/>
      </c>
      <c r="C695" s="75">
        <f>IFERROR(__xludf.DUMMYFUNCTION("""COMPUTED_VALUE"""),55860.0)</f>
        <v/>
      </c>
      <c r="D695" s="75">
        <f>IFERROR(__xludf.DUMMYFUNCTION("""COMPUTED_VALUE"""),"VES")</f>
        <v/>
      </c>
      <c r="E695" s="75">
        <f>IFERROR(__xludf.DUMMYFUNCTION("""COMPUTED_VALUE"""),"Bancamiga")</f>
        <v/>
      </c>
      <c r="F695" s="75">
        <f>IFERROR(__xludf.DUMMYFUNCTION("""COMPUTED_VALUE"""),"Inversiones Famasa, C.A")</f>
        <v/>
      </c>
      <c r="G695" s="76">
        <f>IFERROR(__xludf.DUMMYFUNCTION("""COMPUTED_VALUE"""),"MARTINEZ MONTES JEFFREY ENRIQUE")</f>
        <v/>
      </c>
      <c r="H695" s="76">
        <f>IFERROR(__xludf.DUMMYFUNCTION("""COMPUTED_VALUE"""),639.7029)</f>
        <v/>
      </c>
      <c r="I695" s="75" t="n"/>
      <c r="J695" s="77">
        <f>IFERROR(__xludf.DUMMYFUNCTION("""COMPUTED_VALUE"""),87.32178641053527)</f>
        <v/>
      </c>
      <c r="K695" s="4">
        <f>IFERROR(__xludf.DUMMYFUNCTION("""COMPUTED_VALUE"""),0.0)</f>
        <v/>
      </c>
      <c r="L695" s="77">
        <f>IFERROR(__xludf.DUMMYFUNCTION("""COMPUTED_VALUE"""),87.32178641053527)</f>
        <v/>
      </c>
      <c r="O695" s="72" t="n"/>
      <c r="S695" s="4" t="n"/>
    </row>
    <row r="696">
      <c r="A696" s="74">
        <f>IFERROR(__xludf.DUMMYFUNCTION("""COMPUTED_VALUE"""),46205.0)</f>
        <v/>
      </c>
      <c r="B696" s="72">
        <f>IFERROR(__xludf.DUMMYFUNCTION("""COMPUTED_VALUE"""),388.0)</f>
        <v/>
      </c>
      <c r="C696" s="75">
        <f>IFERROR(__xludf.DUMMYFUNCTION("""COMPUTED_VALUE"""),30000.0)</f>
        <v/>
      </c>
      <c r="D696" s="75">
        <f>IFERROR(__xludf.DUMMYFUNCTION("""COMPUTED_VALUE"""),"VES")</f>
        <v/>
      </c>
      <c r="E696" s="75">
        <f>IFERROR(__xludf.DUMMYFUNCTION("""COMPUTED_VALUE"""),"Bancamiga")</f>
        <v/>
      </c>
      <c r="F696" s="75">
        <f>IFERROR(__xludf.DUMMYFUNCTION("""COMPUTED_VALUE"""),"Ricardo A. Fernandez.")</f>
        <v/>
      </c>
      <c r="G696" s="76">
        <f>IFERROR(__xludf.DUMMYFUNCTION("""COMPUTED_VALUE"""),"MARTINEZ MONTES JEFFREY ENRIQUE")</f>
        <v/>
      </c>
      <c r="H696" s="76">
        <f>IFERROR(__xludf.DUMMYFUNCTION("""COMPUTED_VALUE"""),639.7029)</f>
        <v/>
      </c>
      <c r="I696" s="75" t="n"/>
      <c r="J696" s="77">
        <f>IFERROR(__xludf.DUMMYFUNCTION("""COMPUTED_VALUE"""),46.89677036011561)</f>
        <v/>
      </c>
      <c r="K696" s="4">
        <f>IFERROR(__xludf.DUMMYFUNCTION("""COMPUTED_VALUE"""),0.0)</f>
        <v/>
      </c>
      <c r="L696" s="77">
        <f>IFERROR(__xludf.DUMMYFUNCTION("""COMPUTED_VALUE"""),46.89677036011561)</f>
        <v/>
      </c>
      <c r="O696" s="72" t="n"/>
      <c r="S696" s="4" t="n"/>
    </row>
    <row r="697">
      <c r="A697" s="74">
        <f>IFERROR(__xludf.DUMMYFUNCTION("""COMPUTED_VALUE"""),46206.0)</f>
        <v/>
      </c>
      <c r="B697" s="72">
        <f>IFERROR(__xludf.DUMMYFUNCTION("""COMPUTED_VALUE"""),350.0)</f>
        <v/>
      </c>
      <c r="C697" s="75">
        <f>IFERROR(__xludf.DUMMYFUNCTION("""COMPUTED_VALUE"""),222000.0)</f>
        <v/>
      </c>
      <c r="D697" s="75">
        <f>IFERROR(__xludf.DUMMYFUNCTION("""COMPUTED_VALUE"""),"VES")</f>
        <v/>
      </c>
      <c r="E697" s="75">
        <f>IFERROR(__xludf.DUMMYFUNCTION("""COMPUTED_VALUE"""),"Bancamiga")</f>
        <v/>
      </c>
      <c r="F697" s="75">
        <f>IFERROR(__xludf.DUMMYFUNCTION("""COMPUTED_VALUE"""),"Melany Madrid")</f>
        <v/>
      </c>
      <c r="G697" s="76">
        <f>IFERROR(__xludf.DUMMYFUNCTION("""COMPUTED_VALUE"""),"PEREZ DIAZ ANGEL DE DIOS")</f>
        <v/>
      </c>
      <c r="H697" s="76">
        <f>IFERROR(__xludf.DUMMYFUNCTION("""COMPUTED_VALUE"""),652.9726)</f>
        <v/>
      </c>
      <c r="I697" s="75" t="n"/>
      <c r="J697" s="77">
        <f>IFERROR(__xludf.DUMMYFUNCTION("""COMPUTED_VALUE"""),339.98363790456136)</f>
        <v/>
      </c>
      <c r="K697" s="4">
        <f>IFERROR(__xludf.DUMMYFUNCTION("""COMPUTED_VALUE"""),0.0)</f>
        <v/>
      </c>
      <c r="L697" s="77">
        <f>IFERROR(__xludf.DUMMYFUNCTION("""COMPUTED_VALUE"""),339.98363790456136)</f>
        <v/>
      </c>
      <c r="O697" s="72" t="n"/>
      <c r="S697" s="4" t="n"/>
    </row>
    <row r="698">
      <c r="A698" s="74">
        <f>IFERROR(__xludf.DUMMYFUNCTION("""COMPUTED_VALUE"""),46206.0)</f>
        <v/>
      </c>
      <c r="B698" s="72">
        <f>IFERROR(__xludf.DUMMYFUNCTION("""COMPUTED_VALUE"""),179.0)</f>
        <v/>
      </c>
      <c r="C698" s="75">
        <f>IFERROR(__xludf.DUMMYFUNCTION("""COMPUTED_VALUE"""),30.0)</f>
        <v/>
      </c>
      <c r="D698" s="75">
        <f>IFERROR(__xludf.DUMMYFUNCTION("""COMPUTED_VALUE"""),"USD")</f>
        <v/>
      </c>
      <c r="E698" s="75">
        <f>IFERROR(__xludf.DUMMYFUNCTION("""COMPUTED_VALUE"""),"Efectivo USD")</f>
        <v/>
      </c>
      <c r="F698" s="75">
        <f>IFERROR(__xludf.DUMMYFUNCTION("""COMPUTED_VALUE"""),"Inversiones Vercris 17 C.A")</f>
        <v/>
      </c>
      <c r="G698" s="76">
        <f>IFERROR(__xludf.DUMMYFUNCTION("""COMPUTED_VALUE"""),"GRIMAN DIAZ HECTOR EDUARDO")</f>
        <v/>
      </c>
      <c r="H698" s="76">
        <f>IFERROR(__xludf.DUMMYFUNCTION("""COMPUTED_VALUE"""),652.9726)</f>
        <v/>
      </c>
      <c r="I698" s="75" t="n"/>
      <c r="J698" s="77">
        <f>IFERROR(__xludf.DUMMYFUNCTION("""COMPUTED_VALUE"""),30.0)</f>
        <v/>
      </c>
      <c r="K698" s="4">
        <f>IFERROR(__xludf.DUMMYFUNCTION("""COMPUTED_VALUE"""),30.0)</f>
        <v/>
      </c>
      <c r="L698" s="77">
        <f>IFERROR(__xludf.DUMMYFUNCTION("""COMPUTED_VALUE"""),30.0)</f>
        <v/>
      </c>
      <c r="O698" s="72" t="n"/>
      <c r="S698" s="4" t="n"/>
    </row>
    <row r="699">
      <c r="A699" s="74">
        <f>IFERROR(__xludf.DUMMYFUNCTION("""COMPUTED_VALUE"""),46206.0)</f>
        <v/>
      </c>
      <c r="B699" s="72">
        <f>IFERROR(__xludf.DUMMYFUNCTION("""COMPUTED_VALUE"""),615.0)</f>
        <v/>
      </c>
      <c r="C699" s="75">
        <f>IFERROR(__xludf.DUMMYFUNCTION("""COMPUTED_VALUE"""),100.0)</f>
        <v/>
      </c>
      <c r="D699" s="75">
        <f>IFERROR(__xludf.DUMMYFUNCTION("""COMPUTED_VALUE"""),"USD")</f>
        <v/>
      </c>
      <c r="E699" s="75">
        <f>IFERROR(__xludf.DUMMYFUNCTION("""COMPUTED_VALUE"""),"Efectivo USD")</f>
        <v/>
      </c>
      <c r="F699" s="75">
        <f>IFERROR(__xludf.DUMMYFUNCTION("""COMPUTED_VALUE"""),"Luis Eduardo Piñero Calcurian")</f>
        <v/>
      </c>
      <c r="G699" s="76">
        <f>IFERROR(__xludf.DUMMYFUNCTION("""COMPUTED_VALUE"""),"GRIMAN DIAZ HECTOR EDUARDO")</f>
        <v/>
      </c>
      <c r="H699" s="76">
        <f>IFERROR(__xludf.DUMMYFUNCTION("""COMPUTED_VALUE"""),652.9726)</f>
        <v/>
      </c>
      <c r="I699" s="75" t="n"/>
      <c r="J699" s="77">
        <f>IFERROR(__xludf.DUMMYFUNCTION("""COMPUTED_VALUE"""),100.0)</f>
        <v/>
      </c>
      <c r="K699" s="4">
        <f>IFERROR(__xludf.DUMMYFUNCTION("""COMPUTED_VALUE"""),100.0)</f>
        <v/>
      </c>
      <c r="L699" s="77">
        <f>IFERROR(__xludf.DUMMYFUNCTION("""COMPUTED_VALUE"""),100.0)</f>
        <v/>
      </c>
      <c r="O699" s="72" t="n"/>
      <c r="S699" s="4" t="n"/>
    </row>
    <row r="700">
      <c r="A700" s="74">
        <f>IFERROR(__xludf.DUMMYFUNCTION("""COMPUTED_VALUE"""),46206.0)</f>
        <v/>
      </c>
      <c r="B700" s="72">
        <f>IFERROR(__xludf.DUMMYFUNCTION("""COMPUTED_VALUE"""),335.0)</f>
        <v/>
      </c>
      <c r="C700" s="75">
        <f>IFERROR(__xludf.DUMMYFUNCTION("""COMPUTED_VALUE"""),70.0)</f>
        <v/>
      </c>
      <c r="D700" s="75">
        <f>IFERROR(__xludf.DUMMYFUNCTION("""COMPUTED_VALUE"""),"USD")</f>
        <v/>
      </c>
      <c r="E700" s="75">
        <f>IFERROR(__xludf.DUMMYFUNCTION("""COMPUTED_VALUE"""),"Efectivo USD")</f>
        <v/>
      </c>
      <c r="F700" s="75">
        <f>IFERROR(__xludf.DUMMYFUNCTION("""COMPUTED_VALUE"""),"Wili Mervin León Romero")</f>
        <v/>
      </c>
      <c r="G700" s="76">
        <f>IFERROR(__xludf.DUMMYFUNCTION("""COMPUTED_VALUE"""),"GRIMAN DIAZ HECTOR EDUARDO")</f>
        <v/>
      </c>
      <c r="H700" s="76">
        <f>IFERROR(__xludf.DUMMYFUNCTION("""COMPUTED_VALUE"""),652.9726)</f>
        <v/>
      </c>
      <c r="I700" s="75" t="n"/>
      <c r="J700" s="77">
        <f>IFERROR(__xludf.DUMMYFUNCTION("""COMPUTED_VALUE"""),70.0)</f>
        <v/>
      </c>
      <c r="K700" s="4">
        <f>IFERROR(__xludf.DUMMYFUNCTION("""COMPUTED_VALUE"""),70.0)</f>
        <v/>
      </c>
      <c r="L700" s="77">
        <f>IFERROR(__xludf.DUMMYFUNCTION("""COMPUTED_VALUE"""),70.0)</f>
        <v/>
      </c>
      <c r="O700" s="72" t="n"/>
      <c r="S700" s="4" t="n"/>
    </row>
    <row r="701">
      <c r="A701" s="74">
        <f>IFERROR(__xludf.DUMMYFUNCTION("""COMPUTED_VALUE"""),46206.0)</f>
        <v/>
      </c>
      <c r="B701" s="72">
        <f>IFERROR(__xludf.DUMMYFUNCTION("""COMPUTED_VALUE"""),430.0)</f>
        <v/>
      </c>
      <c r="C701" s="75">
        <f>IFERROR(__xludf.DUMMYFUNCTION("""COMPUTED_VALUE"""),120.0)</f>
        <v/>
      </c>
      <c r="D701" s="75">
        <f>IFERROR(__xludf.DUMMYFUNCTION("""COMPUTED_VALUE"""),"USD")</f>
        <v/>
      </c>
      <c r="E701" s="75">
        <f>IFERROR(__xludf.DUMMYFUNCTION("""COMPUTED_VALUE"""),"Zelle")</f>
        <v/>
      </c>
      <c r="F701" s="75">
        <f>IFERROR(__xludf.DUMMYFUNCTION("""COMPUTED_VALUE"""),"Dimas Ortíz")</f>
        <v/>
      </c>
      <c r="G701" s="76">
        <f>IFERROR(__xludf.DUMMYFUNCTION("""COMPUTED_VALUE"""),"BETANCOURT ROBRIGUEZ LUIS ENRRIQUE")</f>
        <v/>
      </c>
      <c r="H701" s="76">
        <f>IFERROR(__xludf.DUMMYFUNCTION("""COMPUTED_VALUE"""),652.9726)</f>
        <v/>
      </c>
      <c r="I701" s="75" t="n"/>
      <c r="J701" s="77">
        <f>IFERROR(__xludf.DUMMYFUNCTION("""COMPUTED_VALUE"""),120.0)</f>
        <v/>
      </c>
      <c r="K701" s="4">
        <f>IFERROR(__xludf.DUMMYFUNCTION("""COMPUTED_VALUE"""),120.0)</f>
        <v/>
      </c>
      <c r="L701" s="77">
        <f>IFERROR(__xludf.DUMMYFUNCTION("""COMPUTED_VALUE"""),120.0)</f>
        <v/>
      </c>
      <c r="O701" s="72" t="n"/>
      <c r="S701" s="4" t="n"/>
    </row>
    <row r="702">
      <c r="A702" s="74">
        <f>IFERROR(__xludf.DUMMYFUNCTION("""COMPUTED_VALUE"""),46206.0)</f>
        <v/>
      </c>
      <c r="B702" s="72">
        <f>IFERROR(__xludf.DUMMYFUNCTION("""COMPUTED_VALUE"""),625.0)</f>
        <v/>
      </c>
      <c r="C702" s="75">
        <f>IFERROR(__xludf.DUMMYFUNCTION("""COMPUTED_VALUE"""),96070.0)</f>
        <v/>
      </c>
      <c r="D702" s="75">
        <f>IFERROR(__xludf.DUMMYFUNCTION("""COMPUTED_VALUE"""),"VES")</f>
        <v/>
      </c>
      <c r="E702" s="75">
        <f>IFERROR(__xludf.DUMMYFUNCTION("""COMPUTED_VALUE"""),"Bancamiga")</f>
        <v/>
      </c>
      <c r="F702" s="75">
        <f>IFERROR(__xludf.DUMMYFUNCTION("""COMPUTED_VALUE"""),"E&amp;M CAR SHOP C.A")</f>
        <v/>
      </c>
      <c r="G702" s="76">
        <f>IFERROR(__xludf.DUMMYFUNCTION("""COMPUTED_VALUE"""),"BETANCOURT ROBRIGUEZ LUIS ENRRIQUE")</f>
        <v/>
      </c>
      <c r="H702" s="76">
        <f>IFERROR(__xludf.DUMMYFUNCTION("""COMPUTED_VALUE"""),652.9726)</f>
        <v/>
      </c>
      <c r="I702" s="75" t="n"/>
      <c r="J702" s="77">
        <f>IFERROR(__xludf.DUMMYFUNCTION("""COMPUTED_VALUE"""),147.12715357428473)</f>
        <v/>
      </c>
      <c r="K702" s="4">
        <f>IFERROR(__xludf.DUMMYFUNCTION("""COMPUTED_VALUE"""),0.0)</f>
        <v/>
      </c>
      <c r="L702" s="77">
        <f>IFERROR(__xludf.DUMMYFUNCTION("""COMPUTED_VALUE"""),147.12715357428473)</f>
        <v/>
      </c>
      <c r="O702" s="72" t="n"/>
      <c r="S702" s="4" t="n"/>
    </row>
    <row r="703">
      <c r="A703" s="74">
        <f>IFERROR(__xludf.DUMMYFUNCTION("""COMPUTED_VALUE"""),46206.0)</f>
        <v/>
      </c>
      <c r="B703" s="72">
        <f>IFERROR(__xludf.DUMMYFUNCTION("""COMPUTED_VALUE"""),429.0)</f>
        <v/>
      </c>
      <c r="C703" s="75">
        <f>IFERROR(__xludf.DUMMYFUNCTION("""COMPUTED_VALUE"""),73.0)</f>
        <v/>
      </c>
      <c r="D703" s="75">
        <f>IFERROR(__xludf.DUMMYFUNCTION("""COMPUTED_VALUE"""),"USD")</f>
        <v/>
      </c>
      <c r="E703" s="75">
        <f>IFERROR(__xludf.DUMMYFUNCTION("""COMPUTED_VALUE"""),"Zelle")</f>
        <v/>
      </c>
      <c r="F703" s="75">
        <f>IFERROR(__xludf.DUMMYFUNCTION("""COMPUTED_VALUE"""),"INVERSIONES SM 2191, C.A.")</f>
        <v/>
      </c>
      <c r="G703" s="76">
        <f>IFERROR(__xludf.DUMMYFUNCTION("""COMPUTED_VALUE"""),"TORO ARDILES DAVID JOSE")</f>
        <v/>
      </c>
      <c r="H703" s="76">
        <f>IFERROR(__xludf.DUMMYFUNCTION("""COMPUTED_VALUE"""),652.9726)</f>
        <v/>
      </c>
      <c r="I703" s="75" t="n"/>
      <c r="J703" s="77">
        <f>IFERROR(__xludf.DUMMYFUNCTION("""COMPUTED_VALUE"""),73.0)</f>
        <v/>
      </c>
      <c r="K703" s="4">
        <f>IFERROR(__xludf.DUMMYFUNCTION("""COMPUTED_VALUE"""),73.0)</f>
        <v/>
      </c>
      <c r="L703" s="77">
        <f>IFERROR(__xludf.DUMMYFUNCTION("""COMPUTED_VALUE"""),73.0)</f>
        <v/>
      </c>
      <c r="O703" s="72" t="n"/>
      <c r="S703" s="4" t="n"/>
    </row>
    <row r="704">
      <c r="A704" s="74">
        <f>IFERROR(__xludf.DUMMYFUNCTION("""COMPUTED_VALUE"""),46209.0)</f>
        <v/>
      </c>
      <c r="B704" s="72">
        <f>IFERROR(__xludf.DUMMYFUNCTION("""COMPUTED_VALUE"""),61.0)</f>
        <v/>
      </c>
      <c r="C704" s="75">
        <f>IFERROR(__xludf.DUMMYFUNCTION("""COMPUTED_VALUE"""),369000.0)</f>
        <v/>
      </c>
      <c r="D704" s="75">
        <f>IFERROR(__xludf.DUMMYFUNCTION("""COMPUTED_VALUE"""),"VES")</f>
        <v/>
      </c>
      <c r="E704" s="75">
        <f>IFERROR(__xludf.DUMMYFUNCTION("""COMPUTED_VALUE"""),"Venezuela")</f>
        <v/>
      </c>
      <c r="F704" s="75">
        <f>IFERROR(__xludf.DUMMYFUNCTION("""COMPUTED_VALUE"""),"SJMG 2012 C.A")</f>
        <v/>
      </c>
      <c r="G704" s="76">
        <f>IFERROR(__xludf.DUMMYFUNCTION("""COMPUTED_VALUE"""),"GRIMAN DIAZ HECTOR EDUARDO")</f>
        <v/>
      </c>
      <c r="H704" s="76">
        <f>IFERROR(__xludf.DUMMYFUNCTION("""COMPUTED_VALUE"""),667.05)</f>
        <v/>
      </c>
      <c r="I704" s="75" t="n"/>
      <c r="J704" s="77">
        <f>IFERROR(__xludf.DUMMYFUNCTION("""COMPUTED_VALUE"""),553.1819203957725)</f>
        <v/>
      </c>
      <c r="K704" s="4">
        <f>IFERROR(__xludf.DUMMYFUNCTION("""COMPUTED_VALUE"""),0.0)</f>
        <v/>
      </c>
      <c r="L704" s="77">
        <f>IFERROR(__xludf.DUMMYFUNCTION("""COMPUTED_VALUE"""),553.1819203957725)</f>
        <v/>
      </c>
      <c r="O704" s="72" t="n"/>
      <c r="S704" s="4" t="n"/>
    </row>
    <row r="705">
      <c r="A705" s="74">
        <f>IFERROR(__xludf.DUMMYFUNCTION("""COMPUTED_VALUE"""),46209.0)</f>
        <v/>
      </c>
      <c r="B705" s="72">
        <f>IFERROR(__xludf.DUMMYFUNCTION("""COMPUTED_VALUE"""),61.0)</f>
        <v/>
      </c>
      <c r="C705" s="75">
        <f>IFERROR(__xludf.DUMMYFUNCTION("""COMPUTED_VALUE"""),130.0)</f>
        <v/>
      </c>
      <c r="D705" s="75">
        <f>IFERROR(__xludf.DUMMYFUNCTION("""COMPUTED_VALUE"""),"USD")</f>
        <v/>
      </c>
      <c r="E705" s="75">
        <f>IFERROR(__xludf.DUMMYFUNCTION("""COMPUTED_VALUE"""),"Binance")</f>
        <v/>
      </c>
      <c r="F705" s="75">
        <f>IFERROR(__xludf.DUMMYFUNCTION("""COMPUTED_VALUE"""),"SJMG 2012 C.A")</f>
        <v/>
      </c>
      <c r="G705" s="76">
        <f>IFERROR(__xludf.DUMMYFUNCTION("""COMPUTED_VALUE"""),"GRIMAN DIAZ HECTOR EDUARDO")</f>
        <v/>
      </c>
      <c r="H705" s="76">
        <f>IFERROR(__xludf.DUMMYFUNCTION("""COMPUTED_VALUE"""),667.05)</f>
        <v/>
      </c>
      <c r="I705" s="75" t="n"/>
      <c r="J705" s="77">
        <f>IFERROR(__xludf.DUMMYFUNCTION("""COMPUTED_VALUE"""),130.0)</f>
        <v/>
      </c>
      <c r="K705" s="4">
        <f>IFERROR(__xludf.DUMMYFUNCTION("""COMPUTED_VALUE"""),130.0)</f>
        <v/>
      </c>
      <c r="L705" s="77">
        <f>IFERROR(__xludf.DUMMYFUNCTION("""COMPUTED_VALUE"""),130.0)</f>
        <v/>
      </c>
      <c r="O705" s="72" t="n"/>
      <c r="S705" s="4" t="n"/>
    </row>
    <row r="706">
      <c r="A706" s="74">
        <f>IFERROR(__xludf.DUMMYFUNCTION("""COMPUTED_VALUE"""),46209.0)</f>
        <v/>
      </c>
      <c r="B706" s="72">
        <f>IFERROR(__xludf.DUMMYFUNCTION("""COMPUTED_VALUE"""),642.0)</f>
        <v/>
      </c>
      <c r="C706" s="75">
        <f>IFERROR(__xludf.DUMMYFUNCTION("""COMPUTED_VALUE"""),70.0)</f>
        <v/>
      </c>
      <c r="D706" s="75">
        <f>IFERROR(__xludf.DUMMYFUNCTION("""COMPUTED_VALUE"""),"USD")</f>
        <v/>
      </c>
      <c r="E706" s="75">
        <f>IFERROR(__xludf.DUMMYFUNCTION("""COMPUTED_VALUE"""),"Efectivo USD")</f>
        <v/>
      </c>
      <c r="F706" s="75">
        <f>IFERROR(__xludf.DUMMYFUNCTION("""COMPUTED_VALUE"""),"HP Repuestos 2007 C.A")</f>
        <v/>
      </c>
      <c r="G706" s="76">
        <f>IFERROR(__xludf.DUMMYFUNCTION("""COMPUTED_VALUE"""),"GRIMAN DIAZ HECTOR EDUARDO")</f>
        <v/>
      </c>
      <c r="H706" s="76">
        <f>IFERROR(__xludf.DUMMYFUNCTION("""COMPUTED_VALUE"""),667.05)</f>
        <v/>
      </c>
      <c r="I706" s="75" t="n"/>
      <c r="J706" s="77">
        <f>IFERROR(__xludf.DUMMYFUNCTION("""COMPUTED_VALUE"""),70.0)</f>
        <v/>
      </c>
      <c r="K706" s="4">
        <f>IFERROR(__xludf.DUMMYFUNCTION("""COMPUTED_VALUE"""),70.0)</f>
        <v/>
      </c>
      <c r="L706" s="77">
        <f>IFERROR(__xludf.DUMMYFUNCTION("""COMPUTED_VALUE"""),70.0)</f>
        <v/>
      </c>
      <c r="O706" s="72" t="n"/>
      <c r="S706" s="4" t="n"/>
    </row>
    <row r="707">
      <c r="A707" s="74">
        <f>IFERROR(__xludf.DUMMYFUNCTION("""COMPUTED_VALUE"""),46209.0)</f>
        <v/>
      </c>
      <c r="B707" s="72">
        <f>IFERROR(__xludf.DUMMYFUNCTION("""COMPUTED_VALUE"""),154.0)</f>
        <v/>
      </c>
      <c r="C707" s="75">
        <f>IFERROR(__xludf.DUMMYFUNCTION("""COMPUTED_VALUE"""),113925.46)</f>
        <v/>
      </c>
      <c r="D707" s="75">
        <f>IFERROR(__xludf.DUMMYFUNCTION("""COMPUTED_VALUE"""),"VES")</f>
        <v/>
      </c>
      <c r="E707" s="75">
        <f>IFERROR(__xludf.DUMMYFUNCTION("""COMPUTED_VALUE"""),"Bancamiga")</f>
        <v/>
      </c>
      <c r="F707" s="75">
        <f>IFERROR(__xludf.DUMMYFUNCTION("""COMPUTED_VALUE"""),"SERVICIOS Y MANTENIMIENTO SPACARS, C.A")</f>
        <v/>
      </c>
      <c r="G707" s="76">
        <f>IFERROR(__xludf.DUMMYFUNCTION("""COMPUTED_VALUE"""),"TORO ARDILES DAVID JOSE")</f>
        <v/>
      </c>
      <c r="H707" s="76">
        <f>IFERROR(__xludf.DUMMYFUNCTION("""COMPUTED_VALUE"""),667.05)</f>
        <v/>
      </c>
      <c r="I707" s="75" t="n"/>
      <c r="J707" s="77">
        <f>IFERROR(__xludf.DUMMYFUNCTION("""COMPUTED_VALUE"""),170.78998575818906)</f>
        <v/>
      </c>
      <c r="K707" s="4">
        <f>IFERROR(__xludf.DUMMYFUNCTION("""COMPUTED_VALUE"""),0.0)</f>
        <v/>
      </c>
      <c r="L707" s="77">
        <f>IFERROR(__xludf.DUMMYFUNCTION("""COMPUTED_VALUE"""),170.78998575818906)</f>
        <v/>
      </c>
      <c r="O707" s="72" t="n"/>
      <c r="S707" s="4" t="n"/>
    </row>
    <row r="708">
      <c r="A708" s="74">
        <f>IFERROR(__xludf.DUMMYFUNCTION("""COMPUTED_VALUE"""),46209.0)</f>
        <v/>
      </c>
      <c r="B708" s="72">
        <f>IFERROR(__xludf.DUMMYFUNCTION("""COMPUTED_VALUE"""),430.0)</f>
        <v/>
      </c>
      <c r="C708" s="75">
        <f>IFERROR(__xludf.DUMMYFUNCTION("""COMPUTED_VALUE"""),230.0)</f>
        <v/>
      </c>
      <c r="D708" s="75">
        <f>IFERROR(__xludf.DUMMYFUNCTION("""COMPUTED_VALUE"""),"USD")</f>
        <v/>
      </c>
      <c r="E708" s="75">
        <f>IFERROR(__xludf.DUMMYFUNCTION("""COMPUTED_VALUE"""),"Zelle")</f>
        <v/>
      </c>
      <c r="F708" s="75">
        <f>IFERROR(__xludf.DUMMYFUNCTION("""COMPUTED_VALUE"""),"Dimas Ortíz")</f>
        <v/>
      </c>
      <c r="G708" s="76">
        <f>IFERROR(__xludf.DUMMYFUNCTION("""COMPUTED_VALUE"""),"BETANCOURT ROBRIGUEZ LUIS ENRRIQUE")</f>
        <v/>
      </c>
      <c r="H708" s="76">
        <f>IFERROR(__xludf.DUMMYFUNCTION("""COMPUTED_VALUE"""),667.05)</f>
        <v/>
      </c>
      <c r="I708" s="75" t="n"/>
      <c r="J708" s="77">
        <f>IFERROR(__xludf.DUMMYFUNCTION("""COMPUTED_VALUE"""),230.0)</f>
        <v/>
      </c>
      <c r="K708" s="4">
        <f>IFERROR(__xludf.DUMMYFUNCTION("""COMPUTED_VALUE"""),230.0)</f>
        <v/>
      </c>
      <c r="L708" s="77">
        <f>IFERROR(__xludf.DUMMYFUNCTION("""COMPUTED_VALUE"""),230.0)</f>
        <v/>
      </c>
      <c r="O708" s="72" t="n"/>
      <c r="S708" s="4" t="n"/>
    </row>
    <row r="709">
      <c r="A709" s="74">
        <f>IFERROR(__xludf.DUMMYFUNCTION("""COMPUTED_VALUE"""),46209.0)</f>
        <v/>
      </c>
      <c r="B709" s="72">
        <f>IFERROR(__xludf.DUMMYFUNCTION("""COMPUTED_VALUE"""),563.0)</f>
        <v/>
      </c>
      <c r="C709" s="75">
        <f>IFERROR(__xludf.DUMMYFUNCTION("""COMPUTED_VALUE"""),200.0)</f>
        <v/>
      </c>
      <c r="D709" s="75">
        <f>IFERROR(__xludf.DUMMYFUNCTION("""COMPUTED_VALUE"""),"USD")</f>
        <v/>
      </c>
      <c r="E709" s="75">
        <f>IFERROR(__xludf.DUMMYFUNCTION("""COMPUTED_VALUE"""),"Efectivo USD")</f>
        <v/>
      </c>
      <c r="F709" s="75">
        <f>IFERROR(__xludf.DUMMYFUNCTION("""COMPUTED_VALUE"""),"Carlos Ruiz")</f>
        <v/>
      </c>
      <c r="G709" s="76">
        <f>IFERROR(__xludf.DUMMYFUNCTION("""COMPUTED_VALUE"""),"BETANCOURT ROBRIGUEZ LUIS ENRRIQUE")</f>
        <v/>
      </c>
      <c r="H709" s="76">
        <f>IFERROR(__xludf.DUMMYFUNCTION("""COMPUTED_VALUE"""),667.05)</f>
        <v/>
      </c>
      <c r="I709" s="75" t="n"/>
      <c r="J709" s="77">
        <f>IFERROR(__xludf.DUMMYFUNCTION("""COMPUTED_VALUE"""),200.0)</f>
        <v/>
      </c>
      <c r="K709" s="4">
        <f>IFERROR(__xludf.DUMMYFUNCTION("""COMPUTED_VALUE"""),200.0)</f>
        <v/>
      </c>
      <c r="L709" s="77">
        <f>IFERROR(__xludf.DUMMYFUNCTION("""COMPUTED_VALUE"""),200.0)</f>
        <v/>
      </c>
      <c r="O709" s="72" t="n"/>
      <c r="S709" s="4" t="n"/>
    </row>
    <row r="710">
      <c r="A710" s="74">
        <f>IFERROR(__xludf.DUMMYFUNCTION("""COMPUTED_VALUE"""),46210.0)</f>
        <v/>
      </c>
      <c r="B710" s="72">
        <f>IFERROR(__xludf.DUMMYFUNCTION("""COMPUTED_VALUE"""),638.0)</f>
        <v/>
      </c>
      <c r="C710" s="75">
        <f>IFERROR(__xludf.DUMMYFUNCTION("""COMPUTED_VALUE"""),399.0)</f>
        <v/>
      </c>
      <c r="D710" s="75">
        <f>IFERROR(__xludf.DUMMYFUNCTION("""COMPUTED_VALUE"""),"USD")</f>
        <v/>
      </c>
      <c r="E710" s="75">
        <f>IFERROR(__xludf.DUMMYFUNCTION("""COMPUTED_VALUE"""),"Binance")</f>
        <v/>
      </c>
      <c r="F710" s="75">
        <f>IFERROR(__xludf.DUMMYFUNCTION("""COMPUTED_VALUE"""),"Anthony Jose Quijada Diaz.")</f>
        <v/>
      </c>
      <c r="G710" s="76">
        <f>IFERROR(__xludf.DUMMYFUNCTION("""COMPUTED_VALUE"""),"CASERES GONZALEZ RONALD OSWALDO")</f>
        <v/>
      </c>
      <c r="H710" s="76">
        <f>IFERROR(__xludf.DUMMYFUNCTION("""COMPUTED_VALUE"""),674.9305)</f>
        <v/>
      </c>
      <c r="I710" s="75" t="n"/>
      <c r="J710" s="77">
        <f>IFERROR(__xludf.DUMMYFUNCTION("""COMPUTED_VALUE"""),399.0)</f>
        <v/>
      </c>
      <c r="K710" s="4">
        <f>IFERROR(__xludf.DUMMYFUNCTION("""COMPUTED_VALUE"""),399.0)</f>
        <v/>
      </c>
      <c r="L710" s="77">
        <f>IFERROR(__xludf.DUMMYFUNCTION("""COMPUTED_VALUE"""),399.0)</f>
        <v/>
      </c>
      <c r="O710" s="72" t="n"/>
      <c r="S710" s="4" t="n"/>
    </row>
    <row r="711">
      <c r="A711" s="74">
        <f>IFERROR(__xludf.DUMMYFUNCTION("""COMPUTED_VALUE"""),46209.0)</f>
        <v/>
      </c>
      <c r="B711" s="72">
        <f>IFERROR(__xludf.DUMMYFUNCTION("""COMPUTED_VALUE"""),493.0)</f>
        <v/>
      </c>
      <c r="C711" s="75">
        <f>IFERROR(__xludf.DUMMYFUNCTION("""COMPUTED_VALUE"""),126918.26)</f>
        <v/>
      </c>
      <c r="D711" s="75">
        <f>IFERROR(__xludf.DUMMYFUNCTION("""COMPUTED_VALUE"""),"VES")</f>
        <v/>
      </c>
      <c r="E711" s="75">
        <f>IFERROR(__xludf.DUMMYFUNCTION("""COMPUTED_VALUE"""),"Bancamiga")</f>
        <v/>
      </c>
      <c r="F711" s="75">
        <f>IFERROR(__xludf.DUMMYFUNCTION("""COMPUTED_VALUE"""),"Lubristation, C.A.")</f>
        <v/>
      </c>
      <c r="G711" s="76">
        <f>IFERROR(__xludf.DUMMYFUNCTION("""COMPUTED_VALUE"""),"QUEVEDO BASTIDAS NEYKEL DAVID")</f>
        <v/>
      </c>
      <c r="H711" s="76">
        <f>IFERROR(__xludf.DUMMYFUNCTION("""COMPUTED_VALUE"""),667.05)</f>
        <v/>
      </c>
      <c r="I711" s="75" t="n"/>
      <c r="J711" s="77">
        <f>IFERROR(__xludf.DUMMYFUNCTION("""COMPUTED_VALUE"""),190.26798590810284)</f>
        <v/>
      </c>
      <c r="K711" s="4">
        <f>IFERROR(__xludf.DUMMYFUNCTION("""COMPUTED_VALUE"""),0.0)</f>
        <v/>
      </c>
      <c r="L711" s="77">
        <f>IFERROR(__xludf.DUMMYFUNCTION("""COMPUTED_VALUE"""),190.26798590810284)</f>
        <v/>
      </c>
      <c r="O711" s="72" t="n"/>
      <c r="S711" s="4" t="n"/>
    </row>
    <row r="712">
      <c r="A712" s="74">
        <f>IFERROR(__xludf.DUMMYFUNCTION("""COMPUTED_VALUE"""),46210.0)</f>
        <v/>
      </c>
      <c r="B712" s="72">
        <f>IFERROR(__xludf.DUMMYFUNCTION("""COMPUTED_VALUE"""),350.0)</f>
        <v/>
      </c>
      <c r="C712" s="75">
        <f>IFERROR(__xludf.DUMMYFUNCTION("""COMPUTED_VALUE"""),166440.0)</f>
        <v/>
      </c>
      <c r="D712" s="75">
        <f>IFERROR(__xludf.DUMMYFUNCTION("""COMPUTED_VALUE"""),"VES")</f>
        <v/>
      </c>
      <c r="E712" s="75">
        <f>IFERROR(__xludf.DUMMYFUNCTION("""COMPUTED_VALUE"""),"Bancamiga")</f>
        <v/>
      </c>
      <c r="F712" s="75">
        <f>IFERROR(__xludf.DUMMYFUNCTION("""COMPUTED_VALUE"""),"Melany Madrid")</f>
        <v/>
      </c>
      <c r="G712" s="76">
        <f>IFERROR(__xludf.DUMMYFUNCTION("""COMPUTED_VALUE"""),"PEREZ DIAZ ANGEL DE DIOS")</f>
        <v/>
      </c>
      <c r="H712" s="76">
        <f>IFERROR(__xludf.DUMMYFUNCTION("""COMPUTED_VALUE"""),674.9305)</f>
        <v/>
      </c>
      <c r="I712" s="75" t="n"/>
      <c r="J712" s="77">
        <f>IFERROR(__xludf.DUMMYFUNCTION("""COMPUTED_VALUE"""),246.60316877071045)</f>
        <v/>
      </c>
      <c r="K712" s="4">
        <f>IFERROR(__xludf.DUMMYFUNCTION("""COMPUTED_VALUE"""),0.0)</f>
        <v/>
      </c>
      <c r="L712" s="77">
        <f>IFERROR(__xludf.DUMMYFUNCTION("""COMPUTED_VALUE"""),246.60316877071045)</f>
        <v/>
      </c>
      <c r="O712" s="72" t="n"/>
      <c r="S712" s="4" t="n"/>
    </row>
    <row r="713">
      <c r="A713" s="74">
        <f>IFERROR(__xludf.DUMMYFUNCTION("""COMPUTED_VALUE"""),46210.0)</f>
        <v/>
      </c>
      <c r="B713" s="72">
        <f>IFERROR(__xludf.DUMMYFUNCTION("""COMPUTED_VALUE"""),578.0)</f>
        <v/>
      </c>
      <c r="C713" s="75">
        <f>IFERROR(__xludf.DUMMYFUNCTION("""COMPUTED_VALUE"""),228740.52)</f>
        <v/>
      </c>
      <c r="D713" s="75">
        <f>IFERROR(__xludf.DUMMYFUNCTION("""COMPUTED_VALUE"""),"VES")</f>
        <v/>
      </c>
      <c r="E713" s="75">
        <f>IFERROR(__xludf.DUMMYFUNCTION("""COMPUTED_VALUE"""),"Bancamiga")</f>
        <v/>
      </c>
      <c r="F713" s="75">
        <f>IFERROR(__xludf.DUMMYFUNCTION("""COMPUTED_VALUE"""),"AUTOLAVADO ANDRES BELLO C.A")</f>
        <v/>
      </c>
      <c r="G713" s="76">
        <f>IFERROR(__xludf.DUMMYFUNCTION("""COMPUTED_VALUE"""),"Frank Vasquez")</f>
        <v/>
      </c>
      <c r="H713" s="76">
        <f>IFERROR(__xludf.DUMMYFUNCTION("""COMPUTED_VALUE"""),674.9305)</f>
        <v/>
      </c>
      <c r="I713" s="75" t="n"/>
      <c r="J713" s="77">
        <f>IFERROR(__xludf.DUMMYFUNCTION("""COMPUTED_VALUE"""),338.90973959541014)</f>
        <v/>
      </c>
      <c r="K713" s="4">
        <f>IFERROR(__xludf.DUMMYFUNCTION("""COMPUTED_VALUE"""),0.0)</f>
        <v/>
      </c>
      <c r="L713" s="77">
        <f>IFERROR(__xludf.DUMMYFUNCTION("""COMPUTED_VALUE"""),338.90973959541014)</f>
        <v/>
      </c>
      <c r="O713" s="72" t="n"/>
      <c r="S713" s="4" t="n"/>
    </row>
    <row r="714">
      <c r="A714" s="74">
        <f>IFERROR(__xludf.DUMMYFUNCTION("""COMPUTED_VALUE"""),46210.0)</f>
        <v/>
      </c>
      <c r="B714" s="72">
        <f>IFERROR(__xludf.DUMMYFUNCTION("""COMPUTED_VALUE"""),526.0)</f>
        <v/>
      </c>
      <c r="C714" s="75">
        <f>IFERROR(__xludf.DUMMYFUNCTION("""COMPUTED_VALUE"""),76.0)</f>
        <v/>
      </c>
      <c r="D714" s="75">
        <f>IFERROR(__xludf.DUMMYFUNCTION("""COMPUTED_VALUE"""),"USD")</f>
        <v/>
      </c>
      <c r="E714" s="75">
        <f>IFERROR(__xludf.DUMMYFUNCTION("""COMPUTED_VALUE"""),"Efectivo USD")</f>
        <v/>
      </c>
      <c r="F714" s="75">
        <f>IFERROR(__xludf.DUMMYFUNCTION("""COMPUTED_VALUE"""),"Auto repuestos Fontalvo")</f>
        <v/>
      </c>
      <c r="G714" s="76">
        <f>IFERROR(__xludf.DUMMYFUNCTION("""COMPUTED_VALUE"""),"TORO ARDILES DAVID JOSE")</f>
        <v/>
      </c>
      <c r="H714" s="76">
        <f>IFERROR(__xludf.DUMMYFUNCTION("""COMPUTED_VALUE"""),674.9305)</f>
        <v/>
      </c>
      <c r="I714" s="75" t="n"/>
      <c r="J714" s="77">
        <f>IFERROR(__xludf.DUMMYFUNCTION("""COMPUTED_VALUE"""),76.0)</f>
        <v/>
      </c>
      <c r="K714" s="4">
        <f>IFERROR(__xludf.DUMMYFUNCTION("""COMPUTED_VALUE"""),76.0)</f>
        <v/>
      </c>
      <c r="L714" s="77">
        <f>IFERROR(__xludf.DUMMYFUNCTION("""COMPUTED_VALUE"""),76.0)</f>
        <v/>
      </c>
      <c r="O714" s="72" t="n"/>
      <c r="S714" s="4" t="n"/>
    </row>
    <row r="715">
      <c r="A715" s="74">
        <f>IFERROR(__xludf.DUMMYFUNCTION("""COMPUTED_VALUE"""),46210.0)</f>
        <v/>
      </c>
      <c r="B715" s="72">
        <f>IFERROR(__xludf.DUMMYFUNCTION("""COMPUTED_VALUE"""),651.0)</f>
        <v/>
      </c>
      <c r="C715" s="75">
        <f>IFERROR(__xludf.DUMMYFUNCTION("""COMPUTED_VALUE"""),4.0)</f>
        <v/>
      </c>
      <c r="D715" s="75">
        <f>IFERROR(__xludf.DUMMYFUNCTION("""COMPUTED_VALUE"""),"USD")</f>
        <v/>
      </c>
      <c r="E715" s="75">
        <f>IFERROR(__xludf.DUMMYFUNCTION("""COMPUTED_VALUE"""),"Efectivo USD")</f>
        <v/>
      </c>
      <c r="F715" s="75">
        <f>IFERROR(__xludf.DUMMYFUNCTION("""COMPUTED_VALUE"""),"Auto repuestos Fontalvo")</f>
        <v/>
      </c>
      <c r="G715" s="76">
        <f>IFERROR(__xludf.DUMMYFUNCTION("""COMPUTED_VALUE"""),"TORO ARDILES DAVID JOSE")</f>
        <v/>
      </c>
      <c r="H715" s="76">
        <f>IFERROR(__xludf.DUMMYFUNCTION("""COMPUTED_VALUE"""),674.9305)</f>
        <v/>
      </c>
      <c r="I715" s="75" t="n"/>
      <c r="J715" s="77">
        <f>IFERROR(__xludf.DUMMYFUNCTION("""COMPUTED_VALUE"""),4.0)</f>
        <v/>
      </c>
      <c r="K715" s="4">
        <f>IFERROR(__xludf.DUMMYFUNCTION("""COMPUTED_VALUE"""),4.0)</f>
        <v/>
      </c>
      <c r="L715" s="77">
        <f>IFERROR(__xludf.DUMMYFUNCTION("""COMPUTED_VALUE"""),4.0)</f>
        <v/>
      </c>
      <c r="O715" s="72" t="n"/>
      <c r="S715" s="4" t="n"/>
    </row>
    <row r="716">
      <c r="A716" s="74">
        <f>IFERROR(__xludf.DUMMYFUNCTION("""COMPUTED_VALUE"""),46210.0)</f>
        <v/>
      </c>
      <c r="B716" s="72">
        <f>IFERROR(__xludf.DUMMYFUNCTION("""COMPUTED_VALUE"""),126.0)</f>
        <v/>
      </c>
      <c r="C716" s="75">
        <f>IFERROR(__xludf.DUMMYFUNCTION("""COMPUTED_VALUE"""),200.0)</f>
        <v/>
      </c>
      <c r="D716" s="75">
        <f>IFERROR(__xludf.DUMMYFUNCTION("""COMPUTED_VALUE"""),"USD")</f>
        <v/>
      </c>
      <c r="E716" s="75">
        <f>IFERROR(__xludf.DUMMYFUNCTION("""COMPUTED_VALUE"""),"Efectivo USD")</f>
        <v/>
      </c>
      <c r="F716" s="75">
        <f>IFERROR(__xludf.DUMMYFUNCTION("""COMPUTED_VALUE"""),"Victor Ordaz")</f>
        <v/>
      </c>
      <c r="G716" s="76">
        <f>IFERROR(__xludf.DUMMYFUNCTION("""COMPUTED_VALUE"""),"BETANCOURT ROBRIGUEZ LUIS ENRRIQUE")</f>
        <v/>
      </c>
      <c r="H716" s="76">
        <f>IFERROR(__xludf.DUMMYFUNCTION("""COMPUTED_VALUE"""),674.9305)</f>
        <v/>
      </c>
      <c r="I716" s="75" t="n"/>
      <c r="J716" s="77">
        <f>IFERROR(__xludf.DUMMYFUNCTION("""COMPUTED_VALUE"""),200.0)</f>
        <v/>
      </c>
      <c r="K716" s="4">
        <f>IFERROR(__xludf.DUMMYFUNCTION("""COMPUTED_VALUE"""),200.0)</f>
        <v/>
      </c>
      <c r="L716" s="77">
        <f>IFERROR(__xludf.DUMMYFUNCTION("""COMPUTED_VALUE"""),200.0)</f>
        <v/>
      </c>
      <c r="O716" s="72" t="n"/>
      <c r="S716" s="4" t="n"/>
    </row>
    <row r="717">
      <c r="A717" s="74">
        <f>IFERROR(__xludf.DUMMYFUNCTION("""COMPUTED_VALUE"""),46210.0)</f>
        <v/>
      </c>
      <c r="B717" s="72">
        <f>IFERROR(__xludf.DUMMYFUNCTION("""COMPUTED_VALUE"""),209.0)</f>
        <v/>
      </c>
      <c r="C717" s="75">
        <f>IFERROR(__xludf.DUMMYFUNCTION("""COMPUTED_VALUE"""),45.0)</f>
        <v/>
      </c>
      <c r="D717" s="75">
        <f>IFERROR(__xludf.DUMMYFUNCTION("""COMPUTED_VALUE"""),"USD")</f>
        <v/>
      </c>
      <c r="E717" s="75">
        <f>IFERROR(__xludf.DUMMYFUNCTION("""COMPUTED_VALUE"""),"Efectivo USD")</f>
        <v/>
      </c>
      <c r="F717" s="75">
        <f>IFERROR(__xludf.DUMMYFUNCTION("""COMPUTED_VALUE"""),"Inversiones Mirelkys C.A")</f>
        <v/>
      </c>
      <c r="G717" s="76">
        <f>IFERROR(__xludf.DUMMYFUNCTION("""COMPUTED_VALUE"""),"GRIMAN DIAZ HECTOR EDUARDO")</f>
        <v/>
      </c>
      <c r="H717" s="76">
        <f>IFERROR(__xludf.DUMMYFUNCTION("""COMPUTED_VALUE"""),674.9305)</f>
        <v/>
      </c>
      <c r="I717" s="75" t="n"/>
      <c r="J717" s="77">
        <f>IFERROR(__xludf.DUMMYFUNCTION("""COMPUTED_VALUE"""),45.0)</f>
        <v/>
      </c>
      <c r="K717" s="4">
        <f>IFERROR(__xludf.DUMMYFUNCTION("""COMPUTED_VALUE"""),45.0)</f>
        <v/>
      </c>
      <c r="L717" s="77">
        <f>IFERROR(__xludf.DUMMYFUNCTION("""COMPUTED_VALUE"""),45.0)</f>
        <v/>
      </c>
      <c r="O717" s="72" t="n"/>
      <c r="S717" s="4" t="n"/>
    </row>
    <row r="718">
      <c r="A718" s="74">
        <f>IFERROR(__xludf.DUMMYFUNCTION("""COMPUTED_VALUE"""),46210.0)</f>
        <v/>
      </c>
      <c r="B718" s="72">
        <f>IFERROR(__xludf.DUMMYFUNCTION("""COMPUTED_VALUE"""),411.0)</f>
        <v/>
      </c>
      <c r="C718" s="75">
        <f>IFERROR(__xludf.DUMMYFUNCTION("""COMPUTED_VALUE"""),100.0)</f>
        <v/>
      </c>
      <c r="D718" s="75">
        <f>IFERROR(__xludf.DUMMYFUNCTION("""COMPUTED_VALUE"""),"USD")</f>
        <v/>
      </c>
      <c r="E718" s="75">
        <f>IFERROR(__xludf.DUMMYFUNCTION("""COMPUTED_VALUE"""),"Efectivo USD")</f>
        <v/>
      </c>
      <c r="F718" s="75">
        <f>IFERROR(__xludf.DUMMYFUNCTION("""COMPUTED_VALUE"""),"Pedro Castro")</f>
        <v/>
      </c>
      <c r="G718" s="76">
        <f>IFERROR(__xludf.DUMMYFUNCTION("""COMPUTED_VALUE"""),"BETANCOURT ROBRIGUEZ LUIS ENRRIQUE")</f>
        <v/>
      </c>
      <c r="H718" s="76">
        <f>IFERROR(__xludf.DUMMYFUNCTION("""COMPUTED_VALUE"""),674.9305)</f>
        <v/>
      </c>
      <c r="I718" s="75" t="n"/>
      <c r="J718" s="77">
        <f>IFERROR(__xludf.DUMMYFUNCTION("""COMPUTED_VALUE"""),100.0)</f>
        <v/>
      </c>
      <c r="K718" s="4">
        <f>IFERROR(__xludf.DUMMYFUNCTION("""COMPUTED_VALUE"""),100.0)</f>
        <v/>
      </c>
      <c r="L718" s="77">
        <f>IFERROR(__xludf.DUMMYFUNCTION("""COMPUTED_VALUE"""),100.0)</f>
        <v/>
      </c>
      <c r="O718" s="72" t="n"/>
      <c r="S718" s="4" t="n"/>
    </row>
    <row r="719">
      <c r="A719" s="74">
        <f>IFERROR(__xludf.DUMMYFUNCTION("""COMPUTED_VALUE"""),46211.0)</f>
        <v/>
      </c>
      <c r="B719" s="72">
        <f>IFERROR(__xludf.DUMMYFUNCTION("""COMPUTED_VALUE"""),414.0)</f>
        <v/>
      </c>
      <c r="C719" s="75">
        <f>IFERROR(__xludf.DUMMYFUNCTION("""COMPUTED_VALUE"""),37500.0)</f>
        <v/>
      </c>
      <c r="D719" s="75">
        <f>IFERROR(__xludf.DUMMYFUNCTION("""COMPUTED_VALUE"""),"VES")</f>
        <v/>
      </c>
      <c r="E719" s="75">
        <f>IFERROR(__xludf.DUMMYFUNCTION("""COMPUTED_VALUE"""),"Bancamiga")</f>
        <v/>
      </c>
      <c r="F719" s="75">
        <f>IFERROR(__xludf.DUMMYFUNCTION("""COMPUTED_VALUE"""),"Javier Cardenas Prato.")</f>
        <v/>
      </c>
      <c r="G719" s="76">
        <f>IFERROR(__xludf.DUMMYFUNCTION("""COMPUTED_VALUE"""),"TORO ARDILES DAVID JOSE")</f>
        <v/>
      </c>
      <c r="H719" s="76">
        <f>IFERROR(__xludf.DUMMYFUNCTION("""COMPUTED_VALUE"""),685.9427)</f>
        <v/>
      </c>
      <c r="I719" s="75" t="n"/>
      <c r="J719" s="77">
        <f>IFERROR(__xludf.DUMMYFUNCTION("""COMPUTED_VALUE"""),54.66928943190153)</f>
        <v/>
      </c>
      <c r="K719" s="4">
        <f>IFERROR(__xludf.DUMMYFUNCTION("""COMPUTED_VALUE"""),0.0)</f>
        <v/>
      </c>
      <c r="L719" s="77">
        <f>IFERROR(__xludf.DUMMYFUNCTION("""COMPUTED_VALUE"""),54.66928943190153)</f>
        <v/>
      </c>
      <c r="O719" s="72" t="n"/>
      <c r="S719" s="4" t="n"/>
    </row>
    <row r="720">
      <c r="A720" s="74">
        <f>IFERROR(__xludf.DUMMYFUNCTION("""COMPUTED_VALUE"""),46211.0)</f>
        <v/>
      </c>
      <c r="B720" s="72">
        <f>IFERROR(__xludf.DUMMYFUNCTION("""COMPUTED_VALUE"""),439.0)</f>
        <v/>
      </c>
      <c r="C720" s="75">
        <f>IFERROR(__xludf.DUMMYFUNCTION("""COMPUTED_VALUE"""),22139.04)</f>
        <v/>
      </c>
      <c r="D720" s="75">
        <f>IFERROR(__xludf.DUMMYFUNCTION("""COMPUTED_VALUE"""),"VES")</f>
        <v/>
      </c>
      <c r="E720" s="75">
        <f>IFERROR(__xludf.DUMMYFUNCTION("""COMPUTED_VALUE"""),"Venezuela")</f>
        <v/>
      </c>
      <c r="F720" s="75">
        <f>IFERROR(__xludf.DUMMYFUNCTION("""COMPUTED_VALUE"""),"MOTOREPUESTOS EL GUANÁBANO YRM C.A.")</f>
        <v/>
      </c>
      <c r="G720" s="76">
        <f>IFERROR(__xludf.DUMMYFUNCTION("""COMPUTED_VALUE"""),"TORO ARDILES DAVID JOSE")</f>
        <v/>
      </c>
      <c r="H720" s="76">
        <f>IFERROR(__xludf.DUMMYFUNCTION("""COMPUTED_VALUE"""),685.9427)</f>
        <v/>
      </c>
      <c r="I720" s="75" t="n"/>
      <c r="J720" s="77">
        <f>IFERROR(__xludf.DUMMYFUNCTION("""COMPUTED_VALUE"""),32.27534894678521)</f>
        <v/>
      </c>
      <c r="K720" s="4">
        <f>IFERROR(__xludf.DUMMYFUNCTION("""COMPUTED_VALUE"""),0.0)</f>
        <v/>
      </c>
      <c r="L720" s="77">
        <f>IFERROR(__xludf.DUMMYFUNCTION("""COMPUTED_VALUE"""),32.27534894678521)</f>
        <v/>
      </c>
      <c r="O720" s="72" t="n"/>
      <c r="S720" s="4" t="n"/>
    </row>
    <row r="721">
      <c r="A721" s="74">
        <f>IFERROR(__xludf.DUMMYFUNCTION("""COMPUTED_VALUE"""),46211.0)</f>
        <v/>
      </c>
      <c r="B721" s="72">
        <f>IFERROR(__xludf.DUMMYFUNCTION("""COMPUTED_VALUE"""),640.0)</f>
        <v/>
      </c>
      <c r="C721" s="75">
        <f>IFERROR(__xludf.DUMMYFUNCTION("""COMPUTED_VALUE"""),238213.8)</f>
        <v/>
      </c>
      <c r="D721" s="75">
        <f>IFERROR(__xludf.DUMMYFUNCTION("""COMPUTED_VALUE"""),"VES")</f>
        <v/>
      </c>
      <c r="E721" s="75">
        <f>IFERROR(__xludf.DUMMYFUNCTION("""COMPUTED_VALUE"""),"Bancamiga")</f>
        <v/>
      </c>
      <c r="F721" s="75">
        <f>IFERROR(__xludf.DUMMYFUNCTION("""COMPUTED_VALUE"""),"EMPRENDIMIENTO IRMA RODRIGUEZ 6")</f>
        <v/>
      </c>
      <c r="G721" s="76">
        <f>IFERROR(__xludf.DUMMYFUNCTION("""COMPUTED_VALUE"""),"TORO ARDILES DAVID JOSE")</f>
        <v/>
      </c>
      <c r="H721" s="76">
        <f>IFERROR(__xludf.DUMMYFUNCTION("""COMPUTED_VALUE"""),685.9427)</f>
        <v/>
      </c>
      <c r="I721" s="75" t="n"/>
      <c r="J721" s="77">
        <f>IFERROR(__xludf.DUMMYFUNCTION("""COMPUTED_VALUE"""),347.27944476994946)</f>
        <v/>
      </c>
      <c r="K721" s="4">
        <f>IFERROR(__xludf.DUMMYFUNCTION("""COMPUTED_VALUE"""),0.0)</f>
        <v/>
      </c>
      <c r="L721" s="77">
        <f>IFERROR(__xludf.DUMMYFUNCTION("""COMPUTED_VALUE"""),347.27944476994946)</f>
        <v/>
      </c>
      <c r="O721" s="72" t="n"/>
      <c r="S721" s="4" t="n"/>
    </row>
    <row r="722">
      <c r="A722" s="74">
        <f>IFERROR(__xludf.DUMMYFUNCTION("""COMPUTED_VALUE"""),46211.0)</f>
        <v/>
      </c>
      <c r="B722" s="72">
        <f>IFERROR(__xludf.DUMMYFUNCTION("""COMPUTED_VALUE"""),641.0)</f>
        <v/>
      </c>
      <c r="C722" s="75">
        <f>IFERROR(__xludf.DUMMYFUNCTION("""COMPUTED_VALUE"""),79786.2)</f>
        <v/>
      </c>
      <c r="D722" s="75">
        <f>IFERROR(__xludf.DUMMYFUNCTION("""COMPUTED_VALUE"""),"VES")</f>
        <v/>
      </c>
      <c r="E722" s="75">
        <f>IFERROR(__xludf.DUMMYFUNCTION("""COMPUTED_VALUE"""),"Bancamiga")</f>
        <v/>
      </c>
      <c r="F722" s="75">
        <f>IFERROR(__xludf.DUMMYFUNCTION("""COMPUTED_VALUE"""),"EMPRENDIMIENTO IRMA RODRIGUEZ 6")</f>
        <v/>
      </c>
      <c r="G722" s="76">
        <f>IFERROR(__xludf.DUMMYFUNCTION("""COMPUTED_VALUE"""),"TORO ARDILES DAVID JOSE")</f>
        <v/>
      </c>
      <c r="H722" s="76">
        <f>IFERROR(__xludf.DUMMYFUNCTION("""COMPUTED_VALUE"""),685.9427)</f>
        <v/>
      </c>
      <c r="I722" s="75" t="n"/>
      <c r="J722" s="77">
        <f>IFERROR(__xludf.DUMMYFUNCTION("""COMPUTED_VALUE"""),116.31612961257552)</f>
        <v/>
      </c>
      <c r="K722" s="4">
        <f>IFERROR(__xludf.DUMMYFUNCTION("""COMPUTED_VALUE"""),0.0)</f>
        <v/>
      </c>
      <c r="L722" s="77">
        <f>IFERROR(__xludf.DUMMYFUNCTION("""COMPUTED_VALUE"""),116.31612961257552)</f>
        <v/>
      </c>
      <c r="O722" s="72" t="n"/>
      <c r="S722" s="4" t="n"/>
    </row>
    <row r="723">
      <c r="A723" s="74">
        <f>IFERROR(__xludf.DUMMYFUNCTION("""COMPUTED_VALUE"""),46211.0)</f>
        <v/>
      </c>
      <c r="B723" s="72">
        <f>IFERROR(__xludf.DUMMYFUNCTION("""COMPUTED_VALUE"""),572.0)</f>
        <v/>
      </c>
      <c r="C723" s="75">
        <f>IFERROR(__xludf.DUMMYFUNCTION("""COMPUTED_VALUE"""),94337.33)</f>
        <v/>
      </c>
      <c r="D723" s="75">
        <f>IFERROR(__xludf.DUMMYFUNCTION("""COMPUTED_VALUE"""),"VES")</f>
        <v/>
      </c>
      <c r="E723" s="75">
        <f>IFERROR(__xludf.DUMMYFUNCTION("""COMPUTED_VALUE"""),"Bancamiga")</f>
        <v/>
      </c>
      <c r="F723" s="75">
        <f>IFERROR(__xludf.DUMMYFUNCTION("""COMPUTED_VALUE"""),"AUTO REPUESTOS EL DUO 2013, C.A.")</f>
        <v/>
      </c>
      <c r="G723" s="76">
        <f>IFERROR(__xludf.DUMMYFUNCTION("""COMPUTED_VALUE"""),"TORO ARDILES DAVID JOSE")</f>
        <v/>
      </c>
      <c r="H723" s="76">
        <f>IFERROR(__xludf.DUMMYFUNCTION("""COMPUTED_VALUE"""),685.9427)</f>
        <v/>
      </c>
      <c r="I723" s="75" t="n"/>
      <c r="J723" s="77">
        <f>IFERROR(__xludf.DUMMYFUNCTION("""COMPUTED_VALUE"""),137.52946128007486)</f>
        <v/>
      </c>
      <c r="K723" s="4">
        <f>IFERROR(__xludf.DUMMYFUNCTION("""COMPUTED_VALUE"""),0.0)</f>
        <v/>
      </c>
      <c r="L723" s="77">
        <f>IFERROR(__xludf.DUMMYFUNCTION("""COMPUTED_VALUE"""),137.52946128007486)</f>
        <v/>
      </c>
      <c r="O723" s="72" t="n"/>
      <c r="S723" s="4" t="n"/>
    </row>
    <row r="724">
      <c r="A724" s="74">
        <f>IFERROR(__xludf.DUMMYFUNCTION("""COMPUTED_VALUE"""),46211.0)</f>
        <v/>
      </c>
      <c r="B724" s="72">
        <f>IFERROR(__xludf.DUMMYFUNCTION("""COMPUTED_VALUE"""),222.0)</f>
        <v/>
      </c>
      <c r="C724" s="75">
        <f>IFERROR(__xludf.DUMMYFUNCTION("""COMPUTED_VALUE"""),75.0)</f>
        <v/>
      </c>
      <c r="D724" s="75">
        <f>IFERROR(__xludf.DUMMYFUNCTION("""COMPUTED_VALUE"""),"USD")</f>
        <v/>
      </c>
      <c r="E724" s="75">
        <f>IFERROR(__xludf.DUMMYFUNCTION("""COMPUTED_VALUE"""),"Efectivo USD")</f>
        <v/>
      </c>
      <c r="F724" s="75">
        <f>IFERROR(__xludf.DUMMYFUNCTION("""COMPUTED_VALUE"""),"Braulio R. Cedeño Gonzalez.")</f>
        <v/>
      </c>
      <c r="G724" s="76">
        <f>IFERROR(__xludf.DUMMYFUNCTION("""COMPUTED_VALUE"""),"GRIMAN DIAZ HECTOR EDUARDO")</f>
        <v/>
      </c>
      <c r="H724" s="76">
        <f>IFERROR(__xludf.DUMMYFUNCTION("""COMPUTED_VALUE"""),685.9427)</f>
        <v/>
      </c>
      <c r="I724" s="75" t="n"/>
      <c r="J724" s="77">
        <f>IFERROR(__xludf.DUMMYFUNCTION("""COMPUTED_VALUE"""),75.0)</f>
        <v/>
      </c>
      <c r="K724" s="4">
        <f>IFERROR(__xludf.DUMMYFUNCTION("""COMPUTED_VALUE"""),75.0)</f>
        <v/>
      </c>
      <c r="L724" s="77">
        <f>IFERROR(__xludf.DUMMYFUNCTION("""COMPUTED_VALUE"""),75.0)</f>
        <v/>
      </c>
      <c r="O724" s="72" t="n"/>
      <c r="S724" s="4" t="n"/>
    </row>
    <row r="725">
      <c r="A725" s="74">
        <f>IFERROR(__xludf.DUMMYFUNCTION("""COMPUTED_VALUE"""),46211.0)</f>
        <v/>
      </c>
      <c r="B725" s="72">
        <f>IFERROR(__xludf.DUMMYFUNCTION("""COMPUTED_VALUE"""),641.0)</f>
        <v/>
      </c>
      <c r="C725" s="75">
        <f>IFERROR(__xludf.DUMMYFUNCTION("""COMPUTED_VALUE"""),144.0)</f>
        <v/>
      </c>
      <c r="D725" s="75">
        <f>IFERROR(__xludf.DUMMYFUNCTION("""COMPUTED_VALUE"""),"USD")</f>
        <v/>
      </c>
      <c r="E725" s="75">
        <f>IFERROR(__xludf.DUMMYFUNCTION("""COMPUTED_VALUE"""),"Efectivo USD")</f>
        <v/>
      </c>
      <c r="F725" s="75">
        <f>IFERROR(__xludf.DUMMYFUNCTION("""COMPUTED_VALUE"""),"EMPRENDIMIENTO IRMA RODRIGUEZ 6")</f>
        <v/>
      </c>
      <c r="G725" s="76">
        <f>IFERROR(__xludf.DUMMYFUNCTION("""COMPUTED_VALUE"""),"TORO ARDILES DAVID JOSE")</f>
        <v/>
      </c>
      <c r="H725" s="76">
        <f>IFERROR(__xludf.DUMMYFUNCTION("""COMPUTED_VALUE"""),685.9427)</f>
        <v/>
      </c>
      <c r="I725" s="75" t="n"/>
      <c r="J725" s="77">
        <f>IFERROR(__xludf.DUMMYFUNCTION("""COMPUTED_VALUE"""),144.0)</f>
        <v/>
      </c>
      <c r="K725" s="4">
        <f>IFERROR(__xludf.DUMMYFUNCTION("""COMPUTED_VALUE"""),144.0)</f>
        <v/>
      </c>
      <c r="L725" s="77">
        <f>IFERROR(__xludf.DUMMYFUNCTION("""COMPUTED_VALUE"""),144.0)</f>
        <v/>
      </c>
      <c r="O725" s="72" t="n"/>
      <c r="S725" s="4" t="n"/>
    </row>
    <row r="726">
      <c r="A726" s="74">
        <f>IFERROR(__xludf.DUMMYFUNCTION("""COMPUTED_VALUE"""),46210.0)</f>
        <v/>
      </c>
      <c r="B726" s="72">
        <f>IFERROR(__xludf.DUMMYFUNCTION("""COMPUTED_VALUE"""),580.0)</f>
        <v/>
      </c>
      <c r="C726" s="75">
        <f>IFERROR(__xludf.DUMMYFUNCTION("""COMPUTED_VALUE"""),69850.0)</f>
        <v/>
      </c>
      <c r="D726" s="75">
        <f>IFERROR(__xludf.DUMMYFUNCTION("""COMPUTED_VALUE"""),"VES")</f>
        <v/>
      </c>
      <c r="E726" s="75">
        <f>IFERROR(__xludf.DUMMYFUNCTION("""COMPUTED_VALUE"""),"Bancamiga")</f>
        <v/>
      </c>
      <c r="F726" s="75">
        <f>IFERROR(__xludf.DUMMYFUNCTION("""COMPUTED_VALUE"""),"Sandra Katherine Quintero Crespo")</f>
        <v/>
      </c>
      <c r="G726" s="76">
        <f>IFERROR(__xludf.DUMMYFUNCTION("""COMPUTED_VALUE"""),"QUEVEDO BASTIDAS NEYKEL DAVID")</f>
        <v/>
      </c>
      <c r="H726" s="76">
        <f>IFERROR(__xludf.DUMMYFUNCTION("""COMPUTED_VALUE"""),674.9305)</f>
        <v/>
      </c>
      <c r="I726" s="75" t="n"/>
      <c r="J726" s="77">
        <f>IFERROR(__xludf.DUMMYFUNCTION("""COMPUTED_VALUE"""),103.49213733858522)</f>
        <v/>
      </c>
      <c r="K726" s="4">
        <f>IFERROR(__xludf.DUMMYFUNCTION("""COMPUTED_VALUE"""),0.0)</f>
        <v/>
      </c>
      <c r="L726" s="77">
        <f>IFERROR(__xludf.DUMMYFUNCTION("""COMPUTED_VALUE"""),103.49213733858522)</f>
        <v/>
      </c>
      <c r="O726" s="72" t="n"/>
      <c r="S726" s="4" t="n"/>
    </row>
    <row r="727">
      <c r="A727" s="74">
        <f>IFERROR(__xludf.DUMMYFUNCTION("""COMPUTED_VALUE"""),46211.0)</f>
        <v/>
      </c>
      <c r="B727" s="72">
        <f>IFERROR(__xludf.DUMMYFUNCTION("""COMPUTED_VALUE"""),647.0)</f>
        <v/>
      </c>
      <c r="C727" s="75">
        <f>IFERROR(__xludf.DUMMYFUNCTION("""COMPUTED_VALUE"""),106517.04)</f>
        <v/>
      </c>
      <c r="D727" s="75">
        <f>IFERROR(__xludf.DUMMYFUNCTION("""COMPUTED_VALUE"""),"VES")</f>
        <v/>
      </c>
      <c r="E727" s="75">
        <f>IFERROR(__xludf.DUMMYFUNCTION("""COMPUTED_VALUE"""),"Bancamiga")</f>
        <v/>
      </c>
      <c r="F727" s="75">
        <f>IFERROR(__xludf.DUMMYFUNCTION("""COMPUTED_VALUE"""),"E&amp;M CAR SHOP C.A")</f>
        <v/>
      </c>
      <c r="G727" s="76">
        <f>IFERROR(__xludf.DUMMYFUNCTION("""COMPUTED_VALUE"""),"BETANCOURT ROBRIGUEZ LUIS ENRRIQUE")</f>
        <v/>
      </c>
      <c r="H727" s="76">
        <f>IFERROR(__xludf.DUMMYFUNCTION("""COMPUTED_VALUE"""),685.9427)</f>
        <v/>
      </c>
      <c r="I727" s="75" t="n"/>
      <c r="J727" s="77">
        <f>IFERROR(__xludf.DUMMYFUNCTION("""COMPUTED_VALUE"""),155.2856237117182)</f>
        <v/>
      </c>
      <c r="K727" s="4">
        <f>IFERROR(__xludf.DUMMYFUNCTION("""COMPUTED_VALUE"""),0.0)</f>
        <v/>
      </c>
      <c r="L727" s="77">
        <f>IFERROR(__xludf.DUMMYFUNCTION("""COMPUTED_VALUE"""),155.2856237117182)</f>
        <v/>
      </c>
      <c r="O727" s="72" t="n"/>
      <c r="S727" s="4" t="n"/>
    </row>
    <row r="728">
      <c r="A728" s="74">
        <f>IFERROR(__xludf.DUMMYFUNCTION("""COMPUTED_VALUE"""),46211.0)</f>
        <v/>
      </c>
      <c r="B728" s="72">
        <f>IFERROR(__xludf.DUMMYFUNCTION("""COMPUTED_VALUE"""),61.0)</f>
        <v/>
      </c>
      <c r="C728" s="75">
        <f>IFERROR(__xludf.DUMMYFUNCTION("""COMPUTED_VALUE"""),550.0)</f>
        <v/>
      </c>
      <c r="D728" s="75">
        <f>IFERROR(__xludf.DUMMYFUNCTION("""COMPUTED_VALUE"""),"USD")</f>
        <v/>
      </c>
      <c r="E728" s="75">
        <f>IFERROR(__xludf.DUMMYFUNCTION("""COMPUTED_VALUE"""),"Zelle")</f>
        <v/>
      </c>
      <c r="F728" s="75">
        <f>IFERROR(__xludf.DUMMYFUNCTION("""COMPUTED_VALUE"""),"SJMG 2012 C.A")</f>
        <v/>
      </c>
      <c r="G728" s="76">
        <f>IFERROR(__xludf.DUMMYFUNCTION("""COMPUTED_VALUE"""),"GRIMAN DIAZ HECTOR EDUARDO")</f>
        <v/>
      </c>
      <c r="H728" s="76">
        <f>IFERROR(__xludf.DUMMYFUNCTION("""COMPUTED_VALUE"""),685.9427)</f>
        <v/>
      </c>
      <c r="I728" s="75" t="n"/>
      <c r="J728" s="77">
        <f>IFERROR(__xludf.DUMMYFUNCTION("""COMPUTED_VALUE"""),550.0)</f>
        <v/>
      </c>
      <c r="K728" s="4">
        <f>IFERROR(__xludf.DUMMYFUNCTION("""COMPUTED_VALUE"""),550.0)</f>
        <v/>
      </c>
      <c r="L728" s="77">
        <f>IFERROR(__xludf.DUMMYFUNCTION("""COMPUTED_VALUE"""),550.0)</f>
        <v/>
      </c>
      <c r="O728" s="72" t="n"/>
      <c r="S728" s="4" t="n"/>
    </row>
    <row r="729">
      <c r="A729" s="74">
        <f>IFERROR(__xludf.DUMMYFUNCTION("""COMPUTED_VALUE"""),46212.0)</f>
        <v/>
      </c>
      <c r="B729" s="72">
        <f>IFERROR(__xludf.DUMMYFUNCTION("""COMPUTED_VALUE"""),469.0)</f>
        <v/>
      </c>
      <c r="C729" s="75">
        <f>IFERROR(__xludf.DUMMYFUNCTION("""COMPUTED_VALUE"""),14004.0)</f>
        <v/>
      </c>
      <c r="D729" s="75">
        <f>IFERROR(__xludf.DUMMYFUNCTION("""COMPUTED_VALUE"""),"VES")</f>
        <v/>
      </c>
      <c r="E729" s="75">
        <f>IFERROR(__xludf.DUMMYFUNCTION("""COMPUTED_VALUE"""),"Bancamiga")</f>
        <v/>
      </c>
      <c r="F729" s="75">
        <f>IFERROR(__xludf.DUMMYFUNCTION("""COMPUTED_VALUE"""),"AUTOPERIQUITOS LA CAMPIÑA C.A.")</f>
        <v/>
      </c>
      <c r="G729" s="76">
        <f>IFERROR(__xludf.DUMMYFUNCTION("""COMPUTED_VALUE"""),"TORO ARDILES DAVID JOSE")</f>
        <v/>
      </c>
      <c r="H729" s="76">
        <f>IFERROR(__xludf.DUMMYFUNCTION("""COMPUTED_VALUE"""),700.2249)</f>
        <v/>
      </c>
      <c r="I729" s="75" t="n"/>
      <c r="J729" s="77">
        <f>IFERROR(__xludf.DUMMYFUNCTION("""COMPUTED_VALUE"""),19.999288799926994)</f>
        <v/>
      </c>
      <c r="K729" s="4">
        <f>IFERROR(__xludf.DUMMYFUNCTION("""COMPUTED_VALUE"""),0.0)</f>
        <v/>
      </c>
      <c r="L729" s="77">
        <f>IFERROR(__xludf.DUMMYFUNCTION("""COMPUTED_VALUE"""),19.999288799926994)</f>
        <v/>
      </c>
      <c r="O729" s="72" t="n"/>
      <c r="S729" s="4" t="n"/>
    </row>
    <row r="730">
      <c r="A730" s="74">
        <f>IFERROR(__xludf.DUMMYFUNCTION("""COMPUTED_VALUE"""),46212.0)</f>
        <v/>
      </c>
      <c r="B730" s="72">
        <f>IFERROR(__xludf.DUMMYFUNCTION("""COMPUTED_VALUE"""),103.0)</f>
        <v/>
      </c>
      <c r="C730" s="75">
        <f>IFERROR(__xludf.DUMMYFUNCTION("""COMPUTED_VALUE"""),82610.0)</f>
        <v/>
      </c>
      <c r="D730" s="75">
        <f>IFERROR(__xludf.DUMMYFUNCTION("""COMPUTED_VALUE"""),"VES")</f>
        <v/>
      </c>
      <c r="E730" s="75">
        <f>IFERROR(__xludf.DUMMYFUNCTION("""COMPUTED_VALUE"""),"Bancamiga")</f>
        <v/>
      </c>
      <c r="F730" s="75">
        <f>IFERROR(__xludf.DUMMYFUNCTION("""COMPUTED_VALUE"""),"Alexis Rodríguez Fernández")</f>
        <v/>
      </c>
      <c r="G730" s="76">
        <f>IFERROR(__xludf.DUMMYFUNCTION("""COMPUTED_VALUE"""),"PEREZ DIAZ ANGEL DE DIOS")</f>
        <v/>
      </c>
      <c r="H730" s="76">
        <f>IFERROR(__xludf.DUMMYFUNCTION("""COMPUTED_VALUE"""),700.2249)</f>
        <v/>
      </c>
      <c r="I730" s="75" t="n"/>
      <c r="J730" s="77">
        <f>IFERROR(__xludf.DUMMYFUNCTION("""COMPUTED_VALUE"""),117.97638158825828)</f>
        <v/>
      </c>
      <c r="K730" s="4">
        <f>IFERROR(__xludf.DUMMYFUNCTION("""COMPUTED_VALUE"""),0.0)</f>
        <v/>
      </c>
      <c r="L730" s="77">
        <f>IFERROR(__xludf.DUMMYFUNCTION("""COMPUTED_VALUE"""),117.97638158825828)</f>
        <v/>
      </c>
      <c r="O730" s="72" t="n"/>
      <c r="S730" s="4" t="n"/>
    </row>
    <row r="731">
      <c r="A731" s="74">
        <f>IFERROR(__xludf.DUMMYFUNCTION("""COMPUTED_VALUE"""),46212.0)</f>
        <v/>
      </c>
      <c r="B731" s="72">
        <f>IFERROR(__xludf.DUMMYFUNCTION("""COMPUTED_VALUE"""),536.0)</f>
        <v/>
      </c>
      <c r="C731" s="75">
        <f>IFERROR(__xludf.DUMMYFUNCTION("""COMPUTED_VALUE"""),136.0)</f>
        <v/>
      </c>
      <c r="D731" s="75">
        <f>IFERROR(__xludf.DUMMYFUNCTION("""COMPUTED_VALUE"""),"USD")</f>
        <v/>
      </c>
      <c r="E731" s="75">
        <f>IFERROR(__xludf.DUMMYFUNCTION("""COMPUTED_VALUE"""),"Efectivo USD")</f>
        <v/>
      </c>
      <c r="F731" s="75">
        <f>IFERROR(__xludf.DUMMYFUNCTION("""COMPUTED_VALUE"""),"INVERSIONES R&amp;C 1817, c.a.")</f>
        <v/>
      </c>
      <c r="G731" s="76">
        <f>IFERROR(__xludf.DUMMYFUNCTION("""COMPUTED_VALUE"""),"TORO ARDILES DAVID JOSE")</f>
        <v/>
      </c>
      <c r="H731" s="76">
        <f>IFERROR(__xludf.DUMMYFUNCTION("""COMPUTED_VALUE"""),700.2249)</f>
        <v/>
      </c>
      <c r="I731" s="75" t="n"/>
      <c r="J731" s="77">
        <f>IFERROR(__xludf.DUMMYFUNCTION("""COMPUTED_VALUE"""),136.0)</f>
        <v/>
      </c>
      <c r="K731" s="4">
        <f>IFERROR(__xludf.DUMMYFUNCTION("""COMPUTED_VALUE"""),136.0)</f>
        <v/>
      </c>
      <c r="L731" s="77">
        <f>IFERROR(__xludf.DUMMYFUNCTION("""COMPUTED_VALUE"""),136.0)</f>
        <v/>
      </c>
      <c r="O731" s="72" t="n"/>
      <c r="S731" s="4" t="n"/>
    </row>
    <row r="732">
      <c r="A732" s="74">
        <f>IFERROR(__xludf.DUMMYFUNCTION("""COMPUTED_VALUE"""),46212.0)</f>
        <v/>
      </c>
      <c r="B732" s="72">
        <f>IFERROR(__xludf.DUMMYFUNCTION("""COMPUTED_VALUE"""),354.0)</f>
        <v/>
      </c>
      <c r="C732" s="75">
        <f>IFERROR(__xludf.DUMMYFUNCTION("""COMPUTED_VALUE"""),116.0)</f>
        <v/>
      </c>
      <c r="D732" s="75">
        <f>IFERROR(__xludf.DUMMYFUNCTION("""COMPUTED_VALUE"""),"USD")</f>
        <v/>
      </c>
      <c r="E732" s="75">
        <f>IFERROR(__xludf.DUMMYFUNCTION("""COMPUTED_VALUE"""),"Efectivo USD")</f>
        <v/>
      </c>
      <c r="F732" s="75">
        <f>IFERROR(__xludf.DUMMYFUNCTION("""COMPUTED_VALUE"""),"REPRESENTACIONES LAGUS MEL, C. A")</f>
        <v/>
      </c>
      <c r="G732" s="76">
        <f>IFERROR(__xludf.DUMMYFUNCTION("""COMPUTED_VALUE"""),"TORO ARDILES DAVID JOSE")</f>
        <v/>
      </c>
      <c r="H732" s="76">
        <f>IFERROR(__xludf.DUMMYFUNCTION("""COMPUTED_VALUE"""),700.2249)</f>
        <v/>
      </c>
      <c r="I732" s="75" t="n"/>
      <c r="J732" s="77">
        <f>IFERROR(__xludf.DUMMYFUNCTION("""COMPUTED_VALUE"""),116.0)</f>
        <v/>
      </c>
      <c r="K732" s="4">
        <f>IFERROR(__xludf.DUMMYFUNCTION("""COMPUTED_VALUE"""),116.0)</f>
        <v/>
      </c>
      <c r="L732" s="77">
        <f>IFERROR(__xludf.DUMMYFUNCTION("""COMPUTED_VALUE"""),116.0)</f>
        <v/>
      </c>
      <c r="O732" s="72" t="n"/>
      <c r="S732" s="4" t="n"/>
    </row>
    <row r="733">
      <c r="A733" s="74">
        <f>IFERROR(__xludf.DUMMYFUNCTION("""COMPUTED_VALUE"""),46212.0)</f>
        <v/>
      </c>
      <c r="B733" s="72">
        <f>IFERROR(__xludf.DUMMYFUNCTION("""COMPUTED_VALUE"""),475.0)</f>
        <v/>
      </c>
      <c r="C733" s="75">
        <f>IFERROR(__xludf.DUMMYFUNCTION("""COMPUTED_VALUE"""),25.0)</f>
        <v/>
      </c>
      <c r="D733" s="75">
        <f>IFERROR(__xludf.DUMMYFUNCTION("""COMPUTED_VALUE"""),"USD")</f>
        <v/>
      </c>
      <c r="E733" s="75">
        <f>IFERROR(__xludf.DUMMYFUNCTION("""COMPUTED_VALUE"""),"Efectivo USD")</f>
        <v/>
      </c>
      <c r="F733" s="75">
        <f>IFERROR(__xludf.DUMMYFUNCTION("""COMPUTED_VALUE"""),"Emprendimiento Eduardo Pérez 6")</f>
        <v/>
      </c>
      <c r="G733" s="76">
        <f>IFERROR(__xludf.DUMMYFUNCTION("""COMPUTED_VALUE"""),"QUEVEDO BASTIDAS NEYKEL DAVID")</f>
        <v/>
      </c>
      <c r="H733" s="76">
        <f>IFERROR(__xludf.DUMMYFUNCTION("""COMPUTED_VALUE"""),700.2249)</f>
        <v/>
      </c>
      <c r="I733" s="75">
        <f>IFERROR(__xludf.DUMMYFUNCTION("""COMPUTED_VALUE"""),826.1)</f>
        <v/>
      </c>
      <c r="J733" s="77">
        <f>IFERROR(__xludf.DUMMYFUNCTION("""COMPUTED_VALUE"""),25.0)</f>
        <v/>
      </c>
      <c r="K733" s="4">
        <f>IFERROR(__xludf.DUMMYFUNCTION("""COMPUTED_VALUE"""),25.0)</f>
        <v/>
      </c>
      <c r="L733" s="77">
        <f>IFERROR(__xludf.DUMMYFUNCTION("""COMPUTED_VALUE"""),25.0)</f>
        <v/>
      </c>
      <c r="O733" s="72" t="n"/>
      <c r="S733" s="4" t="n"/>
    </row>
    <row r="734">
      <c r="A734" s="74">
        <f>IFERROR(__xludf.DUMMYFUNCTION("""COMPUTED_VALUE"""),46212.0)</f>
        <v/>
      </c>
      <c r="B734" s="72">
        <f>IFERROR(__xludf.DUMMYFUNCTION("""COMPUTED_VALUE"""),265.0)</f>
        <v/>
      </c>
      <c r="C734" s="75">
        <f>IFERROR(__xludf.DUMMYFUNCTION("""COMPUTED_VALUE"""),20.0)</f>
        <v/>
      </c>
      <c r="D734" s="75">
        <f>IFERROR(__xludf.DUMMYFUNCTION("""COMPUTED_VALUE"""),"USD")</f>
        <v/>
      </c>
      <c r="E734" s="75">
        <f>IFERROR(__xludf.DUMMYFUNCTION("""COMPUTED_VALUE"""),"Efectivo USD")</f>
        <v/>
      </c>
      <c r="F734" s="75">
        <f>IFERROR(__xludf.DUMMYFUNCTION("""COMPUTED_VALUE"""),"Repuestos Guia Dios Nuestro Camino,c.a.")</f>
        <v/>
      </c>
      <c r="G734" s="76">
        <f>IFERROR(__xludf.DUMMYFUNCTION("""COMPUTED_VALUE"""),"QUEVEDO BASTIDAS NEYKEL DAVID")</f>
        <v/>
      </c>
      <c r="H734" s="76">
        <f>IFERROR(__xludf.DUMMYFUNCTION("""COMPUTED_VALUE"""),700.2249)</f>
        <v/>
      </c>
      <c r="I734" s="75" t="n"/>
      <c r="J734" s="77">
        <f>IFERROR(__xludf.DUMMYFUNCTION("""COMPUTED_VALUE"""),20.0)</f>
        <v/>
      </c>
      <c r="K734" s="4">
        <f>IFERROR(__xludf.DUMMYFUNCTION("""COMPUTED_VALUE"""),20.0)</f>
        <v/>
      </c>
      <c r="L734" s="77">
        <f>IFERROR(__xludf.DUMMYFUNCTION("""COMPUTED_VALUE"""),20.0)</f>
        <v/>
      </c>
      <c r="O734" s="72" t="n"/>
      <c r="S734" s="4" t="n"/>
    </row>
    <row r="735">
      <c r="A735" s="74">
        <f>IFERROR(__xludf.DUMMYFUNCTION("""COMPUTED_VALUE"""),46212.0)</f>
        <v/>
      </c>
      <c r="B735" s="72">
        <f>IFERROR(__xludf.DUMMYFUNCTION("""COMPUTED_VALUE"""),259.0)</f>
        <v/>
      </c>
      <c r="C735" s="75">
        <f>IFERROR(__xludf.DUMMYFUNCTION("""COMPUTED_VALUE"""),13.0)</f>
        <v/>
      </c>
      <c r="D735" s="75">
        <f>IFERROR(__xludf.DUMMYFUNCTION("""COMPUTED_VALUE"""),"USD")</f>
        <v/>
      </c>
      <c r="E735" s="75">
        <f>IFERROR(__xludf.DUMMYFUNCTION("""COMPUTED_VALUE"""),"Binance")</f>
        <v/>
      </c>
      <c r="F735" s="75">
        <f>IFERROR(__xludf.DUMMYFUNCTION("""COMPUTED_VALUE"""),"Multiservicio Tocome, C.A")</f>
        <v/>
      </c>
      <c r="G735" s="76">
        <f>IFERROR(__xludf.DUMMYFUNCTION("""COMPUTED_VALUE"""),"MARTINEZ MONTES JEFFREY ENRIQUE")</f>
        <v/>
      </c>
      <c r="H735" s="76">
        <f>IFERROR(__xludf.DUMMYFUNCTION("""COMPUTED_VALUE"""),700.2249)</f>
        <v/>
      </c>
      <c r="I735" s="75" t="n"/>
      <c r="J735" s="77">
        <f>IFERROR(__xludf.DUMMYFUNCTION("""COMPUTED_VALUE"""),13.0)</f>
        <v/>
      </c>
      <c r="K735" s="4">
        <f>IFERROR(__xludf.DUMMYFUNCTION("""COMPUTED_VALUE"""),13.0)</f>
        <v/>
      </c>
      <c r="L735" s="77">
        <f>IFERROR(__xludf.DUMMYFUNCTION("""COMPUTED_VALUE"""),13.0)</f>
        <v/>
      </c>
      <c r="O735" s="72" t="n"/>
      <c r="S735" s="4" t="n"/>
    </row>
    <row r="736">
      <c r="A736" s="74">
        <f>IFERROR(__xludf.DUMMYFUNCTION("""COMPUTED_VALUE"""),46212.0)</f>
        <v/>
      </c>
      <c r="B736" s="72">
        <f>IFERROR(__xludf.DUMMYFUNCTION("""COMPUTED_VALUE"""),430.0)</f>
        <v/>
      </c>
      <c r="C736" s="75">
        <f>IFERROR(__xludf.DUMMYFUNCTION("""COMPUTED_VALUE"""),70.0)</f>
        <v/>
      </c>
      <c r="D736" s="75">
        <f>IFERROR(__xludf.DUMMYFUNCTION("""COMPUTED_VALUE"""),"USD")</f>
        <v/>
      </c>
      <c r="E736" s="75">
        <f>IFERROR(__xludf.DUMMYFUNCTION("""COMPUTED_VALUE"""),"Zelle")</f>
        <v/>
      </c>
      <c r="F736" s="75">
        <f>IFERROR(__xludf.DUMMYFUNCTION("""COMPUTED_VALUE"""),"Dimas Ortíz")</f>
        <v/>
      </c>
      <c r="G736" s="76">
        <f>IFERROR(__xludf.DUMMYFUNCTION("""COMPUTED_VALUE"""),"BETANCOURT ROBRIGUEZ LUIS ENRRIQUE")</f>
        <v/>
      </c>
      <c r="H736" s="76">
        <f>IFERROR(__xludf.DUMMYFUNCTION("""COMPUTED_VALUE"""),700.2249)</f>
        <v/>
      </c>
      <c r="I736" s="75" t="n"/>
      <c r="J736" s="77">
        <f>IFERROR(__xludf.DUMMYFUNCTION("""COMPUTED_VALUE"""),70.0)</f>
        <v/>
      </c>
      <c r="K736" s="4">
        <f>IFERROR(__xludf.DUMMYFUNCTION("""COMPUTED_VALUE"""),70.0)</f>
        <v/>
      </c>
      <c r="L736" s="77">
        <f>IFERROR(__xludf.DUMMYFUNCTION("""COMPUTED_VALUE"""),70.0)</f>
        <v/>
      </c>
      <c r="O736" s="72" t="n"/>
      <c r="S736" s="4" t="n"/>
    </row>
    <row r="737">
      <c r="A737" s="74">
        <f>IFERROR(__xludf.DUMMYFUNCTION("""COMPUTED_VALUE"""),46212.0)</f>
        <v/>
      </c>
      <c r="B737" s="72">
        <f>IFERROR(__xludf.DUMMYFUNCTION("""COMPUTED_VALUE"""),178.0)</f>
        <v/>
      </c>
      <c r="C737" s="75">
        <f>IFERROR(__xludf.DUMMYFUNCTION("""COMPUTED_VALUE"""),70.0)</f>
        <v/>
      </c>
      <c r="D737" s="75">
        <f>IFERROR(__xludf.DUMMYFUNCTION("""COMPUTED_VALUE"""),"USD")</f>
        <v/>
      </c>
      <c r="E737" s="75">
        <f>IFERROR(__xludf.DUMMYFUNCTION("""COMPUTED_VALUE"""),"Efectivo USD")</f>
        <v/>
      </c>
      <c r="F737" s="75">
        <f>IFERROR(__xludf.DUMMYFUNCTION("""COMPUTED_VALUE"""),"Distribuidora Nesmari 2050 c.a")</f>
        <v/>
      </c>
      <c r="G737" s="76">
        <f>IFERROR(__xludf.DUMMYFUNCTION("""COMPUTED_VALUE"""),"BETANCOURT ROBRIGUEZ LUIS ENRRIQUE")</f>
        <v/>
      </c>
      <c r="H737" s="76">
        <f>IFERROR(__xludf.DUMMYFUNCTION("""COMPUTED_VALUE"""),700.2249)</f>
        <v/>
      </c>
      <c r="I737" s="75" t="n"/>
      <c r="J737" s="77">
        <f>IFERROR(__xludf.DUMMYFUNCTION("""COMPUTED_VALUE"""),70.0)</f>
        <v/>
      </c>
      <c r="K737" s="4">
        <f>IFERROR(__xludf.DUMMYFUNCTION("""COMPUTED_VALUE"""),70.0)</f>
        <v/>
      </c>
      <c r="L737" s="77">
        <f>IFERROR(__xludf.DUMMYFUNCTION("""COMPUTED_VALUE"""),70.0)</f>
        <v/>
      </c>
      <c r="O737" s="72" t="n"/>
      <c r="S737" s="4" t="n"/>
    </row>
    <row r="738">
      <c r="A738" s="74">
        <f>IFERROR(__xludf.DUMMYFUNCTION("""COMPUTED_VALUE"""),46212.0)</f>
        <v/>
      </c>
      <c r="B738" s="72">
        <f>IFERROR(__xludf.DUMMYFUNCTION("""COMPUTED_VALUE"""),343.0)</f>
        <v/>
      </c>
      <c r="C738" s="75">
        <f>IFERROR(__xludf.DUMMYFUNCTION("""COMPUTED_VALUE"""),105033.0)</f>
        <v/>
      </c>
      <c r="D738" s="75">
        <f>IFERROR(__xludf.DUMMYFUNCTION("""COMPUTED_VALUE"""),"VES")</f>
        <v/>
      </c>
      <c r="E738" s="75">
        <f>IFERROR(__xludf.DUMMYFUNCTION("""COMPUTED_VALUE"""),"Bancamiga")</f>
        <v/>
      </c>
      <c r="F738" s="75">
        <f>IFERROR(__xludf.DUMMYFUNCTION("""COMPUTED_VALUE"""),"Moto repuestos el casco 2050 c.a")</f>
        <v/>
      </c>
      <c r="G738" s="76">
        <f>IFERROR(__xludf.DUMMYFUNCTION("""COMPUTED_VALUE"""),"BETANCOURT ROBRIGUEZ LUIS ENRRIQUE")</f>
        <v/>
      </c>
      <c r="H738" s="76">
        <f>IFERROR(__xludf.DUMMYFUNCTION("""COMPUTED_VALUE"""),700.2249)</f>
        <v/>
      </c>
      <c r="I738" s="75" t="n"/>
      <c r="J738" s="77">
        <f>IFERROR(__xludf.DUMMYFUNCTION("""COMPUTED_VALUE"""),149.99895033724164)</f>
        <v/>
      </c>
      <c r="K738" s="4">
        <f>IFERROR(__xludf.DUMMYFUNCTION("""COMPUTED_VALUE"""),0.0)</f>
        <v/>
      </c>
      <c r="L738" s="77">
        <f>IFERROR(__xludf.DUMMYFUNCTION("""COMPUTED_VALUE"""),149.99895033724164)</f>
        <v/>
      </c>
      <c r="O738" s="72" t="n"/>
      <c r="S738" s="4" t="n"/>
    </row>
    <row r="739">
      <c r="A739" s="74">
        <f>IFERROR(__xludf.DUMMYFUNCTION("""COMPUTED_VALUE"""),46213.0)</f>
        <v/>
      </c>
      <c r="B739" s="72">
        <f>IFERROR(__xludf.DUMMYFUNCTION("""COMPUTED_VALUE"""),59.0)</f>
        <v/>
      </c>
      <c r="C739" s="75">
        <f>IFERROR(__xludf.DUMMYFUNCTION("""COMPUTED_VALUE"""),164800.0)</f>
        <v/>
      </c>
      <c r="D739" s="75">
        <f>IFERROR(__xludf.DUMMYFUNCTION("""COMPUTED_VALUE"""),"VES")</f>
        <v/>
      </c>
      <c r="E739" s="75">
        <f>IFERROR(__xludf.DUMMYFUNCTION("""COMPUTED_VALUE"""),"Bancamiga")</f>
        <v/>
      </c>
      <c r="F739" s="75">
        <f>IFERROR(__xludf.DUMMYFUNCTION("""COMPUTED_VALUE"""),"Rhino Toyo Parts, C.A.")</f>
        <v/>
      </c>
      <c r="G739" s="76">
        <f>IFERROR(__xludf.DUMMYFUNCTION("""COMPUTED_VALUE"""),"Frank Vasquez")</f>
        <v/>
      </c>
      <c r="H739" s="76">
        <f>IFERROR(__xludf.DUMMYFUNCTION("""COMPUTED_VALUE"""),709.6935)</f>
        <v/>
      </c>
      <c r="I739" s="75" t="n"/>
      <c r="J739" s="77">
        <f>IFERROR(__xludf.DUMMYFUNCTION("""COMPUTED_VALUE"""),232.21292008451536)</f>
        <v/>
      </c>
      <c r="K739" s="4">
        <f>IFERROR(__xludf.DUMMYFUNCTION("""COMPUTED_VALUE"""),0.0)</f>
        <v/>
      </c>
      <c r="L739" s="77">
        <f>IFERROR(__xludf.DUMMYFUNCTION("""COMPUTED_VALUE"""),232.21292008451536)</f>
        <v/>
      </c>
      <c r="O739" s="72" t="n"/>
      <c r="S739" s="4" t="n"/>
    </row>
    <row r="740">
      <c r="A740" s="74">
        <f>IFERROR(__xludf.DUMMYFUNCTION("""COMPUTED_VALUE"""),46213.0)</f>
        <v/>
      </c>
      <c r="B740" s="72">
        <f>IFERROR(__xludf.DUMMYFUNCTION("""COMPUTED_VALUE"""),446.0)</f>
        <v/>
      </c>
      <c r="C740" s="75">
        <f>IFERROR(__xludf.DUMMYFUNCTION("""COMPUTED_VALUE"""),72.0)</f>
        <v/>
      </c>
      <c r="D740" s="75">
        <f>IFERROR(__xludf.DUMMYFUNCTION("""COMPUTED_VALUE"""),"USD")</f>
        <v/>
      </c>
      <c r="E740" s="75">
        <f>IFERROR(__xludf.DUMMYFUNCTION("""COMPUTED_VALUE"""),"Efectivo USD")</f>
        <v/>
      </c>
      <c r="F740" s="75">
        <f>IFERROR(__xludf.DUMMYFUNCTION("""COMPUTED_VALUE"""),"JOSE RAFAEL MARTÍNEZ")</f>
        <v/>
      </c>
      <c r="G740" s="76">
        <f>IFERROR(__xludf.DUMMYFUNCTION("""COMPUTED_VALUE"""),"TORO ARDILES DAVID JOSE")</f>
        <v/>
      </c>
      <c r="H740" s="76">
        <f>IFERROR(__xludf.DUMMYFUNCTION("""COMPUTED_VALUE"""),709.6935)</f>
        <v/>
      </c>
      <c r="I740" s="75" t="n"/>
      <c r="J740" s="77">
        <f>IFERROR(__xludf.DUMMYFUNCTION("""COMPUTED_VALUE"""),72.0)</f>
        <v/>
      </c>
      <c r="K740" s="4">
        <f>IFERROR(__xludf.DUMMYFUNCTION("""COMPUTED_VALUE"""),72.0)</f>
        <v/>
      </c>
      <c r="L740" s="77">
        <f>IFERROR(__xludf.DUMMYFUNCTION("""COMPUTED_VALUE"""),72.0)</f>
        <v/>
      </c>
      <c r="O740" s="72" t="n"/>
      <c r="S740" s="4" t="n"/>
    </row>
    <row r="741">
      <c r="A741" s="74">
        <f>IFERROR(__xludf.DUMMYFUNCTION("""COMPUTED_VALUE"""),46213.0)</f>
        <v/>
      </c>
      <c r="B741" s="72">
        <f>IFERROR(__xludf.DUMMYFUNCTION("""COMPUTED_VALUE"""),179.0)</f>
        <v/>
      </c>
      <c r="C741" s="75">
        <f>IFERROR(__xludf.DUMMYFUNCTION("""COMPUTED_VALUE"""),40.0)</f>
        <v/>
      </c>
      <c r="D741" s="75">
        <f>IFERROR(__xludf.DUMMYFUNCTION("""COMPUTED_VALUE"""),"USD")</f>
        <v/>
      </c>
      <c r="E741" s="75">
        <f>IFERROR(__xludf.DUMMYFUNCTION("""COMPUTED_VALUE"""),"Efectivo USD")</f>
        <v/>
      </c>
      <c r="F741" s="75">
        <f>IFERROR(__xludf.DUMMYFUNCTION("""COMPUTED_VALUE"""),"Inversiones Vercris 17 C.A")</f>
        <v/>
      </c>
      <c r="G741" s="76">
        <f>IFERROR(__xludf.DUMMYFUNCTION("""COMPUTED_VALUE"""),"GRIMAN DIAZ HECTOR EDUARDO")</f>
        <v/>
      </c>
      <c r="H741" s="76">
        <f>IFERROR(__xludf.DUMMYFUNCTION("""COMPUTED_VALUE"""),709.6935)</f>
        <v/>
      </c>
      <c r="I741" s="75" t="n"/>
      <c r="J741" s="77">
        <f>IFERROR(__xludf.DUMMYFUNCTION("""COMPUTED_VALUE"""),40.0)</f>
        <v/>
      </c>
      <c r="K741" s="4">
        <f>IFERROR(__xludf.DUMMYFUNCTION("""COMPUTED_VALUE"""),40.0)</f>
        <v/>
      </c>
      <c r="L741" s="77">
        <f>IFERROR(__xludf.DUMMYFUNCTION("""COMPUTED_VALUE"""),40.0)</f>
        <v/>
      </c>
      <c r="O741" s="72" t="n"/>
      <c r="S741" s="4" t="n"/>
    </row>
    <row r="742">
      <c r="A742" s="74">
        <f>IFERROR(__xludf.DUMMYFUNCTION("""COMPUTED_VALUE"""),46213.0)</f>
        <v/>
      </c>
      <c r="B742" s="72">
        <f>IFERROR(__xludf.DUMMYFUNCTION("""COMPUTED_VALUE"""),61.0)</f>
        <v/>
      </c>
      <c r="C742" s="75">
        <f>IFERROR(__xludf.DUMMYFUNCTION("""COMPUTED_VALUE"""),250.0)</f>
        <v/>
      </c>
      <c r="D742" s="75">
        <f>IFERROR(__xludf.DUMMYFUNCTION("""COMPUTED_VALUE"""),"USD")</f>
        <v/>
      </c>
      <c r="E742" s="75">
        <f>IFERROR(__xludf.DUMMYFUNCTION("""COMPUTED_VALUE"""),"Efectivo USD")</f>
        <v/>
      </c>
      <c r="F742" s="75">
        <f>IFERROR(__xludf.DUMMYFUNCTION("""COMPUTED_VALUE"""),"SJMG 2012 C.A")</f>
        <v/>
      </c>
      <c r="G742" s="76">
        <f>IFERROR(__xludf.DUMMYFUNCTION("""COMPUTED_VALUE"""),"GRIMAN DIAZ HECTOR EDUARDO")</f>
        <v/>
      </c>
      <c r="H742" s="76">
        <f>IFERROR(__xludf.DUMMYFUNCTION("""COMPUTED_VALUE"""),709.6935)</f>
        <v/>
      </c>
      <c r="I742" s="75" t="n"/>
      <c r="J742" s="77">
        <f>IFERROR(__xludf.DUMMYFUNCTION("""COMPUTED_VALUE"""),250.0)</f>
        <v/>
      </c>
      <c r="K742" s="4">
        <f>IFERROR(__xludf.DUMMYFUNCTION("""COMPUTED_VALUE"""),250.0)</f>
        <v/>
      </c>
      <c r="L742" s="77">
        <f>IFERROR(__xludf.DUMMYFUNCTION("""COMPUTED_VALUE"""),250.0)</f>
        <v/>
      </c>
      <c r="O742" s="72" t="n"/>
      <c r="S742" s="4" t="n"/>
    </row>
    <row r="743">
      <c r="A743" s="74">
        <f>IFERROR(__xludf.DUMMYFUNCTION("""COMPUTED_VALUE"""),46213.0)</f>
        <v/>
      </c>
      <c r="B743" s="72">
        <f>IFERROR(__xludf.DUMMYFUNCTION("""COMPUTED_VALUE"""),54.0)</f>
        <v/>
      </c>
      <c r="C743" s="75">
        <f>IFERROR(__xludf.DUMMYFUNCTION("""COMPUTED_VALUE"""),32458.0)</f>
        <v/>
      </c>
      <c r="D743" s="75">
        <f>IFERROR(__xludf.DUMMYFUNCTION("""COMPUTED_VALUE"""),"VES")</f>
        <v/>
      </c>
      <c r="E743" s="75">
        <f>IFERROR(__xludf.DUMMYFUNCTION("""COMPUTED_VALUE"""),"Bancamiga")</f>
        <v/>
      </c>
      <c r="F743" s="75">
        <f>IFERROR(__xludf.DUMMYFUNCTION("""COMPUTED_VALUE"""),"Corporación Lubricantes 7ma Av.C.A")</f>
        <v/>
      </c>
      <c r="G743" s="76">
        <f>IFERROR(__xludf.DUMMYFUNCTION("""COMPUTED_VALUE"""),"GRIMAN DIAZ HECTOR EDUARDO")</f>
        <v/>
      </c>
      <c r="H743" s="76">
        <f>IFERROR(__xludf.DUMMYFUNCTION("""COMPUTED_VALUE"""),709.6935)</f>
        <v/>
      </c>
      <c r="I743" s="75" t="n"/>
      <c r="J743" s="77">
        <f>IFERROR(__xludf.DUMMYFUNCTION("""COMPUTED_VALUE"""),45.735236408393206)</f>
        <v/>
      </c>
      <c r="K743" s="4">
        <f>IFERROR(__xludf.DUMMYFUNCTION("""COMPUTED_VALUE"""),0.0)</f>
        <v/>
      </c>
      <c r="L743" s="77">
        <f>IFERROR(__xludf.DUMMYFUNCTION("""COMPUTED_VALUE"""),45.735236408393206)</f>
        <v/>
      </c>
      <c r="O743" s="72" t="n"/>
      <c r="S743" s="4" t="n"/>
    </row>
    <row r="744">
      <c r="A744" s="74">
        <f>IFERROR(__xludf.DUMMYFUNCTION("""COMPUTED_VALUE"""),46213.0)</f>
        <v/>
      </c>
      <c r="B744" s="72">
        <f>IFERROR(__xludf.DUMMYFUNCTION("""COMPUTED_VALUE"""),550.0)</f>
        <v/>
      </c>
      <c r="C744" s="75">
        <f>IFERROR(__xludf.DUMMYFUNCTION("""COMPUTED_VALUE"""),150.0)</f>
        <v/>
      </c>
      <c r="D744" s="75">
        <f>IFERROR(__xludf.DUMMYFUNCTION("""COMPUTED_VALUE"""),"USD")</f>
        <v/>
      </c>
      <c r="E744" s="75">
        <f>IFERROR(__xludf.DUMMYFUNCTION("""COMPUTED_VALUE"""),"Binance")</f>
        <v/>
      </c>
      <c r="F744" s="75">
        <f>IFERROR(__xludf.DUMMYFUNCTION("""COMPUTED_VALUE"""),"ADS SERVICE C.A")</f>
        <v/>
      </c>
      <c r="G744" s="76">
        <f>IFERROR(__xludf.DUMMYFUNCTION("""COMPUTED_VALUE"""),"PEREZ DIAZ ANGEL DE DIOS")</f>
        <v/>
      </c>
      <c r="H744" s="76">
        <f>IFERROR(__xludf.DUMMYFUNCTION("""COMPUTED_VALUE"""),709.6935)</f>
        <v/>
      </c>
      <c r="I744" s="75" t="n"/>
      <c r="J744" s="77">
        <f>IFERROR(__xludf.DUMMYFUNCTION("""COMPUTED_VALUE"""),150.0)</f>
        <v/>
      </c>
      <c r="K744" s="4">
        <f>IFERROR(__xludf.DUMMYFUNCTION("""COMPUTED_VALUE"""),150.0)</f>
        <v/>
      </c>
      <c r="L744" s="77">
        <f>IFERROR(__xludf.DUMMYFUNCTION("""COMPUTED_VALUE"""),150.0)</f>
        <v/>
      </c>
      <c r="O744" s="72" t="n"/>
      <c r="S744" s="4" t="n"/>
    </row>
    <row r="745">
      <c r="A745" s="74">
        <f>IFERROR(__xludf.DUMMYFUNCTION("""COMPUTED_VALUE"""),46213.0)</f>
        <v/>
      </c>
      <c r="B745" s="72">
        <f>IFERROR(__xludf.DUMMYFUNCTION("""COMPUTED_VALUE"""),568.0)</f>
        <v/>
      </c>
      <c r="C745" s="75">
        <f>IFERROR(__xludf.DUMMYFUNCTION("""COMPUTED_VALUE"""),35.0)</f>
        <v/>
      </c>
      <c r="D745" s="75">
        <f>IFERROR(__xludf.DUMMYFUNCTION("""COMPUTED_VALUE"""),"USD")</f>
        <v/>
      </c>
      <c r="E745" s="75">
        <f>IFERROR(__xludf.DUMMYFUNCTION("""COMPUTED_VALUE"""),"Efectivo USD")</f>
        <v/>
      </c>
      <c r="F745" s="75">
        <f>IFERROR(__xludf.DUMMYFUNCTION("""COMPUTED_VALUE"""),"Jefferson Navone")</f>
        <v/>
      </c>
      <c r="G745" s="76">
        <f>IFERROR(__xludf.DUMMYFUNCTION("""COMPUTED_VALUE"""),"MARTINEZ MONTES JEFFREY ENRIQUE")</f>
        <v/>
      </c>
      <c r="H745" s="76">
        <f>IFERROR(__xludf.DUMMYFUNCTION("""COMPUTED_VALUE"""),709.6935)</f>
        <v/>
      </c>
      <c r="I745" s="75" t="n"/>
      <c r="J745" s="77">
        <f>IFERROR(__xludf.DUMMYFUNCTION("""COMPUTED_VALUE"""),35.0)</f>
        <v/>
      </c>
      <c r="K745" s="4">
        <f>IFERROR(__xludf.DUMMYFUNCTION("""COMPUTED_VALUE"""),35.0)</f>
        <v/>
      </c>
      <c r="L745" s="77">
        <f>IFERROR(__xludf.DUMMYFUNCTION("""COMPUTED_VALUE"""),35.0)</f>
        <v/>
      </c>
      <c r="O745" s="72" t="n"/>
      <c r="S745" s="4" t="n"/>
    </row>
    <row r="746">
      <c r="A746" s="74">
        <f>IFERROR(__xludf.DUMMYFUNCTION("""COMPUTED_VALUE"""),46213.0)</f>
        <v/>
      </c>
      <c r="B746" s="72">
        <f>IFERROR(__xludf.DUMMYFUNCTION("""COMPUTED_VALUE"""),549.0)</f>
        <v/>
      </c>
      <c r="C746" s="75">
        <f>IFERROR(__xludf.DUMMYFUNCTION("""COMPUTED_VALUE"""),43940.18)</f>
        <v/>
      </c>
      <c r="D746" s="75">
        <f>IFERROR(__xludf.DUMMYFUNCTION("""COMPUTED_VALUE"""),"VES")</f>
        <v/>
      </c>
      <c r="E746" s="75">
        <f>IFERROR(__xludf.DUMMYFUNCTION("""COMPUTED_VALUE"""),"Bancamiga")</f>
        <v/>
      </c>
      <c r="F746" s="75">
        <f>IFERROR(__xludf.DUMMYFUNCTION("""COMPUTED_VALUE"""),"Moto repuestos jj")</f>
        <v/>
      </c>
      <c r="G746" s="76">
        <f>IFERROR(__xludf.DUMMYFUNCTION("""COMPUTED_VALUE"""),"PEREZ DIAZ ANGEL DE DIOS")</f>
        <v/>
      </c>
      <c r="H746" s="76">
        <f>IFERROR(__xludf.DUMMYFUNCTION("""COMPUTED_VALUE"""),709.6935)</f>
        <v/>
      </c>
      <c r="I746" s="75" t="n"/>
      <c r="J746" s="77">
        <f>IFERROR(__xludf.DUMMYFUNCTION("""COMPUTED_VALUE"""),61.91430525994673)</f>
        <v/>
      </c>
      <c r="K746" s="4">
        <f>IFERROR(__xludf.DUMMYFUNCTION("""COMPUTED_VALUE"""),0.0)</f>
        <v/>
      </c>
      <c r="L746" s="77">
        <f>IFERROR(__xludf.DUMMYFUNCTION("""COMPUTED_VALUE"""),61.91430525994673)</f>
        <v/>
      </c>
      <c r="O746" s="72" t="n"/>
      <c r="S746" s="4" t="n"/>
    </row>
    <row r="747">
      <c r="A747" s="74">
        <f>IFERROR(__xludf.DUMMYFUNCTION("""COMPUTED_VALUE"""),46213.0)</f>
        <v/>
      </c>
      <c r="B747" s="72">
        <f>IFERROR(__xludf.DUMMYFUNCTION("""COMPUTED_VALUE"""),402.0)</f>
        <v/>
      </c>
      <c r="C747" s="75">
        <f>IFERROR(__xludf.DUMMYFUNCTION("""COMPUTED_VALUE"""),18.0)</f>
        <v/>
      </c>
      <c r="D747" s="75">
        <f>IFERROR(__xludf.DUMMYFUNCTION("""COMPUTED_VALUE"""),"USD")</f>
        <v/>
      </c>
      <c r="E747" s="75">
        <f>IFERROR(__xludf.DUMMYFUNCTION("""COMPUTED_VALUE"""),"Efectivo USD")</f>
        <v/>
      </c>
      <c r="F747" s="75">
        <f>IFERROR(__xludf.DUMMYFUNCTION("""COMPUTED_VALUE"""),"Jorge Luis camacaro")</f>
        <v/>
      </c>
      <c r="G747" s="76">
        <f>IFERROR(__xludf.DUMMYFUNCTION("""COMPUTED_VALUE"""),"PEREZ DIAZ ANGEL DE DIOS")</f>
        <v/>
      </c>
      <c r="H747" s="76">
        <f>IFERROR(__xludf.DUMMYFUNCTION("""COMPUTED_VALUE"""),709.6935)</f>
        <v/>
      </c>
      <c r="I747" s="75" t="n"/>
      <c r="J747" s="77">
        <f>IFERROR(__xludf.DUMMYFUNCTION("""COMPUTED_VALUE"""),18.0)</f>
        <v/>
      </c>
      <c r="K747" s="4">
        <f>IFERROR(__xludf.DUMMYFUNCTION("""COMPUTED_VALUE"""),18.0)</f>
        <v/>
      </c>
      <c r="L747" s="77">
        <f>IFERROR(__xludf.DUMMYFUNCTION("""COMPUTED_VALUE"""),18.0)</f>
        <v/>
      </c>
      <c r="O747" s="72" t="n"/>
      <c r="S747" s="4" t="n"/>
    </row>
    <row r="748">
      <c r="A748" s="74">
        <f>IFERROR(__xludf.DUMMYFUNCTION("""COMPUTED_VALUE"""),46213.0)</f>
        <v/>
      </c>
      <c r="B748" s="72">
        <f>IFERROR(__xludf.DUMMYFUNCTION("""COMPUTED_VALUE"""),468.0)</f>
        <v/>
      </c>
      <c r="C748" s="75">
        <f>IFERROR(__xludf.DUMMYFUNCTION("""COMPUTED_VALUE"""),70.0)</f>
        <v/>
      </c>
      <c r="D748" s="75">
        <f>IFERROR(__xludf.DUMMYFUNCTION("""COMPUTED_VALUE"""),"USD")</f>
        <v/>
      </c>
      <c r="E748" s="75">
        <f>IFERROR(__xludf.DUMMYFUNCTION("""COMPUTED_VALUE"""),"Zelle")</f>
        <v/>
      </c>
      <c r="F748" s="75">
        <f>IFERROR(__xludf.DUMMYFUNCTION("""COMPUTED_VALUE"""),"ELISA ALEJANDRA JIMÉNEZ SUÁREZ")</f>
        <v/>
      </c>
      <c r="G748" s="76">
        <f>IFERROR(__xludf.DUMMYFUNCTION("""COMPUTED_VALUE"""),"TORO ARDILES DAVID JOSE")</f>
        <v/>
      </c>
      <c r="H748" s="76">
        <f>IFERROR(__xludf.DUMMYFUNCTION("""COMPUTED_VALUE"""),709.6935)</f>
        <v/>
      </c>
      <c r="I748" s="75" t="n"/>
      <c r="J748" s="77">
        <f>IFERROR(__xludf.DUMMYFUNCTION("""COMPUTED_VALUE"""),70.0)</f>
        <v/>
      </c>
      <c r="K748" s="4">
        <f>IFERROR(__xludf.DUMMYFUNCTION("""COMPUTED_VALUE"""),70.0)</f>
        <v/>
      </c>
      <c r="L748" s="77">
        <f>IFERROR(__xludf.DUMMYFUNCTION("""COMPUTED_VALUE"""),70.0)</f>
        <v/>
      </c>
      <c r="O748" s="72" t="n"/>
      <c r="S748" s="4" t="n"/>
    </row>
    <row r="749">
      <c r="A749" s="74">
        <f>IFERROR(__xludf.DUMMYFUNCTION("""COMPUTED_VALUE"""),46213.0)</f>
        <v/>
      </c>
      <c r="B749" s="72">
        <f>IFERROR(__xludf.DUMMYFUNCTION("""COMPUTED_VALUE"""),619.0)</f>
        <v/>
      </c>
      <c r="C749" s="75">
        <f>IFERROR(__xludf.DUMMYFUNCTION("""COMPUTED_VALUE"""),186513.63)</f>
        <v/>
      </c>
      <c r="D749" s="75">
        <f>IFERROR(__xludf.DUMMYFUNCTION("""COMPUTED_VALUE"""),"VES")</f>
        <v/>
      </c>
      <c r="E749" s="75">
        <f>IFERROR(__xludf.DUMMYFUNCTION("""COMPUTED_VALUE"""),"Bancamiga")</f>
        <v/>
      </c>
      <c r="F749" s="75">
        <f>IFERROR(__xludf.DUMMYFUNCTION("""COMPUTED_VALUE"""),"Cauchera El Gordo 0410,c.a.")</f>
        <v/>
      </c>
      <c r="G749" s="76">
        <f>IFERROR(__xludf.DUMMYFUNCTION("""COMPUTED_VALUE"""),"Frank Vasquez")</f>
        <v/>
      </c>
      <c r="H749" s="76">
        <f>IFERROR(__xludf.DUMMYFUNCTION("""COMPUTED_VALUE"""),709.6935)</f>
        <v/>
      </c>
      <c r="I749" s="75" t="n"/>
      <c r="J749" s="77">
        <f>IFERROR(__xludf.DUMMYFUNCTION("""COMPUTED_VALUE"""),262.80870544819703)</f>
        <v/>
      </c>
      <c r="K749" s="4">
        <f>IFERROR(__xludf.DUMMYFUNCTION("""COMPUTED_VALUE"""),0.0)</f>
        <v/>
      </c>
      <c r="L749" s="77">
        <f>IFERROR(__xludf.DUMMYFUNCTION("""COMPUTED_VALUE"""),262.80870544819703)</f>
        <v/>
      </c>
      <c r="O749" s="72" t="n"/>
      <c r="S749" s="4" t="n"/>
    </row>
    <row r="750">
      <c r="A750" s="74">
        <f>IFERROR(__xludf.DUMMYFUNCTION("""COMPUTED_VALUE"""),46210.0)</f>
        <v/>
      </c>
      <c r="B750" s="72">
        <f>IFERROR(__xludf.DUMMYFUNCTION("""COMPUTED_VALUE"""),467.0)</f>
        <v/>
      </c>
      <c r="C750" s="75">
        <f>IFERROR(__xludf.DUMMYFUNCTION("""COMPUTED_VALUE"""),230.0)</f>
        <v/>
      </c>
      <c r="D750" s="75">
        <f>IFERROR(__xludf.DUMMYFUNCTION("""COMPUTED_VALUE"""),"USD")</f>
        <v/>
      </c>
      <c r="E750" s="75">
        <f>IFERROR(__xludf.DUMMYFUNCTION("""COMPUTED_VALUE"""),"Zelle")</f>
        <v/>
      </c>
      <c r="F750" s="75">
        <f>IFERROR(__xludf.DUMMYFUNCTION("""COMPUTED_VALUE"""),"PROYECTO MAQUIVEIRO 21 C.A.")</f>
        <v/>
      </c>
      <c r="G750" s="76">
        <f>IFERROR(__xludf.DUMMYFUNCTION("""COMPUTED_VALUE"""),"MARTINEZ MONTES JEFFREY ENRIQUE")</f>
        <v/>
      </c>
      <c r="H750" s="76">
        <f>IFERROR(__xludf.DUMMYFUNCTION("""COMPUTED_VALUE"""),674.9305)</f>
        <v/>
      </c>
      <c r="I750" s="75" t="n"/>
      <c r="J750" s="77">
        <f>IFERROR(__xludf.DUMMYFUNCTION("""COMPUTED_VALUE"""),230.0)</f>
        <v/>
      </c>
      <c r="K750" s="4">
        <f>IFERROR(__xludf.DUMMYFUNCTION("""COMPUTED_VALUE"""),230.0)</f>
        <v/>
      </c>
      <c r="L750" s="77">
        <f>IFERROR(__xludf.DUMMYFUNCTION("""COMPUTED_VALUE"""),230.0)</f>
        <v/>
      </c>
      <c r="O750" s="72" t="n"/>
      <c r="S750" s="4" t="n"/>
    </row>
    <row r="751">
      <c r="A751" s="74">
        <f>IFERROR(__xludf.DUMMYFUNCTION("""COMPUTED_VALUE"""),46213.0)</f>
        <v/>
      </c>
      <c r="B751" s="72">
        <f>IFERROR(__xludf.DUMMYFUNCTION("""COMPUTED_VALUE"""),133.0)</f>
        <v/>
      </c>
      <c r="C751" s="75">
        <f>IFERROR(__xludf.DUMMYFUNCTION("""COMPUTED_VALUE"""),500.0)</f>
        <v/>
      </c>
      <c r="D751" s="75">
        <f>IFERROR(__xludf.DUMMYFUNCTION("""COMPUTED_VALUE"""),"USD")</f>
        <v/>
      </c>
      <c r="E751" s="75">
        <f>IFERROR(__xludf.DUMMYFUNCTION("""COMPUTED_VALUE"""),"Efectivo USD")</f>
        <v/>
      </c>
      <c r="F751" s="75">
        <f>IFERROR(__xludf.DUMMYFUNCTION("""COMPUTED_VALUE"""),"Inversiones La Bendición del Nazareno, C.A")</f>
        <v/>
      </c>
      <c r="G751" s="76">
        <f>IFERROR(__xludf.DUMMYFUNCTION("""COMPUTED_VALUE"""),"MARTINEZ MONTES JEFFREY ENRIQUE")</f>
        <v/>
      </c>
      <c r="H751" s="76">
        <f>IFERROR(__xludf.DUMMYFUNCTION("""COMPUTED_VALUE"""),709.6935)</f>
        <v/>
      </c>
      <c r="I751" s="75" t="n"/>
      <c r="J751" s="77">
        <f>IFERROR(__xludf.DUMMYFUNCTION("""COMPUTED_VALUE"""),500.0)</f>
        <v/>
      </c>
      <c r="K751" s="4">
        <f>IFERROR(__xludf.DUMMYFUNCTION("""COMPUTED_VALUE"""),500.0)</f>
        <v/>
      </c>
      <c r="L751" s="77">
        <f>IFERROR(__xludf.DUMMYFUNCTION("""COMPUTED_VALUE"""),500.0)</f>
        <v/>
      </c>
      <c r="O751" s="72" t="n"/>
      <c r="S751" s="4" t="n"/>
    </row>
    <row r="752">
      <c r="A752" s="74">
        <f>IFERROR(__xludf.DUMMYFUNCTION("""COMPUTED_VALUE"""),46213.0)</f>
        <v/>
      </c>
      <c r="B752" s="72">
        <f>IFERROR(__xludf.DUMMYFUNCTION("""COMPUTED_VALUE"""),129.0)</f>
        <v/>
      </c>
      <c r="C752" s="75">
        <f>IFERROR(__xludf.DUMMYFUNCTION("""COMPUTED_VALUE"""),50.0)</f>
        <v/>
      </c>
      <c r="D752" s="75">
        <f>IFERROR(__xludf.DUMMYFUNCTION("""COMPUTED_VALUE"""),"USD")</f>
        <v/>
      </c>
      <c r="E752" s="75">
        <f>IFERROR(__xludf.DUMMYFUNCTION("""COMPUTED_VALUE"""),"Efectivo USD")</f>
        <v/>
      </c>
      <c r="F752" s="75">
        <f>IFERROR(__xludf.DUMMYFUNCTION("""COMPUTED_VALUE"""),"Emprendimiento Jordy Valencia")</f>
        <v/>
      </c>
      <c r="G752" s="76">
        <f>IFERROR(__xludf.DUMMYFUNCTION("""COMPUTED_VALUE"""),"MARTINEZ MONTES JEFFREY ENRIQUE")</f>
        <v/>
      </c>
      <c r="H752" s="76">
        <f>IFERROR(__xludf.DUMMYFUNCTION("""COMPUTED_VALUE"""),709.6935)</f>
        <v/>
      </c>
      <c r="I752" s="75" t="n"/>
      <c r="J752" s="77">
        <f>IFERROR(__xludf.DUMMYFUNCTION("""COMPUTED_VALUE"""),50.0)</f>
        <v/>
      </c>
      <c r="K752" s="4">
        <f>IFERROR(__xludf.DUMMYFUNCTION("""COMPUTED_VALUE"""),50.0)</f>
        <v/>
      </c>
      <c r="L752" s="77">
        <f>IFERROR(__xludf.DUMMYFUNCTION("""COMPUTED_VALUE"""),50.0)</f>
        <v/>
      </c>
      <c r="O752" s="72" t="n"/>
      <c r="S752" s="4" t="n"/>
    </row>
    <row r="753">
      <c r="A753" s="74">
        <f>IFERROR(__xludf.DUMMYFUNCTION("""COMPUTED_VALUE"""),46213.0)</f>
        <v/>
      </c>
      <c r="B753" s="72">
        <f>IFERROR(__xludf.DUMMYFUNCTION("""COMPUTED_VALUE"""),124.0)</f>
        <v/>
      </c>
      <c r="C753" s="75">
        <f>IFERROR(__xludf.DUMMYFUNCTION("""COMPUTED_VALUE"""),200.0)</f>
        <v/>
      </c>
      <c r="D753" s="75">
        <f>IFERROR(__xludf.DUMMYFUNCTION("""COMPUTED_VALUE"""),"USD")</f>
        <v/>
      </c>
      <c r="E753" s="75">
        <f>IFERROR(__xludf.DUMMYFUNCTION("""COMPUTED_VALUE"""),"Efectivo USD")</f>
        <v/>
      </c>
      <c r="F753" s="75">
        <f>IFERROR(__xludf.DUMMYFUNCTION("""COMPUTED_VALUE"""),"M.L.P Repuestos y Otros, C.A")</f>
        <v/>
      </c>
      <c r="G753" s="76">
        <f>IFERROR(__xludf.DUMMYFUNCTION("""COMPUTED_VALUE"""),"MARTINEZ MONTES JEFFREY ENRIQUE")</f>
        <v/>
      </c>
      <c r="H753" s="76">
        <f>IFERROR(__xludf.DUMMYFUNCTION("""COMPUTED_VALUE"""),709.6935)</f>
        <v/>
      </c>
      <c r="I753" s="75" t="n"/>
      <c r="J753" s="77">
        <f>IFERROR(__xludf.DUMMYFUNCTION("""COMPUTED_VALUE"""),200.0)</f>
        <v/>
      </c>
      <c r="K753" s="4">
        <f>IFERROR(__xludf.DUMMYFUNCTION("""COMPUTED_VALUE"""),200.0)</f>
        <v/>
      </c>
      <c r="L753" s="77">
        <f>IFERROR(__xludf.DUMMYFUNCTION("""COMPUTED_VALUE"""),200.0)</f>
        <v/>
      </c>
      <c r="O753" s="72" t="n"/>
      <c r="S753" s="4" t="n"/>
    </row>
    <row r="754">
      <c r="A754" s="74">
        <f>IFERROR(__xludf.DUMMYFUNCTION("""COMPUTED_VALUE"""),46211.0)</f>
        <v/>
      </c>
      <c r="B754" s="72">
        <f>IFERROR(__xludf.DUMMYFUNCTION("""COMPUTED_VALUE"""),656.0)</f>
        <v/>
      </c>
      <c r="C754" s="75">
        <f>IFERROR(__xludf.DUMMYFUNCTION("""COMPUTED_VALUE"""),70.0)</f>
        <v/>
      </c>
      <c r="D754" s="75">
        <f>IFERROR(__xludf.DUMMYFUNCTION("""COMPUTED_VALUE"""),"USD")</f>
        <v/>
      </c>
      <c r="E754" s="75">
        <f>IFERROR(__xludf.DUMMYFUNCTION("""COMPUTED_VALUE"""),"Efectivo USD")</f>
        <v/>
      </c>
      <c r="F754" s="75">
        <f>IFERROR(__xludf.DUMMYFUNCTION("""COMPUTED_VALUE"""),"ELENA MEJIAS")</f>
        <v/>
      </c>
      <c r="G754" s="76">
        <f>IFERROR(__xludf.DUMMYFUNCTION("""COMPUTED_VALUE"""),"Marco Romero")</f>
        <v/>
      </c>
      <c r="H754" s="76">
        <f>IFERROR(__xludf.DUMMYFUNCTION("""COMPUTED_VALUE"""),685.9427)</f>
        <v/>
      </c>
      <c r="I754" s="75" t="n"/>
      <c r="J754" s="77">
        <f>IFERROR(__xludf.DUMMYFUNCTION("""COMPUTED_VALUE"""),70.0)</f>
        <v/>
      </c>
      <c r="K754" s="4">
        <f>IFERROR(__xludf.DUMMYFUNCTION("""COMPUTED_VALUE"""),70.0)</f>
        <v/>
      </c>
      <c r="L754" s="77">
        <f>IFERROR(__xludf.DUMMYFUNCTION("""COMPUTED_VALUE"""),70.0)</f>
        <v/>
      </c>
      <c r="O754" s="72" t="n"/>
      <c r="S754" s="4" t="n"/>
    </row>
    <row r="755">
      <c r="A755" s="74">
        <f>IFERROR(__xludf.DUMMYFUNCTION("""COMPUTED_VALUE"""),46216.0)</f>
        <v/>
      </c>
      <c r="B755" s="72">
        <f>IFERROR(__xludf.DUMMYFUNCTION("""COMPUTED_VALUE"""),572.0)</f>
        <v/>
      </c>
      <c r="C755" s="75">
        <f>IFERROR(__xludf.DUMMYFUNCTION("""COMPUTED_VALUE"""),72134.0)</f>
        <v/>
      </c>
      <c r="D755" s="75">
        <f>IFERROR(__xludf.DUMMYFUNCTION("""COMPUTED_VALUE"""),"VES")</f>
        <v/>
      </c>
      <c r="E755" s="75">
        <f>IFERROR(__xludf.DUMMYFUNCTION("""COMPUTED_VALUE"""),"Bancamiga")</f>
        <v/>
      </c>
      <c r="F755" s="75">
        <f>IFERROR(__xludf.DUMMYFUNCTION("""COMPUTED_VALUE"""),"AUTO REPUESTOS EL DUO 2013, C.A.")</f>
        <v/>
      </c>
      <c r="G755" s="76">
        <f>IFERROR(__xludf.DUMMYFUNCTION("""COMPUTED_VALUE"""),"TORO ARDILES DAVID JOSE")</f>
        <v/>
      </c>
      <c r="H755" s="76">
        <f>IFERROR(__xludf.DUMMYFUNCTION("""COMPUTED_VALUE"""),721.3456)</f>
        <v/>
      </c>
      <c r="I755" s="75" t="n"/>
      <c r="J755" s="77">
        <f>IFERROR(__xludf.DUMMYFUNCTION("""COMPUTED_VALUE"""),99.99922367309095)</f>
        <v/>
      </c>
      <c r="K755" s="4">
        <f>IFERROR(__xludf.DUMMYFUNCTION("""COMPUTED_VALUE"""),0.0)</f>
        <v/>
      </c>
      <c r="L755" s="77">
        <f>IFERROR(__xludf.DUMMYFUNCTION("""COMPUTED_VALUE"""),99.99922367309095)</f>
        <v/>
      </c>
      <c r="O755" s="72" t="n"/>
      <c r="S755" s="4" t="n"/>
    </row>
    <row r="756">
      <c r="A756" s="74">
        <f>IFERROR(__xludf.DUMMYFUNCTION("""COMPUTED_VALUE"""),46216.0)</f>
        <v/>
      </c>
      <c r="B756" s="72">
        <f>IFERROR(__xludf.DUMMYFUNCTION("""COMPUTED_VALUE"""),553.0)</f>
        <v/>
      </c>
      <c r="C756" s="75">
        <f>IFERROR(__xludf.DUMMYFUNCTION("""COMPUTED_VALUE"""),100.0)</f>
        <v/>
      </c>
      <c r="D756" s="75">
        <f>IFERROR(__xludf.DUMMYFUNCTION("""COMPUTED_VALUE"""),"USD")</f>
        <v/>
      </c>
      <c r="E756" s="75">
        <f>IFERROR(__xludf.DUMMYFUNCTION("""COMPUTED_VALUE"""),"Efectivo USD")</f>
        <v/>
      </c>
      <c r="F756" s="75">
        <f>IFERROR(__xludf.DUMMYFUNCTION("""COMPUTED_VALUE"""),"Autolavado Artico")</f>
        <v/>
      </c>
      <c r="G756" s="76">
        <f>IFERROR(__xludf.DUMMYFUNCTION("""COMPUTED_VALUE"""),"MARTINEZ MONTES JEFFREY ENRIQUE")</f>
        <v/>
      </c>
      <c r="H756" s="76">
        <f>IFERROR(__xludf.DUMMYFUNCTION("""COMPUTED_VALUE"""),721.3456)</f>
        <v/>
      </c>
      <c r="I756" s="75" t="n"/>
      <c r="J756" s="77">
        <f>IFERROR(__xludf.DUMMYFUNCTION("""COMPUTED_VALUE"""),100.0)</f>
        <v/>
      </c>
      <c r="K756" s="4">
        <f>IFERROR(__xludf.DUMMYFUNCTION("""COMPUTED_VALUE"""),100.0)</f>
        <v/>
      </c>
      <c r="L756" s="77">
        <f>IFERROR(__xludf.DUMMYFUNCTION("""COMPUTED_VALUE"""),100.0)</f>
        <v/>
      </c>
      <c r="O756" s="72" t="n"/>
      <c r="S756" s="4" t="n"/>
    </row>
    <row r="757">
      <c r="A757" s="74">
        <f>IFERROR(__xludf.DUMMYFUNCTION("""COMPUTED_VALUE"""),46216.0)</f>
        <v/>
      </c>
      <c r="B757" s="72">
        <f>IFERROR(__xludf.DUMMYFUNCTION("""COMPUTED_VALUE"""),78.0)</f>
        <v/>
      </c>
      <c r="C757" s="75">
        <f>IFERROR(__xludf.DUMMYFUNCTION("""COMPUTED_VALUE"""),28854.0)</f>
        <v/>
      </c>
      <c r="D757" s="75">
        <f>IFERROR(__xludf.DUMMYFUNCTION("""COMPUTED_VALUE"""),"VES")</f>
        <v/>
      </c>
      <c r="E757" s="75">
        <f>IFERROR(__xludf.DUMMYFUNCTION("""COMPUTED_VALUE"""),"Bancamiga")</f>
        <v/>
      </c>
      <c r="F757" s="75">
        <f>IFERROR(__xludf.DUMMYFUNCTION("""COMPUTED_VALUE"""),"MULTISERVICIOS RECAM13, C.A.")</f>
        <v/>
      </c>
      <c r="G757" s="76">
        <f>IFERROR(__xludf.DUMMYFUNCTION("""COMPUTED_VALUE"""),"TORO ARDILES DAVID JOSE")</f>
        <v/>
      </c>
      <c r="H757" s="76">
        <f>IFERROR(__xludf.DUMMYFUNCTION("""COMPUTED_VALUE"""),721.3456)</f>
        <v/>
      </c>
      <c r="I757" s="75" t="n"/>
      <c r="J757" s="77">
        <f>IFERROR(__xludf.DUMMYFUNCTION("""COMPUTED_VALUE"""),40.00024398845713)</f>
        <v/>
      </c>
      <c r="K757" s="4">
        <f>IFERROR(__xludf.DUMMYFUNCTION("""COMPUTED_VALUE"""),0.0)</f>
        <v/>
      </c>
      <c r="L757" s="77">
        <f>IFERROR(__xludf.DUMMYFUNCTION("""COMPUTED_VALUE"""),40.00024398845713)</f>
        <v/>
      </c>
      <c r="O757" s="72" t="n"/>
      <c r="S757" s="4" t="n"/>
    </row>
    <row r="758">
      <c r="A758" s="74">
        <f>IFERROR(__xludf.DUMMYFUNCTION("""COMPUTED_VALUE"""),46216.0)</f>
        <v/>
      </c>
      <c r="B758" s="72">
        <f>IFERROR(__xludf.DUMMYFUNCTION("""COMPUTED_VALUE"""),126.0)</f>
        <v/>
      </c>
      <c r="C758" s="75">
        <f>IFERROR(__xludf.DUMMYFUNCTION("""COMPUTED_VALUE"""),180.0)</f>
        <v/>
      </c>
      <c r="D758" s="75">
        <f>IFERROR(__xludf.DUMMYFUNCTION("""COMPUTED_VALUE"""),"USD")</f>
        <v/>
      </c>
      <c r="E758" s="75">
        <f>IFERROR(__xludf.DUMMYFUNCTION("""COMPUTED_VALUE"""),"Efectivo USD")</f>
        <v/>
      </c>
      <c r="F758" s="75">
        <f>IFERROR(__xludf.DUMMYFUNCTION("""COMPUTED_VALUE"""),"Victor Ordaz")</f>
        <v/>
      </c>
      <c r="G758" s="76">
        <f>IFERROR(__xludf.DUMMYFUNCTION("""COMPUTED_VALUE"""),"BETANCOURT ROBRIGUEZ LUIS ENRRIQUE")</f>
        <v/>
      </c>
      <c r="H758" s="76">
        <f>IFERROR(__xludf.DUMMYFUNCTION("""COMPUTED_VALUE"""),721.3456)</f>
        <v/>
      </c>
      <c r="I758" s="75" t="n"/>
      <c r="J758" s="77">
        <f>IFERROR(__xludf.DUMMYFUNCTION("""COMPUTED_VALUE"""),180.0)</f>
        <v/>
      </c>
      <c r="K758" s="4">
        <f>IFERROR(__xludf.DUMMYFUNCTION("""COMPUTED_VALUE"""),180.0)</f>
        <v/>
      </c>
      <c r="L758" s="77">
        <f>IFERROR(__xludf.DUMMYFUNCTION("""COMPUTED_VALUE"""),180.0)</f>
        <v/>
      </c>
      <c r="O758" s="72" t="n"/>
      <c r="S758" s="4" t="n"/>
    </row>
    <row r="759">
      <c r="A759" s="74">
        <f>IFERROR(__xludf.DUMMYFUNCTION("""COMPUTED_VALUE"""),46216.0)</f>
        <v/>
      </c>
      <c r="B759" s="72">
        <f>IFERROR(__xludf.DUMMYFUNCTION("""COMPUTED_VALUE"""),430.0)</f>
        <v/>
      </c>
      <c r="C759" s="75">
        <f>IFERROR(__xludf.DUMMYFUNCTION("""COMPUTED_VALUE"""),100.0)</f>
        <v/>
      </c>
      <c r="D759" s="75">
        <f>IFERROR(__xludf.DUMMYFUNCTION("""COMPUTED_VALUE"""),"USD")</f>
        <v/>
      </c>
      <c r="E759" s="75">
        <f>IFERROR(__xludf.DUMMYFUNCTION("""COMPUTED_VALUE"""),"Zelle")</f>
        <v/>
      </c>
      <c r="F759" s="75">
        <f>IFERROR(__xludf.DUMMYFUNCTION("""COMPUTED_VALUE"""),"Dimas Ortíz")</f>
        <v/>
      </c>
      <c r="G759" s="76">
        <f>IFERROR(__xludf.DUMMYFUNCTION("""COMPUTED_VALUE"""),"BETANCOURT ROBRIGUEZ LUIS ENRRIQUE")</f>
        <v/>
      </c>
      <c r="H759" s="76">
        <f>IFERROR(__xludf.DUMMYFUNCTION("""COMPUTED_VALUE"""),721.3456)</f>
        <v/>
      </c>
      <c r="I759" s="75" t="n"/>
      <c r="J759" s="77">
        <f>IFERROR(__xludf.DUMMYFUNCTION("""COMPUTED_VALUE"""),100.0)</f>
        <v/>
      </c>
      <c r="K759" s="4">
        <f>IFERROR(__xludf.DUMMYFUNCTION("""COMPUTED_VALUE"""),100.0)</f>
        <v/>
      </c>
      <c r="L759" s="77">
        <f>IFERROR(__xludf.DUMMYFUNCTION("""COMPUTED_VALUE"""),100.0)</f>
        <v/>
      </c>
      <c r="O759" s="72" t="n"/>
      <c r="S759" s="4" t="n"/>
    </row>
    <row r="760">
      <c r="A760" s="74">
        <f>IFERROR(__xludf.DUMMYFUNCTION("""COMPUTED_VALUE"""),46217.0)</f>
        <v/>
      </c>
      <c r="B760" s="72">
        <f>IFERROR(__xludf.DUMMYFUNCTION("""COMPUTED_VALUE"""),353.0)</f>
        <v/>
      </c>
      <c r="C760" s="75">
        <f>IFERROR(__xludf.DUMMYFUNCTION("""COMPUTED_VALUE"""),13712.0)</f>
        <v/>
      </c>
      <c r="D760" s="75">
        <f>IFERROR(__xludf.DUMMYFUNCTION("""COMPUTED_VALUE"""),"VES")</f>
        <v/>
      </c>
      <c r="E760" s="75">
        <f>IFERROR(__xludf.DUMMYFUNCTION("""COMPUTED_VALUE"""),"Bancamiga")</f>
        <v/>
      </c>
      <c r="F760" s="75">
        <f>IFERROR(__xludf.DUMMYFUNCTION("""COMPUTED_VALUE"""),"Emprendimiento Tomas Paz")</f>
        <v/>
      </c>
      <c r="G760" s="76">
        <f>IFERROR(__xludf.DUMMYFUNCTION("""COMPUTED_VALUE"""),"TORO ARDILES DAVID JOSE")</f>
        <v/>
      </c>
      <c r="H760" s="76">
        <f>IFERROR(__xludf.DUMMYFUNCTION("""COMPUTED_VALUE"""),723.999)</f>
        <v/>
      </c>
      <c r="I760" s="75" t="n"/>
      <c r="J760" s="77">
        <f>IFERROR(__xludf.DUMMYFUNCTION("""COMPUTED_VALUE"""),18.939252678525797)</f>
        <v/>
      </c>
      <c r="K760" s="4">
        <f>IFERROR(__xludf.DUMMYFUNCTION("""COMPUTED_VALUE"""),0.0)</f>
        <v/>
      </c>
      <c r="L760" s="77">
        <f>IFERROR(__xludf.DUMMYFUNCTION("""COMPUTED_VALUE"""),18.939252678525797)</f>
        <v/>
      </c>
      <c r="O760" s="72" t="n"/>
      <c r="S760" s="4" t="n"/>
    </row>
    <row r="761">
      <c r="A761" s="74">
        <f>IFERROR(__xludf.DUMMYFUNCTION("""COMPUTED_VALUE"""),46217.0)</f>
        <v/>
      </c>
      <c r="B761" s="72">
        <f>IFERROR(__xludf.DUMMYFUNCTION("""COMPUTED_VALUE"""),469.0)</f>
        <v/>
      </c>
      <c r="C761" s="75">
        <f>IFERROR(__xludf.DUMMYFUNCTION("""COMPUTED_VALUE"""),14480.0)</f>
        <v/>
      </c>
      <c r="D761" s="75">
        <f>IFERROR(__xludf.DUMMYFUNCTION("""COMPUTED_VALUE"""),"VES")</f>
        <v/>
      </c>
      <c r="E761" s="75">
        <f>IFERROR(__xludf.DUMMYFUNCTION("""COMPUTED_VALUE"""),"Bancamiga")</f>
        <v/>
      </c>
      <c r="F761" s="75">
        <f>IFERROR(__xludf.DUMMYFUNCTION("""COMPUTED_VALUE"""),"AUTOPERIQUITOS LA CAMPIÑA C.A.")</f>
        <v/>
      </c>
      <c r="G761" s="76">
        <f>IFERROR(__xludf.DUMMYFUNCTION("""COMPUTED_VALUE"""),"TORO ARDILES DAVID JOSE")</f>
        <v/>
      </c>
      <c r="H761" s="76">
        <f>IFERROR(__xludf.DUMMYFUNCTION("""COMPUTED_VALUE"""),723.999)</f>
        <v/>
      </c>
      <c r="I761" s="75" t="n"/>
      <c r="J761" s="77">
        <f>IFERROR(__xludf.DUMMYFUNCTION("""COMPUTED_VALUE"""),20.000027624347545)</f>
        <v/>
      </c>
      <c r="K761" s="4">
        <f>IFERROR(__xludf.DUMMYFUNCTION("""COMPUTED_VALUE"""),0.0)</f>
        <v/>
      </c>
      <c r="L761" s="77">
        <f>IFERROR(__xludf.DUMMYFUNCTION("""COMPUTED_VALUE"""),20.000027624347545)</f>
        <v/>
      </c>
      <c r="O761" s="72" t="n"/>
      <c r="S761" s="4" t="n"/>
    </row>
    <row r="762">
      <c r="A762" s="74">
        <f>IFERROR(__xludf.DUMMYFUNCTION("""COMPUTED_VALUE"""),46217.0)</f>
        <v/>
      </c>
      <c r="B762" s="72">
        <f>IFERROR(__xludf.DUMMYFUNCTION("""COMPUTED_VALUE"""),336.0)</f>
        <v/>
      </c>
      <c r="C762" s="75">
        <f>IFERROR(__xludf.DUMMYFUNCTION("""COMPUTED_VALUE"""),136.0)</f>
        <v/>
      </c>
      <c r="D762" s="75">
        <f>IFERROR(__xludf.DUMMYFUNCTION("""COMPUTED_VALUE"""),"USD")</f>
        <v/>
      </c>
      <c r="E762" s="75">
        <f>IFERROR(__xludf.DUMMYFUNCTION("""COMPUTED_VALUE"""),"Efectivo USD")</f>
        <v/>
      </c>
      <c r="F762" s="75">
        <f>IFERROR(__xludf.DUMMYFUNCTION("""COMPUTED_VALUE"""),"Asociación Cooperativa la Esquina del Lubricante 9999 R.L")</f>
        <v/>
      </c>
      <c r="G762" s="76">
        <f>IFERROR(__xludf.DUMMYFUNCTION("""COMPUTED_VALUE"""),"GRIMAN DIAZ HECTOR EDUARDO")</f>
        <v/>
      </c>
      <c r="H762" s="76">
        <f>IFERROR(__xludf.DUMMYFUNCTION("""COMPUTED_VALUE"""),723.999)</f>
        <v/>
      </c>
      <c r="I762" s="75" t="n"/>
      <c r="J762" s="77">
        <f>IFERROR(__xludf.DUMMYFUNCTION("""COMPUTED_VALUE"""),136.0)</f>
        <v/>
      </c>
      <c r="K762" s="4">
        <f>IFERROR(__xludf.DUMMYFUNCTION("""COMPUTED_VALUE"""),136.0)</f>
        <v/>
      </c>
      <c r="L762" s="77">
        <f>IFERROR(__xludf.DUMMYFUNCTION("""COMPUTED_VALUE"""),136.0)</f>
        <v/>
      </c>
      <c r="O762" s="72" t="n"/>
      <c r="S762" s="4" t="n"/>
    </row>
    <row r="763">
      <c r="A763" s="74">
        <f>IFERROR(__xludf.DUMMYFUNCTION("""COMPUTED_VALUE"""),46217.0)</f>
        <v/>
      </c>
      <c r="B763" s="72">
        <f>IFERROR(__xludf.DUMMYFUNCTION("""COMPUTED_VALUE"""),621.0)</f>
        <v/>
      </c>
      <c r="C763" s="75">
        <f>IFERROR(__xludf.DUMMYFUNCTION("""COMPUTED_VALUE"""),338564.0)</f>
        <v/>
      </c>
      <c r="D763" s="75">
        <f>IFERROR(__xludf.DUMMYFUNCTION("""COMPUTED_VALUE"""),"VES")</f>
        <v/>
      </c>
      <c r="E763" s="75">
        <f>IFERROR(__xludf.DUMMYFUNCTION("""COMPUTED_VALUE"""),"Bancamiga")</f>
        <v/>
      </c>
      <c r="F763" s="75">
        <f>IFERROR(__xludf.DUMMYFUNCTION("""COMPUTED_VALUE"""),"Antonio Terán")</f>
        <v/>
      </c>
      <c r="G763" s="76">
        <f>IFERROR(__xludf.DUMMYFUNCTION("""COMPUTED_VALUE"""),"PEREZ DIAZ ANGEL DE DIOS")</f>
        <v/>
      </c>
      <c r="H763" s="76">
        <f>IFERROR(__xludf.DUMMYFUNCTION("""COMPUTED_VALUE"""),723.999)</f>
        <v/>
      </c>
      <c r="I763" s="75" t="n"/>
      <c r="J763" s="77">
        <f>IFERROR(__xludf.DUMMYFUNCTION("""COMPUTED_VALUE"""),467.6304801525969)</f>
        <v/>
      </c>
      <c r="K763" s="4">
        <f>IFERROR(__xludf.DUMMYFUNCTION("""COMPUTED_VALUE"""),0.0)</f>
        <v/>
      </c>
      <c r="L763" s="77">
        <f>IFERROR(__xludf.DUMMYFUNCTION("""COMPUTED_VALUE"""),467.6304801525969)</f>
        <v/>
      </c>
      <c r="O763" s="72" t="n"/>
      <c r="S763" s="4" t="n"/>
    </row>
    <row r="764">
      <c r="A764" s="74">
        <f>IFERROR(__xludf.DUMMYFUNCTION("""COMPUTED_VALUE"""),46217.0)</f>
        <v/>
      </c>
      <c r="B764" s="72">
        <f>IFERROR(__xludf.DUMMYFUNCTION("""COMPUTED_VALUE"""),543.0)</f>
        <v/>
      </c>
      <c r="C764" s="75">
        <f>IFERROR(__xludf.DUMMYFUNCTION("""COMPUTED_VALUE"""),12718.35)</f>
        <v/>
      </c>
      <c r="D764" s="75">
        <f>IFERROR(__xludf.DUMMYFUNCTION("""COMPUTED_VALUE"""),"VES")</f>
        <v/>
      </c>
      <c r="E764" s="75">
        <f>IFERROR(__xludf.DUMMYFUNCTION("""COMPUTED_VALUE"""),"Venezuela")</f>
        <v/>
      </c>
      <c r="F764" s="75">
        <f>IFERROR(__xludf.DUMMYFUNCTION("""COMPUTED_VALUE"""),"Jose de Andrade")</f>
        <v/>
      </c>
      <c r="G764" s="76">
        <f>IFERROR(__xludf.DUMMYFUNCTION("""COMPUTED_VALUE"""),"PEREZ DIAZ ANGEL DE DIOS")</f>
        <v/>
      </c>
      <c r="H764" s="76">
        <f>IFERROR(__xludf.DUMMYFUNCTION("""COMPUTED_VALUE"""),723.999)</f>
        <v/>
      </c>
      <c r="I764" s="75" t="n"/>
      <c r="J764" s="77">
        <f>IFERROR(__xludf.DUMMYFUNCTION("""COMPUTED_VALUE"""),17.566806031500043)</f>
        <v/>
      </c>
      <c r="K764" s="4">
        <f>IFERROR(__xludf.DUMMYFUNCTION("""COMPUTED_VALUE"""),0.0)</f>
        <v/>
      </c>
      <c r="L764" s="77">
        <f>IFERROR(__xludf.DUMMYFUNCTION("""COMPUTED_VALUE"""),17.566806031500043)</f>
        <v/>
      </c>
      <c r="O764" s="72" t="n"/>
      <c r="S764" s="4" t="n"/>
    </row>
    <row r="765">
      <c r="A765" s="74">
        <f>IFERROR(__xludf.DUMMYFUNCTION("""COMPUTED_VALUE"""),46217.0)</f>
        <v/>
      </c>
      <c r="B765" s="72">
        <f>IFERROR(__xludf.DUMMYFUNCTION("""COMPUTED_VALUE"""),128.0)</f>
        <v/>
      </c>
      <c r="C765" s="75">
        <f>IFERROR(__xludf.DUMMYFUNCTION("""COMPUTED_VALUE"""),100.0)</f>
        <v/>
      </c>
      <c r="D765" s="75">
        <f>IFERROR(__xludf.DUMMYFUNCTION("""COMPUTED_VALUE"""),"USD")</f>
        <v/>
      </c>
      <c r="E765" s="75">
        <f>IFERROR(__xludf.DUMMYFUNCTION("""COMPUTED_VALUE"""),"Zelle")</f>
        <v/>
      </c>
      <c r="F765" s="75">
        <f>IFERROR(__xludf.DUMMYFUNCTION("""COMPUTED_VALUE"""),"Multiservicios Gre-orio2022 c.a")</f>
        <v/>
      </c>
      <c r="G765" s="76">
        <f>IFERROR(__xludf.DUMMYFUNCTION("""COMPUTED_VALUE"""),"BETANCOURT ROBRIGUEZ LUIS ENRRIQUE")</f>
        <v/>
      </c>
      <c r="H765" s="76">
        <f>IFERROR(__xludf.DUMMYFUNCTION("""COMPUTED_VALUE"""),723.999)</f>
        <v/>
      </c>
      <c r="I765" s="75" t="n"/>
      <c r="J765" s="77">
        <f>IFERROR(__xludf.DUMMYFUNCTION("""COMPUTED_VALUE"""),100.0)</f>
        <v/>
      </c>
      <c r="K765" s="4">
        <f>IFERROR(__xludf.DUMMYFUNCTION("""COMPUTED_VALUE"""),100.0)</f>
        <v/>
      </c>
      <c r="L765" s="77">
        <f>IFERROR(__xludf.DUMMYFUNCTION("""COMPUTED_VALUE"""),100.0)</f>
        <v/>
      </c>
      <c r="O765" s="72" t="n"/>
      <c r="S765" s="4" t="n"/>
    </row>
    <row r="766">
      <c r="A766" s="74">
        <f>IFERROR(__xludf.DUMMYFUNCTION("""COMPUTED_VALUE"""),46216.0)</f>
        <v/>
      </c>
      <c r="B766" s="72">
        <f>IFERROR(__xludf.DUMMYFUNCTION("""COMPUTED_VALUE"""),572.0)</f>
        <v/>
      </c>
      <c r="C766" s="75">
        <f>IFERROR(__xludf.DUMMYFUNCTION("""COMPUTED_VALUE"""),34826.3)</f>
        <v/>
      </c>
      <c r="D766" s="75">
        <f>IFERROR(__xludf.DUMMYFUNCTION("""COMPUTED_VALUE"""),"VES")</f>
        <v/>
      </c>
      <c r="E766" s="75">
        <f>IFERROR(__xludf.DUMMYFUNCTION("""COMPUTED_VALUE"""),"Bancamiga")</f>
        <v/>
      </c>
      <c r="F766" s="75">
        <f>IFERROR(__xludf.DUMMYFUNCTION("""COMPUTED_VALUE"""),"AUTO REPUESTOS EL DUO 2013, C.A.")</f>
        <v/>
      </c>
      <c r="G766" s="76">
        <f>IFERROR(__xludf.DUMMYFUNCTION("""COMPUTED_VALUE"""),"TORO ARDILES DAVID JOSE")</f>
        <v/>
      </c>
      <c r="H766" s="76">
        <f>IFERROR(__xludf.DUMMYFUNCTION("""COMPUTED_VALUE"""),721.3456)</f>
        <v/>
      </c>
      <c r="I766" s="75" t="n"/>
      <c r="J766" s="77">
        <f>IFERROR(__xludf.DUMMYFUNCTION("""COMPUTED_VALUE"""),48.27963184359897)</f>
        <v/>
      </c>
      <c r="K766" s="4">
        <f>IFERROR(__xludf.DUMMYFUNCTION("""COMPUTED_VALUE"""),0.0)</f>
        <v/>
      </c>
      <c r="L766" s="77">
        <f>IFERROR(__xludf.DUMMYFUNCTION("""COMPUTED_VALUE"""),48.27963184359897)</f>
        <v/>
      </c>
      <c r="O766" s="72" t="n"/>
      <c r="S766" s="4" t="n"/>
    </row>
    <row r="767">
      <c r="A767" s="74">
        <f>IFERROR(__xludf.DUMMYFUNCTION("""COMPUTED_VALUE"""),46218.0)</f>
        <v/>
      </c>
      <c r="B767" s="72">
        <f>IFERROR(__xludf.DUMMYFUNCTION("""COMPUTED_VALUE"""),350.0)</f>
        <v/>
      </c>
      <c r="C767" s="75">
        <f>IFERROR(__xludf.DUMMYFUNCTION("""COMPUTED_VALUE"""),172060.0)</f>
        <v/>
      </c>
      <c r="D767" s="75">
        <f>IFERROR(__xludf.DUMMYFUNCTION("""COMPUTED_VALUE"""),"VES")</f>
        <v/>
      </c>
      <c r="E767" s="75">
        <f>IFERROR(__xludf.DUMMYFUNCTION("""COMPUTED_VALUE"""),"Bancamiga")</f>
        <v/>
      </c>
      <c r="F767" s="75">
        <f>IFERROR(__xludf.DUMMYFUNCTION("""COMPUTED_VALUE"""),"Melany Madrid")</f>
        <v/>
      </c>
      <c r="G767" s="76">
        <f>IFERROR(__xludf.DUMMYFUNCTION("""COMPUTED_VALUE"""),"PEREZ DIAZ ANGEL DE DIOS")</f>
        <v/>
      </c>
      <c r="H767" s="76">
        <f>IFERROR(__xludf.DUMMYFUNCTION("""COMPUTED_VALUE"""),723.999)</f>
        <v/>
      </c>
      <c r="I767" s="75" t="n"/>
      <c r="J767" s="77">
        <f>IFERROR(__xludf.DUMMYFUNCTION("""COMPUTED_VALUE"""),237.65226195063804)</f>
        <v/>
      </c>
      <c r="K767" s="4">
        <f>IFERROR(__xludf.DUMMYFUNCTION("""COMPUTED_VALUE"""),0.0)</f>
        <v/>
      </c>
      <c r="L767" s="77">
        <f>IFERROR(__xludf.DUMMYFUNCTION("""COMPUTED_VALUE"""),237.65226195063804)</f>
        <v/>
      </c>
      <c r="O767" s="72" t="n"/>
      <c r="S767" s="4" t="n"/>
    </row>
    <row r="768">
      <c r="A768" s="74">
        <f>IFERROR(__xludf.DUMMYFUNCTION("""COMPUTED_VALUE"""),46218.0)</f>
        <v/>
      </c>
      <c r="B768" s="72">
        <f>IFERROR(__xludf.DUMMYFUNCTION("""COMPUTED_VALUE"""),49.0)</f>
        <v/>
      </c>
      <c r="C768" s="75">
        <f>IFERROR(__xludf.DUMMYFUNCTION("""COMPUTED_VALUE"""),100.0)</f>
        <v/>
      </c>
      <c r="D768" s="75">
        <f>IFERROR(__xludf.DUMMYFUNCTION("""COMPUTED_VALUE"""),"USD")</f>
        <v/>
      </c>
      <c r="E768" s="75">
        <f>IFERROR(__xludf.DUMMYFUNCTION("""COMPUTED_VALUE"""),"Efectivo USD")</f>
        <v/>
      </c>
      <c r="F768" s="75">
        <f>IFERROR(__xludf.DUMMYFUNCTION("""COMPUTED_VALUE"""),"Marlene Herrera")</f>
        <v/>
      </c>
      <c r="G768" s="76">
        <f>IFERROR(__xludf.DUMMYFUNCTION("""COMPUTED_VALUE"""),"PEREZ DIAZ ANGEL DE DIOS")</f>
        <v/>
      </c>
      <c r="H768" s="76">
        <f>IFERROR(__xludf.DUMMYFUNCTION("""COMPUTED_VALUE"""),723.999)</f>
        <v/>
      </c>
      <c r="I768" s="75" t="n"/>
      <c r="J768" s="77">
        <f>IFERROR(__xludf.DUMMYFUNCTION("""COMPUTED_VALUE"""),100.0)</f>
        <v/>
      </c>
      <c r="K768" s="4">
        <f>IFERROR(__xludf.DUMMYFUNCTION("""COMPUTED_VALUE"""),100.0)</f>
        <v/>
      </c>
      <c r="L768" s="77">
        <f>IFERROR(__xludf.DUMMYFUNCTION("""COMPUTED_VALUE"""),100.0)</f>
        <v/>
      </c>
      <c r="O768" s="72" t="n"/>
      <c r="S768" s="4" t="n"/>
    </row>
    <row r="769">
      <c r="A769" s="74">
        <f>IFERROR(__xludf.DUMMYFUNCTION("""COMPUTED_VALUE"""),46218.0)</f>
        <v/>
      </c>
      <c r="B769" s="72">
        <f>IFERROR(__xludf.DUMMYFUNCTION("""COMPUTED_VALUE"""),533.0)</f>
        <v/>
      </c>
      <c r="C769" s="75">
        <f>IFERROR(__xludf.DUMMYFUNCTION("""COMPUTED_VALUE"""),106.0)</f>
        <v/>
      </c>
      <c r="D769" s="75">
        <f>IFERROR(__xludf.DUMMYFUNCTION("""COMPUTED_VALUE"""),"USD")</f>
        <v/>
      </c>
      <c r="E769" s="75">
        <f>IFERROR(__xludf.DUMMYFUNCTION("""COMPUTED_VALUE"""),"Efectivo USD")</f>
        <v/>
      </c>
      <c r="F769" s="75">
        <f>IFERROR(__xludf.DUMMYFUNCTION("""COMPUTED_VALUE"""),"Jose Lopez Espinoza")</f>
        <v/>
      </c>
      <c r="G769" s="76">
        <f>IFERROR(__xludf.DUMMYFUNCTION("""COMPUTED_VALUE"""),"CASERES GONZALEZ RONALD OSWALDO")</f>
        <v/>
      </c>
      <c r="H769" s="76">
        <f>IFERROR(__xludf.DUMMYFUNCTION("""COMPUTED_VALUE"""),723.999)</f>
        <v/>
      </c>
      <c r="I769" s="75" t="n"/>
      <c r="J769" s="77">
        <f>IFERROR(__xludf.DUMMYFUNCTION("""COMPUTED_VALUE"""),106.0)</f>
        <v/>
      </c>
      <c r="K769" s="4">
        <f>IFERROR(__xludf.DUMMYFUNCTION("""COMPUTED_VALUE"""),106.0)</f>
        <v/>
      </c>
      <c r="L769" s="77">
        <f>IFERROR(__xludf.DUMMYFUNCTION("""COMPUTED_VALUE"""),106.0)</f>
        <v/>
      </c>
      <c r="O769" s="72" t="n"/>
      <c r="S769" s="4" t="n"/>
    </row>
    <row r="770">
      <c r="A770" s="74">
        <f>IFERROR(__xludf.DUMMYFUNCTION("""COMPUTED_VALUE"""),46218.0)</f>
        <v/>
      </c>
      <c r="B770" s="72">
        <f>IFERROR(__xludf.DUMMYFUNCTION("""COMPUTED_VALUE"""),546.0)</f>
        <v/>
      </c>
      <c r="C770" s="75">
        <f>IFERROR(__xludf.DUMMYFUNCTION("""COMPUTED_VALUE"""),30.0)</f>
        <v/>
      </c>
      <c r="D770" s="75">
        <f>IFERROR(__xludf.DUMMYFUNCTION("""COMPUTED_VALUE"""),"USD")</f>
        <v/>
      </c>
      <c r="E770" s="75">
        <f>IFERROR(__xludf.DUMMYFUNCTION("""COMPUTED_VALUE"""),"Efectivo USD")</f>
        <v/>
      </c>
      <c r="F770" s="75">
        <f>IFERROR(__xludf.DUMMYFUNCTION("""COMPUTED_VALUE"""),"Constructora Campo Urbano,c.a.")</f>
        <v/>
      </c>
      <c r="G770" s="76">
        <f>IFERROR(__xludf.DUMMYFUNCTION("""COMPUTED_VALUE"""),"GRIMAN DIAZ HECTOR EDUARDO")</f>
        <v/>
      </c>
      <c r="H770" s="76">
        <f>IFERROR(__xludf.DUMMYFUNCTION("""COMPUTED_VALUE"""),723.999)</f>
        <v/>
      </c>
      <c r="I770" s="75" t="n"/>
      <c r="J770" s="77">
        <f>IFERROR(__xludf.DUMMYFUNCTION("""COMPUTED_VALUE"""),30.0)</f>
        <v/>
      </c>
      <c r="K770" s="4">
        <f>IFERROR(__xludf.DUMMYFUNCTION("""COMPUTED_VALUE"""),30.0)</f>
        <v/>
      </c>
      <c r="L770" s="77">
        <f>IFERROR(__xludf.DUMMYFUNCTION("""COMPUTED_VALUE"""),30.0)</f>
        <v/>
      </c>
      <c r="O770" s="72" t="n"/>
      <c r="S770" s="4" t="n"/>
    </row>
    <row r="771">
      <c r="A771" s="74">
        <f>IFERROR(__xludf.DUMMYFUNCTION("""COMPUTED_VALUE"""),46218.0)</f>
        <v/>
      </c>
      <c r="B771" s="72">
        <f>IFERROR(__xludf.DUMMYFUNCTION("""COMPUTED_VALUE"""),400.0)</f>
        <v/>
      </c>
      <c r="C771" s="75">
        <f>IFERROR(__xludf.DUMMYFUNCTION("""COMPUTED_VALUE"""),36287.35)</f>
        <v/>
      </c>
      <c r="D771" s="75">
        <f>IFERROR(__xludf.DUMMYFUNCTION("""COMPUTED_VALUE"""),"VES")</f>
        <v/>
      </c>
      <c r="E771" s="75">
        <f>IFERROR(__xludf.DUMMYFUNCTION("""COMPUTED_VALUE"""),"Bancamiga")</f>
        <v/>
      </c>
      <c r="F771" s="75">
        <f>IFERROR(__xludf.DUMMYFUNCTION("""COMPUTED_VALUE"""),"TALLER Y REPUESTOS CHOPPERS, C.A.")</f>
        <v/>
      </c>
      <c r="G771" s="76">
        <f>IFERROR(__xludf.DUMMYFUNCTION("""COMPUTED_VALUE"""),"TORO ARDILES DAVID JOSE")</f>
        <v/>
      </c>
      <c r="H771" s="76">
        <f>IFERROR(__xludf.DUMMYFUNCTION("""COMPUTED_VALUE"""),723.999)</f>
        <v/>
      </c>
      <c r="I771" s="75" t="n"/>
      <c r="J771" s="77">
        <f>IFERROR(__xludf.DUMMYFUNCTION("""COMPUTED_VALUE"""),50.120718398782316)</f>
        <v/>
      </c>
      <c r="K771" s="4">
        <f>IFERROR(__xludf.DUMMYFUNCTION("""COMPUTED_VALUE"""),0.0)</f>
        <v/>
      </c>
      <c r="L771" s="77">
        <f>IFERROR(__xludf.DUMMYFUNCTION("""COMPUTED_VALUE"""),50.120718398782316)</f>
        <v/>
      </c>
      <c r="O771" s="72" t="n"/>
      <c r="S771" s="4" t="n"/>
    </row>
    <row r="772">
      <c r="A772" s="74">
        <f>IFERROR(__xludf.DUMMYFUNCTION("""COMPUTED_VALUE"""),46213.0)</f>
        <v/>
      </c>
      <c r="B772" s="72">
        <f>IFERROR(__xludf.DUMMYFUNCTION("""COMPUTED_VALUE"""),572.0)</f>
        <v/>
      </c>
      <c r="C772" s="75">
        <f>IFERROR(__xludf.DUMMYFUNCTION("""COMPUTED_VALUE"""),70969.0)</f>
        <v/>
      </c>
      <c r="D772" s="75">
        <f>IFERROR(__xludf.DUMMYFUNCTION("""COMPUTED_VALUE"""),"VES")</f>
        <v/>
      </c>
      <c r="E772" s="75">
        <f>IFERROR(__xludf.DUMMYFUNCTION("""COMPUTED_VALUE"""),"Bancamiga")</f>
        <v/>
      </c>
      <c r="F772" s="75">
        <f>IFERROR(__xludf.DUMMYFUNCTION("""COMPUTED_VALUE"""),"AUTO REPUESTOS EL DUO 2013, C.A.")</f>
        <v/>
      </c>
      <c r="G772" s="76">
        <f>IFERROR(__xludf.DUMMYFUNCTION("""COMPUTED_VALUE"""),"TORO ARDILES DAVID JOSE")</f>
        <v/>
      </c>
      <c r="H772" s="76">
        <f>IFERROR(__xludf.DUMMYFUNCTION("""COMPUTED_VALUE"""),709.6935)</f>
        <v/>
      </c>
      <c r="I772" s="75" t="n"/>
      <c r="J772" s="77">
        <f>IFERROR(__xludf.DUMMYFUNCTION("""COMPUTED_VALUE"""),99.99950682935662)</f>
        <v/>
      </c>
      <c r="K772" s="4">
        <f>IFERROR(__xludf.DUMMYFUNCTION("""COMPUTED_VALUE"""),0.0)</f>
        <v/>
      </c>
      <c r="L772" s="77">
        <f>IFERROR(__xludf.DUMMYFUNCTION("""COMPUTED_VALUE"""),99.99950682935662)</f>
        <v/>
      </c>
      <c r="O772" s="72" t="n"/>
      <c r="S772" s="4" t="n"/>
    </row>
    <row r="773">
      <c r="A773" s="74">
        <f>IFERROR(__xludf.DUMMYFUNCTION("""COMPUTED_VALUE"""),46218.0)</f>
        <v/>
      </c>
      <c r="B773" s="72">
        <f>IFERROR(__xludf.DUMMYFUNCTION("""COMPUTED_VALUE"""),235.0)</f>
        <v/>
      </c>
      <c r="C773" s="75">
        <f>IFERROR(__xludf.DUMMYFUNCTION("""COMPUTED_VALUE"""),300.0)</f>
        <v/>
      </c>
      <c r="D773" s="75">
        <f>IFERROR(__xludf.DUMMYFUNCTION("""COMPUTED_VALUE"""),"USD")</f>
        <v/>
      </c>
      <c r="E773" s="75">
        <f>IFERROR(__xludf.DUMMYFUNCTION("""COMPUTED_VALUE"""),"Efectivo USD")</f>
        <v/>
      </c>
      <c r="F773" s="75">
        <f>IFERROR(__xludf.DUMMYFUNCTION("""COMPUTED_VALUE"""),"Grupo 3030, C.A")</f>
        <v/>
      </c>
      <c r="G773" s="76">
        <f>IFERROR(__xludf.DUMMYFUNCTION("""COMPUTED_VALUE"""),"MARTINEZ MONTES JEFFREY ENRIQUE")</f>
        <v/>
      </c>
      <c r="H773" s="76">
        <f>IFERROR(__xludf.DUMMYFUNCTION("""COMPUTED_VALUE"""),723.999)</f>
        <v/>
      </c>
      <c r="I773" s="75" t="n"/>
      <c r="J773" s="77">
        <f>IFERROR(__xludf.DUMMYFUNCTION("""COMPUTED_VALUE"""),300.0)</f>
        <v/>
      </c>
      <c r="K773" s="4">
        <f>IFERROR(__xludf.DUMMYFUNCTION("""COMPUTED_VALUE"""),300.0)</f>
        <v/>
      </c>
      <c r="L773" s="77">
        <f>IFERROR(__xludf.DUMMYFUNCTION("""COMPUTED_VALUE"""),300.0)</f>
        <v/>
      </c>
      <c r="O773" s="72" t="n"/>
      <c r="S773" s="4" t="n"/>
    </row>
    <row r="774">
      <c r="A774" s="74">
        <f>IFERROR(__xludf.DUMMYFUNCTION("""COMPUTED_VALUE"""),46219.0)</f>
        <v/>
      </c>
      <c r="B774" s="72">
        <f>IFERROR(__xludf.DUMMYFUNCTION("""COMPUTED_VALUE"""),469.0)</f>
        <v/>
      </c>
      <c r="C774" s="75">
        <f>IFERROR(__xludf.DUMMYFUNCTION("""COMPUTED_VALUE"""),14550.0)</f>
        <v/>
      </c>
      <c r="D774" s="75">
        <f>IFERROR(__xludf.DUMMYFUNCTION("""COMPUTED_VALUE"""),"VES")</f>
        <v/>
      </c>
      <c r="E774" s="75">
        <f>IFERROR(__xludf.DUMMYFUNCTION("""COMPUTED_VALUE"""),"Bancamiga")</f>
        <v/>
      </c>
      <c r="F774" s="75">
        <f>IFERROR(__xludf.DUMMYFUNCTION("""COMPUTED_VALUE"""),"AUTOPERIQUITOS LA CAMPIÑA C.A.")</f>
        <v/>
      </c>
      <c r="G774" s="76">
        <f>IFERROR(__xludf.DUMMYFUNCTION("""COMPUTED_VALUE"""),"TORO ARDILES DAVID JOSE")</f>
        <v/>
      </c>
      <c r="H774" s="76">
        <f>IFERROR(__xludf.DUMMYFUNCTION("""COMPUTED_VALUE"""),723.999)</f>
        <v/>
      </c>
      <c r="I774" s="75" t="n"/>
      <c r="J774" s="77">
        <f>IFERROR(__xludf.DUMMYFUNCTION("""COMPUTED_VALUE"""),20.09671284076359)</f>
        <v/>
      </c>
      <c r="K774" s="4">
        <f>IFERROR(__xludf.DUMMYFUNCTION("""COMPUTED_VALUE"""),0.0)</f>
        <v/>
      </c>
      <c r="L774" s="77">
        <f>IFERROR(__xludf.DUMMYFUNCTION("""COMPUTED_VALUE"""),20.09671284076359)</f>
        <v/>
      </c>
      <c r="O774" s="72" t="n"/>
      <c r="S774" s="4" t="n"/>
    </row>
    <row r="775">
      <c r="A775" s="74">
        <f>IFERROR(__xludf.DUMMYFUNCTION("""COMPUTED_VALUE"""),46219.0)</f>
        <v/>
      </c>
      <c r="B775" s="72">
        <f>IFERROR(__xludf.DUMMYFUNCTION("""COMPUTED_VALUE"""),61.0)</f>
        <v/>
      </c>
      <c r="C775" s="75">
        <f>IFERROR(__xludf.DUMMYFUNCTION("""COMPUTED_VALUE"""),73800.0)</f>
        <v/>
      </c>
      <c r="D775" s="75">
        <f>IFERROR(__xludf.DUMMYFUNCTION("""COMPUTED_VALUE"""),"VES")</f>
        <v/>
      </c>
      <c r="E775" s="75">
        <f>IFERROR(__xludf.DUMMYFUNCTION("""COMPUTED_VALUE"""),"Venezuela")</f>
        <v/>
      </c>
      <c r="F775" s="75">
        <f>IFERROR(__xludf.DUMMYFUNCTION("""COMPUTED_VALUE"""),"SJMG 2012 C.A")</f>
        <v/>
      </c>
      <c r="G775" s="76">
        <f>IFERROR(__xludf.DUMMYFUNCTION("""COMPUTED_VALUE"""),"GRIMAN DIAZ HECTOR EDUARDO")</f>
        <v/>
      </c>
      <c r="H775" s="76">
        <f>IFERROR(__xludf.DUMMYFUNCTION("""COMPUTED_VALUE"""),723.999)</f>
        <v/>
      </c>
      <c r="I775" s="75" t="n"/>
      <c r="J775" s="77">
        <f>IFERROR(__xludf.DUMMYFUNCTION("""COMPUTED_VALUE"""),101.93384245005863)</f>
        <v/>
      </c>
      <c r="K775" s="4">
        <f>IFERROR(__xludf.DUMMYFUNCTION("""COMPUTED_VALUE"""),0.0)</f>
        <v/>
      </c>
      <c r="L775" s="77">
        <f>IFERROR(__xludf.DUMMYFUNCTION("""COMPUTED_VALUE"""),101.93384245005863)</f>
        <v/>
      </c>
      <c r="O775" s="72" t="n"/>
      <c r="S775" s="4" t="n"/>
    </row>
    <row r="776">
      <c r="A776" s="74">
        <f>IFERROR(__xludf.DUMMYFUNCTION("""COMPUTED_VALUE"""),46219.0)</f>
        <v/>
      </c>
      <c r="B776" s="72">
        <f>IFERROR(__xludf.DUMMYFUNCTION("""COMPUTED_VALUE"""),114.0)</f>
        <v/>
      </c>
      <c r="C776" s="75">
        <f>IFERROR(__xludf.DUMMYFUNCTION("""COMPUTED_VALUE"""),30.0)</f>
        <v/>
      </c>
      <c r="D776" s="75">
        <f>IFERROR(__xludf.DUMMYFUNCTION("""COMPUTED_VALUE"""),"USD")</f>
        <v/>
      </c>
      <c r="E776" s="75">
        <f>IFERROR(__xludf.DUMMYFUNCTION("""COMPUTED_VALUE"""),"Efectivo USD")</f>
        <v/>
      </c>
      <c r="F776" s="75">
        <f>IFERROR(__xludf.DUMMYFUNCTION("""COMPUTED_VALUE"""),"Autoasesorio maxi motor")</f>
        <v/>
      </c>
      <c r="G776" s="76">
        <f>IFERROR(__xludf.DUMMYFUNCTION("""COMPUTED_VALUE"""),"PEREZ DIAZ ANGEL DE DIOS")</f>
        <v/>
      </c>
      <c r="H776" s="76">
        <f>IFERROR(__xludf.DUMMYFUNCTION("""COMPUTED_VALUE"""),723.999)</f>
        <v/>
      </c>
      <c r="I776" s="75" t="n"/>
      <c r="J776" s="77">
        <f>IFERROR(__xludf.DUMMYFUNCTION("""COMPUTED_VALUE"""),30.0)</f>
        <v/>
      </c>
      <c r="K776" s="4">
        <f>IFERROR(__xludf.DUMMYFUNCTION("""COMPUTED_VALUE"""),30.0)</f>
        <v/>
      </c>
      <c r="L776" s="77">
        <f>IFERROR(__xludf.DUMMYFUNCTION("""COMPUTED_VALUE"""),30.0)</f>
        <v/>
      </c>
      <c r="O776" s="72" t="n"/>
      <c r="S776" s="4" t="n"/>
    </row>
    <row r="777">
      <c r="A777" s="74">
        <f>IFERROR(__xludf.DUMMYFUNCTION("""COMPUTED_VALUE"""),46219.0)</f>
        <v/>
      </c>
      <c r="B777" s="72">
        <f>IFERROR(__xludf.DUMMYFUNCTION("""COMPUTED_VALUE"""),549.0)</f>
        <v/>
      </c>
      <c r="C777" s="75">
        <f>IFERROR(__xludf.DUMMYFUNCTION("""COMPUTED_VALUE"""),56352.96)</f>
        <v/>
      </c>
      <c r="D777" s="75">
        <f>IFERROR(__xludf.DUMMYFUNCTION("""COMPUTED_VALUE"""),"VES")</f>
        <v/>
      </c>
      <c r="E777" s="75">
        <f>IFERROR(__xludf.DUMMYFUNCTION("""COMPUTED_VALUE"""),"Bancamiga")</f>
        <v/>
      </c>
      <c r="F777" s="75">
        <f>IFERROR(__xludf.DUMMYFUNCTION("""COMPUTED_VALUE"""),"Moto repuestos jj")</f>
        <v/>
      </c>
      <c r="G777" s="76">
        <f>IFERROR(__xludf.DUMMYFUNCTION("""COMPUTED_VALUE"""),"PEREZ DIAZ ANGEL DE DIOS")</f>
        <v/>
      </c>
      <c r="H777" s="76">
        <f>IFERROR(__xludf.DUMMYFUNCTION("""COMPUTED_VALUE"""),723.999)</f>
        <v/>
      </c>
      <c r="I777" s="75" t="n"/>
      <c r="J777" s="77">
        <f>IFERROR(__xludf.DUMMYFUNCTION("""COMPUTED_VALUE"""),77.83568761835306)</f>
        <v/>
      </c>
      <c r="K777" s="4">
        <f>IFERROR(__xludf.DUMMYFUNCTION("""COMPUTED_VALUE"""),0.0)</f>
        <v/>
      </c>
      <c r="L777" s="77">
        <f>IFERROR(__xludf.DUMMYFUNCTION("""COMPUTED_VALUE"""),77.83568761835306)</f>
        <v/>
      </c>
      <c r="O777" s="72" t="n"/>
      <c r="S777" s="4" t="n"/>
    </row>
    <row r="778">
      <c r="A778" s="74">
        <f>IFERROR(__xludf.DUMMYFUNCTION("""COMPUTED_VALUE"""),46219.0)</f>
        <v/>
      </c>
      <c r="B778" s="72">
        <f>IFERROR(__xludf.DUMMYFUNCTION("""COMPUTED_VALUE"""),650.0)</f>
        <v/>
      </c>
      <c r="C778" s="75">
        <f>IFERROR(__xludf.DUMMYFUNCTION("""COMPUTED_VALUE"""),100.0)</f>
        <v/>
      </c>
      <c r="D778" s="75">
        <f>IFERROR(__xludf.DUMMYFUNCTION("""COMPUTED_VALUE"""),"USD")</f>
        <v/>
      </c>
      <c r="E778" s="75">
        <f>IFERROR(__xludf.DUMMYFUNCTION("""COMPUTED_VALUE"""),"Efectivo USD")</f>
        <v/>
      </c>
      <c r="F778" s="75">
        <f>IFERROR(__xludf.DUMMYFUNCTION("""COMPUTED_VALUE"""),"PROYECTO MAQUIVEIRO 21 C.A.")</f>
        <v/>
      </c>
      <c r="G778" s="76">
        <f>IFERROR(__xludf.DUMMYFUNCTION("""COMPUTED_VALUE"""),"MARTINEZ MONTES JEFFREY ENRIQUE")</f>
        <v/>
      </c>
      <c r="H778" s="76">
        <f>IFERROR(__xludf.DUMMYFUNCTION("""COMPUTED_VALUE"""),723.999)</f>
        <v/>
      </c>
      <c r="I778" s="75" t="n"/>
      <c r="J778" s="77">
        <f>IFERROR(__xludf.DUMMYFUNCTION("""COMPUTED_VALUE"""),100.0)</f>
        <v/>
      </c>
      <c r="K778" s="4">
        <f>IFERROR(__xludf.DUMMYFUNCTION("""COMPUTED_VALUE"""),100.0)</f>
        <v/>
      </c>
      <c r="L778" s="77">
        <f>IFERROR(__xludf.DUMMYFUNCTION("""COMPUTED_VALUE"""),100.0)</f>
        <v/>
      </c>
      <c r="O778" s="72" t="n"/>
      <c r="S778" s="4" t="n"/>
    </row>
    <row r="779">
      <c r="A779" s="74">
        <f>IFERROR(__xludf.DUMMYFUNCTION("""COMPUTED_VALUE"""),46219.0)</f>
        <v/>
      </c>
      <c r="B779" s="72">
        <f>IFERROR(__xludf.DUMMYFUNCTION("""COMPUTED_VALUE"""),634.0)</f>
        <v/>
      </c>
      <c r="C779" s="75">
        <f>IFERROR(__xludf.DUMMYFUNCTION("""COMPUTED_VALUE"""),290500.0)</f>
        <v/>
      </c>
      <c r="D779" s="75">
        <f>IFERROR(__xludf.DUMMYFUNCTION("""COMPUTED_VALUE"""),"VES")</f>
        <v/>
      </c>
      <c r="E779" s="75">
        <f>IFERROR(__xludf.DUMMYFUNCTION("""COMPUTED_VALUE"""),"Bancamiga")</f>
        <v/>
      </c>
      <c r="F779" s="75">
        <f>IFERROR(__xludf.DUMMYFUNCTION("""COMPUTED_VALUE"""),"E&amp;M CAR SHOP C.A")</f>
        <v/>
      </c>
      <c r="G779" s="76">
        <f>IFERROR(__xludf.DUMMYFUNCTION("""COMPUTED_VALUE"""),"BETANCOURT ROBRIGUEZ LUIS ENRRIQUE")</f>
        <v/>
      </c>
      <c r="H779" s="76">
        <f>IFERROR(__xludf.DUMMYFUNCTION("""COMPUTED_VALUE"""),723.999)</f>
        <v/>
      </c>
      <c r="I779" s="75" t="n"/>
      <c r="J779" s="77">
        <f>IFERROR(__xludf.DUMMYFUNCTION("""COMPUTED_VALUE"""),401.2436481265858)</f>
        <v/>
      </c>
      <c r="K779" s="4">
        <f>IFERROR(__xludf.DUMMYFUNCTION("""COMPUTED_VALUE"""),0.0)</f>
        <v/>
      </c>
      <c r="L779" s="77">
        <f>IFERROR(__xludf.DUMMYFUNCTION("""COMPUTED_VALUE"""),401.2436481265858)</f>
        <v/>
      </c>
      <c r="O779" s="72" t="n"/>
      <c r="S779" s="4" t="n"/>
    </row>
    <row r="780">
      <c r="A780" s="74">
        <f>IFERROR(__xludf.DUMMYFUNCTION("""COMPUTED_VALUE"""),46219.0)</f>
        <v/>
      </c>
      <c r="B780" s="72">
        <f>IFERROR(__xludf.DUMMYFUNCTION("""COMPUTED_VALUE"""),411.0)</f>
        <v/>
      </c>
      <c r="C780" s="75">
        <f>IFERROR(__xludf.DUMMYFUNCTION("""COMPUTED_VALUE"""),150.0)</f>
        <v/>
      </c>
      <c r="D780" s="75">
        <f>IFERROR(__xludf.DUMMYFUNCTION("""COMPUTED_VALUE"""),"USD")</f>
        <v/>
      </c>
      <c r="E780" s="75">
        <f>IFERROR(__xludf.DUMMYFUNCTION("""COMPUTED_VALUE"""),"Zelle")</f>
        <v/>
      </c>
      <c r="F780" s="75">
        <f>IFERROR(__xludf.DUMMYFUNCTION("""COMPUTED_VALUE"""),"Pedro Castro")</f>
        <v/>
      </c>
      <c r="G780" s="76">
        <f>IFERROR(__xludf.DUMMYFUNCTION("""COMPUTED_VALUE"""),"BETANCOURT ROBRIGUEZ LUIS ENRRIQUE")</f>
        <v/>
      </c>
      <c r="H780" s="76">
        <f>IFERROR(__xludf.DUMMYFUNCTION("""COMPUTED_VALUE"""),723.999)</f>
        <v/>
      </c>
      <c r="I780" s="75" t="n"/>
      <c r="J780" s="77">
        <f>IFERROR(__xludf.DUMMYFUNCTION("""COMPUTED_VALUE"""),150.0)</f>
        <v/>
      </c>
      <c r="K780" s="4">
        <f>IFERROR(__xludf.DUMMYFUNCTION("""COMPUTED_VALUE"""),150.0)</f>
        <v/>
      </c>
      <c r="L780" s="77">
        <f>IFERROR(__xludf.DUMMYFUNCTION("""COMPUTED_VALUE"""),150.0)</f>
        <v/>
      </c>
      <c r="O780" s="72" t="n"/>
      <c r="S780" s="4" t="n"/>
    </row>
    <row r="781">
      <c r="A781" s="74">
        <f>IFERROR(__xludf.DUMMYFUNCTION("""COMPUTED_VALUE"""),46219.0)</f>
        <v/>
      </c>
      <c r="B781" s="72">
        <f>IFERROR(__xludf.DUMMYFUNCTION("""COMPUTED_VALUE"""),127.0)</f>
        <v/>
      </c>
      <c r="C781" s="75">
        <f>IFERROR(__xludf.DUMMYFUNCTION("""COMPUTED_VALUE"""),42250.0)</f>
        <v/>
      </c>
      <c r="D781" s="75">
        <f>IFERROR(__xludf.DUMMYFUNCTION("""COMPUTED_VALUE"""),"VES")</f>
        <v/>
      </c>
      <c r="E781" s="75">
        <f>IFERROR(__xludf.DUMMYFUNCTION("""COMPUTED_VALUE"""),"Bancamiga")</f>
        <v/>
      </c>
      <c r="F781" s="75">
        <f>IFERROR(__xludf.DUMMYFUNCTION("""COMPUTED_VALUE"""),"Emprendimiento José Sánchez 203 c.a")</f>
        <v/>
      </c>
      <c r="G781" s="76">
        <f>IFERROR(__xludf.DUMMYFUNCTION("""COMPUTED_VALUE"""),"BETANCOURT ROBRIGUEZ LUIS ENRRIQUE")</f>
        <v/>
      </c>
      <c r="H781" s="76">
        <f>IFERROR(__xludf.DUMMYFUNCTION("""COMPUTED_VALUE"""),723.999)</f>
        <v/>
      </c>
      <c r="I781" s="75" t="n"/>
      <c r="J781" s="77">
        <f>IFERROR(__xludf.DUMMYFUNCTION("""COMPUTED_VALUE"""),58.35643419396988)</f>
        <v/>
      </c>
      <c r="K781" s="4">
        <f>IFERROR(__xludf.DUMMYFUNCTION("""COMPUTED_VALUE"""),0.0)</f>
        <v/>
      </c>
      <c r="L781" s="77">
        <f>IFERROR(__xludf.DUMMYFUNCTION("""COMPUTED_VALUE"""),58.35643419396988)</f>
        <v/>
      </c>
      <c r="O781" s="72" t="n"/>
      <c r="S781" s="4" t="n"/>
    </row>
    <row r="782">
      <c r="A782" s="74">
        <f>IFERROR(__xludf.DUMMYFUNCTION("""COMPUTED_VALUE"""),46219.0)</f>
        <v/>
      </c>
      <c r="B782" s="72">
        <f>IFERROR(__xludf.DUMMYFUNCTION("""COMPUTED_VALUE"""),563.0)</f>
        <v/>
      </c>
      <c r="C782" s="75">
        <f>IFERROR(__xludf.DUMMYFUNCTION("""COMPUTED_VALUE"""),160000.0)</f>
        <v/>
      </c>
      <c r="D782" s="75">
        <f>IFERROR(__xludf.DUMMYFUNCTION("""COMPUTED_VALUE"""),"VES")</f>
        <v/>
      </c>
      <c r="E782" s="75">
        <f>IFERROR(__xludf.DUMMYFUNCTION("""COMPUTED_VALUE"""),"Bancamiga")</f>
        <v/>
      </c>
      <c r="F782" s="75">
        <f>IFERROR(__xludf.DUMMYFUNCTION("""COMPUTED_VALUE"""),"Carlos Ruiz")</f>
        <v/>
      </c>
      <c r="G782" s="76">
        <f>IFERROR(__xludf.DUMMYFUNCTION("""COMPUTED_VALUE"""),"BETANCOURT ROBRIGUEZ LUIS ENRRIQUE")</f>
        <v/>
      </c>
      <c r="H782" s="76">
        <f>IFERROR(__xludf.DUMMYFUNCTION("""COMPUTED_VALUE"""),723.999)</f>
        <v/>
      </c>
      <c r="I782" s="75" t="n"/>
      <c r="J782" s="77">
        <f>IFERROR(__xludf.DUMMYFUNCTION("""COMPUTED_VALUE"""),220.9947803795309)</f>
        <v/>
      </c>
      <c r="K782" s="4">
        <f>IFERROR(__xludf.DUMMYFUNCTION("""COMPUTED_VALUE"""),0.0)</f>
        <v/>
      </c>
      <c r="L782" s="77">
        <f>IFERROR(__xludf.DUMMYFUNCTION("""COMPUTED_VALUE"""),220.9947803795309)</f>
        <v/>
      </c>
      <c r="O782" s="72" t="n"/>
      <c r="S782" s="4" t="n"/>
    </row>
    <row r="783">
      <c r="A783" s="74">
        <f>IFERROR(__xludf.DUMMYFUNCTION("""COMPUTED_VALUE"""),46219.0)</f>
        <v/>
      </c>
      <c r="B783" s="72">
        <f>IFERROR(__xludf.DUMMYFUNCTION("""COMPUTED_VALUE"""),464.0)</f>
        <v/>
      </c>
      <c r="C783" s="75">
        <f>IFERROR(__xludf.DUMMYFUNCTION("""COMPUTED_VALUE"""),204.0)</f>
        <v/>
      </c>
      <c r="D783" s="75">
        <f>IFERROR(__xludf.DUMMYFUNCTION("""COMPUTED_VALUE"""),"USD")</f>
        <v/>
      </c>
      <c r="E783" s="75">
        <f>IFERROR(__xludf.DUMMYFUNCTION("""COMPUTED_VALUE"""),"Efectivo USD")</f>
        <v/>
      </c>
      <c r="F783" s="75">
        <f>IFERROR(__xludf.DUMMYFUNCTION("""COMPUTED_VALUE"""),"Repuestos González peña 31 c.a")</f>
        <v/>
      </c>
      <c r="G783" s="76">
        <f>IFERROR(__xludf.DUMMYFUNCTION("""COMPUTED_VALUE"""),"BETANCOURT ROBRIGUEZ LUIS ENRRIQUE")</f>
        <v/>
      </c>
      <c r="H783" s="76">
        <f>IFERROR(__xludf.DUMMYFUNCTION("""COMPUTED_VALUE"""),723.999)</f>
        <v/>
      </c>
      <c r="I783" s="75" t="n"/>
      <c r="J783" s="77">
        <f>IFERROR(__xludf.DUMMYFUNCTION("""COMPUTED_VALUE"""),204.0)</f>
        <v/>
      </c>
      <c r="K783" s="4">
        <f>IFERROR(__xludf.DUMMYFUNCTION("""COMPUTED_VALUE"""),204.0)</f>
        <v/>
      </c>
      <c r="L783" s="77">
        <f>IFERROR(__xludf.DUMMYFUNCTION("""COMPUTED_VALUE"""),204.0)</f>
        <v/>
      </c>
      <c r="O783" s="72" t="n"/>
      <c r="S783" s="4" t="n"/>
    </row>
    <row r="784">
      <c r="A784" s="74">
        <f>IFERROR(__xludf.DUMMYFUNCTION("""COMPUTED_VALUE"""),46219.0)</f>
        <v/>
      </c>
      <c r="B784" s="72">
        <f>IFERROR(__xludf.DUMMYFUNCTION("""COMPUTED_VALUE"""),393.0)</f>
        <v/>
      </c>
      <c r="C784" s="75">
        <f>IFERROR(__xludf.DUMMYFUNCTION("""COMPUTED_VALUE"""),40.0)</f>
        <v/>
      </c>
      <c r="D784" s="75">
        <f>IFERROR(__xludf.DUMMYFUNCTION("""COMPUTED_VALUE"""),"USD")</f>
        <v/>
      </c>
      <c r="E784" s="75">
        <f>IFERROR(__xludf.DUMMYFUNCTION("""COMPUTED_VALUE"""),"Efectivo USD")</f>
        <v/>
      </c>
      <c r="F784" s="75">
        <f>IFERROR(__xludf.DUMMYFUNCTION("""COMPUTED_VALUE"""),"Francesco orlando Espro bolaños")</f>
        <v/>
      </c>
      <c r="G784" s="76">
        <f>IFERROR(__xludf.DUMMYFUNCTION("""COMPUTED_VALUE"""),"BETANCOURT ROBRIGUEZ LUIS ENRRIQUE")</f>
        <v/>
      </c>
      <c r="H784" s="76">
        <f>IFERROR(__xludf.DUMMYFUNCTION("""COMPUTED_VALUE"""),723.999)</f>
        <v/>
      </c>
      <c r="I784" s="75" t="n"/>
      <c r="J784" s="77">
        <f>IFERROR(__xludf.DUMMYFUNCTION("""COMPUTED_VALUE"""),40.0)</f>
        <v/>
      </c>
      <c r="K784" s="4">
        <f>IFERROR(__xludf.DUMMYFUNCTION("""COMPUTED_VALUE"""),40.0)</f>
        <v/>
      </c>
      <c r="L784" s="77">
        <f>IFERROR(__xludf.DUMMYFUNCTION("""COMPUTED_VALUE"""),40.0)</f>
        <v/>
      </c>
      <c r="O784" s="72" t="n"/>
      <c r="S784" s="4" t="n"/>
    </row>
    <row r="785">
      <c r="A785" s="74">
        <f>IFERROR(__xludf.DUMMYFUNCTION("""COMPUTED_VALUE"""),46219.0)</f>
        <v/>
      </c>
      <c r="B785" s="72">
        <f>IFERROR(__xludf.DUMMYFUNCTION("""COMPUTED_VALUE"""),178.0)</f>
        <v/>
      </c>
      <c r="C785" s="75">
        <f>IFERROR(__xludf.DUMMYFUNCTION("""COMPUTED_VALUE"""),30.0)</f>
        <v/>
      </c>
      <c r="D785" s="75">
        <f>IFERROR(__xludf.DUMMYFUNCTION("""COMPUTED_VALUE"""),"USD")</f>
        <v/>
      </c>
      <c r="E785" s="75">
        <f>IFERROR(__xludf.DUMMYFUNCTION("""COMPUTED_VALUE"""),"Efectivo USD")</f>
        <v/>
      </c>
      <c r="F785" s="75">
        <f>IFERROR(__xludf.DUMMYFUNCTION("""COMPUTED_VALUE"""),"Distribuidora Nesmari 2050 c.a")</f>
        <v/>
      </c>
      <c r="G785" s="76">
        <f>IFERROR(__xludf.DUMMYFUNCTION("""COMPUTED_VALUE"""),"BETANCOURT ROBRIGUEZ LUIS ENRRIQUE")</f>
        <v/>
      </c>
      <c r="H785" s="76">
        <f>IFERROR(__xludf.DUMMYFUNCTION("""COMPUTED_VALUE"""),723.999)</f>
        <v/>
      </c>
      <c r="I785" s="75" t="n"/>
      <c r="J785" s="77">
        <f>IFERROR(__xludf.DUMMYFUNCTION("""COMPUTED_VALUE"""),30.0)</f>
        <v/>
      </c>
      <c r="K785" s="4">
        <f>IFERROR(__xludf.DUMMYFUNCTION("""COMPUTED_VALUE"""),30.0)</f>
        <v/>
      </c>
      <c r="L785" s="77">
        <f>IFERROR(__xludf.DUMMYFUNCTION("""COMPUTED_VALUE"""),30.0)</f>
        <v/>
      </c>
      <c r="O785" s="72" t="n"/>
      <c r="S785" s="4" t="n"/>
    </row>
    <row r="786">
      <c r="A786" s="74">
        <f>IFERROR(__xludf.DUMMYFUNCTION("""COMPUTED_VALUE"""),46184.0)</f>
        <v/>
      </c>
      <c r="B786" s="72">
        <f>IFERROR(__xludf.DUMMYFUNCTION("""COMPUTED_VALUE"""),125.0)</f>
        <v/>
      </c>
      <c r="C786" s="75">
        <f>IFERROR(__xludf.DUMMYFUNCTION("""COMPUTED_VALUE"""),1.0)</f>
        <v/>
      </c>
      <c r="D786" s="75">
        <f>IFERROR(__xludf.DUMMYFUNCTION("""COMPUTED_VALUE"""),"USD")</f>
        <v/>
      </c>
      <c r="E786" s="75">
        <f>IFERROR(__xludf.DUMMYFUNCTION("""COMPUTED_VALUE"""),"Efectivo USD")</f>
        <v/>
      </c>
      <c r="F786" s="75">
        <f>IFERROR(__xludf.DUMMYFUNCTION("""COMPUTED_VALUE"""),"Megacar2020.c.a")</f>
        <v/>
      </c>
      <c r="G786" s="76">
        <f>IFERROR(__xludf.DUMMYFUNCTION("""COMPUTED_VALUE"""),"PEREZ DIAZ ANGEL DE DIOS")</f>
        <v/>
      </c>
      <c r="H786" s="76">
        <f>IFERROR(__xludf.DUMMYFUNCTION("""COMPUTED_VALUE"""),577.5461)</f>
        <v/>
      </c>
      <c r="I786" s="75" t="n"/>
      <c r="J786" s="77">
        <f>IFERROR(__xludf.DUMMYFUNCTION("""COMPUTED_VALUE"""),1.0)</f>
        <v/>
      </c>
      <c r="K786" s="4">
        <f>IFERROR(__xludf.DUMMYFUNCTION("""COMPUTED_VALUE"""),1.0)</f>
        <v/>
      </c>
      <c r="L786" s="77">
        <f>IFERROR(__xludf.DUMMYFUNCTION("""COMPUTED_VALUE"""),1.0)</f>
        <v/>
      </c>
      <c r="O786" s="72" t="n"/>
      <c r="S786" s="4" t="n"/>
    </row>
    <row r="787">
      <c r="A787" s="74">
        <f>IFERROR(__xludf.DUMMYFUNCTION("""COMPUTED_VALUE"""),46157.0)</f>
        <v/>
      </c>
      <c r="B787" s="72">
        <f>IFERROR(__xludf.DUMMYFUNCTION("""COMPUTED_VALUE"""),313.0)</f>
        <v/>
      </c>
      <c r="C787" s="75">
        <f>IFERROR(__xludf.DUMMYFUNCTION("""COMPUTED_VALUE"""),25.0)</f>
        <v/>
      </c>
      <c r="D787" s="75">
        <f>IFERROR(__xludf.DUMMYFUNCTION("""COMPUTED_VALUE"""),"USD")</f>
        <v/>
      </c>
      <c r="E787" s="75">
        <f>IFERROR(__xludf.DUMMYFUNCTION("""COMPUTED_VALUE"""),"Efectivo USD")</f>
        <v/>
      </c>
      <c r="F787" s="75">
        <f>IFERROR(__xludf.DUMMYFUNCTION("""COMPUTED_VALUE"""),"Edgar salas")</f>
        <v/>
      </c>
      <c r="G787" s="76">
        <f>IFERROR(__xludf.DUMMYFUNCTION("""COMPUTED_VALUE"""),"REVERON DE CONTRERAS MELANI AUSMAR")</f>
        <v/>
      </c>
      <c r="H787" s="76">
        <f>IFERROR(__xludf.DUMMYFUNCTION("""COMPUTED_VALUE"""),515.18)</f>
        <v/>
      </c>
      <c r="I787" s="75" t="n"/>
      <c r="J787" s="77">
        <f>IFERROR(__xludf.DUMMYFUNCTION("""COMPUTED_VALUE"""),25.0)</f>
        <v/>
      </c>
      <c r="K787" s="4">
        <f>IFERROR(__xludf.DUMMYFUNCTION("""COMPUTED_VALUE"""),25.0)</f>
        <v/>
      </c>
      <c r="L787" s="77">
        <f>IFERROR(__xludf.DUMMYFUNCTION("""COMPUTED_VALUE"""),25.0)</f>
        <v/>
      </c>
      <c r="O787" s="72" t="n"/>
      <c r="S787" s="4" t="n"/>
    </row>
    <row r="788">
      <c r="A788" s="74">
        <f>IFERROR(__xludf.DUMMYFUNCTION("""COMPUTED_VALUE"""),46156.0)</f>
        <v/>
      </c>
      <c r="B788" s="72">
        <f>IFERROR(__xludf.DUMMYFUNCTION("""COMPUTED_VALUE"""),387.0)</f>
        <v/>
      </c>
      <c r="C788" s="75">
        <f>IFERROR(__xludf.DUMMYFUNCTION("""COMPUTED_VALUE"""),212693.02)</f>
        <v/>
      </c>
      <c r="D788" s="75">
        <f>IFERROR(__xludf.DUMMYFUNCTION("""COMPUTED_VALUE"""),"VES")</f>
        <v/>
      </c>
      <c r="E788" s="75">
        <f>IFERROR(__xludf.DUMMYFUNCTION("""COMPUTED_VALUE"""),"Bancamiga")</f>
        <v/>
      </c>
      <c r="F788" s="75">
        <f>IFERROR(__xludf.DUMMYFUNCTION("""COMPUTED_VALUE"""),"FRANCISCO MONCADA")</f>
        <v/>
      </c>
      <c r="G788" s="75" t="n"/>
      <c r="H788" s="76">
        <f>IFERROR(__xludf.DUMMYFUNCTION("""COMPUTED_VALUE"""),510.7873)</f>
        <v/>
      </c>
      <c r="I788" s="75" t="n"/>
      <c r="J788" s="77">
        <f>IFERROR(__xludf.DUMMYFUNCTION("""COMPUTED_VALUE"""),416.4023263695084)</f>
        <v/>
      </c>
      <c r="K788" s="4">
        <f>IFERROR(__xludf.DUMMYFUNCTION("""COMPUTED_VALUE"""),0.0)</f>
        <v/>
      </c>
      <c r="L788" s="77">
        <f>IFERROR(__xludf.DUMMYFUNCTION("""COMPUTED_VALUE"""),416.4023263695084)</f>
        <v/>
      </c>
      <c r="O788" s="72" t="n"/>
      <c r="S788" s="4" t="n"/>
    </row>
    <row r="789">
      <c r="A789" s="74">
        <f>IFERROR(__xludf.DUMMYFUNCTION("""COMPUTED_VALUE"""),46156.0)</f>
        <v/>
      </c>
      <c r="B789" s="72">
        <f>IFERROR(__xludf.DUMMYFUNCTION("""COMPUTED_VALUE"""),389.0)</f>
        <v/>
      </c>
      <c r="C789" s="75">
        <f>IFERROR(__xludf.DUMMYFUNCTION("""COMPUTED_VALUE"""),127615.81)</f>
        <v/>
      </c>
      <c r="D789" s="75">
        <f>IFERROR(__xludf.DUMMYFUNCTION("""COMPUTED_VALUE"""),"VES")</f>
        <v/>
      </c>
      <c r="E789" s="75">
        <f>IFERROR(__xludf.DUMMYFUNCTION("""COMPUTED_VALUE"""),"Bancamiga")</f>
        <v/>
      </c>
      <c r="F789" s="75">
        <f>IFERROR(__xludf.DUMMYFUNCTION("""COMPUTED_VALUE"""),"Greicy Moncada")</f>
        <v/>
      </c>
      <c r="G789" s="75" t="n"/>
      <c r="H789" s="76">
        <f>IFERROR(__xludf.DUMMYFUNCTION("""COMPUTED_VALUE"""),510.7873)</f>
        <v/>
      </c>
      <c r="I789" s="75" t="n"/>
      <c r="J789" s="77">
        <f>IFERROR(__xludf.DUMMYFUNCTION("""COMPUTED_VALUE"""),249.8413919061809)</f>
        <v/>
      </c>
      <c r="K789" s="4">
        <f>IFERROR(__xludf.DUMMYFUNCTION("""COMPUTED_VALUE"""),0.0)</f>
        <v/>
      </c>
      <c r="L789" s="77">
        <f>IFERROR(__xludf.DUMMYFUNCTION("""COMPUTED_VALUE"""),249.8413919061809)</f>
        <v/>
      </c>
      <c r="O789" s="72" t="n"/>
      <c r="S789" s="4" t="n"/>
    </row>
    <row r="790">
      <c r="A790" s="74">
        <f>IFERROR(__xludf.DUMMYFUNCTION("""COMPUTED_VALUE"""),46142.0)</f>
        <v/>
      </c>
      <c r="B790" s="72">
        <f>IFERROR(__xludf.DUMMYFUNCTION("""COMPUTED_VALUE"""),14.0)</f>
        <v/>
      </c>
      <c r="C790" s="75">
        <f>IFERROR(__xludf.DUMMYFUNCTION("""COMPUTED_VALUE"""),12079.41)</f>
        <v/>
      </c>
      <c r="D790" s="75">
        <f>IFERROR(__xludf.DUMMYFUNCTION("""COMPUTED_VALUE"""),"VES")</f>
        <v/>
      </c>
      <c r="E790" s="75">
        <f>IFERROR(__xludf.DUMMYFUNCTION("""COMPUTED_VALUE"""),"Bancamiga")</f>
        <v/>
      </c>
      <c r="F790" s="75">
        <f>IFERROR(__xludf.DUMMYFUNCTION("""COMPUTED_VALUE"""),"SPEED RACING, CA")</f>
        <v/>
      </c>
      <c r="G790" s="76">
        <f>IFERROR(__xludf.DUMMYFUNCTION("""COMPUTED_VALUE"""),"CASERES GONZALEZ RONALD OSWALDO")</f>
        <v/>
      </c>
      <c r="H790" s="76">
        <f>IFERROR(__xludf.DUMMYFUNCTION("""COMPUTED_VALUE"""),487.1192)</f>
        <v/>
      </c>
      <c r="I790" s="75" t="n"/>
      <c r="J790" s="77">
        <f>IFERROR(__xludf.DUMMYFUNCTION("""COMPUTED_VALUE"""),24.797647064619913)</f>
        <v/>
      </c>
      <c r="K790" s="4">
        <f>IFERROR(__xludf.DUMMYFUNCTION("""COMPUTED_VALUE"""),0.0)</f>
        <v/>
      </c>
      <c r="L790" s="77">
        <f>IFERROR(__xludf.DUMMYFUNCTION("""COMPUTED_VALUE"""),24.797647064619913)</f>
        <v/>
      </c>
      <c r="O790" s="72" t="n"/>
      <c r="S790" s="4" t="n"/>
    </row>
    <row r="791">
      <c r="A791" s="74">
        <f>IFERROR(__xludf.DUMMYFUNCTION("""COMPUTED_VALUE"""),46181.0)</f>
        <v/>
      </c>
      <c r="B791" s="72">
        <f>IFERROR(__xludf.DUMMYFUNCTION("""COMPUTED_VALUE"""),627.0)</f>
        <v/>
      </c>
      <c r="C791" s="75">
        <f>IFERROR(__xludf.DUMMYFUNCTION("""COMPUTED_VALUE"""),49825.0)</f>
        <v/>
      </c>
      <c r="D791" s="75">
        <f>IFERROR(__xludf.DUMMYFUNCTION("""COMPUTED_VALUE"""),"VES")</f>
        <v/>
      </c>
      <c r="E791" s="75">
        <f>IFERROR(__xludf.DUMMYFUNCTION("""COMPUTED_VALUE"""),"Bancamiga")</f>
        <v/>
      </c>
      <c r="F791" s="75">
        <f>IFERROR(__xludf.DUMMYFUNCTION("""COMPUTED_VALUE"""),"Moto Repuestos Sanz 11. C.A.")</f>
        <v/>
      </c>
      <c r="G791" s="76">
        <f>IFERROR(__xludf.DUMMYFUNCTION("""COMPUTED_VALUE"""),"MARTINEZ MONTES JEFFREY ENRIQUE")</f>
        <v/>
      </c>
      <c r="H791" s="76">
        <f>IFERROR(__xludf.DUMMYFUNCTION("""COMPUTED_VALUE"""),563.2892)</f>
        <v/>
      </c>
      <c r="I791" s="75" t="n"/>
      <c r="J791" s="77">
        <f>IFERROR(__xludf.DUMMYFUNCTION("""COMPUTED_VALUE"""),88.45367530568666)</f>
        <v/>
      </c>
      <c r="K791" s="4">
        <f>IFERROR(__xludf.DUMMYFUNCTION("""COMPUTED_VALUE"""),0.0)</f>
        <v/>
      </c>
      <c r="L791" s="77">
        <f>IFERROR(__xludf.DUMMYFUNCTION("""COMPUTED_VALUE"""),88.45367530568666)</f>
        <v/>
      </c>
      <c r="O791" s="72" t="n"/>
      <c r="S791" s="4" t="n"/>
    </row>
    <row r="792">
      <c r="A792" s="74">
        <f>IFERROR(__xludf.DUMMYFUNCTION("""COMPUTED_VALUE"""),46182.0)</f>
        <v/>
      </c>
      <c r="B792" s="72">
        <f>IFERROR(__xludf.DUMMYFUNCTION("""COMPUTED_VALUE"""),627.0)</f>
        <v/>
      </c>
      <c r="C792" s="75">
        <f>IFERROR(__xludf.DUMMYFUNCTION("""COMPUTED_VALUE"""),7969.0)</f>
        <v/>
      </c>
      <c r="D792" s="75">
        <f>IFERROR(__xludf.DUMMYFUNCTION("""COMPUTED_VALUE"""),"VES")</f>
        <v/>
      </c>
      <c r="E792" s="75">
        <f>IFERROR(__xludf.DUMMYFUNCTION("""COMPUTED_VALUE"""),"Bancamiga")</f>
        <v/>
      </c>
      <c r="F792" s="75">
        <f>IFERROR(__xludf.DUMMYFUNCTION("""COMPUTED_VALUE"""),"Moto Repuestos Sanz 11. C.A.")</f>
        <v/>
      </c>
      <c r="G792" s="76">
        <f>IFERROR(__xludf.DUMMYFUNCTION("""COMPUTED_VALUE"""),"MARTINEZ MONTES JEFFREY ENRIQUE")</f>
        <v/>
      </c>
      <c r="H792" s="76">
        <f>IFERROR(__xludf.DUMMYFUNCTION("""COMPUTED_VALUE"""),567.6828)</f>
        <v/>
      </c>
      <c r="I792" s="75" t="n"/>
      <c r="J792" s="77">
        <f>IFERROR(__xludf.DUMMYFUNCTION("""COMPUTED_VALUE"""),14.037768979437107)</f>
        <v/>
      </c>
      <c r="K792" s="4">
        <f>IFERROR(__xludf.DUMMYFUNCTION("""COMPUTED_VALUE"""),0.0)</f>
        <v/>
      </c>
      <c r="L792" s="77">
        <f>IFERROR(__xludf.DUMMYFUNCTION("""COMPUTED_VALUE"""),14.037768979437107)</f>
        <v/>
      </c>
      <c r="O792" s="72" t="n"/>
      <c r="S792" s="4" t="n"/>
    </row>
    <row r="793">
      <c r="A793" s="74">
        <f>IFERROR(__xludf.DUMMYFUNCTION("""COMPUTED_VALUE"""),46191.0)</f>
        <v/>
      </c>
      <c r="B793" s="72">
        <f>IFERROR(__xludf.DUMMYFUNCTION("""COMPUTED_VALUE"""),539.0)</f>
        <v/>
      </c>
      <c r="C793" s="75">
        <f>IFERROR(__xludf.DUMMYFUNCTION("""COMPUTED_VALUE"""),60300.0)</f>
        <v/>
      </c>
      <c r="D793" s="75">
        <f>IFERROR(__xludf.DUMMYFUNCTION("""COMPUTED_VALUE"""),"VES")</f>
        <v/>
      </c>
      <c r="E793" s="75">
        <f>IFERROR(__xludf.DUMMYFUNCTION("""COMPUTED_VALUE"""),"Bancamiga")</f>
        <v/>
      </c>
      <c r="F793" s="75">
        <f>IFERROR(__xludf.DUMMYFUNCTION("""COMPUTED_VALUE"""),"Diana Carolina Torres")</f>
        <v/>
      </c>
      <c r="G793" s="76">
        <f>IFERROR(__xludf.DUMMYFUNCTION("""COMPUTED_VALUE"""),"CASERES GONZALEZ RONALD OSWALDO")</f>
        <v/>
      </c>
      <c r="H793" s="76">
        <f>IFERROR(__xludf.DUMMYFUNCTION("""COMPUTED_VALUE"""),602.3324)</f>
        <v/>
      </c>
      <c r="I793" s="75" t="n"/>
      <c r="J793" s="77">
        <f>IFERROR(__xludf.DUMMYFUNCTION("""COMPUTED_VALUE"""),100.11083581092433)</f>
        <v/>
      </c>
      <c r="K793" s="4">
        <f>IFERROR(__xludf.DUMMYFUNCTION("""COMPUTED_VALUE"""),0.0)</f>
        <v/>
      </c>
      <c r="L793" s="77">
        <f>IFERROR(__xludf.DUMMYFUNCTION("""COMPUTED_VALUE"""),100.11083581092433)</f>
        <v/>
      </c>
      <c r="O793" s="72" t="n"/>
      <c r="S793" s="4" t="n"/>
    </row>
    <row r="794">
      <c r="A794" s="74">
        <f>IFERROR(__xludf.DUMMYFUNCTION("""COMPUTED_VALUE"""),46192.0)</f>
        <v/>
      </c>
      <c r="B794" s="72">
        <f>IFERROR(__xludf.DUMMYFUNCTION("""COMPUTED_VALUE"""),539.0)</f>
        <v/>
      </c>
      <c r="C794" s="75">
        <f>IFERROR(__xludf.DUMMYFUNCTION("""COMPUTED_VALUE"""),24320.0)</f>
        <v/>
      </c>
      <c r="D794" s="75">
        <f>IFERROR(__xludf.DUMMYFUNCTION("""COMPUTED_VALUE"""),"VES")</f>
        <v/>
      </c>
      <c r="E794" s="75">
        <f>IFERROR(__xludf.DUMMYFUNCTION("""COMPUTED_VALUE"""),"Bancamiga")</f>
        <v/>
      </c>
      <c r="F794" s="75">
        <f>IFERROR(__xludf.DUMMYFUNCTION("""COMPUTED_VALUE"""),"Diana Carolina Torres")</f>
        <v/>
      </c>
      <c r="G794" s="76">
        <f>IFERROR(__xludf.DUMMYFUNCTION("""COMPUTED_VALUE"""),"CASERES GONZALEZ RONALD OSWALDO")</f>
        <v/>
      </c>
      <c r="H794" s="76">
        <f>IFERROR(__xludf.DUMMYFUNCTION("""COMPUTED_VALUE"""),607.3919)</f>
        <v/>
      </c>
      <c r="I794" s="75" t="n"/>
      <c r="J794" s="77">
        <f>IFERROR(__xludf.DUMMYFUNCTION("""COMPUTED_VALUE"""),40.04004663216615)</f>
        <v/>
      </c>
      <c r="K794" s="4">
        <f>IFERROR(__xludf.DUMMYFUNCTION("""COMPUTED_VALUE"""),0.0)</f>
        <v/>
      </c>
      <c r="L794" s="77">
        <f>IFERROR(__xludf.DUMMYFUNCTION("""COMPUTED_VALUE"""),40.04004663216615)</f>
        <v/>
      </c>
      <c r="O794" s="72" t="n"/>
      <c r="S794" s="4" t="n"/>
    </row>
    <row r="795">
      <c r="A795" s="74">
        <f>IFERROR(__xludf.DUMMYFUNCTION("""COMPUTED_VALUE"""),46182.0)</f>
        <v/>
      </c>
      <c r="B795" s="72">
        <f>IFERROR(__xludf.DUMMYFUNCTION("""COMPUTED_VALUE"""),519.0)</f>
        <v/>
      </c>
      <c r="C795" s="75">
        <f>IFERROR(__xludf.DUMMYFUNCTION("""COMPUTED_VALUE"""),2.15)</f>
        <v/>
      </c>
      <c r="D795" s="75">
        <f>IFERROR(__xludf.DUMMYFUNCTION("""COMPUTED_VALUE"""),"USD")</f>
        <v/>
      </c>
      <c r="E795" s="75">
        <f>IFERROR(__xludf.DUMMYFUNCTION("""COMPUTED_VALUE"""),"Efectivo USD")</f>
        <v/>
      </c>
      <c r="F795" s="75">
        <f>IFERROR(__xludf.DUMMYFUNCTION("""COMPUTED_VALUE"""),"Comercializadora Garabote")</f>
        <v/>
      </c>
      <c r="G795" s="76">
        <f>IFERROR(__xludf.DUMMYFUNCTION("""COMPUTED_VALUE"""),"PEREZ DIAZ ANGEL DE DIOS")</f>
        <v/>
      </c>
      <c r="H795" s="76">
        <f>IFERROR(__xludf.DUMMYFUNCTION("""COMPUTED_VALUE"""),567.6828)</f>
        <v/>
      </c>
      <c r="I795" s="75" t="n"/>
      <c r="J795" s="77">
        <f>IFERROR(__xludf.DUMMYFUNCTION("""COMPUTED_VALUE"""),2.15)</f>
        <v/>
      </c>
      <c r="K795" s="4">
        <f>IFERROR(__xludf.DUMMYFUNCTION("""COMPUTED_VALUE"""),2.15)</f>
        <v/>
      </c>
      <c r="L795" s="77">
        <f>IFERROR(__xludf.DUMMYFUNCTION("""COMPUTED_VALUE"""),2.15)</f>
        <v/>
      </c>
      <c r="O795" s="72" t="n"/>
      <c r="S795" s="4" t="n"/>
    </row>
    <row r="796">
      <c r="A796" s="74">
        <f>IFERROR(__xludf.DUMMYFUNCTION("""COMPUTED_VALUE"""),46153.0)</f>
        <v/>
      </c>
      <c r="B796" s="72">
        <f>IFERROR(__xludf.DUMMYFUNCTION("""COMPUTED_VALUE"""),419.0)</f>
        <v/>
      </c>
      <c r="C796" s="75">
        <f>IFERROR(__xludf.DUMMYFUNCTION("""COMPUTED_VALUE"""),0.84)</f>
        <v/>
      </c>
      <c r="D796" s="75">
        <f>IFERROR(__xludf.DUMMYFUNCTION("""COMPUTED_VALUE"""),"USD")</f>
        <v/>
      </c>
      <c r="E796" s="75">
        <f>IFERROR(__xludf.DUMMYFUNCTION("""COMPUTED_VALUE"""),"Efectivo USD")</f>
        <v/>
      </c>
      <c r="F796" s="75">
        <f>IFERROR(__xludf.DUMMYFUNCTION("""COMPUTED_VALUE"""),"EMPRENDIMIENTO IRMA RODRIGUEZ 6")</f>
        <v/>
      </c>
      <c r="G796" s="76">
        <f>IFERROR(__xludf.DUMMYFUNCTION("""COMPUTED_VALUE"""),"TORO ARDILES DAVID JOSE")</f>
        <v/>
      </c>
      <c r="H796" s="76">
        <f>IFERROR(__xludf.DUMMYFUNCTION("""COMPUTED_VALUE"""),500.4606)</f>
        <v/>
      </c>
      <c r="I796" s="75" t="n"/>
      <c r="J796" s="77">
        <f>IFERROR(__xludf.DUMMYFUNCTION("""COMPUTED_VALUE"""),0.84)</f>
        <v/>
      </c>
      <c r="K796" s="4">
        <f>IFERROR(__xludf.DUMMYFUNCTION("""COMPUTED_VALUE"""),0.84)</f>
        <v/>
      </c>
      <c r="L796" s="77">
        <f>IFERROR(__xludf.DUMMYFUNCTION("""COMPUTED_VALUE"""),0.84)</f>
        <v/>
      </c>
      <c r="O796" s="72" t="n"/>
      <c r="S796" s="4" t="n"/>
    </row>
    <row r="797">
      <c r="A797" s="74">
        <f>IFERROR(__xludf.DUMMYFUNCTION("""COMPUTED_VALUE"""),46146.0)</f>
        <v/>
      </c>
      <c r="B797" s="72">
        <f>IFERROR(__xludf.DUMMYFUNCTION("""COMPUTED_VALUE"""),540.0)</f>
        <v/>
      </c>
      <c r="C797" s="75">
        <f>IFERROR(__xludf.DUMMYFUNCTION("""COMPUTED_VALUE"""),3.0)</f>
        <v/>
      </c>
      <c r="D797" s="75">
        <f>IFERROR(__xludf.DUMMYFUNCTION("""COMPUTED_VALUE"""),"USD")</f>
        <v/>
      </c>
      <c r="E797" s="75">
        <f>IFERROR(__xludf.DUMMYFUNCTION("""COMPUTED_VALUE"""),"Efectivo USD")</f>
        <v/>
      </c>
      <c r="F797" s="75">
        <f>IFERROR(__xludf.DUMMYFUNCTION("""COMPUTED_VALUE"""),"GARAJE Y TALLERES FRIDELBA, C.A")</f>
        <v/>
      </c>
      <c r="G797" s="76">
        <f>IFERROR(__xludf.DUMMYFUNCTION("""COMPUTED_VALUE"""),"TORO ARDILES DAVID JOSE")</f>
        <v/>
      </c>
      <c r="H797" s="76">
        <f>IFERROR(__xludf.DUMMYFUNCTION("""COMPUTED_VALUE"""),489.5547)</f>
        <v/>
      </c>
      <c r="I797" s="75" t="n"/>
      <c r="J797" s="77">
        <f>IFERROR(__xludf.DUMMYFUNCTION("""COMPUTED_VALUE"""),3.0)</f>
        <v/>
      </c>
      <c r="K797" s="4">
        <f>IFERROR(__xludf.DUMMYFUNCTION("""COMPUTED_VALUE"""),3.0)</f>
        <v/>
      </c>
      <c r="L797" s="77">
        <f>IFERROR(__xludf.DUMMYFUNCTION("""COMPUTED_VALUE"""),3.0)</f>
        <v/>
      </c>
      <c r="O797" s="72" t="n"/>
      <c r="S797" s="4" t="n"/>
    </row>
    <row r="798">
      <c r="A798" s="74">
        <f>IFERROR(__xludf.DUMMYFUNCTION("""COMPUTED_VALUE"""),46217.0)</f>
        <v/>
      </c>
      <c r="B798" s="72">
        <f>IFERROR(__xludf.DUMMYFUNCTION("""COMPUTED_VALUE"""),661.0)</f>
        <v/>
      </c>
      <c r="C798" s="75">
        <f>IFERROR(__xludf.DUMMYFUNCTION("""COMPUTED_VALUE"""),154595.51)</f>
        <v/>
      </c>
      <c r="D798" s="75">
        <f>IFERROR(__xludf.DUMMYFUNCTION("""COMPUTED_VALUE"""),"VES")</f>
        <v/>
      </c>
      <c r="E798" s="75">
        <f>IFERROR(__xludf.DUMMYFUNCTION("""COMPUTED_VALUE"""),"Bancamiga")</f>
        <v/>
      </c>
      <c r="F798" s="75">
        <f>IFERROR(__xludf.DUMMYFUNCTION("""COMPUTED_VALUE"""),"En ascenso 2011,c.a.")</f>
        <v/>
      </c>
      <c r="G798" s="76">
        <f>IFERROR(__xludf.DUMMYFUNCTION("""COMPUTED_VALUE"""),"CASERES GONZALEZ RONALD OSWALDO")</f>
        <v/>
      </c>
      <c r="H798" s="76">
        <f>IFERROR(__xludf.DUMMYFUNCTION("""COMPUTED_VALUE"""),723.999)</f>
        <v/>
      </c>
      <c r="I798" s="75" t="n"/>
      <c r="J798" s="77">
        <f>IFERROR(__xludf.DUMMYFUNCTION("""COMPUTED_VALUE"""),213.53000487569736)</f>
        <v/>
      </c>
      <c r="K798" s="4">
        <f>IFERROR(__xludf.DUMMYFUNCTION("""COMPUTED_VALUE"""),0.0)</f>
        <v/>
      </c>
      <c r="L798" s="77">
        <f>IFERROR(__xludf.DUMMYFUNCTION("""COMPUTED_VALUE"""),213.53000487569736)</f>
        <v/>
      </c>
      <c r="O798" s="72" t="n"/>
      <c r="S798" s="4" t="n"/>
    </row>
    <row r="799">
      <c r="A799" s="74">
        <f>IFERROR(__xludf.DUMMYFUNCTION("""COMPUTED_VALUE"""),46217.0)</f>
        <v/>
      </c>
      <c r="B799" s="72">
        <f>IFERROR(__xludf.DUMMYFUNCTION("""COMPUTED_VALUE"""),669.0)</f>
        <v/>
      </c>
      <c r="C799" s="75">
        <f>IFERROR(__xludf.DUMMYFUNCTION("""COMPUTED_VALUE"""),81613.46)</f>
        <v/>
      </c>
      <c r="D799" s="75">
        <f>IFERROR(__xludf.DUMMYFUNCTION("""COMPUTED_VALUE"""),"VES")</f>
        <v/>
      </c>
      <c r="E799" s="75">
        <f>IFERROR(__xludf.DUMMYFUNCTION("""COMPUTED_VALUE"""),"Bancamiga")</f>
        <v/>
      </c>
      <c r="F799" s="75">
        <f>IFERROR(__xludf.DUMMYFUNCTION("""COMPUTED_VALUE"""),"En ascenso 2011,c.a.")</f>
        <v/>
      </c>
      <c r="G799" s="76">
        <f>IFERROR(__xludf.DUMMYFUNCTION("""COMPUTED_VALUE"""),"CASERES GONZALEZ RONALD OSWALDO")</f>
        <v/>
      </c>
      <c r="H799" s="76">
        <f>IFERROR(__xludf.DUMMYFUNCTION("""COMPUTED_VALUE"""),723.999)</f>
        <v/>
      </c>
      <c r="I799" s="75" t="n"/>
      <c r="J799" s="77">
        <f>IFERROR(__xludf.DUMMYFUNCTION("""COMPUTED_VALUE"""),112.7259291794602)</f>
        <v/>
      </c>
      <c r="K799" s="4">
        <f>IFERROR(__xludf.DUMMYFUNCTION("""COMPUTED_VALUE"""),0.0)</f>
        <v/>
      </c>
      <c r="L799" s="77">
        <f>IFERROR(__xludf.DUMMYFUNCTION("""COMPUTED_VALUE"""),112.7259291794602)</f>
        <v/>
      </c>
      <c r="O799" s="72" t="n"/>
      <c r="S799" s="4" t="n"/>
    </row>
    <row r="800">
      <c r="A800" s="74">
        <f>IFERROR(__xludf.DUMMYFUNCTION("""COMPUTED_VALUE"""),46191.0)</f>
        <v/>
      </c>
      <c r="B800" s="72">
        <f>IFERROR(__xludf.DUMMYFUNCTION("""COMPUTED_VALUE"""),470.0)</f>
        <v/>
      </c>
      <c r="C800" s="75">
        <f>IFERROR(__xludf.DUMMYFUNCTION("""COMPUTED_VALUE"""),884.99)</f>
        <v/>
      </c>
      <c r="D800" s="75">
        <f>IFERROR(__xludf.DUMMYFUNCTION("""COMPUTED_VALUE"""),"USD")</f>
        <v/>
      </c>
      <c r="E800" s="75">
        <f>IFERROR(__xludf.DUMMYFUNCTION("""COMPUTED_VALUE"""),"Binance")</f>
        <v/>
      </c>
      <c r="F800" s="75">
        <f>IFERROR(__xludf.DUMMYFUNCTION("""COMPUTED_VALUE"""),"Luis Zambrano")</f>
        <v/>
      </c>
      <c r="G800" s="75" t="n"/>
      <c r="H800" s="76">
        <f>IFERROR(__xludf.DUMMYFUNCTION("""COMPUTED_VALUE"""),602.3324)</f>
        <v/>
      </c>
      <c r="I800" s="75" t="n"/>
      <c r="J800" s="77">
        <f>IFERROR(__xludf.DUMMYFUNCTION("""COMPUTED_VALUE"""),884.99)</f>
        <v/>
      </c>
      <c r="K800" s="4">
        <f>IFERROR(__xludf.DUMMYFUNCTION("""COMPUTED_VALUE"""),884.99)</f>
        <v/>
      </c>
      <c r="L800" s="77">
        <f>IFERROR(__xludf.DUMMYFUNCTION("""COMPUTED_VALUE"""),884.99)</f>
        <v/>
      </c>
      <c r="O800" s="72" t="n"/>
      <c r="S800" s="4" t="n"/>
    </row>
    <row r="801">
      <c r="A801" s="74">
        <f>IFERROR(__xludf.DUMMYFUNCTION("""COMPUTED_VALUE"""),46216.0)</f>
        <v/>
      </c>
      <c r="B801" s="72">
        <f>IFERROR(__xludf.DUMMYFUNCTION("""COMPUTED_VALUE"""),608.0)</f>
        <v/>
      </c>
      <c r="C801" s="75">
        <f>IFERROR(__xludf.DUMMYFUNCTION("""COMPUTED_VALUE"""),2436828.07)</f>
        <v/>
      </c>
      <c r="D801" s="75">
        <f>IFERROR(__xludf.DUMMYFUNCTION("""COMPUTED_VALUE"""),"VES")</f>
        <v/>
      </c>
      <c r="E801" s="75">
        <f>IFERROR(__xludf.DUMMYFUNCTION("""COMPUTED_VALUE"""),"Bancamiga")</f>
        <v/>
      </c>
      <c r="F801" s="75">
        <f>IFERROR(__xludf.DUMMYFUNCTION("""COMPUTED_VALUE"""),"CONSTRUCTORA GRANO AGREGADO, C.A")</f>
        <v/>
      </c>
      <c r="G801" s="76">
        <f>IFERROR(__xludf.DUMMYFUNCTION("""COMPUTED_VALUE"""),"Marco Romero")</f>
        <v/>
      </c>
      <c r="H801" s="76">
        <f>IFERROR(__xludf.DUMMYFUNCTION("""COMPUTED_VALUE"""),721.3456)</f>
        <v/>
      </c>
      <c r="I801" s="75" t="n"/>
      <c r="J801" s="77">
        <f>IFERROR(__xludf.DUMMYFUNCTION("""COMPUTED_VALUE"""),3378.1700061662536)</f>
        <v/>
      </c>
      <c r="K801" s="4">
        <f>IFERROR(__xludf.DUMMYFUNCTION("""COMPUTED_VALUE"""),0.0)</f>
        <v/>
      </c>
      <c r="L801" s="77">
        <f>IFERROR(__xludf.DUMMYFUNCTION("""COMPUTED_VALUE"""),3378.1700061662536)</f>
        <v/>
      </c>
      <c r="O801" s="72" t="n"/>
      <c r="S801" s="4" t="n"/>
    </row>
    <row r="802">
      <c r="A802" s="74" t="n"/>
      <c r="B802" s="72" t="n"/>
      <c r="C802" s="75" t="n"/>
      <c r="D802" s="75" t="n"/>
      <c r="E802" s="75" t="n"/>
      <c r="F802" s="75" t="n"/>
      <c r="G802" s="75" t="n"/>
      <c r="H802" s="76">
        <f>IFERROR(__xludf.DUMMYFUNCTION("""COMPUTED_VALUE"""),"")</f>
        <v/>
      </c>
      <c r="I802" s="75" t="n"/>
      <c r="J802" s="77">
        <f>IFERROR(__xludf.DUMMYFUNCTION("""COMPUTED_VALUE"""),0.0)</f>
        <v/>
      </c>
      <c r="K802" s="4">
        <f>IFERROR(__xludf.DUMMYFUNCTION("""COMPUTED_VALUE"""),0.0)</f>
        <v/>
      </c>
      <c r="L802" s="77">
        <f>IFERROR(__xludf.DUMMYFUNCTION("""COMPUTED_VALUE"""),0.0)</f>
        <v/>
      </c>
      <c r="O802" s="72" t="n"/>
      <c r="S802" s="4" t="n"/>
    </row>
    <row r="803">
      <c r="A803" s="74" t="n"/>
      <c r="B803" s="72" t="n"/>
      <c r="C803" s="75" t="n"/>
      <c r="D803" s="75" t="n"/>
      <c r="E803" s="75" t="n"/>
      <c r="F803" s="75" t="n"/>
      <c r="G803" s="75" t="n"/>
      <c r="H803" s="76">
        <f>IFERROR(__xludf.DUMMYFUNCTION("""COMPUTED_VALUE"""),"")</f>
        <v/>
      </c>
      <c r="I803" s="75" t="n"/>
      <c r="J803" s="77">
        <f>IFERROR(__xludf.DUMMYFUNCTION("""COMPUTED_VALUE"""),0.0)</f>
        <v/>
      </c>
      <c r="K803" s="4">
        <f>IFERROR(__xludf.DUMMYFUNCTION("""COMPUTED_VALUE"""),0.0)</f>
        <v/>
      </c>
      <c r="L803" s="77">
        <f>IFERROR(__xludf.DUMMYFUNCTION("""COMPUTED_VALUE"""),0.0)</f>
        <v/>
      </c>
      <c r="O803" s="72" t="n"/>
      <c r="S803" s="4" t="n"/>
    </row>
    <row r="804">
      <c r="A804" s="74" t="n"/>
      <c r="B804" s="72" t="n"/>
      <c r="C804" s="75" t="n"/>
      <c r="D804" s="75" t="n"/>
      <c r="E804" s="75" t="n"/>
      <c r="F804" s="75" t="n"/>
      <c r="G804" s="75" t="n"/>
      <c r="H804" s="76">
        <f>IFERROR(__xludf.DUMMYFUNCTION("""COMPUTED_VALUE"""),"")</f>
        <v/>
      </c>
      <c r="I804" s="75" t="n"/>
      <c r="J804" s="77">
        <f>IFERROR(__xludf.DUMMYFUNCTION("""COMPUTED_VALUE"""),0.0)</f>
        <v/>
      </c>
      <c r="K804" s="4">
        <f>IFERROR(__xludf.DUMMYFUNCTION("""COMPUTED_VALUE"""),0.0)</f>
        <v/>
      </c>
      <c r="L804" s="77">
        <f>IFERROR(__xludf.DUMMYFUNCTION("""COMPUTED_VALUE"""),0.0)</f>
        <v/>
      </c>
      <c r="O804" s="72" t="n"/>
      <c r="S804" s="4" t="n"/>
    </row>
    <row r="805">
      <c r="A805" s="74" t="n"/>
      <c r="B805" s="72" t="n"/>
      <c r="C805" s="75" t="n"/>
      <c r="D805" s="75" t="n"/>
      <c r="E805" s="75" t="n"/>
      <c r="F805" s="75" t="n"/>
      <c r="G805" s="75" t="n"/>
      <c r="H805" s="76">
        <f>IFERROR(__xludf.DUMMYFUNCTION("""COMPUTED_VALUE"""),"")</f>
        <v/>
      </c>
      <c r="I805" s="75" t="n"/>
      <c r="J805" s="77">
        <f>IFERROR(__xludf.DUMMYFUNCTION("""COMPUTED_VALUE"""),0.0)</f>
        <v/>
      </c>
      <c r="K805" s="4">
        <f>IFERROR(__xludf.DUMMYFUNCTION("""COMPUTED_VALUE"""),0.0)</f>
        <v/>
      </c>
      <c r="L805" s="77">
        <f>IFERROR(__xludf.DUMMYFUNCTION("""COMPUTED_VALUE"""),0.0)</f>
        <v/>
      </c>
      <c r="O805" s="72" t="n"/>
      <c r="S805" s="4" t="n"/>
    </row>
    <row r="806">
      <c r="A806" s="74" t="n"/>
      <c r="B806" s="72" t="n"/>
      <c r="C806" s="75" t="n"/>
      <c r="D806" s="75" t="n"/>
      <c r="E806" s="75" t="n"/>
      <c r="F806" s="75" t="n"/>
      <c r="G806" s="75" t="n"/>
      <c r="H806" s="76">
        <f>IFERROR(__xludf.DUMMYFUNCTION("""COMPUTED_VALUE"""),"")</f>
        <v/>
      </c>
      <c r="I806" s="75" t="n"/>
      <c r="J806" s="77">
        <f>IFERROR(__xludf.DUMMYFUNCTION("""COMPUTED_VALUE"""),0.0)</f>
        <v/>
      </c>
      <c r="K806" s="4">
        <f>IFERROR(__xludf.DUMMYFUNCTION("""COMPUTED_VALUE"""),0.0)</f>
        <v/>
      </c>
      <c r="L806" s="77">
        <f>IFERROR(__xludf.DUMMYFUNCTION("""COMPUTED_VALUE"""),0.0)</f>
        <v/>
      </c>
      <c r="O806" s="72" t="n"/>
      <c r="S806" s="4" t="n"/>
    </row>
    <row r="807">
      <c r="A807" s="74" t="n"/>
      <c r="B807" s="72" t="n"/>
      <c r="C807" s="75" t="n"/>
      <c r="D807" s="75" t="n"/>
      <c r="E807" s="75" t="n"/>
      <c r="F807" s="75" t="n"/>
      <c r="G807" s="75" t="n"/>
      <c r="H807" s="76">
        <f>IFERROR(__xludf.DUMMYFUNCTION("""COMPUTED_VALUE"""),"")</f>
        <v/>
      </c>
      <c r="I807" s="75" t="n"/>
      <c r="J807" s="77">
        <f>IFERROR(__xludf.DUMMYFUNCTION("""COMPUTED_VALUE"""),0.0)</f>
        <v/>
      </c>
      <c r="K807" s="4">
        <f>IFERROR(__xludf.DUMMYFUNCTION("""COMPUTED_VALUE"""),0.0)</f>
        <v/>
      </c>
      <c r="L807" s="77">
        <f>IFERROR(__xludf.DUMMYFUNCTION("""COMPUTED_VALUE"""),0.0)</f>
        <v/>
      </c>
      <c r="O807" s="72" t="n"/>
      <c r="S807" s="4" t="n"/>
    </row>
    <row r="808">
      <c r="A808" s="74" t="n"/>
      <c r="B808" s="72" t="n"/>
      <c r="C808" s="75" t="n"/>
      <c r="D808" s="75" t="n"/>
      <c r="E808" s="75" t="n"/>
      <c r="F808" s="75" t="n"/>
      <c r="G808" s="75" t="n"/>
      <c r="H808" s="76">
        <f>IFERROR(__xludf.DUMMYFUNCTION("""COMPUTED_VALUE"""),"")</f>
        <v/>
      </c>
      <c r="I808" s="75" t="n"/>
      <c r="J808" s="77">
        <f>IFERROR(__xludf.DUMMYFUNCTION("""COMPUTED_VALUE"""),0.0)</f>
        <v/>
      </c>
      <c r="K808" s="4">
        <f>IFERROR(__xludf.DUMMYFUNCTION("""COMPUTED_VALUE"""),0.0)</f>
        <v/>
      </c>
      <c r="L808" s="77">
        <f>IFERROR(__xludf.DUMMYFUNCTION("""COMPUTED_VALUE"""),0.0)</f>
        <v/>
      </c>
      <c r="O808" s="72" t="n"/>
      <c r="S808" s="4" t="n"/>
    </row>
    <row r="809">
      <c r="A809" s="74" t="n"/>
      <c r="B809" s="72" t="n"/>
      <c r="C809" s="75" t="n"/>
      <c r="D809" s="75" t="n"/>
      <c r="E809" s="75" t="n"/>
      <c r="F809" s="75" t="n"/>
      <c r="G809" s="75" t="n"/>
      <c r="H809" s="76">
        <f>IFERROR(__xludf.DUMMYFUNCTION("""COMPUTED_VALUE"""),"")</f>
        <v/>
      </c>
      <c r="I809" s="75" t="n"/>
      <c r="J809" s="77">
        <f>IFERROR(__xludf.DUMMYFUNCTION("""COMPUTED_VALUE"""),0.0)</f>
        <v/>
      </c>
      <c r="K809" s="4">
        <f>IFERROR(__xludf.DUMMYFUNCTION("""COMPUTED_VALUE"""),0.0)</f>
        <v/>
      </c>
      <c r="L809" s="77">
        <f>IFERROR(__xludf.DUMMYFUNCTION("""COMPUTED_VALUE"""),0.0)</f>
        <v/>
      </c>
      <c r="O809" s="72" t="n"/>
      <c r="S809" s="4" t="n"/>
    </row>
    <row r="810">
      <c r="A810" s="74" t="n"/>
      <c r="B810" s="72" t="n"/>
      <c r="C810" s="75" t="n"/>
      <c r="D810" s="75" t="n"/>
      <c r="E810" s="75" t="n"/>
      <c r="F810" s="75" t="n"/>
      <c r="G810" s="75" t="n"/>
      <c r="H810" s="76">
        <f>IFERROR(__xludf.DUMMYFUNCTION("""COMPUTED_VALUE"""),"")</f>
        <v/>
      </c>
      <c r="I810" s="75" t="n"/>
      <c r="J810" s="77">
        <f>IFERROR(__xludf.DUMMYFUNCTION("""COMPUTED_VALUE"""),0.0)</f>
        <v/>
      </c>
      <c r="K810" s="4">
        <f>IFERROR(__xludf.DUMMYFUNCTION("""COMPUTED_VALUE"""),0.0)</f>
        <v/>
      </c>
      <c r="L810" s="77">
        <f>IFERROR(__xludf.DUMMYFUNCTION("""COMPUTED_VALUE"""),0.0)</f>
        <v/>
      </c>
      <c r="O810" s="72" t="n"/>
      <c r="S810" s="4" t="n"/>
    </row>
    <row r="811">
      <c r="A811" s="74" t="n"/>
      <c r="B811" s="72" t="n"/>
      <c r="C811" s="75" t="n"/>
      <c r="D811" s="75" t="n"/>
      <c r="E811" s="75" t="n"/>
      <c r="F811" s="75" t="n"/>
      <c r="G811" s="75" t="n"/>
      <c r="H811" s="76">
        <f>IFERROR(__xludf.DUMMYFUNCTION("""COMPUTED_VALUE"""),"")</f>
        <v/>
      </c>
      <c r="I811" s="75" t="n"/>
      <c r="J811" s="77">
        <f>IFERROR(__xludf.DUMMYFUNCTION("""COMPUTED_VALUE"""),0.0)</f>
        <v/>
      </c>
      <c r="K811" s="4">
        <f>IFERROR(__xludf.DUMMYFUNCTION("""COMPUTED_VALUE"""),0.0)</f>
        <v/>
      </c>
      <c r="L811" s="77">
        <f>IFERROR(__xludf.DUMMYFUNCTION("""COMPUTED_VALUE"""),0.0)</f>
        <v/>
      </c>
      <c r="O811" s="72" t="n"/>
      <c r="S811" s="4" t="n"/>
    </row>
    <row r="812">
      <c r="A812" s="74" t="n"/>
      <c r="B812" s="72" t="n"/>
      <c r="C812" s="75" t="n"/>
      <c r="D812" s="75" t="n"/>
      <c r="E812" s="75" t="n"/>
      <c r="F812" s="75" t="n"/>
      <c r="G812" s="75" t="n"/>
      <c r="H812" s="76">
        <f>IFERROR(__xludf.DUMMYFUNCTION("""COMPUTED_VALUE"""),"")</f>
        <v/>
      </c>
      <c r="I812" s="75" t="n"/>
      <c r="J812" s="77">
        <f>IFERROR(__xludf.DUMMYFUNCTION("""COMPUTED_VALUE"""),0.0)</f>
        <v/>
      </c>
      <c r="K812" s="4">
        <f>IFERROR(__xludf.DUMMYFUNCTION("""COMPUTED_VALUE"""),0.0)</f>
        <v/>
      </c>
      <c r="L812" s="77">
        <f>IFERROR(__xludf.DUMMYFUNCTION("""COMPUTED_VALUE"""),0.0)</f>
        <v/>
      </c>
      <c r="O812" s="72" t="n"/>
      <c r="S812" s="4" t="n"/>
    </row>
    <row r="813">
      <c r="A813" s="74" t="n"/>
      <c r="B813" s="72" t="n"/>
      <c r="C813" s="75" t="n"/>
      <c r="D813" s="75" t="n"/>
      <c r="E813" s="75" t="n"/>
      <c r="F813" s="75" t="n"/>
      <c r="G813" s="75" t="n"/>
      <c r="H813" s="76">
        <f>IFERROR(__xludf.DUMMYFUNCTION("""COMPUTED_VALUE"""),"")</f>
        <v/>
      </c>
      <c r="I813" s="75" t="n"/>
      <c r="J813" s="77">
        <f>IFERROR(__xludf.DUMMYFUNCTION("""COMPUTED_VALUE"""),0.0)</f>
        <v/>
      </c>
      <c r="K813" s="4">
        <f>IFERROR(__xludf.DUMMYFUNCTION("""COMPUTED_VALUE"""),0.0)</f>
        <v/>
      </c>
      <c r="L813" s="77">
        <f>IFERROR(__xludf.DUMMYFUNCTION("""COMPUTED_VALUE"""),0.0)</f>
        <v/>
      </c>
      <c r="O813" s="72" t="n"/>
      <c r="S813" s="4" t="n"/>
    </row>
    <row r="814">
      <c r="A814" s="74" t="n"/>
      <c r="B814" s="72" t="n"/>
      <c r="C814" s="75" t="n"/>
      <c r="D814" s="75" t="n"/>
      <c r="E814" s="75" t="n"/>
      <c r="F814" s="75" t="n"/>
      <c r="G814" s="75" t="n"/>
      <c r="H814" s="76">
        <f>IFERROR(__xludf.DUMMYFUNCTION("""COMPUTED_VALUE"""),"")</f>
        <v/>
      </c>
      <c r="I814" s="75" t="n"/>
      <c r="J814" s="77">
        <f>IFERROR(__xludf.DUMMYFUNCTION("""COMPUTED_VALUE"""),0.0)</f>
        <v/>
      </c>
      <c r="K814" s="4">
        <f>IFERROR(__xludf.DUMMYFUNCTION("""COMPUTED_VALUE"""),0.0)</f>
        <v/>
      </c>
      <c r="L814" s="77">
        <f>IFERROR(__xludf.DUMMYFUNCTION("""COMPUTED_VALUE"""),0.0)</f>
        <v/>
      </c>
      <c r="O814" s="72" t="n"/>
      <c r="S814" s="4" t="n"/>
    </row>
    <row r="815">
      <c r="A815" s="74" t="n"/>
      <c r="B815" s="72" t="n"/>
      <c r="C815" s="75" t="n"/>
      <c r="D815" s="75" t="n"/>
      <c r="E815" s="75" t="n"/>
      <c r="F815" s="75" t="n"/>
      <c r="G815" s="75" t="n"/>
      <c r="H815" s="76">
        <f>IFERROR(__xludf.DUMMYFUNCTION("""COMPUTED_VALUE"""),"")</f>
        <v/>
      </c>
      <c r="I815" s="75" t="n"/>
      <c r="J815" s="77">
        <f>IFERROR(__xludf.DUMMYFUNCTION("""COMPUTED_VALUE"""),0.0)</f>
        <v/>
      </c>
      <c r="K815" s="4">
        <f>IFERROR(__xludf.DUMMYFUNCTION("""COMPUTED_VALUE"""),0.0)</f>
        <v/>
      </c>
      <c r="L815" s="77">
        <f>IFERROR(__xludf.DUMMYFUNCTION("""COMPUTED_VALUE"""),0.0)</f>
        <v/>
      </c>
      <c r="O815" s="72" t="n"/>
      <c r="S815" s="4" t="n"/>
    </row>
    <row r="816">
      <c r="A816" s="74" t="n"/>
      <c r="B816" s="72" t="n"/>
      <c r="C816" s="75" t="n"/>
      <c r="D816" s="75" t="n"/>
      <c r="E816" s="75" t="n"/>
      <c r="F816" s="75" t="n"/>
      <c r="G816" s="75" t="n"/>
      <c r="H816" s="76">
        <f>IFERROR(__xludf.DUMMYFUNCTION("""COMPUTED_VALUE"""),"")</f>
        <v/>
      </c>
      <c r="I816" s="75" t="n"/>
      <c r="J816" s="77">
        <f>IFERROR(__xludf.DUMMYFUNCTION("""COMPUTED_VALUE"""),0.0)</f>
        <v/>
      </c>
      <c r="K816" s="4">
        <f>IFERROR(__xludf.DUMMYFUNCTION("""COMPUTED_VALUE"""),0.0)</f>
        <v/>
      </c>
      <c r="L816" s="77">
        <f>IFERROR(__xludf.DUMMYFUNCTION("""COMPUTED_VALUE"""),0.0)</f>
        <v/>
      </c>
      <c r="O816" s="72" t="n"/>
      <c r="S816" s="4" t="n"/>
    </row>
    <row r="817">
      <c r="A817" s="74" t="n"/>
      <c r="B817" s="72" t="n"/>
      <c r="C817" s="75" t="n"/>
      <c r="D817" s="75" t="n"/>
      <c r="E817" s="75" t="n"/>
      <c r="F817" s="75" t="n"/>
      <c r="G817" s="75" t="n"/>
      <c r="H817" s="76">
        <f>IFERROR(__xludf.DUMMYFUNCTION("""COMPUTED_VALUE"""),"")</f>
        <v/>
      </c>
      <c r="I817" s="75" t="n"/>
      <c r="J817" s="77">
        <f>IFERROR(__xludf.DUMMYFUNCTION("""COMPUTED_VALUE"""),0.0)</f>
        <v/>
      </c>
      <c r="K817" s="4">
        <f>IFERROR(__xludf.DUMMYFUNCTION("""COMPUTED_VALUE"""),0.0)</f>
        <v/>
      </c>
      <c r="L817" s="77">
        <f>IFERROR(__xludf.DUMMYFUNCTION("""COMPUTED_VALUE"""),0.0)</f>
        <v/>
      </c>
      <c r="O817" s="72" t="n"/>
      <c r="S817" s="4" t="n"/>
    </row>
    <row r="818">
      <c r="A818" s="74" t="n"/>
      <c r="B818" s="72" t="n"/>
      <c r="C818" s="75" t="n"/>
      <c r="D818" s="75" t="n"/>
      <c r="E818" s="75" t="n"/>
      <c r="F818" s="75" t="n"/>
      <c r="G818" s="75" t="n"/>
      <c r="H818" s="76">
        <f>IFERROR(__xludf.DUMMYFUNCTION("""COMPUTED_VALUE"""),"")</f>
        <v/>
      </c>
      <c r="I818" s="75" t="n"/>
      <c r="J818" s="77">
        <f>IFERROR(__xludf.DUMMYFUNCTION("""COMPUTED_VALUE"""),0.0)</f>
        <v/>
      </c>
      <c r="K818" s="4">
        <f>IFERROR(__xludf.DUMMYFUNCTION("""COMPUTED_VALUE"""),0.0)</f>
        <v/>
      </c>
      <c r="L818" s="77">
        <f>IFERROR(__xludf.DUMMYFUNCTION("""COMPUTED_VALUE"""),0.0)</f>
        <v/>
      </c>
      <c r="O818" s="72" t="n"/>
      <c r="S818" s="4" t="n"/>
    </row>
    <row r="819">
      <c r="A819" s="74" t="n"/>
      <c r="B819" s="72" t="n"/>
      <c r="C819" s="75" t="n"/>
      <c r="D819" s="75" t="n"/>
      <c r="E819" s="75" t="n"/>
      <c r="F819" s="75" t="n"/>
      <c r="G819" s="75" t="n"/>
      <c r="H819" s="76">
        <f>IFERROR(__xludf.DUMMYFUNCTION("""COMPUTED_VALUE"""),"")</f>
        <v/>
      </c>
      <c r="I819" s="75" t="n"/>
      <c r="J819" s="77">
        <f>IFERROR(__xludf.DUMMYFUNCTION("""COMPUTED_VALUE"""),0.0)</f>
        <v/>
      </c>
      <c r="K819" s="4">
        <f>IFERROR(__xludf.DUMMYFUNCTION("""COMPUTED_VALUE"""),0.0)</f>
        <v/>
      </c>
      <c r="L819" s="77">
        <f>IFERROR(__xludf.DUMMYFUNCTION("""COMPUTED_VALUE"""),0.0)</f>
        <v/>
      </c>
      <c r="O819" s="72" t="n"/>
      <c r="S819" s="4" t="n"/>
    </row>
    <row r="820">
      <c r="A820" s="74" t="n"/>
      <c r="B820" s="72" t="n"/>
      <c r="C820" s="75" t="n"/>
      <c r="D820" s="75" t="n"/>
      <c r="E820" s="75" t="n"/>
      <c r="F820" s="75" t="n"/>
      <c r="G820" s="75" t="n"/>
      <c r="H820" s="76">
        <f>IFERROR(__xludf.DUMMYFUNCTION("""COMPUTED_VALUE"""),"")</f>
        <v/>
      </c>
      <c r="I820" s="75" t="n"/>
      <c r="J820" s="77">
        <f>IFERROR(__xludf.DUMMYFUNCTION("""COMPUTED_VALUE"""),0.0)</f>
        <v/>
      </c>
      <c r="K820" s="4">
        <f>IFERROR(__xludf.DUMMYFUNCTION("""COMPUTED_VALUE"""),0.0)</f>
        <v/>
      </c>
      <c r="L820" s="77">
        <f>IFERROR(__xludf.DUMMYFUNCTION("""COMPUTED_VALUE"""),0.0)</f>
        <v/>
      </c>
      <c r="O820" s="72" t="n"/>
      <c r="S820" s="4" t="n"/>
    </row>
    <row r="821">
      <c r="A821" s="74" t="n"/>
      <c r="B821" s="72" t="n"/>
      <c r="C821" s="75" t="n"/>
      <c r="D821" s="75" t="n"/>
      <c r="E821" s="75" t="n"/>
      <c r="F821" s="75" t="n"/>
      <c r="G821" s="75" t="n"/>
      <c r="H821" s="76">
        <f>IFERROR(__xludf.DUMMYFUNCTION("""COMPUTED_VALUE"""),"")</f>
        <v/>
      </c>
      <c r="I821" s="75" t="n"/>
      <c r="J821" s="77">
        <f>IFERROR(__xludf.DUMMYFUNCTION("""COMPUTED_VALUE"""),0.0)</f>
        <v/>
      </c>
      <c r="K821" s="4">
        <f>IFERROR(__xludf.DUMMYFUNCTION("""COMPUTED_VALUE"""),0.0)</f>
        <v/>
      </c>
      <c r="L821" s="77">
        <f>IFERROR(__xludf.DUMMYFUNCTION("""COMPUTED_VALUE"""),0.0)</f>
        <v/>
      </c>
      <c r="O821" s="72" t="n"/>
      <c r="S821" s="4" t="n"/>
    </row>
    <row r="822">
      <c r="A822" s="74" t="n"/>
      <c r="B822" s="72" t="n"/>
      <c r="C822" s="75" t="n"/>
      <c r="D822" s="75" t="n"/>
      <c r="E822" s="75" t="n"/>
      <c r="F822" s="75" t="n"/>
      <c r="G822" s="75" t="n"/>
      <c r="H822" s="76">
        <f>IFERROR(__xludf.DUMMYFUNCTION("""COMPUTED_VALUE"""),"")</f>
        <v/>
      </c>
      <c r="I822" s="75" t="n"/>
      <c r="J822" s="77">
        <f>IFERROR(__xludf.DUMMYFUNCTION("""COMPUTED_VALUE"""),0.0)</f>
        <v/>
      </c>
      <c r="K822" s="4">
        <f>IFERROR(__xludf.DUMMYFUNCTION("""COMPUTED_VALUE"""),0.0)</f>
        <v/>
      </c>
      <c r="L822" s="77">
        <f>IFERROR(__xludf.DUMMYFUNCTION("""COMPUTED_VALUE"""),0.0)</f>
        <v/>
      </c>
      <c r="O822" s="72" t="n"/>
      <c r="S822" s="4" t="n"/>
    </row>
    <row r="823">
      <c r="A823" s="74" t="n"/>
      <c r="B823" s="72" t="n"/>
      <c r="C823" s="75" t="n"/>
      <c r="D823" s="75" t="n"/>
      <c r="E823" s="75" t="n"/>
      <c r="F823" s="75" t="n"/>
      <c r="G823" s="75" t="n"/>
      <c r="H823" s="76">
        <f>IFERROR(__xludf.DUMMYFUNCTION("""COMPUTED_VALUE"""),"")</f>
        <v/>
      </c>
      <c r="I823" s="75" t="n"/>
      <c r="J823" s="77">
        <f>IFERROR(__xludf.DUMMYFUNCTION("""COMPUTED_VALUE"""),0.0)</f>
        <v/>
      </c>
      <c r="K823" s="4">
        <f>IFERROR(__xludf.DUMMYFUNCTION("""COMPUTED_VALUE"""),0.0)</f>
        <v/>
      </c>
      <c r="L823" s="77">
        <f>IFERROR(__xludf.DUMMYFUNCTION("""COMPUTED_VALUE"""),0.0)</f>
        <v/>
      </c>
      <c r="O823" s="72" t="n"/>
      <c r="S823" s="4" t="n"/>
    </row>
    <row r="824">
      <c r="A824" s="74" t="n"/>
      <c r="B824" s="72" t="n"/>
      <c r="C824" s="75" t="n"/>
      <c r="D824" s="75" t="n"/>
      <c r="E824" s="75" t="n"/>
      <c r="F824" s="75" t="n"/>
      <c r="G824" s="75" t="n"/>
      <c r="H824" s="76">
        <f>IFERROR(__xludf.DUMMYFUNCTION("""COMPUTED_VALUE"""),"")</f>
        <v/>
      </c>
      <c r="I824" s="75" t="n"/>
      <c r="J824" s="77">
        <f>IFERROR(__xludf.DUMMYFUNCTION("""COMPUTED_VALUE"""),0.0)</f>
        <v/>
      </c>
      <c r="K824" s="4">
        <f>IFERROR(__xludf.DUMMYFUNCTION("""COMPUTED_VALUE"""),0.0)</f>
        <v/>
      </c>
      <c r="L824" s="77">
        <f>IFERROR(__xludf.DUMMYFUNCTION("""COMPUTED_VALUE"""),0.0)</f>
        <v/>
      </c>
      <c r="O824" s="72" t="n"/>
      <c r="S824" s="4" t="n"/>
    </row>
    <row r="825">
      <c r="A825" s="74" t="n"/>
      <c r="B825" s="72" t="n"/>
      <c r="C825" s="75" t="n"/>
      <c r="D825" s="75" t="n"/>
      <c r="E825" s="75" t="n"/>
      <c r="F825" s="75" t="n"/>
      <c r="G825" s="75" t="n"/>
      <c r="H825" s="76">
        <f>IFERROR(__xludf.DUMMYFUNCTION("""COMPUTED_VALUE"""),"")</f>
        <v/>
      </c>
      <c r="I825" s="75" t="n"/>
      <c r="J825" s="77">
        <f>IFERROR(__xludf.DUMMYFUNCTION("""COMPUTED_VALUE"""),0.0)</f>
        <v/>
      </c>
      <c r="K825" s="4">
        <f>IFERROR(__xludf.DUMMYFUNCTION("""COMPUTED_VALUE"""),0.0)</f>
        <v/>
      </c>
      <c r="L825" s="77">
        <f>IFERROR(__xludf.DUMMYFUNCTION("""COMPUTED_VALUE"""),0.0)</f>
        <v/>
      </c>
      <c r="O825" s="72" t="n"/>
      <c r="S825" s="4" t="n"/>
    </row>
    <row r="826">
      <c r="A826" s="74" t="n"/>
      <c r="B826" s="72" t="n"/>
      <c r="C826" s="75" t="n"/>
      <c r="D826" s="75" t="n"/>
      <c r="E826" s="75" t="n"/>
      <c r="F826" s="75" t="n"/>
      <c r="G826" s="75" t="n"/>
      <c r="H826" s="76">
        <f>IFERROR(__xludf.DUMMYFUNCTION("""COMPUTED_VALUE"""),"")</f>
        <v/>
      </c>
      <c r="I826" s="75" t="n"/>
      <c r="J826" s="77">
        <f>IFERROR(__xludf.DUMMYFUNCTION("""COMPUTED_VALUE"""),0.0)</f>
        <v/>
      </c>
      <c r="K826" s="4">
        <f>IFERROR(__xludf.DUMMYFUNCTION("""COMPUTED_VALUE"""),0.0)</f>
        <v/>
      </c>
      <c r="L826" s="77">
        <f>IFERROR(__xludf.DUMMYFUNCTION("""COMPUTED_VALUE"""),0.0)</f>
        <v/>
      </c>
      <c r="O826" s="72" t="n"/>
      <c r="S826" s="4" t="n"/>
    </row>
    <row r="827">
      <c r="A827" s="74" t="n"/>
      <c r="B827" s="72" t="n"/>
      <c r="C827" s="75" t="n"/>
      <c r="D827" s="75" t="n"/>
      <c r="E827" s="75" t="n"/>
      <c r="F827" s="75" t="n"/>
      <c r="G827" s="75" t="n"/>
      <c r="H827" s="76">
        <f>IFERROR(__xludf.DUMMYFUNCTION("""COMPUTED_VALUE"""),"")</f>
        <v/>
      </c>
      <c r="I827" s="75" t="n"/>
      <c r="J827" s="77">
        <f>IFERROR(__xludf.DUMMYFUNCTION("""COMPUTED_VALUE"""),0.0)</f>
        <v/>
      </c>
      <c r="K827" s="4">
        <f>IFERROR(__xludf.DUMMYFUNCTION("""COMPUTED_VALUE"""),0.0)</f>
        <v/>
      </c>
      <c r="L827" s="77">
        <f>IFERROR(__xludf.DUMMYFUNCTION("""COMPUTED_VALUE"""),0.0)</f>
        <v/>
      </c>
      <c r="O827" s="72" t="n"/>
      <c r="S827" s="4" t="n"/>
    </row>
    <row r="828">
      <c r="A828" s="74" t="n"/>
      <c r="B828" s="72" t="n"/>
      <c r="C828" s="75" t="n"/>
      <c r="D828" s="75" t="n"/>
      <c r="E828" s="75" t="n"/>
      <c r="F828" s="75" t="n"/>
      <c r="G828" s="75" t="n"/>
      <c r="H828" s="76">
        <f>IFERROR(__xludf.DUMMYFUNCTION("""COMPUTED_VALUE"""),"")</f>
        <v/>
      </c>
      <c r="I828" s="75" t="n"/>
      <c r="J828" s="77">
        <f>IFERROR(__xludf.DUMMYFUNCTION("""COMPUTED_VALUE"""),0.0)</f>
        <v/>
      </c>
      <c r="K828" s="4">
        <f>IFERROR(__xludf.DUMMYFUNCTION("""COMPUTED_VALUE"""),0.0)</f>
        <v/>
      </c>
      <c r="L828" s="77">
        <f>IFERROR(__xludf.DUMMYFUNCTION("""COMPUTED_VALUE"""),0.0)</f>
        <v/>
      </c>
      <c r="O828" s="72" t="n"/>
      <c r="S828" s="4" t="n"/>
    </row>
    <row r="829">
      <c r="A829" s="74" t="n"/>
      <c r="B829" s="72" t="n"/>
      <c r="C829" s="75" t="n"/>
      <c r="D829" s="75" t="n"/>
      <c r="E829" s="75" t="n"/>
      <c r="F829" s="75" t="n"/>
      <c r="G829" s="75" t="n"/>
      <c r="H829" s="76">
        <f>IFERROR(__xludf.DUMMYFUNCTION("""COMPUTED_VALUE"""),"")</f>
        <v/>
      </c>
      <c r="I829" s="75" t="n"/>
      <c r="J829" s="77">
        <f>IFERROR(__xludf.DUMMYFUNCTION("""COMPUTED_VALUE"""),0.0)</f>
        <v/>
      </c>
      <c r="K829" s="4">
        <f>IFERROR(__xludf.DUMMYFUNCTION("""COMPUTED_VALUE"""),0.0)</f>
        <v/>
      </c>
      <c r="L829" s="77">
        <f>IFERROR(__xludf.DUMMYFUNCTION("""COMPUTED_VALUE"""),0.0)</f>
        <v/>
      </c>
      <c r="O829" s="72" t="n"/>
      <c r="S829" s="4" t="n"/>
    </row>
    <row r="830">
      <c r="A830" s="74" t="n"/>
      <c r="B830" s="72" t="n"/>
      <c r="C830" s="75" t="n"/>
      <c r="D830" s="75" t="n"/>
      <c r="E830" s="75" t="n"/>
      <c r="F830" s="75" t="n"/>
      <c r="G830" s="75" t="n"/>
      <c r="H830" s="76">
        <f>IFERROR(__xludf.DUMMYFUNCTION("""COMPUTED_VALUE"""),"")</f>
        <v/>
      </c>
      <c r="I830" s="75" t="n"/>
      <c r="J830" s="77">
        <f>IFERROR(__xludf.DUMMYFUNCTION("""COMPUTED_VALUE"""),0.0)</f>
        <v/>
      </c>
      <c r="K830" s="4">
        <f>IFERROR(__xludf.DUMMYFUNCTION("""COMPUTED_VALUE"""),0.0)</f>
        <v/>
      </c>
      <c r="L830" s="77">
        <f>IFERROR(__xludf.DUMMYFUNCTION("""COMPUTED_VALUE"""),0.0)</f>
        <v/>
      </c>
      <c r="O830" s="72" t="n"/>
      <c r="S830" s="4" t="n"/>
    </row>
    <row r="831">
      <c r="A831" s="74" t="n"/>
      <c r="B831" s="72" t="n"/>
      <c r="C831" s="75" t="n"/>
      <c r="D831" s="75" t="n"/>
      <c r="E831" s="75" t="n"/>
      <c r="F831" s="75" t="n"/>
      <c r="G831" s="75" t="n"/>
      <c r="H831" s="76">
        <f>IFERROR(__xludf.DUMMYFUNCTION("""COMPUTED_VALUE"""),"")</f>
        <v/>
      </c>
      <c r="I831" s="75" t="n"/>
      <c r="J831" s="77">
        <f>IFERROR(__xludf.DUMMYFUNCTION("""COMPUTED_VALUE"""),0.0)</f>
        <v/>
      </c>
      <c r="K831" s="4">
        <f>IFERROR(__xludf.DUMMYFUNCTION("""COMPUTED_VALUE"""),0.0)</f>
        <v/>
      </c>
      <c r="L831" s="77">
        <f>IFERROR(__xludf.DUMMYFUNCTION("""COMPUTED_VALUE"""),0.0)</f>
        <v/>
      </c>
      <c r="O831" s="72" t="n"/>
      <c r="S831" s="4" t="n"/>
    </row>
    <row r="832">
      <c r="A832" s="74" t="n"/>
      <c r="B832" s="72" t="n"/>
      <c r="C832" s="75" t="n"/>
      <c r="D832" s="75" t="n"/>
      <c r="E832" s="75" t="n"/>
      <c r="F832" s="75" t="n"/>
      <c r="G832" s="75" t="n"/>
      <c r="H832" s="76">
        <f>IFERROR(__xludf.DUMMYFUNCTION("""COMPUTED_VALUE"""),"")</f>
        <v/>
      </c>
      <c r="I832" s="75" t="n"/>
      <c r="J832" s="77">
        <f>IFERROR(__xludf.DUMMYFUNCTION("""COMPUTED_VALUE"""),0.0)</f>
        <v/>
      </c>
      <c r="K832" s="4">
        <f>IFERROR(__xludf.DUMMYFUNCTION("""COMPUTED_VALUE"""),0.0)</f>
        <v/>
      </c>
      <c r="L832" s="77">
        <f>IFERROR(__xludf.DUMMYFUNCTION("""COMPUTED_VALUE"""),0.0)</f>
        <v/>
      </c>
      <c r="O832" s="72" t="n"/>
      <c r="S832" s="4" t="n"/>
    </row>
    <row r="833">
      <c r="A833" s="74" t="n"/>
      <c r="B833" s="72" t="n"/>
      <c r="C833" s="75" t="n"/>
      <c r="D833" s="75" t="n"/>
      <c r="E833" s="75" t="n"/>
      <c r="F833" s="75" t="n"/>
      <c r="G833" s="75" t="n"/>
      <c r="H833" s="76">
        <f>IFERROR(__xludf.DUMMYFUNCTION("""COMPUTED_VALUE"""),"")</f>
        <v/>
      </c>
      <c r="I833" s="75" t="n"/>
      <c r="J833" s="77">
        <f>IFERROR(__xludf.DUMMYFUNCTION("""COMPUTED_VALUE"""),0.0)</f>
        <v/>
      </c>
      <c r="K833" s="4">
        <f>IFERROR(__xludf.DUMMYFUNCTION("""COMPUTED_VALUE"""),0.0)</f>
        <v/>
      </c>
      <c r="L833" s="77">
        <f>IFERROR(__xludf.DUMMYFUNCTION("""COMPUTED_VALUE"""),0.0)</f>
        <v/>
      </c>
      <c r="O833" s="72" t="n"/>
      <c r="S833" s="4" t="n"/>
    </row>
    <row r="834">
      <c r="A834" s="74" t="n"/>
      <c r="B834" s="72" t="n"/>
      <c r="C834" s="75" t="n"/>
      <c r="D834" s="75" t="n"/>
      <c r="E834" s="75" t="n"/>
      <c r="F834" s="75" t="n"/>
      <c r="G834" s="75" t="n"/>
      <c r="H834" s="76">
        <f>IFERROR(__xludf.DUMMYFUNCTION("""COMPUTED_VALUE"""),"")</f>
        <v/>
      </c>
      <c r="I834" s="75" t="n"/>
      <c r="J834" s="77">
        <f>IFERROR(__xludf.DUMMYFUNCTION("""COMPUTED_VALUE"""),0.0)</f>
        <v/>
      </c>
      <c r="K834" s="4">
        <f>IFERROR(__xludf.DUMMYFUNCTION("""COMPUTED_VALUE"""),0.0)</f>
        <v/>
      </c>
      <c r="L834" s="77">
        <f>IFERROR(__xludf.DUMMYFUNCTION("""COMPUTED_VALUE"""),0.0)</f>
        <v/>
      </c>
      <c r="O834" s="72" t="n"/>
      <c r="S834" s="4" t="n"/>
    </row>
    <row r="835">
      <c r="A835" s="74" t="n"/>
      <c r="B835" s="72" t="n"/>
      <c r="C835" s="75" t="n"/>
      <c r="D835" s="75" t="n"/>
      <c r="E835" s="75" t="n"/>
      <c r="F835" s="75" t="n"/>
      <c r="G835" s="75" t="n"/>
      <c r="H835" s="76">
        <f>IFERROR(__xludf.DUMMYFUNCTION("""COMPUTED_VALUE"""),"")</f>
        <v/>
      </c>
      <c r="I835" s="75" t="n"/>
      <c r="J835" s="77">
        <f>IFERROR(__xludf.DUMMYFUNCTION("""COMPUTED_VALUE"""),0.0)</f>
        <v/>
      </c>
      <c r="K835" s="4">
        <f>IFERROR(__xludf.DUMMYFUNCTION("""COMPUTED_VALUE"""),0.0)</f>
        <v/>
      </c>
      <c r="L835" s="77">
        <f>IFERROR(__xludf.DUMMYFUNCTION("""COMPUTED_VALUE"""),0.0)</f>
        <v/>
      </c>
      <c r="O835" s="72" t="n"/>
      <c r="S835" s="4" t="n"/>
    </row>
    <row r="836">
      <c r="A836" s="74" t="n"/>
      <c r="B836" s="72" t="n"/>
      <c r="C836" s="75" t="n"/>
      <c r="D836" s="75" t="n"/>
      <c r="E836" s="75" t="n"/>
      <c r="F836" s="75" t="n"/>
      <c r="G836" s="75" t="n"/>
      <c r="H836" s="76">
        <f>IFERROR(__xludf.DUMMYFUNCTION("""COMPUTED_VALUE"""),"")</f>
        <v/>
      </c>
      <c r="I836" s="75" t="n"/>
      <c r="J836" s="77">
        <f>IFERROR(__xludf.DUMMYFUNCTION("""COMPUTED_VALUE"""),0.0)</f>
        <v/>
      </c>
      <c r="K836" s="4">
        <f>IFERROR(__xludf.DUMMYFUNCTION("""COMPUTED_VALUE"""),0.0)</f>
        <v/>
      </c>
      <c r="L836" s="77">
        <f>IFERROR(__xludf.DUMMYFUNCTION("""COMPUTED_VALUE"""),0.0)</f>
        <v/>
      </c>
      <c r="O836" s="72" t="n"/>
      <c r="S836" s="4" t="n"/>
    </row>
    <row r="837">
      <c r="A837" s="74" t="n"/>
      <c r="B837" s="72" t="n"/>
      <c r="C837" s="75" t="n"/>
      <c r="D837" s="75" t="n"/>
      <c r="E837" s="75" t="n"/>
      <c r="F837" s="75" t="n"/>
      <c r="G837" s="75" t="n"/>
      <c r="H837" s="76">
        <f>IFERROR(__xludf.DUMMYFUNCTION("""COMPUTED_VALUE"""),"")</f>
        <v/>
      </c>
      <c r="I837" s="75" t="n"/>
      <c r="J837" s="77">
        <f>IFERROR(__xludf.DUMMYFUNCTION("""COMPUTED_VALUE"""),0.0)</f>
        <v/>
      </c>
      <c r="K837" s="4">
        <f>IFERROR(__xludf.DUMMYFUNCTION("""COMPUTED_VALUE"""),0.0)</f>
        <v/>
      </c>
      <c r="L837" s="77">
        <f>IFERROR(__xludf.DUMMYFUNCTION("""COMPUTED_VALUE"""),0.0)</f>
        <v/>
      </c>
      <c r="O837" s="72" t="n"/>
      <c r="S837" s="4" t="n"/>
    </row>
    <row r="838">
      <c r="A838" s="74" t="n"/>
      <c r="B838" s="72" t="n"/>
      <c r="C838" s="75" t="n"/>
      <c r="D838" s="75" t="n"/>
      <c r="E838" s="75" t="n"/>
      <c r="F838" s="75" t="n"/>
      <c r="G838" s="75" t="n"/>
      <c r="H838" s="76">
        <f>IFERROR(__xludf.DUMMYFUNCTION("""COMPUTED_VALUE"""),"")</f>
        <v/>
      </c>
      <c r="I838" s="75" t="n"/>
      <c r="J838" s="77">
        <f>IFERROR(__xludf.DUMMYFUNCTION("""COMPUTED_VALUE"""),0.0)</f>
        <v/>
      </c>
      <c r="K838" s="4">
        <f>IFERROR(__xludf.DUMMYFUNCTION("""COMPUTED_VALUE"""),0.0)</f>
        <v/>
      </c>
      <c r="L838" s="77">
        <f>IFERROR(__xludf.DUMMYFUNCTION("""COMPUTED_VALUE"""),0.0)</f>
        <v/>
      </c>
      <c r="O838" s="72" t="n"/>
      <c r="S838" s="4" t="n"/>
    </row>
    <row r="839">
      <c r="A839" s="74" t="n"/>
      <c r="B839" s="72" t="n"/>
      <c r="C839" s="75" t="n"/>
      <c r="D839" s="75" t="n"/>
      <c r="E839" s="75" t="n"/>
      <c r="F839" s="75" t="n"/>
      <c r="G839" s="75" t="n"/>
      <c r="H839" s="76">
        <f>IFERROR(__xludf.DUMMYFUNCTION("""COMPUTED_VALUE"""),"")</f>
        <v/>
      </c>
      <c r="I839" s="75" t="n"/>
      <c r="J839" s="77">
        <f>IFERROR(__xludf.DUMMYFUNCTION("""COMPUTED_VALUE"""),0.0)</f>
        <v/>
      </c>
      <c r="K839" s="4">
        <f>IFERROR(__xludf.DUMMYFUNCTION("""COMPUTED_VALUE"""),0.0)</f>
        <v/>
      </c>
      <c r="L839" s="77">
        <f>IFERROR(__xludf.DUMMYFUNCTION("""COMPUTED_VALUE"""),0.0)</f>
        <v/>
      </c>
      <c r="O839" s="72" t="n"/>
      <c r="S839" s="4" t="n"/>
    </row>
    <row r="840">
      <c r="A840" s="74" t="n"/>
      <c r="B840" s="72" t="n"/>
      <c r="C840" s="75" t="n"/>
      <c r="D840" s="75" t="n"/>
      <c r="E840" s="75" t="n"/>
      <c r="F840" s="75" t="n"/>
      <c r="G840" s="75" t="n"/>
      <c r="H840" s="76">
        <f>IFERROR(__xludf.DUMMYFUNCTION("""COMPUTED_VALUE"""),"")</f>
        <v/>
      </c>
      <c r="I840" s="75" t="n"/>
      <c r="J840" s="77">
        <f>IFERROR(__xludf.DUMMYFUNCTION("""COMPUTED_VALUE"""),0.0)</f>
        <v/>
      </c>
      <c r="K840" s="4">
        <f>IFERROR(__xludf.DUMMYFUNCTION("""COMPUTED_VALUE"""),0.0)</f>
        <v/>
      </c>
      <c r="L840" s="77">
        <f>IFERROR(__xludf.DUMMYFUNCTION("""COMPUTED_VALUE"""),0.0)</f>
        <v/>
      </c>
      <c r="O840" s="72" t="n"/>
      <c r="S840" s="4" t="n"/>
    </row>
    <row r="841">
      <c r="A841" s="74" t="n"/>
      <c r="B841" s="72" t="n"/>
      <c r="C841" s="75" t="n"/>
      <c r="D841" s="75" t="n"/>
      <c r="E841" s="75" t="n"/>
      <c r="F841" s="75" t="n"/>
      <c r="G841" s="75" t="n"/>
      <c r="H841" s="76">
        <f>IFERROR(__xludf.DUMMYFUNCTION("""COMPUTED_VALUE"""),"")</f>
        <v/>
      </c>
      <c r="I841" s="75" t="n"/>
      <c r="J841" s="77">
        <f>IFERROR(__xludf.DUMMYFUNCTION("""COMPUTED_VALUE"""),0.0)</f>
        <v/>
      </c>
      <c r="K841" s="4">
        <f>IFERROR(__xludf.DUMMYFUNCTION("""COMPUTED_VALUE"""),0.0)</f>
        <v/>
      </c>
      <c r="L841" s="77">
        <f>IFERROR(__xludf.DUMMYFUNCTION("""COMPUTED_VALUE"""),0.0)</f>
        <v/>
      </c>
      <c r="O841" s="72" t="n"/>
      <c r="S841" s="4" t="n"/>
    </row>
    <row r="842">
      <c r="A842" s="74" t="n"/>
      <c r="B842" s="72" t="n"/>
      <c r="C842" s="75" t="n"/>
      <c r="D842" s="75" t="n"/>
      <c r="E842" s="75" t="n"/>
      <c r="F842" s="75" t="n"/>
      <c r="G842" s="75" t="n"/>
      <c r="H842" s="76">
        <f>IFERROR(__xludf.DUMMYFUNCTION("""COMPUTED_VALUE"""),"")</f>
        <v/>
      </c>
      <c r="I842" s="75" t="n"/>
      <c r="J842" s="77">
        <f>IFERROR(__xludf.DUMMYFUNCTION("""COMPUTED_VALUE"""),0.0)</f>
        <v/>
      </c>
      <c r="K842" s="4">
        <f>IFERROR(__xludf.DUMMYFUNCTION("""COMPUTED_VALUE"""),0.0)</f>
        <v/>
      </c>
      <c r="L842" s="77">
        <f>IFERROR(__xludf.DUMMYFUNCTION("""COMPUTED_VALUE"""),0.0)</f>
        <v/>
      </c>
      <c r="O842" s="72" t="n"/>
      <c r="S842" s="4" t="n"/>
    </row>
    <row r="843">
      <c r="A843" s="74" t="n"/>
      <c r="B843" s="72" t="n"/>
      <c r="C843" s="75" t="n"/>
      <c r="D843" s="75" t="n"/>
      <c r="E843" s="75" t="n"/>
      <c r="F843" s="75" t="n"/>
      <c r="G843" s="75" t="n"/>
      <c r="H843" s="76">
        <f>IFERROR(__xludf.DUMMYFUNCTION("""COMPUTED_VALUE"""),"")</f>
        <v/>
      </c>
      <c r="I843" s="75" t="n"/>
      <c r="J843" s="77">
        <f>IFERROR(__xludf.DUMMYFUNCTION("""COMPUTED_VALUE"""),0.0)</f>
        <v/>
      </c>
      <c r="K843" s="4">
        <f>IFERROR(__xludf.DUMMYFUNCTION("""COMPUTED_VALUE"""),0.0)</f>
        <v/>
      </c>
      <c r="L843" s="77">
        <f>IFERROR(__xludf.DUMMYFUNCTION("""COMPUTED_VALUE"""),0.0)</f>
        <v/>
      </c>
      <c r="O843" s="72" t="n"/>
      <c r="S843" s="4" t="n"/>
    </row>
    <row r="844">
      <c r="A844" s="74" t="n"/>
      <c r="B844" s="72" t="n"/>
      <c r="C844" s="75" t="n"/>
      <c r="D844" s="75" t="n"/>
      <c r="E844" s="75" t="n"/>
      <c r="F844" s="75" t="n"/>
      <c r="G844" s="75" t="n"/>
      <c r="H844" s="76">
        <f>IFERROR(__xludf.DUMMYFUNCTION("""COMPUTED_VALUE"""),"")</f>
        <v/>
      </c>
      <c r="I844" s="75" t="n"/>
      <c r="J844" s="77">
        <f>IFERROR(__xludf.DUMMYFUNCTION("""COMPUTED_VALUE"""),0.0)</f>
        <v/>
      </c>
      <c r="K844" s="4">
        <f>IFERROR(__xludf.DUMMYFUNCTION("""COMPUTED_VALUE"""),0.0)</f>
        <v/>
      </c>
      <c r="L844" s="77">
        <f>IFERROR(__xludf.DUMMYFUNCTION("""COMPUTED_VALUE"""),0.0)</f>
        <v/>
      </c>
      <c r="O844" s="72" t="n"/>
      <c r="S844" s="4" t="n"/>
    </row>
    <row r="845">
      <c r="A845" s="74" t="n"/>
      <c r="B845" s="72" t="n"/>
      <c r="C845" s="75" t="n"/>
      <c r="D845" s="75" t="n"/>
      <c r="E845" s="75" t="n"/>
      <c r="F845" s="75" t="n"/>
      <c r="G845" s="75" t="n"/>
      <c r="H845" s="76">
        <f>IFERROR(__xludf.DUMMYFUNCTION("""COMPUTED_VALUE"""),"")</f>
        <v/>
      </c>
      <c r="I845" s="75" t="n"/>
      <c r="J845" s="77">
        <f>IFERROR(__xludf.DUMMYFUNCTION("""COMPUTED_VALUE"""),0.0)</f>
        <v/>
      </c>
      <c r="K845" s="4">
        <f>IFERROR(__xludf.DUMMYFUNCTION("""COMPUTED_VALUE"""),0.0)</f>
        <v/>
      </c>
      <c r="L845" s="77">
        <f>IFERROR(__xludf.DUMMYFUNCTION("""COMPUTED_VALUE"""),0.0)</f>
        <v/>
      </c>
      <c r="O845" s="72" t="n"/>
      <c r="S845" s="4" t="n"/>
    </row>
    <row r="846">
      <c r="A846" s="74" t="n"/>
      <c r="B846" s="72" t="n"/>
      <c r="C846" s="75" t="n"/>
      <c r="D846" s="75" t="n"/>
      <c r="E846" s="75" t="n"/>
      <c r="F846" s="75" t="n"/>
      <c r="G846" s="75" t="n"/>
      <c r="H846" s="76">
        <f>IFERROR(__xludf.DUMMYFUNCTION("""COMPUTED_VALUE"""),"")</f>
        <v/>
      </c>
      <c r="I846" s="75" t="n"/>
      <c r="J846" s="77">
        <f>IFERROR(__xludf.DUMMYFUNCTION("""COMPUTED_VALUE"""),0.0)</f>
        <v/>
      </c>
      <c r="K846" s="4">
        <f>IFERROR(__xludf.DUMMYFUNCTION("""COMPUTED_VALUE"""),0.0)</f>
        <v/>
      </c>
      <c r="L846" s="77">
        <f>IFERROR(__xludf.DUMMYFUNCTION("""COMPUTED_VALUE"""),0.0)</f>
        <v/>
      </c>
      <c r="O846" s="72" t="n"/>
      <c r="S846" s="4" t="n"/>
    </row>
    <row r="847">
      <c r="A847" s="74" t="n"/>
      <c r="B847" s="72" t="n"/>
      <c r="C847" s="75" t="n"/>
      <c r="D847" s="75" t="n"/>
      <c r="E847" s="75" t="n"/>
      <c r="F847" s="75" t="n"/>
      <c r="G847" s="75" t="n"/>
      <c r="H847" s="76">
        <f>IFERROR(__xludf.DUMMYFUNCTION("""COMPUTED_VALUE"""),"")</f>
        <v/>
      </c>
      <c r="I847" s="75" t="n"/>
      <c r="J847" s="77">
        <f>IFERROR(__xludf.DUMMYFUNCTION("""COMPUTED_VALUE"""),0.0)</f>
        <v/>
      </c>
      <c r="K847" s="4">
        <f>IFERROR(__xludf.DUMMYFUNCTION("""COMPUTED_VALUE"""),0.0)</f>
        <v/>
      </c>
      <c r="L847" s="77">
        <f>IFERROR(__xludf.DUMMYFUNCTION("""COMPUTED_VALUE"""),0.0)</f>
        <v/>
      </c>
      <c r="O847" s="72" t="n"/>
      <c r="S847" s="4" t="n"/>
    </row>
    <row r="848">
      <c r="A848" s="74" t="n"/>
      <c r="B848" s="72" t="n"/>
      <c r="C848" s="75" t="n"/>
      <c r="D848" s="75" t="n"/>
      <c r="E848" s="75" t="n"/>
      <c r="F848" s="75" t="n"/>
      <c r="G848" s="75" t="n"/>
      <c r="H848" s="76">
        <f>IFERROR(__xludf.DUMMYFUNCTION("""COMPUTED_VALUE"""),"")</f>
        <v/>
      </c>
      <c r="I848" s="75" t="n"/>
      <c r="J848" s="77">
        <f>IFERROR(__xludf.DUMMYFUNCTION("""COMPUTED_VALUE"""),0.0)</f>
        <v/>
      </c>
      <c r="K848" s="4">
        <f>IFERROR(__xludf.DUMMYFUNCTION("""COMPUTED_VALUE"""),0.0)</f>
        <v/>
      </c>
      <c r="L848" s="77">
        <f>IFERROR(__xludf.DUMMYFUNCTION("""COMPUTED_VALUE"""),0.0)</f>
        <v/>
      </c>
      <c r="O848" s="72" t="n"/>
      <c r="S848" s="4" t="n"/>
    </row>
    <row r="849">
      <c r="A849" s="74" t="n"/>
      <c r="B849" s="72" t="n"/>
      <c r="C849" s="75" t="n"/>
      <c r="D849" s="75" t="n"/>
      <c r="E849" s="75" t="n"/>
      <c r="F849" s="75" t="n"/>
      <c r="G849" s="75" t="n"/>
      <c r="H849" s="76">
        <f>IFERROR(__xludf.DUMMYFUNCTION("""COMPUTED_VALUE"""),"")</f>
        <v/>
      </c>
      <c r="I849" s="75" t="n"/>
      <c r="J849" s="77">
        <f>IFERROR(__xludf.DUMMYFUNCTION("""COMPUTED_VALUE"""),0.0)</f>
        <v/>
      </c>
      <c r="K849" s="4">
        <f>IFERROR(__xludf.DUMMYFUNCTION("""COMPUTED_VALUE"""),0.0)</f>
        <v/>
      </c>
      <c r="L849" s="77">
        <f>IFERROR(__xludf.DUMMYFUNCTION("""COMPUTED_VALUE"""),0.0)</f>
        <v/>
      </c>
      <c r="O849" s="72" t="n"/>
      <c r="S849" s="4" t="n"/>
    </row>
    <row r="850">
      <c r="A850" s="74" t="n"/>
      <c r="B850" s="72" t="n"/>
      <c r="C850" s="75" t="n"/>
      <c r="D850" s="75" t="n"/>
      <c r="E850" s="75" t="n"/>
      <c r="F850" s="75" t="n"/>
      <c r="G850" s="75" t="n"/>
      <c r="H850" s="76">
        <f>IFERROR(__xludf.DUMMYFUNCTION("""COMPUTED_VALUE"""),"")</f>
        <v/>
      </c>
      <c r="I850" s="75" t="n"/>
      <c r="J850" s="77">
        <f>IFERROR(__xludf.DUMMYFUNCTION("""COMPUTED_VALUE"""),0.0)</f>
        <v/>
      </c>
      <c r="K850" s="4">
        <f>IFERROR(__xludf.DUMMYFUNCTION("""COMPUTED_VALUE"""),0.0)</f>
        <v/>
      </c>
      <c r="L850" s="77">
        <f>IFERROR(__xludf.DUMMYFUNCTION("""COMPUTED_VALUE"""),0.0)</f>
        <v/>
      </c>
      <c r="O850" s="72" t="n"/>
      <c r="S850" s="4" t="n"/>
    </row>
    <row r="851">
      <c r="A851" s="74" t="n"/>
      <c r="B851" s="72" t="n"/>
      <c r="C851" s="75" t="n"/>
      <c r="D851" s="75" t="n"/>
      <c r="E851" s="75" t="n"/>
      <c r="F851" s="75" t="n"/>
      <c r="G851" s="75" t="n"/>
      <c r="H851" s="76">
        <f>IFERROR(__xludf.DUMMYFUNCTION("""COMPUTED_VALUE"""),"")</f>
        <v/>
      </c>
      <c r="I851" s="75" t="n"/>
      <c r="J851" s="77">
        <f>IFERROR(__xludf.DUMMYFUNCTION("""COMPUTED_VALUE"""),0.0)</f>
        <v/>
      </c>
      <c r="K851" s="4">
        <f>IFERROR(__xludf.DUMMYFUNCTION("""COMPUTED_VALUE"""),0.0)</f>
        <v/>
      </c>
      <c r="L851" s="77">
        <f>IFERROR(__xludf.DUMMYFUNCTION("""COMPUTED_VALUE"""),0.0)</f>
        <v/>
      </c>
      <c r="O851" s="72" t="n"/>
      <c r="S851" s="4" t="n"/>
    </row>
    <row r="852">
      <c r="A852" s="74" t="n"/>
      <c r="B852" s="72" t="n"/>
      <c r="C852" s="75" t="n"/>
      <c r="D852" s="75" t="n"/>
      <c r="E852" s="75" t="n"/>
      <c r="F852" s="75" t="n"/>
      <c r="G852" s="75" t="n"/>
      <c r="H852" s="76">
        <f>IFERROR(__xludf.DUMMYFUNCTION("""COMPUTED_VALUE"""),"")</f>
        <v/>
      </c>
      <c r="I852" s="75" t="n"/>
      <c r="J852" s="77">
        <f>IFERROR(__xludf.DUMMYFUNCTION("""COMPUTED_VALUE"""),0.0)</f>
        <v/>
      </c>
      <c r="K852" s="4">
        <f>IFERROR(__xludf.DUMMYFUNCTION("""COMPUTED_VALUE"""),0.0)</f>
        <v/>
      </c>
      <c r="L852" s="77">
        <f>IFERROR(__xludf.DUMMYFUNCTION("""COMPUTED_VALUE"""),0.0)</f>
        <v/>
      </c>
      <c r="O852" s="72" t="n"/>
      <c r="S852" s="4" t="n"/>
    </row>
    <row r="853">
      <c r="A853" s="74" t="n"/>
      <c r="B853" s="72" t="n"/>
      <c r="C853" s="75" t="n"/>
      <c r="D853" s="75" t="n"/>
      <c r="E853" s="75" t="n"/>
      <c r="F853" s="75" t="n"/>
      <c r="G853" s="75" t="n"/>
      <c r="H853" s="76">
        <f>IFERROR(__xludf.DUMMYFUNCTION("""COMPUTED_VALUE"""),"")</f>
        <v/>
      </c>
      <c r="I853" s="75" t="n"/>
      <c r="J853" s="77">
        <f>IFERROR(__xludf.DUMMYFUNCTION("""COMPUTED_VALUE"""),0.0)</f>
        <v/>
      </c>
      <c r="K853" s="4">
        <f>IFERROR(__xludf.DUMMYFUNCTION("""COMPUTED_VALUE"""),0.0)</f>
        <v/>
      </c>
      <c r="L853" s="77">
        <f>IFERROR(__xludf.DUMMYFUNCTION("""COMPUTED_VALUE"""),0.0)</f>
        <v/>
      </c>
      <c r="O853" s="72" t="n"/>
      <c r="S853" s="4" t="n"/>
    </row>
    <row r="854">
      <c r="A854" s="74" t="n"/>
      <c r="B854" s="72" t="n"/>
      <c r="C854" s="75" t="n"/>
      <c r="D854" s="75" t="n"/>
      <c r="E854" s="75" t="n"/>
      <c r="F854" s="75" t="n"/>
      <c r="G854" s="75" t="n"/>
      <c r="H854" s="76">
        <f>IFERROR(__xludf.DUMMYFUNCTION("""COMPUTED_VALUE"""),"")</f>
        <v/>
      </c>
      <c r="I854" s="75" t="n"/>
      <c r="J854" s="77">
        <f>IFERROR(__xludf.DUMMYFUNCTION("""COMPUTED_VALUE"""),0.0)</f>
        <v/>
      </c>
      <c r="K854" s="4">
        <f>IFERROR(__xludf.DUMMYFUNCTION("""COMPUTED_VALUE"""),0.0)</f>
        <v/>
      </c>
      <c r="L854" s="77">
        <f>IFERROR(__xludf.DUMMYFUNCTION("""COMPUTED_VALUE"""),0.0)</f>
        <v/>
      </c>
      <c r="O854" s="72" t="n"/>
      <c r="S854" s="4" t="n"/>
    </row>
    <row r="855">
      <c r="A855" s="74" t="n"/>
      <c r="B855" s="72" t="n"/>
      <c r="C855" s="75" t="n"/>
      <c r="D855" s="75" t="n"/>
      <c r="E855" s="75" t="n"/>
      <c r="F855" s="75" t="n"/>
      <c r="G855" s="75" t="n"/>
      <c r="H855" s="76">
        <f>IFERROR(__xludf.DUMMYFUNCTION("""COMPUTED_VALUE"""),"")</f>
        <v/>
      </c>
      <c r="I855" s="75" t="n"/>
      <c r="J855" s="77">
        <f>IFERROR(__xludf.DUMMYFUNCTION("""COMPUTED_VALUE"""),0.0)</f>
        <v/>
      </c>
      <c r="K855" s="4">
        <f>IFERROR(__xludf.DUMMYFUNCTION("""COMPUTED_VALUE"""),0.0)</f>
        <v/>
      </c>
      <c r="L855" s="77">
        <f>IFERROR(__xludf.DUMMYFUNCTION("""COMPUTED_VALUE"""),0.0)</f>
        <v/>
      </c>
      <c r="O855" s="72" t="n"/>
      <c r="S855" s="4" t="n"/>
    </row>
    <row r="856">
      <c r="A856" s="74" t="n"/>
      <c r="B856" s="72" t="n"/>
      <c r="C856" s="75" t="n"/>
      <c r="D856" s="75" t="n"/>
      <c r="E856" s="75" t="n"/>
      <c r="F856" s="75" t="n"/>
      <c r="G856" s="75" t="n"/>
      <c r="H856" s="76">
        <f>IFERROR(__xludf.DUMMYFUNCTION("""COMPUTED_VALUE"""),"")</f>
        <v/>
      </c>
      <c r="I856" s="75" t="n"/>
      <c r="J856" s="77">
        <f>IFERROR(__xludf.DUMMYFUNCTION("""COMPUTED_VALUE"""),0.0)</f>
        <v/>
      </c>
      <c r="K856" s="4">
        <f>IFERROR(__xludf.DUMMYFUNCTION("""COMPUTED_VALUE"""),0.0)</f>
        <v/>
      </c>
      <c r="L856" s="77">
        <f>IFERROR(__xludf.DUMMYFUNCTION("""COMPUTED_VALUE"""),0.0)</f>
        <v/>
      </c>
      <c r="O856" s="72" t="n"/>
      <c r="S856" s="4" t="n"/>
    </row>
    <row r="857">
      <c r="A857" s="74" t="n"/>
      <c r="B857" s="72" t="n"/>
      <c r="C857" s="75" t="n"/>
      <c r="D857" s="75" t="n"/>
      <c r="E857" s="75" t="n"/>
      <c r="F857" s="75" t="n"/>
      <c r="G857" s="75" t="n"/>
      <c r="H857" s="76">
        <f>IFERROR(__xludf.DUMMYFUNCTION("""COMPUTED_VALUE"""),"")</f>
        <v/>
      </c>
      <c r="I857" s="75" t="n"/>
      <c r="J857" s="77">
        <f>IFERROR(__xludf.DUMMYFUNCTION("""COMPUTED_VALUE"""),0.0)</f>
        <v/>
      </c>
      <c r="K857" s="4">
        <f>IFERROR(__xludf.DUMMYFUNCTION("""COMPUTED_VALUE"""),0.0)</f>
        <v/>
      </c>
      <c r="L857" s="77">
        <f>IFERROR(__xludf.DUMMYFUNCTION("""COMPUTED_VALUE"""),0.0)</f>
        <v/>
      </c>
      <c r="O857" s="72" t="n"/>
      <c r="S857" s="4" t="n"/>
    </row>
    <row r="858">
      <c r="A858" s="74" t="n"/>
      <c r="B858" s="72" t="n"/>
      <c r="C858" s="75" t="n"/>
      <c r="D858" s="75" t="n"/>
      <c r="E858" s="75" t="n"/>
      <c r="F858" s="75" t="n"/>
      <c r="G858" s="75" t="n"/>
      <c r="H858" s="76">
        <f>IFERROR(__xludf.DUMMYFUNCTION("""COMPUTED_VALUE"""),"")</f>
        <v/>
      </c>
      <c r="I858" s="75" t="n"/>
      <c r="J858" s="77">
        <f>IFERROR(__xludf.DUMMYFUNCTION("""COMPUTED_VALUE"""),0.0)</f>
        <v/>
      </c>
      <c r="K858" s="4">
        <f>IFERROR(__xludf.DUMMYFUNCTION("""COMPUTED_VALUE"""),0.0)</f>
        <v/>
      </c>
      <c r="L858" s="77">
        <f>IFERROR(__xludf.DUMMYFUNCTION("""COMPUTED_VALUE"""),0.0)</f>
        <v/>
      </c>
      <c r="O858" s="72" t="n"/>
      <c r="S858" s="4" t="n"/>
    </row>
    <row r="859">
      <c r="A859" s="74" t="n"/>
      <c r="B859" s="72" t="n"/>
      <c r="C859" s="75" t="n"/>
      <c r="D859" s="75" t="n"/>
      <c r="E859" s="75" t="n"/>
      <c r="F859" s="75" t="n"/>
      <c r="G859" s="75" t="n"/>
      <c r="H859" s="76">
        <f>IFERROR(__xludf.DUMMYFUNCTION("""COMPUTED_VALUE"""),"")</f>
        <v/>
      </c>
      <c r="I859" s="75" t="n"/>
      <c r="J859" s="77">
        <f>IFERROR(__xludf.DUMMYFUNCTION("""COMPUTED_VALUE"""),0.0)</f>
        <v/>
      </c>
      <c r="K859" s="4">
        <f>IFERROR(__xludf.DUMMYFUNCTION("""COMPUTED_VALUE"""),0.0)</f>
        <v/>
      </c>
      <c r="L859" s="77">
        <f>IFERROR(__xludf.DUMMYFUNCTION("""COMPUTED_VALUE"""),0.0)</f>
        <v/>
      </c>
      <c r="O859" s="72" t="n"/>
      <c r="S859" s="4" t="n"/>
    </row>
    <row r="860">
      <c r="A860" s="74" t="n"/>
      <c r="B860" s="72" t="n"/>
      <c r="C860" s="75" t="n"/>
      <c r="D860" s="75" t="n"/>
      <c r="E860" s="75" t="n"/>
      <c r="F860" s="75" t="n"/>
      <c r="G860" s="75" t="n"/>
      <c r="H860" s="76">
        <f>IFERROR(__xludf.DUMMYFUNCTION("""COMPUTED_VALUE"""),"")</f>
        <v/>
      </c>
      <c r="I860" s="75" t="n"/>
      <c r="J860" s="77">
        <f>IFERROR(__xludf.DUMMYFUNCTION("""COMPUTED_VALUE"""),0.0)</f>
        <v/>
      </c>
      <c r="K860" s="4">
        <f>IFERROR(__xludf.DUMMYFUNCTION("""COMPUTED_VALUE"""),0.0)</f>
        <v/>
      </c>
      <c r="L860" s="77">
        <f>IFERROR(__xludf.DUMMYFUNCTION("""COMPUTED_VALUE"""),0.0)</f>
        <v/>
      </c>
      <c r="O860" s="72" t="n"/>
      <c r="S860" s="4" t="n"/>
    </row>
    <row r="861">
      <c r="A861" s="74" t="n"/>
      <c r="B861" s="72" t="n"/>
      <c r="C861" s="75" t="n"/>
      <c r="D861" s="75" t="n"/>
      <c r="E861" s="75" t="n"/>
      <c r="F861" s="75" t="n"/>
      <c r="G861" s="75" t="n"/>
      <c r="H861" s="76">
        <f>IFERROR(__xludf.DUMMYFUNCTION("""COMPUTED_VALUE"""),"")</f>
        <v/>
      </c>
      <c r="I861" s="75" t="n"/>
      <c r="J861" s="77">
        <f>IFERROR(__xludf.DUMMYFUNCTION("""COMPUTED_VALUE"""),0.0)</f>
        <v/>
      </c>
      <c r="K861" s="4">
        <f>IFERROR(__xludf.DUMMYFUNCTION("""COMPUTED_VALUE"""),0.0)</f>
        <v/>
      </c>
      <c r="L861" s="77">
        <f>IFERROR(__xludf.DUMMYFUNCTION("""COMPUTED_VALUE"""),0.0)</f>
        <v/>
      </c>
      <c r="O861" s="72" t="n"/>
      <c r="S861" s="4" t="n"/>
    </row>
    <row r="862">
      <c r="A862" s="74" t="n"/>
      <c r="B862" s="72" t="n"/>
      <c r="C862" s="75" t="n"/>
      <c r="D862" s="75" t="n"/>
      <c r="E862" s="75" t="n"/>
      <c r="F862" s="75" t="n"/>
      <c r="G862" s="75" t="n"/>
      <c r="H862" s="76">
        <f>IFERROR(__xludf.DUMMYFUNCTION("""COMPUTED_VALUE"""),"")</f>
        <v/>
      </c>
      <c r="I862" s="75" t="n"/>
      <c r="J862" s="77">
        <f>IFERROR(__xludf.DUMMYFUNCTION("""COMPUTED_VALUE"""),0.0)</f>
        <v/>
      </c>
      <c r="K862" s="4">
        <f>IFERROR(__xludf.DUMMYFUNCTION("""COMPUTED_VALUE"""),0.0)</f>
        <v/>
      </c>
      <c r="L862" s="77">
        <f>IFERROR(__xludf.DUMMYFUNCTION("""COMPUTED_VALUE"""),0.0)</f>
        <v/>
      </c>
      <c r="O862" s="72" t="n"/>
      <c r="S862" s="4" t="n"/>
    </row>
    <row r="863">
      <c r="A863" s="74" t="n"/>
      <c r="B863" s="72" t="n"/>
      <c r="C863" s="75" t="n"/>
      <c r="D863" s="75" t="n"/>
      <c r="E863" s="75" t="n"/>
      <c r="F863" s="75" t="n"/>
      <c r="G863" s="75" t="n"/>
      <c r="H863" s="76">
        <f>IFERROR(__xludf.DUMMYFUNCTION("""COMPUTED_VALUE"""),"")</f>
        <v/>
      </c>
      <c r="I863" s="75" t="n"/>
      <c r="J863" s="77">
        <f>IFERROR(__xludf.DUMMYFUNCTION("""COMPUTED_VALUE"""),0.0)</f>
        <v/>
      </c>
      <c r="K863" s="4">
        <f>IFERROR(__xludf.DUMMYFUNCTION("""COMPUTED_VALUE"""),0.0)</f>
        <v/>
      </c>
      <c r="L863" s="77">
        <f>IFERROR(__xludf.DUMMYFUNCTION("""COMPUTED_VALUE"""),0.0)</f>
        <v/>
      </c>
      <c r="O863" s="72" t="n"/>
      <c r="S863" s="4" t="n"/>
    </row>
    <row r="864">
      <c r="A864" s="74" t="n"/>
      <c r="B864" s="72" t="n"/>
      <c r="C864" s="75" t="n"/>
      <c r="D864" s="75" t="n"/>
      <c r="E864" s="75" t="n"/>
      <c r="F864" s="75" t="n"/>
      <c r="G864" s="75" t="n"/>
      <c r="H864" s="76">
        <f>IFERROR(__xludf.DUMMYFUNCTION("""COMPUTED_VALUE"""),"")</f>
        <v/>
      </c>
      <c r="I864" s="75" t="n"/>
      <c r="J864" s="77">
        <f>IFERROR(__xludf.DUMMYFUNCTION("""COMPUTED_VALUE"""),0.0)</f>
        <v/>
      </c>
      <c r="K864" s="4">
        <f>IFERROR(__xludf.DUMMYFUNCTION("""COMPUTED_VALUE"""),0.0)</f>
        <v/>
      </c>
      <c r="L864" s="77">
        <f>IFERROR(__xludf.DUMMYFUNCTION("""COMPUTED_VALUE"""),0.0)</f>
        <v/>
      </c>
      <c r="O864" s="72" t="n"/>
      <c r="S864" s="4" t="n"/>
    </row>
    <row r="865">
      <c r="A865" s="74" t="n"/>
      <c r="B865" s="72" t="n"/>
      <c r="C865" s="75" t="n"/>
      <c r="D865" s="75" t="n"/>
      <c r="E865" s="75" t="n"/>
      <c r="F865" s="75" t="n"/>
      <c r="G865" s="75" t="n"/>
      <c r="H865" s="76">
        <f>IFERROR(__xludf.DUMMYFUNCTION("""COMPUTED_VALUE"""),"")</f>
        <v/>
      </c>
      <c r="I865" s="75" t="n"/>
      <c r="J865" s="77">
        <f>IFERROR(__xludf.DUMMYFUNCTION("""COMPUTED_VALUE"""),0.0)</f>
        <v/>
      </c>
      <c r="K865" s="4">
        <f>IFERROR(__xludf.DUMMYFUNCTION("""COMPUTED_VALUE"""),0.0)</f>
        <v/>
      </c>
      <c r="L865" s="77">
        <f>IFERROR(__xludf.DUMMYFUNCTION("""COMPUTED_VALUE"""),0.0)</f>
        <v/>
      </c>
      <c r="O865" s="72" t="n"/>
      <c r="S865" s="4" t="n"/>
    </row>
    <row r="866">
      <c r="A866" s="74" t="n"/>
      <c r="B866" s="72" t="n"/>
      <c r="C866" s="75" t="n"/>
      <c r="D866" s="75" t="n"/>
      <c r="E866" s="75" t="n"/>
      <c r="F866" s="75" t="n"/>
      <c r="G866" s="75" t="n"/>
      <c r="H866" s="76">
        <f>IFERROR(__xludf.DUMMYFUNCTION("""COMPUTED_VALUE"""),"")</f>
        <v/>
      </c>
      <c r="I866" s="75" t="n"/>
      <c r="J866" s="77">
        <f>IFERROR(__xludf.DUMMYFUNCTION("""COMPUTED_VALUE"""),0.0)</f>
        <v/>
      </c>
      <c r="K866" s="4">
        <f>IFERROR(__xludf.DUMMYFUNCTION("""COMPUTED_VALUE"""),0.0)</f>
        <v/>
      </c>
      <c r="L866" s="77">
        <f>IFERROR(__xludf.DUMMYFUNCTION("""COMPUTED_VALUE"""),0.0)</f>
        <v/>
      </c>
      <c r="O866" s="72" t="n"/>
      <c r="S866" s="4" t="n"/>
    </row>
    <row r="867">
      <c r="A867" s="74" t="n"/>
      <c r="B867" s="72" t="n"/>
      <c r="C867" s="75" t="n"/>
      <c r="D867" s="75" t="n"/>
      <c r="E867" s="75" t="n"/>
      <c r="F867" s="75" t="n"/>
      <c r="G867" s="75" t="n"/>
      <c r="H867" s="76">
        <f>IFERROR(__xludf.DUMMYFUNCTION("""COMPUTED_VALUE"""),"")</f>
        <v/>
      </c>
      <c r="I867" s="75" t="n"/>
      <c r="J867" s="77">
        <f>IFERROR(__xludf.DUMMYFUNCTION("""COMPUTED_VALUE"""),0.0)</f>
        <v/>
      </c>
      <c r="K867" s="4">
        <f>IFERROR(__xludf.DUMMYFUNCTION("""COMPUTED_VALUE"""),0.0)</f>
        <v/>
      </c>
      <c r="L867" s="77">
        <f>IFERROR(__xludf.DUMMYFUNCTION("""COMPUTED_VALUE"""),0.0)</f>
        <v/>
      </c>
      <c r="O867" s="72" t="n"/>
      <c r="S867" s="4" t="n"/>
    </row>
    <row r="868">
      <c r="A868" s="74" t="n"/>
      <c r="B868" s="72" t="n"/>
      <c r="C868" s="75" t="n"/>
      <c r="D868" s="75" t="n"/>
      <c r="E868" s="75" t="n"/>
      <c r="F868" s="75" t="n"/>
      <c r="G868" s="75" t="n"/>
      <c r="H868" s="76">
        <f>IFERROR(__xludf.DUMMYFUNCTION("""COMPUTED_VALUE"""),"")</f>
        <v/>
      </c>
      <c r="I868" s="75" t="n"/>
      <c r="J868" s="77">
        <f>IFERROR(__xludf.DUMMYFUNCTION("""COMPUTED_VALUE"""),0.0)</f>
        <v/>
      </c>
      <c r="K868" s="4">
        <f>IFERROR(__xludf.DUMMYFUNCTION("""COMPUTED_VALUE"""),0.0)</f>
        <v/>
      </c>
      <c r="L868" s="77">
        <f>IFERROR(__xludf.DUMMYFUNCTION("""COMPUTED_VALUE"""),0.0)</f>
        <v/>
      </c>
      <c r="O868" s="72" t="n"/>
      <c r="S868" s="4" t="n"/>
    </row>
    <row r="869">
      <c r="A869" s="74" t="n"/>
      <c r="B869" s="72" t="n"/>
      <c r="C869" s="75" t="n"/>
      <c r="D869" s="75" t="n"/>
      <c r="E869" s="75" t="n"/>
      <c r="F869" s="75" t="n"/>
      <c r="G869" s="75" t="n"/>
      <c r="H869" s="76">
        <f>IFERROR(__xludf.DUMMYFUNCTION("""COMPUTED_VALUE"""),"")</f>
        <v/>
      </c>
      <c r="I869" s="75" t="n"/>
      <c r="J869" s="77">
        <f>IFERROR(__xludf.DUMMYFUNCTION("""COMPUTED_VALUE"""),0.0)</f>
        <v/>
      </c>
      <c r="K869" s="4">
        <f>IFERROR(__xludf.DUMMYFUNCTION("""COMPUTED_VALUE"""),0.0)</f>
        <v/>
      </c>
      <c r="L869" s="77">
        <f>IFERROR(__xludf.DUMMYFUNCTION("""COMPUTED_VALUE"""),0.0)</f>
        <v/>
      </c>
      <c r="O869" s="72" t="n"/>
      <c r="S869" s="4" t="n"/>
    </row>
    <row r="870">
      <c r="A870" s="74" t="n"/>
      <c r="B870" s="72" t="n"/>
      <c r="C870" s="75" t="n"/>
      <c r="D870" s="75" t="n"/>
      <c r="E870" s="75" t="n"/>
      <c r="F870" s="75" t="n"/>
      <c r="G870" s="75" t="n"/>
      <c r="H870" s="76">
        <f>IFERROR(__xludf.DUMMYFUNCTION("""COMPUTED_VALUE"""),"")</f>
        <v/>
      </c>
      <c r="I870" s="75" t="n"/>
      <c r="J870" s="77">
        <f>IFERROR(__xludf.DUMMYFUNCTION("""COMPUTED_VALUE"""),0.0)</f>
        <v/>
      </c>
      <c r="K870" s="4">
        <f>IFERROR(__xludf.DUMMYFUNCTION("""COMPUTED_VALUE"""),0.0)</f>
        <v/>
      </c>
      <c r="L870" s="77">
        <f>IFERROR(__xludf.DUMMYFUNCTION("""COMPUTED_VALUE"""),0.0)</f>
        <v/>
      </c>
      <c r="O870" s="72" t="n"/>
      <c r="S870" s="4" t="n"/>
    </row>
    <row r="871">
      <c r="A871" s="74" t="n"/>
      <c r="B871" s="72" t="n"/>
      <c r="C871" s="75" t="n"/>
      <c r="D871" s="75" t="n"/>
      <c r="E871" s="75" t="n"/>
      <c r="F871" s="75" t="n"/>
      <c r="G871" s="75" t="n"/>
      <c r="H871" s="76">
        <f>IFERROR(__xludf.DUMMYFUNCTION("""COMPUTED_VALUE"""),"")</f>
        <v/>
      </c>
      <c r="I871" s="75" t="n"/>
      <c r="J871" s="77">
        <f>IFERROR(__xludf.DUMMYFUNCTION("""COMPUTED_VALUE"""),0.0)</f>
        <v/>
      </c>
      <c r="K871" s="4">
        <f>IFERROR(__xludf.DUMMYFUNCTION("""COMPUTED_VALUE"""),0.0)</f>
        <v/>
      </c>
      <c r="L871" s="77">
        <f>IFERROR(__xludf.DUMMYFUNCTION("""COMPUTED_VALUE"""),0.0)</f>
        <v/>
      </c>
      <c r="O871" s="72" t="n"/>
      <c r="S871" s="4" t="n"/>
    </row>
    <row r="872">
      <c r="A872" s="74" t="n"/>
      <c r="B872" s="72" t="n"/>
      <c r="C872" s="75" t="n"/>
      <c r="D872" s="75" t="n"/>
      <c r="E872" s="75" t="n"/>
      <c r="F872" s="75" t="n"/>
      <c r="G872" s="75" t="n"/>
      <c r="H872" s="76">
        <f>IFERROR(__xludf.DUMMYFUNCTION("""COMPUTED_VALUE"""),"")</f>
        <v/>
      </c>
      <c r="I872" s="75" t="n"/>
      <c r="J872" s="77">
        <f>IFERROR(__xludf.DUMMYFUNCTION("""COMPUTED_VALUE"""),0.0)</f>
        <v/>
      </c>
      <c r="K872" s="4">
        <f>IFERROR(__xludf.DUMMYFUNCTION("""COMPUTED_VALUE"""),0.0)</f>
        <v/>
      </c>
      <c r="L872" s="77">
        <f>IFERROR(__xludf.DUMMYFUNCTION("""COMPUTED_VALUE"""),0.0)</f>
        <v/>
      </c>
      <c r="O872" s="72" t="n"/>
      <c r="S872" s="4" t="n"/>
    </row>
    <row r="873">
      <c r="A873" s="74" t="n"/>
      <c r="B873" s="72" t="n"/>
      <c r="C873" s="75" t="n"/>
      <c r="D873" s="75" t="n"/>
      <c r="E873" s="75" t="n"/>
      <c r="F873" s="75" t="n"/>
      <c r="G873" s="75" t="n"/>
      <c r="H873" s="76">
        <f>IFERROR(__xludf.DUMMYFUNCTION("""COMPUTED_VALUE"""),"")</f>
        <v/>
      </c>
      <c r="I873" s="75" t="n"/>
      <c r="J873" s="77">
        <f>IFERROR(__xludf.DUMMYFUNCTION("""COMPUTED_VALUE"""),0.0)</f>
        <v/>
      </c>
      <c r="K873" s="4">
        <f>IFERROR(__xludf.DUMMYFUNCTION("""COMPUTED_VALUE"""),0.0)</f>
        <v/>
      </c>
      <c r="L873" s="77">
        <f>IFERROR(__xludf.DUMMYFUNCTION("""COMPUTED_VALUE"""),0.0)</f>
        <v/>
      </c>
      <c r="O873" s="72" t="n"/>
      <c r="S873" s="4" t="n"/>
    </row>
    <row r="874">
      <c r="A874" s="74" t="n"/>
      <c r="B874" s="72" t="n"/>
      <c r="C874" s="75" t="n"/>
      <c r="D874" s="75" t="n"/>
      <c r="E874" s="75" t="n"/>
      <c r="F874" s="75" t="n"/>
      <c r="G874" s="75" t="n"/>
      <c r="H874" s="76">
        <f>IFERROR(__xludf.DUMMYFUNCTION("""COMPUTED_VALUE"""),"")</f>
        <v/>
      </c>
      <c r="I874" s="75" t="n"/>
      <c r="J874" s="77">
        <f>IFERROR(__xludf.DUMMYFUNCTION("""COMPUTED_VALUE"""),0.0)</f>
        <v/>
      </c>
      <c r="K874" s="4">
        <f>IFERROR(__xludf.DUMMYFUNCTION("""COMPUTED_VALUE"""),0.0)</f>
        <v/>
      </c>
      <c r="L874" s="77">
        <f>IFERROR(__xludf.DUMMYFUNCTION("""COMPUTED_VALUE"""),0.0)</f>
        <v/>
      </c>
      <c r="O874" s="72" t="n"/>
      <c r="S874" s="4" t="n"/>
    </row>
    <row r="875">
      <c r="A875" s="74" t="n"/>
      <c r="B875" s="72" t="n"/>
      <c r="C875" s="75" t="n"/>
      <c r="D875" s="75" t="n"/>
      <c r="E875" s="75" t="n"/>
      <c r="F875" s="75" t="n"/>
      <c r="G875" s="75" t="n"/>
      <c r="H875" s="76">
        <f>IFERROR(__xludf.DUMMYFUNCTION("""COMPUTED_VALUE"""),"")</f>
        <v/>
      </c>
      <c r="I875" s="75" t="n"/>
      <c r="J875" s="77">
        <f>IFERROR(__xludf.DUMMYFUNCTION("""COMPUTED_VALUE"""),0.0)</f>
        <v/>
      </c>
      <c r="K875" s="4">
        <f>IFERROR(__xludf.DUMMYFUNCTION("""COMPUTED_VALUE"""),0.0)</f>
        <v/>
      </c>
      <c r="L875" s="77">
        <f>IFERROR(__xludf.DUMMYFUNCTION("""COMPUTED_VALUE"""),0.0)</f>
        <v/>
      </c>
      <c r="O875" s="72" t="n"/>
      <c r="S875" s="4" t="n"/>
    </row>
    <row r="876">
      <c r="A876" s="74" t="n"/>
      <c r="B876" s="72" t="n"/>
      <c r="C876" s="75" t="n"/>
      <c r="D876" s="75" t="n"/>
      <c r="E876" s="75" t="n"/>
      <c r="F876" s="75" t="n"/>
      <c r="G876" s="75" t="n"/>
      <c r="H876" s="76">
        <f>IFERROR(__xludf.DUMMYFUNCTION("""COMPUTED_VALUE"""),"")</f>
        <v/>
      </c>
      <c r="I876" s="75" t="n"/>
      <c r="J876" s="77">
        <f>IFERROR(__xludf.DUMMYFUNCTION("""COMPUTED_VALUE"""),0.0)</f>
        <v/>
      </c>
      <c r="K876" s="4">
        <f>IFERROR(__xludf.DUMMYFUNCTION("""COMPUTED_VALUE"""),0.0)</f>
        <v/>
      </c>
      <c r="L876" s="77">
        <f>IFERROR(__xludf.DUMMYFUNCTION("""COMPUTED_VALUE"""),0.0)</f>
        <v/>
      </c>
      <c r="O876" s="72" t="n"/>
      <c r="S876" s="4" t="n"/>
    </row>
    <row r="877">
      <c r="A877" s="74" t="n"/>
      <c r="B877" s="72" t="n"/>
      <c r="C877" s="75" t="n"/>
      <c r="D877" s="75" t="n"/>
      <c r="E877" s="75" t="n"/>
      <c r="F877" s="75" t="n"/>
      <c r="G877" s="75" t="n"/>
      <c r="H877" s="76">
        <f>IFERROR(__xludf.DUMMYFUNCTION("""COMPUTED_VALUE"""),"")</f>
        <v/>
      </c>
      <c r="I877" s="75" t="n"/>
      <c r="J877" s="77">
        <f>IFERROR(__xludf.DUMMYFUNCTION("""COMPUTED_VALUE"""),0.0)</f>
        <v/>
      </c>
      <c r="K877" s="4">
        <f>IFERROR(__xludf.DUMMYFUNCTION("""COMPUTED_VALUE"""),0.0)</f>
        <v/>
      </c>
      <c r="L877" s="77">
        <f>IFERROR(__xludf.DUMMYFUNCTION("""COMPUTED_VALUE"""),0.0)</f>
        <v/>
      </c>
      <c r="O877" s="72" t="n"/>
      <c r="S877" s="4" t="n"/>
    </row>
    <row r="878">
      <c r="A878" s="74" t="n"/>
      <c r="B878" s="72" t="n"/>
      <c r="C878" s="75" t="n"/>
      <c r="D878" s="75" t="n"/>
      <c r="E878" s="75" t="n"/>
      <c r="F878" s="75" t="n"/>
      <c r="G878" s="75" t="n"/>
      <c r="H878" s="76">
        <f>IFERROR(__xludf.DUMMYFUNCTION("""COMPUTED_VALUE"""),"")</f>
        <v/>
      </c>
      <c r="I878" s="75" t="n"/>
      <c r="J878" s="77">
        <f>IFERROR(__xludf.DUMMYFUNCTION("""COMPUTED_VALUE"""),0.0)</f>
        <v/>
      </c>
      <c r="K878" s="4">
        <f>IFERROR(__xludf.DUMMYFUNCTION("""COMPUTED_VALUE"""),0.0)</f>
        <v/>
      </c>
      <c r="L878" s="77">
        <f>IFERROR(__xludf.DUMMYFUNCTION("""COMPUTED_VALUE"""),0.0)</f>
        <v/>
      </c>
      <c r="O878" s="72" t="n"/>
      <c r="S878" s="4" t="n"/>
    </row>
    <row r="879">
      <c r="A879" s="74" t="n"/>
      <c r="B879" s="72" t="n"/>
      <c r="C879" s="75" t="n"/>
      <c r="D879" s="75" t="n"/>
      <c r="E879" s="75" t="n"/>
      <c r="F879" s="75" t="n"/>
      <c r="G879" s="75" t="n"/>
      <c r="H879" s="76">
        <f>IFERROR(__xludf.DUMMYFUNCTION("""COMPUTED_VALUE"""),"")</f>
        <v/>
      </c>
      <c r="I879" s="75" t="n"/>
      <c r="J879" s="77">
        <f>IFERROR(__xludf.DUMMYFUNCTION("""COMPUTED_VALUE"""),0.0)</f>
        <v/>
      </c>
      <c r="K879" s="4">
        <f>IFERROR(__xludf.DUMMYFUNCTION("""COMPUTED_VALUE"""),0.0)</f>
        <v/>
      </c>
      <c r="L879" s="77">
        <f>IFERROR(__xludf.DUMMYFUNCTION("""COMPUTED_VALUE"""),0.0)</f>
        <v/>
      </c>
      <c r="O879" s="72" t="n"/>
      <c r="S879" s="4" t="n"/>
    </row>
    <row r="880">
      <c r="A880" s="74" t="n"/>
      <c r="B880" s="72" t="n"/>
      <c r="C880" s="75" t="n"/>
      <c r="D880" s="75" t="n"/>
      <c r="E880" s="75" t="n"/>
      <c r="F880" s="75" t="n"/>
      <c r="G880" s="75" t="n"/>
      <c r="H880" s="76">
        <f>IFERROR(__xludf.DUMMYFUNCTION("""COMPUTED_VALUE"""),"")</f>
        <v/>
      </c>
      <c r="I880" s="75" t="n"/>
      <c r="J880" s="77">
        <f>IFERROR(__xludf.DUMMYFUNCTION("""COMPUTED_VALUE"""),0.0)</f>
        <v/>
      </c>
      <c r="K880" s="4">
        <f>IFERROR(__xludf.DUMMYFUNCTION("""COMPUTED_VALUE"""),0.0)</f>
        <v/>
      </c>
      <c r="L880" s="77">
        <f>IFERROR(__xludf.DUMMYFUNCTION("""COMPUTED_VALUE"""),0.0)</f>
        <v/>
      </c>
      <c r="O880" s="72" t="n"/>
      <c r="S880" s="4" t="n"/>
    </row>
    <row r="881">
      <c r="A881" s="74" t="n"/>
      <c r="B881" s="72" t="n"/>
      <c r="C881" s="75" t="n"/>
      <c r="D881" s="75" t="n"/>
      <c r="E881" s="75" t="n"/>
      <c r="F881" s="75" t="n"/>
      <c r="G881" s="75" t="n"/>
      <c r="H881" s="76">
        <f>IFERROR(__xludf.DUMMYFUNCTION("""COMPUTED_VALUE"""),"")</f>
        <v/>
      </c>
      <c r="I881" s="75" t="n"/>
      <c r="J881" s="77">
        <f>IFERROR(__xludf.DUMMYFUNCTION("""COMPUTED_VALUE"""),0.0)</f>
        <v/>
      </c>
      <c r="K881" s="4">
        <f>IFERROR(__xludf.DUMMYFUNCTION("""COMPUTED_VALUE"""),0.0)</f>
        <v/>
      </c>
      <c r="L881" s="77">
        <f>IFERROR(__xludf.DUMMYFUNCTION("""COMPUTED_VALUE"""),0.0)</f>
        <v/>
      </c>
      <c r="O881" s="72" t="n"/>
      <c r="S881" s="4" t="n"/>
    </row>
    <row r="882">
      <c r="A882" s="74" t="n"/>
      <c r="B882" s="72" t="n"/>
      <c r="C882" s="75" t="n"/>
      <c r="D882" s="75" t="n"/>
      <c r="E882" s="75" t="n"/>
      <c r="F882" s="75" t="n"/>
      <c r="G882" s="75" t="n"/>
      <c r="H882" s="76">
        <f>IFERROR(__xludf.DUMMYFUNCTION("""COMPUTED_VALUE"""),"")</f>
        <v/>
      </c>
      <c r="I882" s="75" t="n"/>
      <c r="J882" s="77">
        <f>IFERROR(__xludf.DUMMYFUNCTION("""COMPUTED_VALUE"""),0.0)</f>
        <v/>
      </c>
      <c r="K882" s="4">
        <f>IFERROR(__xludf.DUMMYFUNCTION("""COMPUTED_VALUE"""),0.0)</f>
        <v/>
      </c>
      <c r="L882" s="77">
        <f>IFERROR(__xludf.DUMMYFUNCTION("""COMPUTED_VALUE"""),0.0)</f>
        <v/>
      </c>
      <c r="O882" s="72" t="n"/>
      <c r="S882" s="4" t="n"/>
    </row>
    <row r="883">
      <c r="A883" s="74" t="n"/>
      <c r="B883" s="72" t="n"/>
      <c r="C883" s="75" t="n"/>
      <c r="D883" s="75" t="n"/>
      <c r="E883" s="75" t="n"/>
      <c r="F883" s="75" t="n"/>
      <c r="G883" s="75" t="n"/>
      <c r="H883" s="76">
        <f>IFERROR(__xludf.DUMMYFUNCTION("""COMPUTED_VALUE"""),"")</f>
        <v/>
      </c>
      <c r="I883" s="75" t="n"/>
      <c r="J883" s="77">
        <f>IFERROR(__xludf.DUMMYFUNCTION("""COMPUTED_VALUE"""),0.0)</f>
        <v/>
      </c>
      <c r="K883" s="4">
        <f>IFERROR(__xludf.DUMMYFUNCTION("""COMPUTED_VALUE"""),0.0)</f>
        <v/>
      </c>
      <c r="L883" s="77">
        <f>IFERROR(__xludf.DUMMYFUNCTION("""COMPUTED_VALUE"""),0.0)</f>
        <v/>
      </c>
      <c r="O883" s="72" t="n"/>
      <c r="S883" s="4" t="n"/>
    </row>
    <row r="884">
      <c r="A884" s="74" t="n"/>
      <c r="B884" s="72" t="n"/>
      <c r="C884" s="75" t="n"/>
      <c r="D884" s="75" t="n"/>
      <c r="E884" s="75" t="n"/>
      <c r="F884" s="75" t="n"/>
      <c r="G884" s="75" t="n"/>
      <c r="H884" s="76">
        <f>IFERROR(__xludf.DUMMYFUNCTION("""COMPUTED_VALUE"""),"")</f>
        <v/>
      </c>
      <c r="I884" s="75" t="n"/>
      <c r="J884" s="77">
        <f>IFERROR(__xludf.DUMMYFUNCTION("""COMPUTED_VALUE"""),0.0)</f>
        <v/>
      </c>
      <c r="K884" s="4">
        <f>IFERROR(__xludf.DUMMYFUNCTION("""COMPUTED_VALUE"""),0.0)</f>
        <v/>
      </c>
      <c r="L884" s="77">
        <f>IFERROR(__xludf.DUMMYFUNCTION("""COMPUTED_VALUE"""),0.0)</f>
        <v/>
      </c>
      <c r="O884" s="72" t="n"/>
      <c r="S884" s="4" t="n"/>
    </row>
    <row r="885">
      <c r="A885" s="74" t="n"/>
      <c r="B885" s="72" t="n"/>
      <c r="C885" s="75" t="n"/>
      <c r="D885" s="75" t="n"/>
      <c r="E885" s="75" t="n"/>
      <c r="F885" s="75" t="n"/>
      <c r="G885" s="75" t="n"/>
      <c r="H885" s="76">
        <f>IFERROR(__xludf.DUMMYFUNCTION("""COMPUTED_VALUE"""),"")</f>
        <v/>
      </c>
      <c r="I885" s="75" t="n"/>
      <c r="J885" s="77">
        <f>IFERROR(__xludf.DUMMYFUNCTION("""COMPUTED_VALUE"""),0.0)</f>
        <v/>
      </c>
      <c r="K885" s="4">
        <f>IFERROR(__xludf.DUMMYFUNCTION("""COMPUTED_VALUE"""),0.0)</f>
        <v/>
      </c>
      <c r="L885" s="77">
        <f>IFERROR(__xludf.DUMMYFUNCTION("""COMPUTED_VALUE"""),0.0)</f>
        <v/>
      </c>
      <c r="O885" s="72" t="n"/>
      <c r="S885" s="4" t="n"/>
    </row>
    <row r="886">
      <c r="A886" s="74" t="n"/>
      <c r="B886" s="72" t="n"/>
      <c r="C886" s="75" t="n"/>
      <c r="D886" s="75" t="n"/>
      <c r="E886" s="75" t="n"/>
      <c r="F886" s="75" t="n"/>
      <c r="G886" s="75" t="n"/>
      <c r="H886" s="76">
        <f>IFERROR(__xludf.DUMMYFUNCTION("""COMPUTED_VALUE"""),"")</f>
        <v/>
      </c>
      <c r="I886" s="75" t="n"/>
      <c r="J886" s="77">
        <f>IFERROR(__xludf.DUMMYFUNCTION("""COMPUTED_VALUE"""),0.0)</f>
        <v/>
      </c>
      <c r="K886" s="4">
        <f>IFERROR(__xludf.DUMMYFUNCTION("""COMPUTED_VALUE"""),0.0)</f>
        <v/>
      </c>
      <c r="L886" s="77">
        <f>IFERROR(__xludf.DUMMYFUNCTION("""COMPUTED_VALUE"""),0.0)</f>
        <v/>
      </c>
      <c r="O886" s="72" t="n"/>
      <c r="S886" s="4" t="n"/>
    </row>
    <row r="887">
      <c r="A887" s="74" t="n"/>
      <c r="B887" s="72" t="n"/>
      <c r="C887" s="75" t="n"/>
      <c r="D887" s="75" t="n"/>
      <c r="E887" s="75" t="n"/>
      <c r="F887" s="75" t="n"/>
      <c r="G887" s="75" t="n"/>
      <c r="H887" s="76">
        <f>IFERROR(__xludf.DUMMYFUNCTION("""COMPUTED_VALUE"""),"")</f>
        <v/>
      </c>
      <c r="I887" s="75" t="n"/>
      <c r="J887" s="77">
        <f>IFERROR(__xludf.DUMMYFUNCTION("""COMPUTED_VALUE"""),0.0)</f>
        <v/>
      </c>
      <c r="K887" s="4">
        <f>IFERROR(__xludf.DUMMYFUNCTION("""COMPUTED_VALUE"""),0.0)</f>
        <v/>
      </c>
      <c r="L887" s="77">
        <f>IFERROR(__xludf.DUMMYFUNCTION("""COMPUTED_VALUE"""),0.0)</f>
        <v/>
      </c>
      <c r="O887" s="72" t="n"/>
      <c r="S887" s="4" t="n"/>
    </row>
    <row r="888">
      <c r="A888" s="74" t="n"/>
      <c r="B888" s="72" t="n"/>
      <c r="C888" s="75" t="n"/>
      <c r="D888" s="75" t="n"/>
      <c r="E888" s="75" t="n"/>
      <c r="F888" s="75" t="n"/>
      <c r="G888" s="75" t="n"/>
      <c r="H888" s="76">
        <f>IFERROR(__xludf.DUMMYFUNCTION("""COMPUTED_VALUE"""),"")</f>
        <v/>
      </c>
      <c r="I888" s="75" t="n"/>
      <c r="J888" s="77">
        <f>IFERROR(__xludf.DUMMYFUNCTION("""COMPUTED_VALUE"""),0.0)</f>
        <v/>
      </c>
      <c r="K888" s="4">
        <f>IFERROR(__xludf.DUMMYFUNCTION("""COMPUTED_VALUE"""),0.0)</f>
        <v/>
      </c>
      <c r="L888" s="77">
        <f>IFERROR(__xludf.DUMMYFUNCTION("""COMPUTED_VALUE"""),0.0)</f>
        <v/>
      </c>
      <c r="O888" s="72" t="n"/>
      <c r="S888" s="4" t="n"/>
    </row>
    <row r="889">
      <c r="A889" s="74" t="n"/>
      <c r="B889" s="72" t="n"/>
      <c r="C889" s="75" t="n"/>
      <c r="D889" s="75" t="n"/>
      <c r="E889" s="75" t="n"/>
      <c r="F889" s="75" t="n"/>
      <c r="G889" s="75" t="n"/>
      <c r="H889" s="76">
        <f>IFERROR(__xludf.DUMMYFUNCTION("""COMPUTED_VALUE"""),"")</f>
        <v/>
      </c>
      <c r="I889" s="75" t="n"/>
      <c r="J889" s="77">
        <f>IFERROR(__xludf.DUMMYFUNCTION("""COMPUTED_VALUE"""),0.0)</f>
        <v/>
      </c>
      <c r="K889" s="4">
        <f>IFERROR(__xludf.DUMMYFUNCTION("""COMPUTED_VALUE"""),0.0)</f>
        <v/>
      </c>
      <c r="L889" s="77">
        <f>IFERROR(__xludf.DUMMYFUNCTION("""COMPUTED_VALUE"""),0.0)</f>
        <v/>
      </c>
      <c r="O889" s="72" t="n"/>
      <c r="S889" s="4" t="n"/>
    </row>
    <row r="890">
      <c r="A890" s="74" t="n"/>
      <c r="B890" s="72" t="n"/>
      <c r="C890" s="75" t="n"/>
      <c r="D890" s="75" t="n"/>
      <c r="E890" s="75" t="n"/>
      <c r="F890" s="75" t="n"/>
      <c r="G890" s="75" t="n"/>
      <c r="H890" s="76">
        <f>IFERROR(__xludf.DUMMYFUNCTION("""COMPUTED_VALUE"""),"")</f>
        <v/>
      </c>
      <c r="I890" s="75" t="n"/>
      <c r="J890" s="77">
        <f>IFERROR(__xludf.DUMMYFUNCTION("""COMPUTED_VALUE"""),0.0)</f>
        <v/>
      </c>
      <c r="K890" s="4">
        <f>IFERROR(__xludf.DUMMYFUNCTION("""COMPUTED_VALUE"""),0.0)</f>
        <v/>
      </c>
      <c r="L890" s="77">
        <f>IFERROR(__xludf.DUMMYFUNCTION("""COMPUTED_VALUE"""),0.0)</f>
        <v/>
      </c>
      <c r="O890" s="72" t="n"/>
      <c r="S890" s="4" t="n"/>
    </row>
    <row r="891">
      <c r="A891" s="74" t="n"/>
      <c r="B891" s="72" t="n"/>
      <c r="C891" s="75" t="n"/>
      <c r="D891" s="75" t="n"/>
      <c r="E891" s="75" t="n"/>
      <c r="F891" s="75" t="n"/>
      <c r="G891" s="75" t="n"/>
      <c r="H891" s="76">
        <f>IFERROR(__xludf.DUMMYFUNCTION("""COMPUTED_VALUE"""),"")</f>
        <v/>
      </c>
      <c r="I891" s="75" t="n"/>
      <c r="J891" s="77">
        <f>IFERROR(__xludf.DUMMYFUNCTION("""COMPUTED_VALUE"""),0.0)</f>
        <v/>
      </c>
      <c r="K891" s="4">
        <f>IFERROR(__xludf.DUMMYFUNCTION("""COMPUTED_VALUE"""),0.0)</f>
        <v/>
      </c>
      <c r="L891" s="77">
        <f>IFERROR(__xludf.DUMMYFUNCTION("""COMPUTED_VALUE"""),0.0)</f>
        <v/>
      </c>
      <c r="O891" s="72" t="n"/>
      <c r="S891" s="4" t="n"/>
    </row>
    <row r="892">
      <c r="A892" s="74" t="n"/>
      <c r="B892" s="72" t="n"/>
      <c r="C892" s="75" t="n"/>
      <c r="D892" s="75" t="n"/>
      <c r="E892" s="75" t="n"/>
      <c r="F892" s="75" t="n"/>
      <c r="G892" s="75" t="n"/>
      <c r="H892" s="76">
        <f>IFERROR(__xludf.DUMMYFUNCTION("""COMPUTED_VALUE"""),"")</f>
        <v/>
      </c>
      <c r="I892" s="75" t="n"/>
      <c r="J892" s="77">
        <f>IFERROR(__xludf.DUMMYFUNCTION("""COMPUTED_VALUE"""),0.0)</f>
        <v/>
      </c>
      <c r="K892" s="4">
        <f>IFERROR(__xludf.DUMMYFUNCTION("""COMPUTED_VALUE"""),0.0)</f>
        <v/>
      </c>
      <c r="L892" s="77">
        <f>IFERROR(__xludf.DUMMYFUNCTION("""COMPUTED_VALUE"""),0.0)</f>
        <v/>
      </c>
      <c r="O892" s="72" t="n"/>
      <c r="S892" s="4" t="n"/>
    </row>
    <row r="893">
      <c r="A893" s="74" t="n"/>
      <c r="B893" s="72" t="n"/>
      <c r="C893" s="75" t="n"/>
      <c r="D893" s="75" t="n"/>
      <c r="E893" s="75" t="n"/>
      <c r="F893" s="75" t="n"/>
      <c r="G893" s="75" t="n"/>
      <c r="H893" s="76">
        <f>IFERROR(__xludf.DUMMYFUNCTION("""COMPUTED_VALUE"""),"")</f>
        <v/>
      </c>
      <c r="I893" s="75" t="n"/>
      <c r="J893" s="77">
        <f>IFERROR(__xludf.DUMMYFUNCTION("""COMPUTED_VALUE"""),0.0)</f>
        <v/>
      </c>
      <c r="K893" s="4">
        <f>IFERROR(__xludf.DUMMYFUNCTION("""COMPUTED_VALUE"""),0.0)</f>
        <v/>
      </c>
      <c r="L893" s="77">
        <f>IFERROR(__xludf.DUMMYFUNCTION("""COMPUTED_VALUE"""),0.0)</f>
        <v/>
      </c>
      <c r="O893" s="72" t="n"/>
      <c r="S893" s="4" t="n"/>
    </row>
    <row r="894">
      <c r="A894" s="74" t="n"/>
      <c r="B894" s="72" t="n"/>
      <c r="C894" s="75" t="n"/>
      <c r="D894" s="75" t="n"/>
      <c r="E894" s="75" t="n"/>
      <c r="F894" s="75" t="n"/>
      <c r="G894" s="75" t="n"/>
      <c r="H894" s="76">
        <f>IFERROR(__xludf.DUMMYFUNCTION("""COMPUTED_VALUE"""),"")</f>
        <v/>
      </c>
      <c r="I894" s="75" t="n"/>
      <c r="J894" s="77">
        <f>IFERROR(__xludf.DUMMYFUNCTION("""COMPUTED_VALUE"""),0.0)</f>
        <v/>
      </c>
      <c r="K894" s="4">
        <f>IFERROR(__xludf.DUMMYFUNCTION("""COMPUTED_VALUE"""),0.0)</f>
        <v/>
      </c>
      <c r="L894" s="77">
        <f>IFERROR(__xludf.DUMMYFUNCTION("""COMPUTED_VALUE"""),0.0)</f>
        <v/>
      </c>
      <c r="O894" s="72" t="n"/>
      <c r="S894" s="4" t="n"/>
    </row>
    <row r="895">
      <c r="A895" s="74" t="n"/>
      <c r="B895" s="72" t="n"/>
      <c r="C895" s="75" t="n"/>
      <c r="D895" s="75" t="n"/>
      <c r="E895" s="75" t="n"/>
      <c r="F895" s="75" t="n"/>
      <c r="G895" s="75" t="n"/>
      <c r="H895" s="76">
        <f>IFERROR(__xludf.DUMMYFUNCTION("""COMPUTED_VALUE"""),"")</f>
        <v/>
      </c>
      <c r="I895" s="75" t="n"/>
      <c r="J895" s="77">
        <f>IFERROR(__xludf.DUMMYFUNCTION("""COMPUTED_VALUE"""),0.0)</f>
        <v/>
      </c>
      <c r="K895" s="4">
        <f>IFERROR(__xludf.DUMMYFUNCTION("""COMPUTED_VALUE"""),0.0)</f>
        <v/>
      </c>
      <c r="L895" s="77">
        <f>IFERROR(__xludf.DUMMYFUNCTION("""COMPUTED_VALUE"""),0.0)</f>
        <v/>
      </c>
      <c r="O895" s="72" t="n"/>
      <c r="S895" s="4" t="n"/>
    </row>
    <row r="896">
      <c r="A896" s="74" t="n"/>
      <c r="B896" s="72" t="n"/>
      <c r="C896" s="75" t="n"/>
      <c r="D896" s="75" t="n"/>
      <c r="E896" s="75" t="n"/>
      <c r="F896" s="75" t="n"/>
      <c r="G896" s="75" t="n"/>
      <c r="H896" s="76">
        <f>IFERROR(__xludf.DUMMYFUNCTION("""COMPUTED_VALUE"""),"")</f>
        <v/>
      </c>
      <c r="I896" s="75" t="n"/>
      <c r="J896" s="77">
        <f>IFERROR(__xludf.DUMMYFUNCTION("""COMPUTED_VALUE"""),0.0)</f>
        <v/>
      </c>
      <c r="K896" s="4">
        <f>IFERROR(__xludf.DUMMYFUNCTION("""COMPUTED_VALUE"""),0.0)</f>
        <v/>
      </c>
      <c r="L896" s="77">
        <f>IFERROR(__xludf.DUMMYFUNCTION("""COMPUTED_VALUE"""),0.0)</f>
        <v/>
      </c>
      <c r="O896" s="72" t="n"/>
      <c r="S896" s="4" t="n"/>
    </row>
    <row r="897">
      <c r="A897" s="74" t="n"/>
      <c r="B897" s="72" t="n"/>
      <c r="C897" s="75" t="n"/>
      <c r="D897" s="75" t="n"/>
      <c r="E897" s="75" t="n"/>
      <c r="F897" s="75" t="n"/>
      <c r="G897" s="75" t="n"/>
      <c r="H897" s="76">
        <f>IFERROR(__xludf.DUMMYFUNCTION("""COMPUTED_VALUE"""),"")</f>
        <v/>
      </c>
      <c r="I897" s="75" t="n"/>
      <c r="J897" s="77">
        <f>IFERROR(__xludf.DUMMYFUNCTION("""COMPUTED_VALUE"""),0.0)</f>
        <v/>
      </c>
      <c r="K897" s="4">
        <f>IFERROR(__xludf.DUMMYFUNCTION("""COMPUTED_VALUE"""),0.0)</f>
        <v/>
      </c>
      <c r="L897" s="77">
        <f>IFERROR(__xludf.DUMMYFUNCTION("""COMPUTED_VALUE"""),0.0)</f>
        <v/>
      </c>
      <c r="O897" s="72" t="n"/>
      <c r="S897" s="4" t="n"/>
    </row>
    <row r="898">
      <c r="A898" s="74" t="n"/>
      <c r="B898" s="72" t="n"/>
      <c r="C898" s="75" t="n"/>
      <c r="D898" s="75" t="n"/>
      <c r="E898" s="75" t="n"/>
      <c r="F898" s="75" t="n"/>
      <c r="G898" s="75" t="n"/>
      <c r="H898" s="76">
        <f>IFERROR(__xludf.DUMMYFUNCTION("""COMPUTED_VALUE"""),"")</f>
        <v/>
      </c>
      <c r="I898" s="75" t="n"/>
      <c r="J898" s="77">
        <f>IFERROR(__xludf.DUMMYFUNCTION("""COMPUTED_VALUE"""),0.0)</f>
        <v/>
      </c>
      <c r="K898" s="4">
        <f>IFERROR(__xludf.DUMMYFUNCTION("""COMPUTED_VALUE"""),0.0)</f>
        <v/>
      </c>
      <c r="L898" s="77">
        <f>IFERROR(__xludf.DUMMYFUNCTION("""COMPUTED_VALUE"""),0.0)</f>
        <v/>
      </c>
      <c r="O898" s="72" t="n"/>
      <c r="S898" s="4" t="n"/>
    </row>
    <row r="899">
      <c r="A899" s="74" t="n"/>
      <c r="B899" s="72" t="n"/>
      <c r="C899" s="75" t="n"/>
      <c r="D899" s="75" t="n"/>
      <c r="E899" s="75" t="n"/>
      <c r="F899" s="75" t="n"/>
      <c r="G899" s="75" t="n"/>
      <c r="H899" s="76">
        <f>IFERROR(__xludf.DUMMYFUNCTION("""COMPUTED_VALUE"""),"")</f>
        <v/>
      </c>
      <c r="I899" s="75" t="n"/>
      <c r="J899" s="77">
        <f>IFERROR(__xludf.DUMMYFUNCTION("""COMPUTED_VALUE"""),0.0)</f>
        <v/>
      </c>
      <c r="K899" s="4">
        <f>IFERROR(__xludf.DUMMYFUNCTION("""COMPUTED_VALUE"""),0.0)</f>
        <v/>
      </c>
      <c r="L899" s="77">
        <f>IFERROR(__xludf.DUMMYFUNCTION("""COMPUTED_VALUE"""),0.0)</f>
        <v/>
      </c>
      <c r="O899" s="72" t="n"/>
      <c r="S899" s="4" t="n"/>
    </row>
    <row r="900">
      <c r="A900" s="74" t="n"/>
      <c r="B900" s="72" t="n"/>
      <c r="C900" s="75" t="n"/>
      <c r="D900" s="75" t="n"/>
      <c r="E900" s="75" t="n"/>
      <c r="F900" s="75" t="n"/>
      <c r="G900" s="75" t="n"/>
      <c r="H900" s="76">
        <f>IFERROR(__xludf.DUMMYFUNCTION("""COMPUTED_VALUE"""),"")</f>
        <v/>
      </c>
      <c r="I900" s="75" t="n"/>
      <c r="J900" s="77">
        <f>IFERROR(__xludf.DUMMYFUNCTION("""COMPUTED_VALUE"""),0.0)</f>
        <v/>
      </c>
      <c r="K900" s="4">
        <f>IFERROR(__xludf.DUMMYFUNCTION("""COMPUTED_VALUE"""),0.0)</f>
        <v/>
      </c>
      <c r="L900" s="77">
        <f>IFERROR(__xludf.DUMMYFUNCTION("""COMPUTED_VALUE"""),0.0)</f>
        <v/>
      </c>
      <c r="O900" s="72" t="n"/>
      <c r="S900" s="4" t="n"/>
    </row>
    <row r="901">
      <c r="A901" s="74" t="n"/>
      <c r="B901" s="72" t="n"/>
      <c r="C901" s="75" t="n"/>
      <c r="D901" s="75" t="n"/>
      <c r="E901" s="75" t="n"/>
      <c r="F901" s="75" t="n"/>
      <c r="G901" s="75" t="n"/>
      <c r="H901" s="76">
        <f>IFERROR(__xludf.DUMMYFUNCTION("""COMPUTED_VALUE"""),"")</f>
        <v/>
      </c>
      <c r="I901" s="75" t="n"/>
      <c r="J901" s="77">
        <f>IFERROR(__xludf.DUMMYFUNCTION("""COMPUTED_VALUE"""),0.0)</f>
        <v/>
      </c>
      <c r="K901" s="4">
        <f>IFERROR(__xludf.DUMMYFUNCTION("""COMPUTED_VALUE"""),0.0)</f>
        <v/>
      </c>
      <c r="L901" s="77">
        <f>IFERROR(__xludf.DUMMYFUNCTION("""COMPUTED_VALUE"""),0.0)</f>
        <v/>
      </c>
      <c r="O901" s="72" t="n"/>
      <c r="S901" s="4" t="n"/>
    </row>
    <row r="902">
      <c r="A902" s="74" t="n"/>
      <c r="B902" s="72" t="n"/>
      <c r="C902" s="75" t="n"/>
      <c r="D902" s="75" t="n"/>
      <c r="E902" s="75" t="n"/>
      <c r="F902" s="75" t="n"/>
      <c r="G902" s="75" t="n"/>
      <c r="H902" s="76">
        <f>IFERROR(__xludf.DUMMYFUNCTION("""COMPUTED_VALUE"""),"")</f>
        <v/>
      </c>
      <c r="I902" s="75" t="n"/>
      <c r="J902" s="77">
        <f>IFERROR(__xludf.DUMMYFUNCTION("""COMPUTED_VALUE"""),0.0)</f>
        <v/>
      </c>
      <c r="K902" s="4">
        <f>IFERROR(__xludf.DUMMYFUNCTION("""COMPUTED_VALUE"""),0.0)</f>
        <v/>
      </c>
      <c r="L902" s="77">
        <f>IFERROR(__xludf.DUMMYFUNCTION("""COMPUTED_VALUE"""),0.0)</f>
        <v/>
      </c>
      <c r="O902" s="72" t="n"/>
      <c r="S902" s="4" t="n"/>
    </row>
    <row r="903">
      <c r="A903" s="74" t="n"/>
      <c r="B903" s="72" t="n"/>
      <c r="C903" s="75" t="n"/>
      <c r="D903" s="75" t="n"/>
      <c r="E903" s="75" t="n"/>
      <c r="F903" s="75" t="n"/>
      <c r="G903" s="75" t="n"/>
      <c r="H903" s="76">
        <f>IFERROR(__xludf.DUMMYFUNCTION("""COMPUTED_VALUE"""),"")</f>
        <v/>
      </c>
      <c r="I903" s="75" t="n"/>
      <c r="J903" s="77">
        <f>IFERROR(__xludf.DUMMYFUNCTION("""COMPUTED_VALUE"""),0.0)</f>
        <v/>
      </c>
      <c r="K903" s="4">
        <f>IFERROR(__xludf.DUMMYFUNCTION("""COMPUTED_VALUE"""),0.0)</f>
        <v/>
      </c>
      <c r="L903" s="77">
        <f>IFERROR(__xludf.DUMMYFUNCTION("""COMPUTED_VALUE"""),0.0)</f>
        <v/>
      </c>
      <c r="O903" s="72" t="n"/>
      <c r="S903" s="4" t="n"/>
    </row>
    <row r="904">
      <c r="A904" s="74" t="n"/>
      <c r="B904" s="72" t="n"/>
      <c r="C904" s="75" t="n"/>
      <c r="D904" s="75" t="n"/>
      <c r="E904" s="75" t="n"/>
      <c r="F904" s="75" t="n"/>
      <c r="G904" s="75" t="n"/>
      <c r="H904" s="76">
        <f>IFERROR(__xludf.DUMMYFUNCTION("""COMPUTED_VALUE"""),"")</f>
        <v/>
      </c>
      <c r="I904" s="75" t="n"/>
      <c r="J904" s="77">
        <f>IFERROR(__xludf.DUMMYFUNCTION("""COMPUTED_VALUE"""),0.0)</f>
        <v/>
      </c>
      <c r="K904" s="4">
        <f>IFERROR(__xludf.DUMMYFUNCTION("""COMPUTED_VALUE"""),0.0)</f>
        <v/>
      </c>
      <c r="L904" s="77">
        <f>IFERROR(__xludf.DUMMYFUNCTION("""COMPUTED_VALUE"""),0.0)</f>
        <v/>
      </c>
      <c r="O904" s="72" t="n"/>
      <c r="S904" s="4" t="n"/>
    </row>
    <row r="905">
      <c r="A905" s="74" t="n"/>
      <c r="B905" s="72" t="n"/>
      <c r="C905" s="75" t="n"/>
      <c r="D905" s="75" t="n"/>
      <c r="E905" s="75" t="n"/>
      <c r="F905" s="75" t="n"/>
      <c r="G905" s="75" t="n"/>
      <c r="H905" s="76">
        <f>IFERROR(__xludf.DUMMYFUNCTION("""COMPUTED_VALUE"""),"")</f>
        <v/>
      </c>
      <c r="I905" s="75" t="n"/>
      <c r="J905" s="77">
        <f>IFERROR(__xludf.DUMMYFUNCTION("""COMPUTED_VALUE"""),0.0)</f>
        <v/>
      </c>
      <c r="K905" s="4">
        <f>IFERROR(__xludf.DUMMYFUNCTION("""COMPUTED_VALUE"""),0.0)</f>
        <v/>
      </c>
      <c r="L905" s="77">
        <f>IFERROR(__xludf.DUMMYFUNCTION("""COMPUTED_VALUE"""),0.0)</f>
        <v/>
      </c>
      <c r="O905" s="72" t="n"/>
      <c r="S905" s="4" t="n"/>
    </row>
    <row r="906">
      <c r="A906" s="74" t="n"/>
      <c r="B906" s="72" t="n"/>
      <c r="C906" s="75" t="n"/>
      <c r="D906" s="75" t="n"/>
      <c r="E906" s="75" t="n"/>
      <c r="F906" s="75" t="n"/>
      <c r="G906" s="75" t="n"/>
      <c r="H906" s="76">
        <f>IFERROR(__xludf.DUMMYFUNCTION("""COMPUTED_VALUE"""),"")</f>
        <v/>
      </c>
      <c r="I906" s="75" t="n"/>
      <c r="J906" s="77">
        <f>IFERROR(__xludf.DUMMYFUNCTION("""COMPUTED_VALUE"""),0.0)</f>
        <v/>
      </c>
      <c r="K906" s="4">
        <f>IFERROR(__xludf.DUMMYFUNCTION("""COMPUTED_VALUE"""),0.0)</f>
        <v/>
      </c>
      <c r="L906" s="77">
        <f>IFERROR(__xludf.DUMMYFUNCTION("""COMPUTED_VALUE"""),0.0)</f>
        <v/>
      </c>
      <c r="O906" s="72" t="n"/>
      <c r="S906" s="4" t="n"/>
    </row>
    <row r="907">
      <c r="A907" s="74" t="n"/>
      <c r="B907" s="72" t="n"/>
      <c r="C907" s="75" t="n"/>
      <c r="D907" s="75" t="n"/>
      <c r="E907" s="75" t="n"/>
      <c r="F907" s="75" t="n"/>
      <c r="G907" s="75" t="n"/>
      <c r="H907" s="76">
        <f>IFERROR(__xludf.DUMMYFUNCTION("""COMPUTED_VALUE"""),"")</f>
        <v/>
      </c>
      <c r="I907" s="75" t="n"/>
      <c r="J907" s="77">
        <f>IFERROR(__xludf.DUMMYFUNCTION("""COMPUTED_VALUE"""),0.0)</f>
        <v/>
      </c>
      <c r="K907" s="4">
        <f>IFERROR(__xludf.DUMMYFUNCTION("""COMPUTED_VALUE"""),0.0)</f>
        <v/>
      </c>
      <c r="L907" s="77">
        <f>IFERROR(__xludf.DUMMYFUNCTION("""COMPUTED_VALUE"""),0.0)</f>
        <v/>
      </c>
      <c r="O907" s="72" t="n"/>
      <c r="S907" s="4" t="n"/>
    </row>
    <row r="908">
      <c r="A908" s="74" t="n"/>
      <c r="B908" s="72" t="n"/>
      <c r="C908" s="75" t="n"/>
      <c r="D908" s="75" t="n"/>
      <c r="E908" s="75" t="n"/>
      <c r="F908" s="75" t="n"/>
      <c r="G908" s="75" t="n"/>
      <c r="H908" s="76">
        <f>IFERROR(__xludf.DUMMYFUNCTION("""COMPUTED_VALUE"""),"")</f>
        <v/>
      </c>
      <c r="I908" s="75" t="n"/>
      <c r="J908" s="77">
        <f>IFERROR(__xludf.DUMMYFUNCTION("""COMPUTED_VALUE"""),0.0)</f>
        <v/>
      </c>
      <c r="K908" s="4">
        <f>IFERROR(__xludf.DUMMYFUNCTION("""COMPUTED_VALUE"""),0.0)</f>
        <v/>
      </c>
      <c r="L908" s="77">
        <f>IFERROR(__xludf.DUMMYFUNCTION("""COMPUTED_VALUE"""),0.0)</f>
        <v/>
      </c>
      <c r="O908" s="72" t="n"/>
      <c r="S908" s="4" t="n"/>
    </row>
    <row r="909">
      <c r="A909" s="74" t="n"/>
      <c r="B909" s="72" t="n"/>
      <c r="C909" s="75" t="n"/>
      <c r="D909" s="75" t="n"/>
      <c r="E909" s="75" t="n"/>
      <c r="F909" s="75" t="n"/>
      <c r="G909" s="75" t="n"/>
      <c r="H909" s="76">
        <f>IFERROR(__xludf.DUMMYFUNCTION("""COMPUTED_VALUE"""),"")</f>
        <v/>
      </c>
      <c r="I909" s="75" t="n"/>
      <c r="J909" s="77">
        <f>IFERROR(__xludf.DUMMYFUNCTION("""COMPUTED_VALUE"""),0.0)</f>
        <v/>
      </c>
      <c r="K909" s="4">
        <f>IFERROR(__xludf.DUMMYFUNCTION("""COMPUTED_VALUE"""),0.0)</f>
        <v/>
      </c>
      <c r="L909" s="77">
        <f>IFERROR(__xludf.DUMMYFUNCTION("""COMPUTED_VALUE"""),0.0)</f>
        <v/>
      </c>
      <c r="O909" s="72" t="n"/>
      <c r="S909" s="4" t="n"/>
    </row>
    <row r="910">
      <c r="A910" s="74" t="n"/>
      <c r="B910" s="72" t="n"/>
      <c r="C910" s="75" t="n"/>
      <c r="D910" s="75" t="n"/>
      <c r="E910" s="75" t="n"/>
      <c r="F910" s="75" t="n"/>
      <c r="G910" s="75" t="n"/>
      <c r="H910" s="76">
        <f>IFERROR(__xludf.DUMMYFUNCTION("""COMPUTED_VALUE"""),"")</f>
        <v/>
      </c>
      <c r="I910" s="75" t="n"/>
      <c r="J910" s="77">
        <f>IFERROR(__xludf.DUMMYFUNCTION("""COMPUTED_VALUE"""),0.0)</f>
        <v/>
      </c>
      <c r="K910" s="4">
        <f>IFERROR(__xludf.DUMMYFUNCTION("""COMPUTED_VALUE"""),0.0)</f>
        <v/>
      </c>
      <c r="L910" s="77">
        <f>IFERROR(__xludf.DUMMYFUNCTION("""COMPUTED_VALUE"""),0.0)</f>
        <v/>
      </c>
      <c r="O910" s="72" t="n"/>
      <c r="S910" s="4" t="n"/>
    </row>
    <row r="911">
      <c r="A911" s="74" t="n"/>
      <c r="B911" s="72" t="n"/>
      <c r="C911" s="75" t="n"/>
      <c r="D911" s="75" t="n"/>
      <c r="E911" s="75" t="n"/>
      <c r="F911" s="75" t="n"/>
      <c r="G911" s="75" t="n"/>
      <c r="H911" s="76">
        <f>IFERROR(__xludf.DUMMYFUNCTION("""COMPUTED_VALUE"""),"")</f>
        <v/>
      </c>
      <c r="I911" s="75" t="n"/>
      <c r="J911" s="77">
        <f>IFERROR(__xludf.DUMMYFUNCTION("""COMPUTED_VALUE"""),0.0)</f>
        <v/>
      </c>
      <c r="K911" s="4">
        <f>IFERROR(__xludf.DUMMYFUNCTION("""COMPUTED_VALUE"""),0.0)</f>
        <v/>
      </c>
      <c r="L911" s="77">
        <f>IFERROR(__xludf.DUMMYFUNCTION("""COMPUTED_VALUE"""),0.0)</f>
        <v/>
      </c>
      <c r="O911" s="72" t="n"/>
      <c r="S911" s="4" t="n"/>
    </row>
    <row r="912">
      <c r="A912" s="74" t="n"/>
      <c r="B912" s="72" t="n"/>
      <c r="C912" s="75" t="n"/>
      <c r="D912" s="75" t="n"/>
      <c r="E912" s="75" t="n"/>
      <c r="F912" s="75" t="n"/>
      <c r="G912" s="75" t="n"/>
      <c r="H912" s="76">
        <f>IFERROR(__xludf.DUMMYFUNCTION("""COMPUTED_VALUE"""),"")</f>
        <v/>
      </c>
      <c r="I912" s="75" t="n"/>
      <c r="J912" s="77">
        <f>IFERROR(__xludf.DUMMYFUNCTION("""COMPUTED_VALUE"""),0.0)</f>
        <v/>
      </c>
      <c r="K912" s="4">
        <f>IFERROR(__xludf.DUMMYFUNCTION("""COMPUTED_VALUE"""),0.0)</f>
        <v/>
      </c>
      <c r="L912" s="77">
        <f>IFERROR(__xludf.DUMMYFUNCTION("""COMPUTED_VALUE"""),0.0)</f>
        <v/>
      </c>
      <c r="O912" s="72" t="n"/>
      <c r="S912" s="4" t="n"/>
    </row>
    <row r="913">
      <c r="A913" s="74" t="n"/>
      <c r="B913" s="72" t="n"/>
      <c r="C913" s="75" t="n"/>
      <c r="D913" s="75" t="n"/>
      <c r="E913" s="75" t="n"/>
      <c r="F913" s="75" t="n"/>
      <c r="G913" s="75" t="n"/>
      <c r="H913" s="76">
        <f>IFERROR(__xludf.DUMMYFUNCTION("""COMPUTED_VALUE"""),"")</f>
        <v/>
      </c>
      <c r="I913" s="75" t="n"/>
      <c r="J913" s="77">
        <f>IFERROR(__xludf.DUMMYFUNCTION("""COMPUTED_VALUE"""),0.0)</f>
        <v/>
      </c>
      <c r="K913" s="4">
        <f>IFERROR(__xludf.DUMMYFUNCTION("""COMPUTED_VALUE"""),0.0)</f>
        <v/>
      </c>
      <c r="L913" s="77">
        <f>IFERROR(__xludf.DUMMYFUNCTION("""COMPUTED_VALUE"""),0.0)</f>
        <v/>
      </c>
      <c r="O913" s="72" t="n"/>
      <c r="S913" s="4" t="n"/>
    </row>
    <row r="914">
      <c r="A914" s="74" t="n"/>
      <c r="B914" s="72" t="n"/>
      <c r="C914" s="75" t="n"/>
      <c r="D914" s="75" t="n"/>
      <c r="E914" s="75" t="n"/>
      <c r="F914" s="75" t="n"/>
      <c r="G914" s="75" t="n"/>
      <c r="H914" s="76">
        <f>IFERROR(__xludf.DUMMYFUNCTION("""COMPUTED_VALUE"""),"")</f>
        <v/>
      </c>
      <c r="I914" s="75" t="n"/>
      <c r="J914" s="77">
        <f>IFERROR(__xludf.DUMMYFUNCTION("""COMPUTED_VALUE"""),0.0)</f>
        <v/>
      </c>
      <c r="K914" s="4">
        <f>IFERROR(__xludf.DUMMYFUNCTION("""COMPUTED_VALUE"""),0.0)</f>
        <v/>
      </c>
      <c r="L914" s="77">
        <f>IFERROR(__xludf.DUMMYFUNCTION("""COMPUTED_VALUE"""),0.0)</f>
        <v/>
      </c>
      <c r="O914" s="72" t="n"/>
      <c r="S914" s="4" t="n"/>
    </row>
    <row r="915">
      <c r="A915" s="74" t="n"/>
      <c r="B915" s="72" t="n"/>
      <c r="C915" s="75" t="n"/>
      <c r="D915" s="75" t="n"/>
      <c r="E915" s="75" t="n"/>
      <c r="F915" s="75" t="n"/>
      <c r="G915" s="75" t="n"/>
      <c r="H915" s="76">
        <f>IFERROR(__xludf.DUMMYFUNCTION("""COMPUTED_VALUE"""),"")</f>
        <v/>
      </c>
      <c r="I915" s="75" t="n"/>
      <c r="J915" s="77">
        <f>IFERROR(__xludf.DUMMYFUNCTION("""COMPUTED_VALUE"""),0.0)</f>
        <v/>
      </c>
      <c r="K915" s="4">
        <f>IFERROR(__xludf.DUMMYFUNCTION("""COMPUTED_VALUE"""),0.0)</f>
        <v/>
      </c>
      <c r="L915" s="77">
        <f>IFERROR(__xludf.DUMMYFUNCTION("""COMPUTED_VALUE"""),0.0)</f>
        <v/>
      </c>
      <c r="O915" s="72" t="n"/>
      <c r="S915" s="4" t="n"/>
    </row>
    <row r="916">
      <c r="A916" s="74" t="n"/>
      <c r="B916" s="72" t="n"/>
      <c r="C916" s="75" t="n"/>
      <c r="D916" s="75" t="n"/>
      <c r="E916" s="75" t="n"/>
      <c r="F916" s="75" t="n"/>
      <c r="G916" s="75" t="n"/>
      <c r="H916" s="76">
        <f>IFERROR(__xludf.DUMMYFUNCTION("""COMPUTED_VALUE"""),"")</f>
        <v/>
      </c>
      <c r="I916" s="75" t="n"/>
      <c r="J916" s="77">
        <f>IFERROR(__xludf.DUMMYFUNCTION("""COMPUTED_VALUE"""),0.0)</f>
        <v/>
      </c>
      <c r="K916" s="4">
        <f>IFERROR(__xludf.DUMMYFUNCTION("""COMPUTED_VALUE"""),0.0)</f>
        <v/>
      </c>
      <c r="L916" s="77">
        <f>IFERROR(__xludf.DUMMYFUNCTION("""COMPUTED_VALUE"""),0.0)</f>
        <v/>
      </c>
      <c r="O916" s="72" t="n"/>
      <c r="S916" s="4" t="n"/>
    </row>
    <row r="917">
      <c r="A917" s="74" t="n"/>
      <c r="B917" s="72" t="n"/>
      <c r="C917" s="75" t="n"/>
      <c r="D917" s="75" t="n"/>
      <c r="E917" s="75" t="n"/>
      <c r="F917" s="75" t="n"/>
      <c r="G917" s="75" t="n"/>
      <c r="H917" s="76">
        <f>IFERROR(__xludf.DUMMYFUNCTION("""COMPUTED_VALUE"""),"")</f>
        <v/>
      </c>
      <c r="I917" s="75" t="n"/>
      <c r="J917" s="77">
        <f>IFERROR(__xludf.DUMMYFUNCTION("""COMPUTED_VALUE"""),0.0)</f>
        <v/>
      </c>
      <c r="K917" s="4">
        <f>IFERROR(__xludf.DUMMYFUNCTION("""COMPUTED_VALUE"""),0.0)</f>
        <v/>
      </c>
      <c r="L917" s="77">
        <f>IFERROR(__xludf.DUMMYFUNCTION("""COMPUTED_VALUE"""),0.0)</f>
        <v/>
      </c>
      <c r="O917" s="72" t="n"/>
      <c r="S917" s="4" t="n"/>
    </row>
    <row r="918">
      <c r="A918" s="74" t="n"/>
      <c r="B918" s="72" t="n"/>
      <c r="C918" s="75" t="n"/>
      <c r="D918" s="75" t="n"/>
      <c r="E918" s="75" t="n"/>
      <c r="F918" s="75" t="n"/>
      <c r="G918" s="75" t="n"/>
      <c r="H918" s="76">
        <f>IFERROR(__xludf.DUMMYFUNCTION("""COMPUTED_VALUE"""),"")</f>
        <v/>
      </c>
      <c r="I918" s="75" t="n"/>
      <c r="J918" s="77">
        <f>IFERROR(__xludf.DUMMYFUNCTION("""COMPUTED_VALUE"""),0.0)</f>
        <v/>
      </c>
      <c r="K918" s="4">
        <f>IFERROR(__xludf.DUMMYFUNCTION("""COMPUTED_VALUE"""),0.0)</f>
        <v/>
      </c>
      <c r="L918" s="77">
        <f>IFERROR(__xludf.DUMMYFUNCTION("""COMPUTED_VALUE"""),0.0)</f>
        <v/>
      </c>
      <c r="O918" s="72" t="n"/>
      <c r="S918" s="4" t="n"/>
    </row>
    <row r="919">
      <c r="A919" s="74" t="n"/>
      <c r="B919" s="72" t="n"/>
      <c r="C919" s="75" t="n"/>
      <c r="D919" s="75" t="n"/>
      <c r="E919" s="75" t="n"/>
      <c r="F919" s="75" t="n"/>
      <c r="G919" s="75" t="n"/>
      <c r="H919" s="76">
        <f>IFERROR(__xludf.DUMMYFUNCTION("""COMPUTED_VALUE"""),"")</f>
        <v/>
      </c>
      <c r="I919" s="75" t="n"/>
      <c r="J919" s="77">
        <f>IFERROR(__xludf.DUMMYFUNCTION("""COMPUTED_VALUE"""),0.0)</f>
        <v/>
      </c>
      <c r="K919" s="4">
        <f>IFERROR(__xludf.DUMMYFUNCTION("""COMPUTED_VALUE"""),0.0)</f>
        <v/>
      </c>
      <c r="L919" s="77">
        <f>IFERROR(__xludf.DUMMYFUNCTION("""COMPUTED_VALUE"""),0.0)</f>
        <v/>
      </c>
      <c r="O919" s="72" t="n"/>
      <c r="S919" s="4" t="n"/>
    </row>
    <row r="920">
      <c r="A920" s="74" t="n"/>
      <c r="B920" s="72" t="n"/>
      <c r="C920" s="75" t="n"/>
      <c r="D920" s="75" t="n"/>
      <c r="E920" s="75" t="n"/>
      <c r="F920" s="75" t="n"/>
      <c r="G920" s="75" t="n"/>
      <c r="H920" s="76">
        <f>IFERROR(__xludf.DUMMYFUNCTION("""COMPUTED_VALUE"""),"")</f>
        <v/>
      </c>
      <c r="I920" s="75" t="n"/>
      <c r="J920" s="77">
        <f>IFERROR(__xludf.DUMMYFUNCTION("""COMPUTED_VALUE"""),0.0)</f>
        <v/>
      </c>
      <c r="K920" s="4">
        <f>IFERROR(__xludf.DUMMYFUNCTION("""COMPUTED_VALUE"""),0.0)</f>
        <v/>
      </c>
      <c r="L920" s="77">
        <f>IFERROR(__xludf.DUMMYFUNCTION("""COMPUTED_VALUE"""),0.0)</f>
        <v/>
      </c>
      <c r="O920" s="72" t="n"/>
      <c r="S920" s="4" t="n"/>
    </row>
    <row r="921">
      <c r="A921" s="74" t="n"/>
      <c r="B921" s="72" t="n"/>
      <c r="C921" s="75" t="n"/>
      <c r="D921" s="75" t="n"/>
      <c r="E921" s="75" t="n"/>
      <c r="F921" s="75" t="n"/>
      <c r="G921" s="75" t="n"/>
      <c r="H921" s="76">
        <f>IFERROR(__xludf.DUMMYFUNCTION("""COMPUTED_VALUE"""),"")</f>
        <v/>
      </c>
      <c r="I921" s="75" t="n"/>
      <c r="J921" s="77">
        <f>IFERROR(__xludf.DUMMYFUNCTION("""COMPUTED_VALUE"""),0.0)</f>
        <v/>
      </c>
      <c r="K921" s="4">
        <f>IFERROR(__xludf.DUMMYFUNCTION("""COMPUTED_VALUE"""),0.0)</f>
        <v/>
      </c>
      <c r="L921" s="77">
        <f>IFERROR(__xludf.DUMMYFUNCTION("""COMPUTED_VALUE"""),0.0)</f>
        <v/>
      </c>
      <c r="O921" s="72" t="n"/>
      <c r="S921" s="4" t="n"/>
    </row>
    <row r="922">
      <c r="A922" s="74" t="n"/>
      <c r="B922" s="72" t="n"/>
      <c r="C922" s="75" t="n"/>
      <c r="D922" s="75" t="n"/>
      <c r="E922" s="75" t="n"/>
      <c r="F922" s="75" t="n"/>
      <c r="G922" s="75" t="n"/>
      <c r="H922" s="76">
        <f>IFERROR(__xludf.DUMMYFUNCTION("""COMPUTED_VALUE"""),"")</f>
        <v/>
      </c>
      <c r="I922" s="75" t="n"/>
      <c r="J922" s="77">
        <f>IFERROR(__xludf.DUMMYFUNCTION("""COMPUTED_VALUE"""),0.0)</f>
        <v/>
      </c>
      <c r="K922" s="4">
        <f>IFERROR(__xludf.DUMMYFUNCTION("""COMPUTED_VALUE"""),0.0)</f>
        <v/>
      </c>
      <c r="L922" s="77">
        <f>IFERROR(__xludf.DUMMYFUNCTION("""COMPUTED_VALUE"""),0.0)</f>
        <v/>
      </c>
      <c r="O922" s="72" t="n"/>
      <c r="S922" s="4" t="n"/>
    </row>
    <row r="923">
      <c r="A923" s="74" t="n"/>
      <c r="B923" s="72" t="n"/>
      <c r="C923" s="75" t="n"/>
      <c r="D923" s="75" t="n"/>
      <c r="E923" s="75" t="n"/>
      <c r="F923" s="75" t="n"/>
      <c r="G923" s="75" t="n"/>
      <c r="H923" s="76">
        <f>IFERROR(__xludf.DUMMYFUNCTION("""COMPUTED_VALUE"""),"")</f>
        <v/>
      </c>
      <c r="I923" s="75" t="n"/>
      <c r="J923" s="77">
        <f>IFERROR(__xludf.DUMMYFUNCTION("""COMPUTED_VALUE"""),0.0)</f>
        <v/>
      </c>
      <c r="K923" s="4">
        <f>IFERROR(__xludf.DUMMYFUNCTION("""COMPUTED_VALUE"""),0.0)</f>
        <v/>
      </c>
      <c r="L923" s="77">
        <f>IFERROR(__xludf.DUMMYFUNCTION("""COMPUTED_VALUE"""),0.0)</f>
        <v/>
      </c>
      <c r="O923" s="72" t="n"/>
      <c r="S923" s="4" t="n"/>
    </row>
    <row r="924">
      <c r="A924" s="74" t="n"/>
      <c r="B924" s="72" t="n"/>
      <c r="C924" s="75" t="n"/>
      <c r="D924" s="75" t="n"/>
      <c r="E924" s="75" t="n"/>
      <c r="F924" s="75" t="n"/>
      <c r="G924" s="75" t="n"/>
      <c r="H924" s="76">
        <f>IFERROR(__xludf.DUMMYFUNCTION("""COMPUTED_VALUE"""),"")</f>
        <v/>
      </c>
      <c r="I924" s="75" t="n"/>
      <c r="J924" s="77">
        <f>IFERROR(__xludf.DUMMYFUNCTION("""COMPUTED_VALUE"""),0.0)</f>
        <v/>
      </c>
      <c r="K924" s="4">
        <f>IFERROR(__xludf.DUMMYFUNCTION("""COMPUTED_VALUE"""),0.0)</f>
        <v/>
      </c>
      <c r="L924" s="77">
        <f>IFERROR(__xludf.DUMMYFUNCTION("""COMPUTED_VALUE"""),0.0)</f>
        <v/>
      </c>
      <c r="O924" s="72" t="n"/>
      <c r="S924" s="4" t="n"/>
    </row>
    <row r="925">
      <c r="A925" s="74" t="n"/>
      <c r="B925" s="72" t="n"/>
      <c r="C925" s="75" t="n"/>
      <c r="D925" s="75" t="n"/>
      <c r="E925" s="75" t="n"/>
      <c r="F925" s="75" t="n"/>
      <c r="G925" s="75" t="n"/>
      <c r="H925" s="76">
        <f>IFERROR(__xludf.DUMMYFUNCTION("""COMPUTED_VALUE"""),"")</f>
        <v/>
      </c>
      <c r="I925" s="75" t="n"/>
      <c r="J925" s="77">
        <f>IFERROR(__xludf.DUMMYFUNCTION("""COMPUTED_VALUE"""),0.0)</f>
        <v/>
      </c>
      <c r="K925" s="4">
        <f>IFERROR(__xludf.DUMMYFUNCTION("""COMPUTED_VALUE"""),0.0)</f>
        <v/>
      </c>
      <c r="L925" s="77">
        <f>IFERROR(__xludf.DUMMYFUNCTION("""COMPUTED_VALUE"""),0.0)</f>
        <v/>
      </c>
      <c r="O925" s="72" t="n"/>
      <c r="S925" s="4" t="n"/>
    </row>
    <row r="926">
      <c r="A926" s="74" t="n"/>
      <c r="B926" s="72" t="n"/>
      <c r="C926" s="75" t="n"/>
      <c r="D926" s="75" t="n"/>
      <c r="E926" s="75" t="n"/>
      <c r="F926" s="75" t="n"/>
      <c r="G926" s="75" t="n"/>
      <c r="H926" s="76">
        <f>IFERROR(__xludf.DUMMYFUNCTION("""COMPUTED_VALUE"""),"")</f>
        <v/>
      </c>
      <c r="I926" s="75" t="n"/>
      <c r="J926" s="77">
        <f>IFERROR(__xludf.DUMMYFUNCTION("""COMPUTED_VALUE"""),0.0)</f>
        <v/>
      </c>
      <c r="K926" s="4">
        <f>IFERROR(__xludf.DUMMYFUNCTION("""COMPUTED_VALUE"""),0.0)</f>
        <v/>
      </c>
      <c r="L926" s="77">
        <f>IFERROR(__xludf.DUMMYFUNCTION("""COMPUTED_VALUE"""),0.0)</f>
        <v/>
      </c>
      <c r="O926" s="72" t="n"/>
      <c r="S926" s="4" t="n"/>
    </row>
    <row r="927">
      <c r="A927" s="74" t="n"/>
      <c r="B927" s="72" t="n"/>
      <c r="C927" s="75" t="n"/>
      <c r="D927" s="75" t="n"/>
      <c r="E927" s="75" t="n"/>
      <c r="F927" s="75" t="n"/>
      <c r="G927" s="75" t="n"/>
      <c r="H927" s="76">
        <f>IFERROR(__xludf.DUMMYFUNCTION("""COMPUTED_VALUE"""),"")</f>
        <v/>
      </c>
      <c r="I927" s="75" t="n"/>
      <c r="J927" s="77">
        <f>IFERROR(__xludf.DUMMYFUNCTION("""COMPUTED_VALUE"""),0.0)</f>
        <v/>
      </c>
      <c r="K927" s="4">
        <f>IFERROR(__xludf.DUMMYFUNCTION("""COMPUTED_VALUE"""),0.0)</f>
        <v/>
      </c>
      <c r="L927" s="77">
        <f>IFERROR(__xludf.DUMMYFUNCTION("""COMPUTED_VALUE"""),0.0)</f>
        <v/>
      </c>
      <c r="O927" s="72" t="n"/>
      <c r="S927" s="4" t="n"/>
    </row>
    <row r="928">
      <c r="A928" s="74" t="n"/>
      <c r="B928" s="72" t="n"/>
      <c r="C928" s="75" t="n"/>
      <c r="D928" s="75" t="n"/>
      <c r="E928" s="75" t="n"/>
      <c r="F928" s="75" t="n"/>
      <c r="G928" s="75" t="n"/>
      <c r="H928" s="76">
        <f>IFERROR(__xludf.DUMMYFUNCTION("""COMPUTED_VALUE"""),"")</f>
        <v/>
      </c>
      <c r="I928" s="75" t="n"/>
      <c r="J928" s="77">
        <f>IFERROR(__xludf.DUMMYFUNCTION("""COMPUTED_VALUE"""),0.0)</f>
        <v/>
      </c>
      <c r="K928" s="4">
        <f>IFERROR(__xludf.DUMMYFUNCTION("""COMPUTED_VALUE"""),0.0)</f>
        <v/>
      </c>
      <c r="L928" s="77">
        <f>IFERROR(__xludf.DUMMYFUNCTION("""COMPUTED_VALUE"""),0.0)</f>
        <v/>
      </c>
      <c r="O928" s="72" t="n"/>
      <c r="S928" s="4" t="n"/>
    </row>
    <row r="929">
      <c r="A929" s="74" t="n"/>
      <c r="B929" s="72" t="n"/>
      <c r="C929" s="75" t="n"/>
      <c r="D929" s="75" t="n"/>
      <c r="E929" s="75" t="n"/>
      <c r="F929" s="75" t="n"/>
      <c r="G929" s="75" t="n"/>
      <c r="H929" s="76">
        <f>IFERROR(__xludf.DUMMYFUNCTION("""COMPUTED_VALUE"""),"")</f>
        <v/>
      </c>
      <c r="I929" s="75" t="n"/>
      <c r="J929" s="77">
        <f>IFERROR(__xludf.DUMMYFUNCTION("""COMPUTED_VALUE"""),0.0)</f>
        <v/>
      </c>
      <c r="K929" s="4">
        <f>IFERROR(__xludf.DUMMYFUNCTION("""COMPUTED_VALUE"""),0.0)</f>
        <v/>
      </c>
      <c r="L929" s="77">
        <f>IFERROR(__xludf.DUMMYFUNCTION("""COMPUTED_VALUE"""),0.0)</f>
        <v/>
      </c>
      <c r="O929" s="72" t="n"/>
      <c r="S929" s="4" t="n"/>
    </row>
    <row r="930">
      <c r="A930" s="74" t="n"/>
      <c r="B930" s="72" t="n"/>
      <c r="C930" s="75" t="n"/>
      <c r="D930" s="75" t="n"/>
      <c r="E930" s="75" t="n"/>
      <c r="F930" s="75" t="n"/>
      <c r="G930" s="75" t="n"/>
      <c r="H930" s="76">
        <f>IFERROR(__xludf.DUMMYFUNCTION("""COMPUTED_VALUE"""),"")</f>
        <v/>
      </c>
      <c r="I930" s="75" t="n"/>
      <c r="J930" s="77">
        <f>IFERROR(__xludf.DUMMYFUNCTION("""COMPUTED_VALUE"""),0.0)</f>
        <v/>
      </c>
      <c r="K930" s="4">
        <f>IFERROR(__xludf.DUMMYFUNCTION("""COMPUTED_VALUE"""),0.0)</f>
        <v/>
      </c>
      <c r="L930" s="77">
        <f>IFERROR(__xludf.DUMMYFUNCTION("""COMPUTED_VALUE"""),0.0)</f>
        <v/>
      </c>
      <c r="O930" s="72" t="n"/>
      <c r="S930" s="4" t="n"/>
    </row>
    <row r="931">
      <c r="A931" s="74" t="n"/>
      <c r="B931" s="72" t="n"/>
      <c r="C931" s="75" t="n"/>
      <c r="D931" s="75" t="n"/>
      <c r="E931" s="75" t="n"/>
      <c r="F931" s="75" t="n"/>
      <c r="G931" s="75" t="n"/>
      <c r="H931" s="76">
        <f>IFERROR(__xludf.DUMMYFUNCTION("""COMPUTED_VALUE"""),"")</f>
        <v/>
      </c>
      <c r="I931" s="75" t="n"/>
      <c r="J931" s="77">
        <f>IFERROR(__xludf.DUMMYFUNCTION("""COMPUTED_VALUE"""),0.0)</f>
        <v/>
      </c>
      <c r="K931" s="4">
        <f>IFERROR(__xludf.DUMMYFUNCTION("""COMPUTED_VALUE"""),0.0)</f>
        <v/>
      </c>
      <c r="L931" s="77">
        <f>IFERROR(__xludf.DUMMYFUNCTION("""COMPUTED_VALUE"""),0.0)</f>
        <v/>
      </c>
      <c r="O931" s="72" t="n"/>
      <c r="S931" s="4" t="n"/>
    </row>
    <row r="932">
      <c r="A932" s="74" t="n"/>
      <c r="B932" s="72" t="n"/>
      <c r="C932" s="75" t="n"/>
      <c r="D932" s="75" t="n"/>
      <c r="E932" s="75" t="n"/>
      <c r="F932" s="75" t="n"/>
      <c r="G932" s="75" t="n"/>
      <c r="H932" s="76">
        <f>IFERROR(__xludf.DUMMYFUNCTION("""COMPUTED_VALUE"""),"")</f>
        <v/>
      </c>
      <c r="I932" s="75" t="n"/>
      <c r="J932" s="77">
        <f>IFERROR(__xludf.DUMMYFUNCTION("""COMPUTED_VALUE"""),0.0)</f>
        <v/>
      </c>
      <c r="K932" s="4">
        <f>IFERROR(__xludf.DUMMYFUNCTION("""COMPUTED_VALUE"""),0.0)</f>
        <v/>
      </c>
      <c r="L932" s="77">
        <f>IFERROR(__xludf.DUMMYFUNCTION("""COMPUTED_VALUE"""),0.0)</f>
        <v/>
      </c>
      <c r="O932" s="72" t="n"/>
      <c r="S932" s="4" t="n"/>
    </row>
    <row r="933">
      <c r="A933" s="74" t="n"/>
      <c r="B933" s="72" t="n"/>
      <c r="C933" s="75" t="n"/>
      <c r="D933" s="75" t="n"/>
      <c r="E933" s="75" t="n"/>
      <c r="F933" s="75" t="n"/>
      <c r="G933" s="75" t="n"/>
      <c r="H933" s="76">
        <f>IFERROR(__xludf.DUMMYFUNCTION("""COMPUTED_VALUE"""),"")</f>
        <v/>
      </c>
      <c r="I933" s="75" t="n"/>
      <c r="J933" s="77">
        <f>IFERROR(__xludf.DUMMYFUNCTION("""COMPUTED_VALUE"""),0.0)</f>
        <v/>
      </c>
      <c r="K933" s="4">
        <f>IFERROR(__xludf.DUMMYFUNCTION("""COMPUTED_VALUE"""),0.0)</f>
        <v/>
      </c>
      <c r="L933" s="77">
        <f>IFERROR(__xludf.DUMMYFUNCTION("""COMPUTED_VALUE"""),0.0)</f>
        <v/>
      </c>
      <c r="O933" s="72" t="n"/>
      <c r="S933" s="4" t="n"/>
    </row>
    <row r="934">
      <c r="A934" s="74" t="n"/>
      <c r="B934" s="72" t="n"/>
      <c r="C934" s="75" t="n"/>
      <c r="D934" s="75" t="n"/>
      <c r="E934" s="75" t="n"/>
      <c r="F934" s="75" t="n"/>
      <c r="G934" s="75" t="n"/>
      <c r="H934" s="76">
        <f>IFERROR(__xludf.DUMMYFUNCTION("""COMPUTED_VALUE"""),"")</f>
        <v/>
      </c>
      <c r="I934" s="75" t="n"/>
      <c r="J934" s="77">
        <f>IFERROR(__xludf.DUMMYFUNCTION("""COMPUTED_VALUE"""),0.0)</f>
        <v/>
      </c>
      <c r="K934" s="4">
        <f>IFERROR(__xludf.DUMMYFUNCTION("""COMPUTED_VALUE"""),0.0)</f>
        <v/>
      </c>
      <c r="L934" s="77">
        <f>IFERROR(__xludf.DUMMYFUNCTION("""COMPUTED_VALUE"""),0.0)</f>
        <v/>
      </c>
      <c r="O934" s="72" t="n"/>
      <c r="S934" s="4" t="n"/>
    </row>
    <row r="935">
      <c r="A935" s="74" t="n"/>
      <c r="B935" s="72" t="n"/>
      <c r="C935" s="75" t="n"/>
      <c r="D935" s="75" t="n"/>
      <c r="E935" s="75" t="n"/>
      <c r="F935" s="75" t="n"/>
      <c r="G935" s="75" t="n"/>
      <c r="H935" s="76">
        <f>IFERROR(__xludf.DUMMYFUNCTION("""COMPUTED_VALUE"""),"")</f>
        <v/>
      </c>
      <c r="I935" s="75" t="n"/>
      <c r="J935" s="77">
        <f>IFERROR(__xludf.DUMMYFUNCTION("""COMPUTED_VALUE"""),0.0)</f>
        <v/>
      </c>
      <c r="K935" s="4">
        <f>IFERROR(__xludf.DUMMYFUNCTION("""COMPUTED_VALUE"""),0.0)</f>
        <v/>
      </c>
      <c r="L935" s="77">
        <f>IFERROR(__xludf.DUMMYFUNCTION("""COMPUTED_VALUE"""),0.0)</f>
        <v/>
      </c>
      <c r="O935" s="72" t="n"/>
      <c r="S935" s="4" t="n"/>
    </row>
    <row r="936">
      <c r="A936" s="74" t="n"/>
      <c r="B936" s="72" t="n"/>
      <c r="C936" s="75" t="n"/>
      <c r="D936" s="75" t="n"/>
      <c r="E936" s="75" t="n"/>
      <c r="F936" s="75" t="n"/>
      <c r="G936" s="75" t="n"/>
      <c r="H936" s="76">
        <f>IFERROR(__xludf.DUMMYFUNCTION("""COMPUTED_VALUE"""),"")</f>
        <v/>
      </c>
      <c r="I936" s="75" t="n"/>
      <c r="J936" s="77">
        <f>IFERROR(__xludf.DUMMYFUNCTION("""COMPUTED_VALUE"""),0.0)</f>
        <v/>
      </c>
      <c r="K936" s="4">
        <f>IFERROR(__xludf.DUMMYFUNCTION("""COMPUTED_VALUE"""),0.0)</f>
        <v/>
      </c>
      <c r="L936" s="77">
        <f>IFERROR(__xludf.DUMMYFUNCTION("""COMPUTED_VALUE"""),0.0)</f>
        <v/>
      </c>
      <c r="O936" s="72" t="n"/>
      <c r="S936" s="4" t="n"/>
    </row>
    <row r="937">
      <c r="A937" s="74" t="n"/>
      <c r="B937" s="72" t="n"/>
      <c r="C937" s="75" t="n"/>
      <c r="D937" s="75" t="n"/>
      <c r="E937" s="75" t="n"/>
      <c r="F937" s="75" t="n"/>
      <c r="G937" s="75" t="n"/>
      <c r="H937" s="76">
        <f>IFERROR(__xludf.DUMMYFUNCTION("""COMPUTED_VALUE"""),"")</f>
        <v/>
      </c>
      <c r="I937" s="75" t="n"/>
      <c r="J937" s="77">
        <f>IFERROR(__xludf.DUMMYFUNCTION("""COMPUTED_VALUE"""),0.0)</f>
        <v/>
      </c>
      <c r="K937" s="4">
        <f>IFERROR(__xludf.DUMMYFUNCTION("""COMPUTED_VALUE"""),0.0)</f>
        <v/>
      </c>
      <c r="L937" s="77">
        <f>IFERROR(__xludf.DUMMYFUNCTION("""COMPUTED_VALUE"""),0.0)</f>
        <v/>
      </c>
      <c r="O937" s="72" t="n"/>
      <c r="S937" s="4" t="n"/>
    </row>
    <row r="938">
      <c r="A938" s="74" t="n"/>
      <c r="B938" s="72" t="n"/>
      <c r="C938" s="75" t="n"/>
      <c r="D938" s="75" t="n"/>
      <c r="E938" s="75" t="n"/>
      <c r="F938" s="75" t="n"/>
      <c r="G938" s="75" t="n"/>
      <c r="H938" s="76">
        <f>IFERROR(__xludf.DUMMYFUNCTION("""COMPUTED_VALUE"""),"")</f>
        <v/>
      </c>
      <c r="I938" s="75" t="n"/>
      <c r="J938" s="77">
        <f>IFERROR(__xludf.DUMMYFUNCTION("""COMPUTED_VALUE"""),0.0)</f>
        <v/>
      </c>
      <c r="K938" s="4">
        <f>IFERROR(__xludf.DUMMYFUNCTION("""COMPUTED_VALUE"""),0.0)</f>
        <v/>
      </c>
      <c r="L938" s="77">
        <f>IFERROR(__xludf.DUMMYFUNCTION("""COMPUTED_VALUE"""),0.0)</f>
        <v/>
      </c>
      <c r="O938" s="72" t="n"/>
      <c r="S938" s="4" t="n"/>
    </row>
    <row r="939">
      <c r="A939" s="74" t="n"/>
      <c r="B939" s="72" t="n"/>
      <c r="C939" s="75" t="n"/>
      <c r="D939" s="75" t="n"/>
      <c r="E939" s="75" t="n"/>
      <c r="F939" s="75" t="n"/>
      <c r="G939" s="75" t="n"/>
      <c r="H939" s="76">
        <f>IFERROR(__xludf.DUMMYFUNCTION("""COMPUTED_VALUE"""),"")</f>
        <v/>
      </c>
      <c r="I939" s="75" t="n"/>
      <c r="J939" s="77">
        <f>IFERROR(__xludf.DUMMYFUNCTION("""COMPUTED_VALUE"""),0.0)</f>
        <v/>
      </c>
      <c r="K939" s="4">
        <f>IFERROR(__xludf.DUMMYFUNCTION("""COMPUTED_VALUE"""),0.0)</f>
        <v/>
      </c>
      <c r="L939" s="77">
        <f>IFERROR(__xludf.DUMMYFUNCTION("""COMPUTED_VALUE"""),0.0)</f>
        <v/>
      </c>
      <c r="O939" s="72" t="n"/>
      <c r="S939" s="4" t="n"/>
    </row>
    <row r="940">
      <c r="A940" s="74" t="n"/>
      <c r="B940" s="72" t="n"/>
      <c r="C940" s="75" t="n"/>
      <c r="D940" s="75" t="n"/>
      <c r="E940" s="75" t="n"/>
      <c r="F940" s="75" t="n"/>
      <c r="G940" s="75" t="n"/>
      <c r="H940" s="76">
        <f>IFERROR(__xludf.DUMMYFUNCTION("""COMPUTED_VALUE"""),"")</f>
        <v/>
      </c>
      <c r="I940" s="75" t="n"/>
      <c r="J940" s="77">
        <f>IFERROR(__xludf.DUMMYFUNCTION("""COMPUTED_VALUE"""),0.0)</f>
        <v/>
      </c>
      <c r="K940" s="4">
        <f>IFERROR(__xludf.DUMMYFUNCTION("""COMPUTED_VALUE"""),0.0)</f>
        <v/>
      </c>
      <c r="L940" s="77">
        <f>IFERROR(__xludf.DUMMYFUNCTION("""COMPUTED_VALUE"""),0.0)</f>
        <v/>
      </c>
      <c r="O940" s="72" t="n"/>
      <c r="S940" s="4" t="n"/>
    </row>
    <row r="941">
      <c r="A941" s="74" t="n"/>
      <c r="B941" s="72" t="n"/>
      <c r="C941" s="75" t="n"/>
      <c r="D941" s="75" t="n"/>
      <c r="E941" s="75" t="n"/>
      <c r="F941" s="75" t="n"/>
      <c r="G941" s="75" t="n"/>
      <c r="H941" s="76">
        <f>IFERROR(__xludf.DUMMYFUNCTION("""COMPUTED_VALUE"""),"")</f>
        <v/>
      </c>
      <c r="I941" s="75" t="n"/>
      <c r="J941" s="77">
        <f>IFERROR(__xludf.DUMMYFUNCTION("""COMPUTED_VALUE"""),0.0)</f>
        <v/>
      </c>
      <c r="K941" s="4">
        <f>IFERROR(__xludf.DUMMYFUNCTION("""COMPUTED_VALUE"""),0.0)</f>
        <v/>
      </c>
      <c r="L941" s="77">
        <f>IFERROR(__xludf.DUMMYFUNCTION("""COMPUTED_VALUE"""),0.0)</f>
        <v/>
      </c>
      <c r="O941" s="72" t="n"/>
      <c r="S941" s="4" t="n"/>
    </row>
    <row r="942">
      <c r="A942" s="74" t="n"/>
      <c r="B942" s="72" t="n"/>
      <c r="C942" s="75" t="n"/>
      <c r="D942" s="75" t="n"/>
      <c r="E942" s="75" t="n"/>
      <c r="F942" s="75" t="n"/>
      <c r="G942" s="75" t="n"/>
      <c r="H942" s="76">
        <f>IFERROR(__xludf.DUMMYFUNCTION("""COMPUTED_VALUE"""),"")</f>
        <v/>
      </c>
      <c r="I942" s="75" t="n"/>
      <c r="J942" s="77">
        <f>IFERROR(__xludf.DUMMYFUNCTION("""COMPUTED_VALUE"""),0.0)</f>
        <v/>
      </c>
      <c r="K942" s="4">
        <f>IFERROR(__xludf.DUMMYFUNCTION("""COMPUTED_VALUE"""),0.0)</f>
        <v/>
      </c>
      <c r="L942" s="77">
        <f>IFERROR(__xludf.DUMMYFUNCTION("""COMPUTED_VALUE"""),0.0)</f>
        <v/>
      </c>
      <c r="O942" s="72" t="n"/>
      <c r="S942" s="4" t="n"/>
    </row>
    <row r="943">
      <c r="A943" s="74" t="n"/>
      <c r="B943" s="72" t="n"/>
      <c r="C943" s="75" t="n"/>
      <c r="D943" s="75" t="n"/>
      <c r="E943" s="75" t="n"/>
      <c r="F943" s="75" t="n"/>
      <c r="G943" s="75" t="n"/>
      <c r="H943" s="76">
        <f>IFERROR(__xludf.DUMMYFUNCTION("""COMPUTED_VALUE"""),"")</f>
        <v/>
      </c>
      <c r="I943" s="75" t="n"/>
      <c r="J943" s="77">
        <f>IFERROR(__xludf.DUMMYFUNCTION("""COMPUTED_VALUE"""),0.0)</f>
        <v/>
      </c>
      <c r="K943" s="4">
        <f>IFERROR(__xludf.DUMMYFUNCTION("""COMPUTED_VALUE"""),0.0)</f>
        <v/>
      </c>
      <c r="L943" s="77">
        <f>IFERROR(__xludf.DUMMYFUNCTION("""COMPUTED_VALUE"""),0.0)</f>
        <v/>
      </c>
      <c r="O943" s="72" t="n"/>
      <c r="S943" s="4" t="n"/>
    </row>
    <row r="944">
      <c r="A944" s="74" t="n"/>
      <c r="B944" s="72" t="n"/>
      <c r="C944" s="75" t="n"/>
      <c r="D944" s="75" t="n"/>
      <c r="E944" s="75" t="n"/>
      <c r="F944" s="75" t="n"/>
      <c r="G944" s="75" t="n"/>
      <c r="H944" s="76">
        <f>IFERROR(__xludf.DUMMYFUNCTION("""COMPUTED_VALUE"""),"")</f>
        <v/>
      </c>
      <c r="I944" s="75" t="n"/>
      <c r="J944" s="77">
        <f>IFERROR(__xludf.DUMMYFUNCTION("""COMPUTED_VALUE"""),0.0)</f>
        <v/>
      </c>
      <c r="K944" s="4">
        <f>IFERROR(__xludf.DUMMYFUNCTION("""COMPUTED_VALUE"""),0.0)</f>
        <v/>
      </c>
      <c r="L944" s="77">
        <f>IFERROR(__xludf.DUMMYFUNCTION("""COMPUTED_VALUE"""),0.0)</f>
        <v/>
      </c>
      <c r="O944" s="72" t="n"/>
      <c r="S944" s="4" t="n"/>
    </row>
    <row r="945">
      <c r="A945" s="74" t="n"/>
      <c r="B945" s="72" t="n"/>
      <c r="C945" s="75" t="n"/>
      <c r="D945" s="75" t="n"/>
      <c r="E945" s="75" t="n"/>
      <c r="F945" s="75" t="n"/>
      <c r="G945" s="75" t="n"/>
      <c r="H945" s="76">
        <f>IFERROR(__xludf.DUMMYFUNCTION("""COMPUTED_VALUE"""),"")</f>
        <v/>
      </c>
      <c r="I945" s="75" t="n"/>
      <c r="J945" s="77">
        <f>IFERROR(__xludf.DUMMYFUNCTION("""COMPUTED_VALUE"""),0.0)</f>
        <v/>
      </c>
      <c r="K945" s="4">
        <f>IFERROR(__xludf.DUMMYFUNCTION("""COMPUTED_VALUE"""),0.0)</f>
        <v/>
      </c>
      <c r="L945" s="77">
        <f>IFERROR(__xludf.DUMMYFUNCTION("""COMPUTED_VALUE"""),0.0)</f>
        <v/>
      </c>
      <c r="O945" s="72" t="n"/>
      <c r="S945" s="4" t="n"/>
    </row>
    <row r="946">
      <c r="A946" s="74" t="n"/>
      <c r="B946" s="72" t="n"/>
      <c r="C946" s="75" t="n"/>
      <c r="D946" s="75" t="n"/>
      <c r="E946" s="75" t="n"/>
      <c r="F946" s="75" t="n"/>
      <c r="G946" s="75" t="n"/>
      <c r="H946" s="76">
        <f>IFERROR(__xludf.DUMMYFUNCTION("""COMPUTED_VALUE"""),"")</f>
        <v/>
      </c>
      <c r="I946" s="75" t="n"/>
      <c r="J946" s="77">
        <f>IFERROR(__xludf.DUMMYFUNCTION("""COMPUTED_VALUE"""),0.0)</f>
        <v/>
      </c>
      <c r="K946" s="4">
        <f>IFERROR(__xludf.DUMMYFUNCTION("""COMPUTED_VALUE"""),0.0)</f>
        <v/>
      </c>
      <c r="L946" s="77">
        <f>IFERROR(__xludf.DUMMYFUNCTION("""COMPUTED_VALUE"""),0.0)</f>
        <v/>
      </c>
      <c r="O946" s="72" t="n"/>
      <c r="S946" s="4" t="n"/>
    </row>
    <row r="947">
      <c r="A947" s="74" t="n"/>
      <c r="B947" s="72" t="n"/>
      <c r="C947" s="75" t="n"/>
      <c r="D947" s="75" t="n"/>
      <c r="E947" s="75" t="n"/>
      <c r="F947" s="75" t="n"/>
      <c r="G947" s="75" t="n"/>
      <c r="H947" s="76">
        <f>IFERROR(__xludf.DUMMYFUNCTION("""COMPUTED_VALUE"""),"")</f>
        <v/>
      </c>
      <c r="I947" s="75" t="n"/>
      <c r="J947" s="77">
        <f>IFERROR(__xludf.DUMMYFUNCTION("""COMPUTED_VALUE"""),0.0)</f>
        <v/>
      </c>
      <c r="K947" s="4">
        <f>IFERROR(__xludf.DUMMYFUNCTION("""COMPUTED_VALUE"""),0.0)</f>
        <v/>
      </c>
      <c r="L947" s="77">
        <f>IFERROR(__xludf.DUMMYFUNCTION("""COMPUTED_VALUE"""),0.0)</f>
        <v/>
      </c>
      <c r="O947" s="72" t="n"/>
      <c r="S947" s="4" t="n"/>
    </row>
    <row r="948">
      <c r="A948" s="74" t="n"/>
      <c r="B948" s="72" t="n"/>
      <c r="C948" s="75" t="n"/>
      <c r="D948" s="75" t="n"/>
      <c r="E948" s="75" t="n"/>
      <c r="F948" s="75" t="n"/>
      <c r="G948" s="75" t="n"/>
      <c r="H948" s="76">
        <f>IFERROR(__xludf.DUMMYFUNCTION("""COMPUTED_VALUE"""),"")</f>
        <v/>
      </c>
      <c r="I948" s="75" t="n"/>
      <c r="J948" s="77">
        <f>IFERROR(__xludf.DUMMYFUNCTION("""COMPUTED_VALUE"""),0.0)</f>
        <v/>
      </c>
      <c r="K948" s="4">
        <f>IFERROR(__xludf.DUMMYFUNCTION("""COMPUTED_VALUE"""),0.0)</f>
        <v/>
      </c>
      <c r="L948" s="77">
        <f>IFERROR(__xludf.DUMMYFUNCTION("""COMPUTED_VALUE"""),0.0)</f>
        <v/>
      </c>
      <c r="O948" s="72" t="n"/>
      <c r="S948" s="4" t="n"/>
    </row>
    <row r="949">
      <c r="A949" s="74" t="n"/>
      <c r="B949" s="72" t="n"/>
      <c r="C949" s="75" t="n"/>
      <c r="D949" s="75" t="n"/>
      <c r="E949" s="75" t="n"/>
      <c r="F949" s="75" t="n"/>
      <c r="G949" s="75" t="n"/>
      <c r="H949" s="76">
        <f>IFERROR(__xludf.DUMMYFUNCTION("""COMPUTED_VALUE"""),"")</f>
        <v/>
      </c>
      <c r="I949" s="75" t="n"/>
      <c r="J949" s="77">
        <f>IFERROR(__xludf.DUMMYFUNCTION("""COMPUTED_VALUE"""),0.0)</f>
        <v/>
      </c>
      <c r="K949" s="4">
        <f>IFERROR(__xludf.DUMMYFUNCTION("""COMPUTED_VALUE"""),0.0)</f>
        <v/>
      </c>
      <c r="L949" s="77">
        <f>IFERROR(__xludf.DUMMYFUNCTION("""COMPUTED_VALUE"""),0.0)</f>
        <v/>
      </c>
      <c r="O949" s="72" t="n"/>
      <c r="S949" s="4" t="n"/>
    </row>
    <row r="950">
      <c r="A950" s="74" t="n"/>
      <c r="B950" s="72" t="n"/>
      <c r="C950" s="75" t="n"/>
      <c r="D950" s="75" t="n"/>
      <c r="E950" s="75" t="n"/>
      <c r="F950" s="75" t="n"/>
      <c r="G950" s="75" t="n"/>
      <c r="H950" s="76">
        <f>IFERROR(__xludf.DUMMYFUNCTION("""COMPUTED_VALUE"""),"")</f>
        <v/>
      </c>
      <c r="I950" s="75" t="n"/>
      <c r="J950" s="77">
        <f>IFERROR(__xludf.DUMMYFUNCTION("""COMPUTED_VALUE"""),0.0)</f>
        <v/>
      </c>
      <c r="K950" s="4">
        <f>IFERROR(__xludf.DUMMYFUNCTION("""COMPUTED_VALUE"""),0.0)</f>
        <v/>
      </c>
      <c r="L950" s="77">
        <f>IFERROR(__xludf.DUMMYFUNCTION("""COMPUTED_VALUE"""),0.0)</f>
        <v/>
      </c>
      <c r="O950" s="72" t="n"/>
      <c r="S950" s="4" t="n"/>
    </row>
    <row r="951">
      <c r="A951" s="74" t="n"/>
      <c r="B951" s="72" t="n"/>
      <c r="C951" s="75" t="n"/>
      <c r="D951" s="75" t="n"/>
      <c r="E951" s="75" t="n"/>
      <c r="F951" s="75" t="n"/>
      <c r="G951" s="75" t="n"/>
      <c r="H951" s="76">
        <f>IFERROR(__xludf.DUMMYFUNCTION("""COMPUTED_VALUE"""),"")</f>
        <v/>
      </c>
      <c r="I951" s="75" t="n"/>
      <c r="J951" s="77">
        <f>IFERROR(__xludf.DUMMYFUNCTION("""COMPUTED_VALUE"""),0.0)</f>
        <v/>
      </c>
      <c r="K951" s="4">
        <f>IFERROR(__xludf.DUMMYFUNCTION("""COMPUTED_VALUE"""),0.0)</f>
        <v/>
      </c>
      <c r="L951" s="77">
        <f>IFERROR(__xludf.DUMMYFUNCTION("""COMPUTED_VALUE"""),0.0)</f>
        <v/>
      </c>
      <c r="O951" s="72" t="n"/>
      <c r="S951" s="4" t="n"/>
    </row>
    <row r="952">
      <c r="A952" s="74" t="n"/>
      <c r="B952" s="72" t="n"/>
      <c r="C952" s="75" t="n"/>
      <c r="D952" s="75" t="n"/>
      <c r="E952" s="75" t="n"/>
      <c r="F952" s="75" t="n"/>
      <c r="G952" s="75" t="n"/>
      <c r="H952" s="76">
        <f>IFERROR(__xludf.DUMMYFUNCTION("""COMPUTED_VALUE"""),"")</f>
        <v/>
      </c>
      <c r="I952" s="75" t="n"/>
      <c r="J952" s="77">
        <f>IFERROR(__xludf.DUMMYFUNCTION("""COMPUTED_VALUE"""),0.0)</f>
        <v/>
      </c>
      <c r="K952" s="4">
        <f>IFERROR(__xludf.DUMMYFUNCTION("""COMPUTED_VALUE"""),0.0)</f>
        <v/>
      </c>
      <c r="L952" s="77">
        <f>IFERROR(__xludf.DUMMYFUNCTION("""COMPUTED_VALUE"""),0.0)</f>
        <v/>
      </c>
      <c r="O952" s="72" t="n"/>
      <c r="S952" s="4" t="n"/>
    </row>
    <row r="953">
      <c r="A953" s="74" t="n"/>
      <c r="B953" s="72" t="n"/>
      <c r="C953" s="75" t="n"/>
      <c r="D953" s="75" t="n"/>
      <c r="E953" s="75" t="n"/>
      <c r="F953" s="75" t="n"/>
      <c r="G953" s="75" t="n"/>
      <c r="H953" s="76">
        <f>IFERROR(__xludf.DUMMYFUNCTION("""COMPUTED_VALUE"""),"")</f>
        <v/>
      </c>
      <c r="I953" s="75" t="n"/>
      <c r="J953" s="77">
        <f>IFERROR(__xludf.DUMMYFUNCTION("""COMPUTED_VALUE"""),0.0)</f>
        <v/>
      </c>
      <c r="K953" s="4">
        <f>IFERROR(__xludf.DUMMYFUNCTION("""COMPUTED_VALUE"""),0.0)</f>
        <v/>
      </c>
      <c r="L953" s="77">
        <f>IFERROR(__xludf.DUMMYFUNCTION("""COMPUTED_VALUE"""),0.0)</f>
        <v/>
      </c>
      <c r="O953" s="72" t="n"/>
      <c r="S953" s="4" t="n"/>
    </row>
    <row r="954">
      <c r="A954" s="74" t="n"/>
      <c r="B954" s="72" t="n"/>
      <c r="C954" s="75" t="n"/>
      <c r="D954" s="75" t="n"/>
      <c r="E954" s="75" t="n"/>
      <c r="F954" s="75" t="n"/>
      <c r="G954" s="75" t="n"/>
      <c r="H954" s="76">
        <f>IFERROR(__xludf.DUMMYFUNCTION("""COMPUTED_VALUE"""),"")</f>
        <v/>
      </c>
      <c r="I954" s="75" t="n"/>
      <c r="J954" s="77">
        <f>IFERROR(__xludf.DUMMYFUNCTION("""COMPUTED_VALUE"""),0.0)</f>
        <v/>
      </c>
      <c r="K954" s="4">
        <f>IFERROR(__xludf.DUMMYFUNCTION("""COMPUTED_VALUE"""),0.0)</f>
        <v/>
      </c>
      <c r="L954" s="77">
        <f>IFERROR(__xludf.DUMMYFUNCTION("""COMPUTED_VALUE"""),0.0)</f>
        <v/>
      </c>
      <c r="O954" s="72" t="n"/>
      <c r="S954" s="4" t="n"/>
    </row>
    <row r="955">
      <c r="A955" s="74" t="n"/>
      <c r="B955" s="72" t="n"/>
      <c r="C955" s="75" t="n"/>
      <c r="D955" s="75" t="n"/>
      <c r="E955" s="75" t="n"/>
      <c r="F955" s="75" t="n"/>
      <c r="G955" s="75" t="n"/>
      <c r="H955" s="76">
        <f>IFERROR(__xludf.DUMMYFUNCTION("""COMPUTED_VALUE"""),"")</f>
        <v/>
      </c>
      <c r="I955" s="75" t="n"/>
      <c r="J955" s="77">
        <f>IFERROR(__xludf.DUMMYFUNCTION("""COMPUTED_VALUE"""),0.0)</f>
        <v/>
      </c>
      <c r="K955" s="4">
        <f>IFERROR(__xludf.DUMMYFUNCTION("""COMPUTED_VALUE"""),0.0)</f>
        <v/>
      </c>
      <c r="L955" s="77">
        <f>IFERROR(__xludf.DUMMYFUNCTION("""COMPUTED_VALUE"""),0.0)</f>
        <v/>
      </c>
      <c r="O955" s="72" t="n"/>
      <c r="S955" s="4" t="n"/>
    </row>
    <row r="956">
      <c r="A956" s="74" t="n"/>
      <c r="B956" s="72" t="n"/>
      <c r="C956" s="75" t="n"/>
      <c r="D956" s="75" t="n"/>
      <c r="E956" s="75" t="n"/>
      <c r="F956" s="75" t="n"/>
      <c r="G956" s="75" t="n"/>
      <c r="H956" s="76">
        <f>IFERROR(__xludf.DUMMYFUNCTION("""COMPUTED_VALUE"""),"")</f>
        <v/>
      </c>
      <c r="I956" s="75" t="n"/>
      <c r="J956" s="77">
        <f>IFERROR(__xludf.DUMMYFUNCTION("""COMPUTED_VALUE"""),0.0)</f>
        <v/>
      </c>
      <c r="K956" s="4">
        <f>IFERROR(__xludf.DUMMYFUNCTION("""COMPUTED_VALUE"""),0.0)</f>
        <v/>
      </c>
      <c r="L956" s="77">
        <f>IFERROR(__xludf.DUMMYFUNCTION("""COMPUTED_VALUE"""),0.0)</f>
        <v/>
      </c>
      <c r="O956" s="72" t="n"/>
      <c r="S956" s="4" t="n"/>
    </row>
    <row r="957">
      <c r="A957" s="74" t="n"/>
      <c r="B957" s="72" t="n"/>
      <c r="C957" s="75" t="n"/>
      <c r="D957" s="75" t="n"/>
      <c r="E957" s="75" t="n"/>
      <c r="F957" s="75" t="n"/>
      <c r="G957" s="75" t="n"/>
      <c r="H957" s="76">
        <f>IFERROR(__xludf.DUMMYFUNCTION("""COMPUTED_VALUE"""),"")</f>
        <v/>
      </c>
      <c r="I957" s="75" t="n"/>
      <c r="J957" s="77">
        <f>IFERROR(__xludf.DUMMYFUNCTION("""COMPUTED_VALUE"""),0.0)</f>
        <v/>
      </c>
      <c r="K957" s="4">
        <f>IFERROR(__xludf.DUMMYFUNCTION("""COMPUTED_VALUE"""),0.0)</f>
        <v/>
      </c>
      <c r="L957" s="77">
        <f>IFERROR(__xludf.DUMMYFUNCTION("""COMPUTED_VALUE"""),0.0)</f>
        <v/>
      </c>
      <c r="O957" s="72" t="n"/>
      <c r="S957" s="4" t="n"/>
    </row>
    <row r="958">
      <c r="A958" s="74" t="n"/>
      <c r="B958" s="72" t="n"/>
      <c r="C958" s="75" t="n"/>
      <c r="D958" s="75" t="n"/>
      <c r="E958" s="75" t="n"/>
      <c r="F958" s="75" t="n"/>
      <c r="G958" s="75" t="n"/>
      <c r="H958" s="76">
        <f>IFERROR(__xludf.DUMMYFUNCTION("""COMPUTED_VALUE"""),"")</f>
        <v/>
      </c>
      <c r="I958" s="75" t="n"/>
      <c r="J958" s="77">
        <f>IFERROR(__xludf.DUMMYFUNCTION("""COMPUTED_VALUE"""),0.0)</f>
        <v/>
      </c>
      <c r="K958" s="4">
        <f>IFERROR(__xludf.DUMMYFUNCTION("""COMPUTED_VALUE"""),0.0)</f>
        <v/>
      </c>
      <c r="L958" s="77">
        <f>IFERROR(__xludf.DUMMYFUNCTION("""COMPUTED_VALUE"""),0.0)</f>
        <v/>
      </c>
      <c r="O958" s="72" t="n"/>
      <c r="S958" s="4" t="n"/>
    </row>
    <row r="959">
      <c r="A959" s="74" t="n"/>
      <c r="B959" s="72" t="n"/>
      <c r="C959" s="75" t="n"/>
      <c r="D959" s="75" t="n"/>
      <c r="E959" s="75" t="n"/>
      <c r="F959" s="75" t="n"/>
      <c r="G959" s="75" t="n"/>
      <c r="H959" s="76">
        <f>IFERROR(__xludf.DUMMYFUNCTION("""COMPUTED_VALUE"""),"")</f>
        <v/>
      </c>
      <c r="I959" s="75" t="n"/>
      <c r="J959" s="77">
        <f>IFERROR(__xludf.DUMMYFUNCTION("""COMPUTED_VALUE"""),0.0)</f>
        <v/>
      </c>
      <c r="K959" s="4">
        <f>IFERROR(__xludf.DUMMYFUNCTION("""COMPUTED_VALUE"""),0.0)</f>
        <v/>
      </c>
      <c r="L959" s="77">
        <f>IFERROR(__xludf.DUMMYFUNCTION("""COMPUTED_VALUE"""),0.0)</f>
        <v/>
      </c>
      <c r="O959" s="72" t="n"/>
      <c r="S959" s="4" t="n"/>
    </row>
    <row r="960">
      <c r="A960" s="74" t="n"/>
      <c r="B960" s="72" t="n"/>
      <c r="C960" s="75" t="n"/>
      <c r="D960" s="75" t="n"/>
      <c r="E960" s="75" t="n"/>
      <c r="F960" s="75" t="n"/>
      <c r="G960" s="75" t="n"/>
      <c r="H960" s="76">
        <f>IFERROR(__xludf.DUMMYFUNCTION("""COMPUTED_VALUE"""),"")</f>
        <v/>
      </c>
      <c r="I960" s="75" t="n"/>
      <c r="J960" s="77">
        <f>IFERROR(__xludf.DUMMYFUNCTION("""COMPUTED_VALUE"""),0.0)</f>
        <v/>
      </c>
      <c r="K960" s="4">
        <f>IFERROR(__xludf.DUMMYFUNCTION("""COMPUTED_VALUE"""),0.0)</f>
        <v/>
      </c>
      <c r="L960" s="77">
        <f>IFERROR(__xludf.DUMMYFUNCTION("""COMPUTED_VALUE"""),0.0)</f>
        <v/>
      </c>
      <c r="O960" s="72" t="n"/>
      <c r="S960" s="4" t="n"/>
    </row>
    <row r="961">
      <c r="A961" s="74" t="n"/>
      <c r="B961" s="72" t="n"/>
      <c r="C961" s="75" t="n"/>
      <c r="D961" s="75" t="n"/>
      <c r="E961" s="75" t="n"/>
      <c r="F961" s="75" t="n"/>
      <c r="G961" s="75" t="n"/>
      <c r="H961" s="76">
        <f>IFERROR(__xludf.DUMMYFUNCTION("""COMPUTED_VALUE"""),"")</f>
        <v/>
      </c>
      <c r="I961" s="75" t="n"/>
      <c r="J961" s="77">
        <f>IFERROR(__xludf.DUMMYFUNCTION("""COMPUTED_VALUE"""),0.0)</f>
        <v/>
      </c>
      <c r="K961" s="4">
        <f>IFERROR(__xludf.DUMMYFUNCTION("""COMPUTED_VALUE"""),0.0)</f>
        <v/>
      </c>
      <c r="L961" s="77">
        <f>IFERROR(__xludf.DUMMYFUNCTION("""COMPUTED_VALUE"""),0.0)</f>
        <v/>
      </c>
      <c r="O961" s="72" t="n"/>
      <c r="S961" s="4" t="n"/>
    </row>
    <row r="962">
      <c r="A962" s="74" t="n"/>
      <c r="B962" s="72" t="n"/>
      <c r="C962" s="75" t="n"/>
      <c r="D962" s="75" t="n"/>
      <c r="E962" s="75" t="n"/>
      <c r="F962" s="75" t="n"/>
      <c r="G962" s="75" t="n"/>
      <c r="H962" s="76">
        <f>IFERROR(__xludf.DUMMYFUNCTION("""COMPUTED_VALUE"""),"")</f>
        <v/>
      </c>
      <c r="I962" s="75" t="n"/>
      <c r="J962" s="77">
        <f>IFERROR(__xludf.DUMMYFUNCTION("""COMPUTED_VALUE"""),0.0)</f>
        <v/>
      </c>
      <c r="K962" s="4">
        <f>IFERROR(__xludf.DUMMYFUNCTION("""COMPUTED_VALUE"""),0.0)</f>
        <v/>
      </c>
      <c r="L962" s="77">
        <f>IFERROR(__xludf.DUMMYFUNCTION("""COMPUTED_VALUE"""),0.0)</f>
        <v/>
      </c>
      <c r="O962" s="72" t="n"/>
      <c r="S962" s="4" t="n"/>
    </row>
    <row r="963">
      <c r="A963" s="74" t="n"/>
      <c r="B963" s="72" t="n"/>
      <c r="C963" s="75" t="n"/>
      <c r="D963" s="75" t="n"/>
      <c r="E963" s="75" t="n"/>
      <c r="F963" s="75" t="n"/>
      <c r="G963" s="75" t="n"/>
      <c r="H963" s="76">
        <f>IFERROR(__xludf.DUMMYFUNCTION("""COMPUTED_VALUE"""),"")</f>
        <v/>
      </c>
      <c r="I963" s="75" t="n"/>
      <c r="J963" s="77">
        <f>IFERROR(__xludf.DUMMYFUNCTION("""COMPUTED_VALUE"""),0.0)</f>
        <v/>
      </c>
      <c r="K963" s="4">
        <f>IFERROR(__xludf.DUMMYFUNCTION("""COMPUTED_VALUE"""),0.0)</f>
        <v/>
      </c>
      <c r="L963" s="77">
        <f>IFERROR(__xludf.DUMMYFUNCTION("""COMPUTED_VALUE"""),0.0)</f>
        <v/>
      </c>
      <c r="O963" s="72" t="n"/>
      <c r="S963" s="4" t="n"/>
    </row>
    <row r="964">
      <c r="A964" s="74" t="n"/>
      <c r="B964" s="72" t="n"/>
      <c r="C964" s="75" t="n"/>
      <c r="D964" s="75" t="n"/>
      <c r="E964" s="75" t="n"/>
      <c r="F964" s="75" t="n"/>
      <c r="G964" s="75" t="n"/>
      <c r="H964" s="76">
        <f>IFERROR(__xludf.DUMMYFUNCTION("""COMPUTED_VALUE"""),"")</f>
        <v/>
      </c>
      <c r="I964" s="75" t="n"/>
      <c r="J964" s="77">
        <f>IFERROR(__xludf.DUMMYFUNCTION("""COMPUTED_VALUE"""),0.0)</f>
        <v/>
      </c>
      <c r="K964" s="4">
        <f>IFERROR(__xludf.DUMMYFUNCTION("""COMPUTED_VALUE"""),0.0)</f>
        <v/>
      </c>
      <c r="L964" s="77">
        <f>IFERROR(__xludf.DUMMYFUNCTION("""COMPUTED_VALUE"""),0.0)</f>
        <v/>
      </c>
      <c r="O964" s="72" t="n"/>
      <c r="S964" s="4" t="n"/>
    </row>
    <row r="965">
      <c r="A965" s="74" t="n"/>
      <c r="B965" s="72" t="n"/>
      <c r="C965" s="75" t="n"/>
      <c r="D965" s="75" t="n"/>
      <c r="E965" s="75" t="n"/>
      <c r="F965" s="75" t="n"/>
      <c r="G965" s="75" t="n"/>
      <c r="H965" s="76">
        <f>IFERROR(__xludf.DUMMYFUNCTION("""COMPUTED_VALUE"""),"")</f>
        <v/>
      </c>
      <c r="I965" s="75" t="n"/>
      <c r="J965" s="77">
        <f>IFERROR(__xludf.DUMMYFUNCTION("""COMPUTED_VALUE"""),0.0)</f>
        <v/>
      </c>
      <c r="K965" s="4">
        <f>IFERROR(__xludf.DUMMYFUNCTION("""COMPUTED_VALUE"""),0.0)</f>
        <v/>
      </c>
      <c r="L965" s="77">
        <f>IFERROR(__xludf.DUMMYFUNCTION("""COMPUTED_VALUE"""),0.0)</f>
        <v/>
      </c>
      <c r="O965" s="72" t="n"/>
      <c r="S965" s="4" t="n"/>
    </row>
    <row r="966">
      <c r="A966" s="74" t="n"/>
      <c r="B966" s="72" t="n"/>
      <c r="C966" s="75" t="n"/>
      <c r="D966" s="75" t="n"/>
      <c r="E966" s="75" t="n"/>
      <c r="F966" s="75" t="n"/>
      <c r="G966" s="75" t="n"/>
      <c r="H966" s="76">
        <f>IFERROR(__xludf.DUMMYFUNCTION("""COMPUTED_VALUE"""),"")</f>
        <v/>
      </c>
      <c r="I966" s="75" t="n"/>
      <c r="J966" s="77">
        <f>IFERROR(__xludf.DUMMYFUNCTION("""COMPUTED_VALUE"""),0.0)</f>
        <v/>
      </c>
      <c r="K966" s="4">
        <f>IFERROR(__xludf.DUMMYFUNCTION("""COMPUTED_VALUE"""),0.0)</f>
        <v/>
      </c>
      <c r="L966" s="77">
        <f>IFERROR(__xludf.DUMMYFUNCTION("""COMPUTED_VALUE"""),0.0)</f>
        <v/>
      </c>
      <c r="O966" s="72" t="n"/>
      <c r="S966" s="4" t="n"/>
    </row>
    <row r="967">
      <c r="A967" s="74" t="n"/>
      <c r="B967" s="72" t="n"/>
      <c r="C967" s="75" t="n"/>
      <c r="D967" s="75" t="n"/>
      <c r="E967" s="75" t="n"/>
      <c r="F967" s="75" t="n"/>
      <c r="G967" s="75" t="n"/>
      <c r="H967" s="76">
        <f>IFERROR(__xludf.DUMMYFUNCTION("""COMPUTED_VALUE"""),"")</f>
        <v/>
      </c>
      <c r="I967" s="75" t="n"/>
      <c r="J967" s="77">
        <f>IFERROR(__xludf.DUMMYFUNCTION("""COMPUTED_VALUE"""),0.0)</f>
        <v/>
      </c>
      <c r="K967" s="4">
        <f>IFERROR(__xludf.DUMMYFUNCTION("""COMPUTED_VALUE"""),0.0)</f>
        <v/>
      </c>
      <c r="L967" s="77">
        <f>IFERROR(__xludf.DUMMYFUNCTION("""COMPUTED_VALUE"""),0.0)</f>
        <v/>
      </c>
      <c r="O967" s="72" t="n"/>
      <c r="S967" s="4" t="n"/>
    </row>
    <row r="968">
      <c r="A968" s="74" t="n"/>
      <c r="B968" s="72" t="n"/>
      <c r="C968" s="75" t="n"/>
      <c r="D968" s="75" t="n"/>
      <c r="E968" s="75" t="n"/>
      <c r="F968" s="75" t="n"/>
      <c r="G968" s="75" t="n"/>
      <c r="H968" s="76">
        <f>IFERROR(__xludf.DUMMYFUNCTION("""COMPUTED_VALUE"""),"")</f>
        <v/>
      </c>
      <c r="I968" s="75" t="n"/>
      <c r="J968" s="77">
        <f>IFERROR(__xludf.DUMMYFUNCTION("""COMPUTED_VALUE"""),0.0)</f>
        <v/>
      </c>
      <c r="K968" s="4">
        <f>IFERROR(__xludf.DUMMYFUNCTION("""COMPUTED_VALUE"""),0.0)</f>
        <v/>
      </c>
      <c r="L968" s="77">
        <f>IFERROR(__xludf.DUMMYFUNCTION("""COMPUTED_VALUE"""),0.0)</f>
        <v/>
      </c>
      <c r="O968" s="72" t="n"/>
      <c r="S968" s="4" t="n"/>
    </row>
    <row r="969">
      <c r="A969" s="74" t="n"/>
      <c r="B969" s="72" t="n"/>
      <c r="C969" s="75" t="n"/>
      <c r="D969" s="75" t="n"/>
      <c r="E969" s="75" t="n"/>
      <c r="F969" s="75" t="n"/>
      <c r="G969" s="75" t="n"/>
      <c r="H969" s="76">
        <f>IFERROR(__xludf.DUMMYFUNCTION("""COMPUTED_VALUE"""),"")</f>
        <v/>
      </c>
      <c r="I969" s="75" t="n"/>
      <c r="J969" s="77">
        <f>IFERROR(__xludf.DUMMYFUNCTION("""COMPUTED_VALUE"""),0.0)</f>
        <v/>
      </c>
      <c r="K969" s="4">
        <f>IFERROR(__xludf.DUMMYFUNCTION("""COMPUTED_VALUE"""),0.0)</f>
        <v/>
      </c>
      <c r="L969" s="77">
        <f>IFERROR(__xludf.DUMMYFUNCTION("""COMPUTED_VALUE"""),0.0)</f>
        <v/>
      </c>
      <c r="O969" s="72" t="n"/>
      <c r="S969" s="4" t="n"/>
    </row>
    <row r="970">
      <c r="A970" s="74" t="n"/>
      <c r="B970" s="72" t="n"/>
      <c r="C970" s="75" t="n"/>
      <c r="D970" s="75" t="n"/>
      <c r="E970" s="75" t="n"/>
      <c r="F970" s="75" t="n"/>
      <c r="G970" s="75" t="n"/>
      <c r="H970" s="76">
        <f>IFERROR(__xludf.DUMMYFUNCTION("""COMPUTED_VALUE"""),"")</f>
        <v/>
      </c>
      <c r="I970" s="75" t="n"/>
      <c r="J970" s="77">
        <f>IFERROR(__xludf.DUMMYFUNCTION("""COMPUTED_VALUE"""),0.0)</f>
        <v/>
      </c>
      <c r="K970" s="4">
        <f>IFERROR(__xludf.DUMMYFUNCTION("""COMPUTED_VALUE"""),0.0)</f>
        <v/>
      </c>
      <c r="L970" s="77">
        <f>IFERROR(__xludf.DUMMYFUNCTION("""COMPUTED_VALUE"""),0.0)</f>
        <v/>
      </c>
      <c r="O970" s="72" t="n"/>
      <c r="S970" s="4" t="n"/>
    </row>
    <row r="971">
      <c r="A971" s="74" t="n"/>
      <c r="B971" s="72" t="n"/>
      <c r="C971" s="75" t="n"/>
      <c r="D971" s="75" t="n"/>
      <c r="E971" s="75" t="n"/>
      <c r="F971" s="75" t="n"/>
      <c r="G971" s="75" t="n"/>
      <c r="H971" s="76">
        <f>IFERROR(__xludf.DUMMYFUNCTION("""COMPUTED_VALUE"""),"")</f>
        <v/>
      </c>
      <c r="I971" s="75" t="n"/>
      <c r="J971" s="77">
        <f>IFERROR(__xludf.DUMMYFUNCTION("""COMPUTED_VALUE"""),0.0)</f>
        <v/>
      </c>
      <c r="K971" s="4">
        <f>IFERROR(__xludf.DUMMYFUNCTION("""COMPUTED_VALUE"""),0.0)</f>
        <v/>
      </c>
      <c r="L971" s="77">
        <f>IFERROR(__xludf.DUMMYFUNCTION("""COMPUTED_VALUE"""),0.0)</f>
        <v/>
      </c>
      <c r="O971" s="72" t="n"/>
      <c r="S971" s="4" t="n"/>
    </row>
    <row r="972">
      <c r="A972" s="74" t="n"/>
      <c r="B972" s="72" t="n"/>
      <c r="C972" s="75" t="n"/>
      <c r="D972" s="75" t="n"/>
      <c r="E972" s="75" t="n"/>
      <c r="F972" s="75" t="n"/>
      <c r="G972" s="75" t="n"/>
      <c r="H972" s="76">
        <f>IFERROR(__xludf.DUMMYFUNCTION("""COMPUTED_VALUE"""),"")</f>
        <v/>
      </c>
      <c r="I972" s="75" t="n"/>
      <c r="J972" s="77">
        <f>IFERROR(__xludf.DUMMYFUNCTION("""COMPUTED_VALUE"""),0.0)</f>
        <v/>
      </c>
      <c r="K972" s="4">
        <f>IFERROR(__xludf.DUMMYFUNCTION("""COMPUTED_VALUE"""),0.0)</f>
        <v/>
      </c>
      <c r="L972" s="77">
        <f>IFERROR(__xludf.DUMMYFUNCTION("""COMPUTED_VALUE"""),0.0)</f>
        <v/>
      </c>
      <c r="O972" s="72" t="n"/>
      <c r="S972" s="4" t="n"/>
    </row>
    <row r="973">
      <c r="A973" s="74" t="n"/>
      <c r="B973" s="72" t="n"/>
      <c r="C973" s="75" t="n"/>
      <c r="D973" s="75" t="n"/>
      <c r="E973" s="75" t="n"/>
      <c r="F973" s="75" t="n"/>
      <c r="G973" s="75" t="n"/>
      <c r="H973" s="76">
        <f>IFERROR(__xludf.DUMMYFUNCTION("""COMPUTED_VALUE"""),"")</f>
        <v/>
      </c>
      <c r="I973" s="75" t="n"/>
      <c r="J973" s="77">
        <f>IFERROR(__xludf.DUMMYFUNCTION("""COMPUTED_VALUE"""),0.0)</f>
        <v/>
      </c>
      <c r="K973" s="4">
        <f>IFERROR(__xludf.DUMMYFUNCTION("""COMPUTED_VALUE"""),0.0)</f>
        <v/>
      </c>
      <c r="L973" s="77">
        <f>IFERROR(__xludf.DUMMYFUNCTION("""COMPUTED_VALUE"""),0.0)</f>
        <v/>
      </c>
      <c r="O973" s="72" t="n"/>
      <c r="S973" s="4" t="n"/>
    </row>
    <row r="974">
      <c r="A974" s="74" t="n"/>
      <c r="B974" s="72" t="n"/>
      <c r="C974" s="75" t="n"/>
      <c r="D974" s="75" t="n"/>
      <c r="E974" s="75" t="n"/>
      <c r="F974" s="75" t="n"/>
      <c r="G974" s="75" t="n"/>
      <c r="H974" s="76">
        <f>IFERROR(__xludf.DUMMYFUNCTION("""COMPUTED_VALUE"""),"")</f>
        <v/>
      </c>
      <c r="I974" s="75" t="n"/>
      <c r="J974" s="77">
        <f>IFERROR(__xludf.DUMMYFUNCTION("""COMPUTED_VALUE"""),0.0)</f>
        <v/>
      </c>
      <c r="K974" s="4">
        <f>IFERROR(__xludf.DUMMYFUNCTION("""COMPUTED_VALUE"""),0.0)</f>
        <v/>
      </c>
      <c r="L974" s="77">
        <f>IFERROR(__xludf.DUMMYFUNCTION("""COMPUTED_VALUE"""),0.0)</f>
        <v/>
      </c>
      <c r="O974" s="72" t="n"/>
      <c r="S974" s="4" t="n"/>
    </row>
    <row r="975">
      <c r="A975" s="74" t="n"/>
      <c r="B975" s="72" t="n"/>
      <c r="C975" s="75" t="n"/>
      <c r="D975" s="75" t="n"/>
      <c r="E975" s="75" t="n"/>
      <c r="F975" s="75" t="n"/>
      <c r="G975" s="75" t="n"/>
      <c r="H975" s="76">
        <f>IFERROR(__xludf.DUMMYFUNCTION("""COMPUTED_VALUE"""),"")</f>
        <v/>
      </c>
      <c r="I975" s="75" t="n"/>
      <c r="J975" s="77">
        <f>IFERROR(__xludf.DUMMYFUNCTION("""COMPUTED_VALUE"""),0.0)</f>
        <v/>
      </c>
      <c r="K975" s="4">
        <f>IFERROR(__xludf.DUMMYFUNCTION("""COMPUTED_VALUE"""),0.0)</f>
        <v/>
      </c>
      <c r="L975" s="77">
        <f>IFERROR(__xludf.DUMMYFUNCTION("""COMPUTED_VALUE"""),0.0)</f>
        <v/>
      </c>
      <c r="O975" s="72" t="n"/>
      <c r="S975" s="4" t="n"/>
    </row>
    <row r="976">
      <c r="A976" s="74" t="n"/>
      <c r="B976" s="72" t="n"/>
      <c r="C976" s="75" t="n"/>
      <c r="D976" s="75" t="n"/>
      <c r="E976" s="75" t="n"/>
      <c r="F976" s="75" t="n"/>
      <c r="G976" s="75" t="n"/>
      <c r="H976" s="76">
        <f>IFERROR(__xludf.DUMMYFUNCTION("""COMPUTED_VALUE"""),"")</f>
        <v/>
      </c>
      <c r="I976" s="75" t="n"/>
      <c r="J976" s="77">
        <f>IFERROR(__xludf.DUMMYFUNCTION("""COMPUTED_VALUE"""),0.0)</f>
        <v/>
      </c>
      <c r="K976" s="4">
        <f>IFERROR(__xludf.DUMMYFUNCTION("""COMPUTED_VALUE"""),0.0)</f>
        <v/>
      </c>
      <c r="L976" s="77">
        <f>IFERROR(__xludf.DUMMYFUNCTION("""COMPUTED_VALUE"""),0.0)</f>
        <v/>
      </c>
      <c r="O976" s="72" t="n"/>
      <c r="S976" s="4" t="n"/>
    </row>
    <row r="977">
      <c r="A977" s="74" t="n"/>
      <c r="B977" s="72" t="n"/>
      <c r="C977" s="75" t="n"/>
      <c r="D977" s="75" t="n"/>
      <c r="E977" s="75" t="n"/>
      <c r="F977" s="75" t="n"/>
      <c r="G977" s="75" t="n"/>
      <c r="H977" s="76">
        <f>IFERROR(__xludf.DUMMYFUNCTION("""COMPUTED_VALUE"""),"")</f>
        <v/>
      </c>
      <c r="I977" s="75" t="n"/>
      <c r="J977" s="77">
        <f>IFERROR(__xludf.DUMMYFUNCTION("""COMPUTED_VALUE"""),0.0)</f>
        <v/>
      </c>
      <c r="K977" s="4">
        <f>IFERROR(__xludf.DUMMYFUNCTION("""COMPUTED_VALUE"""),0.0)</f>
        <v/>
      </c>
      <c r="L977" s="77">
        <f>IFERROR(__xludf.DUMMYFUNCTION("""COMPUTED_VALUE"""),0.0)</f>
        <v/>
      </c>
      <c r="O977" s="72" t="n"/>
      <c r="S977" s="4" t="n"/>
    </row>
    <row r="978">
      <c r="A978" s="74" t="n"/>
      <c r="B978" s="72" t="n"/>
      <c r="C978" s="75" t="n"/>
      <c r="D978" s="75" t="n"/>
      <c r="E978" s="75" t="n"/>
      <c r="F978" s="75" t="n"/>
      <c r="G978" s="75" t="n"/>
      <c r="H978" s="76">
        <f>IFERROR(__xludf.DUMMYFUNCTION("""COMPUTED_VALUE"""),"")</f>
        <v/>
      </c>
      <c r="I978" s="75" t="n"/>
      <c r="J978" s="77">
        <f>IFERROR(__xludf.DUMMYFUNCTION("""COMPUTED_VALUE"""),0.0)</f>
        <v/>
      </c>
      <c r="K978" s="4">
        <f>IFERROR(__xludf.DUMMYFUNCTION("""COMPUTED_VALUE"""),0.0)</f>
        <v/>
      </c>
      <c r="L978" s="77">
        <f>IFERROR(__xludf.DUMMYFUNCTION("""COMPUTED_VALUE"""),0.0)</f>
        <v/>
      </c>
      <c r="O978" s="72" t="n"/>
      <c r="S978" s="4" t="n"/>
    </row>
    <row r="979">
      <c r="A979" s="74" t="n"/>
      <c r="B979" s="72" t="n"/>
      <c r="C979" s="75" t="n"/>
      <c r="D979" s="75" t="n"/>
      <c r="E979" s="75" t="n"/>
      <c r="F979" s="75" t="n"/>
      <c r="G979" s="75" t="n"/>
      <c r="H979" s="76">
        <f>IFERROR(__xludf.DUMMYFUNCTION("""COMPUTED_VALUE"""),"")</f>
        <v/>
      </c>
      <c r="I979" s="75" t="n"/>
      <c r="J979" s="77">
        <f>IFERROR(__xludf.DUMMYFUNCTION("""COMPUTED_VALUE"""),0.0)</f>
        <v/>
      </c>
      <c r="K979" s="4">
        <f>IFERROR(__xludf.DUMMYFUNCTION("""COMPUTED_VALUE"""),0.0)</f>
        <v/>
      </c>
      <c r="L979" s="77">
        <f>IFERROR(__xludf.DUMMYFUNCTION("""COMPUTED_VALUE"""),0.0)</f>
        <v/>
      </c>
      <c r="O979" s="72" t="n"/>
      <c r="S979" s="4" t="n"/>
    </row>
    <row r="980">
      <c r="A980" s="74" t="n"/>
      <c r="B980" s="72" t="n"/>
      <c r="C980" s="75" t="n"/>
      <c r="D980" s="75" t="n"/>
      <c r="E980" s="75" t="n"/>
      <c r="F980" s="75" t="n"/>
      <c r="G980" s="75" t="n"/>
      <c r="H980" s="76">
        <f>IFERROR(__xludf.DUMMYFUNCTION("""COMPUTED_VALUE"""),"")</f>
        <v/>
      </c>
      <c r="I980" s="75" t="n"/>
      <c r="J980" s="77">
        <f>IFERROR(__xludf.DUMMYFUNCTION("""COMPUTED_VALUE"""),0.0)</f>
        <v/>
      </c>
      <c r="K980" s="4">
        <f>IFERROR(__xludf.DUMMYFUNCTION("""COMPUTED_VALUE"""),0.0)</f>
        <v/>
      </c>
      <c r="L980" s="77">
        <f>IFERROR(__xludf.DUMMYFUNCTION("""COMPUTED_VALUE"""),0.0)</f>
        <v/>
      </c>
      <c r="O980" s="72" t="n"/>
      <c r="S980" s="4" t="n"/>
    </row>
    <row r="981">
      <c r="A981" s="74" t="n"/>
      <c r="B981" s="72" t="n"/>
      <c r="C981" s="75" t="n"/>
      <c r="D981" s="75" t="n"/>
      <c r="E981" s="75" t="n"/>
      <c r="F981" s="75" t="n"/>
      <c r="G981" s="75" t="n"/>
      <c r="H981" s="76">
        <f>IFERROR(__xludf.DUMMYFUNCTION("""COMPUTED_VALUE"""),"")</f>
        <v/>
      </c>
      <c r="I981" s="75" t="n"/>
      <c r="J981" s="77">
        <f>IFERROR(__xludf.DUMMYFUNCTION("""COMPUTED_VALUE"""),0.0)</f>
        <v/>
      </c>
      <c r="K981" s="4">
        <f>IFERROR(__xludf.DUMMYFUNCTION("""COMPUTED_VALUE"""),0.0)</f>
        <v/>
      </c>
      <c r="L981" s="77">
        <f>IFERROR(__xludf.DUMMYFUNCTION("""COMPUTED_VALUE"""),0.0)</f>
        <v/>
      </c>
      <c r="O981" s="72" t="n"/>
      <c r="S981" s="4" t="n"/>
    </row>
    <row r="982">
      <c r="A982" s="74" t="n"/>
      <c r="B982" s="72" t="n"/>
      <c r="C982" s="75" t="n"/>
      <c r="D982" s="75" t="n"/>
      <c r="E982" s="75" t="n"/>
      <c r="F982" s="75" t="n"/>
      <c r="G982" s="75" t="n"/>
      <c r="H982" s="76">
        <f>IFERROR(__xludf.DUMMYFUNCTION("""COMPUTED_VALUE"""),"")</f>
        <v/>
      </c>
      <c r="I982" s="75" t="n"/>
      <c r="J982" s="77">
        <f>IFERROR(__xludf.DUMMYFUNCTION("""COMPUTED_VALUE"""),0.0)</f>
        <v/>
      </c>
      <c r="K982" s="4">
        <f>IFERROR(__xludf.DUMMYFUNCTION("""COMPUTED_VALUE"""),0.0)</f>
        <v/>
      </c>
      <c r="L982" s="77">
        <f>IFERROR(__xludf.DUMMYFUNCTION("""COMPUTED_VALUE"""),0.0)</f>
        <v/>
      </c>
      <c r="O982" s="72" t="n"/>
      <c r="S982" s="4" t="n"/>
    </row>
    <row r="983">
      <c r="A983" s="74" t="n"/>
      <c r="B983" s="72" t="n"/>
      <c r="C983" s="75" t="n"/>
      <c r="D983" s="75" t="n"/>
      <c r="E983" s="75" t="n"/>
      <c r="F983" s="75" t="n"/>
      <c r="G983" s="75" t="n"/>
      <c r="H983" s="76">
        <f>IFERROR(__xludf.DUMMYFUNCTION("""COMPUTED_VALUE"""),"")</f>
        <v/>
      </c>
      <c r="I983" s="75" t="n"/>
      <c r="J983" s="77">
        <f>IFERROR(__xludf.DUMMYFUNCTION("""COMPUTED_VALUE"""),0.0)</f>
        <v/>
      </c>
      <c r="K983" s="4">
        <f>IFERROR(__xludf.DUMMYFUNCTION("""COMPUTED_VALUE"""),0.0)</f>
        <v/>
      </c>
      <c r="L983" s="77">
        <f>IFERROR(__xludf.DUMMYFUNCTION("""COMPUTED_VALUE"""),0.0)</f>
        <v/>
      </c>
      <c r="O983" s="72" t="n"/>
      <c r="S983" s="4" t="n"/>
    </row>
    <row r="984">
      <c r="A984" s="74" t="n"/>
      <c r="B984" s="72" t="n"/>
      <c r="C984" s="75" t="n"/>
      <c r="D984" s="75" t="n"/>
      <c r="E984" s="75" t="n"/>
      <c r="F984" s="75" t="n"/>
      <c r="G984" s="75" t="n"/>
      <c r="H984" s="76">
        <f>IFERROR(__xludf.DUMMYFUNCTION("""COMPUTED_VALUE"""),"")</f>
        <v/>
      </c>
      <c r="I984" s="75" t="n"/>
      <c r="J984" s="77">
        <f>IFERROR(__xludf.DUMMYFUNCTION("""COMPUTED_VALUE"""),0.0)</f>
        <v/>
      </c>
      <c r="K984" s="4">
        <f>IFERROR(__xludf.DUMMYFUNCTION("""COMPUTED_VALUE"""),0.0)</f>
        <v/>
      </c>
      <c r="L984" s="77">
        <f>IFERROR(__xludf.DUMMYFUNCTION("""COMPUTED_VALUE"""),0.0)</f>
        <v/>
      </c>
      <c r="O984" s="72" t="n"/>
      <c r="S984" s="4" t="n"/>
    </row>
    <row r="985">
      <c r="A985" s="74" t="n"/>
      <c r="B985" s="72" t="n"/>
      <c r="C985" s="75" t="n"/>
      <c r="D985" s="75" t="n"/>
      <c r="E985" s="75" t="n"/>
      <c r="F985" s="75" t="n"/>
      <c r="G985" s="75" t="n"/>
      <c r="H985" s="76">
        <f>IFERROR(__xludf.DUMMYFUNCTION("""COMPUTED_VALUE"""),"")</f>
        <v/>
      </c>
      <c r="I985" s="75" t="n"/>
      <c r="J985" s="77">
        <f>IFERROR(__xludf.DUMMYFUNCTION("""COMPUTED_VALUE"""),0.0)</f>
        <v/>
      </c>
      <c r="K985" s="4">
        <f>IFERROR(__xludf.DUMMYFUNCTION("""COMPUTED_VALUE"""),0.0)</f>
        <v/>
      </c>
      <c r="L985" s="77">
        <f>IFERROR(__xludf.DUMMYFUNCTION("""COMPUTED_VALUE"""),0.0)</f>
        <v/>
      </c>
      <c r="O985" s="72" t="n"/>
      <c r="S985" s="4" t="n"/>
    </row>
    <row r="986">
      <c r="A986" s="74" t="n"/>
      <c r="B986" s="72" t="n"/>
      <c r="C986" s="75" t="n"/>
      <c r="D986" s="75" t="n"/>
      <c r="E986" s="75" t="n"/>
      <c r="F986" s="75" t="n"/>
      <c r="G986" s="75" t="n"/>
      <c r="H986" s="76">
        <f>IFERROR(__xludf.DUMMYFUNCTION("""COMPUTED_VALUE"""),"")</f>
        <v/>
      </c>
      <c r="I986" s="75" t="n"/>
      <c r="J986" s="77">
        <f>IFERROR(__xludf.DUMMYFUNCTION("""COMPUTED_VALUE"""),0.0)</f>
        <v/>
      </c>
      <c r="K986" s="4">
        <f>IFERROR(__xludf.DUMMYFUNCTION("""COMPUTED_VALUE"""),0.0)</f>
        <v/>
      </c>
      <c r="L986" s="77">
        <f>IFERROR(__xludf.DUMMYFUNCTION("""COMPUTED_VALUE"""),0.0)</f>
        <v/>
      </c>
      <c r="O986" s="72" t="n"/>
      <c r="S986" s="4" t="n"/>
    </row>
    <row r="987">
      <c r="A987" s="74" t="n"/>
      <c r="B987" s="72" t="n"/>
      <c r="C987" s="75" t="n"/>
      <c r="D987" s="75" t="n"/>
      <c r="E987" s="75" t="n"/>
      <c r="F987" s="75" t="n"/>
      <c r="G987" s="75" t="n"/>
      <c r="H987" s="76">
        <f>IFERROR(__xludf.DUMMYFUNCTION("""COMPUTED_VALUE"""),"")</f>
        <v/>
      </c>
      <c r="I987" s="75" t="n"/>
      <c r="J987" s="77">
        <f>IFERROR(__xludf.DUMMYFUNCTION("""COMPUTED_VALUE"""),0.0)</f>
        <v/>
      </c>
      <c r="K987" s="4">
        <f>IFERROR(__xludf.DUMMYFUNCTION("""COMPUTED_VALUE"""),0.0)</f>
        <v/>
      </c>
      <c r="L987" s="77">
        <f>IFERROR(__xludf.DUMMYFUNCTION("""COMPUTED_VALUE"""),0.0)</f>
        <v/>
      </c>
      <c r="O987" s="72" t="n"/>
      <c r="S987" s="4" t="n"/>
    </row>
    <row r="988">
      <c r="A988" s="74" t="n"/>
      <c r="B988" s="72" t="n"/>
      <c r="C988" s="75" t="n"/>
      <c r="D988" s="75" t="n"/>
      <c r="E988" s="75" t="n"/>
      <c r="F988" s="75" t="n"/>
      <c r="G988" s="75" t="n"/>
      <c r="H988" s="76">
        <f>IFERROR(__xludf.DUMMYFUNCTION("""COMPUTED_VALUE"""),"")</f>
        <v/>
      </c>
      <c r="I988" s="75" t="n"/>
      <c r="J988" s="77">
        <f>IFERROR(__xludf.DUMMYFUNCTION("""COMPUTED_VALUE"""),0.0)</f>
        <v/>
      </c>
      <c r="K988" s="4">
        <f>IFERROR(__xludf.DUMMYFUNCTION("""COMPUTED_VALUE"""),0.0)</f>
        <v/>
      </c>
      <c r="L988" s="77">
        <f>IFERROR(__xludf.DUMMYFUNCTION("""COMPUTED_VALUE"""),0.0)</f>
        <v/>
      </c>
      <c r="O988" s="72" t="n"/>
      <c r="S988" s="4" t="n"/>
    </row>
    <row r="989">
      <c r="A989" s="74" t="n"/>
      <c r="B989" s="72" t="n"/>
      <c r="C989" s="75" t="n"/>
      <c r="D989" s="75" t="n"/>
      <c r="E989" s="75" t="n"/>
      <c r="F989" s="75" t="n"/>
      <c r="G989" s="75" t="n"/>
      <c r="H989" s="76">
        <f>IFERROR(__xludf.DUMMYFUNCTION("""COMPUTED_VALUE"""),"")</f>
        <v/>
      </c>
      <c r="I989" s="75" t="n"/>
      <c r="J989" s="77">
        <f>IFERROR(__xludf.DUMMYFUNCTION("""COMPUTED_VALUE"""),0.0)</f>
        <v/>
      </c>
      <c r="K989" s="4">
        <f>IFERROR(__xludf.DUMMYFUNCTION("""COMPUTED_VALUE"""),0.0)</f>
        <v/>
      </c>
      <c r="L989" s="77">
        <f>IFERROR(__xludf.DUMMYFUNCTION("""COMPUTED_VALUE"""),0.0)</f>
        <v/>
      </c>
      <c r="O989" s="72" t="n"/>
      <c r="S989" s="4" t="n"/>
    </row>
    <row r="990">
      <c r="A990" s="74" t="n"/>
      <c r="B990" s="72" t="n"/>
      <c r="C990" s="75" t="n"/>
      <c r="D990" s="75" t="n"/>
      <c r="E990" s="75" t="n"/>
      <c r="F990" s="75" t="n"/>
      <c r="G990" s="75" t="n"/>
      <c r="H990" s="76">
        <f>IFERROR(__xludf.DUMMYFUNCTION("""COMPUTED_VALUE"""),"")</f>
        <v/>
      </c>
      <c r="I990" s="75" t="n"/>
      <c r="J990" s="77">
        <f>IFERROR(__xludf.DUMMYFUNCTION("""COMPUTED_VALUE"""),0.0)</f>
        <v/>
      </c>
      <c r="K990" s="4">
        <f>IFERROR(__xludf.DUMMYFUNCTION("""COMPUTED_VALUE"""),0.0)</f>
        <v/>
      </c>
      <c r="L990" s="77">
        <f>IFERROR(__xludf.DUMMYFUNCTION("""COMPUTED_VALUE"""),0.0)</f>
        <v/>
      </c>
      <c r="O990" s="72" t="n"/>
      <c r="S990" s="4" t="n"/>
    </row>
    <row r="991">
      <c r="A991" s="74" t="n"/>
      <c r="B991" s="72" t="n"/>
      <c r="C991" s="75" t="n"/>
      <c r="D991" s="75" t="n"/>
      <c r="E991" s="75" t="n"/>
      <c r="F991" s="75" t="n"/>
      <c r="G991" s="75" t="n"/>
      <c r="H991" s="76">
        <f>IFERROR(__xludf.DUMMYFUNCTION("""COMPUTED_VALUE"""),"")</f>
        <v/>
      </c>
      <c r="I991" s="75" t="n"/>
      <c r="J991" s="77">
        <f>IFERROR(__xludf.DUMMYFUNCTION("""COMPUTED_VALUE"""),0.0)</f>
        <v/>
      </c>
      <c r="K991" s="4">
        <f>IFERROR(__xludf.DUMMYFUNCTION("""COMPUTED_VALUE"""),0.0)</f>
        <v/>
      </c>
      <c r="L991" s="77">
        <f>IFERROR(__xludf.DUMMYFUNCTION("""COMPUTED_VALUE"""),0.0)</f>
        <v/>
      </c>
      <c r="O991" s="72" t="n"/>
      <c r="S991" s="4" t="n"/>
    </row>
    <row r="992">
      <c r="A992" s="74" t="n"/>
      <c r="B992" s="72" t="n"/>
      <c r="C992" s="75" t="n"/>
      <c r="D992" s="75" t="n"/>
      <c r="E992" s="75" t="n"/>
      <c r="F992" s="75" t="n"/>
      <c r="G992" s="75" t="n"/>
      <c r="H992" s="76">
        <f>IFERROR(__xludf.DUMMYFUNCTION("""COMPUTED_VALUE"""),"")</f>
        <v/>
      </c>
      <c r="I992" s="75" t="n"/>
      <c r="J992" s="77">
        <f>IFERROR(__xludf.DUMMYFUNCTION("""COMPUTED_VALUE"""),0.0)</f>
        <v/>
      </c>
      <c r="K992" s="4">
        <f>IFERROR(__xludf.DUMMYFUNCTION("""COMPUTED_VALUE"""),0.0)</f>
        <v/>
      </c>
      <c r="L992" s="77">
        <f>IFERROR(__xludf.DUMMYFUNCTION("""COMPUTED_VALUE"""),0.0)</f>
        <v/>
      </c>
      <c r="O992" s="72" t="n"/>
      <c r="S992" s="4" t="n"/>
    </row>
    <row r="993">
      <c r="A993" s="74" t="n"/>
      <c r="B993" s="72" t="n"/>
      <c r="C993" s="75" t="n"/>
      <c r="D993" s="75" t="n"/>
      <c r="E993" s="75" t="n"/>
      <c r="F993" s="75" t="n"/>
      <c r="G993" s="75" t="n"/>
      <c r="H993" s="76">
        <f>IFERROR(__xludf.DUMMYFUNCTION("""COMPUTED_VALUE"""),"")</f>
        <v/>
      </c>
      <c r="I993" s="75" t="n"/>
      <c r="J993" s="77">
        <f>IFERROR(__xludf.DUMMYFUNCTION("""COMPUTED_VALUE"""),0.0)</f>
        <v/>
      </c>
      <c r="K993" s="4">
        <f>IFERROR(__xludf.DUMMYFUNCTION("""COMPUTED_VALUE"""),0.0)</f>
        <v/>
      </c>
      <c r="L993" s="77">
        <f>IFERROR(__xludf.DUMMYFUNCTION("""COMPUTED_VALUE"""),0.0)</f>
        <v/>
      </c>
      <c r="O993" s="72" t="n"/>
      <c r="S993" s="4" t="n"/>
    </row>
    <row r="994">
      <c r="A994" s="74" t="n"/>
      <c r="B994" s="72" t="n"/>
      <c r="C994" s="75" t="n"/>
      <c r="D994" s="75" t="n"/>
      <c r="E994" s="75" t="n"/>
      <c r="F994" s="75" t="n"/>
      <c r="G994" s="75" t="n"/>
      <c r="H994" s="76">
        <f>IFERROR(__xludf.DUMMYFUNCTION("""COMPUTED_VALUE"""),"")</f>
        <v/>
      </c>
      <c r="I994" s="75" t="n"/>
      <c r="J994" s="77">
        <f>IFERROR(__xludf.DUMMYFUNCTION("""COMPUTED_VALUE"""),0.0)</f>
        <v/>
      </c>
      <c r="K994" s="4">
        <f>IFERROR(__xludf.DUMMYFUNCTION("""COMPUTED_VALUE"""),0.0)</f>
        <v/>
      </c>
      <c r="L994" s="77">
        <f>IFERROR(__xludf.DUMMYFUNCTION("""COMPUTED_VALUE"""),0.0)</f>
        <v/>
      </c>
      <c r="O994" s="72" t="n"/>
      <c r="S994" s="4" t="n"/>
    </row>
    <row r="995">
      <c r="A995" s="74" t="n"/>
      <c r="B995" s="72" t="n"/>
      <c r="C995" s="75" t="n"/>
      <c r="D995" s="75" t="n"/>
      <c r="E995" s="75" t="n"/>
      <c r="F995" s="75" t="n"/>
      <c r="G995" s="75" t="n"/>
      <c r="H995" s="76">
        <f>IFERROR(__xludf.DUMMYFUNCTION("""COMPUTED_VALUE"""),"")</f>
        <v/>
      </c>
      <c r="I995" s="75" t="n"/>
      <c r="J995" s="77">
        <f>IFERROR(__xludf.DUMMYFUNCTION("""COMPUTED_VALUE"""),0.0)</f>
        <v/>
      </c>
      <c r="K995" s="4">
        <f>IFERROR(__xludf.DUMMYFUNCTION("""COMPUTED_VALUE"""),0.0)</f>
        <v/>
      </c>
      <c r="L995" s="77">
        <f>IFERROR(__xludf.DUMMYFUNCTION("""COMPUTED_VALUE"""),0.0)</f>
        <v/>
      </c>
      <c r="O995" s="72" t="n"/>
      <c r="S995" s="4" t="n"/>
    </row>
    <row r="996">
      <c r="A996" s="74" t="n"/>
      <c r="B996" s="72" t="n"/>
      <c r="C996" s="75" t="n"/>
      <c r="D996" s="75" t="n"/>
      <c r="E996" s="75" t="n"/>
      <c r="F996" s="75" t="n"/>
      <c r="G996" s="75" t="n"/>
      <c r="H996" s="76">
        <f>IFERROR(__xludf.DUMMYFUNCTION("""COMPUTED_VALUE"""),"")</f>
        <v/>
      </c>
      <c r="I996" s="75" t="n"/>
      <c r="J996" s="77">
        <f>IFERROR(__xludf.DUMMYFUNCTION("""COMPUTED_VALUE"""),0.0)</f>
        <v/>
      </c>
      <c r="K996" s="4">
        <f>IFERROR(__xludf.DUMMYFUNCTION("""COMPUTED_VALUE"""),0.0)</f>
        <v/>
      </c>
      <c r="L996" s="77">
        <f>IFERROR(__xludf.DUMMYFUNCTION("""COMPUTED_VALUE"""),0.0)</f>
        <v/>
      </c>
      <c r="O996" s="72" t="n"/>
      <c r="S996" s="4" t="n"/>
    </row>
    <row r="997">
      <c r="A997" s="74" t="n"/>
      <c r="B997" s="72" t="n"/>
      <c r="C997" s="75" t="n"/>
      <c r="D997" s="75" t="n"/>
      <c r="E997" s="75" t="n"/>
      <c r="F997" s="75" t="n"/>
      <c r="G997" s="75" t="n"/>
      <c r="H997" s="76">
        <f>IFERROR(__xludf.DUMMYFUNCTION("""COMPUTED_VALUE"""),"")</f>
        <v/>
      </c>
      <c r="I997" s="75" t="n"/>
      <c r="J997" s="77">
        <f>IFERROR(__xludf.DUMMYFUNCTION("""COMPUTED_VALUE"""),0.0)</f>
        <v/>
      </c>
      <c r="K997" s="4">
        <f>IFERROR(__xludf.DUMMYFUNCTION("""COMPUTED_VALUE"""),0.0)</f>
        <v/>
      </c>
      <c r="L997" s="77">
        <f>IFERROR(__xludf.DUMMYFUNCTION("""COMPUTED_VALUE"""),0.0)</f>
        <v/>
      </c>
      <c r="O997" s="72" t="n"/>
      <c r="S997" s="4" t="n"/>
    </row>
    <row r="998">
      <c r="A998" s="74" t="n"/>
      <c r="B998" s="72" t="n"/>
      <c r="C998" s="75" t="n"/>
      <c r="D998" s="75" t="n"/>
      <c r="E998" s="75" t="n"/>
      <c r="F998" s="75" t="n"/>
      <c r="G998" s="75" t="n"/>
      <c r="H998" s="76">
        <f>IFERROR(__xludf.DUMMYFUNCTION("""COMPUTED_VALUE"""),"")</f>
        <v/>
      </c>
      <c r="I998" s="75" t="n"/>
      <c r="J998" s="77">
        <f>IFERROR(__xludf.DUMMYFUNCTION("""COMPUTED_VALUE"""),0.0)</f>
        <v/>
      </c>
      <c r="K998" s="4">
        <f>IFERROR(__xludf.DUMMYFUNCTION("""COMPUTED_VALUE"""),0.0)</f>
        <v/>
      </c>
      <c r="L998" s="77">
        <f>IFERROR(__xludf.DUMMYFUNCTION("""COMPUTED_VALUE"""),0.0)</f>
        <v/>
      </c>
      <c r="O998" s="72" t="n"/>
      <c r="S998" s="4" t="n"/>
    </row>
    <row r="999">
      <c r="A999" s="74" t="n"/>
      <c r="B999" s="72" t="n"/>
      <c r="C999" s="75" t="n"/>
      <c r="D999" s="75" t="n"/>
      <c r="E999" s="75" t="n"/>
      <c r="F999" s="75" t="n"/>
      <c r="G999" s="75" t="n"/>
      <c r="H999" s="76">
        <f>IFERROR(__xludf.DUMMYFUNCTION("""COMPUTED_VALUE"""),"")</f>
        <v/>
      </c>
      <c r="I999" s="75" t="n"/>
      <c r="J999" s="77">
        <f>IFERROR(__xludf.DUMMYFUNCTION("""COMPUTED_VALUE"""),0.0)</f>
        <v/>
      </c>
      <c r="K999" s="4">
        <f>IFERROR(__xludf.DUMMYFUNCTION("""COMPUTED_VALUE"""),0.0)</f>
        <v/>
      </c>
      <c r="L999" s="77">
        <f>IFERROR(__xludf.DUMMYFUNCTION("""COMPUTED_VALUE"""),0.0)</f>
        <v/>
      </c>
      <c r="O999" s="72" t="n"/>
      <c r="S999" s="4" t="n"/>
    </row>
    <row r="1000">
      <c r="A1000" s="74" t="n"/>
      <c r="B1000" s="72" t="n"/>
      <c r="C1000" s="75" t="n"/>
      <c r="D1000" s="75" t="n"/>
      <c r="E1000" s="75" t="n"/>
      <c r="F1000" s="75" t="n"/>
      <c r="G1000" s="75" t="n"/>
      <c r="H1000" s="76">
        <f>IFERROR(__xludf.DUMMYFUNCTION("""COMPUTED_VALUE"""),"")</f>
        <v/>
      </c>
      <c r="I1000" s="75" t="n"/>
      <c r="J1000" s="77">
        <f>IFERROR(__xludf.DUMMYFUNCTION("""COMPUTED_VALUE"""),0.0)</f>
        <v/>
      </c>
      <c r="K1000" s="4">
        <f>IFERROR(__xludf.DUMMYFUNCTION("""COMPUTED_VALUE"""),0.0)</f>
        <v/>
      </c>
      <c r="L1000" s="77">
        <f>IFERROR(__xludf.DUMMYFUNCTION("""COMPUTED_VALUE"""),0.0)</f>
        <v/>
      </c>
      <c r="O1000" s="72" t="n"/>
      <c r="S1000" s="4" t="n"/>
    </row>
    <row r="1001">
      <c r="A1001" s="74" t="n"/>
      <c r="B1001" s="72" t="n"/>
      <c r="C1001" s="75" t="n"/>
      <c r="D1001" s="75" t="n"/>
      <c r="E1001" s="75" t="n"/>
      <c r="F1001" s="75" t="n"/>
      <c r="G1001" s="75" t="n"/>
      <c r="H1001" s="76">
        <f>IFERROR(__xludf.DUMMYFUNCTION("""COMPUTED_VALUE"""),"")</f>
        <v/>
      </c>
      <c r="I1001" s="75" t="n"/>
      <c r="J1001" s="77">
        <f>IFERROR(__xludf.DUMMYFUNCTION("""COMPUTED_VALUE"""),0.0)</f>
        <v/>
      </c>
      <c r="K1001" s="4">
        <f>IFERROR(__xludf.DUMMYFUNCTION("""COMPUTED_VALUE"""),0.0)</f>
        <v/>
      </c>
      <c r="L1001" s="77">
        <f>IFERROR(__xludf.DUMMYFUNCTION("""COMPUTED_VALUE"""),0.0)</f>
        <v/>
      </c>
      <c r="O1001" s="72" t="n"/>
      <c r="S1001" s="4" t="n"/>
    </row>
    <row r="1002">
      <c r="A1002" s="74" t="n"/>
      <c r="B1002" s="72" t="n"/>
      <c r="C1002" s="75" t="n"/>
      <c r="D1002" s="75" t="n"/>
      <c r="E1002" s="75" t="n"/>
      <c r="F1002" s="75" t="n"/>
      <c r="G1002" s="75" t="n"/>
      <c r="H1002" s="76">
        <f>IFERROR(__xludf.DUMMYFUNCTION("""COMPUTED_VALUE"""),"")</f>
        <v/>
      </c>
      <c r="I1002" s="75" t="n"/>
      <c r="J1002" s="77">
        <f>IFERROR(__xludf.DUMMYFUNCTION("""COMPUTED_VALUE"""),0.0)</f>
        <v/>
      </c>
      <c r="K1002" s="4">
        <f>IFERROR(__xludf.DUMMYFUNCTION("""COMPUTED_VALUE"""),0.0)</f>
        <v/>
      </c>
      <c r="L1002" s="77">
        <f>IFERROR(__xludf.DUMMYFUNCTION("""COMPUTED_VALUE"""),0.0)</f>
        <v/>
      </c>
      <c r="O1002" s="72" t="n"/>
      <c r="S1002" s="4" t="n"/>
    </row>
    <row r="1003">
      <c r="A1003" s="74" t="n"/>
      <c r="B1003" s="72" t="n"/>
      <c r="C1003" s="75" t="n"/>
      <c r="D1003" s="75" t="n"/>
      <c r="E1003" s="75" t="n"/>
      <c r="F1003" s="75" t="n"/>
      <c r="G1003" s="75" t="n"/>
      <c r="H1003" s="76">
        <f>IFERROR(__xludf.DUMMYFUNCTION("""COMPUTED_VALUE"""),"")</f>
        <v/>
      </c>
      <c r="I1003" s="75" t="n"/>
      <c r="J1003" s="77">
        <f>IFERROR(__xludf.DUMMYFUNCTION("""COMPUTED_VALUE"""),0.0)</f>
        <v/>
      </c>
      <c r="K1003" s="4">
        <f>IFERROR(__xludf.DUMMYFUNCTION("""COMPUTED_VALUE"""),0.0)</f>
        <v/>
      </c>
      <c r="L1003" s="77">
        <f>IFERROR(__xludf.DUMMYFUNCTION("""COMPUTED_VALUE"""),0.0)</f>
        <v/>
      </c>
      <c r="O1003" s="72" t="n"/>
      <c r="S1003" s="4" t="n"/>
    </row>
    <row r="1004">
      <c r="A1004" s="74" t="n"/>
      <c r="B1004" s="72" t="n"/>
      <c r="C1004" s="75" t="n"/>
      <c r="D1004" s="75" t="n"/>
      <c r="E1004" s="75" t="n"/>
      <c r="F1004" s="75" t="n"/>
      <c r="G1004" s="75" t="n"/>
      <c r="H1004" s="76">
        <f>IFERROR(__xludf.DUMMYFUNCTION("""COMPUTED_VALUE"""),"")</f>
        <v/>
      </c>
      <c r="I1004" s="75" t="n"/>
      <c r="J1004" s="77">
        <f>IFERROR(__xludf.DUMMYFUNCTION("""COMPUTED_VALUE"""),0.0)</f>
        <v/>
      </c>
      <c r="K1004" s="4">
        <f>IFERROR(__xludf.DUMMYFUNCTION("""COMPUTED_VALUE"""),0.0)</f>
        <v/>
      </c>
      <c r="L1004" s="77">
        <f>IFERROR(__xludf.DUMMYFUNCTION("""COMPUTED_VALUE"""),0.0)</f>
        <v/>
      </c>
      <c r="O1004" s="72" t="n"/>
      <c r="S1004" s="4" t="n"/>
    </row>
    <row r="1005">
      <c r="A1005" s="74" t="n"/>
      <c r="B1005" s="72" t="n"/>
      <c r="C1005" s="75" t="n"/>
      <c r="D1005" s="75" t="n"/>
      <c r="E1005" s="75" t="n"/>
      <c r="F1005" s="75" t="n"/>
      <c r="G1005" s="75" t="n"/>
      <c r="H1005" s="76">
        <f>IFERROR(__xludf.DUMMYFUNCTION("""COMPUTED_VALUE"""),"")</f>
        <v/>
      </c>
      <c r="I1005" s="75" t="n"/>
      <c r="J1005" s="77">
        <f>IFERROR(__xludf.DUMMYFUNCTION("""COMPUTED_VALUE"""),0.0)</f>
        <v/>
      </c>
      <c r="K1005" s="4">
        <f>IFERROR(__xludf.DUMMYFUNCTION("""COMPUTED_VALUE"""),0.0)</f>
        <v/>
      </c>
      <c r="L1005" s="77">
        <f>IFERROR(__xludf.DUMMYFUNCTION("""COMPUTED_VALUE"""),0.0)</f>
        <v/>
      </c>
      <c r="O1005" s="72" t="n"/>
      <c r="S1005" s="4" t="n"/>
    </row>
    <row r="1006">
      <c r="A1006" s="74" t="n"/>
      <c r="B1006" s="72" t="n"/>
      <c r="C1006" s="75" t="n"/>
      <c r="D1006" s="75" t="n"/>
      <c r="E1006" s="75" t="n"/>
      <c r="F1006" s="75" t="n"/>
      <c r="G1006" s="75" t="n"/>
      <c r="H1006" s="76">
        <f>IFERROR(__xludf.DUMMYFUNCTION("""COMPUTED_VALUE"""),"")</f>
        <v/>
      </c>
      <c r="I1006" s="75" t="n"/>
      <c r="J1006" s="77">
        <f>IFERROR(__xludf.DUMMYFUNCTION("""COMPUTED_VALUE"""),0.0)</f>
        <v/>
      </c>
      <c r="K1006" s="4">
        <f>IFERROR(__xludf.DUMMYFUNCTION("""COMPUTED_VALUE"""),0.0)</f>
        <v/>
      </c>
      <c r="L1006" s="77">
        <f>IFERROR(__xludf.DUMMYFUNCTION("""COMPUTED_VALUE"""),0.0)</f>
        <v/>
      </c>
      <c r="O1006" s="72" t="n"/>
      <c r="S1006" s="4" t="n"/>
    </row>
    <row r="1007">
      <c r="A1007" s="74" t="n"/>
      <c r="B1007" s="72" t="n"/>
      <c r="C1007" s="75" t="n"/>
      <c r="D1007" s="75" t="n"/>
      <c r="E1007" s="75" t="n"/>
      <c r="F1007" s="75" t="n"/>
      <c r="G1007" s="75" t="n"/>
      <c r="H1007" s="76">
        <f>IFERROR(__xludf.DUMMYFUNCTION("""COMPUTED_VALUE"""),"")</f>
        <v/>
      </c>
      <c r="I1007" s="75" t="n"/>
      <c r="J1007" s="77">
        <f>IFERROR(__xludf.DUMMYFUNCTION("""COMPUTED_VALUE"""),0.0)</f>
        <v/>
      </c>
      <c r="K1007" s="4">
        <f>IFERROR(__xludf.DUMMYFUNCTION("""COMPUTED_VALUE"""),0.0)</f>
        <v/>
      </c>
      <c r="L1007" s="77">
        <f>IFERROR(__xludf.DUMMYFUNCTION("""COMPUTED_VALUE"""),0.0)</f>
        <v/>
      </c>
      <c r="O1007" s="72" t="n"/>
      <c r="S1007" s="4" t="n"/>
    </row>
    <row r="1008">
      <c r="A1008" s="74" t="n"/>
      <c r="B1008" s="72" t="n"/>
      <c r="C1008" s="75" t="n"/>
      <c r="D1008" s="75" t="n"/>
      <c r="E1008" s="75" t="n"/>
      <c r="F1008" s="75" t="n"/>
      <c r="G1008" s="75" t="n"/>
      <c r="H1008" s="76">
        <f>IFERROR(__xludf.DUMMYFUNCTION("""COMPUTED_VALUE"""),"")</f>
        <v/>
      </c>
      <c r="I1008" s="75" t="n"/>
      <c r="J1008" s="77">
        <f>IFERROR(__xludf.DUMMYFUNCTION("""COMPUTED_VALUE"""),0.0)</f>
        <v/>
      </c>
      <c r="K1008" s="4">
        <f>IFERROR(__xludf.DUMMYFUNCTION("""COMPUTED_VALUE"""),0.0)</f>
        <v/>
      </c>
      <c r="L1008" s="77">
        <f>IFERROR(__xludf.DUMMYFUNCTION("""COMPUTED_VALUE"""),0.0)</f>
        <v/>
      </c>
      <c r="O1008" s="72" t="n"/>
      <c r="S1008" s="4" t="n"/>
    </row>
    <row r="1009">
      <c r="A1009" s="74" t="n"/>
      <c r="B1009" s="72" t="n"/>
      <c r="C1009" s="75" t="n"/>
      <c r="D1009" s="75" t="n"/>
      <c r="E1009" s="75" t="n"/>
      <c r="F1009" s="75" t="n"/>
      <c r="G1009" s="75" t="n"/>
      <c r="H1009" s="76">
        <f>IFERROR(__xludf.DUMMYFUNCTION("""COMPUTED_VALUE"""),"")</f>
        <v/>
      </c>
      <c r="I1009" s="75" t="n"/>
      <c r="J1009" s="77">
        <f>IFERROR(__xludf.DUMMYFUNCTION("""COMPUTED_VALUE"""),0.0)</f>
        <v/>
      </c>
      <c r="K1009" s="4">
        <f>IFERROR(__xludf.DUMMYFUNCTION("""COMPUTED_VALUE"""),0.0)</f>
        <v/>
      </c>
      <c r="L1009" s="77">
        <f>IFERROR(__xludf.DUMMYFUNCTION("""COMPUTED_VALUE"""),0.0)</f>
        <v/>
      </c>
      <c r="O1009" s="72" t="n"/>
      <c r="S1009" s="4" t="n"/>
    </row>
    <row r="1010">
      <c r="A1010" s="74" t="n"/>
      <c r="B1010" s="72" t="n"/>
      <c r="C1010" s="75" t="n"/>
      <c r="D1010" s="75" t="n"/>
      <c r="E1010" s="75" t="n"/>
      <c r="F1010" s="75" t="n"/>
      <c r="G1010" s="75" t="n"/>
      <c r="H1010" s="76">
        <f>IFERROR(__xludf.DUMMYFUNCTION("""COMPUTED_VALUE"""),"")</f>
        <v/>
      </c>
      <c r="I1010" s="75" t="n"/>
      <c r="J1010" s="77">
        <f>IFERROR(__xludf.DUMMYFUNCTION("""COMPUTED_VALUE"""),0.0)</f>
        <v/>
      </c>
      <c r="K1010" s="4">
        <f>IFERROR(__xludf.DUMMYFUNCTION("""COMPUTED_VALUE"""),0.0)</f>
        <v/>
      </c>
      <c r="L1010" s="77">
        <f>IFERROR(__xludf.DUMMYFUNCTION("""COMPUTED_VALUE"""),0.0)</f>
        <v/>
      </c>
      <c r="O1010" s="72" t="n"/>
      <c r="S1010" s="4" t="n"/>
    </row>
    <row r="1011">
      <c r="A1011" s="74" t="n"/>
      <c r="B1011" s="72" t="n"/>
      <c r="C1011" s="75" t="n"/>
      <c r="D1011" s="75" t="n"/>
      <c r="E1011" s="75" t="n"/>
      <c r="F1011" s="75" t="n"/>
      <c r="G1011" s="75" t="n"/>
      <c r="H1011" s="76">
        <f>IFERROR(__xludf.DUMMYFUNCTION("""COMPUTED_VALUE"""),"")</f>
        <v/>
      </c>
      <c r="I1011" s="75" t="n"/>
      <c r="J1011" s="77">
        <f>IFERROR(__xludf.DUMMYFUNCTION("""COMPUTED_VALUE"""),0.0)</f>
        <v/>
      </c>
      <c r="K1011" s="4">
        <f>IFERROR(__xludf.DUMMYFUNCTION("""COMPUTED_VALUE"""),0.0)</f>
        <v/>
      </c>
      <c r="L1011" s="77">
        <f>IFERROR(__xludf.DUMMYFUNCTION("""COMPUTED_VALUE"""),0.0)</f>
        <v/>
      </c>
      <c r="O1011" s="72" t="n"/>
      <c r="S1011" s="4" t="n"/>
    </row>
    <row r="1012">
      <c r="A1012" s="74" t="n"/>
      <c r="B1012" s="72" t="n"/>
      <c r="C1012" s="75" t="n"/>
      <c r="D1012" s="75" t="n"/>
      <c r="E1012" s="75" t="n"/>
      <c r="F1012" s="75" t="n"/>
      <c r="G1012" s="75" t="n"/>
      <c r="H1012" s="76">
        <f>IFERROR(__xludf.DUMMYFUNCTION("""COMPUTED_VALUE"""),"")</f>
        <v/>
      </c>
      <c r="I1012" s="75" t="n"/>
      <c r="J1012" s="77">
        <f>IFERROR(__xludf.DUMMYFUNCTION("""COMPUTED_VALUE"""),0.0)</f>
        <v/>
      </c>
      <c r="K1012" s="4">
        <f>IFERROR(__xludf.DUMMYFUNCTION("""COMPUTED_VALUE"""),0.0)</f>
        <v/>
      </c>
      <c r="L1012" s="77">
        <f>IFERROR(__xludf.DUMMYFUNCTION("""COMPUTED_VALUE"""),0.0)</f>
        <v/>
      </c>
      <c r="O1012" s="72" t="n"/>
      <c r="S1012" s="4" t="n"/>
    </row>
    <row r="1013">
      <c r="A1013" s="74" t="n"/>
      <c r="B1013" s="72" t="n"/>
      <c r="C1013" s="75" t="n"/>
      <c r="D1013" s="75" t="n"/>
      <c r="E1013" s="75" t="n"/>
      <c r="F1013" s="75" t="n"/>
      <c r="G1013" s="75" t="n"/>
      <c r="H1013" s="76">
        <f>IFERROR(__xludf.DUMMYFUNCTION("""COMPUTED_VALUE"""),"")</f>
        <v/>
      </c>
      <c r="I1013" s="75" t="n"/>
      <c r="J1013" s="77">
        <f>IFERROR(__xludf.DUMMYFUNCTION("""COMPUTED_VALUE"""),0.0)</f>
        <v/>
      </c>
      <c r="K1013" s="4">
        <f>IFERROR(__xludf.DUMMYFUNCTION("""COMPUTED_VALUE"""),0.0)</f>
        <v/>
      </c>
      <c r="L1013" s="77">
        <f>IFERROR(__xludf.DUMMYFUNCTION("""COMPUTED_VALUE"""),0.0)</f>
        <v/>
      </c>
      <c r="O1013" s="72" t="n"/>
      <c r="S1013" s="4" t="n"/>
    </row>
    <row r="1014">
      <c r="A1014" s="74" t="n"/>
      <c r="B1014" s="72" t="n"/>
      <c r="C1014" s="75" t="n"/>
      <c r="D1014" s="75" t="n"/>
      <c r="E1014" s="75" t="n"/>
      <c r="F1014" s="75" t="n"/>
      <c r="G1014" s="75" t="n"/>
      <c r="H1014" s="76">
        <f>IFERROR(__xludf.DUMMYFUNCTION("""COMPUTED_VALUE"""),"")</f>
        <v/>
      </c>
      <c r="I1014" s="75" t="n"/>
      <c r="J1014" s="77">
        <f>IFERROR(__xludf.DUMMYFUNCTION("""COMPUTED_VALUE"""),0.0)</f>
        <v/>
      </c>
      <c r="K1014" s="4">
        <f>IFERROR(__xludf.DUMMYFUNCTION("""COMPUTED_VALUE"""),0.0)</f>
        <v/>
      </c>
      <c r="L1014" s="77">
        <f>IFERROR(__xludf.DUMMYFUNCTION("""COMPUTED_VALUE"""),0.0)</f>
        <v/>
      </c>
      <c r="O1014" s="72" t="n"/>
      <c r="S1014" s="4" t="n"/>
    </row>
    <row r="1015">
      <c r="A1015" s="74" t="n"/>
      <c r="B1015" s="72" t="n"/>
      <c r="C1015" s="75" t="n"/>
      <c r="D1015" s="75" t="n"/>
      <c r="E1015" s="75" t="n"/>
      <c r="F1015" s="75" t="n"/>
      <c r="G1015" s="75" t="n"/>
      <c r="H1015" s="76">
        <f>IFERROR(__xludf.DUMMYFUNCTION("""COMPUTED_VALUE"""),"")</f>
        <v/>
      </c>
      <c r="I1015" s="75" t="n"/>
      <c r="J1015" s="77">
        <f>IFERROR(__xludf.DUMMYFUNCTION("""COMPUTED_VALUE"""),0.0)</f>
        <v/>
      </c>
      <c r="K1015" s="4">
        <f>IFERROR(__xludf.DUMMYFUNCTION("""COMPUTED_VALUE"""),0.0)</f>
        <v/>
      </c>
      <c r="L1015" s="77">
        <f>IFERROR(__xludf.DUMMYFUNCTION("""COMPUTED_VALUE"""),0.0)</f>
        <v/>
      </c>
      <c r="O1015" s="72" t="n"/>
      <c r="S1015" s="4" t="n"/>
    </row>
    <row r="1016">
      <c r="A1016" s="74" t="n"/>
      <c r="B1016" s="72" t="n"/>
      <c r="C1016" s="75" t="n"/>
      <c r="D1016" s="75" t="n"/>
      <c r="E1016" s="75" t="n"/>
      <c r="F1016" s="75" t="n"/>
      <c r="G1016" s="75" t="n"/>
      <c r="H1016" s="76">
        <f>IFERROR(__xludf.DUMMYFUNCTION("""COMPUTED_VALUE"""),"")</f>
        <v/>
      </c>
      <c r="I1016" s="75" t="n"/>
      <c r="J1016" s="77">
        <f>IFERROR(__xludf.DUMMYFUNCTION("""COMPUTED_VALUE"""),0.0)</f>
        <v/>
      </c>
      <c r="K1016" s="4">
        <f>IFERROR(__xludf.DUMMYFUNCTION("""COMPUTED_VALUE"""),0.0)</f>
        <v/>
      </c>
      <c r="L1016" s="77">
        <f>IFERROR(__xludf.DUMMYFUNCTION("""COMPUTED_VALUE"""),0.0)</f>
        <v/>
      </c>
      <c r="O1016" s="72" t="n"/>
      <c r="S1016" s="4" t="n"/>
    </row>
    <row r="1017">
      <c r="A1017" s="74" t="n"/>
      <c r="B1017" s="72" t="n"/>
      <c r="C1017" s="75" t="n"/>
      <c r="D1017" s="75" t="n"/>
      <c r="E1017" s="75" t="n"/>
      <c r="F1017" s="75" t="n"/>
      <c r="G1017" s="75" t="n"/>
      <c r="H1017" s="76">
        <f>IFERROR(__xludf.DUMMYFUNCTION("""COMPUTED_VALUE"""),"")</f>
        <v/>
      </c>
      <c r="I1017" s="75" t="n"/>
      <c r="J1017" s="77">
        <f>IFERROR(__xludf.DUMMYFUNCTION("""COMPUTED_VALUE"""),0.0)</f>
        <v/>
      </c>
      <c r="K1017" s="4">
        <f>IFERROR(__xludf.DUMMYFUNCTION("""COMPUTED_VALUE"""),0.0)</f>
        <v/>
      </c>
      <c r="L1017" s="77">
        <f>IFERROR(__xludf.DUMMYFUNCTION("""COMPUTED_VALUE"""),0.0)</f>
        <v/>
      </c>
      <c r="O1017" s="72" t="n"/>
      <c r="S1017" s="4" t="n"/>
    </row>
    <row r="1018">
      <c r="A1018" s="74" t="n"/>
      <c r="B1018" s="72" t="n"/>
      <c r="C1018" s="75" t="n"/>
      <c r="D1018" s="75" t="n"/>
      <c r="E1018" s="75" t="n"/>
      <c r="F1018" s="75" t="n"/>
      <c r="G1018" s="75" t="n"/>
      <c r="H1018" s="76">
        <f>IFERROR(__xludf.DUMMYFUNCTION("""COMPUTED_VALUE"""),"")</f>
        <v/>
      </c>
      <c r="I1018" s="75" t="n"/>
      <c r="J1018" s="77">
        <f>IFERROR(__xludf.DUMMYFUNCTION("""COMPUTED_VALUE"""),0.0)</f>
        <v/>
      </c>
      <c r="K1018" s="4">
        <f>IFERROR(__xludf.DUMMYFUNCTION("""COMPUTED_VALUE"""),0.0)</f>
        <v/>
      </c>
      <c r="L1018" s="77">
        <f>IFERROR(__xludf.DUMMYFUNCTION("""COMPUTED_VALUE"""),0.0)</f>
        <v/>
      </c>
      <c r="O1018" s="72" t="n"/>
      <c r="S1018" s="4" t="n"/>
    </row>
    <row r="1019">
      <c r="A1019" s="74" t="n"/>
      <c r="B1019" s="72" t="n"/>
      <c r="C1019" s="75" t="n"/>
      <c r="D1019" s="75" t="n"/>
      <c r="E1019" s="75" t="n"/>
      <c r="F1019" s="75" t="n"/>
      <c r="G1019" s="75" t="n"/>
      <c r="H1019" s="76">
        <f>IFERROR(__xludf.DUMMYFUNCTION("""COMPUTED_VALUE"""),"")</f>
        <v/>
      </c>
      <c r="I1019" s="75" t="n"/>
      <c r="J1019" s="77">
        <f>IFERROR(__xludf.DUMMYFUNCTION("""COMPUTED_VALUE"""),0.0)</f>
        <v/>
      </c>
      <c r="K1019" s="4">
        <f>IFERROR(__xludf.DUMMYFUNCTION("""COMPUTED_VALUE"""),0.0)</f>
        <v/>
      </c>
      <c r="L1019" s="77">
        <f>IFERROR(__xludf.DUMMYFUNCTION("""COMPUTED_VALUE"""),0.0)</f>
        <v/>
      </c>
      <c r="O1019" s="72" t="n"/>
      <c r="S1019" s="4" t="n"/>
    </row>
    <row r="1020">
      <c r="A1020" s="74" t="n"/>
      <c r="B1020" s="72" t="n"/>
      <c r="C1020" s="75" t="n"/>
      <c r="D1020" s="75" t="n"/>
      <c r="E1020" s="75" t="n"/>
      <c r="F1020" s="75" t="n"/>
      <c r="G1020" s="75" t="n"/>
      <c r="H1020" s="76">
        <f>IFERROR(__xludf.DUMMYFUNCTION("""COMPUTED_VALUE"""),"")</f>
        <v/>
      </c>
      <c r="I1020" s="75" t="n"/>
      <c r="J1020" s="77">
        <f>IFERROR(__xludf.DUMMYFUNCTION("""COMPUTED_VALUE"""),0.0)</f>
        <v/>
      </c>
      <c r="K1020" s="4">
        <f>IFERROR(__xludf.DUMMYFUNCTION("""COMPUTED_VALUE"""),0.0)</f>
        <v/>
      </c>
      <c r="L1020" s="77">
        <f>IFERROR(__xludf.DUMMYFUNCTION("""COMPUTED_VALUE"""),0.0)</f>
        <v/>
      </c>
      <c r="O1020" s="72" t="n"/>
      <c r="S1020" s="4" t="n"/>
    </row>
    <row r="1021">
      <c r="A1021" s="74" t="n"/>
      <c r="B1021" s="72" t="n"/>
      <c r="C1021" s="75" t="n"/>
      <c r="D1021" s="75" t="n"/>
      <c r="E1021" s="75" t="n"/>
      <c r="F1021" s="75" t="n"/>
      <c r="G1021" s="75" t="n"/>
      <c r="H1021" s="76">
        <f>IFERROR(__xludf.DUMMYFUNCTION("""COMPUTED_VALUE"""),"")</f>
        <v/>
      </c>
      <c r="I1021" s="75" t="n"/>
      <c r="J1021" s="77">
        <f>IFERROR(__xludf.DUMMYFUNCTION("""COMPUTED_VALUE"""),0.0)</f>
        <v/>
      </c>
      <c r="K1021" s="4">
        <f>IFERROR(__xludf.DUMMYFUNCTION("""COMPUTED_VALUE"""),0.0)</f>
        <v/>
      </c>
      <c r="L1021" s="77">
        <f>IFERROR(__xludf.DUMMYFUNCTION("""COMPUTED_VALUE"""),0.0)</f>
        <v/>
      </c>
      <c r="O1021" s="72" t="n"/>
      <c r="S1021" s="4" t="n"/>
    </row>
    <row r="1022">
      <c r="A1022" s="74" t="n"/>
      <c r="B1022" s="72" t="n"/>
      <c r="C1022" s="75" t="n"/>
      <c r="D1022" s="75" t="n"/>
      <c r="E1022" s="75" t="n"/>
      <c r="F1022" s="75" t="n"/>
      <c r="G1022" s="75" t="n"/>
      <c r="H1022" s="76">
        <f>IFERROR(__xludf.DUMMYFUNCTION("""COMPUTED_VALUE"""),"")</f>
        <v/>
      </c>
      <c r="I1022" s="75" t="n"/>
      <c r="J1022" s="77">
        <f>IFERROR(__xludf.DUMMYFUNCTION("""COMPUTED_VALUE"""),0.0)</f>
        <v/>
      </c>
      <c r="K1022" s="4">
        <f>IFERROR(__xludf.DUMMYFUNCTION("""COMPUTED_VALUE"""),0.0)</f>
        <v/>
      </c>
      <c r="L1022" s="77">
        <f>IFERROR(__xludf.DUMMYFUNCTION("""COMPUTED_VALUE"""),0.0)</f>
        <v/>
      </c>
      <c r="O1022" s="72" t="n"/>
      <c r="S1022" s="4" t="n"/>
    </row>
    <row r="1023">
      <c r="A1023" s="74" t="n"/>
      <c r="B1023" s="72" t="n"/>
      <c r="C1023" s="75" t="n"/>
      <c r="D1023" s="75" t="n"/>
      <c r="E1023" s="75" t="n"/>
      <c r="F1023" s="75" t="n"/>
      <c r="G1023" s="75" t="n"/>
      <c r="H1023" s="76">
        <f>IFERROR(__xludf.DUMMYFUNCTION("""COMPUTED_VALUE"""),"")</f>
        <v/>
      </c>
      <c r="I1023" s="75" t="n"/>
      <c r="J1023" s="77">
        <f>IFERROR(__xludf.DUMMYFUNCTION("""COMPUTED_VALUE"""),0.0)</f>
        <v/>
      </c>
      <c r="K1023" s="4">
        <f>IFERROR(__xludf.DUMMYFUNCTION("""COMPUTED_VALUE"""),0.0)</f>
        <v/>
      </c>
      <c r="L1023" s="77">
        <f>IFERROR(__xludf.DUMMYFUNCTION("""COMPUTED_VALUE"""),0.0)</f>
        <v/>
      </c>
      <c r="O1023" s="72" t="n"/>
      <c r="S1023" s="4" t="n"/>
    </row>
    <row r="1024">
      <c r="A1024" s="74" t="n"/>
      <c r="B1024" s="72" t="n"/>
      <c r="C1024" s="75" t="n"/>
      <c r="D1024" s="75" t="n"/>
      <c r="E1024" s="75" t="n"/>
      <c r="F1024" s="75" t="n"/>
      <c r="G1024" s="75" t="n"/>
      <c r="H1024" s="76">
        <f>IFERROR(__xludf.DUMMYFUNCTION("""COMPUTED_VALUE"""),"")</f>
        <v/>
      </c>
      <c r="I1024" s="75" t="n"/>
      <c r="J1024" s="77">
        <f>IFERROR(__xludf.DUMMYFUNCTION("""COMPUTED_VALUE"""),0.0)</f>
        <v/>
      </c>
      <c r="K1024" s="4">
        <f>IFERROR(__xludf.DUMMYFUNCTION("""COMPUTED_VALUE"""),0.0)</f>
        <v/>
      </c>
      <c r="L1024" s="77">
        <f>IFERROR(__xludf.DUMMYFUNCTION("""COMPUTED_VALUE"""),0.0)</f>
        <v/>
      </c>
      <c r="O1024" s="72" t="n"/>
      <c r="S1024" s="4" t="n"/>
    </row>
    <row r="1025">
      <c r="A1025" s="74" t="n"/>
      <c r="B1025" s="72" t="n"/>
      <c r="C1025" s="75" t="n"/>
      <c r="D1025" s="75" t="n"/>
      <c r="E1025" s="75" t="n"/>
      <c r="F1025" s="75" t="n"/>
      <c r="G1025" s="75" t="n"/>
      <c r="H1025" s="76">
        <f>IFERROR(__xludf.DUMMYFUNCTION("""COMPUTED_VALUE"""),"")</f>
        <v/>
      </c>
      <c r="I1025" s="75" t="n"/>
      <c r="J1025" s="77">
        <f>IFERROR(__xludf.DUMMYFUNCTION("""COMPUTED_VALUE"""),0.0)</f>
        <v/>
      </c>
      <c r="K1025" s="4">
        <f>IFERROR(__xludf.DUMMYFUNCTION("""COMPUTED_VALUE"""),0.0)</f>
        <v/>
      </c>
      <c r="L1025" s="77">
        <f>IFERROR(__xludf.DUMMYFUNCTION("""COMPUTED_VALUE"""),0.0)</f>
        <v/>
      </c>
      <c r="O1025" s="72" t="n"/>
      <c r="S1025" s="4" t="n"/>
    </row>
    <row r="1026">
      <c r="A1026" s="74" t="n"/>
      <c r="B1026" s="72" t="n"/>
      <c r="C1026" s="75" t="n"/>
      <c r="D1026" s="75" t="n"/>
      <c r="E1026" s="75" t="n"/>
      <c r="F1026" s="75" t="n"/>
      <c r="G1026" s="75" t="n"/>
      <c r="H1026" s="76">
        <f>IFERROR(__xludf.DUMMYFUNCTION("""COMPUTED_VALUE"""),"")</f>
        <v/>
      </c>
      <c r="I1026" s="75" t="n"/>
      <c r="J1026" s="77">
        <f>IFERROR(__xludf.DUMMYFUNCTION("""COMPUTED_VALUE"""),0.0)</f>
        <v/>
      </c>
      <c r="K1026" s="4">
        <f>IFERROR(__xludf.DUMMYFUNCTION("""COMPUTED_VALUE"""),0.0)</f>
        <v/>
      </c>
      <c r="L1026" s="77">
        <f>IFERROR(__xludf.DUMMYFUNCTION("""COMPUTED_VALUE"""),0.0)</f>
        <v/>
      </c>
      <c r="O1026" s="72" t="n"/>
      <c r="S1026" s="4" t="n"/>
    </row>
    <row r="1027">
      <c r="A1027" s="74" t="n"/>
      <c r="B1027" s="72" t="n"/>
      <c r="C1027" s="75" t="n"/>
      <c r="D1027" s="75" t="n"/>
      <c r="E1027" s="75" t="n"/>
      <c r="F1027" s="75" t="n"/>
      <c r="G1027" s="75" t="n"/>
      <c r="H1027" s="76">
        <f>IFERROR(__xludf.DUMMYFUNCTION("""COMPUTED_VALUE"""),"")</f>
        <v/>
      </c>
      <c r="I1027" s="75" t="n"/>
      <c r="J1027" s="77">
        <f>IFERROR(__xludf.DUMMYFUNCTION("""COMPUTED_VALUE"""),0.0)</f>
        <v/>
      </c>
      <c r="K1027" s="4">
        <f>IFERROR(__xludf.DUMMYFUNCTION("""COMPUTED_VALUE"""),0.0)</f>
        <v/>
      </c>
      <c r="L1027" s="77">
        <f>IFERROR(__xludf.DUMMYFUNCTION("""COMPUTED_VALUE"""),0.0)</f>
        <v/>
      </c>
      <c r="O1027" s="72" t="n"/>
      <c r="S1027" s="4" t="n"/>
    </row>
    <row r="1028">
      <c r="A1028" s="74" t="n"/>
      <c r="B1028" s="72" t="n"/>
      <c r="C1028" s="75" t="n"/>
      <c r="D1028" s="75" t="n"/>
      <c r="E1028" s="75" t="n"/>
      <c r="F1028" s="75" t="n"/>
      <c r="G1028" s="75" t="n"/>
      <c r="H1028" s="76">
        <f>IFERROR(__xludf.DUMMYFUNCTION("""COMPUTED_VALUE"""),"")</f>
        <v/>
      </c>
      <c r="I1028" s="75" t="n"/>
      <c r="J1028" s="77">
        <f>IFERROR(__xludf.DUMMYFUNCTION("""COMPUTED_VALUE"""),0.0)</f>
        <v/>
      </c>
      <c r="K1028" s="4">
        <f>IFERROR(__xludf.DUMMYFUNCTION("""COMPUTED_VALUE"""),0.0)</f>
        <v/>
      </c>
      <c r="L1028" s="77">
        <f>IFERROR(__xludf.DUMMYFUNCTION("""COMPUTED_VALUE"""),0.0)</f>
        <v/>
      </c>
      <c r="O1028" s="72" t="n"/>
      <c r="S1028" s="4" t="n"/>
    </row>
    <row r="1029">
      <c r="A1029" s="74" t="n"/>
      <c r="B1029" s="72" t="n"/>
      <c r="C1029" s="75" t="n"/>
      <c r="D1029" s="75" t="n"/>
      <c r="E1029" s="75" t="n"/>
      <c r="F1029" s="75" t="n"/>
      <c r="G1029" s="75" t="n"/>
      <c r="H1029" s="76">
        <f>IFERROR(__xludf.DUMMYFUNCTION("""COMPUTED_VALUE"""),"")</f>
        <v/>
      </c>
      <c r="I1029" s="75" t="n"/>
      <c r="J1029" s="77">
        <f>IFERROR(__xludf.DUMMYFUNCTION("""COMPUTED_VALUE"""),0.0)</f>
        <v/>
      </c>
      <c r="K1029" s="4">
        <f>IFERROR(__xludf.DUMMYFUNCTION("""COMPUTED_VALUE"""),0.0)</f>
        <v/>
      </c>
      <c r="L1029" s="77">
        <f>IFERROR(__xludf.DUMMYFUNCTION("""COMPUTED_VALUE"""),0.0)</f>
        <v/>
      </c>
      <c r="O1029" s="72" t="n"/>
      <c r="S1029" s="4" t="n"/>
    </row>
    <row r="1030">
      <c r="A1030" s="74" t="n"/>
      <c r="B1030" s="72" t="n"/>
      <c r="C1030" s="75" t="n"/>
      <c r="D1030" s="75" t="n"/>
      <c r="E1030" s="75" t="n"/>
      <c r="F1030" s="75" t="n"/>
      <c r="G1030" s="75" t="n"/>
      <c r="H1030" s="76">
        <f>IFERROR(__xludf.DUMMYFUNCTION("""COMPUTED_VALUE"""),"")</f>
        <v/>
      </c>
      <c r="I1030" s="75" t="n"/>
      <c r="J1030" s="77">
        <f>IFERROR(__xludf.DUMMYFUNCTION("""COMPUTED_VALUE"""),0.0)</f>
        <v/>
      </c>
      <c r="K1030" s="4">
        <f>IFERROR(__xludf.DUMMYFUNCTION("""COMPUTED_VALUE"""),0.0)</f>
        <v/>
      </c>
      <c r="L1030" s="77">
        <f>IFERROR(__xludf.DUMMYFUNCTION("""COMPUTED_VALUE"""),0.0)</f>
        <v/>
      </c>
      <c r="O1030" s="72" t="n"/>
      <c r="S1030" s="4" t="n"/>
    </row>
    <row r="1031">
      <c r="A1031" s="74" t="n"/>
      <c r="B1031" s="72" t="n"/>
      <c r="C1031" s="75" t="n"/>
      <c r="D1031" s="75" t="n"/>
      <c r="E1031" s="75" t="n"/>
      <c r="F1031" s="75" t="n"/>
      <c r="G1031" s="75" t="n"/>
      <c r="H1031" s="76">
        <f>IFERROR(__xludf.DUMMYFUNCTION("""COMPUTED_VALUE"""),"")</f>
        <v/>
      </c>
      <c r="I1031" s="75" t="n"/>
      <c r="J1031" s="77">
        <f>IFERROR(__xludf.DUMMYFUNCTION("""COMPUTED_VALUE"""),0.0)</f>
        <v/>
      </c>
      <c r="K1031" s="4">
        <f>IFERROR(__xludf.DUMMYFUNCTION("""COMPUTED_VALUE"""),0.0)</f>
        <v/>
      </c>
      <c r="L1031" s="77">
        <f>IFERROR(__xludf.DUMMYFUNCTION("""COMPUTED_VALUE"""),0.0)</f>
        <v/>
      </c>
      <c r="O1031" s="72" t="n"/>
      <c r="S1031" s="4" t="n"/>
    </row>
    <row r="1032">
      <c r="A1032" s="74" t="n"/>
      <c r="B1032" s="72" t="n"/>
      <c r="C1032" s="75" t="n"/>
      <c r="D1032" s="75" t="n"/>
      <c r="E1032" s="75" t="n"/>
      <c r="F1032" s="75" t="n"/>
      <c r="G1032" s="75" t="n"/>
      <c r="H1032" s="76">
        <f>IFERROR(__xludf.DUMMYFUNCTION("""COMPUTED_VALUE"""),"")</f>
        <v/>
      </c>
      <c r="I1032" s="75" t="n"/>
      <c r="J1032" s="77">
        <f>IFERROR(__xludf.DUMMYFUNCTION("""COMPUTED_VALUE"""),0.0)</f>
        <v/>
      </c>
      <c r="K1032" s="4">
        <f>IFERROR(__xludf.DUMMYFUNCTION("""COMPUTED_VALUE"""),0.0)</f>
        <v/>
      </c>
      <c r="L1032" s="77">
        <f>IFERROR(__xludf.DUMMYFUNCTION("""COMPUTED_VALUE"""),0.0)</f>
        <v/>
      </c>
      <c r="O1032" s="72" t="n"/>
      <c r="S1032" s="4" t="n"/>
    </row>
    <row r="1033">
      <c r="A1033" s="74" t="n"/>
      <c r="B1033" s="72" t="n"/>
      <c r="C1033" s="75" t="n"/>
      <c r="D1033" s="75" t="n"/>
      <c r="E1033" s="75" t="n"/>
      <c r="F1033" s="75" t="n"/>
      <c r="G1033" s="75" t="n"/>
      <c r="H1033" s="76">
        <f>IFERROR(__xludf.DUMMYFUNCTION("""COMPUTED_VALUE"""),"")</f>
        <v/>
      </c>
      <c r="I1033" s="75" t="n"/>
      <c r="J1033" s="77">
        <f>IFERROR(__xludf.DUMMYFUNCTION("""COMPUTED_VALUE"""),0.0)</f>
        <v/>
      </c>
      <c r="K1033" s="4">
        <f>IFERROR(__xludf.DUMMYFUNCTION("""COMPUTED_VALUE"""),0.0)</f>
        <v/>
      </c>
      <c r="L1033" s="77">
        <f>IFERROR(__xludf.DUMMYFUNCTION("""COMPUTED_VALUE"""),0.0)</f>
        <v/>
      </c>
      <c r="O1033" s="72" t="n"/>
      <c r="S1033" s="4" t="n"/>
    </row>
    <row r="1034">
      <c r="A1034" s="74" t="n"/>
      <c r="B1034" s="72" t="n"/>
      <c r="C1034" s="75" t="n"/>
      <c r="D1034" s="75" t="n"/>
      <c r="E1034" s="75" t="n"/>
      <c r="F1034" s="75" t="n"/>
      <c r="G1034" s="75" t="n"/>
      <c r="H1034" s="76">
        <f>IFERROR(__xludf.DUMMYFUNCTION("""COMPUTED_VALUE"""),"")</f>
        <v/>
      </c>
      <c r="I1034" s="75" t="n"/>
      <c r="J1034" s="77">
        <f>IFERROR(__xludf.DUMMYFUNCTION("""COMPUTED_VALUE"""),0.0)</f>
        <v/>
      </c>
      <c r="K1034" s="4">
        <f>IFERROR(__xludf.DUMMYFUNCTION("""COMPUTED_VALUE"""),0.0)</f>
        <v/>
      </c>
      <c r="L1034" s="77">
        <f>IFERROR(__xludf.DUMMYFUNCTION("""COMPUTED_VALUE"""),0.0)</f>
        <v/>
      </c>
      <c r="O1034" s="72" t="n"/>
      <c r="S1034" s="4" t="n"/>
    </row>
    <row r="1035">
      <c r="A1035" s="74" t="n"/>
      <c r="B1035" s="72" t="n"/>
      <c r="C1035" s="75" t="n"/>
      <c r="D1035" s="75" t="n"/>
      <c r="E1035" s="75" t="n"/>
      <c r="F1035" s="75" t="n"/>
      <c r="G1035" s="75" t="n"/>
      <c r="H1035" s="76">
        <f>IFERROR(__xludf.DUMMYFUNCTION("""COMPUTED_VALUE"""),"")</f>
        <v/>
      </c>
      <c r="I1035" s="75" t="n"/>
      <c r="J1035" s="77">
        <f>IFERROR(__xludf.DUMMYFUNCTION("""COMPUTED_VALUE"""),0.0)</f>
        <v/>
      </c>
      <c r="K1035" s="4">
        <f>IFERROR(__xludf.DUMMYFUNCTION("""COMPUTED_VALUE"""),0.0)</f>
        <v/>
      </c>
      <c r="L1035" s="77">
        <f>IFERROR(__xludf.DUMMYFUNCTION("""COMPUTED_VALUE"""),0.0)</f>
        <v/>
      </c>
      <c r="O1035" s="72" t="n"/>
      <c r="S1035" s="4" t="n"/>
    </row>
    <row r="1036">
      <c r="A1036" s="74" t="n"/>
      <c r="B1036" s="72" t="n"/>
      <c r="C1036" s="75" t="n"/>
      <c r="D1036" s="75" t="n"/>
      <c r="E1036" s="75" t="n"/>
      <c r="F1036" s="75" t="n"/>
      <c r="G1036" s="75" t="n"/>
      <c r="H1036" s="76">
        <f>IFERROR(__xludf.DUMMYFUNCTION("""COMPUTED_VALUE"""),"")</f>
        <v/>
      </c>
      <c r="I1036" s="75" t="n"/>
      <c r="J1036" s="77">
        <f>IFERROR(__xludf.DUMMYFUNCTION("""COMPUTED_VALUE"""),0.0)</f>
        <v/>
      </c>
      <c r="K1036" s="4">
        <f>IFERROR(__xludf.DUMMYFUNCTION("""COMPUTED_VALUE"""),0.0)</f>
        <v/>
      </c>
      <c r="L1036" s="77">
        <f>IFERROR(__xludf.DUMMYFUNCTION("""COMPUTED_VALUE"""),0.0)</f>
        <v/>
      </c>
      <c r="O1036" s="72" t="n"/>
      <c r="S1036" s="4" t="n"/>
    </row>
    <row r="1037">
      <c r="A1037" s="74" t="n"/>
      <c r="B1037" s="72" t="n"/>
      <c r="C1037" s="75" t="n"/>
      <c r="D1037" s="75" t="n"/>
      <c r="E1037" s="75" t="n"/>
      <c r="F1037" s="75" t="n"/>
      <c r="G1037" s="75" t="n"/>
      <c r="H1037" s="76">
        <f>IFERROR(__xludf.DUMMYFUNCTION("""COMPUTED_VALUE"""),"")</f>
        <v/>
      </c>
      <c r="I1037" s="75" t="n"/>
      <c r="J1037" s="77">
        <f>IFERROR(__xludf.DUMMYFUNCTION("""COMPUTED_VALUE"""),0.0)</f>
        <v/>
      </c>
      <c r="K1037" s="4">
        <f>IFERROR(__xludf.DUMMYFUNCTION("""COMPUTED_VALUE"""),0.0)</f>
        <v/>
      </c>
      <c r="L1037" s="77">
        <f>IFERROR(__xludf.DUMMYFUNCTION("""COMPUTED_VALUE"""),0.0)</f>
        <v/>
      </c>
      <c r="O1037" s="72" t="n"/>
      <c r="S1037" s="4" t="n"/>
    </row>
    <row r="1038">
      <c r="A1038" s="74" t="n"/>
      <c r="B1038" s="72" t="n"/>
      <c r="C1038" s="75" t="n"/>
      <c r="D1038" s="75" t="n"/>
      <c r="E1038" s="75" t="n"/>
      <c r="F1038" s="75" t="n"/>
      <c r="G1038" s="75" t="n"/>
      <c r="H1038" s="76">
        <f>IFERROR(__xludf.DUMMYFUNCTION("""COMPUTED_VALUE"""),"")</f>
        <v/>
      </c>
      <c r="I1038" s="75" t="n"/>
      <c r="J1038" s="77">
        <f>IFERROR(__xludf.DUMMYFUNCTION("""COMPUTED_VALUE"""),0.0)</f>
        <v/>
      </c>
      <c r="K1038" s="4">
        <f>IFERROR(__xludf.DUMMYFUNCTION("""COMPUTED_VALUE"""),0.0)</f>
        <v/>
      </c>
      <c r="L1038" s="77">
        <f>IFERROR(__xludf.DUMMYFUNCTION("""COMPUTED_VALUE"""),0.0)</f>
        <v/>
      </c>
      <c r="O1038" s="72" t="n"/>
      <c r="S1038" s="4" t="n"/>
    </row>
    <row r="1039">
      <c r="A1039" s="74" t="n"/>
      <c r="B1039" s="72" t="n"/>
      <c r="C1039" s="75" t="n"/>
      <c r="D1039" s="75" t="n"/>
      <c r="E1039" s="75" t="n"/>
      <c r="F1039" s="75" t="n"/>
      <c r="G1039" s="75" t="n"/>
      <c r="H1039" s="76">
        <f>IFERROR(__xludf.DUMMYFUNCTION("""COMPUTED_VALUE"""),"")</f>
        <v/>
      </c>
      <c r="I1039" s="75" t="n"/>
      <c r="J1039" s="77">
        <f>IFERROR(__xludf.DUMMYFUNCTION("""COMPUTED_VALUE"""),0.0)</f>
        <v/>
      </c>
      <c r="K1039" s="4">
        <f>IFERROR(__xludf.DUMMYFUNCTION("""COMPUTED_VALUE"""),0.0)</f>
        <v/>
      </c>
      <c r="L1039" s="77">
        <f>IFERROR(__xludf.DUMMYFUNCTION("""COMPUTED_VALUE"""),0.0)</f>
        <v/>
      </c>
      <c r="O1039" s="72" t="n"/>
      <c r="S1039" s="4" t="n"/>
    </row>
    <row r="1040">
      <c r="A1040" s="74" t="n"/>
      <c r="B1040" s="72" t="n"/>
      <c r="C1040" s="75" t="n"/>
      <c r="D1040" s="75" t="n"/>
      <c r="E1040" s="75" t="n"/>
      <c r="F1040" s="75" t="n"/>
      <c r="G1040" s="75" t="n"/>
      <c r="H1040" s="76">
        <f>IFERROR(__xludf.DUMMYFUNCTION("""COMPUTED_VALUE"""),"")</f>
        <v/>
      </c>
      <c r="I1040" s="75" t="n"/>
      <c r="J1040" s="77">
        <f>IFERROR(__xludf.DUMMYFUNCTION("""COMPUTED_VALUE"""),0.0)</f>
        <v/>
      </c>
      <c r="K1040" s="4">
        <f>IFERROR(__xludf.DUMMYFUNCTION("""COMPUTED_VALUE"""),0.0)</f>
        <v/>
      </c>
      <c r="L1040" s="77">
        <f>IFERROR(__xludf.DUMMYFUNCTION("""COMPUTED_VALUE"""),0.0)</f>
        <v/>
      </c>
      <c r="O1040" s="72" t="n"/>
      <c r="S1040" s="4" t="n"/>
    </row>
    <row r="1041">
      <c r="A1041" s="74" t="n"/>
      <c r="B1041" s="72" t="n"/>
      <c r="C1041" s="75" t="n"/>
      <c r="D1041" s="75" t="n"/>
      <c r="E1041" s="75" t="n"/>
      <c r="F1041" s="75" t="n"/>
      <c r="G1041" s="75" t="n"/>
      <c r="H1041" s="76">
        <f>IFERROR(__xludf.DUMMYFUNCTION("""COMPUTED_VALUE"""),"")</f>
        <v/>
      </c>
      <c r="I1041" s="75" t="n"/>
      <c r="J1041" s="77">
        <f>IFERROR(__xludf.DUMMYFUNCTION("""COMPUTED_VALUE"""),0.0)</f>
        <v/>
      </c>
      <c r="K1041" s="4">
        <f>IFERROR(__xludf.DUMMYFUNCTION("""COMPUTED_VALUE"""),0.0)</f>
        <v/>
      </c>
      <c r="L1041" s="77">
        <f>IFERROR(__xludf.DUMMYFUNCTION("""COMPUTED_VALUE"""),0.0)</f>
        <v/>
      </c>
      <c r="O1041" s="72" t="n"/>
      <c r="S1041" s="4" t="n"/>
    </row>
    <row r="1042">
      <c r="A1042" s="74" t="n"/>
      <c r="B1042" s="72" t="n"/>
      <c r="C1042" s="75" t="n"/>
      <c r="D1042" s="75" t="n"/>
      <c r="E1042" s="75" t="n"/>
      <c r="F1042" s="75" t="n"/>
      <c r="G1042" s="75" t="n"/>
      <c r="H1042" s="76">
        <f>IFERROR(__xludf.DUMMYFUNCTION("""COMPUTED_VALUE"""),"")</f>
        <v/>
      </c>
      <c r="I1042" s="75" t="n"/>
      <c r="J1042" s="77">
        <f>IFERROR(__xludf.DUMMYFUNCTION("""COMPUTED_VALUE"""),0.0)</f>
        <v/>
      </c>
      <c r="K1042" s="4">
        <f>IFERROR(__xludf.DUMMYFUNCTION("""COMPUTED_VALUE"""),0.0)</f>
        <v/>
      </c>
      <c r="L1042" s="77">
        <f>IFERROR(__xludf.DUMMYFUNCTION("""COMPUTED_VALUE"""),0.0)</f>
        <v/>
      </c>
      <c r="O1042" s="72" t="n"/>
      <c r="S1042" s="4" t="n"/>
    </row>
    <row r="1043">
      <c r="A1043" s="74" t="n"/>
      <c r="B1043" s="72" t="n"/>
      <c r="C1043" s="75" t="n"/>
      <c r="D1043" s="75" t="n"/>
      <c r="E1043" s="75" t="n"/>
      <c r="F1043" s="75" t="n"/>
      <c r="G1043" s="75" t="n"/>
      <c r="H1043" s="76">
        <f>IFERROR(__xludf.DUMMYFUNCTION("""COMPUTED_VALUE"""),"")</f>
        <v/>
      </c>
      <c r="I1043" s="75" t="n"/>
      <c r="J1043" s="77">
        <f>IFERROR(__xludf.DUMMYFUNCTION("""COMPUTED_VALUE"""),0.0)</f>
        <v/>
      </c>
      <c r="K1043" s="4">
        <f>IFERROR(__xludf.DUMMYFUNCTION("""COMPUTED_VALUE"""),0.0)</f>
        <v/>
      </c>
      <c r="L1043" s="77">
        <f>IFERROR(__xludf.DUMMYFUNCTION("""COMPUTED_VALUE"""),0.0)</f>
        <v/>
      </c>
      <c r="O1043" s="72" t="n"/>
      <c r="S1043" s="4" t="n"/>
    </row>
    <row r="1044">
      <c r="A1044" s="74" t="n"/>
      <c r="B1044" s="72" t="n"/>
      <c r="C1044" s="75" t="n"/>
      <c r="D1044" s="75" t="n"/>
      <c r="E1044" s="75" t="n"/>
      <c r="F1044" s="75" t="n"/>
      <c r="G1044" s="75" t="n"/>
      <c r="H1044" s="76">
        <f>IFERROR(__xludf.DUMMYFUNCTION("""COMPUTED_VALUE"""),"")</f>
        <v/>
      </c>
      <c r="I1044" s="75" t="n"/>
      <c r="J1044" s="77">
        <f>IFERROR(__xludf.DUMMYFUNCTION("""COMPUTED_VALUE"""),0.0)</f>
        <v/>
      </c>
      <c r="K1044" s="4">
        <f>IFERROR(__xludf.DUMMYFUNCTION("""COMPUTED_VALUE"""),0.0)</f>
        <v/>
      </c>
      <c r="L1044" s="77">
        <f>IFERROR(__xludf.DUMMYFUNCTION("""COMPUTED_VALUE"""),0.0)</f>
        <v/>
      </c>
      <c r="O1044" s="72" t="n"/>
      <c r="S1044" s="4" t="n"/>
    </row>
    <row r="1045">
      <c r="A1045" s="74" t="n"/>
      <c r="B1045" s="72" t="n"/>
      <c r="C1045" s="75" t="n"/>
      <c r="D1045" s="75" t="n"/>
      <c r="E1045" s="75" t="n"/>
      <c r="F1045" s="75" t="n"/>
      <c r="G1045" s="75" t="n"/>
      <c r="H1045" s="76">
        <f>IFERROR(__xludf.DUMMYFUNCTION("""COMPUTED_VALUE"""),"")</f>
        <v/>
      </c>
      <c r="I1045" s="75" t="n"/>
      <c r="J1045" s="77">
        <f>IFERROR(__xludf.DUMMYFUNCTION("""COMPUTED_VALUE"""),0.0)</f>
        <v/>
      </c>
      <c r="K1045" s="4">
        <f>IFERROR(__xludf.DUMMYFUNCTION("""COMPUTED_VALUE"""),0.0)</f>
        <v/>
      </c>
      <c r="L1045" s="77">
        <f>IFERROR(__xludf.DUMMYFUNCTION("""COMPUTED_VALUE"""),0.0)</f>
        <v/>
      </c>
      <c r="O1045" s="72" t="n"/>
      <c r="S1045" s="4" t="n"/>
    </row>
    <row r="1046">
      <c r="A1046" s="74" t="n"/>
      <c r="B1046" s="72" t="n"/>
      <c r="C1046" s="75" t="n"/>
      <c r="D1046" s="75" t="n"/>
      <c r="E1046" s="75" t="n"/>
      <c r="F1046" s="75" t="n"/>
      <c r="G1046" s="75" t="n"/>
      <c r="H1046" s="76">
        <f>IFERROR(__xludf.DUMMYFUNCTION("""COMPUTED_VALUE"""),"")</f>
        <v/>
      </c>
      <c r="I1046" s="75" t="n"/>
      <c r="J1046" s="77">
        <f>IFERROR(__xludf.DUMMYFUNCTION("""COMPUTED_VALUE"""),0.0)</f>
        <v/>
      </c>
      <c r="K1046" s="4">
        <f>IFERROR(__xludf.DUMMYFUNCTION("""COMPUTED_VALUE"""),0.0)</f>
        <v/>
      </c>
      <c r="L1046" s="77">
        <f>IFERROR(__xludf.DUMMYFUNCTION("""COMPUTED_VALUE"""),0.0)</f>
        <v/>
      </c>
      <c r="O1046" s="72" t="n"/>
      <c r="S1046" s="4" t="n"/>
    </row>
    <row r="1047">
      <c r="A1047" s="74" t="n"/>
      <c r="B1047" s="72" t="n"/>
      <c r="C1047" s="75" t="n"/>
      <c r="D1047" s="75" t="n"/>
      <c r="E1047" s="75" t="n"/>
      <c r="F1047" s="75" t="n"/>
      <c r="G1047" s="75" t="n"/>
      <c r="H1047" s="76">
        <f>IFERROR(__xludf.DUMMYFUNCTION("""COMPUTED_VALUE"""),"")</f>
        <v/>
      </c>
      <c r="I1047" s="75" t="n"/>
      <c r="J1047" s="77">
        <f>IFERROR(__xludf.DUMMYFUNCTION("""COMPUTED_VALUE"""),0.0)</f>
        <v/>
      </c>
      <c r="K1047" s="4">
        <f>IFERROR(__xludf.DUMMYFUNCTION("""COMPUTED_VALUE"""),0.0)</f>
        <v/>
      </c>
      <c r="L1047" s="77">
        <f>IFERROR(__xludf.DUMMYFUNCTION("""COMPUTED_VALUE"""),0.0)</f>
        <v/>
      </c>
      <c r="O1047" s="72" t="n"/>
      <c r="S1047" s="4" t="n"/>
    </row>
    <row r="1048">
      <c r="A1048" s="74" t="n"/>
      <c r="B1048" s="72" t="n"/>
      <c r="C1048" s="75" t="n"/>
      <c r="D1048" s="75" t="n"/>
      <c r="E1048" s="75" t="n"/>
      <c r="F1048" s="75" t="n"/>
      <c r="G1048" s="75" t="n"/>
      <c r="H1048" s="76">
        <f>IFERROR(__xludf.DUMMYFUNCTION("""COMPUTED_VALUE"""),"")</f>
        <v/>
      </c>
      <c r="I1048" s="75" t="n"/>
      <c r="J1048" s="77">
        <f>IFERROR(__xludf.DUMMYFUNCTION("""COMPUTED_VALUE"""),0.0)</f>
        <v/>
      </c>
      <c r="K1048" s="4">
        <f>IFERROR(__xludf.DUMMYFUNCTION("""COMPUTED_VALUE"""),0.0)</f>
        <v/>
      </c>
      <c r="L1048" s="77">
        <f>IFERROR(__xludf.DUMMYFUNCTION("""COMPUTED_VALUE"""),0.0)</f>
        <v/>
      </c>
      <c r="O1048" s="72" t="n"/>
      <c r="S1048" s="4" t="n"/>
    </row>
    <row r="1049">
      <c r="A1049" s="74" t="n"/>
      <c r="B1049" s="72" t="n"/>
      <c r="C1049" s="75" t="n"/>
      <c r="D1049" s="75" t="n"/>
      <c r="E1049" s="75" t="n"/>
      <c r="F1049" s="75" t="n"/>
      <c r="G1049" s="75" t="n"/>
      <c r="H1049" s="76">
        <f>IFERROR(__xludf.DUMMYFUNCTION("""COMPUTED_VALUE"""),"")</f>
        <v/>
      </c>
      <c r="I1049" s="75" t="n"/>
      <c r="J1049" s="77">
        <f>IFERROR(__xludf.DUMMYFUNCTION("""COMPUTED_VALUE"""),0.0)</f>
        <v/>
      </c>
      <c r="K1049" s="4">
        <f>IFERROR(__xludf.DUMMYFUNCTION("""COMPUTED_VALUE"""),0.0)</f>
        <v/>
      </c>
      <c r="L1049" s="77">
        <f>IFERROR(__xludf.DUMMYFUNCTION("""COMPUTED_VALUE"""),0.0)</f>
        <v/>
      </c>
      <c r="O1049" s="72" t="n"/>
      <c r="S1049" s="4" t="n"/>
    </row>
    <row r="1050">
      <c r="A1050" s="74" t="n"/>
      <c r="B1050" s="72" t="n"/>
      <c r="C1050" s="75" t="n"/>
      <c r="D1050" s="75" t="n"/>
      <c r="E1050" s="75" t="n"/>
      <c r="F1050" s="75" t="n"/>
      <c r="G1050" s="75" t="n"/>
      <c r="H1050" s="76">
        <f>IFERROR(__xludf.DUMMYFUNCTION("""COMPUTED_VALUE"""),"")</f>
        <v/>
      </c>
      <c r="I1050" s="75" t="n"/>
      <c r="J1050" s="77">
        <f>IFERROR(__xludf.DUMMYFUNCTION("""COMPUTED_VALUE"""),0.0)</f>
        <v/>
      </c>
      <c r="K1050" s="4">
        <f>IFERROR(__xludf.DUMMYFUNCTION("""COMPUTED_VALUE"""),0.0)</f>
        <v/>
      </c>
      <c r="L1050" s="77">
        <f>IFERROR(__xludf.DUMMYFUNCTION("""COMPUTED_VALUE"""),0.0)</f>
        <v/>
      </c>
      <c r="O1050" s="72" t="n"/>
      <c r="S1050" s="4" t="n"/>
    </row>
    <row r="1051">
      <c r="A1051" s="74" t="n"/>
      <c r="B1051" s="72" t="n"/>
      <c r="C1051" s="75" t="n"/>
      <c r="D1051" s="75" t="n"/>
      <c r="E1051" s="75" t="n"/>
      <c r="F1051" s="75" t="n"/>
      <c r="G1051" s="75" t="n"/>
      <c r="H1051" s="76">
        <f>IFERROR(__xludf.DUMMYFUNCTION("""COMPUTED_VALUE"""),"")</f>
        <v/>
      </c>
      <c r="I1051" s="75" t="n"/>
      <c r="J1051" s="77">
        <f>IFERROR(__xludf.DUMMYFUNCTION("""COMPUTED_VALUE"""),0.0)</f>
        <v/>
      </c>
      <c r="K1051" s="4">
        <f>IFERROR(__xludf.DUMMYFUNCTION("""COMPUTED_VALUE"""),0.0)</f>
        <v/>
      </c>
      <c r="L1051" s="77">
        <f>IFERROR(__xludf.DUMMYFUNCTION("""COMPUTED_VALUE"""),0.0)</f>
        <v/>
      </c>
      <c r="O1051" s="72" t="n"/>
      <c r="S1051" s="4" t="n"/>
    </row>
    <row r="1052">
      <c r="A1052" s="74" t="n"/>
      <c r="B1052" s="72" t="n"/>
      <c r="C1052" s="75" t="n"/>
      <c r="D1052" s="75" t="n"/>
      <c r="E1052" s="75" t="n"/>
      <c r="F1052" s="75" t="n"/>
      <c r="G1052" s="75" t="n"/>
      <c r="H1052" s="76">
        <f>IFERROR(__xludf.DUMMYFUNCTION("""COMPUTED_VALUE"""),"")</f>
        <v/>
      </c>
      <c r="I1052" s="75" t="n"/>
      <c r="J1052" s="77">
        <f>IFERROR(__xludf.DUMMYFUNCTION("""COMPUTED_VALUE"""),0.0)</f>
        <v/>
      </c>
      <c r="K1052" s="4">
        <f>IFERROR(__xludf.DUMMYFUNCTION("""COMPUTED_VALUE"""),0.0)</f>
        <v/>
      </c>
      <c r="L1052" s="77">
        <f>IFERROR(__xludf.DUMMYFUNCTION("""COMPUTED_VALUE"""),0.0)</f>
        <v/>
      </c>
      <c r="O1052" s="72" t="n"/>
      <c r="S1052" s="4" t="n"/>
    </row>
    <row r="1053">
      <c r="A1053" s="74" t="n"/>
      <c r="B1053" s="72" t="n"/>
      <c r="C1053" s="75" t="n"/>
      <c r="D1053" s="75" t="n"/>
      <c r="E1053" s="75" t="n"/>
      <c r="F1053" s="75" t="n"/>
      <c r="G1053" s="75" t="n"/>
      <c r="H1053" s="76">
        <f>IFERROR(__xludf.DUMMYFUNCTION("""COMPUTED_VALUE"""),"")</f>
        <v/>
      </c>
      <c r="I1053" s="75" t="n"/>
      <c r="J1053" s="77">
        <f>IFERROR(__xludf.DUMMYFUNCTION("""COMPUTED_VALUE"""),0.0)</f>
        <v/>
      </c>
      <c r="K1053" s="4">
        <f>IFERROR(__xludf.DUMMYFUNCTION("""COMPUTED_VALUE"""),0.0)</f>
        <v/>
      </c>
      <c r="L1053" s="77">
        <f>IFERROR(__xludf.DUMMYFUNCTION("""COMPUTED_VALUE"""),0.0)</f>
        <v/>
      </c>
      <c r="O1053" s="72" t="n"/>
      <c r="S1053" s="4" t="n"/>
    </row>
    <row r="1054">
      <c r="A1054" s="74" t="n"/>
      <c r="B1054" s="72" t="n"/>
      <c r="C1054" s="75" t="n"/>
      <c r="D1054" s="75" t="n"/>
      <c r="E1054" s="75" t="n"/>
      <c r="F1054" s="75" t="n"/>
      <c r="G1054" s="75" t="n"/>
      <c r="H1054" s="76">
        <f>IFERROR(__xludf.DUMMYFUNCTION("""COMPUTED_VALUE"""),"")</f>
        <v/>
      </c>
      <c r="I1054" s="75" t="n"/>
      <c r="J1054" s="77">
        <f>IFERROR(__xludf.DUMMYFUNCTION("""COMPUTED_VALUE"""),0.0)</f>
        <v/>
      </c>
      <c r="K1054" s="4">
        <f>IFERROR(__xludf.DUMMYFUNCTION("""COMPUTED_VALUE"""),0.0)</f>
        <v/>
      </c>
      <c r="L1054" s="77">
        <f>IFERROR(__xludf.DUMMYFUNCTION("""COMPUTED_VALUE"""),0.0)</f>
        <v/>
      </c>
      <c r="O1054" s="72" t="n"/>
      <c r="S1054" s="4" t="n"/>
    </row>
    <row r="1055">
      <c r="A1055" s="74" t="n"/>
      <c r="B1055" s="72" t="n"/>
      <c r="C1055" s="75" t="n"/>
      <c r="D1055" s="75" t="n"/>
      <c r="E1055" s="75" t="n"/>
      <c r="F1055" s="75" t="n"/>
      <c r="G1055" s="75" t="n"/>
      <c r="H1055" s="76">
        <f>IFERROR(__xludf.DUMMYFUNCTION("""COMPUTED_VALUE"""),"")</f>
        <v/>
      </c>
      <c r="I1055" s="75" t="n"/>
      <c r="J1055" s="77">
        <f>IFERROR(__xludf.DUMMYFUNCTION("""COMPUTED_VALUE"""),0.0)</f>
        <v/>
      </c>
      <c r="K1055" s="4">
        <f>IFERROR(__xludf.DUMMYFUNCTION("""COMPUTED_VALUE"""),0.0)</f>
        <v/>
      </c>
      <c r="L1055" s="77">
        <f>IFERROR(__xludf.DUMMYFUNCTION("""COMPUTED_VALUE"""),0.0)</f>
        <v/>
      </c>
      <c r="O1055" s="72" t="n"/>
      <c r="S1055" s="4" t="n"/>
    </row>
    <row r="1056">
      <c r="A1056" s="74" t="n"/>
      <c r="B1056" s="72" t="n"/>
      <c r="C1056" s="75" t="n"/>
      <c r="D1056" s="75" t="n"/>
      <c r="E1056" s="75" t="n"/>
      <c r="F1056" s="75" t="n"/>
      <c r="G1056" s="75" t="n"/>
      <c r="H1056" s="76">
        <f>IFERROR(__xludf.DUMMYFUNCTION("""COMPUTED_VALUE"""),"")</f>
        <v/>
      </c>
      <c r="I1056" s="75" t="n"/>
      <c r="J1056" s="77">
        <f>IFERROR(__xludf.DUMMYFUNCTION("""COMPUTED_VALUE"""),0.0)</f>
        <v/>
      </c>
      <c r="K1056" s="4">
        <f>IFERROR(__xludf.DUMMYFUNCTION("""COMPUTED_VALUE"""),0.0)</f>
        <v/>
      </c>
      <c r="L1056" s="77">
        <f>IFERROR(__xludf.DUMMYFUNCTION("""COMPUTED_VALUE"""),0.0)</f>
        <v/>
      </c>
      <c r="O1056" s="72" t="n"/>
      <c r="S1056" s="4" t="n"/>
    </row>
    <row r="1057">
      <c r="A1057" s="74" t="n"/>
      <c r="B1057" s="72" t="n"/>
      <c r="C1057" s="75" t="n"/>
      <c r="D1057" s="75" t="n"/>
      <c r="E1057" s="75" t="n"/>
      <c r="F1057" s="75" t="n"/>
      <c r="G1057" s="75" t="n"/>
      <c r="H1057" s="76">
        <f>IFERROR(__xludf.DUMMYFUNCTION("""COMPUTED_VALUE"""),"")</f>
        <v/>
      </c>
      <c r="I1057" s="75" t="n"/>
      <c r="J1057" s="77">
        <f>IFERROR(__xludf.DUMMYFUNCTION("""COMPUTED_VALUE"""),0.0)</f>
        <v/>
      </c>
      <c r="K1057" s="4">
        <f>IFERROR(__xludf.DUMMYFUNCTION("""COMPUTED_VALUE"""),0.0)</f>
        <v/>
      </c>
      <c r="L1057" s="77">
        <f>IFERROR(__xludf.DUMMYFUNCTION("""COMPUTED_VALUE"""),0.0)</f>
        <v/>
      </c>
      <c r="O1057" s="72" t="n"/>
      <c r="S1057" s="4" t="n"/>
    </row>
    <row r="1058">
      <c r="A1058" s="74" t="n"/>
      <c r="B1058" s="72" t="n"/>
      <c r="C1058" s="75" t="n"/>
      <c r="D1058" s="75" t="n"/>
      <c r="E1058" s="75" t="n"/>
      <c r="F1058" s="75" t="n"/>
      <c r="G1058" s="75" t="n"/>
      <c r="H1058" s="76">
        <f>IFERROR(__xludf.DUMMYFUNCTION("""COMPUTED_VALUE"""),"")</f>
        <v/>
      </c>
      <c r="I1058" s="75" t="n"/>
      <c r="J1058" s="77">
        <f>IFERROR(__xludf.DUMMYFUNCTION("""COMPUTED_VALUE"""),0.0)</f>
        <v/>
      </c>
      <c r="K1058" s="4">
        <f>IFERROR(__xludf.DUMMYFUNCTION("""COMPUTED_VALUE"""),0.0)</f>
        <v/>
      </c>
      <c r="L1058" s="77">
        <f>IFERROR(__xludf.DUMMYFUNCTION("""COMPUTED_VALUE"""),0.0)</f>
        <v/>
      </c>
      <c r="O1058" s="72" t="n"/>
      <c r="S1058" s="4" t="n"/>
    </row>
    <row r="1059">
      <c r="A1059" s="74" t="n"/>
      <c r="B1059" s="72" t="n"/>
      <c r="C1059" s="75" t="n"/>
      <c r="D1059" s="75" t="n"/>
      <c r="E1059" s="75" t="n"/>
      <c r="F1059" s="75" t="n"/>
      <c r="G1059" s="75" t="n"/>
      <c r="H1059" s="76">
        <f>IFERROR(__xludf.DUMMYFUNCTION("""COMPUTED_VALUE"""),"")</f>
        <v/>
      </c>
      <c r="I1059" s="75" t="n"/>
      <c r="J1059" s="77">
        <f>IFERROR(__xludf.DUMMYFUNCTION("""COMPUTED_VALUE"""),0.0)</f>
        <v/>
      </c>
      <c r="K1059" s="4">
        <f>IFERROR(__xludf.DUMMYFUNCTION("""COMPUTED_VALUE"""),0.0)</f>
        <v/>
      </c>
      <c r="L1059" s="77">
        <f>IFERROR(__xludf.DUMMYFUNCTION("""COMPUTED_VALUE"""),0.0)</f>
        <v/>
      </c>
      <c r="O1059" s="72" t="n"/>
      <c r="S1059" s="4" t="n"/>
    </row>
    <row r="1060">
      <c r="A1060" s="74" t="n"/>
      <c r="B1060" s="72" t="n"/>
      <c r="C1060" s="75" t="n"/>
      <c r="D1060" s="75" t="n"/>
      <c r="E1060" s="75" t="n"/>
      <c r="F1060" s="75" t="n"/>
      <c r="G1060" s="75" t="n"/>
      <c r="H1060" s="76">
        <f>IFERROR(__xludf.DUMMYFUNCTION("""COMPUTED_VALUE"""),"")</f>
        <v/>
      </c>
      <c r="I1060" s="75" t="n"/>
      <c r="J1060" s="77">
        <f>IFERROR(__xludf.DUMMYFUNCTION("""COMPUTED_VALUE"""),0.0)</f>
        <v/>
      </c>
      <c r="K1060" s="4">
        <f>IFERROR(__xludf.DUMMYFUNCTION("""COMPUTED_VALUE"""),0.0)</f>
        <v/>
      </c>
      <c r="L1060" s="77">
        <f>IFERROR(__xludf.DUMMYFUNCTION("""COMPUTED_VALUE"""),0.0)</f>
        <v/>
      </c>
      <c r="O1060" s="72" t="n"/>
      <c r="S1060" s="4" t="n"/>
    </row>
    <row r="1061">
      <c r="A1061" s="74" t="n"/>
      <c r="B1061" s="72" t="n"/>
      <c r="C1061" s="75" t="n"/>
      <c r="D1061" s="75" t="n"/>
      <c r="E1061" s="75" t="n"/>
      <c r="F1061" s="75" t="n"/>
      <c r="G1061" s="75" t="n"/>
      <c r="H1061" s="76">
        <f>IFERROR(__xludf.DUMMYFUNCTION("""COMPUTED_VALUE"""),"")</f>
        <v/>
      </c>
      <c r="I1061" s="75" t="n"/>
      <c r="J1061" s="77">
        <f>IFERROR(__xludf.DUMMYFUNCTION("""COMPUTED_VALUE"""),0.0)</f>
        <v/>
      </c>
      <c r="K1061" s="4">
        <f>IFERROR(__xludf.DUMMYFUNCTION("""COMPUTED_VALUE"""),0.0)</f>
        <v/>
      </c>
      <c r="L1061" s="77">
        <f>IFERROR(__xludf.DUMMYFUNCTION("""COMPUTED_VALUE"""),0.0)</f>
        <v/>
      </c>
      <c r="O1061" s="72" t="n"/>
      <c r="S1061" s="4" t="n"/>
    </row>
    <row r="1062">
      <c r="A1062" s="74" t="n"/>
      <c r="B1062" s="72" t="n"/>
      <c r="C1062" s="75" t="n"/>
      <c r="D1062" s="75" t="n"/>
      <c r="E1062" s="75" t="n"/>
      <c r="F1062" s="75" t="n"/>
      <c r="G1062" s="75" t="n"/>
      <c r="H1062" s="76">
        <f>IFERROR(__xludf.DUMMYFUNCTION("""COMPUTED_VALUE"""),"")</f>
        <v/>
      </c>
      <c r="I1062" s="75" t="n"/>
      <c r="J1062" s="77">
        <f>IFERROR(__xludf.DUMMYFUNCTION("""COMPUTED_VALUE"""),0.0)</f>
        <v/>
      </c>
      <c r="K1062" s="4">
        <f>IFERROR(__xludf.DUMMYFUNCTION("""COMPUTED_VALUE"""),0.0)</f>
        <v/>
      </c>
      <c r="L1062" s="77">
        <f>IFERROR(__xludf.DUMMYFUNCTION("""COMPUTED_VALUE"""),0.0)</f>
        <v/>
      </c>
      <c r="O1062" s="72" t="n"/>
      <c r="S1062" s="4" t="n"/>
    </row>
    <row r="1063">
      <c r="A1063" s="74" t="n"/>
      <c r="B1063" s="72" t="n"/>
      <c r="C1063" s="75" t="n"/>
      <c r="D1063" s="75" t="n"/>
      <c r="E1063" s="75" t="n"/>
      <c r="F1063" s="75" t="n"/>
      <c r="G1063" s="75" t="n"/>
      <c r="H1063" s="76">
        <f>IFERROR(__xludf.DUMMYFUNCTION("""COMPUTED_VALUE"""),"")</f>
        <v/>
      </c>
      <c r="I1063" s="75" t="n"/>
      <c r="J1063" s="77">
        <f>IFERROR(__xludf.DUMMYFUNCTION("""COMPUTED_VALUE"""),0.0)</f>
        <v/>
      </c>
      <c r="K1063" s="4">
        <f>IFERROR(__xludf.DUMMYFUNCTION("""COMPUTED_VALUE"""),0.0)</f>
        <v/>
      </c>
      <c r="L1063" s="77">
        <f>IFERROR(__xludf.DUMMYFUNCTION("""COMPUTED_VALUE"""),0.0)</f>
        <v/>
      </c>
      <c r="O1063" s="72" t="n"/>
      <c r="S1063" s="4" t="n"/>
    </row>
    <row r="1064">
      <c r="A1064" s="74" t="n"/>
      <c r="B1064" s="72" t="n"/>
      <c r="C1064" s="75" t="n"/>
      <c r="D1064" s="75" t="n"/>
      <c r="E1064" s="75" t="n"/>
      <c r="F1064" s="75" t="n"/>
      <c r="G1064" s="75" t="n"/>
      <c r="H1064" s="76">
        <f>IFERROR(__xludf.DUMMYFUNCTION("""COMPUTED_VALUE"""),"")</f>
        <v/>
      </c>
      <c r="I1064" s="75" t="n"/>
      <c r="J1064" s="77">
        <f>IFERROR(__xludf.DUMMYFUNCTION("""COMPUTED_VALUE"""),0.0)</f>
        <v/>
      </c>
      <c r="K1064" s="4">
        <f>IFERROR(__xludf.DUMMYFUNCTION("""COMPUTED_VALUE"""),0.0)</f>
        <v/>
      </c>
      <c r="L1064" s="77">
        <f>IFERROR(__xludf.DUMMYFUNCTION("""COMPUTED_VALUE"""),0.0)</f>
        <v/>
      </c>
      <c r="O1064" s="72" t="n"/>
      <c r="S1064" s="4" t="n"/>
    </row>
    <row r="1065">
      <c r="A1065" s="74" t="n"/>
      <c r="B1065" s="72" t="n"/>
      <c r="C1065" s="75" t="n"/>
      <c r="D1065" s="75" t="n"/>
      <c r="E1065" s="75" t="n"/>
      <c r="F1065" s="75" t="n"/>
      <c r="G1065" s="75" t="n"/>
      <c r="H1065" s="76">
        <f>IFERROR(__xludf.DUMMYFUNCTION("""COMPUTED_VALUE"""),"")</f>
        <v/>
      </c>
      <c r="I1065" s="75" t="n"/>
      <c r="J1065" s="77">
        <f>IFERROR(__xludf.DUMMYFUNCTION("""COMPUTED_VALUE"""),0.0)</f>
        <v/>
      </c>
      <c r="K1065" s="4">
        <f>IFERROR(__xludf.DUMMYFUNCTION("""COMPUTED_VALUE"""),0.0)</f>
        <v/>
      </c>
      <c r="L1065" s="77">
        <f>IFERROR(__xludf.DUMMYFUNCTION("""COMPUTED_VALUE"""),0.0)</f>
        <v/>
      </c>
      <c r="O1065" s="72" t="n"/>
      <c r="S1065" s="4" t="n"/>
    </row>
    <row r="1066">
      <c r="A1066" s="74" t="n"/>
      <c r="B1066" s="72" t="n"/>
      <c r="C1066" s="75" t="n"/>
      <c r="D1066" s="75" t="n"/>
      <c r="E1066" s="75" t="n"/>
      <c r="F1066" s="75" t="n"/>
      <c r="G1066" s="75" t="n"/>
      <c r="H1066" s="76">
        <f>IFERROR(__xludf.DUMMYFUNCTION("""COMPUTED_VALUE"""),"")</f>
        <v/>
      </c>
      <c r="I1066" s="75" t="n"/>
      <c r="J1066" s="77">
        <f>IFERROR(__xludf.DUMMYFUNCTION("""COMPUTED_VALUE"""),0.0)</f>
        <v/>
      </c>
      <c r="K1066" s="4">
        <f>IFERROR(__xludf.DUMMYFUNCTION("""COMPUTED_VALUE"""),0.0)</f>
        <v/>
      </c>
      <c r="L1066" s="77">
        <f>IFERROR(__xludf.DUMMYFUNCTION("""COMPUTED_VALUE"""),0.0)</f>
        <v/>
      </c>
      <c r="O1066" s="72" t="n"/>
      <c r="S1066" s="4" t="n"/>
    </row>
    <row r="1067">
      <c r="A1067" s="74" t="n"/>
      <c r="B1067" s="72" t="n"/>
      <c r="C1067" s="75" t="n"/>
      <c r="D1067" s="75" t="n"/>
      <c r="E1067" s="75" t="n"/>
      <c r="F1067" s="75" t="n"/>
      <c r="G1067" s="75" t="n"/>
      <c r="H1067" s="76">
        <f>IFERROR(__xludf.DUMMYFUNCTION("""COMPUTED_VALUE"""),"")</f>
        <v/>
      </c>
      <c r="I1067" s="75" t="n"/>
      <c r="J1067" s="77">
        <f>IFERROR(__xludf.DUMMYFUNCTION("""COMPUTED_VALUE"""),0.0)</f>
        <v/>
      </c>
      <c r="K1067" s="4">
        <f>IFERROR(__xludf.DUMMYFUNCTION("""COMPUTED_VALUE"""),0.0)</f>
        <v/>
      </c>
      <c r="L1067" s="77">
        <f>IFERROR(__xludf.DUMMYFUNCTION("""COMPUTED_VALUE"""),0.0)</f>
        <v/>
      </c>
      <c r="O1067" s="72" t="n"/>
      <c r="S1067" s="4" t="n"/>
    </row>
    <row r="1068">
      <c r="A1068" s="74" t="n"/>
      <c r="B1068" s="72" t="n"/>
      <c r="C1068" s="75" t="n"/>
      <c r="D1068" s="75" t="n"/>
      <c r="E1068" s="75" t="n"/>
      <c r="F1068" s="75" t="n"/>
      <c r="G1068" s="75" t="n"/>
      <c r="H1068" s="76">
        <f>IFERROR(__xludf.DUMMYFUNCTION("""COMPUTED_VALUE"""),"")</f>
        <v/>
      </c>
      <c r="I1068" s="75" t="n"/>
      <c r="J1068" s="77">
        <f>IFERROR(__xludf.DUMMYFUNCTION("""COMPUTED_VALUE"""),0.0)</f>
        <v/>
      </c>
      <c r="K1068" s="4">
        <f>IFERROR(__xludf.DUMMYFUNCTION("""COMPUTED_VALUE"""),0.0)</f>
        <v/>
      </c>
      <c r="L1068" s="77">
        <f>IFERROR(__xludf.DUMMYFUNCTION("""COMPUTED_VALUE"""),0.0)</f>
        <v/>
      </c>
      <c r="O1068" s="72" t="n"/>
      <c r="S1068" s="4" t="n"/>
    </row>
    <row r="1069">
      <c r="A1069" s="74" t="n"/>
      <c r="B1069" s="72" t="n"/>
      <c r="C1069" s="75" t="n"/>
      <c r="D1069" s="75" t="n"/>
      <c r="E1069" s="75" t="n"/>
      <c r="F1069" s="75" t="n"/>
      <c r="G1069" s="75" t="n"/>
      <c r="H1069" s="76">
        <f>IFERROR(__xludf.DUMMYFUNCTION("""COMPUTED_VALUE"""),"")</f>
        <v/>
      </c>
      <c r="I1069" s="75" t="n"/>
      <c r="J1069" s="77">
        <f>IFERROR(__xludf.DUMMYFUNCTION("""COMPUTED_VALUE"""),0.0)</f>
        <v/>
      </c>
      <c r="K1069" s="4">
        <f>IFERROR(__xludf.DUMMYFUNCTION("""COMPUTED_VALUE"""),0.0)</f>
        <v/>
      </c>
      <c r="L1069" s="77">
        <f>IFERROR(__xludf.DUMMYFUNCTION("""COMPUTED_VALUE"""),0.0)</f>
        <v/>
      </c>
      <c r="O1069" s="72" t="n"/>
      <c r="S1069" s="4" t="n"/>
    </row>
    <row r="1070">
      <c r="A1070" s="74" t="n"/>
      <c r="B1070" s="72" t="n"/>
      <c r="C1070" s="75" t="n"/>
      <c r="D1070" s="75" t="n"/>
      <c r="E1070" s="75" t="n"/>
      <c r="F1070" s="75" t="n"/>
      <c r="G1070" s="75" t="n"/>
      <c r="H1070" s="76">
        <f>IFERROR(__xludf.DUMMYFUNCTION("""COMPUTED_VALUE"""),"")</f>
        <v/>
      </c>
      <c r="I1070" s="75" t="n"/>
      <c r="J1070" s="77">
        <f>IFERROR(__xludf.DUMMYFUNCTION("""COMPUTED_VALUE"""),0.0)</f>
        <v/>
      </c>
      <c r="K1070" s="4">
        <f>IFERROR(__xludf.DUMMYFUNCTION("""COMPUTED_VALUE"""),0.0)</f>
        <v/>
      </c>
      <c r="L1070" s="77">
        <f>IFERROR(__xludf.DUMMYFUNCTION("""COMPUTED_VALUE"""),0.0)</f>
        <v/>
      </c>
      <c r="O1070" s="72" t="n"/>
      <c r="S1070" s="4" t="n"/>
    </row>
    <row r="1071">
      <c r="A1071" s="74" t="n"/>
      <c r="B1071" s="72" t="n"/>
      <c r="C1071" s="75" t="n"/>
      <c r="D1071" s="75" t="n"/>
      <c r="E1071" s="75" t="n"/>
      <c r="F1071" s="75" t="n"/>
      <c r="G1071" s="75" t="n"/>
      <c r="H1071" s="76">
        <f>IFERROR(__xludf.DUMMYFUNCTION("""COMPUTED_VALUE"""),"")</f>
        <v/>
      </c>
      <c r="I1071" s="75" t="n"/>
      <c r="J1071" s="77">
        <f>IFERROR(__xludf.DUMMYFUNCTION("""COMPUTED_VALUE"""),0.0)</f>
        <v/>
      </c>
      <c r="K1071" s="4">
        <f>IFERROR(__xludf.DUMMYFUNCTION("""COMPUTED_VALUE"""),0.0)</f>
        <v/>
      </c>
      <c r="L1071" s="77">
        <f>IFERROR(__xludf.DUMMYFUNCTION("""COMPUTED_VALUE"""),0.0)</f>
        <v/>
      </c>
      <c r="O1071" s="72" t="n"/>
      <c r="S1071" s="4" t="n"/>
    </row>
    <row r="1072">
      <c r="A1072" s="74" t="n"/>
      <c r="B1072" s="72" t="n"/>
      <c r="C1072" s="75" t="n"/>
      <c r="D1072" s="75" t="n"/>
      <c r="E1072" s="75" t="n"/>
      <c r="F1072" s="75" t="n"/>
      <c r="G1072" s="75" t="n"/>
      <c r="H1072" s="76">
        <f>IFERROR(__xludf.DUMMYFUNCTION("""COMPUTED_VALUE"""),"")</f>
        <v/>
      </c>
      <c r="I1072" s="75" t="n"/>
      <c r="J1072" s="77">
        <f>IFERROR(__xludf.DUMMYFUNCTION("""COMPUTED_VALUE"""),0.0)</f>
        <v/>
      </c>
      <c r="K1072" s="4">
        <f>IFERROR(__xludf.DUMMYFUNCTION("""COMPUTED_VALUE"""),0.0)</f>
        <v/>
      </c>
      <c r="L1072" s="77">
        <f>IFERROR(__xludf.DUMMYFUNCTION("""COMPUTED_VALUE"""),0.0)</f>
        <v/>
      </c>
      <c r="O1072" s="72" t="n"/>
      <c r="S1072" s="4" t="n"/>
    </row>
    <row r="1073">
      <c r="A1073" s="74" t="n"/>
      <c r="B1073" s="72" t="n"/>
      <c r="C1073" s="75" t="n"/>
      <c r="D1073" s="75" t="n"/>
      <c r="E1073" s="75" t="n"/>
      <c r="F1073" s="75" t="n"/>
      <c r="G1073" s="75" t="n"/>
      <c r="H1073" s="76">
        <f>IFERROR(__xludf.DUMMYFUNCTION("""COMPUTED_VALUE"""),"")</f>
        <v/>
      </c>
      <c r="I1073" s="75" t="n"/>
      <c r="J1073" s="77">
        <f>IFERROR(__xludf.DUMMYFUNCTION("""COMPUTED_VALUE"""),0.0)</f>
        <v/>
      </c>
      <c r="K1073" s="4">
        <f>IFERROR(__xludf.DUMMYFUNCTION("""COMPUTED_VALUE"""),0.0)</f>
        <v/>
      </c>
      <c r="L1073" s="77">
        <f>IFERROR(__xludf.DUMMYFUNCTION("""COMPUTED_VALUE"""),0.0)</f>
        <v/>
      </c>
      <c r="O1073" s="72" t="n"/>
      <c r="S1073" s="4" t="n"/>
    </row>
    <row r="1074">
      <c r="A1074" s="74" t="n"/>
      <c r="B1074" s="72" t="n"/>
      <c r="C1074" s="75" t="n"/>
      <c r="D1074" s="75" t="n"/>
      <c r="E1074" s="75" t="n"/>
      <c r="F1074" s="75" t="n"/>
      <c r="G1074" s="75" t="n"/>
      <c r="H1074" s="76">
        <f>IFERROR(__xludf.DUMMYFUNCTION("""COMPUTED_VALUE"""),"")</f>
        <v/>
      </c>
      <c r="I1074" s="75" t="n"/>
      <c r="J1074" s="77">
        <f>IFERROR(__xludf.DUMMYFUNCTION("""COMPUTED_VALUE"""),0.0)</f>
        <v/>
      </c>
      <c r="K1074" s="4">
        <f>IFERROR(__xludf.DUMMYFUNCTION("""COMPUTED_VALUE"""),0.0)</f>
        <v/>
      </c>
      <c r="L1074" s="77">
        <f>IFERROR(__xludf.DUMMYFUNCTION("""COMPUTED_VALUE"""),0.0)</f>
        <v/>
      </c>
      <c r="O1074" s="72" t="n"/>
      <c r="S1074" s="4" t="n"/>
    </row>
    <row r="1075">
      <c r="A1075" s="74" t="n"/>
      <c r="B1075" s="72" t="n"/>
      <c r="C1075" s="75" t="n"/>
      <c r="D1075" s="75" t="n"/>
      <c r="E1075" s="75" t="n"/>
      <c r="F1075" s="75" t="n"/>
      <c r="G1075" s="75" t="n"/>
      <c r="H1075" s="76">
        <f>IFERROR(__xludf.DUMMYFUNCTION("""COMPUTED_VALUE"""),"")</f>
        <v/>
      </c>
      <c r="I1075" s="75" t="n"/>
      <c r="J1075" s="77">
        <f>IFERROR(__xludf.DUMMYFUNCTION("""COMPUTED_VALUE"""),0.0)</f>
        <v/>
      </c>
      <c r="K1075" s="4">
        <f>IFERROR(__xludf.DUMMYFUNCTION("""COMPUTED_VALUE"""),0.0)</f>
        <v/>
      </c>
      <c r="L1075" s="77">
        <f>IFERROR(__xludf.DUMMYFUNCTION("""COMPUTED_VALUE"""),0.0)</f>
        <v/>
      </c>
      <c r="O1075" s="72" t="n"/>
      <c r="S1075" s="4" t="n"/>
    </row>
    <row r="1076">
      <c r="A1076" s="74" t="n"/>
      <c r="B1076" s="72" t="n"/>
      <c r="C1076" s="75" t="n"/>
      <c r="D1076" s="75" t="n"/>
      <c r="E1076" s="75" t="n"/>
      <c r="F1076" s="75" t="n"/>
      <c r="G1076" s="75" t="n"/>
      <c r="H1076" s="76">
        <f>IFERROR(__xludf.DUMMYFUNCTION("""COMPUTED_VALUE"""),"")</f>
        <v/>
      </c>
      <c r="I1076" s="75" t="n"/>
      <c r="J1076" s="77">
        <f>IFERROR(__xludf.DUMMYFUNCTION("""COMPUTED_VALUE"""),0.0)</f>
        <v/>
      </c>
      <c r="K1076" s="4">
        <f>IFERROR(__xludf.DUMMYFUNCTION("""COMPUTED_VALUE"""),0.0)</f>
        <v/>
      </c>
      <c r="L1076" s="77">
        <f>IFERROR(__xludf.DUMMYFUNCTION("""COMPUTED_VALUE"""),0.0)</f>
        <v/>
      </c>
      <c r="O1076" s="72" t="n"/>
      <c r="S1076" s="4" t="n"/>
    </row>
    <row r="1077">
      <c r="A1077" s="74" t="n"/>
      <c r="B1077" s="72" t="n"/>
      <c r="C1077" s="75" t="n"/>
      <c r="D1077" s="75" t="n"/>
      <c r="E1077" s="75" t="n"/>
      <c r="F1077" s="75" t="n"/>
      <c r="G1077" s="75" t="n"/>
      <c r="H1077" s="76">
        <f>IFERROR(__xludf.DUMMYFUNCTION("""COMPUTED_VALUE"""),"")</f>
        <v/>
      </c>
      <c r="I1077" s="75" t="n"/>
      <c r="J1077" s="77">
        <f>IFERROR(__xludf.DUMMYFUNCTION("""COMPUTED_VALUE"""),0.0)</f>
        <v/>
      </c>
      <c r="K1077" s="4">
        <f>IFERROR(__xludf.DUMMYFUNCTION("""COMPUTED_VALUE"""),0.0)</f>
        <v/>
      </c>
      <c r="L1077" s="77">
        <f>IFERROR(__xludf.DUMMYFUNCTION("""COMPUTED_VALUE"""),0.0)</f>
        <v/>
      </c>
      <c r="O1077" s="72" t="n"/>
      <c r="S1077" s="4" t="n"/>
    </row>
    <row r="1078">
      <c r="A1078" s="74" t="n"/>
      <c r="B1078" s="72" t="n"/>
      <c r="C1078" s="75" t="n"/>
      <c r="D1078" s="75" t="n"/>
      <c r="E1078" s="75" t="n"/>
      <c r="F1078" s="75" t="n"/>
      <c r="G1078" s="75" t="n"/>
      <c r="H1078" s="76">
        <f>IFERROR(__xludf.DUMMYFUNCTION("""COMPUTED_VALUE"""),"")</f>
        <v/>
      </c>
      <c r="I1078" s="75" t="n"/>
      <c r="J1078" s="77">
        <f>IFERROR(__xludf.DUMMYFUNCTION("""COMPUTED_VALUE"""),0.0)</f>
        <v/>
      </c>
      <c r="K1078" s="4">
        <f>IFERROR(__xludf.DUMMYFUNCTION("""COMPUTED_VALUE"""),0.0)</f>
        <v/>
      </c>
      <c r="L1078" s="77">
        <f>IFERROR(__xludf.DUMMYFUNCTION("""COMPUTED_VALUE"""),0.0)</f>
        <v/>
      </c>
      <c r="O1078" s="72" t="n"/>
      <c r="S1078" s="4" t="n"/>
    </row>
    <row r="1079">
      <c r="A1079" s="74" t="n"/>
      <c r="B1079" s="72" t="n"/>
      <c r="C1079" s="75" t="n"/>
      <c r="D1079" s="75" t="n"/>
      <c r="E1079" s="75" t="n"/>
      <c r="F1079" s="75" t="n"/>
      <c r="G1079" s="75" t="n"/>
      <c r="H1079" s="76">
        <f>IFERROR(__xludf.DUMMYFUNCTION("""COMPUTED_VALUE"""),"")</f>
        <v/>
      </c>
      <c r="I1079" s="75" t="n"/>
      <c r="J1079" s="77">
        <f>IFERROR(__xludf.DUMMYFUNCTION("""COMPUTED_VALUE"""),0.0)</f>
        <v/>
      </c>
      <c r="K1079" s="4">
        <f>IFERROR(__xludf.DUMMYFUNCTION("""COMPUTED_VALUE"""),0.0)</f>
        <v/>
      </c>
      <c r="L1079" s="77">
        <f>IFERROR(__xludf.DUMMYFUNCTION("""COMPUTED_VALUE"""),0.0)</f>
        <v/>
      </c>
      <c r="O1079" s="72" t="n"/>
      <c r="S1079" s="4" t="n"/>
    </row>
    <row r="1080">
      <c r="A1080" s="74" t="n"/>
      <c r="B1080" s="72" t="n"/>
      <c r="C1080" s="75" t="n"/>
      <c r="D1080" s="75" t="n"/>
      <c r="E1080" s="75" t="n"/>
      <c r="F1080" s="75" t="n"/>
      <c r="G1080" s="75" t="n"/>
      <c r="H1080" s="76">
        <f>IFERROR(__xludf.DUMMYFUNCTION("""COMPUTED_VALUE"""),"")</f>
        <v/>
      </c>
      <c r="I1080" s="75" t="n"/>
      <c r="J1080" s="77">
        <f>IFERROR(__xludf.DUMMYFUNCTION("""COMPUTED_VALUE"""),0.0)</f>
        <v/>
      </c>
      <c r="K1080" s="4">
        <f>IFERROR(__xludf.DUMMYFUNCTION("""COMPUTED_VALUE"""),0.0)</f>
        <v/>
      </c>
      <c r="L1080" s="77">
        <f>IFERROR(__xludf.DUMMYFUNCTION("""COMPUTED_VALUE"""),0.0)</f>
        <v/>
      </c>
      <c r="O1080" s="72" t="n"/>
      <c r="S1080" s="4" t="n"/>
    </row>
    <row r="1081">
      <c r="A1081" s="74" t="n"/>
      <c r="B1081" s="72" t="n"/>
      <c r="C1081" s="75" t="n"/>
      <c r="D1081" s="75" t="n"/>
      <c r="E1081" s="75" t="n"/>
      <c r="F1081" s="75" t="n"/>
      <c r="G1081" s="75" t="n"/>
      <c r="H1081" s="76">
        <f>IFERROR(__xludf.DUMMYFUNCTION("""COMPUTED_VALUE"""),"")</f>
        <v/>
      </c>
      <c r="I1081" s="75" t="n"/>
      <c r="J1081" s="77">
        <f>IFERROR(__xludf.DUMMYFUNCTION("""COMPUTED_VALUE"""),0.0)</f>
        <v/>
      </c>
      <c r="K1081" s="4">
        <f>IFERROR(__xludf.DUMMYFUNCTION("""COMPUTED_VALUE"""),0.0)</f>
        <v/>
      </c>
      <c r="L1081" s="77">
        <f>IFERROR(__xludf.DUMMYFUNCTION("""COMPUTED_VALUE"""),0.0)</f>
        <v/>
      </c>
      <c r="O1081" s="72" t="n"/>
      <c r="S1081" s="4" t="n"/>
    </row>
    <row r="1082">
      <c r="A1082" s="74" t="n"/>
      <c r="B1082" s="72" t="n"/>
      <c r="C1082" s="75" t="n"/>
      <c r="D1082" s="75" t="n"/>
      <c r="E1082" s="75" t="n"/>
      <c r="F1082" s="75" t="n"/>
      <c r="G1082" s="75" t="n"/>
      <c r="H1082" s="76">
        <f>IFERROR(__xludf.DUMMYFUNCTION("""COMPUTED_VALUE"""),"")</f>
        <v/>
      </c>
      <c r="I1082" s="75" t="n"/>
      <c r="J1082" s="77">
        <f>IFERROR(__xludf.DUMMYFUNCTION("""COMPUTED_VALUE"""),0.0)</f>
        <v/>
      </c>
      <c r="K1082" s="4">
        <f>IFERROR(__xludf.DUMMYFUNCTION("""COMPUTED_VALUE"""),0.0)</f>
        <v/>
      </c>
      <c r="L1082" s="77">
        <f>IFERROR(__xludf.DUMMYFUNCTION("""COMPUTED_VALUE"""),0.0)</f>
        <v/>
      </c>
      <c r="O1082" s="72" t="n"/>
      <c r="S1082" s="4" t="n"/>
    </row>
    <row r="1083">
      <c r="A1083" s="74" t="n"/>
      <c r="B1083" s="72" t="n"/>
      <c r="C1083" s="75" t="n"/>
      <c r="D1083" s="75" t="n"/>
      <c r="E1083" s="75" t="n"/>
      <c r="F1083" s="75" t="n"/>
      <c r="G1083" s="75" t="n"/>
      <c r="H1083" s="76">
        <f>IFERROR(__xludf.DUMMYFUNCTION("""COMPUTED_VALUE"""),"")</f>
        <v/>
      </c>
      <c r="I1083" s="75" t="n"/>
      <c r="J1083" s="77">
        <f>IFERROR(__xludf.DUMMYFUNCTION("""COMPUTED_VALUE"""),0.0)</f>
        <v/>
      </c>
      <c r="K1083" s="4">
        <f>IFERROR(__xludf.DUMMYFUNCTION("""COMPUTED_VALUE"""),0.0)</f>
        <v/>
      </c>
      <c r="L1083" s="77">
        <f>IFERROR(__xludf.DUMMYFUNCTION("""COMPUTED_VALUE"""),0.0)</f>
        <v/>
      </c>
      <c r="O1083" s="72" t="n"/>
      <c r="S1083" s="4" t="n"/>
    </row>
    <row r="1084">
      <c r="A1084" s="74" t="n"/>
      <c r="B1084" s="72" t="n"/>
      <c r="C1084" s="75" t="n"/>
      <c r="D1084" s="75" t="n"/>
      <c r="E1084" s="75" t="n"/>
      <c r="F1084" s="75" t="n"/>
      <c r="G1084" s="75" t="n"/>
      <c r="H1084" s="76">
        <f>IFERROR(__xludf.DUMMYFUNCTION("""COMPUTED_VALUE"""),"")</f>
        <v/>
      </c>
      <c r="I1084" s="75" t="n"/>
      <c r="J1084" s="77">
        <f>IFERROR(__xludf.DUMMYFUNCTION("""COMPUTED_VALUE"""),0.0)</f>
        <v/>
      </c>
      <c r="K1084" s="4">
        <f>IFERROR(__xludf.DUMMYFUNCTION("""COMPUTED_VALUE"""),0.0)</f>
        <v/>
      </c>
      <c r="L1084" s="77">
        <f>IFERROR(__xludf.DUMMYFUNCTION("""COMPUTED_VALUE"""),0.0)</f>
        <v/>
      </c>
      <c r="O1084" s="72" t="n"/>
      <c r="S1084" s="4" t="n"/>
    </row>
    <row r="1085">
      <c r="A1085" s="74" t="n"/>
      <c r="B1085" s="72" t="n"/>
      <c r="C1085" s="75" t="n"/>
      <c r="D1085" s="75" t="n"/>
      <c r="E1085" s="75" t="n"/>
      <c r="F1085" s="75" t="n"/>
      <c r="G1085" s="75" t="n"/>
      <c r="H1085" s="76">
        <f>IFERROR(__xludf.DUMMYFUNCTION("""COMPUTED_VALUE"""),"")</f>
        <v/>
      </c>
      <c r="I1085" s="75" t="n"/>
      <c r="J1085" s="77">
        <f>IFERROR(__xludf.DUMMYFUNCTION("""COMPUTED_VALUE"""),0.0)</f>
        <v/>
      </c>
      <c r="K1085" s="4">
        <f>IFERROR(__xludf.DUMMYFUNCTION("""COMPUTED_VALUE"""),0.0)</f>
        <v/>
      </c>
      <c r="L1085" s="77">
        <f>IFERROR(__xludf.DUMMYFUNCTION("""COMPUTED_VALUE"""),0.0)</f>
        <v/>
      </c>
      <c r="O1085" s="72" t="n"/>
      <c r="S1085" s="4" t="n"/>
    </row>
    <row r="1086">
      <c r="A1086" s="74" t="n"/>
      <c r="B1086" s="72" t="n"/>
      <c r="C1086" s="75" t="n"/>
      <c r="D1086" s="75" t="n"/>
      <c r="E1086" s="75" t="n"/>
      <c r="F1086" s="75" t="n"/>
      <c r="G1086" s="75" t="n"/>
      <c r="H1086" s="76">
        <f>IFERROR(__xludf.DUMMYFUNCTION("""COMPUTED_VALUE"""),"")</f>
        <v/>
      </c>
      <c r="I1086" s="75" t="n"/>
      <c r="J1086" s="77">
        <f>IFERROR(__xludf.DUMMYFUNCTION("""COMPUTED_VALUE"""),0.0)</f>
        <v/>
      </c>
      <c r="K1086" s="4">
        <f>IFERROR(__xludf.DUMMYFUNCTION("""COMPUTED_VALUE"""),0.0)</f>
        <v/>
      </c>
      <c r="L1086" s="77">
        <f>IFERROR(__xludf.DUMMYFUNCTION("""COMPUTED_VALUE"""),0.0)</f>
        <v/>
      </c>
      <c r="O1086" s="72" t="n"/>
      <c r="S1086" s="4" t="n"/>
    </row>
    <row r="1087">
      <c r="A1087" s="74" t="n"/>
      <c r="B1087" s="72" t="n"/>
      <c r="C1087" s="75" t="n"/>
      <c r="D1087" s="75" t="n"/>
      <c r="E1087" s="75" t="n"/>
      <c r="F1087" s="75" t="n"/>
      <c r="G1087" s="75" t="n"/>
      <c r="H1087" s="76">
        <f>IFERROR(__xludf.DUMMYFUNCTION("""COMPUTED_VALUE"""),"")</f>
        <v/>
      </c>
      <c r="I1087" s="75" t="n"/>
      <c r="J1087" s="77">
        <f>IFERROR(__xludf.DUMMYFUNCTION("""COMPUTED_VALUE"""),0.0)</f>
        <v/>
      </c>
      <c r="K1087" s="4">
        <f>IFERROR(__xludf.DUMMYFUNCTION("""COMPUTED_VALUE"""),0.0)</f>
        <v/>
      </c>
      <c r="L1087" s="77">
        <f>IFERROR(__xludf.DUMMYFUNCTION("""COMPUTED_VALUE"""),0.0)</f>
        <v/>
      </c>
      <c r="O1087" s="72" t="n"/>
      <c r="S1087" s="4" t="n"/>
    </row>
    <row r="1088">
      <c r="A1088" s="74" t="n"/>
      <c r="B1088" s="72" t="n"/>
      <c r="C1088" s="75" t="n"/>
      <c r="D1088" s="75" t="n"/>
      <c r="E1088" s="75" t="n"/>
      <c r="F1088" s="75" t="n"/>
      <c r="G1088" s="75" t="n"/>
      <c r="H1088" s="76">
        <f>IFERROR(__xludf.DUMMYFUNCTION("""COMPUTED_VALUE"""),"")</f>
        <v/>
      </c>
      <c r="I1088" s="75" t="n"/>
      <c r="J1088" s="77">
        <f>IFERROR(__xludf.DUMMYFUNCTION("""COMPUTED_VALUE"""),0.0)</f>
        <v/>
      </c>
      <c r="K1088" s="4">
        <f>IFERROR(__xludf.DUMMYFUNCTION("""COMPUTED_VALUE"""),0.0)</f>
        <v/>
      </c>
      <c r="L1088" s="77">
        <f>IFERROR(__xludf.DUMMYFUNCTION("""COMPUTED_VALUE"""),0.0)</f>
        <v/>
      </c>
      <c r="O1088" s="72" t="n"/>
      <c r="S1088" s="4" t="n"/>
    </row>
    <row r="1089">
      <c r="A1089" s="74" t="n"/>
      <c r="B1089" s="72" t="n"/>
      <c r="C1089" s="75" t="n"/>
      <c r="D1089" s="75" t="n"/>
      <c r="E1089" s="75" t="n"/>
      <c r="F1089" s="75" t="n"/>
      <c r="G1089" s="75" t="n"/>
      <c r="H1089" s="76">
        <f>IFERROR(__xludf.DUMMYFUNCTION("""COMPUTED_VALUE"""),"")</f>
        <v/>
      </c>
      <c r="I1089" s="75" t="n"/>
      <c r="J1089" s="77">
        <f>IFERROR(__xludf.DUMMYFUNCTION("""COMPUTED_VALUE"""),0.0)</f>
        <v/>
      </c>
      <c r="K1089" s="4">
        <f>IFERROR(__xludf.DUMMYFUNCTION("""COMPUTED_VALUE"""),0.0)</f>
        <v/>
      </c>
      <c r="L1089" s="77">
        <f>IFERROR(__xludf.DUMMYFUNCTION("""COMPUTED_VALUE"""),0.0)</f>
        <v/>
      </c>
      <c r="O1089" s="72" t="n"/>
      <c r="S1089" s="4" t="n"/>
    </row>
    <row r="1090">
      <c r="A1090" s="74" t="n"/>
      <c r="B1090" s="72" t="n"/>
      <c r="C1090" s="75" t="n"/>
      <c r="D1090" s="75" t="n"/>
      <c r="E1090" s="75" t="n"/>
      <c r="F1090" s="75" t="n"/>
      <c r="G1090" s="75" t="n"/>
      <c r="H1090" s="76">
        <f>IFERROR(__xludf.DUMMYFUNCTION("""COMPUTED_VALUE"""),"")</f>
        <v/>
      </c>
      <c r="I1090" s="75" t="n"/>
      <c r="J1090" s="77">
        <f>IFERROR(__xludf.DUMMYFUNCTION("""COMPUTED_VALUE"""),0.0)</f>
        <v/>
      </c>
      <c r="K1090" s="4">
        <f>IFERROR(__xludf.DUMMYFUNCTION("""COMPUTED_VALUE"""),0.0)</f>
        <v/>
      </c>
      <c r="L1090" s="77">
        <f>IFERROR(__xludf.DUMMYFUNCTION("""COMPUTED_VALUE"""),0.0)</f>
        <v/>
      </c>
      <c r="O1090" s="72" t="n"/>
      <c r="S1090" s="4" t="n"/>
    </row>
    <row r="1091">
      <c r="A1091" s="74" t="n"/>
      <c r="B1091" s="72" t="n"/>
      <c r="C1091" s="75" t="n"/>
      <c r="D1091" s="75" t="n"/>
      <c r="E1091" s="75" t="n"/>
      <c r="F1091" s="75" t="n"/>
      <c r="G1091" s="75" t="n"/>
      <c r="H1091" s="76">
        <f>IFERROR(__xludf.DUMMYFUNCTION("""COMPUTED_VALUE"""),"")</f>
        <v/>
      </c>
      <c r="I1091" s="75" t="n"/>
      <c r="J1091" s="77">
        <f>IFERROR(__xludf.DUMMYFUNCTION("""COMPUTED_VALUE"""),0.0)</f>
        <v/>
      </c>
      <c r="K1091" s="4">
        <f>IFERROR(__xludf.DUMMYFUNCTION("""COMPUTED_VALUE"""),0.0)</f>
        <v/>
      </c>
      <c r="L1091" s="77">
        <f>IFERROR(__xludf.DUMMYFUNCTION("""COMPUTED_VALUE"""),0.0)</f>
        <v/>
      </c>
      <c r="O1091" s="72" t="n"/>
      <c r="S1091" s="4" t="n"/>
    </row>
    <row r="1092">
      <c r="A1092" s="74" t="n"/>
      <c r="B1092" s="72" t="n"/>
      <c r="C1092" s="75" t="n"/>
      <c r="D1092" s="75" t="n"/>
      <c r="E1092" s="75" t="n"/>
      <c r="F1092" s="75" t="n"/>
      <c r="G1092" s="75" t="n"/>
      <c r="H1092" s="76">
        <f>IFERROR(__xludf.DUMMYFUNCTION("""COMPUTED_VALUE"""),"")</f>
        <v/>
      </c>
      <c r="I1092" s="75" t="n"/>
      <c r="J1092" s="77">
        <f>IFERROR(__xludf.DUMMYFUNCTION("""COMPUTED_VALUE"""),0.0)</f>
        <v/>
      </c>
      <c r="K1092" s="4">
        <f>IFERROR(__xludf.DUMMYFUNCTION("""COMPUTED_VALUE"""),0.0)</f>
        <v/>
      </c>
      <c r="L1092" s="77">
        <f>IFERROR(__xludf.DUMMYFUNCTION("""COMPUTED_VALUE"""),0.0)</f>
        <v/>
      </c>
      <c r="O1092" s="72" t="n"/>
      <c r="S1092" s="4" t="n"/>
    </row>
    <row r="1093">
      <c r="A1093" s="74" t="n"/>
      <c r="B1093" s="72" t="n"/>
      <c r="C1093" s="75" t="n"/>
      <c r="D1093" s="75" t="n"/>
      <c r="E1093" s="75" t="n"/>
      <c r="F1093" s="75" t="n"/>
      <c r="G1093" s="75" t="n"/>
      <c r="H1093" s="76">
        <f>IFERROR(__xludf.DUMMYFUNCTION("""COMPUTED_VALUE"""),"")</f>
        <v/>
      </c>
      <c r="I1093" s="75" t="n"/>
      <c r="J1093" s="77">
        <f>IFERROR(__xludf.DUMMYFUNCTION("""COMPUTED_VALUE"""),0.0)</f>
        <v/>
      </c>
      <c r="K1093" s="4">
        <f>IFERROR(__xludf.DUMMYFUNCTION("""COMPUTED_VALUE"""),0.0)</f>
        <v/>
      </c>
      <c r="L1093" s="77">
        <f>IFERROR(__xludf.DUMMYFUNCTION("""COMPUTED_VALUE"""),0.0)</f>
        <v/>
      </c>
      <c r="O1093" s="72" t="n"/>
      <c r="S1093" s="4" t="n"/>
    </row>
    <row r="1094">
      <c r="A1094" s="74" t="n"/>
      <c r="B1094" s="72" t="n"/>
      <c r="C1094" s="75" t="n"/>
      <c r="D1094" s="75" t="n"/>
      <c r="E1094" s="75" t="n"/>
      <c r="F1094" s="75" t="n"/>
      <c r="G1094" s="75" t="n"/>
      <c r="H1094" s="76">
        <f>IFERROR(__xludf.DUMMYFUNCTION("""COMPUTED_VALUE"""),"")</f>
        <v/>
      </c>
      <c r="I1094" s="75" t="n"/>
      <c r="J1094" s="77">
        <f>IFERROR(__xludf.DUMMYFUNCTION("""COMPUTED_VALUE"""),0.0)</f>
        <v/>
      </c>
      <c r="K1094" s="4">
        <f>IFERROR(__xludf.DUMMYFUNCTION("""COMPUTED_VALUE"""),0.0)</f>
        <v/>
      </c>
      <c r="L1094" s="77">
        <f>IFERROR(__xludf.DUMMYFUNCTION("""COMPUTED_VALUE"""),0.0)</f>
        <v/>
      </c>
      <c r="O1094" s="72" t="n"/>
      <c r="S1094" s="4" t="n"/>
    </row>
    <row r="1095">
      <c r="A1095" s="74" t="n"/>
      <c r="B1095" s="72" t="n"/>
      <c r="C1095" s="75" t="n"/>
      <c r="D1095" s="75" t="n"/>
      <c r="E1095" s="75" t="n"/>
      <c r="F1095" s="75" t="n"/>
      <c r="G1095" s="75" t="n"/>
      <c r="H1095" s="76">
        <f>IFERROR(__xludf.DUMMYFUNCTION("""COMPUTED_VALUE"""),"")</f>
        <v/>
      </c>
      <c r="I1095" s="75" t="n"/>
      <c r="J1095" s="77">
        <f>IFERROR(__xludf.DUMMYFUNCTION("""COMPUTED_VALUE"""),0.0)</f>
        <v/>
      </c>
      <c r="K1095" s="4">
        <f>IFERROR(__xludf.DUMMYFUNCTION("""COMPUTED_VALUE"""),0.0)</f>
        <v/>
      </c>
      <c r="L1095" s="77">
        <f>IFERROR(__xludf.DUMMYFUNCTION("""COMPUTED_VALUE"""),0.0)</f>
        <v/>
      </c>
      <c r="O1095" s="72" t="n"/>
      <c r="S1095" s="4" t="n"/>
    </row>
    <row r="1096">
      <c r="A1096" s="74" t="n"/>
      <c r="B1096" s="72" t="n"/>
      <c r="C1096" s="75" t="n"/>
      <c r="D1096" s="75" t="n"/>
      <c r="E1096" s="75" t="n"/>
      <c r="F1096" s="75" t="n"/>
      <c r="G1096" s="75" t="n"/>
      <c r="H1096" s="76">
        <f>IFERROR(__xludf.DUMMYFUNCTION("""COMPUTED_VALUE"""),"")</f>
        <v/>
      </c>
      <c r="I1096" s="75" t="n"/>
      <c r="J1096" s="77">
        <f>IFERROR(__xludf.DUMMYFUNCTION("""COMPUTED_VALUE"""),0.0)</f>
        <v/>
      </c>
      <c r="K1096" s="4">
        <f>IFERROR(__xludf.DUMMYFUNCTION("""COMPUTED_VALUE"""),0.0)</f>
        <v/>
      </c>
      <c r="L1096" s="77">
        <f>IFERROR(__xludf.DUMMYFUNCTION("""COMPUTED_VALUE"""),0.0)</f>
        <v/>
      </c>
      <c r="O1096" s="72" t="n"/>
      <c r="S1096" s="4" t="n"/>
    </row>
    <row r="1097">
      <c r="A1097" s="74" t="n"/>
      <c r="B1097" s="72" t="n"/>
      <c r="C1097" s="75" t="n"/>
      <c r="D1097" s="75" t="n"/>
      <c r="E1097" s="75" t="n"/>
      <c r="F1097" s="75" t="n"/>
      <c r="G1097" s="75" t="n"/>
      <c r="H1097" s="76">
        <f>IFERROR(__xludf.DUMMYFUNCTION("""COMPUTED_VALUE"""),"")</f>
        <v/>
      </c>
      <c r="I1097" s="75" t="n"/>
      <c r="J1097" s="77">
        <f>IFERROR(__xludf.DUMMYFUNCTION("""COMPUTED_VALUE"""),0.0)</f>
        <v/>
      </c>
      <c r="K1097" s="4">
        <f>IFERROR(__xludf.DUMMYFUNCTION("""COMPUTED_VALUE"""),0.0)</f>
        <v/>
      </c>
      <c r="L1097" s="77">
        <f>IFERROR(__xludf.DUMMYFUNCTION("""COMPUTED_VALUE"""),0.0)</f>
        <v/>
      </c>
      <c r="O1097" s="72" t="n"/>
      <c r="S1097" s="4" t="n"/>
    </row>
    <row r="1098">
      <c r="A1098" s="74" t="n"/>
      <c r="B1098" s="72" t="n"/>
      <c r="C1098" s="75" t="n"/>
      <c r="D1098" s="75" t="n"/>
      <c r="E1098" s="75" t="n"/>
      <c r="F1098" s="75" t="n"/>
      <c r="G1098" s="75" t="n"/>
      <c r="H1098" s="76">
        <f>IFERROR(__xludf.DUMMYFUNCTION("""COMPUTED_VALUE"""),"")</f>
        <v/>
      </c>
      <c r="I1098" s="75" t="n"/>
      <c r="J1098" s="77">
        <f>IFERROR(__xludf.DUMMYFUNCTION("""COMPUTED_VALUE"""),0.0)</f>
        <v/>
      </c>
      <c r="K1098" s="4">
        <f>IFERROR(__xludf.DUMMYFUNCTION("""COMPUTED_VALUE"""),0.0)</f>
        <v/>
      </c>
      <c r="L1098" s="77">
        <f>IFERROR(__xludf.DUMMYFUNCTION("""COMPUTED_VALUE"""),0.0)</f>
        <v/>
      </c>
      <c r="O1098" s="72" t="n"/>
      <c r="S1098" s="4" t="n"/>
    </row>
    <row r="1099">
      <c r="A1099" s="74" t="n"/>
      <c r="B1099" s="72" t="n"/>
      <c r="C1099" s="75" t="n"/>
      <c r="D1099" s="75" t="n"/>
      <c r="E1099" s="75" t="n"/>
      <c r="F1099" s="75" t="n"/>
      <c r="G1099" s="75" t="n"/>
      <c r="H1099" s="76">
        <f>IFERROR(__xludf.DUMMYFUNCTION("""COMPUTED_VALUE"""),"")</f>
        <v/>
      </c>
      <c r="I1099" s="75" t="n"/>
      <c r="J1099" s="77">
        <f>IFERROR(__xludf.DUMMYFUNCTION("""COMPUTED_VALUE"""),0.0)</f>
        <v/>
      </c>
      <c r="K1099" s="4">
        <f>IFERROR(__xludf.DUMMYFUNCTION("""COMPUTED_VALUE"""),0.0)</f>
        <v/>
      </c>
      <c r="L1099" s="77">
        <f>IFERROR(__xludf.DUMMYFUNCTION("""COMPUTED_VALUE"""),0.0)</f>
        <v/>
      </c>
      <c r="O1099" s="72" t="n"/>
      <c r="S1099" s="4" t="n"/>
    </row>
    <row r="1100">
      <c r="A1100" s="74" t="n"/>
      <c r="B1100" s="72" t="n"/>
      <c r="C1100" s="75" t="n"/>
      <c r="D1100" s="75" t="n"/>
      <c r="E1100" s="75" t="n"/>
      <c r="F1100" s="75" t="n"/>
      <c r="G1100" s="75" t="n"/>
      <c r="H1100" s="76">
        <f>IFERROR(__xludf.DUMMYFUNCTION("""COMPUTED_VALUE"""),"")</f>
        <v/>
      </c>
      <c r="I1100" s="75" t="n"/>
      <c r="J1100" s="77">
        <f>IFERROR(__xludf.DUMMYFUNCTION("""COMPUTED_VALUE"""),0.0)</f>
        <v/>
      </c>
      <c r="K1100" s="4">
        <f>IFERROR(__xludf.DUMMYFUNCTION("""COMPUTED_VALUE"""),0.0)</f>
        <v/>
      </c>
      <c r="L1100" s="77">
        <f>IFERROR(__xludf.DUMMYFUNCTION("""COMPUTED_VALUE"""),0.0)</f>
        <v/>
      </c>
      <c r="O1100" s="72" t="n"/>
      <c r="S1100" s="4" t="n"/>
    </row>
    <row r="1101">
      <c r="A1101" s="74" t="n"/>
      <c r="B1101" s="72" t="n"/>
      <c r="C1101" s="75" t="n"/>
      <c r="D1101" s="75" t="n"/>
      <c r="E1101" s="75" t="n"/>
      <c r="F1101" s="75" t="n"/>
      <c r="G1101" s="75" t="n"/>
      <c r="H1101" s="76">
        <f>IFERROR(__xludf.DUMMYFUNCTION("""COMPUTED_VALUE"""),"")</f>
        <v/>
      </c>
      <c r="I1101" s="75" t="n"/>
      <c r="J1101" s="77">
        <f>IFERROR(__xludf.DUMMYFUNCTION("""COMPUTED_VALUE"""),0.0)</f>
        <v/>
      </c>
      <c r="K1101" s="4">
        <f>IFERROR(__xludf.DUMMYFUNCTION("""COMPUTED_VALUE"""),0.0)</f>
        <v/>
      </c>
      <c r="L1101" s="77">
        <f>IFERROR(__xludf.DUMMYFUNCTION("""COMPUTED_VALUE"""),0.0)</f>
        <v/>
      </c>
      <c r="O1101" s="72" t="n"/>
      <c r="S1101" s="4" t="n"/>
    </row>
    <row r="1102">
      <c r="A1102" s="74" t="n"/>
      <c r="B1102" s="72" t="n"/>
      <c r="C1102" s="75" t="n"/>
      <c r="D1102" s="75" t="n"/>
      <c r="E1102" s="75" t="n"/>
      <c r="F1102" s="75" t="n"/>
      <c r="G1102" s="75" t="n"/>
      <c r="H1102" s="76">
        <f>IFERROR(__xludf.DUMMYFUNCTION("""COMPUTED_VALUE"""),"")</f>
        <v/>
      </c>
      <c r="I1102" s="75" t="n"/>
      <c r="J1102" s="77">
        <f>IFERROR(__xludf.DUMMYFUNCTION("""COMPUTED_VALUE"""),0.0)</f>
        <v/>
      </c>
      <c r="K1102" s="4">
        <f>IFERROR(__xludf.DUMMYFUNCTION("""COMPUTED_VALUE"""),0.0)</f>
        <v/>
      </c>
      <c r="L1102" s="77">
        <f>IFERROR(__xludf.DUMMYFUNCTION("""COMPUTED_VALUE"""),0.0)</f>
        <v/>
      </c>
      <c r="O1102" s="72" t="n"/>
      <c r="S1102" s="4" t="n"/>
    </row>
    <row r="1103">
      <c r="A1103" s="74" t="n"/>
      <c r="B1103" s="72" t="n"/>
      <c r="C1103" s="75" t="n"/>
      <c r="D1103" s="75" t="n"/>
      <c r="E1103" s="75" t="n"/>
      <c r="F1103" s="75" t="n"/>
      <c r="G1103" s="75" t="n"/>
      <c r="H1103" s="76">
        <f>IFERROR(__xludf.DUMMYFUNCTION("""COMPUTED_VALUE"""),"")</f>
        <v/>
      </c>
      <c r="I1103" s="75" t="n"/>
      <c r="J1103" s="77">
        <f>IFERROR(__xludf.DUMMYFUNCTION("""COMPUTED_VALUE"""),0.0)</f>
        <v/>
      </c>
      <c r="K1103" s="4">
        <f>IFERROR(__xludf.DUMMYFUNCTION("""COMPUTED_VALUE"""),0.0)</f>
        <v/>
      </c>
      <c r="L1103" s="77">
        <f>IFERROR(__xludf.DUMMYFUNCTION("""COMPUTED_VALUE"""),0.0)</f>
        <v/>
      </c>
      <c r="O1103" s="72" t="n"/>
      <c r="S1103" s="4" t="n"/>
    </row>
    <row r="1104">
      <c r="A1104" s="74" t="n"/>
      <c r="B1104" s="72" t="n"/>
      <c r="C1104" s="75" t="n"/>
      <c r="D1104" s="75" t="n"/>
      <c r="E1104" s="75" t="n"/>
      <c r="F1104" s="75" t="n"/>
      <c r="G1104" s="75" t="n"/>
      <c r="H1104" s="76">
        <f>IFERROR(__xludf.DUMMYFUNCTION("""COMPUTED_VALUE"""),"")</f>
        <v/>
      </c>
      <c r="I1104" s="75" t="n"/>
      <c r="J1104" s="77">
        <f>IFERROR(__xludf.DUMMYFUNCTION("""COMPUTED_VALUE"""),0.0)</f>
        <v/>
      </c>
      <c r="K1104" s="4">
        <f>IFERROR(__xludf.DUMMYFUNCTION("""COMPUTED_VALUE"""),0.0)</f>
        <v/>
      </c>
      <c r="L1104" s="77">
        <f>IFERROR(__xludf.DUMMYFUNCTION("""COMPUTED_VALUE"""),0.0)</f>
        <v/>
      </c>
      <c r="O1104" s="72" t="n"/>
      <c r="S1104" s="4" t="n"/>
    </row>
    <row r="1105">
      <c r="A1105" s="74" t="n"/>
      <c r="B1105" s="72" t="n"/>
      <c r="C1105" s="75" t="n"/>
      <c r="D1105" s="75" t="n"/>
      <c r="E1105" s="75" t="n"/>
      <c r="F1105" s="75" t="n"/>
      <c r="G1105" s="75" t="n"/>
      <c r="H1105" s="76">
        <f>IFERROR(__xludf.DUMMYFUNCTION("""COMPUTED_VALUE"""),"")</f>
        <v/>
      </c>
      <c r="I1105" s="75" t="n"/>
      <c r="J1105" s="77">
        <f>IFERROR(__xludf.DUMMYFUNCTION("""COMPUTED_VALUE"""),0.0)</f>
        <v/>
      </c>
      <c r="K1105" s="4">
        <f>IFERROR(__xludf.DUMMYFUNCTION("""COMPUTED_VALUE"""),0.0)</f>
        <v/>
      </c>
      <c r="L1105" s="77">
        <f>IFERROR(__xludf.DUMMYFUNCTION("""COMPUTED_VALUE"""),0.0)</f>
        <v/>
      </c>
      <c r="O1105" s="72" t="n"/>
      <c r="S1105" s="4" t="n"/>
    </row>
    <row r="1106">
      <c r="A1106" s="74" t="n"/>
      <c r="B1106" s="72" t="n"/>
      <c r="C1106" s="75" t="n"/>
      <c r="D1106" s="75" t="n"/>
      <c r="E1106" s="75" t="n"/>
      <c r="F1106" s="75" t="n"/>
      <c r="G1106" s="75" t="n"/>
      <c r="H1106" s="76">
        <f>IFERROR(__xludf.DUMMYFUNCTION("""COMPUTED_VALUE"""),"")</f>
        <v/>
      </c>
      <c r="I1106" s="75" t="n"/>
      <c r="J1106" s="77">
        <f>IFERROR(__xludf.DUMMYFUNCTION("""COMPUTED_VALUE"""),0.0)</f>
        <v/>
      </c>
      <c r="K1106" s="4">
        <f>IFERROR(__xludf.DUMMYFUNCTION("""COMPUTED_VALUE"""),0.0)</f>
        <v/>
      </c>
      <c r="L1106" s="77">
        <f>IFERROR(__xludf.DUMMYFUNCTION("""COMPUTED_VALUE"""),0.0)</f>
        <v/>
      </c>
      <c r="O1106" s="72" t="n"/>
      <c r="S1106" s="4" t="n"/>
    </row>
    <row r="1107">
      <c r="A1107" s="74" t="n"/>
      <c r="B1107" s="72" t="n"/>
      <c r="C1107" s="75" t="n"/>
      <c r="D1107" s="75" t="n"/>
      <c r="E1107" s="75" t="n"/>
      <c r="F1107" s="75" t="n"/>
      <c r="G1107" s="75" t="n"/>
      <c r="H1107" s="76">
        <f>IFERROR(__xludf.DUMMYFUNCTION("""COMPUTED_VALUE"""),"")</f>
        <v/>
      </c>
      <c r="I1107" s="75" t="n"/>
      <c r="J1107" s="77">
        <f>IFERROR(__xludf.DUMMYFUNCTION("""COMPUTED_VALUE"""),0.0)</f>
        <v/>
      </c>
      <c r="K1107" s="4">
        <f>IFERROR(__xludf.DUMMYFUNCTION("""COMPUTED_VALUE"""),0.0)</f>
        <v/>
      </c>
      <c r="L1107" s="77">
        <f>IFERROR(__xludf.DUMMYFUNCTION("""COMPUTED_VALUE"""),0.0)</f>
        <v/>
      </c>
      <c r="O1107" s="72" t="n"/>
      <c r="S1107" s="4" t="n"/>
    </row>
    <row r="1108">
      <c r="A1108" s="74" t="n"/>
      <c r="B1108" s="72" t="n"/>
      <c r="C1108" s="75" t="n"/>
      <c r="D1108" s="75" t="n"/>
      <c r="E1108" s="75" t="n"/>
      <c r="F1108" s="75" t="n"/>
      <c r="G1108" s="75" t="n"/>
      <c r="H1108" s="76">
        <f>IFERROR(__xludf.DUMMYFUNCTION("""COMPUTED_VALUE"""),"")</f>
        <v/>
      </c>
      <c r="I1108" s="75" t="n"/>
      <c r="J1108" s="77">
        <f>IFERROR(__xludf.DUMMYFUNCTION("""COMPUTED_VALUE"""),0.0)</f>
        <v/>
      </c>
      <c r="K1108" s="4">
        <f>IFERROR(__xludf.DUMMYFUNCTION("""COMPUTED_VALUE"""),0.0)</f>
        <v/>
      </c>
      <c r="L1108" s="77">
        <f>IFERROR(__xludf.DUMMYFUNCTION("""COMPUTED_VALUE"""),0.0)</f>
        <v/>
      </c>
      <c r="O1108" s="72" t="n"/>
      <c r="S1108" s="4" t="n"/>
    </row>
    <row r="1109">
      <c r="A1109" s="74" t="n"/>
      <c r="B1109" s="72" t="n"/>
      <c r="C1109" s="75" t="n"/>
      <c r="D1109" s="75" t="n"/>
      <c r="E1109" s="75" t="n"/>
      <c r="F1109" s="75" t="n"/>
      <c r="G1109" s="75" t="n"/>
      <c r="H1109" s="76">
        <f>IFERROR(__xludf.DUMMYFUNCTION("""COMPUTED_VALUE"""),"")</f>
        <v/>
      </c>
      <c r="I1109" s="75" t="n"/>
      <c r="J1109" s="77">
        <f>IFERROR(__xludf.DUMMYFUNCTION("""COMPUTED_VALUE"""),0.0)</f>
        <v/>
      </c>
      <c r="K1109" s="4">
        <f>IFERROR(__xludf.DUMMYFUNCTION("""COMPUTED_VALUE"""),0.0)</f>
        <v/>
      </c>
      <c r="L1109" s="77">
        <f>IFERROR(__xludf.DUMMYFUNCTION("""COMPUTED_VALUE"""),0.0)</f>
        <v/>
      </c>
      <c r="O1109" s="72" t="n"/>
      <c r="S1109" s="4" t="n"/>
    </row>
    <row r="1110">
      <c r="A1110" s="74" t="n"/>
      <c r="B1110" s="72" t="n"/>
      <c r="C1110" s="75" t="n"/>
      <c r="D1110" s="75" t="n"/>
      <c r="E1110" s="75" t="n"/>
      <c r="F1110" s="75" t="n"/>
      <c r="G1110" s="75" t="n"/>
      <c r="H1110" s="76">
        <f>IFERROR(__xludf.DUMMYFUNCTION("""COMPUTED_VALUE"""),"")</f>
        <v/>
      </c>
      <c r="I1110" s="75" t="n"/>
      <c r="J1110" s="77">
        <f>IFERROR(__xludf.DUMMYFUNCTION("""COMPUTED_VALUE"""),0.0)</f>
        <v/>
      </c>
      <c r="K1110" s="4">
        <f>IFERROR(__xludf.DUMMYFUNCTION("""COMPUTED_VALUE"""),0.0)</f>
        <v/>
      </c>
      <c r="L1110" s="77">
        <f>IFERROR(__xludf.DUMMYFUNCTION("""COMPUTED_VALUE"""),0.0)</f>
        <v/>
      </c>
      <c r="O1110" s="72" t="n"/>
      <c r="S1110" s="4" t="n"/>
    </row>
    <row r="1111">
      <c r="A1111" s="74" t="n"/>
      <c r="B1111" s="72" t="n"/>
      <c r="C1111" s="75" t="n"/>
      <c r="D1111" s="75" t="n"/>
      <c r="E1111" s="75" t="n"/>
      <c r="F1111" s="75" t="n"/>
      <c r="G1111" s="75" t="n"/>
      <c r="H1111" s="76">
        <f>IFERROR(__xludf.DUMMYFUNCTION("""COMPUTED_VALUE"""),"")</f>
        <v/>
      </c>
      <c r="I1111" s="75" t="n"/>
      <c r="J1111" s="77">
        <f>IFERROR(__xludf.DUMMYFUNCTION("""COMPUTED_VALUE"""),0.0)</f>
        <v/>
      </c>
      <c r="K1111" s="4">
        <f>IFERROR(__xludf.DUMMYFUNCTION("""COMPUTED_VALUE"""),0.0)</f>
        <v/>
      </c>
      <c r="L1111" s="77">
        <f>IFERROR(__xludf.DUMMYFUNCTION("""COMPUTED_VALUE"""),0.0)</f>
        <v/>
      </c>
      <c r="O1111" s="72" t="n"/>
      <c r="S1111" s="4" t="n"/>
    </row>
    <row r="1112">
      <c r="A1112" s="74" t="n"/>
      <c r="B1112" s="72" t="n"/>
      <c r="C1112" s="75" t="n"/>
      <c r="D1112" s="75" t="n"/>
      <c r="E1112" s="75" t="n"/>
      <c r="F1112" s="75" t="n"/>
      <c r="G1112" s="75" t="n"/>
      <c r="H1112" s="76">
        <f>IFERROR(__xludf.DUMMYFUNCTION("""COMPUTED_VALUE"""),"")</f>
        <v/>
      </c>
      <c r="I1112" s="75" t="n"/>
      <c r="J1112" s="77">
        <f>IFERROR(__xludf.DUMMYFUNCTION("""COMPUTED_VALUE"""),0.0)</f>
        <v/>
      </c>
      <c r="K1112" s="4">
        <f>IFERROR(__xludf.DUMMYFUNCTION("""COMPUTED_VALUE"""),0.0)</f>
        <v/>
      </c>
      <c r="L1112" s="77">
        <f>IFERROR(__xludf.DUMMYFUNCTION("""COMPUTED_VALUE"""),0.0)</f>
        <v/>
      </c>
      <c r="O1112" s="72" t="n"/>
      <c r="S1112" s="4" t="n"/>
    </row>
    <row r="1113">
      <c r="A1113" s="74" t="n"/>
      <c r="B1113" s="72" t="n"/>
      <c r="C1113" s="75" t="n"/>
      <c r="D1113" s="75" t="n"/>
      <c r="E1113" s="75" t="n"/>
      <c r="F1113" s="75" t="n"/>
      <c r="G1113" s="75" t="n"/>
      <c r="H1113" s="76">
        <f>IFERROR(__xludf.DUMMYFUNCTION("""COMPUTED_VALUE"""),"")</f>
        <v/>
      </c>
      <c r="I1113" s="75" t="n"/>
      <c r="J1113" s="77">
        <f>IFERROR(__xludf.DUMMYFUNCTION("""COMPUTED_VALUE"""),0.0)</f>
        <v/>
      </c>
      <c r="K1113" s="4">
        <f>IFERROR(__xludf.DUMMYFUNCTION("""COMPUTED_VALUE"""),0.0)</f>
        <v/>
      </c>
      <c r="L1113" s="77">
        <f>IFERROR(__xludf.DUMMYFUNCTION("""COMPUTED_VALUE"""),0.0)</f>
        <v/>
      </c>
      <c r="O1113" s="72" t="n"/>
      <c r="S1113" s="4" t="n"/>
    </row>
    <row r="1114">
      <c r="A1114" s="74" t="n"/>
      <c r="B1114" s="72" t="n"/>
      <c r="C1114" s="75" t="n"/>
      <c r="D1114" s="75" t="n"/>
      <c r="E1114" s="75" t="n"/>
      <c r="F1114" s="75" t="n"/>
      <c r="G1114" s="75" t="n"/>
      <c r="H1114" s="76">
        <f>IFERROR(__xludf.DUMMYFUNCTION("""COMPUTED_VALUE"""),"")</f>
        <v/>
      </c>
      <c r="I1114" s="75" t="n"/>
      <c r="J1114" s="77">
        <f>IFERROR(__xludf.DUMMYFUNCTION("""COMPUTED_VALUE"""),0.0)</f>
        <v/>
      </c>
      <c r="K1114" s="4">
        <f>IFERROR(__xludf.DUMMYFUNCTION("""COMPUTED_VALUE"""),0.0)</f>
        <v/>
      </c>
      <c r="L1114" s="77">
        <f>IFERROR(__xludf.DUMMYFUNCTION("""COMPUTED_VALUE"""),0.0)</f>
        <v/>
      </c>
      <c r="O1114" s="72" t="n"/>
      <c r="S1114" s="4" t="n"/>
    </row>
    <row r="1115">
      <c r="A1115" s="74" t="n"/>
      <c r="B1115" s="72" t="n"/>
      <c r="C1115" s="75" t="n"/>
      <c r="D1115" s="75" t="n"/>
      <c r="E1115" s="75" t="n"/>
      <c r="F1115" s="75" t="n"/>
      <c r="G1115" s="75" t="n"/>
      <c r="H1115" s="76">
        <f>IFERROR(__xludf.DUMMYFUNCTION("""COMPUTED_VALUE"""),"")</f>
        <v/>
      </c>
      <c r="I1115" s="75" t="n"/>
      <c r="J1115" s="77">
        <f>IFERROR(__xludf.DUMMYFUNCTION("""COMPUTED_VALUE"""),0.0)</f>
        <v/>
      </c>
      <c r="K1115" s="4">
        <f>IFERROR(__xludf.DUMMYFUNCTION("""COMPUTED_VALUE"""),0.0)</f>
        <v/>
      </c>
      <c r="L1115" s="77">
        <f>IFERROR(__xludf.DUMMYFUNCTION("""COMPUTED_VALUE"""),0.0)</f>
        <v/>
      </c>
      <c r="O1115" s="72" t="n"/>
      <c r="S1115" s="4" t="n"/>
    </row>
    <row r="1116">
      <c r="A1116" s="74" t="n"/>
      <c r="B1116" s="72" t="n"/>
      <c r="C1116" s="75" t="n"/>
      <c r="D1116" s="75" t="n"/>
      <c r="E1116" s="75" t="n"/>
      <c r="F1116" s="75" t="n"/>
      <c r="G1116" s="75" t="n"/>
      <c r="H1116" s="76">
        <f>IFERROR(__xludf.DUMMYFUNCTION("""COMPUTED_VALUE"""),"")</f>
        <v/>
      </c>
      <c r="I1116" s="75" t="n"/>
      <c r="J1116" s="77">
        <f>IFERROR(__xludf.DUMMYFUNCTION("""COMPUTED_VALUE"""),0.0)</f>
        <v/>
      </c>
      <c r="K1116" s="4">
        <f>IFERROR(__xludf.DUMMYFUNCTION("""COMPUTED_VALUE"""),0.0)</f>
        <v/>
      </c>
      <c r="L1116" s="77">
        <f>IFERROR(__xludf.DUMMYFUNCTION("""COMPUTED_VALUE"""),0.0)</f>
        <v/>
      </c>
      <c r="O1116" s="72" t="n"/>
      <c r="S1116" s="4" t="n"/>
    </row>
    <row r="1117">
      <c r="A1117" s="74" t="n"/>
      <c r="B1117" s="72" t="n"/>
      <c r="C1117" s="75" t="n"/>
      <c r="D1117" s="75" t="n"/>
      <c r="E1117" s="75" t="n"/>
      <c r="F1117" s="75" t="n"/>
      <c r="G1117" s="75" t="n"/>
      <c r="H1117" s="76">
        <f>IFERROR(__xludf.DUMMYFUNCTION("""COMPUTED_VALUE"""),"")</f>
        <v/>
      </c>
      <c r="I1117" s="75" t="n"/>
      <c r="J1117" s="77">
        <f>IFERROR(__xludf.DUMMYFUNCTION("""COMPUTED_VALUE"""),0.0)</f>
        <v/>
      </c>
      <c r="K1117" s="4">
        <f>IFERROR(__xludf.DUMMYFUNCTION("""COMPUTED_VALUE"""),0.0)</f>
        <v/>
      </c>
      <c r="L1117" s="77">
        <f>IFERROR(__xludf.DUMMYFUNCTION("""COMPUTED_VALUE"""),0.0)</f>
        <v/>
      </c>
      <c r="O1117" s="72" t="n"/>
      <c r="S1117" s="4" t="n"/>
    </row>
    <row r="1118">
      <c r="A1118" s="74" t="n"/>
      <c r="B1118" s="72" t="n"/>
      <c r="C1118" s="75" t="n"/>
      <c r="D1118" s="75" t="n"/>
      <c r="E1118" s="75" t="n"/>
      <c r="F1118" s="75" t="n"/>
      <c r="G1118" s="75" t="n"/>
      <c r="H1118" s="76">
        <f>IFERROR(__xludf.DUMMYFUNCTION("""COMPUTED_VALUE"""),"")</f>
        <v/>
      </c>
      <c r="I1118" s="75" t="n"/>
      <c r="J1118" s="77">
        <f>IFERROR(__xludf.DUMMYFUNCTION("""COMPUTED_VALUE"""),0.0)</f>
        <v/>
      </c>
      <c r="K1118" s="4">
        <f>IFERROR(__xludf.DUMMYFUNCTION("""COMPUTED_VALUE"""),0.0)</f>
        <v/>
      </c>
      <c r="L1118" s="77">
        <f>IFERROR(__xludf.DUMMYFUNCTION("""COMPUTED_VALUE"""),0.0)</f>
        <v/>
      </c>
      <c r="O1118" s="72" t="n"/>
      <c r="S1118" s="4" t="n"/>
    </row>
    <row r="1119">
      <c r="A1119" s="74" t="n"/>
      <c r="B1119" s="72" t="n"/>
      <c r="C1119" s="75" t="n"/>
      <c r="D1119" s="75" t="n"/>
      <c r="E1119" s="75" t="n"/>
      <c r="F1119" s="75" t="n"/>
      <c r="G1119" s="75" t="n"/>
      <c r="H1119" s="76">
        <f>IFERROR(__xludf.DUMMYFUNCTION("""COMPUTED_VALUE"""),"")</f>
        <v/>
      </c>
      <c r="I1119" s="75" t="n"/>
      <c r="J1119" s="77">
        <f>IFERROR(__xludf.DUMMYFUNCTION("""COMPUTED_VALUE"""),0.0)</f>
        <v/>
      </c>
      <c r="K1119" s="4">
        <f>IFERROR(__xludf.DUMMYFUNCTION("""COMPUTED_VALUE"""),0.0)</f>
        <v/>
      </c>
      <c r="L1119" s="77">
        <f>IFERROR(__xludf.DUMMYFUNCTION("""COMPUTED_VALUE"""),0.0)</f>
        <v/>
      </c>
      <c r="O1119" s="72" t="n"/>
      <c r="S1119" s="4" t="n"/>
    </row>
    <row r="1120">
      <c r="A1120" s="74" t="n"/>
      <c r="B1120" s="72" t="n"/>
      <c r="C1120" s="75" t="n"/>
      <c r="D1120" s="75" t="n"/>
      <c r="E1120" s="75" t="n"/>
      <c r="F1120" s="75" t="n"/>
      <c r="G1120" s="75" t="n"/>
      <c r="H1120" s="76">
        <f>IFERROR(__xludf.DUMMYFUNCTION("""COMPUTED_VALUE"""),"")</f>
        <v/>
      </c>
      <c r="I1120" s="75" t="n"/>
      <c r="J1120" s="77">
        <f>IFERROR(__xludf.DUMMYFUNCTION("""COMPUTED_VALUE"""),0.0)</f>
        <v/>
      </c>
      <c r="K1120" s="4">
        <f>IFERROR(__xludf.DUMMYFUNCTION("""COMPUTED_VALUE"""),0.0)</f>
        <v/>
      </c>
      <c r="L1120" s="77">
        <f>IFERROR(__xludf.DUMMYFUNCTION("""COMPUTED_VALUE"""),0.0)</f>
        <v/>
      </c>
      <c r="O1120" s="72" t="n"/>
      <c r="S1120" s="4" t="n"/>
    </row>
    <row r="1121">
      <c r="A1121" s="74" t="n"/>
      <c r="B1121" s="72" t="n"/>
      <c r="C1121" s="75" t="n"/>
      <c r="D1121" s="75" t="n"/>
      <c r="E1121" s="75" t="n"/>
      <c r="F1121" s="75" t="n"/>
      <c r="G1121" s="75" t="n"/>
      <c r="H1121" s="76">
        <f>IFERROR(__xludf.DUMMYFUNCTION("""COMPUTED_VALUE"""),"")</f>
        <v/>
      </c>
      <c r="I1121" s="75" t="n"/>
      <c r="J1121" s="77">
        <f>IFERROR(__xludf.DUMMYFUNCTION("""COMPUTED_VALUE"""),0.0)</f>
        <v/>
      </c>
      <c r="K1121" s="4">
        <f>IFERROR(__xludf.DUMMYFUNCTION("""COMPUTED_VALUE"""),0.0)</f>
        <v/>
      </c>
      <c r="L1121" s="77">
        <f>IFERROR(__xludf.DUMMYFUNCTION("""COMPUTED_VALUE"""),0.0)</f>
        <v/>
      </c>
      <c r="O1121" s="72" t="n"/>
      <c r="S1121" s="4" t="n"/>
    </row>
    <row r="1122">
      <c r="A1122" s="74" t="n"/>
      <c r="B1122" s="72" t="n"/>
      <c r="C1122" s="75" t="n"/>
      <c r="D1122" s="75" t="n"/>
      <c r="E1122" s="75" t="n"/>
      <c r="F1122" s="75" t="n"/>
      <c r="G1122" s="75" t="n"/>
      <c r="H1122" s="76">
        <f>IFERROR(__xludf.DUMMYFUNCTION("""COMPUTED_VALUE"""),"")</f>
        <v/>
      </c>
      <c r="I1122" s="75" t="n"/>
      <c r="J1122" s="77">
        <f>IFERROR(__xludf.DUMMYFUNCTION("""COMPUTED_VALUE"""),0.0)</f>
        <v/>
      </c>
      <c r="K1122" s="4">
        <f>IFERROR(__xludf.DUMMYFUNCTION("""COMPUTED_VALUE"""),0.0)</f>
        <v/>
      </c>
      <c r="L1122" s="77">
        <f>IFERROR(__xludf.DUMMYFUNCTION("""COMPUTED_VALUE"""),0.0)</f>
        <v/>
      </c>
      <c r="O1122" s="72" t="n"/>
      <c r="S1122" s="4" t="n"/>
    </row>
    <row r="1123">
      <c r="A1123" s="74" t="n"/>
      <c r="B1123" s="72" t="n"/>
      <c r="C1123" s="75" t="n"/>
      <c r="D1123" s="75" t="n"/>
      <c r="E1123" s="75" t="n"/>
      <c r="F1123" s="75" t="n"/>
      <c r="G1123" s="75" t="n"/>
      <c r="H1123" s="76">
        <f>IFERROR(__xludf.DUMMYFUNCTION("""COMPUTED_VALUE"""),"")</f>
        <v/>
      </c>
      <c r="I1123" s="75" t="n"/>
      <c r="J1123" s="77">
        <f>IFERROR(__xludf.DUMMYFUNCTION("""COMPUTED_VALUE"""),0.0)</f>
        <v/>
      </c>
      <c r="K1123" s="4">
        <f>IFERROR(__xludf.DUMMYFUNCTION("""COMPUTED_VALUE"""),0.0)</f>
        <v/>
      </c>
      <c r="L1123" s="77">
        <f>IFERROR(__xludf.DUMMYFUNCTION("""COMPUTED_VALUE"""),0.0)</f>
        <v/>
      </c>
      <c r="O1123" s="72" t="n"/>
      <c r="S1123" s="4" t="n"/>
    </row>
    <row r="1124">
      <c r="A1124" s="74" t="n"/>
      <c r="B1124" s="72" t="n"/>
      <c r="C1124" s="75" t="n"/>
      <c r="D1124" s="75" t="n"/>
      <c r="E1124" s="75" t="n"/>
      <c r="F1124" s="75" t="n"/>
      <c r="G1124" s="75" t="n"/>
      <c r="H1124" s="76">
        <f>IFERROR(__xludf.DUMMYFUNCTION("""COMPUTED_VALUE"""),"")</f>
        <v/>
      </c>
      <c r="I1124" s="75" t="n"/>
      <c r="J1124" s="77">
        <f>IFERROR(__xludf.DUMMYFUNCTION("""COMPUTED_VALUE"""),0.0)</f>
        <v/>
      </c>
      <c r="K1124" s="4">
        <f>IFERROR(__xludf.DUMMYFUNCTION("""COMPUTED_VALUE"""),0.0)</f>
        <v/>
      </c>
      <c r="L1124" s="77">
        <f>IFERROR(__xludf.DUMMYFUNCTION("""COMPUTED_VALUE"""),0.0)</f>
        <v/>
      </c>
      <c r="O1124" s="72" t="n"/>
      <c r="S1124" s="4" t="n"/>
    </row>
    <row r="1125">
      <c r="A1125" s="74" t="n"/>
      <c r="B1125" s="72" t="n"/>
      <c r="C1125" s="75" t="n"/>
      <c r="D1125" s="75" t="n"/>
      <c r="E1125" s="75" t="n"/>
      <c r="F1125" s="75" t="n"/>
      <c r="G1125" s="75" t="n"/>
      <c r="H1125" s="76">
        <f>IFERROR(__xludf.DUMMYFUNCTION("""COMPUTED_VALUE"""),"")</f>
        <v/>
      </c>
      <c r="I1125" s="75" t="n"/>
      <c r="J1125" s="77">
        <f>IFERROR(__xludf.DUMMYFUNCTION("""COMPUTED_VALUE"""),0.0)</f>
        <v/>
      </c>
      <c r="K1125" s="4">
        <f>IFERROR(__xludf.DUMMYFUNCTION("""COMPUTED_VALUE"""),0.0)</f>
        <v/>
      </c>
      <c r="L1125" s="77">
        <f>IFERROR(__xludf.DUMMYFUNCTION("""COMPUTED_VALUE"""),0.0)</f>
        <v/>
      </c>
      <c r="O1125" s="72" t="n"/>
      <c r="S1125" s="4" t="n"/>
    </row>
    <row r="1126">
      <c r="A1126" s="74" t="n"/>
      <c r="B1126" s="72" t="n"/>
      <c r="C1126" s="75" t="n"/>
      <c r="D1126" s="75" t="n"/>
      <c r="E1126" s="75" t="n"/>
      <c r="F1126" s="75" t="n"/>
      <c r="G1126" s="75" t="n"/>
      <c r="H1126" s="76">
        <f>IFERROR(__xludf.DUMMYFUNCTION("""COMPUTED_VALUE"""),"")</f>
        <v/>
      </c>
      <c r="I1126" s="75" t="n"/>
      <c r="J1126" s="77">
        <f>IFERROR(__xludf.DUMMYFUNCTION("""COMPUTED_VALUE"""),0.0)</f>
        <v/>
      </c>
      <c r="K1126" s="4">
        <f>IFERROR(__xludf.DUMMYFUNCTION("""COMPUTED_VALUE"""),0.0)</f>
        <v/>
      </c>
      <c r="L1126" s="77">
        <f>IFERROR(__xludf.DUMMYFUNCTION("""COMPUTED_VALUE"""),0.0)</f>
        <v/>
      </c>
      <c r="O1126" s="72" t="n"/>
      <c r="S1126" s="4" t="n"/>
    </row>
    <row r="1127">
      <c r="A1127" s="74" t="n"/>
      <c r="B1127" s="72" t="n"/>
      <c r="C1127" s="75" t="n"/>
      <c r="D1127" s="75" t="n"/>
      <c r="E1127" s="75" t="n"/>
      <c r="F1127" s="75" t="n"/>
      <c r="G1127" s="75" t="n"/>
      <c r="H1127" s="76">
        <f>IFERROR(__xludf.DUMMYFUNCTION("""COMPUTED_VALUE"""),"")</f>
        <v/>
      </c>
      <c r="I1127" s="75" t="n"/>
      <c r="J1127" s="77">
        <f>IFERROR(__xludf.DUMMYFUNCTION("""COMPUTED_VALUE"""),0.0)</f>
        <v/>
      </c>
      <c r="K1127" s="4">
        <f>IFERROR(__xludf.DUMMYFUNCTION("""COMPUTED_VALUE"""),0.0)</f>
        <v/>
      </c>
      <c r="L1127" s="77">
        <f>IFERROR(__xludf.DUMMYFUNCTION("""COMPUTED_VALUE"""),0.0)</f>
        <v/>
      </c>
      <c r="O1127" s="72" t="n"/>
      <c r="S1127" s="4" t="n"/>
    </row>
    <row r="1128">
      <c r="A1128" s="74" t="n"/>
      <c r="B1128" s="72" t="n"/>
      <c r="C1128" s="75" t="n"/>
      <c r="D1128" s="75" t="n"/>
      <c r="E1128" s="75" t="n"/>
      <c r="F1128" s="75" t="n"/>
      <c r="G1128" s="75" t="n"/>
      <c r="H1128" s="76">
        <f>IFERROR(__xludf.DUMMYFUNCTION("""COMPUTED_VALUE"""),"")</f>
        <v/>
      </c>
      <c r="I1128" s="75" t="n"/>
      <c r="J1128" s="77">
        <f>IFERROR(__xludf.DUMMYFUNCTION("""COMPUTED_VALUE"""),0.0)</f>
        <v/>
      </c>
      <c r="K1128" s="4">
        <f>IFERROR(__xludf.DUMMYFUNCTION("""COMPUTED_VALUE"""),0.0)</f>
        <v/>
      </c>
      <c r="L1128" s="77">
        <f>IFERROR(__xludf.DUMMYFUNCTION("""COMPUTED_VALUE"""),0.0)</f>
        <v/>
      </c>
      <c r="O1128" s="72" t="n"/>
      <c r="S1128" s="4" t="n"/>
    </row>
    <row r="1129">
      <c r="A1129" s="74" t="n"/>
      <c r="B1129" s="72" t="n"/>
      <c r="C1129" s="75" t="n"/>
      <c r="D1129" s="75" t="n"/>
      <c r="E1129" s="75" t="n"/>
      <c r="F1129" s="75" t="n"/>
      <c r="G1129" s="75" t="n"/>
      <c r="H1129" s="76">
        <f>IFERROR(__xludf.DUMMYFUNCTION("""COMPUTED_VALUE"""),"")</f>
        <v/>
      </c>
      <c r="I1129" s="75" t="n"/>
      <c r="J1129" s="77">
        <f>IFERROR(__xludf.DUMMYFUNCTION("""COMPUTED_VALUE"""),0.0)</f>
        <v/>
      </c>
      <c r="K1129" s="4">
        <f>IFERROR(__xludf.DUMMYFUNCTION("""COMPUTED_VALUE"""),0.0)</f>
        <v/>
      </c>
      <c r="L1129" s="77">
        <f>IFERROR(__xludf.DUMMYFUNCTION("""COMPUTED_VALUE"""),0.0)</f>
        <v/>
      </c>
      <c r="O1129" s="72" t="n"/>
      <c r="S1129" s="4" t="n"/>
    </row>
    <row r="1130">
      <c r="A1130" s="74" t="n"/>
      <c r="B1130" s="72" t="n"/>
      <c r="C1130" s="75" t="n"/>
      <c r="D1130" s="75" t="n"/>
      <c r="E1130" s="75" t="n"/>
      <c r="F1130" s="75" t="n"/>
      <c r="G1130" s="75" t="n"/>
      <c r="H1130" s="76">
        <f>IFERROR(__xludf.DUMMYFUNCTION("""COMPUTED_VALUE"""),"")</f>
        <v/>
      </c>
      <c r="I1130" s="75" t="n"/>
      <c r="J1130" s="77">
        <f>IFERROR(__xludf.DUMMYFUNCTION("""COMPUTED_VALUE"""),0.0)</f>
        <v/>
      </c>
      <c r="K1130" s="4">
        <f>IFERROR(__xludf.DUMMYFUNCTION("""COMPUTED_VALUE"""),0.0)</f>
        <v/>
      </c>
      <c r="L1130" s="77">
        <f>IFERROR(__xludf.DUMMYFUNCTION("""COMPUTED_VALUE"""),0.0)</f>
        <v/>
      </c>
      <c r="O1130" s="72" t="n"/>
      <c r="S1130" s="4" t="n"/>
    </row>
    <row r="1131">
      <c r="A1131" s="74" t="n"/>
      <c r="B1131" s="72" t="n"/>
      <c r="C1131" s="75" t="n"/>
      <c r="D1131" s="75" t="n"/>
      <c r="E1131" s="75" t="n"/>
      <c r="F1131" s="75" t="n"/>
      <c r="G1131" s="75" t="n"/>
      <c r="H1131" s="76">
        <f>IFERROR(__xludf.DUMMYFUNCTION("""COMPUTED_VALUE"""),"")</f>
        <v/>
      </c>
      <c r="I1131" s="75" t="n"/>
      <c r="J1131" s="77">
        <f>IFERROR(__xludf.DUMMYFUNCTION("""COMPUTED_VALUE"""),0.0)</f>
        <v/>
      </c>
      <c r="K1131" s="4">
        <f>IFERROR(__xludf.DUMMYFUNCTION("""COMPUTED_VALUE"""),0.0)</f>
        <v/>
      </c>
      <c r="L1131" s="77">
        <f>IFERROR(__xludf.DUMMYFUNCTION("""COMPUTED_VALUE"""),0.0)</f>
        <v/>
      </c>
      <c r="O1131" s="72" t="n"/>
      <c r="S1131" s="4" t="n"/>
    </row>
    <row r="1132">
      <c r="A1132" s="74" t="n"/>
      <c r="B1132" s="72" t="n"/>
      <c r="C1132" s="75" t="n"/>
      <c r="D1132" s="75" t="n"/>
      <c r="E1132" s="75" t="n"/>
      <c r="F1132" s="75" t="n"/>
      <c r="G1132" s="75" t="n"/>
      <c r="H1132" s="76">
        <f>IFERROR(__xludf.DUMMYFUNCTION("""COMPUTED_VALUE"""),"")</f>
        <v/>
      </c>
      <c r="I1132" s="75" t="n"/>
      <c r="J1132" s="77">
        <f>IFERROR(__xludf.DUMMYFUNCTION("""COMPUTED_VALUE"""),0.0)</f>
        <v/>
      </c>
      <c r="K1132" s="4">
        <f>IFERROR(__xludf.DUMMYFUNCTION("""COMPUTED_VALUE"""),0.0)</f>
        <v/>
      </c>
      <c r="L1132" s="77">
        <f>IFERROR(__xludf.DUMMYFUNCTION("""COMPUTED_VALUE"""),0.0)</f>
        <v/>
      </c>
      <c r="O1132" s="72" t="n"/>
      <c r="S1132" s="4" t="n"/>
    </row>
    <row r="1133">
      <c r="A1133" s="74" t="n"/>
      <c r="B1133" s="72" t="n"/>
      <c r="K1133" s="4" t="n"/>
      <c r="O1133" s="72" t="n"/>
      <c r="S1133" s="4" t="n"/>
    </row>
    <row r="1134">
      <c r="A1134" s="74" t="n"/>
      <c r="B1134" s="72" t="n"/>
      <c r="K1134" s="4" t="n"/>
      <c r="O1134" s="72" t="n"/>
      <c r="S1134" s="4" t="n"/>
    </row>
    <row r="1135">
      <c r="A1135" s="74" t="n"/>
      <c r="B1135" s="72" t="n"/>
      <c r="K1135" s="4" t="n"/>
      <c r="O1135" s="72" t="n"/>
      <c r="S1135" s="4" t="n"/>
    </row>
    <row r="1136">
      <c r="A1136" s="74" t="n"/>
      <c r="B1136" s="72" t="n"/>
      <c r="K1136" s="4" t="n"/>
      <c r="O1136" s="72" t="n"/>
      <c r="S1136" s="4" t="n"/>
    </row>
    <row r="1137">
      <c r="A1137" s="74" t="n"/>
      <c r="B1137" s="72" t="n"/>
      <c r="K1137" s="4" t="n"/>
      <c r="O1137" s="72" t="n"/>
      <c r="S1137" s="4" t="n"/>
    </row>
    <row r="1138">
      <c r="A1138" s="74" t="n"/>
      <c r="B1138" s="72" t="n"/>
      <c r="K1138" s="4" t="n"/>
      <c r="O1138" s="72" t="n"/>
      <c r="S1138" s="4" t="n"/>
    </row>
    <row r="1139">
      <c r="A1139" s="74" t="n"/>
      <c r="B1139" s="72" t="n"/>
      <c r="K1139" s="4" t="n"/>
      <c r="O1139" s="72" t="n"/>
      <c r="S1139" s="4" t="n"/>
    </row>
    <row r="1140">
      <c r="A1140" s="74" t="n"/>
      <c r="B1140" s="72" t="n"/>
      <c r="K1140" s="4" t="n"/>
      <c r="O1140" s="72" t="n"/>
      <c r="S1140" s="4" t="n"/>
    </row>
    <row r="1141">
      <c r="A1141" s="74" t="n"/>
      <c r="B1141" s="72" t="n"/>
      <c r="K1141" s="4" t="n"/>
      <c r="O1141" s="72" t="n"/>
      <c r="S1141" s="4" t="n"/>
    </row>
    <row r="1142">
      <c r="A1142" s="74" t="n"/>
      <c r="B1142" s="72" t="n"/>
      <c r="K1142" s="4" t="n"/>
      <c r="O1142" s="72" t="n"/>
      <c r="S1142" s="4" t="n"/>
    </row>
    <row r="1143">
      <c r="A1143" s="74" t="n"/>
      <c r="B1143" s="72" t="n"/>
      <c r="K1143" s="4" t="n"/>
      <c r="O1143" s="72" t="n"/>
      <c r="S1143" s="4" t="n"/>
    </row>
    <row r="1144">
      <c r="A1144" s="74" t="n"/>
      <c r="B1144" s="72" t="n"/>
      <c r="K1144" s="4" t="n"/>
      <c r="O1144" s="72" t="n"/>
      <c r="S1144" s="4" t="n"/>
    </row>
    <row r="1145">
      <c r="A1145" s="74" t="n"/>
      <c r="B1145" s="72" t="n"/>
      <c r="K1145" s="4" t="n"/>
      <c r="O1145" s="72" t="n"/>
      <c r="S1145" s="4" t="n"/>
    </row>
    <row r="1146">
      <c r="A1146" s="74" t="n"/>
      <c r="B1146" s="72" t="n"/>
      <c r="K1146" s="4" t="n"/>
      <c r="O1146" s="72" t="n"/>
      <c r="S1146" s="4" t="n"/>
    </row>
    <row r="1147">
      <c r="A1147" s="74" t="n"/>
      <c r="B1147" s="72" t="n"/>
      <c r="K1147" s="4" t="n"/>
      <c r="O1147" s="72" t="n"/>
      <c r="S1147" s="4" t="n"/>
    </row>
    <row r="1148">
      <c r="A1148" s="74" t="n"/>
      <c r="B1148" s="72" t="n"/>
      <c r="K1148" s="4" t="n"/>
      <c r="O1148" s="72" t="n"/>
      <c r="S1148" s="4" t="n"/>
    </row>
    <row r="1149">
      <c r="A1149" s="74" t="n"/>
      <c r="B1149" s="72" t="n"/>
      <c r="K1149" s="4" t="n"/>
      <c r="O1149" s="72" t="n"/>
      <c r="S1149" s="4" t="n"/>
    </row>
    <row r="1150">
      <c r="A1150" s="74" t="n"/>
      <c r="B1150" s="72" t="n"/>
      <c r="K1150" s="4" t="n"/>
      <c r="O1150" s="72" t="n"/>
      <c r="S1150" s="4" t="n"/>
    </row>
    <row r="1151">
      <c r="A1151" s="74" t="n"/>
      <c r="B1151" s="72" t="n"/>
      <c r="K1151" s="4" t="n"/>
      <c r="O1151" s="72" t="n"/>
      <c r="S1151" s="4" t="n"/>
    </row>
    <row r="1152">
      <c r="A1152" s="74" t="n"/>
      <c r="B1152" s="72" t="n"/>
      <c r="K1152" s="4" t="n"/>
      <c r="O1152" s="72" t="n"/>
      <c r="S1152" s="4" t="n"/>
    </row>
    <row r="1153">
      <c r="A1153" s="74" t="n"/>
      <c r="B1153" s="72" t="n"/>
      <c r="K1153" s="4" t="n"/>
      <c r="O1153" s="72" t="n"/>
      <c r="S1153" s="4" t="n"/>
    </row>
    <row r="1154">
      <c r="A1154" s="74" t="n"/>
      <c r="B1154" s="72" t="n"/>
      <c r="K1154" s="4" t="n"/>
      <c r="O1154" s="72" t="n"/>
      <c r="S1154" s="4" t="n"/>
    </row>
    <row r="1155">
      <c r="A1155" s="74" t="n"/>
      <c r="B1155" s="72" t="n"/>
      <c r="K1155" s="4" t="n"/>
      <c r="O1155" s="72" t="n"/>
      <c r="S1155" s="4" t="n"/>
    </row>
    <row r="1156">
      <c r="A1156" s="74" t="n"/>
      <c r="B1156" s="72" t="n"/>
      <c r="K1156" s="4" t="n"/>
      <c r="O1156" s="72" t="n"/>
      <c r="S1156" s="4" t="n"/>
    </row>
    <row r="1157">
      <c r="A1157" s="74" t="n"/>
      <c r="B1157" s="72" t="n"/>
      <c r="K1157" s="4" t="n"/>
      <c r="O1157" s="72" t="n"/>
      <c r="S1157" s="4" t="n"/>
    </row>
    <row r="1158">
      <c r="A1158" s="74" t="n"/>
      <c r="B1158" s="72" t="n"/>
      <c r="K1158" s="4" t="n"/>
      <c r="O1158" s="72" t="n"/>
      <c r="S1158" s="4" t="n"/>
    </row>
    <row r="1159">
      <c r="A1159" s="74" t="n"/>
      <c r="B1159" s="72" t="n"/>
      <c r="K1159" s="4" t="n"/>
      <c r="O1159" s="72" t="n"/>
      <c r="S1159" s="4" t="n"/>
    </row>
    <row r="1160">
      <c r="A1160" s="74" t="n"/>
      <c r="B1160" s="72" t="n"/>
      <c r="K1160" s="4" t="n"/>
      <c r="O1160" s="72" t="n"/>
      <c r="S1160" s="4" t="n"/>
    </row>
    <row r="1161">
      <c r="A1161" s="74" t="n"/>
      <c r="B1161" s="72" t="n"/>
      <c r="K1161" s="4" t="n"/>
      <c r="O1161" s="72" t="n"/>
      <c r="S1161" s="4" t="n"/>
    </row>
    <row r="1162">
      <c r="A1162" s="74" t="n"/>
      <c r="B1162" s="72" t="n"/>
      <c r="K1162" s="4" t="n"/>
      <c r="O1162" s="72" t="n"/>
      <c r="S1162" s="4" t="n"/>
    </row>
    <row r="1163">
      <c r="A1163" s="74" t="n"/>
      <c r="B1163" s="72" t="n"/>
      <c r="K1163" s="4" t="n"/>
      <c r="O1163" s="72" t="n"/>
      <c r="S1163" s="4" t="n"/>
    </row>
    <row r="1164">
      <c r="A1164" s="74" t="n"/>
      <c r="B1164" s="72" t="n"/>
      <c r="K1164" s="4" t="n"/>
      <c r="O1164" s="72" t="n"/>
      <c r="S1164" s="4" t="n"/>
    </row>
    <row r="1165">
      <c r="A1165" s="74" t="n"/>
      <c r="B1165" s="72" t="n"/>
      <c r="K1165" s="4" t="n"/>
      <c r="O1165" s="72" t="n"/>
      <c r="S1165" s="4" t="n"/>
    </row>
    <row r="1166">
      <c r="A1166" s="74" t="n"/>
      <c r="B1166" s="72" t="n"/>
      <c r="K1166" s="4" t="n"/>
      <c r="O1166" s="72" t="n"/>
      <c r="S1166" s="4" t="n"/>
    </row>
    <row r="1167">
      <c r="A1167" s="74" t="n"/>
      <c r="B1167" s="72" t="n"/>
      <c r="K1167" s="4" t="n"/>
      <c r="O1167" s="72" t="n"/>
      <c r="S1167" s="4" t="n"/>
    </row>
    <row r="1168">
      <c r="A1168" s="74" t="n"/>
      <c r="B1168" s="72" t="n"/>
      <c r="K1168" s="4" t="n"/>
      <c r="O1168" s="72" t="n"/>
      <c r="S1168" s="4" t="n"/>
    </row>
    <row r="1169">
      <c r="A1169" s="74" t="n"/>
      <c r="B1169" s="72" t="n"/>
      <c r="K1169" s="4" t="n"/>
      <c r="O1169" s="72" t="n"/>
      <c r="S1169" s="4" t="n"/>
    </row>
    <row r="1170">
      <c r="A1170" s="74" t="n"/>
      <c r="B1170" s="72" t="n"/>
      <c r="K1170" s="4" t="n"/>
      <c r="O1170" s="72" t="n"/>
      <c r="S1170" s="4" t="n"/>
    </row>
    <row r="1171">
      <c r="A1171" s="74" t="n"/>
      <c r="B1171" s="72" t="n"/>
      <c r="K1171" s="4" t="n"/>
      <c r="O1171" s="72" t="n"/>
      <c r="S1171" s="4" t="n"/>
    </row>
    <row r="1172">
      <c r="A1172" s="74" t="n"/>
      <c r="B1172" s="72" t="n"/>
      <c r="K1172" s="4" t="n"/>
      <c r="O1172" s="72" t="n"/>
      <c r="S1172" s="4" t="n"/>
    </row>
    <row r="1173">
      <c r="A1173" s="74" t="n"/>
      <c r="B1173" s="72" t="n"/>
      <c r="K1173" s="4" t="n"/>
      <c r="O1173" s="72" t="n"/>
      <c r="S1173" s="4" t="n"/>
    </row>
    <row r="1174">
      <c r="A1174" s="74" t="n"/>
      <c r="B1174" s="72" t="n"/>
      <c r="K1174" s="4" t="n"/>
      <c r="O1174" s="72" t="n"/>
      <c r="S1174" s="4" t="n"/>
    </row>
    <row r="1175">
      <c r="A1175" s="74" t="n"/>
      <c r="B1175" s="72" t="n"/>
      <c r="K1175" s="4" t="n"/>
      <c r="O1175" s="72" t="n"/>
      <c r="S1175" s="4" t="n"/>
    </row>
    <row r="1176">
      <c r="A1176" s="74" t="n"/>
      <c r="B1176" s="72" t="n"/>
      <c r="K1176" s="4" t="n"/>
      <c r="O1176" s="72" t="n"/>
      <c r="S1176" s="4" t="n"/>
    </row>
    <row r="1177">
      <c r="A1177" s="74" t="n"/>
      <c r="B1177" s="72" t="n"/>
      <c r="K1177" s="4" t="n"/>
      <c r="O1177" s="72" t="n"/>
      <c r="S1177" s="4" t="n"/>
    </row>
    <row r="1178">
      <c r="A1178" s="74" t="n"/>
      <c r="B1178" s="72" t="n"/>
      <c r="K1178" s="4" t="n"/>
      <c r="O1178" s="72" t="n"/>
      <c r="S1178" s="4" t="n"/>
    </row>
    <row r="1179">
      <c r="A1179" s="74" t="n"/>
      <c r="B1179" s="72" t="n"/>
      <c r="K1179" s="4" t="n"/>
      <c r="O1179" s="72" t="n"/>
      <c r="S1179" s="4" t="n"/>
    </row>
    <row r="1180">
      <c r="A1180" s="74" t="n"/>
      <c r="B1180" s="72" t="n"/>
      <c r="K1180" s="4" t="n"/>
      <c r="O1180" s="72" t="n"/>
      <c r="S1180" s="4" t="n"/>
    </row>
    <row r="1181">
      <c r="A1181" s="74" t="n"/>
      <c r="B1181" s="72" t="n"/>
      <c r="K1181" s="4" t="n"/>
      <c r="O1181" s="72" t="n"/>
      <c r="S1181" s="4" t="n"/>
    </row>
    <row r="1182">
      <c r="A1182" s="74" t="n"/>
      <c r="B1182" s="72" t="n"/>
      <c r="K1182" s="4" t="n"/>
      <c r="O1182" s="72" t="n"/>
      <c r="S1182" s="4" t="n"/>
    </row>
    <row r="1183">
      <c r="A1183" s="74" t="n"/>
      <c r="B1183" s="72" t="n"/>
      <c r="K1183" s="4" t="n"/>
      <c r="O1183" s="72" t="n"/>
      <c r="S1183" s="4" t="n"/>
    </row>
    <row r="1184">
      <c r="A1184" s="74" t="n"/>
      <c r="B1184" s="72" t="n"/>
      <c r="K1184" s="4" t="n"/>
      <c r="O1184" s="72" t="n"/>
      <c r="S1184" s="4" t="n"/>
    </row>
    <row r="1185">
      <c r="A1185" s="74" t="n"/>
      <c r="B1185" s="72" t="n"/>
      <c r="K1185" s="4" t="n"/>
      <c r="O1185" s="72" t="n"/>
      <c r="S1185" s="4" t="n"/>
    </row>
    <row r="1186">
      <c r="A1186" s="74" t="n"/>
      <c r="B1186" s="72" t="n"/>
      <c r="K1186" s="4" t="n"/>
      <c r="O1186" s="72" t="n"/>
      <c r="S1186" s="4" t="n"/>
    </row>
    <row r="1187">
      <c r="A1187" s="74" t="n"/>
      <c r="B1187" s="72" t="n"/>
      <c r="K1187" s="4" t="n"/>
      <c r="O1187" s="72" t="n"/>
      <c r="S1187" s="4" t="n"/>
    </row>
    <row r="1188">
      <c r="A1188" s="74" t="n"/>
      <c r="B1188" s="72" t="n"/>
      <c r="K1188" s="4" t="n"/>
      <c r="O1188" s="72" t="n"/>
      <c r="S1188" s="4" t="n"/>
    </row>
    <row r="1189">
      <c r="A1189" s="74" t="n"/>
      <c r="B1189" s="72" t="n"/>
      <c r="K1189" s="4" t="n"/>
      <c r="O1189" s="72" t="n"/>
      <c r="S1189" s="4" t="n"/>
    </row>
    <row r="1190">
      <c r="A1190" s="74" t="n"/>
      <c r="B1190" s="72" t="n"/>
      <c r="K1190" s="4" t="n"/>
      <c r="O1190" s="72" t="n"/>
      <c r="S1190" s="4" t="n"/>
    </row>
    <row r="1191">
      <c r="A1191" s="74" t="n"/>
      <c r="B1191" s="72" t="n"/>
      <c r="K1191" s="4" t="n"/>
      <c r="O1191" s="72" t="n"/>
      <c r="S1191" s="4" t="n"/>
    </row>
    <row r="1192">
      <c r="A1192" s="74" t="n"/>
      <c r="B1192" s="72" t="n"/>
      <c r="K1192" s="4" t="n"/>
      <c r="O1192" s="72" t="n"/>
      <c r="S1192" s="4" t="n"/>
    </row>
    <row r="1193">
      <c r="A1193" s="74" t="n"/>
      <c r="B1193" s="72" t="n"/>
      <c r="K1193" s="4" t="n"/>
      <c r="O1193" s="72" t="n"/>
      <c r="S1193" s="4" t="n"/>
    </row>
    <row r="1194">
      <c r="A1194" s="74" t="n"/>
      <c r="B1194" s="72" t="n"/>
      <c r="K1194" s="4" t="n"/>
      <c r="O1194" s="72" t="n"/>
      <c r="S1194" s="4" t="n"/>
    </row>
    <row r="1195">
      <c r="A1195" s="74" t="n"/>
      <c r="B1195" s="72" t="n"/>
      <c r="K1195" s="4" t="n"/>
      <c r="O1195" s="72" t="n"/>
      <c r="S1195" s="4" t="n"/>
    </row>
    <row r="1196">
      <c r="A1196" s="74" t="n"/>
      <c r="B1196" s="72" t="n"/>
      <c r="K1196" s="4" t="n"/>
      <c r="O1196" s="72" t="n"/>
      <c r="S1196" s="4" t="n"/>
    </row>
    <row r="1197">
      <c r="A1197" s="74" t="n"/>
      <c r="B1197" s="72" t="n"/>
      <c r="K1197" s="4" t="n"/>
      <c r="O1197" s="72" t="n"/>
      <c r="S1197" s="4" t="n"/>
    </row>
    <row r="1198">
      <c r="A1198" s="74" t="n"/>
      <c r="B1198" s="72" t="n"/>
      <c r="K1198" s="4" t="n"/>
      <c r="O1198" s="72" t="n"/>
      <c r="S1198" s="4" t="n"/>
    </row>
    <row r="1199">
      <c r="A1199" s="74" t="n"/>
      <c r="B1199" s="72" t="n"/>
      <c r="K1199" s="4" t="n"/>
      <c r="O1199" s="72" t="n"/>
      <c r="S1199" s="4" t="n"/>
    </row>
    <row r="1200">
      <c r="A1200" s="74" t="n"/>
      <c r="B1200" s="72" t="n"/>
      <c r="K1200" s="4" t="n"/>
      <c r="O1200" s="72" t="n"/>
      <c r="S1200" s="4" t="n"/>
    </row>
    <row r="1201">
      <c r="A1201" s="74" t="n"/>
      <c r="B1201" s="72" t="n"/>
      <c r="K1201" s="4" t="n"/>
      <c r="O1201" s="72" t="n"/>
      <c r="S1201" s="4" t="n"/>
    </row>
    <row r="1202">
      <c r="A1202" s="74" t="n"/>
      <c r="B1202" s="72" t="n"/>
      <c r="K1202" s="4" t="n"/>
      <c r="O1202" s="72" t="n"/>
      <c r="S1202" s="4" t="n"/>
    </row>
    <row r="1203">
      <c r="A1203" s="74" t="n"/>
      <c r="B1203" s="72" t="n"/>
      <c r="K1203" s="4" t="n"/>
      <c r="O1203" s="72" t="n"/>
      <c r="S1203" s="4" t="n"/>
    </row>
    <row r="1204">
      <c r="A1204" s="74" t="n"/>
      <c r="B1204" s="72" t="n"/>
      <c r="K1204" s="4" t="n"/>
      <c r="O1204" s="72" t="n"/>
      <c r="S1204" s="4" t="n"/>
    </row>
    <row r="1205">
      <c r="A1205" s="74" t="n"/>
      <c r="B1205" s="72" t="n"/>
      <c r="K1205" s="4" t="n"/>
      <c r="O1205" s="72" t="n"/>
      <c r="S1205" s="4" t="n"/>
    </row>
    <row r="1206">
      <c r="A1206" s="74" t="n"/>
      <c r="B1206" s="72" t="n"/>
      <c r="K1206" s="4" t="n"/>
      <c r="O1206" s="72" t="n"/>
      <c r="S1206" s="4" t="n"/>
    </row>
    <row r="1207">
      <c r="A1207" s="74" t="n"/>
      <c r="B1207" s="72" t="n"/>
      <c r="K1207" s="4" t="n"/>
      <c r="O1207" s="72" t="n"/>
      <c r="S1207" s="4" t="n"/>
    </row>
    <row r="1208">
      <c r="A1208" s="74" t="n"/>
      <c r="B1208" s="72" t="n"/>
      <c r="K1208" s="4" t="n"/>
      <c r="O1208" s="72" t="n"/>
      <c r="S1208" s="4" t="n"/>
    </row>
    <row r="1209">
      <c r="A1209" s="74" t="n"/>
      <c r="B1209" s="72" t="n"/>
      <c r="K1209" s="4" t="n"/>
      <c r="O1209" s="72" t="n"/>
      <c r="S1209" s="4" t="n"/>
    </row>
    <row r="1210">
      <c r="A1210" s="74" t="n"/>
      <c r="B1210" s="72" t="n"/>
      <c r="K1210" s="4" t="n"/>
      <c r="O1210" s="72" t="n"/>
      <c r="S1210" s="4" t="n"/>
    </row>
    <row r="1211">
      <c r="A1211" s="74" t="n"/>
      <c r="B1211" s="72" t="n"/>
      <c r="K1211" s="4" t="n"/>
      <c r="O1211" s="72" t="n"/>
      <c r="S1211" s="4" t="n"/>
    </row>
    <row r="1212">
      <c r="A1212" s="74" t="n"/>
      <c r="B1212" s="72" t="n"/>
      <c r="K1212" s="4" t="n"/>
      <c r="O1212" s="72" t="n"/>
      <c r="S1212" s="4" t="n"/>
    </row>
    <row r="1213">
      <c r="A1213" s="74" t="n"/>
      <c r="B1213" s="72" t="n"/>
      <c r="K1213" s="4" t="n"/>
      <c r="O1213" s="72" t="n"/>
      <c r="S1213" s="4" t="n"/>
    </row>
    <row r="1214">
      <c r="A1214" s="74" t="n"/>
      <c r="B1214" s="72" t="n"/>
      <c r="K1214" s="4" t="n"/>
      <c r="O1214" s="72" t="n"/>
      <c r="S1214" s="4" t="n"/>
    </row>
    <row r="1215">
      <c r="A1215" s="74" t="n"/>
      <c r="B1215" s="72" t="n"/>
      <c r="K1215" s="4" t="n"/>
      <c r="O1215" s="72" t="n"/>
      <c r="S1215" s="4" t="n"/>
    </row>
    <row r="1216">
      <c r="A1216" s="74" t="n"/>
      <c r="B1216" s="72" t="n"/>
      <c r="K1216" s="4" t="n"/>
      <c r="O1216" s="72" t="n"/>
      <c r="S1216" s="4" t="n"/>
    </row>
    <row r="1217">
      <c r="A1217" s="74" t="n"/>
      <c r="B1217" s="72" t="n"/>
      <c r="K1217" s="4" t="n"/>
      <c r="O1217" s="72" t="n"/>
      <c r="S1217" s="4" t="n"/>
    </row>
    <row r="1218">
      <c r="A1218" s="74" t="n"/>
      <c r="B1218" s="72" t="n"/>
      <c r="K1218" s="4" t="n"/>
      <c r="O1218" s="72" t="n"/>
      <c r="S1218" s="4" t="n"/>
    </row>
    <row r="1219">
      <c r="A1219" s="74" t="n"/>
      <c r="B1219" s="72" t="n"/>
      <c r="K1219" s="4" t="n"/>
      <c r="O1219" s="72" t="n"/>
      <c r="S1219" s="4" t="n"/>
    </row>
    <row r="1220">
      <c r="A1220" s="74" t="n"/>
      <c r="B1220" s="72" t="n"/>
      <c r="K1220" s="4" t="n"/>
      <c r="O1220" s="72" t="n"/>
      <c r="S1220" s="4" t="n"/>
    </row>
    <row r="1221">
      <c r="A1221" s="74" t="n"/>
      <c r="B1221" s="72" t="n"/>
      <c r="K1221" s="4" t="n"/>
      <c r="O1221" s="72" t="n"/>
      <c r="S1221" s="4" t="n"/>
    </row>
    <row r="1222">
      <c r="A1222" s="74" t="n"/>
      <c r="B1222" s="72" t="n"/>
      <c r="K1222" s="4" t="n"/>
      <c r="O1222" s="72" t="n"/>
      <c r="S1222" s="4" t="n"/>
    </row>
    <row r="1223">
      <c r="A1223" s="74" t="n"/>
      <c r="B1223" s="72" t="n"/>
      <c r="K1223" s="4" t="n"/>
      <c r="O1223" s="72" t="n"/>
      <c r="S1223" s="4" t="n"/>
    </row>
    <row r="1224">
      <c r="A1224" s="74" t="n"/>
      <c r="B1224" s="72" t="n"/>
      <c r="K1224" s="4" t="n"/>
      <c r="O1224" s="72" t="n"/>
      <c r="S1224" s="4" t="n"/>
    </row>
    <row r="1225">
      <c r="A1225" s="74" t="n"/>
      <c r="B1225" s="72" t="n"/>
      <c r="K1225" s="4" t="n"/>
      <c r="O1225" s="72" t="n"/>
      <c r="S1225" s="4" t="n"/>
    </row>
    <row r="1226">
      <c r="A1226" s="74" t="n"/>
      <c r="B1226" s="72" t="n"/>
      <c r="K1226" s="4" t="n"/>
      <c r="O1226" s="72" t="n"/>
      <c r="S1226" s="4" t="n"/>
    </row>
    <row r="1227">
      <c r="A1227" s="74" t="n"/>
      <c r="B1227" s="72" t="n"/>
      <c r="K1227" s="4" t="n"/>
      <c r="O1227" s="72" t="n"/>
      <c r="S1227" s="4" t="n"/>
    </row>
    <row r="1228">
      <c r="A1228" s="74" t="n"/>
      <c r="B1228" s="72" t="n"/>
      <c r="K1228" s="4" t="n"/>
      <c r="O1228" s="72" t="n"/>
      <c r="S1228" s="4" t="n"/>
    </row>
    <row r="1229">
      <c r="A1229" s="74" t="n"/>
      <c r="B1229" s="72" t="n"/>
      <c r="K1229" s="4" t="n"/>
      <c r="O1229" s="72" t="n"/>
      <c r="S1229" s="4" t="n"/>
    </row>
    <row r="1230">
      <c r="A1230" s="74" t="n"/>
      <c r="B1230" s="72" t="n"/>
      <c r="K1230" s="4" t="n"/>
      <c r="O1230" s="72" t="n"/>
      <c r="S1230" s="4" t="n"/>
    </row>
    <row r="1231">
      <c r="A1231" s="74" t="n"/>
      <c r="B1231" s="72" t="n"/>
      <c r="K1231" s="4" t="n"/>
      <c r="O1231" s="72" t="n"/>
      <c r="S1231" s="4" t="n"/>
    </row>
    <row r="1232">
      <c r="A1232" s="74" t="n"/>
      <c r="B1232" s="72" t="n"/>
      <c r="K1232" s="4" t="n"/>
      <c r="O1232" s="72" t="n"/>
      <c r="S1232" s="4" t="n"/>
    </row>
    <row r="1233">
      <c r="A1233" s="74" t="n"/>
      <c r="B1233" s="72" t="n"/>
      <c r="K1233" s="4" t="n"/>
      <c r="O1233" s="72" t="n"/>
      <c r="S1233" s="4" t="n"/>
    </row>
    <row r="1234">
      <c r="A1234" s="74" t="n"/>
      <c r="B1234" s="72" t="n"/>
      <c r="K1234" s="4" t="n"/>
      <c r="O1234" s="72" t="n"/>
      <c r="S1234" s="4" t="n"/>
    </row>
    <row r="1235">
      <c r="A1235" s="74" t="n"/>
      <c r="B1235" s="72" t="n"/>
      <c r="K1235" s="4" t="n"/>
      <c r="O1235" s="72" t="n"/>
      <c r="S1235" s="4" t="n"/>
    </row>
    <row r="1236">
      <c r="A1236" s="74" t="n"/>
      <c r="B1236" s="72" t="n"/>
      <c r="K1236" s="4" t="n"/>
      <c r="O1236" s="72" t="n"/>
      <c r="S1236" s="4" t="n"/>
    </row>
    <row r="1237">
      <c r="A1237" s="74" t="n"/>
      <c r="B1237" s="72" t="n"/>
      <c r="K1237" s="4" t="n"/>
      <c r="O1237" s="72" t="n"/>
      <c r="S1237" s="4" t="n"/>
    </row>
    <row r="1238">
      <c r="A1238" s="74" t="n"/>
      <c r="B1238" s="72" t="n"/>
      <c r="K1238" s="4" t="n"/>
      <c r="O1238" s="72" t="n"/>
      <c r="S1238" s="4" t="n"/>
    </row>
    <row r="1239">
      <c r="A1239" s="74" t="n"/>
      <c r="B1239" s="72" t="n"/>
      <c r="K1239" s="4" t="n"/>
      <c r="O1239" s="72" t="n"/>
      <c r="S1239" s="4" t="n"/>
    </row>
    <row r="1240">
      <c r="A1240" s="74" t="n"/>
      <c r="B1240" s="72" t="n"/>
      <c r="K1240" s="4" t="n"/>
      <c r="O1240" s="72" t="n"/>
      <c r="S1240" s="4" t="n"/>
    </row>
    <row r="1241">
      <c r="A1241" s="74" t="n"/>
      <c r="B1241" s="72" t="n"/>
      <c r="K1241" s="4" t="n"/>
      <c r="O1241" s="72" t="n"/>
      <c r="S1241" s="4" t="n"/>
    </row>
    <row r="1242">
      <c r="A1242" s="74" t="n"/>
      <c r="B1242" s="72" t="n"/>
      <c r="K1242" s="4" t="n"/>
      <c r="O1242" s="72" t="n"/>
      <c r="S1242" s="4" t="n"/>
    </row>
    <row r="1243">
      <c r="A1243" s="74" t="n"/>
      <c r="B1243" s="72" t="n"/>
      <c r="K1243" s="4" t="n"/>
      <c r="O1243" s="72" t="n"/>
      <c r="S1243" s="4" t="n"/>
    </row>
    <row r="1244">
      <c r="A1244" s="74" t="n"/>
      <c r="B1244" s="72" t="n"/>
      <c r="K1244" s="4" t="n"/>
      <c r="O1244" s="72" t="n"/>
      <c r="S1244" s="4" t="n"/>
    </row>
    <row r="1245">
      <c r="A1245" s="74" t="n"/>
      <c r="B1245" s="72" t="n"/>
      <c r="K1245" s="4" t="n"/>
      <c r="O1245" s="72" t="n"/>
      <c r="S1245" s="4" t="n"/>
    </row>
    <row r="1246">
      <c r="A1246" s="74" t="n"/>
      <c r="B1246" s="72" t="n"/>
      <c r="K1246" s="4" t="n"/>
      <c r="O1246" s="72" t="n"/>
      <c r="S1246" s="4" t="n"/>
    </row>
    <row r="1247">
      <c r="A1247" s="74" t="n"/>
      <c r="B1247" s="72" t="n"/>
      <c r="K1247" s="4" t="n"/>
      <c r="O1247" s="72" t="n"/>
      <c r="S1247" s="4" t="n"/>
    </row>
    <row r="1248">
      <c r="A1248" s="74" t="n"/>
      <c r="B1248" s="72" t="n"/>
      <c r="K1248" s="4" t="n"/>
      <c r="O1248" s="72" t="n"/>
      <c r="S1248" s="4" t="n"/>
    </row>
    <row r="1249">
      <c r="A1249" s="74" t="n"/>
      <c r="B1249" s="72" t="n"/>
      <c r="K1249" s="4" t="n"/>
      <c r="O1249" s="72" t="n"/>
      <c r="S1249" s="4" t="n"/>
    </row>
    <row r="1250">
      <c r="A1250" s="74" t="n"/>
      <c r="B1250" s="72" t="n"/>
      <c r="K1250" s="4" t="n"/>
      <c r="O1250" s="72" t="n"/>
      <c r="S1250" s="4" t="n"/>
    </row>
    <row r="1251">
      <c r="A1251" s="74" t="n"/>
      <c r="B1251" s="72" t="n"/>
      <c r="K1251" s="4" t="n"/>
      <c r="O1251" s="72" t="n"/>
      <c r="S1251" s="4" t="n"/>
    </row>
    <row r="1252">
      <c r="A1252" s="74" t="n"/>
      <c r="B1252" s="72" t="n"/>
      <c r="K1252" s="4" t="n"/>
      <c r="O1252" s="72" t="n"/>
      <c r="S1252" s="4" t="n"/>
    </row>
    <row r="1253">
      <c r="A1253" s="74" t="n"/>
      <c r="B1253" s="72" t="n"/>
      <c r="K1253" s="4" t="n"/>
      <c r="O1253" s="72" t="n"/>
      <c r="S1253" s="4" t="n"/>
    </row>
    <row r="1254">
      <c r="A1254" s="74" t="n"/>
      <c r="B1254" s="72" t="n"/>
      <c r="K1254" s="4" t="n"/>
      <c r="O1254" s="72" t="n"/>
      <c r="S1254" s="4" t="n"/>
    </row>
    <row r="1255">
      <c r="A1255" s="74" t="n"/>
      <c r="B1255" s="72" t="n"/>
      <c r="K1255" s="4" t="n"/>
      <c r="O1255" s="72" t="n"/>
      <c r="S1255" s="4" t="n"/>
    </row>
    <row r="1256">
      <c r="A1256" s="74" t="n"/>
      <c r="B1256" s="72" t="n"/>
      <c r="K1256" s="4" t="n"/>
      <c r="O1256" s="72" t="n"/>
      <c r="S1256" s="4" t="n"/>
    </row>
    <row r="1257">
      <c r="A1257" s="74" t="n"/>
      <c r="B1257" s="72" t="n"/>
      <c r="K1257" s="4" t="n"/>
      <c r="O1257" s="72" t="n"/>
      <c r="S1257" s="4" t="n"/>
    </row>
    <row r="1258">
      <c r="A1258" s="74" t="n"/>
      <c r="B1258" s="72" t="n"/>
      <c r="K1258" s="4" t="n"/>
      <c r="O1258" s="72" t="n"/>
      <c r="S1258" s="4" t="n"/>
    </row>
    <row r="1259">
      <c r="A1259" s="74" t="n"/>
      <c r="B1259" s="72" t="n"/>
      <c r="K1259" s="4" t="n"/>
      <c r="O1259" s="72" t="n"/>
      <c r="S1259" s="4" t="n"/>
    </row>
    <row r="1260">
      <c r="A1260" s="74" t="n"/>
      <c r="B1260" s="72" t="n"/>
      <c r="K1260" s="4" t="n"/>
      <c r="O1260" s="72" t="n"/>
      <c r="S1260" s="4" t="n"/>
    </row>
    <row r="1261">
      <c r="A1261" s="74" t="n"/>
      <c r="B1261" s="72" t="n"/>
      <c r="K1261" s="4" t="n"/>
      <c r="O1261" s="72" t="n"/>
      <c r="S1261" s="4" t="n"/>
    </row>
    <row r="1262">
      <c r="A1262" s="74" t="n"/>
      <c r="B1262" s="72" t="n"/>
      <c r="K1262" s="4" t="n"/>
      <c r="O1262" s="72" t="n"/>
      <c r="S1262" s="4" t="n"/>
    </row>
    <row r="1263">
      <c r="A1263" s="74" t="n"/>
      <c r="B1263" s="72" t="n"/>
      <c r="K1263" s="4" t="n"/>
      <c r="O1263" s="72" t="n"/>
      <c r="S1263" s="4" t="n"/>
    </row>
    <row r="1264">
      <c r="A1264" s="74" t="n"/>
      <c r="B1264" s="72" t="n"/>
      <c r="K1264" s="4" t="n"/>
      <c r="O1264" s="72" t="n"/>
      <c r="S1264" s="4" t="n"/>
    </row>
    <row r="1265">
      <c r="A1265" s="74" t="n"/>
      <c r="B1265" s="72" t="n"/>
      <c r="K1265" s="4" t="n"/>
      <c r="O1265" s="72" t="n"/>
      <c r="S1265" s="4" t="n"/>
    </row>
    <row r="1266">
      <c r="A1266" s="74" t="n"/>
      <c r="B1266" s="72" t="n"/>
      <c r="K1266" s="4" t="n"/>
      <c r="O1266" s="72" t="n"/>
      <c r="S1266" s="4" t="n"/>
    </row>
    <row r="1267">
      <c r="A1267" s="74" t="n"/>
      <c r="B1267" s="72" t="n"/>
      <c r="K1267" s="4" t="n"/>
      <c r="O1267" s="72" t="n"/>
      <c r="S1267" s="4" t="n"/>
    </row>
    <row r="1268">
      <c r="A1268" s="74" t="n"/>
      <c r="B1268" s="72" t="n"/>
      <c r="K1268" s="4" t="n"/>
      <c r="O1268" s="72" t="n"/>
      <c r="S1268" s="4" t="n"/>
    </row>
    <row r="1269">
      <c r="A1269" s="74" t="n"/>
      <c r="B1269" s="72" t="n"/>
      <c r="K1269" s="4" t="n"/>
      <c r="O1269" s="72" t="n"/>
      <c r="S1269" s="4" t="n"/>
    </row>
    <row r="1270">
      <c r="A1270" s="74" t="n"/>
      <c r="B1270" s="72" t="n"/>
      <c r="K1270" s="4" t="n"/>
      <c r="O1270" s="72" t="n"/>
      <c r="S1270" s="4" t="n"/>
    </row>
    <row r="1271">
      <c r="A1271" s="74" t="n"/>
      <c r="B1271" s="72" t="n"/>
      <c r="K1271" s="4" t="n"/>
      <c r="O1271" s="72" t="n"/>
      <c r="S1271" s="4" t="n"/>
    </row>
    <row r="1272">
      <c r="A1272" s="74" t="n"/>
      <c r="B1272" s="72" t="n"/>
      <c r="K1272" s="4" t="n"/>
      <c r="O1272" s="72" t="n"/>
      <c r="S1272" s="4" t="n"/>
    </row>
    <row r="1273">
      <c r="A1273" s="74" t="n"/>
      <c r="B1273" s="72" t="n"/>
      <c r="K1273" s="4" t="n"/>
      <c r="O1273" s="72" t="n"/>
      <c r="S1273" s="4" t="n"/>
    </row>
    <row r="1274">
      <c r="A1274" s="74" t="n"/>
      <c r="B1274" s="72" t="n"/>
      <c r="K1274" s="4" t="n"/>
      <c r="O1274" s="72" t="n"/>
      <c r="S1274" s="4" t="n"/>
    </row>
    <row r="1275">
      <c r="A1275" s="74" t="n"/>
      <c r="B1275" s="72" t="n"/>
      <c r="K1275" s="4" t="n"/>
      <c r="O1275" s="72" t="n"/>
      <c r="S1275" s="4" t="n"/>
    </row>
    <row r="1276">
      <c r="A1276" s="74" t="n"/>
      <c r="B1276" s="72" t="n"/>
      <c r="K1276" s="4" t="n"/>
      <c r="O1276" s="72" t="n"/>
      <c r="S1276" s="4" t="n"/>
    </row>
    <row r="1277">
      <c r="A1277" s="74" t="n"/>
      <c r="B1277" s="72" t="n"/>
      <c r="K1277" s="4" t="n"/>
      <c r="O1277" s="72" t="n"/>
      <c r="S1277" s="4" t="n"/>
    </row>
    <row r="1278">
      <c r="A1278" s="74" t="n"/>
      <c r="B1278" s="72" t="n"/>
      <c r="K1278" s="4" t="n"/>
      <c r="O1278" s="72" t="n"/>
      <c r="S1278" s="4" t="n"/>
    </row>
    <row r="1279">
      <c r="A1279" s="74" t="n"/>
      <c r="B1279" s="72" t="n"/>
      <c r="K1279" s="4" t="n"/>
      <c r="O1279" s="72" t="n"/>
      <c r="S1279" s="4" t="n"/>
    </row>
    <row r="1280">
      <c r="A1280" s="74" t="n"/>
      <c r="B1280" s="72" t="n"/>
      <c r="K1280" s="4" t="n"/>
      <c r="O1280" s="72" t="n"/>
      <c r="S1280" s="4" t="n"/>
    </row>
    <row r="1281">
      <c r="A1281" s="74" t="n"/>
      <c r="B1281" s="72" t="n"/>
      <c r="K1281" s="4" t="n"/>
      <c r="O1281" s="72" t="n"/>
      <c r="S1281" s="4" t="n"/>
    </row>
    <row r="1282">
      <c r="A1282" s="74" t="n"/>
      <c r="B1282" s="72" t="n"/>
      <c r="K1282" s="4" t="n"/>
      <c r="O1282" s="72" t="n"/>
      <c r="S1282" s="4" t="n"/>
    </row>
    <row r="1283">
      <c r="A1283" s="74" t="n"/>
      <c r="B1283" s="72" t="n"/>
      <c r="K1283" s="4" t="n"/>
      <c r="O1283" s="72" t="n"/>
      <c r="S1283" s="4" t="n"/>
    </row>
    <row r="1284">
      <c r="A1284" s="74" t="n"/>
      <c r="B1284" s="72" t="n"/>
      <c r="K1284" s="4" t="n"/>
      <c r="O1284" s="72" t="n"/>
      <c r="S1284" s="4" t="n"/>
    </row>
    <row r="1285">
      <c r="A1285" s="74" t="n"/>
      <c r="B1285" s="72" t="n"/>
      <c r="K1285" s="4" t="n"/>
      <c r="O1285" s="72" t="n"/>
      <c r="S1285" s="4" t="n"/>
    </row>
    <row r="1286">
      <c r="A1286" s="74" t="n"/>
      <c r="B1286" s="72" t="n"/>
      <c r="K1286" s="4" t="n"/>
      <c r="O1286" s="72" t="n"/>
      <c r="S1286" s="4" t="n"/>
    </row>
    <row r="1287">
      <c r="A1287" s="74" t="n"/>
      <c r="B1287" s="72" t="n"/>
      <c r="K1287" s="4" t="n"/>
      <c r="O1287" s="72" t="n"/>
      <c r="S1287" s="4" t="n"/>
    </row>
    <row r="1288">
      <c r="A1288" s="74" t="n"/>
      <c r="B1288" s="72" t="n"/>
      <c r="K1288" s="4" t="n"/>
      <c r="O1288" s="72" t="n"/>
      <c r="S1288" s="4" t="n"/>
    </row>
    <row r="1289">
      <c r="A1289" s="74" t="n"/>
      <c r="B1289" s="72" t="n"/>
      <c r="K1289" s="4" t="n"/>
      <c r="O1289" s="72" t="n"/>
      <c r="S1289" s="4" t="n"/>
    </row>
    <row r="1290">
      <c r="A1290" s="74" t="n"/>
      <c r="B1290" s="72" t="n"/>
      <c r="K1290" s="4" t="n"/>
      <c r="O1290" s="72" t="n"/>
      <c r="S1290" s="4" t="n"/>
    </row>
    <row r="1291">
      <c r="A1291" s="74" t="n"/>
      <c r="B1291" s="72" t="n"/>
      <c r="K1291" s="4" t="n"/>
      <c r="O1291" s="72" t="n"/>
      <c r="S1291" s="4" t="n"/>
    </row>
    <row r="1292">
      <c r="A1292" s="74" t="n"/>
      <c r="B1292" s="72" t="n"/>
      <c r="K1292" s="4" t="n"/>
      <c r="O1292" s="72" t="n"/>
      <c r="S1292" s="4" t="n"/>
    </row>
    <row r="1293">
      <c r="A1293" s="74" t="n"/>
      <c r="B1293" s="72" t="n"/>
      <c r="K1293" s="4" t="n"/>
      <c r="O1293" s="72" t="n"/>
      <c r="S1293" s="4" t="n"/>
    </row>
    <row r="1294">
      <c r="A1294" s="74" t="n"/>
      <c r="B1294" s="72" t="n"/>
      <c r="K1294" s="4" t="n"/>
      <c r="O1294" s="72" t="n"/>
      <c r="S1294" s="4" t="n"/>
    </row>
    <row r="1295">
      <c r="A1295" s="74" t="n"/>
      <c r="B1295" s="72" t="n"/>
      <c r="K1295" s="4" t="n"/>
      <c r="O1295" s="72" t="n"/>
      <c r="S1295" s="4" t="n"/>
    </row>
    <row r="1296">
      <c r="A1296" s="74" t="n"/>
      <c r="B1296" s="72" t="n"/>
      <c r="K1296" s="4" t="n"/>
      <c r="O1296" s="72" t="n"/>
      <c r="S1296" s="4" t="n"/>
    </row>
    <row r="1297">
      <c r="A1297" s="74" t="n"/>
      <c r="B1297" s="72" t="n"/>
      <c r="K1297" s="4" t="n"/>
      <c r="O1297" s="72" t="n"/>
      <c r="S1297" s="4" t="n"/>
    </row>
    <row r="1298">
      <c r="A1298" s="74" t="n"/>
      <c r="B1298" s="72" t="n"/>
      <c r="K1298" s="4" t="n"/>
      <c r="O1298" s="72" t="n"/>
      <c r="S1298" s="4" t="n"/>
    </row>
    <row r="1299">
      <c r="A1299" s="74" t="n"/>
      <c r="B1299" s="72" t="n"/>
      <c r="K1299" s="4" t="n"/>
      <c r="O1299" s="72" t="n"/>
      <c r="S1299" s="4" t="n"/>
    </row>
    <row r="1300">
      <c r="A1300" s="74" t="n"/>
      <c r="B1300" s="72" t="n"/>
      <c r="K1300" s="4" t="n"/>
      <c r="O1300" s="72" t="n"/>
      <c r="S1300" s="4" t="n"/>
    </row>
    <row r="1301">
      <c r="A1301" s="74" t="n"/>
      <c r="B1301" s="72" t="n"/>
      <c r="K1301" s="4" t="n"/>
      <c r="O1301" s="72" t="n"/>
      <c r="S1301" s="4" t="n"/>
    </row>
    <row r="1302">
      <c r="A1302" s="74" t="n"/>
      <c r="B1302" s="72" t="n"/>
      <c r="K1302" s="4" t="n"/>
      <c r="O1302" s="72" t="n"/>
      <c r="S1302" s="4" t="n"/>
    </row>
    <row r="1303">
      <c r="A1303" s="74" t="n"/>
      <c r="B1303" s="72" t="n"/>
      <c r="K1303" s="4" t="n"/>
      <c r="O1303" s="72" t="n"/>
      <c r="S1303" s="4" t="n"/>
    </row>
    <row r="1304">
      <c r="A1304" s="74" t="n"/>
      <c r="B1304" s="72" t="n"/>
      <c r="K1304" s="4" t="n"/>
      <c r="O1304" s="72" t="n"/>
      <c r="S1304" s="4" t="n"/>
    </row>
    <row r="1305">
      <c r="A1305" s="74" t="n"/>
      <c r="B1305" s="72" t="n"/>
      <c r="K1305" s="4" t="n"/>
      <c r="O1305" s="72" t="n"/>
      <c r="S1305" s="4" t="n"/>
    </row>
    <row r="1306">
      <c r="A1306" s="74" t="n"/>
      <c r="B1306" s="72" t="n"/>
      <c r="K1306" s="4" t="n"/>
      <c r="O1306" s="72" t="n"/>
      <c r="S1306" s="4" t="n"/>
    </row>
    <row r="1307">
      <c r="A1307" s="74" t="n"/>
      <c r="B1307" s="72" t="n"/>
      <c r="K1307" s="4" t="n"/>
      <c r="O1307" s="72" t="n"/>
      <c r="S1307" s="4" t="n"/>
    </row>
    <row r="1308">
      <c r="A1308" s="74" t="n"/>
      <c r="B1308" s="72" t="n"/>
      <c r="K1308" s="4" t="n"/>
      <c r="O1308" s="72" t="n"/>
      <c r="S1308" s="4" t="n"/>
    </row>
    <row r="1309">
      <c r="A1309" s="74" t="n"/>
      <c r="B1309" s="72" t="n"/>
      <c r="K1309" s="4" t="n"/>
      <c r="O1309" s="72" t="n"/>
      <c r="S1309" s="4" t="n"/>
    </row>
    <row r="1310">
      <c r="A1310" s="74" t="n"/>
      <c r="B1310" s="72" t="n"/>
      <c r="K1310" s="4" t="n"/>
      <c r="O1310" s="72" t="n"/>
      <c r="S1310" s="4" t="n"/>
    </row>
    <row r="1311">
      <c r="A1311" s="74" t="n"/>
      <c r="B1311" s="72" t="n"/>
      <c r="K1311" s="4" t="n"/>
      <c r="O1311" s="72" t="n"/>
      <c r="S1311" s="4" t="n"/>
    </row>
    <row r="1312">
      <c r="A1312" s="74" t="n"/>
      <c r="B1312" s="72" t="n"/>
      <c r="K1312" s="4" t="n"/>
      <c r="O1312" s="72" t="n"/>
      <c r="S1312" s="4" t="n"/>
    </row>
    <row r="1313">
      <c r="A1313" s="74" t="n"/>
      <c r="B1313" s="72" t="n"/>
      <c r="K1313" s="4" t="n"/>
      <c r="O1313" s="72" t="n"/>
      <c r="S1313" s="4" t="n"/>
    </row>
    <row r="1314">
      <c r="A1314" s="74" t="n"/>
      <c r="B1314" s="72" t="n"/>
      <c r="K1314" s="4" t="n"/>
      <c r="O1314" s="72" t="n"/>
      <c r="S1314" s="4" t="n"/>
    </row>
    <row r="1315">
      <c r="A1315" s="74" t="n"/>
      <c r="B1315" s="72" t="n"/>
      <c r="K1315" s="4" t="n"/>
      <c r="O1315" s="72" t="n"/>
      <c r="S1315" s="4" t="n"/>
    </row>
    <row r="1316">
      <c r="A1316" s="74" t="n"/>
      <c r="B1316" s="72" t="n"/>
      <c r="K1316" s="4" t="n"/>
      <c r="O1316" s="72" t="n"/>
      <c r="S1316" s="4" t="n"/>
    </row>
    <row r="1317">
      <c r="A1317" s="74" t="n"/>
      <c r="B1317" s="72" t="n"/>
      <c r="K1317" s="4" t="n"/>
      <c r="O1317" s="72" t="n"/>
      <c r="S1317" s="4" t="n"/>
    </row>
    <row r="1318">
      <c r="A1318" s="74" t="n"/>
      <c r="B1318" s="72" t="n"/>
      <c r="K1318" s="4" t="n"/>
      <c r="O1318" s="72" t="n"/>
      <c r="S1318" s="4" t="n"/>
    </row>
    <row r="1319">
      <c r="A1319" s="74" t="n"/>
      <c r="B1319" s="72" t="n"/>
      <c r="K1319" s="4" t="n"/>
      <c r="O1319" s="72" t="n"/>
      <c r="S1319" s="4" t="n"/>
    </row>
    <row r="1320">
      <c r="A1320" s="74" t="n"/>
      <c r="B1320" s="72" t="n"/>
      <c r="K1320" s="4" t="n"/>
      <c r="O1320" s="72" t="n"/>
      <c r="S1320" s="4" t="n"/>
    </row>
    <row r="1321">
      <c r="A1321" s="74" t="n"/>
      <c r="B1321" s="72" t="n"/>
      <c r="K1321" s="4" t="n"/>
      <c r="O1321" s="72" t="n"/>
      <c r="S1321" s="4" t="n"/>
    </row>
    <row r="1322">
      <c r="A1322" s="74" t="n"/>
      <c r="B1322" s="72" t="n"/>
      <c r="K1322" s="4" t="n"/>
      <c r="O1322" s="72" t="n"/>
      <c r="S1322" s="4" t="n"/>
    </row>
    <row r="1323">
      <c r="A1323" s="74" t="n"/>
      <c r="B1323" s="72" t="n"/>
      <c r="K1323" s="4" t="n"/>
      <c r="O1323" s="72" t="n"/>
      <c r="S1323" s="4" t="n"/>
    </row>
    <row r="1324">
      <c r="A1324" s="74" t="n"/>
      <c r="B1324" s="72" t="n"/>
      <c r="K1324" s="4" t="n"/>
      <c r="O1324" s="72" t="n"/>
      <c r="S1324" s="4" t="n"/>
    </row>
    <row r="1325">
      <c r="A1325" s="74" t="n"/>
      <c r="B1325" s="72" t="n"/>
      <c r="K1325" s="4" t="n"/>
      <c r="O1325" s="72" t="n"/>
      <c r="S1325" s="4" t="n"/>
    </row>
    <row r="1326">
      <c r="A1326" s="74" t="n"/>
      <c r="B1326" s="72" t="n"/>
      <c r="K1326" s="4" t="n"/>
      <c r="O1326" s="72" t="n"/>
      <c r="S1326" s="4" t="n"/>
    </row>
    <row r="1327">
      <c r="A1327" s="74" t="n"/>
      <c r="B1327" s="72" t="n"/>
      <c r="K1327" s="4" t="n"/>
      <c r="O1327" s="72" t="n"/>
      <c r="S1327" s="4" t="n"/>
    </row>
    <row r="1328">
      <c r="A1328" s="74" t="n"/>
      <c r="B1328" s="72" t="n"/>
      <c r="K1328" s="4" t="n"/>
      <c r="O1328" s="72" t="n"/>
      <c r="S1328" s="4" t="n"/>
    </row>
    <row r="1329">
      <c r="A1329" s="74" t="n"/>
      <c r="B1329" s="72" t="n"/>
      <c r="K1329" s="4" t="n"/>
      <c r="O1329" s="72" t="n"/>
      <c r="S1329" s="4" t="n"/>
    </row>
    <row r="1330">
      <c r="A1330" s="74" t="n"/>
      <c r="B1330" s="72" t="n"/>
      <c r="K1330" s="4" t="n"/>
      <c r="O1330" s="72" t="n"/>
      <c r="S1330" s="4" t="n"/>
    </row>
    <row r="1331">
      <c r="A1331" s="74" t="n"/>
      <c r="B1331" s="72" t="n"/>
      <c r="K1331" s="4" t="n"/>
      <c r="O1331" s="72" t="n"/>
      <c r="S1331" s="4" t="n"/>
    </row>
    <row r="1332">
      <c r="A1332" s="74" t="n"/>
      <c r="B1332" s="72" t="n"/>
      <c r="K1332" s="4" t="n"/>
      <c r="O1332" s="72" t="n"/>
      <c r="S1332" s="4" t="n"/>
    </row>
    <row r="1333">
      <c r="A1333" s="74" t="n"/>
      <c r="B1333" s="72" t="n"/>
      <c r="K1333" s="4" t="n"/>
      <c r="O1333" s="72" t="n"/>
      <c r="S1333" s="4" t="n"/>
    </row>
    <row r="1334">
      <c r="A1334" s="74" t="n"/>
      <c r="B1334" s="72" t="n"/>
      <c r="K1334" s="4" t="n"/>
      <c r="O1334" s="72" t="n"/>
      <c r="S1334" s="4" t="n"/>
    </row>
    <row r="1335">
      <c r="A1335" s="74" t="n"/>
      <c r="B1335" s="72" t="n"/>
      <c r="K1335" s="4" t="n"/>
      <c r="O1335" s="72" t="n"/>
      <c r="S1335" s="4" t="n"/>
    </row>
    <row r="1336">
      <c r="A1336" s="74" t="n"/>
      <c r="B1336" s="72" t="n"/>
      <c r="K1336" s="4" t="n"/>
      <c r="O1336" s="72" t="n"/>
      <c r="S1336" s="4" t="n"/>
    </row>
    <row r="1337">
      <c r="A1337" s="74" t="n"/>
      <c r="B1337" s="72" t="n"/>
      <c r="K1337" s="4" t="n"/>
      <c r="O1337" s="72" t="n"/>
      <c r="S1337" s="4" t="n"/>
    </row>
    <row r="1338">
      <c r="A1338" s="74" t="n"/>
      <c r="B1338" s="72" t="n"/>
      <c r="K1338" s="4" t="n"/>
      <c r="O1338" s="72" t="n"/>
      <c r="S1338" s="4" t="n"/>
    </row>
    <row r="1339">
      <c r="A1339" s="74" t="n"/>
      <c r="B1339" s="72" t="n"/>
      <c r="K1339" s="4" t="n"/>
      <c r="O1339" s="72" t="n"/>
      <c r="S1339" s="4" t="n"/>
    </row>
    <row r="1340">
      <c r="A1340" s="74" t="n"/>
      <c r="B1340" s="72" t="n"/>
      <c r="K1340" s="4" t="n"/>
      <c r="O1340" s="72" t="n"/>
      <c r="S1340" s="4" t="n"/>
    </row>
    <row r="1341">
      <c r="A1341" s="74" t="n"/>
      <c r="B1341" s="72" t="n"/>
      <c r="K1341" s="4" t="n"/>
      <c r="O1341" s="72" t="n"/>
      <c r="S1341" s="4" t="n"/>
    </row>
    <row r="1342">
      <c r="A1342" s="74" t="n"/>
      <c r="B1342" s="72" t="n"/>
      <c r="K1342" s="4" t="n"/>
      <c r="O1342" s="72" t="n"/>
      <c r="S1342" s="4" t="n"/>
    </row>
    <row r="1343">
      <c r="A1343" s="74" t="n"/>
      <c r="B1343" s="72" t="n"/>
      <c r="K1343" s="4" t="n"/>
      <c r="O1343" s="72" t="n"/>
      <c r="S1343" s="4" t="n"/>
    </row>
    <row r="1344">
      <c r="A1344" s="74" t="n"/>
      <c r="B1344" s="72" t="n"/>
      <c r="K1344" s="4" t="n"/>
      <c r="O1344" s="72" t="n"/>
      <c r="S1344" s="4" t="n"/>
    </row>
    <row r="1345">
      <c r="A1345" s="74" t="n"/>
      <c r="B1345" s="72" t="n"/>
      <c r="K1345" s="4" t="n"/>
      <c r="O1345" s="72" t="n"/>
      <c r="S1345" s="4" t="n"/>
    </row>
    <row r="1346">
      <c r="A1346" s="74" t="n"/>
      <c r="B1346" s="72" t="n"/>
      <c r="K1346" s="4" t="n"/>
      <c r="O1346" s="72" t="n"/>
      <c r="S1346" s="4" t="n"/>
    </row>
    <row r="1347">
      <c r="A1347" s="74" t="n"/>
      <c r="B1347" s="72" t="n"/>
      <c r="K1347" s="4" t="n"/>
      <c r="O1347" s="72" t="n"/>
      <c r="S1347" s="4" t="n"/>
    </row>
    <row r="1348">
      <c r="A1348" s="74" t="n"/>
      <c r="B1348" s="72" t="n"/>
      <c r="K1348" s="4" t="n"/>
      <c r="O1348" s="72" t="n"/>
      <c r="S1348" s="4" t="n"/>
    </row>
    <row r="1349">
      <c r="A1349" s="74" t="n"/>
      <c r="B1349" s="72" t="n"/>
      <c r="K1349" s="4" t="n"/>
      <c r="O1349" s="72" t="n"/>
      <c r="S1349" s="4" t="n"/>
    </row>
    <row r="1350">
      <c r="A1350" s="74" t="n"/>
      <c r="B1350" s="72" t="n"/>
      <c r="K1350" s="4" t="n"/>
      <c r="O1350" s="72" t="n"/>
      <c r="S1350" s="4" t="n"/>
    </row>
    <row r="1351">
      <c r="A1351" s="74" t="n"/>
      <c r="B1351" s="72" t="n"/>
      <c r="K1351" s="4" t="n"/>
      <c r="O1351" s="72" t="n"/>
      <c r="S1351" s="4" t="n"/>
    </row>
    <row r="1352">
      <c r="A1352" s="74" t="n"/>
      <c r="B1352" s="72" t="n"/>
      <c r="K1352" s="4" t="n"/>
      <c r="O1352" s="72" t="n"/>
      <c r="S1352" s="4" t="n"/>
    </row>
    <row r="1353">
      <c r="A1353" s="74" t="n"/>
      <c r="B1353" s="72" t="n"/>
      <c r="K1353" s="4" t="n"/>
      <c r="O1353" s="72" t="n"/>
      <c r="S1353" s="4" t="n"/>
    </row>
    <row r="1354">
      <c r="A1354" s="74" t="n"/>
      <c r="B1354" s="72" t="n"/>
      <c r="K1354" s="4" t="n"/>
      <c r="O1354" s="72" t="n"/>
      <c r="S1354" s="4" t="n"/>
    </row>
    <row r="1355">
      <c r="A1355" s="74" t="n"/>
      <c r="B1355" s="72" t="n"/>
      <c r="K1355" s="4" t="n"/>
      <c r="O1355" s="72" t="n"/>
      <c r="S1355" s="4" t="n"/>
    </row>
    <row r="1356">
      <c r="A1356" s="74" t="n"/>
      <c r="B1356" s="72" t="n"/>
      <c r="K1356" s="4" t="n"/>
      <c r="O1356" s="72" t="n"/>
      <c r="S1356" s="4" t="n"/>
    </row>
    <row r="1357">
      <c r="A1357" s="74" t="n"/>
      <c r="B1357" s="72" t="n"/>
      <c r="K1357" s="4" t="n"/>
      <c r="O1357" s="72" t="n"/>
      <c r="S1357" s="4" t="n"/>
    </row>
    <row r="1358">
      <c r="A1358" s="74" t="n"/>
      <c r="B1358" s="72" t="n"/>
      <c r="K1358" s="4" t="n"/>
      <c r="O1358" s="72" t="n"/>
      <c r="S1358" s="4" t="n"/>
    </row>
    <row r="1359">
      <c r="A1359" s="74" t="n"/>
      <c r="B1359" s="72" t="n"/>
      <c r="K1359" s="4" t="n"/>
      <c r="O1359" s="72" t="n"/>
      <c r="S1359" s="4" t="n"/>
    </row>
    <row r="1360">
      <c r="A1360" s="74" t="n"/>
      <c r="B1360" s="72" t="n"/>
      <c r="K1360" s="4" t="n"/>
      <c r="O1360" s="72" t="n"/>
      <c r="S1360" s="4" t="n"/>
    </row>
    <row r="1361">
      <c r="A1361" s="74" t="n"/>
      <c r="B1361" s="72" t="n"/>
      <c r="K1361" s="4" t="n"/>
      <c r="O1361" s="72" t="n"/>
      <c r="S1361" s="4" t="n"/>
    </row>
    <row r="1362">
      <c r="A1362" s="74" t="n"/>
      <c r="B1362" s="72" t="n"/>
      <c r="K1362" s="4" t="n"/>
      <c r="O1362" s="72" t="n"/>
      <c r="S1362" s="4" t="n"/>
    </row>
    <row r="1363">
      <c r="A1363" s="74" t="n"/>
      <c r="B1363" s="72" t="n"/>
      <c r="K1363" s="4" t="n"/>
      <c r="O1363" s="72" t="n"/>
      <c r="S1363" s="4" t="n"/>
    </row>
    <row r="1364">
      <c r="A1364" s="74" t="n"/>
      <c r="B1364" s="72" t="n"/>
      <c r="K1364" s="4" t="n"/>
      <c r="O1364" s="72" t="n"/>
      <c r="S1364" s="4" t="n"/>
    </row>
    <row r="1365">
      <c r="A1365" s="74" t="n"/>
      <c r="B1365" s="72" t="n"/>
      <c r="K1365" s="4" t="n"/>
      <c r="O1365" s="72" t="n"/>
      <c r="S1365" s="4" t="n"/>
    </row>
    <row r="1366">
      <c r="A1366" s="74" t="n"/>
      <c r="B1366" s="72" t="n"/>
      <c r="K1366" s="4" t="n"/>
      <c r="O1366" s="72" t="n"/>
      <c r="S1366" s="4" t="n"/>
    </row>
    <row r="1367">
      <c r="A1367" s="74" t="n"/>
      <c r="B1367" s="72" t="n"/>
      <c r="K1367" s="4" t="n"/>
      <c r="O1367" s="72" t="n"/>
      <c r="S1367" s="4" t="n"/>
    </row>
    <row r="1368">
      <c r="A1368" s="74" t="n"/>
      <c r="B1368" s="72" t="n"/>
      <c r="K1368" s="4" t="n"/>
      <c r="O1368" s="72" t="n"/>
      <c r="S1368" s="4" t="n"/>
    </row>
    <row r="1369">
      <c r="A1369" s="74" t="n"/>
      <c r="B1369" s="72" t="n"/>
      <c r="K1369" s="4" t="n"/>
      <c r="O1369" s="72" t="n"/>
      <c r="S1369" s="4" t="n"/>
    </row>
    <row r="1370">
      <c r="A1370" s="74" t="n"/>
      <c r="B1370" s="72" t="n"/>
      <c r="K1370" s="4" t="n"/>
      <c r="O1370" s="72" t="n"/>
      <c r="S1370" s="4" t="n"/>
    </row>
    <row r="1371">
      <c r="A1371" s="74" t="n"/>
      <c r="B1371" s="72" t="n"/>
      <c r="K1371" s="4" t="n"/>
      <c r="O1371" s="72" t="n"/>
      <c r="S1371" s="4" t="n"/>
    </row>
    <row r="1372">
      <c r="A1372" s="74" t="n"/>
      <c r="B1372" s="72" t="n"/>
      <c r="K1372" s="4" t="n"/>
      <c r="O1372" s="72" t="n"/>
      <c r="S1372" s="4" t="n"/>
    </row>
    <row r="1373">
      <c r="A1373" s="74" t="n"/>
      <c r="B1373" s="72" t="n"/>
      <c r="K1373" s="4" t="n"/>
      <c r="O1373" s="72" t="n"/>
      <c r="S1373" s="4" t="n"/>
    </row>
    <row r="1374">
      <c r="A1374" s="74" t="n"/>
      <c r="B1374" s="72" t="n"/>
      <c r="K1374" s="4" t="n"/>
      <c r="O1374" s="72" t="n"/>
      <c r="S1374" s="4" t="n"/>
    </row>
    <row r="1375">
      <c r="A1375" s="74" t="n"/>
      <c r="B1375" s="72" t="n"/>
      <c r="K1375" s="4" t="n"/>
      <c r="O1375" s="72" t="n"/>
      <c r="S1375" s="4" t="n"/>
    </row>
    <row r="1376">
      <c r="A1376" s="74" t="n"/>
      <c r="B1376" s="72" t="n"/>
      <c r="K1376" s="4" t="n"/>
      <c r="O1376" s="72" t="n"/>
      <c r="S1376" s="4" t="n"/>
    </row>
    <row r="1377">
      <c r="A1377" s="74" t="n"/>
      <c r="B1377" s="72" t="n"/>
      <c r="K1377" s="4" t="n"/>
      <c r="O1377" s="72" t="n"/>
      <c r="S1377" s="4" t="n"/>
    </row>
    <row r="1378">
      <c r="A1378" s="74" t="n"/>
      <c r="B1378" s="72" t="n"/>
      <c r="K1378" s="4" t="n"/>
      <c r="O1378" s="72" t="n"/>
      <c r="S1378" s="4" t="n"/>
    </row>
    <row r="1379">
      <c r="A1379" s="74" t="n"/>
      <c r="B1379" s="72" t="n"/>
      <c r="K1379" s="4" t="n"/>
      <c r="O1379" s="72" t="n"/>
      <c r="S1379" s="4" t="n"/>
    </row>
    <row r="1380">
      <c r="A1380" s="74" t="n"/>
      <c r="B1380" s="72" t="n"/>
      <c r="K1380" s="4" t="n"/>
      <c r="O1380" s="72" t="n"/>
      <c r="S1380" s="4" t="n"/>
    </row>
    <row r="1381">
      <c r="A1381" s="74" t="n"/>
      <c r="B1381" s="72" t="n"/>
      <c r="K1381" s="4" t="n"/>
      <c r="O1381" s="72" t="n"/>
      <c r="S1381" s="4" t="n"/>
    </row>
    <row r="1382">
      <c r="A1382" s="74" t="n"/>
      <c r="B1382" s="72" t="n"/>
      <c r="K1382" s="4" t="n"/>
      <c r="O1382" s="72" t="n"/>
      <c r="S1382" s="4" t="n"/>
    </row>
    <row r="1383">
      <c r="A1383" s="74" t="n"/>
      <c r="B1383" s="72" t="n"/>
      <c r="K1383" s="4" t="n"/>
      <c r="O1383" s="72" t="n"/>
      <c r="S1383" s="4" t="n"/>
    </row>
    <row r="1384">
      <c r="A1384" s="74" t="n"/>
      <c r="B1384" s="72" t="n"/>
      <c r="K1384" s="4" t="n"/>
      <c r="O1384" s="72" t="n"/>
      <c r="S1384" s="4" t="n"/>
    </row>
    <row r="1385">
      <c r="A1385" s="74" t="n"/>
      <c r="B1385" s="72" t="n"/>
      <c r="K1385" s="4" t="n"/>
      <c r="O1385" s="72" t="n"/>
      <c r="S1385" s="4" t="n"/>
    </row>
    <row r="1386">
      <c r="A1386" s="74" t="n"/>
      <c r="B1386" s="72" t="n"/>
      <c r="K1386" s="4" t="n"/>
      <c r="O1386" s="72" t="n"/>
      <c r="S1386" s="4" t="n"/>
    </row>
    <row r="1387">
      <c r="A1387" s="74" t="n"/>
      <c r="B1387" s="72" t="n"/>
      <c r="K1387" s="4" t="n"/>
      <c r="O1387" s="72" t="n"/>
      <c r="S1387" s="4" t="n"/>
    </row>
    <row r="1388">
      <c r="A1388" s="74" t="n"/>
      <c r="B1388" s="72" t="n"/>
      <c r="K1388" s="4" t="n"/>
      <c r="O1388" s="72" t="n"/>
      <c r="S1388" s="4" t="n"/>
    </row>
    <row r="1389">
      <c r="A1389" s="74" t="n"/>
      <c r="B1389" s="72" t="n"/>
      <c r="K1389" s="4" t="n"/>
      <c r="O1389" s="72" t="n"/>
      <c r="S1389" s="4" t="n"/>
    </row>
    <row r="1390">
      <c r="A1390" s="74" t="n"/>
      <c r="B1390" s="72" t="n"/>
      <c r="K1390" s="4" t="n"/>
      <c r="O1390" s="72" t="n"/>
      <c r="S1390" s="4" t="n"/>
    </row>
    <row r="1391">
      <c r="A1391" s="74" t="n"/>
      <c r="B1391" s="72" t="n"/>
      <c r="K1391" s="4" t="n"/>
      <c r="O1391" s="72" t="n"/>
      <c r="S1391" s="4" t="n"/>
    </row>
    <row r="1392">
      <c r="A1392" s="74" t="n"/>
      <c r="B1392" s="72" t="n"/>
      <c r="K1392" s="4" t="n"/>
      <c r="O1392" s="72" t="n"/>
      <c r="S1392" s="4" t="n"/>
    </row>
    <row r="1393">
      <c r="A1393" s="74" t="n"/>
      <c r="B1393" s="72" t="n"/>
      <c r="K1393" s="4" t="n"/>
      <c r="O1393" s="72" t="n"/>
      <c r="S1393" s="4" t="n"/>
    </row>
    <row r="1394">
      <c r="A1394" s="74" t="n"/>
      <c r="B1394" s="72" t="n"/>
      <c r="K1394" s="4" t="n"/>
      <c r="O1394" s="72" t="n"/>
      <c r="S1394" s="4" t="n"/>
    </row>
    <row r="1395">
      <c r="A1395" s="74" t="n"/>
      <c r="B1395" s="72" t="n"/>
      <c r="K1395" s="4" t="n"/>
      <c r="O1395" s="72" t="n"/>
      <c r="S1395" s="4" t="n"/>
    </row>
    <row r="1396">
      <c r="A1396" s="74" t="n"/>
      <c r="B1396" s="72" t="n"/>
      <c r="K1396" s="4" t="n"/>
      <c r="O1396" s="72" t="n"/>
      <c r="S1396" s="4" t="n"/>
    </row>
    <row r="1397">
      <c r="A1397" s="74" t="n"/>
      <c r="B1397" s="72" t="n"/>
      <c r="K1397" s="4" t="n"/>
      <c r="O1397" s="72" t="n"/>
      <c r="S1397" s="4" t="n"/>
    </row>
    <row r="1398">
      <c r="A1398" s="74" t="n"/>
      <c r="B1398" s="72" t="n"/>
      <c r="K1398" s="4" t="n"/>
      <c r="O1398" s="72" t="n"/>
      <c r="S1398" s="4" t="n"/>
    </row>
    <row r="1399">
      <c r="A1399" s="74" t="n"/>
      <c r="B1399" s="72" t="n"/>
      <c r="K1399" s="4" t="n"/>
      <c r="O1399" s="72" t="n"/>
      <c r="S1399" s="4" t="n"/>
    </row>
    <row r="1400">
      <c r="A1400" s="74" t="n"/>
      <c r="B1400" s="72" t="n"/>
      <c r="K1400" s="4" t="n"/>
      <c r="O1400" s="72" t="n"/>
      <c r="S1400" s="4" t="n"/>
    </row>
    <row r="1401">
      <c r="A1401" s="74" t="n"/>
      <c r="B1401" s="72" t="n"/>
      <c r="K1401" s="4" t="n"/>
      <c r="O1401" s="72" t="n"/>
      <c r="S1401" s="4" t="n"/>
    </row>
    <row r="1402">
      <c r="A1402" s="74" t="n"/>
      <c r="B1402" s="72" t="n"/>
      <c r="K1402" s="4" t="n"/>
      <c r="O1402" s="72" t="n"/>
      <c r="S1402" s="4" t="n"/>
    </row>
    <row r="1403">
      <c r="A1403" s="74" t="n"/>
      <c r="B1403" s="72" t="n"/>
      <c r="K1403" s="4" t="n"/>
      <c r="O1403" s="72" t="n"/>
      <c r="S1403" s="4" t="n"/>
    </row>
    <row r="1404">
      <c r="A1404" s="74" t="n"/>
      <c r="B1404" s="72" t="n"/>
      <c r="K1404" s="4" t="n"/>
      <c r="O1404" s="72" t="n"/>
      <c r="S1404" s="4" t="n"/>
    </row>
    <row r="1405">
      <c r="A1405" s="74" t="n"/>
      <c r="B1405" s="72" t="n"/>
      <c r="K1405" s="4" t="n"/>
      <c r="O1405" s="72" t="n"/>
      <c r="S1405" s="4" t="n"/>
    </row>
    <row r="1406">
      <c r="A1406" s="74" t="n"/>
      <c r="B1406" s="72" t="n"/>
      <c r="K1406" s="4" t="n"/>
      <c r="O1406" s="72" t="n"/>
      <c r="S1406" s="4" t="n"/>
    </row>
    <row r="1407">
      <c r="A1407" s="74" t="n"/>
      <c r="B1407" s="72" t="n"/>
      <c r="K1407" s="4" t="n"/>
      <c r="O1407" s="72" t="n"/>
      <c r="S1407" s="4" t="n"/>
    </row>
    <row r="1408">
      <c r="A1408" s="74" t="n"/>
      <c r="B1408" s="72" t="n"/>
      <c r="K1408" s="4" t="n"/>
      <c r="O1408" s="72" t="n"/>
      <c r="S1408" s="4" t="n"/>
    </row>
    <row r="1409">
      <c r="A1409" s="74" t="n"/>
      <c r="B1409" s="72" t="n"/>
      <c r="K1409" s="4" t="n"/>
      <c r="O1409" s="72" t="n"/>
      <c r="S1409" s="4" t="n"/>
    </row>
    <row r="1410">
      <c r="A1410" s="74" t="n"/>
      <c r="B1410" s="72" t="n"/>
      <c r="K1410" s="4" t="n"/>
      <c r="O1410" s="72" t="n"/>
      <c r="S1410" s="4" t="n"/>
    </row>
    <row r="1411">
      <c r="A1411" s="74" t="n"/>
      <c r="B1411" s="72" t="n"/>
      <c r="K1411" s="4" t="n"/>
      <c r="O1411" s="72" t="n"/>
      <c r="S1411" s="4" t="n"/>
    </row>
    <row r="1412">
      <c r="A1412" s="74" t="n"/>
      <c r="B1412" s="72" t="n"/>
      <c r="K1412" s="4" t="n"/>
      <c r="O1412" s="72" t="n"/>
      <c r="S1412" s="4" t="n"/>
    </row>
    <row r="1413">
      <c r="A1413" s="74" t="n"/>
      <c r="B1413" s="72" t="n"/>
      <c r="K1413" s="4" t="n"/>
      <c r="O1413" s="72" t="n"/>
      <c r="S1413" s="4" t="n"/>
    </row>
    <row r="1414">
      <c r="A1414" s="74" t="n"/>
      <c r="B1414" s="72" t="n"/>
      <c r="K1414" s="4" t="n"/>
      <c r="O1414" s="72" t="n"/>
      <c r="S1414" s="4" t="n"/>
    </row>
    <row r="1415">
      <c r="A1415" s="74" t="n"/>
      <c r="B1415" s="72" t="n"/>
      <c r="K1415" s="4" t="n"/>
      <c r="O1415" s="72" t="n"/>
      <c r="S1415" s="4" t="n"/>
    </row>
    <row r="1416">
      <c r="A1416" s="74" t="n"/>
      <c r="B1416" s="72" t="n"/>
      <c r="K1416" s="4" t="n"/>
      <c r="O1416" s="72" t="n"/>
      <c r="S1416" s="4" t="n"/>
    </row>
    <row r="1417">
      <c r="A1417" s="74" t="n"/>
      <c r="B1417" s="72" t="n"/>
      <c r="K1417" s="4" t="n"/>
      <c r="O1417" s="72" t="n"/>
      <c r="S1417" s="4" t="n"/>
    </row>
    <row r="1418">
      <c r="A1418" s="74" t="n"/>
      <c r="B1418" s="72" t="n"/>
      <c r="K1418" s="4" t="n"/>
      <c r="O1418" s="72" t="n"/>
      <c r="S1418" s="4" t="n"/>
    </row>
    <row r="1419">
      <c r="A1419" s="74" t="n"/>
      <c r="B1419" s="72" t="n"/>
      <c r="K1419" s="4" t="n"/>
      <c r="O1419" s="72" t="n"/>
      <c r="S1419" s="4" t="n"/>
    </row>
    <row r="1420">
      <c r="A1420" s="74" t="n"/>
      <c r="B1420" s="72" t="n"/>
      <c r="K1420" s="4" t="n"/>
      <c r="O1420" s="72" t="n"/>
      <c r="S1420" s="4" t="n"/>
    </row>
    <row r="1421">
      <c r="A1421" s="74" t="n"/>
      <c r="B1421" s="72" t="n"/>
      <c r="K1421" s="4" t="n"/>
      <c r="O1421" s="72" t="n"/>
      <c r="S1421" s="4" t="n"/>
    </row>
    <row r="1422">
      <c r="A1422" s="74" t="n"/>
      <c r="B1422" s="72" t="n"/>
      <c r="K1422" s="4" t="n"/>
      <c r="O1422" s="72" t="n"/>
      <c r="S1422" s="4" t="n"/>
    </row>
    <row r="1423">
      <c r="A1423" s="74" t="n"/>
      <c r="B1423" s="72" t="n"/>
      <c r="K1423" s="4" t="n"/>
      <c r="O1423" s="72" t="n"/>
      <c r="S1423" s="4" t="n"/>
    </row>
    <row r="1424">
      <c r="A1424" s="74" t="n"/>
      <c r="B1424" s="72" t="n"/>
      <c r="K1424" s="4" t="n"/>
      <c r="O1424" s="72" t="n"/>
      <c r="S1424" s="4" t="n"/>
    </row>
    <row r="1425">
      <c r="A1425" s="74" t="n"/>
      <c r="B1425" s="72" t="n"/>
      <c r="K1425" s="4" t="n"/>
      <c r="O1425" s="72" t="n"/>
      <c r="S1425" s="4" t="n"/>
    </row>
    <row r="1426">
      <c r="A1426" s="74" t="n"/>
      <c r="B1426" s="72" t="n"/>
      <c r="K1426" s="4" t="n"/>
      <c r="O1426" s="72" t="n"/>
      <c r="S1426" s="4" t="n"/>
    </row>
    <row r="1427">
      <c r="A1427" s="74" t="n"/>
      <c r="B1427" s="72" t="n"/>
      <c r="K1427" s="4" t="n"/>
      <c r="O1427" s="72" t="n"/>
      <c r="S1427" s="4" t="n"/>
    </row>
    <row r="1428">
      <c r="A1428" s="74" t="n"/>
      <c r="B1428" s="72" t="n"/>
      <c r="K1428" s="4" t="n"/>
      <c r="O1428" s="72" t="n"/>
      <c r="S1428" s="4" t="n"/>
    </row>
    <row r="1429">
      <c r="A1429" s="74" t="n"/>
      <c r="B1429" s="72" t="n"/>
      <c r="K1429" s="4" t="n"/>
      <c r="O1429" s="72" t="n"/>
      <c r="S1429" s="4" t="n"/>
    </row>
    <row r="1430">
      <c r="A1430" s="74" t="n"/>
      <c r="B1430" s="72" t="n"/>
      <c r="K1430" s="4" t="n"/>
      <c r="O1430" s="72" t="n"/>
      <c r="S1430" s="4" t="n"/>
    </row>
    <row r="1431">
      <c r="A1431" s="74" t="n"/>
      <c r="B1431" s="72" t="n"/>
      <c r="K1431" s="4" t="n"/>
      <c r="O1431" s="72" t="n"/>
      <c r="S1431" s="4" t="n"/>
    </row>
    <row r="1432">
      <c r="A1432" s="74" t="n"/>
      <c r="B1432" s="72" t="n"/>
      <c r="K1432" s="4" t="n"/>
      <c r="O1432" s="72" t="n"/>
      <c r="S1432" s="4" t="n"/>
    </row>
    <row r="1433">
      <c r="A1433" s="74" t="n"/>
      <c r="B1433" s="72" t="n"/>
      <c r="K1433" s="4" t="n"/>
      <c r="O1433" s="72" t="n"/>
      <c r="S1433" s="4" t="n"/>
    </row>
    <row r="1434">
      <c r="A1434" s="74" t="n"/>
      <c r="B1434" s="72" t="n"/>
      <c r="K1434" s="4" t="n"/>
      <c r="O1434" s="72" t="n"/>
      <c r="S1434" s="4" t="n"/>
    </row>
    <row r="1435">
      <c r="A1435" s="74" t="n"/>
      <c r="B1435" s="72" t="n"/>
      <c r="K1435" s="4" t="n"/>
      <c r="O1435" s="72" t="n"/>
      <c r="S1435" s="4" t="n"/>
    </row>
    <row r="1436">
      <c r="A1436" s="74" t="n"/>
      <c r="B1436" s="72" t="n"/>
      <c r="K1436" s="4" t="n"/>
      <c r="O1436" s="72" t="n"/>
      <c r="S1436" s="4" t="n"/>
    </row>
    <row r="1437">
      <c r="A1437" s="74" t="n"/>
      <c r="B1437" s="72" t="n"/>
      <c r="K1437" s="4" t="n"/>
      <c r="O1437" s="72" t="n"/>
      <c r="S1437" s="4" t="n"/>
    </row>
    <row r="1438">
      <c r="A1438" s="74" t="n"/>
      <c r="B1438" s="72" t="n"/>
      <c r="K1438" s="4" t="n"/>
      <c r="O1438" s="72" t="n"/>
      <c r="S1438" s="4" t="n"/>
    </row>
    <row r="1439">
      <c r="A1439" s="74" t="n"/>
      <c r="B1439" s="72" t="n"/>
      <c r="K1439" s="4" t="n"/>
      <c r="O1439" s="72" t="n"/>
      <c r="S1439" s="4" t="n"/>
    </row>
    <row r="1440">
      <c r="A1440" s="74" t="n"/>
      <c r="B1440" s="72" t="n"/>
      <c r="K1440" s="4" t="n"/>
      <c r="O1440" s="72" t="n"/>
      <c r="S1440" s="4" t="n"/>
    </row>
    <row r="1441">
      <c r="A1441" s="74" t="n"/>
      <c r="B1441" s="72" t="n"/>
      <c r="K1441" s="4" t="n"/>
      <c r="O1441" s="72" t="n"/>
      <c r="S1441" s="4" t="n"/>
    </row>
    <row r="1442">
      <c r="A1442" s="74" t="n"/>
      <c r="B1442" s="72" t="n"/>
      <c r="K1442" s="4" t="n"/>
      <c r="O1442" s="72" t="n"/>
      <c r="S1442" s="4" t="n"/>
    </row>
    <row r="1443">
      <c r="A1443" s="74" t="n"/>
      <c r="B1443" s="72" t="n"/>
      <c r="K1443" s="4" t="n"/>
      <c r="O1443" s="72" t="n"/>
      <c r="S1443" s="4" t="n"/>
    </row>
    <row r="1444">
      <c r="A1444" s="74" t="n"/>
      <c r="B1444" s="72" t="n"/>
      <c r="K1444" s="4" t="n"/>
      <c r="O1444" s="72" t="n"/>
      <c r="S1444" s="4" t="n"/>
    </row>
    <row r="1445">
      <c r="A1445" s="74" t="n"/>
      <c r="B1445" s="72" t="n"/>
      <c r="K1445" s="4" t="n"/>
      <c r="O1445" s="72" t="n"/>
      <c r="S1445" s="4" t="n"/>
    </row>
    <row r="1446">
      <c r="A1446" s="74" t="n"/>
      <c r="B1446" s="72" t="n"/>
      <c r="K1446" s="4" t="n"/>
      <c r="O1446" s="72" t="n"/>
      <c r="S1446" s="4" t="n"/>
    </row>
    <row r="1447">
      <c r="A1447" s="74" t="n"/>
      <c r="B1447" s="72" t="n"/>
      <c r="K1447" s="4" t="n"/>
      <c r="O1447" s="72" t="n"/>
      <c r="S1447" s="4" t="n"/>
    </row>
    <row r="1448">
      <c r="A1448" s="74" t="n"/>
      <c r="B1448" s="72" t="n"/>
      <c r="K1448" s="4" t="n"/>
      <c r="O1448" s="72" t="n"/>
      <c r="S1448" s="4" t="n"/>
    </row>
    <row r="1449">
      <c r="A1449" s="74" t="n"/>
      <c r="B1449" s="72" t="n"/>
      <c r="K1449" s="4" t="n"/>
      <c r="O1449" s="72" t="n"/>
      <c r="S1449" s="4" t="n"/>
    </row>
    <row r="1450">
      <c r="A1450" s="74" t="n"/>
      <c r="B1450" s="72" t="n"/>
      <c r="K1450" s="4" t="n"/>
      <c r="O1450" s="72" t="n"/>
      <c r="S1450" s="4" t="n"/>
    </row>
    <row r="1451">
      <c r="A1451" s="74" t="n"/>
      <c r="B1451" s="72" t="n"/>
      <c r="K1451" s="4" t="n"/>
      <c r="O1451" s="72" t="n"/>
      <c r="S1451" s="4" t="n"/>
    </row>
    <row r="1452">
      <c r="A1452" s="74" t="n"/>
      <c r="B1452" s="72" t="n"/>
      <c r="K1452" s="4" t="n"/>
      <c r="O1452" s="72" t="n"/>
      <c r="S1452" s="4" t="n"/>
    </row>
    <row r="1453">
      <c r="A1453" s="74" t="n"/>
      <c r="B1453" s="72" t="n"/>
      <c r="K1453" s="4" t="n"/>
      <c r="O1453" s="72" t="n"/>
      <c r="S1453" s="4" t="n"/>
    </row>
    <row r="1454">
      <c r="A1454" s="74" t="n"/>
      <c r="B1454" s="72" t="n"/>
      <c r="K1454" s="4" t="n"/>
      <c r="O1454" s="72" t="n"/>
      <c r="S1454" s="4" t="n"/>
    </row>
    <row r="1455">
      <c r="A1455" s="74" t="n"/>
      <c r="B1455" s="72" t="n"/>
      <c r="K1455" s="4" t="n"/>
      <c r="O1455" s="72" t="n"/>
      <c r="S1455" s="4" t="n"/>
    </row>
    <row r="1456">
      <c r="A1456" s="74" t="n"/>
      <c r="B1456" s="72" t="n"/>
      <c r="K1456" s="4" t="n"/>
      <c r="O1456" s="72" t="n"/>
      <c r="S1456" s="4" t="n"/>
    </row>
    <row r="1457">
      <c r="A1457" s="74" t="n"/>
      <c r="B1457" s="72" t="n"/>
      <c r="K1457" s="4" t="n"/>
      <c r="O1457" s="72" t="n"/>
      <c r="S1457" s="4" t="n"/>
    </row>
    <row r="1458">
      <c r="A1458" s="74" t="n"/>
      <c r="B1458" s="72" t="n"/>
      <c r="K1458" s="4" t="n"/>
      <c r="O1458" s="72" t="n"/>
      <c r="S1458" s="4" t="n"/>
    </row>
    <row r="1459">
      <c r="A1459" s="74" t="n"/>
      <c r="B1459" s="72" t="n"/>
      <c r="K1459" s="4" t="n"/>
      <c r="O1459" s="72" t="n"/>
      <c r="S1459" s="4" t="n"/>
    </row>
    <row r="1460">
      <c r="A1460" s="74" t="n"/>
      <c r="B1460" s="72" t="n"/>
      <c r="K1460" s="4" t="n"/>
      <c r="O1460" s="72" t="n"/>
      <c r="S1460" s="4" t="n"/>
    </row>
    <row r="1461">
      <c r="A1461" s="74" t="n"/>
      <c r="B1461" s="72" t="n"/>
      <c r="K1461" s="4" t="n"/>
      <c r="O1461" s="72" t="n"/>
      <c r="S1461" s="4" t="n"/>
    </row>
    <row r="1462">
      <c r="A1462" s="74" t="n"/>
      <c r="B1462" s="72" t="n"/>
      <c r="K1462" s="4" t="n"/>
      <c r="O1462" s="72" t="n"/>
      <c r="S1462" s="4" t="n"/>
    </row>
    <row r="1463">
      <c r="A1463" s="74" t="n"/>
      <c r="B1463" s="72" t="n"/>
      <c r="K1463" s="4" t="n"/>
      <c r="O1463" s="72" t="n"/>
      <c r="S1463" s="4" t="n"/>
    </row>
    <row r="1464">
      <c r="A1464" s="74" t="n"/>
      <c r="B1464" s="72" t="n"/>
      <c r="K1464" s="4" t="n"/>
      <c r="O1464" s="72" t="n"/>
      <c r="S1464" s="4" t="n"/>
    </row>
    <row r="1465">
      <c r="A1465" s="74" t="n"/>
      <c r="B1465" s="72" t="n"/>
      <c r="K1465" s="4" t="n"/>
      <c r="O1465" s="72" t="n"/>
      <c r="S1465" s="4" t="n"/>
    </row>
    <row r="1466">
      <c r="A1466" s="74" t="n"/>
      <c r="B1466" s="72" t="n"/>
      <c r="K1466" s="4" t="n"/>
      <c r="O1466" s="72" t="n"/>
      <c r="S1466" s="4" t="n"/>
    </row>
    <row r="1467">
      <c r="A1467" s="74" t="n"/>
      <c r="B1467" s="72" t="n"/>
      <c r="K1467" s="4" t="n"/>
      <c r="O1467" s="72" t="n"/>
      <c r="S1467" s="4" t="n"/>
    </row>
    <row r="1468">
      <c r="A1468" s="74" t="n"/>
      <c r="B1468" s="72" t="n"/>
      <c r="K1468" s="4" t="n"/>
      <c r="O1468" s="72" t="n"/>
      <c r="S1468" s="4" t="n"/>
    </row>
    <row r="1469">
      <c r="A1469" s="74" t="n"/>
      <c r="B1469" s="72" t="n"/>
      <c r="K1469" s="4" t="n"/>
      <c r="O1469" s="72" t="n"/>
      <c r="S1469" s="4" t="n"/>
    </row>
    <row r="1470">
      <c r="A1470" s="74" t="n"/>
      <c r="B1470" s="72" t="n"/>
      <c r="K1470" s="4" t="n"/>
      <c r="O1470" s="72" t="n"/>
      <c r="S1470" s="4" t="n"/>
    </row>
    <row r="1471">
      <c r="A1471" s="74" t="n"/>
      <c r="B1471" s="72" t="n"/>
      <c r="K1471" s="4" t="n"/>
      <c r="O1471" s="72" t="n"/>
      <c r="S1471" s="4" t="n"/>
    </row>
    <row r="1472">
      <c r="A1472" s="74" t="n"/>
      <c r="B1472" s="72" t="n"/>
      <c r="K1472" s="4" t="n"/>
      <c r="O1472" s="72" t="n"/>
      <c r="S1472" s="4" t="n"/>
    </row>
    <row r="1473">
      <c r="A1473" s="74" t="n"/>
      <c r="B1473" s="72" t="n"/>
      <c r="K1473" s="4" t="n"/>
      <c r="O1473" s="72" t="n"/>
      <c r="S1473" s="4" t="n"/>
    </row>
    <row r="1474">
      <c r="A1474" s="74" t="n"/>
      <c r="B1474" s="72" t="n"/>
      <c r="K1474" s="4" t="n"/>
      <c r="O1474" s="72" t="n"/>
      <c r="S1474" s="4" t="n"/>
    </row>
    <row r="1475">
      <c r="A1475" s="74" t="n"/>
      <c r="B1475" s="72" t="n"/>
      <c r="K1475" s="4" t="n"/>
      <c r="O1475" s="72" t="n"/>
      <c r="S1475" s="4" t="n"/>
    </row>
    <row r="1476">
      <c r="A1476" s="74" t="n"/>
      <c r="B1476" s="72" t="n"/>
      <c r="K1476" s="4" t="n"/>
      <c r="O1476" s="72" t="n"/>
      <c r="S1476" s="4" t="n"/>
    </row>
    <row r="1477">
      <c r="A1477" s="74" t="n"/>
      <c r="B1477" s="72" t="n"/>
      <c r="K1477" s="4" t="n"/>
      <c r="O1477" s="72" t="n"/>
      <c r="S1477" s="4" t="n"/>
    </row>
    <row r="1478">
      <c r="A1478" s="74" t="n"/>
      <c r="B1478" s="72" t="n"/>
      <c r="K1478" s="4" t="n"/>
      <c r="O1478" s="72" t="n"/>
      <c r="S1478" s="4" t="n"/>
    </row>
    <row r="1479">
      <c r="A1479" s="74" t="n"/>
      <c r="B1479" s="72" t="n"/>
      <c r="K1479" s="4" t="n"/>
      <c r="O1479" s="72" t="n"/>
      <c r="S1479" s="4" t="n"/>
    </row>
    <row r="1480">
      <c r="A1480" s="74" t="n"/>
      <c r="B1480" s="72" t="n"/>
      <c r="K1480" s="4" t="n"/>
      <c r="O1480" s="72" t="n"/>
      <c r="S1480" s="4" t="n"/>
    </row>
    <row r="1481">
      <c r="A1481" s="74" t="n"/>
      <c r="B1481" s="72" t="n"/>
      <c r="K1481" s="4" t="n"/>
      <c r="O1481" s="72" t="n"/>
      <c r="S1481" s="4" t="n"/>
    </row>
    <row r="1482">
      <c r="A1482" s="74" t="n"/>
      <c r="B1482" s="72" t="n"/>
      <c r="K1482" s="4" t="n"/>
      <c r="O1482" s="72" t="n"/>
      <c r="S1482" s="4" t="n"/>
    </row>
    <row r="1483">
      <c r="A1483" s="74" t="n"/>
      <c r="B1483" s="72" t="n"/>
      <c r="K1483" s="4" t="n"/>
      <c r="O1483" s="72" t="n"/>
      <c r="S1483" s="4" t="n"/>
    </row>
    <row r="1484">
      <c r="A1484" s="74" t="n"/>
      <c r="B1484" s="72" t="n"/>
      <c r="K1484" s="4" t="n"/>
      <c r="O1484" s="72" t="n"/>
      <c r="S1484" s="4" t="n"/>
    </row>
    <row r="1485">
      <c r="A1485" s="74" t="n"/>
      <c r="B1485" s="72" t="n"/>
      <c r="K1485" s="4" t="n"/>
      <c r="O1485" s="72" t="n"/>
      <c r="S1485" s="4" t="n"/>
    </row>
    <row r="1486">
      <c r="A1486" s="74" t="n"/>
      <c r="B1486" s="72" t="n"/>
      <c r="K1486" s="4" t="n"/>
      <c r="O1486" s="72" t="n"/>
      <c r="S1486" s="4" t="n"/>
    </row>
    <row r="1487">
      <c r="A1487" s="74" t="n"/>
      <c r="B1487" s="72" t="n"/>
      <c r="K1487" s="4" t="n"/>
      <c r="O1487" s="72" t="n"/>
      <c r="S1487" s="4" t="n"/>
    </row>
    <row r="1488">
      <c r="A1488" s="74" t="n"/>
      <c r="B1488" s="72" t="n"/>
      <c r="K1488" s="4" t="n"/>
      <c r="O1488" s="72" t="n"/>
      <c r="S1488" s="4" t="n"/>
    </row>
    <row r="1489">
      <c r="A1489" s="74" t="n"/>
      <c r="B1489" s="72" t="n"/>
      <c r="K1489" s="4" t="n"/>
      <c r="O1489" s="72" t="n"/>
      <c r="S1489" s="4" t="n"/>
    </row>
    <row r="1490">
      <c r="A1490" s="74" t="n"/>
      <c r="B1490" s="72" t="n"/>
      <c r="K1490" s="4" t="n"/>
      <c r="O1490" s="72" t="n"/>
      <c r="S1490" s="4" t="n"/>
    </row>
    <row r="1491">
      <c r="A1491" s="74" t="n"/>
      <c r="B1491" s="72" t="n"/>
      <c r="K1491" s="4" t="n"/>
      <c r="O1491" s="72" t="n"/>
      <c r="S1491" s="4" t="n"/>
    </row>
    <row r="1492">
      <c r="A1492" s="74" t="n"/>
      <c r="B1492" s="72" t="n"/>
      <c r="K1492" s="4" t="n"/>
      <c r="O1492" s="72" t="n"/>
      <c r="S1492" s="4" t="n"/>
    </row>
    <row r="1493">
      <c r="A1493" s="74" t="n"/>
      <c r="B1493" s="72" t="n"/>
      <c r="K1493" s="4" t="n"/>
      <c r="O1493" s="72" t="n"/>
      <c r="S1493" s="4" t="n"/>
    </row>
    <row r="1494">
      <c r="A1494" s="74" t="n"/>
      <c r="B1494" s="72" t="n"/>
      <c r="K1494" s="4" t="n"/>
      <c r="O1494" s="72" t="n"/>
      <c r="S1494" s="4" t="n"/>
    </row>
    <row r="1495">
      <c r="A1495" s="74" t="n"/>
      <c r="B1495" s="72" t="n"/>
      <c r="K1495" s="4" t="n"/>
      <c r="O1495" s="72" t="n"/>
      <c r="S1495" s="4" t="n"/>
    </row>
    <row r="1496">
      <c r="A1496" s="74" t="n"/>
      <c r="B1496" s="72" t="n"/>
      <c r="K1496" s="4" t="n"/>
      <c r="O1496" s="72" t="n"/>
      <c r="S1496" s="4" t="n"/>
    </row>
    <row r="1497">
      <c r="A1497" s="74" t="n"/>
      <c r="B1497" s="72" t="n"/>
      <c r="K1497" s="4" t="n"/>
      <c r="O1497" s="72" t="n"/>
      <c r="S1497" s="4" t="n"/>
    </row>
    <row r="1498">
      <c r="A1498" s="74" t="n"/>
      <c r="B1498" s="72" t="n"/>
      <c r="K1498" s="4" t="n"/>
      <c r="O1498" s="72" t="n"/>
      <c r="S1498" s="4" t="n"/>
    </row>
    <row r="1499">
      <c r="A1499" s="74" t="n"/>
      <c r="B1499" s="72" t="n"/>
      <c r="K1499" s="4" t="n"/>
      <c r="O1499" s="72" t="n"/>
      <c r="S1499" s="4" t="n"/>
    </row>
    <row r="1500">
      <c r="A1500" s="74" t="n"/>
      <c r="B1500" s="72" t="n"/>
      <c r="K1500" s="4" t="n"/>
      <c r="O1500" s="72" t="n"/>
      <c r="S1500" s="4" t="n"/>
    </row>
    <row r="1501">
      <c r="A1501" s="74" t="n"/>
      <c r="B1501" s="72" t="n"/>
      <c r="K1501" s="4" t="n"/>
      <c r="O1501" s="72" t="n"/>
      <c r="S1501" s="4" t="n"/>
    </row>
    <row r="1502">
      <c r="A1502" s="74" t="n"/>
      <c r="B1502" s="72" t="n"/>
      <c r="K1502" s="4" t="n"/>
      <c r="O1502" s="72" t="n"/>
      <c r="S1502" s="4" t="n"/>
    </row>
    <row r="1503">
      <c r="A1503" s="74" t="n"/>
      <c r="B1503" s="72" t="n"/>
      <c r="K1503" s="4" t="n"/>
      <c r="O1503" s="72" t="n"/>
      <c r="S1503" s="4" t="n"/>
    </row>
    <row r="1504">
      <c r="A1504" s="74" t="n"/>
      <c r="B1504" s="72" t="n"/>
      <c r="K1504" s="4" t="n"/>
      <c r="O1504" s="72" t="n"/>
      <c r="S1504" s="4" t="n"/>
    </row>
    <row r="1505">
      <c r="A1505" s="74" t="n"/>
      <c r="B1505" s="72" t="n"/>
      <c r="K1505" s="4" t="n"/>
      <c r="O1505" s="72" t="n"/>
      <c r="S1505" s="4" t="n"/>
    </row>
    <row r="1506">
      <c r="A1506" s="74" t="n"/>
      <c r="B1506" s="72" t="n"/>
      <c r="K1506" s="4" t="n"/>
      <c r="O1506" s="72" t="n"/>
      <c r="S1506" s="4" t="n"/>
    </row>
    <row r="1507">
      <c r="A1507" s="74" t="n"/>
      <c r="B1507" s="72" t="n"/>
      <c r="K1507" s="4" t="n"/>
      <c r="O1507" s="72" t="n"/>
      <c r="S1507" s="4" t="n"/>
    </row>
    <row r="1508">
      <c r="A1508" s="74" t="n"/>
      <c r="B1508" s="72" t="n"/>
      <c r="K1508" s="4" t="n"/>
      <c r="O1508" s="72" t="n"/>
      <c r="S1508" s="4" t="n"/>
    </row>
    <row r="1509">
      <c r="A1509" s="74" t="n"/>
      <c r="B1509" s="72" t="n"/>
      <c r="K1509" s="4" t="n"/>
      <c r="O1509" s="72" t="n"/>
      <c r="S1509" s="4" t="n"/>
    </row>
    <row r="1510">
      <c r="A1510" s="74" t="n"/>
      <c r="B1510" s="72" t="n"/>
      <c r="K1510" s="4" t="n"/>
      <c r="O1510" s="72" t="n"/>
      <c r="S1510" s="4" t="n"/>
    </row>
    <row r="1511">
      <c r="A1511" s="74" t="n"/>
      <c r="B1511" s="72" t="n"/>
      <c r="K1511" s="4" t="n"/>
      <c r="O1511" s="72" t="n"/>
      <c r="S1511" s="4" t="n"/>
    </row>
    <row r="1512">
      <c r="A1512" s="74" t="n"/>
      <c r="B1512" s="72" t="n"/>
      <c r="K1512" s="4" t="n"/>
      <c r="O1512" s="72" t="n"/>
      <c r="S1512" s="4" t="n"/>
    </row>
    <row r="1513">
      <c r="A1513" s="74" t="n"/>
      <c r="B1513" s="72" t="n"/>
      <c r="K1513" s="4" t="n"/>
      <c r="O1513" s="72" t="n"/>
      <c r="S1513" s="4" t="n"/>
    </row>
    <row r="1514">
      <c r="A1514" s="74" t="n"/>
      <c r="B1514" s="72" t="n"/>
      <c r="K1514" s="4" t="n"/>
      <c r="O1514" s="72" t="n"/>
      <c r="S1514" s="4" t="n"/>
    </row>
    <row r="1515">
      <c r="A1515" s="74" t="n"/>
      <c r="B1515" s="72" t="n"/>
      <c r="K1515" s="4" t="n"/>
      <c r="O1515" s="72" t="n"/>
      <c r="S1515" s="4" t="n"/>
    </row>
    <row r="1516">
      <c r="A1516" s="74" t="n"/>
      <c r="B1516" s="72" t="n"/>
      <c r="K1516" s="4" t="n"/>
      <c r="O1516" s="72" t="n"/>
      <c r="S1516" s="4" t="n"/>
    </row>
    <row r="1517">
      <c r="A1517" s="74" t="n"/>
      <c r="B1517" s="72" t="n"/>
      <c r="K1517" s="4" t="n"/>
      <c r="O1517" s="72" t="n"/>
      <c r="S1517" s="4" t="n"/>
    </row>
    <row r="1518">
      <c r="A1518" s="74" t="n"/>
      <c r="B1518" s="72" t="n"/>
      <c r="K1518" s="4" t="n"/>
      <c r="O1518" s="72" t="n"/>
      <c r="S1518" s="4" t="n"/>
    </row>
    <row r="1519">
      <c r="A1519" s="74" t="n"/>
      <c r="B1519" s="72" t="n"/>
      <c r="K1519" s="4" t="n"/>
      <c r="O1519" s="72" t="n"/>
      <c r="S1519" s="4" t="n"/>
    </row>
    <row r="1520">
      <c r="A1520" s="74" t="n"/>
      <c r="B1520" s="72" t="n"/>
      <c r="K1520" s="4" t="n"/>
      <c r="O1520" s="72" t="n"/>
      <c r="S1520" s="4" t="n"/>
    </row>
    <row r="1521">
      <c r="A1521" s="74" t="n"/>
      <c r="B1521" s="72" t="n"/>
      <c r="K1521" s="4" t="n"/>
      <c r="O1521" s="72" t="n"/>
      <c r="S1521" s="4" t="n"/>
    </row>
    <row r="1522">
      <c r="A1522" s="74" t="n"/>
      <c r="B1522" s="72" t="n"/>
      <c r="K1522" s="4" t="n"/>
      <c r="O1522" s="72" t="n"/>
      <c r="S1522" s="4" t="n"/>
    </row>
    <row r="1523">
      <c r="A1523" s="74" t="n"/>
      <c r="B1523" s="72" t="n"/>
      <c r="K1523" s="4" t="n"/>
      <c r="O1523" s="72" t="n"/>
      <c r="S1523" s="4" t="n"/>
    </row>
    <row r="1524">
      <c r="A1524" s="74" t="n"/>
      <c r="B1524" s="72" t="n"/>
      <c r="K1524" s="4" t="n"/>
      <c r="O1524" s="72" t="n"/>
      <c r="S1524" s="4" t="n"/>
    </row>
    <row r="1525">
      <c r="A1525" s="74" t="n"/>
      <c r="B1525" s="72" t="n"/>
      <c r="K1525" s="4" t="n"/>
      <c r="O1525" s="72" t="n"/>
      <c r="S1525" s="4" t="n"/>
    </row>
    <row r="1526">
      <c r="A1526" s="74" t="n"/>
      <c r="B1526" s="72" t="n"/>
      <c r="K1526" s="4" t="n"/>
      <c r="O1526" s="72" t="n"/>
      <c r="S1526" s="4" t="n"/>
    </row>
    <row r="1527">
      <c r="A1527" s="74" t="n"/>
      <c r="B1527" s="72" t="n"/>
      <c r="K1527" s="4" t="n"/>
      <c r="O1527" s="72" t="n"/>
      <c r="S1527" s="4" t="n"/>
    </row>
    <row r="1528">
      <c r="A1528" s="74" t="n"/>
      <c r="B1528" s="72" t="n"/>
      <c r="K1528" s="4" t="n"/>
      <c r="O1528" s="72" t="n"/>
      <c r="S1528" s="4" t="n"/>
    </row>
    <row r="1529">
      <c r="A1529" s="74" t="n"/>
      <c r="B1529" s="72" t="n"/>
      <c r="K1529" s="4" t="n"/>
      <c r="O1529" s="72" t="n"/>
      <c r="S1529" s="4" t="n"/>
    </row>
    <row r="1530">
      <c r="A1530" s="74" t="n"/>
      <c r="B1530" s="72" t="n"/>
      <c r="K1530" s="4" t="n"/>
      <c r="O1530" s="72" t="n"/>
      <c r="S1530" s="4" t="n"/>
    </row>
    <row r="1531">
      <c r="A1531" s="74" t="n"/>
      <c r="B1531" s="72" t="n"/>
      <c r="K1531" s="4" t="n"/>
      <c r="O1531" s="72" t="n"/>
      <c r="S1531" s="4" t="n"/>
    </row>
    <row r="1532">
      <c r="A1532" s="74" t="n"/>
      <c r="B1532" s="72" t="n"/>
      <c r="K1532" s="4" t="n"/>
      <c r="O1532" s="72" t="n"/>
      <c r="S1532" s="4" t="n"/>
    </row>
    <row r="1533">
      <c r="A1533" s="74" t="n"/>
      <c r="B1533" s="72" t="n"/>
      <c r="K1533" s="4" t="n"/>
      <c r="O1533" s="72" t="n"/>
      <c r="S1533" s="4" t="n"/>
    </row>
    <row r="1534">
      <c r="A1534" s="74" t="n"/>
      <c r="B1534" s="72" t="n"/>
      <c r="K1534" s="4" t="n"/>
      <c r="O1534" s="72" t="n"/>
      <c r="S1534" s="4" t="n"/>
    </row>
    <row r="1535">
      <c r="A1535" s="74" t="n"/>
      <c r="B1535" s="72" t="n"/>
      <c r="K1535" s="4" t="n"/>
      <c r="O1535" s="72" t="n"/>
      <c r="S1535" s="4" t="n"/>
    </row>
    <row r="1536">
      <c r="A1536" s="74" t="n"/>
      <c r="B1536" s="72" t="n"/>
      <c r="K1536" s="4" t="n"/>
      <c r="O1536" s="72" t="n"/>
      <c r="S1536" s="4" t="n"/>
    </row>
    <row r="1537">
      <c r="A1537" s="74" t="n"/>
      <c r="B1537" s="72" t="n"/>
      <c r="K1537" s="4" t="n"/>
      <c r="O1537" s="72" t="n"/>
      <c r="S1537" s="4" t="n"/>
    </row>
    <row r="1538">
      <c r="A1538" s="74" t="n"/>
      <c r="B1538" s="72" t="n"/>
      <c r="K1538" s="4" t="n"/>
      <c r="O1538" s="72" t="n"/>
      <c r="S1538" s="4" t="n"/>
    </row>
    <row r="1539">
      <c r="A1539" s="74" t="n"/>
      <c r="B1539" s="72" t="n"/>
      <c r="K1539" s="4" t="n"/>
      <c r="O1539" s="72" t="n"/>
      <c r="S1539" s="4" t="n"/>
    </row>
    <row r="1540">
      <c r="A1540" s="74" t="n"/>
      <c r="B1540" s="72" t="n"/>
      <c r="K1540" s="4" t="n"/>
      <c r="O1540" s="72" t="n"/>
      <c r="S1540" s="4" t="n"/>
    </row>
    <row r="1541">
      <c r="A1541" s="74" t="n"/>
      <c r="B1541" s="72" t="n"/>
      <c r="K1541" s="4" t="n"/>
      <c r="O1541" s="72" t="n"/>
      <c r="S1541" s="4" t="n"/>
    </row>
    <row r="1542">
      <c r="A1542" s="74" t="n"/>
      <c r="B1542" s="72" t="n"/>
      <c r="K1542" s="4" t="n"/>
      <c r="O1542" s="72" t="n"/>
      <c r="S1542" s="4" t="n"/>
    </row>
    <row r="1543">
      <c r="A1543" s="74" t="n"/>
      <c r="B1543" s="72" t="n"/>
      <c r="K1543" s="4" t="n"/>
      <c r="O1543" s="72" t="n"/>
      <c r="S1543" s="4" t="n"/>
    </row>
    <row r="1544">
      <c r="A1544" s="74" t="n"/>
      <c r="B1544" s="72" t="n"/>
      <c r="K1544" s="4" t="n"/>
      <c r="O1544" s="72" t="n"/>
      <c r="S1544" s="4" t="n"/>
    </row>
    <row r="1545">
      <c r="A1545" s="74" t="n"/>
      <c r="B1545" s="72" t="n"/>
      <c r="K1545" s="4" t="n"/>
      <c r="O1545" s="72" t="n"/>
      <c r="S1545" s="4" t="n"/>
    </row>
    <row r="1546">
      <c r="A1546" s="74" t="n"/>
      <c r="B1546" s="72" t="n"/>
      <c r="K1546" s="4" t="n"/>
      <c r="O1546" s="72" t="n"/>
      <c r="S1546" s="4" t="n"/>
    </row>
    <row r="1547">
      <c r="A1547" s="74" t="n"/>
      <c r="B1547" s="72" t="n"/>
      <c r="K1547" s="4" t="n"/>
      <c r="O1547" s="72" t="n"/>
      <c r="S1547" s="4" t="n"/>
    </row>
    <row r="1548">
      <c r="A1548" s="74" t="n"/>
      <c r="B1548" s="72" t="n"/>
      <c r="K1548" s="4" t="n"/>
      <c r="O1548" s="72" t="n"/>
      <c r="S1548" s="4" t="n"/>
    </row>
    <row r="1549">
      <c r="A1549" s="74" t="n"/>
      <c r="B1549" s="72" t="n"/>
      <c r="K1549" s="4" t="n"/>
      <c r="O1549" s="72" t="n"/>
      <c r="S1549" s="4" t="n"/>
    </row>
    <row r="1550">
      <c r="A1550" s="74" t="n"/>
      <c r="B1550" s="72" t="n"/>
      <c r="K1550" s="4" t="n"/>
      <c r="O1550" s="72" t="n"/>
      <c r="S1550" s="4" t="n"/>
    </row>
    <row r="1551">
      <c r="A1551" s="74" t="n"/>
      <c r="B1551" s="72" t="n"/>
      <c r="K1551" s="4" t="n"/>
      <c r="O1551" s="72" t="n"/>
      <c r="S1551" s="4" t="n"/>
    </row>
    <row r="1552">
      <c r="A1552" s="74" t="n"/>
      <c r="B1552" s="72" t="n"/>
      <c r="K1552" s="4" t="n"/>
      <c r="O1552" s="72" t="n"/>
      <c r="S1552" s="4" t="n"/>
    </row>
    <row r="1553">
      <c r="A1553" s="74" t="n"/>
      <c r="B1553" s="72" t="n"/>
      <c r="K1553" s="4" t="n"/>
      <c r="O1553" s="72" t="n"/>
      <c r="S1553" s="4" t="n"/>
    </row>
    <row r="1554">
      <c r="A1554" s="74" t="n"/>
      <c r="B1554" s="72" t="n"/>
      <c r="K1554" s="4" t="n"/>
      <c r="O1554" s="72" t="n"/>
      <c r="S1554" s="4" t="n"/>
    </row>
    <row r="1555">
      <c r="A1555" s="74" t="n"/>
      <c r="B1555" s="72" t="n"/>
      <c r="K1555" s="4" t="n"/>
      <c r="O1555" s="72" t="n"/>
      <c r="S1555" s="4" t="n"/>
    </row>
    <row r="1556">
      <c r="A1556" s="74" t="n"/>
      <c r="B1556" s="72" t="n"/>
      <c r="K1556" s="4" t="n"/>
      <c r="O1556" s="72" t="n"/>
      <c r="S1556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Moneda</t>
        </is>
      </c>
      <c r="B1" s="78" t="inlineStr">
        <is>
          <t>Límite Máximo</t>
        </is>
      </c>
      <c r="D1" s="78" t="inlineStr">
        <is>
          <t>Parámetro</t>
        </is>
      </c>
      <c r="E1" s="78" t="inlineStr">
        <is>
          <t>Valor</t>
        </is>
      </c>
      <c r="G1" s="78" t="inlineStr">
        <is>
          <t>Categoría de Producto</t>
        </is>
      </c>
      <c r="H1" s="78" t="inlineStr">
        <is>
          <t>Permite Descuento Adicional (SÍ/NO)</t>
        </is>
      </c>
      <c r="J1" s="78" t="inlineStr">
        <is>
          <t>Permitir Descuento si ya existe Descuento de Odoo</t>
        </is>
      </c>
      <c r="K1" s="78" t="inlineStr">
        <is>
          <t>Valor</t>
        </is>
      </c>
    </row>
    <row r="2">
      <c r="A2" t="inlineStr">
        <is>
          <t>USD</t>
        </is>
      </c>
      <c r="B2" t="n">
        <v>0.15</v>
      </c>
      <c r="D2" t="inlineStr">
        <is>
          <t>Días de Crédito Tolerancia</t>
        </is>
      </c>
      <c r="E2" t="n">
        <v>2</v>
      </c>
      <c r="G2" t="inlineStr">
        <is>
          <t>Industrial / Clasico / Mineral / Diesel</t>
        </is>
      </c>
      <c r="H2" t="inlineStr">
        <is>
          <t>NO</t>
        </is>
      </c>
      <c r="J2" t="inlineStr">
        <is>
          <t>Estado</t>
        </is>
      </c>
      <c r="K2" t="inlineStr">
        <is>
          <t>NO</t>
        </is>
      </c>
    </row>
    <row r="3">
      <c r="A3" t="inlineStr">
        <is>
          <t>VES</t>
        </is>
      </c>
      <c r="B3" t="n">
        <v>0.1</v>
      </c>
      <c r="G3" t="inlineStr">
        <is>
          <t>Comercial / Moto / Mineral / Gasolina</t>
        </is>
      </c>
      <c r="H3" t="inlineStr">
        <is>
          <t>SÍ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Pago ID</t>
        </is>
      </c>
      <c r="B1" s="78" t="inlineStr">
        <is>
          <t>Fecha</t>
        </is>
      </c>
      <c r="C1" s="78" t="inlineStr">
        <is>
          <t>Cliente</t>
        </is>
      </c>
      <c r="D1" s="78" t="inlineStr">
        <is>
          <t>Monto Original</t>
        </is>
      </c>
      <c r="E1" s="78" t="inlineStr">
        <is>
          <t>Moneda</t>
        </is>
      </c>
      <c r="F1" s="78" t="inlineStr">
        <is>
          <t>Monto USD Calculado</t>
        </is>
      </c>
      <c r="G1" s="78" t="inlineStr">
        <is>
          <t>Orden de Venta Asignada</t>
        </is>
      </c>
    </row>
    <row r="2">
      <c r="A2" t="n">
        <v>1035</v>
      </c>
      <c r="B2" s="84" t="n">
        <v>46219</v>
      </c>
      <c r="C2" t="inlineStr">
        <is>
          <t>PROYECTO MAQUIVEIRO 21 C.A.</t>
        </is>
      </c>
      <c r="D2" s="85" t="n">
        <v>100</v>
      </c>
      <c r="E2" t="inlineStr">
        <is>
          <t>USD</t>
        </is>
      </c>
      <c r="F2" s="85">
        <f>IF(E2="USD", D2, D2/IFERROR(VLOOKUP(B2, Aux_Datos!$A:$H, 8, FALSE), 1))</f>
        <v/>
      </c>
    </row>
    <row r="3">
      <c r="A3" t="n">
        <v>1034</v>
      </c>
      <c r="B3" s="84" t="n">
        <v>46219</v>
      </c>
      <c r="C3" t="inlineStr">
        <is>
          <t>Autoasesorio maxi motor</t>
        </is>
      </c>
      <c r="D3" s="85" t="n">
        <v>30</v>
      </c>
      <c r="E3" t="inlineStr">
        <is>
          <t>USD</t>
        </is>
      </c>
      <c r="F3" s="85">
        <f>IF(E3="USD", D3, D3/IFERROR(VLOOKUP(B3, Aux_Datos!$A:$H, 8, FALSE), 1))</f>
        <v/>
      </c>
    </row>
    <row r="4">
      <c r="A4" t="n">
        <v>1031</v>
      </c>
      <c r="B4" s="84" t="n">
        <v>46219</v>
      </c>
      <c r="C4" t="inlineStr">
        <is>
          <t>AUTOPERIQUITOS LA CAMPIÑA C.A.</t>
        </is>
      </c>
      <c r="D4" s="85" t="inlineStr">
        <is>
          <t>14.550,00</t>
        </is>
      </c>
      <c r="E4" t="inlineStr">
        <is>
          <t>VES</t>
        </is>
      </c>
      <c r="F4" s="85">
        <f>IF(E4="USD", D4, D4/IFERROR(VLOOKUP(B4, Aux_Datos!$A:$H, 8, FALSE), 1))</f>
        <v/>
      </c>
    </row>
    <row r="5">
      <c r="A5" t="n">
        <v>1033</v>
      </c>
      <c r="B5" s="84" t="n">
        <v>46219</v>
      </c>
      <c r="C5" t="inlineStr">
        <is>
          <t>Moto repuestos jj</t>
        </is>
      </c>
      <c r="D5" s="85" t="inlineStr">
        <is>
          <t>56.352,96</t>
        </is>
      </c>
      <c r="E5" t="inlineStr">
        <is>
          <t>VES</t>
        </is>
      </c>
      <c r="F5" s="85">
        <f>IF(E5="USD", D5, D5/IFERROR(VLOOKUP(B5, Aux_Datos!$A:$H, 8, FALSE), 1))</f>
        <v/>
      </c>
    </row>
    <row r="6">
      <c r="A6" t="n">
        <v>1030</v>
      </c>
      <c r="B6" s="84" t="n">
        <v>46218</v>
      </c>
      <c r="C6" t="inlineStr">
        <is>
          <t>Grupo 3030, C.A</t>
        </is>
      </c>
      <c r="D6" s="85" t="n">
        <v>300</v>
      </c>
      <c r="E6" t="inlineStr">
        <is>
          <t>USD</t>
        </is>
      </c>
      <c r="F6" s="85">
        <f>IF(E6="USD", D6, D6/IFERROR(VLOOKUP(B6, Aux_Datos!$A:$H, 8, FALSE), 1))</f>
        <v/>
      </c>
    </row>
    <row r="7">
      <c r="A7" t="n">
        <v>1023</v>
      </c>
      <c r="B7" s="84" t="n">
        <v>46218</v>
      </c>
      <c r="C7" t="inlineStr">
        <is>
          <t>Constructora Campo Urbano,c.a.</t>
        </is>
      </c>
      <c r="D7" s="85" t="n">
        <v>30</v>
      </c>
      <c r="E7" t="inlineStr">
        <is>
          <t>USD</t>
        </is>
      </c>
      <c r="F7" s="85">
        <f>IF(E7="USD", D7, D7/IFERROR(VLOOKUP(B7, Aux_Datos!$A:$H, 8, FALSE), 1))</f>
        <v/>
      </c>
    </row>
    <row r="8">
      <c r="A8" t="n">
        <v>1022</v>
      </c>
      <c r="B8" s="84" t="n">
        <v>46218</v>
      </c>
      <c r="C8" t="inlineStr">
        <is>
          <t>Marlene Herrera</t>
        </is>
      </c>
      <c r="D8" s="85" t="n">
        <v>100</v>
      </c>
      <c r="E8" t="inlineStr">
        <is>
          <t>USD</t>
        </is>
      </c>
      <c r="F8" s="85">
        <f>IF(E8="USD", D8, D8/IFERROR(VLOOKUP(B8, Aux_Datos!$A:$H, 8, FALSE), 1))</f>
        <v/>
      </c>
    </row>
    <row r="9">
      <c r="A9" t="n">
        <v>1024</v>
      </c>
      <c r="B9" s="84" t="n">
        <v>46218</v>
      </c>
      <c r="C9" t="inlineStr">
        <is>
          <t>Jose Lopez Espinoza</t>
        </is>
      </c>
      <c r="D9" s="85" t="n">
        <v>106</v>
      </c>
      <c r="E9" t="inlineStr">
        <is>
          <t>USD</t>
        </is>
      </c>
      <c r="F9" s="85">
        <f>IF(E9="USD", D9, D9/IFERROR(VLOOKUP(B9, Aux_Datos!$A:$H, 8, FALSE), 1))</f>
        <v/>
      </c>
    </row>
    <row r="10">
      <c r="A10" t="n">
        <v>1028</v>
      </c>
      <c r="B10" s="84" t="n">
        <v>46218</v>
      </c>
      <c r="C10" t="inlineStr">
        <is>
          <t>TALLER Y REPUESTOS CHOPPERS, C.A.</t>
        </is>
      </c>
      <c r="D10" s="85" t="inlineStr">
        <is>
          <t>36.287,35</t>
        </is>
      </c>
      <c r="E10" t="inlineStr">
        <is>
          <t>VES</t>
        </is>
      </c>
      <c r="F10" s="85">
        <f>IF(E10="USD", D10, D10/IFERROR(VLOOKUP(B10, Aux_Datos!$A:$H, 8, FALSE), 1))</f>
        <v/>
      </c>
    </row>
    <row r="11">
      <c r="A11" t="n">
        <v>1021</v>
      </c>
      <c r="B11" s="84" t="n">
        <v>46218</v>
      </c>
      <c r="C11" t="inlineStr">
        <is>
          <t>Melany Madrid</t>
        </is>
      </c>
      <c r="D11" s="85" t="inlineStr">
        <is>
          <t>172.060,00</t>
        </is>
      </c>
      <c r="E11" t="inlineStr">
        <is>
          <t>VES</t>
        </is>
      </c>
      <c r="F11" s="85">
        <f>IF(E11="USD", D11, D11/IFERROR(VLOOKUP(B11, Aux_Datos!$A:$H, 8, FALSE), 1))</f>
        <v/>
      </c>
    </row>
    <row r="12">
      <c r="A12" t="n">
        <v>1019</v>
      </c>
      <c r="B12" s="84" t="n">
        <v>46217</v>
      </c>
      <c r="C12" t="inlineStr">
        <is>
          <t>Multiservicios Gre-orio2022 c.a</t>
        </is>
      </c>
      <c r="D12" s="85" t="n">
        <v>100</v>
      </c>
      <c r="E12" t="inlineStr">
        <is>
          <t>USD</t>
        </is>
      </c>
      <c r="F12" s="85">
        <f>IF(E12="USD", D12, D12/IFERROR(VLOOKUP(B12, Aux_Datos!$A:$H, 8, FALSE), 1))</f>
        <v/>
      </c>
    </row>
    <row r="13">
      <c r="A13" t="n">
        <v>1018</v>
      </c>
      <c r="B13" s="84" t="n">
        <v>46217</v>
      </c>
      <c r="C13" t="inlineStr">
        <is>
          <t>Jose de Andrade</t>
        </is>
      </c>
      <c r="D13" s="85" t="inlineStr">
        <is>
          <t>12.718,35</t>
        </is>
      </c>
      <c r="E13" t="inlineStr">
        <is>
          <t>VES</t>
        </is>
      </c>
      <c r="F13" s="85">
        <f>IF(E13="USD", D13, D13/IFERROR(VLOOKUP(B13, Aux_Datos!$A:$H, 8, FALSE), 1))</f>
        <v/>
      </c>
    </row>
    <row r="14">
      <c r="A14" t="n">
        <v>1027</v>
      </c>
      <c r="B14" s="84" t="n">
        <v>46217</v>
      </c>
      <c r="C14" t="inlineStr">
        <is>
          <t>En ascenso 2011,c.a.</t>
        </is>
      </c>
      <c r="D14" s="85" t="inlineStr">
        <is>
          <t>81.616,41</t>
        </is>
      </c>
      <c r="E14" t="inlineStr">
        <is>
          <t>VES</t>
        </is>
      </c>
      <c r="F14" s="85">
        <f>IF(E14="USD", D14, D14/IFERROR(VLOOKUP(B14, Aux_Datos!$A:$H, 8, FALSE), 1))</f>
        <v/>
      </c>
    </row>
    <row r="15">
      <c r="A15" t="n">
        <v>1026</v>
      </c>
      <c r="B15" s="84" t="n">
        <v>46217</v>
      </c>
      <c r="C15" t="inlineStr">
        <is>
          <t>En ascenso 2011,c.a.</t>
        </is>
      </c>
      <c r="D15" s="85" t="inlineStr">
        <is>
          <t>154.595,51</t>
        </is>
      </c>
      <c r="E15" t="inlineStr">
        <is>
          <t>VES</t>
        </is>
      </c>
      <c r="F15" s="85">
        <f>IF(E15="USD", D15, D15/IFERROR(VLOOKUP(B15, Aux_Datos!$A:$H, 8, FALSE), 1))</f>
        <v/>
      </c>
    </row>
    <row r="16">
      <c r="A16" t="n">
        <v>1013</v>
      </c>
      <c r="B16" s="84" t="n">
        <v>46217</v>
      </c>
      <c r="C16" t="inlineStr">
        <is>
          <t>Emprendimiento Tomas Paz</t>
        </is>
      </c>
      <c r="D16" s="85" t="inlineStr">
        <is>
          <t>13.712,00</t>
        </is>
      </c>
      <c r="E16" t="inlineStr">
        <is>
          <t>VES</t>
        </is>
      </c>
      <c r="F16" s="85">
        <f>IF(E16="USD", D16, D16/IFERROR(VLOOKUP(B16, Aux_Datos!$A:$H, 8, FALSE), 1))</f>
        <v/>
      </c>
    </row>
    <row r="17">
      <c r="A17" t="n">
        <v>1012</v>
      </c>
      <c r="B17" s="84" t="n">
        <v>46216</v>
      </c>
      <c r="C17" t="inlineStr">
        <is>
          <t>Dimas Ortíz</t>
        </is>
      </c>
      <c r="D17" s="85" t="n">
        <v>100</v>
      </c>
      <c r="E17" t="inlineStr">
        <is>
          <t>USD</t>
        </is>
      </c>
      <c r="F17" s="85">
        <f>IF(E17="USD", D17, D17/IFERROR(VLOOKUP(B17, Aux_Datos!$A:$H, 8, FALSE), 1))</f>
        <v/>
      </c>
    </row>
    <row r="18">
      <c r="A18" t="n">
        <v>1008</v>
      </c>
      <c r="B18" s="84" t="n">
        <v>46216</v>
      </c>
      <c r="C18" t="inlineStr">
        <is>
          <t>Victor Ordaz</t>
        </is>
      </c>
      <c r="D18" s="85" t="n">
        <v>180</v>
      </c>
      <c r="E18" t="inlineStr">
        <is>
          <t>USD</t>
        </is>
      </c>
      <c r="F18" s="85">
        <f>IF(E18="USD", D18, D18/IFERROR(VLOOKUP(B18, Aux_Datos!$A:$H, 8, FALSE), 1))</f>
        <v/>
      </c>
    </row>
    <row r="19">
      <c r="A19" t="n">
        <v>1007</v>
      </c>
      <c r="B19" s="84" t="n">
        <v>46216</v>
      </c>
      <c r="C19" t="inlineStr">
        <is>
          <t>Autolavado Artico</t>
        </is>
      </c>
      <c r="D19" s="85" t="n">
        <v>100</v>
      </c>
      <c r="E19" t="inlineStr">
        <is>
          <t>USD</t>
        </is>
      </c>
      <c r="F19" s="85">
        <f>IF(E19="USD", D19, D19/IFERROR(VLOOKUP(B19, Aux_Datos!$A:$H, 8, FALSE), 1))</f>
        <v/>
      </c>
    </row>
    <row r="20">
      <c r="A20" t="n">
        <v>1029</v>
      </c>
      <c r="B20" s="84" t="n">
        <v>46216</v>
      </c>
      <c r="C20" t="inlineStr">
        <is>
          <t>CONSTRUCTORA GRANO AGREGADO, C.A</t>
        </is>
      </c>
      <c r="D20" s="85" t="inlineStr">
        <is>
          <t>2.436.828,07</t>
        </is>
      </c>
      <c r="E20" t="inlineStr">
        <is>
          <t>VES</t>
        </is>
      </c>
      <c r="F20" s="85">
        <f>IF(E20="USD", D20, D20/IFERROR(VLOOKUP(B20, Aux_Datos!$A:$H, 8, FALSE), 1))</f>
        <v/>
      </c>
    </row>
    <row r="21">
      <c r="A21" t="n">
        <v>1006</v>
      </c>
      <c r="B21" s="84" t="n">
        <v>46216</v>
      </c>
      <c r="C21" t="inlineStr">
        <is>
          <t>MULTISERVICIOS RECAM13, C.A.</t>
        </is>
      </c>
      <c r="D21" s="85" t="inlineStr">
        <is>
          <t>28.854,00</t>
        </is>
      </c>
      <c r="E21" t="inlineStr">
        <is>
          <t>VES</t>
        </is>
      </c>
      <c r="F21" s="85">
        <f>IF(E21="USD", D21, D21/IFERROR(VLOOKUP(B21, Aux_Datos!$A:$H, 8, FALSE), 1))</f>
        <v/>
      </c>
    </row>
    <row r="22">
      <c r="A22" t="n">
        <v>970</v>
      </c>
      <c r="B22" s="84" t="n">
        <v>46213</v>
      </c>
      <c r="C22" t="inlineStr">
        <is>
          <t>PROYECTO MAQUIVEIRO 21 C.A.</t>
        </is>
      </c>
      <c r="D22" s="85" t="n">
        <v>230</v>
      </c>
      <c r="E22" t="inlineStr">
        <is>
          <t>USD</t>
        </is>
      </c>
      <c r="F22" s="85">
        <f>IF(E22="USD", D22, D22/IFERROR(VLOOKUP(B22, Aux_Datos!$A:$H, 8, FALSE), 1))</f>
        <v/>
      </c>
    </row>
    <row r="23">
      <c r="A23" t="n">
        <v>964</v>
      </c>
      <c r="B23" s="84" t="n">
        <v>46213</v>
      </c>
      <c r="C23" t="inlineStr">
        <is>
          <t>Jefferson Navone</t>
        </is>
      </c>
      <c r="D23" s="85" t="n">
        <v>35</v>
      </c>
      <c r="E23" t="inlineStr">
        <is>
          <t>USD</t>
        </is>
      </c>
      <c r="F23" s="85">
        <f>IF(E23="USD", D23, D23/IFERROR(VLOOKUP(B23, Aux_Datos!$A:$H, 8, FALSE), 1))</f>
        <v/>
      </c>
    </row>
    <row r="24">
      <c r="A24" t="n">
        <v>974</v>
      </c>
      <c r="B24" s="84" t="n">
        <v>46213</v>
      </c>
      <c r="C24" t="inlineStr">
        <is>
          <t>Inversiones La Bendición del Nazareno, C.A</t>
        </is>
      </c>
      <c r="D24" s="85" t="n">
        <v>500</v>
      </c>
      <c r="E24" t="inlineStr">
        <is>
          <t>USD</t>
        </is>
      </c>
      <c r="F24" s="85">
        <f>IF(E24="USD", D24, D24/IFERROR(VLOOKUP(B24, Aux_Datos!$A:$H, 8, FALSE), 1))</f>
        <v/>
      </c>
    </row>
    <row r="25">
      <c r="A25" t="n">
        <v>975</v>
      </c>
      <c r="B25" s="84" t="n">
        <v>46213</v>
      </c>
      <c r="C25" t="inlineStr">
        <is>
          <t>Emprendimiento Jordy Valencia</t>
        </is>
      </c>
      <c r="D25" s="85" t="n">
        <v>50</v>
      </c>
      <c r="E25" t="inlineStr">
        <is>
          <t>USD</t>
        </is>
      </c>
      <c r="F25" s="85">
        <f>IF(E25="USD", D25, D25/IFERROR(VLOOKUP(B25, Aux_Datos!$A:$H, 8, FALSE), 1))</f>
        <v/>
      </c>
    </row>
    <row r="26">
      <c r="A26" t="n">
        <v>968</v>
      </c>
      <c r="B26" s="84" t="n">
        <v>46213</v>
      </c>
      <c r="C26" t="inlineStr">
        <is>
          <t>M.L.P Repuestos y Otros, C.A</t>
        </is>
      </c>
      <c r="D26" s="85" t="n">
        <v>200</v>
      </c>
      <c r="E26" t="inlineStr">
        <is>
          <t>USD</t>
        </is>
      </c>
      <c r="F26" s="85">
        <f>IF(E26="USD", D26, D26/IFERROR(VLOOKUP(B26, Aux_Datos!$A:$H, 8, FALSE), 1))</f>
        <v/>
      </c>
    </row>
    <row r="27">
      <c r="A27" t="n">
        <v>963</v>
      </c>
      <c r="B27" s="84" t="n">
        <v>46213</v>
      </c>
      <c r="C27" t="inlineStr">
        <is>
          <t>Jorge Luis camacaro</t>
        </is>
      </c>
      <c r="D27" s="85" t="n">
        <v>18</v>
      </c>
      <c r="E27" t="inlineStr">
        <is>
          <t>USD</t>
        </is>
      </c>
      <c r="F27" s="85">
        <f>IF(E27="USD", D27, D27/IFERROR(VLOOKUP(B27, Aux_Datos!$A:$H, 8, FALSE), 1))</f>
        <v/>
      </c>
    </row>
    <row r="28">
      <c r="A28" t="n">
        <v>949</v>
      </c>
      <c r="B28" s="84" t="n">
        <v>46213</v>
      </c>
      <c r="C28" t="inlineStr">
        <is>
          <t>JOSE RAFAEL MARTÍNEZ</t>
        </is>
      </c>
      <c r="D28" s="85" t="n">
        <v>72</v>
      </c>
      <c r="E28" t="inlineStr">
        <is>
          <t>USD</t>
        </is>
      </c>
      <c r="F28" s="85">
        <f>IF(E28="USD", D28, D28/IFERROR(VLOOKUP(B28, Aux_Datos!$A:$H, 8, FALSE), 1))</f>
        <v/>
      </c>
    </row>
    <row r="29">
      <c r="A29" t="n">
        <v>953</v>
      </c>
      <c r="B29" s="84" t="n">
        <v>46213</v>
      </c>
      <c r="C29" t="inlineStr">
        <is>
          <t>SJMG 2012 C.A</t>
        </is>
      </c>
      <c r="D29" s="85" t="n">
        <v>250</v>
      </c>
      <c r="E29" t="inlineStr">
        <is>
          <t>USD</t>
        </is>
      </c>
      <c r="F29" s="85">
        <f>IF(E29="USD", D29, D29/IFERROR(VLOOKUP(B29, Aux_Datos!$A:$H, 8, FALSE), 1))</f>
        <v/>
      </c>
    </row>
    <row r="30">
      <c r="A30" t="n">
        <v>951</v>
      </c>
      <c r="B30" s="84" t="n">
        <v>46213</v>
      </c>
      <c r="C30" t="inlineStr">
        <is>
          <t>Inversiones Vercris 17 C.A</t>
        </is>
      </c>
      <c r="D30" s="85" t="n">
        <v>40</v>
      </c>
      <c r="E30" t="inlineStr">
        <is>
          <t>USD</t>
        </is>
      </c>
      <c r="F30" s="85">
        <f>IF(E30="USD", D30, D30/IFERROR(VLOOKUP(B30, Aux_Datos!$A:$H, 8, FALSE), 1))</f>
        <v/>
      </c>
    </row>
    <row r="31">
      <c r="A31" t="n">
        <v>973</v>
      </c>
      <c r="B31" s="84" t="n">
        <v>46213</v>
      </c>
      <c r="C31" t="inlineStr">
        <is>
          <t>Cauchera El Gordo 0410,c.a.</t>
        </is>
      </c>
      <c r="D31" s="85" t="inlineStr">
        <is>
          <t>186.515,63</t>
        </is>
      </c>
      <c r="E31" t="inlineStr">
        <is>
          <t>VES</t>
        </is>
      </c>
      <c r="F31" s="85">
        <f>IF(E31="USD", D31, D31/IFERROR(VLOOKUP(B31, Aux_Datos!$A:$H, 8, FALSE), 1))</f>
        <v/>
      </c>
    </row>
    <row r="32">
      <c r="A32" t="n">
        <v>962</v>
      </c>
      <c r="B32" s="84" t="n">
        <v>46213</v>
      </c>
      <c r="C32" t="inlineStr">
        <is>
          <t>Moto repuestos jj</t>
        </is>
      </c>
      <c r="D32" s="85" t="inlineStr">
        <is>
          <t>43.940,18</t>
        </is>
      </c>
      <c r="E32" t="inlineStr">
        <is>
          <t>VES</t>
        </is>
      </c>
      <c r="F32" s="85">
        <f>IF(E32="USD", D32, D32/IFERROR(VLOOKUP(B32, Aux_Datos!$A:$H, 8, FALSE), 1))</f>
        <v/>
      </c>
    </row>
    <row r="33">
      <c r="A33" t="n">
        <v>950</v>
      </c>
      <c r="B33" s="84" t="n">
        <v>46213</v>
      </c>
      <c r="C33" t="inlineStr">
        <is>
          <t>Rhino Toyo Parts, C.A.</t>
        </is>
      </c>
      <c r="D33" s="85" t="inlineStr">
        <is>
          <t>164.800,00</t>
        </is>
      </c>
      <c r="E33" t="inlineStr">
        <is>
          <t>VES</t>
        </is>
      </c>
      <c r="F33" s="85">
        <f>IF(E33="USD", D33, D33/IFERROR(VLOOKUP(B33, Aux_Datos!$A:$H, 8, FALSE), 1))</f>
        <v/>
      </c>
    </row>
    <row r="34">
      <c r="A34" t="n">
        <v>954</v>
      </c>
      <c r="B34" s="84" t="n">
        <v>46213</v>
      </c>
      <c r="C34" t="inlineStr">
        <is>
          <t>Corporación Lubricantes 7ma Av.C.A</t>
        </is>
      </c>
      <c r="D34" s="85" t="inlineStr">
        <is>
          <t>32.458,00</t>
        </is>
      </c>
      <c r="E34" t="inlineStr">
        <is>
          <t>VES</t>
        </is>
      </c>
      <c r="F34" s="85">
        <f>IF(E34="USD", D34, D34/IFERROR(VLOOKUP(B34, Aux_Datos!$A:$H, 8, FALSE), 1))</f>
        <v/>
      </c>
    </row>
    <row r="35">
      <c r="A35" t="n">
        <v>933</v>
      </c>
      <c r="B35" s="84" t="n">
        <v>46212</v>
      </c>
      <c r="C35" t="inlineStr">
        <is>
          <t>SJMG 2012 C.A</t>
        </is>
      </c>
      <c r="D35" s="85" t="n">
        <v>550</v>
      </c>
      <c r="E35" t="inlineStr">
        <is>
          <t>USD</t>
        </is>
      </c>
      <c r="F35" s="85">
        <f>IF(E35="USD", D35, D35/IFERROR(VLOOKUP(B35, Aux_Datos!$A:$H, 8, FALSE), 1))</f>
        <v/>
      </c>
    </row>
    <row r="36">
      <c r="A36" t="n">
        <v>943</v>
      </c>
      <c r="B36" s="84" t="n">
        <v>46212</v>
      </c>
      <c r="C36" t="inlineStr">
        <is>
          <t>Dimas Ortíz</t>
        </is>
      </c>
      <c r="D36" s="85" t="n">
        <v>70</v>
      </c>
      <c r="E36" t="inlineStr">
        <is>
          <t>USD</t>
        </is>
      </c>
      <c r="F36" s="85">
        <f>IF(E36="USD", D36, D36/IFERROR(VLOOKUP(B36, Aux_Datos!$A:$H, 8, FALSE), 1))</f>
        <v/>
      </c>
    </row>
    <row r="37">
      <c r="A37" t="n">
        <v>940</v>
      </c>
      <c r="B37" s="84" t="n">
        <v>46212</v>
      </c>
      <c r="C37" t="inlineStr">
        <is>
          <t>Repuestos Guia Dios Nuestro Camino,c.a.</t>
        </is>
      </c>
      <c r="D37" s="85" t="n">
        <v>20</v>
      </c>
      <c r="E37" t="inlineStr">
        <is>
          <t>USD</t>
        </is>
      </c>
      <c r="F37" s="85">
        <f>IF(E37="USD", D37, D37/IFERROR(VLOOKUP(B37, Aux_Datos!$A:$H, 8, FALSE), 1))</f>
        <v/>
      </c>
    </row>
    <row r="38">
      <c r="A38" t="n">
        <v>938</v>
      </c>
      <c r="B38" s="84" t="n">
        <v>46212</v>
      </c>
      <c r="C38" t="inlineStr">
        <is>
          <t>Emprendimiento Eduardo Pérez 6</t>
        </is>
      </c>
      <c r="D38" s="85" t="n">
        <v>25</v>
      </c>
      <c r="E38" t="inlineStr">
        <is>
          <t>USD</t>
        </is>
      </c>
      <c r="F38" s="85">
        <f>IF(E38="USD", D38, D38/IFERROR(VLOOKUP(B38, Aux_Datos!$A:$H, 8, FALSE), 1))</f>
        <v/>
      </c>
    </row>
    <row r="39">
      <c r="A39" t="n">
        <v>937</v>
      </c>
      <c r="B39" s="84" t="n">
        <v>46212</v>
      </c>
      <c r="C39" t="inlineStr">
        <is>
          <t>REPRESENTACIONES LAGUS MEL, C. A</t>
        </is>
      </c>
      <c r="D39" s="85" t="n">
        <v>116</v>
      </c>
      <c r="E39" t="inlineStr">
        <is>
          <t>USD</t>
        </is>
      </c>
      <c r="F39" s="85">
        <f>IF(E39="USD", D39, D39/IFERROR(VLOOKUP(B39, Aux_Datos!$A:$H, 8, FALSE), 1))</f>
        <v/>
      </c>
    </row>
    <row r="40">
      <c r="A40" t="n">
        <v>936</v>
      </c>
      <c r="B40" s="84" t="n">
        <v>46212</v>
      </c>
      <c r="C40" t="inlineStr">
        <is>
          <t>INVERSIONES R&amp;C 1817, c.a.</t>
        </is>
      </c>
      <c r="D40" s="85" t="n">
        <v>136</v>
      </c>
      <c r="E40" t="inlineStr">
        <is>
          <t>USD</t>
        </is>
      </c>
      <c r="F40" s="85">
        <f>IF(E40="USD", D40, D40/IFERROR(VLOOKUP(B40, Aux_Datos!$A:$H, 8, FALSE), 1))</f>
        <v/>
      </c>
    </row>
    <row r="41">
      <c r="A41" t="n">
        <v>942</v>
      </c>
      <c r="B41" s="84" t="n">
        <v>46212</v>
      </c>
      <c r="C41" t="inlineStr">
        <is>
          <t>Multiservicio Tocome, C.A</t>
        </is>
      </c>
      <c r="D41" s="85" t="n">
        <v>13</v>
      </c>
      <c r="E41" t="inlineStr">
        <is>
          <t>USD</t>
        </is>
      </c>
      <c r="F41" s="85">
        <f>IF(E41="USD", D41, D41/IFERROR(VLOOKUP(B41, Aux_Datos!$A:$H, 8, FALSE), 1))</f>
        <v/>
      </c>
    </row>
    <row r="42">
      <c r="A42" t="n">
        <v>945</v>
      </c>
      <c r="B42" s="84" t="n">
        <v>46212</v>
      </c>
      <c r="C42" t="inlineStr">
        <is>
          <t>Moto repuestos el casco 2050 c.a</t>
        </is>
      </c>
      <c r="D42" s="85" t="inlineStr">
        <is>
          <t>105.033,00</t>
        </is>
      </c>
      <c r="E42" t="inlineStr">
        <is>
          <t>VES</t>
        </is>
      </c>
      <c r="F42" s="85">
        <f>IF(E42="USD", D42, D42/IFERROR(VLOOKUP(B42, Aux_Datos!$A:$H, 8, FALSE), 1))</f>
        <v/>
      </c>
    </row>
    <row r="43">
      <c r="A43" t="n">
        <v>926</v>
      </c>
      <c r="B43" s="84" t="n">
        <v>46211</v>
      </c>
      <c r="C43" t="inlineStr">
        <is>
          <t>EMPRENDIMIENTO IRMA RODRIGUEZ 6</t>
        </is>
      </c>
      <c r="D43" s="85" t="n">
        <v>144</v>
      </c>
      <c r="E43" t="inlineStr">
        <is>
          <t>USD</t>
        </is>
      </c>
      <c r="F43" s="85">
        <f>IF(E43="USD", D43, D43/IFERROR(VLOOKUP(B43, Aux_Datos!$A:$H, 8, FALSE), 1))</f>
        <v/>
      </c>
    </row>
    <row r="44">
      <c r="A44" t="n">
        <v>920</v>
      </c>
      <c r="B44" s="84" t="n">
        <v>46211</v>
      </c>
      <c r="C44" t="inlineStr">
        <is>
          <t>MOTOREPUESTOS EL GUANÁBANO YRM C.A.</t>
        </is>
      </c>
      <c r="D44" s="85" t="inlineStr">
        <is>
          <t>22.139,04</t>
        </is>
      </c>
      <c r="E44" t="inlineStr">
        <is>
          <t>VES</t>
        </is>
      </c>
      <c r="F44" s="85">
        <f>IF(E44="USD", D44, D44/IFERROR(VLOOKUP(B44, Aux_Datos!$A:$H, 8, FALSE), 1))</f>
        <v/>
      </c>
    </row>
    <row r="45">
      <c r="A45" t="n">
        <v>921</v>
      </c>
      <c r="B45" s="84" t="n">
        <v>46211</v>
      </c>
      <c r="C45" t="inlineStr">
        <is>
          <t>EMPRENDIMIENTO IRMA RODRIGUEZ 6</t>
        </is>
      </c>
      <c r="D45" s="85" t="inlineStr">
        <is>
          <t>318.000,00</t>
        </is>
      </c>
      <c r="E45" t="inlineStr">
        <is>
          <t>VES</t>
        </is>
      </c>
      <c r="F45" s="85">
        <f>IF(E45="USD", D45, D45/IFERROR(VLOOKUP(B45, Aux_Datos!$A:$H, 8, FALSE), 1))</f>
        <v/>
      </c>
    </row>
    <row r="46">
      <c r="A46" t="n">
        <v>930</v>
      </c>
      <c r="B46" s="84" t="n">
        <v>46211</v>
      </c>
      <c r="C46" t="inlineStr">
        <is>
          <t>E&amp;M CAR SHOP C.A</t>
        </is>
      </c>
      <c r="D46" s="85" t="inlineStr">
        <is>
          <t>106.517,04</t>
        </is>
      </c>
      <c r="E46" t="inlineStr">
        <is>
          <t>VES</t>
        </is>
      </c>
      <c r="F46" s="85">
        <f>IF(E46="USD", D46, D46/IFERROR(VLOOKUP(B46, Aux_Datos!$A:$H, 8, FALSE), 1))</f>
        <v/>
      </c>
    </row>
    <row r="47">
      <c r="A47" t="n">
        <v>919</v>
      </c>
      <c r="B47" s="84" t="n">
        <v>46211</v>
      </c>
      <c r="C47" t="inlineStr">
        <is>
          <t>Javier Cardenas Prato.</t>
        </is>
      </c>
      <c r="D47" s="85" t="inlineStr">
        <is>
          <t>37.500,00</t>
        </is>
      </c>
      <c r="E47" t="inlineStr">
        <is>
          <t>VES</t>
        </is>
      </c>
      <c r="F47" s="85">
        <f>IF(E47="USD", D47, D47/IFERROR(VLOOKUP(B47, Aux_Datos!$A:$H, 8, FALSE), 1))</f>
        <v/>
      </c>
    </row>
    <row r="48">
      <c r="A48" t="n">
        <v>917</v>
      </c>
      <c r="B48" s="84" t="n">
        <v>46210</v>
      </c>
      <c r="C48" t="inlineStr">
        <is>
          <t>Pedro Castro</t>
        </is>
      </c>
      <c r="D48" s="85" t="n">
        <v>100</v>
      </c>
      <c r="E48" t="inlineStr">
        <is>
          <t>USD</t>
        </is>
      </c>
      <c r="F48" s="85">
        <f>IF(E48="USD", D48, D48/IFERROR(VLOOKUP(B48, Aux_Datos!$A:$H, 8, FALSE), 1))</f>
        <v/>
      </c>
    </row>
    <row r="49">
      <c r="A49" t="n">
        <v>918</v>
      </c>
      <c r="B49" s="84" t="n">
        <v>46210</v>
      </c>
      <c r="C49" t="inlineStr">
        <is>
          <t>Inversiones Mirelkys C.A</t>
        </is>
      </c>
      <c r="D49" s="85" t="n">
        <v>45</v>
      </c>
      <c r="E49" t="inlineStr">
        <is>
          <t>USD</t>
        </is>
      </c>
      <c r="F49" s="85">
        <f>IF(E49="USD", D49, D49/IFERROR(VLOOKUP(B49, Aux_Datos!$A:$H, 8, FALSE), 1))</f>
        <v/>
      </c>
    </row>
    <row r="50">
      <c r="A50" t="n">
        <v>927</v>
      </c>
      <c r="B50" s="84" t="n">
        <v>46210</v>
      </c>
      <c r="C50" t="inlineStr">
        <is>
          <t>Sandra Katherine Quintero Crespo</t>
        </is>
      </c>
      <c r="D50" s="85" t="inlineStr">
        <is>
          <t>69.850,00</t>
        </is>
      </c>
      <c r="E50" t="inlineStr">
        <is>
          <t>VES</t>
        </is>
      </c>
      <c r="F50" s="85">
        <f>IF(E50="USD", D50, D50/IFERROR(VLOOKUP(B50, Aux_Datos!$A:$H, 8, FALSE), 1))</f>
        <v/>
      </c>
    </row>
    <row r="51">
      <c r="A51" t="n">
        <v>913</v>
      </c>
      <c r="B51" s="84" t="n">
        <v>46210</v>
      </c>
      <c r="C51" t="inlineStr">
        <is>
          <t>Melany Madrid</t>
        </is>
      </c>
      <c r="D51" s="85" t="inlineStr">
        <is>
          <t>166.440,00</t>
        </is>
      </c>
      <c r="E51" t="inlineStr">
        <is>
          <t>VES</t>
        </is>
      </c>
      <c r="F51" s="85">
        <f>IF(E51="USD", D51, D51/IFERROR(VLOOKUP(B51, Aux_Datos!$A:$H, 8, FALSE), 1))</f>
        <v/>
      </c>
    </row>
    <row r="52">
      <c r="A52" t="n">
        <v>908</v>
      </c>
      <c r="B52" s="84" t="n">
        <v>46209</v>
      </c>
      <c r="C52" t="inlineStr">
        <is>
          <t>Dimas Ortíz</t>
        </is>
      </c>
      <c r="D52" s="85" t="n">
        <v>230</v>
      </c>
      <c r="E52" t="inlineStr">
        <is>
          <t>USD</t>
        </is>
      </c>
      <c r="F52" s="85">
        <f>IF(E52="USD", D52, D52/IFERROR(VLOOKUP(B52, Aux_Datos!$A:$H, 8, FALSE), 1))</f>
        <v/>
      </c>
    </row>
    <row r="53">
      <c r="A53" t="n">
        <v>907</v>
      </c>
      <c r="B53" s="84" t="n">
        <v>46209</v>
      </c>
      <c r="C53" t="inlineStr">
        <is>
          <t>HP Repuestos 2007 C.A</t>
        </is>
      </c>
      <c r="D53" s="85" t="n">
        <v>70</v>
      </c>
      <c r="E53" t="inlineStr">
        <is>
          <t>USD</t>
        </is>
      </c>
      <c r="F53" s="85">
        <f>IF(E53="USD", D53, D53/IFERROR(VLOOKUP(B53, Aux_Datos!$A:$H, 8, FALSE), 1))</f>
        <v/>
      </c>
    </row>
    <row r="54">
      <c r="A54" t="n">
        <v>909</v>
      </c>
      <c r="B54" s="84" t="n">
        <v>46209</v>
      </c>
      <c r="C54" t="inlineStr">
        <is>
          <t>Carlos Ruiz</t>
        </is>
      </c>
      <c r="D54" s="85" t="n">
        <v>200</v>
      </c>
      <c r="E54" t="inlineStr">
        <is>
          <t>USD</t>
        </is>
      </c>
      <c r="F54" s="85">
        <f>IF(E54="USD", D54, D54/IFERROR(VLOOKUP(B54, Aux_Datos!$A:$H, 8, FALSE), 1))</f>
        <v/>
      </c>
    </row>
    <row r="55">
      <c r="A55" t="n">
        <v>905</v>
      </c>
      <c r="B55" s="84" t="n">
        <v>46209</v>
      </c>
      <c r="C55" t="inlineStr">
        <is>
          <t>SJMG 2012 C.A</t>
        </is>
      </c>
      <c r="D55" s="85" t="n">
        <v>130</v>
      </c>
      <c r="E55" t="inlineStr">
        <is>
          <t>USD</t>
        </is>
      </c>
      <c r="F55" s="85">
        <f>IF(E55="USD", D55, D55/IFERROR(VLOOKUP(B55, Aux_Datos!$A:$H, 8, FALSE), 1))</f>
        <v/>
      </c>
    </row>
    <row r="56">
      <c r="A56" t="n">
        <v>904</v>
      </c>
      <c r="B56" s="84" t="n">
        <v>46209</v>
      </c>
      <c r="C56" t="inlineStr">
        <is>
          <t>SJMG 2012 C.A</t>
        </is>
      </c>
      <c r="D56" s="85" t="inlineStr">
        <is>
          <t>369.000,00</t>
        </is>
      </c>
      <c r="E56" t="inlineStr">
        <is>
          <t>VES</t>
        </is>
      </c>
      <c r="F56" s="85">
        <f>IF(E56="USD", D56, D56/IFERROR(VLOOKUP(B56, Aux_Datos!$A:$H, 8, FALSE), 1))</f>
        <v/>
      </c>
    </row>
    <row r="57">
      <c r="A57" t="n">
        <v>912</v>
      </c>
      <c r="B57" s="84" t="n">
        <v>46209</v>
      </c>
      <c r="C57" t="inlineStr">
        <is>
          <t>Lubristation, C.A.</t>
        </is>
      </c>
      <c r="D57" s="85" t="inlineStr">
        <is>
          <t>126.918,26</t>
        </is>
      </c>
      <c r="E57" t="inlineStr">
        <is>
          <t>VES</t>
        </is>
      </c>
      <c r="F57" s="85">
        <f>IF(E57="USD", D57, D57/IFERROR(VLOOKUP(B57, Aux_Datos!$A:$H, 8, FALSE), 1))</f>
        <v/>
      </c>
    </row>
    <row r="58">
      <c r="A58" t="n">
        <v>906</v>
      </c>
      <c r="B58" s="84" t="n">
        <v>46209</v>
      </c>
      <c r="C58" t="inlineStr">
        <is>
          <t>SERVICIOS Y MANTENIMIENTO SPACARS, C.A</t>
        </is>
      </c>
      <c r="D58" s="85" t="inlineStr">
        <is>
          <t>113.925,46</t>
        </is>
      </c>
      <c r="E58" t="inlineStr">
        <is>
          <t>VES</t>
        </is>
      </c>
      <c r="F58" s="85">
        <f>IF(E58="USD", D58, D58/IFERROR(VLOOKUP(B58, Aux_Datos!$A:$H, 8, FALSE), 1))</f>
        <v/>
      </c>
    </row>
    <row r="59">
      <c r="A59" t="n">
        <v>965</v>
      </c>
      <c r="B59" s="84" t="n">
        <v>46206</v>
      </c>
      <c r="C59" t="inlineStr">
        <is>
          <t>ELISA ALEJANDRA JIMÉNEZ SUÁREZ</t>
        </is>
      </c>
      <c r="D59" s="85" t="n">
        <v>70</v>
      </c>
      <c r="E59" t="inlineStr">
        <is>
          <t>USD</t>
        </is>
      </c>
      <c r="F59" s="85">
        <f>IF(E59="USD", D59, D59/IFERROR(VLOOKUP(B59, Aux_Datos!$A:$H, 8, FALSE), 1))</f>
        <v/>
      </c>
    </row>
    <row r="60">
      <c r="A60" t="n">
        <v>901</v>
      </c>
      <c r="B60" s="84" t="n">
        <v>46206</v>
      </c>
      <c r="C60" t="inlineStr">
        <is>
          <t>Dimas Ortíz</t>
        </is>
      </c>
      <c r="D60" s="85" t="n">
        <v>120</v>
      </c>
      <c r="E60" t="inlineStr">
        <is>
          <t>USD</t>
        </is>
      </c>
      <c r="F60" s="85">
        <f>IF(E60="USD", D60, D60/IFERROR(VLOOKUP(B60, Aux_Datos!$A:$H, 8, FALSE), 1))</f>
        <v/>
      </c>
    </row>
    <row r="61">
      <c r="A61" t="n">
        <v>895</v>
      </c>
      <c r="B61" s="84" t="n">
        <v>46206</v>
      </c>
      <c r="C61" t="inlineStr">
        <is>
          <t>Wili Mervin León Romero</t>
        </is>
      </c>
      <c r="D61" s="85" t="n">
        <v>70</v>
      </c>
      <c r="E61" t="inlineStr">
        <is>
          <t>USD</t>
        </is>
      </c>
      <c r="F61" s="85">
        <f>IF(E61="USD", D61, D61/IFERROR(VLOOKUP(B61, Aux_Datos!$A:$H, 8, FALSE), 1))</f>
        <v/>
      </c>
    </row>
    <row r="62">
      <c r="A62" t="n">
        <v>894</v>
      </c>
      <c r="B62" s="84" t="n">
        <v>46206</v>
      </c>
      <c r="C62" t="inlineStr">
        <is>
          <t>Luis Eduardo Piñero Calcurian</t>
        </is>
      </c>
      <c r="D62" s="85" t="n">
        <v>100</v>
      </c>
      <c r="E62" t="inlineStr">
        <is>
          <t>USD</t>
        </is>
      </c>
      <c r="F62" s="85">
        <f>IF(E62="USD", D62, D62/IFERROR(VLOOKUP(B62, Aux_Datos!$A:$H, 8, FALSE), 1))</f>
        <v/>
      </c>
    </row>
    <row r="63">
      <c r="A63" t="n">
        <v>893</v>
      </c>
      <c r="B63" s="84" t="n">
        <v>46206</v>
      </c>
      <c r="C63" t="inlineStr">
        <is>
          <t>Inversiones Vercris 17 C.A</t>
        </is>
      </c>
      <c r="D63" s="85" t="n">
        <v>30</v>
      </c>
      <c r="E63" t="inlineStr">
        <is>
          <t>USD</t>
        </is>
      </c>
      <c r="F63" s="85">
        <f>IF(E63="USD", D63, D63/IFERROR(VLOOKUP(B63, Aux_Datos!$A:$H, 8, FALSE), 1))</f>
        <v/>
      </c>
    </row>
    <row r="64">
      <c r="A64" t="n">
        <v>886</v>
      </c>
      <c r="B64" s="84" t="n">
        <v>46206</v>
      </c>
      <c r="C64" t="inlineStr">
        <is>
          <t>INVERSIONES JOSCAR XXI, S.A.</t>
        </is>
      </c>
      <c r="D64" s="85" t="n">
        <v>3</v>
      </c>
      <c r="E64" t="inlineStr">
        <is>
          <t>USD</t>
        </is>
      </c>
      <c r="F64" s="85">
        <f>IF(E64="USD", D64, D64/IFERROR(VLOOKUP(B64, Aux_Datos!$A:$H, 8, FALSE), 1))</f>
        <v/>
      </c>
    </row>
    <row r="65">
      <c r="A65" t="n">
        <v>885</v>
      </c>
      <c r="B65" s="84" t="n">
        <v>46206</v>
      </c>
      <c r="C65" t="inlineStr">
        <is>
          <t>INVERSIONES JOSCAR XXI, S.A.</t>
        </is>
      </c>
      <c r="D65" s="85" t="n">
        <v>52</v>
      </c>
      <c r="E65" t="inlineStr">
        <is>
          <t>USD</t>
        </is>
      </c>
      <c r="F65" s="85">
        <f>IF(E65="USD", D65, D65/IFERROR(VLOOKUP(B65, Aux_Datos!$A:$H, 8, FALSE), 1))</f>
        <v/>
      </c>
    </row>
    <row r="66">
      <c r="A66" t="n">
        <v>902</v>
      </c>
      <c r="B66" s="84" t="n">
        <v>46206</v>
      </c>
      <c r="C66" t="inlineStr">
        <is>
          <t>E&amp;M CAR SHOP C.A</t>
        </is>
      </c>
      <c r="D66" s="85" t="inlineStr">
        <is>
          <t>96.070,00</t>
        </is>
      </c>
      <c r="E66" t="inlineStr">
        <is>
          <t>VES</t>
        </is>
      </c>
      <c r="F66" s="85">
        <f>IF(E66="USD", D66, D66/IFERROR(VLOOKUP(B66, Aux_Datos!$A:$H, 8, FALSE), 1))</f>
        <v/>
      </c>
    </row>
    <row r="67">
      <c r="A67" t="n">
        <v>890</v>
      </c>
      <c r="B67" s="84" t="n">
        <v>46206</v>
      </c>
      <c r="C67" t="inlineStr">
        <is>
          <t>Ricardo A. Fernandez.</t>
        </is>
      </c>
      <c r="D67" s="85" t="inlineStr">
        <is>
          <t>30.000,00</t>
        </is>
      </c>
      <c r="E67" t="inlineStr">
        <is>
          <t>VES</t>
        </is>
      </c>
      <c r="F67" s="85">
        <f>IF(E67="USD", D67, D67/IFERROR(VLOOKUP(B67, Aux_Datos!$A:$H, 8, FALSE), 1))</f>
        <v/>
      </c>
    </row>
    <row r="68">
      <c r="A68" t="n">
        <v>889</v>
      </c>
      <c r="B68" s="84" t="n">
        <v>46206</v>
      </c>
      <c r="C68" t="inlineStr">
        <is>
          <t>Inversiones Famasa, C.A</t>
        </is>
      </c>
      <c r="D68" s="85" t="inlineStr">
        <is>
          <t>55.860,00</t>
        </is>
      </c>
      <c r="E68" t="inlineStr">
        <is>
          <t>VES</t>
        </is>
      </c>
      <c r="F68" s="85">
        <f>IF(E68="USD", D68, D68/IFERROR(VLOOKUP(B68, Aux_Datos!$A:$H, 8, FALSE), 1))</f>
        <v/>
      </c>
    </row>
    <row r="69">
      <c r="A69" t="n">
        <v>888</v>
      </c>
      <c r="B69" s="84" t="n">
        <v>46206</v>
      </c>
      <c r="C69" t="inlineStr">
        <is>
          <t>Inversiones Famasa, C.A</t>
        </is>
      </c>
      <c r="D69" s="85" t="inlineStr">
        <is>
          <t>73.500,00</t>
        </is>
      </c>
      <c r="E69" t="inlineStr">
        <is>
          <t>VES</t>
        </is>
      </c>
      <c r="F69" s="85">
        <f>IF(E69="USD", D69, D69/IFERROR(VLOOKUP(B69, Aux_Datos!$A:$H, 8, FALSE), 1))</f>
        <v/>
      </c>
    </row>
    <row r="70">
      <c r="A70" t="n">
        <v>887</v>
      </c>
      <c r="B70" s="84" t="n">
        <v>46206</v>
      </c>
      <c r="C70" t="inlineStr">
        <is>
          <t>Melany Madrid</t>
        </is>
      </c>
      <c r="D70" s="85" t="inlineStr">
        <is>
          <t>222.000,00</t>
        </is>
      </c>
      <c r="E70" t="inlineStr">
        <is>
          <t>VES</t>
        </is>
      </c>
      <c r="F70" s="85">
        <f>IF(E70="USD", D70, D70/IFERROR(VLOOKUP(B70, Aux_Datos!$A:$H, 8, FALSE), 1))</f>
        <v/>
      </c>
    </row>
    <row r="71">
      <c r="A71" t="n">
        <v>903</v>
      </c>
      <c r="B71" s="84" t="n">
        <v>46206</v>
      </c>
      <c r="C71" t="inlineStr">
        <is>
          <t>INVERSIONES SM 2191, C.A.</t>
        </is>
      </c>
      <c r="D71" s="85" t="n">
        <v>73</v>
      </c>
      <c r="E71" t="inlineStr">
        <is>
          <t>USD</t>
        </is>
      </c>
      <c r="F71" s="85">
        <f>IF(E71="USD", D71, D71/IFERROR(VLOOKUP(B71, Aux_Datos!$A:$H, 8, FALSE), 1))</f>
        <v/>
      </c>
    </row>
    <row r="72">
      <c r="A72" t="n">
        <v>878</v>
      </c>
      <c r="B72" s="84" t="n">
        <v>46205</v>
      </c>
      <c r="C72" t="inlineStr">
        <is>
          <t>Anthony Jose Quijada Diaz.</t>
        </is>
      </c>
      <c r="D72" s="85" t="n">
        <v>133.48</v>
      </c>
      <c r="E72" t="inlineStr">
        <is>
          <t>USD</t>
        </is>
      </c>
      <c r="F72" s="85">
        <f>IF(E72="USD", D72, D72/IFERROR(VLOOKUP(B72, Aux_Datos!$A:$H, 8, FALSE), 1))</f>
        <v/>
      </c>
    </row>
    <row r="73">
      <c r="A73" t="n">
        <v>879</v>
      </c>
      <c r="B73" s="84" t="n">
        <v>46205</v>
      </c>
      <c r="C73" t="inlineStr">
        <is>
          <t>Ramón Muñoz</t>
        </is>
      </c>
      <c r="D73" s="85" t="n">
        <v>74</v>
      </c>
      <c r="E73" t="inlineStr">
        <is>
          <t>USD</t>
        </is>
      </c>
      <c r="F73" s="85">
        <f>IF(E73="USD", D73, D73/IFERROR(VLOOKUP(B73, Aux_Datos!$A:$H, 8, FALSE), 1))</f>
        <v/>
      </c>
    </row>
    <row r="74">
      <c r="A74" t="n">
        <v>880</v>
      </c>
      <c r="B74" s="84" t="n">
        <v>46205</v>
      </c>
      <c r="C74" t="inlineStr">
        <is>
          <t>José Gabriel Pérez Mendez</t>
        </is>
      </c>
      <c r="D74" s="85" t="n">
        <v>53</v>
      </c>
      <c r="E74" t="inlineStr">
        <is>
          <t>USD</t>
        </is>
      </c>
      <c r="F74" s="85">
        <f>IF(E74="USD", D74, D74/IFERROR(VLOOKUP(B74, Aux_Datos!$A:$H, 8, FALSE), 1))</f>
        <v/>
      </c>
    </row>
    <row r="75">
      <c r="A75" t="n">
        <v>877</v>
      </c>
      <c r="B75" s="84" t="n">
        <v>46205</v>
      </c>
      <c r="C75" t="inlineStr">
        <is>
          <t>La cámara perfecta</t>
        </is>
      </c>
      <c r="D75" s="85" t="n">
        <v>150</v>
      </c>
      <c r="E75" t="inlineStr">
        <is>
          <t>USD</t>
        </is>
      </c>
      <c r="F75" s="85">
        <f>IF(E75="USD", D75, D75/IFERROR(VLOOKUP(B75, Aux_Datos!$A:$H, 8, FALSE), 1))</f>
        <v/>
      </c>
    </row>
    <row r="76">
      <c r="A76" t="n">
        <v>871</v>
      </c>
      <c r="B76" s="84" t="n">
        <v>46204</v>
      </c>
      <c r="C76" t="inlineStr">
        <is>
          <t>Emprendimiento Tomas Paz</t>
        </is>
      </c>
      <c r="D76" s="85" t="inlineStr">
        <is>
          <t>37.025,00</t>
        </is>
      </c>
      <c r="E76" t="inlineStr">
        <is>
          <t>VES</t>
        </is>
      </c>
      <c r="F76" s="85">
        <f>IF(E76="USD", D76, D76/IFERROR(VLOOKUP(B76, Aux_Datos!$A:$H, 8, FALSE), 1))</f>
        <v/>
      </c>
    </row>
    <row r="77">
      <c r="A77" t="n">
        <v>865</v>
      </c>
      <c r="B77" s="84" t="n">
        <v>46204</v>
      </c>
      <c r="C77" t="inlineStr">
        <is>
          <t>FREDI MARQUEZ</t>
        </is>
      </c>
      <c r="D77" s="85" t="inlineStr">
        <is>
          <t>53.792,24</t>
        </is>
      </c>
      <c r="E77" t="inlineStr">
        <is>
          <t>VES</t>
        </is>
      </c>
      <c r="F77" s="85">
        <f>IF(E77="USD", D77, D77/IFERROR(VLOOKUP(B77, Aux_Datos!$A:$H, 8, FALSE), 1))</f>
        <v/>
      </c>
    </row>
    <row r="78">
      <c r="A78" t="n">
        <v>1004</v>
      </c>
      <c r="B78" s="84" t="n">
        <v>46203</v>
      </c>
      <c r="C78" t="inlineStr">
        <is>
          <t>GRIMAN DIAZ HECTOR EDUARDO</t>
        </is>
      </c>
      <c r="D78" s="85" t="n">
        <v>71</v>
      </c>
      <c r="E78" t="inlineStr">
        <is>
          <t>USD</t>
        </is>
      </c>
      <c r="F78" s="85">
        <f>IF(E78="USD", D78, D78/IFERROR(VLOOKUP(B78, Aux_Datos!$A:$H, 8, FALSE), 1))</f>
        <v/>
      </c>
    </row>
    <row r="79">
      <c r="A79" t="n">
        <v>857</v>
      </c>
      <c r="B79" s="84" t="n">
        <v>46203</v>
      </c>
      <c r="C79" t="inlineStr">
        <is>
          <t>Motolavado Yahir</t>
        </is>
      </c>
      <c r="D79" s="85" t="n">
        <v>200</v>
      </c>
      <c r="E79" t="inlineStr">
        <is>
          <t>USD</t>
        </is>
      </c>
      <c r="F79" s="85">
        <f>IF(E79="USD", D79, D79/IFERROR(VLOOKUP(B79, Aux_Datos!$A:$H, 8, FALSE), 1))</f>
        <v/>
      </c>
    </row>
    <row r="80">
      <c r="A80" t="n">
        <v>854</v>
      </c>
      <c r="B80" s="84" t="n">
        <v>46203</v>
      </c>
      <c r="C80" t="inlineStr">
        <is>
          <t>Pedro Castro</t>
        </is>
      </c>
      <c r="D80" s="85" t="n">
        <v>160</v>
      </c>
      <c r="E80" t="inlineStr">
        <is>
          <t>USD</t>
        </is>
      </c>
      <c r="F80" s="85">
        <f>IF(E80="USD", D80, D80/IFERROR(VLOOKUP(B80, Aux_Datos!$A:$H, 8, FALSE), 1))</f>
        <v/>
      </c>
    </row>
    <row r="81">
      <c r="A81" t="n">
        <v>855</v>
      </c>
      <c r="B81" s="84" t="n">
        <v>46203</v>
      </c>
      <c r="C81" t="inlineStr">
        <is>
          <t>Sandra Katherine Quintero Crespo</t>
        </is>
      </c>
      <c r="D81" s="85" t="inlineStr">
        <is>
          <t>62.302,23</t>
        </is>
      </c>
      <c r="E81" t="inlineStr">
        <is>
          <t>VES</t>
        </is>
      </c>
      <c r="F81" s="85">
        <f>IF(E81="USD", D81, D81/IFERROR(VLOOKUP(B81, Aux_Datos!$A:$H, 8, FALSE), 1))</f>
        <v/>
      </c>
    </row>
    <row r="82">
      <c r="A82" t="n">
        <v>853</v>
      </c>
      <c r="B82" s="84" t="n">
        <v>46203</v>
      </c>
      <c r="C82" t="inlineStr">
        <is>
          <t>Yeifri Alexander Marquez Zerpa</t>
        </is>
      </c>
      <c r="D82" s="85" t="inlineStr">
        <is>
          <t>105.083,00</t>
        </is>
      </c>
      <c r="E82" t="inlineStr">
        <is>
          <t>VES</t>
        </is>
      </c>
      <c r="F82" s="85">
        <f>IF(E82="USD", D82, D82/IFERROR(VLOOKUP(B82, Aux_Datos!$A:$H, 8, FALSE), 1))</f>
        <v/>
      </c>
    </row>
    <row r="83">
      <c r="A83" t="n">
        <v>845</v>
      </c>
      <c r="B83" s="84" t="n">
        <v>46202</v>
      </c>
      <c r="C83" t="inlineStr">
        <is>
          <t>Dimas Ortíz</t>
        </is>
      </c>
      <c r="D83" s="85" t="n">
        <v>585</v>
      </c>
      <c r="E83" t="inlineStr">
        <is>
          <t>USD</t>
        </is>
      </c>
      <c r="F83" s="85">
        <f>IF(E83="USD", D83, D83/IFERROR(VLOOKUP(B83, Aux_Datos!$A:$H, 8, FALSE), 1))</f>
        <v/>
      </c>
    </row>
    <row r="84">
      <c r="A84" t="n">
        <v>851</v>
      </c>
      <c r="B84" s="84" t="n">
        <v>46202</v>
      </c>
      <c r="C84" t="inlineStr">
        <is>
          <t>FREDI MARQUEZ</t>
        </is>
      </c>
      <c r="D84" s="85" t="n">
        <v>120</v>
      </c>
      <c r="E84" t="inlineStr">
        <is>
          <t>USD</t>
        </is>
      </c>
      <c r="F84" s="85">
        <f>IF(E84="USD", D84, D84/IFERROR(VLOOKUP(B84, Aux_Datos!$A:$H, 8, FALSE), 1))</f>
        <v/>
      </c>
    </row>
    <row r="85">
      <c r="A85" t="n">
        <v>850</v>
      </c>
      <c r="B85" s="84" t="n">
        <v>46202</v>
      </c>
      <c r="C85" t="inlineStr">
        <is>
          <t>FREDI MARQUEZ</t>
        </is>
      </c>
      <c r="D85" s="85" t="inlineStr">
        <is>
          <t>68.302,16</t>
        </is>
      </c>
      <c r="E85" t="inlineStr">
        <is>
          <t>VES</t>
        </is>
      </c>
      <c r="F85" s="85">
        <f>IF(E85="USD", D85, D85/IFERROR(VLOOKUP(B85, Aux_Datos!$A:$H, 8, FALSE), 1))</f>
        <v/>
      </c>
    </row>
    <row r="86">
      <c r="A86" t="n">
        <v>848</v>
      </c>
      <c r="B86" s="84" t="n">
        <v>46202</v>
      </c>
      <c r="C86" t="inlineStr">
        <is>
          <t>La cámara perfecta</t>
        </is>
      </c>
      <c r="D86" s="85" t="inlineStr">
        <is>
          <t>232.352,52</t>
        </is>
      </c>
      <c r="E86" t="inlineStr">
        <is>
          <t>VES</t>
        </is>
      </c>
      <c r="F86" s="85">
        <f>IF(E86="USD", D86, D86/IFERROR(VLOOKUP(B86, Aux_Datos!$A:$H, 8, FALSE), 1))</f>
        <v/>
      </c>
    </row>
    <row r="87">
      <c r="A87" t="n">
        <v>982</v>
      </c>
      <c r="B87" s="84" t="n">
        <v>46196</v>
      </c>
      <c r="C87" t="inlineStr">
        <is>
          <t>AGROPECUARIA LECHE Y MIEL, C.A</t>
        </is>
      </c>
      <c r="D87" s="85" t="inlineStr">
        <is>
          <t>21.577,54</t>
        </is>
      </c>
      <c r="E87" t="inlineStr">
        <is>
          <t>USD</t>
        </is>
      </c>
      <c r="F87" s="85">
        <f>IF(E87="USD", D87, D87/IFERROR(VLOOKUP(B87, Aux_Datos!$A:$H, 8, FALSE), 1))</f>
        <v/>
      </c>
    </row>
    <row r="88">
      <c r="A88" t="n">
        <v>836</v>
      </c>
      <c r="B88" s="84" t="n">
        <v>46196</v>
      </c>
      <c r="C88" t="inlineStr">
        <is>
          <t>INVERSIONES JOSCAR XXI, S.A.</t>
        </is>
      </c>
      <c r="D88" s="85" t="n">
        <v>100</v>
      </c>
      <c r="E88" t="inlineStr">
        <is>
          <t>USD</t>
        </is>
      </c>
      <c r="F88" s="85">
        <f>IF(E88="USD", D88, D88/IFERROR(VLOOKUP(B88, Aux_Datos!$A:$H, 8, FALSE), 1))</f>
        <v/>
      </c>
    </row>
    <row r="89">
      <c r="A89" t="n">
        <v>832</v>
      </c>
      <c r="B89" s="84" t="n">
        <v>46196</v>
      </c>
      <c r="C89" t="inlineStr">
        <is>
          <t>Nemer Bourji</t>
        </is>
      </c>
      <c r="D89" s="85" t="n">
        <v>40</v>
      </c>
      <c r="E89" t="inlineStr">
        <is>
          <t>USD</t>
        </is>
      </c>
      <c r="F89" s="85">
        <f>IF(E89="USD", D89, D89/IFERROR(VLOOKUP(B89, Aux_Datos!$A:$H, 8, FALSE), 1))</f>
        <v/>
      </c>
    </row>
    <row r="90">
      <c r="A90" t="n">
        <v>843</v>
      </c>
      <c r="B90" s="84" t="n">
        <v>46196</v>
      </c>
      <c r="C90" t="inlineStr">
        <is>
          <t>PROYECTO MAQUIVEIRO 21 C.A.</t>
        </is>
      </c>
      <c r="D90" s="85" t="n">
        <v>150</v>
      </c>
      <c r="E90" t="inlineStr">
        <is>
          <t>USD</t>
        </is>
      </c>
      <c r="F90" s="85">
        <f>IF(E90="USD", D90, D90/IFERROR(VLOOKUP(B90, Aux_Datos!$A:$H, 8, FALSE), 1))</f>
        <v/>
      </c>
    </row>
    <row r="91">
      <c r="A91" t="n">
        <v>828</v>
      </c>
      <c r="B91" s="84" t="n">
        <v>46196</v>
      </c>
      <c r="C91" t="inlineStr">
        <is>
          <t>Inversiones Vercris 17 C.A</t>
        </is>
      </c>
      <c r="D91" s="85" t="n">
        <v>120</v>
      </c>
      <c r="E91" t="inlineStr">
        <is>
          <t>USD</t>
        </is>
      </c>
      <c r="F91" s="85">
        <f>IF(E91="USD", D91, D91/IFERROR(VLOOKUP(B91, Aux_Datos!$A:$H, 8, FALSE), 1))</f>
        <v/>
      </c>
    </row>
    <row r="92">
      <c r="A92" t="n">
        <v>842</v>
      </c>
      <c r="B92" s="84" t="n">
        <v>46196</v>
      </c>
      <c r="C92" t="inlineStr">
        <is>
          <t>Cauchera William 2018, C.A</t>
        </is>
      </c>
      <c r="D92" s="85" t="n">
        <v>20</v>
      </c>
      <c r="E92" t="inlineStr">
        <is>
          <t>USD</t>
        </is>
      </c>
      <c r="F92" s="85">
        <f>IF(E92="USD", D92, D92/IFERROR(VLOOKUP(B92, Aux_Datos!$A:$H, 8, FALSE), 1))</f>
        <v/>
      </c>
    </row>
    <row r="93">
      <c r="A93" t="n">
        <v>825</v>
      </c>
      <c r="B93" s="84" t="n">
        <v>46196</v>
      </c>
      <c r="C93" t="inlineStr">
        <is>
          <t>Junior Bermudez</t>
        </is>
      </c>
      <c r="D93" s="85" t="n">
        <v>20</v>
      </c>
      <c r="E93" t="inlineStr">
        <is>
          <t>USD</t>
        </is>
      </c>
      <c r="F93" s="85">
        <f>IF(E93="USD", D93, D93/IFERROR(VLOOKUP(B93, Aux_Datos!$A:$H, 8, FALSE), 1))</f>
        <v/>
      </c>
    </row>
    <row r="94">
      <c r="A94" t="n">
        <v>822</v>
      </c>
      <c r="B94" s="84" t="n">
        <v>46196</v>
      </c>
      <c r="C94" t="inlineStr">
        <is>
          <t>Comercializadora Garabote</t>
        </is>
      </c>
      <c r="D94" s="85" t="n">
        <v>200</v>
      </c>
      <c r="E94" t="inlineStr">
        <is>
          <t>USD</t>
        </is>
      </c>
      <c r="F94" s="85">
        <f>IF(E94="USD", D94, D94/IFERROR(VLOOKUP(B94, Aux_Datos!$A:$H, 8, FALSE), 1))</f>
        <v/>
      </c>
    </row>
    <row r="95">
      <c r="A95" t="n">
        <v>884</v>
      </c>
      <c r="B95" s="84" t="n">
        <v>46196</v>
      </c>
      <c r="C95" t="inlineStr">
        <is>
          <t>Sandra Katherine Quintero Crespo</t>
        </is>
      </c>
      <c r="D95" s="85" t="inlineStr">
        <is>
          <t>242.396,70</t>
        </is>
      </c>
      <c r="E95" t="inlineStr">
        <is>
          <t>VES</t>
        </is>
      </c>
      <c r="F95" s="85">
        <f>IF(E95="USD", D95, D95/IFERROR(VLOOKUP(B95, Aux_Datos!$A:$H, 8, FALSE), 1))</f>
        <v/>
      </c>
    </row>
    <row r="96">
      <c r="A96" t="n">
        <v>844</v>
      </c>
      <c r="B96" s="84" t="n">
        <v>46196</v>
      </c>
      <c r="C96" t="inlineStr">
        <is>
          <t>SERVICIOS Y MANTENIMIENTO SPACARS, C.A</t>
        </is>
      </c>
      <c r="D96" s="85" t="inlineStr">
        <is>
          <t>549.717,40</t>
        </is>
      </c>
      <c r="E96" t="inlineStr">
        <is>
          <t>VES</t>
        </is>
      </c>
      <c r="F96" s="85">
        <f>IF(E96="USD", D96, D96/IFERROR(VLOOKUP(B96, Aux_Datos!$A:$H, 8, FALSE), 1))</f>
        <v/>
      </c>
    </row>
    <row r="97">
      <c r="A97" t="n">
        <v>841</v>
      </c>
      <c r="B97" s="84" t="n">
        <v>46196</v>
      </c>
      <c r="C97" t="inlineStr">
        <is>
          <t>Cauchera William 2018, C.A</t>
        </is>
      </c>
      <c r="D97" s="85" t="inlineStr">
        <is>
          <t>30.000,00</t>
        </is>
      </c>
      <c r="E97" t="inlineStr">
        <is>
          <t>VES</t>
        </is>
      </c>
      <c r="F97" s="85">
        <f>IF(E97="USD", D97, D97/IFERROR(VLOOKUP(B97, Aux_Datos!$A:$H, 8, FALSE), 1))</f>
        <v/>
      </c>
    </row>
    <row r="98">
      <c r="A98" t="n">
        <v>816</v>
      </c>
      <c r="B98" s="84" t="n">
        <v>46195</v>
      </c>
      <c r="C98" t="inlineStr">
        <is>
          <t>INVERSIONES DA &amp; JE,</t>
        </is>
      </c>
      <c r="D98" s="85" t="n">
        <v>20</v>
      </c>
      <c r="E98" t="inlineStr">
        <is>
          <t>USD</t>
        </is>
      </c>
      <c r="F98" s="85">
        <f>IF(E98="USD", D98, D98/IFERROR(VLOOKUP(B98, Aux_Datos!$A:$H, 8, FALSE), 1))</f>
        <v/>
      </c>
    </row>
    <row r="99">
      <c r="A99" t="n">
        <v>818</v>
      </c>
      <c r="B99" s="84" t="n">
        <v>46195</v>
      </c>
      <c r="C99" t="inlineStr">
        <is>
          <t>Carlos Ruiz</t>
        </is>
      </c>
      <c r="D99" s="85" t="n">
        <v>100</v>
      </c>
      <c r="E99" t="inlineStr">
        <is>
          <t>USD</t>
        </is>
      </c>
      <c r="F99" s="85">
        <f>IF(E99="USD", D99, D99/IFERROR(VLOOKUP(B99, Aux_Datos!$A:$H, 8, FALSE), 1))</f>
        <v/>
      </c>
    </row>
    <row r="100">
      <c r="A100" t="n">
        <v>812</v>
      </c>
      <c r="B100" s="84" t="n">
        <v>46195</v>
      </c>
      <c r="C100" t="inlineStr">
        <is>
          <t>Lubricantes BK C.A</t>
        </is>
      </c>
      <c r="D100" s="85" t="n">
        <v>100</v>
      </c>
      <c r="E100" t="inlineStr">
        <is>
          <t>USD</t>
        </is>
      </c>
      <c r="F100" s="85">
        <f>IF(E100="USD", D100, D100/IFERROR(VLOOKUP(B100, Aux_Datos!$A:$H, 8, FALSE), 1))</f>
        <v/>
      </c>
    </row>
    <row r="101">
      <c r="A101" t="n">
        <v>810</v>
      </c>
      <c r="B101" s="84" t="n">
        <v>46195</v>
      </c>
      <c r="C101" t="inlineStr">
        <is>
          <t>Luis Eduardo Piñero Calcurian</t>
        </is>
      </c>
      <c r="D101" s="85" t="n">
        <v>73</v>
      </c>
      <c r="E101" t="inlineStr">
        <is>
          <t>USD</t>
        </is>
      </c>
      <c r="F101" s="85">
        <f>IF(E101="USD", D101, D101/IFERROR(VLOOKUP(B101, Aux_Datos!$A:$H, 8, FALSE), 1))</f>
        <v/>
      </c>
    </row>
    <row r="102">
      <c r="A102" t="n">
        <v>998</v>
      </c>
      <c r="B102" s="84" t="n">
        <v>46195</v>
      </c>
      <c r="C102" t="inlineStr">
        <is>
          <t>CONSTRUCTORA GRANO AGREGADO, C.A</t>
        </is>
      </c>
      <c r="D102" s="85" t="inlineStr">
        <is>
          <t>1.663.301,20</t>
        </is>
      </c>
      <c r="E102" t="inlineStr">
        <is>
          <t>VES</t>
        </is>
      </c>
      <c r="F102" s="85">
        <f>IF(E102="USD", D102, D102/IFERROR(VLOOKUP(B102, Aux_Datos!$A:$H, 8, FALSE), 1))</f>
        <v/>
      </c>
    </row>
    <row r="103">
      <c r="A103" t="n">
        <v>819</v>
      </c>
      <c r="B103" s="84" t="n">
        <v>46195</v>
      </c>
      <c r="C103" t="inlineStr">
        <is>
          <t>Carlos Ruiz</t>
        </is>
      </c>
      <c r="D103" s="85" t="inlineStr">
        <is>
          <t>79.600,00</t>
        </is>
      </c>
      <c r="E103" t="inlineStr">
        <is>
          <t>VES</t>
        </is>
      </c>
      <c r="F103" s="85">
        <f>IF(E103="USD", D103, D103/IFERROR(VLOOKUP(B103, Aux_Datos!$A:$H, 8, FALSE), 1))</f>
        <v/>
      </c>
    </row>
    <row r="104">
      <c r="A104" t="n">
        <v>814</v>
      </c>
      <c r="B104" s="84" t="n">
        <v>46195</v>
      </c>
      <c r="C104" t="inlineStr">
        <is>
          <t>LA CASA DE LAS BATERIAS</t>
        </is>
      </c>
      <c r="D104" s="85" t="inlineStr">
        <is>
          <t>18.372,90</t>
        </is>
      </c>
      <c r="E104" t="inlineStr">
        <is>
          <t>VES</t>
        </is>
      </c>
      <c r="F104" s="85">
        <f>IF(E104="USD", D104, D104/IFERROR(VLOOKUP(B104, Aux_Datos!$A:$H, 8, FALSE), 1))</f>
        <v/>
      </c>
    </row>
    <row r="105">
      <c r="A105" t="n">
        <v>803</v>
      </c>
      <c r="B105" s="84" t="n">
        <v>46192</v>
      </c>
      <c r="C105" t="inlineStr">
        <is>
          <t>Inversiones La Bendición del Nazareno, C.A</t>
        </is>
      </c>
      <c r="D105" s="85" t="n">
        <v>500</v>
      </c>
      <c r="E105" t="inlineStr">
        <is>
          <t>USD</t>
        </is>
      </c>
      <c r="F105" s="85">
        <f>IF(E105="USD", D105, D105/IFERROR(VLOOKUP(B105, Aux_Datos!$A:$H, 8, FALSE), 1))</f>
        <v/>
      </c>
    </row>
    <row r="106">
      <c r="A106" t="n">
        <v>800</v>
      </c>
      <c r="B106" s="84" t="n">
        <v>46192</v>
      </c>
      <c r="C106" t="inlineStr">
        <is>
          <t>Inversiones Mirelkys C.A</t>
        </is>
      </c>
      <c r="D106" s="85" t="n">
        <v>50</v>
      </c>
      <c r="E106" t="inlineStr">
        <is>
          <t>USD</t>
        </is>
      </c>
      <c r="F106" s="85">
        <f>IF(E106="USD", D106, D106/IFERROR(VLOOKUP(B106, Aux_Datos!$A:$H, 8, FALSE), 1))</f>
        <v/>
      </c>
    </row>
    <row r="107">
      <c r="A107" t="n">
        <v>802</v>
      </c>
      <c r="B107" s="84" t="n">
        <v>46192</v>
      </c>
      <c r="C107" t="inlineStr">
        <is>
          <t>MOTOREPUESTOS EL GUANÁBANO YRM C.A.</t>
        </is>
      </c>
      <c r="D107" s="85" t="n">
        <v>40</v>
      </c>
      <c r="E107" t="inlineStr">
        <is>
          <t>USD</t>
        </is>
      </c>
      <c r="F107" s="85">
        <f>IF(E107="USD", D107, D107/IFERROR(VLOOKUP(B107, Aux_Datos!$A:$H, 8, FALSE), 1))</f>
        <v/>
      </c>
    </row>
    <row r="108">
      <c r="A108" t="n">
        <v>805</v>
      </c>
      <c r="B108" s="84" t="n">
        <v>46192</v>
      </c>
      <c r="C108" t="inlineStr">
        <is>
          <t>Emprendimiento Jordy Valencia</t>
        </is>
      </c>
      <c r="D108" s="85" t="n">
        <v>80</v>
      </c>
      <c r="E108" t="inlineStr">
        <is>
          <t>USD</t>
        </is>
      </c>
      <c r="F108" s="85">
        <f>IF(E108="USD", D108, D108/IFERROR(VLOOKUP(B108, Aux_Datos!$A:$H, 8, FALSE), 1))</f>
        <v/>
      </c>
    </row>
    <row r="109">
      <c r="A109" t="n">
        <v>806</v>
      </c>
      <c r="B109" s="84" t="n">
        <v>46192</v>
      </c>
      <c r="C109" t="inlineStr">
        <is>
          <t>E&amp;M CAR SHOP C.A</t>
        </is>
      </c>
      <c r="D109" s="85" t="n">
        <v>390</v>
      </c>
      <c r="E109" t="inlineStr">
        <is>
          <t>USD</t>
        </is>
      </c>
      <c r="F109" s="85">
        <f>IF(E109="USD", D109, D109/IFERROR(VLOOKUP(B109, Aux_Datos!$A:$H, 8, FALSE), 1))</f>
        <v/>
      </c>
    </row>
    <row r="110">
      <c r="A110" t="n">
        <v>804</v>
      </c>
      <c r="B110" s="84" t="n">
        <v>46192</v>
      </c>
      <c r="C110" t="inlineStr">
        <is>
          <t>Junior Marco Antonio Vivas Navas</t>
        </is>
      </c>
      <c r="D110" s="85" t="n">
        <v>39</v>
      </c>
      <c r="E110" t="inlineStr">
        <is>
          <t>USD</t>
        </is>
      </c>
      <c r="F110" s="85">
        <f>IF(E110="USD", D110, D110/IFERROR(VLOOKUP(B110, Aux_Datos!$A:$H, 8, FALSE), 1))</f>
        <v/>
      </c>
    </row>
    <row r="111">
      <c r="A111" t="n">
        <v>801</v>
      </c>
      <c r="B111" s="84" t="n">
        <v>46192</v>
      </c>
      <c r="C111" t="inlineStr">
        <is>
          <t>INVERSIONES SM 2191, C.A.</t>
        </is>
      </c>
      <c r="D111" s="85" t="n">
        <v>100</v>
      </c>
      <c r="E111" t="inlineStr">
        <is>
          <t>USD</t>
        </is>
      </c>
      <c r="F111" s="85">
        <f>IF(E111="USD", D111, D111/IFERROR(VLOOKUP(B111, Aux_Datos!$A:$H, 8, FALSE), 1))</f>
        <v/>
      </c>
    </row>
    <row r="112">
      <c r="A112" t="n">
        <v>799</v>
      </c>
      <c r="B112" s="84" t="n">
        <v>46192</v>
      </c>
      <c r="C112" t="inlineStr">
        <is>
          <t>Moises Alejandro Mares</t>
        </is>
      </c>
      <c r="D112" s="85" t="n">
        <v>20</v>
      </c>
      <c r="E112" t="inlineStr">
        <is>
          <t>USD</t>
        </is>
      </c>
      <c r="F112" s="85">
        <f>IF(E112="USD", D112, D112/IFERROR(VLOOKUP(B112, Aux_Datos!$A:$H, 8, FALSE), 1))</f>
        <v/>
      </c>
    </row>
    <row r="113">
      <c r="A113" t="n">
        <v>794</v>
      </c>
      <c r="B113" s="84" t="n">
        <v>46192</v>
      </c>
      <c r="C113" t="inlineStr">
        <is>
          <t>Comercializadora Garabote</t>
        </is>
      </c>
      <c r="D113" s="85" t="n">
        <v>100</v>
      </c>
      <c r="E113" t="inlineStr">
        <is>
          <t>USD</t>
        </is>
      </c>
      <c r="F113" s="85">
        <f>IF(E113="USD", D113, D113/IFERROR(VLOOKUP(B113, Aux_Datos!$A:$H, 8, FALSE), 1))</f>
        <v/>
      </c>
    </row>
    <row r="114">
      <c r="A114" t="n">
        <v>980</v>
      </c>
      <c r="B114" s="84" t="n">
        <v>46192</v>
      </c>
      <c r="C114" t="inlineStr">
        <is>
          <t>Diana Carolina Torres</t>
        </is>
      </c>
      <c r="D114" s="85" t="inlineStr">
        <is>
          <t>24.320,00</t>
        </is>
      </c>
      <c r="E114" t="inlineStr">
        <is>
          <t>VES</t>
        </is>
      </c>
      <c r="F114" s="85">
        <f>IF(E114="USD", D114, D114/IFERROR(VLOOKUP(B114, Aux_Datos!$A:$H, 8, FALSE), 1))</f>
        <v/>
      </c>
    </row>
    <row r="115">
      <c r="A115" t="n">
        <v>792</v>
      </c>
      <c r="B115" s="84" t="n">
        <v>46192</v>
      </c>
      <c r="C115" t="inlineStr">
        <is>
          <t>UBAG Services,c.a.</t>
        </is>
      </c>
      <c r="D115" s="85" t="inlineStr">
        <is>
          <t>197.577,99</t>
        </is>
      </c>
      <c r="E115" t="inlineStr">
        <is>
          <t>VES</t>
        </is>
      </c>
      <c r="F115" s="85">
        <f>IF(E115="USD", D115, D115/IFERROR(VLOOKUP(B115, Aux_Datos!$A:$H, 8, FALSE), 1))</f>
        <v/>
      </c>
    </row>
    <row r="116">
      <c r="A116" t="n">
        <v>793</v>
      </c>
      <c r="B116" s="84" t="n">
        <v>46192</v>
      </c>
      <c r="C116" t="inlineStr">
        <is>
          <t>York Dick Mujica Andarcia</t>
        </is>
      </c>
      <c r="D116" s="85" t="inlineStr">
        <is>
          <t>18.221,70</t>
        </is>
      </c>
      <c r="E116" t="inlineStr">
        <is>
          <t>VES</t>
        </is>
      </c>
      <c r="F116" s="85">
        <f>IF(E116="USD", D116, D116/IFERROR(VLOOKUP(B116, Aux_Datos!$A:$H, 8, FALSE), 1))</f>
        <v/>
      </c>
    </row>
    <row r="117">
      <c r="A117" t="n">
        <v>788</v>
      </c>
      <c r="B117" s="84" t="n">
        <v>46191</v>
      </c>
      <c r="C117" t="inlineStr">
        <is>
          <t>Inversiones Los compadres 7686, c.a.</t>
        </is>
      </c>
      <c r="D117" s="85" t="n">
        <v>20</v>
      </c>
      <c r="E117" t="inlineStr">
        <is>
          <t>USD</t>
        </is>
      </c>
      <c r="F117" s="85">
        <f>IF(E117="USD", D117, D117/IFERROR(VLOOKUP(B117, Aux_Datos!$A:$H, 8, FALSE), 1))</f>
        <v/>
      </c>
    </row>
    <row r="118">
      <c r="A118" t="n">
        <v>790</v>
      </c>
      <c r="B118" s="84" t="n">
        <v>46191</v>
      </c>
      <c r="C118" t="inlineStr">
        <is>
          <t>Repuestos Guia Dios Nuestro Camino,c.a.</t>
        </is>
      </c>
      <c r="D118" s="85" t="n">
        <v>15</v>
      </c>
      <c r="E118" t="inlineStr">
        <is>
          <t>USD</t>
        </is>
      </c>
      <c r="F118" s="85">
        <f>IF(E118="USD", D118, D118/IFERROR(VLOOKUP(B118, Aux_Datos!$A:$H, 8, FALSE), 1))</f>
        <v/>
      </c>
    </row>
    <row r="119">
      <c r="A119" t="n">
        <v>789</v>
      </c>
      <c r="B119" s="84" t="n">
        <v>46191</v>
      </c>
      <c r="C119" t="inlineStr">
        <is>
          <t>Emprendimiento Eduardo Pérez 6</t>
        </is>
      </c>
      <c r="D119" s="85" t="n">
        <v>20</v>
      </c>
      <c r="E119" t="inlineStr">
        <is>
          <t>USD</t>
        </is>
      </c>
      <c r="F119" s="85">
        <f>IF(E119="USD", D119, D119/IFERROR(VLOOKUP(B119, Aux_Datos!$A:$H, 8, FALSE), 1))</f>
        <v/>
      </c>
    </row>
    <row r="120">
      <c r="A120" t="n">
        <v>983</v>
      </c>
      <c r="B120" s="84" t="n">
        <v>46191</v>
      </c>
      <c r="C120" t="inlineStr">
        <is>
          <t>Diana Carolina Torres</t>
        </is>
      </c>
      <c r="D120" s="85" t="inlineStr">
        <is>
          <t>60.300,00</t>
        </is>
      </c>
      <c r="E120" t="inlineStr">
        <is>
          <t>VES</t>
        </is>
      </c>
      <c r="F120" s="85">
        <f>IF(E120="USD", D120, D120/IFERROR(VLOOKUP(B120, Aux_Datos!$A:$H, 8, FALSE), 1))</f>
        <v/>
      </c>
    </row>
    <row r="121">
      <c r="A121" t="n">
        <v>787</v>
      </c>
      <c r="B121" s="84" t="n">
        <v>46191</v>
      </c>
      <c r="C121" t="inlineStr">
        <is>
          <t>Cauchera William 2018, C.A</t>
        </is>
      </c>
      <c r="D121" s="85" t="inlineStr">
        <is>
          <t>30.000,00</t>
        </is>
      </c>
      <c r="E121" t="inlineStr">
        <is>
          <t>VES</t>
        </is>
      </c>
      <c r="F121" s="85">
        <f>IF(E121="USD", D121, D121/IFERROR(VLOOKUP(B121, Aux_Datos!$A:$H, 8, FALSE), 1))</f>
        <v/>
      </c>
    </row>
    <row r="122">
      <c r="A122" t="n">
        <v>780</v>
      </c>
      <c r="B122" s="84" t="n">
        <v>46190</v>
      </c>
      <c r="C122" t="inlineStr">
        <is>
          <t>DIADOMHAN AUTOMOTRIZ, C.A.</t>
        </is>
      </c>
      <c r="D122" s="85" t="n">
        <v>120</v>
      </c>
      <c r="E122" t="inlineStr">
        <is>
          <t>USD</t>
        </is>
      </c>
      <c r="F122" s="85">
        <f>IF(E122="USD", D122, D122/IFERROR(VLOOKUP(B122, Aux_Datos!$A:$H, 8, FALSE), 1))</f>
        <v/>
      </c>
    </row>
    <row r="123">
      <c r="A123" t="n">
        <v>777</v>
      </c>
      <c r="B123" s="84" t="n">
        <v>46190</v>
      </c>
      <c r="C123" t="inlineStr">
        <is>
          <t>Emprendimiento YSKRA</t>
        </is>
      </c>
      <c r="D123" s="85" t="n">
        <v>28</v>
      </c>
      <c r="E123" t="inlineStr">
        <is>
          <t>USD</t>
        </is>
      </c>
      <c r="F123" s="85">
        <f>IF(E123="USD", D123, D123/IFERROR(VLOOKUP(B123, Aux_Datos!$A:$H, 8, FALSE), 1))</f>
        <v/>
      </c>
    </row>
    <row r="124">
      <c r="A124" t="n">
        <v>774</v>
      </c>
      <c r="B124" s="84" t="n">
        <v>46190</v>
      </c>
      <c r="C124" t="inlineStr">
        <is>
          <t>Grupo KACAOIL,C.A.</t>
        </is>
      </c>
      <c r="D124" s="85" t="inlineStr">
        <is>
          <t>59.678,00</t>
        </is>
      </c>
      <c r="E124" t="inlineStr">
        <is>
          <t>VES</t>
        </is>
      </c>
      <c r="F124" s="85">
        <f>IF(E124="USD", D124, D124/IFERROR(VLOOKUP(B124, Aux_Datos!$A:$H, 8, FALSE), 1))</f>
        <v/>
      </c>
    </row>
    <row r="125">
      <c r="A125" t="n">
        <v>767</v>
      </c>
      <c r="B125" s="84" t="n">
        <v>46189</v>
      </c>
      <c r="C125" t="inlineStr">
        <is>
          <t>Melany Madrid</t>
        </is>
      </c>
      <c r="D125" s="85" t="n">
        <v>200</v>
      </c>
      <c r="E125" t="inlineStr">
        <is>
          <t>USD</t>
        </is>
      </c>
      <c r="F125" s="85">
        <f>IF(E125="USD", D125, D125/IFERROR(VLOOKUP(B125, Aux_Datos!$A:$H, 8, FALSE), 1))</f>
        <v/>
      </c>
    </row>
    <row r="126">
      <c r="A126" t="n">
        <v>771</v>
      </c>
      <c r="B126" s="84" t="n">
        <v>46189</v>
      </c>
      <c r="C126" t="inlineStr">
        <is>
          <t>REPRESENTACIONES LAGUS MEL, C. A</t>
        </is>
      </c>
      <c r="D126" s="85" t="n">
        <v>100</v>
      </c>
      <c r="E126" t="inlineStr">
        <is>
          <t>USD</t>
        </is>
      </c>
      <c r="F126" s="85">
        <f>IF(E126="USD", D126, D126/IFERROR(VLOOKUP(B126, Aux_Datos!$A:$H, 8, FALSE), 1))</f>
        <v/>
      </c>
    </row>
    <row r="127">
      <c r="A127" t="n">
        <v>770</v>
      </c>
      <c r="B127" s="84" t="n">
        <v>46189</v>
      </c>
      <c r="C127" t="inlineStr">
        <is>
          <t>SJMG 2012 C.A</t>
        </is>
      </c>
      <c r="D127" s="85" t="n">
        <v>100</v>
      </c>
      <c r="E127" t="inlineStr">
        <is>
          <t>USD</t>
        </is>
      </c>
      <c r="F127" s="85">
        <f>IF(E127="USD", D127, D127/IFERROR(VLOOKUP(B127, Aux_Datos!$A:$H, 8, FALSE), 1))</f>
        <v/>
      </c>
    </row>
    <row r="128">
      <c r="A128" t="n">
        <v>779</v>
      </c>
      <c r="B128" s="84" t="n">
        <v>46189</v>
      </c>
      <c r="C128" t="inlineStr">
        <is>
          <t>Sandra Katherine Quintero Crespo</t>
        </is>
      </c>
      <c r="D128" s="85" t="inlineStr">
        <is>
          <t>83.567,00</t>
        </is>
      </c>
      <c r="E128" t="inlineStr">
        <is>
          <t>VES</t>
        </is>
      </c>
      <c r="F128" s="85">
        <f>IF(E128="USD", D128, D128/IFERROR(VLOOKUP(B128, Aux_Datos!$A:$H, 8, FALSE), 1))</f>
        <v/>
      </c>
    </row>
    <row r="129">
      <c r="A129" t="n">
        <v>764</v>
      </c>
      <c r="B129" s="84" t="n">
        <v>46189</v>
      </c>
      <c r="C129" t="inlineStr">
        <is>
          <t>Javier Cardenas Prato.</t>
        </is>
      </c>
      <c r="D129" s="85" t="inlineStr">
        <is>
          <t>59.300,00</t>
        </is>
      </c>
      <c r="E129" t="inlineStr">
        <is>
          <t>VES</t>
        </is>
      </c>
      <c r="F129" s="85">
        <f>IF(E129="USD", D129, D129/IFERROR(VLOOKUP(B129, Aux_Datos!$A:$H, 8, FALSE), 1))</f>
        <v/>
      </c>
    </row>
    <row r="130">
      <c r="A130" t="n">
        <v>755</v>
      </c>
      <c r="B130" s="84" t="n">
        <v>46188</v>
      </c>
      <c r="C130" t="inlineStr">
        <is>
          <t>La cámara perfecta</t>
        </is>
      </c>
      <c r="D130" s="85" t="n">
        <v>100</v>
      </c>
      <c r="E130" t="inlineStr">
        <is>
          <t>USD</t>
        </is>
      </c>
      <c r="F130" s="85">
        <f>IF(E130="USD", D130, D130/IFERROR(VLOOKUP(B130, Aux_Datos!$A:$H, 8, FALSE), 1))</f>
        <v/>
      </c>
    </row>
    <row r="131">
      <c r="A131" t="n">
        <v>754</v>
      </c>
      <c r="B131" s="84" t="n">
        <v>46188</v>
      </c>
      <c r="C131" t="inlineStr">
        <is>
          <t>Emprendimiento ilaris cancelo</t>
        </is>
      </c>
      <c r="D131" s="85" t="n">
        <v>650</v>
      </c>
      <c r="E131" t="inlineStr">
        <is>
          <t>USD</t>
        </is>
      </c>
      <c r="F131" s="85">
        <f>IF(E131="USD", D131, D131/IFERROR(VLOOKUP(B131, Aux_Datos!$A:$H, 8, FALSE), 1))</f>
        <v/>
      </c>
    </row>
    <row r="132">
      <c r="A132" t="n">
        <v>947</v>
      </c>
      <c r="B132" s="84" t="n">
        <v>46188</v>
      </c>
      <c r="C132" t="inlineStr">
        <is>
          <t>CONSTRUCTORA GRANO AGREGADO, C.A</t>
        </is>
      </c>
      <c r="D132" s="85" t="inlineStr">
        <is>
          <t>1.595.329,81</t>
        </is>
      </c>
      <c r="E132" t="inlineStr">
        <is>
          <t>VES</t>
        </is>
      </c>
      <c r="F132" s="85">
        <f>IF(E132="USD", D132, D132/IFERROR(VLOOKUP(B132, Aux_Datos!$A:$H, 8, FALSE), 1))</f>
        <v/>
      </c>
    </row>
    <row r="133">
      <c r="A133" t="n">
        <v>750</v>
      </c>
      <c r="B133" s="84" t="n">
        <v>46185</v>
      </c>
      <c r="C133" t="inlineStr">
        <is>
          <t>Comercializadora Dimon c.a</t>
        </is>
      </c>
      <c r="D133" s="85" t="n">
        <v>100</v>
      </c>
      <c r="E133" t="inlineStr">
        <is>
          <t>USD</t>
        </is>
      </c>
      <c r="F133" s="85">
        <f>IF(E133="USD", D133, D133/IFERROR(VLOOKUP(B133, Aux_Datos!$A:$H, 8, FALSE), 1))</f>
        <v/>
      </c>
    </row>
    <row r="134">
      <c r="A134" t="n">
        <v>746</v>
      </c>
      <c r="B134" s="84" t="n">
        <v>46185</v>
      </c>
      <c r="C134" t="inlineStr">
        <is>
          <t>Inversiones Brayan CT C.A</t>
        </is>
      </c>
      <c r="D134" s="85" t="n">
        <v>30</v>
      </c>
      <c r="E134" t="inlineStr">
        <is>
          <t>USD</t>
        </is>
      </c>
      <c r="F134" s="85">
        <f>IF(E134="USD", D134, D134/IFERROR(VLOOKUP(B134, Aux_Datos!$A:$H, 8, FALSE), 1))</f>
        <v/>
      </c>
    </row>
    <row r="135">
      <c r="A135" t="n">
        <v>748</v>
      </c>
      <c r="B135" s="84" t="n">
        <v>46185</v>
      </c>
      <c r="C135" t="inlineStr">
        <is>
          <t>Inversiones Mirelkys C.A</t>
        </is>
      </c>
      <c r="D135" s="85" t="n">
        <v>50</v>
      </c>
      <c r="E135" t="inlineStr">
        <is>
          <t>USD</t>
        </is>
      </c>
      <c r="F135" s="85">
        <f>IF(E135="USD", D135, D135/IFERROR(VLOOKUP(B135, Aux_Datos!$A:$H, 8, FALSE), 1))</f>
        <v/>
      </c>
    </row>
    <row r="136">
      <c r="A136" t="n">
        <v>747</v>
      </c>
      <c r="B136" s="84" t="n">
        <v>46185</v>
      </c>
      <c r="C136" t="inlineStr">
        <is>
          <t>Inversiones Vercris 17 C.A</t>
        </is>
      </c>
      <c r="D136" s="85" t="n">
        <v>160</v>
      </c>
      <c r="E136" t="inlineStr">
        <is>
          <t>USD</t>
        </is>
      </c>
      <c r="F136" s="85">
        <f>IF(E136="USD", D136, D136/IFERROR(VLOOKUP(B136, Aux_Datos!$A:$H, 8, FALSE), 1))</f>
        <v/>
      </c>
    </row>
    <row r="137">
      <c r="A137" t="n">
        <v>743</v>
      </c>
      <c r="B137" s="84" t="n">
        <v>46185</v>
      </c>
      <c r="C137" t="inlineStr">
        <is>
          <t>INVERSIONES SM 2191, C.A.</t>
        </is>
      </c>
      <c r="D137" s="85" t="n">
        <v>55</v>
      </c>
      <c r="E137" t="inlineStr">
        <is>
          <t>USD</t>
        </is>
      </c>
      <c r="F137" s="85">
        <f>IF(E137="USD", D137, D137/IFERROR(VLOOKUP(B137, Aux_Datos!$A:$H, 8, FALSE), 1))</f>
        <v/>
      </c>
    </row>
    <row r="138">
      <c r="A138" t="n">
        <v>742</v>
      </c>
      <c r="B138" s="84" t="n">
        <v>46185</v>
      </c>
      <c r="C138" t="inlineStr">
        <is>
          <t>Emprendimiento YSKRA</t>
        </is>
      </c>
      <c r="D138" s="85" t="n">
        <v>20</v>
      </c>
      <c r="E138" t="inlineStr">
        <is>
          <t>USD</t>
        </is>
      </c>
      <c r="F138" s="85">
        <f>IF(E138="USD", D138, D138/IFERROR(VLOOKUP(B138, Aux_Datos!$A:$H, 8, FALSE), 1))</f>
        <v/>
      </c>
    </row>
    <row r="139">
      <c r="A139" t="n">
        <v>720</v>
      </c>
      <c r="B139" s="84" t="n">
        <v>46184</v>
      </c>
      <c r="C139" t="inlineStr">
        <is>
          <t>Cauchera William 2018, C.A</t>
        </is>
      </c>
      <c r="D139" s="85" t="n">
        <v>38</v>
      </c>
      <c r="E139" t="inlineStr">
        <is>
          <t>USD</t>
        </is>
      </c>
      <c r="F139" s="85">
        <f>IF(E139="USD", D139, D139/IFERROR(VLOOKUP(B139, Aux_Datos!$A:$H, 8, FALSE), 1))</f>
        <v/>
      </c>
    </row>
    <row r="140">
      <c r="A140" t="n">
        <v>723</v>
      </c>
      <c r="B140" s="84" t="n">
        <v>46184</v>
      </c>
      <c r="C140" t="inlineStr">
        <is>
          <t>SJMG 2012 C.A</t>
        </is>
      </c>
      <c r="D140" s="85" t="n">
        <v>400</v>
      </c>
      <c r="E140" t="inlineStr">
        <is>
          <t>USD</t>
        </is>
      </c>
      <c r="F140" s="85">
        <f>IF(E140="USD", D140, D140/IFERROR(VLOOKUP(B140, Aux_Datos!$A:$H, 8, FALSE), 1))</f>
        <v/>
      </c>
    </row>
    <row r="141">
      <c r="A141" t="n">
        <v>701</v>
      </c>
      <c r="B141" s="84" t="n">
        <v>46183</v>
      </c>
      <c r="C141" t="inlineStr">
        <is>
          <t>Inversiones La Bendición del Nazareno, C.A</t>
        </is>
      </c>
      <c r="D141" s="85" t="n">
        <v>500</v>
      </c>
      <c r="E141" t="inlineStr">
        <is>
          <t>USD</t>
        </is>
      </c>
      <c r="F141" s="85">
        <f>IF(E141="USD", D141, D141/IFERROR(VLOOKUP(B141, Aux_Datos!$A:$H, 8, FALSE), 1))</f>
        <v/>
      </c>
    </row>
    <row r="142">
      <c r="A142" t="n">
        <v>697</v>
      </c>
      <c r="B142" s="84" t="n">
        <v>46183</v>
      </c>
      <c r="C142" t="inlineStr">
        <is>
          <t>INVERSIONES DA &amp; JE,</t>
        </is>
      </c>
      <c r="D142" s="85" t="n">
        <v>80</v>
      </c>
      <c r="E142" t="inlineStr">
        <is>
          <t>USD</t>
        </is>
      </c>
      <c r="F142" s="85">
        <f>IF(E142="USD", D142, D142/IFERROR(VLOOKUP(B142, Aux_Datos!$A:$H, 8, FALSE), 1))</f>
        <v/>
      </c>
    </row>
    <row r="143">
      <c r="A143" t="n">
        <v>984</v>
      </c>
      <c r="B143" s="84" t="n">
        <v>46183</v>
      </c>
      <c r="C143" t="inlineStr">
        <is>
          <t>En ascenso 2011,c.a.</t>
        </is>
      </c>
      <c r="D143" s="85" t="inlineStr">
        <is>
          <t>165.854,87</t>
        </is>
      </c>
      <c r="E143" t="inlineStr">
        <is>
          <t>VES</t>
        </is>
      </c>
      <c r="F143" s="85">
        <f>IF(E143="USD", D143, D143/IFERROR(VLOOKUP(B143, Aux_Datos!$A:$H, 8, FALSE), 1))</f>
        <v/>
      </c>
    </row>
    <row r="144">
      <c r="A144" t="n">
        <v>695</v>
      </c>
      <c r="B144" s="84" t="n">
        <v>46183</v>
      </c>
      <c r="C144" t="inlineStr">
        <is>
          <t>Diana Carolina Torres</t>
        </is>
      </c>
      <c r="D144" s="85" t="inlineStr">
        <is>
          <t>10.465,00</t>
        </is>
      </c>
      <c r="E144" t="inlineStr">
        <is>
          <t>VES</t>
        </is>
      </c>
      <c r="F144" s="85">
        <f>IF(E144="USD", D144, D144/IFERROR(VLOOKUP(B144, Aux_Datos!$A:$H, 8, FALSE), 1))</f>
        <v/>
      </c>
    </row>
    <row r="145">
      <c r="A145" t="n">
        <v>672</v>
      </c>
      <c r="B145" s="84" t="n">
        <v>46182</v>
      </c>
      <c r="C145" t="inlineStr">
        <is>
          <t>LOGISTICA Y CONSULTORIA VINCARS, C.A.</t>
        </is>
      </c>
      <c r="D145" s="85" t="n">
        <v>195</v>
      </c>
      <c r="E145" t="inlineStr">
        <is>
          <t>USD</t>
        </is>
      </c>
      <c r="F145" s="85">
        <f>IF(E145="USD", D145, D145/IFERROR(VLOOKUP(B145, Aux_Datos!$A:$H, 8, FALSE), 1))</f>
        <v/>
      </c>
    </row>
    <row r="146">
      <c r="A146" t="n">
        <v>1011</v>
      </c>
      <c r="B146" s="84" t="n">
        <v>46182</v>
      </c>
      <c r="C146" t="inlineStr">
        <is>
          <t>AGROPECUARIA LECHE Y MIEL, C.A</t>
        </is>
      </c>
      <c r="D146" s="85" t="inlineStr">
        <is>
          <t>6.802,37</t>
        </is>
      </c>
      <c r="E146" t="inlineStr">
        <is>
          <t>USD</t>
        </is>
      </c>
      <c r="F146" s="85">
        <f>IF(E146="USD", D146, D146/IFERROR(VLOOKUP(B146, Aux_Datos!$A:$H, 8, FALSE), 1))</f>
        <v/>
      </c>
    </row>
    <row r="147">
      <c r="A147" t="n">
        <v>1010</v>
      </c>
      <c r="B147" s="84" t="n">
        <v>46182</v>
      </c>
      <c r="C147" t="inlineStr">
        <is>
          <t>AGROPECUARIA LECHE Y MIEL, C.A</t>
        </is>
      </c>
      <c r="D147" s="85" t="inlineStr">
        <is>
          <t>3.457,96</t>
        </is>
      </c>
      <c r="E147" t="inlineStr">
        <is>
          <t>USD</t>
        </is>
      </c>
      <c r="F147" s="85">
        <f>IF(E147="USD", D147, D147/IFERROR(VLOOKUP(B147, Aux_Datos!$A:$H, 8, FALSE), 1))</f>
        <v/>
      </c>
    </row>
    <row r="148">
      <c r="A148" t="n">
        <v>682</v>
      </c>
      <c r="B148" s="84" t="n">
        <v>46182</v>
      </c>
      <c r="C148" t="inlineStr">
        <is>
          <t>Moises Alejandro Mares</t>
        </is>
      </c>
      <c r="D148" s="85" t="n">
        <v>20</v>
      </c>
      <c r="E148" t="inlineStr">
        <is>
          <t>USD</t>
        </is>
      </c>
      <c r="F148" s="85">
        <f>IF(E148="USD", D148, D148/IFERROR(VLOOKUP(B148, Aux_Datos!$A:$H, 8, FALSE), 1))</f>
        <v/>
      </c>
    </row>
    <row r="149">
      <c r="A149" t="n">
        <v>668</v>
      </c>
      <c r="B149" s="84" t="n">
        <v>46182</v>
      </c>
      <c r="C149" t="inlineStr">
        <is>
          <t>CAUCHOS NUÑEZ, C.A.</t>
        </is>
      </c>
      <c r="D149" s="85" t="n">
        <v>106</v>
      </c>
      <c r="E149" t="inlineStr">
        <is>
          <t>USD</t>
        </is>
      </c>
      <c r="F149" s="85">
        <f>IF(E149="USD", D149, D149/IFERROR(VLOOKUP(B149, Aux_Datos!$A:$H, 8, FALSE), 1))</f>
        <v/>
      </c>
    </row>
    <row r="150">
      <c r="A150" t="n">
        <v>680</v>
      </c>
      <c r="B150" s="84" t="n">
        <v>46182</v>
      </c>
      <c r="C150" t="inlineStr">
        <is>
          <t>Wili Mervin León Romero</t>
        </is>
      </c>
      <c r="D150" s="85" t="n">
        <v>50</v>
      </c>
      <c r="E150" t="inlineStr">
        <is>
          <t>USD</t>
        </is>
      </c>
      <c r="F150" s="85">
        <f>IF(E150="USD", D150, D150/IFERROR(VLOOKUP(B150, Aux_Datos!$A:$H, 8, FALSE), 1))</f>
        <v/>
      </c>
    </row>
    <row r="151">
      <c r="A151" t="n">
        <v>679</v>
      </c>
      <c r="B151" s="84" t="n">
        <v>46182</v>
      </c>
      <c r="C151" t="inlineStr">
        <is>
          <t>Inversiones Brayan CT C.A</t>
        </is>
      </c>
      <c r="D151" s="85" t="n">
        <v>30</v>
      </c>
      <c r="E151" t="inlineStr">
        <is>
          <t>USD</t>
        </is>
      </c>
      <c r="F151" s="85">
        <f>IF(E151="USD", D151, D151/IFERROR(VLOOKUP(B151, Aux_Datos!$A:$H, 8, FALSE), 1))</f>
        <v/>
      </c>
    </row>
    <row r="152">
      <c r="A152" t="n">
        <v>684</v>
      </c>
      <c r="B152" s="84" t="n">
        <v>46182</v>
      </c>
      <c r="C152" t="inlineStr">
        <is>
          <t>Rhino Toyo Parts, C.A.</t>
        </is>
      </c>
      <c r="D152" s="85" t="n">
        <v>200</v>
      </c>
      <c r="E152" t="inlineStr">
        <is>
          <t>USD</t>
        </is>
      </c>
      <c r="F152" s="85">
        <f>IF(E152="USD", D152, D152/IFERROR(VLOOKUP(B152, Aux_Datos!$A:$H, 8, FALSE), 1))</f>
        <v/>
      </c>
    </row>
    <row r="153">
      <c r="A153" t="n">
        <v>683</v>
      </c>
      <c r="B153" s="84" t="n">
        <v>46182</v>
      </c>
      <c r="C153" t="inlineStr">
        <is>
          <t>SJMG 2012 C.A</t>
        </is>
      </c>
      <c r="D153" s="85" t="n">
        <v>150</v>
      </c>
      <c r="E153" t="inlineStr">
        <is>
          <t>USD</t>
        </is>
      </c>
      <c r="F153" s="85">
        <f>IF(E153="USD", D153, D153/IFERROR(VLOOKUP(B153, Aux_Datos!$A:$H, 8, FALSE), 1))</f>
        <v/>
      </c>
    </row>
    <row r="154">
      <c r="A154" t="n">
        <v>681</v>
      </c>
      <c r="B154" s="84" t="n">
        <v>46182</v>
      </c>
      <c r="C154" t="inlineStr">
        <is>
          <t>Nemer Bourji</t>
        </is>
      </c>
      <c r="D154" s="85" t="n">
        <v>40</v>
      </c>
      <c r="E154" t="inlineStr">
        <is>
          <t>USD</t>
        </is>
      </c>
      <c r="F154" s="85">
        <f>IF(E154="USD", D154, D154/IFERROR(VLOOKUP(B154, Aux_Datos!$A:$H, 8, FALSE), 1))</f>
        <v/>
      </c>
    </row>
    <row r="155">
      <c r="A155" t="n">
        <v>663</v>
      </c>
      <c r="B155" s="84" t="n">
        <v>46182</v>
      </c>
      <c r="C155" t="inlineStr">
        <is>
          <t>Emprendimiento ilaris cancelo</t>
        </is>
      </c>
      <c r="D155" s="85" t="n">
        <v>300</v>
      </c>
      <c r="E155" t="inlineStr">
        <is>
          <t>USD</t>
        </is>
      </c>
      <c r="F155" s="85">
        <f>IF(E155="USD", D155, D155/IFERROR(VLOOKUP(B155, Aux_Datos!$A:$H, 8, FALSE), 1))</f>
        <v/>
      </c>
    </row>
    <row r="156">
      <c r="A156" t="n">
        <v>686</v>
      </c>
      <c r="B156" s="84" t="n">
        <v>46182</v>
      </c>
      <c r="C156" t="inlineStr">
        <is>
          <t>Multiservicio SOS Cars, C.A</t>
        </is>
      </c>
      <c r="D156" s="85" t="inlineStr">
        <is>
          <t>23.340,00</t>
        </is>
      </c>
      <c r="E156" t="inlineStr">
        <is>
          <t>VES</t>
        </is>
      </c>
      <c r="F156" s="85">
        <f>IF(E156="USD", D156, D156/IFERROR(VLOOKUP(B156, Aux_Datos!$A:$H, 8, FALSE), 1))</f>
        <v/>
      </c>
    </row>
    <row r="157">
      <c r="A157" t="n">
        <v>687</v>
      </c>
      <c r="B157" s="84" t="n">
        <v>46182</v>
      </c>
      <c r="C157" t="inlineStr">
        <is>
          <t>Moto Repuestos Sanz 11. C.A.</t>
        </is>
      </c>
      <c r="D157" s="85" t="inlineStr">
        <is>
          <t>7.969,00</t>
        </is>
      </c>
      <c r="E157" t="inlineStr">
        <is>
          <t>VES</t>
        </is>
      </c>
      <c r="F157" s="85">
        <f>IF(E157="USD", D157, D157/IFERROR(VLOOKUP(B157, Aux_Datos!$A:$H, 8, FALSE), 1))</f>
        <v/>
      </c>
    </row>
    <row r="158">
      <c r="A158" t="n">
        <v>694</v>
      </c>
      <c r="B158" s="84" t="n">
        <v>46182</v>
      </c>
      <c r="C158" t="inlineStr">
        <is>
          <t>Diana Carolina Torres</t>
        </is>
      </c>
      <c r="D158" s="85" t="inlineStr">
        <is>
          <t>19.880,00</t>
        </is>
      </c>
      <c r="E158" t="inlineStr">
        <is>
          <t>VES</t>
        </is>
      </c>
      <c r="F158" s="85">
        <f>IF(E158="USD", D158, D158/IFERROR(VLOOKUP(B158, Aux_Datos!$A:$H, 8, FALSE), 1))</f>
        <v/>
      </c>
    </row>
    <row r="159">
      <c r="A159" t="n">
        <v>655</v>
      </c>
      <c r="B159" s="84" t="n">
        <v>46181</v>
      </c>
      <c r="C159" t="inlineStr">
        <is>
          <t>M.L.P Repuestos y Otros, C.A</t>
        </is>
      </c>
      <c r="D159" s="85" t="n">
        <v>300</v>
      </c>
      <c r="E159" t="inlineStr">
        <is>
          <t>USD</t>
        </is>
      </c>
      <c r="F159" s="85">
        <f>IF(E159="USD", D159, D159/IFERROR(VLOOKUP(B159, Aux_Datos!$A:$H, 8, FALSE), 1))</f>
        <v/>
      </c>
    </row>
    <row r="160">
      <c r="A160" t="n">
        <v>647</v>
      </c>
      <c r="B160" s="84" t="n">
        <v>46181</v>
      </c>
      <c r="C160" t="inlineStr">
        <is>
          <t>LA CASA DE LAS BATERIAS</t>
        </is>
      </c>
      <c r="D160" s="85" t="n">
        <v>63</v>
      </c>
      <c r="E160" t="inlineStr">
        <is>
          <t>USD</t>
        </is>
      </c>
      <c r="F160" s="85">
        <f>IF(E160="USD", D160, D160/IFERROR(VLOOKUP(B160, Aux_Datos!$A:$H, 8, FALSE), 1))</f>
        <v/>
      </c>
    </row>
    <row r="161">
      <c r="A161" t="n">
        <v>650</v>
      </c>
      <c r="B161" s="84" t="n">
        <v>46181</v>
      </c>
      <c r="C161" t="inlineStr">
        <is>
          <t>TERA INGENIERIA Y SERVICIOS INDUSTRIALES, C.A</t>
        </is>
      </c>
      <c r="D161" s="85" t="inlineStr">
        <is>
          <t>27.781,08</t>
        </is>
      </c>
      <c r="E161" t="inlineStr">
        <is>
          <t>USD</t>
        </is>
      </c>
      <c r="F161" s="85">
        <f>IF(E161="USD", D161, D161/IFERROR(VLOOKUP(B161, Aux_Datos!$A:$H, 8, FALSE), 1))</f>
        <v/>
      </c>
    </row>
    <row r="162">
      <c r="A162" t="n">
        <v>997</v>
      </c>
      <c r="B162" s="84" t="n">
        <v>46181</v>
      </c>
      <c r="C162" t="inlineStr">
        <is>
          <t>Industrias Arasia, c.a.</t>
        </is>
      </c>
      <c r="D162" s="85" t="inlineStr">
        <is>
          <t>132.757,65</t>
        </is>
      </c>
      <c r="E162" t="inlineStr">
        <is>
          <t>VES</t>
        </is>
      </c>
      <c r="F162" s="85">
        <f>IF(E162="USD", D162, D162/IFERROR(VLOOKUP(B162, Aux_Datos!$A:$H, 8, FALSE), 1))</f>
        <v/>
      </c>
    </row>
    <row r="163">
      <c r="A163" t="n">
        <v>651</v>
      </c>
      <c r="B163" s="84" t="n">
        <v>46181</v>
      </c>
      <c r="C163" t="inlineStr">
        <is>
          <t>Moto Repuestos Sanz 11. C.A.</t>
        </is>
      </c>
      <c r="D163" s="85" t="inlineStr">
        <is>
          <t>49.825,00</t>
        </is>
      </c>
      <c r="E163" t="inlineStr">
        <is>
          <t>VES</t>
        </is>
      </c>
      <c r="F163" s="85">
        <f>IF(E163="USD", D163, D163/IFERROR(VLOOKUP(B163, Aux_Datos!$A:$H, 8, FALSE), 1))</f>
        <v/>
      </c>
    </row>
    <row r="164">
      <c r="A164" t="n">
        <v>688</v>
      </c>
      <c r="B164" s="84" t="n">
        <v>46181</v>
      </c>
      <c r="C164" t="inlineStr">
        <is>
          <t>CONSTRUCTORA GRANO AGREGADO, C.A</t>
        </is>
      </c>
      <c r="D164" s="85" t="inlineStr">
        <is>
          <t>1.541.764,04</t>
        </is>
      </c>
      <c r="E164" t="inlineStr">
        <is>
          <t>VES</t>
        </is>
      </c>
      <c r="F164" s="85">
        <f>IF(E164="USD", D164, D164/IFERROR(VLOOKUP(B164, Aux_Datos!$A:$H, 8, FALSE), 1))</f>
        <v/>
      </c>
    </row>
    <row r="165">
      <c r="A165" t="n">
        <v>646</v>
      </c>
      <c r="B165" s="84" t="n">
        <v>46181</v>
      </c>
      <c r="C165" t="inlineStr">
        <is>
          <t>TALLER Y REPUESTOS CHOPPERS, C.A.</t>
        </is>
      </c>
      <c r="D165" s="85" t="inlineStr">
        <is>
          <t>16.898,68</t>
        </is>
      </c>
      <c r="E165" t="inlineStr">
        <is>
          <t>VES</t>
        </is>
      </c>
      <c r="F165" s="85">
        <f>IF(E165="USD", D165, D165/IFERROR(VLOOKUP(B165, Aux_Datos!$A:$H, 8, FALSE), 1))</f>
        <v/>
      </c>
    </row>
    <row r="166">
      <c r="A166" t="n">
        <v>641</v>
      </c>
      <c r="B166" s="84" t="n">
        <v>46178</v>
      </c>
      <c r="C166" t="inlineStr">
        <is>
          <t>Comercializadora Dimon c.a</t>
        </is>
      </c>
      <c r="D166" s="85" t="n">
        <v>200</v>
      </c>
      <c r="E166" t="inlineStr">
        <is>
          <t>USD</t>
        </is>
      </c>
      <c r="F166" s="85">
        <f>IF(E166="USD", D166, D166/IFERROR(VLOOKUP(B166, Aux_Datos!$A:$H, 8, FALSE), 1))</f>
        <v/>
      </c>
    </row>
    <row r="167">
      <c r="A167" t="n">
        <v>638</v>
      </c>
      <c r="B167" s="84" t="n">
        <v>46178</v>
      </c>
      <c r="C167" t="inlineStr">
        <is>
          <t>Inversiones Brayan CT C.A</t>
        </is>
      </c>
      <c r="D167" s="85" t="n">
        <v>40</v>
      </c>
      <c r="E167" t="inlineStr">
        <is>
          <t>USD</t>
        </is>
      </c>
      <c r="F167" s="85">
        <f>IF(E167="USD", D167, D167/IFERROR(VLOOKUP(B167, Aux_Datos!$A:$H, 8, FALSE), 1))</f>
        <v/>
      </c>
    </row>
    <row r="168">
      <c r="A168" t="n">
        <v>637</v>
      </c>
      <c r="B168" s="84" t="n">
        <v>46178</v>
      </c>
      <c r="C168" t="inlineStr">
        <is>
          <t>Inversiones Mirelkys C.A</t>
        </is>
      </c>
      <c r="D168" s="85" t="n">
        <v>60</v>
      </c>
      <c r="E168" t="inlineStr">
        <is>
          <t>USD</t>
        </is>
      </c>
      <c r="F168" s="85">
        <f>IF(E168="USD", D168, D168/IFERROR(VLOOKUP(B168, Aux_Datos!$A:$H, 8, FALSE), 1))</f>
        <v/>
      </c>
    </row>
    <row r="169">
      <c r="A169" t="n">
        <v>636</v>
      </c>
      <c r="B169" s="84" t="n">
        <v>46178</v>
      </c>
      <c r="C169" t="inlineStr">
        <is>
          <t>SJMG 2012 C.A</t>
        </is>
      </c>
      <c r="D169" s="85" t="n">
        <v>250</v>
      </c>
      <c r="E169" t="inlineStr">
        <is>
          <t>USD</t>
        </is>
      </c>
      <c r="F169" s="85">
        <f>IF(E169="USD", D169, D169/IFERROR(VLOOKUP(B169, Aux_Datos!$A:$H, 8, FALSE), 1))</f>
        <v/>
      </c>
    </row>
    <row r="170">
      <c r="A170" t="n">
        <v>639</v>
      </c>
      <c r="B170" s="84" t="n">
        <v>46178</v>
      </c>
      <c r="C170" t="inlineStr">
        <is>
          <t>Diana Carolina Torres</t>
        </is>
      </c>
      <c r="D170" s="85" t="inlineStr">
        <is>
          <t>19.670,00</t>
        </is>
      </c>
      <c r="E170" t="inlineStr">
        <is>
          <t>VES</t>
        </is>
      </c>
      <c r="F170" s="85">
        <f>IF(E170="USD", D170, D170/IFERROR(VLOOKUP(B170, Aux_Datos!$A:$H, 8, FALSE), 1))</f>
        <v/>
      </c>
    </row>
    <row r="171">
      <c r="A171" t="n">
        <v>1003</v>
      </c>
      <c r="B171" s="84" t="n">
        <v>46177</v>
      </c>
      <c r="C171" t="inlineStr">
        <is>
          <t>Gabriel Martinez</t>
        </is>
      </c>
      <c r="D171" s="85" t="n">
        <v>390</v>
      </c>
      <c r="E171" t="inlineStr">
        <is>
          <t>USD</t>
        </is>
      </c>
      <c r="F171" s="85">
        <f>IF(E171="USD", D171, D171/IFERROR(VLOOKUP(B171, Aux_Datos!$A:$H, 8, FALSE), 1))</f>
        <v/>
      </c>
    </row>
    <row r="172">
      <c r="A172" t="n">
        <v>626</v>
      </c>
      <c r="B172" s="84" t="n">
        <v>46177</v>
      </c>
      <c r="C172" t="inlineStr">
        <is>
          <t>Emprendimiento Eduardo Pérez 6</t>
        </is>
      </c>
      <c r="D172" s="85" t="n">
        <v>8.06</v>
      </c>
      <c r="E172" t="inlineStr">
        <is>
          <t>USD</t>
        </is>
      </c>
      <c r="F172" s="85">
        <f>IF(E172="USD", D172, D172/IFERROR(VLOOKUP(B172, Aux_Datos!$A:$H, 8, FALSE), 1))</f>
        <v/>
      </c>
    </row>
    <row r="173">
      <c r="A173" t="n">
        <v>631</v>
      </c>
      <c r="B173" s="84" t="n">
        <v>46177</v>
      </c>
      <c r="C173" t="inlineStr">
        <is>
          <t>Inversiones Los compadres 7686, c.a.</t>
        </is>
      </c>
      <c r="D173" s="85" t="n">
        <v>40</v>
      </c>
      <c r="E173" t="inlineStr">
        <is>
          <t>USD</t>
        </is>
      </c>
      <c r="F173" s="85">
        <f>IF(E173="USD", D173, D173/IFERROR(VLOOKUP(B173, Aux_Datos!$A:$H, 8, FALSE), 1))</f>
        <v/>
      </c>
    </row>
    <row r="174">
      <c r="A174" t="n">
        <v>628</v>
      </c>
      <c r="B174" s="84" t="n">
        <v>46177</v>
      </c>
      <c r="C174" t="inlineStr">
        <is>
          <t>Repuestos Guia Dios Nuestro Camino,c.a.</t>
        </is>
      </c>
      <c r="D174" s="85" t="n">
        <v>20</v>
      </c>
      <c r="E174" t="inlineStr">
        <is>
          <t>USD</t>
        </is>
      </c>
      <c r="F174" s="85">
        <f>IF(E174="USD", D174, D174/IFERROR(VLOOKUP(B174, Aux_Datos!$A:$H, 8, FALSE), 1))</f>
        <v/>
      </c>
    </row>
    <row r="175">
      <c r="A175" t="n">
        <v>625</v>
      </c>
      <c r="B175" s="84" t="n">
        <v>46177</v>
      </c>
      <c r="C175" t="inlineStr">
        <is>
          <t>Emprendimiento Eduardo Pérez 6</t>
        </is>
      </c>
      <c r="D175" s="85" t="n">
        <v>11.94</v>
      </c>
      <c r="E175" t="inlineStr">
        <is>
          <t>USD</t>
        </is>
      </c>
      <c r="F175" s="85">
        <f>IF(E175="USD", D175, D175/IFERROR(VLOOKUP(B175, Aux_Datos!$A:$H, 8, FALSE), 1))</f>
        <v/>
      </c>
    </row>
    <row r="176">
      <c r="A176" t="n">
        <v>606</v>
      </c>
      <c r="B176" s="84" t="n">
        <v>46177</v>
      </c>
      <c r="C176" t="inlineStr">
        <is>
          <t>Moto repuestos jj</t>
        </is>
      </c>
      <c r="D176" s="85" t="inlineStr">
        <is>
          <t>39.686,00</t>
        </is>
      </c>
      <c r="E176" t="inlineStr">
        <is>
          <t>VES</t>
        </is>
      </c>
      <c r="F176" s="85">
        <f>IF(E176="USD", D176, D176/IFERROR(VLOOKUP(B176, Aux_Datos!$A:$H, 8, FALSE), 1))</f>
        <v/>
      </c>
    </row>
    <row r="177">
      <c r="A177" t="n">
        <v>620</v>
      </c>
      <c r="B177" s="84" t="n">
        <v>46177</v>
      </c>
      <c r="C177" t="inlineStr">
        <is>
          <t>Comercial Rio Paraguas C.A</t>
        </is>
      </c>
      <c r="D177" s="85" t="inlineStr">
        <is>
          <t>152.745,65</t>
        </is>
      </c>
      <c r="E177" t="inlineStr">
        <is>
          <t>VES</t>
        </is>
      </c>
      <c r="F177" s="85">
        <f>IF(E177="USD", D177, D177/IFERROR(VLOOKUP(B177, Aux_Datos!$A:$H, 8, FALSE), 1))</f>
        <v/>
      </c>
    </row>
    <row r="178">
      <c r="A178" t="n">
        <v>600</v>
      </c>
      <c r="B178" s="84" t="n">
        <v>46176</v>
      </c>
      <c r="C178" t="inlineStr">
        <is>
          <t>Autorepuestos el Florin,c.a.</t>
        </is>
      </c>
      <c r="D178" s="85" t="n">
        <v>275</v>
      </c>
      <c r="E178" t="inlineStr">
        <is>
          <t>USD</t>
        </is>
      </c>
      <c r="F178" s="85">
        <f>IF(E178="USD", D178, D178/IFERROR(VLOOKUP(B178, Aux_Datos!$A:$H, 8, FALSE), 1))</f>
        <v/>
      </c>
    </row>
    <row r="179">
      <c r="A179" t="n">
        <v>594</v>
      </c>
      <c r="B179" s="84" t="n">
        <v>46176</v>
      </c>
      <c r="C179" t="inlineStr">
        <is>
          <t>SJMG 2012 C.A</t>
        </is>
      </c>
      <c r="D179" s="85" t="n">
        <v>190</v>
      </c>
      <c r="E179" t="inlineStr">
        <is>
          <t>USD</t>
        </is>
      </c>
      <c r="F179" s="85">
        <f>IF(E179="USD", D179, D179/IFERROR(VLOOKUP(B179, Aux_Datos!$A:$H, 8, FALSE), 1))</f>
        <v/>
      </c>
    </row>
    <row r="180">
      <c r="A180" t="n">
        <v>595</v>
      </c>
      <c r="B180" s="84" t="n">
        <v>46176</v>
      </c>
      <c r="C180" t="inlineStr">
        <is>
          <t>Multiservicio Tocome, C.A</t>
        </is>
      </c>
      <c r="D180" s="85" t="n">
        <v>20</v>
      </c>
      <c r="E180" t="inlineStr">
        <is>
          <t>USD</t>
        </is>
      </c>
      <c r="F180" s="85">
        <f>IF(E180="USD", D180, D180/IFERROR(VLOOKUP(B180, Aux_Datos!$A:$H, 8, FALSE), 1))</f>
        <v/>
      </c>
    </row>
    <row r="181">
      <c r="A181" t="n">
        <v>596</v>
      </c>
      <c r="B181" s="84" t="n">
        <v>46176</v>
      </c>
      <c r="C181" t="inlineStr">
        <is>
          <t>Diana Carolina Torres</t>
        </is>
      </c>
      <c r="D181" s="85" t="inlineStr">
        <is>
          <t>19.565,00</t>
        </is>
      </c>
      <c r="E181" t="inlineStr">
        <is>
          <t>VES</t>
        </is>
      </c>
      <c r="F181" s="85">
        <f>IF(E181="USD", D181, D181/IFERROR(VLOOKUP(B181, Aux_Datos!$A:$H, 8, FALSE), 1))</f>
        <v/>
      </c>
    </row>
    <row r="182">
      <c r="A182" t="n">
        <v>613</v>
      </c>
      <c r="B182" s="84" t="n">
        <v>46176</v>
      </c>
      <c r="C182" t="inlineStr">
        <is>
          <t>Inversiones García GL C.A</t>
        </is>
      </c>
      <c r="D182" s="85" t="n">
        <v>960.87</v>
      </c>
      <c r="E182" t="inlineStr">
        <is>
          <t>VES</t>
        </is>
      </c>
      <c r="F182" s="85">
        <f>IF(E182="USD", D182, D182/IFERROR(VLOOKUP(B182, Aux_Datos!$A:$H, 8, FALSE), 1))</f>
        <v/>
      </c>
    </row>
    <row r="183">
      <c r="A183" t="n">
        <v>583</v>
      </c>
      <c r="B183" s="84" t="n">
        <v>46175</v>
      </c>
      <c r="C183" t="inlineStr">
        <is>
          <t>Moises Alejandro Mares</t>
        </is>
      </c>
      <c r="D183" s="85" t="n">
        <v>20</v>
      </c>
      <c r="E183" t="inlineStr">
        <is>
          <t>USD</t>
        </is>
      </c>
      <c r="F183" s="85">
        <f>IF(E183="USD", D183, D183/IFERROR(VLOOKUP(B183, Aux_Datos!$A:$H, 8, FALSE), 1))</f>
        <v/>
      </c>
    </row>
    <row r="184">
      <c r="A184" t="n">
        <v>591</v>
      </c>
      <c r="B184" s="84" t="n">
        <v>46175</v>
      </c>
      <c r="C184" t="inlineStr">
        <is>
          <t>Pedro Castro</t>
        </is>
      </c>
      <c r="D184" s="85" t="n">
        <v>150</v>
      </c>
      <c r="E184" t="inlineStr">
        <is>
          <t>USD</t>
        </is>
      </c>
      <c r="F184" s="85">
        <f>IF(E184="USD", D184, D184/IFERROR(VLOOKUP(B184, Aux_Datos!$A:$H, 8, FALSE), 1))</f>
        <v/>
      </c>
    </row>
    <row r="185">
      <c r="A185" t="n">
        <v>588</v>
      </c>
      <c r="B185" s="84" t="n">
        <v>46175</v>
      </c>
      <c r="C185" t="inlineStr">
        <is>
          <t>Inversiones Famasa, C.A</t>
        </is>
      </c>
      <c r="D185" s="85" t="n">
        <v>35</v>
      </c>
      <c r="E185" t="inlineStr">
        <is>
          <t>USD</t>
        </is>
      </c>
      <c r="F185" s="85">
        <f>IF(E185="USD", D185, D185/IFERROR(VLOOKUP(B185, Aux_Datos!$A:$H, 8, FALSE), 1))</f>
        <v/>
      </c>
    </row>
    <row r="186">
      <c r="A186" t="n">
        <v>572</v>
      </c>
      <c r="B186" s="84" t="n">
        <v>46175</v>
      </c>
      <c r="C186" t="inlineStr">
        <is>
          <t>Nemer Bourji</t>
        </is>
      </c>
      <c r="D186" s="85" t="n">
        <v>40</v>
      </c>
      <c r="E186" t="inlineStr">
        <is>
          <t>USD</t>
        </is>
      </c>
      <c r="F186" s="85">
        <f>IF(E186="USD", D186, D186/IFERROR(VLOOKUP(B186, Aux_Datos!$A:$H, 8, FALSE), 1))</f>
        <v/>
      </c>
    </row>
    <row r="187">
      <c r="A187" t="n">
        <v>597</v>
      </c>
      <c r="B187" s="84" t="n">
        <v>46175</v>
      </c>
      <c r="C187" t="inlineStr">
        <is>
          <t>Lubristation, C.A.</t>
        </is>
      </c>
      <c r="D187" s="85" t="inlineStr">
        <is>
          <t>88.784,19</t>
        </is>
      </c>
      <c r="E187" t="inlineStr">
        <is>
          <t>VES</t>
        </is>
      </c>
      <c r="F187" s="85">
        <f>IF(E187="USD", D187, D187/IFERROR(VLOOKUP(B187, Aux_Datos!$A:$H, 8, FALSE), 1))</f>
        <v/>
      </c>
    </row>
    <row r="188">
      <c r="A188" t="n">
        <v>578</v>
      </c>
      <c r="B188" s="84" t="n">
        <v>46175</v>
      </c>
      <c r="C188" t="inlineStr">
        <is>
          <t>Diana Carolina Torres</t>
        </is>
      </c>
      <c r="D188" s="85" t="inlineStr">
        <is>
          <t>16.740,00</t>
        </is>
      </c>
      <c r="E188" t="inlineStr">
        <is>
          <t>VES</t>
        </is>
      </c>
      <c r="F188" s="85">
        <f>IF(E188="USD", D188, D188/IFERROR(VLOOKUP(B188, Aux_Datos!$A:$H, 8, FALSE), 1))</f>
        <v/>
      </c>
    </row>
    <row r="189">
      <c r="A189" t="n">
        <v>570</v>
      </c>
      <c r="B189" s="84" t="n">
        <v>46174</v>
      </c>
      <c r="C189" t="inlineStr">
        <is>
          <t>José Gregorio Hernández</t>
        </is>
      </c>
      <c r="D189" s="85" t="n">
        <v>80</v>
      </c>
      <c r="E189" t="inlineStr">
        <is>
          <t>USD</t>
        </is>
      </c>
      <c r="F189" s="85">
        <f>IF(E189="USD", D189, D189/IFERROR(VLOOKUP(B189, Aux_Datos!$A:$H, 8, FALSE), 1))</f>
        <v/>
      </c>
    </row>
    <row r="190">
      <c r="A190" t="n">
        <v>568</v>
      </c>
      <c r="B190" s="84" t="n">
        <v>46174</v>
      </c>
      <c r="C190" t="inlineStr">
        <is>
          <t>Cauchera William 2018, C.A</t>
        </is>
      </c>
      <c r="D190" s="85" t="n">
        <v>65</v>
      </c>
      <c r="E190" t="inlineStr">
        <is>
          <t>USD</t>
        </is>
      </c>
      <c r="F190" s="85">
        <f>IF(E190="USD", D190, D190/IFERROR(VLOOKUP(B190, Aux_Datos!$A:$H, 8, FALSE), 1))</f>
        <v/>
      </c>
    </row>
    <row r="191">
      <c r="A191" t="n">
        <v>567</v>
      </c>
      <c r="B191" s="84" t="n">
        <v>46174</v>
      </c>
      <c r="C191" t="inlineStr">
        <is>
          <t>Inversiones tydelmarojg</t>
        </is>
      </c>
      <c r="D191" s="85" t="n">
        <v>30</v>
      </c>
      <c r="E191" t="inlineStr">
        <is>
          <t>USD</t>
        </is>
      </c>
      <c r="F191" s="85">
        <f>IF(E191="USD", D191, D191/IFERROR(VLOOKUP(B191, Aux_Datos!$A:$H, 8, FALSE), 1))</f>
        <v/>
      </c>
    </row>
    <row r="192">
      <c r="A192" t="n">
        <v>566</v>
      </c>
      <c r="B192" s="84" t="n">
        <v>46174</v>
      </c>
      <c r="C192" t="inlineStr">
        <is>
          <t>Junior Marco Antonio Vivas Navas</t>
        </is>
      </c>
      <c r="D192" s="85" t="n">
        <v>50</v>
      </c>
      <c r="E192" t="inlineStr">
        <is>
          <t>USD</t>
        </is>
      </c>
      <c r="F192" s="85">
        <f>IF(E192="USD", D192, D192/IFERROR(VLOOKUP(B192, Aux_Datos!$A:$H, 8, FALSE), 1))</f>
        <v/>
      </c>
    </row>
    <row r="193">
      <c r="A193" t="n">
        <v>561</v>
      </c>
      <c r="B193" s="84" t="n">
        <v>46174</v>
      </c>
      <c r="C193" t="inlineStr">
        <is>
          <t>SJMG 2012 C.A</t>
        </is>
      </c>
      <c r="D193" s="85" t="n">
        <v>330</v>
      </c>
      <c r="E193" t="inlineStr">
        <is>
          <t>USD</t>
        </is>
      </c>
      <c r="F193" s="85">
        <f>IF(E193="USD", D193, D193/IFERROR(VLOOKUP(B193, Aux_Datos!$A:$H, 8, FALSE), 1))</f>
        <v/>
      </c>
    </row>
    <row r="194">
      <c r="A194" t="n">
        <v>559</v>
      </c>
      <c r="B194" s="84" t="n">
        <v>46174</v>
      </c>
      <c r="C194" t="inlineStr">
        <is>
          <t>Lubricantes BK C.A</t>
        </is>
      </c>
      <c r="D194" s="85" t="n">
        <v>100</v>
      </c>
      <c r="E194" t="inlineStr">
        <is>
          <t>USD</t>
        </is>
      </c>
      <c r="F194" s="85">
        <f>IF(E194="USD", D194, D194/IFERROR(VLOOKUP(B194, Aux_Datos!$A:$H, 8, FALSE), 1))</f>
        <v/>
      </c>
    </row>
    <row r="195">
      <c r="A195" t="n">
        <v>569</v>
      </c>
      <c r="B195" s="84" t="n">
        <v>46174</v>
      </c>
      <c r="C195" t="inlineStr">
        <is>
          <t>José Gregorio Hernández</t>
        </is>
      </c>
      <c r="D195" s="85" t="inlineStr">
        <is>
          <t>67.086,00</t>
        </is>
      </c>
      <c r="E195" t="inlineStr">
        <is>
          <t>VES</t>
        </is>
      </c>
      <c r="F195" s="85">
        <f>IF(E195="USD", D195, D195/IFERROR(VLOOKUP(B195, Aux_Datos!$A:$H, 8, FALSE), 1))</f>
        <v/>
      </c>
    </row>
    <row r="196">
      <c r="A196" t="n">
        <v>978</v>
      </c>
      <c r="B196" s="84" t="n">
        <v>46174</v>
      </c>
      <c r="C196" t="inlineStr">
        <is>
          <t>Moto repuestos jj</t>
        </is>
      </c>
      <c r="D196" s="85" t="inlineStr">
        <is>
          <t>39.376,00</t>
        </is>
      </c>
      <c r="E196" t="inlineStr">
        <is>
          <t>VES</t>
        </is>
      </c>
      <c r="F196" s="85">
        <f>IF(E196="USD", D196, D196/IFERROR(VLOOKUP(B196, Aux_Datos!$A:$H, 8, FALSE), 1))</f>
        <v/>
      </c>
    </row>
    <row r="197">
      <c r="A197" t="n">
        <v>576</v>
      </c>
      <c r="B197" s="84" t="n">
        <v>46174</v>
      </c>
      <c r="C197" t="inlineStr">
        <is>
          <t>Sandra Katherine Quintero Crespo</t>
        </is>
      </c>
      <c r="D197" s="85" t="inlineStr">
        <is>
          <t>189.364,13</t>
        </is>
      </c>
      <c r="E197" t="inlineStr">
        <is>
          <t>VES</t>
        </is>
      </c>
      <c r="F197" s="85">
        <f>IF(E197="USD", D197, D197/IFERROR(VLOOKUP(B197, Aux_Datos!$A:$H, 8, FALSE), 1))</f>
        <v/>
      </c>
    </row>
    <row r="198">
      <c r="A198" t="n">
        <v>562</v>
      </c>
      <c r="B198" s="84" t="n">
        <v>46174</v>
      </c>
      <c r="C198" t="inlineStr">
        <is>
          <t>Comercial Rio Paraguas C.A</t>
        </is>
      </c>
      <c r="D198" s="85" t="n">
        <v>151.12</v>
      </c>
      <c r="E198" t="inlineStr">
        <is>
          <t>VES</t>
        </is>
      </c>
      <c r="F198" s="85">
        <f>IF(E198="USD", D198, D198/IFERROR(VLOOKUP(B198, Aux_Datos!$A:$H, 8, FALSE), 1))</f>
        <v/>
      </c>
    </row>
    <row r="199">
      <c r="A199" t="n">
        <v>948</v>
      </c>
      <c r="B199" s="84" t="n">
        <v>46172</v>
      </c>
      <c r="C199" t="inlineStr">
        <is>
          <t>Daniela Sanobria</t>
        </is>
      </c>
      <c r="D199" s="85" t="inlineStr">
        <is>
          <t>49.898,70</t>
        </is>
      </c>
      <c r="E199" t="inlineStr">
        <is>
          <t>VES</t>
        </is>
      </c>
      <c r="F199" s="85">
        <f>IF(E199="USD", D199, D199/IFERROR(VLOOKUP(B199, Aux_Datos!$A:$H, 8, FALSE), 1))</f>
        <v/>
      </c>
    </row>
    <row r="200">
      <c r="A200" t="n">
        <v>986</v>
      </c>
      <c r="B200" s="84" t="n">
        <v>46171</v>
      </c>
      <c r="C200" t="inlineStr">
        <is>
          <t>Emprendimiento YSKRA</t>
        </is>
      </c>
      <c r="D200" s="85" t="n">
        <v>40</v>
      </c>
      <c r="E200" t="inlineStr">
        <is>
          <t>USD</t>
        </is>
      </c>
      <c r="F200" s="85">
        <f>IF(E200="USD", D200, D200/IFERROR(VLOOKUP(B200, Aux_Datos!$A:$H, 8, FALSE), 1))</f>
        <v/>
      </c>
    </row>
    <row r="201">
      <c r="A201" t="n">
        <v>540</v>
      </c>
      <c r="B201" s="84" t="n">
        <v>46171</v>
      </c>
      <c r="C201" t="inlineStr">
        <is>
          <t>Inversiones Vercris 17 C.A</t>
        </is>
      </c>
      <c r="D201" s="85" t="n">
        <v>60</v>
      </c>
      <c r="E201" t="inlineStr">
        <is>
          <t>USD</t>
        </is>
      </c>
      <c r="F201" s="85">
        <f>IF(E201="USD", D201, D201/IFERROR(VLOOKUP(B201, Aux_Datos!$A:$H, 8, FALSE), 1))</f>
        <v/>
      </c>
    </row>
    <row r="202">
      <c r="A202" t="n">
        <v>539</v>
      </c>
      <c r="B202" s="84" t="n">
        <v>46171</v>
      </c>
      <c r="C202" t="inlineStr">
        <is>
          <t>Wili Mervin León Romero</t>
        </is>
      </c>
      <c r="D202" s="85" t="n">
        <v>40</v>
      </c>
      <c r="E202" t="inlineStr">
        <is>
          <t>USD</t>
        </is>
      </c>
      <c r="F202" s="85">
        <f>IF(E202="USD", D202, D202/IFERROR(VLOOKUP(B202, Aux_Datos!$A:$H, 8, FALSE), 1))</f>
        <v/>
      </c>
    </row>
    <row r="203">
      <c r="A203" t="n">
        <v>541</v>
      </c>
      <c r="B203" s="84" t="n">
        <v>46171</v>
      </c>
      <c r="C203" t="inlineStr">
        <is>
          <t>Inversiones Brayan CT C.A</t>
        </is>
      </c>
      <c r="D203" s="85" t="n">
        <v>40</v>
      </c>
      <c r="E203" t="inlineStr">
        <is>
          <t>USD</t>
        </is>
      </c>
      <c r="F203" s="85">
        <f>IF(E203="USD", D203, D203/IFERROR(VLOOKUP(B203, Aux_Datos!$A:$H, 8, FALSE), 1))</f>
        <v/>
      </c>
    </row>
    <row r="204">
      <c r="A204" t="n">
        <v>538</v>
      </c>
      <c r="B204" s="84" t="n">
        <v>46171</v>
      </c>
      <c r="C204" t="inlineStr">
        <is>
          <t>SJMG 2012 C.A</t>
        </is>
      </c>
      <c r="D204" s="85" t="n">
        <v>310</v>
      </c>
      <c r="E204" t="inlineStr">
        <is>
          <t>USD</t>
        </is>
      </c>
      <c r="F204" s="85">
        <f>IF(E204="USD", D204, D204/IFERROR(VLOOKUP(B204, Aux_Datos!$A:$H, 8, FALSE), 1))</f>
        <v/>
      </c>
    </row>
    <row r="205">
      <c r="A205" t="n">
        <v>543</v>
      </c>
      <c r="B205" s="84" t="n">
        <v>46171</v>
      </c>
      <c r="C205" t="inlineStr">
        <is>
          <t>Yeifri Alexander Marquez Zerpa</t>
        </is>
      </c>
      <c r="D205" s="85" t="inlineStr">
        <is>
          <t>105.163,80</t>
        </is>
      </c>
      <c r="E205" t="inlineStr">
        <is>
          <t>VES</t>
        </is>
      </c>
      <c r="F205" s="85">
        <f>IF(E205="USD", D205, D205/IFERROR(VLOOKUP(B205, Aux_Datos!$A:$H, 8, FALSE), 1))</f>
        <v/>
      </c>
    </row>
    <row r="206">
      <c r="A206" t="n">
        <v>535</v>
      </c>
      <c r="B206" s="84" t="n">
        <v>46171</v>
      </c>
      <c r="C206" t="inlineStr">
        <is>
          <t>Multiservicios gochi express 2024, c.a</t>
        </is>
      </c>
      <c r="D206" s="85" t="inlineStr">
        <is>
          <t>223.133,00</t>
        </is>
      </c>
      <c r="E206" t="inlineStr">
        <is>
          <t>VES</t>
        </is>
      </c>
      <c r="F206" s="85">
        <f>IF(E206="USD", D206, D206/IFERROR(VLOOKUP(B206, Aux_Datos!$A:$H, 8, FALSE), 1))</f>
        <v/>
      </c>
    </row>
    <row r="207">
      <c r="A207" t="n">
        <v>534</v>
      </c>
      <c r="B207" s="84" t="n">
        <v>46171</v>
      </c>
      <c r="C207" t="inlineStr">
        <is>
          <t>LA CASA DE LAS BATERIAS</t>
        </is>
      </c>
      <c r="D207" s="85" t="inlineStr">
        <is>
          <t>25.271,02</t>
        </is>
      </c>
      <c r="E207" t="inlineStr">
        <is>
          <t>VES</t>
        </is>
      </c>
      <c r="F207" s="85">
        <f>IF(E207="USD", D207, D207/IFERROR(VLOOKUP(B207, Aux_Datos!$A:$H, 8, FALSE), 1))</f>
        <v/>
      </c>
    </row>
    <row r="208">
      <c r="A208" t="n">
        <v>521</v>
      </c>
      <c r="B208" s="84" t="n">
        <v>46170</v>
      </c>
      <c r="C208" t="inlineStr">
        <is>
          <t>Automecanica Marilu 2014, C.A</t>
        </is>
      </c>
      <c r="D208" s="85" t="n">
        <v>40</v>
      </c>
      <c r="E208" t="inlineStr">
        <is>
          <t>USD</t>
        </is>
      </c>
      <c r="F208" s="85">
        <f>IF(E208="USD", D208, D208/IFERROR(VLOOKUP(B208, Aux_Datos!$A:$H, 8, FALSE), 1))</f>
        <v/>
      </c>
    </row>
    <row r="209">
      <c r="A209" t="n">
        <v>520</v>
      </c>
      <c r="B209" s="84" t="n">
        <v>46170</v>
      </c>
      <c r="C209" t="inlineStr">
        <is>
          <t>Autorepuestos Pitstop,c.a.</t>
        </is>
      </c>
      <c r="D209" s="85" t="n">
        <v>100</v>
      </c>
      <c r="E209" t="inlineStr">
        <is>
          <t>USD</t>
        </is>
      </c>
      <c r="F209" s="85">
        <f>IF(E209="USD", D209, D209/IFERROR(VLOOKUP(B209, Aux_Datos!$A:$H, 8, FALSE), 1))</f>
        <v/>
      </c>
    </row>
    <row r="210">
      <c r="A210" t="n">
        <v>522</v>
      </c>
      <c r="B210" s="84" t="n">
        <v>46170</v>
      </c>
      <c r="C210" t="inlineStr">
        <is>
          <t>Emprendimiento Eduardo Pérez 6</t>
        </is>
      </c>
      <c r="D210" s="85" t="n">
        <v>40</v>
      </c>
      <c r="E210" t="inlineStr">
        <is>
          <t>USD</t>
        </is>
      </c>
      <c r="F210" s="85">
        <f>IF(E210="USD", D210, D210/IFERROR(VLOOKUP(B210, Aux_Datos!$A:$H, 8, FALSE), 1))</f>
        <v/>
      </c>
    </row>
    <row r="211">
      <c r="A211" t="n">
        <v>529</v>
      </c>
      <c r="B211" s="84" t="n">
        <v>46170</v>
      </c>
      <c r="C211" t="inlineStr">
        <is>
          <t>Edward Belén</t>
        </is>
      </c>
      <c r="D211" s="85" t="n">
        <v>161</v>
      </c>
      <c r="E211" t="inlineStr">
        <is>
          <t>USD</t>
        </is>
      </c>
      <c r="F211" s="85">
        <f>IF(E211="USD", D211, D211/IFERROR(VLOOKUP(B211, Aux_Datos!$A:$H, 8, FALSE), 1))</f>
        <v/>
      </c>
    </row>
    <row r="212">
      <c r="A212" t="n">
        <v>528</v>
      </c>
      <c r="B212" s="84" t="n">
        <v>46170</v>
      </c>
      <c r="C212" t="inlineStr">
        <is>
          <t>Jefferson rosales</t>
        </is>
      </c>
      <c r="D212" s="85" t="n">
        <v>40</v>
      </c>
      <c r="E212" t="inlineStr">
        <is>
          <t>USD</t>
        </is>
      </c>
      <c r="F212" s="85">
        <f>IF(E212="USD", D212, D212/IFERROR(VLOOKUP(B212, Aux_Datos!$A:$H, 8, FALSE), 1))</f>
        <v/>
      </c>
    </row>
    <row r="213">
      <c r="A213" t="n">
        <v>527</v>
      </c>
      <c r="B213" s="84" t="n">
        <v>46170</v>
      </c>
      <c r="C213" t="inlineStr">
        <is>
          <t>Jorge Luis camacaro</t>
        </is>
      </c>
      <c r="D213" s="85" t="n">
        <v>30</v>
      </c>
      <c r="E213" t="inlineStr">
        <is>
          <t>USD</t>
        </is>
      </c>
      <c r="F213" s="85">
        <f>IF(E213="USD", D213, D213/IFERROR(VLOOKUP(B213, Aux_Datos!$A:$H, 8, FALSE), 1))</f>
        <v/>
      </c>
    </row>
    <row r="214">
      <c r="A214" t="n">
        <v>545</v>
      </c>
      <c r="B214" s="84" t="n">
        <v>46170</v>
      </c>
      <c r="C214" t="inlineStr">
        <is>
          <t>DISTRIBUIDORA PINOS 181297 C.A</t>
        </is>
      </c>
      <c r="D214" s="85" t="inlineStr">
        <is>
          <t>42.246,55</t>
        </is>
      </c>
      <c r="E214" t="inlineStr">
        <is>
          <t>VES</t>
        </is>
      </c>
      <c r="F214" s="85">
        <f>IF(E214="USD", D214, D214/IFERROR(VLOOKUP(B214, Aux_Datos!$A:$H, 8, FALSE), 1))</f>
        <v/>
      </c>
    </row>
    <row r="215">
      <c r="A215" t="n">
        <v>526</v>
      </c>
      <c r="B215" s="84" t="n">
        <v>46170</v>
      </c>
      <c r="C215" t="inlineStr">
        <is>
          <t>Moto repuestos jj</t>
        </is>
      </c>
      <c r="D215" s="85" t="inlineStr">
        <is>
          <t>39.737,81</t>
        </is>
      </c>
      <c r="E215" t="inlineStr">
        <is>
          <t>VES</t>
        </is>
      </c>
      <c r="F215" s="85">
        <f>IF(E215="USD", D215, D215/IFERROR(VLOOKUP(B215, Aux_Datos!$A:$H, 8, FALSE), 1))</f>
        <v/>
      </c>
    </row>
    <row r="216">
      <c r="A216" t="n">
        <v>1000</v>
      </c>
      <c r="B216" s="84" t="n">
        <v>46170</v>
      </c>
      <c r="C216" t="inlineStr">
        <is>
          <t>Jhoe Zamora</t>
        </is>
      </c>
      <c r="D216" s="85" t="inlineStr">
        <is>
          <t>54.500,00</t>
        </is>
      </c>
      <c r="E216" t="inlineStr">
        <is>
          <t>VES</t>
        </is>
      </c>
      <c r="F216" s="85">
        <f>IF(E216="USD", D216, D216/IFERROR(VLOOKUP(B216, Aux_Datos!$A:$H, 8, FALSE), 1))</f>
        <v/>
      </c>
    </row>
    <row r="217">
      <c r="A217" t="n">
        <v>987</v>
      </c>
      <c r="B217" s="84" t="n">
        <v>46170</v>
      </c>
      <c r="C217" t="inlineStr">
        <is>
          <t>Jefferson rosales</t>
        </is>
      </c>
      <c r="D217" s="85" t="inlineStr">
        <is>
          <t>1.633,54</t>
        </is>
      </c>
      <c r="E217" t="inlineStr">
        <is>
          <t>VES</t>
        </is>
      </c>
      <c r="F217" s="85">
        <f>IF(E217="USD", D217, D217/IFERROR(VLOOKUP(B217, Aux_Datos!$A:$H, 8, FALSE), 1))</f>
        <v/>
      </c>
    </row>
    <row r="218">
      <c r="A218" t="n">
        <v>533</v>
      </c>
      <c r="B218" s="84" t="n">
        <v>46170</v>
      </c>
      <c r="D218" s="85" t="inlineStr">
        <is>
          <t>54.500,00</t>
        </is>
      </c>
      <c r="E218" t="inlineStr">
        <is>
          <t>VES</t>
        </is>
      </c>
      <c r="F218" s="85">
        <f>IF(E218="USD", D218, D218/IFERROR(VLOOKUP(B218, Aux_Datos!$A:$H, 8, FALSE), 1))</f>
        <v/>
      </c>
    </row>
    <row r="219">
      <c r="A219" t="n">
        <v>517</v>
      </c>
      <c r="B219" s="84" t="n">
        <v>46170</v>
      </c>
      <c r="C219" t="inlineStr">
        <is>
          <t>Jose Lopez Espinoza</t>
        </is>
      </c>
      <c r="D219" s="85" t="inlineStr">
        <is>
          <t>61.537,47</t>
        </is>
      </c>
      <c r="E219" t="inlineStr">
        <is>
          <t>VES</t>
        </is>
      </c>
      <c r="F219" s="85">
        <f>IF(E219="USD", D219, D219/IFERROR(VLOOKUP(B219, Aux_Datos!$A:$H, 8, FALSE), 1))</f>
        <v/>
      </c>
    </row>
    <row r="220">
      <c r="A220" t="n">
        <v>519</v>
      </c>
      <c r="B220" s="84" t="n">
        <v>46170</v>
      </c>
      <c r="C220" t="inlineStr">
        <is>
          <t>Diana Carolina Torres</t>
        </is>
      </c>
      <c r="D220" s="85" t="inlineStr">
        <is>
          <t>32.675,00</t>
        </is>
      </c>
      <c r="E220" t="inlineStr">
        <is>
          <t>VES</t>
        </is>
      </c>
      <c r="F220" s="85">
        <f>IF(E220="USD", D220, D220/IFERROR(VLOOKUP(B220, Aux_Datos!$A:$H, 8, FALSE), 1))</f>
        <v/>
      </c>
    </row>
    <row r="221">
      <c r="A221" t="n">
        <v>507</v>
      </c>
      <c r="B221" s="84" t="n">
        <v>46169</v>
      </c>
      <c r="C221" t="inlineStr">
        <is>
          <t>Inversiones García GL C.A</t>
        </is>
      </c>
      <c r="D221" s="85" t="n">
        <v>110</v>
      </c>
      <c r="E221" t="inlineStr">
        <is>
          <t>USD</t>
        </is>
      </c>
      <c r="F221" s="85">
        <f>IF(E221="USD", D221, D221/IFERROR(VLOOKUP(B221, Aux_Datos!$A:$H, 8, FALSE), 1))</f>
        <v/>
      </c>
    </row>
    <row r="222">
      <c r="A222" t="n">
        <v>501</v>
      </c>
      <c r="B222" s="84" t="n">
        <v>46169</v>
      </c>
      <c r="C222" t="inlineStr">
        <is>
          <t>CLUDE CARVALHO DE ACOSTA</t>
        </is>
      </c>
      <c r="D222" s="85" t="n">
        <v>49</v>
      </c>
      <c r="E222" t="inlineStr">
        <is>
          <t>USD</t>
        </is>
      </c>
      <c r="F222" s="85">
        <f>IF(E222="USD", D222, D222/IFERROR(VLOOKUP(B222, Aux_Datos!$A:$H, 8, FALSE), 1))</f>
        <v/>
      </c>
    </row>
    <row r="223">
      <c r="A223" t="n">
        <v>500</v>
      </c>
      <c r="B223" s="84" t="n">
        <v>46169</v>
      </c>
      <c r="C223" t="inlineStr">
        <is>
          <t>Cauchera William 2018, C.A</t>
        </is>
      </c>
      <c r="D223" s="85" t="n">
        <v>15</v>
      </c>
      <c r="E223" t="inlineStr">
        <is>
          <t>USD</t>
        </is>
      </c>
      <c r="F223" s="85">
        <f>IF(E223="USD", D223, D223/IFERROR(VLOOKUP(B223, Aux_Datos!$A:$H, 8, FALSE), 1))</f>
        <v/>
      </c>
    </row>
    <row r="224">
      <c r="A224" t="n">
        <v>499</v>
      </c>
      <c r="B224" s="84" t="n">
        <v>46169</v>
      </c>
      <c r="C224" t="inlineStr">
        <is>
          <t>EMPRENDIMIENTO MANUEL GÓMEZ 6</t>
        </is>
      </c>
      <c r="D224" s="85" t="n">
        <v>20</v>
      </c>
      <c r="E224" t="inlineStr">
        <is>
          <t>USD</t>
        </is>
      </c>
      <c r="F224" s="85">
        <f>IF(E224="USD", D224, D224/IFERROR(VLOOKUP(B224, Aux_Datos!$A:$H, 8, FALSE), 1))</f>
        <v/>
      </c>
    </row>
    <row r="225">
      <c r="A225" t="n">
        <v>498</v>
      </c>
      <c r="B225" s="84" t="n">
        <v>46169</v>
      </c>
      <c r="C225" t="inlineStr">
        <is>
          <t>Inversiones Mirelkys C.A</t>
        </is>
      </c>
      <c r="D225" s="85" t="n">
        <v>41</v>
      </c>
      <c r="E225" t="inlineStr">
        <is>
          <t>USD</t>
        </is>
      </c>
      <c r="F225" s="85">
        <f>IF(E225="USD", D225, D225/IFERROR(VLOOKUP(B225, Aux_Datos!$A:$H, 8, FALSE), 1))</f>
        <v/>
      </c>
    </row>
    <row r="226">
      <c r="A226" t="n">
        <v>509</v>
      </c>
      <c r="B226" s="84" t="n">
        <v>46169</v>
      </c>
      <c r="C226" t="inlineStr">
        <is>
          <t>Servicios Nicolazzo 97, C.A</t>
        </is>
      </c>
      <c r="D226" s="85" t="inlineStr">
        <is>
          <t>45.822,10</t>
        </is>
      </c>
      <c r="E226" t="inlineStr">
        <is>
          <t>VES</t>
        </is>
      </c>
      <c r="F226" s="85">
        <f>IF(E226="USD", D226, D226/IFERROR(VLOOKUP(B226, Aux_Datos!$A:$H, 8, FALSE), 1))</f>
        <v/>
      </c>
    </row>
    <row r="227">
      <c r="A227" t="n">
        <v>510</v>
      </c>
      <c r="B227" s="84" t="n">
        <v>46169</v>
      </c>
      <c r="C227" t="inlineStr">
        <is>
          <t>LUBRIREPUESTOS PANORAMA, C.A.</t>
        </is>
      </c>
      <c r="D227" s="85" t="inlineStr">
        <is>
          <t>5.963,00</t>
        </is>
      </c>
      <c r="E227" t="inlineStr">
        <is>
          <t>VES</t>
        </is>
      </c>
      <c r="F227" s="85">
        <f>IF(E227="USD", D227, D227/IFERROR(VLOOKUP(B227, Aux_Datos!$A:$H, 8, FALSE), 1))</f>
        <v/>
      </c>
    </row>
    <row r="228">
      <c r="A228" t="n">
        <v>504</v>
      </c>
      <c r="B228" s="84" t="n">
        <v>46169</v>
      </c>
      <c r="C228" t="inlineStr">
        <is>
          <t>Cauchera William 2018, C.A</t>
        </is>
      </c>
      <c r="D228" s="85" t="inlineStr">
        <is>
          <t>22.200,00</t>
        </is>
      </c>
      <c r="E228" t="inlineStr">
        <is>
          <t>VES</t>
        </is>
      </c>
      <c r="F228" s="85">
        <f>IF(E228="USD", D228, D228/IFERROR(VLOOKUP(B228, Aux_Datos!$A:$H, 8, FALSE), 1))</f>
        <v/>
      </c>
    </row>
    <row r="229">
      <c r="A229" t="n">
        <v>488</v>
      </c>
      <c r="B229" s="84" t="n">
        <v>46168</v>
      </c>
      <c r="C229" t="inlineStr">
        <is>
          <t>NAUDY MARTINEZ</t>
        </is>
      </c>
      <c r="D229" s="85" t="n">
        <v>320</v>
      </c>
      <c r="E229" t="inlineStr">
        <is>
          <t>USD</t>
        </is>
      </c>
      <c r="F229" s="85">
        <f>IF(E229="USD", D229, D229/IFERROR(VLOOKUP(B229, Aux_Datos!$A:$H, 8, FALSE), 1))</f>
        <v/>
      </c>
    </row>
    <row r="230">
      <c r="A230" t="n">
        <v>485</v>
      </c>
      <c r="B230" s="84" t="n">
        <v>46168</v>
      </c>
      <c r="C230" t="inlineStr">
        <is>
          <t>Javier gregorio Espinoza</t>
        </is>
      </c>
      <c r="D230" s="85" t="n">
        <v>40</v>
      </c>
      <c r="E230" t="inlineStr">
        <is>
          <t>USD</t>
        </is>
      </c>
      <c r="F230" s="85">
        <f>IF(E230="USD", D230, D230/IFERROR(VLOOKUP(B230, Aux_Datos!$A:$H, 8, FALSE), 1))</f>
        <v/>
      </c>
    </row>
    <row r="231">
      <c r="A231" t="n">
        <v>479</v>
      </c>
      <c r="B231" s="84" t="n">
        <v>46168</v>
      </c>
      <c r="C231" t="inlineStr">
        <is>
          <t>JOSE RAFAEL MARTÍNEZ</t>
        </is>
      </c>
      <c r="D231" s="85" t="n">
        <v>53</v>
      </c>
      <c r="E231" t="inlineStr">
        <is>
          <t>USD</t>
        </is>
      </c>
      <c r="F231" s="85">
        <f>IF(E231="USD", D231, D231/IFERROR(VLOOKUP(B231, Aux_Datos!$A:$H, 8, FALSE), 1))</f>
        <v/>
      </c>
    </row>
    <row r="232">
      <c r="A232" t="n">
        <v>478</v>
      </c>
      <c r="B232" s="84" t="n">
        <v>46168</v>
      </c>
      <c r="C232" t="inlineStr">
        <is>
          <t>SJMG 2012 C.A</t>
        </is>
      </c>
      <c r="D232" s="85" t="n">
        <v>410</v>
      </c>
      <c r="E232" t="inlineStr">
        <is>
          <t>USD</t>
        </is>
      </c>
      <c r="F232" s="85">
        <f>IF(E232="USD", D232, D232/IFERROR(VLOOKUP(B232, Aux_Datos!$A:$H, 8, FALSE), 1))</f>
        <v/>
      </c>
    </row>
    <row r="233">
      <c r="A233" t="n">
        <v>474</v>
      </c>
      <c r="B233" s="84" t="n">
        <v>46168</v>
      </c>
      <c r="C233" t="inlineStr">
        <is>
          <t>FREDI MARQUEZ</t>
        </is>
      </c>
      <c r="D233" s="85" t="n">
        <v>135</v>
      </c>
      <c r="E233" t="inlineStr">
        <is>
          <t>USD</t>
        </is>
      </c>
      <c r="F233" s="85">
        <f>IF(E233="USD", D233, D233/IFERROR(VLOOKUP(B233, Aux_Datos!$A:$H, 8, FALSE), 1))</f>
        <v/>
      </c>
    </row>
    <row r="234">
      <c r="A234" t="n">
        <v>472</v>
      </c>
      <c r="B234" s="84" t="n">
        <v>46168</v>
      </c>
      <c r="C234" t="inlineStr">
        <is>
          <t>La cámara perfecta</t>
        </is>
      </c>
      <c r="D234" s="85" t="n">
        <v>250</v>
      </c>
      <c r="E234" t="inlineStr">
        <is>
          <t>USD</t>
        </is>
      </c>
      <c r="F234" s="85">
        <f>IF(E234="USD", D234, D234/IFERROR(VLOOKUP(B234, Aux_Datos!$A:$H, 8, FALSE), 1))</f>
        <v/>
      </c>
    </row>
    <row r="235">
      <c r="A235" t="n">
        <v>505</v>
      </c>
      <c r="B235" s="84" t="n">
        <v>46168</v>
      </c>
      <c r="C235" t="inlineStr">
        <is>
          <t>ZIP MARKET, CA</t>
        </is>
      </c>
      <c r="D235" s="85" t="inlineStr">
        <is>
          <t>139.208,18</t>
        </is>
      </c>
      <c r="E235" t="inlineStr">
        <is>
          <t>VES</t>
        </is>
      </c>
      <c r="F235" s="85">
        <f>IF(E235="USD", D235, D235/IFERROR(VLOOKUP(B235, Aux_Datos!$A:$H, 8, FALSE), 1))</f>
        <v/>
      </c>
    </row>
    <row r="236">
      <c r="A236" t="n">
        <v>482</v>
      </c>
      <c r="B236" s="84" t="n">
        <v>46168</v>
      </c>
      <c r="C236" t="inlineStr">
        <is>
          <t>Comercial Rio Paraguas C.A</t>
        </is>
      </c>
      <c r="D236" s="85" t="inlineStr">
        <is>
          <t>107.076,00</t>
        </is>
      </c>
      <c r="E236" t="inlineStr">
        <is>
          <t>VES</t>
        </is>
      </c>
      <c r="F236" s="85">
        <f>IF(E236="USD", D236, D236/IFERROR(VLOOKUP(B236, Aux_Datos!$A:$H, 8, FALSE), 1))</f>
        <v/>
      </c>
    </row>
    <row r="237">
      <c r="A237" t="n">
        <v>483</v>
      </c>
      <c r="B237" s="84" t="n">
        <v>46168</v>
      </c>
      <c r="C237" t="inlineStr">
        <is>
          <t>Comercial los de faria,c.a.</t>
        </is>
      </c>
      <c r="D237" s="85" t="inlineStr">
        <is>
          <t>206.706,40</t>
        </is>
      </c>
      <c r="E237" t="inlineStr">
        <is>
          <t>VES</t>
        </is>
      </c>
      <c r="F237" s="85">
        <f>IF(E237="USD", D237, D237/IFERROR(VLOOKUP(B237, Aux_Datos!$A:$H, 8, FALSE), 1))</f>
        <v/>
      </c>
    </row>
    <row r="238">
      <c r="A238" t="n">
        <v>484</v>
      </c>
      <c r="B238" s="84" t="n">
        <v>46168</v>
      </c>
      <c r="C238" t="inlineStr">
        <is>
          <t>MOTO REPUESTO GARCIA 2023, C.A.</t>
        </is>
      </c>
      <c r="D238" s="85" t="inlineStr">
        <is>
          <t>44.715,77</t>
        </is>
      </c>
      <c r="E238" t="inlineStr">
        <is>
          <t>VES</t>
        </is>
      </c>
      <c r="F238" s="85">
        <f>IF(E238="USD", D238, D238/IFERROR(VLOOKUP(B238, Aux_Datos!$A:$H, 8, FALSE), 1))</f>
        <v/>
      </c>
    </row>
    <row r="239">
      <c r="A239" t="n">
        <v>463</v>
      </c>
      <c r="B239" s="84" t="n">
        <v>46167</v>
      </c>
      <c r="C239" t="inlineStr">
        <is>
          <t>Inversiones La Bendición del Nazareno, C.A</t>
        </is>
      </c>
      <c r="D239" s="85" t="n">
        <v>500</v>
      </c>
      <c r="E239" t="inlineStr">
        <is>
          <t>USD</t>
        </is>
      </c>
      <c r="F239" s="85">
        <f>IF(E239="USD", D239, D239/IFERROR(VLOOKUP(B239, Aux_Datos!$A:$H, 8, FALSE), 1))</f>
        <v/>
      </c>
    </row>
    <row r="240">
      <c r="A240" t="n">
        <v>464</v>
      </c>
      <c r="B240" s="84" t="n">
        <v>46167</v>
      </c>
      <c r="C240" t="inlineStr">
        <is>
          <t>Multiservicio Tocome, C.A</t>
        </is>
      </c>
      <c r="D240" s="85" t="n">
        <v>20</v>
      </c>
      <c r="E240" t="inlineStr">
        <is>
          <t>USD</t>
        </is>
      </c>
      <c r="F240" s="85">
        <f>IF(E240="USD", D240, D240/IFERROR(VLOOKUP(B240, Aux_Datos!$A:$H, 8, FALSE), 1))</f>
        <v/>
      </c>
    </row>
    <row r="241">
      <c r="A241" t="n">
        <v>467</v>
      </c>
      <c r="B241" s="84" t="n">
        <v>46167</v>
      </c>
      <c r="C241" t="inlineStr">
        <is>
          <t>LUBRIREPUESTOS PANORAMA, C.A.</t>
        </is>
      </c>
      <c r="D241" s="85" t="inlineStr">
        <is>
          <t>4.779,00</t>
        </is>
      </c>
      <c r="E241" t="inlineStr">
        <is>
          <t>VES</t>
        </is>
      </c>
      <c r="F241" s="85">
        <f>IF(E241="USD", D241, D241/IFERROR(VLOOKUP(B241, Aux_Datos!$A:$H, 8, FALSE), 1))</f>
        <v/>
      </c>
    </row>
    <row r="242">
      <c r="A242" t="n">
        <v>465</v>
      </c>
      <c r="B242" s="84" t="n">
        <v>46167</v>
      </c>
      <c r="C242" t="inlineStr">
        <is>
          <t>LUBRIREPUESTOS PANORAMA, C.A.</t>
        </is>
      </c>
      <c r="D242" s="85" t="inlineStr">
        <is>
          <t>31.860,00</t>
        </is>
      </c>
      <c r="E242" t="inlineStr">
        <is>
          <t>VES</t>
        </is>
      </c>
      <c r="F242" s="85">
        <f>IF(E242="USD", D242, D242/IFERROR(VLOOKUP(B242, Aux_Datos!$A:$H, 8, FALSE), 1))</f>
        <v/>
      </c>
    </row>
    <row r="243">
      <c r="A243" t="n">
        <v>461</v>
      </c>
      <c r="B243" s="84" t="n">
        <v>46167</v>
      </c>
      <c r="C243" t="inlineStr">
        <is>
          <t>Diana Carolina Torres</t>
        </is>
      </c>
      <c r="D243" s="85" t="inlineStr">
        <is>
          <t>23.895,00</t>
        </is>
      </c>
      <c r="E243" t="inlineStr">
        <is>
          <t>VES</t>
        </is>
      </c>
      <c r="F243" s="85">
        <f>IF(E243="USD", D243, D243/IFERROR(VLOOKUP(B243, Aux_Datos!$A:$H, 8, FALSE), 1))</f>
        <v/>
      </c>
    </row>
    <row r="244">
      <c r="A244" t="n">
        <v>452</v>
      </c>
      <c r="B244" s="84" t="n">
        <v>46164</v>
      </c>
      <c r="C244" t="inlineStr">
        <is>
          <t>Moises Alejandro Mares</t>
        </is>
      </c>
      <c r="D244" s="85" t="n">
        <v>20</v>
      </c>
      <c r="E244" t="inlineStr">
        <is>
          <t>USD</t>
        </is>
      </c>
      <c r="F244" s="85">
        <f>IF(E244="USD", D244, D244/IFERROR(VLOOKUP(B244, Aux_Datos!$A:$H, 8, FALSE), 1))</f>
        <v/>
      </c>
    </row>
    <row r="245">
      <c r="A245" t="n">
        <v>989</v>
      </c>
      <c r="B245" s="84" t="n">
        <v>46164</v>
      </c>
      <c r="C245" t="inlineStr">
        <is>
          <t>Emprendimiento José Sánchez 203 c.a</t>
        </is>
      </c>
      <c r="D245" s="85" t="inlineStr">
        <is>
          <t>35.850,00</t>
        </is>
      </c>
      <c r="E245" t="inlineStr">
        <is>
          <t>VES</t>
        </is>
      </c>
      <c r="F245" s="85">
        <f>IF(E245="USD", D245, D245/IFERROR(VLOOKUP(B245, Aux_Datos!$A:$H, 8, FALSE), 1))</f>
        <v/>
      </c>
    </row>
    <row r="246">
      <c r="A246" t="n">
        <v>431</v>
      </c>
      <c r="B246" s="84" t="n">
        <v>46163</v>
      </c>
      <c r="C246" t="inlineStr">
        <is>
          <t>Inversiones Los compadres 7686, c.a.</t>
        </is>
      </c>
      <c r="D246" s="85" t="n">
        <v>71</v>
      </c>
      <c r="E246" t="inlineStr">
        <is>
          <t>USD</t>
        </is>
      </c>
      <c r="F246" s="85">
        <f>IF(E246="USD", D246, D246/IFERROR(VLOOKUP(B246, Aux_Datos!$A:$H, 8, FALSE), 1))</f>
        <v/>
      </c>
    </row>
    <row r="247">
      <c r="A247" t="n">
        <v>440</v>
      </c>
      <c r="B247" s="84" t="n">
        <v>46163</v>
      </c>
      <c r="C247" t="inlineStr">
        <is>
          <t>Javier gregorio Espinoza</t>
        </is>
      </c>
      <c r="D247" s="85" t="n">
        <v>50</v>
      </c>
      <c r="E247" t="inlineStr">
        <is>
          <t>USD</t>
        </is>
      </c>
      <c r="F247" s="85">
        <f>IF(E247="USD", D247, D247/IFERROR(VLOOKUP(B247, Aux_Datos!$A:$H, 8, FALSE), 1))</f>
        <v/>
      </c>
    </row>
    <row r="248">
      <c r="A248" t="n">
        <v>434</v>
      </c>
      <c r="B248" s="84" t="n">
        <v>46163</v>
      </c>
      <c r="C248" t="inlineStr">
        <is>
          <t>Nemer Bourji</t>
        </is>
      </c>
      <c r="D248" s="85" t="n">
        <v>4</v>
      </c>
      <c r="E248" t="inlineStr">
        <is>
          <t>USD</t>
        </is>
      </c>
      <c r="F248" s="85">
        <f>IF(E248="USD", D248, D248/IFERROR(VLOOKUP(B248, Aux_Datos!$A:$H, 8, FALSE), 1))</f>
        <v/>
      </c>
    </row>
    <row r="249">
      <c r="A249" t="n">
        <v>435</v>
      </c>
      <c r="B249" s="84" t="n">
        <v>46163</v>
      </c>
      <c r="C249" t="inlineStr">
        <is>
          <t>Katiuska Alejandra Curvelo</t>
        </is>
      </c>
      <c r="D249" s="85" t="n">
        <v>4</v>
      </c>
      <c r="E249" t="inlineStr">
        <is>
          <t>USD</t>
        </is>
      </c>
      <c r="F249" s="85">
        <f>IF(E249="USD", D249, D249/IFERROR(VLOOKUP(B249, Aux_Datos!$A:$H, 8, FALSE), 1))</f>
        <v/>
      </c>
    </row>
    <row r="250">
      <c r="A250" t="n">
        <v>429</v>
      </c>
      <c r="B250" s="84" t="n">
        <v>46163</v>
      </c>
      <c r="C250" t="inlineStr">
        <is>
          <t>Katiuska Alejandra Curvelo</t>
        </is>
      </c>
      <c r="D250" s="85" t="n">
        <v>191</v>
      </c>
      <c r="E250" t="inlineStr">
        <is>
          <t>USD</t>
        </is>
      </c>
      <c r="F250" s="85">
        <f>IF(E250="USD", D250, D250/IFERROR(VLOOKUP(B250, Aux_Datos!$A:$H, 8, FALSE), 1))</f>
        <v/>
      </c>
    </row>
    <row r="251">
      <c r="A251" t="n">
        <v>443</v>
      </c>
      <c r="B251" s="84" t="n">
        <v>46163</v>
      </c>
      <c r="C251" t="inlineStr">
        <is>
          <t>INVERSIONES JOSCAR XXI, S.A.</t>
        </is>
      </c>
      <c r="D251" s="85" t="inlineStr">
        <is>
          <t>105.000,00</t>
        </is>
      </c>
      <c r="E251" t="inlineStr">
        <is>
          <t>VES</t>
        </is>
      </c>
      <c r="F251" s="85">
        <f>IF(E251="USD", D251, D251/IFERROR(VLOOKUP(B251, Aux_Datos!$A:$H, 8, FALSE), 1))</f>
        <v/>
      </c>
    </row>
    <row r="252">
      <c r="A252" t="n">
        <v>425</v>
      </c>
      <c r="B252" s="84" t="n">
        <v>46162</v>
      </c>
      <c r="C252" t="inlineStr">
        <is>
          <t>Emprendimiento Jordy Valencia</t>
        </is>
      </c>
      <c r="D252" s="85" t="n">
        <v>150</v>
      </c>
      <c r="E252" t="inlineStr">
        <is>
          <t>USD</t>
        </is>
      </c>
      <c r="F252" s="85">
        <f>IF(E252="USD", D252, D252/IFERROR(VLOOKUP(B252, Aux_Datos!$A:$H, 8, FALSE), 1))</f>
        <v/>
      </c>
    </row>
    <row r="253">
      <c r="A253" t="n">
        <v>423</v>
      </c>
      <c r="B253" s="84" t="n">
        <v>46162</v>
      </c>
      <c r="C253" t="inlineStr">
        <is>
          <t>Wili Mervin León Romero</t>
        </is>
      </c>
      <c r="D253" s="85" t="n">
        <v>50</v>
      </c>
      <c r="E253" t="inlineStr">
        <is>
          <t>USD</t>
        </is>
      </c>
      <c r="F253" s="85">
        <f>IF(E253="USD", D253, D253/IFERROR(VLOOKUP(B253, Aux_Datos!$A:$H, 8, FALSE), 1))</f>
        <v/>
      </c>
    </row>
    <row r="254">
      <c r="A254" t="n">
        <v>405</v>
      </c>
      <c r="B254" s="84" t="n">
        <v>46161</v>
      </c>
      <c r="C254" t="inlineStr">
        <is>
          <t>Javier Cardenas Prato.</t>
        </is>
      </c>
      <c r="D254" s="85" t="n">
        <v>7</v>
      </c>
      <c r="E254" t="inlineStr">
        <is>
          <t>USD</t>
        </is>
      </c>
      <c r="F254" s="85">
        <f>IF(E254="USD", D254, D254/IFERROR(VLOOKUP(B254, Aux_Datos!$A:$H, 8, FALSE), 1))</f>
        <v/>
      </c>
    </row>
    <row r="255">
      <c r="A255" t="n">
        <v>413</v>
      </c>
      <c r="B255" s="84" t="n">
        <v>46161</v>
      </c>
      <c r="C255" t="inlineStr">
        <is>
          <t>Jorge Luis camacaro</t>
        </is>
      </c>
      <c r="D255" s="85" t="n">
        <v>32</v>
      </c>
      <c r="E255" t="inlineStr">
        <is>
          <t>USD</t>
        </is>
      </c>
      <c r="F255" s="85">
        <f>IF(E255="USD", D255, D255/IFERROR(VLOOKUP(B255, Aux_Datos!$A:$H, 8, FALSE), 1))</f>
        <v/>
      </c>
    </row>
    <row r="256">
      <c r="A256" t="n">
        <v>414</v>
      </c>
      <c r="B256" s="84" t="n">
        <v>46161</v>
      </c>
      <c r="C256" t="inlineStr">
        <is>
          <t>Jorge Luis camacaro</t>
        </is>
      </c>
      <c r="D256" s="85" t="n">
        <v>20</v>
      </c>
      <c r="E256" t="inlineStr">
        <is>
          <t>USD</t>
        </is>
      </c>
      <c r="F256" s="85">
        <f>IF(E256="USD", D256, D256/IFERROR(VLOOKUP(B256, Aux_Datos!$A:$H, 8, FALSE), 1))</f>
        <v/>
      </c>
    </row>
    <row r="257">
      <c r="A257" t="n">
        <v>409</v>
      </c>
      <c r="B257" s="84" t="n">
        <v>46161</v>
      </c>
      <c r="C257" t="inlineStr">
        <is>
          <t>Javier gregorio Espinoza</t>
        </is>
      </c>
      <c r="D257" s="85" t="n">
        <v>30</v>
      </c>
      <c r="E257" t="inlineStr">
        <is>
          <t>USD</t>
        </is>
      </c>
      <c r="F257" s="85">
        <f>IF(E257="USD", D257, D257/IFERROR(VLOOKUP(B257, Aux_Datos!$A:$H, 8, FALSE), 1))</f>
        <v/>
      </c>
    </row>
    <row r="258">
      <c r="A258" t="n">
        <v>419</v>
      </c>
      <c r="B258" s="84" t="n">
        <v>46161</v>
      </c>
      <c r="C258" t="inlineStr">
        <is>
          <t>Inversiones Brayan CT C.A</t>
        </is>
      </c>
      <c r="D258" s="85" t="n">
        <v>40</v>
      </c>
      <c r="E258" t="inlineStr">
        <is>
          <t>USD</t>
        </is>
      </c>
      <c r="F258" s="85">
        <f>IF(E258="USD", D258, D258/IFERROR(VLOOKUP(B258, Aux_Datos!$A:$H, 8, FALSE), 1))</f>
        <v/>
      </c>
    </row>
    <row r="259">
      <c r="A259" t="n">
        <v>410</v>
      </c>
      <c r="B259" s="84" t="n">
        <v>46161</v>
      </c>
      <c r="C259" t="inlineStr">
        <is>
          <t>Anthony Jose Quijada Diaz.</t>
        </is>
      </c>
      <c r="D259" s="85" t="n">
        <v>109</v>
      </c>
      <c r="E259" t="inlineStr">
        <is>
          <t>USD</t>
        </is>
      </c>
      <c r="F259" s="85">
        <f>IF(E259="USD", D259, D259/IFERROR(VLOOKUP(B259, Aux_Datos!$A:$H, 8, FALSE), 1))</f>
        <v/>
      </c>
    </row>
    <row r="260">
      <c r="A260" t="n">
        <v>407</v>
      </c>
      <c r="B260" s="84" t="n">
        <v>46161</v>
      </c>
      <c r="C260" t="inlineStr">
        <is>
          <t>Jose Lopez Espinoza</t>
        </is>
      </c>
      <c r="D260" s="85" t="inlineStr">
        <is>
          <t>51.796,19</t>
        </is>
      </c>
      <c r="E260" t="inlineStr">
        <is>
          <t>VES</t>
        </is>
      </c>
      <c r="F260" s="85">
        <f>IF(E260="USD", D260, D260/IFERROR(VLOOKUP(B260, Aux_Datos!$A:$H, 8, FALSE), 1))</f>
        <v/>
      </c>
    </row>
    <row r="261">
      <c r="A261" t="n">
        <v>391</v>
      </c>
      <c r="B261" s="84" t="n">
        <v>46160</v>
      </c>
      <c r="C261" t="inlineStr">
        <is>
          <t>M.L.P Repuestos y Otros, C.A</t>
        </is>
      </c>
      <c r="D261" s="85" t="n">
        <v>300</v>
      </c>
      <c r="E261" t="inlineStr">
        <is>
          <t>USD</t>
        </is>
      </c>
      <c r="F261" s="85">
        <f>IF(E261="USD", D261, D261/IFERROR(VLOOKUP(B261, Aux_Datos!$A:$H, 8, FALSE), 1))</f>
        <v/>
      </c>
    </row>
    <row r="262">
      <c r="A262" t="n">
        <v>388</v>
      </c>
      <c r="B262" s="84" t="n">
        <v>46160</v>
      </c>
      <c r="C262" t="inlineStr">
        <is>
          <t>FREDI MARQUEZ</t>
        </is>
      </c>
      <c r="D262" s="85" t="n">
        <v>135</v>
      </c>
      <c r="E262" t="inlineStr">
        <is>
          <t>USD</t>
        </is>
      </c>
      <c r="F262" s="85">
        <f>IF(E262="USD", D262, D262/IFERROR(VLOOKUP(B262, Aux_Datos!$A:$H, 8, FALSE), 1))</f>
        <v/>
      </c>
    </row>
    <row r="263">
      <c r="A263" t="n">
        <v>386</v>
      </c>
      <c r="B263" s="84" t="n">
        <v>46160</v>
      </c>
      <c r="C263" t="inlineStr">
        <is>
          <t>SJMG 2012 C.A</t>
        </is>
      </c>
      <c r="D263" s="85" t="n">
        <v>480</v>
      </c>
      <c r="E263" t="inlineStr">
        <is>
          <t>USD</t>
        </is>
      </c>
      <c r="F263" s="85">
        <f>IF(E263="USD", D263, D263/IFERROR(VLOOKUP(B263, Aux_Datos!$A:$H, 8, FALSE), 1))</f>
        <v/>
      </c>
    </row>
    <row r="264">
      <c r="A264" t="n">
        <v>392</v>
      </c>
      <c r="B264" s="84" t="n">
        <v>46160</v>
      </c>
      <c r="C264" t="inlineStr">
        <is>
          <t>EN LA VIA 2023 C.A</t>
        </is>
      </c>
      <c r="D264" s="85" t="inlineStr">
        <is>
          <t>150.647,92</t>
        </is>
      </c>
      <c r="E264" t="inlineStr">
        <is>
          <t>VES</t>
        </is>
      </c>
      <c r="F264" s="85">
        <f>IF(E264="USD", D264, D264/IFERROR(VLOOKUP(B264, Aux_Datos!$A:$H, 8, FALSE), 1))</f>
        <v/>
      </c>
    </row>
    <row r="265">
      <c r="A265" t="n">
        <v>378</v>
      </c>
      <c r="B265" s="84" t="n">
        <v>46157</v>
      </c>
      <c r="C265" t="inlineStr">
        <is>
          <t>Inversiones Mirelkys C.A</t>
        </is>
      </c>
      <c r="D265" s="85" t="n">
        <v>100</v>
      </c>
      <c r="E265" t="inlineStr">
        <is>
          <t>USD</t>
        </is>
      </c>
      <c r="F265" s="85">
        <f>IF(E265="USD", D265, D265/IFERROR(VLOOKUP(B265, Aux_Datos!$A:$H, 8, FALSE), 1))</f>
        <v/>
      </c>
    </row>
    <row r="266">
      <c r="A266" t="n">
        <v>376</v>
      </c>
      <c r="B266" s="84" t="n">
        <v>46157</v>
      </c>
      <c r="C266" t="inlineStr">
        <is>
          <t>Moises Alejandro Mares</t>
        </is>
      </c>
      <c r="D266" s="85" t="n">
        <v>10</v>
      </c>
      <c r="E266" t="inlineStr">
        <is>
          <t>USD</t>
        </is>
      </c>
      <c r="F266" s="85">
        <f>IF(E266="USD", D266, D266/IFERROR(VLOOKUP(B266, Aux_Datos!$A:$H, 8, FALSE), 1))</f>
        <v/>
      </c>
    </row>
    <row r="267">
      <c r="A267" t="n">
        <v>372</v>
      </c>
      <c r="B267" s="84" t="n">
        <v>46157</v>
      </c>
      <c r="C267" t="inlineStr">
        <is>
          <t>EMPRENDIMIENTO MANUEL GÓMEZ 6</t>
        </is>
      </c>
      <c r="D267" s="85" t="n">
        <v>20</v>
      </c>
      <c r="E267" t="inlineStr">
        <is>
          <t>USD</t>
        </is>
      </c>
      <c r="F267" s="85">
        <f>IF(E267="USD", D267, D267/IFERROR(VLOOKUP(B267, Aux_Datos!$A:$H, 8, FALSE), 1))</f>
        <v/>
      </c>
    </row>
    <row r="268">
      <c r="A268" t="n">
        <v>365</v>
      </c>
      <c r="B268" s="84" t="n">
        <v>46156</v>
      </c>
      <c r="C268" t="inlineStr">
        <is>
          <t>Repuestos Guia Dios Nuestro Camino,c.a.</t>
        </is>
      </c>
      <c r="D268" s="85" t="n">
        <v>20</v>
      </c>
      <c r="E268" t="inlineStr">
        <is>
          <t>USD</t>
        </is>
      </c>
      <c r="F268" s="85">
        <f>IF(E268="USD", D268, D268/IFERROR(VLOOKUP(B268, Aux_Datos!$A:$H, 8, FALSE), 1))</f>
        <v/>
      </c>
    </row>
    <row r="269">
      <c r="A269" t="n">
        <v>358</v>
      </c>
      <c r="B269" s="84" t="n">
        <v>46156</v>
      </c>
      <c r="C269" t="inlineStr">
        <is>
          <t>Cauchera William 2018, C.A</t>
        </is>
      </c>
      <c r="D269" s="85" t="n">
        <v>15</v>
      </c>
      <c r="E269" t="inlineStr">
        <is>
          <t>USD</t>
        </is>
      </c>
      <c r="F269" s="85">
        <f>IF(E269="USD", D269, D269/IFERROR(VLOOKUP(B269, Aux_Datos!$A:$H, 8, FALSE), 1))</f>
        <v/>
      </c>
    </row>
    <row r="270">
      <c r="A270" t="n">
        <v>362</v>
      </c>
      <c r="B270" s="84" t="n">
        <v>46156</v>
      </c>
      <c r="C270" t="inlineStr">
        <is>
          <t>WILLY MOTOR CAR REPUESTOS Y SERVICIOS, C.A.</t>
        </is>
      </c>
      <c r="D270" s="85" t="n">
        <v>120</v>
      </c>
      <c r="E270" t="inlineStr">
        <is>
          <t>USD</t>
        </is>
      </c>
      <c r="F270" s="85">
        <f>IF(E270="USD", D270, D270/IFERROR(VLOOKUP(B270, Aux_Datos!$A:$H, 8, FALSE), 1))</f>
        <v/>
      </c>
    </row>
    <row r="271">
      <c r="A271" t="n">
        <v>977</v>
      </c>
      <c r="B271" s="84" t="n">
        <v>46156</v>
      </c>
      <c r="C271" t="inlineStr">
        <is>
          <t>FRANCISCO MONCADA</t>
        </is>
      </c>
      <c r="D271" s="85" t="inlineStr">
        <is>
          <t>212.693,02</t>
        </is>
      </c>
      <c r="E271" t="inlineStr">
        <is>
          <t>VES</t>
        </is>
      </c>
      <c r="F271" s="85">
        <f>IF(E271="USD", D271, D271/IFERROR(VLOOKUP(B271, Aux_Datos!$A:$H, 8, FALSE), 1))</f>
        <v/>
      </c>
    </row>
    <row r="272">
      <c r="A272" t="n">
        <v>976</v>
      </c>
      <c r="B272" s="84" t="n">
        <v>46156</v>
      </c>
      <c r="C272" t="inlineStr">
        <is>
          <t>Greicy Moncada</t>
        </is>
      </c>
      <c r="D272" s="85" t="inlineStr">
        <is>
          <t>127.615,81</t>
        </is>
      </c>
      <c r="E272" t="inlineStr">
        <is>
          <t>VES</t>
        </is>
      </c>
      <c r="F272" s="85">
        <f>IF(E272="USD", D272, D272/IFERROR(VLOOKUP(B272, Aux_Datos!$A:$H, 8, FALSE), 1))</f>
        <v/>
      </c>
    </row>
    <row r="273">
      <c r="A273" t="n">
        <v>364</v>
      </c>
      <c r="B273" s="84" t="n">
        <v>46156</v>
      </c>
      <c r="C273" t="inlineStr">
        <is>
          <t>Ricardo A. Fernandez.</t>
        </is>
      </c>
      <c r="D273" s="85" t="inlineStr">
        <is>
          <t>53.400,00</t>
        </is>
      </c>
      <c r="E273" t="inlineStr">
        <is>
          <t>VES</t>
        </is>
      </c>
      <c r="F273" s="85">
        <f>IF(E273="USD", D273, D273/IFERROR(VLOOKUP(B273, Aux_Datos!$A:$H, 8, FALSE), 1))</f>
        <v/>
      </c>
    </row>
    <row r="274">
      <c r="A274" t="n">
        <v>355</v>
      </c>
      <c r="B274" s="84" t="n">
        <v>46156</v>
      </c>
      <c r="C274" t="inlineStr">
        <is>
          <t>Montura de Cauchos Biondo,c.a.</t>
        </is>
      </c>
      <c r="D274" s="85" t="inlineStr">
        <is>
          <t>103.438,00</t>
        </is>
      </c>
      <c r="E274" t="inlineStr">
        <is>
          <t>VES</t>
        </is>
      </c>
      <c r="F274" s="85">
        <f>IF(E274="USD", D274, D274/IFERROR(VLOOKUP(B274, Aux_Datos!$A:$H, 8, FALSE), 1))</f>
        <v/>
      </c>
    </row>
    <row r="275">
      <c r="A275" t="n">
        <v>348</v>
      </c>
      <c r="B275" s="84" t="n">
        <v>46155</v>
      </c>
      <c r="C275" t="inlineStr">
        <is>
          <t>Servicios de Gruas Torgil 300, c.a.</t>
        </is>
      </c>
      <c r="D275" s="85" t="n">
        <v>675</v>
      </c>
      <c r="E275" t="inlineStr">
        <is>
          <t>USD</t>
        </is>
      </c>
      <c r="F275" s="85">
        <f>IF(E275="USD", D275, D275/IFERROR(VLOOKUP(B275, Aux_Datos!$A:$H, 8, FALSE), 1))</f>
        <v/>
      </c>
    </row>
    <row r="276">
      <c r="A276" t="n">
        <v>349</v>
      </c>
      <c r="B276" s="84" t="n">
        <v>46155</v>
      </c>
      <c r="C276" t="inlineStr">
        <is>
          <t>Junior Marco Antonio Vivas Navas</t>
        </is>
      </c>
      <c r="D276" s="85" t="n">
        <v>10</v>
      </c>
      <c r="E276" t="inlineStr">
        <is>
          <t>USD</t>
        </is>
      </c>
      <c r="F276" s="85">
        <f>IF(E276="USD", D276, D276/IFERROR(VLOOKUP(B276, Aux_Datos!$A:$H, 8, FALSE), 1))</f>
        <v/>
      </c>
    </row>
    <row r="277">
      <c r="A277" t="n">
        <v>346</v>
      </c>
      <c r="B277" s="84" t="n">
        <v>46155</v>
      </c>
      <c r="C277" t="inlineStr">
        <is>
          <t>SJMG 2012 C.A</t>
        </is>
      </c>
      <c r="D277" s="85" t="n">
        <v>600</v>
      </c>
      <c r="E277" t="inlineStr">
        <is>
          <t>USD</t>
        </is>
      </c>
      <c r="F277" s="85">
        <f>IF(E277="USD", D277, D277/IFERROR(VLOOKUP(B277, Aux_Datos!$A:$H, 8, FALSE), 1))</f>
        <v/>
      </c>
    </row>
    <row r="278">
      <c r="A278" t="n">
        <v>350</v>
      </c>
      <c r="B278" s="84" t="n">
        <v>46155</v>
      </c>
      <c r="C278" t="inlineStr">
        <is>
          <t>Kiosco Willianny 1013, C.A</t>
        </is>
      </c>
      <c r="D278" s="85" t="inlineStr">
        <is>
          <t>51.725,00</t>
        </is>
      </c>
      <c r="E278" t="inlineStr">
        <is>
          <t>VES</t>
        </is>
      </c>
      <c r="F278" s="85">
        <f>IF(E278="USD", D278, D278/IFERROR(VLOOKUP(B278, Aux_Datos!$A:$H, 8, FALSE), 1))</f>
        <v/>
      </c>
    </row>
    <row r="279">
      <c r="A279" t="n">
        <v>344</v>
      </c>
      <c r="B279" s="84" t="n">
        <v>46154</v>
      </c>
      <c r="C279" t="inlineStr">
        <is>
          <t>Javier gregorio Espinoza</t>
        </is>
      </c>
      <c r="D279" s="85" t="n">
        <v>20</v>
      </c>
      <c r="E279" t="inlineStr">
        <is>
          <t>USD</t>
        </is>
      </c>
      <c r="F279" s="85">
        <f>IF(E279="USD", D279, D279/IFERROR(VLOOKUP(B279, Aux_Datos!$A:$H, 8, FALSE), 1))</f>
        <v/>
      </c>
    </row>
    <row r="280">
      <c r="A280" t="n">
        <v>317</v>
      </c>
      <c r="B280" s="84" t="n">
        <v>46153</v>
      </c>
      <c r="C280" t="inlineStr">
        <is>
          <t>Inversiones Dekamalbaz, C.A</t>
        </is>
      </c>
      <c r="D280" s="85" t="n">
        <v>175</v>
      </c>
      <c r="E280" t="inlineStr">
        <is>
          <t>USD</t>
        </is>
      </c>
      <c r="F280" s="85">
        <f>IF(E280="USD", D280, D280/IFERROR(VLOOKUP(B280, Aux_Datos!$A:$H, 8, FALSE), 1))</f>
        <v/>
      </c>
    </row>
    <row r="281">
      <c r="A281" t="n">
        <v>322</v>
      </c>
      <c r="B281" s="84" t="n">
        <v>46153</v>
      </c>
      <c r="C281" t="inlineStr">
        <is>
          <t>INVERSIONES SMALUM 21, C.A.</t>
        </is>
      </c>
      <c r="D281" s="85" t="n">
        <v>589.27</v>
      </c>
      <c r="E281" t="inlineStr">
        <is>
          <t>VES</t>
        </is>
      </c>
      <c r="F281" s="85">
        <f>IF(E281="USD", D281, D281/IFERROR(VLOOKUP(B281, Aux_Datos!$A:$H, 8, FALSE), 1))</f>
        <v/>
      </c>
    </row>
    <row r="282">
      <c r="A282" t="n">
        <v>321</v>
      </c>
      <c r="B282" s="84" t="n">
        <v>46153</v>
      </c>
      <c r="C282" t="inlineStr">
        <is>
          <t>INVERSIONES SMALUM 21, C.A.</t>
        </is>
      </c>
      <c r="D282" s="85" t="inlineStr">
        <is>
          <t>118.845,06</t>
        </is>
      </c>
      <c r="E282" t="inlineStr">
        <is>
          <t>VES</t>
        </is>
      </c>
      <c r="F282" s="85">
        <f>IF(E282="USD", D282, D282/IFERROR(VLOOKUP(B282, Aux_Datos!$A:$H, 8, FALSE), 1))</f>
        <v/>
      </c>
    </row>
    <row r="283">
      <c r="A283" t="n">
        <v>320</v>
      </c>
      <c r="B283" s="84" t="n">
        <v>46153</v>
      </c>
      <c r="C283" t="inlineStr">
        <is>
          <t>Jose Lopez Espinoza</t>
        </is>
      </c>
      <c r="D283" s="85" t="inlineStr">
        <is>
          <t>50.046,06</t>
        </is>
      </c>
      <c r="E283" t="inlineStr">
        <is>
          <t>VES</t>
        </is>
      </c>
      <c r="F283" s="85">
        <f>IF(E283="USD", D283, D283/IFERROR(VLOOKUP(B283, Aux_Datos!$A:$H, 8, FALSE), 1))</f>
        <v/>
      </c>
    </row>
    <row r="284">
      <c r="A284" t="n">
        <v>992</v>
      </c>
      <c r="B284" s="84" t="n">
        <v>46150</v>
      </c>
      <c r="C284" t="inlineStr">
        <is>
          <t>Inversiones Air Brakes, C.A</t>
        </is>
      </c>
      <c r="D284" s="85" t="n">
        <v>75</v>
      </c>
      <c r="E284" t="inlineStr">
        <is>
          <t>USD</t>
        </is>
      </c>
      <c r="F284" s="85">
        <f>IF(E284="USD", D284, D284/IFERROR(VLOOKUP(B284, Aux_Datos!$A:$H, 8, FALSE), 1))</f>
        <v/>
      </c>
    </row>
    <row r="285">
      <c r="A285" t="n">
        <v>444</v>
      </c>
      <c r="B285" s="84" t="n">
        <v>46150</v>
      </c>
      <c r="C285" t="inlineStr">
        <is>
          <t>Inversiones La Bendición del Nazareno, C.A</t>
        </is>
      </c>
      <c r="D285" s="85" t="n">
        <v>500</v>
      </c>
      <c r="E285" t="inlineStr">
        <is>
          <t>USD</t>
        </is>
      </c>
      <c r="F285" s="85">
        <f>IF(E285="USD", D285, D285/IFERROR(VLOOKUP(B285, Aux_Datos!$A:$H, 8, FALSE), 1))</f>
        <v/>
      </c>
    </row>
    <row r="286">
      <c r="A286" t="n">
        <v>311</v>
      </c>
      <c r="B286" s="84" t="n">
        <v>46150</v>
      </c>
      <c r="C286" t="inlineStr">
        <is>
          <t>M.L.P Repuestos y Otros, C.A</t>
        </is>
      </c>
      <c r="D286" s="85" t="n">
        <v>160</v>
      </c>
      <c r="E286" t="inlineStr">
        <is>
          <t>USD</t>
        </is>
      </c>
      <c r="F286" s="85">
        <f>IF(E286="USD", D286, D286/IFERROR(VLOOKUP(B286, Aux_Datos!$A:$H, 8, FALSE), 1))</f>
        <v/>
      </c>
    </row>
    <row r="287">
      <c r="A287" t="n">
        <v>307</v>
      </c>
      <c r="B287" s="84" t="n">
        <v>46150</v>
      </c>
      <c r="C287" t="inlineStr">
        <is>
          <t>SJMG 2012 C.A</t>
        </is>
      </c>
      <c r="D287" s="85" t="n">
        <v>250</v>
      </c>
      <c r="E287" t="inlineStr">
        <is>
          <t>USD</t>
        </is>
      </c>
      <c r="F287" s="85">
        <f>IF(E287="USD", D287, D287/IFERROR(VLOOKUP(B287, Aux_Datos!$A:$H, 8, FALSE), 1))</f>
        <v/>
      </c>
    </row>
    <row r="288">
      <c r="A288" t="n">
        <v>991</v>
      </c>
      <c r="B288" s="84" t="n">
        <v>46150</v>
      </c>
      <c r="C288" t="inlineStr">
        <is>
          <t>Inversiones DSM 2706, c.a.</t>
        </is>
      </c>
      <c r="D288" s="85" t="inlineStr">
        <is>
          <t>14.995,80</t>
        </is>
      </c>
      <c r="E288" t="inlineStr">
        <is>
          <t>VES</t>
        </is>
      </c>
      <c r="F288" s="85">
        <f>IF(E288="USD", D288, D288/IFERROR(VLOOKUP(B288, Aux_Datos!$A:$H, 8, FALSE), 1))</f>
        <v/>
      </c>
    </row>
    <row r="289">
      <c r="A289" t="n">
        <v>511</v>
      </c>
      <c r="B289" s="84" t="n">
        <v>46150</v>
      </c>
      <c r="D289" s="85" t="inlineStr">
        <is>
          <t>14.995,80</t>
        </is>
      </c>
      <c r="E289" t="inlineStr">
        <is>
          <t>VES</t>
        </is>
      </c>
      <c r="F289" s="85">
        <f>IF(E289="USD", D289, D289/IFERROR(VLOOKUP(B289, Aux_Datos!$A:$H, 8, FALSE), 1))</f>
        <v/>
      </c>
    </row>
    <row r="290">
      <c r="A290" t="n">
        <v>993</v>
      </c>
      <c r="B290" s="84" t="n">
        <v>46149</v>
      </c>
      <c r="C290" t="inlineStr">
        <is>
          <t>JOSE RUBIO ESPINEL</t>
        </is>
      </c>
      <c r="D290" s="85" t="n">
        <v>35</v>
      </c>
      <c r="E290" t="inlineStr">
        <is>
          <t>USD</t>
        </is>
      </c>
      <c r="F290" s="85">
        <f>IF(E290="USD", D290, D290/IFERROR(VLOOKUP(B290, Aux_Datos!$A:$H, 8, FALSE), 1))</f>
        <v/>
      </c>
    </row>
    <row r="291">
      <c r="A291" t="n">
        <v>300</v>
      </c>
      <c r="B291" s="84" t="n">
        <v>46149</v>
      </c>
      <c r="C291" t="inlineStr">
        <is>
          <t>Repuestos Guia Dios Nuestro Camino,c.a.</t>
        </is>
      </c>
      <c r="D291" s="85" t="n">
        <v>30</v>
      </c>
      <c r="E291" t="inlineStr">
        <is>
          <t>USD</t>
        </is>
      </c>
      <c r="F291" s="85">
        <f>IF(E291="USD", D291, D291/IFERROR(VLOOKUP(B291, Aux_Datos!$A:$H, 8, FALSE), 1))</f>
        <v/>
      </c>
    </row>
    <row r="292">
      <c r="A292" t="n">
        <v>285</v>
      </c>
      <c r="B292" s="84" t="n">
        <v>46147</v>
      </c>
      <c r="C292" t="inlineStr">
        <is>
          <t>Katiuska Alejandra Curvelo</t>
        </is>
      </c>
      <c r="D292" s="85" t="n">
        <v>100</v>
      </c>
      <c r="E292" t="inlineStr">
        <is>
          <t>USD</t>
        </is>
      </c>
      <c r="F292" s="85">
        <f>IF(E292="USD", D292, D292/IFERROR(VLOOKUP(B292, Aux_Datos!$A:$H, 8, FALSE), 1))</f>
        <v/>
      </c>
    </row>
    <row r="293">
      <c r="A293" t="n">
        <v>279</v>
      </c>
      <c r="B293" s="84" t="n">
        <v>46146</v>
      </c>
      <c r="C293" t="inlineStr">
        <is>
          <t>Emprendimiento Jordy Valencia</t>
        </is>
      </c>
      <c r="D293" s="85" t="n">
        <v>110</v>
      </c>
      <c r="E293" t="inlineStr">
        <is>
          <t>USD</t>
        </is>
      </c>
      <c r="F293" s="85">
        <f>IF(E293="USD", D293, D293/IFERROR(VLOOKUP(B293, Aux_Datos!$A:$H, 8, FALSE), 1))</f>
        <v/>
      </c>
    </row>
    <row r="294">
      <c r="A294" t="n">
        <v>274</v>
      </c>
      <c r="B294" s="84" t="n">
        <v>46146</v>
      </c>
      <c r="C294" t="inlineStr">
        <is>
          <t>SJMG 2012 C.A</t>
        </is>
      </c>
      <c r="D294" s="85" t="n">
        <v>28</v>
      </c>
      <c r="E294" t="inlineStr">
        <is>
          <t>USD</t>
        </is>
      </c>
      <c r="F294" s="85">
        <f>IF(E294="USD", D294, D294/IFERROR(VLOOKUP(B294, Aux_Datos!$A:$H, 8, FALSE), 1))</f>
        <v/>
      </c>
    </row>
    <row r="295">
      <c r="A295" t="n">
        <v>270</v>
      </c>
      <c r="B295" s="84" t="n">
        <v>46146</v>
      </c>
      <c r="C295" t="inlineStr">
        <is>
          <t>MOTOS Y REPUESTOS DOS RUEDAS, C.A.</t>
        </is>
      </c>
      <c r="D295" s="85" t="n">
        <v>76</v>
      </c>
      <c r="E295" t="inlineStr">
        <is>
          <t>USD</t>
        </is>
      </c>
      <c r="F295" s="85">
        <f>IF(E295="USD", D295, D295/IFERROR(VLOOKUP(B295, Aux_Datos!$A:$H, 8, FALSE), 1))</f>
        <v/>
      </c>
    </row>
    <row r="296">
      <c r="A296" t="n">
        <v>489</v>
      </c>
      <c r="B296" s="84" t="n">
        <v>46146</v>
      </c>
      <c r="C296" t="inlineStr">
        <is>
          <t>CONSTRUCTORA GRANO AGREGADO, C.A</t>
        </is>
      </c>
      <c r="D296" s="85" t="inlineStr">
        <is>
          <t>621.789,96</t>
        </is>
      </c>
      <c r="E296" t="inlineStr">
        <is>
          <t>VES</t>
        </is>
      </c>
      <c r="F296" s="85">
        <f>IF(E296="USD", D296, D296/IFERROR(VLOOKUP(B296, Aux_Datos!$A:$H, 8, FALSE), 1))</f>
        <v/>
      </c>
    </row>
    <row r="297">
      <c r="A297" t="n">
        <v>492</v>
      </c>
      <c r="B297" s="84" t="n">
        <v>46146</v>
      </c>
      <c r="C297" t="inlineStr">
        <is>
          <t>CONSTRUCTORA GRANO AGREGADO, C.A</t>
        </is>
      </c>
      <c r="D297" s="85" t="inlineStr">
        <is>
          <t>1.000.000,00</t>
        </is>
      </c>
      <c r="E297" t="inlineStr">
        <is>
          <t>VES</t>
        </is>
      </c>
      <c r="F297" s="85">
        <f>IF(E297="USD", D297, D297/IFERROR(VLOOKUP(B297, Aux_Datos!$A:$H, 8, FALSE), 1))</f>
        <v/>
      </c>
    </row>
    <row r="298">
      <c r="A298" t="n">
        <v>263</v>
      </c>
      <c r="B298" s="84" t="n">
        <v>46146</v>
      </c>
      <c r="C298" t="inlineStr">
        <is>
          <t>Wuilliams bastidas</t>
        </is>
      </c>
      <c r="D298" s="85" t="inlineStr">
        <is>
          <t>25.126,61</t>
        </is>
      </c>
      <c r="E298" t="inlineStr">
        <is>
          <t>VES</t>
        </is>
      </c>
      <c r="F298" s="85">
        <f>IF(E298="USD", D298, D298/IFERROR(VLOOKUP(B298, Aux_Datos!$A:$H, 8, FALSE), 1))</f>
        <v/>
      </c>
    </row>
    <row r="299">
      <c r="A299" t="n">
        <v>250</v>
      </c>
      <c r="B299" s="84" t="n">
        <v>46142</v>
      </c>
      <c r="C299" t="inlineStr">
        <is>
          <t>HIDRAULICAS CAICEDO C.A.</t>
        </is>
      </c>
      <c r="D299" s="85" t="n">
        <v>111</v>
      </c>
      <c r="E299" t="inlineStr">
        <is>
          <t>USD</t>
        </is>
      </c>
      <c r="F299" s="85">
        <f>IF(E299="USD", D299, D299/IFERROR(VLOOKUP(B299, Aux_Datos!$A:$H, 8, FALSE), 1))</f>
        <v/>
      </c>
    </row>
    <row r="300">
      <c r="A300" t="n">
        <v>290</v>
      </c>
      <c r="B300" s="84" t="n">
        <v>46142</v>
      </c>
      <c r="C300" t="inlineStr">
        <is>
          <t>SPEED RACING, CA</t>
        </is>
      </c>
      <c r="D300" s="85" t="inlineStr">
        <is>
          <t>12.079,41</t>
        </is>
      </c>
      <c r="E300" t="inlineStr">
        <is>
          <t>VES</t>
        </is>
      </c>
      <c r="F300" s="85">
        <f>IF(E300="USD", D300, D300/IFERROR(VLOOKUP(B300, Aux_Datos!$A:$H, 8, FALSE), 1))</f>
        <v/>
      </c>
    </row>
    <row r="301">
      <c r="A301" t="n">
        <v>256</v>
      </c>
      <c r="B301" s="84" t="n">
        <v>46142</v>
      </c>
      <c r="C301" t="inlineStr">
        <is>
          <t>INVERSIONES MI LINDA YEMAIRE 2019, C.A</t>
        </is>
      </c>
      <c r="D301" s="85" t="inlineStr">
        <is>
          <t>56.976,38</t>
        </is>
      </c>
      <c r="E301" t="inlineStr">
        <is>
          <t>VES</t>
        </is>
      </c>
      <c r="F301" s="85">
        <f>IF(E301="USD", D301, D301/IFERROR(VLOOKUP(B301, Aux_Datos!$A:$H, 8, FALSE), 1))</f>
        <v/>
      </c>
    </row>
    <row r="302">
      <c r="A302" t="n">
        <v>258</v>
      </c>
      <c r="B302" s="84" t="n">
        <v>46142</v>
      </c>
      <c r="C302" t="inlineStr">
        <is>
          <t>INVERSIONES MI LINDA YEMAIRE 2019, C.A</t>
        </is>
      </c>
      <c r="D302" s="85" t="inlineStr">
        <is>
          <t>56.976,38</t>
        </is>
      </c>
      <c r="E302" t="inlineStr">
        <is>
          <t>VES</t>
        </is>
      </c>
      <c r="F302" s="85">
        <f>IF(E302="USD", D302, D302/IFERROR(VLOOKUP(B302, Aux_Datos!$A:$H, 8, FALSE), 1))</f>
        <v/>
      </c>
    </row>
    <row r="303">
      <c r="A303" t="n">
        <v>220</v>
      </c>
      <c r="B303" s="84" t="n">
        <v>46140</v>
      </c>
      <c r="C303" t="inlineStr">
        <is>
          <t>Inversiones Vercris 17 C.A</t>
        </is>
      </c>
      <c r="D303" s="85" t="n">
        <v>60</v>
      </c>
      <c r="E303" t="inlineStr">
        <is>
          <t>USD</t>
        </is>
      </c>
      <c r="F303" s="85">
        <f>IF(E303="USD", D303, D303/IFERROR(VLOOKUP(B303, Aux_Datos!$A:$H, 8, FALSE), 1))</f>
        <v/>
      </c>
    </row>
    <row r="304">
      <c r="A304" t="n">
        <v>207</v>
      </c>
      <c r="B304" s="84" t="n">
        <v>46139</v>
      </c>
      <c r="C304" t="inlineStr">
        <is>
          <t>EN LA VIA 2023 C.A</t>
        </is>
      </c>
      <c r="D304" s="85" t="inlineStr">
        <is>
          <t>293.907,53</t>
        </is>
      </c>
      <c r="E304" t="inlineStr">
        <is>
          <t>VES</t>
        </is>
      </c>
      <c r="F304" s="85">
        <f>IF(E304="USD", D304, D304/IFERROR(VLOOKUP(B304, Aux_Datos!$A:$H, 8, FALSE), 1))</f>
        <v/>
      </c>
    </row>
    <row r="305">
      <c r="A305" t="n">
        <v>196</v>
      </c>
      <c r="B305" s="84" t="n">
        <v>46136</v>
      </c>
      <c r="C305" t="inlineStr">
        <is>
          <t>Inversiones Famasa, C.A</t>
        </is>
      </c>
      <c r="D305" s="85" t="n">
        <v>100</v>
      </c>
      <c r="E305" t="inlineStr">
        <is>
          <t>USD</t>
        </is>
      </c>
      <c r="F305" s="85">
        <f>IF(E305="USD", D305, D305/IFERROR(VLOOKUP(B305, Aux_Datos!$A:$H, 8, FALSE), 1))</f>
        <v/>
      </c>
    </row>
    <row r="306">
      <c r="A306" t="n">
        <v>227</v>
      </c>
      <c r="B306" s="84" t="n">
        <v>46135</v>
      </c>
      <c r="C306" t="inlineStr">
        <is>
          <t>Wuilliams bastidas</t>
        </is>
      </c>
      <c r="D306" s="85" t="inlineStr">
        <is>
          <t>30.000,00</t>
        </is>
      </c>
      <c r="E306" t="inlineStr">
        <is>
          <t>VES</t>
        </is>
      </c>
      <c r="F306" s="85">
        <f>IF(E306="USD", D306, D306/IFERROR(VLOOKUP(B306, Aux_Datos!$A:$H, 8, FALSE), 1))</f>
        <v/>
      </c>
    </row>
    <row r="307">
      <c r="A307" t="n">
        <v>177</v>
      </c>
      <c r="B307" s="84" t="n">
        <v>46134</v>
      </c>
      <c r="C307" t="inlineStr">
        <is>
          <t>Inversiones Famasa, C.A</t>
        </is>
      </c>
      <c r="D307" s="85" t="n">
        <v>100</v>
      </c>
      <c r="E307" t="inlineStr">
        <is>
          <t>USD</t>
        </is>
      </c>
      <c r="F307" s="85">
        <f>IF(E307="USD", D307, D307/IFERROR(VLOOKUP(B307, Aux_Datos!$A:$H, 8, FALSE), 1))</f>
        <v/>
      </c>
    </row>
    <row r="308">
      <c r="A308" t="n">
        <v>336</v>
      </c>
      <c r="B308" s="84" t="n">
        <v>46133</v>
      </c>
      <c r="C308" t="inlineStr">
        <is>
          <t>Moises Alejandro Mares</t>
        </is>
      </c>
      <c r="D308" s="85" t="n">
        <v>20</v>
      </c>
      <c r="E308" t="inlineStr">
        <is>
          <t>USD</t>
        </is>
      </c>
      <c r="F308" s="85">
        <f>IF(E308="USD", D308, D308/IFERROR(VLOOKUP(B308, Aux_Datos!$A:$H, 8, FALSE), 1))</f>
        <v/>
      </c>
    </row>
    <row r="309">
      <c r="A309" t="n">
        <v>143</v>
      </c>
      <c r="B309" s="84" t="n">
        <v>46129</v>
      </c>
      <c r="C309" t="inlineStr">
        <is>
          <t>Inversiones La Bendición del Nazareno, C.A</t>
        </is>
      </c>
      <c r="D309" s="85" t="n">
        <v>250</v>
      </c>
      <c r="E309" t="inlineStr">
        <is>
          <t>USD</t>
        </is>
      </c>
      <c r="F309" s="85">
        <f>IF(E309="USD", D309, D309/IFERROR(VLOOKUP(B309, Aux_Datos!$A:$H, 8, FALSE), 1))</f>
        <v/>
      </c>
    </row>
    <row r="310">
      <c r="A310" t="n">
        <v>111</v>
      </c>
      <c r="B310" s="84" t="n">
        <v>46127</v>
      </c>
      <c r="C310" t="inlineStr">
        <is>
          <t>HIDRAULICAS CAICEDO C.A.</t>
        </is>
      </c>
      <c r="D310" s="85" t="n">
        <v>68</v>
      </c>
      <c r="E310" t="inlineStr">
        <is>
          <t>USD</t>
        </is>
      </c>
      <c r="F310" s="85">
        <f>IF(E310="USD", D310, D310/IFERROR(VLOOKUP(B310, Aux_Datos!$A:$H, 8, FALSE), 1))</f>
        <v/>
      </c>
    </row>
    <row r="311">
      <c r="A311" t="n">
        <v>108</v>
      </c>
      <c r="B311" s="84" t="n">
        <v>46127</v>
      </c>
      <c r="C311" t="inlineStr">
        <is>
          <t>Inversiones Famasa, C.A</t>
        </is>
      </c>
      <c r="D311" s="85" t="n">
        <v>25</v>
      </c>
      <c r="E311" t="inlineStr">
        <is>
          <t>USD</t>
        </is>
      </c>
      <c r="F311" s="85">
        <f>IF(E311="USD", D311, D311/IFERROR(VLOOKUP(B311, Aux_Datos!$A:$H, 8, FALSE), 1))</f>
        <v/>
      </c>
    </row>
    <row r="312">
      <c r="A312" t="n">
        <v>117</v>
      </c>
      <c r="B312" s="84" t="n">
        <v>46127</v>
      </c>
      <c r="C312" t="inlineStr">
        <is>
          <t>VAL VAL 16 C.A</t>
        </is>
      </c>
      <c r="D312" s="85" t="inlineStr">
        <is>
          <t>10.250,18</t>
        </is>
      </c>
      <c r="E312" t="inlineStr">
        <is>
          <t>VES</t>
        </is>
      </c>
      <c r="F312" s="85">
        <f>IF(E312="USD", D312, D312/IFERROR(VLOOKUP(B312, Aux_Datos!$A:$H, 8, FALSE), 1))</f>
        <v/>
      </c>
    </row>
    <row r="313">
      <c r="A313" t="n">
        <v>99</v>
      </c>
      <c r="B313" s="84" t="n">
        <v>46126</v>
      </c>
      <c r="C313" t="inlineStr">
        <is>
          <t>Ricardo A. Fernandez.</t>
        </is>
      </c>
      <c r="D313" s="85" t="inlineStr">
        <is>
          <t>54.000,00</t>
        </is>
      </c>
      <c r="E313" t="inlineStr">
        <is>
          <t>VES</t>
        </is>
      </c>
      <c r="F313" s="85">
        <f>IF(E313="USD", D313, D313/IFERROR(VLOOKUP(B313, Aux_Datos!$A:$H, 8, FALSE), 1))</f>
        <v/>
      </c>
    </row>
    <row r="314">
      <c r="A314" t="n">
        <v>94</v>
      </c>
      <c r="B314" s="84" t="n">
        <v>46125</v>
      </c>
      <c r="C314" t="inlineStr">
        <is>
          <t>DISTRIBUIDORA PINOS 181297 C.A</t>
        </is>
      </c>
      <c r="D314" s="85" t="inlineStr">
        <is>
          <t>44.031,13</t>
        </is>
      </c>
      <c r="E314" t="inlineStr">
        <is>
          <t>VES</t>
        </is>
      </c>
      <c r="F314" s="85">
        <f>IF(E314="USD", D314, D314/IFERROR(VLOOKUP(B314, Aux_Datos!$A:$H, 8, FALSE), 1))</f>
        <v/>
      </c>
    </row>
    <row r="315">
      <c r="A315" t="n">
        <v>96</v>
      </c>
      <c r="B315" s="84" t="n">
        <v>46125</v>
      </c>
      <c r="C315" t="inlineStr">
        <is>
          <t>Inversiones Famasa, C.A</t>
        </is>
      </c>
      <c r="D315" s="85" t="inlineStr">
        <is>
          <t>42.880,00</t>
        </is>
      </c>
      <c r="E315" t="inlineStr">
        <is>
          <t>VES</t>
        </is>
      </c>
      <c r="F315" s="85">
        <f>IF(E315="USD", D315, D315/IFERROR(VLOOKUP(B315, Aux_Datos!$A:$H, 8, FALSE), 1))</f>
        <v/>
      </c>
    </row>
    <row r="316">
      <c r="A316" t="n">
        <v>95</v>
      </c>
      <c r="B316" s="84" t="n">
        <v>46125</v>
      </c>
      <c r="C316" t="inlineStr">
        <is>
          <t>Inversiones maxgad &amp; ef</t>
        </is>
      </c>
      <c r="D316" s="85" t="inlineStr">
        <is>
          <t>27.712,80</t>
        </is>
      </c>
      <c r="E316" t="inlineStr">
        <is>
          <t>VES</t>
        </is>
      </c>
      <c r="F316" s="85">
        <f>IF(E316="USD", D316, D316/IFERROR(VLOOKUP(B316, Aux_Datos!$A:$H, 8, FALSE), 1))</f>
        <v/>
      </c>
    </row>
    <row r="317">
      <c r="A317" t="n">
        <v>88</v>
      </c>
      <c r="B317" s="84" t="n">
        <v>46122</v>
      </c>
      <c r="C317" t="inlineStr">
        <is>
          <t>VAL VAL 16 C.A</t>
        </is>
      </c>
      <c r="D317" s="85" t="inlineStr">
        <is>
          <t>24.860,48</t>
        </is>
      </c>
      <c r="E317" t="inlineStr">
        <is>
          <t>VES</t>
        </is>
      </c>
      <c r="F317" s="85">
        <f>IF(E317="USD", D317, D317/IFERROR(VLOOKUP(B317, Aux_Datos!$A:$H, 8, FALSE), 1))</f>
        <v/>
      </c>
    </row>
    <row r="318">
      <c r="A318" t="n">
        <v>87</v>
      </c>
      <c r="B318" s="84" t="n">
        <v>46122</v>
      </c>
      <c r="C318" t="inlineStr">
        <is>
          <t>VAL VAL 16 C.A</t>
        </is>
      </c>
      <c r="D318" s="85" t="inlineStr">
        <is>
          <t>56.890,75</t>
        </is>
      </c>
      <c r="E318" t="inlineStr">
        <is>
          <t>VES</t>
        </is>
      </c>
      <c r="F318" s="85">
        <f>IF(E318="USD", D318, D318/IFERROR(VLOOKUP(B318, Aux_Datos!$A:$H, 8, FALSE), 1))</f>
        <v/>
      </c>
    </row>
    <row r="319">
      <c r="A319" t="n">
        <v>54</v>
      </c>
      <c r="B319" s="84" t="n">
        <v>46121</v>
      </c>
      <c r="C319" t="inlineStr">
        <is>
          <t>Paola M. Aguilera Z.</t>
        </is>
      </c>
      <c r="D319" s="85" t="n">
        <v>681</v>
      </c>
      <c r="E319" t="inlineStr">
        <is>
          <t>USD</t>
        </is>
      </c>
      <c r="F319" s="85">
        <f>IF(E319="USD", D319, D319/IFERROR(VLOOKUP(B319, Aux_Datos!$A:$H, 8, FALSE), 1))</f>
        <v/>
      </c>
    </row>
    <row r="320">
      <c r="A320" t="n">
        <v>1002</v>
      </c>
      <c r="B320" s="84" t="n">
        <v>46121</v>
      </c>
      <c r="C320" t="inlineStr">
        <is>
          <t>Jose Angel Gutierrez Rodriguez</t>
        </is>
      </c>
      <c r="D320" s="85" t="inlineStr">
        <is>
          <t>1.430,00</t>
        </is>
      </c>
      <c r="E320" t="inlineStr">
        <is>
          <t>VES</t>
        </is>
      </c>
      <c r="F320" s="85">
        <f>IF(E320="USD", D320, D320/IFERROR(VLOOKUP(B320, Aux_Datos!$A:$H, 8, FALSE), 1))</f>
        <v/>
      </c>
    </row>
    <row r="321">
      <c r="A321" t="n">
        <v>80</v>
      </c>
      <c r="B321" s="84" t="n">
        <v>46119</v>
      </c>
      <c r="C321" t="inlineStr">
        <is>
          <t>Moises Alejandro Mares</t>
        </is>
      </c>
      <c r="D321" s="85" t="n">
        <v>20</v>
      </c>
      <c r="E321" t="inlineStr">
        <is>
          <t>USD</t>
        </is>
      </c>
      <c r="F321" s="85">
        <f>IF(E321="USD", D321, D321/IFERROR(VLOOKUP(B321, Aux_Datos!$A:$H, 8, FALSE), 1))</f>
        <v/>
      </c>
    </row>
    <row r="322">
      <c r="A322" t="n">
        <v>79</v>
      </c>
      <c r="B322" s="84" t="n">
        <v>46119</v>
      </c>
      <c r="C322" t="inlineStr">
        <is>
          <t>EMPRENDIMIENTO IRMA RODRIGUEZ 6</t>
        </is>
      </c>
      <c r="D322" s="85" t="n">
        <v>115.92</v>
      </c>
      <c r="E322" t="inlineStr">
        <is>
          <t>USD</t>
        </is>
      </c>
      <c r="F322" s="85">
        <f>IF(E322="USD", D322, D322/IFERROR(VLOOKUP(B322, Aux_Datos!$A:$H, 8, FALSE), 1))</f>
        <v/>
      </c>
    </row>
    <row r="323">
      <c r="A323" t="n">
        <v>102</v>
      </c>
      <c r="B323" s="84" t="n">
        <v>46119</v>
      </c>
      <c r="C323" t="inlineStr">
        <is>
          <t>Moto repuestos jj</t>
        </is>
      </c>
      <c r="D323" s="85" t="inlineStr">
        <is>
          <t>23.726,50</t>
        </is>
      </c>
      <c r="E323" t="inlineStr">
        <is>
          <t>VES</t>
        </is>
      </c>
      <c r="F323" s="85">
        <f>IF(E323="USD", D323, D323/IFERROR(VLOOKUP(B323, Aux_Datos!$A:$H, 8, FALSE), 1))</f>
        <v/>
      </c>
    </row>
    <row r="324">
      <c r="A324" t="n">
        <v>46</v>
      </c>
      <c r="B324" s="84" t="n">
        <v>46113</v>
      </c>
      <c r="C324" t="inlineStr">
        <is>
          <t>Inversiones Famasa, C.A</t>
        </is>
      </c>
      <c r="D324" s="85" t="n">
        <v>67</v>
      </c>
      <c r="E324" t="inlineStr">
        <is>
          <t>USD</t>
        </is>
      </c>
      <c r="F324" s="85">
        <f>IF(E324="USD", D324, D324/IFERROR(VLOOKUP(B324, Aux_Datos!$A:$H, 8, FALSE), 1))</f>
        <v/>
      </c>
    </row>
    <row r="325">
      <c r="A325" t="n">
        <v>73</v>
      </c>
      <c r="B325" s="84" t="n">
        <v>46112</v>
      </c>
      <c r="C325" t="inlineStr">
        <is>
          <t>Moises Alejandro Mares</t>
        </is>
      </c>
      <c r="D325" s="85" t="n">
        <v>20</v>
      </c>
      <c r="E325" t="inlineStr">
        <is>
          <t>USD</t>
        </is>
      </c>
      <c r="F325" s="85">
        <f>IF(E325="USD", D325, D325/IFERROR(VLOOKUP(B325, Aux_Datos!$A:$H, 8, FALSE), 1))</f>
        <v/>
      </c>
    </row>
    <row r="326">
      <c r="A326" t="n">
        <v>106</v>
      </c>
      <c r="B326" s="84" t="n">
        <v>46111</v>
      </c>
      <c r="C326" t="inlineStr">
        <is>
          <t>FREDI MARQUEZ</t>
        </is>
      </c>
      <c r="D326" s="85" t="n">
        <v>260</v>
      </c>
      <c r="E326" t="inlineStr">
        <is>
          <t>USD</t>
        </is>
      </c>
      <c r="F326" s="85">
        <f>IF(E326="USD", D326, D326/IFERROR(VLOOKUP(B326, Aux_Datos!$A:$H, 8, FALSE), 1))</f>
        <v/>
      </c>
    </row>
    <row r="327">
      <c r="A327" t="n">
        <v>41</v>
      </c>
      <c r="B327" s="84" t="n">
        <v>46111</v>
      </c>
      <c r="C327" t="inlineStr">
        <is>
          <t>Inversiones Famasa, C.A</t>
        </is>
      </c>
      <c r="D327" s="85" t="n">
        <v>65</v>
      </c>
      <c r="E327" t="inlineStr">
        <is>
          <t>USD</t>
        </is>
      </c>
      <c r="F327" s="85">
        <f>IF(E327="USD", D327, D327/IFERROR(VLOOKUP(B327, Aux_Datos!$A:$H, 8, FALSE), 1))</f>
        <v/>
      </c>
    </row>
    <row r="328">
      <c r="A328" t="n">
        <v>69</v>
      </c>
      <c r="B328" s="84" t="n">
        <v>46108</v>
      </c>
      <c r="C328" t="inlineStr">
        <is>
          <t>Moises Alejandro Mares</t>
        </is>
      </c>
      <c r="D328" s="85" t="n">
        <v>20</v>
      </c>
      <c r="E328" t="inlineStr">
        <is>
          <t>USD</t>
        </is>
      </c>
      <c r="F328" s="85">
        <f>IF(E328="USD", D328, D328/IFERROR(VLOOKUP(B328, Aux_Datos!$A:$H, 8, FALSE), 1))</f>
        <v/>
      </c>
    </row>
    <row r="329">
      <c r="A329" t="n">
        <v>66</v>
      </c>
      <c r="B329" s="84" t="n">
        <v>46107</v>
      </c>
      <c r="C329" t="inlineStr">
        <is>
          <t>Wuilliams bastidas</t>
        </is>
      </c>
      <c r="D329" s="85" t="inlineStr">
        <is>
          <t>28.000,00</t>
        </is>
      </c>
      <c r="E329" t="inlineStr">
        <is>
          <t>VES</t>
        </is>
      </c>
      <c r="F329" s="85">
        <f>IF(E329="USD", D329, D329/IFERROR(VLOOKUP(B329, Aux_Datos!$A:$H, 8, FALSE), 1))</f>
        <v/>
      </c>
    </row>
    <row r="330">
      <c r="A330" t="n">
        <v>38</v>
      </c>
      <c r="B330" s="84" t="n">
        <v>46106</v>
      </c>
      <c r="C330" t="inlineStr">
        <is>
          <t>EMPRENDIMIENTO IRMA RODRIGUEZ 6</t>
        </is>
      </c>
      <c r="D330" s="85" t="n">
        <v>197</v>
      </c>
      <c r="E330" t="inlineStr">
        <is>
          <t>USD</t>
        </is>
      </c>
      <c r="F330" s="85">
        <f>IF(E330="USD", D330, D330/IFERROR(VLOOKUP(B330, Aux_Datos!$A:$H, 8, FALSE), 1))</f>
        <v/>
      </c>
    </row>
    <row r="331">
      <c r="A331" t="n">
        <v>37</v>
      </c>
      <c r="B331" s="84" t="n">
        <v>46106</v>
      </c>
      <c r="C331" t="inlineStr">
        <is>
          <t>HIDRAULICAS CAICEDO C.A.</t>
        </is>
      </c>
      <c r="D331" s="85" t="n">
        <v>110</v>
      </c>
      <c r="E331" t="inlineStr">
        <is>
          <t>USD</t>
        </is>
      </c>
      <c r="F331" s="85">
        <f>IF(E331="USD", D331, D331/IFERROR(VLOOKUP(B331, Aux_Datos!$A:$H, 8, FALSE), 1))</f>
        <v/>
      </c>
    </row>
    <row r="332">
      <c r="A332" t="n">
        <v>40</v>
      </c>
      <c r="B332" s="84" t="n">
        <v>46104</v>
      </c>
      <c r="C332" t="inlineStr">
        <is>
          <t>FREDI MARQUEZ</t>
        </is>
      </c>
      <c r="D332" s="85" t="n">
        <v>130</v>
      </c>
      <c r="E332" t="inlineStr">
        <is>
          <t>USD</t>
        </is>
      </c>
      <c r="F332" s="85">
        <f>IF(E332="USD", D332, D332/IFERROR(VLOOKUP(B332, Aux_Datos!$A:$H, 8, FALSE), 1))</f>
        <v/>
      </c>
    </row>
    <row r="333">
      <c r="A333" t="n">
        <v>21</v>
      </c>
      <c r="B333" s="84" t="n">
        <v>46098</v>
      </c>
      <c r="C333" t="inlineStr">
        <is>
          <t>HIDRAULICAS CAICEDO C.A.</t>
        </is>
      </c>
      <c r="D333" s="85" t="n">
        <v>146</v>
      </c>
      <c r="E333" t="inlineStr">
        <is>
          <t>USD</t>
        </is>
      </c>
      <c r="F333" s="85">
        <f>IF(E333="USD", D333, D333/IFERROR(VLOOKUP(B333, Aux_Datos!$A:$H, 8, FALSE), 1))</f>
        <v/>
      </c>
    </row>
    <row r="334">
      <c r="A334" t="n">
        <v>15</v>
      </c>
      <c r="B334" s="84" t="n">
        <v>46094</v>
      </c>
      <c r="C334" t="inlineStr">
        <is>
          <t>EMPRENDIMIENTO IRMA RODRIGUEZ 6</t>
        </is>
      </c>
      <c r="D334" s="85" t="n">
        <v>132</v>
      </c>
      <c r="E334" t="inlineStr">
        <is>
          <t>USD</t>
        </is>
      </c>
      <c r="F334" s="85">
        <f>IF(E334="USD", D334, D334/IFERROR(VLOOKUP(B334, Aux_Datos!$A:$H, 8, FALSE), 1))</f>
        <v/>
      </c>
    </row>
    <row r="335">
      <c r="A335" t="n">
        <v>14</v>
      </c>
      <c r="B335" s="84" t="n">
        <v>46094</v>
      </c>
      <c r="C335" t="inlineStr">
        <is>
          <t>EMPRENDIMIENTO IRMA RODRIGUEZ 6</t>
        </is>
      </c>
      <c r="D335" s="85" t="n">
        <v>130</v>
      </c>
      <c r="E335" t="inlineStr">
        <is>
          <t>USD</t>
        </is>
      </c>
      <c r="F335" s="85">
        <f>IF(E335="USD", D335, D335/IFERROR(VLOOKUP(B335, Aux_Datos!$A:$H, 8, FALSE), 1))</f>
        <v/>
      </c>
    </row>
    <row r="336">
      <c r="A336" t="n">
        <v>13</v>
      </c>
      <c r="B336" s="84" t="n">
        <v>46094</v>
      </c>
      <c r="C336" t="inlineStr">
        <is>
          <t>E&amp;M CAR SHOP C.A</t>
        </is>
      </c>
      <c r="D336" s="85" t="inlineStr">
        <is>
          <t>203.899,00</t>
        </is>
      </c>
      <c r="E336" t="inlineStr">
        <is>
          <t>VES</t>
        </is>
      </c>
      <c r="F336" s="85">
        <f>IF(E336="USD", D336, D336/IFERROR(VLOOKUP(B336, Aux_Datos!$A:$H, 8, FALSE), 1))</f>
        <v/>
      </c>
    </row>
    <row r="337">
      <c r="A337" t="n">
        <v>9</v>
      </c>
      <c r="B337" s="84" t="n">
        <v>46090</v>
      </c>
      <c r="C337" t="inlineStr">
        <is>
          <t>INVERSIONES IRETE SUKA, C.A</t>
        </is>
      </c>
      <c r="D337" s="85" t="n">
        <v>48</v>
      </c>
      <c r="E337" t="inlineStr">
        <is>
          <t>USD</t>
        </is>
      </c>
      <c r="F337" s="85">
        <f>IF(E337="USD", D337, D337/IFERROR(VLOOKUP(B337, Aux_Datos!$A:$H, 8, FALSE), 1))</f>
        <v/>
      </c>
    </row>
    <row r="338">
      <c r="A338" t="n">
        <v>10</v>
      </c>
      <c r="B338" s="84" t="n">
        <v>46087</v>
      </c>
      <c r="C338" t="inlineStr">
        <is>
          <t>Ferretería JJ Martins c.a</t>
        </is>
      </c>
      <c r="D338" s="85" t="inlineStr">
        <is>
          <t>43.501,00</t>
        </is>
      </c>
      <c r="E338" t="inlineStr">
        <is>
          <t>VES</t>
        </is>
      </c>
      <c r="F338" s="85">
        <f>IF(E338="USD", D338, D338/IFERROR(VLOOKUP(B338, Aux_Datos!$A:$H, 8, FALSE), 1))</f>
        <v/>
      </c>
    </row>
    <row r="339">
      <c r="A339" t="n">
        <v>3</v>
      </c>
      <c r="B339" s="84" t="n">
        <v>46086</v>
      </c>
      <c r="C339" t="inlineStr">
        <is>
          <t>Ricardo A. Fernandez.</t>
        </is>
      </c>
      <c r="D339" s="85" t="inlineStr">
        <is>
          <t>29.489,51</t>
        </is>
      </c>
      <c r="E339" t="inlineStr">
        <is>
          <t>VES</t>
        </is>
      </c>
      <c r="F339" s="85">
        <f>IF(E339="USD", D339, D339/IFERROR(VLOOKUP(B339, Aux_Datos!$A:$H, 8, FALSE), 1))</f>
        <v/>
      </c>
    </row>
    <row r="340">
      <c r="A340" t="n">
        <v>2</v>
      </c>
      <c r="B340" s="84" t="n">
        <v>46084</v>
      </c>
      <c r="C340" t="inlineStr">
        <is>
          <t>E&amp;M CAR SHOP C.A</t>
        </is>
      </c>
      <c r="D340" s="85" t="inlineStr">
        <is>
          <t>166.513,00</t>
        </is>
      </c>
      <c r="E340" t="inlineStr">
        <is>
          <t>VES</t>
        </is>
      </c>
      <c r="F340" s="85">
        <f>IF(E340="USD", D340, D340/IFERROR(VLOOKUP(B340, Aux_Datos!$A:$H, 8, FALSE), 1))</f>
        <v/>
      </c>
    </row>
  </sheetData>
  <dataValidations count="1">
    <dataValidation sqref="G2:G341" showDropDown="0" showInputMessage="0" showErrorMessage="0" allowBlank="1" errorTitle="Orden Inválida o Cliente Incorrecto" error="La orden ingresada no pertenece a este cliente o no tiene saldos pendientes de cobro." promptTitle="Asignar Orden" prompt="Escriba la orden de venta pendiente de cobro para este cliente." type="custom">
      <formula1>AND(G2&lt;&gt;"", COUNTIFS('Cuentas Pendientes'!$A:$A, C2, 'Cuentas Pendientes'!$B:$B, G2) &gt; 0)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Cliente</t>
        </is>
      </c>
      <c r="B1" s="78" t="inlineStr">
        <is>
          <t>Referencia de la Orden</t>
        </is>
      </c>
      <c r="C1" s="78" t="inlineStr">
        <is>
          <t>Factura Nro</t>
        </is>
      </c>
      <c r="D1" s="78" t="inlineStr">
        <is>
          <t>Total Orden</t>
        </is>
      </c>
      <c r="E1" s="78" t="inlineStr">
        <is>
          <t>Total Factura USD</t>
        </is>
      </c>
      <c r="F1" s="78" t="inlineStr">
        <is>
          <t>Monto Pagado USD</t>
        </is>
      </c>
      <c r="G1" s="78" t="inlineStr">
        <is>
          <t>Saldo Pendiente USD</t>
        </is>
      </c>
    </row>
    <row r="2">
      <c r="A2">
        <f>_xlfn.FILTER(_xlfn.HSTACK(Ventas!C2:C3000, Ventas!A2:A3000, Ventas!Q2:Q3000, Ventas!P2:P3000, Ventas!W2:W3000, Ventas!AJ2:AJ3000, Ventas!AK2:AK3000), (Ventas!AK2:AK3000 &gt; 1) * (Ventas!A2:A3000 &lt;&gt; ""), "No hay cuentas pendientes")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2026-07-17T19:13:40Z</dcterms:created>
  <dcterms:modified xmlns:dcterms="http://purl.org/dc/terms/" xmlns:xsi="http://www.w3.org/2001/XMLSchema-instance" xsi:type="dcterms:W3CDTF">2026-07-17T19:13:46Z</dcterms:modified>
</cp:coreProperties>
</file>